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enarioDefinition" sheetId="2" state="visible" r:id="rId2"/>
    <sheet xmlns:r="http://schemas.openxmlformats.org/officeDocument/2006/relationships" name="FromMaster" sheetId="3" state="visible" r:id="rId3"/>
    <sheet xmlns:r="http://schemas.openxmlformats.org/officeDocument/2006/relationships" name="FromMitigation" sheetId="4" state="visible" r:id="rId4"/>
    <sheet xmlns:r="http://schemas.openxmlformats.org/officeDocument/2006/relationships" name="Distribution" sheetId="5" state="visible" r:id="rId5"/>
    <sheet xmlns:r="http://schemas.openxmlformats.org/officeDocument/2006/relationships" name="Constants and Mappings" sheetId="6" state="visible" r:id="rId6"/>
    <sheet xmlns:r="http://schemas.openxmlformats.org/officeDocument/2006/relationships" name="DATA_DISTN-&gt;&gt;" sheetId="7" state="visible" r:id="rId7"/>
    <sheet xmlns:r="http://schemas.openxmlformats.org/officeDocument/2006/relationships" name="DistMapping" sheetId="8" state="visible" r:id="rId8"/>
    <sheet xmlns:r="http://schemas.openxmlformats.org/officeDocument/2006/relationships" name="IO_GTAP" sheetId="9" state="visible" r:id="rId9"/>
    <sheet xmlns:r="http://schemas.openxmlformats.org/officeDocument/2006/relationships" name="HHSurvey" sheetId="10" state="visible" r:id="rId10"/>
    <sheet xmlns:r="http://schemas.openxmlformats.org/officeDocument/2006/relationships" name="HH_Elast" sheetId="11" state="visible" r:id="rId11"/>
    <sheet xmlns:r="http://schemas.openxmlformats.org/officeDocument/2006/relationships" name="ASPIRE" sheetId="12" state="visible" r:id="rId12"/>
    <sheet xmlns:r="http://schemas.openxmlformats.org/officeDocument/2006/relationships" name="WHOCooking" sheetId="13" state="visible" r:id="rId13"/>
    <sheet xmlns:r="http://schemas.openxmlformats.org/officeDocument/2006/relationships" name="GDPRatios" sheetId="14" state="visible" r:id="rId14"/>
    <sheet xmlns:r="http://schemas.openxmlformats.org/officeDocument/2006/relationships" name="WEO" sheetId="15" state="visible" r:id="rId15"/>
  </sheets>
  <definedNames>
    <definedName name="SDBase">ScenarioDefinition!$J$8:$J$526</definedName>
    <definedName name="SDParam">ScenarioDefinition!$H$8:$H$526</definedName>
    <definedName name="DPCHG" comment="Distribution: relative price change of the analysis year against scenario 1 (fraction)">_xlfn.LAMBDA(_xlpm.p_new,_xlpm.p_ref,_xlpm.p_new/_xlpm.p_ref-1)</definedName>
    <definedName name="DFAC" comment="Distribution: price factor dp x (1 + dp)^eps of a decile (elasticity adjustment if PEDs = Yes)">_xlfn.LAMBDA(_xlpm.peds,_xlpm.dp,_xlpm.eps,_xlpm.dp*IF(LEFT(_xlpm.peds,3)="Yes",(1+_xlpm.dp)^_xlpm.eps,1))</definedName>
    <definedName name="DTARGET" comment="Distribution: targeted share of a decile (population share inside the bottom pct; cum = cumulative share through the decile)">_xlfn.LAMBDA(_xlpm.share,_xlpm.cum,_xlpm.pct,MAX(0,MIN(_xlpm.share,_xlpm.pct-_xlpm.cum+_xlpm.share)))</definedName>
    <definedName name="DPITPICK" comment="Distribution: PIT reduction per capita of the chosen method (MTInputs PITReductionType)">_xlfn.LAMBDA(_xlpm.method,_xlpm.pa,_xlpm.prop,_xlpm.te,IF(_xlpm.method="Personal Allowance",_xlpm.pa,IF(_xlpm.method="Proportional Compensation",_xlpm.prop,_xlpm.te)))</definedName>
    <definedName name="DPOST" comment="Distribution: consumption after the policy (effect in % of consumption)">_xlfn.LAMBDA(_xlpm.cons,_xlpm.loss_pct,_xlpm.cons*(1+_xlpm.loss_pct/PctPerUnit))</definedName>
    <definedName name="DGINI" comment="Distribution: Gini of decile consumption from the Lorenz-fit weights (legacy C.IX, DGiniW)">_xlfn.LAMBDA(_xlpm.cons,_xlpm.weights,1-SUMPRODUCT(_xlpm.cons,_xlpm.weights)/SUM(_xlpm.cons))</definedName>
    <definedName name="WEOVal">'Constants and Mappings'!$F$1969:$AG$2005</definedName>
    <definedName name="WEOKey">'Constants and Mappings'!$A$1969:$A$2005</definedName>
    <definedName name="WEOYear">'Constants and Mappings'!$F$1968:$AG$1968</definedName>
    <definedName name="WEOCode">WEO!$D$4:$D$9003</definedName>
    <definedName name="WEOLast">WEO!$A$4:$A$9003</definedName>
    <definedName name="WEOData">WEO!$G$4:$AU$9003</definedName>
    <definedName name="WEOYr">WEO!$G$3:$AU$3</definedName>
    <definedName name="ElaSelKey">'Constants and Mappings'!$A$1805:$A$1924</definedName>
    <definedName name="ElaSel">'Constants and Mappings'!$M$1805:$M$1924</definedName>
    <definedName name="EFSelKey">'Constants and Mappings'!$A$1751:$A$1787</definedName>
    <definedName name="EFSel">'Constants and Mappings'!$K$1751:$K$1787</definedName>
    <definedName name="NCEfKey">'Constants and Mappings'!$A$2411:$A$2946</definedName>
    <definedName name="NCEfIn">'Constants and Mappings'!$I$2411:$I$2946</definedName>
    <definedName name="NCEfFin">'Constants and Mappings'!$J$2411:$J$2946</definedName>
    <definedName name="CtryReg">'Constants and Mappings'!$C$43</definedName>
    <definedName name="PIntVal">'Constants and Mappings'!$J$2014:$AH$2069</definedName>
    <definedName name="PIntKey">'Constants and Mappings'!$A$2014:$A$2069</definedName>
    <definedName name="PIntYear">'Constants and Mappings'!$J$2012:$AH$2012</definedName>
    <definedName name="PTechVal">'Constants and Mappings'!$A$2269:$AU$2277</definedName>
    <definedName name="PTechKey">'Constants and Mappings'!$A$2269:$A$2277</definedName>
    <definedName name="PTechHdr">'Constants and Mappings'!$A$2268:$AU$2268</definedName>
    <definedName name="PParVal">'Constants and Mappings'!$D$2359:$D$2403</definedName>
    <definedName name="PParKey">'Constants and Mappings'!$A$2359:$A$2403</definedName>
    <definedName name="PsMinTE">'Constants and Mappings'!$B$2222</definedName>
    <definedName name="PsHydNoRet">'Constants and Mappings'!$B$2223</definedName>
    <definedName name="PsScNonVRE">'Constants and Mappings'!$B$2224</definedName>
    <definedName name="PsScNonNuc">'Constants and Mappings'!$B$2225</definedName>
    <definedName name="PsScCat">'Constants and Mappings'!$B$2226</definedName>
    <definedName name="PsScUser">'Constants and Mappings'!$B$2227</definedName>
    <definedName name="PsWaccSrc">'Constants and Mappings'!$B$2228</definedName>
    <definedName name="PsWaccUser">'Constants and Mappings'!$B$2229</definedName>
    <definedName name="PsWaccMin">'Constants and Mappings'!$B$2230</definedName>
    <definedName name="PsReDecline">'Constants and Mappings'!$B$2231</definedName>
    <definedName name="PsLTHours">'Constants and Mappings'!$B$2232</definedName>
    <definedName name="PsIncElAdj">'Constants and Mappings'!$B$2233</definedName>
    <definedName name="PsPass">'Constants and Mappings'!$B$2234</definedName>
    <definedName name="PsSTAlloc">'Constants and Mappings'!$B$2235</definedName>
    <definedName name="PsSTHours">'Constants and Mappings'!$B$2236</definedName>
    <definedName name="PsSTRatio">'Constants and Mappings'!$B$2237</definedName>
    <definedName name="PsLTAlloc">'Constants and Mappings'!$B$2238</definedName>
    <definedName name="PsLTStart">'Constants and Mappings'!$B$2239</definedName>
    <definedName name="PsAddEff">'Constants and Mappings'!$B$2240</definedName>
    <definedName name="PsMaxCoalCF">'Constants and Mappings'!$B$2241</definedName>
    <definedName name="PsKDisp">'Constants and Mappings'!$B$2242</definedName>
    <definedName name="PsKInv">'Constants and Mappings'!$B$2243</definedName>
    <definedName name="PsMinCost">'Constants and Mappings'!$B$2244</definedName>
    <definedName name="PsEarlyMax">'Constants and Mappings'!$B$2245</definedName>
    <definedName name="PsEarlyBL">'Constants and Mappings'!$B$2246</definedName>
    <definedName name="PsCFMinVRE">'Constants and Mappings'!$B$2247</definedName>
    <definedName name="PsCFMinOth">'Constants and Mappings'!$B$2248</definedName>
    <definedName name="PsCFMax">'Constants and Mappings'!$B$2249</definedName>
    <definedName name="PsCtryWacc">'Constants and Mappings'!$B$2253</definedName>
    <definedName name="PsCoalAdj">'Constants and Mappings'!$B$2254</definedName>
    <definedName name="PsIncWacc">'Constants and Mappings'!$B$2255</definedName>
    <definedName name="PsScCtry">'Constants and Mappings'!$B$2256</definedName>
    <definedName name="PsScCatRate">'Constants and Mappings'!$B$2257</definedName>
    <definedName name="PsScVRE">'Constants and Mappings'!$B$2258</definedName>
    <definedName name="PsDlfRen">'Constants and Mappings'!$B$2261</definedName>
    <definedName name="SubKey">'Constants and Mappings'!$A$186:$A$201</definedName>
    <definedName name="FuelKey">'Constants and Mappings'!$A$229:$A$237</definedName>
    <definedName name="SecKey">'Constants and Mappings'!$A$186:$A$225</definedName>
    <definedName name="SecLab">'Constants and Mappings'!$B$186:$B$225</definedName>
    <definedName name="FuelKeyL">'Constants and Mappings'!$A$229:$A$296</definedName>
    <definedName name="FuelLab">'Constants and Mappings'!$B$229:$B$296</definedName>
    <definedName name="CodePrefix">'Constants and Mappings'!$C$20</definedName>
    <definedName name="CPIRes">'Constants and Mappings'!$C$22</definedName>
    <definedName name="DeflRes">'Constants and Mappings'!$C$23</definedName>
    <definedName name="ECPYear">'Constants and Mappings'!$E$2084:$I$2084</definedName>
    <definedName name="ECPLast">'Constants and Mappings'!$I$2084</definedName>
    <definedName name="XKey">'Constants and Mappings'!$A$2139:$A$2175</definedName>
    <definedName name="XCTVal">'Constants and Mappings'!$E$2139:$I$2175</definedName>
    <definedName name="XETSVal">'Constants and Mappings'!$E$2178:$I$2214</definedName>
    <definedName name="ECPEmb">'Constants and Mappings'!$D$2083</definedName>
    <definedName name="CtryCode">'Constants and Mappings'!$C$4</definedName>
    <definedName name="BaseYr">'Constants and Mappings'!$C$7</definedName>
    <definedName name="MPU">'Constants and Mappings'!$D$1669:$BL$1674</definedName>
    <definedName name="MPUYr">'Constants and Mappings'!$A$1669:$A$1674</definedName>
    <definedName name="MPUHdr">'Constants and Mappings'!$D$1655:$BL$1655</definedName>
    <definedName name="ElIncMan">'Constants and Mappings'!$C$87</definedName>
    <definedName name="ElPrcMan">'Constants and Mappings'!$C$88</definedName>
    <definedName name="BioNormal">'Constants and Mappings'!$C$53</definedName>
    <definedName name="CookFuel">'Constants and Mappings'!$C$65</definedName>
    <definedName name="TrCostShare">INDEX(ScenarioDefinition!$J:$J,MATCH("TransmissionCostShare",ScenarioDefinition!$H:$H,0))</definedName>
    <definedName name="MultKey">'Constants and Mappings'!$B$1931:$GZ$1931</definedName>
    <definedName name="IncomeGrp">'Constants and Mappings'!$C$6</definedName>
    <definedName name="EFCalib">'Constants and Mappings'!$C$29</definedName>
    <definedName name="BalOpt">'Constants and Mappings'!$C$31</definedName>
    <definedName name="LastHist">'Constants and Mappings'!$C$10</definedName>
    <definedName name="PsWaccCty">LEFT(PsWaccSrc,7)="Country"</definedName>
    <definedName name="HoursYr">'Constants and Mappings'!$B$107</definedName>
    <definedName name="kWperMW">'Constants and Mappings'!$B$108</definedName>
    <definedName name="USDperM">'Constants and Mappings'!$B$109</definedName>
    <definedName name="MWyMkWh">'Constants and Mappings'!$B$110</definedName>
    <definedName name="tPerKt">'Constants and Mappings'!$B$114</definedName>
    <definedName name="GdpExtHalf">'Constants and Mappings'!$B$117</definedName>
    <definedName name="HydInvShare">'Constants and Mappings'!$B$119</definedName>
    <definedName name="UraniumFuel">'Constants and Mappings'!$B$120</definedName>
    <definedName name="InvPresentShare">'Constants and Mappings'!$B$121</definedName>
    <definedName name="StMargFactor">'Constants and Mappings'!$B$122</definedName>
    <definedName name="EarlyMaxShare">'Constants and Mappings'!$B$123</definedName>
    <definedName name="KtoeGWh">'Constants and Mappings'!$B$124</definedName>
    <definedName name="IncfA">'Constants and Mappings'!$B$125</definedName>
    <definedName name="IncfB">'Constants and Mappings'!$B$126</definedName>
    <definedName name="IncfC">'Constants and Mappings'!$B$127</definedName>
    <definedName name="IncfD">'Constants and Mappings'!$B$128</definedName>
    <definedName name="IncfE">'Constants and Mappings'!$B$129</definedName>
    <definedName name="IncfLnCap">'Constants and Mappings'!$B$130</definedName>
    <definedName name="IncfNorm">'Constants and Mappings'!$B$131</definedName>
    <definedName name="MultLastLag">'Constants and Mappings'!$B$132</definedName>
    <definedName name="EFOilIEA">'Constants and Mappings'!$B$134</definedName>
    <definedName name="MperBn">'Constants and Mappings'!$B$139</definedName>
    <definedName name="PctPerUnit">'Constants and Mappings'!$B$140</definedName>
    <definedName name="GJperkWh">'Constants and Mappings'!$B$142</definedName>
    <definedName name="CapAvgShr">'Constants and Mappings'!$B$143</definedName>
    <definedName name="TieBreak">'Constants and Mappings'!$B$144</definedName>
    <definedName name="PassLo">'Constants and Mappings'!$B$145</definedName>
    <definedName name="PassHi">'Constants and Mappings'!$B$146</definedName>
    <definedName name="PassMid">'Constants and Mappings'!$B$147</definedName>
    <definedName name="Thousand">'Constants and Mappings'!$B$149</definedName>
    <definedName name="MitGW">'Constants and Mappings'!$B$160</definedName>
    <definedName name="BasketQ">'Constants and Mappings'!$B$161</definedName>
    <definedName name="DecPerQuint">'Constants and Mappings'!$B$162</definedName>
    <definedName name="PlDecScale">'Constants and Mappings'!$B$163</definedName>
    <definedName name="DWLTri">'Constants and Mappings'!$B$164</definedName>
    <definedName name="MTRowKey">'Constants and Mappings'!$A$333:$A$743</definedName>
    <definedName name="MTRowNum">'Constants and Mappings'!$F$333:$F$743</definedName>
    <definedName name="MTDesc">ScenarioDefinition!$B$1:$B$526</definedName>
    <definedName name="MTName">ScenarioDefinition!$H$1:$H$526</definedName>
    <definedName name="MTEnd">ScenarioDefinition!$B$526</definedName>
    <definedName name="DHHKey">HHSurvey!$A$4:$A$40000</definedName>
    <definedName name="DHHVal">HHSurvey!$A$4:$BP$40000</definedName>
    <definedName name="DHHVar">HHSurvey!$A$3:$BP$3</definedName>
    <definedName name="DElKey">HH_Elast!$A$4:$A$8000</definedName>
    <definedName name="DElVal">HH_Elast!$A$4:$AE$8000</definedName>
    <definedName name="DElVar">HH_Elast!$A$3:$AE$3</definedName>
    <definedName name="DIOKey">IO_GTAP!$A$4:$A$5000</definedName>
    <definedName name="DIOVal">IO_GTAP!$A$4:$BP$5000</definedName>
    <definedName name="DIOSec">IO_GTAP!$A$3:$BP$3</definedName>
    <definedName name="DIOTKey">DistMapping!$A$61:$A$65</definedName>
    <definedName name="DIOTot">DistMapping!$B$61:$B$65</definedName>
    <definedName name="DLcatKey">DistMapping!$A$69:$A$82</definedName>
    <definedName name="DLcat">DistMapping!$B$69:$F$82</definedName>
    <definedName name="DAspKey">ASPIRE!$A$4:$A$8000</definedName>
    <definedName name="DAspVal">ASPIRE!$E$4:$E$8000</definedName>
    <definedName name="DCookKey">WHOCooking!$A$4:$A$2000</definedName>
    <definedName name="DCookFuel">WHOCooking!$E$4:$E$2000</definedName>
    <definedName name="DGDPRKey">GDPRatios!$BR$4:$BR$1503</definedName>
    <definedName name="DGDPRVal">GDPRatios!$A$4:$BQ$1503</definedName>
    <definedName name="DGDPRHdr">GDPRatios!$A$3:$BQ$3</definedName>
    <definedName name="DProgKey">DistMapping!$A$4:$A$25</definedName>
    <definedName name="DProgCode">DistMapping!$D$4:$D$25</definedName>
    <definedName name="DGroupKey">DistMapping!$A$28:$A$32</definedName>
    <definedName name="DGiniW">DistMapping!$B$36:$K$36</definedName>
    <definedName name="DDeflKey">WEO!$D$4:$D$9000</definedName>
    <definedName name="DDeflVal">WEO!$A$4:$AU$9000</definedName>
    <definedName name="DDeflYear">WEO!$A$3:$AU$3</definedName>
    <definedName name="DSecCode">DistMapping!$A$86:$A$149</definedName>
    <definedName name="DSecName">DistMapping!$B$86:$B$149</definedName>
    <definedName name="DSecCpat">DistMapping!$C$86:$C$149</definedName>
    <definedName name="DSecHhd">DistMapping!$D$86:$D$149</definedName>
    <definedName name="DSecOut">DistMapping!$F$86:$F$149</definedName>
    <definedName name="DSecFuel">DistMapping!$G$86:$G$149</definedName>
    <definedName name="DSecLeon">DistMapping!$H$86:$L$149</definedName>
    <definedName name="DPTKey">DistMapping!$A$152:$A$167</definedName>
    <definedName name="DPTVal">DistMapping!$C$152:$C$167</definedName>
    <definedName name="MitSource">Cover!$B$12</definedName>
    <definedName name="MitUsed">Cover!$B$14</definedName>
    <definedName name="MitLastUpdate">Cover!$B$15</definedName>
  </definedNames>
  <calcPr calcId="191029" calcMode="manual" calcOnSave="0"/>
</workbook>
</file>

<file path=xl/styles.xml><?xml version="1.0" encoding="utf-8"?>
<styleSheet xmlns="http://schemas.openxmlformats.org/spreadsheetml/2006/main">
  <numFmts count="20">
    <numFmt numFmtId="164" formatCode="0.0000"/>
    <numFmt numFmtId="165" formatCode="#,##0.0"/>
    <numFmt numFmtId="166" formatCode="0.0%"/>
    <numFmt numFmtId="167" formatCode="0.0000000"/>
    <numFmt numFmtId="168" formatCode="#,##0.000"/>
    <numFmt numFmtId="169" formatCode="0.000"/>
    <numFmt numFmtId="170" formatCode="0.000000"/>
    <numFmt numFmtId="171" formatCode="0.00000"/>
    <numFmt numFmtId="172" formatCode="0.000%"/>
    <numFmt numFmtId="173" formatCode="#,##0.0000"/>
    <numFmt numFmtId="174" formatCode="0E+0"/>
    <numFmt numFmtId="175" formatCode="0;-0;&quot;Basket&quot;"/>
    <numFmt numFmtId="176" formatCode="0.0E+00"/>
    <numFmt numFmtId="177" formatCode="#,##0,,,"/>
    <numFmt numFmtId="178" formatCode="#,##0.0,,"/>
    <numFmt numFmtId="179" formatCode="#,##0.0,,,"/>
    <numFmt numFmtId="180" formatCode="0.000E+00"/>
    <numFmt numFmtId="181" formatCode="0;-0;;@"/>
    <numFmt numFmtId="182" formatCode="0.0"/>
    <numFmt numFmtId="183" formatCode="#,##0.####"/>
  </numFmts>
  <fonts count="22">
    <font>
      <name val="Calibri"/>
      <family val="2"/>
      <color theme="1"/>
      <sz val="11"/>
      <scheme val="minor"/>
    </font>
    <font>
      <name val="Arial"/>
      <b val="1"/>
      <color rgb="00FFFFFF"/>
      <sz val="14"/>
    </font>
    <font>
      <name val="Arial"/>
      <sz val="10"/>
    </font>
    <font>
      <name val="Arial"/>
      <b val="1"/>
      <sz val="10"/>
    </font>
    <font>
      <name val="Arial"/>
      <b val="1"/>
      <color rgb="00FF0000"/>
      <sz val="10"/>
    </font>
    <font>
      <name val="Arial"/>
      <color rgb="00595959"/>
      <sz val="10"/>
    </font>
    <font>
      <name val="Arial"/>
      <color rgb="00BFBFBF"/>
      <sz val="10"/>
    </font>
    <font>
      <b val="1"/>
      <color rgb="00FFFFFF"/>
    </font>
    <font>
      <b val="1"/>
    </font>
    <font>
      <name val="Arial"/>
      <b val="1"/>
      <color rgb="00FFFFFF"/>
      <sz val="10"/>
    </font>
    <font>
      <name val="Arial"/>
      <b val="1"/>
      <sz val="10"/>
      <u val="single"/>
    </font>
    <font>
      <name val="Arial"/>
      <b val="1"/>
      <color rgb="00C00000"/>
      <sz val="10"/>
    </font>
    <font>
      <name val="Arial"/>
      <color rgb="00FFFFFF"/>
      <sz val="10"/>
    </font>
    <font>
      <name val="Arial"/>
      <color rgb="00FFFFFF"/>
      <sz val="11"/>
    </font>
    <font>
      <name val="Arial"/>
      <b val="1"/>
      <color rgb="00FFFFFF"/>
      <sz val="12"/>
    </font>
    <font>
      <name val="Arial"/>
      <i val="1"/>
      <sz val="10"/>
    </font>
    <font>
      <name val="Arial"/>
      <b val="1"/>
      <i val="1"/>
      <sz val="10"/>
    </font>
    <font>
      <name val="Arial"/>
      <color rgb="009C0006"/>
      <sz val="10"/>
    </font>
    <font>
      <name val="Arial"/>
      <color rgb="0070AD47"/>
      <sz val="10"/>
    </font>
    <font>
      <name val="Arial"/>
      <b val="1"/>
      <color rgb="009C0006"/>
      <sz val="10"/>
    </font>
    <font>
      <name val="Arial"/>
      <i val="1"/>
      <color rgb="009C0006"/>
      <sz val="10"/>
    </font>
    <font>
      <name val="Arial"/>
      <b val="1"/>
      <color rgb="00FFFFFF"/>
      <sz val="11"/>
    </font>
  </fonts>
  <fills count="15">
    <fill>
      <patternFill/>
    </fill>
    <fill>
      <patternFill patternType="gray125"/>
    </fill>
    <fill>
      <patternFill patternType="solid">
        <fgColor rgb="0000AE49"/>
        <bgColor rgb="0000AE49"/>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
      <patternFill patternType="solid">
        <fgColor rgb="00808080"/>
        <bgColor rgb="00808080"/>
      </patternFill>
    </fill>
  </fills>
  <borders count="5">
    <border>
      <left/>
      <right/>
      <top/>
      <bottom/>
      <diagonal/>
    </border>
    <border>
      <bottom style="thin">
        <color rgb="00000000"/>
      </bottom>
    </border>
    <border>
      <top style="thin">
        <color rgb="00000000"/>
      </top>
      <bottom style="thin">
        <color rgb="00000000"/>
      </bottom>
    </border>
    <border>
      <left style="thin">
        <color rgb="00000000"/>
      </left>
      <right style="thin">
        <color rgb="00000000"/>
      </right>
      <top style="thin">
        <color rgb="00000000"/>
      </top>
      <bottom style="thin">
        <color rgb="00000000"/>
      </bottom>
    </border>
    <border>
      <top style="thin">
        <color rgb="00000000"/>
      </top>
      <bottom style="medium">
        <color rgb="00000000"/>
      </bottom>
    </border>
  </borders>
  <cellStyleXfs count="1">
    <xf numFmtId="0" fontId="0" fillId="0" borderId="0"/>
  </cellStyleXfs>
  <cellXfs count="24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21" fillId="8" borderId="0" pivotButton="0" quotePrefix="0" xfId="0"/>
    <xf numFmtId="0" fontId="0" fillId="8" borderId="0" pivotButton="0" quotePrefix="0" xfId="0"/>
    <xf numFmtId="0" fontId="3" fillId="0" borderId="0" pivotButton="0" quotePrefix="0" xfId="0"/>
    <xf numFmtId="0" fontId="3" fillId="0" borderId="1" pivotButton="0" quotePrefix="0" xfId="0"/>
    <xf numFmtId="0" fontId="2" fillId="3" borderId="0" pivotButton="0" quotePrefix="0" xfId="0"/>
    <xf numFmtId="0" fontId="15" fillId="9" borderId="0" pivotButton="0" quotePrefix="0" xfId="0"/>
    <xf numFmtId="0" fontId="2" fillId="10" borderId="0" pivotButton="0" quotePrefix="0" xfId="0"/>
    <xf numFmtId="0" fontId="17" fillId="11" borderId="0" pivotButton="0" quotePrefix="0" xfId="0"/>
    <xf numFmtId="0" fontId="2" fillId="13" borderId="0" pivotButton="0" quotePrefix="0" xfId="0"/>
    <xf numFmtId="0" fontId="4" fillId="4" borderId="0" pivotButton="0" quotePrefix="0" xfId="0"/>
    <xf numFmtId="0" fontId="2" fillId="12" borderId="0" pivotButton="0" quotePrefix="0" xfId="0"/>
    <xf numFmtId="0" fontId="2" fillId="2" borderId="0" pivotButton="0" quotePrefix="0" xfId="0"/>
    <xf numFmtId="0" fontId="2" fillId="8" borderId="0" pivotButton="0" quotePrefix="0" xfId="0"/>
    <xf numFmtId="0" fontId="2" fillId="9" borderId="0" pivotButton="0" quotePrefix="0" xfId="0"/>
    <xf numFmtId="0" fontId="2" fillId="14" borderId="0" pivotButton="0" quotePrefix="0" xfId="0"/>
    <xf numFmtId="0" fontId="0" fillId="5" borderId="0" pivotButton="0" quotePrefix="0" xfId="0"/>
    <xf numFmtId="0" fontId="7" fillId="5" borderId="0" pivotButton="0" quotePrefix="0" xfId="0"/>
    <xf numFmtId="0" fontId="0" fillId="6" borderId="0" pivotButton="0" quotePrefix="0" xfId="0"/>
    <xf numFmtId="0" fontId="3" fillId="6" borderId="0" pivotButton="0" quotePrefix="0" xfId="0"/>
    <xf numFmtId="0" fontId="3" fillId="3" borderId="0" pivotButton="0" quotePrefix="0" xfId="0"/>
    <xf numFmtId="1" fontId="3" fillId="3" borderId="0" pivotButton="0" quotePrefix="0" xfId="0"/>
    <xf numFmtId="1" fontId="3" fillId="0" borderId="0" pivotButton="0" quotePrefix="0" xfId="0"/>
    <xf numFmtId="0" fontId="8" fillId="0" borderId="0" pivotButton="0" quotePrefix="0" xfId="0"/>
    <xf numFmtId="0" fontId="3" fillId="3" borderId="0" applyAlignment="1" pivotButton="0" quotePrefix="0" xfId="0">
      <alignment wrapText="1"/>
    </xf>
    <xf numFmtId="0" fontId="0" fillId="7" borderId="0" pivotButton="0" quotePrefix="0" xfId="0"/>
    <xf numFmtId="0" fontId="11" fillId="3" borderId="0" pivotButton="0" quotePrefix="0" xfId="0"/>
    <xf numFmtId="0" fontId="9" fillId="8" borderId="0" pivotButton="0" quotePrefix="0" xfId="0"/>
    <xf numFmtId="0" fontId="10" fillId="0" borderId="0" pivotButton="0" quotePrefix="0" xfId="0"/>
    <xf numFmtId="1" fontId="0" fillId="7" borderId="0" pivotButton="0" quotePrefix="0" xfId="0"/>
    <xf numFmtId="0" fontId="0" fillId="3" borderId="0" pivotButton="0" quotePrefix="0" xfId="0"/>
    <xf numFmtId="0" fontId="6" fillId="0" borderId="0" pivotButton="0" quotePrefix="0" xfId="0"/>
    <xf numFmtId="1" fontId="3" fillId="10" borderId="0" pivotButton="0" quotePrefix="0" xfId="0"/>
    <xf numFmtId="0" fontId="13" fillId="8" borderId="0" pivotButton="0" quotePrefix="0" xfId="0"/>
    <xf numFmtId="0" fontId="14" fillId="8" borderId="0" pivotButton="0" quotePrefix="0" xfId="0"/>
    <xf numFmtId="1" fontId="2" fillId="10" borderId="0" pivotButton="0" quotePrefix="0" xfId="0"/>
    <xf numFmtId="1" fontId="2" fillId="0" borderId="0" pivotButton="0" quotePrefix="0" xfId="0"/>
    <xf numFmtId="164" fontId="2" fillId="10" borderId="0" pivotButton="0" quotePrefix="0" xfId="0"/>
    <xf numFmtId="164" fontId="2" fillId="0" borderId="0" pivotButton="0" quotePrefix="0" xfId="0"/>
    <xf numFmtId="1" fontId="6" fillId="10" borderId="0" pivotButton="0" quotePrefix="0" xfId="0"/>
    <xf numFmtId="1" fontId="6" fillId="0" borderId="0" pivotButton="0" quotePrefix="0" xfId="0"/>
    <xf numFmtId="0" fontId="18" fillId="0" borderId="0" pivotButton="0" quotePrefix="0" xfId="0"/>
    <xf numFmtId="165" fontId="2" fillId="10" borderId="0" pivotButton="0" quotePrefix="0" xfId="0"/>
    <xf numFmtId="165" fontId="2" fillId="0" borderId="0" pivotButton="0" quotePrefix="0" xfId="0"/>
    <xf numFmtId="2" fontId="2" fillId="10" borderId="0" pivotButton="0" quotePrefix="0" xfId="0"/>
    <xf numFmtId="2" fontId="2" fillId="0" borderId="0" pivotButton="0" quotePrefix="0" xfId="0"/>
    <xf numFmtId="2" fontId="17" fillId="11" borderId="0" pivotButton="0" quotePrefix="0" xfId="0"/>
    <xf numFmtId="166" fontId="2" fillId="10" borderId="0" pivotButton="0" quotePrefix="0" xfId="0"/>
    <xf numFmtId="166" fontId="2" fillId="0" borderId="0" pivotButton="0" quotePrefix="0" xfId="0"/>
    <xf numFmtId="166" fontId="17" fillId="11" borderId="0" pivotButton="0" quotePrefix="0" xfId="0"/>
    <xf numFmtId="0" fontId="0" fillId="0" borderId="1" pivotButton="0" quotePrefix="0" xfId="0"/>
    <xf numFmtId="1" fontId="2" fillId="0" borderId="3" pivotButton="0" quotePrefix="0" xfId="0"/>
    <xf numFmtId="164" fontId="2" fillId="0" borderId="3" pivotButton="0" quotePrefix="0" xfId="0"/>
    <xf numFmtId="49" fontId="2" fillId="0" borderId="3" pivotButton="0" quotePrefix="0" xfId="0"/>
    <xf numFmtId="167" fontId="2" fillId="0" borderId="3" pivotButton="0" quotePrefix="0" xfId="0"/>
    <xf numFmtId="168" fontId="2" fillId="10" borderId="0" pivotButton="0" quotePrefix="0" xfId="0"/>
    <xf numFmtId="168" fontId="2" fillId="0" borderId="0" pivotButton="0" quotePrefix="0" xfId="0"/>
    <xf numFmtId="168" fontId="17" fillId="11" borderId="0" pivotButton="0" quotePrefix="0" xfId="0"/>
    <xf numFmtId="167" fontId="2" fillId="10" borderId="0" pivotButton="0" quotePrefix="0" xfId="0"/>
    <xf numFmtId="167" fontId="2" fillId="0" borderId="0" pivotButton="0" quotePrefix="0" xfId="0"/>
    <xf numFmtId="167" fontId="17" fillId="11" borderId="0" pivotButton="0" quotePrefix="0" xfId="0"/>
    <xf numFmtId="2" fontId="2" fillId="3" borderId="0" pivotButton="0" quotePrefix="0" xfId="0"/>
    <xf numFmtId="0" fontId="16" fillId="9" borderId="0" pivotButton="0" quotePrefix="0" xfId="0"/>
    <xf numFmtId="3" fontId="3" fillId="10" borderId="0" pivotButton="0" quotePrefix="0" xfId="0"/>
    <xf numFmtId="3" fontId="3" fillId="0" borderId="0" pivotButton="0" quotePrefix="0" xfId="0"/>
    <xf numFmtId="3" fontId="19" fillId="11" borderId="0" pivotButton="0" quotePrefix="0" xfId="0"/>
    <xf numFmtId="3" fontId="17" fillId="11" borderId="0" pivotButton="0" quotePrefix="0" xfId="0"/>
    <xf numFmtId="49" fontId="2" fillId="10" borderId="0" pivotButton="0" quotePrefix="0" xfId="0"/>
    <xf numFmtId="49" fontId="2" fillId="0" borderId="0" pivotButton="0" quotePrefix="0" xfId="0"/>
    <xf numFmtId="0" fontId="2" fillId="0" borderId="3" pivotButton="0" quotePrefix="0" xfId="0"/>
    <xf numFmtId="0" fontId="0" fillId="0" borderId="2" pivotButton="0" quotePrefix="0" xfId="0"/>
    <xf numFmtId="0" fontId="3" fillId="0" borderId="2" pivotButton="0" quotePrefix="0" xfId="0"/>
    <xf numFmtId="169" fontId="15" fillId="0" borderId="3" pivotButton="0" quotePrefix="0" xfId="0"/>
    <xf numFmtId="166" fontId="15" fillId="0" borderId="3" pivotButton="0" quotePrefix="0" xfId="0"/>
    <xf numFmtId="1" fontId="15" fillId="0" borderId="3" pivotButton="0" quotePrefix="0" xfId="0"/>
    <xf numFmtId="0" fontId="15" fillId="0" borderId="0" pivotButton="0" quotePrefix="0" xfId="0"/>
    <xf numFmtId="2" fontId="15" fillId="10" borderId="0" pivotButton="0" quotePrefix="0" xfId="0"/>
    <xf numFmtId="2" fontId="15" fillId="0" borderId="0" pivotButton="0" quotePrefix="0" xfId="0"/>
    <xf numFmtId="169" fontId="15" fillId="10" borderId="0" pivotButton="0" quotePrefix="0" xfId="0"/>
    <xf numFmtId="169" fontId="15" fillId="0" borderId="0" pivotButton="0" quotePrefix="0" xfId="0"/>
    <xf numFmtId="169" fontId="20" fillId="11" borderId="0" pivotButton="0" quotePrefix="0" xfId="0"/>
    <xf numFmtId="169" fontId="17" fillId="11" borderId="0" pivotButton="0" quotePrefix="0" xfId="0"/>
    <xf numFmtId="169" fontId="2" fillId="10" borderId="0" pivotButton="0" quotePrefix="0" xfId="0"/>
    <xf numFmtId="169" fontId="2" fillId="11" borderId="0" pivotButton="0" quotePrefix="0" xfId="0"/>
    <xf numFmtId="169" fontId="2" fillId="0" borderId="0" pivotButton="0" quotePrefix="0" xfId="0"/>
    <xf numFmtId="169" fontId="15" fillId="11" borderId="0" pivotButton="0" quotePrefix="0" xfId="0"/>
    <xf numFmtId="165" fontId="15" fillId="10" borderId="0" pivotButton="0" quotePrefix="0" xfId="0"/>
    <xf numFmtId="165" fontId="15" fillId="0" borderId="0" pivotButton="0" quotePrefix="0" xfId="0"/>
    <xf numFmtId="165" fontId="20" fillId="11" borderId="0" pivotButton="0" quotePrefix="0" xfId="0"/>
    <xf numFmtId="165" fontId="17" fillId="11" borderId="0" pivotButton="0" quotePrefix="0" xfId="0"/>
    <xf numFmtId="0" fontId="18" fillId="0" borderId="4" pivotButton="0" quotePrefix="0" xfId="0"/>
    <xf numFmtId="0" fontId="2" fillId="0" borderId="4" pivotButton="0" quotePrefix="0" xfId="0"/>
    <xf numFmtId="0" fontId="0" fillId="0" borderId="4" pivotButton="0" quotePrefix="0" xfId="0"/>
    <xf numFmtId="0" fontId="3" fillId="0" borderId="4" pivotButton="0" quotePrefix="0" xfId="0"/>
    <xf numFmtId="0" fontId="15" fillId="9" borderId="4" pivotButton="0" quotePrefix="0" xfId="0"/>
    <xf numFmtId="169" fontId="3" fillId="10" borderId="4" pivotButton="0" quotePrefix="0" xfId="0"/>
    <xf numFmtId="169" fontId="3" fillId="0" borderId="4" pivotButton="0" quotePrefix="0" xfId="0"/>
    <xf numFmtId="169" fontId="19" fillId="11" borderId="4" pivotButton="0" quotePrefix="0" xfId="0"/>
    <xf numFmtId="169" fontId="17" fillId="11" borderId="4" pivotButton="0" quotePrefix="0" xfId="0"/>
    <xf numFmtId="164" fontId="17" fillId="11" borderId="0" pivotButton="0" quotePrefix="0" xfId="0"/>
    <xf numFmtId="170" fontId="2" fillId="0" borderId="3" pivotButton="0" quotePrefix="0" xfId="0"/>
    <xf numFmtId="49" fontId="17" fillId="11" borderId="0" pivotButton="0" quotePrefix="0" xfId="0"/>
    <xf numFmtId="170" fontId="2" fillId="10" borderId="0" pivotButton="0" quotePrefix="0" xfId="0"/>
    <xf numFmtId="170" fontId="2" fillId="0" borderId="0" pivotButton="0" quotePrefix="0" xfId="0"/>
    <xf numFmtId="170" fontId="17" fillId="11" borderId="0" pivotButton="0" quotePrefix="0" xfId="0"/>
    <xf numFmtId="3" fontId="2" fillId="10" borderId="0" pivotButton="0" quotePrefix="0" xfId="0"/>
    <xf numFmtId="3" fontId="2" fillId="0" borderId="0" pivotButton="0" quotePrefix="0" xfId="0"/>
    <xf numFmtId="1" fontId="17" fillId="11" borderId="0" pivotButton="0" quotePrefix="0" xfId="0"/>
    <xf numFmtId="171" fontId="2" fillId="10" borderId="0" pivotButton="0" quotePrefix="0" xfId="0"/>
    <xf numFmtId="171" fontId="2" fillId="0" borderId="0" pivotButton="0" quotePrefix="0" xfId="0"/>
    <xf numFmtId="171" fontId="17" fillId="11" borderId="0" pivotButton="0" quotePrefix="0" xfId="0"/>
    <xf numFmtId="164" fontId="2" fillId="11" borderId="0" pivotButton="0" quotePrefix="0" xfId="0"/>
    <xf numFmtId="4" fontId="2" fillId="10" borderId="0" pivotButton="0" quotePrefix="0" xfId="0"/>
    <xf numFmtId="4" fontId="2" fillId="0" borderId="0" pivotButton="0" quotePrefix="0" xfId="0"/>
    <xf numFmtId="4" fontId="17" fillId="11" borderId="0" pivotButton="0" quotePrefix="0" xfId="0"/>
    <xf numFmtId="0" fontId="5" fillId="0" borderId="0" pivotButton="0" quotePrefix="0" xfId="0"/>
    <xf numFmtId="169" fontId="2" fillId="0" borderId="3" pivotButton="0" quotePrefix="0" xfId="0"/>
    <xf numFmtId="169" fontId="2" fillId="13" borderId="0" pivotButton="0" quotePrefix="0" xfId="0"/>
    <xf numFmtId="10" fontId="2" fillId="10" borderId="0" pivotButton="0" quotePrefix="0" xfId="0"/>
    <xf numFmtId="10" fontId="2" fillId="0" borderId="0" pivotButton="0" quotePrefix="0" xfId="0"/>
    <xf numFmtId="10" fontId="17" fillId="11" borderId="0" pivotButton="0" quotePrefix="0" xfId="0"/>
    <xf numFmtId="9" fontId="2" fillId="10" borderId="0" pivotButton="0" quotePrefix="0" xfId="0"/>
    <xf numFmtId="9" fontId="2" fillId="0" borderId="0" pivotButton="0" quotePrefix="0" xfId="0"/>
    <xf numFmtId="172" fontId="2" fillId="10" borderId="0" pivotButton="0" quotePrefix="0" xfId="0"/>
    <xf numFmtId="172" fontId="2" fillId="0" borderId="0" pivotButton="0" quotePrefix="0" xfId="0"/>
    <xf numFmtId="172" fontId="17" fillId="11" borderId="0" pivotButton="0" quotePrefix="0" xfId="0"/>
    <xf numFmtId="173" fontId="2" fillId="10" borderId="0" pivotButton="0" quotePrefix="0" xfId="0"/>
    <xf numFmtId="173" fontId="2" fillId="0" borderId="0" pivotButton="0" quotePrefix="0" xfId="0"/>
    <xf numFmtId="173" fontId="17" fillId="11" borderId="0" pivotButton="0" quotePrefix="0" xfId="0"/>
    <xf numFmtId="174" fontId="2" fillId="3" borderId="0" pivotButton="0" quotePrefix="0" xfId="0"/>
    <xf numFmtId="1" fontId="2" fillId="3" borderId="0" pivotButton="0" quotePrefix="0" xfId="0"/>
    <xf numFmtId="175" fontId="3" fillId="10" borderId="0" pivotButton="0" quotePrefix="0" xfId="0"/>
    <xf numFmtId="175" fontId="3" fillId="0" borderId="0" pivotButton="0" quotePrefix="0" xfId="0"/>
    <xf numFmtId="176" fontId="3" fillId="13" borderId="0" pivotButton="0" quotePrefix="0" xfId="0"/>
    <xf numFmtId="176" fontId="6" fillId="0" borderId="0" pivotButton="0" quotePrefix="0" xfId="0"/>
    <xf numFmtId="0" fontId="3" fillId="10" borderId="0" pivotButton="0" quotePrefix="0" xfId="0"/>
    <xf numFmtId="177" fontId="2" fillId="10" borderId="0" pivotButton="0" quotePrefix="0" xfId="0"/>
    <xf numFmtId="177" fontId="2" fillId="0" borderId="0" pivotButton="0" quotePrefix="0" xfId="0"/>
    <xf numFmtId="178" fontId="2" fillId="10" borderId="0" pivotButton="0" quotePrefix="0" xfId="0"/>
    <xf numFmtId="178" fontId="2" fillId="0" borderId="0" pivotButton="0" quotePrefix="0" xfId="0"/>
    <xf numFmtId="169" fontId="3" fillId="10" borderId="0" pivotButton="0" quotePrefix="0" xfId="0"/>
    <xf numFmtId="169" fontId="3" fillId="0" borderId="0" pivotButton="0" quotePrefix="0" xfId="0"/>
    <xf numFmtId="179" fontId="2" fillId="10" borderId="0" pivotButton="0" quotePrefix="0" xfId="0"/>
    <xf numFmtId="179" fontId="2" fillId="0" borderId="0" pivotButton="0" quotePrefix="0" xfId="0"/>
    <xf numFmtId="179" fontId="3" fillId="10" borderId="0" pivotButton="0" quotePrefix="0" xfId="0"/>
    <xf numFmtId="179" fontId="3" fillId="0" borderId="0" pivotButton="0" quotePrefix="0" xfId="0"/>
    <xf numFmtId="180" fontId="2" fillId="10" borderId="0" pivotButton="0" quotePrefix="0" xfId="0"/>
    <xf numFmtId="180" fontId="2" fillId="0" borderId="0" pivotButton="0" quotePrefix="0" xfId="0"/>
    <xf numFmtId="179" fontId="17" fillId="11" borderId="0" pivotButton="0" quotePrefix="0" xfId="0"/>
    <xf numFmtId="164" fontId="3" fillId="10" borderId="0" pivotButton="0" quotePrefix="0" xfId="0"/>
    <xf numFmtId="164" fontId="3" fillId="0" borderId="0" pivotButton="0" quotePrefix="0" xfId="0"/>
    <xf numFmtId="10" fontId="3" fillId="10" borderId="0" pivotButton="0" quotePrefix="0" xfId="0"/>
    <xf numFmtId="10" fontId="3" fillId="0" borderId="0" pivotButton="0" quotePrefix="0" xfId="0"/>
    <xf numFmtId="1" fontId="3" fillId="0" borderId="1" pivotButton="0" quotePrefix="0" xfId="0"/>
    <xf numFmtId="1" fontId="3" fillId="10" borderId="1" pivotButton="0" quotePrefix="0" xfId="0"/>
    <xf numFmtId="181" fontId="3" fillId="10" borderId="0" pivotButton="0" quotePrefix="0" xfId="0"/>
    <xf numFmtId="181" fontId="3" fillId="0" borderId="0" pivotButton="0" quotePrefix="0" xfId="0"/>
    <xf numFmtId="0" fontId="2" fillId="0" borderId="0" applyAlignment="1" pivotButton="0" quotePrefix="0" xfId="0">
      <alignment vertical="top" wrapText="1"/>
    </xf>
    <xf numFmtId="165" fontId="3" fillId="10" borderId="0" pivotButton="0" quotePrefix="0" xfId="0"/>
    <xf numFmtId="165" fontId="3" fillId="0" borderId="0" pivotButton="0" quotePrefix="0" xfId="0"/>
    <xf numFmtId="0" fontId="2" fillId="0" borderId="1" pivotButton="0" quotePrefix="0" xfId="0"/>
    <xf numFmtId="166" fontId="2" fillId="10" borderId="1" pivotButton="0" quotePrefix="0" xfId="0"/>
    <xf numFmtId="166" fontId="2" fillId="0" borderId="1" pivotButton="0" quotePrefix="0" xfId="0"/>
    <xf numFmtId="0" fontId="12" fillId="8" borderId="0" pivotButton="0" quotePrefix="0" xfId="0"/>
    <xf numFmtId="2" fontId="0" fillId="3" borderId="0" pivotButton="0" quotePrefix="0" xfId="0"/>
    <xf numFmtId="182" fontId="2" fillId="0" borderId="0" pivotButton="0" quotePrefix="0" xfId="0"/>
    <xf numFmtId="182" fontId="2" fillId="3" borderId="0" pivotButton="0" quotePrefix="0" xfId="0"/>
    <xf numFmtId="166" fontId="2" fillId="3" borderId="0" pivotButton="0" quotePrefix="0" xfId="0"/>
    <xf numFmtId="49" fontId="2" fillId="3" borderId="0" pivotButton="0" quotePrefix="0" xfId="0"/>
    <xf numFmtId="183" fontId="2" fillId="3" borderId="0" pivotButton="0" quotePrefix="0" xfId="0"/>
    <xf numFmtId="183" fontId="2" fillId="0" borderId="0" pivotButton="0" quotePrefix="0" xfId="0"/>
    <xf numFmtId="167" fontId="2" fillId="3" borderId="0" pivotButton="0" quotePrefix="0" xfId="0"/>
    <xf numFmtId="0" fontId="3" fillId="0" borderId="1" applyAlignment="1" pivotButton="0" quotePrefix="0" xfId="0">
      <alignment vertical="top" wrapText="1"/>
    </xf>
    <xf numFmtId="1" fontId="3" fillId="0" borderId="1" applyAlignment="1" pivotButton="0" quotePrefix="0" xfId="0">
      <alignment vertical="top" wrapText="1"/>
    </xf>
    <xf numFmtId="169" fontId="2" fillId="3" borderId="0" pivotButton="0" quotePrefix="0" xfId="0"/>
    <xf numFmtId="1" fontId="4" fillId="4" borderId="0" pivotButton="0" quotePrefix="0" xfId="0"/>
    <xf numFmtId="166" fontId="4" fillId="4" borderId="0" pivotButton="0" quotePrefix="0" xfId="0"/>
    <xf numFmtId="2" fontId="4" fillId="4" borderId="0" pivotButton="0" quotePrefix="0" xfId="0"/>
    <xf numFmtId="169" fontId="4" fillId="4" borderId="0" pivotButton="0" quotePrefix="0" xfId="0"/>
    <xf numFmtId="170" fontId="2" fillId="3" borderId="0" pivotButton="0" quotePrefix="0" xfId="0"/>
    <xf numFmtId="176" fontId="2" fillId="0" borderId="0" pivotButton="0" quotePrefix="0" xfId="0"/>
    <xf numFmtId="164" fontId="2" fillId="3" borderId="0" pivotButton="0" quotePrefix="0" xfId="0"/>
    <xf numFmtId="165" fontId="2" fillId="3" borderId="0" pivotButton="0" quotePrefix="0" xfId="0"/>
    <xf numFmtId="170" fontId="4" fillId="4" borderId="0" pivotButton="0" quotePrefix="0" xfId="0"/>
    <xf numFmtId="180" fontId="4" fillId="4" borderId="0" pivotButton="0" quotePrefix="0" xfId="0"/>
    <xf numFmtId="0" fontId="9" fillId="8" borderId="1" pivotButton="0" quotePrefix="0" xfId="0"/>
    <xf numFmtId="3" fontId="4" fillId="4" borderId="0" pivotButton="0" quotePrefix="0" xfId="0"/>
    <xf numFmtId="0" fontId="3" fillId="0" borderId="0" applyAlignment="1" pivotButton="0" quotePrefix="0" xfId="0">
      <alignment vertical="top" wrapText="1"/>
    </xf>
    <xf numFmtId="0" fontId="4" fillId="4" borderId="0" applyAlignment="1" pivotButton="0" quotePrefix="0" xfId="0">
      <alignment vertical="top" wrapText="1"/>
    </xf>
    <xf numFmtId="0" fontId="2" fillId="0" borderId="0" applyAlignment="1" pivotButton="0" quotePrefix="0" xfId="0">
      <alignment vertical="top"/>
    </xf>
    <xf numFmtId="0" fontId="17" fillId="0" borderId="0" applyAlignment="1" pivotButton="0" quotePrefix="0" xfId="0">
      <alignment vertical="top" wrapText="1"/>
    </xf>
    <xf numFmtId="174" fontId="2" fillId="3" borderId="0" pivotButton="0" quotePrefix="0" xfId="0"/>
    <xf numFmtId="165" fontId="2" fillId="0" borderId="0" pivotButton="0" quotePrefix="0" xfId="0"/>
    <xf numFmtId="169" fontId="2" fillId="0" borderId="0" pivotButton="0" quotePrefix="0" xfId="0"/>
    <xf numFmtId="164" fontId="2" fillId="0" borderId="0" pivotButton="0" quotePrefix="0" xfId="0"/>
    <xf numFmtId="175" fontId="3" fillId="10" borderId="0" pivotButton="0" quotePrefix="0" xfId="0"/>
    <xf numFmtId="175" fontId="3" fillId="0" borderId="0" pivotButton="0" quotePrefix="0" xfId="0"/>
    <xf numFmtId="176" fontId="3" fillId="13" borderId="0" pivotButton="0" quotePrefix="0" xfId="0"/>
    <xf numFmtId="176" fontId="6" fillId="0" borderId="0" pivotButton="0" quotePrefix="0" xfId="0"/>
    <xf numFmtId="169" fontId="2" fillId="10" borderId="0" pivotButton="0" quotePrefix="0" xfId="0"/>
    <xf numFmtId="169" fontId="17" fillId="11" borderId="0" pivotButton="0" quotePrefix="0" xfId="0"/>
    <xf numFmtId="177" fontId="2" fillId="10" borderId="0" pivotButton="0" quotePrefix="0" xfId="0"/>
    <xf numFmtId="177" fontId="2" fillId="0" borderId="0" pivotButton="0" quotePrefix="0" xfId="0"/>
    <xf numFmtId="178" fontId="2" fillId="10" borderId="0" pivotButton="0" quotePrefix="0" xfId="0"/>
    <xf numFmtId="178" fontId="2" fillId="0" borderId="0" pivotButton="0" quotePrefix="0" xfId="0"/>
    <xf numFmtId="165" fontId="2" fillId="10" borderId="0" pivotButton="0" quotePrefix="0" xfId="0"/>
    <xf numFmtId="169" fontId="3" fillId="10" borderId="0" pivotButton="0" quotePrefix="0" xfId="0"/>
    <xf numFmtId="169" fontId="3" fillId="0" borderId="0" pivotButton="0" quotePrefix="0" xfId="0"/>
    <xf numFmtId="164" fontId="2" fillId="10" borderId="0" pivotButton="0" quotePrefix="0" xfId="0"/>
    <xf numFmtId="179" fontId="2" fillId="10" borderId="0" pivotButton="0" quotePrefix="0" xfId="0"/>
    <xf numFmtId="179" fontId="2" fillId="0" borderId="0" pivotButton="0" quotePrefix="0" xfId="0"/>
    <xf numFmtId="179" fontId="3" fillId="10" borderId="0" pivotButton="0" quotePrefix="0" xfId="0"/>
    <xf numFmtId="179" fontId="3" fillId="0" borderId="0" pivotButton="0" quotePrefix="0" xfId="0"/>
    <xf numFmtId="168" fontId="2" fillId="10" borderId="0" pivotButton="0" quotePrefix="0" xfId="0"/>
    <xf numFmtId="168" fontId="2" fillId="0" borderId="0" pivotButton="0" quotePrefix="0" xfId="0"/>
    <xf numFmtId="180" fontId="2" fillId="10" borderId="0" pivotButton="0" quotePrefix="0" xfId="0"/>
    <xf numFmtId="180" fontId="2" fillId="0" borderId="0" pivotButton="0" quotePrefix="0" xfId="0"/>
    <xf numFmtId="179" fontId="17" fillId="11" borderId="0" pivotButton="0" quotePrefix="0" xfId="0"/>
    <xf numFmtId="164" fontId="17" fillId="11" borderId="0" pivotButton="0" quotePrefix="0" xfId="0"/>
    <xf numFmtId="164" fontId="3" fillId="10" borderId="0" pivotButton="0" quotePrefix="0" xfId="0"/>
    <xf numFmtId="164" fontId="3" fillId="0" borderId="0" pivotButton="0" quotePrefix="0" xfId="0"/>
    <xf numFmtId="166" fontId="2" fillId="10" borderId="0" pivotButton="0" quotePrefix="0" xfId="0"/>
    <xf numFmtId="166" fontId="2" fillId="0" borderId="0" pivotButton="0" quotePrefix="0" xfId="0"/>
    <xf numFmtId="182" fontId="2" fillId="0" borderId="0" pivotButton="0" quotePrefix="0" xfId="0"/>
    <xf numFmtId="182" fontId="2" fillId="3" borderId="0" pivotButton="0" quotePrefix="0" xfId="0"/>
    <xf numFmtId="166" fontId="2" fillId="3" borderId="0" pivotButton="0" quotePrefix="0" xfId="0"/>
    <xf numFmtId="183" fontId="2" fillId="3" borderId="0" pivotButton="0" quotePrefix="0" xfId="0"/>
    <xf numFmtId="183" fontId="2" fillId="0" borderId="0" pivotButton="0" quotePrefix="0" xfId="0"/>
    <xf numFmtId="167" fontId="2" fillId="3" borderId="0" pivotButton="0" quotePrefix="0" xfId="0"/>
    <xf numFmtId="169" fontId="2" fillId="3" borderId="0" pivotButton="0" quotePrefix="0" xfId="0"/>
    <xf numFmtId="166" fontId="4" fillId="4" borderId="0" pivotButton="0" quotePrefix="0" xfId="0"/>
    <xf numFmtId="169" fontId="4" fillId="4" borderId="0" pivotButton="0" quotePrefix="0" xfId="0"/>
    <xf numFmtId="170" fontId="2" fillId="3" borderId="0" pivotButton="0" quotePrefix="0" xfId="0"/>
    <xf numFmtId="170" fontId="2" fillId="0" borderId="0" pivotButton="0" quotePrefix="0" xfId="0"/>
    <xf numFmtId="176" fontId="2" fillId="0" borderId="0" pivotButton="0" quotePrefix="0" xfId="0"/>
    <xf numFmtId="164" fontId="2" fillId="3" borderId="0" pivotButton="0" quotePrefix="0" xfId="0"/>
    <xf numFmtId="165" fontId="2" fillId="3" borderId="0" pivotButton="0" quotePrefix="0" xfId="0"/>
    <xf numFmtId="171" fontId="2" fillId="0" borderId="0" pivotButton="0" quotePrefix="0" xfId="0"/>
  </cellXfs>
  <cellStyles count="1">
    <cellStyle name="Normal" xfId="0" builtinId="0" hidden="0"/>
  </cellStyles>
  <dxfs count="1">
    <dxf>
      <font>
        <color rgb="00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2:D45"/>
  <sheetViews>
    <sheetView tabSelected="1" workbookViewId="0">
      <selection activeCell="A1" sqref="A1"/>
    </sheetView>
  </sheetViews>
  <sheetFormatPr baseColWidth="8" defaultRowHeight="15"/>
  <cols>
    <col width="30" customWidth="1" min="1" max="1"/>
    <col width="120" customWidth="1" min="2" max="2"/>
    <col width="12" customWidth="1" min="3" max="3"/>
    <col width="12" customWidth="1" min="4" max="4"/>
  </cols>
  <sheetData>
    <row r="2">
      <c r="A2" s="1" t="inlineStr">
        <is>
          <t>CPAT-AI-Distribution v1.2.0: Cover page</t>
        </is>
      </c>
      <c r="B2" s="2" t="n"/>
      <c r="C2" s="2" t="n"/>
      <c r="D2" s="2" t="n"/>
    </row>
    <row r="3">
      <c r="A3" s="3" t="inlineStr">
        <is>
          <t>The distribution module of the Climate Policy Assessment Tool (CPAT): the effect of the scenarios of the mitigation prototype on households, by decile, in one analysis year.</t>
        </is>
      </c>
    </row>
    <row r="5">
      <c r="A5" s="4" t="inlineStr">
        <is>
          <t>How to use it (one scenario at a time)</t>
        </is>
      </c>
      <c r="B5" s="5" t="n"/>
      <c r="C5" s="5" t="n"/>
      <c r="D5" s="5" t="n"/>
    </row>
    <row r="6">
      <c r="A6" s="6" t="inlineStr">
        <is>
          <t>1.</t>
        </is>
      </c>
      <c r="B6" s="3" t="inlineStr">
        <is>
          <t>In the mitigation workbook: define the scenario, recalculate (F9), save.</t>
        </is>
      </c>
    </row>
    <row r="7">
      <c r="A7" s="6" t="inlineStr">
        <is>
          <t>2.</t>
        </is>
      </c>
      <c r="B7" s="3" t="inlineStr">
        <is>
          <t>In the Master workbook (CPAT-AI-Master_UserGuide.xlsm, active_workbooks): Update Distribution from Mitigation. It copies section 19a of the mitigation workbook into FromMitigation here and recalculates.</t>
        </is>
      </c>
    </row>
    <row r="8">
      <c r="A8" s="6" t="inlineStr">
        <is>
          <t>3.</t>
        </is>
      </c>
      <c r="B8" s="3" t="inlineStr">
        <is>
          <t>Read the results on Distribution (one column group per scenario, deciles across).</t>
        </is>
      </c>
    </row>
    <row r="9">
      <c r="A9" s="6" t="inlineStr">
        <is>
          <t>4.</t>
        </is>
      </c>
      <c r="B9" s="3" t="inlineStr">
        <is>
          <t>Distribution settings of a scenario (analysis year, revenue recycling, targeting): ScenarioDefinition, then recalculate (F9).</t>
        </is>
      </c>
    </row>
    <row r="11">
      <c r="A11" s="4" t="inlineStr">
        <is>
          <t>Link to the mitigation workbook</t>
        </is>
      </c>
      <c r="B11" s="5" t="n"/>
      <c r="C11" s="5" t="n"/>
      <c r="D11" s="5" t="n"/>
    </row>
    <row r="12">
      <c r="A12" s="6" t="inlineStr">
        <is>
          <t>Mitigation workbook (input)</t>
        </is>
      </c>
      <c r="B12" s="8" t="inlineStr">
        <is>
          <t>CPAT-AI-Mitigation_latest.xlsx</t>
        </is>
      </c>
    </row>
    <row r="13">
      <c r="A13" s="6" t="inlineStr"/>
      <c r="B13" s="3" t="inlineStr">
        <is>
          <t>The Master workbook copies section 19a of this mitigation workbook into FromMitigation (the activated .xlsb in active_workbooks, else the .xlsx in excel_ai\mitigation)</t>
        </is>
      </c>
    </row>
    <row r="14">
      <c r="A14" s="6" t="inlineStr">
        <is>
          <t>File used by the last update</t>
        </is>
      </c>
      <c r="B14" s="3" t="inlineStr">
        <is>
          <t>none (shipped values)</t>
        </is>
      </c>
    </row>
    <row r="15">
      <c r="A15" s="6" t="inlineStr">
        <is>
          <t>Last update</t>
        </is>
      </c>
      <c r="B15" s="3" t="inlineStr">
        <is>
          <t>shipped: values of CPAT-AI-Mitigation_latest.xlsx v1.2.0</t>
        </is>
      </c>
    </row>
    <row r="16">
      <c r="A16" s="6" t="inlineStr">
        <is>
          <t>Country (Settings C4)</t>
        </is>
      </c>
      <c r="B16" s="3" t="str">
        <f>CtryCode</f>
        <v>EGY</v>
      </c>
    </row>
    <row r="17">
      <c r="A17" s="6" t="inlineStr">
        <is>
          <t>Calculation</t>
        </is>
      </c>
      <c r="B17" s="3" t="inlineStr">
        <is>
          <t>Shipped with its values, manual calculation: F9 recalculates; the Master workbook activates it</t>
        </is>
      </c>
    </row>
    <row r="19">
      <c r="A19" s="4" t="inlineStr">
        <is>
          <t>Contents</t>
        </is>
      </c>
      <c r="B19" s="5" t="n"/>
      <c r="C19" s="5" t="n"/>
      <c r="D19" s="5" t="n"/>
    </row>
    <row r="20">
      <c r="A20" s="7" t="inlineStr">
        <is>
          <t>Tab</t>
        </is>
      </c>
      <c r="B20" s="7" t="inlineStr">
        <is>
          <t>Content</t>
        </is>
      </c>
    </row>
    <row r="21">
      <c r="A21" s="3" t="inlineStr">
        <is>
          <t>Cover</t>
        </is>
      </c>
      <c r="B21" s="3" t="inlineStr">
        <is>
          <t>This page: what the module is, the link to the mitigation workbook</t>
        </is>
      </c>
    </row>
    <row r="22">
      <c r="A22" s="3" t="inlineStr">
        <is>
          <t>ScenarioDefinition</t>
        </is>
      </c>
      <c r="B22" s="3" t="inlineStr">
        <is>
          <t>The distribution settings of each scenario (the other rows, set in the mitigation workbook, are hidden)</t>
        </is>
      </c>
    </row>
    <row r="23">
      <c r="A23" s="3" t="inlineStr">
        <is>
          <t>FromMaster</t>
        </is>
      </c>
      <c r="B23" s="3" t="inlineStr">
        <is>
          <t>What the Master workbook wrote here (activation, data source): values</t>
        </is>
      </c>
    </row>
    <row r="24">
      <c r="A24" s="3" t="inlineStr">
        <is>
          <t>FromMitigation</t>
        </is>
      </c>
      <c r="B24" s="3" t="inlineStr">
        <is>
          <t>The inputs from Mitigation (section 19a of the mitigation workbook): values, refreshed by the Master workbook (Update Distribution from Mitigation)</t>
        </is>
      </c>
    </row>
    <row r="25">
      <c r="A25" s="3" t="inlineStr">
        <is>
          <t>Distribution</t>
        </is>
      </c>
      <c r="B25" s="3" t="inlineStr">
        <is>
          <t>The model: household incidence by decile in the analysis year, one column group per scenario</t>
        </is>
      </c>
    </row>
    <row r="26">
      <c r="A26" s="3" t="inlineStr">
        <is>
          <t>Constants and Mappings</t>
        </is>
      </c>
      <c r="B26" s="3" t="inlineStr">
        <is>
          <t>Settings, constants, mappings and the data step of the mitigation workbook (those Mitigation reads are values here)</t>
        </is>
      </c>
    </row>
    <row r="27">
      <c r="A27" s="3" t="inlineStr">
        <is>
          <t>DistMapping ... WEO</t>
        </is>
      </c>
      <c r="B27" s="3" t="inlineStr">
        <is>
          <t>The data tabs: mappings, input-output table, household survey, elasticities, ASPIRE, cooking fuels, GDP ratios, WEO</t>
        </is>
      </c>
    </row>
    <row r="29">
      <c r="A29" s="4" t="inlineStr">
        <is>
          <t>Limits</t>
        </is>
      </c>
      <c r="B29" s="5" t="n"/>
      <c r="C29" s="5" t="n"/>
      <c r="D29" s="5" t="n"/>
    </row>
    <row r="30">
      <c r="B30" s="3" t="inlineStr">
        <is>
          <t>The data tabs and the Settings lookups are those of the prototype v1.2.0 (Egypt). Another country needs its own data tabs; its Mitigation inputs come from the mitigation workbook of that country.</t>
        </is>
      </c>
    </row>
    <row r="31">
      <c r="B31" s="3" t="inlineStr">
        <is>
          <t>The scenario columns of ScenarioDefinition must carry the scenario numbers of the mitigation workbook (FromMitigation row 5).</t>
        </is>
      </c>
    </row>
    <row r="33">
      <c r="A33" s="4" t="inlineStr">
        <is>
          <t>Version log</t>
        </is>
      </c>
      <c r="B33" s="5" t="n"/>
      <c r="C33" s="5" t="n"/>
      <c r="D33" s="5" t="n"/>
    </row>
    <row r="34">
      <c r="A34" s="7" t="inlineStr">
        <is>
          <t>Version</t>
        </is>
      </c>
      <c r="B34" s="7" t="inlineStr">
        <is>
          <t>Change</t>
        </is>
      </c>
      <c r="C34" s="7" t="inlineStr">
        <is>
          <t>Date</t>
        </is>
      </c>
    </row>
    <row r="35">
      <c r="A35" s="3" t="inlineStr">
        <is>
          <t>0.1.0</t>
        </is>
      </c>
      <c r="B35" s="160" t="inlineStr">
        <is>
          <t>First standalone module, cut from the mitigation prototype v1.2.0: its Distribution and FromMitigation tabs, the distribution data tabs, the distribution rows of ScenarioDefinition and Settings. Inputs from Mitigation by the button Update from Mitigation (section 19a, defined name ExportDistn).</t>
        </is>
      </c>
      <c r="C35" s="192" t="inlineStr">
        <is>
          <t>2026-10-22</t>
        </is>
      </c>
    </row>
    <row r="36">
      <c r="A36" s="3" t="inlineStr">
        <is>
          <t>0.1.1</t>
        </is>
      </c>
      <c r="B36" s="160" t="inlineStr">
        <is>
          <t>Cut from the mitigation prototype v1.2.0: ScenarioDefinition on the rows of legacy 465 with a complete set of names (bug L137, issue I87); the mitigation workbook is looked for in permalink/ too; file named _v0.1.1 at the top of excel_ai/ (NORMS 5a).</t>
        </is>
      </c>
      <c r="C36" s="192" t="inlineStr">
        <is>
          <t>2026-10-28</t>
        </is>
      </c>
    </row>
    <row r="37">
      <c r="A37" s="3" t="inlineStr">
        <is>
          <t>0.1.2</t>
        </is>
      </c>
      <c r="B37" s="160" t="inlineStr">
        <is>
          <t>Cut from the mitigation prototype v1.2.0 (combustion emission factors as legacy, issue I98; data problems as issues).</t>
        </is>
      </c>
      <c r="C37" s="192" t="inlineStr">
        <is>
          <t>2026-10-29</t>
        </is>
      </c>
    </row>
    <row r="38">
      <c r="A38" s="3" t="inlineStr">
        <is>
          <t>0.1.3</t>
        </is>
      </c>
      <c r="B38" s="160" t="inlineStr">
        <is>
          <t>Cut from the mitigation prototype v1.2.0 (remaining functionality, reverts to legacy, data from legacy 465, last historical price year 2024); the Distribution method unchanged.</t>
        </is>
      </c>
      <c r="C38" s="192" t="inlineStr">
        <is>
          <t>2026-10-29</t>
        </is>
      </c>
    </row>
    <row r="39">
      <c r="A39" s="3" t="inlineStr">
        <is>
          <t>0.1.4</t>
        </is>
      </c>
      <c r="B39" s="160" t="inlineStr">
        <is>
          <t>Cut from the mitigation prototype v1.2.0: bug M22 fixed (found by Coded CPAT): the 25th/75th percentile recycling rows (hrec) add the public investment amount per person (pui of the sample, LCU), not its % row.</t>
        </is>
      </c>
      <c r="C39" s="192" t="inlineStr">
        <is>
          <t>2026-10-29</t>
        </is>
      </c>
    </row>
    <row r="40">
      <c r="A40" s="3" t="inlineStr">
        <is>
          <t>1.0.0</t>
        </is>
      </c>
      <c r="B40" s="160" t="inlineStr">
        <is>
          <t>First full release (user 2026-10-29), cut from the mitigation prototype v1.2.0: Distribution 0.1.4 as released. Replicated number for number by Coded CPAT 1.0.0p1.0.</t>
        </is>
      </c>
      <c r="C40" s="192" t="inlineStr">
        <is>
          <t>2026-10-29</t>
        </is>
      </c>
    </row>
    <row r="41">
      <c r="A41" s="3" t="inlineStr">
        <is>
          <t>1.0.2</t>
        </is>
      </c>
      <c r="B41" s="160" t="inlineStr">
        <is>
          <t>Cut from the mitigation prototype v1.2.0 (version aligned with Mitigation and Coded CPAT; ScenarioDefinition has the input row ModelForm). The Distribution method unchanged.</t>
        </is>
      </c>
      <c r="C41" s="192" t="inlineStr">
        <is>
          <t>2026-10-29</t>
        </is>
      </c>
    </row>
    <row r="42">
      <c r="A42" s="3" t="inlineStr">
        <is>
          <t>1.0.3</t>
        </is>
      </c>
      <c r="B42" s="160" t="inlineStr">
        <is>
          <t>Cut from the mitigation prototype v1.2.0. Update from Mitigation also looks in permalink_countryeditable\ (next to this workbook and one folder up) before permalink\. The Distribution method unchanged.</t>
        </is>
      </c>
      <c r="C42" s="192" t="inlineStr">
        <is>
          <t>2026-10-29</t>
        </is>
      </c>
    </row>
    <row r="43">
      <c r="A43" s="3" t="inlineStr">
        <is>
          <t>1.0.4</t>
        </is>
      </c>
      <c r="B43" s="160" t="inlineStr">
        <is>
          <t>Cut from the mitigation prototype v1.2.0 (outputs tab MTOutputs in the legacy layout); versions aligned. The Distribution method unchanged.</t>
        </is>
      </c>
      <c r="C43" s="192" t="inlineStr">
        <is>
          <t>2026-10-29</t>
        </is>
      </c>
    </row>
    <row r="44">
      <c r="A44" s="3" t="inlineStr">
        <is>
          <t>1.1.0</t>
        </is>
      </c>
      <c r="B44" s="160" t="inlineStr">
        <is>
          <t>Cut from the mitigation prototype v1.2.0: data edition Public01 (perturbed proprietary tables); Update from Mitigation looks next to this workbook, then in active_workbooks\ (one or two folders up). The Distribution method unchanged.</t>
        </is>
      </c>
      <c r="C44" s="192" t="inlineStr">
        <is>
          <t>2026-10-30</t>
        </is>
      </c>
    </row>
    <row r="45">
      <c r="A45" s="3" t="inlineStr">
        <is>
          <t>1.2.0</t>
        </is>
      </c>
      <c r="B45" s="160" t="inlineStr">
        <is>
          <t>Renamed CPAT-AI-Distribution (user 2026-10-31); cut from a full build of the mitigation workbook v1.2.0 (which no longer holds Distribution); .xlsx without macros: the Master workbook activates it and updates FromMitigation; tab FromMaster. The Distribution method and values unchanged.</t>
        </is>
      </c>
      <c r="C45" s="192" t="inlineStr">
        <is>
          <t>2026-10-31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60"/>
  <sheetViews>
    <sheetView tabSelected="0" zoomScale="80"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 width="16" customWidth="1" min="12" max="12"/>
    <col width="16" customWidth="1" min="13" max="13"/>
    <col width="16" customWidth="1" min="14" max="14"/>
    <col width="16" customWidth="1" min="15" max="15"/>
    <col hidden="1" outlineLevel="1" width="13" customWidth="1" min="16" max="16"/>
    <col hidden="1" outlineLevel="1" width="13" customWidth="1" min="17" max="17"/>
    <col hidden="1" outlineLevel="1" width="13" customWidth="1" min="18" max="18"/>
    <col hidden="1" outlineLevel="1" width="13" customWidth="1" min="19" max="19"/>
    <col hidden="1" outlineLevel="1" width="13" customWidth="1" min="20" max="20"/>
    <col hidden="1" outlineLevel="1" width="13" customWidth="1" min="21" max="21"/>
    <col hidden="1" outlineLevel="1" width="13" customWidth="1" min="22" max="22"/>
    <col hidden="1" outlineLevel="1" width="13" customWidth="1" min="23" max="23"/>
    <col hidden="1" outlineLevel="1" width="13" customWidth="1" min="24" max="24"/>
    <col hidden="1" outlineLevel="1" width="13" customWidth="1" min="25" max="25"/>
    <col hidden="1" outlineLevel="1" width="13" customWidth="1" min="26" max="26"/>
    <col hidden="1" outlineLevel="1" width="13" customWidth="1" min="27" max="27"/>
    <col hidden="1" outlineLevel="1" width="13" customWidth="1" min="28" max="28"/>
    <col hidden="1" outlineLevel="1" width="13" customWidth="1" min="29" max="29"/>
    <col hidden="1" outlineLevel="1" width="13" customWidth="1" min="30" max="30"/>
    <col hidden="1" outlineLevel="1" width="13" customWidth="1" min="31" max="31"/>
    <col hidden="1" outlineLevel="1" width="13" customWidth="1" min="32" max="32"/>
    <col hidden="1" outlineLevel="1" width="13" customWidth="1" min="33" max="33"/>
    <col hidden="1" outlineLevel="1" width="13" customWidth="1" min="34" max="34"/>
    <col hidden="1" outlineLevel="1" width="13" customWidth="1" min="35" max="35"/>
    <col hidden="1" outlineLevel="1" width="13" customWidth="1" min="36" max="36"/>
    <col hidden="1" outlineLevel="1" width="13" customWidth="1" min="37" max="37"/>
    <col hidden="1" outlineLevel="1" width="13" customWidth="1" min="38" max="38"/>
    <col hidden="1" outlineLevel="1" width="13" customWidth="1" min="39" max="39"/>
    <col hidden="1" outlineLevel="1" width="13" customWidth="1" min="40" max="40"/>
    <col hidden="1" outlineLevel="1" width="13" customWidth="1" min="41" max="41"/>
    <col hidden="1" outlineLevel="1" width="13" customWidth="1" min="42" max="42"/>
    <col hidden="1" outlineLevel="1" width="13" customWidth="1" min="43" max="43"/>
    <col hidden="1" outlineLevel="1" width="13" customWidth="1" min="44" max="44"/>
    <col hidden="1" outlineLevel="1" width="13" customWidth="1" min="45" max="45"/>
    <col hidden="1" outlineLevel="1" width="13" customWidth="1" min="46" max="46"/>
    <col hidden="1" outlineLevel="1" width="13" customWidth="1" min="47" max="47"/>
    <col hidden="1" outlineLevel="1" width="13" customWidth="1" min="48" max="48"/>
    <col hidden="1" outlineLevel="1" width="13" customWidth="1" min="49" max="49"/>
    <col hidden="1" outlineLevel="1" width="13" customWidth="1" min="50" max="50"/>
    <col hidden="1" outlineLevel="1" width="13" customWidth="1" min="51" max="51"/>
    <col hidden="1" outlineLevel="1" width="13" customWidth="1" min="52" max="52"/>
  </cols>
  <sheetData>
    <row r="1">
      <c r="A1" s="19" t="n"/>
      <c r="B1" s="20" t="inlineStr">
        <is>
          <t>MTInputs template - row structure copied exactly from legacy CPAT MTInputs (CPAT 1.0pre_465)</t>
        </is>
      </c>
      <c r="C1" s="19" t="n"/>
      <c r="D1" s="19" t="n"/>
      <c r="E1" s="19" t="n"/>
      <c r="F1" s="19" t="n"/>
      <c r="G1" s="19" t="n"/>
      <c r="H1" s="19" t="n"/>
      <c r="J1" s="6" t="inlineStr">
        <is>
          <t>Distribution module: only the distribution rows are shown (the other rows are set in the mitigation workbook). Scenario numbers (row 5) as in the mitigation workbook.</t>
        </is>
      </c>
    </row>
    <row r="2">
      <c r="A2" s="21" t="n"/>
      <c r="B2" s="21" t="inlineStr">
        <is>
          <t>Do not insert/delete rows. Columns D:E are hidden placeholders (MT values, Dashboard values).</t>
        </is>
      </c>
      <c r="C2" s="21" t="n"/>
      <c r="D2" s="21" t="n"/>
      <c r="E2" s="21" t="n"/>
      <c r="F2" s="21" t="n"/>
      <c r="G2" s="21" t="n"/>
      <c r="H2" s="22" t="inlineStr">
        <is>
          <t>Short name (chart legends)</t>
        </is>
      </c>
      <c r="J2" s="23" t="inlineStr">
        <is>
          <t>Base</t>
        </is>
      </c>
      <c r="K2" s="23" t="inlineStr">
        <is>
          <t>CP20</t>
        </is>
      </c>
      <c r="L2" s="23" t="inlineStr">
        <is>
          <t>CP20-b</t>
        </is>
      </c>
      <c r="M2" s="23" t="inlineStr">
        <is>
          <t>PkgA</t>
        </is>
      </c>
      <c r="N2" s="23" t="inlineStr">
        <is>
          <t>PkgB</t>
        </is>
      </c>
      <c r="O2" s="23" t="inlineStr">
        <is>
          <t>CP50</t>
        </is>
      </c>
    </row>
    <row r="3">
      <c r="A3" s="21" t="n"/>
      <c r="B3" s="21" t="inlineStr">
        <is>
          <t>Rows must match legacy 465 exactly. Column H: the names of the codes map (tab Inputs; legacy name kept there). See NORMS.md section 4.</t>
        </is>
      </c>
      <c r="C3" s="21" t="n"/>
      <c r="D3" s="21" t="n"/>
      <c r="E3" s="21" t="n"/>
      <c r="F3" s="21" t="n"/>
      <c r="G3" s="21" t="n"/>
      <c r="H3" s="21" t="n"/>
      <c r="J3" s="6" t="inlineStr">
        <is>
          <t>Scenario columns: short name in row 2, number in row 5, name in row 6; red = changed from the template value. J = baseline, K = live policy scenario (Mitigation group 2).</t>
        </is>
      </c>
      <c r="L3" s="6" t="inlineStr">
        <is>
          <t>Scenario definitions: row 4 Run? = Yes for the batch run (the Master workbook copies each into column K, runs it and stores the results). Copy the last definition one column to the right to add one.</t>
        </is>
      </c>
    </row>
    <row r="4">
      <c r="J4" s="6" t="inlineStr">
        <is>
          <t>Baseline (stored once)</t>
        </is>
      </c>
      <c r="K4" s="6" t="inlineStr">
        <is>
          <t>Live (batch target)</t>
        </is>
      </c>
      <c r="L4" s="23" t="inlineStr">
        <is>
          <t>Yes</t>
        </is>
      </c>
      <c r="M4" s="23" t="inlineStr">
        <is>
          <t>Yes</t>
        </is>
      </c>
      <c r="N4" s="23" t="inlineStr">
        <is>
          <t>Yes</t>
        </is>
      </c>
      <c r="O4" s="23" t="inlineStr">
        <is>
          <t>Yes</t>
        </is>
      </c>
    </row>
    <row r="5">
      <c r="C5" t="b">
        <v>0</v>
      </c>
      <c r="D5" t="inlineStr">
        <is>
          <t>&lt;-- Should normally  be "FALSE"!</t>
        </is>
      </c>
      <c r="J5" s="24" t="n">
        <v>1</v>
      </c>
      <c r="K5" s="25">
        <f t="shared" ref="K5:O5" si="0">J5+1</f>
        <v>2.0</v>
      </c>
      <c r="L5" s="25">
        <f t="shared" si="0"/>
        <v>3.0</v>
      </c>
      <c r="M5" s="25">
        <f t="shared" si="0"/>
        <v>4.0</v>
      </c>
      <c r="N5" s="25">
        <f t="shared" si="0"/>
        <v>5.0</v>
      </c>
      <c r="O5" s="25">
        <f t="shared" si="0"/>
        <v>6.0</v>
      </c>
    </row>
    <row r="6">
      <c r="D6" t="n">
        <v>6</v>
      </c>
      <c r="J6" s="23" t="inlineStr">
        <is>
          <t>Baseline (no carbon price)</t>
        </is>
      </c>
      <c r="K6" s="23" t="inlineStr">
        <is>
          <t>Carbon price $20/tCO2 from 2027</t>
        </is>
      </c>
      <c r="L6" s="23" t="inlineStr">
        <is>
          <t>Carbon price $20/tCO2 from 2027</t>
        </is>
      </c>
      <c r="M6" s="23" t="inlineStr">
        <is>
          <t>Package A: carbon tax to $50 by 2030 + feebates (transport, industry)</t>
        </is>
      </c>
      <c r="N6" s="23" t="inlineStr">
        <is>
          <t>Package B: ETS on power and industry (cap -5% 2027 to -20% 2035) + carbon tax $25 elsewhere</t>
        </is>
      </c>
      <c r="O6" s="23" t="inlineStr">
        <is>
          <t>Carbon price $50/tCO2 from 2027</t>
        </is>
      </c>
    </row>
    <row r="7">
      <c r="B7" s="26" t="inlineStr">
        <is>
          <t>Parameters</t>
        </is>
      </c>
      <c r="C7" s="26" t="inlineStr">
        <is>
          <t>unit</t>
        </is>
      </c>
      <c r="D7" s="26" t="inlineStr">
        <is>
          <t>MT values</t>
        </is>
      </c>
      <c r="E7" s="26" t="inlineStr">
        <is>
          <t>"Dashboard" values</t>
        </is>
      </c>
      <c r="F7" s="26" t="inlineStr">
        <is>
          <t>Used for calculation</t>
        </is>
      </c>
      <c r="G7" s="26" t="inlineStr">
        <is>
          <t>Defaults</t>
        </is>
      </c>
      <c r="H7" s="26" t="inlineStr">
        <is>
          <t>NameOfParameter</t>
        </is>
      </c>
      <c r="J7" s="27" t="inlineStr">
        <is>
          <t>Used for calculation</t>
        </is>
      </c>
      <c r="K7" s="27" t="inlineStr">
        <is>
          <t>Used for calculation</t>
        </is>
      </c>
      <c r="L7" s="27" t="inlineStr">
        <is>
          <t>Used for calculation</t>
        </is>
      </c>
      <c r="M7" s="27" t="inlineStr">
        <is>
          <t>Used for calculation</t>
        </is>
      </c>
      <c r="N7" s="27" t="inlineStr">
        <is>
          <t>Used for calculation</t>
        </is>
      </c>
      <c r="O7" s="27" t="inlineStr">
        <is>
          <t>Used for calculation</t>
        </is>
      </c>
    </row>
    <row r="8">
      <c r="B8" s="28" t="inlineStr">
        <is>
          <t>Country</t>
        </is>
      </c>
      <c r="C8" s="28" t="n"/>
      <c r="D8" s="28" t="n"/>
      <c r="E8" s="28" t="n"/>
      <c r="F8" s="28" t="inlineStr">
        <is>
          <t>Egypt</t>
        </is>
      </c>
      <c r="G8" s="28" t="inlineStr">
        <is>
          <t>Egypt</t>
        </is>
      </c>
      <c r="H8" s="28" t="inlineStr">
        <is>
          <t>Countryname</t>
        </is>
      </c>
      <c r="J8" s="8" t="inlineStr">
        <is>
          <t>Egypt</t>
        </is>
      </c>
      <c r="K8" s="8" t="inlineStr">
        <is>
          <t>Egypt</t>
        </is>
      </c>
      <c r="L8" s="8" t="inlineStr">
        <is>
          <t>Egypt</t>
        </is>
      </c>
      <c r="M8" s="8" t="inlineStr">
        <is>
          <t>Egypt</t>
        </is>
      </c>
      <c r="N8" s="8" t="inlineStr">
        <is>
          <t>Egypt</t>
        </is>
      </c>
      <c r="O8" s="8" t="inlineStr">
        <is>
          <t>Egypt</t>
        </is>
      </c>
    </row>
    <row r="9" hidden="1">
      <c r="B9" s="26" t="inlineStr">
        <is>
          <t>Scenario identification</t>
        </is>
      </c>
    </row>
    <row r="10" hidden="1">
      <c r="B10" s="28" t="inlineStr">
        <is>
          <t>Scenario ID</t>
        </is>
      </c>
      <c r="C10" s="28" t="inlineStr">
        <is>
          <t>#</t>
        </is>
      </c>
      <c r="D10" s="28" t="n"/>
      <c r="E10" s="28" t="n"/>
      <c r="F10" s="28" t="inlineStr">
        <is>
          <t>N/A</t>
        </is>
      </c>
      <c r="G10" s="28" t="inlineStr">
        <is>
          <t>N/A</t>
        </is>
      </c>
      <c r="H10" s="28" t="inlineStr">
        <is>
          <t>MSTScenarioID</t>
        </is>
      </c>
      <c r="J10" s="8">
        <f t="shared" ref="J10:O10" si="1">J$5</f>
        <v>1.0</v>
      </c>
      <c r="K10" s="8">
        <f t="shared" si="1"/>
        <v>2.0</v>
      </c>
      <c r="L10" s="8">
        <f t="shared" si="1"/>
        <v>3.0</v>
      </c>
      <c r="M10" s="8">
        <f t="shared" si="1"/>
        <v>4.0</v>
      </c>
      <c r="N10" s="8">
        <f t="shared" si="1"/>
        <v>5.0</v>
      </c>
      <c r="O10" s="8">
        <f t="shared" si="1"/>
        <v>6.0</v>
      </c>
    </row>
    <row r="11" hidden="1">
      <c r="B11" s="28" t="inlineStr">
        <is>
          <t>Scenario status</t>
        </is>
      </c>
      <c r="C11" s="28" t="inlineStr">
        <is>
          <t>switch</t>
        </is>
      </c>
      <c r="D11" s="28" t="n"/>
      <c r="E11" s="28" t="n"/>
      <c r="F11" s="28" t="inlineStr">
        <is>
          <t>N/A</t>
        </is>
      </c>
      <c r="G11" s="28" t="inlineStr">
        <is>
          <t>N/A</t>
        </is>
      </c>
      <c r="H11" s="28" t="inlineStr">
        <is>
          <t>ScenarioStatus</t>
        </is>
      </c>
      <c r="J11" s="8" t="inlineStr">
        <is>
          <t>N/A</t>
        </is>
      </c>
      <c r="K11" s="8" t="inlineStr">
        <is>
          <t>N/A</t>
        </is>
      </c>
      <c r="L11" s="8" t="inlineStr">
        <is>
          <t>N/A</t>
        </is>
      </c>
      <c r="M11" s="8" t="inlineStr">
        <is>
          <t>N/A</t>
        </is>
      </c>
      <c r="N11" s="8" t="inlineStr">
        <is>
          <t>N/A</t>
        </is>
      </c>
      <c r="O11" s="8" t="inlineStr">
        <is>
          <t>N/A</t>
        </is>
      </c>
    </row>
    <row r="12" hidden="1">
      <c r="B12" s="28" t="inlineStr">
        <is>
          <t>Scenario name</t>
        </is>
      </c>
      <c r="C12" s="28" t="inlineStr">
        <is>
          <t>name</t>
        </is>
      </c>
      <c r="D12" s="28" t="n"/>
      <c r="E12" s="28" t="n"/>
      <c r="F12" s="28" t="inlineStr">
        <is>
          <t>N/A</t>
        </is>
      </c>
      <c r="G12" s="28" t="inlineStr">
        <is>
          <t>N/A</t>
        </is>
      </c>
      <c r="H12" s="28" t="inlineStr">
        <is>
          <t>ScenarioName</t>
        </is>
      </c>
      <c r="J12" s="8" t="str">
        <f t="shared" ref="J12:O12" si="2">J$6</f>
        <v>Baseline (no carbon price)</v>
      </c>
      <c r="K12" s="8" t="str">
        <f t="shared" si="2"/>
        <v>Carbon price $20/tCO2 from 2027</v>
      </c>
      <c r="L12" s="8" t="str">
        <f t="shared" si="2"/>
        <v>Carbon price $20/tCO2 from 2027</v>
      </c>
      <c r="M12" s="8" t="str">
        <f t="shared" si="2"/>
        <v>Package A: carbon tax to $50 by 2030 + feebates (transport, industry)</v>
      </c>
      <c r="N12" s="8" t="str">
        <f t="shared" si="2"/>
        <v>Package B: ETS on power and industry (cap -5% 2027 to -20% 2035) + carbon tax $25 elsewhere</v>
      </c>
      <c r="O12" s="8" t="str">
        <f t="shared" si="2"/>
        <v>Carbon price $50/tCO2 from 2027</v>
      </c>
    </row>
    <row r="13" hidden="1">
      <c r="B13" s="28" t="inlineStr">
        <is>
          <t>Chosen policy</t>
        </is>
      </c>
      <c r="C13" s="28" t="inlineStr">
        <is>
          <t>switch</t>
        </is>
      </c>
      <c r="D13" s="28" t="n"/>
      <c r="E13" s="28" t="n"/>
      <c r="F13" s="28" t="inlineStr">
        <is>
          <t xml:space="preserve"> - Carbon tax</t>
        </is>
      </c>
      <c r="G13" s="28" t="inlineStr">
        <is>
          <t xml:space="preserve"> - Carbon tax</t>
        </is>
      </c>
      <c r="H13" s="28" t="inlineStr">
        <is>
          <t>ScenarioSelected</t>
        </is>
      </c>
      <c r="J13" s="8" t="inlineStr">
        <is>
          <t xml:space="preserve"> - Carbon tax</t>
        </is>
      </c>
      <c r="K13" s="8" t="inlineStr">
        <is>
          <t xml:space="preserve"> - Carbon tax</t>
        </is>
      </c>
      <c r="L13" s="8" t="inlineStr">
        <is>
          <t xml:space="preserve"> - Carbon tax</t>
        </is>
      </c>
      <c r="M13" s="8" t="inlineStr">
        <is>
          <t xml:space="preserve"> - Carbon tax</t>
        </is>
      </c>
      <c r="N13" s="8" t="inlineStr">
        <is>
          <t xml:space="preserve"> - Carbon tax</t>
        </is>
      </c>
      <c r="O13" s="8" t="inlineStr">
        <is>
          <t xml:space="preserve"> - Carbon tax</t>
        </is>
      </c>
    </row>
    <row r="14" hidden="1">
      <c r="B14" s="28" t="inlineStr">
        <is>
          <t>Scenario status for macro</t>
        </is>
      </c>
      <c r="C14" s="28" t="inlineStr">
        <is>
          <t>#</t>
        </is>
      </c>
      <c r="D14" s="28" t="n"/>
      <c r="E14" s="28" t="n"/>
      <c r="F14" s="28" t="inlineStr">
        <is>
          <t>N/A</t>
        </is>
      </c>
      <c r="G14" s="28" t="inlineStr">
        <is>
          <t>N/A</t>
        </is>
      </c>
      <c r="H14" s="28" t="inlineStr">
        <is>
          <t>ScenarioStatusMacro</t>
        </is>
      </c>
      <c r="J14" s="8" t="inlineStr">
        <is>
          <t>N/A</t>
        </is>
      </c>
      <c r="K14" s="8" t="inlineStr">
        <is>
          <t>N/A</t>
        </is>
      </c>
      <c r="L14" s="8" t="inlineStr">
        <is>
          <t>N/A</t>
        </is>
      </c>
      <c r="M14" s="8" t="inlineStr">
        <is>
          <t>N/A</t>
        </is>
      </c>
      <c r="N14" s="8" t="inlineStr">
        <is>
          <t>N/A</t>
        </is>
      </c>
      <c r="O14" s="8" t="inlineStr">
        <is>
          <t>N/A</t>
        </is>
      </c>
    </row>
    <row r="15" hidden="1">
      <c r="B15" s="28" t="inlineStr">
        <is>
          <t>Scenario parameters override?</t>
        </is>
      </c>
      <c r="C15" s="28" t="inlineStr">
        <is>
          <t>#</t>
        </is>
      </c>
      <c r="D15" s="28" t="n"/>
      <c r="E15" s="28" t="n"/>
      <c r="F15" s="28" t="inlineStr">
        <is>
          <t>N/A</t>
        </is>
      </c>
      <c r="G15" s="28" t="inlineStr">
        <is>
          <t>N/A</t>
        </is>
      </c>
      <c r="H15" s="28" t="inlineStr">
        <is>
          <t>ScenarioParamOverride</t>
        </is>
      </c>
      <c r="J15" s="8" t="inlineStr">
        <is>
          <t>N/A</t>
        </is>
      </c>
      <c r="K15" s="8" t="inlineStr">
        <is>
          <t>N/A</t>
        </is>
      </c>
      <c r="L15" s="8" t="inlineStr">
        <is>
          <t>N/A</t>
        </is>
      </c>
      <c r="M15" s="8" t="inlineStr">
        <is>
          <t>N/A</t>
        </is>
      </c>
      <c r="N15" s="8" t="inlineStr">
        <is>
          <t>N/A</t>
        </is>
      </c>
      <c r="O15" s="8" t="inlineStr">
        <is>
          <t>N/A</t>
        </is>
      </c>
    </row>
    <row r="16" hidden="1">
      <c r="B16" s="28" t="inlineStr">
        <is>
          <t>CPAT-side parameters override?</t>
        </is>
      </c>
      <c r="C16" s="28" t="inlineStr">
        <is>
          <t>switch</t>
        </is>
      </c>
      <c r="D16" s="28" t="n"/>
      <c r="E16" s="28" t="n"/>
      <c r="F16" s="28" t="inlineStr">
        <is>
          <t>Manual*</t>
        </is>
      </c>
      <c r="G16" s="28" t="inlineStr">
        <is>
          <t>Manual*</t>
        </is>
      </c>
      <c r="H16" s="28" t="inlineStr">
        <is>
          <t>CPATDefaultsOrUserDefined</t>
        </is>
      </c>
      <c r="J16" s="8" t="inlineStr">
        <is>
          <t>Manual*</t>
        </is>
      </c>
      <c r="K16" s="8" t="inlineStr">
        <is>
          <t>Manual*</t>
        </is>
      </c>
      <c r="L16" s="8" t="inlineStr">
        <is>
          <t>Manual*</t>
        </is>
      </c>
      <c r="M16" s="8" t="inlineStr">
        <is>
          <t>Manual*</t>
        </is>
      </c>
      <c r="N16" s="8" t="inlineStr">
        <is>
          <t>Manual*</t>
        </is>
      </c>
      <c r="O16" s="8" t="inlineStr">
        <is>
          <t>Manual*</t>
        </is>
      </c>
    </row>
    <row r="17" hidden="1">
      <c r="B17" s="26" t="inlineStr">
        <is>
          <t>Carbon pricing: main inputs</t>
        </is>
      </c>
    </row>
    <row r="18" hidden="1">
      <c r="A18" t="inlineStr">
        <is>
          <t>X</t>
        </is>
      </c>
      <c r="B18" s="28" t="inlineStr">
        <is>
          <t>Carbon pricing start year</t>
        </is>
      </c>
      <c r="C18" s="28" t="inlineStr">
        <is>
          <t>year</t>
        </is>
      </c>
      <c r="D18" s="28" t="n"/>
      <c r="E18" s="28" t="n"/>
      <c r="F18" s="28" t="n">
        <v>2026</v>
      </c>
      <c r="G18" s="28" t="n">
        <v>2027</v>
      </c>
      <c r="H18" s="28" t="inlineStr">
        <is>
          <t>CPIntro</t>
        </is>
      </c>
      <c r="J18" s="29" t="n">
        <v>2027</v>
      </c>
      <c r="K18" s="29" t="n">
        <v>2027</v>
      </c>
      <c r="L18" s="29" t="n">
        <v>2027</v>
      </c>
      <c r="M18" s="29" t="n">
        <v>2027</v>
      </c>
      <c r="N18" s="29" t="n">
        <v>2027</v>
      </c>
      <c r="O18" s="29" t="n">
        <v>2027</v>
      </c>
    </row>
    <row r="19" hidden="1">
      <c r="A19" t="inlineStr">
        <is>
          <t>X</t>
        </is>
      </c>
      <c r="B19" s="28" t="inlineStr">
        <is>
          <t>Starting carbon price</t>
        </is>
      </c>
      <c r="C19" s="28" t="inlineStr">
        <is>
          <t>nom. USD/tCO2</t>
        </is>
      </c>
      <c r="D19" s="28" t="n"/>
      <c r="E19" s="28" t="n"/>
      <c r="F19" s="28" t="n">
        <v>0</v>
      </c>
      <c r="G19" s="28" t="n">
        <v>20</v>
      </c>
      <c r="H19" s="28" t="inlineStr">
        <is>
          <t>CPLevelStart</t>
        </is>
      </c>
      <c r="J19" s="29" t="n">
        <v>0</v>
      </c>
      <c r="K19" s="29" t="n">
        <v>20</v>
      </c>
      <c r="L19" s="29" t="n">
        <v>20</v>
      </c>
      <c r="M19" s="29" t="n">
        <v>10</v>
      </c>
      <c r="N19" s="29" t="n">
        <v>25</v>
      </c>
      <c r="O19" s="29" t="n">
        <v>50</v>
      </c>
    </row>
    <row r="20" hidden="1">
      <c r="B20" s="28" t="inlineStr">
        <is>
          <t>Target level of carbon price</t>
        </is>
      </c>
      <c r="C20" s="28" t="inlineStr">
        <is>
          <t>nom. USD/tCO2</t>
        </is>
      </c>
      <c r="D20" s="28" t="n"/>
      <c r="E20" s="28" t="n"/>
      <c r="F20" s="28" t="n">
        <v>50</v>
      </c>
      <c r="G20" s="28" t="n">
        <v>50</v>
      </c>
      <c r="H20" s="28" t="inlineStr">
        <is>
          <t>CPLevelTarget</t>
        </is>
      </c>
      <c r="J20" s="29" t="n">
        <v>0</v>
      </c>
      <c r="K20" s="29" t="n">
        <v>20</v>
      </c>
      <c r="L20" s="29" t="n">
        <v>20</v>
      </c>
      <c r="M20" s="29" t="n">
        <v>50</v>
      </c>
      <c r="N20" s="29" t="n">
        <v>25</v>
      </c>
      <c r="O20" s="29" t="n">
        <v>50</v>
      </c>
    </row>
    <row r="21" hidden="1">
      <c r="A21" t="inlineStr">
        <is>
          <t>X</t>
        </is>
      </c>
      <c r="B21" s="28" t="inlineStr">
        <is>
          <t>Year to reach target level</t>
        </is>
      </c>
      <c r="C21" s="28" t="inlineStr">
        <is>
          <t>year</t>
        </is>
      </c>
      <c r="D21" s="28" t="n"/>
      <c r="E21" s="28" t="n"/>
      <c r="F21" s="28" t="n">
        <v>2030</v>
      </c>
      <c r="G21" s="28" t="n">
        <v>2035</v>
      </c>
      <c r="H21" s="28" t="inlineStr">
        <is>
          <t>CPOutro</t>
        </is>
      </c>
      <c r="J21" s="29" t="n">
        <v>2030</v>
      </c>
      <c r="K21" s="29" t="n">
        <v>2030</v>
      </c>
      <c r="L21" s="29" t="n">
        <v>2030</v>
      </c>
      <c r="M21" s="29" t="n">
        <v>2030</v>
      </c>
      <c r="N21" s="29" t="n">
        <v>2030</v>
      </c>
      <c r="O21" s="29" t="n">
        <v>2030</v>
      </c>
    </row>
    <row r="22" hidden="1">
      <c r="B22" s="26" t="inlineStr">
        <is>
          <t>Carbon pricing: fuel coverage</t>
        </is>
      </c>
    </row>
    <row r="23" hidden="1">
      <c r="B23" s="28" t="inlineStr">
        <is>
          <t>Apply tax to coal?</t>
        </is>
      </c>
      <c r="C23" s="28" t="inlineStr">
        <is>
          <t>switch</t>
        </is>
      </c>
      <c r="D23" s="28" t="n"/>
      <c r="E23" s="28" t="n"/>
      <c r="F23" s="28" t="b">
        <v>1</v>
      </c>
      <c r="G23" s="28" t="b">
        <v>1</v>
      </c>
      <c r="H23" s="28" t="inlineStr">
        <is>
          <t>MCovCoa</t>
        </is>
      </c>
      <c r="J23" s="8" t="b">
        <v>1</v>
      </c>
      <c r="K23" s="8" t="b">
        <v>1</v>
      </c>
      <c r="L23" s="8" t="b">
        <v>1</v>
      </c>
      <c r="M23" s="8" t="b">
        <v>1</v>
      </c>
      <c r="N23" s="8" t="b">
        <v>1</v>
      </c>
      <c r="O23" s="8" t="b">
        <v>1</v>
      </c>
    </row>
    <row r="24" hidden="1">
      <c r="B24" s="28" t="inlineStr">
        <is>
          <t>Apply tax to natural gas?</t>
        </is>
      </c>
      <c r="C24" s="28" t="inlineStr">
        <is>
          <t>switch</t>
        </is>
      </c>
      <c r="D24" s="28" t="n"/>
      <c r="E24" s="28" t="n"/>
      <c r="F24" s="28" t="b">
        <v>1</v>
      </c>
      <c r="G24" s="28" t="b">
        <v>1</v>
      </c>
      <c r="H24" s="28" t="inlineStr">
        <is>
          <t>MCovNga</t>
        </is>
      </c>
      <c r="J24" s="8" t="b">
        <v>1</v>
      </c>
      <c r="K24" s="8" t="b">
        <v>1</v>
      </c>
      <c r="L24" s="8" t="b">
        <v>1</v>
      </c>
      <c r="M24" s="8" t="b">
        <v>1</v>
      </c>
      <c r="N24" s="8" t="b">
        <v>1</v>
      </c>
      <c r="O24" s="8" t="b">
        <v>1</v>
      </c>
    </row>
    <row r="25" hidden="1">
      <c r="B25" s="28" t="inlineStr">
        <is>
          <t>Apply tax to gasoline?</t>
        </is>
      </c>
      <c r="C25" s="28" t="inlineStr">
        <is>
          <t>switch</t>
        </is>
      </c>
      <c r="D25" s="28" t="n"/>
      <c r="E25" s="28" t="n"/>
      <c r="F25" s="28" t="b">
        <v>1</v>
      </c>
      <c r="G25" s="28" t="b">
        <v>1</v>
      </c>
      <c r="H25" s="28" t="inlineStr">
        <is>
          <t>MCovGso</t>
        </is>
      </c>
      <c r="J25" s="8" t="b">
        <v>1</v>
      </c>
      <c r="K25" s="8" t="b">
        <v>1</v>
      </c>
      <c r="L25" s="8" t="b">
        <v>1</v>
      </c>
      <c r="M25" s="8" t="b">
        <v>1</v>
      </c>
      <c r="N25" s="8" t="b">
        <v>1</v>
      </c>
      <c r="O25" s="8" t="b">
        <v>1</v>
      </c>
    </row>
    <row r="26" hidden="1">
      <c r="B26" s="28" t="inlineStr">
        <is>
          <t>Apply tax to diesel?</t>
        </is>
      </c>
      <c r="C26" s="28" t="inlineStr">
        <is>
          <t>switch</t>
        </is>
      </c>
      <c r="D26" s="28" t="n"/>
      <c r="E26" s="28" t="n"/>
      <c r="F26" s="28" t="b">
        <v>1</v>
      </c>
      <c r="G26" s="28" t="b">
        <v>1</v>
      </c>
      <c r="H26" s="28" t="inlineStr">
        <is>
          <t>MCovDie</t>
        </is>
      </c>
      <c r="J26" s="8" t="b">
        <v>1</v>
      </c>
      <c r="K26" s="8" t="b">
        <v>1</v>
      </c>
      <c r="L26" s="8" t="b">
        <v>1</v>
      </c>
      <c r="M26" s="8" t="b">
        <v>1</v>
      </c>
      <c r="N26" s="8" t="b">
        <v>1</v>
      </c>
      <c r="O26" s="8" t="b">
        <v>1</v>
      </c>
    </row>
    <row r="27" hidden="1">
      <c r="B27" s="28" t="inlineStr">
        <is>
          <t>Apply tax to LPG?</t>
        </is>
      </c>
      <c r="C27" s="28" t="inlineStr">
        <is>
          <t>switch</t>
        </is>
      </c>
      <c r="D27" s="28" t="n"/>
      <c r="E27" s="28" t="n"/>
      <c r="F27" s="28" t="b">
        <v>1</v>
      </c>
      <c r="G27" s="28" t="b">
        <v>1</v>
      </c>
      <c r="H27" s="28" t="inlineStr">
        <is>
          <t>MCovLpg</t>
        </is>
      </c>
      <c r="J27" s="8" t="b">
        <v>1</v>
      </c>
      <c r="K27" s="8" t="b">
        <v>1</v>
      </c>
      <c r="L27" s="8" t="b">
        <v>1</v>
      </c>
      <c r="M27" s="8" t="b">
        <v>1</v>
      </c>
      <c r="N27" s="8" t="b">
        <v>1</v>
      </c>
      <c r="O27" s="8" t="b">
        <v>1</v>
      </c>
    </row>
    <row r="28" hidden="1">
      <c r="B28" s="28" t="inlineStr">
        <is>
          <t>Apply tax to kerosene?</t>
        </is>
      </c>
      <c r="C28" s="28" t="inlineStr">
        <is>
          <t>switch</t>
        </is>
      </c>
      <c r="D28" s="28" t="n"/>
      <c r="E28" s="28" t="n"/>
      <c r="F28" s="28" t="b">
        <v>1</v>
      </c>
      <c r="G28" s="28" t="b">
        <v>1</v>
      </c>
      <c r="H28" s="28" t="inlineStr">
        <is>
          <t>MCovKer</t>
        </is>
      </c>
      <c r="J28" s="8" t="b">
        <v>1</v>
      </c>
      <c r="K28" s="8" t="b">
        <v>1</v>
      </c>
      <c r="L28" s="8" t="b">
        <v>1</v>
      </c>
      <c r="M28" s="8" t="b">
        <v>1</v>
      </c>
      <c r="N28" s="8" t="b">
        <v>1</v>
      </c>
      <c r="O28" s="8" t="b">
        <v>1</v>
      </c>
    </row>
    <row r="29" hidden="1">
      <c r="B29" s="28" t="inlineStr">
        <is>
          <t>Apply tax to non-road oil products?</t>
        </is>
      </c>
      <c r="C29" s="28" t="inlineStr">
        <is>
          <t>switch</t>
        </is>
      </c>
      <c r="D29" s="28" t="n"/>
      <c r="E29" s="28" t="n"/>
      <c r="F29" s="28" t="b">
        <v>1</v>
      </c>
      <c r="G29" s="28" t="b">
        <v>1</v>
      </c>
      <c r="H29" s="28" t="inlineStr">
        <is>
          <t>MCovOop</t>
        </is>
      </c>
      <c r="J29" s="8" t="b">
        <v>1</v>
      </c>
      <c r="K29" s="8" t="b">
        <v>1</v>
      </c>
      <c r="L29" s="8" t="b">
        <v>1</v>
      </c>
      <c r="M29" s="8" t="b">
        <v>1</v>
      </c>
      <c r="N29" s="8" t="b">
        <v>1</v>
      </c>
      <c r="O29" s="8" t="b">
        <v>1</v>
      </c>
    </row>
    <row r="30" hidden="1">
      <c r="B30" s="26" t="inlineStr">
        <is>
          <t>Carbon pricing: sector coverage</t>
        </is>
      </c>
    </row>
    <row r="31" hidden="1">
      <c r="B31" s="28" t="inlineStr">
        <is>
          <t>Apply tax to power sector?</t>
        </is>
      </c>
      <c r="C31" s="28" t="inlineStr">
        <is>
          <t>switch</t>
        </is>
      </c>
      <c r="D31" s="28" t="n"/>
      <c r="E31" s="28" t="n"/>
      <c r="F31" s="28" t="b">
        <v>1</v>
      </c>
      <c r="G31" s="28" t="b">
        <v>1</v>
      </c>
      <c r="H31" s="28" t="inlineStr">
        <is>
          <t>MCovPow</t>
        </is>
      </c>
      <c r="J31" s="8" t="b">
        <v>1</v>
      </c>
      <c r="K31" s="8" t="b">
        <v>1</v>
      </c>
      <c r="L31" s="8" t="b">
        <v>1</v>
      </c>
      <c r="M31" s="8" t="b">
        <v>1</v>
      </c>
      <c r="N31" s="8" t="b">
        <v>1</v>
      </c>
      <c r="O31" s="8" t="b">
        <v>1</v>
      </c>
    </row>
    <row r="32" hidden="1">
      <c r="B32" s="28" t="inlineStr">
        <is>
          <t>Apply tax to road transportation?</t>
        </is>
      </c>
      <c r="C32" s="28" t="inlineStr">
        <is>
          <t>switch</t>
        </is>
      </c>
      <c r="D32" s="28" t="n"/>
      <c r="E32" s="28" t="n"/>
      <c r="F32" s="28" t="b">
        <v>1</v>
      </c>
      <c r="G32" s="28" t="b">
        <v>1</v>
      </c>
      <c r="H32" s="28" t="inlineStr">
        <is>
          <t>MCovRod</t>
        </is>
      </c>
      <c r="J32" s="8" t="b">
        <v>1</v>
      </c>
      <c r="K32" s="8" t="b">
        <v>1</v>
      </c>
      <c r="L32" s="8" t="b">
        <v>1</v>
      </c>
      <c r="M32" s="8" t="b">
        <v>1</v>
      </c>
      <c r="N32" s="8" t="b">
        <v>1</v>
      </c>
      <c r="O32" s="8" t="b">
        <v>1</v>
      </c>
    </row>
    <row r="33" hidden="1">
      <c r="B33" s="28" t="inlineStr">
        <is>
          <t>Apply tax to rail transportation?</t>
        </is>
      </c>
      <c r="C33" s="28" t="inlineStr">
        <is>
          <t>switch</t>
        </is>
      </c>
      <c r="D33" s="28" t="n"/>
      <c r="E33" s="28" t="n"/>
      <c r="F33" s="28" t="b">
        <v>1</v>
      </c>
      <c r="G33" s="28" t="b">
        <v>1</v>
      </c>
      <c r="H33" s="28" t="inlineStr">
        <is>
          <t>MCovRal</t>
        </is>
      </c>
      <c r="J33" s="8" t="b">
        <v>1</v>
      </c>
      <c r="K33" s="8" t="b">
        <v>1</v>
      </c>
      <c r="L33" s="8" t="b">
        <v>1</v>
      </c>
      <c r="M33" s="8" t="b">
        <v>1</v>
      </c>
      <c r="N33" s="8" t="b">
        <v>1</v>
      </c>
      <c r="O33" s="8" t="b">
        <v>1</v>
      </c>
    </row>
    <row r="34" hidden="1">
      <c r="B34" s="28" t="inlineStr">
        <is>
          <t>Apply tax to domestic aviation?</t>
        </is>
      </c>
      <c r="C34" s="28" t="inlineStr">
        <is>
          <t>switch</t>
        </is>
      </c>
      <c r="D34" s="28" t="n"/>
      <c r="E34" s="28" t="n"/>
      <c r="F34" s="28" t="b">
        <v>1</v>
      </c>
      <c r="G34" s="28" t="b">
        <v>1</v>
      </c>
      <c r="H34" s="28" t="inlineStr">
        <is>
          <t>MCovAvi</t>
        </is>
      </c>
      <c r="J34" s="8" t="b">
        <v>1</v>
      </c>
      <c r="K34" s="8" t="b">
        <v>1</v>
      </c>
      <c r="L34" s="8" t="b">
        <v>1</v>
      </c>
      <c r="M34" s="8" t="b">
        <v>1</v>
      </c>
      <c r="N34" s="8" t="b">
        <v>1</v>
      </c>
      <c r="O34" s="8" t="b">
        <v>1</v>
      </c>
    </row>
    <row r="35" hidden="1">
      <c r="B35" s="28" t="inlineStr">
        <is>
          <t>Apply tax to domestic shipping?</t>
        </is>
      </c>
      <c r="C35" s="28" t="inlineStr">
        <is>
          <t>switch</t>
        </is>
      </c>
      <c r="D35" s="28" t="n"/>
      <c r="E35" s="28" t="n"/>
      <c r="F35" s="28" t="b">
        <v>1</v>
      </c>
      <c r="G35" s="28" t="b">
        <v>1</v>
      </c>
      <c r="H35" s="28" t="inlineStr">
        <is>
          <t>MCovNav</t>
        </is>
      </c>
      <c r="J35" s="8" t="b">
        <v>1</v>
      </c>
      <c r="K35" s="8" t="b">
        <v>1</v>
      </c>
      <c r="L35" s="8" t="b">
        <v>1</v>
      </c>
      <c r="M35" s="8" t="b">
        <v>1</v>
      </c>
      <c r="N35" s="8" t="b">
        <v>1</v>
      </c>
      <c r="O35" s="8" t="b">
        <v>1</v>
      </c>
    </row>
    <row r="36" hidden="1">
      <c r="B36" s="28" t="inlineStr">
        <is>
          <t>Apply tax to residential sector?</t>
        </is>
      </c>
      <c r="C36" s="28" t="inlineStr">
        <is>
          <t>switch</t>
        </is>
      </c>
      <c r="D36" s="28" t="n"/>
      <c r="E36" s="28" t="n"/>
      <c r="F36" s="28" t="b">
        <v>1</v>
      </c>
      <c r="G36" s="28" t="b">
        <v>1</v>
      </c>
      <c r="H36" s="28" t="inlineStr">
        <is>
          <t>MCovRes</t>
        </is>
      </c>
      <c r="J36" s="8" t="b">
        <v>1</v>
      </c>
      <c r="K36" s="8" t="b">
        <v>1</v>
      </c>
      <c r="L36" s="8" t="b">
        <v>1</v>
      </c>
      <c r="M36" s="8" t="b">
        <v>1</v>
      </c>
      <c r="N36" s="8" t="b">
        <v>1</v>
      </c>
      <c r="O36" s="8" t="b">
        <v>1</v>
      </c>
    </row>
    <row r="37" hidden="1">
      <c r="B37" s="28" t="inlineStr">
        <is>
          <t>Apply tax to food &amp; forestry?</t>
        </is>
      </c>
      <c r="C37" s="28" t="inlineStr">
        <is>
          <t>switch</t>
        </is>
      </c>
      <c r="D37" s="28" t="n"/>
      <c r="E37" s="28" t="n"/>
      <c r="F37" s="28" t="b">
        <v>1</v>
      </c>
      <c r="G37" s="28" t="b">
        <v>1</v>
      </c>
      <c r="H37" s="28" t="inlineStr">
        <is>
          <t>MCovFoo</t>
        </is>
      </c>
      <c r="J37" s="8" t="b">
        <v>1</v>
      </c>
      <c r="K37" s="8" t="b">
        <v>1</v>
      </c>
      <c r="L37" s="8" t="b">
        <v>1</v>
      </c>
      <c r="M37" s="8" t="b">
        <v>1</v>
      </c>
      <c r="N37" s="8" t="b">
        <v>1</v>
      </c>
      <c r="O37" s="8" t="b">
        <v>1</v>
      </c>
    </row>
    <row r="38" hidden="1">
      <c r="B38" s="28" t="inlineStr">
        <is>
          <t>Apply tax to services (private / public)?</t>
        </is>
      </c>
      <c r="C38" s="28" t="inlineStr">
        <is>
          <t>switch</t>
        </is>
      </c>
      <c r="D38" s="28" t="n"/>
      <c r="E38" s="28" t="n"/>
      <c r="F38" s="28" t="b">
        <v>1</v>
      </c>
      <c r="G38" s="28" t="b">
        <v>1</v>
      </c>
      <c r="H38" s="28" t="inlineStr">
        <is>
          <t>MCovSrv</t>
        </is>
      </c>
      <c r="J38" s="8" t="b">
        <v>1</v>
      </c>
      <c r="K38" s="8" t="b">
        <v>1</v>
      </c>
      <c r="L38" s="8" t="b">
        <v>1</v>
      </c>
      <c r="M38" s="8" t="b">
        <v>1</v>
      </c>
      <c r="N38" s="8" t="b">
        <v>1</v>
      </c>
      <c r="O38" s="8" t="b">
        <v>1</v>
      </c>
    </row>
    <row r="39" hidden="1">
      <c r="B39" s="28" t="inlineStr">
        <is>
          <t>Apply tax to mining &amp; chemicals?</t>
        </is>
      </c>
      <c r="C39" s="28" t="inlineStr">
        <is>
          <t>switch</t>
        </is>
      </c>
      <c r="D39" s="28" t="n"/>
      <c r="E39" s="28" t="n"/>
      <c r="F39" s="28" t="b">
        <v>1</v>
      </c>
      <c r="G39" s="28" t="b">
        <v>1</v>
      </c>
      <c r="H39" s="28" t="inlineStr">
        <is>
          <t>MCovMch</t>
        </is>
      </c>
      <c r="J39" s="8" t="b">
        <v>1</v>
      </c>
      <c r="K39" s="8" t="b">
        <v>1</v>
      </c>
      <c r="L39" s="8" t="b">
        <v>1</v>
      </c>
      <c r="M39" s="8" t="b">
        <v>1</v>
      </c>
      <c r="N39" s="8" t="b">
        <v>1</v>
      </c>
      <c r="O39" s="8" t="b">
        <v>1</v>
      </c>
    </row>
    <row r="40" hidden="1">
      <c r="B40" s="28" t="inlineStr">
        <is>
          <t>Apply tax to iron and steel?</t>
        </is>
      </c>
      <c r="C40" s="28" t="inlineStr">
        <is>
          <t>switch</t>
        </is>
      </c>
      <c r="D40" s="28" t="n"/>
      <c r="E40" s="28" t="n"/>
      <c r="F40" s="28" t="b">
        <v>1</v>
      </c>
      <c r="G40" s="28" t="b">
        <v>1</v>
      </c>
      <c r="H40" s="28" t="inlineStr">
        <is>
          <t>MCovIrn</t>
        </is>
      </c>
      <c r="J40" s="8" t="b">
        <v>1</v>
      </c>
      <c r="K40" s="8" t="b">
        <v>1</v>
      </c>
      <c r="L40" s="8" t="b">
        <v>1</v>
      </c>
      <c r="M40" s="8" t="b">
        <v>1</v>
      </c>
      <c r="N40" s="8" t="b">
        <v>1</v>
      </c>
      <c r="O40" s="8" t="b">
        <v>1</v>
      </c>
    </row>
    <row r="41" hidden="1">
      <c r="B41" s="28" t="inlineStr">
        <is>
          <t>Apply tax to non-ferrous metals?</t>
        </is>
      </c>
      <c r="C41" s="28" t="inlineStr">
        <is>
          <t>switch</t>
        </is>
      </c>
      <c r="D41" s="28" t="n"/>
      <c r="E41" s="28" t="n"/>
      <c r="F41" s="28" t="b">
        <v>1</v>
      </c>
      <c r="G41" s="28" t="b">
        <v>1</v>
      </c>
      <c r="H41" s="28" t="inlineStr">
        <is>
          <t>MCovNfm</t>
        </is>
      </c>
      <c r="J41" s="8" t="b">
        <v>1</v>
      </c>
      <c r="K41" s="8" t="b">
        <v>1</v>
      </c>
      <c r="L41" s="8" t="b">
        <v>1</v>
      </c>
      <c r="M41" s="8" t="b">
        <v>1</v>
      </c>
      <c r="N41" s="8" t="b">
        <v>1</v>
      </c>
      <c r="O41" s="8" t="b">
        <v>1</v>
      </c>
    </row>
    <row r="42" hidden="1">
      <c r="B42" s="28" t="inlineStr">
        <is>
          <t>Apply tax to machinery?</t>
        </is>
      </c>
      <c r="C42" s="28" t="inlineStr">
        <is>
          <t>switch</t>
        </is>
      </c>
      <c r="D42" s="28" t="n"/>
      <c r="E42" s="28" t="n"/>
      <c r="F42" s="28" t="b">
        <v>1</v>
      </c>
      <c r="G42" s="28" t="b">
        <v>1</v>
      </c>
      <c r="H42" s="28" t="inlineStr">
        <is>
          <t>MCovMac</t>
        </is>
      </c>
      <c r="J42" s="8" t="b">
        <v>1</v>
      </c>
      <c r="K42" s="8" t="b">
        <v>1</v>
      </c>
      <c r="L42" s="8" t="b">
        <v>1</v>
      </c>
      <c r="M42" s="8" t="b">
        <v>1</v>
      </c>
      <c r="N42" s="8" t="b">
        <v>1</v>
      </c>
      <c r="O42" s="8" t="b">
        <v>1</v>
      </c>
    </row>
    <row r="43" hidden="1">
      <c r="B43" s="28" t="inlineStr">
        <is>
          <t>Apply tax to cement?</t>
        </is>
      </c>
      <c r="C43" s="28" t="inlineStr">
        <is>
          <t>switch</t>
        </is>
      </c>
      <c r="D43" s="28" t="n"/>
      <c r="E43" s="28" t="n"/>
      <c r="F43" s="28" t="b">
        <v>1</v>
      </c>
      <c r="G43" s="28" t="b">
        <v>1</v>
      </c>
      <c r="H43" s="28" t="inlineStr">
        <is>
          <t>MCovCem</t>
        </is>
      </c>
      <c r="J43" s="8" t="b">
        <v>1</v>
      </c>
      <c r="K43" s="8" t="b">
        <v>1</v>
      </c>
      <c r="L43" s="8" t="b">
        <v>1</v>
      </c>
      <c r="M43" s="8" t="b">
        <v>1</v>
      </c>
      <c r="N43" s="8" t="b">
        <v>1</v>
      </c>
      <c r="O43" s="8" t="b">
        <v>1</v>
      </c>
    </row>
    <row r="44" hidden="1">
      <c r="B44" s="28" t="inlineStr">
        <is>
          <t>Apply tax to other manucfacturing?</t>
        </is>
      </c>
      <c r="C44" s="28" t="inlineStr">
        <is>
          <t>switch</t>
        </is>
      </c>
      <c r="D44" s="28" t="n"/>
      <c r="E44" s="28" t="n"/>
      <c r="F44" s="28" t="b">
        <v>1</v>
      </c>
      <c r="G44" s="28" t="b">
        <v>1</v>
      </c>
      <c r="H44" s="28" t="inlineStr">
        <is>
          <t>MCovOmn</t>
        </is>
      </c>
      <c r="J44" s="8" t="b">
        <v>1</v>
      </c>
      <c r="K44" s="8" t="b">
        <v>1</v>
      </c>
      <c r="L44" s="8" t="b">
        <v>1</v>
      </c>
      <c r="M44" s="8" t="b">
        <v>1</v>
      </c>
      <c r="N44" s="8" t="b">
        <v>1</v>
      </c>
      <c r="O44" s="8" t="b">
        <v>1</v>
      </c>
    </row>
    <row r="45" hidden="1">
      <c r="B45" s="28" t="inlineStr">
        <is>
          <t>Apply tax to construction?</t>
        </is>
      </c>
      <c r="C45" s="28" t="inlineStr">
        <is>
          <t>switch</t>
        </is>
      </c>
      <c r="D45" s="28" t="n"/>
      <c r="E45" s="28" t="n"/>
      <c r="F45" s="28" t="b">
        <v>1</v>
      </c>
      <c r="G45" s="28" t="b">
        <v>1</v>
      </c>
      <c r="H45" s="28" t="inlineStr">
        <is>
          <t>MCovCst</t>
        </is>
      </c>
      <c r="J45" s="8" t="b">
        <v>1</v>
      </c>
      <c r="K45" s="8" t="b">
        <v>1</v>
      </c>
      <c r="L45" s="8" t="b">
        <v>1</v>
      </c>
      <c r="M45" s="8" t="b">
        <v>1</v>
      </c>
      <c r="N45" s="8" t="b">
        <v>1</v>
      </c>
      <c r="O45" s="8" t="b">
        <v>1</v>
      </c>
    </row>
    <row r="46" hidden="1">
      <c r="B46" s="28" t="inlineStr">
        <is>
          <t>Apply tax to fuel transformation?</t>
        </is>
      </c>
      <c r="C46" s="28" t="inlineStr">
        <is>
          <t>switch</t>
        </is>
      </c>
      <c r="D46" s="28" t="n"/>
      <c r="E46" s="28" t="n"/>
      <c r="F46" s="28" t="b">
        <v>1</v>
      </c>
      <c r="G46" s="28" t="b">
        <v>1</v>
      </c>
      <c r="H46" s="28" t="inlineStr">
        <is>
          <t>MCovFtr</t>
        </is>
      </c>
      <c r="J46" s="8" t="b">
        <v>1</v>
      </c>
      <c r="K46" s="8" t="b">
        <v>1</v>
      </c>
      <c r="L46" s="8" t="b">
        <v>1</v>
      </c>
      <c r="M46" s="8" t="b">
        <v>1</v>
      </c>
      <c r="N46" s="8" t="b">
        <v>1</v>
      </c>
      <c r="O46" s="8" t="b">
        <v>1</v>
      </c>
    </row>
    <row r="47" hidden="1">
      <c r="B47" s="28" t="inlineStr">
        <is>
          <t>Apply tax to other energy use?</t>
        </is>
      </c>
      <c r="C47" s="28" t="inlineStr">
        <is>
          <t>switch</t>
        </is>
      </c>
      <c r="D47" s="28" t="n"/>
      <c r="E47" s="28" t="n"/>
      <c r="F47" s="28" t="b">
        <v>1</v>
      </c>
      <c r="G47" s="28" t="b">
        <v>1</v>
      </c>
      <c r="H47" s="28" t="inlineStr">
        <is>
          <t>MCovOen</t>
        </is>
      </c>
      <c r="J47" s="29" t="b">
        <v>0</v>
      </c>
      <c r="K47" s="29" t="b">
        <v>0</v>
      </c>
      <c r="L47" s="29" t="b">
        <v>0</v>
      </c>
      <c r="M47" s="29" t="b">
        <v>0</v>
      </c>
      <c r="N47" s="29" t="b">
        <v>0</v>
      </c>
      <c r="O47" s="29" t="b">
        <v>0</v>
      </c>
    </row>
    <row r="48" hidden="1">
      <c r="B48" s="26" t="inlineStr">
        <is>
          <t>Exemptions phaseout</t>
        </is>
      </c>
    </row>
    <row r="49" hidden="1">
      <c r="B49" s="28" t="inlineStr">
        <is>
          <t>Apply exemption phaseout?</t>
        </is>
      </c>
      <c r="C49" s="28" t="inlineStr">
        <is>
          <t>switch</t>
        </is>
      </c>
      <c r="D49" s="28" t="n"/>
      <c r="E49" s="28" t="n"/>
      <c r="F49" s="28" t="b">
        <v>0</v>
      </c>
      <c r="G49" s="28" t="b">
        <v>0</v>
      </c>
      <c r="H49" s="28" t="inlineStr">
        <is>
          <t>ExemptPhaseout</t>
        </is>
      </c>
      <c r="J49" s="8" t="b">
        <v>0</v>
      </c>
      <c r="K49" s="8" t="b">
        <v>0</v>
      </c>
      <c r="L49" s="8" t="b">
        <v>0</v>
      </c>
      <c r="M49" s="8" t="b">
        <v>0</v>
      </c>
      <c r="N49" s="8" t="b">
        <v>0</v>
      </c>
      <c r="O49" s="8" t="b">
        <v>0</v>
      </c>
    </row>
    <row r="50" hidden="1">
      <c r="B50" s="28" t="inlineStr">
        <is>
          <t>Year to start exemption phaseout (if applicable)</t>
        </is>
      </c>
      <c r="C50" s="28" t="inlineStr">
        <is>
          <t>year</t>
        </is>
      </c>
      <c r="D50" s="28" t="n"/>
      <c r="E50" s="28" t="n"/>
      <c r="F50" s="28" t="n">
        <v>2027</v>
      </c>
      <c r="G50" s="28" t="n">
        <v>2027</v>
      </c>
      <c r="H50" s="28" t="inlineStr">
        <is>
          <t>YearPha</t>
        </is>
      </c>
      <c r="J50" s="8" t="n">
        <v>2027</v>
      </c>
      <c r="K50" s="8" t="n">
        <v>2027</v>
      </c>
      <c r="L50" s="8" t="n">
        <v>2027</v>
      </c>
      <c r="M50" s="8" t="n">
        <v>2027</v>
      </c>
      <c r="N50" s="8" t="n">
        <v>2027</v>
      </c>
      <c r="O50" s="8" t="n">
        <v>2027</v>
      </c>
    </row>
    <row r="51" hidden="1">
      <c r="B51" s="28" t="inlineStr">
        <is>
          <t>Period to reach full exemption phaseout (if applicable)</t>
        </is>
      </c>
      <c r="C51" s="28" t="inlineStr">
        <is>
          <t>year</t>
        </is>
      </c>
      <c r="D51" s="28" t="n"/>
      <c r="E51" s="28" t="n"/>
      <c r="F51" s="28" t="n">
        <v>5</v>
      </c>
      <c r="G51" s="28" t="n">
        <v>5</v>
      </c>
      <c r="H51" s="28" t="inlineStr">
        <is>
          <t>ExemptPhaseoutPeriod</t>
        </is>
      </c>
      <c r="J51" s="8" t="n">
        <v>5</v>
      </c>
      <c r="K51" s="8" t="n">
        <v>5</v>
      </c>
      <c r="L51" s="8" t="n">
        <v>5</v>
      </c>
      <c r="M51" s="8" t="n">
        <v>5</v>
      </c>
      <c r="N51" s="8" t="n">
        <v>5</v>
      </c>
      <c r="O51" s="8" t="n">
        <v>5</v>
      </c>
    </row>
    <row r="52" hidden="1">
      <c r="B52" s="26" t="inlineStr">
        <is>
          <t>Feebates: Starting and End Date</t>
        </is>
      </c>
    </row>
    <row r="53" hidden="1">
      <c r="B53" s="28" t="inlineStr">
        <is>
          <t>Start date</t>
        </is>
      </c>
      <c r="C53" s="28" t="n"/>
      <c r="D53" s="28" t="n"/>
      <c r="E53" s="28" t="n"/>
      <c r="F53" s="28" t="n">
        <v>2027</v>
      </c>
      <c r="G53" s="28" t="n">
        <v>2027</v>
      </c>
      <c r="H53" s="28" t="inlineStr">
        <is>
          <t>FeebateIntro</t>
        </is>
      </c>
      <c r="J53" s="8" t="n">
        <v>2027</v>
      </c>
      <c r="K53" s="8" t="n">
        <v>2027</v>
      </c>
      <c r="L53" s="8" t="n">
        <v>2027</v>
      </c>
      <c r="M53" s="29" t="n">
        <v>2027</v>
      </c>
      <c r="N53" s="8" t="n">
        <v>2027</v>
      </c>
      <c r="O53" s="8" t="n">
        <v>2027</v>
      </c>
    </row>
    <row r="54" hidden="1">
      <c r="B54" s="28" t="inlineStr">
        <is>
          <t>Target date</t>
        </is>
      </c>
      <c r="C54" s="28" t="n"/>
      <c r="D54" s="28" t="n"/>
      <c r="E54" s="28" t="n"/>
      <c r="F54" s="28" t="n">
        <v>2035</v>
      </c>
      <c r="G54" s="28" t="n">
        <v>2035</v>
      </c>
      <c r="H54" s="28" t="inlineStr">
        <is>
          <t>FeebateOutro</t>
        </is>
      </c>
      <c r="J54" s="8" t="n">
        <v>2035</v>
      </c>
      <c r="K54" s="8" t="n">
        <v>2035</v>
      </c>
      <c r="L54" s="8" t="n">
        <v>2035</v>
      </c>
      <c r="M54" s="29" t="n">
        <v>2030</v>
      </c>
      <c r="N54" s="8" t="n">
        <v>2035</v>
      </c>
      <c r="O54" s="8" t="n">
        <v>2035</v>
      </c>
    </row>
    <row r="55" hidden="1">
      <c r="B55" s="26" t="inlineStr">
        <is>
          <t>Feebates: Feebate starting rate</t>
        </is>
      </c>
    </row>
    <row r="56" hidden="1">
      <c r="B56" s="28" t="inlineStr">
        <is>
          <t>Power sector</t>
        </is>
      </c>
      <c r="C56" s="28" t="inlineStr">
        <is>
          <t>USD/tCO2</t>
        </is>
      </c>
      <c r="D56" s="28" t="n"/>
      <c r="E56" s="28" t="n"/>
      <c r="F56" s="28" t="n">
        <v>0</v>
      </c>
      <c r="G56" s="28" t="n">
        <v>0</v>
      </c>
      <c r="H56" s="28" t="inlineStr">
        <is>
          <t>Feb_Level_Start_Pow</t>
        </is>
      </c>
      <c r="J56" s="8" t="n">
        <v>0</v>
      </c>
      <c r="K56" s="8" t="n">
        <v>0</v>
      </c>
      <c r="L56" s="8" t="n">
        <v>0</v>
      </c>
      <c r="M56" s="8" t="n">
        <v>0</v>
      </c>
      <c r="N56" s="8" t="n">
        <v>0</v>
      </c>
      <c r="O56" s="8" t="n">
        <v>0</v>
      </c>
    </row>
    <row r="57" hidden="1">
      <c r="B57" s="28" t="inlineStr">
        <is>
          <t>Transport</t>
        </is>
      </c>
      <c r="C57" s="28" t="inlineStr">
        <is>
          <t>USD/tCO2</t>
        </is>
      </c>
      <c r="D57" s="28" t="n"/>
      <c r="E57" s="28" t="n"/>
      <c r="F57" s="28" t="n">
        <v>0</v>
      </c>
      <c r="G57" s="28" t="n">
        <v>0</v>
      </c>
      <c r="H57" s="28" t="inlineStr">
        <is>
          <t>Feb_Level_Start_Trans</t>
        </is>
      </c>
      <c r="J57" s="8" t="n">
        <v>0</v>
      </c>
      <c r="K57" s="8" t="n">
        <v>0</v>
      </c>
      <c r="L57" s="8" t="n">
        <v>0</v>
      </c>
      <c r="M57" s="29" t="n">
        <v>10</v>
      </c>
      <c r="N57" s="8" t="n">
        <v>0</v>
      </c>
      <c r="O57" s="8" t="n">
        <v>0</v>
      </c>
    </row>
    <row r="58" hidden="1">
      <c r="B58" s="28" t="inlineStr">
        <is>
          <t>Residential</t>
        </is>
      </c>
      <c r="C58" s="28" t="inlineStr">
        <is>
          <t>USD/tCO2</t>
        </is>
      </c>
      <c r="D58" s="28" t="n"/>
      <c r="E58" s="28" t="n"/>
      <c r="F58" s="28" t="n">
        <v>0</v>
      </c>
      <c r="G58" s="28" t="n">
        <v>0</v>
      </c>
      <c r="H58" s="28" t="inlineStr">
        <is>
          <t>Feb_Level_Start_Res</t>
        </is>
      </c>
      <c r="J58" s="8" t="n">
        <v>0</v>
      </c>
      <c r="K58" s="8" t="n">
        <v>0</v>
      </c>
      <c r="L58" s="8" t="n">
        <v>0</v>
      </c>
      <c r="M58" s="8" t="n">
        <v>0</v>
      </c>
      <c r="N58" s="8" t="n">
        <v>0</v>
      </c>
      <c r="O58" s="8" t="n">
        <v>0</v>
      </c>
    </row>
    <row r="59" hidden="1">
      <c r="B59" s="28" t="inlineStr">
        <is>
          <t>Industry</t>
        </is>
      </c>
      <c r="C59" s="28" t="inlineStr">
        <is>
          <t>USD/tCO2</t>
        </is>
      </c>
      <c r="D59" s="28" t="n"/>
      <c r="E59" s="28" t="n"/>
      <c r="F59" s="28" t="n">
        <v>0</v>
      </c>
      <c r="G59" s="28" t="n">
        <v>0</v>
      </c>
      <c r="H59" s="28" t="inlineStr">
        <is>
          <t>Feb_Level_Start_Ind</t>
        </is>
      </c>
      <c r="J59" s="8" t="n">
        <v>0</v>
      </c>
      <c r="K59" s="8" t="n">
        <v>0</v>
      </c>
      <c r="L59" s="8" t="n">
        <v>0</v>
      </c>
      <c r="M59" s="29" t="n">
        <v>5</v>
      </c>
      <c r="N59" s="8" t="n">
        <v>0</v>
      </c>
      <c r="O59" s="8" t="n">
        <v>0</v>
      </c>
    </row>
    <row r="60" hidden="1">
      <c r="B60" s="26" t="inlineStr">
        <is>
          <t>Feebates: Feebate target rate</t>
        </is>
      </c>
    </row>
    <row r="61" hidden="1">
      <c r="B61" s="28" t="inlineStr">
        <is>
          <t>Power sector</t>
        </is>
      </c>
      <c r="C61" s="28" t="inlineStr">
        <is>
          <t>USD/tCO2</t>
        </is>
      </c>
      <c r="D61" s="28" t="n"/>
      <c r="E61" s="28" t="n"/>
      <c r="F61" s="28" t="n">
        <v>0</v>
      </c>
      <c r="G61" s="28" t="n">
        <v>0</v>
      </c>
      <c r="H61" s="28" t="inlineStr">
        <is>
          <t>Feb_Level_Target_Pow</t>
        </is>
      </c>
      <c r="J61" s="8" t="n">
        <v>0</v>
      </c>
      <c r="K61" s="8" t="n">
        <v>0</v>
      </c>
      <c r="L61" s="8" t="n">
        <v>0</v>
      </c>
      <c r="M61" s="8" t="n">
        <v>0</v>
      </c>
      <c r="N61" s="8" t="n">
        <v>0</v>
      </c>
      <c r="O61" s="8" t="n">
        <v>0</v>
      </c>
    </row>
    <row r="62" hidden="1">
      <c r="B62" s="28" t="inlineStr">
        <is>
          <t>Transport</t>
        </is>
      </c>
      <c r="C62" s="28" t="inlineStr">
        <is>
          <t>USD/tCO2</t>
        </is>
      </c>
      <c r="D62" s="28" t="n"/>
      <c r="E62" s="28" t="n"/>
      <c r="F62" s="28" t="n">
        <v>0</v>
      </c>
      <c r="G62" s="28" t="n">
        <v>0</v>
      </c>
      <c r="H62" s="28" t="inlineStr">
        <is>
          <t>Feb_Level_Target_Trans</t>
        </is>
      </c>
      <c r="J62" s="8" t="n">
        <v>0</v>
      </c>
      <c r="K62" s="8" t="n">
        <v>0</v>
      </c>
      <c r="L62" s="8" t="n">
        <v>0</v>
      </c>
      <c r="M62" s="29" t="n">
        <v>50</v>
      </c>
      <c r="N62" s="8" t="n">
        <v>0</v>
      </c>
      <c r="O62" s="8" t="n">
        <v>0</v>
      </c>
    </row>
    <row r="63" hidden="1">
      <c r="B63" s="28" t="inlineStr">
        <is>
          <t>Residential</t>
        </is>
      </c>
      <c r="C63" s="28" t="inlineStr">
        <is>
          <t>USD/tCO2</t>
        </is>
      </c>
      <c r="D63" s="28" t="n"/>
      <c r="E63" s="28" t="n"/>
      <c r="F63" s="28" t="n">
        <v>0</v>
      </c>
      <c r="G63" s="28" t="n">
        <v>0</v>
      </c>
      <c r="H63" s="28" t="inlineStr">
        <is>
          <t>Feb_Level_Target_Res</t>
        </is>
      </c>
      <c r="J63" s="8" t="n">
        <v>0</v>
      </c>
      <c r="K63" s="8" t="n">
        <v>0</v>
      </c>
      <c r="L63" s="8" t="n">
        <v>0</v>
      </c>
      <c r="M63" s="8" t="n">
        <v>0</v>
      </c>
      <c r="N63" s="8" t="n">
        <v>0</v>
      </c>
      <c r="O63" s="8" t="n">
        <v>0</v>
      </c>
    </row>
    <row r="64" hidden="1">
      <c r="B64" s="28" t="inlineStr">
        <is>
          <t>Industry</t>
        </is>
      </c>
      <c r="C64" s="28" t="inlineStr">
        <is>
          <t>USD/tCO2</t>
        </is>
      </c>
      <c r="D64" s="28" t="n"/>
      <c r="E64" s="28" t="n"/>
      <c r="F64" s="28" t="n">
        <v>0</v>
      </c>
      <c r="G64" s="28" t="n">
        <v>0</v>
      </c>
      <c r="H64" s="28" t="inlineStr">
        <is>
          <t>Feb_Level_Target_Ind</t>
        </is>
      </c>
      <c r="J64" s="8" t="n">
        <v>0</v>
      </c>
      <c r="K64" s="8" t="n">
        <v>0</v>
      </c>
      <c r="L64" s="8" t="n">
        <v>0</v>
      </c>
      <c r="M64" s="29" t="n">
        <v>25</v>
      </c>
      <c r="N64" s="8" t="n">
        <v>0</v>
      </c>
      <c r="O64" s="8" t="n">
        <v>0</v>
      </c>
    </row>
    <row r="65" hidden="1">
      <c r="B65" s="26" t="inlineStr">
        <is>
          <t>Feebates sector coverage</t>
        </is>
      </c>
    </row>
    <row r="66" hidden="1">
      <c r="B66" s="28" t="inlineStr">
        <is>
          <t>Apply tax to power sector?</t>
        </is>
      </c>
      <c r="C66" s="28" t="inlineStr">
        <is>
          <t>switch</t>
        </is>
      </c>
      <c r="D66" s="28" t="n"/>
      <c r="E66" s="28" t="n"/>
      <c r="F66" s="28" t="b">
        <v>0</v>
      </c>
      <c r="G66" s="28" t="b">
        <v>1</v>
      </c>
      <c r="H66" s="28" t="inlineStr">
        <is>
          <t>FbCovPow</t>
        </is>
      </c>
      <c r="J66" s="8" t="b">
        <v>0</v>
      </c>
      <c r="K66" s="8" t="b">
        <v>0</v>
      </c>
      <c r="L66" s="8" t="b">
        <v>0</v>
      </c>
      <c r="M66" s="8" t="b">
        <v>0</v>
      </c>
      <c r="N66" s="8" t="b">
        <v>0</v>
      </c>
      <c r="O66" s="8" t="b">
        <v>0</v>
      </c>
    </row>
    <row r="67" hidden="1">
      <c r="B67" s="28" t="inlineStr">
        <is>
          <t>Apply tax to road transportation?</t>
        </is>
      </c>
      <c r="C67" s="28" t="n"/>
      <c r="D67" s="28" t="n"/>
      <c r="E67" s="28" t="n"/>
      <c r="F67" s="28" t="b">
        <v>0</v>
      </c>
      <c r="G67" s="28" t="b">
        <v>0</v>
      </c>
      <c r="H67" s="28" t="inlineStr">
        <is>
          <t>FbCovRod</t>
        </is>
      </c>
      <c r="J67" s="8" t="b">
        <v>0</v>
      </c>
      <c r="K67" s="8" t="b">
        <v>0</v>
      </c>
      <c r="L67" s="8" t="b">
        <v>0</v>
      </c>
      <c r="M67" s="29" t="b">
        <v>1</v>
      </c>
      <c r="N67" s="8" t="b">
        <v>0</v>
      </c>
      <c r="O67" s="8" t="b">
        <v>0</v>
      </c>
    </row>
    <row r="68" hidden="1">
      <c r="B68" s="28" t="inlineStr">
        <is>
          <t>Apply tax to rail transportation?</t>
        </is>
      </c>
      <c r="C68" s="28" t="n"/>
      <c r="D68" s="28" t="n"/>
      <c r="E68" s="28" t="n"/>
      <c r="F68" s="28" t="b">
        <v>0</v>
      </c>
      <c r="G68" s="28" t="b">
        <v>0</v>
      </c>
      <c r="H68" s="28" t="inlineStr">
        <is>
          <t>FbCovRal</t>
        </is>
      </c>
      <c r="J68" s="8" t="b">
        <v>0</v>
      </c>
      <c r="K68" s="8" t="b">
        <v>0</v>
      </c>
      <c r="L68" s="8" t="b">
        <v>0</v>
      </c>
      <c r="M68" s="8" t="b">
        <v>0</v>
      </c>
      <c r="N68" s="8" t="b">
        <v>0</v>
      </c>
      <c r="O68" s="8" t="b">
        <v>0</v>
      </c>
    </row>
    <row r="69" hidden="1">
      <c r="B69" s="28" t="inlineStr">
        <is>
          <t>Apply tax to domestic aviation?</t>
        </is>
      </c>
      <c r="C69" s="28" t="n"/>
      <c r="D69" s="28" t="n"/>
      <c r="E69" s="28" t="n"/>
      <c r="F69" s="28" t="b">
        <v>0</v>
      </c>
      <c r="G69" s="28" t="b">
        <v>0</v>
      </c>
      <c r="H69" s="28" t="inlineStr">
        <is>
          <t>FbCovAvi</t>
        </is>
      </c>
      <c r="J69" s="8" t="b">
        <v>0</v>
      </c>
      <c r="K69" s="8" t="b">
        <v>0</v>
      </c>
      <c r="L69" s="8" t="b">
        <v>0</v>
      </c>
      <c r="M69" s="8" t="b">
        <v>0</v>
      </c>
      <c r="N69" s="8" t="b">
        <v>0</v>
      </c>
      <c r="O69" s="8" t="b">
        <v>0</v>
      </c>
    </row>
    <row r="70" hidden="1">
      <c r="B70" s="28" t="inlineStr">
        <is>
          <t>Apply tax to domestic shipping?</t>
        </is>
      </c>
      <c r="C70" s="28" t="n"/>
      <c r="D70" s="28" t="n"/>
      <c r="E70" s="28" t="n"/>
      <c r="F70" s="28" t="b">
        <v>0</v>
      </c>
      <c r="G70" s="28" t="b">
        <v>0</v>
      </c>
      <c r="H70" s="28" t="inlineStr">
        <is>
          <t>FbCovNav</t>
        </is>
      </c>
      <c r="J70" s="8" t="b">
        <v>0</v>
      </c>
      <c r="K70" s="8" t="b">
        <v>0</v>
      </c>
      <c r="L70" s="8" t="b">
        <v>0</v>
      </c>
      <c r="M70" s="8" t="b">
        <v>0</v>
      </c>
      <c r="N70" s="8" t="b">
        <v>0</v>
      </c>
      <c r="O70" s="8" t="b">
        <v>0</v>
      </c>
    </row>
    <row r="71" hidden="1">
      <c r="B71" s="28" t="inlineStr">
        <is>
          <t>Apply tax to residential sector?</t>
        </is>
      </c>
      <c r="C71" s="28" t="inlineStr">
        <is>
          <t>switch</t>
        </is>
      </c>
      <c r="D71" s="28" t="n"/>
      <c r="E71" s="28" t="n"/>
      <c r="F71" s="28" t="b">
        <v>0</v>
      </c>
      <c r="G71" s="28" t="b">
        <v>1</v>
      </c>
      <c r="H71" s="28" t="inlineStr">
        <is>
          <t>FbCovRes</t>
        </is>
      </c>
      <c r="J71" s="8" t="b">
        <v>0</v>
      </c>
      <c r="K71" s="8" t="b">
        <v>0</v>
      </c>
      <c r="L71" s="8" t="b">
        <v>0</v>
      </c>
      <c r="M71" s="8" t="b">
        <v>0</v>
      </c>
      <c r="N71" s="8" t="b">
        <v>0</v>
      </c>
      <c r="O71" s="8" t="b">
        <v>0</v>
      </c>
    </row>
    <row r="72" hidden="1">
      <c r="B72" s="28" t="inlineStr">
        <is>
          <t>Apply tax to food &amp; forestry?</t>
        </is>
      </c>
      <c r="C72" s="28" t="n"/>
      <c r="D72" s="28" t="n"/>
      <c r="E72" s="28" t="n"/>
      <c r="F72" s="28" t="b">
        <v>0</v>
      </c>
      <c r="G72" s="28" t="b">
        <v>1</v>
      </c>
      <c r="H72" s="28" t="inlineStr">
        <is>
          <t>FbCovFoo</t>
        </is>
      </c>
      <c r="J72" s="8" t="b">
        <v>0</v>
      </c>
      <c r="K72" s="8" t="b">
        <v>0</v>
      </c>
      <c r="L72" s="8" t="b">
        <v>0</v>
      </c>
      <c r="M72" s="8" t="b">
        <v>0</v>
      </c>
      <c r="N72" s="8" t="b">
        <v>0</v>
      </c>
      <c r="O72" s="8" t="b">
        <v>0</v>
      </c>
    </row>
    <row r="73" hidden="1">
      <c r="B73" s="28" t="inlineStr">
        <is>
          <t>Apply tax to services (private / public)?</t>
        </is>
      </c>
      <c r="C73" s="28" t="n"/>
      <c r="D73" s="28" t="n"/>
      <c r="E73" s="28" t="n"/>
      <c r="F73" s="28" t="b">
        <v>0</v>
      </c>
      <c r="G73" s="28" t="b">
        <v>1</v>
      </c>
      <c r="H73" s="28" t="inlineStr">
        <is>
          <t>FbCovSrv</t>
        </is>
      </c>
      <c r="J73" s="8" t="b">
        <v>0</v>
      </c>
      <c r="K73" s="8" t="b">
        <v>0</v>
      </c>
      <c r="L73" s="8" t="b">
        <v>0</v>
      </c>
      <c r="M73" s="8" t="b">
        <v>0</v>
      </c>
      <c r="N73" s="8" t="b">
        <v>0</v>
      </c>
      <c r="O73" s="8" t="b">
        <v>0</v>
      </c>
    </row>
    <row r="74" hidden="1">
      <c r="B74" s="28" t="inlineStr">
        <is>
          <t>Apply tax to mining &amp; chemicals?</t>
        </is>
      </c>
      <c r="C74" s="28" t="n"/>
      <c r="D74" s="28" t="n"/>
      <c r="E74" s="28" t="n"/>
      <c r="F74" s="28" t="b">
        <v>1</v>
      </c>
      <c r="G74" s="28" t="b">
        <v>1</v>
      </c>
      <c r="H74" s="28" t="inlineStr">
        <is>
          <t>FbCovMch</t>
        </is>
      </c>
      <c r="J74" s="8" t="b">
        <v>1</v>
      </c>
      <c r="K74" s="8" t="b">
        <v>1</v>
      </c>
      <c r="L74" s="8" t="b">
        <v>1</v>
      </c>
      <c r="M74" s="29" t="b">
        <v>1</v>
      </c>
      <c r="N74" s="8" t="b">
        <v>1</v>
      </c>
      <c r="O74" s="8" t="b">
        <v>1</v>
      </c>
    </row>
    <row r="75" hidden="1">
      <c r="B75" s="28" t="inlineStr">
        <is>
          <t>Apply tax to iron and steel?</t>
        </is>
      </c>
      <c r="C75" s="28" t="n"/>
      <c r="D75" s="28" t="n"/>
      <c r="E75" s="28" t="n"/>
      <c r="F75" s="28" t="b">
        <v>0</v>
      </c>
      <c r="G75" s="28" t="b">
        <v>1</v>
      </c>
      <c r="H75" s="28" t="inlineStr">
        <is>
          <t>FbCovIrn</t>
        </is>
      </c>
      <c r="J75" s="8" t="b">
        <v>0</v>
      </c>
      <c r="K75" s="8" t="b">
        <v>0</v>
      </c>
      <c r="L75" s="8" t="b">
        <v>0</v>
      </c>
      <c r="M75" s="29" t="b">
        <v>1</v>
      </c>
      <c r="N75" s="8" t="b">
        <v>0</v>
      </c>
      <c r="O75" s="8" t="b">
        <v>0</v>
      </c>
    </row>
    <row r="76" hidden="1">
      <c r="B76" s="28" t="inlineStr">
        <is>
          <t>Apply tax to non-ferrous metals?</t>
        </is>
      </c>
      <c r="C76" s="28" t="n"/>
      <c r="D76" s="28" t="n"/>
      <c r="E76" s="28" t="n"/>
      <c r="F76" s="28" t="b">
        <v>1</v>
      </c>
      <c r="G76" s="28" t="b">
        <v>1</v>
      </c>
      <c r="H76" s="28" t="inlineStr">
        <is>
          <t>FbCovNfm</t>
        </is>
      </c>
      <c r="J76" s="8" t="b">
        <v>1</v>
      </c>
      <c r="K76" s="8" t="b">
        <v>1</v>
      </c>
      <c r="L76" s="8" t="b">
        <v>1</v>
      </c>
      <c r="M76" s="8" t="b">
        <v>1</v>
      </c>
      <c r="N76" s="8" t="b">
        <v>1</v>
      </c>
      <c r="O76" s="8" t="b">
        <v>1</v>
      </c>
    </row>
    <row r="77" hidden="1">
      <c r="B77" s="28" t="inlineStr">
        <is>
          <t>Apply tax to machinery?</t>
        </is>
      </c>
      <c r="C77" s="28" t="n"/>
      <c r="D77" s="28" t="n"/>
      <c r="E77" s="28" t="n"/>
      <c r="F77" s="28" t="b">
        <v>1</v>
      </c>
      <c r="G77" s="28" t="b">
        <v>1</v>
      </c>
      <c r="H77" s="28" t="inlineStr">
        <is>
          <t>FbCovMac</t>
        </is>
      </c>
      <c r="J77" s="8" t="b">
        <v>1</v>
      </c>
      <c r="K77" s="8" t="b">
        <v>1</v>
      </c>
      <c r="L77" s="8" t="b">
        <v>1</v>
      </c>
      <c r="M77" s="8" t="b">
        <v>1</v>
      </c>
      <c r="N77" s="8" t="b">
        <v>1</v>
      </c>
      <c r="O77" s="8" t="b">
        <v>1</v>
      </c>
    </row>
    <row r="78" hidden="1">
      <c r="B78" s="28" t="inlineStr">
        <is>
          <t>Apply tax to cement?</t>
        </is>
      </c>
      <c r="C78" s="28" t="n"/>
      <c r="D78" s="28" t="n"/>
      <c r="E78" s="28" t="n"/>
      <c r="F78" s="28" t="b">
        <v>1</v>
      </c>
      <c r="G78" s="28" t="b">
        <v>1</v>
      </c>
      <c r="H78" s="28" t="inlineStr">
        <is>
          <t>FbCovCem</t>
        </is>
      </c>
      <c r="J78" s="8" t="b">
        <v>1</v>
      </c>
      <c r="K78" s="8" t="b">
        <v>1</v>
      </c>
      <c r="L78" s="8" t="b">
        <v>1</v>
      </c>
      <c r="M78" s="8" t="b">
        <v>1</v>
      </c>
      <c r="N78" s="8" t="b">
        <v>1</v>
      </c>
      <c r="O78" s="8" t="b">
        <v>1</v>
      </c>
    </row>
    <row r="79" hidden="1">
      <c r="B79" s="28" t="inlineStr">
        <is>
          <t>Apply tax to other manucfacturing?</t>
        </is>
      </c>
      <c r="C79" s="28" t="n"/>
      <c r="D79" s="28" t="n"/>
      <c r="E79" s="28" t="n"/>
      <c r="F79" s="28" t="b">
        <v>1</v>
      </c>
      <c r="G79" s="28" t="b">
        <v>1</v>
      </c>
      <c r="H79" s="28" t="inlineStr">
        <is>
          <t>FbCovOmn</t>
        </is>
      </c>
      <c r="J79" s="8" t="b">
        <v>1</v>
      </c>
      <c r="K79" s="8" t="b">
        <v>1</v>
      </c>
      <c r="L79" s="8" t="b">
        <v>1</v>
      </c>
      <c r="M79" s="8" t="b">
        <v>1</v>
      </c>
      <c r="N79" s="8" t="b">
        <v>1</v>
      </c>
      <c r="O79" s="8" t="b">
        <v>1</v>
      </c>
    </row>
    <row r="80" hidden="1">
      <c r="B80" s="28" t="inlineStr">
        <is>
          <t>Apply tax to construction?</t>
        </is>
      </c>
      <c r="C80" s="28" t="n"/>
      <c r="D80" s="28" t="n"/>
      <c r="E80" s="28" t="n"/>
      <c r="F80" s="28" t="b">
        <v>1</v>
      </c>
      <c r="G80" s="28" t="b">
        <v>1</v>
      </c>
      <c r="H80" s="28" t="inlineStr">
        <is>
          <t>FbCovCst</t>
        </is>
      </c>
      <c r="J80" s="8" t="b">
        <v>1</v>
      </c>
      <c r="K80" s="8" t="b">
        <v>1</v>
      </c>
      <c r="L80" s="8" t="b">
        <v>1</v>
      </c>
      <c r="M80" s="8" t="b">
        <v>1</v>
      </c>
      <c r="N80" s="8" t="b">
        <v>1</v>
      </c>
      <c r="O80" s="8" t="b">
        <v>1</v>
      </c>
    </row>
    <row r="81" hidden="1">
      <c r="B81" s="28" t="inlineStr">
        <is>
          <t>Apply tax to fuel transformation?</t>
        </is>
      </c>
      <c r="C81" s="28" t="n"/>
      <c r="D81" s="28" t="n"/>
      <c r="E81" s="28" t="n"/>
      <c r="F81" s="28" t="b">
        <v>1</v>
      </c>
      <c r="G81" s="28" t="b">
        <v>1</v>
      </c>
      <c r="H81" s="28" t="inlineStr">
        <is>
          <t>FbCovFtr</t>
        </is>
      </c>
      <c r="J81" s="8" t="b">
        <v>1</v>
      </c>
      <c r="K81" s="8" t="b">
        <v>1</v>
      </c>
      <c r="L81" s="8" t="b">
        <v>1</v>
      </c>
      <c r="M81" s="8" t="b">
        <v>1</v>
      </c>
      <c r="N81" s="8" t="b">
        <v>1</v>
      </c>
      <c r="O81" s="8" t="b">
        <v>1</v>
      </c>
    </row>
    <row r="82" hidden="1">
      <c r="B82" s="28" t="inlineStr">
        <is>
          <t>Apply tax to other energy use?</t>
        </is>
      </c>
      <c r="C82" s="28" t="n"/>
      <c r="D82" s="28" t="n"/>
      <c r="E82" s="28" t="n"/>
      <c r="F82" s="28" t="b">
        <v>1</v>
      </c>
      <c r="G82" s="28" t="b">
        <v>1</v>
      </c>
      <c r="H82" s="28" t="inlineStr">
        <is>
          <t>FbCovOen</t>
        </is>
      </c>
      <c r="J82" s="8" t="b">
        <v>1</v>
      </c>
      <c r="K82" s="8" t="b">
        <v>1</v>
      </c>
      <c r="L82" s="8" t="b">
        <v>1</v>
      </c>
      <c r="M82" s="8" t="b">
        <v>1</v>
      </c>
      <c r="N82" s="8" t="b">
        <v>1</v>
      </c>
      <c r="O82" s="8" t="b">
        <v>1</v>
      </c>
    </row>
    <row r="83" hidden="1">
      <c r="B83" s="26" t="inlineStr">
        <is>
          <t>ETS Main Characteristics</t>
        </is>
      </c>
    </row>
    <row r="84" hidden="1">
      <c r="B84" s="28" t="inlineStr">
        <is>
          <t>Apply new ETS?</t>
        </is>
      </c>
      <c r="C84" s="28" t="n"/>
      <c r="D84" s="28" t="n"/>
      <c r="E84" s="28" t="n"/>
      <c r="F84" s="28" t="inlineStr">
        <is>
          <t>No</t>
        </is>
      </c>
      <c r="G84" s="28" t="inlineStr">
        <is>
          <t>No</t>
        </is>
      </c>
      <c r="H84" s="28" t="inlineStr">
        <is>
          <t>NewETS</t>
        </is>
      </c>
      <c r="J84" s="8" t="inlineStr">
        <is>
          <t>No</t>
        </is>
      </c>
      <c r="K84" s="8" t="inlineStr">
        <is>
          <t>No</t>
        </is>
      </c>
      <c r="L84" s="8" t="inlineStr">
        <is>
          <t>No</t>
        </is>
      </c>
      <c r="M84" s="8" t="inlineStr">
        <is>
          <t>No</t>
        </is>
      </c>
      <c r="N84" s="29" t="inlineStr">
        <is>
          <t>Yes</t>
        </is>
      </c>
      <c r="O84" s="8" t="inlineStr">
        <is>
          <t>No</t>
        </is>
      </c>
    </row>
    <row r="85" hidden="1">
      <c r="B85" s="28" t="inlineStr">
        <is>
          <t>Change Relative to Baseline in Start Year</t>
        </is>
      </c>
      <c r="C85" s="28" t="n"/>
      <c r="D85" s="28" t="n"/>
      <c r="E85" s="28" t="n"/>
      <c r="F85" s="28" t="n">
        <v>0</v>
      </c>
      <c r="G85" s="28" t="n">
        <v>0</v>
      </c>
      <c r="H85" s="28" t="inlineStr">
        <is>
          <t>ETSChangeRelStart</t>
        </is>
      </c>
      <c r="J85" s="8" t="n">
        <v>0</v>
      </c>
      <c r="K85" s="8" t="n">
        <v>0</v>
      </c>
      <c r="L85" s="8" t="n">
        <v>0</v>
      </c>
      <c r="M85" s="8" t="n">
        <v>0</v>
      </c>
      <c r="N85" s="29" t="n">
        <v>-0.05</v>
      </c>
      <c r="O85" s="8" t="n">
        <v>0</v>
      </c>
    </row>
    <row r="86" hidden="1">
      <c r="B86" s="28" t="inlineStr">
        <is>
          <t>Change Relative to Baseline in Target Year</t>
        </is>
      </c>
      <c r="C86" s="28" t="n"/>
      <c r="D86" s="28" t="n"/>
      <c r="E86" s="28" t="n"/>
      <c r="F86" s="28" t="n">
        <v>0</v>
      </c>
      <c r="G86" s="28" t="n">
        <v>0</v>
      </c>
      <c r="H86" s="28" t="inlineStr">
        <is>
          <t>ETSChangeRelTarget</t>
        </is>
      </c>
      <c r="J86" s="8" t="n">
        <v>0</v>
      </c>
      <c r="K86" s="8" t="n">
        <v>0</v>
      </c>
      <c r="L86" s="8" t="n">
        <v>0</v>
      </c>
      <c r="M86" s="8" t="n">
        <v>0</v>
      </c>
      <c r="N86" s="29" t="n">
        <v>-0.2</v>
      </c>
      <c r="O86" s="8" t="n">
        <v>0</v>
      </c>
    </row>
    <row r="87" hidden="1">
      <c r="B87" s="28" t="inlineStr">
        <is>
          <t>Cap continuation after target year?</t>
        </is>
      </c>
      <c r="C87" s="28" t="n"/>
      <c r="D87" s="28" t="n"/>
      <c r="E87" s="28" t="n"/>
      <c r="F87" s="28" t="inlineStr">
        <is>
          <t>Constant</t>
        </is>
      </c>
      <c r="G87" s="28" t="inlineStr">
        <is>
          <t>KeepRelativeCapConstant</t>
        </is>
      </c>
      <c r="H87" s="28" t="inlineStr">
        <is>
          <t>ETSCapCont</t>
        </is>
      </c>
      <c r="J87" s="8" t="inlineStr">
        <is>
          <t>Constant</t>
        </is>
      </c>
      <c r="K87" s="8" t="inlineStr">
        <is>
          <t>Constant</t>
        </is>
      </c>
      <c r="L87" s="8" t="inlineStr">
        <is>
          <t>Constant</t>
        </is>
      </c>
      <c r="M87" s="8" t="inlineStr">
        <is>
          <t>Constant</t>
        </is>
      </c>
      <c r="N87" s="29" t="inlineStr">
        <is>
          <t>Constant</t>
        </is>
      </c>
      <c r="O87" s="8" t="inlineStr">
        <is>
          <t>Constant</t>
        </is>
      </c>
    </row>
    <row r="88" hidden="1">
      <c r="B88" s="28" t="inlineStr">
        <is>
          <t>ETS Start Year</t>
        </is>
      </c>
      <c r="C88" s="28" t="n"/>
      <c r="D88" s="28" t="n"/>
      <c r="E88" s="28" t="n"/>
      <c r="F88" s="28" t="n">
        <v>2027</v>
      </c>
      <c r="G88" s="28" t="n">
        <v>2026</v>
      </c>
      <c r="H88" s="28" t="inlineStr">
        <is>
          <t>ETSIntro</t>
        </is>
      </c>
      <c r="J88" s="8" t="n">
        <v>2027</v>
      </c>
      <c r="K88" s="8" t="n">
        <v>2027</v>
      </c>
      <c r="L88" s="8" t="n">
        <v>2027</v>
      </c>
      <c r="M88" s="8" t="n">
        <v>2027</v>
      </c>
      <c r="N88" s="29" t="n">
        <v>2027</v>
      </c>
      <c r="O88" s="8" t="n">
        <v>2027</v>
      </c>
    </row>
    <row r="89" hidden="1">
      <c r="B89" s="28" t="inlineStr">
        <is>
          <t>ETS Target Year</t>
        </is>
      </c>
      <c r="C89" s="28" t="n"/>
      <c r="D89" s="28" t="n"/>
      <c r="E89" s="28" t="n"/>
      <c r="F89" s="28" t="n">
        <v>2035</v>
      </c>
      <c r="G89" s="28" t="n">
        <v>2035</v>
      </c>
      <c r="H89" s="28" t="inlineStr">
        <is>
          <t>ETSOutro</t>
        </is>
      </c>
      <c r="J89" s="8" t="n">
        <v>2035</v>
      </c>
      <c r="K89" s="8" t="n">
        <v>2035</v>
      </c>
      <c r="L89" s="8" t="n">
        <v>2035</v>
      </c>
      <c r="M89" s="8" t="n">
        <v>2035</v>
      </c>
      <c r="N89" s="29" t="n">
        <v>2035</v>
      </c>
      <c r="O89" s="8" t="n">
        <v>2035</v>
      </c>
    </row>
    <row r="90" hidden="1">
      <c r="B90" s="28" t="inlineStr">
        <is>
          <t>Proportion Auctioned in Starting Year</t>
        </is>
      </c>
      <c r="C90" s="28" t="n"/>
      <c r="D90" s="28" t="n"/>
      <c r="E90" s="28" t="n"/>
      <c r="F90" s="28" t="n">
        <v>0</v>
      </c>
      <c r="G90" s="28" t="n">
        <v>0</v>
      </c>
      <c r="H90" s="28" t="inlineStr">
        <is>
          <t>ETSAuctStart</t>
        </is>
      </c>
      <c r="J90" s="8" t="n">
        <v>0</v>
      </c>
      <c r="K90" s="8" t="n">
        <v>0</v>
      </c>
      <c r="L90" s="8" t="n">
        <v>0</v>
      </c>
      <c r="M90" s="8" t="n">
        <v>0</v>
      </c>
      <c r="N90" s="8" t="n">
        <v>0</v>
      </c>
      <c r="O90" s="8" t="n">
        <v>0</v>
      </c>
    </row>
    <row r="91" hidden="1">
      <c r="B91" s="28" t="inlineStr">
        <is>
          <t>Proportion Auctioned in Target Year</t>
        </is>
      </c>
      <c r="C91" s="28" t="n"/>
      <c r="D91" s="28" t="n"/>
      <c r="E91" s="28" t="n"/>
      <c r="F91" s="28" t="n">
        <v>0</v>
      </c>
      <c r="G91" s="28" t="n">
        <v>1</v>
      </c>
      <c r="H91" s="28" t="inlineStr">
        <is>
          <t>ETSAuctTarget</t>
        </is>
      </c>
      <c r="J91" s="8" t="n">
        <v>0</v>
      </c>
      <c r="K91" s="8" t="n">
        <v>0</v>
      </c>
      <c r="L91" s="8" t="n">
        <v>0</v>
      </c>
      <c r="M91" s="8" t="n">
        <v>0</v>
      </c>
      <c r="N91" s="8" t="n">
        <v>0</v>
      </c>
      <c r="O91" s="8" t="n">
        <v>0</v>
      </c>
    </row>
    <row r="92" hidden="1">
      <c r="B92" s="28" t="inlineStr">
        <is>
          <t>Auction proportion continuation after target year?</t>
        </is>
      </c>
      <c r="C92" s="28" t="n"/>
      <c r="D92" s="28" t="n"/>
      <c r="E92" s="28" t="n"/>
      <c r="F92" s="28" t="inlineStr">
        <is>
          <t>Constant</t>
        </is>
      </c>
      <c r="G92" s="28" t="inlineStr">
        <is>
          <t>Constant</t>
        </is>
      </c>
      <c r="H92" s="28" t="inlineStr">
        <is>
          <t>ETSAuctCont</t>
        </is>
      </c>
      <c r="J92" s="8" t="inlineStr">
        <is>
          <t>Constant</t>
        </is>
      </c>
      <c r="K92" s="8" t="inlineStr">
        <is>
          <t>Constant</t>
        </is>
      </c>
      <c r="L92" s="8" t="inlineStr">
        <is>
          <t>Constant</t>
        </is>
      </c>
      <c r="M92" s="8" t="inlineStr">
        <is>
          <t>Constant</t>
        </is>
      </c>
      <c r="N92" s="8" t="inlineStr">
        <is>
          <t>Constant</t>
        </is>
      </c>
      <c r="O92" s="8" t="inlineStr">
        <is>
          <t>Constant</t>
        </is>
      </c>
    </row>
    <row r="93" hidden="1">
      <c r="B93" s="28" t="inlineStr">
        <is>
          <t>Override ETS price</t>
        </is>
      </c>
      <c r="C93" s="28" t="n"/>
      <c r="D93" s="28" t="n"/>
      <c r="E93" s="28" t="n"/>
      <c r="F93" s="28" t="inlineStr">
        <is>
          <t>No</t>
        </is>
      </c>
      <c r="G93" s="28" t="inlineStr">
        <is>
          <t>No</t>
        </is>
      </c>
      <c r="H93" s="28" t="inlineStr">
        <is>
          <t>ETSPriceOverride</t>
        </is>
      </c>
      <c r="J93" s="8" t="inlineStr">
        <is>
          <t>No</t>
        </is>
      </c>
      <c r="K93" s="8" t="inlineStr">
        <is>
          <t>No</t>
        </is>
      </c>
      <c r="L93" s="8" t="inlineStr">
        <is>
          <t>No</t>
        </is>
      </c>
      <c r="M93" s="8" t="inlineStr">
        <is>
          <t>No</t>
        </is>
      </c>
      <c r="N93" s="8" t="inlineStr">
        <is>
          <t>No</t>
        </is>
      </c>
      <c r="O93" s="8" t="inlineStr">
        <is>
          <t>No</t>
        </is>
      </c>
    </row>
    <row r="94" hidden="1">
      <c r="B94" s="26" t="inlineStr">
        <is>
          <t>ETS: modelling assumptions</t>
        </is>
      </c>
    </row>
    <row r="95" hidden="1">
      <c r="B95" s="28" t="inlineStr">
        <is>
          <t>ETS Volatility</t>
        </is>
      </c>
      <c r="C95" s="28" t="n"/>
      <c r="D95" s="28" t="n"/>
      <c r="E95" s="28" t="n"/>
      <c r="F95" s="28" t="inlineStr">
        <is>
          <t>Medium*</t>
        </is>
      </c>
      <c r="G95" s="28" t="inlineStr">
        <is>
          <t>Medium*</t>
        </is>
      </c>
      <c r="H95" s="28" t="inlineStr">
        <is>
          <t>ETSVolatility</t>
        </is>
      </c>
      <c r="J95" s="8" t="inlineStr">
        <is>
          <t>Medium*</t>
        </is>
      </c>
      <c r="K95" s="8" t="inlineStr">
        <is>
          <t>Medium*</t>
        </is>
      </c>
      <c r="L95" s="8" t="inlineStr">
        <is>
          <t>Medium*</t>
        </is>
      </c>
      <c r="M95" s="8" t="inlineStr">
        <is>
          <t>Medium*</t>
        </is>
      </c>
      <c r="N95" s="8" t="inlineStr">
        <is>
          <t>Medium*</t>
        </is>
      </c>
      <c r="O95" s="8" t="inlineStr">
        <is>
          <t>Medium*</t>
        </is>
      </c>
    </row>
    <row r="96" hidden="1">
      <c r="B96" s="28" t="inlineStr">
        <is>
          <t>Impact of Volatility on Abatement Costs</t>
        </is>
      </c>
      <c r="C96" s="28" t="n"/>
      <c r="D96" s="28" t="n"/>
      <c r="E96" s="28" t="n"/>
      <c r="F96" s="28" t="inlineStr">
        <is>
          <t>Medium*</t>
        </is>
      </c>
      <c r="G96" s="28" t="inlineStr">
        <is>
          <t>Medium*</t>
        </is>
      </c>
      <c r="H96" s="28" t="inlineStr">
        <is>
          <t>ETSVolImpact</t>
        </is>
      </c>
      <c r="J96" s="8" t="inlineStr">
        <is>
          <t>Medium*</t>
        </is>
      </c>
      <c r="K96" s="8" t="inlineStr">
        <is>
          <t>Medium*</t>
        </is>
      </c>
      <c r="L96" s="8" t="inlineStr">
        <is>
          <t>Medium*</t>
        </is>
      </c>
      <c r="M96" s="8" t="inlineStr">
        <is>
          <t>Medium*</t>
        </is>
      </c>
      <c r="N96" s="8" t="inlineStr">
        <is>
          <t>Medium*</t>
        </is>
      </c>
      <c r="O96" s="8" t="inlineStr">
        <is>
          <t>Medium*</t>
        </is>
      </c>
    </row>
    <row r="97" hidden="1">
      <c r="B97" s="28" t="inlineStr">
        <is>
          <t>Carbon Tax Policy Risk</t>
        </is>
      </c>
      <c r="C97" s="28" t="n"/>
      <c r="D97" s="28" t="n"/>
      <c r="E97" s="28" t="n"/>
      <c r="F97" s="28" t="n">
        <v>0.2</v>
      </c>
      <c r="G97" s="28" t="n">
        <v>0.2</v>
      </c>
      <c r="H97" s="28" t="inlineStr">
        <is>
          <t>ETSCTRisk</t>
        </is>
      </c>
      <c r="J97" s="8" t="n">
        <v>0.2</v>
      </c>
      <c r="K97" s="8" t="n">
        <v>0.2</v>
      </c>
      <c r="L97" s="8" t="n">
        <v>0.2</v>
      </c>
      <c r="M97" s="8" t="n">
        <v>0.2</v>
      </c>
      <c r="N97" s="8" t="n">
        <v>0.2</v>
      </c>
      <c r="O97" s="8" t="n">
        <v>0.2</v>
      </c>
    </row>
    <row r="98" hidden="1">
      <c r="B98" s="26" t="inlineStr">
        <is>
          <t>ETS: sector coverage</t>
        </is>
      </c>
    </row>
    <row r="99" hidden="1">
      <c r="B99" s="28" t="inlineStr">
        <is>
          <t>power sector</t>
        </is>
      </c>
      <c r="C99" s="28" t="inlineStr">
        <is>
          <t>switch</t>
        </is>
      </c>
      <c r="D99" s="28" t="n"/>
      <c r="E99" s="28" t="n"/>
      <c r="F99" s="28" t="b">
        <v>1</v>
      </c>
      <c r="G99" s="28" t="b">
        <v>1</v>
      </c>
      <c r="H99" s="28" t="inlineStr">
        <is>
          <t>ETSCovPow</t>
        </is>
      </c>
      <c r="J99" s="8" t="b">
        <v>1</v>
      </c>
      <c r="K99" s="8" t="b">
        <v>1</v>
      </c>
      <c r="L99" s="8" t="b">
        <v>1</v>
      </c>
      <c r="M99" s="8" t="b">
        <v>1</v>
      </c>
      <c r="N99" s="8" t="b">
        <v>1</v>
      </c>
      <c r="O99" s="8" t="b">
        <v>1</v>
      </c>
    </row>
    <row r="100" hidden="1">
      <c r="B100" s="28" t="inlineStr">
        <is>
          <t>road transportation</t>
        </is>
      </c>
      <c r="C100" s="28" t="n"/>
      <c r="D100" s="28" t="n"/>
      <c r="E100" s="28" t="n"/>
      <c r="F100" s="28" t="b">
        <v>0</v>
      </c>
      <c r="G100" s="28" t="b">
        <v>1</v>
      </c>
      <c r="H100" s="28" t="inlineStr">
        <is>
          <t>ETSCovRod</t>
        </is>
      </c>
      <c r="J100" s="8" t="b">
        <v>0</v>
      </c>
      <c r="K100" s="8" t="b">
        <v>0</v>
      </c>
      <c r="L100" s="8" t="b">
        <v>0</v>
      </c>
      <c r="M100" s="8" t="b">
        <v>0</v>
      </c>
      <c r="N100" s="8" t="b">
        <v>0</v>
      </c>
      <c r="O100" s="8" t="b">
        <v>0</v>
      </c>
    </row>
    <row r="101" hidden="1">
      <c r="B101" s="28" t="inlineStr">
        <is>
          <t>rail transportation</t>
        </is>
      </c>
      <c r="C101" s="28" t="n"/>
      <c r="D101" s="28" t="n"/>
      <c r="E101" s="28" t="n"/>
      <c r="F101" s="28" t="b">
        <v>0</v>
      </c>
      <c r="G101" s="28" t="b">
        <v>1</v>
      </c>
      <c r="H101" s="28" t="inlineStr">
        <is>
          <t>ETSCovRal</t>
        </is>
      </c>
      <c r="J101" s="8" t="b">
        <v>0</v>
      </c>
      <c r="K101" s="8" t="b">
        <v>0</v>
      </c>
      <c r="L101" s="8" t="b">
        <v>0</v>
      </c>
      <c r="M101" s="8" t="b">
        <v>0</v>
      </c>
      <c r="N101" s="8" t="b">
        <v>0</v>
      </c>
      <c r="O101" s="8" t="b">
        <v>0</v>
      </c>
    </row>
    <row r="102" hidden="1">
      <c r="B102" s="28" t="inlineStr">
        <is>
          <t>domestic aviation</t>
        </is>
      </c>
      <c r="C102" s="28" t="n"/>
      <c r="D102" s="28" t="n"/>
      <c r="E102" s="28" t="n"/>
      <c r="F102" s="28" t="b">
        <v>0</v>
      </c>
      <c r="G102" s="28" t="b">
        <v>1</v>
      </c>
      <c r="H102" s="28" t="inlineStr">
        <is>
          <t>ETSCovAvi</t>
        </is>
      </c>
      <c r="J102" s="8" t="b">
        <v>0</v>
      </c>
      <c r="K102" s="8" t="b">
        <v>0</v>
      </c>
      <c r="L102" s="8" t="b">
        <v>0</v>
      </c>
      <c r="M102" s="8" t="b">
        <v>0</v>
      </c>
      <c r="N102" s="8" t="b">
        <v>0</v>
      </c>
      <c r="O102" s="8" t="b">
        <v>0</v>
      </c>
    </row>
    <row r="103" hidden="1">
      <c r="B103" s="28" t="inlineStr">
        <is>
          <t>domestic shipping</t>
        </is>
      </c>
      <c r="C103" s="28" t="n"/>
      <c r="D103" s="28" t="n"/>
      <c r="E103" s="28" t="n"/>
      <c r="F103" s="28" t="b">
        <v>0</v>
      </c>
      <c r="G103" s="28" t="b">
        <v>1</v>
      </c>
      <c r="H103" s="28" t="inlineStr">
        <is>
          <t>ETSCovNav</t>
        </is>
      </c>
      <c r="J103" s="8" t="b">
        <v>0</v>
      </c>
      <c r="K103" s="8" t="b">
        <v>0</v>
      </c>
      <c r="L103" s="8" t="b">
        <v>0</v>
      </c>
      <c r="M103" s="8" t="b">
        <v>0</v>
      </c>
      <c r="N103" s="8" t="b">
        <v>0</v>
      </c>
      <c r="O103" s="8" t="b">
        <v>0</v>
      </c>
    </row>
    <row r="104" hidden="1">
      <c r="B104" s="28" t="inlineStr">
        <is>
          <t>residential</t>
        </is>
      </c>
      <c r="C104" s="28" t="inlineStr">
        <is>
          <t>switch</t>
        </is>
      </c>
      <c r="D104" s="28" t="n"/>
      <c r="E104" s="28" t="n"/>
      <c r="F104" s="28" t="b">
        <v>0</v>
      </c>
      <c r="G104" s="28" t="b">
        <v>1</v>
      </c>
      <c r="H104" s="28" t="inlineStr">
        <is>
          <t>ETSCovRes</t>
        </is>
      </c>
      <c r="J104" s="8" t="b">
        <v>0</v>
      </c>
      <c r="K104" s="8" t="b">
        <v>0</v>
      </c>
      <c r="L104" s="8" t="b">
        <v>0</v>
      </c>
      <c r="M104" s="8" t="b">
        <v>0</v>
      </c>
      <c r="N104" s="8" t="b">
        <v>0</v>
      </c>
      <c r="O104" s="8" t="b">
        <v>0</v>
      </c>
    </row>
    <row r="105" hidden="1">
      <c r="B105" s="28" t="inlineStr">
        <is>
          <t>food &amp; forestry</t>
        </is>
      </c>
      <c r="C105" s="28" t="n"/>
      <c r="D105" s="28" t="n"/>
      <c r="E105" s="28" t="n"/>
      <c r="F105" s="28" t="b">
        <v>0</v>
      </c>
      <c r="G105" s="28" t="b">
        <v>1</v>
      </c>
      <c r="H105" s="28" t="inlineStr">
        <is>
          <t>ETSCovFoo</t>
        </is>
      </c>
      <c r="J105" s="8" t="b">
        <v>0</v>
      </c>
      <c r="K105" s="8" t="b">
        <v>0</v>
      </c>
      <c r="L105" s="8" t="b">
        <v>0</v>
      </c>
      <c r="M105" s="8" t="b">
        <v>0</v>
      </c>
      <c r="N105" s="8" t="b">
        <v>0</v>
      </c>
      <c r="O105" s="8" t="b">
        <v>0</v>
      </c>
    </row>
    <row r="106" hidden="1">
      <c r="B106" s="28" t="inlineStr">
        <is>
          <t>services (private / public)</t>
        </is>
      </c>
      <c r="C106" s="28" t="n"/>
      <c r="D106" s="28" t="n"/>
      <c r="E106" s="28" t="n"/>
      <c r="F106" s="28" t="b">
        <v>0</v>
      </c>
      <c r="G106" s="28" t="b">
        <v>1</v>
      </c>
      <c r="H106" s="28" t="inlineStr">
        <is>
          <t>ETSCovSrv</t>
        </is>
      </c>
      <c r="J106" s="8" t="b">
        <v>0</v>
      </c>
      <c r="K106" s="8" t="b">
        <v>0</v>
      </c>
      <c r="L106" s="8" t="b">
        <v>0</v>
      </c>
      <c r="M106" s="8" t="b">
        <v>0</v>
      </c>
      <c r="N106" s="8" t="b">
        <v>0</v>
      </c>
      <c r="O106" s="8" t="b">
        <v>0</v>
      </c>
    </row>
    <row r="107" hidden="1">
      <c r="B107" s="28" t="inlineStr">
        <is>
          <t>mining &amp; chemicals</t>
        </is>
      </c>
      <c r="C107" s="28" t="n"/>
      <c r="D107" s="28" t="n"/>
      <c r="E107" s="28" t="n"/>
      <c r="F107" s="28" t="b">
        <v>1</v>
      </c>
      <c r="G107" s="28" t="b">
        <v>1</v>
      </c>
      <c r="H107" s="28" t="inlineStr">
        <is>
          <t>ETSCovMch</t>
        </is>
      </c>
      <c r="J107" s="8" t="b">
        <v>1</v>
      </c>
      <c r="K107" s="8" t="b">
        <v>1</v>
      </c>
      <c r="L107" s="8" t="b">
        <v>1</v>
      </c>
      <c r="M107" s="8" t="b">
        <v>1</v>
      </c>
      <c r="N107" s="8" t="b">
        <v>1</v>
      </c>
      <c r="O107" s="8" t="b">
        <v>1</v>
      </c>
    </row>
    <row r="108" hidden="1">
      <c r="B108" s="28" t="inlineStr">
        <is>
          <t>iron and steel</t>
        </is>
      </c>
      <c r="C108" s="28" t="n"/>
      <c r="D108" s="28" t="n"/>
      <c r="E108" s="28" t="n"/>
      <c r="F108" s="28" t="b">
        <v>1</v>
      </c>
      <c r="G108" s="28" t="b">
        <v>1</v>
      </c>
      <c r="H108" s="28" t="inlineStr">
        <is>
          <t>ETSCovIrn</t>
        </is>
      </c>
      <c r="J108" s="8" t="b">
        <v>1</v>
      </c>
      <c r="K108" s="8" t="b">
        <v>1</v>
      </c>
      <c r="L108" s="8" t="b">
        <v>1</v>
      </c>
      <c r="M108" s="8" t="b">
        <v>1</v>
      </c>
      <c r="N108" s="8" t="b">
        <v>1</v>
      </c>
      <c r="O108" s="8" t="b">
        <v>1</v>
      </c>
    </row>
    <row r="109" hidden="1">
      <c r="B109" s="28" t="inlineStr">
        <is>
          <t>non-ferrous metals</t>
        </is>
      </c>
      <c r="C109" s="28" t="n"/>
      <c r="D109" s="28" t="n"/>
      <c r="E109" s="28" t="n"/>
      <c r="F109" s="28" t="b">
        <v>1</v>
      </c>
      <c r="G109" s="28" t="b">
        <v>1</v>
      </c>
      <c r="H109" s="28" t="inlineStr">
        <is>
          <t>ETSCovNfm</t>
        </is>
      </c>
      <c r="J109" s="8" t="b">
        <v>1</v>
      </c>
      <c r="K109" s="8" t="b">
        <v>1</v>
      </c>
      <c r="L109" s="8" t="b">
        <v>1</v>
      </c>
      <c r="M109" s="8" t="b">
        <v>1</v>
      </c>
      <c r="N109" s="8" t="b">
        <v>1</v>
      </c>
      <c r="O109" s="8" t="b">
        <v>1</v>
      </c>
    </row>
    <row r="110" hidden="1">
      <c r="B110" s="28" t="inlineStr">
        <is>
          <t>machinery</t>
        </is>
      </c>
      <c r="C110" s="28" t="n"/>
      <c r="D110" s="28" t="n"/>
      <c r="E110" s="28" t="n"/>
      <c r="F110" s="28" t="b">
        <v>0</v>
      </c>
      <c r="G110" s="28" t="b">
        <v>1</v>
      </c>
      <c r="H110" s="28" t="inlineStr">
        <is>
          <t>ETSCovMac</t>
        </is>
      </c>
      <c r="J110" s="8" t="b">
        <v>0</v>
      </c>
      <c r="K110" s="8" t="b">
        <v>0</v>
      </c>
      <c r="L110" s="8" t="b">
        <v>0</v>
      </c>
      <c r="M110" s="8" t="b">
        <v>0</v>
      </c>
      <c r="N110" s="8" t="b">
        <v>0</v>
      </c>
      <c r="O110" s="8" t="b">
        <v>0</v>
      </c>
    </row>
    <row r="111" hidden="1">
      <c r="B111" s="28" t="inlineStr">
        <is>
          <t>cement</t>
        </is>
      </c>
      <c r="C111" s="28" t="n"/>
      <c r="D111" s="28" t="n"/>
      <c r="E111" s="28" t="n"/>
      <c r="F111" s="28" t="b">
        <v>1</v>
      </c>
      <c r="G111" s="28" t="b">
        <v>1</v>
      </c>
      <c r="H111" s="28" t="inlineStr">
        <is>
          <t>ETSCovCem</t>
        </is>
      </c>
      <c r="J111" s="8" t="b">
        <v>1</v>
      </c>
      <c r="K111" s="8" t="b">
        <v>1</v>
      </c>
      <c r="L111" s="8" t="b">
        <v>1</v>
      </c>
      <c r="M111" s="8" t="b">
        <v>1</v>
      </c>
      <c r="N111" s="8" t="b">
        <v>1</v>
      </c>
      <c r="O111" s="8" t="b">
        <v>1</v>
      </c>
    </row>
    <row r="112" hidden="1">
      <c r="B112" s="28" t="inlineStr">
        <is>
          <t>other manucfacturing</t>
        </is>
      </c>
      <c r="C112" s="28" t="n"/>
      <c r="D112" s="28" t="n"/>
      <c r="E112" s="28" t="n"/>
      <c r="F112" s="28" t="b">
        <v>0</v>
      </c>
      <c r="G112" s="28" t="b">
        <v>1</v>
      </c>
      <c r="H112" s="28" t="inlineStr">
        <is>
          <t>ETSCovOmn</t>
        </is>
      </c>
      <c r="J112" s="8" t="b">
        <v>0</v>
      </c>
      <c r="K112" s="8" t="b">
        <v>0</v>
      </c>
      <c r="L112" s="8" t="b">
        <v>0</v>
      </c>
      <c r="M112" s="8" t="b">
        <v>0</v>
      </c>
      <c r="N112" s="8" t="b">
        <v>0</v>
      </c>
      <c r="O112" s="8" t="b">
        <v>0</v>
      </c>
    </row>
    <row r="113" hidden="1">
      <c r="B113" s="28" t="inlineStr">
        <is>
          <t>construction</t>
        </is>
      </c>
      <c r="C113" s="28" t="n"/>
      <c r="D113" s="28" t="n"/>
      <c r="E113" s="28" t="n"/>
      <c r="F113" s="28" t="b">
        <v>0</v>
      </c>
      <c r="G113" s="28" t="b">
        <v>1</v>
      </c>
      <c r="H113" s="28" t="inlineStr">
        <is>
          <t>ETSCovCst</t>
        </is>
      </c>
      <c r="J113" s="8" t="b">
        <v>0</v>
      </c>
      <c r="K113" s="8" t="b">
        <v>0</v>
      </c>
      <c r="L113" s="8" t="b">
        <v>0</v>
      </c>
      <c r="M113" s="8" t="b">
        <v>0</v>
      </c>
      <c r="N113" s="8" t="b">
        <v>0</v>
      </c>
      <c r="O113" s="8" t="b">
        <v>0</v>
      </c>
    </row>
    <row r="114" hidden="1">
      <c r="B114" s="28" t="inlineStr">
        <is>
          <t>fuel transformation</t>
        </is>
      </c>
      <c r="C114" s="28" t="n"/>
      <c r="D114" s="28" t="n"/>
      <c r="E114" s="28" t="n"/>
      <c r="F114" s="28" t="b">
        <v>0</v>
      </c>
      <c r="G114" s="28" t="b">
        <v>1</v>
      </c>
      <c r="H114" s="28" t="inlineStr">
        <is>
          <t>ETSCovFtr</t>
        </is>
      </c>
      <c r="J114" s="8" t="b">
        <v>0</v>
      </c>
      <c r="K114" s="8" t="b">
        <v>0</v>
      </c>
      <c r="L114" s="8" t="b">
        <v>0</v>
      </c>
      <c r="M114" s="8" t="b">
        <v>0</v>
      </c>
      <c r="N114" s="8" t="b">
        <v>0</v>
      </c>
      <c r="O114" s="8" t="b">
        <v>0</v>
      </c>
    </row>
    <row r="115" hidden="1">
      <c r="B115" s="28" t="inlineStr">
        <is>
          <t>other energy use</t>
        </is>
      </c>
      <c r="C115" s="28" t="n"/>
      <c r="D115" s="28" t="n"/>
      <c r="E115" s="28" t="n"/>
      <c r="F115" s="28" t="b">
        <v>0</v>
      </c>
      <c r="G115" s="28" t="b">
        <v>1</v>
      </c>
      <c r="H115" s="28" t="inlineStr">
        <is>
          <t>ETSCovOen</t>
        </is>
      </c>
      <c r="J115" s="8" t="b">
        <v>0</v>
      </c>
      <c r="K115" s="8" t="b">
        <v>0</v>
      </c>
      <c r="L115" s="8" t="b">
        <v>0</v>
      </c>
      <c r="M115" s="8" t="b">
        <v>0</v>
      </c>
      <c r="N115" s="8" t="b">
        <v>0</v>
      </c>
      <c r="O115" s="8" t="b">
        <v>0</v>
      </c>
    </row>
    <row r="116" hidden="1">
      <c r="B116" s="26" t="inlineStr">
        <is>
          <t>CBAM Goods Non-Fuel Process Emissions</t>
        </is>
      </c>
    </row>
    <row r="117" hidden="1">
      <c r="B117" s="28" t="inlineStr">
        <is>
          <t>mining &amp; chemicals</t>
        </is>
      </c>
      <c r="C117" s="28" t="n"/>
      <c r="D117" s="28" t="n"/>
      <c r="E117" s="28" t="n"/>
      <c r="F117" s="28" t="b">
        <v>0</v>
      </c>
      <c r="G117" s="28" t="b">
        <v>1</v>
      </c>
      <c r="H117" s="28" t="inlineStr">
        <is>
          <t>CBAMProcMch</t>
        </is>
      </c>
      <c r="J117" s="8" t="b">
        <v>0</v>
      </c>
      <c r="K117" s="8" t="b">
        <v>0</v>
      </c>
      <c r="L117" s="8" t="b">
        <v>0</v>
      </c>
      <c r="M117" s="8" t="b">
        <v>0</v>
      </c>
      <c r="N117" s="8" t="b">
        <v>0</v>
      </c>
      <c r="O117" s="8" t="b">
        <v>0</v>
      </c>
    </row>
    <row r="118" hidden="1">
      <c r="B118" s="28" t="inlineStr">
        <is>
          <t>iron and steel</t>
        </is>
      </c>
      <c r="C118" s="28" t="n"/>
      <c r="D118" s="28" t="n"/>
      <c r="E118" s="28" t="n"/>
      <c r="F118" s="28" t="b">
        <v>0</v>
      </c>
      <c r="G118" s="28" t="b">
        <v>1</v>
      </c>
      <c r="H118" s="28" t="inlineStr">
        <is>
          <t>CBAMProcIrn</t>
        </is>
      </c>
      <c r="J118" s="8" t="b">
        <v>0</v>
      </c>
      <c r="K118" s="8" t="b">
        <v>0</v>
      </c>
      <c r="L118" s="8" t="b">
        <v>0</v>
      </c>
      <c r="M118" s="8" t="b">
        <v>0</v>
      </c>
      <c r="N118" s="8" t="b">
        <v>0</v>
      </c>
      <c r="O118" s="8" t="b">
        <v>0</v>
      </c>
    </row>
    <row r="119" hidden="1">
      <c r="B119" s="28" t="inlineStr">
        <is>
          <t>non-ferrous metals</t>
        </is>
      </c>
      <c r="C119" s="28" t="n"/>
      <c r="D119" s="28" t="n"/>
      <c r="E119" s="28" t="n"/>
      <c r="F119" s="28" t="b">
        <v>0</v>
      </c>
      <c r="G119" s="28" t="b">
        <v>1</v>
      </c>
      <c r="H119" s="28" t="inlineStr">
        <is>
          <t>CBAMProcNfm</t>
        </is>
      </c>
      <c r="J119" s="8" t="b">
        <v>0</v>
      </c>
      <c r="K119" s="8" t="b">
        <v>0</v>
      </c>
      <c r="L119" s="8" t="b">
        <v>0</v>
      </c>
      <c r="M119" s="8" t="b">
        <v>0</v>
      </c>
      <c r="N119" s="8" t="b">
        <v>0</v>
      </c>
      <c r="O119" s="8" t="b">
        <v>0</v>
      </c>
    </row>
    <row r="120" hidden="1">
      <c r="B120" s="28" t="inlineStr">
        <is>
          <t>machinery</t>
        </is>
      </c>
      <c r="C120" s="28" t="n"/>
      <c r="D120" s="28" t="n"/>
      <c r="E120" s="28" t="n"/>
      <c r="F120" s="28" t="b">
        <v>0</v>
      </c>
      <c r="G120" s="28" t="b">
        <v>0</v>
      </c>
      <c r="H120" s="28" t="inlineStr">
        <is>
          <t>CBAMProcMac</t>
        </is>
      </c>
      <c r="J120" s="8" t="b">
        <v>0</v>
      </c>
      <c r="K120" s="8" t="b">
        <v>0</v>
      </c>
      <c r="L120" s="8" t="b">
        <v>0</v>
      </c>
      <c r="M120" s="8" t="b">
        <v>0</v>
      </c>
      <c r="N120" s="8" t="b">
        <v>0</v>
      </c>
      <c r="O120" s="8" t="b">
        <v>0</v>
      </c>
    </row>
    <row r="121" hidden="1">
      <c r="B121" s="28" t="inlineStr">
        <is>
          <t>cement</t>
        </is>
      </c>
      <c r="C121" s="28" t="n"/>
      <c r="D121" s="28" t="n"/>
      <c r="E121" s="28" t="n"/>
      <c r="F121" s="28" t="b">
        <v>0</v>
      </c>
      <c r="G121" s="28" t="b">
        <v>1</v>
      </c>
      <c r="H121" s="28" t="inlineStr">
        <is>
          <t>CBAMProcCem</t>
        </is>
      </c>
      <c r="J121" s="8" t="b">
        <v>0</v>
      </c>
      <c r="K121" s="8" t="b">
        <v>0</v>
      </c>
      <c r="L121" s="8" t="b">
        <v>0</v>
      </c>
      <c r="M121" s="8" t="b">
        <v>0</v>
      </c>
      <c r="N121" s="8" t="b">
        <v>0</v>
      </c>
      <c r="O121" s="8" t="b">
        <v>0</v>
      </c>
    </row>
    <row r="122" hidden="1">
      <c r="B122" s="26" t="inlineStr">
        <is>
          <t>Fossil fuel subsidies (producer-side)</t>
        </is>
      </c>
    </row>
    <row r="123" hidden="1">
      <c r="B123" s="28" t="inlineStr">
        <is>
          <t>Apply producer subsidies phaseout in the policy scenario?</t>
        </is>
      </c>
      <c r="C123" s="28" t="inlineStr">
        <is>
          <t>TRUE/FALSE</t>
        </is>
      </c>
      <c r="D123" s="28" t="n"/>
      <c r="E123" s="28" t="n"/>
      <c r="F123" s="28" t="b">
        <v>0</v>
      </c>
      <c r="G123" s="28" t="b">
        <v>0</v>
      </c>
      <c r="H123" s="28" t="inlineStr">
        <is>
          <t>ProdSubPh</t>
        </is>
      </c>
      <c r="J123" s="8" t="b">
        <v>0</v>
      </c>
      <c r="K123" s="8" t="b">
        <v>0</v>
      </c>
      <c r="L123" s="8" t="b">
        <v>0</v>
      </c>
      <c r="M123" s="8" t="b">
        <v>0</v>
      </c>
      <c r="N123" s="8" t="b">
        <v>0</v>
      </c>
      <c r="O123" s="8" t="b">
        <v>0</v>
      </c>
    </row>
    <row r="124" hidden="1">
      <c r="B124" s="28" t="inlineStr">
        <is>
          <t>Year to start producer subsidies phaseout (if applicable)</t>
        </is>
      </c>
      <c r="C124" s="28" t="inlineStr">
        <is>
          <t>year</t>
        </is>
      </c>
      <c r="D124" s="28" t="n"/>
      <c r="E124" s="28" t="n"/>
      <c r="F124" s="28" t="n">
        <v>2027</v>
      </c>
      <c r="G124" s="28" t="n">
        <v>2027</v>
      </c>
      <c r="H124" s="28" t="inlineStr">
        <is>
          <t>YearProdSubPha</t>
        </is>
      </c>
      <c r="J124" s="8" t="n">
        <v>2027</v>
      </c>
      <c r="K124" s="8" t="n">
        <v>2027</v>
      </c>
      <c r="L124" s="8" t="n">
        <v>2027</v>
      </c>
      <c r="M124" s="8" t="n">
        <v>2027</v>
      </c>
      <c r="N124" s="8" t="n">
        <v>2027</v>
      </c>
      <c r="O124" s="8" t="n">
        <v>2027</v>
      </c>
    </row>
    <row r="125" hidden="1">
      <c r="B125" s="28" t="inlineStr">
        <is>
          <t>Period to reach full producer subsidies phaseout (if applicable)</t>
        </is>
      </c>
      <c r="C125" s="28" t="inlineStr">
        <is>
          <t>year</t>
        </is>
      </c>
      <c r="D125" s="28" t="n"/>
      <c r="E125" s="28" t="n"/>
      <c r="F125" s="28" t="n">
        <v>5</v>
      </c>
      <c r="G125" s="28" t="n">
        <v>5</v>
      </c>
      <c r="H125" s="28" t="inlineStr">
        <is>
          <t>FFSProdPhaseoutPeriod</t>
        </is>
      </c>
      <c r="J125" s="8" t="n">
        <v>5</v>
      </c>
      <c r="K125" s="8" t="n">
        <v>5</v>
      </c>
      <c r="L125" s="8" t="n">
        <v>5</v>
      </c>
      <c r="M125" s="8" t="n">
        <v>5</v>
      </c>
      <c r="N125" s="8" t="n">
        <v>5</v>
      </c>
      <c r="O125" s="8" t="n">
        <v>5</v>
      </c>
    </row>
    <row r="126" hidden="1">
      <c r="B126" s="28" t="inlineStr">
        <is>
          <t>Share of producer subsidies to phase-out</t>
        </is>
      </c>
      <c r="C126" s="28" t="inlineStr">
        <is>
          <t>%</t>
        </is>
      </c>
      <c r="D126" s="28" t="n"/>
      <c r="E126" s="28" t="n"/>
      <c r="F126" s="28" t="n">
        <v>1</v>
      </c>
      <c r="G126" s="28" t="n">
        <v>1</v>
      </c>
      <c r="H126" s="28" t="inlineStr">
        <is>
          <t>ShareofProdSubPha</t>
        </is>
      </c>
      <c r="J126" s="8" t="n">
        <v>1</v>
      </c>
      <c r="K126" s="8" t="n">
        <v>1</v>
      </c>
      <c r="L126" s="8" t="n">
        <v>1</v>
      </c>
      <c r="M126" s="8" t="n">
        <v>1</v>
      </c>
      <c r="N126" s="8" t="n">
        <v>1</v>
      </c>
      <c r="O126" s="8" t="n">
        <v>1</v>
      </c>
    </row>
    <row r="127" hidden="1">
      <c r="B127" s="28" t="inlineStr">
        <is>
          <t>Apply producer subsidies phaseout in the baseline?</t>
        </is>
      </c>
      <c r="C127" s="28" t="inlineStr">
        <is>
          <t>Yes/No</t>
        </is>
      </c>
      <c r="D127" s="28" t="n"/>
      <c r="E127" s="28" t="n"/>
      <c r="F127" s="28" t="inlineStr">
        <is>
          <t>No</t>
        </is>
      </c>
      <c r="G127" s="28" t="inlineStr">
        <is>
          <t>No</t>
        </is>
      </c>
      <c r="H127" s="28" t="inlineStr">
        <is>
          <t>ProdSubPhaBaseline</t>
        </is>
      </c>
      <c r="J127" s="8" t="inlineStr">
        <is>
          <t>No</t>
        </is>
      </c>
      <c r="K127" s="8" t="inlineStr">
        <is>
          <t>No</t>
        </is>
      </c>
      <c r="L127" s="8" t="inlineStr">
        <is>
          <t>No</t>
        </is>
      </c>
      <c r="M127" s="8" t="inlineStr">
        <is>
          <t>No</t>
        </is>
      </c>
      <c r="N127" s="8" t="inlineStr">
        <is>
          <t>No</t>
        </is>
      </c>
      <c r="O127" s="8" t="inlineStr">
        <is>
          <t>No</t>
        </is>
      </c>
    </row>
    <row r="128" hidden="1">
      <c r="B128" s="28" t="inlineStr">
        <is>
          <t>Period to reach full producer subsidies phaseout (baseline)</t>
        </is>
      </c>
      <c r="C128" s="28" t="inlineStr">
        <is>
          <t>year</t>
        </is>
      </c>
      <c r="D128" s="28" t="n"/>
      <c r="E128" s="28" t="n"/>
      <c r="F128" s="28" t="n">
        <v>5</v>
      </c>
      <c r="G128" s="28" t="n">
        <v>5</v>
      </c>
      <c r="H128" s="28" t="inlineStr">
        <is>
          <t>FFSProdPhaseoutPeriodBA</t>
        </is>
      </c>
      <c r="J128" s="8" t="n">
        <v>5</v>
      </c>
      <c r="K128" s="8" t="n">
        <v>5</v>
      </c>
      <c r="L128" s="8" t="n">
        <v>5</v>
      </c>
      <c r="M128" s="8" t="n">
        <v>5</v>
      </c>
      <c r="N128" s="8" t="n">
        <v>5</v>
      </c>
      <c r="O128" s="8" t="n">
        <v>5</v>
      </c>
    </row>
    <row r="129" hidden="1">
      <c r="B129" s="28" t="inlineStr">
        <is>
          <t>Share of producer subsidies to phase-out in the baseline</t>
        </is>
      </c>
      <c r="C129" s="28" t="inlineStr">
        <is>
          <t>%</t>
        </is>
      </c>
      <c r="D129" s="28" t="n"/>
      <c r="E129" s="28" t="n"/>
      <c r="F129" s="28" t="n">
        <v>0</v>
      </c>
      <c r="G129" s="28" t="n">
        <v>0</v>
      </c>
      <c r="H129" s="28" t="inlineStr">
        <is>
          <t>ShareOfProdSubPhaBA</t>
        </is>
      </c>
      <c r="J129" s="8" t="n">
        <v>0</v>
      </c>
      <c r="K129" s="8" t="n">
        <v>0</v>
      </c>
      <c r="L129" s="8" t="n">
        <v>0</v>
      </c>
      <c r="M129" s="8" t="n">
        <v>0</v>
      </c>
      <c r="N129" s="8" t="n">
        <v>0</v>
      </c>
      <c r="O129" s="8" t="n">
        <v>0</v>
      </c>
    </row>
    <row r="130" hidden="1">
      <c r="B130" s="26" t="inlineStr">
        <is>
          <t>Fossil fuel subsidies (consumer-side)</t>
        </is>
      </c>
    </row>
    <row r="131" hidden="1">
      <c r="B131" s="28" t="inlineStr">
        <is>
          <t>Apply consumer subsidies phaseout?</t>
        </is>
      </c>
      <c r="C131" s="28" t="inlineStr">
        <is>
          <t>TRUE/FALSE</t>
        </is>
      </c>
      <c r="D131" s="28" t="n"/>
      <c r="E131" s="28" t="n"/>
      <c r="F131" s="28" t="b">
        <v>0</v>
      </c>
      <c r="G131" s="28" t="b">
        <v>0</v>
      </c>
      <c r="H131" s="28" t="inlineStr">
        <is>
          <t>ConsSubPha</t>
        </is>
      </c>
      <c r="J131" s="8" t="b">
        <v>0</v>
      </c>
      <c r="K131" s="8" t="b">
        <v>0</v>
      </c>
      <c r="L131" s="8" t="b">
        <v>0</v>
      </c>
      <c r="M131" s="8" t="b">
        <v>0</v>
      </c>
      <c r="N131" s="8" t="b">
        <v>0</v>
      </c>
      <c r="O131" s="8" t="b">
        <v>0</v>
      </c>
    </row>
    <row r="132" hidden="1">
      <c r="B132" s="28" t="inlineStr">
        <is>
          <t>Year to start consumer subsidies phaseout (if applicable)</t>
        </is>
      </c>
      <c r="C132" s="28" t="inlineStr">
        <is>
          <t>year</t>
        </is>
      </c>
      <c r="D132" s="28" t="n"/>
      <c r="E132" s="28" t="n"/>
      <c r="F132" s="28" t="n">
        <v>2027</v>
      </c>
      <c r="G132" s="28" t="n">
        <v>2027</v>
      </c>
      <c r="H132" s="28" t="inlineStr">
        <is>
          <t>YearConsSubPha</t>
        </is>
      </c>
      <c r="J132" s="8" t="n">
        <v>2027</v>
      </c>
      <c r="K132" s="8" t="n">
        <v>2027</v>
      </c>
      <c r="L132" s="8" t="n">
        <v>2027</v>
      </c>
      <c r="M132" s="8" t="n">
        <v>2027</v>
      </c>
      <c r="N132" s="8" t="n">
        <v>2027</v>
      </c>
      <c r="O132" s="8" t="n">
        <v>2027</v>
      </c>
    </row>
    <row r="133" hidden="1">
      <c r="B133" s="28" t="inlineStr">
        <is>
          <t>Period to reach full consumer subsidies phaseout (if applicable)</t>
        </is>
      </c>
      <c r="C133" s="28" t="inlineStr">
        <is>
          <t>year</t>
        </is>
      </c>
      <c r="D133" s="28" t="n"/>
      <c r="E133" s="28" t="n"/>
      <c r="F133" s="28" t="n">
        <v>5</v>
      </c>
      <c r="G133" s="28" t="n">
        <v>5</v>
      </c>
      <c r="H133" s="28" t="inlineStr">
        <is>
          <t>FFPhaseOut</t>
        </is>
      </c>
      <c r="J133" s="8" t="n">
        <v>5</v>
      </c>
      <c r="K133" s="8" t="n">
        <v>5</v>
      </c>
      <c r="L133" s="8" t="n">
        <v>5</v>
      </c>
      <c r="M133" s="8" t="n">
        <v>5</v>
      </c>
      <c r="N133" s="8" t="n">
        <v>5</v>
      </c>
      <c r="O133" s="8" t="n">
        <v>5</v>
      </c>
    </row>
    <row r="134" hidden="1">
      <c r="B134" s="28" t="inlineStr">
        <is>
          <t>Share of consumer subsidies to phase-out</t>
        </is>
      </c>
      <c r="C134" s="28" t="inlineStr">
        <is>
          <t>%</t>
        </is>
      </c>
      <c r="D134" s="28" t="n"/>
      <c r="E134" s="28" t="n"/>
      <c r="F134" s="28" t="n">
        <v>1</v>
      </c>
      <c r="G134" s="28" t="n">
        <v>1</v>
      </c>
      <c r="H134" s="28" t="inlineStr">
        <is>
          <t>ShareOfConsSubPha</t>
        </is>
      </c>
      <c r="J134" s="8" t="n">
        <v>1</v>
      </c>
      <c r="K134" s="8" t="n">
        <v>1</v>
      </c>
      <c r="L134" s="8" t="n">
        <v>1</v>
      </c>
      <c r="M134" s="8" t="n">
        <v>1</v>
      </c>
      <c r="N134" s="8" t="n">
        <v>1</v>
      </c>
      <c r="O134" s="8" t="n">
        <v>1</v>
      </c>
    </row>
    <row r="135" hidden="1">
      <c r="B135" s="28" t="inlineStr">
        <is>
          <t>Apply consumer subsidies phaseout in the baseline?</t>
        </is>
      </c>
      <c r="C135" s="28" t="inlineStr">
        <is>
          <t>Yes/No</t>
        </is>
      </c>
      <c r="D135" s="28" t="n"/>
      <c r="E135" s="28" t="n"/>
      <c r="F135" s="28" t="inlineStr">
        <is>
          <t>No</t>
        </is>
      </c>
      <c r="G135" s="28" t="inlineStr">
        <is>
          <t>No</t>
        </is>
      </c>
      <c r="H135" s="28" t="inlineStr">
        <is>
          <t>ConsSubPhaBaseline</t>
        </is>
      </c>
      <c r="J135" s="8" t="inlineStr">
        <is>
          <t>No</t>
        </is>
      </c>
      <c r="K135" s="8" t="inlineStr">
        <is>
          <t>No</t>
        </is>
      </c>
      <c r="L135" s="8" t="inlineStr">
        <is>
          <t>No</t>
        </is>
      </c>
      <c r="M135" s="8" t="inlineStr">
        <is>
          <t>No</t>
        </is>
      </c>
      <c r="N135" s="8" t="inlineStr">
        <is>
          <t>No</t>
        </is>
      </c>
      <c r="O135" s="8" t="inlineStr">
        <is>
          <t>No</t>
        </is>
      </c>
    </row>
    <row r="136" hidden="1">
      <c r="B136" s="28" t="inlineStr">
        <is>
          <t>Period to reach full consumer subsidies phaseout (baseline)</t>
        </is>
      </c>
      <c r="C136" s="28" t="inlineStr">
        <is>
          <t>year</t>
        </is>
      </c>
      <c r="D136" s="28" t="n"/>
      <c r="E136" s="28" t="n"/>
      <c r="F136" s="28" t="n">
        <v>5</v>
      </c>
      <c r="G136" s="28" t="n">
        <v>5</v>
      </c>
      <c r="H136" s="28" t="inlineStr">
        <is>
          <t>FFSConsPhaseoutPeriodBA</t>
        </is>
      </c>
      <c r="J136" s="8" t="n">
        <v>5</v>
      </c>
      <c r="K136" s="8" t="n">
        <v>5</v>
      </c>
      <c r="L136" s="8" t="n">
        <v>5</v>
      </c>
      <c r="M136" s="8" t="n">
        <v>5</v>
      </c>
      <c r="N136" s="8" t="n">
        <v>5</v>
      </c>
      <c r="O136" s="8" t="n">
        <v>5</v>
      </c>
    </row>
    <row r="137" hidden="1">
      <c r="B137" s="28" t="inlineStr">
        <is>
          <t>Share of consumer subsidies to phase-out in the baseline</t>
        </is>
      </c>
      <c r="C137" s="28" t="inlineStr">
        <is>
          <t>%</t>
        </is>
      </c>
      <c r="D137" s="28" t="n"/>
      <c r="E137" s="28" t="n"/>
      <c r="F137" s="28" t="n">
        <v>0</v>
      </c>
      <c r="G137" s="28" t="n">
        <v>0</v>
      </c>
      <c r="H137" s="28" t="inlineStr">
        <is>
          <t>ShareofConsSubPhaBA</t>
        </is>
      </c>
      <c r="J137" s="8" t="n">
        <v>0</v>
      </c>
      <c r="K137" s="8" t="n">
        <v>0</v>
      </c>
      <c r="L137" s="8" t="n">
        <v>0</v>
      </c>
      <c r="M137" s="8" t="n">
        <v>0</v>
      </c>
      <c r="N137" s="8" t="n">
        <v>0</v>
      </c>
      <c r="O137" s="8" t="n">
        <v>0</v>
      </c>
    </row>
    <row r="138" hidden="1">
      <c r="B138" s="28" t="inlineStr">
        <is>
          <t>Include power subsidies in any phase out?</t>
        </is>
      </c>
      <c r="C138" s="28" t="inlineStr">
        <is>
          <t>Exempt/Include*</t>
        </is>
      </c>
      <c r="D138" s="28" t="n"/>
      <c r="E138" s="28" t="n"/>
      <c r="F138" s="28" t="inlineStr">
        <is>
          <t>DoNotPhaseOut*</t>
        </is>
      </c>
      <c r="G138" s="28" t="inlineStr">
        <is>
          <t>DoNotPhaseOut*</t>
        </is>
      </c>
      <c r="H138" s="28" t="inlineStr">
        <is>
          <t>PowerSubsidyExemptInclude</t>
        </is>
      </c>
      <c r="J138" s="8" t="inlineStr">
        <is>
          <t>DoNotPhaseOut*</t>
        </is>
      </c>
      <c r="K138" s="8" t="inlineStr">
        <is>
          <t>DoNotPhaseOut*</t>
        </is>
      </c>
      <c r="L138" s="8" t="inlineStr">
        <is>
          <t>DoNotPhaseOut*</t>
        </is>
      </c>
      <c r="M138" s="8" t="inlineStr">
        <is>
          <t>DoNotPhaseOut*</t>
        </is>
      </c>
      <c r="N138" s="8" t="inlineStr">
        <is>
          <t>DoNotPhaseOut*</t>
        </is>
      </c>
      <c r="O138" s="8" t="inlineStr">
        <is>
          <t>DoNotPhaseOut*</t>
        </is>
      </c>
    </row>
    <row r="139" hidden="1">
      <c r="B139" s="26" t="inlineStr">
        <is>
          <t>Fuel Price Reform</t>
        </is>
      </c>
    </row>
    <row r="140" hidden="1">
      <c r="B140" s="28" t="inlineStr">
        <is>
          <t>Starting year</t>
        </is>
      </c>
      <c r="C140" s="28" t="n"/>
      <c r="D140" s="28" t="n"/>
      <c r="E140" s="28" t="n"/>
      <c r="F140" s="28" t="n">
        <v>2027</v>
      </c>
      <c r="G140" s="28" t="n">
        <v>2027</v>
      </c>
      <c r="H140" s="28" t="inlineStr">
        <is>
          <t>FprIntro</t>
        </is>
      </c>
      <c r="J140" s="8" t="n">
        <v>2027</v>
      </c>
      <c r="K140" s="8" t="n">
        <v>2027</v>
      </c>
      <c r="L140" s="8" t="n">
        <v>2027</v>
      </c>
      <c r="M140" s="8" t="n">
        <v>2027</v>
      </c>
      <c r="N140" s="8" t="n">
        <v>2027</v>
      </c>
      <c r="O140" s="8" t="n">
        <v>2027</v>
      </c>
    </row>
    <row r="141" hidden="1">
      <c r="B141" s="28" t="inlineStr">
        <is>
          <t>Target year</t>
        </is>
      </c>
      <c r="C141" s="28" t="n"/>
      <c r="D141" s="28" t="n"/>
      <c r="E141" s="28" t="n"/>
      <c r="F141" s="28" t="n">
        <v>2035</v>
      </c>
      <c r="G141" s="28" t="n">
        <v>2035</v>
      </c>
      <c r="H141" s="28" t="inlineStr">
        <is>
          <t>FprOutro</t>
        </is>
      </c>
      <c r="J141" s="8" t="n">
        <v>2035</v>
      </c>
      <c r="K141" s="8" t="n">
        <v>2035</v>
      </c>
      <c r="L141" s="8" t="n">
        <v>2035</v>
      </c>
      <c r="M141" s="8" t="n">
        <v>2035</v>
      </c>
      <c r="N141" s="8" t="n">
        <v>2035</v>
      </c>
      <c r="O141" s="8" t="n">
        <v>2035</v>
      </c>
    </row>
    <row r="142" hidden="1">
      <c r="B142" s="28" t="inlineStr">
        <is>
          <t>Starting price increase, Coal , Power</t>
        </is>
      </c>
      <c r="C142" s="28" t="n"/>
      <c r="D142" s="28" t="n"/>
      <c r="E142" s="28" t="n"/>
      <c r="F142" s="28" t="n">
        <v>0</v>
      </c>
      <c r="G142" s="28" t="n">
        <v>0</v>
      </c>
      <c r="H142" s="28" t="inlineStr">
        <is>
          <t>FprStartCoaPow</t>
        </is>
      </c>
      <c r="J142" s="8" t="n">
        <v>0</v>
      </c>
      <c r="K142" s="8" t="n">
        <v>0</v>
      </c>
      <c r="L142" s="8" t="n">
        <v>0</v>
      </c>
      <c r="M142" s="8" t="n">
        <v>0</v>
      </c>
      <c r="N142" s="8" t="n">
        <v>0</v>
      </c>
      <c r="O142" s="8" t="n">
        <v>0</v>
      </c>
    </row>
    <row r="143" hidden="1">
      <c r="B143" s="28" t="inlineStr">
        <is>
          <t>Starting price increase, Coal , Residential</t>
        </is>
      </c>
      <c r="C143" s="28" t="n"/>
      <c r="D143" s="28" t="n"/>
      <c r="E143" s="28" t="n"/>
      <c r="F143" s="28" t="n">
        <v>0</v>
      </c>
      <c r="G143" s="28" t="n">
        <v>0</v>
      </c>
      <c r="H143" s="28" t="inlineStr">
        <is>
          <t>FprStartCoaRes</t>
        </is>
      </c>
      <c r="J143" s="8" t="n">
        <v>0</v>
      </c>
      <c r="K143" s="8" t="n">
        <v>0</v>
      </c>
      <c r="L143" s="8" t="n">
        <v>0</v>
      </c>
      <c r="M143" s="8" t="n">
        <v>0</v>
      </c>
      <c r="N143" s="8" t="n">
        <v>0</v>
      </c>
      <c r="O143" s="8" t="n">
        <v>0</v>
      </c>
    </row>
    <row r="144" hidden="1">
      <c r="B144" s="28" t="inlineStr">
        <is>
          <t>Starting price increase, Coal , Industry</t>
        </is>
      </c>
      <c r="C144" s="28" t="n"/>
      <c r="D144" s="28" t="n"/>
      <c r="E144" s="28" t="n"/>
      <c r="F144" s="28" t="n">
        <v>0</v>
      </c>
      <c r="G144" s="28" t="n">
        <v>0</v>
      </c>
      <c r="H144" s="28" t="inlineStr">
        <is>
          <t>FprStartCoaInd</t>
        </is>
      </c>
      <c r="J144" s="8" t="n">
        <v>0</v>
      </c>
      <c r="K144" s="8" t="n">
        <v>0</v>
      </c>
      <c r="L144" s="8" t="n">
        <v>0</v>
      </c>
      <c r="M144" s="8" t="n">
        <v>0</v>
      </c>
      <c r="N144" s="8" t="n">
        <v>0</v>
      </c>
      <c r="O144" s="8" t="n">
        <v>0</v>
      </c>
    </row>
    <row r="145" hidden="1">
      <c r="B145" s="28" t="inlineStr">
        <is>
          <t>Starting price increase, Natural gas , Power</t>
        </is>
      </c>
      <c r="C145" s="28" t="n"/>
      <c r="D145" s="28" t="n"/>
      <c r="E145" s="28" t="n"/>
      <c r="F145" s="28" t="n">
        <v>0</v>
      </c>
      <c r="G145" s="28" t="n">
        <v>0</v>
      </c>
      <c r="H145" s="28" t="inlineStr">
        <is>
          <t>FprStartNgaPow</t>
        </is>
      </c>
      <c r="J145" s="8" t="n">
        <v>0</v>
      </c>
      <c r="K145" s="8" t="n">
        <v>0</v>
      </c>
      <c r="L145" s="8" t="n">
        <v>0</v>
      </c>
      <c r="M145" s="8" t="n">
        <v>0</v>
      </c>
      <c r="N145" s="8" t="n">
        <v>0</v>
      </c>
      <c r="O145" s="8" t="n">
        <v>0</v>
      </c>
    </row>
    <row r="146" hidden="1">
      <c r="B146" s="28" t="inlineStr">
        <is>
          <t>Starting price increase, Natural gas , Residential</t>
        </is>
      </c>
      <c r="C146" s="28" t="n"/>
      <c r="D146" s="28" t="n"/>
      <c r="E146" s="28" t="n"/>
      <c r="F146" s="28" t="n">
        <v>0</v>
      </c>
      <c r="G146" s="28" t="n">
        <v>0</v>
      </c>
      <c r="H146" s="28" t="inlineStr">
        <is>
          <t>FprStartNgaRes</t>
        </is>
      </c>
      <c r="J146" s="8" t="n">
        <v>0</v>
      </c>
      <c r="K146" s="8" t="n">
        <v>0</v>
      </c>
      <c r="L146" s="8" t="n">
        <v>0</v>
      </c>
      <c r="M146" s="8" t="n">
        <v>0</v>
      </c>
      <c r="N146" s="8" t="n">
        <v>0</v>
      </c>
      <c r="O146" s="8" t="n">
        <v>0</v>
      </c>
    </row>
    <row r="147" hidden="1">
      <c r="B147" s="28" t="inlineStr">
        <is>
          <t>Starting price increase, Natural gas , Industry</t>
        </is>
      </c>
      <c r="C147" s="28" t="n"/>
      <c r="D147" s="28" t="n"/>
      <c r="E147" s="28" t="n"/>
      <c r="F147" s="28" t="n">
        <v>0</v>
      </c>
      <c r="G147" s="28" t="n">
        <v>0</v>
      </c>
      <c r="H147" s="28" t="inlineStr">
        <is>
          <t>FprStartNgaInd</t>
        </is>
      </c>
      <c r="J147" s="8" t="n">
        <v>0</v>
      </c>
      <c r="K147" s="8" t="n">
        <v>0</v>
      </c>
      <c r="L147" s="8" t="n">
        <v>0</v>
      </c>
      <c r="M147" s="8" t="n">
        <v>0</v>
      </c>
      <c r="N147" s="8" t="n">
        <v>0</v>
      </c>
      <c r="O147" s="8" t="n">
        <v>0</v>
      </c>
    </row>
    <row r="148" hidden="1">
      <c r="B148" s="28" t="inlineStr">
        <is>
          <t>Starting price increase, Electricity , Residential</t>
        </is>
      </c>
      <c r="C148" s="28" t="n"/>
      <c r="D148" s="28" t="n"/>
      <c r="E148" s="28" t="n"/>
      <c r="F148" s="28" t="n">
        <v>0</v>
      </c>
      <c r="G148" s="28" t="n">
        <v>0</v>
      </c>
      <c r="H148" s="28" t="inlineStr">
        <is>
          <t>FprStartEcyRes</t>
        </is>
      </c>
      <c r="J148" s="8" t="n">
        <v>0</v>
      </c>
      <c r="K148" s="8" t="n">
        <v>0</v>
      </c>
      <c r="L148" s="8" t="n">
        <v>0</v>
      </c>
      <c r="M148" s="8" t="n">
        <v>0</v>
      </c>
      <c r="N148" s="8" t="n">
        <v>0</v>
      </c>
      <c r="O148" s="8" t="n">
        <v>0</v>
      </c>
    </row>
    <row r="149" hidden="1">
      <c r="B149" s="28" t="inlineStr">
        <is>
          <t>Starting price increase, Electricity , Industry</t>
        </is>
      </c>
      <c r="C149" s="28" t="n"/>
      <c r="D149" s="28" t="n"/>
      <c r="E149" s="28" t="n"/>
      <c r="F149" s="28" t="n">
        <v>0</v>
      </c>
      <c r="G149" s="28" t="n">
        <v>0</v>
      </c>
      <c r="H149" s="28" t="inlineStr">
        <is>
          <t>FprStartEcyInd</t>
        </is>
      </c>
      <c r="J149" s="8" t="n">
        <v>0</v>
      </c>
      <c r="K149" s="8" t="n">
        <v>0</v>
      </c>
      <c r="L149" s="8" t="n">
        <v>0</v>
      </c>
      <c r="M149" s="8" t="n">
        <v>0</v>
      </c>
      <c r="N149" s="8" t="n">
        <v>0</v>
      </c>
      <c r="O149" s="8" t="n">
        <v>0</v>
      </c>
    </row>
    <row r="150" hidden="1">
      <c r="B150" s="28" t="inlineStr">
        <is>
          <t>Starting price increase, Gasoline , All</t>
        </is>
      </c>
      <c r="C150" s="28" t="n"/>
      <c r="D150" s="28" t="n"/>
      <c r="E150" s="28" t="n"/>
      <c r="F150" s="28" t="n">
        <v>0</v>
      </c>
      <c r="G150" s="28" t="n">
        <v>0</v>
      </c>
      <c r="H150" s="28" t="inlineStr">
        <is>
          <t>FprStartGsoAll</t>
        </is>
      </c>
      <c r="J150" s="8" t="n">
        <v>0</v>
      </c>
      <c r="K150" s="8" t="n">
        <v>0</v>
      </c>
      <c r="L150" s="8" t="n">
        <v>0</v>
      </c>
      <c r="M150" s="8" t="n">
        <v>0</v>
      </c>
      <c r="N150" s="8" t="n">
        <v>0</v>
      </c>
      <c r="O150" s="8" t="n">
        <v>0</v>
      </c>
    </row>
    <row r="151" hidden="1">
      <c r="B151" s="28" t="inlineStr">
        <is>
          <t>Starting price increase, Diesel  , All</t>
        </is>
      </c>
      <c r="C151" s="28" t="n"/>
      <c r="D151" s="28" t="n"/>
      <c r="E151" s="28" t="n"/>
      <c r="F151" s="28" t="n">
        <v>0</v>
      </c>
      <c r="G151" s="28" t="n">
        <v>0</v>
      </c>
      <c r="H151" s="28" t="inlineStr">
        <is>
          <t>FprStartDieAll</t>
        </is>
      </c>
      <c r="J151" s="8" t="n">
        <v>0</v>
      </c>
      <c r="K151" s="8" t="n">
        <v>0</v>
      </c>
      <c r="L151" s="8" t="n">
        <v>0</v>
      </c>
      <c r="M151" s="8" t="n">
        <v>0</v>
      </c>
      <c r="N151" s="8" t="n">
        <v>0</v>
      </c>
      <c r="O151" s="8" t="n">
        <v>0</v>
      </c>
    </row>
    <row r="152" hidden="1">
      <c r="B152" s="28" t="inlineStr">
        <is>
          <t>Starting price increase, LPG , All</t>
        </is>
      </c>
      <c r="C152" s="28" t="n"/>
      <c r="D152" s="28" t="n"/>
      <c r="E152" s="28" t="n"/>
      <c r="F152" s="28" t="n">
        <v>0</v>
      </c>
      <c r="G152" s="28" t="n">
        <v>0</v>
      </c>
      <c r="H152" s="28" t="inlineStr">
        <is>
          <t>FprStartLpgAll</t>
        </is>
      </c>
      <c r="J152" s="8" t="n">
        <v>0</v>
      </c>
      <c r="K152" s="8" t="n">
        <v>0</v>
      </c>
      <c r="L152" s="8" t="n">
        <v>0</v>
      </c>
      <c r="M152" s="8" t="n">
        <v>0</v>
      </c>
      <c r="N152" s="8" t="n">
        <v>0</v>
      </c>
      <c r="O152" s="8" t="n">
        <v>0</v>
      </c>
    </row>
    <row r="153" hidden="1">
      <c r="B153" s="28" t="inlineStr">
        <is>
          <t>Starting price increase, Kerosene , All</t>
        </is>
      </c>
      <c r="C153" s="28" t="n"/>
      <c r="D153" s="28" t="n"/>
      <c r="E153" s="28" t="n"/>
      <c r="F153" s="28" t="n">
        <v>0</v>
      </c>
      <c r="G153" s="28" t="n">
        <v>0</v>
      </c>
      <c r="H153" s="28" t="inlineStr">
        <is>
          <t>FprStartKerAll</t>
        </is>
      </c>
      <c r="J153" s="8" t="n">
        <v>0</v>
      </c>
      <c r="K153" s="8" t="n">
        <v>0</v>
      </c>
      <c r="L153" s="8" t="n">
        <v>0</v>
      </c>
      <c r="M153" s="8" t="n">
        <v>0</v>
      </c>
      <c r="N153" s="8" t="n">
        <v>0</v>
      </c>
      <c r="O153" s="8" t="n">
        <v>0</v>
      </c>
    </row>
    <row r="154" hidden="1">
      <c r="B154" s="28" t="inlineStr">
        <is>
          <t>Starting price increase, Other oil products , All</t>
        </is>
      </c>
      <c r="C154" s="28" t="n"/>
      <c r="D154" s="28" t="n"/>
      <c r="E154" s="28" t="n"/>
      <c r="F154" s="28" t="n">
        <v>0</v>
      </c>
      <c r="G154" s="28" t="n">
        <v>0</v>
      </c>
      <c r="H154" s="28" t="inlineStr">
        <is>
          <t>FprStartOopAll</t>
        </is>
      </c>
      <c r="J154" s="8" t="n">
        <v>0</v>
      </c>
      <c r="K154" s="8" t="n">
        <v>0</v>
      </c>
      <c r="L154" s="8" t="n">
        <v>0</v>
      </c>
      <c r="M154" s="8" t="n">
        <v>0</v>
      </c>
      <c r="N154" s="8" t="n">
        <v>0</v>
      </c>
      <c r="O154" s="8" t="n">
        <v>0</v>
      </c>
    </row>
    <row r="155" hidden="1">
      <c r="B155" s="28" t="inlineStr">
        <is>
          <t>Starting price increase, Biomass , All</t>
        </is>
      </c>
      <c r="C155" s="28" t="n"/>
      <c r="D155" s="28" t="n"/>
      <c r="E155" s="28" t="n"/>
      <c r="F155" s="28" t="n">
        <v>0</v>
      </c>
      <c r="G155" s="28" t="n">
        <v>0</v>
      </c>
      <c r="H155" s="28" t="inlineStr">
        <is>
          <t>FprStartBioAll</t>
        </is>
      </c>
      <c r="J155" s="8" t="n">
        <v>0</v>
      </c>
      <c r="K155" s="8" t="n">
        <v>0</v>
      </c>
      <c r="L155" s="8" t="n">
        <v>0</v>
      </c>
      <c r="M155" s="8" t="n">
        <v>0</v>
      </c>
      <c r="N155" s="8" t="n">
        <v>0</v>
      </c>
      <c r="O155" s="8" t="n">
        <v>0</v>
      </c>
    </row>
    <row r="156" hidden="1">
      <c r="B156" s="28" t="inlineStr">
        <is>
          <t>Final price increase, Coal , Power</t>
        </is>
      </c>
      <c r="C156" s="28" t="n"/>
      <c r="D156" s="28" t="n"/>
      <c r="E156" s="28" t="n"/>
      <c r="F156" s="28" t="n">
        <v>0</v>
      </c>
      <c r="G156" s="28" t="n">
        <v>0</v>
      </c>
      <c r="H156" s="28" t="inlineStr">
        <is>
          <t>FprFinalCoaPow</t>
        </is>
      </c>
      <c r="J156" s="8" t="n">
        <v>0</v>
      </c>
      <c r="K156" s="8" t="n">
        <v>0</v>
      </c>
      <c r="L156" s="8" t="n">
        <v>0</v>
      </c>
      <c r="M156" s="8" t="n">
        <v>0</v>
      </c>
      <c r="N156" s="8" t="n">
        <v>0</v>
      </c>
      <c r="O156" s="8" t="n">
        <v>0</v>
      </c>
    </row>
    <row r="157" hidden="1">
      <c r="B157" s="28" t="inlineStr">
        <is>
          <t>Final price increase, Coal , Residential</t>
        </is>
      </c>
      <c r="C157" s="28" t="n"/>
      <c r="D157" s="28" t="n"/>
      <c r="E157" s="28" t="n"/>
      <c r="F157" s="28" t="n">
        <v>0</v>
      </c>
      <c r="G157" s="28" t="n">
        <v>0</v>
      </c>
      <c r="H157" s="28" t="inlineStr">
        <is>
          <t>FprFinalCoaRes</t>
        </is>
      </c>
      <c r="J157" s="8" t="n">
        <v>0</v>
      </c>
      <c r="K157" s="8" t="n">
        <v>0</v>
      </c>
      <c r="L157" s="8" t="n">
        <v>0</v>
      </c>
      <c r="M157" s="8" t="n">
        <v>0</v>
      </c>
      <c r="N157" s="8" t="n">
        <v>0</v>
      </c>
      <c r="O157" s="8" t="n">
        <v>0</v>
      </c>
    </row>
    <row r="158" hidden="1">
      <c r="B158" s="28" t="inlineStr">
        <is>
          <t>Final price increase, Coal , Industry</t>
        </is>
      </c>
      <c r="C158" s="28" t="n"/>
      <c r="D158" s="28" t="n"/>
      <c r="E158" s="28" t="n"/>
      <c r="F158" s="28" t="n">
        <v>0</v>
      </c>
      <c r="G158" s="28" t="n">
        <v>0</v>
      </c>
      <c r="H158" s="28" t="inlineStr">
        <is>
          <t>FprFinalCoaInd</t>
        </is>
      </c>
      <c r="J158" s="8" t="n">
        <v>0</v>
      </c>
      <c r="K158" s="8" t="n">
        <v>0</v>
      </c>
      <c r="L158" s="8" t="n">
        <v>0</v>
      </c>
      <c r="M158" s="8" t="n">
        <v>0</v>
      </c>
      <c r="N158" s="8" t="n">
        <v>0</v>
      </c>
      <c r="O158" s="8" t="n">
        <v>0</v>
      </c>
    </row>
    <row r="159" hidden="1">
      <c r="B159" s="28" t="inlineStr">
        <is>
          <t>Final price increase, Natural gas , Power</t>
        </is>
      </c>
      <c r="C159" s="28" t="n"/>
      <c r="D159" s="28" t="n"/>
      <c r="E159" s="28" t="n"/>
      <c r="F159" s="28" t="n">
        <v>0</v>
      </c>
      <c r="G159" s="28" t="n">
        <v>0</v>
      </c>
      <c r="H159" s="28" t="inlineStr">
        <is>
          <t>FprFinalNgaPow</t>
        </is>
      </c>
      <c r="J159" s="8" t="n">
        <v>0</v>
      </c>
      <c r="K159" s="8" t="n">
        <v>0</v>
      </c>
      <c r="L159" s="8" t="n">
        <v>0</v>
      </c>
      <c r="M159" s="8" t="n">
        <v>0</v>
      </c>
      <c r="N159" s="8" t="n">
        <v>0</v>
      </c>
      <c r="O159" s="8" t="n">
        <v>0</v>
      </c>
    </row>
    <row r="160" hidden="1">
      <c r="B160" s="28" t="inlineStr">
        <is>
          <t>Final price increase, Natural gas , Residential</t>
        </is>
      </c>
      <c r="C160" s="28" t="n"/>
      <c r="D160" s="28" t="n"/>
      <c r="E160" s="28" t="n"/>
      <c r="F160" s="28" t="n">
        <v>0</v>
      </c>
      <c r="G160" s="28" t="n">
        <v>0</v>
      </c>
      <c r="H160" s="28" t="inlineStr">
        <is>
          <t>FprFinalNgaRes</t>
        </is>
      </c>
      <c r="J160" s="8" t="n">
        <v>0</v>
      </c>
      <c r="K160" s="8" t="n">
        <v>0</v>
      </c>
      <c r="L160" s="8" t="n">
        <v>0</v>
      </c>
      <c r="M160" s="8" t="n">
        <v>0</v>
      </c>
      <c r="N160" s="8" t="n">
        <v>0</v>
      </c>
      <c r="O160" s="8" t="n">
        <v>0</v>
      </c>
    </row>
    <row r="161" hidden="1">
      <c r="B161" s="28" t="inlineStr">
        <is>
          <t>Final price increase, Natural gas , Industry</t>
        </is>
      </c>
      <c r="C161" s="28" t="n"/>
      <c r="D161" s="28" t="n"/>
      <c r="E161" s="28" t="n"/>
      <c r="F161" s="28" t="n">
        <v>0</v>
      </c>
      <c r="G161" s="28" t="n">
        <v>0</v>
      </c>
      <c r="H161" s="28" t="inlineStr">
        <is>
          <t>FprFinalNgaInd</t>
        </is>
      </c>
      <c r="J161" s="8" t="n">
        <v>0</v>
      </c>
      <c r="K161" s="8" t="n">
        <v>0</v>
      </c>
      <c r="L161" s="8" t="n">
        <v>0</v>
      </c>
      <c r="M161" s="8" t="n">
        <v>0</v>
      </c>
      <c r="N161" s="8" t="n">
        <v>0</v>
      </c>
      <c r="O161" s="8" t="n">
        <v>0</v>
      </c>
    </row>
    <row r="162" hidden="1">
      <c r="B162" s="28" t="inlineStr">
        <is>
          <t>Final price increase, Electricity , Residential</t>
        </is>
      </c>
      <c r="C162" s="28" t="n"/>
      <c r="D162" s="28" t="n"/>
      <c r="E162" s="28" t="n"/>
      <c r="F162" s="28" t="n">
        <v>0</v>
      </c>
      <c r="G162" s="28" t="n">
        <v>0</v>
      </c>
      <c r="H162" s="28" t="inlineStr">
        <is>
          <t>FprFinalEcyRes</t>
        </is>
      </c>
      <c r="J162" s="8" t="n">
        <v>0</v>
      </c>
      <c r="K162" s="8" t="n">
        <v>0</v>
      </c>
      <c r="L162" s="8" t="n">
        <v>0</v>
      </c>
      <c r="M162" s="8" t="n">
        <v>0</v>
      </c>
      <c r="N162" s="8" t="n">
        <v>0</v>
      </c>
      <c r="O162" s="8" t="n">
        <v>0</v>
      </c>
    </row>
    <row r="163" hidden="1">
      <c r="B163" s="28" t="inlineStr">
        <is>
          <t>Final price increase, Electricity , Industry</t>
        </is>
      </c>
      <c r="C163" s="28" t="n"/>
      <c r="D163" s="28" t="n"/>
      <c r="E163" s="28" t="n"/>
      <c r="F163" s="28" t="n">
        <v>0</v>
      </c>
      <c r="G163" s="28" t="n">
        <v>0</v>
      </c>
      <c r="H163" s="28" t="inlineStr">
        <is>
          <t>FprFinalEcyInd</t>
        </is>
      </c>
      <c r="J163" s="8" t="n">
        <v>0</v>
      </c>
      <c r="K163" s="8" t="n">
        <v>0</v>
      </c>
      <c r="L163" s="8" t="n">
        <v>0</v>
      </c>
      <c r="M163" s="8" t="n">
        <v>0</v>
      </c>
      <c r="N163" s="8" t="n">
        <v>0</v>
      </c>
      <c r="O163" s="8" t="n">
        <v>0</v>
      </c>
    </row>
    <row r="164" hidden="1">
      <c r="B164" s="28" t="inlineStr">
        <is>
          <t>Final price increase, Gasoline , All</t>
        </is>
      </c>
      <c r="C164" s="28" t="n"/>
      <c r="D164" s="28" t="n"/>
      <c r="E164" s="28" t="n"/>
      <c r="F164" s="28" t="n">
        <v>0</v>
      </c>
      <c r="G164" s="28" t="n">
        <v>0</v>
      </c>
      <c r="H164" s="28" t="inlineStr">
        <is>
          <t>FprFinalGsoAll</t>
        </is>
      </c>
      <c r="J164" s="8" t="n">
        <v>0</v>
      </c>
      <c r="K164" s="8" t="n">
        <v>0</v>
      </c>
      <c r="L164" s="8" t="n">
        <v>0</v>
      </c>
      <c r="M164" s="8" t="n">
        <v>0</v>
      </c>
      <c r="N164" s="8" t="n">
        <v>0</v>
      </c>
      <c r="O164" s="8" t="n">
        <v>0</v>
      </c>
    </row>
    <row r="165" hidden="1">
      <c r="B165" s="28" t="inlineStr">
        <is>
          <t>Final price increase, Diesel  , All</t>
        </is>
      </c>
      <c r="C165" s="28" t="n"/>
      <c r="D165" s="28" t="n"/>
      <c r="E165" s="28" t="n"/>
      <c r="F165" s="28" t="n">
        <v>0</v>
      </c>
      <c r="G165" s="28" t="n">
        <v>0</v>
      </c>
      <c r="H165" s="28" t="inlineStr">
        <is>
          <t>FprFinalDieAll</t>
        </is>
      </c>
      <c r="J165" s="8" t="n">
        <v>0</v>
      </c>
      <c r="K165" s="8" t="n">
        <v>0</v>
      </c>
      <c r="L165" s="8" t="n">
        <v>0</v>
      </c>
      <c r="M165" s="8" t="n">
        <v>0</v>
      </c>
      <c r="N165" s="8" t="n">
        <v>0</v>
      </c>
      <c r="O165" s="8" t="n">
        <v>0</v>
      </c>
    </row>
    <row r="166" hidden="1">
      <c r="B166" s="28" t="inlineStr">
        <is>
          <t>Final price increase, LPG , All</t>
        </is>
      </c>
      <c r="C166" s="28" t="n"/>
      <c r="D166" s="28" t="n"/>
      <c r="E166" s="28" t="n"/>
      <c r="F166" s="28" t="n">
        <v>0</v>
      </c>
      <c r="G166" s="28" t="n">
        <v>0</v>
      </c>
      <c r="H166" s="28" t="inlineStr">
        <is>
          <t>FprFinalLpgAll</t>
        </is>
      </c>
      <c r="J166" s="8" t="n">
        <v>0</v>
      </c>
      <c r="K166" s="8" t="n">
        <v>0</v>
      </c>
      <c r="L166" s="8" t="n">
        <v>0</v>
      </c>
      <c r="M166" s="8" t="n">
        <v>0</v>
      </c>
      <c r="N166" s="8" t="n">
        <v>0</v>
      </c>
      <c r="O166" s="8" t="n">
        <v>0</v>
      </c>
    </row>
    <row r="167" hidden="1">
      <c r="B167" s="28" t="inlineStr">
        <is>
          <t>Final price increase, Kerosene , All</t>
        </is>
      </c>
      <c r="C167" s="28" t="n"/>
      <c r="D167" s="28" t="n"/>
      <c r="E167" s="28" t="n"/>
      <c r="F167" s="28" t="n">
        <v>0</v>
      </c>
      <c r="G167" s="28" t="n">
        <v>0</v>
      </c>
      <c r="H167" s="28" t="inlineStr">
        <is>
          <t>FprFinalKerAll</t>
        </is>
      </c>
      <c r="J167" s="8" t="n">
        <v>0</v>
      </c>
      <c r="K167" s="8" t="n">
        <v>0</v>
      </c>
      <c r="L167" s="8" t="n">
        <v>0</v>
      </c>
      <c r="M167" s="8" t="n">
        <v>0</v>
      </c>
      <c r="N167" s="8" t="n">
        <v>0</v>
      </c>
      <c r="O167" s="8" t="n">
        <v>0</v>
      </c>
    </row>
    <row r="168" hidden="1">
      <c r="B168" s="28" t="inlineStr">
        <is>
          <t>Final price increase, Other oil products , All</t>
        </is>
      </c>
      <c r="C168" s="28" t="n"/>
      <c r="D168" s="28" t="n"/>
      <c r="E168" s="28" t="n"/>
      <c r="F168" s="28" t="n">
        <v>0</v>
      </c>
      <c r="G168" s="28" t="n">
        <v>0</v>
      </c>
      <c r="H168" s="28" t="inlineStr">
        <is>
          <t>FprFinalOopAll</t>
        </is>
      </c>
      <c r="J168" s="8" t="n">
        <v>0</v>
      </c>
      <c r="K168" s="8" t="n">
        <v>0</v>
      </c>
      <c r="L168" s="8" t="n">
        <v>0</v>
      </c>
      <c r="M168" s="8" t="n">
        <v>0</v>
      </c>
      <c r="N168" s="8" t="n">
        <v>0</v>
      </c>
      <c r="O168" s="8" t="n">
        <v>0</v>
      </c>
    </row>
    <row r="169" hidden="1">
      <c r="B169" s="28" t="inlineStr">
        <is>
          <t>Final price increase, Biomass , All</t>
        </is>
      </c>
      <c r="C169" s="28" t="n"/>
      <c r="D169" s="28" t="n"/>
      <c r="E169" s="28" t="n"/>
      <c r="F169" s="28" t="n">
        <v>0</v>
      </c>
      <c r="G169" s="28" t="n">
        <v>0</v>
      </c>
      <c r="H169" s="28" t="inlineStr">
        <is>
          <t>FprFinalBioAll</t>
        </is>
      </c>
      <c r="J169" s="8" t="n">
        <v>0</v>
      </c>
      <c r="K169" s="8" t="n">
        <v>0</v>
      </c>
      <c r="L169" s="8" t="n">
        <v>0</v>
      </c>
      <c r="M169" s="8" t="n">
        <v>0</v>
      </c>
      <c r="N169" s="8" t="n">
        <v>0</v>
      </c>
      <c r="O169" s="8" t="n">
        <v>0</v>
      </c>
    </row>
    <row r="170" hidden="1">
      <c r="B170" s="28" t="inlineStr">
        <is>
          <t>Price increase units, Coal , Power</t>
        </is>
      </c>
      <c r="C170" s="28" t="n"/>
      <c r="D170" s="28" t="n"/>
      <c r="E170" s="28" t="n"/>
      <c r="F170" s="28" t="inlineStr">
        <is>
          <t>$/GJ</t>
        </is>
      </c>
      <c r="G170" s="28" t="inlineStr">
        <is>
          <t>$/GJ</t>
        </is>
      </c>
      <c r="H170" s="28" t="inlineStr">
        <is>
          <t>FprUnitCoaPow</t>
        </is>
      </c>
      <c r="J170" s="8" t="inlineStr">
        <is>
          <t>$/GJ</t>
        </is>
      </c>
      <c r="K170" s="8" t="inlineStr">
        <is>
          <t>$/GJ</t>
        </is>
      </c>
      <c r="L170" s="8" t="inlineStr">
        <is>
          <t>$/GJ</t>
        </is>
      </c>
      <c r="M170" s="8" t="inlineStr">
        <is>
          <t>$/GJ</t>
        </is>
      </c>
      <c r="N170" s="8" t="inlineStr">
        <is>
          <t>$/GJ</t>
        </is>
      </c>
      <c r="O170" s="8" t="inlineStr">
        <is>
          <t>$/GJ</t>
        </is>
      </c>
    </row>
    <row r="171" hidden="1">
      <c r="B171" s="28" t="inlineStr">
        <is>
          <t>Price increase units, Coal , Residential</t>
        </is>
      </c>
      <c r="C171" s="28" t="n"/>
      <c r="D171" s="28" t="n"/>
      <c r="E171" s="28" t="n"/>
      <c r="F171" s="28" t="inlineStr">
        <is>
          <t>$/GJ</t>
        </is>
      </c>
      <c r="G171" s="28" t="inlineStr">
        <is>
          <t>$/GJ</t>
        </is>
      </c>
      <c r="H171" s="28" t="inlineStr">
        <is>
          <t>FprUnitCoaRes</t>
        </is>
      </c>
      <c r="J171" s="8" t="inlineStr">
        <is>
          <t>$/GJ</t>
        </is>
      </c>
      <c r="K171" s="8" t="inlineStr">
        <is>
          <t>$/GJ</t>
        </is>
      </c>
      <c r="L171" s="8" t="inlineStr">
        <is>
          <t>$/GJ</t>
        </is>
      </c>
      <c r="M171" s="8" t="inlineStr">
        <is>
          <t>$/GJ</t>
        </is>
      </c>
      <c r="N171" s="8" t="inlineStr">
        <is>
          <t>$/GJ</t>
        </is>
      </c>
      <c r="O171" s="8" t="inlineStr">
        <is>
          <t>$/GJ</t>
        </is>
      </c>
    </row>
    <row r="172" hidden="1">
      <c r="B172" s="28" t="inlineStr">
        <is>
          <t>Price increase units, Coal , Industry</t>
        </is>
      </c>
      <c r="C172" s="28" t="n"/>
      <c r="D172" s="28" t="n"/>
      <c r="E172" s="28" t="n"/>
      <c r="F172" s="28" t="inlineStr">
        <is>
          <t>$/GJ</t>
        </is>
      </c>
      <c r="G172" s="28" t="inlineStr">
        <is>
          <t>$/GJ</t>
        </is>
      </c>
      <c r="H172" s="28" t="inlineStr">
        <is>
          <t>FprUnitCoaInd</t>
        </is>
      </c>
      <c r="J172" s="8" t="inlineStr">
        <is>
          <t>$/GJ</t>
        </is>
      </c>
      <c r="K172" s="8" t="inlineStr">
        <is>
          <t>$/GJ</t>
        </is>
      </c>
      <c r="L172" s="8" t="inlineStr">
        <is>
          <t>$/GJ</t>
        </is>
      </c>
      <c r="M172" s="8" t="inlineStr">
        <is>
          <t>$/GJ</t>
        </is>
      </c>
      <c r="N172" s="8" t="inlineStr">
        <is>
          <t>$/GJ</t>
        </is>
      </c>
      <c r="O172" s="8" t="inlineStr">
        <is>
          <t>$/GJ</t>
        </is>
      </c>
    </row>
    <row r="173" hidden="1">
      <c r="B173" s="28" t="inlineStr">
        <is>
          <t>Price increase units, Natural gas , Power</t>
        </is>
      </c>
      <c r="C173" s="28" t="n"/>
      <c r="D173" s="28" t="n"/>
      <c r="E173" s="28" t="n"/>
      <c r="F173" s="28" t="inlineStr">
        <is>
          <t>$/GJ</t>
        </is>
      </c>
      <c r="G173" s="28" t="inlineStr">
        <is>
          <t>$/GJ</t>
        </is>
      </c>
      <c r="H173" s="28" t="inlineStr">
        <is>
          <t>FprUnitNgaPow</t>
        </is>
      </c>
      <c r="J173" s="8" t="inlineStr">
        <is>
          <t>$/GJ</t>
        </is>
      </c>
      <c r="K173" s="8" t="inlineStr">
        <is>
          <t>$/GJ</t>
        </is>
      </c>
      <c r="L173" s="8" t="inlineStr">
        <is>
          <t>$/GJ</t>
        </is>
      </c>
      <c r="M173" s="8" t="inlineStr">
        <is>
          <t>$/GJ</t>
        </is>
      </c>
      <c r="N173" s="8" t="inlineStr">
        <is>
          <t>$/GJ</t>
        </is>
      </c>
      <c r="O173" s="8" t="inlineStr">
        <is>
          <t>$/GJ</t>
        </is>
      </c>
    </row>
    <row r="174" hidden="1">
      <c r="B174" s="28" t="inlineStr">
        <is>
          <t>Price increase units, Natural gas , Residential</t>
        </is>
      </c>
      <c r="C174" s="28" t="n"/>
      <c r="D174" s="28" t="n"/>
      <c r="E174" s="28" t="n"/>
      <c r="F174" s="28" t="inlineStr">
        <is>
          <t>$/GJ</t>
        </is>
      </c>
      <c r="G174" s="28" t="inlineStr">
        <is>
          <t>$/GJ</t>
        </is>
      </c>
      <c r="H174" s="28" t="inlineStr">
        <is>
          <t>FprUnitNgaRes</t>
        </is>
      </c>
      <c r="J174" s="8" t="inlineStr">
        <is>
          <t>$/GJ</t>
        </is>
      </c>
      <c r="K174" s="8" t="inlineStr">
        <is>
          <t>$/GJ</t>
        </is>
      </c>
      <c r="L174" s="8" t="inlineStr">
        <is>
          <t>$/GJ</t>
        </is>
      </c>
      <c r="M174" s="8" t="inlineStr">
        <is>
          <t>$/GJ</t>
        </is>
      </c>
      <c r="N174" s="8" t="inlineStr">
        <is>
          <t>$/GJ</t>
        </is>
      </c>
      <c r="O174" s="8" t="inlineStr">
        <is>
          <t>$/GJ</t>
        </is>
      </c>
    </row>
    <row r="175" hidden="1">
      <c r="B175" s="28" t="inlineStr">
        <is>
          <t>Price increase units, Natural gas , Industry</t>
        </is>
      </c>
      <c r="C175" s="28" t="n"/>
      <c r="D175" s="28" t="n"/>
      <c r="E175" s="28" t="n"/>
      <c r="F175" s="28" t="inlineStr">
        <is>
          <t>$/GJ</t>
        </is>
      </c>
      <c r="G175" s="28" t="inlineStr">
        <is>
          <t>$/GJ</t>
        </is>
      </c>
      <c r="H175" s="28" t="inlineStr">
        <is>
          <t>FprUnitNgaInd</t>
        </is>
      </c>
      <c r="J175" s="8" t="inlineStr">
        <is>
          <t>$/GJ</t>
        </is>
      </c>
      <c r="K175" s="8" t="inlineStr">
        <is>
          <t>$/GJ</t>
        </is>
      </c>
      <c r="L175" s="8" t="inlineStr">
        <is>
          <t>$/GJ</t>
        </is>
      </c>
      <c r="M175" s="8" t="inlineStr">
        <is>
          <t>$/GJ</t>
        </is>
      </c>
      <c r="N175" s="8" t="inlineStr">
        <is>
          <t>$/GJ</t>
        </is>
      </c>
      <c r="O175" s="8" t="inlineStr">
        <is>
          <t>$/GJ</t>
        </is>
      </c>
    </row>
    <row r="176" hidden="1">
      <c r="B176" s="28" t="inlineStr">
        <is>
          <t>Price increase units, Electricity , Residential</t>
        </is>
      </c>
      <c r="C176" s="28" t="n"/>
      <c r="D176" s="28" t="n"/>
      <c r="E176" s="28" t="n"/>
      <c r="F176" s="28" t="inlineStr">
        <is>
          <t>$/kwh</t>
        </is>
      </c>
      <c r="G176" s="28" t="inlineStr">
        <is>
          <t>$/kwh</t>
        </is>
      </c>
      <c r="H176" s="28" t="inlineStr">
        <is>
          <t>FprUnitEcyRes</t>
        </is>
      </c>
      <c r="J176" s="8" t="inlineStr">
        <is>
          <t>$/kwh</t>
        </is>
      </c>
      <c r="K176" s="8" t="inlineStr">
        <is>
          <t>$/kwh</t>
        </is>
      </c>
      <c r="L176" s="8" t="inlineStr">
        <is>
          <t>$/kwh</t>
        </is>
      </c>
      <c r="M176" s="8" t="inlineStr">
        <is>
          <t>$/kwh</t>
        </is>
      </c>
      <c r="N176" s="8" t="inlineStr">
        <is>
          <t>$/kwh</t>
        </is>
      </c>
      <c r="O176" s="8" t="inlineStr">
        <is>
          <t>$/kwh</t>
        </is>
      </c>
    </row>
    <row r="177" hidden="1">
      <c r="B177" s="28" t="inlineStr">
        <is>
          <t>Price increase units, Electricity , Industry</t>
        </is>
      </c>
      <c r="C177" s="28" t="n"/>
      <c r="D177" s="28" t="n"/>
      <c r="E177" s="28" t="n"/>
      <c r="F177" s="28" t="inlineStr">
        <is>
          <t>$/kwh</t>
        </is>
      </c>
      <c r="G177" s="28" t="inlineStr">
        <is>
          <t>$/kwh</t>
        </is>
      </c>
      <c r="H177" s="28" t="inlineStr">
        <is>
          <t>FprUnitEcyInd</t>
        </is>
      </c>
      <c r="J177" s="8" t="inlineStr">
        <is>
          <t>$/kwh</t>
        </is>
      </c>
      <c r="K177" s="8" t="inlineStr">
        <is>
          <t>$/kwh</t>
        </is>
      </c>
      <c r="L177" s="8" t="inlineStr">
        <is>
          <t>$/kwh</t>
        </is>
      </c>
      <c r="M177" s="8" t="inlineStr">
        <is>
          <t>$/kwh</t>
        </is>
      </c>
      <c r="N177" s="8" t="inlineStr">
        <is>
          <t>$/kwh</t>
        </is>
      </c>
      <c r="O177" s="8" t="inlineStr">
        <is>
          <t>$/kwh</t>
        </is>
      </c>
    </row>
    <row r="178" hidden="1">
      <c r="B178" s="28" t="inlineStr">
        <is>
          <t>Price increase units, Gasoline , All</t>
        </is>
      </c>
      <c r="C178" s="28" t="n"/>
      <c r="D178" s="28" t="n"/>
      <c r="E178" s="28" t="n"/>
      <c r="F178" s="28" t="inlineStr">
        <is>
          <t>$/liter</t>
        </is>
      </c>
      <c r="G178" s="28" t="inlineStr">
        <is>
          <t>$/liter</t>
        </is>
      </c>
      <c r="H178" s="28" t="inlineStr">
        <is>
          <t>FprUnitGsoAll</t>
        </is>
      </c>
      <c r="J178" s="8" t="inlineStr">
        <is>
          <t>$/liter</t>
        </is>
      </c>
      <c r="K178" s="8" t="inlineStr">
        <is>
          <t>$/liter</t>
        </is>
      </c>
      <c r="L178" s="8" t="inlineStr">
        <is>
          <t>$/liter</t>
        </is>
      </c>
      <c r="M178" s="8" t="inlineStr">
        <is>
          <t>$/liter</t>
        </is>
      </c>
      <c r="N178" s="8" t="inlineStr">
        <is>
          <t>$/liter</t>
        </is>
      </c>
      <c r="O178" s="8" t="inlineStr">
        <is>
          <t>$/liter</t>
        </is>
      </c>
    </row>
    <row r="179" hidden="1">
      <c r="B179" s="28" t="inlineStr">
        <is>
          <t>Price increase units, Diesel  , All</t>
        </is>
      </c>
      <c r="C179" s="28" t="n"/>
      <c r="D179" s="28" t="n"/>
      <c r="E179" s="28" t="n"/>
      <c r="F179" s="28" t="inlineStr">
        <is>
          <t>$/liter</t>
        </is>
      </c>
      <c r="G179" s="28" t="inlineStr">
        <is>
          <t>$/liter</t>
        </is>
      </c>
      <c r="H179" s="28" t="inlineStr">
        <is>
          <t>FprUnitDieAll</t>
        </is>
      </c>
      <c r="J179" s="8" t="inlineStr">
        <is>
          <t>$/liter</t>
        </is>
      </c>
      <c r="K179" s="8" t="inlineStr">
        <is>
          <t>$/liter</t>
        </is>
      </c>
      <c r="L179" s="8" t="inlineStr">
        <is>
          <t>$/liter</t>
        </is>
      </c>
      <c r="M179" s="8" t="inlineStr">
        <is>
          <t>$/liter</t>
        </is>
      </c>
      <c r="N179" s="8" t="inlineStr">
        <is>
          <t>$/liter</t>
        </is>
      </c>
      <c r="O179" s="8" t="inlineStr">
        <is>
          <t>$/liter</t>
        </is>
      </c>
    </row>
    <row r="180" hidden="1">
      <c r="B180" s="28" t="inlineStr">
        <is>
          <t>Price increase units, LPG , All</t>
        </is>
      </c>
      <c r="C180" s="28" t="n"/>
      <c r="D180" s="28" t="n"/>
      <c r="E180" s="28" t="n"/>
      <c r="F180" s="28" t="inlineStr">
        <is>
          <t>$/liter</t>
        </is>
      </c>
      <c r="G180" s="28" t="inlineStr">
        <is>
          <t>$/liter</t>
        </is>
      </c>
      <c r="H180" s="28" t="inlineStr">
        <is>
          <t>FprUnitLpgAll</t>
        </is>
      </c>
      <c r="J180" s="8" t="inlineStr">
        <is>
          <t>$/liter</t>
        </is>
      </c>
      <c r="K180" s="8" t="inlineStr">
        <is>
          <t>$/liter</t>
        </is>
      </c>
      <c r="L180" s="8" t="inlineStr">
        <is>
          <t>$/liter</t>
        </is>
      </c>
      <c r="M180" s="8" t="inlineStr">
        <is>
          <t>$/liter</t>
        </is>
      </c>
      <c r="N180" s="8" t="inlineStr">
        <is>
          <t>$/liter</t>
        </is>
      </c>
      <c r="O180" s="8" t="inlineStr">
        <is>
          <t>$/liter</t>
        </is>
      </c>
    </row>
    <row r="181" hidden="1">
      <c r="B181" s="28" t="inlineStr">
        <is>
          <t>Price increase units, Kerosene , All</t>
        </is>
      </c>
      <c r="C181" s="28" t="n"/>
      <c r="D181" s="28" t="n"/>
      <c r="E181" s="28" t="n"/>
      <c r="F181" s="28" t="inlineStr">
        <is>
          <t>$/liter</t>
        </is>
      </c>
      <c r="G181" s="28" t="inlineStr">
        <is>
          <t>$/liter</t>
        </is>
      </c>
      <c r="H181" s="28" t="inlineStr">
        <is>
          <t>FprUnitKerAll</t>
        </is>
      </c>
      <c r="J181" s="8" t="inlineStr">
        <is>
          <t>$/liter</t>
        </is>
      </c>
      <c r="K181" s="8" t="inlineStr">
        <is>
          <t>$/liter</t>
        </is>
      </c>
      <c r="L181" s="8" t="inlineStr">
        <is>
          <t>$/liter</t>
        </is>
      </c>
      <c r="M181" s="8" t="inlineStr">
        <is>
          <t>$/liter</t>
        </is>
      </c>
      <c r="N181" s="8" t="inlineStr">
        <is>
          <t>$/liter</t>
        </is>
      </c>
      <c r="O181" s="8" t="inlineStr">
        <is>
          <t>$/liter</t>
        </is>
      </c>
    </row>
    <row r="182" hidden="1">
      <c r="B182" s="28" t="inlineStr">
        <is>
          <t>Price increase units, Other oil products , All</t>
        </is>
      </c>
      <c r="C182" s="28" t="n"/>
      <c r="D182" s="28" t="n"/>
      <c r="E182" s="28" t="n"/>
      <c r="F182" s="28" t="inlineStr">
        <is>
          <t>$/bbl</t>
        </is>
      </c>
      <c r="G182" s="28" t="inlineStr">
        <is>
          <t>$/bbl</t>
        </is>
      </c>
      <c r="H182" s="28" t="inlineStr">
        <is>
          <t>FprUnitOopAll</t>
        </is>
      </c>
      <c r="J182" s="8" t="inlineStr">
        <is>
          <t>$/bbl</t>
        </is>
      </c>
      <c r="K182" s="8" t="inlineStr">
        <is>
          <t>$/bbl</t>
        </is>
      </c>
      <c r="L182" s="8" t="inlineStr">
        <is>
          <t>$/bbl</t>
        </is>
      </c>
      <c r="M182" s="8" t="inlineStr">
        <is>
          <t>$/bbl</t>
        </is>
      </c>
      <c r="N182" s="8" t="inlineStr">
        <is>
          <t>$/bbl</t>
        </is>
      </c>
      <c r="O182" s="8" t="inlineStr">
        <is>
          <t>$/bbl</t>
        </is>
      </c>
    </row>
    <row r="183" hidden="1">
      <c r="B183" s="28" t="inlineStr">
        <is>
          <t>Price increase units, Biomass , All</t>
        </is>
      </c>
      <c r="C183" s="28" t="n"/>
      <c r="D183" s="28" t="n"/>
      <c r="E183" s="28" t="n"/>
      <c r="F183" s="28" t="inlineStr">
        <is>
          <t>$/GJ</t>
        </is>
      </c>
      <c r="G183" s="28" t="inlineStr">
        <is>
          <t>$/GJ</t>
        </is>
      </c>
      <c r="H183" s="28" t="inlineStr">
        <is>
          <t>FprUnitBioAll</t>
        </is>
      </c>
      <c r="J183" s="8" t="inlineStr">
        <is>
          <t>$/GJ</t>
        </is>
      </c>
      <c r="K183" s="8" t="inlineStr">
        <is>
          <t>$/GJ</t>
        </is>
      </c>
      <c r="L183" s="8" t="inlineStr">
        <is>
          <t>$/GJ</t>
        </is>
      </c>
      <c r="M183" s="8" t="inlineStr">
        <is>
          <t>$/GJ</t>
        </is>
      </c>
      <c r="N183" s="8" t="inlineStr">
        <is>
          <t>$/GJ</t>
        </is>
      </c>
      <c r="O183" s="8" t="inlineStr">
        <is>
          <t>$/GJ</t>
        </is>
      </c>
    </row>
    <row r="184" hidden="1">
      <c r="B184" s="26" t="inlineStr">
        <is>
          <t>Methane tax</t>
        </is>
      </c>
    </row>
    <row r="185" hidden="1">
      <c r="B185" s="28" t="inlineStr">
        <is>
          <t>Apply carbon tax to methane</t>
        </is>
      </c>
      <c r="C185" s="28" t="inlineStr">
        <is>
          <t>switch</t>
        </is>
      </c>
      <c r="D185" s="28" t="n"/>
      <c r="E185" s="28" t="n"/>
      <c r="F185" s="28" t="inlineStr">
        <is>
          <t>No</t>
        </is>
      </c>
      <c r="G185" s="28" t="inlineStr">
        <is>
          <t>No</t>
        </is>
      </c>
      <c r="H185" s="28" t="inlineStr">
        <is>
          <t>CTforMethane</t>
        </is>
      </c>
      <c r="J185" s="8" t="inlineStr">
        <is>
          <t>No</t>
        </is>
      </c>
      <c r="K185" s="8" t="inlineStr">
        <is>
          <t>No</t>
        </is>
      </c>
      <c r="L185" s="8" t="inlineStr">
        <is>
          <t>No</t>
        </is>
      </c>
      <c r="M185" s="8" t="inlineStr">
        <is>
          <t>No</t>
        </is>
      </c>
      <c r="N185" s="8" t="inlineStr">
        <is>
          <t>No</t>
        </is>
      </c>
      <c r="O185" s="8" t="inlineStr">
        <is>
          <t>No</t>
        </is>
      </c>
    </row>
    <row r="186" hidden="1">
      <c r="B186" s="28" t="inlineStr">
        <is>
          <t>Year of methane fee introduction</t>
        </is>
      </c>
      <c r="C186" s="28" t="inlineStr">
        <is>
          <t>year</t>
        </is>
      </c>
      <c r="D186" s="28" t="n"/>
      <c r="E186" s="28" t="n"/>
      <c r="F186" s="28" t="n">
        <v>2027</v>
      </c>
      <c r="G186" s="28" t="n">
        <v>2027</v>
      </c>
      <c r="H186" s="28" t="inlineStr">
        <is>
          <t>MPIntro</t>
        </is>
      </c>
      <c r="J186" s="8" t="n">
        <v>2027</v>
      </c>
      <c r="K186" s="8" t="n">
        <v>2027</v>
      </c>
      <c r="L186" s="8" t="n">
        <v>2027</v>
      </c>
      <c r="M186" s="8" t="n">
        <v>2027</v>
      </c>
      <c r="N186" s="8" t="n">
        <v>2027</v>
      </c>
      <c r="O186" s="8" t="n">
        <v>2027</v>
      </c>
    </row>
    <row r="187" hidden="1">
      <c r="B187" s="28" t="inlineStr">
        <is>
          <t>Starting methane fee (real USD per ton CO2eq)</t>
        </is>
      </c>
      <c r="C187" s="28" t="inlineStr">
        <is>
          <t>USD per ton of CO2 eq</t>
        </is>
      </c>
      <c r="D187" s="28" t="n"/>
      <c r="E187" s="28" t="n"/>
      <c r="F187" s="28" t="n">
        <v>0</v>
      </c>
      <c r="G187" s="28" t="n">
        <v>0</v>
      </c>
      <c r="H187" s="28" t="inlineStr">
        <is>
          <t>MPLevelStart</t>
        </is>
      </c>
      <c r="J187" s="8" t="n">
        <v>0</v>
      </c>
      <c r="K187" s="8" t="n">
        <v>0</v>
      </c>
      <c r="L187" s="8" t="n">
        <v>0</v>
      </c>
      <c r="M187" s="8" t="n">
        <v>0</v>
      </c>
      <c r="N187" s="8" t="n">
        <v>0</v>
      </c>
      <c r="O187" s="8" t="n">
        <v>0</v>
      </c>
    </row>
    <row r="188" hidden="1">
      <c r="B188" s="28" t="inlineStr">
        <is>
          <t>Target level of methane fee</t>
        </is>
      </c>
      <c r="C188" s="28" t="inlineStr">
        <is>
          <t>USD per ton of CO2 eq</t>
        </is>
      </c>
      <c r="D188" s="28" t="n"/>
      <c r="E188" s="28" t="n"/>
      <c r="F188" s="28" t="n">
        <v>0</v>
      </c>
      <c r="G188" s="28" t="n">
        <v>0</v>
      </c>
      <c r="H188" s="28" t="inlineStr">
        <is>
          <t>MPLevelTarget</t>
        </is>
      </c>
      <c r="J188" s="8" t="n">
        <v>0</v>
      </c>
      <c r="K188" s="8" t="n">
        <v>0</v>
      </c>
      <c r="L188" s="8" t="n">
        <v>0</v>
      </c>
      <c r="M188" s="8" t="n">
        <v>0</v>
      </c>
      <c r="N188" s="8" t="n">
        <v>0</v>
      </c>
      <c r="O188" s="8" t="n">
        <v>0</v>
      </c>
    </row>
    <row r="189" hidden="1">
      <c r="B189" s="28" t="inlineStr">
        <is>
          <t>Year to reach target methane fee level</t>
        </is>
      </c>
      <c r="C189" s="28" t="inlineStr">
        <is>
          <t>year</t>
        </is>
      </c>
      <c r="D189" s="28" t="n"/>
      <c r="E189" s="28" t="n"/>
      <c r="F189" s="28" t="n">
        <v>2030</v>
      </c>
      <c r="G189" s="28" t="n">
        <v>2030</v>
      </c>
      <c r="H189" s="28" t="inlineStr">
        <is>
          <t>MPOutro</t>
        </is>
      </c>
      <c r="J189" s="8" t="n">
        <v>2030</v>
      </c>
      <c r="K189" s="8" t="n">
        <v>2030</v>
      </c>
      <c r="L189" s="8" t="n">
        <v>2030</v>
      </c>
      <c r="M189" s="8" t="n">
        <v>2030</v>
      </c>
      <c r="N189" s="8" t="n">
        <v>2030</v>
      </c>
      <c r="O189" s="8" t="n">
        <v>2030</v>
      </c>
    </row>
    <row r="190" hidden="1">
      <c r="B190" s="26" t="inlineStr">
        <is>
          <t>Price liberalization</t>
        </is>
      </c>
    </row>
    <row r="191" hidden="1">
      <c r="B191" s="28" t="inlineStr">
        <is>
          <t>Apply price controls phaseout?</t>
        </is>
      </c>
      <c r="C191" s="28" t="inlineStr">
        <is>
          <t>switch</t>
        </is>
      </c>
      <c r="D191" s="28" t="n"/>
      <c r="E191" s="28" t="n"/>
      <c r="F191" s="28" t="b">
        <v>0</v>
      </c>
      <c r="G191" s="28" t="b">
        <v>0</v>
      </c>
      <c r="H191" s="28" t="inlineStr">
        <is>
          <t>PrcContPha</t>
        </is>
      </c>
      <c r="J191" s="8" t="b">
        <v>0</v>
      </c>
      <c r="K191" s="8" t="b">
        <v>0</v>
      </c>
      <c r="L191" s="8" t="b">
        <v>0</v>
      </c>
      <c r="M191" s="8" t="b">
        <v>0</v>
      </c>
      <c r="N191" s="8" t="b">
        <v>0</v>
      </c>
      <c r="O191" s="8" t="b">
        <v>0</v>
      </c>
    </row>
    <row r="192" hidden="1">
      <c r="B192" s="28" t="inlineStr">
        <is>
          <t>Year to start price controls phaseout (if applicable)</t>
        </is>
      </c>
      <c r="C192" s="28" t="inlineStr">
        <is>
          <t>year</t>
        </is>
      </c>
      <c r="D192" s="28" t="n"/>
      <c r="E192" s="28" t="n"/>
      <c r="F192" s="28" t="n">
        <v>2027</v>
      </c>
      <c r="G192" s="28" t="n">
        <v>2027</v>
      </c>
      <c r="H192" s="28" t="inlineStr">
        <is>
          <t>YearPrcContPha</t>
        </is>
      </c>
      <c r="J192" s="8" t="n">
        <v>2027</v>
      </c>
      <c r="K192" s="8" t="n">
        <v>2027</v>
      </c>
      <c r="L192" s="8" t="n">
        <v>2027</v>
      </c>
      <c r="M192" s="8" t="n">
        <v>2027</v>
      </c>
      <c r="N192" s="8" t="n">
        <v>2027</v>
      </c>
      <c r="O192" s="8" t="n">
        <v>2027</v>
      </c>
    </row>
    <row r="193" hidden="1">
      <c r="B193" s="28" t="inlineStr">
        <is>
          <t>Period to reach full price controls phaseout (if applicable)</t>
        </is>
      </c>
      <c r="C193" s="28" t="inlineStr">
        <is>
          <t>year</t>
        </is>
      </c>
      <c r="D193" s="28" t="n"/>
      <c r="E193" s="28" t="n"/>
      <c r="F193" s="28" t="n">
        <v>5</v>
      </c>
      <c r="G193" s="28" t="n">
        <v>5</v>
      </c>
      <c r="H193" s="28" t="inlineStr">
        <is>
          <t>PrcControlPhaseout</t>
        </is>
      </c>
      <c r="J193" s="8" t="n">
        <v>5</v>
      </c>
      <c r="K193" s="8" t="n">
        <v>5</v>
      </c>
      <c r="L193" s="8" t="n">
        <v>5</v>
      </c>
      <c r="M193" s="8" t="n">
        <v>5</v>
      </c>
      <c r="N193" s="8" t="n">
        <v>5</v>
      </c>
      <c r="O193" s="8" t="n">
        <v>5</v>
      </c>
    </row>
    <row r="194" hidden="1">
      <c r="B194" s="28" t="inlineStr">
        <is>
          <t>Government energy price controls</t>
        </is>
      </c>
      <c r="C194" s="28" t="inlineStr">
        <is>
          <t>switch</t>
        </is>
      </c>
      <c r="D194" s="28" t="n"/>
      <c r="E194" s="28" t="n"/>
      <c r="F194" s="28" t="inlineStr">
        <is>
          <t>Bucketed*</t>
        </is>
      </c>
      <c r="G194" s="28" t="inlineStr">
        <is>
          <t>Bucketed*</t>
        </is>
      </c>
      <c r="H194" s="28" t="inlineStr">
        <is>
          <t>GovPriceControls</t>
        </is>
      </c>
      <c r="J194" s="8" t="inlineStr">
        <is>
          <t>Bucketed*</t>
        </is>
      </c>
      <c r="K194" s="8" t="inlineStr">
        <is>
          <t>Bucketed*</t>
        </is>
      </c>
      <c r="L194" s="8" t="inlineStr">
        <is>
          <t>Bucketed*</t>
        </is>
      </c>
      <c r="M194" s="8" t="inlineStr">
        <is>
          <t>Bucketed*</t>
        </is>
      </c>
      <c r="N194" s="8" t="inlineStr">
        <is>
          <t>Bucketed*</t>
        </is>
      </c>
      <c r="O194" s="8" t="inlineStr">
        <is>
          <t>Bucketed*</t>
        </is>
      </c>
    </row>
    <row r="195" hidden="1">
      <c r="B195" s="28" t="inlineStr">
        <is>
          <t>Apply price controls phaseout in the baseline scenario?</t>
        </is>
      </c>
      <c r="C195" s="28" t="inlineStr">
        <is>
          <t>switch</t>
        </is>
      </c>
      <c r="D195" s="28" t="n"/>
      <c r="E195" s="28" t="n"/>
      <c r="F195" s="28" t="inlineStr">
        <is>
          <t>No</t>
        </is>
      </c>
      <c r="G195" s="28" t="inlineStr">
        <is>
          <t>No</t>
        </is>
      </c>
      <c r="H195" s="28" t="inlineStr">
        <is>
          <t>PrcContPhaBaseline</t>
        </is>
      </c>
      <c r="J195" s="8" t="inlineStr">
        <is>
          <t>No</t>
        </is>
      </c>
      <c r="K195" s="8" t="inlineStr">
        <is>
          <t>No</t>
        </is>
      </c>
      <c r="L195" s="8" t="inlineStr">
        <is>
          <t>No</t>
        </is>
      </c>
      <c r="M195" s="8" t="inlineStr">
        <is>
          <t>No</t>
        </is>
      </c>
      <c r="N195" s="8" t="inlineStr">
        <is>
          <t>No</t>
        </is>
      </c>
      <c r="O195" s="8" t="inlineStr">
        <is>
          <t>No</t>
        </is>
      </c>
    </row>
    <row r="196">
      <c r="B196" s="26" t="inlineStr">
        <is>
          <t>Revenues use</t>
        </is>
      </c>
    </row>
    <row r="197">
      <c r="B197" s="28" t="inlineStr">
        <is>
          <t>Labor tax reductions</t>
        </is>
      </c>
      <c r="C197" s="28" t="inlineStr">
        <is>
          <t>% of revenues</t>
        </is>
      </c>
      <c r="D197" s="28" t="n"/>
      <c r="E197" s="28" t="n"/>
      <c r="F197" s="28" t="n">
        <v>30</v>
      </c>
      <c r="G197" s="28" t="n">
        <v>30</v>
      </c>
      <c r="H197" s="28" t="inlineStr">
        <is>
          <t>EXPLabortax</t>
        </is>
      </c>
      <c r="J197" s="8" t="n">
        <v>30</v>
      </c>
      <c r="K197" s="8" t="n">
        <v>30</v>
      </c>
      <c r="L197" s="8" t="n">
        <v>30</v>
      </c>
      <c r="M197" s="8" t="n">
        <v>30</v>
      </c>
      <c r="N197" s="8" t="n">
        <v>30</v>
      </c>
      <c r="O197" s="8" t="n">
        <v>30</v>
      </c>
    </row>
    <row r="198" hidden="1">
      <c r="B198" s="28" t="inlineStr">
        <is>
          <t>Corporate taxes</t>
        </is>
      </c>
      <c r="C198" s="28" t="inlineStr">
        <is>
          <t>% of revenues</t>
        </is>
      </c>
      <c r="D198" s="28" t="n"/>
      <c r="E198" s="28" t="n"/>
      <c r="F198" s="28" t="n">
        <v>0</v>
      </c>
      <c r="G198" s="28" t="n">
        <v>0</v>
      </c>
      <c r="H198" s="28" t="inlineStr">
        <is>
          <t>EXPCIT</t>
        </is>
      </c>
      <c r="J198" s="8" t="n">
        <v>0</v>
      </c>
      <c r="K198" s="8" t="n">
        <v>0</v>
      </c>
      <c r="L198" s="8" t="n">
        <v>0</v>
      </c>
      <c r="M198" s="8" t="n">
        <v>0</v>
      </c>
      <c r="N198" s="8" t="n">
        <v>0</v>
      </c>
      <c r="O198" s="8" t="n">
        <v>0</v>
      </c>
    </row>
    <row r="199">
      <c r="B199" s="28" t="inlineStr">
        <is>
          <t>Public investment</t>
        </is>
      </c>
      <c r="C199" s="28" t="inlineStr">
        <is>
          <t>% of revenues</t>
        </is>
      </c>
      <c r="D199" s="28" t="n"/>
      <c r="E199" s="28" t="n"/>
      <c r="F199" s="28" t="n">
        <v>50</v>
      </c>
      <c r="G199" s="28" t="n">
        <v>50</v>
      </c>
      <c r="H199" s="28" t="inlineStr">
        <is>
          <t>EXPCapex</t>
        </is>
      </c>
      <c r="J199" s="8" t="n">
        <v>50</v>
      </c>
      <c r="K199" s="8" t="n">
        <v>50</v>
      </c>
      <c r="L199" s="8" t="n">
        <v>50</v>
      </c>
      <c r="M199" s="8" t="n">
        <v>50</v>
      </c>
      <c r="N199" s="8" t="n">
        <v>50</v>
      </c>
      <c r="O199" s="8" t="n">
        <v>50</v>
      </c>
    </row>
    <row r="200">
      <c r="B200" s="28" t="inlineStr">
        <is>
          <t>Current spending</t>
        </is>
      </c>
      <c r="C200" s="28" t="inlineStr">
        <is>
          <t>% of revenues</t>
        </is>
      </c>
      <c r="D200" s="28" t="n"/>
      <c r="E200" s="28" t="n"/>
      <c r="F200" s="28" t="n">
        <v>0</v>
      </c>
      <c r="G200" s="28" t="n">
        <v>0</v>
      </c>
      <c r="H200" s="28" t="inlineStr">
        <is>
          <t>EXPGoodsandserv</t>
        </is>
      </c>
      <c r="J200" s="8" t="n">
        <v>0</v>
      </c>
      <c r="K200" s="8" t="n">
        <v>0</v>
      </c>
      <c r="L200" s="8" t="n">
        <v>0</v>
      </c>
      <c r="M200" s="8" t="n">
        <v>0</v>
      </c>
      <c r="N200" s="8" t="n">
        <v>0</v>
      </c>
      <c r="O200" s="8" t="n">
        <v>0</v>
      </c>
    </row>
    <row r="201">
      <c r="B201" s="28" t="inlineStr">
        <is>
          <t>Targeted transfers</t>
        </is>
      </c>
      <c r="C201" s="28" t="inlineStr">
        <is>
          <t>% of revenues</t>
        </is>
      </c>
      <c r="D201" s="28" t="n"/>
      <c r="E201" s="28" t="n"/>
      <c r="F201" s="28" t="n">
        <v>20</v>
      </c>
      <c r="G201" s="28" t="n">
        <v>20</v>
      </c>
      <c r="H201" s="28" t="inlineStr">
        <is>
          <t>EXPTransfers</t>
        </is>
      </c>
      <c r="J201" s="8" t="n">
        <v>20</v>
      </c>
      <c r="K201" s="8" t="n">
        <v>20</v>
      </c>
      <c r="L201" s="8" t="n">
        <v>20</v>
      </c>
      <c r="M201" s="8" t="n">
        <v>20</v>
      </c>
      <c r="N201" s="8" t="n">
        <v>20</v>
      </c>
      <c r="O201" s="8" t="n">
        <v>20</v>
      </c>
    </row>
    <row r="202">
      <c r="B202" s="26" t="inlineStr">
        <is>
          <t>of which:</t>
        </is>
      </c>
    </row>
    <row r="203">
      <c r="B203" s="28" t="inlineStr">
        <is>
          <t>targeted percentile</t>
        </is>
      </c>
      <c r="C203" s="28" t="inlineStr">
        <is>
          <t>% bottom targetting (from bottom of distribution)</t>
        </is>
      </c>
      <c r="D203" s="28" t="n"/>
      <c r="E203" s="28" t="n"/>
      <c r="F203" s="28" t="n">
        <v>40</v>
      </c>
      <c r="G203" s="28" t="n">
        <v>40</v>
      </c>
      <c r="H203" s="28" t="inlineStr">
        <is>
          <t>TargettedPercentile</t>
        </is>
      </c>
      <c r="J203" s="8" t="n">
        <v>40</v>
      </c>
      <c r="K203" s="8" t="n">
        <v>40</v>
      </c>
      <c r="L203" s="8" t="n">
        <v>40</v>
      </c>
      <c r="M203" s="8" t="n">
        <v>40</v>
      </c>
      <c r="N203" s="8" t="n">
        <v>40</v>
      </c>
      <c r="O203" s="8" t="n">
        <v>40</v>
      </c>
    </row>
    <row r="204">
      <c r="B204" s="28" t="inlineStr">
        <is>
          <t>coverage rate</t>
        </is>
      </c>
      <c r="C204" s="28" t="inlineStr">
        <is>
          <t>% of targeted percentile that receive transfers</t>
        </is>
      </c>
      <c r="D204" s="28" t="n"/>
      <c r="E204" s="28" t="n"/>
      <c r="F204" s="28" t="n">
        <v>100</v>
      </c>
      <c r="G204" s="28" t="n">
        <v>100</v>
      </c>
      <c r="H204" s="28" t="inlineStr">
        <is>
          <t>CoverageRate</t>
        </is>
      </c>
      <c r="J204" s="8" t="n">
        <v>100</v>
      </c>
      <c r="K204" s="8" t="n">
        <v>100</v>
      </c>
      <c r="L204" s="8" t="n">
        <v>100</v>
      </c>
      <c r="M204" s="8" t="n">
        <v>100</v>
      </c>
      <c r="N204" s="8" t="n">
        <v>100</v>
      </c>
      <c r="O204" s="8" t="n">
        <v>100</v>
      </c>
    </row>
    <row r="205">
      <c r="B205" s="28" t="inlineStr">
        <is>
          <t>leakage rate</t>
        </is>
      </c>
      <c r="C205" s="28" t="inlineStr">
        <is>
          <t>% of untargeted percentile that receive transfers</t>
        </is>
      </c>
      <c r="D205" s="28" t="n"/>
      <c r="E205" s="28" t="n"/>
      <c r="F205" s="28" t="n">
        <v>0</v>
      </c>
      <c r="G205" s="28" t="n">
        <v>0</v>
      </c>
      <c r="H205" s="28" t="inlineStr">
        <is>
          <t>LeakageRate</t>
        </is>
      </c>
      <c r="J205" s="8" t="n">
        <v>0</v>
      </c>
      <c r="K205" s="8" t="n">
        <v>0</v>
      </c>
      <c r="L205" s="8" t="n">
        <v>0</v>
      </c>
      <c r="M205" s="8" t="n">
        <v>0</v>
      </c>
      <c r="N205" s="8" t="n">
        <v>0</v>
      </c>
      <c r="O205" s="8" t="n">
        <v>0</v>
      </c>
    </row>
    <row r="206" hidden="1">
      <c r="B206" s="26" t="inlineStr">
        <is>
          <t>Policy options</t>
        </is>
      </c>
    </row>
    <row r="207" hidden="1">
      <c r="A207" t="inlineStr">
        <is>
          <t>X</t>
        </is>
      </c>
      <c r="B207" s="28" t="inlineStr">
        <is>
          <t>Additional mitigation policies in non-energy sectors?</t>
        </is>
      </c>
      <c r="C207" s="28" t="inlineStr">
        <is>
          <t>switch</t>
        </is>
      </c>
      <c r="D207" s="28" t="n"/>
      <c r="E207" s="28" t="n"/>
      <c r="F207" s="28" t="inlineStr">
        <is>
          <t>No*</t>
        </is>
      </c>
      <c r="G207" s="28" t="inlineStr">
        <is>
          <t>Yes*</t>
        </is>
      </c>
      <c r="H207" s="28" t="inlineStr">
        <is>
          <t>AdditionMitigationPoliciesNonEnergy</t>
        </is>
      </c>
      <c r="J207" s="8" t="inlineStr">
        <is>
          <t>No*</t>
        </is>
      </c>
      <c r="K207" s="8" t="inlineStr">
        <is>
          <t>No*</t>
        </is>
      </c>
      <c r="L207" s="8" t="inlineStr">
        <is>
          <t>No*</t>
        </is>
      </c>
      <c r="M207" s="8" t="inlineStr">
        <is>
          <t>No*</t>
        </is>
      </c>
      <c r="N207" s="8" t="inlineStr">
        <is>
          <t>No*</t>
        </is>
      </c>
      <c r="O207" s="8" t="inlineStr">
        <is>
          <t>No*</t>
        </is>
      </c>
    </row>
    <row r="208" hidden="1">
      <c r="B208" s="28" t="inlineStr">
        <is>
          <t>Apply existing ETS (if exists)?</t>
        </is>
      </c>
      <c r="C208" s="28" t="inlineStr">
        <is>
          <t>switch</t>
        </is>
      </c>
      <c r="D208" s="28" t="n"/>
      <c r="E208" s="28" t="n"/>
      <c r="F208" s="28" t="inlineStr">
        <is>
          <t>Yes*</t>
        </is>
      </c>
      <c r="G208" s="28" t="inlineStr">
        <is>
          <t>Yes*</t>
        </is>
      </c>
      <c r="H208" s="28" t="inlineStr">
        <is>
          <t>ExistingETSApply</t>
        </is>
      </c>
      <c r="J208" s="8" t="inlineStr">
        <is>
          <t>Yes*</t>
        </is>
      </c>
      <c r="K208" s="8" t="inlineStr">
        <is>
          <t>Yes*</t>
        </is>
      </c>
      <c r="L208" s="8" t="inlineStr">
        <is>
          <t>Yes*</t>
        </is>
      </c>
      <c r="M208" s="8" t="inlineStr">
        <is>
          <t>Yes*</t>
        </is>
      </c>
      <c r="N208" s="8" t="inlineStr">
        <is>
          <t>Yes*</t>
        </is>
      </c>
      <c r="O208" s="8" t="inlineStr">
        <is>
          <t>Yes*</t>
        </is>
      </c>
    </row>
    <row r="209" hidden="1">
      <c r="B209" s="28" t="inlineStr">
        <is>
          <t>Existing ETS permit price growth per annum (real terms)</t>
        </is>
      </c>
      <c r="C209" s="28" t="inlineStr">
        <is>
          <t>%, real</t>
        </is>
      </c>
      <c r="D209" s="28" t="n"/>
      <c r="E209" s="28" t="n"/>
      <c r="F209" s="28" t="n">
        <v>0</v>
      </c>
      <c r="G209" s="28" t="n">
        <v>0</v>
      </c>
      <c r="H209" s="28" t="inlineStr">
        <is>
          <t>ExistingETSGrowth</t>
        </is>
      </c>
      <c r="J209" s="8" t="n">
        <v>0</v>
      </c>
      <c r="K209" s="8" t="n">
        <v>0</v>
      </c>
      <c r="L209" s="8" t="n">
        <v>0</v>
      </c>
      <c r="M209" s="8" t="n">
        <v>0</v>
      </c>
      <c r="N209" s="8" t="n">
        <v>0</v>
      </c>
      <c r="O209" s="8" t="n">
        <v>0</v>
      </c>
    </row>
    <row r="210" hidden="1">
      <c r="B210" s="28" t="inlineStr">
        <is>
          <t>New carbon tax complementary to existing ETS coverage</t>
        </is>
      </c>
      <c r="C210" s="28" t="inlineStr">
        <is>
          <t>switch</t>
        </is>
      </c>
      <c r="D210" s="28" t="n"/>
      <c r="E210" s="28" t="n"/>
      <c r="F210" s="28" t="inlineStr">
        <is>
          <t>No*</t>
        </is>
      </c>
      <c r="G210" s="28" t="inlineStr">
        <is>
          <t>No*</t>
        </is>
      </c>
      <c r="H210" s="28" t="inlineStr">
        <is>
          <t>CTaxComplimentaryToETS</t>
        </is>
      </c>
      <c r="J210" s="8" t="inlineStr">
        <is>
          <t>No*</t>
        </is>
      </c>
      <c r="K210" s="8" t="inlineStr">
        <is>
          <t>No*</t>
        </is>
      </c>
      <c r="L210" s="8" t="inlineStr">
        <is>
          <t>No*</t>
        </is>
      </c>
      <c r="M210" s="8" t="inlineStr">
        <is>
          <t>No*</t>
        </is>
      </c>
      <c r="N210" s="8" t="inlineStr">
        <is>
          <t>No*</t>
        </is>
      </c>
      <c r="O210" s="8" t="inlineStr">
        <is>
          <t>No*</t>
        </is>
      </c>
    </row>
    <row r="211" hidden="1">
      <c r="B211" s="28" t="inlineStr">
        <is>
          <t>ETS behavioral responses and revenues adjustment</t>
        </is>
      </c>
      <c r="C211" s="28" t="inlineStr">
        <is>
          <t>%</t>
        </is>
      </c>
      <c r="D211" s="28" t="n"/>
      <c r="E211" s="28" t="n"/>
      <c r="F211" s="28" t="n">
        <v>0.9</v>
      </c>
      <c r="G211" s="28" t="n">
        <v>0.9</v>
      </c>
      <c r="H211" s="28" t="inlineStr">
        <is>
          <t>ETSBehavioralAdjustment</t>
        </is>
      </c>
      <c r="J211" s="8" t="n">
        <v>0.9</v>
      </c>
      <c r="K211" s="8" t="n">
        <v>0.9</v>
      </c>
      <c r="L211" s="8" t="n">
        <v>0.9</v>
      </c>
      <c r="M211" s="8" t="n">
        <v>0.9</v>
      </c>
      <c r="N211" s="8" t="n">
        <v>0.9</v>
      </c>
      <c r="O211" s="8" t="n">
        <v>0.9</v>
      </c>
    </row>
    <row r="212" hidden="1">
      <c r="B212" s="28" t="inlineStr">
        <is>
          <t>Years to phase in Pigouvian tax?</t>
        </is>
      </c>
      <c r="C212" s="28" t="inlineStr">
        <is>
          <t>year</t>
        </is>
      </c>
      <c r="D212" s="28" t="n"/>
      <c r="E212" s="28" t="n"/>
      <c r="F212" s="28" t="n">
        <v>5</v>
      </c>
      <c r="G212" s="28" t="n">
        <v>5</v>
      </c>
      <c r="H212" s="28" t="inlineStr">
        <is>
          <t>AddEfficientTaxesPhaseInYears</t>
        </is>
      </c>
      <c r="J212" s="8" t="n">
        <v>5</v>
      </c>
      <c r="K212" s="8" t="n">
        <v>5</v>
      </c>
      <c r="L212" s="8" t="n">
        <v>5</v>
      </c>
      <c r="M212" s="8" t="n">
        <v>5</v>
      </c>
      <c r="N212" s="8" t="n">
        <v>5</v>
      </c>
      <c r="O212" s="8" t="n">
        <v>5</v>
      </c>
    </row>
    <row r="213" hidden="1">
      <c r="B213" s="28" t="inlineStr">
        <is>
          <t>Apply existing carbon tax (if exists)?</t>
        </is>
      </c>
      <c r="C213" s="28" t="inlineStr">
        <is>
          <t>switch</t>
        </is>
      </c>
      <c r="D213" s="28" t="n"/>
      <c r="E213" s="28" t="n"/>
      <c r="F213" s="28" t="inlineStr">
        <is>
          <t>Yes*</t>
        </is>
      </c>
      <c r="G213" s="28" t="inlineStr">
        <is>
          <t>Yes*</t>
        </is>
      </c>
      <c r="H213" s="28" t="inlineStr">
        <is>
          <t>ExistingCTApply</t>
        </is>
      </c>
      <c r="J213" s="8" t="inlineStr">
        <is>
          <t>Yes*</t>
        </is>
      </c>
      <c r="K213" s="8" t="inlineStr">
        <is>
          <t>Yes*</t>
        </is>
      </c>
      <c r="L213" s="8" t="inlineStr">
        <is>
          <t>Yes*</t>
        </is>
      </c>
      <c r="M213" s="8" t="inlineStr">
        <is>
          <t>Yes*</t>
        </is>
      </c>
      <c r="N213" s="8" t="inlineStr">
        <is>
          <t>Yes*</t>
        </is>
      </c>
      <c r="O213" s="8" t="inlineStr">
        <is>
          <t>Yes*</t>
        </is>
      </c>
    </row>
    <row r="214" hidden="1">
      <c r="B214" s="28" t="inlineStr">
        <is>
          <t>Assumed existing carbon tax growth per annum (real terms)</t>
        </is>
      </c>
      <c r="C214" s="28" t="inlineStr">
        <is>
          <t>%, real</t>
        </is>
      </c>
      <c r="D214" s="28" t="n"/>
      <c r="E214" s="28" t="n"/>
      <c r="F214" s="28" t="n">
        <v>0</v>
      </c>
      <c r="G214" s="28" t="n">
        <v>0</v>
      </c>
      <c r="H214" s="28" t="inlineStr">
        <is>
          <t>ExistingCTGrowth</t>
        </is>
      </c>
      <c r="J214" s="8" t="n">
        <v>0</v>
      </c>
      <c r="K214" s="8" t="n">
        <v>0</v>
      </c>
      <c r="L214" s="8" t="n">
        <v>0</v>
      </c>
      <c r="M214" s="8" t="n">
        <v>0</v>
      </c>
      <c r="N214" s="8" t="n">
        <v>0</v>
      </c>
      <c r="O214" s="8" t="n">
        <v>0</v>
      </c>
    </row>
    <row r="215" hidden="1">
      <c r="B215" s="28" t="inlineStr">
        <is>
          <t>Add additional excise tax (see 'Manual inputs' tab)?</t>
        </is>
      </c>
      <c r="C215" s="28" t="inlineStr">
        <is>
          <t>switch</t>
        </is>
      </c>
      <c r="D215" s="28" t="n"/>
      <c r="E215" s="28" t="n"/>
      <c r="F215" s="28" t="inlineStr">
        <is>
          <t>No*</t>
        </is>
      </c>
      <c r="G215" s="28" t="inlineStr">
        <is>
          <t>No*</t>
        </is>
      </c>
      <c r="H215" s="28" t="inlineStr">
        <is>
          <t>AdditionalExcise</t>
        </is>
      </c>
      <c r="J215" s="8" t="inlineStr">
        <is>
          <t>No*</t>
        </is>
      </c>
      <c r="K215" s="8" t="inlineStr">
        <is>
          <t>No*</t>
        </is>
      </c>
      <c r="L215" s="8" t="inlineStr">
        <is>
          <t>No*</t>
        </is>
      </c>
      <c r="M215" s="8" t="inlineStr">
        <is>
          <t>No*</t>
        </is>
      </c>
      <c r="N215" s="8" t="inlineStr">
        <is>
          <t>No*</t>
        </is>
      </c>
      <c r="O215" s="8" t="inlineStr">
        <is>
          <t>No*</t>
        </is>
      </c>
    </row>
    <row r="216" hidden="1">
      <c r="B216" s="28" t="inlineStr">
        <is>
          <t>Include climate externality in Pigouvian tax?</t>
        </is>
      </c>
      <c r="C216" s="28" t="inlineStr">
        <is>
          <t>switch</t>
        </is>
      </c>
      <c r="D216" s="28" t="n"/>
      <c r="E216" s="28" t="n"/>
      <c r="F216" s="28" t="inlineStr">
        <is>
          <t>Yes*</t>
        </is>
      </c>
      <c r="G216" s="28" t="inlineStr">
        <is>
          <t>Yes*</t>
        </is>
      </c>
      <c r="H216" s="28" t="inlineStr">
        <is>
          <t>ClimateEffTax</t>
        </is>
      </c>
      <c r="J216" s="8" t="inlineStr">
        <is>
          <t>Yes*</t>
        </is>
      </c>
      <c r="K216" s="8" t="inlineStr">
        <is>
          <t>Yes*</t>
        </is>
      </c>
      <c r="L216" s="8" t="inlineStr">
        <is>
          <t>Yes*</t>
        </is>
      </c>
      <c r="M216" s="8" t="inlineStr">
        <is>
          <t>Yes*</t>
        </is>
      </c>
      <c r="N216" s="8" t="inlineStr">
        <is>
          <t>Yes*</t>
        </is>
      </c>
      <c r="O216" s="8" t="inlineStr">
        <is>
          <t>Yes*</t>
        </is>
      </c>
    </row>
    <row r="217" hidden="1">
      <c r="B217" s="28" t="inlineStr">
        <is>
          <t>Add Pigouvian tax on top?</t>
        </is>
      </c>
      <c r="C217" s="28" t="inlineStr">
        <is>
          <t>switch</t>
        </is>
      </c>
      <c r="D217" s="28" t="n"/>
      <c r="E217" s="28" t="n"/>
      <c r="F217" s="28" t="inlineStr">
        <is>
          <t>No*</t>
        </is>
      </c>
      <c r="G217" s="28" t="inlineStr">
        <is>
          <t>No*</t>
        </is>
      </c>
      <c r="H217" s="28" t="inlineStr">
        <is>
          <t>AddEfficientTaxes</t>
        </is>
      </c>
      <c r="J217" s="8" t="inlineStr">
        <is>
          <t>No*</t>
        </is>
      </c>
      <c r="K217" s="8" t="inlineStr">
        <is>
          <t>No*</t>
        </is>
      </c>
      <c r="L217" s="8" t="inlineStr">
        <is>
          <t>No*</t>
        </is>
      </c>
      <c r="M217" s="8" t="inlineStr">
        <is>
          <t>No*</t>
        </is>
      </c>
      <c r="N217" s="8" t="inlineStr">
        <is>
          <t>No*</t>
        </is>
      </c>
      <c r="O217" s="8" t="inlineStr">
        <is>
          <t>No*</t>
        </is>
      </c>
    </row>
    <row r="218" hidden="1">
      <c r="B218" s="28" t="inlineStr">
        <is>
          <t>Externalities are part of VAT base for optimal taxes?</t>
        </is>
      </c>
      <c r="C218" s="28" t="inlineStr">
        <is>
          <t>switch</t>
        </is>
      </c>
      <c r="D218" s="28" t="n"/>
      <c r="E218" s="28" t="n"/>
      <c r="F218" s="28" t="inlineStr">
        <is>
          <t>Yes*</t>
        </is>
      </c>
      <c r="G218" s="28" t="inlineStr">
        <is>
          <t>Yes*</t>
        </is>
      </c>
      <c r="H218" s="28" t="inlineStr">
        <is>
          <t>ExternalityAddVAT</t>
        </is>
      </c>
      <c r="J218" s="8" t="inlineStr">
        <is>
          <t>Yes*</t>
        </is>
      </c>
      <c r="K218" s="8" t="inlineStr">
        <is>
          <t>Yes*</t>
        </is>
      </c>
      <c r="L218" s="8" t="inlineStr">
        <is>
          <t>Yes*</t>
        </is>
      </c>
      <c r="M218" s="8" t="inlineStr">
        <is>
          <t>Yes*</t>
        </is>
      </c>
      <c r="N218" s="8" t="inlineStr">
        <is>
          <t>Yes*</t>
        </is>
      </c>
      <c r="O218" s="8" t="inlineStr">
        <is>
          <t>Yes*</t>
        </is>
      </c>
    </row>
    <row r="219" hidden="1">
      <c r="B219" s="26" t="inlineStr">
        <is>
          <t>Sources for key inputs</t>
        </is>
      </c>
    </row>
    <row r="220" hidden="1">
      <c r="A220" t="inlineStr">
        <is>
          <t>X</t>
        </is>
      </c>
      <c r="B220" s="28" t="inlineStr">
        <is>
          <t>International energy price forecasts</t>
        </is>
      </c>
      <c r="C220" s="28" t="inlineStr">
        <is>
          <t>switch</t>
        </is>
      </c>
      <c r="D220" s="28" t="n"/>
      <c r="E220" s="28" t="n"/>
      <c r="F220" s="28" t="inlineStr">
        <is>
          <t>IMF</t>
        </is>
      </c>
      <c r="G220" s="28" t="inlineStr">
        <is>
          <t>IMF-WB*</t>
        </is>
      </c>
      <c r="H220" s="28" t="inlineStr">
        <is>
          <t>IntEnerPricForeSource</t>
        </is>
      </c>
      <c r="J220" s="8" t="inlineStr">
        <is>
          <t>IMF</t>
        </is>
      </c>
      <c r="K220" s="8" t="inlineStr">
        <is>
          <t>IMF</t>
        </is>
      </c>
      <c r="L220" s="8" t="inlineStr">
        <is>
          <t>IMF</t>
        </is>
      </c>
      <c r="M220" s="8" t="inlineStr">
        <is>
          <t>IMF</t>
        </is>
      </c>
      <c r="N220" s="8" t="inlineStr">
        <is>
          <t>IMF</t>
        </is>
      </c>
      <c r="O220" s="8" t="inlineStr">
        <is>
          <t>IMF</t>
        </is>
      </c>
    </row>
    <row r="221" hidden="1">
      <c r="B221" s="28" t="inlineStr">
        <is>
          <t>Global energy demand scenario</t>
        </is>
      </c>
      <c r="C221" s="28" t="inlineStr">
        <is>
          <t>switch</t>
        </is>
      </c>
      <c r="D221" s="28" t="n"/>
      <c r="E221" s="28" t="n"/>
      <c r="F221" s="28" t="inlineStr">
        <is>
          <t>Stated Policies*</t>
        </is>
      </c>
      <c r="G221" s="28" t="inlineStr">
        <is>
          <t>Stated Policies*</t>
        </is>
      </c>
      <c r="H221" s="28" t="inlineStr">
        <is>
          <t>GlobalEnergyDemand</t>
        </is>
      </c>
      <c r="J221" s="8" t="inlineStr">
        <is>
          <t>Stated Policies*</t>
        </is>
      </c>
      <c r="K221" s="8" t="inlineStr">
        <is>
          <t>Stated Policies*</t>
        </is>
      </c>
      <c r="L221" s="8" t="inlineStr">
        <is>
          <t>Stated Policies*</t>
        </is>
      </c>
      <c r="M221" s="8" t="inlineStr">
        <is>
          <t>Stated Policies*</t>
        </is>
      </c>
      <c r="N221" s="8" t="inlineStr">
        <is>
          <t>Stated Policies*</t>
        </is>
      </c>
      <c r="O221" s="8" t="inlineStr">
        <is>
          <t>Stated Policies*</t>
        </is>
      </c>
    </row>
    <row r="222" hidden="1">
      <c r="B222" s="28" t="inlineStr">
        <is>
          <t>GDP growth forecasts</t>
        </is>
      </c>
      <c r="C222" s="28" t="inlineStr">
        <is>
          <t>switch</t>
        </is>
      </c>
      <c r="D222" s="28" t="n"/>
      <c r="E222" s="28" t="n"/>
      <c r="F222" s="28" t="inlineStr">
        <is>
          <t>WEO*</t>
        </is>
      </c>
      <c r="G222" s="28" t="inlineStr">
        <is>
          <t>WEO*</t>
        </is>
      </c>
      <c r="H222" s="28" t="inlineStr">
        <is>
          <t>GDPScenario</t>
        </is>
      </c>
      <c r="J222" s="8" t="inlineStr">
        <is>
          <t>WEO*</t>
        </is>
      </c>
      <c r="K222" s="8" t="inlineStr">
        <is>
          <t>WEO*</t>
        </is>
      </c>
      <c r="L222" s="8" t="inlineStr">
        <is>
          <t>WEO*</t>
        </is>
      </c>
      <c r="M222" s="8" t="inlineStr">
        <is>
          <t>WEO*</t>
        </is>
      </c>
      <c r="N222" s="8" t="inlineStr">
        <is>
          <t>WEO*</t>
        </is>
      </c>
      <c r="O222" s="8" t="inlineStr">
        <is>
          <t>WEO*</t>
        </is>
      </c>
    </row>
    <row r="223" hidden="1">
      <c r="B223" s="28" t="inlineStr">
        <is>
          <t>Primary source for price elasticities of demand</t>
        </is>
      </c>
      <c r="C223" s="28" t="inlineStr">
        <is>
          <t>switch</t>
        </is>
      </c>
      <c r="D223" s="28" t="n"/>
      <c r="E223" s="28" t="n"/>
      <c r="F223" s="28" t="inlineStr">
        <is>
          <t>Simple*</t>
        </is>
      </c>
      <c r="G223" s="28" t="inlineStr">
        <is>
          <t>Simple*</t>
        </is>
      </c>
      <c r="H223" s="28" t="inlineStr">
        <is>
          <t>ElPrcMainSrc</t>
        </is>
      </c>
      <c r="J223" s="8" t="inlineStr">
        <is>
          <t>Simple*</t>
        </is>
      </c>
      <c r="K223" s="8" t="inlineStr">
        <is>
          <t>Simple*</t>
        </is>
      </c>
      <c r="L223" s="8" t="inlineStr">
        <is>
          <t>Simple*</t>
        </is>
      </c>
      <c r="M223" s="8" t="inlineStr">
        <is>
          <t>Simple*</t>
        </is>
      </c>
      <c r="N223" s="8" t="inlineStr">
        <is>
          <t>Simple*</t>
        </is>
      </c>
      <c r="O223" s="8" t="inlineStr">
        <is>
          <t>Simple*</t>
        </is>
      </c>
    </row>
    <row r="224" hidden="1">
      <c r="B224" s="28" t="inlineStr">
        <is>
          <t>Primary source for income elasticities of demand</t>
        </is>
      </c>
      <c r="C224" s="28" t="inlineStr">
        <is>
          <t>switch</t>
        </is>
      </c>
      <c r="D224" s="28" t="n"/>
      <c r="E224" s="28" t="n"/>
      <c r="F224" s="28" t="inlineStr">
        <is>
          <t>Simple*</t>
        </is>
      </c>
      <c r="G224" s="28" t="inlineStr">
        <is>
          <t>Simple*</t>
        </is>
      </c>
      <c r="H224" s="28" t="inlineStr">
        <is>
          <t>ElIncMainSrc</t>
        </is>
      </c>
      <c r="J224" s="8" t="inlineStr">
        <is>
          <t>Simple*</t>
        </is>
      </c>
      <c r="K224" s="8" t="inlineStr">
        <is>
          <t>Simple*</t>
        </is>
      </c>
      <c r="L224" s="8" t="inlineStr">
        <is>
          <t>Simple*</t>
        </is>
      </c>
      <c r="M224" s="8" t="inlineStr">
        <is>
          <t>Simple*</t>
        </is>
      </c>
      <c r="N224" s="8" t="inlineStr">
        <is>
          <t>Simple*</t>
        </is>
      </c>
      <c r="O224" s="8" t="inlineStr">
        <is>
          <t>Simple*</t>
        </is>
      </c>
    </row>
    <row r="225" hidden="1">
      <c r="B225" s="28" t="inlineStr">
        <is>
          <t>CO2 emissions factors</t>
        </is>
      </c>
      <c r="C225" s="28" t="inlineStr">
        <is>
          <t>switch</t>
        </is>
      </c>
      <c r="D225" s="28" t="n"/>
      <c r="E225" s="28" t="n"/>
      <c r="F225" s="28" t="inlineStr">
        <is>
          <t>IIASA*</t>
        </is>
      </c>
      <c r="G225" s="28" t="inlineStr">
        <is>
          <t>IIASA*</t>
        </is>
      </c>
      <c r="H225" s="28" t="inlineStr">
        <is>
          <t>EmissionsFactCO2</t>
        </is>
      </c>
      <c r="J225" s="8" t="inlineStr">
        <is>
          <t>IIASA*</t>
        </is>
      </c>
      <c r="K225" s="8" t="inlineStr">
        <is>
          <t>IIASA*</t>
        </is>
      </c>
      <c r="L225" s="8" t="inlineStr">
        <is>
          <t>IIASA*</t>
        </is>
      </c>
      <c r="M225" s="8" t="inlineStr">
        <is>
          <t>IIASA*</t>
        </is>
      </c>
      <c r="N225" s="8" t="inlineStr">
        <is>
          <t>IIASA*</t>
        </is>
      </c>
      <c r="O225" s="8" t="inlineStr">
        <is>
          <t>IIASA*</t>
        </is>
      </c>
    </row>
    <row r="226" hidden="1">
      <c r="B226" s="28" t="inlineStr">
        <is>
          <t>Fiscal multipliers</t>
        </is>
      </c>
      <c r="C226" s="28" t="inlineStr">
        <is>
          <t>switch</t>
        </is>
      </c>
      <c r="D226" s="28" t="n"/>
      <c r="E226" s="28" t="n"/>
      <c r="F226" s="28" t="inlineStr">
        <is>
          <t>Income-grp*</t>
        </is>
      </c>
      <c r="G226" s="28" t="inlineStr">
        <is>
          <t>Income-grp*</t>
        </is>
      </c>
      <c r="H226" s="28" t="inlineStr">
        <is>
          <t>MultipliersSource</t>
        </is>
      </c>
      <c r="J226" s="8" t="inlineStr">
        <is>
          <t>Income-grp*</t>
        </is>
      </c>
      <c r="K226" s="8" t="inlineStr">
        <is>
          <t>Income-grp*</t>
        </is>
      </c>
      <c r="L226" s="8" t="inlineStr">
        <is>
          <t>Income-grp*</t>
        </is>
      </c>
      <c r="M226" s="8" t="inlineStr">
        <is>
          <t>Income-grp*</t>
        </is>
      </c>
      <c r="N226" s="8" t="inlineStr">
        <is>
          <t>Income-grp*</t>
        </is>
      </c>
      <c r="O226" s="8" t="inlineStr">
        <is>
          <t>Income-grp*</t>
        </is>
      </c>
    </row>
    <row r="227" hidden="1">
      <c r="B227" s="28" t="inlineStr">
        <is>
          <t>Power sector model (elasticity or engineering)?</t>
        </is>
      </c>
      <c r="C227" s="28" t="inlineStr">
        <is>
          <t>switch</t>
        </is>
      </c>
      <c r="D227" s="28" t="n"/>
      <c r="E227" s="28" t="n"/>
      <c r="F227" s="28" t="inlineStr">
        <is>
          <t>Engineer</t>
        </is>
      </c>
      <c r="G227" s="28" t="inlineStr">
        <is>
          <t>Engineer</t>
        </is>
      </c>
      <c r="H227" s="28" t="inlineStr">
        <is>
          <t>PowModelSelected</t>
        </is>
      </c>
      <c r="J227" s="8" t="inlineStr">
        <is>
          <t>Engineer</t>
        </is>
      </c>
      <c r="K227" s="8" t="inlineStr">
        <is>
          <t>Engineer</t>
        </is>
      </c>
      <c r="L227" s="8" t="inlineStr">
        <is>
          <t>Engineer</t>
        </is>
      </c>
      <c r="M227" s="8" t="inlineStr">
        <is>
          <t>Engineer</t>
        </is>
      </c>
      <c r="N227" s="8" t="inlineStr">
        <is>
          <t>Engineer</t>
        </is>
      </c>
      <c r="O227" s="8" t="inlineStr">
        <is>
          <t>Engineer</t>
        </is>
      </c>
    </row>
    <row r="228" hidden="1">
      <c r="B228" s="28" t="inlineStr">
        <is>
          <t>NDC submission</t>
        </is>
      </c>
      <c r="C228" s="28" t="inlineStr">
        <is>
          <t>switch</t>
        </is>
      </c>
      <c r="D228" s="28" t="n"/>
      <c r="E228" s="28" t="n"/>
      <c r="F228" s="28" t="inlineStr">
        <is>
          <t>Latest*</t>
        </is>
      </c>
      <c r="G228" s="28" t="inlineStr">
        <is>
          <t>Latest*</t>
        </is>
      </c>
      <c r="H228" s="28" t="inlineStr">
        <is>
          <t>NDCs</t>
        </is>
      </c>
      <c r="J228" s="8" t="inlineStr">
        <is>
          <t>Latest*</t>
        </is>
      </c>
      <c r="K228" s="8" t="inlineStr">
        <is>
          <t>Latest*</t>
        </is>
      </c>
      <c r="L228" s="8" t="inlineStr">
        <is>
          <t>Latest*</t>
        </is>
      </c>
      <c r="M228" s="8" t="inlineStr">
        <is>
          <t>Latest*</t>
        </is>
      </c>
      <c r="N228" s="8" t="inlineStr">
        <is>
          <t>Latest*</t>
        </is>
      </c>
      <c r="O228" s="8" t="inlineStr">
        <is>
          <t>Latest*</t>
        </is>
      </c>
    </row>
    <row r="229" hidden="1">
      <c r="B229" s="28" t="inlineStr">
        <is>
          <t>NDC target year</t>
        </is>
      </c>
      <c r="C229" s="28" t="inlineStr">
        <is>
          <t>switch</t>
        </is>
      </c>
      <c r="D229" s="28" t="n"/>
      <c r="E229" s="28" t="n"/>
      <c r="F229" s="28" t="inlineStr">
        <is>
          <t>Main*</t>
        </is>
      </c>
      <c r="G229" s="28" t="inlineStr">
        <is>
          <t>Main*</t>
        </is>
      </c>
      <c r="H229" s="28" t="inlineStr">
        <is>
          <t>NDCTargetYear</t>
        </is>
      </c>
      <c r="J229" s="8" t="inlineStr">
        <is>
          <t>Main*</t>
        </is>
      </c>
      <c r="K229" s="8" t="inlineStr">
        <is>
          <t>Main*</t>
        </is>
      </c>
      <c r="L229" s="8" t="inlineStr">
        <is>
          <t>Main*</t>
        </is>
      </c>
      <c r="M229" s="8" t="inlineStr">
        <is>
          <t>Main*</t>
        </is>
      </c>
      <c r="N229" s="8" t="inlineStr">
        <is>
          <t>Main*</t>
        </is>
      </c>
      <c r="O229" s="8" t="inlineStr">
        <is>
          <t>Main*</t>
        </is>
      </c>
    </row>
    <row r="230" hidden="1">
      <c r="B230" s="28" t="inlineStr">
        <is>
          <t>If conditional NDC, use:</t>
        </is>
      </c>
      <c r="C230" s="28" t="inlineStr">
        <is>
          <t>switch</t>
        </is>
      </c>
      <c r="D230" s="28" t="n"/>
      <c r="E230" s="28" t="n"/>
      <c r="F230" s="28" t="inlineStr">
        <is>
          <t>Average*</t>
        </is>
      </c>
      <c r="G230" s="28" t="inlineStr">
        <is>
          <t>Average*</t>
        </is>
      </c>
      <c r="H230" s="28" t="inlineStr">
        <is>
          <t>Conditionality</t>
        </is>
      </c>
      <c r="J230" s="8" t="inlineStr">
        <is>
          <t>Average*</t>
        </is>
      </c>
      <c r="K230" s="8" t="inlineStr">
        <is>
          <t>Average*</t>
        </is>
      </c>
      <c r="L230" s="8" t="inlineStr">
        <is>
          <t>Average*</t>
        </is>
      </c>
      <c r="M230" s="8" t="inlineStr">
        <is>
          <t>Average*</t>
        </is>
      </c>
      <c r="N230" s="8" t="inlineStr">
        <is>
          <t>Average*</t>
        </is>
      </c>
      <c r="O230" s="8" t="inlineStr">
        <is>
          <t>Average*</t>
        </is>
      </c>
    </row>
    <row r="231" hidden="1">
      <c r="B231" s="26" t="inlineStr">
        <is>
          <t>General assumptions</t>
        </is>
      </c>
    </row>
    <row r="232" hidden="1">
      <c r="B232" s="28" t="inlineStr">
        <is>
          <t>First year of model calculations?</t>
        </is>
      </c>
      <c r="C232" s="28" t="inlineStr">
        <is>
          <t>year</t>
        </is>
      </c>
      <c r="D232" s="28" t="n"/>
      <c r="E232" s="28" t="n"/>
      <c r="F232" s="28" t="n">
        <v>2022</v>
      </c>
      <c r="G232" s="28" t="n">
        <v>2022</v>
      </c>
      <c r="H232" s="28" t="inlineStr">
        <is>
          <t>FirstYearCalculations</t>
        </is>
      </c>
      <c r="J232" s="8" t="n">
        <v>2022</v>
      </c>
      <c r="K232" s="8" t="n">
        <v>2022</v>
      </c>
      <c r="L232" s="8" t="n">
        <v>2022</v>
      </c>
      <c r="M232" s="8" t="n">
        <v>2022</v>
      </c>
      <c r="N232" s="8" t="n">
        <v>2022</v>
      </c>
      <c r="O232" s="8" t="n">
        <v>2022</v>
      </c>
    </row>
    <row r="233" hidden="1">
      <c r="B233" s="28" t="inlineStr">
        <is>
          <t>Nominal results in real terms of which year?</t>
        </is>
      </c>
      <c r="C233" s="28" t="inlineStr">
        <is>
          <t>year</t>
        </is>
      </c>
      <c r="D233" s="28" t="n"/>
      <c r="E233" s="28" t="n"/>
      <c r="F233" s="28" t="n">
        <v>2026</v>
      </c>
      <c r="G233" s="28" t="n">
        <v>2026</v>
      </c>
      <c r="H233" s="28" t="inlineStr">
        <is>
          <t>ResultsYear</t>
        </is>
      </c>
      <c r="J233" s="8" t="n">
        <v>2026</v>
      </c>
      <c r="K233" s="8" t="n">
        <v>2026</v>
      </c>
      <c r="L233" s="8" t="n">
        <v>2026</v>
      </c>
      <c r="M233" s="8" t="n">
        <v>2026</v>
      </c>
      <c r="N233" s="8" t="n">
        <v>2026</v>
      </c>
      <c r="O233" s="8" t="n">
        <v>2026</v>
      </c>
    </row>
    <row r="234" hidden="1">
      <c r="B234" s="28" t="inlineStr">
        <is>
          <t>Use energy balances or (CPAT) energy consumption data</t>
        </is>
      </c>
      <c r="C234" s="28" t="inlineStr">
        <is>
          <t>year</t>
        </is>
      </c>
      <c r="D234" s="28" t="n"/>
      <c r="E234" s="28" t="n"/>
      <c r="F234" s="28" t="inlineStr">
        <is>
          <t>Balances</t>
        </is>
      </c>
      <c r="G234" s="28" t="inlineStr">
        <is>
          <t>Balances</t>
        </is>
      </c>
      <c r="H234" s="28" t="inlineStr">
        <is>
          <t>BalancesOrConsumption</t>
        </is>
      </c>
      <c r="J234" s="8" t="inlineStr">
        <is>
          <t>Balances</t>
        </is>
      </c>
      <c r="K234" s="8" t="inlineStr">
        <is>
          <t>Balances</t>
        </is>
      </c>
      <c r="L234" s="8" t="inlineStr">
        <is>
          <t>Balances</t>
        </is>
      </c>
      <c r="M234" s="8" t="inlineStr">
        <is>
          <t>Balances</t>
        </is>
      </c>
      <c r="N234" s="8" t="inlineStr">
        <is>
          <t>Balances</t>
        </is>
      </c>
      <c r="O234" s="8" t="inlineStr">
        <is>
          <t>Balances</t>
        </is>
      </c>
    </row>
    <row r="235" hidden="1">
      <c r="B235" s="28" t="inlineStr">
        <is>
          <t>Generate Matrix of Energy Consumption Projections for Year</t>
        </is>
      </c>
      <c r="C235" s="28" t="inlineStr">
        <is>
          <t>year</t>
        </is>
      </c>
      <c r="D235" s="28" t="n"/>
      <c r="E235" s="28" t="n"/>
      <c r="F235" s="28" t="n">
        <v>2026</v>
      </c>
      <c r="G235" s="28" t="n">
        <v>2026</v>
      </c>
      <c r="H235" s="28" t="inlineStr">
        <is>
          <t>EnergyConsumptionsMatrixProjectionsYear</t>
        </is>
      </c>
      <c r="J235" s="8" t="n">
        <v>2026</v>
      </c>
      <c r="K235" s="8" t="n">
        <v>2026</v>
      </c>
      <c r="L235" s="8" t="n">
        <v>2026</v>
      </c>
      <c r="M235" s="8" t="n">
        <v>2026</v>
      </c>
      <c r="N235" s="8" t="n">
        <v>2026</v>
      </c>
      <c r="O235" s="8" t="n">
        <v>2026</v>
      </c>
    </row>
    <row r="236" hidden="1">
      <c r="A236" t="inlineStr">
        <is>
          <t>X</t>
        </is>
      </c>
      <c r="B236" s="28" t="inlineStr">
        <is>
          <t>Start year for GDP calculations</t>
        </is>
      </c>
      <c r="C236" s="28" t="inlineStr">
        <is>
          <t>year</t>
        </is>
      </c>
      <c r="D236" s="28" t="n"/>
      <c r="E236" s="28" t="n"/>
      <c r="F236" s="28" t="n">
        <v>2025</v>
      </c>
      <c r="G236" s="28" t="n">
        <v>2024</v>
      </c>
      <c r="H236" s="28" t="inlineStr">
        <is>
          <t>GDPStartYear</t>
        </is>
      </c>
      <c r="J236" s="8" t="n">
        <v>2025</v>
      </c>
      <c r="K236" s="8" t="n">
        <v>2025</v>
      </c>
      <c r="L236" s="8" t="n">
        <v>2025</v>
      </c>
      <c r="M236" s="8" t="n">
        <v>2025</v>
      </c>
      <c r="N236" s="8" t="n">
        <v>2025</v>
      </c>
      <c r="O236" s="8" t="n">
        <v>2025</v>
      </c>
    </row>
    <row r="237" hidden="1">
      <c r="B237" s="28" t="inlineStr">
        <is>
          <t>Adjust Annex I country energy-related CO2 EFs to match UNFCCC GHG inventories?</t>
        </is>
      </c>
      <c r="C237" s="28" t="inlineStr">
        <is>
          <t>switch</t>
        </is>
      </c>
      <c r="D237" s="28" t="n"/>
      <c r="E237" s="28" t="n"/>
      <c r="F237" s="28" t="inlineStr">
        <is>
          <t>Yes*</t>
        </is>
      </c>
      <c r="G237" s="28" t="inlineStr">
        <is>
          <t>Yes*</t>
        </is>
      </c>
      <c r="H237" s="28" t="inlineStr">
        <is>
          <t>EFsAdjustmentAnnexI</t>
        </is>
      </c>
      <c r="J237" s="8" t="inlineStr">
        <is>
          <t>Yes*</t>
        </is>
      </c>
      <c r="K237" s="8" t="inlineStr">
        <is>
          <t>Yes*</t>
        </is>
      </c>
      <c r="L237" s="8" t="inlineStr">
        <is>
          <t>Yes*</t>
        </is>
      </c>
      <c r="M237" s="8" t="inlineStr">
        <is>
          <t>Yes*</t>
        </is>
      </c>
      <c r="N237" s="8" t="inlineStr">
        <is>
          <t>Yes*</t>
        </is>
      </c>
      <c r="O237" s="8" t="inlineStr">
        <is>
          <t>Yes*</t>
        </is>
      </c>
    </row>
    <row r="238" hidden="1">
      <c r="B238" s="28" t="inlineStr">
        <is>
          <t>Adjust non-Annex I country energy-related CO2 EFs to match CAIT GHG inventories?</t>
        </is>
      </c>
      <c r="C238" s="28" t="inlineStr">
        <is>
          <t>switch</t>
        </is>
      </c>
      <c r="D238" s="28" t="n"/>
      <c r="E238" s="28" t="n"/>
      <c r="F238" s="28" t="inlineStr">
        <is>
          <t>Yes*</t>
        </is>
      </c>
      <c r="G238" s="28" t="inlineStr">
        <is>
          <t>Yes*</t>
        </is>
      </c>
      <c r="H238" s="28" t="inlineStr">
        <is>
          <t>EFsAdjustmentNonAnnexI</t>
        </is>
      </c>
      <c r="J238" s="8" t="inlineStr">
        <is>
          <t>Yes*</t>
        </is>
      </c>
      <c r="K238" s="8" t="inlineStr">
        <is>
          <t>Yes*</t>
        </is>
      </c>
      <c r="L238" s="8" t="inlineStr">
        <is>
          <t>Yes*</t>
        </is>
      </c>
      <c r="M238" s="8" t="inlineStr">
        <is>
          <t>Yes*</t>
        </is>
      </c>
      <c r="N238" s="8" t="inlineStr">
        <is>
          <t>Yes*</t>
        </is>
      </c>
      <c r="O238" s="8" t="inlineStr">
        <is>
          <t>Yes*</t>
        </is>
      </c>
    </row>
    <row r="239" hidden="1">
      <c r="B239" s="28" t="inlineStr">
        <is>
          <t>Industrial process emissions scale with industrial CO2 energy emissions?</t>
        </is>
      </c>
      <c r="C239" s="28" t="inlineStr">
        <is>
          <t>switch</t>
        </is>
      </c>
      <c r="D239" s="28" t="n"/>
      <c r="E239" s="28" t="n"/>
      <c r="F239" s="28" t="inlineStr">
        <is>
          <t>Yes*</t>
        </is>
      </c>
      <c r="G239" s="28" t="inlineStr">
        <is>
          <t>Yes*</t>
        </is>
      </c>
      <c r="H239" s="28" t="inlineStr">
        <is>
          <t>IndustrialProcessEmissionsScaleEner</t>
        </is>
      </c>
      <c r="J239" s="8" t="inlineStr">
        <is>
          <t>Yes*</t>
        </is>
      </c>
      <c r="K239" s="8" t="inlineStr">
        <is>
          <t>Yes*</t>
        </is>
      </c>
      <c r="L239" s="8" t="inlineStr">
        <is>
          <t>Yes*</t>
        </is>
      </c>
      <c r="M239" s="8" t="inlineStr">
        <is>
          <t>Yes*</t>
        </is>
      </c>
      <c r="N239" s="8" t="inlineStr">
        <is>
          <t>Yes*</t>
        </is>
      </c>
      <c r="O239" s="8" t="inlineStr">
        <is>
          <t>Yes*</t>
        </is>
      </c>
    </row>
    <row r="240" hidden="1">
      <c r="B240" s="28" t="inlineStr">
        <is>
          <t>LULUCF emissions decline at % pa (in absolute value of start year)?</t>
        </is>
      </c>
      <c r="C240" s="28" t="inlineStr">
        <is>
          <t>%</t>
        </is>
      </c>
      <c r="D240" s="28" t="n"/>
      <c r="E240" s="28" t="n"/>
      <c r="F240" s="28" t="n">
        <v>0.025</v>
      </c>
      <c r="G240" s="28" t="n">
        <v>0.025</v>
      </c>
      <c r="H240" s="28" t="inlineStr">
        <is>
          <t>LULUCFAnnualEmissionsDecline</t>
        </is>
      </c>
      <c r="J240" s="8" t="n">
        <v>0.025</v>
      </c>
      <c r="K240" s="8" t="n">
        <v>0.025</v>
      </c>
      <c r="L240" s="8" t="n">
        <v>0.025</v>
      </c>
      <c r="M240" s="8" t="n">
        <v>0.025</v>
      </c>
      <c r="N240" s="8" t="n">
        <v>0.025</v>
      </c>
      <c r="O240" s="8" t="n">
        <v>0.025</v>
      </c>
    </row>
    <row r="241" hidden="1">
      <c r="B241" s="26" t="inlineStr">
        <is>
          <t>Additional policy-induced efficiency gains pa by sector:</t>
        </is>
      </c>
    </row>
    <row r="242" hidden="1">
      <c r="B242" s="28" t="inlineStr">
        <is>
          <t>Power</t>
        </is>
      </c>
      <c r="C242" s="28" t="n"/>
      <c r="D242" s="28" t="n"/>
      <c r="E242" s="28" t="n"/>
      <c r="F242" s="28" t="n">
        <v>0</v>
      </c>
      <c r="G242" s="28" t="n">
        <v>0</v>
      </c>
      <c r="H242" s="28" t="inlineStr">
        <is>
          <t>AdditionalEfficiencyPower</t>
        </is>
      </c>
      <c r="J242" s="8" t="n">
        <v>0</v>
      </c>
      <c r="K242" s="8" t="n">
        <v>0</v>
      </c>
      <c r="L242" s="8" t="n">
        <v>0</v>
      </c>
      <c r="M242" s="8" t="n">
        <v>0</v>
      </c>
      <c r="N242" s="8" t="n">
        <v>0</v>
      </c>
      <c r="O242" s="8" t="n">
        <v>0</v>
      </c>
    </row>
    <row r="243" hidden="1">
      <c r="B243" s="28" t="inlineStr">
        <is>
          <t>Road vehicles</t>
        </is>
      </c>
      <c r="C243" s="28" t="n"/>
      <c r="D243" s="28" t="n"/>
      <c r="E243" s="28" t="n"/>
      <c r="F243" s="28" t="n">
        <v>0</v>
      </c>
      <c r="G243" s="28" t="n">
        <v>0</v>
      </c>
      <c r="H243" s="28" t="inlineStr">
        <is>
          <t>AdditionalEfficiencyRoadVehicle</t>
        </is>
      </c>
      <c r="J243" s="8" t="n">
        <v>0</v>
      </c>
      <c r="K243" s="8" t="n">
        <v>0</v>
      </c>
      <c r="L243" s="8" t="n">
        <v>0</v>
      </c>
      <c r="M243" s="8" t="n">
        <v>0</v>
      </c>
      <c r="N243" s="8" t="n">
        <v>0</v>
      </c>
      <c r="O243" s="8" t="n">
        <v>0</v>
      </c>
    </row>
    <row r="244" hidden="1">
      <c r="B244" s="28" t="inlineStr">
        <is>
          <t>Residential</t>
        </is>
      </c>
      <c r="C244" s="28" t="n"/>
      <c r="D244" s="28" t="n"/>
      <c r="E244" s="28" t="n"/>
      <c r="F244" s="28" t="n">
        <v>0</v>
      </c>
      <c r="G244" s="28" t="n">
        <v>0</v>
      </c>
      <c r="H244" s="28" t="inlineStr">
        <is>
          <t>AdditionalEfficiencyResidential</t>
        </is>
      </c>
      <c r="J244" s="8" t="n">
        <v>0</v>
      </c>
      <c r="K244" s="8" t="n">
        <v>0</v>
      </c>
      <c r="L244" s="8" t="n">
        <v>0</v>
      </c>
      <c r="M244" s="8" t="n">
        <v>0</v>
      </c>
      <c r="N244" s="8" t="n">
        <v>0</v>
      </c>
      <c r="O244" s="8" t="n">
        <v>0</v>
      </c>
    </row>
    <row r="245" hidden="1">
      <c r="B245" s="28" t="inlineStr">
        <is>
          <t>Industrial</t>
        </is>
      </c>
      <c r="C245" s="28" t="n"/>
      <c r="D245" s="28" t="n"/>
      <c r="E245" s="28" t="n"/>
      <c r="F245" s="28" t="n">
        <v>0</v>
      </c>
      <c r="G245" s="28" t="n">
        <v>0</v>
      </c>
      <c r="H245" s="28" t="inlineStr">
        <is>
          <t>AdditionalEfficiencyIndustrial</t>
        </is>
      </c>
      <c r="J245" s="8" t="n">
        <v>0</v>
      </c>
      <c r="K245" s="8" t="n">
        <v>0</v>
      </c>
      <c r="L245" s="8" t="n">
        <v>0</v>
      </c>
      <c r="M245" s="8" t="n">
        <v>0</v>
      </c>
      <c r="N245" s="8" t="n">
        <v>0</v>
      </c>
      <c r="O245" s="8" t="n">
        <v>0</v>
      </c>
    </row>
    <row r="246" hidden="1">
      <c r="B246" s="26" t="inlineStr">
        <is>
          <t>Adjustment to efficiency margins for shadow pricing policies:</t>
        </is>
      </c>
    </row>
    <row r="247" hidden="1">
      <c r="B247" s="28" t="inlineStr">
        <is>
          <t>Energy efficiency regulations</t>
        </is>
      </c>
      <c r="C247" s="28" t="n"/>
      <c r="D247" s="28" t="n"/>
      <c r="E247" s="28" t="n"/>
      <c r="F247" s="28" t="n">
        <v>0.7</v>
      </c>
      <c r="G247" s="28" t="n">
        <v>0.7</v>
      </c>
      <c r="H247" s="28" t="inlineStr">
        <is>
          <t>SPPEffAdjEnergyEfficiencyRegulations</t>
        </is>
      </c>
      <c r="J247" s="8" t="n">
        <v>0.7</v>
      </c>
      <c r="K247" s="8" t="n">
        <v>0.7</v>
      </c>
      <c r="L247" s="8" t="n">
        <v>0.7</v>
      </c>
      <c r="M247" s="8" t="n">
        <v>0.7</v>
      </c>
      <c r="N247" s="8" t="n">
        <v>0.7</v>
      </c>
      <c r="O247" s="8" t="n">
        <v>0.7</v>
      </c>
    </row>
    <row r="248" hidden="1">
      <c r="B248" s="28" t="inlineStr">
        <is>
          <t>Vehicle fuel economy</t>
        </is>
      </c>
      <c r="C248" s="28" t="n"/>
      <c r="D248" s="28" t="n"/>
      <c r="E248" s="28" t="n"/>
      <c r="F248" s="28" t="n">
        <v>0.7</v>
      </c>
      <c r="G248" s="28" t="n">
        <v>0.7</v>
      </c>
      <c r="H248" s="28" t="inlineStr">
        <is>
          <t>SPPEffAdjVehicleFuelEconomy</t>
        </is>
      </c>
      <c r="J248" s="8" t="n">
        <v>0.7</v>
      </c>
      <c r="K248" s="8" t="n">
        <v>0.7</v>
      </c>
      <c r="L248" s="8" t="n">
        <v>0.7</v>
      </c>
      <c r="M248" s="8" t="n">
        <v>0.7</v>
      </c>
      <c r="N248" s="8" t="n">
        <v>0.7</v>
      </c>
      <c r="O248" s="8" t="n">
        <v>0.7</v>
      </c>
    </row>
    <row r="249" hidden="1">
      <c r="B249" s="28" t="inlineStr">
        <is>
          <t>Residential efficiency regulations</t>
        </is>
      </c>
      <c r="C249" s="28" t="n"/>
      <c r="D249" s="28" t="n"/>
      <c r="E249" s="28" t="n"/>
      <c r="F249" s="28" t="n">
        <v>0.7</v>
      </c>
      <c r="G249" s="28" t="n">
        <v>0.7</v>
      </c>
      <c r="H249" s="28" t="inlineStr">
        <is>
          <t>SPPEffAdjRes</t>
        </is>
      </c>
      <c r="J249" s="8" t="n">
        <v>0.7</v>
      </c>
      <c r="K249" s="8" t="n">
        <v>0.7</v>
      </c>
      <c r="L249" s="8" t="n">
        <v>0.7</v>
      </c>
      <c r="M249" s="8" t="n">
        <v>0.7</v>
      </c>
      <c r="N249" s="8" t="n">
        <v>0.7</v>
      </c>
      <c r="O249" s="8" t="n">
        <v>0.7</v>
      </c>
    </row>
    <row r="250" hidden="1">
      <c r="B250" s="28" t="inlineStr">
        <is>
          <t>Industrial efficiency regulations</t>
        </is>
      </c>
      <c r="C250" s="28" t="n"/>
      <c r="D250" s="28" t="n"/>
      <c r="E250" s="28" t="n"/>
      <c r="F250" s="28" t="n">
        <v>0.7</v>
      </c>
      <c r="G250" s="28" t="n">
        <v>0.7</v>
      </c>
      <c r="H250" s="28" t="inlineStr">
        <is>
          <t>SPPEffAdjInd</t>
        </is>
      </c>
      <c r="J250" s="8" t="n">
        <v>0.7</v>
      </c>
      <c r="K250" s="8" t="n">
        <v>0.7</v>
      </c>
      <c r="L250" s="8" t="n">
        <v>0.7</v>
      </c>
      <c r="M250" s="8" t="n">
        <v>0.7</v>
      </c>
      <c r="N250" s="8" t="n">
        <v>0.7</v>
      </c>
      <c r="O250" s="8" t="n">
        <v>0.7</v>
      </c>
    </row>
    <row r="251" hidden="1">
      <c r="B251" s="28" t="inlineStr">
        <is>
          <t>Feebates</t>
        </is>
      </c>
      <c r="C251" s="28" t="n"/>
      <c r="D251" s="28" t="n"/>
      <c r="E251" s="28" t="n"/>
      <c r="F251" s="28" t="n">
        <v>1</v>
      </c>
      <c r="G251" s="28" t="n">
        <v>1</v>
      </c>
      <c r="H251" s="28" t="inlineStr">
        <is>
          <t>SPPEffAdjFeebates</t>
        </is>
      </c>
      <c r="J251" s="8" t="n">
        <v>1</v>
      </c>
      <c r="K251" s="8" t="n">
        <v>1</v>
      </c>
      <c r="L251" s="8" t="n">
        <v>1</v>
      </c>
      <c r="M251" s="8" t="n">
        <v>1</v>
      </c>
      <c r="N251" s="8" t="n">
        <v>1</v>
      </c>
      <c r="O251" s="8" t="n">
        <v>1</v>
      </c>
    </row>
    <row r="252" hidden="1">
      <c r="B252" s="26" t="inlineStr">
        <is>
          <t>Residential Substitution Implicit Efficiencies</t>
        </is>
      </c>
    </row>
    <row r="253" hidden="1">
      <c r="B253" s="28" t="inlineStr">
        <is>
          <t>LPG</t>
        </is>
      </c>
      <c r="C253" s="28" t="n"/>
      <c r="D253" s="28" t="n"/>
      <c r="E253" s="28" t="n"/>
      <c r="F253" s="28" t="n">
        <v>0.5600000000000001</v>
      </c>
      <c r="G253" s="28" t="n">
        <v>0.5600000000000001</v>
      </c>
      <c r="H253" s="28" t="inlineStr">
        <is>
          <t>ResSubstLPGEff</t>
        </is>
      </c>
      <c r="J253" s="8" t="n">
        <v>0.5600000000000001</v>
      </c>
      <c r="K253" s="8" t="n">
        <v>0.5600000000000001</v>
      </c>
      <c r="L253" s="8" t="n">
        <v>0.5600000000000001</v>
      </c>
      <c r="M253" s="8" t="n">
        <v>0.5600000000000001</v>
      </c>
      <c r="N253" s="8" t="n">
        <v>0.5600000000000001</v>
      </c>
      <c r="O253" s="8" t="n">
        <v>0.5600000000000001</v>
      </c>
    </row>
    <row r="254" hidden="1">
      <c r="B254" s="28" t="inlineStr">
        <is>
          <t>Kerosene</t>
        </is>
      </c>
      <c r="C254" s="28" t="n"/>
      <c r="D254" s="28" t="n"/>
      <c r="E254" s="28" t="n"/>
      <c r="F254" s="28" t="n">
        <v>0.45</v>
      </c>
      <c r="G254" s="28" t="n">
        <v>0.45</v>
      </c>
      <c r="H254" s="28" t="inlineStr">
        <is>
          <t>ResSubstKerEff</t>
        </is>
      </c>
      <c r="J254" s="8" t="n">
        <v>0.45</v>
      </c>
      <c r="K254" s="8" t="n">
        <v>0.45</v>
      </c>
      <c r="L254" s="8" t="n">
        <v>0.45</v>
      </c>
      <c r="M254" s="8" t="n">
        <v>0.45</v>
      </c>
      <c r="N254" s="8" t="n">
        <v>0.45</v>
      </c>
      <c r="O254" s="8" t="n">
        <v>0.45</v>
      </c>
    </row>
    <row r="255" hidden="1">
      <c r="B255" s="28" t="inlineStr">
        <is>
          <t>Biomass</t>
        </is>
      </c>
      <c r="C255" s="28" t="n"/>
      <c r="D255" s="28" t="n"/>
      <c r="E255" s="28" t="n"/>
      <c r="F255" s="28" t="n">
        <v>0.2</v>
      </c>
      <c r="G255" s="28" t="n">
        <v>0.2</v>
      </c>
      <c r="H255" s="28" t="inlineStr">
        <is>
          <t>ResSubstBioEff</t>
        </is>
      </c>
      <c r="J255" s="8" t="n">
        <v>0.2</v>
      </c>
      <c r="K255" s="8" t="n">
        <v>0.2</v>
      </c>
      <c r="L255" s="8" t="n">
        <v>0.2</v>
      </c>
      <c r="M255" s="8" t="n">
        <v>0.2</v>
      </c>
      <c r="N255" s="8" t="n">
        <v>0.2</v>
      </c>
      <c r="O255" s="8" t="n">
        <v>0.2</v>
      </c>
    </row>
    <row r="256" hidden="1">
      <c r="B256" s="28" t="inlineStr">
        <is>
          <t>NatGas</t>
        </is>
      </c>
      <c r="C256" s="28" t="n"/>
      <c r="D256" s="28" t="n"/>
      <c r="E256" s="28" t="n"/>
      <c r="F256" s="28" t="n">
        <v>0.58</v>
      </c>
      <c r="G256" s="28" t="n">
        <v>0.58</v>
      </c>
      <c r="H256" s="28" t="inlineStr">
        <is>
          <t>ResSubstNatGasEff</t>
        </is>
      </c>
      <c r="J256" s="8" t="n">
        <v>0.58</v>
      </c>
      <c r="K256" s="8" t="n">
        <v>0.58</v>
      </c>
      <c r="L256" s="8" t="n">
        <v>0.58</v>
      </c>
      <c r="M256" s="8" t="n">
        <v>0.58</v>
      </c>
      <c r="N256" s="8" t="n">
        <v>0.58</v>
      </c>
      <c r="O256" s="8" t="n">
        <v>0.58</v>
      </c>
    </row>
    <row r="257" hidden="1">
      <c r="B257" s="26" t="inlineStr">
        <is>
          <t>Uncertainty adjustments</t>
        </is>
      </c>
    </row>
    <row r="258" hidden="1">
      <c r="B258" s="28" t="inlineStr">
        <is>
          <t>International energy prices adjustment</t>
        </is>
      </c>
      <c r="C258" s="28" t="inlineStr">
        <is>
          <t>switch</t>
        </is>
      </c>
      <c r="D258" s="28" t="n"/>
      <c r="E258" s="28" t="n"/>
      <c r="F258" s="28" t="inlineStr">
        <is>
          <t>Base*</t>
        </is>
      </c>
      <c r="G258" s="28" t="inlineStr">
        <is>
          <t>Base*</t>
        </is>
      </c>
      <c r="H258" s="28" t="inlineStr">
        <is>
          <t>IntEnerPricForecastAdjustment</t>
        </is>
      </c>
      <c r="J258" s="8" t="inlineStr">
        <is>
          <t>Base*</t>
        </is>
      </c>
      <c r="K258" s="8" t="inlineStr">
        <is>
          <t>Base*</t>
        </is>
      </c>
      <c r="L258" s="8" t="inlineStr">
        <is>
          <t>Base*</t>
        </is>
      </c>
      <c r="M258" s="8" t="inlineStr">
        <is>
          <t>Base*</t>
        </is>
      </c>
      <c r="N258" s="8" t="inlineStr">
        <is>
          <t>Base*</t>
        </is>
      </c>
      <c r="O258" s="8" t="inlineStr">
        <is>
          <t>Base*</t>
        </is>
      </c>
    </row>
    <row r="259" hidden="1">
      <c r="B259" s="28" t="inlineStr">
        <is>
          <t>GDP growth adjustment</t>
        </is>
      </c>
      <c r="C259" s="28" t="inlineStr">
        <is>
          <t>switch</t>
        </is>
      </c>
      <c r="D259" s="28" t="n"/>
      <c r="E259" s="28" t="n"/>
      <c r="F259" s="28" t="inlineStr">
        <is>
          <t>Base*</t>
        </is>
      </c>
      <c r="G259" s="28" t="inlineStr">
        <is>
          <t>Base*</t>
        </is>
      </c>
      <c r="H259" s="28" t="inlineStr">
        <is>
          <t>GdpAdj</t>
        </is>
      </c>
      <c r="J259" s="8" t="inlineStr">
        <is>
          <t>Base*</t>
        </is>
      </c>
      <c r="K259" s="8" t="inlineStr">
        <is>
          <t>Base*</t>
        </is>
      </c>
      <c r="L259" s="8" t="inlineStr">
        <is>
          <t>Base*</t>
        </is>
      </c>
      <c r="M259" s="8" t="inlineStr">
        <is>
          <t>Base*</t>
        </is>
      </c>
      <c r="N259" s="8" t="inlineStr">
        <is>
          <t>Base*</t>
        </is>
      </c>
      <c r="O259" s="8" t="inlineStr">
        <is>
          <t>Base*</t>
        </is>
      </c>
    </row>
    <row r="260" hidden="1">
      <c r="B260" s="28" t="inlineStr">
        <is>
          <t>Price elasticities adjustment</t>
        </is>
      </c>
      <c r="C260" s="28" t="inlineStr">
        <is>
          <t>switch</t>
        </is>
      </c>
      <c r="D260" s="28" t="n"/>
      <c r="E260" s="28" t="n"/>
      <c r="F260" s="28" t="inlineStr">
        <is>
          <t>Base*</t>
        </is>
      </c>
      <c r="G260" s="28" t="inlineStr">
        <is>
          <t>Base*</t>
        </is>
      </c>
      <c r="H260" s="28" t="inlineStr">
        <is>
          <t>ElastPriceAdjustment</t>
        </is>
      </c>
      <c r="J260" s="8" t="inlineStr">
        <is>
          <t>Base*</t>
        </is>
      </c>
      <c r="K260" s="8" t="inlineStr">
        <is>
          <t>Base*</t>
        </is>
      </c>
      <c r="L260" s="8" t="inlineStr">
        <is>
          <t>Base*</t>
        </is>
      </c>
      <c r="M260" s="8" t="inlineStr">
        <is>
          <t>Base*</t>
        </is>
      </c>
      <c r="N260" s="8" t="inlineStr">
        <is>
          <t>Base*</t>
        </is>
      </c>
      <c r="O260" s="8" t="inlineStr">
        <is>
          <t>Base*</t>
        </is>
      </c>
    </row>
    <row r="261" hidden="1">
      <c r="B261" s="28" t="inlineStr">
        <is>
          <t>Income elasticities adjustment</t>
        </is>
      </c>
      <c r="C261" s="28" t="inlineStr">
        <is>
          <t>switch</t>
        </is>
      </c>
      <c r="D261" s="28" t="n"/>
      <c r="E261" s="28" t="n"/>
      <c r="F261" s="28" t="inlineStr">
        <is>
          <t>Base*</t>
        </is>
      </c>
      <c r="G261" s="28" t="inlineStr">
        <is>
          <t>Base*</t>
        </is>
      </c>
      <c r="H261" s="28" t="inlineStr">
        <is>
          <t>ElastIncAdjustment</t>
        </is>
      </c>
      <c r="J261" s="8" t="inlineStr">
        <is>
          <t>Base*</t>
        </is>
      </c>
      <c r="K261" s="8" t="inlineStr">
        <is>
          <t>Base*</t>
        </is>
      </c>
      <c r="L261" s="8" t="inlineStr">
        <is>
          <t>Base*</t>
        </is>
      </c>
      <c r="M261" s="8" t="inlineStr">
        <is>
          <t>Base*</t>
        </is>
      </c>
      <c r="N261" s="8" t="inlineStr">
        <is>
          <t>Base*</t>
        </is>
      </c>
      <c r="O261" s="8" t="inlineStr">
        <is>
          <t>Base*</t>
        </is>
      </c>
    </row>
    <row r="262" hidden="1">
      <c r="B262" s="28" t="inlineStr">
        <is>
          <t>Adjust income elasticities for GDP levels?</t>
        </is>
      </c>
      <c r="C262" s="28" t="inlineStr">
        <is>
          <t>switch</t>
        </is>
      </c>
      <c r="D262" s="28" t="n"/>
      <c r="E262" s="28" t="n"/>
      <c r="F262" s="28" t="inlineStr">
        <is>
          <t>Yes*</t>
        </is>
      </c>
      <c r="G262" s="28" t="inlineStr">
        <is>
          <t>Yes*</t>
        </is>
      </c>
      <c r="H262" s="28" t="inlineStr">
        <is>
          <t>IncElAdj</t>
        </is>
      </c>
      <c r="J262" s="8" t="inlineStr">
        <is>
          <t>Yes*</t>
        </is>
      </c>
      <c r="K262" s="8" t="inlineStr">
        <is>
          <t>Yes*</t>
        </is>
      </c>
      <c r="L262" s="8" t="inlineStr">
        <is>
          <t>Yes*</t>
        </is>
      </c>
      <c r="M262" s="8" t="inlineStr">
        <is>
          <t>Yes*</t>
        </is>
      </c>
      <c r="N262" s="8" t="inlineStr">
        <is>
          <t>Yes*</t>
        </is>
      </c>
      <c r="O262" s="8" t="inlineStr">
        <is>
          <t>Yes*</t>
        </is>
      </c>
    </row>
    <row r="263" hidden="1">
      <c r="B263" s="28" t="inlineStr">
        <is>
          <t>Fiscal multipliers adjustment</t>
        </is>
      </c>
      <c r="C263" s="28" t="inlineStr">
        <is>
          <t>switch</t>
        </is>
      </c>
      <c r="D263" s="28" t="n"/>
      <c r="E263" s="28" t="n"/>
      <c r="F263" s="28" t="inlineStr">
        <is>
          <t>Base*</t>
        </is>
      </c>
      <c r="G263" s="28" t="inlineStr">
        <is>
          <t>Base*</t>
        </is>
      </c>
      <c r="H263" s="28" t="inlineStr">
        <is>
          <t>FmAdj</t>
        </is>
      </c>
      <c r="J263" s="8" t="inlineStr">
        <is>
          <t>Base*</t>
        </is>
      </c>
      <c r="K263" s="8" t="inlineStr">
        <is>
          <t>Base*</t>
        </is>
      </c>
      <c r="L263" s="8" t="inlineStr">
        <is>
          <t>Base*</t>
        </is>
      </c>
      <c r="M263" s="8" t="inlineStr">
        <is>
          <t>Base*</t>
        </is>
      </c>
      <c r="N263" s="8" t="inlineStr">
        <is>
          <t>Base*</t>
        </is>
      </c>
      <c r="O263" s="8" t="inlineStr">
        <is>
          <t>Base*</t>
        </is>
      </c>
    </row>
    <row r="264" hidden="1">
      <c r="B264" s="26" t="inlineStr">
        <is>
          <t>Miscellaneous</t>
        </is>
      </c>
    </row>
    <row r="265" hidden="1">
      <c r="B265" s="28" t="inlineStr">
        <is>
          <t>Price pathway continues to rise after target year?</t>
        </is>
      </c>
      <c r="C265" s="28" t="inlineStr">
        <is>
          <t>switch</t>
        </is>
      </c>
      <c r="D265" s="28" t="n"/>
      <c r="E265" s="28" t="n"/>
      <c r="F265" s="28" t="inlineStr">
        <is>
          <t>Linear*</t>
        </is>
      </c>
      <c r="G265" s="28" t="inlineStr">
        <is>
          <t>Linear*</t>
        </is>
      </c>
      <c r="H265" s="28" t="inlineStr">
        <is>
          <t>ExtendCarbonPriceBeyondOutro</t>
        </is>
      </c>
      <c r="J265" s="8" t="inlineStr">
        <is>
          <t>Linear*</t>
        </is>
      </c>
      <c r="K265" s="8" t="inlineStr">
        <is>
          <t>Linear*</t>
        </is>
      </c>
      <c r="L265" s="8" t="inlineStr">
        <is>
          <t>Linear*</t>
        </is>
      </c>
      <c r="M265" s="8" t="inlineStr">
        <is>
          <t>Linear*</t>
        </is>
      </c>
      <c r="N265" s="8" t="inlineStr">
        <is>
          <t>Linear*</t>
        </is>
      </c>
      <c r="O265" s="8" t="inlineStr">
        <is>
          <t>Linear*</t>
        </is>
      </c>
    </row>
    <row r="266" hidden="1">
      <c r="B266" s="28" t="inlineStr">
        <is>
          <t>Tax pathway is in nominal or real terms?</t>
        </is>
      </c>
      <c r="C266" s="28" t="inlineStr">
        <is>
          <t>switch</t>
        </is>
      </c>
      <c r="D266" s="28" t="n"/>
      <c r="E266" s="28" t="n"/>
      <c r="F266" s="28" t="inlineStr">
        <is>
          <t>Real*</t>
        </is>
      </c>
      <c r="G266" s="28" t="inlineStr">
        <is>
          <t>Real*</t>
        </is>
      </c>
      <c r="H266" s="28" t="inlineStr">
        <is>
          <t>NomorReal</t>
        </is>
      </c>
      <c r="J266" s="8" t="inlineStr">
        <is>
          <t>Real*</t>
        </is>
      </c>
      <c r="K266" s="8" t="inlineStr">
        <is>
          <t>Real*</t>
        </is>
      </c>
      <c r="L266" s="8" t="inlineStr">
        <is>
          <t>Real*</t>
        </is>
      </c>
      <c r="M266" s="8" t="inlineStr">
        <is>
          <t>Real*</t>
        </is>
      </c>
      <c r="N266" s="8" t="inlineStr">
        <is>
          <t>Real*</t>
        </is>
      </c>
      <c r="O266" s="8" t="inlineStr">
        <is>
          <t>Real*</t>
        </is>
      </c>
    </row>
    <row r="267" hidden="1">
      <c r="B267" s="28" t="inlineStr">
        <is>
          <t>Include endogenous GDP effects?</t>
        </is>
      </c>
      <c r="C267" s="28" t="inlineStr">
        <is>
          <t>switch</t>
        </is>
      </c>
      <c r="D267" s="28" t="n"/>
      <c r="E267" s="28" t="n"/>
      <c r="F267" s="28" t="inlineStr">
        <is>
          <t>Yes*</t>
        </is>
      </c>
      <c r="G267" s="28" t="inlineStr">
        <is>
          <t>Yes*</t>
        </is>
      </c>
      <c r="H267" s="28" t="inlineStr">
        <is>
          <t>GDPEndogenous</t>
        </is>
      </c>
      <c r="J267" s="8" t="inlineStr">
        <is>
          <t>Yes*</t>
        </is>
      </c>
      <c r="K267" s="8" t="inlineStr">
        <is>
          <t>Yes*</t>
        </is>
      </c>
      <c r="L267" s="8" t="inlineStr">
        <is>
          <t>Yes*</t>
        </is>
      </c>
      <c r="M267" s="8" t="inlineStr">
        <is>
          <t>Yes*</t>
        </is>
      </c>
      <c r="N267" s="8" t="inlineStr">
        <is>
          <t>Yes*</t>
        </is>
      </c>
      <c r="O267" s="8" t="inlineStr">
        <is>
          <t>Yes*</t>
        </is>
      </c>
    </row>
    <row r="268" hidden="1">
      <c r="B268" s="28" t="inlineStr">
        <is>
          <t>Residential LPG/kerosene always exempted</t>
        </is>
      </c>
      <c r="C268" s="28" t="inlineStr">
        <is>
          <t>switch</t>
        </is>
      </c>
      <c r="D268" s="28" t="n"/>
      <c r="E268" s="28" t="n"/>
      <c r="F268" s="28" t="inlineStr">
        <is>
          <t>No*</t>
        </is>
      </c>
      <c r="G268" s="28" t="inlineStr">
        <is>
          <t>No*</t>
        </is>
      </c>
      <c r="H268" s="28" t="inlineStr">
        <is>
          <t>AlwaysExemptResLPGKer</t>
        </is>
      </c>
      <c r="J268" s="8" t="inlineStr">
        <is>
          <t>No*</t>
        </is>
      </c>
      <c r="K268" s="8" t="inlineStr">
        <is>
          <t>No*</t>
        </is>
      </c>
      <c r="L268" s="8" t="inlineStr">
        <is>
          <t>No*</t>
        </is>
      </c>
      <c r="M268" s="8" t="inlineStr">
        <is>
          <t>No*</t>
        </is>
      </c>
      <c r="N268" s="8" t="inlineStr">
        <is>
          <t>No*</t>
        </is>
      </c>
      <c r="O268" s="8" t="inlineStr">
        <is>
          <t>No*</t>
        </is>
      </c>
    </row>
    <row r="269" hidden="1">
      <c r="B269" s="28" t="inlineStr">
        <is>
          <t>National social cost of carbon (NSCC) source</t>
        </is>
      </c>
      <c r="C269" s="28" t="inlineStr">
        <is>
          <t>switch</t>
        </is>
      </c>
      <c r="D269" s="28" t="n"/>
      <c r="E269" s="28" t="n"/>
      <c r="F269" s="28" t="inlineStr">
        <is>
          <t>Target*</t>
        </is>
      </c>
      <c r="G269" s="28" t="inlineStr">
        <is>
          <t>Target*</t>
        </is>
      </c>
      <c r="H269" s="28" t="inlineStr">
        <is>
          <t>NSCCSource</t>
        </is>
      </c>
      <c r="J269" s="8" t="inlineStr">
        <is>
          <t>Target*</t>
        </is>
      </c>
      <c r="K269" s="8" t="inlineStr">
        <is>
          <t>Target*</t>
        </is>
      </c>
      <c r="L269" s="8" t="inlineStr">
        <is>
          <t>Target*</t>
        </is>
      </c>
      <c r="M269" s="8" t="inlineStr">
        <is>
          <t>Target*</t>
        </is>
      </c>
      <c r="N269" s="8" t="inlineStr">
        <is>
          <t>Target*</t>
        </is>
      </c>
      <c r="O269" s="8" t="inlineStr">
        <is>
          <t>Target*</t>
        </is>
      </c>
    </row>
    <row r="270" hidden="1">
      <c r="B270" s="28" t="inlineStr">
        <is>
          <t>Override dashboard and impose a linear or exponential carbon price trajectory?</t>
        </is>
      </c>
      <c r="C270" s="28" t="n"/>
      <c r="D270" s="28" t="n"/>
      <c r="E270" s="28" t="n"/>
      <c r="F270" s="28" t="inlineStr">
        <is>
          <t>Linear*</t>
        </is>
      </c>
      <c r="G270" s="28" t="inlineStr">
        <is>
          <t>Linear*</t>
        </is>
      </c>
      <c r="H270" s="28" t="inlineStr">
        <is>
          <t>CTaxTrajectoryType</t>
        </is>
      </c>
      <c r="J270" s="8" t="inlineStr">
        <is>
          <t>Linear*</t>
        </is>
      </c>
      <c r="K270" s="8" t="inlineStr">
        <is>
          <t>Linear*</t>
        </is>
      </c>
      <c r="L270" s="8" t="inlineStr">
        <is>
          <t>Linear*</t>
        </is>
      </c>
      <c r="M270" s="8" t="inlineStr">
        <is>
          <t>Linear*</t>
        </is>
      </c>
      <c r="N270" s="8" t="inlineStr">
        <is>
          <t>Linear*</t>
        </is>
      </c>
      <c r="O270" s="8" t="inlineStr">
        <is>
          <t>Linear*</t>
        </is>
      </c>
    </row>
    <row r="271" hidden="1">
      <c r="B271" s="28" t="inlineStr">
        <is>
          <t>If overridden and exponential, what is the real escalation rate per year?</t>
        </is>
      </c>
      <c r="C271" s="28" t="n"/>
      <c r="D271" s="28" t="n"/>
      <c r="E271" s="28" t="n"/>
      <c r="F271" s="28" t="n">
        <v>0</v>
      </c>
      <c r="G271" s="28" t="n">
        <v>0</v>
      </c>
      <c r="H271" s="28" t="inlineStr">
        <is>
          <t>CtaxExponentialEscalationRate</t>
        </is>
      </c>
      <c r="J271" s="8" t="n">
        <v>0</v>
      </c>
      <c r="K271" s="8" t="n">
        <v>0</v>
      </c>
      <c r="L271" s="8" t="n">
        <v>0</v>
      </c>
      <c r="M271" s="8" t="n">
        <v>0</v>
      </c>
      <c r="N271" s="8" t="n">
        <v>0</v>
      </c>
      <c r="O271" s="8" t="n">
        <v>0</v>
      </c>
    </row>
    <row r="272" hidden="1">
      <c r="B272" s="26" t="inlineStr">
        <is>
          <t xml:space="preserve">Social cost of carbon </t>
        </is>
      </c>
    </row>
    <row r="273" hidden="1">
      <c r="B273" s="28" t="inlineStr">
        <is>
          <t>NSCC discount rate (ρ)</t>
        </is>
      </c>
      <c r="C273" s="28" t="inlineStr">
        <is>
          <t>%</t>
        </is>
      </c>
      <c r="D273" s="28" t="n"/>
      <c r="E273" s="28" t="n"/>
      <c r="F273" s="28" t="inlineStr">
        <is>
          <t>2%*</t>
        </is>
      </c>
      <c r="G273" s="28" t="inlineStr">
        <is>
          <t>2%*</t>
        </is>
      </c>
      <c r="H273" s="28" t="inlineStr">
        <is>
          <t>NSCCDiscountRate</t>
        </is>
      </c>
      <c r="J273" s="8" t="inlineStr">
        <is>
          <t>2%*</t>
        </is>
      </c>
      <c r="K273" s="8" t="inlineStr">
        <is>
          <t>2%*</t>
        </is>
      </c>
      <c r="L273" s="8" t="inlineStr">
        <is>
          <t>2%*</t>
        </is>
      </c>
      <c r="M273" s="8" t="inlineStr">
        <is>
          <t>2%*</t>
        </is>
      </c>
      <c r="N273" s="8" t="inlineStr">
        <is>
          <t>2%*</t>
        </is>
      </c>
      <c r="O273" s="8" t="inlineStr">
        <is>
          <t>2%*</t>
        </is>
      </c>
    </row>
    <row r="274" hidden="1">
      <c r="B274" s="28" t="inlineStr">
        <is>
          <t>NSCC elasticity of marginal utility (μ)</t>
        </is>
      </c>
      <c r="C274" s="28" t="inlineStr">
        <is>
          <t>%</t>
        </is>
      </c>
      <c r="D274" s="28" t="n"/>
      <c r="E274" s="28" t="n"/>
      <c r="F274" s="28" t="inlineStr">
        <is>
          <t>1.5%*</t>
        </is>
      </c>
      <c r="G274" s="28" t="inlineStr">
        <is>
          <t>1.5%*</t>
        </is>
      </c>
      <c r="H274" s="28" t="inlineStr">
        <is>
          <t>NSCCMargUtilofCons</t>
        </is>
      </c>
      <c r="J274" s="8" t="inlineStr">
        <is>
          <t>1.5%*</t>
        </is>
      </c>
      <c r="K274" s="8" t="inlineStr">
        <is>
          <t>1.5%*</t>
        </is>
      </c>
      <c r="L274" s="8" t="inlineStr">
        <is>
          <t>1.5%*</t>
        </is>
      </c>
      <c r="M274" s="8" t="inlineStr">
        <is>
          <t>1.5%*</t>
        </is>
      </c>
      <c r="N274" s="8" t="inlineStr">
        <is>
          <t>1.5%*</t>
        </is>
      </c>
      <c r="O274" s="8" t="inlineStr">
        <is>
          <t>1.5%*</t>
        </is>
      </c>
    </row>
    <row r="275" hidden="1">
      <c r="B275" s="28" t="inlineStr">
        <is>
          <t>Global social cost of carbon (GSCC) source</t>
        </is>
      </c>
      <c r="C275" s="28" t="inlineStr">
        <is>
          <t>switch</t>
        </is>
      </c>
      <c r="D275" s="28" t="n"/>
      <c r="E275" s="28" t="n"/>
      <c r="F275" s="28" t="inlineStr">
        <is>
          <t>Target*</t>
        </is>
      </c>
      <c r="G275" s="28" t="inlineStr">
        <is>
          <t>Target*</t>
        </is>
      </c>
      <c r="H275" s="28" t="inlineStr">
        <is>
          <t>GSCCSource</t>
        </is>
      </c>
      <c r="J275" s="8" t="inlineStr">
        <is>
          <t>Target*</t>
        </is>
      </c>
      <c r="K275" s="8" t="inlineStr">
        <is>
          <t>Target*</t>
        </is>
      </c>
      <c r="L275" s="8" t="inlineStr">
        <is>
          <t>Target*</t>
        </is>
      </c>
      <c r="M275" s="8" t="inlineStr">
        <is>
          <t>Target*</t>
        </is>
      </c>
      <c r="N275" s="8" t="inlineStr">
        <is>
          <t>Target*</t>
        </is>
      </c>
      <c r="O275" s="8" t="inlineStr">
        <is>
          <t>Target*</t>
        </is>
      </c>
    </row>
    <row r="276" hidden="1">
      <c r="B276" s="26" t="inlineStr">
        <is>
          <t xml:space="preserve">Manual - assumed starting in year 2021 </t>
        </is>
      </c>
    </row>
    <row r="277" hidden="1">
      <c r="B277" s="28" t="inlineStr">
        <is>
          <t>SCC (both NSCC and GSCC)</t>
        </is>
      </c>
      <c r="C277" s="28" t="inlineStr">
        <is>
          <t>real growth, %</t>
        </is>
      </c>
      <c r="D277" s="28" t="n"/>
      <c r="E277" s="28" t="n"/>
      <c r="F277" s="28" t="n">
        <v>0.04</v>
      </c>
      <c r="G277" s="28" t="n">
        <v>0.04</v>
      </c>
      <c r="H277" s="28" t="inlineStr">
        <is>
          <t>SCCRise</t>
        </is>
      </c>
      <c r="J277" s="8" t="n">
        <v>0.04</v>
      </c>
      <c r="K277" s="8" t="n">
        <v>0.04</v>
      </c>
      <c r="L277" s="8" t="n">
        <v>0.04</v>
      </c>
      <c r="M277" s="8" t="n">
        <v>0.04</v>
      </c>
      <c r="N277" s="8" t="n">
        <v>0.04</v>
      </c>
      <c r="O277" s="8" t="n">
        <v>0.04</v>
      </c>
    </row>
    <row r="278" hidden="1">
      <c r="B278" s="28" t="inlineStr">
        <is>
          <t>Target-consistent carbon price by 2030 (for 'Target' option)</t>
        </is>
      </c>
      <c r="C278" s="28" t="n"/>
      <c r="D278" s="28" t="n"/>
      <c r="E278" s="28" t="n"/>
      <c r="F278" s="28" t="n">
        <v>75</v>
      </c>
      <c r="G278" s="28" t="n">
        <v>75</v>
      </c>
      <c r="H278" s="28" t="inlineStr">
        <is>
          <t>SCCTargetConsistentCP</t>
        </is>
      </c>
      <c r="J278" s="8" t="n">
        <v>75</v>
      </c>
      <c r="K278" s="8" t="n">
        <v>75</v>
      </c>
      <c r="L278" s="8" t="n">
        <v>75</v>
      </c>
      <c r="M278" s="8" t="n">
        <v>75</v>
      </c>
      <c r="N278" s="8" t="n">
        <v>75</v>
      </c>
      <c r="O278" s="8" t="n">
        <v>75</v>
      </c>
    </row>
    <row r="279" hidden="1">
      <c r="B279" s="26" t="inlineStr">
        <is>
          <t>Energy pricing assumptions</t>
        </is>
      </c>
    </row>
    <row r="280" hidden="1">
      <c r="B280" s="28" t="inlineStr">
        <is>
          <t>Use manual domestic prices?</t>
        </is>
      </c>
      <c r="C280" s="28" t="inlineStr">
        <is>
          <t>switch</t>
        </is>
      </c>
      <c r="D280" s="28" t="n"/>
      <c r="E280" s="28" t="n"/>
      <c r="F280" s="28" t="inlineStr">
        <is>
          <t>No</t>
        </is>
      </c>
      <c r="G280" s="28" t="inlineStr">
        <is>
          <t>No</t>
        </is>
      </c>
      <c r="H280" s="28" t="inlineStr">
        <is>
          <t>DomPrTax</t>
        </is>
      </c>
      <c r="J280" s="8" t="inlineStr">
        <is>
          <t>No</t>
        </is>
      </c>
      <c r="K280" s="8" t="inlineStr">
        <is>
          <t>No</t>
        </is>
      </c>
      <c r="L280" s="8" t="inlineStr">
        <is>
          <t>No</t>
        </is>
      </c>
      <c r="M280" s="8" t="inlineStr">
        <is>
          <t>No</t>
        </is>
      </c>
      <c r="N280" s="8" t="inlineStr">
        <is>
          <t>No</t>
        </is>
      </c>
      <c r="O280" s="8" t="inlineStr">
        <is>
          <t>No</t>
        </is>
      </c>
    </row>
    <row r="281" hidden="1">
      <c r="B281" s="28" t="inlineStr">
        <is>
          <t>Use uniform global assumption for fuel prices (normally 'No')</t>
        </is>
      </c>
      <c r="C281" s="28" t="inlineStr">
        <is>
          <t>switch</t>
        </is>
      </c>
      <c r="D281" s="28" t="n"/>
      <c r="E281" s="28" t="n"/>
      <c r="F281" s="28" t="inlineStr">
        <is>
          <t>No</t>
        </is>
      </c>
      <c r="G281" s="28" t="inlineStr">
        <is>
          <t>No</t>
        </is>
      </c>
      <c r="H281" s="28" t="inlineStr">
        <is>
          <t>UseGlobalPrices</t>
        </is>
      </c>
      <c r="J281" s="8" t="inlineStr">
        <is>
          <t>No</t>
        </is>
      </c>
      <c r="K281" s="8" t="inlineStr">
        <is>
          <t>No</t>
        </is>
      </c>
      <c r="L281" s="8" t="inlineStr">
        <is>
          <t>No</t>
        </is>
      </c>
      <c r="M281" s="8" t="inlineStr">
        <is>
          <t>No</t>
        </is>
      </c>
      <c r="N281" s="8" t="inlineStr">
        <is>
          <t>No</t>
        </is>
      </c>
      <c r="O281" s="8" t="inlineStr">
        <is>
          <t>No</t>
        </is>
      </c>
    </row>
    <row r="282" hidden="1">
      <c r="A282" t="inlineStr">
        <is>
          <t>X</t>
        </is>
      </c>
      <c r="B282" s="28" t="inlineStr">
        <is>
          <t>Year of interest for energy externalities &amp; prices</t>
        </is>
      </c>
      <c r="C282" s="28" t="inlineStr">
        <is>
          <t>year</t>
        </is>
      </c>
      <c r="D282" s="28" t="n"/>
      <c r="E282" s="28" t="n"/>
      <c r="F282" s="28" t="n">
        <v>2025</v>
      </c>
      <c r="G282" s="28" t="n">
        <v>2030</v>
      </c>
      <c r="H282" s="28" t="inlineStr">
        <is>
          <t>YearFuelPrices</t>
        </is>
      </c>
      <c r="J282" s="8" t="n">
        <v>2025</v>
      </c>
      <c r="K282" s="8" t="n">
        <v>2025</v>
      </c>
      <c r="L282" s="8" t="n">
        <v>2025</v>
      </c>
      <c r="M282" s="8" t="n">
        <v>2025</v>
      </c>
      <c r="N282" s="8" t="n">
        <v>2025</v>
      </c>
      <c r="O282" s="8" t="n">
        <v>2025</v>
      </c>
    </row>
    <row r="283" hidden="1">
      <c r="B283" s="26" t="inlineStr">
        <is>
          <t>VAT reform</t>
        </is>
      </c>
    </row>
    <row r="284" hidden="1">
      <c r="B284" s="28" t="inlineStr">
        <is>
          <t>Apply general VAT rate on residential and transport consumption?</t>
        </is>
      </c>
      <c r="C284" s="28" t="inlineStr">
        <is>
          <t>switch</t>
        </is>
      </c>
      <c r="D284" s="28" t="n"/>
      <c r="E284" s="28" t="n"/>
      <c r="F284" s="28" t="inlineStr">
        <is>
          <t>No*</t>
        </is>
      </c>
      <c r="G284" s="28" t="inlineStr">
        <is>
          <t>No*</t>
        </is>
      </c>
      <c r="H284" s="28" t="inlineStr">
        <is>
          <t>VatRef</t>
        </is>
      </c>
      <c r="J284" s="8" t="inlineStr">
        <is>
          <t>No*</t>
        </is>
      </c>
      <c r="K284" s="8" t="inlineStr">
        <is>
          <t>No*</t>
        </is>
      </c>
      <c r="L284" s="8" t="inlineStr">
        <is>
          <t>No*</t>
        </is>
      </c>
      <c r="M284" s="8" t="inlineStr">
        <is>
          <t>No*</t>
        </is>
      </c>
      <c r="N284" s="8" t="inlineStr">
        <is>
          <t>No*</t>
        </is>
      </c>
      <c r="O284" s="8" t="inlineStr">
        <is>
          <t>No*</t>
        </is>
      </c>
    </row>
    <row r="285" hidden="1">
      <c r="B285" s="26" t="inlineStr">
        <is>
          <t>Existing non-carbon taxes</t>
        </is>
      </c>
    </row>
    <row r="286" hidden="1">
      <c r="B286" s="28" t="inlineStr">
        <is>
          <t>Apply existing non-carbon taxes on coal?</t>
        </is>
      </c>
      <c r="C286" s="28" t="inlineStr">
        <is>
          <t>switch</t>
        </is>
      </c>
      <c r="D286" s="28" t="n"/>
      <c r="E286" s="28" t="n"/>
      <c r="F286" s="28" t="inlineStr">
        <is>
          <t>Yes*</t>
        </is>
      </c>
      <c r="G286" s="28" t="inlineStr">
        <is>
          <t>Yes*</t>
        </is>
      </c>
      <c r="H286" s="28" t="inlineStr">
        <is>
          <t>ApplyExistingNonCarbonTaxCoa</t>
        </is>
      </c>
      <c r="J286" s="8" t="inlineStr">
        <is>
          <t>Yes*</t>
        </is>
      </c>
      <c r="K286" s="8" t="inlineStr">
        <is>
          <t>Yes*</t>
        </is>
      </c>
      <c r="L286" s="8" t="inlineStr">
        <is>
          <t>Yes*</t>
        </is>
      </c>
      <c r="M286" s="8" t="inlineStr">
        <is>
          <t>Yes*</t>
        </is>
      </c>
      <c r="N286" s="8" t="inlineStr">
        <is>
          <t>Yes*</t>
        </is>
      </c>
      <c r="O286" s="8" t="inlineStr">
        <is>
          <t>Yes*</t>
        </is>
      </c>
    </row>
    <row r="287" hidden="1">
      <c r="B287" s="28" t="inlineStr">
        <is>
          <t>Apply existing non-carbon taxes on natural gas?</t>
        </is>
      </c>
      <c r="C287" s="28" t="inlineStr">
        <is>
          <t>switch</t>
        </is>
      </c>
      <c r="D287" s="28" t="n"/>
      <c r="E287" s="28" t="n"/>
      <c r="F287" s="28" t="inlineStr">
        <is>
          <t>Yes*</t>
        </is>
      </c>
      <c r="G287" s="28" t="inlineStr">
        <is>
          <t>Yes*</t>
        </is>
      </c>
      <c r="H287" s="28" t="inlineStr">
        <is>
          <t>ApplyExistingNonCarbonTaxNga</t>
        </is>
      </c>
      <c r="J287" s="8" t="inlineStr">
        <is>
          <t>Yes*</t>
        </is>
      </c>
      <c r="K287" s="8" t="inlineStr">
        <is>
          <t>Yes*</t>
        </is>
      </c>
      <c r="L287" s="8" t="inlineStr">
        <is>
          <t>Yes*</t>
        </is>
      </c>
      <c r="M287" s="8" t="inlineStr">
        <is>
          <t>Yes*</t>
        </is>
      </c>
      <c r="N287" s="8" t="inlineStr">
        <is>
          <t>Yes*</t>
        </is>
      </c>
      <c r="O287" s="8" t="inlineStr">
        <is>
          <t>Yes*</t>
        </is>
      </c>
    </row>
    <row r="288" hidden="1">
      <c r="B288" s="28" t="inlineStr">
        <is>
          <t>Apply existing non-carbon taxes on gasoline?</t>
        </is>
      </c>
      <c r="C288" s="28" t="inlineStr">
        <is>
          <t>switch</t>
        </is>
      </c>
      <c r="D288" s="28" t="n"/>
      <c r="E288" s="28" t="n"/>
      <c r="F288" s="28" t="inlineStr">
        <is>
          <t>Yes*</t>
        </is>
      </c>
      <c r="G288" s="28" t="inlineStr">
        <is>
          <t>Yes*</t>
        </is>
      </c>
      <c r="H288" s="28" t="inlineStr">
        <is>
          <t>ApplyExistingNonCarbonTaxGso</t>
        </is>
      </c>
      <c r="J288" s="8" t="inlineStr">
        <is>
          <t>Yes*</t>
        </is>
      </c>
      <c r="K288" s="8" t="inlineStr">
        <is>
          <t>Yes*</t>
        </is>
      </c>
      <c r="L288" s="8" t="inlineStr">
        <is>
          <t>Yes*</t>
        </is>
      </c>
      <c r="M288" s="8" t="inlineStr">
        <is>
          <t>Yes*</t>
        </is>
      </c>
      <c r="N288" s="8" t="inlineStr">
        <is>
          <t>Yes*</t>
        </is>
      </c>
      <c r="O288" s="8" t="inlineStr">
        <is>
          <t>Yes*</t>
        </is>
      </c>
    </row>
    <row r="289" hidden="1">
      <c r="B289" s="28" t="inlineStr">
        <is>
          <t>Apply existing non-carbon taxes on diesel?</t>
        </is>
      </c>
      <c r="C289" s="28" t="inlineStr">
        <is>
          <t>switch</t>
        </is>
      </c>
      <c r="D289" s="28" t="n"/>
      <c r="E289" s="28" t="n"/>
      <c r="F289" s="28" t="inlineStr">
        <is>
          <t>Yes*</t>
        </is>
      </c>
      <c r="G289" s="28" t="inlineStr">
        <is>
          <t>Yes*</t>
        </is>
      </c>
      <c r="H289" s="28" t="inlineStr">
        <is>
          <t>ApplyExistingNonCarbonTaxDie</t>
        </is>
      </c>
      <c r="J289" s="8" t="inlineStr">
        <is>
          <t>Yes*</t>
        </is>
      </c>
      <c r="K289" s="8" t="inlineStr">
        <is>
          <t>Yes*</t>
        </is>
      </c>
      <c r="L289" s="8" t="inlineStr">
        <is>
          <t>Yes*</t>
        </is>
      </c>
      <c r="M289" s="8" t="inlineStr">
        <is>
          <t>Yes*</t>
        </is>
      </c>
      <c r="N289" s="8" t="inlineStr">
        <is>
          <t>Yes*</t>
        </is>
      </c>
      <c r="O289" s="8" t="inlineStr">
        <is>
          <t>Yes*</t>
        </is>
      </c>
    </row>
    <row r="290" hidden="1">
      <c r="B290" s="28" t="inlineStr">
        <is>
          <t>Apply existing non-carbon taxes on other oil products?</t>
        </is>
      </c>
      <c r="C290" s="28" t="inlineStr">
        <is>
          <t>switch</t>
        </is>
      </c>
      <c r="D290" s="28" t="n"/>
      <c r="E290" s="28" t="n"/>
      <c r="F290" s="28" t="inlineStr">
        <is>
          <t>Yes*</t>
        </is>
      </c>
      <c r="G290" s="28" t="inlineStr">
        <is>
          <t>Yes*</t>
        </is>
      </c>
      <c r="H290" s="28" t="inlineStr">
        <is>
          <t>ApplyExistingNonCarbonTaxOop</t>
        </is>
      </c>
      <c r="J290" s="8" t="inlineStr">
        <is>
          <t>Yes*</t>
        </is>
      </c>
      <c r="K290" s="8" t="inlineStr">
        <is>
          <t>Yes*</t>
        </is>
      </c>
      <c r="L290" s="8" t="inlineStr">
        <is>
          <t>Yes*</t>
        </is>
      </c>
      <c r="M290" s="8" t="inlineStr">
        <is>
          <t>Yes*</t>
        </is>
      </c>
      <c r="N290" s="8" t="inlineStr">
        <is>
          <t>Yes*</t>
        </is>
      </c>
      <c r="O290" s="8" t="inlineStr">
        <is>
          <t>Yes*</t>
        </is>
      </c>
    </row>
    <row r="291" hidden="1">
      <c r="B291" s="28" t="inlineStr">
        <is>
          <t>Apply existing non-carbon taxes on LPG?</t>
        </is>
      </c>
      <c r="C291" s="28" t="inlineStr">
        <is>
          <t>switch</t>
        </is>
      </c>
      <c r="D291" s="28" t="n"/>
      <c r="E291" s="28" t="n"/>
      <c r="F291" s="28" t="inlineStr">
        <is>
          <t>Yes*</t>
        </is>
      </c>
      <c r="G291" s="28" t="inlineStr">
        <is>
          <t>Yes*</t>
        </is>
      </c>
      <c r="H291" s="28" t="inlineStr">
        <is>
          <t>ApplyExistingNonCarbonTaxLpg</t>
        </is>
      </c>
      <c r="J291" s="8" t="inlineStr">
        <is>
          <t>Yes*</t>
        </is>
      </c>
      <c r="K291" s="8" t="inlineStr">
        <is>
          <t>Yes*</t>
        </is>
      </c>
      <c r="L291" s="8" t="inlineStr">
        <is>
          <t>Yes*</t>
        </is>
      </c>
      <c r="M291" s="8" t="inlineStr">
        <is>
          <t>Yes*</t>
        </is>
      </c>
      <c r="N291" s="8" t="inlineStr">
        <is>
          <t>Yes*</t>
        </is>
      </c>
      <c r="O291" s="8" t="inlineStr">
        <is>
          <t>Yes*</t>
        </is>
      </c>
    </row>
    <row r="292" hidden="1">
      <c r="B292" s="28" t="inlineStr">
        <is>
          <t>Apply existing non-carbon taxes on kerosene?</t>
        </is>
      </c>
      <c r="C292" s="28" t="inlineStr">
        <is>
          <t>switch</t>
        </is>
      </c>
      <c r="D292" s="28" t="n"/>
      <c r="E292" s="28" t="n"/>
      <c r="F292" s="28" t="inlineStr">
        <is>
          <t>Yes*</t>
        </is>
      </c>
      <c r="G292" s="28" t="inlineStr">
        <is>
          <t>Yes*</t>
        </is>
      </c>
      <c r="H292" s="28" t="inlineStr">
        <is>
          <t>ApplyExistingNonCarbonTaxKer</t>
        </is>
      </c>
      <c r="J292" s="8" t="inlineStr">
        <is>
          <t>Yes*</t>
        </is>
      </c>
      <c r="K292" s="8" t="inlineStr">
        <is>
          <t>Yes*</t>
        </is>
      </c>
      <c r="L292" s="8" t="inlineStr">
        <is>
          <t>Yes*</t>
        </is>
      </c>
      <c r="M292" s="8" t="inlineStr">
        <is>
          <t>Yes*</t>
        </is>
      </c>
      <c r="N292" s="8" t="inlineStr">
        <is>
          <t>Yes*</t>
        </is>
      </c>
      <c r="O292" s="8" t="inlineStr">
        <is>
          <t>Yes*</t>
        </is>
      </c>
    </row>
    <row r="293" hidden="1">
      <c r="B293" s="28" t="inlineStr">
        <is>
          <t>Apply existing non-carbon taxes on biomass?</t>
        </is>
      </c>
      <c r="C293" s="28" t="inlineStr">
        <is>
          <t>switch</t>
        </is>
      </c>
      <c r="D293" s="28" t="n"/>
      <c r="E293" s="28" t="n"/>
      <c r="F293" s="28" t="inlineStr">
        <is>
          <t>Yes*</t>
        </is>
      </c>
      <c r="G293" s="28" t="inlineStr">
        <is>
          <t>Yes*</t>
        </is>
      </c>
      <c r="H293" s="28" t="inlineStr">
        <is>
          <t>ApplyExistingNonCarbonTaxBio</t>
        </is>
      </c>
      <c r="J293" s="8" t="inlineStr">
        <is>
          <t>Yes*</t>
        </is>
      </c>
      <c r="K293" s="8" t="inlineStr">
        <is>
          <t>Yes*</t>
        </is>
      </c>
      <c r="L293" s="8" t="inlineStr">
        <is>
          <t>Yes*</t>
        </is>
      </c>
      <c r="M293" s="8" t="inlineStr">
        <is>
          <t>Yes*</t>
        </is>
      </c>
      <c r="N293" s="8" t="inlineStr">
        <is>
          <t>Yes*</t>
        </is>
      </c>
      <c r="O293" s="8" t="inlineStr">
        <is>
          <t>Yes*</t>
        </is>
      </c>
    </row>
    <row r="294" hidden="1">
      <c r="B294" s="28" t="inlineStr">
        <is>
          <t>Apply existing non-carbon taxes on electricity?</t>
        </is>
      </c>
      <c r="C294" s="28" t="inlineStr">
        <is>
          <t>switch</t>
        </is>
      </c>
      <c r="D294" s="28" t="n"/>
      <c r="E294" s="28" t="n"/>
      <c r="F294" s="28" t="inlineStr">
        <is>
          <t>Yes*</t>
        </is>
      </c>
      <c r="G294" s="28" t="inlineStr">
        <is>
          <t>Yes*</t>
        </is>
      </c>
      <c r="H294" s="28" t="inlineStr">
        <is>
          <t>ApplyExistingNonCarbonTaxEcy</t>
        </is>
      </c>
      <c r="J294" s="8" t="inlineStr">
        <is>
          <t>Yes*</t>
        </is>
      </c>
      <c r="K294" s="8" t="inlineStr">
        <is>
          <t>Yes*</t>
        </is>
      </c>
      <c r="L294" s="8" t="inlineStr">
        <is>
          <t>Yes*</t>
        </is>
      </c>
      <c r="M294" s="8" t="inlineStr">
        <is>
          <t>Yes*</t>
        </is>
      </c>
      <c r="N294" s="8" t="inlineStr">
        <is>
          <t>Yes*</t>
        </is>
      </c>
      <c r="O294" s="8" t="inlineStr">
        <is>
          <t>Yes*</t>
        </is>
      </c>
    </row>
    <row r="295" hidden="1">
      <c r="B295" s="28" t="inlineStr">
        <is>
          <t>Other assumptions: mitigation module</t>
        </is>
      </c>
      <c r="C295" s="28" t="n"/>
      <c r="D295" s="28" t="n"/>
      <c r="E295" s="28" t="n"/>
      <c r="F295" s="28" t="n">
        <v>0</v>
      </c>
      <c r="G295" s="28" t="n"/>
      <c r="H295" s="28" t="n"/>
      <c r="J295" s="8" t="n">
        <v>0</v>
      </c>
      <c r="K295" s="8" t="n">
        <v>0</v>
      </c>
      <c r="L295" s="8" t="n">
        <v>0</v>
      </c>
      <c r="M295" s="8" t="n">
        <v>0</v>
      </c>
      <c r="N295" s="8" t="n">
        <v>0</v>
      </c>
      <c r="O295" s="8" t="n">
        <v>0</v>
      </c>
    </row>
    <row r="296" hidden="1">
      <c r="B296" s="28" t="inlineStr">
        <is>
          <t>Use 'world' (USA) or country-specific discount factors?</t>
        </is>
      </c>
      <c r="C296" s="28" t="inlineStr">
        <is>
          <t>switch</t>
        </is>
      </c>
      <c r="D296" s="28" t="n"/>
      <c r="E296" s="28" t="n"/>
      <c r="F296" s="28" t="inlineStr">
        <is>
          <t>World</t>
        </is>
      </c>
      <c r="G296" s="28" t="inlineStr">
        <is>
          <t>World</t>
        </is>
      </c>
      <c r="H296" s="28" t="inlineStr">
        <is>
          <t>DfSelection</t>
        </is>
      </c>
      <c r="J296" s="8" t="inlineStr">
        <is>
          <t>World</t>
        </is>
      </c>
      <c r="K296" s="8" t="inlineStr">
        <is>
          <t>World</t>
        </is>
      </c>
      <c r="L296" s="8" t="inlineStr">
        <is>
          <t>World</t>
        </is>
      </c>
      <c r="M296" s="8" t="inlineStr">
        <is>
          <t>World</t>
        </is>
      </c>
      <c r="N296" s="8" t="inlineStr">
        <is>
          <t>World</t>
        </is>
      </c>
      <c r="O296" s="8" t="inlineStr">
        <is>
          <t>World</t>
        </is>
      </c>
    </row>
    <row r="297" hidden="1">
      <c r="B297" s="28" t="inlineStr">
        <is>
          <t>Sum all oil products in industrial transformation sector</t>
        </is>
      </c>
      <c r="C297" s="28" t="inlineStr">
        <is>
          <t>switch</t>
        </is>
      </c>
      <c r="D297" s="28" t="n"/>
      <c r="E297" s="28" t="n"/>
      <c r="F297" s="28" t="inlineStr">
        <is>
          <t>Converted</t>
        </is>
      </c>
      <c r="G297" s="28" t="inlineStr">
        <is>
          <t>Converted</t>
        </is>
      </c>
      <c r="H297" s="28" t="inlineStr">
        <is>
          <t>NonEnergyTransformationMethod</t>
        </is>
      </c>
      <c r="J297" s="8" t="inlineStr">
        <is>
          <t>Converted</t>
        </is>
      </c>
      <c r="K297" s="8" t="inlineStr">
        <is>
          <t>Converted</t>
        </is>
      </c>
      <c r="L297" s="8" t="inlineStr">
        <is>
          <t>Converted</t>
        </is>
      </c>
      <c r="M297" s="8" t="inlineStr">
        <is>
          <t>Converted</t>
        </is>
      </c>
      <c r="N297" s="8" t="inlineStr">
        <is>
          <t>Converted</t>
        </is>
      </c>
      <c r="O297" s="8" t="inlineStr">
        <is>
          <t>Converted</t>
        </is>
      </c>
    </row>
    <row r="298" hidden="1">
      <c r="B298" s="28" t="inlineStr">
        <is>
          <t>LPG in residential implicit (cookstove) efficiency</t>
        </is>
      </c>
      <c r="C298" s="28" t="n"/>
      <c r="D298" s="28" t="n"/>
      <c r="E298" s="28" t="n"/>
      <c r="F298" s="28" t="n">
        <v>0.5600000000000001</v>
      </c>
      <c r="G298" s="28" t="n">
        <v>0.5600000000000001</v>
      </c>
      <c r="H298" s="28" t="inlineStr">
        <is>
          <t>LPGEff</t>
        </is>
      </c>
      <c r="J298" s="8" t="n">
        <v>0.5600000000000001</v>
      </c>
      <c r="K298" s="8" t="n">
        <v>0.5600000000000001</v>
      </c>
      <c r="L298" s="8" t="n">
        <v>0.5600000000000001</v>
      </c>
      <c r="M298" s="8" t="n">
        <v>0.5600000000000001</v>
      </c>
      <c r="N298" s="8" t="n">
        <v>0.5600000000000001</v>
      </c>
      <c r="O298" s="8" t="n">
        <v>0.5600000000000001</v>
      </c>
    </row>
    <row r="299" hidden="1">
      <c r="B299" s="28" t="inlineStr">
        <is>
          <t>Kerosene in residential implicit (cookstove) efficiency</t>
        </is>
      </c>
      <c r="C299" s="28" t="n"/>
      <c r="D299" s="28" t="n"/>
      <c r="E299" s="28" t="n"/>
      <c r="F299" s="28" t="n">
        <v>0.45</v>
      </c>
      <c r="G299" s="28" t="n">
        <v>0.45</v>
      </c>
      <c r="H299" s="28" t="inlineStr">
        <is>
          <t>KerEff</t>
        </is>
      </c>
      <c r="J299" s="8" t="n">
        <v>0.45</v>
      </c>
      <c r="K299" s="8" t="n">
        <v>0.45</v>
      </c>
      <c r="L299" s="8" t="n">
        <v>0.45</v>
      </c>
      <c r="M299" s="8" t="n">
        <v>0.45</v>
      </c>
      <c r="N299" s="8" t="n">
        <v>0.45</v>
      </c>
      <c r="O299" s="8" t="n">
        <v>0.45</v>
      </c>
    </row>
    <row r="300" hidden="1">
      <c r="B300" s="28" t="inlineStr">
        <is>
          <t>Biomass in residential implicit (cookstove) efficiency</t>
        </is>
      </c>
      <c r="C300" s="28" t="n"/>
      <c r="D300" s="28" t="n"/>
      <c r="E300" s="28" t="n"/>
      <c r="F300" s="28" t="n">
        <v>0.2</v>
      </c>
      <c r="G300" s="28" t="n">
        <v>0.2</v>
      </c>
      <c r="H300" s="28" t="inlineStr">
        <is>
          <t>BioEff</t>
        </is>
      </c>
      <c r="J300" s="8" t="n">
        <v>0.2</v>
      </c>
      <c r="K300" s="8" t="n">
        <v>0.2</v>
      </c>
      <c r="L300" s="8" t="n">
        <v>0.2</v>
      </c>
      <c r="M300" s="8" t="n">
        <v>0.2</v>
      </c>
      <c r="N300" s="8" t="n">
        <v>0.2</v>
      </c>
      <c r="O300" s="8" t="n">
        <v>0.2</v>
      </c>
    </row>
    <row r="301" hidden="1">
      <c r="B301" s="28" t="inlineStr">
        <is>
          <t>Natural gas in residential implicit (cookstove) efficiency</t>
        </is>
      </c>
      <c r="C301" s="28" t="n"/>
      <c r="D301" s="28" t="n"/>
      <c r="E301" s="28" t="n"/>
      <c r="F301" s="28" t="n">
        <v>0.58</v>
      </c>
      <c r="G301" s="28" t="n">
        <v>0.58</v>
      </c>
      <c r="H301" s="28" t="inlineStr">
        <is>
          <t>NatGasEff</t>
        </is>
      </c>
      <c r="J301" s="8" t="n">
        <v>0.58</v>
      </c>
      <c r="K301" s="8" t="n">
        <v>0.58</v>
      </c>
      <c r="L301" s="8" t="n">
        <v>0.58</v>
      </c>
      <c r="M301" s="8" t="n">
        <v>0.58</v>
      </c>
      <c r="N301" s="8" t="n">
        <v>0.58</v>
      </c>
      <c r="O301" s="8" t="n">
        <v>0.58</v>
      </c>
    </row>
    <row r="302" hidden="1">
      <c r="B302" s="28" t="inlineStr">
        <is>
          <t>Include producer-side subsidies as part of TCP measure</t>
        </is>
      </c>
      <c r="C302" s="28" t="inlineStr">
        <is>
          <t>switch</t>
        </is>
      </c>
      <c r="D302" s="28" t="n"/>
      <c r="E302" s="28" t="n"/>
      <c r="F302" s="28" t="inlineStr">
        <is>
          <t>No*</t>
        </is>
      </c>
      <c r="G302" s="28" t="inlineStr">
        <is>
          <t>No*</t>
        </is>
      </c>
      <c r="H302" s="28" t="inlineStr">
        <is>
          <t>PsInTCP</t>
        </is>
      </c>
      <c r="J302" s="8" t="inlineStr">
        <is>
          <t>No*</t>
        </is>
      </c>
      <c r="K302" s="8" t="inlineStr">
        <is>
          <t>No*</t>
        </is>
      </c>
      <c r="L302" s="8" t="inlineStr">
        <is>
          <t>No*</t>
        </is>
      </c>
      <c r="M302" s="8" t="inlineStr">
        <is>
          <t>No*</t>
        </is>
      </c>
      <c r="N302" s="8" t="inlineStr">
        <is>
          <t>No*</t>
        </is>
      </c>
      <c r="O302" s="8" t="inlineStr">
        <is>
          <t>No*</t>
        </is>
      </c>
    </row>
    <row r="303">
      <c r="B303" s="26" t="inlineStr">
        <is>
          <t>Distributional module assumptions</t>
        </is>
      </c>
    </row>
    <row r="304">
      <c r="B304" s="28" t="inlineStr">
        <is>
          <t>Analysis year for distributional module</t>
        </is>
      </c>
      <c r="C304" s="28" t="inlineStr">
        <is>
          <t>year</t>
        </is>
      </c>
      <c r="D304" s="28" t="n"/>
      <c r="E304" s="28" t="n"/>
      <c r="F304" s="28" t="n">
        <v>2030</v>
      </c>
      <c r="G304" s="28" t="n">
        <v>2030</v>
      </c>
      <c r="H304" s="28" t="inlineStr">
        <is>
          <t>YearDistn</t>
        </is>
      </c>
      <c r="J304" s="8" t="n">
        <v>2030</v>
      </c>
      <c r="K304" s="8" t="n">
        <v>2030</v>
      </c>
      <c r="L304" s="8" t="n">
        <v>2030</v>
      </c>
      <c r="M304" s="8" t="n">
        <v>2030</v>
      </c>
      <c r="N304" s="8" t="n">
        <v>2030</v>
      </c>
      <c r="O304" s="8" t="n">
        <v>2030</v>
      </c>
    </row>
    <row r="305">
      <c r="B305" s="28" t="inlineStr">
        <is>
          <t>Targeted transfer type</t>
        </is>
      </c>
      <c r="C305" s="28" t="inlineStr">
        <is>
          <t>switch</t>
        </is>
      </c>
      <c r="D305" s="28" t="n"/>
      <c r="E305" s="28" t="n"/>
      <c r="F305" s="28" t="inlineStr">
        <is>
          <t>Cash</t>
        </is>
      </c>
      <c r="G305" s="28" t="inlineStr">
        <is>
          <t>Cash</t>
        </is>
      </c>
      <c r="H305" s="28" t="inlineStr">
        <is>
          <t>TransferType</t>
        </is>
      </c>
      <c r="J305" s="8" t="inlineStr">
        <is>
          <t>Cash</t>
        </is>
      </c>
      <c r="K305" s="8" t="inlineStr">
        <is>
          <t>Cash</t>
        </is>
      </c>
      <c r="L305" s="8" t="inlineStr">
        <is>
          <t>Cash</t>
        </is>
      </c>
      <c r="M305" s="8" t="inlineStr">
        <is>
          <t>Cash</t>
        </is>
      </c>
      <c r="N305" s="8" t="inlineStr">
        <is>
          <t>Cash</t>
        </is>
      </c>
      <c r="O305" s="8" t="inlineStr">
        <is>
          <t>Cash</t>
        </is>
      </c>
    </row>
    <row r="306">
      <c r="B306" s="28" t="inlineStr">
        <is>
          <t>Target households below poverty line (2011 PPP$/day)</t>
        </is>
      </c>
      <c r="C306" s="28" t="inlineStr">
        <is>
          <t>number</t>
        </is>
      </c>
      <c r="D306" s="28" t="n"/>
      <c r="E306" s="28" t="n"/>
      <c r="F306" s="28" t="inlineStr">
        <is>
          <t>No</t>
        </is>
      </c>
      <c r="G306" s="28" t="inlineStr">
        <is>
          <t>No</t>
        </is>
      </c>
      <c r="H306" s="28" t="inlineStr">
        <is>
          <t>TargetBelow</t>
        </is>
      </c>
      <c r="J306" s="8" t="inlineStr">
        <is>
          <t>No</t>
        </is>
      </c>
      <c r="K306" s="8" t="inlineStr">
        <is>
          <t>No</t>
        </is>
      </c>
      <c r="L306" s="8" t="inlineStr">
        <is>
          <t>No</t>
        </is>
      </c>
      <c r="M306" s="8" t="inlineStr">
        <is>
          <t>No</t>
        </is>
      </c>
      <c r="N306" s="8" t="inlineStr">
        <is>
          <t>No</t>
        </is>
      </c>
      <c r="O306" s="8" t="inlineStr">
        <is>
          <t>No</t>
        </is>
      </c>
    </row>
    <row r="307">
      <c r="B307" s="28" t="inlineStr">
        <is>
          <t>Public/infrastructure investment type</t>
        </is>
      </c>
      <c r="C307" s="28" t="inlineStr">
        <is>
          <t>switch</t>
        </is>
      </c>
      <c r="D307" s="28" t="n"/>
      <c r="E307" s="28" t="n"/>
      <c r="F307" s="28" t="inlineStr">
        <is>
          <t>All Infr.</t>
        </is>
      </c>
      <c r="G307" s="28" t="inlineStr">
        <is>
          <t>All Infr.</t>
        </is>
      </c>
      <c r="H307" s="28" t="inlineStr">
        <is>
          <t>PublicInfrastructureInvType</t>
        </is>
      </c>
      <c r="J307" s="8" t="inlineStr">
        <is>
          <t>All Infr.</t>
        </is>
      </c>
      <c r="K307" s="8" t="inlineStr">
        <is>
          <t>All Infr.</t>
        </is>
      </c>
      <c r="L307" s="8" t="inlineStr">
        <is>
          <t>All Infr.</t>
        </is>
      </c>
      <c r="M307" s="8" t="inlineStr">
        <is>
          <t>All Infr.</t>
        </is>
      </c>
      <c r="N307" s="8" t="inlineStr">
        <is>
          <t>All Infr.</t>
        </is>
      </c>
      <c r="O307" s="8" t="inlineStr">
        <is>
          <t>All Infr.</t>
        </is>
      </c>
    </row>
    <row r="308">
      <c r="B308" s="28" t="inlineStr">
        <is>
          <t>Current spending type</t>
        </is>
      </c>
      <c r="C308" s="28" t="inlineStr">
        <is>
          <t>switch</t>
        </is>
      </c>
      <c r="D308" s="28" t="n"/>
      <c r="E308" s="28" t="n"/>
      <c r="F308" s="28" t="inlineStr">
        <is>
          <t>All Social Protection and Labor</t>
        </is>
      </c>
      <c r="G308" s="28" t="inlineStr">
        <is>
          <t>All Social Protection and Labor</t>
        </is>
      </c>
      <c r="H308" s="28" t="inlineStr">
        <is>
          <t>CurrentSpendingType</t>
        </is>
      </c>
      <c r="J308" s="8" t="inlineStr">
        <is>
          <t>All Social Protection and Labor</t>
        </is>
      </c>
      <c r="K308" s="8" t="inlineStr">
        <is>
          <t>All Social Protection and Labor</t>
        </is>
      </c>
      <c r="L308" s="8" t="inlineStr">
        <is>
          <t>All Social Protection and Labor</t>
        </is>
      </c>
      <c r="M308" s="8" t="inlineStr">
        <is>
          <t>All Social Protection and Labor</t>
        </is>
      </c>
      <c r="N308" s="8" t="inlineStr">
        <is>
          <t>All Social Protection and Labor</t>
        </is>
      </c>
      <c r="O308" s="8" t="inlineStr">
        <is>
          <t>All Social Protection and Labor</t>
        </is>
      </c>
    </row>
    <row r="309">
      <c r="B309" s="28" t="inlineStr">
        <is>
          <t>Personal Income Tax (PIT) reduction type</t>
        </is>
      </c>
      <c r="C309" s="28" t="inlineStr">
        <is>
          <t>switch</t>
        </is>
      </c>
      <c r="D309" s="28" t="n"/>
      <c r="E309" s="28" t="n"/>
      <c r="F309" s="28" t="inlineStr">
        <is>
          <t>Personal Allowance</t>
        </is>
      </c>
      <c r="G309" s="28" t="inlineStr">
        <is>
          <t>Personal Allowance</t>
        </is>
      </c>
      <c r="H309" s="28" t="inlineStr">
        <is>
          <t>PITReductionType</t>
        </is>
      </c>
      <c r="J309" s="8" t="inlineStr">
        <is>
          <t>Personal Allowance</t>
        </is>
      </c>
      <c r="K309" s="8" t="inlineStr">
        <is>
          <t>Personal Allowance</t>
        </is>
      </c>
      <c r="L309" s="8" t="inlineStr">
        <is>
          <t>Personal Allowance</t>
        </is>
      </c>
      <c r="M309" s="8" t="inlineStr">
        <is>
          <t>Personal Allowance</t>
        </is>
      </c>
      <c r="N309" s="8" t="inlineStr">
        <is>
          <t>Personal Allowance</t>
        </is>
      </c>
      <c r="O309" s="8" t="inlineStr">
        <is>
          <t>Personal Allowance</t>
        </is>
      </c>
    </row>
    <row r="310">
      <c r="B310" s="28" t="inlineStr">
        <is>
          <t>"Targeted Exemption" for bottom XX deciles</t>
        </is>
      </c>
      <c r="C310" s="28" t="inlineStr">
        <is>
          <t>number</t>
        </is>
      </c>
      <c r="D310" s="28" t="n"/>
      <c r="E310" s="28" t="n"/>
      <c r="F310" s="28" t="n">
        <v>4</v>
      </c>
      <c r="G310" s="28" t="n">
        <v>4</v>
      </c>
      <c r="H310" s="28" t="inlineStr">
        <is>
          <t>DistExcCfDec</t>
        </is>
      </c>
      <c r="J310" s="8" t="n">
        <v>4</v>
      </c>
      <c r="K310" s="8" t="n">
        <v>4</v>
      </c>
      <c r="L310" s="8" t="n">
        <v>4</v>
      </c>
      <c r="M310" s="8" t="n">
        <v>4</v>
      </c>
      <c r="N310" s="8" t="n">
        <v>4</v>
      </c>
      <c r="O310" s="8" t="n">
        <v>4</v>
      </c>
    </row>
    <row r="311">
      <c r="B311" s="28" t="inlineStr">
        <is>
          <t>Replace missing labor tax data, grouping by country</t>
        </is>
      </c>
      <c r="C311" s="28" t="inlineStr">
        <is>
          <t>switch</t>
        </is>
      </c>
      <c r="D311" s="28" t="n"/>
      <c r="E311" s="28" t="n"/>
      <c r="F311" s="28" t="inlineStr">
        <is>
          <t>income</t>
        </is>
      </c>
      <c r="G311" s="28" t="inlineStr">
        <is>
          <t>income</t>
        </is>
      </c>
      <c r="H311" s="28" t="inlineStr">
        <is>
          <t>MissingDataReplacement</t>
        </is>
      </c>
      <c r="J311" s="8" t="inlineStr">
        <is>
          <t>income</t>
        </is>
      </c>
      <c r="K311" s="8" t="inlineStr">
        <is>
          <t>income</t>
        </is>
      </c>
      <c r="L311" s="8" t="inlineStr">
        <is>
          <t>income</t>
        </is>
      </c>
      <c r="M311" s="8" t="inlineStr">
        <is>
          <t>income</t>
        </is>
      </c>
      <c r="N311" s="8" t="inlineStr">
        <is>
          <t>income</t>
        </is>
      </c>
      <c r="O311" s="8" t="inlineStr">
        <is>
          <t>income</t>
        </is>
      </c>
    </row>
    <row r="312">
      <c r="B312" s="28" t="inlineStr">
        <is>
          <t>Exempt most-used cooking fossil fuel?</t>
        </is>
      </c>
      <c r="C312" s="28" t="inlineStr">
        <is>
          <t>switch</t>
        </is>
      </c>
      <c r="D312" s="28" t="n"/>
      <c r="E312" s="28" t="n"/>
      <c r="F312" s="28" t="inlineStr">
        <is>
          <t>No</t>
        </is>
      </c>
      <c r="G312" s="28" t="inlineStr">
        <is>
          <t>No</t>
        </is>
      </c>
      <c r="H312" s="28" t="inlineStr">
        <is>
          <t>ExemptMostCook</t>
        </is>
      </c>
      <c r="J312" s="8" t="inlineStr">
        <is>
          <t>No</t>
        </is>
      </c>
      <c r="K312" s="8" t="inlineStr">
        <is>
          <t>No</t>
        </is>
      </c>
      <c r="L312" s="8" t="inlineStr">
        <is>
          <t>No</t>
        </is>
      </c>
      <c r="M312" s="8" t="inlineStr">
        <is>
          <t>No</t>
        </is>
      </c>
      <c r="N312" s="8" t="inlineStr">
        <is>
          <t>No</t>
        </is>
      </c>
      <c r="O312" s="8" t="inlineStr">
        <is>
          <t>No</t>
        </is>
      </c>
    </row>
    <row r="313">
      <c r="B313" s="28" t="inlineStr">
        <is>
          <t>Exempt cooking fossil fuel for bottom XX deciles:</t>
        </is>
      </c>
      <c r="C313" s="28" t="inlineStr">
        <is>
          <t>switch</t>
        </is>
      </c>
      <c r="D313" s="28" t="n"/>
      <c r="E313" s="28" t="n"/>
      <c r="F313" s="28" t="n">
        <v>4</v>
      </c>
      <c r="G313" s="28" t="n">
        <v>4</v>
      </c>
      <c r="H313" s="28" t="inlineStr">
        <is>
          <t>ExemptCookDeciles</t>
        </is>
      </c>
      <c r="J313" s="8" t="n">
        <v>4</v>
      </c>
      <c r="K313" s="8" t="n">
        <v>4</v>
      </c>
      <c r="L313" s="8" t="n">
        <v>4</v>
      </c>
      <c r="M313" s="8" t="n">
        <v>4</v>
      </c>
      <c r="N313" s="8" t="n">
        <v>4</v>
      </c>
      <c r="O313" s="8" t="n">
        <v>4</v>
      </c>
    </row>
    <row r="314">
      <c r="B314" s="28" t="inlineStr">
        <is>
          <t>Adjust for behavioral &amp; structural change?</t>
        </is>
      </c>
      <c r="C314" s="28" t="inlineStr">
        <is>
          <t>switch</t>
        </is>
      </c>
      <c r="D314" s="28" t="n"/>
      <c r="E314" s="28" t="n"/>
      <c r="F314" s="28" t="inlineStr">
        <is>
          <t>No</t>
        </is>
      </c>
      <c r="G314" s="28" t="inlineStr">
        <is>
          <t>No</t>
        </is>
      </c>
      <c r="H314" s="28" t="inlineStr">
        <is>
          <t>InferredDist</t>
        </is>
      </c>
      <c r="J314" s="8" t="inlineStr">
        <is>
          <t>No</t>
        </is>
      </c>
      <c r="K314" s="8" t="inlineStr">
        <is>
          <t>No</t>
        </is>
      </c>
      <c r="L314" s="8" t="inlineStr">
        <is>
          <t>No</t>
        </is>
      </c>
      <c r="M314" s="8" t="inlineStr">
        <is>
          <t>No</t>
        </is>
      </c>
      <c r="N314" s="8" t="inlineStr">
        <is>
          <t>No</t>
        </is>
      </c>
      <c r="O314" s="8" t="inlineStr">
        <is>
          <t>No</t>
        </is>
      </c>
    </row>
    <row r="315">
      <c r="B315" s="28" t="inlineStr">
        <is>
          <t>Include decile-specific price elasticities?</t>
        </is>
      </c>
      <c r="C315" s="28" t="inlineStr">
        <is>
          <t>switch</t>
        </is>
      </c>
      <c r="D315" s="28" t="n"/>
      <c r="E315" s="28" t="n"/>
      <c r="F315" s="28" t="inlineStr">
        <is>
          <t>Yes</t>
        </is>
      </c>
      <c r="G315" s="28" t="inlineStr">
        <is>
          <t>Yes</t>
        </is>
      </c>
      <c r="H315" s="28" t="inlineStr">
        <is>
          <t>PEDs</t>
        </is>
      </c>
      <c r="J315" s="8" t="inlineStr">
        <is>
          <t>Yes</t>
        </is>
      </c>
      <c r="K315" s="8" t="inlineStr">
        <is>
          <t>Yes</t>
        </is>
      </c>
      <c r="L315" s="8" t="inlineStr">
        <is>
          <t>Yes</t>
        </is>
      </c>
      <c r="M315" s="8" t="inlineStr">
        <is>
          <t>Yes</t>
        </is>
      </c>
      <c r="N315" s="8" t="inlineStr">
        <is>
          <t>Yes</t>
        </is>
      </c>
      <c r="O315" s="8" t="inlineStr">
        <is>
          <t>Yes</t>
        </is>
      </c>
    </row>
    <row r="316">
      <c r="B316" s="28" t="inlineStr">
        <is>
          <t>Adjust GTAP-implied CP revenues to CPAT?</t>
        </is>
      </c>
      <c r="C316" s="28" t="inlineStr">
        <is>
          <t>switch</t>
        </is>
      </c>
      <c r="D316" s="28" t="n"/>
      <c r="E316" s="28" t="n"/>
      <c r="F316" s="28" t="inlineStr">
        <is>
          <t>Yes</t>
        </is>
      </c>
      <c r="G316" s="28" t="inlineStr">
        <is>
          <t>Yes</t>
        </is>
      </c>
      <c r="H316" s="28" t="inlineStr">
        <is>
          <t>ScaleGTAP</t>
        </is>
      </c>
      <c r="J316" s="8" t="inlineStr">
        <is>
          <t>Yes</t>
        </is>
      </c>
      <c r="K316" s="8" t="inlineStr">
        <is>
          <t>Yes</t>
        </is>
      </c>
      <c r="L316" s="8" t="inlineStr">
        <is>
          <t>Yes</t>
        </is>
      </c>
      <c r="M316" s="8" t="inlineStr">
        <is>
          <t>Yes</t>
        </is>
      </c>
      <c r="N316" s="8" t="inlineStr">
        <is>
          <t>Yes</t>
        </is>
      </c>
      <c r="O316" s="8" t="inlineStr">
        <is>
          <t>Yes</t>
        </is>
      </c>
    </row>
    <row r="317">
      <c r="B317" s="28" t="inlineStr">
        <is>
          <t>Adjust for deadweight losses?</t>
        </is>
      </c>
      <c r="C317" s="28" t="inlineStr">
        <is>
          <t>switch</t>
        </is>
      </c>
      <c r="D317" s="28" t="n"/>
      <c r="E317" s="28" t="n"/>
      <c r="F317" s="28" t="inlineStr">
        <is>
          <t>No</t>
        </is>
      </c>
      <c r="G317" s="28" t="inlineStr">
        <is>
          <t>No</t>
        </is>
      </c>
      <c r="H317" s="28" t="inlineStr">
        <is>
          <t>DWLs</t>
        </is>
      </c>
      <c r="J317" s="8" t="inlineStr">
        <is>
          <t>No</t>
        </is>
      </c>
      <c r="K317" s="8" t="inlineStr">
        <is>
          <t>No</t>
        </is>
      </c>
      <c r="L317" s="8" t="inlineStr">
        <is>
          <t>No</t>
        </is>
      </c>
      <c r="M317" s="8" t="inlineStr">
        <is>
          <t>No</t>
        </is>
      </c>
      <c r="N317" s="8" t="inlineStr">
        <is>
          <t>No</t>
        </is>
      </c>
      <c r="O317" s="8" t="inlineStr">
        <is>
          <t>No</t>
        </is>
      </c>
    </row>
    <row r="318">
      <c r="B318" s="28" t="inlineStr">
        <is>
          <t>Imperfect pass-through?</t>
        </is>
      </c>
      <c r="C318" s="28" t="inlineStr">
        <is>
          <t>switch</t>
        </is>
      </c>
      <c r="D318" s="28" t="n"/>
      <c r="E318" s="28" t="n"/>
      <c r="F318" s="28" t="inlineStr">
        <is>
          <t>No</t>
        </is>
      </c>
      <c r="G318" s="28" t="inlineStr">
        <is>
          <t>No</t>
        </is>
      </c>
      <c r="H318" s="28" t="inlineStr">
        <is>
          <t>PassthroughDist</t>
        </is>
      </c>
      <c r="J318" s="8" t="inlineStr">
        <is>
          <t>No</t>
        </is>
      </c>
      <c r="K318" s="8" t="inlineStr">
        <is>
          <t>No</t>
        </is>
      </c>
      <c r="L318" s="8" t="inlineStr">
        <is>
          <t>No</t>
        </is>
      </c>
      <c r="M318" s="8" t="inlineStr">
        <is>
          <t>No</t>
        </is>
      </c>
      <c r="N318" s="8" t="inlineStr">
        <is>
          <t>No</t>
        </is>
      </c>
      <c r="O318" s="8" t="inlineStr">
        <is>
          <t>No</t>
        </is>
      </c>
    </row>
    <row r="319">
      <c r="B319" s="28" t="inlineStr">
        <is>
          <t>Impacts for average, median, p25, or p75?</t>
        </is>
      </c>
      <c r="C319" s="28" t="inlineStr">
        <is>
          <t>switch</t>
        </is>
      </c>
      <c r="D319" s="28" t="n"/>
      <c r="E319" s="28" t="n"/>
      <c r="F319" s="28" t="inlineStr">
        <is>
          <t>mean</t>
        </is>
      </c>
      <c r="G319" s="28" t="inlineStr">
        <is>
          <t>mean</t>
        </is>
      </c>
      <c r="H319" s="28" t="inlineStr">
        <is>
          <t>QuantilesStatistic</t>
        </is>
      </c>
      <c r="J319" s="8" t="inlineStr">
        <is>
          <t>mean</t>
        </is>
      </c>
      <c r="K319" s="8" t="inlineStr">
        <is>
          <t>mean</t>
        </is>
      </c>
      <c r="L319" s="8" t="inlineStr">
        <is>
          <t>mean</t>
        </is>
      </c>
      <c r="M319" s="8" t="inlineStr">
        <is>
          <t>mean</t>
        </is>
      </c>
      <c r="N319" s="8" t="inlineStr">
        <is>
          <t>mean</t>
        </is>
      </c>
      <c r="O319" s="8" t="inlineStr">
        <is>
          <t>mean</t>
        </is>
      </c>
    </row>
    <row r="320">
      <c r="B320" s="28" t="inlineStr">
        <is>
          <t>Quantiles in LCU?</t>
        </is>
      </c>
      <c r="C320" s="28" t="inlineStr">
        <is>
          <t>switch</t>
        </is>
      </c>
      <c r="D320" s="28" t="n"/>
      <c r="E320" s="28" t="n"/>
      <c r="F320" s="28" t="inlineStr">
        <is>
          <t>No</t>
        </is>
      </c>
      <c r="G320" s="28" t="inlineStr">
        <is>
          <t>No</t>
        </is>
      </c>
      <c r="H320" s="28" t="inlineStr">
        <is>
          <t>QuantilesLCU</t>
        </is>
      </c>
      <c r="J320" s="8" t="inlineStr">
        <is>
          <t>No</t>
        </is>
      </c>
      <c r="K320" s="8" t="inlineStr">
        <is>
          <t>No</t>
        </is>
      </c>
      <c r="L320" s="8" t="inlineStr">
        <is>
          <t>No</t>
        </is>
      </c>
      <c r="M320" s="8" t="inlineStr">
        <is>
          <t>No</t>
        </is>
      </c>
      <c r="N320" s="8" t="inlineStr">
        <is>
          <t>No</t>
        </is>
      </c>
      <c r="O320" s="8" t="inlineStr">
        <is>
          <t>No</t>
        </is>
      </c>
    </row>
    <row r="321" hidden="1">
      <c r="B321" s="26" t="inlineStr">
        <is>
          <t>Air pollution module assumptions</t>
        </is>
      </c>
    </row>
    <row r="322" hidden="1">
      <c r="A322" t="inlineStr">
        <is>
          <t>X</t>
        </is>
      </c>
      <c r="B322" s="28" t="inlineStr">
        <is>
          <t>Emissions to concentrations, PM2.5</t>
        </is>
      </c>
      <c r="C322" s="28" t="inlineStr">
        <is>
          <t>switch</t>
        </is>
      </c>
      <c r="D322" s="28" t="n"/>
      <c r="E322" s="28" t="n"/>
      <c r="F322" s="28" t="inlineStr">
        <is>
          <t>Local study-FASST</t>
        </is>
      </c>
      <c r="G322" s="28" t="inlineStr">
        <is>
          <t>Avg. iF and LS FASST*</t>
        </is>
      </c>
      <c r="H322" s="28" t="inlineStr">
        <is>
          <t>SourceAppSel</t>
        </is>
      </c>
      <c r="J322" s="8" t="inlineStr">
        <is>
          <t>Local study-FASST</t>
        </is>
      </c>
      <c r="K322" s="8" t="inlineStr">
        <is>
          <t>Local study-FASST</t>
        </is>
      </c>
      <c r="L322" s="8" t="inlineStr">
        <is>
          <t>Local study-FASST</t>
        </is>
      </c>
      <c r="M322" s="8" t="inlineStr">
        <is>
          <t>Local study-FASST</t>
        </is>
      </c>
      <c r="N322" s="8" t="inlineStr">
        <is>
          <t>Local study-FASST</t>
        </is>
      </c>
      <c r="O322" s="8" t="inlineStr">
        <is>
          <t>Local study-FASST</t>
        </is>
      </c>
    </row>
    <row r="323" hidden="1">
      <c r="B323" s="28" t="inlineStr">
        <is>
          <t>Emissions to concentrations, Ozone</t>
        </is>
      </c>
      <c r="C323" s="28" t="inlineStr">
        <is>
          <t>switch</t>
        </is>
      </c>
      <c r="D323" s="28" t="n"/>
      <c r="E323" s="28" t="n"/>
      <c r="F323" s="28" t="inlineStr">
        <is>
          <t>TM5-FASST</t>
        </is>
      </c>
      <c r="G323" s="28" t="inlineStr">
        <is>
          <t>TM5-FASST</t>
        </is>
      </c>
      <c r="H323" s="28" t="inlineStr">
        <is>
          <t>SourceAppO3</t>
        </is>
      </c>
      <c r="J323" s="8" t="inlineStr">
        <is>
          <t>TM5-FASST</t>
        </is>
      </c>
      <c r="K323" s="8" t="inlineStr">
        <is>
          <t>TM5-FASST</t>
        </is>
      </c>
      <c r="L323" s="8" t="inlineStr">
        <is>
          <t>TM5-FASST</t>
        </is>
      </c>
      <c r="M323" s="8" t="inlineStr">
        <is>
          <t>TM5-FASST</t>
        </is>
      </c>
      <c r="N323" s="8" t="inlineStr">
        <is>
          <t>TM5-FASST</t>
        </is>
      </c>
      <c r="O323" s="8" t="inlineStr">
        <is>
          <t>TM5-FASST</t>
        </is>
      </c>
    </row>
    <row r="324" hidden="1">
      <c r="B324" s="28" t="inlineStr">
        <is>
          <t>Emission factors</t>
        </is>
      </c>
      <c r="C324" s="28" t="inlineStr">
        <is>
          <t>switch</t>
        </is>
      </c>
      <c r="D324" s="28" t="n"/>
      <c r="E324" s="28" t="n"/>
      <c r="F324" s="28" t="inlineStr">
        <is>
          <t>Average</t>
        </is>
      </c>
      <c r="G324" s="28" t="inlineStr">
        <is>
          <t>Average</t>
        </is>
      </c>
      <c r="H324" s="28" t="inlineStr">
        <is>
          <t>EFSel</t>
        </is>
      </c>
      <c r="J324" s="8" t="inlineStr">
        <is>
          <t>Average</t>
        </is>
      </c>
      <c r="K324" s="8" t="inlineStr">
        <is>
          <t>Average</t>
        </is>
      </c>
      <c r="L324" s="8" t="inlineStr">
        <is>
          <t>Average</t>
        </is>
      </c>
      <c r="M324" s="8" t="inlineStr">
        <is>
          <t>Average</t>
        </is>
      </c>
      <c r="N324" s="8" t="inlineStr">
        <is>
          <t>Average</t>
        </is>
      </c>
      <c r="O324" s="8" t="inlineStr">
        <is>
          <t>Average</t>
        </is>
      </c>
    </row>
    <row r="325" hidden="1">
      <c r="B325" s="28" t="inlineStr">
        <is>
          <t>Include leakage to biomass in residential sector</t>
        </is>
      </c>
      <c r="C325" s="28" t="inlineStr">
        <is>
          <t>switch</t>
        </is>
      </c>
      <c r="D325" s="28" t="n"/>
      <c r="E325" s="28" t="n"/>
      <c r="F325" s="28" t="inlineStr">
        <is>
          <t>No</t>
        </is>
      </c>
      <c r="G325" s="28" t="inlineStr">
        <is>
          <t>No</t>
        </is>
      </c>
      <c r="H325" s="28" t="inlineStr">
        <is>
          <t>BiomassLeakage</t>
        </is>
      </c>
      <c r="J325" s="8" t="inlineStr">
        <is>
          <t>No</t>
        </is>
      </c>
      <c r="K325" s="8" t="inlineStr">
        <is>
          <t>No</t>
        </is>
      </c>
      <c r="L325" s="8" t="inlineStr">
        <is>
          <t>No</t>
        </is>
      </c>
      <c r="M325" s="8" t="inlineStr">
        <is>
          <t>No</t>
        </is>
      </c>
      <c r="N325" s="8" t="inlineStr">
        <is>
          <t>No</t>
        </is>
      </c>
      <c r="O325" s="8" t="inlineStr">
        <is>
          <t>No</t>
        </is>
      </c>
    </row>
    <row r="326" hidden="1">
      <c r="B326" s="28" t="inlineStr">
        <is>
          <t>Biomass is a normal good</t>
        </is>
      </c>
      <c r="C326" s="28" t="inlineStr">
        <is>
          <t>switch</t>
        </is>
      </c>
      <c r="D326" s="28" t="n"/>
      <c r="E326" s="28" t="n"/>
      <c r="F326" s="28" t="inlineStr">
        <is>
          <t>No</t>
        </is>
      </c>
      <c r="G326" s="28" t="inlineStr">
        <is>
          <t>No</t>
        </is>
      </c>
      <c r="H326" s="28" t="inlineStr">
        <is>
          <t>BiomassNormal</t>
        </is>
      </c>
      <c r="J326" s="8" t="inlineStr">
        <is>
          <t>No</t>
        </is>
      </c>
      <c r="K326" s="8" t="inlineStr">
        <is>
          <t>No</t>
        </is>
      </c>
      <c r="L326" s="8" t="inlineStr">
        <is>
          <t>No</t>
        </is>
      </c>
      <c r="M326" s="8" t="inlineStr">
        <is>
          <t>No</t>
        </is>
      </c>
      <c r="N326" s="8" t="inlineStr">
        <is>
          <t>No</t>
        </is>
      </c>
      <c r="O326" s="8" t="inlineStr">
        <is>
          <t>No</t>
        </is>
      </c>
    </row>
    <row r="327" hidden="1">
      <c r="A327" t="inlineStr">
        <is>
          <t>X</t>
        </is>
      </c>
      <c r="B327" s="28" t="inlineStr">
        <is>
          <t>VSL source</t>
        </is>
      </c>
      <c r="C327" s="28" t="inlineStr">
        <is>
          <t>switch</t>
        </is>
      </c>
      <c r="D327" s="28" t="n"/>
      <c r="E327" s="28" t="n"/>
      <c r="F327" s="28" t="inlineStr">
        <is>
          <t>Transfer from Group</t>
        </is>
      </c>
      <c r="G327" s="28" t="inlineStr">
        <is>
          <t>Transfer from OECD</t>
        </is>
      </c>
      <c r="H327" s="28" t="inlineStr">
        <is>
          <t>VSLMethod</t>
        </is>
      </c>
      <c r="J327" s="8" t="inlineStr">
        <is>
          <t>Transfer from Group</t>
        </is>
      </c>
      <c r="K327" s="8" t="inlineStr">
        <is>
          <t>Transfer from Group</t>
        </is>
      </c>
      <c r="L327" s="8" t="inlineStr">
        <is>
          <t>Transfer from Group</t>
        </is>
      </c>
      <c r="M327" s="8" t="inlineStr">
        <is>
          <t>Transfer from Group</t>
        </is>
      </c>
      <c r="N327" s="8" t="inlineStr">
        <is>
          <t>Transfer from Group</t>
        </is>
      </c>
      <c r="O327" s="8" t="inlineStr">
        <is>
          <t>Transfer from Group</t>
        </is>
      </c>
    </row>
    <row r="328" hidden="1">
      <c r="B328" s="28" t="inlineStr">
        <is>
          <t>VSL (where manual source)</t>
        </is>
      </c>
      <c r="C328" s="28" t="inlineStr">
        <is>
          <t>switch</t>
        </is>
      </c>
      <c r="D328" s="28" t="n"/>
      <c r="E328" s="28" t="n"/>
      <c r="F328" s="28" t="n">
        <v>500000</v>
      </c>
      <c r="G328" s="28" t="n">
        <v>500000</v>
      </c>
      <c r="H328" s="28" t="inlineStr">
        <is>
          <t>VSLManual</t>
        </is>
      </c>
      <c r="J328" s="8" t="n">
        <v>500000</v>
      </c>
      <c r="K328" s="8" t="n">
        <v>500000</v>
      </c>
      <c r="L328" s="8" t="n">
        <v>500000</v>
      </c>
      <c r="M328" s="8" t="n">
        <v>500000</v>
      </c>
      <c r="N328" s="8" t="n">
        <v>500000</v>
      </c>
      <c r="O328" s="8" t="n">
        <v>500000</v>
      </c>
    </row>
    <row r="329" hidden="1">
      <c r="B329" s="28" t="inlineStr">
        <is>
          <t>Discount rate selection</t>
        </is>
      </c>
      <c r="C329" s="28" t="inlineStr">
        <is>
          <t>switch</t>
        </is>
      </c>
      <c r="D329" s="28" t="n"/>
      <c r="E329" s="28" t="n"/>
      <c r="F329" s="28" t="inlineStr">
        <is>
          <t>3% (Robinson 2019)</t>
        </is>
      </c>
      <c r="G329" s="28" t="inlineStr">
        <is>
          <t>3% (Robinson 2019)</t>
        </is>
      </c>
      <c r="H329" s="28" t="inlineStr">
        <is>
          <t>DiscSel</t>
        </is>
      </c>
      <c r="J329" s="8" t="inlineStr">
        <is>
          <t>3% (Robinson 2019)</t>
        </is>
      </c>
      <c r="K329" s="8" t="inlineStr">
        <is>
          <t>3% (Robinson 2019)</t>
        </is>
      </c>
      <c r="L329" s="8" t="inlineStr">
        <is>
          <t>3% (Robinson 2019)</t>
        </is>
      </c>
      <c r="M329" s="8" t="inlineStr">
        <is>
          <t>3% (Robinson 2019)</t>
        </is>
      </c>
      <c r="N329" s="8" t="inlineStr">
        <is>
          <t>3% (Robinson 2019)</t>
        </is>
      </c>
      <c r="O329" s="8" t="inlineStr">
        <is>
          <t>3% (Robinson 2019)</t>
        </is>
      </c>
    </row>
    <row r="330" hidden="1">
      <c r="B330" s="28" t="inlineStr">
        <is>
          <t>Discount rate (where manual source)</t>
        </is>
      </c>
      <c r="C330" s="28" t="inlineStr">
        <is>
          <t>switch</t>
        </is>
      </c>
      <c r="D330" s="28" t="n"/>
      <c r="E330" s="28" t="n"/>
      <c r="F330" s="28" t="n">
        <v>0.03</v>
      </c>
      <c r="G330" s="28" t="n">
        <v>0.03</v>
      </c>
      <c r="H330" s="28" t="inlineStr">
        <is>
          <t>DiscRate</t>
        </is>
      </c>
      <c r="J330" s="8" t="n">
        <v>0.03</v>
      </c>
      <c r="K330" s="8" t="n">
        <v>0.03</v>
      </c>
      <c r="L330" s="8" t="n">
        <v>0.03</v>
      </c>
      <c r="M330" s="8" t="n">
        <v>0.03</v>
      </c>
      <c r="N330" s="8" t="n">
        <v>0.03</v>
      </c>
      <c r="O330" s="8" t="n">
        <v>0.03</v>
      </c>
    </row>
    <row r="331" hidden="1">
      <c r="B331" s="26" t="inlineStr">
        <is>
          <t>Other assumptions: air pollution module</t>
        </is>
      </c>
    </row>
    <row r="332" hidden="1">
      <c r="B332" s="28" t="inlineStr">
        <is>
          <t>Number of working days per month</t>
        </is>
      </c>
      <c r="C332" s="28" t="inlineStr">
        <is>
          <t>days</t>
        </is>
      </c>
      <c r="D332" s="28" t="n"/>
      <c r="E332" s="28" t="n"/>
      <c r="F332" s="28" t="n">
        <v>20</v>
      </c>
      <c r="G332" s="28" t="n">
        <v>20</v>
      </c>
      <c r="H332" s="28" t="inlineStr">
        <is>
          <t>WorkDays</t>
        </is>
      </c>
      <c r="J332" s="8" t="n">
        <v>20</v>
      </c>
      <c r="K332" s="8" t="n">
        <v>20</v>
      </c>
      <c r="L332" s="8" t="n">
        <v>20</v>
      </c>
      <c r="M332" s="8" t="n">
        <v>20</v>
      </c>
      <c r="N332" s="8" t="n">
        <v>20</v>
      </c>
      <c r="O332" s="8" t="n">
        <v>20</v>
      </c>
    </row>
    <row r="333" hidden="1">
      <c r="B333" s="28" t="inlineStr">
        <is>
          <t>Labor share of GDP, default value</t>
        </is>
      </c>
      <c r="C333" s="28" t="inlineStr">
        <is>
          <t>%</t>
        </is>
      </c>
      <c r="D333" s="28" t="n"/>
      <c r="E333" s="28" t="n"/>
      <c r="F333" s="28" t="n">
        <v>0.65</v>
      </c>
      <c r="G333" s="28" t="n">
        <v>0.65</v>
      </c>
      <c r="H333" s="28" t="inlineStr">
        <is>
          <t>ApLabSh</t>
        </is>
      </c>
      <c r="J333" s="8" t="n">
        <v>0.65</v>
      </c>
      <c r="K333" s="8" t="n">
        <v>0.65</v>
      </c>
      <c r="L333" s="8" t="n">
        <v>0.65</v>
      </c>
      <c r="M333" s="8" t="n">
        <v>0.65</v>
      </c>
      <c r="N333" s="8" t="n">
        <v>0.65</v>
      </c>
      <c r="O333" s="8" t="n">
        <v>0.65</v>
      </c>
    </row>
    <row r="334" hidden="1">
      <c r="B334" s="28" t="inlineStr">
        <is>
          <t>Max % of households using solid fuels</t>
        </is>
      </c>
      <c r="C334" s="28" t="inlineStr">
        <is>
          <t>%</t>
        </is>
      </c>
      <c r="D334" s="28" t="n"/>
      <c r="E334" s="28" t="n"/>
      <c r="F334" s="28" t="n">
        <v>0.99</v>
      </c>
      <c r="G334" s="28" t="n">
        <v>0.99</v>
      </c>
      <c r="H334" s="28" t="inlineStr">
        <is>
          <t>ApMaxSs</t>
        </is>
      </c>
      <c r="J334" s="8" t="n">
        <v>0.99</v>
      </c>
      <c r="K334" s="8" t="n">
        <v>0.99</v>
      </c>
      <c r="L334" s="8" t="n">
        <v>0.99</v>
      </c>
      <c r="M334" s="8" t="n">
        <v>0.99</v>
      </c>
      <c r="N334" s="8" t="n">
        <v>0.99</v>
      </c>
      <c r="O334" s="8" t="n">
        <v>0.99</v>
      </c>
    </row>
    <row r="335" hidden="1">
      <c r="B335" s="28" t="inlineStr">
        <is>
          <t>Leakage converted into % HH using solid fuels</t>
        </is>
      </c>
      <c r="C335" s="28" t="inlineStr">
        <is>
          <t>%</t>
        </is>
      </c>
      <c r="D335" s="28" t="n"/>
      <c r="E335" s="28" t="n"/>
      <c r="F335" s="28" t="n">
        <v>0.5</v>
      </c>
      <c r="G335" s="28" t="n">
        <v>0.5</v>
      </c>
      <c r="H335" s="28" t="inlineStr">
        <is>
          <t>ApLeakHh</t>
        </is>
      </c>
      <c r="J335" s="8" t="n">
        <v>0.5</v>
      </c>
      <c r="K335" s="8" t="n">
        <v>0.5</v>
      </c>
      <c r="L335" s="8" t="n">
        <v>0.5</v>
      </c>
      <c r="M335" s="8" t="n">
        <v>0.5</v>
      </c>
      <c r="N335" s="8" t="n">
        <v>0.5</v>
      </c>
      <c r="O335" s="8" t="n">
        <v>0.5</v>
      </c>
    </row>
    <row r="336" hidden="1">
      <c r="B336" s="28" t="inlineStr">
        <is>
          <t>Apply cessation lag when discounting averted deaths</t>
        </is>
      </c>
      <c r="C336" s="28" t="inlineStr">
        <is>
          <t>switch</t>
        </is>
      </c>
      <c r="D336" s="28" t="n"/>
      <c r="E336" s="28" t="n"/>
      <c r="F336" s="28" t="inlineStr">
        <is>
          <t>Yes</t>
        </is>
      </c>
      <c r="G336" s="28" t="inlineStr">
        <is>
          <t>Yes</t>
        </is>
      </c>
      <c r="H336" s="28" t="inlineStr">
        <is>
          <t>ApCessLag</t>
        </is>
      </c>
      <c r="J336" s="8" t="inlineStr">
        <is>
          <t>Yes</t>
        </is>
      </c>
      <c r="K336" s="8" t="inlineStr">
        <is>
          <t>Yes</t>
        </is>
      </c>
      <c r="L336" s="8" t="inlineStr">
        <is>
          <t>Yes</t>
        </is>
      </c>
      <c r="M336" s="8" t="inlineStr">
        <is>
          <t>Yes</t>
        </is>
      </c>
      <c r="N336" s="8" t="inlineStr">
        <is>
          <t>Yes</t>
        </is>
      </c>
      <c r="O336" s="8" t="inlineStr">
        <is>
          <t>Yes</t>
        </is>
      </c>
    </row>
    <row r="337" hidden="1">
      <c r="B337" s="26" t="inlineStr">
        <is>
          <t>Transportation</t>
        </is>
      </c>
    </row>
    <row r="338" hidden="1">
      <c r="B338" s="28" t="inlineStr">
        <is>
          <t>Engineering or elasticity model</t>
        </is>
      </c>
      <c r="C338" s="28" t="inlineStr">
        <is>
          <t>option</t>
        </is>
      </c>
      <c r="D338" s="28" t="n"/>
      <c r="E338" s="28" t="n"/>
      <c r="F338" s="28" t="inlineStr">
        <is>
          <t>Elasticity</t>
        </is>
      </c>
      <c r="G338" s="28" t="inlineStr">
        <is>
          <t>Engineer</t>
        </is>
      </c>
      <c r="H338" s="28" t="inlineStr">
        <is>
          <t>TrModel</t>
        </is>
      </c>
      <c r="J338" s="8" t="inlineStr">
        <is>
          <t>Elasticity</t>
        </is>
      </c>
      <c r="K338" s="8" t="inlineStr">
        <is>
          <t>Elasticity</t>
        </is>
      </c>
      <c r="L338" s="8" t="inlineStr">
        <is>
          <t>Elasticity</t>
        </is>
      </c>
      <c r="M338" s="8" t="inlineStr">
        <is>
          <t>Elasticity</t>
        </is>
      </c>
      <c r="N338" s="8" t="inlineStr">
        <is>
          <t>Elasticity</t>
        </is>
      </c>
      <c r="O338" s="8" t="inlineStr">
        <is>
          <t>Elasticity</t>
        </is>
      </c>
    </row>
    <row r="339" hidden="1">
      <c r="B339" s="26" t="inlineStr">
        <is>
          <t>Power Sector</t>
        </is>
      </c>
    </row>
    <row r="340" hidden="1">
      <c r="B340" s="28" t="inlineStr">
        <is>
          <t>Power Rebate</t>
        </is>
      </c>
      <c r="C340" s="28" t="inlineStr">
        <is>
          <t>switch</t>
        </is>
      </c>
      <c r="D340" s="28" t="n"/>
      <c r="E340" s="28" t="n"/>
      <c r="F340" s="28" t="inlineStr">
        <is>
          <t>No*</t>
        </is>
      </c>
      <c r="G340" s="28" t="inlineStr">
        <is>
          <t>No*</t>
        </is>
      </c>
      <c r="H340" s="28" t="inlineStr">
        <is>
          <t>PowerRebates</t>
        </is>
      </c>
      <c r="J340" s="8" t="inlineStr">
        <is>
          <t>No*</t>
        </is>
      </c>
      <c r="K340" s="8" t="inlineStr">
        <is>
          <t>No*</t>
        </is>
      </c>
      <c r="L340" s="8" t="inlineStr">
        <is>
          <t>No*</t>
        </is>
      </c>
      <c r="M340" s="8" t="inlineStr">
        <is>
          <t>No*</t>
        </is>
      </c>
      <c r="N340" s="8" t="inlineStr">
        <is>
          <t>No*</t>
        </is>
      </c>
      <c r="O340" s="8" t="inlineStr">
        <is>
          <t>No*</t>
        </is>
      </c>
    </row>
    <row r="341" hidden="1">
      <c r="B341" s="28" t="inlineStr">
        <is>
          <t>Power price: portion of cost change passed-on:</t>
        </is>
      </c>
      <c r="C341" s="28" t="n"/>
      <c r="D341" s="28" t="n"/>
      <c r="E341" s="28" t="n"/>
      <c r="F341" s="28" t="n">
        <v>1</v>
      </c>
      <c r="G341" s="28" t="n">
        <v>1</v>
      </c>
      <c r="H341" s="28" t="inlineStr">
        <is>
          <t>PowerSectorPriceChangePassOn</t>
        </is>
      </c>
      <c r="J341" s="8" t="n">
        <v>1</v>
      </c>
      <c r="K341" s="8" t="n">
        <v>1</v>
      </c>
      <c r="L341" s="8" t="n">
        <v>1</v>
      </c>
      <c r="M341" s="8" t="n">
        <v>1</v>
      </c>
      <c r="N341" s="8" t="n">
        <v>1</v>
      </c>
      <c r="O341" s="8" t="n">
        <v>1</v>
      </c>
    </row>
    <row r="342" hidden="1">
      <c r="B342" s="28" t="inlineStr">
        <is>
          <t>Year of interest for power sector costs</t>
        </is>
      </c>
      <c r="C342" s="28" t="inlineStr">
        <is>
          <t>year</t>
        </is>
      </c>
      <c r="D342" s="28" t="n"/>
      <c r="E342" s="28" t="n"/>
      <c r="F342" s="28" t="n">
        <v>2030</v>
      </c>
      <c r="G342" s="28" t="n">
        <v>2030</v>
      </c>
      <c r="H342" s="28" t="inlineStr">
        <is>
          <t>CostBreakdownYear</t>
        </is>
      </c>
      <c r="J342" s="8" t="n">
        <v>2030</v>
      </c>
      <c r="K342" s="8" t="n">
        <v>2030</v>
      </c>
      <c r="L342" s="8" t="n">
        <v>2030</v>
      </c>
      <c r="M342" s="8" t="n">
        <v>2030</v>
      </c>
      <c r="N342" s="8" t="n">
        <v>2030</v>
      </c>
      <c r="O342" s="8" t="n">
        <v>2030</v>
      </c>
    </row>
    <row r="343" hidden="1">
      <c r="B343" s="28" t="inlineStr">
        <is>
          <t>Estimate economy-wide or sectoral power demand?</t>
        </is>
      </c>
      <c r="C343" s="28" t="inlineStr">
        <is>
          <t>switch</t>
        </is>
      </c>
      <c r="D343" s="28" t="n"/>
      <c r="E343" s="28" t="n"/>
      <c r="F343" s="28" t="inlineStr">
        <is>
          <t>Economy-wide</t>
        </is>
      </c>
      <c r="G343" s="28" t="inlineStr">
        <is>
          <t>Economy-wide</t>
        </is>
      </c>
      <c r="H343" s="28" t="inlineStr">
        <is>
          <t>ElasticityModel</t>
        </is>
      </c>
      <c r="J343" s="8" t="inlineStr">
        <is>
          <t>Economy-wide</t>
        </is>
      </c>
      <c r="K343" s="8" t="inlineStr">
        <is>
          <t>Economy-wide</t>
        </is>
      </c>
      <c r="L343" s="8" t="inlineStr">
        <is>
          <t>Economy-wide</t>
        </is>
      </c>
      <c r="M343" s="8" t="inlineStr">
        <is>
          <t>Economy-wide</t>
        </is>
      </c>
      <c r="N343" s="8" t="inlineStr">
        <is>
          <t>Economy-wide</t>
        </is>
      </c>
      <c r="O343" s="8" t="inlineStr">
        <is>
          <t>Economy-wide</t>
        </is>
      </c>
    </row>
    <row r="344" hidden="1">
      <c r="B344" s="28" t="inlineStr">
        <is>
          <t>k Parameter dispatch</t>
        </is>
      </c>
      <c r="C344" s="28" t="inlineStr">
        <is>
          <t>coefficient</t>
        </is>
      </c>
      <c r="D344" s="28" t="n"/>
      <c r="E344" s="28" t="n"/>
      <c r="F344" s="28" t="n">
        <v>2</v>
      </c>
      <c r="G344" s="28" t="n">
        <v>2</v>
      </c>
      <c r="H344" s="28" t="inlineStr">
        <is>
          <t>kDispatch</t>
        </is>
      </c>
      <c r="J344" s="8" t="n">
        <v>2</v>
      </c>
      <c r="K344" s="8" t="n">
        <v>2</v>
      </c>
      <c r="L344" s="8" t="n">
        <v>2</v>
      </c>
      <c r="M344" s="8" t="n">
        <v>2</v>
      </c>
      <c r="N344" s="8" t="n">
        <v>2</v>
      </c>
      <c r="O344" s="8" t="n">
        <v>2</v>
      </c>
    </row>
    <row r="345" hidden="1">
      <c r="B345" s="28" t="inlineStr">
        <is>
          <t>k Parameter investment</t>
        </is>
      </c>
      <c r="C345" s="28" t="inlineStr">
        <is>
          <t>coefficient</t>
        </is>
      </c>
      <c r="D345" s="28" t="n"/>
      <c r="E345" s="28" t="n"/>
      <c r="F345" s="28" t="n">
        <v>2</v>
      </c>
      <c r="G345" s="28" t="n">
        <v>2</v>
      </c>
      <c r="H345" s="28" t="inlineStr">
        <is>
          <t>kInvestment</t>
        </is>
      </c>
      <c r="J345" s="8" t="n">
        <v>2</v>
      </c>
      <c r="K345" s="8" t="n">
        <v>2</v>
      </c>
      <c r="L345" s="8" t="n">
        <v>2</v>
      </c>
      <c r="M345" s="8" t="n">
        <v>2</v>
      </c>
      <c r="N345" s="8" t="n">
        <v>2</v>
      </c>
      <c r="O345" s="8" t="n">
        <v>2</v>
      </c>
    </row>
    <row r="346" hidden="1">
      <c r="B346" s="28" t="inlineStr">
        <is>
          <t>Minimum WACC</t>
        </is>
      </c>
      <c r="C346" s="28" t="n"/>
      <c r="D346" s="28" t="n"/>
      <c r="E346" s="28" t="n"/>
      <c r="F346" s="28" t="n">
        <v>0.01</v>
      </c>
      <c r="G346" s="28" t="n">
        <v>0.01</v>
      </c>
      <c r="H346" s="28" t="inlineStr">
        <is>
          <t>MinimumWACC</t>
        </is>
      </c>
      <c r="J346" s="8" t="n">
        <v>0.01</v>
      </c>
      <c r="K346" s="8" t="n">
        <v>0.01</v>
      </c>
      <c r="L346" s="8" t="n">
        <v>0.01</v>
      </c>
      <c r="M346" s="8" t="n">
        <v>0.01</v>
      </c>
      <c r="N346" s="8" t="n">
        <v>0.01</v>
      </c>
      <c r="O346" s="8" t="n">
        <v>0.01</v>
      </c>
    </row>
    <row r="347" hidden="1">
      <c r="B347" s="28" t="inlineStr">
        <is>
          <t>Use old or new generation costs in elasticity model?</t>
        </is>
      </c>
      <c r="C347" s="28" t="inlineStr">
        <is>
          <t>switch</t>
        </is>
      </c>
      <c r="D347" s="28" t="n"/>
      <c r="E347" s="28" t="n"/>
      <c r="F347" s="28" t="inlineStr">
        <is>
          <t>New*</t>
        </is>
      </c>
      <c r="G347" s="28" t="inlineStr">
        <is>
          <t>New*</t>
        </is>
      </c>
      <c r="H347" s="28" t="inlineStr">
        <is>
          <t>PowGenCostsOldNew</t>
        </is>
      </c>
      <c r="J347" s="8" t="inlineStr">
        <is>
          <t>New*</t>
        </is>
      </c>
      <c r="K347" s="8" t="inlineStr">
        <is>
          <t>New*</t>
        </is>
      </c>
      <c r="L347" s="8" t="inlineStr">
        <is>
          <t>New*</t>
        </is>
      </c>
      <c r="M347" s="8" t="inlineStr">
        <is>
          <t>New*</t>
        </is>
      </c>
      <c r="N347" s="8" t="inlineStr">
        <is>
          <t>New*</t>
        </is>
      </c>
      <c r="O347" s="8" t="inlineStr">
        <is>
          <t>New*</t>
        </is>
      </c>
    </row>
    <row r="348" hidden="1">
      <c r="B348" s="28" t="inlineStr">
        <is>
          <t>Hydro retirement rate set to zero</t>
        </is>
      </c>
      <c r="C348" s="28" t="n"/>
      <c r="D348" s="28" t="n"/>
      <c r="E348" s="28" t="n"/>
      <c r="F348" s="28" t="inlineStr">
        <is>
          <t>Yes</t>
        </is>
      </c>
      <c r="G348" s="28" t="inlineStr">
        <is>
          <t>Yes</t>
        </is>
      </c>
      <c r="H348" s="28" t="inlineStr">
        <is>
          <t>HydroDoesntRetire</t>
        </is>
      </c>
      <c r="J348" s="8" t="inlineStr">
        <is>
          <t>Yes</t>
        </is>
      </c>
      <c r="K348" s="8" t="inlineStr">
        <is>
          <t>Yes</t>
        </is>
      </c>
      <c r="L348" s="8" t="inlineStr">
        <is>
          <t>Yes</t>
        </is>
      </c>
      <c r="M348" s="8" t="inlineStr">
        <is>
          <t>Yes</t>
        </is>
      </c>
      <c r="N348" s="8" t="inlineStr">
        <is>
          <t>Yes</t>
        </is>
      </c>
      <c r="O348" s="8" t="inlineStr">
        <is>
          <t>Yes</t>
        </is>
      </c>
    </row>
    <row r="349" hidden="1">
      <c r="B349" s="28" t="inlineStr">
        <is>
          <t>Minimum (post subsidy) generation cost $/kwh real</t>
        </is>
      </c>
      <c r="C349" s="28" t="n"/>
      <c r="D349" s="28" t="n"/>
      <c r="E349" s="28" t="n"/>
      <c r="F349" s="28" t="n">
        <v>0.01</v>
      </c>
      <c r="G349" s="28" t="n">
        <v>0.01</v>
      </c>
      <c r="H349" s="28" t="inlineStr">
        <is>
          <t>MinPostSubsidyPowerPrice</t>
        </is>
      </c>
      <c r="J349" s="8" t="n">
        <v>0.01</v>
      </c>
      <c r="K349" s="8" t="n">
        <v>0.01</v>
      </c>
      <c r="L349" s="8" t="n">
        <v>0.01</v>
      </c>
      <c r="M349" s="8" t="n">
        <v>0.01</v>
      </c>
      <c r="N349" s="8" t="n">
        <v>0.01</v>
      </c>
      <c r="O349" s="8" t="n">
        <v>0.01</v>
      </c>
    </row>
    <row r="350" hidden="1">
      <c r="B350" s="26" t="inlineStr">
        <is>
          <t>RE Subsidies</t>
        </is>
      </c>
    </row>
    <row r="351" hidden="1">
      <c r="B351" s="28" t="inlineStr">
        <is>
          <t>Treat over/underestimate of supply costs as subsidy/tax</t>
        </is>
      </c>
      <c r="C351" s="28" t="inlineStr">
        <is>
          <t>switch</t>
        </is>
      </c>
      <c r="D351" s="28" t="n"/>
      <c r="E351" s="28" t="n"/>
      <c r="F351" s="28" t="inlineStr">
        <is>
          <t>No</t>
        </is>
      </c>
      <c r="G351" s="28" t="inlineStr">
        <is>
          <t>No</t>
        </is>
      </c>
      <c r="H351" s="28" t="inlineStr">
        <is>
          <t>SupplyCostDeltaSubsidy</t>
        </is>
      </c>
      <c r="J351" s="8" t="inlineStr">
        <is>
          <t>No</t>
        </is>
      </c>
      <c r="K351" s="8" t="inlineStr">
        <is>
          <t>No</t>
        </is>
      </c>
      <c r="L351" s="8" t="inlineStr">
        <is>
          <t>No</t>
        </is>
      </c>
      <c r="M351" s="8" t="inlineStr">
        <is>
          <t>No</t>
        </is>
      </c>
      <c r="N351" s="8" t="inlineStr">
        <is>
          <t>No</t>
        </is>
      </c>
      <c r="O351" s="8" t="inlineStr">
        <is>
          <t>No</t>
        </is>
      </c>
    </row>
    <row r="352" hidden="1">
      <c r="B352" s="28" t="inlineStr">
        <is>
          <t>Baseline renewable energy subsidy, $/kwh nom</t>
        </is>
      </c>
      <c r="C352" s="28" t="inlineStr">
        <is>
          <t>$/kwh nom</t>
        </is>
      </c>
      <c r="D352" s="28" t="n"/>
      <c r="E352" s="28" t="n"/>
      <c r="F352" s="28" t="n">
        <v>0</v>
      </c>
      <c r="G352" s="28" t="n">
        <v>0</v>
      </c>
      <c r="H352" s="28" t="inlineStr">
        <is>
          <t>RenewableSubsidyBL</t>
        </is>
      </c>
      <c r="J352" s="8" t="n">
        <v>0</v>
      </c>
      <c r="K352" s="8" t="n">
        <v>0</v>
      </c>
      <c r="L352" s="8" t="n">
        <v>0</v>
      </c>
      <c r="M352" s="8" t="n">
        <v>0</v>
      </c>
      <c r="N352" s="8" t="n">
        <v>0</v>
      </c>
      <c r="O352" s="8" t="n">
        <v>0</v>
      </c>
    </row>
    <row r="353" hidden="1">
      <c r="B353" s="28" t="inlineStr">
        <is>
          <t>New renewable energy subsidy, $/kwh nom</t>
        </is>
      </c>
      <c r="C353" s="28" t="inlineStr">
        <is>
          <t>$/kwh nom</t>
        </is>
      </c>
      <c r="D353" s="28" t="n"/>
      <c r="E353" s="28" t="n"/>
      <c r="F353" s="28" t="n">
        <v>0</v>
      </c>
      <c r="G353" s="28" t="n">
        <v>0</v>
      </c>
      <c r="H353" s="28" t="inlineStr">
        <is>
          <t>RenSubsidyAddUSDkwh</t>
        </is>
      </c>
      <c r="J353" s="8" t="n">
        <v>0</v>
      </c>
      <c r="K353" s="8" t="n">
        <v>0</v>
      </c>
      <c r="L353" s="8" t="n">
        <v>0</v>
      </c>
      <c r="M353" s="8" t="n">
        <v>0</v>
      </c>
      <c r="N353" s="8" t="n">
        <v>0</v>
      </c>
      <c r="O353" s="8" t="n">
        <v>0</v>
      </c>
    </row>
    <row r="354" hidden="1">
      <c r="B354" s="28" t="inlineStr">
        <is>
          <t>New renewable energy subsidy, phaseout</t>
        </is>
      </c>
      <c r="C354" s="28" t="inlineStr">
        <is>
          <t>years</t>
        </is>
      </c>
      <c r="D354" s="28" t="n"/>
      <c r="E354" s="28" t="n"/>
      <c r="F354" s="28" t="n">
        <v>10</v>
      </c>
      <c r="G354" s="28" t="n">
        <v>10</v>
      </c>
      <c r="H354" s="28" t="inlineStr">
        <is>
          <t>RenSubsidyAddPhaseoutYrs</t>
        </is>
      </c>
      <c r="J354" s="8" t="n">
        <v>10</v>
      </c>
      <c r="K354" s="8" t="n">
        <v>10</v>
      </c>
      <c r="L354" s="8" t="n">
        <v>10</v>
      </c>
      <c r="M354" s="8" t="n">
        <v>10</v>
      </c>
      <c r="N354" s="8" t="n">
        <v>10</v>
      </c>
      <c r="O354" s="8" t="n">
        <v>10</v>
      </c>
    </row>
    <row r="355" hidden="1">
      <c r="B355" s="28" t="inlineStr">
        <is>
          <t>Apply additional RE subsidy to hydroelectric power?</t>
        </is>
      </c>
      <c r="C355" s="28" t="inlineStr">
        <is>
          <t>switch</t>
        </is>
      </c>
      <c r="D355" s="28" t="n"/>
      <c r="E355" s="28" t="n"/>
      <c r="F355" s="28" t="inlineStr">
        <is>
          <t>No</t>
        </is>
      </c>
      <c r="G355" s="28" t="inlineStr">
        <is>
          <t>No</t>
        </is>
      </c>
      <c r="H355" s="28" t="inlineStr">
        <is>
          <t>RenewableSubsidyHydro</t>
        </is>
      </c>
      <c r="J355" s="8" t="inlineStr">
        <is>
          <t>No</t>
        </is>
      </c>
      <c r="K355" s="8" t="inlineStr">
        <is>
          <t>No</t>
        </is>
      </c>
      <c r="L355" s="8" t="inlineStr">
        <is>
          <t>No</t>
        </is>
      </c>
      <c r="M355" s="8" t="inlineStr">
        <is>
          <t>No</t>
        </is>
      </c>
      <c r="N355" s="8" t="inlineStr">
        <is>
          <t>No</t>
        </is>
      </c>
      <c r="O355" s="8" t="inlineStr">
        <is>
          <t>No</t>
        </is>
      </c>
    </row>
    <row r="356" hidden="1">
      <c r="B356" s="26" t="inlineStr">
        <is>
          <t>Electrical Generation Scale-up limits</t>
        </is>
      </c>
    </row>
    <row r="357" hidden="1">
      <c r="B357" s="28" t="inlineStr">
        <is>
          <t>Max new investment in coal/gas/hyd as a percentage of total generation</t>
        </is>
      </c>
      <c r="C357" s="28" t="n"/>
      <c r="D357" s="28" t="n"/>
      <c r="E357" s="28" t="n"/>
      <c r="F357" s="28" t="n">
        <v>0.05</v>
      </c>
      <c r="G357" s="28" t="n">
        <v>0.05</v>
      </c>
      <c r="H357" s="28" t="inlineStr">
        <is>
          <t>MaxNonVREAsPCOfTotalGen</t>
        </is>
      </c>
      <c r="J357" s="8" t="n">
        <v>0.05</v>
      </c>
      <c r="K357" s="8" t="n">
        <v>0.05</v>
      </c>
      <c r="L357" s="8" t="n">
        <v>0.05</v>
      </c>
      <c r="M357" s="8" t="n">
        <v>0.05</v>
      </c>
      <c r="N357" s="8" t="n">
        <v>0.05</v>
      </c>
      <c r="O357" s="8" t="n">
        <v>0.05</v>
      </c>
    </row>
    <row r="358" hidden="1">
      <c r="B358" s="28" t="inlineStr">
        <is>
          <t>Max new investment oil/nucl/ore/bio as a percentage of total generation</t>
        </is>
      </c>
      <c r="C358" s="28" t="n"/>
      <c r="D358" s="28" t="n"/>
      <c r="E358" s="28" t="n"/>
      <c r="F358" s="28" t="n">
        <v>0.02</v>
      </c>
      <c r="G358" s="28" t="n">
        <v>0.02</v>
      </c>
      <c r="H358" s="28" t="inlineStr">
        <is>
          <t>MaxNonNucOreBioAsPCOfTotalGen</t>
        </is>
      </c>
      <c r="J358" s="8" t="n">
        <v>0.02</v>
      </c>
      <c r="K358" s="8" t="n">
        <v>0.02</v>
      </c>
      <c r="L358" s="8" t="n">
        <v>0.02</v>
      </c>
      <c r="M358" s="8" t="n">
        <v>0.02</v>
      </c>
      <c r="N358" s="8" t="n">
        <v>0.02</v>
      </c>
      <c r="O358" s="8" t="n">
        <v>0.02</v>
      </c>
    </row>
    <row r="359" hidden="1">
      <c r="B359" s="28" t="inlineStr">
        <is>
          <t>User-Defined Setting for VRE Max-Scale up (if used)</t>
        </is>
      </c>
      <c r="C359" s="28" t="n"/>
      <c r="D359" s="28" t="n"/>
      <c r="E359" s="28" t="n"/>
      <c r="F359" s="28" t="n">
        <v>0.05</v>
      </c>
      <c r="G359" s="28" t="n">
        <v>0.05</v>
      </c>
      <c r="H359" s="28" t="inlineStr">
        <is>
          <t>MaxWindSolarScaleup</t>
        </is>
      </c>
      <c r="J359" s="8" t="n">
        <v>0.05</v>
      </c>
      <c r="K359" s="8" t="n">
        <v>0.05</v>
      </c>
      <c r="L359" s="8" t="n">
        <v>0.05</v>
      </c>
      <c r="M359" s="8" t="n">
        <v>0.05</v>
      </c>
      <c r="N359" s="8" t="n">
        <v>0.05</v>
      </c>
      <c r="O359" s="8" t="n">
        <v>0.05</v>
      </c>
    </row>
    <row r="360" hidden="1">
      <c r="B360" s="28" t="inlineStr">
        <is>
          <t>Max renewable scaleup rate setting</t>
        </is>
      </c>
      <c r="C360" s="28" t="inlineStr">
        <is>
          <t>switch</t>
        </is>
      </c>
      <c r="D360" s="28" t="n"/>
      <c r="E360" s="28" t="n"/>
      <c r="F360" s="28" t="inlineStr">
        <is>
          <t>CtryDefault*</t>
        </is>
      </c>
      <c r="G360" s="28" t="inlineStr">
        <is>
          <t>CtryDefault*</t>
        </is>
      </c>
      <c r="H360" s="28" t="inlineStr">
        <is>
          <t>MaxScaleUpRateCategory</t>
        </is>
      </c>
      <c r="J360" s="8" t="inlineStr">
        <is>
          <t>CtryDefault*</t>
        </is>
      </c>
      <c r="K360" s="8" t="inlineStr">
        <is>
          <t>CtryDefault*</t>
        </is>
      </c>
      <c r="L360" s="8" t="inlineStr">
        <is>
          <t>CtryDefault*</t>
        </is>
      </c>
      <c r="M360" s="8" t="inlineStr">
        <is>
          <t>CtryDefault*</t>
        </is>
      </c>
      <c r="N360" s="8" t="inlineStr">
        <is>
          <t>CtryDefault*</t>
        </is>
      </c>
      <c r="O360" s="8" t="inlineStr">
        <is>
          <t>CtryDefault*</t>
        </is>
      </c>
    </row>
    <row r="361" hidden="1">
      <c r="B361" s="26" t="inlineStr">
        <is>
          <t>More Power Generation Settings</t>
        </is>
      </c>
    </row>
    <row r="362" hidden="1">
      <c r="B362" s="28" t="inlineStr">
        <is>
          <t>Use Elasticity Model Power Demand In Engineer Model</t>
        </is>
      </c>
      <c r="C362" s="28" t="n"/>
      <c r="D362" s="28" t="n"/>
      <c r="E362" s="28" t="n"/>
      <c r="F362" s="28" t="inlineStr">
        <is>
          <t>No*</t>
        </is>
      </c>
      <c r="G362" s="28" t="inlineStr">
        <is>
          <t>No*</t>
        </is>
      </c>
      <c r="H362" s="28" t="inlineStr">
        <is>
          <t>UseElasticityModelPowerDemandInEngineerModel</t>
        </is>
      </c>
      <c r="J362" s="8" t="inlineStr">
        <is>
          <t>No*</t>
        </is>
      </c>
      <c r="K362" s="8" t="inlineStr">
        <is>
          <t>No*</t>
        </is>
      </c>
      <c r="L362" s="8" t="inlineStr">
        <is>
          <t>No*</t>
        </is>
      </c>
      <c r="M362" s="8" t="inlineStr">
        <is>
          <t>No*</t>
        </is>
      </c>
      <c r="N362" s="8" t="inlineStr">
        <is>
          <t>No*</t>
        </is>
      </c>
      <c r="O362" s="8" t="inlineStr">
        <is>
          <t>No*</t>
        </is>
      </c>
    </row>
    <row r="363" hidden="1">
      <c r="A363" t="inlineStr">
        <is>
          <t>X</t>
        </is>
      </c>
      <c r="B363" s="28" t="inlineStr">
        <is>
          <t>Cost of capital: User-defined, Inc-dep,  or Tech-dep?</t>
        </is>
      </c>
      <c r="C363" s="28" t="n"/>
      <c r="D363" s="28" t="n"/>
      <c r="E363" s="28" t="n"/>
      <c r="F363" s="28" t="inlineStr">
        <is>
          <t>Tech</t>
        </is>
      </c>
      <c r="G363" s="28" t="inlineStr">
        <is>
          <t>Income*</t>
        </is>
      </c>
      <c r="H363" s="28" t="inlineStr">
        <is>
          <t>WACCSource</t>
        </is>
      </c>
      <c r="J363" s="8" t="inlineStr">
        <is>
          <t>Tech</t>
        </is>
      </c>
      <c r="K363" s="8" t="inlineStr">
        <is>
          <t>Tech</t>
        </is>
      </c>
      <c r="L363" s="8" t="inlineStr">
        <is>
          <t>Tech</t>
        </is>
      </c>
      <c r="M363" s="8" t="inlineStr">
        <is>
          <t>Tech</t>
        </is>
      </c>
      <c r="N363" s="8" t="inlineStr">
        <is>
          <t>Tech</t>
        </is>
      </c>
      <c r="O363" s="8" t="inlineStr">
        <is>
          <t>Tech</t>
        </is>
      </c>
    </row>
    <row r="364" hidden="1">
      <c r="B364" s="28" t="inlineStr">
        <is>
          <t>If Global, what Value?</t>
        </is>
      </c>
      <c r="C364" s="28" t="n"/>
      <c r="D364" s="28" t="n"/>
      <c r="E364" s="28" t="n"/>
      <c r="F364" s="28" t="n">
        <v>0.075</v>
      </c>
      <c r="G364" s="28" t="n">
        <v>0.075</v>
      </c>
      <c r="H364" s="28" t="inlineStr">
        <is>
          <t>WACCUserGlobal</t>
        </is>
      </c>
      <c r="J364" s="8" t="n">
        <v>0.075</v>
      </c>
      <c r="K364" s="8" t="n">
        <v>0.075</v>
      </c>
      <c r="L364" s="8" t="n">
        <v>0.075</v>
      </c>
      <c r="M364" s="8" t="n">
        <v>0.075</v>
      </c>
      <c r="N364" s="8" t="n">
        <v>0.075</v>
      </c>
      <c r="O364" s="8" t="n">
        <v>0.075</v>
      </c>
    </row>
    <row r="365" hidden="1">
      <c r="B365" s="28" t="inlineStr">
        <is>
          <t>Renewable Cost Declines</t>
        </is>
      </c>
      <c r="C365" s="28" t="n"/>
      <c r="D365" s="28" t="n"/>
      <c r="E365" s="28" t="n"/>
      <c r="F365" s="28" t="inlineStr">
        <is>
          <t>Medium*</t>
        </is>
      </c>
      <c r="G365" s="28" t="inlineStr">
        <is>
          <t>Medium*</t>
        </is>
      </c>
      <c r="H365" s="28" t="inlineStr">
        <is>
          <t>RenewableCostDeclineRate</t>
        </is>
      </c>
      <c r="J365" s="8" t="inlineStr">
        <is>
          <t>Medium*</t>
        </is>
      </c>
      <c r="K365" s="8" t="inlineStr">
        <is>
          <t>Medium*</t>
        </is>
      </c>
      <c r="L365" s="8" t="inlineStr">
        <is>
          <t>Medium*</t>
        </is>
      </c>
      <c r="M365" s="8" t="inlineStr">
        <is>
          <t>Medium*</t>
        </is>
      </c>
      <c r="N365" s="8" t="inlineStr">
        <is>
          <t>Medium*</t>
        </is>
      </c>
      <c r="O365" s="8" t="inlineStr">
        <is>
          <t>Medium*</t>
        </is>
      </c>
    </row>
    <row r="366" hidden="1">
      <c r="B366" s="28" t="inlineStr">
        <is>
          <t>Use Spot Fuel Prices in Engineer Power Model</t>
        </is>
      </c>
      <c r="C366" s="28" t="n"/>
      <c r="D366" s="28" t="n"/>
      <c r="E366" s="28" t="n"/>
      <c r="F366" s="28" t="inlineStr">
        <is>
          <t>No*</t>
        </is>
      </c>
      <c r="G366" s="28" t="inlineStr">
        <is>
          <t>No*</t>
        </is>
      </c>
      <c r="H366" s="28" t="inlineStr">
        <is>
          <t>UseSpotFuelPricesInEngineerModel</t>
        </is>
      </c>
      <c r="J366" s="8" t="inlineStr">
        <is>
          <t>No*</t>
        </is>
      </c>
      <c r="K366" s="8" t="inlineStr">
        <is>
          <t>No*</t>
        </is>
      </c>
      <c r="L366" s="8" t="inlineStr">
        <is>
          <t>No*</t>
        </is>
      </c>
      <c r="M366" s="8" t="inlineStr">
        <is>
          <t>No*</t>
        </is>
      </c>
      <c r="N366" s="8" t="inlineStr">
        <is>
          <t>No*</t>
        </is>
      </c>
      <c r="O366" s="8" t="inlineStr">
        <is>
          <t>No*</t>
        </is>
      </c>
    </row>
    <row r="367" hidden="1">
      <c r="B367" s="28" t="inlineStr">
        <is>
          <t>Use Additional Coal Intangible Cost</t>
        </is>
      </c>
      <c r="C367" s="28" t="n"/>
      <c r="D367" s="28" t="n"/>
      <c r="E367" s="28" t="n"/>
      <c r="F367" s="28" t="inlineStr">
        <is>
          <t>Yes*</t>
        </is>
      </c>
      <c r="G367" s="28" t="inlineStr">
        <is>
          <t>Yes*</t>
        </is>
      </c>
      <c r="H367" s="28" t="inlineStr">
        <is>
          <t>AdditionalCoalIntangibleCost</t>
        </is>
      </c>
      <c r="J367" s="8" t="inlineStr">
        <is>
          <t>Yes*</t>
        </is>
      </c>
      <c r="K367" s="8" t="inlineStr">
        <is>
          <t>Yes*</t>
        </is>
      </c>
      <c r="L367" s="8" t="inlineStr">
        <is>
          <t>Yes*</t>
        </is>
      </c>
      <c r="M367" s="8" t="inlineStr">
        <is>
          <t>Yes*</t>
        </is>
      </c>
      <c r="N367" s="8" t="inlineStr">
        <is>
          <t>Yes*</t>
        </is>
      </c>
      <c r="O367" s="8" t="inlineStr">
        <is>
          <t>Yes*</t>
        </is>
      </c>
    </row>
    <row r="368" hidden="1">
      <c r="B368" s="28" t="inlineStr">
        <is>
          <t>Manual Coal Intangible Cost (short term)</t>
        </is>
      </c>
      <c r="C368" s="28" t="n"/>
      <c r="D368" s="28" t="n"/>
      <c r="E368" s="28" t="n"/>
      <c r="F368" s="28" t="n">
        <v>0</v>
      </c>
      <c r="G368" s="28" t="n">
        <v>0</v>
      </c>
      <c r="H368" s="28" t="inlineStr">
        <is>
          <t>ManualCoalIntangibleCostST</t>
        </is>
      </c>
      <c r="J368" s="8" t="n">
        <v>0</v>
      </c>
      <c r="K368" s="8" t="n">
        <v>0</v>
      </c>
      <c r="L368" s="8" t="n">
        <v>0</v>
      </c>
      <c r="M368" s="8" t="n">
        <v>0</v>
      </c>
      <c r="N368" s="8" t="n">
        <v>0</v>
      </c>
      <c r="O368" s="8" t="n">
        <v>0</v>
      </c>
    </row>
    <row r="369" hidden="1">
      <c r="B369" s="28" t="inlineStr">
        <is>
          <t>Manual Coal Intangible Cost (long term)</t>
        </is>
      </c>
      <c r="C369" s="28" t="n"/>
      <c r="D369" s="28" t="n"/>
      <c r="E369" s="28" t="n"/>
      <c r="F369" s="28" t="n">
        <v>0</v>
      </c>
      <c r="G369" s="28" t="n">
        <v>0</v>
      </c>
      <c r="H369" s="28" t="inlineStr">
        <is>
          <t>ManualCoalIntangibleCostLT</t>
        </is>
      </c>
      <c r="J369" s="8" t="n">
        <v>0</v>
      </c>
      <c r="K369" s="8" t="n">
        <v>0</v>
      </c>
      <c r="L369" s="8" t="n">
        <v>0</v>
      </c>
      <c r="M369" s="8" t="n">
        <v>0</v>
      </c>
      <c r="N369" s="8" t="n">
        <v>0</v>
      </c>
      <c r="O369" s="8" t="n">
        <v>0</v>
      </c>
    </row>
    <row r="370" hidden="1">
      <c r="B370" s="28" t="inlineStr">
        <is>
          <t>Maximum Coal Capacity Factor</t>
        </is>
      </c>
      <c r="C370" s="28" t="n"/>
      <c r="D370" s="28" t="n"/>
      <c r="E370" s="28" t="n"/>
      <c r="F370" s="28" t="n">
        <v>0.9</v>
      </c>
      <c r="G370" s="28" t="n">
        <v>0.9</v>
      </c>
      <c r="H370" s="28" t="inlineStr">
        <is>
          <t>MaximumCoalCF</t>
        </is>
      </c>
      <c r="J370" s="8" t="n">
        <v>0.9</v>
      </c>
      <c r="K370" s="8" t="n">
        <v>0.9</v>
      </c>
      <c r="L370" s="8" t="n">
        <v>0.9</v>
      </c>
      <c r="M370" s="8" t="n">
        <v>0.9</v>
      </c>
      <c r="N370" s="8" t="n">
        <v>0.9</v>
      </c>
      <c r="O370" s="8" t="n">
        <v>0.9</v>
      </c>
    </row>
    <row r="371" hidden="1">
      <c r="B371" s="28" t="inlineStr">
        <is>
          <t>Maximum Gas Capacity Factor</t>
        </is>
      </c>
      <c r="C371" s="28" t="n"/>
      <c r="D371" s="28" t="n"/>
      <c r="E371" s="28" t="n"/>
      <c r="F371" s="28" t="n">
        <v>0.9</v>
      </c>
      <c r="G371" s="28" t="n">
        <v>0.9</v>
      </c>
      <c r="H371" s="28" t="inlineStr">
        <is>
          <t>MaximumGasCF</t>
        </is>
      </c>
      <c r="J371" s="8" t="n">
        <v>0.9</v>
      </c>
      <c r="K371" s="8" t="n">
        <v>0.9</v>
      </c>
      <c r="L371" s="8" t="n">
        <v>0.9</v>
      </c>
      <c r="M371" s="8" t="n">
        <v>0.9</v>
      </c>
      <c r="N371" s="8" t="n">
        <v>0.9</v>
      </c>
      <c r="O371" s="8" t="n">
        <v>0.9</v>
      </c>
    </row>
    <row r="372" hidden="1">
      <c r="B372" s="28" t="inlineStr">
        <is>
          <t>Proportion of GHG adjustment passed on to engineer model power demand</t>
        </is>
      </c>
      <c r="C372" s="28" t="n"/>
      <c r="D372" s="28" t="n"/>
      <c r="E372" s="28" t="n"/>
      <c r="F372" s="28" t="n">
        <v>1</v>
      </c>
      <c r="G372" s="28" t="n">
        <v>1</v>
      </c>
      <c r="H372" s="28" t="inlineStr">
        <is>
          <t>EngineerModelProportionOfCovidFactor</t>
        </is>
      </c>
      <c r="J372" s="8" t="n">
        <v>1</v>
      </c>
      <c r="K372" s="8" t="n">
        <v>1</v>
      </c>
      <c r="L372" s="8" t="n">
        <v>1</v>
      </c>
      <c r="M372" s="8" t="n">
        <v>1</v>
      </c>
      <c r="N372" s="8" t="n">
        <v>1</v>
      </c>
      <c r="O372" s="8" t="n">
        <v>1</v>
      </c>
    </row>
    <row r="373" hidden="1">
      <c r="B373" s="28" t="inlineStr">
        <is>
          <t>Override Capacity Factor if below (Wind and Solar)</t>
        </is>
      </c>
      <c r="C373" s="28" t="n"/>
      <c r="D373" s="28" t="n"/>
      <c r="E373" s="28" t="n"/>
      <c r="F373" s="28" t="n">
        <v>0.1</v>
      </c>
      <c r="G373" s="28" t="n">
        <v>0.1</v>
      </c>
      <c r="H373" s="28" t="inlineStr">
        <is>
          <t>CFOverrideIfBelowWndSol</t>
        </is>
      </c>
      <c r="J373" s="8" t="n">
        <v>0.1</v>
      </c>
      <c r="K373" s="8" t="n">
        <v>0.1</v>
      </c>
      <c r="L373" s="8" t="n">
        <v>0.1</v>
      </c>
      <c r="M373" s="8" t="n">
        <v>0.1</v>
      </c>
      <c r="N373" s="8" t="n">
        <v>0.1</v>
      </c>
      <c r="O373" s="8" t="n">
        <v>0.1</v>
      </c>
    </row>
    <row r="374" hidden="1">
      <c r="B374" s="28" t="inlineStr">
        <is>
          <t>Override Capacity Factor if below (Others)</t>
        </is>
      </c>
      <c r="C374" s="28" t="n"/>
      <c r="D374" s="28" t="n"/>
      <c r="E374" s="28" t="n"/>
      <c r="F374" s="28" t="n">
        <v>0.01</v>
      </c>
      <c r="G374" s="28" t="n">
        <v>0.01</v>
      </c>
      <c r="H374" s="28" t="inlineStr">
        <is>
          <t>CFOverrideIfBelowFosOth</t>
        </is>
      </c>
      <c r="J374" s="8" t="n">
        <v>0.01</v>
      </c>
      <c r="K374" s="8" t="n">
        <v>0.01</v>
      </c>
      <c r="L374" s="8" t="n">
        <v>0.01</v>
      </c>
      <c r="M374" s="8" t="n">
        <v>0.01</v>
      </c>
      <c r="N374" s="8" t="n">
        <v>0.01</v>
      </c>
      <c r="O374" s="8" t="n">
        <v>0.01</v>
      </c>
    </row>
    <row r="375" hidden="1">
      <c r="B375" s="28" t="inlineStr">
        <is>
          <t>Override Capacity Factor if below (All)</t>
        </is>
      </c>
      <c r="C375" s="28" t="n"/>
      <c r="D375" s="28" t="n"/>
      <c r="E375" s="28" t="n"/>
      <c r="F375" s="28" t="n">
        <v>1</v>
      </c>
      <c r="G375" s="28" t="n">
        <v>1</v>
      </c>
      <c r="H375" s="28" t="inlineStr">
        <is>
          <t>CFOverrideIfAbove</t>
        </is>
      </c>
      <c r="J375" s="8" t="n">
        <v>1</v>
      </c>
      <c r="K375" s="8" t="n">
        <v>1</v>
      </c>
      <c r="L375" s="8" t="n">
        <v>1</v>
      </c>
      <c r="M375" s="8" t="n">
        <v>1</v>
      </c>
      <c r="N375" s="8" t="n">
        <v>1</v>
      </c>
      <c r="O375" s="8" t="n">
        <v>1</v>
      </c>
    </row>
    <row r="376" hidden="1">
      <c r="B376" s="28" t="inlineStr">
        <is>
          <t>Proportion of coal capacity that can be retired</t>
        </is>
      </c>
      <c r="C376" s="28" t="n"/>
      <c r="D376" s="28" t="n"/>
      <c r="E376" s="28" t="n"/>
      <c r="F376" s="28" t="n">
        <v>0.8</v>
      </c>
      <c r="G376" s="28" t="n">
        <v>0.8</v>
      </c>
      <c r="H376" s="28" t="inlineStr">
        <is>
          <t>MaxCostBasedEarlyRetirement</t>
        </is>
      </c>
      <c r="J376" s="8" t="n">
        <v>0.8</v>
      </c>
      <c r="K376" s="8" t="n">
        <v>0.8</v>
      </c>
      <c r="L376" s="8" t="n">
        <v>0.8</v>
      </c>
      <c r="M376" s="8" t="n">
        <v>0.8</v>
      </c>
      <c r="N376" s="8" t="n">
        <v>0.8</v>
      </c>
      <c r="O376" s="8" t="n">
        <v>0.8</v>
      </c>
    </row>
    <row r="377" hidden="1">
      <c r="B377" s="28" t="inlineStr">
        <is>
          <t>Allow cost-based coal phaseout in baseline?</t>
        </is>
      </c>
      <c r="C377" s="28" t="n"/>
      <c r="D377" s="28" t="n"/>
      <c r="E377" s="28" t="n"/>
      <c r="F377" s="28" t="inlineStr">
        <is>
          <t>Yes</t>
        </is>
      </c>
      <c r="G377" s="28" t="inlineStr">
        <is>
          <t>Yes</t>
        </is>
      </c>
      <c r="H377" s="28" t="inlineStr">
        <is>
          <t>EarlyRetirementInBaseline</t>
        </is>
      </c>
      <c r="J377" s="8" t="inlineStr">
        <is>
          <t>Yes</t>
        </is>
      </c>
      <c r="K377" s="8" t="inlineStr">
        <is>
          <t>Yes</t>
        </is>
      </c>
      <c r="L377" s="8" t="inlineStr">
        <is>
          <t>Yes</t>
        </is>
      </c>
      <c r="M377" s="8" t="inlineStr">
        <is>
          <t>Yes</t>
        </is>
      </c>
      <c r="N377" s="8" t="inlineStr">
        <is>
          <t>Yes</t>
        </is>
      </c>
      <c r="O377" s="8" t="inlineStr">
        <is>
          <t>Yes</t>
        </is>
      </c>
    </row>
    <row r="378" hidden="1">
      <c r="B378" s="28" t="inlineStr">
        <is>
          <t>Minimum Thermal Efficiency</t>
        </is>
      </c>
      <c r="C378" s="28" t="n"/>
      <c r="D378" s="28" t="n"/>
      <c r="E378" s="28" t="n"/>
      <c r="F378" s="28" t="n">
        <v>0.1</v>
      </c>
      <c r="G378" s="28" t="n">
        <v>0.1</v>
      </c>
      <c r="H378" s="28" t="inlineStr">
        <is>
          <t>MinimumThermalEfficiency</t>
        </is>
      </c>
      <c r="J378" s="8" t="n">
        <v>0.1</v>
      </c>
      <c r="K378" s="8" t="n">
        <v>0.1</v>
      </c>
      <c r="L378" s="8" t="n">
        <v>0.1</v>
      </c>
      <c r="M378" s="8" t="n">
        <v>0.1</v>
      </c>
      <c r="N378" s="8" t="n">
        <v>0.1</v>
      </c>
      <c r="O378" s="8" t="n">
        <v>0.1</v>
      </c>
    </row>
    <row r="379" hidden="1">
      <c r="B379" s="26" t="inlineStr">
        <is>
          <t>Coal and Gas Power Purchase Agreements</t>
        </is>
      </c>
    </row>
    <row r="380" hidden="1">
      <c r="B380" s="28" t="inlineStr">
        <is>
          <t>Proportion of PPAs in Coal and Gas Generation</t>
        </is>
      </c>
      <c r="C380" s="28" t="n"/>
      <c r="D380" s="28" t="n"/>
      <c r="E380" s="28" t="n"/>
      <c r="F380" s="28" t="n">
        <v>0</v>
      </c>
      <c r="G380" s="28" t="n">
        <v>0</v>
      </c>
      <c r="H380" s="28" t="inlineStr">
        <is>
          <t>PPAProportionCoalGas</t>
        </is>
      </c>
      <c r="J380" s="8" t="n">
        <v>0</v>
      </c>
      <c r="K380" s="8" t="n">
        <v>0</v>
      </c>
      <c r="L380" s="8" t="n">
        <v>0</v>
      </c>
      <c r="M380" s="8" t="n">
        <v>0</v>
      </c>
      <c r="N380" s="8" t="n">
        <v>0</v>
      </c>
      <c r="O380" s="8" t="n">
        <v>0</v>
      </c>
    </row>
    <row r="381" hidden="1">
      <c r="B381" s="28" t="inlineStr">
        <is>
          <t>Phase out any coal and gas PPAs? (Baseline)</t>
        </is>
      </c>
      <c r="C381" s="28" t="n"/>
      <c r="D381" s="28" t="n"/>
      <c r="E381" s="28" t="n"/>
      <c r="F381" s="28" t="inlineStr">
        <is>
          <t>Yes*</t>
        </is>
      </c>
      <c r="G381" s="28" t="inlineStr">
        <is>
          <t>Yes*</t>
        </is>
      </c>
      <c r="H381" s="28" t="inlineStr">
        <is>
          <t>PhaseOutCoalAndGasPPAsBaseline</t>
        </is>
      </c>
      <c r="J381" s="8" t="inlineStr">
        <is>
          <t>Yes*</t>
        </is>
      </c>
      <c r="K381" s="8" t="inlineStr">
        <is>
          <t>Yes*</t>
        </is>
      </c>
      <c r="L381" s="8" t="inlineStr">
        <is>
          <t>Yes*</t>
        </is>
      </c>
      <c r="M381" s="8" t="inlineStr">
        <is>
          <t>Yes*</t>
        </is>
      </c>
      <c r="N381" s="8" t="inlineStr">
        <is>
          <t>Yes*</t>
        </is>
      </c>
      <c r="O381" s="8" t="inlineStr">
        <is>
          <t>Yes*</t>
        </is>
      </c>
    </row>
    <row r="382" hidden="1">
      <c r="B382" s="28" t="inlineStr">
        <is>
          <t>Phase out any coal and gas PPAs? (Policy)</t>
        </is>
      </c>
      <c r="C382" s="28" t="n"/>
      <c r="D382" s="28" t="n"/>
      <c r="E382" s="28" t="n"/>
      <c r="F382" s="28" t="inlineStr">
        <is>
          <t>Yes*</t>
        </is>
      </c>
      <c r="G382" s="28" t="inlineStr">
        <is>
          <t>Yes*</t>
        </is>
      </c>
      <c r="H382" s="28" t="inlineStr">
        <is>
          <t>PhaseOutCoalAndGasPPAsPolicy</t>
        </is>
      </c>
      <c r="J382" s="8" t="inlineStr">
        <is>
          <t>Yes*</t>
        </is>
      </c>
      <c r="K382" s="8" t="inlineStr">
        <is>
          <t>Yes*</t>
        </is>
      </c>
      <c r="L382" s="8" t="inlineStr">
        <is>
          <t>Yes*</t>
        </is>
      </c>
      <c r="M382" s="8" t="inlineStr">
        <is>
          <t>Yes*</t>
        </is>
      </c>
      <c r="N382" s="8" t="inlineStr">
        <is>
          <t>Yes*</t>
        </is>
      </c>
      <c r="O382" s="8" t="inlineStr">
        <is>
          <t>Yes*</t>
        </is>
      </c>
    </row>
    <row r="383" hidden="1">
      <c r="B383" s="28" t="inlineStr">
        <is>
          <t>Phase begins when?</t>
        </is>
      </c>
      <c r="C383" s="28" t="n"/>
      <c r="D383" s="28" t="n"/>
      <c r="E383" s="28" t="n"/>
      <c r="F383" s="28" t="n">
        <v>2027</v>
      </c>
      <c r="G383" s="28" t="n">
        <v>2027</v>
      </c>
      <c r="H383" s="28" t="inlineStr">
        <is>
          <t>YearPPACoalGas</t>
        </is>
      </c>
      <c r="J383" s="8" t="n">
        <v>2027</v>
      </c>
      <c r="K383" s="8" t="n">
        <v>2027</v>
      </c>
      <c r="L383" s="8" t="n">
        <v>2027</v>
      </c>
      <c r="M383" s="8" t="n">
        <v>2027</v>
      </c>
      <c r="N383" s="8" t="n">
        <v>2027</v>
      </c>
      <c r="O383" s="8" t="n">
        <v>2027</v>
      </c>
    </row>
    <row r="384" hidden="1">
      <c r="B384" s="28" t="inlineStr">
        <is>
          <t>Phase out coal and gas PPAs over n years?</t>
        </is>
      </c>
      <c r="C384" s="28" t="n"/>
      <c r="D384" s="28" t="n"/>
      <c r="E384" s="28" t="n"/>
      <c r="F384" s="28" t="n">
        <v>5</v>
      </c>
      <c r="G384" s="28" t="n">
        <v>5</v>
      </c>
      <c r="H384" s="28" t="inlineStr">
        <is>
          <t>YearsToPhaseOutPPAs</t>
        </is>
      </c>
      <c r="J384" s="8" t="n">
        <v>5</v>
      </c>
      <c r="K384" s="8" t="n">
        <v>5</v>
      </c>
      <c r="L384" s="8" t="n">
        <v>5</v>
      </c>
      <c r="M384" s="8" t="n">
        <v>5</v>
      </c>
      <c r="N384" s="8" t="n">
        <v>5</v>
      </c>
      <c r="O384" s="8" t="n">
        <v>5</v>
      </c>
    </row>
    <row r="385" hidden="1">
      <c r="B385" s="26" t="inlineStr">
        <is>
          <t>Short Term Storage Parameters</t>
        </is>
      </c>
    </row>
    <row r="386" hidden="1">
      <c r="B386" s="28" t="inlineStr">
        <is>
          <t>Percent allocation of ST storage costs to VRE</t>
        </is>
      </c>
      <c r="C386" s="28" t="inlineStr">
        <is>
          <t>%</t>
        </is>
      </c>
      <c r="D386" s="28" t="n"/>
      <c r="E386" s="28" t="n"/>
      <c r="F386" s="28" t="n">
        <v>1</v>
      </c>
      <c r="G386" s="28" t="n">
        <v>1</v>
      </c>
      <c r="H386" s="28" t="inlineStr">
        <is>
          <t>AllocateSTStorageToVRE</t>
        </is>
      </c>
      <c r="J386" s="8" t="n">
        <v>1</v>
      </c>
      <c r="K386" s="8" t="n">
        <v>1</v>
      </c>
      <c r="L386" s="8" t="n">
        <v>1</v>
      </c>
      <c r="M386" s="8" t="n">
        <v>1</v>
      </c>
      <c r="N386" s="8" t="n">
        <v>1</v>
      </c>
      <c r="O386" s="8" t="n">
        <v>1</v>
      </c>
    </row>
    <row r="387" hidden="1">
      <c r="B387" s="28" t="inlineStr">
        <is>
          <t>Total hours short term strorage for 100% VRE</t>
        </is>
      </c>
      <c r="C387" s="28" t="n"/>
      <c r="D387" s="28" t="n"/>
      <c r="E387" s="28" t="n"/>
      <c r="F387" s="28" t="n">
        <v>9</v>
      </c>
      <c r="G387" s="28" t="n">
        <v>9</v>
      </c>
      <c r="H387" s="28" t="inlineStr">
        <is>
          <t>TotalHoursStorageFor100pcVRE</t>
        </is>
      </c>
      <c r="J387" s="8" t="n">
        <v>9</v>
      </c>
      <c r="K387" s="8" t="n">
        <v>9</v>
      </c>
      <c r="L387" s="8" t="n">
        <v>9</v>
      </c>
      <c r="M387" s="8" t="n">
        <v>9</v>
      </c>
      <c r="N387" s="8" t="n">
        <v>9</v>
      </c>
      <c r="O387" s="8" t="n">
        <v>9</v>
      </c>
    </row>
    <row r="388" hidden="1">
      <c r="B388" s="28" t="inlineStr">
        <is>
          <t>kwh storage to kw interface ratio (hours)</t>
        </is>
      </c>
      <c r="C388" s="28" t="n"/>
      <c r="D388" s="28" t="n"/>
      <c r="E388" s="28" t="n"/>
      <c r="F388" s="28" t="n">
        <v>2</v>
      </c>
      <c r="G388" s="28" t="n">
        <v>2</v>
      </c>
      <c r="H388" s="28" t="inlineStr">
        <is>
          <t>StorageToInterfaceRatioSTStorage</t>
        </is>
      </c>
      <c r="J388" s="8" t="n">
        <v>2</v>
      </c>
      <c r="K388" s="8" t="n">
        <v>2</v>
      </c>
      <c r="L388" s="8" t="n">
        <v>2</v>
      </c>
      <c r="M388" s="8" t="n">
        <v>2</v>
      </c>
      <c r="N388" s="8" t="n">
        <v>2</v>
      </c>
      <c r="O388" s="8" t="n">
        <v>2</v>
      </c>
    </row>
    <row r="389" hidden="1">
      <c r="B389" s="26" t="inlineStr">
        <is>
          <t>Long Term Storage Parameters</t>
        </is>
      </c>
    </row>
    <row r="390" hidden="1">
      <c r="B390" s="28" t="inlineStr">
        <is>
          <t>Percent allocation of LT storage costs to VRE</t>
        </is>
      </c>
      <c r="C390" s="28" t="n"/>
      <c r="D390" s="28" t="n"/>
      <c r="E390" s="28" t="n"/>
      <c r="F390" s="28" t="n">
        <v>0.33</v>
      </c>
      <c r="G390" s="28" t="n">
        <v>0.33</v>
      </c>
      <c r="H390" s="28" t="inlineStr">
        <is>
          <t>AllocateLTStorageToVRE</t>
        </is>
      </c>
      <c r="J390" s="8" t="n">
        <v>0.33</v>
      </c>
      <c r="K390" s="8" t="n">
        <v>0.33</v>
      </c>
      <c r="L390" s="8" t="n">
        <v>0.33</v>
      </c>
      <c r="M390" s="8" t="n">
        <v>0.33</v>
      </c>
      <c r="N390" s="8" t="n">
        <v>0.33</v>
      </c>
      <c r="O390" s="8" t="n">
        <v>0.33</v>
      </c>
    </row>
    <row r="391" hidden="1">
      <c r="B391" s="28" t="inlineStr">
        <is>
          <t>Starting point of long term storage requirement (%VRE)</t>
        </is>
      </c>
      <c r="C391" s="28" t="inlineStr">
        <is>
          <t>%</t>
        </is>
      </c>
      <c r="D391" s="28" t="n"/>
      <c r="E391" s="28" t="n"/>
      <c r="F391" s="28" t="n">
        <v>0.75</v>
      </c>
      <c r="G391" s="28" t="n">
        <v>0.75</v>
      </c>
      <c r="H391" s="28" t="inlineStr">
        <is>
          <t>StartingPointWhenLTStorageIsNeeded</t>
        </is>
      </c>
      <c r="J391" s="8" t="n">
        <v>0.75</v>
      </c>
      <c r="K391" s="8" t="n">
        <v>0.75</v>
      </c>
      <c r="L391" s="8" t="n">
        <v>0.75</v>
      </c>
      <c r="M391" s="8" t="n">
        <v>0.75</v>
      </c>
      <c r="N391" s="8" t="n">
        <v>0.75</v>
      </c>
      <c r="O391" s="8" t="n">
        <v>0.75</v>
      </c>
    </row>
    <row r="392" hidden="1">
      <c r="B392" s="28" t="inlineStr">
        <is>
          <t>GW electrolyzer per Gwy/y for 100% VRE (%)</t>
        </is>
      </c>
      <c r="C392" s="28" t="inlineStr">
        <is>
          <t>%</t>
        </is>
      </c>
      <c r="D392" s="28" t="n"/>
      <c r="E392" s="28" t="n"/>
      <c r="F392" s="28" t="n">
        <v>1</v>
      </c>
      <c r="G392" s="28" t="n">
        <v>1</v>
      </c>
      <c r="H392" s="28" t="inlineStr">
        <is>
          <t>LongTermStorageFor100pcVRE</t>
        </is>
      </c>
      <c r="J392" s="8" t="n">
        <v>1</v>
      </c>
      <c r="K392" s="8" t="n">
        <v>1</v>
      </c>
      <c r="L392" s="8" t="n">
        <v>1</v>
      </c>
      <c r="M392" s="8" t="n">
        <v>1</v>
      </c>
      <c r="N392" s="8" t="n">
        <v>1</v>
      </c>
      <c r="O392" s="8" t="n">
        <v>1</v>
      </c>
    </row>
    <row r="393" hidden="1">
      <c r="B393" s="28" t="inlineStr">
        <is>
          <t>Storage hours for LT storage</t>
        </is>
      </c>
      <c r="C393" s="28" t="n"/>
      <c r="D393" s="28" t="n"/>
      <c r="E393" s="28" t="n"/>
      <c r="F393" s="28" t="n">
        <v>1000</v>
      </c>
      <c r="G393" s="28" t="n">
        <v>1000</v>
      </c>
      <c r="H393" s="28" t="inlineStr">
        <is>
          <t>StorageHoursForLTStorage</t>
        </is>
      </c>
      <c r="J393" s="8" t="n">
        <v>1000</v>
      </c>
      <c r="K393" s="8" t="n">
        <v>1000</v>
      </c>
      <c r="L393" s="8" t="n">
        <v>1000</v>
      </c>
      <c r="M393" s="8" t="n">
        <v>1000</v>
      </c>
      <c r="N393" s="8" t="n">
        <v>1000</v>
      </c>
      <c r="O393" s="8" t="n">
        <v>1000</v>
      </c>
    </row>
    <row r="394" hidden="1">
      <c r="B394" s="26" t="inlineStr">
        <is>
          <t>Allowed New Investments Override if selected</t>
        </is>
      </c>
    </row>
    <row r="395" hidden="1">
      <c r="B395" s="28" t="inlineStr">
        <is>
          <t>Coal - New Investment Override</t>
        </is>
      </c>
      <c r="C395" s="28" t="inlineStr">
        <is>
          <t>Switch</t>
        </is>
      </c>
      <c r="D395" s="28" t="n"/>
      <c r="E395" s="28" t="n"/>
      <c r="F395" s="28" t="inlineStr">
        <is>
          <t>If Present*</t>
        </is>
      </c>
      <c r="G395" s="28" t="inlineStr">
        <is>
          <t>If Present*</t>
        </is>
      </c>
      <c r="H395" s="28" t="inlineStr">
        <is>
          <t>NewInvCoa</t>
        </is>
      </c>
      <c r="J395" s="8" t="inlineStr">
        <is>
          <t>If Present*</t>
        </is>
      </c>
      <c r="K395" s="8" t="inlineStr">
        <is>
          <t>If Present*</t>
        </is>
      </c>
      <c r="L395" s="8" t="inlineStr">
        <is>
          <t>If Present*</t>
        </is>
      </c>
      <c r="M395" s="8" t="inlineStr">
        <is>
          <t>If Present*</t>
        </is>
      </c>
      <c r="N395" s="8" t="inlineStr">
        <is>
          <t>If Present*</t>
        </is>
      </c>
      <c r="O395" s="8" t="inlineStr">
        <is>
          <t>If Present*</t>
        </is>
      </c>
    </row>
    <row r="396" hidden="1">
      <c r="B396" s="28" t="inlineStr">
        <is>
          <t>Natural gas - New Investment Override</t>
        </is>
      </c>
      <c r="C396" s="28" t="inlineStr">
        <is>
          <t>Switch</t>
        </is>
      </c>
      <c r="D396" s="28" t="n"/>
      <c r="E396" s="28" t="n"/>
      <c r="F396" s="28" t="inlineStr">
        <is>
          <t>If Present*</t>
        </is>
      </c>
      <c r="G396" s="28" t="inlineStr">
        <is>
          <t>If Present*</t>
        </is>
      </c>
      <c r="H396" s="28" t="inlineStr">
        <is>
          <t>NewInvNga</t>
        </is>
      </c>
      <c r="J396" s="8" t="inlineStr">
        <is>
          <t>If Present*</t>
        </is>
      </c>
      <c r="K396" s="8" t="inlineStr">
        <is>
          <t>If Present*</t>
        </is>
      </c>
      <c r="L396" s="8" t="inlineStr">
        <is>
          <t>If Present*</t>
        </is>
      </c>
      <c r="M396" s="8" t="inlineStr">
        <is>
          <t>If Present*</t>
        </is>
      </c>
      <c r="N396" s="8" t="inlineStr">
        <is>
          <t>If Present*</t>
        </is>
      </c>
      <c r="O396" s="8" t="inlineStr">
        <is>
          <t>If Present*</t>
        </is>
      </c>
    </row>
    <row r="397" hidden="1">
      <c r="B397" s="28" t="inlineStr">
        <is>
          <t>Oil - New Investment Override</t>
        </is>
      </c>
      <c r="C397" s="28" t="inlineStr">
        <is>
          <t>Switch</t>
        </is>
      </c>
      <c r="D397" s="28" t="n"/>
      <c r="E397" s="28" t="n"/>
      <c r="F397" s="28" t="inlineStr">
        <is>
          <t>If Present*</t>
        </is>
      </c>
      <c r="G397" s="28" t="inlineStr">
        <is>
          <t>If Present*</t>
        </is>
      </c>
      <c r="H397" s="28" t="inlineStr">
        <is>
          <t>NewInvOil</t>
        </is>
      </c>
      <c r="J397" s="8" t="inlineStr">
        <is>
          <t>If Present*</t>
        </is>
      </c>
      <c r="K397" s="8" t="inlineStr">
        <is>
          <t>If Present*</t>
        </is>
      </c>
      <c r="L397" s="8" t="inlineStr">
        <is>
          <t>If Present*</t>
        </is>
      </c>
      <c r="M397" s="8" t="inlineStr">
        <is>
          <t>If Present*</t>
        </is>
      </c>
      <c r="N397" s="8" t="inlineStr">
        <is>
          <t>If Present*</t>
        </is>
      </c>
      <c r="O397" s="8" t="inlineStr">
        <is>
          <t>If Present*</t>
        </is>
      </c>
    </row>
    <row r="398" hidden="1">
      <c r="B398" s="28" t="inlineStr">
        <is>
          <t>Nuclear - New Investment Override</t>
        </is>
      </c>
      <c r="C398" s="28" t="inlineStr">
        <is>
          <t>Switch</t>
        </is>
      </c>
      <c r="D398" s="28" t="n"/>
      <c r="E398" s="28" t="n"/>
      <c r="F398" s="28" t="inlineStr">
        <is>
          <t>If Present*</t>
        </is>
      </c>
      <c r="G398" s="28" t="inlineStr">
        <is>
          <t>If Present*</t>
        </is>
      </c>
      <c r="H398" s="28" t="inlineStr">
        <is>
          <t>NewInvNuc</t>
        </is>
      </c>
      <c r="J398" s="8" t="inlineStr">
        <is>
          <t>If Present*</t>
        </is>
      </c>
      <c r="K398" s="8" t="inlineStr">
        <is>
          <t>If Present*</t>
        </is>
      </c>
      <c r="L398" s="8" t="inlineStr">
        <is>
          <t>If Present*</t>
        </is>
      </c>
      <c r="M398" s="8" t="inlineStr">
        <is>
          <t>If Present*</t>
        </is>
      </c>
      <c r="N398" s="8" t="inlineStr">
        <is>
          <t>If Present*</t>
        </is>
      </c>
      <c r="O398" s="8" t="inlineStr">
        <is>
          <t>If Present*</t>
        </is>
      </c>
    </row>
    <row r="399" hidden="1">
      <c r="B399" s="28" t="inlineStr">
        <is>
          <t>Wind - New Investment Override</t>
        </is>
      </c>
      <c r="C399" s="28" t="inlineStr">
        <is>
          <t>Switch</t>
        </is>
      </c>
      <c r="D399" s="28" t="n"/>
      <c r="E399" s="28" t="n"/>
      <c r="F399" s="28" t="inlineStr">
        <is>
          <t>Yes</t>
        </is>
      </c>
      <c r="G399" s="28" t="inlineStr">
        <is>
          <t>Yes</t>
        </is>
      </c>
      <c r="H399" s="28" t="inlineStr">
        <is>
          <t>NewInvWnd</t>
        </is>
      </c>
      <c r="J399" s="8" t="inlineStr">
        <is>
          <t>Yes</t>
        </is>
      </c>
      <c r="K399" s="8" t="inlineStr">
        <is>
          <t>Yes</t>
        </is>
      </c>
      <c r="L399" s="8" t="inlineStr">
        <is>
          <t>Yes</t>
        </is>
      </c>
      <c r="M399" s="8" t="inlineStr">
        <is>
          <t>Yes</t>
        </is>
      </c>
      <c r="N399" s="8" t="inlineStr">
        <is>
          <t>Yes</t>
        </is>
      </c>
      <c r="O399" s="8" t="inlineStr">
        <is>
          <t>Yes</t>
        </is>
      </c>
    </row>
    <row r="400" hidden="1">
      <c r="B400" s="28" t="inlineStr">
        <is>
          <t>Solar - New Investment Override</t>
        </is>
      </c>
      <c r="C400" s="28" t="inlineStr">
        <is>
          <t>Switch</t>
        </is>
      </c>
      <c r="D400" s="28" t="n"/>
      <c r="E400" s="28" t="n"/>
      <c r="F400" s="28" t="inlineStr">
        <is>
          <t>Yes</t>
        </is>
      </c>
      <c r="G400" s="28" t="inlineStr">
        <is>
          <t>Yes</t>
        </is>
      </c>
      <c r="H400" s="28" t="inlineStr">
        <is>
          <t>NewInvSol</t>
        </is>
      </c>
      <c r="J400" s="8" t="inlineStr">
        <is>
          <t>Yes</t>
        </is>
      </c>
      <c r="K400" s="8" t="inlineStr">
        <is>
          <t>Yes</t>
        </is>
      </c>
      <c r="L400" s="8" t="inlineStr">
        <is>
          <t>Yes</t>
        </is>
      </c>
      <c r="M400" s="8" t="inlineStr">
        <is>
          <t>Yes</t>
        </is>
      </c>
      <c r="N400" s="8" t="inlineStr">
        <is>
          <t>Yes</t>
        </is>
      </c>
      <c r="O400" s="8" t="inlineStr">
        <is>
          <t>Yes</t>
        </is>
      </c>
    </row>
    <row r="401" hidden="1">
      <c r="B401" s="28" t="inlineStr">
        <is>
          <t>Hydro - New Investment Override</t>
        </is>
      </c>
      <c r="C401" s="28" t="inlineStr">
        <is>
          <t>Switch</t>
        </is>
      </c>
      <c r="D401" s="28" t="n"/>
      <c r="E401" s="28" t="n"/>
      <c r="F401" s="28" t="inlineStr">
        <is>
          <t>If Present*</t>
        </is>
      </c>
      <c r="G401" s="28" t="inlineStr">
        <is>
          <t>If Present*</t>
        </is>
      </c>
      <c r="H401" s="28" t="inlineStr">
        <is>
          <t>NewInvHyd</t>
        </is>
      </c>
      <c r="J401" s="8" t="inlineStr">
        <is>
          <t>If Present*</t>
        </is>
      </c>
      <c r="K401" s="8" t="inlineStr">
        <is>
          <t>If Present*</t>
        </is>
      </c>
      <c r="L401" s="8" t="inlineStr">
        <is>
          <t>If Present*</t>
        </is>
      </c>
      <c r="M401" s="8" t="inlineStr">
        <is>
          <t>If Present*</t>
        </is>
      </c>
      <c r="N401" s="8" t="inlineStr">
        <is>
          <t>If Present*</t>
        </is>
      </c>
      <c r="O401" s="8" t="inlineStr">
        <is>
          <t>If Present*</t>
        </is>
      </c>
    </row>
    <row r="402" hidden="1">
      <c r="B402" s="28" t="inlineStr">
        <is>
          <t>Other renewables - New Investment Override</t>
        </is>
      </c>
      <c r="C402" s="28" t="inlineStr">
        <is>
          <t>Switch</t>
        </is>
      </c>
      <c r="D402" s="28" t="n"/>
      <c r="E402" s="28" t="n"/>
      <c r="F402" s="28" t="inlineStr">
        <is>
          <t>If Present*</t>
        </is>
      </c>
      <c r="G402" s="28" t="inlineStr">
        <is>
          <t>If Present*</t>
        </is>
      </c>
      <c r="H402" s="28" t="inlineStr">
        <is>
          <t>NewInvOre</t>
        </is>
      </c>
      <c r="J402" s="8" t="inlineStr">
        <is>
          <t>If Present*</t>
        </is>
      </c>
      <c r="K402" s="8" t="inlineStr">
        <is>
          <t>If Present*</t>
        </is>
      </c>
      <c r="L402" s="8" t="inlineStr">
        <is>
          <t>If Present*</t>
        </is>
      </c>
      <c r="M402" s="8" t="inlineStr">
        <is>
          <t>If Present*</t>
        </is>
      </c>
      <c r="N402" s="8" t="inlineStr">
        <is>
          <t>If Present*</t>
        </is>
      </c>
      <c r="O402" s="8" t="inlineStr">
        <is>
          <t>If Present*</t>
        </is>
      </c>
    </row>
    <row r="403" hidden="1">
      <c r="B403" s="28" t="inlineStr">
        <is>
          <t>Biomass - New Investment Override</t>
        </is>
      </c>
      <c r="C403" s="28" t="inlineStr">
        <is>
          <t>Switch</t>
        </is>
      </c>
      <c r="D403" s="28" t="n"/>
      <c r="E403" s="28" t="n"/>
      <c r="F403" s="28" t="inlineStr">
        <is>
          <t>If Present*</t>
        </is>
      </c>
      <c r="G403" s="28" t="inlineStr">
        <is>
          <t>If Present*</t>
        </is>
      </c>
      <c r="H403" s="28" t="inlineStr">
        <is>
          <t>NewInvBio</t>
        </is>
      </c>
      <c r="J403" s="8" t="inlineStr">
        <is>
          <t>If Present*</t>
        </is>
      </c>
      <c r="K403" s="8" t="inlineStr">
        <is>
          <t>If Present*</t>
        </is>
      </c>
      <c r="L403" s="8" t="inlineStr">
        <is>
          <t>If Present*</t>
        </is>
      </c>
      <c r="M403" s="8" t="inlineStr">
        <is>
          <t>If Present*</t>
        </is>
      </c>
      <c r="N403" s="8" t="inlineStr">
        <is>
          <t>If Present*</t>
        </is>
      </c>
      <c r="O403" s="8" t="inlineStr">
        <is>
          <t>If Present*</t>
        </is>
      </c>
    </row>
    <row r="404" hidden="1">
      <c r="B404" t="inlineStr">
        <is>
          <t>Allowed New Investments (Date of Coming Online)</t>
        </is>
      </c>
    </row>
    <row r="405" hidden="1">
      <c r="B405" s="28" t="inlineStr">
        <is>
          <t>Coal</t>
        </is>
      </c>
      <c r="C405" s="28" t="inlineStr">
        <is>
          <t>Year</t>
        </is>
      </c>
      <c r="D405" s="28" t="n"/>
      <c r="E405" s="28" t="n"/>
      <c r="F405" s="28" t="n">
        <v>2022</v>
      </c>
      <c r="G405" s="28" t="n">
        <v>2022</v>
      </c>
      <c r="H405" s="28" t="inlineStr">
        <is>
          <t>NewInvCoaYear</t>
        </is>
      </c>
      <c r="J405" s="8" t="n">
        <v>2022</v>
      </c>
      <c r="K405" s="8" t="n">
        <v>2022</v>
      </c>
      <c r="L405" s="8" t="n">
        <v>2022</v>
      </c>
      <c r="M405" s="8" t="n">
        <v>2022</v>
      </c>
      <c r="N405" s="8" t="n">
        <v>2022</v>
      </c>
      <c r="O405" s="8" t="n">
        <v>2022</v>
      </c>
    </row>
    <row r="406" hidden="1">
      <c r="B406" s="28" t="inlineStr">
        <is>
          <t>Natural gas</t>
        </is>
      </c>
      <c r="C406" s="28" t="inlineStr">
        <is>
          <t>Year</t>
        </is>
      </c>
      <c r="D406" s="28" t="n"/>
      <c r="E406" s="28" t="n"/>
      <c r="F406" s="28" t="n">
        <v>2022</v>
      </c>
      <c r="G406" s="28" t="n">
        <v>2022</v>
      </c>
      <c r="H406" s="28" t="inlineStr">
        <is>
          <t>NewInvNgaYear</t>
        </is>
      </c>
      <c r="J406" s="8" t="n">
        <v>2022</v>
      </c>
      <c r="K406" s="8" t="n">
        <v>2022</v>
      </c>
      <c r="L406" s="8" t="n">
        <v>2022</v>
      </c>
      <c r="M406" s="8" t="n">
        <v>2022</v>
      </c>
      <c r="N406" s="8" t="n">
        <v>2022</v>
      </c>
      <c r="O406" s="8" t="n">
        <v>2022</v>
      </c>
    </row>
    <row r="407" hidden="1">
      <c r="B407" s="28" t="inlineStr">
        <is>
          <t>Oil</t>
        </is>
      </c>
      <c r="C407" s="28" t="inlineStr">
        <is>
          <t>Year</t>
        </is>
      </c>
      <c r="D407" s="28" t="n"/>
      <c r="E407" s="28" t="n"/>
      <c r="F407" s="28" t="n">
        <v>2022</v>
      </c>
      <c r="G407" s="28" t="n">
        <v>2022</v>
      </c>
      <c r="H407" s="28" t="inlineStr">
        <is>
          <t>NewInvOilYear</t>
        </is>
      </c>
      <c r="J407" s="8" t="n">
        <v>2022</v>
      </c>
      <c r="K407" s="8" t="n">
        <v>2022</v>
      </c>
      <c r="L407" s="8" t="n">
        <v>2022</v>
      </c>
      <c r="M407" s="8" t="n">
        <v>2022</v>
      </c>
      <c r="N407" s="8" t="n">
        <v>2022</v>
      </c>
      <c r="O407" s="8" t="n">
        <v>2022</v>
      </c>
    </row>
    <row r="408" hidden="1">
      <c r="B408" s="28" t="inlineStr">
        <is>
          <t>Nuclear</t>
        </is>
      </c>
      <c r="C408" s="28" t="inlineStr">
        <is>
          <t>Year</t>
        </is>
      </c>
      <c r="D408" s="28" t="n"/>
      <c r="E408" s="28" t="n"/>
      <c r="F408" s="28" t="n">
        <v>2030</v>
      </c>
      <c r="G408" s="28" t="n">
        <v>2030</v>
      </c>
      <c r="H408" s="28" t="inlineStr">
        <is>
          <t>NewInvNucYear</t>
        </is>
      </c>
      <c r="J408" s="8" t="n">
        <v>2030</v>
      </c>
      <c r="K408" s="8" t="n">
        <v>2030</v>
      </c>
      <c r="L408" s="8" t="n">
        <v>2030</v>
      </c>
      <c r="M408" s="8" t="n">
        <v>2030</v>
      </c>
      <c r="N408" s="8" t="n">
        <v>2030</v>
      </c>
      <c r="O408" s="8" t="n">
        <v>2030</v>
      </c>
    </row>
    <row r="409" hidden="1">
      <c r="B409" s="28" t="inlineStr">
        <is>
          <t>Wind</t>
        </is>
      </c>
      <c r="C409" s="28" t="inlineStr">
        <is>
          <t>Year</t>
        </is>
      </c>
      <c r="D409" s="28" t="n"/>
      <c r="E409" s="28" t="n"/>
      <c r="F409" s="28" t="n">
        <v>2022</v>
      </c>
      <c r="G409" s="28" t="n">
        <v>2022</v>
      </c>
      <c r="H409" s="28" t="inlineStr">
        <is>
          <t>NewInvWndYear</t>
        </is>
      </c>
      <c r="J409" s="8" t="n">
        <v>2022</v>
      </c>
      <c r="K409" s="8" t="n">
        <v>2022</v>
      </c>
      <c r="L409" s="8" t="n">
        <v>2022</v>
      </c>
      <c r="M409" s="8" t="n">
        <v>2022</v>
      </c>
      <c r="N409" s="8" t="n">
        <v>2022</v>
      </c>
      <c r="O409" s="8" t="n">
        <v>2022</v>
      </c>
    </row>
    <row r="410" hidden="1">
      <c r="B410" s="28" t="inlineStr">
        <is>
          <t>Solar</t>
        </is>
      </c>
      <c r="C410" s="28" t="inlineStr">
        <is>
          <t>Year</t>
        </is>
      </c>
      <c r="D410" s="28" t="n"/>
      <c r="E410" s="28" t="n"/>
      <c r="F410" s="28" t="n">
        <v>2022</v>
      </c>
      <c r="G410" s="28" t="n">
        <v>2022</v>
      </c>
      <c r="H410" s="28" t="inlineStr">
        <is>
          <t>NewInvSolYear</t>
        </is>
      </c>
      <c r="J410" s="8" t="n">
        <v>2022</v>
      </c>
      <c r="K410" s="8" t="n">
        <v>2022</v>
      </c>
      <c r="L410" s="8" t="n">
        <v>2022</v>
      </c>
      <c r="M410" s="8" t="n">
        <v>2022</v>
      </c>
      <c r="N410" s="8" t="n">
        <v>2022</v>
      </c>
      <c r="O410" s="8" t="n">
        <v>2022</v>
      </c>
    </row>
    <row r="411" hidden="1">
      <c r="B411" s="28" t="inlineStr">
        <is>
          <t>Hydro</t>
        </is>
      </c>
      <c r="C411" s="28" t="inlineStr">
        <is>
          <t>Year</t>
        </is>
      </c>
      <c r="D411" s="28" t="n"/>
      <c r="E411" s="28" t="n"/>
      <c r="F411" s="28" t="n">
        <v>2030</v>
      </c>
      <c r="G411" s="28" t="n">
        <v>2030</v>
      </c>
      <c r="H411" s="28" t="inlineStr">
        <is>
          <t>NewInvHydYear</t>
        </is>
      </c>
      <c r="J411" s="8" t="n">
        <v>2030</v>
      </c>
      <c r="K411" s="8" t="n">
        <v>2030</v>
      </c>
      <c r="L411" s="8" t="n">
        <v>2030</v>
      </c>
      <c r="M411" s="8" t="n">
        <v>2030</v>
      </c>
      <c r="N411" s="8" t="n">
        <v>2030</v>
      </c>
      <c r="O411" s="8" t="n">
        <v>2030</v>
      </c>
    </row>
    <row r="412" hidden="1">
      <c r="B412" s="28" t="inlineStr">
        <is>
          <t>Other renewables</t>
        </is>
      </c>
      <c r="C412" s="28" t="inlineStr">
        <is>
          <t>Year</t>
        </is>
      </c>
      <c r="D412" s="28" t="n"/>
      <c r="E412" s="28" t="n"/>
      <c r="F412" s="28" t="n">
        <v>2030</v>
      </c>
      <c r="G412" s="28" t="n">
        <v>2030</v>
      </c>
      <c r="H412" s="28" t="inlineStr">
        <is>
          <t>NewInvOreYear</t>
        </is>
      </c>
      <c r="J412" s="8" t="n">
        <v>2030</v>
      </c>
      <c r="K412" s="8" t="n">
        <v>2030</v>
      </c>
      <c r="L412" s="8" t="n">
        <v>2030</v>
      </c>
      <c r="M412" s="8" t="n">
        <v>2030</v>
      </c>
      <c r="N412" s="8" t="n">
        <v>2030</v>
      </c>
      <c r="O412" s="8" t="n">
        <v>2030</v>
      </c>
    </row>
    <row r="413" hidden="1">
      <c r="B413" s="28" t="inlineStr">
        <is>
          <t>Biomass</t>
        </is>
      </c>
      <c r="C413" s="28" t="inlineStr">
        <is>
          <t>Year</t>
        </is>
      </c>
      <c r="D413" s="28" t="n"/>
      <c r="E413" s="28" t="n"/>
      <c r="F413" s="28" t="n">
        <v>2022</v>
      </c>
      <c r="G413" s="28" t="n">
        <v>2022</v>
      </c>
      <c r="H413" s="28" t="inlineStr">
        <is>
          <t>NewInvBioYear</t>
        </is>
      </c>
      <c r="J413" s="8" t="n">
        <v>2022</v>
      </c>
      <c r="K413" s="8" t="n">
        <v>2022</v>
      </c>
      <c r="L413" s="8" t="n">
        <v>2022</v>
      </c>
      <c r="M413" s="8" t="n">
        <v>2022</v>
      </c>
      <c r="N413" s="8" t="n">
        <v>2022</v>
      </c>
      <c r="O413" s="8" t="n">
        <v>2022</v>
      </c>
    </row>
    <row r="414" hidden="1"/>
    <row r="415" hidden="1">
      <c r="B415" s="30" t="inlineStr">
        <is>
          <t>New policies (rows the prototype adds below the legacy table; per scenario)</t>
        </is>
      </c>
      <c r="C415" s="5" t="n"/>
      <c r="D415" s="5" t="n"/>
      <c r="E415" s="5" t="n"/>
      <c r="F415" s="5" t="n"/>
      <c r="G415" s="5" t="n"/>
      <c r="H415" s="5" t="n"/>
      <c r="I415" s="5" t="n"/>
      <c r="J415" s="5" t="n"/>
      <c r="K415" s="5" t="n"/>
      <c r="L415" s="5" t="n"/>
      <c r="M415" s="5" t="n"/>
      <c r="N415" s="5" t="n"/>
      <c r="O415" s="5" t="n"/>
    </row>
    <row r="416" hidden="1">
      <c r="B416" s="31" t="inlineStr">
        <is>
          <t>Road transport: engineer road model policies (legacy Dashboard rows 61-98, all off by default; used when TrModel = Engineer)</t>
        </is>
      </c>
    </row>
    <row r="417" hidden="1">
      <c r="B417" s="32" t="inlineStr">
        <is>
          <t>Vehicle feebate: year of introduction, passenger</t>
        </is>
      </c>
      <c r="C417" s="32" t="inlineStr">
        <is>
          <t>year</t>
        </is>
      </c>
      <c r="D417" s="32" t="n"/>
      <c r="E417" s="32" t="n"/>
      <c r="F417" s="32" t="n">
        <v>2027</v>
      </c>
      <c r="G417" s="32" t="n">
        <v>2027</v>
      </c>
      <c r="H417" s="32" t="inlineStr">
        <is>
          <t>TrFbYearPas</t>
        </is>
      </c>
      <c r="J417" s="8" t="n">
        <v>2027</v>
      </c>
      <c r="K417" s="8" t="n">
        <v>2027</v>
      </c>
      <c r="L417" s="8" t="n">
        <v>2027</v>
      </c>
      <c r="M417" s="8" t="n">
        <v>2027</v>
      </c>
      <c r="N417" s="8" t="n">
        <v>2027</v>
      </c>
      <c r="O417" s="8" t="n">
        <v>2027</v>
      </c>
    </row>
    <row r="418" hidden="1">
      <c r="B418" s="32" t="inlineStr">
        <is>
          <t>Vehicle feebate: year of introduction, freight</t>
        </is>
      </c>
      <c r="C418" s="32" t="inlineStr">
        <is>
          <t>year</t>
        </is>
      </c>
      <c r="D418" s="32" t="n"/>
      <c r="E418" s="32" t="n"/>
      <c r="F418" s="32" t="n">
        <v>2028</v>
      </c>
      <c r="G418" s="32" t="n">
        <v>2028</v>
      </c>
      <c r="H418" s="32" t="inlineStr">
        <is>
          <t>TrFbYearFre</t>
        </is>
      </c>
      <c r="J418" s="8" t="n">
        <v>2028</v>
      </c>
      <c r="K418" s="8" t="n">
        <v>2028</v>
      </c>
      <c r="L418" s="8" t="n">
        <v>2028</v>
      </c>
      <c r="M418" s="8" t="n">
        <v>2028</v>
      </c>
      <c r="N418" s="8" t="n">
        <v>2028</v>
      </c>
      <c r="O418" s="8" t="n">
        <v>2028</v>
      </c>
    </row>
    <row r="419" hidden="1">
      <c r="B419" s="32" t="inlineStr">
        <is>
          <t>Vehicle feebate: year of introduction, 2-3 wheeler</t>
        </is>
      </c>
      <c r="C419" s="32" t="inlineStr">
        <is>
          <t>year</t>
        </is>
      </c>
      <c r="D419" s="32" t="n"/>
      <c r="E419" s="32" t="n"/>
      <c r="F419" s="32" t="n">
        <v>2026</v>
      </c>
      <c r="G419" s="32" t="n">
        <v>2026</v>
      </c>
      <c r="H419" s="32" t="inlineStr">
        <is>
          <t>TrFbYearCyc</t>
        </is>
      </c>
      <c r="J419" s="8" t="n">
        <v>2026</v>
      </c>
      <c r="K419" s="8" t="n">
        <v>2026</v>
      </c>
      <c r="L419" s="8" t="n">
        <v>2026</v>
      </c>
      <c r="M419" s="8" t="n">
        <v>2026</v>
      </c>
      <c r="N419" s="8" t="n">
        <v>2026</v>
      </c>
      <c r="O419" s="8" t="n">
        <v>2026</v>
      </c>
    </row>
    <row r="420" hidden="1">
      <c r="B420" s="28" t="inlineStr">
        <is>
          <t>Vehicle feebate: rate, passenger</t>
        </is>
      </c>
      <c r="C420" s="28" t="inlineStr">
        <is>
          <t>USD/tCO2</t>
        </is>
      </c>
      <c r="D420" s="28" t="n"/>
      <c r="E420" s="28" t="n"/>
      <c r="F420" s="28" t="n">
        <v>0</v>
      </c>
      <c r="G420" s="28" t="n">
        <v>0</v>
      </c>
      <c r="H420" s="28" t="inlineStr">
        <is>
          <t>TrFbRatePas</t>
        </is>
      </c>
      <c r="J420" s="8" t="n">
        <v>0</v>
      </c>
      <c r="K420" s="8" t="n">
        <v>0</v>
      </c>
      <c r="L420" s="8" t="n">
        <v>0</v>
      </c>
      <c r="M420" s="8" t="n">
        <v>0</v>
      </c>
      <c r="N420" s="8" t="n">
        <v>0</v>
      </c>
      <c r="O420" s="8" t="n">
        <v>0</v>
      </c>
    </row>
    <row r="421" hidden="1">
      <c r="B421" s="28" t="inlineStr">
        <is>
          <t>Vehicle feebate: rate, freight</t>
        </is>
      </c>
      <c r="C421" s="28" t="inlineStr">
        <is>
          <t>USD/tCO2</t>
        </is>
      </c>
      <c r="D421" s="28" t="n"/>
      <c r="E421" s="28" t="n"/>
      <c r="F421" s="28" t="n">
        <v>0</v>
      </c>
      <c r="G421" s="28" t="n">
        <v>0</v>
      </c>
      <c r="H421" s="28" t="inlineStr">
        <is>
          <t>TrFbRateFre</t>
        </is>
      </c>
      <c r="J421" s="8" t="n">
        <v>0</v>
      </c>
      <c r="K421" s="8" t="n">
        <v>0</v>
      </c>
      <c r="L421" s="8" t="n">
        <v>0</v>
      </c>
      <c r="M421" s="8" t="n">
        <v>0</v>
      </c>
      <c r="N421" s="8" t="n">
        <v>0</v>
      </c>
      <c r="O421" s="8" t="n">
        <v>0</v>
      </c>
    </row>
    <row r="422" hidden="1">
      <c r="B422" s="28" t="inlineStr">
        <is>
          <t>Vehicle feebate: rate, 2-3 wheeler</t>
        </is>
      </c>
      <c r="C422" s="28" t="inlineStr">
        <is>
          <t>USD/tCO2</t>
        </is>
      </c>
      <c r="D422" s="28" t="n"/>
      <c r="E422" s="28" t="n"/>
      <c r="F422" s="28" t="n">
        <v>0</v>
      </c>
      <c r="G422" s="28" t="n">
        <v>0</v>
      </c>
      <c r="H422" s="28" t="inlineStr">
        <is>
          <t>TrFbRateCyc</t>
        </is>
      </c>
      <c r="J422" s="8" t="n">
        <v>0</v>
      </c>
      <c r="K422" s="8" t="n">
        <v>0</v>
      </c>
      <c r="L422" s="8" t="n">
        <v>0</v>
      </c>
      <c r="M422" s="8" t="n">
        <v>0</v>
      </c>
      <c r="N422" s="8" t="n">
        <v>0</v>
      </c>
      <c r="O422" s="8" t="n">
        <v>0</v>
      </c>
    </row>
    <row r="423" hidden="1">
      <c r="B423" s="28" t="inlineStr">
        <is>
          <t>Vehicle feebate: pivot type (Average / Manual), passenger</t>
        </is>
      </c>
      <c r="C423" s="28" t="inlineStr">
        <is>
          <t>option</t>
        </is>
      </c>
      <c r="D423" s="28" t="n"/>
      <c r="E423" s="28" t="n"/>
      <c r="F423" s="28" t="inlineStr">
        <is>
          <t>Manual</t>
        </is>
      </c>
      <c r="G423" s="28" t="inlineStr">
        <is>
          <t>Manual</t>
        </is>
      </c>
      <c r="H423" s="28" t="inlineStr">
        <is>
          <t>TrFbPivotTypePas</t>
        </is>
      </c>
      <c r="J423" s="8" t="inlineStr">
        <is>
          <t>Manual</t>
        </is>
      </c>
      <c r="K423" s="8" t="inlineStr">
        <is>
          <t>Manual</t>
        </is>
      </c>
      <c r="L423" s="8" t="inlineStr">
        <is>
          <t>Manual</t>
        </is>
      </c>
      <c r="M423" s="8" t="inlineStr">
        <is>
          <t>Manual</t>
        </is>
      </c>
      <c r="N423" s="8" t="inlineStr">
        <is>
          <t>Manual</t>
        </is>
      </c>
      <c r="O423" s="8" t="inlineStr">
        <is>
          <t>Manual</t>
        </is>
      </c>
    </row>
    <row r="424" hidden="1">
      <c r="B424" s="28" t="inlineStr">
        <is>
          <t>Vehicle feebate: pivot type (Average / Manual), freight</t>
        </is>
      </c>
      <c r="C424" s="28" t="inlineStr">
        <is>
          <t>option</t>
        </is>
      </c>
      <c r="D424" s="28" t="n"/>
      <c r="E424" s="28" t="n"/>
      <c r="F424" s="28" t="inlineStr">
        <is>
          <t>Average</t>
        </is>
      </c>
      <c r="G424" s="28" t="inlineStr">
        <is>
          <t>Average</t>
        </is>
      </c>
      <c r="H424" s="28" t="inlineStr">
        <is>
          <t>TrFbPivotTypeFre</t>
        </is>
      </c>
      <c r="J424" s="8" t="inlineStr">
        <is>
          <t>Average</t>
        </is>
      </c>
      <c r="K424" s="8" t="inlineStr">
        <is>
          <t>Average</t>
        </is>
      </c>
      <c r="L424" s="8" t="inlineStr">
        <is>
          <t>Average</t>
        </is>
      </c>
      <c r="M424" s="8" t="inlineStr">
        <is>
          <t>Average</t>
        </is>
      </c>
      <c r="N424" s="8" t="inlineStr">
        <is>
          <t>Average</t>
        </is>
      </c>
      <c r="O424" s="8" t="inlineStr">
        <is>
          <t>Average</t>
        </is>
      </c>
    </row>
    <row r="425" hidden="1">
      <c r="B425" s="28" t="inlineStr">
        <is>
          <t>Vehicle feebate: pivot type (Average / Manual), 2-3 wheeler</t>
        </is>
      </c>
      <c r="C425" s="28" t="inlineStr">
        <is>
          <t>option</t>
        </is>
      </c>
      <c r="D425" s="28" t="n"/>
      <c r="E425" s="28" t="n"/>
      <c r="F425" s="28" t="inlineStr">
        <is>
          <t>Average</t>
        </is>
      </c>
      <c r="G425" s="28" t="inlineStr">
        <is>
          <t>Average</t>
        </is>
      </c>
      <c r="H425" s="28" t="inlineStr">
        <is>
          <t>TrFbPivotTypeCyc</t>
        </is>
      </c>
      <c r="J425" s="8" t="inlineStr">
        <is>
          <t>Average</t>
        </is>
      </c>
      <c r="K425" s="8" t="inlineStr">
        <is>
          <t>Average</t>
        </is>
      </c>
      <c r="L425" s="8" t="inlineStr">
        <is>
          <t>Average</t>
        </is>
      </c>
      <c r="M425" s="8" t="inlineStr">
        <is>
          <t>Average</t>
        </is>
      </c>
      <c r="N425" s="8" t="inlineStr">
        <is>
          <t>Average</t>
        </is>
      </c>
      <c r="O425" s="8" t="inlineStr">
        <is>
          <t>Average</t>
        </is>
      </c>
    </row>
    <row r="426" hidden="1">
      <c r="B426" s="28" t="inlineStr">
        <is>
          <t>Vehicle feebate: manual pivot point, passenger</t>
        </is>
      </c>
      <c r="C426" s="28" t="inlineStr">
        <is>
          <t>gCO2/km</t>
        </is>
      </c>
      <c r="D426" s="28" t="n"/>
      <c r="E426" s="28" t="n"/>
      <c r="F426" s="28" t="n">
        <v>0</v>
      </c>
      <c r="G426" s="28" t="n">
        <v>0</v>
      </c>
      <c r="H426" s="28" t="inlineStr">
        <is>
          <t>TrFbPivotPas</t>
        </is>
      </c>
      <c r="J426" s="8" t="n">
        <v>0</v>
      </c>
      <c r="K426" s="8" t="n">
        <v>0</v>
      </c>
      <c r="L426" s="8" t="n">
        <v>0</v>
      </c>
      <c r="M426" s="8" t="n">
        <v>0</v>
      </c>
      <c r="N426" s="8" t="n">
        <v>0</v>
      </c>
      <c r="O426" s="8" t="n">
        <v>0</v>
      </c>
    </row>
    <row r="427" hidden="1">
      <c r="B427" s="28" t="inlineStr">
        <is>
          <t>Vehicle feebate: manual pivot point, freight</t>
        </is>
      </c>
      <c r="C427" s="28" t="inlineStr">
        <is>
          <t>gCO2/km</t>
        </is>
      </c>
      <c r="D427" s="28" t="n"/>
      <c r="E427" s="28" t="n"/>
      <c r="F427" s="28" t="n">
        <v>500</v>
      </c>
      <c r="G427" s="28" t="n">
        <v>500</v>
      </c>
      <c r="H427" s="28" t="inlineStr">
        <is>
          <t>TrFbPivotFre</t>
        </is>
      </c>
      <c r="J427" s="8" t="n">
        <v>500</v>
      </c>
      <c r="K427" s="8" t="n">
        <v>500</v>
      </c>
      <c r="L427" s="8" t="n">
        <v>500</v>
      </c>
      <c r="M427" s="8" t="n">
        <v>500</v>
      </c>
      <c r="N427" s="8" t="n">
        <v>500</v>
      </c>
      <c r="O427" s="8" t="n">
        <v>500</v>
      </c>
    </row>
    <row r="428" hidden="1">
      <c r="B428" s="28" t="inlineStr">
        <is>
          <t>Vehicle feebate: manual pivot point, 2-3 wheeler</t>
        </is>
      </c>
      <c r="C428" s="28" t="inlineStr">
        <is>
          <t>gCO2/km</t>
        </is>
      </c>
      <c r="D428" s="28" t="n"/>
      <c r="E428" s="28" t="n"/>
      <c r="F428" s="28" t="n">
        <v>50</v>
      </c>
      <c r="G428" s="28" t="n">
        <v>50</v>
      </c>
      <c r="H428" s="28" t="inlineStr">
        <is>
          <t>TrFbPivotCyc</t>
        </is>
      </c>
      <c r="J428" s="8" t="n">
        <v>50</v>
      </c>
      <c r="K428" s="8" t="n">
        <v>50</v>
      </c>
      <c r="L428" s="8" t="n">
        <v>50</v>
      </c>
      <c r="M428" s="8" t="n">
        <v>50</v>
      </c>
      <c r="N428" s="8" t="n">
        <v>50</v>
      </c>
      <c r="O428" s="8" t="n">
        <v>50</v>
      </c>
    </row>
    <row r="429" hidden="1">
      <c r="B429" s="28" t="inlineStr">
        <is>
          <t>Vehicle feebate: annual decline of the manual pivot, passenger</t>
        </is>
      </c>
      <c r="C429" s="28" t="inlineStr">
        <is>
          <t>gCO2/km</t>
        </is>
      </c>
      <c r="D429" s="28" t="n"/>
      <c r="E429" s="28" t="n"/>
      <c r="F429" s="28" t="n">
        <v>5</v>
      </c>
      <c r="G429" s="28" t="n">
        <v>5</v>
      </c>
      <c r="H429" s="28" t="inlineStr">
        <is>
          <t>TrFbPivotChgPas</t>
        </is>
      </c>
      <c r="J429" s="8" t="n">
        <v>5</v>
      </c>
      <c r="K429" s="8" t="n">
        <v>5</v>
      </c>
      <c r="L429" s="8" t="n">
        <v>5</v>
      </c>
      <c r="M429" s="8" t="n">
        <v>5</v>
      </c>
      <c r="N429" s="8" t="n">
        <v>5</v>
      </c>
      <c r="O429" s="8" t="n">
        <v>5</v>
      </c>
    </row>
    <row r="430" hidden="1">
      <c r="B430" s="28" t="inlineStr">
        <is>
          <t>Vehicle feebate: annual decline of the manual pivot, freight</t>
        </is>
      </c>
      <c r="C430" s="28" t="inlineStr">
        <is>
          <t>gCO2/km</t>
        </is>
      </c>
      <c r="D430" s="28" t="n"/>
      <c r="E430" s="28" t="n"/>
      <c r="F430" s="28" t="n">
        <v>5</v>
      </c>
      <c r="G430" s="28" t="n">
        <v>5</v>
      </c>
      <c r="H430" s="28" t="inlineStr">
        <is>
          <t>TrFbPivotChgFre</t>
        </is>
      </c>
      <c r="J430" s="8" t="n">
        <v>5</v>
      </c>
      <c r="K430" s="8" t="n">
        <v>5</v>
      </c>
      <c r="L430" s="8" t="n">
        <v>5</v>
      </c>
      <c r="M430" s="8" t="n">
        <v>5</v>
      </c>
      <c r="N430" s="8" t="n">
        <v>5</v>
      </c>
      <c r="O430" s="8" t="n">
        <v>5</v>
      </c>
    </row>
    <row r="431" hidden="1">
      <c r="B431" s="28" t="inlineStr">
        <is>
          <t>Vehicle feebate: annual decline of the manual pivot, 2-3 wheeler</t>
        </is>
      </c>
      <c r="C431" s="28" t="inlineStr">
        <is>
          <t>gCO2/km</t>
        </is>
      </c>
      <c r="D431" s="28" t="n"/>
      <c r="E431" s="28" t="n"/>
      <c r="F431" s="28" t="n">
        <v>5</v>
      </c>
      <c r="G431" s="28" t="n">
        <v>5</v>
      </c>
      <c r="H431" s="28" t="inlineStr">
        <is>
          <t>TrFbPivotChgCyc</t>
        </is>
      </c>
      <c r="J431" s="8" t="n">
        <v>5</v>
      </c>
      <c r="K431" s="8" t="n">
        <v>5</v>
      </c>
      <c r="L431" s="8" t="n">
        <v>5</v>
      </c>
      <c r="M431" s="8" t="n">
        <v>5</v>
      </c>
      <c r="N431" s="8" t="n">
        <v>5</v>
      </c>
      <c r="O431" s="8" t="n">
        <v>5</v>
      </c>
    </row>
    <row r="432" hidden="1">
      <c r="B432" s="32" t="inlineStr">
        <is>
          <t>Distance tax: year of introduction, passenger</t>
        </is>
      </c>
      <c r="C432" s="32" t="inlineStr">
        <is>
          <t>year</t>
        </is>
      </c>
      <c r="D432" s="32" t="n"/>
      <c r="E432" s="32" t="n"/>
      <c r="F432" s="32" t="n">
        <v>2027</v>
      </c>
      <c r="G432" s="32" t="n">
        <v>2027</v>
      </c>
      <c r="H432" s="32" t="inlineStr">
        <is>
          <t>TrDtYearPas</t>
        </is>
      </c>
      <c r="J432" s="8" t="n">
        <v>2027</v>
      </c>
      <c r="K432" s="8" t="n">
        <v>2027</v>
      </c>
      <c r="L432" s="8" t="n">
        <v>2027</v>
      </c>
      <c r="M432" s="8" t="n">
        <v>2027</v>
      </c>
      <c r="N432" s="8" t="n">
        <v>2027</v>
      </c>
      <c r="O432" s="8" t="n">
        <v>2027</v>
      </c>
    </row>
    <row r="433" hidden="1">
      <c r="B433" s="32" t="inlineStr">
        <is>
          <t>Distance tax: year of introduction, freight</t>
        </is>
      </c>
      <c r="C433" s="32" t="inlineStr">
        <is>
          <t>year</t>
        </is>
      </c>
      <c r="D433" s="32" t="n"/>
      <c r="E433" s="32" t="n"/>
      <c r="F433" s="32" t="n">
        <v>2027</v>
      </c>
      <c r="G433" s="32" t="n">
        <v>2027</v>
      </c>
      <c r="H433" s="32" t="inlineStr">
        <is>
          <t>TrDtYearFre</t>
        </is>
      </c>
      <c r="J433" s="8" t="n">
        <v>2027</v>
      </c>
      <c r="K433" s="8" t="n">
        <v>2027</v>
      </c>
      <c r="L433" s="8" t="n">
        <v>2027</v>
      </c>
      <c r="M433" s="8" t="n">
        <v>2027</v>
      </c>
      <c r="N433" s="8" t="n">
        <v>2027</v>
      </c>
      <c r="O433" s="8" t="n">
        <v>2027</v>
      </c>
    </row>
    <row r="434" hidden="1">
      <c r="B434" s="32" t="inlineStr">
        <is>
          <t>Distance tax: year of introduction, 2-3 wheeler</t>
        </is>
      </c>
      <c r="C434" s="32" t="inlineStr">
        <is>
          <t>year</t>
        </is>
      </c>
      <c r="D434" s="32" t="n"/>
      <c r="E434" s="32" t="n"/>
      <c r="F434" s="32" t="n">
        <v>2027</v>
      </c>
      <c r="G434" s="32" t="n">
        <v>2027</v>
      </c>
      <c r="H434" s="32" t="inlineStr">
        <is>
          <t>TrDtYearCyc</t>
        </is>
      </c>
      <c r="J434" s="8" t="n">
        <v>2027</v>
      </c>
      <c r="K434" s="8" t="n">
        <v>2027</v>
      </c>
      <c r="L434" s="8" t="n">
        <v>2027</v>
      </c>
      <c r="M434" s="8" t="n">
        <v>2027</v>
      </c>
      <c r="N434" s="8" t="n">
        <v>2027</v>
      </c>
      <c r="O434" s="8" t="n">
        <v>2027</v>
      </c>
    </row>
    <row r="435" hidden="1">
      <c r="B435" s="28" t="inlineStr">
        <is>
          <t>Distance tax: amount in the first year, passenger</t>
        </is>
      </c>
      <c r="C435" s="28" t="inlineStr">
        <is>
          <t>USD/km</t>
        </is>
      </c>
      <c r="D435" s="28" t="n"/>
      <c r="E435" s="28" t="n"/>
      <c r="F435" s="28" t="n">
        <v>0</v>
      </c>
      <c r="G435" s="28" t="n">
        <v>0</v>
      </c>
      <c r="H435" s="28" t="inlineStr">
        <is>
          <t>TrDtStartPas</t>
        </is>
      </c>
      <c r="J435" s="8" t="n">
        <v>0</v>
      </c>
      <c r="K435" s="8" t="n">
        <v>0</v>
      </c>
      <c r="L435" s="8" t="n">
        <v>0</v>
      </c>
      <c r="M435" s="8" t="n">
        <v>0</v>
      </c>
      <c r="N435" s="8" t="n">
        <v>0</v>
      </c>
      <c r="O435" s="8" t="n">
        <v>0</v>
      </c>
    </row>
    <row r="436" hidden="1">
      <c r="B436" s="28" t="inlineStr">
        <is>
          <t>Distance tax: amount in the first year, freight</t>
        </is>
      </c>
      <c r="C436" s="28" t="inlineStr">
        <is>
          <t>USD/km</t>
        </is>
      </c>
      <c r="D436" s="28" t="n"/>
      <c r="E436" s="28" t="n"/>
      <c r="F436" s="28" t="n">
        <v>0</v>
      </c>
      <c r="G436" s="28" t="n">
        <v>0</v>
      </c>
      <c r="H436" s="28" t="inlineStr">
        <is>
          <t>TrDtStartFre</t>
        </is>
      </c>
      <c r="J436" s="8" t="n">
        <v>0</v>
      </c>
      <c r="K436" s="8" t="n">
        <v>0</v>
      </c>
      <c r="L436" s="8" t="n">
        <v>0</v>
      </c>
      <c r="M436" s="8" t="n">
        <v>0</v>
      </c>
      <c r="N436" s="8" t="n">
        <v>0</v>
      </c>
      <c r="O436" s="8" t="n">
        <v>0</v>
      </c>
    </row>
    <row r="437" hidden="1">
      <c r="B437" s="28" t="inlineStr">
        <is>
          <t>Distance tax: amount in the first year, 2-3 wheeler</t>
        </is>
      </c>
      <c r="C437" s="28" t="inlineStr">
        <is>
          <t>USD/km</t>
        </is>
      </c>
      <c r="D437" s="28" t="n"/>
      <c r="E437" s="28" t="n"/>
      <c r="F437" s="28" t="n">
        <v>0</v>
      </c>
      <c r="G437" s="28" t="n">
        <v>0</v>
      </c>
      <c r="H437" s="28" t="inlineStr">
        <is>
          <t>TrDtStartCyc</t>
        </is>
      </c>
      <c r="J437" s="8" t="n">
        <v>0</v>
      </c>
      <c r="K437" s="8" t="n">
        <v>0</v>
      </c>
      <c r="L437" s="8" t="n">
        <v>0</v>
      </c>
      <c r="M437" s="8" t="n">
        <v>0</v>
      </c>
      <c r="N437" s="8" t="n">
        <v>0</v>
      </c>
      <c r="O437" s="8" t="n">
        <v>0</v>
      </c>
    </row>
    <row r="438" hidden="1">
      <c r="B438" s="32" t="inlineStr">
        <is>
          <t>Distance tax: target year, passenger</t>
        </is>
      </c>
      <c r="C438" s="32" t="inlineStr">
        <is>
          <t>year</t>
        </is>
      </c>
      <c r="D438" s="32" t="n"/>
      <c r="E438" s="32" t="n"/>
      <c r="F438" s="32" t="n">
        <v>2030</v>
      </c>
      <c r="G438" s="32" t="n">
        <v>2030</v>
      </c>
      <c r="H438" s="32" t="inlineStr">
        <is>
          <t>TrDtTargetYearPas</t>
        </is>
      </c>
      <c r="J438" s="8" t="n">
        <v>2030</v>
      </c>
      <c r="K438" s="8" t="n">
        <v>2030</v>
      </c>
      <c r="L438" s="8" t="n">
        <v>2030</v>
      </c>
      <c r="M438" s="8" t="n">
        <v>2030</v>
      </c>
      <c r="N438" s="8" t="n">
        <v>2030</v>
      </c>
      <c r="O438" s="8" t="n">
        <v>2030</v>
      </c>
    </row>
    <row r="439" hidden="1">
      <c r="B439" s="32" t="inlineStr">
        <is>
          <t>Distance tax: target year, freight</t>
        </is>
      </c>
      <c r="C439" s="32" t="inlineStr">
        <is>
          <t>year</t>
        </is>
      </c>
      <c r="D439" s="32" t="n"/>
      <c r="E439" s="32" t="n"/>
      <c r="F439" s="32" t="n">
        <v>2030</v>
      </c>
      <c r="G439" s="32" t="n">
        <v>2030</v>
      </c>
      <c r="H439" s="32" t="inlineStr">
        <is>
          <t>TrDtTargetYearFre</t>
        </is>
      </c>
      <c r="J439" s="8" t="n">
        <v>2030</v>
      </c>
      <c r="K439" s="8" t="n">
        <v>2030</v>
      </c>
      <c r="L439" s="8" t="n">
        <v>2030</v>
      </c>
      <c r="M439" s="8" t="n">
        <v>2030</v>
      </c>
      <c r="N439" s="8" t="n">
        <v>2030</v>
      </c>
      <c r="O439" s="8" t="n">
        <v>2030</v>
      </c>
    </row>
    <row r="440" hidden="1">
      <c r="B440" s="32" t="inlineStr">
        <is>
          <t>Distance tax: target year, 2-3 wheeler</t>
        </is>
      </c>
      <c r="C440" s="32" t="inlineStr">
        <is>
          <t>year</t>
        </is>
      </c>
      <c r="D440" s="32" t="n"/>
      <c r="E440" s="32" t="n"/>
      <c r="F440" s="32" t="n">
        <v>2030</v>
      </c>
      <c r="G440" s="32" t="n">
        <v>2030</v>
      </c>
      <c r="H440" s="32" t="inlineStr">
        <is>
          <t>TrDtTargetYearCyc</t>
        </is>
      </c>
      <c r="J440" s="8" t="n">
        <v>2030</v>
      </c>
      <c r="K440" s="8" t="n">
        <v>2030</v>
      </c>
      <c r="L440" s="8" t="n">
        <v>2030</v>
      </c>
      <c r="M440" s="8" t="n">
        <v>2030</v>
      </c>
      <c r="N440" s="8" t="n">
        <v>2030</v>
      </c>
      <c r="O440" s="8" t="n">
        <v>2030</v>
      </c>
    </row>
    <row r="441" hidden="1">
      <c r="B441" s="28" t="inlineStr">
        <is>
          <t>Distance tax: amount in the target year, passenger</t>
        </is>
      </c>
      <c r="C441" s="28" t="inlineStr">
        <is>
          <t>USD/km</t>
        </is>
      </c>
      <c r="D441" s="28" t="n"/>
      <c r="E441" s="28" t="n"/>
      <c r="F441" s="28" t="n">
        <v>0</v>
      </c>
      <c r="G441" s="28" t="n">
        <v>0</v>
      </c>
      <c r="H441" s="28" t="inlineStr">
        <is>
          <t>TrDtTargetPas</t>
        </is>
      </c>
      <c r="J441" s="8" t="n">
        <v>0</v>
      </c>
      <c r="K441" s="8" t="n">
        <v>0</v>
      </c>
      <c r="L441" s="8" t="n">
        <v>0</v>
      </c>
      <c r="M441" s="8" t="n">
        <v>0</v>
      </c>
      <c r="N441" s="8" t="n">
        <v>0</v>
      </c>
      <c r="O441" s="8" t="n">
        <v>0</v>
      </c>
    </row>
    <row r="442" hidden="1">
      <c r="B442" s="28" t="inlineStr">
        <is>
          <t>Distance tax: amount in the target year, freight</t>
        </is>
      </c>
      <c r="C442" s="28" t="inlineStr">
        <is>
          <t>USD/km</t>
        </is>
      </c>
      <c r="D442" s="28" t="n"/>
      <c r="E442" s="28" t="n"/>
      <c r="F442" s="28" t="n">
        <v>0</v>
      </c>
      <c r="G442" s="28" t="n">
        <v>0</v>
      </c>
      <c r="H442" s="28" t="inlineStr">
        <is>
          <t>TrDtTargetFre</t>
        </is>
      </c>
      <c r="J442" s="8" t="n">
        <v>0</v>
      </c>
      <c r="K442" s="8" t="n">
        <v>0</v>
      </c>
      <c r="L442" s="8" t="n">
        <v>0</v>
      </c>
      <c r="M442" s="8" t="n">
        <v>0</v>
      </c>
      <c r="N442" s="8" t="n">
        <v>0</v>
      </c>
      <c r="O442" s="8" t="n">
        <v>0</v>
      </c>
    </row>
    <row r="443" hidden="1">
      <c r="B443" s="28" t="inlineStr">
        <is>
          <t>Distance tax: amount in the target year, 2-3 wheeler</t>
        </is>
      </c>
      <c r="C443" s="28" t="inlineStr">
        <is>
          <t>USD/km</t>
        </is>
      </c>
      <c r="D443" s="28" t="n"/>
      <c r="E443" s="28" t="n"/>
      <c r="F443" s="28" t="n">
        <v>0</v>
      </c>
      <c r="G443" s="28" t="n">
        <v>0</v>
      </c>
      <c r="H443" s="28" t="inlineStr">
        <is>
          <t>TrDtTargetCyc</t>
        </is>
      </c>
      <c r="J443" s="8" t="n">
        <v>0</v>
      </c>
      <c r="K443" s="8" t="n">
        <v>0</v>
      </c>
      <c r="L443" s="8" t="n">
        <v>0</v>
      </c>
      <c r="M443" s="8" t="n">
        <v>0</v>
      </c>
      <c r="N443" s="8" t="n">
        <v>0</v>
      </c>
      <c r="O443" s="8" t="n">
        <v>0</v>
      </c>
    </row>
    <row r="444" hidden="1">
      <c r="B444" s="32" t="inlineStr">
        <is>
          <t>EV purchase subsidy: year of introduction, passenger</t>
        </is>
      </c>
      <c r="C444" s="32" t="inlineStr">
        <is>
          <t>year</t>
        </is>
      </c>
      <c r="D444" s="32" t="n"/>
      <c r="E444" s="32" t="n"/>
      <c r="F444" s="32" t="n">
        <v>2030</v>
      </c>
      <c r="G444" s="32" t="n">
        <v>2030</v>
      </c>
      <c r="H444" s="32" t="inlineStr">
        <is>
          <t>TrSubYearPas</t>
        </is>
      </c>
      <c r="J444" s="8" t="n">
        <v>2030</v>
      </c>
      <c r="K444" s="8" t="n">
        <v>2030</v>
      </c>
      <c r="L444" s="8" t="n">
        <v>2030</v>
      </c>
      <c r="M444" s="8" t="n">
        <v>2030</v>
      </c>
      <c r="N444" s="8" t="n">
        <v>2030</v>
      </c>
      <c r="O444" s="8" t="n">
        <v>2030</v>
      </c>
    </row>
    <row r="445" hidden="1">
      <c r="B445" s="32" t="inlineStr">
        <is>
          <t>EV purchase subsidy: year of introduction, freight</t>
        </is>
      </c>
      <c r="C445" s="32" t="inlineStr">
        <is>
          <t>year</t>
        </is>
      </c>
      <c r="D445" s="32" t="n"/>
      <c r="E445" s="32" t="n"/>
      <c r="F445" s="32" t="n">
        <v>2030</v>
      </c>
      <c r="G445" s="32" t="n">
        <v>2030</v>
      </c>
      <c r="H445" s="32" t="inlineStr">
        <is>
          <t>TrSubYearFre</t>
        </is>
      </c>
      <c r="J445" s="8" t="n">
        <v>2030</v>
      </c>
      <c r="K445" s="8" t="n">
        <v>2030</v>
      </c>
      <c r="L445" s="8" t="n">
        <v>2030</v>
      </c>
      <c r="M445" s="8" t="n">
        <v>2030</v>
      </c>
      <c r="N445" s="8" t="n">
        <v>2030</v>
      </c>
      <c r="O445" s="8" t="n">
        <v>2030</v>
      </c>
    </row>
    <row r="446" hidden="1">
      <c r="B446" s="32" t="inlineStr">
        <is>
          <t>EV purchase subsidy: year of introduction, 2-3 wheeler</t>
        </is>
      </c>
      <c r="C446" s="32" t="inlineStr">
        <is>
          <t>year</t>
        </is>
      </c>
      <c r="D446" s="32" t="n"/>
      <c r="E446" s="32" t="n"/>
      <c r="F446" s="32" t="n">
        <v>2030</v>
      </c>
      <c r="G446" s="32" t="n">
        <v>2030</v>
      </c>
      <c r="H446" s="32" t="inlineStr">
        <is>
          <t>TrSubYearCyc</t>
        </is>
      </c>
      <c r="J446" s="8" t="n">
        <v>2030</v>
      </c>
      <c r="K446" s="8" t="n">
        <v>2030</v>
      </c>
      <c r="L446" s="8" t="n">
        <v>2030</v>
      </c>
      <c r="M446" s="8" t="n">
        <v>2030</v>
      </c>
      <c r="N446" s="8" t="n">
        <v>2030</v>
      </c>
      <c r="O446" s="8" t="n">
        <v>2030</v>
      </c>
    </row>
    <row r="447" hidden="1">
      <c r="B447" s="28" t="inlineStr">
        <is>
          <t>EV purchase subsidy: amount, passenger</t>
        </is>
      </c>
      <c r="C447" s="28" t="inlineStr">
        <is>
          <t>USD/vehicle</t>
        </is>
      </c>
      <c r="D447" s="28" t="n"/>
      <c r="E447" s="28" t="n"/>
      <c r="F447" s="28" t="n">
        <v>0</v>
      </c>
      <c r="G447" s="28" t="n">
        <v>0</v>
      </c>
      <c r="H447" s="28" t="inlineStr">
        <is>
          <t>TrSubAmountPas</t>
        </is>
      </c>
      <c r="J447" s="8" t="n">
        <v>0</v>
      </c>
      <c r="K447" s="8" t="n">
        <v>0</v>
      </c>
      <c r="L447" s="8" t="n">
        <v>0</v>
      </c>
      <c r="M447" s="8" t="n">
        <v>0</v>
      </c>
      <c r="N447" s="8" t="n">
        <v>0</v>
      </c>
      <c r="O447" s="8" t="n">
        <v>0</v>
      </c>
    </row>
    <row r="448" hidden="1">
      <c r="B448" s="28" t="inlineStr">
        <is>
          <t>EV purchase subsidy: amount, freight</t>
        </is>
      </c>
      <c r="C448" s="28" t="inlineStr">
        <is>
          <t>USD/vehicle</t>
        </is>
      </c>
      <c r="D448" s="28" t="n"/>
      <c r="E448" s="28" t="n"/>
      <c r="F448" s="28" t="n">
        <v>0</v>
      </c>
      <c r="G448" s="28" t="n">
        <v>0</v>
      </c>
      <c r="H448" s="28" t="inlineStr">
        <is>
          <t>TrSubAmountFre</t>
        </is>
      </c>
      <c r="J448" s="8" t="n">
        <v>0</v>
      </c>
      <c r="K448" s="8" t="n">
        <v>0</v>
      </c>
      <c r="L448" s="8" t="n">
        <v>0</v>
      </c>
      <c r="M448" s="8" t="n">
        <v>0</v>
      </c>
      <c r="N448" s="8" t="n">
        <v>0</v>
      </c>
      <c r="O448" s="8" t="n">
        <v>0</v>
      </c>
    </row>
    <row r="449" hidden="1">
      <c r="B449" s="28" t="inlineStr">
        <is>
          <t>EV purchase subsidy: amount, 2-3 wheeler</t>
        </is>
      </c>
      <c r="C449" s="28" t="inlineStr">
        <is>
          <t>USD/vehicle</t>
        </is>
      </c>
      <c r="D449" s="28" t="n"/>
      <c r="E449" s="28" t="n"/>
      <c r="F449" s="28" t="n">
        <v>0</v>
      </c>
      <c r="G449" s="28" t="n">
        <v>0</v>
      </c>
      <c r="H449" s="28" t="inlineStr">
        <is>
          <t>TrSubAmountCyc</t>
        </is>
      </c>
      <c r="J449" s="8" t="n">
        <v>0</v>
      </c>
      <c r="K449" s="8" t="n">
        <v>0</v>
      </c>
      <c r="L449" s="8" t="n">
        <v>0</v>
      </c>
      <c r="M449" s="8" t="n">
        <v>0</v>
      </c>
      <c r="N449" s="8" t="n">
        <v>0</v>
      </c>
      <c r="O449" s="8" t="n">
        <v>0</v>
      </c>
    </row>
    <row r="450" hidden="1">
      <c r="B450" s="28" t="inlineStr">
        <is>
          <t>EV purchase subsidy: annual change, passenger</t>
        </is>
      </c>
      <c r="C450" s="28" t="inlineStr">
        <is>
          <t>USD/vehicle</t>
        </is>
      </c>
      <c r="D450" s="28" t="n"/>
      <c r="E450" s="28" t="n"/>
      <c r="F450" s="28" t="n">
        <v>0</v>
      </c>
      <c r="G450" s="28" t="n">
        <v>0</v>
      </c>
      <c r="H450" s="28" t="inlineStr">
        <is>
          <t>TrSubChgPas</t>
        </is>
      </c>
      <c r="J450" s="8" t="n">
        <v>0</v>
      </c>
      <c r="K450" s="8" t="n">
        <v>0</v>
      </c>
      <c r="L450" s="8" t="n">
        <v>0</v>
      </c>
      <c r="M450" s="8" t="n">
        <v>0</v>
      </c>
      <c r="N450" s="8" t="n">
        <v>0</v>
      </c>
      <c r="O450" s="8" t="n">
        <v>0</v>
      </c>
    </row>
    <row r="451" hidden="1">
      <c r="B451" s="28" t="inlineStr">
        <is>
          <t>EV purchase subsidy: annual change, freight</t>
        </is>
      </c>
      <c r="C451" s="28" t="inlineStr">
        <is>
          <t>USD/vehicle</t>
        </is>
      </c>
      <c r="D451" s="28" t="n"/>
      <c r="E451" s="28" t="n"/>
      <c r="F451" s="28" t="n">
        <v>0</v>
      </c>
      <c r="G451" s="28" t="n">
        <v>0</v>
      </c>
      <c r="H451" s="28" t="inlineStr">
        <is>
          <t>TrSubChgFre</t>
        </is>
      </c>
      <c r="J451" s="8" t="n">
        <v>0</v>
      </c>
      <c r="K451" s="8" t="n">
        <v>0</v>
      </c>
      <c r="L451" s="8" t="n">
        <v>0</v>
      </c>
      <c r="M451" s="8" t="n">
        <v>0</v>
      </c>
      <c r="N451" s="8" t="n">
        <v>0</v>
      </c>
      <c r="O451" s="8" t="n">
        <v>0</v>
      </c>
    </row>
    <row r="452" hidden="1">
      <c r="B452" s="28" t="inlineStr">
        <is>
          <t>EV purchase subsidy: annual change, 2-3 wheeler</t>
        </is>
      </c>
      <c r="C452" s="28" t="inlineStr">
        <is>
          <t>USD/vehicle</t>
        </is>
      </c>
      <c r="D452" s="28" t="n"/>
      <c r="E452" s="28" t="n"/>
      <c r="F452" s="28" t="n">
        <v>0</v>
      </c>
      <c r="G452" s="28" t="n">
        <v>0</v>
      </c>
      <c r="H452" s="28" t="inlineStr">
        <is>
          <t>TrSubChgCyc</t>
        </is>
      </c>
      <c r="J452" s="8" t="n">
        <v>0</v>
      </c>
      <c r="K452" s="8" t="n">
        <v>0</v>
      </c>
      <c r="L452" s="8" t="n">
        <v>0</v>
      </c>
      <c r="M452" s="8" t="n">
        <v>0</v>
      </c>
      <c r="N452" s="8" t="n">
        <v>0</v>
      </c>
      <c r="O452" s="8" t="n">
        <v>0</v>
      </c>
    </row>
    <row r="453" hidden="1">
      <c r="B453" s="28" t="inlineStr">
        <is>
          <t>Ad-valorem purchase tax on ICEVs, policy, passenger</t>
        </is>
      </c>
      <c r="C453" s="28" t="inlineStr">
        <is>
          <t>share</t>
        </is>
      </c>
      <c r="D453" s="28" t="n"/>
      <c r="E453" s="28" t="n"/>
      <c r="F453" s="28" t="n">
        <v>0</v>
      </c>
      <c r="G453" s="28" t="n">
        <v>0</v>
      </c>
      <c r="H453" s="28" t="inlineStr">
        <is>
          <t>TrAdvIcePolPas</t>
        </is>
      </c>
      <c r="J453" s="8" t="n">
        <v>0</v>
      </c>
      <c r="K453" s="8" t="n">
        <v>0</v>
      </c>
      <c r="L453" s="8" t="n">
        <v>0</v>
      </c>
      <c r="M453" s="8" t="n">
        <v>0</v>
      </c>
      <c r="N453" s="8" t="n">
        <v>0</v>
      </c>
      <c r="O453" s="8" t="n">
        <v>0</v>
      </c>
    </row>
    <row r="454" hidden="1">
      <c r="B454" s="28" t="inlineStr">
        <is>
          <t>Ad-valorem purchase tax on ICEVs, policy, freight</t>
        </is>
      </c>
      <c r="C454" s="28" t="inlineStr">
        <is>
          <t>share</t>
        </is>
      </c>
      <c r="D454" s="28" t="n"/>
      <c r="E454" s="28" t="n"/>
      <c r="F454" s="28" t="n">
        <v>0</v>
      </c>
      <c r="G454" s="28" t="n">
        <v>0</v>
      </c>
      <c r="H454" s="28" t="inlineStr">
        <is>
          <t>TrAdvIcePolFre</t>
        </is>
      </c>
      <c r="J454" s="8" t="n">
        <v>0</v>
      </c>
      <c r="K454" s="8" t="n">
        <v>0</v>
      </c>
      <c r="L454" s="8" t="n">
        <v>0</v>
      </c>
      <c r="M454" s="8" t="n">
        <v>0</v>
      </c>
      <c r="N454" s="8" t="n">
        <v>0</v>
      </c>
      <c r="O454" s="8" t="n">
        <v>0</v>
      </c>
    </row>
    <row r="455" hidden="1">
      <c r="B455" s="28" t="inlineStr">
        <is>
          <t>Ad-valorem purchase tax on ICEVs, policy, 2-3 wheeler</t>
        </is>
      </c>
      <c r="C455" s="28" t="inlineStr">
        <is>
          <t>share</t>
        </is>
      </c>
      <c r="D455" s="28" t="n"/>
      <c r="E455" s="28" t="n"/>
      <c r="F455" s="28" t="n">
        <v>0</v>
      </c>
      <c r="G455" s="28" t="n">
        <v>0</v>
      </c>
      <c r="H455" s="28" t="inlineStr">
        <is>
          <t>TrAdvIcePolCyc</t>
        </is>
      </c>
      <c r="J455" s="8" t="n">
        <v>0</v>
      </c>
      <c r="K455" s="8" t="n">
        <v>0</v>
      </c>
      <c r="L455" s="8" t="n">
        <v>0</v>
      </c>
      <c r="M455" s="8" t="n">
        <v>0</v>
      </c>
      <c r="N455" s="8" t="n">
        <v>0</v>
      </c>
      <c r="O455" s="8" t="n">
        <v>0</v>
      </c>
    </row>
    <row r="456" hidden="1">
      <c r="B456" s="28" t="inlineStr">
        <is>
          <t>Ad-valorem purchase tax on BEVs, policy, passenger</t>
        </is>
      </c>
      <c r="C456" s="28" t="inlineStr">
        <is>
          <t>share</t>
        </is>
      </c>
      <c r="D456" s="28" t="n"/>
      <c r="E456" s="28" t="n"/>
      <c r="F456" s="28" t="n">
        <v>0</v>
      </c>
      <c r="G456" s="28" t="n">
        <v>0</v>
      </c>
      <c r="H456" s="28" t="inlineStr">
        <is>
          <t>TrAdvBevPolPas</t>
        </is>
      </c>
      <c r="J456" s="8" t="n">
        <v>0</v>
      </c>
      <c r="K456" s="8" t="n">
        <v>0</v>
      </c>
      <c r="L456" s="8" t="n">
        <v>0</v>
      </c>
      <c r="M456" s="8" t="n">
        <v>0</v>
      </c>
      <c r="N456" s="8" t="n">
        <v>0</v>
      </c>
      <c r="O456" s="8" t="n">
        <v>0</v>
      </c>
    </row>
    <row r="457" hidden="1">
      <c r="B457" s="28" t="inlineStr">
        <is>
          <t>Ad-valorem purchase tax on BEVs, policy, freight</t>
        </is>
      </c>
      <c r="C457" s="28" t="inlineStr">
        <is>
          <t>share</t>
        </is>
      </c>
      <c r="D457" s="28" t="n"/>
      <c r="E457" s="28" t="n"/>
      <c r="F457" s="28" t="n">
        <v>0</v>
      </c>
      <c r="G457" s="28" t="n">
        <v>0</v>
      </c>
      <c r="H457" s="28" t="inlineStr">
        <is>
          <t>TrAdvBevPolFre</t>
        </is>
      </c>
      <c r="J457" s="8" t="n">
        <v>0</v>
      </c>
      <c r="K457" s="8" t="n">
        <v>0</v>
      </c>
      <c r="L457" s="8" t="n">
        <v>0</v>
      </c>
      <c r="M457" s="8" t="n">
        <v>0</v>
      </c>
      <c r="N457" s="8" t="n">
        <v>0</v>
      </c>
      <c r="O457" s="8" t="n">
        <v>0</v>
      </c>
    </row>
    <row r="458" hidden="1">
      <c r="B458" s="28" t="inlineStr">
        <is>
          <t>Ad-valorem purchase tax on BEVs, policy, 2-3 wheeler</t>
        </is>
      </c>
      <c r="C458" s="28" t="inlineStr">
        <is>
          <t>share</t>
        </is>
      </c>
      <c r="D458" s="28" t="n"/>
      <c r="E458" s="28" t="n"/>
      <c r="F458" s="28" t="n">
        <v>0</v>
      </c>
      <c r="G458" s="28" t="n">
        <v>0</v>
      </c>
      <c r="H458" s="28" t="inlineStr">
        <is>
          <t>TrAdvBevPolCyc</t>
        </is>
      </c>
      <c r="J458" s="8" t="n">
        <v>0</v>
      </c>
      <c r="K458" s="8" t="n">
        <v>0</v>
      </c>
      <c r="L458" s="8" t="n">
        <v>0</v>
      </c>
      <c r="M458" s="8" t="n">
        <v>0</v>
      </c>
      <c r="N458" s="8" t="n">
        <v>0</v>
      </c>
      <c r="O458" s="8" t="n">
        <v>0</v>
      </c>
    </row>
    <row r="459" hidden="1">
      <c r="B459" s="32" t="inlineStr">
        <is>
          <t>Ad-valorem purchase tax: year of the policy rate, passenger</t>
        </is>
      </c>
      <c r="C459" s="32" t="inlineStr">
        <is>
          <t>year</t>
        </is>
      </c>
      <c r="D459" s="32" t="n"/>
      <c r="E459" s="32" t="n"/>
      <c r="F459" s="32" t="n">
        <v>2026</v>
      </c>
      <c r="G459" s="32" t="n">
        <v>2026</v>
      </c>
      <c r="H459" s="32" t="inlineStr">
        <is>
          <t>TrAdvYearPas</t>
        </is>
      </c>
      <c r="J459" s="8" t="n">
        <v>2026</v>
      </c>
      <c r="K459" s="8" t="n">
        <v>2026</v>
      </c>
      <c r="L459" s="8" t="n">
        <v>2026</v>
      </c>
      <c r="M459" s="8" t="n">
        <v>2026</v>
      </c>
      <c r="N459" s="8" t="n">
        <v>2026</v>
      </c>
      <c r="O459" s="8" t="n">
        <v>2026</v>
      </c>
    </row>
    <row r="460" hidden="1">
      <c r="B460" s="32" t="inlineStr">
        <is>
          <t>Ad-valorem purchase tax: year of the policy rate, freight</t>
        </is>
      </c>
      <c r="C460" s="32" t="inlineStr">
        <is>
          <t>year</t>
        </is>
      </c>
      <c r="D460" s="32" t="n"/>
      <c r="E460" s="32" t="n"/>
      <c r="F460" s="32" t="n">
        <v>2028</v>
      </c>
      <c r="G460" s="32" t="n">
        <v>2028</v>
      </c>
      <c r="H460" s="32" t="inlineStr">
        <is>
          <t>TrAdvYearFre</t>
        </is>
      </c>
      <c r="J460" s="8" t="n">
        <v>2028</v>
      </c>
      <c r="K460" s="8" t="n">
        <v>2028</v>
      </c>
      <c r="L460" s="8" t="n">
        <v>2028</v>
      </c>
      <c r="M460" s="8" t="n">
        <v>2028</v>
      </c>
      <c r="N460" s="8" t="n">
        <v>2028</v>
      </c>
      <c r="O460" s="8" t="n">
        <v>2028</v>
      </c>
    </row>
    <row r="461" hidden="1">
      <c r="B461" s="32" t="inlineStr">
        <is>
          <t>Ad-valorem purchase tax: year of the policy rate, 2-3 wheeler</t>
        </is>
      </c>
      <c r="C461" s="32" t="inlineStr">
        <is>
          <t>year</t>
        </is>
      </c>
      <c r="D461" s="32" t="n"/>
      <c r="E461" s="32" t="n"/>
      <c r="F461" s="32" t="n">
        <v>2030</v>
      </c>
      <c r="G461" s="32" t="n">
        <v>2030</v>
      </c>
      <c r="H461" s="32" t="inlineStr">
        <is>
          <t>TrAdvYearCyc</t>
        </is>
      </c>
      <c r="J461" s="8" t="n">
        <v>2030</v>
      </c>
      <c r="K461" s="8" t="n">
        <v>2030</v>
      </c>
      <c r="L461" s="8" t="n">
        <v>2030</v>
      </c>
      <c r="M461" s="8" t="n">
        <v>2030</v>
      </c>
      <c r="N461" s="8" t="n">
        <v>2030</v>
      </c>
      <c r="O461" s="8" t="n">
        <v>2030</v>
      </c>
    </row>
    <row r="462" hidden="1">
      <c r="B462" s="32" t="inlineStr">
        <is>
          <t>Customs duty on BEVs: year of the policy rate, passenger</t>
        </is>
      </c>
      <c r="C462" s="32" t="inlineStr">
        <is>
          <t>year</t>
        </is>
      </c>
      <c r="D462" s="32" t="n"/>
      <c r="E462" s="32" t="n"/>
      <c r="F462" s="32" t="n">
        <v>2026</v>
      </c>
      <c r="G462" s="32" t="n">
        <v>2026</v>
      </c>
      <c r="H462" s="32" t="inlineStr">
        <is>
          <t>TrCustYearPas</t>
        </is>
      </c>
      <c r="J462" s="8" t="n">
        <v>2026</v>
      </c>
      <c r="K462" s="8" t="n">
        <v>2026</v>
      </c>
      <c r="L462" s="8" t="n">
        <v>2026</v>
      </c>
      <c r="M462" s="8" t="n">
        <v>2026</v>
      </c>
      <c r="N462" s="8" t="n">
        <v>2026</v>
      </c>
      <c r="O462" s="8" t="n">
        <v>2026</v>
      </c>
    </row>
    <row r="463" hidden="1">
      <c r="B463" s="32" t="inlineStr">
        <is>
          <t>Customs duty on BEVs: year of the policy rate, freight</t>
        </is>
      </c>
      <c r="C463" s="32" t="inlineStr">
        <is>
          <t>year</t>
        </is>
      </c>
      <c r="D463" s="32" t="n"/>
      <c r="E463" s="32" t="n"/>
      <c r="F463" s="32" t="n">
        <v>2026</v>
      </c>
      <c r="G463" s="32" t="n">
        <v>2026</v>
      </c>
      <c r="H463" s="32" t="inlineStr">
        <is>
          <t>TrCustYearFre</t>
        </is>
      </c>
      <c r="J463" s="8" t="n">
        <v>2026</v>
      </c>
      <c r="K463" s="8" t="n">
        <v>2026</v>
      </c>
      <c r="L463" s="8" t="n">
        <v>2026</v>
      </c>
      <c r="M463" s="8" t="n">
        <v>2026</v>
      </c>
      <c r="N463" s="8" t="n">
        <v>2026</v>
      </c>
      <c r="O463" s="8" t="n">
        <v>2026</v>
      </c>
    </row>
    <row r="464" hidden="1">
      <c r="B464" s="32" t="inlineStr">
        <is>
          <t>Customs duty on BEVs: year of the policy rate, 2-3 wheeler</t>
        </is>
      </c>
      <c r="C464" s="32" t="inlineStr">
        <is>
          <t>year</t>
        </is>
      </c>
      <c r="D464" s="32" t="n"/>
      <c r="E464" s="32" t="n"/>
      <c r="F464" s="32" t="n">
        <v>2026</v>
      </c>
      <c r="G464" s="32" t="n">
        <v>2026</v>
      </c>
      <c r="H464" s="32" t="inlineStr">
        <is>
          <t>TrCustYearCyc</t>
        </is>
      </c>
      <c r="J464" s="8" t="n">
        <v>2026</v>
      </c>
      <c r="K464" s="8" t="n">
        <v>2026</v>
      </c>
      <c r="L464" s="8" t="n">
        <v>2026</v>
      </c>
      <c r="M464" s="8" t="n">
        <v>2026</v>
      </c>
      <c r="N464" s="8" t="n">
        <v>2026</v>
      </c>
      <c r="O464" s="8" t="n">
        <v>2026</v>
      </c>
    </row>
    <row r="465" hidden="1">
      <c r="B465" s="32" t="inlineStr">
        <is>
          <t>VAT on BEVs: year of the policy rate, passenger</t>
        </is>
      </c>
      <c r="C465" s="32" t="inlineStr">
        <is>
          <t>year</t>
        </is>
      </c>
      <c r="D465" s="32" t="n"/>
      <c r="E465" s="32" t="n"/>
      <c r="F465" s="32" t="n">
        <v>2026</v>
      </c>
      <c r="G465" s="32" t="n">
        <v>2026</v>
      </c>
      <c r="H465" s="32" t="inlineStr">
        <is>
          <t>TrVatYearPas</t>
        </is>
      </c>
      <c r="J465" s="8" t="n">
        <v>2026</v>
      </c>
      <c r="K465" s="8" t="n">
        <v>2026</v>
      </c>
      <c r="L465" s="8" t="n">
        <v>2026</v>
      </c>
      <c r="M465" s="8" t="n">
        <v>2026</v>
      </c>
      <c r="N465" s="8" t="n">
        <v>2026</v>
      </c>
      <c r="O465" s="8" t="n">
        <v>2026</v>
      </c>
    </row>
    <row r="466" hidden="1">
      <c r="B466" s="32" t="inlineStr">
        <is>
          <t>VAT on BEVs: year of the policy rate, 2-3 wheeler</t>
        </is>
      </c>
      <c r="C466" s="32" t="inlineStr">
        <is>
          <t>year</t>
        </is>
      </c>
      <c r="D466" s="32" t="n"/>
      <c r="E466" s="32" t="n"/>
      <c r="F466" s="32" t="n">
        <v>2026</v>
      </c>
      <c r="G466" s="32" t="n">
        <v>2026</v>
      </c>
      <c r="H466" s="32" t="inlineStr">
        <is>
          <t>TrVatYearCyc</t>
        </is>
      </c>
      <c r="J466" s="8" t="n">
        <v>2026</v>
      </c>
      <c r="K466" s="8" t="n">
        <v>2026</v>
      </c>
      <c r="L466" s="8" t="n">
        <v>2026</v>
      </c>
      <c r="M466" s="8" t="n">
        <v>2026</v>
      </c>
      <c r="N466" s="8" t="n">
        <v>2026</v>
      </c>
      <c r="O466" s="8" t="n">
        <v>2026</v>
      </c>
    </row>
    <row r="467" hidden="1">
      <c r="B467" s="28" t="inlineStr">
        <is>
          <t>VAT on BEVs, policy: factor on the baseline VAT rate</t>
        </is>
      </c>
      <c r="C467" s="28" t="inlineStr">
        <is>
          <t>factor</t>
        </is>
      </c>
      <c r="D467" s="28" t="n"/>
      <c r="E467" s="28" t="n"/>
      <c r="F467" s="28" t="n">
        <v>1</v>
      </c>
      <c r="G467" s="28" t="n">
        <v>1</v>
      </c>
      <c r="H467" s="28" t="inlineStr">
        <is>
          <t>TrVatPolFactor</t>
        </is>
      </c>
      <c r="J467" s="8" t="n">
        <v>1</v>
      </c>
      <c r="K467" s="8" t="n">
        <v>1</v>
      </c>
      <c r="L467" s="8" t="n">
        <v>1</v>
      </c>
      <c r="M467" s="8" t="n">
        <v>1</v>
      </c>
      <c r="N467" s="8" t="n">
        <v>1</v>
      </c>
      <c r="O467" s="8" t="n">
        <v>1</v>
      </c>
    </row>
    <row r="468" hidden="1">
      <c r="B468" s="28" t="inlineStr">
        <is>
          <t>Customs duty on BEVs, policy: factor on the baseline duty</t>
        </is>
      </c>
      <c r="C468" s="28" t="inlineStr">
        <is>
          <t>factor</t>
        </is>
      </c>
      <c r="D468" s="28" t="n"/>
      <c r="E468" s="28" t="n"/>
      <c r="F468" s="28" t="n">
        <v>1</v>
      </c>
      <c r="G468" s="28" t="n">
        <v>1</v>
      </c>
      <c r="H468" s="28" t="inlineStr">
        <is>
          <t>TrCustPolFactor</t>
        </is>
      </c>
      <c r="J468" s="8" t="n">
        <v>1</v>
      </c>
      <c r="K468" s="8" t="n">
        <v>1</v>
      </c>
      <c r="L468" s="8" t="n">
        <v>1</v>
      </c>
      <c r="M468" s="8" t="n">
        <v>1</v>
      </c>
      <c r="N468" s="8" t="n">
        <v>1</v>
      </c>
      <c r="O468" s="8" t="n">
        <v>1</v>
      </c>
    </row>
    <row r="469" hidden="1">
      <c r="B469" s="32" t="inlineStr">
        <is>
          <t>Charging-station subsidy: start year</t>
        </is>
      </c>
      <c r="C469" s="32" t="inlineStr">
        <is>
          <t>year</t>
        </is>
      </c>
      <c r="D469" s="32" t="n"/>
      <c r="E469" s="32" t="n"/>
      <c r="F469" s="32" t="n">
        <v>2026</v>
      </c>
      <c r="G469" s="32" t="n">
        <v>2026</v>
      </c>
      <c r="H469" s="32" t="inlineStr">
        <is>
          <t>TrCsStartYear</t>
        </is>
      </c>
      <c r="J469" s="8" t="n">
        <v>2026</v>
      </c>
      <c r="K469" s="8" t="n">
        <v>2026</v>
      </c>
      <c r="L469" s="8" t="n">
        <v>2026</v>
      </c>
      <c r="M469" s="8" t="n">
        <v>2026</v>
      </c>
      <c r="N469" s="8" t="n">
        <v>2026</v>
      </c>
      <c r="O469" s="8" t="n">
        <v>2026</v>
      </c>
    </row>
    <row r="470" hidden="1">
      <c r="B470" s="28" t="inlineStr">
        <is>
          <t>Charging-station subsidy: share of the cost in the start year</t>
        </is>
      </c>
      <c r="C470" s="28" t="inlineStr">
        <is>
          <t>share</t>
        </is>
      </c>
      <c r="D470" s="28" t="n"/>
      <c r="E470" s="28" t="n"/>
      <c r="F470" s="28" t="n">
        <v>0</v>
      </c>
      <c r="G470" s="28" t="n">
        <v>0</v>
      </c>
      <c r="H470" s="28" t="inlineStr">
        <is>
          <t>TrCsStartLevel</t>
        </is>
      </c>
      <c r="J470" s="8" t="n">
        <v>0</v>
      </c>
      <c r="K470" s="8" t="n">
        <v>0</v>
      </c>
      <c r="L470" s="8" t="n">
        <v>0</v>
      </c>
      <c r="M470" s="8" t="n">
        <v>0</v>
      </c>
      <c r="N470" s="8" t="n">
        <v>0</v>
      </c>
      <c r="O470" s="8" t="n">
        <v>0</v>
      </c>
    </row>
    <row r="471" hidden="1">
      <c r="B471" s="32" t="inlineStr">
        <is>
          <t>Charging-station subsidy: target year</t>
        </is>
      </c>
      <c r="C471" s="32" t="inlineStr">
        <is>
          <t>year</t>
        </is>
      </c>
      <c r="D471" s="32" t="n"/>
      <c r="E471" s="32" t="n"/>
      <c r="F471" s="32" t="n">
        <v>2035</v>
      </c>
      <c r="G471" s="32" t="n">
        <v>2035</v>
      </c>
      <c r="H471" s="32" t="inlineStr">
        <is>
          <t>TrCsTargetYear</t>
        </is>
      </c>
      <c r="J471" s="8" t="n">
        <v>2035</v>
      </c>
      <c r="K471" s="8" t="n">
        <v>2035</v>
      </c>
      <c r="L471" s="8" t="n">
        <v>2035</v>
      </c>
      <c r="M471" s="8" t="n">
        <v>2035</v>
      </c>
      <c r="N471" s="8" t="n">
        <v>2035</v>
      </c>
      <c r="O471" s="8" t="n">
        <v>2035</v>
      </c>
    </row>
    <row r="472" hidden="1">
      <c r="B472" s="28" t="inlineStr">
        <is>
          <t>Charging-station subsidy: share of the cost in the target year</t>
        </is>
      </c>
      <c r="C472" s="28" t="inlineStr">
        <is>
          <t>share</t>
        </is>
      </c>
      <c r="D472" s="28" t="n"/>
      <c r="E472" s="28" t="n"/>
      <c r="F472" s="28" t="n">
        <v>0</v>
      </c>
      <c r="G472" s="28" t="n">
        <v>0</v>
      </c>
      <c r="H472" s="28" t="inlineStr">
        <is>
          <t>TrCsTargetLevel</t>
        </is>
      </c>
      <c r="J472" s="8" t="n">
        <v>0</v>
      </c>
      <c r="K472" s="8" t="n">
        <v>0</v>
      </c>
      <c r="L472" s="8" t="n">
        <v>0</v>
      </c>
      <c r="M472" s="8" t="n">
        <v>0</v>
      </c>
      <c r="N472" s="8" t="n">
        <v>0</v>
      </c>
      <c r="O472" s="8" t="n">
        <v>0</v>
      </c>
    </row>
    <row r="473" hidden="1"/>
    <row r="474" hidden="1">
      <c r="B474" s="31" t="inlineStr">
        <is>
          <t>Power: new renewable energy subsidy</t>
        </is>
      </c>
    </row>
    <row r="475" hidden="1">
      <c r="B475" s="32" t="inlineStr">
        <is>
          <t>New renewable energy subsidy: year it starts (v0.5.4; legacy reads the consumer subsidy phase-out year YearConsSubPha, bug L107)</t>
        </is>
      </c>
      <c r="C475" s="32" t="inlineStr">
        <is>
          <t>year</t>
        </is>
      </c>
      <c r="D475" s="32" t="n"/>
      <c r="E475" s="32" t="n"/>
      <c r="F475" s="32" t="n">
        <v>2027</v>
      </c>
      <c r="G475" s="32" t="n">
        <v>2027</v>
      </c>
      <c r="H475" s="32" t="inlineStr">
        <is>
          <t>RenSubsidyAddStartYear</t>
        </is>
      </c>
      <c r="J475" s="8" t="n">
        <v>2027</v>
      </c>
      <c r="K475" s="8" t="n">
        <v>2027</v>
      </c>
      <c r="L475" s="8" t="n">
        <v>2027</v>
      </c>
      <c r="M475" s="8" t="n">
        <v>2027</v>
      </c>
      <c r="N475" s="8" t="n">
        <v>2027</v>
      </c>
      <c r="O475" s="8" t="n">
        <v>2027</v>
      </c>
    </row>
    <row r="476" hidden="1"/>
    <row r="477" hidden="1">
      <c r="B477" s="31" t="inlineStr">
        <is>
          <t>Carbon tax: coverage of biomass</t>
        </is>
      </c>
    </row>
    <row r="478" hidden="1">
      <c r="B478" s="28" t="inlineStr">
        <is>
          <t>Carbon tax covers biomass (TRUE / FALSE; EF 0, so no effect unless a factor is added; was Constants ctcov|bio|all)</t>
        </is>
      </c>
      <c r="C478" s="28" t="inlineStr">
        <is>
          <t>switch</t>
        </is>
      </c>
      <c r="D478" s="28" t="n"/>
      <c r="E478" s="28" t="n"/>
      <c r="F478" s="28" t="b">
        <v>1</v>
      </c>
      <c r="G478" s="28" t="b">
        <v>1</v>
      </c>
      <c r="H478" s="28" t="inlineStr">
        <is>
          <t>CTaxCoversBiomass</t>
        </is>
      </c>
      <c r="J478" s="8" t="b">
        <v>1</v>
      </c>
      <c r="K478" s="8" t="b">
        <v>1</v>
      </c>
      <c r="L478" s="8" t="b">
        <v>1</v>
      </c>
      <c r="M478" s="8" t="b">
        <v>1</v>
      </c>
      <c r="N478" s="8" t="b">
        <v>1</v>
      </c>
      <c r="O478" s="8" t="b">
        <v>1</v>
      </c>
    </row>
    <row r="479" hidden="1"/>
    <row r="480" hidden="1">
      <c r="B480" s="30" t="inlineStr">
        <is>
          <t>Treatment of existing policies (per scenario)</t>
        </is>
      </c>
      <c r="C480" s="5" t="n"/>
      <c r="D480" s="5" t="n"/>
      <c r="E480" s="5" t="n"/>
      <c r="F480" s="5" t="n"/>
      <c r="G480" s="5" t="n"/>
      <c r="H480" s="5" t="n"/>
      <c r="I480" s="5" t="n"/>
      <c r="J480" s="5" t="n"/>
      <c r="K480" s="5" t="n"/>
      <c r="L480" s="5" t="n"/>
      <c r="M480" s="5" t="n"/>
      <c r="N480" s="5" t="n"/>
      <c r="O480" s="5" t="n"/>
    </row>
    <row r="481" hidden="1">
      <c r="B481" s="31" t="inlineStr">
        <is>
          <t>Road transport: purchase taxes of the baseline</t>
        </is>
      </c>
    </row>
    <row r="482" hidden="1">
      <c r="B482" s="28" t="inlineStr">
        <is>
          <t>Ad-valorem purchase tax on ICEVs, baseline, passenger</t>
        </is>
      </c>
      <c r="C482" s="28" t="inlineStr">
        <is>
          <t>share</t>
        </is>
      </c>
      <c r="D482" s="28" t="n"/>
      <c r="E482" s="28" t="n"/>
      <c r="F482" s="28" t="n">
        <v>0</v>
      </c>
      <c r="G482" s="28" t="n">
        <v>0</v>
      </c>
      <c r="H482" s="28" t="inlineStr">
        <is>
          <t>TrAdvIceBasePas</t>
        </is>
      </c>
      <c r="J482" s="8" t="n">
        <v>0</v>
      </c>
      <c r="K482" s="8" t="n">
        <v>0</v>
      </c>
      <c r="L482" s="8" t="n">
        <v>0</v>
      </c>
      <c r="M482" s="8" t="n">
        <v>0</v>
      </c>
      <c r="N482" s="8" t="n">
        <v>0</v>
      </c>
      <c r="O482" s="8" t="n">
        <v>0</v>
      </c>
    </row>
    <row r="483" hidden="1">
      <c r="B483" s="28" t="inlineStr">
        <is>
          <t>Ad-valorem purchase tax on ICEVs, baseline, freight</t>
        </is>
      </c>
      <c r="C483" s="28" t="inlineStr">
        <is>
          <t>share</t>
        </is>
      </c>
      <c r="D483" s="28" t="n"/>
      <c r="E483" s="28" t="n"/>
      <c r="F483" s="28" t="n">
        <v>0</v>
      </c>
      <c r="G483" s="28" t="n">
        <v>0</v>
      </c>
      <c r="H483" s="28" t="inlineStr">
        <is>
          <t>TrAdvIceBaseFre</t>
        </is>
      </c>
      <c r="J483" s="8" t="n">
        <v>0</v>
      </c>
      <c r="K483" s="8" t="n">
        <v>0</v>
      </c>
      <c r="L483" s="8" t="n">
        <v>0</v>
      </c>
      <c r="M483" s="8" t="n">
        <v>0</v>
      </c>
      <c r="N483" s="8" t="n">
        <v>0</v>
      </c>
      <c r="O483" s="8" t="n">
        <v>0</v>
      </c>
    </row>
    <row r="484" hidden="1">
      <c r="B484" s="28" t="inlineStr">
        <is>
          <t>Ad-valorem purchase tax on ICEVs, baseline, 2-3 wheeler</t>
        </is>
      </c>
      <c r="C484" s="28" t="inlineStr">
        <is>
          <t>share</t>
        </is>
      </c>
      <c r="D484" s="28" t="n"/>
      <c r="E484" s="28" t="n"/>
      <c r="F484" s="28" t="n">
        <v>0</v>
      </c>
      <c r="G484" s="28" t="n">
        <v>0</v>
      </c>
      <c r="H484" s="28" t="inlineStr">
        <is>
          <t>TrAdvIceBaseCyc</t>
        </is>
      </c>
      <c r="J484" s="8" t="n">
        <v>0</v>
      </c>
      <c r="K484" s="8" t="n">
        <v>0</v>
      </c>
      <c r="L484" s="8" t="n">
        <v>0</v>
      </c>
      <c r="M484" s="8" t="n">
        <v>0</v>
      </c>
      <c r="N484" s="8" t="n">
        <v>0</v>
      </c>
      <c r="O484" s="8" t="n">
        <v>0</v>
      </c>
    </row>
    <row r="485" hidden="1">
      <c r="B485" s="28" t="inlineStr">
        <is>
          <t>Ad-valorem purchase tax on BEVs, baseline, passenger</t>
        </is>
      </c>
      <c r="C485" s="28" t="inlineStr">
        <is>
          <t>share</t>
        </is>
      </c>
      <c r="D485" s="28" t="n"/>
      <c r="E485" s="28" t="n"/>
      <c r="F485" s="28" t="n">
        <v>0</v>
      </c>
      <c r="G485" s="28" t="n">
        <v>0</v>
      </c>
      <c r="H485" s="28" t="inlineStr">
        <is>
          <t>TrAdvBevBasePas</t>
        </is>
      </c>
      <c r="J485" s="8" t="n">
        <v>0</v>
      </c>
      <c r="K485" s="8" t="n">
        <v>0</v>
      </c>
      <c r="L485" s="8" t="n">
        <v>0</v>
      </c>
      <c r="M485" s="8" t="n">
        <v>0</v>
      </c>
      <c r="N485" s="8" t="n">
        <v>0</v>
      </c>
      <c r="O485" s="8" t="n">
        <v>0</v>
      </c>
    </row>
    <row r="486" hidden="1">
      <c r="B486" s="28" t="inlineStr">
        <is>
          <t>Ad-valorem purchase tax on BEVs, baseline, freight</t>
        </is>
      </c>
      <c r="C486" s="28" t="inlineStr">
        <is>
          <t>share</t>
        </is>
      </c>
      <c r="D486" s="28" t="n"/>
      <c r="E486" s="28" t="n"/>
      <c r="F486" s="28" t="n">
        <v>0</v>
      </c>
      <c r="G486" s="28" t="n">
        <v>0</v>
      </c>
      <c r="H486" s="28" t="inlineStr">
        <is>
          <t>TrAdvBevBaseFre</t>
        </is>
      </c>
      <c r="J486" s="8" t="n">
        <v>0</v>
      </c>
      <c r="K486" s="8" t="n">
        <v>0</v>
      </c>
      <c r="L486" s="8" t="n">
        <v>0</v>
      </c>
      <c r="M486" s="8" t="n">
        <v>0</v>
      </c>
      <c r="N486" s="8" t="n">
        <v>0</v>
      </c>
      <c r="O486" s="8" t="n">
        <v>0</v>
      </c>
    </row>
    <row r="487" hidden="1">
      <c r="B487" s="28" t="inlineStr">
        <is>
          <t>Ad-valorem purchase tax on BEVs, baseline, 2-3 wheeler</t>
        </is>
      </c>
      <c r="C487" s="28" t="inlineStr">
        <is>
          <t>share</t>
        </is>
      </c>
      <c r="D487" s="28" t="n"/>
      <c r="E487" s="28" t="n"/>
      <c r="F487" s="28" t="n">
        <v>0</v>
      </c>
      <c r="G487" s="28" t="n">
        <v>0</v>
      </c>
      <c r="H487" s="28" t="inlineStr">
        <is>
          <t>TrAdvBevBaseCyc</t>
        </is>
      </c>
      <c r="J487" s="8" t="n">
        <v>0</v>
      </c>
      <c r="K487" s="8" t="n">
        <v>0</v>
      </c>
      <c r="L487" s="8" t="n">
        <v>0</v>
      </c>
      <c r="M487" s="8" t="n">
        <v>0</v>
      </c>
      <c r="N487" s="8" t="n">
        <v>0</v>
      </c>
      <c r="O487" s="8" t="n">
        <v>0</v>
      </c>
    </row>
    <row r="488" hidden="1"/>
    <row r="489" hidden="1">
      <c r="B489" s="31" t="inlineStr">
        <is>
          <t>Consumer subsidy phase-out: the prices it applies to (1 = yes)</t>
        </is>
      </c>
    </row>
    <row r="490" hidden="1">
      <c r="B490" s="28" t="inlineStr">
        <is>
          <t>Consumer subsidy phase-out applies to Coal, Power (1 = yes; v0.5.6, was Constants csi)</t>
        </is>
      </c>
      <c r="C490" s="28" t="inlineStr">
        <is>
          <t>switch</t>
        </is>
      </c>
      <c r="D490" s="28" t="n"/>
      <c r="E490" s="28" t="n"/>
      <c r="F490" s="28" t="n">
        <v>1</v>
      </c>
      <c r="G490" s="28" t="n">
        <v>1</v>
      </c>
      <c r="H490" s="28" t="inlineStr">
        <is>
          <t>ConsSubPhaseScope_coa_pow</t>
        </is>
      </c>
      <c r="J490" s="8" t="n">
        <v>1</v>
      </c>
      <c r="K490" s="8" t="n">
        <v>1</v>
      </c>
      <c r="L490" s="8" t="n">
        <v>1</v>
      </c>
      <c r="M490" s="8" t="n">
        <v>1</v>
      </c>
      <c r="N490" s="8" t="n">
        <v>1</v>
      </c>
      <c r="O490" s="8" t="n">
        <v>1</v>
      </c>
    </row>
    <row r="491" hidden="1">
      <c r="B491" s="28" t="inlineStr">
        <is>
          <t>Consumer subsidy phase-out applies to Coal, Residential (1 = yes; v0.5.6, was Constants csi)</t>
        </is>
      </c>
      <c r="C491" s="28" t="inlineStr">
        <is>
          <t>switch</t>
        </is>
      </c>
      <c r="D491" s="28" t="n"/>
      <c r="E491" s="28" t="n"/>
      <c r="F491" s="28" t="n">
        <v>1</v>
      </c>
      <c r="G491" s="28" t="n">
        <v>1</v>
      </c>
      <c r="H491" s="28" t="inlineStr">
        <is>
          <t>ConsSubPhaseScope_coa_res</t>
        </is>
      </c>
      <c r="J491" s="8" t="n">
        <v>1</v>
      </c>
      <c r="K491" s="8" t="n">
        <v>1</v>
      </c>
      <c r="L491" s="8" t="n">
        <v>1</v>
      </c>
      <c r="M491" s="8" t="n">
        <v>1</v>
      </c>
      <c r="N491" s="8" t="n">
        <v>1</v>
      </c>
      <c r="O491" s="8" t="n">
        <v>1</v>
      </c>
    </row>
    <row r="492" hidden="1">
      <c r="B492" s="28" t="inlineStr">
        <is>
          <t>Consumer subsidy phase-out applies to Coal, Industry (1 = yes; v0.5.6, was Constants csi)</t>
        </is>
      </c>
      <c r="C492" s="28" t="inlineStr">
        <is>
          <t>switch</t>
        </is>
      </c>
      <c r="D492" s="28" t="n"/>
      <c r="E492" s="28" t="n"/>
      <c r="F492" s="28" t="n">
        <v>1</v>
      </c>
      <c r="G492" s="28" t="n">
        <v>1</v>
      </c>
      <c r="H492" s="28" t="inlineStr">
        <is>
          <t>ConsSubPhaseScope_coa_ind</t>
        </is>
      </c>
      <c r="J492" s="8" t="n">
        <v>1</v>
      </c>
      <c r="K492" s="8" t="n">
        <v>1</v>
      </c>
      <c r="L492" s="8" t="n">
        <v>1</v>
      </c>
      <c r="M492" s="8" t="n">
        <v>1</v>
      </c>
      <c r="N492" s="8" t="n">
        <v>1</v>
      </c>
      <c r="O492" s="8" t="n">
        <v>1</v>
      </c>
    </row>
    <row r="493" hidden="1">
      <c r="B493" s="28" t="inlineStr">
        <is>
          <t>Consumer subsidy phase-out applies to Natural gas, Power (1 = yes; v0.5.6, was Constants csi)</t>
        </is>
      </c>
      <c r="C493" s="28" t="inlineStr">
        <is>
          <t>switch</t>
        </is>
      </c>
      <c r="D493" s="28" t="n"/>
      <c r="E493" s="28" t="n"/>
      <c r="F493" s="28" t="n">
        <v>1</v>
      </c>
      <c r="G493" s="28" t="n">
        <v>1</v>
      </c>
      <c r="H493" s="28" t="inlineStr">
        <is>
          <t>ConsSubPhaseScope_nga_pow</t>
        </is>
      </c>
      <c r="J493" s="8" t="n">
        <v>1</v>
      </c>
      <c r="K493" s="8" t="n">
        <v>1</v>
      </c>
      <c r="L493" s="8" t="n">
        <v>1</v>
      </c>
      <c r="M493" s="8" t="n">
        <v>1</v>
      </c>
      <c r="N493" s="8" t="n">
        <v>1</v>
      </c>
      <c r="O493" s="8" t="n">
        <v>1</v>
      </c>
    </row>
    <row r="494" hidden="1">
      <c r="B494" s="28" t="inlineStr">
        <is>
          <t>Consumer subsidy phase-out applies to Natural gas, Residential (1 = yes; v0.5.6, was Constants csi)</t>
        </is>
      </c>
      <c r="C494" s="28" t="inlineStr">
        <is>
          <t>switch</t>
        </is>
      </c>
      <c r="D494" s="28" t="n"/>
      <c r="E494" s="28" t="n"/>
      <c r="F494" s="28" t="n">
        <v>1</v>
      </c>
      <c r="G494" s="28" t="n">
        <v>1</v>
      </c>
      <c r="H494" s="28" t="inlineStr">
        <is>
          <t>ConsSubPhaseScope_nga_res</t>
        </is>
      </c>
      <c r="J494" s="8" t="n">
        <v>1</v>
      </c>
      <c r="K494" s="8" t="n">
        <v>1</v>
      </c>
      <c r="L494" s="8" t="n">
        <v>1</v>
      </c>
      <c r="M494" s="8" t="n">
        <v>1</v>
      </c>
      <c r="N494" s="8" t="n">
        <v>1</v>
      </c>
      <c r="O494" s="8" t="n">
        <v>1</v>
      </c>
    </row>
    <row r="495" hidden="1">
      <c r="B495" s="28" t="inlineStr">
        <is>
          <t>Consumer subsidy phase-out applies to Natural gas, Industry (1 = yes; v0.5.6, was Constants csi)</t>
        </is>
      </c>
      <c r="C495" s="28" t="inlineStr">
        <is>
          <t>switch</t>
        </is>
      </c>
      <c r="D495" s="28" t="n"/>
      <c r="E495" s="28" t="n"/>
      <c r="F495" s="28" t="n">
        <v>1</v>
      </c>
      <c r="G495" s="28" t="n">
        <v>1</v>
      </c>
      <c r="H495" s="28" t="inlineStr">
        <is>
          <t>ConsSubPhaseScope_nga_ind</t>
        </is>
      </c>
      <c r="J495" s="8" t="n">
        <v>1</v>
      </c>
      <c r="K495" s="8" t="n">
        <v>1</v>
      </c>
      <c r="L495" s="8" t="n">
        <v>1</v>
      </c>
      <c r="M495" s="8" t="n">
        <v>1</v>
      </c>
      <c r="N495" s="8" t="n">
        <v>1</v>
      </c>
      <c r="O495" s="8" t="n">
        <v>1</v>
      </c>
    </row>
    <row r="496" hidden="1">
      <c r="B496" s="28" t="inlineStr">
        <is>
          <t>Consumer subsidy phase-out applies to Gasoline, All (1 = yes; v0.5.6, was Constants csi)</t>
        </is>
      </c>
      <c r="C496" s="28" t="inlineStr">
        <is>
          <t>switch</t>
        </is>
      </c>
      <c r="D496" s="28" t="n"/>
      <c r="E496" s="28" t="n"/>
      <c r="F496" s="28" t="n">
        <v>1</v>
      </c>
      <c r="G496" s="28" t="n">
        <v>1</v>
      </c>
      <c r="H496" s="28" t="inlineStr">
        <is>
          <t>ConsSubPhaseScope_gso_all</t>
        </is>
      </c>
      <c r="J496" s="8" t="n">
        <v>1</v>
      </c>
      <c r="K496" s="8" t="n">
        <v>1</v>
      </c>
      <c r="L496" s="8" t="n">
        <v>1</v>
      </c>
      <c r="M496" s="8" t="n">
        <v>1</v>
      </c>
      <c r="N496" s="8" t="n">
        <v>1</v>
      </c>
      <c r="O496" s="8" t="n">
        <v>1</v>
      </c>
    </row>
    <row r="497" hidden="1">
      <c r="B497" s="28" t="inlineStr">
        <is>
          <t>Consumer subsidy phase-out applies to Diesel, All (1 = yes; v0.5.6, was Constants csi)</t>
        </is>
      </c>
      <c r="C497" s="28" t="inlineStr">
        <is>
          <t>switch</t>
        </is>
      </c>
      <c r="D497" s="28" t="n"/>
      <c r="E497" s="28" t="n"/>
      <c r="F497" s="28" t="n">
        <v>1</v>
      </c>
      <c r="G497" s="28" t="n">
        <v>1</v>
      </c>
      <c r="H497" s="28" t="inlineStr">
        <is>
          <t>ConsSubPhaseScope_die_all</t>
        </is>
      </c>
      <c r="J497" s="8" t="n">
        <v>1</v>
      </c>
      <c r="K497" s="8" t="n">
        <v>1</v>
      </c>
      <c r="L497" s="8" t="n">
        <v>1</v>
      </c>
      <c r="M497" s="8" t="n">
        <v>1</v>
      </c>
      <c r="N497" s="8" t="n">
        <v>1</v>
      </c>
      <c r="O497" s="8" t="n">
        <v>1</v>
      </c>
    </row>
    <row r="498" hidden="1">
      <c r="B498" s="28" t="inlineStr">
        <is>
          <t>Consumer subsidy phase-out applies to LPG, All (1 = yes; v0.5.6, was Constants csi)</t>
        </is>
      </c>
      <c r="C498" s="28" t="inlineStr">
        <is>
          <t>switch</t>
        </is>
      </c>
      <c r="D498" s="28" t="n"/>
      <c r="E498" s="28" t="n"/>
      <c r="F498" s="28" t="n">
        <v>1</v>
      </c>
      <c r="G498" s="28" t="n">
        <v>1</v>
      </c>
      <c r="H498" s="28" t="inlineStr">
        <is>
          <t>ConsSubPhaseScope_lpg_all</t>
        </is>
      </c>
      <c r="J498" s="8" t="n">
        <v>1</v>
      </c>
      <c r="K498" s="8" t="n">
        <v>1</v>
      </c>
      <c r="L498" s="8" t="n">
        <v>1</v>
      </c>
      <c r="M498" s="8" t="n">
        <v>1</v>
      </c>
      <c r="N498" s="8" t="n">
        <v>1</v>
      </c>
      <c r="O498" s="8" t="n">
        <v>1</v>
      </c>
    </row>
    <row r="499" hidden="1">
      <c r="B499" s="28" t="inlineStr">
        <is>
          <t>Consumer subsidy phase-out applies to Kerosene, All (1 = yes; v0.5.6, was Constants csi)</t>
        </is>
      </c>
      <c r="C499" s="28" t="inlineStr">
        <is>
          <t>switch</t>
        </is>
      </c>
      <c r="D499" s="28" t="n"/>
      <c r="E499" s="28" t="n"/>
      <c r="F499" s="28" t="n">
        <v>1</v>
      </c>
      <c r="G499" s="28" t="n">
        <v>1</v>
      </c>
      <c r="H499" s="28" t="inlineStr">
        <is>
          <t>ConsSubPhaseScope_ker_all</t>
        </is>
      </c>
      <c r="J499" s="8" t="n">
        <v>1</v>
      </c>
      <c r="K499" s="8" t="n">
        <v>1</v>
      </c>
      <c r="L499" s="8" t="n">
        <v>1</v>
      </c>
      <c r="M499" s="8" t="n">
        <v>1</v>
      </c>
      <c r="N499" s="8" t="n">
        <v>1</v>
      </c>
      <c r="O499" s="8" t="n">
        <v>1</v>
      </c>
    </row>
    <row r="500" hidden="1">
      <c r="B500" s="28" t="inlineStr">
        <is>
          <t>Consumer subsidy phase-out applies to Other oil products, All (1 = yes; v0.5.6, was Constants csi)</t>
        </is>
      </c>
      <c r="C500" s="28" t="inlineStr">
        <is>
          <t>switch</t>
        </is>
      </c>
      <c r="D500" s="28" t="n"/>
      <c r="E500" s="28" t="n"/>
      <c r="F500" s="28" t="n">
        <v>1</v>
      </c>
      <c r="G500" s="28" t="n">
        <v>1</v>
      </c>
      <c r="H500" s="28" t="inlineStr">
        <is>
          <t>ConsSubPhaseScope_oop_all</t>
        </is>
      </c>
      <c r="J500" s="8" t="n">
        <v>1</v>
      </c>
      <c r="K500" s="8" t="n">
        <v>1</v>
      </c>
      <c r="L500" s="8" t="n">
        <v>1</v>
      </c>
      <c r="M500" s="8" t="n">
        <v>1</v>
      </c>
      <c r="N500" s="8" t="n">
        <v>1</v>
      </c>
      <c r="O500" s="8" t="n">
        <v>1</v>
      </c>
    </row>
    <row r="501" hidden="1">
      <c r="B501" s="28" t="inlineStr">
        <is>
          <t>Consumer subsidy phase-out applies to Biomass, All (1 = yes; v0.5.6, was Constants csi)</t>
        </is>
      </c>
      <c r="C501" s="28" t="inlineStr">
        <is>
          <t>switch</t>
        </is>
      </c>
      <c r="D501" s="28" t="n"/>
      <c r="E501" s="28" t="n"/>
      <c r="F501" s="28" t="n">
        <v>1</v>
      </c>
      <c r="G501" s="28" t="n">
        <v>1</v>
      </c>
      <c r="H501" s="28" t="inlineStr">
        <is>
          <t>ConsSubPhaseScope_bio_all</t>
        </is>
      </c>
      <c r="J501" s="8" t="n">
        <v>1</v>
      </c>
      <c r="K501" s="8" t="n">
        <v>1</v>
      </c>
      <c r="L501" s="8" t="n">
        <v>1</v>
      </c>
      <c r="M501" s="8" t="n">
        <v>1</v>
      </c>
      <c r="N501" s="8" t="n">
        <v>1</v>
      </c>
      <c r="O501" s="8" t="n">
        <v>1</v>
      </c>
    </row>
    <row r="502" hidden="1"/>
    <row r="503" hidden="1">
      <c r="B503" s="31" t="inlineStr">
        <is>
          <t>Price-control phase-out: the prices it applies to (1 = yes)</t>
        </is>
      </c>
    </row>
    <row r="504" hidden="1">
      <c r="B504" s="28" t="inlineStr">
        <is>
          <t>Price-control phase-out applies to Coal, Power (1 = yes; v0.5.6, was Constants pci)</t>
        </is>
      </c>
      <c r="C504" s="28" t="inlineStr">
        <is>
          <t>switch</t>
        </is>
      </c>
      <c r="D504" s="28" t="n"/>
      <c r="E504" s="28" t="n"/>
      <c r="F504" s="28" t="n">
        <v>1</v>
      </c>
      <c r="G504" s="28" t="n">
        <v>1</v>
      </c>
      <c r="H504" s="28" t="inlineStr">
        <is>
          <t>PriceCtrlPhaseScope_coa_pow</t>
        </is>
      </c>
      <c r="J504" s="8" t="n">
        <v>1</v>
      </c>
      <c r="K504" s="8" t="n">
        <v>1</v>
      </c>
      <c r="L504" s="8" t="n">
        <v>1</v>
      </c>
      <c r="M504" s="8" t="n">
        <v>1</v>
      </c>
      <c r="N504" s="8" t="n">
        <v>1</v>
      </c>
      <c r="O504" s="8" t="n">
        <v>1</v>
      </c>
    </row>
    <row r="505" hidden="1">
      <c r="B505" s="28" t="inlineStr">
        <is>
          <t>Price-control phase-out applies to Coal, Residential (1 = yes; v0.5.6, was Constants pci)</t>
        </is>
      </c>
      <c r="C505" s="28" t="inlineStr">
        <is>
          <t>switch</t>
        </is>
      </c>
      <c r="D505" s="28" t="n"/>
      <c r="E505" s="28" t="n"/>
      <c r="F505" s="28" t="n">
        <v>1</v>
      </c>
      <c r="G505" s="28" t="n">
        <v>1</v>
      </c>
      <c r="H505" s="28" t="inlineStr">
        <is>
          <t>PriceCtrlPhaseScope_coa_res</t>
        </is>
      </c>
      <c r="J505" s="8" t="n">
        <v>1</v>
      </c>
      <c r="K505" s="8" t="n">
        <v>1</v>
      </c>
      <c r="L505" s="8" t="n">
        <v>1</v>
      </c>
      <c r="M505" s="8" t="n">
        <v>1</v>
      </c>
      <c r="N505" s="8" t="n">
        <v>1</v>
      </c>
      <c r="O505" s="8" t="n">
        <v>1</v>
      </c>
    </row>
    <row r="506" hidden="1">
      <c r="B506" s="28" t="inlineStr">
        <is>
          <t>Price-control phase-out applies to Coal, Industry (1 = yes; v0.5.6, was Constants pci)</t>
        </is>
      </c>
      <c r="C506" s="28" t="inlineStr">
        <is>
          <t>switch</t>
        </is>
      </c>
      <c r="D506" s="28" t="n"/>
      <c r="E506" s="28" t="n"/>
      <c r="F506" s="28" t="n">
        <v>1</v>
      </c>
      <c r="G506" s="28" t="n">
        <v>1</v>
      </c>
      <c r="H506" s="28" t="inlineStr">
        <is>
          <t>PriceCtrlPhaseScope_coa_ind</t>
        </is>
      </c>
      <c r="J506" s="8" t="n">
        <v>1</v>
      </c>
      <c r="K506" s="8" t="n">
        <v>1</v>
      </c>
      <c r="L506" s="8" t="n">
        <v>1</v>
      </c>
      <c r="M506" s="8" t="n">
        <v>1</v>
      </c>
      <c r="N506" s="8" t="n">
        <v>1</v>
      </c>
      <c r="O506" s="8" t="n">
        <v>1</v>
      </c>
    </row>
    <row r="507" hidden="1">
      <c r="B507" s="28" t="inlineStr">
        <is>
          <t>Price-control phase-out applies to Natural gas, Power (1 = yes; v0.5.6, was Constants pci)</t>
        </is>
      </c>
      <c r="C507" s="28" t="inlineStr">
        <is>
          <t>switch</t>
        </is>
      </c>
      <c r="D507" s="28" t="n"/>
      <c r="E507" s="28" t="n"/>
      <c r="F507" s="28" t="n">
        <v>1</v>
      </c>
      <c r="G507" s="28" t="n">
        <v>1</v>
      </c>
      <c r="H507" s="28" t="inlineStr">
        <is>
          <t>PriceCtrlPhaseScope_nga_pow</t>
        </is>
      </c>
      <c r="J507" s="8" t="n">
        <v>1</v>
      </c>
      <c r="K507" s="8" t="n">
        <v>1</v>
      </c>
      <c r="L507" s="8" t="n">
        <v>1</v>
      </c>
      <c r="M507" s="8" t="n">
        <v>1</v>
      </c>
      <c r="N507" s="8" t="n">
        <v>1</v>
      </c>
      <c r="O507" s="8" t="n">
        <v>1</v>
      </c>
    </row>
    <row r="508" hidden="1">
      <c r="B508" s="28" t="inlineStr">
        <is>
          <t>Price-control phase-out applies to Natural gas, Residential (1 = yes; v0.5.6, was Constants pci)</t>
        </is>
      </c>
      <c r="C508" s="28" t="inlineStr">
        <is>
          <t>switch</t>
        </is>
      </c>
      <c r="D508" s="28" t="n"/>
      <c r="E508" s="28" t="n"/>
      <c r="F508" s="28" t="n">
        <v>1</v>
      </c>
      <c r="G508" s="28" t="n">
        <v>1</v>
      </c>
      <c r="H508" s="28" t="inlineStr">
        <is>
          <t>PriceCtrlPhaseScope_nga_res</t>
        </is>
      </c>
      <c r="J508" s="8" t="n">
        <v>1</v>
      </c>
      <c r="K508" s="8" t="n">
        <v>1</v>
      </c>
      <c r="L508" s="8" t="n">
        <v>1</v>
      </c>
      <c r="M508" s="8" t="n">
        <v>1</v>
      </c>
      <c r="N508" s="8" t="n">
        <v>1</v>
      </c>
      <c r="O508" s="8" t="n">
        <v>1</v>
      </c>
    </row>
    <row r="509" hidden="1">
      <c r="B509" s="28" t="inlineStr">
        <is>
          <t>Price-control phase-out applies to Natural gas, Industry (1 = yes; v0.5.6, was Constants pci)</t>
        </is>
      </c>
      <c r="C509" s="28" t="inlineStr">
        <is>
          <t>switch</t>
        </is>
      </c>
      <c r="D509" s="28" t="n"/>
      <c r="E509" s="28" t="n"/>
      <c r="F509" s="28" t="n">
        <v>1</v>
      </c>
      <c r="G509" s="28" t="n">
        <v>1</v>
      </c>
      <c r="H509" s="28" t="inlineStr">
        <is>
          <t>PriceCtrlPhaseScope_nga_ind</t>
        </is>
      </c>
      <c r="J509" s="8" t="n">
        <v>1</v>
      </c>
      <c r="K509" s="8" t="n">
        <v>1</v>
      </c>
      <c r="L509" s="8" t="n">
        <v>1</v>
      </c>
      <c r="M509" s="8" t="n">
        <v>1</v>
      </c>
      <c r="N509" s="8" t="n">
        <v>1</v>
      </c>
      <c r="O509" s="8" t="n">
        <v>1</v>
      </c>
    </row>
    <row r="510" hidden="1">
      <c r="B510" s="28" t="inlineStr">
        <is>
          <t>Price-control phase-out applies to Gasoline, All (1 = yes; v0.5.6, was Constants pci)</t>
        </is>
      </c>
      <c r="C510" s="28" t="inlineStr">
        <is>
          <t>switch</t>
        </is>
      </c>
      <c r="D510" s="28" t="n"/>
      <c r="E510" s="28" t="n"/>
      <c r="F510" s="28" t="n">
        <v>1</v>
      </c>
      <c r="G510" s="28" t="n">
        <v>1</v>
      </c>
      <c r="H510" s="28" t="inlineStr">
        <is>
          <t>PriceCtrlPhaseScope_gso_all</t>
        </is>
      </c>
      <c r="J510" s="8" t="n">
        <v>1</v>
      </c>
      <c r="K510" s="8" t="n">
        <v>1</v>
      </c>
      <c r="L510" s="8" t="n">
        <v>1</v>
      </c>
      <c r="M510" s="8" t="n">
        <v>1</v>
      </c>
      <c r="N510" s="8" t="n">
        <v>1</v>
      </c>
      <c r="O510" s="8" t="n">
        <v>1</v>
      </c>
    </row>
    <row r="511" hidden="1">
      <c r="B511" s="28" t="inlineStr">
        <is>
          <t>Price-control phase-out applies to Diesel, All (1 = yes; v0.5.6, was Constants pci)</t>
        </is>
      </c>
      <c r="C511" s="28" t="inlineStr">
        <is>
          <t>switch</t>
        </is>
      </c>
      <c r="D511" s="28" t="n"/>
      <c r="E511" s="28" t="n"/>
      <c r="F511" s="28" t="n">
        <v>1</v>
      </c>
      <c r="G511" s="28" t="n">
        <v>1</v>
      </c>
      <c r="H511" s="28" t="inlineStr">
        <is>
          <t>PriceCtrlPhaseScope_die_all</t>
        </is>
      </c>
      <c r="J511" s="8" t="n">
        <v>1</v>
      </c>
      <c r="K511" s="8" t="n">
        <v>1</v>
      </c>
      <c r="L511" s="8" t="n">
        <v>1</v>
      </c>
      <c r="M511" s="8" t="n">
        <v>1</v>
      </c>
      <c r="N511" s="8" t="n">
        <v>1</v>
      </c>
      <c r="O511" s="8" t="n">
        <v>1</v>
      </c>
    </row>
    <row r="512" hidden="1">
      <c r="B512" s="28" t="inlineStr">
        <is>
          <t>Price-control phase-out applies to LPG, All (1 = yes; v0.5.6, was Constants pci)</t>
        </is>
      </c>
      <c r="C512" s="28" t="inlineStr">
        <is>
          <t>switch</t>
        </is>
      </c>
      <c r="D512" s="28" t="n"/>
      <c r="E512" s="28" t="n"/>
      <c r="F512" s="28" t="n">
        <v>1</v>
      </c>
      <c r="G512" s="28" t="n">
        <v>1</v>
      </c>
      <c r="H512" s="28" t="inlineStr">
        <is>
          <t>PriceCtrlPhaseScope_lpg_all</t>
        </is>
      </c>
      <c r="J512" s="8" t="n">
        <v>1</v>
      </c>
      <c r="K512" s="8" t="n">
        <v>1</v>
      </c>
      <c r="L512" s="8" t="n">
        <v>1</v>
      </c>
      <c r="M512" s="8" t="n">
        <v>1</v>
      </c>
      <c r="N512" s="8" t="n">
        <v>1</v>
      </c>
      <c r="O512" s="8" t="n">
        <v>1</v>
      </c>
    </row>
    <row r="513" hidden="1">
      <c r="B513" s="28" t="inlineStr">
        <is>
          <t>Price-control phase-out applies to Kerosene, All (1 = yes; v0.5.6, was Constants pci)</t>
        </is>
      </c>
      <c r="C513" s="28" t="inlineStr">
        <is>
          <t>switch</t>
        </is>
      </c>
      <c r="D513" s="28" t="n"/>
      <c r="E513" s="28" t="n"/>
      <c r="F513" s="28" t="n">
        <v>1</v>
      </c>
      <c r="G513" s="28" t="n">
        <v>1</v>
      </c>
      <c r="H513" s="28" t="inlineStr">
        <is>
          <t>PriceCtrlPhaseScope_ker_all</t>
        </is>
      </c>
      <c r="J513" s="8" t="n">
        <v>1</v>
      </c>
      <c r="K513" s="8" t="n">
        <v>1</v>
      </c>
      <c r="L513" s="8" t="n">
        <v>1</v>
      </c>
      <c r="M513" s="8" t="n">
        <v>1</v>
      </c>
      <c r="N513" s="8" t="n">
        <v>1</v>
      </c>
      <c r="O513" s="8" t="n">
        <v>1</v>
      </c>
    </row>
    <row r="514" hidden="1">
      <c r="B514" s="28" t="inlineStr">
        <is>
          <t>Price-control phase-out applies to Other oil products, All (1 = yes; v0.5.6, was Constants pci)</t>
        </is>
      </c>
      <c r="C514" s="28" t="inlineStr">
        <is>
          <t>switch</t>
        </is>
      </c>
      <c r="D514" s="28" t="n"/>
      <c r="E514" s="28" t="n"/>
      <c r="F514" s="28" t="n">
        <v>1</v>
      </c>
      <c r="G514" s="28" t="n">
        <v>1</v>
      </c>
      <c r="H514" s="28" t="inlineStr">
        <is>
          <t>PriceCtrlPhaseScope_oop_all</t>
        </is>
      </c>
      <c r="J514" s="8" t="n">
        <v>1</v>
      </c>
      <c r="K514" s="8" t="n">
        <v>1</v>
      </c>
      <c r="L514" s="8" t="n">
        <v>1</v>
      </c>
      <c r="M514" s="8" t="n">
        <v>1</v>
      </c>
      <c r="N514" s="8" t="n">
        <v>1</v>
      </c>
      <c r="O514" s="8" t="n">
        <v>1</v>
      </c>
    </row>
    <row r="515" hidden="1">
      <c r="B515" s="28" t="inlineStr">
        <is>
          <t>Price-control phase-out applies to Biomass, All (1 = yes; v0.5.6, was Constants pci)</t>
        </is>
      </c>
      <c r="C515" s="28" t="inlineStr">
        <is>
          <t>switch</t>
        </is>
      </c>
      <c r="D515" s="28" t="n"/>
      <c r="E515" s="28" t="n"/>
      <c r="F515" s="28" t="n">
        <v>1</v>
      </c>
      <c r="G515" s="28" t="n">
        <v>1</v>
      </c>
      <c r="H515" s="28" t="inlineStr">
        <is>
          <t>PriceCtrlPhaseScope_bio_all</t>
        </is>
      </c>
      <c r="J515" s="8" t="n">
        <v>1</v>
      </c>
      <c r="K515" s="8" t="n">
        <v>1</v>
      </c>
      <c r="L515" s="8" t="n">
        <v>1</v>
      </c>
      <c r="M515" s="8" t="n">
        <v>1</v>
      </c>
      <c r="N515" s="8" t="n">
        <v>1</v>
      </c>
      <c r="O515" s="8" t="n">
        <v>1</v>
      </c>
    </row>
    <row r="516" hidden="1"/>
    <row r="517" hidden="1">
      <c r="B517" s="31" t="inlineStr">
        <is>
          <t>Producer subsidy phase-out: the fuels it applies to (1 = yes)</t>
        </is>
      </c>
    </row>
    <row r="518" hidden="1">
      <c r="B518" s="28" t="inlineStr">
        <is>
          <t>Producer subsidy phase-out applies to coal (1 = yes; v0.5.6, was Constants psi)</t>
        </is>
      </c>
      <c r="C518" s="28" t="inlineStr">
        <is>
          <t>switch</t>
        </is>
      </c>
      <c r="D518" s="28" t="n"/>
      <c r="E518" s="28" t="n"/>
      <c r="F518" s="28" t="n">
        <v>1</v>
      </c>
      <c r="G518" s="28" t="n">
        <v>1</v>
      </c>
      <c r="H518" s="28" t="inlineStr">
        <is>
          <t>ProdSubPhaseScope_coa</t>
        </is>
      </c>
      <c r="J518" s="8" t="n">
        <v>1</v>
      </c>
      <c r="K518" s="8" t="n">
        <v>1</v>
      </c>
      <c r="L518" s="8" t="n">
        <v>1</v>
      </c>
      <c r="M518" s="8" t="n">
        <v>1</v>
      </c>
      <c r="N518" s="8" t="n">
        <v>1</v>
      </c>
      <c r="O518" s="8" t="n">
        <v>1</v>
      </c>
    </row>
    <row r="519" hidden="1">
      <c r="B519" s="28" t="inlineStr">
        <is>
          <t>Producer subsidy phase-out applies to natural gas (1 = yes; v0.5.6, was Constants psi)</t>
        </is>
      </c>
      <c r="C519" s="28" t="inlineStr">
        <is>
          <t>switch</t>
        </is>
      </c>
      <c r="D519" s="28" t="n"/>
      <c r="E519" s="28" t="n"/>
      <c r="F519" s="28" t="n">
        <v>1</v>
      </c>
      <c r="G519" s="28" t="n">
        <v>1</v>
      </c>
      <c r="H519" s="28" t="inlineStr">
        <is>
          <t>ProdSubPhaseScope_nga</t>
        </is>
      </c>
      <c r="J519" s="8" t="n">
        <v>1</v>
      </c>
      <c r="K519" s="8" t="n">
        <v>1</v>
      </c>
      <c r="L519" s="8" t="n">
        <v>1</v>
      </c>
      <c r="M519" s="8" t="n">
        <v>1</v>
      </c>
      <c r="N519" s="8" t="n">
        <v>1</v>
      </c>
      <c r="O519" s="8" t="n">
        <v>1</v>
      </c>
    </row>
    <row r="520" hidden="1">
      <c r="B520" s="28" t="inlineStr">
        <is>
          <t>Producer subsidy phase-out applies to oil (1 = yes; v0.5.6, was Constants psi)</t>
        </is>
      </c>
      <c r="C520" s="28" t="inlineStr">
        <is>
          <t>switch</t>
        </is>
      </c>
      <c r="D520" s="28" t="n"/>
      <c r="E520" s="28" t="n"/>
      <c r="F520" s="28" t="n">
        <v>1</v>
      </c>
      <c r="G520" s="28" t="n">
        <v>1</v>
      </c>
      <c r="H520" s="28" t="inlineStr">
        <is>
          <t>ProdSubPhaseScope_oil</t>
        </is>
      </c>
      <c r="J520" s="8" t="n">
        <v>1</v>
      </c>
      <c r="K520" s="8" t="n">
        <v>1</v>
      </c>
      <c r="L520" s="8" t="n">
        <v>1</v>
      </c>
      <c r="M520" s="8" t="n">
        <v>1</v>
      </c>
      <c r="N520" s="8" t="n">
        <v>1</v>
      </c>
      <c r="O520" s="8" t="n">
        <v>1</v>
      </c>
    </row>
    <row r="521" hidden="1">
      <c r="B521" s="28" t="inlineStr">
        <is>
          <t>Producer subsidy phase-out applies to biomass (1 = yes; v0.5.6, was Constants psi)</t>
        </is>
      </c>
      <c r="C521" s="28" t="inlineStr">
        <is>
          <t>switch</t>
        </is>
      </c>
      <c r="D521" s="28" t="n"/>
      <c r="E521" s="28" t="n"/>
      <c r="F521" s="28" t="n">
        <v>1</v>
      </c>
      <c r="G521" s="28" t="n">
        <v>1</v>
      </c>
      <c r="H521" s="28" t="inlineStr">
        <is>
          <t>ProdSubPhaseScope_bio</t>
        </is>
      </c>
      <c r="J521" s="8" t="n">
        <v>1</v>
      </c>
      <c r="K521" s="8" t="n">
        <v>1</v>
      </c>
      <c r="L521" s="8" t="n">
        <v>1</v>
      </c>
      <c r="M521" s="8" t="n">
        <v>1</v>
      </c>
      <c r="N521" s="8" t="n">
        <v>1</v>
      </c>
      <c r="O521" s="8" t="n">
        <v>1</v>
      </c>
    </row>
    <row r="522" hidden="1">
      <c r="B522" s="28" t="inlineStr">
        <is>
          <t>Producer subsidy phase-out applies to electricity (1 = yes; v0.5.6, was Constants psi)</t>
        </is>
      </c>
      <c r="C522" s="28" t="inlineStr">
        <is>
          <t>switch</t>
        </is>
      </c>
      <c r="D522" s="28" t="n"/>
      <c r="E522" s="28" t="n"/>
      <c r="F522" s="28" t="n">
        <v>1</v>
      </c>
      <c r="G522" s="28" t="n">
        <v>1</v>
      </c>
      <c r="H522" s="28" t="inlineStr">
        <is>
          <t>ProdSubPhaseScope_ecy</t>
        </is>
      </c>
      <c r="J522" s="8" t="n">
        <v>1</v>
      </c>
      <c r="K522" s="8" t="n">
        <v>1</v>
      </c>
      <c r="L522" s="8" t="n">
        <v>1</v>
      </c>
      <c r="M522" s="8" t="n">
        <v>1</v>
      </c>
      <c r="N522" s="8" t="n">
        <v>1</v>
      </c>
      <c r="O522" s="8" t="n">
        <v>1</v>
      </c>
    </row>
    <row r="523" hidden="1"/>
    <row r="524" hidden="1">
      <c r="B524" s="30" t="inlineStr">
        <is>
          <t>Model settings (per scenario here; global settings below)</t>
        </is>
      </c>
      <c r="C524" s="5" t="n"/>
      <c r="D524" s="5" t="n"/>
      <c r="E524" s="5" t="n"/>
      <c r="F524" s="5" t="n"/>
      <c r="G524" s="5" t="n"/>
      <c r="H524" s="5" t="n"/>
      <c r="I524" s="5" t="n"/>
      <c r="J524" s="5" t="n"/>
      <c r="K524" s="5" t="n"/>
      <c r="L524" s="5" t="n"/>
      <c r="M524" s="5" t="n"/>
      <c r="N524" s="5" t="n"/>
      <c r="O524" s="5" t="n"/>
    </row>
    <row r="525" hidden="1">
      <c r="B525" s="31" t="inlineStr">
        <is>
          <t>Form of the model</t>
        </is>
      </c>
    </row>
    <row r="526" hidden="1">
      <c r="B526" s="28" t="inlineStr">
        <is>
          <t>Form of the demand equations (Coded CPAT design D4): CPAT, CPAT partial adjustment, CES partial adjustment, CDPM-FTT (v1.0.2; only CPAT is built, so the formulas do not read it yet)</t>
        </is>
      </c>
      <c r="C526" s="28" t="inlineStr">
        <is>
          <t>option</t>
        </is>
      </c>
      <c r="D526" s="28" t="n"/>
      <c r="E526" s="28" t="n"/>
      <c r="F526" s="28" t="inlineStr">
        <is>
          <t>CPAT</t>
        </is>
      </c>
      <c r="G526" s="28" t="inlineStr">
        <is>
          <t>CPAT</t>
        </is>
      </c>
      <c r="H526" s="28" t="inlineStr">
        <is>
          <t>ModelForm</t>
        </is>
      </c>
      <c r="J526" s="8" t="inlineStr">
        <is>
          <t>CPAT</t>
        </is>
      </c>
      <c r="K526" s="8" t="inlineStr">
        <is>
          <t>CPAT</t>
        </is>
      </c>
      <c r="L526" s="8" t="inlineStr">
        <is>
          <t>CPAT</t>
        </is>
      </c>
      <c r="M526" s="8" t="inlineStr">
        <is>
          <t>CPAT</t>
        </is>
      </c>
      <c r="N526" s="8" t="inlineStr">
        <is>
          <t>CPAT</t>
        </is>
      </c>
      <c r="O526" s="8" t="inlineStr">
        <is>
          <t>CPAT</t>
        </is>
      </c>
    </row>
    <row r="527" hidden="1"/>
    <row r="528" hidden="1">
      <c r="B528" s="6" t="inlineStr">
        <is>
          <t>Global model settings: one value for every scenario (type it in column J; the other columns repeat it)</t>
        </is>
      </c>
    </row>
    <row r="529" hidden="1"/>
    <row r="530" hidden="1">
      <c r="B530" s="31" t="inlineStr">
        <is>
          <t>General: country, years, prices, ETS, social cost of carbon (read by tab Constants and Mappings, block Settings)</t>
        </is>
      </c>
    </row>
    <row r="531" hidden="1">
      <c r="B531" s="3" t="inlineStr">
        <is>
          <t>Country code (ISO3): every data tab is keyed by it</t>
        </is>
      </c>
      <c r="C531" s="3" t="inlineStr">
        <is>
          <t>code</t>
        </is>
      </c>
      <c r="D531" s="3" t="n"/>
      <c r="E531" s="3" t="inlineStr">
        <is>
          <t>global; legacy Dashboard country; read by Settings C4</t>
        </is>
      </c>
      <c r="F531" s="3" t="inlineStr">
        <is>
          <t>EGY</t>
        </is>
      </c>
      <c r="G531" s="3" t="inlineStr">
        <is>
          <t>EGY</t>
        </is>
      </c>
      <c r="H531" s="3" t="inlineStr">
        <is>
          <t>CountryCode</t>
        </is>
      </c>
      <c r="J531" s="33" t="inlineStr">
        <is>
          <t>EGY</t>
        </is>
      </c>
      <c r="K531" s="34" t="str">
        <f t="shared" ref="K531:O531" si="3">$J531</f>
        <v>EGY</v>
      </c>
      <c r="L531" s="34" t="str">
        <f t="shared" si="3"/>
        <v>EGY</v>
      </c>
      <c r="M531" s="34" t="str">
        <f t="shared" si="3"/>
        <v>EGY</v>
      </c>
      <c r="N531" s="34" t="str">
        <f t="shared" si="3"/>
        <v>EGY</v>
      </c>
      <c r="O531" s="34" t="str">
        <f t="shared" si="3"/>
        <v>EGY</v>
      </c>
    </row>
    <row r="532" hidden="1">
      <c r="B532" s="3" t="inlineStr">
        <is>
          <t>Base year (first model year; the data and calibration year)</t>
        </is>
      </c>
      <c r="C532" s="3" t="inlineStr">
        <is>
          <t>year</t>
        </is>
      </c>
      <c r="D532" s="3" t="n"/>
      <c r="E532" s="3" t="inlineStr">
        <is>
          <t>global; legacy 2022; read by Settings C7</t>
        </is>
      </c>
      <c r="F532" s="3" t="n">
        <v>2022</v>
      </c>
      <c r="G532" s="3" t="n">
        <v>2022</v>
      </c>
      <c r="H532" s="3" t="inlineStr">
        <is>
          <t>BaseYear</t>
        </is>
      </c>
      <c r="J532" s="33" t="n">
        <v>2022</v>
      </c>
      <c r="K532" s="34">
        <f t="shared" ref="K532:O532" si="4">$J532</f>
        <v>2022.0</v>
      </c>
      <c r="L532" s="34">
        <f t="shared" si="4"/>
        <v>2022.0</v>
      </c>
      <c r="M532" s="34">
        <f t="shared" si="4"/>
        <v>2022.0</v>
      </c>
      <c r="N532" s="34">
        <f t="shared" si="4"/>
        <v>2022.0</v>
      </c>
      <c r="O532" s="34">
        <f t="shared" si="4"/>
        <v>2022.0</v>
      </c>
    </row>
    <row r="533" hidden="1">
      <c r="B533" s="3" t="inlineStr">
        <is>
          <t>Last historical price year (LastHist)</t>
        </is>
      </c>
      <c r="C533" s="3" t="inlineStr">
        <is>
          <t>year</t>
        </is>
      </c>
      <c r="D533" s="3" t="n"/>
      <c r="E533" s="3" t="inlineStr">
        <is>
          <t>global; prototype; read by Settings C10</t>
        </is>
      </c>
      <c r="F533" s="3" t="n">
        <v>2024</v>
      </c>
      <c r="G533" s="3" t="n">
        <v>2024</v>
      </c>
      <c r="H533" s="3" t="inlineStr">
        <is>
          <t>LastHistPriceYear</t>
        </is>
      </c>
      <c r="J533" s="33" t="n">
        <v>2024</v>
      </c>
      <c r="K533" s="34">
        <f t="shared" ref="K533:O533" si="5">$J533</f>
        <v>2024.0</v>
      </c>
      <c r="L533" s="34">
        <f t="shared" si="5"/>
        <v>2024.0</v>
      </c>
      <c r="M533" s="34">
        <f t="shared" si="5"/>
        <v>2024.0</v>
      </c>
      <c r="N533" s="34">
        <f t="shared" si="5"/>
        <v>2024.0</v>
      </c>
      <c r="O533" s="34">
        <f t="shared" si="5"/>
        <v>2024.0</v>
      </c>
    </row>
    <row r="534" hidden="1">
      <c r="B534" s="3" t="inlineStr">
        <is>
          <t>ETS: relative effectiveness of output-based allocation (OBREff)</t>
        </is>
      </c>
      <c r="C534" s="3" t="inlineStr">
        <is>
          <t>share</t>
        </is>
      </c>
      <c r="D534" s="3" t="n"/>
      <c r="E534" s="3" t="inlineStr">
        <is>
          <t>global; legacy hardcoded; read by Settings C14</t>
        </is>
      </c>
      <c r="F534" s="3" t="n">
        <v>0.5</v>
      </c>
      <c r="G534" s="3" t="n">
        <v>0.5</v>
      </c>
      <c r="H534" s="3" t="inlineStr">
        <is>
          <t>ETSOBREffectiveness</t>
        </is>
      </c>
      <c r="J534" s="33" t="n">
        <v>0.5</v>
      </c>
      <c r="K534" s="34">
        <f t="shared" ref="K534:O534" si="6">$J534</f>
        <v>0.5</v>
      </c>
      <c r="L534" s="34">
        <f t="shared" si="6"/>
        <v>0.5</v>
      </c>
      <c r="M534" s="34">
        <f t="shared" si="6"/>
        <v>0.5</v>
      </c>
      <c r="N534" s="34">
        <f t="shared" si="6"/>
        <v>0.5</v>
      </c>
      <c r="O534" s="34">
        <f t="shared" si="6"/>
        <v>0.5</v>
      </c>
    </row>
    <row r="535" hidden="1">
      <c r="B535" s="3" t="inlineStr">
        <is>
          <t>ETS: convergence exponent of the next-price proposal</t>
        </is>
      </c>
      <c r="C535" s="3" t="inlineStr">
        <is>
          <t>exponent</t>
        </is>
      </c>
      <c r="D535" s="3" t="n"/>
      <c r="E535" s="3" t="inlineStr">
        <is>
          <t>global; legacy row 1966; read by Settings C15</t>
        </is>
      </c>
      <c r="F535" s="3" t="n">
        <v>0.5</v>
      </c>
      <c r="G535" s="3" t="n">
        <v>0.5</v>
      </c>
      <c r="H535" s="3" t="inlineStr">
        <is>
          <t>ETSNextPriceExponent</t>
        </is>
      </c>
      <c r="J535" s="33" t="n">
        <v>0.5</v>
      </c>
      <c r="K535" s="34">
        <f t="shared" ref="K535:O535" si="7">$J535</f>
        <v>0.5</v>
      </c>
      <c r="L535" s="34">
        <f t="shared" si="7"/>
        <v>0.5</v>
      </c>
      <c r="M535" s="34">
        <f t="shared" si="7"/>
        <v>0.5</v>
      </c>
      <c r="N535" s="34">
        <f t="shared" si="7"/>
        <v>0.5</v>
      </c>
      <c r="O535" s="34">
        <f t="shared" si="7"/>
        <v>0.5</v>
      </c>
    </row>
    <row r="536" hidden="1">
      <c r="B536" s="3" t="inlineStr">
        <is>
          <t>Apply the legacy 2023-2024 energy demand shock (1 = yes)</t>
        </is>
      </c>
      <c r="C536" s="3" t="inlineStr">
        <is>
          <t>0/1</t>
        </is>
      </c>
      <c r="D536" s="3" t="n"/>
      <c r="E536" s="3" t="inlineStr">
        <is>
          <t>global; legacy (always on, I92); read by Settings C19</t>
        </is>
      </c>
      <c r="F536" s="3" t="n">
        <v>1</v>
      </c>
      <c r="G536" s="3" t="n">
        <v>1</v>
      </c>
      <c r="H536" s="3" t="inlineStr">
        <is>
          <t>ApplyDemandShock</t>
        </is>
      </c>
      <c r="J536" s="33" t="n">
        <v>1</v>
      </c>
      <c r="K536" s="34">
        <f t="shared" ref="K536:O536" si="8">$J536</f>
        <v>1.0</v>
      </c>
      <c r="L536" s="34">
        <f t="shared" si="8"/>
        <v>1.0</v>
      </c>
      <c r="M536" s="34">
        <f t="shared" si="8"/>
        <v>1.0</v>
      </c>
      <c r="N536" s="34">
        <f t="shared" si="8"/>
        <v>1.0</v>
      </c>
      <c r="O536" s="34">
        <f t="shared" si="8"/>
        <v>1.0</v>
      </c>
    </row>
    <row r="537" hidden="1">
      <c r="B537" s="3" t="inlineStr">
        <is>
          <t>Year of the target-consistent carbon price (SCCTgtYr)</t>
        </is>
      </c>
      <c r="C537" s="3" t="inlineStr">
        <is>
          <t>year</t>
        </is>
      </c>
      <c r="D537" s="3" t="n"/>
      <c r="E537" s="3" t="inlineStr">
        <is>
          <t>global; prototype; read by Settings C34</t>
        </is>
      </c>
      <c r="F537" s="3" t="n">
        <v>2030</v>
      </c>
      <c r="G537" s="3" t="n">
        <v>2030</v>
      </c>
      <c r="H537" s="3" t="inlineStr">
        <is>
          <t>SCCTargetYear</t>
        </is>
      </c>
      <c r="J537" s="33" t="n">
        <v>2030</v>
      </c>
      <c r="K537" s="34">
        <f t="shared" ref="K537:O537" si="9">$J537</f>
        <v>2030.0</v>
      </c>
      <c r="L537" s="34">
        <f t="shared" si="9"/>
        <v>2030.0</v>
      </c>
      <c r="M537" s="34">
        <f t="shared" si="9"/>
        <v>2030.0</v>
      </c>
      <c r="N537" s="34">
        <f t="shared" si="9"/>
        <v>2030.0</v>
      </c>
      <c r="O537" s="34">
        <f t="shared" si="9"/>
        <v>2030.0</v>
      </c>
    </row>
    <row r="538" hidden="1">
      <c r="B538" s="3" t="inlineStr">
        <is>
          <t>US EPA SCC in the base year (SCCEpa)</t>
        </is>
      </c>
      <c r="C538" s="3" t="inlineStr">
        <is>
          <t>$/tCO2</t>
        </is>
      </c>
      <c r="D538" s="3" t="n"/>
      <c r="E538" s="3" t="inlineStr">
        <is>
          <t>global; legacy row 17684; read by Settings C40</t>
        </is>
      </c>
      <c r="F538" s="3" t="n">
        <v>62</v>
      </c>
      <c r="G538" s="3" t="n">
        <v>62</v>
      </c>
      <c r="H538" s="3" t="inlineStr">
        <is>
          <t>SCCEpaBaseYear</t>
        </is>
      </c>
      <c r="J538" s="33" t="n">
        <v>62</v>
      </c>
      <c r="K538" s="34">
        <f t="shared" ref="K538:O538" si="10">$J538</f>
        <v>62.0</v>
      </c>
      <c r="L538" s="34">
        <f t="shared" si="10"/>
        <v>62.0</v>
      </c>
      <c r="M538" s="34">
        <f t="shared" si="10"/>
        <v>62.0</v>
      </c>
      <c r="N538" s="34">
        <f t="shared" si="10"/>
        <v>62.0</v>
      </c>
      <c r="O538" s="34">
        <f t="shared" si="10"/>
        <v>62.0</v>
      </c>
    </row>
    <row r="539" hidden="1">
      <c r="B539" s="3" t="inlineStr">
        <is>
          <t>Average price change reported: Legacy* / Laspeyres (PavMethod)</t>
        </is>
      </c>
      <c r="C539" s="3" t="inlineStr">
        <is>
          <t>option</t>
        </is>
      </c>
      <c r="D539" s="3" t="n"/>
      <c r="E539" s="3" t="inlineStr">
        <is>
          <t>global; prototype (I31); read by Settings C54</t>
        </is>
      </c>
      <c r="F539" s="3" t="inlineStr">
        <is>
          <t>Legacy*</t>
        </is>
      </c>
      <c r="G539" s="3" t="inlineStr">
        <is>
          <t>Legacy*</t>
        </is>
      </c>
      <c r="H539" s="3" t="inlineStr">
        <is>
          <t>AveragePriceMethod</t>
        </is>
      </c>
      <c r="J539" s="33" t="inlineStr">
        <is>
          <t>Legacy*</t>
        </is>
      </c>
      <c r="K539" s="34" t="str">
        <f t="shared" ref="K539:O539" si="11">$J539</f>
        <v>Legacy*</v>
      </c>
      <c r="L539" s="34" t="str">
        <f t="shared" si="11"/>
        <v>Legacy*</v>
      </c>
      <c r="M539" s="34" t="str">
        <f t="shared" si="11"/>
        <v>Legacy*</v>
      </c>
      <c r="N539" s="34" t="str">
        <f t="shared" si="11"/>
        <v>Legacy*</v>
      </c>
      <c r="O539" s="34" t="str">
        <f t="shared" si="11"/>
        <v>Legacy*</v>
      </c>
    </row>
    <row r="540" hidden="1">
      <c r="B540" s="3" t="inlineStr">
        <is>
          <t>Power: investment deficit after the second round to gas (Yes / No)</t>
        </is>
      </c>
      <c r="C540" s="3" t="inlineStr">
        <is>
          <t>switch</t>
        </is>
      </c>
      <c r="D540" s="3" t="n"/>
      <c r="E540" s="3" t="inlineStr">
        <is>
          <t>global; legacy E4248; read by Settings C45</t>
        </is>
      </c>
      <c r="F540" s="3" t="inlineStr">
        <is>
          <t>No</t>
        </is>
      </c>
      <c r="G540" s="3" t="inlineStr">
        <is>
          <t>No</t>
        </is>
      </c>
      <c r="H540" s="3" t="inlineStr">
        <is>
          <t>PwDeficitGas</t>
        </is>
      </c>
      <c r="J540" s="33" t="inlineStr">
        <is>
          <t>No</t>
        </is>
      </c>
      <c r="K540" s="34" t="str">
        <f t="shared" ref="K540:O540" si="12">$J540</f>
        <v>No</v>
      </c>
      <c r="L540" s="34" t="str">
        <f t="shared" si="12"/>
        <v>No</v>
      </c>
      <c r="M540" s="34" t="str">
        <f t="shared" si="12"/>
        <v>No</v>
      </c>
      <c r="N540" s="34" t="str">
        <f t="shared" si="12"/>
        <v>No</v>
      </c>
      <c r="O540" s="34" t="str">
        <f t="shared" si="12"/>
        <v>No</v>
      </c>
    </row>
    <row r="541" hidden="1">
      <c r="B541" s="3" t="inlineStr">
        <is>
          <t>Power: coal implicit cost in generation costs and tariffs (Yes / No)</t>
        </is>
      </c>
      <c r="C541" s="3" t="inlineStr">
        <is>
          <t>switch</t>
        </is>
      </c>
      <c r="D541" s="3" t="n"/>
      <c r="E541" s="3" t="inlineStr">
        <is>
          <t>global; prototype (P5); read by Settings C66</t>
        </is>
      </c>
      <c r="F541" s="3" t="inlineStr">
        <is>
          <t>Yes</t>
        </is>
      </c>
      <c r="G541" s="3" t="inlineStr">
        <is>
          <t>Yes</t>
        </is>
      </c>
      <c r="H541" s="3" t="inlineStr">
        <is>
          <t>PwCoalICTariff</t>
        </is>
      </c>
      <c r="J541" s="33" t="inlineStr">
        <is>
          <t>Yes</t>
        </is>
      </c>
      <c r="K541" s="34" t="str">
        <f t="shared" ref="K541:O541" si="13">$J541</f>
        <v>Yes</v>
      </c>
      <c r="L541" s="34" t="str">
        <f t="shared" si="13"/>
        <v>Yes</v>
      </c>
      <c r="M541" s="34" t="str">
        <f t="shared" si="13"/>
        <v>Yes</v>
      </c>
      <c r="N541" s="34" t="str">
        <f t="shared" si="13"/>
        <v>Yes</v>
      </c>
      <c r="O541" s="34" t="str">
        <f t="shared" si="13"/>
        <v>Yes</v>
      </c>
    </row>
    <row r="542" hidden="1">
      <c r="B542" s="3" t="inlineStr">
        <is>
          <t>Power: use spot fuel prices in every scenario (Yes; No = each scenario's own switch, UseSpotFuelPricesInEngineerModel)</t>
        </is>
      </c>
      <c r="C542" s="3" t="inlineStr">
        <is>
          <t>switch</t>
        </is>
      </c>
      <c r="D542" s="3" t="n"/>
      <c r="E542" s="3" t="inlineStr">
        <is>
          <t>global; legacy option; read by Settings C21</t>
        </is>
      </c>
      <c r="F542" s="3" t="inlineStr">
        <is>
          <t>No</t>
        </is>
      </c>
      <c r="G542" s="3" t="inlineStr">
        <is>
          <t>No</t>
        </is>
      </c>
      <c r="H542" s="3" t="inlineStr">
        <is>
          <t>PwSpotPricesAll</t>
        </is>
      </c>
      <c r="J542" s="33" t="inlineStr">
        <is>
          <t>No</t>
        </is>
      </c>
      <c r="K542" s="34" t="str">
        <f t="shared" ref="K542:O542" si="14">$J542</f>
        <v>No</v>
      </c>
      <c r="L542" s="34" t="str">
        <f t="shared" si="14"/>
        <v>No</v>
      </c>
      <c r="M542" s="34" t="str">
        <f t="shared" si="14"/>
        <v>No</v>
      </c>
      <c r="N542" s="34" t="str">
        <f t="shared" si="14"/>
        <v>No</v>
      </c>
      <c r="O542" s="34" t="str">
        <f t="shared" si="14"/>
        <v>No</v>
      </c>
    </row>
    <row r="543" hidden="1"/>
    <row r="544" hidden="1">
      <c r="B544" s="31" t="inlineStr">
        <is>
          <t>Power: model choices (legacy Dashboard Q197)</t>
        </is>
      </c>
    </row>
    <row r="545" hidden="1">
      <c r="B545" s="3" t="inlineStr">
        <is>
          <t>Share of transmission capex in the levelised cost of new plants (legacy IncludeTransmissionCostsInGenerationCostsPercent)</t>
        </is>
      </c>
      <c r="C545" s="3" t="inlineStr">
        <is>
          <t>share</t>
        </is>
      </c>
      <c r="D545" s="3" t="n"/>
      <c r="E545" s="3" t="inlineStr">
        <is>
          <t>global; legacy Dashboard Q197; read by name TrCostShare</t>
        </is>
      </c>
      <c r="F545" s="3" t="n">
        <v>1</v>
      </c>
      <c r="G545" s="3" t="n">
        <v>1</v>
      </c>
      <c r="H545" s="3" t="inlineStr">
        <is>
          <t>TransmissionCostShare</t>
        </is>
      </c>
      <c r="J545" s="33" t="n">
        <v>1</v>
      </c>
      <c r="K545" s="34">
        <f t="shared" ref="K545:O545" si="15">$J545</f>
        <v>1.0</v>
      </c>
      <c r="L545" s="34">
        <f t="shared" si="15"/>
        <v>1.0</v>
      </c>
      <c r="M545" s="34">
        <f t="shared" si="15"/>
        <v>1.0</v>
      </c>
      <c r="N545" s="34">
        <f t="shared" si="15"/>
        <v>1.0</v>
      </c>
      <c r="O545" s="34">
        <f t="shared" si="15"/>
        <v>1.0</v>
      </c>
    </row>
    <row r="546" hidden="1"/>
    <row r="547" hidden="1">
      <c r="B547" s="31" t="inlineStr">
        <is>
          <t>Choices of the constants (read by tab Constants and Mappings, block Constants)</t>
        </is>
      </c>
    </row>
    <row r="548" hidden="1">
      <c r="B548" s="3" t="inlineStr">
        <is>
          <t>Pass-through buckets: a raw pass-through up to this value counts as 0</t>
        </is>
      </c>
      <c r="C548" s="3" t="inlineStr">
        <is>
          <t>share</t>
        </is>
      </c>
      <c r="D548" s="3" t="n"/>
      <c r="E548" s="3" t="inlineStr">
        <is>
          <t>global; Constants; read by Constants PassLo</t>
        </is>
      </c>
      <c r="F548" s="3" t="n">
        <v>0.25</v>
      </c>
      <c r="G548" s="3" t="n">
        <v>0.25</v>
      </c>
      <c r="H548" s="3" t="inlineStr">
        <is>
          <t>PassLo</t>
        </is>
      </c>
      <c r="J548" s="33" t="n">
        <v>0.25</v>
      </c>
      <c r="K548" s="34">
        <f t="shared" ref="K548:O548" si="16">$J548</f>
        <v>0.25</v>
      </c>
      <c r="L548" s="34">
        <f t="shared" si="16"/>
        <v>0.25</v>
      </c>
      <c r="M548" s="34">
        <f t="shared" si="16"/>
        <v>0.25</v>
      </c>
      <c r="N548" s="34">
        <f t="shared" si="16"/>
        <v>0.25</v>
      </c>
      <c r="O548" s="34">
        <f t="shared" si="16"/>
        <v>0.25</v>
      </c>
    </row>
    <row r="549" hidden="1">
      <c r="B549" s="3" t="inlineStr">
        <is>
          <t>Pass-through of the middle bucket</t>
        </is>
      </c>
      <c r="C549" s="3" t="inlineStr">
        <is>
          <t>share</t>
        </is>
      </c>
      <c r="D549" s="3" t="n"/>
      <c r="E549" s="3" t="inlineStr">
        <is>
          <t>global; Constants; read by Constants PassMid</t>
        </is>
      </c>
      <c r="F549" s="3" t="n">
        <v>0.5</v>
      </c>
      <c r="G549" s="3" t="n">
        <v>0.5</v>
      </c>
      <c r="H549" s="3" t="inlineStr">
        <is>
          <t>PassMid</t>
        </is>
      </c>
      <c r="J549" s="33" t="n">
        <v>0.5</v>
      </c>
      <c r="K549" s="34">
        <f t="shared" ref="K549:O549" si="17">$J549</f>
        <v>0.5</v>
      </c>
      <c r="L549" s="34">
        <f t="shared" si="17"/>
        <v>0.5</v>
      </c>
      <c r="M549" s="34">
        <f t="shared" si="17"/>
        <v>0.5</v>
      </c>
      <c r="N549" s="34">
        <f t="shared" si="17"/>
        <v>0.5</v>
      </c>
      <c r="O549" s="34">
        <f t="shared" si="17"/>
        <v>0.5</v>
      </c>
    </row>
    <row r="550" hidden="1">
      <c r="B550" s="3" t="inlineStr">
        <is>
          <t>Pass-through buckets: above PassLo and up to this value counts as PassMid, above as 1</t>
        </is>
      </c>
      <c r="C550" s="3" t="inlineStr">
        <is>
          <t>share</t>
        </is>
      </c>
      <c r="D550" s="3" t="n"/>
      <c r="E550" s="3" t="inlineStr">
        <is>
          <t>global; Constants; read by Constants PassHi</t>
        </is>
      </c>
      <c r="F550" s="3" t="n">
        <v>0.5</v>
      </c>
      <c r="G550" s="3" t="n">
        <v>0.5</v>
      </c>
      <c r="H550" s="3" t="inlineStr">
        <is>
          <t>PassHi</t>
        </is>
      </c>
      <c r="J550" s="33" t="n">
        <v>0.5</v>
      </c>
      <c r="K550" s="34">
        <f t="shared" ref="K550:O550" si="18">$J550</f>
        <v>0.5</v>
      </c>
      <c r="L550" s="34">
        <f t="shared" si="18"/>
        <v>0.5</v>
      </c>
      <c r="M550" s="34">
        <f t="shared" si="18"/>
        <v>0.5</v>
      </c>
      <c r="N550" s="34">
        <f t="shared" si="18"/>
        <v>0.5</v>
      </c>
      <c r="O550" s="34">
        <f t="shared" si="18"/>
        <v>0.5</v>
      </c>
    </row>
    <row r="551" hidden="1">
      <c r="B551" s="3" t="inlineStr">
        <is>
          <t>Floor of the after-tax fuel price (atp)</t>
        </is>
      </c>
      <c r="C551" s="3" t="inlineStr">
        <is>
          <t>$/GJ real</t>
        </is>
      </c>
      <c r="D551" s="3" t="n"/>
      <c r="E551" s="3" t="inlineStr">
        <is>
          <t>global; Constants; read by Constants PriceFloor</t>
        </is>
      </c>
      <c r="F551" s="3" t="n">
        <v>0.01</v>
      </c>
      <c r="G551" s="3" t="n">
        <v>0.01</v>
      </c>
      <c r="H551" s="3" t="inlineStr">
        <is>
          <t>PriceFloor</t>
        </is>
      </c>
      <c r="J551" s="33" t="n">
        <v>0.01</v>
      </c>
      <c r="K551" s="34">
        <f t="shared" ref="K551:O551" si="19">$J551</f>
        <v>0.01</v>
      </c>
      <c r="L551" s="34">
        <f t="shared" si="19"/>
        <v>0.01</v>
      </c>
      <c r="M551" s="34">
        <f t="shared" si="19"/>
        <v>0.01</v>
      </c>
      <c r="N551" s="34">
        <f t="shared" si="19"/>
        <v>0.01</v>
      </c>
      <c r="O551" s="34">
        <f t="shared" si="19"/>
        <v>0.01</v>
      </c>
    </row>
    <row r="552" hidden="1">
      <c r="B552" s="3" t="inlineStr">
        <is>
          <t>Year of the final combustion emission factor: linear path from the base year, continued after it, as legacy (v0.8.4, I98</t>
        </is>
      </c>
      <c r="C552" s="3" t="inlineStr">
        <is>
          <t>year</t>
        </is>
      </c>
      <c r="D552" s="3" t="n"/>
      <c r="E552" s="3" t="inlineStr">
        <is>
          <t>global; Constants; read by Constants EFEndYear</t>
        </is>
      </c>
      <c r="F552" s="3" t="n">
        <v>2039</v>
      </c>
      <c r="G552" s="3" t="n">
        <v>2039</v>
      </c>
      <c r="H552" s="3" t="inlineStr">
        <is>
          <t>EFEndYear</t>
        </is>
      </c>
      <c r="J552" s="33" t="n">
        <v>2039</v>
      </c>
      <c r="K552" s="34">
        <f t="shared" ref="K552:O552" si="20">$J552</f>
        <v>2039.0</v>
      </c>
      <c r="L552" s="34">
        <f t="shared" si="20"/>
        <v>2039.0</v>
      </c>
      <c r="M552" s="34">
        <f t="shared" si="20"/>
        <v>2039.0</v>
      </c>
      <c r="N552" s="34">
        <f t="shared" si="20"/>
        <v>2039.0</v>
      </c>
      <c r="O552" s="34">
        <f t="shared" si="20"/>
        <v>2039.0</v>
      </c>
    </row>
    <row r="553" hidden="1">
      <c r="B553" s="3" t="inlineStr">
        <is>
          <t>Methane source shares: at most this multiple of the source's share of activity</t>
        </is>
      </c>
      <c r="C553" s="3" t="inlineStr">
        <is>
          <t>factor</t>
        </is>
      </c>
      <c r="D553" s="3" t="n"/>
      <c r="E553" s="3" t="inlineStr">
        <is>
          <t>global; Constants; read by Constants MethShareCap</t>
        </is>
      </c>
      <c r="F553" s="3" t="n">
        <v>10</v>
      </c>
      <c r="G553" s="3" t="n">
        <v>10</v>
      </c>
      <c r="H553" s="3" t="inlineStr">
        <is>
          <t>MethShareCap</t>
        </is>
      </c>
      <c r="J553" s="33" t="n">
        <v>10</v>
      </c>
      <c r="K553" s="34">
        <f t="shared" ref="K553:O553" si="21">$J553</f>
        <v>10.0</v>
      </c>
      <c r="L553" s="34">
        <f t="shared" si="21"/>
        <v>10.0</v>
      </c>
      <c r="M553" s="34">
        <f t="shared" si="21"/>
        <v>10.0</v>
      </c>
      <c r="N553" s="34">
        <f t="shared" si="21"/>
        <v>10.0</v>
      </c>
      <c r="O553" s="34">
        <f t="shared" si="21"/>
        <v>10.0</v>
      </c>
    </row>
    <row r="554" hidden="1">
      <c r="B554" s="3" t="inlineStr">
        <is>
          <t>Maximum annual decrease of passenger and freight ownership (fix B4: the legacy 2-3 wheeler value; legacy 0)</t>
        </is>
      </c>
      <c r="C554" s="3" t="inlineStr">
        <is>
          <t>share per year</t>
        </is>
      </c>
      <c r="D554" s="3" t="n"/>
      <c r="E554" s="3" t="inlineStr">
        <is>
          <t>global; Constants; read by Constants TrOwnDecline</t>
        </is>
      </c>
      <c r="F554" s="3" t="n">
        <v>0.1</v>
      </c>
      <c r="G554" s="3" t="n">
        <v>0.1</v>
      </c>
      <c r="H554" s="3" t="inlineStr">
        <is>
          <t>TrOwnDecline</t>
        </is>
      </c>
      <c r="J554" s="33" t="n">
        <v>0.1</v>
      </c>
      <c r="K554" s="34">
        <f t="shared" ref="K554:O554" si="22">$J554</f>
        <v>0.1</v>
      </c>
      <c r="L554" s="34">
        <f t="shared" si="22"/>
        <v>0.1</v>
      </c>
      <c r="M554" s="34">
        <f t="shared" si="22"/>
        <v>0.1</v>
      </c>
      <c r="N554" s="34">
        <f t="shared" si="22"/>
        <v>0.1</v>
      </c>
      <c r="O554" s="34">
        <f t="shared" si="22"/>
        <v>0.1</v>
      </c>
    </row>
    <row r="555" hidden="1">
      <c r="B555" s="3" t="inlineStr">
        <is>
          <t>Range anxiety: the start value holds in the first years of the horizon (base year counted as 1)</t>
        </is>
      </c>
      <c r="C555" s="3" t="inlineStr">
        <is>
          <t>years</t>
        </is>
      </c>
      <c r="D555" s="3" t="n"/>
      <c r="E555" s="3" t="inlineStr">
        <is>
          <t>global; Constants; read by Constants TrRALag</t>
        </is>
      </c>
      <c r="F555" s="3" t="n">
        <v>3</v>
      </c>
      <c r="G555" s="3" t="n">
        <v>3</v>
      </c>
      <c r="H555" s="3" t="inlineStr">
        <is>
          <t>TrRALag</t>
        </is>
      </c>
      <c r="J555" s="33" t="n">
        <v>3</v>
      </c>
      <c r="K555" s="34">
        <f t="shared" ref="K555:O555" si="23">$J555</f>
        <v>3.0</v>
      </c>
      <c r="L555" s="34">
        <f t="shared" si="23"/>
        <v>3.0</v>
      </c>
      <c r="M555" s="34">
        <f t="shared" si="23"/>
        <v>3.0</v>
      </c>
      <c r="N555" s="34">
        <f t="shared" si="23"/>
        <v>3.0</v>
      </c>
      <c r="O555" s="34">
        <f t="shared" si="23"/>
        <v>3.0</v>
      </c>
    </row>
    <row r="556" hidden="1">
      <c r="B556" s="3" t="inlineStr">
        <is>
          <t>Feebate pivot: blank in the first years of the horizon (base year counted as 1)</t>
        </is>
      </c>
      <c r="C556" s="3" t="inlineStr">
        <is>
          <t>years</t>
        </is>
      </c>
      <c r="D556" s="3" t="n"/>
      <c r="E556" s="3" t="inlineStr">
        <is>
          <t>global; Constants; read by Constants TrPivotLag</t>
        </is>
      </c>
      <c r="F556" s="3" t="n">
        <v>2</v>
      </c>
      <c r="G556" s="3" t="n">
        <v>2</v>
      </c>
      <c r="H556" s="3" t="inlineStr">
        <is>
          <t>TrPivotLag</t>
        </is>
      </c>
      <c r="J556" s="33" t="n">
        <v>2</v>
      </c>
      <c r="K556" s="34">
        <f t="shared" ref="K556:O556" si="24">$J556</f>
        <v>2.0</v>
      </c>
      <c r="L556" s="34">
        <f t="shared" si="24"/>
        <v>2.0</v>
      </c>
      <c r="M556" s="34">
        <f t="shared" si="24"/>
        <v>2.0</v>
      </c>
      <c r="N556" s="34">
        <f t="shared" si="24"/>
        <v>2.0</v>
      </c>
      <c r="O556" s="34">
        <f t="shared" si="24"/>
        <v>2.0</v>
      </c>
    </row>
    <row r="557" hidden="1">
      <c r="B557" s="3" t="inlineStr">
        <is>
          <t>Maximum early coal retirement, share of coal effective capacity (legacy typed)</t>
        </is>
      </c>
      <c r="C557" s="3" t="inlineStr">
        <is>
          <t>share</t>
        </is>
      </c>
      <c r="D557" s="3" t="n"/>
      <c r="E557" s="3" t="inlineStr">
        <is>
          <t>global; Constants; read by Constants EarlyMaxShare</t>
        </is>
      </c>
      <c r="F557" s="3" t="n">
        <v>0.8</v>
      </c>
      <c r="G557" s="3" t="n">
        <v>0.8</v>
      </c>
      <c r="H557" s="3" t="inlineStr">
        <is>
          <t>EarlyMaxShare</t>
        </is>
      </c>
      <c r="J557" s="33" t="n">
        <v>0.8</v>
      </c>
      <c r="K557" s="34">
        <f t="shared" ref="K557:O557" si="25">$J557</f>
        <v>0.8</v>
      </c>
      <c r="L557" s="34">
        <f t="shared" si="25"/>
        <v>0.8</v>
      </c>
      <c r="M557" s="34">
        <f t="shared" si="25"/>
        <v>0.8</v>
      </c>
      <c r="N557" s="34">
        <f t="shared" si="25"/>
        <v>0.8</v>
      </c>
      <c r="O557" s="34">
        <f t="shared" si="25"/>
        <v>0.8</v>
      </c>
    </row>
    <row r="558" hidden="1">
      <c r="B558" s="3" t="inlineStr">
        <is>
          <t>New investment "If Present": allowed when the type has more than this share of capacity</t>
        </is>
      </c>
      <c r="C558" s="3" t="inlineStr">
        <is>
          <t>share</t>
        </is>
      </c>
      <c r="D558" s="3" t="n"/>
      <c r="E558" s="3" t="inlineStr">
        <is>
          <t>global; Constants; read by Constants InvPresentShare</t>
        </is>
      </c>
      <c r="F558" s="3" t="n">
        <v>0.001</v>
      </c>
      <c r="G558" s="3" t="n">
        <v>0.001</v>
      </c>
      <c r="H558" s="3" t="inlineStr">
        <is>
          <t>InvPresentShare</t>
        </is>
      </c>
      <c r="J558" s="33" t="n">
        <v>0.001</v>
      </c>
      <c r="K558" s="34">
        <f t="shared" ref="K558:O558" si="26">$J558</f>
        <v>0.001</v>
      </c>
      <c r="L558" s="34">
        <f t="shared" si="26"/>
        <v>0.001</v>
      </c>
      <c r="M558" s="34">
        <f t="shared" si="26"/>
        <v>0.001</v>
      </c>
      <c r="N558" s="34">
        <f t="shared" si="26"/>
        <v>0.001</v>
      </c>
      <c r="O558" s="34">
        <f t="shared" si="26"/>
        <v>0.001</v>
      </c>
    </row>
    <row r="559" hidden="1">
      <c r="B559" s="3" t="inlineStr">
        <is>
          <t>Hydro invests from the base year when its generation share is above this value, else from NewInvHydYear (v0.4.10, L54 fi</t>
        </is>
      </c>
      <c r="C559" s="3" t="inlineStr">
        <is>
          <t>share</t>
        </is>
      </c>
      <c r="D559" s="3" t="n"/>
      <c r="E559" s="3" t="inlineStr">
        <is>
          <t>global; Constants; read by Constants HydInvShare</t>
        </is>
      </c>
      <c r="F559" s="3" t="n">
        <v>0.5</v>
      </c>
      <c r="G559" s="3" t="n">
        <v>0.5</v>
      </c>
      <c r="H559" s="3" t="inlineStr">
        <is>
          <t>HydInvShare</t>
        </is>
      </c>
      <c r="J559" s="33" t="n">
        <v>0.5</v>
      </c>
      <c r="K559" s="34">
        <f t="shared" ref="K559:O559" si="27">$J559</f>
        <v>0.5</v>
      </c>
      <c r="L559" s="34">
        <f t="shared" si="27"/>
        <v>0.5</v>
      </c>
      <c r="M559" s="34">
        <f t="shared" si="27"/>
        <v>0.5</v>
      </c>
      <c r="N559" s="34">
        <f t="shared" si="27"/>
        <v>0.5</v>
      </c>
      <c r="O559" s="34">
        <f t="shared" si="27"/>
        <v>0.5</v>
      </c>
    </row>
    <row r="560" hidden="1">
      <c r="B560" s="3" t="inlineStr">
        <is>
          <t>WACC of a country missing from CoC or without CoC risk data (legacy XLOOKUP default; v0.4.10: also without risk data, L5</t>
        </is>
      </c>
      <c r="C560" s="3" t="inlineStr">
        <is>
          <t>share</t>
        </is>
      </c>
      <c r="D560" s="3" t="n"/>
      <c r="E560" s="3" t="inlineStr">
        <is>
          <t>global; Constants; read by Constants WaccDefault</t>
        </is>
      </c>
      <c r="F560" s="3" t="n">
        <v>0.075</v>
      </c>
      <c r="G560" s="3" t="n">
        <v>0.075</v>
      </c>
      <c r="H560" s="3" t="inlineStr">
        <is>
          <t>WaccDefault</t>
        </is>
      </c>
      <c r="J560" s="33" t="n">
        <v>0.075</v>
      </c>
      <c r="K560" s="34">
        <f t="shared" ref="K560:O560" si="28">$J560</f>
        <v>0.075</v>
      </c>
      <c r="L560" s="34">
        <f t="shared" si="28"/>
        <v>0.075</v>
      </c>
      <c r="M560" s="34">
        <f t="shared" si="28"/>
        <v>0.075</v>
      </c>
      <c r="N560" s="34">
        <f t="shared" si="28"/>
        <v>0.075</v>
      </c>
      <c r="O560" s="34">
        <f t="shared" si="28"/>
        <v>0.075</v>
      </c>
    </row>
  </sheetData>
  <pageMargins left="0.75" right="0.75" top="1" bottom="1" header="0.5" footer="0.5"/>
</worksheet>
</file>

<file path=xl/worksheets/sheet3.xml><?xml version="1.0" encoding="utf-8"?>
<worksheet xmlns="http://schemas.openxmlformats.org/spreadsheetml/2006/main">
  <sheetPr>
    <tabColor rgb="0092D050"/>
    <outlinePr summaryBelow="1" summaryRight="1"/>
    <pageSetUpPr/>
  </sheetPr>
  <dimension ref="A1:D11"/>
  <sheetViews>
    <sheetView tabSelected="0" zoomScale="80" workbookViewId="0">
      <selection activeCell="A1" sqref="A1"/>
    </sheetView>
  </sheetViews>
  <sheetFormatPr baseColWidth="8" defaultRowHeight="15"/>
  <cols>
    <col width="14" customWidth="1" min="1" max="1"/>
    <col width="60" customWidth="1" min="2" max="2"/>
    <col width="60" customWidth="1" min="3" max="3"/>
  </cols>
  <sheetData>
    <row r="1"/>
    <row r="2">
      <c r="A2" s="1" t="inlineStr">
        <is>
          <t>FromMaster - what the Master workbook wrote here (activation, data source); values</t>
        </is>
      </c>
      <c r="B2" s="2" t="n"/>
      <c r="C2" s="2" t="n"/>
      <c r="D2" s="2" t="n"/>
    </row>
    <row r="3">
      <c r="A3" s="3" t="inlineStr">
        <is>
          <t>Written by the macros of the Master workbook (CPAT-AI-Master_UserGuide.xlsm, active_workbooks); read by the Cover. Values only: the module has no macros and no link to another file.</t>
        </is>
      </c>
    </row>
    <row r="4"/>
    <row r="5">
      <c r="A5" s="6" t="inlineStr">
        <is>
          <t>Name</t>
        </is>
      </c>
      <c r="B5" s="6" t="inlineStr">
        <is>
          <t>Item</t>
        </is>
      </c>
      <c r="C5" s="6" t="inlineStr">
        <is>
          <t>Value</t>
        </is>
      </c>
    </row>
    <row r="6">
      <c r="A6" s="34" t="inlineStr">
        <is>
          <t>FMMaster</t>
        </is>
      </c>
      <c r="B6" s="3" t="inlineStr">
        <is>
          <t>Master workbook (writes this tab)</t>
        </is>
      </c>
      <c r="C6" s="3" t="inlineStr">
        <is>
          <t>CPAT-AI-Master_UserGuide.xlsm</t>
        </is>
      </c>
    </row>
    <row r="7">
      <c r="A7" s="34" t="inlineStr">
        <is>
          <t>FMVersion</t>
        </is>
      </c>
      <c r="B7" s="3" t="inlineStr">
        <is>
          <t>Version of the Master that last wrote here</t>
        </is>
      </c>
      <c r="C7" s="3" t="inlineStr">
        <is>
          <t>none (shipped)</t>
        </is>
      </c>
    </row>
    <row r="8">
      <c r="A8" s="34" t="inlineStr">
        <is>
          <t>FMActivated</t>
        </is>
      </c>
      <c r="B8" s="3" t="inlineStr">
        <is>
          <t>Activated (formulas to the last year, recalculated, saved as .xlsb)</t>
        </is>
      </c>
      <c r="C8" s="3" t="inlineStr">
        <is>
          <t>not activated: formulas to 2035</t>
        </is>
      </c>
    </row>
    <row r="9">
      <c r="A9" s="34" t="inlineStr">
        <is>
          <t>FMSource</t>
        </is>
      </c>
      <c r="B9" s="3" t="inlineStr">
        <is>
          <t>Data source of the linked tables</t>
        </is>
      </c>
      <c r="C9" s="3" t="inlineStr">
        <is>
          <t>Embedded (shipped data, no update)</t>
        </is>
      </c>
    </row>
    <row r="10">
      <c r="A10" s="34" t="inlineStr">
        <is>
          <t>FMRows</t>
        </is>
      </c>
      <c r="B10" s="3" t="inlineStr">
        <is>
          <t>Rows loaded (Country = the country of MTInputs; All countries)</t>
        </is>
      </c>
      <c r="C10" s="3" t="inlineStr">
        <is>
          <t>Country</t>
        </is>
      </c>
    </row>
    <row r="11">
      <c r="A11" s="34" t="inlineStr">
        <is>
          <t>FMPath</t>
        </is>
      </c>
      <c r="B11" s="3" t="inlineStr">
        <is>
          <t>File or URL of the data source</t>
        </is>
      </c>
      <c r="C11" s="3" t="inlineStr"/>
    </row>
  </sheetData>
  <pageMargins left="0.75" right="0.75" top="1" bottom="1" header="0.5" footer="0.5"/>
</worksheet>
</file>

<file path=xl/worksheets/sheet4.xml><?xml version="1.0" encoding="utf-8"?>
<worksheet xmlns="http://schemas.openxmlformats.org/spreadsheetml/2006/main">
  <sheetPr>
    <tabColor rgb="0000AE49"/>
    <outlinePr summaryBelow="1" summaryRight="1"/>
    <pageSetUpPr/>
  </sheetPr>
  <dimension ref="A1:IZ35"/>
  <sheetViews>
    <sheetView tabSelected="0" zoomScale="80" workbookViewId="0">
      <pane xSplit="10" ySplit="7" topLeftCell="K8" activePane="bottomRight" state="frozen"/>
      <selection pane="topRight" activeCell="A1" sqref="A1"/>
      <selection pane="bottomLeft" activeCell="A1" sqref="A1"/>
      <selection pane="bottomRight" activeCell="A1" sqref="A1"/>
    </sheetView>
  </sheetViews>
  <sheetFormatPr baseColWidth="8" defaultRowHeight="15"/>
  <cols>
    <col width="50" customWidth="1" min="8" max="8"/>
  </cols>
  <sheetData>
    <row r="1">
      <c r="H1" s="6" t="inlineStr">
        <is>
          <t>Year</t>
        </is>
      </c>
      <c r="K1" s="25" t="inlineStr">
        <is>
          <t>Scenario: output code</t>
        </is>
      </c>
      <c r="L1" s="25" t="n">
        <v>2022</v>
      </c>
      <c r="M1" s="25" t="n">
        <v>2023</v>
      </c>
      <c r="N1" s="25" t="n">
        <v>2024</v>
      </c>
      <c r="O1" s="25" t="n">
        <v>2025</v>
      </c>
      <c r="P1" s="25" t="n">
        <v>2026</v>
      </c>
      <c r="Q1" s="25" t="n">
        <v>2027</v>
      </c>
      <c r="R1" s="25" t="n">
        <v>2028</v>
      </c>
      <c r="S1" s="25" t="n">
        <v>2029</v>
      </c>
      <c r="T1" s="25" t="n">
        <v>2030</v>
      </c>
      <c r="U1" s="25" t="n">
        <v>2031</v>
      </c>
      <c r="V1" s="25" t="n">
        <v>2032</v>
      </c>
      <c r="W1" s="25" t="n">
        <v>2033</v>
      </c>
      <c r="X1" s="25" t="n">
        <v>2034</v>
      </c>
      <c r="Y1" s="25" t="n">
        <v>2035</v>
      </c>
      <c r="Z1" s="25" t="n">
        <v>2036</v>
      </c>
      <c r="AA1" s="25" t="n">
        <v>2037</v>
      </c>
      <c r="AB1" s="25" t="n">
        <v>2038</v>
      </c>
      <c r="AC1" s="25" t="n">
        <v>2039</v>
      </c>
      <c r="AD1" s="25" t="n">
        <v>2040</v>
      </c>
      <c r="AE1" s="25" t="n">
        <v>2041</v>
      </c>
      <c r="AF1" s="25" t="n"/>
      <c r="AG1" s="25" t="inlineStr">
        <is>
          <t>Scenario: output code</t>
        </is>
      </c>
      <c r="AH1" s="25" t="n">
        <v>2022</v>
      </c>
      <c r="AI1" s="25" t="n">
        <v>2023</v>
      </c>
      <c r="AJ1" s="25" t="n">
        <v>2024</v>
      </c>
      <c r="AK1" s="25" t="n">
        <v>2025</v>
      </c>
      <c r="AL1" s="25" t="n">
        <v>2026</v>
      </c>
      <c r="AM1" s="25" t="n">
        <v>2027</v>
      </c>
      <c r="AN1" s="25" t="n">
        <v>2028</v>
      </c>
      <c r="AO1" s="25" t="n">
        <v>2029</v>
      </c>
      <c r="AP1" s="25" t="n">
        <v>2030</v>
      </c>
      <c r="AQ1" s="25" t="n">
        <v>2031</v>
      </c>
      <c r="AR1" s="25" t="n">
        <v>2032</v>
      </c>
      <c r="AS1" s="25" t="n">
        <v>2033</v>
      </c>
      <c r="AT1" s="25" t="n">
        <v>2034</v>
      </c>
      <c r="AU1" s="25" t="n">
        <v>2035</v>
      </c>
      <c r="AV1" s="25" t="n">
        <v>2036</v>
      </c>
      <c r="AW1" s="25" t="n">
        <v>2037</v>
      </c>
      <c r="AX1" s="25" t="n">
        <v>2038</v>
      </c>
      <c r="AY1" s="25" t="n">
        <v>2039</v>
      </c>
      <c r="AZ1" s="25" t="n">
        <v>2040</v>
      </c>
      <c r="BA1" s="25" t="n">
        <v>2041</v>
      </c>
      <c r="BB1" s="25" t="n"/>
      <c r="BC1" s="25" t="n"/>
      <c r="BD1" s="25" t="n"/>
      <c r="BE1" s="25" t="n"/>
      <c r="BF1" s="25" t="n"/>
      <c r="BG1" s="25" t="n"/>
      <c r="BH1" s="25" t="n"/>
      <c r="BI1" s="25" t="n"/>
      <c r="BJ1" s="25" t="n"/>
      <c r="BK1" s="25" t="n"/>
      <c r="BL1" s="25" t="n"/>
      <c r="BM1" s="25" t="n"/>
      <c r="BN1" s="25" t="n"/>
      <c r="BO1" s="25" t="n"/>
      <c r="BP1" s="25" t="n"/>
      <c r="BQ1" s="25" t="n"/>
      <c r="BR1" s="25" t="n"/>
      <c r="BS1" s="25" t="n"/>
      <c r="BT1" s="25" t="n"/>
      <c r="BU1" s="25" t="n"/>
      <c r="BV1" s="25" t="n"/>
      <c r="BW1" s="25" t="n"/>
      <c r="BX1" s="25" t="n"/>
      <c r="BY1" s="25" t="n"/>
      <c r="BZ1" s="25" t="n"/>
      <c r="CA1" s="25" t="n"/>
      <c r="CB1" s="25" t="n"/>
      <c r="CC1" s="25" t="n"/>
      <c r="CD1" s="25" t="n"/>
      <c r="CE1" s="25" t="n"/>
      <c r="CF1" s="25" t="n"/>
      <c r="CG1" s="25" t="n"/>
      <c r="CH1" s="25" t="n"/>
      <c r="CI1" s="25" t="n"/>
      <c r="CJ1" s="25" t="n"/>
      <c r="CK1" s="25" t="n"/>
      <c r="CL1" s="25" t="n"/>
      <c r="CM1" s="25" t="n"/>
      <c r="CN1" s="25" t="n"/>
      <c r="CO1" s="25" t="n"/>
      <c r="CP1" s="25" t="n"/>
      <c r="CQ1" s="25" t="n"/>
      <c r="CR1" s="25" t="n"/>
      <c r="CS1" s="25" t="n"/>
      <c r="CT1" s="25" t="n"/>
      <c r="CU1" s="25" t="n"/>
      <c r="CV1" s="25" t="n"/>
      <c r="CW1" s="25" t="n"/>
      <c r="CX1" s="25" t="n"/>
      <c r="CY1" s="25" t="n"/>
      <c r="CZ1" s="25" t="n"/>
      <c r="DA1" s="25" t="n"/>
      <c r="DB1" s="25" t="n"/>
      <c r="DC1" s="25" t="n"/>
      <c r="DD1" s="25" t="n"/>
      <c r="DE1" s="25" t="n"/>
      <c r="DF1" s="25" t="n"/>
      <c r="DG1" s="25" t="n"/>
      <c r="DH1" s="25" t="n"/>
      <c r="DI1" s="25" t="n"/>
      <c r="DJ1" s="25" t="n"/>
      <c r="DK1" s="25" t="n"/>
      <c r="DL1" s="25" t="n"/>
      <c r="DM1" s="25" t="n"/>
      <c r="DN1" s="25" t="n"/>
      <c r="DO1" s="25" t="n"/>
      <c r="DP1" s="25" t="n"/>
      <c r="DQ1" s="25" t="n"/>
      <c r="DR1" s="25" t="n"/>
      <c r="DS1" s="25" t="n"/>
      <c r="DT1" s="25" t="n"/>
      <c r="DU1" s="25" t="n"/>
      <c r="DV1" s="25" t="n"/>
      <c r="DW1" s="25" t="n"/>
      <c r="DX1" s="25" t="n"/>
      <c r="DY1" s="25" t="n"/>
      <c r="DZ1" s="25" t="n"/>
      <c r="EA1" s="25" t="n"/>
      <c r="EB1" s="25" t="n"/>
      <c r="EC1" s="25" t="n"/>
      <c r="ED1" s="25" t="n"/>
      <c r="EE1" s="25" t="n"/>
      <c r="EF1" s="25" t="n"/>
      <c r="EG1" s="25" t="n"/>
      <c r="EH1" s="25" t="n"/>
      <c r="EI1" s="25" t="n"/>
      <c r="EJ1" s="25" t="n"/>
      <c r="EK1" s="25" t="n"/>
      <c r="EL1" s="25" t="n"/>
      <c r="EM1" s="25" t="n"/>
      <c r="EN1" s="25" t="n"/>
      <c r="EO1" s="25" t="n"/>
      <c r="EP1" s="25" t="n"/>
      <c r="EQ1" s="25" t="n"/>
      <c r="ER1" s="25" t="n"/>
      <c r="ES1" s="25" t="n"/>
      <c r="ET1" s="25" t="n"/>
      <c r="EU1" s="25" t="n"/>
      <c r="EV1" s="25" t="n"/>
      <c r="EW1" s="25" t="n"/>
      <c r="EX1" s="25" t="n"/>
      <c r="EY1" s="25" t="n"/>
      <c r="EZ1" s="25" t="n"/>
      <c r="FA1" s="25" t="n"/>
      <c r="FB1" s="25" t="n"/>
      <c r="FC1" s="25" t="n"/>
      <c r="FD1" s="25" t="n"/>
      <c r="FE1" s="25" t="n"/>
      <c r="FF1" s="25" t="n"/>
      <c r="FG1" s="25" t="n"/>
      <c r="FH1" s="25" t="n"/>
      <c r="FI1" s="25" t="n"/>
      <c r="FJ1" s="25" t="n"/>
      <c r="FK1" s="25" t="n"/>
      <c r="FL1" s="25" t="n"/>
      <c r="FM1" s="25" t="n"/>
      <c r="FN1" s="25" t="n"/>
      <c r="FO1" s="25" t="n"/>
      <c r="FP1" s="25" t="n"/>
      <c r="FQ1" s="25" t="n"/>
      <c r="FR1" s="25" t="n"/>
      <c r="FS1" s="25" t="n"/>
      <c r="FT1" s="25" t="n"/>
      <c r="FU1" s="25" t="n"/>
      <c r="FV1" s="25" t="n"/>
      <c r="FW1" s="25" t="n"/>
      <c r="FX1" s="25" t="n"/>
      <c r="FY1" s="25" t="n"/>
      <c r="FZ1" s="25" t="n"/>
      <c r="GA1" s="25" t="n"/>
      <c r="GB1" s="25" t="n"/>
      <c r="GC1" s="25" t="n"/>
      <c r="GD1" s="25" t="n"/>
      <c r="GE1" s="25" t="n"/>
      <c r="GF1" s="25" t="n"/>
      <c r="GG1" s="25" t="n"/>
      <c r="GH1" s="25" t="n"/>
      <c r="GI1" s="25" t="n"/>
      <c r="GJ1" s="25" t="n"/>
      <c r="GK1" s="25" t="n"/>
      <c r="GL1" s="25" t="n"/>
      <c r="GM1" s="25" t="n"/>
      <c r="GN1" s="25" t="n"/>
      <c r="GO1" s="25" t="n"/>
      <c r="GP1" s="25" t="n"/>
      <c r="GQ1" s="25" t="n"/>
      <c r="GR1" s="25" t="n"/>
      <c r="GS1" s="25" t="n"/>
      <c r="GT1" s="25" t="n"/>
      <c r="GU1" s="25" t="n"/>
      <c r="GV1" s="25" t="n"/>
      <c r="GW1" s="25" t="n"/>
      <c r="GX1" s="25" t="n"/>
      <c r="GY1" s="25" t="n"/>
      <c r="GZ1" s="25" t="n"/>
      <c r="HA1" s="25" t="n"/>
      <c r="HB1" s="25" t="n"/>
      <c r="HC1" s="25" t="n"/>
      <c r="HD1" s="25" t="n"/>
      <c r="HE1" s="25" t="n"/>
      <c r="HF1" s="25" t="n"/>
      <c r="HG1" s="25" t="n"/>
      <c r="HH1" s="25" t="n"/>
      <c r="HI1" s="25" t="n"/>
      <c r="HJ1" s="25" t="n"/>
      <c r="HK1" s="25" t="n"/>
      <c r="HL1" s="25" t="n"/>
      <c r="HM1" s="25" t="n"/>
      <c r="HN1" s="25" t="n"/>
      <c r="HO1" s="25" t="n"/>
      <c r="HP1" s="25" t="n"/>
      <c r="HQ1" s="25" t="n"/>
      <c r="HR1" s="25" t="n"/>
      <c r="HS1" s="25" t="n"/>
      <c r="HT1" s="25" t="n"/>
      <c r="HU1" s="25" t="n"/>
      <c r="HV1" s="25" t="n"/>
      <c r="HW1" s="25" t="n"/>
      <c r="HX1" s="25" t="n"/>
      <c r="HY1" s="25" t="n"/>
      <c r="HZ1" s="25" t="n"/>
      <c r="IA1" s="25" t="n"/>
      <c r="IB1" s="25" t="n"/>
      <c r="IC1" s="25" t="n"/>
      <c r="ID1" s="25" t="n"/>
      <c r="IE1" s="25" t="n"/>
      <c r="IF1" s="25" t="n"/>
      <c r="IG1" s="25" t="n"/>
      <c r="IH1" s="25" t="n"/>
      <c r="II1" s="25" t="n"/>
      <c r="IJ1" s="25" t="n"/>
      <c r="IK1" s="25" t="n"/>
      <c r="IL1" s="25" t="n"/>
      <c r="IM1" s="25" t="n"/>
      <c r="IN1" s="25" t="n"/>
      <c r="IO1" s="25" t="n"/>
      <c r="IP1" s="25" t="n"/>
      <c r="IQ1" s="25" t="n"/>
      <c r="IR1" s="25" t="n"/>
      <c r="IS1" s="25" t="n"/>
      <c r="IT1" s="25" t="n"/>
      <c r="IU1" s="25" t="n"/>
      <c r="IV1" s="25" t="n"/>
      <c r="IW1" s="25" t="n"/>
      <c r="IX1" s="25" t="n"/>
      <c r="IY1" s="25" t="n"/>
      <c r="IZ1" s="25" t="n"/>
    </row>
    <row r="2">
      <c r="A2" s="1" t="inlineStr">
        <is>
          <t>FromMitigation - the inputs of the distribution module from Mitigation (section 19a)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c r="FR2" s="2" t="n"/>
      <c r="FS2" s="2" t="n"/>
      <c r="FT2" s="2" t="n"/>
      <c r="FU2" s="2" t="n"/>
      <c r="FV2" s="2" t="n"/>
      <c r="FW2" s="2" t="n"/>
      <c r="FX2" s="2" t="n"/>
      <c r="FY2" s="2" t="n"/>
      <c r="FZ2" s="2" t="n"/>
      <c r="GA2" s="2" t="n"/>
      <c r="GB2" s="2" t="n"/>
      <c r="GC2" s="2" t="n"/>
      <c r="GD2" s="2" t="n"/>
      <c r="GE2" s="2" t="n"/>
      <c r="GF2" s="2" t="n"/>
      <c r="GG2" s="2" t="n"/>
      <c r="GH2" s="2" t="n"/>
      <c r="GI2" s="2" t="n"/>
      <c r="GJ2" s="2" t="n"/>
      <c r="GK2" s="2" t="n"/>
      <c r="GL2" s="2" t="n"/>
      <c r="GM2" s="2" t="n"/>
      <c r="GN2" s="2" t="n"/>
      <c r="GO2" s="2" t="n"/>
      <c r="GP2" s="2" t="n"/>
      <c r="GQ2" s="2" t="n"/>
      <c r="GR2" s="2" t="n"/>
      <c r="GS2" s="2" t="n"/>
      <c r="GT2" s="2" t="n"/>
      <c r="GU2" s="2" t="n"/>
      <c r="GV2" s="2" t="n"/>
      <c r="GW2" s="2" t="n"/>
      <c r="GX2" s="2" t="n"/>
      <c r="GY2" s="2" t="n"/>
      <c r="GZ2" s="2" t="n"/>
      <c r="HA2" s="2" t="n"/>
      <c r="HB2" s="2" t="n"/>
      <c r="HC2" s="2" t="n"/>
      <c r="HD2" s="2" t="n"/>
      <c r="HE2" s="2" t="n"/>
      <c r="HF2" s="2" t="n"/>
      <c r="HG2" s="2" t="n"/>
      <c r="HH2" s="2" t="n"/>
      <c r="HI2" s="2" t="n"/>
      <c r="HJ2" s="2" t="n"/>
      <c r="HK2" s="2" t="n"/>
      <c r="HL2" s="2" t="n"/>
      <c r="HM2" s="2" t="n"/>
      <c r="HN2" s="2" t="n"/>
      <c r="HO2" s="2" t="n"/>
      <c r="HP2" s="2" t="n"/>
      <c r="HQ2" s="2" t="n"/>
      <c r="HR2" s="2" t="n"/>
      <c r="HS2" s="2" t="n"/>
      <c r="HT2" s="2" t="n"/>
      <c r="HU2" s="2" t="n"/>
      <c r="HV2" s="2" t="n"/>
      <c r="HW2" s="2" t="n"/>
      <c r="HX2" s="2" t="n"/>
      <c r="HY2" s="2" t="n"/>
      <c r="HZ2" s="2" t="n"/>
      <c r="IA2" s="2" t="n"/>
      <c r="IB2" s="2" t="n"/>
      <c r="IC2" s="2" t="n"/>
      <c r="ID2" s="2" t="n"/>
      <c r="IE2" s="2" t="n"/>
      <c r="IF2" s="2" t="n"/>
      <c r="IG2" s="2" t="n"/>
      <c r="IH2" s="2" t="n"/>
      <c r="II2" s="2" t="n"/>
      <c r="IJ2" s="2" t="n"/>
      <c r="IK2" s="2" t="n"/>
      <c r="IL2" s="2" t="n"/>
      <c r="IM2" s="2" t="n"/>
      <c r="IN2" s="2" t="n"/>
      <c r="IO2" s="2" t="n"/>
      <c r="IP2" s="2" t="n"/>
      <c r="IQ2" s="2" t="n"/>
      <c r="IR2" s="2" t="n"/>
      <c r="IS2" s="2" t="n"/>
      <c r="IT2" s="2" t="n"/>
      <c r="IU2" s="2" t="n"/>
      <c r="IV2" s="2" t="n"/>
      <c r="IW2" s="2" t="n"/>
      <c r="IX2" s="2" t="n"/>
      <c r="IY2" s="2" t="n"/>
      <c r="IZ2" s="2" t="n"/>
    </row>
    <row r="3"/>
    <row r="4"/>
    <row r="5">
      <c r="H5" s="6" t="inlineStr">
        <is>
          <t>Scenario number</t>
        </is>
      </c>
      <c r="K5" s="25" t="n">
        <v>1</v>
      </c>
      <c r="L5" s="25" t="n">
        <v>1</v>
      </c>
      <c r="M5" s="25" t="n">
        <v>1</v>
      </c>
      <c r="N5" s="25" t="n">
        <v>1</v>
      </c>
      <c r="O5" s="25" t="n">
        <v>1</v>
      </c>
      <c r="P5" s="25" t="n">
        <v>1</v>
      </c>
      <c r="Q5" s="25" t="n">
        <v>1</v>
      </c>
      <c r="R5" s="25" t="n">
        <v>1</v>
      </c>
      <c r="S5" s="25" t="n">
        <v>1</v>
      </c>
      <c r="T5" s="25" t="n">
        <v>1</v>
      </c>
      <c r="U5" s="25" t="n">
        <v>1</v>
      </c>
      <c r="V5" s="25" t="n">
        <v>1</v>
      </c>
      <c r="W5" s="25" t="n">
        <v>1</v>
      </c>
      <c r="X5" s="25" t="n">
        <v>1</v>
      </c>
      <c r="Y5" s="25" t="n">
        <v>1</v>
      </c>
      <c r="Z5" s="25" t="n">
        <v>1</v>
      </c>
      <c r="AA5" s="25" t="n">
        <v>1</v>
      </c>
      <c r="AB5" s="25" t="n">
        <v>1</v>
      </c>
      <c r="AC5" s="25" t="n">
        <v>1</v>
      </c>
      <c r="AD5" s="25" t="n">
        <v>1</v>
      </c>
      <c r="AE5" s="25" t="n">
        <v>1</v>
      </c>
      <c r="AF5" s="25" t="n"/>
      <c r="AG5" s="25" t="n">
        <v>2</v>
      </c>
      <c r="AH5" s="25" t="n">
        <v>2</v>
      </c>
      <c r="AI5" s="25" t="n">
        <v>2</v>
      </c>
      <c r="AJ5" s="25" t="n">
        <v>2</v>
      </c>
      <c r="AK5" s="25" t="n">
        <v>2</v>
      </c>
      <c r="AL5" s="25" t="n">
        <v>2</v>
      </c>
      <c r="AM5" s="25" t="n">
        <v>2</v>
      </c>
      <c r="AN5" s="25" t="n">
        <v>2</v>
      </c>
      <c r="AO5" s="25" t="n">
        <v>2</v>
      </c>
      <c r="AP5" s="25" t="n">
        <v>2</v>
      </c>
      <c r="AQ5" s="25" t="n">
        <v>2</v>
      </c>
      <c r="AR5" s="25" t="n">
        <v>2</v>
      </c>
      <c r="AS5" s="25" t="n">
        <v>2</v>
      </c>
      <c r="AT5" s="25" t="n">
        <v>2</v>
      </c>
      <c r="AU5" s="25" t="n">
        <v>2</v>
      </c>
      <c r="AV5" s="25" t="n">
        <v>2</v>
      </c>
      <c r="AW5" s="25" t="n">
        <v>2</v>
      </c>
      <c r="AX5" s="25" t="n">
        <v>2</v>
      </c>
      <c r="AY5" s="25" t="n">
        <v>2</v>
      </c>
      <c r="AZ5" s="25" t="n">
        <v>2</v>
      </c>
      <c r="BA5" s="25" t="n">
        <v>2</v>
      </c>
      <c r="BB5" s="25" t="n"/>
      <c r="BC5" s="25" t="n"/>
      <c r="BD5" s="25" t="n"/>
      <c r="BE5" s="25" t="n"/>
      <c r="BF5" s="25" t="n"/>
      <c r="BG5" s="25" t="n"/>
      <c r="BH5" s="25" t="n"/>
      <c r="BI5" s="25" t="n"/>
      <c r="BJ5" s="25" t="n"/>
      <c r="BK5" s="25" t="n"/>
      <c r="BL5" s="25" t="n"/>
      <c r="BM5" s="25" t="n"/>
      <c r="BN5" s="25" t="n"/>
      <c r="BO5" s="25" t="n"/>
      <c r="BP5" s="25" t="n"/>
      <c r="BQ5" s="25" t="n"/>
      <c r="BR5" s="25" t="n"/>
      <c r="BS5" s="25" t="n"/>
      <c r="BT5" s="25" t="n"/>
      <c r="BU5" s="25" t="n"/>
      <c r="BV5" s="25" t="n"/>
      <c r="BW5" s="25" t="n"/>
      <c r="BX5" s="25" t="n"/>
      <c r="BY5" s="25" t="n"/>
      <c r="BZ5" s="25" t="n"/>
      <c r="CA5" s="25" t="n"/>
      <c r="CB5" s="25" t="n"/>
      <c r="CC5" s="25" t="n"/>
      <c r="CD5" s="25" t="n"/>
      <c r="CE5" s="25" t="n"/>
      <c r="CF5" s="25" t="n"/>
      <c r="CG5" s="25" t="n"/>
      <c r="CH5" s="25" t="n"/>
      <c r="CI5" s="25" t="n"/>
      <c r="CJ5" s="25" t="n"/>
      <c r="CK5" s="25" t="n"/>
      <c r="CL5" s="25" t="n"/>
      <c r="CM5" s="25" t="n"/>
      <c r="CN5" s="25" t="n"/>
      <c r="CO5" s="25" t="n"/>
      <c r="CP5" s="25" t="n"/>
      <c r="CQ5" s="25" t="n"/>
      <c r="CR5" s="25" t="n"/>
      <c r="CS5" s="25" t="n"/>
      <c r="CT5" s="25" t="n"/>
      <c r="CU5" s="25" t="n"/>
      <c r="CV5" s="25" t="n"/>
      <c r="CW5" s="25" t="n"/>
      <c r="CX5" s="25" t="n"/>
      <c r="CY5" s="25" t="n"/>
      <c r="CZ5" s="25" t="n"/>
      <c r="DA5" s="25" t="n"/>
      <c r="DB5" s="25" t="n"/>
      <c r="DC5" s="25" t="n"/>
      <c r="DD5" s="25" t="n"/>
      <c r="DE5" s="25" t="n"/>
      <c r="DF5" s="25" t="n"/>
      <c r="DG5" s="25" t="n"/>
      <c r="DH5" s="25" t="n"/>
      <c r="DI5" s="25" t="n"/>
      <c r="DJ5" s="25" t="n"/>
      <c r="DK5" s="25" t="n"/>
      <c r="DL5" s="25" t="n"/>
      <c r="DM5" s="25" t="n"/>
      <c r="DN5" s="25" t="n"/>
      <c r="DO5" s="25" t="n"/>
      <c r="DP5" s="25" t="n"/>
      <c r="DQ5" s="25" t="n"/>
      <c r="DR5" s="25" t="n"/>
      <c r="DS5" s="25" t="n"/>
      <c r="DT5" s="25" t="n"/>
      <c r="DU5" s="25" t="n"/>
      <c r="DV5" s="25" t="n"/>
      <c r="DW5" s="25" t="n"/>
      <c r="DX5" s="25" t="n"/>
      <c r="DY5" s="25" t="n"/>
      <c r="DZ5" s="25" t="n"/>
      <c r="EA5" s="25" t="n"/>
      <c r="EB5" s="25" t="n"/>
      <c r="EC5" s="25" t="n"/>
      <c r="ED5" s="25" t="n"/>
      <c r="EE5" s="25" t="n"/>
      <c r="EF5" s="25" t="n"/>
      <c r="EG5" s="25" t="n"/>
      <c r="EH5" s="25" t="n"/>
      <c r="EI5" s="25" t="n"/>
      <c r="EJ5" s="25" t="n"/>
      <c r="EK5" s="25" t="n"/>
      <c r="EL5" s="25" t="n"/>
      <c r="EM5" s="25" t="n"/>
      <c r="EN5" s="25" t="n"/>
      <c r="EO5" s="25" t="n"/>
      <c r="EP5" s="25" t="n"/>
      <c r="EQ5" s="25" t="n"/>
      <c r="ER5" s="25" t="n"/>
      <c r="ES5" s="25" t="n"/>
      <c r="ET5" s="25" t="n"/>
      <c r="EU5" s="25" t="n"/>
      <c r="EV5" s="25" t="n"/>
      <c r="EW5" s="25" t="n"/>
      <c r="EX5" s="25" t="n"/>
      <c r="EY5" s="25" t="n"/>
      <c r="EZ5" s="25" t="n"/>
      <c r="FA5" s="25" t="n"/>
      <c r="FB5" s="25" t="n"/>
      <c r="FC5" s="25" t="n"/>
      <c r="FD5" s="25" t="n"/>
      <c r="FE5" s="25" t="n"/>
      <c r="FF5" s="25" t="n"/>
      <c r="FG5" s="25" t="n"/>
      <c r="FH5" s="25" t="n"/>
      <c r="FI5" s="25" t="n"/>
      <c r="FJ5" s="25" t="n"/>
      <c r="FK5" s="25" t="n"/>
      <c r="FL5" s="25" t="n"/>
      <c r="FM5" s="25" t="n"/>
      <c r="FN5" s="25" t="n"/>
      <c r="FO5" s="25" t="n"/>
      <c r="FP5" s="25" t="n"/>
      <c r="FQ5" s="25" t="n"/>
      <c r="FR5" s="25" t="n"/>
      <c r="FS5" s="25" t="n"/>
      <c r="FT5" s="25" t="n"/>
      <c r="FU5" s="25" t="n"/>
      <c r="FV5" s="25" t="n"/>
      <c r="FW5" s="25" t="n"/>
      <c r="FX5" s="25" t="n"/>
      <c r="FY5" s="25" t="n"/>
      <c r="FZ5" s="25" t="n"/>
      <c r="GA5" s="25" t="n"/>
      <c r="GB5" s="25" t="n"/>
      <c r="GC5" s="25" t="n"/>
      <c r="GD5" s="25" t="n"/>
      <c r="GE5" s="25" t="n"/>
      <c r="GF5" s="25" t="n"/>
      <c r="GG5" s="25" t="n"/>
      <c r="GH5" s="25" t="n"/>
      <c r="GI5" s="25" t="n"/>
      <c r="GJ5" s="25" t="n"/>
      <c r="GK5" s="25" t="n"/>
      <c r="GL5" s="25" t="n"/>
      <c r="GM5" s="25" t="n"/>
      <c r="GN5" s="25" t="n"/>
      <c r="GO5" s="25" t="n"/>
      <c r="GP5" s="25" t="n"/>
      <c r="GQ5" s="25" t="n"/>
      <c r="GR5" s="25" t="n"/>
      <c r="GS5" s="25" t="n"/>
      <c r="GT5" s="25" t="n"/>
      <c r="GU5" s="25" t="n"/>
      <c r="GV5" s="25" t="n"/>
      <c r="GW5" s="25" t="n"/>
      <c r="GX5" s="25" t="n"/>
      <c r="GY5" s="25" t="n"/>
      <c r="GZ5" s="25" t="n"/>
      <c r="HA5" s="25" t="n"/>
      <c r="HB5" s="25" t="n"/>
      <c r="HC5" s="25" t="n"/>
      <c r="HD5" s="25" t="n"/>
      <c r="HE5" s="25" t="n"/>
      <c r="HF5" s="25" t="n"/>
      <c r="HG5" s="25" t="n"/>
      <c r="HH5" s="25" t="n"/>
      <c r="HI5" s="25" t="n"/>
      <c r="HJ5" s="25" t="n"/>
      <c r="HK5" s="25" t="n"/>
      <c r="HL5" s="25" t="n"/>
      <c r="HM5" s="25" t="n"/>
      <c r="HN5" s="25" t="n"/>
      <c r="HO5" s="25" t="n"/>
      <c r="HP5" s="25" t="n"/>
      <c r="HQ5" s="25" t="n"/>
      <c r="HR5" s="25" t="n"/>
      <c r="HS5" s="25" t="n"/>
      <c r="HT5" s="25" t="n"/>
      <c r="HU5" s="25" t="n"/>
      <c r="HV5" s="25" t="n"/>
      <c r="HW5" s="25" t="n"/>
      <c r="HX5" s="25" t="n"/>
      <c r="HY5" s="25" t="n"/>
      <c r="HZ5" s="25" t="n"/>
      <c r="IA5" s="25" t="n"/>
      <c r="IB5" s="25" t="n"/>
      <c r="IC5" s="25" t="n"/>
      <c r="ID5" s="25" t="n"/>
      <c r="IE5" s="25" t="n"/>
      <c r="IF5" s="25" t="n"/>
      <c r="IG5" s="25" t="n"/>
      <c r="IH5" s="25" t="n"/>
      <c r="II5" s="25" t="n"/>
      <c r="IJ5" s="25" t="n"/>
      <c r="IK5" s="25" t="n"/>
      <c r="IL5" s="25" t="n"/>
      <c r="IM5" s="25" t="n"/>
      <c r="IN5" s="25" t="n"/>
      <c r="IO5" s="25" t="n"/>
      <c r="IP5" s="25" t="n"/>
      <c r="IQ5" s="25" t="n"/>
      <c r="IR5" s="25" t="n"/>
      <c r="IS5" s="25" t="n"/>
      <c r="IT5" s="25" t="n"/>
      <c r="IU5" s="25" t="n"/>
      <c r="IV5" s="25" t="n"/>
      <c r="IW5" s="25" t="n"/>
      <c r="IX5" s="25" t="n"/>
      <c r="IY5" s="25" t="n"/>
      <c r="IZ5" s="25" t="n"/>
    </row>
    <row r="6"/>
    <row r="7">
      <c r="A7" s="7" t="inlineStr">
        <is>
          <t>Variable</t>
        </is>
      </c>
      <c r="B7" s="7" t="inlineStr">
        <is>
          <t>Fuel</t>
        </is>
      </c>
      <c r="C7" s="7" t="inlineStr">
        <is>
          <t>Sector</t>
        </is>
      </c>
      <c r="D7" s="7" t="inlineStr">
        <is>
          <t>Scale to base unit</t>
        </is>
      </c>
      <c r="E7" s="7" t="inlineStr">
        <is>
          <t>Base unit</t>
        </is>
      </c>
      <c r="H7" s="7" t="inlineStr">
        <is>
          <t>Description</t>
        </is>
      </c>
      <c r="I7" s="7" t="inlineStr">
        <is>
          <t>Unit (Mitigation)</t>
        </is>
      </c>
      <c r="J7" s="7" t="inlineStr">
        <is>
          <t>Source</t>
        </is>
      </c>
    </row>
    <row r="8">
      <c r="A8" s="44" t="inlineStr">
        <is>
          <t>gdp.lcu</t>
        </is>
      </c>
      <c r="B8" s="3" t="inlineStr">
        <is>
          <t>all</t>
        </is>
      </c>
      <c r="C8" s="3" t="inlineStr">
        <is>
          <t>all</t>
        </is>
      </c>
      <c r="D8" s="194" t="n">
        <v>1000000000</v>
      </c>
      <c r="E8" s="3" t="inlineStr">
        <is>
          <t>LCU</t>
        </is>
      </c>
      <c r="H8" s="3" t="inlineStr">
        <is>
          <t>Real GDP, baseline (local currency bn, sheet WEO; legacy row 464; v0.3.13)</t>
        </is>
      </c>
      <c r="I8" s="3" t="inlineStr">
        <is>
          <t>LCU bn</t>
        </is>
      </c>
      <c r="J8" s="3" t="inlineStr">
        <is>
          <t>Mitigation section 19a</t>
        </is>
      </c>
      <c r="K8" s="3" t="inlineStr">
        <is>
          <t>egy.mit.gdp.lcu.all.all.1</t>
        </is>
      </c>
      <c r="L8" s="195" t="n">
        <v>7842.5</v>
      </c>
      <c r="M8" s="195" t="n">
        <v>8137.4</v>
      </c>
      <c r="N8" s="195" t="n">
        <v>8332.6</v>
      </c>
      <c r="O8" s="195" t="n">
        <v>8698.6</v>
      </c>
      <c r="P8" s="195" t="n">
        <v>9067.395044999999</v>
      </c>
      <c r="Q8" s="195" t="n">
        <v>9505.279302000001</v>
      </c>
      <c r="R8" s="195" t="n">
        <v>10031.426538</v>
      </c>
      <c r="S8" s="195" t="n">
        <v>10555.729674</v>
      </c>
      <c r="T8" s="195" t="n">
        <v>11066.825114</v>
      </c>
      <c r="U8" s="195" t="n">
        <v>11596.786183</v>
      </c>
      <c r="V8" s="195" t="n">
        <v>12145.96300964284</v>
      </c>
      <c r="W8" s="195" t="n">
        <v>12714.69214042638</v>
      </c>
      <c r="X8" s="195" t="n">
        <v>13303.29503659312</v>
      </c>
      <c r="Y8" s="195" t="n">
        <v>13912.07669913508</v>
      </c>
      <c r="Z8" s="195" t="n">
        <v>14541.32424098074</v>
      </c>
      <c r="AA8" s="195" t="n">
        <v>15191.30543909591</v>
      </c>
      <c r="AB8" s="195" t="n">
        <v>15862.26727016413</v>
      </c>
      <c r="AC8" s="195" t="n">
        <v>16554.43443374639</v>
      </c>
      <c r="AD8" s="195" t="n">
        <v>17268.00786704966</v>
      </c>
      <c r="AE8" s="195" t="n">
        <v>18003.16325565561</v>
      </c>
      <c r="AF8" s="3" t="n"/>
      <c r="AG8" s="3" t="inlineStr">
        <is>
          <t>egy.mit.gdp.lcu.all.all.2</t>
        </is>
      </c>
      <c r="AH8" s="195" t="n">
        <v>7842.5</v>
      </c>
      <c r="AI8" s="195" t="n">
        <v>8137.4</v>
      </c>
      <c r="AJ8" s="195" t="n">
        <v>8332.6</v>
      </c>
      <c r="AK8" s="195" t="n">
        <v>8698.6</v>
      </c>
      <c r="AL8" s="195" t="n">
        <v>9067.395044999999</v>
      </c>
      <c r="AM8" s="195" t="n">
        <v>9505.279302000001</v>
      </c>
      <c r="AN8" s="195" t="n">
        <v>10031.426538</v>
      </c>
      <c r="AO8" s="195" t="n">
        <v>10555.729674</v>
      </c>
      <c r="AP8" s="195" t="n">
        <v>11066.825114</v>
      </c>
      <c r="AQ8" s="195" t="n">
        <v>11596.786183</v>
      </c>
      <c r="AR8" s="195" t="n">
        <v>12145.96300964284</v>
      </c>
      <c r="AS8" s="195" t="n">
        <v>12714.69214042638</v>
      </c>
      <c r="AT8" s="195" t="n">
        <v>13303.29503659312</v>
      </c>
      <c r="AU8" s="195" t="n">
        <v>13912.07669913508</v>
      </c>
      <c r="AV8" s="195" t="n">
        <v>14541.32424098074</v>
      </c>
      <c r="AW8" s="195" t="n">
        <v>15191.30543909591</v>
      </c>
      <c r="AX8" s="195" t="n">
        <v>15862.26727016413</v>
      </c>
      <c r="AY8" s="195" t="n">
        <v>16554.43443374639</v>
      </c>
      <c r="AZ8" s="195" t="n">
        <v>17268.00786704966</v>
      </c>
      <c r="BA8" s="195" t="n">
        <v>18003.16325565561</v>
      </c>
      <c r="BB8" s="3" t="n"/>
      <c r="BC8" s="3" t="n"/>
      <c r="BD8" s="3" t="n"/>
      <c r="BE8" s="3" t="n"/>
      <c r="BF8" s="3" t="n"/>
      <c r="BG8" s="3" t="n"/>
      <c r="BH8" s="3" t="n"/>
      <c r="BI8" s="3" t="n"/>
      <c r="BJ8" s="3" t="n"/>
      <c r="BK8" s="3" t="n"/>
      <c r="BL8" s="3" t="n"/>
      <c r="BM8" s="3" t="n"/>
      <c r="BN8" s="3" t="n"/>
      <c r="BO8" s="3" t="n"/>
      <c r="BP8" s="3" t="n"/>
      <c r="BQ8" s="3" t="n"/>
      <c r="BR8" s="3" t="n"/>
      <c r="BS8" s="3" t="n"/>
      <c r="BT8" s="3" t="n"/>
      <c r="BU8" s="3" t="n"/>
      <c r="BV8" s="3" t="n"/>
      <c r="BW8" s="3" t="n"/>
      <c r="BX8" s="3" t="n"/>
      <c r="BY8" s="3" t="n"/>
      <c r="BZ8" s="3" t="n"/>
      <c r="CA8" s="3" t="n"/>
      <c r="CB8" s="3" t="n"/>
      <c r="CC8" s="3" t="n"/>
      <c r="CD8" s="3" t="n"/>
      <c r="CE8" s="3" t="n"/>
      <c r="CF8" s="3" t="n"/>
      <c r="CG8" s="3" t="n"/>
      <c r="CH8" s="3" t="n"/>
      <c r="CI8" s="3" t="n"/>
      <c r="CJ8" s="3" t="n"/>
      <c r="CK8" s="3" t="n"/>
      <c r="CL8" s="3" t="n"/>
      <c r="CM8" s="3" t="n"/>
      <c r="CN8" s="3" t="n"/>
      <c r="CO8" s="3" t="n"/>
      <c r="CP8" s="3" t="n"/>
      <c r="CQ8" s="3" t="n"/>
      <c r="CR8" s="3" t="n"/>
      <c r="CS8" s="3" t="n"/>
      <c r="CT8" s="3" t="n"/>
      <c r="CU8" s="3" t="n"/>
      <c r="CV8" s="3" t="n"/>
      <c r="CW8" s="3" t="n"/>
      <c r="CX8" s="3" t="n"/>
      <c r="CY8" s="3" t="n"/>
      <c r="CZ8" s="3" t="n"/>
      <c r="DA8" s="3" t="n"/>
      <c r="DB8" s="3" t="n"/>
      <c r="DC8" s="3" t="n"/>
      <c r="DD8" s="3" t="n"/>
      <c r="DE8" s="3" t="n"/>
      <c r="DF8" s="3" t="n"/>
      <c r="DG8" s="3" t="n"/>
      <c r="DH8" s="3" t="n"/>
      <c r="DI8" s="3" t="n"/>
      <c r="DJ8" s="3" t="n"/>
      <c r="DK8" s="3" t="n"/>
      <c r="DL8" s="3" t="n"/>
      <c r="DM8" s="3" t="n"/>
      <c r="DN8" s="3" t="n"/>
      <c r="DO8" s="3" t="n"/>
      <c r="DP8" s="3" t="n"/>
      <c r="DQ8" s="3" t="n"/>
      <c r="DR8" s="3" t="n"/>
      <c r="DS8" s="3" t="n"/>
      <c r="DT8" s="3" t="n"/>
      <c r="DU8" s="3" t="n"/>
      <c r="DV8" s="3" t="n"/>
      <c r="DW8" s="3" t="n"/>
      <c r="DX8" s="3" t="n"/>
      <c r="DY8" s="3" t="n"/>
      <c r="DZ8" s="3" t="n"/>
      <c r="EA8" s="3" t="n"/>
      <c r="EB8" s="3" t="n"/>
      <c r="EC8" s="3" t="n"/>
      <c r="ED8" s="3" t="n"/>
      <c r="EE8" s="3" t="n"/>
      <c r="EF8" s="3" t="n"/>
      <c r="EG8" s="3" t="n"/>
      <c r="EH8" s="3" t="n"/>
      <c r="EI8" s="3" t="n"/>
      <c r="EJ8" s="3" t="n"/>
      <c r="EK8" s="3" t="n"/>
      <c r="EL8" s="3" t="n"/>
      <c r="EM8" s="3" t="n"/>
      <c r="EN8" s="3" t="n"/>
      <c r="EO8" s="3" t="n"/>
      <c r="EP8" s="3" t="n"/>
      <c r="EQ8" s="3" t="n"/>
      <c r="ER8" s="3" t="n"/>
      <c r="ES8" s="3" t="n"/>
      <c r="ET8" s="3" t="n"/>
      <c r="EU8" s="3" t="n"/>
      <c r="EV8" s="3" t="n"/>
      <c r="EW8" s="3" t="n"/>
      <c r="EX8" s="3" t="n"/>
      <c r="EY8" s="3" t="n"/>
      <c r="EZ8" s="3" t="n"/>
      <c r="FA8" s="3" t="n"/>
      <c r="FB8" s="3" t="n"/>
      <c r="FC8" s="3" t="n"/>
      <c r="FD8" s="3" t="n"/>
      <c r="FE8" s="3" t="n"/>
      <c r="FF8" s="3" t="n"/>
      <c r="FG8" s="3" t="n"/>
      <c r="FH8" s="3" t="n"/>
      <c r="FI8" s="3" t="n"/>
      <c r="FJ8" s="3" t="n"/>
      <c r="FK8" s="3" t="n"/>
      <c r="FL8" s="3" t="n"/>
      <c r="FM8" s="3" t="n"/>
      <c r="FN8" s="3" t="n"/>
      <c r="FO8" s="3" t="n"/>
      <c r="FP8" s="3" t="n"/>
      <c r="FQ8" s="3" t="n"/>
      <c r="FR8" s="3" t="n"/>
      <c r="FS8" s="3" t="n"/>
      <c r="FT8" s="3" t="n"/>
      <c r="FU8" s="3" t="n"/>
      <c r="FV8" s="3" t="n"/>
      <c r="FW8" s="3" t="n"/>
      <c r="FX8" s="3" t="n"/>
      <c r="FY8" s="3" t="n"/>
      <c r="FZ8" s="3" t="n"/>
      <c r="GA8" s="3" t="n"/>
      <c r="GB8" s="3" t="n"/>
      <c r="GC8" s="3" t="n"/>
      <c r="GD8" s="3" t="n"/>
      <c r="GE8" s="3" t="n"/>
      <c r="GF8" s="3" t="n"/>
      <c r="GG8" s="3" t="n"/>
      <c r="GH8" s="3" t="n"/>
      <c r="GI8" s="3" t="n"/>
      <c r="GJ8" s="3" t="n"/>
      <c r="GK8" s="3" t="n"/>
      <c r="GL8" s="3" t="n"/>
      <c r="GM8" s="3" t="n"/>
      <c r="GN8" s="3" t="n"/>
      <c r="GO8" s="3" t="n"/>
      <c r="GP8" s="3" t="n"/>
      <c r="GQ8" s="3" t="n"/>
      <c r="GR8" s="3" t="n"/>
      <c r="GS8" s="3" t="n"/>
      <c r="GT8" s="3" t="n"/>
      <c r="GU8" s="3" t="n"/>
      <c r="GV8" s="3" t="n"/>
      <c r="GW8" s="3" t="n"/>
      <c r="GX8" s="3" t="n"/>
      <c r="GY8" s="3" t="n"/>
      <c r="GZ8" s="3" t="n"/>
      <c r="HA8" s="3" t="n"/>
      <c r="HB8" s="3" t="n"/>
      <c r="HC8" s="3" t="n"/>
      <c r="HD8" s="3" t="n"/>
      <c r="HE8" s="3" t="n"/>
      <c r="HF8" s="3" t="n"/>
      <c r="HG8" s="3" t="n"/>
      <c r="HH8" s="3" t="n"/>
      <c r="HI8" s="3" t="n"/>
      <c r="HJ8" s="3" t="n"/>
      <c r="HK8" s="3" t="n"/>
      <c r="HL8" s="3" t="n"/>
      <c r="HM8" s="3" t="n"/>
      <c r="HN8" s="3" t="n"/>
      <c r="HO8" s="3" t="n"/>
      <c r="HP8" s="3" t="n"/>
      <c r="HQ8" s="3" t="n"/>
      <c r="HR8" s="3" t="n"/>
      <c r="HS8" s="3" t="n"/>
      <c r="HT8" s="3" t="n"/>
      <c r="HU8" s="3" t="n"/>
      <c r="HV8" s="3" t="n"/>
      <c r="HW8" s="3" t="n"/>
      <c r="HX8" s="3" t="n"/>
      <c r="HY8" s="3" t="n"/>
      <c r="HZ8" s="3" t="n"/>
      <c r="IA8" s="3" t="n"/>
      <c r="IB8" s="3" t="n"/>
      <c r="IC8" s="3" t="n"/>
      <c r="ID8" s="3" t="n"/>
      <c r="IE8" s="3" t="n"/>
      <c r="IF8" s="3" t="n"/>
      <c r="IG8" s="3" t="n"/>
      <c r="IH8" s="3" t="n"/>
      <c r="II8" s="3" t="n"/>
      <c r="IJ8" s="3" t="n"/>
      <c r="IK8" s="3" t="n"/>
      <c r="IL8" s="3" t="n"/>
      <c r="IM8" s="3" t="n"/>
      <c r="IN8" s="3" t="n"/>
      <c r="IO8" s="3" t="n"/>
      <c r="IP8" s="3" t="n"/>
      <c r="IQ8" s="3" t="n"/>
      <c r="IR8" s="3" t="n"/>
      <c r="IS8" s="3" t="n"/>
      <c r="IT8" s="3" t="n"/>
      <c r="IU8" s="3" t="n"/>
      <c r="IV8" s="3" t="n"/>
      <c r="IW8" s="3" t="n"/>
      <c r="IX8" s="3" t="n"/>
      <c r="IY8" s="3" t="n"/>
      <c r="IZ8" s="3" t="n"/>
    </row>
    <row r="9">
      <c r="A9" s="44" t="inlineStr">
        <is>
          <t>xr</t>
        </is>
      </c>
      <c r="B9" s="3" t="inlineStr">
        <is>
          <t>all</t>
        </is>
      </c>
      <c r="C9" s="3" t="inlineStr">
        <is>
          <t>all</t>
        </is>
      </c>
      <c r="D9" s="133" t="n">
        <v>1</v>
      </c>
      <c r="E9" s="3" t="n"/>
      <c r="H9" s="3" t="inlineStr">
        <is>
          <t>Exchange rate implied by real GDP: local currency per USD, constant in real terms (v0.3.13)</t>
        </is>
      </c>
      <c r="I9" s="3" t="inlineStr">
        <is>
          <t>LCU/USD</t>
        </is>
      </c>
      <c r="J9" s="3" t="inlineStr">
        <is>
          <t>Mitigation section 19a</t>
        </is>
      </c>
      <c r="K9" s="3" t="inlineStr">
        <is>
          <t>egy.mit.xr.all.all.1</t>
        </is>
      </c>
      <c r="L9" s="48" t="n">
        <v>14.33805647463343</v>
      </c>
      <c r="M9" s="48" t="n">
        <v>14.33805640869077</v>
      </c>
      <c r="N9" s="48" t="n">
        <v>14.3380563526401</v>
      </c>
      <c r="O9" s="48" t="n">
        <v>14.33805628808868</v>
      </c>
      <c r="P9" s="48" t="n">
        <v>14.33805625469845</v>
      </c>
      <c r="Q9" s="48" t="n">
        <v>14.33805622959175</v>
      </c>
      <c r="R9" s="48" t="n">
        <v>14.33805621522959</v>
      </c>
      <c r="S9" s="48" t="n">
        <v>14.33805620800237</v>
      </c>
      <c r="T9" s="48" t="n">
        <v>14.33805619858657</v>
      </c>
      <c r="U9" s="48" t="n">
        <v>14.33805623655443</v>
      </c>
      <c r="V9" s="48" t="n">
        <v>14.33805623655443</v>
      </c>
      <c r="W9" s="48" t="n">
        <v>14.33805623655443</v>
      </c>
      <c r="X9" s="48" t="n">
        <v>14.33805623655443</v>
      </c>
      <c r="Y9" s="48" t="n">
        <v>14.33805623655443</v>
      </c>
      <c r="Z9" s="48" t="n">
        <v>14.33805623655443</v>
      </c>
      <c r="AA9" s="48" t="n">
        <v>14.33805623655443</v>
      </c>
      <c r="AB9" s="48" t="n">
        <v>14.33805623655443</v>
      </c>
      <c r="AC9" s="48" t="n">
        <v>14.33805623655443</v>
      </c>
      <c r="AD9" s="48" t="n">
        <v>14.33805623655443</v>
      </c>
      <c r="AE9" s="48" t="n">
        <v>14.33805623655443</v>
      </c>
      <c r="AF9" s="3" t="n"/>
      <c r="AG9" s="3" t="inlineStr">
        <is>
          <t>egy.mit.xr.all.all.2</t>
        </is>
      </c>
      <c r="AH9" s="48" t="n">
        <v>14.33805647463343</v>
      </c>
      <c r="AI9" s="48" t="n">
        <v>14.33805640869077</v>
      </c>
      <c r="AJ9" s="48" t="n">
        <v>14.3380563526401</v>
      </c>
      <c r="AK9" s="48" t="n">
        <v>14.33805628808868</v>
      </c>
      <c r="AL9" s="48" t="n">
        <v>14.33805625469845</v>
      </c>
      <c r="AM9" s="48" t="n">
        <v>14.33805622959175</v>
      </c>
      <c r="AN9" s="48" t="n">
        <v>14.33805621522959</v>
      </c>
      <c r="AO9" s="48" t="n">
        <v>14.33805620800237</v>
      </c>
      <c r="AP9" s="48" t="n">
        <v>14.33805619858657</v>
      </c>
      <c r="AQ9" s="48" t="n">
        <v>14.33805623655443</v>
      </c>
      <c r="AR9" s="48" t="n">
        <v>14.33805623655443</v>
      </c>
      <c r="AS9" s="48" t="n">
        <v>14.33805623655443</v>
      </c>
      <c r="AT9" s="48" t="n">
        <v>14.33805623655443</v>
      </c>
      <c r="AU9" s="48" t="n">
        <v>14.33805623655443</v>
      </c>
      <c r="AV9" s="48" t="n">
        <v>14.33805623655443</v>
      </c>
      <c r="AW9" s="48" t="n">
        <v>14.33805623655443</v>
      </c>
      <c r="AX9" s="48" t="n">
        <v>14.33805623655443</v>
      </c>
      <c r="AY9" s="48" t="n">
        <v>14.33805623655443</v>
      </c>
      <c r="AZ9" s="48" t="n">
        <v>14.33805623655443</v>
      </c>
      <c r="BA9" s="48" t="n">
        <v>14.33805623655443</v>
      </c>
      <c r="BB9" s="3" t="n"/>
      <c r="BC9" s="3" t="n"/>
      <c r="BD9" s="3" t="n"/>
      <c r="BE9" s="3" t="n"/>
      <c r="BF9" s="3" t="n"/>
      <c r="BG9" s="3" t="n"/>
      <c r="BH9" s="3" t="n"/>
      <c r="BI9" s="3" t="n"/>
      <c r="BJ9" s="3" t="n"/>
      <c r="BK9" s="3" t="n"/>
      <c r="BL9" s="3" t="n"/>
      <c r="BM9" s="3" t="n"/>
      <c r="BN9" s="3" t="n"/>
      <c r="BO9" s="3" t="n"/>
      <c r="BP9" s="3" t="n"/>
      <c r="BQ9" s="3" t="n"/>
      <c r="BR9" s="3" t="n"/>
      <c r="BS9" s="3" t="n"/>
      <c r="BT9" s="3" t="n"/>
      <c r="BU9" s="3" t="n"/>
      <c r="BV9" s="3" t="n"/>
      <c r="BW9" s="3" t="n"/>
      <c r="BX9" s="3" t="n"/>
      <c r="BY9" s="3" t="n"/>
      <c r="BZ9" s="3" t="n"/>
      <c r="CA9" s="3" t="n"/>
      <c r="CB9" s="3" t="n"/>
      <c r="CC9" s="3" t="n"/>
      <c r="CD9" s="3" t="n"/>
      <c r="CE9" s="3" t="n"/>
      <c r="CF9" s="3" t="n"/>
      <c r="CG9" s="3" t="n"/>
      <c r="CH9" s="3" t="n"/>
      <c r="CI9" s="3" t="n"/>
      <c r="CJ9" s="3" t="n"/>
      <c r="CK9" s="3" t="n"/>
      <c r="CL9" s="3" t="n"/>
      <c r="CM9" s="3" t="n"/>
      <c r="CN9" s="3" t="n"/>
      <c r="CO9" s="3" t="n"/>
      <c r="CP9" s="3" t="n"/>
      <c r="CQ9" s="3" t="n"/>
      <c r="CR9" s="3" t="n"/>
      <c r="CS9" s="3" t="n"/>
      <c r="CT9" s="3" t="n"/>
      <c r="CU9" s="3" t="n"/>
      <c r="CV9" s="3" t="n"/>
      <c r="CW9" s="3" t="n"/>
      <c r="CX9" s="3" t="n"/>
      <c r="CY9" s="3" t="n"/>
      <c r="CZ9" s="3" t="n"/>
      <c r="DA9" s="3" t="n"/>
      <c r="DB9" s="3" t="n"/>
      <c r="DC9" s="3" t="n"/>
      <c r="DD9" s="3" t="n"/>
      <c r="DE9" s="3" t="n"/>
      <c r="DF9" s="3" t="n"/>
      <c r="DG9" s="3" t="n"/>
      <c r="DH9" s="3" t="n"/>
      <c r="DI9" s="3" t="n"/>
      <c r="DJ9" s="3" t="n"/>
      <c r="DK9" s="3" t="n"/>
      <c r="DL9" s="3" t="n"/>
      <c r="DM9" s="3" t="n"/>
      <c r="DN9" s="3" t="n"/>
      <c r="DO9" s="3" t="n"/>
      <c r="DP9" s="3" t="n"/>
      <c r="DQ9" s="3" t="n"/>
      <c r="DR9" s="3" t="n"/>
      <c r="DS9" s="3" t="n"/>
      <c r="DT9" s="3" t="n"/>
      <c r="DU9" s="3" t="n"/>
      <c r="DV9" s="3" t="n"/>
      <c r="DW9" s="3" t="n"/>
      <c r="DX9" s="3" t="n"/>
      <c r="DY9" s="3" t="n"/>
      <c r="DZ9" s="3" t="n"/>
      <c r="EA9" s="3" t="n"/>
      <c r="EB9" s="3" t="n"/>
      <c r="EC9" s="3" t="n"/>
      <c r="ED9" s="3" t="n"/>
      <c r="EE9" s="3" t="n"/>
      <c r="EF9" s="3" t="n"/>
      <c r="EG9" s="3" t="n"/>
      <c r="EH9" s="3" t="n"/>
      <c r="EI9" s="3" t="n"/>
      <c r="EJ9" s="3" t="n"/>
      <c r="EK9" s="3" t="n"/>
      <c r="EL9" s="3" t="n"/>
      <c r="EM9" s="3" t="n"/>
      <c r="EN9" s="3" t="n"/>
      <c r="EO9" s="3" t="n"/>
      <c r="EP9" s="3" t="n"/>
      <c r="EQ9" s="3" t="n"/>
      <c r="ER9" s="3" t="n"/>
      <c r="ES9" s="3" t="n"/>
      <c r="ET9" s="3" t="n"/>
      <c r="EU9" s="3" t="n"/>
      <c r="EV9" s="3" t="n"/>
      <c r="EW9" s="3" t="n"/>
      <c r="EX9" s="3" t="n"/>
      <c r="EY9" s="3" t="n"/>
      <c r="EZ9" s="3" t="n"/>
      <c r="FA9" s="3" t="n"/>
      <c r="FB9" s="3" t="n"/>
      <c r="FC9" s="3" t="n"/>
      <c r="FD9" s="3" t="n"/>
      <c r="FE9" s="3" t="n"/>
      <c r="FF9" s="3" t="n"/>
      <c r="FG9" s="3" t="n"/>
      <c r="FH9" s="3" t="n"/>
      <c r="FI9" s="3" t="n"/>
      <c r="FJ9" s="3" t="n"/>
      <c r="FK9" s="3" t="n"/>
      <c r="FL9" s="3" t="n"/>
      <c r="FM9" s="3" t="n"/>
      <c r="FN9" s="3" t="n"/>
      <c r="FO9" s="3" t="n"/>
      <c r="FP9" s="3" t="n"/>
      <c r="FQ9" s="3" t="n"/>
      <c r="FR9" s="3" t="n"/>
      <c r="FS9" s="3" t="n"/>
      <c r="FT9" s="3" t="n"/>
      <c r="FU9" s="3" t="n"/>
      <c r="FV9" s="3" t="n"/>
      <c r="FW9" s="3" t="n"/>
      <c r="FX9" s="3" t="n"/>
      <c r="FY9" s="3" t="n"/>
      <c r="FZ9" s="3" t="n"/>
      <c r="GA9" s="3" t="n"/>
      <c r="GB9" s="3" t="n"/>
      <c r="GC9" s="3" t="n"/>
      <c r="GD9" s="3" t="n"/>
      <c r="GE9" s="3" t="n"/>
      <c r="GF9" s="3" t="n"/>
      <c r="GG9" s="3" t="n"/>
      <c r="GH9" s="3" t="n"/>
      <c r="GI9" s="3" t="n"/>
      <c r="GJ9" s="3" t="n"/>
      <c r="GK9" s="3" t="n"/>
      <c r="GL9" s="3" t="n"/>
      <c r="GM9" s="3" t="n"/>
      <c r="GN9" s="3" t="n"/>
      <c r="GO9" s="3" t="n"/>
      <c r="GP9" s="3" t="n"/>
      <c r="GQ9" s="3" t="n"/>
      <c r="GR9" s="3" t="n"/>
      <c r="GS9" s="3" t="n"/>
      <c r="GT9" s="3" t="n"/>
      <c r="GU9" s="3" t="n"/>
      <c r="GV9" s="3" t="n"/>
      <c r="GW9" s="3" t="n"/>
      <c r="GX9" s="3" t="n"/>
      <c r="GY9" s="3" t="n"/>
      <c r="GZ9" s="3" t="n"/>
      <c r="HA9" s="3" t="n"/>
      <c r="HB9" s="3" t="n"/>
      <c r="HC9" s="3" t="n"/>
      <c r="HD9" s="3" t="n"/>
      <c r="HE9" s="3" t="n"/>
      <c r="HF9" s="3" t="n"/>
      <c r="HG9" s="3" t="n"/>
      <c r="HH9" s="3" t="n"/>
      <c r="HI9" s="3" t="n"/>
      <c r="HJ9" s="3" t="n"/>
      <c r="HK9" s="3" t="n"/>
      <c r="HL9" s="3" t="n"/>
      <c r="HM9" s="3" t="n"/>
      <c r="HN9" s="3" t="n"/>
      <c r="HO9" s="3" t="n"/>
      <c r="HP9" s="3" t="n"/>
      <c r="HQ9" s="3" t="n"/>
      <c r="HR9" s="3" t="n"/>
      <c r="HS9" s="3" t="n"/>
      <c r="HT9" s="3" t="n"/>
      <c r="HU9" s="3" t="n"/>
      <c r="HV9" s="3" t="n"/>
      <c r="HW9" s="3" t="n"/>
      <c r="HX9" s="3" t="n"/>
      <c r="HY9" s="3" t="n"/>
      <c r="HZ9" s="3" t="n"/>
      <c r="IA9" s="3" t="n"/>
      <c r="IB9" s="3" t="n"/>
      <c r="IC9" s="3" t="n"/>
      <c r="ID9" s="3" t="n"/>
      <c r="IE9" s="3" t="n"/>
      <c r="IF9" s="3" t="n"/>
      <c r="IG9" s="3" t="n"/>
      <c r="IH9" s="3" t="n"/>
      <c r="II9" s="3" t="n"/>
      <c r="IJ9" s="3" t="n"/>
      <c r="IK9" s="3" t="n"/>
      <c r="IL9" s="3" t="n"/>
      <c r="IM9" s="3" t="n"/>
      <c r="IN9" s="3" t="n"/>
      <c r="IO9" s="3" t="n"/>
      <c r="IP9" s="3" t="n"/>
      <c r="IQ9" s="3" t="n"/>
      <c r="IR9" s="3" t="n"/>
      <c r="IS9" s="3" t="n"/>
      <c r="IT9" s="3" t="n"/>
      <c r="IU9" s="3" t="n"/>
      <c r="IV9" s="3" t="n"/>
      <c r="IW9" s="3" t="n"/>
      <c r="IX9" s="3" t="n"/>
      <c r="IY9" s="3" t="n"/>
      <c r="IZ9" s="3" t="n"/>
    </row>
    <row r="10">
      <c r="A10" s="44" t="inlineStr">
        <is>
          <t>pop</t>
        </is>
      </c>
      <c r="B10" s="3" t="inlineStr">
        <is>
          <t>all</t>
        </is>
      </c>
      <c r="C10" s="3" t="inlineStr">
        <is>
          <t>all</t>
        </is>
      </c>
      <c r="D10" s="194" t="n">
        <v>1000</v>
      </c>
      <c r="E10" s="3" t="inlineStr">
        <is>
          <t>persons</t>
        </is>
      </c>
      <c r="H10" s="3" t="inlineStr">
        <is>
          <t>Population | All sectors | All fuels</t>
        </is>
      </c>
      <c r="I10" s="3" t="inlineStr">
        <is>
          <t>thousand</t>
        </is>
      </c>
      <c r="J10" s="3" t="inlineStr">
        <is>
          <t>Mitigation section 19a</t>
        </is>
      </c>
      <c r="K10" s="3" t="inlineStr">
        <is>
          <t>egy.mit.pop.all.all.1</t>
        </is>
      </c>
      <c r="L10" s="109" t="n">
        <v>111743.365</v>
      </c>
      <c r="M10" s="109" t="n">
        <v>113493.134</v>
      </c>
      <c r="N10" s="109" t="n">
        <v>116538.258</v>
      </c>
      <c r="O10" s="109" t="n">
        <v>118365.994</v>
      </c>
      <c r="P10" s="109" t="n">
        <v>120101.175</v>
      </c>
      <c r="Q10" s="109" t="n">
        <v>121847.617</v>
      </c>
      <c r="R10" s="109" t="n">
        <v>123608.457</v>
      </c>
      <c r="S10" s="109" t="n">
        <v>125373.049</v>
      </c>
      <c r="T10" s="109" t="n">
        <v>127139.321</v>
      </c>
      <c r="U10" s="109" t="n">
        <v>128912.252</v>
      </c>
      <c r="V10" s="109" t="n">
        <v>130695.078</v>
      </c>
      <c r="W10" s="109" t="n">
        <v>132485.605</v>
      </c>
      <c r="X10" s="109" t="n">
        <v>134287.84</v>
      </c>
      <c r="Y10" s="109" t="n">
        <v>136097.218</v>
      </c>
      <c r="Z10" s="109" t="n">
        <v>137913.263</v>
      </c>
      <c r="AA10" s="109" t="n">
        <v>139738.696</v>
      </c>
      <c r="AB10" s="109" t="n">
        <v>141565.83</v>
      </c>
      <c r="AC10" s="109" t="n">
        <v>143393.264</v>
      </c>
      <c r="AD10" s="109" t="n">
        <v>145213.654</v>
      </c>
      <c r="AE10" s="109" t="n">
        <v>147018.556</v>
      </c>
      <c r="AF10" s="3" t="n"/>
      <c r="AG10" s="3" t="inlineStr">
        <is>
          <t>egy.mit.pop.all.all.2</t>
        </is>
      </c>
      <c r="AH10" s="109" t="n">
        <v>111743.365</v>
      </c>
      <c r="AI10" s="109" t="n">
        <v>113493.134</v>
      </c>
      <c r="AJ10" s="109" t="n">
        <v>116538.258</v>
      </c>
      <c r="AK10" s="109" t="n">
        <v>118365.994</v>
      </c>
      <c r="AL10" s="109" t="n">
        <v>120101.175</v>
      </c>
      <c r="AM10" s="109" t="n">
        <v>121847.617</v>
      </c>
      <c r="AN10" s="109" t="n">
        <v>123608.457</v>
      </c>
      <c r="AO10" s="109" t="n">
        <v>125373.049</v>
      </c>
      <c r="AP10" s="109" t="n">
        <v>127139.321</v>
      </c>
      <c r="AQ10" s="109" t="n">
        <v>128912.252</v>
      </c>
      <c r="AR10" s="109" t="n">
        <v>130695.078</v>
      </c>
      <c r="AS10" s="109" t="n">
        <v>132485.605</v>
      </c>
      <c r="AT10" s="109" t="n">
        <v>134287.84</v>
      </c>
      <c r="AU10" s="109" t="n">
        <v>136097.218</v>
      </c>
      <c r="AV10" s="109" t="n">
        <v>137913.263</v>
      </c>
      <c r="AW10" s="109" t="n">
        <v>139738.696</v>
      </c>
      <c r="AX10" s="109" t="n">
        <v>141565.83</v>
      </c>
      <c r="AY10" s="109" t="n">
        <v>143393.264</v>
      </c>
      <c r="AZ10" s="109" t="n">
        <v>145213.654</v>
      </c>
      <c r="BA10" s="109" t="n">
        <v>147018.556</v>
      </c>
      <c r="BB10" s="3" t="n"/>
      <c r="BC10" s="3" t="n"/>
      <c r="BD10" s="3" t="n"/>
      <c r="BE10" s="3" t="n"/>
      <c r="BF10" s="3" t="n"/>
      <c r="BG10" s="3" t="n"/>
      <c r="BH10" s="3" t="n"/>
      <c r="BI10" s="3" t="n"/>
      <c r="BJ10" s="3" t="n"/>
      <c r="BK10" s="3" t="n"/>
      <c r="BL10" s="3" t="n"/>
      <c r="BM10" s="3" t="n"/>
      <c r="BN10" s="3" t="n"/>
      <c r="BO10" s="3" t="n"/>
      <c r="BP10" s="3" t="n"/>
      <c r="BQ10" s="3" t="n"/>
      <c r="BR10" s="3" t="n"/>
      <c r="BS10" s="3" t="n"/>
      <c r="BT10" s="3" t="n"/>
      <c r="BU10" s="3" t="n"/>
      <c r="BV10" s="3" t="n"/>
      <c r="BW10" s="3" t="n"/>
      <c r="BX10" s="3" t="n"/>
      <c r="BY10" s="3" t="n"/>
      <c r="BZ10" s="3" t="n"/>
      <c r="CA10" s="3" t="n"/>
      <c r="CB10" s="3" t="n"/>
      <c r="CC10" s="3" t="n"/>
      <c r="CD10" s="3" t="n"/>
      <c r="CE10" s="3" t="n"/>
      <c r="CF10" s="3" t="n"/>
      <c r="CG10" s="3" t="n"/>
      <c r="CH10" s="3" t="n"/>
      <c r="CI10" s="3" t="n"/>
      <c r="CJ10" s="3" t="n"/>
      <c r="CK10" s="3" t="n"/>
      <c r="CL10" s="3" t="n"/>
      <c r="CM10" s="3" t="n"/>
      <c r="CN10" s="3" t="n"/>
      <c r="CO10" s="3" t="n"/>
      <c r="CP10" s="3" t="n"/>
      <c r="CQ10" s="3" t="n"/>
      <c r="CR10" s="3" t="n"/>
      <c r="CS10" s="3" t="n"/>
      <c r="CT10" s="3" t="n"/>
      <c r="CU10" s="3" t="n"/>
      <c r="CV10" s="3" t="n"/>
      <c r="CW10" s="3" t="n"/>
      <c r="CX10" s="3" t="n"/>
      <c r="CY10" s="3" t="n"/>
      <c r="CZ10" s="3" t="n"/>
      <c r="DA10" s="3" t="n"/>
      <c r="DB10" s="3" t="n"/>
      <c r="DC10" s="3" t="n"/>
      <c r="DD10" s="3" t="n"/>
      <c r="DE10" s="3" t="n"/>
      <c r="DF10" s="3" t="n"/>
      <c r="DG10" s="3" t="n"/>
      <c r="DH10" s="3" t="n"/>
      <c r="DI10" s="3" t="n"/>
      <c r="DJ10" s="3" t="n"/>
      <c r="DK10" s="3" t="n"/>
      <c r="DL10" s="3" t="n"/>
      <c r="DM10" s="3" t="n"/>
      <c r="DN10" s="3" t="n"/>
      <c r="DO10" s="3" t="n"/>
      <c r="DP10" s="3" t="n"/>
      <c r="DQ10" s="3" t="n"/>
      <c r="DR10" s="3" t="n"/>
      <c r="DS10" s="3" t="n"/>
      <c r="DT10" s="3" t="n"/>
      <c r="DU10" s="3" t="n"/>
      <c r="DV10" s="3" t="n"/>
      <c r="DW10" s="3" t="n"/>
      <c r="DX10" s="3" t="n"/>
      <c r="DY10" s="3" t="n"/>
      <c r="DZ10" s="3" t="n"/>
      <c r="EA10" s="3" t="n"/>
      <c r="EB10" s="3" t="n"/>
      <c r="EC10" s="3" t="n"/>
      <c r="ED10" s="3" t="n"/>
      <c r="EE10" s="3" t="n"/>
      <c r="EF10" s="3" t="n"/>
      <c r="EG10" s="3" t="n"/>
      <c r="EH10" s="3" t="n"/>
      <c r="EI10" s="3" t="n"/>
      <c r="EJ10" s="3" t="n"/>
      <c r="EK10" s="3" t="n"/>
      <c r="EL10" s="3" t="n"/>
      <c r="EM10" s="3" t="n"/>
      <c r="EN10" s="3" t="n"/>
      <c r="EO10" s="3" t="n"/>
      <c r="EP10" s="3" t="n"/>
      <c r="EQ10" s="3" t="n"/>
      <c r="ER10" s="3" t="n"/>
      <c r="ES10" s="3" t="n"/>
      <c r="ET10" s="3" t="n"/>
      <c r="EU10" s="3" t="n"/>
      <c r="EV10" s="3" t="n"/>
      <c r="EW10" s="3" t="n"/>
      <c r="EX10" s="3" t="n"/>
      <c r="EY10" s="3" t="n"/>
      <c r="EZ10" s="3" t="n"/>
      <c r="FA10" s="3" t="n"/>
      <c r="FB10" s="3" t="n"/>
      <c r="FC10" s="3" t="n"/>
      <c r="FD10" s="3" t="n"/>
      <c r="FE10" s="3" t="n"/>
      <c r="FF10" s="3" t="n"/>
      <c r="FG10" s="3" t="n"/>
      <c r="FH10" s="3" t="n"/>
      <c r="FI10" s="3" t="n"/>
      <c r="FJ10" s="3" t="n"/>
      <c r="FK10" s="3" t="n"/>
      <c r="FL10" s="3" t="n"/>
      <c r="FM10" s="3" t="n"/>
      <c r="FN10" s="3" t="n"/>
      <c r="FO10" s="3" t="n"/>
      <c r="FP10" s="3" t="n"/>
      <c r="FQ10" s="3" t="n"/>
      <c r="FR10" s="3" t="n"/>
      <c r="FS10" s="3" t="n"/>
      <c r="FT10" s="3" t="n"/>
      <c r="FU10" s="3" t="n"/>
      <c r="FV10" s="3" t="n"/>
      <c r="FW10" s="3" t="n"/>
      <c r="FX10" s="3" t="n"/>
      <c r="FY10" s="3" t="n"/>
      <c r="FZ10" s="3" t="n"/>
      <c r="GA10" s="3" t="n"/>
      <c r="GB10" s="3" t="n"/>
      <c r="GC10" s="3" t="n"/>
      <c r="GD10" s="3" t="n"/>
      <c r="GE10" s="3" t="n"/>
      <c r="GF10" s="3" t="n"/>
      <c r="GG10" s="3" t="n"/>
      <c r="GH10" s="3" t="n"/>
      <c r="GI10" s="3" t="n"/>
      <c r="GJ10" s="3" t="n"/>
      <c r="GK10" s="3" t="n"/>
      <c r="GL10" s="3" t="n"/>
      <c r="GM10" s="3" t="n"/>
      <c r="GN10" s="3" t="n"/>
      <c r="GO10" s="3" t="n"/>
      <c r="GP10" s="3" t="n"/>
      <c r="GQ10" s="3" t="n"/>
      <c r="GR10" s="3" t="n"/>
      <c r="GS10" s="3" t="n"/>
      <c r="GT10" s="3" t="n"/>
      <c r="GU10" s="3" t="n"/>
      <c r="GV10" s="3" t="n"/>
      <c r="GW10" s="3" t="n"/>
      <c r="GX10" s="3" t="n"/>
      <c r="GY10" s="3" t="n"/>
      <c r="GZ10" s="3" t="n"/>
      <c r="HA10" s="3" t="n"/>
      <c r="HB10" s="3" t="n"/>
      <c r="HC10" s="3" t="n"/>
      <c r="HD10" s="3" t="n"/>
      <c r="HE10" s="3" t="n"/>
      <c r="HF10" s="3" t="n"/>
      <c r="HG10" s="3" t="n"/>
      <c r="HH10" s="3" t="n"/>
      <c r="HI10" s="3" t="n"/>
      <c r="HJ10" s="3" t="n"/>
      <c r="HK10" s="3" t="n"/>
      <c r="HL10" s="3" t="n"/>
      <c r="HM10" s="3" t="n"/>
      <c r="HN10" s="3" t="n"/>
      <c r="HO10" s="3" t="n"/>
      <c r="HP10" s="3" t="n"/>
      <c r="HQ10" s="3" t="n"/>
      <c r="HR10" s="3" t="n"/>
      <c r="HS10" s="3" t="n"/>
      <c r="HT10" s="3" t="n"/>
      <c r="HU10" s="3" t="n"/>
      <c r="HV10" s="3" t="n"/>
      <c r="HW10" s="3" t="n"/>
      <c r="HX10" s="3" t="n"/>
      <c r="HY10" s="3" t="n"/>
      <c r="HZ10" s="3" t="n"/>
      <c r="IA10" s="3" t="n"/>
      <c r="IB10" s="3" t="n"/>
      <c r="IC10" s="3" t="n"/>
      <c r="ID10" s="3" t="n"/>
      <c r="IE10" s="3" t="n"/>
      <c r="IF10" s="3" t="n"/>
      <c r="IG10" s="3" t="n"/>
      <c r="IH10" s="3" t="n"/>
      <c r="II10" s="3" t="n"/>
      <c r="IJ10" s="3" t="n"/>
      <c r="IK10" s="3" t="n"/>
      <c r="IL10" s="3" t="n"/>
      <c r="IM10" s="3" t="n"/>
      <c r="IN10" s="3" t="n"/>
      <c r="IO10" s="3" t="n"/>
      <c r="IP10" s="3" t="n"/>
      <c r="IQ10" s="3" t="n"/>
      <c r="IR10" s="3" t="n"/>
      <c r="IS10" s="3" t="n"/>
      <c r="IT10" s="3" t="n"/>
      <c r="IU10" s="3" t="n"/>
      <c r="IV10" s="3" t="n"/>
      <c r="IW10" s="3" t="n"/>
      <c r="IX10" s="3" t="n"/>
      <c r="IY10" s="3" t="n"/>
      <c r="IZ10" s="3" t="n"/>
    </row>
    <row r="11">
      <c r="A11" s="44" t="inlineStr">
        <is>
          <t>rnew</t>
        </is>
      </c>
      <c r="B11" s="3" t="inlineStr">
        <is>
          <t>all</t>
        </is>
      </c>
      <c r="C11" s="3" t="inlineStr">
        <is>
          <t>all</t>
        </is>
      </c>
      <c r="D11" s="194" t="n">
        <v>1000000</v>
      </c>
      <c r="E11" s="3" t="inlineStr">
        <is>
          <t>USD</t>
        </is>
      </c>
      <c r="H11" s="3" t="inlineStr">
        <is>
          <t>Revenue from new policies (carbon tax, excise, auctioned ETS, VAT on them) | All sectors | All fuels</t>
        </is>
      </c>
      <c r="I11" s="3" t="inlineStr">
        <is>
          <t>USD m real</t>
        </is>
      </c>
      <c r="J11" s="3" t="inlineStr">
        <is>
          <t>Mitigation section 19a</t>
        </is>
      </c>
      <c r="K11" s="3" t="inlineStr">
        <is>
          <t>egy.mit.rnew.tot.tot.1</t>
        </is>
      </c>
      <c r="L11" s="195" t="n">
        <v>0</v>
      </c>
      <c r="M11" s="195" t="n">
        <v>0</v>
      </c>
      <c r="N11" s="195" t="n">
        <v>0</v>
      </c>
      <c r="O11" s="195" t="n">
        <v>0</v>
      </c>
      <c r="P11" s="195" t="n">
        <v>0</v>
      </c>
      <c r="Q11" s="195" t="n">
        <v>0</v>
      </c>
      <c r="R11" s="195" t="n">
        <v>0</v>
      </c>
      <c r="S11" s="195" t="n">
        <v>0</v>
      </c>
      <c r="T11" s="195" t="n">
        <v>0</v>
      </c>
      <c r="U11" s="195" t="n">
        <v>0</v>
      </c>
      <c r="V11" s="195" t="n">
        <v>0</v>
      </c>
      <c r="W11" s="195" t="n">
        <v>0</v>
      </c>
      <c r="X11" s="195" t="n">
        <v>0</v>
      </c>
      <c r="Y11" s="195" t="n">
        <v>0</v>
      </c>
      <c r="Z11" s="195" t="n">
        <v>0</v>
      </c>
      <c r="AA11" s="195" t="n">
        <v>0</v>
      </c>
      <c r="AB11" s="195" t="n">
        <v>0</v>
      </c>
      <c r="AC11" s="195" t="n">
        <v>0</v>
      </c>
      <c r="AD11" s="195" t="n">
        <v>0</v>
      </c>
      <c r="AE11" s="195" t="n">
        <v>0</v>
      </c>
      <c r="AF11" s="3" t="n"/>
      <c r="AG11" s="3" t="inlineStr">
        <is>
          <t>egy.mit.rnew.tot.tot.2</t>
        </is>
      </c>
      <c r="AH11" s="195" t="n">
        <v>0</v>
      </c>
      <c r="AI11" s="195" t="n">
        <v>0</v>
      </c>
      <c r="AJ11" s="195" t="n">
        <v>0</v>
      </c>
      <c r="AK11" s="195" t="n">
        <v>0</v>
      </c>
      <c r="AL11" s="195" t="n">
        <v>0</v>
      </c>
      <c r="AM11" s="195" t="n">
        <v>4963.482672336527</v>
      </c>
      <c r="AN11" s="195" t="n">
        <v>4909.810212268043</v>
      </c>
      <c r="AO11" s="195" t="n">
        <v>5096.367495149203</v>
      </c>
      <c r="AP11" s="195" t="n">
        <v>5190.464227704219</v>
      </c>
      <c r="AQ11" s="195" t="n">
        <v>5272.922684354993</v>
      </c>
      <c r="AR11" s="195" t="n">
        <v>5320.241022494429</v>
      </c>
      <c r="AS11" s="195" t="n">
        <v>5439.241138974978</v>
      </c>
      <c r="AT11" s="195" t="n">
        <v>5531.850480841607</v>
      </c>
      <c r="AU11" s="195" t="n">
        <v>5641.17167588142</v>
      </c>
      <c r="AV11" s="195" t="n">
        <v>5752.113018975</v>
      </c>
      <c r="AW11" s="195" t="n">
        <v>5867.362148358637</v>
      </c>
      <c r="AX11" s="195" t="n">
        <v>5981.406890528846</v>
      </c>
      <c r="AY11" s="195" t="n">
        <v>6096.089586093558</v>
      </c>
      <c r="AZ11" s="195" t="n">
        <v>6209.005671333156</v>
      </c>
      <c r="BA11" s="195" t="n">
        <v>6323.064621028048</v>
      </c>
      <c r="BB11" s="3" t="n"/>
      <c r="BC11" s="3" t="n"/>
      <c r="BD11" s="3" t="n"/>
      <c r="BE11" s="3" t="n"/>
      <c r="BF11" s="3" t="n"/>
      <c r="BG11" s="3" t="n"/>
      <c r="BH11" s="3" t="n"/>
      <c r="BI11" s="3" t="n"/>
      <c r="BJ11" s="3" t="n"/>
      <c r="BK11" s="3" t="n"/>
      <c r="BL11" s="3" t="n"/>
      <c r="BM11" s="3" t="n"/>
      <c r="BN11" s="3" t="n"/>
      <c r="BO11" s="3" t="n"/>
      <c r="BP11" s="3" t="n"/>
      <c r="BQ11" s="3" t="n"/>
      <c r="BR11" s="3" t="n"/>
      <c r="BS11" s="3" t="n"/>
      <c r="BT11" s="3" t="n"/>
      <c r="BU11" s="3" t="n"/>
      <c r="BV11" s="3" t="n"/>
      <c r="BW11" s="3" t="n"/>
      <c r="BX11" s="3" t="n"/>
      <c r="BY11" s="3" t="n"/>
      <c r="BZ11" s="3" t="n"/>
      <c r="CA11" s="3" t="n"/>
      <c r="CB11" s="3" t="n"/>
      <c r="CC11" s="3" t="n"/>
      <c r="CD11" s="3" t="n"/>
      <c r="CE11" s="3" t="n"/>
      <c r="CF11" s="3" t="n"/>
      <c r="CG11" s="3" t="n"/>
      <c r="CH11" s="3" t="n"/>
      <c r="CI11" s="3" t="n"/>
      <c r="CJ11" s="3" t="n"/>
      <c r="CK11" s="3" t="n"/>
      <c r="CL11" s="3" t="n"/>
      <c r="CM11" s="3" t="n"/>
      <c r="CN11" s="3" t="n"/>
      <c r="CO11" s="3" t="n"/>
      <c r="CP11" s="3" t="n"/>
      <c r="CQ11" s="3" t="n"/>
      <c r="CR11" s="3" t="n"/>
      <c r="CS11" s="3" t="n"/>
      <c r="CT11" s="3" t="n"/>
      <c r="CU11" s="3" t="n"/>
      <c r="CV11" s="3" t="n"/>
      <c r="CW11" s="3" t="n"/>
      <c r="CX11" s="3" t="n"/>
      <c r="CY11" s="3" t="n"/>
      <c r="CZ11" s="3" t="n"/>
      <c r="DA11" s="3" t="n"/>
      <c r="DB11" s="3" t="n"/>
      <c r="DC11" s="3" t="n"/>
      <c r="DD11" s="3" t="n"/>
      <c r="DE11" s="3" t="n"/>
      <c r="DF11" s="3" t="n"/>
      <c r="DG11" s="3" t="n"/>
      <c r="DH11" s="3" t="n"/>
      <c r="DI11" s="3" t="n"/>
      <c r="DJ11" s="3" t="n"/>
      <c r="DK11" s="3" t="n"/>
      <c r="DL11" s="3" t="n"/>
      <c r="DM11" s="3" t="n"/>
      <c r="DN11" s="3" t="n"/>
      <c r="DO11" s="3" t="n"/>
      <c r="DP11" s="3" t="n"/>
      <c r="DQ11" s="3" t="n"/>
      <c r="DR11" s="3" t="n"/>
      <c r="DS11" s="3" t="n"/>
      <c r="DT11" s="3" t="n"/>
      <c r="DU11" s="3" t="n"/>
      <c r="DV11" s="3" t="n"/>
      <c r="DW11" s="3" t="n"/>
      <c r="DX11" s="3" t="n"/>
      <c r="DY11" s="3" t="n"/>
      <c r="DZ11" s="3" t="n"/>
      <c r="EA11" s="3" t="n"/>
      <c r="EB11" s="3" t="n"/>
      <c r="EC11" s="3" t="n"/>
      <c r="ED11" s="3" t="n"/>
      <c r="EE11" s="3" t="n"/>
      <c r="EF11" s="3" t="n"/>
      <c r="EG11" s="3" t="n"/>
      <c r="EH11" s="3" t="n"/>
      <c r="EI11" s="3" t="n"/>
      <c r="EJ11" s="3" t="n"/>
      <c r="EK11" s="3" t="n"/>
      <c r="EL11" s="3" t="n"/>
      <c r="EM11" s="3" t="n"/>
      <c r="EN11" s="3" t="n"/>
      <c r="EO11" s="3" t="n"/>
      <c r="EP11" s="3" t="n"/>
      <c r="EQ11" s="3" t="n"/>
      <c r="ER11" s="3" t="n"/>
      <c r="ES11" s="3" t="n"/>
      <c r="ET11" s="3" t="n"/>
      <c r="EU11" s="3" t="n"/>
      <c r="EV11" s="3" t="n"/>
      <c r="EW11" s="3" t="n"/>
      <c r="EX11" s="3" t="n"/>
      <c r="EY11" s="3" t="n"/>
      <c r="EZ11" s="3" t="n"/>
      <c r="FA11" s="3" t="n"/>
      <c r="FB11" s="3" t="n"/>
      <c r="FC11" s="3" t="n"/>
      <c r="FD11" s="3" t="n"/>
      <c r="FE11" s="3" t="n"/>
      <c r="FF11" s="3" t="n"/>
      <c r="FG11" s="3" t="n"/>
      <c r="FH11" s="3" t="n"/>
      <c r="FI11" s="3" t="n"/>
      <c r="FJ11" s="3" t="n"/>
      <c r="FK11" s="3" t="n"/>
      <c r="FL11" s="3" t="n"/>
      <c r="FM11" s="3" t="n"/>
      <c r="FN11" s="3" t="n"/>
      <c r="FO11" s="3" t="n"/>
      <c r="FP11" s="3" t="n"/>
      <c r="FQ11" s="3" t="n"/>
      <c r="FR11" s="3" t="n"/>
      <c r="FS11" s="3" t="n"/>
      <c r="FT11" s="3" t="n"/>
      <c r="FU11" s="3" t="n"/>
      <c r="FV11" s="3" t="n"/>
      <c r="FW11" s="3" t="n"/>
      <c r="FX11" s="3" t="n"/>
      <c r="FY11" s="3" t="n"/>
      <c r="FZ11" s="3" t="n"/>
      <c r="GA11" s="3" t="n"/>
      <c r="GB11" s="3" t="n"/>
      <c r="GC11" s="3" t="n"/>
      <c r="GD11" s="3" t="n"/>
      <c r="GE11" s="3" t="n"/>
      <c r="GF11" s="3" t="n"/>
      <c r="GG11" s="3" t="n"/>
      <c r="GH11" s="3" t="n"/>
      <c r="GI11" s="3" t="n"/>
      <c r="GJ11" s="3" t="n"/>
      <c r="GK11" s="3" t="n"/>
      <c r="GL11" s="3" t="n"/>
      <c r="GM11" s="3" t="n"/>
      <c r="GN11" s="3" t="n"/>
      <c r="GO11" s="3" t="n"/>
      <c r="GP11" s="3" t="n"/>
      <c r="GQ11" s="3" t="n"/>
      <c r="GR11" s="3" t="n"/>
      <c r="GS11" s="3" t="n"/>
      <c r="GT11" s="3" t="n"/>
      <c r="GU11" s="3" t="n"/>
      <c r="GV11" s="3" t="n"/>
      <c r="GW11" s="3" t="n"/>
      <c r="GX11" s="3" t="n"/>
      <c r="GY11" s="3" t="n"/>
      <c r="GZ11" s="3" t="n"/>
      <c r="HA11" s="3" t="n"/>
      <c r="HB11" s="3" t="n"/>
      <c r="HC11" s="3" t="n"/>
      <c r="HD11" s="3" t="n"/>
      <c r="HE11" s="3" t="n"/>
      <c r="HF11" s="3" t="n"/>
      <c r="HG11" s="3" t="n"/>
      <c r="HH11" s="3" t="n"/>
      <c r="HI11" s="3" t="n"/>
      <c r="HJ11" s="3" t="n"/>
      <c r="HK11" s="3" t="n"/>
      <c r="HL11" s="3" t="n"/>
      <c r="HM11" s="3" t="n"/>
      <c r="HN11" s="3" t="n"/>
      <c r="HO11" s="3" t="n"/>
      <c r="HP11" s="3" t="n"/>
      <c r="HQ11" s="3" t="n"/>
      <c r="HR11" s="3" t="n"/>
      <c r="HS11" s="3" t="n"/>
      <c r="HT11" s="3" t="n"/>
      <c r="HU11" s="3" t="n"/>
      <c r="HV11" s="3" t="n"/>
      <c r="HW11" s="3" t="n"/>
      <c r="HX11" s="3" t="n"/>
      <c r="HY11" s="3" t="n"/>
      <c r="HZ11" s="3" t="n"/>
      <c r="IA11" s="3" t="n"/>
      <c r="IB11" s="3" t="n"/>
      <c r="IC11" s="3" t="n"/>
      <c r="ID11" s="3" t="n"/>
      <c r="IE11" s="3" t="n"/>
      <c r="IF11" s="3" t="n"/>
      <c r="IG11" s="3" t="n"/>
      <c r="IH11" s="3" t="n"/>
      <c r="II11" s="3" t="n"/>
      <c r="IJ11" s="3" t="n"/>
      <c r="IK11" s="3" t="n"/>
      <c r="IL11" s="3" t="n"/>
      <c r="IM11" s="3" t="n"/>
      <c r="IN11" s="3" t="n"/>
      <c r="IO11" s="3" t="n"/>
      <c r="IP11" s="3" t="n"/>
      <c r="IQ11" s="3" t="n"/>
      <c r="IR11" s="3" t="n"/>
      <c r="IS11" s="3" t="n"/>
      <c r="IT11" s="3" t="n"/>
      <c r="IU11" s="3" t="n"/>
      <c r="IV11" s="3" t="n"/>
      <c r="IW11" s="3" t="n"/>
      <c r="IX11" s="3" t="n"/>
      <c r="IY11" s="3" t="n"/>
      <c r="IZ11" s="3" t="n"/>
    </row>
    <row r="12">
      <c r="A12" s="44" t="inlineStr">
        <is>
          <t>atp</t>
        </is>
      </c>
      <c r="B12" s="3" t="inlineStr">
        <is>
          <t>coa</t>
        </is>
      </c>
      <c r="C12" s="3" t="inlineStr">
        <is>
          <t>res</t>
        </is>
      </c>
      <c r="D12" s="133" t="n">
        <v>1</v>
      </c>
      <c r="E12" s="3" t="n"/>
      <c r="H12" s="3" t="inlineStr">
        <is>
          <t>After-tax price | Residential | Coal</t>
        </is>
      </c>
      <c r="I12" s="3" t="inlineStr">
        <is>
          <t>USD/GJ real</t>
        </is>
      </c>
      <c r="J12" s="3" t="inlineStr">
        <is>
          <t>Mitigation section 19a</t>
        </is>
      </c>
      <c r="K12" s="3" t="inlineStr">
        <is>
          <t>egy.mit.atp.res.coa.1</t>
        </is>
      </c>
      <c r="L12" s="196" t="n">
        <v>23.57657960090451</v>
      </c>
      <c r="M12" s="196" t="n">
        <v>15.45297302294686</v>
      </c>
      <c r="N12" s="196" t="n">
        <v>14.48322663188887</v>
      </c>
      <c r="O12" s="196" t="n">
        <v>13.29323859724514</v>
      </c>
      <c r="P12" s="196" t="n">
        <v>13.94891585667126</v>
      </c>
      <c r="Q12" s="196" t="n">
        <v>14.09682011258624</v>
      </c>
      <c r="R12" s="196" t="n">
        <v>14.0266894727734</v>
      </c>
      <c r="S12" s="196" t="n">
        <v>13.95148275908703</v>
      </c>
      <c r="T12" s="196" t="n">
        <v>13.87099202893901</v>
      </c>
      <c r="U12" s="196" t="n">
        <v>13.79331519822692</v>
      </c>
      <c r="V12" s="196" t="n">
        <v>13.79331519822692</v>
      </c>
      <c r="W12" s="196" t="n">
        <v>13.79331519822692</v>
      </c>
      <c r="X12" s="196" t="n">
        <v>13.79331519822692</v>
      </c>
      <c r="Y12" s="196" t="n">
        <v>13.79331519822692</v>
      </c>
      <c r="Z12" s="196" t="n">
        <v>13.79331519822692</v>
      </c>
      <c r="AA12" s="196" t="n">
        <v>13.79331519822692</v>
      </c>
      <c r="AB12" s="196" t="n">
        <v>13.79331519822692</v>
      </c>
      <c r="AC12" s="196" t="n">
        <v>13.79331519822692</v>
      </c>
      <c r="AD12" s="196" t="n">
        <v>13.79331519822692</v>
      </c>
      <c r="AE12" s="196" t="n">
        <v>13.79331519822692</v>
      </c>
      <c r="AF12" s="3" t="n"/>
      <c r="AG12" s="3" t="inlineStr">
        <is>
          <t>egy.mit.atp.res.coa.2</t>
        </is>
      </c>
      <c r="AH12" s="196" t="n">
        <v>23.57657960090451</v>
      </c>
      <c r="AI12" s="196" t="n">
        <v>15.45297302294686</v>
      </c>
      <c r="AJ12" s="196" t="n">
        <v>14.48322663188887</v>
      </c>
      <c r="AK12" s="196" t="n">
        <v>13.29323859724514</v>
      </c>
      <c r="AL12" s="196" t="n">
        <v>13.94891585667126</v>
      </c>
      <c r="AM12" s="196" t="n">
        <v>16.23727186510143</v>
      </c>
      <c r="AN12" s="196" t="n">
        <v>16.16714122528859</v>
      </c>
      <c r="AO12" s="196" t="n">
        <v>16.09193451160223</v>
      </c>
      <c r="AP12" s="196" t="n">
        <v>16.01144378145421</v>
      </c>
      <c r="AQ12" s="196" t="n">
        <v>15.93376695074211</v>
      </c>
      <c r="AR12" s="196" t="n">
        <v>15.93376695074211</v>
      </c>
      <c r="AS12" s="196" t="n">
        <v>15.93376695074211</v>
      </c>
      <c r="AT12" s="196" t="n">
        <v>15.93376695074212</v>
      </c>
      <c r="AU12" s="196" t="n">
        <v>15.93376695074212</v>
      </c>
      <c r="AV12" s="196" t="n">
        <v>15.93376695074212</v>
      </c>
      <c r="AW12" s="196" t="n">
        <v>15.93376695074211</v>
      </c>
      <c r="AX12" s="196" t="n">
        <v>15.93376695074211</v>
      </c>
      <c r="AY12" s="196" t="n">
        <v>15.93376695074211</v>
      </c>
      <c r="AZ12" s="196" t="n">
        <v>15.93376695074211</v>
      </c>
      <c r="BA12" s="196" t="n">
        <v>15.93376695074211</v>
      </c>
      <c r="BB12" s="3" t="n"/>
      <c r="BC12" s="3" t="n"/>
      <c r="BD12" s="3" t="n"/>
      <c r="BE12" s="3" t="n"/>
      <c r="BF12" s="3" t="n"/>
      <c r="BG12" s="3" t="n"/>
      <c r="BH12" s="3" t="n"/>
      <c r="BI12" s="3" t="n"/>
      <c r="BJ12" s="3" t="n"/>
      <c r="BK12" s="3" t="n"/>
      <c r="BL12" s="3" t="n"/>
      <c r="BM12" s="3" t="n"/>
      <c r="BN12" s="3" t="n"/>
      <c r="BO12" s="3" t="n"/>
      <c r="BP12" s="3" t="n"/>
      <c r="BQ12" s="3" t="n"/>
      <c r="BR12" s="3" t="n"/>
      <c r="BS12" s="3" t="n"/>
      <c r="BT12" s="3" t="n"/>
      <c r="BU12" s="3" t="n"/>
      <c r="BV12" s="3" t="n"/>
      <c r="BW12" s="3" t="n"/>
      <c r="BX12" s="3" t="n"/>
      <c r="BY12" s="3" t="n"/>
      <c r="BZ12" s="3" t="n"/>
      <c r="CA12" s="3" t="n"/>
      <c r="CB12" s="3" t="n"/>
      <c r="CC12" s="3" t="n"/>
      <c r="CD12" s="3" t="n"/>
      <c r="CE12" s="3" t="n"/>
      <c r="CF12" s="3" t="n"/>
      <c r="CG12" s="3" t="n"/>
      <c r="CH12" s="3" t="n"/>
      <c r="CI12" s="3" t="n"/>
      <c r="CJ12" s="3" t="n"/>
      <c r="CK12" s="3" t="n"/>
      <c r="CL12" s="3" t="n"/>
      <c r="CM12" s="3" t="n"/>
      <c r="CN12" s="3" t="n"/>
      <c r="CO12" s="3" t="n"/>
      <c r="CP12" s="3" t="n"/>
      <c r="CQ12" s="3" t="n"/>
      <c r="CR12" s="3" t="n"/>
      <c r="CS12" s="3" t="n"/>
      <c r="CT12" s="3" t="n"/>
      <c r="CU12" s="3" t="n"/>
      <c r="CV12" s="3" t="n"/>
      <c r="CW12" s="3" t="n"/>
      <c r="CX12" s="3" t="n"/>
      <c r="CY12" s="3" t="n"/>
      <c r="CZ12" s="3" t="n"/>
      <c r="DA12" s="3" t="n"/>
      <c r="DB12" s="3" t="n"/>
      <c r="DC12" s="3" t="n"/>
      <c r="DD12" s="3" t="n"/>
      <c r="DE12" s="3" t="n"/>
      <c r="DF12" s="3" t="n"/>
      <c r="DG12" s="3" t="n"/>
      <c r="DH12" s="3" t="n"/>
      <c r="DI12" s="3" t="n"/>
      <c r="DJ12" s="3" t="n"/>
      <c r="DK12" s="3" t="n"/>
      <c r="DL12" s="3" t="n"/>
      <c r="DM12" s="3" t="n"/>
      <c r="DN12" s="3" t="n"/>
      <c r="DO12" s="3" t="n"/>
      <c r="DP12" s="3" t="n"/>
      <c r="DQ12" s="3" t="n"/>
      <c r="DR12" s="3" t="n"/>
      <c r="DS12" s="3" t="n"/>
      <c r="DT12" s="3" t="n"/>
      <c r="DU12" s="3" t="n"/>
      <c r="DV12" s="3" t="n"/>
      <c r="DW12" s="3" t="n"/>
      <c r="DX12" s="3" t="n"/>
      <c r="DY12" s="3" t="n"/>
      <c r="DZ12" s="3" t="n"/>
      <c r="EA12" s="3" t="n"/>
      <c r="EB12" s="3" t="n"/>
      <c r="EC12" s="3" t="n"/>
      <c r="ED12" s="3" t="n"/>
      <c r="EE12" s="3" t="n"/>
      <c r="EF12" s="3" t="n"/>
      <c r="EG12" s="3" t="n"/>
      <c r="EH12" s="3" t="n"/>
      <c r="EI12" s="3" t="n"/>
      <c r="EJ12" s="3" t="n"/>
      <c r="EK12" s="3" t="n"/>
      <c r="EL12" s="3" t="n"/>
      <c r="EM12" s="3" t="n"/>
      <c r="EN12" s="3" t="n"/>
      <c r="EO12" s="3" t="n"/>
      <c r="EP12" s="3" t="n"/>
      <c r="EQ12" s="3" t="n"/>
      <c r="ER12" s="3" t="n"/>
      <c r="ES12" s="3" t="n"/>
      <c r="ET12" s="3" t="n"/>
      <c r="EU12" s="3" t="n"/>
      <c r="EV12" s="3" t="n"/>
      <c r="EW12" s="3" t="n"/>
      <c r="EX12" s="3" t="n"/>
      <c r="EY12" s="3" t="n"/>
      <c r="EZ12" s="3" t="n"/>
      <c r="FA12" s="3" t="n"/>
      <c r="FB12" s="3" t="n"/>
      <c r="FC12" s="3" t="n"/>
      <c r="FD12" s="3" t="n"/>
      <c r="FE12" s="3" t="n"/>
      <c r="FF12" s="3" t="n"/>
      <c r="FG12" s="3" t="n"/>
      <c r="FH12" s="3" t="n"/>
      <c r="FI12" s="3" t="n"/>
      <c r="FJ12" s="3" t="n"/>
      <c r="FK12" s="3" t="n"/>
      <c r="FL12" s="3" t="n"/>
      <c r="FM12" s="3" t="n"/>
      <c r="FN12" s="3" t="n"/>
      <c r="FO12" s="3" t="n"/>
      <c r="FP12" s="3" t="n"/>
      <c r="FQ12" s="3" t="n"/>
      <c r="FR12" s="3" t="n"/>
      <c r="FS12" s="3" t="n"/>
      <c r="FT12" s="3" t="n"/>
      <c r="FU12" s="3" t="n"/>
      <c r="FV12" s="3" t="n"/>
      <c r="FW12" s="3" t="n"/>
      <c r="FX12" s="3" t="n"/>
      <c r="FY12" s="3" t="n"/>
      <c r="FZ12" s="3" t="n"/>
      <c r="GA12" s="3" t="n"/>
      <c r="GB12" s="3" t="n"/>
      <c r="GC12" s="3" t="n"/>
      <c r="GD12" s="3" t="n"/>
      <c r="GE12" s="3" t="n"/>
      <c r="GF12" s="3" t="n"/>
      <c r="GG12" s="3" t="n"/>
      <c r="GH12" s="3" t="n"/>
      <c r="GI12" s="3" t="n"/>
      <c r="GJ12" s="3" t="n"/>
      <c r="GK12" s="3" t="n"/>
      <c r="GL12" s="3" t="n"/>
      <c r="GM12" s="3" t="n"/>
      <c r="GN12" s="3" t="n"/>
      <c r="GO12" s="3" t="n"/>
      <c r="GP12" s="3" t="n"/>
      <c r="GQ12" s="3" t="n"/>
      <c r="GR12" s="3" t="n"/>
      <c r="GS12" s="3" t="n"/>
      <c r="GT12" s="3" t="n"/>
      <c r="GU12" s="3" t="n"/>
      <c r="GV12" s="3" t="n"/>
      <c r="GW12" s="3" t="n"/>
      <c r="GX12" s="3" t="n"/>
      <c r="GY12" s="3" t="n"/>
      <c r="GZ12" s="3" t="n"/>
      <c r="HA12" s="3" t="n"/>
      <c r="HB12" s="3" t="n"/>
      <c r="HC12" s="3" t="n"/>
      <c r="HD12" s="3" t="n"/>
      <c r="HE12" s="3" t="n"/>
      <c r="HF12" s="3" t="n"/>
      <c r="HG12" s="3" t="n"/>
      <c r="HH12" s="3" t="n"/>
      <c r="HI12" s="3" t="n"/>
      <c r="HJ12" s="3" t="n"/>
      <c r="HK12" s="3" t="n"/>
      <c r="HL12" s="3" t="n"/>
      <c r="HM12" s="3" t="n"/>
      <c r="HN12" s="3" t="n"/>
      <c r="HO12" s="3" t="n"/>
      <c r="HP12" s="3" t="n"/>
      <c r="HQ12" s="3" t="n"/>
      <c r="HR12" s="3" t="n"/>
      <c r="HS12" s="3" t="n"/>
      <c r="HT12" s="3" t="n"/>
      <c r="HU12" s="3" t="n"/>
      <c r="HV12" s="3" t="n"/>
      <c r="HW12" s="3" t="n"/>
      <c r="HX12" s="3" t="n"/>
      <c r="HY12" s="3" t="n"/>
      <c r="HZ12" s="3" t="n"/>
      <c r="IA12" s="3" t="n"/>
      <c r="IB12" s="3" t="n"/>
      <c r="IC12" s="3" t="n"/>
      <c r="ID12" s="3" t="n"/>
      <c r="IE12" s="3" t="n"/>
      <c r="IF12" s="3" t="n"/>
      <c r="IG12" s="3" t="n"/>
      <c r="IH12" s="3" t="n"/>
      <c r="II12" s="3" t="n"/>
      <c r="IJ12" s="3" t="n"/>
      <c r="IK12" s="3" t="n"/>
      <c r="IL12" s="3" t="n"/>
      <c r="IM12" s="3" t="n"/>
      <c r="IN12" s="3" t="n"/>
      <c r="IO12" s="3" t="n"/>
      <c r="IP12" s="3" t="n"/>
      <c r="IQ12" s="3" t="n"/>
      <c r="IR12" s="3" t="n"/>
      <c r="IS12" s="3" t="n"/>
      <c r="IT12" s="3" t="n"/>
      <c r="IU12" s="3" t="n"/>
      <c r="IV12" s="3" t="n"/>
      <c r="IW12" s="3" t="n"/>
      <c r="IX12" s="3" t="n"/>
      <c r="IY12" s="3" t="n"/>
      <c r="IZ12" s="3" t="n"/>
    </row>
    <row r="13">
      <c r="A13" s="44" t="inlineStr">
        <is>
          <t>atp</t>
        </is>
      </c>
      <c r="B13" s="3" t="inlineStr">
        <is>
          <t>nga</t>
        </is>
      </c>
      <c r="C13" s="3" t="inlineStr">
        <is>
          <t>res</t>
        </is>
      </c>
      <c r="D13" s="133" t="n">
        <v>1</v>
      </c>
      <c r="E13" s="3" t="n"/>
      <c r="H13" s="3" t="inlineStr">
        <is>
          <t>After-tax price | Residential | Natural gas</t>
        </is>
      </c>
      <c r="I13" s="3" t="inlineStr">
        <is>
          <t>USD/GJ real</t>
        </is>
      </c>
      <c r="J13" s="3" t="inlineStr">
        <is>
          <t>Mitigation section 19a</t>
        </is>
      </c>
      <c r="K13" s="3" t="inlineStr">
        <is>
          <t>egy.mit.atp.res.nga.1</t>
        </is>
      </c>
      <c r="L13" s="196" t="n">
        <v>4.956488507231395</v>
      </c>
      <c r="M13" s="196" t="n">
        <v>2.734846935064834</v>
      </c>
      <c r="N13" s="196" t="n">
        <v>1.797160127284108</v>
      </c>
      <c r="O13" s="196" t="n">
        <v>1.797160127284108</v>
      </c>
      <c r="P13" s="196" t="n">
        <v>1.797160127284108</v>
      </c>
      <c r="Q13" s="196" t="n">
        <v>1.797160127284108</v>
      </c>
      <c r="R13" s="196" t="n">
        <v>1.797160127284108</v>
      </c>
      <c r="S13" s="196" t="n">
        <v>1.797160127284108</v>
      </c>
      <c r="T13" s="196" t="n">
        <v>1.797160127284108</v>
      </c>
      <c r="U13" s="196" t="n">
        <v>1.797160127284108</v>
      </c>
      <c r="V13" s="196" t="n">
        <v>1.797160127284108</v>
      </c>
      <c r="W13" s="196" t="n">
        <v>1.797160127284108</v>
      </c>
      <c r="X13" s="196" t="n">
        <v>1.797160127284108</v>
      </c>
      <c r="Y13" s="196" t="n">
        <v>1.797160127284108</v>
      </c>
      <c r="Z13" s="196" t="n">
        <v>1.797160127284108</v>
      </c>
      <c r="AA13" s="196" t="n">
        <v>1.797160127284108</v>
      </c>
      <c r="AB13" s="196" t="n">
        <v>1.797160127284108</v>
      </c>
      <c r="AC13" s="196" t="n">
        <v>1.797160127284108</v>
      </c>
      <c r="AD13" s="196" t="n">
        <v>1.797160127284108</v>
      </c>
      <c r="AE13" s="196" t="n">
        <v>1.797160127284108</v>
      </c>
      <c r="AF13" s="3" t="n"/>
      <c r="AG13" s="3" t="inlineStr">
        <is>
          <t>egy.mit.atp.res.nga.2</t>
        </is>
      </c>
      <c r="AH13" s="196" t="n">
        <v>4.956488507231395</v>
      </c>
      <c r="AI13" s="196" t="n">
        <v>2.734846935064834</v>
      </c>
      <c r="AJ13" s="196" t="n">
        <v>1.797160127284108</v>
      </c>
      <c r="AK13" s="196" t="n">
        <v>1.797160127284108</v>
      </c>
      <c r="AL13" s="196" t="n">
        <v>1.797160127284108</v>
      </c>
      <c r="AM13" s="196" t="n">
        <v>2.908183250485052</v>
      </c>
      <c r="AN13" s="196" t="n">
        <v>2.908183250485052</v>
      </c>
      <c r="AO13" s="196" t="n">
        <v>2.908183250485052</v>
      </c>
      <c r="AP13" s="196" t="n">
        <v>2.908183250485052</v>
      </c>
      <c r="AQ13" s="196" t="n">
        <v>2.908183250485052</v>
      </c>
      <c r="AR13" s="196" t="n">
        <v>2.908183250485052</v>
      </c>
      <c r="AS13" s="196" t="n">
        <v>2.908183250485052</v>
      </c>
      <c r="AT13" s="196" t="n">
        <v>2.908183250485052</v>
      </c>
      <c r="AU13" s="196" t="n">
        <v>2.908183250485052</v>
      </c>
      <c r="AV13" s="196" t="n">
        <v>2.908183250485052</v>
      </c>
      <c r="AW13" s="196" t="n">
        <v>2.908183250485052</v>
      </c>
      <c r="AX13" s="196" t="n">
        <v>2.908183250485052</v>
      </c>
      <c r="AY13" s="196" t="n">
        <v>2.908183250485052</v>
      </c>
      <c r="AZ13" s="196" t="n">
        <v>2.908183250485052</v>
      </c>
      <c r="BA13" s="196" t="n">
        <v>2.908183250485052</v>
      </c>
      <c r="BB13" s="3" t="n"/>
      <c r="BC13" s="3" t="n"/>
      <c r="BD13" s="3" t="n"/>
      <c r="BE13" s="3" t="n"/>
      <c r="BF13" s="3" t="n"/>
      <c r="BG13" s="3" t="n"/>
      <c r="BH13" s="3" t="n"/>
      <c r="BI13" s="3" t="n"/>
      <c r="BJ13" s="3" t="n"/>
      <c r="BK13" s="3" t="n"/>
      <c r="BL13" s="3" t="n"/>
      <c r="BM13" s="3" t="n"/>
      <c r="BN13" s="3" t="n"/>
      <c r="BO13" s="3" t="n"/>
      <c r="BP13" s="3" t="n"/>
      <c r="BQ13" s="3" t="n"/>
      <c r="BR13" s="3" t="n"/>
      <c r="BS13" s="3" t="n"/>
      <c r="BT13" s="3" t="n"/>
      <c r="BU13" s="3" t="n"/>
      <c r="BV13" s="3" t="n"/>
      <c r="BW13" s="3" t="n"/>
      <c r="BX13" s="3" t="n"/>
      <c r="BY13" s="3" t="n"/>
      <c r="BZ13" s="3" t="n"/>
      <c r="CA13" s="3" t="n"/>
      <c r="CB13" s="3" t="n"/>
      <c r="CC13" s="3" t="n"/>
      <c r="CD13" s="3" t="n"/>
      <c r="CE13" s="3" t="n"/>
      <c r="CF13" s="3" t="n"/>
      <c r="CG13" s="3" t="n"/>
      <c r="CH13" s="3" t="n"/>
      <c r="CI13" s="3" t="n"/>
      <c r="CJ13" s="3" t="n"/>
      <c r="CK13" s="3" t="n"/>
      <c r="CL13" s="3" t="n"/>
      <c r="CM13" s="3" t="n"/>
      <c r="CN13" s="3" t="n"/>
      <c r="CO13" s="3" t="n"/>
      <c r="CP13" s="3" t="n"/>
      <c r="CQ13" s="3" t="n"/>
      <c r="CR13" s="3" t="n"/>
      <c r="CS13" s="3" t="n"/>
      <c r="CT13" s="3" t="n"/>
      <c r="CU13" s="3" t="n"/>
      <c r="CV13" s="3" t="n"/>
      <c r="CW13" s="3" t="n"/>
      <c r="CX13" s="3" t="n"/>
      <c r="CY13" s="3" t="n"/>
      <c r="CZ13" s="3" t="n"/>
      <c r="DA13" s="3" t="n"/>
      <c r="DB13" s="3" t="n"/>
      <c r="DC13" s="3" t="n"/>
      <c r="DD13" s="3" t="n"/>
      <c r="DE13" s="3" t="n"/>
      <c r="DF13" s="3" t="n"/>
      <c r="DG13" s="3" t="n"/>
      <c r="DH13" s="3" t="n"/>
      <c r="DI13" s="3" t="n"/>
      <c r="DJ13" s="3" t="n"/>
      <c r="DK13" s="3" t="n"/>
      <c r="DL13" s="3" t="n"/>
      <c r="DM13" s="3" t="n"/>
      <c r="DN13" s="3" t="n"/>
      <c r="DO13" s="3" t="n"/>
      <c r="DP13" s="3" t="n"/>
      <c r="DQ13" s="3" t="n"/>
      <c r="DR13" s="3" t="n"/>
      <c r="DS13" s="3" t="n"/>
      <c r="DT13" s="3" t="n"/>
      <c r="DU13" s="3" t="n"/>
      <c r="DV13" s="3" t="n"/>
      <c r="DW13" s="3" t="n"/>
      <c r="DX13" s="3" t="n"/>
      <c r="DY13" s="3" t="n"/>
      <c r="DZ13" s="3" t="n"/>
      <c r="EA13" s="3" t="n"/>
      <c r="EB13" s="3" t="n"/>
      <c r="EC13" s="3" t="n"/>
      <c r="ED13" s="3" t="n"/>
      <c r="EE13" s="3" t="n"/>
      <c r="EF13" s="3" t="n"/>
      <c r="EG13" s="3" t="n"/>
      <c r="EH13" s="3" t="n"/>
      <c r="EI13" s="3" t="n"/>
      <c r="EJ13" s="3" t="n"/>
      <c r="EK13" s="3" t="n"/>
      <c r="EL13" s="3" t="n"/>
      <c r="EM13" s="3" t="n"/>
      <c r="EN13" s="3" t="n"/>
      <c r="EO13" s="3" t="n"/>
      <c r="EP13" s="3" t="n"/>
      <c r="EQ13" s="3" t="n"/>
      <c r="ER13" s="3" t="n"/>
      <c r="ES13" s="3" t="n"/>
      <c r="ET13" s="3" t="n"/>
      <c r="EU13" s="3" t="n"/>
      <c r="EV13" s="3" t="n"/>
      <c r="EW13" s="3" t="n"/>
      <c r="EX13" s="3" t="n"/>
      <c r="EY13" s="3" t="n"/>
      <c r="EZ13" s="3" t="n"/>
      <c r="FA13" s="3" t="n"/>
      <c r="FB13" s="3" t="n"/>
      <c r="FC13" s="3" t="n"/>
      <c r="FD13" s="3" t="n"/>
      <c r="FE13" s="3" t="n"/>
      <c r="FF13" s="3" t="n"/>
      <c r="FG13" s="3" t="n"/>
      <c r="FH13" s="3" t="n"/>
      <c r="FI13" s="3" t="n"/>
      <c r="FJ13" s="3" t="n"/>
      <c r="FK13" s="3" t="n"/>
      <c r="FL13" s="3" t="n"/>
      <c r="FM13" s="3" t="n"/>
      <c r="FN13" s="3" t="n"/>
      <c r="FO13" s="3" t="n"/>
      <c r="FP13" s="3" t="n"/>
      <c r="FQ13" s="3" t="n"/>
      <c r="FR13" s="3" t="n"/>
      <c r="FS13" s="3" t="n"/>
      <c r="FT13" s="3" t="n"/>
      <c r="FU13" s="3" t="n"/>
      <c r="FV13" s="3" t="n"/>
      <c r="FW13" s="3" t="n"/>
      <c r="FX13" s="3" t="n"/>
      <c r="FY13" s="3" t="n"/>
      <c r="FZ13" s="3" t="n"/>
      <c r="GA13" s="3" t="n"/>
      <c r="GB13" s="3" t="n"/>
      <c r="GC13" s="3" t="n"/>
      <c r="GD13" s="3" t="n"/>
      <c r="GE13" s="3" t="n"/>
      <c r="GF13" s="3" t="n"/>
      <c r="GG13" s="3" t="n"/>
      <c r="GH13" s="3" t="n"/>
      <c r="GI13" s="3" t="n"/>
      <c r="GJ13" s="3" t="n"/>
      <c r="GK13" s="3" t="n"/>
      <c r="GL13" s="3" t="n"/>
      <c r="GM13" s="3" t="n"/>
      <c r="GN13" s="3" t="n"/>
      <c r="GO13" s="3" t="n"/>
      <c r="GP13" s="3" t="n"/>
      <c r="GQ13" s="3" t="n"/>
      <c r="GR13" s="3" t="n"/>
      <c r="GS13" s="3" t="n"/>
      <c r="GT13" s="3" t="n"/>
      <c r="GU13" s="3" t="n"/>
      <c r="GV13" s="3" t="n"/>
      <c r="GW13" s="3" t="n"/>
      <c r="GX13" s="3" t="n"/>
      <c r="GY13" s="3" t="n"/>
      <c r="GZ13" s="3" t="n"/>
      <c r="HA13" s="3" t="n"/>
      <c r="HB13" s="3" t="n"/>
      <c r="HC13" s="3" t="n"/>
      <c r="HD13" s="3" t="n"/>
      <c r="HE13" s="3" t="n"/>
      <c r="HF13" s="3" t="n"/>
      <c r="HG13" s="3" t="n"/>
      <c r="HH13" s="3" t="n"/>
      <c r="HI13" s="3" t="n"/>
      <c r="HJ13" s="3" t="n"/>
      <c r="HK13" s="3" t="n"/>
      <c r="HL13" s="3" t="n"/>
      <c r="HM13" s="3" t="n"/>
      <c r="HN13" s="3" t="n"/>
      <c r="HO13" s="3" t="n"/>
      <c r="HP13" s="3" t="n"/>
      <c r="HQ13" s="3" t="n"/>
      <c r="HR13" s="3" t="n"/>
      <c r="HS13" s="3" t="n"/>
      <c r="HT13" s="3" t="n"/>
      <c r="HU13" s="3" t="n"/>
      <c r="HV13" s="3" t="n"/>
      <c r="HW13" s="3" t="n"/>
      <c r="HX13" s="3" t="n"/>
      <c r="HY13" s="3" t="n"/>
      <c r="HZ13" s="3" t="n"/>
      <c r="IA13" s="3" t="n"/>
      <c r="IB13" s="3" t="n"/>
      <c r="IC13" s="3" t="n"/>
      <c r="ID13" s="3" t="n"/>
      <c r="IE13" s="3" t="n"/>
      <c r="IF13" s="3" t="n"/>
      <c r="IG13" s="3" t="n"/>
      <c r="IH13" s="3" t="n"/>
      <c r="II13" s="3" t="n"/>
      <c r="IJ13" s="3" t="n"/>
      <c r="IK13" s="3" t="n"/>
      <c r="IL13" s="3" t="n"/>
      <c r="IM13" s="3" t="n"/>
      <c r="IN13" s="3" t="n"/>
      <c r="IO13" s="3" t="n"/>
      <c r="IP13" s="3" t="n"/>
      <c r="IQ13" s="3" t="n"/>
      <c r="IR13" s="3" t="n"/>
      <c r="IS13" s="3" t="n"/>
      <c r="IT13" s="3" t="n"/>
      <c r="IU13" s="3" t="n"/>
      <c r="IV13" s="3" t="n"/>
      <c r="IW13" s="3" t="n"/>
      <c r="IX13" s="3" t="n"/>
      <c r="IY13" s="3" t="n"/>
      <c r="IZ13" s="3" t="n"/>
    </row>
    <row r="14">
      <c r="A14" s="44" t="inlineStr">
        <is>
          <t>atp</t>
        </is>
      </c>
      <c r="B14" s="3" t="inlineStr">
        <is>
          <t>oop</t>
        </is>
      </c>
      <c r="C14" s="3" t="inlineStr">
        <is>
          <t>res</t>
        </is>
      </c>
      <c r="D14" s="133" t="n">
        <v>1</v>
      </c>
      <c r="E14" s="3" t="n"/>
      <c r="H14" s="3" t="inlineStr">
        <is>
          <t>After-tax price | Residential | Other oil products</t>
        </is>
      </c>
      <c r="I14" s="3" t="inlineStr">
        <is>
          <t>USD/GJ real</t>
        </is>
      </c>
      <c r="J14" s="3" t="inlineStr">
        <is>
          <t>Mitigation section 19a</t>
        </is>
      </c>
      <c r="K14" s="3" t="inlineStr">
        <is>
          <t>egy.mit.atp.res.oop.1</t>
        </is>
      </c>
      <c r="L14" s="196" t="n">
        <v>4.863441586801505</v>
      </c>
      <c r="M14" s="196" t="n">
        <v>4.398444273684698</v>
      </c>
      <c r="N14" s="196" t="n">
        <v>4.185618044494788</v>
      </c>
      <c r="O14" s="196" t="n">
        <v>4.185618044494788</v>
      </c>
      <c r="P14" s="196" t="n">
        <v>4.185618044494788</v>
      </c>
      <c r="Q14" s="196" t="n">
        <v>4.185618044494788</v>
      </c>
      <c r="R14" s="196" t="n">
        <v>4.185618044494788</v>
      </c>
      <c r="S14" s="196" t="n">
        <v>4.185618044494788</v>
      </c>
      <c r="T14" s="196" t="n">
        <v>4.185618044494788</v>
      </c>
      <c r="U14" s="196" t="n">
        <v>4.185618044494788</v>
      </c>
      <c r="V14" s="196" t="n">
        <v>4.185618044494788</v>
      </c>
      <c r="W14" s="196" t="n">
        <v>4.185618044494788</v>
      </c>
      <c r="X14" s="196" t="n">
        <v>4.185618044494792</v>
      </c>
      <c r="Y14" s="196" t="n">
        <v>4.185618044494792</v>
      </c>
      <c r="Z14" s="196" t="n">
        <v>4.185618044494792</v>
      </c>
      <c r="AA14" s="196" t="n">
        <v>4.18561804449479</v>
      </c>
      <c r="AB14" s="196" t="n">
        <v>4.185618044494792</v>
      </c>
      <c r="AC14" s="196" t="n">
        <v>4.185618044494792</v>
      </c>
      <c r="AD14" s="196" t="n">
        <v>4.185618044494792</v>
      </c>
      <c r="AE14" s="196" t="n">
        <v>4.185618044494792</v>
      </c>
      <c r="AF14" s="3" t="n"/>
      <c r="AG14" s="3" t="inlineStr">
        <is>
          <t>egy.mit.atp.res.oop.2</t>
        </is>
      </c>
      <c r="AH14" s="196" t="n">
        <v>4.863441586801505</v>
      </c>
      <c r="AI14" s="196" t="n">
        <v>4.398444273684698</v>
      </c>
      <c r="AJ14" s="196" t="n">
        <v>4.185618044494788</v>
      </c>
      <c r="AK14" s="196" t="n">
        <v>4.185618044494788</v>
      </c>
      <c r="AL14" s="196" t="n">
        <v>4.185618044494788</v>
      </c>
      <c r="AM14" s="196" t="n">
        <v>5.712777068679598</v>
      </c>
      <c r="AN14" s="196" t="n">
        <v>5.712777068679598</v>
      </c>
      <c r="AO14" s="196" t="n">
        <v>5.712777068679598</v>
      </c>
      <c r="AP14" s="196" t="n">
        <v>5.712777068679598</v>
      </c>
      <c r="AQ14" s="196" t="n">
        <v>5.712777068679598</v>
      </c>
      <c r="AR14" s="196" t="n">
        <v>5.712777068679598</v>
      </c>
      <c r="AS14" s="196" t="n">
        <v>5.712777068679598</v>
      </c>
      <c r="AT14" s="196" t="n">
        <v>5.712777068679602</v>
      </c>
      <c r="AU14" s="196" t="n">
        <v>5.712777068679602</v>
      </c>
      <c r="AV14" s="196" t="n">
        <v>5.712777068679602</v>
      </c>
      <c r="AW14" s="196" t="n">
        <v>5.7127770686796</v>
      </c>
      <c r="AX14" s="196" t="n">
        <v>5.712777068679602</v>
      </c>
      <c r="AY14" s="196" t="n">
        <v>5.712777068679602</v>
      </c>
      <c r="AZ14" s="196" t="n">
        <v>5.712777068679602</v>
      </c>
      <c r="BA14" s="196" t="n">
        <v>5.712777068679602</v>
      </c>
      <c r="BB14" s="3" t="n"/>
      <c r="BC14" s="3" t="n"/>
      <c r="BD14" s="3" t="n"/>
      <c r="BE14" s="3" t="n"/>
      <c r="BF14" s="3" t="n"/>
      <c r="BG14" s="3" t="n"/>
      <c r="BH14" s="3" t="n"/>
      <c r="BI14" s="3" t="n"/>
      <c r="BJ14" s="3" t="n"/>
      <c r="BK14" s="3" t="n"/>
      <c r="BL14" s="3" t="n"/>
      <c r="BM14" s="3" t="n"/>
      <c r="BN14" s="3" t="n"/>
      <c r="BO14" s="3" t="n"/>
      <c r="BP14" s="3" t="n"/>
      <c r="BQ14" s="3" t="n"/>
      <c r="BR14" s="3" t="n"/>
      <c r="BS14" s="3" t="n"/>
      <c r="BT14" s="3" t="n"/>
      <c r="BU14" s="3" t="n"/>
      <c r="BV14" s="3" t="n"/>
      <c r="BW14" s="3" t="n"/>
      <c r="BX14" s="3" t="n"/>
      <c r="BY14" s="3" t="n"/>
      <c r="BZ14" s="3" t="n"/>
      <c r="CA14" s="3" t="n"/>
      <c r="CB14" s="3" t="n"/>
      <c r="CC14" s="3" t="n"/>
      <c r="CD14" s="3" t="n"/>
      <c r="CE14" s="3" t="n"/>
      <c r="CF14" s="3" t="n"/>
      <c r="CG14" s="3" t="n"/>
      <c r="CH14" s="3" t="n"/>
      <c r="CI14" s="3" t="n"/>
      <c r="CJ14" s="3" t="n"/>
      <c r="CK14" s="3" t="n"/>
      <c r="CL14" s="3" t="n"/>
      <c r="CM14" s="3" t="n"/>
      <c r="CN14" s="3" t="n"/>
      <c r="CO14" s="3" t="n"/>
      <c r="CP14" s="3" t="n"/>
      <c r="CQ14" s="3" t="n"/>
      <c r="CR14" s="3" t="n"/>
      <c r="CS14" s="3" t="n"/>
      <c r="CT14" s="3" t="n"/>
      <c r="CU14" s="3" t="n"/>
      <c r="CV14" s="3" t="n"/>
      <c r="CW14" s="3" t="n"/>
      <c r="CX14" s="3" t="n"/>
      <c r="CY14" s="3" t="n"/>
      <c r="CZ14" s="3" t="n"/>
      <c r="DA14" s="3" t="n"/>
      <c r="DB14" s="3" t="n"/>
      <c r="DC14" s="3" t="n"/>
      <c r="DD14" s="3" t="n"/>
      <c r="DE14" s="3" t="n"/>
      <c r="DF14" s="3" t="n"/>
      <c r="DG14" s="3" t="n"/>
      <c r="DH14" s="3" t="n"/>
      <c r="DI14" s="3" t="n"/>
      <c r="DJ14" s="3" t="n"/>
      <c r="DK14" s="3" t="n"/>
      <c r="DL14" s="3" t="n"/>
      <c r="DM14" s="3" t="n"/>
      <c r="DN14" s="3" t="n"/>
      <c r="DO14" s="3" t="n"/>
      <c r="DP14" s="3" t="n"/>
      <c r="DQ14" s="3" t="n"/>
      <c r="DR14" s="3" t="n"/>
      <c r="DS14" s="3" t="n"/>
      <c r="DT14" s="3" t="n"/>
      <c r="DU14" s="3" t="n"/>
      <c r="DV14" s="3" t="n"/>
      <c r="DW14" s="3" t="n"/>
      <c r="DX14" s="3" t="n"/>
      <c r="DY14" s="3" t="n"/>
      <c r="DZ14" s="3" t="n"/>
      <c r="EA14" s="3" t="n"/>
      <c r="EB14" s="3" t="n"/>
      <c r="EC14" s="3" t="n"/>
      <c r="ED14" s="3" t="n"/>
      <c r="EE14" s="3" t="n"/>
      <c r="EF14" s="3" t="n"/>
      <c r="EG14" s="3" t="n"/>
      <c r="EH14" s="3" t="n"/>
      <c r="EI14" s="3" t="n"/>
      <c r="EJ14" s="3" t="n"/>
      <c r="EK14" s="3" t="n"/>
      <c r="EL14" s="3" t="n"/>
      <c r="EM14" s="3" t="n"/>
      <c r="EN14" s="3" t="n"/>
      <c r="EO14" s="3" t="n"/>
      <c r="EP14" s="3" t="n"/>
      <c r="EQ14" s="3" t="n"/>
      <c r="ER14" s="3" t="n"/>
      <c r="ES14" s="3" t="n"/>
      <c r="ET14" s="3" t="n"/>
      <c r="EU14" s="3" t="n"/>
      <c r="EV14" s="3" t="n"/>
      <c r="EW14" s="3" t="n"/>
      <c r="EX14" s="3" t="n"/>
      <c r="EY14" s="3" t="n"/>
      <c r="EZ14" s="3" t="n"/>
      <c r="FA14" s="3" t="n"/>
      <c r="FB14" s="3" t="n"/>
      <c r="FC14" s="3" t="n"/>
      <c r="FD14" s="3" t="n"/>
      <c r="FE14" s="3" t="n"/>
      <c r="FF14" s="3" t="n"/>
      <c r="FG14" s="3" t="n"/>
      <c r="FH14" s="3" t="n"/>
      <c r="FI14" s="3" t="n"/>
      <c r="FJ14" s="3" t="n"/>
      <c r="FK14" s="3" t="n"/>
      <c r="FL14" s="3" t="n"/>
      <c r="FM14" s="3" t="n"/>
      <c r="FN14" s="3" t="n"/>
      <c r="FO14" s="3" t="n"/>
      <c r="FP14" s="3" t="n"/>
      <c r="FQ14" s="3" t="n"/>
      <c r="FR14" s="3" t="n"/>
      <c r="FS14" s="3" t="n"/>
      <c r="FT14" s="3" t="n"/>
      <c r="FU14" s="3" t="n"/>
      <c r="FV14" s="3" t="n"/>
      <c r="FW14" s="3" t="n"/>
      <c r="FX14" s="3" t="n"/>
      <c r="FY14" s="3" t="n"/>
      <c r="FZ14" s="3" t="n"/>
      <c r="GA14" s="3" t="n"/>
      <c r="GB14" s="3" t="n"/>
      <c r="GC14" s="3" t="n"/>
      <c r="GD14" s="3" t="n"/>
      <c r="GE14" s="3" t="n"/>
      <c r="GF14" s="3" t="n"/>
      <c r="GG14" s="3" t="n"/>
      <c r="GH14" s="3" t="n"/>
      <c r="GI14" s="3" t="n"/>
      <c r="GJ14" s="3" t="n"/>
      <c r="GK14" s="3" t="n"/>
      <c r="GL14" s="3" t="n"/>
      <c r="GM14" s="3" t="n"/>
      <c r="GN14" s="3" t="n"/>
      <c r="GO14" s="3" t="n"/>
      <c r="GP14" s="3" t="n"/>
      <c r="GQ14" s="3" t="n"/>
      <c r="GR14" s="3" t="n"/>
      <c r="GS14" s="3" t="n"/>
      <c r="GT14" s="3" t="n"/>
      <c r="GU14" s="3" t="n"/>
      <c r="GV14" s="3" t="n"/>
      <c r="GW14" s="3" t="n"/>
      <c r="GX14" s="3" t="n"/>
      <c r="GY14" s="3" t="n"/>
      <c r="GZ14" s="3" t="n"/>
      <c r="HA14" s="3" t="n"/>
      <c r="HB14" s="3" t="n"/>
      <c r="HC14" s="3" t="n"/>
      <c r="HD14" s="3" t="n"/>
      <c r="HE14" s="3" t="n"/>
      <c r="HF14" s="3" t="n"/>
      <c r="HG14" s="3" t="n"/>
      <c r="HH14" s="3" t="n"/>
      <c r="HI14" s="3" t="n"/>
      <c r="HJ14" s="3" t="n"/>
      <c r="HK14" s="3" t="n"/>
      <c r="HL14" s="3" t="n"/>
      <c r="HM14" s="3" t="n"/>
      <c r="HN14" s="3" t="n"/>
      <c r="HO14" s="3" t="n"/>
      <c r="HP14" s="3" t="n"/>
      <c r="HQ14" s="3" t="n"/>
      <c r="HR14" s="3" t="n"/>
      <c r="HS14" s="3" t="n"/>
      <c r="HT14" s="3" t="n"/>
      <c r="HU14" s="3" t="n"/>
      <c r="HV14" s="3" t="n"/>
      <c r="HW14" s="3" t="n"/>
      <c r="HX14" s="3" t="n"/>
      <c r="HY14" s="3" t="n"/>
      <c r="HZ14" s="3" t="n"/>
      <c r="IA14" s="3" t="n"/>
      <c r="IB14" s="3" t="n"/>
      <c r="IC14" s="3" t="n"/>
      <c r="ID14" s="3" t="n"/>
      <c r="IE14" s="3" t="n"/>
      <c r="IF14" s="3" t="n"/>
      <c r="IG14" s="3" t="n"/>
      <c r="IH14" s="3" t="n"/>
      <c r="II14" s="3" t="n"/>
      <c r="IJ14" s="3" t="n"/>
      <c r="IK14" s="3" t="n"/>
      <c r="IL14" s="3" t="n"/>
      <c r="IM14" s="3" t="n"/>
      <c r="IN14" s="3" t="n"/>
      <c r="IO14" s="3" t="n"/>
      <c r="IP14" s="3" t="n"/>
      <c r="IQ14" s="3" t="n"/>
      <c r="IR14" s="3" t="n"/>
      <c r="IS14" s="3" t="n"/>
      <c r="IT14" s="3" t="n"/>
      <c r="IU14" s="3" t="n"/>
      <c r="IV14" s="3" t="n"/>
      <c r="IW14" s="3" t="n"/>
      <c r="IX14" s="3" t="n"/>
      <c r="IY14" s="3" t="n"/>
      <c r="IZ14" s="3" t="n"/>
    </row>
    <row r="15">
      <c r="A15" s="44" t="inlineStr">
        <is>
          <t>atp</t>
        </is>
      </c>
      <c r="B15" s="3" t="inlineStr">
        <is>
          <t>gso</t>
        </is>
      </c>
      <c r="C15" s="3" t="inlineStr">
        <is>
          <t>res</t>
        </is>
      </c>
      <c r="D15" s="133" t="n">
        <v>1</v>
      </c>
      <c r="E15" s="3" t="n"/>
      <c r="H15" s="3" t="inlineStr">
        <is>
          <t>After-tax price | Residential | Gasoline</t>
        </is>
      </c>
      <c r="I15" s="3" t="inlineStr">
        <is>
          <t>USD/GJ real</t>
        </is>
      </c>
      <c r="J15" s="3" t="inlineStr">
        <is>
          <t>Mitigation section 19a</t>
        </is>
      </c>
      <c r="K15" s="3" t="inlineStr">
        <is>
          <t>egy.mit.atp.res.gso.1</t>
        </is>
      </c>
      <c r="L15" s="196" t="n">
        <v>18.10713099918123</v>
      </c>
      <c r="M15" s="196" t="n">
        <v>11.32867536386198</v>
      </c>
      <c r="N15" s="196" t="n">
        <v>9.145040758911087</v>
      </c>
      <c r="O15" s="196" t="n">
        <v>9.145040758911087</v>
      </c>
      <c r="P15" s="196" t="n">
        <v>9.145040758911087</v>
      </c>
      <c r="Q15" s="196" t="n">
        <v>9.145040758911087</v>
      </c>
      <c r="R15" s="196" t="n">
        <v>9.145040758911087</v>
      </c>
      <c r="S15" s="196" t="n">
        <v>9.145040758911087</v>
      </c>
      <c r="T15" s="196" t="n">
        <v>9.145040758911087</v>
      </c>
      <c r="U15" s="196" t="n">
        <v>9.145040758911087</v>
      </c>
      <c r="V15" s="196" t="n">
        <v>9.145040758911087</v>
      </c>
      <c r="W15" s="196" t="n">
        <v>9.145040758911087</v>
      </c>
      <c r="X15" s="196" t="n">
        <v>9.14504075891109</v>
      </c>
      <c r="Y15" s="196" t="n">
        <v>9.14504075891109</v>
      </c>
      <c r="Z15" s="196" t="n">
        <v>9.14504075891109</v>
      </c>
      <c r="AA15" s="196" t="n">
        <v>9.14504075891109</v>
      </c>
      <c r="AB15" s="196" t="n">
        <v>9.14504075891109</v>
      </c>
      <c r="AC15" s="196" t="n">
        <v>9.14504075891109</v>
      </c>
      <c r="AD15" s="196" t="n">
        <v>9.14504075891109</v>
      </c>
      <c r="AE15" s="196" t="n">
        <v>9.145040758911094</v>
      </c>
      <c r="AF15" s="3" t="n"/>
      <c r="AG15" s="3" t="inlineStr">
        <is>
          <t>egy.mit.atp.res.gso.2</t>
        </is>
      </c>
      <c r="AH15" s="196" t="n">
        <v>18.10713099918123</v>
      </c>
      <c r="AI15" s="196" t="n">
        <v>11.32867536386198</v>
      </c>
      <c r="AJ15" s="196" t="n">
        <v>9.145040758911087</v>
      </c>
      <c r="AK15" s="196" t="n">
        <v>9.145040758911087</v>
      </c>
      <c r="AL15" s="196" t="n">
        <v>9.145040758911087</v>
      </c>
      <c r="AM15" s="196" t="n">
        <v>10.51002624656415</v>
      </c>
      <c r="AN15" s="196" t="n">
        <v>10.51002624656415</v>
      </c>
      <c r="AO15" s="196" t="n">
        <v>10.51002624656415</v>
      </c>
      <c r="AP15" s="196" t="n">
        <v>10.51002624656415</v>
      </c>
      <c r="AQ15" s="196" t="n">
        <v>10.51002624656415</v>
      </c>
      <c r="AR15" s="196" t="n">
        <v>10.51002624656415</v>
      </c>
      <c r="AS15" s="196" t="n">
        <v>10.51002624656415</v>
      </c>
      <c r="AT15" s="196" t="n">
        <v>10.51002624656415</v>
      </c>
      <c r="AU15" s="196" t="n">
        <v>10.51002624656415</v>
      </c>
      <c r="AV15" s="196" t="n">
        <v>10.51002624656415</v>
      </c>
      <c r="AW15" s="196" t="n">
        <v>10.51002624656415</v>
      </c>
      <c r="AX15" s="196" t="n">
        <v>10.51002624656415</v>
      </c>
      <c r="AY15" s="196" t="n">
        <v>10.51002624656415</v>
      </c>
      <c r="AZ15" s="196" t="n">
        <v>10.51002624656415</v>
      </c>
      <c r="BA15" s="196" t="n">
        <v>10.51002624656415</v>
      </c>
      <c r="BB15" s="3" t="n"/>
      <c r="BC15" s="3" t="n"/>
      <c r="BD15" s="3" t="n"/>
      <c r="BE15" s="3" t="n"/>
      <c r="BF15" s="3" t="n"/>
      <c r="BG15" s="3" t="n"/>
      <c r="BH15" s="3" t="n"/>
      <c r="BI15" s="3" t="n"/>
      <c r="BJ15" s="3" t="n"/>
      <c r="BK15" s="3" t="n"/>
      <c r="BL15" s="3" t="n"/>
      <c r="BM15" s="3" t="n"/>
      <c r="BN15" s="3" t="n"/>
      <c r="BO15" s="3" t="n"/>
      <c r="BP15" s="3" t="n"/>
      <c r="BQ15" s="3" t="n"/>
      <c r="BR15" s="3" t="n"/>
      <c r="BS15" s="3" t="n"/>
      <c r="BT15" s="3" t="n"/>
      <c r="BU15" s="3" t="n"/>
      <c r="BV15" s="3" t="n"/>
      <c r="BW15" s="3" t="n"/>
      <c r="BX15" s="3" t="n"/>
      <c r="BY15" s="3" t="n"/>
      <c r="BZ15" s="3" t="n"/>
      <c r="CA15" s="3" t="n"/>
      <c r="CB15" s="3" t="n"/>
      <c r="CC15" s="3" t="n"/>
      <c r="CD15" s="3" t="n"/>
      <c r="CE15" s="3" t="n"/>
      <c r="CF15" s="3" t="n"/>
      <c r="CG15" s="3" t="n"/>
      <c r="CH15" s="3" t="n"/>
      <c r="CI15" s="3" t="n"/>
      <c r="CJ15" s="3" t="n"/>
      <c r="CK15" s="3" t="n"/>
      <c r="CL15" s="3" t="n"/>
      <c r="CM15" s="3" t="n"/>
      <c r="CN15" s="3" t="n"/>
      <c r="CO15" s="3" t="n"/>
      <c r="CP15" s="3" t="n"/>
      <c r="CQ15" s="3" t="n"/>
      <c r="CR15" s="3" t="n"/>
      <c r="CS15" s="3" t="n"/>
      <c r="CT15" s="3" t="n"/>
      <c r="CU15" s="3" t="n"/>
      <c r="CV15" s="3" t="n"/>
      <c r="CW15" s="3" t="n"/>
      <c r="CX15" s="3" t="n"/>
      <c r="CY15" s="3" t="n"/>
      <c r="CZ15" s="3" t="n"/>
      <c r="DA15" s="3" t="n"/>
      <c r="DB15" s="3" t="n"/>
      <c r="DC15" s="3" t="n"/>
      <c r="DD15" s="3" t="n"/>
      <c r="DE15" s="3" t="n"/>
      <c r="DF15" s="3" t="n"/>
      <c r="DG15" s="3" t="n"/>
      <c r="DH15" s="3" t="n"/>
      <c r="DI15" s="3" t="n"/>
      <c r="DJ15" s="3" t="n"/>
      <c r="DK15" s="3" t="n"/>
      <c r="DL15" s="3" t="n"/>
      <c r="DM15" s="3" t="n"/>
      <c r="DN15" s="3" t="n"/>
      <c r="DO15" s="3" t="n"/>
      <c r="DP15" s="3" t="n"/>
      <c r="DQ15" s="3" t="n"/>
      <c r="DR15" s="3" t="n"/>
      <c r="DS15" s="3" t="n"/>
      <c r="DT15" s="3" t="n"/>
      <c r="DU15" s="3" t="n"/>
      <c r="DV15" s="3" t="n"/>
      <c r="DW15" s="3" t="n"/>
      <c r="DX15" s="3" t="n"/>
      <c r="DY15" s="3" t="n"/>
      <c r="DZ15" s="3" t="n"/>
      <c r="EA15" s="3" t="n"/>
      <c r="EB15" s="3" t="n"/>
      <c r="EC15" s="3" t="n"/>
      <c r="ED15" s="3" t="n"/>
      <c r="EE15" s="3" t="n"/>
      <c r="EF15" s="3" t="n"/>
      <c r="EG15" s="3" t="n"/>
      <c r="EH15" s="3" t="n"/>
      <c r="EI15" s="3" t="n"/>
      <c r="EJ15" s="3" t="n"/>
      <c r="EK15" s="3" t="n"/>
      <c r="EL15" s="3" t="n"/>
      <c r="EM15" s="3" t="n"/>
      <c r="EN15" s="3" t="n"/>
      <c r="EO15" s="3" t="n"/>
      <c r="EP15" s="3" t="n"/>
      <c r="EQ15" s="3" t="n"/>
      <c r="ER15" s="3" t="n"/>
      <c r="ES15" s="3" t="n"/>
      <c r="ET15" s="3" t="n"/>
      <c r="EU15" s="3" t="n"/>
      <c r="EV15" s="3" t="n"/>
      <c r="EW15" s="3" t="n"/>
      <c r="EX15" s="3" t="n"/>
      <c r="EY15" s="3" t="n"/>
      <c r="EZ15" s="3" t="n"/>
      <c r="FA15" s="3" t="n"/>
      <c r="FB15" s="3" t="n"/>
      <c r="FC15" s="3" t="n"/>
      <c r="FD15" s="3" t="n"/>
      <c r="FE15" s="3" t="n"/>
      <c r="FF15" s="3" t="n"/>
      <c r="FG15" s="3" t="n"/>
      <c r="FH15" s="3" t="n"/>
      <c r="FI15" s="3" t="n"/>
      <c r="FJ15" s="3" t="n"/>
      <c r="FK15" s="3" t="n"/>
      <c r="FL15" s="3" t="n"/>
      <c r="FM15" s="3" t="n"/>
      <c r="FN15" s="3" t="n"/>
      <c r="FO15" s="3" t="n"/>
      <c r="FP15" s="3" t="n"/>
      <c r="FQ15" s="3" t="n"/>
      <c r="FR15" s="3" t="n"/>
      <c r="FS15" s="3" t="n"/>
      <c r="FT15" s="3" t="n"/>
      <c r="FU15" s="3" t="n"/>
      <c r="FV15" s="3" t="n"/>
      <c r="FW15" s="3" t="n"/>
      <c r="FX15" s="3" t="n"/>
      <c r="FY15" s="3" t="n"/>
      <c r="FZ15" s="3" t="n"/>
      <c r="GA15" s="3" t="n"/>
      <c r="GB15" s="3" t="n"/>
      <c r="GC15" s="3" t="n"/>
      <c r="GD15" s="3" t="n"/>
      <c r="GE15" s="3" t="n"/>
      <c r="GF15" s="3" t="n"/>
      <c r="GG15" s="3" t="n"/>
      <c r="GH15" s="3" t="n"/>
      <c r="GI15" s="3" t="n"/>
      <c r="GJ15" s="3" t="n"/>
      <c r="GK15" s="3" t="n"/>
      <c r="GL15" s="3" t="n"/>
      <c r="GM15" s="3" t="n"/>
      <c r="GN15" s="3" t="n"/>
      <c r="GO15" s="3" t="n"/>
      <c r="GP15" s="3" t="n"/>
      <c r="GQ15" s="3" t="n"/>
      <c r="GR15" s="3" t="n"/>
      <c r="GS15" s="3" t="n"/>
      <c r="GT15" s="3" t="n"/>
      <c r="GU15" s="3" t="n"/>
      <c r="GV15" s="3" t="n"/>
      <c r="GW15" s="3" t="n"/>
      <c r="GX15" s="3" t="n"/>
      <c r="GY15" s="3" t="n"/>
      <c r="GZ15" s="3" t="n"/>
      <c r="HA15" s="3" t="n"/>
      <c r="HB15" s="3" t="n"/>
      <c r="HC15" s="3" t="n"/>
      <c r="HD15" s="3" t="n"/>
      <c r="HE15" s="3" t="n"/>
      <c r="HF15" s="3" t="n"/>
      <c r="HG15" s="3" t="n"/>
      <c r="HH15" s="3" t="n"/>
      <c r="HI15" s="3" t="n"/>
      <c r="HJ15" s="3" t="n"/>
      <c r="HK15" s="3" t="n"/>
      <c r="HL15" s="3" t="n"/>
      <c r="HM15" s="3" t="n"/>
      <c r="HN15" s="3" t="n"/>
      <c r="HO15" s="3" t="n"/>
      <c r="HP15" s="3" t="n"/>
      <c r="HQ15" s="3" t="n"/>
      <c r="HR15" s="3" t="n"/>
      <c r="HS15" s="3" t="n"/>
      <c r="HT15" s="3" t="n"/>
      <c r="HU15" s="3" t="n"/>
      <c r="HV15" s="3" t="n"/>
      <c r="HW15" s="3" t="n"/>
      <c r="HX15" s="3" t="n"/>
      <c r="HY15" s="3" t="n"/>
      <c r="HZ15" s="3" t="n"/>
      <c r="IA15" s="3" t="n"/>
      <c r="IB15" s="3" t="n"/>
      <c r="IC15" s="3" t="n"/>
      <c r="ID15" s="3" t="n"/>
      <c r="IE15" s="3" t="n"/>
      <c r="IF15" s="3" t="n"/>
      <c r="IG15" s="3" t="n"/>
      <c r="IH15" s="3" t="n"/>
      <c r="II15" s="3" t="n"/>
      <c r="IJ15" s="3" t="n"/>
      <c r="IK15" s="3" t="n"/>
      <c r="IL15" s="3" t="n"/>
      <c r="IM15" s="3" t="n"/>
      <c r="IN15" s="3" t="n"/>
      <c r="IO15" s="3" t="n"/>
      <c r="IP15" s="3" t="n"/>
      <c r="IQ15" s="3" t="n"/>
      <c r="IR15" s="3" t="n"/>
      <c r="IS15" s="3" t="n"/>
      <c r="IT15" s="3" t="n"/>
      <c r="IU15" s="3" t="n"/>
      <c r="IV15" s="3" t="n"/>
      <c r="IW15" s="3" t="n"/>
      <c r="IX15" s="3" t="n"/>
      <c r="IY15" s="3" t="n"/>
      <c r="IZ15" s="3" t="n"/>
    </row>
    <row r="16">
      <c r="A16" s="44" t="inlineStr">
        <is>
          <t>atp</t>
        </is>
      </c>
      <c r="B16" s="3" t="inlineStr">
        <is>
          <t>die</t>
        </is>
      </c>
      <c r="C16" s="3" t="inlineStr">
        <is>
          <t>res</t>
        </is>
      </c>
      <c r="D16" s="133" t="n">
        <v>1</v>
      </c>
      <c r="E16" s="3" t="n"/>
      <c r="H16" s="3" t="inlineStr">
        <is>
          <t>After-tax price | Residential | Diesel</t>
        </is>
      </c>
      <c r="I16" s="3" t="inlineStr">
        <is>
          <t>USD/GJ real</t>
        </is>
      </c>
      <c r="J16" s="3" t="inlineStr">
        <is>
          <t>Mitigation section 19a</t>
        </is>
      </c>
      <c r="K16" s="3" t="inlineStr">
        <is>
          <t>egy.mit.atp.res.die.1</t>
        </is>
      </c>
      <c r="L16" s="196" t="n">
        <v>11.22829503955268</v>
      </c>
      <c r="M16" s="196" t="n">
        <v>7.749170417978281</v>
      </c>
      <c r="N16" s="196" t="n">
        <v>6.826689201296462</v>
      </c>
      <c r="O16" s="196" t="n">
        <v>6.826689201296462</v>
      </c>
      <c r="P16" s="196" t="n">
        <v>6.826689201296462</v>
      </c>
      <c r="Q16" s="196" t="n">
        <v>6.826689201296462</v>
      </c>
      <c r="R16" s="196" t="n">
        <v>6.826689201296462</v>
      </c>
      <c r="S16" s="196" t="n">
        <v>6.826689201296462</v>
      </c>
      <c r="T16" s="196" t="n">
        <v>6.826689201296462</v>
      </c>
      <c r="U16" s="196" t="n">
        <v>6.826689201296462</v>
      </c>
      <c r="V16" s="196" t="n">
        <v>6.826689201296462</v>
      </c>
      <c r="W16" s="196" t="n">
        <v>6.826689201296462</v>
      </c>
      <c r="X16" s="196" t="n">
        <v>6.826689201296466</v>
      </c>
      <c r="Y16" s="196" t="n">
        <v>6.826689201296466</v>
      </c>
      <c r="Z16" s="196" t="n">
        <v>6.826689201296466</v>
      </c>
      <c r="AA16" s="196" t="n">
        <v>6.826689201296462</v>
      </c>
      <c r="AB16" s="196" t="n">
        <v>6.826689201296462</v>
      </c>
      <c r="AC16" s="196" t="n">
        <v>6.826689201296462</v>
      </c>
      <c r="AD16" s="196" t="n">
        <v>6.826689201296462</v>
      </c>
      <c r="AE16" s="196" t="n">
        <v>6.826689201296462</v>
      </c>
      <c r="AF16" s="3" t="n"/>
      <c r="AG16" s="3" t="inlineStr">
        <is>
          <t>egy.mit.atp.res.die.2</t>
        </is>
      </c>
      <c r="AH16" s="196" t="n">
        <v>11.22829503955268</v>
      </c>
      <c r="AI16" s="196" t="n">
        <v>7.749170417978281</v>
      </c>
      <c r="AJ16" s="196" t="n">
        <v>6.826689201296462</v>
      </c>
      <c r="AK16" s="196" t="n">
        <v>6.826689201296462</v>
      </c>
      <c r="AL16" s="196" t="n">
        <v>6.826689201296462</v>
      </c>
      <c r="AM16" s="196" t="n">
        <v>8.288142556904873</v>
      </c>
      <c r="AN16" s="196" t="n">
        <v>8.288142556904873</v>
      </c>
      <c r="AO16" s="196" t="n">
        <v>8.288142556904873</v>
      </c>
      <c r="AP16" s="196" t="n">
        <v>8.288142556904873</v>
      </c>
      <c r="AQ16" s="196" t="n">
        <v>8.288142556904873</v>
      </c>
      <c r="AR16" s="196" t="n">
        <v>8.288142556904873</v>
      </c>
      <c r="AS16" s="196" t="n">
        <v>8.288142556904873</v>
      </c>
      <c r="AT16" s="196" t="n">
        <v>8.288142556904877</v>
      </c>
      <c r="AU16" s="196" t="n">
        <v>8.288142556904877</v>
      </c>
      <c r="AV16" s="196" t="n">
        <v>8.288142556904877</v>
      </c>
      <c r="AW16" s="196" t="n">
        <v>8.288142556904873</v>
      </c>
      <c r="AX16" s="196" t="n">
        <v>8.288142556904873</v>
      </c>
      <c r="AY16" s="196" t="n">
        <v>8.288142556904873</v>
      </c>
      <c r="AZ16" s="196" t="n">
        <v>8.288142556904873</v>
      </c>
      <c r="BA16" s="196" t="n">
        <v>8.288142556904873</v>
      </c>
      <c r="BB16" s="3" t="n"/>
      <c r="BC16" s="3" t="n"/>
      <c r="BD16" s="3" t="n"/>
      <c r="BE16" s="3" t="n"/>
      <c r="BF16" s="3" t="n"/>
      <c r="BG16" s="3" t="n"/>
      <c r="BH16" s="3" t="n"/>
      <c r="BI16" s="3" t="n"/>
      <c r="BJ16" s="3" t="n"/>
      <c r="BK16" s="3" t="n"/>
      <c r="BL16" s="3" t="n"/>
      <c r="BM16" s="3" t="n"/>
      <c r="BN16" s="3" t="n"/>
      <c r="BO16" s="3" t="n"/>
      <c r="BP16" s="3" t="n"/>
      <c r="BQ16" s="3" t="n"/>
      <c r="BR16" s="3" t="n"/>
      <c r="BS16" s="3" t="n"/>
      <c r="BT16" s="3" t="n"/>
      <c r="BU16" s="3" t="n"/>
      <c r="BV16" s="3" t="n"/>
      <c r="BW16" s="3" t="n"/>
      <c r="BX16" s="3" t="n"/>
      <c r="BY16" s="3" t="n"/>
      <c r="BZ16" s="3" t="n"/>
      <c r="CA16" s="3" t="n"/>
      <c r="CB16" s="3" t="n"/>
      <c r="CC16" s="3" t="n"/>
      <c r="CD16" s="3" t="n"/>
      <c r="CE16" s="3" t="n"/>
      <c r="CF16" s="3" t="n"/>
      <c r="CG16" s="3" t="n"/>
      <c r="CH16" s="3" t="n"/>
      <c r="CI16" s="3" t="n"/>
      <c r="CJ16" s="3" t="n"/>
      <c r="CK16" s="3" t="n"/>
      <c r="CL16" s="3" t="n"/>
      <c r="CM16" s="3" t="n"/>
      <c r="CN16" s="3" t="n"/>
      <c r="CO16" s="3" t="n"/>
      <c r="CP16" s="3" t="n"/>
      <c r="CQ16" s="3" t="n"/>
      <c r="CR16" s="3" t="n"/>
      <c r="CS16" s="3" t="n"/>
      <c r="CT16" s="3" t="n"/>
      <c r="CU16" s="3" t="n"/>
      <c r="CV16" s="3" t="n"/>
      <c r="CW16" s="3" t="n"/>
      <c r="CX16" s="3" t="n"/>
      <c r="CY16" s="3" t="n"/>
      <c r="CZ16" s="3" t="n"/>
      <c r="DA16" s="3" t="n"/>
      <c r="DB16" s="3" t="n"/>
      <c r="DC16" s="3" t="n"/>
      <c r="DD16" s="3" t="n"/>
      <c r="DE16" s="3" t="n"/>
      <c r="DF16" s="3" t="n"/>
      <c r="DG16" s="3" t="n"/>
      <c r="DH16" s="3" t="n"/>
      <c r="DI16" s="3" t="n"/>
      <c r="DJ16" s="3" t="n"/>
      <c r="DK16" s="3" t="n"/>
      <c r="DL16" s="3" t="n"/>
      <c r="DM16" s="3" t="n"/>
      <c r="DN16" s="3" t="n"/>
      <c r="DO16" s="3" t="n"/>
      <c r="DP16" s="3" t="n"/>
      <c r="DQ16" s="3" t="n"/>
      <c r="DR16" s="3" t="n"/>
      <c r="DS16" s="3" t="n"/>
      <c r="DT16" s="3" t="n"/>
      <c r="DU16" s="3" t="n"/>
      <c r="DV16" s="3" t="n"/>
      <c r="DW16" s="3" t="n"/>
      <c r="DX16" s="3" t="n"/>
      <c r="DY16" s="3" t="n"/>
      <c r="DZ16" s="3" t="n"/>
      <c r="EA16" s="3" t="n"/>
      <c r="EB16" s="3" t="n"/>
      <c r="EC16" s="3" t="n"/>
      <c r="ED16" s="3" t="n"/>
      <c r="EE16" s="3" t="n"/>
      <c r="EF16" s="3" t="n"/>
      <c r="EG16" s="3" t="n"/>
      <c r="EH16" s="3" t="n"/>
      <c r="EI16" s="3" t="n"/>
      <c r="EJ16" s="3" t="n"/>
      <c r="EK16" s="3" t="n"/>
      <c r="EL16" s="3" t="n"/>
      <c r="EM16" s="3" t="n"/>
      <c r="EN16" s="3" t="n"/>
      <c r="EO16" s="3" t="n"/>
      <c r="EP16" s="3" t="n"/>
      <c r="EQ16" s="3" t="n"/>
      <c r="ER16" s="3" t="n"/>
      <c r="ES16" s="3" t="n"/>
      <c r="ET16" s="3" t="n"/>
      <c r="EU16" s="3" t="n"/>
      <c r="EV16" s="3" t="n"/>
      <c r="EW16" s="3" t="n"/>
      <c r="EX16" s="3" t="n"/>
      <c r="EY16" s="3" t="n"/>
      <c r="EZ16" s="3" t="n"/>
      <c r="FA16" s="3" t="n"/>
      <c r="FB16" s="3" t="n"/>
      <c r="FC16" s="3" t="n"/>
      <c r="FD16" s="3" t="n"/>
      <c r="FE16" s="3" t="n"/>
      <c r="FF16" s="3" t="n"/>
      <c r="FG16" s="3" t="n"/>
      <c r="FH16" s="3" t="n"/>
      <c r="FI16" s="3" t="n"/>
      <c r="FJ16" s="3" t="n"/>
      <c r="FK16" s="3" t="n"/>
      <c r="FL16" s="3" t="n"/>
      <c r="FM16" s="3" t="n"/>
      <c r="FN16" s="3" t="n"/>
      <c r="FO16" s="3" t="n"/>
      <c r="FP16" s="3" t="n"/>
      <c r="FQ16" s="3" t="n"/>
      <c r="FR16" s="3" t="n"/>
      <c r="FS16" s="3" t="n"/>
      <c r="FT16" s="3" t="n"/>
      <c r="FU16" s="3" t="n"/>
      <c r="FV16" s="3" t="n"/>
      <c r="FW16" s="3" t="n"/>
      <c r="FX16" s="3" t="n"/>
      <c r="FY16" s="3" t="n"/>
      <c r="FZ16" s="3" t="n"/>
      <c r="GA16" s="3" t="n"/>
      <c r="GB16" s="3" t="n"/>
      <c r="GC16" s="3" t="n"/>
      <c r="GD16" s="3" t="n"/>
      <c r="GE16" s="3" t="n"/>
      <c r="GF16" s="3" t="n"/>
      <c r="GG16" s="3" t="n"/>
      <c r="GH16" s="3" t="n"/>
      <c r="GI16" s="3" t="n"/>
      <c r="GJ16" s="3" t="n"/>
      <c r="GK16" s="3" t="n"/>
      <c r="GL16" s="3" t="n"/>
      <c r="GM16" s="3" t="n"/>
      <c r="GN16" s="3" t="n"/>
      <c r="GO16" s="3" t="n"/>
      <c r="GP16" s="3" t="n"/>
      <c r="GQ16" s="3" t="n"/>
      <c r="GR16" s="3" t="n"/>
      <c r="GS16" s="3" t="n"/>
      <c r="GT16" s="3" t="n"/>
      <c r="GU16" s="3" t="n"/>
      <c r="GV16" s="3" t="n"/>
      <c r="GW16" s="3" t="n"/>
      <c r="GX16" s="3" t="n"/>
      <c r="GY16" s="3" t="n"/>
      <c r="GZ16" s="3" t="n"/>
      <c r="HA16" s="3" t="n"/>
      <c r="HB16" s="3" t="n"/>
      <c r="HC16" s="3" t="n"/>
      <c r="HD16" s="3" t="n"/>
      <c r="HE16" s="3" t="n"/>
      <c r="HF16" s="3" t="n"/>
      <c r="HG16" s="3" t="n"/>
      <c r="HH16" s="3" t="n"/>
      <c r="HI16" s="3" t="n"/>
      <c r="HJ16" s="3" t="n"/>
      <c r="HK16" s="3" t="n"/>
      <c r="HL16" s="3" t="n"/>
      <c r="HM16" s="3" t="n"/>
      <c r="HN16" s="3" t="n"/>
      <c r="HO16" s="3" t="n"/>
      <c r="HP16" s="3" t="n"/>
      <c r="HQ16" s="3" t="n"/>
      <c r="HR16" s="3" t="n"/>
      <c r="HS16" s="3" t="n"/>
      <c r="HT16" s="3" t="n"/>
      <c r="HU16" s="3" t="n"/>
      <c r="HV16" s="3" t="n"/>
      <c r="HW16" s="3" t="n"/>
      <c r="HX16" s="3" t="n"/>
      <c r="HY16" s="3" t="n"/>
      <c r="HZ16" s="3" t="n"/>
      <c r="IA16" s="3" t="n"/>
      <c r="IB16" s="3" t="n"/>
      <c r="IC16" s="3" t="n"/>
      <c r="ID16" s="3" t="n"/>
      <c r="IE16" s="3" t="n"/>
      <c r="IF16" s="3" t="n"/>
      <c r="IG16" s="3" t="n"/>
      <c r="IH16" s="3" t="n"/>
      <c r="II16" s="3" t="n"/>
      <c r="IJ16" s="3" t="n"/>
      <c r="IK16" s="3" t="n"/>
      <c r="IL16" s="3" t="n"/>
      <c r="IM16" s="3" t="n"/>
      <c r="IN16" s="3" t="n"/>
      <c r="IO16" s="3" t="n"/>
      <c r="IP16" s="3" t="n"/>
      <c r="IQ16" s="3" t="n"/>
      <c r="IR16" s="3" t="n"/>
      <c r="IS16" s="3" t="n"/>
      <c r="IT16" s="3" t="n"/>
      <c r="IU16" s="3" t="n"/>
      <c r="IV16" s="3" t="n"/>
      <c r="IW16" s="3" t="n"/>
      <c r="IX16" s="3" t="n"/>
      <c r="IY16" s="3" t="n"/>
      <c r="IZ16" s="3" t="n"/>
    </row>
    <row r="17">
      <c r="A17" s="44" t="inlineStr">
        <is>
          <t>atp</t>
        </is>
      </c>
      <c r="B17" s="3" t="inlineStr">
        <is>
          <t>ker</t>
        </is>
      </c>
      <c r="C17" s="3" t="inlineStr">
        <is>
          <t>res</t>
        </is>
      </c>
      <c r="D17" s="133" t="n">
        <v>1</v>
      </c>
      <c r="E17" s="3" t="n"/>
      <c r="H17" s="3" t="inlineStr">
        <is>
          <t>After-tax price | Residential | Kerosene</t>
        </is>
      </c>
      <c r="I17" s="3" t="inlineStr">
        <is>
          <t>USD/GJ real</t>
        </is>
      </c>
      <c r="J17" s="3" t="inlineStr">
        <is>
          <t>Mitigation section 19a</t>
        </is>
      </c>
      <c r="K17" s="3" t="inlineStr">
        <is>
          <t>egy.mit.atp.res.ker.1</t>
        </is>
      </c>
      <c r="L17" s="196" t="n">
        <v>10.55358878014809</v>
      </c>
      <c r="M17" s="196" t="n">
        <v>6.84651548103977</v>
      </c>
      <c r="N17" s="196" t="n">
        <v>7.076197436466327</v>
      </c>
      <c r="O17" s="196" t="n">
        <v>7.076197436466327</v>
      </c>
      <c r="P17" s="196" t="n">
        <v>7.076197436466327</v>
      </c>
      <c r="Q17" s="196" t="n">
        <v>7.076197436466327</v>
      </c>
      <c r="R17" s="196" t="n">
        <v>7.076197436466327</v>
      </c>
      <c r="S17" s="196" t="n">
        <v>7.076197436466327</v>
      </c>
      <c r="T17" s="196" t="n">
        <v>7.076197436466327</v>
      </c>
      <c r="U17" s="196" t="n">
        <v>7.076197436466327</v>
      </c>
      <c r="V17" s="196" t="n">
        <v>7.076197436466327</v>
      </c>
      <c r="W17" s="196" t="n">
        <v>7.076197436466327</v>
      </c>
      <c r="X17" s="196" t="n">
        <v>7.07619743646633</v>
      </c>
      <c r="Y17" s="196" t="n">
        <v>7.07619743646633</v>
      </c>
      <c r="Z17" s="196" t="n">
        <v>7.07619743646633</v>
      </c>
      <c r="AA17" s="196" t="n">
        <v>7.076197436466328</v>
      </c>
      <c r="AB17" s="196" t="n">
        <v>7.07619743646633</v>
      </c>
      <c r="AC17" s="196" t="n">
        <v>7.07619743646633</v>
      </c>
      <c r="AD17" s="196" t="n">
        <v>7.07619743646633</v>
      </c>
      <c r="AE17" s="196" t="n">
        <v>7.07619743646633</v>
      </c>
      <c r="AF17" s="3" t="n"/>
      <c r="AG17" s="3" t="inlineStr">
        <is>
          <t>egy.mit.atp.res.ker.2</t>
        </is>
      </c>
      <c r="AH17" s="196" t="n">
        <v>10.55358878014809</v>
      </c>
      <c r="AI17" s="196" t="n">
        <v>6.84651548103977</v>
      </c>
      <c r="AJ17" s="196" t="n">
        <v>7.076197436466327</v>
      </c>
      <c r="AK17" s="196" t="n">
        <v>7.076197436466327</v>
      </c>
      <c r="AL17" s="196" t="n">
        <v>7.076197436466327</v>
      </c>
      <c r="AM17" s="196" t="n">
        <v>8.441182924119387</v>
      </c>
      <c r="AN17" s="196" t="n">
        <v>8.441182924119387</v>
      </c>
      <c r="AO17" s="196" t="n">
        <v>8.441182924119387</v>
      </c>
      <c r="AP17" s="196" t="n">
        <v>8.441182924119387</v>
      </c>
      <c r="AQ17" s="196" t="n">
        <v>8.441182924119387</v>
      </c>
      <c r="AR17" s="196" t="n">
        <v>8.441182924119387</v>
      </c>
      <c r="AS17" s="196" t="n">
        <v>8.441182924119387</v>
      </c>
      <c r="AT17" s="196" t="n">
        <v>8.44118292411939</v>
      </c>
      <c r="AU17" s="196" t="n">
        <v>8.44118292411939</v>
      </c>
      <c r="AV17" s="196" t="n">
        <v>8.44118292411939</v>
      </c>
      <c r="AW17" s="196" t="n">
        <v>8.441182924119389</v>
      </c>
      <c r="AX17" s="196" t="n">
        <v>8.44118292411939</v>
      </c>
      <c r="AY17" s="196" t="n">
        <v>8.44118292411939</v>
      </c>
      <c r="AZ17" s="196" t="n">
        <v>8.44118292411939</v>
      </c>
      <c r="BA17" s="196" t="n">
        <v>8.44118292411939</v>
      </c>
      <c r="BB17" s="3" t="n"/>
      <c r="BC17" s="3" t="n"/>
      <c r="BD17" s="3" t="n"/>
      <c r="BE17" s="3" t="n"/>
      <c r="BF17" s="3" t="n"/>
      <c r="BG17" s="3" t="n"/>
      <c r="BH17" s="3" t="n"/>
      <c r="BI17" s="3" t="n"/>
      <c r="BJ17" s="3" t="n"/>
      <c r="BK17" s="3" t="n"/>
      <c r="BL17" s="3" t="n"/>
      <c r="BM17" s="3" t="n"/>
      <c r="BN17" s="3" t="n"/>
      <c r="BO17" s="3" t="n"/>
      <c r="BP17" s="3" t="n"/>
      <c r="BQ17" s="3" t="n"/>
      <c r="BR17" s="3" t="n"/>
      <c r="BS17" s="3" t="n"/>
      <c r="BT17" s="3" t="n"/>
      <c r="BU17" s="3" t="n"/>
      <c r="BV17" s="3" t="n"/>
      <c r="BW17" s="3" t="n"/>
      <c r="BX17" s="3" t="n"/>
      <c r="BY17" s="3" t="n"/>
      <c r="BZ17" s="3" t="n"/>
      <c r="CA17" s="3" t="n"/>
      <c r="CB17" s="3" t="n"/>
      <c r="CC17" s="3" t="n"/>
      <c r="CD17" s="3" t="n"/>
      <c r="CE17" s="3" t="n"/>
      <c r="CF17" s="3" t="n"/>
      <c r="CG17" s="3" t="n"/>
      <c r="CH17" s="3" t="n"/>
      <c r="CI17" s="3" t="n"/>
      <c r="CJ17" s="3" t="n"/>
      <c r="CK17" s="3" t="n"/>
      <c r="CL17" s="3" t="n"/>
      <c r="CM17" s="3" t="n"/>
      <c r="CN17" s="3" t="n"/>
      <c r="CO17" s="3" t="n"/>
      <c r="CP17" s="3" t="n"/>
      <c r="CQ17" s="3" t="n"/>
      <c r="CR17" s="3" t="n"/>
      <c r="CS17" s="3" t="n"/>
      <c r="CT17" s="3" t="n"/>
      <c r="CU17" s="3" t="n"/>
      <c r="CV17" s="3" t="n"/>
      <c r="CW17" s="3" t="n"/>
      <c r="CX17" s="3" t="n"/>
      <c r="CY17" s="3" t="n"/>
      <c r="CZ17" s="3" t="n"/>
      <c r="DA17" s="3" t="n"/>
      <c r="DB17" s="3" t="n"/>
      <c r="DC17" s="3" t="n"/>
      <c r="DD17" s="3" t="n"/>
      <c r="DE17" s="3" t="n"/>
      <c r="DF17" s="3" t="n"/>
      <c r="DG17" s="3" t="n"/>
      <c r="DH17" s="3" t="n"/>
      <c r="DI17" s="3" t="n"/>
      <c r="DJ17" s="3" t="n"/>
      <c r="DK17" s="3" t="n"/>
      <c r="DL17" s="3" t="n"/>
      <c r="DM17" s="3" t="n"/>
      <c r="DN17" s="3" t="n"/>
      <c r="DO17" s="3" t="n"/>
      <c r="DP17" s="3" t="n"/>
      <c r="DQ17" s="3" t="n"/>
      <c r="DR17" s="3" t="n"/>
      <c r="DS17" s="3" t="n"/>
      <c r="DT17" s="3" t="n"/>
      <c r="DU17" s="3" t="n"/>
      <c r="DV17" s="3" t="n"/>
      <c r="DW17" s="3" t="n"/>
      <c r="DX17" s="3" t="n"/>
      <c r="DY17" s="3" t="n"/>
      <c r="DZ17" s="3" t="n"/>
      <c r="EA17" s="3" t="n"/>
      <c r="EB17" s="3" t="n"/>
      <c r="EC17" s="3" t="n"/>
      <c r="ED17" s="3" t="n"/>
      <c r="EE17" s="3" t="n"/>
      <c r="EF17" s="3" t="n"/>
      <c r="EG17" s="3" t="n"/>
      <c r="EH17" s="3" t="n"/>
      <c r="EI17" s="3" t="n"/>
      <c r="EJ17" s="3" t="n"/>
      <c r="EK17" s="3" t="n"/>
      <c r="EL17" s="3" t="n"/>
      <c r="EM17" s="3" t="n"/>
      <c r="EN17" s="3" t="n"/>
      <c r="EO17" s="3" t="n"/>
      <c r="EP17" s="3" t="n"/>
      <c r="EQ17" s="3" t="n"/>
      <c r="ER17" s="3" t="n"/>
      <c r="ES17" s="3" t="n"/>
      <c r="ET17" s="3" t="n"/>
      <c r="EU17" s="3" t="n"/>
      <c r="EV17" s="3" t="n"/>
      <c r="EW17" s="3" t="n"/>
      <c r="EX17" s="3" t="n"/>
      <c r="EY17" s="3" t="n"/>
      <c r="EZ17" s="3" t="n"/>
      <c r="FA17" s="3" t="n"/>
      <c r="FB17" s="3" t="n"/>
      <c r="FC17" s="3" t="n"/>
      <c r="FD17" s="3" t="n"/>
      <c r="FE17" s="3" t="n"/>
      <c r="FF17" s="3" t="n"/>
      <c r="FG17" s="3" t="n"/>
      <c r="FH17" s="3" t="n"/>
      <c r="FI17" s="3" t="n"/>
      <c r="FJ17" s="3" t="n"/>
      <c r="FK17" s="3" t="n"/>
      <c r="FL17" s="3" t="n"/>
      <c r="FM17" s="3" t="n"/>
      <c r="FN17" s="3" t="n"/>
      <c r="FO17" s="3" t="n"/>
      <c r="FP17" s="3" t="n"/>
      <c r="FQ17" s="3" t="n"/>
      <c r="FR17" s="3" t="n"/>
      <c r="FS17" s="3" t="n"/>
      <c r="FT17" s="3" t="n"/>
      <c r="FU17" s="3" t="n"/>
      <c r="FV17" s="3" t="n"/>
      <c r="FW17" s="3" t="n"/>
      <c r="FX17" s="3" t="n"/>
      <c r="FY17" s="3" t="n"/>
      <c r="FZ17" s="3" t="n"/>
      <c r="GA17" s="3" t="n"/>
      <c r="GB17" s="3" t="n"/>
      <c r="GC17" s="3" t="n"/>
      <c r="GD17" s="3" t="n"/>
      <c r="GE17" s="3" t="n"/>
      <c r="GF17" s="3" t="n"/>
      <c r="GG17" s="3" t="n"/>
      <c r="GH17" s="3" t="n"/>
      <c r="GI17" s="3" t="n"/>
      <c r="GJ17" s="3" t="n"/>
      <c r="GK17" s="3" t="n"/>
      <c r="GL17" s="3" t="n"/>
      <c r="GM17" s="3" t="n"/>
      <c r="GN17" s="3" t="n"/>
      <c r="GO17" s="3" t="n"/>
      <c r="GP17" s="3" t="n"/>
      <c r="GQ17" s="3" t="n"/>
      <c r="GR17" s="3" t="n"/>
      <c r="GS17" s="3" t="n"/>
      <c r="GT17" s="3" t="n"/>
      <c r="GU17" s="3" t="n"/>
      <c r="GV17" s="3" t="n"/>
      <c r="GW17" s="3" t="n"/>
      <c r="GX17" s="3" t="n"/>
      <c r="GY17" s="3" t="n"/>
      <c r="GZ17" s="3" t="n"/>
      <c r="HA17" s="3" t="n"/>
      <c r="HB17" s="3" t="n"/>
      <c r="HC17" s="3" t="n"/>
      <c r="HD17" s="3" t="n"/>
      <c r="HE17" s="3" t="n"/>
      <c r="HF17" s="3" t="n"/>
      <c r="HG17" s="3" t="n"/>
      <c r="HH17" s="3" t="n"/>
      <c r="HI17" s="3" t="n"/>
      <c r="HJ17" s="3" t="n"/>
      <c r="HK17" s="3" t="n"/>
      <c r="HL17" s="3" t="n"/>
      <c r="HM17" s="3" t="n"/>
      <c r="HN17" s="3" t="n"/>
      <c r="HO17" s="3" t="n"/>
      <c r="HP17" s="3" t="n"/>
      <c r="HQ17" s="3" t="n"/>
      <c r="HR17" s="3" t="n"/>
      <c r="HS17" s="3" t="n"/>
      <c r="HT17" s="3" t="n"/>
      <c r="HU17" s="3" t="n"/>
      <c r="HV17" s="3" t="n"/>
      <c r="HW17" s="3" t="n"/>
      <c r="HX17" s="3" t="n"/>
      <c r="HY17" s="3" t="n"/>
      <c r="HZ17" s="3" t="n"/>
      <c r="IA17" s="3" t="n"/>
      <c r="IB17" s="3" t="n"/>
      <c r="IC17" s="3" t="n"/>
      <c r="ID17" s="3" t="n"/>
      <c r="IE17" s="3" t="n"/>
      <c r="IF17" s="3" t="n"/>
      <c r="IG17" s="3" t="n"/>
      <c r="IH17" s="3" t="n"/>
      <c r="II17" s="3" t="n"/>
      <c r="IJ17" s="3" t="n"/>
      <c r="IK17" s="3" t="n"/>
      <c r="IL17" s="3" t="n"/>
      <c r="IM17" s="3" t="n"/>
      <c r="IN17" s="3" t="n"/>
      <c r="IO17" s="3" t="n"/>
      <c r="IP17" s="3" t="n"/>
      <c r="IQ17" s="3" t="n"/>
      <c r="IR17" s="3" t="n"/>
      <c r="IS17" s="3" t="n"/>
      <c r="IT17" s="3" t="n"/>
      <c r="IU17" s="3" t="n"/>
      <c r="IV17" s="3" t="n"/>
      <c r="IW17" s="3" t="n"/>
      <c r="IX17" s="3" t="n"/>
      <c r="IY17" s="3" t="n"/>
      <c r="IZ17" s="3" t="n"/>
    </row>
    <row r="18">
      <c r="A18" s="44" t="inlineStr">
        <is>
          <t>atp</t>
        </is>
      </c>
      <c r="B18" s="3" t="inlineStr">
        <is>
          <t>lpg</t>
        </is>
      </c>
      <c r="C18" s="3" t="inlineStr">
        <is>
          <t>res</t>
        </is>
      </c>
      <c r="D18" s="133" t="n">
        <v>1</v>
      </c>
      <c r="E18" s="3" t="n"/>
      <c r="H18" s="3" t="inlineStr">
        <is>
          <t>After-tax price | Residential | LPG</t>
        </is>
      </c>
      <c r="I18" s="3" t="inlineStr">
        <is>
          <t>USD/GJ real</t>
        </is>
      </c>
      <c r="J18" s="3" t="inlineStr">
        <is>
          <t>Mitigation section 19a</t>
        </is>
      </c>
      <c r="K18" s="3" t="inlineStr">
        <is>
          <t>egy.mit.atp.res.lpg.1</t>
        </is>
      </c>
      <c r="L18" s="196" t="n">
        <v>5.926765134904279</v>
      </c>
      <c r="M18" s="196" t="n">
        <v>3.473334242251422</v>
      </c>
      <c r="N18" s="196" t="n">
        <v>4.068268427732345</v>
      </c>
      <c r="O18" s="196" t="n">
        <v>4.068268427732345</v>
      </c>
      <c r="P18" s="196" t="n">
        <v>4.068268427732345</v>
      </c>
      <c r="Q18" s="196" t="n">
        <v>4.068268427732345</v>
      </c>
      <c r="R18" s="196" t="n">
        <v>4.068268427732345</v>
      </c>
      <c r="S18" s="196" t="n">
        <v>4.068268427732345</v>
      </c>
      <c r="T18" s="196" t="n">
        <v>4.068268427732345</v>
      </c>
      <c r="U18" s="196" t="n">
        <v>4.068268427732345</v>
      </c>
      <c r="V18" s="196" t="n">
        <v>4.068268427732345</v>
      </c>
      <c r="W18" s="196" t="n">
        <v>4.068268427732345</v>
      </c>
      <c r="X18" s="196" t="n">
        <v>4.068268427732349</v>
      </c>
      <c r="Y18" s="196" t="n">
        <v>4.068268427732349</v>
      </c>
      <c r="Z18" s="196" t="n">
        <v>4.068268427732349</v>
      </c>
      <c r="AA18" s="196" t="n">
        <v>4.068268427732345</v>
      </c>
      <c r="AB18" s="196" t="n">
        <v>4.068268427732345</v>
      </c>
      <c r="AC18" s="196" t="n">
        <v>4.068268427732345</v>
      </c>
      <c r="AD18" s="196" t="n">
        <v>4.068268427732345</v>
      </c>
      <c r="AE18" s="196" t="n">
        <v>4.068268427732345</v>
      </c>
      <c r="AF18" s="3" t="n"/>
      <c r="AG18" s="3" t="inlineStr">
        <is>
          <t>egy.mit.atp.res.lpg.2</t>
        </is>
      </c>
      <c r="AH18" s="196" t="n">
        <v>5.926765134904279</v>
      </c>
      <c r="AI18" s="196" t="n">
        <v>3.473334242251422</v>
      </c>
      <c r="AJ18" s="196" t="n">
        <v>4.068268427732345</v>
      </c>
      <c r="AK18" s="196" t="n">
        <v>4.068268427732345</v>
      </c>
      <c r="AL18" s="196" t="n">
        <v>4.068268427732345</v>
      </c>
      <c r="AM18" s="196" t="n">
        <v>5.434149901775083</v>
      </c>
      <c r="AN18" s="196" t="n">
        <v>5.434149901775083</v>
      </c>
      <c r="AO18" s="196" t="n">
        <v>5.434149901775083</v>
      </c>
      <c r="AP18" s="196" t="n">
        <v>5.434149901775083</v>
      </c>
      <c r="AQ18" s="196" t="n">
        <v>5.434149901775083</v>
      </c>
      <c r="AR18" s="196" t="n">
        <v>5.434149901775083</v>
      </c>
      <c r="AS18" s="196" t="n">
        <v>5.434149901775083</v>
      </c>
      <c r="AT18" s="196" t="n">
        <v>5.434149901775086</v>
      </c>
      <c r="AU18" s="196" t="n">
        <v>5.434149901775086</v>
      </c>
      <c r="AV18" s="196" t="n">
        <v>5.434149901775086</v>
      </c>
      <c r="AW18" s="196" t="n">
        <v>5.434149901775083</v>
      </c>
      <c r="AX18" s="196" t="n">
        <v>5.434149901775083</v>
      </c>
      <c r="AY18" s="196" t="n">
        <v>5.434149901775083</v>
      </c>
      <c r="AZ18" s="196" t="n">
        <v>5.434149901775083</v>
      </c>
      <c r="BA18" s="196" t="n">
        <v>5.434149901775083</v>
      </c>
      <c r="BB18" s="3" t="n"/>
      <c r="BC18" s="3" t="n"/>
      <c r="BD18" s="3" t="n"/>
      <c r="BE18" s="3" t="n"/>
      <c r="BF18" s="3" t="n"/>
      <c r="BG18" s="3" t="n"/>
      <c r="BH18" s="3" t="n"/>
      <c r="BI18" s="3" t="n"/>
      <c r="BJ18" s="3" t="n"/>
      <c r="BK18" s="3" t="n"/>
      <c r="BL18" s="3" t="n"/>
      <c r="BM18" s="3" t="n"/>
      <c r="BN18" s="3" t="n"/>
      <c r="BO18" s="3" t="n"/>
      <c r="BP18" s="3" t="n"/>
      <c r="BQ18" s="3" t="n"/>
      <c r="BR18" s="3" t="n"/>
      <c r="BS18" s="3" t="n"/>
      <c r="BT18" s="3" t="n"/>
      <c r="BU18" s="3" t="n"/>
      <c r="BV18" s="3" t="n"/>
      <c r="BW18" s="3" t="n"/>
      <c r="BX18" s="3" t="n"/>
      <c r="BY18" s="3" t="n"/>
      <c r="BZ18" s="3" t="n"/>
      <c r="CA18" s="3" t="n"/>
      <c r="CB18" s="3" t="n"/>
      <c r="CC18" s="3" t="n"/>
      <c r="CD18" s="3" t="n"/>
      <c r="CE18" s="3" t="n"/>
      <c r="CF18" s="3" t="n"/>
      <c r="CG18" s="3" t="n"/>
      <c r="CH18" s="3" t="n"/>
      <c r="CI18" s="3" t="n"/>
      <c r="CJ18" s="3" t="n"/>
      <c r="CK18" s="3" t="n"/>
      <c r="CL18" s="3" t="n"/>
      <c r="CM18" s="3" t="n"/>
      <c r="CN18" s="3" t="n"/>
      <c r="CO18" s="3" t="n"/>
      <c r="CP18" s="3" t="n"/>
      <c r="CQ18" s="3" t="n"/>
      <c r="CR18" s="3" t="n"/>
      <c r="CS18" s="3" t="n"/>
      <c r="CT18" s="3" t="n"/>
      <c r="CU18" s="3" t="n"/>
      <c r="CV18" s="3" t="n"/>
      <c r="CW18" s="3" t="n"/>
      <c r="CX18" s="3" t="n"/>
      <c r="CY18" s="3" t="n"/>
      <c r="CZ18" s="3" t="n"/>
      <c r="DA18" s="3" t="n"/>
      <c r="DB18" s="3" t="n"/>
      <c r="DC18" s="3" t="n"/>
      <c r="DD18" s="3" t="n"/>
      <c r="DE18" s="3" t="n"/>
      <c r="DF18" s="3" t="n"/>
      <c r="DG18" s="3" t="n"/>
      <c r="DH18" s="3" t="n"/>
      <c r="DI18" s="3" t="n"/>
      <c r="DJ18" s="3" t="n"/>
      <c r="DK18" s="3" t="n"/>
      <c r="DL18" s="3" t="n"/>
      <c r="DM18" s="3" t="n"/>
      <c r="DN18" s="3" t="n"/>
      <c r="DO18" s="3" t="n"/>
      <c r="DP18" s="3" t="n"/>
      <c r="DQ18" s="3" t="n"/>
      <c r="DR18" s="3" t="n"/>
      <c r="DS18" s="3" t="n"/>
      <c r="DT18" s="3" t="n"/>
      <c r="DU18" s="3" t="n"/>
      <c r="DV18" s="3" t="n"/>
      <c r="DW18" s="3" t="n"/>
      <c r="DX18" s="3" t="n"/>
      <c r="DY18" s="3" t="n"/>
      <c r="DZ18" s="3" t="n"/>
      <c r="EA18" s="3" t="n"/>
      <c r="EB18" s="3" t="n"/>
      <c r="EC18" s="3" t="n"/>
      <c r="ED18" s="3" t="n"/>
      <c r="EE18" s="3" t="n"/>
      <c r="EF18" s="3" t="n"/>
      <c r="EG18" s="3" t="n"/>
      <c r="EH18" s="3" t="n"/>
      <c r="EI18" s="3" t="n"/>
      <c r="EJ18" s="3" t="n"/>
      <c r="EK18" s="3" t="n"/>
      <c r="EL18" s="3" t="n"/>
      <c r="EM18" s="3" t="n"/>
      <c r="EN18" s="3" t="n"/>
      <c r="EO18" s="3" t="n"/>
      <c r="EP18" s="3" t="n"/>
      <c r="EQ18" s="3" t="n"/>
      <c r="ER18" s="3" t="n"/>
      <c r="ES18" s="3" t="n"/>
      <c r="ET18" s="3" t="n"/>
      <c r="EU18" s="3" t="n"/>
      <c r="EV18" s="3" t="n"/>
      <c r="EW18" s="3" t="n"/>
      <c r="EX18" s="3" t="n"/>
      <c r="EY18" s="3" t="n"/>
      <c r="EZ18" s="3" t="n"/>
      <c r="FA18" s="3" t="n"/>
      <c r="FB18" s="3" t="n"/>
      <c r="FC18" s="3" t="n"/>
      <c r="FD18" s="3" t="n"/>
      <c r="FE18" s="3" t="n"/>
      <c r="FF18" s="3" t="n"/>
      <c r="FG18" s="3" t="n"/>
      <c r="FH18" s="3" t="n"/>
      <c r="FI18" s="3" t="n"/>
      <c r="FJ18" s="3" t="n"/>
      <c r="FK18" s="3" t="n"/>
      <c r="FL18" s="3" t="n"/>
      <c r="FM18" s="3" t="n"/>
      <c r="FN18" s="3" t="n"/>
      <c r="FO18" s="3" t="n"/>
      <c r="FP18" s="3" t="n"/>
      <c r="FQ18" s="3" t="n"/>
      <c r="FR18" s="3" t="n"/>
      <c r="FS18" s="3" t="n"/>
      <c r="FT18" s="3" t="n"/>
      <c r="FU18" s="3" t="n"/>
      <c r="FV18" s="3" t="n"/>
      <c r="FW18" s="3" t="n"/>
      <c r="FX18" s="3" t="n"/>
      <c r="FY18" s="3" t="n"/>
      <c r="FZ18" s="3" t="n"/>
      <c r="GA18" s="3" t="n"/>
      <c r="GB18" s="3" t="n"/>
      <c r="GC18" s="3" t="n"/>
      <c r="GD18" s="3" t="n"/>
      <c r="GE18" s="3" t="n"/>
      <c r="GF18" s="3" t="n"/>
      <c r="GG18" s="3" t="n"/>
      <c r="GH18" s="3" t="n"/>
      <c r="GI18" s="3" t="n"/>
      <c r="GJ18" s="3" t="n"/>
      <c r="GK18" s="3" t="n"/>
      <c r="GL18" s="3" t="n"/>
      <c r="GM18" s="3" t="n"/>
      <c r="GN18" s="3" t="n"/>
      <c r="GO18" s="3" t="n"/>
      <c r="GP18" s="3" t="n"/>
      <c r="GQ18" s="3" t="n"/>
      <c r="GR18" s="3" t="n"/>
      <c r="GS18" s="3" t="n"/>
      <c r="GT18" s="3" t="n"/>
      <c r="GU18" s="3" t="n"/>
      <c r="GV18" s="3" t="n"/>
      <c r="GW18" s="3" t="n"/>
      <c r="GX18" s="3" t="n"/>
      <c r="GY18" s="3" t="n"/>
      <c r="GZ18" s="3" t="n"/>
      <c r="HA18" s="3" t="n"/>
      <c r="HB18" s="3" t="n"/>
      <c r="HC18" s="3" t="n"/>
      <c r="HD18" s="3" t="n"/>
      <c r="HE18" s="3" t="n"/>
      <c r="HF18" s="3" t="n"/>
      <c r="HG18" s="3" t="n"/>
      <c r="HH18" s="3" t="n"/>
      <c r="HI18" s="3" t="n"/>
      <c r="HJ18" s="3" t="n"/>
      <c r="HK18" s="3" t="n"/>
      <c r="HL18" s="3" t="n"/>
      <c r="HM18" s="3" t="n"/>
      <c r="HN18" s="3" t="n"/>
      <c r="HO18" s="3" t="n"/>
      <c r="HP18" s="3" t="n"/>
      <c r="HQ18" s="3" t="n"/>
      <c r="HR18" s="3" t="n"/>
      <c r="HS18" s="3" t="n"/>
      <c r="HT18" s="3" t="n"/>
      <c r="HU18" s="3" t="n"/>
      <c r="HV18" s="3" t="n"/>
      <c r="HW18" s="3" t="n"/>
      <c r="HX18" s="3" t="n"/>
      <c r="HY18" s="3" t="n"/>
      <c r="HZ18" s="3" t="n"/>
      <c r="IA18" s="3" t="n"/>
      <c r="IB18" s="3" t="n"/>
      <c r="IC18" s="3" t="n"/>
      <c r="ID18" s="3" t="n"/>
      <c r="IE18" s="3" t="n"/>
      <c r="IF18" s="3" t="n"/>
      <c r="IG18" s="3" t="n"/>
      <c r="IH18" s="3" t="n"/>
      <c r="II18" s="3" t="n"/>
      <c r="IJ18" s="3" t="n"/>
      <c r="IK18" s="3" t="n"/>
      <c r="IL18" s="3" t="n"/>
      <c r="IM18" s="3" t="n"/>
      <c r="IN18" s="3" t="n"/>
      <c r="IO18" s="3" t="n"/>
      <c r="IP18" s="3" t="n"/>
      <c r="IQ18" s="3" t="n"/>
      <c r="IR18" s="3" t="n"/>
      <c r="IS18" s="3" t="n"/>
      <c r="IT18" s="3" t="n"/>
      <c r="IU18" s="3" t="n"/>
      <c r="IV18" s="3" t="n"/>
      <c r="IW18" s="3" t="n"/>
      <c r="IX18" s="3" t="n"/>
      <c r="IY18" s="3" t="n"/>
      <c r="IZ18" s="3" t="n"/>
    </row>
    <row r="19">
      <c r="A19" s="44" t="inlineStr">
        <is>
          <t>rp</t>
        </is>
      </c>
      <c r="B19" s="3" t="inlineStr">
        <is>
          <t>ecy</t>
        </is>
      </c>
      <c r="C19" s="3" t="inlineStr">
        <is>
          <t>res</t>
        </is>
      </c>
      <c r="D19" s="133" t="n">
        <v>1</v>
      </c>
      <c r="E19" s="3" t="n"/>
      <c r="H19" s="3" t="inlineStr">
        <is>
          <t>End-user electricity price | Residential | Electricity</t>
        </is>
      </c>
      <c r="I19" s="3" t="inlineStr">
        <is>
          <t>USD/kWh real</t>
        </is>
      </c>
      <c r="J19" s="3" t="inlineStr">
        <is>
          <t>Mitigation section 19a</t>
        </is>
      </c>
      <c r="K19" s="3" t="inlineStr">
        <is>
          <t>egy.mit.rp.res.ecy.1</t>
        </is>
      </c>
      <c r="L19" s="197" t="n">
        <v>0.06113555457898331</v>
      </c>
      <c r="M19" s="197" t="n">
        <v>0.05321854123828935</v>
      </c>
      <c r="N19" s="197" t="n">
        <v>0.04512806452045624</v>
      </c>
      <c r="O19" s="197" t="n">
        <v>0.04397347800406094</v>
      </c>
      <c r="P19" s="197" t="n">
        <v>0.04398100046517144</v>
      </c>
      <c r="Q19" s="197" t="n">
        <v>0.04442543803936448</v>
      </c>
      <c r="R19" s="197" t="n">
        <v>0.04456749025648402</v>
      </c>
      <c r="S19" s="197" t="n">
        <v>0.04525372482792904</v>
      </c>
      <c r="T19" s="197" t="n">
        <v>0.0459258219825071</v>
      </c>
      <c r="U19" s="197" t="n">
        <v>0.04668110938933583</v>
      </c>
      <c r="V19" s="197" t="n">
        <v>0.04543888471746634</v>
      </c>
      <c r="W19" s="197" t="n">
        <v>0.04441597090668882</v>
      </c>
      <c r="X19" s="197" t="n">
        <v>0.04340083167632232</v>
      </c>
      <c r="Y19" s="197" t="n">
        <v>0.04245442916324882</v>
      </c>
      <c r="Z19" s="197" t="n">
        <v>0.04156938897406016</v>
      </c>
      <c r="AA19" s="197" t="n">
        <v>0.04074198209167652</v>
      </c>
      <c r="AB19" s="197" t="n">
        <v>0.03996614931561494</v>
      </c>
      <c r="AC19" s="197" t="n">
        <v>0.03923392369261268</v>
      </c>
      <c r="AD19" s="197" t="n">
        <v>0.03854029071508147</v>
      </c>
      <c r="AE19" s="197" t="n">
        <v>0.03787959465335747</v>
      </c>
      <c r="AF19" s="3" t="n"/>
      <c r="AG19" s="3" t="inlineStr">
        <is>
          <t>egy.mit.rp.res.ecy.2</t>
        </is>
      </c>
      <c r="AH19" s="197" t="n">
        <v>0.06113555457898331</v>
      </c>
      <c r="AI19" s="197" t="n">
        <v>0.05321854123828935</v>
      </c>
      <c r="AJ19" s="197" t="n">
        <v>0.04512806452045624</v>
      </c>
      <c r="AK19" s="197" t="n">
        <v>0.04397481254527748</v>
      </c>
      <c r="AL19" s="197" t="n">
        <v>0.04398445802372765</v>
      </c>
      <c r="AM19" s="197" t="n">
        <v>0.05363387985287833</v>
      </c>
      <c r="AN19" s="197" t="n">
        <v>0.05357842539071554</v>
      </c>
      <c r="AO19" s="197" t="n">
        <v>0.05513348678757378</v>
      </c>
      <c r="AP19" s="197" t="n">
        <v>0.05439553542284484</v>
      </c>
      <c r="AQ19" s="197" t="n">
        <v>0.05479422779069282</v>
      </c>
      <c r="AR19" s="197" t="n">
        <v>0.05304133520668748</v>
      </c>
      <c r="AS19" s="197" t="n">
        <v>0.05174003400268574</v>
      </c>
      <c r="AT19" s="197" t="n">
        <v>0.05036846750747638</v>
      </c>
      <c r="AU19" s="197" t="n">
        <v>0.04910498078647862</v>
      </c>
      <c r="AV19" s="197" t="n">
        <v>0.04794444929677801</v>
      </c>
      <c r="AW19" s="197" t="n">
        <v>0.04686688480010575</v>
      </c>
      <c r="AX19" s="197" t="n">
        <v>0.04586016628091997</v>
      </c>
      <c r="AY19" s="197" t="n">
        <v>0.04491723173091318</v>
      </c>
      <c r="AZ19" s="197" t="n">
        <v>0.04402888496393817</v>
      </c>
      <c r="BA19" s="197" t="n">
        <v>0.04318963634895112</v>
      </c>
      <c r="BB19" s="3" t="n"/>
      <c r="BC19" s="3" t="n"/>
      <c r="BD19" s="3" t="n"/>
      <c r="BE19" s="3" t="n"/>
      <c r="BF19" s="3" t="n"/>
      <c r="BG19" s="3" t="n"/>
      <c r="BH19" s="3" t="n"/>
      <c r="BI19" s="3" t="n"/>
      <c r="BJ19" s="3" t="n"/>
      <c r="BK19" s="3" t="n"/>
      <c r="BL19" s="3" t="n"/>
      <c r="BM19" s="3" t="n"/>
      <c r="BN19" s="3" t="n"/>
      <c r="BO19" s="3" t="n"/>
      <c r="BP19" s="3" t="n"/>
      <c r="BQ19" s="3" t="n"/>
      <c r="BR19" s="3" t="n"/>
      <c r="BS19" s="3" t="n"/>
      <c r="BT19" s="3" t="n"/>
      <c r="BU19" s="3" t="n"/>
      <c r="BV19" s="3" t="n"/>
      <c r="BW19" s="3" t="n"/>
      <c r="BX19" s="3" t="n"/>
      <c r="BY19" s="3" t="n"/>
      <c r="BZ19" s="3" t="n"/>
      <c r="CA19" s="3" t="n"/>
      <c r="CB19" s="3" t="n"/>
      <c r="CC19" s="3" t="n"/>
      <c r="CD19" s="3" t="n"/>
      <c r="CE19" s="3" t="n"/>
      <c r="CF19" s="3" t="n"/>
      <c r="CG19" s="3" t="n"/>
      <c r="CH19" s="3" t="n"/>
      <c r="CI19" s="3" t="n"/>
      <c r="CJ19" s="3" t="n"/>
      <c r="CK19" s="3" t="n"/>
      <c r="CL19" s="3" t="n"/>
      <c r="CM19" s="3" t="n"/>
      <c r="CN19" s="3" t="n"/>
      <c r="CO19" s="3" t="n"/>
      <c r="CP19" s="3" t="n"/>
      <c r="CQ19" s="3" t="n"/>
      <c r="CR19" s="3" t="n"/>
      <c r="CS19" s="3" t="n"/>
      <c r="CT19" s="3" t="n"/>
      <c r="CU19" s="3" t="n"/>
      <c r="CV19" s="3" t="n"/>
      <c r="CW19" s="3" t="n"/>
      <c r="CX19" s="3" t="n"/>
      <c r="CY19" s="3" t="n"/>
      <c r="CZ19" s="3" t="n"/>
      <c r="DA19" s="3" t="n"/>
      <c r="DB19" s="3" t="n"/>
      <c r="DC19" s="3" t="n"/>
      <c r="DD19" s="3" t="n"/>
      <c r="DE19" s="3" t="n"/>
      <c r="DF19" s="3" t="n"/>
      <c r="DG19" s="3" t="n"/>
      <c r="DH19" s="3" t="n"/>
      <c r="DI19" s="3" t="n"/>
      <c r="DJ19" s="3" t="n"/>
      <c r="DK19" s="3" t="n"/>
      <c r="DL19" s="3" t="n"/>
      <c r="DM19" s="3" t="n"/>
      <c r="DN19" s="3" t="n"/>
      <c r="DO19" s="3" t="n"/>
      <c r="DP19" s="3" t="n"/>
      <c r="DQ19" s="3" t="n"/>
      <c r="DR19" s="3" t="n"/>
      <c r="DS19" s="3" t="n"/>
      <c r="DT19" s="3" t="n"/>
      <c r="DU19" s="3" t="n"/>
      <c r="DV19" s="3" t="n"/>
      <c r="DW19" s="3" t="n"/>
      <c r="DX19" s="3" t="n"/>
      <c r="DY19" s="3" t="n"/>
      <c r="DZ19" s="3" t="n"/>
      <c r="EA19" s="3" t="n"/>
      <c r="EB19" s="3" t="n"/>
      <c r="EC19" s="3" t="n"/>
      <c r="ED19" s="3" t="n"/>
      <c r="EE19" s="3" t="n"/>
      <c r="EF19" s="3" t="n"/>
      <c r="EG19" s="3" t="n"/>
      <c r="EH19" s="3" t="n"/>
      <c r="EI19" s="3" t="n"/>
      <c r="EJ19" s="3" t="n"/>
      <c r="EK19" s="3" t="n"/>
      <c r="EL19" s="3" t="n"/>
      <c r="EM19" s="3" t="n"/>
      <c r="EN19" s="3" t="n"/>
      <c r="EO19" s="3" t="n"/>
      <c r="EP19" s="3" t="n"/>
      <c r="EQ19" s="3" t="n"/>
      <c r="ER19" s="3" t="n"/>
      <c r="ES19" s="3" t="n"/>
      <c r="ET19" s="3" t="n"/>
      <c r="EU19" s="3" t="n"/>
      <c r="EV19" s="3" t="n"/>
      <c r="EW19" s="3" t="n"/>
      <c r="EX19" s="3" t="n"/>
      <c r="EY19" s="3" t="n"/>
      <c r="EZ19" s="3" t="n"/>
      <c r="FA19" s="3" t="n"/>
      <c r="FB19" s="3" t="n"/>
      <c r="FC19" s="3" t="n"/>
      <c r="FD19" s="3" t="n"/>
      <c r="FE19" s="3" t="n"/>
      <c r="FF19" s="3" t="n"/>
      <c r="FG19" s="3" t="n"/>
      <c r="FH19" s="3" t="n"/>
      <c r="FI19" s="3" t="n"/>
      <c r="FJ19" s="3" t="n"/>
      <c r="FK19" s="3" t="n"/>
      <c r="FL19" s="3" t="n"/>
      <c r="FM19" s="3" t="n"/>
      <c r="FN19" s="3" t="n"/>
      <c r="FO19" s="3" t="n"/>
      <c r="FP19" s="3" t="n"/>
      <c r="FQ19" s="3" t="n"/>
      <c r="FR19" s="3" t="n"/>
      <c r="FS19" s="3" t="n"/>
      <c r="FT19" s="3" t="n"/>
      <c r="FU19" s="3" t="n"/>
      <c r="FV19" s="3" t="n"/>
      <c r="FW19" s="3" t="n"/>
      <c r="FX19" s="3" t="n"/>
      <c r="FY19" s="3" t="n"/>
      <c r="FZ19" s="3" t="n"/>
      <c r="GA19" s="3" t="n"/>
      <c r="GB19" s="3" t="n"/>
      <c r="GC19" s="3" t="n"/>
      <c r="GD19" s="3" t="n"/>
      <c r="GE19" s="3" t="n"/>
      <c r="GF19" s="3" t="n"/>
      <c r="GG19" s="3" t="n"/>
      <c r="GH19" s="3" t="n"/>
      <c r="GI19" s="3" t="n"/>
      <c r="GJ19" s="3" t="n"/>
      <c r="GK19" s="3" t="n"/>
      <c r="GL19" s="3" t="n"/>
      <c r="GM19" s="3" t="n"/>
      <c r="GN19" s="3" t="n"/>
      <c r="GO19" s="3" t="n"/>
      <c r="GP19" s="3" t="n"/>
      <c r="GQ19" s="3" t="n"/>
      <c r="GR19" s="3" t="n"/>
      <c r="GS19" s="3" t="n"/>
      <c r="GT19" s="3" t="n"/>
      <c r="GU19" s="3" t="n"/>
      <c r="GV19" s="3" t="n"/>
      <c r="GW19" s="3" t="n"/>
      <c r="GX19" s="3" t="n"/>
      <c r="GY19" s="3" t="n"/>
      <c r="GZ19" s="3" t="n"/>
      <c r="HA19" s="3" t="n"/>
      <c r="HB19" s="3" t="n"/>
      <c r="HC19" s="3" t="n"/>
      <c r="HD19" s="3" t="n"/>
      <c r="HE19" s="3" t="n"/>
      <c r="HF19" s="3" t="n"/>
      <c r="HG19" s="3" t="n"/>
      <c r="HH19" s="3" t="n"/>
      <c r="HI19" s="3" t="n"/>
      <c r="HJ19" s="3" t="n"/>
      <c r="HK19" s="3" t="n"/>
      <c r="HL19" s="3" t="n"/>
      <c r="HM19" s="3" t="n"/>
      <c r="HN19" s="3" t="n"/>
      <c r="HO19" s="3" t="n"/>
      <c r="HP19" s="3" t="n"/>
      <c r="HQ19" s="3" t="n"/>
      <c r="HR19" s="3" t="n"/>
      <c r="HS19" s="3" t="n"/>
      <c r="HT19" s="3" t="n"/>
      <c r="HU19" s="3" t="n"/>
      <c r="HV19" s="3" t="n"/>
      <c r="HW19" s="3" t="n"/>
      <c r="HX19" s="3" t="n"/>
      <c r="HY19" s="3" t="n"/>
      <c r="HZ19" s="3" t="n"/>
      <c r="IA19" s="3" t="n"/>
      <c r="IB19" s="3" t="n"/>
      <c r="IC19" s="3" t="n"/>
      <c r="ID19" s="3" t="n"/>
      <c r="IE19" s="3" t="n"/>
      <c r="IF19" s="3" t="n"/>
      <c r="IG19" s="3" t="n"/>
      <c r="IH19" s="3" t="n"/>
      <c r="II19" s="3" t="n"/>
      <c r="IJ19" s="3" t="n"/>
      <c r="IK19" s="3" t="n"/>
      <c r="IL19" s="3" t="n"/>
      <c r="IM19" s="3" t="n"/>
      <c r="IN19" s="3" t="n"/>
      <c r="IO19" s="3" t="n"/>
      <c r="IP19" s="3" t="n"/>
      <c r="IQ19" s="3" t="n"/>
      <c r="IR19" s="3" t="n"/>
      <c r="IS19" s="3" t="n"/>
      <c r="IT19" s="3" t="n"/>
      <c r="IU19" s="3" t="n"/>
      <c r="IV19" s="3" t="n"/>
      <c r="IW19" s="3" t="n"/>
      <c r="IX19" s="3" t="n"/>
      <c r="IY19" s="3" t="n"/>
      <c r="IZ19" s="3" t="n"/>
    </row>
    <row r="20">
      <c r="A20" s="44" t="inlineStr">
        <is>
          <t>rpn</t>
        </is>
      </c>
      <c r="B20" s="3" t="inlineStr">
        <is>
          <t>coa</t>
        </is>
      </c>
      <c r="C20" s="3" t="inlineStr">
        <is>
          <t>ind</t>
        </is>
      </c>
      <c r="D20" s="133" t="n">
        <v>1</v>
      </c>
      <c r="E20" s="3" t="n"/>
      <c r="H20" s="3" t="inlineStr">
        <is>
          <t>Retail price incl. new taxes and subsidies (fuel-use weighted average of the after-tax prices atp of the subsectors priced by the block; rpb where they use none) | Industry | Coal</t>
        </is>
      </c>
      <c r="I20" s="3" t="inlineStr">
        <is>
          <t>USD/GJ real</t>
        </is>
      </c>
      <c r="J20" s="3" t="inlineStr">
        <is>
          <t>Mitigation section 19a</t>
        </is>
      </c>
      <c r="K20" s="3" t="inlineStr">
        <is>
          <t>egy.mit.rpn.ind.coa.1</t>
        </is>
      </c>
      <c r="L20" s="196" t="n">
        <v>11.25134662435542</v>
      </c>
      <c r="M20" s="196" t="n">
        <v>8.777356272224875</v>
      </c>
      <c r="N20" s="196" t="n">
        <v>7.571528433437519</v>
      </c>
      <c r="O20" s="196" t="n">
        <v>6.816201516066926</v>
      </c>
      <c r="P20" s="196" t="n">
        <v>7.232382745402233</v>
      </c>
      <c r="Q20" s="196" t="n">
        <v>7.326262736153317</v>
      </c>
      <c r="R20" s="196" t="n">
        <v>7.281748372612745</v>
      </c>
      <c r="S20" s="196" t="n">
        <v>7.234012047909863</v>
      </c>
      <c r="T20" s="196" t="n">
        <v>7.182921773630079</v>
      </c>
      <c r="U20" s="196" t="n">
        <v>7.133617579482906</v>
      </c>
      <c r="V20" s="196" t="n">
        <v>7.133617579482906</v>
      </c>
      <c r="W20" s="196" t="n">
        <v>7.133617579482905</v>
      </c>
      <c r="X20" s="196" t="n">
        <v>7.133617579482908</v>
      </c>
      <c r="Y20" s="196" t="n">
        <v>7.133617579482906</v>
      </c>
      <c r="Z20" s="196" t="n">
        <v>7.133617579482907</v>
      </c>
      <c r="AA20" s="196" t="n">
        <v>7.133617579482906</v>
      </c>
      <c r="AB20" s="196" t="n">
        <v>7.133617579482907</v>
      </c>
      <c r="AC20" s="196" t="n">
        <v>7.133617579482907</v>
      </c>
      <c r="AD20" s="196" t="n">
        <v>7.133617579482906</v>
      </c>
      <c r="AE20" s="196" t="n">
        <v>7.133617579482906</v>
      </c>
      <c r="AF20" s="3" t="n"/>
      <c r="AG20" s="3" t="inlineStr">
        <is>
          <t>egy.mit.rpn.ind.coa.2</t>
        </is>
      </c>
      <c r="AH20" s="196" t="n">
        <v>11.25134662435542</v>
      </c>
      <c r="AI20" s="196" t="n">
        <v>8.777356272224875</v>
      </c>
      <c r="AJ20" s="196" t="n">
        <v>7.571528433437519</v>
      </c>
      <c r="AK20" s="196" t="n">
        <v>6.816201516066926</v>
      </c>
      <c r="AL20" s="196" t="n">
        <v>7.232382745402233</v>
      </c>
      <c r="AM20" s="196" t="n">
        <v>9.317343602104829</v>
      </c>
      <c r="AN20" s="196" t="n">
        <v>9.27282923856426</v>
      </c>
      <c r="AO20" s="196" t="n">
        <v>9.225092913861376</v>
      </c>
      <c r="AP20" s="196" t="n">
        <v>9.174002639581591</v>
      </c>
      <c r="AQ20" s="196" t="n">
        <v>9.124698445434419</v>
      </c>
      <c r="AR20" s="196" t="n">
        <v>9.124698445434419</v>
      </c>
      <c r="AS20" s="196" t="n">
        <v>9.124698445434419</v>
      </c>
      <c r="AT20" s="196" t="n">
        <v>9.12469844543442</v>
      </c>
      <c r="AU20" s="196" t="n">
        <v>9.12469844543442</v>
      </c>
      <c r="AV20" s="196" t="n">
        <v>9.124698445434419</v>
      </c>
      <c r="AW20" s="196" t="n">
        <v>9.124698445434417</v>
      </c>
      <c r="AX20" s="196" t="n">
        <v>9.124698445434419</v>
      </c>
      <c r="AY20" s="196" t="n">
        <v>9.124698445434417</v>
      </c>
      <c r="AZ20" s="196" t="n">
        <v>9.12469844543442</v>
      </c>
      <c r="BA20" s="196" t="n">
        <v>9.12469844543442</v>
      </c>
      <c r="BB20" s="3" t="n"/>
      <c r="BC20" s="3" t="n"/>
      <c r="BD20" s="3" t="n"/>
      <c r="BE20" s="3" t="n"/>
      <c r="BF20" s="3" t="n"/>
      <c r="BG20" s="3" t="n"/>
      <c r="BH20" s="3" t="n"/>
      <c r="BI20" s="3" t="n"/>
      <c r="BJ20" s="3" t="n"/>
      <c r="BK20" s="3" t="n"/>
      <c r="BL20" s="3" t="n"/>
      <c r="BM20" s="3" t="n"/>
      <c r="BN20" s="3" t="n"/>
      <c r="BO20" s="3" t="n"/>
      <c r="BP20" s="3" t="n"/>
      <c r="BQ20" s="3" t="n"/>
      <c r="BR20" s="3" t="n"/>
      <c r="BS20" s="3" t="n"/>
      <c r="BT20" s="3" t="n"/>
      <c r="BU20" s="3" t="n"/>
      <c r="BV20" s="3" t="n"/>
      <c r="BW20" s="3" t="n"/>
      <c r="BX20" s="3" t="n"/>
      <c r="BY20" s="3" t="n"/>
      <c r="BZ20" s="3" t="n"/>
      <c r="CA20" s="3" t="n"/>
      <c r="CB20" s="3" t="n"/>
      <c r="CC20" s="3" t="n"/>
      <c r="CD20" s="3" t="n"/>
      <c r="CE20" s="3" t="n"/>
      <c r="CF20" s="3" t="n"/>
      <c r="CG20" s="3" t="n"/>
      <c r="CH20" s="3" t="n"/>
      <c r="CI20" s="3" t="n"/>
      <c r="CJ20" s="3" t="n"/>
      <c r="CK20" s="3" t="n"/>
      <c r="CL20" s="3" t="n"/>
      <c r="CM20" s="3" t="n"/>
      <c r="CN20" s="3" t="n"/>
      <c r="CO20" s="3" t="n"/>
      <c r="CP20" s="3" t="n"/>
      <c r="CQ20" s="3" t="n"/>
      <c r="CR20" s="3" t="n"/>
      <c r="CS20" s="3" t="n"/>
      <c r="CT20" s="3" t="n"/>
      <c r="CU20" s="3" t="n"/>
      <c r="CV20" s="3" t="n"/>
      <c r="CW20" s="3" t="n"/>
      <c r="CX20" s="3" t="n"/>
      <c r="CY20" s="3" t="n"/>
      <c r="CZ20" s="3" t="n"/>
      <c r="DA20" s="3" t="n"/>
      <c r="DB20" s="3" t="n"/>
      <c r="DC20" s="3" t="n"/>
      <c r="DD20" s="3" t="n"/>
      <c r="DE20" s="3" t="n"/>
      <c r="DF20" s="3" t="n"/>
      <c r="DG20" s="3" t="n"/>
      <c r="DH20" s="3" t="n"/>
      <c r="DI20" s="3" t="n"/>
      <c r="DJ20" s="3" t="n"/>
      <c r="DK20" s="3" t="n"/>
      <c r="DL20" s="3" t="n"/>
      <c r="DM20" s="3" t="n"/>
      <c r="DN20" s="3" t="n"/>
      <c r="DO20" s="3" t="n"/>
      <c r="DP20" s="3" t="n"/>
      <c r="DQ20" s="3" t="n"/>
      <c r="DR20" s="3" t="n"/>
      <c r="DS20" s="3" t="n"/>
      <c r="DT20" s="3" t="n"/>
      <c r="DU20" s="3" t="n"/>
      <c r="DV20" s="3" t="n"/>
      <c r="DW20" s="3" t="n"/>
      <c r="DX20" s="3" t="n"/>
      <c r="DY20" s="3" t="n"/>
      <c r="DZ20" s="3" t="n"/>
      <c r="EA20" s="3" t="n"/>
      <c r="EB20" s="3" t="n"/>
      <c r="EC20" s="3" t="n"/>
      <c r="ED20" s="3" t="n"/>
      <c r="EE20" s="3" t="n"/>
      <c r="EF20" s="3" t="n"/>
      <c r="EG20" s="3" t="n"/>
      <c r="EH20" s="3" t="n"/>
      <c r="EI20" s="3" t="n"/>
      <c r="EJ20" s="3" t="n"/>
      <c r="EK20" s="3" t="n"/>
      <c r="EL20" s="3" t="n"/>
      <c r="EM20" s="3" t="n"/>
      <c r="EN20" s="3" t="n"/>
      <c r="EO20" s="3" t="n"/>
      <c r="EP20" s="3" t="n"/>
      <c r="EQ20" s="3" t="n"/>
      <c r="ER20" s="3" t="n"/>
      <c r="ES20" s="3" t="n"/>
      <c r="ET20" s="3" t="n"/>
      <c r="EU20" s="3" t="n"/>
      <c r="EV20" s="3" t="n"/>
      <c r="EW20" s="3" t="n"/>
      <c r="EX20" s="3" t="n"/>
      <c r="EY20" s="3" t="n"/>
      <c r="EZ20" s="3" t="n"/>
      <c r="FA20" s="3" t="n"/>
      <c r="FB20" s="3" t="n"/>
      <c r="FC20" s="3" t="n"/>
      <c r="FD20" s="3" t="n"/>
      <c r="FE20" s="3" t="n"/>
      <c r="FF20" s="3" t="n"/>
      <c r="FG20" s="3" t="n"/>
      <c r="FH20" s="3" t="n"/>
      <c r="FI20" s="3" t="n"/>
      <c r="FJ20" s="3" t="n"/>
      <c r="FK20" s="3" t="n"/>
      <c r="FL20" s="3" t="n"/>
      <c r="FM20" s="3" t="n"/>
      <c r="FN20" s="3" t="n"/>
      <c r="FO20" s="3" t="n"/>
      <c r="FP20" s="3" t="n"/>
      <c r="FQ20" s="3" t="n"/>
      <c r="FR20" s="3" t="n"/>
      <c r="FS20" s="3" t="n"/>
      <c r="FT20" s="3" t="n"/>
      <c r="FU20" s="3" t="n"/>
      <c r="FV20" s="3" t="n"/>
      <c r="FW20" s="3" t="n"/>
      <c r="FX20" s="3" t="n"/>
      <c r="FY20" s="3" t="n"/>
      <c r="FZ20" s="3" t="n"/>
      <c r="GA20" s="3" t="n"/>
      <c r="GB20" s="3" t="n"/>
      <c r="GC20" s="3" t="n"/>
      <c r="GD20" s="3" t="n"/>
      <c r="GE20" s="3" t="n"/>
      <c r="GF20" s="3" t="n"/>
      <c r="GG20" s="3" t="n"/>
      <c r="GH20" s="3" t="n"/>
      <c r="GI20" s="3" t="n"/>
      <c r="GJ20" s="3" t="n"/>
      <c r="GK20" s="3" t="n"/>
      <c r="GL20" s="3" t="n"/>
      <c r="GM20" s="3" t="n"/>
      <c r="GN20" s="3" t="n"/>
      <c r="GO20" s="3" t="n"/>
      <c r="GP20" s="3" t="n"/>
      <c r="GQ20" s="3" t="n"/>
      <c r="GR20" s="3" t="n"/>
      <c r="GS20" s="3" t="n"/>
      <c r="GT20" s="3" t="n"/>
      <c r="GU20" s="3" t="n"/>
      <c r="GV20" s="3" t="n"/>
      <c r="GW20" s="3" t="n"/>
      <c r="GX20" s="3" t="n"/>
      <c r="GY20" s="3" t="n"/>
      <c r="GZ20" s="3" t="n"/>
      <c r="HA20" s="3" t="n"/>
      <c r="HB20" s="3" t="n"/>
      <c r="HC20" s="3" t="n"/>
      <c r="HD20" s="3" t="n"/>
      <c r="HE20" s="3" t="n"/>
      <c r="HF20" s="3" t="n"/>
      <c r="HG20" s="3" t="n"/>
      <c r="HH20" s="3" t="n"/>
      <c r="HI20" s="3" t="n"/>
      <c r="HJ20" s="3" t="n"/>
      <c r="HK20" s="3" t="n"/>
      <c r="HL20" s="3" t="n"/>
      <c r="HM20" s="3" t="n"/>
      <c r="HN20" s="3" t="n"/>
      <c r="HO20" s="3" t="n"/>
      <c r="HP20" s="3" t="n"/>
      <c r="HQ20" s="3" t="n"/>
      <c r="HR20" s="3" t="n"/>
      <c r="HS20" s="3" t="n"/>
      <c r="HT20" s="3" t="n"/>
      <c r="HU20" s="3" t="n"/>
      <c r="HV20" s="3" t="n"/>
      <c r="HW20" s="3" t="n"/>
      <c r="HX20" s="3" t="n"/>
      <c r="HY20" s="3" t="n"/>
      <c r="HZ20" s="3" t="n"/>
      <c r="IA20" s="3" t="n"/>
      <c r="IB20" s="3" t="n"/>
      <c r="IC20" s="3" t="n"/>
      <c r="ID20" s="3" t="n"/>
      <c r="IE20" s="3" t="n"/>
      <c r="IF20" s="3" t="n"/>
      <c r="IG20" s="3" t="n"/>
      <c r="IH20" s="3" t="n"/>
      <c r="II20" s="3" t="n"/>
      <c r="IJ20" s="3" t="n"/>
      <c r="IK20" s="3" t="n"/>
      <c r="IL20" s="3" t="n"/>
      <c r="IM20" s="3" t="n"/>
      <c r="IN20" s="3" t="n"/>
      <c r="IO20" s="3" t="n"/>
      <c r="IP20" s="3" t="n"/>
      <c r="IQ20" s="3" t="n"/>
      <c r="IR20" s="3" t="n"/>
      <c r="IS20" s="3" t="n"/>
      <c r="IT20" s="3" t="n"/>
      <c r="IU20" s="3" t="n"/>
      <c r="IV20" s="3" t="n"/>
      <c r="IW20" s="3" t="n"/>
      <c r="IX20" s="3" t="n"/>
      <c r="IY20" s="3" t="n"/>
      <c r="IZ20" s="3" t="n"/>
    </row>
    <row r="21">
      <c r="A21" s="44" t="inlineStr">
        <is>
          <t>rpn</t>
        </is>
      </c>
      <c r="B21" s="3" t="inlineStr">
        <is>
          <t>nga</t>
        </is>
      </c>
      <c r="C21" s="3" t="inlineStr">
        <is>
          <t>ind</t>
        </is>
      </c>
      <c r="D21" s="133" t="n">
        <v>1</v>
      </c>
      <c r="E21" s="3" t="n"/>
      <c r="H21" s="3" t="inlineStr">
        <is>
          <t>Retail price incl. new taxes and subsidies (fuel-use weighted average of the after-tax prices atp of the subsectors priced by the block; rpb where they use none) | Industry | Natural gas</t>
        </is>
      </c>
      <c r="I21" s="3" t="inlineStr">
        <is>
          <t>USD/GJ real</t>
        </is>
      </c>
      <c r="J21" s="3" t="inlineStr">
        <is>
          <t>Mitigation section 19a</t>
        </is>
      </c>
      <c r="K21" s="3" t="inlineStr">
        <is>
          <t>egy.mit.rpn.ind.nga.1</t>
        </is>
      </c>
      <c r="L21" s="196" t="n">
        <v>4.899794962971504</v>
      </c>
      <c r="M21" s="196" t="n">
        <v>5.118455079782481</v>
      </c>
      <c r="N21" s="196" t="n">
        <v>4.885007238406946</v>
      </c>
      <c r="O21" s="196" t="n">
        <v>4.885007238406946</v>
      </c>
      <c r="P21" s="196" t="n">
        <v>4.885007238406946</v>
      </c>
      <c r="Q21" s="196" t="n">
        <v>4.885007238406947</v>
      </c>
      <c r="R21" s="196" t="n">
        <v>4.885007238406946</v>
      </c>
      <c r="S21" s="196" t="n">
        <v>4.885007238406946</v>
      </c>
      <c r="T21" s="196" t="n">
        <v>4.885007238406946</v>
      </c>
      <c r="U21" s="196" t="n">
        <v>4.885007238406946</v>
      </c>
      <c r="V21" s="196" t="n">
        <v>4.885007238406946</v>
      </c>
      <c r="W21" s="196" t="n">
        <v>4.885007238406946</v>
      </c>
      <c r="X21" s="196" t="n">
        <v>4.885007238406946</v>
      </c>
      <c r="Y21" s="196" t="n">
        <v>4.885007238406946</v>
      </c>
      <c r="Z21" s="196" t="n">
        <v>4.885007238406946</v>
      </c>
      <c r="AA21" s="196" t="n">
        <v>4.885007238406945</v>
      </c>
      <c r="AB21" s="196" t="n">
        <v>4.885007238406946</v>
      </c>
      <c r="AC21" s="196" t="n">
        <v>4.885007238406947</v>
      </c>
      <c r="AD21" s="196" t="n">
        <v>4.885007238406946</v>
      </c>
      <c r="AE21" s="196" t="n">
        <v>4.885007238406947</v>
      </c>
      <c r="AF21" s="3" t="n"/>
      <c r="AG21" s="3" t="inlineStr">
        <is>
          <t>egy.mit.rpn.ind.nga.2</t>
        </is>
      </c>
      <c r="AH21" s="196" t="n">
        <v>4.899794962971504</v>
      </c>
      <c r="AI21" s="196" t="n">
        <v>5.118455079782481</v>
      </c>
      <c r="AJ21" s="196" t="n">
        <v>4.885007238406946</v>
      </c>
      <c r="AK21" s="196" t="n">
        <v>4.885007238406946</v>
      </c>
      <c r="AL21" s="196" t="n">
        <v>4.885007238406946</v>
      </c>
      <c r="AM21" s="196" t="n">
        <v>5.99603036160789</v>
      </c>
      <c r="AN21" s="196" t="n">
        <v>5.99603036160789</v>
      </c>
      <c r="AO21" s="196" t="n">
        <v>5.99603036160789</v>
      </c>
      <c r="AP21" s="196" t="n">
        <v>5.99603036160789</v>
      </c>
      <c r="AQ21" s="196" t="n">
        <v>5.99603036160789</v>
      </c>
      <c r="AR21" s="196" t="n">
        <v>5.996030361607889</v>
      </c>
      <c r="AS21" s="196" t="n">
        <v>5.99603036160789</v>
      </c>
      <c r="AT21" s="196" t="n">
        <v>5.996030361607889</v>
      </c>
      <c r="AU21" s="196" t="n">
        <v>5.99603036160789</v>
      </c>
      <c r="AV21" s="196" t="n">
        <v>5.99603036160789</v>
      </c>
      <c r="AW21" s="196" t="n">
        <v>5.99603036160789</v>
      </c>
      <c r="AX21" s="196" t="n">
        <v>5.99603036160789</v>
      </c>
      <c r="AY21" s="196" t="n">
        <v>5.99603036160789</v>
      </c>
      <c r="AZ21" s="196" t="n">
        <v>5.99603036160789</v>
      </c>
      <c r="BA21" s="196" t="n">
        <v>5.99603036160789</v>
      </c>
      <c r="BB21" s="3" t="n"/>
      <c r="BC21" s="3" t="n"/>
      <c r="BD21" s="3" t="n"/>
      <c r="BE21" s="3" t="n"/>
      <c r="BF21" s="3" t="n"/>
      <c r="BG21" s="3" t="n"/>
      <c r="BH21" s="3" t="n"/>
      <c r="BI21" s="3" t="n"/>
      <c r="BJ21" s="3" t="n"/>
      <c r="BK21" s="3" t="n"/>
      <c r="BL21" s="3" t="n"/>
      <c r="BM21" s="3" t="n"/>
      <c r="BN21" s="3" t="n"/>
      <c r="BO21" s="3" t="n"/>
      <c r="BP21" s="3" t="n"/>
      <c r="BQ21" s="3" t="n"/>
      <c r="BR21" s="3" t="n"/>
      <c r="BS21" s="3" t="n"/>
      <c r="BT21" s="3" t="n"/>
      <c r="BU21" s="3" t="n"/>
      <c r="BV21" s="3" t="n"/>
      <c r="BW21" s="3" t="n"/>
      <c r="BX21" s="3" t="n"/>
      <c r="BY21" s="3" t="n"/>
      <c r="BZ21" s="3" t="n"/>
      <c r="CA21" s="3" t="n"/>
      <c r="CB21" s="3" t="n"/>
      <c r="CC21" s="3" t="n"/>
      <c r="CD21" s="3" t="n"/>
      <c r="CE21" s="3" t="n"/>
      <c r="CF21" s="3" t="n"/>
      <c r="CG21" s="3" t="n"/>
      <c r="CH21" s="3" t="n"/>
      <c r="CI21" s="3" t="n"/>
      <c r="CJ21" s="3" t="n"/>
      <c r="CK21" s="3" t="n"/>
      <c r="CL21" s="3" t="n"/>
      <c r="CM21" s="3" t="n"/>
      <c r="CN21" s="3" t="n"/>
      <c r="CO21" s="3" t="n"/>
      <c r="CP21" s="3" t="n"/>
      <c r="CQ21" s="3" t="n"/>
      <c r="CR21" s="3" t="n"/>
      <c r="CS21" s="3" t="n"/>
      <c r="CT21" s="3" t="n"/>
      <c r="CU21" s="3" t="n"/>
      <c r="CV21" s="3" t="n"/>
      <c r="CW21" s="3" t="n"/>
      <c r="CX21" s="3" t="n"/>
      <c r="CY21" s="3" t="n"/>
      <c r="CZ21" s="3" t="n"/>
      <c r="DA21" s="3" t="n"/>
      <c r="DB21" s="3" t="n"/>
      <c r="DC21" s="3" t="n"/>
      <c r="DD21" s="3" t="n"/>
      <c r="DE21" s="3" t="n"/>
      <c r="DF21" s="3" t="n"/>
      <c r="DG21" s="3" t="n"/>
      <c r="DH21" s="3" t="n"/>
      <c r="DI21" s="3" t="n"/>
      <c r="DJ21" s="3" t="n"/>
      <c r="DK21" s="3" t="n"/>
      <c r="DL21" s="3" t="n"/>
      <c r="DM21" s="3" t="n"/>
      <c r="DN21" s="3" t="n"/>
      <c r="DO21" s="3" t="n"/>
      <c r="DP21" s="3" t="n"/>
      <c r="DQ21" s="3" t="n"/>
      <c r="DR21" s="3" t="n"/>
      <c r="DS21" s="3" t="n"/>
      <c r="DT21" s="3" t="n"/>
      <c r="DU21" s="3" t="n"/>
      <c r="DV21" s="3" t="n"/>
      <c r="DW21" s="3" t="n"/>
      <c r="DX21" s="3" t="n"/>
      <c r="DY21" s="3" t="n"/>
      <c r="DZ21" s="3" t="n"/>
      <c r="EA21" s="3" t="n"/>
      <c r="EB21" s="3" t="n"/>
      <c r="EC21" s="3" t="n"/>
      <c r="ED21" s="3" t="n"/>
      <c r="EE21" s="3" t="n"/>
      <c r="EF21" s="3" t="n"/>
      <c r="EG21" s="3" t="n"/>
      <c r="EH21" s="3" t="n"/>
      <c r="EI21" s="3" t="n"/>
      <c r="EJ21" s="3" t="n"/>
      <c r="EK21" s="3" t="n"/>
      <c r="EL21" s="3" t="n"/>
      <c r="EM21" s="3" t="n"/>
      <c r="EN21" s="3" t="n"/>
      <c r="EO21" s="3" t="n"/>
      <c r="EP21" s="3" t="n"/>
      <c r="EQ21" s="3" t="n"/>
      <c r="ER21" s="3" t="n"/>
      <c r="ES21" s="3" t="n"/>
      <c r="ET21" s="3" t="n"/>
      <c r="EU21" s="3" t="n"/>
      <c r="EV21" s="3" t="n"/>
      <c r="EW21" s="3" t="n"/>
      <c r="EX21" s="3" t="n"/>
      <c r="EY21" s="3" t="n"/>
      <c r="EZ21" s="3" t="n"/>
      <c r="FA21" s="3" t="n"/>
      <c r="FB21" s="3" t="n"/>
      <c r="FC21" s="3" t="n"/>
      <c r="FD21" s="3" t="n"/>
      <c r="FE21" s="3" t="n"/>
      <c r="FF21" s="3" t="n"/>
      <c r="FG21" s="3" t="n"/>
      <c r="FH21" s="3" t="n"/>
      <c r="FI21" s="3" t="n"/>
      <c r="FJ21" s="3" t="n"/>
      <c r="FK21" s="3" t="n"/>
      <c r="FL21" s="3" t="n"/>
      <c r="FM21" s="3" t="n"/>
      <c r="FN21" s="3" t="n"/>
      <c r="FO21" s="3" t="n"/>
      <c r="FP21" s="3" t="n"/>
      <c r="FQ21" s="3" t="n"/>
      <c r="FR21" s="3" t="n"/>
      <c r="FS21" s="3" t="n"/>
      <c r="FT21" s="3" t="n"/>
      <c r="FU21" s="3" t="n"/>
      <c r="FV21" s="3" t="n"/>
      <c r="FW21" s="3" t="n"/>
      <c r="FX21" s="3" t="n"/>
      <c r="FY21" s="3" t="n"/>
      <c r="FZ21" s="3" t="n"/>
      <c r="GA21" s="3" t="n"/>
      <c r="GB21" s="3" t="n"/>
      <c r="GC21" s="3" t="n"/>
      <c r="GD21" s="3" t="n"/>
      <c r="GE21" s="3" t="n"/>
      <c r="GF21" s="3" t="n"/>
      <c r="GG21" s="3" t="n"/>
      <c r="GH21" s="3" t="n"/>
      <c r="GI21" s="3" t="n"/>
      <c r="GJ21" s="3" t="n"/>
      <c r="GK21" s="3" t="n"/>
      <c r="GL21" s="3" t="n"/>
      <c r="GM21" s="3" t="n"/>
      <c r="GN21" s="3" t="n"/>
      <c r="GO21" s="3" t="n"/>
      <c r="GP21" s="3" t="n"/>
      <c r="GQ21" s="3" t="n"/>
      <c r="GR21" s="3" t="n"/>
      <c r="GS21" s="3" t="n"/>
      <c r="GT21" s="3" t="n"/>
      <c r="GU21" s="3" t="n"/>
      <c r="GV21" s="3" t="n"/>
      <c r="GW21" s="3" t="n"/>
      <c r="GX21" s="3" t="n"/>
      <c r="GY21" s="3" t="n"/>
      <c r="GZ21" s="3" t="n"/>
      <c r="HA21" s="3" t="n"/>
      <c r="HB21" s="3" t="n"/>
      <c r="HC21" s="3" t="n"/>
      <c r="HD21" s="3" t="n"/>
      <c r="HE21" s="3" t="n"/>
      <c r="HF21" s="3" t="n"/>
      <c r="HG21" s="3" t="n"/>
      <c r="HH21" s="3" t="n"/>
      <c r="HI21" s="3" t="n"/>
      <c r="HJ21" s="3" t="n"/>
      <c r="HK21" s="3" t="n"/>
      <c r="HL21" s="3" t="n"/>
      <c r="HM21" s="3" t="n"/>
      <c r="HN21" s="3" t="n"/>
      <c r="HO21" s="3" t="n"/>
      <c r="HP21" s="3" t="n"/>
      <c r="HQ21" s="3" t="n"/>
      <c r="HR21" s="3" t="n"/>
      <c r="HS21" s="3" t="n"/>
      <c r="HT21" s="3" t="n"/>
      <c r="HU21" s="3" t="n"/>
      <c r="HV21" s="3" t="n"/>
      <c r="HW21" s="3" t="n"/>
      <c r="HX21" s="3" t="n"/>
      <c r="HY21" s="3" t="n"/>
      <c r="HZ21" s="3" t="n"/>
      <c r="IA21" s="3" t="n"/>
      <c r="IB21" s="3" t="n"/>
      <c r="IC21" s="3" t="n"/>
      <c r="ID21" s="3" t="n"/>
      <c r="IE21" s="3" t="n"/>
      <c r="IF21" s="3" t="n"/>
      <c r="IG21" s="3" t="n"/>
      <c r="IH21" s="3" t="n"/>
      <c r="II21" s="3" t="n"/>
      <c r="IJ21" s="3" t="n"/>
      <c r="IK21" s="3" t="n"/>
      <c r="IL21" s="3" t="n"/>
      <c r="IM21" s="3" t="n"/>
      <c r="IN21" s="3" t="n"/>
      <c r="IO21" s="3" t="n"/>
      <c r="IP21" s="3" t="n"/>
      <c r="IQ21" s="3" t="n"/>
      <c r="IR21" s="3" t="n"/>
      <c r="IS21" s="3" t="n"/>
      <c r="IT21" s="3" t="n"/>
      <c r="IU21" s="3" t="n"/>
      <c r="IV21" s="3" t="n"/>
      <c r="IW21" s="3" t="n"/>
      <c r="IX21" s="3" t="n"/>
      <c r="IY21" s="3" t="n"/>
      <c r="IZ21" s="3" t="n"/>
    </row>
    <row r="22">
      <c r="A22" s="44" t="inlineStr">
        <is>
          <t>rpn</t>
        </is>
      </c>
      <c r="B22" s="3" t="inlineStr">
        <is>
          <t>oop</t>
        </is>
      </c>
      <c r="C22" s="3" t="inlineStr">
        <is>
          <t>all</t>
        </is>
      </c>
      <c r="D22" s="133" t="n">
        <v>1</v>
      </c>
      <c r="E22" s="3" t="n"/>
      <c r="H22" s="3" t="inlineStr">
        <is>
          <t>Retail price incl. new taxes and subsidies (fuel-use weighted average of the after-tax prices atp of the subsectors priced by the block; rpb where they use none) | All sectors | Other oil products</t>
        </is>
      </c>
      <c r="I22" s="3" t="inlineStr">
        <is>
          <t>USD/GJ real</t>
        </is>
      </c>
      <c r="J22" s="3" t="inlineStr">
        <is>
          <t>Mitigation section 19a</t>
        </is>
      </c>
      <c r="K22" s="3" t="inlineStr">
        <is>
          <t>egy.mit.rpn.all.oop.1</t>
        </is>
      </c>
      <c r="L22" s="196" t="n">
        <v>4.863441586801504</v>
      </c>
      <c r="M22" s="196" t="n">
        <v>4.398444273684698</v>
      </c>
      <c r="N22" s="196" t="n">
        <v>4.185618044494788</v>
      </c>
      <c r="O22" s="196" t="n">
        <v>4.185618044494788</v>
      </c>
      <c r="P22" s="196" t="n">
        <v>4.185618044494788</v>
      </c>
      <c r="Q22" s="196" t="n">
        <v>4.185618044494788</v>
      </c>
      <c r="R22" s="196" t="n">
        <v>4.185618044494788</v>
      </c>
      <c r="S22" s="196" t="n">
        <v>4.185618044494788</v>
      </c>
      <c r="T22" s="196" t="n">
        <v>4.185618044494788</v>
      </c>
      <c r="U22" s="196" t="n">
        <v>4.185618044494788</v>
      </c>
      <c r="V22" s="196" t="n">
        <v>4.185618044494788</v>
      </c>
      <c r="W22" s="196" t="n">
        <v>4.185618044494787</v>
      </c>
      <c r="X22" s="196" t="n">
        <v>4.185618044494792</v>
      </c>
      <c r="Y22" s="196" t="n">
        <v>4.185618044494792</v>
      </c>
      <c r="Z22" s="196" t="n">
        <v>4.185618044494792</v>
      </c>
      <c r="AA22" s="196" t="n">
        <v>4.18561804449479</v>
      </c>
      <c r="AB22" s="196" t="n">
        <v>4.185618044494793</v>
      </c>
      <c r="AC22" s="196" t="n">
        <v>4.185618044494792</v>
      </c>
      <c r="AD22" s="196" t="n">
        <v>4.185618044494792</v>
      </c>
      <c r="AE22" s="196" t="n">
        <v>4.185618044494792</v>
      </c>
      <c r="AF22" s="3" t="n"/>
      <c r="AG22" s="3" t="inlineStr">
        <is>
          <t>egy.mit.rpn.all.oop.2</t>
        </is>
      </c>
      <c r="AH22" s="196" t="n">
        <v>4.863441586801504</v>
      </c>
      <c r="AI22" s="196" t="n">
        <v>4.398444273684698</v>
      </c>
      <c r="AJ22" s="196" t="n">
        <v>4.185618044494788</v>
      </c>
      <c r="AK22" s="196" t="n">
        <v>4.185618044494788</v>
      </c>
      <c r="AL22" s="196" t="n">
        <v>4.185618044494788</v>
      </c>
      <c r="AM22" s="196" t="n">
        <v>5.641612612414508</v>
      </c>
      <c r="AN22" s="196" t="n">
        <v>5.6416290357413</v>
      </c>
      <c r="AO22" s="196" t="n">
        <v>5.641645405581253</v>
      </c>
      <c r="AP22" s="196" t="n">
        <v>5.641661722066684</v>
      </c>
      <c r="AQ22" s="196" t="n">
        <v>5.64167798532989</v>
      </c>
      <c r="AR22" s="196" t="n">
        <v>5.641694195503145</v>
      </c>
      <c r="AS22" s="196" t="n">
        <v>5.641710352718693</v>
      </c>
      <c r="AT22" s="196" t="n">
        <v>5.641726457108752</v>
      </c>
      <c r="AU22" s="196" t="n">
        <v>5.641742508805498</v>
      </c>
      <c r="AV22" s="196" t="n">
        <v>5.641758507941086</v>
      </c>
      <c r="AW22" s="196" t="n">
        <v>5.641774454647623</v>
      </c>
      <c r="AX22" s="196" t="n">
        <v>5.641790349057191</v>
      </c>
      <c r="AY22" s="196" t="n">
        <v>5.641806191301806</v>
      </c>
      <c r="AZ22" s="196" t="n">
        <v>5.641821981513463</v>
      </c>
      <c r="BA22" s="196" t="n">
        <v>5.641837719824096</v>
      </c>
      <c r="BB22" s="3" t="n"/>
      <c r="BC22" s="3" t="n"/>
      <c r="BD22" s="3" t="n"/>
      <c r="BE22" s="3" t="n"/>
      <c r="BF22" s="3" t="n"/>
      <c r="BG22" s="3" t="n"/>
      <c r="BH22" s="3" t="n"/>
      <c r="BI22" s="3" t="n"/>
      <c r="BJ22" s="3" t="n"/>
      <c r="BK22" s="3" t="n"/>
      <c r="BL22" s="3" t="n"/>
      <c r="BM22" s="3" t="n"/>
      <c r="BN22" s="3" t="n"/>
      <c r="BO22" s="3" t="n"/>
      <c r="BP22" s="3" t="n"/>
      <c r="BQ22" s="3" t="n"/>
      <c r="BR22" s="3" t="n"/>
      <c r="BS22" s="3" t="n"/>
      <c r="BT22" s="3" t="n"/>
      <c r="BU22" s="3" t="n"/>
      <c r="BV22" s="3" t="n"/>
      <c r="BW22" s="3" t="n"/>
      <c r="BX22" s="3" t="n"/>
      <c r="BY22" s="3" t="n"/>
      <c r="BZ22" s="3" t="n"/>
      <c r="CA22" s="3" t="n"/>
      <c r="CB22" s="3" t="n"/>
      <c r="CC22" s="3" t="n"/>
      <c r="CD22" s="3" t="n"/>
      <c r="CE22" s="3" t="n"/>
      <c r="CF22" s="3" t="n"/>
      <c r="CG22" s="3" t="n"/>
      <c r="CH22" s="3" t="n"/>
      <c r="CI22" s="3" t="n"/>
      <c r="CJ22" s="3" t="n"/>
      <c r="CK22" s="3" t="n"/>
      <c r="CL22" s="3" t="n"/>
      <c r="CM22" s="3" t="n"/>
      <c r="CN22" s="3" t="n"/>
      <c r="CO22" s="3" t="n"/>
      <c r="CP22" s="3" t="n"/>
      <c r="CQ22" s="3" t="n"/>
      <c r="CR22" s="3" t="n"/>
      <c r="CS22" s="3" t="n"/>
      <c r="CT22" s="3" t="n"/>
      <c r="CU22" s="3" t="n"/>
      <c r="CV22" s="3" t="n"/>
      <c r="CW22" s="3" t="n"/>
      <c r="CX22" s="3" t="n"/>
      <c r="CY22" s="3" t="n"/>
      <c r="CZ22" s="3" t="n"/>
      <c r="DA22" s="3" t="n"/>
      <c r="DB22" s="3" t="n"/>
      <c r="DC22" s="3" t="n"/>
      <c r="DD22" s="3" t="n"/>
      <c r="DE22" s="3" t="n"/>
      <c r="DF22" s="3" t="n"/>
      <c r="DG22" s="3" t="n"/>
      <c r="DH22" s="3" t="n"/>
      <c r="DI22" s="3" t="n"/>
      <c r="DJ22" s="3" t="n"/>
      <c r="DK22" s="3" t="n"/>
      <c r="DL22" s="3" t="n"/>
      <c r="DM22" s="3" t="n"/>
      <c r="DN22" s="3" t="n"/>
      <c r="DO22" s="3" t="n"/>
      <c r="DP22" s="3" t="n"/>
      <c r="DQ22" s="3" t="n"/>
      <c r="DR22" s="3" t="n"/>
      <c r="DS22" s="3" t="n"/>
      <c r="DT22" s="3" t="n"/>
      <c r="DU22" s="3" t="n"/>
      <c r="DV22" s="3" t="n"/>
      <c r="DW22" s="3" t="n"/>
      <c r="DX22" s="3" t="n"/>
      <c r="DY22" s="3" t="n"/>
      <c r="DZ22" s="3" t="n"/>
      <c r="EA22" s="3" t="n"/>
      <c r="EB22" s="3" t="n"/>
      <c r="EC22" s="3" t="n"/>
      <c r="ED22" s="3" t="n"/>
      <c r="EE22" s="3" t="n"/>
      <c r="EF22" s="3" t="n"/>
      <c r="EG22" s="3" t="n"/>
      <c r="EH22" s="3" t="n"/>
      <c r="EI22" s="3" t="n"/>
      <c r="EJ22" s="3" t="n"/>
      <c r="EK22" s="3" t="n"/>
      <c r="EL22" s="3" t="n"/>
      <c r="EM22" s="3" t="n"/>
      <c r="EN22" s="3" t="n"/>
      <c r="EO22" s="3" t="n"/>
      <c r="EP22" s="3" t="n"/>
      <c r="EQ22" s="3" t="n"/>
      <c r="ER22" s="3" t="n"/>
      <c r="ES22" s="3" t="n"/>
      <c r="ET22" s="3" t="n"/>
      <c r="EU22" s="3" t="n"/>
      <c r="EV22" s="3" t="n"/>
      <c r="EW22" s="3" t="n"/>
      <c r="EX22" s="3" t="n"/>
      <c r="EY22" s="3" t="n"/>
      <c r="EZ22" s="3" t="n"/>
      <c r="FA22" s="3" t="n"/>
      <c r="FB22" s="3" t="n"/>
      <c r="FC22" s="3" t="n"/>
      <c r="FD22" s="3" t="n"/>
      <c r="FE22" s="3" t="n"/>
      <c r="FF22" s="3" t="n"/>
      <c r="FG22" s="3" t="n"/>
      <c r="FH22" s="3" t="n"/>
      <c r="FI22" s="3" t="n"/>
      <c r="FJ22" s="3" t="n"/>
      <c r="FK22" s="3" t="n"/>
      <c r="FL22" s="3" t="n"/>
      <c r="FM22" s="3" t="n"/>
      <c r="FN22" s="3" t="n"/>
      <c r="FO22" s="3" t="n"/>
      <c r="FP22" s="3" t="n"/>
      <c r="FQ22" s="3" t="n"/>
      <c r="FR22" s="3" t="n"/>
      <c r="FS22" s="3" t="n"/>
      <c r="FT22" s="3" t="n"/>
      <c r="FU22" s="3" t="n"/>
      <c r="FV22" s="3" t="n"/>
      <c r="FW22" s="3" t="n"/>
      <c r="FX22" s="3" t="n"/>
      <c r="FY22" s="3" t="n"/>
      <c r="FZ22" s="3" t="n"/>
      <c r="GA22" s="3" t="n"/>
      <c r="GB22" s="3" t="n"/>
      <c r="GC22" s="3" t="n"/>
      <c r="GD22" s="3" t="n"/>
      <c r="GE22" s="3" t="n"/>
      <c r="GF22" s="3" t="n"/>
      <c r="GG22" s="3" t="n"/>
      <c r="GH22" s="3" t="n"/>
      <c r="GI22" s="3" t="n"/>
      <c r="GJ22" s="3" t="n"/>
      <c r="GK22" s="3" t="n"/>
      <c r="GL22" s="3" t="n"/>
      <c r="GM22" s="3" t="n"/>
      <c r="GN22" s="3" t="n"/>
      <c r="GO22" s="3" t="n"/>
      <c r="GP22" s="3" t="n"/>
      <c r="GQ22" s="3" t="n"/>
      <c r="GR22" s="3" t="n"/>
      <c r="GS22" s="3" t="n"/>
      <c r="GT22" s="3" t="n"/>
      <c r="GU22" s="3" t="n"/>
      <c r="GV22" s="3" t="n"/>
      <c r="GW22" s="3" t="n"/>
      <c r="GX22" s="3" t="n"/>
      <c r="GY22" s="3" t="n"/>
      <c r="GZ22" s="3" t="n"/>
      <c r="HA22" s="3" t="n"/>
      <c r="HB22" s="3" t="n"/>
      <c r="HC22" s="3" t="n"/>
      <c r="HD22" s="3" t="n"/>
      <c r="HE22" s="3" t="n"/>
      <c r="HF22" s="3" t="n"/>
      <c r="HG22" s="3" t="n"/>
      <c r="HH22" s="3" t="n"/>
      <c r="HI22" s="3" t="n"/>
      <c r="HJ22" s="3" t="n"/>
      <c r="HK22" s="3" t="n"/>
      <c r="HL22" s="3" t="n"/>
      <c r="HM22" s="3" t="n"/>
      <c r="HN22" s="3" t="n"/>
      <c r="HO22" s="3" t="n"/>
      <c r="HP22" s="3" t="n"/>
      <c r="HQ22" s="3" t="n"/>
      <c r="HR22" s="3" t="n"/>
      <c r="HS22" s="3" t="n"/>
      <c r="HT22" s="3" t="n"/>
      <c r="HU22" s="3" t="n"/>
      <c r="HV22" s="3" t="n"/>
      <c r="HW22" s="3" t="n"/>
      <c r="HX22" s="3" t="n"/>
      <c r="HY22" s="3" t="n"/>
      <c r="HZ22" s="3" t="n"/>
      <c r="IA22" s="3" t="n"/>
      <c r="IB22" s="3" t="n"/>
      <c r="IC22" s="3" t="n"/>
      <c r="ID22" s="3" t="n"/>
      <c r="IE22" s="3" t="n"/>
      <c r="IF22" s="3" t="n"/>
      <c r="IG22" s="3" t="n"/>
      <c r="IH22" s="3" t="n"/>
      <c r="II22" s="3" t="n"/>
      <c r="IJ22" s="3" t="n"/>
      <c r="IK22" s="3" t="n"/>
      <c r="IL22" s="3" t="n"/>
      <c r="IM22" s="3" t="n"/>
      <c r="IN22" s="3" t="n"/>
      <c r="IO22" s="3" t="n"/>
      <c r="IP22" s="3" t="n"/>
      <c r="IQ22" s="3" t="n"/>
      <c r="IR22" s="3" t="n"/>
      <c r="IS22" s="3" t="n"/>
      <c r="IT22" s="3" t="n"/>
      <c r="IU22" s="3" t="n"/>
      <c r="IV22" s="3" t="n"/>
      <c r="IW22" s="3" t="n"/>
      <c r="IX22" s="3" t="n"/>
      <c r="IY22" s="3" t="n"/>
      <c r="IZ22" s="3" t="n"/>
    </row>
    <row r="23">
      <c r="A23" s="44" t="inlineStr">
        <is>
          <t>rpn</t>
        </is>
      </c>
      <c r="B23" s="3" t="inlineStr">
        <is>
          <t>gso</t>
        </is>
      </c>
      <c r="C23" s="3" t="inlineStr">
        <is>
          <t>all</t>
        </is>
      </c>
      <c r="D23" s="133" t="n">
        <v>1</v>
      </c>
      <c r="E23" s="3" t="n"/>
      <c r="H23" s="3" t="inlineStr">
        <is>
          <t>Retail price incl. new taxes and subsidies (fuel-use weighted average of the after-tax prices atp of the subsectors priced by the block; rpb where they use none) | All sectors | Gasoline</t>
        </is>
      </c>
      <c r="I23" s="3" t="inlineStr">
        <is>
          <t>USD/GJ real</t>
        </is>
      </c>
      <c r="J23" s="3" t="inlineStr">
        <is>
          <t>Mitigation section 19a</t>
        </is>
      </c>
      <c r="K23" s="3" t="inlineStr">
        <is>
          <t>egy.mit.rpn.all.gso.1</t>
        </is>
      </c>
      <c r="L23" s="196" t="n">
        <v>18.10713099918123</v>
      </c>
      <c r="M23" s="196" t="n">
        <v>11.32867536386198</v>
      </c>
      <c r="N23" s="196" t="n">
        <v>9.145040758911087</v>
      </c>
      <c r="O23" s="196" t="n">
        <v>9.145040758911087</v>
      </c>
      <c r="P23" s="196" t="n">
        <v>9.145040758911087</v>
      </c>
      <c r="Q23" s="196" t="n">
        <v>9.145040758911087</v>
      </c>
      <c r="R23" s="196" t="n">
        <v>9.145040758911087</v>
      </c>
      <c r="S23" s="196" t="n">
        <v>9.145040758911087</v>
      </c>
      <c r="T23" s="196" t="n">
        <v>9.145040758911087</v>
      </c>
      <c r="U23" s="196" t="n">
        <v>9.145040758911087</v>
      </c>
      <c r="V23" s="196" t="n">
        <v>9.145040758911087</v>
      </c>
      <c r="W23" s="196" t="n">
        <v>9.145040758911087</v>
      </c>
      <c r="X23" s="196" t="n">
        <v>9.14504075891109</v>
      </c>
      <c r="Y23" s="196" t="n">
        <v>9.14504075891109</v>
      </c>
      <c r="Z23" s="196" t="n">
        <v>9.14504075891109</v>
      </c>
      <c r="AA23" s="196" t="n">
        <v>9.14504075891109</v>
      </c>
      <c r="AB23" s="196" t="n">
        <v>9.14504075891109</v>
      </c>
      <c r="AC23" s="196" t="n">
        <v>9.14504075891109</v>
      </c>
      <c r="AD23" s="196" t="n">
        <v>9.14504075891109</v>
      </c>
      <c r="AE23" s="196" t="n">
        <v>9.145040758911094</v>
      </c>
      <c r="AF23" s="3" t="n"/>
      <c r="AG23" s="3" t="inlineStr">
        <is>
          <t>egy.mit.rpn.all.gso.2</t>
        </is>
      </c>
      <c r="AH23" s="196" t="n">
        <v>18.10713099918123</v>
      </c>
      <c r="AI23" s="196" t="n">
        <v>11.32867536386198</v>
      </c>
      <c r="AJ23" s="196" t="n">
        <v>9.145040758911087</v>
      </c>
      <c r="AK23" s="196" t="n">
        <v>9.145040758911087</v>
      </c>
      <c r="AL23" s="196" t="n">
        <v>9.145040758911087</v>
      </c>
      <c r="AM23" s="196" t="n">
        <v>10.46269825438048</v>
      </c>
      <c r="AN23" s="196" t="n">
        <v>10.46269825438048</v>
      </c>
      <c r="AO23" s="196" t="n">
        <v>10.46269825438048</v>
      </c>
      <c r="AP23" s="196" t="n">
        <v>10.46269825438048</v>
      </c>
      <c r="AQ23" s="196" t="n">
        <v>10.46269825438048</v>
      </c>
      <c r="AR23" s="196" t="n">
        <v>10.46269825438048</v>
      </c>
      <c r="AS23" s="196" t="n">
        <v>10.46269825438048</v>
      </c>
      <c r="AT23" s="196" t="n">
        <v>10.46269825438048</v>
      </c>
      <c r="AU23" s="196" t="n">
        <v>10.46269825438048</v>
      </c>
      <c r="AV23" s="196" t="n">
        <v>10.46269825438048</v>
      </c>
      <c r="AW23" s="196" t="n">
        <v>10.46269825438048</v>
      </c>
      <c r="AX23" s="196" t="n">
        <v>10.46269825438048</v>
      </c>
      <c r="AY23" s="196" t="n">
        <v>10.46269825438048</v>
      </c>
      <c r="AZ23" s="196" t="n">
        <v>10.46269825438048</v>
      </c>
      <c r="BA23" s="196" t="n">
        <v>10.46269825438049</v>
      </c>
      <c r="BB23" s="3" t="n"/>
      <c r="BC23" s="3" t="n"/>
      <c r="BD23" s="3" t="n"/>
      <c r="BE23" s="3" t="n"/>
      <c r="BF23" s="3" t="n"/>
      <c r="BG23" s="3" t="n"/>
      <c r="BH23" s="3" t="n"/>
      <c r="BI23" s="3" t="n"/>
      <c r="BJ23" s="3" t="n"/>
      <c r="BK23" s="3" t="n"/>
      <c r="BL23" s="3" t="n"/>
      <c r="BM23" s="3" t="n"/>
      <c r="BN23" s="3" t="n"/>
      <c r="BO23" s="3" t="n"/>
      <c r="BP23" s="3" t="n"/>
      <c r="BQ23" s="3" t="n"/>
      <c r="BR23" s="3" t="n"/>
      <c r="BS23" s="3" t="n"/>
      <c r="BT23" s="3" t="n"/>
      <c r="BU23" s="3" t="n"/>
      <c r="BV23" s="3" t="n"/>
      <c r="BW23" s="3" t="n"/>
      <c r="BX23" s="3" t="n"/>
      <c r="BY23" s="3" t="n"/>
      <c r="BZ23" s="3" t="n"/>
      <c r="CA23" s="3" t="n"/>
      <c r="CB23" s="3" t="n"/>
      <c r="CC23" s="3" t="n"/>
      <c r="CD23" s="3" t="n"/>
      <c r="CE23" s="3" t="n"/>
      <c r="CF23" s="3" t="n"/>
      <c r="CG23" s="3" t="n"/>
      <c r="CH23" s="3" t="n"/>
      <c r="CI23" s="3" t="n"/>
      <c r="CJ23" s="3" t="n"/>
      <c r="CK23" s="3" t="n"/>
      <c r="CL23" s="3" t="n"/>
      <c r="CM23" s="3" t="n"/>
      <c r="CN23" s="3" t="n"/>
      <c r="CO23" s="3" t="n"/>
      <c r="CP23" s="3" t="n"/>
      <c r="CQ23" s="3" t="n"/>
      <c r="CR23" s="3" t="n"/>
      <c r="CS23" s="3" t="n"/>
      <c r="CT23" s="3" t="n"/>
      <c r="CU23" s="3" t="n"/>
      <c r="CV23" s="3" t="n"/>
      <c r="CW23" s="3" t="n"/>
      <c r="CX23" s="3" t="n"/>
      <c r="CY23" s="3" t="n"/>
      <c r="CZ23" s="3" t="n"/>
      <c r="DA23" s="3" t="n"/>
      <c r="DB23" s="3" t="n"/>
      <c r="DC23" s="3" t="n"/>
      <c r="DD23" s="3" t="n"/>
      <c r="DE23" s="3" t="n"/>
      <c r="DF23" s="3" t="n"/>
      <c r="DG23" s="3" t="n"/>
      <c r="DH23" s="3" t="n"/>
      <c r="DI23" s="3" t="n"/>
      <c r="DJ23" s="3" t="n"/>
      <c r="DK23" s="3" t="n"/>
      <c r="DL23" s="3" t="n"/>
      <c r="DM23" s="3" t="n"/>
      <c r="DN23" s="3" t="n"/>
      <c r="DO23" s="3" t="n"/>
      <c r="DP23" s="3" t="n"/>
      <c r="DQ23" s="3" t="n"/>
      <c r="DR23" s="3" t="n"/>
      <c r="DS23" s="3" t="n"/>
      <c r="DT23" s="3" t="n"/>
      <c r="DU23" s="3" t="n"/>
      <c r="DV23" s="3" t="n"/>
      <c r="DW23" s="3" t="n"/>
      <c r="DX23" s="3" t="n"/>
      <c r="DY23" s="3" t="n"/>
      <c r="DZ23" s="3" t="n"/>
      <c r="EA23" s="3" t="n"/>
      <c r="EB23" s="3" t="n"/>
      <c r="EC23" s="3" t="n"/>
      <c r="ED23" s="3" t="n"/>
      <c r="EE23" s="3" t="n"/>
      <c r="EF23" s="3" t="n"/>
      <c r="EG23" s="3" t="n"/>
      <c r="EH23" s="3" t="n"/>
      <c r="EI23" s="3" t="n"/>
      <c r="EJ23" s="3" t="n"/>
      <c r="EK23" s="3" t="n"/>
      <c r="EL23" s="3" t="n"/>
      <c r="EM23" s="3" t="n"/>
      <c r="EN23" s="3" t="n"/>
      <c r="EO23" s="3" t="n"/>
      <c r="EP23" s="3" t="n"/>
      <c r="EQ23" s="3" t="n"/>
      <c r="ER23" s="3" t="n"/>
      <c r="ES23" s="3" t="n"/>
      <c r="ET23" s="3" t="n"/>
      <c r="EU23" s="3" t="n"/>
      <c r="EV23" s="3" t="n"/>
      <c r="EW23" s="3" t="n"/>
      <c r="EX23" s="3" t="n"/>
      <c r="EY23" s="3" t="n"/>
      <c r="EZ23" s="3" t="n"/>
      <c r="FA23" s="3" t="n"/>
      <c r="FB23" s="3" t="n"/>
      <c r="FC23" s="3" t="n"/>
      <c r="FD23" s="3" t="n"/>
      <c r="FE23" s="3" t="n"/>
      <c r="FF23" s="3" t="n"/>
      <c r="FG23" s="3" t="n"/>
      <c r="FH23" s="3" t="n"/>
      <c r="FI23" s="3" t="n"/>
      <c r="FJ23" s="3" t="n"/>
      <c r="FK23" s="3" t="n"/>
      <c r="FL23" s="3" t="n"/>
      <c r="FM23" s="3" t="n"/>
      <c r="FN23" s="3" t="n"/>
      <c r="FO23" s="3" t="n"/>
      <c r="FP23" s="3" t="n"/>
      <c r="FQ23" s="3" t="n"/>
      <c r="FR23" s="3" t="n"/>
      <c r="FS23" s="3" t="n"/>
      <c r="FT23" s="3" t="n"/>
      <c r="FU23" s="3" t="n"/>
      <c r="FV23" s="3" t="n"/>
      <c r="FW23" s="3" t="n"/>
      <c r="FX23" s="3" t="n"/>
      <c r="FY23" s="3" t="n"/>
      <c r="FZ23" s="3" t="n"/>
      <c r="GA23" s="3" t="n"/>
      <c r="GB23" s="3" t="n"/>
      <c r="GC23" s="3" t="n"/>
      <c r="GD23" s="3" t="n"/>
      <c r="GE23" s="3" t="n"/>
      <c r="GF23" s="3" t="n"/>
      <c r="GG23" s="3" t="n"/>
      <c r="GH23" s="3" t="n"/>
      <c r="GI23" s="3" t="n"/>
      <c r="GJ23" s="3" t="n"/>
      <c r="GK23" s="3" t="n"/>
      <c r="GL23" s="3" t="n"/>
      <c r="GM23" s="3" t="n"/>
      <c r="GN23" s="3" t="n"/>
      <c r="GO23" s="3" t="n"/>
      <c r="GP23" s="3" t="n"/>
      <c r="GQ23" s="3" t="n"/>
      <c r="GR23" s="3" t="n"/>
      <c r="GS23" s="3" t="n"/>
      <c r="GT23" s="3" t="n"/>
      <c r="GU23" s="3" t="n"/>
      <c r="GV23" s="3" t="n"/>
      <c r="GW23" s="3" t="n"/>
      <c r="GX23" s="3" t="n"/>
      <c r="GY23" s="3" t="n"/>
      <c r="GZ23" s="3" t="n"/>
      <c r="HA23" s="3" t="n"/>
      <c r="HB23" s="3" t="n"/>
      <c r="HC23" s="3" t="n"/>
      <c r="HD23" s="3" t="n"/>
      <c r="HE23" s="3" t="n"/>
      <c r="HF23" s="3" t="n"/>
      <c r="HG23" s="3" t="n"/>
      <c r="HH23" s="3" t="n"/>
      <c r="HI23" s="3" t="n"/>
      <c r="HJ23" s="3" t="n"/>
      <c r="HK23" s="3" t="n"/>
      <c r="HL23" s="3" t="n"/>
      <c r="HM23" s="3" t="n"/>
      <c r="HN23" s="3" t="n"/>
      <c r="HO23" s="3" t="n"/>
      <c r="HP23" s="3" t="n"/>
      <c r="HQ23" s="3" t="n"/>
      <c r="HR23" s="3" t="n"/>
      <c r="HS23" s="3" t="n"/>
      <c r="HT23" s="3" t="n"/>
      <c r="HU23" s="3" t="n"/>
      <c r="HV23" s="3" t="n"/>
      <c r="HW23" s="3" t="n"/>
      <c r="HX23" s="3" t="n"/>
      <c r="HY23" s="3" t="n"/>
      <c r="HZ23" s="3" t="n"/>
      <c r="IA23" s="3" t="n"/>
      <c r="IB23" s="3" t="n"/>
      <c r="IC23" s="3" t="n"/>
      <c r="ID23" s="3" t="n"/>
      <c r="IE23" s="3" t="n"/>
      <c r="IF23" s="3" t="n"/>
      <c r="IG23" s="3" t="n"/>
      <c r="IH23" s="3" t="n"/>
      <c r="II23" s="3" t="n"/>
      <c r="IJ23" s="3" t="n"/>
      <c r="IK23" s="3" t="n"/>
      <c r="IL23" s="3" t="n"/>
      <c r="IM23" s="3" t="n"/>
      <c r="IN23" s="3" t="n"/>
      <c r="IO23" s="3" t="n"/>
      <c r="IP23" s="3" t="n"/>
      <c r="IQ23" s="3" t="n"/>
      <c r="IR23" s="3" t="n"/>
      <c r="IS23" s="3" t="n"/>
      <c r="IT23" s="3" t="n"/>
      <c r="IU23" s="3" t="n"/>
      <c r="IV23" s="3" t="n"/>
      <c r="IW23" s="3" t="n"/>
      <c r="IX23" s="3" t="n"/>
      <c r="IY23" s="3" t="n"/>
      <c r="IZ23" s="3" t="n"/>
    </row>
    <row r="24">
      <c r="A24" s="44" t="inlineStr">
        <is>
          <t>rpn</t>
        </is>
      </c>
      <c r="B24" s="3" t="inlineStr">
        <is>
          <t>die</t>
        </is>
      </c>
      <c r="C24" s="3" t="inlineStr">
        <is>
          <t>all</t>
        </is>
      </c>
      <c r="D24" s="133" t="n">
        <v>1</v>
      </c>
      <c r="E24" s="3" t="n"/>
      <c r="H24" s="3" t="inlineStr">
        <is>
          <t>Retail price incl. new taxes and subsidies (fuel-use weighted average of the after-tax prices atp of the subsectors priced by the block; rpb where they use none) | All sectors | Diesel</t>
        </is>
      </c>
      <c r="I24" s="3" t="inlineStr">
        <is>
          <t>USD/GJ real</t>
        </is>
      </c>
      <c r="J24" s="3" t="inlineStr">
        <is>
          <t>Mitigation section 19a</t>
        </is>
      </c>
      <c r="K24" s="3" t="inlineStr">
        <is>
          <t>egy.mit.rpn.all.die.1</t>
        </is>
      </c>
      <c r="L24" s="196" t="n">
        <v>11.22829503955268</v>
      </c>
      <c r="M24" s="196" t="n">
        <v>7.749170417978281</v>
      </c>
      <c r="N24" s="196" t="n">
        <v>6.826689201296462</v>
      </c>
      <c r="O24" s="196" t="n">
        <v>6.826689201296462</v>
      </c>
      <c r="P24" s="196" t="n">
        <v>6.826689201296461</v>
      </c>
      <c r="Q24" s="196" t="n">
        <v>6.826689201296461</v>
      </c>
      <c r="R24" s="196" t="n">
        <v>6.826689201296462</v>
      </c>
      <c r="S24" s="196" t="n">
        <v>6.826689201296462</v>
      </c>
      <c r="T24" s="196" t="n">
        <v>6.826689201296461</v>
      </c>
      <c r="U24" s="196" t="n">
        <v>6.826689201296462</v>
      </c>
      <c r="V24" s="196" t="n">
        <v>6.826689201296462</v>
      </c>
      <c r="W24" s="196" t="n">
        <v>6.826689201296462</v>
      </c>
      <c r="X24" s="196" t="n">
        <v>6.826689201296466</v>
      </c>
      <c r="Y24" s="196" t="n">
        <v>6.826689201296466</v>
      </c>
      <c r="Z24" s="196" t="n">
        <v>6.826689201296466</v>
      </c>
      <c r="AA24" s="196" t="n">
        <v>6.826689201296461</v>
      </c>
      <c r="AB24" s="196" t="n">
        <v>6.826689201296462</v>
      </c>
      <c r="AC24" s="196" t="n">
        <v>6.826689201296461</v>
      </c>
      <c r="AD24" s="196" t="n">
        <v>6.826689201296462</v>
      </c>
      <c r="AE24" s="196" t="n">
        <v>6.826689201296462</v>
      </c>
      <c r="AF24" s="3" t="n"/>
      <c r="AG24" s="3" t="inlineStr">
        <is>
          <t>egy.mit.rpn.all.die.2</t>
        </is>
      </c>
      <c r="AH24" s="196" t="n">
        <v>11.22829503955268</v>
      </c>
      <c r="AI24" s="196" t="n">
        <v>7.749170417978281</v>
      </c>
      <c r="AJ24" s="196" t="n">
        <v>6.826689201296462</v>
      </c>
      <c r="AK24" s="196" t="n">
        <v>6.826689201296462</v>
      </c>
      <c r="AL24" s="196" t="n">
        <v>6.826689201296461</v>
      </c>
      <c r="AM24" s="196" t="n">
        <v>8.246435402794202</v>
      </c>
      <c r="AN24" s="196" t="n">
        <v>8.246436164718043</v>
      </c>
      <c r="AO24" s="196" t="n">
        <v>8.246438690467677</v>
      </c>
      <c r="AP24" s="196" t="n">
        <v>8.246444852587587</v>
      </c>
      <c r="AQ24" s="196" t="n">
        <v>8.246450556078081</v>
      </c>
      <c r="AR24" s="196" t="n">
        <v>8.246457083405188</v>
      </c>
      <c r="AS24" s="196" t="n">
        <v>8.246463248652468</v>
      </c>
      <c r="AT24" s="196" t="n">
        <v>8.246469445792027</v>
      </c>
      <c r="AU24" s="196" t="n">
        <v>8.246476175267984</v>
      </c>
      <c r="AV24" s="196" t="n">
        <v>8.24648312658803</v>
      </c>
      <c r="AW24" s="196" t="n">
        <v>8.246490113409918</v>
      </c>
      <c r="AX24" s="196" t="n">
        <v>8.246497762594261</v>
      </c>
      <c r="AY24" s="196" t="n">
        <v>8.246505920509426</v>
      </c>
      <c r="AZ24" s="196" t="n">
        <v>8.246514784505584</v>
      </c>
      <c r="BA24" s="196" t="n">
        <v>8.246524078115714</v>
      </c>
      <c r="BB24" s="3" t="n"/>
      <c r="BC24" s="3" t="n"/>
      <c r="BD24" s="3" t="n"/>
      <c r="BE24" s="3" t="n"/>
      <c r="BF24" s="3" t="n"/>
      <c r="BG24" s="3" t="n"/>
      <c r="BH24" s="3" t="n"/>
      <c r="BI24" s="3" t="n"/>
      <c r="BJ24" s="3" t="n"/>
      <c r="BK24" s="3" t="n"/>
      <c r="BL24" s="3" t="n"/>
      <c r="BM24" s="3" t="n"/>
      <c r="BN24" s="3" t="n"/>
      <c r="BO24" s="3" t="n"/>
      <c r="BP24" s="3" t="n"/>
      <c r="BQ24" s="3" t="n"/>
      <c r="BR24" s="3" t="n"/>
      <c r="BS24" s="3" t="n"/>
      <c r="BT24" s="3" t="n"/>
      <c r="BU24" s="3" t="n"/>
      <c r="BV24" s="3" t="n"/>
      <c r="BW24" s="3" t="n"/>
      <c r="BX24" s="3" t="n"/>
      <c r="BY24" s="3" t="n"/>
      <c r="BZ24" s="3" t="n"/>
      <c r="CA24" s="3" t="n"/>
      <c r="CB24" s="3" t="n"/>
      <c r="CC24" s="3" t="n"/>
      <c r="CD24" s="3" t="n"/>
      <c r="CE24" s="3" t="n"/>
      <c r="CF24" s="3" t="n"/>
      <c r="CG24" s="3" t="n"/>
      <c r="CH24" s="3" t="n"/>
      <c r="CI24" s="3" t="n"/>
      <c r="CJ24" s="3" t="n"/>
      <c r="CK24" s="3" t="n"/>
      <c r="CL24" s="3" t="n"/>
      <c r="CM24" s="3" t="n"/>
      <c r="CN24" s="3" t="n"/>
      <c r="CO24" s="3" t="n"/>
      <c r="CP24" s="3" t="n"/>
      <c r="CQ24" s="3" t="n"/>
      <c r="CR24" s="3" t="n"/>
      <c r="CS24" s="3" t="n"/>
      <c r="CT24" s="3" t="n"/>
      <c r="CU24" s="3" t="n"/>
      <c r="CV24" s="3" t="n"/>
      <c r="CW24" s="3" t="n"/>
      <c r="CX24" s="3" t="n"/>
      <c r="CY24" s="3" t="n"/>
      <c r="CZ24" s="3" t="n"/>
      <c r="DA24" s="3" t="n"/>
      <c r="DB24" s="3" t="n"/>
      <c r="DC24" s="3" t="n"/>
      <c r="DD24" s="3" t="n"/>
      <c r="DE24" s="3" t="n"/>
      <c r="DF24" s="3" t="n"/>
      <c r="DG24" s="3" t="n"/>
      <c r="DH24" s="3" t="n"/>
      <c r="DI24" s="3" t="n"/>
      <c r="DJ24" s="3" t="n"/>
      <c r="DK24" s="3" t="n"/>
      <c r="DL24" s="3" t="n"/>
      <c r="DM24" s="3" t="n"/>
      <c r="DN24" s="3" t="n"/>
      <c r="DO24" s="3" t="n"/>
      <c r="DP24" s="3" t="n"/>
      <c r="DQ24" s="3" t="n"/>
      <c r="DR24" s="3" t="n"/>
      <c r="DS24" s="3" t="n"/>
      <c r="DT24" s="3" t="n"/>
      <c r="DU24" s="3" t="n"/>
      <c r="DV24" s="3" t="n"/>
      <c r="DW24" s="3" t="n"/>
      <c r="DX24" s="3" t="n"/>
      <c r="DY24" s="3" t="n"/>
      <c r="DZ24" s="3" t="n"/>
      <c r="EA24" s="3" t="n"/>
      <c r="EB24" s="3" t="n"/>
      <c r="EC24" s="3" t="n"/>
      <c r="ED24" s="3" t="n"/>
      <c r="EE24" s="3" t="n"/>
      <c r="EF24" s="3" t="n"/>
      <c r="EG24" s="3" t="n"/>
      <c r="EH24" s="3" t="n"/>
      <c r="EI24" s="3" t="n"/>
      <c r="EJ24" s="3" t="n"/>
      <c r="EK24" s="3" t="n"/>
      <c r="EL24" s="3" t="n"/>
      <c r="EM24" s="3" t="n"/>
      <c r="EN24" s="3" t="n"/>
      <c r="EO24" s="3" t="n"/>
      <c r="EP24" s="3" t="n"/>
      <c r="EQ24" s="3" t="n"/>
      <c r="ER24" s="3" t="n"/>
      <c r="ES24" s="3" t="n"/>
      <c r="ET24" s="3" t="n"/>
      <c r="EU24" s="3" t="n"/>
      <c r="EV24" s="3" t="n"/>
      <c r="EW24" s="3" t="n"/>
      <c r="EX24" s="3" t="n"/>
      <c r="EY24" s="3" t="n"/>
      <c r="EZ24" s="3" t="n"/>
      <c r="FA24" s="3" t="n"/>
      <c r="FB24" s="3" t="n"/>
      <c r="FC24" s="3" t="n"/>
      <c r="FD24" s="3" t="n"/>
      <c r="FE24" s="3" t="n"/>
      <c r="FF24" s="3" t="n"/>
      <c r="FG24" s="3" t="n"/>
      <c r="FH24" s="3" t="n"/>
      <c r="FI24" s="3" t="n"/>
      <c r="FJ24" s="3" t="n"/>
      <c r="FK24" s="3" t="n"/>
      <c r="FL24" s="3" t="n"/>
      <c r="FM24" s="3" t="n"/>
      <c r="FN24" s="3" t="n"/>
      <c r="FO24" s="3" t="n"/>
      <c r="FP24" s="3" t="n"/>
      <c r="FQ24" s="3" t="n"/>
      <c r="FR24" s="3" t="n"/>
      <c r="FS24" s="3" t="n"/>
      <c r="FT24" s="3" t="n"/>
      <c r="FU24" s="3" t="n"/>
      <c r="FV24" s="3" t="n"/>
      <c r="FW24" s="3" t="n"/>
      <c r="FX24" s="3" t="n"/>
      <c r="FY24" s="3" t="n"/>
      <c r="FZ24" s="3" t="n"/>
      <c r="GA24" s="3" t="n"/>
      <c r="GB24" s="3" t="n"/>
      <c r="GC24" s="3" t="n"/>
      <c r="GD24" s="3" t="n"/>
      <c r="GE24" s="3" t="n"/>
      <c r="GF24" s="3" t="n"/>
      <c r="GG24" s="3" t="n"/>
      <c r="GH24" s="3" t="n"/>
      <c r="GI24" s="3" t="n"/>
      <c r="GJ24" s="3" t="n"/>
      <c r="GK24" s="3" t="n"/>
      <c r="GL24" s="3" t="n"/>
      <c r="GM24" s="3" t="n"/>
      <c r="GN24" s="3" t="n"/>
      <c r="GO24" s="3" t="n"/>
      <c r="GP24" s="3" t="n"/>
      <c r="GQ24" s="3" t="n"/>
      <c r="GR24" s="3" t="n"/>
      <c r="GS24" s="3" t="n"/>
      <c r="GT24" s="3" t="n"/>
      <c r="GU24" s="3" t="n"/>
      <c r="GV24" s="3" t="n"/>
      <c r="GW24" s="3" t="n"/>
      <c r="GX24" s="3" t="n"/>
      <c r="GY24" s="3" t="n"/>
      <c r="GZ24" s="3" t="n"/>
      <c r="HA24" s="3" t="n"/>
      <c r="HB24" s="3" t="n"/>
      <c r="HC24" s="3" t="n"/>
      <c r="HD24" s="3" t="n"/>
      <c r="HE24" s="3" t="n"/>
      <c r="HF24" s="3" t="n"/>
      <c r="HG24" s="3" t="n"/>
      <c r="HH24" s="3" t="n"/>
      <c r="HI24" s="3" t="n"/>
      <c r="HJ24" s="3" t="n"/>
      <c r="HK24" s="3" t="n"/>
      <c r="HL24" s="3" t="n"/>
      <c r="HM24" s="3" t="n"/>
      <c r="HN24" s="3" t="n"/>
      <c r="HO24" s="3" t="n"/>
      <c r="HP24" s="3" t="n"/>
      <c r="HQ24" s="3" t="n"/>
      <c r="HR24" s="3" t="n"/>
      <c r="HS24" s="3" t="n"/>
      <c r="HT24" s="3" t="n"/>
      <c r="HU24" s="3" t="n"/>
      <c r="HV24" s="3" t="n"/>
      <c r="HW24" s="3" t="n"/>
      <c r="HX24" s="3" t="n"/>
      <c r="HY24" s="3" t="n"/>
      <c r="HZ24" s="3" t="n"/>
      <c r="IA24" s="3" t="n"/>
      <c r="IB24" s="3" t="n"/>
      <c r="IC24" s="3" t="n"/>
      <c r="ID24" s="3" t="n"/>
      <c r="IE24" s="3" t="n"/>
      <c r="IF24" s="3" t="n"/>
      <c r="IG24" s="3" t="n"/>
      <c r="IH24" s="3" t="n"/>
      <c r="II24" s="3" t="n"/>
      <c r="IJ24" s="3" t="n"/>
      <c r="IK24" s="3" t="n"/>
      <c r="IL24" s="3" t="n"/>
      <c r="IM24" s="3" t="n"/>
      <c r="IN24" s="3" t="n"/>
      <c r="IO24" s="3" t="n"/>
      <c r="IP24" s="3" t="n"/>
      <c r="IQ24" s="3" t="n"/>
      <c r="IR24" s="3" t="n"/>
      <c r="IS24" s="3" t="n"/>
      <c r="IT24" s="3" t="n"/>
      <c r="IU24" s="3" t="n"/>
      <c r="IV24" s="3" t="n"/>
      <c r="IW24" s="3" t="n"/>
      <c r="IX24" s="3" t="n"/>
      <c r="IY24" s="3" t="n"/>
      <c r="IZ24" s="3" t="n"/>
    </row>
    <row r="25">
      <c r="A25" s="44" t="inlineStr">
        <is>
          <t>rpn</t>
        </is>
      </c>
      <c r="B25" s="3" t="inlineStr">
        <is>
          <t>lpg</t>
        </is>
      </c>
      <c r="C25" s="3" t="inlineStr">
        <is>
          <t>all</t>
        </is>
      </c>
      <c r="D25" s="133" t="n">
        <v>1</v>
      </c>
      <c r="E25" s="3" t="n"/>
      <c r="H25" s="3" t="inlineStr">
        <is>
          <t>Retail price incl. new taxes and subsidies (fuel-use weighted average of the after-tax prices atp of the subsectors priced by the block; rpb where they use none) | All sectors | LPG</t>
        </is>
      </c>
      <c r="I25" s="3" t="inlineStr">
        <is>
          <t>USD/GJ real</t>
        </is>
      </c>
      <c r="J25" s="3" t="inlineStr">
        <is>
          <t>Mitigation section 19a</t>
        </is>
      </c>
      <c r="K25" s="3" t="inlineStr">
        <is>
          <t>egy.mit.rpn.all.lpg.1</t>
        </is>
      </c>
      <c r="L25" s="196" t="n">
        <v>5.926765134904279</v>
      </c>
      <c r="M25" s="196" t="n">
        <v>3.473334242251422</v>
      </c>
      <c r="N25" s="196" t="n">
        <v>4.068268427732345</v>
      </c>
      <c r="O25" s="196" t="n">
        <v>4.068268427732346</v>
      </c>
      <c r="P25" s="196" t="n">
        <v>4.068268427732345</v>
      </c>
      <c r="Q25" s="196" t="n">
        <v>4.068268427732345</v>
      </c>
      <c r="R25" s="196" t="n">
        <v>4.068268427732345</v>
      </c>
      <c r="S25" s="196" t="n">
        <v>4.068268427732345</v>
      </c>
      <c r="T25" s="196" t="n">
        <v>4.068268427732345</v>
      </c>
      <c r="U25" s="196" t="n">
        <v>4.068268427732345</v>
      </c>
      <c r="V25" s="196" t="n">
        <v>4.068268427732345</v>
      </c>
      <c r="W25" s="196" t="n">
        <v>4.068268427732345</v>
      </c>
      <c r="X25" s="196" t="n">
        <v>4.068268427732349</v>
      </c>
      <c r="Y25" s="196" t="n">
        <v>4.068268427732349</v>
      </c>
      <c r="Z25" s="196" t="n">
        <v>4.068268427732349</v>
      </c>
      <c r="AA25" s="196" t="n">
        <v>4.068268427732345</v>
      </c>
      <c r="AB25" s="196" t="n">
        <v>4.068268427732345</v>
      </c>
      <c r="AC25" s="196" t="n">
        <v>4.068268427732345</v>
      </c>
      <c r="AD25" s="196" t="n">
        <v>4.068268427732345</v>
      </c>
      <c r="AE25" s="196" t="n">
        <v>4.068268427732345</v>
      </c>
      <c r="AF25" s="3" t="n"/>
      <c r="AG25" s="3" t="inlineStr">
        <is>
          <t>egy.mit.rpn.all.lpg.2</t>
        </is>
      </c>
      <c r="AH25" s="196" t="n">
        <v>5.926765134904279</v>
      </c>
      <c r="AI25" s="196" t="n">
        <v>3.473334242251422</v>
      </c>
      <c r="AJ25" s="196" t="n">
        <v>4.068268427732345</v>
      </c>
      <c r="AK25" s="196" t="n">
        <v>4.068268427732346</v>
      </c>
      <c r="AL25" s="196" t="n">
        <v>4.068268427732345</v>
      </c>
      <c r="AM25" s="196" t="n">
        <v>5.434149901775083</v>
      </c>
      <c r="AN25" s="196" t="n">
        <v>5.434149901775084</v>
      </c>
      <c r="AO25" s="196" t="n">
        <v>5.434149901775083</v>
      </c>
      <c r="AP25" s="196" t="n">
        <v>5.434149901775083</v>
      </c>
      <c r="AQ25" s="196" t="n">
        <v>5.434149901775083</v>
      </c>
      <c r="AR25" s="196" t="n">
        <v>5.434149901775083</v>
      </c>
      <c r="AS25" s="196" t="n">
        <v>5.434149901775084</v>
      </c>
      <c r="AT25" s="196" t="n">
        <v>5.434149901775085</v>
      </c>
      <c r="AU25" s="196" t="n">
        <v>5.434149901775086</v>
      </c>
      <c r="AV25" s="196" t="n">
        <v>5.434149901775086</v>
      </c>
      <c r="AW25" s="196" t="n">
        <v>5.434149901775082</v>
      </c>
      <c r="AX25" s="196" t="n">
        <v>5.434149901775083</v>
      </c>
      <c r="AY25" s="196" t="n">
        <v>5.434149901775083</v>
      </c>
      <c r="AZ25" s="196" t="n">
        <v>5.434149901775083</v>
      </c>
      <c r="BA25" s="196" t="n">
        <v>5.434149901775083</v>
      </c>
      <c r="BB25" s="3" t="n"/>
      <c r="BC25" s="3" t="n"/>
      <c r="BD25" s="3" t="n"/>
      <c r="BE25" s="3" t="n"/>
      <c r="BF25" s="3" t="n"/>
      <c r="BG25" s="3" t="n"/>
      <c r="BH25" s="3" t="n"/>
      <c r="BI25" s="3" t="n"/>
      <c r="BJ25" s="3" t="n"/>
      <c r="BK25" s="3" t="n"/>
      <c r="BL25" s="3" t="n"/>
      <c r="BM25" s="3" t="n"/>
      <c r="BN25" s="3" t="n"/>
      <c r="BO25" s="3" t="n"/>
      <c r="BP25" s="3" t="n"/>
      <c r="BQ25" s="3" t="n"/>
      <c r="BR25" s="3" t="n"/>
      <c r="BS25" s="3" t="n"/>
      <c r="BT25" s="3" t="n"/>
      <c r="BU25" s="3" t="n"/>
      <c r="BV25" s="3" t="n"/>
      <c r="BW25" s="3" t="n"/>
      <c r="BX25" s="3" t="n"/>
      <c r="BY25" s="3" t="n"/>
      <c r="BZ25" s="3" t="n"/>
      <c r="CA25" s="3" t="n"/>
      <c r="CB25" s="3" t="n"/>
      <c r="CC25" s="3" t="n"/>
      <c r="CD25" s="3" t="n"/>
      <c r="CE25" s="3" t="n"/>
      <c r="CF25" s="3" t="n"/>
      <c r="CG25" s="3" t="n"/>
      <c r="CH25" s="3" t="n"/>
      <c r="CI25" s="3" t="n"/>
      <c r="CJ25" s="3" t="n"/>
      <c r="CK25" s="3" t="n"/>
      <c r="CL25" s="3" t="n"/>
      <c r="CM25" s="3" t="n"/>
      <c r="CN25" s="3" t="n"/>
      <c r="CO25" s="3" t="n"/>
      <c r="CP25" s="3" t="n"/>
      <c r="CQ25" s="3" t="n"/>
      <c r="CR25" s="3" t="n"/>
      <c r="CS25" s="3" t="n"/>
      <c r="CT25" s="3" t="n"/>
      <c r="CU25" s="3" t="n"/>
      <c r="CV25" s="3" t="n"/>
      <c r="CW25" s="3" t="n"/>
      <c r="CX25" s="3" t="n"/>
      <c r="CY25" s="3" t="n"/>
      <c r="CZ25" s="3" t="n"/>
      <c r="DA25" s="3" t="n"/>
      <c r="DB25" s="3" t="n"/>
      <c r="DC25" s="3" t="n"/>
      <c r="DD25" s="3" t="n"/>
      <c r="DE25" s="3" t="n"/>
      <c r="DF25" s="3" t="n"/>
      <c r="DG25" s="3" t="n"/>
      <c r="DH25" s="3" t="n"/>
      <c r="DI25" s="3" t="n"/>
      <c r="DJ25" s="3" t="n"/>
      <c r="DK25" s="3" t="n"/>
      <c r="DL25" s="3" t="n"/>
      <c r="DM25" s="3" t="n"/>
      <c r="DN25" s="3" t="n"/>
      <c r="DO25" s="3" t="n"/>
      <c r="DP25" s="3" t="n"/>
      <c r="DQ25" s="3" t="n"/>
      <c r="DR25" s="3" t="n"/>
      <c r="DS25" s="3" t="n"/>
      <c r="DT25" s="3" t="n"/>
      <c r="DU25" s="3" t="n"/>
      <c r="DV25" s="3" t="n"/>
      <c r="DW25" s="3" t="n"/>
      <c r="DX25" s="3" t="n"/>
      <c r="DY25" s="3" t="n"/>
      <c r="DZ25" s="3" t="n"/>
      <c r="EA25" s="3" t="n"/>
      <c r="EB25" s="3" t="n"/>
      <c r="EC25" s="3" t="n"/>
      <c r="ED25" s="3" t="n"/>
      <c r="EE25" s="3" t="n"/>
      <c r="EF25" s="3" t="n"/>
      <c r="EG25" s="3" t="n"/>
      <c r="EH25" s="3" t="n"/>
      <c r="EI25" s="3" t="n"/>
      <c r="EJ25" s="3" t="n"/>
      <c r="EK25" s="3" t="n"/>
      <c r="EL25" s="3" t="n"/>
      <c r="EM25" s="3" t="n"/>
      <c r="EN25" s="3" t="n"/>
      <c r="EO25" s="3" t="n"/>
      <c r="EP25" s="3" t="n"/>
      <c r="EQ25" s="3" t="n"/>
      <c r="ER25" s="3" t="n"/>
      <c r="ES25" s="3" t="n"/>
      <c r="ET25" s="3" t="n"/>
      <c r="EU25" s="3" t="n"/>
      <c r="EV25" s="3" t="n"/>
      <c r="EW25" s="3" t="n"/>
      <c r="EX25" s="3" t="n"/>
      <c r="EY25" s="3" t="n"/>
      <c r="EZ25" s="3" t="n"/>
      <c r="FA25" s="3" t="n"/>
      <c r="FB25" s="3" t="n"/>
      <c r="FC25" s="3" t="n"/>
      <c r="FD25" s="3" t="n"/>
      <c r="FE25" s="3" t="n"/>
      <c r="FF25" s="3" t="n"/>
      <c r="FG25" s="3" t="n"/>
      <c r="FH25" s="3" t="n"/>
      <c r="FI25" s="3" t="n"/>
      <c r="FJ25" s="3" t="n"/>
      <c r="FK25" s="3" t="n"/>
      <c r="FL25" s="3" t="n"/>
      <c r="FM25" s="3" t="n"/>
      <c r="FN25" s="3" t="n"/>
      <c r="FO25" s="3" t="n"/>
      <c r="FP25" s="3" t="n"/>
      <c r="FQ25" s="3" t="n"/>
      <c r="FR25" s="3" t="n"/>
      <c r="FS25" s="3" t="n"/>
      <c r="FT25" s="3" t="n"/>
      <c r="FU25" s="3" t="n"/>
      <c r="FV25" s="3" t="n"/>
      <c r="FW25" s="3" t="n"/>
      <c r="FX25" s="3" t="n"/>
      <c r="FY25" s="3" t="n"/>
      <c r="FZ25" s="3" t="n"/>
      <c r="GA25" s="3" t="n"/>
      <c r="GB25" s="3" t="n"/>
      <c r="GC25" s="3" t="n"/>
      <c r="GD25" s="3" t="n"/>
      <c r="GE25" s="3" t="n"/>
      <c r="GF25" s="3" t="n"/>
      <c r="GG25" s="3" t="n"/>
      <c r="GH25" s="3" t="n"/>
      <c r="GI25" s="3" t="n"/>
      <c r="GJ25" s="3" t="n"/>
      <c r="GK25" s="3" t="n"/>
      <c r="GL25" s="3" t="n"/>
      <c r="GM25" s="3" t="n"/>
      <c r="GN25" s="3" t="n"/>
      <c r="GO25" s="3" t="n"/>
      <c r="GP25" s="3" t="n"/>
      <c r="GQ25" s="3" t="n"/>
      <c r="GR25" s="3" t="n"/>
      <c r="GS25" s="3" t="n"/>
      <c r="GT25" s="3" t="n"/>
      <c r="GU25" s="3" t="n"/>
      <c r="GV25" s="3" t="n"/>
      <c r="GW25" s="3" t="n"/>
      <c r="GX25" s="3" t="n"/>
      <c r="GY25" s="3" t="n"/>
      <c r="GZ25" s="3" t="n"/>
      <c r="HA25" s="3" t="n"/>
      <c r="HB25" s="3" t="n"/>
      <c r="HC25" s="3" t="n"/>
      <c r="HD25" s="3" t="n"/>
      <c r="HE25" s="3" t="n"/>
      <c r="HF25" s="3" t="n"/>
      <c r="HG25" s="3" t="n"/>
      <c r="HH25" s="3" t="n"/>
      <c r="HI25" s="3" t="n"/>
      <c r="HJ25" s="3" t="n"/>
      <c r="HK25" s="3" t="n"/>
      <c r="HL25" s="3" t="n"/>
      <c r="HM25" s="3" t="n"/>
      <c r="HN25" s="3" t="n"/>
      <c r="HO25" s="3" t="n"/>
      <c r="HP25" s="3" t="n"/>
      <c r="HQ25" s="3" t="n"/>
      <c r="HR25" s="3" t="n"/>
      <c r="HS25" s="3" t="n"/>
      <c r="HT25" s="3" t="n"/>
      <c r="HU25" s="3" t="n"/>
      <c r="HV25" s="3" t="n"/>
      <c r="HW25" s="3" t="n"/>
      <c r="HX25" s="3" t="n"/>
      <c r="HY25" s="3" t="n"/>
      <c r="HZ25" s="3" t="n"/>
      <c r="IA25" s="3" t="n"/>
      <c r="IB25" s="3" t="n"/>
      <c r="IC25" s="3" t="n"/>
      <c r="ID25" s="3" t="n"/>
      <c r="IE25" s="3" t="n"/>
      <c r="IF25" s="3" t="n"/>
      <c r="IG25" s="3" t="n"/>
      <c r="IH25" s="3" t="n"/>
      <c r="II25" s="3" t="n"/>
      <c r="IJ25" s="3" t="n"/>
      <c r="IK25" s="3" t="n"/>
      <c r="IL25" s="3" t="n"/>
      <c r="IM25" s="3" t="n"/>
      <c r="IN25" s="3" t="n"/>
      <c r="IO25" s="3" t="n"/>
      <c r="IP25" s="3" t="n"/>
      <c r="IQ25" s="3" t="n"/>
      <c r="IR25" s="3" t="n"/>
      <c r="IS25" s="3" t="n"/>
      <c r="IT25" s="3" t="n"/>
      <c r="IU25" s="3" t="n"/>
      <c r="IV25" s="3" t="n"/>
      <c r="IW25" s="3" t="n"/>
      <c r="IX25" s="3" t="n"/>
      <c r="IY25" s="3" t="n"/>
      <c r="IZ25" s="3" t="n"/>
    </row>
    <row r="26">
      <c r="A26" s="44" t="inlineStr">
        <is>
          <t>rpn</t>
        </is>
      </c>
      <c r="B26" s="3" t="inlineStr">
        <is>
          <t>ker</t>
        </is>
      </c>
      <c r="C26" s="3" t="inlineStr">
        <is>
          <t>all</t>
        </is>
      </c>
      <c r="D26" s="133" t="n">
        <v>1</v>
      </c>
      <c r="E26" s="3" t="n"/>
      <c r="H26" s="3" t="inlineStr">
        <is>
          <t>Retail price incl. new taxes and subsidies (fuel-use weighted average of the after-tax prices atp of the subsectors priced by the block; rpb where they use none) | All sectors | Kerosene</t>
        </is>
      </c>
      <c r="I26" s="3" t="inlineStr">
        <is>
          <t>USD/GJ real</t>
        </is>
      </c>
      <c r="J26" s="3" t="inlineStr">
        <is>
          <t>Mitigation section 19a</t>
        </is>
      </c>
      <c r="K26" s="3" t="inlineStr">
        <is>
          <t>egy.mit.rpn.all.ker.1</t>
        </is>
      </c>
      <c r="L26" s="196" t="n">
        <v>10.55358878014809</v>
      </c>
      <c r="M26" s="196" t="n">
        <v>6.846515481039771</v>
      </c>
      <c r="N26" s="196" t="n">
        <v>7.076197436466326</v>
      </c>
      <c r="O26" s="196" t="n">
        <v>7.076197436466328</v>
      </c>
      <c r="P26" s="196" t="n">
        <v>7.076197436466326</v>
      </c>
      <c r="Q26" s="196" t="n">
        <v>7.076197436466327</v>
      </c>
      <c r="R26" s="196" t="n">
        <v>7.076197436466327</v>
      </c>
      <c r="S26" s="196" t="n">
        <v>7.076197436466326</v>
      </c>
      <c r="T26" s="196" t="n">
        <v>7.076197436466328</v>
      </c>
      <c r="U26" s="196" t="n">
        <v>7.076197436466328</v>
      </c>
      <c r="V26" s="196" t="n">
        <v>7.076197436466327</v>
      </c>
      <c r="W26" s="196" t="n">
        <v>7.076197436466327</v>
      </c>
      <c r="X26" s="196" t="n">
        <v>7.076197436466329</v>
      </c>
      <c r="Y26" s="196" t="n">
        <v>7.07619743646633</v>
      </c>
      <c r="Z26" s="196" t="n">
        <v>7.07619743646633</v>
      </c>
      <c r="AA26" s="196" t="n">
        <v>7.076197436466328</v>
      </c>
      <c r="AB26" s="196" t="n">
        <v>7.07619743646633</v>
      </c>
      <c r="AC26" s="196" t="n">
        <v>7.07619743646633</v>
      </c>
      <c r="AD26" s="196" t="n">
        <v>7.07619743646633</v>
      </c>
      <c r="AE26" s="196" t="n">
        <v>7.07619743646633</v>
      </c>
      <c r="AF26" s="3" t="n"/>
      <c r="AG26" s="3" t="inlineStr">
        <is>
          <t>egy.mit.rpn.all.ker.2</t>
        </is>
      </c>
      <c r="AH26" s="196" t="n">
        <v>10.55358878014809</v>
      </c>
      <c r="AI26" s="196" t="n">
        <v>6.846515481039771</v>
      </c>
      <c r="AJ26" s="196" t="n">
        <v>7.076197436466326</v>
      </c>
      <c r="AK26" s="196" t="n">
        <v>7.076197436466328</v>
      </c>
      <c r="AL26" s="196" t="n">
        <v>7.076197436466326</v>
      </c>
      <c r="AM26" s="196" t="n">
        <v>8.499086765928546</v>
      </c>
      <c r="AN26" s="196" t="n">
        <v>8.499087669451244</v>
      </c>
      <c r="AO26" s="196" t="n">
        <v>8.499088333958694</v>
      </c>
      <c r="AP26" s="196" t="n">
        <v>8.499088561426957</v>
      </c>
      <c r="AQ26" s="196" t="n">
        <v>8.499088809127505</v>
      </c>
      <c r="AR26" s="196" t="n">
        <v>8.499088937912152</v>
      </c>
      <c r="AS26" s="196" t="n">
        <v>8.499089076806797</v>
      </c>
      <c r="AT26" s="196" t="n">
        <v>8.499089183319054</v>
      </c>
      <c r="AU26" s="196" t="n">
        <v>8.49908920553707</v>
      </c>
      <c r="AV26" s="196" t="n">
        <v>8.499089177331866</v>
      </c>
      <c r="AW26" s="196" t="n">
        <v>8.499089118579521</v>
      </c>
      <c r="AX26" s="196" t="n">
        <v>8.499088966029715</v>
      </c>
      <c r="AY26" s="196" t="n">
        <v>8.499088737137509</v>
      </c>
      <c r="AZ26" s="196" t="n">
        <v>8.499088413795899</v>
      </c>
      <c r="BA26" s="196" t="n">
        <v>8.499088025246783</v>
      </c>
      <c r="BB26" s="3" t="n"/>
      <c r="BC26" s="3" t="n"/>
      <c r="BD26" s="3" t="n"/>
      <c r="BE26" s="3" t="n"/>
      <c r="BF26" s="3" t="n"/>
      <c r="BG26" s="3" t="n"/>
      <c r="BH26" s="3" t="n"/>
      <c r="BI26" s="3" t="n"/>
      <c r="BJ26" s="3" t="n"/>
      <c r="BK26" s="3" t="n"/>
      <c r="BL26" s="3" t="n"/>
      <c r="BM26" s="3" t="n"/>
      <c r="BN26" s="3" t="n"/>
      <c r="BO26" s="3" t="n"/>
      <c r="BP26" s="3" t="n"/>
      <c r="BQ26" s="3" t="n"/>
      <c r="BR26" s="3" t="n"/>
      <c r="BS26" s="3" t="n"/>
      <c r="BT26" s="3" t="n"/>
      <c r="BU26" s="3" t="n"/>
      <c r="BV26" s="3" t="n"/>
      <c r="BW26" s="3" t="n"/>
      <c r="BX26" s="3" t="n"/>
      <c r="BY26" s="3" t="n"/>
      <c r="BZ26" s="3" t="n"/>
      <c r="CA26" s="3" t="n"/>
      <c r="CB26" s="3" t="n"/>
      <c r="CC26" s="3" t="n"/>
      <c r="CD26" s="3" t="n"/>
      <c r="CE26" s="3" t="n"/>
      <c r="CF26" s="3" t="n"/>
      <c r="CG26" s="3" t="n"/>
      <c r="CH26" s="3" t="n"/>
      <c r="CI26" s="3" t="n"/>
      <c r="CJ26" s="3" t="n"/>
      <c r="CK26" s="3" t="n"/>
      <c r="CL26" s="3" t="n"/>
      <c r="CM26" s="3" t="n"/>
      <c r="CN26" s="3" t="n"/>
      <c r="CO26" s="3" t="n"/>
      <c r="CP26" s="3" t="n"/>
      <c r="CQ26" s="3" t="n"/>
      <c r="CR26" s="3" t="n"/>
      <c r="CS26" s="3" t="n"/>
      <c r="CT26" s="3" t="n"/>
      <c r="CU26" s="3" t="n"/>
      <c r="CV26" s="3" t="n"/>
      <c r="CW26" s="3" t="n"/>
      <c r="CX26" s="3" t="n"/>
      <c r="CY26" s="3" t="n"/>
      <c r="CZ26" s="3" t="n"/>
      <c r="DA26" s="3" t="n"/>
      <c r="DB26" s="3" t="n"/>
      <c r="DC26" s="3" t="n"/>
      <c r="DD26" s="3" t="n"/>
      <c r="DE26" s="3" t="n"/>
      <c r="DF26" s="3" t="n"/>
      <c r="DG26" s="3" t="n"/>
      <c r="DH26" s="3" t="n"/>
      <c r="DI26" s="3" t="n"/>
      <c r="DJ26" s="3" t="n"/>
      <c r="DK26" s="3" t="n"/>
      <c r="DL26" s="3" t="n"/>
      <c r="DM26" s="3" t="n"/>
      <c r="DN26" s="3" t="n"/>
      <c r="DO26" s="3" t="n"/>
      <c r="DP26" s="3" t="n"/>
      <c r="DQ26" s="3" t="n"/>
      <c r="DR26" s="3" t="n"/>
      <c r="DS26" s="3" t="n"/>
      <c r="DT26" s="3" t="n"/>
      <c r="DU26" s="3" t="n"/>
      <c r="DV26" s="3" t="n"/>
      <c r="DW26" s="3" t="n"/>
      <c r="DX26" s="3" t="n"/>
      <c r="DY26" s="3" t="n"/>
      <c r="DZ26" s="3" t="n"/>
      <c r="EA26" s="3" t="n"/>
      <c r="EB26" s="3" t="n"/>
      <c r="EC26" s="3" t="n"/>
      <c r="ED26" s="3" t="n"/>
      <c r="EE26" s="3" t="n"/>
      <c r="EF26" s="3" t="n"/>
      <c r="EG26" s="3" t="n"/>
      <c r="EH26" s="3" t="n"/>
      <c r="EI26" s="3" t="n"/>
      <c r="EJ26" s="3" t="n"/>
      <c r="EK26" s="3" t="n"/>
      <c r="EL26" s="3" t="n"/>
      <c r="EM26" s="3" t="n"/>
      <c r="EN26" s="3" t="n"/>
      <c r="EO26" s="3" t="n"/>
      <c r="EP26" s="3" t="n"/>
      <c r="EQ26" s="3" t="n"/>
      <c r="ER26" s="3" t="n"/>
      <c r="ES26" s="3" t="n"/>
      <c r="ET26" s="3" t="n"/>
      <c r="EU26" s="3" t="n"/>
      <c r="EV26" s="3" t="n"/>
      <c r="EW26" s="3" t="n"/>
      <c r="EX26" s="3" t="n"/>
      <c r="EY26" s="3" t="n"/>
      <c r="EZ26" s="3" t="n"/>
      <c r="FA26" s="3" t="n"/>
      <c r="FB26" s="3" t="n"/>
      <c r="FC26" s="3" t="n"/>
      <c r="FD26" s="3" t="n"/>
      <c r="FE26" s="3" t="n"/>
      <c r="FF26" s="3" t="n"/>
      <c r="FG26" s="3" t="n"/>
      <c r="FH26" s="3" t="n"/>
      <c r="FI26" s="3" t="n"/>
      <c r="FJ26" s="3" t="n"/>
      <c r="FK26" s="3" t="n"/>
      <c r="FL26" s="3" t="n"/>
      <c r="FM26" s="3" t="n"/>
      <c r="FN26" s="3" t="n"/>
      <c r="FO26" s="3" t="n"/>
      <c r="FP26" s="3" t="n"/>
      <c r="FQ26" s="3" t="n"/>
      <c r="FR26" s="3" t="n"/>
      <c r="FS26" s="3" t="n"/>
      <c r="FT26" s="3" t="n"/>
      <c r="FU26" s="3" t="n"/>
      <c r="FV26" s="3" t="n"/>
      <c r="FW26" s="3" t="n"/>
      <c r="FX26" s="3" t="n"/>
      <c r="FY26" s="3" t="n"/>
      <c r="FZ26" s="3" t="n"/>
      <c r="GA26" s="3" t="n"/>
      <c r="GB26" s="3" t="n"/>
      <c r="GC26" s="3" t="n"/>
      <c r="GD26" s="3" t="n"/>
      <c r="GE26" s="3" t="n"/>
      <c r="GF26" s="3" t="n"/>
      <c r="GG26" s="3" t="n"/>
      <c r="GH26" s="3" t="n"/>
      <c r="GI26" s="3" t="n"/>
      <c r="GJ26" s="3" t="n"/>
      <c r="GK26" s="3" t="n"/>
      <c r="GL26" s="3" t="n"/>
      <c r="GM26" s="3" t="n"/>
      <c r="GN26" s="3" t="n"/>
      <c r="GO26" s="3" t="n"/>
      <c r="GP26" s="3" t="n"/>
      <c r="GQ26" s="3" t="n"/>
      <c r="GR26" s="3" t="n"/>
      <c r="GS26" s="3" t="n"/>
      <c r="GT26" s="3" t="n"/>
      <c r="GU26" s="3" t="n"/>
      <c r="GV26" s="3" t="n"/>
      <c r="GW26" s="3" t="n"/>
      <c r="GX26" s="3" t="n"/>
      <c r="GY26" s="3" t="n"/>
      <c r="GZ26" s="3" t="n"/>
      <c r="HA26" s="3" t="n"/>
      <c r="HB26" s="3" t="n"/>
      <c r="HC26" s="3" t="n"/>
      <c r="HD26" s="3" t="n"/>
      <c r="HE26" s="3" t="n"/>
      <c r="HF26" s="3" t="n"/>
      <c r="HG26" s="3" t="n"/>
      <c r="HH26" s="3" t="n"/>
      <c r="HI26" s="3" t="n"/>
      <c r="HJ26" s="3" t="n"/>
      <c r="HK26" s="3" t="n"/>
      <c r="HL26" s="3" t="n"/>
      <c r="HM26" s="3" t="n"/>
      <c r="HN26" s="3" t="n"/>
      <c r="HO26" s="3" t="n"/>
      <c r="HP26" s="3" t="n"/>
      <c r="HQ26" s="3" t="n"/>
      <c r="HR26" s="3" t="n"/>
      <c r="HS26" s="3" t="n"/>
      <c r="HT26" s="3" t="n"/>
      <c r="HU26" s="3" t="n"/>
      <c r="HV26" s="3" t="n"/>
      <c r="HW26" s="3" t="n"/>
      <c r="HX26" s="3" t="n"/>
      <c r="HY26" s="3" t="n"/>
      <c r="HZ26" s="3" t="n"/>
      <c r="IA26" s="3" t="n"/>
      <c r="IB26" s="3" t="n"/>
      <c r="IC26" s="3" t="n"/>
      <c r="ID26" s="3" t="n"/>
      <c r="IE26" s="3" t="n"/>
      <c r="IF26" s="3" t="n"/>
      <c r="IG26" s="3" t="n"/>
      <c r="IH26" s="3" t="n"/>
      <c r="II26" s="3" t="n"/>
      <c r="IJ26" s="3" t="n"/>
      <c r="IK26" s="3" t="n"/>
      <c r="IL26" s="3" t="n"/>
      <c r="IM26" s="3" t="n"/>
      <c r="IN26" s="3" t="n"/>
      <c r="IO26" s="3" t="n"/>
      <c r="IP26" s="3" t="n"/>
      <c r="IQ26" s="3" t="n"/>
      <c r="IR26" s="3" t="n"/>
      <c r="IS26" s="3" t="n"/>
      <c r="IT26" s="3" t="n"/>
      <c r="IU26" s="3" t="n"/>
      <c r="IV26" s="3" t="n"/>
      <c r="IW26" s="3" t="n"/>
      <c r="IX26" s="3" t="n"/>
      <c r="IY26" s="3" t="n"/>
      <c r="IZ26" s="3" t="n"/>
    </row>
    <row r="27">
      <c r="A27" s="44" t="inlineStr">
        <is>
          <t>rp</t>
        </is>
      </c>
      <c r="B27" s="3" t="inlineStr">
        <is>
          <t>ecy</t>
        </is>
      </c>
      <c r="C27" s="3" t="inlineStr">
        <is>
          <t>ind</t>
        </is>
      </c>
      <c r="D27" s="133" t="n">
        <v>1</v>
      </c>
      <c r="E27" s="3" t="n"/>
      <c r="H27" s="3" t="inlineStr">
        <is>
          <t>End-user electricity price | Industry | Electricity</t>
        </is>
      </c>
      <c r="I27" s="3" t="inlineStr">
        <is>
          <t>USD/kWh real</t>
        </is>
      </c>
      <c r="J27" s="3" t="inlineStr">
        <is>
          <t>Mitigation section 19a</t>
        </is>
      </c>
      <c r="K27" s="3" t="inlineStr">
        <is>
          <t>egy.mit.rp.ind.ecy.1</t>
        </is>
      </c>
      <c r="L27" s="197" t="n">
        <v>0.06232636786375494</v>
      </c>
      <c r="M27" s="197" t="n">
        <v>0.06351364169897267</v>
      </c>
      <c r="N27" s="197" t="n">
        <v>0.05314551198561693</v>
      </c>
      <c r="O27" s="197" t="n">
        <v>0.05176412702022645</v>
      </c>
      <c r="P27" s="197" t="n">
        <v>0.0517731271380463</v>
      </c>
      <c r="Q27" s="197" t="n">
        <v>0.05230486674727164</v>
      </c>
      <c r="R27" s="197" t="n">
        <v>0.05247482265290784</v>
      </c>
      <c r="S27" s="197" t="n">
        <v>0.05327117229308972</v>
      </c>
      <c r="T27" s="197" t="n">
        <v>0.05394326944766778</v>
      </c>
      <c r="U27" s="197" t="n">
        <v>0.05469855685449651</v>
      </c>
      <c r="V27" s="197" t="n">
        <v>0.05345633218262702</v>
      </c>
      <c r="W27" s="197" t="n">
        <v>0.0522935399609652</v>
      </c>
      <c r="X27" s="197" t="n">
        <v>0.05107899427669338</v>
      </c>
      <c r="Y27" s="197" t="n">
        <v>0.04994668744285893</v>
      </c>
      <c r="Z27" s="197" t="n">
        <v>0.04888779649467037</v>
      </c>
      <c r="AA27" s="197" t="n">
        <v>0.04789785991447038</v>
      </c>
      <c r="AB27" s="197" t="n">
        <v>0.0469696282771786</v>
      </c>
      <c r="AC27" s="197" t="n">
        <v>0.04609356966006697</v>
      </c>
      <c r="AD27" s="197" t="n">
        <v>0.04526368454270727</v>
      </c>
      <c r="AE27" s="197" t="n">
        <v>0.04447320622566639</v>
      </c>
      <c r="AF27" s="3" t="n"/>
      <c r="AG27" s="3" t="inlineStr">
        <is>
          <t>egy.mit.rp.ind.ecy.2</t>
        </is>
      </c>
      <c r="AH27" s="197" t="n">
        <v>0.06232636786375494</v>
      </c>
      <c r="AI27" s="197" t="n">
        <v>0.06351364169897267</v>
      </c>
      <c r="AJ27" s="197" t="n">
        <v>0.05314551198561693</v>
      </c>
      <c r="AK27" s="197" t="n">
        <v>0.05176584371891163</v>
      </c>
      <c r="AL27" s="197" t="n">
        <v>0.05177738288018888</v>
      </c>
      <c r="AM27" s="197" t="n">
        <v>0.06151434731437089</v>
      </c>
      <c r="AN27" s="197" t="n">
        <v>0.06148706611987425</v>
      </c>
      <c r="AO27" s="197" t="n">
        <v>0.06315093425273446</v>
      </c>
      <c r="AP27" s="197" t="n">
        <v>0.06241298288800553</v>
      </c>
      <c r="AQ27" s="197" t="n">
        <v>0.0628116752558535</v>
      </c>
      <c r="AR27" s="197" t="n">
        <v>0.06101008007216711</v>
      </c>
      <c r="AS27" s="197" t="n">
        <v>0.0595085832703436</v>
      </c>
      <c r="AT27" s="197" t="n">
        <v>0.05793780760772969</v>
      </c>
      <c r="AU27" s="197" t="n">
        <v>0.05648254322132246</v>
      </c>
      <c r="AV27" s="197" t="n">
        <v>0.05514711104485458</v>
      </c>
      <c r="AW27" s="197" t="n">
        <v>0.05390689613129294</v>
      </c>
      <c r="AX27" s="197" t="n">
        <v>0.05274846170433316</v>
      </c>
      <c r="AY27" s="197" t="n">
        <v>0.05166316819804186</v>
      </c>
      <c r="AZ27" s="197" t="n">
        <v>0.05064069366321705</v>
      </c>
      <c r="BA27" s="197" t="n">
        <v>0.04967422206986165</v>
      </c>
      <c r="BB27" s="3" t="n"/>
      <c r="BC27" s="3" t="n"/>
      <c r="BD27" s="3" t="n"/>
      <c r="BE27" s="3" t="n"/>
      <c r="BF27" s="3" t="n"/>
      <c r="BG27" s="3" t="n"/>
      <c r="BH27" s="3" t="n"/>
      <c r="BI27" s="3" t="n"/>
      <c r="BJ27" s="3" t="n"/>
      <c r="BK27" s="3" t="n"/>
      <c r="BL27" s="3" t="n"/>
      <c r="BM27" s="3" t="n"/>
      <c r="BN27" s="3" t="n"/>
      <c r="BO27" s="3" t="n"/>
      <c r="BP27" s="3" t="n"/>
      <c r="BQ27" s="3" t="n"/>
      <c r="BR27" s="3" t="n"/>
      <c r="BS27" s="3" t="n"/>
      <c r="BT27" s="3" t="n"/>
      <c r="BU27" s="3" t="n"/>
      <c r="BV27" s="3" t="n"/>
      <c r="BW27" s="3" t="n"/>
      <c r="BX27" s="3" t="n"/>
      <c r="BY27" s="3" t="n"/>
      <c r="BZ27" s="3" t="n"/>
      <c r="CA27" s="3" t="n"/>
      <c r="CB27" s="3" t="n"/>
      <c r="CC27" s="3" t="n"/>
      <c r="CD27" s="3" t="n"/>
      <c r="CE27" s="3" t="n"/>
      <c r="CF27" s="3" t="n"/>
      <c r="CG27" s="3" t="n"/>
      <c r="CH27" s="3" t="n"/>
      <c r="CI27" s="3" t="n"/>
      <c r="CJ27" s="3" t="n"/>
      <c r="CK27" s="3" t="n"/>
      <c r="CL27" s="3" t="n"/>
      <c r="CM27" s="3" t="n"/>
      <c r="CN27" s="3" t="n"/>
      <c r="CO27" s="3" t="n"/>
      <c r="CP27" s="3" t="n"/>
      <c r="CQ27" s="3" t="n"/>
      <c r="CR27" s="3" t="n"/>
      <c r="CS27" s="3" t="n"/>
      <c r="CT27" s="3" t="n"/>
      <c r="CU27" s="3" t="n"/>
      <c r="CV27" s="3" t="n"/>
      <c r="CW27" s="3" t="n"/>
      <c r="CX27" s="3" t="n"/>
      <c r="CY27" s="3" t="n"/>
      <c r="CZ27" s="3" t="n"/>
      <c r="DA27" s="3" t="n"/>
      <c r="DB27" s="3" t="n"/>
      <c r="DC27" s="3" t="n"/>
      <c r="DD27" s="3" t="n"/>
      <c r="DE27" s="3" t="n"/>
      <c r="DF27" s="3" t="n"/>
      <c r="DG27" s="3" t="n"/>
      <c r="DH27" s="3" t="n"/>
      <c r="DI27" s="3" t="n"/>
      <c r="DJ27" s="3" t="n"/>
      <c r="DK27" s="3" t="n"/>
      <c r="DL27" s="3" t="n"/>
      <c r="DM27" s="3" t="n"/>
      <c r="DN27" s="3" t="n"/>
      <c r="DO27" s="3" t="n"/>
      <c r="DP27" s="3" t="n"/>
      <c r="DQ27" s="3" t="n"/>
      <c r="DR27" s="3" t="n"/>
      <c r="DS27" s="3" t="n"/>
      <c r="DT27" s="3" t="n"/>
      <c r="DU27" s="3" t="n"/>
      <c r="DV27" s="3" t="n"/>
      <c r="DW27" s="3" t="n"/>
      <c r="DX27" s="3" t="n"/>
      <c r="DY27" s="3" t="n"/>
      <c r="DZ27" s="3" t="n"/>
      <c r="EA27" s="3" t="n"/>
      <c r="EB27" s="3" t="n"/>
      <c r="EC27" s="3" t="n"/>
      <c r="ED27" s="3" t="n"/>
      <c r="EE27" s="3" t="n"/>
      <c r="EF27" s="3" t="n"/>
      <c r="EG27" s="3" t="n"/>
      <c r="EH27" s="3" t="n"/>
      <c r="EI27" s="3" t="n"/>
      <c r="EJ27" s="3" t="n"/>
      <c r="EK27" s="3" t="n"/>
      <c r="EL27" s="3" t="n"/>
      <c r="EM27" s="3" t="n"/>
      <c r="EN27" s="3" t="n"/>
      <c r="EO27" s="3" t="n"/>
      <c r="EP27" s="3" t="n"/>
      <c r="EQ27" s="3" t="n"/>
      <c r="ER27" s="3" t="n"/>
      <c r="ES27" s="3" t="n"/>
      <c r="ET27" s="3" t="n"/>
      <c r="EU27" s="3" t="n"/>
      <c r="EV27" s="3" t="n"/>
      <c r="EW27" s="3" t="n"/>
      <c r="EX27" s="3" t="n"/>
      <c r="EY27" s="3" t="n"/>
      <c r="EZ27" s="3" t="n"/>
      <c r="FA27" s="3" t="n"/>
      <c r="FB27" s="3" t="n"/>
      <c r="FC27" s="3" t="n"/>
      <c r="FD27" s="3" t="n"/>
      <c r="FE27" s="3" t="n"/>
      <c r="FF27" s="3" t="n"/>
      <c r="FG27" s="3" t="n"/>
      <c r="FH27" s="3" t="n"/>
      <c r="FI27" s="3" t="n"/>
      <c r="FJ27" s="3" t="n"/>
      <c r="FK27" s="3" t="n"/>
      <c r="FL27" s="3" t="n"/>
      <c r="FM27" s="3" t="n"/>
      <c r="FN27" s="3" t="n"/>
      <c r="FO27" s="3" t="n"/>
      <c r="FP27" s="3" t="n"/>
      <c r="FQ27" s="3" t="n"/>
      <c r="FR27" s="3" t="n"/>
      <c r="FS27" s="3" t="n"/>
      <c r="FT27" s="3" t="n"/>
      <c r="FU27" s="3" t="n"/>
      <c r="FV27" s="3" t="n"/>
      <c r="FW27" s="3" t="n"/>
      <c r="FX27" s="3" t="n"/>
      <c r="FY27" s="3" t="n"/>
      <c r="FZ27" s="3" t="n"/>
      <c r="GA27" s="3" t="n"/>
      <c r="GB27" s="3" t="n"/>
      <c r="GC27" s="3" t="n"/>
      <c r="GD27" s="3" t="n"/>
      <c r="GE27" s="3" t="n"/>
      <c r="GF27" s="3" t="n"/>
      <c r="GG27" s="3" t="n"/>
      <c r="GH27" s="3" t="n"/>
      <c r="GI27" s="3" t="n"/>
      <c r="GJ27" s="3" t="n"/>
      <c r="GK27" s="3" t="n"/>
      <c r="GL27" s="3" t="n"/>
      <c r="GM27" s="3" t="n"/>
      <c r="GN27" s="3" t="n"/>
      <c r="GO27" s="3" t="n"/>
      <c r="GP27" s="3" t="n"/>
      <c r="GQ27" s="3" t="n"/>
      <c r="GR27" s="3" t="n"/>
      <c r="GS27" s="3" t="n"/>
      <c r="GT27" s="3" t="n"/>
      <c r="GU27" s="3" t="n"/>
      <c r="GV27" s="3" t="n"/>
      <c r="GW27" s="3" t="n"/>
      <c r="GX27" s="3" t="n"/>
      <c r="GY27" s="3" t="n"/>
      <c r="GZ27" s="3" t="n"/>
      <c r="HA27" s="3" t="n"/>
      <c r="HB27" s="3" t="n"/>
      <c r="HC27" s="3" t="n"/>
      <c r="HD27" s="3" t="n"/>
      <c r="HE27" s="3" t="n"/>
      <c r="HF27" s="3" t="n"/>
      <c r="HG27" s="3" t="n"/>
      <c r="HH27" s="3" t="n"/>
      <c r="HI27" s="3" t="n"/>
      <c r="HJ27" s="3" t="n"/>
      <c r="HK27" s="3" t="n"/>
      <c r="HL27" s="3" t="n"/>
      <c r="HM27" s="3" t="n"/>
      <c r="HN27" s="3" t="n"/>
      <c r="HO27" s="3" t="n"/>
      <c r="HP27" s="3" t="n"/>
      <c r="HQ27" s="3" t="n"/>
      <c r="HR27" s="3" t="n"/>
      <c r="HS27" s="3" t="n"/>
      <c r="HT27" s="3" t="n"/>
      <c r="HU27" s="3" t="n"/>
      <c r="HV27" s="3" t="n"/>
      <c r="HW27" s="3" t="n"/>
      <c r="HX27" s="3" t="n"/>
      <c r="HY27" s="3" t="n"/>
      <c r="HZ27" s="3" t="n"/>
      <c r="IA27" s="3" t="n"/>
      <c r="IB27" s="3" t="n"/>
      <c r="IC27" s="3" t="n"/>
      <c r="ID27" s="3" t="n"/>
      <c r="IE27" s="3" t="n"/>
      <c r="IF27" s="3" t="n"/>
      <c r="IG27" s="3" t="n"/>
      <c r="IH27" s="3" t="n"/>
      <c r="II27" s="3" t="n"/>
      <c r="IJ27" s="3" t="n"/>
      <c r="IK27" s="3" t="n"/>
      <c r="IL27" s="3" t="n"/>
      <c r="IM27" s="3" t="n"/>
      <c r="IN27" s="3" t="n"/>
      <c r="IO27" s="3" t="n"/>
      <c r="IP27" s="3" t="n"/>
      <c r="IQ27" s="3" t="n"/>
      <c r="IR27" s="3" t="n"/>
      <c r="IS27" s="3" t="n"/>
      <c r="IT27" s="3" t="n"/>
      <c r="IU27" s="3" t="n"/>
      <c r="IV27" s="3" t="n"/>
      <c r="IW27" s="3" t="n"/>
      <c r="IX27" s="3" t="n"/>
      <c r="IY27" s="3" t="n"/>
      <c r="IZ27" s="3" t="n"/>
    </row>
    <row r="28">
      <c r="A28" s="44" t="inlineStr">
        <is>
          <t>pav.sp</t>
        </is>
      </c>
      <c r="B28" s="3" t="inlineStr">
        <is>
          <t>coa</t>
        </is>
      </c>
      <c r="C28" s="3" t="inlineStr">
        <is>
          <t>all</t>
        </is>
      </c>
      <c r="D28" s="133" t="n">
        <v>1</v>
      </c>
      <c r="E28" s="3" t="n"/>
      <c r="H28" s="3" t="inlineStr">
        <is>
          <t>Spending on the fuel at after-tax prices (sum over subsectors of atp x fuel use; electricity: rp x consumption, USD m; all energy: USD m) | All sectors | Coal</t>
        </is>
      </c>
      <c r="I28" s="3" t="inlineStr">
        <is>
          <t>USD/GJ x ktoe</t>
        </is>
      </c>
      <c r="J28" s="3" t="inlineStr">
        <is>
          <t>Mitigation section 19a</t>
        </is>
      </c>
      <c r="K28" s="3" t="inlineStr">
        <is>
          <t>egy.mit.pav.sp.all.coa.1</t>
        </is>
      </c>
      <c r="L28" s="195" t="n">
        <v>18586.64424156524</v>
      </c>
      <c r="M28" s="195" t="n">
        <v>13465.01199034961</v>
      </c>
      <c r="N28" s="195" t="n">
        <v>13943.88998827003</v>
      </c>
      <c r="O28" s="195" t="n">
        <v>13589.20709782758</v>
      </c>
      <c r="P28" s="195" t="n">
        <v>14176.2976895533</v>
      </c>
      <c r="Q28" s="195" t="n">
        <v>14542.4982278057</v>
      </c>
      <c r="R28" s="195" t="n">
        <v>14845.90051825218</v>
      </c>
      <c r="S28" s="195" t="n">
        <v>15126.25835755101</v>
      </c>
      <c r="T28" s="195" t="n">
        <v>15377.18751080882</v>
      </c>
      <c r="U28" s="195" t="n">
        <v>15627.55378877986</v>
      </c>
      <c r="V28" s="195" t="n">
        <v>15923.15228164109</v>
      </c>
      <c r="W28" s="195" t="n">
        <v>16219.49347266294</v>
      </c>
      <c r="X28" s="195" t="n">
        <v>16516.49293747392</v>
      </c>
      <c r="Y28" s="195" t="n">
        <v>16814.06699723216</v>
      </c>
      <c r="Z28" s="195" t="n">
        <v>17112.13264762959</v>
      </c>
      <c r="AA28" s="195" t="n">
        <v>17410.60748029301</v>
      </c>
      <c r="AB28" s="195" t="n">
        <v>17709.40959697242</v>
      </c>
      <c r="AC28" s="195" t="n">
        <v>18008.45751688238</v>
      </c>
      <c r="AD28" s="195" t="n">
        <v>18307.67007753645</v>
      </c>
      <c r="AE28" s="195" t="n">
        <v>18606.9663293905</v>
      </c>
      <c r="AF28" s="3" t="n"/>
      <c r="AG28" s="3" t="inlineStr">
        <is>
          <t>egy.mit.pav.sp.all.coa.2</t>
        </is>
      </c>
      <c r="AH28" s="195" t="n">
        <v>18586.64424156524</v>
      </c>
      <c r="AI28" s="195" t="n">
        <v>13465.01199034961</v>
      </c>
      <c r="AJ28" s="195" t="n">
        <v>13943.88998827003</v>
      </c>
      <c r="AK28" s="195" t="n">
        <v>13589.20709782758</v>
      </c>
      <c r="AL28" s="195" t="n">
        <v>14176.2976895533</v>
      </c>
      <c r="AM28" s="195" t="n">
        <v>16086.32371594731</v>
      </c>
      <c r="AN28" s="195" t="n">
        <v>16430.94526504878</v>
      </c>
      <c r="AO28" s="195" t="n">
        <v>16756.05878785931</v>
      </c>
      <c r="AP28" s="195" t="n">
        <v>17033.89899888669</v>
      </c>
      <c r="AQ28" s="195" t="n">
        <v>17324.08301898758</v>
      </c>
      <c r="AR28" s="195" t="n">
        <v>17647.22027668632</v>
      </c>
      <c r="AS28" s="195" t="n">
        <v>17981.74827591778</v>
      </c>
      <c r="AT28" s="195" t="n">
        <v>18322.16284971583</v>
      </c>
      <c r="AU28" s="195" t="n">
        <v>18660.90405545332</v>
      </c>
      <c r="AV28" s="195" t="n">
        <v>19002.48286331568</v>
      </c>
      <c r="AW28" s="195" t="n">
        <v>19349.78260842977</v>
      </c>
      <c r="AX28" s="195" t="n">
        <v>19692.77800013823</v>
      </c>
      <c r="AY28" s="195" t="n">
        <v>20033.54686561137</v>
      </c>
      <c r="AZ28" s="195" t="n">
        <v>20368.48346118376</v>
      </c>
      <c r="BA28" s="195" t="n">
        <v>20701.79437950905</v>
      </c>
      <c r="BB28" s="3" t="n"/>
      <c r="BC28" s="3" t="n"/>
      <c r="BD28" s="3" t="n"/>
      <c r="BE28" s="3" t="n"/>
      <c r="BF28" s="3" t="n"/>
      <c r="BG28" s="3" t="n"/>
      <c r="BH28" s="3" t="n"/>
      <c r="BI28" s="3" t="n"/>
      <c r="BJ28" s="3" t="n"/>
      <c r="BK28" s="3" t="n"/>
      <c r="BL28" s="3" t="n"/>
      <c r="BM28" s="3" t="n"/>
      <c r="BN28" s="3" t="n"/>
      <c r="BO28" s="3" t="n"/>
      <c r="BP28" s="3" t="n"/>
      <c r="BQ28" s="3" t="n"/>
      <c r="BR28" s="3" t="n"/>
      <c r="BS28" s="3" t="n"/>
      <c r="BT28" s="3" t="n"/>
      <c r="BU28" s="3" t="n"/>
      <c r="BV28" s="3" t="n"/>
      <c r="BW28" s="3" t="n"/>
      <c r="BX28" s="3" t="n"/>
      <c r="BY28" s="3" t="n"/>
      <c r="BZ28" s="3" t="n"/>
      <c r="CA28" s="3" t="n"/>
      <c r="CB28" s="3" t="n"/>
      <c r="CC28" s="3" t="n"/>
      <c r="CD28" s="3" t="n"/>
      <c r="CE28" s="3" t="n"/>
      <c r="CF28" s="3" t="n"/>
      <c r="CG28" s="3" t="n"/>
      <c r="CH28" s="3" t="n"/>
      <c r="CI28" s="3" t="n"/>
      <c r="CJ28" s="3" t="n"/>
      <c r="CK28" s="3" t="n"/>
      <c r="CL28" s="3" t="n"/>
      <c r="CM28" s="3" t="n"/>
      <c r="CN28" s="3" t="n"/>
      <c r="CO28" s="3" t="n"/>
      <c r="CP28" s="3" t="n"/>
      <c r="CQ28" s="3" t="n"/>
      <c r="CR28" s="3" t="n"/>
      <c r="CS28" s="3" t="n"/>
      <c r="CT28" s="3" t="n"/>
      <c r="CU28" s="3" t="n"/>
      <c r="CV28" s="3" t="n"/>
      <c r="CW28" s="3" t="n"/>
      <c r="CX28" s="3" t="n"/>
      <c r="CY28" s="3" t="n"/>
      <c r="CZ28" s="3" t="n"/>
      <c r="DA28" s="3" t="n"/>
      <c r="DB28" s="3" t="n"/>
      <c r="DC28" s="3" t="n"/>
      <c r="DD28" s="3" t="n"/>
      <c r="DE28" s="3" t="n"/>
      <c r="DF28" s="3" t="n"/>
      <c r="DG28" s="3" t="n"/>
      <c r="DH28" s="3" t="n"/>
      <c r="DI28" s="3" t="n"/>
      <c r="DJ28" s="3" t="n"/>
      <c r="DK28" s="3" t="n"/>
      <c r="DL28" s="3" t="n"/>
      <c r="DM28" s="3" t="n"/>
      <c r="DN28" s="3" t="n"/>
      <c r="DO28" s="3" t="n"/>
      <c r="DP28" s="3" t="n"/>
      <c r="DQ28" s="3" t="n"/>
      <c r="DR28" s="3" t="n"/>
      <c r="DS28" s="3" t="n"/>
      <c r="DT28" s="3" t="n"/>
      <c r="DU28" s="3" t="n"/>
      <c r="DV28" s="3" t="n"/>
      <c r="DW28" s="3" t="n"/>
      <c r="DX28" s="3" t="n"/>
      <c r="DY28" s="3" t="n"/>
      <c r="DZ28" s="3" t="n"/>
      <c r="EA28" s="3" t="n"/>
      <c r="EB28" s="3" t="n"/>
      <c r="EC28" s="3" t="n"/>
      <c r="ED28" s="3" t="n"/>
      <c r="EE28" s="3" t="n"/>
      <c r="EF28" s="3" t="n"/>
      <c r="EG28" s="3" t="n"/>
      <c r="EH28" s="3" t="n"/>
      <c r="EI28" s="3" t="n"/>
      <c r="EJ28" s="3" t="n"/>
      <c r="EK28" s="3" t="n"/>
      <c r="EL28" s="3" t="n"/>
      <c r="EM28" s="3" t="n"/>
      <c r="EN28" s="3" t="n"/>
      <c r="EO28" s="3" t="n"/>
      <c r="EP28" s="3" t="n"/>
      <c r="EQ28" s="3" t="n"/>
      <c r="ER28" s="3" t="n"/>
      <c r="ES28" s="3" t="n"/>
      <c r="ET28" s="3" t="n"/>
      <c r="EU28" s="3" t="n"/>
      <c r="EV28" s="3" t="n"/>
      <c r="EW28" s="3" t="n"/>
      <c r="EX28" s="3" t="n"/>
      <c r="EY28" s="3" t="n"/>
      <c r="EZ28" s="3" t="n"/>
      <c r="FA28" s="3" t="n"/>
      <c r="FB28" s="3" t="n"/>
      <c r="FC28" s="3" t="n"/>
      <c r="FD28" s="3" t="n"/>
      <c r="FE28" s="3" t="n"/>
      <c r="FF28" s="3" t="n"/>
      <c r="FG28" s="3" t="n"/>
      <c r="FH28" s="3" t="n"/>
      <c r="FI28" s="3" t="n"/>
      <c r="FJ28" s="3" t="n"/>
      <c r="FK28" s="3" t="n"/>
      <c r="FL28" s="3" t="n"/>
      <c r="FM28" s="3" t="n"/>
      <c r="FN28" s="3" t="n"/>
      <c r="FO28" s="3" t="n"/>
      <c r="FP28" s="3" t="n"/>
      <c r="FQ28" s="3" t="n"/>
      <c r="FR28" s="3" t="n"/>
      <c r="FS28" s="3" t="n"/>
      <c r="FT28" s="3" t="n"/>
      <c r="FU28" s="3" t="n"/>
      <c r="FV28" s="3" t="n"/>
      <c r="FW28" s="3" t="n"/>
      <c r="FX28" s="3" t="n"/>
      <c r="FY28" s="3" t="n"/>
      <c r="FZ28" s="3" t="n"/>
      <c r="GA28" s="3" t="n"/>
      <c r="GB28" s="3" t="n"/>
      <c r="GC28" s="3" t="n"/>
      <c r="GD28" s="3" t="n"/>
      <c r="GE28" s="3" t="n"/>
      <c r="GF28" s="3" t="n"/>
      <c r="GG28" s="3" t="n"/>
      <c r="GH28" s="3" t="n"/>
      <c r="GI28" s="3" t="n"/>
      <c r="GJ28" s="3" t="n"/>
      <c r="GK28" s="3" t="n"/>
      <c r="GL28" s="3" t="n"/>
      <c r="GM28" s="3" t="n"/>
      <c r="GN28" s="3" t="n"/>
      <c r="GO28" s="3" t="n"/>
      <c r="GP28" s="3" t="n"/>
      <c r="GQ28" s="3" t="n"/>
      <c r="GR28" s="3" t="n"/>
      <c r="GS28" s="3" t="n"/>
      <c r="GT28" s="3" t="n"/>
      <c r="GU28" s="3" t="n"/>
      <c r="GV28" s="3" t="n"/>
      <c r="GW28" s="3" t="n"/>
      <c r="GX28" s="3" t="n"/>
      <c r="GY28" s="3" t="n"/>
      <c r="GZ28" s="3" t="n"/>
      <c r="HA28" s="3" t="n"/>
      <c r="HB28" s="3" t="n"/>
      <c r="HC28" s="3" t="n"/>
      <c r="HD28" s="3" t="n"/>
      <c r="HE28" s="3" t="n"/>
      <c r="HF28" s="3" t="n"/>
      <c r="HG28" s="3" t="n"/>
      <c r="HH28" s="3" t="n"/>
      <c r="HI28" s="3" t="n"/>
      <c r="HJ28" s="3" t="n"/>
      <c r="HK28" s="3" t="n"/>
      <c r="HL28" s="3" t="n"/>
      <c r="HM28" s="3" t="n"/>
      <c r="HN28" s="3" t="n"/>
      <c r="HO28" s="3" t="n"/>
      <c r="HP28" s="3" t="n"/>
      <c r="HQ28" s="3" t="n"/>
      <c r="HR28" s="3" t="n"/>
      <c r="HS28" s="3" t="n"/>
      <c r="HT28" s="3" t="n"/>
      <c r="HU28" s="3" t="n"/>
      <c r="HV28" s="3" t="n"/>
      <c r="HW28" s="3" t="n"/>
      <c r="HX28" s="3" t="n"/>
      <c r="HY28" s="3" t="n"/>
      <c r="HZ28" s="3" t="n"/>
      <c r="IA28" s="3" t="n"/>
      <c r="IB28" s="3" t="n"/>
      <c r="IC28" s="3" t="n"/>
      <c r="ID28" s="3" t="n"/>
      <c r="IE28" s="3" t="n"/>
      <c r="IF28" s="3" t="n"/>
      <c r="IG28" s="3" t="n"/>
      <c r="IH28" s="3" t="n"/>
      <c r="II28" s="3" t="n"/>
      <c r="IJ28" s="3" t="n"/>
      <c r="IK28" s="3" t="n"/>
      <c r="IL28" s="3" t="n"/>
      <c r="IM28" s="3" t="n"/>
      <c r="IN28" s="3" t="n"/>
      <c r="IO28" s="3" t="n"/>
      <c r="IP28" s="3" t="n"/>
      <c r="IQ28" s="3" t="n"/>
      <c r="IR28" s="3" t="n"/>
      <c r="IS28" s="3" t="n"/>
      <c r="IT28" s="3" t="n"/>
      <c r="IU28" s="3" t="n"/>
      <c r="IV28" s="3" t="n"/>
      <c r="IW28" s="3" t="n"/>
      <c r="IX28" s="3" t="n"/>
      <c r="IY28" s="3" t="n"/>
      <c r="IZ28" s="3" t="n"/>
    </row>
    <row r="29">
      <c r="A29" s="44" t="inlineStr">
        <is>
          <t>pav.sp</t>
        </is>
      </c>
      <c r="B29" s="3" t="inlineStr">
        <is>
          <t>nga</t>
        </is>
      </c>
      <c r="C29" s="3" t="inlineStr">
        <is>
          <t>all</t>
        </is>
      </c>
      <c r="D29" s="133" t="n">
        <v>1</v>
      </c>
      <c r="E29" s="3" t="n"/>
      <c r="H29" s="3" t="inlineStr">
        <is>
          <t>Spending on the fuel at after-tax prices (sum over subsectors of atp x fuel use; electricity: rp x consumption, USD m; all energy: USD m) | All sectors | Natural gas</t>
        </is>
      </c>
      <c r="I29" s="3" t="inlineStr">
        <is>
          <t>USD/GJ x ktoe</t>
        </is>
      </c>
      <c r="J29" s="3" t="inlineStr">
        <is>
          <t>Mitigation section 19a</t>
        </is>
      </c>
      <c r="K29" s="3" t="inlineStr">
        <is>
          <t>egy.mit.pav.sp.all.nga.1</t>
        </is>
      </c>
      <c r="L29" s="195" t="n">
        <v>64894.04218486973</v>
      </c>
      <c r="M29" s="195" t="n">
        <v>51823.80899610486</v>
      </c>
      <c r="N29" s="195" t="n">
        <v>55987.90015772499</v>
      </c>
      <c r="O29" s="195" t="n">
        <v>57972.75521327277</v>
      </c>
      <c r="P29" s="195" t="n">
        <v>59930.19314263896</v>
      </c>
      <c r="Q29" s="195" t="n">
        <v>62264.85421477022</v>
      </c>
      <c r="R29" s="195" t="n">
        <v>65070.60486435112</v>
      </c>
      <c r="S29" s="195" t="n">
        <v>67794.17817872233</v>
      </c>
      <c r="T29" s="195" t="n">
        <v>70373.50657320234</v>
      </c>
      <c r="U29" s="195" t="n">
        <v>73005.75410843325</v>
      </c>
      <c r="V29" s="195" t="n">
        <v>75700.65008947947</v>
      </c>
      <c r="W29" s="195" t="n">
        <v>78458.1878650944</v>
      </c>
      <c r="X29" s="195" t="n">
        <v>81278.31396963558</v>
      </c>
      <c r="Y29" s="195" t="n">
        <v>84160.92735796302</v>
      </c>
      <c r="Z29" s="195" t="n">
        <v>87105.87854234499</v>
      </c>
      <c r="AA29" s="195" t="n">
        <v>90112.96862343852</v>
      </c>
      <c r="AB29" s="195" t="n">
        <v>93181.94820770947</v>
      </c>
      <c r="AC29" s="195" t="n">
        <v>96312.51620395185</v>
      </c>
      <c r="AD29" s="195" t="n">
        <v>99504.31849185308</v>
      </c>
      <c r="AE29" s="195" t="n">
        <v>102756.9464558374</v>
      </c>
      <c r="AF29" s="3" t="n"/>
      <c r="AG29" s="3" t="inlineStr">
        <is>
          <t>egy.mit.pav.sp.all.nga.2</t>
        </is>
      </c>
      <c r="AH29" s="195" t="n">
        <v>64894.04218486973</v>
      </c>
      <c r="AI29" s="195" t="n">
        <v>51823.80899610486</v>
      </c>
      <c r="AJ29" s="195" t="n">
        <v>55987.90015772499</v>
      </c>
      <c r="AK29" s="195" t="n">
        <v>57972.75521327277</v>
      </c>
      <c r="AL29" s="195" t="n">
        <v>59930.19314263896</v>
      </c>
      <c r="AM29" s="195" t="n">
        <v>66332.18102259787</v>
      </c>
      <c r="AN29" s="195" t="n">
        <v>69295.44371028393</v>
      </c>
      <c r="AO29" s="195" t="n">
        <v>72209.82618911457</v>
      </c>
      <c r="AP29" s="195" t="n">
        <v>74844.68574116427</v>
      </c>
      <c r="AQ29" s="195" t="n">
        <v>77637.4156988125</v>
      </c>
      <c r="AR29" s="195" t="n">
        <v>80442.10591263908</v>
      </c>
      <c r="AS29" s="195" t="n">
        <v>83401.8712633689</v>
      </c>
      <c r="AT29" s="195" t="n">
        <v>86474.54909955175</v>
      </c>
      <c r="AU29" s="195" t="n">
        <v>89596.0050177316</v>
      </c>
      <c r="AV29" s="195" t="n">
        <v>92806.81553395632</v>
      </c>
      <c r="AW29" s="195" t="n">
        <v>96135.57315451345</v>
      </c>
      <c r="AX29" s="195" t="n">
        <v>99490.92253734346</v>
      </c>
      <c r="AY29" s="195" t="n">
        <v>102891.003539617</v>
      </c>
      <c r="AZ29" s="195" t="n">
        <v>106299.7211004676</v>
      </c>
      <c r="BA29" s="195" t="n">
        <v>109756.3679248209</v>
      </c>
      <c r="BB29" s="3" t="n"/>
      <c r="BC29" s="3" t="n"/>
      <c r="BD29" s="3" t="n"/>
      <c r="BE29" s="3" t="n"/>
      <c r="BF29" s="3" t="n"/>
      <c r="BG29" s="3" t="n"/>
      <c r="BH29" s="3" t="n"/>
      <c r="BI29" s="3" t="n"/>
      <c r="BJ29" s="3" t="n"/>
      <c r="BK29" s="3" t="n"/>
      <c r="BL29" s="3" t="n"/>
      <c r="BM29" s="3" t="n"/>
      <c r="BN29" s="3" t="n"/>
      <c r="BO29" s="3" t="n"/>
      <c r="BP29" s="3" t="n"/>
      <c r="BQ29" s="3" t="n"/>
      <c r="BR29" s="3" t="n"/>
      <c r="BS29" s="3" t="n"/>
      <c r="BT29" s="3" t="n"/>
      <c r="BU29" s="3" t="n"/>
      <c r="BV29" s="3" t="n"/>
      <c r="BW29" s="3" t="n"/>
      <c r="BX29" s="3" t="n"/>
      <c r="BY29" s="3" t="n"/>
      <c r="BZ29" s="3" t="n"/>
      <c r="CA29" s="3" t="n"/>
      <c r="CB29" s="3" t="n"/>
      <c r="CC29" s="3" t="n"/>
      <c r="CD29" s="3" t="n"/>
      <c r="CE29" s="3" t="n"/>
      <c r="CF29" s="3" t="n"/>
      <c r="CG29" s="3" t="n"/>
      <c r="CH29" s="3" t="n"/>
      <c r="CI29" s="3" t="n"/>
      <c r="CJ29" s="3" t="n"/>
      <c r="CK29" s="3" t="n"/>
      <c r="CL29" s="3" t="n"/>
      <c r="CM29" s="3" t="n"/>
      <c r="CN29" s="3" t="n"/>
      <c r="CO29" s="3" t="n"/>
      <c r="CP29" s="3" t="n"/>
      <c r="CQ29" s="3" t="n"/>
      <c r="CR29" s="3" t="n"/>
      <c r="CS29" s="3" t="n"/>
      <c r="CT29" s="3" t="n"/>
      <c r="CU29" s="3" t="n"/>
      <c r="CV29" s="3" t="n"/>
      <c r="CW29" s="3" t="n"/>
      <c r="CX29" s="3" t="n"/>
      <c r="CY29" s="3" t="n"/>
      <c r="CZ29" s="3" t="n"/>
      <c r="DA29" s="3" t="n"/>
      <c r="DB29" s="3" t="n"/>
      <c r="DC29" s="3" t="n"/>
      <c r="DD29" s="3" t="n"/>
      <c r="DE29" s="3" t="n"/>
      <c r="DF29" s="3" t="n"/>
      <c r="DG29" s="3" t="n"/>
      <c r="DH29" s="3" t="n"/>
      <c r="DI29" s="3" t="n"/>
      <c r="DJ29" s="3" t="n"/>
      <c r="DK29" s="3" t="n"/>
      <c r="DL29" s="3" t="n"/>
      <c r="DM29" s="3" t="n"/>
      <c r="DN29" s="3" t="n"/>
      <c r="DO29" s="3" t="n"/>
      <c r="DP29" s="3" t="n"/>
      <c r="DQ29" s="3" t="n"/>
      <c r="DR29" s="3" t="n"/>
      <c r="DS29" s="3" t="n"/>
      <c r="DT29" s="3" t="n"/>
      <c r="DU29" s="3" t="n"/>
      <c r="DV29" s="3" t="n"/>
      <c r="DW29" s="3" t="n"/>
      <c r="DX29" s="3" t="n"/>
      <c r="DY29" s="3" t="n"/>
      <c r="DZ29" s="3" t="n"/>
      <c r="EA29" s="3" t="n"/>
      <c r="EB29" s="3" t="n"/>
      <c r="EC29" s="3" t="n"/>
      <c r="ED29" s="3" t="n"/>
      <c r="EE29" s="3" t="n"/>
      <c r="EF29" s="3" t="n"/>
      <c r="EG29" s="3" t="n"/>
      <c r="EH29" s="3" t="n"/>
      <c r="EI29" s="3" t="n"/>
      <c r="EJ29" s="3" t="n"/>
      <c r="EK29" s="3" t="n"/>
      <c r="EL29" s="3" t="n"/>
      <c r="EM29" s="3" t="n"/>
      <c r="EN29" s="3" t="n"/>
      <c r="EO29" s="3" t="n"/>
      <c r="EP29" s="3" t="n"/>
      <c r="EQ29" s="3" t="n"/>
      <c r="ER29" s="3" t="n"/>
      <c r="ES29" s="3" t="n"/>
      <c r="ET29" s="3" t="n"/>
      <c r="EU29" s="3" t="n"/>
      <c r="EV29" s="3" t="n"/>
      <c r="EW29" s="3" t="n"/>
      <c r="EX29" s="3" t="n"/>
      <c r="EY29" s="3" t="n"/>
      <c r="EZ29" s="3" t="n"/>
      <c r="FA29" s="3" t="n"/>
      <c r="FB29" s="3" t="n"/>
      <c r="FC29" s="3" t="n"/>
      <c r="FD29" s="3" t="n"/>
      <c r="FE29" s="3" t="n"/>
      <c r="FF29" s="3" t="n"/>
      <c r="FG29" s="3" t="n"/>
      <c r="FH29" s="3" t="n"/>
      <c r="FI29" s="3" t="n"/>
      <c r="FJ29" s="3" t="n"/>
      <c r="FK29" s="3" t="n"/>
      <c r="FL29" s="3" t="n"/>
      <c r="FM29" s="3" t="n"/>
      <c r="FN29" s="3" t="n"/>
      <c r="FO29" s="3" t="n"/>
      <c r="FP29" s="3" t="n"/>
      <c r="FQ29" s="3" t="n"/>
      <c r="FR29" s="3" t="n"/>
      <c r="FS29" s="3" t="n"/>
      <c r="FT29" s="3" t="n"/>
      <c r="FU29" s="3" t="n"/>
      <c r="FV29" s="3" t="n"/>
      <c r="FW29" s="3" t="n"/>
      <c r="FX29" s="3" t="n"/>
      <c r="FY29" s="3" t="n"/>
      <c r="FZ29" s="3" t="n"/>
      <c r="GA29" s="3" t="n"/>
      <c r="GB29" s="3" t="n"/>
      <c r="GC29" s="3" t="n"/>
      <c r="GD29" s="3" t="n"/>
      <c r="GE29" s="3" t="n"/>
      <c r="GF29" s="3" t="n"/>
      <c r="GG29" s="3" t="n"/>
      <c r="GH29" s="3" t="n"/>
      <c r="GI29" s="3" t="n"/>
      <c r="GJ29" s="3" t="n"/>
      <c r="GK29" s="3" t="n"/>
      <c r="GL29" s="3" t="n"/>
      <c r="GM29" s="3" t="n"/>
      <c r="GN29" s="3" t="n"/>
      <c r="GO29" s="3" t="n"/>
      <c r="GP29" s="3" t="n"/>
      <c r="GQ29" s="3" t="n"/>
      <c r="GR29" s="3" t="n"/>
      <c r="GS29" s="3" t="n"/>
      <c r="GT29" s="3" t="n"/>
      <c r="GU29" s="3" t="n"/>
      <c r="GV29" s="3" t="n"/>
      <c r="GW29" s="3" t="n"/>
      <c r="GX29" s="3" t="n"/>
      <c r="GY29" s="3" t="n"/>
      <c r="GZ29" s="3" t="n"/>
      <c r="HA29" s="3" t="n"/>
      <c r="HB29" s="3" t="n"/>
      <c r="HC29" s="3" t="n"/>
      <c r="HD29" s="3" t="n"/>
      <c r="HE29" s="3" t="n"/>
      <c r="HF29" s="3" t="n"/>
      <c r="HG29" s="3" t="n"/>
      <c r="HH29" s="3" t="n"/>
      <c r="HI29" s="3" t="n"/>
      <c r="HJ29" s="3" t="n"/>
      <c r="HK29" s="3" t="n"/>
      <c r="HL29" s="3" t="n"/>
      <c r="HM29" s="3" t="n"/>
      <c r="HN29" s="3" t="n"/>
      <c r="HO29" s="3" t="n"/>
      <c r="HP29" s="3" t="n"/>
      <c r="HQ29" s="3" t="n"/>
      <c r="HR29" s="3" t="n"/>
      <c r="HS29" s="3" t="n"/>
      <c r="HT29" s="3" t="n"/>
      <c r="HU29" s="3" t="n"/>
      <c r="HV29" s="3" t="n"/>
      <c r="HW29" s="3" t="n"/>
      <c r="HX29" s="3" t="n"/>
      <c r="HY29" s="3" t="n"/>
      <c r="HZ29" s="3" t="n"/>
      <c r="IA29" s="3" t="n"/>
      <c r="IB29" s="3" t="n"/>
      <c r="IC29" s="3" t="n"/>
      <c r="ID29" s="3" t="n"/>
      <c r="IE29" s="3" t="n"/>
      <c r="IF29" s="3" t="n"/>
      <c r="IG29" s="3" t="n"/>
      <c r="IH29" s="3" t="n"/>
      <c r="II29" s="3" t="n"/>
      <c r="IJ29" s="3" t="n"/>
      <c r="IK29" s="3" t="n"/>
      <c r="IL29" s="3" t="n"/>
      <c r="IM29" s="3" t="n"/>
      <c r="IN29" s="3" t="n"/>
      <c r="IO29" s="3" t="n"/>
      <c r="IP29" s="3" t="n"/>
      <c r="IQ29" s="3" t="n"/>
      <c r="IR29" s="3" t="n"/>
      <c r="IS29" s="3" t="n"/>
      <c r="IT29" s="3" t="n"/>
      <c r="IU29" s="3" t="n"/>
      <c r="IV29" s="3" t="n"/>
      <c r="IW29" s="3" t="n"/>
      <c r="IX29" s="3" t="n"/>
      <c r="IY29" s="3" t="n"/>
      <c r="IZ29" s="3" t="n"/>
    </row>
    <row r="30">
      <c r="A30" s="44" t="inlineStr">
        <is>
          <t>pav.sp</t>
        </is>
      </c>
      <c r="B30" s="3" t="inlineStr">
        <is>
          <t>oop</t>
        </is>
      </c>
      <c r="C30" s="3" t="inlineStr">
        <is>
          <t>all</t>
        </is>
      </c>
      <c r="D30" s="133" t="n">
        <v>1</v>
      </c>
      <c r="E30" s="3" t="n"/>
      <c r="H30" s="3" t="inlineStr">
        <is>
          <t>Spending on the fuel at after-tax prices (sum over subsectors of atp x fuel use; electricity: rp x consumption, USD m; all energy: USD m) | All sectors | Other oil products</t>
        </is>
      </c>
      <c r="I30" s="3" t="inlineStr">
        <is>
          <t>USD/GJ x ktoe</t>
        </is>
      </c>
      <c r="J30" s="3" t="inlineStr">
        <is>
          <t>Mitigation section 19a</t>
        </is>
      </c>
      <c r="K30" s="3" t="inlineStr">
        <is>
          <t>egy.mit.pav.sp.all.oop.1</t>
        </is>
      </c>
      <c r="L30" s="195" t="n">
        <v>14216.83780992033</v>
      </c>
      <c r="M30" s="195" t="n">
        <v>11148.75383749748</v>
      </c>
      <c r="N30" s="195" t="n">
        <v>12152.87555577882</v>
      </c>
      <c r="O30" s="195" t="n">
        <v>12543.5452140222</v>
      </c>
      <c r="P30" s="195" t="n">
        <v>12927.22530662994</v>
      </c>
      <c r="Q30" s="195" t="n">
        <v>13379.86683205008</v>
      </c>
      <c r="R30" s="195" t="n">
        <v>13917.68881697784</v>
      </c>
      <c r="S30" s="195" t="n">
        <v>14436.92371920168</v>
      </c>
      <c r="T30" s="195" t="n">
        <v>14926.67718997743</v>
      </c>
      <c r="U30" s="195" t="n">
        <v>15423.51927584145</v>
      </c>
      <c r="V30" s="195" t="n">
        <v>15929.16329136634</v>
      </c>
      <c r="W30" s="195" t="n">
        <v>16443.52953644614</v>
      </c>
      <c r="X30" s="195" t="n">
        <v>16966.53312258127</v>
      </c>
      <c r="Y30" s="195" t="n">
        <v>17498.08393693229</v>
      </c>
      <c r="Z30" s="195" t="n">
        <v>18038.08658642924</v>
      </c>
      <c r="AA30" s="195" t="n">
        <v>18586.44032137626</v>
      </c>
      <c r="AB30" s="195" t="n">
        <v>19143.03893803662</v>
      </c>
      <c r="AC30" s="195" t="n">
        <v>19707.77065972367</v>
      </c>
      <c r="AD30" s="195" t="n">
        <v>20280.51799595895</v>
      </c>
      <c r="AE30" s="195" t="n">
        <v>20861.15757929025</v>
      </c>
      <c r="AF30" s="3" t="n"/>
      <c r="AG30" s="3" t="inlineStr">
        <is>
          <t>egy.mit.pav.sp.all.oop.2</t>
        </is>
      </c>
      <c r="AH30" s="195" t="n">
        <v>14216.83780992033</v>
      </c>
      <c r="AI30" s="195" t="n">
        <v>11148.75383749748</v>
      </c>
      <c r="AJ30" s="195" t="n">
        <v>12152.87555577882</v>
      </c>
      <c r="AK30" s="195" t="n">
        <v>12543.5452140222</v>
      </c>
      <c r="AL30" s="195" t="n">
        <v>12927.22530662994</v>
      </c>
      <c r="AM30" s="195" t="n">
        <v>14926.28695276326</v>
      </c>
      <c r="AN30" s="195" t="n">
        <v>15526.19864208482</v>
      </c>
      <c r="AO30" s="195" t="n">
        <v>16112.85576269762</v>
      </c>
      <c r="AP30" s="195" t="n">
        <v>16642.01422606012</v>
      </c>
      <c r="AQ30" s="195" t="n">
        <v>17198.96142432868</v>
      </c>
      <c r="AR30" s="195" t="n">
        <v>17755.38188334565</v>
      </c>
      <c r="AS30" s="195" t="n">
        <v>18338.57985684008</v>
      </c>
      <c r="AT30" s="195" t="n">
        <v>18940.2003682889</v>
      </c>
      <c r="AU30" s="195" t="n">
        <v>19547.9608908915</v>
      </c>
      <c r="AV30" s="195" t="n">
        <v>20169.42344540084</v>
      </c>
      <c r="AW30" s="195" t="n">
        <v>20809.74974701161</v>
      </c>
      <c r="AX30" s="195" t="n">
        <v>21451.84621441859</v>
      </c>
      <c r="AY30" s="195" t="n">
        <v>22099.10570490433</v>
      </c>
      <c r="AZ30" s="195" t="n">
        <v>22744.9451157337</v>
      </c>
      <c r="BA30" s="195" t="n">
        <v>23396.6081907328</v>
      </c>
      <c r="BB30" s="3" t="n"/>
      <c r="BC30" s="3" t="n"/>
      <c r="BD30" s="3" t="n"/>
      <c r="BE30" s="3" t="n"/>
      <c r="BF30" s="3" t="n"/>
      <c r="BG30" s="3" t="n"/>
      <c r="BH30" s="3" t="n"/>
      <c r="BI30" s="3" t="n"/>
      <c r="BJ30" s="3" t="n"/>
      <c r="BK30" s="3" t="n"/>
      <c r="BL30" s="3" t="n"/>
      <c r="BM30" s="3" t="n"/>
      <c r="BN30" s="3" t="n"/>
      <c r="BO30" s="3" t="n"/>
      <c r="BP30" s="3" t="n"/>
      <c r="BQ30" s="3" t="n"/>
      <c r="BR30" s="3" t="n"/>
      <c r="BS30" s="3" t="n"/>
      <c r="BT30" s="3" t="n"/>
      <c r="BU30" s="3" t="n"/>
      <c r="BV30" s="3" t="n"/>
      <c r="BW30" s="3" t="n"/>
      <c r="BX30" s="3" t="n"/>
      <c r="BY30" s="3" t="n"/>
      <c r="BZ30" s="3" t="n"/>
      <c r="CA30" s="3" t="n"/>
      <c r="CB30" s="3" t="n"/>
      <c r="CC30" s="3" t="n"/>
      <c r="CD30" s="3" t="n"/>
      <c r="CE30" s="3" t="n"/>
      <c r="CF30" s="3" t="n"/>
      <c r="CG30" s="3" t="n"/>
      <c r="CH30" s="3" t="n"/>
      <c r="CI30" s="3" t="n"/>
      <c r="CJ30" s="3" t="n"/>
      <c r="CK30" s="3" t="n"/>
      <c r="CL30" s="3" t="n"/>
      <c r="CM30" s="3" t="n"/>
      <c r="CN30" s="3" t="n"/>
      <c r="CO30" s="3" t="n"/>
      <c r="CP30" s="3" t="n"/>
      <c r="CQ30" s="3" t="n"/>
      <c r="CR30" s="3" t="n"/>
      <c r="CS30" s="3" t="n"/>
      <c r="CT30" s="3" t="n"/>
      <c r="CU30" s="3" t="n"/>
      <c r="CV30" s="3" t="n"/>
      <c r="CW30" s="3" t="n"/>
      <c r="CX30" s="3" t="n"/>
      <c r="CY30" s="3" t="n"/>
      <c r="CZ30" s="3" t="n"/>
      <c r="DA30" s="3" t="n"/>
      <c r="DB30" s="3" t="n"/>
      <c r="DC30" s="3" t="n"/>
      <c r="DD30" s="3" t="n"/>
      <c r="DE30" s="3" t="n"/>
      <c r="DF30" s="3" t="n"/>
      <c r="DG30" s="3" t="n"/>
      <c r="DH30" s="3" t="n"/>
      <c r="DI30" s="3" t="n"/>
      <c r="DJ30" s="3" t="n"/>
      <c r="DK30" s="3" t="n"/>
      <c r="DL30" s="3" t="n"/>
      <c r="DM30" s="3" t="n"/>
      <c r="DN30" s="3" t="n"/>
      <c r="DO30" s="3" t="n"/>
      <c r="DP30" s="3" t="n"/>
      <c r="DQ30" s="3" t="n"/>
      <c r="DR30" s="3" t="n"/>
      <c r="DS30" s="3" t="n"/>
      <c r="DT30" s="3" t="n"/>
      <c r="DU30" s="3" t="n"/>
      <c r="DV30" s="3" t="n"/>
      <c r="DW30" s="3" t="n"/>
      <c r="DX30" s="3" t="n"/>
      <c r="DY30" s="3" t="n"/>
      <c r="DZ30" s="3" t="n"/>
      <c r="EA30" s="3" t="n"/>
      <c r="EB30" s="3" t="n"/>
      <c r="EC30" s="3" t="n"/>
      <c r="ED30" s="3" t="n"/>
      <c r="EE30" s="3" t="n"/>
      <c r="EF30" s="3" t="n"/>
      <c r="EG30" s="3" t="n"/>
      <c r="EH30" s="3" t="n"/>
      <c r="EI30" s="3" t="n"/>
      <c r="EJ30" s="3" t="n"/>
      <c r="EK30" s="3" t="n"/>
      <c r="EL30" s="3" t="n"/>
      <c r="EM30" s="3" t="n"/>
      <c r="EN30" s="3" t="n"/>
      <c r="EO30" s="3" t="n"/>
      <c r="EP30" s="3" t="n"/>
      <c r="EQ30" s="3" t="n"/>
      <c r="ER30" s="3" t="n"/>
      <c r="ES30" s="3" t="n"/>
      <c r="ET30" s="3" t="n"/>
      <c r="EU30" s="3" t="n"/>
      <c r="EV30" s="3" t="n"/>
      <c r="EW30" s="3" t="n"/>
      <c r="EX30" s="3" t="n"/>
      <c r="EY30" s="3" t="n"/>
      <c r="EZ30" s="3" t="n"/>
      <c r="FA30" s="3" t="n"/>
      <c r="FB30" s="3" t="n"/>
      <c r="FC30" s="3" t="n"/>
      <c r="FD30" s="3" t="n"/>
      <c r="FE30" s="3" t="n"/>
      <c r="FF30" s="3" t="n"/>
      <c r="FG30" s="3" t="n"/>
      <c r="FH30" s="3" t="n"/>
      <c r="FI30" s="3" t="n"/>
      <c r="FJ30" s="3" t="n"/>
      <c r="FK30" s="3" t="n"/>
      <c r="FL30" s="3" t="n"/>
      <c r="FM30" s="3" t="n"/>
      <c r="FN30" s="3" t="n"/>
      <c r="FO30" s="3" t="n"/>
      <c r="FP30" s="3" t="n"/>
      <c r="FQ30" s="3" t="n"/>
      <c r="FR30" s="3" t="n"/>
      <c r="FS30" s="3" t="n"/>
      <c r="FT30" s="3" t="n"/>
      <c r="FU30" s="3" t="n"/>
      <c r="FV30" s="3" t="n"/>
      <c r="FW30" s="3" t="n"/>
      <c r="FX30" s="3" t="n"/>
      <c r="FY30" s="3" t="n"/>
      <c r="FZ30" s="3" t="n"/>
      <c r="GA30" s="3" t="n"/>
      <c r="GB30" s="3" t="n"/>
      <c r="GC30" s="3" t="n"/>
      <c r="GD30" s="3" t="n"/>
      <c r="GE30" s="3" t="n"/>
      <c r="GF30" s="3" t="n"/>
      <c r="GG30" s="3" t="n"/>
      <c r="GH30" s="3" t="n"/>
      <c r="GI30" s="3" t="n"/>
      <c r="GJ30" s="3" t="n"/>
      <c r="GK30" s="3" t="n"/>
      <c r="GL30" s="3" t="n"/>
      <c r="GM30" s="3" t="n"/>
      <c r="GN30" s="3" t="n"/>
      <c r="GO30" s="3" t="n"/>
      <c r="GP30" s="3" t="n"/>
      <c r="GQ30" s="3" t="n"/>
      <c r="GR30" s="3" t="n"/>
      <c r="GS30" s="3" t="n"/>
      <c r="GT30" s="3" t="n"/>
      <c r="GU30" s="3" t="n"/>
      <c r="GV30" s="3" t="n"/>
      <c r="GW30" s="3" t="n"/>
      <c r="GX30" s="3" t="n"/>
      <c r="GY30" s="3" t="n"/>
      <c r="GZ30" s="3" t="n"/>
      <c r="HA30" s="3" t="n"/>
      <c r="HB30" s="3" t="n"/>
      <c r="HC30" s="3" t="n"/>
      <c r="HD30" s="3" t="n"/>
      <c r="HE30" s="3" t="n"/>
      <c r="HF30" s="3" t="n"/>
      <c r="HG30" s="3" t="n"/>
      <c r="HH30" s="3" t="n"/>
      <c r="HI30" s="3" t="n"/>
      <c r="HJ30" s="3" t="n"/>
      <c r="HK30" s="3" t="n"/>
      <c r="HL30" s="3" t="n"/>
      <c r="HM30" s="3" t="n"/>
      <c r="HN30" s="3" t="n"/>
      <c r="HO30" s="3" t="n"/>
      <c r="HP30" s="3" t="n"/>
      <c r="HQ30" s="3" t="n"/>
      <c r="HR30" s="3" t="n"/>
      <c r="HS30" s="3" t="n"/>
      <c r="HT30" s="3" t="n"/>
      <c r="HU30" s="3" t="n"/>
      <c r="HV30" s="3" t="n"/>
      <c r="HW30" s="3" t="n"/>
      <c r="HX30" s="3" t="n"/>
      <c r="HY30" s="3" t="n"/>
      <c r="HZ30" s="3" t="n"/>
      <c r="IA30" s="3" t="n"/>
      <c r="IB30" s="3" t="n"/>
      <c r="IC30" s="3" t="n"/>
      <c r="ID30" s="3" t="n"/>
      <c r="IE30" s="3" t="n"/>
      <c r="IF30" s="3" t="n"/>
      <c r="IG30" s="3" t="n"/>
      <c r="IH30" s="3" t="n"/>
      <c r="II30" s="3" t="n"/>
      <c r="IJ30" s="3" t="n"/>
      <c r="IK30" s="3" t="n"/>
      <c r="IL30" s="3" t="n"/>
      <c r="IM30" s="3" t="n"/>
      <c r="IN30" s="3" t="n"/>
      <c r="IO30" s="3" t="n"/>
      <c r="IP30" s="3" t="n"/>
      <c r="IQ30" s="3" t="n"/>
      <c r="IR30" s="3" t="n"/>
      <c r="IS30" s="3" t="n"/>
      <c r="IT30" s="3" t="n"/>
      <c r="IU30" s="3" t="n"/>
      <c r="IV30" s="3" t="n"/>
      <c r="IW30" s="3" t="n"/>
      <c r="IX30" s="3" t="n"/>
      <c r="IY30" s="3" t="n"/>
      <c r="IZ30" s="3" t="n"/>
    </row>
    <row r="31">
      <c r="A31" s="44" t="inlineStr">
        <is>
          <t>pav.sp</t>
        </is>
      </c>
      <c r="B31" s="3" t="inlineStr">
        <is>
          <t>gso</t>
        </is>
      </c>
      <c r="C31" s="3" t="inlineStr">
        <is>
          <t>all</t>
        </is>
      </c>
      <c r="D31" s="133" t="n">
        <v>1</v>
      </c>
      <c r="E31" s="3" t="n"/>
      <c r="H31" s="3" t="inlineStr">
        <is>
          <t>Spending on the fuel at after-tax prices (sum over subsectors of atp x fuel use; electricity: rp x consumption, USD m; all energy: USD m) | All sectors | Gasoline</t>
        </is>
      </c>
      <c r="I31" s="3" t="inlineStr">
        <is>
          <t>USD/GJ x ktoe</t>
        </is>
      </c>
      <c r="J31" s="3" t="inlineStr">
        <is>
          <t>Mitigation section 19a</t>
        </is>
      </c>
      <c r="K31" s="3" t="inlineStr">
        <is>
          <t>egy.mit.pav.sp.all.gso.1</t>
        </is>
      </c>
      <c r="L31" s="195" t="n">
        <v>132706.1290055964</v>
      </c>
      <c r="M31" s="195" t="n">
        <v>90605.6875667916</v>
      </c>
      <c r="N31" s="195" t="n">
        <v>92642.43430268375</v>
      </c>
      <c r="O31" s="195" t="n">
        <v>94953.68923593005</v>
      </c>
      <c r="P31" s="195" t="n">
        <v>97193.90746570457</v>
      </c>
      <c r="Q31" s="195" t="n">
        <v>99860.68289292198</v>
      </c>
      <c r="R31" s="195" t="n">
        <v>103049.8326591796</v>
      </c>
      <c r="S31" s="195" t="n">
        <v>106082.2575665446</v>
      </c>
      <c r="T31" s="195" t="n">
        <v>108892.0214526432</v>
      </c>
      <c r="U31" s="195" t="n">
        <v>111715.7148158971</v>
      </c>
      <c r="V31" s="195" t="n">
        <v>114563.8245674183</v>
      </c>
      <c r="W31" s="195" t="n">
        <v>117435.3335770197</v>
      </c>
      <c r="X31" s="195" t="n">
        <v>120329.2156800136</v>
      </c>
      <c r="Y31" s="195" t="n">
        <v>123244.4357439785</v>
      </c>
      <c r="Z31" s="195" t="n">
        <v>126179.9496163774</v>
      </c>
      <c r="AA31" s="195" t="n">
        <v>129134.7039550864</v>
      </c>
      <c r="AB31" s="195" t="n">
        <v>132107.6359440289</v>
      </c>
      <c r="AC31" s="195" t="n">
        <v>135097.6728962075</v>
      </c>
      <c r="AD31" s="195" t="n">
        <v>138103.7317464957</v>
      </c>
      <c r="AE31" s="195" t="n">
        <v>141124.71843659</v>
      </c>
      <c r="AF31" s="3" t="n"/>
      <c r="AG31" s="3" t="inlineStr">
        <is>
          <t>egy.mit.pav.sp.all.gso.2</t>
        </is>
      </c>
      <c r="AH31" s="195" t="n">
        <v>132706.1290055964</v>
      </c>
      <c r="AI31" s="195" t="n">
        <v>90605.6875667916</v>
      </c>
      <c r="AJ31" s="195" t="n">
        <v>92642.43430268375</v>
      </c>
      <c r="AK31" s="195" t="n">
        <v>94953.68923593005</v>
      </c>
      <c r="AL31" s="195" t="n">
        <v>97193.90746570457</v>
      </c>
      <c r="AM31" s="195" t="n">
        <v>104818.8641946649</v>
      </c>
      <c r="AN31" s="195" t="n">
        <v>108166.3440279288</v>
      </c>
      <c r="AO31" s="195" t="n">
        <v>111394.6013442214</v>
      </c>
      <c r="AP31" s="195" t="n">
        <v>114240.7097650712</v>
      </c>
      <c r="AQ31" s="195" t="n">
        <v>117221.494372039</v>
      </c>
      <c r="AR31" s="195" t="n">
        <v>120166.4312091443</v>
      </c>
      <c r="AS31" s="195" t="n">
        <v>123236.8238136823</v>
      </c>
      <c r="AT31" s="195" t="n">
        <v>126381.2481087501</v>
      </c>
      <c r="AU31" s="195" t="n">
        <v>129526.9320517896</v>
      </c>
      <c r="AV31" s="195" t="n">
        <v>132717.3749072971</v>
      </c>
      <c r="AW31" s="195" t="n">
        <v>135981.1460187266</v>
      </c>
      <c r="AX31" s="195" t="n">
        <v>139219.6470939687</v>
      </c>
      <c r="AY31" s="195" t="n">
        <v>142452.4988904876</v>
      </c>
      <c r="AZ31" s="195" t="n">
        <v>145642.8927418119</v>
      </c>
      <c r="BA31" s="195" t="n">
        <v>148831.9399508263</v>
      </c>
      <c r="BB31" s="3" t="n"/>
      <c r="BC31" s="3" t="n"/>
      <c r="BD31" s="3" t="n"/>
      <c r="BE31" s="3" t="n"/>
      <c r="BF31" s="3" t="n"/>
      <c r="BG31" s="3" t="n"/>
      <c r="BH31" s="3" t="n"/>
      <c r="BI31" s="3" t="n"/>
      <c r="BJ31" s="3" t="n"/>
      <c r="BK31" s="3" t="n"/>
      <c r="BL31" s="3" t="n"/>
      <c r="BM31" s="3" t="n"/>
      <c r="BN31" s="3" t="n"/>
      <c r="BO31" s="3" t="n"/>
      <c r="BP31" s="3" t="n"/>
      <c r="BQ31" s="3" t="n"/>
      <c r="BR31" s="3" t="n"/>
      <c r="BS31" s="3" t="n"/>
      <c r="BT31" s="3" t="n"/>
      <c r="BU31" s="3" t="n"/>
      <c r="BV31" s="3" t="n"/>
      <c r="BW31" s="3" t="n"/>
      <c r="BX31" s="3" t="n"/>
      <c r="BY31" s="3" t="n"/>
      <c r="BZ31" s="3" t="n"/>
      <c r="CA31" s="3" t="n"/>
      <c r="CB31" s="3" t="n"/>
      <c r="CC31" s="3" t="n"/>
      <c r="CD31" s="3" t="n"/>
      <c r="CE31" s="3" t="n"/>
      <c r="CF31" s="3" t="n"/>
      <c r="CG31" s="3" t="n"/>
      <c r="CH31" s="3" t="n"/>
      <c r="CI31" s="3" t="n"/>
      <c r="CJ31" s="3" t="n"/>
      <c r="CK31" s="3" t="n"/>
      <c r="CL31" s="3" t="n"/>
      <c r="CM31" s="3" t="n"/>
      <c r="CN31" s="3" t="n"/>
      <c r="CO31" s="3" t="n"/>
      <c r="CP31" s="3" t="n"/>
      <c r="CQ31" s="3" t="n"/>
      <c r="CR31" s="3" t="n"/>
      <c r="CS31" s="3" t="n"/>
      <c r="CT31" s="3" t="n"/>
      <c r="CU31" s="3" t="n"/>
      <c r="CV31" s="3" t="n"/>
      <c r="CW31" s="3" t="n"/>
      <c r="CX31" s="3" t="n"/>
      <c r="CY31" s="3" t="n"/>
      <c r="CZ31" s="3" t="n"/>
      <c r="DA31" s="3" t="n"/>
      <c r="DB31" s="3" t="n"/>
      <c r="DC31" s="3" t="n"/>
      <c r="DD31" s="3" t="n"/>
      <c r="DE31" s="3" t="n"/>
      <c r="DF31" s="3" t="n"/>
      <c r="DG31" s="3" t="n"/>
      <c r="DH31" s="3" t="n"/>
      <c r="DI31" s="3" t="n"/>
      <c r="DJ31" s="3" t="n"/>
      <c r="DK31" s="3" t="n"/>
      <c r="DL31" s="3" t="n"/>
      <c r="DM31" s="3" t="n"/>
      <c r="DN31" s="3" t="n"/>
      <c r="DO31" s="3" t="n"/>
      <c r="DP31" s="3" t="n"/>
      <c r="DQ31" s="3" t="n"/>
      <c r="DR31" s="3" t="n"/>
      <c r="DS31" s="3" t="n"/>
      <c r="DT31" s="3" t="n"/>
      <c r="DU31" s="3" t="n"/>
      <c r="DV31" s="3" t="n"/>
      <c r="DW31" s="3" t="n"/>
      <c r="DX31" s="3" t="n"/>
      <c r="DY31" s="3" t="n"/>
      <c r="DZ31" s="3" t="n"/>
      <c r="EA31" s="3" t="n"/>
      <c r="EB31" s="3" t="n"/>
      <c r="EC31" s="3" t="n"/>
      <c r="ED31" s="3" t="n"/>
      <c r="EE31" s="3" t="n"/>
      <c r="EF31" s="3" t="n"/>
      <c r="EG31" s="3" t="n"/>
      <c r="EH31" s="3" t="n"/>
      <c r="EI31" s="3" t="n"/>
      <c r="EJ31" s="3" t="n"/>
      <c r="EK31" s="3" t="n"/>
      <c r="EL31" s="3" t="n"/>
      <c r="EM31" s="3" t="n"/>
      <c r="EN31" s="3" t="n"/>
      <c r="EO31" s="3" t="n"/>
      <c r="EP31" s="3" t="n"/>
      <c r="EQ31" s="3" t="n"/>
      <c r="ER31" s="3" t="n"/>
      <c r="ES31" s="3" t="n"/>
      <c r="ET31" s="3" t="n"/>
      <c r="EU31" s="3" t="n"/>
      <c r="EV31" s="3" t="n"/>
      <c r="EW31" s="3" t="n"/>
      <c r="EX31" s="3" t="n"/>
      <c r="EY31" s="3" t="n"/>
      <c r="EZ31" s="3" t="n"/>
      <c r="FA31" s="3" t="n"/>
      <c r="FB31" s="3" t="n"/>
      <c r="FC31" s="3" t="n"/>
      <c r="FD31" s="3" t="n"/>
      <c r="FE31" s="3" t="n"/>
      <c r="FF31" s="3" t="n"/>
      <c r="FG31" s="3" t="n"/>
      <c r="FH31" s="3" t="n"/>
      <c r="FI31" s="3" t="n"/>
      <c r="FJ31" s="3" t="n"/>
      <c r="FK31" s="3" t="n"/>
      <c r="FL31" s="3" t="n"/>
      <c r="FM31" s="3" t="n"/>
      <c r="FN31" s="3" t="n"/>
      <c r="FO31" s="3" t="n"/>
      <c r="FP31" s="3" t="n"/>
      <c r="FQ31" s="3" t="n"/>
      <c r="FR31" s="3" t="n"/>
      <c r="FS31" s="3" t="n"/>
      <c r="FT31" s="3" t="n"/>
      <c r="FU31" s="3" t="n"/>
      <c r="FV31" s="3" t="n"/>
      <c r="FW31" s="3" t="n"/>
      <c r="FX31" s="3" t="n"/>
      <c r="FY31" s="3" t="n"/>
      <c r="FZ31" s="3" t="n"/>
      <c r="GA31" s="3" t="n"/>
      <c r="GB31" s="3" t="n"/>
      <c r="GC31" s="3" t="n"/>
      <c r="GD31" s="3" t="n"/>
      <c r="GE31" s="3" t="n"/>
      <c r="GF31" s="3" t="n"/>
      <c r="GG31" s="3" t="n"/>
      <c r="GH31" s="3" t="n"/>
      <c r="GI31" s="3" t="n"/>
      <c r="GJ31" s="3" t="n"/>
      <c r="GK31" s="3" t="n"/>
      <c r="GL31" s="3" t="n"/>
      <c r="GM31" s="3" t="n"/>
      <c r="GN31" s="3" t="n"/>
      <c r="GO31" s="3" t="n"/>
      <c r="GP31" s="3" t="n"/>
      <c r="GQ31" s="3" t="n"/>
      <c r="GR31" s="3" t="n"/>
      <c r="GS31" s="3" t="n"/>
      <c r="GT31" s="3" t="n"/>
      <c r="GU31" s="3" t="n"/>
      <c r="GV31" s="3" t="n"/>
      <c r="GW31" s="3" t="n"/>
      <c r="GX31" s="3" t="n"/>
      <c r="GY31" s="3" t="n"/>
      <c r="GZ31" s="3" t="n"/>
      <c r="HA31" s="3" t="n"/>
      <c r="HB31" s="3" t="n"/>
      <c r="HC31" s="3" t="n"/>
      <c r="HD31" s="3" t="n"/>
      <c r="HE31" s="3" t="n"/>
      <c r="HF31" s="3" t="n"/>
      <c r="HG31" s="3" t="n"/>
      <c r="HH31" s="3" t="n"/>
      <c r="HI31" s="3" t="n"/>
      <c r="HJ31" s="3" t="n"/>
      <c r="HK31" s="3" t="n"/>
      <c r="HL31" s="3" t="n"/>
      <c r="HM31" s="3" t="n"/>
      <c r="HN31" s="3" t="n"/>
      <c r="HO31" s="3" t="n"/>
      <c r="HP31" s="3" t="n"/>
      <c r="HQ31" s="3" t="n"/>
      <c r="HR31" s="3" t="n"/>
      <c r="HS31" s="3" t="n"/>
      <c r="HT31" s="3" t="n"/>
      <c r="HU31" s="3" t="n"/>
      <c r="HV31" s="3" t="n"/>
      <c r="HW31" s="3" t="n"/>
      <c r="HX31" s="3" t="n"/>
      <c r="HY31" s="3" t="n"/>
      <c r="HZ31" s="3" t="n"/>
      <c r="IA31" s="3" t="n"/>
      <c r="IB31" s="3" t="n"/>
      <c r="IC31" s="3" t="n"/>
      <c r="ID31" s="3" t="n"/>
      <c r="IE31" s="3" t="n"/>
      <c r="IF31" s="3" t="n"/>
      <c r="IG31" s="3" t="n"/>
      <c r="IH31" s="3" t="n"/>
      <c r="II31" s="3" t="n"/>
      <c r="IJ31" s="3" t="n"/>
      <c r="IK31" s="3" t="n"/>
      <c r="IL31" s="3" t="n"/>
      <c r="IM31" s="3" t="n"/>
      <c r="IN31" s="3" t="n"/>
      <c r="IO31" s="3" t="n"/>
      <c r="IP31" s="3" t="n"/>
      <c r="IQ31" s="3" t="n"/>
      <c r="IR31" s="3" t="n"/>
      <c r="IS31" s="3" t="n"/>
      <c r="IT31" s="3" t="n"/>
      <c r="IU31" s="3" t="n"/>
      <c r="IV31" s="3" t="n"/>
      <c r="IW31" s="3" t="n"/>
      <c r="IX31" s="3" t="n"/>
      <c r="IY31" s="3" t="n"/>
      <c r="IZ31" s="3" t="n"/>
    </row>
    <row r="32">
      <c r="A32" s="44" t="inlineStr">
        <is>
          <t>pav.sp</t>
        </is>
      </c>
      <c r="B32" s="3" t="inlineStr">
        <is>
          <t>die</t>
        </is>
      </c>
      <c r="C32" s="3" t="inlineStr">
        <is>
          <t>all</t>
        </is>
      </c>
      <c r="D32" s="133" t="n">
        <v>1</v>
      </c>
      <c r="E32" s="3" t="n"/>
      <c r="H32" s="3" t="inlineStr">
        <is>
          <t>Spending on the fuel at after-tax prices (sum over subsectors of atp x fuel use; electricity: rp x consumption, USD m; all energy: USD m) | All sectors | Diesel</t>
        </is>
      </c>
      <c r="I32" s="3" t="inlineStr">
        <is>
          <t>USD/GJ x ktoe</t>
        </is>
      </c>
      <c r="J32" s="3" t="inlineStr">
        <is>
          <t>Mitigation section 19a</t>
        </is>
      </c>
      <c r="K32" s="3" t="inlineStr">
        <is>
          <t>egy.mit.pav.sp.all.die.1</t>
        </is>
      </c>
      <c r="L32" s="195" t="n">
        <v>172549.0535949969</v>
      </c>
      <c r="M32" s="195" t="n">
        <v>124821.5072937654</v>
      </c>
      <c r="N32" s="195" t="n">
        <v>132924.1878750978</v>
      </c>
      <c r="O32" s="195" t="n">
        <v>135571.7088372192</v>
      </c>
      <c r="P32" s="195" t="n">
        <v>138125.9442898319</v>
      </c>
      <c r="Q32" s="195" t="n">
        <v>141150.3782032588</v>
      </c>
      <c r="R32" s="195" t="n">
        <v>144745.1837656378</v>
      </c>
      <c r="S32" s="195" t="n">
        <v>148143.227570053</v>
      </c>
      <c r="T32" s="195" t="n">
        <v>151275.1212687445</v>
      </c>
      <c r="U32" s="195" t="n">
        <v>154406.492194777</v>
      </c>
      <c r="V32" s="195" t="n">
        <v>157549.1239110681</v>
      </c>
      <c r="W32" s="195" t="n">
        <v>160701.9878295073</v>
      </c>
      <c r="X32" s="195" t="n">
        <v>163864.0627198498</v>
      </c>
      <c r="Y32" s="195" t="n">
        <v>167034.3342500168</v>
      </c>
      <c r="Z32" s="195" t="n">
        <v>170211.794421378</v>
      </c>
      <c r="AA32" s="195" t="n">
        <v>173395.4409037761</v>
      </c>
      <c r="AB32" s="195" t="n">
        <v>176584.2762748789</v>
      </c>
      <c r="AC32" s="195" t="n">
        <v>179777.3071682458</v>
      </c>
      <c r="AD32" s="195" t="n">
        <v>182973.5433342897</v>
      </c>
      <c r="AE32" s="195" t="n">
        <v>186171.996618096</v>
      </c>
      <c r="AF32" s="3" t="n"/>
      <c r="AG32" s="3" t="inlineStr">
        <is>
          <t>egy.mit.pav.sp.all.die.2</t>
        </is>
      </c>
      <c r="AH32" s="195" t="n">
        <v>172549.0535949969</v>
      </c>
      <c r="AI32" s="195" t="n">
        <v>124821.5072937654</v>
      </c>
      <c r="AJ32" s="195" t="n">
        <v>132924.1878750978</v>
      </c>
      <c r="AK32" s="195" t="n">
        <v>135571.7088372192</v>
      </c>
      <c r="AL32" s="195" t="n">
        <v>138125.9442898319</v>
      </c>
      <c r="AM32" s="195" t="n">
        <v>148524.6263902053</v>
      </c>
      <c r="AN32" s="195" t="n">
        <v>152306.7505596035</v>
      </c>
      <c r="AO32" s="195" t="n">
        <v>155931.3197055989</v>
      </c>
      <c r="AP32" s="195" t="n">
        <v>159107.8040181736</v>
      </c>
      <c r="AQ32" s="195" t="n">
        <v>162417.8984665247</v>
      </c>
      <c r="AR32" s="195" t="n">
        <v>165671.2583909031</v>
      </c>
      <c r="AS32" s="195" t="n">
        <v>169046.46020713</v>
      </c>
      <c r="AT32" s="195" t="n">
        <v>172485.6280042643</v>
      </c>
      <c r="AU32" s="195" t="n">
        <v>175908.8017413731</v>
      </c>
      <c r="AV32" s="195" t="n">
        <v>179363.6166759816</v>
      </c>
      <c r="AW32" s="195" t="n">
        <v>182880.670297966</v>
      </c>
      <c r="AX32" s="195" t="n">
        <v>186353.4851476169</v>
      </c>
      <c r="AY32" s="195" t="n">
        <v>189803.8909871434</v>
      </c>
      <c r="AZ32" s="195" t="n">
        <v>193193.2812579785</v>
      </c>
      <c r="BA32" s="195" t="n">
        <v>196566.2174884164</v>
      </c>
      <c r="BB32" s="3" t="n"/>
      <c r="BC32" s="3" t="n"/>
      <c r="BD32" s="3" t="n"/>
      <c r="BE32" s="3" t="n"/>
      <c r="BF32" s="3" t="n"/>
      <c r="BG32" s="3" t="n"/>
      <c r="BH32" s="3" t="n"/>
      <c r="BI32" s="3" t="n"/>
      <c r="BJ32" s="3" t="n"/>
      <c r="BK32" s="3" t="n"/>
      <c r="BL32" s="3" t="n"/>
      <c r="BM32" s="3" t="n"/>
      <c r="BN32" s="3" t="n"/>
      <c r="BO32" s="3" t="n"/>
      <c r="BP32" s="3" t="n"/>
      <c r="BQ32" s="3" t="n"/>
      <c r="BR32" s="3" t="n"/>
      <c r="BS32" s="3" t="n"/>
      <c r="BT32" s="3" t="n"/>
      <c r="BU32" s="3" t="n"/>
      <c r="BV32" s="3" t="n"/>
      <c r="BW32" s="3" t="n"/>
      <c r="BX32" s="3" t="n"/>
      <c r="BY32" s="3" t="n"/>
      <c r="BZ32" s="3" t="n"/>
      <c r="CA32" s="3" t="n"/>
      <c r="CB32" s="3" t="n"/>
      <c r="CC32" s="3" t="n"/>
      <c r="CD32" s="3" t="n"/>
      <c r="CE32" s="3" t="n"/>
      <c r="CF32" s="3" t="n"/>
      <c r="CG32" s="3" t="n"/>
      <c r="CH32" s="3" t="n"/>
      <c r="CI32" s="3" t="n"/>
      <c r="CJ32" s="3" t="n"/>
      <c r="CK32" s="3" t="n"/>
      <c r="CL32" s="3" t="n"/>
      <c r="CM32" s="3" t="n"/>
      <c r="CN32" s="3" t="n"/>
      <c r="CO32" s="3" t="n"/>
      <c r="CP32" s="3" t="n"/>
      <c r="CQ32" s="3" t="n"/>
      <c r="CR32" s="3" t="n"/>
      <c r="CS32" s="3" t="n"/>
      <c r="CT32" s="3" t="n"/>
      <c r="CU32" s="3" t="n"/>
      <c r="CV32" s="3" t="n"/>
      <c r="CW32" s="3" t="n"/>
      <c r="CX32" s="3" t="n"/>
      <c r="CY32" s="3" t="n"/>
      <c r="CZ32" s="3" t="n"/>
      <c r="DA32" s="3" t="n"/>
      <c r="DB32" s="3" t="n"/>
      <c r="DC32" s="3" t="n"/>
      <c r="DD32" s="3" t="n"/>
      <c r="DE32" s="3" t="n"/>
      <c r="DF32" s="3" t="n"/>
      <c r="DG32" s="3" t="n"/>
      <c r="DH32" s="3" t="n"/>
      <c r="DI32" s="3" t="n"/>
      <c r="DJ32" s="3" t="n"/>
      <c r="DK32" s="3" t="n"/>
      <c r="DL32" s="3" t="n"/>
      <c r="DM32" s="3" t="n"/>
      <c r="DN32" s="3" t="n"/>
      <c r="DO32" s="3" t="n"/>
      <c r="DP32" s="3" t="n"/>
      <c r="DQ32" s="3" t="n"/>
      <c r="DR32" s="3" t="n"/>
      <c r="DS32" s="3" t="n"/>
      <c r="DT32" s="3" t="n"/>
      <c r="DU32" s="3" t="n"/>
      <c r="DV32" s="3" t="n"/>
      <c r="DW32" s="3" t="n"/>
      <c r="DX32" s="3" t="n"/>
      <c r="DY32" s="3" t="n"/>
      <c r="DZ32" s="3" t="n"/>
      <c r="EA32" s="3" t="n"/>
      <c r="EB32" s="3" t="n"/>
      <c r="EC32" s="3" t="n"/>
      <c r="ED32" s="3" t="n"/>
      <c r="EE32" s="3" t="n"/>
      <c r="EF32" s="3" t="n"/>
      <c r="EG32" s="3" t="n"/>
      <c r="EH32" s="3" t="n"/>
      <c r="EI32" s="3" t="n"/>
      <c r="EJ32" s="3" t="n"/>
      <c r="EK32" s="3" t="n"/>
      <c r="EL32" s="3" t="n"/>
      <c r="EM32" s="3" t="n"/>
      <c r="EN32" s="3" t="n"/>
      <c r="EO32" s="3" t="n"/>
      <c r="EP32" s="3" t="n"/>
      <c r="EQ32" s="3" t="n"/>
      <c r="ER32" s="3" t="n"/>
      <c r="ES32" s="3" t="n"/>
      <c r="ET32" s="3" t="n"/>
      <c r="EU32" s="3" t="n"/>
      <c r="EV32" s="3" t="n"/>
      <c r="EW32" s="3" t="n"/>
      <c r="EX32" s="3" t="n"/>
      <c r="EY32" s="3" t="n"/>
      <c r="EZ32" s="3" t="n"/>
      <c r="FA32" s="3" t="n"/>
      <c r="FB32" s="3" t="n"/>
      <c r="FC32" s="3" t="n"/>
      <c r="FD32" s="3" t="n"/>
      <c r="FE32" s="3" t="n"/>
      <c r="FF32" s="3" t="n"/>
      <c r="FG32" s="3" t="n"/>
      <c r="FH32" s="3" t="n"/>
      <c r="FI32" s="3" t="n"/>
      <c r="FJ32" s="3" t="n"/>
      <c r="FK32" s="3" t="n"/>
      <c r="FL32" s="3" t="n"/>
      <c r="FM32" s="3" t="n"/>
      <c r="FN32" s="3" t="n"/>
      <c r="FO32" s="3" t="n"/>
      <c r="FP32" s="3" t="n"/>
      <c r="FQ32" s="3" t="n"/>
      <c r="FR32" s="3" t="n"/>
      <c r="FS32" s="3" t="n"/>
      <c r="FT32" s="3" t="n"/>
      <c r="FU32" s="3" t="n"/>
      <c r="FV32" s="3" t="n"/>
      <c r="FW32" s="3" t="n"/>
      <c r="FX32" s="3" t="n"/>
      <c r="FY32" s="3" t="n"/>
      <c r="FZ32" s="3" t="n"/>
      <c r="GA32" s="3" t="n"/>
      <c r="GB32" s="3" t="n"/>
      <c r="GC32" s="3" t="n"/>
      <c r="GD32" s="3" t="n"/>
      <c r="GE32" s="3" t="n"/>
      <c r="GF32" s="3" t="n"/>
      <c r="GG32" s="3" t="n"/>
      <c r="GH32" s="3" t="n"/>
      <c r="GI32" s="3" t="n"/>
      <c r="GJ32" s="3" t="n"/>
      <c r="GK32" s="3" t="n"/>
      <c r="GL32" s="3" t="n"/>
      <c r="GM32" s="3" t="n"/>
      <c r="GN32" s="3" t="n"/>
      <c r="GO32" s="3" t="n"/>
      <c r="GP32" s="3" t="n"/>
      <c r="GQ32" s="3" t="n"/>
      <c r="GR32" s="3" t="n"/>
      <c r="GS32" s="3" t="n"/>
      <c r="GT32" s="3" t="n"/>
      <c r="GU32" s="3" t="n"/>
      <c r="GV32" s="3" t="n"/>
      <c r="GW32" s="3" t="n"/>
      <c r="GX32" s="3" t="n"/>
      <c r="GY32" s="3" t="n"/>
      <c r="GZ32" s="3" t="n"/>
      <c r="HA32" s="3" t="n"/>
      <c r="HB32" s="3" t="n"/>
      <c r="HC32" s="3" t="n"/>
      <c r="HD32" s="3" t="n"/>
      <c r="HE32" s="3" t="n"/>
      <c r="HF32" s="3" t="n"/>
      <c r="HG32" s="3" t="n"/>
      <c r="HH32" s="3" t="n"/>
      <c r="HI32" s="3" t="n"/>
      <c r="HJ32" s="3" t="n"/>
      <c r="HK32" s="3" t="n"/>
      <c r="HL32" s="3" t="n"/>
      <c r="HM32" s="3" t="n"/>
      <c r="HN32" s="3" t="n"/>
      <c r="HO32" s="3" t="n"/>
      <c r="HP32" s="3" t="n"/>
      <c r="HQ32" s="3" t="n"/>
      <c r="HR32" s="3" t="n"/>
      <c r="HS32" s="3" t="n"/>
      <c r="HT32" s="3" t="n"/>
      <c r="HU32" s="3" t="n"/>
      <c r="HV32" s="3" t="n"/>
      <c r="HW32" s="3" t="n"/>
      <c r="HX32" s="3" t="n"/>
      <c r="HY32" s="3" t="n"/>
      <c r="HZ32" s="3" t="n"/>
      <c r="IA32" s="3" t="n"/>
      <c r="IB32" s="3" t="n"/>
      <c r="IC32" s="3" t="n"/>
      <c r="ID32" s="3" t="n"/>
      <c r="IE32" s="3" t="n"/>
      <c r="IF32" s="3" t="n"/>
      <c r="IG32" s="3" t="n"/>
      <c r="IH32" s="3" t="n"/>
      <c r="II32" s="3" t="n"/>
      <c r="IJ32" s="3" t="n"/>
      <c r="IK32" s="3" t="n"/>
      <c r="IL32" s="3" t="n"/>
      <c r="IM32" s="3" t="n"/>
      <c r="IN32" s="3" t="n"/>
      <c r="IO32" s="3" t="n"/>
      <c r="IP32" s="3" t="n"/>
      <c r="IQ32" s="3" t="n"/>
      <c r="IR32" s="3" t="n"/>
      <c r="IS32" s="3" t="n"/>
      <c r="IT32" s="3" t="n"/>
      <c r="IU32" s="3" t="n"/>
      <c r="IV32" s="3" t="n"/>
      <c r="IW32" s="3" t="n"/>
      <c r="IX32" s="3" t="n"/>
      <c r="IY32" s="3" t="n"/>
      <c r="IZ32" s="3" t="n"/>
    </row>
    <row r="33">
      <c r="A33" s="44" t="inlineStr">
        <is>
          <t>pav.sp</t>
        </is>
      </c>
      <c r="B33" s="3" t="inlineStr">
        <is>
          <t>lpg</t>
        </is>
      </c>
      <c r="C33" s="3" t="inlineStr">
        <is>
          <t>all</t>
        </is>
      </c>
      <c r="D33" s="133" t="n">
        <v>1</v>
      </c>
      <c r="E33" s="3" t="n"/>
      <c r="H33" s="3" t="inlineStr">
        <is>
          <t>Spending on the fuel at after-tax prices (sum over subsectors of atp x fuel use; electricity: rp x consumption, USD m; all energy: USD m) | All sectors | LPG</t>
        </is>
      </c>
      <c r="I33" s="3" t="inlineStr">
        <is>
          <t>USD/GJ x ktoe</t>
        </is>
      </c>
      <c r="J33" s="3" t="inlineStr">
        <is>
          <t>Mitigation section 19a</t>
        </is>
      </c>
      <c r="K33" s="3" t="inlineStr">
        <is>
          <t>egy.mit.pav.sp.all.lpg.1</t>
        </is>
      </c>
      <c r="L33" s="195" t="n">
        <v>31232.24593412</v>
      </c>
      <c r="M33" s="195" t="n">
        <v>20449.46305153097</v>
      </c>
      <c r="N33" s="195" t="n">
        <v>24060.34704993503</v>
      </c>
      <c r="O33" s="195" t="n">
        <v>24652.24151144967</v>
      </c>
      <c r="P33" s="195" t="n">
        <v>25229.68520988673</v>
      </c>
      <c r="Q33" s="195" t="n">
        <v>25909.44511424818</v>
      </c>
      <c r="R33" s="195" t="n">
        <v>26714.47347511323</v>
      </c>
      <c r="S33" s="195" t="n">
        <v>27485.55502308271</v>
      </c>
      <c r="T33" s="195" t="n">
        <v>28207.10445865309</v>
      </c>
      <c r="U33" s="195" t="n">
        <v>28934.78475838975</v>
      </c>
      <c r="V33" s="195" t="n">
        <v>29671.15576151653</v>
      </c>
      <c r="W33" s="195" t="n">
        <v>30416.06967058192</v>
      </c>
      <c r="X33" s="195" t="n">
        <v>31169.37488816882</v>
      </c>
      <c r="Y33" s="195" t="n">
        <v>31930.91591623313</v>
      </c>
      <c r="Z33" s="195" t="n">
        <v>32700.53323020632</v>
      </c>
      <c r="AA33" s="195" t="n">
        <v>33478.06312775446</v>
      </c>
      <c r="AB33" s="195" t="n">
        <v>34263.33755210011</v>
      </c>
      <c r="AC33" s="195" t="n">
        <v>35056.18388982307</v>
      </c>
      <c r="AD33" s="195" t="n">
        <v>35856.42474306095</v>
      </c>
      <c r="AE33" s="195" t="n">
        <v>36663.87767603242</v>
      </c>
      <c r="AF33" s="3" t="n"/>
      <c r="AG33" s="3" t="inlineStr">
        <is>
          <t>egy.mit.pav.sp.all.lpg.2</t>
        </is>
      </c>
      <c r="AH33" s="195" t="n">
        <v>31232.24593412</v>
      </c>
      <c r="AI33" s="195" t="n">
        <v>20449.46305153097</v>
      </c>
      <c r="AJ33" s="195" t="n">
        <v>24060.34704993503</v>
      </c>
      <c r="AK33" s="195" t="n">
        <v>24652.24151144967</v>
      </c>
      <c r="AL33" s="195" t="n">
        <v>25229.68520988673</v>
      </c>
      <c r="AM33" s="195" t="n">
        <v>29035.52870430388</v>
      </c>
      <c r="AN33" s="195" t="n">
        <v>29935.56197226921</v>
      </c>
      <c r="AO33" s="195" t="n">
        <v>30808.9123946397</v>
      </c>
      <c r="AP33" s="195" t="n">
        <v>31589.59768033631</v>
      </c>
      <c r="AQ33" s="195" t="n">
        <v>32407.17898268169</v>
      </c>
      <c r="AR33" s="195" t="n">
        <v>33218.96048704455</v>
      </c>
      <c r="AS33" s="195" t="n">
        <v>34065.63623706958</v>
      </c>
      <c r="AT33" s="195" t="n">
        <v>34934.44583337191</v>
      </c>
      <c r="AU33" s="195" t="n">
        <v>35807.15147399223</v>
      </c>
      <c r="AV33" s="195" t="n">
        <v>36694.85005381084</v>
      </c>
      <c r="AW33" s="195" t="n">
        <v>37604.92558787068</v>
      </c>
      <c r="AX33" s="195" t="n">
        <v>38512.482081999</v>
      </c>
      <c r="AY33" s="195" t="n">
        <v>39422.55441115817</v>
      </c>
      <c r="AZ33" s="195" t="n">
        <v>40325.80823831129</v>
      </c>
      <c r="BA33" s="195" t="n">
        <v>41232.76048078834</v>
      </c>
      <c r="BB33" s="3" t="n"/>
      <c r="BC33" s="3" t="n"/>
      <c r="BD33" s="3" t="n"/>
      <c r="BE33" s="3" t="n"/>
      <c r="BF33" s="3" t="n"/>
      <c r="BG33" s="3" t="n"/>
      <c r="BH33" s="3" t="n"/>
      <c r="BI33" s="3" t="n"/>
      <c r="BJ33" s="3" t="n"/>
      <c r="BK33" s="3" t="n"/>
      <c r="BL33" s="3" t="n"/>
      <c r="BM33" s="3" t="n"/>
      <c r="BN33" s="3" t="n"/>
      <c r="BO33" s="3" t="n"/>
      <c r="BP33" s="3" t="n"/>
      <c r="BQ33" s="3" t="n"/>
      <c r="BR33" s="3" t="n"/>
      <c r="BS33" s="3" t="n"/>
      <c r="BT33" s="3" t="n"/>
      <c r="BU33" s="3" t="n"/>
      <c r="BV33" s="3" t="n"/>
      <c r="BW33" s="3" t="n"/>
      <c r="BX33" s="3" t="n"/>
      <c r="BY33" s="3" t="n"/>
      <c r="BZ33" s="3" t="n"/>
      <c r="CA33" s="3" t="n"/>
      <c r="CB33" s="3" t="n"/>
      <c r="CC33" s="3" t="n"/>
      <c r="CD33" s="3" t="n"/>
      <c r="CE33" s="3" t="n"/>
      <c r="CF33" s="3" t="n"/>
      <c r="CG33" s="3" t="n"/>
      <c r="CH33" s="3" t="n"/>
      <c r="CI33" s="3" t="n"/>
      <c r="CJ33" s="3" t="n"/>
      <c r="CK33" s="3" t="n"/>
      <c r="CL33" s="3" t="n"/>
      <c r="CM33" s="3" t="n"/>
      <c r="CN33" s="3" t="n"/>
      <c r="CO33" s="3" t="n"/>
      <c r="CP33" s="3" t="n"/>
      <c r="CQ33" s="3" t="n"/>
      <c r="CR33" s="3" t="n"/>
      <c r="CS33" s="3" t="n"/>
      <c r="CT33" s="3" t="n"/>
      <c r="CU33" s="3" t="n"/>
      <c r="CV33" s="3" t="n"/>
      <c r="CW33" s="3" t="n"/>
      <c r="CX33" s="3" t="n"/>
      <c r="CY33" s="3" t="n"/>
      <c r="CZ33" s="3" t="n"/>
      <c r="DA33" s="3" t="n"/>
      <c r="DB33" s="3" t="n"/>
      <c r="DC33" s="3" t="n"/>
      <c r="DD33" s="3" t="n"/>
      <c r="DE33" s="3" t="n"/>
      <c r="DF33" s="3" t="n"/>
      <c r="DG33" s="3" t="n"/>
      <c r="DH33" s="3" t="n"/>
      <c r="DI33" s="3" t="n"/>
      <c r="DJ33" s="3" t="n"/>
      <c r="DK33" s="3" t="n"/>
      <c r="DL33" s="3" t="n"/>
      <c r="DM33" s="3" t="n"/>
      <c r="DN33" s="3" t="n"/>
      <c r="DO33" s="3" t="n"/>
      <c r="DP33" s="3" t="n"/>
      <c r="DQ33" s="3" t="n"/>
      <c r="DR33" s="3" t="n"/>
      <c r="DS33" s="3" t="n"/>
      <c r="DT33" s="3" t="n"/>
      <c r="DU33" s="3" t="n"/>
      <c r="DV33" s="3" t="n"/>
      <c r="DW33" s="3" t="n"/>
      <c r="DX33" s="3" t="n"/>
      <c r="DY33" s="3" t="n"/>
      <c r="DZ33" s="3" t="n"/>
      <c r="EA33" s="3" t="n"/>
      <c r="EB33" s="3" t="n"/>
      <c r="EC33" s="3" t="n"/>
      <c r="ED33" s="3" t="n"/>
      <c r="EE33" s="3" t="n"/>
      <c r="EF33" s="3" t="n"/>
      <c r="EG33" s="3" t="n"/>
      <c r="EH33" s="3" t="n"/>
      <c r="EI33" s="3" t="n"/>
      <c r="EJ33" s="3" t="n"/>
      <c r="EK33" s="3" t="n"/>
      <c r="EL33" s="3" t="n"/>
      <c r="EM33" s="3" t="n"/>
      <c r="EN33" s="3" t="n"/>
      <c r="EO33" s="3" t="n"/>
      <c r="EP33" s="3" t="n"/>
      <c r="EQ33" s="3" t="n"/>
      <c r="ER33" s="3" t="n"/>
      <c r="ES33" s="3" t="n"/>
      <c r="ET33" s="3" t="n"/>
      <c r="EU33" s="3" t="n"/>
      <c r="EV33" s="3" t="n"/>
      <c r="EW33" s="3" t="n"/>
      <c r="EX33" s="3" t="n"/>
      <c r="EY33" s="3" t="n"/>
      <c r="EZ33" s="3" t="n"/>
      <c r="FA33" s="3" t="n"/>
      <c r="FB33" s="3" t="n"/>
      <c r="FC33" s="3" t="n"/>
      <c r="FD33" s="3" t="n"/>
      <c r="FE33" s="3" t="n"/>
      <c r="FF33" s="3" t="n"/>
      <c r="FG33" s="3" t="n"/>
      <c r="FH33" s="3" t="n"/>
      <c r="FI33" s="3" t="n"/>
      <c r="FJ33" s="3" t="n"/>
      <c r="FK33" s="3" t="n"/>
      <c r="FL33" s="3" t="n"/>
      <c r="FM33" s="3" t="n"/>
      <c r="FN33" s="3" t="n"/>
      <c r="FO33" s="3" t="n"/>
      <c r="FP33" s="3" t="n"/>
      <c r="FQ33" s="3" t="n"/>
      <c r="FR33" s="3" t="n"/>
      <c r="FS33" s="3" t="n"/>
      <c r="FT33" s="3" t="n"/>
      <c r="FU33" s="3" t="n"/>
      <c r="FV33" s="3" t="n"/>
      <c r="FW33" s="3" t="n"/>
      <c r="FX33" s="3" t="n"/>
      <c r="FY33" s="3" t="n"/>
      <c r="FZ33" s="3" t="n"/>
      <c r="GA33" s="3" t="n"/>
      <c r="GB33" s="3" t="n"/>
      <c r="GC33" s="3" t="n"/>
      <c r="GD33" s="3" t="n"/>
      <c r="GE33" s="3" t="n"/>
      <c r="GF33" s="3" t="n"/>
      <c r="GG33" s="3" t="n"/>
      <c r="GH33" s="3" t="n"/>
      <c r="GI33" s="3" t="n"/>
      <c r="GJ33" s="3" t="n"/>
      <c r="GK33" s="3" t="n"/>
      <c r="GL33" s="3" t="n"/>
      <c r="GM33" s="3" t="n"/>
      <c r="GN33" s="3" t="n"/>
      <c r="GO33" s="3" t="n"/>
      <c r="GP33" s="3" t="n"/>
      <c r="GQ33" s="3" t="n"/>
      <c r="GR33" s="3" t="n"/>
      <c r="GS33" s="3" t="n"/>
      <c r="GT33" s="3" t="n"/>
      <c r="GU33" s="3" t="n"/>
      <c r="GV33" s="3" t="n"/>
      <c r="GW33" s="3" t="n"/>
      <c r="GX33" s="3" t="n"/>
      <c r="GY33" s="3" t="n"/>
      <c r="GZ33" s="3" t="n"/>
      <c r="HA33" s="3" t="n"/>
      <c r="HB33" s="3" t="n"/>
      <c r="HC33" s="3" t="n"/>
      <c r="HD33" s="3" t="n"/>
      <c r="HE33" s="3" t="n"/>
      <c r="HF33" s="3" t="n"/>
      <c r="HG33" s="3" t="n"/>
      <c r="HH33" s="3" t="n"/>
      <c r="HI33" s="3" t="n"/>
      <c r="HJ33" s="3" t="n"/>
      <c r="HK33" s="3" t="n"/>
      <c r="HL33" s="3" t="n"/>
      <c r="HM33" s="3" t="n"/>
      <c r="HN33" s="3" t="n"/>
      <c r="HO33" s="3" t="n"/>
      <c r="HP33" s="3" t="n"/>
      <c r="HQ33" s="3" t="n"/>
      <c r="HR33" s="3" t="n"/>
      <c r="HS33" s="3" t="n"/>
      <c r="HT33" s="3" t="n"/>
      <c r="HU33" s="3" t="n"/>
      <c r="HV33" s="3" t="n"/>
      <c r="HW33" s="3" t="n"/>
      <c r="HX33" s="3" t="n"/>
      <c r="HY33" s="3" t="n"/>
      <c r="HZ33" s="3" t="n"/>
      <c r="IA33" s="3" t="n"/>
      <c r="IB33" s="3" t="n"/>
      <c r="IC33" s="3" t="n"/>
      <c r="ID33" s="3" t="n"/>
      <c r="IE33" s="3" t="n"/>
      <c r="IF33" s="3" t="n"/>
      <c r="IG33" s="3" t="n"/>
      <c r="IH33" s="3" t="n"/>
      <c r="II33" s="3" t="n"/>
      <c r="IJ33" s="3" t="n"/>
      <c r="IK33" s="3" t="n"/>
      <c r="IL33" s="3" t="n"/>
      <c r="IM33" s="3" t="n"/>
      <c r="IN33" s="3" t="n"/>
      <c r="IO33" s="3" t="n"/>
      <c r="IP33" s="3" t="n"/>
      <c r="IQ33" s="3" t="n"/>
      <c r="IR33" s="3" t="n"/>
      <c r="IS33" s="3" t="n"/>
      <c r="IT33" s="3" t="n"/>
      <c r="IU33" s="3" t="n"/>
      <c r="IV33" s="3" t="n"/>
      <c r="IW33" s="3" t="n"/>
      <c r="IX33" s="3" t="n"/>
      <c r="IY33" s="3" t="n"/>
      <c r="IZ33" s="3" t="n"/>
    </row>
    <row r="34">
      <c r="A34" s="44" t="inlineStr">
        <is>
          <t>pav.sp</t>
        </is>
      </c>
      <c r="B34" s="3" t="inlineStr">
        <is>
          <t>ker</t>
        </is>
      </c>
      <c r="C34" s="3" t="inlineStr">
        <is>
          <t>all</t>
        </is>
      </c>
      <c r="D34" s="133" t="n">
        <v>1</v>
      </c>
      <c r="E34" s="3" t="n"/>
      <c r="H34" s="3" t="inlineStr">
        <is>
          <t>Spending on the fuel at after-tax prices (sum over subsectors of atp x fuel use; electricity: rp x consumption, USD m; all energy: USD m) | All sectors | Kerosene</t>
        </is>
      </c>
      <c r="I34" s="3" t="inlineStr">
        <is>
          <t>USD/GJ x ktoe</t>
        </is>
      </c>
      <c r="J34" s="3" t="inlineStr">
        <is>
          <t>Mitigation section 19a</t>
        </is>
      </c>
      <c r="K34" s="3" t="inlineStr">
        <is>
          <t>egy.mit.pav.sp.all.ker.1</t>
        </is>
      </c>
      <c r="L34" s="195" t="n">
        <v>72.82175462847029</v>
      </c>
      <c r="M34" s="195" t="n">
        <v>49.99147804572277</v>
      </c>
      <c r="N34" s="195" t="n">
        <v>56.05207802378797</v>
      </c>
      <c r="O34" s="195" t="n">
        <v>57.58181505634419</v>
      </c>
      <c r="P34" s="195" t="n">
        <v>59.07877371180204</v>
      </c>
      <c r="Q34" s="195" t="n">
        <v>60.84172283900418</v>
      </c>
      <c r="R34" s="195" t="n">
        <v>62.93153857851558</v>
      </c>
      <c r="S34" s="195" t="n">
        <v>64.9405220668877</v>
      </c>
      <c r="T34" s="195" t="n">
        <v>66.82755382851748</v>
      </c>
      <c r="U34" s="195" t="n">
        <v>68.73566482705942</v>
      </c>
      <c r="V34" s="195" t="n">
        <v>70.67149458869608</v>
      </c>
      <c r="W34" s="195" t="n">
        <v>72.63470213671593</v>
      </c>
      <c r="X34" s="195" t="n">
        <v>74.6249322282859</v>
      </c>
      <c r="Y34" s="195" t="n">
        <v>76.64181513101707</v>
      </c>
      <c r="Z34" s="195" t="n">
        <v>78.68496632932958</v>
      </c>
      <c r="AA34" s="195" t="n">
        <v>80.75398615949469</v>
      </c>
      <c r="AB34" s="195" t="n">
        <v>82.8484593723234</v>
      </c>
      <c r="AC34" s="195" t="n">
        <v>84.96795462254867</v>
      </c>
      <c r="AD34" s="195" t="n">
        <v>87.11202388401033</v>
      </c>
      <c r="AE34" s="195" t="n">
        <v>89.28020178980502</v>
      </c>
      <c r="AF34" s="3" t="n"/>
      <c r="AG34" s="3" t="inlineStr">
        <is>
          <t>egy.mit.pav.sp.all.ker.2</t>
        </is>
      </c>
      <c r="AH34" s="195" t="n">
        <v>72.82175462847029</v>
      </c>
      <c r="AI34" s="195" t="n">
        <v>49.99147804572277</v>
      </c>
      <c r="AJ34" s="195" t="n">
        <v>56.05207802378797</v>
      </c>
      <c r="AK34" s="195" t="n">
        <v>57.58181505634419</v>
      </c>
      <c r="AL34" s="195" t="n">
        <v>59.07877371180204</v>
      </c>
      <c r="AM34" s="195" t="n">
        <v>65.05682931627126</v>
      </c>
      <c r="AN34" s="195" t="n">
        <v>67.28854080802539</v>
      </c>
      <c r="AO34" s="195" t="n">
        <v>69.46176010806666</v>
      </c>
      <c r="AP34" s="195" t="n">
        <v>71.41299173426059</v>
      </c>
      <c r="AQ34" s="195" t="n">
        <v>73.46077727907844</v>
      </c>
      <c r="AR34" s="195" t="n">
        <v>75.49982275820125</v>
      </c>
      <c r="AS34" s="195" t="n">
        <v>77.63101299314894</v>
      </c>
      <c r="AT34" s="195" t="n">
        <v>79.82305959032871</v>
      </c>
      <c r="AU34" s="195" t="n">
        <v>82.03069163322382</v>
      </c>
      <c r="AV34" s="195" t="n">
        <v>84.28161464125292</v>
      </c>
      <c r="AW34" s="195" t="n">
        <v>86.59447707625446</v>
      </c>
      <c r="AX34" s="195" t="n">
        <v>88.90695075276389</v>
      </c>
      <c r="AY34" s="195" t="n">
        <v>91.23155030769442</v>
      </c>
      <c r="AZ34" s="195" t="n">
        <v>93.54463158355534</v>
      </c>
      <c r="BA34" s="195" t="n">
        <v>95.87257545559194</v>
      </c>
      <c r="BB34" s="3" t="n"/>
      <c r="BC34" s="3" t="n"/>
      <c r="BD34" s="3" t="n"/>
      <c r="BE34" s="3" t="n"/>
      <c r="BF34" s="3" t="n"/>
      <c r="BG34" s="3" t="n"/>
      <c r="BH34" s="3" t="n"/>
      <c r="BI34" s="3" t="n"/>
      <c r="BJ34" s="3" t="n"/>
      <c r="BK34" s="3" t="n"/>
      <c r="BL34" s="3" t="n"/>
      <c r="BM34" s="3" t="n"/>
      <c r="BN34" s="3" t="n"/>
      <c r="BO34" s="3" t="n"/>
      <c r="BP34" s="3" t="n"/>
      <c r="BQ34" s="3" t="n"/>
      <c r="BR34" s="3" t="n"/>
      <c r="BS34" s="3" t="n"/>
      <c r="BT34" s="3" t="n"/>
      <c r="BU34" s="3" t="n"/>
      <c r="BV34" s="3" t="n"/>
      <c r="BW34" s="3" t="n"/>
      <c r="BX34" s="3" t="n"/>
      <c r="BY34" s="3" t="n"/>
      <c r="BZ34" s="3" t="n"/>
      <c r="CA34" s="3" t="n"/>
      <c r="CB34" s="3" t="n"/>
      <c r="CC34" s="3" t="n"/>
      <c r="CD34" s="3" t="n"/>
      <c r="CE34" s="3" t="n"/>
      <c r="CF34" s="3" t="n"/>
      <c r="CG34" s="3" t="n"/>
      <c r="CH34" s="3" t="n"/>
      <c r="CI34" s="3" t="n"/>
      <c r="CJ34" s="3" t="n"/>
      <c r="CK34" s="3" t="n"/>
      <c r="CL34" s="3" t="n"/>
      <c r="CM34" s="3" t="n"/>
      <c r="CN34" s="3" t="n"/>
      <c r="CO34" s="3" t="n"/>
      <c r="CP34" s="3" t="n"/>
      <c r="CQ34" s="3" t="n"/>
      <c r="CR34" s="3" t="n"/>
      <c r="CS34" s="3" t="n"/>
      <c r="CT34" s="3" t="n"/>
      <c r="CU34" s="3" t="n"/>
      <c r="CV34" s="3" t="n"/>
      <c r="CW34" s="3" t="n"/>
      <c r="CX34" s="3" t="n"/>
      <c r="CY34" s="3" t="n"/>
      <c r="CZ34" s="3" t="n"/>
      <c r="DA34" s="3" t="n"/>
      <c r="DB34" s="3" t="n"/>
      <c r="DC34" s="3" t="n"/>
      <c r="DD34" s="3" t="n"/>
      <c r="DE34" s="3" t="n"/>
      <c r="DF34" s="3" t="n"/>
      <c r="DG34" s="3" t="n"/>
      <c r="DH34" s="3" t="n"/>
      <c r="DI34" s="3" t="n"/>
      <c r="DJ34" s="3" t="n"/>
      <c r="DK34" s="3" t="n"/>
      <c r="DL34" s="3" t="n"/>
      <c r="DM34" s="3" t="n"/>
      <c r="DN34" s="3" t="n"/>
      <c r="DO34" s="3" t="n"/>
      <c r="DP34" s="3" t="n"/>
      <c r="DQ34" s="3" t="n"/>
      <c r="DR34" s="3" t="n"/>
      <c r="DS34" s="3" t="n"/>
      <c r="DT34" s="3" t="n"/>
      <c r="DU34" s="3" t="n"/>
      <c r="DV34" s="3" t="n"/>
      <c r="DW34" s="3" t="n"/>
      <c r="DX34" s="3" t="n"/>
      <c r="DY34" s="3" t="n"/>
      <c r="DZ34" s="3" t="n"/>
      <c r="EA34" s="3" t="n"/>
      <c r="EB34" s="3" t="n"/>
      <c r="EC34" s="3" t="n"/>
      <c r="ED34" s="3" t="n"/>
      <c r="EE34" s="3" t="n"/>
      <c r="EF34" s="3" t="n"/>
      <c r="EG34" s="3" t="n"/>
      <c r="EH34" s="3" t="n"/>
      <c r="EI34" s="3" t="n"/>
      <c r="EJ34" s="3" t="n"/>
      <c r="EK34" s="3" t="n"/>
      <c r="EL34" s="3" t="n"/>
      <c r="EM34" s="3" t="n"/>
      <c r="EN34" s="3" t="n"/>
      <c r="EO34" s="3" t="n"/>
      <c r="EP34" s="3" t="n"/>
      <c r="EQ34" s="3" t="n"/>
      <c r="ER34" s="3" t="n"/>
      <c r="ES34" s="3" t="n"/>
      <c r="ET34" s="3" t="n"/>
      <c r="EU34" s="3" t="n"/>
      <c r="EV34" s="3" t="n"/>
      <c r="EW34" s="3" t="n"/>
      <c r="EX34" s="3" t="n"/>
      <c r="EY34" s="3" t="n"/>
      <c r="EZ34" s="3" t="n"/>
      <c r="FA34" s="3" t="n"/>
      <c r="FB34" s="3" t="n"/>
      <c r="FC34" s="3" t="n"/>
      <c r="FD34" s="3" t="n"/>
      <c r="FE34" s="3" t="n"/>
      <c r="FF34" s="3" t="n"/>
      <c r="FG34" s="3" t="n"/>
      <c r="FH34" s="3" t="n"/>
      <c r="FI34" s="3" t="n"/>
      <c r="FJ34" s="3" t="n"/>
      <c r="FK34" s="3" t="n"/>
      <c r="FL34" s="3" t="n"/>
      <c r="FM34" s="3" t="n"/>
      <c r="FN34" s="3" t="n"/>
      <c r="FO34" s="3" t="n"/>
      <c r="FP34" s="3" t="n"/>
      <c r="FQ34" s="3" t="n"/>
      <c r="FR34" s="3" t="n"/>
      <c r="FS34" s="3" t="n"/>
      <c r="FT34" s="3" t="n"/>
      <c r="FU34" s="3" t="n"/>
      <c r="FV34" s="3" t="n"/>
      <c r="FW34" s="3" t="n"/>
      <c r="FX34" s="3" t="n"/>
      <c r="FY34" s="3" t="n"/>
      <c r="FZ34" s="3" t="n"/>
      <c r="GA34" s="3" t="n"/>
      <c r="GB34" s="3" t="n"/>
      <c r="GC34" s="3" t="n"/>
      <c r="GD34" s="3" t="n"/>
      <c r="GE34" s="3" t="n"/>
      <c r="GF34" s="3" t="n"/>
      <c r="GG34" s="3" t="n"/>
      <c r="GH34" s="3" t="n"/>
      <c r="GI34" s="3" t="n"/>
      <c r="GJ34" s="3" t="n"/>
      <c r="GK34" s="3" t="n"/>
      <c r="GL34" s="3" t="n"/>
      <c r="GM34" s="3" t="n"/>
      <c r="GN34" s="3" t="n"/>
      <c r="GO34" s="3" t="n"/>
      <c r="GP34" s="3" t="n"/>
      <c r="GQ34" s="3" t="n"/>
      <c r="GR34" s="3" t="n"/>
      <c r="GS34" s="3" t="n"/>
      <c r="GT34" s="3" t="n"/>
      <c r="GU34" s="3" t="n"/>
      <c r="GV34" s="3" t="n"/>
      <c r="GW34" s="3" t="n"/>
      <c r="GX34" s="3" t="n"/>
      <c r="GY34" s="3" t="n"/>
      <c r="GZ34" s="3" t="n"/>
      <c r="HA34" s="3" t="n"/>
      <c r="HB34" s="3" t="n"/>
      <c r="HC34" s="3" t="n"/>
      <c r="HD34" s="3" t="n"/>
      <c r="HE34" s="3" t="n"/>
      <c r="HF34" s="3" t="n"/>
      <c r="HG34" s="3" t="n"/>
      <c r="HH34" s="3" t="n"/>
      <c r="HI34" s="3" t="n"/>
      <c r="HJ34" s="3" t="n"/>
      <c r="HK34" s="3" t="n"/>
      <c r="HL34" s="3" t="n"/>
      <c r="HM34" s="3" t="n"/>
      <c r="HN34" s="3" t="n"/>
      <c r="HO34" s="3" t="n"/>
      <c r="HP34" s="3" t="n"/>
      <c r="HQ34" s="3" t="n"/>
      <c r="HR34" s="3" t="n"/>
      <c r="HS34" s="3" t="n"/>
      <c r="HT34" s="3" t="n"/>
      <c r="HU34" s="3" t="n"/>
      <c r="HV34" s="3" t="n"/>
      <c r="HW34" s="3" t="n"/>
      <c r="HX34" s="3" t="n"/>
      <c r="HY34" s="3" t="n"/>
      <c r="HZ34" s="3" t="n"/>
      <c r="IA34" s="3" t="n"/>
      <c r="IB34" s="3" t="n"/>
      <c r="IC34" s="3" t="n"/>
      <c r="ID34" s="3" t="n"/>
      <c r="IE34" s="3" t="n"/>
      <c r="IF34" s="3" t="n"/>
      <c r="IG34" s="3" t="n"/>
      <c r="IH34" s="3" t="n"/>
      <c r="II34" s="3" t="n"/>
      <c r="IJ34" s="3" t="n"/>
      <c r="IK34" s="3" t="n"/>
      <c r="IL34" s="3" t="n"/>
      <c r="IM34" s="3" t="n"/>
      <c r="IN34" s="3" t="n"/>
      <c r="IO34" s="3" t="n"/>
      <c r="IP34" s="3" t="n"/>
      <c r="IQ34" s="3" t="n"/>
      <c r="IR34" s="3" t="n"/>
      <c r="IS34" s="3" t="n"/>
      <c r="IT34" s="3" t="n"/>
      <c r="IU34" s="3" t="n"/>
      <c r="IV34" s="3" t="n"/>
      <c r="IW34" s="3" t="n"/>
      <c r="IX34" s="3" t="n"/>
      <c r="IY34" s="3" t="n"/>
      <c r="IZ34" s="3" t="n"/>
    </row>
    <row r="35">
      <c r="A35" s="44" t="inlineStr">
        <is>
          <t>pav.sp</t>
        </is>
      </c>
      <c r="B35" s="3" t="inlineStr">
        <is>
          <t>ecy</t>
        </is>
      </c>
      <c r="C35" s="3" t="inlineStr">
        <is>
          <t>all</t>
        </is>
      </c>
      <c r="D35" s="133" t="n">
        <v>1</v>
      </c>
      <c r="E35" s="3" t="n"/>
      <c r="H35" s="3" t="inlineStr">
        <is>
          <t>Spending on the fuel at after-tax prices (sum over subsectors of atp x fuel use; electricity: rp x consumption, USD m; all energy: USD m) | All sectors | Electricity</t>
        </is>
      </c>
      <c r="I35" s="3" t="inlineStr">
        <is>
          <t>USD/GJ x ktoe</t>
        </is>
      </c>
      <c r="J35" s="3" t="inlineStr">
        <is>
          <t>Mitigation section 19a</t>
        </is>
      </c>
      <c r="K35" s="109" t="inlineStr">
        <is>
          <t>egy.mit.pav.sp.all.ecy.1</t>
        </is>
      </c>
      <c r="L35" s="109" t="n">
        <v>10352.34565464786</v>
      </c>
      <c r="M35" s="109" t="n">
        <v>9688.084337913677</v>
      </c>
      <c r="N35" s="109" t="n">
        <v>9207.675272246053</v>
      </c>
      <c r="O35" s="109" t="n">
        <v>10169.53268380459</v>
      </c>
      <c r="P35" s="109" t="n">
        <v>10668.48902129463</v>
      </c>
      <c r="Q35" s="109" t="n">
        <v>11204.69082444286</v>
      </c>
      <c r="R35" s="109" t="n">
        <v>11691.53692809814</v>
      </c>
      <c r="S35" s="109" t="n">
        <v>12352.55711786341</v>
      </c>
      <c r="T35" s="109" t="n">
        <v>12899.92078207026</v>
      </c>
      <c r="U35" s="109" t="n">
        <v>13495.42663241137</v>
      </c>
      <c r="V35" s="109" t="n">
        <v>13558.86024593756</v>
      </c>
      <c r="W35" s="109" t="n">
        <v>13925.29934327361</v>
      </c>
      <c r="X35" s="109" t="n">
        <v>14265.04394446841</v>
      </c>
      <c r="Y35" s="109" t="n">
        <v>14631.4227068155</v>
      </c>
      <c r="Z35" s="109" t="n">
        <v>15007.03790978959</v>
      </c>
      <c r="AA35" s="109" t="n">
        <v>15392.65440569134</v>
      </c>
      <c r="AB35" s="109" t="n">
        <v>15787.42156944745</v>
      </c>
      <c r="AC35" s="109" t="n">
        <v>16189.96440080765</v>
      </c>
      <c r="AD35" s="109" t="n">
        <v>16600.3329552273</v>
      </c>
      <c r="AE35" s="109" t="n">
        <v>17017.56572525109</v>
      </c>
      <c r="AF35" s="3" t="n"/>
      <c r="AG35" s="109" t="inlineStr">
        <is>
          <t>egy.mit.pav.sp.all.ecy.2</t>
        </is>
      </c>
      <c r="AH35" s="109" t="n">
        <v>10352.34565464786</v>
      </c>
      <c r="AI35" s="109" t="n">
        <v>9688.084337913677</v>
      </c>
      <c r="AJ35" s="109" t="n">
        <v>9207.675272246053</v>
      </c>
      <c r="AK35" s="109" t="n">
        <v>10169.85938179347</v>
      </c>
      <c r="AL35" s="109" t="n">
        <v>10669.17307983145</v>
      </c>
      <c r="AM35" s="109" t="n">
        <v>13304.5586558148</v>
      </c>
      <c r="AN35" s="109" t="n">
        <v>12657.87167048699</v>
      </c>
      <c r="AO35" s="109" t="n">
        <v>13570.57682248179</v>
      </c>
      <c r="AP35" s="109" t="n">
        <v>13707.44006900143</v>
      </c>
      <c r="AQ35" s="109" t="n">
        <v>14416.21403341544</v>
      </c>
      <c r="AR35" s="109" t="n">
        <v>14449.95233952163</v>
      </c>
      <c r="AS35" s="109" t="n">
        <v>14854.09906053789</v>
      </c>
      <c r="AT35" s="109" t="n">
        <v>15199.54477643439</v>
      </c>
      <c r="AU35" s="109" t="n">
        <v>15579.01479647236</v>
      </c>
      <c r="AV35" s="109" t="n">
        <v>15976.92250749307</v>
      </c>
      <c r="AW35" s="109" t="n">
        <v>16392.10849197247</v>
      </c>
      <c r="AX35" s="109" t="n">
        <v>16809.82089173321</v>
      </c>
      <c r="AY35" s="109" t="n">
        <v>17233.5343067804</v>
      </c>
      <c r="AZ35" s="109" t="n">
        <v>17656.29382030185</v>
      </c>
      <c r="BA35" s="109" t="n">
        <v>18084.75886173845</v>
      </c>
      <c r="BB35" s="3" t="n"/>
      <c r="BC35" s="3" t="n"/>
      <c r="BD35" s="3" t="n"/>
      <c r="BE35" s="3" t="n"/>
      <c r="BF35" s="3" t="n"/>
      <c r="BG35" s="3" t="n"/>
      <c r="BH35" s="3" t="n"/>
      <c r="BI35" s="3" t="n"/>
      <c r="BJ35" s="3" t="n"/>
      <c r="BK35" s="3" t="n"/>
      <c r="BL35" s="3" t="n"/>
      <c r="BM35" s="3" t="n"/>
      <c r="BN35" s="3" t="n"/>
      <c r="BO35" s="3" t="n"/>
      <c r="BP35" s="3" t="n"/>
      <c r="BQ35" s="3" t="n"/>
      <c r="BR35" s="3" t="n"/>
      <c r="BS35" s="3" t="n"/>
      <c r="BT35" s="3" t="n"/>
      <c r="BU35" s="3" t="n"/>
      <c r="BV35" s="3" t="n"/>
      <c r="BW35" s="3" t="n"/>
      <c r="BX35" s="3" t="n"/>
      <c r="BY35" s="3" t="n"/>
      <c r="BZ35" s="3" t="n"/>
      <c r="CA35" s="3" t="n"/>
      <c r="CB35" s="3" t="n"/>
      <c r="CC35" s="3" t="n"/>
      <c r="CD35" s="3" t="n"/>
      <c r="CE35" s="3" t="n"/>
      <c r="CF35" s="3" t="n"/>
      <c r="CG35" s="3" t="n"/>
      <c r="CH35" s="3" t="n"/>
      <c r="CI35" s="3" t="n"/>
      <c r="CJ35" s="3" t="n"/>
      <c r="CK35" s="3" t="n"/>
      <c r="CL35" s="3" t="n"/>
      <c r="CM35" s="3" t="n"/>
      <c r="CN35" s="3" t="n"/>
      <c r="CO35" s="3" t="n"/>
      <c r="CP35" s="3" t="n"/>
      <c r="CQ35" s="3" t="n"/>
      <c r="CR35" s="3" t="n"/>
      <c r="CS35" s="3" t="n"/>
      <c r="CT35" s="3" t="n"/>
      <c r="CU35" s="3" t="n"/>
      <c r="CV35" s="3" t="n"/>
      <c r="CW35" s="3" t="n"/>
      <c r="CX35" s="3" t="n"/>
      <c r="CY35" s="3" t="n"/>
      <c r="CZ35" s="3" t="n"/>
      <c r="DA35" s="3" t="n"/>
      <c r="DB35" s="3" t="n"/>
      <c r="DC35" s="3" t="n"/>
      <c r="DD35" s="3" t="n"/>
      <c r="DE35" s="3" t="n"/>
      <c r="DF35" s="3" t="n"/>
      <c r="DG35" s="3" t="n"/>
      <c r="DH35" s="3" t="n"/>
      <c r="DI35" s="3" t="n"/>
      <c r="DJ35" s="3" t="n"/>
      <c r="DK35" s="3" t="n"/>
      <c r="DL35" s="3" t="n"/>
      <c r="DM35" s="3" t="n"/>
      <c r="DN35" s="3" t="n"/>
      <c r="DO35" s="3" t="n"/>
      <c r="DP35" s="3" t="n"/>
      <c r="DQ35" s="3" t="n"/>
      <c r="DR35" s="3" t="n"/>
      <c r="DS35" s="3" t="n"/>
      <c r="DT35" s="3" t="n"/>
      <c r="DU35" s="3" t="n"/>
      <c r="DV35" s="3" t="n"/>
      <c r="DW35" s="3" t="n"/>
      <c r="DX35" s="3" t="n"/>
      <c r="DY35" s="3" t="n"/>
      <c r="DZ35" s="3" t="n"/>
      <c r="EA35" s="3" t="n"/>
      <c r="EB35" s="3" t="n"/>
      <c r="EC35" s="3" t="n"/>
      <c r="ED35" s="3" t="n"/>
      <c r="EE35" s="3" t="n"/>
      <c r="EF35" s="3" t="n"/>
      <c r="EG35" s="3" t="n"/>
      <c r="EH35" s="3" t="n"/>
      <c r="EI35" s="3" t="n"/>
      <c r="EJ35" s="3" t="n"/>
      <c r="EK35" s="3" t="n"/>
      <c r="EL35" s="3" t="n"/>
      <c r="EM35" s="3" t="n"/>
      <c r="EN35" s="3" t="n"/>
      <c r="EO35" s="3" t="n"/>
      <c r="EP35" s="3" t="n"/>
      <c r="EQ35" s="3" t="n"/>
      <c r="ER35" s="3" t="n"/>
      <c r="ES35" s="3" t="n"/>
      <c r="ET35" s="3" t="n"/>
      <c r="EU35" s="3" t="n"/>
      <c r="EV35" s="3" t="n"/>
      <c r="EW35" s="3" t="n"/>
      <c r="EX35" s="3" t="n"/>
      <c r="EY35" s="3" t="n"/>
      <c r="EZ35" s="3" t="n"/>
      <c r="FA35" s="3" t="n"/>
      <c r="FB35" s="3" t="n"/>
      <c r="FC35" s="3" t="n"/>
      <c r="FD35" s="3" t="n"/>
      <c r="FE35" s="3" t="n"/>
      <c r="FF35" s="3" t="n"/>
      <c r="FG35" s="3" t="n"/>
      <c r="FH35" s="3" t="n"/>
      <c r="FI35" s="3" t="n"/>
      <c r="FJ35" s="3" t="n"/>
      <c r="FK35" s="3" t="n"/>
      <c r="FL35" s="3" t="n"/>
      <c r="FM35" s="3" t="n"/>
      <c r="FN35" s="3" t="n"/>
      <c r="FO35" s="3" t="n"/>
      <c r="FP35" s="3" t="n"/>
      <c r="FQ35" s="3" t="n"/>
      <c r="FR35" s="3" t="n"/>
      <c r="FS35" s="3" t="n"/>
      <c r="FT35" s="3" t="n"/>
      <c r="FU35" s="3" t="n"/>
      <c r="FV35" s="3" t="n"/>
      <c r="FW35" s="3" t="n"/>
      <c r="FX35" s="3" t="n"/>
      <c r="FY35" s="3" t="n"/>
      <c r="FZ35" s="3" t="n"/>
      <c r="GA35" s="3" t="n"/>
      <c r="GB35" s="3" t="n"/>
      <c r="GC35" s="3" t="n"/>
      <c r="GD35" s="3" t="n"/>
      <c r="GE35" s="3" t="n"/>
      <c r="GF35" s="3" t="n"/>
      <c r="GG35" s="3" t="n"/>
      <c r="GH35" s="3" t="n"/>
      <c r="GI35" s="3" t="n"/>
      <c r="GJ35" s="3" t="n"/>
      <c r="GK35" s="3" t="n"/>
      <c r="GL35" s="3" t="n"/>
      <c r="GM35" s="3" t="n"/>
      <c r="GN35" s="3" t="n"/>
      <c r="GO35" s="3" t="n"/>
      <c r="GP35" s="3" t="n"/>
      <c r="GQ35" s="3" t="n"/>
      <c r="GR35" s="3" t="n"/>
      <c r="GS35" s="3" t="n"/>
      <c r="GT35" s="3" t="n"/>
      <c r="GU35" s="3" t="n"/>
      <c r="GV35" s="3" t="n"/>
      <c r="GW35" s="3" t="n"/>
      <c r="GX35" s="3" t="n"/>
      <c r="GY35" s="3" t="n"/>
      <c r="GZ35" s="3" t="n"/>
      <c r="HA35" s="3" t="n"/>
      <c r="HB35" s="3" t="n"/>
      <c r="HC35" s="3" t="n"/>
      <c r="HD35" s="3" t="n"/>
      <c r="HE35" s="3" t="n"/>
      <c r="HF35" s="3" t="n"/>
      <c r="HG35" s="3" t="n"/>
      <c r="HH35" s="3" t="n"/>
      <c r="HI35" s="3" t="n"/>
      <c r="HJ35" s="3" t="n"/>
      <c r="HK35" s="3" t="n"/>
      <c r="HL35" s="3" t="n"/>
      <c r="HM35" s="3" t="n"/>
      <c r="HN35" s="3" t="n"/>
      <c r="HO35" s="3" t="n"/>
      <c r="HP35" s="3" t="n"/>
      <c r="HQ35" s="3" t="n"/>
      <c r="HR35" s="3" t="n"/>
      <c r="HS35" s="3" t="n"/>
      <c r="HT35" s="3" t="n"/>
      <c r="HU35" s="3" t="n"/>
      <c r="HV35" s="3" t="n"/>
      <c r="HW35" s="3" t="n"/>
      <c r="HX35" s="3" t="n"/>
      <c r="HY35" s="3" t="n"/>
      <c r="HZ35" s="3" t="n"/>
      <c r="IA35" s="3" t="n"/>
      <c r="IB35" s="3" t="n"/>
      <c r="IC35" s="3" t="n"/>
      <c r="ID35" s="3" t="n"/>
      <c r="IE35" s="3" t="n"/>
      <c r="IF35" s="3" t="n"/>
      <c r="IG35" s="3" t="n"/>
      <c r="IH35" s="3" t="n"/>
      <c r="II35" s="3" t="n"/>
      <c r="IJ35" s="3" t="n"/>
      <c r="IK35" s="3" t="n"/>
      <c r="IL35" s="3" t="n"/>
      <c r="IM35" s="3" t="n"/>
      <c r="IN35" s="3" t="n"/>
      <c r="IO35" s="3" t="n"/>
      <c r="IP35" s="3" t="n"/>
      <c r="IQ35" s="3" t="n"/>
      <c r="IR35" s="3" t="n"/>
      <c r="IS35" s="3" t="n"/>
      <c r="IT35" s="3" t="n"/>
      <c r="IU35" s="3" t="n"/>
      <c r="IV35" s="3" t="n"/>
      <c r="IW35" s="3" t="n"/>
      <c r="IX35" s="3" t="n"/>
      <c r="IY35" s="3" t="n"/>
      <c r="IZ35" s="3" t="n"/>
    </row>
  </sheetData>
  <pageMargins left="0.75" right="0.75" top="1" bottom="1" header="0.5" footer="0.5"/>
</worksheet>
</file>

<file path=xl/worksheets/sheet5.xml><?xml version="1.0" encoding="utf-8"?>
<worksheet xmlns="http://schemas.openxmlformats.org/spreadsheetml/2006/main">
  <sheetPr>
    <tabColor rgb="0000AE49"/>
    <outlinePr summaryBelow="1" summaryRight="1"/>
    <pageSetUpPr/>
  </sheetPr>
  <dimension ref="A1:AJ969"/>
  <sheetViews>
    <sheetView tabSelected="0" zoomScale="80" workbookViewId="0">
      <pane xSplit="11" ySplit="5" topLeftCell="L6" activePane="bottomRight" state="frozen"/>
      <selection pane="topRight" activeCell="A1" sqref="A1"/>
      <selection pane="bottomLeft" activeCell="A1" sqref="A1"/>
      <selection pane="bottomRight" activeCell="A1" sqref="A1"/>
    </sheetView>
  </sheetViews>
  <sheetFormatPr baseColWidth="8" defaultRowHeight="15" outlineLevelRow="1" outlineLevelCol="1"/>
  <cols>
    <col width="11" customWidth="1" min="1" max="1"/>
    <col width="7" customWidth="1" min="2" max="2"/>
    <col hidden="1" outlineLevel="1" width="5" customWidth="1" min="3" max="3"/>
    <col hidden="1" outlineLevel="1" width="14" customWidth="1" min="4" max="4"/>
    <col hidden="1" outlineLevel="1" width="6" customWidth="1" min="5" max="5"/>
    <col hidden="1" outlineLevel="1" width="2" customWidth="1" min="6" max="6"/>
    <col hidden="1" outlineLevel="1" width="2"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8" customWidth="1" min="23" max="23"/>
    <col width="24"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8" customWidth="1" min="36" max="36"/>
  </cols>
  <sheetData>
    <row r="1">
      <c r="A1" s="6" t="inlineStr">
        <is>
          <t>Variable</t>
        </is>
      </c>
      <c r="B1" s="6" t="inlineStr">
        <is>
          <t>Item</t>
        </is>
      </c>
      <c r="C1" s="6" t="inlineStr">
        <is>
          <t>Sample</t>
        </is>
      </c>
      <c r="D1" s="6" t="inlineStr">
        <is>
          <t>Param 1</t>
        </is>
      </c>
      <c r="E1" s="6" t="inlineStr">
        <is>
          <t>Param 2</t>
        </is>
      </c>
      <c r="H1" s="6" t="inlineStr">
        <is>
          <t>Description</t>
        </is>
      </c>
      <c r="I1" s="6" t="inlineStr">
        <is>
          <t>Unit</t>
        </is>
      </c>
      <c r="J1" s="6" t="inlineStr">
        <is>
          <t>Source</t>
        </is>
      </c>
      <c r="K1" s="6" t="inlineStr">
        <is>
          <t>Scenario: output code</t>
        </is>
      </c>
      <c r="L1" s="198" t="n">
        <v>0</v>
      </c>
      <c r="M1" s="199" t="n">
        <v>1</v>
      </c>
      <c r="N1" s="199" t="n">
        <v>2</v>
      </c>
      <c r="O1" s="199" t="n">
        <v>3</v>
      </c>
      <c r="P1" s="199" t="n">
        <v>4</v>
      </c>
      <c r="Q1" s="199" t="n">
        <v>5</v>
      </c>
      <c r="R1" s="199" t="n">
        <v>6</v>
      </c>
      <c r="S1" s="199" t="n">
        <v>7</v>
      </c>
      <c r="T1" s="199" t="n">
        <v>8</v>
      </c>
      <c r="U1" s="199" t="n">
        <v>9</v>
      </c>
      <c r="V1" s="199" t="n">
        <v>10</v>
      </c>
      <c r="X1" s="6" t="inlineStr">
        <is>
          <t>Scenario: output code</t>
        </is>
      </c>
      <c r="Y1" s="198" t="n">
        <v>0</v>
      </c>
      <c r="Z1" s="199" t="n">
        <v>1</v>
      </c>
      <c r="AA1" s="199" t="n">
        <v>2</v>
      </c>
      <c r="AB1" s="199" t="n">
        <v>3</v>
      </c>
      <c r="AC1" s="199" t="n">
        <v>4</v>
      </c>
      <c r="AD1" s="199" t="n">
        <v>5</v>
      </c>
      <c r="AE1" s="199" t="n">
        <v>6</v>
      </c>
      <c r="AF1" s="199" t="n">
        <v>7</v>
      </c>
      <c r="AG1" s="199" t="n">
        <v>8</v>
      </c>
      <c r="AH1" s="199" t="n">
        <v>9</v>
      </c>
      <c r="AI1" s="199" t="n">
        <v>10</v>
      </c>
    </row>
    <row r="2">
      <c r="A2" s="1" t="inlineStr">
        <is>
          <t>Distribution - household incidence of the scenario in the analysis year (deciles across)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row>
    <row r="3">
      <c r="A3" s="36" t="inlineStr">
        <is>
          <t>0</t>
        </is>
      </c>
      <c r="B3" s="37" t="inlineStr">
        <is>
          <t>Scenario and analysis year</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row>
    <row r="4">
      <c r="H4" s="6" t="inlineStr">
        <is>
          <t>Scenario name (from MTInputs)</t>
        </is>
      </c>
      <c r="L4" s="6" t="str">
        <f>INDEX(ScenarioDefinition!$J$6:$AZ$6,MATCH(L$5,ScenarioDefinition!$J$5:$AZ$5,0))</f>
        <v>Baseline (no carbon price)</v>
      </c>
      <c r="W4" s="200" t="str">
        <f>IF(X$5=K$5,MAX(MAX(W$16:W$969),-MIN(W$16:W$969)),"")</f>
        <v/>
      </c>
      <c r="Y4" s="6" t="str">
        <f>INDEX(ScenarioDefinition!$J$6:$AZ$6,MATCH(Y$5,ScenarioDefinition!$J$5:$AZ$5,0))</f>
        <v>Carbon price $20/tCO2 from 2027</v>
      </c>
    </row>
    <row r="5">
      <c r="H5" s="6" t="inlineStr">
        <is>
          <t>Scenario number (MTInputs column)</t>
        </is>
      </c>
      <c r="K5" s="25">
        <f>COUNTIF($K$1:K$1,"Scenario*")</f>
        <v>1.0</v>
      </c>
      <c r="L5" s="38">
        <f t="shared" ref="L5:V5" si="0">K5</f>
        <v>1.0</v>
      </c>
      <c r="M5" s="39">
        <f t="shared" si="0"/>
        <v>1.0</v>
      </c>
      <c r="N5" s="39">
        <f t="shared" si="0"/>
        <v>1.0</v>
      </c>
      <c r="O5" s="39">
        <f t="shared" si="0"/>
        <v>1.0</v>
      </c>
      <c r="P5" s="39">
        <f t="shared" si="0"/>
        <v>1.0</v>
      </c>
      <c r="Q5" s="39">
        <f t="shared" si="0"/>
        <v>1.0</v>
      </c>
      <c r="R5" s="39">
        <f t="shared" si="0"/>
        <v>1.0</v>
      </c>
      <c r="S5" s="39">
        <f t="shared" si="0"/>
        <v>1.0</v>
      </c>
      <c r="T5" s="39">
        <f t="shared" si="0"/>
        <v>1.0</v>
      </c>
      <c r="U5" s="39">
        <f t="shared" si="0"/>
        <v>1.0</v>
      </c>
      <c r="V5" s="39">
        <f t="shared" si="0"/>
        <v>1.0</v>
      </c>
      <c r="X5" s="25">
        <f>COUNTIF($K$1:X$1,"Scenario*")</f>
        <v>2.0</v>
      </c>
      <c r="Y5" s="38">
        <f t="shared" ref="Y5:AI5" si="1">X5</f>
        <v>2.0</v>
      </c>
      <c r="Z5" s="39">
        <f t="shared" si="1"/>
        <v>2.0</v>
      </c>
      <c r="AA5" s="39">
        <f t="shared" si="1"/>
        <v>2.0</v>
      </c>
      <c r="AB5" s="39">
        <f t="shared" si="1"/>
        <v>2.0</v>
      </c>
      <c r="AC5" s="39">
        <f t="shared" si="1"/>
        <v>2.0</v>
      </c>
      <c r="AD5" s="39">
        <f t="shared" si="1"/>
        <v>2.0</v>
      </c>
      <c r="AE5" s="39">
        <f t="shared" si="1"/>
        <v>2.0</v>
      </c>
      <c r="AF5" s="39">
        <f t="shared" si="1"/>
        <v>2.0</v>
      </c>
      <c r="AG5" s="39">
        <f t="shared" si="1"/>
        <v>2.0</v>
      </c>
      <c r="AH5" s="39">
        <f t="shared" si="1"/>
        <v>2.0</v>
      </c>
      <c r="AI5" s="39">
        <f t="shared" si="1"/>
        <v>2.0</v>
      </c>
    </row>
    <row r="6" hidden="1" outlineLevel="1">
      <c r="H6" s="3" t="inlineStr">
        <is>
          <t>Position of the column group (LAMBDA test group included)</t>
        </is>
      </c>
      <c r="L6" s="39">
        <f>COUNTIF($K$1:K$1,"*output code")</f>
        <v>1.0</v>
      </c>
      <c r="M6" s="39">
        <f t="shared" ref="M6:V6" si="2">L6</f>
        <v>1.0</v>
      </c>
      <c r="N6" s="39">
        <f t="shared" si="2"/>
        <v>1.0</v>
      </c>
      <c r="O6" s="39">
        <f t="shared" si="2"/>
        <v>1.0</v>
      </c>
      <c r="P6" s="39">
        <f t="shared" si="2"/>
        <v>1.0</v>
      </c>
      <c r="Q6" s="39">
        <f t="shared" si="2"/>
        <v>1.0</v>
      </c>
      <c r="R6" s="39">
        <f t="shared" si="2"/>
        <v>1.0</v>
      </c>
      <c r="S6" s="39">
        <f t="shared" si="2"/>
        <v>1.0</v>
      </c>
      <c r="T6" s="39">
        <f t="shared" si="2"/>
        <v>1.0</v>
      </c>
      <c r="U6" s="39">
        <f t="shared" si="2"/>
        <v>1.0</v>
      </c>
      <c r="V6" s="39">
        <f t="shared" si="2"/>
        <v>1.0</v>
      </c>
      <c r="Y6" s="39">
        <f>COUNTIF($K$1:X$1,"*output code")</f>
        <v>2.0</v>
      </c>
      <c r="Z6" s="39">
        <f t="shared" ref="Z6:AI6" si="3">Y6</f>
        <v>2.0</v>
      </c>
      <c r="AA6" s="39">
        <f t="shared" si="3"/>
        <v>2.0</v>
      </c>
      <c r="AB6" s="39">
        <f t="shared" si="3"/>
        <v>2.0</v>
      </c>
      <c r="AC6" s="39">
        <f t="shared" si="3"/>
        <v>2.0</v>
      </c>
      <c r="AD6" s="39">
        <f t="shared" si="3"/>
        <v>2.0</v>
      </c>
      <c r="AE6" s="39">
        <f t="shared" si="3"/>
        <v>2.0</v>
      </c>
      <c r="AF6" s="39">
        <f t="shared" si="3"/>
        <v>2.0</v>
      </c>
      <c r="AG6" s="39">
        <f t="shared" si="3"/>
        <v>2.0</v>
      </c>
      <c r="AH6" s="39">
        <f t="shared" si="3"/>
        <v>2.0</v>
      </c>
      <c r="AI6" s="39">
        <f t="shared" si="3"/>
        <v>2.0</v>
      </c>
    </row>
    <row r="7" hidden="1" outlineLevel="1">
      <c r="H7" s="3" t="inlineStr">
        <is>
          <t>Mitigation column of the analysis year, scenario 1 (group 1)</t>
        </is>
      </c>
      <c r="L7" s="39">
        <f>MATCH(L$12,FromMitigation!$K$1:$AF$1,0)</f>
        <v>10.0</v>
      </c>
      <c r="M7" s="39">
        <f t="shared" ref="M7:V7" si="4">L7</f>
        <v>10.0</v>
      </c>
      <c r="N7" s="39">
        <f t="shared" si="4"/>
        <v>10.0</v>
      </c>
      <c r="O7" s="39">
        <f t="shared" si="4"/>
        <v>10.0</v>
      </c>
      <c r="P7" s="39">
        <f t="shared" si="4"/>
        <v>10.0</v>
      </c>
      <c r="Q7" s="39">
        <f t="shared" si="4"/>
        <v>10.0</v>
      </c>
      <c r="R7" s="39">
        <f t="shared" si="4"/>
        <v>10.0</v>
      </c>
      <c r="S7" s="39">
        <f t="shared" si="4"/>
        <v>10.0</v>
      </c>
      <c r="T7" s="39">
        <f t="shared" si="4"/>
        <v>10.0</v>
      </c>
      <c r="U7" s="39">
        <f t="shared" si="4"/>
        <v>10.0</v>
      </c>
      <c r="V7" s="39">
        <f t="shared" si="4"/>
        <v>10.0</v>
      </c>
      <c r="Y7" s="39">
        <f>MATCH(Y$12,FromMitigation!$K$1:$AF$1,0)</f>
        <v>10.0</v>
      </c>
      <c r="Z7" s="39">
        <f t="shared" ref="Z7:AI7" si="5">Y7</f>
        <v>10.0</v>
      </c>
      <c r="AA7" s="39">
        <f t="shared" si="5"/>
        <v>10.0</v>
      </c>
      <c r="AB7" s="39">
        <f t="shared" si="5"/>
        <v>10.0</v>
      </c>
      <c r="AC7" s="39">
        <f t="shared" si="5"/>
        <v>10.0</v>
      </c>
      <c r="AD7" s="39">
        <f t="shared" si="5"/>
        <v>10.0</v>
      </c>
      <c r="AE7" s="39">
        <f t="shared" si="5"/>
        <v>10.0</v>
      </c>
      <c r="AF7" s="39">
        <f t="shared" si="5"/>
        <v>10.0</v>
      </c>
      <c r="AG7" s="39">
        <f t="shared" si="5"/>
        <v>10.0</v>
      </c>
      <c r="AH7" s="39">
        <f t="shared" si="5"/>
        <v>10.0</v>
      </c>
      <c r="AI7" s="39">
        <f t="shared" si="5"/>
        <v>10.0</v>
      </c>
    </row>
    <row r="8" hidden="1" outlineLevel="1">
      <c r="H8" s="3" t="inlineStr">
        <is>
          <t>Mitigation column of the analysis year, this scenario group</t>
        </is>
      </c>
      <c r="L8" s="39">
        <f>L$7+(L$6-1)*MitGW</f>
        <v>10.0</v>
      </c>
      <c r="M8" s="39">
        <f t="shared" ref="M8:V8" si="6">L8</f>
        <v>10.0</v>
      </c>
      <c r="N8" s="39">
        <f t="shared" si="6"/>
        <v>10.0</v>
      </c>
      <c r="O8" s="39">
        <f t="shared" si="6"/>
        <v>10.0</v>
      </c>
      <c r="P8" s="39">
        <f t="shared" si="6"/>
        <v>10.0</v>
      </c>
      <c r="Q8" s="39">
        <f t="shared" si="6"/>
        <v>10.0</v>
      </c>
      <c r="R8" s="39">
        <f t="shared" si="6"/>
        <v>10.0</v>
      </c>
      <c r="S8" s="39">
        <f t="shared" si="6"/>
        <v>10.0</v>
      </c>
      <c r="T8" s="39">
        <f t="shared" si="6"/>
        <v>10.0</v>
      </c>
      <c r="U8" s="39">
        <f t="shared" si="6"/>
        <v>10.0</v>
      </c>
      <c r="V8" s="39">
        <f t="shared" si="6"/>
        <v>10.0</v>
      </c>
      <c r="Y8" s="39">
        <f>Y$7+(Y$6-1)*MitGW</f>
        <v>32.0</v>
      </c>
      <c r="Z8" s="39">
        <f t="shared" ref="Z8:AI8" si="7">Y8</f>
        <v>32.0</v>
      </c>
      <c r="AA8" s="39">
        <f t="shared" si="7"/>
        <v>32.0</v>
      </c>
      <c r="AB8" s="39">
        <f t="shared" si="7"/>
        <v>32.0</v>
      </c>
      <c r="AC8" s="39">
        <f t="shared" si="7"/>
        <v>32.0</v>
      </c>
      <c r="AD8" s="39">
        <f t="shared" si="7"/>
        <v>32.0</v>
      </c>
      <c r="AE8" s="39">
        <f t="shared" si="7"/>
        <v>32.0</v>
      </c>
      <c r="AF8" s="39">
        <f t="shared" si="7"/>
        <v>32.0</v>
      </c>
      <c r="AG8" s="39">
        <f t="shared" si="7"/>
        <v>32.0</v>
      </c>
      <c r="AH8" s="39">
        <f t="shared" si="7"/>
        <v>32.0</v>
      </c>
      <c r="AI8" s="39">
        <f t="shared" si="7"/>
        <v>32.0</v>
      </c>
    </row>
    <row r="9" hidden="1" outlineLevel="1">
      <c r="H9" s="3" t="inlineStr">
        <is>
          <t>Statistic of the household survey (MTInputs QuantilesStatistic)</t>
        </is>
      </c>
      <c r="L9" s="3" t="str">
        <f>L$17</f>
        <v>mean</v>
      </c>
      <c r="M9" s="3" t="str">
        <f t="shared" ref="M9:V9" si="8">L9</f>
        <v>mean</v>
      </c>
      <c r="N9" s="3" t="str">
        <f t="shared" si="8"/>
        <v>mean</v>
      </c>
      <c r="O9" s="3" t="str">
        <f t="shared" si="8"/>
        <v>mean</v>
      </c>
      <c r="P9" s="3" t="str">
        <f t="shared" si="8"/>
        <v>mean</v>
      </c>
      <c r="Q9" s="3" t="str">
        <f t="shared" si="8"/>
        <v>mean</v>
      </c>
      <c r="R9" s="3" t="str">
        <f t="shared" si="8"/>
        <v>mean</v>
      </c>
      <c r="S9" s="3" t="str">
        <f t="shared" si="8"/>
        <v>mean</v>
      </c>
      <c r="T9" s="3" t="str">
        <f t="shared" si="8"/>
        <v>mean</v>
      </c>
      <c r="U9" s="3" t="str">
        <f t="shared" si="8"/>
        <v>mean</v>
      </c>
      <c r="V9" s="3" t="str">
        <f t="shared" si="8"/>
        <v>mean</v>
      </c>
      <c r="Y9" s="3" t="str">
        <f>Y$17</f>
        <v>mean</v>
      </c>
      <c r="Z9" s="3" t="str">
        <f t="shared" ref="Z9:AI9" si="9">Y9</f>
        <v>mean</v>
      </c>
      <c r="AA9" s="3" t="str">
        <f t="shared" si="9"/>
        <v>mean</v>
      </c>
      <c r="AB9" s="3" t="str">
        <f t="shared" si="9"/>
        <v>mean</v>
      </c>
      <c r="AC9" s="3" t="str">
        <f t="shared" si="9"/>
        <v>mean</v>
      </c>
      <c r="AD9" s="3" t="str">
        <f t="shared" si="9"/>
        <v>mean</v>
      </c>
      <c r="AE9" s="3" t="str">
        <f t="shared" si="9"/>
        <v>mean</v>
      </c>
      <c r="AF9" s="3" t="str">
        <f t="shared" si="9"/>
        <v>mean</v>
      </c>
      <c r="AG9" s="3" t="str">
        <f t="shared" si="9"/>
        <v>mean</v>
      </c>
      <c r="AH9" s="3" t="str">
        <f t="shared" si="9"/>
        <v>mean</v>
      </c>
      <c r="AI9" s="3" t="str">
        <f t="shared" si="9"/>
        <v>mean</v>
      </c>
    </row>
    <row r="10" hidden="1" outlineLevel="1">
      <c r="H10" s="3" t="inlineStr">
        <is>
          <t>Survey code: basket or decile (legacy HHSurvey code part)</t>
        </is>
      </c>
      <c r="L10" s="3" t="str">
        <f t="shared" ref="L10:V10" si="10">IF(L$1=0,"bkt.","dec.")</f>
        <v>bkt.</v>
      </c>
      <c r="M10" s="3" t="str">
        <f t="shared" si="10"/>
        <v>dec.</v>
      </c>
      <c r="N10" s="3" t="str">
        <f t="shared" si="10"/>
        <v>dec.</v>
      </c>
      <c r="O10" s="3" t="str">
        <f t="shared" si="10"/>
        <v>dec.</v>
      </c>
      <c r="P10" s="3" t="str">
        <f t="shared" si="10"/>
        <v>dec.</v>
      </c>
      <c r="Q10" s="3" t="str">
        <f t="shared" si="10"/>
        <v>dec.</v>
      </c>
      <c r="R10" s="3" t="str">
        <f t="shared" si="10"/>
        <v>dec.</v>
      </c>
      <c r="S10" s="3" t="str">
        <f t="shared" si="10"/>
        <v>dec.</v>
      </c>
      <c r="T10" s="3" t="str">
        <f t="shared" si="10"/>
        <v>dec.</v>
      </c>
      <c r="U10" s="3" t="str">
        <f t="shared" si="10"/>
        <v>dec.</v>
      </c>
      <c r="V10" s="3" t="str">
        <f t="shared" si="10"/>
        <v>dec.</v>
      </c>
      <c r="Y10" s="3" t="str">
        <f t="shared" ref="Y10:AI10" si="11">IF(Y$1=0,"bkt.","dec.")</f>
        <v>bkt.</v>
      </c>
      <c r="Z10" s="3" t="str">
        <f t="shared" si="11"/>
        <v>dec.</v>
      </c>
      <c r="AA10" s="3" t="str">
        <f t="shared" si="11"/>
        <v>dec.</v>
      </c>
      <c r="AB10" s="3" t="str">
        <f t="shared" si="11"/>
        <v>dec.</v>
      </c>
      <c r="AC10" s="3" t="str">
        <f t="shared" si="11"/>
        <v>dec.</v>
      </c>
      <c r="AD10" s="3" t="str">
        <f t="shared" si="11"/>
        <v>dec.</v>
      </c>
      <c r="AE10" s="3" t="str">
        <f t="shared" si="11"/>
        <v>dec.</v>
      </c>
      <c r="AF10" s="3" t="str">
        <f t="shared" si="11"/>
        <v>dec.</v>
      </c>
      <c r="AG10" s="3" t="str">
        <f t="shared" si="11"/>
        <v>dec.</v>
      </c>
      <c r="AH10" s="3" t="str">
        <f t="shared" si="11"/>
        <v>dec.</v>
      </c>
      <c r="AI10" s="3" t="str">
        <f t="shared" si="11"/>
        <v>dec.</v>
      </c>
    </row>
    <row r="11" hidden="1" outlineLevel="1">
      <c r="H11" s="3" t="inlineStr">
        <is>
          <t>Survey code: quantile (9999 = basket)</t>
        </is>
      </c>
      <c r="L11" s="3" t="str">
        <f t="shared" ref="L11:V11" si="12">"."&amp;IF(L$1=0,BasketQ,L$1)</f>
        <v>.9999</v>
      </c>
      <c r="M11" s="3" t="str">
        <f t="shared" si="12"/>
        <v>.1</v>
      </c>
      <c r="N11" s="3" t="str">
        <f t="shared" si="12"/>
        <v>.2</v>
      </c>
      <c r="O11" s="3" t="str">
        <f t="shared" si="12"/>
        <v>.3</v>
      </c>
      <c r="P11" s="3" t="str">
        <f t="shared" si="12"/>
        <v>.4</v>
      </c>
      <c r="Q11" s="3" t="str">
        <f t="shared" si="12"/>
        <v>.5</v>
      </c>
      <c r="R11" s="3" t="str">
        <f t="shared" si="12"/>
        <v>.6</v>
      </c>
      <c r="S11" s="3" t="str">
        <f t="shared" si="12"/>
        <v>.7</v>
      </c>
      <c r="T11" s="3" t="str">
        <f t="shared" si="12"/>
        <v>.8</v>
      </c>
      <c r="U11" s="3" t="str">
        <f t="shared" si="12"/>
        <v>.9</v>
      </c>
      <c r="V11" s="3" t="str">
        <f t="shared" si="12"/>
        <v>.10</v>
      </c>
      <c r="Y11" s="3" t="str">
        <f t="shared" ref="Y11:AI11" si="13">"."&amp;IF(Y$1=0,BasketQ,Y$1)</f>
        <v>.9999</v>
      </c>
      <c r="Z11" s="3" t="str">
        <f t="shared" si="13"/>
        <v>.1</v>
      </c>
      <c r="AA11" s="3" t="str">
        <f t="shared" si="13"/>
        <v>.2</v>
      </c>
      <c r="AB11" s="3" t="str">
        <f t="shared" si="13"/>
        <v>.3</v>
      </c>
      <c r="AC11" s="3" t="str">
        <f t="shared" si="13"/>
        <v>.4</v>
      </c>
      <c r="AD11" s="3" t="str">
        <f t="shared" si="13"/>
        <v>.5</v>
      </c>
      <c r="AE11" s="3" t="str">
        <f t="shared" si="13"/>
        <v>.6</v>
      </c>
      <c r="AF11" s="3" t="str">
        <f t="shared" si="13"/>
        <v>.7</v>
      </c>
      <c r="AG11" s="3" t="str">
        <f t="shared" si="13"/>
        <v>.8</v>
      </c>
      <c r="AH11" s="3" t="str">
        <f t="shared" si="13"/>
        <v>.9</v>
      </c>
      <c r="AI11" s="3" t="str">
        <f t="shared" si="13"/>
        <v>.10</v>
      </c>
    </row>
    <row r="12" collapsed="1">
      <c r="H12" s="6" t="inlineStr">
        <is>
          <t>Analysis year (MTInputs YearDistn)</t>
        </is>
      </c>
      <c r="L12" s="25">
        <f>L$16</f>
        <v>2030.0</v>
      </c>
      <c r="M12" s="25">
        <f t="shared" ref="M12:V12" si="14">L12</f>
        <v>2030.0</v>
      </c>
      <c r="N12" s="25">
        <f t="shared" si="14"/>
        <v>2030.0</v>
      </c>
      <c r="O12" s="25">
        <f t="shared" si="14"/>
        <v>2030.0</v>
      </c>
      <c r="P12" s="25">
        <f t="shared" si="14"/>
        <v>2030.0</v>
      </c>
      <c r="Q12" s="25">
        <f t="shared" si="14"/>
        <v>2030.0</v>
      </c>
      <c r="R12" s="25">
        <f t="shared" si="14"/>
        <v>2030.0</v>
      </c>
      <c r="S12" s="25">
        <f t="shared" si="14"/>
        <v>2030.0</v>
      </c>
      <c r="T12" s="25">
        <f t="shared" si="14"/>
        <v>2030.0</v>
      </c>
      <c r="U12" s="25">
        <f t="shared" si="14"/>
        <v>2030.0</v>
      </c>
      <c r="V12" s="25">
        <f t="shared" si="14"/>
        <v>2030.0</v>
      </c>
      <c r="Y12" s="25">
        <f>Y$16</f>
        <v>2030.0</v>
      </c>
      <c r="Z12" s="25">
        <f t="shared" ref="Z12:AI12" si="15">Y12</f>
        <v>2030.0</v>
      </c>
      <c r="AA12" s="25">
        <f t="shared" si="15"/>
        <v>2030.0</v>
      </c>
      <c r="AB12" s="25">
        <f t="shared" si="15"/>
        <v>2030.0</v>
      </c>
      <c r="AC12" s="25">
        <f t="shared" si="15"/>
        <v>2030.0</v>
      </c>
      <c r="AD12" s="25">
        <f t="shared" si="15"/>
        <v>2030.0</v>
      </c>
      <c r="AE12" s="25">
        <f t="shared" si="15"/>
        <v>2030.0</v>
      </c>
      <c r="AF12" s="25">
        <f t="shared" si="15"/>
        <v>2030.0</v>
      </c>
      <c r="AG12" s="25">
        <f t="shared" si="15"/>
        <v>2030.0</v>
      </c>
      <c r="AH12" s="25">
        <f t="shared" si="15"/>
        <v>2030.0</v>
      </c>
      <c r="AI12" s="25">
        <f t="shared" si="15"/>
        <v>2030.0</v>
      </c>
    </row>
    <row r="13"/>
    <row r="14">
      <c r="A14" s="36" t="inlineStr">
        <is>
          <t>1</t>
        </is>
      </c>
      <c r="B14" s="37" t="inlineStr">
        <is>
          <t>Settings (MTInputs, distributional module assumptions)</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row>
    <row r="15" hidden="1" outlineLevel="1"/>
    <row r="16" hidden="1" outlineLevel="1">
      <c r="A16" s="44" t="inlineStr">
        <is>
          <t>YearDistn</t>
        </is>
      </c>
      <c r="B16" s="3" t="inlineStr"/>
      <c r="C16" s="3" t="inlineStr"/>
      <c r="D16" s="39">
        <f>INDEX(MTRowNum,MATCH($A16&amp;"||",MTRowKey,0))</f>
        <v>304.0</v>
      </c>
      <c r="E16" s="3" t="n"/>
      <c r="H16" s="3" t="inlineStr">
        <is>
          <t>MTInputs: YearDistn</t>
        </is>
      </c>
      <c r="I16" s="3" t="inlineStr"/>
      <c r="J16" s="118" t="inlineStr">
        <is>
          <t>ScenarioDefinition</t>
        </is>
      </c>
      <c r="K16" s="9" t="str">
        <f>LOWER(CtryCode)&amp;".distn."&amp;$A16&amp;IF($B16="","","."&amp;$B16)&amp;IF($C16="","",".dec."&amp;$C16)&amp;"."&amp;K$5</f>
        <v>egy.distn.YearDistn.1</v>
      </c>
      <c r="L16" s="10">
        <f>INDEX(ScenarioDefinition!$J$1:$AZ$526,$D16,MATCH(L$5,ScenarioDefinition!$J$5:$AZ$5,0))</f>
        <v>2030.0</v>
      </c>
      <c r="M16" s="3">
        <f t="shared" ref="M16:V16" si="16">L16</f>
        <v>2030.0</v>
      </c>
      <c r="N16" s="3">
        <f t="shared" si="16"/>
        <v>2030.0</v>
      </c>
      <c r="O16" s="3">
        <f t="shared" si="16"/>
        <v>2030.0</v>
      </c>
      <c r="P16" s="3">
        <f t="shared" si="16"/>
        <v>2030.0</v>
      </c>
      <c r="Q16" s="3">
        <f t="shared" si="16"/>
        <v>2030.0</v>
      </c>
      <c r="R16" s="3">
        <f t="shared" si="16"/>
        <v>2030.0</v>
      </c>
      <c r="S16" s="3">
        <f t="shared" si="16"/>
        <v>2030.0</v>
      </c>
      <c r="T16" s="3">
        <f t="shared" si="16"/>
        <v>2030.0</v>
      </c>
      <c r="U16" s="3">
        <f t="shared" si="16"/>
        <v>2030.0</v>
      </c>
      <c r="V16" s="3">
        <f t="shared" si="16"/>
        <v>2030.0</v>
      </c>
      <c r="W16" s="201" t="str">
        <f>IF(X$5=K$5,SUM(Y16:AI16)-SUM(L16:V16),"")</f>
        <v/>
      </c>
      <c r="X16" s="9" t="str">
        <f>LOWER(CtryCode)&amp;".distn."&amp;$A16&amp;IF($B16="","","."&amp;$B16)&amp;IF($C16="","",".dec."&amp;$C16)&amp;"."&amp;X$5</f>
        <v>egy.distn.YearDistn.2</v>
      </c>
      <c r="Y16" s="10">
        <f>INDEX(ScenarioDefinition!$J$1:$AZ$526,$D16,MATCH(Y$5,ScenarioDefinition!$J$5:$AZ$5,0))</f>
        <v>2030.0</v>
      </c>
      <c r="Z16" s="3">
        <f t="shared" ref="Z16:AI16" si="17">Y16</f>
        <v>2030.0</v>
      </c>
      <c r="AA16" s="3">
        <f t="shared" si="17"/>
        <v>2030.0</v>
      </c>
      <c r="AB16" s="3">
        <f t="shared" si="17"/>
        <v>2030.0</v>
      </c>
      <c r="AC16" s="3">
        <f t="shared" si="17"/>
        <v>2030.0</v>
      </c>
      <c r="AD16" s="3">
        <f t="shared" si="17"/>
        <v>2030.0</v>
      </c>
      <c r="AE16" s="3">
        <f t="shared" si="17"/>
        <v>2030.0</v>
      </c>
      <c r="AF16" s="3">
        <f t="shared" si="17"/>
        <v>2030.0</v>
      </c>
      <c r="AG16" s="3">
        <f t="shared" si="17"/>
        <v>2030.0</v>
      </c>
      <c r="AH16" s="3">
        <f t="shared" si="17"/>
        <v>2030.0</v>
      </c>
      <c r="AI16" s="3">
        <f t="shared" si="17"/>
        <v>2030.0</v>
      </c>
    </row>
    <row r="17" hidden="1" outlineLevel="1">
      <c r="A17" s="44" t="inlineStr">
        <is>
          <t>QuantilesStatistic</t>
        </is>
      </c>
      <c r="B17" s="3" t="inlineStr"/>
      <c r="C17" s="3" t="inlineStr"/>
      <c r="D17" s="39">
        <f>INDEX(MTRowNum,MATCH($A17&amp;"||",MTRowKey,0))</f>
        <v>319.0</v>
      </c>
      <c r="E17" s="3" t="n"/>
      <c r="H17" s="3" t="inlineStr">
        <is>
          <t>MTInputs: QuantilesStatistic</t>
        </is>
      </c>
      <c r="I17" s="3" t="inlineStr"/>
      <c r="J17" s="118" t="inlineStr">
        <is>
          <t>ScenarioDefinition</t>
        </is>
      </c>
      <c r="K17" s="9" t="str">
        <f>LOWER(CtryCode)&amp;".distn."&amp;$A17&amp;IF($B17="","","."&amp;$B17)&amp;IF($C17="","",".dec."&amp;$C17)&amp;"."&amp;K$5</f>
        <v>egy.distn.QuantilesStatistic.1</v>
      </c>
      <c r="L17" s="10" t="str">
        <f>INDEX(ScenarioDefinition!$J$1:$AZ$526,$D17,MATCH(L$5,ScenarioDefinition!$J$5:$AZ$5,0))</f>
        <v>mean</v>
      </c>
      <c r="M17" s="3" t="str">
        <f t="shared" ref="M17:V17" si="18">L17</f>
        <v>mean</v>
      </c>
      <c r="N17" s="3" t="str">
        <f t="shared" si="18"/>
        <v>mean</v>
      </c>
      <c r="O17" s="3" t="str">
        <f t="shared" si="18"/>
        <v>mean</v>
      </c>
      <c r="P17" s="3" t="str">
        <f t="shared" si="18"/>
        <v>mean</v>
      </c>
      <c r="Q17" s="3" t="str">
        <f t="shared" si="18"/>
        <v>mean</v>
      </c>
      <c r="R17" s="3" t="str">
        <f t="shared" si="18"/>
        <v>mean</v>
      </c>
      <c r="S17" s="3" t="str">
        <f t="shared" si="18"/>
        <v>mean</v>
      </c>
      <c r="T17" s="3" t="str">
        <f t="shared" si="18"/>
        <v>mean</v>
      </c>
      <c r="U17" s="3" t="str">
        <f t="shared" si="18"/>
        <v>mean</v>
      </c>
      <c r="V17" s="3" t="str">
        <f t="shared" si="18"/>
        <v>mean</v>
      </c>
      <c r="W17" s="201" t="str">
        <f>IF(X$5=K$5,SUM(Y17:AI17)-SUM(L17:V17),"")</f>
        <v/>
      </c>
      <c r="X17" s="9" t="str">
        <f>LOWER(CtryCode)&amp;".distn."&amp;$A17&amp;IF($B17="","","."&amp;$B17)&amp;IF($C17="","",".dec."&amp;$C17)&amp;"."&amp;X$5</f>
        <v>egy.distn.QuantilesStatistic.2</v>
      </c>
      <c r="Y17" s="10" t="str">
        <f>INDEX(ScenarioDefinition!$J$1:$AZ$526,$D17,MATCH(Y$5,ScenarioDefinition!$J$5:$AZ$5,0))</f>
        <v>mean</v>
      </c>
      <c r="Z17" s="3" t="str">
        <f t="shared" ref="Z17:AI17" si="19">Y17</f>
        <v>mean</v>
      </c>
      <c r="AA17" s="3" t="str">
        <f t="shared" si="19"/>
        <v>mean</v>
      </c>
      <c r="AB17" s="3" t="str">
        <f t="shared" si="19"/>
        <v>mean</v>
      </c>
      <c r="AC17" s="3" t="str">
        <f t="shared" si="19"/>
        <v>mean</v>
      </c>
      <c r="AD17" s="3" t="str">
        <f t="shared" si="19"/>
        <v>mean</v>
      </c>
      <c r="AE17" s="3" t="str">
        <f t="shared" si="19"/>
        <v>mean</v>
      </c>
      <c r="AF17" s="3" t="str">
        <f t="shared" si="19"/>
        <v>mean</v>
      </c>
      <c r="AG17" s="3" t="str">
        <f t="shared" si="19"/>
        <v>mean</v>
      </c>
      <c r="AH17" s="3" t="str">
        <f t="shared" si="19"/>
        <v>mean</v>
      </c>
      <c r="AI17" s="3" t="str">
        <f t="shared" si="19"/>
        <v>mean</v>
      </c>
    </row>
    <row r="18" hidden="1" outlineLevel="1">
      <c r="A18" s="44" t="inlineStr">
        <is>
          <t>PEDs</t>
        </is>
      </c>
      <c r="B18" s="3" t="inlineStr"/>
      <c r="C18" s="3" t="inlineStr"/>
      <c r="D18" s="39">
        <f>INDEX(MTRowNum,MATCH($A18&amp;"||",MTRowKey,0))</f>
        <v>315.0</v>
      </c>
      <c r="E18" s="3" t="n"/>
      <c r="H18" s="3" t="inlineStr">
        <is>
          <t>MTInputs: PEDs</t>
        </is>
      </c>
      <c r="I18" s="3" t="inlineStr"/>
      <c r="J18" s="118" t="inlineStr">
        <is>
          <t>ScenarioDefinition</t>
        </is>
      </c>
      <c r="K18" s="9" t="str">
        <f>LOWER(CtryCode)&amp;".distn."&amp;$A18&amp;IF($B18="","","."&amp;$B18)&amp;IF($C18="","",".dec."&amp;$C18)&amp;"."&amp;K$5</f>
        <v>egy.distn.PEDs.1</v>
      </c>
      <c r="L18" s="10" t="str">
        <f>INDEX(ScenarioDefinition!$J$1:$AZ$526,$D18,MATCH(L$5,ScenarioDefinition!$J$5:$AZ$5,0))</f>
        <v>Yes</v>
      </c>
      <c r="M18" s="3" t="str">
        <f t="shared" ref="M18:V18" si="20">L18</f>
        <v>Yes</v>
      </c>
      <c r="N18" s="3" t="str">
        <f t="shared" si="20"/>
        <v>Yes</v>
      </c>
      <c r="O18" s="3" t="str">
        <f t="shared" si="20"/>
        <v>Yes</v>
      </c>
      <c r="P18" s="3" t="str">
        <f t="shared" si="20"/>
        <v>Yes</v>
      </c>
      <c r="Q18" s="3" t="str">
        <f t="shared" si="20"/>
        <v>Yes</v>
      </c>
      <c r="R18" s="3" t="str">
        <f t="shared" si="20"/>
        <v>Yes</v>
      </c>
      <c r="S18" s="3" t="str">
        <f t="shared" si="20"/>
        <v>Yes</v>
      </c>
      <c r="T18" s="3" t="str">
        <f t="shared" si="20"/>
        <v>Yes</v>
      </c>
      <c r="U18" s="3" t="str">
        <f t="shared" si="20"/>
        <v>Yes</v>
      </c>
      <c r="V18" s="3" t="str">
        <f t="shared" si="20"/>
        <v>Yes</v>
      </c>
      <c r="W18" s="201" t="str">
        <f>IF(X$5=K$5,SUM(Y18:AI18)-SUM(L18:V18),"")</f>
        <v/>
      </c>
      <c r="X18" s="9" t="str">
        <f>LOWER(CtryCode)&amp;".distn."&amp;$A18&amp;IF($B18="","","."&amp;$B18)&amp;IF($C18="","",".dec."&amp;$C18)&amp;"."&amp;X$5</f>
        <v>egy.distn.PEDs.2</v>
      </c>
      <c r="Y18" s="10" t="str">
        <f>INDEX(ScenarioDefinition!$J$1:$AZ$526,$D18,MATCH(Y$5,ScenarioDefinition!$J$5:$AZ$5,0))</f>
        <v>Yes</v>
      </c>
      <c r="Z18" s="3" t="str">
        <f t="shared" ref="Z18:AI18" si="21">Y18</f>
        <v>Yes</v>
      </c>
      <c r="AA18" s="3" t="str">
        <f t="shared" si="21"/>
        <v>Yes</v>
      </c>
      <c r="AB18" s="3" t="str">
        <f t="shared" si="21"/>
        <v>Yes</v>
      </c>
      <c r="AC18" s="3" t="str">
        <f t="shared" si="21"/>
        <v>Yes</v>
      </c>
      <c r="AD18" s="3" t="str">
        <f t="shared" si="21"/>
        <v>Yes</v>
      </c>
      <c r="AE18" s="3" t="str">
        <f t="shared" si="21"/>
        <v>Yes</v>
      </c>
      <c r="AF18" s="3" t="str">
        <f t="shared" si="21"/>
        <v>Yes</v>
      </c>
      <c r="AG18" s="3" t="str">
        <f t="shared" si="21"/>
        <v>Yes</v>
      </c>
      <c r="AH18" s="3" t="str">
        <f t="shared" si="21"/>
        <v>Yes</v>
      </c>
      <c r="AI18" s="3" t="str">
        <f t="shared" si="21"/>
        <v>Yes</v>
      </c>
    </row>
    <row r="19" hidden="1" outlineLevel="1">
      <c r="A19" s="44" t="inlineStr">
        <is>
          <t>ScaleGTAP</t>
        </is>
      </c>
      <c r="B19" s="3" t="inlineStr"/>
      <c r="C19" s="3" t="inlineStr"/>
      <c r="D19" s="39">
        <f>INDEX(MTRowNum,MATCH($A19&amp;"||",MTRowKey,0))</f>
        <v>316.0</v>
      </c>
      <c r="E19" s="3" t="n"/>
      <c r="H19" s="3" t="inlineStr">
        <is>
          <t>MTInputs: ScaleGTAP</t>
        </is>
      </c>
      <c r="I19" s="3" t="inlineStr"/>
      <c r="J19" s="118" t="inlineStr">
        <is>
          <t>ScenarioDefinition</t>
        </is>
      </c>
      <c r="K19" s="9" t="str">
        <f>LOWER(CtryCode)&amp;".distn."&amp;$A19&amp;IF($B19="","","."&amp;$B19)&amp;IF($C19="","",".dec."&amp;$C19)&amp;"."&amp;K$5</f>
        <v>egy.distn.ScaleGTAP.1</v>
      </c>
      <c r="L19" s="10" t="str">
        <f>INDEX(ScenarioDefinition!$J$1:$AZ$526,$D19,MATCH(L$5,ScenarioDefinition!$J$5:$AZ$5,0))</f>
        <v>Yes</v>
      </c>
      <c r="M19" s="3" t="str">
        <f t="shared" ref="M19:V19" si="22">L19</f>
        <v>Yes</v>
      </c>
      <c r="N19" s="3" t="str">
        <f t="shared" si="22"/>
        <v>Yes</v>
      </c>
      <c r="O19" s="3" t="str">
        <f t="shared" si="22"/>
        <v>Yes</v>
      </c>
      <c r="P19" s="3" t="str">
        <f t="shared" si="22"/>
        <v>Yes</v>
      </c>
      <c r="Q19" s="3" t="str">
        <f t="shared" si="22"/>
        <v>Yes</v>
      </c>
      <c r="R19" s="3" t="str">
        <f t="shared" si="22"/>
        <v>Yes</v>
      </c>
      <c r="S19" s="3" t="str">
        <f t="shared" si="22"/>
        <v>Yes</v>
      </c>
      <c r="T19" s="3" t="str">
        <f t="shared" si="22"/>
        <v>Yes</v>
      </c>
      <c r="U19" s="3" t="str">
        <f t="shared" si="22"/>
        <v>Yes</v>
      </c>
      <c r="V19" s="3" t="str">
        <f t="shared" si="22"/>
        <v>Yes</v>
      </c>
      <c r="W19" s="201" t="str">
        <f>IF(X$5=K$5,SUM(Y19:AI19)-SUM(L19:V19),"")</f>
        <v/>
      </c>
      <c r="X19" s="9" t="str">
        <f>LOWER(CtryCode)&amp;".distn."&amp;$A19&amp;IF($B19="","","."&amp;$B19)&amp;IF($C19="","",".dec."&amp;$C19)&amp;"."&amp;X$5</f>
        <v>egy.distn.ScaleGTAP.2</v>
      </c>
      <c r="Y19" s="10" t="str">
        <f>INDEX(ScenarioDefinition!$J$1:$AZ$526,$D19,MATCH(Y$5,ScenarioDefinition!$J$5:$AZ$5,0))</f>
        <v>Yes</v>
      </c>
      <c r="Z19" s="3" t="str">
        <f t="shared" ref="Z19:AI19" si="23">Y19</f>
        <v>Yes</v>
      </c>
      <c r="AA19" s="3" t="str">
        <f t="shared" si="23"/>
        <v>Yes</v>
      </c>
      <c r="AB19" s="3" t="str">
        <f t="shared" si="23"/>
        <v>Yes</v>
      </c>
      <c r="AC19" s="3" t="str">
        <f t="shared" si="23"/>
        <v>Yes</v>
      </c>
      <c r="AD19" s="3" t="str">
        <f t="shared" si="23"/>
        <v>Yes</v>
      </c>
      <c r="AE19" s="3" t="str">
        <f t="shared" si="23"/>
        <v>Yes</v>
      </c>
      <c r="AF19" s="3" t="str">
        <f t="shared" si="23"/>
        <v>Yes</v>
      </c>
      <c r="AG19" s="3" t="str">
        <f t="shared" si="23"/>
        <v>Yes</v>
      </c>
      <c r="AH19" s="3" t="str">
        <f t="shared" si="23"/>
        <v>Yes</v>
      </c>
      <c r="AI19" s="3" t="str">
        <f t="shared" si="23"/>
        <v>Yes</v>
      </c>
    </row>
    <row r="20" hidden="1" outlineLevel="1">
      <c r="A20" s="44" t="inlineStr">
        <is>
          <t>InferredDist</t>
        </is>
      </c>
      <c r="B20" s="3" t="inlineStr"/>
      <c r="C20" s="3" t="inlineStr"/>
      <c r="D20" s="39">
        <f>INDEX(MTRowNum,MATCH($A20&amp;"||",MTRowKey,0))</f>
        <v>314.0</v>
      </c>
      <c r="E20" s="3" t="n"/>
      <c r="H20" s="3" t="inlineStr">
        <is>
          <t>MTInputs: InferredDist</t>
        </is>
      </c>
      <c r="I20" s="3" t="inlineStr"/>
      <c r="J20" s="118" t="inlineStr">
        <is>
          <t>ScenarioDefinition</t>
        </is>
      </c>
      <c r="K20" s="9" t="str">
        <f>LOWER(CtryCode)&amp;".distn."&amp;$A20&amp;IF($B20="","","."&amp;$B20)&amp;IF($C20="","",".dec."&amp;$C20)&amp;"."&amp;K$5</f>
        <v>egy.distn.InferredDist.1</v>
      </c>
      <c r="L20" s="10" t="str">
        <f>INDEX(ScenarioDefinition!$J$1:$AZ$526,$D20,MATCH(L$5,ScenarioDefinition!$J$5:$AZ$5,0))</f>
        <v>No</v>
      </c>
      <c r="M20" s="3" t="str">
        <f t="shared" ref="M20:V20" si="24">L20</f>
        <v>No</v>
      </c>
      <c r="N20" s="3" t="str">
        <f t="shared" si="24"/>
        <v>No</v>
      </c>
      <c r="O20" s="3" t="str">
        <f t="shared" si="24"/>
        <v>No</v>
      </c>
      <c r="P20" s="3" t="str">
        <f t="shared" si="24"/>
        <v>No</v>
      </c>
      <c r="Q20" s="3" t="str">
        <f t="shared" si="24"/>
        <v>No</v>
      </c>
      <c r="R20" s="3" t="str">
        <f t="shared" si="24"/>
        <v>No</v>
      </c>
      <c r="S20" s="3" t="str">
        <f t="shared" si="24"/>
        <v>No</v>
      </c>
      <c r="T20" s="3" t="str">
        <f t="shared" si="24"/>
        <v>No</v>
      </c>
      <c r="U20" s="3" t="str">
        <f t="shared" si="24"/>
        <v>No</v>
      </c>
      <c r="V20" s="3" t="str">
        <f t="shared" si="24"/>
        <v>No</v>
      </c>
      <c r="W20" s="201" t="str">
        <f>IF(X$5=K$5,SUM(Y20:AI20)-SUM(L20:V20),"")</f>
        <v/>
      </c>
      <c r="X20" s="9" t="str">
        <f>LOWER(CtryCode)&amp;".distn."&amp;$A20&amp;IF($B20="","","."&amp;$B20)&amp;IF($C20="","",".dec."&amp;$C20)&amp;"."&amp;X$5</f>
        <v>egy.distn.InferredDist.2</v>
      </c>
      <c r="Y20" s="10" t="str">
        <f>INDEX(ScenarioDefinition!$J$1:$AZ$526,$D20,MATCH(Y$5,ScenarioDefinition!$J$5:$AZ$5,0))</f>
        <v>No</v>
      </c>
      <c r="Z20" s="3" t="str">
        <f t="shared" ref="Z20:AI20" si="25">Y20</f>
        <v>No</v>
      </c>
      <c r="AA20" s="3" t="str">
        <f t="shared" si="25"/>
        <v>No</v>
      </c>
      <c r="AB20" s="3" t="str">
        <f t="shared" si="25"/>
        <v>No</v>
      </c>
      <c r="AC20" s="3" t="str">
        <f t="shared" si="25"/>
        <v>No</v>
      </c>
      <c r="AD20" s="3" t="str">
        <f t="shared" si="25"/>
        <v>No</v>
      </c>
      <c r="AE20" s="3" t="str">
        <f t="shared" si="25"/>
        <v>No</v>
      </c>
      <c r="AF20" s="3" t="str">
        <f t="shared" si="25"/>
        <v>No</v>
      </c>
      <c r="AG20" s="3" t="str">
        <f t="shared" si="25"/>
        <v>No</v>
      </c>
      <c r="AH20" s="3" t="str">
        <f t="shared" si="25"/>
        <v>No</v>
      </c>
      <c r="AI20" s="3" t="str">
        <f t="shared" si="25"/>
        <v>No</v>
      </c>
    </row>
    <row r="21" hidden="1" outlineLevel="1">
      <c r="A21" s="44" t="inlineStr">
        <is>
          <t>DWLs</t>
        </is>
      </c>
      <c r="B21" s="3" t="inlineStr"/>
      <c r="C21" s="3" t="inlineStr"/>
      <c r="D21" s="39">
        <f>INDEX(MTRowNum,MATCH($A21&amp;"||",MTRowKey,0))</f>
        <v>317.0</v>
      </c>
      <c r="E21" s="3" t="n"/>
      <c r="H21" s="3" t="inlineStr">
        <is>
          <t>MTInputs: DWLs</t>
        </is>
      </c>
      <c r="I21" s="3" t="inlineStr"/>
      <c r="J21" s="118" t="inlineStr">
        <is>
          <t>ScenarioDefinition</t>
        </is>
      </c>
      <c r="K21" s="9" t="str">
        <f>LOWER(CtryCode)&amp;".distn."&amp;$A21&amp;IF($B21="","","."&amp;$B21)&amp;IF($C21="","",".dec."&amp;$C21)&amp;"."&amp;K$5</f>
        <v>egy.distn.DWLs.1</v>
      </c>
      <c r="L21" s="10" t="str">
        <f>INDEX(ScenarioDefinition!$J$1:$AZ$526,$D21,MATCH(L$5,ScenarioDefinition!$J$5:$AZ$5,0))</f>
        <v>No</v>
      </c>
      <c r="M21" s="3" t="str">
        <f t="shared" ref="M21:V21" si="26">L21</f>
        <v>No</v>
      </c>
      <c r="N21" s="3" t="str">
        <f t="shared" si="26"/>
        <v>No</v>
      </c>
      <c r="O21" s="3" t="str">
        <f t="shared" si="26"/>
        <v>No</v>
      </c>
      <c r="P21" s="3" t="str">
        <f t="shared" si="26"/>
        <v>No</v>
      </c>
      <c r="Q21" s="3" t="str">
        <f t="shared" si="26"/>
        <v>No</v>
      </c>
      <c r="R21" s="3" t="str">
        <f t="shared" si="26"/>
        <v>No</v>
      </c>
      <c r="S21" s="3" t="str">
        <f t="shared" si="26"/>
        <v>No</v>
      </c>
      <c r="T21" s="3" t="str">
        <f t="shared" si="26"/>
        <v>No</v>
      </c>
      <c r="U21" s="3" t="str">
        <f t="shared" si="26"/>
        <v>No</v>
      </c>
      <c r="V21" s="3" t="str">
        <f t="shared" si="26"/>
        <v>No</v>
      </c>
      <c r="W21" s="201" t="str">
        <f>IF(X$5=K$5,SUM(Y21:AI21)-SUM(L21:V21),"")</f>
        <v/>
      </c>
      <c r="X21" s="9" t="str">
        <f>LOWER(CtryCode)&amp;".distn."&amp;$A21&amp;IF($B21="","","."&amp;$B21)&amp;IF($C21="","",".dec."&amp;$C21)&amp;"."&amp;X$5</f>
        <v>egy.distn.DWLs.2</v>
      </c>
      <c r="Y21" s="10" t="str">
        <f>INDEX(ScenarioDefinition!$J$1:$AZ$526,$D21,MATCH(Y$5,ScenarioDefinition!$J$5:$AZ$5,0))</f>
        <v>No</v>
      </c>
      <c r="Z21" s="3" t="str">
        <f t="shared" ref="Z21:AI21" si="27">Y21</f>
        <v>No</v>
      </c>
      <c r="AA21" s="3" t="str">
        <f t="shared" si="27"/>
        <v>No</v>
      </c>
      <c r="AB21" s="3" t="str">
        <f t="shared" si="27"/>
        <v>No</v>
      </c>
      <c r="AC21" s="3" t="str">
        <f t="shared" si="27"/>
        <v>No</v>
      </c>
      <c r="AD21" s="3" t="str">
        <f t="shared" si="27"/>
        <v>No</v>
      </c>
      <c r="AE21" s="3" t="str">
        <f t="shared" si="27"/>
        <v>No</v>
      </c>
      <c r="AF21" s="3" t="str">
        <f t="shared" si="27"/>
        <v>No</v>
      </c>
      <c r="AG21" s="3" t="str">
        <f t="shared" si="27"/>
        <v>No</v>
      </c>
      <c r="AH21" s="3" t="str">
        <f t="shared" si="27"/>
        <v>No</v>
      </c>
      <c r="AI21" s="3" t="str">
        <f t="shared" si="27"/>
        <v>No</v>
      </c>
    </row>
    <row r="22" hidden="1" outlineLevel="1">
      <c r="A22" s="44" t="inlineStr">
        <is>
          <t>ExemptMostCook</t>
        </is>
      </c>
      <c r="B22" s="3" t="inlineStr"/>
      <c r="C22" s="3" t="inlineStr"/>
      <c r="D22" s="39">
        <f>INDEX(MTRowNum,MATCH($A22&amp;"||",MTRowKey,0))</f>
        <v>312.0</v>
      </c>
      <c r="E22" s="3" t="n"/>
      <c r="H22" s="3" t="inlineStr">
        <is>
          <t>MTInputs: ExemptMostCook</t>
        </is>
      </c>
      <c r="I22" s="3" t="inlineStr"/>
      <c r="J22" s="118" t="inlineStr">
        <is>
          <t>ScenarioDefinition</t>
        </is>
      </c>
      <c r="K22" s="9" t="str">
        <f>LOWER(CtryCode)&amp;".distn."&amp;$A22&amp;IF($B22="","","."&amp;$B22)&amp;IF($C22="","",".dec."&amp;$C22)&amp;"."&amp;K$5</f>
        <v>egy.distn.ExemptMostCook.1</v>
      </c>
      <c r="L22" s="10" t="str">
        <f>INDEX(ScenarioDefinition!$J$1:$AZ$526,$D22,MATCH(L$5,ScenarioDefinition!$J$5:$AZ$5,0))</f>
        <v>No</v>
      </c>
      <c r="M22" s="3" t="str">
        <f t="shared" ref="M22:V22" si="28">L22</f>
        <v>No</v>
      </c>
      <c r="N22" s="3" t="str">
        <f t="shared" si="28"/>
        <v>No</v>
      </c>
      <c r="O22" s="3" t="str">
        <f t="shared" si="28"/>
        <v>No</v>
      </c>
      <c r="P22" s="3" t="str">
        <f t="shared" si="28"/>
        <v>No</v>
      </c>
      <c r="Q22" s="3" t="str">
        <f t="shared" si="28"/>
        <v>No</v>
      </c>
      <c r="R22" s="3" t="str">
        <f t="shared" si="28"/>
        <v>No</v>
      </c>
      <c r="S22" s="3" t="str">
        <f t="shared" si="28"/>
        <v>No</v>
      </c>
      <c r="T22" s="3" t="str">
        <f t="shared" si="28"/>
        <v>No</v>
      </c>
      <c r="U22" s="3" t="str">
        <f t="shared" si="28"/>
        <v>No</v>
      </c>
      <c r="V22" s="3" t="str">
        <f t="shared" si="28"/>
        <v>No</v>
      </c>
      <c r="W22" s="201" t="str">
        <f>IF(X$5=K$5,SUM(Y22:AI22)-SUM(L22:V22),"")</f>
        <v/>
      </c>
      <c r="X22" s="9" t="str">
        <f>LOWER(CtryCode)&amp;".distn."&amp;$A22&amp;IF($B22="","","."&amp;$B22)&amp;IF($C22="","",".dec."&amp;$C22)&amp;"."&amp;X$5</f>
        <v>egy.distn.ExemptMostCook.2</v>
      </c>
      <c r="Y22" s="10" t="str">
        <f>INDEX(ScenarioDefinition!$J$1:$AZ$526,$D22,MATCH(Y$5,ScenarioDefinition!$J$5:$AZ$5,0))</f>
        <v>No</v>
      </c>
      <c r="Z22" s="3" t="str">
        <f t="shared" ref="Z22:AI22" si="29">Y22</f>
        <v>No</v>
      </c>
      <c r="AA22" s="3" t="str">
        <f t="shared" si="29"/>
        <v>No</v>
      </c>
      <c r="AB22" s="3" t="str">
        <f t="shared" si="29"/>
        <v>No</v>
      </c>
      <c r="AC22" s="3" t="str">
        <f t="shared" si="29"/>
        <v>No</v>
      </c>
      <c r="AD22" s="3" t="str">
        <f t="shared" si="29"/>
        <v>No</v>
      </c>
      <c r="AE22" s="3" t="str">
        <f t="shared" si="29"/>
        <v>No</v>
      </c>
      <c r="AF22" s="3" t="str">
        <f t="shared" si="29"/>
        <v>No</v>
      </c>
      <c r="AG22" s="3" t="str">
        <f t="shared" si="29"/>
        <v>No</v>
      </c>
      <c r="AH22" s="3" t="str">
        <f t="shared" si="29"/>
        <v>No</v>
      </c>
      <c r="AI22" s="3" t="str">
        <f t="shared" si="29"/>
        <v>No</v>
      </c>
    </row>
    <row r="23" hidden="1" outlineLevel="1">
      <c r="A23" s="44" t="inlineStr">
        <is>
          <t>ExemptCookDeciles</t>
        </is>
      </c>
      <c r="B23" s="3" t="inlineStr"/>
      <c r="C23" s="3" t="inlineStr"/>
      <c r="D23" s="39">
        <f>INDEX(MTRowNum,MATCH($A23&amp;"||",MTRowKey,0))</f>
        <v>313.0</v>
      </c>
      <c r="E23" s="3" t="n"/>
      <c r="H23" s="3" t="inlineStr">
        <is>
          <t>MTInputs: ExemptCookDeciles</t>
        </is>
      </c>
      <c r="I23" s="3" t="inlineStr"/>
      <c r="J23" s="118" t="inlineStr">
        <is>
          <t>ScenarioDefinition</t>
        </is>
      </c>
      <c r="K23" s="9" t="str">
        <f>LOWER(CtryCode)&amp;".distn."&amp;$A23&amp;IF($B23="","","."&amp;$B23)&amp;IF($C23="","",".dec."&amp;$C23)&amp;"."&amp;K$5</f>
        <v>egy.distn.ExemptCookDeciles.1</v>
      </c>
      <c r="L23" s="10">
        <f>INDEX(ScenarioDefinition!$J$1:$AZ$526,$D23,MATCH(L$5,ScenarioDefinition!$J$5:$AZ$5,0))</f>
        <v>4.0</v>
      </c>
      <c r="M23" s="3">
        <f t="shared" ref="M23:V23" si="30">L23</f>
        <v>4.0</v>
      </c>
      <c r="N23" s="3">
        <f t="shared" si="30"/>
        <v>4.0</v>
      </c>
      <c r="O23" s="3">
        <f t="shared" si="30"/>
        <v>4.0</v>
      </c>
      <c r="P23" s="3">
        <f t="shared" si="30"/>
        <v>4.0</v>
      </c>
      <c r="Q23" s="3">
        <f t="shared" si="30"/>
        <v>4.0</v>
      </c>
      <c r="R23" s="3">
        <f t="shared" si="30"/>
        <v>4.0</v>
      </c>
      <c r="S23" s="3">
        <f t="shared" si="30"/>
        <v>4.0</v>
      </c>
      <c r="T23" s="3">
        <f t="shared" si="30"/>
        <v>4.0</v>
      </c>
      <c r="U23" s="3">
        <f t="shared" si="30"/>
        <v>4.0</v>
      </c>
      <c r="V23" s="3">
        <f t="shared" si="30"/>
        <v>4.0</v>
      </c>
      <c r="W23" s="201" t="str">
        <f>IF(X$5=K$5,SUM(Y23:AI23)-SUM(L23:V23),"")</f>
        <v/>
      </c>
      <c r="X23" s="9" t="str">
        <f>LOWER(CtryCode)&amp;".distn."&amp;$A23&amp;IF($B23="","","."&amp;$B23)&amp;IF($C23="","",".dec."&amp;$C23)&amp;"."&amp;X$5</f>
        <v>egy.distn.ExemptCookDeciles.2</v>
      </c>
      <c r="Y23" s="10">
        <f>INDEX(ScenarioDefinition!$J$1:$AZ$526,$D23,MATCH(Y$5,ScenarioDefinition!$J$5:$AZ$5,0))</f>
        <v>4.0</v>
      </c>
      <c r="Z23" s="3">
        <f t="shared" ref="Z23:AI23" si="31">Y23</f>
        <v>4.0</v>
      </c>
      <c r="AA23" s="3">
        <f t="shared" si="31"/>
        <v>4.0</v>
      </c>
      <c r="AB23" s="3">
        <f t="shared" si="31"/>
        <v>4.0</v>
      </c>
      <c r="AC23" s="3">
        <f t="shared" si="31"/>
        <v>4.0</v>
      </c>
      <c r="AD23" s="3">
        <f t="shared" si="31"/>
        <v>4.0</v>
      </c>
      <c r="AE23" s="3">
        <f t="shared" si="31"/>
        <v>4.0</v>
      </c>
      <c r="AF23" s="3">
        <f t="shared" si="31"/>
        <v>4.0</v>
      </c>
      <c r="AG23" s="3">
        <f t="shared" si="31"/>
        <v>4.0</v>
      </c>
      <c r="AH23" s="3">
        <f t="shared" si="31"/>
        <v>4.0</v>
      </c>
      <c r="AI23" s="3">
        <f t="shared" si="31"/>
        <v>4.0</v>
      </c>
    </row>
    <row r="24" hidden="1" outlineLevel="1">
      <c r="A24" s="44" t="inlineStr">
        <is>
          <t>EXPLabortax</t>
        </is>
      </c>
      <c r="B24" s="3" t="inlineStr"/>
      <c r="C24" s="3" t="inlineStr"/>
      <c r="D24" s="39">
        <f>INDEX(MTRowNum,MATCH($A24&amp;"||",MTRowKey,0))</f>
        <v>197.0</v>
      </c>
      <c r="E24" s="3" t="n"/>
      <c r="H24" s="3" t="inlineStr">
        <is>
          <t>MTInputs: EXPLabortax</t>
        </is>
      </c>
      <c r="I24" s="3" t="inlineStr"/>
      <c r="J24" s="118" t="inlineStr">
        <is>
          <t>ScenarioDefinition</t>
        </is>
      </c>
      <c r="K24" s="9" t="str">
        <f>LOWER(CtryCode)&amp;".distn."&amp;$A24&amp;IF($B24="","","."&amp;$B24)&amp;IF($C24="","",".dec."&amp;$C24)&amp;"."&amp;K$5</f>
        <v>egy.distn.EXPLabortax.1</v>
      </c>
      <c r="L24" s="10">
        <f>INDEX(ScenarioDefinition!$J$1:$AZ$526,$D24,MATCH(L$5,ScenarioDefinition!$J$5:$AZ$5,0))</f>
        <v>30.0</v>
      </c>
      <c r="M24" s="3">
        <f t="shared" ref="M24:V24" si="32">L24</f>
        <v>30.0</v>
      </c>
      <c r="N24" s="3">
        <f t="shared" si="32"/>
        <v>30.0</v>
      </c>
      <c r="O24" s="3">
        <f t="shared" si="32"/>
        <v>30.0</v>
      </c>
      <c r="P24" s="3">
        <f t="shared" si="32"/>
        <v>30.0</v>
      </c>
      <c r="Q24" s="3">
        <f t="shared" si="32"/>
        <v>30.0</v>
      </c>
      <c r="R24" s="3">
        <f t="shared" si="32"/>
        <v>30.0</v>
      </c>
      <c r="S24" s="3">
        <f t="shared" si="32"/>
        <v>30.0</v>
      </c>
      <c r="T24" s="3">
        <f t="shared" si="32"/>
        <v>30.0</v>
      </c>
      <c r="U24" s="3">
        <f t="shared" si="32"/>
        <v>30.0</v>
      </c>
      <c r="V24" s="3">
        <f t="shared" si="32"/>
        <v>30.0</v>
      </c>
      <c r="W24" s="201" t="str">
        <f>IF(X$5=K$5,SUM(Y24:AI24)-SUM(L24:V24),"")</f>
        <v/>
      </c>
      <c r="X24" s="9" t="str">
        <f>LOWER(CtryCode)&amp;".distn."&amp;$A24&amp;IF($B24="","","."&amp;$B24)&amp;IF($C24="","",".dec."&amp;$C24)&amp;"."&amp;X$5</f>
        <v>egy.distn.EXPLabortax.2</v>
      </c>
      <c r="Y24" s="10">
        <f>INDEX(ScenarioDefinition!$J$1:$AZ$526,$D24,MATCH(Y$5,ScenarioDefinition!$J$5:$AZ$5,0))</f>
        <v>30.0</v>
      </c>
      <c r="Z24" s="3">
        <f t="shared" ref="Z24:AI24" si="33">Y24</f>
        <v>30.0</v>
      </c>
      <c r="AA24" s="3">
        <f t="shared" si="33"/>
        <v>30.0</v>
      </c>
      <c r="AB24" s="3">
        <f t="shared" si="33"/>
        <v>30.0</v>
      </c>
      <c r="AC24" s="3">
        <f t="shared" si="33"/>
        <v>30.0</v>
      </c>
      <c r="AD24" s="3">
        <f t="shared" si="33"/>
        <v>30.0</v>
      </c>
      <c r="AE24" s="3">
        <f t="shared" si="33"/>
        <v>30.0</v>
      </c>
      <c r="AF24" s="3">
        <f t="shared" si="33"/>
        <v>30.0</v>
      </c>
      <c r="AG24" s="3">
        <f t="shared" si="33"/>
        <v>30.0</v>
      </c>
      <c r="AH24" s="3">
        <f t="shared" si="33"/>
        <v>30.0</v>
      </c>
      <c r="AI24" s="3">
        <f t="shared" si="33"/>
        <v>30.0</v>
      </c>
    </row>
    <row r="25" hidden="1" outlineLevel="1">
      <c r="A25" s="44" t="inlineStr">
        <is>
          <t>EXPCapex</t>
        </is>
      </c>
      <c r="B25" s="3" t="inlineStr"/>
      <c r="C25" s="3" t="inlineStr"/>
      <c r="D25" s="39">
        <f>INDEX(MTRowNum,MATCH($A25&amp;"||",MTRowKey,0))</f>
        <v>199.0</v>
      </c>
      <c r="E25" s="3" t="n"/>
      <c r="H25" s="3" t="inlineStr">
        <is>
          <t>MTInputs: EXPCapex</t>
        </is>
      </c>
      <c r="I25" s="3" t="inlineStr"/>
      <c r="J25" s="118" t="inlineStr">
        <is>
          <t>ScenarioDefinition</t>
        </is>
      </c>
      <c r="K25" s="9" t="str">
        <f>LOWER(CtryCode)&amp;".distn."&amp;$A25&amp;IF($B25="","","."&amp;$B25)&amp;IF($C25="","",".dec."&amp;$C25)&amp;"."&amp;K$5</f>
        <v>egy.distn.EXPCapex.1</v>
      </c>
      <c r="L25" s="10">
        <f>INDEX(ScenarioDefinition!$J$1:$AZ$526,$D25,MATCH(L$5,ScenarioDefinition!$J$5:$AZ$5,0))</f>
        <v>50.0</v>
      </c>
      <c r="M25" s="3">
        <f t="shared" ref="M25:V25" si="34">L25</f>
        <v>50.0</v>
      </c>
      <c r="N25" s="3">
        <f t="shared" si="34"/>
        <v>50.0</v>
      </c>
      <c r="O25" s="3">
        <f t="shared" si="34"/>
        <v>50.0</v>
      </c>
      <c r="P25" s="3">
        <f t="shared" si="34"/>
        <v>50.0</v>
      </c>
      <c r="Q25" s="3">
        <f t="shared" si="34"/>
        <v>50.0</v>
      </c>
      <c r="R25" s="3">
        <f t="shared" si="34"/>
        <v>50.0</v>
      </c>
      <c r="S25" s="3">
        <f t="shared" si="34"/>
        <v>50.0</v>
      </c>
      <c r="T25" s="3">
        <f t="shared" si="34"/>
        <v>50.0</v>
      </c>
      <c r="U25" s="3">
        <f t="shared" si="34"/>
        <v>50.0</v>
      </c>
      <c r="V25" s="3">
        <f t="shared" si="34"/>
        <v>50.0</v>
      </c>
      <c r="W25" s="201" t="str">
        <f>IF(X$5=K$5,SUM(Y25:AI25)-SUM(L25:V25),"")</f>
        <v/>
      </c>
      <c r="X25" s="9" t="str">
        <f>LOWER(CtryCode)&amp;".distn."&amp;$A25&amp;IF($B25="","","."&amp;$B25)&amp;IF($C25="","",".dec."&amp;$C25)&amp;"."&amp;X$5</f>
        <v>egy.distn.EXPCapex.2</v>
      </c>
      <c r="Y25" s="10">
        <f>INDEX(ScenarioDefinition!$J$1:$AZ$526,$D25,MATCH(Y$5,ScenarioDefinition!$J$5:$AZ$5,0))</f>
        <v>50.0</v>
      </c>
      <c r="Z25" s="3">
        <f t="shared" ref="Z25:AI25" si="35">Y25</f>
        <v>50.0</v>
      </c>
      <c r="AA25" s="3">
        <f t="shared" si="35"/>
        <v>50.0</v>
      </c>
      <c r="AB25" s="3">
        <f t="shared" si="35"/>
        <v>50.0</v>
      </c>
      <c r="AC25" s="3">
        <f t="shared" si="35"/>
        <v>50.0</v>
      </c>
      <c r="AD25" s="3">
        <f t="shared" si="35"/>
        <v>50.0</v>
      </c>
      <c r="AE25" s="3">
        <f t="shared" si="35"/>
        <v>50.0</v>
      </c>
      <c r="AF25" s="3">
        <f t="shared" si="35"/>
        <v>50.0</v>
      </c>
      <c r="AG25" s="3">
        <f t="shared" si="35"/>
        <v>50.0</v>
      </c>
      <c r="AH25" s="3">
        <f t="shared" si="35"/>
        <v>50.0</v>
      </c>
      <c r="AI25" s="3">
        <f t="shared" si="35"/>
        <v>50.0</v>
      </c>
    </row>
    <row r="26" hidden="1" outlineLevel="1">
      <c r="A26" s="44" t="inlineStr">
        <is>
          <t>EXPGoodsandserv</t>
        </is>
      </c>
      <c r="B26" s="3" t="inlineStr"/>
      <c r="C26" s="3" t="inlineStr"/>
      <c r="D26" s="39">
        <f>INDEX(MTRowNum,MATCH($A26&amp;"||",MTRowKey,0))</f>
        <v>200.0</v>
      </c>
      <c r="E26" s="3" t="n"/>
      <c r="H26" s="3" t="inlineStr">
        <is>
          <t>MTInputs: EXPGoodsandserv</t>
        </is>
      </c>
      <c r="I26" s="3" t="inlineStr"/>
      <c r="J26" s="118" t="inlineStr">
        <is>
          <t>ScenarioDefinition</t>
        </is>
      </c>
      <c r="K26" s="9" t="str">
        <f>LOWER(CtryCode)&amp;".distn."&amp;$A26&amp;IF($B26="","","."&amp;$B26)&amp;IF($C26="","",".dec."&amp;$C26)&amp;"."&amp;K$5</f>
        <v>egy.distn.EXPGoodsandserv.1</v>
      </c>
      <c r="L26" s="10">
        <f>INDEX(ScenarioDefinition!$J$1:$AZ$526,$D26,MATCH(L$5,ScenarioDefinition!$J$5:$AZ$5,0))</f>
        <v>0.0</v>
      </c>
      <c r="M26" s="3">
        <f t="shared" ref="M26:V26" si="36">L26</f>
        <v>0.0</v>
      </c>
      <c r="N26" s="3">
        <f t="shared" si="36"/>
        <v>0.0</v>
      </c>
      <c r="O26" s="3">
        <f t="shared" si="36"/>
        <v>0.0</v>
      </c>
      <c r="P26" s="3">
        <f t="shared" si="36"/>
        <v>0.0</v>
      </c>
      <c r="Q26" s="3">
        <f t="shared" si="36"/>
        <v>0.0</v>
      </c>
      <c r="R26" s="3">
        <f t="shared" si="36"/>
        <v>0.0</v>
      </c>
      <c r="S26" s="3">
        <f t="shared" si="36"/>
        <v>0.0</v>
      </c>
      <c r="T26" s="3">
        <f t="shared" si="36"/>
        <v>0.0</v>
      </c>
      <c r="U26" s="3">
        <f t="shared" si="36"/>
        <v>0.0</v>
      </c>
      <c r="V26" s="3">
        <f t="shared" si="36"/>
        <v>0.0</v>
      </c>
      <c r="W26" s="201" t="str">
        <f>IF(X$5=K$5,SUM(Y26:AI26)-SUM(L26:V26),"")</f>
        <v/>
      </c>
      <c r="X26" s="9" t="str">
        <f>LOWER(CtryCode)&amp;".distn."&amp;$A26&amp;IF($B26="","","."&amp;$B26)&amp;IF($C26="","",".dec."&amp;$C26)&amp;"."&amp;X$5</f>
        <v>egy.distn.EXPGoodsandserv.2</v>
      </c>
      <c r="Y26" s="10">
        <f>INDEX(ScenarioDefinition!$J$1:$AZ$526,$D26,MATCH(Y$5,ScenarioDefinition!$J$5:$AZ$5,0))</f>
        <v>0.0</v>
      </c>
      <c r="Z26" s="3">
        <f t="shared" ref="Z26:AI26" si="37">Y26</f>
        <v>0.0</v>
      </c>
      <c r="AA26" s="3">
        <f t="shared" si="37"/>
        <v>0.0</v>
      </c>
      <c r="AB26" s="3">
        <f t="shared" si="37"/>
        <v>0.0</v>
      </c>
      <c r="AC26" s="3">
        <f t="shared" si="37"/>
        <v>0.0</v>
      </c>
      <c r="AD26" s="3">
        <f t="shared" si="37"/>
        <v>0.0</v>
      </c>
      <c r="AE26" s="3">
        <f t="shared" si="37"/>
        <v>0.0</v>
      </c>
      <c r="AF26" s="3">
        <f t="shared" si="37"/>
        <v>0.0</v>
      </c>
      <c r="AG26" s="3">
        <f t="shared" si="37"/>
        <v>0.0</v>
      </c>
      <c r="AH26" s="3">
        <f t="shared" si="37"/>
        <v>0.0</v>
      </c>
      <c r="AI26" s="3">
        <f t="shared" si="37"/>
        <v>0.0</v>
      </c>
    </row>
    <row r="27" hidden="1" outlineLevel="1">
      <c r="A27" s="44" t="inlineStr">
        <is>
          <t>EXPTransfers</t>
        </is>
      </c>
      <c r="B27" s="3" t="inlineStr"/>
      <c r="C27" s="3" t="inlineStr"/>
      <c r="D27" s="39">
        <f>INDEX(MTRowNum,MATCH($A27&amp;"||",MTRowKey,0))</f>
        <v>201.0</v>
      </c>
      <c r="E27" s="3" t="n"/>
      <c r="H27" s="3" t="inlineStr">
        <is>
          <t>MTInputs: EXPTransfers</t>
        </is>
      </c>
      <c r="I27" s="3" t="inlineStr"/>
      <c r="J27" s="118" t="inlineStr">
        <is>
          <t>ScenarioDefinition</t>
        </is>
      </c>
      <c r="K27" s="9" t="str">
        <f>LOWER(CtryCode)&amp;".distn."&amp;$A27&amp;IF($B27="","","."&amp;$B27)&amp;IF($C27="","",".dec."&amp;$C27)&amp;"."&amp;K$5</f>
        <v>egy.distn.EXPTransfers.1</v>
      </c>
      <c r="L27" s="10">
        <f>INDEX(ScenarioDefinition!$J$1:$AZ$526,$D27,MATCH(L$5,ScenarioDefinition!$J$5:$AZ$5,0))</f>
        <v>20.0</v>
      </c>
      <c r="M27" s="3">
        <f t="shared" ref="M27:V27" si="38">L27</f>
        <v>20.0</v>
      </c>
      <c r="N27" s="3">
        <f t="shared" si="38"/>
        <v>20.0</v>
      </c>
      <c r="O27" s="3">
        <f t="shared" si="38"/>
        <v>20.0</v>
      </c>
      <c r="P27" s="3">
        <f t="shared" si="38"/>
        <v>20.0</v>
      </c>
      <c r="Q27" s="3">
        <f t="shared" si="38"/>
        <v>20.0</v>
      </c>
      <c r="R27" s="3">
        <f t="shared" si="38"/>
        <v>20.0</v>
      </c>
      <c r="S27" s="3">
        <f t="shared" si="38"/>
        <v>20.0</v>
      </c>
      <c r="T27" s="3">
        <f t="shared" si="38"/>
        <v>20.0</v>
      </c>
      <c r="U27" s="3">
        <f t="shared" si="38"/>
        <v>20.0</v>
      </c>
      <c r="V27" s="3">
        <f t="shared" si="38"/>
        <v>20.0</v>
      </c>
      <c r="W27" s="201" t="str">
        <f>IF(X$5=K$5,SUM(Y27:AI27)-SUM(L27:V27),"")</f>
        <v/>
      </c>
      <c r="X27" s="9" t="str">
        <f>LOWER(CtryCode)&amp;".distn."&amp;$A27&amp;IF($B27="","","."&amp;$B27)&amp;IF($C27="","",".dec."&amp;$C27)&amp;"."&amp;X$5</f>
        <v>egy.distn.EXPTransfers.2</v>
      </c>
      <c r="Y27" s="10">
        <f>INDEX(ScenarioDefinition!$J$1:$AZ$526,$D27,MATCH(Y$5,ScenarioDefinition!$J$5:$AZ$5,0))</f>
        <v>20.0</v>
      </c>
      <c r="Z27" s="3">
        <f t="shared" ref="Z27:AI27" si="39">Y27</f>
        <v>20.0</v>
      </c>
      <c r="AA27" s="3">
        <f t="shared" si="39"/>
        <v>20.0</v>
      </c>
      <c r="AB27" s="3">
        <f t="shared" si="39"/>
        <v>20.0</v>
      </c>
      <c r="AC27" s="3">
        <f t="shared" si="39"/>
        <v>20.0</v>
      </c>
      <c r="AD27" s="3">
        <f t="shared" si="39"/>
        <v>20.0</v>
      </c>
      <c r="AE27" s="3">
        <f t="shared" si="39"/>
        <v>20.0</v>
      </c>
      <c r="AF27" s="3">
        <f t="shared" si="39"/>
        <v>20.0</v>
      </c>
      <c r="AG27" s="3">
        <f t="shared" si="39"/>
        <v>20.0</v>
      </c>
      <c r="AH27" s="3">
        <f t="shared" si="39"/>
        <v>20.0</v>
      </c>
      <c r="AI27" s="3">
        <f t="shared" si="39"/>
        <v>20.0</v>
      </c>
    </row>
    <row r="28" hidden="1" outlineLevel="1">
      <c r="A28" s="44" t="inlineStr">
        <is>
          <t>PITReductionType</t>
        </is>
      </c>
      <c r="B28" s="3" t="inlineStr"/>
      <c r="C28" s="3" t="inlineStr"/>
      <c r="D28" s="39">
        <f>INDEX(MTRowNum,MATCH($A28&amp;"||",MTRowKey,0))</f>
        <v>309.0</v>
      </c>
      <c r="E28" s="3" t="n"/>
      <c r="H28" s="3" t="inlineStr">
        <is>
          <t>MTInputs: PITReductionType</t>
        </is>
      </c>
      <c r="I28" s="3" t="inlineStr"/>
      <c r="J28" s="118" t="inlineStr">
        <is>
          <t>ScenarioDefinition</t>
        </is>
      </c>
      <c r="K28" s="9" t="str">
        <f>LOWER(CtryCode)&amp;".distn."&amp;$A28&amp;IF($B28="","","."&amp;$B28)&amp;IF($C28="","",".dec."&amp;$C28)&amp;"."&amp;K$5</f>
        <v>egy.distn.PITReductionType.1</v>
      </c>
      <c r="L28" s="10" t="str">
        <f>INDEX(ScenarioDefinition!$J$1:$AZ$526,$D28,MATCH(L$5,ScenarioDefinition!$J$5:$AZ$5,0))</f>
        <v>Personal Allowance</v>
      </c>
      <c r="M28" s="3" t="str">
        <f t="shared" ref="M28:V28" si="40">L28</f>
        <v>Personal Allowance</v>
      </c>
      <c r="N28" s="3" t="str">
        <f t="shared" si="40"/>
        <v>Personal Allowance</v>
      </c>
      <c r="O28" s="3" t="str">
        <f t="shared" si="40"/>
        <v>Personal Allowance</v>
      </c>
      <c r="P28" s="3" t="str">
        <f t="shared" si="40"/>
        <v>Personal Allowance</v>
      </c>
      <c r="Q28" s="3" t="str">
        <f t="shared" si="40"/>
        <v>Personal Allowance</v>
      </c>
      <c r="R28" s="3" t="str">
        <f t="shared" si="40"/>
        <v>Personal Allowance</v>
      </c>
      <c r="S28" s="3" t="str">
        <f t="shared" si="40"/>
        <v>Personal Allowance</v>
      </c>
      <c r="T28" s="3" t="str">
        <f t="shared" si="40"/>
        <v>Personal Allowance</v>
      </c>
      <c r="U28" s="3" t="str">
        <f t="shared" si="40"/>
        <v>Personal Allowance</v>
      </c>
      <c r="V28" s="3" t="str">
        <f t="shared" si="40"/>
        <v>Personal Allowance</v>
      </c>
      <c r="W28" s="201" t="str">
        <f>IF(X$5=K$5,SUM(Y28:AI28)-SUM(L28:V28),"")</f>
        <v/>
      </c>
      <c r="X28" s="9" t="str">
        <f>LOWER(CtryCode)&amp;".distn."&amp;$A28&amp;IF($B28="","","."&amp;$B28)&amp;IF($C28="","",".dec."&amp;$C28)&amp;"."&amp;X$5</f>
        <v>egy.distn.PITReductionType.2</v>
      </c>
      <c r="Y28" s="10" t="str">
        <f>INDEX(ScenarioDefinition!$J$1:$AZ$526,$D28,MATCH(Y$5,ScenarioDefinition!$J$5:$AZ$5,0))</f>
        <v>Personal Allowance</v>
      </c>
      <c r="Z28" s="3" t="str">
        <f t="shared" ref="Z28:AI28" si="41">Y28</f>
        <v>Personal Allowance</v>
      </c>
      <c r="AA28" s="3" t="str">
        <f t="shared" si="41"/>
        <v>Personal Allowance</v>
      </c>
      <c r="AB28" s="3" t="str">
        <f t="shared" si="41"/>
        <v>Personal Allowance</v>
      </c>
      <c r="AC28" s="3" t="str">
        <f t="shared" si="41"/>
        <v>Personal Allowance</v>
      </c>
      <c r="AD28" s="3" t="str">
        <f t="shared" si="41"/>
        <v>Personal Allowance</v>
      </c>
      <c r="AE28" s="3" t="str">
        <f t="shared" si="41"/>
        <v>Personal Allowance</v>
      </c>
      <c r="AF28" s="3" t="str">
        <f t="shared" si="41"/>
        <v>Personal Allowance</v>
      </c>
      <c r="AG28" s="3" t="str">
        <f t="shared" si="41"/>
        <v>Personal Allowance</v>
      </c>
      <c r="AH28" s="3" t="str">
        <f t="shared" si="41"/>
        <v>Personal Allowance</v>
      </c>
      <c r="AI28" s="3" t="str">
        <f t="shared" si="41"/>
        <v>Personal Allowance</v>
      </c>
    </row>
    <row r="29" hidden="1" outlineLevel="1">
      <c r="A29" s="44" t="inlineStr">
        <is>
          <t>DistExcCfDec</t>
        </is>
      </c>
      <c r="B29" s="3" t="inlineStr"/>
      <c r="C29" s="3" t="inlineStr"/>
      <c r="D29" s="39">
        <f>INDEX(MTRowNum,MATCH($A29&amp;"||",MTRowKey,0))</f>
        <v>310.0</v>
      </c>
      <c r="E29" s="3" t="n"/>
      <c r="H29" s="3" t="inlineStr">
        <is>
          <t>MTInputs: DistExcCfDec</t>
        </is>
      </c>
      <c r="I29" s="3" t="inlineStr"/>
      <c r="J29" s="118" t="inlineStr">
        <is>
          <t>ScenarioDefinition</t>
        </is>
      </c>
      <c r="K29" s="9" t="str">
        <f>LOWER(CtryCode)&amp;".distn."&amp;$A29&amp;IF($B29="","","."&amp;$B29)&amp;IF($C29="","",".dec."&amp;$C29)&amp;"."&amp;K$5</f>
        <v>egy.distn.DistExcCfDec.1</v>
      </c>
      <c r="L29" s="10">
        <f>INDEX(ScenarioDefinition!$J$1:$AZ$526,$D29,MATCH(L$5,ScenarioDefinition!$J$5:$AZ$5,0))</f>
        <v>4.0</v>
      </c>
      <c r="M29" s="3">
        <f t="shared" ref="M29:V29" si="42">L29</f>
        <v>4.0</v>
      </c>
      <c r="N29" s="3">
        <f t="shared" si="42"/>
        <v>4.0</v>
      </c>
      <c r="O29" s="3">
        <f t="shared" si="42"/>
        <v>4.0</v>
      </c>
      <c r="P29" s="3">
        <f t="shared" si="42"/>
        <v>4.0</v>
      </c>
      <c r="Q29" s="3">
        <f t="shared" si="42"/>
        <v>4.0</v>
      </c>
      <c r="R29" s="3">
        <f t="shared" si="42"/>
        <v>4.0</v>
      </c>
      <c r="S29" s="3">
        <f t="shared" si="42"/>
        <v>4.0</v>
      </c>
      <c r="T29" s="3">
        <f t="shared" si="42"/>
        <v>4.0</v>
      </c>
      <c r="U29" s="3">
        <f t="shared" si="42"/>
        <v>4.0</v>
      </c>
      <c r="V29" s="3">
        <f t="shared" si="42"/>
        <v>4.0</v>
      </c>
      <c r="W29" s="201" t="str">
        <f>IF(X$5=K$5,SUM(Y29:AI29)-SUM(L29:V29),"")</f>
        <v/>
      </c>
      <c r="X29" s="9" t="str">
        <f>LOWER(CtryCode)&amp;".distn."&amp;$A29&amp;IF($B29="","","."&amp;$B29)&amp;IF($C29="","",".dec."&amp;$C29)&amp;"."&amp;X$5</f>
        <v>egy.distn.DistExcCfDec.2</v>
      </c>
      <c r="Y29" s="10">
        <f>INDEX(ScenarioDefinition!$J$1:$AZ$526,$D29,MATCH(Y$5,ScenarioDefinition!$J$5:$AZ$5,0))</f>
        <v>4.0</v>
      </c>
      <c r="Z29" s="3">
        <f t="shared" ref="Z29:AI29" si="43">Y29</f>
        <v>4.0</v>
      </c>
      <c r="AA29" s="3">
        <f t="shared" si="43"/>
        <v>4.0</v>
      </c>
      <c r="AB29" s="3">
        <f t="shared" si="43"/>
        <v>4.0</v>
      </c>
      <c r="AC29" s="3">
        <f t="shared" si="43"/>
        <v>4.0</v>
      </c>
      <c r="AD29" s="3">
        <f t="shared" si="43"/>
        <v>4.0</v>
      </c>
      <c r="AE29" s="3">
        <f t="shared" si="43"/>
        <v>4.0</v>
      </c>
      <c r="AF29" s="3">
        <f t="shared" si="43"/>
        <v>4.0</v>
      </c>
      <c r="AG29" s="3">
        <f t="shared" si="43"/>
        <v>4.0</v>
      </c>
      <c r="AH29" s="3">
        <f t="shared" si="43"/>
        <v>4.0</v>
      </c>
      <c r="AI29" s="3">
        <f t="shared" si="43"/>
        <v>4.0</v>
      </c>
    </row>
    <row r="30" hidden="1" outlineLevel="1">
      <c r="A30" s="44" t="inlineStr">
        <is>
          <t>MissingDataReplacement</t>
        </is>
      </c>
      <c r="B30" s="3" t="inlineStr"/>
      <c r="C30" s="3" t="inlineStr"/>
      <c r="D30" s="39">
        <f>INDEX(MTRowNum,MATCH($A30&amp;"||",MTRowKey,0))</f>
        <v>311.0</v>
      </c>
      <c r="E30" s="3" t="n"/>
      <c r="H30" s="3" t="inlineStr">
        <is>
          <t>MTInputs: MissingDataReplacement</t>
        </is>
      </c>
      <c r="I30" s="3" t="inlineStr"/>
      <c r="J30" s="118" t="inlineStr">
        <is>
          <t>ScenarioDefinition</t>
        </is>
      </c>
      <c r="K30" s="9" t="str">
        <f>LOWER(CtryCode)&amp;".distn."&amp;$A30&amp;IF($B30="","","."&amp;$B30)&amp;IF($C30="","",".dec."&amp;$C30)&amp;"."&amp;K$5</f>
        <v>egy.distn.MissingDataReplacement.1</v>
      </c>
      <c r="L30" s="10" t="str">
        <f>INDEX(ScenarioDefinition!$J$1:$AZ$526,$D30,MATCH(L$5,ScenarioDefinition!$J$5:$AZ$5,0))</f>
        <v>income</v>
      </c>
      <c r="M30" s="3" t="str">
        <f t="shared" ref="M30:V30" si="44">L30</f>
        <v>income</v>
      </c>
      <c r="N30" s="3" t="str">
        <f t="shared" si="44"/>
        <v>income</v>
      </c>
      <c r="O30" s="3" t="str">
        <f t="shared" si="44"/>
        <v>income</v>
      </c>
      <c r="P30" s="3" t="str">
        <f t="shared" si="44"/>
        <v>income</v>
      </c>
      <c r="Q30" s="3" t="str">
        <f t="shared" si="44"/>
        <v>income</v>
      </c>
      <c r="R30" s="3" t="str">
        <f t="shared" si="44"/>
        <v>income</v>
      </c>
      <c r="S30" s="3" t="str">
        <f t="shared" si="44"/>
        <v>income</v>
      </c>
      <c r="T30" s="3" t="str">
        <f t="shared" si="44"/>
        <v>income</v>
      </c>
      <c r="U30" s="3" t="str">
        <f t="shared" si="44"/>
        <v>income</v>
      </c>
      <c r="V30" s="3" t="str">
        <f t="shared" si="44"/>
        <v>income</v>
      </c>
      <c r="W30" s="201" t="str">
        <f>IF(X$5=K$5,SUM(Y30:AI30)-SUM(L30:V30),"")</f>
        <v/>
      </c>
      <c r="X30" s="9" t="str">
        <f>LOWER(CtryCode)&amp;".distn."&amp;$A30&amp;IF($B30="","","."&amp;$B30)&amp;IF($C30="","",".dec."&amp;$C30)&amp;"."&amp;X$5</f>
        <v>egy.distn.MissingDataReplacement.2</v>
      </c>
      <c r="Y30" s="10" t="str">
        <f>INDEX(ScenarioDefinition!$J$1:$AZ$526,$D30,MATCH(Y$5,ScenarioDefinition!$J$5:$AZ$5,0))</f>
        <v>income</v>
      </c>
      <c r="Z30" s="3" t="str">
        <f t="shared" ref="Z30:AI30" si="45">Y30</f>
        <v>income</v>
      </c>
      <c r="AA30" s="3" t="str">
        <f t="shared" si="45"/>
        <v>income</v>
      </c>
      <c r="AB30" s="3" t="str">
        <f t="shared" si="45"/>
        <v>income</v>
      </c>
      <c r="AC30" s="3" t="str">
        <f t="shared" si="45"/>
        <v>income</v>
      </c>
      <c r="AD30" s="3" t="str">
        <f t="shared" si="45"/>
        <v>income</v>
      </c>
      <c r="AE30" s="3" t="str">
        <f t="shared" si="45"/>
        <v>income</v>
      </c>
      <c r="AF30" s="3" t="str">
        <f t="shared" si="45"/>
        <v>income</v>
      </c>
      <c r="AG30" s="3" t="str">
        <f t="shared" si="45"/>
        <v>income</v>
      </c>
      <c r="AH30" s="3" t="str">
        <f t="shared" si="45"/>
        <v>income</v>
      </c>
      <c r="AI30" s="3" t="str">
        <f t="shared" si="45"/>
        <v>income</v>
      </c>
    </row>
    <row r="31" hidden="1" outlineLevel="1">
      <c r="A31" s="44" t="inlineStr">
        <is>
          <t>TransferType</t>
        </is>
      </c>
      <c r="B31" s="3" t="inlineStr"/>
      <c r="C31" s="3" t="inlineStr"/>
      <c r="D31" s="39">
        <f>INDEX(MTRowNum,MATCH($A31&amp;"||",MTRowKey,0))</f>
        <v>305.0</v>
      </c>
      <c r="E31" s="3" t="n"/>
      <c r="H31" s="3" t="inlineStr">
        <is>
          <t>MTInputs: TransferType</t>
        </is>
      </c>
      <c r="I31" s="3" t="inlineStr"/>
      <c r="J31" s="118" t="inlineStr">
        <is>
          <t>ScenarioDefinition</t>
        </is>
      </c>
      <c r="K31" s="9" t="str">
        <f>LOWER(CtryCode)&amp;".distn."&amp;$A31&amp;IF($B31="","","."&amp;$B31)&amp;IF($C31="","",".dec."&amp;$C31)&amp;"."&amp;K$5</f>
        <v>egy.distn.TransferType.1</v>
      </c>
      <c r="L31" s="10" t="str">
        <f>INDEX(ScenarioDefinition!$J$1:$AZ$526,$D31,MATCH(L$5,ScenarioDefinition!$J$5:$AZ$5,0))</f>
        <v>Cash</v>
      </c>
      <c r="M31" s="3" t="str">
        <f t="shared" ref="M31:V31" si="46">L31</f>
        <v>Cash</v>
      </c>
      <c r="N31" s="3" t="str">
        <f t="shared" si="46"/>
        <v>Cash</v>
      </c>
      <c r="O31" s="3" t="str">
        <f t="shared" si="46"/>
        <v>Cash</v>
      </c>
      <c r="P31" s="3" t="str">
        <f t="shared" si="46"/>
        <v>Cash</v>
      </c>
      <c r="Q31" s="3" t="str">
        <f t="shared" si="46"/>
        <v>Cash</v>
      </c>
      <c r="R31" s="3" t="str">
        <f t="shared" si="46"/>
        <v>Cash</v>
      </c>
      <c r="S31" s="3" t="str">
        <f t="shared" si="46"/>
        <v>Cash</v>
      </c>
      <c r="T31" s="3" t="str">
        <f t="shared" si="46"/>
        <v>Cash</v>
      </c>
      <c r="U31" s="3" t="str">
        <f t="shared" si="46"/>
        <v>Cash</v>
      </c>
      <c r="V31" s="3" t="str">
        <f t="shared" si="46"/>
        <v>Cash</v>
      </c>
      <c r="W31" s="201" t="str">
        <f>IF(X$5=K$5,SUM(Y31:AI31)-SUM(L31:V31),"")</f>
        <v/>
      </c>
      <c r="X31" s="9" t="str">
        <f>LOWER(CtryCode)&amp;".distn."&amp;$A31&amp;IF($B31="","","."&amp;$B31)&amp;IF($C31="","",".dec."&amp;$C31)&amp;"."&amp;X$5</f>
        <v>egy.distn.TransferType.2</v>
      </c>
      <c r="Y31" s="10" t="str">
        <f>INDEX(ScenarioDefinition!$J$1:$AZ$526,$D31,MATCH(Y$5,ScenarioDefinition!$J$5:$AZ$5,0))</f>
        <v>Cash</v>
      </c>
      <c r="Z31" s="3" t="str">
        <f t="shared" ref="Z31:AI31" si="47">Y31</f>
        <v>Cash</v>
      </c>
      <c r="AA31" s="3" t="str">
        <f t="shared" si="47"/>
        <v>Cash</v>
      </c>
      <c r="AB31" s="3" t="str">
        <f t="shared" si="47"/>
        <v>Cash</v>
      </c>
      <c r="AC31" s="3" t="str">
        <f t="shared" si="47"/>
        <v>Cash</v>
      </c>
      <c r="AD31" s="3" t="str">
        <f t="shared" si="47"/>
        <v>Cash</v>
      </c>
      <c r="AE31" s="3" t="str">
        <f t="shared" si="47"/>
        <v>Cash</v>
      </c>
      <c r="AF31" s="3" t="str">
        <f t="shared" si="47"/>
        <v>Cash</v>
      </c>
      <c r="AG31" s="3" t="str">
        <f t="shared" si="47"/>
        <v>Cash</v>
      </c>
      <c r="AH31" s="3" t="str">
        <f t="shared" si="47"/>
        <v>Cash</v>
      </c>
      <c r="AI31" s="3" t="str">
        <f t="shared" si="47"/>
        <v>Cash</v>
      </c>
    </row>
    <row r="32" hidden="1" outlineLevel="1">
      <c r="A32" s="44" t="inlineStr">
        <is>
          <t>TargetBelow</t>
        </is>
      </c>
      <c r="B32" s="3" t="inlineStr"/>
      <c r="C32" s="3" t="inlineStr"/>
      <c r="D32" s="39">
        <f>INDEX(MTRowNum,MATCH($A32&amp;"||",MTRowKey,0))</f>
        <v>306.0</v>
      </c>
      <c r="E32" s="3" t="n"/>
      <c r="H32" s="3" t="inlineStr">
        <is>
          <t>MTInputs: TargetBelow</t>
        </is>
      </c>
      <c r="I32" s="3" t="inlineStr"/>
      <c r="J32" s="118" t="inlineStr">
        <is>
          <t>ScenarioDefinition</t>
        </is>
      </c>
      <c r="K32" s="9" t="str">
        <f>LOWER(CtryCode)&amp;".distn."&amp;$A32&amp;IF($B32="","","."&amp;$B32)&amp;IF($C32="","",".dec."&amp;$C32)&amp;"."&amp;K$5</f>
        <v>egy.distn.TargetBelow.1</v>
      </c>
      <c r="L32" s="10" t="str">
        <f>INDEX(ScenarioDefinition!$J$1:$AZ$526,$D32,MATCH(L$5,ScenarioDefinition!$J$5:$AZ$5,0))</f>
        <v>No</v>
      </c>
      <c r="M32" s="3" t="str">
        <f t="shared" ref="M32:V32" si="48">L32</f>
        <v>No</v>
      </c>
      <c r="N32" s="3" t="str">
        <f t="shared" si="48"/>
        <v>No</v>
      </c>
      <c r="O32" s="3" t="str">
        <f t="shared" si="48"/>
        <v>No</v>
      </c>
      <c r="P32" s="3" t="str">
        <f t="shared" si="48"/>
        <v>No</v>
      </c>
      <c r="Q32" s="3" t="str">
        <f t="shared" si="48"/>
        <v>No</v>
      </c>
      <c r="R32" s="3" t="str">
        <f t="shared" si="48"/>
        <v>No</v>
      </c>
      <c r="S32" s="3" t="str">
        <f t="shared" si="48"/>
        <v>No</v>
      </c>
      <c r="T32" s="3" t="str">
        <f t="shared" si="48"/>
        <v>No</v>
      </c>
      <c r="U32" s="3" t="str">
        <f t="shared" si="48"/>
        <v>No</v>
      </c>
      <c r="V32" s="3" t="str">
        <f t="shared" si="48"/>
        <v>No</v>
      </c>
      <c r="W32" s="201" t="str">
        <f>IF(X$5=K$5,SUM(Y32:AI32)-SUM(L32:V32),"")</f>
        <v/>
      </c>
      <c r="X32" s="9" t="str">
        <f>LOWER(CtryCode)&amp;".distn."&amp;$A32&amp;IF($B32="","","."&amp;$B32)&amp;IF($C32="","",".dec."&amp;$C32)&amp;"."&amp;X$5</f>
        <v>egy.distn.TargetBelow.2</v>
      </c>
      <c r="Y32" s="10" t="str">
        <f>INDEX(ScenarioDefinition!$J$1:$AZ$526,$D32,MATCH(Y$5,ScenarioDefinition!$J$5:$AZ$5,0))</f>
        <v>No</v>
      </c>
      <c r="Z32" s="3" t="str">
        <f t="shared" ref="Z32:AI32" si="49">Y32</f>
        <v>No</v>
      </c>
      <c r="AA32" s="3" t="str">
        <f t="shared" si="49"/>
        <v>No</v>
      </c>
      <c r="AB32" s="3" t="str">
        <f t="shared" si="49"/>
        <v>No</v>
      </c>
      <c r="AC32" s="3" t="str">
        <f t="shared" si="49"/>
        <v>No</v>
      </c>
      <c r="AD32" s="3" t="str">
        <f t="shared" si="49"/>
        <v>No</v>
      </c>
      <c r="AE32" s="3" t="str">
        <f t="shared" si="49"/>
        <v>No</v>
      </c>
      <c r="AF32" s="3" t="str">
        <f t="shared" si="49"/>
        <v>No</v>
      </c>
      <c r="AG32" s="3" t="str">
        <f t="shared" si="49"/>
        <v>No</v>
      </c>
      <c r="AH32" s="3" t="str">
        <f t="shared" si="49"/>
        <v>No</v>
      </c>
      <c r="AI32" s="3" t="str">
        <f t="shared" si="49"/>
        <v>No</v>
      </c>
    </row>
    <row r="33" hidden="1" outlineLevel="1">
      <c r="A33" s="44" t="inlineStr">
        <is>
          <t>TargettedPercentile</t>
        </is>
      </c>
      <c r="B33" s="3" t="inlineStr"/>
      <c r="C33" s="3" t="inlineStr"/>
      <c r="D33" s="39">
        <f>INDEX(MTRowNum,MATCH($A33&amp;"||",MTRowKey,0))</f>
        <v>203.0</v>
      </c>
      <c r="E33" s="3" t="n"/>
      <c r="H33" s="3" t="inlineStr">
        <is>
          <t>MTInputs: TargettedPercentile</t>
        </is>
      </c>
      <c r="I33" s="3" t="inlineStr"/>
      <c r="J33" s="118" t="inlineStr">
        <is>
          <t>ScenarioDefinition</t>
        </is>
      </c>
      <c r="K33" s="9" t="str">
        <f>LOWER(CtryCode)&amp;".distn."&amp;$A33&amp;IF($B33="","","."&amp;$B33)&amp;IF($C33="","",".dec."&amp;$C33)&amp;"."&amp;K$5</f>
        <v>egy.distn.TargettedPercentile.1</v>
      </c>
      <c r="L33" s="10">
        <f>INDEX(ScenarioDefinition!$J$1:$AZ$526,$D33,MATCH(L$5,ScenarioDefinition!$J$5:$AZ$5,0))</f>
        <v>40.0</v>
      </c>
      <c r="M33" s="3">
        <f t="shared" ref="M33:V33" si="50">L33</f>
        <v>40.0</v>
      </c>
      <c r="N33" s="3">
        <f t="shared" si="50"/>
        <v>40.0</v>
      </c>
      <c r="O33" s="3">
        <f t="shared" si="50"/>
        <v>40.0</v>
      </c>
      <c r="P33" s="3">
        <f t="shared" si="50"/>
        <v>40.0</v>
      </c>
      <c r="Q33" s="3">
        <f t="shared" si="50"/>
        <v>40.0</v>
      </c>
      <c r="R33" s="3">
        <f t="shared" si="50"/>
        <v>40.0</v>
      </c>
      <c r="S33" s="3">
        <f t="shared" si="50"/>
        <v>40.0</v>
      </c>
      <c r="T33" s="3">
        <f t="shared" si="50"/>
        <v>40.0</v>
      </c>
      <c r="U33" s="3">
        <f t="shared" si="50"/>
        <v>40.0</v>
      </c>
      <c r="V33" s="3">
        <f t="shared" si="50"/>
        <v>40.0</v>
      </c>
      <c r="W33" s="201" t="str">
        <f>IF(X$5=K$5,SUM(Y33:AI33)-SUM(L33:V33),"")</f>
        <v/>
      </c>
      <c r="X33" s="9" t="str">
        <f>LOWER(CtryCode)&amp;".distn."&amp;$A33&amp;IF($B33="","","."&amp;$B33)&amp;IF($C33="","",".dec."&amp;$C33)&amp;"."&amp;X$5</f>
        <v>egy.distn.TargettedPercentile.2</v>
      </c>
      <c r="Y33" s="10">
        <f>INDEX(ScenarioDefinition!$J$1:$AZ$526,$D33,MATCH(Y$5,ScenarioDefinition!$J$5:$AZ$5,0))</f>
        <v>40.0</v>
      </c>
      <c r="Z33" s="3">
        <f t="shared" ref="Z33:AI33" si="51">Y33</f>
        <v>40.0</v>
      </c>
      <c r="AA33" s="3">
        <f t="shared" si="51"/>
        <v>40.0</v>
      </c>
      <c r="AB33" s="3">
        <f t="shared" si="51"/>
        <v>40.0</v>
      </c>
      <c r="AC33" s="3">
        <f t="shared" si="51"/>
        <v>40.0</v>
      </c>
      <c r="AD33" s="3">
        <f t="shared" si="51"/>
        <v>40.0</v>
      </c>
      <c r="AE33" s="3">
        <f t="shared" si="51"/>
        <v>40.0</v>
      </c>
      <c r="AF33" s="3">
        <f t="shared" si="51"/>
        <v>40.0</v>
      </c>
      <c r="AG33" s="3">
        <f t="shared" si="51"/>
        <v>40.0</v>
      </c>
      <c r="AH33" s="3">
        <f t="shared" si="51"/>
        <v>40.0</v>
      </c>
      <c r="AI33" s="3">
        <f t="shared" si="51"/>
        <v>40.0</v>
      </c>
    </row>
    <row r="34" hidden="1" outlineLevel="1">
      <c r="A34" s="44" t="inlineStr">
        <is>
          <t>CoverageRate</t>
        </is>
      </c>
      <c r="B34" s="3" t="inlineStr"/>
      <c r="C34" s="3" t="inlineStr"/>
      <c r="D34" s="39">
        <f>INDEX(MTRowNum,MATCH($A34&amp;"||",MTRowKey,0))</f>
        <v>204.0</v>
      </c>
      <c r="E34" s="3" t="n"/>
      <c r="H34" s="3" t="inlineStr">
        <is>
          <t>MTInputs: CoverageRate</t>
        </is>
      </c>
      <c r="I34" s="3" t="inlineStr"/>
      <c r="J34" s="118" t="inlineStr">
        <is>
          <t>ScenarioDefinition</t>
        </is>
      </c>
      <c r="K34" s="9" t="str">
        <f>LOWER(CtryCode)&amp;".distn."&amp;$A34&amp;IF($B34="","","."&amp;$B34)&amp;IF($C34="","",".dec."&amp;$C34)&amp;"."&amp;K$5</f>
        <v>egy.distn.CoverageRate.1</v>
      </c>
      <c r="L34" s="10">
        <f>INDEX(ScenarioDefinition!$J$1:$AZ$526,$D34,MATCH(L$5,ScenarioDefinition!$J$5:$AZ$5,0))</f>
        <v>100.0</v>
      </c>
      <c r="M34" s="3">
        <f t="shared" ref="M34:V34" si="52">L34</f>
        <v>100.0</v>
      </c>
      <c r="N34" s="3">
        <f t="shared" si="52"/>
        <v>100.0</v>
      </c>
      <c r="O34" s="3">
        <f t="shared" si="52"/>
        <v>100.0</v>
      </c>
      <c r="P34" s="3">
        <f t="shared" si="52"/>
        <v>100.0</v>
      </c>
      <c r="Q34" s="3">
        <f t="shared" si="52"/>
        <v>100.0</v>
      </c>
      <c r="R34" s="3">
        <f t="shared" si="52"/>
        <v>100.0</v>
      </c>
      <c r="S34" s="3">
        <f t="shared" si="52"/>
        <v>100.0</v>
      </c>
      <c r="T34" s="3">
        <f t="shared" si="52"/>
        <v>100.0</v>
      </c>
      <c r="U34" s="3">
        <f t="shared" si="52"/>
        <v>100.0</v>
      </c>
      <c r="V34" s="3">
        <f t="shared" si="52"/>
        <v>100.0</v>
      </c>
      <c r="W34" s="201" t="str">
        <f>IF(X$5=K$5,SUM(Y34:AI34)-SUM(L34:V34),"")</f>
        <v/>
      </c>
      <c r="X34" s="9" t="str">
        <f>LOWER(CtryCode)&amp;".distn."&amp;$A34&amp;IF($B34="","","."&amp;$B34)&amp;IF($C34="","",".dec."&amp;$C34)&amp;"."&amp;X$5</f>
        <v>egy.distn.CoverageRate.2</v>
      </c>
      <c r="Y34" s="10">
        <f>INDEX(ScenarioDefinition!$J$1:$AZ$526,$D34,MATCH(Y$5,ScenarioDefinition!$J$5:$AZ$5,0))</f>
        <v>100.0</v>
      </c>
      <c r="Z34" s="3">
        <f t="shared" ref="Z34:AI34" si="53">Y34</f>
        <v>100.0</v>
      </c>
      <c r="AA34" s="3">
        <f t="shared" si="53"/>
        <v>100.0</v>
      </c>
      <c r="AB34" s="3">
        <f t="shared" si="53"/>
        <v>100.0</v>
      </c>
      <c r="AC34" s="3">
        <f t="shared" si="53"/>
        <v>100.0</v>
      </c>
      <c r="AD34" s="3">
        <f t="shared" si="53"/>
        <v>100.0</v>
      </c>
      <c r="AE34" s="3">
        <f t="shared" si="53"/>
        <v>100.0</v>
      </c>
      <c r="AF34" s="3">
        <f t="shared" si="53"/>
        <v>100.0</v>
      </c>
      <c r="AG34" s="3">
        <f t="shared" si="53"/>
        <v>100.0</v>
      </c>
      <c r="AH34" s="3">
        <f t="shared" si="53"/>
        <v>100.0</v>
      </c>
      <c r="AI34" s="3">
        <f t="shared" si="53"/>
        <v>100.0</v>
      </c>
    </row>
    <row r="35" hidden="1" outlineLevel="1">
      <c r="A35" s="44" t="inlineStr">
        <is>
          <t>LeakageRate</t>
        </is>
      </c>
      <c r="B35" s="3" t="inlineStr"/>
      <c r="C35" s="3" t="inlineStr"/>
      <c r="D35" s="39">
        <f>INDEX(MTRowNum,MATCH($A35&amp;"||",MTRowKey,0))</f>
        <v>205.0</v>
      </c>
      <c r="E35" s="3" t="n"/>
      <c r="H35" s="3" t="inlineStr">
        <is>
          <t>MTInputs: LeakageRate</t>
        </is>
      </c>
      <c r="I35" s="3" t="inlineStr"/>
      <c r="J35" s="118" t="inlineStr">
        <is>
          <t>ScenarioDefinition</t>
        </is>
      </c>
      <c r="K35" s="9" t="str">
        <f>LOWER(CtryCode)&amp;".distn."&amp;$A35&amp;IF($B35="","","."&amp;$B35)&amp;IF($C35="","",".dec."&amp;$C35)&amp;"."&amp;K$5</f>
        <v>egy.distn.LeakageRate.1</v>
      </c>
      <c r="L35" s="10">
        <f>INDEX(ScenarioDefinition!$J$1:$AZ$526,$D35,MATCH(L$5,ScenarioDefinition!$J$5:$AZ$5,0))</f>
        <v>0.0</v>
      </c>
      <c r="M35" s="3">
        <f t="shared" ref="M35:V35" si="54">L35</f>
        <v>0.0</v>
      </c>
      <c r="N35" s="3">
        <f t="shared" si="54"/>
        <v>0.0</v>
      </c>
      <c r="O35" s="3">
        <f t="shared" si="54"/>
        <v>0.0</v>
      </c>
      <c r="P35" s="3">
        <f t="shared" si="54"/>
        <v>0.0</v>
      </c>
      <c r="Q35" s="3">
        <f t="shared" si="54"/>
        <v>0.0</v>
      </c>
      <c r="R35" s="3">
        <f t="shared" si="54"/>
        <v>0.0</v>
      </c>
      <c r="S35" s="3">
        <f t="shared" si="54"/>
        <v>0.0</v>
      </c>
      <c r="T35" s="3">
        <f t="shared" si="54"/>
        <v>0.0</v>
      </c>
      <c r="U35" s="3">
        <f t="shared" si="54"/>
        <v>0.0</v>
      </c>
      <c r="V35" s="3">
        <f t="shared" si="54"/>
        <v>0.0</v>
      </c>
      <c r="W35" s="201" t="str">
        <f>IF(X$5=K$5,SUM(Y35:AI35)-SUM(L35:V35),"")</f>
        <v/>
      </c>
      <c r="X35" s="9" t="str">
        <f>LOWER(CtryCode)&amp;".distn."&amp;$A35&amp;IF($B35="","","."&amp;$B35)&amp;IF($C35="","",".dec."&amp;$C35)&amp;"."&amp;X$5</f>
        <v>egy.distn.LeakageRate.2</v>
      </c>
      <c r="Y35" s="10">
        <f>INDEX(ScenarioDefinition!$J$1:$AZ$526,$D35,MATCH(Y$5,ScenarioDefinition!$J$5:$AZ$5,0))</f>
        <v>0.0</v>
      </c>
      <c r="Z35" s="3">
        <f t="shared" ref="Z35:AI35" si="55">Y35</f>
        <v>0.0</v>
      </c>
      <c r="AA35" s="3">
        <f t="shared" si="55"/>
        <v>0.0</v>
      </c>
      <c r="AB35" s="3">
        <f t="shared" si="55"/>
        <v>0.0</v>
      </c>
      <c r="AC35" s="3">
        <f t="shared" si="55"/>
        <v>0.0</v>
      </c>
      <c r="AD35" s="3">
        <f t="shared" si="55"/>
        <v>0.0</v>
      </c>
      <c r="AE35" s="3">
        <f t="shared" si="55"/>
        <v>0.0</v>
      </c>
      <c r="AF35" s="3">
        <f t="shared" si="55"/>
        <v>0.0</v>
      </c>
      <c r="AG35" s="3">
        <f t="shared" si="55"/>
        <v>0.0</v>
      </c>
      <c r="AH35" s="3">
        <f t="shared" si="55"/>
        <v>0.0</v>
      </c>
      <c r="AI35" s="3">
        <f t="shared" si="55"/>
        <v>0.0</v>
      </c>
    </row>
    <row r="36" hidden="1" outlineLevel="1">
      <c r="A36" s="44" t="inlineStr">
        <is>
          <t>PublicInfrastructureInvType</t>
        </is>
      </c>
      <c r="B36" s="3" t="inlineStr"/>
      <c r="C36" s="3" t="inlineStr"/>
      <c r="D36" s="39">
        <f>INDEX(MTRowNum,MATCH($A36&amp;"||",MTRowKey,0))</f>
        <v>307.0</v>
      </c>
      <c r="E36" s="3" t="n"/>
      <c r="H36" s="3" t="inlineStr">
        <is>
          <t>MTInputs: PublicInfrastructureInvType</t>
        </is>
      </c>
      <c r="I36" s="3" t="inlineStr"/>
      <c r="J36" s="118" t="inlineStr">
        <is>
          <t>ScenarioDefinition</t>
        </is>
      </c>
      <c r="K36" s="9" t="str">
        <f>LOWER(CtryCode)&amp;".distn."&amp;$A36&amp;IF($B36="","","."&amp;$B36)&amp;IF($C36="","",".dec."&amp;$C36)&amp;"."&amp;K$5</f>
        <v>egy.distn.PublicInfrastructureInvType.1</v>
      </c>
      <c r="L36" s="10" t="str">
        <f>INDEX(ScenarioDefinition!$J$1:$AZ$526,$D36,MATCH(L$5,ScenarioDefinition!$J$5:$AZ$5,0))</f>
        <v>All Infr.</v>
      </c>
      <c r="M36" s="3" t="str">
        <f t="shared" ref="M36:V36" si="56">L36</f>
        <v>All Infr.</v>
      </c>
      <c r="N36" s="3" t="str">
        <f t="shared" si="56"/>
        <v>All Infr.</v>
      </c>
      <c r="O36" s="3" t="str">
        <f t="shared" si="56"/>
        <v>All Infr.</v>
      </c>
      <c r="P36" s="3" t="str">
        <f t="shared" si="56"/>
        <v>All Infr.</v>
      </c>
      <c r="Q36" s="3" t="str">
        <f t="shared" si="56"/>
        <v>All Infr.</v>
      </c>
      <c r="R36" s="3" t="str">
        <f t="shared" si="56"/>
        <v>All Infr.</v>
      </c>
      <c r="S36" s="3" t="str">
        <f t="shared" si="56"/>
        <v>All Infr.</v>
      </c>
      <c r="T36" s="3" t="str">
        <f t="shared" si="56"/>
        <v>All Infr.</v>
      </c>
      <c r="U36" s="3" t="str">
        <f t="shared" si="56"/>
        <v>All Infr.</v>
      </c>
      <c r="V36" s="3" t="str">
        <f t="shared" si="56"/>
        <v>All Infr.</v>
      </c>
      <c r="W36" s="201" t="str">
        <f>IF(X$5=K$5,SUM(Y36:AI36)-SUM(L36:V36),"")</f>
        <v/>
      </c>
      <c r="X36" s="9" t="str">
        <f>LOWER(CtryCode)&amp;".distn."&amp;$A36&amp;IF($B36="","","."&amp;$B36)&amp;IF($C36="","",".dec."&amp;$C36)&amp;"."&amp;X$5</f>
        <v>egy.distn.PublicInfrastructureInvType.2</v>
      </c>
      <c r="Y36" s="10" t="str">
        <f>INDEX(ScenarioDefinition!$J$1:$AZ$526,$D36,MATCH(Y$5,ScenarioDefinition!$J$5:$AZ$5,0))</f>
        <v>All Infr.</v>
      </c>
      <c r="Z36" s="3" t="str">
        <f t="shared" ref="Z36:AI36" si="57">Y36</f>
        <v>All Infr.</v>
      </c>
      <c r="AA36" s="3" t="str">
        <f t="shared" si="57"/>
        <v>All Infr.</v>
      </c>
      <c r="AB36" s="3" t="str">
        <f t="shared" si="57"/>
        <v>All Infr.</v>
      </c>
      <c r="AC36" s="3" t="str">
        <f t="shared" si="57"/>
        <v>All Infr.</v>
      </c>
      <c r="AD36" s="3" t="str">
        <f t="shared" si="57"/>
        <v>All Infr.</v>
      </c>
      <c r="AE36" s="3" t="str">
        <f t="shared" si="57"/>
        <v>All Infr.</v>
      </c>
      <c r="AF36" s="3" t="str">
        <f t="shared" si="57"/>
        <v>All Infr.</v>
      </c>
      <c r="AG36" s="3" t="str">
        <f t="shared" si="57"/>
        <v>All Infr.</v>
      </c>
      <c r="AH36" s="3" t="str">
        <f t="shared" si="57"/>
        <v>All Infr.</v>
      </c>
      <c r="AI36" s="3" t="str">
        <f t="shared" si="57"/>
        <v>All Infr.</v>
      </c>
    </row>
    <row r="37" hidden="1" outlineLevel="1">
      <c r="A37" s="44" t="inlineStr">
        <is>
          <t>CurrentSpendingType</t>
        </is>
      </c>
      <c r="B37" s="3" t="inlineStr"/>
      <c r="C37" s="3" t="inlineStr"/>
      <c r="D37" s="39">
        <f>INDEX(MTRowNum,MATCH($A37&amp;"||",MTRowKey,0))</f>
        <v>308.0</v>
      </c>
      <c r="E37" s="3" t="n"/>
      <c r="H37" s="3" t="inlineStr">
        <is>
          <t>MTInputs: CurrentSpendingType</t>
        </is>
      </c>
      <c r="I37" s="3" t="inlineStr"/>
      <c r="J37" s="118" t="inlineStr">
        <is>
          <t>ScenarioDefinition</t>
        </is>
      </c>
      <c r="K37" s="9" t="str">
        <f>LOWER(CtryCode)&amp;".distn."&amp;$A37&amp;IF($B37="","","."&amp;$B37)&amp;IF($C37="","",".dec."&amp;$C37)&amp;"."&amp;K$5</f>
        <v>egy.distn.CurrentSpendingType.1</v>
      </c>
      <c r="L37" s="10" t="str">
        <f>INDEX(ScenarioDefinition!$J$1:$AZ$526,$D37,MATCH(L$5,ScenarioDefinition!$J$5:$AZ$5,0))</f>
        <v>All Social Protection and Labor</v>
      </c>
      <c r="M37" s="3" t="str">
        <f t="shared" ref="M37:V37" si="58">L37</f>
        <v>All Social Protection and Labor</v>
      </c>
      <c r="N37" s="3" t="str">
        <f t="shared" si="58"/>
        <v>All Social Protection and Labor</v>
      </c>
      <c r="O37" s="3" t="str">
        <f t="shared" si="58"/>
        <v>All Social Protection and Labor</v>
      </c>
      <c r="P37" s="3" t="str">
        <f t="shared" si="58"/>
        <v>All Social Protection and Labor</v>
      </c>
      <c r="Q37" s="3" t="str">
        <f t="shared" si="58"/>
        <v>All Social Protection and Labor</v>
      </c>
      <c r="R37" s="3" t="str">
        <f t="shared" si="58"/>
        <v>All Social Protection and Labor</v>
      </c>
      <c r="S37" s="3" t="str">
        <f t="shared" si="58"/>
        <v>All Social Protection and Labor</v>
      </c>
      <c r="T37" s="3" t="str">
        <f t="shared" si="58"/>
        <v>All Social Protection and Labor</v>
      </c>
      <c r="U37" s="3" t="str">
        <f t="shared" si="58"/>
        <v>All Social Protection and Labor</v>
      </c>
      <c r="V37" s="3" t="str">
        <f t="shared" si="58"/>
        <v>All Social Protection and Labor</v>
      </c>
      <c r="W37" s="201" t="str">
        <f>IF(X$5=K$5,SUM(Y37:AI37)-SUM(L37:V37),"")</f>
        <v/>
      </c>
      <c r="X37" s="9" t="str">
        <f>LOWER(CtryCode)&amp;".distn."&amp;$A37&amp;IF($B37="","","."&amp;$B37)&amp;IF($C37="","",".dec."&amp;$C37)&amp;"."&amp;X$5</f>
        <v>egy.distn.CurrentSpendingType.2</v>
      </c>
      <c r="Y37" s="10" t="str">
        <f>INDEX(ScenarioDefinition!$J$1:$AZ$526,$D37,MATCH(Y$5,ScenarioDefinition!$J$5:$AZ$5,0))</f>
        <v>All Social Protection and Labor</v>
      </c>
      <c r="Z37" s="3" t="str">
        <f t="shared" ref="Z37:AI37" si="59">Y37</f>
        <v>All Social Protection and Labor</v>
      </c>
      <c r="AA37" s="3" t="str">
        <f t="shared" si="59"/>
        <v>All Social Protection and Labor</v>
      </c>
      <c r="AB37" s="3" t="str">
        <f t="shared" si="59"/>
        <v>All Social Protection and Labor</v>
      </c>
      <c r="AC37" s="3" t="str">
        <f t="shared" si="59"/>
        <v>All Social Protection and Labor</v>
      </c>
      <c r="AD37" s="3" t="str">
        <f t="shared" si="59"/>
        <v>All Social Protection and Labor</v>
      </c>
      <c r="AE37" s="3" t="str">
        <f t="shared" si="59"/>
        <v>All Social Protection and Labor</v>
      </c>
      <c r="AF37" s="3" t="str">
        <f t="shared" si="59"/>
        <v>All Social Protection and Labor</v>
      </c>
      <c r="AG37" s="3" t="str">
        <f t="shared" si="59"/>
        <v>All Social Protection and Labor</v>
      </c>
      <c r="AH37" s="3" t="str">
        <f t="shared" si="59"/>
        <v>All Social Protection and Labor</v>
      </c>
      <c r="AI37" s="3" t="str">
        <f t="shared" si="59"/>
        <v>All Social Protection and Labor</v>
      </c>
    </row>
    <row r="38" hidden="1" outlineLevel="1">
      <c r="A38" s="44" t="inlineStr">
        <is>
          <t>PassthroughDist</t>
        </is>
      </c>
      <c r="B38" s="3" t="inlineStr"/>
      <c r="C38" s="3" t="inlineStr"/>
      <c r="D38" s="39">
        <f>INDEX(MTRowNum,MATCH($A38&amp;"||",MTRowKey,0))</f>
        <v>318.0</v>
      </c>
      <c r="E38" s="3" t="n"/>
      <c r="H38" s="3" t="inlineStr">
        <is>
          <t>MTInputs: PassthroughDist</t>
        </is>
      </c>
      <c r="I38" s="3" t="inlineStr"/>
      <c r="J38" s="118" t="inlineStr">
        <is>
          <t>ScenarioDefinition</t>
        </is>
      </c>
      <c r="K38" s="9" t="str">
        <f>LOWER(CtryCode)&amp;".distn."&amp;$A38&amp;IF($B38="","","."&amp;$B38)&amp;IF($C38="","",".dec."&amp;$C38)&amp;"."&amp;K$5</f>
        <v>egy.distn.PassthroughDist.1</v>
      </c>
      <c r="L38" s="10" t="str">
        <f>INDEX(ScenarioDefinition!$J$1:$AZ$526,$D38,MATCH(L$5,ScenarioDefinition!$J$5:$AZ$5,0))</f>
        <v>No</v>
      </c>
      <c r="M38" s="3" t="str">
        <f t="shared" ref="M38:V38" si="60">L38</f>
        <v>No</v>
      </c>
      <c r="N38" s="3" t="str">
        <f t="shared" si="60"/>
        <v>No</v>
      </c>
      <c r="O38" s="3" t="str">
        <f t="shared" si="60"/>
        <v>No</v>
      </c>
      <c r="P38" s="3" t="str">
        <f t="shared" si="60"/>
        <v>No</v>
      </c>
      <c r="Q38" s="3" t="str">
        <f t="shared" si="60"/>
        <v>No</v>
      </c>
      <c r="R38" s="3" t="str">
        <f t="shared" si="60"/>
        <v>No</v>
      </c>
      <c r="S38" s="3" t="str">
        <f t="shared" si="60"/>
        <v>No</v>
      </c>
      <c r="T38" s="3" t="str">
        <f t="shared" si="60"/>
        <v>No</v>
      </c>
      <c r="U38" s="3" t="str">
        <f t="shared" si="60"/>
        <v>No</v>
      </c>
      <c r="V38" s="3" t="str">
        <f t="shared" si="60"/>
        <v>No</v>
      </c>
      <c r="W38" s="201" t="str">
        <f>IF(X$5=K$5,SUM(Y38:AI38)-SUM(L38:V38),"")</f>
        <v/>
      </c>
      <c r="X38" s="9" t="str">
        <f>LOWER(CtryCode)&amp;".distn."&amp;$A38&amp;IF($B38="","","."&amp;$B38)&amp;IF($C38="","",".dec."&amp;$C38)&amp;"."&amp;X$5</f>
        <v>egy.distn.PassthroughDist.2</v>
      </c>
      <c r="Y38" s="10" t="str">
        <f>INDEX(ScenarioDefinition!$J$1:$AZ$526,$D38,MATCH(Y$5,ScenarioDefinition!$J$5:$AZ$5,0))</f>
        <v>No</v>
      </c>
      <c r="Z38" s="3" t="str">
        <f t="shared" ref="Z38:AI38" si="61">Y38</f>
        <v>No</v>
      </c>
      <c r="AA38" s="3" t="str">
        <f t="shared" si="61"/>
        <v>No</v>
      </c>
      <c r="AB38" s="3" t="str">
        <f t="shared" si="61"/>
        <v>No</v>
      </c>
      <c r="AC38" s="3" t="str">
        <f t="shared" si="61"/>
        <v>No</v>
      </c>
      <c r="AD38" s="3" t="str">
        <f t="shared" si="61"/>
        <v>No</v>
      </c>
      <c r="AE38" s="3" t="str">
        <f t="shared" si="61"/>
        <v>No</v>
      </c>
      <c r="AF38" s="3" t="str">
        <f t="shared" si="61"/>
        <v>No</v>
      </c>
      <c r="AG38" s="3" t="str">
        <f t="shared" si="61"/>
        <v>No</v>
      </c>
      <c r="AH38" s="3" t="str">
        <f t="shared" si="61"/>
        <v>No</v>
      </c>
      <c r="AI38" s="3" t="str">
        <f t="shared" si="61"/>
        <v>No</v>
      </c>
    </row>
    <row r="39" hidden="1" outlineLevel="1">
      <c r="A39" s="44" t="inlineStr">
        <is>
          <t>QuantilesLCU</t>
        </is>
      </c>
      <c r="B39" s="3" t="inlineStr"/>
      <c r="C39" s="3" t="inlineStr"/>
      <c r="D39" s="39">
        <f>INDEX(MTRowNum,MATCH($A39&amp;"||",MTRowKey,0))</f>
        <v>320.0</v>
      </c>
      <c r="E39" s="3" t="n"/>
      <c r="H39" s="3" t="inlineStr">
        <is>
          <t>MTInputs: QuantilesLCU</t>
        </is>
      </c>
      <c r="I39" s="3" t="inlineStr"/>
      <c r="J39" s="118" t="inlineStr">
        <is>
          <t>ScenarioDefinition</t>
        </is>
      </c>
      <c r="K39" s="9" t="str">
        <f>LOWER(CtryCode)&amp;".distn."&amp;$A39&amp;IF($B39="","","."&amp;$B39)&amp;IF($C39="","",".dec."&amp;$C39)&amp;"."&amp;K$5</f>
        <v>egy.distn.QuantilesLCU.1</v>
      </c>
      <c r="L39" s="10" t="str">
        <f>INDEX(ScenarioDefinition!$J$1:$AZ$526,$D39,MATCH(L$5,ScenarioDefinition!$J$5:$AZ$5,0))</f>
        <v>No</v>
      </c>
      <c r="M39" s="3" t="str">
        <f t="shared" ref="M39:V39" si="62">L39</f>
        <v>No</v>
      </c>
      <c r="N39" s="3" t="str">
        <f t="shared" si="62"/>
        <v>No</v>
      </c>
      <c r="O39" s="3" t="str">
        <f t="shared" si="62"/>
        <v>No</v>
      </c>
      <c r="P39" s="3" t="str">
        <f t="shared" si="62"/>
        <v>No</v>
      </c>
      <c r="Q39" s="3" t="str">
        <f t="shared" si="62"/>
        <v>No</v>
      </c>
      <c r="R39" s="3" t="str">
        <f t="shared" si="62"/>
        <v>No</v>
      </c>
      <c r="S39" s="3" t="str">
        <f t="shared" si="62"/>
        <v>No</v>
      </c>
      <c r="T39" s="3" t="str">
        <f t="shared" si="62"/>
        <v>No</v>
      </c>
      <c r="U39" s="3" t="str">
        <f t="shared" si="62"/>
        <v>No</v>
      </c>
      <c r="V39" s="3" t="str">
        <f t="shared" si="62"/>
        <v>No</v>
      </c>
      <c r="W39" s="201" t="str">
        <f>IF(X$5=K$5,SUM(Y39:AI39)-SUM(L39:V39),"")</f>
        <v/>
      </c>
      <c r="X39" s="9" t="str">
        <f>LOWER(CtryCode)&amp;".distn."&amp;$A39&amp;IF($B39="","","."&amp;$B39)&amp;IF($C39="","",".dec."&amp;$C39)&amp;"."&amp;X$5</f>
        <v>egy.distn.QuantilesLCU.2</v>
      </c>
      <c r="Y39" s="10" t="str">
        <f>INDEX(ScenarioDefinition!$J$1:$AZ$526,$D39,MATCH(Y$5,ScenarioDefinition!$J$5:$AZ$5,0))</f>
        <v>No</v>
      </c>
      <c r="Z39" s="3" t="str">
        <f t="shared" ref="Z39:AI39" si="63">Y39</f>
        <v>No</v>
      </c>
      <c r="AA39" s="3" t="str">
        <f t="shared" si="63"/>
        <v>No</v>
      </c>
      <c r="AB39" s="3" t="str">
        <f t="shared" si="63"/>
        <v>No</v>
      </c>
      <c r="AC39" s="3" t="str">
        <f t="shared" si="63"/>
        <v>No</v>
      </c>
      <c r="AD39" s="3" t="str">
        <f t="shared" si="63"/>
        <v>No</v>
      </c>
      <c r="AE39" s="3" t="str">
        <f t="shared" si="63"/>
        <v>No</v>
      </c>
      <c r="AF39" s="3" t="str">
        <f t="shared" si="63"/>
        <v>No</v>
      </c>
      <c r="AG39" s="3" t="str">
        <f t="shared" si="63"/>
        <v>No</v>
      </c>
      <c r="AH39" s="3" t="str">
        <f t="shared" si="63"/>
        <v>No</v>
      </c>
      <c r="AI39" s="3" t="str">
        <f t="shared" si="63"/>
        <v>No</v>
      </c>
    </row>
    <row r="40" hidden="1" outlineLevel="1"/>
    <row r="41" hidden="1" outlineLevel="1">
      <c r="A41" s="44" t="inlineStr">
        <is>
          <t>acsvar</t>
        </is>
      </c>
      <c r="B41" s="3" t="inlineStr"/>
      <c r="C41" s="3" t="inlineStr"/>
      <c r="D41" s="3" t="n"/>
      <c r="E41" s="3" t="n"/>
      <c r="H41" s="3" t="inlineStr">
        <is>
          <t>Infrastructure access variable of the public investment type</t>
        </is>
      </c>
      <c r="I41" s="3" t="inlineStr">
        <is>
          <t>variable</t>
        </is>
      </c>
      <c r="J41" s="118" t="inlineStr">
        <is>
          <t>DistMapping (legacy rows 184-189)</t>
        </is>
      </c>
      <c r="K41" s="9" t="str">
        <f>LOWER(CtryCode)&amp;".distn."&amp;$A41&amp;IF($B41="","","."&amp;$B41)&amp;IF($C41="","",".dec."&amp;$C41)&amp;"."&amp;K$5</f>
        <v>egy.distn.acsvar.1</v>
      </c>
      <c r="L41" s="10" t="str">
        <f>INDEX(DProgCode,MATCH("infra|"&amp;L$36,DProgKey,0))</f>
        <v>all_acs_share</v>
      </c>
      <c r="M41" s="3" t="str">
        <f t="shared" ref="M41:V41" si="64">L41</f>
        <v>all_acs_share</v>
      </c>
      <c r="N41" s="3" t="str">
        <f t="shared" si="64"/>
        <v>all_acs_share</v>
      </c>
      <c r="O41" s="3" t="str">
        <f t="shared" si="64"/>
        <v>all_acs_share</v>
      </c>
      <c r="P41" s="3" t="str">
        <f t="shared" si="64"/>
        <v>all_acs_share</v>
      </c>
      <c r="Q41" s="3" t="str">
        <f t="shared" si="64"/>
        <v>all_acs_share</v>
      </c>
      <c r="R41" s="3" t="str">
        <f t="shared" si="64"/>
        <v>all_acs_share</v>
      </c>
      <c r="S41" s="3" t="str">
        <f t="shared" si="64"/>
        <v>all_acs_share</v>
      </c>
      <c r="T41" s="3" t="str">
        <f t="shared" si="64"/>
        <v>all_acs_share</v>
      </c>
      <c r="U41" s="3" t="str">
        <f t="shared" si="64"/>
        <v>all_acs_share</v>
      </c>
      <c r="V41" s="3" t="str">
        <f t="shared" si="64"/>
        <v>all_acs_share</v>
      </c>
      <c r="W41" s="201" t="str">
        <f>IF(X$5=K$5,SUM(Y41:AI41)-SUM(L41:V41),"")</f>
        <v/>
      </c>
      <c r="X41" s="9" t="str">
        <f>LOWER(CtryCode)&amp;".distn."&amp;$A41&amp;IF($B41="","","."&amp;$B41)&amp;IF($C41="","",".dec."&amp;$C41)&amp;"."&amp;X$5</f>
        <v>egy.distn.acsvar.2</v>
      </c>
      <c r="Y41" s="10" t="str">
        <f>INDEX(DProgCode,MATCH("infra|"&amp;Y$36,DProgKey,0))</f>
        <v>all_acs_share</v>
      </c>
      <c r="Z41" s="3" t="str">
        <f t="shared" ref="Z41:AI41" si="65">Y41</f>
        <v>all_acs_share</v>
      </c>
      <c r="AA41" s="3" t="str">
        <f t="shared" si="65"/>
        <v>all_acs_share</v>
      </c>
      <c r="AB41" s="3" t="str">
        <f t="shared" si="65"/>
        <v>all_acs_share</v>
      </c>
      <c r="AC41" s="3" t="str">
        <f t="shared" si="65"/>
        <v>all_acs_share</v>
      </c>
      <c r="AD41" s="3" t="str">
        <f t="shared" si="65"/>
        <v>all_acs_share</v>
      </c>
      <c r="AE41" s="3" t="str">
        <f t="shared" si="65"/>
        <v>all_acs_share</v>
      </c>
      <c r="AF41" s="3" t="str">
        <f t="shared" si="65"/>
        <v>all_acs_share</v>
      </c>
      <c r="AG41" s="3" t="str">
        <f t="shared" si="65"/>
        <v>all_acs_share</v>
      </c>
      <c r="AH41" s="3" t="str">
        <f t="shared" si="65"/>
        <v>all_acs_share</v>
      </c>
      <c r="AI41" s="3" t="str">
        <f t="shared" si="65"/>
        <v>all_acs_share</v>
      </c>
    </row>
    <row r="42" hidden="1" outlineLevel="1">
      <c r="A42" s="44" t="inlineStr">
        <is>
          <t>aspcode</t>
        </is>
      </c>
      <c r="B42" s="3" t="inlineStr"/>
      <c r="C42" s="3" t="inlineStr"/>
      <c r="D42" s="3" t="n"/>
      <c r="E42" s="3" t="n"/>
      <c r="H42" s="3" t="inlineStr">
        <is>
          <t>ASPIRE program of the current spending type</t>
        </is>
      </c>
      <c r="I42" s="3" t="inlineStr">
        <is>
          <t>program</t>
        </is>
      </c>
      <c r="J42" s="118" t="inlineStr">
        <is>
          <t>DistMapping (legacy rows 195-210)</t>
        </is>
      </c>
      <c r="K42" s="9" t="str">
        <f>LOWER(CtryCode)&amp;".distn."&amp;$A42&amp;IF($B42="","","."&amp;$B42)&amp;IF($C42="","",".dec."&amp;$C42)&amp;"."&amp;K$5</f>
        <v>egy.distn.aspcode.1</v>
      </c>
      <c r="L42" s="10" t="str">
        <f>INDEX(DProgCode,MATCH("aspire|"&amp;L$37,DProgKey,0))</f>
        <v>per_allsp.avt_q</v>
      </c>
      <c r="M42" s="3" t="str">
        <f t="shared" ref="M42:V42" si="66">L42</f>
        <v>per_allsp.avt_q</v>
      </c>
      <c r="N42" s="3" t="str">
        <f t="shared" si="66"/>
        <v>per_allsp.avt_q</v>
      </c>
      <c r="O42" s="3" t="str">
        <f t="shared" si="66"/>
        <v>per_allsp.avt_q</v>
      </c>
      <c r="P42" s="3" t="str">
        <f t="shared" si="66"/>
        <v>per_allsp.avt_q</v>
      </c>
      <c r="Q42" s="3" t="str">
        <f t="shared" si="66"/>
        <v>per_allsp.avt_q</v>
      </c>
      <c r="R42" s="3" t="str">
        <f t="shared" si="66"/>
        <v>per_allsp.avt_q</v>
      </c>
      <c r="S42" s="3" t="str">
        <f t="shared" si="66"/>
        <v>per_allsp.avt_q</v>
      </c>
      <c r="T42" s="3" t="str">
        <f t="shared" si="66"/>
        <v>per_allsp.avt_q</v>
      </c>
      <c r="U42" s="3" t="str">
        <f t="shared" si="66"/>
        <v>per_allsp.avt_q</v>
      </c>
      <c r="V42" s="3" t="str">
        <f t="shared" si="66"/>
        <v>per_allsp.avt_q</v>
      </c>
      <c r="W42" s="201" t="str">
        <f>IF(X$5=K$5,SUM(Y42:AI42)-SUM(L42:V42),"")</f>
        <v/>
      </c>
      <c r="X42" s="9" t="str">
        <f>LOWER(CtryCode)&amp;".distn."&amp;$A42&amp;IF($B42="","","."&amp;$B42)&amp;IF($C42="","",".dec."&amp;$C42)&amp;"."&amp;X$5</f>
        <v>egy.distn.aspcode.2</v>
      </c>
      <c r="Y42" s="10" t="str">
        <f>INDEX(DProgCode,MATCH("aspire|"&amp;Y$37,DProgKey,0))</f>
        <v>per_allsp.avt_q</v>
      </c>
      <c r="Z42" s="3" t="str">
        <f t="shared" ref="Z42:AI42" si="67">Y42</f>
        <v>per_allsp.avt_q</v>
      </c>
      <c r="AA42" s="3" t="str">
        <f t="shared" si="67"/>
        <v>per_allsp.avt_q</v>
      </c>
      <c r="AB42" s="3" t="str">
        <f t="shared" si="67"/>
        <v>per_allsp.avt_q</v>
      </c>
      <c r="AC42" s="3" t="str">
        <f t="shared" si="67"/>
        <v>per_allsp.avt_q</v>
      </c>
      <c r="AD42" s="3" t="str">
        <f t="shared" si="67"/>
        <v>per_allsp.avt_q</v>
      </c>
      <c r="AE42" s="3" t="str">
        <f t="shared" si="67"/>
        <v>per_allsp.avt_q</v>
      </c>
      <c r="AF42" s="3" t="str">
        <f t="shared" si="67"/>
        <v>per_allsp.avt_q</v>
      </c>
      <c r="AG42" s="3" t="str">
        <f t="shared" si="67"/>
        <v>per_allsp.avt_q</v>
      </c>
      <c r="AH42" s="3" t="str">
        <f t="shared" si="67"/>
        <v>per_allsp.avt_q</v>
      </c>
      <c r="AI42" s="3" t="str">
        <f t="shared" si="67"/>
        <v>per_allsp.avt_q</v>
      </c>
    </row>
    <row r="43" hidden="1" outlineLevel="1">
      <c r="A43" s="44" t="inlineStr">
        <is>
          <t>exfuel</t>
        </is>
      </c>
      <c r="B43" s="3" t="inlineStr"/>
      <c r="C43" s="3" t="inlineStr"/>
      <c r="D43" s="3" t="n"/>
      <c r="E43" s="3" t="n"/>
      <c r="H43" s="3" t="inlineStr">
        <is>
          <t>Most-used cooking fuel (WHOCooking, overall)</t>
        </is>
      </c>
      <c r="I43" s="3" t="inlineStr">
        <is>
          <t>item</t>
        </is>
      </c>
      <c r="J43" s="118" t="inlineStr">
        <is>
          <t>WHOCooking (legacy row 226)</t>
        </is>
      </c>
      <c r="K43" s="9" t="str">
        <f>LOWER(CtryCode)&amp;".distn."&amp;$A43&amp;IF($B43="","","."&amp;$B43)&amp;IF($C43="","",".dec."&amp;$C43)&amp;"."&amp;K$5</f>
        <v>egy.distn.exfuel.1</v>
      </c>
      <c r="L43" s="10" t="str">
        <f>INDEX(DCookFuel,MATCH(CtryCode&amp;".distn.pcoff.ove",DCookKey,0))</f>
        <v>lpg</v>
      </c>
      <c r="M43" s="3" t="str">
        <f t="shared" ref="M43:V43" si="68">L43</f>
        <v>lpg</v>
      </c>
      <c r="N43" s="3" t="str">
        <f t="shared" si="68"/>
        <v>lpg</v>
      </c>
      <c r="O43" s="3" t="str">
        <f t="shared" si="68"/>
        <v>lpg</v>
      </c>
      <c r="P43" s="3" t="str">
        <f t="shared" si="68"/>
        <v>lpg</v>
      </c>
      <c r="Q43" s="3" t="str">
        <f t="shared" si="68"/>
        <v>lpg</v>
      </c>
      <c r="R43" s="3" t="str">
        <f t="shared" si="68"/>
        <v>lpg</v>
      </c>
      <c r="S43" s="3" t="str">
        <f t="shared" si="68"/>
        <v>lpg</v>
      </c>
      <c r="T43" s="3" t="str">
        <f t="shared" si="68"/>
        <v>lpg</v>
      </c>
      <c r="U43" s="3" t="str">
        <f t="shared" si="68"/>
        <v>lpg</v>
      </c>
      <c r="V43" s="3" t="str">
        <f t="shared" si="68"/>
        <v>lpg</v>
      </c>
      <c r="W43" s="201" t="str">
        <f>IF(X$5=K$5,SUM(Y43:AI43)-SUM(L43:V43),"")</f>
        <v/>
      </c>
      <c r="X43" s="9" t="str">
        <f>LOWER(CtryCode)&amp;".distn."&amp;$A43&amp;IF($B43="","","."&amp;$B43)&amp;IF($C43="","",".dec."&amp;$C43)&amp;"."&amp;X$5</f>
        <v>egy.distn.exfuel.2</v>
      </c>
      <c r="Y43" s="10" t="str">
        <f>INDEX(DCookFuel,MATCH(CtryCode&amp;".distn.pcoff.ove",DCookKey,0))</f>
        <v>lpg</v>
      </c>
      <c r="Z43" s="3" t="str">
        <f t="shared" ref="Z43:AI43" si="69">Y43</f>
        <v>lpg</v>
      </c>
      <c r="AA43" s="3" t="str">
        <f t="shared" si="69"/>
        <v>lpg</v>
      </c>
      <c r="AB43" s="3" t="str">
        <f t="shared" si="69"/>
        <v>lpg</v>
      </c>
      <c r="AC43" s="3" t="str">
        <f t="shared" si="69"/>
        <v>lpg</v>
      </c>
      <c r="AD43" s="3" t="str">
        <f t="shared" si="69"/>
        <v>lpg</v>
      </c>
      <c r="AE43" s="3" t="str">
        <f t="shared" si="69"/>
        <v>lpg</v>
      </c>
      <c r="AF43" s="3" t="str">
        <f t="shared" si="69"/>
        <v>lpg</v>
      </c>
      <c r="AG43" s="3" t="str">
        <f t="shared" si="69"/>
        <v>lpg</v>
      </c>
      <c r="AH43" s="3" t="str">
        <f t="shared" si="69"/>
        <v>lpg</v>
      </c>
      <c r="AI43" s="3" t="str">
        <f t="shared" si="69"/>
        <v>lpg</v>
      </c>
    </row>
    <row r="44" hidden="1" outlineLevel="1">
      <c r="A44" s="44" t="inlineStr">
        <is>
          <t>exdec</t>
        </is>
      </c>
      <c r="B44" s="3" t="inlineStr"/>
      <c r="C44" s="3" t="inlineStr"/>
      <c r="D44" s="3" t="n"/>
      <c r="E44" s="3" t="n"/>
      <c r="H44" s="3" t="inlineStr">
        <is>
          <t>Exempt decile of the most-used cooking fuel (1 = exempt)</t>
        </is>
      </c>
      <c r="I44" s="3" t="inlineStr">
        <is>
          <t>flag</t>
        </is>
      </c>
      <c r="J44" s="118" t="inlineStr">
        <is>
          <t>MTInputs ExemptMostCook, ExemptCookDeciles (legacy row 1579)</t>
        </is>
      </c>
      <c r="K44" s="9" t="str">
        <f>LOWER(CtryCode)&amp;".distn."&amp;$A44&amp;IF($B44="","","."&amp;$B44)&amp;IF($C44="","",".dec."&amp;$C44)&amp;"."&amp;K$5</f>
        <v>egy.distn.exdec.1</v>
      </c>
      <c r="L44" s="38">
        <f t="shared" ref="L44:V44" si="70">IF(AND(LEFT(L$22,3)="Yes",L$1&gt;0,L$1&lt;=L$23),1,0)</f>
        <v>0.0</v>
      </c>
      <c r="M44" s="39">
        <f t="shared" si="70"/>
        <v>0.0</v>
      </c>
      <c r="N44" s="39">
        <f t="shared" si="70"/>
        <v>0.0</v>
      </c>
      <c r="O44" s="39">
        <f t="shared" si="70"/>
        <v>0.0</v>
      </c>
      <c r="P44" s="39">
        <f t="shared" si="70"/>
        <v>0.0</v>
      </c>
      <c r="Q44" s="39">
        <f t="shared" si="70"/>
        <v>0.0</v>
      </c>
      <c r="R44" s="39">
        <f t="shared" si="70"/>
        <v>0.0</v>
      </c>
      <c r="S44" s="39">
        <f t="shared" si="70"/>
        <v>0.0</v>
      </c>
      <c r="T44" s="39">
        <f t="shared" si="70"/>
        <v>0.0</v>
      </c>
      <c r="U44" s="39">
        <f t="shared" si="70"/>
        <v>0.0</v>
      </c>
      <c r="V44" s="39">
        <f t="shared" si="70"/>
        <v>0.0</v>
      </c>
      <c r="W44" s="201" t="str">
        <f>IF(X$5=K$5,SUM(Y44:AI44)-SUM(L44:V44),"")</f>
        <v/>
      </c>
      <c r="X44" s="9" t="str">
        <f>LOWER(CtryCode)&amp;".distn."&amp;$A44&amp;IF($B44="","","."&amp;$B44)&amp;IF($C44="","",".dec."&amp;$C44)&amp;"."&amp;X$5</f>
        <v>egy.distn.exdec.2</v>
      </c>
      <c r="Y44" s="38">
        <f t="shared" ref="Y44:AI44" si="71">IF(AND(LEFT(Y$22,3)="Yes",Y$1&gt;0,Y$1&lt;=Y$23),1,0)</f>
        <v>0.0</v>
      </c>
      <c r="Z44" s="39">
        <f t="shared" si="71"/>
        <v>0.0</v>
      </c>
      <c r="AA44" s="39">
        <f t="shared" si="71"/>
        <v>0.0</v>
      </c>
      <c r="AB44" s="39">
        <f t="shared" si="71"/>
        <v>0.0</v>
      </c>
      <c r="AC44" s="39">
        <f t="shared" si="71"/>
        <v>0.0</v>
      </c>
      <c r="AD44" s="39">
        <f t="shared" si="71"/>
        <v>0.0</v>
      </c>
      <c r="AE44" s="39">
        <f t="shared" si="71"/>
        <v>0.0</v>
      </c>
      <c r="AF44" s="39">
        <f t="shared" si="71"/>
        <v>0.0</v>
      </c>
      <c r="AG44" s="39">
        <f t="shared" si="71"/>
        <v>0.0</v>
      </c>
      <c r="AH44" s="39">
        <f t="shared" si="71"/>
        <v>0.0</v>
      </c>
      <c r="AI44" s="39">
        <f t="shared" si="71"/>
        <v>0.0</v>
      </c>
    </row>
    <row r="45" hidden="1" outlineLevel="1">
      <c r="A45" s="44" t="inlineStr">
        <is>
          <t>tgtcode</t>
        </is>
      </c>
      <c r="B45" s="3" t="inlineStr"/>
      <c r="C45" s="3" t="inlineStr"/>
      <c r="D45" s="3" t="n"/>
      <c r="E45" s="3" t="n"/>
      <c r="H45" s="3" t="inlineStr">
        <is>
          <t>ASPIRE program of the transfer type (Cash: cash transfer)</t>
        </is>
      </c>
      <c r="I45" s="3" t="inlineStr">
        <is>
          <t>program</t>
        </is>
      </c>
      <c r="J45" s="118" t="inlineStr">
        <is>
          <t>DistMapping (legacy I216; v0.6.0)</t>
        </is>
      </c>
      <c r="K45" s="9" t="str">
        <f>LOWER(CtryCode)&amp;".distn."&amp;$A45&amp;IF($B45="","","."&amp;$B45)&amp;IF($C45="","",".dec."&amp;$C45)&amp;"."&amp;K$5</f>
        <v>egy.distn.tgtcode.1</v>
      </c>
      <c r="L45" s="10" t="str">
        <f>IFERROR(INDEX(DProgCode,MATCH("aspire|"&amp;L$31,DProgKey,0)),"Cash")</f>
        <v>Cash</v>
      </c>
      <c r="M45" s="3" t="str">
        <f t="shared" ref="M45:V45" si="72">L45</f>
        <v>Cash</v>
      </c>
      <c r="N45" s="3" t="str">
        <f t="shared" si="72"/>
        <v>Cash</v>
      </c>
      <c r="O45" s="3" t="str">
        <f t="shared" si="72"/>
        <v>Cash</v>
      </c>
      <c r="P45" s="3" t="str">
        <f t="shared" si="72"/>
        <v>Cash</v>
      </c>
      <c r="Q45" s="3" t="str">
        <f t="shared" si="72"/>
        <v>Cash</v>
      </c>
      <c r="R45" s="3" t="str">
        <f t="shared" si="72"/>
        <v>Cash</v>
      </c>
      <c r="S45" s="3" t="str">
        <f t="shared" si="72"/>
        <v>Cash</v>
      </c>
      <c r="T45" s="3" t="str">
        <f t="shared" si="72"/>
        <v>Cash</v>
      </c>
      <c r="U45" s="3" t="str">
        <f t="shared" si="72"/>
        <v>Cash</v>
      </c>
      <c r="V45" s="3" t="str">
        <f t="shared" si="72"/>
        <v>Cash</v>
      </c>
      <c r="W45" s="201" t="str">
        <f>IF(X$5=K$5,SUM(Y45:AI45)-SUM(L45:V45),"")</f>
        <v/>
      </c>
      <c r="X45" s="9" t="str">
        <f>LOWER(CtryCode)&amp;".distn."&amp;$A45&amp;IF($B45="","","."&amp;$B45)&amp;IF($C45="","",".dec."&amp;$C45)&amp;"."&amp;X$5</f>
        <v>egy.distn.tgtcode.2</v>
      </c>
      <c r="Y45" s="10" t="str">
        <f>IFERROR(INDEX(DProgCode,MATCH("aspire|"&amp;Y$31,DProgKey,0)),"Cash")</f>
        <v>Cash</v>
      </c>
      <c r="Z45" s="3" t="str">
        <f t="shared" ref="Z45:AI45" si="73">Y45</f>
        <v>Cash</v>
      </c>
      <c r="AA45" s="3" t="str">
        <f t="shared" si="73"/>
        <v>Cash</v>
      </c>
      <c r="AB45" s="3" t="str">
        <f t="shared" si="73"/>
        <v>Cash</v>
      </c>
      <c r="AC45" s="3" t="str">
        <f t="shared" si="73"/>
        <v>Cash</v>
      </c>
      <c r="AD45" s="3" t="str">
        <f t="shared" si="73"/>
        <v>Cash</v>
      </c>
      <c r="AE45" s="3" t="str">
        <f t="shared" si="73"/>
        <v>Cash</v>
      </c>
      <c r="AF45" s="3" t="str">
        <f t="shared" si="73"/>
        <v>Cash</v>
      </c>
      <c r="AG45" s="3" t="str">
        <f t="shared" si="73"/>
        <v>Cash</v>
      </c>
      <c r="AH45" s="3" t="str">
        <f t="shared" si="73"/>
        <v>Cash</v>
      </c>
      <c r="AI45" s="3" t="str">
        <f t="shared" si="73"/>
        <v>Cash</v>
      </c>
    </row>
    <row r="46" hidden="1" outlineLevel="1">
      <c r="A46" s="44" t="inlineStr">
        <is>
          <t>tgtdata</t>
        </is>
      </c>
      <c r="B46" s="3" t="inlineStr"/>
      <c r="C46" s="3" t="inlineStr"/>
      <c r="D46" s="3" t="n"/>
      <c r="E46" s="3" t="n"/>
      <c r="H46" s="3" t="inlineStr">
        <is>
          <t>ASPIRE data for the transfer program and the country (1 = yes)</t>
        </is>
      </c>
      <c r="I46" s="3" t="inlineStr">
        <is>
          <t>flag</t>
        </is>
      </c>
      <c r="J46" s="118" t="inlineStr">
        <is>
          <t>ASPIRE (legacy I213; v0.6.0)</t>
        </is>
      </c>
      <c r="K46" s="9" t="str">
        <f>LOWER(CtryCode)&amp;".distn."&amp;$A46&amp;IF($B46="","","."&amp;$B46)&amp;IF($C46="","",".dec."&amp;$C46)&amp;"."&amp;K$5</f>
        <v>egy.distn.tgtdata.1</v>
      </c>
      <c r="L46" s="38">
        <f>IF(ISNUMBER(MATCH(CtryCode&amp;"."&amp;L$45&amp;"1_preT_tot",DAspKey,0)),1,0)</f>
        <v>0.0</v>
      </c>
      <c r="M46" s="39">
        <f t="shared" ref="M46:V46" si="74">L46</f>
        <v>0.0</v>
      </c>
      <c r="N46" s="39">
        <f t="shared" si="74"/>
        <v>0.0</v>
      </c>
      <c r="O46" s="39">
        <f t="shared" si="74"/>
        <v>0.0</v>
      </c>
      <c r="P46" s="39">
        <f t="shared" si="74"/>
        <v>0.0</v>
      </c>
      <c r="Q46" s="39">
        <f t="shared" si="74"/>
        <v>0.0</v>
      </c>
      <c r="R46" s="39">
        <f t="shared" si="74"/>
        <v>0.0</v>
      </c>
      <c r="S46" s="39">
        <f t="shared" si="74"/>
        <v>0.0</v>
      </c>
      <c r="T46" s="39">
        <f t="shared" si="74"/>
        <v>0.0</v>
      </c>
      <c r="U46" s="39">
        <f t="shared" si="74"/>
        <v>0.0</v>
      </c>
      <c r="V46" s="39">
        <f t="shared" si="74"/>
        <v>0.0</v>
      </c>
      <c r="W46" s="201" t="str">
        <f>IF(X$5=K$5,SUM(Y46:AI46)-SUM(L46:V46),"")</f>
        <v/>
      </c>
      <c r="X46" s="9" t="str">
        <f>LOWER(CtryCode)&amp;".distn."&amp;$A46&amp;IF($B46="","","."&amp;$B46)&amp;IF($C46="","",".dec."&amp;$C46)&amp;"."&amp;X$5</f>
        <v>egy.distn.tgtdata.2</v>
      </c>
      <c r="Y46" s="38">
        <f>IF(ISNUMBER(MATCH(CtryCode&amp;"."&amp;Y$45&amp;"1_preT_tot",DAspKey,0)),1,0)</f>
        <v>0.0</v>
      </c>
      <c r="Z46" s="39">
        <f t="shared" ref="Z46:AI46" si="75">Y46</f>
        <v>0.0</v>
      </c>
      <c r="AA46" s="39">
        <f t="shared" si="75"/>
        <v>0.0</v>
      </c>
      <c r="AB46" s="39">
        <f t="shared" si="75"/>
        <v>0.0</v>
      </c>
      <c r="AC46" s="39">
        <f t="shared" si="75"/>
        <v>0.0</v>
      </c>
      <c r="AD46" s="39">
        <f t="shared" si="75"/>
        <v>0.0</v>
      </c>
      <c r="AE46" s="39">
        <f t="shared" si="75"/>
        <v>0.0</v>
      </c>
      <c r="AF46" s="39">
        <f t="shared" si="75"/>
        <v>0.0</v>
      </c>
      <c r="AG46" s="39">
        <f t="shared" si="75"/>
        <v>0.0</v>
      </c>
      <c r="AH46" s="39">
        <f t="shared" si="75"/>
        <v>0.0</v>
      </c>
      <c r="AI46" s="39">
        <f t="shared" si="75"/>
        <v>0.0</v>
      </c>
    </row>
    <row r="47" hidden="1" outlineLevel="1">
      <c r="A47" s="44" t="inlineStr">
        <is>
          <t>plvar</t>
        </is>
      </c>
      <c r="B47" s="3" t="inlineStr"/>
      <c r="C47" s="3" t="inlineStr"/>
      <c r="D47" s="3" t="n"/>
      <c r="E47" s="3" t="n"/>
      <c r="H47" s="3" t="inlineStr">
        <is>
          <t>Survey variable of the poverty line (TargetBelow; popw if none)</t>
        </is>
      </c>
      <c r="I47" s="3" t="inlineStr">
        <is>
          <t>variable</t>
        </is>
      </c>
      <c r="J47" s="118" t="inlineStr">
        <is>
          <t>HHSurvey pct_belowpl_* (legacy Q2551; v0.6.0)</t>
        </is>
      </c>
      <c r="K47" s="9" t="str">
        <f>LOWER(CtryCode)&amp;".distn."&amp;$A47&amp;IF($B47="","","."&amp;$B47)&amp;IF($C47="","",".dec."&amp;$C47)&amp;"."&amp;K$5</f>
        <v>egy.distn.plvar.1</v>
      </c>
      <c r="L47" s="10" t="str">
        <f>IF(LEFT(L$32&amp;"",2)="No","popw","pct_belowpl_"&amp;SUBSTITUTE(L$32&amp;"",".",""))</f>
        <v>popw</v>
      </c>
      <c r="M47" s="3" t="str">
        <f t="shared" ref="M47:V47" si="76">L47</f>
        <v>popw</v>
      </c>
      <c r="N47" s="3" t="str">
        <f t="shared" si="76"/>
        <v>popw</v>
      </c>
      <c r="O47" s="3" t="str">
        <f t="shared" si="76"/>
        <v>popw</v>
      </c>
      <c r="P47" s="3" t="str">
        <f t="shared" si="76"/>
        <v>popw</v>
      </c>
      <c r="Q47" s="3" t="str">
        <f t="shared" si="76"/>
        <v>popw</v>
      </c>
      <c r="R47" s="3" t="str">
        <f t="shared" si="76"/>
        <v>popw</v>
      </c>
      <c r="S47" s="3" t="str">
        <f t="shared" si="76"/>
        <v>popw</v>
      </c>
      <c r="T47" s="3" t="str">
        <f t="shared" si="76"/>
        <v>popw</v>
      </c>
      <c r="U47" s="3" t="str">
        <f t="shared" si="76"/>
        <v>popw</v>
      </c>
      <c r="V47" s="3" t="str">
        <f t="shared" si="76"/>
        <v>popw</v>
      </c>
      <c r="W47" s="201" t="str">
        <f>IF(X$5=K$5,SUM(Y47:AI47)-SUM(L47:V47),"")</f>
        <v/>
      </c>
      <c r="X47" s="9" t="str">
        <f>LOWER(CtryCode)&amp;".distn."&amp;$A47&amp;IF($B47="","","."&amp;$B47)&amp;IF($C47="","",".dec."&amp;$C47)&amp;"."&amp;X$5</f>
        <v>egy.distn.plvar.2</v>
      </c>
      <c r="Y47" s="10" t="str">
        <f>IF(LEFT(Y$32&amp;"",2)="No","popw","pct_belowpl_"&amp;SUBSTITUTE(Y$32&amp;"",".",""))</f>
        <v>popw</v>
      </c>
      <c r="Z47" s="3" t="str">
        <f t="shared" ref="Z47:AI47" si="77">Y47</f>
        <v>popw</v>
      </c>
      <c r="AA47" s="3" t="str">
        <f t="shared" si="77"/>
        <v>popw</v>
      </c>
      <c r="AB47" s="3" t="str">
        <f t="shared" si="77"/>
        <v>popw</v>
      </c>
      <c r="AC47" s="3" t="str">
        <f t="shared" si="77"/>
        <v>popw</v>
      </c>
      <c r="AD47" s="3" t="str">
        <f t="shared" si="77"/>
        <v>popw</v>
      </c>
      <c r="AE47" s="3" t="str">
        <f t="shared" si="77"/>
        <v>popw</v>
      </c>
      <c r="AF47" s="3" t="str">
        <f t="shared" si="77"/>
        <v>popw</v>
      </c>
      <c r="AG47" s="3" t="str">
        <f t="shared" si="77"/>
        <v>popw</v>
      </c>
      <c r="AH47" s="3" t="str">
        <f t="shared" si="77"/>
        <v>popw</v>
      </c>
      <c r="AI47" s="3" t="str">
        <f t="shared" si="77"/>
        <v>popw</v>
      </c>
    </row>
    <row r="48" hidden="1" outlineLevel="1">
      <c r="A48" s="44" t="inlineStr">
        <is>
          <t>tgtmode</t>
        </is>
      </c>
      <c r="B48" s="3" t="inlineStr"/>
      <c r="C48" s="3" t="inlineStr"/>
      <c r="D48" s="3" t="n"/>
      <c r="E48" s="3" t="n"/>
      <c r="H48" s="3" t="inlineStr">
        <is>
          <t>Targeting of the transfer: Cash, ASPIRE (program incidence) or PL (poverty line, with Cash only)</t>
        </is>
      </c>
      <c r="I48" s="3" t="inlineStr">
        <is>
          <t>mode</t>
        </is>
      </c>
      <c r="J48" s="118" t="inlineStr">
        <is>
          <t>legacy Q2545, Q2550 (v0.6.0; no ASPIRE data: Cash, fix D11)</t>
        </is>
      </c>
      <c r="K48" s="9" t="str">
        <f>LOWER(CtryCode)&amp;".distn."&amp;$A48&amp;IF($B48="","","."&amp;$B48)&amp;IF($C48="","",".dec."&amp;$C48)&amp;"."&amp;K$5</f>
        <v>egy.distn.tgtmode.1</v>
      </c>
      <c r="L48" s="10" t="str">
        <f>IF(L$45&lt;&gt;"Cash",IF(L$46=1,"ASPIRE","Cash"),IF(L$47="popw","Cash","PL"))</f>
        <v>Cash</v>
      </c>
      <c r="M48" s="3" t="str">
        <f t="shared" ref="M48:V48" si="78">L48</f>
        <v>Cash</v>
      </c>
      <c r="N48" s="3" t="str">
        <f t="shared" si="78"/>
        <v>Cash</v>
      </c>
      <c r="O48" s="3" t="str">
        <f t="shared" si="78"/>
        <v>Cash</v>
      </c>
      <c r="P48" s="3" t="str">
        <f t="shared" si="78"/>
        <v>Cash</v>
      </c>
      <c r="Q48" s="3" t="str">
        <f t="shared" si="78"/>
        <v>Cash</v>
      </c>
      <c r="R48" s="3" t="str">
        <f t="shared" si="78"/>
        <v>Cash</v>
      </c>
      <c r="S48" s="3" t="str">
        <f t="shared" si="78"/>
        <v>Cash</v>
      </c>
      <c r="T48" s="3" t="str">
        <f t="shared" si="78"/>
        <v>Cash</v>
      </c>
      <c r="U48" s="3" t="str">
        <f t="shared" si="78"/>
        <v>Cash</v>
      </c>
      <c r="V48" s="3" t="str">
        <f t="shared" si="78"/>
        <v>Cash</v>
      </c>
      <c r="W48" s="201" t="str">
        <f>IF(X$5=K$5,SUM(Y48:AI48)-SUM(L48:V48),"")</f>
        <v/>
      </c>
      <c r="X48" s="9" t="str">
        <f>LOWER(CtryCode)&amp;".distn."&amp;$A48&amp;IF($B48="","","."&amp;$B48)&amp;IF($C48="","",".dec."&amp;$C48)&amp;"."&amp;X$5</f>
        <v>egy.distn.tgtmode.2</v>
      </c>
      <c r="Y48" s="10" t="str">
        <f>IF(Y$45&lt;&gt;"Cash",IF(Y$46=1,"ASPIRE","Cash"),IF(Y$47="popw","Cash","PL"))</f>
        <v>Cash</v>
      </c>
      <c r="Z48" s="3" t="str">
        <f t="shared" ref="Z48:AI48" si="79">Y48</f>
        <v>Cash</v>
      </c>
      <c r="AA48" s="3" t="str">
        <f t="shared" si="79"/>
        <v>Cash</v>
      </c>
      <c r="AB48" s="3" t="str">
        <f t="shared" si="79"/>
        <v>Cash</v>
      </c>
      <c r="AC48" s="3" t="str">
        <f t="shared" si="79"/>
        <v>Cash</v>
      </c>
      <c r="AD48" s="3" t="str">
        <f t="shared" si="79"/>
        <v>Cash</v>
      </c>
      <c r="AE48" s="3" t="str">
        <f t="shared" si="79"/>
        <v>Cash</v>
      </c>
      <c r="AF48" s="3" t="str">
        <f t="shared" si="79"/>
        <v>Cash</v>
      </c>
      <c r="AG48" s="3" t="str">
        <f t="shared" si="79"/>
        <v>Cash</v>
      </c>
      <c r="AH48" s="3" t="str">
        <f t="shared" si="79"/>
        <v>Cash</v>
      </c>
      <c r="AI48" s="3" t="str">
        <f t="shared" si="79"/>
        <v>Cash</v>
      </c>
    </row>
    <row r="49" hidden="1" outlineLevel="1"/>
    <row r="50" collapsed="1">
      <c r="A50" s="44" t="inlineStr">
        <is>
          <t>support</t>
        </is>
      </c>
      <c r="B50" s="3" t="inlineStr"/>
      <c r="C50" s="3" t="inlineStr"/>
      <c r="D50" s="3" t="n"/>
      <c r="E50" s="3" t="n"/>
      <c r="H50" s="6" t="inlineStr">
        <is>
          <t>Options check: OK, or the reason an option is not applied</t>
        </is>
      </c>
      <c r="I50" s="3" t="inlineStr">
        <is>
          <t>check</t>
        </is>
      </c>
      <c r="J50" s="118" t="inlineStr">
        <is>
          <t>Methods, chapter Distribution (v0.6.0: every legacy option modelled)</t>
        </is>
      </c>
      <c r="K50" s="9" t="str">
        <f>LOWER(CtryCode)&amp;".distn."&amp;$A50&amp;IF($B50="","","."&amp;$B50)&amp;IF($C50="","",".dec."&amp;$C50)&amp;"."&amp;K$5</f>
        <v>egy.distn.support.1</v>
      </c>
      <c r="L50" s="138" t="str">
        <f>IF(AND(L$45&lt;&gt;"Cash",L$46=0),"TransferType: no ASPIRE data, cash used","OK")</f>
        <v>OK</v>
      </c>
      <c r="M50" s="6" t="str">
        <f t="shared" ref="M50:V50" si="80">L50</f>
        <v>OK</v>
      </c>
      <c r="N50" s="6" t="str">
        <f t="shared" si="80"/>
        <v>OK</v>
      </c>
      <c r="O50" s="6" t="str">
        <f t="shared" si="80"/>
        <v>OK</v>
      </c>
      <c r="P50" s="6" t="str">
        <f t="shared" si="80"/>
        <v>OK</v>
      </c>
      <c r="Q50" s="6" t="str">
        <f t="shared" si="80"/>
        <v>OK</v>
      </c>
      <c r="R50" s="6" t="str">
        <f t="shared" si="80"/>
        <v>OK</v>
      </c>
      <c r="S50" s="6" t="str">
        <f t="shared" si="80"/>
        <v>OK</v>
      </c>
      <c r="T50" s="6" t="str">
        <f t="shared" si="80"/>
        <v>OK</v>
      </c>
      <c r="U50" s="6" t="str">
        <f t="shared" si="80"/>
        <v>OK</v>
      </c>
      <c r="V50" s="6" t="str">
        <f t="shared" si="80"/>
        <v>OK</v>
      </c>
      <c r="W50" s="201" t="str">
        <f>IF(X$5=K$5,SUM(Y50:AI50)-SUM(L50:V50),"")</f>
        <v/>
      </c>
      <c r="X50" s="9" t="str">
        <f>LOWER(CtryCode)&amp;".distn."&amp;$A50&amp;IF($B50="","","."&amp;$B50)&amp;IF($C50="","",".dec."&amp;$C50)&amp;"."&amp;X$5</f>
        <v>egy.distn.support.2</v>
      </c>
      <c r="Y50" s="138" t="str">
        <f>IF(AND(Y$45&lt;&gt;"Cash",Y$46=0),"TransferType: no ASPIRE data, cash used","OK")</f>
        <v>OK</v>
      </c>
      <c r="Z50" s="6" t="str">
        <f t="shared" ref="Z50:AI50" si="81">Y50</f>
        <v>OK</v>
      </c>
      <c r="AA50" s="6" t="str">
        <f t="shared" si="81"/>
        <v>OK</v>
      </c>
      <c r="AB50" s="6" t="str">
        <f t="shared" si="81"/>
        <v>OK</v>
      </c>
      <c r="AC50" s="6" t="str">
        <f t="shared" si="81"/>
        <v>OK</v>
      </c>
      <c r="AD50" s="6" t="str">
        <f t="shared" si="81"/>
        <v>OK</v>
      </c>
      <c r="AE50" s="6" t="str">
        <f t="shared" si="81"/>
        <v>OK</v>
      </c>
      <c r="AF50" s="6" t="str">
        <f t="shared" si="81"/>
        <v>OK</v>
      </c>
      <c r="AG50" s="6" t="str">
        <f t="shared" si="81"/>
        <v>OK</v>
      </c>
      <c r="AH50" s="6" t="str">
        <f t="shared" si="81"/>
        <v>OK</v>
      </c>
      <c r="AI50" s="6" t="str">
        <f t="shared" si="81"/>
        <v>OK</v>
      </c>
    </row>
    <row r="51"/>
    <row r="52">
      <c r="A52" s="36" t="inlineStr">
        <is>
          <t>2</t>
        </is>
      </c>
      <c r="B52" s="37" t="inlineStr">
        <is>
          <t>Inputs from Mitigation (analysis year, same scenario group; legacy B.II-B.III)</t>
        </is>
      </c>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row>
    <row r="53" hidden="1" outlineLevel="1"/>
    <row r="54" hidden="1" outlineLevel="1">
      <c r="B54" s="31" t="inlineStr">
        <is>
          <t>Household fuel prices: change against scenario 1 (residential after-tax price; electricity: retail price)</t>
        </is>
      </c>
    </row>
    <row r="55" hidden="1" outlineLevel="1">
      <c r="A55" s="44" t="inlineStr">
        <is>
          <t>dpr</t>
        </is>
      </c>
      <c r="B55" s="3" t="inlineStr">
        <is>
          <t>coa.res</t>
        </is>
      </c>
      <c r="C55" s="3" t="inlineStr"/>
      <c r="D55" s="3" t="n"/>
      <c r="E55" s="3" t="n"/>
      <c r="H55" s="3" t="inlineStr">
        <is>
          <t>Coal: household price change</t>
        </is>
      </c>
      <c r="I55" s="3" t="inlineStr">
        <is>
          <t>fraction</t>
        </is>
      </c>
      <c r="J55" s="118" t="inlineStr">
        <is>
          <t>Mitigation atp.res.coa</t>
        </is>
      </c>
      <c r="K55" s="9" t="str">
        <f>LOWER(CtryCode)&amp;".distn."&amp;$A55&amp;IF($B55="","","."&amp;$B55)&amp;IF($C55="","",".dec."&amp;$C55)&amp;"."&amp;K$5</f>
        <v>egy.distn.dpr.coa.res.1</v>
      </c>
      <c r="L55" s="202">
        <f>INDEX(FromMitigation!$K$12:$IZ$12,L$8)/INDEX(FromMitigation!$K$12:$IZ$12,L$7)-1</f>
        <v>0.0</v>
      </c>
      <c r="M55" s="196">
        <f t="shared" ref="M55:V55" si="82">L55</f>
        <v>0.0</v>
      </c>
      <c r="N55" s="196">
        <f t="shared" si="82"/>
        <v>0.0</v>
      </c>
      <c r="O55" s="196">
        <f t="shared" si="82"/>
        <v>0.0</v>
      </c>
      <c r="P55" s="196">
        <f t="shared" si="82"/>
        <v>0.0</v>
      </c>
      <c r="Q55" s="196">
        <f t="shared" si="82"/>
        <v>0.0</v>
      </c>
      <c r="R55" s="196">
        <f t="shared" si="82"/>
        <v>0.0</v>
      </c>
      <c r="S55" s="196">
        <f t="shared" si="82"/>
        <v>0.0</v>
      </c>
      <c r="T55" s="196">
        <f t="shared" si="82"/>
        <v>0.0</v>
      </c>
      <c r="U55" s="196">
        <f t="shared" si="82"/>
        <v>0.0</v>
      </c>
      <c r="V55" s="196">
        <f t="shared" si="82"/>
        <v>0.0</v>
      </c>
      <c r="W55" s="201" t="str">
        <f>IF(X$5=K$5,SUM(Y55:AI55)-SUM(L55:V55),"")</f>
        <v/>
      </c>
      <c r="X55" s="9" t="str">
        <f>LOWER(CtryCode)&amp;".distn."&amp;$A55&amp;IF($B55="","","."&amp;$B55)&amp;IF($C55="","",".dec."&amp;$C55)&amp;"."&amp;X$5</f>
        <v>egy.distn.dpr.coa.res.2</v>
      </c>
      <c r="Y55" s="203">
        <f>DPCHG(INDEX(FromMitigation!$K$12:$IZ$12,Y$8),INDEX(FromMitigation!$K$12:$IZ$12,Y$7))</f>
        <v>0.1543113677846244</v>
      </c>
      <c r="Z55" s="196">
        <f t="shared" ref="Z55:AI55" si="83">Y55</f>
        <v>0.1543113677846244</v>
      </c>
      <c r="AA55" s="196">
        <f t="shared" si="83"/>
        <v>0.1543113677846244</v>
      </c>
      <c r="AB55" s="196">
        <f t="shared" si="83"/>
        <v>0.1543113677846244</v>
      </c>
      <c r="AC55" s="196">
        <f t="shared" si="83"/>
        <v>0.1543113677846244</v>
      </c>
      <c r="AD55" s="196">
        <f t="shared" si="83"/>
        <v>0.1543113677846244</v>
      </c>
      <c r="AE55" s="196">
        <f t="shared" si="83"/>
        <v>0.1543113677846244</v>
      </c>
      <c r="AF55" s="196">
        <f t="shared" si="83"/>
        <v>0.1543113677846244</v>
      </c>
      <c r="AG55" s="196">
        <f t="shared" si="83"/>
        <v>0.1543113677846244</v>
      </c>
      <c r="AH55" s="196">
        <f t="shared" si="83"/>
        <v>0.1543113677846244</v>
      </c>
      <c r="AI55" s="196">
        <f t="shared" si="83"/>
        <v>0.1543113677846244</v>
      </c>
    </row>
    <row r="56" hidden="1" outlineLevel="1">
      <c r="A56" s="44" t="inlineStr">
        <is>
          <t>dpr</t>
        </is>
      </c>
      <c r="B56" s="3" t="inlineStr">
        <is>
          <t>ely.res</t>
        </is>
      </c>
      <c r="C56" s="3" t="inlineStr"/>
      <c r="D56" s="3" t="n"/>
      <c r="E56" s="3" t="n"/>
      <c r="H56" s="3" t="inlineStr">
        <is>
          <t>Electricity: household price change</t>
        </is>
      </c>
      <c r="I56" s="3" t="inlineStr">
        <is>
          <t>fraction</t>
        </is>
      </c>
      <c r="J56" s="118" t="inlineStr">
        <is>
          <t>Mitigation rp.res.ecy</t>
        </is>
      </c>
      <c r="K56" s="9" t="str">
        <f>LOWER(CtryCode)&amp;".distn."&amp;$A56&amp;IF($B56="","","."&amp;$B56)&amp;IF($C56="","",".dec."&amp;$C56)&amp;"."&amp;K$5</f>
        <v>egy.distn.dpr.ely.res.1</v>
      </c>
      <c r="L56" s="202">
        <f>INDEX(FromMitigation!$K$19:$IZ$19,L$8)/INDEX(FromMitigation!$K$19:$IZ$19,L$7)-1</f>
        <v>0.0</v>
      </c>
      <c r="M56" s="196">
        <f t="shared" ref="M56:V56" si="84">L56</f>
        <v>0.0</v>
      </c>
      <c r="N56" s="196">
        <f t="shared" si="84"/>
        <v>0.0</v>
      </c>
      <c r="O56" s="196">
        <f t="shared" si="84"/>
        <v>0.0</v>
      </c>
      <c r="P56" s="196">
        <f t="shared" si="84"/>
        <v>0.0</v>
      </c>
      <c r="Q56" s="196">
        <f t="shared" si="84"/>
        <v>0.0</v>
      </c>
      <c r="R56" s="196">
        <f t="shared" si="84"/>
        <v>0.0</v>
      </c>
      <c r="S56" s="196">
        <f t="shared" si="84"/>
        <v>0.0</v>
      </c>
      <c r="T56" s="196">
        <f t="shared" si="84"/>
        <v>0.0</v>
      </c>
      <c r="U56" s="196">
        <f t="shared" si="84"/>
        <v>0.0</v>
      </c>
      <c r="V56" s="196">
        <f t="shared" si="84"/>
        <v>0.0</v>
      </c>
      <c r="W56" s="201" t="str">
        <f>IF(X$5=K$5,SUM(Y56:AI56)-SUM(L56:V56),"")</f>
        <v/>
      </c>
      <c r="X56" s="9" t="str">
        <f>LOWER(CtryCode)&amp;".distn."&amp;$A56&amp;IF($B56="","","."&amp;$B56)&amp;IF($C56="","",".dec."&amp;$C56)&amp;"."&amp;X$5</f>
        <v>egy.distn.dpr.ely.res.2</v>
      </c>
      <c r="Y56" s="203">
        <f>DPCHG(INDEX(FromMitigation!$K$19:$IZ$19,Y$8),INDEX(FromMitigation!$K$19:$IZ$19,Y$7))</f>
        <v>0.18442159714776163</v>
      </c>
      <c r="Z56" s="196">
        <f t="shared" ref="Z56:AI56" si="85">Y56</f>
        <v>0.18442159714776163</v>
      </c>
      <c r="AA56" s="196">
        <f t="shared" si="85"/>
        <v>0.18442159714776163</v>
      </c>
      <c r="AB56" s="196">
        <f t="shared" si="85"/>
        <v>0.18442159714776163</v>
      </c>
      <c r="AC56" s="196">
        <f t="shared" si="85"/>
        <v>0.18442159714776163</v>
      </c>
      <c r="AD56" s="196">
        <f t="shared" si="85"/>
        <v>0.18442159714776163</v>
      </c>
      <c r="AE56" s="196">
        <f t="shared" si="85"/>
        <v>0.18442159714776163</v>
      </c>
      <c r="AF56" s="196">
        <f t="shared" si="85"/>
        <v>0.18442159714776163</v>
      </c>
      <c r="AG56" s="196">
        <f t="shared" si="85"/>
        <v>0.18442159714776163</v>
      </c>
      <c r="AH56" s="196">
        <f t="shared" si="85"/>
        <v>0.18442159714776163</v>
      </c>
      <c r="AI56" s="196">
        <f t="shared" si="85"/>
        <v>0.18442159714776163</v>
      </c>
    </row>
    <row r="57" hidden="1" outlineLevel="1">
      <c r="A57" s="44" t="inlineStr">
        <is>
          <t>dpr</t>
        </is>
      </c>
      <c r="B57" s="3" t="inlineStr">
        <is>
          <t>nga.res</t>
        </is>
      </c>
      <c r="C57" s="3" t="inlineStr"/>
      <c r="D57" s="3" t="n"/>
      <c r="E57" s="3" t="n"/>
      <c r="H57" s="3" t="inlineStr">
        <is>
          <t>Natural gas: household price change</t>
        </is>
      </c>
      <c r="I57" s="3" t="inlineStr">
        <is>
          <t>fraction</t>
        </is>
      </c>
      <c r="J57" s="118" t="inlineStr">
        <is>
          <t>Mitigation atp.res.nga</t>
        </is>
      </c>
      <c r="K57" s="9" t="str">
        <f>LOWER(CtryCode)&amp;".distn."&amp;$A57&amp;IF($B57="","","."&amp;$B57)&amp;IF($C57="","",".dec."&amp;$C57)&amp;"."&amp;K$5</f>
        <v>egy.distn.dpr.nga.res.1</v>
      </c>
      <c r="L57" s="202">
        <f>INDEX(FromMitigation!$K$13:$IZ$13,L$8)/INDEX(FromMitigation!$K$13:$IZ$13,L$7)-1</f>
        <v>0.0</v>
      </c>
      <c r="M57" s="196">
        <f t="shared" ref="M57:V57" si="86">L57</f>
        <v>0.0</v>
      </c>
      <c r="N57" s="196">
        <f t="shared" si="86"/>
        <v>0.0</v>
      </c>
      <c r="O57" s="196">
        <f t="shared" si="86"/>
        <v>0.0</v>
      </c>
      <c r="P57" s="196">
        <f t="shared" si="86"/>
        <v>0.0</v>
      </c>
      <c r="Q57" s="196">
        <f t="shared" si="86"/>
        <v>0.0</v>
      </c>
      <c r="R57" s="196">
        <f t="shared" si="86"/>
        <v>0.0</v>
      </c>
      <c r="S57" s="196">
        <f t="shared" si="86"/>
        <v>0.0</v>
      </c>
      <c r="T57" s="196">
        <f t="shared" si="86"/>
        <v>0.0</v>
      </c>
      <c r="U57" s="196">
        <f t="shared" si="86"/>
        <v>0.0</v>
      </c>
      <c r="V57" s="196">
        <f t="shared" si="86"/>
        <v>0.0</v>
      </c>
      <c r="W57" s="201" t="str">
        <f>IF(X$5=K$5,SUM(Y57:AI57)-SUM(L57:V57),"")</f>
        <v/>
      </c>
      <c r="X57" s="9" t="str">
        <f>LOWER(CtryCode)&amp;".distn."&amp;$A57&amp;IF($B57="","","."&amp;$B57)&amp;IF($C57="","",".dec."&amp;$C57)&amp;"."&amp;X$5</f>
        <v>egy.distn.dpr.nga.res.2</v>
      </c>
      <c r="Y57" s="203">
        <f>DPCHG(INDEX(FromMitigation!$K$13:$IZ$13,Y$8),INDEX(FromMitigation!$K$13:$IZ$13,Y$7))</f>
        <v>0.6182104233972388</v>
      </c>
      <c r="Z57" s="196">
        <f t="shared" ref="Z57:AI57" si="87">Y57</f>
        <v>0.6182104233972388</v>
      </c>
      <c r="AA57" s="196">
        <f t="shared" si="87"/>
        <v>0.6182104233972388</v>
      </c>
      <c r="AB57" s="196">
        <f t="shared" si="87"/>
        <v>0.6182104233972388</v>
      </c>
      <c r="AC57" s="196">
        <f t="shared" si="87"/>
        <v>0.6182104233972388</v>
      </c>
      <c r="AD57" s="196">
        <f t="shared" si="87"/>
        <v>0.6182104233972388</v>
      </c>
      <c r="AE57" s="196">
        <f t="shared" si="87"/>
        <v>0.6182104233972388</v>
      </c>
      <c r="AF57" s="196">
        <f t="shared" si="87"/>
        <v>0.6182104233972388</v>
      </c>
      <c r="AG57" s="196">
        <f t="shared" si="87"/>
        <v>0.6182104233972388</v>
      </c>
      <c r="AH57" s="196">
        <f t="shared" si="87"/>
        <v>0.6182104233972388</v>
      </c>
      <c r="AI57" s="196">
        <f t="shared" si="87"/>
        <v>0.6182104233972388</v>
      </c>
    </row>
    <row r="58" hidden="1" outlineLevel="1">
      <c r="A58" s="44" t="inlineStr">
        <is>
          <t>dpr</t>
        </is>
      </c>
      <c r="B58" s="3" t="inlineStr">
        <is>
          <t>oop.res</t>
        </is>
      </c>
      <c r="C58" s="3" t="inlineStr"/>
      <c r="D58" s="3" t="n"/>
      <c r="E58" s="3" t="n"/>
      <c r="H58" s="3" t="inlineStr">
        <is>
          <t>Other oil products: household price change</t>
        </is>
      </c>
      <c r="I58" s="3" t="inlineStr">
        <is>
          <t>fraction</t>
        </is>
      </c>
      <c r="J58" s="118" t="inlineStr">
        <is>
          <t>Mitigation atp.res.oop</t>
        </is>
      </c>
      <c r="K58" s="9" t="str">
        <f>LOWER(CtryCode)&amp;".distn."&amp;$A58&amp;IF($B58="","","."&amp;$B58)&amp;IF($C58="","",".dec."&amp;$C58)&amp;"."&amp;K$5</f>
        <v>egy.distn.dpr.oop.res.1</v>
      </c>
      <c r="L58" s="202">
        <f>INDEX(FromMitigation!$K$14:$IZ$14,L$8)/INDEX(FromMitigation!$K$14:$IZ$14,L$7)-1</f>
        <v>0.0</v>
      </c>
      <c r="M58" s="196">
        <f t="shared" ref="M58:V58" si="88">L58</f>
        <v>0.0</v>
      </c>
      <c r="N58" s="196">
        <f t="shared" si="88"/>
        <v>0.0</v>
      </c>
      <c r="O58" s="196">
        <f t="shared" si="88"/>
        <v>0.0</v>
      </c>
      <c r="P58" s="196">
        <f t="shared" si="88"/>
        <v>0.0</v>
      </c>
      <c r="Q58" s="196">
        <f t="shared" si="88"/>
        <v>0.0</v>
      </c>
      <c r="R58" s="196">
        <f t="shared" si="88"/>
        <v>0.0</v>
      </c>
      <c r="S58" s="196">
        <f t="shared" si="88"/>
        <v>0.0</v>
      </c>
      <c r="T58" s="196">
        <f t="shared" si="88"/>
        <v>0.0</v>
      </c>
      <c r="U58" s="196">
        <f t="shared" si="88"/>
        <v>0.0</v>
      </c>
      <c r="V58" s="196">
        <f t="shared" si="88"/>
        <v>0.0</v>
      </c>
      <c r="W58" s="201" t="str">
        <f>IF(X$5=K$5,SUM(Y58:AI58)-SUM(L58:V58),"")</f>
        <v/>
      </c>
      <c r="X58" s="9" t="str">
        <f>LOWER(CtryCode)&amp;".distn."&amp;$A58&amp;IF($B58="","","."&amp;$B58)&amp;IF($C58="","",".dec."&amp;$C58)&amp;"."&amp;X$5</f>
        <v>egy.distn.dpr.oop.res.2</v>
      </c>
      <c r="Y58" s="203">
        <f>DPCHG(INDEX(FromMitigation!$K$14:$IZ$14,Y$8),INDEX(FromMitigation!$K$14:$IZ$14,Y$7))</f>
        <v>0.3648586679315935</v>
      </c>
      <c r="Z58" s="196">
        <f t="shared" ref="Z58:AI58" si="89">Y58</f>
        <v>0.3648586679315935</v>
      </c>
      <c r="AA58" s="196">
        <f t="shared" si="89"/>
        <v>0.3648586679315935</v>
      </c>
      <c r="AB58" s="196">
        <f t="shared" si="89"/>
        <v>0.3648586679315935</v>
      </c>
      <c r="AC58" s="196">
        <f t="shared" si="89"/>
        <v>0.3648586679315935</v>
      </c>
      <c r="AD58" s="196">
        <f t="shared" si="89"/>
        <v>0.3648586679315935</v>
      </c>
      <c r="AE58" s="196">
        <f t="shared" si="89"/>
        <v>0.3648586679315935</v>
      </c>
      <c r="AF58" s="196">
        <f t="shared" si="89"/>
        <v>0.3648586679315935</v>
      </c>
      <c r="AG58" s="196">
        <f t="shared" si="89"/>
        <v>0.3648586679315935</v>
      </c>
      <c r="AH58" s="196">
        <f t="shared" si="89"/>
        <v>0.3648586679315935</v>
      </c>
      <c r="AI58" s="196">
        <f t="shared" si="89"/>
        <v>0.3648586679315935</v>
      </c>
    </row>
    <row r="59" hidden="1" outlineLevel="1">
      <c r="A59" s="44" t="inlineStr">
        <is>
          <t>dpr</t>
        </is>
      </c>
      <c r="B59" s="3" t="inlineStr">
        <is>
          <t>gso.res</t>
        </is>
      </c>
      <c r="C59" s="3" t="inlineStr"/>
      <c r="D59" s="3" t="n"/>
      <c r="E59" s="3" t="n"/>
      <c r="H59" s="3" t="inlineStr">
        <is>
          <t>Gasoline: household price change</t>
        </is>
      </c>
      <c r="I59" s="3" t="inlineStr">
        <is>
          <t>fraction</t>
        </is>
      </c>
      <c r="J59" s="118" t="inlineStr">
        <is>
          <t>Mitigation atp.res.gso</t>
        </is>
      </c>
      <c r="K59" s="9" t="str">
        <f>LOWER(CtryCode)&amp;".distn."&amp;$A59&amp;IF($B59="","","."&amp;$B59)&amp;IF($C59="","",".dec."&amp;$C59)&amp;"."&amp;K$5</f>
        <v>egy.distn.dpr.gso.res.1</v>
      </c>
      <c r="L59" s="202">
        <f>INDEX(FromMitigation!$K$15:$IZ$15,L$8)/INDEX(FromMitigation!$K$15:$IZ$15,L$7)-1</f>
        <v>0.0</v>
      </c>
      <c r="M59" s="196">
        <f t="shared" ref="M59:V59" si="90">L59</f>
        <v>0.0</v>
      </c>
      <c r="N59" s="196">
        <f t="shared" si="90"/>
        <v>0.0</v>
      </c>
      <c r="O59" s="196">
        <f t="shared" si="90"/>
        <v>0.0</v>
      </c>
      <c r="P59" s="196">
        <f t="shared" si="90"/>
        <v>0.0</v>
      </c>
      <c r="Q59" s="196">
        <f t="shared" si="90"/>
        <v>0.0</v>
      </c>
      <c r="R59" s="196">
        <f t="shared" si="90"/>
        <v>0.0</v>
      </c>
      <c r="S59" s="196">
        <f t="shared" si="90"/>
        <v>0.0</v>
      </c>
      <c r="T59" s="196">
        <f t="shared" si="90"/>
        <v>0.0</v>
      </c>
      <c r="U59" s="196">
        <f t="shared" si="90"/>
        <v>0.0</v>
      </c>
      <c r="V59" s="196">
        <f t="shared" si="90"/>
        <v>0.0</v>
      </c>
      <c r="W59" s="201" t="str">
        <f>IF(X$5=K$5,SUM(Y59:AI59)-SUM(L59:V59),"")</f>
        <v/>
      </c>
      <c r="X59" s="9" t="str">
        <f>LOWER(CtryCode)&amp;".distn."&amp;$A59&amp;IF($B59="","","."&amp;$B59)&amp;IF($C59="","",".dec."&amp;$C59)&amp;"."&amp;X$5</f>
        <v>egy.distn.dpr.gso.res.2</v>
      </c>
      <c r="Y59" s="203">
        <f>DPCHG(INDEX(FromMitigation!$K$15:$IZ$15,Y$8),INDEX(FromMitigation!$K$15:$IZ$15,Y$7))</f>
        <v>0.1492596395836725</v>
      </c>
      <c r="Z59" s="196">
        <f t="shared" ref="Z59:AI59" si="91">Y59</f>
        <v>0.1492596395836725</v>
      </c>
      <c r="AA59" s="196">
        <f t="shared" si="91"/>
        <v>0.1492596395836725</v>
      </c>
      <c r="AB59" s="196">
        <f t="shared" si="91"/>
        <v>0.1492596395836725</v>
      </c>
      <c r="AC59" s="196">
        <f t="shared" si="91"/>
        <v>0.1492596395836725</v>
      </c>
      <c r="AD59" s="196">
        <f t="shared" si="91"/>
        <v>0.1492596395836725</v>
      </c>
      <c r="AE59" s="196">
        <f t="shared" si="91"/>
        <v>0.1492596395836725</v>
      </c>
      <c r="AF59" s="196">
        <f t="shared" si="91"/>
        <v>0.1492596395836725</v>
      </c>
      <c r="AG59" s="196">
        <f t="shared" si="91"/>
        <v>0.1492596395836725</v>
      </c>
      <c r="AH59" s="196">
        <f t="shared" si="91"/>
        <v>0.1492596395836725</v>
      </c>
      <c r="AI59" s="196">
        <f t="shared" si="91"/>
        <v>0.1492596395836725</v>
      </c>
    </row>
    <row r="60" hidden="1" outlineLevel="1">
      <c r="A60" s="44" t="inlineStr">
        <is>
          <t>dpr</t>
        </is>
      </c>
      <c r="B60" s="3" t="inlineStr">
        <is>
          <t>die.res</t>
        </is>
      </c>
      <c r="C60" s="3" t="inlineStr"/>
      <c r="D60" s="3" t="n"/>
      <c r="E60" s="3" t="n"/>
      <c r="H60" s="3" t="inlineStr">
        <is>
          <t>Diesel: household price change</t>
        </is>
      </c>
      <c r="I60" s="3" t="inlineStr">
        <is>
          <t>fraction</t>
        </is>
      </c>
      <c r="J60" s="118" t="inlineStr">
        <is>
          <t>Mitigation atp.res.die</t>
        </is>
      </c>
      <c r="K60" s="9" t="str">
        <f>LOWER(CtryCode)&amp;".distn."&amp;$A60&amp;IF($B60="","","."&amp;$B60)&amp;IF($C60="","",".dec."&amp;$C60)&amp;"."&amp;K$5</f>
        <v>egy.distn.dpr.die.res.1</v>
      </c>
      <c r="L60" s="202">
        <f>INDEX(FromMitigation!$K$16:$IZ$16,L$8)/INDEX(FromMitigation!$K$16:$IZ$16,L$7)-1</f>
        <v>0.0</v>
      </c>
      <c r="M60" s="196">
        <f t="shared" ref="M60:V60" si="92">L60</f>
        <v>0.0</v>
      </c>
      <c r="N60" s="196">
        <f t="shared" si="92"/>
        <v>0.0</v>
      </c>
      <c r="O60" s="196">
        <f t="shared" si="92"/>
        <v>0.0</v>
      </c>
      <c r="P60" s="196">
        <f t="shared" si="92"/>
        <v>0.0</v>
      </c>
      <c r="Q60" s="196">
        <f t="shared" si="92"/>
        <v>0.0</v>
      </c>
      <c r="R60" s="196">
        <f t="shared" si="92"/>
        <v>0.0</v>
      </c>
      <c r="S60" s="196">
        <f t="shared" si="92"/>
        <v>0.0</v>
      </c>
      <c r="T60" s="196">
        <f t="shared" si="92"/>
        <v>0.0</v>
      </c>
      <c r="U60" s="196">
        <f t="shared" si="92"/>
        <v>0.0</v>
      </c>
      <c r="V60" s="196">
        <f t="shared" si="92"/>
        <v>0.0</v>
      </c>
      <c r="W60" s="201" t="str">
        <f>IF(X$5=K$5,SUM(Y60:AI60)-SUM(L60:V60),"")</f>
        <v/>
      </c>
      <c r="X60" s="9" t="str">
        <f>LOWER(CtryCode)&amp;".distn."&amp;$A60&amp;IF($B60="","","."&amp;$B60)&amp;IF($C60="","",".dec."&amp;$C60)&amp;"."&amp;X$5</f>
        <v>egy.distn.dpr.die.res.2</v>
      </c>
      <c r="Y60" s="203">
        <f>DPCHG(INDEX(FromMitigation!$K$16:$IZ$16,Y$8),INDEX(FromMitigation!$K$16:$IZ$16,Y$7))</f>
        <v>0.21407937471810867</v>
      </c>
      <c r="Z60" s="196">
        <f t="shared" ref="Z60:AI60" si="93">Y60</f>
        <v>0.21407937471810867</v>
      </c>
      <c r="AA60" s="196">
        <f t="shared" si="93"/>
        <v>0.21407937471810867</v>
      </c>
      <c r="AB60" s="196">
        <f t="shared" si="93"/>
        <v>0.21407937471810867</v>
      </c>
      <c r="AC60" s="196">
        <f t="shared" si="93"/>
        <v>0.21407937471810867</v>
      </c>
      <c r="AD60" s="196">
        <f t="shared" si="93"/>
        <v>0.21407937471810867</v>
      </c>
      <c r="AE60" s="196">
        <f t="shared" si="93"/>
        <v>0.21407937471810867</v>
      </c>
      <c r="AF60" s="196">
        <f t="shared" si="93"/>
        <v>0.21407937471810867</v>
      </c>
      <c r="AG60" s="196">
        <f t="shared" si="93"/>
        <v>0.21407937471810867</v>
      </c>
      <c r="AH60" s="196">
        <f t="shared" si="93"/>
        <v>0.21407937471810867</v>
      </c>
      <c r="AI60" s="196">
        <f t="shared" si="93"/>
        <v>0.21407937471810867</v>
      </c>
    </row>
    <row r="61" hidden="1" outlineLevel="1">
      <c r="A61" s="44" t="inlineStr">
        <is>
          <t>dpr</t>
        </is>
      </c>
      <c r="B61" s="3" t="inlineStr">
        <is>
          <t>ker.res</t>
        </is>
      </c>
      <c r="C61" s="3" t="inlineStr"/>
      <c r="D61" s="3" t="n"/>
      <c r="E61" s="3" t="n"/>
      <c r="H61" s="3" t="inlineStr">
        <is>
          <t>Kerosene: household price change</t>
        </is>
      </c>
      <c r="I61" s="3" t="inlineStr">
        <is>
          <t>fraction</t>
        </is>
      </c>
      <c r="J61" s="118" t="inlineStr">
        <is>
          <t>Mitigation atp.res.ker</t>
        </is>
      </c>
      <c r="K61" s="9" t="str">
        <f>LOWER(CtryCode)&amp;".distn."&amp;$A61&amp;IF($B61="","","."&amp;$B61)&amp;IF($C61="","",".dec."&amp;$C61)&amp;"."&amp;K$5</f>
        <v>egy.distn.dpr.ker.res.1</v>
      </c>
      <c r="L61" s="202">
        <f>INDEX(FromMitigation!$K$17:$IZ$17,L$8)/INDEX(FromMitigation!$K$17:$IZ$17,L$7)-1</f>
        <v>0.0</v>
      </c>
      <c r="M61" s="196">
        <f t="shared" ref="M61:V61" si="94">L61</f>
        <v>0.0</v>
      </c>
      <c r="N61" s="196">
        <f t="shared" si="94"/>
        <v>0.0</v>
      </c>
      <c r="O61" s="196">
        <f t="shared" si="94"/>
        <v>0.0</v>
      </c>
      <c r="P61" s="196">
        <f t="shared" si="94"/>
        <v>0.0</v>
      </c>
      <c r="Q61" s="196">
        <f t="shared" si="94"/>
        <v>0.0</v>
      </c>
      <c r="R61" s="196">
        <f t="shared" si="94"/>
        <v>0.0</v>
      </c>
      <c r="S61" s="196">
        <f t="shared" si="94"/>
        <v>0.0</v>
      </c>
      <c r="T61" s="196">
        <f t="shared" si="94"/>
        <v>0.0</v>
      </c>
      <c r="U61" s="196">
        <f t="shared" si="94"/>
        <v>0.0</v>
      </c>
      <c r="V61" s="196">
        <f t="shared" si="94"/>
        <v>0.0</v>
      </c>
      <c r="W61" s="201" t="str">
        <f>IF(X$5=K$5,SUM(Y61:AI61)-SUM(L61:V61),"")</f>
        <v/>
      </c>
      <c r="X61" s="9" t="str">
        <f>LOWER(CtryCode)&amp;".distn."&amp;$A61&amp;IF($B61="","","."&amp;$B61)&amp;IF($C61="","",".dec."&amp;$C61)&amp;"."&amp;X$5</f>
        <v>egy.distn.dpr.ker.res.2</v>
      </c>
      <c r="Y61" s="203">
        <f>DPCHG(INDEX(FromMitigation!$K$17:$IZ$17,Y$8),INDEX(FromMitigation!$K$17:$IZ$17,Y$7))</f>
        <v>0.19289816316017028</v>
      </c>
      <c r="Z61" s="196">
        <f t="shared" ref="Z61:AI61" si="95">Y61</f>
        <v>0.19289816316017028</v>
      </c>
      <c r="AA61" s="196">
        <f t="shared" si="95"/>
        <v>0.19289816316017028</v>
      </c>
      <c r="AB61" s="196">
        <f t="shared" si="95"/>
        <v>0.19289816316017028</v>
      </c>
      <c r="AC61" s="196">
        <f t="shared" si="95"/>
        <v>0.19289816316017028</v>
      </c>
      <c r="AD61" s="196">
        <f t="shared" si="95"/>
        <v>0.19289816316017028</v>
      </c>
      <c r="AE61" s="196">
        <f t="shared" si="95"/>
        <v>0.19289816316017028</v>
      </c>
      <c r="AF61" s="196">
        <f t="shared" si="95"/>
        <v>0.19289816316017028</v>
      </c>
      <c r="AG61" s="196">
        <f t="shared" si="95"/>
        <v>0.19289816316017028</v>
      </c>
      <c r="AH61" s="196">
        <f t="shared" si="95"/>
        <v>0.19289816316017028</v>
      </c>
      <c r="AI61" s="196">
        <f t="shared" si="95"/>
        <v>0.19289816316017028</v>
      </c>
    </row>
    <row r="62" hidden="1" outlineLevel="1">
      <c r="A62" s="44" t="inlineStr">
        <is>
          <t>dpr</t>
        </is>
      </c>
      <c r="B62" s="3" t="inlineStr">
        <is>
          <t>lpg.res</t>
        </is>
      </c>
      <c r="C62" s="3" t="inlineStr"/>
      <c r="D62" s="3" t="n"/>
      <c r="E62" s="3" t="n"/>
      <c r="H62" s="3" t="inlineStr">
        <is>
          <t>LPG: household price change</t>
        </is>
      </c>
      <c r="I62" s="3" t="inlineStr">
        <is>
          <t>fraction</t>
        </is>
      </c>
      <c r="J62" s="118" t="inlineStr">
        <is>
          <t>Mitigation atp.res.lpg</t>
        </is>
      </c>
      <c r="K62" s="9" t="str">
        <f>LOWER(CtryCode)&amp;".distn."&amp;$A62&amp;IF($B62="","","."&amp;$B62)&amp;IF($C62="","",".dec."&amp;$C62)&amp;"."&amp;K$5</f>
        <v>egy.distn.dpr.lpg.res.1</v>
      </c>
      <c r="L62" s="202">
        <f>INDEX(FromMitigation!$K$18:$IZ$18,L$8)/INDEX(FromMitigation!$K$18:$IZ$18,L$7)-1</f>
        <v>0.0</v>
      </c>
      <c r="M62" s="196">
        <f t="shared" ref="M62:V62" si="96">L62</f>
        <v>0.0</v>
      </c>
      <c r="N62" s="196">
        <f t="shared" si="96"/>
        <v>0.0</v>
      </c>
      <c r="O62" s="196">
        <f t="shared" si="96"/>
        <v>0.0</v>
      </c>
      <c r="P62" s="196">
        <f t="shared" si="96"/>
        <v>0.0</v>
      </c>
      <c r="Q62" s="196">
        <f t="shared" si="96"/>
        <v>0.0</v>
      </c>
      <c r="R62" s="196">
        <f t="shared" si="96"/>
        <v>0.0</v>
      </c>
      <c r="S62" s="196">
        <f t="shared" si="96"/>
        <v>0.0</v>
      </c>
      <c r="T62" s="196">
        <f t="shared" si="96"/>
        <v>0.0</v>
      </c>
      <c r="U62" s="196">
        <f t="shared" si="96"/>
        <v>0.0</v>
      </c>
      <c r="V62" s="196">
        <f t="shared" si="96"/>
        <v>0.0</v>
      </c>
      <c r="W62" s="201" t="str">
        <f>IF(X$5=K$5,SUM(Y62:AI62)-SUM(L62:V62),"")</f>
        <v/>
      </c>
      <c r="X62" s="9" t="str">
        <f>LOWER(CtryCode)&amp;".distn."&amp;$A62&amp;IF($B62="","","."&amp;$B62)&amp;IF($C62="","",".dec."&amp;$C62)&amp;"."&amp;X$5</f>
        <v>egy.distn.dpr.lpg.res.2</v>
      </c>
      <c r="Y62" s="203">
        <f>DPCHG(INDEX(FromMitigation!$K$18:$IZ$18,Y$8),INDEX(FromMitigation!$K$18:$IZ$18,Y$7))</f>
        <v>0.335740253699061</v>
      </c>
      <c r="Z62" s="196">
        <f t="shared" ref="Z62:AI62" si="97">Y62</f>
        <v>0.335740253699061</v>
      </c>
      <c r="AA62" s="196">
        <f t="shared" si="97"/>
        <v>0.335740253699061</v>
      </c>
      <c r="AB62" s="196">
        <f t="shared" si="97"/>
        <v>0.335740253699061</v>
      </c>
      <c r="AC62" s="196">
        <f t="shared" si="97"/>
        <v>0.335740253699061</v>
      </c>
      <c r="AD62" s="196">
        <f t="shared" si="97"/>
        <v>0.335740253699061</v>
      </c>
      <c r="AE62" s="196">
        <f t="shared" si="97"/>
        <v>0.335740253699061</v>
      </c>
      <c r="AF62" s="196">
        <f t="shared" si="97"/>
        <v>0.335740253699061</v>
      </c>
      <c r="AG62" s="196">
        <f t="shared" si="97"/>
        <v>0.335740253699061</v>
      </c>
      <c r="AH62" s="196">
        <f t="shared" si="97"/>
        <v>0.335740253699061</v>
      </c>
      <c r="AI62" s="196">
        <f t="shared" si="97"/>
        <v>0.335740253699061</v>
      </c>
    </row>
    <row r="63" hidden="1" outlineLevel="1"/>
    <row r="64" hidden="1" outlineLevel="1">
      <c r="B64" s="31" t="inlineStr">
        <is>
          <t>Economy-wide fuel prices (industry or all sectors): change against scenario 1, and baseline spending</t>
        </is>
      </c>
    </row>
    <row r="65" hidden="1" outlineLevel="1">
      <c r="A65" s="44" t="inlineStr">
        <is>
          <t>dpa</t>
        </is>
      </c>
      <c r="B65" s="3" t="inlineStr">
        <is>
          <t>coa</t>
        </is>
      </c>
      <c r="C65" s="3" t="inlineStr"/>
      <c r="D65" s="3" t="inlineStr">
        <is>
          <t>coa</t>
        </is>
      </c>
      <c r="E65" s="3" t="n"/>
      <c r="H65" s="3" t="inlineStr">
        <is>
          <t>Coal: economy-wide price change</t>
        </is>
      </c>
      <c r="I65" s="3" t="inlineStr">
        <is>
          <t>fraction</t>
        </is>
      </c>
      <c r="J65" s="118" t="inlineStr">
        <is>
          <t>Mitigation rpn.ind.coa</t>
        </is>
      </c>
      <c r="K65" s="9" t="str">
        <f>LOWER(CtryCode)&amp;".distn."&amp;$A65&amp;IF($B65="","","."&amp;$B65)&amp;IF($C65="","",".dec."&amp;$C65)&amp;"."&amp;K$5</f>
        <v>egy.distn.dpa.coa.1</v>
      </c>
      <c r="L65" s="202">
        <f>INDEX(FromMitigation!$K$20:$IZ$20,L$8)/INDEX(FromMitigation!$K$20:$IZ$20,L$7)-1</f>
        <v>0.0</v>
      </c>
      <c r="M65" s="196">
        <f t="shared" ref="M65:V65" si="98">L65</f>
        <v>0.0</v>
      </c>
      <c r="N65" s="196">
        <f t="shared" si="98"/>
        <v>0.0</v>
      </c>
      <c r="O65" s="196">
        <f t="shared" si="98"/>
        <v>0.0</v>
      </c>
      <c r="P65" s="196">
        <f t="shared" si="98"/>
        <v>0.0</v>
      </c>
      <c r="Q65" s="196">
        <f t="shared" si="98"/>
        <v>0.0</v>
      </c>
      <c r="R65" s="196">
        <f t="shared" si="98"/>
        <v>0.0</v>
      </c>
      <c r="S65" s="196">
        <f t="shared" si="98"/>
        <v>0.0</v>
      </c>
      <c r="T65" s="196">
        <f t="shared" si="98"/>
        <v>0.0</v>
      </c>
      <c r="U65" s="196">
        <f t="shared" si="98"/>
        <v>0.0</v>
      </c>
      <c r="V65" s="196">
        <f t="shared" si="98"/>
        <v>0.0</v>
      </c>
      <c r="W65" s="201" t="str">
        <f>IF(X$5=K$5,SUM(Y65:AI65)-SUM(L65:V65),"")</f>
        <v/>
      </c>
      <c r="X65" s="9" t="str">
        <f>LOWER(CtryCode)&amp;".distn."&amp;$A65&amp;IF($B65="","","."&amp;$B65)&amp;IF($C65="","",".dec."&amp;$C65)&amp;"."&amp;X$5</f>
        <v>egy.distn.dpa.coa.2</v>
      </c>
      <c r="Y65" s="203">
        <f>DPCHG(INDEX(FromMitigation!$K$20:$IZ$20,Y$8),INDEX(FromMitigation!$K$20:$IZ$20,Y$7))</f>
        <v>0.2771965126031528</v>
      </c>
      <c r="Z65" s="196">
        <f t="shared" ref="Z65:AI65" si="99">Y65</f>
        <v>0.2771965126031528</v>
      </c>
      <c r="AA65" s="196">
        <f t="shared" si="99"/>
        <v>0.2771965126031528</v>
      </c>
      <c r="AB65" s="196">
        <f t="shared" si="99"/>
        <v>0.2771965126031528</v>
      </c>
      <c r="AC65" s="196">
        <f t="shared" si="99"/>
        <v>0.2771965126031528</v>
      </c>
      <c r="AD65" s="196">
        <f t="shared" si="99"/>
        <v>0.2771965126031528</v>
      </c>
      <c r="AE65" s="196">
        <f t="shared" si="99"/>
        <v>0.2771965126031528</v>
      </c>
      <c r="AF65" s="196">
        <f t="shared" si="99"/>
        <v>0.2771965126031528</v>
      </c>
      <c r="AG65" s="196">
        <f t="shared" si="99"/>
        <v>0.2771965126031528</v>
      </c>
      <c r="AH65" s="196">
        <f t="shared" si="99"/>
        <v>0.2771965126031528</v>
      </c>
      <c r="AI65" s="196">
        <f t="shared" si="99"/>
        <v>0.2771965126031528</v>
      </c>
    </row>
    <row r="66" hidden="1" outlineLevel="1">
      <c r="A66" s="44" t="inlineStr">
        <is>
          <t>dpa</t>
        </is>
      </c>
      <c r="B66" s="3" t="inlineStr">
        <is>
          <t>nga</t>
        </is>
      </c>
      <c r="C66" s="3" t="inlineStr"/>
      <c r="D66" s="3" t="inlineStr">
        <is>
          <t>nga</t>
        </is>
      </c>
      <c r="E66" s="3" t="n"/>
      <c r="H66" s="3" t="inlineStr">
        <is>
          <t>Natural gas: economy-wide price change</t>
        </is>
      </c>
      <c r="I66" s="3" t="inlineStr">
        <is>
          <t>fraction</t>
        </is>
      </c>
      <c r="J66" s="118" t="inlineStr">
        <is>
          <t>Mitigation rpn.ind.nga</t>
        </is>
      </c>
      <c r="K66" s="9" t="str">
        <f>LOWER(CtryCode)&amp;".distn."&amp;$A66&amp;IF($B66="","","."&amp;$B66)&amp;IF($C66="","",".dec."&amp;$C66)&amp;"."&amp;K$5</f>
        <v>egy.distn.dpa.nga.1</v>
      </c>
      <c r="L66" s="202">
        <f>INDEX(FromMitigation!$K$21:$IZ$21,L$8)/INDEX(FromMitigation!$K$21:$IZ$21,L$7)-1</f>
        <v>0.0</v>
      </c>
      <c r="M66" s="196">
        <f t="shared" ref="M66:V66" si="100">L66</f>
        <v>0.0</v>
      </c>
      <c r="N66" s="196">
        <f t="shared" si="100"/>
        <v>0.0</v>
      </c>
      <c r="O66" s="196">
        <f t="shared" si="100"/>
        <v>0.0</v>
      </c>
      <c r="P66" s="196">
        <f t="shared" si="100"/>
        <v>0.0</v>
      </c>
      <c r="Q66" s="196">
        <f t="shared" si="100"/>
        <v>0.0</v>
      </c>
      <c r="R66" s="196">
        <f t="shared" si="100"/>
        <v>0.0</v>
      </c>
      <c r="S66" s="196">
        <f t="shared" si="100"/>
        <v>0.0</v>
      </c>
      <c r="T66" s="196">
        <f t="shared" si="100"/>
        <v>0.0</v>
      </c>
      <c r="U66" s="196">
        <f t="shared" si="100"/>
        <v>0.0</v>
      </c>
      <c r="V66" s="196">
        <f t="shared" si="100"/>
        <v>0.0</v>
      </c>
      <c r="W66" s="201" t="str">
        <f>IF(X$5=K$5,SUM(Y66:AI66)-SUM(L66:V66),"")</f>
        <v/>
      </c>
      <c r="X66" s="9" t="str">
        <f>LOWER(CtryCode)&amp;".distn."&amp;$A66&amp;IF($B66="","","."&amp;$B66)&amp;IF($C66="","",".dec."&amp;$C66)&amp;"."&amp;X$5</f>
        <v>egy.distn.dpa.nga.2</v>
      </c>
      <c r="Y66" s="203">
        <f>DPCHG(INDEX(FromMitigation!$K$21:$IZ$21,Y$8),INDEX(FromMitigation!$K$21:$IZ$21,Y$7))</f>
        <v>0.22743530745785767</v>
      </c>
      <c r="Z66" s="196">
        <f t="shared" ref="Z66:AI66" si="101">Y66</f>
        <v>0.22743530745785767</v>
      </c>
      <c r="AA66" s="196">
        <f t="shared" si="101"/>
        <v>0.22743530745785767</v>
      </c>
      <c r="AB66" s="196">
        <f t="shared" si="101"/>
        <v>0.22743530745785767</v>
      </c>
      <c r="AC66" s="196">
        <f t="shared" si="101"/>
        <v>0.22743530745785767</v>
      </c>
      <c r="AD66" s="196">
        <f t="shared" si="101"/>
        <v>0.22743530745785767</v>
      </c>
      <c r="AE66" s="196">
        <f t="shared" si="101"/>
        <v>0.22743530745785767</v>
      </c>
      <c r="AF66" s="196">
        <f t="shared" si="101"/>
        <v>0.22743530745785767</v>
      </c>
      <c r="AG66" s="196">
        <f t="shared" si="101"/>
        <v>0.22743530745785767</v>
      </c>
      <c r="AH66" s="196">
        <f t="shared" si="101"/>
        <v>0.22743530745785767</v>
      </c>
      <c r="AI66" s="196">
        <f t="shared" si="101"/>
        <v>0.22743530745785767</v>
      </c>
    </row>
    <row r="67" hidden="1" outlineLevel="1">
      <c r="A67" s="44" t="inlineStr">
        <is>
          <t>dpa</t>
        </is>
      </c>
      <c r="B67" s="3" t="inlineStr">
        <is>
          <t>oop</t>
        </is>
      </c>
      <c r="C67" s="3" t="inlineStr"/>
      <c r="D67" s="3" t="inlineStr">
        <is>
          <t>oil</t>
        </is>
      </c>
      <c r="E67" s="3" t="n"/>
      <c r="H67" s="3" t="inlineStr">
        <is>
          <t>Other oil products: economy-wide price change</t>
        </is>
      </c>
      <c r="I67" s="3" t="inlineStr">
        <is>
          <t>fraction</t>
        </is>
      </c>
      <c r="J67" s="118" t="inlineStr">
        <is>
          <t>Mitigation rpn.all.oop</t>
        </is>
      </c>
      <c r="K67" s="9" t="str">
        <f>LOWER(CtryCode)&amp;".distn."&amp;$A67&amp;IF($B67="","","."&amp;$B67)&amp;IF($C67="","",".dec."&amp;$C67)&amp;"."&amp;K$5</f>
        <v>egy.distn.dpa.oop.1</v>
      </c>
      <c r="L67" s="202">
        <f>INDEX(FromMitigation!$K$22:$IZ$22,L$8)/INDEX(FromMitigation!$K$22:$IZ$22,L$7)-1</f>
        <v>0.0</v>
      </c>
      <c r="M67" s="196">
        <f t="shared" ref="M67:V67" si="102">L67</f>
        <v>0.0</v>
      </c>
      <c r="N67" s="196">
        <f t="shared" si="102"/>
        <v>0.0</v>
      </c>
      <c r="O67" s="196">
        <f t="shared" si="102"/>
        <v>0.0</v>
      </c>
      <c r="P67" s="196">
        <f t="shared" si="102"/>
        <v>0.0</v>
      </c>
      <c r="Q67" s="196">
        <f t="shared" si="102"/>
        <v>0.0</v>
      </c>
      <c r="R67" s="196">
        <f t="shared" si="102"/>
        <v>0.0</v>
      </c>
      <c r="S67" s="196">
        <f t="shared" si="102"/>
        <v>0.0</v>
      </c>
      <c r="T67" s="196">
        <f t="shared" si="102"/>
        <v>0.0</v>
      </c>
      <c r="U67" s="196">
        <f t="shared" si="102"/>
        <v>0.0</v>
      </c>
      <c r="V67" s="196">
        <f t="shared" si="102"/>
        <v>0.0</v>
      </c>
      <c r="W67" s="201" t="str">
        <f>IF(X$5=K$5,SUM(Y67:AI67)-SUM(L67:V67),"")</f>
        <v/>
      </c>
      <c r="X67" s="9" t="str">
        <f>LOWER(CtryCode)&amp;".distn."&amp;$A67&amp;IF($B67="","","."&amp;$B67)&amp;IF($C67="","",".dec."&amp;$C67)&amp;"."&amp;X$5</f>
        <v>egy.distn.dpa.oop.2</v>
      </c>
      <c r="Y67" s="203">
        <f>DPCHG(INDEX(FromMitigation!$K$22:$IZ$22,Y$8),INDEX(FromMitigation!$K$22:$IZ$22,Y$7))</f>
        <v>0.34786826272573634</v>
      </c>
      <c r="Z67" s="196">
        <f t="shared" ref="Z67:AI67" si="103">Y67</f>
        <v>0.34786826272573634</v>
      </c>
      <c r="AA67" s="196">
        <f t="shared" si="103"/>
        <v>0.34786826272573634</v>
      </c>
      <c r="AB67" s="196">
        <f t="shared" si="103"/>
        <v>0.34786826272573634</v>
      </c>
      <c r="AC67" s="196">
        <f t="shared" si="103"/>
        <v>0.34786826272573634</v>
      </c>
      <c r="AD67" s="196">
        <f t="shared" si="103"/>
        <v>0.34786826272573634</v>
      </c>
      <c r="AE67" s="196">
        <f t="shared" si="103"/>
        <v>0.34786826272573634</v>
      </c>
      <c r="AF67" s="196">
        <f t="shared" si="103"/>
        <v>0.34786826272573634</v>
      </c>
      <c r="AG67" s="196">
        <f t="shared" si="103"/>
        <v>0.34786826272573634</v>
      </c>
      <c r="AH67" s="196">
        <f t="shared" si="103"/>
        <v>0.34786826272573634</v>
      </c>
      <c r="AI67" s="196">
        <f t="shared" si="103"/>
        <v>0.34786826272573634</v>
      </c>
    </row>
    <row r="68" hidden="1" outlineLevel="1">
      <c r="A68" s="44" t="inlineStr">
        <is>
          <t>dpa</t>
        </is>
      </c>
      <c r="B68" s="3" t="inlineStr">
        <is>
          <t>gso</t>
        </is>
      </c>
      <c r="C68" s="3" t="inlineStr"/>
      <c r="D68" s="3" t="inlineStr">
        <is>
          <t>p_c</t>
        </is>
      </c>
      <c r="E68" s="3" t="n"/>
      <c r="H68" s="3" t="inlineStr">
        <is>
          <t>Gasoline: economy-wide price change</t>
        </is>
      </c>
      <c r="I68" s="3" t="inlineStr">
        <is>
          <t>fraction</t>
        </is>
      </c>
      <c r="J68" s="118" t="inlineStr">
        <is>
          <t>Mitigation rpn.all.gso</t>
        </is>
      </c>
      <c r="K68" s="9" t="str">
        <f>LOWER(CtryCode)&amp;".distn."&amp;$A68&amp;IF($B68="","","."&amp;$B68)&amp;IF($C68="","",".dec."&amp;$C68)&amp;"."&amp;K$5</f>
        <v>egy.distn.dpa.gso.1</v>
      </c>
      <c r="L68" s="202">
        <f>INDEX(FromMitigation!$K$23:$IZ$23,L$8)/INDEX(FromMitigation!$K$23:$IZ$23,L$7)-1</f>
        <v>0.0</v>
      </c>
      <c r="M68" s="196">
        <f t="shared" ref="M68:V68" si="104">L68</f>
        <v>0.0</v>
      </c>
      <c r="N68" s="196">
        <f t="shared" si="104"/>
        <v>0.0</v>
      </c>
      <c r="O68" s="196">
        <f t="shared" si="104"/>
        <v>0.0</v>
      </c>
      <c r="P68" s="196">
        <f t="shared" si="104"/>
        <v>0.0</v>
      </c>
      <c r="Q68" s="196">
        <f t="shared" si="104"/>
        <v>0.0</v>
      </c>
      <c r="R68" s="196">
        <f t="shared" si="104"/>
        <v>0.0</v>
      </c>
      <c r="S68" s="196">
        <f t="shared" si="104"/>
        <v>0.0</v>
      </c>
      <c r="T68" s="196">
        <f t="shared" si="104"/>
        <v>0.0</v>
      </c>
      <c r="U68" s="196">
        <f t="shared" si="104"/>
        <v>0.0</v>
      </c>
      <c r="V68" s="196">
        <f t="shared" si="104"/>
        <v>0.0</v>
      </c>
      <c r="W68" s="201" t="str">
        <f>IF(X$5=K$5,SUM(Y68:AI68)-SUM(L68:V68),"")</f>
        <v/>
      </c>
      <c r="X68" s="9" t="str">
        <f>LOWER(CtryCode)&amp;".distn."&amp;$A68&amp;IF($B68="","","."&amp;$B68)&amp;IF($C68="","",".dec."&amp;$C68)&amp;"."&amp;X$5</f>
        <v>egy.distn.dpa.gso.2</v>
      </c>
      <c r="Y68" s="203">
        <f>DPCHG(INDEX(FromMitigation!$K$23:$IZ$23,Y$8),INDEX(FromMitigation!$K$23:$IZ$23,Y$7))</f>
        <v>0.14408437646223127</v>
      </c>
      <c r="Z68" s="196">
        <f t="shared" ref="Z68:AI68" si="105">Y68</f>
        <v>0.14408437646223127</v>
      </c>
      <c r="AA68" s="196">
        <f t="shared" si="105"/>
        <v>0.14408437646223127</v>
      </c>
      <c r="AB68" s="196">
        <f t="shared" si="105"/>
        <v>0.14408437646223127</v>
      </c>
      <c r="AC68" s="196">
        <f t="shared" si="105"/>
        <v>0.14408437646223127</v>
      </c>
      <c r="AD68" s="196">
        <f t="shared" si="105"/>
        <v>0.14408437646223127</v>
      </c>
      <c r="AE68" s="196">
        <f t="shared" si="105"/>
        <v>0.14408437646223127</v>
      </c>
      <c r="AF68" s="196">
        <f t="shared" si="105"/>
        <v>0.14408437646223127</v>
      </c>
      <c r="AG68" s="196">
        <f t="shared" si="105"/>
        <v>0.14408437646223127</v>
      </c>
      <c r="AH68" s="196">
        <f t="shared" si="105"/>
        <v>0.14408437646223127</v>
      </c>
      <c r="AI68" s="196">
        <f t="shared" si="105"/>
        <v>0.14408437646223127</v>
      </c>
    </row>
    <row r="69" hidden="1" outlineLevel="1">
      <c r="A69" s="44" t="inlineStr">
        <is>
          <t>dpa</t>
        </is>
      </c>
      <c r="B69" s="3" t="inlineStr">
        <is>
          <t>die</t>
        </is>
      </c>
      <c r="C69" s="3" t="inlineStr"/>
      <c r="D69" s="3" t="inlineStr">
        <is>
          <t>p_c</t>
        </is>
      </c>
      <c r="E69" s="3" t="n"/>
      <c r="H69" s="3" t="inlineStr">
        <is>
          <t>Diesel: economy-wide price change</t>
        </is>
      </c>
      <c r="I69" s="3" t="inlineStr">
        <is>
          <t>fraction</t>
        </is>
      </c>
      <c r="J69" s="118" t="inlineStr">
        <is>
          <t>Mitigation rpn.all.die</t>
        </is>
      </c>
      <c r="K69" s="9" t="str">
        <f>LOWER(CtryCode)&amp;".distn."&amp;$A69&amp;IF($B69="","","."&amp;$B69)&amp;IF($C69="","",".dec."&amp;$C69)&amp;"."&amp;K$5</f>
        <v>egy.distn.dpa.die.1</v>
      </c>
      <c r="L69" s="202">
        <f>INDEX(FromMitigation!$K$24:$IZ$24,L$8)/INDEX(FromMitigation!$K$24:$IZ$24,L$7)-1</f>
        <v>0.0</v>
      </c>
      <c r="M69" s="196">
        <f t="shared" ref="M69:V69" si="106">L69</f>
        <v>0.0</v>
      </c>
      <c r="N69" s="196">
        <f t="shared" si="106"/>
        <v>0.0</v>
      </c>
      <c r="O69" s="196">
        <f t="shared" si="106"/>
        <v>0.0</v>
      </c>
      <c r="P69" s="196">
        <f t="shared" si="106"/>
        <v>0.0</v>
      </c>
      <c r="Q69" s="196">
        <f t="shared" si="106"/>
        <v>0.0</v>
      </c>
      <c r="R69" s="196">
        <f t="shared" si="106"/>
        <v>0.0</v>
      </c>
      <c r="S69" s="196">
        <f t="shared" si="106"/>
        <v>0.0</v>
      </c>
      <c r="T69" s="196">
        <f t="shared" si="106"/>
        <v>0.0</v>
      </c>
      <c r="U69" s="196">
        <f t="shared" si="106"/>
        <v>0.0</v>
      </c>
      <c r="V69" s="196">
        <f t="shared" si="106"/>
        <v>0.0</v>
      </c>
      <c r="W69" s="201" t="str">
        <f>IF(X$5=K$5,SUM(Y69:AI69)-SUM(L69:V69),"")</f>
        <v/>
      </c>
      <c r="X69" s="9" t="str">
        <f>LOWER(CtryCode)&amp;".distn."&amp;$A69&amp;IF($B69="","","."&amp;$B69)&amp;IF($C69="","",".dec."&amp;$C69)&amp;"."&amp;X$5</f>
        <v>egy.distn.dpa.die.2</v>
      </c>
      <c r="Y69" s="203">
        <f>DPCHG(INDEX(FromMitigation!$K$24:$IZ$24,Y$8),INDEX(FromMitigation!$K$24:$IZ$24,Y$7))</f>
        <v>0.2079713327247268</v>
      </c>
      <c r="Z69" s="196">
        <f t="shared" ref="Z69:AI69" si="107">Y69</f>
        <v>0.2079713327247268</v>
      </c>
      <c r="AA69" s="196">
        <f t="shared" si="107"/>
        <v>0.2079713327247268</v>
      </c>
      <c r="AB69" s="196">
        <f t="shared" si="107"/>
        <v>0.2079713327247268</v>
      </c>
      <c r="AC69" s="196">
        <f t="shared" si="107"/>
        <v>0.2079713327247268</v>
      </c>
      <c r="AD69" s="196">
        <f t="shared" si="107"/>
        <v>0.2079713327247268</v>
      </c>
      <c r="AE69" s="196">
        <f t="shared" si="107"/>
        <v>0.2079713327247268</v>
      </c>
      <c r="AF69" s="196">
        <f t="shared" si="107"/>
        <v>0.2079713327247268</v>
      </c>
      <c r="AG69" s="196">
        <f t="shared" si="107"/>
        <v>0.2079713327247268</v>
      </c>
      <c r="AH69" s="196">
        <f t="shared" si="107"/>
        <v>0.2079713327247268</v>
      </c>
      <c r="AI69" s="196">
        <f t="shared" si="107"/>
        <v>0.2079713327247268</v>
      </c>
    </row>
    <row r="70" hidden="1" outlineLevel="1">
      <c r="A70" s="44" t="inlineStr">
        <is>
          <t>dpa</t>
        </is>
      </c>
      <c r="B70" s="3" t="inlineStr">
        <is>
          <t>lpg</t>
        </is>
      </c>
      <c r="C70" s="3" t="inlineStr"/>
      <c r="D70" s="3" t="inlineStr">
        <is>
          <t>p_c</t>
        </is>
      </c>
      <c r="E70" s="3" t="n"/>
      <c r="H70" s="3" t="inlineStr">
        <is>
          <t>LPG: economy-wide price change</t>
        </is>
      </c>
      <c r="I70" s="3" t="inlineStr">
        <is>
          <t>fraction</t>
        </is>
      </c>
      <c r="J70" s="118" t="inlineStr">
        <is>
          <t>Mitigation rpn.all.lpg</t>
        </is>
      </c>
      <c r="K70" s="9" t="str">
        <f>LOWER(CtryCode)&amp;".distn."&amp;$A70&amp;IF($B70="","","."&amp;$B70)&amp;IF($C70="","",".dec."&amp;$C70)&amp;"."&amp;K$5</f>
        <v>egy.distn.dpa.lpg.1</v>
      </c>
      <c r="L70" s="202">
        <f>INDEX(FromMitigation!$K$25:$IZ$25,L$8)/INDEX(FromMitigation!$K$25:$IZ$25,L$7)-1</f>
        <v>0.0</v>
      </c>
      <c r="M70" s="196">
        <f t="shared" ref="M70:V70" si="108">L70</f>
        <v>0.0</v>
      </c>
      <c r="N70" s="196">
        <f t="shared" si="108"/>
        <v>0.0</v>
      </c>
      <c r="O70" s="196">
        <f t="shared" si="108"/>
        <v>0.0</v>
      </c>
      <c r="P70" s="196">
        <f t="shared" si="108"/>
        <v>0.0</v>
      </c>
      <c r="Q70" s="196">
        <f t="shared" si="108"/>
        <v>0.0</v>
      </c>
      <c r="R70" s="196">
        <f t="shared" si="108"/>
        <v>0.0</v>
      </c>
      <c r="S70" s="196">
        <f t="shared" si="108"/>
        <v>0.0</v>
      </c>
      <c r="T70" s="196">
        <f t="shared" si="108"/>
        <v>0.0</v>
      </c>
      <c r="U70" s="196">
        <f t="shared" si="108"/>
        <v>0.0</v>
      </c>
      <c r="V70" s="196">
        <f t="shared" si="108"/>
        <v>0.0</v>
      </c>
      <c r="W70" s="201" t="str">
        <f>IF(X$5=K$5,SUM(Y70:AI70)-SUM(L70:V70),"")</f>
        <v/>
      </c>
      <c r="X70" s="9" t="str">
        <f>LOWER(CtryCode)&amp;".distn."&amp;$A70&amp;IF($B70="","","."&amp;$B70)&amp;IF($C70="","",".dec."&amp;$C70)&amp;"."&amp;X$5</f>
        <v>egy.distn.dpa.lpg.2</v>
      </c>
      <c r="Y70" s="203">
        <f>DPCHG(INDEX(FromMitigation!$K$25:$IZ$25,Y$8),INDEX(FromMitigation!$K$25:$IZ$25,Y$7))</f>
        <v>0.335740253699061</v>
      </c>
      <c r="Z70" s="196">
        <f t="shared" ref="Z70:AI70" si="109">Y70</f>
        <v>0.335740253699061</v>
      </c>
      <c r="AA70" s="196">
        <f t="shared" si="109"/>
        <v>0.335740253699061</v>
      </c>
      <c r="AB70" s="196">
        <f t="shared" si="109"/>
        <v>0.335740253699061</v>
      </c>
      <c r="AC70" s="196">
        <f t="shared" si="109"/>
        <v>0.335740253699061</v>
      </c>
      <c r="AD70" s="196">
        <f t="shared" si="109"/>
        <v>0.335740253699061</v>
      </c>
      <c r="AE70" s="196">
        <f t="shared" si="109"/>
        <v>0.335740253699061</v>
      </c>
      <c r="AF70" s="196">
        <f t="shared" si="109"/>
        <v>0.335740253699061</v>
      </c>
      <c r="AG70" s="196">
        <f t="shared" si="109"/>
        <v>0.335740253699061</v>
      </c>
      <c r="AH70" s="196">
        <f t="shared" si="109"/>
        <v>0.335740253699061</v>
      </c>
      <c r="AI70" s="196">
        <f t="shared" si="109"/>
        <v>0.335740253699061</v>
      </c>
    </row>
    <row r="71" hidden="1" outlineLevel="1">
      <c r="A71" s="44" t="inlineStr">
        <is>
          <t>dpa</t>
        </is>
      </c>
      <c r="B71" s="3" t="inlineStr">
        <is>
          <t>ker</t>
        </is>
      </c>
      <c r="C71" s="3" t="inlineStr"/>
      <c r="D71" s="3" t="inlineStr">
        <is>
          <t>p_c</t>
        </is>
      </c>
      <c r="E71" s="3" t="n"/>
      <c r="H71" s="3" t="inlineStr">
        <is>
          <t>Kerosene: economy-wide price change</t>
        </is>
      </c>
      <c r="I71" s="3" t="inlineStr">
        <is>
          <t>fraction</t>
        </is>
      </c>
      <c r="J71" s="118" t="inlineStr">
        <is>
          <t>Mitigation rpn.all.ker</t>
        </is>
      </c>
      <c r="K71" s="9" t="str">
        <f>LOWER(CtryCode)&amp;".distn."&amp;$A71&amp;IF($B71="","","."&amp;$B71)&amp;IF($C71="","",".dec."&amp;$C71)&amp;"."&amp;K$5</f>
        <v>egy.distn.dpa.ker.1</v>
      </c>
      <c r="L71" s="202">
        <f>INDEX(FromMitigation!$K$26:$IZ$26,L$8)/INDEX(FromMitigation!$K$26:$IZ$26,L$7)-1</f>
        <v>0.0</v>
      </c>
      <c r="M71" s="196">
        <f t="shared" ref="M71:V71" si="110">L71</f>
        <v>0.0</v>
      </c>
      <c r="N71" s="196">
        <f t="shared" si="110"/>
        <v>0.0</v>
      </c>
      <c r="O71" s="196">
        <f t="shared" si="110"/>
        <v>0.0</v>
      </c>
      <c r="P71" s="196">
        <f t="shared" si="110"/>
        <v>0.0</v>
      </c>
      <c r="Q71" s="196">
        <f t="shared" si="110"/>
        <v>0.0</v>
      </c>
      <c r="R71" s="196">
        <f t="shared" si="110"/>
        <v>0.0</v>
      </c>
      <c r="S71" s="196">
        <f t="shared" si="110"/>
        <v>0.0</v>
      </c>
      <c r="T71" s="196">
        <f t="shared" si="110"/>
        <v>0.0</v>
      </c>
      <c r="U71" s="196">
        <f t="shared" si="110"/>
        <v>0.0</v>
      </c>
      <c r="V71" s="196">
        <f t="shared" si="110"/>
        <v>0.0</v>
      </c>
      <c r="W71" s="201" t="str">
        <f>IF(X$5=K$5,SUM(Y71:AI71)-SUM(L71:V71),"")</f>
        <v/>
      </c>
      <c r="X71" s="9" t="str">
        <f>LOWER(CtryCode)&amp;".distn."&amp;$A71&amp;IF($B71="","","."&amp;$B71)&amp;IF($C71="","",".dec."&amp;$C71)&amp;"."&amp;X$5</f>
        <v>egy.distn.dpa.ker.2</v>
      </c>
      <c r="Y71" s="203">
        <f>DPCHG(INDEX(FromMitigation!$K$26:$IZ$26,Y$8),INDEX(FromMitigation!$K$26:$IZ$26,Y$7))</f>
        <v>0.20108132054483563</v>
      </c>
      <c r="Z71" s="196">
        <f t="shared" ref="Z71:AI71" si="111">Y71</f>
        <v>0.20108132054483563</v>
      </c>
      <c r="AA71" s="196">
        <f t="shared" si="111"/>
        <v>0.20108132054483563</v>
      </c>
      <c r="AB71" s="196">
        <f t="shared" si="111"/>
        <v>0.20108132054483563</v>
      </c>
      <c r="AC71" s="196">
        <f t="shared" si="111"/>
        <v>0.20108132054483563</v>
      </c>
      <c r="AD71" s="196">
        <f t="shared" si="111"/>
        <v>0.20108132054483563</v>
      </c>
      <c r="AE71" s="196">
        <f t="shared" si="111"/>
        <v>0.20108132054483563</v>
      </c>
      <c r="AF71" s="196">
        <f t="shared" si="111"/>
        <v>0.20108132054483563</v>
      </c>
      <c r="AG71" s="196">
        <f t="shared" si="111"/>
        <v>0.20108132054483563</v>
      </c>
      <c r="AH71" s="196">
        <f t="shared" si="111"/>
        <v>0.20108132054483563</v>
      </c>
      <c r="AI71" s="196">
        <f t="shared" si="111"/>
        <v>0.20108132054483563</v>
      </c>
    </row>
    <row r="72" hidden="1" outlineLevel="1">
      <c r="A72" s="44" t="inlineStr">
        <is>
          <t>dpa</t>
        </is>
      </c>
      <c r="B72" s="3" t="inlineStr">
        <is>
          <t>ecy</t>
        </is>
      </c>
      <c r="C72" s="3" t="inlineStr"/>
      <c r="D72" s="3" t="inlineStr">
        <is>
          <t>ely</t>
        </is>
      </c>
      <c r="E72" s="3" t="n"/>
      <c r="H72" s="3" t="inlineStr">
        <is>
          <t>Electricity: economy-wide price change</t>
        </is>
      </c>
      <c r="I72" s="3" t="inlineStr">
        <is>
          <t>fraction</t>
        </is>
      </c>
      <c r="J72" s="118" t="inlineStr">
        <is>
          <t>Mitigation rp.ind.ecy</t>
        </is>
      </c>
      <c r="K72" s="9" t="str">
        <f>LOWER(CtryCode)&amp;".distn."&amp;$A72&amp;IF($B72="","","."&amp;$B72)&amp;IF($C72="","",".dec."&amp;$C72)&amp;"."&amp;K$5</f>
        <v>egy.distn.dpa.ecy.1</v>
      </c>
      <c r="L72" s="202">
        <f>INDEX(FromMitigation!$K$27:$IZ$27,L$8)/INDEX(FromMitigation!$K$27:$IZ$27,L$7)-1</f>
        <v>0.0</v>
      </c>
      <c r="M72" s="196">
        <f t="shared" ref="M72:V72" si="112">L72</f>
        <v>0.0</v>
      </c>
      <c r="N72" s="196">
        <f t="shared" si="112"/>
        <v>0.0</v>
      </c>
      <c r="O72" s="196">
        <f t="shared" si="112"/>
        <v>0.0</v>
      </c>
      <c r="P72" s="196">
        <f t="shared" si="112"/>
        <v>0.0</v>
      </c>
      <c r="Q72" s="196">
        <f t="shared" si="112"/>
        <v>0.0</v>
      </c>
      <c r="R72" s="196">
        <f t="shared" si="112"/>
        <v>0.0</v>
      </c>
      <c r="S72" s="196">
        <f t="shared" si="112"/>
        <v>0.0</v>
      </c>
      <c r="T72" s="196">
        <f t="shared" si="112"/>
        <v>0.0</v>
      </c>
      <c r="U72" s="196">
        <f t="shared" si="112"/>
        <v>0.0</v>
      </c>
      <c r="V72" s="196">
        <f t="shared" si="112"/>
        <v>0.0</v>
      </c>
      <c r="W72" s="201" t="str">
        <f>IF(X$5=K$5,SUM(Y72:AI72)-SUM(L72:V72),"")</f>
        <v/>
      </c>
      <c r="X72" s="9" t="str">
        <f>LOWER(CtryCode)&amp;".distn."&amp;$A72&amp;IF($B72="","","."&amp;$B72)&amp;IF($C72="","",".dec."&amp;$C72)&amp;"."&amp;X$5</f>
        <v>egy.distn.dpa.ecy.2</v>
      </c>
      <c r="Y72" s="203">
        <f>DPCHG(INDEX(FromMitigation!$K$27:$IZ$27,Y$8),INDEX(FromMitigation!$K$27:$IZ$27,Y$7))</f>
        <v>0.1570114960969229</v>
      </c>
      <c r="Z72" s="196">
        <f t="shared" ref="Z72:AI72" si="113">Y72</f>
        <v>0.1570114960969229</v>
      </c>
      <c r="AA72" s="196">
        <f t="shared" si="113"/>
        <v>0.1570114960969229</v>
      </c>
      <c r="AB72" s="196">
        <f t="shared" si="113"/>
        <v>0.1570114960969229</v>
      </c>
      <c r="AC72" s="196">
        <f t="shared" si="113"/>
        <v>0.1570114960969229</v>
      </c>
      <c r="AD72" s="196">
        <f t="shared" si="113"/>
        <v>0.1570114960969229</v>
      </c>
      <c r="AE72" s="196">
        <f t="shared" si="113"/>
        <v>0.1570114960969229</v>
      </c>
      <c r="AF72" s="196">
        <f t="shared" si="113"/>
        <v>0.1570114960969229</v>
      </c>
      <c r="AG72" s="196">
        <f t="shared" si="113"/>
        <v>0.1570114960969229</v>
      </c>
      <c r="AH72" s="196">
        <f t="shared" si="113"/>
        <v>0.1570114960969229</v>
      </c>
      <c r="AI72" s="196">
        <f t="shared" si="113"/>
        <v>0.1570114960969229</v>
      </c>
    </row>
    <row r="73" hidden="1" outlineLevel="1">
      <c r="A73" s="44" t="inlineStr">
        <is>
          <t>spend</t>
        </is>
      </c>
      <c r="B73" s="3" t="inlineStr">
        <is>
          <t>coa</t>
        </is>
      </c>
      <c r="C73" s="3" t="inlineStr"/>
      <c r="D73" s="3" t="inlineStr">
        <is>
          <t>coa</t>
        </is>
      </c>
      <c r="E73" s="3" t="n"/>
      <c r="H73" s="3" t="inlineStr">
        <is>
          <t>Coal: spending, scenario 1, base year (legacy exp.usd.1)</t>
        </is>
      </c>
      <c r="I73" s="3" t="inlineStr">
        <is>
          <t>USD m</t>
        </is>
      </c>
      <c r="J73" s="118" t="inlineStr">
        <is>
          <t>Mitigation pav.sp (fossil: $/GJ x ktoe x PJ/ktoe)</t>
        </is>
      </c>
      <c r="K73" s="9" t="str">
        <f>LOWER(CtryCode)&amp;".distn."&amp;$A73&amp;IF($B73="","","."&amp;$B73)&amp;IF($C73="","",".dec."&amp;$C73)&amp;"."&amp;K$5</f>
        <v>egy.distn.spend.coa.1</v>
      </c>
      <c r="L73" s="108">
        <f>INDEX(FromMitigation!$K$28:$IZ$28,MATCH(BaseYr,FromMitigation!$K$1:$AF$1,0))*'Constants and Mappings'!$C$13</f>
        <v>778.1856211058534</v>
      </c>
      <c r="M73" s="109">
        <f t="shared" ref="M73:V73" si="114">L73</f>
        <v>778.1856211058534</v>
      </c>
      <c r="N73" s="109">
        <f t="shared" si="114"/>
        <v>778.1856211058534</v>
      </c>
      <c r="O73" s="109">
        <f t="shared" si="114"/>
        <v>778.1856211058534</v>
      </c>
      <c r="P73" s="109">
        <f t="shared" si="114"/>
        <v>778.1856211058534</v>
      </c>
      <c r="Q73" s="109">
        <f t="shared" si="114"/>
        <v>778.1856211058534</v>
      </c>
      <c r="R73" s="109">
        <f t="shared" si="114"/>
        <v>778.1856211058534</v>
      </c>
      <c r="S73" s="109">
        <f t="shared" si="114"/>
        <v>778.1856211058534</v>
      </c>
      <c r="T73" s="109">
        <f t="shared" si="114"/>
        <v>778.1856211058534</v>
      </c>
      <c r="U73" s="109">
        <f t="shared" si="114"/>
        <v>778.1856211058534</v>
      </c>
      <c r="V73" s="109">
        <f t="shared" si="114"/>
        <v>778.1856211058534</v>
      </c>
      <c r="W73" s="201" t="str">
        <f>IF(X$5=K$5,SUM(Y73:AI73)-SUM(L73:V73),"")</f>
        <v/>
      </c>
      <c r="X73" s="9" t="str">
        <f>LOWER(CtryCode)&amp;".distn."&amp;$A73&amp;IF($B73="","","."&amp;$B73)&amp;IF($C73="","",".dec."&amp;$C73)&amp;"."&amp;X$5</f>
        <v>egy.distn.spend.coa.2</v>
      </c>
      <c r="Y73" s="108">
        <f>INDEX(FromMitigation!$K$28:$IZ$28,MATCH(BaseYr,FromMitigation!$K$1:$AF$1,0))*'Constants and Mappings'!$C$13</f>
        <v>778.1856211058534</v>
      </c>
      <c r="Z73" s="109">
        <f t="shared" ref="Z73:AI73" si="115">Y73</f>
        <v>778.1856211058534</v>
      </c>
      <c r="AA73" s="109">
        <f t="shared" si="115"/>
        <v>778.1856211058534</v>
      </c>
      <c r="AB73" s="109">
        <f t="shared" si="115"/>
        <v>778.1856211058534</v>
      </c>
      <c r="AC73" s="109">
        <f t="shared" si="115"/>
        <v>778.1856211058534</v>
      </c>
      <c r="AD73" s="109">
        <f t="shared" si="115"/>
        <v>778.1856211058534</v>
      </c>
      <c r="AE73" s="109">
        <f t="shared" si="115"/>
        <v>778.1856211058534</v>
      </c>
      <c r="AF73" s="109">
        <f t="shared" si="115"/>
        <v>778.1856211058534</v>
      </c>
      <c r="AG73" s="109">
        <f t="shared" si="115"/>
        <v>778.1856211058534</v>
      </c>
      <c r="AH73" s="109">
        <f t="shared" si="115"/>
        <v>778.1856211058534</v>
      </c>
      <c r="AI73" s="109">
        <f t="shared" si="115"/>
        <v>778.1856211058534</v>
      </c>
    </row>
    <row r="74" hidden="1" outlineLevel="1">
      <c r="A74" s="44" t="inlineStr">
        <is>
          <t>spend</t>
        </is>
      </c>
      <c r="B74" s="3" t="inlineStr">
        <is>
          <t>nga</t>
        </is>
      </c>
      <c r="C74" s="3" t="inlineStr"/>
      <c r="D74" s="3" t="inlineStr">
        <is>
          <t>nga</t>
        </is>
      </c>
      <c r="E74" s="3" t="n"/>
      <c r="H74" s="3" t="inlineStr">
        <is>
          <t>Natural gas: spending, scenario 1, base year (legacy exp.usd.1)</t>
        </is>
      </c>
      <c r="I74" s="3" t="inlineStr">
        <is>
          <t>USD m</t>
        </is>
      </c>
      <c r="J74" s="118" t="inlineStr">
        <is>
          <t>Mitigation pav.sp (fossil: $/GJ x ktoe x PJ/ktoe)</t>
        </is>
      </c>
      <c r="K74" s="9" t="str">
        <f>LOWER(CtryCode)&amp;".distn."&amp;$A74&amp;IF($B74="","","."&amp;$B74)&amp;IF($C74="","",".dec."&amp;$C74)&amp;"."&amp;K$5</f>
        <v>egy.distn.spend.nga.1</v>
      </c>
      <c r="L74" s="108">
        <f>INDEX(FromMitigation!$K$29:$IZ$29,MATCH(BaseYr,FromMitigation!$K$1:$AF$1,0))*'Constants and Mappings'!$C$13</f>
        <v>2716.983758196126</v>
      </c>
      <c r="M74" s="109">
        <f t="shared" ref="M74:V74" si="116">L74</f>
        <v>2716.983758196126</v>
      </c>
      <c r="N74" s="109">
        <f t="shared" si="116"/>
        <v>2716.983758196126</v>
      </c>
      <c r="O74" s="109">
        <f t="shared" si="116"/>
        <v>2716.983758196126</v>
      </c>
      <c r="P74" s="109">
        <f t="shared" si="116"/>
        <v>2716.983758196126</v>
      </c>
      <c r="Q74" s="109">
        <f t="shared" si="116"/>
        <v>2716.983758196126</v>
      </c>
      <c r="R74" s="109">
        <f t="shared" si="116"/>
        <v>2716.983758196126</v>
      </c>
      <c r="S74" s="109">
        <f t="shared" si="116"/>
        <v>2716.983758196126</v>
      </c>
      <c r="T74" s="109">
        <f t="shared" si="116"/>
        <v>2716.983758196126</v>
      </c>
      <c r="U74" s="109">
        <f t="shared" si="116"/>
        <v>2716.983758196126</v>
      </c>
      <c r="V74" s="109">
        <f t="shared" si="116"/>
        <v>2716.983758196126</v>
      </c>
      <c r="W74" s="201" t="str">
        <f>IF(X$5=K$5,SUM(Y74:AI74)-SUM(L74:V74),"")</f>
        <v/>
      </c>
      <c r="X74" s="9" t="str">
        <f>LOWER(CtryCode)&amp;".distn."&amp;$A74&amp;IF($B74="","","."&amp;$B74)&amp;IF($C74="","",".dec."&amp;$C74)&amp;"."&amp;X$5</f>
        <v>egy.distn.spend.nga.2</v>
      </c>
      <c r="Y74" s="108">
        <f>INDEX(FromMitigation!$K$29:$IZ$29,MATCH(BaseYr,FromMitigation!$K$1:$AF$1,0))*'Constants and Mappings'!$C$13</f>
        <v>2716.983758196126</v>
      </c>
      <c r="Z74" s="109">
        <f t="shared" ref="Z74:AI74" si="117">Y74</f>
        <v>2716.983758196126</v>
      </c>
      <c r="AA74" s="109">
        <f t="shared" si="117"/>
        <v>2716.983758196126</v>
      </c>
      <c r="AB74" s="109">
        <f t="shared" si="117"/>
        <v>2716.983758196126</v>
      </c>
      <c r="AC74" s="109">
        <f t="shared" si="117"/>
        <v>2716.983758196126</v>
      </c>
      <c r="AD74" s="109">
        <f t="shared" si="117"/>
        <v>2716.983758196126</v>
      </c>
      <c r="AE74" s="109">
        <f t="shared" si="117"/>
        <v>2716.983758196126</v>
      </c>
      <c r="AF74" s="109">
        <f t="shared" si="117"/>
        <v>2716.983758196126</v>
      </c>
      <c r="AG74" s="109">
        <f t="shared" si="117"/>
        <v>2716.983758196126</v>
      </c>
      <c r="AH74" s="109">
        <f t="shared" si="117"/>
        <v>2716.983758196126</v>
      </c>
      <c r="AI74" s="109">
        <f t="shared" si="117"/>
        <v>2716.983758196126</v>
      </c>
    </row>
    <row r="75" hidden="1" outlineLevel="1">
      <c r="A75" s="44" t="inlineStr">
        <is>
          <t>spend</t>
        </is>
      </c>
      <c r="B75" s="3" t="inlineStr">
        <is>
          <t>oop</t>
        </is>
      </c>
      <c r="C75" s="3" t="inlineStr"/>
      <c r="D75" s="3" t="inlineStr">
        <is>
          <t>oil</t>
        </is>
      </c>
      <c r="E75" s="3" t="n"/>
      <c r="H75" s="3" t="inlineStr">
        <is>
          <t>Other oil products: spending, scenario 1, base year (legacy exp.usd.1)</t>
        </is>
      </c>
      <c r="I75" s="3" t="inlineStr">
        <is>
          <t>USD m</t>
        </is>
      </c>
      <c r="J75" s="118" t="inlineStr">
        <is>
          <t>Mitigation pav.sp (fossil: $/GJ x ktoe x PJ/ktoe)</t>
        </is>
      </c>
      <c r="K75" s="9" t="str">
        <f>LOWER(CtryCode)&amp;".distn."&amp;$A75&amp;IF($B75="","","."&amp;$B75)&amp;IF($C75="","",".dec."&amp;$C75)&amp;"."&amp;K$5</f>
        <v>egy.distn.spend.oop.1</v>
      </c>
      <c r="L75" s="108">
        <f>INDEX(FromMitigation!$K$30:$IZ$30,MATCH(BaseYr,FromMitigation!$K$1:$AF$1,0))*'Constants and Mappings'!$C$13</f>
        <v>595.2305654257444</v>
      </c>
      <c r="M75" s="109">
        <f t="shared" ref="M75:V75" si="118">L75</f>
        <v>595.2305654257444</v>
      </c>
      <c r="N75" s="109">
        <f t="shared" si="118"/>
        <v>595.2305654257444</v>
      </c>
      <c r="O75" s="109">
        <f t="shared" si="118"/>
        <v>595.2305654257444</v>
      </c>
      <c r="P75" s="109">
        <f t="shared" si="118"/>
        <v>595.2305654257444</v>
      </c>
      <c r="Q75" s="109">
        <f t="shared" si="118"/>
        <v>595.2305654257444</v>
      </c>
      <c r="R75" s="109">
        <f t="shared" si="118"/>
        <v>595.2305654257444</v>
      </c>
      <c r="S75" s="109">
        <f t="shared" si="118"/>
        <v>595.2305654257444</v>
      </c>
      <c r="T75" s="109">
        <f t="shared" si="118"/>
        <v>595.2305654257444</v>
      </c>
      <c r="U75" s="109">
        <f t="shared" si="118"/>
        <v>595.2305654257444</v>
      </c>
      <c r="V75" s="109">
        <f t="shared" si="118"/>
        <v>595.2305654257444</v>
      </c>
      <c r="W75" s="201" t="str">
        <f>IF(X$5=K$5,SUM(Y75:AI75)-SUM(L75:V75),"")</f>
        <v/>
      </c>
      <c r="X75" s="9" t="str">
        <f>LOWER(CtryCode)&amp;".distn."&amp;$A75&amp;IF($B75="","","."&amp;$B75)&amp;IF($C75="","",".dec."&amp;$C75)&amp;"."&amp;X$5</f>
        <v>egy.distn.spend.oop.2</v>
      </c>
      <c r="Y75" s="108">
        <f>INDEX(FromMitigation!$K$30:$IZ$30,MATCH(BaseYr,FromMitigation!$K$1:$AF$1,0))*'Constants and Mappings'!$C$13</f>
        <v>595.2305654257444</v>
      </c>
      <c r="Z75" s="109">
        <f t="shared" ref="Z75:AI75" si="119">Y75</f>
        <v>595.2305654257444</v>
      </c>
      <c r="AA75" s="109">
        <f t="shared" si="119"/>
        <v>595.2305654257444</v>
      </c>
      <c r="AB75" s="109">
        <f t="shared" si="119"/>
        <v>595.2305654257444</v>
      </c>
      <c r="AC75" s="109">
        <f t="shared" si="119"/>
        <v>595.2305654257444</v>
      </c>
      <c r="AD75" s="109">
        <f t="shared" si="119"/>
        <v>595.2305654257444</v>
      </c>
      <c r="AE75" s="109">
        <f t="shared" si="119"/>
        <v>595.2305654257444</v>
      </c>
      <c r="AF75" s="109">
        <f t="shared" si="119"/>
        <v>595.2305654257444</v>
      </c>
      <c r="AG75" s="109">
        <f t="shared" si="119"/>
        <v>595.2305654257444</v>
      </c>
      <c r="AH75" s="109">
        <f t="shared" si="119"/>
        <v>595.2305654257444</v>
      </c>
      <c r="AI75" s="109">
        <f t="shared" si="119"/>
        <v>595.2305654257444</v>
      </c>
    </row>
    <row r="76" hidden="1" outlineLevel="1">
      <c r="A76" s="44" t="inlineStr">
        <is>
          <t>spend</t>
        </is>
      </c>
      <c r="B76" s="3" t="inlineStr">
        <is>
          <t>gso</t>
        </is>
      </c>
      <c r="C76" s="3" t="inlineStr"/>
      <c r="D76" s="3" t="inlineStr">
        <is>
          <t>p_c</t>
        </is>
      </c>
      <c r="E76" s="3" t="n"/>
      <c r="H76" s="3" t="inlineStr">
        <is>
          <t>Gasoline: spending, scenario 1, base year (legacy exp.usd.1)</t>
        </is>
      </c>
      <c r="I76" s="3" t="inlineStr">
        <is>
          <t>USD m</t>
        </is>
      </c>
      <c r="J76" s="118" t="inlineStr">
        <is>
          <t>Mitigation pav.sp (fossil: $/GJ x ktoe x PJ/ktoe)</t>
        </is>
      </c>
      <c r="K76" s="9" t="str">
        <f>LOWER(CtryCode)&amp;".distn."&amp;$A76&amp;IF($B76="","","."&amp;$B76)&amp;IF($C76="","",".dec."&amp;$C76)&amp;"."&amp;K$5</f>
        <v>egy.distn.spend.gso.1</v>
      </c>
      <c r="L76" s="108">
        <f>INDEX(FromMitigation!$K$31:$IZ$31,MATCH(BaseYr,FromMitigation!$K$1:$AF$1,0))*'Constants and Mappings'!$C$13</f>
        <v>5556.14020920631</v>
      </c>
      <c r="M76" s="109">
        <f t="shared" ref="M76:V76" si="120">L76</f>
        <v>5556.14020920631</v>
      </c>
      <c r="N76" s="109">
        <f t="shared" si="120"/>
        <v>5556.14020920631</v>
      </c>
      <c r="O76" s="109">
        <f t="shared" si="120"/>
        <v>5556.14020920631</v>
      </c>
      <c r="P76" s="109">
        <f t="shared" si="120"/>
        <v>5556.14020920631</v>
      </c>
      <c r="Q76" s="109">
        <f t="shared" si="120"/>
        <v>5556.14020920631</v>
      </c>
      <c r="R76" s="109">
        <f t="shared" si="120"/>
        <v>5556.14020920631</v>
      </c>
      <c r="S76" s="109">
        <f t="shared" si="120"/>
        <v>5556.14020920631</v>
      </c>
      <c r="T76" s="109">
        <f t="shared" si="120"/>
        <v>5556.14020920631</v>
      </c>
      <c r="U76" s="109">
        <f t="shared" si="120"/>
        <v>5556.14020920631</v>
      </c>
      <c r="V76" s="109">
        <f t="shared" si="120"/>
        <v>5556.14020920631</v>
      </c>
      <c r="W76" s="201" t="str">
        <f>IF(X$5=K$5,SUM(Y76:AI76)-SUM(L76:V76),"")</f>
        <v/>
      </c>
      <c r="X76" s="9" t="str">
        <f>LOWER(CtryCode)&amp;".distn."&amp;$A76&amp;IF($B76="","","."&amp;$B76)&amp;IF($C76="","",".dec."&amp;$C76)&amp;"."&amp;X$5</f>
        <v>egy.distn.spend.gso.2</v>
      </c>
      <c r="Y76" s="108">
        <f>INDEX(FromMitigation!$K$31:$IZ$31,MATCH(BaseYr,FromMitigation!$K$1:$AF$1,0))*'Constants and Mappings'!$C$13</f>
        <v>5556.14020920631</v>
      </c>
      <c r="Z76" s="109">
        <f t="shared" ref="Z76:AI76" si="121">Y76</f>
        <v>5556.14020920631</v>
      </c>
      <c r="AA76" s="109">
        <f t="shared" si="121"/>
        <v>5556.14020920631</v>
      </c>
      <c r="AB76" s="109">
        <f t="shared" si="121"/>
        <v>5556.14020920631</v>
      </c>
      <c r="AC76" s="109">
        <f t="shared" si="121"/>
        <v>5556.14020920631</v>
      </c>
      <c r="AD76" s="109">
        <f t="shared" si="121"/>
        <v>5556.14020920631</v>
      </c>
      <c r="AE76" s="109">
        <f t="shared" si="121"/>
        <v>5556.14020920631</v>
      </c>
      <c r="AF76" s="109">
        <f t="shared" si="121"/>
        <v>5556.14020920631</v>
      </c>
      <c r="AG76" s="109">
        <f t="shared" si="121"/>
        <v>5556.14020920631</v>
      </c>
      <c r="AH76" s="109">
        <f t="shared" si="121"/>
        <v>5556.14020920631</v>
      </c>
      <c r="AI76" s="109">
        <f t="shared" si="121"/>
        <v>5556.14020920631</v>
      </c>
    </row>
    <row r="77" hidden="1" outlineLevel="1">
      <c r="A77" s="44" t="inlineStr">
        <is>
          <t>spend</t>
        </is>
      </c>
      <c r="B77" s="3" t="inlineStr">
        <is>
          <t>die</t>
        </is>
      </c>
      <c r="C77" s="3" t="inlineStr"/>
      <c r="D77" s="3" t="inlineStr">
        <is>
          <t>p_c</t>
        </is>
      </c>
      <c r="E77" s="3" t="n"/>
      <c r="H77" s="3" t="inlineStr">
        <is>
          <t>Diesel: spending, scenario 1, base year (legacy exp.usd.1)</t>
        </is>
      </c>
      <c r="I77" s="3" t="inlineStr">
        <is>
          <t>USD m</t>
        </is>
      </c>
      <c r="J77" s="118" t="inlineStr">
        <is>
          <t>Mitigation pav.sp (fossil: $/GJ x ktoe x PJ/ktoe)</t>
        </is>
      </c>
      <c r="K77" s="9" t="str">
        <f>LOWER(CtryCode)&amp;".distn."&amp;$A77&amp;IF($B77="","","."&amp;$B77)&amp;IF($C77="","",".dec."&amp;$C77)&amp;"."&amp;K$5</f>
        <v>egy.distn.spend.die.1</v>
      </c>
      <c r="L77" s="108">
        <f>INDEX(FromMitigation!$K$32:$IZ$32,MATCH(BaseYr,FromMitigation!$K$1:$AF$1,0))*'Constants and Mappings'!$C$13</f>
        <v>7224.28377591533</v>
      </c>
      <c r="M77" s="109">
        <f t="shared" ref="M77:V77" si="122">L77</f>
        <v>7224.28377591533</v>
      </c>
      <c r="N77" s="109">
        <f t="shared" si="122"/>
        <v>7224.28377591533</v>
      </c>
      <c r="O77" s="109">
        <f t="shared" si="122"/>
        <v>7224.28377591533</v>
      </c>
      <c r="P77" s="109">
        <f t="shared" si="122"/>
        <v>7224.28377591533</v>
      </c>
      <c r="Q77" s="109">
        <f t="shared" si="122"/>
        <v>7224.28377591533</v>
      </c>
      <c r="R77" s="109">
        <f t="shared" si="122"/>
        <v>7224.28377591533</v>
      </c>
      <c r="S77" s="109">
        <f t="shared" si="122"/>
        <v>7224.28377591533</v>
      </c>
      <c r="T77" s="109">
        <f t="shared" si="122"/>
        <v>7224.28377591533</v>
      </c>
      <c r="U77" s="109">
        <f t="shared" si="122"/>
        <v>7224.28377591533</v>
      </c>
      <c r="V77" s="109">
        <f t="shared" si="122"/>
        <v>7224.28377591533</v>
      </c>
      <c r="W77" s="201" t="str">
        <f>IF(X$5=K$5,SUM(Y77:AI77)-SUM(L77:V77),"")</f>
        <v/>
      </c>
      <c r="X77" s="9" t="str">
        <f>LOWER(CtryCode)&amp;".distn."&amp;$A77&amp;IF($B77="","","."&amp;$B77)&amp;IF($C77="","",".dec."&amp;$C77)&amp;"."&amp;X$5</f>
        <v>egy.distn.spend.die.2</v>
      </c>
      <c r="Y77" s="108">
        <f>INDEX(FromMitigation!$K$32:$IZ$32,MATCH(BaseYr,FromMitigation!$K$1:$AF$1,0))*'Constants and Mappings'!$C$13</f>
        <v>7224.28377591533</v>
      </c>
      <c r="Z77" s="109">
        <f t="shared" ref="Z77:AI77" si="123">Y77</f>
        <v>7224.28377591533</v>
      </c>
      <c r="AA77" s="109">
        <f t="shared" si="123"/>
        <v>7224.28377591533</v>
      </c>
      <c r="AB77" s="109">
        <f t="shared" si="123"/>
        <v>7224.28377591533</v>
      </c>
      <c r="AC77" s="109">
        <f t="shared" si="123"/>
        <v>7224.28377591533</v>
      </c>
      <c r="AD77" s="109">
        <f t="shared" si="123"/>
        <v>7224.28377591533</v>
      </c>
      <c r="AE77" s="109">
        <f t="shared" si="123"/>
        <v>7224.28377591533</v>
      </c>
      <c r="AF77" s="109">
        <f t="shared" si="123"/>
        <v>7224.28377591533</v>
      </c>
      <c r="AG77" s="109">
        <f t="shared" si="123"/>
        <v>7224.28377591533</v>
      </c>
      <c r="AH77" s="109">
        <f t="shared" si="123"/>
        <v>7224.28377591533</v>
      </c>
      <c r="AI77" s="109">
        <f t="shared" si="123"/>
        <v>7224.28377591533</v>
      </c>
    </row>
    <row r="78" hidden="1" outlineLevel="1">
      <c r="A78" s="44" t="inlineStr">
        <is>
          <t>spend</t>
        </is>
      </c>
      <c r="B78" s="3" t="inlineStr">
        <is>
          <t>lpg</t>
        </is>
      </c>
      <c r="C78" s="3" t="inlineStr"/>
      <c r="D78" s="3" t="inlineStr">
        <is>
          <t>p_c</t>
        </is>
      </c>
      <c r="E78" s="3" t="n"/>
      <c r="H78" s="3" t="inlineStr">
        <is>
          <t>LPG: spending, scenario 1, base year (legacy exp.usd.1)</t>
        </is>
      </c>
      <c r="I78" s="3" t="inlineStr">
        <is>
          <t>USD m</t>
        </is>
      </c>
      <c r="J78" s="118" t="inlineStr">
        <is>
          <t>Mitigation pav.sp (fossil: $/GJ x ktoe x PJ/ktoe)</t>
        </is>
      </c>
      <c r="K78" s="9" t="str">
        <f>LOWER(CtryCode)&amp;".distn."&amp;$A78&amp;IF($B78="","","."&amp;$B78)&amp;IF($C78="","",".dec."&amp;$C78)&amp;"."&amp;K$5</f>
        <v>egy.distn.spend.lpg.1</v>
      </c>
      <c r="L78" s="108">
        <f>INDEX(FromMitigation!$K$33:$IZ$33,MATCH(BaseYr,FromMitigation!$K$1:$AF$1,0))*'Constants and Mappings'!$C$13</f>
        <v>1307.6316727697363</v>
      </c>
      <c r="M78" s="109">
        <f t="shared" ref="M78:V78" si="124">L78</f>
        <v>1307.6316727697363</v>
      </c>
      <c r="N78" s="109">
        <f t="shared" si="124"/>
        <v>1307.6316727697363</v>
      </c>
      <c r="O78" s="109">
        <f t="shared" si="124"/>
        <v>1307.6316727697363</v>
      </c>
      <c r="P78" s="109">
        <f t="shared" si="124"/>
        <v>1307.6316727697363</v>
      </c>
      <c r="Q78" s="109">
        <f t="shared" si="124"/>
        <v>1307.6316727697363</v>
      </c>
      <c r="R78" s="109">
        <f t="shared" si="124"/>
        <v>1307.6316727697363</v>
      </c>
      <c r="S78" s="109">
        <f t="shared" si="124"/>
        <v>1307.6316727697363</v>
      </c>
      <c r="T78" s="109">
        <f t="shared" si="124"/>
        <v>1307.6316727697363</v>
      </c>
      <c r="U78" s="109">
        <f t="shared" si="124"/>
        <v>1307.6316727697363</v>
      </c>
      <c r="V78" s="109">
        <f t="shared" si="124"/>
        <v>1307.6316727697363</v>
      </c>
      <c r="W78" s="201" t="str">
        <f>IF(X$5=K$5,SUM(Y78:AI78)-SUM(L78:V78),"")</f>
        <v/>
      </c>
      <c r="X78" s="9" t="str">
        <f>LOWER(CtryCode)&amp;".distn."&amp;$A78&amp;IF($B78="","","."&amp;$B78)&amp;IF($C78="","",".dec."&amp;$C78)&amp;"."&amp;X$5</f>
        <v>egy.distn.spend.lpg.2</v>
      </c>
      <c r="Y78" s="108">
        <f>INDEX(FromMitigation!$K$33:$IZ$33,MATCH(BaseYr,FromMitigation!$K$1:$AF$1,0))*'Constants and Mappings'!$C$13</f>
        <v>1307.6316727697363</v>
      </c>
      <c r="Z78" s="109">
        <f t="shared" ref="Z78:AI78" si="125">Y78</f>
        <v>1307.6316727697363</v>
      </c>
      <c r="AA78" s="109">
        <f t="shared" si="125"/>
        <v>1307.6316727697363</v>
      </c>
      <c r="AB78" s="109">
        <f t="shared" si="125"/>
        <v>1307.6316727697363</v>
      </c>
      <c r="AC78" s="109">
        <f t="shared" si="125"/>
        <v>1307.6316727697363</v>
      </c>
      <c r="AD78" s="109">
        <f t="shared" si="125"/>
        <v>1307.6316727697363</v>
      </c>
      <c r="AE78" s="109">
        <f t="shared" si="125"/>
        <v>1307.6316727697363</v>
      </c>
      <c r="AF78" s="109">
        <f t="shared" si="125"/>
        <v>1307.6316727697363</v>
      </c>
      <c r="AG78" s="109">
        <f t="shared" si="125"/>
        <v>1307.6316727697363</v>
      </c>
      <c r="AH78" s="109">
        <f t="shared" si="125"/>
        <v>1307.6316727697363</v>
      </c>
      <c r="AI78" s="109">
        <f t="shared" si="125"/>
        <v>1307.6316727697363</v>
      </c>
    </row>
    <row r="79" hidden="1" outlineLevel="1">
      <c r="A79" s="44" t="inlineStr">
        <is>
          <t>spend</t>
        </is>
      </c>
      <c r="B79" s="3" t="inlineStr">
        <is>
          <t>ker</t>
        </is>
      </c>
      <c r="C79" s="3" t="inlineStr"/>
      <c r="D79" s="3" t="inlineStr">
        <is>
          <t>p_c</t>
        </is>
      </c>
      <c r="E79" s="3" t="n"/>
      <c r="H79" s="3" t="inlineStr">
        <is>
          <t>Kerosene: spending, scenario 1, base year (legacy exp.usd.1)</t>
        </is>
      </c>
      <c r="I79" s="3" t="inlineStr">
        <is>
          <t>USD m</t>
        </is>
      </c>
      <c r="J79" s="118" t="inlineStr">
        <is>
          <t>Mitigation pav.sp (fossil: $/GJ x ktoe x PJ/ktoe)</t>
        </is>
      </c>
      <c r="K79" s="9" t="str">
        <f>LOWER(CtryCode)&amp;".distn."&amp;$A79&amp;IF($B79="","","."&amp;$B79)&amp;IF($C79="","",".dec."&amp;$C79)&amp;"."&amp;K$5</f>
        <v>egy.distn.spend.ker.1</v>
      </c>
      <c r="L79" s="108">
        <f>INDEX(FromMitigation!$K$34:$IZ$34,MATCH(BaseYr,FromMitigation!$K$1:$AF$1,0))*'Constants and Mappings'!$C$13</f>
        <v>3.048901222784794</v>
      </c>
      <c r="M79" s="109">
        <f t="shared" ref="M79:V79" si="126">L79</f>
        <v>3.048901222784794</v>
      </c>
      <c r="N79" s="109">
        <f t="shared" si="126"/>
        <v>3.048901222784794</v>
      </c>
      <c r="O79" s="109">
        <f t="shared" si="126"/>
        <v>3.048901222784794</v>
      </c>
      <c r="P79" s="109">
        <f t="shared" si="126"/>
        <v>3.048901222784794</v>
      </c>
      <c r="Q79" s="109">
        <f t="shared" si="126"/>
        <v>3.048901222784794</v>
      </c>
      <c r="R79" s="109">
        <f t="shared" si="126"/>
        <v>3.048901222784794</v>
      </c>
      <c r="S79" s="109">
        <f t="shared" si="126"/>
        <v>3.048901222784794</v>
      </c>
      <c r="T79" s="109">
        <f t="shared" si="126"/>
        <v>3.048901222784794</v>
      </c>
      <c r="U79" s="109">
        <f t="shared" si="126"/>
        <v>3.048901222784794</v>
      </c>
      <c r="V79" s="109">
        <f t="shared" si="126"/>
        <v>3.048901222784794</v>
      </c>
      <c r="W79" s="201" t="str">
        <f>IF(X$5=K$5,SUM(Y79:AI79)-SUM(L79:V79),"")</f>
        <v/>
      </c>
      <c r="X79" s="9" t="str">
        <f>LOWER(CtryCode)&amp;".distn."&amp;$A79&amp;IF($B79="","","."&amp;$B79)&amp;IF($C79="","",".dec."&amp;$C79)&amp;"."&amp;X$5</f>
        <v>egy.distn.spend.ker.2</v>
      </c>
      <c r="Y79" s="108">
        <f>INDEX(FromMitigation!$K$34:$IZ$34,MATCH(BaseYr,FromMitigation!$K$1:$AF$1,0))*'Constants and Mappings'!$C$13</f>
        <v>3.048901222784794</v>
      </c>
      <c r="Z79" s="109">
        <f t="shared" ref="Z79:AI79" si="127">Y79</f>
        <v>3.048901222784794</v>
      </c>
      <c r="AA79" s="109">
        <f t="shared" si="127"/>
        <v>3.048901222784794</v>
      </c>
      <c r="AB79" s="109">
        <f t="shared" si="127"/>
        <v>3.048901222784794</v>
      </c>
      <c r="AC79" s="109">
        <f t="shared" si="127"/>
        <v>3.048901222784794</v>
      </c>
      <c r="AD79" s="109">
        <f t="shared" si="127"/>
        <v>3.048901222784794</v>
      </c>
      <c r="AE79" s="109">
        <f t="shared" si="127"/>
        <v>3.048901222784794</v>
      </c>
      <c r="AF79" s="109">
        <f t="shared" si="127"/>
        <v>3.048901222784794</v>
      </c>
      <c r="AG79" s="109">
        <f t="shared" si="127"/>
        <v>3.048901222784794</v>
      </c>
      <c r="AH79" s="109">
        <f t="shared" si="127"/>
        <v>3.048901222784794</v>
      </c>
      <c r="AI79" s="109">
        <f t="shared" si="127"/>
        <v>3.048901222784794</v>
      </c>
    </row>
    <row r="80" hidden="1" outlineLevel="1">
      <c r="A80" s="44" t="inlineStr">
        <is>
          <t>spend</t>
        </is>
      </c>
      <c r="B80" s="3" t="inlineStr">
        <is>
          <t>ecy</t>
        </is>
      </c>
      <c r="C80" s="3" t="inlineStr"/>
      <c r="D80" s="3" t="inlineStr">
        <is>
          <t>ely</t>
        </is>
      </c>
      <c r="E80" s="3" t="n"/>
      <c r="H80" s="3" t="inlineStr">
        <is>
          <t>Electricity: spending, scenario 1, base year (legacy exp.usd.1)</t>
        </is>
      </c>
      <c r="I80" s="3" t="inlineStr">
        <is>
          <t>USD m</t>
        </is>
      </c>
      <c r="J80" s="118" t="inlineStr">
        <is>
          <t>Mitigation pav.sp (fossil: $/GJ x ktoe x PJ/ktoe)</t>
        </is>
      </c>
      <c r="K80" s="9" t="str">
        <f>LOWER(CtryCode)&amp;".distn."&amp;$A80&amp;IF($B80="","","."&amp;$B80)&amp;IF($C80="","",".dec."&amp;$C80)&amp;"."&amp;K$5</f>
        <v>egy.distn.spend.ecy.1</v>
      </c>
      <c r="L80" s="108">
        <f>INDEX(FromMitigation!$K$35:$IZ$35,MATCH(BaseYr,FromMitigation!$K$1:$AF$1,0))</f>
        <v>10352.34565464786</v>
      </c>
      <c r="M80" s="109">
        <f t="shared" ref="M80:V80" si="128">L80</f>
        <v>10352.34565464786</v>
      </c>
      <c r="N80" s="109">
        <f t="shared" si="128"/>
        <v>10352.34565464786</v>
      </c>
      <c r="O80" s="109">
        <f t="shared" si="128"/>
        <v>10352.34565464786</v>
      </c>
      <c r="P80" s="109">
        <f t="shared" si="128"/>
        <v>10352.34565464786</v>
      </c>
      <c r="Q80" s="109">
        <f t="shared" si="128"/>
        <v>10352.34565464786</v>
      </c>
      <c r="R80" s="109">
        <f t="shared" si="128"/>
        <v>10352.34565464786</v>
      </c>
      <c r="S80" s="109">
        <f t="shared" si="128"/>
        <v>10352.34565464786</v>
      </c>
      <c r="T80" s="109">
        <f t="shared" si="128"/>
        <v>10352.34565464786</v>
      </c>
      <c r="U80" s="109">
        <f t="shared" si="128"/>
        <v>10352.34565464786</v>
      </c>
      <c r="V80" s="109">
        <f t="shared" si="128"/>
        <v>10352.34565464786</v>
      </c>
      <c r="W80" s="201" t="str">
        <f>IF(X$5=K$5,SUM(Y80:AI80)-SUM(L80:V80),"")</f>
        <v/>
      </c>
      <c r="X80" s="9" t="str">
        <f>LOWER(CtryCode)&amp;".distn."&amp;$A80&amp;IF($B80="","","."&amp;$B80)&amp;IF($C80="","",".dec."&amp;$C80)&amp;"."&amp;X$5</f>
        <v>egy.distn.spend.ecy.2</v>
      </c>
      <c r="Y80" s="108">
        <f>INDEX(FromMitigation!$K$35:$IZ$35,MATCH(BaseYr,FromMitigation!$K$1:$AF$1,0))</f>
        <v>10352.34565464786</v>
      </c>
      <c r="Z80" s="109">
        <f t="shared" ref="Z80:AI80" si="129">Y80</f>
        <v>10352.34565464786</v>
      </c>
      <c r="AA80" s="109">
        <f t="shared" si="129"/>
        <v>10352.34565464786</v>
      </c>
      <c r="AB80" s="109">
        <f t="shared" si="129"/>
        <v>10352.34565464786</v>
      </c>
      <c r="AC80" s="109">
        <f t="shared" si="129"/>
        <v>10352.34565464786</v>
      </c>
      <c r="AD80" s="109">
        <f t="shared" si="129"/>
        <v>10352.34565464786</v>
      </c>
      <c r="AE80" s="109">
        <f t="shared" si="129"/>
        <v>10352.34565464786</v>
      </c>
      <c r="AF80" s="109">
        <f t="shared" si="129"/>
        <v>10352.34565464786</v>
      </c>
      <c r="AG80" s="109">
        <f t="shared" si="129"/>
        <v>10352.34565464786</v>
      </c>
      <c r="AH80" s="109">
        <f t="shared" si="129"/>
        <v>10352.34565464786</v>
      </c>
      <c r="AI80" s="109">
        <f t="shared" si="129"/>
        <v>10352.34565464786</v>
      </c>
    </row>
    <row r="81" hidden="1" outlineLevel="1"/>
    <row r="82" hidden="1" outlineLevel="1">
      <c r="B82" s="31" t="inlineStr">
        <is>
          <t>Macro totals (local currency)</t>
        </is>
      </c>
    </row>
    <row r="83" hidden="1" outlineLevel="1">
      <c r="A83" s="44" t="inlineStr">
        <is>
          <t>gdp</t>
        </is>
      </c>
      <c r="B83" s="3" t="inlineStr"/>
      <c r="C83" s="3" t="inlineStr"/>
      <c r="D83" s="3" t="n"/>
      <c r="E83" s="3" t="n"/>
      <c r="H83" s="3" t="inlineStr">
        <is>
          <t>Real GDP, baseline (local currency)</t>
        </is>
      </c>
      <c r="I83" s="3" t="inlineStr">
        <is>
          <t>LCU bn</t>
        </is>
      </c>
      <c r="J83" s="118" t="inlineStr">
        <is>
          <t>Mitigation gdp.lcu (header row 12)</t>
        </is>
      </c>
      <c r="K83" s="9" t="str">
        <f>LOWER(CtryCode)&amp;".distn."&amp;$A83&amp;IF($B83="","","."&amp;$B83)&amp;IF($C83="","",".dec."&amp;$C83)&amp;"."&amp;K$5</f>
        <v>egy.distn.gdp.1</v>
      </c>
      <c r="L83" s="204">
        <f>INDEX(FromMitigation!$K$8:$IZ$8,L$8)*FromMitigation!$D$8</f>
        <v>11066825114000.0</v>
      </c>
      <c r="M83" s="205">
        <f t="shared" ref="M83:V83" si="130">L83</f>
        <v>11066825114000.0</v>
      </c>
      <c r="N83" s="205">
        <f t="shared" si="130"/>
        <v>11066825114000.0</v>
      </c>
      <c r="O83" s="205">
        <f t="shared" si="130"/>
        <v>11066825114000.0</v>
      </c>
      <c r="P83" s="205">
        <f t="shared" si="130"/>
        <v>11066825114000.0</v>
      </c>
      <c r="Q83" s="205">
        <f t="shared" si="130"/>
        <v>11066825114000.0</v>
      </c>
      <c r="R83" s="205">
        <f t="shared" si="130"/>
        <v>11066825114000.0</v>
      </c>
      <c r="S83" s="205">
        <f t="shared" si="130"/>
        <v>11066825114000.0</v>
      </c>
      <c r="T83" s="205">
        <f t="shared" si="130"/>
        <v>11066825114000.0</v>
      </c>
      <c r="U83" s="205">
        <f t="shared" si="130"/>
        <v>11066825114000.0</v>
      </c>
      <c r="V83" s="205">
        <f t="shared" si="130"/>
        <v>11066825114000.0</v>
      </c>
      <c r="W83" s="201" t="str">
        <f>IF(X$5=K$5,SUM(Y83:AI83)-SUM(L83:V83),"")</f>
        <v/>
      </c>
      <c r="X83" s="9" t="str">
        <f>LOWER(CtryCode)&amp;".distn."&amp;$A83&amp;IF($B83="","","."&amp;$B83)&amp;IF($C83="","",".dec."&amp;$C83)&amp;"."&amp;X$5</f>
        <v>egy.distn.gdp.2</v>
      </c>
      <c r="Y83" s="204">
        <f>INDEX(FromMitigation!$K$8:$IZ$8,Y$8)*FromMitigation!$D$8</f>
        <v>11066825114000.0</v>
      </c>
      <c r="Z83" s="205">
        <f t="shared" ref="Z83:AI83" si="131">Y83</f>
        <v>11066825114000.0</v>
      </c>
      <c r="AA83" s="205">
        <f t="shared" si="131"/>
        <v>11066825114000.0</v>
      </c>
      <c r="AB83" s="205">
        <f t="shared" si="131"/>
        <v>11066825114000.0</v>
      </c>
      <c r="AC83" s="205">
        <f t="shared" si="131"/>
        <v>11066825114000.0</v>
      </c>
      <c r="AD83" s="205">
        <f t="shared" si="131"/>
        <v>11066825114000.0</v>
      </c>
      <c r="AE83" s="205">
        <f t="shared" si="131"/>
        <v>11066825114000.0</v>
      </c>
      <c r="AF83" s="205">
        <f t="shared" si="131"/>
        <v>11066825114000.0</v>
      </c>
      <c r="AG83" s="205">
        <f t="shared" si="131"/>
        <v>11066825114000.0</v>
      </c>
      <c r="AH83" s="205">
        <f t="shared" si="131"/>
        <v>11066825114000.0</v>
      </c>
      <c r="AI83" s="205">
        <f t="shared" si="131"/>
        <v>11066825114000.0</v>
      </c>
    </row>
    <row r="84" hidden="1" outlineLevel="1">
      <c r="A84" s="44" t="inlineStr">
        <is>
          <t>pop</t>
        </is>
      </c>
      <c r="B84" s="3" t="inlineStr"/>
      <c r="C84" s="3" t="inlineStr"/>
      <c r="D84" s="3" t="n"/>
      <c r="E84" s="3" t="n"/>
      <c r="H84" s="3" t="inlineStr">
        <is>
          <t>Population</t>
        </is>
      </c>
      <c r="I84" s="3" t="inlineStr">
        <is>
          <t>persons m</t>
        </is>
      </c>
      <c r="J84" s="118" t="inlineStr">
        <is>
          <t>Mitigation pop</t>
        </is>
      </c>
      <c r="K84" s="9" t="str">
        <f>LOWER(CtryCode)&amp;".distn."&amp;$A84&amp;IF($B84="","","."&amp;$B84)&amp;IF($C84="","",".dec."&amp;$C84)&amp;"."&amp;K$5</f>
        <v>egy.distn.pop.1</v>
      </c>
      <c r="L84" s="206">
        <f>INDEX(FromMitigation!$K$10:$IZ$10,L$8)*FromMitigation!$D$10</f>
        <v>127139321.0</v>
      </c>
      <c r="M84" s="207">
        <f t="shared" ref="M84:V84" si="132">L84</f>
        <v>127139321.0</v>
      </c>
      <c r="N84" s="207">
        <f t="shared" si="132"/>
        <v>127139321.0</v>
      </c>
      <c r="O84" s="207">
        <f t="shared" si="132"/>
        <v>127139321.0</v>
      </c>
      <c r="P84" s="207">
        <f t="shared" si="132"/>
        <v>127139321.0</v>
      </c>
      <c r="Q84" s="207">
        <f t="shared" si="132"/>
        <v>127139321.0</v>
      </c>
      <c r="R84" s="207">
        <f t="shared" si="132"/>
        <v>127139321.0</v>
      </c>
      <c r="S84" s="207">
        <f t="shared" si="132"/>
        <v>127139321.0</v>
      </c>
      <c r="T84" s="207">
        <f t="shared" si="132"/>
        <v>127139321.0</v>
      </c>
      <c r="U84" s="207">
        <f t="shared" si="132"/>
        <v>127139321.0</v>
      </c>
      <c r="V84" s="207">
        <f t="shared" si="132"/>
        <v>127139321.0</v>
      </c>
      <c r="W84" s="201" t="str">
        <f>IF(X$5=K$5,SUM(Y84:AI84)-SUM(L84:V84),"")</f>
        <v/>
      </c>
      <c r="X84" s="9" t="str">
        <f>LOWER(CtryCode)&amp;".distn."&amp;$A84&amp;IF($B84="","","."&amp;$B84)&amp;IF($C84="","",".dec."&amp;$C84)&amp;"."&amp;X$5</f>
        <v>egy.distn.pop.2</v>
      </c>
      <c r="Y84" s="206">
        <f>INDEX(FromMitigation!$K$10:$IZ$10,Y$8)*FromMitigation!$D$10</f>
        <v>127139321.0</v>
      </c>
      <c r="Z84" s="207">
        <f t="shared" ref="Z84:AI84" si="133">Y84</f>
        <v>127139321.0</v>
      </c>
      <c r="AA84" s="207">
        <f t="shared" si="133"/>
        <v>127139321.0</v>
      </c>
      <c r="AB84" s="207">
        <f t="shared" si="133"/>
        <v>127139321.0</v>
      </c>
      <c r="AC84" s="207">
        <f t="shared" si="133"/>
        <v>127139321.0</v>
      </c>
      <c r="AD84" s="207">
        <f t="shared" si="133"/>
        <v>127139321.0</v>
      </c>
      <c r="AE84" s="207">
        <f t="shared" si="133"/>
        <v>127139321.0</v>
      </c>
      <c r="AF84" s="207">
        <f t="shared" si="133"/>
        <v>127139321.0</v>
      </c>
      <c r="AG84" s="207">
        <f t="shared" si="133"/>
        <v>127139321.0</v>
      </c>
      <c r="AH84" s="207">
        <f t="shared" si="133"/>
        <v>127139321.0</v>
      </c>
      <c r="AI84" s="207">
        <f t="shared" si="133"/>
        <v>127139321.0</v>
      </c>
    </row>
    <row r="85" hidden="1" outlineLevel="1"/>
    <row r="86" collapsed="1">
      <c r="A86" s="44" t="inlineStr">
        <is>
          <t>rev</t>
        </is>
      </c>
      <c r="B86" s="3" t="inlineStr"/>
      <c r="C86" s="3" t="inlineStr"/>
      <c r="D86" s="3" t="n"/>
      <c r="E86" s="3" t="n"/>
      <c r="H86" s="6" t="inlineStr">
        <is>
          <t>Revenue from new policies (carbon pricing; legacy CP revenue)</t>
        </is>
      </c>
      <c r="I86" s="3" t="inlineStr">
        <is>
          <t>LCU</t>
        </is>
      </c>
      <c r="J86" s="118" t="inlineStr">
        <is>
          <t>Mitigation rnew x xr</t>
        </is>
      </c>
      <c r="K86" s="9" t="str">
        <f>LOWER(CtryCode)&amp;".distn."&amp;$A86&amp;IF($B86="","","."&amp;$B86)&amp;IF($C86="","",".dec."&amp;$C86)&amp;"."&amp;K$5</f>
        <v>egy.distn.rev.1</v>
      </c>
      <c r="L86" s="66">
        <f>INDEX(FromMitigation!$K$11:$IZ$11,L$8)*FromMitigation!$D$11*INDEX(FromMitigation!$K$9:$IZ$9,L$8)</f>
        <v>0.0</v>
      </c>
      <c r="M86" s="67">
        <f t="shared" ref="M86:V86" si="134">L86</f>
        <v>0.0</v>
      </c>
      <c r="N86" s="67">
        <f t="shared" si="134"/>
        <v>0.0</v>
      </c>
      <c r="O86" s="67">
        <f t="shared" si="134"/>
        <v>0.0</v>
      </c>
      <c r="P86" s="67">
        <f t="shared" si="134"/>
        <v>0.0</v>
      </c>
      <c r="Q86" s="67">
        <f t="shared" si="134"/>
        <v>0.0</v>
      </c>
      <c r="R86" s="67">
        <f t="shared" si="134"/>
        <v>0.0</v>
      </c>
      <c r="S86" s="67">
        <f t="shared" si="134"/>
        <v>0.0</v>
      </c>
      <c r="T86" s="67">
        <f t="shared" si="134"/>
        <v>0.0</v>
      </c>
      <c r="U86" s="67">
        <f t="shared" si="134"/>
        <v>0.0</v>
      </c>
      <c r="V86" s="67">
        <f t="shared" si="134"/>
        <v>0.0</v>
      </c>
      <c r="W86" s="201" t="str">
        <f>IF(X$5=K$5,SUM(Y86:AI86)-SUM(L86:V86),"")</f>
        <v/>
      </c>
      <c r="X86" s="9" t="str">
        <f>LOWER(CtryCode)&amp;".distn."&amp;$A86&amp;IF($B86="","","."&amp;$B86)&amp;IF($C86="","",".dec."&amp;$C86)&amp;"."&amp;X$5</f>
        <v>egy.distn.rev.2</v>
      </c>
      <c r="Y86" s="66">
        <f>INDEX(FromMitigation!$K$11:$IZ$11,Y$8)*FromMitigation!$D$11*INDEX(FromMitigation!$K$9:$IZ$9,Y$8)</f>
        <v>74421167793.57634</v>
      </c>
      <c r="Z86" s="67">
        <f t="shared" ref="Z86:AI86" si="135">Y86</f>
        <v>74421167793.57634</v>
      </c>
      <c r="AA86" s="67">
        <f t="shared" si="135"/>
        <v>74421167793.57634</v>
      </c>
      <c r="AB86" s="67">
        <f t="shared" si="135"/>
        <v>74421167793.57634</v>
      </c>
      <c r="AC86" s="67">
        <f t="shared" si="135"/>
        <v>74421167793.57634</v>
      </c>
      <c r="AD86" s="67">
        <f t="shared" si="135"/>
        <v>74421167793.57634</v>
      </c>
      <c r="AE86" s="67">
        <f t="shared" si="135"/>
        <v>74421167793.57634</v>
      </c>
      <c r="AF86" s="67">
        <f t="shared" si="135"/>
        <v>74421167793.57634</v>
      </c>
      <c r="AG86" s="67">
        <f t="shared" si="135"/>
        <v>74421167793.57634</v>
      </c>
      <c r="AH86" s="67">
        <f t="shared" si="135"/>
        <v>74421167793.57634</v>
      </c>
      <c r="AI86" s="67">
        <f t="shared" si="135"/>
        <v>74421167793.57634</v>
      </c>
    </row>
    <row r="87"/>
    <row r="88">
      <c r="A88" s="36" t="inlineStr">
        <is>
          <t>3</t>
        </is>
      </c>
      <c r="B88" s="37" t="inlineStr">
        <is>
          <t>Indirect price changes of consumption categories (legacy C.I)</t>
        </is>
      </c>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row>
    <row r="89" hidden="1" outlineLevel="1"/>
    <row r="90" hidden="1" outlineLevel="1">
      <c r="B90" s="31" t="inlineStr">
        <is>
          <t>Fuel groups of the input-output table: revenue (spending x price change), spending, total use, factor</t>
        </is>
      </c>
    </row>
    <row r="91" hidden="1" outlineLevel="1">
      <c r="A91" s="44" t="inlineStr">
        <is>
          <t>grev</t>
        </is>
      </c>
      <c r="B91" s="3" t="inlineStr">
        <is>
          <t>coa</t>
        </is>
      </c>
      <c r="C91" s="3" t="inlineStr"/>
      <c r="D91" s="3" t="n"/>
      <c r="E91" s="3" t="n"/>
      <c r="H91" s="3" t="inlineStr">
        <is>
          <t>Coal: revenue at scenario-1 spending</t>
        </is>
      </c>
      <c r="I91" s="3" t="inlineStr">
        <is>
          <t>USD m</t>
        </is>
      </c>
      <c r="J91" s="118" t="inlineStr">
        <is>
          <t>legacy rows 549-556</t>
        </is>
      </c>
      <c r="K91" s="9" t="str">
        <f>LOWER(CtryCode)&amp;".distn."&amp;$A91&amp;IF($B91="","","."&amp;$B91)&amp;IF($C91="","",".dec."&amp;$C91)&amp;"."&amp;K$5</f>
        <v>egy.distn.grev.coa.1</v>
      </c>
      <c r="L91" s="208">
        <f>SUMPRODUCT(($D$73:$D$80=$B91)*L$73:L$80*L$65:L$72)</f>
        <v>0.0</v>
      </c>
      <c r="M91" s="195">
        <f t="shared" ref="M91:V91" si="136">L91</f>
        <v>0.0</v>
      </c>
      <c r="N91" s="195">
        <f t="shared" si="136"/>
        <v>0.0</v>
      </c>
      <c r="O91" s="195">
        <f t="shared" si="136"/>
        <v>0.0</v>
      </c>
      <c r="P91" s="195">
        <f t="shared" si="136"/>
        <v>0.0</v>
      </c>
      <c r="Q91" s="195">
        <f t="shared" si="136"/>
        <v>0.0</v>
      </c>
      <c r="R91" s="195">
        <f t="shared" si="136"/>
        <v>0.0</v>
      </c>
      <c r="S91" s="195">
        <f t="shared" si="136"/>
        <v>0.0</v>
      </c>
      <c r="T91" s="195">
        <f t="shared" si="136"/>
        <v>0.0</v>
      </c>
      <c r="U91" s="195">
        <f t="shared" si="136"/>
        <v>0.0</v>
      </c>
      <c r="V91" s="195">
        <f t="shared" si="136"/>
        <v>0.0</v>
      </c>
      <c r="W91" s="201" t="str">
        <f>IF(X$5=K$5,SUM(Y91:AI91)-SUM(L91:V91),"")</f>
        <v/>
      </c>
      <c r="X91" s="9" t="str">
        <f>LOWER(CtryCode)&amp;".distn."&amp;$A91&amp;IF($B91="","","."&amp;$B91)&amp;IF($C91="","",".dec."&amp;$C91)&amp;"."&amp;X$5</f>
        <v>egy.distn.grev.coa.2</v>
      </c>
      <c r="Y91" s="208">
        <f>SUMPRODUCT(($D$73:$D$80=$B91)*Y$73:Y$80*Y$65:Y$72)</f>
        <v>215.710340328461</v>
      </c>
      <c r="Z91" s="195">
        <f t="shared" ref="Z91:AI91" si="137">Y91</f>
        <v>215.710340328461</v>
      </c>
      <c r="AA91" s="195">
        <f t="shared" si="137"/>
        <v>215.710340328461</v>
      </c>
      <c r="AB91" s="195">
        <f t="shared" si="137"/>
        <v>215.710340328461</v>
      </c>
      <c r="AC91" s="195">
        <f t="shared" si="137"/>
        <v>215.710340328461</v>
      </c>
      <c r="AD91" s="195">
        <f t="shared" si="137"/>
        <v>215.710340328461</v>
      </c>
      <c r="AE91" s="195">
        <f t="shared" si="137"/>
        <v>215.710340328461</v>
      </c>
      <c r="AF91" s="195">
        <f t="shared" si="137"/>
        <v>215.710340328461</v>
      </c>
      <c r="AG91" s="195">
        <f t="shared" si="137"/>
        <v>215.710340328461</v>
      </c>
      <c r="AH91" s="195">
        <f t="shared" si="137"/>
        <v>215.710340328461</v>
      </c>
      <c r="AI91" s="195">
        <f t="shared" si="137"/>
        <v>215.710340328461</v>
      </c>
    </row>
    <row r="92" hidden="1" outlineLevel="1">
      <c r="A92" s="44" t="inlineStr">
        <is>
          <t>grev</t>
        </is>
      </c>
      <c r="B92" s="3" t="inlineStr">
        <is>
          <t>ely</t>
        </is>
      </c>
      <c r="C92" s="3" t="inlineStr"/>
      <c r="D92" s="3" t="n"/>
      <c r="E92" s="3" t="n"/>
      <c r="H92" s="3" t="inlineStr">
        <is>
          <t>Electricity: revenue at scenario-1 spending</t>
        </is>
      </c>
      <c r="I92" s="3" t="inlineStr">
        <is>
          <t>USD m</t>
        </is>
      </c>
      <c r="J92" s="118" t="inlineStr">
        <is>
          <t>legacy rows 549-556</t>
        </is>
      </c>
      <c r="K92" s="9" t="str">
        <f>LOWER(CtryCode)&amp;".distn."&amp;$A92&amp;IF($B92="","","."&amp;$B92)&amp;IF($C92="","",".dec."&amp;$C92)&amp;"."&amp;K$5</f>
        <v>egy.distn.grev.ely.1</v>
      </c>
      <c r="L92" s="208">
        <f>SUMPRODUCT(($D$73:$D$80=$B92)*L$73:L$80*L$65:L$72)</f>
        <v>0.0</v>
      </c>
      <c r="M92" s="195">
        <f t="shared" ref="M92:V92" si="138">L92</f>
        <v>0.0</v>
      </c>
      <c r="N92" s="195">
        <f t="shared" si="138"/>
        <v>0.0</v>
      </c>
      <c r="O92" s="195">
        <f t="shared" si="138"/>
        <v>0.0</v>
      </c>
      <c r="P92" s="195">
        <f t="shared" si="138"/>
        <v>0.0</v>
      </c>
      <c r="Q92" s="195">
        <f t="shared" si="138"/>
        <v>0.0</v>
      </c>
      <c r="R92" s="195">
        <f t="shared" si="138"/>
        <v>0.0</v>
      </c>
      <c r="S92" s="195">
        <f t="shared" si="138"/>
        <v>0.0</v>
      </c>
      <c r="T92" s="195">
        <f t="shared" si="138"/>
        <v>0.0</v>
      </c>
      <c r="U92" s="195">
        <f t="shared" si="138"/>
        <v>0.0</v>
      </c>
      <c r="V92" s="195">
        <f t="shared" si="138"/>
        <v>0.0</v>
      </c>
      <c r="W92" s="201" t="str">
        <f>IF(X$5=K$5,SUM(Y92:AI92)-SUM(L92:V92),"")</f>
        <v/>
      </c>
      <c r="X92" s="9" t="str">
        <f>LOWER(CtryCode)&amp;".distn."&amp;$A92&amp;IF($B92="","","."&amp;$B92)&amp;IF($C92="","",".dec."&amp;$C92)&amp;"."&amp;X$5</f>
        <v>egy.distn.grev.ely.2</v>
      </c>
      <c r="Y92" s="208">
        <f>SUMPRODUCT(($D$73:$D$80=$B92)*Y$73:Y$80*Y$65:Y$72)</f>
        <v>1625.437279348739</v>
      </c>
      <c r="Z92" s="195">
        <f t="shared" ref="Z92:AI92" si="139">Y92</f>
        <v>1625.437279348739</v>
      </c>
      <c r="AA92" s="195">
        <f t="shared" si="139"/>
        <v>1625.437279348739</v>
      </c>
      <c r="AB92" s="195">
        <f t="shared" si="139"/>
        <v>1625.437279348739</v>
      </c>
      <c r="AC92" s="195">
        <f t="shared" si="139"/>
        <v>1625.437279348739</v>
      </c>
      <c r="AD92" s="195">
        <f t="shared" si="139"/>
        <v>1625.437279348739</v>
      </c>
      <c r="AE92" s="195">
        <f t="shared" si="139"/>
        <v>1625.437279348739</v>
      </c>
      <c r="AF92" s="195">
        <f t="shared" si="139"/>
        <v>1625.437279348739</v>
      </c>
      <c r="AG92" s="195">
        <f t="shared" si="139"/>
        <v>1625.437279348739</v>
      </c>
      <c r="AH92" s="195">
        <f t="shared" si="139"/>
        <v>1625.437279348739</v>
      </c>
      <c r="AI92" s="195">
        <f t="shared" si="139"/>
        <v>1625.437279348739</v>
      </c>
    </row>
    <row r="93" hidden="1" outlineLevel="1">
      <c r="A93" s="44" t="inlineStr">
        <is>
          <t>grev</t>
        </is>
      </c>
      <c r="B93" s="3" t="inlineStr">
        <is>
          <t>nga</t>
        </is>
      </c>
      <c r="C93" s="3" t="inlineStr"/>
      <c r="D93" s="3" t="n"/>
      <c r="E93" s="3" t="n"/>
      <c r="H93" s="3" t="inlineStr">
        <is>
          <t>Natural gas: revenue at scenario-1 spending</t>
        </is>
      </c>
      <c r="I93" s="3" t="inlineStr">
        <is>
          <t>USD m</t>
        </is>
      </c>
      <c r="J93" s="118" t="inlineStr">
        <is>
          <t>legacy rows 549-556</t>
        </is>
      </c>
      <c r="K93" s="9" t="str">
        <f>LOWER(CtryCode)&amp;".distn."&amp;$A93&amp;IF($B93="","","."&amp;$B93)&amp;IF($C93="","",".dec."&amp;$C93)&amp;"."&amp;K$5</f>
        <v>egy.distn.grev.nga.1</v>
      </c>
      <c r="L93" s="208">
        <f>SUMPRODUCT(($D$73:$D$80=$B93)*L$73:L$80*L$65:L$72)</f>
        <v>0.0</v>
      </c>
      <c r="M93" s="195">
        <f t="shared" ref="M93:V93" si="140">L93</f>
        <v>0.0</v>
      </c>
      <c r="N93" s="195">
        <f t="shared" si="140"/>
        <v>0.0</v>
      </c>
      <c r="O93" s="195">
        <f t="shared" si="140"/>
        <v>0.0</v>
      </c>
      <c r="P93" s="195">
        <f t="shared" si="140"/>
        <v>0.0</v>
      </c>
      <c r="Q93" s="195">
        <f t="shared" si="140"/>
        <v>0.0</v>
      </c>
      <c r="R93" s="195">
        <f t="shared" si="140"/>
        <v>0.0</v>
      </c>
      <c r="S93" s="195">
        <f t="shared" si="140"/>
        <v>0.0</v>
      </c>
      <c r="T93" s="195">
        <f t="shared" si="140"/>
        <v>0.0</v>
      </c>
      <c r="U93" s="195">
        <f t="shared" si="140"/>
        <v>0.0</v>
      </c>
      <c r="V93" s="195">
        <f t="shared" si="140"/>
        <v>0.0</v>
      </c>
      <c r="W93" s="201" t="str">
        <f>IF(X$5=K$5,SUM(Y93:AI93)-SUM(L93:V93),"")</f>
        <v/>
      </c>
      <c r="X93" s="9" t="str">
        <f>LOWER(CtryCode)&amp;".distn."&amp;$A93&amp;IF($B93="","","."&amp;$B93)&amp;IF($C93="","",".dec."&amp;$C93)&amp;"."&amp;X$5</f>
        <v>egy.distn.grev.nga.2</v>
      </c>
      <c r="Y93" s="208">
        <f>SUMPRODUCT(($D$73:$D$80=$B93)*Y$73:Y$80*Y$65:Y$72)</f>
        <v>617.9380364033416</v>
      </c>
      <c r="Z93" s="195">
        <f t="shared" ref="Z93:AI93" si="141">Y93</f>
        <v>617.9380364033416</v>
      </c>
      <c r="AA93" s="195">
        <f t="shared" si="141"/>
        <v>617.9380364033416</v>
      </c>
      <c r="AB93" s="195">
        <f t="shared" si="141"/>
        <v>617.9380364033416</v>
      </c>
      <c r="AC93" s="195">
        <f t="shared" si="141"/>
        <v>617.9380364033416</v>
      </c>
      <c r="AD93" s="195">
        <f t="shared" si="141"/>
        <v>617.9380364033416</v>
      </c>
      <c r="AE93" s="195">
        <f t="shared" si="141"/>
        <v>617.9380364033416</v>
      </c>
      <c r="AF93" s="195">
        <f t="shared" si="141"/>
        <v>617.9380364033416</v>
      </c>
      <c r="AG93" s="195">
        <f t="shared" si="141"/>
        <v>617.9380364033416</v>
      </c>
      <c r="AH93" s="195">
        <f t="shared" si="141"/>
        <v>617.9380364033416</v>
      </c>
      <c r="AI93" s="195">
        <f t="shared" si="141"/>
        <v>617.9380364033416</v>
      </c>
    </row>
    <row r="94" hidden="1" outlineLevel="1">
      <c r="A94" s="44" t="inlineStr">
        <is>
          <t>grev</t>
        </is>
      </c>
      <c r="B94" s="3" t="inlineStr">
        <is>
          <t>oil</t>
        </is>
      </c>
      <c r="C94" s="3" t="inlineStr"/>
      <c r="D94" s="3" t="n"/>
      <c r="E94" s="3" t="n"/>
      <c r="H94" s="3" t="inlineStr">
        <is>
          <t>Crude and other oil: revenue at scenario-1 spending</t>
        </is>
      </c>
      <c r="I94" s="3" t="inlineStr">
        <is>
          <t>USD m</t>
        </is>
      </c>
      <c r="J94" s="118" t="inlineStr">
        <is>
          <t>legacy rows 549-556</t>
        </is>
      </c>
      <c r="K94" s="9" t="str">
        <f>LOWER(CtryCode)&amp;".distn."&amp;$A94&amp;IF($B94="","","."&amp;$B94)&amp;IF($C94="","",".dec."&amp;$C94)&amp;"."&amp;K$5</f>
        <v>egy.distn.grev.oil.1</v>
      </c>
      <c r="L94" s="208">
        <f>SUMPRODUCT(($D$73:$D$80=$B94)*L$73:L$80*L$65:L$72)</f>
        <v>0.0</v>
      </c>
      <c r="M94" s="195">
        <f t="shared" ref="M94:V94" si="142">L94</f>
        <v>0.0</v>
      </c>
      <c r="N94" s="195">
        <f t="shared" si="142"/>
        <v>0.0</v>
      </c>
      <c r="O94" s="195">
        <f t="shared" si="142"/>
        <v>0.0</v>
      </c>
      <c r="P94" s="195">
        <f t="shared" si="142"/>
        <v>0.0</v>
      </c>
      <c r="Q94" s="195">
        <f t="shared" si="142"/>
        <v>0.0</v>
      </c>
      <c r="R94" s="195">
        <f t="shared" si="142"/>
        <v>0.0</v>
      </c>
      <c r="S94" s="195">
        <f t="shared" si="142"/>
        <v>0.0</v>
      </c>
      <c r="T94" s="195">
        <f t="shared" si="142"/>
        <v>0.0</v>
      </c>
      <c r="U94" s="195">
        <f t="shared" si="142"/>
        <v>0.0</v>
      </c>
      <c r="V94" s="195">
        <f t="shared" si="142"/>
        <v>0.0</v>
      </c>
      <c r="W94" s="201" t="str">
        <f>IF(X$5=K$5,SUM(Y94:AI94)-SUM(L94:V94),"")</f>
        <v/>
      </c>
      <c r="X94" s="9" t="str">
        <f>LOWER(CtryCode)&amp;".distn."&amp;$A94&amp;IF($B94="","","."&amp;$B94)&amp;IF($C94="","",".dec."&amp;$C94)&amp;"."&amp;X$5</f>
        <v>egy.distn.grev.oil.2</v>
      </c>
      <c r="Y94" s="208">
        <f>SUMPRODUCT(($D$73:$D$80=$B94)*Y$73:Y$80*Y$65:Y$72)</f>
        <v>207.06182271591146</v>
      </c>
      <c r="Z94" s="195">
        <f t="shared" ref="Z94:AI94" si="143">Y94</f>
        <v>207.06182271591146</v>
      </c>
      <c r="AA94" s="195">
        <f t="shared" si="143"/>
        <v>207.06182271591146</v>
      </c>
      <c r="AB94" s="195">
        <f t="shared" si="143"/>
        <v>207.06182271591146</v>
      </c>
      <c r="AC94" s="195">
        <f t="shared" si="143"/>
        <v>207.06182271591146</v>
      </c>
      <c r="AD94" s="195">
        <f t="shared" si="143"/>
        <v>207.06182271591146</v>
      </c>
      <c r="AE94" s="195">
        <f t="shared" si="143"/>
        <v>207.06182271591146</v>
      </c>
      <c r="AF94" s="195">
        <f t="shared" si="143"/>
        <v>207.06182271591146</v>
      </c>
      <c r="AG94" s="195">
        <f t="shared" si="143"/>
        <v>207.06182271591146</v>
      </c>
      <c r="AH94" s="195">
        <f t="shared" si="143"/>
        <v>207.06182271591146</v>
      </c>
      <c r="AI94" s="195">
        <f t="shared" si="143"/>
        <v>207.06182271591146</v>
      </c>
    </row>
    <row r="95" hidden="1" outlineLevel="1">
      <c r="A95" s="44" t="inlineStr">
        <is>
          <t>grev</t>
        </is>
      </c>
      <c r="B95" s="3" t="inlineStr">
        <is>
          <t>p_c</t>
        </is>
      </c>
      <c r="C95" s="3" t="inlineStr"/>
      <c r="D95" s="3" t="n"/>
      <c r="E95" s="3" t="n"/>
      <c r="H95" s="3" t="inlineStr">
        <is>
          <t>Refined products (gasoline, diesel, LPG, kerosene): revenue at scenario-1 spending</t>
        </is>
      </c>
      <c r="I95" s="3" t="inlineStr">
        <is>
          <t>USD m</t>
        </is>
      </c>
      <c r="J95" s="118" t="inlineStr">
        <is>
          <t>legacy rows 549-556</t>
        </is>
      </c>
      <c r="K95" s="9" t="str">
        <f>LOWER(CtryCode)&amp;".distn."&amp;$A95&amp;IF($B95="","","."&amp;$B95)&amp;IF($C95="","",".dec."&amp;$C95)&amp;"."&amp;K$5</f>
        <v>egy.distn.grev.p_c.1</v>
      </c>
      <c r="L95" s="208">
        <f>SUMPRODUCT(($D$73:$D$80=$B95)*L$73:L$80*L$65:L$72)</f>
        <v>0.0</v>
      </c>
      <c r="M95" s="195">
        <f t="shared" ref="M95:V95" si="144">L95</f>
        <v>0.0</v>
      </c>
      <c r="N95" s="195">
        <f t="shared" si="144"/>
        <v>0.0</v>
      </c>
      <c r="O95" s="195">
        <f t="shared" si="144"/>
        <v>0.0</v>
      </c>
      <c r="P95" s="195">
        <f t="shared" si="144"/>
        <v>0.0</v>
      </c>
      <c r="Q95" s="195">
        <f t="shared" si="144"/>
        <v>0.0</v>
      </c>
      <c r="R95" s="195">
        <f t="shared" si="144"/>
        <v>0.0</v>
      </c>
      <c r="S95" s="195">
        <f t="shared" si="144"/>
        <v>0.0</v>
      </c>
      <c r="T95" s="195">
        <f t="shared" si="144"/>
        <v>0.0</v>
      </c>
      <c r="U95" s="195">
        <f t="shared" si="144"/>
        <v>0.0</v>
      </c>
      <c r="V95" s="195">
        <f t="shared" si="144"/>
        <v>0.0</v>
      </c>
      <c r="W95" s="201" t="str">
        <f>IF(X$5=K$5,SUM(Y95:AI95)-SUM(L95:V95),"")</f>
        <v/>
      </c>
      <c r="X95" s="9" t="str">
        <f>LOWER(CtryCode)&amp;".distn."&amp;$A95&amp;IF($B95="","","."&amp;$B95)&amp;IF($C95="","",".dec."&amp;$C95)&amp;"."&amp;X$5</f>
        <v>egy.distn.grev.p_c.2</v>
      </c>
      <c r="Y95" s="208">
        <f>SUMPRODUCT(($D$73:$D$80=$B95)*Y$73:Y$80*Y$65:Y$72)</f>
        <v>2742.634589083682</v>
      </c>
      <c r="Z95" s="195">
        <f t="shared" ref="Z95:AI95" si="145">Y95</f>
        <v>2742.634589083682</v>
      </c>
      <c r="AA95" s="195">
        <f t="shared" si="145"/>
        <v>2742.634589083682</v>
      </c>
      <c r="AB95" s="195">
        <f t="shared" si="145"/>
        <v>2742.634589083682</v>
      </c>
      <c r="AC95" s="195">
        <f t="shared" si="145"/>
        <v>2742.634589083682</v>
      </c>
      <c r="AD95" s="195">
        <f t="shared" si="145"/>
        <v>2742.634589083682</v>
      </c>
      <c r="AE95" s="195">
        <f t="shared" si="145"/>
        <v>2742.634589083682</v>
      </c>
      <c r="AF95" s="195">
        <f t="shared" si="145"/>
        <v>2742.634589083682</v>
      </c>
      <c r="AG95" s="195">
        <f t="shared" si="145"/>
        <v>2742.634589083682</v>
      </c>
      <c r="AH95" s="195">
        <f t="shared" si="145"/>
        <v>2742.634589083682</v>
      </c>
      <c r="AI95" s="195">
        <f t="shared" si="145"/>
        <v>2742.634589083682</v>
      </c>
    </row>
    <row r="96" hidden="1" outlineLevel="1">
      <c r="A96" s="44" t="inlineStr">
        <is>
          <t>gspend</t>
        </is>
      </c>
      <c r="B96" s="3" t="inlineStr">
        <is>
          <t>coa</t>
        </is>
      </c>
      <c r="C96" s="3" t="inlineStr"/>
      <c r="D96" s="3" t="n"/>
      <c r="E96" s="3" t="n"/>
      <c r="H96" s="3" t="inlineStr">
        <is>
          <t>Coal: spending</t>
        </is>
      </c>
      <c r="I96" s="3" t="inlineStr">
        <is>
          <t>USD m</t>
        </is>
      </c>
      <c r="J96" s="118" t="inlineStr">
        <is>
          <t>legacy rows 528-535</t>
        </is>
      </c>
      <c r="K96" s="9" t="str">
        <f>LOWER(CtryCode)&amp;".distn."&amp;$A96&amp;IF($B96="","","."&amp;$B96)&amp;IF($C96="","",".dec."&amp;$C96)&amp;"."&amp;K$5</f>
        <v>egy.distn.gspend.coa.1</v>
      </c>
      <c r="L96" s="208">
        <f>SUMIF($D$73:$D$80,$B96,L$73:L$80)</f>
        <v>778.1856211058534</v>
      </c>
      <c r="M96" s="195">
        <f t="shared" ref="M96:V96" si="146">L96</f>
        <v>778.1856211058534</v>
      </c>
      <c r="N96" s="195">
        <f t="shared" si="146"/>
        <v>778.1856211058534</v>
      </c>
      <c r="O96" s="195">
        <f t="shared" si="146"/>
        <v>778.1856211058534</v>
      </c>
      <c r="P96" s="195">
        <f t="shared" si="146"/>
        <v>778.1856211058534</v>
      </c>
      <c r="Q96" s="195">
        <f t="shared" si="146"/>
        <v>778.1856211058534</v>
      </c>
      <c r="R96" s="195">
        <f t="shared" si="146"/>
        <v>778.1856211058534</v>
      </c>
      <c r="S96" s="195">
        <f t="shared" si="146"/>
        <v>778.1856211058534</v>
      </c>
      <c r="T96" s="195">
        <f t="shared" si="146"/>
        <v>778.1856211058534</v>
      </c>
      <c r="U96" s="195">
        <f t="shared" si="146"/>
        <v>778.1856211058534</v>
      </c>
      <c r="V96" s="195">
        <f t="shared" si="146"/>
        <v>778.1856211058534</v>
      </c>
      <c r="W96" s="201" t="str">
        <f>IF(X$5=K$5,SUM(Y96:AI96)-SUM(L96:V96),"")</f>
        <v/>
      </c>
      <c r="X96" s="9" t="str">
        <f>LOWER(CtryCode)&amp;".distn."&amp;$A96&amp;IF($B96="","","."&amp;$B96)&amp;IF($C96="","",".dec."&amp;$C96)&amp;"."&amp;X$5</f>
        <v>egy.distn.gspend.coa.2</v>
      </c>
      <c r="Y96" s="208">
        <f>SUMIF($D$73:$D$80,$B96,Y$73:Y$80)</f>
        <v>778.1856211058534</v>
      </c>
      <c r="Z96" s="195">
        <f t="shared" ref="Z96:AI96" si="147">Y96</f>
        <v>778.1856211058534</v>
      </c>
      <c r="AA96" s="195">
        <f t="shared" si="147"/>
        <v>778.1856211058534</v>
      </c>
      <c r="AB96" s="195">
        <f t="shared" si="147"/>
        <v>778.1856211058534</v>
      </c>
      <c r="AC96" s="195">
        <f t="shared" si="147"/>
        <v>778.1856211058534</v>
      </c>
      <c r="AD96" s="195">
        <f t="shared" si="147"/>
        <v>778.1856211058534</v>
      </c>
      <c r="AE96" s="195">
        <f t="shared" si="147"/>
        <v>778.1856211058534</v>
      </c>
      <c r="AF96" s="195">
        <f t="shared" si="147"/>
        <v>778.1856211058534</v>
      </c>
      <c r="AG96" s="195">
        <f t="shared" si="147"/>
        <v>778.1856211058534</v>
      </c>
      <c r="AH96" s="195">
        <f t="shared" si="147"/>
        <v>778.1856211058534</v>
      </c>
      <c r="AI96" s="195">
        <f t="shared" si="147"/>
        <v>778.1856211058534</v>
      </c>
    </row>
    <row r="97" hidden="1" outlineLevel="1">
      <c r="A97" s="44" t="inlineStr">
        <is>
          <t>gspend</t>
        </is>
      </c>
      <c r="B97" s="3" t="inlineStr">
        <is>
          <t>ely</t>
        </is>
      </c>
      <c r="C97" s="3" t="inlineStr"/>
      <c r="D97" s="3" t="n"/>
      <c r="E97" s="3" t="n"/>
      <c r="H97" s="3" t="inlineStr">
        <is>
          <t>Electricity: spending</t>
        </is>
      </c>
      <c r="I97" s="3" t="inlineStr">
        <is>
          <t>USD m</t>
        </is>
      </c>
      <c r="J97" s="118" t="inlineStr">
        <is>
          <t>legacy rows 528-535</t>
        </is>
      </c>
      <c r="K97" s="9" t="str">
        <f>LOWER(CtryCode)&amp;".distn."&amp;$A97&amp;IF($B97="","","."&amp;$B97)&amp;IF($C97="","",".dec."&amp;$C97)&amp;"."&amp;K$5</f>
        <v>egy.distn.gspend.ely.1</v>
      </c>
      <c r="L97" s="208">
        <f>SUMIF($D$73:$D$80,$B97,L$73:L$80)</f>
        <v>10352.34565464786</v>
      </c>
      <c r="M97" s="195">
        <f t="shared" ref="M97:V97" si="148">L97</f>
        <v>10352.34565464786</v>
      </c>
      <c r="N97" s="195">
        <f t="shared" si="148"/>
        <v>10352.34565464786</v>
      </c>
      <c r="O97" s="195">
        <f t="shared" si="148"/>
        <v>10352.34565464786</v>
      </c>
      <c r="P97" s="195">
        <f t="shared" si="148"/>
        <v>10352.34565464786</v>
      </c>
      <c r="Q97" s="195">
        <f t="shared" si="148"/>
        <v>10352.34565464786</v>
      </c>
      <c r="R97" s="195">
        <f t="shared" si="148"/>
        <v>10352.34565464786</v>
      </c>
      <c r="S97" s="195">
        <f t="shared" si="148"/>
        <v>10352.34565464786</v>
      </c>
      <c r="T97" s="195">
        <f t="shared" si="148"/>
        <v>10352.34565464786</v>
      </c>
      <c r="U97" s="195">
        <f t="shared" si="148"/>
        <v>10352.34565464786</v>
      </c>
      <c r="V97" s="195">
        <f t="shared" si="148"/>
        <v>10352.34565464786</v>
      </c>
      <c r="W97" s="201" t="str">
        <f>IF(X$5=K$5,SUM(Y97:AI97)-SUM(L97:V97),"")</f>
        <v/>
      </c>
      <c r="X97" s="9" t="str">
        <f>LOWER(CtryCode)&amp;".distn."&amp;$A97&amp;IF($B97="","","."&amp;$B97)&amp;IF($C97="","",".dec."&amp;$C97)&amp;"."&amp;X$5</f>
        <v>egy.distn.gspend.ely.2</v>
      </c>
      <c r="Y97" s="208">
        <f>SUMIF($D$73:$D$80,$B97,Y$73:Y$80)</f>
        <v>10352.34565464786</v>
      </c>
      <c r="Z97" s="195">
        <f t="shared" ref="Z97:AI97" si="149">Y97</f>
        <v>10352.34565464786</v>
      </c>
      <c r="AA97" s="195">
        <f t="shared" si="149"/>
        <v>10352.34565464786</v>
      </c>
      <c r="AB97" s="195">
        <f t="shared" si="149"/>
        <v>10352.34565464786</v>
      </c>
      <c r="AC97" s="195">
        <f t="shared" si="149"/>
        <v>10352.34565464786</v>
      </c>
      <c r="AD97" s="195">
        <f t="shared" si="149"/>
        <v>10352.34565464786</v>
      </c>
      <c r="AE97" s="195">
        <f t="shared" si="149"/>
        <v>10352.34565464786</v>
      </c>
      <c r="AF97" s="195">
        <f t="shared" si="149"/>
        <v>10352.34565464786</v>
      </c>
      <c r="AG97" s="195">
        <f t="shared" si="149"/>
        <v>10352.34565464786</v>
      </c>
      <c r="AH97" s="195">
        <f t="shared" si="149"/>
        <v>10352.34565464786</v>
      </c>
      <c r="AI97" s="195">
        <f t="shared" si="149"/>
        <v>10352.34565464786</v>
      </c>
    </row>
    <row r="98" hidden="1" outlineLevel="1">
      <c r="A98" s="44" t="inlineStr">
        <is>
          <t>gspend</t>
        </is>
      </c>
      <c r="B98" s="3" t="inlineStr">
        <is>
          <t>nga</t>
        </is>
      </c>
      <c r="C98" s="3" t="inlineStr"/>
      <c r="D98" s="3" t="n"/>
      <c r="E98" s="3" t="n"/>
      <c r="H98" s="3" t="inlineStr">
        <is>
          <t>Natural gas: spending</t>
        </is>
      </c>
      <c r="I98" s="3" t="inlineStr">
        <is>
          <t>USD m</t>
        </is>
      </c>
      <c r="J98" s="118" t="inlineStr">
        <is>
          <t>legacy rows 528-535</t>
        </is>
      </c>
      <c r="K98" s="9" t="str">
        <f>LOWER(CtryCode)&amp;".distn."&amp;$A98&amp;IF($B98="","","."&amp;$B98)&amp;IF($C98="","",".dec."&amp;$C98)&amp;"."&amp;K$5</f>
        <v>egy.distn.gspend.nga.1</v>
      </c>
      <c r="L98" s="208">
        <f>SUMIF($D$73:$D$80,$B98,L$73:L$80)</f>
        <v>2716.983758196126</v>
      </c>
      <c r="M98" s="195">
        <f t="shared" ref="M98:V98" si="150">L98</f>
        <v>2716.983758196126</v>
      </c>
      <c r="N98" s="195">
        <f t="shared" si="150"/>
        <v>2716.983758196126</v>
      </c>
      <c r="O98" s="195">
        <f t="shared" si="150"/>
        <v>2716.983758196126</v>
      </c>
      <c r="P98" s="195">
        <f t="shared" si="150"/>
        <v>2716.983758196126</v>
      </c>
      <c r="Q98" s="195">
        <f t="shared" si="150"/>
        <v>2716.983758196126</v>
      </c>
      <c r="R98" s="195">
        <f t="shared" si="150"/>
        <v>2716.983758196126</v>
      </c>
      <c r="S98" s="195">
        <f t="shared" si="150"/>
        <v>2716.983758196126</v>
      </c>
      <c r="T98" s="195">
        <f t="shared" si="150"/>
        <v>2716.983758196126</v>
      </c>
      <c r="U98" s="195">
        <f t="shared" si="150"/>
        <v>2716.983758196126</v>
      </c>
      <c r="V98" s="195">
        <f t="shared" si="150"/>
        <v>2716.983758196126</v>
      </c>
      <c r="W98" s="201" t="str">
        <f>IF(X$5=K$5,SUM(Y98:AI98)-SUM(L98:V98),"")</f>
        <v/>
      </c>
      <c r="X98" s="9" t="str">
        <f>LOWER(CtryCode)&amp;".distn."&amp;$A98&amp;IF($B98="","","."&amp;$B98)&amp;IF($C98="","",".dec."&amp;$C98)&amp;"."&amp;X$5</f>
        <v>egy.distn.gspend.nga.2</v>
      </c>
      <c r="Y98" s="208">
        <f>SUMIF($D$73:$D$80,$B98,Y$73:Y$80)</f>
        <v>2716.983758196126</v>
      </c>
      <c r="Z98" s="195">
        <f t="shared" ref="Z98:AI98" si="151">Y98</f>
        <v>2716.983758196126</v>
      </c>
      <c r="AA98" s="195">
        <f t="shared" si="151"/>
        <v>2716.983758196126</v>
      </c>
      <c r="AB98" s="195">
        <f t="shared" si="151"/>
        <v>2716.983758196126</v>
      </c>
      <c r="AC98" s="195">
        <f t="shared" si="151"/>
        <v>2716.983758196126</v>
      </c>
      <c r="AD98" s="195">
        <f t="shared" si="151"/>
        <v>2716.983758196126</v>
      </c>
      <c r="AE98" s="195">
        <f t="shared" si="151"/>
        <v>2716.983758196126</v>
      </c>
      <c r="AF98" s="195">
        <f t="shared" si="151"/>
        <v>2716.983758196126</v>
      </c>
      <c r="AG98" s="195">
        <f t="shared" si="151"/>
        <v>2716.983758196126</v>
      </c>
      <c r="AH98" s="195">
        <f t="shared" si="151"/>
        <v>2716.983758196126</v>
      </c>
      <c r="AI98" s="195">
        <f t="shared" si="151"/>
        <v>2716.983758196126</v>
      </c>
    </row>
    <row r="99" hidden="1" outlineLevel="1">
      <c r="A99" s="44" t="inlineStr">
        <is>
          <t>gspend</t>
        </is>
      </c>
      <c r="B99" s="3" t="inlineStr">
        <is>
          <t>oil</t>
        </is>
      </c>
      <c r="C99" s="3" t="inlineStr"/>
      <c r="D99" s="3" t="n"/>
      <c r="E99" s="3" t="n"/>
      <c r="H99" s="3" t="inlineStr">
        <is>
          <t>Crude and other oil: spending</t>
        </is>
      </c>
      <c r="I99" s="3" t="inlineStr">
        <is>
          <t>USD m</t>
        </is>
      </c>
      <c r="J99" s="118" t="inlineStr">
        <is>
          <t>legacy rows 528-535</t>
        </is>
      </c>
      <c r="K99" s="9" t="str">
        <f>LOWER(CtryCode)&amp;".distn."&amp;$A99&amp;IF($B99="","","."&amp;$B99)&amp;IF($C99="","",".dec."&amp;$C99)&amp;"."&amp;K$5</f>
        <v>egy.distn.gspend.oil.1</v>
      </c>
      <c r="L99" s="208">
        <f>SUMIF($D$73:$D$80,$B99,L$73:L$80)</f>
        <v>595.2305654257444</v>
      </c>
      <c r="M99" s="195">
        <f t="shared" ref="M99:V99" si="152">L99</f>
        <v>595.2305654257444</v>
      </c>
      <c r="N99" s="195">
        <f t="shared" si="152"/>
        <v>595.2305654257444</v>
      </c>
      <c r="O99" s="195">
        <f t="shared" si="152"/>
        <v>595.2305654257444</v>
      </c>
      <c r="P99" s="195">
        <f t="shared" si="152"/>
        <v>595.2305654257444</v>
      </c>
      <c r="Q99" s="195">
        <f t="shared" si="152"/>
        <v>595.2305654257444</v>
      </c>
      <c r="R99" s="195">
        <f t="shared" si="152"/>
        <v>595.2305654257444</v>
      </c>
      <c r="S99" s="195">
        <f t="shared" si="152"/>
        <v>595.2305654257444</v>
      </c>
      <c r="T99" s="195">
        <f t="shared" si="152"/>
        <v>595.2305654257444</v>
      </c>
      <c r="U99" s="195">
        <f t="shared" si="152"/>
        <v>595.2305654257444</v>
      </c>
      <c r="V99" s="195">
        <f t="shared" si="152"/>
        <v>595.2305654257444</v>
      </c>
      <c r="W99" s="201" t="str">
        <f>IF(X$5=K$5,SUM(Y99:AI99)-SUM(L99:V99),"")</f>
        <v/>
      </c>
      <c r="X99" s="9" t="str">
        <f>LOWER(CtryCode)&amp;".distn."&amp;$A99&amp;IF($B99="","","."&amp;$B99)&amp;IF($C99="","",".dec."&amp;$C99)&amp;"."&amp;X$5</f>
        <v>egy.distn.gspend.oil.2</v>
      </c>
      <c r="Y99" s="208">
        <f>SUMIF($D$73:$D$80,$B99,Y$73:Y$80)</f>
        <v>595.2305654257444</v>
      </c>
      <c r="Z99" s="195">
        <f t="shared" ref="Z99:AI99" si="153">Y99</f>
        <v>595.2305654257444</v>
      </c>
      <c r="AA99" s="195">
        <f t="shared" si="153"/>
        <v>595.2305654257444</v>
      </c>
      <c r="AB99" s="195">
        <f t="shared" si="153"/>
        <v>595.2305654257444</v>
      </c>
      <c r="AC99" s="195">
        <f t="shared" si="153"/>
        <v>595.2305654257444</v>
      </c>
      <c r="AD99" s="195">
        <f t="shared" si="153"/>
        <v>595.2305654257444</v>
      </c>
      <c r="AE99" s="195">
        <f t="shared" si="153"/>
        <v>595.2305654257444</v>
      </c>
      <c r="AF99" s="195">
        <f t="shared" si="153"/>
        <v>595.2305654257444</v>
      </c>
      <c r="AG99" s="195">
        <f t="shared" si="153"/>
        <v>595.2305654257444</v>
      </c>
      <c r="AH99" s="195">
        <f t="shared" si="153"/>
        <v>595.2305654257444</v>
      </c>
      <c r="AI99" s="195">
        <f t="shared" si="153"/>
        <v>595.2305654257444</v>
      </c>
    </row>
    <row r="100" hidden="1" outlineLevel="1">
      <c r="A100" s="44" t="inlineStr">
        <is>
          <t>gspend</t>
        </is>
      </c>
      <c r="B100" s="3" t="inlineStr">
        <is>
          <t>p_c</t>
        </is>
      </c>
      <c r="C100" s="3" t="inlineStr"/>
      <c r="D100" s="3" t="n"/>
      <c r="E100" s="3" t="n"/>
      <c r="H100" s="3" t="inlineStr">
        <is>
          <t>Refined products (gasoline, diesel, LPG, kerosene): spending</t>
        </is>
      </c>
      <c r="I100" s="3" t="inlineStr">
        <is>
          <t>USD m</t>
        </is>
      </c>
      <c r="J100" s="118" t="inlineStr">
        <is>
          <t>legacy rows 528-535</t>
        </is>
      </c>
      <c r="K100" s="9" t="str">
        <f>LOWER(CtryCode)&amp;".distn."&amp;$A100&amp;IF($B100="","","."&amp;$B100)&amp;IF($C100="","",".dec."&amp;$C100)&amp;"."&amp;K$5</f>
        <v>egy.distn.gspend.p_c.1</v>
      </c>
      <c r="L100" s="208">
        <f>SUMIF($D$73:$D$80,$B100,L$73:L$80)</f>
        <v>14091.104559114161</v>
      </c>
      <c r="M100" s="195">
        <f t="shared" ref="M100:V100" si="154">L100</f>
        <v>14091.104559114161</v>
      </c>
      <c r="N100" s="195">
        <f t="shared" si="154"/>
        <v>14091.104559114161</v>
      </c>
      <c r="O100" s="195">
        <f t="shared" si="154"/>
        <v>14091.104559114161</v>
      </c>
      <c r="P100" s="195">
        <f t="shared" si="154"/>
        <v>14091.104559114161</v>
      </c>
      <c r="Q100" s="195">
        <f t="shared" si="154"/>
        <v>14091.104559114161</v>
      </c>
      <c r="R100" s="195">
        <f t="shared" si="154"/>
        <v>14091.104559114161</v>
      </c>
      <c r="S100" s="195">
        <f t="shared" si="154"/>
        <v>14091.104559114161</v>
      </c>
      <c r="T100" s="195">
        <f t="shared" si="154"/>
        <v>14091.104559114161</v>
      </c>
      <c r="U100" s="195">
        <f t="shared" si="154"/>
        <v>14091.104559114161</v>
      </c>
      <c r="V100" s="195">
        <f t="shared" si="154"/>
        <v>14091.104559114161</v>
      </c>
      <c r="W100" s="201" t="str">
        <f>IF(X$5=K$5,SUM(Y100:AI100)-SUM(L100:V100),"")</f>
        <v/>
      </c>
      <c r="X100" s="9" t="str">
        <f>LOWER(CtryCode)&amp;".distn."&amp;$A100&amp;IF($B100="","","."&amp;$B100)&amp;IF($C100="","",".dec."&amp;$C100)&amp;"."&amp;X$5</f>
        <v>egy.distn.gspend.p_c.2</v>
      </c>
      <c r="Y100" s="208">
        <f>SUMIF($D$73:$D$80,$B100,Y$73:Y$80)</f>
        <v>14091.104559114161</v>
      </c>
      <c r="Z100" s="195">
        <f t="shared" ref="Z100:AI100" si="155">Y100</f>
        <v>14091.104559114161</v>
      </c>
      <c r="AA100" s="195">
        <f t="shared" si="155"/>
        <v>14091.104559114161</v>
      </c>
      <c r="AB100" s="195">
        <f t="shared" si="155"/>
        <v>14091.104559114161</v>
      </c>
      <c r="AC100" s="195">
        <f t="shared" si="155"/>
        <v>14091.104559114161</v>
      </c>
      <c r="AD100" s="195">
        <f t="shared" si="155"/>
        <v>14091.104559114161</v>
      </c>
      <c r="AE100" s="195">
        <f t="shared" si="155"/>
        <v>14091.104559114161</v>
      </c>
      <c r="AF100" s="195">
        <f t="shared" si="155"/>
        <v>14091.104559114161</v>
      </c>
      <c r="AG100" s="195">
        <f t="shared" si="155"/>
        <v>14091.104559114161</v>
      </c>
      <c r="AH100" s="195">
        <f t="shared" si="155"/>
        <v>14091.104559114161</v>
      </c>
      <c r="AI100" s="195">
        <f t="shared" si="155"/>
        <v>14091.104559114161</v>
      </c>
    </row>
    <row r="101" hidden="1" outlineLevel="1">
      <c r="A101" s="44" t="inlineStr">
        <is>
          <t>gtot</t>
        </is>
      </c>
      <c r="B101" s="3" t="inlineStr">
        <is>
          <t>coa</t>
        </is>
      </c>
      <c r="C101" s="3" t="inlineStr"/>
      <c r="D101" s="3" t="n"/>
      <c r="E101" s="3" t="n"/>
      <c r="H101" s="3" t="inlineStr">
        <is>
          <t>Coal: total use in the input-output table (embedded + own)</t>
        </is>
      </c>
      <c r="I101" s="3" t="inlineStr">
        <is>
          <t>USD m</t>
        </is>
      </c>
      <c r="J101" s="118" t="inlineStr">
        <is>
          <t>DistMapping, IO tables (legacy rows 588-600)</t>
        </is>
      </c>
      <c r="K101" s="9" t="str">
        <f>LOWER(CtryCode)&amp;".distn."&amp;$A101&amp;IF($B101="","","."&amp;$B101)&amp;IF($C101="","",".dec."&amp;$C101)&amp;"."&amp;K$5</f>
        <v>egy.distn.gtot.coa.1</v>
      </c>
      <c r="L101" s="208">
        <f>INDEX(DIOTot,MATCH($B101,DIOTKey,0))</f>
        <v>4536.891030792704</v>
      </c>
      <c r="M101" s="195">
        <f t="shared" ref="M101:V101" si="156">L101</f>
        <v>4536.891030792704</v>
      </c>
      <c r="N101" s="195">
        <f t="shared" si="156"/>
        <v>4536.891030792704</v>
      </c>
      <c r="O101" s="195">
        <f t="shared" si="156"/>
        <v>4536.891030792704</v>
      </c>
      <c r="P101" s="195">
        <f t="shared" si="156"/>
        <v>4536.891030792704</v>
      </c>
      <c r="Q101" s="195">
        <f t="shared" si="156"/>
        <v>4536.891030792704</v>
      </c>
      <c r="R101" s="195">
        <f t="shared" si="156"/>
        <v>4536.891030792704</v>
      </c>
      <c r="S101" s="195">
        <f t="shared" si="156"/>
        <v>4536.891030792704</v>
      </c>
      <c r="T101" s="195">
        <f t="shared" si="156"/>
        <v>4536.891030792704</v>
      </c>
      <c r="U101" s="195">
        <f t="shared" si="156"/>
        <v>4536.891030792704</v>
      </c>
      <c r="V101" s="195">
        <f t="shared" si="156"/>
        <v>4536.891030792704</v>
      </c>
      <c r="W101" s="201" t="str">
        <f>IF(X$5=K$5,SUM(Y101:AI101)-SUM(L101:V101),"")</f>
        <v/>
      </c>
      <c r="X101" s="9" t="str">
        <f>LOWER(CtryCode)&amp;".distn."&amp;$A101&amp;IF($B101="","","."&amp;$B101)&amp;IF($C101="","",".dec."&amp;$C101)&amp;"."&amp;X$5</f>
        <v>egy.distn.gtot.coa.2</v>
      </c>
      <c r="Y101" s="208">
        <f>INDEX(DIOTot,MATCH($B101,DIOTKey,0))</f>
        <v>4536.891030792704</v>
      </c>
      <c r="Z101" s="195">
        <f t="shared" ref="Z101:AI101" si="157">Y101</f>
        <v>4536.891030792704</v>
      </c>
      <c r="AA101" s="195">
        <f t="shared" si="157"/>
        <v>4536.891030792704</v>
      </c>
      <c r="AB101" s="195">
        <f t="shared" si="157"/>
        <v>4536.891030792704</v>
      </c>
      <c r="AC101" s="195">
        <f t="shared" si="157"/>
        <v>4536.891030792704</v>
      </c>
      <c r="AD101" s="195">
        <f t="shared" si="157"/>
        <v>4536.891030792704</v>
      </c>
      <c r="AE101" s="195">
        <f t="shared" si="157"/>
        <v>4536.891030792704</v>
      </c>
      <c r="AF101" s="195">
        <f t="shared" si="157"/>
        <v>4536.891030792704</v>
      </c>
      <c r="AG101" s="195">
        <f t="shared" si="157"/>
        <v>4536.891030792704</v>
      </c>
      <c r="AH101" s="195">
        <f t="shared" si="157"/>
        <v>4536.891030792704</v>
      </c>
      <c r="AI101" s="195">
        <f t="shared" si="157"/>
        <v>4536.891030792704</v>
      </c>
    </row>
    <row r="102" hidden="1" outlineLevel="1">
      <c r="A102" s="44" t="inlineStr">
        <is>
          <t>gtot</t>
        </is>
      </c>
      <c r="B102" s="3" t="inlineStr">
        <is>
          <t>ely</t>
        </is>
      </c>
      <c r="C102" s="3" t="inlineStr"/>
      <c r="D102" s="3" t="n"/>
      <c r="E102" s="3" t="n"/>
      <c r="H102" s="3" t="inlineStr">
        <is>
          <t>Electricity: total use in the input-output table (embedded + own)</t>
        </is>
      </c>
      <c r="I102" s="3" t="inlineStr">
        <is>
          <t>USD m</t>
        </is>
      </c>
      <c r="J102" s="118" t="inlineStr">
        <is>
          <t>DistMapping, IO tables (legacy rows 588-600)</t>
        </is>
      </c>
      <c r="K102" s="9" t="str">
        <f>LOWER(CtryCode)&amp;".distn."&amp;$A102&amp;IF($B102="","","."&amp;$B102)&amp;IF($C102="","",".dec."&amp;$C102)&amp;"."&amp;K$5</f>
        <v>egy.distn.gtot.ely.1</v>
      </c>
      <c r="L102" s="208">
        <f>INDEX(DIOTot,MATCH($B102,DIOTKey,0))</f>
        <v>33447.72780890642</v>
      </c>
      <c r="M102" s="195">
        <f t="shared" ref="M102:V102" si="158">L102</f>
        <v>33447.72780890642</v>
      </c>
      <c r="N102" s="195">
        <f t="shared" si="158"/>
        <v>33447.72780890642</v>
      </c>
      <c r="O102" s="195">
        <f t="shared" si="158"/>
        <v>33447.72780890642</v>
      </c>
      <c r="P102" s="195">
        <f t="shared" si="158"/>
        <v>33447.72780890642</v>
      </c>
      <c r="Q102" s="195">
        <f t="shared" si="158"/>
        <v>33447.72780890642</v>
      </c>
      <c r="R102" s="195">
        <f t="shared" si="158"/>
        <v>33447.72780890642</v>
      </c>
      <c r="S102" s="195">
        <f t="shared" si="158"/>
        <v>33447.72780890642</v>
      </c>
      <c r="T102" s="195">
        <f t="shared" si="158"/>
        <v>33447.72780890642</v>
      </c>
      <c r="U102" s="195">
        <f t="shared" si="158"/>
        <v>33447.72780890642</v>
      </c>
      <c r="V102" s="195">
        <f t="shared" si="158"/>
        <v>33447.72780890642</v>
      </c>
      <c r="W102" s="201" t="str">
        <f>IF(X$5=K$5,SUM(Y102:AI102)-SUM(L102:V102),"")</f>
        <v/>
      </c>
      <c r="X102" s="9" t="str">
        <f>LOWER(CtryCode)&amp;".distn."&amp;$A102&amp;IF($B102="","","."&amp;$B102)&amp;IF($C102="","",".dec."&amp;$C102)&amp;"."&amp;X$5</f>
        <v>egy.distn.gtot.ely.2</v>
      </c>
      <c r="Y102" s="208">
        <f>INDEX(DIOTot,MATCH($B102,DIOTKey,0))</f>
        <v>33447.72780890642</v>
      </c>
      <c r="Z102" s="195">
        <f t="shared" ref="Z102:AI102" si="159">Y102</f>
        <v>33447.72780890642</v>
      </c>
      <c r="AA102" s="195">
        <f t="shared" si="159"/>
        <v>33447.72780890642</v>
      </c>
      <c r="AB102" s="195">
        <f t="shared" si="159"/>
        <v>33447.72780890642</v>
      </c>
      <c r="AC102" s="195">
        <f t="shared" si="159"/>
        <v>33447.72780890642</v>
      </c>
      <c r="AD102" s="195">
        <f t="shared" si="159"/>
        <v>33447.72780890642</v>
      </c>
      <c r="AE102" s="195">
        <f t="shared" si="159"/>
        <v>33447.72780890642</v>
      </c>
      <c r="AF102" s="195">
        <f t="shared" si="159"/>
        <v>33447.72780890642</v>
      </c>
      <c r="AG102" s="195">
        <f t="shared" si="159"/>
        <v>33447.72780890642</v>
      </c>
      <c r="AH102" s="195">
        <f t="shared" si="159"/>
        <v>33447.72780890642</v>
      </c>
      <c r="AI102" s="195">
        <f t="shared" si="159"/>
        <v>33447.72780890642</v>
      </c>
    </row>
    <row r="103" hidden="1" outlineLevel="1">
      <c r="A103" s="44" t="inlineStr">
        <is>
          <t>gtot</t>
        </is>
      </c>
      <c r="B103" s="3" t="inlineStr">
        <is>
          <t>nga</t>
        </is>
      </c>
      <c r="C103" s="3" t="inlineStr"/>
      <c r="D103" s="3" t="n"/>
      <c r="E103" s="3" t="n"/>
      <c r="H103" s="3" t="inlineStr">
        <is>
          <t>Natural gas: total use in the input-output table (embedded + own)</t>
        </is>
      </c>
      <c r="I103" s="3" t="inlineStr">
        <is>
          <t>USD m</t>
        </is>
      </c>
      <c r="J103" s="118" t="inlineStr">
        <is>
          <t>DistMapping, IO tables (legacy rows 588-600)</t>
        </is>
      </c>
      <c r="K103" s="9" t="str">
        <f>LOWER(CtryCode)&amp;".distn."&amp;$A103&amp;IF($B103="","","."&amp;$B103)&amp;IF($C103="","",".dec."&amp;$C103)&amp;"."&amp;K$5</f>
        <v>egy.distn.gtot.nga.1</v>
      </c>
      <c r="L103" s="208">
        <f>INDEX(DIOTot,MATCH($B103,DIOTKey,0))</f>
        <v>11798.433973155421</v>
      </c>
      <c r="M103" s="195">
        <f t="shared" ref="M103:V103" si="160">L103</f>
        <v>11798.433973155421</v>
      </c>
      <c r="N103" s="195">
        <f t="shared" si="160"/>
        <v>11798.433973155421</v>
      </c>
      <c r="O103" s="195">
        <f t="shared" si="160"/>
        <v>11798.433973155421</v>
      </c>
      <c r="P103" s="195">
        <f t="shared" si="160"/>
        <v>11798.433973155421</v>
      </c>
      <c r="Q103" s="195">
        <f t="shared" si="160"/>
        <v>11798.433973155421</v>
      </c>
      <c r="R103" s="195">
        <f t="shared" si="160"/>
        <v>11798.433973155421</v>
      </c>
      <c r="S103" s="195">
        <f t="shared" si="160"/>
        <v>11798.433973155421</v>
      </c>
      <c r="T103" s="195">
        <f t="shared" si="160"/>
        <v>11798.433973155421</v>
      </c>
      <c r="U103" s="195">
        <f t="shared" si="160"/>
        <v>11798.433973155421</v>
      </c>
      <c r="V103" s="195">
        <f t="shared" si="160"/>
        <v>11798.433973155421</v>
      </c>
      <c r="W103" s="201" t="str">
        <f>IF(X$5=K$5,SUM(Y103:AI103)-SUM(L103:V103),"")</f>
        <v/>
      </c>
      <c r="X103" s="9" t="str">
        <f>LOWER(CtryCode)&amp;".distn."&amp;$A103&amp;IF($B103="","","."&amp;$B103)&amp;IF($C103="","",".dec."&amp;$C103)&amp;"."&amp;X$5</f>
        <v>egy.distn.gtot.nga.2</v>
      </c>
      <c r="Y103" s="208">
        <f>INDEX(DIOTot,MATCH($B103,DIOTKey,0))</f>
        <v>11798.433973155421</v>
      </c>
      <c r="Z103" s="195">
        <f t="shared" ref="Z103:AI103" si="161">Y103</f>
        <v>11798.433973155421</v>
      </c>
      <c r="AA103" s="195">
        <f t="shared" si="161"/>
        <v>11798.433973155421</v>
      </c>
      <c r="AB103" s="195">
        <f t="shared" si="161"/>
        <v>11798.433973155421</v>
      </c>
      <c r="AC103" s="195">
        <f t="shared" si="161"/>
        <v>11798.433973155421</v>
      </c>
      <c r="AD103" s="195">
        <f t="shared" si="161"/>
        <v>11798.433973155421</v>
      </c>
      <c r="AE103" s="195">
        <f t="shared" si="161"/>
        <v>11798.433973155421</v>
      </c>
      <c r="AF103" s="195">
        <f t="shared" si="161"/>
        <v>11798.433973155421</v>
      </c>
      <c r="AG103" s="195">
        <f t="shared" si="161"/>
        <v>11798.433973155421</v>
      </c>
      <c r="AH103" s="195">
        <f t="shared" si="161"/>
        <v>11798.433973155421</v>
      </c>
      <c r="AI103" s="195">
        <f t="shared" si="161"/>
        <v>11798.433973155421</v>
      </c>
    </row>
    <row r="104" hidden="1" outlineLevel="1">
      <c r="A104" s="44" t="inlineStr">
        <is>
          <t>gtot</t>
        </is>
      </c>
      <c r="B104" s="3" t="inlineStr">
        <is>
          <t>oil</t>
        </is>
      </c>
      <c r="C104" s="3" t="inlineStr"/>
      <c r="D104" s="3" t="n"/>
      <c r="E104" s="3" t="n"/>
      <c r="H104" s="3" t="inlineStr">
        <is>
          <t>Crude and other oil: total use in the input-output table (embedded + own)</t>
        </is>
      </c>
      <c r="I104" s="3" t="inlineStr">
        <is>
          <t>USD m</t>
        </is>
      </c>
      <c r="J104" s="118" t="inlineStr">
        <is>
          <t>DistMapping, IO tables (legacy rows 588-600)</t>
        </is>
      </c>
      <c r="K104" s="9" t="str">
        <f>LOWER(CtryCode)&amp;".distn."&amp;$A104&amp;IF($B104="","","."&amp;$B104)&amp;IF($C104="","",".dec."&amp;$C104)&amp;"."&amp;K$5</f>
        <v>egy.distn.gtot.oil.1</v>
      </c>
      <c r="L104" s="208">
        <f>INDEX(DIOTot,MATCH($B104,DIOTKey,0))</f>
        <v>74758.30848596065</v>
      </c>
      <c r="M104" s="195">
        <f t="shared" ref="M104:V104" si="162">L104</f>
        <v>74758.30848596065</v>
      </c>
      <c r="N104" s="195">
        <f t="shared" si="162"/>
        <v>74758.30848596065</v>
      </c>
      <c r="O104" s="195">
        <f t="shared" si="162"/>
        <v>74758.30848596065</v>
      </c>
      <c r="P104" s="195">
        <f t="shared" si="162"/>
        <v>74758.30848596065</v>
      </c>
      <c r="Q104" s="195">
        <f t="shared" si="162"/>
        <v>74758.30848596065</v>
      </c>
      <c r="R104" s="195">
        <f t="shared" si="162"/>
        <v>74758.30848596065</v>
      </c>
      <c r="S104" s="195">
        <f t="shared" si="162"/>
        <v>74758.30848596065</v>
      </c>
      <c r="T104" s="195">
        <f t="shared" si="162"/>
        <v>74758.30848596065</v>
      </c>
      <c r="U104" s="195">
        <f t="shared" si="162"/>
        <v>74758.30848596065</v>
      </c>
      <c r="V104" s="195">
        <f t="shared" si="162"/>
        <v>74758.30848596065</v>
      </c>
      <c r="W104" s="201" t="str">
        <f>IF(X$5=K$5,SUM(Y104:AI104)-SUM(L104:V104),"")</f>
        <v/>
      </c>
      <c r="X104" s="9" t="str">
        <f>LOWER(CtryCode)&amp;".distn."&amp;$A104&amp;IF($B104="","","."&amp;$B104)&amp;IF($C104="","",".dec."&amp;$C104)&amp;"."&amp;X$5</f>
        <v>egy.distn.gtot.oil.2</v>
      </c>
      <c r="Y104" s="208">
        <f>INDEX(DIOTot,MATCH($B104,DIOTKey,0))</f>
        <v>74758.30848596065</v>
      </c>
      <c r="Z104" s="195">
        <f t="shared" ref="Z104:AI104" si="163">Y104</f>
        <v>74758.30848596065</v>
      </c>
      <c r="AA104" s="195">
        <f t="shared" si="163"/>
        <v>74758.30848596065</v>
      </c>
      <c r="AB104" s="195">
        <f t="shared" si="163"/>
        <v>74758.30848596065</v>
      </c>
      <c r="AC104" s="195">
        <f t="shared" si="163"/>
        <v>74758.30848596065</v>
      </c>
      <c r="AD104" s="195">
        <f t="shared" si="163"/>
        <v>74758.30848596065</v>
      </c>
      <c r="AE104" s="195">
        <f t="shared" si="163"/>
        <v>74758.30848596065</v>
      </c>
      <c r="AF104" s="195">
        <f t="shared" si="163"/>
        <v>74758.30848596065</v>
      </c>
      <c r="AG104" s="195">
        <f t="shared" si="163"/>
        <v>74758.30848596065</v>
      </c>
      <c r="AH104" s="195">
        <f t="shared" si="163"/>
        <v>74758.30848596065</v>
      </c>
      <c r="AI104" s="195">
        <f t="shared" si="163"/>
        <v>74758.30848596065</v>
      </c>
    </row>
    <row r="105" hidden="1" outlineLevel="1">
      <c r="A105" s="44" t="inlineStr">
        <is>
          <t>gtot</t>
        </is>
      </c>
      <c r="B105" s="3" t="inlineStr">
        <is>
          <t>p_c</t>
        </is>
      </c>
      <c r="C105" s="3" t="inlineStr"/>
      <c r="D105" s="3" t="n"/>
      <c r="E105" s="3" t="n"/>
      <c r="H105" s="3" t="inlineStr">
        <is>
          <t>Refined products (gasoline, diesel, LPG, kerosene): total use in the input-output table (embedded + own)</t>
        </is>
      </c>
      <c r="I105" s="3" t="inlineStr">
        <is>
          <t>USD m</t>
        </is>
      </c>
      <c r="J105" s="118" t="inlineStr">
        <is>
          <t>DistMapping, IO tables (legacy rows 588-600)</t>
        </is>
      </c>
      <c r="K105" s="9" t="str">
        <f>LOWER(CtryCode)&amp;".distn."&amp;$A105&amp;IF($B105="","","."&amp;$B105)&amp;IF($C105="","",".dec."&amp;$C105)&amp;"."&amp;K$5</f>
        <v>egy.distn.gtot.p_c.1</v>
      </c>
      <c r="L105" s="208">
        <f>INDEX(DIOTot,MATCH($B105,DIOTKey,0))</f>
        <v>137702.83258765674</v>
      </c>
      <c r="M105" s="195">
        <f t="shared" ref="M105:V105" si="164">L105</f>
        <v>137702.83258765674</v>
      </c>
      <c r="N105" s="195">
        <f t="shared" si="164"/>
        <v>137702.83258765674</v>
      </c>
      <c r="O105" s="195">
        <f t="shared" si="164"/>
        <v>137702.83258765674</v>
      </c>
      <c r="P105" s="195">
        <f t="shared" si="164"/>
        <v>137702.83258765674</v>
      </c>
      <c r="Q105" s="195">
        <f t="shared" si="164"/>
        <v>137702.83258765674</v>
      </c>
      <c r="R105" s="195">
        <f t="shared" si="164"/>
        <v>137702.83258765674</v>
      </c>
      <c r="S105" s="195">
        <f t="shared" si="164"/>
        <v>137702.83258765674</v>
      </c>
      <c r="T105" s="195">
        <f t="shared" si="164"/>
        <v>137702.83258765674</v>
      </c>
      <c r="U105" s="195">
        <f t="shared" si="164"/>
        <v>137702.83258765674</v>
      </c>
      <c r="V105" s="195">
        <f t="shared" si="164"/>
        <v>137702.83258765674</v>
      </c>
      <c r="W105" s="201" t="str">
        <f>IF(X$5=K$5,SUM(Y105:AI105)-SUM(L105:V105),"")</f>
        <v/>
      </c>
      <c r="X105" s="9" t="str">
        <f>LOWER(CtryCode)&amp;".distn."&amp;$A105&amp;IF($B105="","","."&amp;$B105)&amp;IF($C105="","",".dec."&amp;$C105)&amp;"."&amp;X$5</f>
        <v>egy.distn.gtot.p_c.2</v>
      </c>
      <c r="Y105" s="208">
        <f>INDEX(DIOTot,MATCH($B105,DIOTKey,0))</f>
        <v>137702.83258765674</v>
      </c>
      <c r="Z105" s="195">
        <f t="shared" ref="Z105:AI105" si="165">Y105</f>
        <v>137702.83258765674</v>
      </c>
      <c r="AA105" s="195">
        <f t="shared" si="165"/>
        <v>137702.83258765674</v>
      </c>
      <c r="AB105" s="195">
        <f t="shared" si="165"/>
        <v>137702.83258765674</v>
      </c>
      <c r="AC105" s="195">
        <f t="shared" si="165"/>
        <v>137702.83258765674</v>
      </c>
      <c r="AD105" s="195">
        <f t="shared" si="165"/>
        <v>137702.83258765674</v>
      </c>
      <c r="AE105" s="195">
        <f t="shared" si="165"/>
        <v>137702.83258765674</v>
      </c>
      <c r="AF105" s="195">
        <f t="shared" si="165"/>
        <v>137702.83258765674</v>
      </c>
      <c r="AG105" s="195">
        <f t="shared" si="165"/>
        <v>137702.83258765674</v>
      </c>
      <c r="AH105" s="195">
        <f t="shared" si="165"/>
        <v>137702.83258765674</v>
      </c>
      <c r="AI105" s="195">
        <f t="shared" si="165"/>
        <v>137702.83258765674</v>
      </c>
    </row>
    <row r="106" hidden="1" outlineLevel="1">
      <c r="A106" s="44" t="inlineStr">
        <is>
          <t>gfac</t>
        </is>
      </c>
      <c r="B106" s="3" t="inlineStr">
        <is>
          <t>coa</t>
        </is>
      </c>
      <c r="C106" s="3" t="inlineStr"/>
      <c r="D106" s="3" t="n"/>
      <c r="E106" s="3" t="n"/>
      <c r="H106" s="3" t="inlineStr">
        <is>
          <t>Coal: price factor (revenue / total use; ScaleGTAP = No: revenue / spending)</t>
        </is>
      </c>
      <c r="I106" s="3" t="inlineStr">
        <is>
          <t>fraction</t>
        </is>
      </c>
      <c r="J106" s="118" t="inlineStr">
        <is>
          <t>legacy rows 617-643 (k(s) cancels: method note)</t>
        </is>
      </c>
      <c r="K106" s="9" t="str">
        <f>LOWER(CtryCode)&amp;".distn."&amp;$A106&amp;IF($B106="","","."&amp;$B106)&amp;IF($C106="","",".dec."&amp;$C106)&amp;"."&amp;K$5</f>
        <v>egy.distn.gfac.coa.1</v>
      </c>
      <c r="L106" s="202">
        <f>IF(LEFT(L$19,3)="Yes",L91/L101,IF(L96&gt;0,L91/L96,0))</f>
        <v>0.0</v>
      </c>
      <c r="M106" s="196">
        <f t="shared" ref="M106:V106" si="166">L106</f>
        <v>0.0</v>
      </c>
      <c r="N106" s="196">
        <f t="shared" si="166"/>
        <v>0.0</v>
      </c>
      <c r="O106" s="196">
        <f t="shared" si="166"/>
        <v>0.0</v>
      </c>
      <c r="P106" s="196">
        <f t="shared" si="166"/>
        <v>0.0</v>
      </c>
      <c r="Q106" s="196">
        <f t="shared" si="166"/>
        <v>0.0</v>
      </c>
      <c r="R106" s="196">
        <f t="shared" si="166"/>
        <v>0.0</v>
      </c>
      <c r="S106" s="196">
        <f t="shared" si="166"/>
        <v>0.0</v>
      </c>
      <c r="T106" s="196">
        <f t="shared" si="166"/>
        <v>0.0</v>
      </c>
      <c r="U106" s="196">
        <f t="shared" si="166"/>
        <v>0.0</v>
      </c>
      <c r="V106" s="196">
        <f t="shared" si="166"/>
        <v>0.0</v>
      </c>
      <c r="W106" s="201" t="str">
        <f>IF(X$5=K$5,SUM(Y106:AI106)-SUM(L106:V106),"")</f>
        <v/>
      </c>
      <c r="X106" s="9" t="str">
        <f>LOWER(CtryCode)&amp;".distn."&amp;$A106&amp;IF($B106="","","."&amp;$B106)&amp;IF($C106="","",".dec."&amp;$C106)&amp;"."&amp;X$5</f>
        <v>egy.distn.gfac.coa.2</v>
      </c>
      <c r="Y106" s="202">
        <f>IF(LEFT(Y$19,3)="Yes",Y91/Y101,IF(Y96&gt;0,Y91/Y96,0))</f>
        <v>0.04754584998061353</v>
      </c>
      <c r="Z106" s="196">
        <f t="shared" ref="Z106:AI106" si="167">Y106</f>
        <v>0.04754584998061353</v>
      </c>
      <c r="AA106" s="196">
        <f t="shared" si="167"/>
        <v>0.04754584998061353</v>
      </c>
      <c r="AB106" s="196">
        <f t="shared" si="167"/>
        <v>0.04754584998061353</v>
      </c>
      <c r="AC106" s="196">
        <f t="shared" si="167"/>
        <v>0.04754584998061353</v>
      </c>
      <c r="AD106" s="196">
        <f t="shared" si="167"/>
        <v>0.04754584998061353</v>
      </c>
      <c r="AE106" s="196">
        <f t="shared" si="167"/>
        <v>0.04754584998061353</v>
      </c>
      <c r="AF106" s="196">
        <f t="shared" si="167"/>
        <v>0.04754584998061353</v>
      </c>
      <c r="AG106" s="196">
        <f t="shared" si="167"/>
        <v>0.04754584998061353</v>
      </c>
      <c r="AH106" s="196">
        <f t="shared" si="167"/>
        <v>0.04754584998061353</v>
      </c>
      <c r="AI106" s="196">
        <f t="shared" si="167"/>
        <v>0.04754584998061353</v>
      </c>
    </row>
    <row r="107" hidden="1" outlineLevel="1">
      <c r="A107" s="44" t="inlineStr">
        <is>
          <t>gfac</t>
        </is>
      </c>
      <c r="B107" s="3" t="inlineStr">
        <is>
          <t>ely</t>
        </is>
      </c>
      <c r="C107" s="3" t="inlineStr"/>
      <c r="D107" s="3" t="n"/>
      <c r="E107" s="3" t="n"/>
      <c r="H107" s="3" t="inlineStr">
        <is>
          <t>Electricity: price factor (revenue / total use; ScaleGTAP = No: revenue / spending)</t>
        </is>
      </c>
      <c r="I107" s="3" t="inlineStr">
        <is>
          <t>fraction</t>
        </is>
      </c>
      <c r="J107" s="118" t="inlineStr">
        <is>
          <t>legacy rows 617-643 (k(s) cancels: method note)</t>
        </is>
      </c>
      <c r="K107" s="9" t="str">
        <f>LOWER(CtryCode)&amp;".distn."&amp;$A107&amp;IF($B107="","","."&amp;$B107)&amp;IF($C107="","",".dec."&amp;$C107)&amp;"."&amp;K$5</f>
        <v>egy.distn.gfac.ely.1</v>
      </c>
      <c r="L107" s="202">
        <f>IF(LEFT(L$19,3)="Yes",L92/L102,IF(L97&gt;0,L92/L97,0))</f>
        <v>0.0</v>
      </c>
      <c r="M107" s="196">
        <f t="shared" ref="M107:V107" si="168">L107</f>
        <v>0.0</v>
      </c>
      <c r="N107" s="196">
        <f t="shared" si="168"/>
        <v>0.0</v>
      </c>
      <c r="O107" s="196">
        <f t="shared" si="168"/>
        <v>0.0</v>
      </c>
      <c r="P107" s="196">
        <f t="shared" si="168"/>
        <v>0.0</v>
      </c>
      <c r="Q107" s="196">
        <f t="shared" si="168"/>
        <v>0.0</v>
      </c>
      <c r="R107" s="196">
        <f t="shared" si="168"/>
        <v>0.0</v>
      </c>
      <c r="S107" s="196">
        <f t="shared" si="168"/>
        <v>0.0</v>
      </c>
      <c r="T107" s="196">
        <f t="shared" si="168"/>
        <v>0.0</v>
      </c>
      <c r="U107" s="196">
        <f t="shared" si="168"/>
        <v>0.0</v>
      </c>
      <c r="V107" s="196">
        <f t="shared" si="168"/>
        <v>0.0</v>
      </c>
      <c r="W107" s="201" t="str">
        <f>IF(X$5=K$5,SUM(Y107:AI107)-SUM(L107:V107),"")</f>
        <v/>
      </c>
      <c r="X107" s="9" t="str">
        <f>LOWER(CtryCode)&amp;".distn."&amp;$A107&amp;IF($B107="","","."&amp;$B107)&amp;IF($C107="","",".dec."&amp;$C107)&amp;"."&amp;X$5</f>
        <v>egy.distn.gfac.ely.2</v>
      </c>
      <c r="Y107" s="202">
        <f>IF(LEFT(Y$19,3)="Yes",Y92/Y102,IF(Y97&gt;0,Y92/Y97,0))</f>
        <v>0.048596343782608735</v>
      </c>
      <c r="Z107" s="196">
        <f t="shared" ref="Z107:AI107" si="169">Y107</f>
        <v>0.048596343782608735</v>
      </c>
      <c r="AA107" s="196">
        <f t="shared" si="169"/>
        <v>0.048596343782608735</v>
      </c>
      <c r="AB107" s="196">
        <f t="shared" si="169"/>
        <v>0.048596343782608735</v>
      </c>
      <c r="AC107" s="196">
        <f t="shared" si="169"/>
        <v>0.048596343782608735</v>
      </c>
      <c r="AD107" s="196">
        <f t="shared" si="169"/>
        <v>0.048596343782608735</v>
      </c>
      <c r="AE107" s="196">
        <f t="shared" si="169"/>
        <v>0.048596343782608735</v>
      </c>
      <c r="AF107" s="196">
        <f t="shared" si="169"/>
        <v>0.048596343782608735</v>
      </c>
      <c r="AG107" s="196">
        <f t="shared" si="169"/>
        <v>0.048596343782608735</v>
      </c>
      <c r="AH107" s="196">
        <f t="shared" si="169"/>
        <v>0.048596343782608735</v>
      </c>
      <c r="AI107" s="196">
        <f t="shared" si="169"/>
        <v>0.048596343782608735</v>
      </c>
    </row>
    <row r="108" hidden="1" outlineLevel="1">
      <c r="A108" s="44" t="inlineStr">
        <is>
          <t>gfac</t>
        </is>
      </c>
      <c r="B108" s="3" t="inlineStr">
        <is>
          <t>nga</t>
        </is>
      </c>
      <c r="C108" s="3" t="inlineStr"/>
      <c r="D108" s="3" t="n"/>
      <c r="E108" s="3" t="n"/>
      <c r="H108" s="3" t="inlineStr">
        <is>
          <t>Natural gas: price factor (revenue / total use; ScaleGTAP = No: revenue / spending)</t>
        </is>
      </c>
      <c r="I108" s="3" t="inlineStr">
        <is>
          <t>fraction</t>
        </is>
      </c>
      <c r="J108" s="118" t="inlineStr">
        <is>
          <t>legacy rows 617-643 (k(s) cancels: method note)</t>
        </is>
      </c>
      <c r="K108" s="9" t="str">
        <f>LOWER(CtryCode)&amp;".distn."&amp;$A108&amp;IF($B108="","","."&amp;$B108)&amp;IF($C108="","",".dec."&amp;$C108)&amp;"."&amp;K$5</f>
        <v>egy.distn.gfac.nga.1</v>
      </c>
      <c r="L108" s="202">
        <f>IF(LEFT(L$19,3)="Yes",L93/L103,IF(L98&gt;0,L93/L98,0))</f>
        <v>0.0</v>
      </c>
      <c r="M108" s="196">
        <f t="shared" ref="M108:V108" si="170">L108</f>
        <v>0.0</v>
      </c>
      <c r="N108" s="196">
        <f t="shared" si="170"/>
        <v>0.0</v>
      </c>
      <c r="O108" s="196">
        <f t="shared" si="170"/>
        <v>0.0</v>
      </c>
      <c r="P108" s="196">
        <f t="shared" si="170"/>
        <v>0.0</v>
      </c>
      <c r="Q108" s="196">
        <f t="shared" si="170"/>
        <v>0.0</v>
      </c>
      <c r="R108" s="196">
        <f t="shared" si="170"/>
        <v>0.0</v>
      </c>
      <c r="S108" s="196">
        <f t="shared" si="170"/>
        <v>0.0</v>
      </c>
      <c r="T108" s="196">
        <f t="shared" si="170"/>
        <v>0.0</v>
      </c>
      <c r="U108" s="196">
        <f t="shared" si="170"/>
        <v>0.0</v>
      </c>
      <c r="V108" s="196">
        <f t="shared" si="170"/>
        <v>0.0</v>
      </c>
      <c r="W108" s="201" t="str">
        <f>IF(X$5=K$5,SUM(Y108:AI108)-SUM(L108:V108),"")</f>
        <v/>
      </c>
      <c r="X108" s="9" t="str">
        <f>LOWER(CtryCode)&amp;".distn."&amp;$A108&amp;IF($B108="","","."&amp;$B108)&amp;IF($C108="","",".dec."&amp;$C108)&amp;"."&amp;X$5</f>
        <v>egy.distn.gfac.nga.2</v>
      </c>
      <c r="Y108" s="202">
        <f>IF(LEFT(Y$19,3)="Yes",Y93/Y103,IF(Y98&gt;0,Y93/Y98,0))</f>
        <v>0.05237458105112214</v>
      </c>
      <c r="Z108" s="196">
        <f t="shared" ref="Z108:AI108" si="171">Y108</f>
        <v>0.05237458105112214</v>
      </c>
      <c r="AA108" s="196">
        <f t="shared" si="171"/>
        <v>0.05237458105112214</v>
      </c>
      <c r="AB108" s="196">
        <f t="shared" si="171"/>
        <v>0.05237458105112214</v>
      </c>
      <c r="AC108" s="196">
        <f t="shared" si="171"/>
        <v>0.05237458105112214</v>
      </c>
      <c r="AD108" s="196">
        <f t="shared" si="171"/>
        <v>0.05237458105112214</v>
      </c>
      <c r="AE108" s="196">
        <f t="shared" si="171"/>
        <v>0.05237458105112214</v>
      </c>
      <c r="AF108" s="196">
        <f t="shared" si="171"/>
        <v>0.05237458105112214</v>
      </c>
      <c r="AG108" s="196">
        <f t="shared" si="171"/>
        <v>0.05237458105112214</v>
      </c>
      <c r="AH108" s="196">
        <f t="shared" si="171"/>
        <v>0.05237458105112214</v>
      </c>
      <c r="AI108" s="196">
        <f t="shared" si="171"/>
        <v>0.05237458105112214</v>
      </c>
    </row>
    <row r="109" hidden="1" outlineLevel="1">
      <c r="A109" s="44" t="inlineStr">
        <is>
          <t>gfac</t>
        </is>
      </c>
      <c r="B109" s="3" t="inlineStr">
        <is>
          <t>oil</t>
        </is>
      </c>
      <c r="C109" s="3" t="inlineStr"/>
      <c r="D109" s="3" t="n"/>
      <c r="E109" s="3" t="n"/>
      <c r="H109" s="3" t="inlineStr">
        <is>
          <t>Crude and other oil: price factor (revenue / total use; ScaleGTAP = No: revenue / spending)</t>
        </is>
      </c>
      <c r="I109" s="3" t="inlineStr">
        <is>
          <t>fraction</t>
        </is>
      </c>
      <c r="J109" s="118" t="inlineStr">
        <is>
          <t>legacy rows 617-643 (k(s) cancels: method note)</t>
        </is>
      </c>
      <c r="K109" s="9" t="str">
        <f>LOWER(CtryCode)&amp;".distn."&amp;$A109&amp;IF($B109="","","."&amp;$B109)&amp;IF($C109="","",".dec."&amp;$C109)&amp;"."&amp;K$5</f>
        <v>egy.distn.gfac.oil.1</v>
      </c>
      <c r="L109" s="202">
        <f>IF(LEFT(L$19,3)="Yes",L94/L104,IF(L99&gt;0,L94/L99,0))</f>
        <v>0.0</v>
      </c>
      <c r="M109" s="196">
        <f t="shared" ref="M109:V109" si="172">L109</f>
        <v>0.0</v>
      </c>
      <c r="N109" s="196">
        <f t="shared" si="172"/>
        <v>0.0</v>
      </c>
      <c r="O109" s="196">
        <f t="shared" si="172"/>
        <v>0.0</v>
      </c>
      <c r="P109" s="196">
        <f t="shared" si="172"/>
        <v>0.0</v>
      </c>
      <c r="Q109" s="196">
        <f t="shared" si="172"/>
        <v>0.0</v>
      </c>
      <c r="R109" s="196">
        <f t="shared" si="172"/>
        <v>0.0</v>
      </c>
      <c r="S109" s="196">
        <f t="shared" si="172"/>
        <v>0.0</v>
      </c>
      <c r="T109" s="196">
        <f t="shared" si="172"/>
        <v>0.0</v>
      </c>
      <c r="U109" s="196">
        <f t="shared" si="172"/>
        <v>0.0</v>
      </c>
      <c r="V109" s="196">
        <f t="shared" si="172"/>
        <v>0.0</v>
      </c>
      <c r="W109" s="201" t="str">
        <f>IF(X$5=K$5,SUM(Y109:AI109)-SUM(L109:V109),"")</f>
        <v/>
      </c>
      <c r="X109" s="9" t="str">
        <f>LOWER(CtryCode)&amp;".distn."&amp;$A109&amp;IF($B109="","","."&amp;$B109)&amp;IF($C109="","",".dec."&amp;$C109)&amp;"."&amp;X$5</f>
        <v>egy.distn.gfac.oil.2</v>
      </c>
      <c r="Y109" s="202">
        <f>IF(LEFT(Y$19,3)="Yes",Y94/Y104,IF(Y99&gt;0,Y94/Y99,0))</f>
        <v>0.0027697499703968954</v>
      </c>
      <c r="Z109" s="196">
        <f t="shared" ref="Z109:AI109" si="173">Y109</f>
        <v>0.0027697499703968954</v>
      </c>
      <c r="AA109" s="196">
        <f t="shared" si="173"/>
        <v>0.0027697499703968954</v>
      </c>
      <c r="AB109" s="196">
        <f t="shared" si="173"/>
        <v>0.0027697499703968954</v>
      </c>
      <c r="AC109" s="196">
        <f t="shared" si="173"/>
        <v>0.0027697499703968954</v>
      </c>
      <c r="AD109" s="196">
        <f t="shared" si="173"/>
        <v>0.0027697499703968954</v>
      </c>
      <c r="AE109" s="196">
        <f t="shared" si="173"/>
        <v>0.0027697499703968954</v>
      </c>
      <c r="AF109" s="196">
        <f t="shared" si="173"/>
        <v>0.0027697499703968954</v>
      </c>
      <c r="AG109" s="196">
        <f t="shared" si="173"/>
        <v>0.0027697499703968954</v>
      </c>
      <c r="AH109" s="196">
        <f t="shared" si="173"/>
        <v>0.0027697499703968954</v>
      </c>
      <c r="AI109" s="196">
        <f t="shared" si="173"/>
        <v>0.0027697499703968954</v>
      </c>
    </row>
    <row r="110" hidden="1" outlineLevel="1">
      <c r="A110" s="44" t="inlineStr">
        <is>
          <t>gfac</t>
        </is>
      </c>
      <c r="B110" s="3" t="inlineStr">
        <is>
          <t>p_c</t>
        </is>
      </c>
      <c r="C110" s="3" t="inlineStr"/>
      <c r="D110" s="3" t="n"/>
      <c r="E110" s="3" t="n"/>
      <c r="H110" s="3" t="inlineStr">
        <is>
          <t>Refined products (gasoline, diesel, LPG, kerosene): price factor (revenue / total use; ScaleGTAP = No: revenue / spending)</t>
        </is>
      </c>
      <c r="I110" s="3" t="inlineStr">
        <is>
          <t>fraction</t>
        </is>
      </c>
      <c r="J110" s="118" t="inlineStr">
        <is>
          <t>legacy rows 617-643 (k(s) cancels: method note)</t>
        </is>
      </c>
      <c r="K110" s="9" t="str">
        <f>LOWER(CtryCode)&amp;".distn."&amp;$A110&amp;IF($B110="","","."&amp;$B110)&amp;IF($C110="","",".dec."&amp;$C110)&amp;"."&amp;K$5</f>
        <v>egy.distn.gfac.p_c.1</v>
      </c>
      <c r="L110" s="202">
        <f>IF(LEFT(L$19,3)="Yes",L95/L105,IF(L100&gt;0,L95/L100,0))</f>
        <v>0.0</v>
      </c>
      <c r="M110" s="196">
        <f t="shared" ref="M110:V110" si="174">L110</f>
        <v>0.0</v>
      </c>
      <c r="N110" s="196">
        <f t="shared" si="174"/>
        <v>0.0</v>
      </c>
      <c r="O110" s="196">
        <f t="shared" si="174"/>
        <v>0.0</v>
      </c>
      <c r="P110" s="196">
        <f t="shared" si="174"/>
        <v>0.0</v>
      </c>
      <c r="Q110" s="196">
        <f t="shared" si="174"/>
        <v>0.0</v>
      </c>
      <c r="R110" s="196">
        <f t="shared" si="174"/>
        <v>0.0</v>
      </c>
      <c r="S110" s="196">
        <f t="shared" si="174"/>
        <v>0.0</v>
      </c>
      <c r="T110" s="196">
        <f t="shared" si="174"/>
        <v>0.0</v>
      </c>
      <c r="U110" s="196">
        <f t="shared" si="174"/>
        <v>0.0</v>
      </c>
      <c r="V110" s="196">
        <f t="shared" si="174"/>
        <v>0.0</v>
      </c>
      <c r="W110" s="201" t="str">
        <f>IF(X$5=K$5,SUM(Y110:AI110)-SUM(L110:V110),"")</f>
        <v/>
      </c>
      <c r="X110" s="9" t="str">
        <f>LOWER(CtryCode)&amp;".distn."&amp;$A110&amp;IF($B110="","","."&amp;$B110)&amp;IF($C110="","",".dec."&amp;$C110)&amp;"."&amp;X$5</f>
        <v>egy.distn.gfac.p_c.2</v>
      </c>
      <c r="Y110" s="202">
        <f>IF(LEFT(Y$19,3)="Yes",Y95/Y105,IF(Y100&gt;0,Y95/Y100,0))</f>
        <v>0.019917052812532508</v>
      </c>
      <c r="Z110" s="196">
        <f t="shared" ref="Z110:AI110" si="175">Y110</f>
        <v>0.019917052812532508</v>
      </c>
      <c r="AA110" s="196">
        <f t="shared" si="175"/>
        <v>0.019917052812532508</v>
      </c>
      <c r="AB110" s="196">
        <f t="shared" si="175"/>
        <v>0.019917052812532508</v>
      </c>
      <c r="AC110" s="196">
        <f t="shared" si="175"/>
        <v>0.019917052812532508</v>
      </c>
      <c r="AD110" s="196">
        <f t="shared" si="175"/>
        <v>0.019917052812532508</v>
      </c>
      <c r="AE110" s="196">
        <f t="shared" si="175"/>
        <v>0.019917052812532508</v>
      </c>
      <c r="AF110" s="196">
        <f t="shared" si="175"/>
        <v>0.019917052812532508</v>
      </c>
      <c r="AG110" s="196">
        <f t="shared" si="175"/>
        <v>0.019917052812532508</v>
      </c>
      <c r="AH110" s="196">
        <f t="shared" si="175"/>
        <v>0.019917052812532508</v>
      </c>
      <c r="AI110" s="196">
        <f t="shared" si="175"/>
        <v>0.019917052812532508</v>
      </c>
    </row>
    <row r="111" hidden="1" outlineLevel="1"/>
    <row r="112" hidden="1" outlineLevel="1">
      <c r="B112" s="31" t="inlineStr">
        <is>
          <t>Consumption categories: household-demand weighted Leontief coefficients x fuel-group factors</t>
        </is>
      </c>
    </row>
    <row r="113" hidden="1" outlineLevel="1">
      <c r="A113" s="44" t="inlineStr">
        <is>
          <t>dpr</t>
        </is>
      </c>
      <c r="B113" s="3" t="inlineStr">
        <is>
          <t>app</t>
        </is>
      </c>
      <c r="C113" s="3" t="inlineStr"/>
      <c r="D113" s="3" t="n"/>
      <c r="E113" s="3" t="n"/>
      <c r="H113" s="3" t="inlineStr">
        <is>
          <t>Appliances: price change</t>
        </is>
      </c>
      <c r="I113" s="3" t="inlineStr">
        <is>
          <t>fraction</t>
        </is>
      </c>
      <c r="J113" s="118" t="inlineStr">
        <is>
          <t>DistMapping, IO tables (legacy rows 668-736)</t>
        </is>
      </c>
      <c r="K113" s="9" t="str">
        <f>LOWER(CtryCode)&amp;".distn."&amp;$A113&amp;IF($B113="","","."&amp;$B113)&amp;IF($C113="","",".dec."&amp;$C113)&amp;"."&amp;K$5</f>
        <v>egy.distn.dpr.app.1</v>
      </c>
      <c r="L113" s="202">
        <f>MMULT(INDEX(DLcat,MATCH($B113,DLcatKey,0),0),L$106:L$110)</f>
        <v>0.0</v>
      </c>
      <c r="M113" s="196">
        <f t="shared" ref="M113:V113" si="176">L113</f>
        <v>0.0</v>
      </c>
      <c r="N113" s="196">
        <f t="shared" si="176"/>
        <v>0.0</v>
      </c>
      <c r="O113" s="196">
        <f t="shared" si="176"/>
        <v>0.0</v>
      </c>
      <c r="P113" s="196">
        <f t="shared" si="176"/>
        <v>0.0</v>
      </c>
      <c r="Q113" s="196">
        <f t="shared" si="176"/>
        <v>0.0</v>
      </c>
      <c r="R113" s="196">
        <f t="shared" si="176"/>
        <v>0.0</v>
      </c>
      <c r="S113" s="196">
        <f t="shared" si="176"/>
        <v>0.0</v>
      </c>
      <c r="T113" s="196">
        <f t="shared" si="176"/>
        <v>0.0</v>
      </c>
      <c r="U113" s="196">
        <f t="shared" si="176"/>
        <v>0.0</v>
      </c>
      <c r="V113" s="196">
        <f t="shared" si="176"/>
        <v>0.0</v>
      </c>
      <c r="W113" s="201" t="str">
        <f>IF(X$5=K$5,SUM(Y113:AI113)-SUM(L113:V113),"")</f>
        <v/>
      </c>
      <c r="X113" s="9" t="str">
        <f>LOWER(CtryCode)&amp;".distn."&amp;$A113&amp;IF($B113="","","."&amp;$B113)&amp;IF($C113="","",".dec."&amp;$C113)&amp;"."&amp;X$5</f>
        <v>egy.distn.dpr.app.2</v>
      </c>
      <c r="Y113" s="202">
        <f>MMULT(INDEX(DLcat,MATCH($B113,DLcatKey,0),0),Y$106:Y$110)</f>
        <v>0.002765537075890028</v>
      </c>
      <c r="Z113" s="196">
        <f t="shared" ref="Z113:AI113" si="177">Y113</f>
        <v>0.002765537075890028</v>
      </c>
      <c r="AA113" s="196">
        <f t="shared" si="177"/>
        <v>0.002765537075890028</v>
      </c>
      <c r="AB113" s="196">
        <f t="shared" si="177"/>
        <v>0.002765537075890028</v>
      </c>
      <c r="AC113" s="196">
        <f t="shared" si="177"/>
        <v>0.002765537075890028</v>
      </c>
      <c r="AD113" s="196">
        <f t="shared" si="177"/>
        <v>0.002765537075890028</v>
      </c>
      <c r="AE113" s="196">
        <f t="shared" si="177"/>
        <v>0.002765537075890028</v>
      </c>
      <c r="AF113" s="196">
        <f t="shared" si="177"/>
        <v>0.002765537075890028</v>
      </c>
      <c r="AG113" s="196">
        <f t="shared" si="177"/>
        <v>0.002765537075890028</v>
      </c>
      <c r="AH113" s="196">
        <f t="shared" si="177"/>
        <v>0.002765537075890028</v>
      </c>
      <c r="AI113" s="196">
        <f t="shared" si="177"/>
        <v>0.002765537075890028</v>
      </c>
    </row>
    <row r="114" hidden="1" outlineLevel="1">
      <c r="A114" s="44" t="inlineStr">
        <is>
          <t>dpr</t>
        </is>
      </c>
      <c r="B114" s="3" t="inlineStr">
        <is>
          <t>che</t>
        </is>
      </c>
      <c r="C114" s="3" t="inlineStr"/>
      <c r="D114" s="3" t="n"/>
      <c r="E114" s="3" t="n"/>
      <c r="H114" s="3" t="inlineStr">
        <is>
          <t>Chemicals: price change</t>
        </is>
      </c>
      <c r="I114" s="3" t="inlineStr">
        <is>
          <t>fraction</t>
        </is>
      </c>
      <c r="J114" s="118" t="inlineStr">
        <is>
          <t>DistMapping, IO tables (legacy rows 668-736)</t>
        </is>
      </c>
      <c r="K114" s="9" t="str">
        <f>LOWER(CtryCode)&amp;".distn."&amp;$A114&amp;IF($B114="","","."&amp;$B114)&amp;IF($C114="","",".dec."&amp;$C114)&amp;"."&amp;K$5</f>
        <v>egy.distn.dpr.che.1</v>
      </c>
      <c r="L114" s="202">
        <f>MMULT(INDEX(DLcat,MATCH($B114,DLcatKey,0),0),L$106:L$110)</f>
        <v>0.0</v>
      </c>
      <c r="M114" s="196">
        <f t="shared" ref="M114:V114" si="178">L114</f>
        <v>0.0</v>
      </c>
      <c r="N114" s="196">
        <f t="shared" si="178"/>
        <v>0.0</v>
      </c>
      <c r="O114" s="196">
        <f t="shared" si="178"/>
        <v>0.0</v>
      </c>
      <c r="P114" s="196">
        <f t="shared" si="178"/>
        <v>0.0</v>
      </c>
      <c r="Q114" s="196">
        <f t="shared" si="178"/>
        <v>0.0</v>
      </c>
      <c r="R114" s="196">
        <f t="shared" si="178"/>
        <v>0.0</v>
      </c>
      <c r="S114" s="196">
        <f t="shared" si="178"/>
        <v>0.0</v>
      </c>
      <c r="T114" s="196">
        <f t="shared" si="178"/>
        <v>0.0</v>
      </c>
      <c r="U114" s="196">
        <f t="shared" si="178"/>
        <v>0.0</v>
      </c>
      <c r="V114" s="196">
        <f t="shared" si="178"/>
        <v>0.0</v>
      </c>
      <c r="W114" s="201" t="str">
        <f>IF(X$5=K$5,SUM(Y114:AI114)-SUM(L114:V114),"")</f>
        <v/>
      </c>
      <c r="X114" s="9" t="str">
        <f>LOWER(CtryCode)&amp;".distn."&amp;$A114&amp;IF($B114="","","."&amp;$B114)&amp;IF($C114="","",".dec."&amp;$C114)&amp;"."&amp;X$5</f>
        <v>egy.distn.dpr.che.2</v>
      </c>
      <c r="Y114" s="202">
        <f>MMULT(INDEX(DLcat,MATCH($B114,DLcatKey,0),0),Y$106:Y$110)</f>
        <v>0.006037513857369496</v>
      </c>
      <c r="Z114" s="196">
        <f t="shared" ref="Z114:AI114" si="179">Y114</f>
        <v>0.006037513857369496</v>
      </c>
      <c r="AA114" s="196">
        <f t="shared" si="179"/>
        <v>0.006037513857369496</v>
      </c>
      <c r="AB114" s="196">
        <f t="shared" si="179"/>
        <v>0.006037513857369496</v>
      </c>
      <c r="AC114" s="196">
        <f t="shared" si="179"/>
        <v>0.006037513857369496</v>
      </c>
      <c r="AD114" s="196">
        <f t="shared" si="179"/>
        <v>0.006037513857369496</v>
      </c>
      <c r="AE114" s="196">
        <f t="shared" si="179"/>
        <v>0.006037513857369496</v>
      </c>
      <c r="AF114" s="196">
        <f t="shared" si="179"/>
        <v>0.006037513857369496</v>
      </c>
      <c r="AG114" s="196">
        <f t="shared" si="179"/>
        <v>0.006037513857369496</v>
      </c>
      <c r="AH114" s="196">
        <f t="shared" si="179"/>
        <v>0.006037513857369496</v>
      </c>
      <c r="AI114" s="196">
        <f t="shared" si="179"/>
        <v>0.006037513857369496</v>
      </c>
    </row>
    <row r="115" hidden="1" outlineLevel="1">
      <c r="A115" s="44" t="inlineStr">
        <is>
          <t>dpr</t>
        </is>
      </c>
      <c r="B115" s="3" t="inlineStr">
        <is>
          <t>clo</t>
        </is>
      </c>
      <c r="C115" s="3" t="inlineStr"/>
      <c r="D115" s="3" t="n"/>
      <c r="E115" s="3" t="n"/>
      <c r="H115" s="3" t="inlineStr">
        <is>
          <t>Clothing: price change</t>
        </is>
      </c>
      <c r="I115" s="3" t="inlineStr">
        <is>
          <t>fraction</t>
        </is>
      </c>
      <c r="J115" s="118" t="inlineStr">
        <is>
          <t>DistMapping, IO tables (legacy rows 668-736)</t>
        </is>
      </c>
      <c r="K115" s="9" t="str">
        <f>LOWER(CtryCode)&amp;".distn."&amp;$A115&amp;IF($B115="","","."&amp;$B115)&amp;IF($C115="","",".dec."&amp;$C115)&amp;"."&amp;K$5</f>
        <v>egy.distn.dpr.clo.1</v>
      </c>
      <c r="L115" s="202">
        <f>MMULT(INDEX(DLcat,MATCH($B115,DLcatKey,0),0),L$106:L$110)</f>
        <v>0.0</v>
      </c>
      <c r="M115" s="196">
        <f t="shared" ref="M115:V115" si="180">L115</f>
        <v>0.0</v>
      </c>
      <c r="N115" s="196">
        <f t="shared" si="180"/>
        <v>0.0</v>
      </c>
      <c r="O115" s="196">
        <f t="shared" si="180"/>
        <v>0.0</v>
      </c>
      <c r="P115" s="196">
        <f t="shared" si="180"/>
        <v>0.0</v>
      </c>
      <c r="Q115" s="196">
        <f t="shared" si="180"/>
        <v>0.0</v>
      </c>
      <c r="R115" s="196">
        <f t="shared" si="180"/>
        <v>0.0</v>
      </c>
      <c r="S115" s="196">
        <f t="shared" si="180"/>
        <v>0.0</v>
      </c>
      <c r="T115" s="196">
        <f t="shared" si="180"/>
        <v>0.0</v>
      </c>
      <c r="U115" s="196">
        <f t="shared" si="180"/>
        <v>0.0</v>
      </c>
      <c r="V115" s="196">
        <f t="shared" si="180"/>
        <v>0.0</v>
      </c>
      <c r="W115" s="201" t="str">
        <f>IF(X$5=K$5,SUM(Y115:AI115)-SUM(L115:V115),"")</f>
        <v/>
      </c>
      <c r="X115" s="9" t="str">
        <f>LOWER(CtryCode)&amp;".distn."&amp;$A115&amp;IF($B115="","","."&amp;$B115)&amp;IF($C115="","",".dec."&amp;$C115)&amp;"."&amp;X$5</f>
        <v>egy.distn.dpr.clo.2</v>
      </c>
      <c r="Y115" s="202">
        <f>MMULT(INDEX(DLcat,MATCH($B115,DLcatKey,0),0),Y$106:Y$110)</f>
        <v>0.001127039573457341</v>
      </c>
      <c r="Z115" s="196">
        <f t="shared" ref="Z115:AI115" si="181">Y115</f>
        <v>0.001127039573457341</v>
      </c>
      <c r="AA115" s="196">
        <f t="shared" si="181"/>
        <v>0.001127039573457341</v>
      </c>
      <c r="AB115" s="196">
        <f t="shared" si="181"/>
        <v>0.001127039573457341</v>
      </c>
      <c r="AC115" s="196">
        <f t="shared" si="181"/>
        <v>0.001127039573457341</v>
      </c>
      <c r="AD115" s="196">
        <f t="shared" si="181"/>
        <v>0.001127039573457341</v>
      </c>
      <c r="AE115" s="196">
        <f t="shared" si="181"/>
        <v>0.001127039573457341</v>
      </c>
      <c r="AF115" s="196">
        <f t="shared" si="181"/>
        <v>0.001127039573457341</v>
      </c>
      <c r="AG115" s="196">
        <f t="shared" si="181"/>
        <v>0.001127039573457341</v>
      </c>
      <c r="AH115" s="196">
        <f t="shared" si="181"/>
        <v>0.001127039573457341</v>
      </c>
      <c r="AI115" s="196">
        <f t="shared" si="181"/>
        <v>0.001127039573457341</v>
      </c>
    </row>
    <row r="116" hidden="1" outlineLevel="1">
      <c r="A116" s="44" t="inlineStr">
        <is>
          <t>dpr</t>
        </is>
      </c>
      <c r="B116" s="3" t="inlineStr">
        <is>
          <t>com</t>
        </is>
      </c>
      <c r="C116" s="3" t="inlineStr"/>
      <c r="D116" s="3" t="n"/>
      <c r="E116" s="3" t="n"/>
      <c r="H116" s="3" t="inlineStr">
        <is>
          <t>Communications: price change</t>
        </is>
      </c>
      <c r="I116" s="3" t="inlineStr">
        <is>
          <t>fraction</t>
        </is>
      </c>
      <c r="J116" s="118" t="inlineStr">
        <is>
          <t>DistMapping, IO tables (legacy rows 668-736)</t>
        </is>
      </c>
      <c r="K116" s="9" t="str">
        <f>LOWER(CtryCode)&amp;".distn."&amp;$A116&amp;IF($B116="","","."&amp;$B116)&amp;IF($C116="","",".dec."&amp;$C116)&amp;"."&amp;K$5</f>
        <v>egy.distn.dpr.com.1</v>
      </c>
      <c r="L116" s="202">
        <f>MMULT(INDEX(DLcat,MATCH($B116,DLcatKey,0),0),L$106:L$110)</f>
        <v>0.0</v>
      </c>
      <c r="M116" s="196">
        <f t="shared" ref="M116:V116" si="182">L116</f>
        <v>0.0</v>
      </c>
      <c r="N116" s="196">
        <f t="shared" si="182"/>
        <v>0.0</v>
      </c>
      <c r="O116" s="196">
        <f t="shared" si="182"/>
        <v>0.0</v>
      </c>
      <c r="P116" s="196">
        <f t="shared" si="182"/>
        <v>0.0</v>
      </c>
      <c r="Q116" s="196">
        <f t="shared" si="182"/>
        <v>0.0</v>
      </c>
      <c r="R116" s="196">
        <f t="shared" si="182"/>
        <v>0.0</v>
      </c>
      <c r="S116" s="196">
        <f t="shared" si="182"/>
        <v>0.0</v>
      </c>
      <c r="T116" s="196">
        <f t="shared" si="182"/>
        <v>0.0</v>
      </c>
      <c r="U116" s="196">
        <f t="shared" si="182"/>
        <v>0.0</v>
      </c>
      <c r="V116" s="196">
        <f t="shared" si="182"/>
        <v>0.0</v>
      </c>
      <c r="W116" s="201" t="str">
        <f>IF(X$5=K$5,SUM(Y116:AI116)-SUM(L116:V116),"")</f>
        <v/>
      </c>
      <c r="X116" s="9" t="str">
        <f>LOWER(CtryCode)&amp;".distn."&amp;$A116&amp;IF($B116="","","."&amp;$B116)&amp;IF($C116="","",".dec."&amp;$C116)&amp;"."&amp;X$5</f>
        <v>egy.distn.dpr.com.2</v>
      </c>
      <c r="Y116" s="202">
        <f>MMULT(INDEX(DLcat,MATCH($B116,DLcatKey,0),0),Y$106:Y$110)</f>
        <v>0.0004259004335551858</v>
      </c>
      <c r="Z116" s="196">
        <f t="shared" ref="Z116:AI116" si="183">Y116</f>
        <v>0.0004259004335551858</v>
      </c>
      <c r="AA116" s="196">
        <f t="shared" si="183"/>
        <v>0.0004259004335551858</v>
      </c>
      <c r="AB116" s="196">
        <f t="shared" si="183"/>
        <v>0.0004259004335551858</v>
      </c>
      <c r="AC116" s="196">
        <f t="shared" si="183"/>
        <v>0.0004259004335551858</v>
      </c>
      <c r="AD116" s="196">
        <f t="shared" si="183"/>
        <v>0.0004259004335551858</v>
      </c>
      <c r="AE116" s="196">
        <f t="shared" si="183"/>
        <v>0.0004259004335551858</v>
      </c>
      <c r="AF116" s="196">
        <f t="shared" si="183"/>
        <v>0.0004259004335551858</v>
      </c>
      <c r="AG116" s="196">
        <f t="shared" si="183"/>
        <v>0.0004259004335551858</v>
      </c>
      <c r="AH116" s="196">
        <f t="shared" si="183"/>
        <v>0.0004259004335551858</v>
      </c>
      <c r="AI116" s="196">
        <f t="shared" si="183"/>
        <v>0.0004259004335551858</v>
      </c>
    </row>
    <row r="117" hidden="1" outlineLevel="1">
      <c r="A117" s="44" t="inlineStr">
        <is>
          <t>dpr</t>
        </is>
      </c>
      <c r="B117" s="3" t="inlineStr">
        <is>
          <t>edu</t>
        </is>
      </c>
      <c r="C117" s="3" t="inlineStr"/>
      <c r="D117" s="3" t="n"/>
      <c r="E117" s="3" t="n"/>
      <c r="H117" s="3" t="inlineStr">
        <is>
          <t>Education: price change</t>
        </is>
      </c>
      <c r="I117" s="3" t="inlineStr">
        <is>
          <t>fraction</t>
        </is>
      </c>
      <c r="J117" s="118" t="inlineStr">
        <is>
          <t>DistMapping, IO tables (legacy rows 668-736)</t>
        </is>
      </c>
      <c r="K117" s="9" t="str">
        <f>LOWER(CtryCode)&amp;".distn."&amp;$A117&amp;IF($B117="","","."&amp;$B117)&amp;IF($C117="","",".dec."&amp;$C117)&amp;"."&amp;K$5</f>
        <v>egy.distn.dpr.edu.1</v>
      </c>
      <c r="L117" s="202">
        <f>MMULT(INDEX(DLcat,MATCH($B117,DLcatKey,0),0),L$106:L$110)</f>
        <v>0.0</v>
      </c>
      <c r="M117" s="196">
        <f t="shared" ref="M117:V117" si="184">L117</f>
        <v>0.0</v>
      </c>
      <c r="N117" s="196">
        <f t="shared" si="184"/>
        <v>0.0</v>
      </c>
      <c r="O117" s="196">
        <f t="shared" si="184"/>
        <v>0.0</v>
      </c>
      <c r="P117" s="196">
        <f t="shared" si="184"/>
        <v>0.0</v>
      </c>
      <c r="Q117" s="196">
        <f t="shared" si="184"/>
        <v>0.0</v>
      </c>
      <c r="R117" s="196">
        <f t="shared" si="184"/>
        <v>0.0</v>
      </c>
      <c r="S117" s="196">
        <f t="shared" si="184"/>
        <v>0.0</v>
      </c>
      <c r="T117" s="196">
        <f t="shared" si="184"/>
        <v>0.0</v>
      </c>
      <c r="U117" s="196">
        <f t="shared" si="184"/>
        <v>0.0</v>
      </c>
      <c r="V117" s="196">
        <f t="shared" si="184"/>
        <v>0.0</v>
      </c>
      <c r="W117" s="201" t="str">
        <f>IF(X$5=K$5,SUM(Y117:AI117)-SUM(L117:V117),"")</f>
        <v/>
      </c>
      <c r="X117" s="9" t="str">
        <f>LOWER(CtryCode)&amp;".distn."&amp;$A117&amp;IF($B117="","","."&amp;$B117)&amp;IF($C117="","",".dec."&amp;$C117)&amp;"."&amp;X$5</f>
        <v>egy.distn.dpr.edu.2</v>
      </c>
      <c r="Y117" s="202">
        <f>MMULT(INDEX(DLcat,MATCH($B117,DLcatKey,0),0),Y$106:Y$110)</f>
        <v>0.0010212791172932486</v>
      </c>
      <c r="Z117" s="196">
        <f t="shared" ref="Z117:AI117" si="185">Y117</f>
        <v>0.0010212791172932486</v>
      </c>
      <c r="AA117" s="196">
        <f t="shared" si="185"/>
        <v>0.0010212791172932486</v>
      </c>
      <c r="AB117" s="196">
        <f t="shared" si="185"/>
        <v>0.0010212791172932486</v>
      </c>
      <c r="AC117" s="196">
        <f t="shared" si="185"/>
        <v>0.0010212791172932486</v>
      </c>
      <c r="AD117" s="196">
        <f t="shared" si="185"/>
        <v>0.0010212791172932486</v>
      </c>
      <c r="AE117" s="196">
        <f t="shared" si="185"/>
        <v>0.0010212791172932486</v>
      </c>
      <c r="AF117" s="196">
        <f t="shared" si="185"/>
        <v>0.0010212791172932486</v>
      </c>
      <c r="AG117" s="196">
        <f t="shared" si="185"/>
        <v>0.0010212791172932486</v>
      </c>
      <c r="AH117" s="196">
        <f t="shared" si="185"/>
        <v>0.0010212791172932486</v>
      </c>
      <c r="AI117" s="196">
        <f t="shared" si="185"/>
        <v>0.0010212791172932486</v>
      </c>
    </row>
    <row r="118" hidden="1" outlineLevel="1">
      <c r="A118" s="44" t="inlineStr">
        <is>
          <t>dpr</t>
        </is>
      </c>
      <c r="B118" s="3" t="inlineStr">
        <is>
          <t>food</t>
        </is>
      </c>
      <c r="C118" s="3" t="inlineStr"/>
      <c r="D118" s="3" t="n"/>
      <c r="E118" s="3" t="n"/>
      <c r="H118" s="3" t="inlineStr">
        <is>
          <t>Food: price change</t>
        </is>
      </c>
      <c r="I118" s="3" t="inlineStr">
        <is>
          <t>fraction</t>
        </is>
      </c>
      <c r="J118" s="118" t="inlineStr">
        <is>
          <t>DistMapping, IO tables (legacy rows 668-736)</t>
        </is>
      </c>
      <c r="K118" s="9" t="str">
        <f>LOWER(CtryCode)&amp;".distn."&amp;$A118&amp;IF($B118="","","."&amp;$B118)&amp;IF($C118="","",".dec."&amp;$C118)&amp;"."&amp;K$5</f>
        <v>egy.distn.dpr.food.1</v>
      </c>
      <c r="L118" s="202">
        <f>MMULT(INDEX(DLcat,MATCH($B118,DLcatKey,0),0),L$106:L$110)</f>
        <v>0.0</v>
      </c>
      <c r="M118" s="196">
        <f t="shared" ref="M118:V118" si="186">L118</f>
        <v>0.0</v>
      </c>
      <c r="N118" s="196">
        <f t="shared" si="186"/>
        <v>0.0</v>
      </c>
      <c r="O118" s="196">
        <f t="shared" si="186"/>
        <v>0.0</v>
      </c>
      <c r="P118" s="196">
        <f t="shared" si="186"/>
        <v>0.0</v>
      </c>
      <c r="Q118" s="196">
        <f t="shared" si="186"/>
        <v>0.0</v>
      </c>
      <c r="R118" s="196">
        <f t="shared" si="186"/>
        <v>0.0</v>
      </c>
      <c r="S118" s="196">
        <f t="shared" si="186"/>
        <v>0.0</v>
      </c>
      <c r="T118" s="196">
        <f t="shared" si="186"/>
        <v>0.0</v>
      </c>
      <c r="U118" s="196">
        <f t="shared" si="186"/>
        <v>0.0</v>
      </c>
      <c r="V118" s="196">
        <f t="shared" si="186"/>
        <v>0.0</v>
      </c>
      <c r="W118" s="201" t="str">
        <f>IF(X$5=K$5,SUM(Y118:AI118)-SUM(L118:V118),"")</f>
        <v/>
      </c>
      <c r="X118" s="9" t="str">
        <f>LOWER(CtryCode)&amp;".distn."&amp;$A118&amp;IF($B118="","","."&amp;$B118)&amp;IF($C118="","",".dec."&amp;$C118)&amp;"."&amp;X$5</f>
        <v>egy.distn.dpr.food.2</v>
      </c>
      <c r="Y118" s="202">
        <f>MMULT(INDEX(DLcat,MATCH($B118,DLcatKey,0),0),Y$106:Y$110)</f>
        <v>0.0011484804172207457</v>
      </c>
      <c r="Z118" s="196">
        <f t="shared" ref="Z118:AI118" si="187">Y118</f>
        <v>0.0011484804172207457</v>
      </c>
      <c r="AA118" s="196">
        <f t="shared" si="187"/>
        <v>0.0011484804172207457</v>
      </c>
      <c r="AB118" s="196">
        <f t="shared" si="187"/>
        <v>0.0011484804172207457</v>
      </c>
      <c r="AC118" s="196">
        <f t="shared" si="187"/>
        <v>0.0011484804172207457</v>
      </c>
      <c r="AD118" s="196">
        <f t="shared" si="187"/>
        <v>0.0011484804172207457</v>
      </c>
      <c r="AE118" s="196">
        <f t="shared" si="187"/>
        <v>0.0011484804172207457</v>
      </c>
      <c r="AF118" s="196">
        <f t="shared" si="187"/>
        <v>0.0011484804172207457</v>
      </c>
      <c r="AG118" s="196">
        <f t="shared" si="187"/>
        <v>0.0011484804172207457</v>
      </c>
      <c r="AH118" s="196">
        <f t="shared" si="187"/>
        <v>0.0011484804172207457</v>
      </c>
      <c r="AI118" s="196">
        <f t="shared" si="187"/>
        <v>0.0011484804172207457</v>
      </c>
    </row>
    <row r="119" hidden="1" outlineLevel="1">
      <c r="A119" s="44" t="inlineStr">
        <is>
          <t>dpr</t>
        </is>
      </c>
      <c r="B119" s="3" t="inlineStr">
        <is>
          <t>hea</t>
        </is>
      </c>
      <c r="C119" s="3" t="inlineStr"/>
      <c r="D119" s="3" t="n"/>
      <c r="E119" s="3" t="n"/>
      <c r="H119" s="3" t="inlineStr">
        <is>
          <t>Health services: price change</t>
        </is>
      </c>
      <c r="I119" s="3" t="inlineStr">
        <is>
          <t>fraction</t>
        </is>
      </c>
      <c r="J119" s="118" t="inlineStr">
        <is>
          <t>DistMapping, IO tables (legacy rows 668-736)</t>
        </is>
      </c>
      <c r="K119" s="9" t="str">
        <f>LOWER(CtryCode)&amp;".distn."&amp;$A119&amp;IF($B119="","","."&amp;$B119)&amp;IF($C119="","",".dec."&amp;$C119)&amp;"."&amp;K$5</f>
        <v>egy.distn.dpr.hea.1</v>
      </c>
      <c r="L119" s="202">
        <f>MMULT(INDEX(DLcat,MATCH($B119,DLcatKey,0),0),L$106:L$110)</f>
        <v>0.0</v>
      </c>
      <c r="M119" s="196">
        <f t="shared" ref="M119:V119" si="188">L119</f>
        <v>0.0</v>
      </c>
      <c r="N119" s="196">
        <f t="shared" si="188"/>
        <v>0.0</v>
      </c>
      <c r="O119" s="196">
        <f t="shared" si="188"/>
        <v>0.0</v>
      </c>
      <c r="P119" s="196">
        <f t="shared" si="188"/>
        <v>0.0</v>
      </c>
      <c r="Q119" s="196">
        <f t="shared" si="188"/>
        <v>0.0</v>
      </c>
      <c r="R119" s="196">
        <f t="shared" si="188"/>
        <v>0.0</v>
      </c>
      <c r="S119" s="196">
        <f t="shared" si="188"/>
        <v>0.0</v>
      </c>
      <c r="T119" s="196">
        <f t="shared" si="188"/>
        <v>0.0</v>
      </c>
      <c r="U119" s="196">
        <f t="shared" si="188"/>
        <v>0.0</v>
      </c>
      <c r="V119" s="196">
        <f t="shared" si="188"/>
        <v>0.0</v>
      </c>
      <c r="W119" s="201" t="str">
        <f>IF(X$5=K$5,SUM(Y119:AI119)-SUM(L119:V119),"")</f>
        <v/>
      </c>
      <c r="X119" s="9" t="str">
        <f>LOWER(CtryCode)&amp;".distn."&amp;$A119&amp;IF($B119="","","."&amp;$B119)&amp;IF($C119="","",".dec."&amp;$C119)&amp;"."&amp;X$5</f>
        <v>egy.distn.dpr.hea.2</v>
      </c>
      <c r="Y119" s="202">
        <f>MMULT(INDEX(DLcat,MATCH($B119,DLcatKey,0),0),Y$106:Y$110)</f>
        <v>0.001217719765046205</v>
      </c>
      <c r="Z119" s="196">
        <f t="shared" ref="Z119:AI119" si="189">Y119</f>
        <v>0.001217719765046205</v>
      </c>
      <c r="AA119" s="196">
        <f t="shared" si="189"/>
        <v>0.001217719765046205</v>
      </c>
      <c r="AB119" s="196">
        <f t="shared" si="189"/>
        <v>0.001217719765046205</v>
      </c>
      <c r="AC119" s="196">
        <f t="shared" si="189"/>
        <v>0.001217719765046205</v>
      </c>
      <c r="AD119" s="196">
        <f t="shared" si="189"/>
        <v>0.001217719765046205</v>
      </c>
      <c r="AE119" s="196">
        <f t="shared" si="189"/>
        <v>0.001217719765046205</v>
      </c>
      <c r="AF119" s="196">
        <f t="shared" si="189"/>
        <v>0.001217719765046205</v>
      </c>
      <c r="AG119" s="196">
        <f t="shared" si="189"/>
        <v>0.001217719765046205</v>
      </c>
      <c r="AH119" s="196">
        <f t="shared" si="189"/>
        <v>0.001217719765046205</v>
      </c>
      <c r="AI119" s="196">
        <f t="shared" si="189"/>
        <v>0.001217719765046205</v>
      </c>
    </row>
    <row r="120" hidden="1" outlineLevel="1">
      <c r="A120" s="44" t="inlineStr">
        <is>
          <t>dpr</t>
        </is>
      </c>
      <c r="B120" s="3" t="inlineStr">
        <is>
          <t>hou</t>
        </is>
      </c>
      <c r="C120" s="3" t="inlineStr"/>
      <c r="D120" s="3" t="n"/>
      <c r="E120" s="3" t="n"/>
      <c r="H120" s="3" t="inlineStr">
        <is>
          <t>Housing: price change</t>
        </is>
      </c>
      <c r="I120" s="3" t="inlineStr">
        <is>
          <t>fraction</t>
        </is>
      </c>
      <c r="J120" s="118" t="inlineStr">
        <is>
          <t>DistMapping, IO tables (legacy rows 668-736)</t>
        </is>
      </c>
      <c r="K120" s="9" t="str">
        <f>LOWER(CtryCode)&amp;".distn."&amp;$A120&amp;IF($B120="","","."&amp;$B120)&amp;IF($C120="","",".dec."&amp;$C120)&amp;"."&amp;K$5</f>
        <v>egy.distn.dpr.hou.1</v>
      </c>
      <c r="L120" s="202">
        <f>MMULT(INDEX(DLcat,MATCH($B120,DLcatKey,0),0),L$106:L$110)</f>
        <v>0.0</v>
      </c>
      <c r="M120" s="196">
        <f t="shared" ref="M120:V120" si="190">L120</f>
        <v>0.0</v>
      </c>
      <c r="N120" s="196">
        <f t="shared" si="190"/>
        <v>0.0</v>
      </c>
      <c r="O120" s="196">
        <f t="shared" si="190"/>
        <v>0.0</v>
      </c>
      <c r="P120" s="196">
        <f t="shared" si="190"/>
        <v>0.0</v>
      </c>
      <c r="Q120" s="196">
        <f t="shared" si="190"/>
        <v>0.0</v>
      </c>
      <c r="R120" s="196">
        <f t="shared" si="190"/>
        <v>0.0</v>
      </c>
      <c r="S120" s="196">
        <f t="shared" si="190"/>
        <v>0.0</v>
      </c>
      <c r="T120" s="196">
        <f t="shared" si="190"/>
        <v>0.0</v>
      </c>
      <c r="U120" s="196">
        <f t="shared" si="190"/>
        <v>0.0</v>
      </c>
      <c r="V120" s="196">
        <f t="shared" si="190"/>
        <v>0.0</v>
      </c>
      <c r="W120" s="201" t="str">
        <f>IF(X$5=K$5,SUM(Y120:AI120)-SUM(L120:V120),"")</f>
        <v/>
      </c>
      <c r="X120" s="9" t="str">
        <f>LOWER(CtryCode)&amp;".distn."&amp;$A120&amp;IF($B120="","","."&amp;$B120)&amp;IF($C120="","",".dec."&amp;$C120)&amp;"."&amp;X$5</f>
        <v>egy.distn.dpr.hou.2</v>
      </c>
      <c r="Y120" s="202">
        <f>MMULT(INDEX(DLcat,MATCH($B120,DLcatKey,0),0),Y$106:Y$110)</f>
        <v>0.0009487877532564947</v>
      </c>
      <c r="Z120" s="196">
        <f t="shared" ref="Z120:AI120" si="191">Y120</f>
        <v>0.0009487877532564947</v>
      </c>
      <c r="AA120" s="196">
        <f t="shared" si="191"/>
        <v>0.0009487877532564947</v>
      </c>
      <c r="AB120" s="196">
        <f t="shared" si="191"/>
        <v>0.0009487877532564947</v>
      </c>
      <c r="AC120" s="196">
        <f t="shared" si="191"/>
        <v>0.0009487877532564947</v>
      </c>
      <c r="AD120" s="196">
        <f t="shared" si="191"/>
        <v>0.0009487877532564947</v>
      </c>
      <c r="AE120" s="196">
        <f t="shared" si="191"/>
        <v>0.0009487877532564947</v>
      </c>
      <c r="AF120" s="196">
        <f t="shared" si="191"/>
        <v>0.0009487877532564947</v>
      </c>
      <c r="AG120" s="196">
        <f t="shared" si="191"/>
        <v>0.0009487877532564947</v>
      </c>
      <c r="AH120" s="196">
        <f t="shared" si="191"/>
        <v>0.0009487877532564947</v>
      </c>
      <c r="AI120" s="196">
        <f t="shared" si="191"/>
        <v>0.0009487877532564947</v>
      </c>
    </row>
    <row r="121" hidden="1" outlineLevel="1">
      <c r="A121" s="44" t="inlineStr">
        <is>
          <t>dpr</t>
        </is>
      </c>
      <c r="B121" s="3" t="inlineStr">
        <is>
          <t>oth</t>
        </is>
      </c>
      <c r="C121" s="3" t="inlineStr"/>
      <c r="D121" s="3" t="n"/>
      <c r="E121" s="3" t="n"/>
      <c r="H121" s="3" t="inlineStr">
        <is>
          <t>Other: price change</t>
        </is>
      </c>
      <c r="I121" s="3" t="inlineStr">
        <is>
          <t>fraction</t>
        </is>
      </c>
      <c r="J121" s="118" t="inlineStr">
        <is>
          <t>DistMapping, IO tables (legacy rows 668-736)</t>
        </is>
      </c>
      <c r="K121" s="9" t="str">
        <f>LOWER(CtryCode)&amp;".distn."&amp;$A121&amp;IF($B121="","","."&amp;$B121)&amp;IF($C121="","",".dec."&amp;$C121)&amp;"."&amp;K$5</f>
        <v>egy.distn.dpr.oth.1</v>
      </c>
      <c r="L121" s="202">
        <f>MMULT(INDEX(DLcat,MATCH($B121,DLcatKey,0),0),L$106:L$110)</f>
        <v>0.0</v>
      </c>
      <c r="M121" s="196">
        <f t="shared" ref="M121:V121" si="192">L121</f>
        <v>0.0</v>
      </c>
      <c r="N121" s="196">
        <f t="shared" si="192"/>
        <v>0.0</v>
      </c>
      <c r="O121" s="196">
        <f t="shared" si="192"/>
        <v>0.0</v>
      </c>
      <c r="P121" s="196">
        <f t="shared" si="192"/>
        <v>0.0</v>
      </c>
      <c r="Q121" s="196">
        <f t="shared" si="192"/>
        <v>0.0</v>
      </c>
      <c r="R121" s="196">
        <f t="shared" si="192"/>
        <v>0.0</v>
      </c>
      <c r="S121" s="196">
        <f t="shared" si="192"/>
        <v>0.0</v>
      </c>
      <c r="T121" s="196">
        <f t="shared" si="192"/>
        <v>0.0</v>
      </c>
      <c r="U121" s="196">
        <f t="shared" si="192"/>
        <v>0.0</v>
      </c>
      <c r="V121" s="196">
        <f t="shared" si="192"/>
        <v>0.0</v>
      </c>
      <c r="W121" s="201" t="str">
        <f>IF(X$5=K$5,SUM(Y121:AI121)-SUM(L121:V121),"")</f>
        <v/>
      </c>
      <c r="X121" s="9" t="str">
        <f>LOWER(CtryCode)&amp;".distn."&amp;$A121&amp;IF($B121="","","."&amp;$B121)&amp;IF($C121="","",".dec."&amp;$C121)&amp;"."&amp;X$5</f>
        <v>egy.distn.dpr.oth.2</v>
      </c>
      <c r="Y121" s="202">
        <f>MMULT(INDEX(DLcat,MATCH($B121,DLcatKey,0),0),Y$106:Y$110)</f>
        <v>0.000506127893458278</v>
      </c>
      <c r="Z121" s="196">
        <f t="shared" ref="Z121:AI121" si="193">Y121</f>
        <v>0.000506127893458278</v>
      </c>
      <c r="AA121" s="196">
        <f t="shared" si="193"/>
        <v>0.000506127893458278</v>
      </c>
      <c r="AB121" s="196">
        <f t="shared" si="193"/>
        <v>0.000506127893458278</v>
      </c>
      <c r="AC121" s="196">
        <f t="shared" si="193"/>
        <v>0.000506127893458278</v>
      </c>
      <c r="AD121" s="196">
        <f t="shared" si="193"/>
        <v>0.000506127893458278</v>
      </c>
      <c r="AE121" s="196">
        <f t="shared" si="193"/>
        <v>0.000506127893458278</v>
      </c>
      <c r="AF121" s="196">
        <f t="shared" si="193"/>
        <v>0.000506127893458278</v>
      </c>
      <c r="AG121" s="196">
        <f t="shared" si="193"/>
        <v>0.000506127893458278</v>
      </c>
      <c r="AH121" s="196">
        <f t="shared" si="193"/>
        <v>0.000506127893458278</v>
      </c>
      <c r="AI121" s="196">
        <f t="shared" si="193"/>
        <v>0.000506127893458278</v>
      </c>
    </row>
    <row r="122" hidden="1" outlineLevel="1">
      <c r="A122" s="44" t="inlineStr">
        <is>
          <t>dpr</t>
        </is>
      </c>
      <c r="B122" s="3" t="inlineStr">
        <is>
          <t>pap</t>
        </is>
      </c>
      <c r="C122" s="3" t="inlineStr"/>
      <c r="D122" s="3" t="n"/>
      <c r="E122" s="3" t="n"/>
      <c r="H122" s="3" t="inlineStr">
        <is>
          <t>Paper: price change</t>
        </is>
      </c>
      <c r="I122" s="3" t="inlineStr">
        <is>
          <t>fraction</t>
        </is>
      </c>
      <c r="J122" s="118" t="inlineStr">
        <is>
          <t>DistMapping, IO tables (legacy rows 668-736)</t>
        </is>
      </c>
      <c r="K122" s="9" t="str">
        <f>LOWER(CtryCode)&amp;".distn."&amp;$A122&amp;IF($B122="","","."&amp;$B122)&amp;IF($C122="","",".dec."&amp;$C122)&amp;"."&amp;K$5</f>
        <v>egy.distn.dpr.pap.1</v>
      </c>
      <c r="L122" s="202">
        <f>MMULT(INDEX(DLcat,MATCH($B122,DLcatKey,0),0),L$106:L$110)</f>
        <v>0.0</v>
      </c>
      <c r="M122" s="196">
        <f t="shared" ref="M122:V122" si="194">L122</f>
        <v>0.0</v>
      </c>
      <c r="N122" s="196">
        <f t="shared" si="194"/>
        <v>0.0</v>
      </c>
      <c r="O122" s="196">
        <f t="shared" si="194"/>
        <v>0.0</v>
      </c>
      <c r="P122" s="196">
        <f t="shared" si="194"/>
        <v>0.0</v>
      </c>
      <c r="Q122" s="196">
        <f t="shared" si="194"/>
        <v>0.0</v>
      </c>
      <c r="R122" s="196">
        <f t="shared" si="194"/>
        <v>0.0</v>
      </c>
      <c r="S122" s="196">
        <f t="shared" si="194"/>
        <v>0.0</v>
      </c>
      <c r="T122" s="196">
        <f t="shared" si="194"/>
        <v>0.0</v>
      </c>
      <c r="U122" s="196">
        <f t="shared" si="194"/>
        <v>0.0</v>
      </c>
      <c r="V122" s="196">
        <f t="shared" si="194"/>
        <v>0.0</v>
      </c>
      <c r="W122" s="201" t="str">
        <f>IF(X$5=K$5,SUM(Y122:AI122)-SUM(L122:V122),"")</f>
        <v/>
      </c>
      <c r="X122" s="9" t="str">
        <f>LOWER(CtryCode)&amp;".distn."&amp;$A122&amp;IF($B122="","","."&amp;$B122)&amp;IF($C122="","",".dec."&amp;$C122)&amp;"."&amp;X$5</f>
        <v>egy.distn.dpr.pap.2</v>
      </c>
      <c r="Y122" s="202">
        <f>MMULT(INDEX(DLcat,MATCH($B122,DLcatKey,0),0),Y$106:Y$110)</f>
        <v>0.0020276717007205285</v>
      </c>
      <c r="Z122" s="196">
        <f t="shared" ref="Z122:AI122" si="195">Y122</f>
        <v>0.0020276717007205285</v>
      </c>
      <c r="AA122" s="196">
        <f t="shared" si="195"/>
        <v>0.0020276717007205285</v>
      </c>
      <c r="AB122" s="196">
        <f t="shared" si="195"/>
        <v>0.0020276717007205285</v>
      </c>
      <c r="AC122" s="196">
        <f t="shared" si="195"/>
        <v>0.0020276717007205285</v>
      </c>
      <c r="AD122" s="196">
        <f t="shared" si="195"/>
        <v>0.0020276717007205285</v>
      </c>
      <c r="AE122" s="196">
        <f t="shared" si="195"/>
        <v>0.0020276717007205285</v>
      </c>
      <c r="AF122" s="196">
        <f t="shared" si="195"/>
        <v>0.0020276717007205285</v>
      </c>
      <c r="AG122" s="196">
        <f t="shared" si="195"/>
        <v>0.0020276717007205285</v>
      </c>
      <c r="AH122" s="196">
        <f t="shared" si="195"/>
        <v>0.0020276717007205285</v>
      </c>
      <c r="AI122" s="196">
        <f t="shared" si="195"/>
        <v>0.0020276717007205285</v>
      </c>
    </row>
    <row r="123" hidden="1" outlineLevel="1">
      <c r="A123" s="44" t="inlineStr">
        <is>
          <t>dpr</t>
        </is>
      </c>
      <c r="B123" s="3" t="inlineStr">
        <is>
          <t>pha</t>
        </is>
      </c>
      <c r="C123" s="3" t="inlineStr"/>
      <c r="D123" s="3" t="n"/>
      <c r="E123" s="3" t="n"/>
      <c r="H123" s="3" t="inlineStr">
        <is>
          <t>Pharmaceuticals: price change</t>
        </is>
      </c>
      <c r="I123" s="3" t="inlineStr">
        <is>
          <t>fraction</t>
        </is>
      </c>
      <c r="J123" s="118" t="inlineStr">
        <is>
          <t>DistMapping, IO tables (legacy rows 668-736)</t>
        </is>
      </c>
      <c r="K123" s="9" t="str">
        <f>LOWER(CtryCode)&amp;".distn."&amp;$A123&amp;IF($B123="","","."&amp;$B123)&amp;IF($C123="","",".dec."&amp;$C123)&amp;"."&amp;K$5</f>
        <v>egy.distn.dpr.pha.1</v>
      </c>
      <c r="L123" s="202">
        <f>MMULT(INDEX(DLcat,MATCH($B123,DLcatKey,0),0),L$106:L$110)</f>
        <v>0.0</v>
      </c>
      <c r="M123" s="196">
        <f t="shared" ref="M123:V123" si="196">L123</f>
        <v>0.0</v>
      </c>
      <c r="N123" s="196">
        <f t="shared" si="196"/>
        <v>0.0</v>
      </c>
      <c r="O123" s="196">
        <f t="shared" si="196"/>
        <v>0.0</v>
      </c>
      <c r="P123" s="196">
        <f t="shared" si="196"/>
        <v>0.0</v>
      </c>
      <c r="Q123" s="196">
        <f t="shared" si="196"/>
        <v>0.0</v>
      </c>
      <c r="R123" s="196">
        <f t="shared" si="196"/>
        <v>0.0</v>
      </c>
      <c r="S123" s="196">
        <f t="shared" si="196"/>
        <v>0.0</v>
      </c>
      <c r="T123" s="196">
        <f t="shared" si="196"/>
        <v>0.0</v>
      </c>
      <c r="U123" s="196">
        <f t="shared" si="196"/>
        <v>0.0</v>
      </c>
      <c r="V123" s="196">
        <f t="shared" si="196"/>
        <v>0.0</v>
      </c>
      <c r="W123" s="201" t="str">
        <f>IF(X$5=K$5,SUM(Y123:AI123)-SUM(L123:V123),"")</f>
        <v/>
      </c>
      <c r="X123" s="9" t="str">
        <f>LOWER(CtryCode)&amp;".distn."&amp;$A123&amp;IF($B123="","","."&amp;$B123)&amp;IF($C123="","",".dec."&amp;$C123)&amp;"."&amp;X$5</f>
        <v>egy.distn.dpr.pha.2</v>
      </c>
      <c r="Y123" s="202">
        <f>MMULT(INDEX(DLcat,MATCH($B123,DLcatKey,0),0),Y$106:Y$110)</f>
        <v>0.002203938616931878</v>
      </c>
      <c r="Z123" s="196">
        <f t="shared" ref="Z123:AI123" si="197">Y123</f>
        <v>0.002203938616931878</v>
      </c>
      <c r="AA123" s="196">
        <f t="shared" si="197"/>
        <v>0.002203938616931878</v>
      </c>
      <c r="AB123" s="196">
        <f t="shared" si="197"/>
        <v>0.002203938616931878</v>
      </c>
      <c r="AC123" s="196">
        <f t="shared" si="197"/>
        <v>0.002203938616931878</v>
      </c>
      <c r="AD123" s="196">
        <f t="shared" si="197"/>
        <v>0.002203938616931878</v>
      </c>
      <c r="AE123" s="196">
        <f t="shared" si="197"/>
        <v>0.002203938616931878</v>
      </c>
      <c r="AF123" s="196">
        <f t="shared" si="197"/>
        <v>0.002203938616931878</v>
      </c>
      <c r="AG123" s="196">
        <f t="shared" si="197"/>
        <v>0.002203938616931878</v>
      </c>
      <c r="AH123" s="196">
        <f t="shared" si="197"/>
        <v>0.002203938616931878</v>
      </c>
      <c r="AI123" s="196">
        <f t="shared" si="197"/>
        <v>0.002203938616931878</v>
      </c>
    </row>
    <row r="124" hidden="1" outlineLevel="1">
      <c r="A124" s="44" t="inlineStr">
        <is>
          <t>dpr</t>
        </is>
      </c>
      <c r="B124" s="3" t="inlineStr">
        <is>
          <t>ret</t>
        </is>
      </c>
      <c r="C124" s="3" t="inlineStr"/>
      <c r="D124" s="3" t="n"/>
      <c r="E124" s="3" t="n"/>
      <c r="H124" s="3" t="inlineStr">
        <is>
          <t>Recreation and tourism: price change</t>
        </is>
      </c>
      <c r="I124" s="3" t="inlineStr">
        <is>
          <t>fraction</t>
        </is>
      </c>
      <c r="J124" s="118" t="inlineStr">
        <is>
          <t>DistMapping, IO tables (legacy rows 668-736)</t>
        </is>
      </c>
      <c r="K124" s="9" t="str">
        <f>LOWER(CtryCode)&amp;".distn."&amp;$A124&amp;IF($B124="","","."&amp;$B124)&amp;IF($C124="","",".dec."&amp;$C124)&amp;"."&amp;K$5</f>
        <v>egy.distn.dpr.ret.1</v>
      </c>
      <c r="L124" s="202">
        <f>MMULT(INDEX(DLcat,MATCH($B124,DLcatKey,0),0),L$106:L$110)</f>
        <v>0.0</v>
      </c>
      <c r="M124" s="196">
        <f t="shared" ref="M124:V124" si="198">L124</f>
        <v>0.0</v>
      </c>
      <c r="N124" s="196">
        <f t="shared" si="198"/>
        <v>0.0</v>
      </c>
      <c r="O124" s="196">
        <f t="shared" si="198"/>
        <v>0.0</v>
      </c>
      <c r="P124" s="196">
        <f t="shared" si="198"/>
        <v>0.0</v>
      </c>
      <c r="Q124" s="196">
        <f t="shared" si="198"/>
        <v>0.0</v>
      </c>
      <c r="R124" s="196">
        <f t="shared" si="198"/>
        <v>0.0</v>
      </c>
      <c r="S124" s="196">
        <f t="shared" si="198"/>
        <v>0.0</v>
      </c>
      <c r="T124" s="196">
        <f t="shared" si="198"/>
        <v>0.0</v>
      </c>
      <c r="U124" s="196">
        <f t="shared" si="198"/>
        <v>0.0</v>
      </c>
      <c r="V124" s="196">
        <f t="shared" si="198"/>
        <v>0.0</v>
      </c>
      <c r="W124" s="201" t="str">
        <f>IF(X$5=K$5,SUM(Y124:AI124)-SUM(L124:V124),"")</f>
        <v/>
      </c>
      <c r="X124" s="9" t="str">
        <f>LOWER(CtryCode)&amp;".distn."&amp;$A124&amp;IF($B124="","","."&amp;$B124)&amp;IF($C124="","",".dec."&amp;$C124)&amp;"."&amp;X$5</f>
        <v>egy.distn.dpr.ret.2</v>
      </c>
      <c r="Y124" s="202">
        <f>MMULT(INDEX(DLcat,MATCH($B124,DLcatKey,0),0),Y$106:Y$110)</f>
        <v>0.0009120909234372004</v>
      </c>
      <c r="Z124" s="196">
        <f t="shared" ref="Z124:AI124" si="199">Y124</f>
        <v>0.0009120909234372004</v>
      </c>
      <c r="AA124" s="196">
        <f t="shared" si="199"/>
        <v>0.0009120909234372004</v>
      </c>
      <c r="AB124" s="196">
        <f t="shared" si="199"/>
        <v>0.0009120909234372004</v>
      </c>
      <c r="AC124" s="196">
        <f t="shared" si="199"/>
        <v>0.0009120909234372004</v>
      </c>
      <c r="AD124" s="196">
        <f t="shared" si="199"/>
        <v>0.0009120909234372004</v>
      </c>
      <c r="AE124" s="196">
        <f t="shared" si="199"/>
        <v>0.0009120909234372004</v>
      </c>
      <c r="AF124" s="196">
        <f t="shared" si="199"/>
        <v>0.0009120909234372004</v>
      </c>
      <c r="AG124" s="196">
        <f t="shared" si="199"/>
        <v>0.0009120909234372004</v>
      </c>
      <c r="AH124" s="196">
        <f t="shared" si="199"/>
        <v>0.0009120909234372004</v>
      </c>
      <c r="AI124" s="196">
        <f t="shared" si="199"/>
        <v>0.0009120909234372004</v>
      </c>
    </row>
    <row r="125" hidden="1" outlineLevel="1">
      <c r="A125" s="44" t="inlineStr">
        <is>
          <t>dpr</t>
        </is>
      </c>
      <c r="B125" s="3" t="inlineStr">
        <is>
          <t>teq</t>
        </is>
      </c>
      <c r="C125" s="3" t="inlineStr"/>
      <c r="D125" s="3" t="n"/>
      <c r="E125" s="3" t="n"/>
      <c r="H125" s="3" t="inlineStr">
        <is>
          <t>Transport equipment: price change</t>
        </is>
      </c>
      <c r="I125" s="3" t="inlineStr">
        <is>
          <t>fraction</t>
        </is>
      </c>
      <c r="J125" s="118" t="inlineStr">
        <is>
          <t>DistMapping, IO tables (legacy rows 668-736)</t>
        </is>
      </c>
      <c r="K125" s="9" t="str">
        <f>LOWER(CtryCode)&amp;".distn."&amp;$A125&amp;IF($B125="","","."&amp;$B125)&amp;IF($C125="","",".dec."&amp;$C125)&amp;"."&amp;K$5</f>
        <v>egy.distn.dpr.teq.1</v>
      </c>
      <c r="L125" s="202">
        <f>MMULT(INDEX(DLcat,MATCH($B125,DLcatKey,0),0),L$106:L$110)</f>
        <v>0.0</v>
      </c>
      <c r="M125" s="196">
        <f t="shared" ref="M125:V125" si="200">L125</f>
        <v>0.0</v>
      </c>
      <c r="N125" s="196">
        <f t="shared" si="200"/>
        <v>0.0</v>
      </c>
      <c r="O125" s="196">
        <f t="shared" si="200"/>
        <v>0.0</v>
      </c>
      <c r="P125" s="196">
        <f t="shared" si="200"/>
        <v>0.0</v>
      </c>
      <c r="Q125" s="196">
        <f t="shared" si="200"/>
        <v>0.0</v>
      </c>
      <c r="R125" s="196">
        <f t="shared" si="200"/>
        <v>0.0</v>
      </c>
      <c r="S125" s="196">
        <f t="shared" si="200"/>
        <v>0.0</v>
      </c>
      <c r="T125" s="196">
        <f t="shared" si="200"/>
        <v>0.0</v>
      </c>
      <c r="U125" s="196">
        <f t="shared" si="200"/>
        <v>0.0</v>
      </c>
      <c r="V125" s="196">
        <f t="shared" si="200"/>
        <v>0.0</v>
      </c>
      <c r="W125" s="201" t="str">
        <f>IF(X$5=K$5,SUM(Y125:AI125)-SUM(L125:V125),"")</f>
        <v/>
      </c>
      <c r="X125" s="9" t="str">
        <f>LOWER(CtryCode)&amp;".distn."&amp;$A125&amp;IF($B125="","","."&amp;$B125)&amp;IF($C125="","",".dec."&amp;$C125)&amp;"."&amp;X$5</f>
        <v>egy.distn.dpr.teq.2</v>
      </c>
      <c r="Y125" s="202">
        <f>MMULT(INDEX(DLcat,MATCH($B125,DLcatKey,0),0),Y$106:Y$110)</f>
        <v>0.001102212708014482</v>
      </c>
      <c r="Z125" s="196">
        <f t="shared" ref="Z125:AI125" si="201">Y125</f>
        <v>0.001102212708014482</v>
      </c>
      <c r="AA125" s="196">
        <f t="shared" si="201"/>
        <v>0.001102212708014482</v>
      </c>
      <c r="AB125" s="196">
        <f t="shared" si="201"/>
        <v>0.001102212708014482</v>
      </c>
      <c r="AC125" s="196">
        <f t="shared" si="201"/>
        <v>0.001102212708014482</v>
      </c>
      <c r="AD125" s="196">
        <f t="shared" si="201"/>
        <v>0.001102212708014482</v>
      </c>
      <c r="AE125" s="196">
        <f t="shared" si="201"/>
        <v>0.001102212708014482</v>
      </c>
      <c r="AF125" s="196">
        <f t="shared" si="201"/>
        <v>0.001102212708014482</v>
      </c>
      <c r="AG125" s="196">
        <f t="shared" si="201"/>
        <v>0.001102212708014482</v>
      </c>
      <c r="AH125" s="196">
        <f t="shared" si="201"/>
        <v>0.001102212708014482</v>
      </c>
      <c r="AI125" s="196">
        <f t="shared" si="201"/>
        <v>0.001102212708014482</v>
      </c>
    </row>
    <row r="126" hidden="1" outlineLevel="1">
      <c r="A126" s="44" t="inlineStr">
        <is>
          <t>dpr</t>
        </is>
      </c>
      <c r="B126" s="3" t="inlineStr">
        <is>
          <t>tpu</t>
        </is>
      </c>
      <c r="C126" s="3" t="inlineStr"/>
      <c r="D126" s="3" t="n"/>
      <c r="E126" s="3" t="n"/>
      <c r="H126" s="3" t="inlineStr">
        <is>
          <t>Public transport: price change</t>
        </is>
      </c>
      <c r="I126" s="3" t="inlineStr">
        <is>
          <t>fraction</t>
        </is>
      </c>
      <c r="J126" s="118" t="inlineStr">
        <is>
          <t>DistMapping, IO tables (legacy rows 668-736)</t>
        </is>
      </c>
      <c r="K126" s="9" t="str">
        <f>LOWER(CtryCode)&amp;".distn."&amp;$A126&amp;IF($B126="","","."&amp;$B126)&amp;IF($C126="","",".dec."&amp;$C126)&amp;"."&amp;K$5</f>
        <v>egy.distn.dpr.tpu.1</v>
      </c>
      <c r="L126" s="202">
        <f>MMULT(INDEX(DLcat,MATCH($B126,DLcatKey,0),0),L$106:L$110)</f>
        <v>0.0</v>
      </c>
      <c r="M126" s="196">
        <f t="shared" ref="M126:V126" si="202">L126</f>
        <v>0.0</v>
      </c>
      <c r="N126" s="196">
        <f t="shared" si="202"/>
        <v>0.0</v>
      </c>
      <c r="O126" s="196">
        <f t="shared" si="202"/>
        <v>0.0</v>
      </c>
      <c r="P126" s="196">
        <f t="shared" si="202"/>
        <v>0.0</v>
      </c>
      <c r="Q126" s="196">
        <f t="shared" si="202"/>
        <v>0.0</v>
      </c>
      <c r="R126" s="196">
        <f t="shared" si="202"/>
        <v>0.0</v>
      </c>
      <c r="S126" s="196">
        <f t="shared" si="202"/>
        <v>0.0</v>
      </c>
      <c r="T126" s="196">
        <f t="shared" si="202"/>
        <v>0.0</v>
      </c>
      <c r="U126" s="196">
        <f t="shared" si="202"/>
        <v>0.0</v>
      </c>
      <c r="V126" s="196">
        <f t="shared" si="202"/>
        <v>0.0</v>
      </c>
      <c r="W126" s="201" t="str">
        <f>IF(X$5=K$5,SUM(Y126:AI126)-SUM(L126:V126),"")</f>
        <v/>
      </c>
      <c r="X126" s="9" t="str">
        <f>LOWER(CtryCode)&amp;".distn."&amp;$A126&amp;IF($B126="","","."&amp;$B126)&amp;IF($C126="","",".dec."&amp;$C126)&amp;"."&amp;X$5</f>
        <v>egy.distn.dpr.tpu.2</v>
      </c>
      <c r="Y126" s="202">
        <f>MMULT(INDEX(DLcat,MATCH($B126,DLcatKey,0),0),Y$106:Y$110)</f>
        <v>0.005194656622105896</v>
      </c>
      <c r="Z126" s="196">
        <f t="shared" ref="Z126:AI126" si="203">Y126</f>
        <v>0.005194656622105896</v>
      </c>
      <c r="AA126" s="196">
        <f t="shared" si="203"/>
        <v>0.005194656622105896</v>
      </c>
      <c r="AB126" s="196">
        <f t="shared" si="203"/>
        <v>0.005194656622105896</v>
      </c>
      <c r="AC126" s="196">
        <f t="shared" si="203"/>
        <v>0.005194656622105896</v>
      </c>
      <c r="AD126" s="196">
        <f t="shared" si="203"/>
        <v>0.005194656622105896</v>
      </c>
      <c r="AE126" s="196">
        <f t="shared" si="203"/>
        <v>0.005194656622105896</v>
      </c>
      <c r="AF126" s="196">
        <f t="shared" si="203"/>
        <v>0.005194656622105896</v>
      </c>
      <c r="AG126" s="196">
        <f t="shared" si="203"/>
        <v>0.005194656622105896</v>
      </c>
      <c r="AH126" s="196">
        <f t="shared" si="203"/>
        <v>0.005194656622105896</v>
      </c>
      <c r="AI126" s="196">
        <f t="shared" si="203"/>
        <v>0.005194656622105896</v>
      </c>
    </row>
    <row r="127" hidden="1" outlineLevel="1"/>
    <row r="128" collapsed="1">
      <c r="A128" s="44" t="inlineStr">
        <is>
          <t>dprw</t>
        </is>
      </c>
      <c r="B128" s="3" t="inlineStr">
        <is>
          <t>cat</t>
        </is>
      </c>
      <c r="C128" s="3" t="inlineStr">
        <is>
          <t>ove</t>
        </is>
      </c>
      <c r="D128" s="3" t="n"/>
      <c r="E128" s="3" t="n"/>
      <c r="H128" s="6" t="inlineStr">
        <is>
          <t>Consumption categories: average price change, weighted by the budget shares (overall)</t>
        </is>
      </c>
      <c r="I128" s="3" t="inlineStr">
        <is>
          <t>fraction</t>
        </is>
      </c>
      <c r="J128" s="118" t="inlineStr">
        <is>
          <t>Budget shares: section 5</t>
        </is>
      </c>
      <c r="K128" s="9" t="str">
        <f>LOWER(CtryCode)&amp;".distn."&amp;$A128&amp;IF($B128="","","."&amp;$B128)&amp;IF($C128="","",".dec."&amp;$C128)&amp;"."&amp;K$5</f>
        <v>egy.distn.dprw.cat.dec.ove.1</v>
      </c>
      <c r="L128" s="209">
        <f t="shared" ref="L128:V128" si="204">IFERROR(SUMPRODUCT(L113:L126,L193:L206)/SUM(L193:L206),0)</f>
        <v>0.0</v>
      </c>
      <c r="M128" s="210">
        <f t="shared" si="204"/>
        <v>0.0</v>
      </c>
      <c r="N128" s="210">
        <f t="shared" si="204"/>
        <v>0.0</v>
      </c>
      <c r="O128" s="210">
        <f t="shared" si="204"/>
        <v>0.0</v>
      </c>
      <c r="P128" s="210">
        <f t="shared" si="204"/>
        <v>0.0</v>
      </c>
      <c r="Q128" s="210">
        <f t="shared" si="204"/>
        <v>0.0</v>
      </c>
      <c r="R128" s="210">
        <f t="shared" si="204"/>
        <v>0.0</v>
      </c>
      <c r="S128" s="210">
        <f t="shared" si="204"/>
        <v>0.0</v>
      </c>
      <c r="T128" s="210">
        <f t="shared" si="204"/>
        <v>0.0</v>
      </c>
      <c r="U128" s="210">
        <f t="shared" si="204"/>
        <v>0.0</v>
      </c>
      <c r="V128" s="210">
        <f t="shared" si="204"/>
        <v>0.0</v>
      </c>
      <c r="W128" s="201" t="str">
        <f>IF(X$5=K$5,SUM(Y128:AI128)-SUM(L128:V128),"")</f>
        <v/>
      </c>
      <c r="X128" s="9" t="str">
        <f>LOWER(CtryCode)&amp;".distn."&amp;$A128&amp;IF($B128="","","."&amp;$B128)&amp;IF($C128="","",".dec."&amp;$C128)&amp;"."&amp;X$5</f>
        <v>egy.distn.dprw.cat.dec.ove.2</v>
      </c>
      <c r="Y128" s="209">
        <f t="shared" ref="Y128:AI128" si="205">IFERROR(SUMPRODUCT(Y113:Y126,Y193:Y206)/SUM(Y193:Y206),0)</f>
        <v>0.0015894222609973718</v>
      </c>
      <c r="Z128" s="210">
        <f t="shared" si="205"/>
        <v>0.0016108832819309853</v>
      </c>
      <c r="AA128" s="210">
        <f t="shared" si="205"/>
        <v>0.0015513951034910566</v>
      </c>
      <c r="AB128" s="210">
        <f t="shared" si="205"/>
        <v>0.0015487636471608448</v>
      </c>
      <c r="AC128" s="210">
        <f t="shared" si="205"/>
        <v>0.0015560921174538672</v>
      </c>
      <c r="AD128" s="210">
        <f t="shared" si="205"/>
        <v>0.0015684784606671354</v>
      </c>
      <c r="AE128" s="210">
        <f t="shared" si="205"/>
        <v>0.0015557932627590224</v>
      </c>
      <c r="AF128" s="210">
        <f t="shared" si="205"/>
        <v>0.0015901090446209692</v>
      </c>
      <c r="AG128" s="210">
        <f t="shared" si="205"/>
        <v>0.0015891765119005106</v>
      </c>
      <c r="AH128" s="210">
        <f t="shared" si="205"/>
        <v>0.001568045481177241</v>
      </c>
      <c r="AI128" s="210">
        <f t="shared" si="205"/>
        <v>0.0015828148174632161</v>
      </c>
    </row>
    <row r="129"/>
    <row r="130">
      <c r="A130" s="36" t="inlineStr">
        <is>
          <t>4</t>
        </is>
      </c>
      <c r="B130" s="37" t="inlineStr">
        <is>
          <t>Price factors: elasticity adjustment and exemption (legacy C.II)</t>
        </is>
      </c>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row>
    <row r="131" hidden="1" outlineLevel="1"/>
    <row r="132" hidden="1" outlineLevel="1">
      <c r="B132" s="31" t="inlineStr">
        <is>
          <t>Own-price elasticities (HH_Elast, overall, mean)</t>
        </is>
      </c>
    </row>
    <row r="133" hidden="1" outlineLevel="1">
      <c r="A133" s="44" t="inlineStr">
        <is>
          <t>eps</t>
        </is>
      </c>
      <c r="B133" s="3" t="inlineStr">
        <is>
          <t>coa</t>
        </is>
      </c>
      <c r="C133" s="3" t="inlineStr"/>
      <c r="D133" s="3" t="inlineStr">
        <is>
          <t>coa_elasticity</t>
        </is>
      </c>
      <c r="E133" s="3" t="n"/>
      <c r="H133" s="3" t="inlineStr">
        <is>
          <t>Coal: own-price elasticity</t>
        </is>
      </c>
      <c r="I133" s="3" t="inlineStr">
        <is>
          <t>elasticity</t>
        </is>
      </c>
      <c r="J133" s="118" t="inlineStr">
        <is>
          <t>HH_Elast</t>
        </is>
      </c>
      <c r="K133" s="9" t="str">
        <f>LOWER(CtryCode)&amp;".distn."&amp;$A133&amp;IF($B133="","","."&amp;$B133)&amp;IF($C133="","",".dec."&amp;$C133)&amp;"."&amp;K$5</f>
        <v>egy.distn.eps.coa.1</v>
      </c>
      <c r="L133" s="202">
        <f t="shared" ref="L133:V133" si="206">INDEX(DElVal,MATCH(CtryCode&amp;".distn."&amp;L$10&amp;"ove.mean"&amp;L$11,DElKey,0),MATCH($D133,DElVar,0))</f>
        <v>-0.7859903573989868</v>
      </c>
      <c r="M133" s="196">
        <f t="shared" si="206"/>
        <v>-0.790256917476654</v>
      </c>
      <c r="N133" s="196">
        <f t="shared" si="206"/>
        <v>-0.790256917476654</v>
      </c>
      <c r="O133" s="196">
        <f t="shared" si="206"/>
        <v>-0.790256917476654</v>
      </c>
      <c r="P133" s="196">
        <f t="shared" si="206"/>
        <v>-0.7839999794960022</v>
      </c>
      <c r="Q133" s="196">
        <f t="shared" si="206"/>
        <v>-0.7839999794960022</v>
      </c>
      <c r="R133" s="196">
        <f t="shared" si="206"/>
        <v>-0.7839999794960022</v>
      </c>
      <c r="S133" s="196">
        <f t="shared" si="206"/>
        <v>-0.7839999794960022</v>
      </c>
      <c r="T133" s="196">
        <f t="shared" si="206"/>
        <v>-0.7843776941299438</v>
      </c>
      <c r="U133" s="196">
        <f t="shared" si="206"/>
        <v>-0.7843776941299438</v>
      </c>
      <c r="V133" s="196">
        <f t="shared" si="206"/>
        <v>-0.7843776941299438</v>
      </c>
      <c r="W133" s="201" t="str">
        <f>IF(X$5=K$5,SUM(Y133:AI133)-SUM(L133:V133),"")</f>
        <v/>
      </c>
      <c r="X133" s="9" t="str">
        <f>LOWER(CtryCode)&amp;".distn."&amp;$A133&amp;IF($B133="","","."&amp;$B133)&amp;IF($C133="","",".dec."&amp;$C133)&amp;"."&amp;X$5</f>
        <v>egy.distn.eps.coa.2</v>
      </c>
      <c r="Y133" s="202">
        <f t="shared" ref="Y133:AI133" si="207">INDEX(DElVal,MATCH(CtryCode&amp;".distn."&amp;Y$10&amp;"ove.mean"&amp;Y$11,DElKey,0),MATCH($D133,DElVar,0))</f>
        <v>-0.7859903573989868</v>
      </c>
      <c r="Z133" s="196">
        <f t="shared" si="207"/>
        <v>-0.790256917476654</v>
      </c>
      <c r="AA133" s="196">
        <f t="shared" si="207"/>
        <v>-0.790256917476654</v>
      </c>
      <c r="AB133" s="196">
        <f t="shared" si="207"/>
        <v>-0.790256917476654</v>
      </c>
      <c r="AC133" s="196">
        <f t="shared" si="207"/>
        <v>-0.7839999794960022</v>
      </c>
      <c r="AD133" s="196">
        <f t="shared" si="207"/>
        <v>-0.7839999794960022</v>
      </c>
      <c r="AE133" s="196">
        <f t="shared" si="207"/>
        <v>-0.7839999794960022</v>
      </c>
      <c r="AF133" s="196">
        <f t="shared" si="207"/>
        <v>-0.7839999794960022</v>
      </c>
      <c r="AG133" s="196">
        <f t="shared" si="207"/>
        <v>-0.7843776941299438</v>
      </c>
      <c r="AH133" s="196">
        <f t="shared" si="207"/>
        <v>-0.7843776941299438</v>
      </c>
      <c r="AI133" s="196">
        <f t="shared" si="207"/>
        <v>-0.7843776941299438</v>
      </c>
    </row>
    <row r="134" hidden="1" outlineLevel="1">
      <c r="A134" s="44" t="inlineStr">
        <is>
          <t>eps</t>
        </is>
      </c>
      <c r="B134" s="3" t="inlineStr">
        <is>
          <t>ely</t>
        </is>
      </c>
      <c r="C134" s="3" t="inlineStr"/>
      <c r="D134" s="3" t="inlineStr">
        <is>
          <t>ely_elasticity</t>
        </is>
      </c>
      <c r="E134" s="3" t="n"/>
      <c r="H134" s="3" t="inlineStr">
        <is>
          <t>Electricity: own-price elasticity</t>
        </is>
      </c>
      <c r="I134" s="3" t="inlineStr">
        <is>
          <t>elasticity</t>
        </is>
      </c>
      <c r="J134" s="118" t="inlineStr">
        <is>
          <t>HH_Elast</t>
        </is>
      </c>
      <c r="K134" s="9" t="str">
        <f>LOWER(CtryCode)&amp;".distn."&amp;$A134&amp;IF($B134="","","."&amp;$B134)&amp;IF($C134="","",".dec."&amp;$C134)&amp;"."&amp;K$5</f>
        <v>egy.distn.eps.ely.1</v>
      </c>
      <c r="L134" s="202">
        <f t="shared" ref="L134:V134" si="208">INDEX(DElVal,MATCH(CtryCode&amp;".distn."&amp;L$10&amp;"ove.mean"&amp;L$11,DElKey,0),MATCH($D134,DElVar,0))</f>
        <v>-0.7859903573989868</v>
      </c>
      <c r="M134" s="196">
        <f t="shared" si="208"/>
        <v>-0.790256917476654</v>
      </c>
      <c r="N134" s="196">
        <f t="shared" si="208"/>
        <v>-0.790256917476654</v>
      </c>
      <c r="O134" s="196">
        <f t="shared" si="208"/>
        <v>-0.790256917476654</v>
      </c>
      <c r="P134" s="196">
        <f t="shared" si="208"/>
        <v>-0.7839999794960022</v>
      </c>
      <c r="Q134" s="196">
        <f t="shared" si="208"/>
        <v>-0.7839999794960022</v>
      </c>
      <c r="R134" s="196">
        <f t="shared" si="208"/>
        <v>-0.7839999794960022</v>
      </c>
      <c r="S134" s="196">
        <f t="shared" si="208"/>
        <v>-0.7839999794960022</v>
      </c>
      <c r="T134" s="196">
        <f t="shared" si="208"/>
        <v>-0.7843776941299438</v>
      </c>
      <c r="U134" s="196">
        <f t="shared" si="208"/>
        <v>-0.7843776941299438</v>
      </c>
      <c r="V134" s="196">
        <f t="shared" si="208"/>
        <v>-0.7843776941299438</v>
      </c>
      <c r="W134" s="201" t="str">
        <f>IF(X$5=K$5,SUM(Y134:AI134)-SUM(L134:V134),"")</f>
        <v/>
      </c>
      <c r="X134" s="9" t="str">
        <f>LOWER(CtryCode)&amp;".distn."&amp;$A134&amp;IF($B134="","","."&amp;$B134)&amp;IF($C134="","",".dec."&amp;$C134)&amp;"."&amp;X$5</f>
        <v>egy.distn.eps.ely.2</v>
      </c>
      <c r="Y134" s="202">
        <f t="shared" ref="Y134:AI134" si="209">INDEX(DElVal,MATCH(CtryCode&amp;".distn."&amp;Y$10&amp;"ove.mean"&amp;Y$11,DElKey,0),MATCH($D134,DElVar,0))</f>
        <v>-0.7859903573989868</v>
      </c>
      <c r="Z134" s="196">
        <f t="shared" si="209"/>
        <v>-0.790256917476654</v>
      </c>
      <c r="AA134" s="196">
        <f t="shared" si="209"/>
        <v>-0.790256917476654</v>
      </c>
      <c r="AB134" s="196">
        <f t="shared" si="209"/>
        <v>-0.790256917476654</v>
      </c>
      <c r="AC134" s="196">
        <f t="shared" si="209"/>
        <v>-0.7839999794960022</v>
      </c>
      <c r="AD134" s="196">
        <f t="shared" si="209"/>
        <v>-0.7839999794960022</v>
      </c>
      <c r="AE134" s="196">
        <f t="shared" si="209"/>
        <v>-0.7839999794960022</v>
      </c>
      <c r="AF134" s="196">
        <f t="shared" si="209"/>
        <v>-0.7839999794960022</v>
      </c>
      <c r="AG134" s="196">
        <f t="shared" si="209"/>
        <v>-0.7843776941299438</v>
      </c>
      <c r="AH134" s="196">
        <f t="shared" si="209"/>
        <v>-0.7843776941299438</v>
      </c>
      <c r="AI134" s="196">
        <f t="shared" si="209"/>
        <v>-0.7843776941299438</v>
      </c>
    </row>
    <row r="135" hidden="1" outlineLevel="1">
      <c r="A135" s="44" t="inlineStr">
        <is>
          <t>eps</t>
        </is>
      </c>
      <c r="B135" s="3" t="inlineStr">
        <is>
          <t>nga</t>
        </is>
      </c>
      <c r="C135" s="3" t="inlineStr"/>
      <c r="D135" s="3" t="inlineStr">
        <is>
          <t>nga_elasticity</t>
        </is>
      </c>
      <c r="E135" s="3" t="n"/>
      <c r="H135" s="3" t="inlineStr">
        <is>
          <t>Natural gas: own-price elasticity</t>
        </is>
      </c>
      <c r="I135" s="3" t="inlineStr">
        <is>
          <t>elasticity</t>
        </is>
      </c>
      <c r="J135" s="118" t="inlineStr">
        <is>
          <t>HH_Elast</t>
        </is>
      </c>
      <c r="K135" s="9" t="str">
        <f>LOWER(CtryCode)&amp;".distn."&amp;$A135&amp;IF($B135="","","."&amp;$B135)&amp;IF($C135="","",".dec."&amp;$C135)&amp;"."&amp;K$5</f>
        <v>egy.distn.eps.nga.1</v>
      </c>
      <c r="L135" s="202">
        <f t="shared" ref="L135:V135" si="210">INDEX(DElVal,MATCH(CtryCode&amp;".distn."&amp;L$10&amp;"ove.mean"&amp;L$11,DElKey,0),MATCH($D135,DElVar,0))</f>
        <v>-0.7859903573989868</v>
      </c>
      <c r="M135" s="196">
        <f t="shared" si="210"/>
        <v>-0.790256917476654</v>
      </c>
      <c r="N135" s="196">
        <f t="shared" si="210"/>
        <v>-0.790256917476654</v>
      </c>
      <c r="O135" s="196">
        <f t="shared" si="210"/>
        <v>-0.790256917476654</v>
      </c>
      <c r="P135" s="196">
        <f t="shared" si="210"/>
        <v>-0.7839999794960022</v>
      </c>
      <c r="Q135" s="196">
        <f t="shared" si="210"/>
        <v>-0.7839999794960022</v>
      </c>
      <c r="R135" s="196">
        <f t="shared" si="210"/>
        <v>-0.7839999794960022</v>
      </c>
      <c r="S135" s="196">
        <f t="shared" si="210"/>
        <v>-0.7839999794960022</v>
      </c>
      <c r="T135" s="196">
        <f t="shared" si="210"/>
        <v>-0.7843776941299438</v>
      </c>
      <c r="U135" s="196">
        <f t="shared" si="210"/>
        <v>-0.7843776941299438</v>
      </c>
      <c r="V135" s="196">
        <f t="shared" si="210"/>
        <v>-0.7843776941299438</v>
      </c>
      <c r="W135" s="201" t="str">
        <f>IF(X$5=K$5,SUM(Y135:AI135)-SUM(L135:V135),"")</f>
        <v/>
      </c>
      <c r="X135" s="9" t="str">
        <f>LOWER(CtryCode)&amp;".distn."&amp;$A135&amp;IF($B135="","","."&amp;$B135)&amp;IF($C135="","",".dec."&amp;$C135)&amp;"."&amp;X$5</f>
        <v>egy.distn.eps.nga.2</v>
      </c>
      <c r="Y135" s="202">
        <f t="shared" ref="Y135:AI135" si="211">INDEX(DElVal,MATCH(CtryCode&amp;".distn."&amp;Y$10&amp;"ove.mean"&amp;Y$11,DElKey,0),MATCH($D135,DElVar,0))</f>
        <v>-0.7859903573989868</v>
      </c>
      <c r="Z135" s="196">
        <f t="shared" si="211"/>
        <v>-0.790256917476654</v>
      </c>
      <c r="AA135" s="196">
        <f t="shared" si="211"/>
        <v>-0.790256917476654</v>
      </c>
      <c r="AB135" s="196">
        <f t="shared" si="211"/>
        <v>-0.790256917476654</v>
      </c>
      <c r="AC135" s="196">
        <f t="shared" si="211"/>
        <v>-0.7839999794960022</v>
      </c>
      <c r="AD135" s="196">
        <f t="shared" si="211"/>
        <v>-0.7839999794960022</v>
      </c>
      <c r="AE135" s="196">
        <f t="shared" si="211"/>
        <v>-0.7839999794960022</v>
      </c>
      <c r="AF135" s="196">
        <f t="shared" si="211"/>
        <v>-0.7839999794960022</v>
      </c>
      <c r="AG135" s="196">
        <f t="shared" si="211"/>
        <v>-0.7843776941299438</v>
      </c>
      <c r="AH135" s="196">
        <f t="shared" si="211"/>
        <v>-0.7843776941299438</v>
      </c>
      <c r="AI135" s="196">
        <f t="shared" si="211"/>
        <v>-0.7843776941299438</v>
      </c>
    </row>
    <row r="136" hidden="1" outlineLevel="1">
      <c r="A136" s="44" t="inlineStr">
        <is>
          <t>eps</t>
        </is>
      </c>
      <c r="B136" s="3" t="inlineStr">
        <is>
          <t>oil</t>
        </is>
      </c>
      <c r="C136" s="3" t="inlineStr"/>
      <c r="D136" s="3" t="inlineStr">
        <is>
          <t>oil_elasticity</t>
        </is>
      </c>
      <c r="E136" s="3" t="n"/>
      <c r="H136" s="3" t="inlineStr">
        <is>
          <t>Other oil products: own-price elasticity</t>
        </is>
      </c>
      <c r="I136" s="3" t="inlineStr">
        <is>
          <t>elasticity</t>
        </is>
      </c>
      <c r="J136" s="118" t="inlineStr">
        <is>
          <t>HH_Elast</t>
        </is>
      </c>
      <c r="K136" s="9" t="str">
        <f>LOWER(CtryCode)&amp;".distn."&amp;$A136&amp;IF($B136="","","."&amp;$B136)&amp;IF($C136="","",".dec."&amp;$C136)&amp;"."&amp;K$5</f>
        <v>egy.distn.eps.oil.1</v>
      </c>
      <c r="L136" s="202">
        <f t="shared" ref="L136:V136" si="212">INDEX(DElVal,MATCH(CtryCode&amp;".distn."&amp;L$10&amp;"ove.mean"&amp;L$11,DElKey,0),MATCH($D136,DElVar,0))</f>
        <v>-0.7859903573989868</v>
      </c>
      <c r="M136" s="196">
        <f t="shared" si="212"/>
        <v>-0.790256917476654</v>
      </c>
      <c r="N136" s="196">
        <f t="shared" si="212"/>
        <v>-0.790256917476654</v>
      </c>
      <c r="O136" s="196">
        <f t="shared" si="212"/>
        <v>-0.790256917476654</v>
      </c>
      <c r="P136" s="196">
        <f t="shared" si="212"/>
        <v>-0.7839999794960022</v>
      </c>
      <c r="Q136" s="196">
        <f t="shared" si="212"/>
        <v>-0.7839999794960022</v>
      </c>
      <c r="R136" s="196">
        <f t="shared" si="212"/>
        <v>-0.7839999794960022</v>
      </c>
      <c r="S136" s="196">
        <f t="shared" si="212"/>
        <v>-0.7839999794960022</v>
      </c>
      <c r="T136" s="196">
        <f t="shared" si="212"/>
        <v>-0.7843776941299438</v>
      </c>
      <c r="U136" s="196">
        <f t="shared" si="212"/>
        <v>-0.7843776941299438</v>
      </c>
      <c r="V136" s="196">
        <f t="shared" si="212"/>
        <v>-0.7843776941299438</v>
      </c>
      <c r="W136" s="201" t="str">
        <f>IF(X$5=K$5,SUM(Y136:AI136)-SUM(L136:V136),"")</f>
        <v/>
      </c>
      <c r="X136" s="9" t="str">
        <f>LOWER(CtryCode)&amp;".distn."&amp;$A136&amp;IF($B136="","","."&amp;$B136)&amp;IF($C136="","",".dec."&amp;$C136)&amp;"."&amp;X$5</f>
        <v>egy.distn.eps.oil.2</v>
      </c>
      <c r="Y136" s="202">
        <f t="shared" ref="Y136:AI136" si="213">INDEX(DElVal,MATCH(CtryCode&amp;".distn."&amp;Y$10&amp;"ove.mean"&amp;Y$11,DElKey,0),MATCH($D136,DElVar,0))</f>
        <v>-0.7859903573989868</v>
      </c>
      <c r="Z136" s="196">
        <f t="shared" si="213"/>
        <v>-0.790256917476654</v>
      </c>
      <c r="AA136" s="196">
        <f t="shared" si="213"/>
        <v>-0.790256917476654</v>
      </c>
      <c r="AB136" s="196">
        <f t="shared" si="213"/>
        <v>-0.790256917476654</v>
      </c>
      <c r="AC136" s="196">
        <f t="shared" si="213"/>
        <v>-0.7839999794960022</v>
      </c>
      <c r="AD136" s="196">
        <f t="shared" si="213"/>
        <v>-0.7839999794960022</v>
      </c>
      <c r="AE136" s="196">
        <f t="shared" si="213"/>
        <v>-0.7839999794960022</v>
      </c>
      <c r="AF136" s="196">
        <f t="shared" si="213"/>
        <v>-0.7839999794960022</v>
      </c>
      <c r="AG136" s="196">
        <f t="shared" si="213"/>
        <v>-0.7843776941299438</v>
      </c>
      <c r="AH136" s="196">
        <f t="shared" si="213"/>
        <v>-0.7843776941299438</v>
      </c>
      <c r="AI136" s="196">
        <f t="shared" si="213"/>
        <v>-0.7843776941299438</v>
      </c>
    </row>
    <row r="137" hidden="1" outlineLevel="1">
      <c r="A137" s="44" t="inlineStr">
        <is>
          <t>eps</t>
        </is>
      </c>
      <c r="B137" s="3" t="inlineStr">
        <is>
          <t>gso</t>
        </is>
      </c>
      <c r="C137" s="3" t="inlineStr"/>
      <c r="D137" s="3" t="inlineStr">
        <is>
          <t>gso_elasticity</t>
        </is>
      </c>
      <c r="E137" s="3" t="n"/>
      <c r="H137" s="3" t="inlineStr">
        <is>
          <t>Gasoline: own-price elasticity</t>
        </is>
      </c>
      <c r="I137" s="3" t="inlineStr">
        <is>
          <t>elasticity</t>
        </is>
      </c>
      <c r="J137" s="118" t="inlineStr">
        <is>
          <t>HH_Elast</t>
        </is>
      </c>
      <c r="K137" s="9" t="str">
        <f>LOWER(CtryCode)&amp;".distn."&amp;$A137&amp;IF($B137="","","."&amp;$B137)&amp;IF($C137="","",".dec."&amp;$C137)&amp;"."&amp;K$5</f>
        <v>egy.distn.eps.gso.1</v>
      </c>
      <c r="L137" s="202">
        <f t="shared" ref="L137:V137" si="214">INDEX(DElVal,MATCH(CtryCode&amp;".distn."&amp;L$10&amp;"ove.mean"&amp;L$11,DElKey,0),MATCH($D137,DElVar,0))</f>
        <v>-0.8737958073616028</v>
      </c>
      <c r="M137" s="196">
        <f t="shared" si="214"/>
        <v>-0.9036660194396973</v>
      </c>
      <c r="N137" s="196">
        <f t="shared" si="214"/>
        <v>-0.9036660194396973</v>
      </c>
      <c r="O137" s="196">
        <f t="shared" si="214"/>
        <v>-0.9036660194396973</v>
      </c>
      <c r="P137" s="196">
        <f t="shared" si="214"/>
        <v>-0.8600000143051147</v>
      </c>
      <c r="Q137" s="196">
        <f t="shared" si="214"/>
        <v>-0.8600000143051147</v>
      </c>
      <c r="R137" s="196">
        <f t="shared" si="214"/>
        <v>-0.8600000143051147</v>
      </c>
      <c r="S137" s="196">
        <f t="shared" si="214"/>
        <v>-0.8600000143051147</v>
      </c>
      <c r="T137" s="196">
        <f t="shared" si="214"/>
        <v>-0.8623199462890625</v>
      </c>
      <c r="U137" s="196">
        <f t="shared" si="214"/>
        <v>-0.8623199462890625</v>
      </c>
      <c r="V137" s="196">
        <f t="shared" si="214"/>
        <v>-0.8623199462890625</v>
      </c>
      <c r="W137" s="201" t="str">
        <f>IF(X$5=K$5,SUM(Y137:AI137)-SUM(L137:V137),"")</f>
        <v/>
      </c>
      <c r="X137" s="9" t="str">
        <f>LOWER(CtryCode)&amp;".distn."&amp;$A137&amp;IF($B137="","","."&amp;$B137)&amp;IF($C137="","",".dec."&amp;$C137)&amp;"."&amp;X$5</f>
        <v>egy.distn.eps.gso.2</v>
      </c>
      <c r="Y137" s="202">
        <f t="shared" ref="Y137:AI137" si="215">INDEX(DElVal,MATCH(CtryCode&amp;".distn."&amp;Y$10&amp;"ove.mean"&amp;Y$11,DElKey,0),MATCH($D137,DElVar,0))</f>
        <v>-0.8737958073616028</v>
      </c>
      <c r="Z137" s="196">
        <f t="shared" si="215"/>
        <v>-0.9036660194396973</v>
      </c>
      <c r="AA137" s="196">
        <f t="shared" si="215"/>
        <v>-0.9036660194396973</v>
      </c>
      <c r="AB137" s="196">
        <f t="shared" si="215"/>
        <v>-0.9036660194396973</v>
      </c>
      <c r="AC137" s="196">
        <f t="shared" si="215"/>
        <v>-0.8600000143051147</v>
      </c>
      <c r="AD137" s="196">
        <f t="shared" si="215"/>
        <v>-0.8600000143051147</v>
      </c>
      <c r="AE137" s="196">
        <f t="shared" si="215"/>
        <v>-0.8600000143051147</v>
      </c>
      <c r="AF137" s="196">
        <f t="shared" si="215"/>
        <v>-0.8600000143051147</v>
      </c>
      <c r="AG137" s="196">
        <f t="shared" si="215"/>
        <v>-0.8623199462890625</v>
      </c>
      <c r="AH137" s="196">
        <f t="shared" si="215"/>
        <v>-0.8623199462890625</v>
      </c>
      <c r="AI137" s="196">
        <f t="shared" si="215"/>
        <v>-0.8623199462890625</v>
      </c>
    </row>
    <row r="138" hidden="1" outlineLevel="1">
      <c r="A138" s="44" t="inlineStr">
        <is>
          <t>eps</t>
        </is>
      </c>
      <c r="B138" s="3" t="inlineStr">
        <is>
          <t>die</t>
        </is>
      </c>
      <c r="C138" s="3" t="inlineStr"/>
      <c r="D138" s="3" t="inlineStr">
        <is>
          <t>die_elasticity</t>
        </is>
      </c>
      <c r="E138" s="3" t="n"/>
      <c r="H138" s="3" t="inlineStr">
        <is>
          <t>Diesel: own-price elasticity</t>
        </is>
      </c>
      <c r="I138" s="3" t="inlineStr">
        <is>
          <t>elasticity</t>
        </is>
      </c>
      <c r="J138" s="118" t="inlineStr">
        <is>
          <t>HH_Elast</t>
        </is>
      </c>
      <c r="K138" s="9" t="str">
        <f>LOWER(CtryCode)&amp;".distn."&amp;$A138&amp;IF($B138="","","."&amp;$B138)&amp;IF($C138="","",".dec."&amp;$C138)&amp;"."&amp;K$5</f>
        <v>egy.distn.eps.die.1</v>
      </c>
      <c r="L138" s="202">
        <f t="shared" ref="L138:V138" si="216">INDEX(DElVal,MATCH(CtryCode&amp;".distn."&amp;L$10&amp;"ove.mean"&amp;L$11,DElKey,0),MATCH($D138,DElVar,0))</f>
        <v>-0.8737958073616028</v>
      </c>
      <c r="M138" s="196">
        <f t="shared" si="216"/>
        <v>-0.9036660194396973</v>
      </c>
      <c r="N138" s="196">
        <f t="shared" si="216"/>
        <v>-0.9036660194396973</v>
      </c>
      <c r="O138" s="196">
        <f t="shared" si="216"/>
        <v>-0.9036660194396973</v>
      </c>
      <c r="P138" s="196">
        <f t="shared" si="216"/>
        <v>-0.8600000143051147</v>
      </c>
      <c r="Q138" s="196">
        <f t="shared" si="216"/>
        <v>-0.8600000143051147</v>
      </c>
      <c r="R138" s="196">
        <f t="shared" si="216"/>
        <v>-0.8600000143051147</v>
      </c>
      <c r="S138" s="196">
        <f t="shared" si="216"/>
        <v>-0.8600000143051147</v>
      </c>
      <c r="T138" s="196">
        <f t="shared" si="216"/>
        <v>-0.8623199462890625</v>
      </c>
      <c r="U138" s="196">
        <f t="shared" si="216"/>
        <v>-0.8623199462890625</v>
      </c>
      <c r="V138" s="196">
        <f t="shared" si="216"/>
        <v>-0.8623199462890625</v>
      </c>
      <c r="W138" s="201" t="str">
        <f>IF(X$5=K$5,SUM(Y138:AI138)-SUM(L138:V138),"")</f>
        <v/>
      </c>
      <c r="X138" s="9" t="str">
        <f>LOWER(CtryCode)&amp;".distn."&amp;$A138&amp;IF($B138="","","."&amp;$B138)&amp;IF($C138="","",".dec."&amp;$C138)&amp;"."&amp;X$5</f>
        <v>egy.distn.eps.die.2</v>
      </c>
      <c r="Y138" s="202">
        <f t="shared" ref="Y138:AI138" si="217">INDEX(DElVal,MATCH(CtryCode&amp;".distn."&amp;Y$10&amp;"ove.mean"&amp;Y$11,DElKey,0),MATCH($D138,DElVar,0))</f>
        <v>-0.8737958073616028</v>
      </c>
      <c r="Z138" s="196">
        <f t="shared" si="217"/>
        <v>-0.9036660194396973</v>
      </c>
      <c r="AA138" s="196">
        <f t="shared" si="217"/>
        <v>-0.9036660194396973</v>
      </c>
      <c r="AB138" s="196">
        <f t="shared" si="217"/>
        <v>-0.9036660194396973</v>
      </c>
      <c r="AC138" s="196">
        <f t="shared" si="217"/>
        <v>-0.8600000143051147</v>
      </c>
      <c r="AD138" s="196">
        <f t="shared" si="217"/>
        <v>-0.8600000143051147</v>
      </c>
      <c r="AE138" s="196">
        <f t="shared" si="217"/>
        <v>-0.8600000143051147</v>
      </c>
      <c r="AF138" s="196">
        <f t="shared" si="217"/>
        <v>-0.8600000143051147</v>
      </c>
      <c r="AG138" s="196">
        <f t="shared" si="217"/>
        <v>-0.8623199462890625</v>
      </c>
      <c r="AH138" s="196">
        <f t="shared" si="217"/>
        <v>-0.8623199462890625</v>
      </c>
      <c r="AI138" s="196">
        <f t="shared" si="217"/>
        <v>-0.8623199462890625</v>
      </c>
    </row>
    <row r="139" hidden="1" outlineLevel="1">
      <c r="A139" s="44" t="inlineStr">
        <is>
          <t>eps</t>
        </is>
      </c>
      <c r="B139" s="3" t="inlineStr">
        <is>
          <t>ker</t>
        </is>
      </c>
      <c r="C139" s="3" t="inlineStr"/>
      <c r="D139" s="3" t="inlineStr">
        <is>
          <t>ker_elasticity</t>
        </is>
      </c>
      <c r="E139" s="3" t="n"/>
      <c r="H139" s="3" t="inlineStr">
        <is>
          <t>Kerosene: own-price elasticity</t>
        </is>
      </c>
      <c r="I139" s="3" t="inlineStr">
        <is>
          <t>elasticity</t>
        </is>
      </c>
      <c r="J139" s="118" t="inlineStr">
        <is>
          <t>HH_Elast</t>
        </is>
      </c>
      <c r="K139" s="9" t="str">
        <f>LOWER(CtryCode)&amp;".distn."&amp;$A139&amp;IF($B139="","","."&amp;$B139)&amp;IF($C139="","",".dec."&amp;$C139)&amp;"."&amp;K$5</f>
        <v>egy.distn.eps.ker.1</v>
      </c>
      <c r="L139" s="202">
        <f t="shared" ref="L139:V139" si="218">INDEX(DElVal,MATCH(CtryCode&amp;".distn."&amp;L$10&amp;"ove.mean"&amp;L$11,DElKey,0),MATCH($D139,DElVar,0))</f>
        <v>-0.7859903573989868</v>
      </c>
      <c r="M139" s="196">
        <f t="shared" si="218"/>
        <v>-0.790256917476654</v>
      </c>
      <c r="N139" s="196">
        <f t="shared" si="218"/>
        <v>-0.790256917476654</v>
      </c>
      <c r="O139" s="196">
        <f t="shared" si="218"/>
        <v>-0.790256917476654</v>
      </c>
      <c r="P139" s="196">
        <f t="shared" si="218"/>
        <v>-0.7839999794960022</v>
      </c>
      <c r="Q139" s="196">
        <f t="shared" si="218"/>
        <v>-0.7839999794960022</v>
      </c>
      <c r="R139" s="196">
        <f t="shared" si="218"/>
        <v>-0.7839999794960022</v>
      </c>
      <c r="S139" s="196">
        <f t="shared" si="218"/>
        <v>-0.7839999794960022</v>
      </c>
      <c r="T139" s="196">
        <f t="shared" si="218"/>
        <v>-0.7843776941299438</v>
      </c>
      <c r="U139" s="196">
        <f t="shared" si="218"/>
        <v>-0.7843776941299438</v>
      </c>
      <c r="V139" s="196">
        <f t="shared" si="218"/>
        <v>-0.7843776941299438</v>
      </c>
      <c r="W139" s="201" t="str">
        <f>IF(X$5=K$5,SUM(Y139:AI139)-SUM(L139:V139),"")</f>
        <v/>
      </c>
      <c r="X139" s="9" t="str">
        <f>LOWER(CtryCode)&amp;".distn."&amp;$A139&amp;IF($B139="","","."&amp;$B139)&amp;IF($C139="","",".dec."&amp;$C139)&amp;"."&amp;X$5</f>
        <v>egy.distn.eps.ker.2</v>
      </c>
      <c r="Y139" s="202">
        <f t="shared" ref="Y139:AI139" si="219">INDEX(DElVal,MATCH(CtryCode&amp;".distn."&amp;Y$10&amp;"ove.mean"&amp;Y$11,DElKey,0),MATCH($D139,DElVar,0))</f>
        <v>-0.7859903573989868</v>
      </c>
      <c r="Z139" s="196">
        <f t="shared" si="219"/>
        <v>-0.790256917476654</v>
      </c>
      <c r="AA139" s="196">
        <f t="shared" si="219"/>
        <v>-0.790256917476654</v>
      </c>
      <c r="AB139" s="196">
        <f t="shared" si="219"/>
        <v>-0.790256917476654</v>
      </c>
      <c r="AC139" s="196">
        <f t="shared" si="219"/>
        <v>-0.7839999794960022</v>
      </c>
      <c r="AD139" s="196">
        <f t="shared" si="219"/>
        <v>-0.7839999794960022</v>
      </c>
      <c r="AE139" s="196">
        <f t="shared" si="219"/>
        <v>-0.7839999794960022</v>
      </c>
      <c r="AF139" s="196">
        <f t="shared" si="219"/>
        <v>-0.7839999794960022</v>
      </c>
      <c r="AG139" s="196">
        <f t="shared" si="219"/>
        <v>-0.7843776941299438</v>
      </c>
      <c r="AH139" s="196">
        <f t="shared" si="219"/>
        <v>-0.7843776941299438</v>
      </c>
      <c r="AI139" s="196">
        <f t="shared" si="219"/>
        <v>-0.7843776941299438</v>
      </c>
    </row>
    <row r="140" hidden="1" outlineLevel="1">
      <c r="A140" s="44" t="inlineStr">
        <is>
          <t>eps</t>
        </is>
      </c>
      <c r="B140" s="3" t="inlineStr">
        <is>
          <t>lpg</t>
        </is>
      </c>
      <c r="C140" s="3" t="inlineStr"/>
      <c r="D140" s="3" t="inlineStr">
        <is>
          <t>lpg_elasticity</t>
        </is>
      </c>
      <c r="E140" s="3" t="n"/>
      <c r="H140" s="3" t="inlineStr">
        <is>
          <t>LPG: own-price elasticity</t>
        </is>
      </c>
      <c r="I140" s="3" t="inlineStr">
        <is>
          <t>elasticity</t>
        </is>
      </c>
      <c r="J140" s="118" t="inlineStr">
        <is>
          <t>HH_Elast</t>
        </is>
      </c>
      <c r="K140" s="9" t="str">
        <f>LOWER(CtryCode)&amp;".distn."&amp;$A140&amp;IF($B140="","","."&amp;$B140)&amp;IF($C140="","",".dec."&amp;$C140)&amp;"."&amp;K$5</f>
        <v>egy.distn.eps.lpg.1</v>
      </c>
      <c r="L140" s="202">
        <f t="shared" ref="L140:V140" si="220">INDEX(DElVal,MATCH(CtryCode&amp;".distn."&amp;L$10&amp;"ove.mean"&amp;L$11,DElKey,0),MATCH($D140,DElVar,0))</f>
        <v>-0.7859903573989868</v>
      </c>
      <c r="M140" s="196">
        <f t="shared" si="220"/>
        <v>-0.790256917476654</v>
      </c>
      <c r="N140" s="196">
        <f t="shared" si="220"/>
        <v>-0.790256917476654</v>
      </c>
      <c r="O140" s="196">
        <f t="shared" si="220"/>
        <v>-0.790256917476654</v>
      </c>
      <c r="P140" s="196">
        <f t="shared" si="220"/>
        <v>-0.7839999794960022</v>
      </c>
      <c r="Q140" s="196">
        <f t="shared" si="220"/>
        <v>-0.7839999794960022</v>
      </c>
      <c r="R140" s="196">
        <f t="shared" si="220"/>
        <v>-0.7839999794960022</v>
      </c>
      <c r="S140" s="196">
        <f t="shared" si="220"/>
        <v>-0.7839999794960022</v>
      </c>
      <c r="T140" s="196">
        <f t="shared" si="220"/>
        <v>-0.7843776941299438</v>
      </c>
      <c r="U140" s="196">
        <f t="shared" si="220"/>
        <v>-0.7843776941299438</v>
      </c>
      <c r="V140" s="196">
        <f t="shared" si="220"/>
        <v>-0.7843776941299438</v>
      </c>
      <c r="W140" s="201" t="str">
        <f>IF(X$5=K$5,SUM(Y140:AI140)-SUM(L140:V140),"")</f>
        <v/>
      </c>
      <c r="X140" s="9" t="str">
        <f>LOWER(CtryCode)&amp;".distn."&amp;$A140&amp;IF($B140="","","."&amp;$B140)&amp;IF($C140="","",".dec."&amp;$C140)&amp;"."&amp;X$5</f>
        <v>egy.distn.eps.lpg.2</v>
      </c>
      <c r="Y140" s="202">
        <f t="shared" ref="Y140:AI140" si="221">INDEX(DElVal,MATCH(CtryCode&amp;".distn."&amp;Y$10&amp;"ove.mean"&amp;Y$11,DElKey,0),MATCH($D140,DElVar,0))</f>
        <v>-0.7859903573989868</v>
      </c>
      <c r="Z140" s="196">
        <f t="shared" si="221"/>
        <v>-0.790256917476654</v>
      </c>
      <c r="AA140" s="196">
        <f t="shared" si="221"/>
        <v>-0.790256917476654</v>
      </c>
      <c r="AB140" s="196">
        <f t="shared" si="221"/>
        <v>-0.790256917476654</v>
      </c>
      <c r="AC140" s="196">
        <f t="shared" si="221"/>
        <v>-0.7839999794960022</v>
      </c>
      <c r="AD140" s="196">
        <f t="shared" si="221"/>
        <v>-0.7839999794960022</v>
      </c>
      <c r="AE140" s="196">
        <f t="shared" si="221"/>
        <v>-0.7839999794960022</v>
      </c>
      <c r="AF140" s="196">
        <f t="shared" si="221"/>
        <v>-0.7839999794960022</v>
      </c>
      <c r="AG140" s="196">
        <f t="shared" si="221"/>
        <v>-0.7843776941299438</v>
      </c>
      <c r="AH140" s="196">
        <f t="shared" si="221"/>
        <v>-0.7843776941299438</v>
      </c>
      <c r="AI140" s="196">
        <f t="shared" si="221"/>
        <v>-0.7843776941299438</v>
      </c>
    </row>
    <row r="141" hidden="1" outlineLevel="1">
      <c r="A141" s="44" t="inlineStr">
        <is>
          <t>eps</t>
        </is>
      </c>
      <c r="B141" s="3" t="inlineStr">
        <is>
          <t>app</t>
        </is>
      </c>
      <c r="C141" s="3" t="inlineStr"/>
      <c r="D141" s="3" t="inlineStr">
        <is>
          <t>appliances_elasticity</t>
        </is>
      </c>
      <c r="E141" s="3" t="n"/>
      <c r="H141" s="3" t="inlineStr">
        <is>
          <t>Appliances: own-price elasticity</t>
        </is>
      </c>
      <c r="I141" s="3" t="inlineStr">
        <is>
          <t>elasticity</t>
        </is>
      </c>
      <c r="J141" s="118" t="inlineStr">
        <is>
          <t>HH_Elast</t>
        </is>
      </c>
      <c r="K141" s="9" t="str">
        <f>LOWER(CtryCode)&amp;".distn."&amp;$A141&amp;IF($B141="","","."&amp;$B141)&amp;IF($C141="","",".dec."&amp;$C141)&amp;"."&amp;K$5</f>
        <v>egy.distn.eps.app.1</v>
      </c>
      <c r="L141" s="202">
        <f t="shared" ref="L141:V141" si="222">INDEX(DElVal,MATCH(CtryCode&amp;".distn."&amp;L$10&amp;"ove.mean"&amp;L$11,DElKey,0),MATCH($D141,DElVar,0))</f>
        <v>-0.7721186876296997</v>
      </c>
      <c r="M141" s="196">
        <f t="shared" si="222"/>
        <v>-0.7744752764701843</v>
      </c>
      <c r="N141" s="196">
        <f t="shared" si="222"/>
        <v>-0.7744752764701843</v>
      </c>
      <c r="O141" s="196">
        <f t="shared" si="222"/>
        <v>-0.7744752764701843</v>
      </c>
      <c r="P141" s="196">
        <f t="shared" si="222"/>
        <v>-0.7710000276565552</v>
      </c>
      <c r="Q141" s="196">
        <f t="shared" si="222"/>
        <v>-0.7710000276565552</v>
      </c>
      <c r="R141" s="196">
        <f t="shared" si="222"/>
        <v>-0.7710000276565552</v>
      </c>
      <c r="S141" s="196">
        <f t="shared" si="222"/>
        <v>-0.7710000276565552</v>
      </c>
      <c r="T141" s="196">
        <f t="shared" si="222"/>
        <v>-0.7712535858154297</v>
      </c>
      <c r="U141" s="196">
        <f t="shared" si="222"/>
        <v>-0.7712535858154297</v>
      </c>
      <c r="V141" s="196">
        <f t="shared" si="222"/>
        <v>-0.7712535858154297</v>
      </c>
      <c r="W141" s="201" t="str">
        <f>IF(X$5=K$5,SUM(Y141:AI141)-SUM(L141:V141),"")</f>
        <v/>
      </c>
      <c r="X141" s="9" t="str">
        <f>LOWER(CtryCode)&amp;".distn."&amp;$A141&amp;IF($B141="","","."&amp;$B141)&amp;IF($C141="","",".dec."&amp;$C141)&amp;"."&amp;X$5</f>
        <v>egy.distn.eps.app.2</v>
      </c>
      <c r="Y141" s="202">
        <f t="shared" ref="Y141:AI141" si="223">INDEX(DElVal,MATCH(CtryCode&amp;".distn."&amp;Y$10&amp;"ove.mean"&amp;Y$11,DElKey,0),MATCH($D141,DElVar,0))</f>
        <v>-0.7721186876296997</v>
      </c>
      <c r="Z141" s="196">
        <f t="shared" si="223"/>
        <v>-0.7744752764701843</v>
      </c>
      <c r="AA141" s="196">
        <f t="shared" si="223"/>
        <v>-0.7744752764701843</v>
      </c>
      <c r="AB141" s="196">
        <f t="shared" si="223"/>
        <v>-0.7744752764701843</v>
      </c>
      <c r="AC141" s="196">
        <f t="shared" si="223"/>
        <v>-0.7710000276565552</v>
      </c>
      <c r="AD141" s="196">
        <f t="shared" si="223"/>
        <v>-0.7710000276565552</v>
      </c>
      <c r="AE141" s="196">
        <f t="shared" si="223"/>
        <v>-0.7710000276565552</v>
      </c>
      <c r="AF141" s="196">
        <f t="shared" si="223"/>
        <v>-0.7710000276565552</v>
      </c>
      <c r="AG141" s="196">
        <f t="shared" si="223"/>
        <v>-0.7712535858154297</v>
      </c>
      <c r="AH141" s="196">
        <f t="shared" si="223"/>
        <v>-0.7712535858154297</v>
      </c>
      <c r="AI141" s="196">
        <f t="shared" si="223"/>
        <v>-0.7712535858154297</v>
      </c>
    </row>
    <row r="142" hidden="1" outlineLevel="1">
      <c r="A142" s="44" t="inlineStr">
        <is>
          <t>eps</t>
        </is>
      </c>
      <c r="B142" s="3" t="inlineStr">
        <is>
          <t>che</t>
        </is>
      </c>
      <c r="C142" s="3" t="inlineStr"/>
      <c r="D142" s="3" t="inlineStr">
        <is>
          <t>chemicals_elasticity</t>
        </is>
      </c>
      <c r="E142" s="3" t="n"/>
      <c r="H142" s="3" t="inlineStr">
        <is>
          <t>Chemicals: own-price elasticity</t>
        </is>
      </c>
      <c r="I142" s="3" t="inlineStr">
        <is>
          <t>elasticity</t>
        </is>
      </c>
      <c r="J142" s="118" t="inlineStr">
        <is>
          <t>HH_Elast</t>
        </is>
      </c>
      <c r="K142" s="9" t="str">
        <f>LOWER(CtryCode)&amp;".distn."&amp;$A142&amp;IF($B142="","","."&amp;$B142)&amp;IF($C142="","",".dec."&amp;$C142)&amp;"."&amp;K$5</f>
        <v>egy.distn.eps.che.1</v>
      </c>
      <c r="L142" s="202">
        <f t="shared" ref="L142:V142" si="224">INDEX(DElVal,MATCH(CtryCode&amp;".distn."&amp;L$10&amp;"ove.mean"&amp;L$11,DElKey,0),MATCH($D142,DElVar,0))</f>
        <v>-1.174116015434265</v>
      </c>
      <c r="M142" s="196">
        <f t="shared" si="224"/>
        <v>-1.507830381393433</v>
      </c>
      <c r="N142" s="196">
        <f t="shared" si="224"/>
        <v>-1.507830381393433</v>
      </c>
      <c r="O142" s="196">
        <f t="shared" si="224"/>
        <v>-1.507830381393433</v>
      </c>
      <c r="P142" s="196">
        <f t="shared" si="224"/>
        <v>-1.026999950408936</v>
      </c>
      <c r="Q142" s="196">
        <f t="shared" si="224"/>
        <v>-1.026999950408936</v>
      </c>
      <c r="R142" s="196">
        <f t="shared" si="224"/>
        <v>-1.026999950408936</v>
      </c>
      <c r="S142" s="196">
        <f t="shared" si="224"/>
        <v>-1.026999950408936</v>
      </c>
      <c r="T142" s="196">
        <f t="shared" si="224"/>
        <v>-1.036556363105774</v>
      </c>
      <c r="U142" s="196">
        <f t="shared" si="224"/>
        <v>-1.036556363105774</v>
      </c>
      <c r="V142" s="196">
        <f t="shared" si="224"/>
        <v>-1.036556363105774</v>
      </c>
      <c r="W142" s="201" t="str">
        <f>IF(X$5=K$5,SUM(Y142:AI142)-SUM(L142:V142),"")</f>
        <v/>
      </c>
      <c r="X142" s="9" t="str">
        <f>LOWER(CtryCode)&amp;".distn."&amp;$A142&amp;IF($B142="","","."&amp;$B142)&amp;IF($C142="","",".dec."&amp;$C142)&amp;"."&amp;X$5</f>
        <v>egy.distn.eps.che.2</v>
      </c>
      <c r="Y142" s="202">
        <f t="shared" ref="Y142:AI142" si="225">INDEX(DElVal,MATCH(CtryCode&amp;".distn."&amp;Y$10&amp;"ove.mean"&amp;Y$11,DElKey,0),MATCH($D142,DElVar,0))</f>
        <v>-1.174116015434265</v>
      </c>
      <c r="Z142" s="196">
        <f t="shared" si="225"/>
        <v>-1.507830381393433</v>
      </c>
      <c r="AA142" s="196">
        <f t="shared" si="225"/>
        <v>-1.507830381393433</v>
      </c>
      <c r="AB142" s="196">
        <f t="shared" si="225"/>
        <v>-1.507830381393433</v>
      </c>
      <c r="AC142" s="196">
        <f t="shared" si="225"/>
        <v>-1.026999950408936</v>
      </c>
      <c r="AD142" s="196">
        <f t="shared" si="225"/>
        <v>-1.026999950408936</v>
      </c>
      <c r="AE142" s="196">
        <f t="shared" si="225"/>
        <v>-1.026999950408936</v>
      </c>
      <c r="AF142" s="196">
        <f t="shared" si="225"/>
        <v>-1.026999950408936</v>
      </c>
      <c r="AG142" s="196">
        <f t="shared" si="225"/>
        <v>-1.036556363105774</v>
      </c>
      <c r="AH142" s="196">
        <f t="shared" si="225"/>
        <v>-1.036556363105774</v>
      </c>
      <c r="AI142" s="196">
        <f t="shared" si="225"/>
        <v>-1.036556363105774</v>
      </c>
    </row>
    <row r="143" hidden="1" outlineLevel="1">
      <c r="A143" s="44" t="inlineStr">
        <is>
          <t>eps</t>
        </is>
      </c>
      <c r="B143" s="3" t="inlineStr">
        <is>
          <t>clo</t>
        </is>
      </c>
      <c r="C143" s="3" t="inlineStr"/>
      <c r="D143" s="3" t="inlineStr">
        <is>
          <t>clothing_elasticity</t>
        </is>
      </c>
      <c r="E143" s="3" t="n"/>
      <c r="H143" s="3" t="inlineStr">
        <is>
          <t>Clothing: own-price elasticity</t>
        </is>
      </c>
      <c r="I143" s="3" t="inlineStr">
        <is>
          <t>elasticity</t>
        </is>
      </c>
      <c r="J143" s="118" t="inlineStr">
        <is>
          <t>HH_Elast</t>
        </is>
      </c>
      <c r="K143" s="9" t="str">
        <f>LOWER(CtryCode)&amp;".distn."&amp;$A143&amp;IF($B143="","","."&amp;$B143)&amp;IF($C143="","",".dec."&amp;$C143)&amp;"."&amp;K$5</f>
        <v>egy.distn.eps.clo.1</v>
      </c>
      <c r="L143" s="202">
        <f t="shared" ref="L143:V143" si="226">INDEX(DElVal,MATCH(CtryCode&amp;".distn."&amp;L$10&amp;"ove.mean"&amp;L$11,DElKey,0),MATCH($D143,DElVar,0))</f>
        <v>-0.7094486355781555</v>
      </c>
      <c r="M143" s="196">
        <f t="shared" si="226"/>
        <v>-0.7104546427726746</v>
      </c>
      <c r="N143" s="196">
        <f t="shared" si="226"/>
        <v>-0.7104546427726746</v>
      </c>
      <c r="O143" s="196">
        <f t="shared" si="226"/>
        <v>-0.7104546427726746</v>
      </c>
      <c r="P143" s="196">
        <f t="shared" si="226"/>
        <v>-0.7089999914169312</v>
      </c>
      <c r="Q143" s="196">
        <f t="shared" si="226"/>
        <v>-0.7089999914169312</v>
      </c>
      <c r="R143" s="196">
        <f t="shared" si="226"/>
        <v>-0.7089999914169312</v>
      </c>
      <c r="S143" s="196">
        <f t="shared" si="226"/>
        <v>-0.7089999914169312</v>
      </c>
      <c r="T143" s="196">
        <f t="shared" si="226"/>
        <v>-0.7090408802032471</v>
      </c>
      <c r="U143" s="196">
        <f t="shared" si="226"/>
        <v>-0.7090408802032471</v>
      </c>
      <c r="V143" s="196">
        <f t="shared" si="226"/>
        <v>-0.7090408802032471</v>
      </c>
      <c r="W143" s="201" t="str">
        <f>IF(X$5=K$5,SUM(Y143:AI143)-SUM(L143:V143),"")</f>
        <v/>
      </c>
      <c r="X143" s="9" t="str">
        <f>LOWER(CtryCode)&amp;".distn."&amp;$A143&amp;IF($B143="","","."&amp;$B143)&amp;IF($C143="","",".dec."&amp;$C143)&amp;"."&amp;X$5</f>
        <v>egy.distn.eps.clo.2</v>
      </c>
      <c r="Y143" s="202">
        <f t="shared" ref="Y143:AI143" si="227">INDEX(DElVal,MATCH(CtryCode&amp;".distn."&amp;Y$10&amp;"ove.mean"&amp;Y$11,DElKey,0),MATCH($D143,DElVar,0))</f>
        <v>-0.7094486355781555</v>
      </c>
      <c r="Z143" s="196">
        <f t="shared" si="227"/>
        <v>-0.7104546427726746</v>
      </c>
      <c r="AA143" s="196">
        <f t="shared" si="227"/>
        <v>-0.7104546427726746</v>
      </c>
      <c r="AB143" s="196">
        <f t="shared" si="227"/>
        <v>-0.7104546427726746</v>
      </c>
      <c r="AC143" s="196">
        <f t="shared" si="227"/>
        <v>-0.7089999914169312</v>
      </c>
      <c r="AD143" s="196">
        <f t="shared" si="227"/>
        <v>-0.7089999914169312</v>
      </c>
      <c r="AE143" s="196">
        <f t="shared" si="227"/>
        <v>-0.7089999914169312</v>
      </c>
      <c r="AF143" s="196">
        <f t="shared" si="227"/>
        <v>-0.7089999914169312</v>
      </c>
      <c r="AG143" s="196">
        <f t="shared" si="227"/>
        <v>-0.7090408802032471</v>
      </c>
      <c r="AH143" s="196">
        <f t="shared" si="227"/>
        <v>-0.7090408802032471</v>
      </c>
      <c r="AI143" s="196">
        <f t="shared" si="227"/>
        <v>-0.7090408802032471</v>
      </c>
    </row>
    <row r="144" hidden="1" outlineLevel="1">
      <c r="A144" s="44" t="inlineStr">
        <is>
          <t>eps</t>
        </is>
      </c>
      <c r="B144" s="3" t="inlineStr">
        <is>
          <t>com</t>
        </is>
      </c>
      <c r="C144" s="3" t="inlineStr"/>
      <c r="D144" s="3" t="inlineStr">
        <is>
          <t>communications_elasticity</t>
        </is>
      </c>
      <c r="E144" s="3" t="n"/>
      <c r="H144" s="3" t="inlineStr">
        <is>
          <t>Communications: own-price elasticity</t>
        </is>
      </c>
      <c r="I144" s="3" t="inlineStr">
        <is>
          <t>elasticity</t>
        </is>
      </c>
      <c r="J144" s="118" t="inlineStr">
        <is>
          <t>HH_Elast</t>
        </is>
      </c>
      <c r="K144" s="9" t="str">
        <f>LOWER(CtryCode)&amp;".distn."&amp;$A144&amp;IF($B144="","","."&amp;$B144)&amp;IF($C144="","",".dec."&amp;$C144)&amp;"."&amp;K$5</f>
        <v>egy.distn.eps.com.1</v>
      </c>
      <c r="L144" s="202">
        <f t="shared" ref="L144:V144" si="228">INDEX(DElVal,MATCH(CtryCode&amp;".distn."&amp;L$10&amp;"ove.mean"&amp;L$11,DElKey,0),MATCH($D144,DElVar,0))</f>
        <v>-0.8737958073616028</v>
      </c>
      <c r="M144" s="196">
        <f t="shared" si="228"/>
        <v>-0.9036660194396973</v>
      </c>
      <c r="N144" s="196">
        <f t="shared" si="228"/>
        <v>-0.9036660194396973</v>
      </c>
      <c r="O144" s="196">
        <f t="shared" si="228"/>
        <v>-0.9036660194396973</v>
      </c>
      <c r="P144" s="196">
        <f t="shared" si="228"/>
        <v>-0.8600000143051147</v>
      </c>
      <c r="Q144" s="196">
        <f t="shared" si="228"/>
        <v>-0.8600000143051147</v>
      </c>
      <c r="R144" s="196">
        <f t="shared" si="228"/>
        <v>-0.8600000143051147</v>
      </c>
      <c r="S144" s="196">
        <f t="shared" si="228"/>
        <v>-0.8600000143051147</v>
      </c>
      <c r="T144" s="196">
        <f t="shared" si="228"/>
        <v>-0.8623199462890625</v>
      </c>
      <c r="U144" s="196">
        <f t="shared" si="228"/>
        <v>-0.8623199462890625</v>
      </c>
      <c r="V144" s="196">
        <f t="shared" si="228"/>
        <v>-0.8623199462890625</v>
      </c>
      <c r="W144" s="201" t="str">
        <f>IF(X$5=K$5,SUM(Y144:AI144)-SUM(L144:V144),"")</f>
        <v/>
      </c>
      <c r="X144" s="9" t="str">
        <f>LOWER(CtryCode)&amp;".distn."&amp;$A144&amp;IF($B144="","","."&amp;$B144)&amp;IF($C144="","",".dec."&amp;$C144)&amp;"."&amp;X$5</f>
        <v>egy.distn.eps.com.2</v>
      </c>
      <c r="Y144" s="202">
        <f t="shared" ref="Y144:AI144" si="229">INDEX(DElVal,MATCH(CtryCode&amp;".distn."&amp;Y$10&amp;"ove.mean"&amp;Y$11,DElKey,0),MATCH($D144,DElVar,0))</f>
        <v>-0.8737958073616028</v>
      </c>
      <c r="Z144" s="196">
        <f t="shared" si="229"/>
        <v>-0.9036660194396973</v>
      </c>
      <c r="AA144" s="196">
        <f t="shared" si="229"/>
        <v>-0.9036660194396973</v>
      </c>
      <c r="AB144" s="196">
        <f t="shared" si="229"/>
        <v>-0.9036660194396973</v>
      </c>
      <c r="AC144" s="196">
        <f t="shared" si="229"/>
        <v>-0.8600000143051147</v>
      </c>
      <c r="AD144" s="196">
        <f t="shared" si="229"/>
        <v>-0.8600000143051147</v>
      </c>
      <c r="AE144" s="196">
        <f t="shared" si="229"/>
        <v>-0.8600000143051147</v>
      </c>
      <c r="AF144" s="196">
        <f t="shared" si="229"/>
        <v>-0.8600000143051147</v>
      </c>
      <c r="AG144" s="196">
        <f t="shared" si="229"/>
        <v>-0.8623199462890625</v>
      </c>
      <c r="AH144" s="196">
        <f t="shared" si="229"/>
        <v>-0.8623199462890625</v>
      </c>
      <c r="AI144" s="196">
        <f t="shared" si="229"/>
        <v>-0.8623199462890625</v>
      </c>
    </row>
    <row r="145" hidden="1" outlineLevel="1">
      <c r="A145" s="44" t="inlineStr">
        <is>
          <t>eps</t>
        </is>
      </c>
      <c r="B145" s="3" t="inlineStr">
        <is>
          <t>edu</t>
        </is>
      </c>
      <c r="C145" s="3" t="inlineStr"/>
      <c r="D145" s="3" t="inlineStr">
        <is>
          <t>education_elasticity</t>
        </is>
      </c>
      <c r="E145" s="3" t="n"/>
      <c r="H145" s="3" t="inlineStr">
        <is>
          <t>Education: own-price elasticity</t>
        </is>
      </c>
      <c r="I145" s="3" t="inlineStr">
        <is>
          <t>elasticity</t>
        </is>
      </c>
      <c r="J145" s="118" t="inlineStr">
        <is>
          <t>HH_Elast</t>
        </is>
      </c>
      <c r="K145" s="9" t="str">
        <f>LOWER(CtryCode)&amp;".distn."&amp;$A145&amp;IF($B145="","","."&amp;$B145)&amp;IF($C145="","",".dec."&amp;$C145)&amp;"."&amp;K$5</f>
        <v>egy.distn.eps.edu.1</v>
      </c>
      <c r="L145" s="202">
        <f t="shared" ref="L145:V145" si="230">INDEX(DElVal,MATCH(CtryCode&amp;".distn."&amp;L$10&amp;"ove.mean"&amp;L$11,DElKey,0),MATCH($D145,DElVar,0))</f>
        <v>-0.6802998185157776</v>
      </c>
      <c r="M145" s="196">
        <f t="shared" si="230"/>
        <v>-0.6849652528762817</v>
      </c>
      <c r="N145" s="196">
        <f t="shared" si="230"/>
        <v>-0.6849652528762817</v>
      </c>
      <c r="O145" s="196">
        <f t="shared" si="230"/>
        <v>-0.6849652528762817</v>
      </c>
      <c r="P145" s="196">
        <f t="shared" si="230"/>
        <v>-0.6779999732971191</v>
      </c>
      <c r="Q145" s="196">
        <f t="shared" si="230"/>
        <v>-0.6779999732971191</v>
      </c>
      <c r="R145" s="196">
        <f t="shared" si="230"/>
        <v>-0.6779999732971191</v>
      </c>
      <c r="S145" s="196">
        <f t="shared" si="230"/>
        <v>-0.6779999732971191</v>
      </c>
      <c r="T145" s="196">
        <f t="shared" si="230"/>
        <v>-0.6787009239196777</v>
      </c>
      <c r="U145" s="196">
        <f t="shared" si="230"/>
        <v>-0.6787009239196777</v>
      </c>
      <c r="V145" s="196">
        <f t="shared" si="230"/>
        <v>-0.6787009239196777</v>
      </c>
      <c r="W145" s="201" t="str">
        <f>IF(X$5=K$5,SUM(Y145:AI145)-SUM(L145:V145),"")</f>
        <v/>
      </c>
      <c r="X145" s="9" t="str">
        <f>LOWER(CtryCode)&amp;".distn."&amp;$A145&amp;IF($B145="","","."&amp;$B145)&amp;IF($C145="","",".dec."&amp;$C145)&amp;"."&amp;X$5</f>
        <v>egy.distn.eps.edu.2</v>
      </c>
      <c r="Y145" s="202">
        <f t="shared" ref="Y145:AI145" si="231">INDEX(DElVal,MATCH(CtryCode&amp;".distn."&amp;Y$10&amp;"ove.mean"&amp;Y$11,DElKey,0),MATCH($D145,DElVar,0))</f>
        <v>-0.6802998185157776</v>
      </c>
      <c r="Z145" s="196">
        <f t="shared" si="231"/>
        <v>-0.6849652528762817</v>
      </c>
      <c r="AA145" s="196">
        <f t="shared" si="231"/>
        <v>-0.6849652528762817</v>
      </c>
      <c r="AB145" s="196">
        <f t="shared" si="231"/>
        <v>-0.6849652528762817</v>
      </c>
      <c r="AC145" s="196">
        <f t="shared" si="231"/>
        <v>-0.6779999732971191</v>
      </c>
      <c r="AD145" s="196">
        <f t="shared" si="231"/>
        <v>-0.6779999732971191</v>
      </c>
      <c r="AE145" s="196">
        <f t="shared" si="231"/>
        <v>-0.6779999732971191</v>
      </c>
      <c r="AF145" s="196">
        <f t="shared" si="231"/>
        <v>-0.6779999732971191</v>
      </c>
      <c r="AG145" s="196">
        <f t="shared" si="231"/>
        <v>-0.6787009239196777</v>
      </c>
      <c r="AH145" s="196">
        <f t="shared" si="231"/>
        <v>-0.6787009239196777</v>
      </c>
      <c r="AI145" s="196">
        <f t="shared" si="231"/>
        <v>-0.6787009239196777</v>
      </c>
    </row>
    <row r="146" hidden="1" outlineLevel="1">
      <c r="A146" s="44" t="inlineStr">
        <is>
          <t>eps</t>
        </is>
      </c>
      <c r="B146" s="3" t="inlineStr">
        <is>
          <t>food</t>
        </is>
      </c>
      <c r="C146" s="3" t="inlineStr"/>
      <c r="D146" s="3" t="inlineStr">
        <is>
          <t>food_elasticity</t>
        </is>
      </c>
      <c r="E146" s="3" t="n"/>
      <c r="H146" s="3" t="inlineStr">
        <is>
          <t>Food: own-price elasticity</t>
        </is>
      </c>
      <c r="I146" s="3" t="inlineStr">
        <is>
          <t>elasticity</t>
        </is>
      </c>
      <c r="J146" s="118" t="inlineStr">
        <is>
          <t>HH_Elast</t>
        </is>
      </c>
      <c r="K146" s="9" t="str">
        <f>LOWER(CtryCode)&amp;".distn."&amp;$A146&amp;IF($B146="","","."&amp;$B146)&amp;IF($C146="","",".dec."&amp;$C146)&amp;"."&amp;K$5</f>
        <v>egy.distn.eps.food.1</v>
      </c>
      <c r="L146" s="202">
        <f t="shared" ref="L146:V146" si="232">INDEX(DElVal,MATCH(CtryCode&amp;".distn."&amp;L$10&amp;"ove.mean"&amp;L$11,DElKey,0),MATCH($D146,DElVar,0))</f>
        <v>-0.5695047974586487</v>
      </c>
      <c r="M146" s="196">
        <f t="shared" si="232"/>
        <v>-0.6356893181800842</v>
      </c>
      <c r="N146" s="196">
        <f t="shared" si="232"/>
        <v>-0.6356893181800842</v>
      </c>
      <c r="O146" s="196">
        <f t="shared" si="232"/>
        <v>-0.6356893181800842</v>
      </c>
      <c r="P146" s="196">
        <f t="shared" si="232"/>
        <v>-0.5350000262260437</v>
      </c>
      <c r="Q146" s="196">
        <f t="shared" si="232"/>
        <v>-0.5350000262260437</v>
      </c>
      <c r="R146" s="196">
        <f t="shared" si="232"/>
        <v>-0.5350000262260437</v>
      </c>
      <c r="S146" s="196">
        <f t="shared" si="232"/>
        <v>-0.5350000262260437</v>
      </c>
      <c r="T146" s="196">
        <f t="shared" si="232"/>
        <v>-0.5493266582489014</v>
      </c>
      <c r="U146" s="196">
        <f t="shared" si="232"/>
        <v>-0.5493266582489014</v>
      </c>
      <c r="V146" s="196">
        <f t="shared" si="232"/>
        <v>-0.5493266582489014</v>
      </c>
      <c r="W146" s="201" t="str">
        <f>IF(X$5=K$5,SUM(Y146:AI146)-SUM(L146:V146),"")</f>
        <v/>
      </c>
      <c r="X146" s="9" t="str">
        <f>LOWER(CtryCode)&amp;".distn."&amp;$A146&amp;IF($B146="","","."&amp;$B146)&amp;IF($C146="","",".dec."&amp;$C146)&amp;"."&amp;X$5</f>
        <v>egy.distn.eps.food.2</v>
      </c>
      <c r="Y146" s="202">
        <f t="shared" ref="Y146:AI146" si="233">INDEX(DElVal,MATCH(CtryCode&amp;".distn."&amp;Y$10&amp;"ove.mean"&amp;Y$11,DElKey,0),MATCH($D146,DElVar,0))</f>
        <v>-0.5695047974586487</v>
      </c>
      <c r="Z146" s="196">
        <f t="shared" si="233"/>
        <v>-0.6356893181800842</v>
      </c>
      <c r="AA146" s="196">
        <f t="shared" si="233"/>
        <v>-0.6356893181800842</v>
      </c>
      <c r="AB146" s="196">
        <f t="shared" si="233"/>
        <v>-0.6356893181800842</v>
      </c>
      <c r="AC146" s="196">
        <f t="shared" si="233"/>
        <v>-0.5350000262260437</v>
      </c>
      <c r="AD146" s="196">
        <f t="shared" si="233"/>
        <v>-0.5350000262260437</v>
      </c>
      <c r="AE146" s="196">
        <f t="shared" si="233"/>
        <v>-0.5350000262260437</v>
      </c>
      <c r="AF146" s="196">
        <f t="shared" si="233"/>
        <v>-0.5350000262260437</v>
      </c>
      <c r="AG146" s="196">
        <f t="shared" si="233"/>
        <v>-0.5493266582489014</v>
      </c>
      <c r="AH146" s="196">
        <f t="shared" si="233"/>
        <v>-0.5493266582489014</v>
      </c>
      <c r="AI146" s="196">
        <f t="shared" si="233"/>
        <v>-0.5493266582489014</v>
      </c>
    </row>
    <row r="147" hidden="1" outlineLevel="1">
      <c r="A147" s="44" t="inlineStr">
        <is>
          <t>eps</t>
        </is>
      </c>
      <c r="B147" s="3" t="inlineStr">
        <is>
          <t>hea</t>
        </is>
      </c>
      <c r="C147" s="3" t="inlineStr"/>
      <c r="D147" s="3" t="inlineStr">
        <is>
          <t>health_srv_elasticity</t>
        </is>
      </c>
      <c r="E147" s="3" t="n"/>
      <c r="H147" s="3" t="inlineStr">
        <is>
          <t>Health services: own-price elasticity</t>
        </is>
      </c>
      <c r="I147" s="3" t="inlineStr">
        <is>
          <t>elasticity</t>
        </is>
      </c>
      <c r="J147" s="118" t="inlineStr">
        <is>
          <t>HH_Elast</t>
        </is>
      </c>
      <c r="K147" s="9" t="str">
        <f>LOWER(CtryCode)&amp;".distn."&amp;$A147&amp;IF($B147="","","."&amp;$B147)&amp;IF($C147="","",".dec."&amp;$C147)&amp;"."&amp;K$5</f>
        <v>egy.distn.eps.hea.1</v>
      </c>
      <c r="L147" s="202">
        <f t="shared" ref="L147:V147" si="234">INDEX(DElVal,MATCH(CtryCode&amp;".distn."&amp;L$10&amp;"ove.mean"&amp;L$11,DElKey,0),MATCH($D147,DElVar,0))</f>
        <v>-1.153762221336365</v>
      </c>
      <c r="M147" s="196">
        <f t="shared" si="234"/>
        <v>-1.449552416801453</v>
      </c>
      <c r="N147" s="196">
        <f t="shared" si="234"/>
        <v>-1.449552416801453</v>
      </c>
      <c r="O147" s="196">
        <f t="shared" si="234"/>
        <v>-1.449552416801453</v>
      </c>
      <c r="P147" s="196">
        <f t="shared" si="234"/>
        <v>-1.023000001907349</v>
      </c>
      <c r="Q147" s="196">
        <f t="shared" si="234"/>
        <v>-1.023000001907349</v>
      </c>
      <c r="R147" s="196">
        <f t="shared" si="234"/>
        <v>-1.023000001907349</v>
      </c>
      <c r="S147" s="196">
        <f t="shared" si="234"/>
        <v>-1.023000001907349</v>
      </c>
      <c r="T147" s="196">
        <f t="shared" si="234"/>
        <v>-1.032321572303772</v>
      </c>
      <c r="U147" s="196">
        <f t="shared" si="234"/>
        <v>-1.032321572303772</v>
      </c>
      <c r="V147" s="196">
        <f t="shared" si="234"/>
        <v>-1.032321572303772</v>
      </c>
      <c r="W147" s="201" t="str">
        <f>IF(X$5=K$5,SUM(Y147:AI147)-SUM(L147:V147),"")</f>
        <v/>
      </c>
      <c r="X147" s="9" t="str">
        <f>LOWER(CtryCode)&amp;".distn."&amp;$A147&amp;IF($B147="","","."&amp;$B147)&amp;IF($C147="","",".dec."&amp;$C147)&amp;"."&amp;X$5</f>
        <v>egy.distn.eps.hea.2</v>
      </c>
      <c r="Y147" s="202">
        <f t="shared" ref="Y147:AI147" si="235">INDEX(DElVal,MATCH(CtryCode&amp;".distn."&amp;Y$10&amp;"ove.mean"&amp;Y$11,DElKey,0),MATCH($D147,DElVar,0))</f>
        <v>-1.153762221336365</v>
      </c>
      <c r="Z147" s="196">
        <f t="shared" si="235"/>
        <v>-1.449552416801453</v>
      </c>
      <c r="AA147" s="196">
        <f t="shared" si="235"/>
        <v>-1.449552416801453</v>
      </c>
      <c r="AB147" s="196">
        <f t="shared" si="235"/>
        <v>-1.449552416801453</v>
      </c>
      <c r="AC147" s="196">
        <f t="shared" si="235"/>
        <v>-1.023000001907349</v>
      </c>
      <c r="AD147" s="196">
        <f t="shared" si="235"/>
        <v>-1.023000001907349</v>
      </c>
      <c r="AE147" s="196">
        <f t="shared" si="235"/>
        <v>-1.023000001907349</v>
      </c>
      <c r="AF147" s="196">
        <f t="shared" si="235"/>
        <v>-1.023000001907349</v>
      </c>
      <c r="AG147" s="196">
        <f t="shared" si="235"/>
        <v>-1.032321572303772</v>
      </c>
      <c r="AH147" s="196">
        <f t="shared" si="235"/>
        <v>-1.032321572303772</v>
      </c>
      <c r="AI147" s="196">
        <f t="shared" si="235"/>
        <v>-1.032321572303772</v>
      </c>
    </row>
    <row r="148" hidden="1" outlineLevel="1">
      <c r="A148" s="44" t="inlineStr">
        <is>
          <t>eps</t>
        </is>
      </c>
      <c r="B148" s="3" t="inlineStr">
        <is>
          <t>hou</t>
        </is>
      </c>
      <c r="C148" s="3" t="inlineStr"/>
      <c r="D148" s="3" t="inlineStr">
        <is>
          <t>housing_elasticity</t>
        </is>
      </c>
      <c r="E148" s="3" t="n"/>
      <c r="H148" s="3" t="inlineStr">
        <is>
          <t>Housing: own-price elasticity</t>
        </is>
      </c>
      <c r="I148" s="3" t="inlineStr">
        <is>
          <t>elasticity</t>
        </is>
      </c>
      <c r="J148" s="118" t="inlineStr">
        <is>
          <t>HH_Elast</t>
        </is>
      </c>
      <c r="K148" s="9" t="str">
        <f>LOWER(CtryCode)&amp;".distn."&amp;$A148&amp;IF($B148="","","."&amp;$B148)&amp;IF($C148="","",".dec."&amp;$C148)&amp;"."&amp;K$5</f>
        <v>egy.distn.eps.hou.1</v>
      </c>
      <c r="L148" s="202">
        <f t="shared" ref="L148:V148" si="236">INDEX(DElVal,MATCH(CtryCode&amp;".distn."&amp;L$10&amp;"ove.mean"&amp;L$11,DElKey,0),MATCH($D148,DElVar,0))</f>
        <v>-0.7859903573989868</v>
      </c>
      <c r="M148" s="196">
        <f t="shared" si="236"/>
        <v>-0.790256917476654</v>
      </c>
      <c r="N148" s="196">
        <f t="shared" si="236"/>
        <v>-0.790256917476654</v>
      </c>
      <c r="O148" s="196">
        <f t="shared" si="236"/>
        <v>-0.790256917476654</v>
      </c>
      <c r="P148" s="196">
        <f t="shared" si="236"/>
        <v>-0.7839999794960022</v>
      </c>
      <c r="Q148" s="196">
        <f t="shared" si="236"/>
        <v>-0.7839999794960022</v>
      </c>
      <c r="R148" s="196">
        <f t="shared" si="236"/>
        <v>-0.7839999794960022</v>
      </c>
      <c r="S148" s="196">
        <f t="shared" si="236"/>
        <v>-0.7839999794960022</v>
      </c>
      <c r="T148" s="196">
        <f t="shared" si="236"/>
        <v>-0.7843776941299438</v>
      </c>
      <c r="U148" s="196">
        <f t="shared" si="236"/>
        <v>-0.7843776941299438</v>
      </c>
      <c r="V148" s="196">
        <f t="shared" si="236"/>
        <v>-0.7843776941299438</v>
      </c>
      <c r="W148" s="201" t="str">
        <f>IF(X$5=K$5,SUM(Y148:AI148)-SUM(L148:V148),"")</f>
        <v/>
      </c>
      <c r="X148" s="9" t="str">
        <f>LOWER(CtryCode)&amp;".distn."&amp;$A148&amp;IF($B148="","","."&amp;$B148)&amp;IF($C148="","",".dec."&amp;$C148)&amp;"."&amp;X$5</f>
        <v>egy.distn.eps.hou.2</v>
      </c>
      <c r="Y148" s="202">
        <f t="shared" ref="Y148:AI148" si="237">INDEX(DElVal,MATCH(CtryCode&amp;".distn."&amp;Y$10&amp;"ove.mean"&amp;Y$11,DElKey,0),MATCH($D148,DElVar,0))</f>
        <v>-0.7859903573989868</v>
      </c>
      <c r="Z148" s="196">
        <f t="shared" si="237"/>
        <v>-0.790256917476654</v>
      </c>
      <c r="AA148" s="196">
        <f t="shared" si="237"/>
        <v>-0.790256917476654</v>
      </c>
      <c r="AB148" s="196">
        <f t="shared" si="237"/>
        <v>-0.790256917476654</v>
      </c>
      <c r="AC148" s="196">
        <f t="shared" si="237"/>
        <v>-0.7839999794960022</v>
      </c>
      <c r="AD148" s="196">
        <f t="shared" si="237"/>
        <v>-0.7839999794960022</v>
      </c>
      <c r="AE148" s="196">
        <f t="shared" si="237"/>
        <v>-0.7839999794960022</v>
      </c>
      <c r="AF148" s="196">
        <f t="shared" si="237"/>
        <v>-0.7839999794960022</v>
      </c>
      <c r="AG148" s="196">
        <f t="shared" si="237"/>
        <v>-0.7843776941299438</v>
      </c>
      <c r="AH148" s="196">
        <f t="shared" si="237"/>
        <v>-0.7843776941299438</v>
      </c>
      <c r="AI148" s="196">
        <f t="shared" si="237"/>
        <v>-0.7843776941299438</v>
      </c>
    </row>
    <row r="149" hidden="1" outlineLevel="1">
      <c r="A149" s="44" t="inlineStr">
        <is>
          <t>eps</t>
        </is>
      </c>
      <c r="B149" s="3" t="inlineStr">
        <is>
          <t>oth</t>
        </is>
      </c>
      <c r="C149" s="3" t="inlineStr"/>
      <c r="D149" s="3" t="inlineStr">
        <is>
          <t>other_elasticity</t>
        </is>
      </c>
      <c r="E149" s="3" t="n"/>
      <c r="H149" s="3" t="inlineStr">
        <is>
          <t>Other: own-price elasticity</t>
        </is>
      </c>
      <c r="I149" s="3" t="inlineStr">
        <is>
          <t>elasticity</t>
        </is>
      </c>
      <c r="J149" s="118" t="inlineStr">
        <is>
          <t>HH_Elast</t>
        </is>
      </c>
      <c r="K149" s="9" t="str">
        <f>LOWER(CtryCode)&amp;".distn."&amp;$A149&amp;IF($B149="","","."&amp;$B149)&amp;IF($C149="","",".dec."&amp;$C149)&amp;"."&amp;K$5</f>
        <v>egy.distn.eps.oth.1</v>
      </c>
      <c r="L149" s="202">
        <f t="shared" ref="L149:V149" si="238">INDEX(DElVal,MATCH(CtryCode&amp;".distn."&amp;L$10&amp;"ove.mean"&amp;L$11,DElKey,0),MATCH($D149,DElVar,0))</f>
        <v>-1.174116015434265</v>
      </c>
      <c r="M149" s="196">
        <f t="shared" si="238"/>
        <v>-1.507830381393433</v>
      </c>
      <c r="N149" s="196">
        <f t="shared" si="238"/>
        <v>-1.507830381393433</v>
      </c>
      <c r="O149" s="196">
        <f t="shared" si="238"/>
        <v>-1.507830381393433</v>
      </c>
      <c r="P149" s="196">
        <f t="shared" si="238"/>
        <v>-1.026999950408936</v>
      </c>
      <c r="Q149" s="196">
        <f t="shared" si="238"/>
        <v>-1.026999950408936</v>
      </c>
      <c r="R149" s="196">
        <f t="shared" si="238"/>
        <v>-1.026999950408936</v>
      </c>
      <c r="S149" s="196">
        <f t="shared" si="238"/>
        <v>-1.026999950408936</v>
      </c>
      <c r="T149" s="196">
        <f t="shared" si="238"/>
        <v>-1.036556363105774</v>
      </c>
      <c r="U149" s="196">
        <f t="shared" si="238"/>
        <v>-1.036556363105774</v>
      </c>
      <c r="V149" s="196">
        <f t="shared" si="238"/>
        <v>-1.036556363105774</v>
      </c>
      <c r="W149" s="201" t="str">
        <f>IF(X$5=K$5,SUM(Y149:AI149)-SUM(L149:V149),"")</f>
        <v/>
      </c>
      <c r="X149" s="9" t="str">
        <f>LOWER(CtryCode)&amp;".distn."&amp;$A149&amp;IF($B149="","","."&amp;$B149)&amp;IF($C149="","",".dec."&amp;$C149)&amp;"."&amp;X$5</f>
        <v>egy.distn.eps.oth.2</v>
      </c>
      <c r="Y149" s="202">
        <f t="shared" ref="Y149:AI149" si="239">INDEX(DElVal,MATCH(CtryCode&amp;".distn."&amp;Y$10&amp;"ove.mean"&amp;Y$11,DElKey,0),MATCH($D149,DElVar,0))</f>
        <v>-1.174116015434265</v>
      </c>
      <c r="Z149" s="196">
        <f t="shared" si="239"/>
        <v>-1.507830381393433</v>
      </c>
      <c r="AA149" s="196">
        <f t="shared" si="239"/>
        <v>-1.507830381393433</v>
      </c>
      <c r="AB149" s="196">
        <f t="shared" si="239"/>
        <v>-1.507830381393433</v>
      </c>
      <c r="AC149" s="196">
        <f t="shared" si="239"/>
        <v>-1.026999950408936</v>
      </c>
      <c r="AD149" s="196">
        <f t="shared" si="239"/>
        <v>-1.026999950408936</v>
      </c>
      <c r="AE149" s="196">
        <f t="shared" si="239"/>
        <v>-1.026999950408936</v>
      </c>
      <c r="AF149" s="196">
        <f t="shared" si="239"/>
        <v>-1.026999950408936</v>
      </c>
      <c r="AG149" s="196">
        <f t="shared" si="239"/>
        <v>-1.036556363105774</v>
      </c>
      <c r="AH149" s="196">
        <f t="shared" si="239"/>
        <v>-1.036556363105774</v>
      </c>
      <c r="AI149" s="196">
        <f t="shared" si="239"/>
        <v>-1.036556363105774</v>
      </c>
    </row>
    <row r="150" hidden="1" outlineLevel="1">
      <c r="A150" s="44" t="inlineStr">
        <is>
          <t>eps</t>
        </is>
      </c>
      <c r="B150" s="3" t="inlineStr">
        <is>
          <t>pap</t>
        </is>
      </c>
      <c r="C150" s="3" t="inlineStr"/>
      <c r="D150" s="3" t="inlineStr">
        <is>
          <t>paper_elasticity</t>
        </is>
      </c>
      <c r="E150" s="3" t="n"/>
      <c r="H150" s="3" t="inlineStr">
        <is>
          <t>Paper: own-price elasticity</t>
        </is>
      </c>
      <c r="I150" s="3" t="inlineStr">
        <is>
          <t>elasticity</t>
        </is>
      </c>
      <c r="J150" s="118" t="inlineStr">
        <is>
          <t>HH_Elast</t>
        </is>
      </c>
      <c r="K150" s="9" t="str">
        <f>LOWER(CtryCode)&amp;".distn."&amp;$A150&amp;IF($B150="","","."&amp;$B150)&amp;IF($C150="","",".dec."&amp;$C150)&amp;"."&amp;K$5</f>
        <v>egy.distn.eps.pap.1</v>
      </c>
      <c r="L150" s="202">
        <f t="shared" ref="L150:V150" si="240">INDEX(DElVal,MATCH(CtryCode&amp;".distn."&amp;L$10&amp;"ove.mean"&amp;L$11,DElKey,0),MATCH($D150,DElVar,0))</f>
        <v>-1.174116015434265</v>
      </c>
      <c r="M150" s="196">
        <f t="shared" si="240"/>
        <v>-1.507830381393433</v>
      </c>
      <c r="N150" s="196">
        <f t="shared" si="240"/>
        <v>-1.507830381393433</v>
      </c>
      <c r="O150" s="196">
        <f t="shared" si="240"/>
        <v>-1.507830381393433</v>
      </c>
      <c r="P150" s="196">
        <f t="shared" si="240"/>
        <v>-1.026999950408936</v>
      </c>
      <c r="Q150" s="196">
        <f t="shared" si="240"/>
        <v>-1.026999950408936</v>
      </c>
      <c r="R150" s="196">
        <f t="shared" si="240"/>
        <v>-1.026999950408936</v>
      </c>
      <c r="S150" s="196">
        <f t="shared" si="240"/>
        <v>-1.026999950408936</v>
      </c>
      <c r="T150" s="196">
        <f t="shared" si="240"/>
        <v>-1.036556363105774</v>
      </c>
      <c r="U150" s="196">
        <f t="shared" si="240"/>
        <v>-1.036556363105774</v>
      </c>
      <c r="V150" s="196">
        <f t="shared" si="240"/>
        <v>-1.036556363105774</v>
      </c>
      <c r="W150" s="201" t="str">
        <f>IF(X$5=K$5,SUM(Y150:AI150)-SUM(L150:V150),"")</f>
        <v/>
      </c>
      <c r="X150" s="9" t="str">
        <f>LOWER(CtryCode)&amp;".distn."&amp;$A150&amp;IF($B150="","","."&amp;$B150)&amp;IF($C150="","",".dec."&amp;$C150)&amp;"."&amp;X$5</f>
        <v>egy.distn.eps.pap.2</v>
      </c>
      <c r="Y150" s="202">
        <f t="shared" ref="Y150:AI150" si="241">INDEX(DElVal,MATCH(CtryCode&amp;".distn."&amp;Y$10&amp;"ove.mean"&amp;Y$11,DElKey,0),MATCH($D150,DElVar,0))</f>
        <v>-1.174116015434265</v>
      </c>
      <c r="Z150" s="196">
        <f t="shared" si="241"/>
        <v>-1.507830381393433</v>
      </c>
      <c r="AA150" s="196">
        <f t="shared" si="241"/>
        <v>-1.507830381393433</v>
      </c>
      <c r="AB150" s="196">
        <f t="shared" si="241"/>
        <v>-1.507830381393433</v>
      </c>
      <c r="AC150" s="196">
        <f t="shared" si="241"/>
        <v>-1.026999950408936</v>
      </c>
      <c r="AD150" s="196">
        <f t="shared" si="241"/>
        <v>-1.026999950408936</v>
      </c>
      <c r="AE150" s="196">
        <f t="shared" si="241"/>
        <v>-1.026999950408936</v>
      </c>
      <c r="AF150" s="196">
        <f t="shared" si="241"/>
        <v>-1.026999950408936</v>
      </c>
      <c r="AG150" s="196">
        <f t="shared" si="241"/>
        <v>-1.036556363105774</v>
      </c>
      <c r="AH150" s="196">
        <f t="shared" si="241"/>
        <v>-1.036556363105774</v>
      </c>
      <c r="AI150" s="196">
        <f t="shared" si="241"/>
        <v>-1.036556363105774</v>
      </c>
    </row>
    <row r="151" hidden="1" outlineLevel="1">
      <c r="A151" s="44" t="inlineStr">
        <is>
          <t>eps</t>
        </is>
      </c>
      <c r="B151" s="3" t="inlineStr">
        <is>
          <t>pha</t>
        </is>
      </c>
      <c r="C151" s="3" t="inlineStr"/>
      <c r="D151" s="3" t="inlineStr">
        <is>
          <t>pharma_elasticity</t>
        </is>
      </c>
      <c r="E151" s="3" t="n"/>
      <c r="H151" s="3" t="inlineStr">
        <is>
          <t>Pharmaceuticals: own-price elasticity</t>
        </is>
      </c>
      <c r="I151" s="3" t="inlineStr">
        <is>
          <t>elasticity</t>
        </is>
      </c>
      <c r="J151" s="118" t="inlineStr">
        <is>
          <t>HH_Elast</t>
        </is>
      </c>
      <c r="K151" s="9" t="str">
        <f>LOWER(CtryCode)&amp;".distn."&amp;$A151&amp;IF($B151="","","."&amp;$B151)&amp;IF($C151="","",".dec."&amp;$C151)&amp;"."&amp;K$5</f>
        <v>egy.distn.eps.pha.1</v>
      </c>
      <c r="L151" s="202">
        <f t="shared" ref="L151:V151" si="242">INDEX(DElVal,MATCH(CtryCode&amp;".distn."&amp;L$10&amp;"ove.mean"&amp;L$11,DElKey,0),MATCH($D151,DElVar,0))</f>
        <v>-1.153762221336365</v>
      </c>
      <c r="M151" s="196">
        <f t="shared" si="242"/>
        <v>-1.449552416801453</v>
      </c>
      <c r="N151" s="196">
        <f t="shared" si="242"/>
        <v>-1.449552416801453</v>
      </c>
      <c r="O151" s="196">
        <f t="shared" si="242"/>
        <v>-1.449552416801453</v>
      </c>
      <c r="P151" s="196">
        <f t="shared" si="242"/>
        <v>-1.023000001907349</v>
      </c>
      <c r="Q151" s="196">
        <f t="shared" si="242"/>
        <v>-1.023000001907349</v>
      </c>
      <c r="R151" s="196">
        <f t="shared" si="242"/>
        <v>-1.023000001907349</v>
      </c>
      <c r="S151" s="196">
        <f t="shared" si="242"/>
        <v>-1.023000001907349</v>
      </c>
      <c r="T151" s="196">
        <f t="shared" si="242"/>
        <v>-1.032321572303772</v>
      </c>
      <c r="U151" s="196">
        <f t="shared" si="242"/>
        <v>-1.032321572303772</v>
      </c>
      <c r="V151" s="196">
        <f t="shared" si="242"/>
        <v>-1.032321572303772</v>
      </c>
      <c r="W151" s="201" t="str">
        <f>IF(X$5=K$5,SUM(Y151:AI151)-SUM(L151:V151),"")</f>
        <v/>
      </c>
      <c r="X151" s="9" t="str">
        <f>LOWER(CtryCode)&amp;".distn."&amp;$A151&amp;IF($B151="","","."&amp;$B151)&amp;IF($C151="","",".dec."&amp;$C151)&amp;"."&amp;X$5</f>
        <v>egy.distn.eps.pha.2</v>
      </c>
      <c r="Y151" s="202">
        <f t="shared" ref="Y151:AI151" si="243">INDEX(DElVal,MATCH(CtryCode&amp;".distn."&amp;Y$10&amp;"ove.mean"&amp;Y$11,DElKey,0),MATCH($D151,DElVar,0))</f>
        <v>-1.153762221336365</v>
      </c>
      <c r="Z151" s="196">
        <f t="shared" si="243"/>
        <v>-1.449552416801453</v>
      </c>
      <c r="AA151" s="196">
        <f t="shared" si="243"/>
        <v>-1.449552416801453</v>
      </c>
      <c r="AB151" s="196">
        <f t="shared" si="243"/>
        <v>-1.449552416801453</v>
      </c>
      <c r="AC151" s="196">
        <f t="shared" si="243"/>
        <v>-1.023000001907349</v>
      </c>
      <c r="AD151" s="196">
        <f t="shared" si="243"/>
        <v>-1.023000001907349</v>
      </c>
      <c r="AE151" s="196">
        <f t="shared" si="243"/>
        <v>-1.023000001907349</v>
      </c>
      <c r="AF151" s="196">
        <f t="shared" si="243"/>
        <v>-1.023000001907349</v>
      </c>
      <c r="AG151" s="196">
        <f t="shared" si="243"/>
        <v>-1.032321572303772</v>
      </c>
      <c r="AH151" s="196">
        <f t="shared" si="243"/>
        <v>-1.032321572303772</v>
      </c>
      <c r="AI151" s="196">
        <f t="shared" si="243"/>
        <v>-1.032321572303772</v>
      </c>
    </row>
    <row r="152" hidden="1" outlineLevel="1">
      <c r="A152" s="44" t="inlineStr">
        <is>
          <t>eps</t>
        </is>
      </c>
      <c r="B152" s="3" t="inlineStr">
        <is>
          <t>ret</t>
        </is>
      </c>
      <c r="C152" s="3" t="inlineStr"/>
      <c r="D152" s="3" t="inlineStr">
        <is>
          <t>rectourism_elasticity</t>
        </is>
      </c>
      <c r="E152" s="3" t="n"/>
      <c r="H152" s="3" t="inlineStr">
        <is>
          <t>Recreation and tourism: own-price elasticity</t>
        </is>
      </c>
      <c r="I152" s="3" t="inlineStr">
        <is>
          <t>elasticity</t>
        </is>
      </c>
      <c r="J152" s="118" t="inlineStr">
        <is>
          <t>HH_Elast</t>
        </is>
      </c>
      <c r="K152" s="9" t="str">
        <f>LOWER(CtryCode)&amp;".distn."&amp;$A152&amp;IF($B152="","","."&amp;$B152)&amp;IF($C152="","",".dec."&amp;$C152)&amp;"."&amp;K$5</f>
        <v>egy.distn.eps.ret.1</v>
      </c>
      <c r="L152" s="202">
        <f t="shared" ref="L152:V152" si="244">INDEX(DElVal,MATCH(CtryCode&amp;".distn."&amp;L$10&amp;"ove.mean"&amp;L$11,DElKey,0),MATCH($D152,DElVar,0))</f>
        <v>-1.520343899726868</v>
      </c>
      <c r="M152" s="196">
        <f t="shared" si="244"/>
        <v>-2.375121831893921</v>
      </c>
      <c r="N152" s="196">
        <f t="shared" si="244"/>
        <v>-2.375121831893921</v>
      </c>
      <c r="O152" s="196">
        <f t="shared" si="244"/>
        <v>-2.375121831893921</v>
      </c>
      <c r="P152" s="196">
        <f t="shared" si="244"/>
        <v>-1.146999955177307</v>
      </c>
      <c r="Q152" s="196">
        <f t="shared" si="244"/>
        <v>-1.146999955177307</v>
      </c>
      <c r="R152" s="196">
        <f t="shared" si="244"/>
        <v>-1.146999955177307</v>
      </c>
      <c r="S152" s="196">
        <f t="shared" si="244"/>
        <v>-1.146999955177307</v>
      </c>
      <c r="T152" s="196">
        <f t="shared" si="244"/>
        <v>-1.163357734680176</v>
      </c>
      <c r="U152" s="196">
        <f t="shared" si="244"/>
        <v>-1.163357734680176</v>
      </c>
      <c r="V152" s="196">
        <f t="shared" si="244"/>
        <v>-1.163357734680176</v>
      </c>
      <c r="W152" s="201" t="str">
        <f>IF(X$5=K$5,SUM(Y152:AI152)-SUM(L152:V152),"")</f>
        <v/>
      </c>
      <c r="X152" s="9" t="str">
        <f>LOWER(CtryCode)&amp;".distn."&amp;$A152&amp;IF($B152="","","."&amp;$B152)&amp;IF($C152="","",".dec."&amp;$C152)&amp;"."&amp;X$5</f>
        <v>egy.distn.eps.ret.2</v>
      </c>
      <c r="Y152" s="202">
        <f t="shared" ref="Y152:AI152" si="245">INDEX(DElVal,MATCH(CtryCode&amp;".distn."&amp;Y$10&amp;"ove.mean"&amp;Y$11,DElKey,0),MATCH($D152,DElVar,0))</f>
        <v>-1.520343899726868</v>
      </c>
      <c r="Z152" s="196">
        <f t="shared" si="245"/>
        <v>-2.375121831893921</v>
      </c>
      <c r="AA152" s="196">
        <f t="shared" si="245"/>
        <v>-2.375121831893921</v>
      </c>
      <c r="AB152" s="196">
        <f t="shared" si="245"/>
        <v>-2.375121831893921</v>
      </c>
      <c r="AC152" s="196">
        <f t="shared" si="245"/>
        <v>-1.146999955177307</v>
      </c>
      <c r="AD152" s="196">
        <f t="shared" si="245"/>
        <v>-1.146999955177307</v>
      </c>
      <c r="AE152" s="196">
        <f t="shared" si="245"/>
        <v>-1.146999955177307</v>
      </c>
      <c r="AF152" s="196">
        <f t="shared" si="245"/>
        <v>-1.146999955177307</v>
      </c>
      <c r="AG152" s="196">
        <f t="shared" si="245"/>
        <v>-1.163357734680176</v>
      </c>
      <c r="AH152" s="196">
        <f t="shared" si="245"/>
        <v>-1.163357734680176</v>
      </c>
      <c r="AI152" s="196">
        <f t="shared" si="245"/>
        <v>-1.163357734680176</v>
      </c>
    </row>
    <row r="153" hidden="1" outlineLevel="1">
      <c r="A153" s="44" t="inlineStr">
        <is>
          <t>eps</t>
        </is>
      </c>
      <c r="B153" s="3" t="inlineStr">
        <is>
          <t>teq</t>
        </is>
      </c>
      <c r="C153" s="3" t="inlineStr"/>
      <c r="D153" s="3" t="inlineStr">
        <is>
          <t>transp_eqt_elasticity</t>
        </is>
      </c>
      <c r="E153" s="3" t="n"/>
      <c r="H153" s="3" t="inlineStr">
        <is>
          <t>Transport equipment: own-price elasticity</t>
        </is>
      </c>
      <c r="I153" s="3" t="inlineStr">
        <is>
          <t>elasticity</t>
        </is>
      </c>
      <c r="J153" s="118" t="inlineStr">
        <is>
          <t>HH_Elast</t>
        </is>
      </c>
      <c r="K153" s="9" t="str">
        <f>LOWER(CtryCode)&amp;".distn."&amp;$A153&amp;IF($B153="","","."&amp;$B153)&amp;IF($C153="","",".dec."&amp;$C153)&amp;"."&amp;K$5</f>
        <v>egy.distn.eps.teq.1</v>
      </c>
      <c r="L153" s="202">
        <f t="shared" ref="L153:V153" si="246">INDEX(DElVal,MATCH(CtryCode&amp;".distn."&amp;L$10&amp;"ove.mean"&amp;L$11,DElKey,0),MATCH($D153,DElVar,0))</f>
        <v>-0.8737958073616028</v>
      </c>
      <c r="M153" s="196">
        <f t="shared" si="246"/>
        <v>-0.9036660194396973</v>
      </c>
      <c r="N153" s="196">
        <f t="shared" si="246"/>
        <v>-0.9036660194396973</v>
      </c>
      <c r="O153" s="196">
        <f t="shared" si="246"/>
        <v>-0.9036660194396973</v>
      </c>
      <c r="P153" s="196">
        <f t="shared" si="246"/>
        <v>-0.8600000143051147</v>
      </c>
      <c r="Q153" s="196">
        <f t="shared" si="246"/>
        <v>-0.8600000143051147</v>
      </c>
      <c r="R153" s="196">
        <f t="shared" si="246"/>
        <v>-0.8600000143051147</v>
      </c>
      <c r="S153" s="196">
        <f t="shared" si="246"/>
        <v>-0.8600000143051147</v>
      </c>
      <c r="T153" s="196">
        <f t="shared" si="246"/>
        <v>-0.8623199462890625</v>
      </c>
      <c r="U153" s="196">
        <f t="shared" si="246"/>
        <v>-0.8623199462890625</v>
      </c>
      <c r="V153" s="196">
        <f t="shared" si="246"/>
        <v>-0.8623199462890625</v>
      </c>
      <c r="W153" s="201" t="str">
        <f>IF(X$5=K$5,SUM(Y153:AI153)-SUM(L153:V153),"")</f>
        <v/>
      </c>
      <c r="X153" s="9" t="str">
        <f>LOWER(CtryCode)&amp;".distn."&amp;$A153&amp;IF($B153="","","."&amp;$B153)&amp;IF($C153="","",".dec."&amp;$C153)&amp;"."&amp;X$5</f>
        <v>egy.distn.eps.teq.2</v>
      </c>
      <c r="Y153" s="202">
        <f t="shared" ref="Y153:AI153" si="247">INDEX(DElVal,MATCH(CtryCode&amp;".distn."&amp;Y$10&amp;"ove.mean"&amp;Y$11,DElKey,0),MATCH($D153,DElVar,0))</f>
        <v>-0.8737958073616028</v>
      </c>
      <c r="Z153" s="196">
        <f t="shared" si="247"/>
        <v>-0.9036660194396973</v>
      </c>
      <c r="AA153" s="196">
        <f t="shared" si="247"/>
        <v>-0.9036660194396973</v>
      </c>
      <c r="AB153" s="196">
        <f t="shared" si="247"/>
        <v>-0.9036660194396973</v>
      </c>
      <c r="AC153" s="196">
        <f t="shared" si="247"/>
        <v>-0.8600000143051147</v>
      </c>
      <c r="AD153" s="196">
        <f t="shared" si="247"/>
        <v>-0.8600000143051147</v>
      </c>
      <c r="AE153" s="196">
        <f t="shared" si="247"/>
        <v>-0.8600000143051147</v>
      </c>
      <c r="AF153" s="196">
        <f t="shared" si="247"/>
        <v>-0.8600000143051147</v>
      </c>
      <c r="AG153" s="196">
        <f t="shared" si="247"/>
        <v>-0.8623199462890625</v>
      </c>
      <c r="AH153" s="196">
        <f t="shared" si="247"/>
        <v>-0.8623199462890625</v>
      </c>
      <c r="AI153" s="196">
        <f t="shared" si="247"/>
        <v>-0.8623199462890625</v>
      </c>
    </row>
    <row r="154" hidden="1" outlineLevel="1">
      <c r="A154" s="44" t="inlineStr">
        <is>
          <t>eps</t>
        </is>
      </c>
      <c r="B154" s="3" t="inlineStr">
        <is>
          <t>tpu</t>
        </is>
      </c>
      <c r="C154" s="3" t="inlineStr"/>
      <c r="D154" s="3" t="inlineStr">
        <is>
          <t>transp_pub_elasticity</t>
        </is>
      </c>
      <c r="E154" s="3" t="n"/>
      <c r="H154" s="3" t="inlineStr">
        <is>
          <t>Public transport: own-price elasticity</t>
        </is>
      </c>
      <c r="I154" s="3" t="inlineStr">
        <is>
          <t>elasticity</t>
        </is>
      </c>
      <c r="J154" s="118" t="inlineStr">
        <is>
          <t>HH_Elast</t>
        </is>
      </c>
      <c r="K154" s="9" t="str">
        <f>LOWER(CtryCode)&amp;".distn."&amp;$A154&amp;IF($B154="","","."&amp;$B154)&amp;IF($C154="","",".dec."&amp;$C154)&amp;"."&amp;K$5</f>
        <v>egy.distn.eps.tpu.1</v>
      </c>
      <c r="L154" s="202">
        <f t="shared" ref="L154:V154" si="248">INDEX(DElVal,MATCH(CtryCode&amp;".distn."&amp;L$10&amp;"ove.mean"&amp;L$11,DElKey,0),MATCH($D154,DElVar,0))</f>
        <v>-0.8737958073616028</v>
      </c>
      <c r="M154" s="196">
        <f t="shared" si="248"/>
        <v>-0.9036660194396973</v>
      </c>
      <c r="N154" s="196">
        <f t="shared" si="248"/>
        <v>-0.9036660194396973</v>
      </c>
      <c r="O154" s="196">
        <f t="shared" si="248"/>
        <v>-0.9036660194396973</v>
      </c>
      <c r="P154" s="196">
        <f t="shared" si="248"/>
        <v>-0.8600000143051147</v>
      </c>
      <c r="Q154" s="196">
        <f t="shared" si="248"/>
        <v>-0.8600000143051147</v>
      </c>
      <c r="R154" s="196">
        <f t="shared" si="248"/>
        <v>-0.8600000143051147</v>
      </c>
      <c r="S154" s="196">
        <f t="shared" si="248"/>
        <v>-0.8600000143051147</v>
      </c>
      <c r="T154" s="196">
        <f t="shared" si="248"/>
        <v>-0.8623199462890625</v>
      </c>
      <c r="U154" s="196">
        <f t="shared" si="248"/>
        <v>-0.8623199462890625</v>
      </c>
      <c r="V154" s="196">
        <f t="shared" si="248"/>
        <v>-0.8623199462890625</v>
      </c>
      <c r="W154" s="201" t="str">
        <f>IF(X$5=K$5,SUM(Y154:AI154)-SUM(L154:V154),"")</f>
        <v/>
      </c>
      <c r="X154" s="9" t="str">
        <f>LOWER(CtryCode)&amp;".distn."&amp;$A154&amp;IF($B154="","","."&amp;$B154)&amp;IF($C154="","",".dec."&amp;$C154)&amp;"."&amp;X$5</f>
        <v>egy.distn.eps.tpu.2</v>
      </c>
      <c r="Y154" s="202">
        <f t="shared" ref="Y154:AI154" si="249">INDEX(DElVal,MATCH(CtryCode&amp;".distn."&amp;Y$10&amp;"ove.mean"&amp;Y$11,DElKey,0),MATCH($D154,DElVar,0))</f>
        <v>-0.8737958073616028</v>
      </c>
      <c r="Z154" s="196">
        <f t="shared" si="249"/>
        <v>-0.9036660194396973</v>
      </c>
      <c r="AA154" s="196">
        <f t="shared" si="249"/>
        <v>-0.9036660194396973</v>
      </c>
      <c r="AB154" s="196">
        <f t="shared" si="249"/>
        <v>-0.9036660194396973</v>
      </c>
      <c r="AC154" s="196">
        <f t="shared" si="249"/>
        <v>-0.8600000143051147</v>
      </c>
      <c r="AD154" s="196">
        <f t="shared" si="249"/>
        <v>-0.8600000143051147</v>
      </c>
      <c r="AE154" s="196">
        <f t="shared" si="249"/>
        <v>-0.8600000143051147</v>
      </c>
      <c r="AF154" s="196">
        <f t="shared" si="249"/>
        <v>-0.8600000143051147</v>
      </c>
      <c r="AG154" s="196">
        <f t="shared" si="249"/>
        <v>-0.8623199462890625</v>
      </c>
      <c r="AH154" s="196">
        <f t="shared" si="249"/>
        <v>-0.8623199462890625</v>
      </c>
      <c r="AI154" s="196">
        <f t="shared" si="249"/>
        <v>-0.8623199462890625</v>
      </c>
    </row>
    <row r="155" hidden="1" outlineLevel="1"/>
    <row r="156" hidden="1" outlineLevel="1">
      <c r="B156" s="31" t="inlineStr">
        <is>
          <t>Price factor of each item: price change x (1 + price change)^elasticity (0 where exempt)</t>
        </is>
      </c>
    </row>
    <row r="157" hidden="1" outlineLevel="1">
      <c r="A157" s="44" t="inlineStr">
        <is>
          <t>fac</t>
        </is>
      </c>
      <c r="B157" s="3" t="inlineStr">
        <is>
          <t>coa</t>
        </is>
      </c>
      <c r="C157" s="3" t="inlineStr"/>
      <c r="D157" s="3" t="n"/>
      <c r="E157" s="3" t="n"/>
      <c r="H157" s="3" t="inlineStr">
        <is>
          <t>Coal: price factor</t>
        </is>
      </c>
      <c r="I157" s="3" t="inlineStr">
        <is>
          <t>fraction</t>
        </is>
      </c>
      <c r="J157" s="118" t="inlineStr">
        <is>
          <t>legacy rows 801-825</t>
        </is>
      </c>
      <c r="K157" s="9" t="str">
        <f>LOWER(CtryCode)&amp;".distn."&amp;$A157&amp;IF($B157="","","."&amp;$B157)&amp;IF($C157="","",".dec."&amp;$C157)&amp;"."&amp;K$5</f>
        <v>egy.distn.fac.coa.1</v>
      </c>
      <c r="L157" s="202">
        <f t="shared" ref="L157:V157" si="250">IF(AND(L$44=1,L$43=$B157),0,L$55*IF(LEFT(L$18,3)="Yes",(1+L$55)^L133,1))</f>
        <v>0.0</v>
      </c>
      <c r="M157" s="196">
        <f t="shared" si="250"/>
        <v>0.0</v>
      </c>
      <c r="N157" s="196">
        <f t="shared" si="250"/>
        <v>0.0</v>
      </c>
      <c r="O157" s="196">
        <f t="shared" si="250"/>
        <v>0.0</v>
      </c>
      <c r="P157" s="196">
        <f t="shared" si="250"/>
        <v>0.0</v>
      </c>
      <c r="Q157" s="196">
        <f t="shared" si="250"/>
        <v>0.0</v>
      </c>
      <c r="R157" s="196">
        <f t="shared" si="250"/>
        <v>0.0</v>
      </c>
      <c r="S157" s="196">
        <f t="shared" si="250"/>
        <v>0.0</v>
      </c>
      <c r="T157" s="196">
        <f t="shared" si="250"/>
        <v>0.0</v>
      </c>
      <c r="U157" s="196">
        <f t="shared" si="250"/>
        <v>0.0</v>
      </c>
      <c r="V157" s="196">
        <f t="shared" si="250"/>
        <v>0.0</v>
      </c>
      <c r="W157" s="201" t="str">
        <f>IF(X$5=K$5,SUM(Y157:AI157)-SUM(L157:V157),"")</f>
        <v/>
      </c>
      <c r="X157" s="9" t="str">
        <f>LOWER(CtryCode)&amp;".distn."&amp;$A157&amp;IF($B157="","","."&amp;$B157)&amp;IF($C157="","",".dec."&amp;$C157)&amp;"."&amp;X$5</f>
        <v>egy.distn.fac.coa.2</v>
      </c>
      <c r="Y157" s="202">
        <f t="shared" ref="Y157:AI157" si="251">IF(AND(Y$44=1,Y$43=$B157),0,Y$55*IF(LEFT(Y$18,3)="Yes",(1+Y$55)^Y133,1))</f>
        <v>0.13785187108282182</v>
      </c>
      <c r="Z157" s="196">
        <f t="shared" si="251"/>
        <v>0.1377674945969829</v>
      </c>
      <c r="AA157" s="196">
        <f t="shared" si="251"/>
        <v>0.1377674945969829</v>
      </c>
      <c r="AB157" s="196">
        <f t="shared" si="251"/>
        <v>0.1377674945969829</v>
      </c>
      <c r="AC157" s="196">
        <f t="shared" si="251"/>
        <v>0.13789125093486185</v>
      </c>
      <c r="AD157" s="196">
        <f t="shared" si="251"/>
        <v>0.13789125093486185</v>
      </c>
      <c r="AE157" s="196">
        <f t="shared" si="251"/>
        <v>0.13789125093486185</v>
      </c>
      <c r="AF157" s="196">
        <f t="shared" si="251"/>
        <v>0.13789125093486185</v>
      </c>
      <c r="AG157" s="196">
        <f t="shared" si="251"/>
        <v>0.13788377694333315</v>
      </c>
      <c r="AH157" s="196">
        <f t="shared" si="251"/>
        <v>0.13788377694333315</v>
      </c>
      <c r="AI157" s="196">
        <f t="shared" si="251"/>
        <v>0.13788377694333315</v>
      </c>
    </row>
    <row r="158" hidden="1" outlineLevel="1">
      <c r="A158" s="44" t="inlineStr">
        <is>
          <t>fac</t>
        </is>
      </c>
      <c r="B158" s="3" t="inlineStr">
        <is>
          <t>ely</t>
        </is>
      </c>
      <c r="C158" s="3" t="inlineStr"/>
      <c r="D158" s="3" t="n"/>
      <c r="E158" s="3" t="n"/>
      <c r="H158" s="3" t="inlineStr">
        <is>
          <t>Electricity: price factor</t>
        </is>
      </c>
      <c r="I158" s="3" t="inlineStr">
        <is>
          <t>fraction</t>
        </is>
      </c>
      <c r="J158" s="118" t="inlineStr">
        <is>
          <t>legacy rows 801-825</t>
        </is>
      </c>
      <c r="K158" s="9" t="str">
        <f>LOWER(CtryCode)&amp;".distn."&amp;$A158&amp;IF($B158="","","."&amp;$B158)&amp;IF($C158="","",".dec."&amp;$C158)&amp;"."&amp;K$5</f>
        <v>egy.distn.fac.ely.1</v>
      </c>
      <c r="L158" s="202">
        <f t="shared" ref="L158:V158" si="252">IF(AND(L$44=1,L$43=$B158),0,L$56*IF(LEFT(L$18,3)="Yes",(1+L$56)^L134,1))</f>
        <v>0.0</v>
      </c>
      <c r="M158" s="196">
        <f t="shared" si="252"/>
        <v>0.0</v>
      </c>
      <c r="N158" s="196">
        <f t="shared" si="252"/>
        <v>0.0</v>
      </c>
      <c r="O158" s="196">
        <f t="shared" si="252"/>
        <v>0.0</v>
      </c>
      <c r="P158" s="196">
        <f t="shared" si="252"/>
        <v>0.0</v>
      </c>
      <c r="Q158" s="196">
        <f t="shared" si="252"/>
        <v>0.0</v>
      </c>
      <c r="R158" s="196">
        <f t="shared" si="252"/>
        <v>0.0</v>
      </c>
      <c r="S158" s="196">
        <f t="shared" si="252"/>
        <v>0.0</v>
      </c>
      <c r="T158" s="196">
        <f t="shared" si="252"/>
        <v>0.0</v>
      </c>
      <c r="U158" s="196">
        <f t="shared" si="252"/>
        <v>0.0</v>
      </c>
      <c r="V158" s="196">
        <f t="shared" si="252"/>
        <v>0.0</v>
      </c>
      <c r="W158" s="201" t="str">
        <f>IF(X$5=K$5,SUM(Y158:AI158)-SUM(L158:V158),"")</f>
        <v/>
      </c>
      <c r="X158" s="9" t="str">
        <f>LOWER(CtryCode)&amp;".distn."&amp;$A158&amp;IF($B158="","","."&amp;$B158)&amp;IF($C158="","",".dec."&amp;$C158)&amp;"."&amp;X$5</f>
        <v>egy.distn.fac.ely.2</v>
      </c>
      <c r="Y158" s="202">
        <f t="shared" ref="Y158:AI158" si="253">IF(AND(Y$44=1,Y$43=$B158),0,Y$56*IF(LEFT(Y$18,3)="Yes",(1+Y$56)^Y134,1))</f>
        <v>0.1614494321213089</v>
      </c>
      <c r="Z158" s="196">
        <f t="shared" si="253"/>
        <v>0.1613328859679799</v>
      </c>
      <c r="AA158" s="196">
        <f t="shared" si="253"/>
        <v>0.1613328859679799</v>
      </c>
      <c r="AB158" s="196">
        <f t="shared" si="253"/>
        <v>0.1613328859679799</v>
      </c>
      <c r="AC158" s="196">
        <f t="shared" si="253"/>
        <v>0.16150383045227606</v>
      </c>
      <c r="AD158" s="196">
        <f t="shared" si="253"/>
        <v>0.16150383045227606</v>
      </c>
      <c r="AE158" s="196">
        <f t="shared" si="253"/>
        <v>0.16150383045227606</v>
      </c>
      <c r="AF158" s="196">
        <f t="shared" si="253"/>
        <v>0.16150383045227606</v>
      </c>
      <c r="AG158" s="196">
        <f t="shared" si="253"/>
        <v>0.1614935058551735</v>
      </c>
      <c r="AH158" s="196">
        <f t="shared" si="253"/>
        <v>0.1614935058551735</v>
      </c>
      <c r="AI158" s="196">
        <f t="shared" si="253"/>
        <v>0.1614935058551735</v>
      </c>
    </row>
    <row r="159" hidden="1" outlineLevel="1">
      <c r="A159" s="44" t="inlineStr">
        <is>
          <t>fac</t>
        </is>
      </c>
      <c r="B159" s="3" t="inlineStr">
        <is>
          <t>nga</t>
        </is>
      </c>
      <c r="C159" s="3" t="inlineStr"/>
      <c r="D159" s="3" t="n"/>
      <c r="E159" s="3" t="n"/>
      <c r="H159" s="3" t="inlineStr">
        <is>
          <t>Natural gas: price factor</t>
        </is>
      </c>
      <c r="I159" s="3" t="inlineStr">
        <is>
          <t>fraction</t>
        </is>
      </c>
      <c r="J159" s="118" t="inlineStr">
        <is>
          <t>legacy rows 801-825</t>
        </is>
      </c>
      <c r="K159" s="9" t="str">
        <f>LOWER(CtryCode)&amp;".distn."&amp;$A159&amp;IF($B159="","","."&amp;$B159)&amp;IF($C159="","",".dec."&amp;$C159)&amp;"."&amp;K$5</f>
        <v>egy.distn.fac.nga.1</v>
      </c>
      <c r="L159" s="202">
        <f t="shared" ref="L159:V159" si="254">IF(AND(L$44=1,L$43=$B159),0,L$57*IF(LEFT(L$18,3)="Yes",(1+L$57)^L135,1))</f>
        <v>0.0</v>
      </c>
      <c r="M159" s="196">
        <f t="shared" si="254"/>
        <v>0.0</v>
      </c>
      <c r="N159" s="196">
        <f t="shared" si="254"/>
        <v>0.0</v>
      </c>
      <c r="O159" s="196">
        <f t="shared" si="254"/>
        <v>0.0</v>
      </c>
      <c r="P159" s="196">
        <f t="shared" si="254"/>
        <v>0.0</v>
      </c>
      <c r="Q159" s="196">
        <f t="shared" si="254"/>
        <v>0.0</v>
      </c>
      <c r="R159" s="196">
        <f t="shared" si="254"/>
        <v>0.0</v>
      </c>
      <c r="S159" s="196">
        <f t="shared" si="254"/>
        <v>0.0</v>
      </c>
      <c r="T159" s="196">
        <f t="shared" si="254"/>
        <v>0.0</v>
      </c>
      <c r="U159" s="196">
        <f t="shared" si="254"/>
        <v>0.0</v>
      </c>
      <c r="V159" s="196">
        <f t="shared" si="254"/>
        <v>0.0</v>
      </c>
      <c r="W159" s="201" t="str">
        <f>IF(X$5=K$5,SUM(Y159:AI159)-SUM(L159:V159),"")</f>
        <v/>
      </c>
      <c r="X159" s="9" t="str">
        <f>LOWER(CtryCode)&amp;".distn."&amp;$A159&amp;IF($B159="","","."&amp;$B159)&amp;IF($C159="","",".dec."&amp;$C159)&amp;"."&amp;X$5</f>
        <v>egy.distn.fac.nga.2</v>
      </c>
      <c r="Y159" s="202">
        <f t="shared" ref="Y159:AI159" si="255">IF(AND(Y$44=1,Y$43=$B159),0,Y$57*IF(LEFT(Y$18,3)="Yes",(1+Y$57)^Y135,1))</f>
        <v>0.42348383117010086</v>
      </c>
      <c r="Z159" s="196">
        <f t="shared" si="255"/>
        <v>0.4226150637410386</v>
      </c>
      <c r="AA159" s="196">
        <f t="shared" si="255"/>
        <v>0.4226150637410386</v>
      </c>
      <c r="AB159" s="196">
        <f t="shared" si="255"/>
        <v>0.4226150637410386</v>
      </c>
      <c r="AC159" s="196">
        <f t="shared" si="255"/>
        <v>0.4238897274831384</v>
      </c>
      <c r="AD159" s="196">
        <f t="shared" si="255"/>
        <v>0.4238897274831384</v>
      </c>
      <c r="AE159" s="196">
        <f t="shared" si="255"/>
        <v>0.4238897274831384</v>
      </c>
      <c r="AF159" s="196">
        <f t="shared" si="255"/>
        <v>0.4238897274831384</v>
      </c>
      <c r="AG159" s="196">
        <f t="shared" si="255"/>
        <v>0.42381267051602817</v>
      </c>
      <c r="AH159" s="196">
        <f t="shared" si="255"/>
        <v>0.42381267051602817</v>
      </c>
      <c r="AI159" s="196">
        <f t="shared" si="255"/>
        <v>0.42381267051602817</v>
      </c>
    </row>
    <row r="160" hidden="1" outlineLevel="1">
      <c r="A160" s="44" t="inlineStr">
        <is>
          <t>fac</t>
        </is>
      </c>
      <c r="B160" s="3" t="inlineStr">
        <is>
          <t>oil</t>
        </is>
      </c>
      <c r="C160" s="3" t="inlineStr"/>
      <c r="D160" s="3" t="n"/>
      <c r="E160" s="3" t="n"/>
      <c r="H160" s="3" t="inlineStr">
        <is>
          <t>Other oil products: price factor</t>
        </is>
      </c>
      <c r="I160" s="3" t="inlineStr">
        <is>
          <t>fraction</t>
        </is>
      </c>
      <c r="J160" s="118" t="inlineStr">
        <is>
          <t>legacy rows 801-825</t>
        </is>
      </c>
      <c r="K160" s="9" t="str">
        <f>LOWER(CtryCode)&amp;".distn."&amp;$A160&amp;IF($B160="","","."&amp;$B160)&amp;IF($C160="","",".dec."&amp;$C160)&amp;"."&amp;K$5</f>
        <v>egy.distn.fac.oil.1</v>
      </c>
      <c r="L160" s="202">
        <f t="shared" ref="L160:V160" si="256">IF(AND(L$44=1,L$43=$B160),0,L$58*IF(LEFT(L$18,3)="Yes",(1+L$58)^L136,1))</f>
        <v>0.0</v>
      </c>
      <c r="M160" s="196">
        <f t="shared" si="256"/>
        <v>0.0</v>
      </c>
      <c r="N160" s="196">
        <f t="shared" si="256"/>
        <v>0.0</v>
      </c>
      <c r="O160" s="196">
        <f t="shared" si="256"/>
        <v>0.0</v>
      </c>
      <c r="P160" s="196">
        <f t="shared" si="256"/>
        <v>0.0</v>
      </c>
      <c r="Q160" s="196">
        <f t="shared" si="256"/>
        <v>0.0</v>
      </c>
      <c r="R160" s="196">
        <f t="shared" si="256"/>
        <v>0.0</v>
      </c>
      <c r="S160" s="196">
        <f t="shared" si="256"/>
        <v>0.0</v>
      </c>
      <c r="T160" s="196">
        <f t="shared" si="256"/>
        <v>0.0</v>
      </c>
      <c r="U160" s="196">
        <f t="shared" si="256"/>
        <v>0.0</v>
      </c>
      <c r="V160" s="196">
        <f t="shared" si="256"/>
        <v>0.0</v>
      </c>
      <c r="W160" s="201" t="str">
        <f>IF(X$5=K$5,SUM(Y160:AI160)-SUM(L160:V160),"")</f>
        <v/>
      </c>
      <c r="X160" s="9" t="str">
        <f>LOWER(CtryCode)&amp;".distn."&amp;$A160&amp;IF($B160="","","."&amp;$B160)&amp;IF($C160="","",".dec."&amp;$C160)&amp;"."&amp;X$5</f>
        <v>egy.distn.fac.oil.2</v>
      </c>
      <c r="Y160" s="202">
        <f t="shared" ref="Y160:AI160" si="257">IF(AND(Y$44=1,Y$43=$B160),0,Y$58*IF(LEFT(Y$18,3)="Yes",(1+Y$58)^Y136,1))</f>
        <v>0.28572421789549224</v>
      </c>
      <c r="Z160" s="196">
        <f t="shared" si="257"/>
        <v>0.28534527985160757</v>
      </c>
      <c r="AA160" s="196">
        <f t="shared" si="257"/>
        <v>0.28534527985160757</v>
      </c>
      <c r="AB160" s="196">
        <f t="shared" si="257"/>
        <v>0.28534527985160757</v>
      </c>
      <c r="AC160" s="196">
        <f t="shared" si="257"/>
        <v>0.2859011670442785</v>
      </c>
      <c r="AD160" s="196">
        <f t="shared" si="257"/>
        <v>0.2859011670442785</v>
      </c>
      <c r="AE160" s="196">
        <f t="shared" si="257"/>
        <v>0.2859011670442785</v>
      </c>
      <c r="AF160" s="196">
        <f t="shared" si="257"/>
        <v>0.2859011670442785</v>
      </c>
      <c r="AG160" s="196">
        <f t="shared" si="257"/>
        <v>0.28586757892658876</v>
      </c>
      <c r="AH160" s="196">
        <f t="shared" si="257"/>
        <v>0.28586757892658876</v>
      </c>
      <c r="AI160" s="196">
        <f t="shared" si="257"/>
        <v>0.28586757892658876</v>
      </c>
    </row>
    <row r="161" hidden="1" outlineLevel="1">
      <c r="A161" s="44" t="inlineStr">
        <is>
          <t>fac</t>
        </is>
      </c>
      <c r="B161" s="3" t="inlineStr">
        <is>
          <t>gso</t>
        </is>
      </c>
      <c r="C161" s="3" t="inlineStr"/>
      <c r="D161" s="3" t="n"/>
      <c r="E161" s="3" t="n"/>
      <c r="H161" s="3" t="inlineStr">
        <is>
          <t>Gasoline: price factor</t>
        </is>
      </c>
      <c r="I161" s="3" t="inlineStr">
        <is>
          <t>fraction</t>
        </is>
      </c>
      <c r="J161" s="118" t="inlineStr">
        <is>
          <t>legacy rows 801-825</t>
        </is>
      </c>
      <c r="K161" s="9" t="str">
        <f>LOWER(CtryCode)&amp;".distn."&amp;$A161&amp;IF($B161="","","."&amp;$B161)&amp;IF($C161="","",".dec."&amp;$C161)&amp;"."&amp;K$5</f>
        <v>egy.distn.fac.gso.1</v>
      </c>
      <c r="L161" s="202">
        <f t="shared" ref="L161:V161" si="258">IF(AND(L$44=1,L$43=$B161),0,L$59*IF(LEFT(L$18,3)="Yes",(1+L$59)^L137,1))</f>
        <v>0.0</v>
      </c>
      <c r="M161" s="196">
        <f t="shared" si="258"/>
        <v>0.0</v>
      </c>
      <c r="N161" s="196">
        <f t="shared" si="258"/>
        <v>0.0</v>
      </c>
      <c r="O161" s="196">
        <f t="shared" si="258"/>
        <v>0.0</v>
      </c>
      <c r="P161" s="196">
        <f t="shared" si="258"/>
        <v>0.0</v>
      </c>
      <c r="Q161" s="196">
        <f t="shared" si="258"/>
        <v>0.0</v>
      </c>
      <c r="R161" s="196">
        <f t="shared" si="258"/>
        <v>0.0</v>
      </c>
      <c r="S161" s="196">
        <f t="shared" si="258"/>
        <v>0.0</v>
      </c>
      <c r="T161" s="196">
        <f t="shared" si="258"/>
        <v>0.0</v>
      </c>
      <c r="U161" s="196">
        <f t="shared" si="258"/>
        <v>0.0</v>
      </c>
      <c r="V161" s="196">
        <f t="shared" si="258"/>
        <v>0.0</v>
      </c>
      <c r="W161" s="201" t="str">
        <f>IF(X$5=K$5,SUM(Y161:AI161)-SUM(L161:V161),"")</f>
        <v/>
      </c>
      <c r="X161" s="9" t="str">
        <f>LOWER(CtryCode)&amp;".distn."&amp;$A161&amp;IF($B161="","","."&amp;$B161)&amp;IF($C161="","",".dec."&amp;$C161)&amp;"."&amp;X$5</f>
        <v>egy.distn.fac.gso.2</v>
      </c>
      <c r="Y161" s="202">
        <f t="shared" ref="Y161:AI161" si="259">IF(AND(Y$44=1,Y$43=$B161),0,Y$59*IF(LEFT(Y$18,3)="Yes",(1+Y$59)^Y137,1))</f>
        <v>0.13217498139391512</v>
      </c>
      <c r="Z161" s="196">
        <f t="shared" si="259"/>
        <v>0.13162687019735778</v>
      </c>
      <c r="AA161" s="196">
        <f t="shared" si="259"/>
        <v>0.13162687019735778</v>
      </c>
      <c r="AB161" s="196">
        <f t="shared" si="259"/>
        <v>0.13162687019735778</v>
      </c>
      <c r="AC161" s="196">
        <f t="shared" si="259"/>
        <v>0.13242890080529682</v>
      </c>
      <c r="AD161" s="196">
        <f t="shared" si="259"/>
        <v>0.13242890080529682</v>
      </c>
      <c r="AE161" s="196">
        <f t="shared" si="259"/>
        <v>0.13242890080529682</v>
      </c>
      <c r="AF161" s="196">
        <f t="shared" si="259"/>
        <v>0.13242890080529682</v>
      </c>
      <c r="AG161" s="196">
        <f t="shared" si="259"/>
        <v>0.1323861670465055</v>
      </c>
      <c r="AH161" s="196">
        <f t="shared" si="259"/>
        <v>0.1323861670465055</v>
      </c>
      <c r="AI161" s="196">
        <f t="shared" si="259"/>
        <v>0.1323861670465055</v>
      </c>
    </row>
    <row r="162" hidden="1" outlineLevel="1">
      <c r="A162" s="44" t="inlineStr">
        <is>
          <t>fac</t>
        </is>
      </c>
      <c r="B162" s="3" t="inlineStr">
        <is>
          <t>die</t>
        </is>
      </c>
      <c r="C162" s="3" t="inlineStr"/>
      <c r="D162" s="3" t="n"/>
      <c r="E162" s="3" t="n"/>
      <c r="H162" s="3" t="inlineStr">
        <is>
          <t>Diesel: price factor</t>
        </is>
      </c>
      <c r="I162" s="3" t="inlineStr">
        <is>
          <t>fraction</t>
        </is>
      </c>
      <c r="J162" s="118" t="inlineStr">
        <is>
          <t>legacy rows 801-825</t>
        </is>
      </c>
      <c r="K162" s="9" t="str">
        <f>LOWER(CtryCode)&amp;".distn."&amp;$A162&amp;IF($B162="","","."&amp;$B162)&amp;IF($C162="","",".dec."&amp;$C162)&amp;"."&amp;K$5</f>
        <v>egy.distn.fac.die.1</v>
      </c>
      <c r="L162" s="202">
        <f t="shared" ref="L162:V162" si="260">IF(AND(L$44=1,L$43=$B162),0,L$60*IF(LEFT(L$18,3)="Yes",(1+L$60)^L138,1))</f>
        <v>0.0</v>
      </c>
      <c r="M162" s="196">
        <f t="shared" si="260"/>
        <v>0.0</v>
      </c>
      <c r="N162" s="196">
        <f t="shared" si="260"/>
        <v>0.0</v>
      </c>
      <c r="O162" s="196">
        <f t="shared" si="260"/>
        <v>0.0</v>
      </c>
      <c r="P162" s="196">
        <f t="shared" si="260"/>
        <v>0.0</v>
      </c>
      <c r="Q162" s="196">
        <f t="shared" si="260"/>
        <v>0.0</v>
      </c>
      <c r="R162" s="196">
        <f t="shared" si="260"/>
        <v>0.0</v>
      </c>
      <c r="S162" s="196">
        <f t="shared" si="260"/>
        <v>0.0</v>
      </c>
      <c r="T162" s="196">
        <f t="shared" si="260"/>
        <v>0.0</v>
      </c>
      <c r="U162" s="196">
        <f t="shared" si="260"/>
        <v>0.0</v>
      </c>
      <c r="V162" s="196">
        <f t="shared" si="260"/>
        <v>0.0</v>
      </c>
      <c r="W162" s="201" t="str">
        <f>IF(X$5=K$5,SUM(Y162:AI162)-SUM(L162:V162),"")</f>
        <v/>
      </c>
      <c r="X162" s="9" t="str">
        <f>LOWER(CtryCode)&amp;".distn."&amp;$A162&amp;IF($B162="","","."&amp;$B162)&amp;IF($C162="","",".dec."&amp;$C162)&amp;"."&amp;X$5</f>
        <v>egy.distn.fac.die.2</v>
      </c>
      <c r="Y162" s="202">
        <f t="shared" ref="Y162:AI162" si="261">IF(AND(Y$44=1,Y$43=$B162),0,Y$60*IF(LEFT(Y$18,3)="Yes",(1+Y$60)^Y138,1))</f>
        <v>0.180700802493383</v>
      </c>
      <c r="Z162" s="196">
        <f t="shared" si="261"/>
        <v>0.17965677650874973</v>
      </c>
      <c r="AA162" s="196">
        <f t="shared" si="261"/>
        <v>0.17965677650874973</v>
      </c>
      <c r="AB162" s="196">
        <f t="shared" si="261"/>
        <v>0.17965677650874973</v>
      </c>
      <c r="AC162" s="196">
        <f t="shared" si="261"/>
        <v>0.18118504015276748</v>
      </c>
      <c r="AD162" s="196">
        <f t="shared" si="261"/>
        <v>0.18118504015276748</v>
      </c>
      <c r="AE162" s="196">
        <f t="shared" si="261"/>
        <v>0.18118504015276748</v>
      </c>
      <c r="AF162" s="196">
        <f t="shared" si="261"/>
        <v>0.18118504015276748</v>
      </c>
      <c r="AG162" s="196">
        <f t="shared" si="261"/>
        <v>0.181103518979606</v>
      </c>
      <c r="AH162" s="196">
        <f t="shared" si="261"/>
        <v>0.181103518979606</v>
      </c>
      <c r="AI162" s="196">
        <f t="shared" si="261"/>
        <v>0.181103518979606</v>
      </c>
    </row>
    <row r="163" hidden="1" outlineLevel="1">
      <c r="A163" s="44" t="inlineStr">
        <is>
          <t>fac</t>
        </is>
      </c>
      <c r="B163" s="3" t="inlineStr">
        <is>
          <t>ker</t>
        </is>
      </c>
      <c r="C163" s="3" t="inlineStr"/>
      <c r="D163" s="3" t="n"/>
      <c r="E163" s="3" t="n"/>
      <c r="H163" s="3" t="inlineStr">
        <is>
          <t>Kerosene: price factor</t>
        </is>
      </c>
      <c r="I163" s="3" t="inlineStr">
        <is>
          <t>fraction</t>
        </is>
      </c>
      <c r="J163" s="118" t="inlineStr">
        <is>
          <t>legacy rows 801-825</t>
        </is>
      </c>
      <c r="K163" s="9" t="str">
        <f>LOWER(CtryCode)&amp;".distn."&amp;$A163&amp;IF($B163="","","."&amp;$B163)&amp;IF($C163="","",".dec."&amp;$C163)&amp;"."&amp;K$5</f>
        <v>egy.distn.fac.ker.1</v>
      </c>
      <c r="L163" s="202">
        <f t="shared" ref="L163:V163" si="262">IF(AND(L$44=1,L$43=$B163),0,L$61*IF(LEFT(L$18,3)="Yes",(1+L$61)^L139,1))</f>
        <v>0.0</v>
      </c>
      <c r="M163" s="196">
        <f t="shared" si="262"/>
        <v>0.0</v>
      </c>
      <c r="N163" s="196">
        <f t="shared" si="262"/>
        <v>0.0</v>
      </c>
      <c r="O163" s="196">
        <f t="shared" si="262"/>
        <v>0.0</v>
      </c>
      <c r="P163" s="196">
        <f t="shared" si="262"/>
        <v>0.0</v>
      </c>
      <c r="Q163" s="196">
        <f t="shared" si="262"/>
        <v>0.0</v>
      </c>
      <c r="R163" s="196">
        <f t="shared" si="262"/>
        <v>0.0</v>
      </c>
      <c r="S163" s="196">
        <f t="shared" si="262"/>
        <v>0.0</v>
      </c>
      <c r="T163" s="196">
        <f t="shared" si="262"/>
        <v>0.0</v>
      </c>
      <c r="U163" s="196">
        <f t="shared" si="262"/>
        <v>0.0</v>
      </c>
      <c r="V163" s="196">
        <f t="shared" si="262"/>
        <v>0.0</v>
      </c>
      <c r="W163" s="201" t="str">
        <f>IF(X$5=K$5,SUM(Y163:AI163)-SUM(L163:V163),"")</f>
        <v/>
      </c>
      <c r="X163" s="9" t="str">
        <f>LOWER(CtryCode)&amp;".distn."&amp;$A163&amp;IF($B163="","","."&amp;$B163)&amp;IF($C163="","",".dec."&amp;$C163)&amp;"."&amp;X$5</f>
        <v>egy.distn.fac.ker.2</v>
      </c>
      <c r="Y163" s="202">
        <f t="shared" ref="Y163:AI163" si="263">IF(AND(Y$44=1,Y$43=$B163),0,Y$61*IF(LEFT(Y$18,3)="Yes",(1+Y$61)^Y139,1))</f>
        <v>0.16792624704625186</v>
      </c>
      <c r="Z163" s="196">
        <f t="shared" si="263"/>
        <v>0.16779991992340113</v>
      </c>
      <c r="AA163" s="196">
        <f t="shared" si="263"/>
        <v>0.16779991992340113</v>
      </c>
      <c r="AB163" s="196">
        <f t="shared" si="263"/>
        <v>0.16779991992340113</v>
      </c>
      <c r="AC163" s="196">
        <f t="shared" si="263"/>
        <v>0.1679852119948757</v>
      </c>
      <c r="AD163" s="196">
        <f t="shared" si="263"/>
        <v>0.1679852119948757</v>
      </c>
      <c r="AE163" s="196">
        <f t="shared" si="263"/>
        <v>0.1679852119948757</v>
      </c>
      <c r="AF163" s="196">
        <f t="shared" si="263"/>
        <v>0.1679852119948757</v>
      </c>
      <c r="AG163" s="196">
        <f t="shared" si="263"/>
        <v>0.16797402060669736</v>
      </c>
      <c r="AH163" s="196">
        <f t="shared" si="263"/>
        <v>0.16797402060669736</v>
      </c>
      <c r="AI163" s="196">
        <f t="shared" si="263"/>
        <v>0.16797402060669736</v>
      </c>
    </row>
    <row r="164" hidden="1" outlineLevel="1">
      <c r="A164" s="44" t="inlineStr">
        <is>
          <t>fac</t>
        </is>
      </c>
      <c r="B164" s="3" t="inlineStr">
        <is>
          <t>lpg</t>
        </is>
      </c>
      <c r="C164" s="3" t="inlineStr"/>
      <c r="D164" s="3" t="n"/>
      <c r="E164" s="3" t="n"/>
      <c r="H164" s="3" t="inlineStr">
        <is>
          <t>LPG: price factor</t>
        </is>
      </c>
      <c r="I164" s="3" t="inlineStr">
        <is>
          <t>fraction</t>
        </is>
      </c>
      <c r="J164" s="118" t="inlineStr">
        <is>
          <t>legacy rows 801-825</t>
        </is>
      </c>
      <c r="K164" s="9" t="str">
        <f>LOWER(CtryCode)&amp;".distn."&amp;$A164&amp;IF($B164="","","."&amp;$B164)&amp;IF($C164="","",".dec."&amp;$C164)&amp;"."&amp;K$5</f>
        <v>egy.distn.fac.lpg.1</v>
      </c>
      <c r="L164" s="202">
        <f t="shared" ref="L164:V164" si="264">IF(AND(L$44=1,L$43=$B164),0,L$62*IF(LEFT(L$18,3)="Yes",(1+L$62)^L140,1))</f>
        <v>0.0</v>
      </c>
      <c r="M164" s="196">
        <f t="shared" si="264"/>
        <v>0.0</v>
      </c>
      <c r="N164" s="196">
        <f t="shared" si="264"/>
        <v>0.0</v>
      </c>
      <c r="O164" s="196">
        <f t="shared" si="264"/>
        <v>0.0</v>
      </c>
      <c r="P164" s="196">
        <f t="shared" si="264"/>
        <v>0.0</v>
      </c>
      <c r="Q164" s="196">
        <f t="shared" si="264"/>
        <v>0.0</v>
      </c>
      <c r="R164" s="196">
        <f t="shared" si="264"/>
        <v>0.0</v>
      </c>
      <c r="S164" s="196">
        <f t="shared" si="264"/>
        <v>0.0</v>
      </c>
      <c r="T164" s="196">
        <f t="shared" si="264"/>
        <v>0.0</v>
      </c>
      <c r="U164" s="196">
        <f t="shared" si="264"/>
        <v>0.0</v>
      </c>
      <c r="V164" s="196">
        <f t="shared" si="264"/>
        <v>0.0</v>
      </c>
      <c r="W164" s="201" t="str">
        <f>IF(X$5=K$5,SUM(Y164:AI164)-SUM(L164:V164),"")</f>
        <v/>
      </c>
      <c r="X164" s="9" t="str">
        <f>LOWER(CtryCode)&amp;".distn."&amp;$A164&amp;IF($B164="","","."&amp;$B164)&amp;IF($C164="","",".dec."&amp;$C164)&amp;"."&amp;X$5</f>
        <v>egy.distn.fac.lpg.2</v>
      </c>
      <c r="Y164" s="202">
        <f t="shared" ref="Y164:AI164" si="265">IF(AND(Y$44=1,Y$43=$B164),0,Y$62*IF(LEFT(Y$18,3)="Yes",(1+Y$62)^Y140,1))</f>
        <v>0.2674158369382153</v>
      </c>
      <c r="Z164" s="196">
        <f t="shared" si="265"/>
        <v>0.26708575342386065</v>
      </c>
      <c r="AA164" s="196">
        <f t="shared" si="265"/>
        <v>0.26708575342386065</v>
      </c>
      <c r="AB164" s="196">
        <f t="shared" si="265"/>
        <v>0.26708575342386065</v>
      </c>
      <c r="AC164" s="196">
        <f t="shared" si="265"/>
        <v>0.2675699625475374</v>
      </c>
      <c r="AD164" s="196">
        <f t="shared" si="265"/>
        <v>0.2675699625475374</v>
      </c>
      <c r="AE164" s="196">
        <f t="shared" si="265"/>
        <v>0.2675699625475374</v>
      </c>
      <c r="AF164" s="196">
        <f t="shared" si="265"/>
        <v>0.2675699625475374</v>
      </c>
      <c r="AG164" s="196">
        <f t="shared" si="265"/>
        <v>0.2675407072550761</v>
      </c>
      <c r="AH164" s="196">
        <f t="shared" si="265"/>
        <v>0.2675407072550761</v>
      </c>
      <c r="AI164" s="196">
        <f t="shared" si="265"/>
        <v>0.2675407072550761</v>
      </c>
    </row>
    <row r="165" hidden="1" outlineLevel="1">
      <c r="A165" s="44" t="inlineStr">
        <is>
          <t>fac</t>
        </is>
      </c>
      <c r="B165" s="3" t="inlineStr">
        <is>
          <t>app</t>
        </is>
      </c>
      <c r="C165" s="3" t="inlineStr"/>
      <c r="D165" s="3" t="n"/>
      <c r="E165" s="3" t="n"/>
      <c r="H165" s="3" t="inlineStr">
        <is>
          <t>Appliances: price factor</t>
        </is>
      </c>
      <c r="I165" s="3" t="inlineStr">
        <is>
          <t>fraction</t>
        </is>
      </c>
      <c r="J165" s="118" t="inlineStr">
        <is>
          <t>legacy rows 801-825</t>
        </is>
      </c>
      <c r="K165" s="9" t="str">
        <f>LOWER(CtryCode)&amp;".distn."&amp;$A165&amp;IF($B165="","","."&amp;$B165)&amp;IF($C165="","",".dec."&amp;$C165)&amp;"."&amp;K$5</f>
        <v>egy.distn.fac.app.1</v>
      </c>
      <c r="L165" s="202">
        <f t="shared" ref="L165:V165" si="266">L$113*IF(LEFT(L$18,3)="Yes",(1+L$113)^L141,1)</f>
        <v>0.0</v>
      </c>
      <c r="M165" s="196">
        <f t="shared" si="266"/>
        <v>0.0</v>
      </c>
      <c r="N165" s="196">
        <f t="shared" si="266"/>
        <v>0.0</v>
      </c>
      <c r="O165" s="196">
        <f t="shared" si="266"/>
        <v>0.0</v>
      </c>
      <c r="P165" s="196">
        <f t="shared" si="266"/>
        <v>0.0</v>
      </c>
      <c r="Q165" s="196">
        <f t="shared" si="266"/>
        <v>0.0</v>
      </c>
      <c r="R165" s="196">
        <f t="shared" si="266"/>
        <v>0.0</v>
      </c>
      <c r="S165" s="196">
        <f t="shared" si="266"/>
        <v>0.0</v>
      </c>
      <c r="T165" s="196">
        <f t="shared" si="266"/>
        <v>0.0</v>
      </c>
      <c r="U165" s="196">
        <f t="shared" si="266"/>
        <v>0.0</v>
      </c>
      <c r="V165" s="196">
        <f t="shared" si="266"/>
        <v>0.0</v>
      </c>
      <c r="W165" s="201" t="str">
        <f>IF(X$5=K$5,SUM(Y165:AI165)-SUM(L165:V165),"")</f>
        <v/>
      </c>
      <c r="X165" s="9" t="str">
        <f>LOWER(CtryCode)&amp;".distn."&amp;$A165&amp;IF($B165="","","."&amp;$B165)&amp;IF($C165="","",".dec."&amp;$C165)&amp;"."&amp;X$5</f>
        <v>egy.distn.fac.app.2</v>
      </c>
      <c r="Y165" s="203">
        <f t="shared" ref="Y165:AI165" si="267">DFAC(Y$18,Y$113,Y141)</f>
        <v>0.0027596461950351236</v>
      </c>
      <c r="Z165" s="203">
        <f t="shared" si="267"/>
        <v>0.0027596282346577746</v>
      </c>
      <c r="AA165" s="203">
        <f t="shared" si="267"/>
        <v>0.0027596282346577746</v>
      </c>
      <c r="AB165" s="203">
        <f t="shared" si="267"/>
        <v>0.0027596282346577746</v>
      </c>
      <c r="AC165" s="203">
        <f t="shared" si="267"/>
        <v>0.0027596547207699965</v>
      </c>
      <c r="AD165" s="203">
        <f t="shared" si="267"/>
        <v>0.0027596547207699965</v>
      </c>
      <c r="AE165" s="203">
        <f t="shared" si="267"/>
        <v>0.0027596547207699965</v>
      </c>
      <c r="AF165" s="203">
        <f t="shared" si="267"/>
        <v>0.0027596547207699965</v>
      </c>
      <c r="AG165" s="203">
        <f t="shared" si="267"/>
        <v>0.0027596527883041256</v>
      </c>
      <c r="AH165" s="203">
        <f t="shared" si="267"/>
        <v>0.0027596527883041256</v>
      </c>
      <c r="AI165" s="203">
        <f t="shared" si="267"/>
        <v>0.0027596527883041256</v>
      </c>
    </row>
    <row r="166" hidden="1" outlineLevel="1">
      <c r="A166" s="44" t="inlineStr">
        <is>
          <t>fac</t>
        </is>
      </c>
      <c r="B166" s="3" t="inlineStr">
        <is>
          <t>che</t>
        </is>
      </c>
      <c r="C166" s="3" t="inlineStr"/>
      <c r="D166" s="3" t="n"/>
      <c r="E166" s="3" t="n"/>
      <c r="H166" s="3" t="inlineStr">
        <is>
          <t>Chemicals: price factor</t>
        </is>
      </c>
      <c r="I166" s="3" t="inlineStr">
        <is>
          <t>fraction</t>
        </is>
      </c>
      <c r="J166" s="118" t="inlineStr">
        <is>
          <t>legacy rows 801-825</t>
        </is>
      </c>
      <c r="K166" s="9" t="str">
        <f>LOWER(CtryCode)&amp;".distn."&amp;$A166&amp;IF($B166="","","."&amp;$B166)&amp;IF($C166="","",".dec."&amp;$C166)&amp;"."&amp;K$5</f>
        <v>egy.distn.fac.che.1</v>
      </c>
      <c r="L166" s="202">
        <f t="shared" ref="L166:V166" si="268">L$114*IF(LEFT(L$18,3)="Yes",(1+L$114)^L142,1)</f>
        <v>0.0</v>
      </c>
      <c r="M166" s="196">
        <f t="shared" si="268"/>
        <v>0.0</v>
      </c>
      <c r="N166" s="196">
        <f t="shared" si="268"/>
        <v>0.0</v>
      </c>
      <c r="O166" s="196">
        <f t="shared" si="268"/>
        <v>0.0</v>
      </c>
      <c r="P166" s="196">
        <f t="shared" si="268"/>
        <v>0.0</v>
      </c>
      <c r="Q166" s="196">
        <f t="shared" si="268"/>
        <v>0.0</v>
      </c>
      <c r="R166" s="196">
        <f t="shared" si="268"/>
        <v>0.0</v>
      </c>
      <c r="S166" s="196">
        <f t="shared" si="268"/>
        <v>0.0</v>
      </c>
      <c r="T166" s="196">
        <f t="shared" si="268"/>
        <v>0.0</v>
      </c>
      <c r="U166" s="196">
        <f t="shared" si="268"/>
        <v>0.0</v>
      </c>
      <c r="V166" s="196">
        <f t="shared" si="268"/>
        <v>0.0</v>
      </c>
      <c r="W166" s="201" t="str">
        <f>IF(X$5=K$5,SUM(Y166:AI166)-SUM(L166:V166),"")</f>
        <v/>
      </c>
      <c r="X166" s="9" t="str">
        <f>LOWER(CtryCode)&amp;".distn."&amp;$A166&amp;IF($B166="","","."&amp;$B166)&amp;IF($C166="","",".dec."&amp;$C166)&amp;"."&amp;X$5</f>
        <v>egy.distn.fac.che.2</v>
      </c>
      <c r="Y166" s="203">
        <f t="shared" ref="Y166:AI166" si="269">DFAC(Y$18,Y$114,Y142)</f>
        <v>0.0059949945891797675</v>
      </c>
      <c r="Z166" s="203">
        <f t="shared" si="269"/>
        <v>0.0059829642471530275</v>
      </c>
      <c r="AA166" s="203">
        <f t="shared" si="269"/>
        <v>0.0059829642471530275</v>
      </c>
      <c r="AB166" s="203">
        <f t="shared" si="269"/>
        <v>0.0059829642471530275</v>
      </c>
      <c r="AC166" s="203">
        <f t="shared" si="269"/>
        <v>0.006000305776277482</v>
      </c>
      <c r="AD166" s="203">
        <f t="shared" si="269"/>
        <v>0.006000305776277482</v>
      </c>
      <c r="AE166" s="203">
        <f t="shared" si="269"/>
        <v>0.006000305776277482</v>
      </c>
      <c r="AF166" s="203">
        <f t="shared" si="269"/>
        <v>0.006000305776277482</v>
      </c>
      <c r="AG166" s="203">
        <f t="shared" si="269"/>
        <v>0.005999960627622337</v>
      </c>
      <c r="AH166" s="203">
        <f t="shared" si="269"/>
        <v>0.005999960627622337</v>
      </c>
      <c r="AI166" s="203">
        <f t="shared" si="269"/>
        <v>0.005999960627622337</v>
      </c>
    </row>
    <row r="167" hidden="1" outlineLevel="1">
      <c r="A167" s="44" t="inlineStr">
        <is>
          <t>fac</t>
        </is>
      </c>
      <c r="B167" s="3" t="inlineStr">
        <is>
          <t>clo</t>
        </is>
      </c>
      <c r="C167" s="3" t="inlineStr"/>
      <c r="D167" s="3" t="n"/>
      <c r="E167" s="3" t="n"/>
      <c r="H167" s="3" t="inlineStr">
        <is>
          <t>Clothing: price factor</t>
        </is>
      </c>
      <c r="I167" s="3" t="inlineStr">
        <is>
          <t>fraction</t>
        </is>
      </c>
      <c r="J167" s="118" t="inlineStr">
        <is>
          <t>legacy rows 801-825</t>
        </is>
      </c>
      <c r="K167" s="9" t="str">
        <f>LOWER(CtryCode)&amp;".distn."&amp;$A167&amp;IF($B167="","","."&amp;$B167)&amp;IF($C167="","",".dec."&amp;$C167)&amp;"."&amp;K$5</f>
        <v>egy.distn.fac.clo.1</v>
      </c>
      <c r="L167" s="202">
        <f t="shared" ref="L167:V167" si="270">L$115*IF(LEFT(L$18,3)="Yes",(1+L$115)^L143,1)</f>
        <v>0.0</v>
      </c>
      <c r="M167" s="196">
        <f t="shared" si="270"/>
        <v>0.0</v>
      </c>
      <c r="N167" s="196">
        <f t="shared" si="270"/>
        <v>0.0</v>
      </c>
      <c r="O167" s="196">
        <f t="shared" si="270"/>
        <v>0.0</v>
      </c>
      <c r="P167" s="196">
        <f t="shared" si="270"/>
        <v>0.0</v>
      </c>
      <c r="Q167" s="196">
        <f t="shared" si="270"/>
        <v>0.0</v>
      </c>
      <c r="R167" s="196">
        <f t="shared" si="270"/>
        <v>0.0</v>
      </c>
      <c r="S167" s="196">
        <f t="shared" si="270"/>
        <v>0.0</v>
      </c>
      <c r="T167" s="196">
        <f t="shared" si="270"/>
        <v>0.0</v>
      </c>
      <c r="U167" s="196">
        <f t="shared" si="270"/>
        <v>0.0</v>
      </c>
      <c r="V167" s="196">
        <f t="shared" si="270"/>
        <v>0.0</v>
      </c>
      <c r="W167" s="201" t="str">
        <f>IF(X$5=K$5,SUM(Y167:AI167)-SUM(L167:V167),"")</f>
        <v/>
      </c>
      <c r="X167" s="9" t="str">
        <f>LOWER(CtryCode)&amp;".distn."&amp;$A167&amp;IF($B167="","","."&amp;$B167)&amp;IF($C167="","",".dec."&amp;$C167)&amp;"."&amp;X$5</f>
        <v>egy.distn.fac.clo.2</v>
      </c>
      <c r="Y167" s="203">
        <f t="shared" ref="Y167:AI167" si="271">DFAC(Y$18,Y$115,Y143)</f>
        <v>0.0011261392860951959</v>
      </c>
      <c r="Z167" s="203">
        <f t="shared" si="271"/>
        <v>0.0011261380099870035</v>
      </c>
      <c r="AA167" s="203">
        <f t="shared" si="271"/>
        <v>0.0011261380099870035</v>
      </c>
      <c r="AB167" s="203">
        <f t="shared" si="271"/>
        <v>0.0011261380099870035</v>
      </c>
      <c r="AC167" s="203">
        <f t="shared" si="271"/>
        <v>0.001126139855195459</v>
      </c>
      <c r="AD167" s="203">
        <f t="shared" si="271"/>
        <v>0.001126139855195459</v>
      </c>
      <c r="AE167" s="203">
        <f t="shared" si="271"/>
        <v>0.001126139855195459</v>
      </c>
      <c r="AF167" s="203">
        <f t="shared" si="271"/>
        <v>0.001126139855195459</v>
      </c>
      <c r="AG167" s="203">
        <f t="shared" si="271"/>
        <v>0.001126139803328464</v>
      </c>
      <c r="AH167" s="203">
        <f t="shared" si="271"/>
        <v>0.001126139803328464</v>
      </c>
      <c r="AI167" s="203">
        <f t="shared" si="271"/>
        <v>0.001126139803328464</v>
      </c>
    </row>
    <row r="168" hidden="1" outlineLevel="1">
      <c r="A168" s="44" t="inlineStr">
        <is>
          <t>fac</t>
        </is>
      </c>
      <c r="B168" s="3" t="inlineStr">
        <is>
          <t>com</t>
        </is>
      </c>
      <c r="C168" s="3" t="inlineStr"/>
      <c r="D168" s="3" t="n"/>
      <c r="E168" s="3" t="n"/>
      <c r="H168" s="3" t="inlineStr">
        <is>
          <t>Communications: price factor</t>
        </is>
      </c>
      <c r="I168" s="3" t="inlineStr">
        <is>
          <t>fraction</t>
        </is>
      </c>
      <c r="J168" s="118" t="inlineStr">
        <is>
          <t>legacy rows 801-825</t>
        </is>
      </c>
      <c r="K168" s="9" t="str">
        <f>LOWER(CtryCode)&amp;".distn."&amp;$A168&amp;IF($B168="","","."&amp;$B168)&amp;IF($C168="","",".dec."&amp;$C168)&amp;"."&amp;K$5</f>
        <v>egy.distn.fac.com.1</v>
      </c>
      <c r="L168" s="202">
        <f t="shared" ref="L168:V168" si="272">L$116*IF(LEFT(L$18,3)="Yes",(1+L$116)^L144,1)</f>
        <v>0.0</v>
      </c>
      <c r="M168" s="196">
        <f t="shared" si="272"/>
        <v>0.0</v>
      </c>
      <c r="N168" s="196">
        <f t="shared" si="272"/>
        <v>0.0</v>
      </c>
      <c r="O168" s="196">
        <f t="shared" si="272"/>
        <v>0.0</v>
      </c>
      <c r="P168" s="196">
        <f t="shared" si="272"/>
        <v>0.0</v>
      </c>
      <c r="Q168" s="196">
        <f t="shared" si="272"/>
        <v>0.0</v>
      </c>
      <c r="R168" s="196">
        <f t="shared" si="272"/>
        <v>0.0</v>
      </c>
      <c r="S168" s="196">
        <f t="shared" si="272"/>
        <v>0.0</v>
      </c>
      <c r="T168" s="196">
        <f t="shared" si="272"/>
        <v>0.0</v>
      </c>
      <c r="U168" s="196">
        <f t="shared" si="272"/>
        <v>0.0</v>
      </c>
      <c r="V168" s="196">
        <f t="shared" si="272"/>
        <v>0.0</v>
      </c>
      <c r="W168" s="201" t="str">
        <f>IF(X$5=K$5,SUM(Y168:AI168)-SUM(L168:V168),"")</f>
        <v/>
      </c>
      <c r="X168" s="9" t="str">
        <f>LOWER(CtryCode)&amp;".distn."&amp;$A168&amp;IF($B168="","","."&amp;$B168)&amp;IF($C168="","",".dec."&amp;$C168)&amp;"."&amp;X$5</f>
        <v>egy.distn.fac.com.2</v>
      </c>
      <c r="Y168" s="203">
        <f t="shared" ref="Y168:AI168" si="273">DFAC(Y$18,Y$116,Y144)</f>
        <v>0.0004257419979224664</v>
      </c>
      <c r="Z168" s="203">
        <f t="shared" si="273"/>
        <v>0.0004257365829325334</v>
      </c>
      <c r="AA168" s="203">
        <f t="shared" si="273"/>
        <v>0.0004257365829325334</v>
      </c>
      <c r="AB168" s="203">
        <f t="shared" si="273"/>
        <v>0.0004257365829325334</v>
      </c>
      <c r="AC168" s="203">
        <f t="shared" si="273"/>
        <v>0.00042574449890152966</v>
      </c>
      <c r="AD168" s="203">
        <f t="shared" si="273"/>
        <v>0.00042574449890152966</v>
      </c>
      <c r="AE168" s="203">
        <f t="shared" si="273"/>
        <v>0.00042574449890152966</v>
      </c>
      <c r="AF168" s="203">
        <f t="shared" si="273"/>
        <v>0.00042574449890152966</v>
      </c>
      <c r="AG168" s="203">
        <f t="shared" si="273"/>
        <v>0.00042574407833016623</v>
      </c>
      <c r="AH168" s="203">
        <f t="shared" si="273"/>
        <v>0.00042574407833016623</v>
      </c>
      <c r="AI168" s="203">
        <f t="shared" si="273"/>
        <v>0.00042574407833016623</v>
      </c>
    </row>
    <row r="169" hidden="1" outlineLevel="1">
      <c r="A169" s="44" t="inlineStr">
        <is>
          <t>fac</t>
        </is>
      </c>
      <c r="B169" s="3" t="inlineStr">
        <is>
          <t>edu</t>
        </is>
      </c>
      <c r="C169" s="3" t="inlineStr"/>
      <c r="D169" s="3" t="n"/>
      <c r="E169" s="3" t="n"/>
      <c r="H169" s="3" t="inlineStr">
        <is>
          <t>Education: price factor</t>
        </is>
      </c>
      <c r="I169" s="3" t="inlineStr">
        <is>
          <t>fraction</t>
        </is>
      </c>
      <c r="J169" s="118" t="inlineStr">
        <is>
          <t>legacy rows 801-825</t>
        </is>
      </c>
      <c r="K169" s="9" t="str">
        <f>LOWER(CtryCode)&amp;".distn."&amp;$A169&amp;IF($B169="","","."&amp;$B169)&amp;IF($C169="","",".dec."&amp;$C169)&amp;"."&amp;K$5</f>
        <v>egy.distn.fac.edu.1</v>
      </c>
      <c r="L169" s="202">
        <f t="shared" ref="L169:V169" si="274">L$117*IF(LEFT(L$18,3)="Yes",(1+L$117)^L145,1)</f>
        <v>0.0</v>
      </c>
      <c r="M169" s="196">
        <f t="shared" si="274"/>
        <v>0.0</v>
      </c>
      <c r="N169" s="196">
        <f t="shared" si="274"/>
        <v>0.0</v>
      </c>
      <c r="O169" s="196">
        <f t="shared" si="274"/>
        <v>0.0</v>
      </c>
      <c r="P169" s="196">
        <f t="shared" si="274"/>
        <v>0.0</v>
      </c>
      <c r="Q169" s="196">
        <f t="shared" si="274"/>
        <v>0.0</v>
      </c>
      <c r="R169" s="196">
        <f t="shared" si="274"/>
        <v>0.0</v>
      </c>
      <c r="S169" s="196">
        <f t="shared" si="274"/>
        <v>0.0</v>
      </c>
      <c r="T169" s="196">
        <f t="shared" si="274"/>
        <v>0.0</v>
      </c>
      <c r="U169" s="196">
        <f t="shared" si="274"/>
        <v>0.0</v>
      </c>
      <c r="V169" s="196">
        <f t="shared" si="274"/>
        <v>0.0</v>
      </c>
      <c r="W169" s="201" t="str">
        <f>IF(X$5=K$5,SUM(Y169:AI169)-SUM(L169:V169),"")</f>
        <v/>
      </c>
      <c r="X169" s="9" t="str">
        <f>LOWER(CtryCode)&amp;".distn."&amp;$A169&amp;IF($B169="","","."&amp;$B169)&amp;IF($C169="","",".dec."&amp;$C169)&amp;"."&amp;X$5</f>
        <v>egy.distn.fac.edu.2</v>
      </c>
      <c r="Y169" s="203">
        <f t="shared" ref="Y169:AI169" si="275">DFAC(Y$18,Y$117,Y145)</f>
        <v>0.0010205701653423689</v>
      </c>
      <c r="Z169" s="203">
        <f t="shared" si="275"/>
        <v>0.0010205653051137782</v>
      </c>
      <c r="AA169" s="203">
        <f t="shared" si="275"/>
        <v>0.0010205653051137782</v>
      </c>
      <c r="AB169" s="203">
        <f t="shared" si="275"/>
        <v>0.0010205653051137782</v>
      </c>
      <c r="AC169" s="203">
        <f t="shared" si="275"/>
        <v>0.0010205725612207283</v>
      </c>
      <c r="AD169" s="203">
        <f t="shared" si="275"/>
        <v>0.0010205725612207283</v>
      </c>
      <c r="AE169" s="203">
        <f t="shared" si="275"/>
        <v>0.0010205725612207283</v>
      </c>
      <c r="AF169" s="203">
        <f t="shared" si="275"/>
        <v>0.0010205725612207283</v>
      </c>
      <c r="AG169" s="203">
        <f t="shared" si="275"/>
        <v>0.0010205718310003706</v>
      </c>
      <c r="AH169" s="203">
        <f t="shared" si="275"/>
        <v>0.0010205718310003706</v>
      </c>
      <c r="AI169" s="203">
        <f t="shared" si="275"/>
        <v>0.0010205718310003706</v>
      </c>
    </row>
    <row r="170" hidden="1" outlineLevel="1">
      <c r="A170" s="44" t="inlineStr">
        <is>
          <t>fac</t>
        </is>
      </c>
      <c r="B170" s="3" t="inlineStr">
        <is>
          <t>food</t>
        </is>
      </c>
      <c r="C170" s="3" t="inlineStr"/>
      <c r="D170" s="3" t="n"/>
      <c r="E170" s="3" t="n"/>
      <c r="H170" s="3" t="inlineStr">
        <is>
          <t>Food: price factor</t>
        </is>
      </c>
      <c r="I170" s="3" t="inlineStr">
        <is>
          <t>fraction</t>
        </is>
      </c>
      <c r="J170" s="118" t="inlineStr">
        <is>
          <t>legacy rows 801-825</t>
        </is>
      </c>
      <c r="K170" s="9" t="str">
        <f>LOWER(CtryCode)&amp;".distn."&amp;$A170&amp;IF($B170="","","."&amp;$B170)&amp;IF($C170="","",".dec."&amp;$C170)&amp;"."&amp;K$5</f>
        <v>egy.distn.fac.food.1</v>
      </c>
      <c r="L170" s="202">
        <f t="shared" ref="L170:V170" si="276">L$118*IF(LEFT(L$18,3)="Yes",(1+L$118)^L146,1)</f>
        <v>0.0</v>
      </c>
      <c r="M170" s="196">
        <f t="shared" si="276"/>
        <v>0.0</v>
      </c>
      <c r="N170" s="196">
        <f t="shared" si="276"/>
        <v>0.0</v>
      </c>
      <c r="O170" s="196">
        <f t="shared" si="276"/>
        <v>0.0</v>
      </c>
      <c r="P170" s="196">
        <f t="shared" si="276"/>
        <v>0.0</v>
      </c>
      <c r="Q170" s="196">
        <f t="shared" si="276"/>
        <v>0.0</v>
      </c>
      <c r="R170" s="196">
        <f t="shared" si="276"/>
        <v>0.0</v>
      </c>
      <c r="S170" s="196">
        <f t="shared" si="276"/>
        <v>0.0</v>
      </c>
      <c r="T170" s="196">
        <f t="shared" si="276"/>
        <v>0.0</v>
      </c>
      <c r="U170" s="196">
        <f t="shared" si="276"/>
        <v>0.0</v>
      </c>
      <c r="V170" s="196">
        <f t="shared" si="276"/>
        <v>0.0</v>
      </c>
      <c r="W170" s="201" t="str">
        <f>IF(X$5=K$5,SUM(Y170:AI170)-SUM(L170:V170),"")</f>
        <v/>
      </c>
      <c r="X170" s="9" t="str">
        <f>LOWER(CtryCode)&amp;".distn."&amp;$A170&amp;IF($B170="","","."&amp;$B170)&amp;IF($C170="","",".dec."&amp;$C170)&amp;"."&amp;X$5</f>
        <v>egy.distn.fac.food.2</v>
      </c>
      <c r="Y170" s="203">
        <f t="shared" ref="Y170:AI170" si="277">DFAC(Y$18,Y$118,Y146)</f>
        <v>0.0011477299126069762</v>
      </c>
      <c r="Z170" s="203">
        <f t="shared" si="277"/>
        <v>0.0011476427251607736</v>
      </c>
      <c r="AA170" s="203">
        <f t="shared" si="277"/>
        <v>0.0011476427251607736</v>
      </c>
      <c r="AB170" s="203">
        <f t="shared" si="277"/>
        <v>0.0011476427251607736</v>
      </c>
      <c r="AC170" s="203">
        <f t="shared" si="277"/>
        <v>0.0011477753697123792</v>
      </c>
      <c r="AD170" s="203">
        <f t="shared" si="277"/>
        <v>0.0011477753697123792</v>
      </c>
      <c r="AE170" s="203">
        <f t="shared" si="277"/>
        <v>0.0011477753697123792</v>
      </c>
      <c r="AF170" s="203">
        <f t="shared" si="277"/>
        <v>0.0011477753697123792</v>
      </c>
      <c r="AG170" s="203">
        <f t="shared" si="277"/>
        <v>0.0011477564953729642</v>
      </c>
      <c r="AH170" s="203">
        <f t="shared" si="277"/>
        <v>0.0011477564953729642</v>
      </c>
      <c r="AI170" s="203">
        <f t="shared" si="277"/>
        <v>0.0011477564953729642</v>
      </c>
    </row>
    <row r="171" hidden="1" outlineLevel="1">
      <c r="A171" s="44" t="inlineStr">
        <is>
          <t>fac</t>
        </is>
      </c>
      <c r="B171" s="3" t="inlineStr">
        <is>
          <t>hea</t>
        </is>
      </c>
      <c r="C171" s="3" t="inlineStr"/>
      <c r="D171" s="3" t="n"/>
      <c r="E171" s="3" t="n"/>
      <c r="H171" s="3" t="inlineStr">
        <is>
          <t>Health services: price factor</t>
        </is>
      </c>
      <c r="I171" s="3" t="inlineStr">
        <is>
          <t>fraction</t>
        </is>
      </c>
      <c r="J171" s="118" t="inlineStr">
        <is>
          <t>legacy rows 801-825</t>
        </is>
      </c>
      <c r="K171" s="9" t="str">
        <f>LOWER(CtryCode)&amp;".distn."&amp;$A171&amp;IF($B171="","","."&amp;$B171)&amp;IF($C171="","",".dec."&amp;$C171)&amp;"."&amp;K$5</f>
        <v>egy.distn.fac.hea.1</v>
      </c>
      <c r="L171" s="202">
        <f t="shared" ref="L171:V171" si="278">L$119*IF(LEFT(L$18,3)="Yes",(1+L$119)^L147,1)</f>
        <v>0.0</v>
      </c>
      <c r="M171" s="196">
        <f t="shared" si="278"/>
        <v>0.0</v>
      </c>
      <c r="N171" s="196">
        <f t="shared" si="278"/>
        <v>0.0</v>
      </c>
      <c r="O171" s="196">
        <f t="shared" si="278"/>
        <v>0.0</v>
      </c>
      <c r="P171" s="196">
        <f t="shared" si="278"/>
        <v>0.0</v>
      </c>
      <c r="Q171" s="196">
        <f t="shared" si="278"/>
        <v>0.0</v>
      </c>
      <c r="R171" s="196">
        <f t="shared" si="278"/>
        <v>0.0</v>
      </c>
      <c r="S171" s="196">
        <f t="shared" si="278"/>
        <v>0.0</v>
      </c>
      <c r="T171" s="196">
        <f t="shared" si="278"/>
        <v>0.0</v>
      </c>
      <c r="U171" s="196">
        <f t="shared" si="278"/>
        <v>0.0</v>
      </c>
      <c r="V171" s="196">
        <f t="shared" si="278"/>
        <v>0.0</v>
      </c>
      <c r="W171" s="201" t="str">
        <f>IF(X$5=K$5,SUM(Y171:AI171)-SUM(L171:V171),"")</f>
        <v/>
      </c>
      <c r="X171" s="9" t="str">
        <f>LOWER(CtryCode)&amp;".distn."&amp;$A171&amp;IF($B171="","","."&amp;$B171)&amp;IF($C171="","",".dec."&amp;$C171)&amp;"."&amp;X$5</f>
        <v>egy.distn.fac.hea.2</v>
      </c>
      <c r="Y171" s="203">
        <f t="shared" ref="Y171:AI171" si="279">DFAC(Y$18,Y$119,Y147)</f>
        <v>0.001216011159260427</v>
      </c>
      <c r="Z171" s="203">
        <f t="shared" si="279"/>
        <v>0.0012155735099632474</v>
      </c>
      <c r="AA171" s="203">
        <f t="shared" si="279"/>
        <v>0.0012155735099632474</v>
      </c>
      <c r="AB171" s="203">
        <f t="shared" si="279"/>
        <v>0.0012155735099632474</v>
      </c>
      <c r="AC171" s="203">
        <f t="shared" si="279"/>
        <v>0.0012162046844335567</v>
      </c>
      <c r="AD171" s="203">
        <f t="shared" si="279"/>
        <v>0.0012162046844335567</v>
      </c>
      <c r="AE171" s="203">
        <f t="shared" si="279"/>
        <v>0.0012162046844335567</v>
      </c>
      <c r="AF171" s="203">
        <f t="shared" si="279"/>
        <v>0.0012162046844335567</v>
      </c>
      <c r="AG171" s="203">
        <f t="shared" si="279"/>
        <v>0.0012161908876974668</v>
      </c>
      <c r="AH171" s="203">
        <f t="shared" si="279"/>
        <v>0.0012161908876974668</v>
      </c>
      <c r="AI171" s="203">
        <f t="shared" si="279"/>
        <v>0.0012161908876974668</v>
      </c>
    </row>
    <row r="172" hidden="1" outlineLevel="1">
      <c r="A172" s="44" t="inlineStr">
        <is>
          <t>fac</t>
        </is>
      </c>
      <c r="B172" s="3" t="inlineStr">
        <is>
          <t>hou</t>
        </is>
      </c>
      <c r="C172" s="3" t="inlineStr"/>
      <c r="D172" s="3" t="n"/>
      <c r="E172" s="3" t="n"/>
      <c r="H172" s="3" t="inlineStr">
        <is>
          <t>Housing: price factor</t>
        </is>
      </c>
      <c r="I172" s="3" t="inlineStr">
        <is>
          <t>fraction</t>
        </is>
      </c>
      <c r="J172" s="118" t="inlineStr">
        <is>
          <t>legacy rows 801-825</t>
        </is>
      </c>
      <c r="K172" s="9" t="str">
        <f>LOWER(CtryCode)&amp;".distn."&amp;$A172&amp;IF($B172="","","."&amp;$B172)&amp;IF($C172="","",".dec."&amp;$C172)&amp;"."&amp;K$5</f>
        <v>egy.distn.fac.hou.1</v>
      </c>
      <c r="L172" s="202">
        <f t="shared" ref="L172:V172" si="280">L$120*IF(LEFT(L$18,3)="Yes",(1+L$120)^L148,1)</f>
        <v>0.0</v>
      </c>
      <c r="M172" s="196">
        <f t="shared" si="280"/>
        <v>0.0</v>
      </c>
      <c r="N172" s="196">
        <f t="shared" si="280"/>
        <v>0.0</v>
      </c>
      <c r="O172" s="196">
        <f t="shared" si="280"/>
        <v>0.0</v>
      </c>
      <c r="P172" s="196">
        <f t="shared" si="280"/>
        <v>0.0</v>
      </c>
      <c r="Q172" s="196">
        <f t="shared" si="280"/>
        <v>0.0</v>
      </c>
      <c r="R172" s="196">
        <f t="shared" si="280"/>
        <v>0.0</v>
      </c>
      <c r="S172" s="196">
        <f t="shared" si="280"/>
        <v>0.0</v>
      </c>
      <c r="T172" s="196">
        <f t="shared" si="280"/>
        <v>0.0</v>
      </c>
      <c r="U172" s="196">
        <f t="shared" si="280"/>
        <v>0.0</v>
      </c>
      <c r="V172" s="196">
        <f t="shared" si="280"/>
        <v>0.0</v>
      </c>
      <c r="W172" s="201" t="str">
        <f>IF(X$5=K$5,SUM(Y172:AI172)-SUM(L172:V172),"")</f>
        <v/>
      </c>
      <c r="X172" s="9" t="str">
        <f>LOWER(CtryCode)&amp;".distn."&amp;$A172&amp;IF($B172="","","."&amp;$B172)&amp;IF($C172="","",".dec."&amp;$C172)&amp;"."&amp;X$5</f>
        <v>egy.distn.fac.hou.2</v>
      </c>
      <c r="Y172" s="203">
        <f t="shared" ref="Y172:AI172" si="281">DFAC(Y$18,Y$120,Y148)</f>
        <v>0.000948080805101649</v>
      </c>
      <c r="Z172" s="203">
        <f t="shared" si="281"/>
        <v>0.0009480769690409927</v>
      </c>
      <c r="AA172" s="203">
        <f t="shared" si="281"/>
        <v>0.0009480769690409927</v>
      </c>
      <c r="AB172" s="203">
        <f t="shared" si="281"/>
        <v>0.0009480769690409927</v>
      </c>
      <c r="AC172" s="203">
        <f t="shared" si="281"/>
        <v>0.0009480825946540937</v>
      </c>
      <c r="AD172" s="203">
        <f t="shared" si="281"/>
        <v>0.0009480825946540937</v>
      </c>
      <c r="AE172" s="203">
        <f t="shared" si="281"/>
        <v>0.0009480825946540937</v>
      </c>
      <c r="AF172" s="203">
        <f t="shared" si="281"/>
        <v>0.0009480825946540937</v>
      </c>
      <c r="AG172" s="203">
        <f t="shared" si="281"/>
        <v>0.0009480822550499097</v>
      </c>
      <c r="AH172" s="203">
        <f t="shared" si="281"/>
        <v>0.0009480822550499097</v>
      </c>
      <c r="AI172" s="203">
        <f t="shared" si="281"/>
        <v>0.0009480822550499097</v>
      </c>
    </row>
    <row r="173" hidden="1" outlineLevel="1">
      <c r="A173" s="44" t="inlineStr">
        <is>
          <t>fac</t>
        </is>
      </c>
      <c r="B173" s="3" t="inlineStr">
        <is>
          <t>oth</t>
        </is>
      </c>
      <c r="C173" s="3" t="inlineStr"/>
      <c r="D173" s="3" t="n"/>
      <c r="E173" s="3" t="n"/>
      <c r="H173" s="3" t="inlineStr">
        <is>
          <t>Other: price factor</t>
        </is>
      </c>
      <c r="I173" s="3" t="inlineStr">
        <is>
          <t>fraction</t>
        </is>
      </c>
      <c r="J173" s="118" t="inlineStr">
        <is>
          <t>legacy rows 801-825</t>
        </is>
      </c>
      <c r="K173" s="9" t="str">
        <f>LOWER(CtryCode)&amp;".distn."&amp;$A173&amp;IF($B173="","","."&amp;$B173)&amp;IF($C173="","",".dec."&amp;$C173)&amp;"."&amp;K$5</f>
        <v>egy.distn.fac.oth.1</v>
      </c>
      <c r="L173" s="202">
        <f t="shared" ref="L173:V173" si="282">L$121*IF(LEFT(L$18,3)="Yes",(1+L$121)^L149,1)</f>
        <v>0.0</v>
      </c>
      <c r="M173" s="196">
        <f t="shared" si="282"/>
        <v>0.0</v>
      </c>
      <c r="N173" s="196">
        <f t="shared" si="282"/>
        <v>0.0</v>
      </c>
      <c r="O173" s="196">
        <f t="shared" si="282"/>
        <v>0.0</v>
      </c>
      <c r="P173" s="196">
        <f t="shared" si="282"/>
        <v>0.0</v>
      </c>
      <c r="Q173" s="196">
        <f t="shared" si="282"/>
        <v>0.0</v>
      </c>
      <c r="R173" s="196">
        <f t="shared" si="282"/>
        <v>0.0</v>
      </c>
      <c r="S173" s="196">
        <f t="shared" si="282"/>
        <v>0.0</v>
      </c>
      <c r="T173" s="196">
        <f t="shared" si="282"/>
        <v>0.0</v>
      </c>
      <c r="U173" s="196">
        <f t="shared" si="282"/>
        <v>0.0</v>
      </c>
      <c r="V173" s="196">
        <f t="shared" si="282"/>
        <v>0.0</v>
      </c>
      <c r="W173" s="201" t="str">
        <f>IF(X$5=K$5,SUM(Y173:AI173)-SUM(L173:V173),"")</f>
        <v/>
      </c>
      <c r="X173" s="9" t="str">
        <f>LOWER(CtryCode)&amp;".distn."&amp;$A173&amp;IF($B173="","","."&amp;$B173)&amp;IF($C173="","",".dec."&amp;$C173)&amp;"."&amp;X$5</f>
        <v>egy.distn.fac.oth.2</v>
      </c>
      <c r="Y173" s="203">
        <f t="shared" ref="Y173:AI173" si="283">DFAC(Y$18,Y$121,Y149)</f>
        <v>0.0005058272908983119</v>
      </c>
      <c r="Z173" s="203">
        <f t="shared" si="283"/>
        <v>0.0005057418844061804</v>
      </c>
      <c r="AA173" s="203">
        <f t="shared" si="283"/>
        <v>0.0005057418844061804</v>
      </c>
      <c r="AB173" s="203">
        <f t="shared" si="283"/>
        <v>0.0005057418844061804</v>
      </c>
      <c r="AC173" s="203">
        <f t="shared" si="283"/>
        <v>0.0005058649464412112</v>
      </c>
      <c r="AD173" s="203">
        <f t="shared" si="283"/>
        <v>0.0005058649464412112</v>
      </c>
      <c r="AE173" s="203">
        <f t="shared" si="283"/>
        <v>0.0005058649464412112</v>
      </c>
      <c r="AF173" s="203">
        <f t="shared" si="283"/>
        <v>0.0005058649464412112</v>
      </c>
      <c r="AG173" s="203">
        <f t="shared" si="283"/>
        <v>0.0005058625003152078</v>
      </c>
      <c r="AH173" s="203">
        <f t="shared" si="283"/>
        <v>0.0005058625003152078</v>
      </c>
      <c r="AI173" s="203">
        <f t="shared" si="283"/>
        <v>0.0005058625003152078</v>
      </c>
    </row>
    <row r="174" hidden="1" outlineLevel="1">
      <c r="A174" s="44" t="inlineStr">
        <is>
          <t>fac</t>
        </is>
      </c>
      <c r="B174" s="3" t="inlineStr">
        <is>
          <t>pap</t>
        </is>
      </c>
      <c r="C174" s="3" t="inlineStr"/>
      <c r="D174" s="3" t="n"/>
      <c r="E174" s="3" t="n"/>
      <c r="H174" s="3" t="inlineStr">
        <is>
          <t>Paper: price factor</t>
        </is>
      </c>
      <c r="I174" s="3" t="inlineStr">
        <is>
          <t>fraction</t>
        </is>
      </c>
      <c r="J174" s="118" t="inlineStr">
        <is>
          <t>legacy rows 801-825</t>
        </is>
      </c>
      <c r="K174" s="9" t="str">
        <f>LOWER(CtryCode)&amp;".distn."&amp;$A174&amp;IF($B174="","","."&amp;$B174)&amp;IF($C174="","",".dec."&amp;$C174)&amp;"."&amp;K$5</f>
        <v>egy.distn.fac.pap.1</v>
      </c>
      <c r="L174" s="202">
        <f t="shared" ref="L174:V174" si="284">L$122*IF(LEFT(L$18,3)="Yes",(1+L$122)^L150,1)</f>
        <v>0.0</v>
      </c>
      <c r="M174" s="196">
        <f t="shared" si="284"/>
        <v>0.0</v>
      </c>
      <c r="N174" s="196">
        <f t="shared" si="284"/>
        <v>0.0</v>
      </c>
      <c r="O174" s="196">
        <f t="shared" si="284"/>
        <v>0.0</v>
      </c>
      <c r="P174" s="196">
        <f t="shared" si="284"/>
        <v>0.0</v>
      </c>
      <c r="Q174" s="196">
        <f t="shared" si="284"/>
        <v>0.0</v>
      </c>
      <c r="R174" s="196">
        <f t="shared" si="284"/>
        <v>0.0</v>
      </c>
      <c r="S174" s="196">
        <f t="shared" si="284"/>
        <v>0.0</v>
      </c>
      <c r="T174" s="196">
        <f t="shared" si="284"/>
        <v>0.0</v>
      </c>
      <c r="U174" s="196">
        <f t="shared" si="284"/>
        <v>0.0</v>
      </c>
      <c r="V174" s="196">
        <f t="shared" si="284"/>
        <v>0.0</v>
      </c>
      <c r="W174" s="201" t="str">
        <f>IF(X$5=K$5,SUM(Y174:AI174)-SUM(L174:V174),"")</f>
        <v/>
      </c>
      <c r="X174" s="9" t="str">
        <f>LOWER(CtryCode)&amp;".distn."&amp;$A174&amp;IF($B174="","","."&amp;$B174)&amp;IF($C174="","",".dec."&amp;$C174)&amp;"."&amp;X$5</f>
        <v>egy.distn.fac.pap.2</v>
      </c>
      <c r="Y174" s="203">
        <f t="shared" ref="Y174:AI174" si="285">DFAC(Y$18,Y$122,Y150)</f>
        <v>0.002022854996052076</v>
      </c>
      <c r="Z174" s="203">
        <f t="shared" si="285"/>
        <v>0.002021488052486716</v>
      </c>
      <c r="AA174" s="203">
        <f t="shared" si="285"/>
        <v>0.002021488052486716</v>
      </c>
      <c r="AB174" s="203">
        <f t="shared" si="285"/>
        <v>0.002021488052486716</v>
      </c>
      <c r="AC174" s="203">
        <f t="shared" si="285"/>
        <v>0.0020234578988127137</v>
      </c>
      <c r="AD174" s="203">
        <f t="shared" si="285"/>
        <v>0.0020234578988127137</v>
      </c>
      <c r="AE174" s="203">
        <f t="shared" si="285"/>
        <v>0.0020234578988127137</v>
      </c>
      <c r="AF174" s="203">
        <f t="shared" si="285"/>
        <v>0.0020234578988127137</v>
      </c>
      <c r="AG174" s="203">
        <f t="shared" si="285"/>
        <v>0.002023418729804593</v>
      </c>
      <c r="AH174" s="203">
        <f t="shared" si="285"/>
        <v>0.002023418729804593</v>
      </c>
      <c r="AI174" s="203">
        <f t="shared" si="285"/>
        <v>0.002023418729804593</v>
      </c>
    </row>
    <row r="175" hidden="1" outlineLevel="1">
      <c r="A175" s="44" t="inlineStr">
        <is>
          <t>fac</t>
        </is>
      </c>
      <c r="B175" s="3" t="inlineStr">
        <is>
          <t>pha</t>
        </is>
      </c>
      <c r="C175" s="3" t="inlineStr"/>
      <c r="D175" s="3" t="n"/>
      <c r="E175" s="3" t="n"/>
      <c r="H175" s="3" t="inlineStr">
        <is>
          <t>Pharmaceuticals: price factor</t>
        </is>
      </c>
      <c r="I175" s="3" t="inlineStr">
        <is>
          <t>fraction</t>
        </is>
      </c>
      <c r="J175" s="118" t="inlineStr">
        <is>
          <t>legacy rows 801-825</t>
        </is>
      </c>
      <c r="K175" s="9" t="str">
        <f>LOWER(CtryCode)&amp;".distn."&amp;$A175&amp;IF($B175="","","."&amp;$B175)&amp;IF($C175="","",".dec."&amp;$C175)&amp;"."&amp;K$5</f>
        <v>egy.distn.fac.pha.1</v>
      </c>
      <c r="L175" s="202">
        <f t="shared" ref="L175:V175" si="286">L$123*IF(LEFT(L$18,3)="Yes",(1+L$123)^L151,1)</f>
        <v>0.0</v>
      </c>
      <c r="M175" s="196">
        <f t="shared" si="286"/>
        <v>0.0</v>
      </c>
      <c r="N175" s="196">
        <f t="shared" si="286"/>
        <v>0.0</v>
      </c>
      <c r="O175" s="196">
        <f t="shared" si="286"/>
        <v>0.0</v>
      </c>
      <c r="P175" s="196">
        <f t="shared" si="286"/>
        <v>0.0</v>
      </c>
      <c r="Q175" s="196">
        <f t="shared" si="286"/>
        <v>0.0</v>
      </c>
      <c r="R175" s="196">
        <f t="shared" si="286"/>
        <v>0.0</v>
      </c>
      <c r="S175" s="196">
        <f t="shared" si="286"/>
        <v>0.0</v>
      </c>
      <c r="T175" s="196">
        <f t="shared" si="286"/>
        <v>0.0</v>
      </c>
      <c r="U175" s="196">
        <f t="shared" si="286"/>
        <v>0.0</v>
      </c>
      <c r="V175" s="196">
        <f t="shared" si="286"/>
        <v>0.0</v>
      </c>
      <c r="W175" s="201" t="str">
        <f>IF(X$5=K$5,SUM(Y175:AI175)-SUM(L175:V175),"")</f>
        <v/>
      </c>
      <c r="X175" s="9" t="str">
        <f>LOWER(CtryCode)&amp;".distn."&amp;$A175&amp;IF($B175="","","."&amp;$B175)&amp;IF($C175="","",".dec."&amp;$C175)&amp;"."&amp;X$5</f>
        <v>egy.distn.fac.pha.2</v>
      </c>
      <c r="Y175" s="203">
        <f t="shared" ref="Y175:AI175" si="287">DFAC(Y$18,Y$123,Y151)</f>
        <v>0.002198347665482229</v>
      </c>
      <c r="Z175" s="203">
        <f t="shared" si="287"/>
        <v>0.0021969165980126517</v>
      </c>
      <c r="AA175" s="203">
        <f t="shared" si="287"/>
        <v>0.0021969165980126517</v>
      </c>
      <c r="AB175" s="203">
        <f t="shared" si="287"/>
        <v>0.0021969165980126517</v>
      </c>
      <c r="AC175" s="203">
        <f t="shared" si="287"/>
        <v>0.0021989806054590775</v>
      </c>
      <c r="AD175" s="203">
        <f t="shared" si="287"/>
        <v>0.0021989806054590775</v>
      </c>
      <c r="AE175" s="203">
        <f t="shared" si="287"/>
        <v>0.0021989806054590775</v>
      </c>
      <c r="AF175" s="203">
        <f t="shared" si="287"/>
        <v>0.0021989806054590775</v>
      </c>
      <c r="AG175" s="203">
        <f t="shared" si="287"/>
        <v>0.002198935479402787</v>
      </c>
      <c r="AH175" s="203">
        <f t="shared" si="287"/>
        <v>0.002198935479402787</v>
      </c>
      <c r="AI175" s="203">
        <f t="shared" si="287"/>
        <v>0.002198935479402787</v>
      </c>
    </row>
    <row r="176" hidden="1" outlineLevel="1">
      <c r="A176" s="44" t="inlineStr">
        <is>
          <t>fac</t>
        </is>
      </c>
      <c r="B176" s="3" t="inlineStr">
        <is>
          <t>ret</t>
        </is>
      </c>
      <c r="C176" s="3" t="inlineStr"/>
      <c r="D176" s="3" t="n"/>
      <c r="E176" s="3" t="n"/>
      <c r="H176" s="3" t="inlineStr">
        <is>
          <t>Recreation and tourism: price factor</t>
        </is>
      </c>
      <c r="I176" s="3" t="inlineStr">
        <is>
          <t>fraction</t>
        </is>
      </c>
      <c r="J176" s="118" t="inlineStr">
        <is>
          <t>legacy rows 801-825</t>
        </is>
      </c>
      <c r="K176" s="9" t="str">
        <f>LOWER(CtryCode)&amp;".distn."&amp;$A176&amp;IF($B176="","","."&amp;$B176)&amp;IF($C176="","",".dec."&amp;$C176)&amp;"."&amp;K$5</f>
        <v>egy.distn.fac.ret.1</v>
      </c>
      <c r="L176" s="202">
        <f t="shared" ref="L176:V176" si="288">L$124*IF(LEFT(L$18,3)="Yes",(1+L$124)^L152,1)</f>
        <v>0.0</v>
      </c>
      <c r="M176" s="196">
        <f t="shared" si="288"/>
        <v>0.0</v>
      </c>
      <c r="N176" s="196">
        <f t="shared" si="288"/>
        <v>0.0</v>
      </c>
      <c r="O176" s="196">
        <f t="shared" si="288"/>
        <v>0.0</v>
      </c>
      <c r="P176" s="196">
        <f t="shared" si="288"/>
        <v>0.0</v>
      </c>
      <c r="Q176" s="196">
        <f t="shared" si="288"/>
        <v>0.0</v>
      </c>
      <c r="R176" s="196">
        <f t="shared" si="288"/>
        <v>0.0</v>
      </c>
      <c r="S176" s="196">
        <f t="shared" si="288"/>
        <v>0.0</v>
      </c>
      <c r="T176" s="196">
        <f t="shared" si="288"/>
        <v>0.0</v>
      </c>
      <c r="U176" s="196">
        <f t="shared" si="288"/>
        <v>0.0</v>
      </c>
      <c r="V176" s="196">
        <f t="shared" si="288"/>
        <v>0.0</v>
      </c>
      <c r="W176" s="201" t="str">
        <f>IF(X$5=K$5,SUM(Y176:AI176)-SUM(L176:V176),"")</f>
        <v/>
      </c>
      <c r="X176" s="9" t="str">
        <f>LOWER(CtryCode)&amp;".distn."&amp;$A176&amp;IF($B176="","","."&amp;$B176)&amp;IF($C176="","",".dec."&amp;$C176)&amp;"."&amp;X$5</f>
        <v>egy.distn.fac.ret.2</v>
      </c>
      <c r="Y176" s="203">
        <f t="shared" ref="Y176:AI176" si="289">DFAC(Y$18,Y$124,Y152)</f>
        <v>0.0009108275865510075</v>
      </c>
      <c r="Z176" s="203">
        <f t="shared" si="289"/>
        <v>0.0009101180734470177</v>
      </c>
      <c r="AA176" s="203">
        <f t="shared" si="289"/>
        <v>0.0009101180734470177</v>
      </c>
      <c r="AB176" s="203">
        <f t="shared" si="289"/>
        <v>0.0009101180734470177</v>
      </c>
      <c r="AC176" s="203">
        <f t="shared" si="289"/>
        <v>0.0009111376562664755</v>
      </c>
      <c r="AD176" s="203">
        <f t="shared" si="289"/>
        <v>0.0009111376562664755</v>
      </c>
      <c r="AE176" s="203">
        <f t="shared" si="289"/>
        <v>0.0009111376562664755</v>
      </c>
      <c r="AF176" s="203">
        <f t="shared" si="289"/>
        <v>0.0009111376562664755</v>
      </c>
      <c r="AG176" s="203">
        <f t="shared" si="289"/>
        <v>0.0009111240685880991</v>
      </c>
      <c r="AH176" s="203">
        <f t="shared" si="289"/>
        <v>0.0009111240685880991</v>
      </c>
      <c r="AI176" s="203">
        <f t="shared" si="289"/>
        <v>0.0009111240685880991</v>
      </c>
    </row>
    <row r="177" hidden="1" outlineLevel="1">
      <c r="A177" s="44" t="inlineStr">
        <is>
          <t>fac</t>
        </is>
      </c>
      <c r="B177" s="3" t="inlineStr">
        <is>
          <t>teq</t>
        </is>
      </c>
      <c r="C177" s="3" t="inlineStr"/>
      <c r="D177" s="3" t="n"/>
      <c r="E177" s="3" t="n"/>
      <c r="H177" s="3" t="inlineStr">
        <is>
          <t>Transport equipment: price factor</t>
        </is>
      </c>
      <c r="I177" s="3" t="inlineStr">
        <is>
          <t>fraction</t>
        </is>
      </c>
      <c r="J177" s="118" t="inlineStr">
        <is>
          <t>legacy rows 801-825</t>
        </is>
      </c>
      <c r="K177" s="9" t="str">
        <f>LOWER(CtryCode)&amp;".distn."&amp;$A177&amp;IF($B177="","","."&amp;$B177)&amp;IF($C177="","",".dec."&amp;$C177)&amp;"."&amp;K$5</f>
        <v>egy.distn.fac.teq.1</v>
      </c>
      <c r="L177" s="202">
        <f t="shared" ref="L177:V177" si="290">L$125*IF(LEFT(L$18,3)="Yes",(1+L$125)^L153,1)</f>
        <v>0.0</v>
      </c>
      <c r="M177" s="196">
        <f t="shared" si="290"/>
        <v>0.0</v>
      </c>
      <c r="N177" s="196">
        <f t="shared" si="290"/>
        <v>0.0</v>
      </c>
      <c r="O177" s="196">
        <f t="shared" si="290"/>
        <v>0.0</v>
      </c>
      <c r="P177" s="196">
        <f t="shared" si="290"/>
        <v>0.0</v>
      </c>
      <c r="Q177" s="196">
        <f t="shared" si="290"/>
        <v>0.0</v>
      </c>
      <c r="R177" s="196">
        <f t="shared" si="290"/>
        <v>0.0</v>
      </c>
      <c r="S177" s="196">
        <f t="shared" si="290"/>
        <v>0.0</v>
      </c>
      <c r="T177" s="196">
        <f t="shared" si="290"/>
        <v>0.0</v>
      </c>
      <c r="U177" s="196">
        <f t="shared" si="290"/>
        <v>0.0</v>
      </c>
      <c r="V177" s="196">
        <f t="shared" si="290"/>
        <v>0.0</v>
      </c>
      <c r="W177" s="201" t="str">
        <f>IF(X$5=K$5,SUM(Y177:AI177)-SUM(L177:V177),"")</f>
        <v/>
      </c>
      <c r="X177" s="9" t="str">
        <f>LOWER(CtryCode)&amp;".distn."&amp;$A177&amp;IF($B177="","","."&amp;$B177)&amp;IF($C177="","",".dec."&amp;$C177)&amp;"."&amp;X$5</f>
        <v>egy.distn.fac.teq.2</v>
      </c>
      <c r="Y177" s="203">
        <f t="shared" ref="Y177:AI177" si="291">DFAC(Y$18,Y$125,Y153)</f>
        <v>0.0011011522522741068</v>
      </c>
      <c r="Z177" s="203">
        <f t="shared" si="291"/>
        <v>0.001101116019239099</v>
      </c>
      <c r="AA177" s="203">
        <f t="shared" si="291"/>
        <v>0.001101116019239099</v>
      </c>
      <c r="AB177" s="203">
        <f t="shared" si="291"/>
        <v>0.001101116019239099</v>
      </c>
      <c r="AC177" s="203">
        <f t="shared" si="291"/>
        <v>0.0011011689871896137</v>
      </c>
      <c r="AD177" s="203">
        <f t="shared" si="291"/>
        <v>0.0011011689871896137</v>
      </c>
      <c r="AE177" s="203">
        <f t="shared" si="291"/>
        <v>0.0011011689871896137</v>
      </c>
      <c r="AF177" s="203">
        <f t="shared" si="291"/>
        <v>0.0011011689871896137</v>
      </c>
      <c r="AG177" s="203">
        <f t="shared" si="291"/>
        <v>0.0011011661729903156</v>
      </c>
      <c r="AH177" s="203">
        <f t="shared" si="291"/>
        <v>0.0011011661729903156</v>
      </c>
      <c r="AI177" s="203">
        <f t="shared" si="291"/>
        <v>0.0011011661729903156</v>
      </c>
    </row>
    <row r="178" hidden="1" outlineLevel="1">
      <c r="A178" s="44" t="inlineStr">
        <is>
          <t>fac</t>
        </is>
      </c>
      <c r="B178" s="3" t="inlineStr">
        <is>
          <t>tpu</t>
        </is>
      </c>
      <c r="C178" s="3" t="inlineStr"/>
      <c r="D178" s="3" t="n"/>
      <c r="E178" s="3" t="n"/>
      <c r="H178" s="3" t="inlineStr">
        <is>
          <t>Public transport: price factor</t>
        </is>
      </c>
      <c r="I178" s="3" t="inlineStr">
        <is>
          <t>fraction</t>
        </is>
      </c>
      <c r="J178" s="118" t="inlineStr">
        <is>
          <t>legacy rows 801-825</t>
        </is>
      </c>
      <c r="K178" s="9" t="str">
        <f>LOWER(CtryCode)&amp;".distn."&amp;$A178&amp;IF($B178="","","."&amp;$B178)&amp;IF($C178="","",".dec."&amp;$C178)&amp;"."&amp;K$5</f>
        <v>egy.distn.fac.tpu.1</v>
      </c>
      <c r="L178" s="202">
        <f t="shared" ref="L178:V178" si="292">L$126*IF(LEFT(L$18,3)="Yes",(1+L$126)^L154,1)</f>
        <v>0.0</v>
      </c>
      <c r="M178" s="196">
        <f t="shared" si="292"/>
        <v>0.0</v>
      </c>
      <c r="N178" s="196">
        <f t="shared" si="292"/>
        <v>0.0</v>
      </c>
      <c r="O178" s="196">
        <f t="shared" si="292"/>
        <v>0.0</v>
      </c>
      <c r="P178" s="196">
        <f t="shared" si="292"/>
        <v>0.0</v>
      </c>
      <c r="Q178" s="196">
        <f t="shared" si="292"/>
        <v>0.0</v>
      </c>
      <c r="R178" s="196">
        <f t="shared" si="292"/>
        <v>0.0</v>
      </c>
      <c r="S178" s="196">
        <f t="shared" si="292"/>
        <v>0.0</v>
      </c>
      <c r="T178" s="196">
        <f t="shared" si="292"/>
        <v>0.0</v>
      </c>
      <c r="U178" s="196">
        <f t="shared" si="292"/>
        <v>0.0</v>
      </c>
      <c r="V178" s="196">
        <f t="shared" si="292"/>
        <v>0.0</v>
      </c>
      <c r="W178" s="201" t="str">
        <f>IF(X$5=K$5,SUM(Y178:AI178)-SUM(L178:V178),"")</f>
        <v/>
      </c>
      <c r="X178" s="9" t="str">
        <f>LOWER(CtryCode)&amp;".distn."&amp;$A178&amp;IF($B178="","","."&amp;$B178)&amp;IF($C178="","",".dec."&amp;$C178)&amp;"."&amp;X$5</f>
        <v>egy.distn.fac.tpu.2</v>
      </c>
      <c r="Y178" s="203">
        <f t="shared" ref="Y178:AI178" si="293">DFAC(Y$18,Y$126,Y154)</f>
        <v>0.005171191903469903</v>
      </c>
      <c r="Z178" s="203">
        <f t="shared" si="293"/>
        <v>0.0051703916517275555</v>
      </c>
      <c r="AA178" s="203">
        <f t="shared" si="293"/>
        <v>0.0051703916517275555</v>
      </c>
      <c r="AB178" s="203">
        <f t="shared" si="293"/>
        <v>0.0051703916517275555</v>
      </c>
      <c r="AC178" s="203">
        <f t="shared" si="293"/>
        <v>0.005171561547861311</v>
      </c>
      <c r="AD178" s="203">
        <f t="shared" si="293"/>
        <v>0.005171561547861311</v>
      </c>
      <c r="AE178" s="203">
        <f t="shared" si="293"/>
        <v>0.005171561547861311</v>
      </c>
      <c r="AF178" s="203">
        <f t="shared" si="293"/>
        <v>0.005171561547861311</v>
      </c>
      <c r="AG178" s="203">
        <f t="shared" si="293"/>
        <v>0.005171499385770485</v>
      </c>
      <c r="AH178" s="203">
        <f t="shared" si="293"/>
        <v>0.005171499385770485</v>
      </c>
      <c r="AI178" s="203">
        <f t="shared" si="293"/>
        <v>0.005171499385770485</v>
      </c>
    </row>
    <row r="179" hidden="1" outlineLevel="1"/>
    <row r="180" collapsed="1">
      <c r="A180" s="44" t="inlineStr">
        <is>
          <t>facw</t>
        </is>
      </c>
      <c r="B180" s="3" t="inlineStr">
        <is>
          <t>ene</t>
        </is>
      </c>
      <c r="C180" s="3" t="inlineStr">
        <is>
          <t>ove</t>
        </is>
      </c>
      <c r="D180" s="3" t="n"/>
      <c r="E180" s="3" t="n"/>
      <c r="H180" s="6" t="inlineStr">
        <is>
          <t>Household fuels: average price factor, weighted by the budget shares (overall)</t>
        </is>
      </c>
      <c r="I180" s="3" t="inlineStr">
        <is>
          <t>fraction</t>
        </is>
      </c>
      <c r="J180" s="118" t="inlineStr">
        <is>
          <t>Budget shares: section 5</t>
        </is>
      </c>
      <c r="K180" s="9" t="str">
        <f>LOWER(CtryCode)&amp;".distn."&amp;$A180&amp;IF($B180="","","."&amp;$B180)&amp;IF($C180="","",".dec."&amp;$C180)&amp;"."&amp;K$5</f>
        <v>egy.distn.facw.ene.dec.ove.1</v>
      </c>
      <c r="L180" s="209">
        <f t="shared" ref="L180:V180" si="294">IFERROR(SUMPRODUCT(L157:L164,L185:L192)/SUM(L185:L192),0)</f>
        <v>0.0</v>
      </c>
      <c r="M180" s="210">
        <f t="shared" si="294"/>
        <v>0.0</v>
      </c>
      <c r="N180" s="210">
        <f t="shared" si="294"/>
        <v>0.0</v>
      </c>
      <c r="O180" s="210">
        <f t="shared" si="294"/>
        <v>0.0</v>
      </c>
      <c r="P180" s="210">
        <f t="shared" si="294"/>
        <v>0.0</v>
      </c>
      <c r="Q180" s="210">
        <f t="shared" si="294"/>
        <v>0.0</v>
      </c>
      <c r="R180" s="210">
        <f t="shared" si="294"/>
        <v>0.0</v>
      </c>
      <c r="S180" s="210">
        <f t="shared" si="294"/>
        <v>0.0</v>
      </c>
      <c r="T180" s="210">
        <f t="shared" si="294"/>
        <v>0.0</v>
      </c>
      <c r="U180" s="210">
        <f t="shared" si="294"/>
        <v>0.0</v>
      </c>
      <c r="V180" s="210">
        <f t="shared" si="294"/>
        <v>0.0</v>
      </c>
      <c r="W180" s="201" t="str">
        <f>IF(X$5=K$5,SUM(Y180:AI180)-SUM(L180:V180),"")</f>
        <v/>
      </c>
      <c r="X180" s="9" t="str">
        <f>LOWER(CtryCode)&amp;".distn."&amp;$A180&amp;IF($B180="","","."&amp;$B180)&amp;IF($C180="","",".dec."&amp;$C180)&amp;"."&amp;X$5</f>
        <v>egy.distn.facw.ene.dec.ove.2</v>
      </c>
      <c r="Y180" s="209">
        <f t="shared" ref="Y180:AI180" si="295">IFERROR(SUMPRODUCT(Y157:Y164,Y185:Y192)/SUM(Y185:Y192),0)</f>
        <v>0.2064386589376334</v>
      </c>
      <c r="Z180" s="210">
        <f t="shared" si="295"/>
        <v>0.21231401773959852</v>
      </c>
      <c r="AA180" s="210">
        <f t="shared" si="295"/>
        <v>0.2108255708500502</v>
      </c>
      <c r="AB180" s="210">
        <f t="shared" si="295"/>
        <v>0.2083219802935991</v>
      </c>
      <c r="AC180" s="210">
        <f t="shared" si="295"/>
        <v>0.2066807202119984</v>
      </c>
      <c r="AD180" s="210">
        <f t="shared" si="295"/>
        <v>0.20614451684879867</v>
      </c>
      <c r="AE180" s="210">
        <f t="shared" si="295"/>
        <v>0.20499476856127932</v>
      </c>
      <c r="AF180" s="210">
        <f t="shared" si="295"/>
        <v>0.204229842212783</v>
      </c>
      <c r="AG180" s="210">
        <f t="shared" si="295"/>
        <v>0.20302222674350645</v>
      </c>
      <c r="AH180" s="210">
        <f t="shared" si="295"/>
        <v>0.20081475425397885</v>
      </c>
      <c r="AI180" s="210">
        <f t="shared" si="295"/>
        <v>0.20156814829991007</v>
      </c>
    </row>
    <row r="181"/>
    <row r="182">
      <c r="A182" s="36" t="inlineStr">
        <is>
          <t>5</t>
        </is>
      </c>
      <c r="B182" s="37" t="inlineStr">
        <is>
          <t>Budget shares (HHSurvey, statistic of row 9; legacy C.III-C.IV)</t>
        </is>
      </c>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row>
    <row r="183" hidden="1" outlineLevel="1"/>
    <row r="184" hidden="1" outlineLevel="1">
      <c r="B184" s="31" t="inlineStr">
        <is>
          <t>Overall</t>
        </is>
      </c>
    </row>
    <row r="185" hidden="1" outlineLevel="1">
      <c r="A185" s="44" t="inlineStr">
        <is>
          <t>bsh</t>
        </is>
      </c>
      <c r="B185" s="3" t="inlineStr">
        <is>
          <t>coa</t>
        </is>
      </c>
      <c r="C185" s="3" t="inlineStr">
        <is>
          <t>ove</t>
        </is>
      </c>
      <c r="D185" s="3" t="inlineStr">
        <is>
          <t>coa_share</t>
        </is>
      </c>
      <c r="E185" s="3" t="inlineStr">
        <is>
          <t>ove.</t>
        </is>
      </c>
      <c r="H185" s="3" t="inlineStr">
        <is>
          <t>Coal: budget share, overall</t>
        </is>
      </c>
      <c r="I185" s="3" t="inlineStr">
        <is>
          <t>% consumption</t>
        </is>
      </c>
      <c r="J185" s="118" t="inlineStr">
        <is>
          <t>HHSurvey</t>
        </is>
      </c>
      <c r="K185" s="9" t="str">
        <f>LOWER(CtryCode)&amp;".distn."&amp;$A185&amp;IF($B185="","","."&amp;$B185)&amp;IF($C185="","",".dec."&amp;$C185)&amp;"."&amp;K$5</f>
        <v>egy.distn.bsh.coa.dec.ove.1</v>
      </c>
      <c r="L185" s="202">
        <f t="shared" ref="L185:V185" si="296">INDEX(DHHVal,MATCH(CtryCode&amp;".distn.bsh."&amp;L$10&amp;$E185&amp;L$9&amp;L$11,DHHKey,0),MATCH($D185,DHHVar,0))</f>
        <v>0.0</v>
      </c>
      <c r="M185" s="196">
        <f t="shared" si="296"/>
        <v>0.0</v>
      </c>
      <c r="N185" s="196">
        <f t="shared" si="296"/>
        <v>0.0</v>
      </c>
      <c r="O185" s="196">
        <f t="shared" si="296"/>
        <v>0.0</v>
      </c>
      <c r="P185" s="196">
        <f t="shared" si="296"/>
        <v>0.0</v>
      </c>
      <c r="Q185" s="196">
        <f t="shared" si="296"/>
        <v>0.0</v>
      </c>
      <c r="R185" s="196">
        <f t="shared" si="296"/>
        <v>0.0</v>
      </c>
      <c r="S185" s="196">
        <f t="shared" si="296"/>
        <v>0.0</v>
      </c>
      <c r="T185" s="196">
        <f t="shared" si="296"/>
        <v>0.0</v>
      </c>
      <c r="U185" s="196">
        <f t="shared" si="296"/>
        <v>0.0</v>
      </c>
      <c r="V185" s="196">
        <f t="shared" si="296"/>
        <v>0.0</v>
      </c>
      <c r="W185" s="201" t="str">
        <f>IF(X$5=K$5,SUM(Y185:AI185)-SUM(L185:V185),"")</f>
        <v/>
      </c>
      <c r="X185" s="9" t="str">
        <f>LOWER(CtryCode)&amp;".distn."&amp;$A185&amp;IF($B185="","","."&amp;$B185)&amp;IF($C185="","",".dec."&amp;$C185)&amp;"."&amp;X$5</f>
        <v>egy.distn.bsh.coa.dec.ove.2</v>
      </c>
      <c r="Y185" s="202">
        <f t="shared" ref="Y185:AI185" si="297">INDEX(DHHVal,MATCH(CtryCode&amp;".distn.bsh."&amp;Y$10&amp;$E185&amp;Y$9&amp;Y$11,DHHKey,0),MATCH($D185,DHHVar,0))</f>
        <v>0.0</v>
      </c>
      <c r="Z185" s="196">
        <f t="shared" si="297"/>
        <v>0.0</v>
      </c>
      <c r="AA185" s="196">
        <f t="shared" si="297"/>
        <v>0.0</v>
      </c>
      <c r="AB185" s="196">
        <f t="shared" si="297"/>
        <v>0.0</v>
      </c>
      <c r="AC185" s="196">
        <f t="shared" si="297"/>
        <v>0.0</v>
      </c>
      <c r="AD185" s="196">
        <f t="shared" si="297"/>
        <v>0.0</v>
      </c>
      <c r="AE185" s="196">
        <f t="shared" si="297"/>
        <v>0.0</v>
      </c>
      <c r="AF185" s="196">
        <f t="shared" si="297"/>
        <v>0.0</v>
      </c>
      <c r="AG185" s="196">
        <f t="shared" si="297"/>
        <v>0.0</v>
      </c>
      <c r="AH185" s="196">
        <f t="shared" si="297"/>
        <v>0.0</v>
      </c>
      <c r="AI185" s="196">
        <f t="shared" si="297"/>
        <v>0.0</v>
      </c>
    </row>
    <row r="186" hidden="1" outlineLevel="1">
      <c r="A186" s="44" t="inlineStr">
        <is>
          <t>bsh</t>
        </is>
      </c>
      <c r="B186" s="3" t="inlineStr">
        <is>
          <t>ely</t>
        </is>
      </c>
      <c r="C186" s="3" t="inlineStr">
        <is>
          <t>ove</t>
        </is>
      </c>
      <c r="D186" s="3" t="inlineStr">
        <is>
          <t>ely_share</t>
        </is>
      </c>
      <c r="E186" s="3" t="inlineStr">
        <is>
          <t>ove.</t>
        </is>
      </c>
      <c r="H186" s="3" t="inlineStr">
        <is>
          <t>Electricity: budget share, overall</t>
        </is>
      </c>
      <c r="I186" s="3" t="inlineStr">
        <is>
          <t>% consumption</t>
        </is>
      </c>
      <c r="J186" s="118" t="inlineStr">
        <is>
          <t>HHSurvey</t>
        </is>
      </c>
      <c r="K186" s="9" t="str">
        <f>LOWER(CtryCode)&amp;".distn."&amp;$A186&amp;IF($B186="","","."&amp;$B186)&amp;IF($C186="","",".dec."&amp;$C186)&amp;"."&amp;K$5</f>
        <v>egy.distn.bsh.ely.dec.ove.1</v>
      </c>
      <c r="L186" s="202">
        <f t="shared" ref="L186:V186" si="298">INDEX(DHHVal,MATCH(CtryCode&amp;".distn.bsh."&amp;L$10&amp;$E186&amp;L$9&amp;L$11,DHHKey,0),MATCH($D186,DHHVar,0))</f>
        <v>3.490902409272224</v>
      </c>
      <c r="M186" s="196">
        <f t="shared" si="298"/>
        <v>3.712045329134182</v>
      </c>
      <c r="N186" s="196">
        <f t="shared" si="298"/>
        <v>3.386868851149091</v>
      </c>
      <c r="O186" s="196">
        <f t="shared" si="298"/>
        <v>3.497795166354107</v>
      </c>
      <c r="P186" s="196">
        <f t="shared" si="298"/>
        <v>3.387531902277361</v>
      </c>
      <c r="Q186" s="196">
        <f t="shared" si="298"/>
        <v>3.283684020389247</v>
      </c>
      <c r="R186" s="196">
        <f t="shared" si="298"/>
        <v>3.325231592484532</v>
      </c>
      <c r="S186" s="196">
        <f t="shared" si="298"/>
        <v>3.474154547664536</v>
      </c>
      <c r="T186" s="196">
        <f t="shared" si="298"/>
        <v>3.732985348611389</v>
      </c>
      <c r="U186" s="196">
        <f t="shared" si="298"/>
        <v>3.779666341079871</v>
      </c>
      <c r="V186" s="196">
        <f t="shared" si="298"/>
        <v>4.002968860751649</v>
      </c>
      <c r="W186" s="201" t="str">
        <f>IF(X$5=K$5,SUM(Y186:AI186)-SUM(L186:V186),"")</f>
        <v/>
      </c>
      <c r="X186" s="9" t="str">
        <f>LOWER(CtryCode)&amp;".distn."&amp;$A186&amp;IF($B186="","","."&amp;$B186)&amp;IF($C186="","",".dec."&amp;$C186)&amp;"."&amp;X$5</f>
        <v>egy.distn.bsh.ely.dec.ove.2</v>
      </c>
      <c r="Y186" s="202">
        <f t="shared" ref="Y186:AI186" si="299">INDEX(DHHVal,MATCH(CtryCode&amp;".distn.bsh."&amp;Y$10&amp;$E186&amp;Y$9&amp;Y$11,DHHKey,0),MATCH($D186,DHHVar,0))</f>
        <v>3.490902409272224</v>
      </c>
      <c r="Z186" s="196">
        <f t="shared" si="299"/>
        <v>3.712045329134182</v>
      </c>
      <c r="AA186" s="196">
        <f t="shared" si="299"/>
        <v>3.386868851149091</v>
      </c>
      <c r="AB186" s="196">
        <f t="shared" si="299"/>
        <v>3.497795166354107</v>
      </c>
      <c r="AC186" s="196">
        <f t="shared" si="299"/>
        <v>3.387531902277361</v>
      </c>
      <c r="AD186" s="196">
        <f t="shared" si="299"/>
        <v>3.283684020389247</v>
      </c>
      <c r="AE186" s="196">
        <f t="shared" si="299"/>
        <v>3.325231592484532</v>
      </c>
      <c r="AF186" s="196">
        <f t="shared" si="299"/>
        <v>3.474154547664536</v>
      </c>
      <c r="AG186" s="196">
        <f t="shared" si="299"/>
        <v>3.732985348611389</v>
      </c>
      <c r="AH186" s="196">
        <f t="shared" si="299"/>
        <v>3.779666341079871</v>
      </c>
      <c r="AI186" s="196">
        <f t="shared" si="299"/>
        <v>4.002968860751649</v>
      </c>
    </row>
    <row r="187" hidden="1" outlineLevel="1">
      <c r="A187" s="44" t="inlineStr">
        <is>
          <t>bsh</t>
        </is>
      </c>
      <c r="B187" s="3" t="inlineStr">
        <is>
          <t>nga</t>
        </is>
      </c>
      <c r="C187" s="3" t="inlineStr">
        <is>
          <t>ove</t>
        </is>
      </c>
      <c r="D187" s="3" t="inlineStr">
        <is>
          <t>nga_share</t>
        </is>
      </c>
      <c r="E187" s="3" t="inlineStr">
        <is>
          <t>ove.</t>
        </is>
      </c>
      <c r="H187" s="3" t="inlineStr">
        <is>
          <t>Natural gas: budget share, overall</t>
        </is>
      </c>
      <c r="I187" s="3" t="inlineStr">
        <is>
          <t>% consumption</t>
        </is>
      </c>
      <c r="J187" s="118" t="inlineStr">
        <is>
          <t>HHSurvey</t>
        </is>
      </c>
      <c r="K187" s="9" t="str">
        <f>LOWER(CtryCode)&amp;".distn."&amp;$A187&amp;IF($B187="","","."&amp;$B187)&amp;IF($C187="","",".dec."&amp;$C187)&amp;"."&amp;K$5</f>
        <v>egy.distn.bsh.nga.dec.ove.1</v>
      </c>
      <c r="L187" s="202">
        <f t="shared" ref="L187:V187" si="300">INDEX(DHHVal,MATCH(CtryCode&amp;".distn.bsh."&amp;L$10&amp;$E187&amp;L$9&amp;L$11,DHHKey,0),MATCH($D187,DHHVar,0))</f>
        <v>0.3453107879330201</v>
      </c>
      <c r="M187" s="196">
        <f t="shared" si="300"/>
        <v>0.282187156405089</v>
      </c>
      <c r="N187" s="196">
        <f t="shared" si="300"/>
        <v>0.2736742872823609</v>
      </c>
      <c r="O187" s="196">
        <f t="shared" si="300"/>
        <v>0.2901272404518894</v>
      </c>
      <c r="P187" s="196">
        <f t="shared" si="300"/>
        <v>0.3060726892600179</v>
      </c>
      <c r="Q187" s="196">
        <f t="shared" si="300"/>
        <v>0.3095759689400425</v>
      </c>
      <c r="R187" s="196">
        <f t="shared" si="300"/>
        <v>0.3219813663113051</v>
      </c>
      <c r="S187" s="196">
        <f t="shared" si="300"/>
        <v>0.367259138208968</v>
      </c>
      <c r="T187" s="196">
        <f t="shared" si="300"/>
        <v>0.4517651975680243</v>
      </c>
      <c r="U187" s="196">
        <f t="shared" si="300"/>
        <v>0.4378395966992205</v>
      </c>
      <c r="V187" s="196">
        <f t="shared" si="300"/>
        <v>0.5982937195619367</v>
      </c>
      <c r="W187" s="201" t="str">
        <f>IF(X$5=K$5,SUM(Y187:AI187)-SUM(L187:V187),"")</f>
        <v/>
      </c>
      <c r="X187" s="9" t="str">
        <f>LOWER(CtryCode)&amp;".distn."&amp;$A187&amp;IF($B187="","","."&amp;$B187)&amp;IF($C187="","",".dec."&amp;$C187)&amp;"."&amp;X$5</f>
        <v>egy.distn.bsh.nga.dec.ove.2</v>
      </c>
      <c r="Y187" s="202">
        <f t="shared" ref="Y187:AI187" si="301">INDEX(DHHVal,MATCH(CtryCode&amp;".distn.bsh."&amp;Y$10&amp;$E187&amp;Y$9&amp;Y$11,DHHKey,0),MATCH($D187,DHHVar,0))</f>
        <v>0.3453107879330201</v>
      </c>
      <c r="Z187" s="196">
        <f t="shared" si="301"/>
        <v>0.282187156405089</v>
      </c>
      <c r="AA187" s="196">
        <f t="shared" si="301"/>
        <v>0.2736742872823609</v>
      </c>
      <c r="AB187" s="196">
        <f t="shared" si="301"/>
        <v>0.2901272404518894</v>
      </c>
      <c r="AC187" s="196">
        <f t="shared" si="301"/>
        <v>0.3060726892600179</v>
      </c>
      <c r="AD187" s="196">
        <f t="shared" si="301"/>
        <v>0.3095759689400425</v>
      </c>
      <c r="AE187" s="196">
        <f t="shared" si="301"/>
        <v>0.3219813663113051</v>
      </c>
      <c r="AF187" s="196">
        <f t="shared" si="301"/>
        <v>0.367259138208968</v>
      </c>
      <c r="AG187" s="196">
        <f t="shared" si="301"/>
        <v>0.4517651975680243</v>
      </c>
      <c r="AH187" s="196">
        <f t="shared" si="301"/>
        <v>0.4378395966992205</v>
      </c>
      <c r="AI187" s="196">
        <f t="shared" si="301"/>
        <v>0.5982937195619367</v>
      </c>
    </row>
    <row r="188" hidden="1" outlineLevel="1">
      <c r="A188" s="44" t="inlineStr">
        <is>
          <t>bsh</t>
        </is>
      </c>
      <c r="B188" s="3" t="inlineStr">
        <is>
          <t>oil</t>
        </is>
      </c>
      <c r="C188" s="3" t="inlineStr">
        <is>
          <t>ove</t>
        </is>
      </c>
      <c r="D188" s="3" t="inlineStr">
        <is>
          <t>oil_share</t>
        </is>
      </c>
      <c r="E188" s="3" t="inlineStr">
        <is>
          <t>ove.</t>
        </is>
      </c>
      <c r="H188" s="3" t="inlineStr">
        <is>
          <t>Other oil products: budget share, overall</t>
        </is>
      </c>
      <c r="I188" s="3" t="inlineStr">
        <is>
          <t>% consumption</t>
        </is>
      </c>
      <c r="J188" s="118" t="inlineStr">
        <is>
          <t>HHSurvey</t>
        </is>
      </c>
      <c r="K188" s="9" t="str">
        <f>LOWER(CtryCode)&amp;".distn."&amp;$A188&amp;IF($B188="","","."&amp;$B188)&amp;IF($C188="","",".dec."&amp;$C188)&amp;"."&amp;K$5</f>
        <v>egy.distn.bsh.oil.dec.ove.1</v>
      </c>
      <c r="L188" s="202">
        <f t="shared" ref="L188:V188" si="302">INDEX(DHHVal,MATCH(CtryCode&amp;".distn.bsh."&amp;L$10&amp;$E188&amp;L$9&amp;L$11,DHHKey,0),MATCH($D188,DHHVar,0))</f>
        <v>0.1310662779441212</v>
      </c>
      <c r="M188" s="196">
        <f t="shared" si="302"/>
        <v>0.09712614609950582</v>
      </c>
      <c r="N188" s="196">
        <f t="shared" si="302"/>
        <v>0.1007562641845746</v>
      </c>
      <c r="O188" s="196">
        <f t="shared" si="302"/>
        <v>0.1377627988064387</v>
      </c>
      <c r="P188" s="196">
        <f t="shared" si="302"/>
        <v>0.1000572456953289</v>
      </c>
      <c r="Q188" s="196">
        <f t="shared" si="302"/>
        <v>0.1435739677683258</v>
      </c>
      <c r="R188" s="196">
        <f t="shared" si="302"/>
        <v>0.1417776951189099</v>
      </c>
      <c r="S188" s="196">
        <f t="shared" si="302"/>
        <v>0.1363019885731651</v>
      </c>
      <c r="T188" s="196">
        <f t="shared" si="302"/>
        <v>0.1407971882519195</v>
      </c>
      <c r="U188" s="196">
        <f t="shared" si="302"/>
        <v>0.1453771914869463</v>
      </c>
      <c r="V188" s="196">
        <f t="shared" si="302"/>
        <v>0.1607863587485316</v>
      </c>
      <c r="W188" s="201" t="str">
        <f>IF(X$5=K$5,SUM(Y188:AI188)-SUM(L188:V188),"")</f>
        <v/>
      </c>
      <c r="X188" s="9" t="str">
        <f>LOWER(CtryCode)&amp;".distn."&amp;$A188&amp;IF($B188="","","."&amp;$B188)&amp;IF($C188="","",".dec."&amp;$C188)&amp;"."&amp;X$5</f>
        <v>egy.distn.bsh.oil.dec.ove.2</v>
      </c>
      <c r="Y188" s="202">
        <f t="shared" ref="Y188:AI188" si="303">INDEX(DHHVal,MATCH(CtryCode&amp;".distn.bsh."&amp;Y$10&amp;$E188&amp;Y$9&amp;Y$11,DHHKey,0),MATCH($D188,DHHVar,0))</f>
        <v>0.1310662779441212</v>
      </c>
      <c r="Z188" s="196">
        <f t="shared" si="303"/>
        <v>0.09712614609950582</v>
      </c>
      <c r="AA188" s="196">
        <f t="shared" si="303"/>
        <v>0.1007562641845746</v>
      </c>
      <c r="AB188" s="196">
        <f t="shared" si="303"/>
        <v>0.1377627988064387</v>
      </c>
      <c r="AC188" s="196">
        <f t="shared" si="303"/>
        <v>0.1000572456953289</v>
      </c>
      <c r="AD188" s="196">
        <f t="shared" si="303"/>
        <v>0.1435739677683258</v>
      </c>
      <c r="AE188" s="196">
        <f t="shared" si="303"/>
        <v>0.1417776951189099</v>
      </c>
      <c r="AF188" s="196">
        <f t="shared" si="303"/>
        <v>0.1363019885731651</v>
      </c>
      <c r="AG188" s="196">
        <f t="shared" si="303"/>
        <v>0.1407971882519195</v>
      </c>
      <c r="AH188" s="196">
        <f t="shared" si="303"/>
        <v>0.1453771914869463</v>
      </c>
      <c r="AI188" s="196">
        <f t="shared" si="303"/>
        <v>0.1607863587485316</v>
      </c>
    </row>
    <row r="189" hidden="1" outlineLevel="1">
      <c r="A189" s="44" t="inlineStr">
        <is>
          <t>bsh</t>
        </is>
      </c>
      <c r="B189" s="3" t="inlineStr">
        <is>
          <t>gso</t>
        </is>
      </c>
      <c r="C189" s="3" t="inlineStr">
        <is>
          <t>ove</t>
        </is>
      </c>
      <c r="D189" s="3" t="inlineStr">
        <is>
          <t>gso_share</t>
        </is>
      </c>
      <c r="E189" s="3" t="inlineStr">
        <is>
          <t>ove.</t>
        </is>
      </c>
      <c r="H189" s="3" t="inlineStr">
        <is>
          <t>Gasoline: budget share, overall</t>
        </is>
      </c>
      <c r="I189" s="3" t="inlineStr">
        <is>
          <t>% consumption</t>
        </is>
      </c>
      <c r="J189" s="118" t="inlineStr">
        <is>
          <t>HHSurvey</t>
        </is>
      </c>
      <c r="K189" s="9" t="str">
        <f>LOWER(CtryCode)&amp;".distn."&amp;$A189&amp;IF($B189="","","."&amp;$B189)&amp;IF($C189="","",".dec."&amp;$C189)&amp;"."&amp;K$5</f>
        <v>egy.distn.bsh.gso.dec.ove.1</v>
      </c>
      <c r="L189" s="202">
        <f t="shared" ref="L189:V189" si="304">INDEX(DHHVal,MATCH(CtryCode&amp;".distn.bsh."&amp;L$10&amp;$E189&amp;L$9&amp;L$11,DHHKey,0),MATCH($D189,DHHVar,0))</f>
        <v>0.5208881509900787</v>
      </c>
      <c r="M189" s="196">
        <f t="shared" si="304"/>
        <v>0.3072914120511118</v>
      </c>
      <c r="N189" s="196">
        <f t="shared" si="304"/>
        <v>0.3634314778750612</v>
      </c>
      <c r="O189" s="196">
        <f t="shared" si="304"/>
        <v>0.4383492152433479</v>
      </c>
      <c r="P189" s="196">
        <f t="shared" si="304"/>
        <v>0.4438330576453658</v>
      </c>
      <c r="Q189" s="196">
        <f t="shared" si="304"/>
        <v>0.5191852813277069</v>
      </c>
      <c r="R189" s="196">
        <f t="shared" si="304"/>
        <v>0.5448284951671503</v>
      </c>
      <c r="S189" s="196">
        <f t="shared" si="304"/>
        <v>0.602673754502311</v>
      </c>
      <c r="T189" s="196">
        <f t="shared" si="304"/>
        <v>0.6562984442710446</v>
      </c>
      <c r="U189" s="196">
        <f t="shared" si="304"/>
        <v>0.6239586490343902</v>
      </c>
      <c r="V189" s="196">
        <f t="shared" si="304"/>
        <v>0.7929790490161215</v>
      </c>
      <c r="W189" s="201" t="str">
        <f>IF(X$5=K$5,SUM(Y189:AI189)-SUM(L189:V189),"")</f>
        <v/>
      </c>
      <c r="X189" s="9" t="str">
        <f>LOWER(CtryCode)&amp;".distn."&amp;$A189&amp;IF($B189="","","."&amp;$B189)&amp;IF($C189="","",".dec."&amp;$C189)&amp;"."&amp;X$5</f>
        <v>egy.distn.bsh.gso.dec.ove.2</v>
      </c>
      <c r="Y189" s="202">
        <f t="shared" ref="Y189:AI189" si="305">INDEX(DHHVal,MATCH(CtryCode&amp;".distn.bsh."&amp;Y$10&amp;$E189&amp;Y$9&amp;Y$11,DHHKey,0),MATCH($D189,DHHVar,0))</f>
        <v>0.5208881509900787</v>
      </c>
      <c r="Z189" s="196">
        <f t="shared" si="305"/>
        <v>0.3072914120511118</v>
      </c>
      <c r="AA189" s="196">
        <f t="shared" si="305"/>
        <v>0.3634314778750612</v>
      </c>
      <c r="AB189" s="196">
        <f t="shared" si="305"/>
        <v>0.4383492152433479</v>
      </c>
      <c r="AC189" s="196">
        <f t="shared" si="305"/>
        <v>0.4438330576453658</v>
      </c>
      <c r="AD189" s="196">
        <f t="shared" si="305"/>
        <v>0.5191852813277069</v>
      </c>
      <c r="AE189" s="196">
        <f t="shared" si="305"/>
        <v>0.5448284951671503</v>
      </c>
      <c r="AF189" s="196">
        <f t="shared" si="305"/>
        <v>0.602673754502311</v>
      </c>
      <c r="AG189" s="196">
        <f t="shared" si="305"/>
        <v>0.6562984442710446</v>
      </c>
      <c r="AH189" s="196">
        <f t="shared" si="305"/>
        <v>0.6239586490343902</v>
      </c>
      <c r="AI189" s="196">
        <f t="shared" si="305"/>
        <v>0.7929790490161215</v>
      </c>
    </row>
    <row r="190" hidden="1" outlineLevel="1">
      <c r="A190" s="44" t="inlineStr">
        <is>
          <t>bsh</t>
        </is>
      </c>
      <c r="B190" s="3" t="inlineStr">
        <is>
          <t>die</t>
        </is>
      </c>
      <c r="C190" s="3" t="inlineStr">
        <is>
          <t>ove</t>
        </is>
      </c>
      <c r="D190" s="3" t="inlineStr">
        <is>
          <t>die_share</t>
        </is>
      </c>
      <c r="E190" s="3" t="inlineStr">
        <is>
          <t>ove.</t>
        </is>
      </c>
      <c r="H190" s="3" t="inlineStr">
        <is>
          <t>Diesel: budget share, overall</t>
        </is>
      </c>
      <c r="I190" s="3" t="inlineStr">
        <is>
          <t>% consumption</t>
        </is>
      </c>
      <c r="J190" s="118" t="inlineStr">
        <is>
          <t>HHSurvey</t>
        </is>
      </c>
      <c r="K190" s="9" t="str">
        <f>LOWER(CtryCode)&amp;".distn."&amp;$A190&amp;IF($B190="","","."&amp;$B190)&amp;IF($C190="","",".dec."&amp;$C190)&amp;"."&amp;K$5</f>
        <v>egy.distn.bsh.die.dec.ove.1</v>
      </c>
      <c r="L190" s="202">
        <f t="shared" ref="L190:V190" si="306">INDEX(DHHVal,MATCH(CtryCode&amp;".distn.bsh."&amp;L$10&amp;$E190&amp;L$9&amp;L$11,DHHKey,0),MATCH($D190,DHHVar,0))</f>
        <v>0.0</v>
      </c>
      <c r="M190" s="196">
        <f t="shared" si="306"/>
        <v>0.0</v>
      </c>
      <c r="N190" s="196">
        <f t="shared" si="306"/>
        <v>0.0</v>
      </c>
      <c r="O190" s="196">
        <f t="shared" si="306"/>
        <v>0.0</v>
      </c>
      <c r="P190" s="196">
        <f t="shared" si="306"/>
        <v>0.0</v>
      </c>
      <c r="Q190" s="196">
        <f t="shared" si="306"/>
        <v>0.0</v>
      </c>
      <c r="R190" s="196">
        <f t="shared" si="306"/>
        <v>0.0</v>
      </c>
      <c r="S190" s="196">
        <f t="shared" si="306"/>
        <v>0.0</v>
      </c>
      <c r="T190" s="196">
        <f t="shared" si="306"/>
        <v>0.0</v>
      </c>
      <c r="U190" s="196">
        <f t="shared" si="306"/>
        <v>0.0</v>
      </c>
      <c r="V190" s="196">
        <f t="shared" si="306"/>
        <v>0.0</v>
      </c>
      <c r="W190" s="201" t="str">
        <f>IF(X$5=K$5,SUM(Y190:AI190)-SUM(L190:V190),"")</f>
        <v/>
      </c>
      <c r="X190" s="9" t="str">
        <f>LOWER(CtryCode)&amp;".distn."&amp;$A190&amp;IF($B190="","","."&amp;$B190)&amp;IF($C190="","",".dec."&amp;$C190)&amp;"."&amp;X$5</f>
        <v>egy.distn.bsh.die.dec.ove.2</v>
      </c>
      <c r="Y190" s="202">
        <f t="shared" ref="Y190:AI190" si="307">INDEX(DHHVal,MATCH(CtryCode&amp;".distn.bsh."&amp;Y$10&amp;$E190&amp;Y$9&amp;Y$11,DHHKey,0),MATCH($D190,DHHVar,0))</f>
        <v>0.0</v>
      </c>
      <c r="Z190" s="196">
        <f t="shared" si="307"/>
        <v>0.0</v>
      </c>
      <c r="AA190" s="196">
        <f t="shared" si="307"/>
        <v>0.0</v>
      </c>
      <c r="AB190" s="196">
        <f t="shared" si="307"/>
        <v>0.0</v>
      </c>
      <c r="AC190" s="196">
        <f t="shared" si="307"/>
        <v>0.0</v>
      </c>
      <c r="AD190" s="196">
        <f t="shared" si="307"/>
        <v>0.0</v>
      </c>
      <c r="AE190" s="196">
        <f t="shared" si="307"/>
        <v>0.0</v>
      </c>
      <c r="AF190" s="196">
        <f t="shared" si="307"/>
        <v>0.0</v>
      </c>
      <c r="AG190" s="196">
        <f t="shared" si="307"/>
        <v>0.0</v>
      </c>
      <c r="AH190" s="196">
        <f t="shared" si="307"/>
        <v>0.0</v>
      </c>
      <c r="AI190" s="196">
        <f t="shared" si="307"/>
        <v>0.0</v>
      </c>
    </row>
    <row r="191" hidden="1" outlineLevel="1">
      <c r="A191" s="44" t="inlineStr">
        <is>
          <t>bsh</t>
        </is>
      </c>
      <c r="B191" s="3" t="inlineStr">
        <is>
          <t>ker</t>
        </is>
      </c>
      <c r="C191" s="3" t="inlineStr">
        <is>
          <t>ove</t>
        </is>
      </c>
      <c r="D191" s="3" t="inlineStr">
        <is>
          <t>ker_share</t>
        </is>
      </c>
      <c r="E191" s="3" t="inlineStr">
        <is>
          <t>ove.</t>
        </is>
      </c>
      <c r="H191" s="3" t="inlineStr">
        <is>
          <t>Kerosene: budget share, overall</t>
        </is>
      </c>
      <c r="I191" s="3" t="inlineStr">
        <is>
          <t>% consumption</t>
        </is>
      </c>
      <c r="J191" s="118" t="inlineStr">
        <is>
          <t>HHSurvey</t>
        </is>
      </c>
      <c r="K191" s="9" t="str">
        <f>LOWER(CtryCode)&amp;".distn."&amp;$A191&amp;IF($B191="","","."&amp;$B191)&amp;IF($C191="","",".dec."&amp;$C191)&amp;"."&amp;K$5</f>
        <v>egy.distn.bsh.ker.dec.ove.1</v>
      </c>
      <c r="L191" s="202">
        <f t="shared" ref="L191:V191" si="308">INDEX(DHHVal,MATCH(CtryCode&amp;".distn.bsh."&amp;L$10&amp;$E191&amp;L$9&amp;L$11,DHHKey,0),MATCH($D191,DHHVar,0))</f>
        <v>5.635903503367759e-05</v>
      </c>
      <c r="M191" s="196">
        <f t="shared" si="308"/>
        <v>2.006084896631058e-05</v>
      </c>
      <c r="N191" s="196">
        <f t="shared" si="308"/>
        <v>2.31277343073516e-05</v>
      </c>
      <c r="O191" s="196">
        <f t="shared" si="308"/>
        <v>1.025382966777586e-05</v>
      </c>
      <c r="P191" s="196">
        <f t="shared" si="308"/>
        <v>5.664333263088894e-05</v>
      </c>
      <c r="Q191" s="196">
        <f t="shared" si="308"/>
        <v>5.556458977537802e-05</v>
      </c>
      <c r="R191" s="196">
        <f t="shared" si="308"/>
        <v>4.71952851194733e-05</v>
      </c>
      <c r="S191" s="196">
        <f t="shared" si="308"/>
        <v>2.14499410754248e-05</v>
      </c>
      <c r="T191" s="196">
        <f t="shared" si="308"/>
        <v>8.350073475788093e-05</v>
      </c>
      <c r="U191" s="196">
        <f t="shared" si="308"/>
        <v>0.0001169612213283473</v>
      </c>
      <c r="V191" s="196">
        <f t="shared" si="308"/>
        <v>7.729617097477897e-05</v>
      </c>
      <c r="W191" s="201" t="str">
        <f>IF(X$5=K$5,SUM(Y191:AI191)-SUM(L191:V191),"")</f>
        <v/>
      </c>
      <c r="X191" s="9" t="str">
        <f>LOWER(CtryCode)&amp;".distn."&amp;$A191&amp;IF($B191="","","."&amp;$B191)&amp;IF($C191="","",".dec."&amp;$C191)&amp;"."&amp;X$5</f>
        <v>egy.distn.bsh.ker.dec.ove.2</v>
      </c>
      <c r="Y191" s="202">
        <f t="shared" ref="Y191:AI191" si="309">INDEX(DHHVal,MATCH(CtryCode&amp;".distn.bsh."&amp;Y$10&amp;$E191&amp;Y$9&amp;Y$11,DHHKey,0),MATCH($D191,DHHVar,0))</f>
        <v>5.635903503367759e-05</v>
      </c>
      <c r="Z191" s="196">
        <f t="shared" si="309"/>
        <v>2.006084896631058e-05</v>
      </c>
      <c r="AA191" s="196">
        <f t="shared" si="309"/>
        <v>2.31277343073516e-05</v>
      </c>
      <c r="AB191" s="196">
        <f t="shared" si="309"/>
        <v>1.025382966777586e-05</v>
      </c>
      <c r="AC191" s="196">
        <f t="shared" si="309"/>
        <v>5.664333263088894e-05</v>
      </c>
      <c r="AD191" s="196">
        <f t="shared" si="309"/>
        <v>5.556458977537802e-05</v>
      </c>
      <c r="AE191" s="196">
        <f t="shared" si="309"/>
        <v>4.71952851194733e-05</v>
      </c>
      <c r="AF191" s="196">
        <f t="shared" si="309"/>
        <v>2.14499410754248e-05</v>
      </c>
      <c r="AG191" s="196">
        <f t="shared" si="309"/>
        <v>8.350073475788093e-05</v>
      </c>
      <c r="AH191" s="196">
        <f t="shared" si="309"/>
        <v>0.0001169612213283473</v>
      </c>
      <c r="AI191" s="196">
        <f t="shared" si="309"/>
        <v>7.729617097477897e-05</v>
      </c>
    </row>
    <row r="192" hidden="1" outlineLevel="1">
      <c r="A192" s="44" t="inlineStr">
        <is>
          <t>bsh</t>
        </is>
      </c>
      <c r="B192" s="3" t="inlineStr">
        <is>
          <t>lpg</t>
        </is>
      </c>
      <c r="C192" s="3" t="inlineStr">
        <is>
          <t>ove</t>
        </is>
      </c>
      <c r="D192" s="3" t="inlineStr">
        <is>
          <t>lpg_share</t>
        </is>
      </c>
      <c r="E192" s="3" t="inlineStr">
        <is>
          <t>ove.</t>
        </is>
      </c>
      <c r="H192" s="3" t="inlineStr">
        <is>
          <t>LPG: budget share, overall</t>
        </is>
      </c>
      <c r="I192" s="3" t="inlineStr">
        <is>
          <t>% consumption</t>
        </is>
      </c>
      <c r="J192" s="118" t="inlineStr">
        <is>
          <t>HHSurvey</t>
        </is>
      </c>
      <c r="K192" s="9" t="str">
        <f>LOWER(CtryCode)&amp;".distn."&amp;$A192&amp;IF($B192="","","."&amp;$B192)&amp;IF($C192="","",".dec."&amp;$C192)&amp;"."&amp;K$5</f>
        <v>egy.distn.bsh.lpg.dec.ove.1</v>
      </c>
      <c r="L192" s="202">
        <f t="shared" ref="L192:V192" si="310">INDEX(DHHVal,MATCH(CtryCode&amp;".distn.bsh."&amp;L$10&amp;$E192&amp;L$9&amp;L$11,DHHKey,0),MATCH($D192,DHHVar,0))</f>
        <v>1.810489457862631</v>
      </c>
      <c r="M192" s="196">
        <f t="shared" si="310"/>
        <v>2.694859520556745</v>
      </c>
      <c r="N192" s="196">
        <f t="shared" si="310"/>
        <v>2.327398467235654</v>
      </c>
      <c r="O192" s="196">
        <f t="shared" si="310"/>
        <v>2.130473774838007</v>
      </c>
      <c r="P192" s="196">
        <f t="shared" si="310"/>
        <v>1.83262970949107</v>
      </c>
      <c r="Q192" s="196">
        <f t="shared" si="310"/>
        <v>1.725676179389963</v>
      </c>
      <c r="R192" s="196">
        <f t="shared" si="310"/>
        <v>1.633304084782344</v>
      </c>
      <c r="S192" s="196">
        <f t="shared" si="310"/>
        <v>1.577294513587133</v>
      </c>
      <c r="T192" s="196">
        <f t="shared" si="310"/>
        <v>1.394601011209233</v>
      </c>
      <c r="U192" s="196">
        <f t="shared" si="310"/>
        <v>1.218710064472423</v>
      </c>
      <c r="V192" s="196">
        <f t="shared" si="310"/>
        <v>1.042225812638144</v>
      </c>
      <c r="W192" s="201" t="str">
        <f>IF(X$5=K$5,SUM(Y192:AI192)-SUM(L192:V192),"")</f>
        <v/>
      </c>
      <c r="X192" s="9" t="str">
        <f>LOWER(CtryCode)&amp;".distn."&amp;$A192&amp;IF($B192="","","."&amp;$B192)&amp;IF($C192="","",".dec."&amp;$C192)&amp;"."&amp;X$5</f>
        <v>egy.distn.bsh.lpg.dec.ove.2</v>
      </c>
      <c r="Y192" s="202">
        <f t="shared" ref="Y192:AI192" si="311">INDEX(DHHVal,MATCH(CtryCode&amp;".distn.bsh."&amp;Y$10&amp;$E192&amp;Y$9&amp;Y$11,DHHKey,0),MATCH($D192,DHHVar,0))</f>
        <v>1.810489457862631</v>
      </c>
      <c r="Z192" s="196">
        <f t="shared" si="311"/>
        <v>2.694859520556745</v>
      </c>
      <c r="AA192" s="196">
        <f t="shared" si="311"/>
        <v>2.327398467235654</v>
      </c>
      <c r="AB192" s="196">
        <f t="shared" si="311"/>
        <v>2.130473774838007</v>
      </c>
      <c r="AC192" s="196">
        <f t="shared" si="311"/>
        <v>1.83262970949107</v>
      </c>
      <c r="AD192" s="196">
        <f t="shared" si="311"/>
        <v>1.725676179389963</v>
      </c>
      <c r="AE192" s="196">
        <f t="shared" si="311"/>
        <v>1.633304084782344</v>
      </c>
      <c r="AF192" s="196">
        <f t="shared" si="311"/>
        <v>1.577294513587133</v>
      </c>
      <c r="AG192" s="196">
        <f t="shared" si="311"/>
        <v>1.394601011209233</v>
      </c>
      <c r="AH192" s="196">
        <f t="shared" si="311"/>
        <v>1.218710064472423</v>
      </c>
      <c r="AI192" s="196">
        <f t="shared" si="311"/>
        <v>1.042225812638144</v>
      </c>
    </row>
    <row r="193" hidden="1" outlineLevel="1">
      <c r="A193" s="44" t="inlineStr">
        <is>
          <t>bsh</t>
        </is>
      </c>
      <c r="B193" s="3" t="inlineStr">
        <is>
          <t>app</t>
        </is>
      </c>
      <c r="C193" s="3" t="inlineStr">
        <is>
          <t>ove</t>
        </is>
      </c>
      <c r="D193" s="3" t="inlineStr">
        <is>
          <t>appliances_share</t>
        </is>
      </c>
      <c r="E193" s="3" t="inlineStr">
        <is>
          <t>ove.</t>
        </is>
      </c>
      <c r="H193" s="3" t="inlineStr">
        <is>
          <t>Appliances: budget share, overall</t>
        </is>
      </c>
      <c r="I193" s="3" t="inlineStr">
        <is>
          <t>% consumption</t>
        </is>
      </c>
      <c r="J193" s="118" t="inlineStr">
        <is>
          <t>HHSurvey</t>
        </is>
      </c>
      <c r="K193" s="9" t="str">
        <f>LOWER(CtryCode)&amp;".distn."&amp;$A193&amp;IF($B193="","","."&amp;$B193)&amp;IF($C193="","",".dec."&amp;$C193)&amp;"."&amp;K$5</f>
        <v>egy.distn.bsh.app.dec.ove.1</v>
      </c>
      <c r="L193" s="202">
        <f t="shared" ref="L193:V193" si="312">INDEX(DHHVal,MATCH(CtryCode&amp;".distn.bsh."&amp;L$10&amp;$E193&amp;L$9&amp;L$11,DHHKey,0),MATCH($D193,DHHVar,0))</f>
        <v>1.782613265734116</v>
      </c>
      <c r="M193" s="196">
        <f t="shared" si="312"/>
        <v>1.766008374799827</v>
      </c>
      <c r="N193" s="196">
        <f t="shared" si="312"/>
        <v>1.687001961738131</v>
      </c>
      <c r="O193" s="196">
        <f t="shared" si="312"/>
        <v>1.646477129158556</v>
      </c>
      <c r="P193" s="196">
        <f t="shared" si="312"/>
        <v>1.573848583252808</v>
      </c>
      <c r="Q193" s="196">
        <f t="shared" si="312"/>
        <v>1.725126495756191</v>
      </c>
      <c r="R193" s="196">
        <f t="shared" si="312"/>
        <v>1.708652065747803</v>
      </c>
      <c r="S193" s="196">
        <f t="shared" si="312"/>
        <v>1.826843177700504</v>
      </c>
      <c r="T193" s="196">
        <f t="shared" si="312"/>
        <v>1.803187564475103</v>
      </c>
      <c r="U193" s="196">
        <f t="shared" si="312"/>
        <v>1.616605589734594</v>
      </c>
      <c r="V193" s="196">
        <f t="shared" si="312"/>
        <v>1.81191845283884</v>
      </c>
      <c r="W193" s="201" t="str">
        <f>IF(X$5=K$5,SUM(Y193:AI193)-SUM(L193:V193),"")</f>
        <v/>
      </c>
      <c r="X193" s="9" t="str">
        <f>LOWER(CtryCode)&amp;".distn."&amp;$A193&amp;IF($B193="","","."&amp;$B193)&amp;IF($C193="","",".dec."&amp;$C193)&amp;"."&amp;X$5</f>
        <v>egy.distn.bsh.app.dec.ove.2</v>
      </c>
      <c r="Y193" s="202">
        <f t="shared" ref="Y193:AI193" si="313">INDEX(DHHVal,MATCH(CtryCode&amp;".distn.bsh."&amp;Y$10&amp;$E193&amp;Y$9&amp;Y$11,DHHKey,0),MATCH($D193,DHHVar,0))</f>
        <v>1.782613265734116</v>
      </c>
      <c r="Z193" s="196">
        <f t="shared" si="313"/>
        <v>1.766008374799827</v>
      </c>
      <c r="AA193" s="196">
        <f t="shared" si="313"/>
        <v>1.687001961738131</v>
      </c>
      <c r="AB193" s="196">
        <f t="shared" si="313"/>
        <v>1.646477129158556</v>
      </c>
      <c r="AC193" s="196">
        <f t="shared" si="313"/>
        <v>1.573848583252808</v>
      </c>
      <c r="AD193" s="196">
        <f t="shared" si="313"/>
        <v>1.725126495756191</v>
      </c>
      <c r="AE193" s="196">
        <f t="shared" si="313"/>
        <v>1.708652065747803</v>
      </c>
      <c r="AF193" s="196">
        <f t="shared" si="313"/>
        <v>1.826843177700504</v>
      </c>
      <c r="AG193" s="196">
        <f t="shared" si="313"/>
        <v>1.803187564475103</v>
      </c>
      <c r="AH193" s="196">
        <f t="shared" si="313"/>
        <v>1.616605589734594</v>
      </c>
      <c r="AI193" s="196">
        <f t="shared" si="313"/>
        <v>1.81191845283884</v>
      </c>
    </row>
    <row r="194" hidden="1" outlineLevel="1">
      <c r="A194" s="44" t="inlineStr">
        <is>
          <t>bsh</t>
        </is>
      </c>
      <c r="B194" s="3" t="inlineStr">
        <is>
          <t>che</t>
        </is>
      </c>
      <c r="C194" s="3" t="inlineStr">
        <is>
          <t>ove</t>
        </is>
      </c>
      <c r="D194" s="3" t="inlineStr">
        <is>
          <t>chemicals_share</t>
        </is>
      </c>
      <c r="E194" s="3" t="inlineStr">
        <is>
          <t>ove.</t>
        </is>
      </c>
      <c r="H194" s="3" t="inlineStr">
        <is>
          <t>Chemicals: budget share, overall</t>
        </is>
      </c>
      <c r="I194" s="3" t="inlineStr">
        <is>
          <t>% consumption</t>
        </is>
      </c>
      <c r="J194" s="118" t="inlineStr">
        <is>
          <t>HHSurvey</t>
        </is>
      </c>
      <c r="K194" s="9" t="str">
        <f>LOWER(CtryCode)&amp;".distn."&amp;$A194&amp;IF($B194="","","."&amp;$B194)&amp;IF($C194="","",".dec."&amp;$C194)&amp;"."&amp;K$5</f>
        <v>egy.distn.bsh.che.dec.ove.1</v>
      </c>
      <c r="L194" s="202">
        <f t="shared" ref="L194:V194" si="314">INDEX(DHHVal,MATCH(CtryCode&amp;".distn.bsh."&amp;L$10&amp;$E194&amp;L$9&amp;L$11,DHHKey,0),MATCH($D194,DHHVar,0))</f>
        <v>3.9046625971507</v>
      </c>
      <c r="M194" s="196">
        <f t="shared" si="314"/>
        <v>4.335157393902526</v>
      </c>
      <c r="N194" s="196">
        <f t="shared" si="314"/>
        <v>3.903287614956028</v>
      </c>
      <c r="O194" s="196">
        <f t="shared" si="314"/>
        <v>3.547759828916818</v>
      </c>
      <c r="P194" s="196">
        <f t="shared" si="314"/>
        <v>3.688085587945468</v>
      </c>
      <c r="Q194" s="196">
        <f t="shared" si="314"/>
        <v>3.905485138570505</v>
      </c>
      <c r="R194" s="196">
        <f t="shared" si="314"/>
        <v>3.647551284295499</v>
      </c>
      <c r="S194" s="196">
        <f t="shared" si="314"/>
        <v>3.562231684885988</v>
      </c>
      <c r="T194" s="196">
        <f t="shared" si="314"/>
        <v>3.594762182214807</v>
      </c>
      <c r="U194" s="196">
        <f t="shared" si="314"/>
        <v>3.834347749521078</v>
      </c>
      <c r="V194" s="196">
        <f t="shared" si="314"/>
        <v>3.592745237163517</v>
      </c>
      <c r="W194" s="201" t="str">
        <f>IF(X$5=K$5,SUM(Y194:AI194)-SUM(L194:V194),"")</f>
        <v/>
      </c>
      <c r="X194" s="9" t="str">
        <f>LOWER(CtryCode)&amp;".distn."&amp;$A194&amp;IF($B194="","","."&amp;$B194)&amp;IF($C194="","",".dec."&amp;$C194)&amp;"."&amp;X$5</f>
        <v>egy.distn.bsh.che.dec.ove.2</v>
      </c>
      <c r="Y194" s="202">
        <f t="shared" ref="Y194:AI194" si="315">INDEX(DHHVal,MATCH(CtryCode&amp;".distn.bsh."&amp;Y$10&amp;$E194&amp;Y$9&amp;Y$11,DHHKey,0),MATCH($D194,DHHVar,0))</f>
        <v>3.9046625971507</v>
      </c>
      <c r="Z194" s="196">
        <f t="shared" si="315"/>
        <v>4.335157393902526</v>
      </c>
      <c r="AA194" s="196">
        <f t="shared" si="315"/>
        <v>3.903287614956028</v>
      </c>
      <c r="AB194" s="196">
        <f t="shared" si="315"/>
        <v>3.547759828916818</v>
      </c>
      <c r="AC194" s="196">
        <f t="shared" si="315"/>
        <v>3.688085587945468</v>
      </c>
      <c r="AD194" s="196">
        <f t="shared" si="315"/>
        <v>3.905485138570505</v>
      </c>
      <c r="AE194" s="196">
        <f t="shared" si="315"/>
        <v>3.647551284295499</v>
      </c>
      <c r="AF194" s="196">
        <f t="shared" si="315"/>
        <v>3.562231684885988</v>
      </c>
      <c r="AG194" s="196">
        <f t="shared" si="315"/>
        <v>3.594762182214807</v>
      </c>
      <c r="AH194" s="196">
        <f t="shared" si="315"/>
        <v>3.834347749521078</v>
      </c>
      <c r="AI194" s="196">
        <f t="shared" si="315"/>
        <v>3.592745237163517</v>
      </c>
    </row>
    <row r="195" hidden="1" outlineLevel="1">
      <c r="A195" s="44" t="inlineStr">
        <is>
          <t>bsh</t>
        </is>
      </c>
      <c r="B195" s="3" t="inlineStr">
        <is>
          <t>clo</t>
        </is>
      </c>
      <c r="C195" s="3" t="inlineStr">
        <is>
          <t>ove</t>
        </is>
      </c>
      <c r="D195" s="3" t="inlineStr">
        <is>
          <t>clothing_share</t>
        </is>
      </c>
      <c r="E195" s="3" t="inlineStr">
        <is>
          <t>ove.</t>
        </is>
      </c>
      <c r="H195" s="3" t="inlineStr">
        <is>
          <t>Clothing: budget share, overall</t>
        </is>
      </c>
      <c r="I195" s="3" t="inlineStr">
        <is>
          <t>% consumption</t>
        </is>
      </c>
      <c r="J195" s="118" t="inlineStr">
        <is>
          <t>HHSurvey</t>
        </is>
      </c>
      <c r="K195" s="9" t="str">
        <f>LOWER(CtryCode)&amp;".distn."&amp;$A195&amp;IF($B195="","","."&amp;$B195)&amp;IF($C195="","",".dec."&amp;$C195)&amp;"."&amp;K$5</f>
        <v>egy.distn.bsh.clo.dec.ove.1</v>
      </c>
      <c r="L195" s="202">
        <f t="shared" ref="L195:V195" si="316">INDEX(DHHVal,MATCH(CtryCode&amp;".distn.bsh."&amp;L$10&amp;$E195&amp;L$9&amp;L$11,DHHKey,0),MATCH($D195,DHHVar,0))</f>
        <v>6.00420117948453</v>
      </c>
      <c r="M195" s="196">
        <f t="shared" si="316"/>
        <v>5.894355083362552</v>
      </c>
      <c r="N195" s="196">
        <f t="shared" si="316"/>
        <v>5.471786154454486</v>
      </c>
      <c r="O195" s="196">
        <f t="shared" si="316"/>
        <v>6.528549486315583</v>
      </c>
      <c r="P195" s="196">
        <f t="shared" si="316"/>
        <v>5.919737389803546</v>
      </c>
      <c r="Q195" s="196">
        <f t="shared" si="316"/>
        <v>5.913980379684545</v>
      </c>
      <c r="R195" s="196">
        <f t="shared" si="316"/>
        <v>5.836763018421928</v>
      </c>
      <c r="S195" s="196">
        <f t="shared" si="316"/>
        <v>6.084616596331362</v>
      </c>
      <c r="T195" s="196">
        <f t="shared" si="316"/>
        <v>5.142765903758193</v>
      </c>
      <c r="U195" s="196">
        <f t="shared" si="316"/>
        <v>5.317439198272186</v>
      </c>
      <c r="V195" s="196">
        <f t="shared" si="316"/>
        <v>4.334247475279468</v>
      </c>
      <c r="W195" s="201" t="str">
        <f>IF(X$5=K$5,SUM(Y195:AI195)-SUM(L195:V195),"")</f>
        <v/>
      </c>
      <c r="X195" s="9" t="str">
        <f>LOWER(CtryCode)&amp;".distn."&amp;$A195&amp;IF($B195="","","."&amp;$B195)&amp;IF($C195="","",".dec."&amp;$C195)&amp;"."&amp;X$5</f>
        <v>egy.distn.bsh.clo.dec.ove.2</v>
      </c>
      <c r="Y195" s="202">
        <f t="shared" ref="Y195:AI195" si="317">INDEX(DHHVal,MATCH(CtryCode&amp;".distn.bsh."&amp;Y$10&amp;$E195&amp;Y$9&amp;Y$11,DHHKey,0),MATCH($D195,DHHVar,0))</f>
        <v>6.00420117948453</v>
      </c>
      <c r="Z195" s="196">
        <f t="shared" si="317"/>
        <v>5.894355083362552</v>
      </c>
      <c r="AA195" s="196">
        <f t="shared" si="317"/>
        <v>5.471786154454486</v>
      </c>
      <c r="AB195" s="196">
        <f t="shared" si="317"/>
        <v>6.528549486315583</v>
      </c>
      <c r="AC195" s="196">
        <f t="shared" si="317"/>
        <v>5.919737389803546</v>
      </c>
      <c r="AD195" s="196">
        <f t="shared" si="317"/>
        <v>5.913980379684545</v>
      </c>
      <c r="AE195" s="196">
        <f t="shared" si="317"/>
        <v>5.836763018421928</v>
      </c>
      <c r="AF195" s="196">
        <f t="shared" si="317"/>
        <v>6.084616596331362</v>
      </c>
      <c r="AG195" s="196">
        <f t="shared" si="317"/>
        <v>5.142765903758193</v>
      </c>
      <c r="AH195" s="196">
        <f t="shared" si="317"/>
        <v>5.317439198272186</v>
      </c>
      <c r="AI195" s="196">
        <f t="shared" si="317"/>
        <v>4.334247475279468</v>
      </c>
    </row>
    <row r="196" hidden="1" outlineLevel="1">
      <c r="A196" s="44" t="inlineStr">
        <is>
          <t>bsh</t>
        </is>
      </c>
      <c r="B196" s="3" t="inlineStr">
        <is>
          <t>com</t>
        </is>
      </c>
      <c r="C196" s="3" t="inlineStr">
        <is>
          <t>ove</t>
        </is>
      </c>
      <c r="D196" s="3" t="inlineStr">
        <is>
          <t>communications_share</t>
        </is>
      </c>
      <c r="E196" s="3" t="inlineStr">
        <is>
          <t>ove.</t>
        </is>
      </c>
      <c r="H196" s="3" t="inlineStr">
        <is>
          <t>Communications: budget share, overall</t>
        </is>
      </c>
      <c r="I196" s="3" t="inlineStr">
        <is>
          <t>% consumption</t>
        </is>
      </c>
      <c r="J196" s="118" t="inlineStr">
        <is>
          <t>HHSurvey</t>
        </is>
      </c>
      <c r="K196" s="9" t="str">
        <f>LOWER(CtryCode)&amp;".distn."&amp;$A196&amp;IF($B196="","","."&amp;$B196)&amp;IF($C196="","",".dec."&amp;$C196)&amp;"."&amp;K$5</f>
        <v>egy.distn.bsh.com.dec.ove.1</v>
      </c>
      <c r="L196" s="202">
        <f t="shared" ref="L196:V196" si="318">INDEX(DHHVal,MATCH(CtryCode&amp;".distn.bsh."&amp;L$10&amp;$E196&amp;L$9&amp;L$11,DHHKey,0),MATCH($D196,DHHVar,0))</f>
        <v>2.563023409007497</v>
      </c>
      <c r="M196" s="196">
        <f t="shared" si="318"/>
        <v>2.157799654135039</v>
      </c>
      <c r="N196" s="196">
        <f t="shared" si="318"/>
        <v>2.355827564164615</v>
      </c>
      <c r="O196" s="196">
        <f t="shared" si="318"/>
        <v>2.358357100159775</v>
      </c>
      <c r="P196" s="196">
        <f t="shared" si="318"/>
        <v>2.84920950416005</v>
      </c>
      <c r="Q196" s="196">
        <f t="shared" si="318"/>
        <v>2.81776071861358</v>
      </c>
      <c r="R196" s="196">
        <f t="shared" si="318"/>
        <v>2.932486752491358</v>
      </c>
      <c r="S196" s="196">
        <f t="shared" si="318"/>
        <v>2.738933527178865</v>
      </c>
      <c r="T196" s="196">
        <f t="shared" si="318"/>
        <v>2.940037838598913</v>
      </c>
      <c r="U196" s="196">
        <f t="shared" si="318"/>
        <v>3.3388321277603</v>
      </c>
      <c r="V196" s="196">
        <f t="shared" si="318"/>
        <v>3.307686146005401</v>
      </c>
      <c r="W196" s="201" t="str">
        <f>IF(X$5=K$5,SUM(Y196:AI196)-SUM(L196:V196),"")</f>
        <v/>
      </c>
      <c r="X196" s="9" t="str">
        <f>LOWER(CtryCode)&amp;".distn."&amp;$A196&amp;IF($B196="","","."&amp;$B196)&amp;IF($C196="","",".dec."&amp;$C196)&amp;"."&amp;X$5</f>
        <v>egy.distn.bsh.com.dec.ove.2</v>
      </c>
      <c r="Y196" s="202">
        <f t="shared" ref="Y196:AI196" si="319">INDEX(DHHVal,MATCH(CtryCode&amp;".distn.bsh."&amp;Y$10&amp;$E196&amp;Y$9&amp;Y$11,DHHKey,0),MATCH($D196,DHHVar,0))</f>
        <v>2.563023409007497</v>
      </c>
      <c r="Z196" s="196">
        <f t="shared" si="319"/>
        <v>2.157799654135039</v>
      </c>
      <c r="AA196" s="196">
        <f t="shared" si="319"/>
        <v>2.355827564164615</v>
      </c>
      <c r="AB196" s="196">
        <f t="shared" si="319"/>
        <v>2.358357100159775</v>
      </c>
      <c r="AC196" s="196">
        <f t="shared" si="319"/>
        <v>2.84920950416005</v>
      </c>
      <c r="AD196" s="196">
        <f t="shared" si="319"/>
        <v>2.81776071861358</v>
      </c>
      <c r="AE196" s="196">
        <f t="shared" si="319"/>
        <v>2.932486752491358</v>
      </c>
      <c r="AF196" s="196">
        <f t="shared" si="319"/>
        <v>2.738933527178865</v>
      </c>
      <c r="AG196" s="196">
        <f t="shared" si="319"/>
        <v>2.940037838598913</v>
      </c>
      <c r="AH196" s="196">
        <f t="shared" si="319"/>
        <v>3.3388321277603</v>
      </c>
      <c r="AI196" s="196">
        <f t="shared" si="319"/>
        <v>3.307686146005401</v>
      </c>
    </row>
    <row r="197" hidden="1" outlineLevel="1">
      <c r="A197" s="44" t="inlineStr">
        <is>
          <t>bsh</t>
        </is>
      </c>
      <c r="B197" s="3" t="inlineStr">
        <is>
          <t>edu</t>
        </is>
      </c>
      <c r="C197" s="3" t="inlineStr">
        <is>
          <t>ove</t>
        </is>
      </c>
      <c r="D197" s="3" t="inlineStr">
        <is>
          <t>education_share</t>
        </is>
      </c>
      <c r="E197" s="3" t="inlineStr">
        <is>
          <t>ove.</t>
        </is>
      </c>
      <c r="H197" s="3" t="inlineStr">
        <is>
          <t>Education: budget share, overall</t>
        </is>
      </c>
      <c r="I197" s="3" t="inlineStr">
        <is>
          <t>% consumption</t>
        </is>
      </c>
      <c r="J197" s="118" t="inlineStr">
        <is>
          <t>HHSurvey</t>
        </is>
      </c>
      <c r="K197" s="9" t="str">
        <f>LOWER(CtryCode)&amp;".distn."&amp;$A197&amp;IF($B197="","","."&amp;$B197)&amp;IF($C197="","",".dec."&amp;$C197)&amp;"."&amp;K$5</f>
        <v>egy.distn.bsh.edu.dec.ove.1</v>
      </c>
      <c r="L197" s="202">
        <f t="shared" ref="L197:V197" si="320">INDEX(DHHVal,MATCH(CtryCode&amp;".distn.bsh."&amp;L$10&amp;$E197&amp;L$9&amp;L$11,DHHKey,0),MATCH($D197,DHHVar,0))</f>
        <v>3.49854772575318</v>
      </c>
      <c r="M197" s="196">
        <f t="shared" si="320"/>
        <v>3.011256367521506</v>
      </c>
      <c r="N197" s="196">
        <f t="shared" si="320"/>
        <v>3.957750786102442</v>
      </c>
      <c r="O197" s="196">
        <f t="shared" si="320"/>
        <v>4.183615218859813</v>
      </c>
      <c r="P197" s="196">
        <f t="shared" si="320"/>
        <v>4.083467576544287</v>
      </c>
      <c r="Q197" s="196">
        <f t="shared" si="320"/>
        <v>4.532320636499002</v>
      </c>
      <c r="R197" s="196">
        <f t="shared" si="320"/>
        <v>4.190290836482684</v>
      </c>
      <c r="S197" s="196">
        <f t="shared" si="320"/>
        <v>4.364224661446584</v>
      </c>
      <c r="T197" s="196">
        <f t="shared" si="320"/>
        <v>3.766819951823366</v>
      </c>
      <c r="U197" s="196">
        <f t="shared" si="320"/>
        <v>2.805541538265012</v>
      </c>
      <c r="V197" s="196">
        <f t="shared" si="320"/>
        <v>1.507083340828483</v>
      </c>
      <c r="W197" s="201" t="str">
        <f>IF(X$5=K$5,SUM(Y197:AI197)-SUM(L197:V197),"")</f>
        <v/>
      </c>
      <c r="X197" s="9" t="str">
        <f>LOWER(CtryCode)&amp;".distn."&amp;$A197&amp;IF($B197="","","."&amp;$B197)&amp;IF($C197="","",".dec."&amp;$C197)&amp;"."&amp;X$5</f>
        <v>egy.distn.bsh.edu.dec.ove.2</v>
      </c>
      <c r="Y197" s="202">
        <f t="shared" ref="Y197:AI197" si="321">INDEX(DHHVal,MATCH(CtryCode&amp;".distn.bsh."&amp;Y$10&amp;$E197&amp;Y$9&amp;Y$11,DHHKey,0),MATCH($D197,DHHVar,0))</f>
        <v>3.49854772575318</v>
      </c>
      <c r="Z197" s="196">
        <f t="shared" si="321"/>
        <v>3.011256367521506</v>
      </c>
      <c r="AA197" s="196">
        <f t="shared" si="321"/>
        <v>3.957750786102442</v>
      </c>
      <c r="AB197" s="196">
        <f t="shared" si="321"/>
        <v>4.183615218859813</v>
      </c>
      <c r="AC197" s="196">
        <f t="shared" si="321"/>
        <v>4.083467576544287</v>
      </c>
      <c r="AD197" s="196">
        <f t="shared" si="321"/>
        <v>4.532320636499002</v>
      </c>
      <c r="AE197" s="196">
        <f t="shared" si="321"/>
        <v>4.190290836482684</v>
      </c>
      <c r="AF197" s="196">
        <f t="shared" si="321"/>
        <v>4.364224661446584</v>
      </c>
      <c r="AG197" s="196">
        <f t="shared" si="321"/>
        <v>3.766819951823366</v>
      </c>
      <c r="AH197" s="196">
        <f t="shared" si="321"/>
        <v>2.805541538265012</v>
      </c>
      <c r="AI197" s="196">
        <f t="shared" si="321"/>
        <v>1.507083340828483</v>
      </c>
    </row>
    <row r="198" hidden="1" outlineLevel="1">
      <c r="A198" s="44" t="inlineStr">
        <is>
          <t>bsh</t>
        </is>
      </c>
      <c r="B198" s="3" t="inlineStr">
        <is>
          <t>food</t>
        </is>
      </c>
      <c r="C198" s="3" t="inlineStr">
        <is>
          <t>ove</t>
        </is>
      </c>
      <c r="D198" s="3" t="inlineStr">
        <is>
          <t>food_share</t>
        </is>
      </c>
      <c r="E198" s="3" t="inlineStr">
        <is>
          <t>ove.</t>
        </is>
      </c>
      <c r="H198" s="3" t="inlineStr">
        <is>
          <t>Food: budget share, overall</t>
        </is>
      </c>
      <c r="I198" s="3" t="inlineStr">
        <is>
          <t>% consumption</t>
        </is>
      </c>
      <c r="J198" s="118" t="inlineStr">
        <is>
          <t>HHSurvey</t>
        </is>
      </c>
      <c r="K198" s="9" t="str">
        <f>LOWER(CtryCode)&amp;".distn."&amp;$A198&amp;IF($B198="","","."&amp;$B198)&amp;IF($C198="","",".dec."&amp;$C198)&amp;"."&amp;K$5</f>
        <v>egy.distn.bsh.food.dec.ove.1</v>
      </c>
      <c r="L198" s="202">
        <f t="shared" ref="L198:V198" si="322">INDEX(DHHVal,MATCH(CtryCode&amp;".distn.bsh."&amp;L$10&amp;$E198&amp;L$9&amp;L$11,DHHKey,0),MATCH($D198,DHHVar,0))</f>
        <v>51.8128488496741</v>
      </c>
      <c r="M198" s="196">
        <f t="shared" si="322"/>
        <v>54.74704086178337</v>
      </c>
      <c r="N198" s="196">
        <f t="shared" si="322"/>
        <v>60.14796088091948</v>
      </c>
      <c r="O198" s="196">
        <f t="shared" si="322"/>
        <v>54.88894381063543</v>
      </c>
      <c r="P198" s="196">
        <f t="shared" si="322"/>
        <v>55.26396301343223</v>
      </c>
      <c r="Q198" s="196">
        <f t="shared" si="322"/>
        <v>53.63971768526643</v>
      </c>
      <c r="R198" s="196">
        <f t="shared" si="322"/>
        <v>58.59896922996741</v>
      </c>
      <c r="S198" s="196">
        <f t="shared" si="322"/>
        <v>53.0939564116925</v>
      </c>
      <c r="T198" s="196">
        <f t="shared" si="322"/>
        <v>56.26386677476895</v>
      </c>
      <c r="U198" s="196">
        <f t="shared" si="322"/>
        <v>57.86960534862124</v>
      </c>
      <c r="V198" s="196">
        <f t="shared" si="322"/>
        <v>49.3584802410227</v>
      </c>
      <c r="W198" s="201" t="str">
        <f>IF(X$5=K$5,SUM(Y198:AI198)-SUM(L198:V198),"")</f>
        <v/>
      </c>
      <c r="X198" s="9" t="str">
        <f>LOWER(CtryCode)&amp;".distn."&amp;$A198&amp;IF($B198="","","."&amp;$B198)&amp;IF($C198="","",".dec."&amp;$C198)&amp;"."&amp;X$5</f>
        <v>egy.distn.bsh.food.dec.ove.2</v>
      </c>
      <c r="Y198" s="202">
        <f t="shared" ref="Y198:AI198" si="323">INDEX(DHHVal,MATCH(CtryCode&amp;".distn.bsh."&amp;Y$10&amp;$E198&amp;Y$9&amp;Y$11,DHHKey,0),MATCH($D198,DHHVar,0))</f>
        <v>51.8128488496741</v>
      </c>
      <c r="Z198" s="196">
        <f t="shared" si="323"/>
        <v>54.74704086178337</v>
      </c>
      <c r="AA198" s="196">
        <f t="shared" si="323"/>
        <v>60.14796088091948</v>
      </c>
      <c r="AB198" s="196">
        <f t="shared" si="323"/>
        <v>54.88894381063543</v>
      </c>
      <c r="AC198" s="196">
        <f t="shared" si="323"/>
        <v>55.26396301343223</v>
      </c>
      <c r="AD198" s="196">
        <f t="shared" si="323"/>
        <v>53.63971768526643</v>
      </c>
      <c r="AE198" s="196">
        <f t="shared" si="323"/>
        <v>58.59896922996741</v>
      </c>
      <c r="AF198" s="196">
        <f t="shared" si="323"/>
        <v>53.0939564116925</v>
      </c>
      <c r="AG198" s="196">
        <f t="shared" si="323"/>
        <v>56.26386677476895</v>
      </c>
      <c r="AH198" s="196">
        <f t="shared" si="323"/>
        <v>57.86960534862124</v>
      </c>
      <c r="AI198" s="196">
        <f t="shared" si="323"/>
        <v>49.3584802410227</v>
      </c>
    </row>
    <row r="199" hidden="1" outlineLevel="1">
      <c r="A199" s="44" t="inlineStr">
        <is>
          <t>bsh</t>
        </is>
      </c>
      <c r="B199" s="3" t="inlineStr">
        <is>
          <t>hea</t>
        </is>
      </c>
      <c r="C199" s="3" t="inlineStr">
        <is>
          <t>ove</t>
        </is>
      </c>
      <c r="D199" s="3" t="inlineStr">
        <is>
          <t>health_srv_share</t>
        </is>
      </c>
      <c r="E199" s="3" t="inlineStr">
        <is>
          <t>ove.</t>
        </is>
      </c>
      <c r="H199" s="3" t="inlineStr">
        <is>
          <t>Health services: budget share, overall</t>
        </is>
      </c>
      <c r="I199" s="3" t="inlineStr">
        <is>
          <t>% consumption</t>
        </is>
      </c>
      <c r="J199" s="118" t="inlineStr">
        <is>
          <t>HHSurvey</t>
        </is>
      </c>
      <c r="K199" s="9" t="str">
        <f>LOWER(CtryCode)&amp;".distn."&amp;$A199&amp;IF($B199="","","."&amp;$B199)&amp;IF($C199="","",".dec."&amp;$C199)&amp;"."&amp;K$5</f>
        <v>egy.distn.bsh.hea.dec.ove.1</v>
      </c>
      <c r="L199" s="202">
        <f t="shared" ref="L199:V199" si="324">INDEX(DHHVal,MATCH(CtryCode&amp;".distn.bsh."&amp;L$10&amp;$E199&amp;L$9&amp;L$11,DHHKey,0),MATCH($D199,DHHVar,0))</f>
        <v>4.157783414867927</v>
      </c>
      <c r="M199" s="196">
        <f t="shared" si="324"/>
        <v>3.100624216212652</v>
      </c>
      <c r="N199" s="196">
        <f t="shared" si="324"/>
        <v>3.13699879102626</v>
      </c>
      <c r="O199" s="196">
        <f t="shared" si="324"/>
        <v>3.863126546156606</v>
      </c>
      <c r="P199" s="196">
        <f t="shared" si="324"/>
        <v>3.736270442398291</v>
      </c>
      <c r="Q199" s="196">
        <f t="shared" si="324"/>
        <v>4.087280685607818</v>
      </c>
      <c r="R199" s="196">
        <f t="shared" si="324"/>
        <v>3.990510875212586</v>
      </c>
      <c r="S199" s="196">
        <f t="shared" si="324"/>
        <v>4.865474624770215</v>
      </c>
      <c r="T199" s="196">
        <f t="shared" si="324"/>
        <v>4.761244714429979</v>
      </c>
      <c r="U199" s="196">
        <f t="shared" si="324"/>
        <v>5.170576710304974</v>
      </c>
      <c r="V199" s="196">
        <f t="shared" si="324"/>
        <v>6.172779303944749</v>
      </c>
      <c r="W199" s="201" t="str">
        <f>IF(X$5=K$5,SUM(Y199:AI199)-SUM(L199:V199),"")</f>
        <v/>
      </c>
      <c r="X199" s="9" t="str">
        <f>LOWER(CtryCode)&amp;".distn."&amp;$A199&amp;IF($B199="","","."&amp;$B199)&amp;IF($C199="","",".dec."&amp;$C199)&amp;"."&amp;X$5</f>
        <v>egy.distn.bsh.hea.dec.ove.2</v>
      </c>
      <c r="Y199" s="202">
        <f t="shared" ref="Y199:AI199" si="325">INDEX(DHHVal,MATCH(CtryCode&amp;".distn.bsh."&amp;Y$10&amp;$E199&amp;Y$9&amp;Y$11,DHHKey,0),MATCH($D199,DHHVar,0))</f>
        <v>4.157783414867927</v>
      </c>
      <c r="Z199" s="196">
        <f t="shared" si="325"/>
        <v>3.100624216212652</v>
      </c>
      <c r="AA199" s="196">
        <f t="shared" si="325"/>
        <v>3.13699879102626</v>
      </c>
      <c r="AB199" s="196">
        <f t="shared" si="325"/>
        <v>3.863126546156606</v>
      </c>
      <c r="AC199" s="196">
        <f t="shared" si="325"/>
        <v>3.736270442398291</v>
      </c>
      <c r="AD199" s="196">
        <f t="shared" si="325"/>
        <v>4.087280685607818</v>
      </c>
      <c r="AE199" s="196">
        <f t="shared" si="325"/>
        <v>3.990510875212586</v>
      </c>
      <c r="AF199" s="196">
        <f t="shared" si="325"/>
        <v>4.865474624770215</v>
      </c>
      <c r="AG199" s="196">
        <f t="shared" si="325"/>
        <v>4.761244714429979</v>
      </c>
      <c r="AH199" s="196">
        <f t="shared" si="325"/>
        <v>5.170576710304974</v>
      </c>
      <c r="AI199" s="196">
        <f t="shared" si="325"/>
        <v>6.172779303944749</v>
      </c>
    </row>
    <row r="200" hidden="1" outlineLevel="1">
      <c r="A200" s="44" t="inlineStr">
        <is>
          <t>bsh</t>
        </is>
      </c>
      <c r="B200" s="3" t="inlineStr">
        <is>
          <t>hou</t>
        </is>
      </c>
      <c r="C200" s="3" t="inlineStr">
        <is>
          <t>ove</t>
        </is>
      </c>
      <c r="D200" s="3" t="inlineStr">
        <is>
          <t>housing_share</t>
        </is>
      </c>
      <c r="E200" s="3" t="inlineStr">
        <is>
          <t>ove.</t>
        </is>
      </c>
      <c r="H200" s="3" t="inlineStr">
        <is>
          <t>Housing: budget share, overall</t>
        </is>
      </c>
      <c r="I200" s="3" t="inlineStr">
        <is>
          <t>% consumption</t>
        </is>
      </c>
      <c r="J200" s="118" t="inlineStr">
        <is>
          <t>HHSurvey</t>
        </is>
      </c>
      <c r="K200" s="9" t="str">
        <f>LOWER(CtryCode)&amp;".distn."&amp;$A200&amp;IF($B200="","","."&amp;$B200)&amp;IF($C200="","",".dec."&amp;$C200)&amp;"."&amp;K$5</f>
        <v>egy.distn.bsh.hou.dec.ove.1</v>
      </c>
      <c r="L200" s="202">
        <f t="shared" ref="L200:V200" si="326">INDEX(DHHVal,MATCH(CtryCode&amp;".distn.bsh."&amp;L$10&amp;$E200&amp;L$9&amp;L$11,DHHKey,0),MATCH($D200,DHHVar,0))</f>
        <v>4.710904769314109</v>
      </c>
      <c r="M200" s="196">
        <f t="shared" si="326"/>
        <v>5.278205790744135</v>
      </c>
      <c r="N200" s="196">
        <f t="shared" si="326"/>
        <v>4.391657946102145</v>
      </c>
      <c r="O200" s="196">
        <f t="shared" si="326"/>
        <v>4.909615697853694</v>
      </c>
      <c r="P200" s="196">
        <f t="shared" si="326"/>
        <v>4.236477508341399</v>
      </c>
      <c r="Q200" s="196">
        <f t="shared" si="326"/>
        <v>4.868466768478282</v>
      </c>
      <c r="R200" s="196">
        <f t="shared" si="326"/>
        <v>4.701816149799177</v>
      </c>
      <c r="S200" s="196">
        <f t="shared" si="326"/>
        <v>4.643985162651326</v>
      </c>
      <c r="T200" s="196">
        <f t="shared" si="326"/>
        <v>4.511854044597572</v>
      </c>
      <c r="U200" s="196">
        <f t="shared" si="326"/>
        <v>4.335967957364566</v>
      </c>
      <c r="V200" s="196">
        <f t="shared" si="326"/>
        <v>6.158221180655897</v>
      </c>
      <c r="W200" s="201" t="str">
        <f>IF(X$5=K$5,SUM(Y200:AI200)-SUM(L200:V200),"")</f>
        <v/>
      </c>
      <c r="X200" s="9" t="str">
        <f>LOWER(CtryCode)&amp;".distn."&amp;$A200&amp;IF($B200="","","."&amp;$B200)&amp;IF($C200="","",".dec."&amp;$C200)&amp;"."&amp;X$5</f>
        <v>egy.distn.bsh.hou.dec.ove.2</v>
      </c>
      <c r="Y200" s="202">
        <f t="shared" ref="Y200:AI200" si="327">INDEX(DHHVal,MATCH(CtryCode&amp;".distn.bsh."&amp;Y$10&amp;$E200&amp;Y$9&amp;Y$11,DHHKey,0),MATCH($D200,DHHVar,0))</f>
        <v>4.710904769314109</v>
      </c>
      <c r="Z200" s="196">
        <f t="shared" si="327"/>
        <v>5.278205790744135</v>
      </c>
      <c r="AA200" s="196">
        <f t="shared" si="327"/>
        <v>4.391657946102145</v>
      </c>
      <c r="AB200" s="196">
        <f t="shared" si="327"/>
        <v>4.909615697853694</v>
      </c>
      <c r="AC200" s="196">
        <f t="shared" si="327"/>
        <v>4.236477508341399</v>
      </c>
      <c r="AD200" s="196">
        <f t="shared" si="327"/>
        <v>4.868466768478282</v>
      </c>
      <c r="AE200" s="196">
        <f t="shared" si="327"/>
        <v>4.701816149799177</v>
      </c>
      <c r="AF200" s="196">
        <f t="shared" si="327"/>
        <v>4.643985162651326</v>
      </c>
      <c r="AG200" s="196">
        <f t="shared" si="327"/>
        <v>4.511854044597572</v>
      </c>
      <c r="AH200" s="196">
        <f t="shared" si="327"/>
        <v>4.335967957364566</v>
      </c>
      <c r="AI200" s="196">
        <f t="shared" si="327"/>
        <v>6.158221180655897</v>
      </c>
    </row>
    <row r="201" hidden="1" outlineLevel="1">
      <c r="A201" s="44" t="inlineStr">
        <is>
          <t>bsh</t>
        </is>
      </c>
      <c r="B201" s="3" t="inlineStr">
        <is>
          <t>oth</t>
        </is>
      </c>
      <c r="C201" s="3" t="inlineStr">
        <is>
          <t>ove</t>
        </is>
      </c>
      <c r="D201" s="3" t="inlineStr">
        <is>
          <t>other_share</t>
        </is>
      </c>
      <c r="E201" s="3" t="inlineStr">
        <is>
          <t>ove.</t>
        </is>
      </c>
      <c r="H201" s="3" t="inlineStr">
        <is>
          <t>Other: budget share, overall</t>
        </is>
      </c>
      <c r="I201" s="3" t="inlineStr">
        <is>
          <t>% consumption</t>
        </is>
      </c>
      <c r="J201" s="118" t="inlineStr">
        <is>
          <t>HHSurvey</t>
        </is>
      </c>
      <c r="K201" s="9" t="str">
        <f>LOWER(CtryCode)&amp;".distn."&amp;$A201&amp;IF($B201="","","."&amp;$B201)&amp;IF($C201="","",".dec."&amp;$C201)&amp;"."&amp;K$5</f>
        <v>egy.distn.bsh.oth.dec.ove.1</v>
      </c>
      <c r="L201" s="202">
        <f t="shared" ref="L201:V201" si="328">INDEX(DHHVal,MATCH(CtryCode&amp;".distn.bsh."&amp;L$10&amp;$E201&amp;L$9&amp;L$11,DHHKey,0),MATCH($D201,DHHVar,0))</f>
        <v>0.01548090547624008</v>
      </c>
      <c r="M201" s="196">
        <f t="shared" si="328"/>
        <v>0.01320430520523822</v>
      </c>
      <c r="N201" s="196">
        <f t="shared" si="328"/>
        <v>0.008680877436395992</v>
      </c>
      <c r="O201" s="196">
        <f t="shared" si="328"/>
        <v>0.00639690532183328</v>
      </c>
      <c r="P201" s="196">
        <f t="shared" si="328"/>
        <v>0.00887816343764057</v>
      </c>
      <c r="Q201" s="196">
        <f t="shared" si="328"/>
        <v>0.02119457126783093</v>
      </c>
      <c r="R201" s="196">
        <f t="shared" si="328"/>
        <v>0.01570393205339196</v>
      </c>
      <c r="S201" s="196">
        <f t="shared" si="328"/>
        <v>0.01442919216470675</v>
      </c>
      <c r="T201" s="196">
        <f t="shared" si="328"/>
        <v>0.01880679092085949</v>
      </c>
      <c r="U201" s="196">
        <f t="shared" si="328"/>
        <v>0.01678854584899467</v>
      </c>
      <c r="V201" s="196">
        <f t="shared" si="328"/>
        <v>0.02918058537600647</v>
      </c>
      <c r="W201" s="201" t="str">
        <f>IF(X$5=K$5,SUM(Y201:AI201)-SUM(L201:V201),"")</f>
        <v/>
      </c>
      <c r="X201" s="9" t="str">
        <f>LOWER(CtryCode)&amp;".distn."&amp;$A201&amp;IF($B201="","","."&amp;$B201)&amp;IF($C201="","",".dec."&amp;$C201)&amp;"."&amp;X$5</f>
        <v>egy.distn.bsh.oth.dec.ove.2</v>
      </c>
      <c r="Y201" s="202">
        <f t="shared" ref="Y201:AI201" si="329">INDEX(DHHVal,MATCH(CtryCode&amp;".distn.bsh."&amp;Y$10&amp;$E201&amp;Y$9&amp;Y$11,DHHKey,0),MATCH($D201,DHHVar,0))</f>
        <v>0.01548090547624008</v>
      </c>
      <c r="Z201" s="196">
        <f t="shared" si="329"/>
        <v>0.01320430520523822</v>
      </c>
      <c r="AA201" s="196">
        <f t="shared" si="329"/>
        <v>0.008680877436395992</v>
      </c>
      <c r="AB201" s="196">
        <f t="shared" si="329"/>
        <v>0.00639690532183328</v>
      </c>
      <c r="AC201" s="196">
        <f t="shared" si="329"/>
        <v>0.00887816343764057</v>
      </c>
      <c r="AD201" s="196">
        <f t="shared" si="329"/>
        <v>0.02119457126783093</v>
      </c>
      <c r="AE201" s="196">
        <f t="shared" si="329"/>
        <v>0.01570393205339196</v>
      </c>
      <c r="AF201" s="196">
        <f t="shared" si="329"/>
        <v>0.01442919216470675</v>
      </c>
      <c r="AG201" s="196">
        <f t="shared" si="329"/>
        <v>0.01880679092085949</v>
      </c>
      <c r="AH201" s="196">
        <f t="shared" si="329"/>
        <v>0.01678854584899467</v>
      </c>
      <c r="AI201" s="196">
        <f t="shared" si="329"/>
        <v>0.02918058537600647</v>
      </c>
    </row>
    <row r="202" hidden="1" outlineLevel="1">
      <c r="A202" s="44" t="inlineStr">
        <is>
          <t>bsh</t>
        </is>
      </c>
      <c r="B202" s="3" t="inlineStr">
        <is>
          <t>pap</t>
        </is>
      </c>
      <c r="C202" s="3" t="inlineStr">
        <is>
          <t>ove</t>
        </is>
      </c>
      <c r="D202" s="3" t="inlineStr">
        <is>
          <t>paper_share</t>
        </is>
      </c>
      <c r="E202" s="3" t="inlineStr">
        <is>
          <t>ove.</t>
        </is>
      </c>
      <c r="H202" s="3" t="inlineStr">
        <is>
          <t>Paper: budget share, overall</t>
        </is>
      </c>
      <c r="I202" s="3" t="inlineStr">
        <is>
          <t>% consumption</t>
        </is>
      </c>
      <c r="J202" s="118" t="inlineStr">
        <is>
          <t>HHSurvey</t>
        </is>
      </c>
      <c r="K202" s="9" t="str">
        <f>LOWER(CtryCode)&amp;".distn."&amp;$A202&amp;IF($B202="","","."&amp;$B202)&amp;IF($C202="","",".dec."&amp;$C202)&amp;"."&amp;K$5</f>
        <v>egy.distn.bsh.pap.dec.ove.1</v>
      </c>
      <c r="L202" s="202">
        <f t="shared" ref="L202:V202" si="330">INDEX(DHHVal,MATCH(CtryCode&amp;".distn.bsh."&amp;L$10&amp;$E202&amp;L$9&amp;L$11,DHHKey,0),MATCH($D202,DHHVar,0))</f>
        <v>1.644605827342005</v>
      </c>
      <c r="M202" s="196">
        <f t="shared" si="330"/>
        <v>2.308943506097492</v>
      </c>
      <c r="N202" s="196">
        <f t="shared" si="330"/>
        <v>2.287591174637332</v>
      </c>
      <c r="O202" s="196">
        <f t="shared" si="330"/>
        <v>2.223298547282257</v>
      </c>
      <c r="P202" s="196">
        <f t="shared" si="330"/>
        <v>2.081118305284449</v>
      </c>
      <c r="Q202" s="196">
        <f t="shared" si="330"/>
        <v>2.072884247469281</v>
      </c>
      <c r="R202" s="196">
        <f t="shared" si="330"/>
        <v>1.8745313532496</v>
      </c>
      <c r="S202" s="196">
        <f t="shared" si="330"/>
        <v>1.676694001209762</v>
      </c>
      <c r="T202" s="196">
        <f t="shared" si="330"/>
        <v>1.315641344837324</v>
      </c>
      <c r="U202" s="196">
        <f t="shared" si="330"/>
        <v>1.16966240035313</v>
      </c>
      <c r="V202" s="196">
        <f t="shared" si="330"/>
        <v>0.8703866205236135</v>
      </c>
      <c r="W202" s="201" t="str">
        <f>IF(X$5=K$5,SUM(Y202:AI202)-SUM(L202:V202),"")</f>
        <v/>
      </c>
      <c r="X202" s="9" t="str">
        <f>LOWER(CtryCode)&amp;".distn."&amp;$A202&amp;IF($B202="","","."&amp;$B202)&amp;IF($C202="","",".dec."&amp;$C202)&amp;"."&amp;X$5</f>
        <v>egy.distn.bsh.pap.dec.ove.2</v>
      </c>
      <c r="Y202" s="202">
        <f t="shared" ref="Y202:AI202" si="331">INDEX(DHHVal,MATCH(CtryCode&amp;".distn.bsh."&amp;Y$10&amp;$E202&amp;Y$9&amp;Y$11,DHHKey,0),MATCH($D202,DHHVar,0))</f>
        <v>1.644605827342005</v>
      </c>
      <c r="Z202" s="196">
        <f t="shared" si="331"/>
        <v>2.308943506097492</v>
      </c>
      <c r="AA202" s="196">
        <f t="shared" si="331"/>
        <v>2.287591174637332</v>
      </c>
      <c r="AB202" s="196">
        <f t="shared" si="331"/>
        <v>2.223298547282257</v>
      </c>
      <c r="AC202" s="196">
        <f t="shared" si="331"/>
        <v>2.081118305284449</v>
      </c>
      <c r="AD202" s="196">
        <f t="shared" si="331"/>
        <v>2.072884247469281</v>
      </c>
      <c r="AE202" s="196">
        <f t="shared" si="331"/>
        <v>1.8745313532496</v>
      </c>
      <c r="AF202" s="196">
        <f t="shared" si="331"/>
        <v>1.676694001209762</v>
      </c>
      <c r="AG202" s="196">
        <f t="shared" si="331"/>
        <v>1.315641344837324</v>
      </c>
      <c r="AH202" s="196">
        <f t="shared" si="331"/>
        <v>1.16966240035313</v>
      </c>
      <c r="AI202" s="196">
        <f t="shared" si="331"/>
        <v>0.8703866205236135</v>
      </c>
    </row>
    <row r="203" hidden="1" outlineLevel="1">
      <c r="A203" s="44" t="inlineStr">
        <is>
          <t>bsh</t>
        </is>
      </c>
      <c r="B203" s="3" t="inlineStr">
        <is>
          <t>pha</t>
        </is>
      </c>
      <c r="C203" s="3" t="inlineStr">
        <is>
          <t>ove</t>
        </is>
      </c>
      <c r="D203" s="3" t="inlineStr">
        <is>
          <t>pharma_share</t>
        </is>
      </c>
      <c r="E203" s="3" t="inlineStr">
        <is>
          <t>ove.</t>
        </is>
      </c>
      <c r="H203" s="3" t="inlineStr">
        <is>
          <t>Pharmaceuticals: budget share, overall</t>
        </is>
      </c>
      <c r="I203" s="3" t="inlineStr">
        <is>
          <t>% consumption</t>
        </is>
      </c>
      <c r="J203" s="118" t="inlineStr">
        <is>
          <t>HHSurvey</t>
        </is>
      </c>
      <c r="K203" s="9" t="str">
        <f>LOWER(CtryCode)&amp;".distn."&amp;$A203&amp;IF($B203="","","."&amp;$B203)&amp;IF($C203="","",".dec."&amp;$C203)&amp;"."&amp;K$5</f>
        <v>egy.distn.bsh.pha.dec.ove.1</v>
      </c>
      <c r="L203" s="202">
        <f t="shared" ref="L203:V203" si="332">INDEX(DHHVal,MATCH(CtryCode&amp;".distn.bsh."&amp;L$10&amp;$E203&amp;L$9&amp;L$11,DHHKey,0),MATCH($D203,DHHVar,0))</f>
        <v>6.94411620690552</v>
      </c>
      <c r="M203" s="196">
        <f t="shared" si="332"/>
        <v>4.987936987979491</v>
      </c>
      <c r="N203" s="196">
        <f t="shared" si="332"/>
        <v>4.889717531576539</v>
      </c>
      <c r="O203" s="196">
        <f t="shared" si="332"/>
        <v>4.867343814939004</v>
      </c>
      <c r="P203" s="196">
        <f t="shared" si="332"/>
        <v>5.093816903982407</v>
      </c>
      <c r="Q203" s="196">
        <f t="shared" si="332"/>
        <v>5.759874219332057</v>
      </c>
      <c r="R203" s="196">
        <f t="shared" si="332"/>
        <v>6.70946085031017</v>
      </c>
      <c r="S203" s="196">
        <f t="shared" si="332"/>
        <v>6.368293100572019</v>
      </c>
      <c r="T203" s="196">
        <f t="shared" si="332"/>
        <v>8.495614219344079</v>
      </c>
      <c r="U203" s="196">
        <f t="shared" si="332"/>
        <v>8.38656177548674</v>
      </c>
      <c r="V203" s="196">
        <f t="shared" si="332"/>
        <v>10.25090802816321</v>
      </c>
      <c r="W203" s="201" t="str">
        <f>IF(X$5=K$5,SUM(Y203:AI203)-SUM(L203:V203),"")</f>
        <v/>
      </c>
      <c r="X203" s="9" t="str">
        <f>LOWER(CtryCode)&amp;".distn."&amp;$A203&amp;IF($B203="","","."&amp;$B203)&amp;IF($C203="","",".dec."&amp;$C203)&amp;"."&amp;X$5</f>
        <v>egy.distn.bsh.pha.dec.ove.2</v>
      </c>
      <c r="Y203" s="202">
        <f t="shared" ref="Y203:AI203" si="333">INDEX(DHHVal,MATCH(CtryCode&amp;".distn.bsh."&amp;Y$10&amp;$E203&amp;Y$9&amp;Y$11,DHHKey,0),MATCH($D203,DHHVar,0))</f>
        <v>6.94411620690552</v>
      </c>
      <c r="Z203" s="196">
        <f t="shared" si="333"/>
        <v>4.987936987979491</v>
      </c>
      <c r="AA203" s="196">
        <f t="shared" si="333"/>
        <v>4.889717531576539</v>
      </c>
      <c r="AB203" s="196">
        <f t="shared" si="333"/>
        <v>4.867343814939004</v>
      </c>
      <c r="AC203" s="196">
        <f t="shared" si="333"/>
        <v>5.093816903982407</v>
      </c>
      <c r="AD203" s="196">
        <f t="shared" si="333"/>
        <v>5.759874219332057</v>
      </c>
      <c r="AE203" s="196">
        <f t="shared" si="333"/>
        <v>6.70946085031017</v>
      </c>
      <c r="AF203" s="196">
        <f t="shared" si="333"/>
        <v>6.368293100572019</v>
      </c>
      <c r="AG203" s="196">
        <f t="shared" si="333"/>
        <v>8.495614219344079</v>
      </c>
      <c r="AH203" s="196">
        <f t="shared" si="333"/>
        <v>8.38656177548674</v>
      </c>
      <c r="AI203" s="196">
        <f t="shared" si="333"/>
        <v>10.25090802816321</v>
      </c>
    </row>
    <row r="204" hidden="1" outlineLevel="1">
      <c r="A204" s="44" t="inlineStr">
        <is>
          <t>bsh</t>
        </is>
      </c>
      <c r="B204" s="3" t="inlineStr">
        <is>
          <t>ret</t>
        </is>
      </c>
      <c r="C204" s="3" t="inlineStr">
        <is>
          <t>ove</t>
        </is>
      </c>
      <c r="D204" s="3" t="inlineStr">
        <is>
          <t>rectourism_share</t>
        </is>
      </c>
      <c r="E204" s="3" t="inlineStr">
        <is>
          <t>ove.</t>
        </is>
      </c>
      <c r="H204" s="3" t="inlineStr">
        <is>
          <t>Recreation and tourism: budget share, overall</t>
        </is>
      </c>
      <c r="I204" s="3" t="inlineStr">
        <is>
          <t>% consumption</t>
        </is>
      </c>
      <c r="J204" s="118" t="inlineStr">
        <is>
          <t>HHSurvey</t>
        </is>
      </c>
      <c r="K204" s="9" t="str">
        <f>LOWER(CtryCode)&amp;".distn."&amp;$A204&amp;IF($B204="","","."&amp;$B204)&amp;IF($C204="","",".dec."&amp;$C204)&amp;"."&amp;K$5</f>
        <v>egy.distn.bsh.ret.dec.ove.1</v>
      </c>
      <c r="L204" s="202">
        <f t="shared" ref="L204:V204" si="334">INDEX(DHHVal,MATCH(CtryCode&amp;".distn.bsh."&amp;L$10&amp;$E204&amp;L$9&amp;L$11,DHHKey,0),MATCH($D204,DHHVar,0))</f>
        <v>7.420266050821613</v>
      </c>
      <c r="M204" s="196">
        <f t="shared" si="334"/>
        <v>6.730070930830855</v>
      </c>
      <c r="N204" s="196">
        <f t="shared" si="334"/>
        <v>6.677071026618527</v>
      </c>
      <c r="O204" s="196">
        <f t="shared" si="334"/>
        <v>6.733738915995465</v>
      </c>
      <c r="P204" s="196">
        <f t="shared" si="334"/>
        <v>6.44107671846312</v>
      </c>
      <c r="Q204" s="196">
        <f t="shared" si="334"/>
        <v>7.060733162832125</v>
      </c>
      <c r="R204" s="196">
        <f t="shared" si="334"/>
        <v>6.625041807555788</v>
      </c>
      <c r="S204" s="196">
        <f t="shared" si="334"/>
        <v>6.260730221908514</v>
      </c>
      <c r="T204" s="196">
        <f t="shared" si="334"/>
        <v>6.357486274713655</v>
      </c>
      <c r="U204" s="196">
        <f t="shared" si="334"/>
        <v>6.54637748306788</v>
      </c>
      <c r="V204" s="196">
        <f t="shared" si="334"/>
        <v>8.109378932868312</v>
      </c>
      <c r="W204" s="201" t="str">
        <f>IF(X$5=K$5,SUM(Y204:AI204)-SUM(L204:V204),"")</f>
        <v/>
      </c>
      <c r="X204" s="9" t="str">
        <f>LOWER(CtryCode)&amp;".distn."&amp;$A204&amp;IF($B204="","","."&amp;$B204)&amp;IF($C204="","",".dec."&amp;$C204)&amp;"."&amp;X$5</f>
        <v>egy.distn.bsh.ret.dec.ove.2</v>
      </c>
      <c r="Y204" s="202">
        <f t="shared" ref="Y204:AI204" si="335">INDEX(DHHVal,MATCH(CtryCode&amp;".distn.bsh."&amp;Y$10&amp;$E204&amp;Y$9&amp;Y$11,DHHKey,0),MATCH($D204,DHHVar,0))</f>
        <v>7.420266050821613</v>
      </c>
      <c r="Z204" s="196">
        <f t="shared" si="335"/>
        <v>6.730070930830855</v>
      </c>
      <c r="AA204" s="196">
        <f t="shared" si="335"/>
        <v>6.677071026618527</v>
      </c>
      <c r="AB204" s="196">
        <f t="shared" si="335"/>
        <v>6.733738915995465</v>
      </c>
      <c r="AC204" s="196">
        <f t="shared" si="335"/>
        <v>6.44107671846312</v>
      </c>
      <c r="AD204" s="196">
        <f t="shared" si="335"/>
        <v>7.060733162832125</v>
      </c>
      <c r="AE204" s="196">
        <f t="shared" si="335"/>
        <v>6.625041807555788</v>
      </c>
      <c r="AF204" s="196">
        <f t="shared" si="335"/>
        <v>6.260730221908514</v>
      </c>
      <c r="AG204" s="196">
        <f t="shared" si="335"/>
        <v>6.357486274713655</v>
      </c>
      <c r="AH204" s="196">
        <f t="shared" si="335"/>
        <v>6.54637748306788</v>
      </c>
      <c r="AI204" s="196">
        <f t="shared" si="335"/>
        <v>8.109378932868312</v>
      </c>
    </row>
    <row r="205" hidden="1" outlineLevel="1">
      <c r="A205" s="44" t="inlineStr">
        <is>
          <t>bsh</t>
        </is>
      </c>
      <c r="B205" s="3" t="inlineStr">
        <is>
          <t>teq</t>
        </is>
      </c>
      <c r="C205" s="3" t="inlineStr">
        <is>
          <t>ove</t>
        </is>
      </c>
      <c r="D205" s="3" t="inlineStr">
        <is>
          <t>transp_eqt_share</t>
        </is>
      </c>
      <c r="E205" s="3" t="inlineStr">
        <is>
          <t>ove.</t>
        </is>
      </c>
      <c r="H205" s="3" t="inlineStr">
        <is>
          <t>Transport equipment: budget share, overall</t>
        </is>
      </c>
      <c r="I205" s="3" t="inlineStr">
        <is>
          <t>% consumption</t>
        </is>
      </c>
      <c r="J205" s="118" t="inlineStr">
        <is>
          <t>HHSurvey</t>
        </is>
      </c>
      <c r="K205" s="9" t="str">
        <f>LOWER(CtryCode)&amp;".distn."&amp;$A205&amp;IF($B205="","","."&amp;$B205)&amp;IF($C205="","",".dec."&amp;$C205)&amp;"."&amp;K$5</f>
        <v>egy.distn.bsh.teq.dec.ove.1</v>
      </c>
      <c r="L205" s="202">
        <f t="shared" ref="L205:V205" si="336">INDEX(DHHVal,MATCH(CtryCode&amp;".distn.bsh."&amp;L$10&amp;$E205&amp;L$9&amp;L$11,DHHKey,0),MATCH($D205,DHHVar,0))</f>
        <v>0.4393549299814003</v>
      </c>
      <c r="M205" s="196">
        <f t="shared" si="336"/>
        <v>0.3198399756022873</v>
      </c>
      <c r="N205" s="196">
        <f t="shared" si="336"/>
        <v>0.3070576305100366</v>
      </c>
      <c r="O205" s="196">
        <f t="shared" si="336"/>
        <v>0.3082615124490389</v>
      </c>
      <c r="P205" s="196">
        <f t="shared" si="336"/>
        <v>0.2822208009506809</v>
      </c>
      <c r="Q205" s="196">
        <f t="shared" si="336"/>
        <v>0.3702097954533903</v>
      </c>
      <c r="R205" s="196">
        <f t="shared" si="336"/>
        <v>0.4604905769234013</v>
      </c>
      <c r="S205" s="196">
        <f t="shared" si="336"/>
        <v>0.5022852434263316</v>
      </c>
      <c r="T205" s="196">
        <f t="shared" si="336"/>
        <v>0.6281290874394987</v>
      </c>
      <c r="U205" s="196">
        <f t="shared" si="336"/>
        <v>0.6674309606235401</v>
      </c>
      <c r="V205" s="196">
        <f t="shared" si="336"/>
        <v>0.8891845125962775</v>
      </c>
      <c r="W205" s="201" t="str">
        <f>IF(X$5=K$5,SUM(Y205:AI205)-SUM(L205:V205),"")</f>
        <v/>
      </c>
      <c r="X205" s="9" t="str">
        <f>LOWER(CtryCode)&amp;".distn."&amp;$A205&amp;IF($B205="","","."&amp;$B205)&amp;IF($C205="","",".dec."&amp;$C205)&amp;"."&amp;X$5</f>
        <v>egy.distn.bsh.teq.dec.ove.2</v>
      </c>
      <c r="Y205" s="202">
        <f t="shared" ref="Y205:AI205" si="337">INDEX(DHHVal,MATCH(CtryCode&amp;".distn.bsh."&amp;Y$10&amp;$E205&amp;Y$9&amp;Y$11,DHHKey,0),MATCH($D205,DHHVar,0))</f>
        <v>0.4393549299814003</v>
      </c>
      <c r="Z205" s="196">
        <f t="shared" si="337"/>
        <v>0.3198399756022873</v>
      </c>
      <c r="AA205" s="196">
        <f t="shared" si="337"/>
        <v>0.3070576305100366</v>
      </c>
      <c r="AB205" s="196">
        <f t="shared" si="337"/>
        <v>0.3082615124490389</v>
      </c>
      <c r="AC205" s="196">
        <f t="shared" si="337"/>
        <v>0.2822208009506809</v>
      </c>
      <c r="AD205" s="196">
        <f t="shared" si="337"/>
        <v>0.3702097954533903</v>
      </c>
      <c r="AE205" s="196">
        <f t="shared" si="337"/>
        <v>0.4604905769234013</v>
      </c>
      <c r="AF205" s="196">
        <f t="shared" si="337"/>
        <v>0.5022852434263316</v>
      </c>
      <c r="AG205" s="196">
        <f t="shared" si="337"/>
        <v>0.6281290874394987</v>
      </c>
      <c r="AH205" s="196">
        <f t="shared" si="337"/>
        <v>0.6674309606235401</v>
      </c>
      <c r="AI205" s="196">
        <f t="shared" si="337"/>
        <v>0.8891845125962775</v>
      </c>
    </row>
    <row r="206" hidden="1" outlineLevel="1">
      <c r="A206" s="44" t="inlineStr">
        <is>
          <t>bsh</t>
        </is>
      </c>
      <c r="B206" s="3" t="inlineStr">
        <is>
          <t>tpu</t>
        </is>
      </c>
      <c r="C206" s="3" t="inlineStr">
        <is>
          <t>ove</t>
        </is>
      </c>
      <c r="D206" s="3" t="inlineStr">
        <is>
          <t>transp_pub_share</t>
        </is>
      </c>
      <c r="E206" s="3" t="inlineStr">
        <is>
          <t>ove.</t>
        </is>
      </c>
      <c r="H206" s="3" t="inlineStr">
        <is>
          <t>Public transport: budget share, overall</t>
        </is>
      </c>
      <c r="I206" s="3" t="inlineStr">
        <is>
          <t>% consumption</t>
        </is>
      </c>
      <c r="J206" s="118" t="inlineStr">
        <is>
          <t>HHSurvey</t>
        </is>
      </c>
      <c r="K206" s="9" t="str">
        <f>LOWER(CtryCode)&amp;".distn."&amp;$A206&amp;IF($B206="","","."&amp;$B206)&amp;IF($C206="","",".dec."&amp;$C206)&amp;"."&amp;K$5</f>
        <v>egy.distn.bsh.tpu.dec.ove.1</v>
      </c>
      <c r="L206" s="202">
        <f t="shared" ref="L206:V206" si="338">INDEX(DHHVal,MATCH(CtryCode&amp;".distn.bsh."&amp;L$10&amp;$E206&amp;L$9&amp;L$11,DHHKey,0),MATCH($D206,DHHVar,0))</f>
        <v>4.426857756813401</v>
      </c>
      <c r="M206" s="196">
        <f t="shared" si="338"/>
        <v>4.727904906281875</v>
      </c>
      <c r="N206" s="196">
        <f t="shared" si="338"/>
        <v>4.275215797477652</v>
      </c>
      <c r="O206" s="196">
        <f t="shared" si="338"/>
        <v>4.403088027312691</v>
      </c>
      <c r="P206" s="196">
        <f t="shared" si="338"/>
        <v>4.364343456112674</v>
      </c>
      <c r="Q206" s="196">
        <f t="shared" si="338"/>
        <v>4.409127048373255</v>
      </c>
      <c r="R206" s="196">
        <f t="shared" si="338"/>
        <v>4.663335561988159</v>
      </c>
      <c r="S206" s="196">
        <f t="shared" si="338"/>
        <v>5.160042403112024</v>
      </c>
      <c r="T206" s="196">
        <f t="shared" si="338"/>
        <v>5.022442879264235</v>
      </c>
      <c r="U206" s="196">
        <f t="shared" si="338"/>
        <v>4.452612465887027</v>
      </c>
      <c r="V206" s="196">
        <f t="shared" si="338"/>
        <v>4.219645087947561</v>
      </c>
      <c r="W206" s="201" t="str">
        <f>IF(X$5=K$5,SUM(Y206:AI206)-SUM(L206:V206),"")</f>
        <v/>
      </c>
      <c r="X206" s="9" t="str">
        <f>LOWER(CtryCode)&amp;".distn."&amp;$A206&amp;IF($B206="","","."&amp;$B206)&amp;IF($C206="","",".dec."&amp;$C206)&amp;"."&amp;X$5</f>
        <v>egy.distn.bsh.tpu.dec.ove.2</v>
      </c>
      <c r="Y206" s="202">
        <f t="shared" ref="Y206:AI206" si="339">INDEX(DHHVal,MATCH(CtryCode&amp;".distn.bsh."&amp;Y$10&amp;$E206&amp;Y$9&amp;Y$11,DHHKey,0),MATCH($D206,DHHVar,0))</f>
        <v>4.426857756813401</v>
      </c>
      <c r="Z206" s="196">
        <f t="shared" si="339"/>
        <v>4.727904906281875</v>
      </c>
      <c r="AA206" s="196">
        <f t="shared" si="339"/>
        <v>4.275215797477652</v>
      </c>
      <c r="AB206" s="196">
        <f t="shared" si="339"/>
        <v>4.403088027312691</v>
      </c>
      <c r="AC206" s="196">
        <f t="shared" si="339"/>
        <v>4.364343456112674</v>
      </c>
      <c r="AD206" s="196">
        <f t="shared" si="339"/>
        <v>4.409127048373255</v>
      </c>
      <c r="AE206" s="196">
        <f t="shared" si="339"/>
        <v>4.663335561988159</v>
      </c>
      <c r="AF206" s="196">
        <f t="shared" si="339"/>
        <v>5.160042403112024</v>
      </c>
      <c r="AG206" s="196">
        <f t="shared" si="339"/>
        <v>5.022442879264235</v>
      </c>
      <c r="AH206" s="196">
        <f t="shared" si="339"/>
        <v>4.452612465887027</v>
      </c>
      <c r="AI206" s="196">
        <f t="shared" si="339"/>
        <v>4.219645087947561</v>
      </c>
    </row>
    <row r="207" hidden="1" outlineLevel="1">
      <c r="A207" s="44" t="inlineStr">
        <is>
          <t>bsh</t>
        </is>
      </c>
      <c r="B207" s="3" t="inlineStr">
        <is>
          <t>ccl</t>
        </is>
      </c>
      <c r="C207" s="3" t="inlineStr">
        <is>
          <t>ove</t>
        </is>
      </c>
      <c r="D207" s="3" t="inlineStr">
        <is>
          <t>ccl_share</t>
        </is>
      </c>
      <c r="E207" s="3" t="inlineStr">
        <is>
          <t>ove.</t>
        </is>
      </c>
      <c r="H207" s="3" t="inlineStr">
        <is>
          <t>Charcoal: budget share, overall</t>
        </is>
      </c>
      <c r="I207" s="3" t="inlineStr">
        <is>
          <t>% consumption</t>
        </is>
      </c>
      <c r="J207" s="118" t="inlineStr">
        <is>
          <t>HHSurvey</t>
        </is>
      </c>
      <c r="K207" s="9" t="str">
        <f>LOWER(CtryCode)&amp;".distn."&amp;$A207&amp;IF($B207="","","."&amp;$B207)&amp;IF($C207="","",".dec."&amp;$C207)&amp;"."&amp;K$5</f>
        <v>egy.distn.bsh.ccl.dec.ove.1</v>
      </c>
      <c r="L207" s="202">
        <f t="shared" ref="L207:V207" si="340">INDEX(DHHVal,MATCH(CtryCode&amp;".distn.bsh."&amp;L$10&amp;$E207&amp;L$9&amp;L$11,DHHKey,0),MATCH($D207,DHHVar,0))</f>
        <v>0.004144400853571502</v>
      </c>
      <c r="M207" s="196">
        <f t="shared" si="340"/>
        <v>0.008972285854091861</v>
      </c>
      <c r="N207" s="196">
        <f t="shared" si="340"/>
        <v>0.005275528355739282</v>
      </c>
      <c r="O207" s="196">
        <f t="shared" si="340"/>
        <v>0.005536103266420564</v>
      </c>
      <c r="P207" s="196">
        <f t="shared" si="340"/>
        <v>0.003798138806261724</v>
      </c>
      <c r="Q207" s="196">
        <f t="shared" si="340"/>
        <v>0.002971054699347749</v>
      </c>
      <c r="R207" s="196">
        <f t="shared" si="340"/>
        <v>0.002813506292504625</v>
      </c>
      <c r="S207" s="196">
        <f t="shared" si="340"/>
        <v>0.003155810564119262</v>
      </c>
      <c r="T207" s="196">
        <f t="shared" si="340"/>
        <v>0.003072615814745173</v>
      </c>
      <c r="U207" s="196">
        <f t="shared" si="340"/>
        <v>0.002414081599480624</v>
      </c>
      <c r="V207" s="196">
        <f t="shared" si="340"/>
        <v>0.001229517296736008</v>
      </c>
      <c r="W207" s="201" t="str">
        <f>IF(X$5=K$5,SUM(Y207:AI207)-SUM(L207:V207),"")</f>
        <v/>
      </c>
      <c r="X207" s="9" t="str">
        <f>LOWER(CtryCode)&amp;".distn."&amp;$A207&amp;IF($B207="","","."&amp;$B207)&amp;IF($C207="","",".dec."&amp;$C207)&amp;"."&amp;X$5</f>
        <v>egy.distn.bsh.ccl.dec.ove.2</v>
      </c>
      <c r="Y207" s="202">
        <f t="shared" ref="Y207:AI207" si="341">INDEX(DHHVal,MATCH(CtryCode&amp;".distn.bsh."&amp;Y$10&amp;$E207&amp;Y$9&amp;Y$11,DHHKey,0),MATCH($D207,DHHVar,0))</f>
        <v>0.004144400853571502</v>
      </c>
      <c r="Z207" s="196">
        <f t="shared" si="341"/>
        <v>0.008972285854091861</v>
      </c>
      <c r="AA207" s="196">
        <f t="shared" si="341"/>
        <v>0.005275528355739282</v>
      </c>
      <c r="AB207" s="196">
        <f t="shared" si="341"/>
        <v>0.005536103266420564</v>
      </c>
      <c r="AC207" s="196">
        <f t="shared" si="341"/>
        <v>0.003798138806261724</v>
      </c>
      <c r="AD207" s="196">
        <f t="shared" si="341"/>
        <v>0.002971054699347749</v>
      </c>
      <c r="AE207" s="196">
        <f t="shared" si="341"/>
        <v>0.002813506292504625</v>
      </c>
      <c r="AF207" s="196">
        <f t="shared" si="341"/>
        <v>0.003155810564119262</v>
      </c>
      <c r="AG207" s="196">
        <f t="shared" si="341"/>
        <v>0.003072615814745173</v>
      </c>
      <c r="AH207" s="196">
        <f t="shared" si="341"/>
        <v>0.002414081599480624</v>
      </c>
      <c r="AI207" s="196">
        <f t="shared" si="341"/>
        <v>0.001229517296736008</v>
      </c>
    </row>
    <row r="208" hidden="1" outlineLevel="1">
      <c r="A208" s="44" t="inlineStr">
        <is>
          <t>bsh</t>
        </is>
      </c>
      <c r="B208" s="3" t="inlineStr">
        <is>
          <t>ethanol</t>
        </is>
      </c>
      <c r="C208" s="3" t="inlineStr">
        <is>
          <t>ove</t>
        </is>
      </c>
      <c r="D208" s="3" t="inlineStr">
        <is>
          <t>ethanol_share</t>
        </is>
      </c>
      <c r="E208" s="3" t="inlineStr">
        <is>
          <t>ove.</t>
        </is>
      </c>
      <c r="H208" s="3" t="inlineStr">
        <is>
          <t>Ethanol: budget share, overall</t>
        </is>
      </c>
      <c r="I208" s="3" t="inlineStr">
        <is>
          <t>% consumption</t>
        </is>
      </c>
      <c r="J208" s="118" t="inlineStr">
        <is>
          <t>HHSurvey</t>
        </is>
      </c>
      <c r="K208" s="9" t="str">
        <f>LOWER(CtryCode)&amp;".distn."&amp;$A208&amp;IF($B208="","","."&amp;$B208)&amp;IF($C208="","",".dec."&amp;$C208)&amp;"."&amp;K$5</f>
        <v>egy.distn.bsh.ethanol.dec.ove.1</v>
      </c>
      <c r="L208" s="202">
        <f t="shared" ref="L208:V208" si="342">INDEX(DHHVal,MATCH(CtryCode&amp;".distn.bsh."&amp;L$10&amp;$E208&amp;L$9&amp;L$11,DHHKey,0),MATCH($D208,DHHVar,0))</f>
        <v>0.0</v>
      </c>
      <c r="M208" s="196">
        <f t="shared" si="342"/>
        <v>0.0</v>
      </c>
      <c r="N208" s="196">
        <f t="shared" si="342"/>
        <v>0.0</v>
      </c>
      <c r="O208" s="196">
        <f t="shared" si="342"/>
        <v>0.0</v>
      </c>
      <c r="P208" s="196">
        <f t="shared" si="342"/>
        <v>0.0</v>
      </c>
      <c r="Q208" s="196">
        <f t="shared" si="342"/>
        <v>0.0</v>
      </c>
      <c r="R208" s="196">
        <f t="shared" si="342"/>
        <v>1.111313838520578e-05</v>
      </c>
      <c r="S208" s="196">
        <f t="shared" si="342"/>
        <v>0.0</v>
      </c>
      <c r="T208" s="196">
        <f t="shared" si="342"/>
        <v>1.093220405367977e-05</v>
      </c>
      <c r="U208" s="196">
        <f t="shared" si="342"/>
        <v>1.019291858880588e-05</v>
      </c>
      <c r="V208" s="196">
        <f t="shared" si="342"/>
        <v>1.044158536726559e-05</v>
      </c>
      <c r="W208" s="201" t="str">
        <f>IF(X$5=K$5,SUM(Y208:AI208)-SUM(L208:V208),"")</f>
        <v/>
      </c>
      <c r="X208" s="9" t="str">
        <f>LOWER(CtryCode)&amp;".distn."&amp;$A208&amp;IF($B208="","","."&amp;$B208)&amp;IF($C208="","",".dec."&amp;$C208)&amp;"."&amp;X$5</f>
        <v>egy.distn.bsh.ethanol.dec.ove.2</v>
      </c>
      <c r="Y208" s="202">
        <f t="shared" ref="Y208:AI208" si="343">INDEX(DHHVal,MATCH(CtryCode&amp;".distn.bsh."&amp;Y$10&amp;$E208&amp;Y$9&amp;Y$11,DHHKey,0),MATCH($D208,DHHVar,0))</f>
        <v>0.0</v>
      </c>
      <c r="Z208" s="196">
        <f t="shared" si="343"/>
        <v>0.0</v>
      </c>
      <c r="AA208" s="196">
        <f t="shared" si="343"/>
        <v>0.0</v>
      </c>
      <c r="AB208" s="196">
        <f t="shared" si="343"/>
        <v>0.0</v>
      </c>
      <c r="AC208" s="196">
        <f t="shared" si="343"/>
        <v>0.0</v>
      </c>
      <c r="AD208" s="196">
        <f t="shared" si="343"/>
        <v>0.0</v>
      </c>
      <c r="AE208" s="196">
        <f t="shared" si="343"/>
        <v>1.111313838520578e-05</v>
      </c>
      <c r="AF208" s="196">
        <f t="shared" si="343"/>
        <v>0.0</v>
      </c>
      <c r="AG208" s="196">
        <f t="shared" si="343"/>
        <v>1.093220405367977e-05</v>
      </c>
      <c r="AH208" s="196">
        <f t="shared" si="343"/>
        <v>1.019291858880588e-05</v>
      </c>
      <c r="AI208" s="196">
        <f t="shared" si="343"/>
        <v>1.044158536726559e-05</v>
      </c>
    </row>
    <row r="209" hidden="1" outlineLevel="1">
      <c r="A209" s="44" t="inlineStr">
        <is>
          <t>bsh</t>
        </is>
      </c>
      <c r="B209" s="3" t="inlineStr">
        <is>
          <t>fwd</t>
        </is>
      </c>
      <c r="C209" s="3" t="inlineStr">
        <is>
          <t>ove</t>
        </is>
      </c>
      <c r="D209" s="3" t="inlineStr">
        <is>
          <t>fwd_share</t>
        </is>
      </c>
      <c r="E209" s="3" t="inlineStr">
        <is>
          <t>ove.</t>
        </is>
      </c>
      <c r="H209" s="3" t="inlineStr">
        <is>
          <t>Firewood: budget share, overall</t>
        </is>
      </c>
      <c r="I209" s="3" t="inlineStr">
        <is>
          <t>% consumption</t>
        </is>
      </c>
      <c r="J209" s="118" t="inlineStr">
        <is>
          <t>HHSurvey</t>
        </is>
      </c>
      <c r="K209" s="9" t="str">
        <f>LOWER(CtryCode)&amp;".distn."&amp;$A209&amp;IF($B209="","","."&amp;$B209)&amp;IF($C209="","",".dec."&amp;$C209)&amp;"."&amp;K$5</f>
        <v>egy.distn.bsh.fwd.dec.ove.1</v>
      </c>
      <c r="L209" s="202">
        <f t="shared" ref="L209:V209" si="344">INDEX(DHHVal,MATCH(CtryCode&amp;".distn.bsh."&amp;L$10&amp;$E209&amp;L$9&amp;L$11,DHHKey,0),MATCH($D209,DHHVar,0))</f>
        <v>0.000212283327245439</v>
      </c>
      <c r="M209" s="196">
        <f t="shared" si="344"/>
        <v>0.0005429776007029374</v>
      </c>
      <c r="N209" s="196">
        <f t="shared" si="344"/>
        <v>0.0002630032683272198</v>
      </c>
      <c r="O209" s="196">
        <f t="shared" si="344"/>
        <v>0.0003015261950831715</v>
      </c>
      <c r="P209" s="196">
        <f t="shared" si="344"/>
        <v>0.0002250685189376403</v>
      </c>
      <c r="Q209" s="196">
        <f t="shared" si="344"/>
        <v>0.0001570193897184696</v>
      </c>
      <c r="R209" s="196">
        <f t="shared" si="344"/>
        <v>0.000146975327400632</v>
      </c>
      <c r="S209" s="196">
        <f t="shared" si="344"/>
        <v>0.0001556319992623173</v>
      </c>
      <c r="T209" s="196">
        <f t="shared" si="344"/>
        <v>0.0001812714676722596</v>
      </c>
      <c r="U209" s="196">
        <f t="shared" si="344"/>
        <v>0.0001092866035295061</v>
      </c>
      <c r="V209" s="196">
        <f t="shared" si="344"/>
        <v>7.186900733242571e-05</v>
      </c>
      <c r="W209" s="201" t="str">
        <f>IF(X$5=K$5,SUM(Y209:AI209)-SUM(L209:V209),"")</f>
        <v/>
      </c>
      <c r="X209" s="9" t="str">
        <f>LOWER(CtryCode)&amp;".distn."&amp;$A209&amp;IF($B209="","","."&amp;$B209)&amp;IF($C209="","",".dec."&amp;$C209)&amp;"."&amp;X$5</f>
        <v>egy.distn.bsh.fwd.dec.ove.2</v>
      </c>
      <c r="Y209" s="202">
        <f t="shared" ref="Y209:AI209" si="345">INDEX(DHHVal,MATCH(CtryCode&amp;".distn.bsh."&amp;Y$10&amp;$E209&amp;Y$9&amp;Y$11,DHHKey,0),MATCH($D209,DHHVar,0))</f>
        <v>0.000212283327245439</v>
      </c>
      <c r="Z209" s="196">
        <f t="shared" si="345"/>
        <v>0.0005429776007029374</v>
      </c>
      <c r="AA209" s="196">
        <f t="shared" si="345"/>
        <v>0.0002630032683272198</v>
      </c>
      <c r="AB209" s="196">
        <f t="shared" si="345"/>
        <v>0.0003015261950831715</v>
      </c>
      <c r="AC209" s="196">
        <f t="shared" si="345"/>
        <v>0.0002250685189376403</v>
      </c>
      <c r="AD209" s="196">
        <f t="shared" si="345"/>
        <v>0.0001570193897184696</v>
      </c>
      <c r="AE209" s="196">
        <f t="shared" si="345"/>
        <v>0.000146975327400632</v>
      </c>
      <c r="AF209" s="196">
        <f t="shared" si="345"/>
        <v>0.0001556319992623173</v>
      </c>
      <c r="AG209" s="196">
        <f t="shared" si="345"/>
        <v>0.0001812714676722596</v>
      </c>
      <c r="AH209" s="196">
        <f t="shared" si="345"/>
        <v>0.0001092866035295061</v>
      </c>
      <c r="AI209" s="196">
        <f t="shared" si="345"/>
        <v>7.186900733242571e-05</v>
      </c>
    </row>
    <row r="210" hidden="1" outlineLevel="1"/>
    <row r="211" hidden="1" outlineLevel="1">
      <c r="B211" s="31" t="inlineStr">
        <is>
          <t>Urban</t>
        </is>
      </c>
    </row>
    <row r="212" hidden="1" outlineLevel="1">
      <c r="A212" s="44" t="inlineStr">
        <is>
          <t>bsh</t>
        </is>
      </c>
      <c r="B212" s="3" t="inlineStr">
        <is>
          <t>coa</t>
        </is>
      </c>
      <c r="C212" s="3" t="inlineStr">
        <is>
          <t>urb</t>
        </is>
      </c>
      <c r="D212" s="3" t="inlineStr">
        <is>
          <t>coa_share</t>
        </is>
      </c>
      <c r="E212" s="3" t="inlineStr">
        <is>
          <t>urb.</t>
        </is>
      </c>
      <c r="H212" s="3" t="inlineStr">
        <is>
          <t>Coal: budget share, urban</t>
        </is>
      </c>
      <c r="I212" s="3" t="inlineStr">
        <is>
          <t>% consumption</t>
        </is>
      </c>
      <c r="J212" s="118" t="inlineStr">
        <is>
          <t>HHSurvey</t>
        </is>
      </c>
      <c r="K212" s="9" t="str">
        <f>LOWER(CtryCode)&amp;".distn."&amp;$A212&amp;IF($B212="","","."&amp;$B212)&amp;IF($C212="","",".dec."&amp;$C212)&amp;"."&amp;K$5</f>
        <v>egy.distn.bsh.coa.dec.urb.1</v>
      </c>
      <c r="L212" s="202">
        <f t="shared" ref="L212:V212" si="346">INDEX(DHHVal,MATCH(CtryCode&amp;".distn.bsh."&amp;L$10&amp;$E212&amp;L$9&amp;L$11,DHHKey,0),MATCH($D212,DHHVar,0))</f>
        <v>0.0</v>
      </c>
      <c r="M212" s="196">
        <f t="shared" si="346"/>
        <v>0.0</v>
      </c>
      <c r="N212" s="196">
        <f t="shared" si="346"/>
        <v>0.0</v>
      </c>
      <c r="O212" s="196">
        <f t="shared" si="346"/>
        <v>0.0</v>
      </c>
      <c r="P212" s="196">
        <f t="shared" si="346"/>
        <v>0.0</v>
      </c>
      <c r="Q212" s="196">
        <f t="shared" si="346"/>
        <v>0.0</v>
      </c>
      <c r="R212" s="196">
        <f t="shared" si="346"/>
        <v>0.0</v>
      </c>
      <c r="S212" s="196">
        <f t="shared" si="346"/>
        <v>0.0</v>
      </c>
      <c r="T212" s="196">
        <f t="shared" si="346"/>
        <v>0.0</v>
      </c>
      <c r="U212" s="196">
        <f t="shared" si="346"/>
        <v>0.0</v>
      </c>
      <c r="V212" s="196">
        <f t="shared" si="346"/>
        <v>0.0</v>
      </c>
      <c r="W212" s="201" t="str">
        <f>IF(X$5=K$5,SUM(Y212:AI212)-SUM(L212:V212),"")</f>
        <v/>
      </c>
      <c r="X212" s="9" t="str">
        <f>LOWER(CtryCode)&amp;".distn."&amp;$A212&amp;IF($B212="","","."&amp;$B212)&amp;IF($C212="","",".dec."&amp;$C212)&amp;"."&amp;X$5</f>
        <v>egy.distn.bsh.coa.dec.urb.2</v>
      </c>
      <c r="Y212" s="202">
        <f t="shared" ref="Y212:AI212" si="347">INDEX(DHHVal,MATCH(CtryCode&amp;".distn.bsh."&amp;Y$10&amp;$E212&amp;Y$9&amp;Y$11,DHHKey,0),MATCH($D212,DHHVar,0))</f>
        <v>0.0</v>
      </c>
      <c r="Z212" s="196">
        <f t="shared" si="347"/>
        <v>0.0</v>
      </c>
      <c r="AA212" s="196">
        <f t="shared" si="347"/>
        <v>0.0</v>
      </c>
      <c r="AB212" s="196">
        <f t="shared" si="347"/>
        <v>0.0</v>
      </c>
      <c r="AC212" s="196">
        <f t="shared" si="347"/>
        <v>0.0</v>
      </c>
      <c r="AD212" s="196">
        <f t="shared" si="347"/>
        <v>0.0</v>
      </c>
      <c r="AE212" s="196">
        <f t="shared" si="347"/>
        <v>0.0</v>
      </c>
      <c r="AF212" s="196">
        <f t="shared" si="347"/>
        <v>0.0</v>
      </c>
      <c r="AG212" s="196">
        <f t="shared" si="347"/>
        <v>0.0</v>
      </c>
      <c r="AH212" s="196">
        <f t="shared" si="347"/>
        <v>0.0</v>
      </c>
      <c r="AI212" s="196">
        <f t="shared" si="347"/>
        <v>0.0</v>
      </c>
    </row>
    <row r="213" hidden="1" outlineLevel="1">
      <c r="A213" s="44" t="inlineStr">
        <is>
          <t>bsh</t>
        </is>
      </c>
      <c r="B213" s="3" t="inlineStr">
        <is>
          <t>ely</t>
        </is>
      </c>
      <c r="C213" s="3" t="inlineStr">
        <is>
          <t>urb</t>
        </is>
      </c>
      <c r="D213" s="3" t="inlineStr">
        <is>
          <t>ely_share</t>
        </is>
      </c>
      <c r="E213" s="3" t="inlineStr">
        <is>
          <t>urb.</t>
        </is>
      </c>
      <c r="H213" s="3" t="inlineStr">
        <is>
          <t>Electricity: budget share, urban</t>
        </is>
      </c>
      <c r="I213" s="3" t="inlineStr">
        <is>
          <t>% consumption</t>
        </is>
      </c>
      <c r="J213" s="118" t="inlineStr">
        <is>
          <t>HHSurvey</t>
        </is>
      </c>
      <c r="K213" s="9" t="str">
        <f>LOWER(CtryCode)&amp;".distn."&amp;$A213&amp;IF($B213="","","."&amp;$B213)&amp;IF($C213="","",".dec."&amp;$C213)&amp;"."&amp;K$5</f>
        <v>egy.distn.bsh.ely.dec.urb.1</v>
      </c>
      <c r="L213" s="202">
        <f t="shared" ref="L213:V213" si="348">INDEX(DHHVal,MATCH(CtryCode&amp;".distn.bsh."&amp;L$10&amp;$E213&amp;L$9&amp;L$11,DHHKey,0),MATCH($D213,DHHVar,0))</f>
        <v>3.666418500573745</v>
      </c>
      <c r="M213" s="196">
        <f t="shared" si="348"/>
        <v>3.50862828797979</v>
      </c>
      <c r="N213" s="196">
        <f t="shared" si="348"/>
        <v>3.144219266306857</v>
      </c>
      <c r="O213" s="196">
        <f t="shared" si="348"/>
        <v>3.546514713218922</v>
      </c>
      <c r="P213" s="196">
        <f t="shared" si="348"/>
        <v>3.37031551423195</v>
      </c>
      <c r="Q213" s="196">
        <f t="shared" si="348"/>
        <v>3.258861072211628</v>
      </c>
      <c r="R213" s="196">
        <f t="shared" si="348"/>
        <v>3.194300825401655</v>
      </c>
      <c r="S213" s="196">
        <f t="shared" si="348"/>
        <v>3.48229865519626</v>
      </c>
      <c r="T213" s="196">
        <f t="shared" si="348"/>
        <v>3.315478643515518</v>
      </c>
      <c r="U213" s="196">
        <f t="shared" si="348"/>
        <v>3.395065631496123</v>
      </c>
      <c r="V213" s="196">
        <f t="shared" si="348"/>
        <v>3.688032890334222</v>
      </c>
      <c r="W213" s="201" t="str">
        <f>IF(X$5=K$5,SUM(Y213:AI213)-SUM(L213:V213),"")</f>
        <v/>
      </c>
      <c r="X213" s="9" t="str">
        <f>LOWER(CtryCode)&amp;".distn."&amp;$A213&amp;IF($B213="","","."&amp;$B213)&amp;IF($C213="","",".dec."&amp;$C213)&amp;"."&amp;X$5</f>
        <v>egy.distn.bsh.ely.dec.urb.2</v>
      </c>
      <c r="Y213" s="202">
        <f t="shared" ref="Y213:AI213" si="349">INDEX(DHHVal,MATCH(CtryCode&amp;".distn.bsh."&amp;Y$10&amp;$E213&amp;Y$9&amp;Y$11,DHHKey,0),MATCH($D213,DHHVar,0))</f>
        <v>3.666418500573745</v>
      </c>
      <c r="Z213" s="196">
        <f t="shared" si="349"/>
        <v>3.50862828797979</v>
      </c>
      <c r="AA213" s="196">
        <f t="shared" si="349"/>
        <v>3.144219266306857</v>
      </c>
      <c r="AB213" s="196">
        <f t="shared" si="349"/>
        <v>3.546514713218922</v>
      </c>
      <c r="AC213" s="196">
        <f t="shared" si="349"/>
        <v>3.37031551423195</v>
      </c>
      <c r="AD213" s="196">
        <f t="shared" si="349"/>
        <v>3.258861072211628</v>
      </c>
      <c r="AE213" s="196">
        <f t="shared" si="349"/>
        <v>3.194300825401655</v>
      </c>
      <c r="AF213" s="196">
        <f t="shared" si="349"/>
        <v>3.48229865519626</v>
      </c>
      <c r="AG213" s="196">
        <f t="shared" si="349"/>
        <v>3.315478643515518</v>
      </c>
      <c r="AH213" s="196">
        <f t="shared" si="349"/>
        <v>3.395065631496123</v>
      </c>
      <c r="AI213" s="196">
        <f t="shared" si="349"/>
        <v>3.688032890334222</v>
      </c>
    </row>
    <row r="214" hidden="1" outlineLevel="1">
      <c r="A214" s="44" t="inlineStr">
        <is>
          <t>bsh</t>
        </is>
      </c>
      <c r="B214" s="3" t="inlineStr">
        <is>
          <t>nga</t>
        </is>
      </c>
      <c r="C214" s="3" t="inlineStr">
        <is>
          <t>urb</t>
        </is>
      </c>
      <c r="D214" s="3" t="inlineStr">
        <is>
          <t>nga_share</t>
        </is>
      </c>
      <c r="E214" s="3" t="inlineStr">
        <is>
          <t>urb.</t>
        </is>
      </c>
      <c r="H214" s="3" t="inlineStr">
        <is>
          <t>Natural gas: budget share, urban</t>
        </is>
      </c>
      <c r="I214" s="3" t="inlineStr">
        <is>
          <t>% consumption</t>
        </is>
      </c>
      <c r="J214" s="118" t="inlineStr">
        <is>
          <t>HHSurvey</t>
        </is>
      </c>
      <c r="K214" s="9" t="str">
        <f>LOWER(CtryCode)&amp;".distn."&amp;$A214&amp;IF($B214="","","."&amp;$B214)&amp;IF($C214="","",".dec."&amp;$C214)&amp;"."&amp;K$5</f>
        <v>egy.distn.bsh.nga.dec.urb.1</v>
      </c>
      <c r="L214" s="202">
        <f t="shared" ref="L214:V214" si="350">INDEX(DHHVal,MATCH(CtryCode&amp;".distn.bsh."&amp;L$10&amp;$E214&amp;L$9&amp;L$11,DHHKey,0),MATCH($D214,DHHVar,0))</f>
        <v>0.7696822594638876</v>
      </c>
      <c r="M214" s="196">
        <f t="shared" si="350"/>
        <v>0.6877607875078939</v>
      </c>
      <c r="N214" s="196">
        <f t="shared" si="350"/>
        <v>0.6238276536683514</v>
      </c>
      <c r="O214" s="196">
        <f t="shared" si="350"/>
        <v>0.6668359792783647</v>
      </c>
      <c r="P214" s="196">
        <f t="shared" si="350"/>
        <v>0.66211152764166</v>
      </c>
      <c r="Q214" s="196">
        <f t="shared" si="350"/>
        <v>0.7397480520928004</v>
      </c>
      <c r="R214" s="196">
        <f t="shared" si="350"/>
        <v>0.7153393123218852</v>
      </c>
      <c r="S214" s="196">
        <f t="shared" si="350"/>
        <v>0.790185407949289</v>
      </c>
      <c r="T214" s="196">
        <f t="shared" si="350"/>
        <v>0.8123749896338174</v>
      </c>
      <c r="U214" s="196">
        <f t="shared" si="350"/>
        <v>0.8142971553635064</v>
      </c>
      <c r="V214" s="196">
        <f t="shared" si="350"/>
        <v>0.8497180735606183</v>
      </c>
      <c r="W214" s="201" t="str">
        <f>IF(X$5=K$5,SUM(Y214:AI214)-SUM(L214:V214),"")</f>
        <v/>
      </c>
      <c r="X214" s="9" t="str">
        <f>LOWER(CtryCode)&amp;".distn."&amp;$A214&amp;IF($B214="","","."&amp;$B214)&amp;IF($C214="","",".dec."&amp;$C214)&amp;"."&amp;X$5</f>
        <v>egy.distn.bsh.nga.dec.urb.2</v>
      </c>
      <c r="Y214" s="202">
        <f t="shared" ref="Y214:AI214" si="351">INDEX(DHHVal,MATCH(CtryCode&amp;".distn.bsh."&amp;Y$10&amp;$E214&amp;Y$9&amp;Y$11,DHHKey,0),MATCH($D214,DHHVar,0))</f>
        <v>0.7696822594638876</v>
      </c>
      <c r="Z214" s="196">
        <f t="shared" si="351"/>
        <v>0.6877607875078939</v>
      </c>
      <c r="AA214" s="196">
        <f t="shared" si="351"/>
        <v>0.6238276536683514</v>
      </c>
      <c r="AB214" s="196">
        <f t="shared" si="351"/>
        <v>0.6668359792783647</v>
      </c>
      <c r="AC214" s="196">
        <f t="shared" si="351"/>
        <v>0.66211152764166</v>
      </c>
      <c r="AD214" s="196">
        <f t="shared" si="351"/>
        <v>0.7397480520928004</v>
      </c>
      <c r="AE214" s="196">
        <f t="shared" si="351"/>
        <v>0.7153393123218852</v>
      </c>
      <c r="AF214" s="196">
        <f t="shared" si="351"/>
        <v>0.790185407949289</v>
      </c>
      <c r="AG214" s="196">
        <f t="shared" si="351"/>
        <v>0.8123749896338174</v>
      </c>
      <c r="AH214" s="196">
        <f t="shared" si="351"/>
        <v>0.8142971553635064</v>
      </c>
      <c r="AI214" s="196">
        <f t="shared" si="351"/>
        <v>0.8497180735606183</v>
      </c>
    </row>
    <row r="215" hidden="1" outlineLevel="1">
      <c r="A215" s="44" t="inlineStr">
        <is>
          <t>bsh</t>
        </is>
      </c>
      <c r="B215" s="3" t="inlineStr">
        <is>
          <t>oil</t>
        </is>
      </c>
      <c r="C215" s="3" t="inlineStr">
        <is>
          <t>urb</t>
        </is>
      </c>
      <c r="D215" s="3" t="inlineStr">
        <is>
          <t>oil_share</t>
        </is>
      </c>
      <c r="E215" s="3" t="inlineStr">
        <is>
          <t>urb.</t>
        </is>
      </c>
      <c r="H215" s="3" t="inlineStr">
        <is>
          <t>Other oil products: budget share, urban</t>
        </is>
      </c>
      <c r="I215" s="3" t="inlineStr">
        <is>
          <t>% consumption</t>
        </is>
      </c>
      <c r="J215" s="118" t="inlineStr">
        <is>
          <t>HHSurvey</t>
        </is>
      </c>
      <c r="K215" s="9" t="str">
        <f>LOWER(CtryCode)&amp;".distn."&amp;$A215&amp;IF($B215="","","."&amp;$B215)&amp;IF($C215="","",".dec."&amp;$C215)&amp;"."&amp;K$5</f>
        <v>egy.distn.bsh.oil.dec.urb.1</v>
      </c>
      <c r="L215" s="202">
        <f t="shared" ref="L215:V215" si="352">INDEX(DHHVal,MATCH(CtryCode&amp;".distn.bsh."&amp;L$10&amp;$E215&amp;L$9&amp;L$11,DHHKey,0),MATCH($D215,DHHVar,0))</f>
        <v>0.1205009461164062</v>
      </c>
      <c r="M215" s="196">
        <f t="shared" si="352"/>
        <v>0.09111105669078215</v>
      </c>
      <c r="N215" s="196">
        <f t="shared" si="352"/>
        <v>0.09873493832354194</v>
      </c>
      <c r="O215" s="196">
        <f t="shared" si="352"/>
        <v>0.08159321032578108</v>
      </c>
      <c r="P215" s="196">
        <f t="shared" si="352"/>
        <v>0.1184980415093156</v>
      </c>
      <c r="Q215" s="196">
        <f t="shared" si="352"/>
        <v>0.1411824876897014</v>
      </c>
      <c r="R215" s="196">
        <f t="shared" si="352"/>
        <v>0.09909727704958457</v>
      </c>
      <c r="S215" s="196">
        <f t="shared" si="352"/>
        <v>0.1568094309630284</v>
      </c>
      <c r="T215" s="196">
        <f t="shared" si="352"/>
        <v>0.1381110065076412</v>
      </c>
      <c r="U215" s="196">
        <f t="shared" si="352"/>
        <v>0.1623018730372033</v>
      </c>
      <c r="V215" s="196">
        <f t="shared" si="352"/>
        <v>0.1716202493077057</v>
      </c>
      <c r="W215" s="201" t="str">
        <f>IF(X$5=K$5,SUM(Y215:AI215)-SUM(L215:V215),"")</f>
        <v/>
      </c>
      <c r="X215" s="9" t="str">
        <f>LOWER(CtryCode)&amp;".distn."&amp;$A215&amp;IF($B215="","","."&amp;$B215)&amp;IF($C215="","",".dec."&amp;$C215)&amp;"."&amp;X$5</f>
        <v>egy.distn.bsh.oil.dec.urb.2</v>
      </c>
      <c r="Y215" s="202">
        <f t="shared" ref="Y215:AI215" si="353">INDEX(DHHVal,MATCH(CtryCode&amp;".distn.bsh."&amp;Y$10&amp;$E215&amp;Y$9&amp;Y$11,DHHKey,0),MATCH($D215,DHHVar,0))</f>
        <v>0.1205009461164062</v>
      </c>
      <c r="Z215" s="196">
        <f t="shared" si="353"/>
        <v>0.09111105669078215</v>
      </c>
      <c r="AA215" s="196">
        <f t="shared" si="353"/>
        <v>0.09873493832354194</v>
      </c>
      <c r="AB215" s="196">
        <f t="shared" si="353"/>
        <v>0.08159321032578108</v>
      </c>
      <c r="AC215" s="196">
        <f t="shared" si="353"/>
        <v>0.1184980415093156</v>
      </c>
      <c r="AD215" s="196">
        <f t="shared" si="353"/>
        <v>0.1411824876897014</v>
      </c>
      <c r="AE215" s="196">
        <f t="shared" si="353"/>
        <v>0.09909727704958457</v>
      </c>
      <c r="AF215" s="196">
        <f t="shared" si="353"/>
        <v>0.1568094309630284</v>
      </c>
      <c r="AG215" s="196">
        <f t="shared" si="353"/>
        <v>0.1381110065076412</v>
      </c>
      <c r="AH215" s="196">
        <f t="shared" si="353"/>
        <v>0.1623018730372033</v>
      </c>
      <c r="AI215" s="196">
        <f t="shared" si="353"/>
        <v>0.1716202493077057</v>
      </c>
    </row>
    <row r="216" hidden="1" outlineLevel="1">
      <c r="A216" s="44" t="inlineStr">
        <is>
          <t>bsh</t>
        </is>
      </c>
      <c r="B216" s="3" t="inlineStr">
        <is>
          <t>gso</t>
        </is>
      </c>
      <c r="C216" s="3" t="inlineStr">
        <is>
          <t>urb</t>
        </is>
      </c>
      <c r="D216" s="3" t="inlineStr">
        <is>
          <t>gso_share</t>
        </is>
      </c>
      <c r="E216" s="3" t="inlineStr">
        <is>
          <t>urb.</t>
        </is>
      </c>
      <c r="H216" s="3" t="inlineStr">
        <is>
          <t>Gasoline: budget share, urban</t>
        </is>
      </c>
      <c r="I216" s="3" t="inlineStr">
        <is>
          <t>% consumption</t>
        </is>
      </c>
      <c r="J216" s="118" t="inlineStr">
        <is>
          <t>HHSurvey</t>
        </is>
      </c>
      <c r="K216" s="9" t="str">
        <f>LOWER(CtryCode)&amp;".distn."&amp;$A216&amp;IF($B216="","","."&amp;$B216)&amp;IF($C216="","",".dec."&amp;$C216)&amp;"."&amp;K$5</f>
        <v>egy.distn.bsh.gso.dec.urb.1</v>
      </c>
      <c r="L216" s="202">
        <f t="shared" ref="L216:V216" si="354">INDEX(DHHVal,MATCH(CtryCode&amp;".distn.bsh."&amp;L$10&amp;$E216&amp;L$9&amp;L$11,DHHKey,0),MATCH($D216,DHHVar,0))</f>
        <v>0.6106017671972369</v>
      </c>
      <c r="M216" s="196">
        <f t="shared" si="354"/>
        <v>0.2695428887603223</v>
      </c>
      <c r="N216" s="196">
        <f t="shared" si="354"/>
        <v>0.3751478204494353</v>
      </c>
      <c r="O216" s="196">
        <f t="shared" si="354"/>
        <v>0.4217052355517419</v>
      </c>
      <c r="P216" s="196">
        <f t="shared" si="354"/>
        <v>0.5134639156998676</v>
      </c>
      <c r="Q216" s="196">
        <f t="shared" si="354"/>
        <v>0.5346352862778803</v>
      </c>
      <c r="R216" s="196">
        <f t="shared" si="354"/>
        <v>0.6277574930915607</v>
      </c>
      <c r="S216" s="196">
        <f t="shared" si="354"/>
        <v>0.7083697101153292</v>
      </c>
      <c r="T216" s="196">
        <f t="shared" si="354"/>
        <v>0.6539821515664413</v>
      </c>
      <c r="U216" s="196">
        <f t="shared" si="354"/>
        <v>0.8851381269176575</v>
      </c>
      <c r="V216" s="196">
        <f t="shared" si="354"/>
        <v>0.938242929089205</v>
      </c>
      <c r="W216" s="201" t="str">
        <f>IF(X$5=K$5,SUM(Y216:AI216)-SUM(L216:V216),"")</f>
        <v/>
      </c>
      <c r="X216" s="9" t="str">
        <f>LOWER(CtryCode)&amp;".distn."&amp;$A216&amp;IF($B216="","","."&amp;$B216)&amp;IF($C216="","",".dec."&amp;$C216)&amp;"."&amp;X$5</f>
        <v>egy.distn.bsh.gso.dec.urb.2</v>
      </c>
      <c r="Y216" s="202">
        <f t="shared" ref="Y216:AI216" si="355">INDEX(DHHVal,MATCH(CtryCode&amp;".distn.bsh."&amp;Y$10&amp;$E216&amp;Y$9&amp;Y$11,DHHKey,0),MATCH($D216,DHHVar,0))</f>
        <v>0.6106017671972369</v>
      </c>
      <c r="Z216" s="196">
        <f t="shared" si="355"/>
        <v>0.2695428887603223</v>
      </c>
      <c r="AA216" s="196">
        <f t="shared" si="355"/>
        <v>0.3751478204494353</v>
      </c>
      <c r="AB216" s="196">
        <f t="shared" si="355"/>
        <v>0.4217052355517419</v>
      </c>
      <c r="AC216" s="196">
        <f t="shared" si="355"/>
        <v>0.5134639156998676</v>
      </c>
      <c r="AD216" s="196">
        <f t="shared" si="355"/>
        <v>0.5346352862778803</v>
      </c>
      <c r="AE216" s="196">
        <f t="shared" si="355"/>
        <v>0.6277574930915607</v>
      </c>
      <c r="AF216" s="196">
        <f t="shared" si="355"/>
        <v>0.7083697101153292</v>
      </c>
      <c r="AG216" s="196">
        <f t="shared" si="355"/>
        <v>0.6539821515664413</v>
      </c>
      <c r="AH216" s="196">
        <f t="shared" si="355"/>
        <v>0.8851381269176575</v>
      </c>
      <c r="AI216" s="196">
        <f t="shared" si="355"/>
        <v>0.938242929089205</v>
      </c>
    </row>
    <row r="217" hidden="1" outlineLevel="1">
      <c r="A217" s="44" t="inlineStr">
        <is>
          <t>bsh</t>
        </is>
      </c>
      <c r="B217" s="3" t="inlineStr">
        <is>
          <t>die</t>
        </is>
      </c>
      <c r="C217" s="3" t="inlineStr">
        <is>
          <t>urb</t>
        </is>
      </c>
      <c r="D217" s="3" t="inlineStr">
        <is>
          <t>die_share</t>
        </is>
      </c>
      <c r="E217" s="3" t="inlineStr">
        <is>
          <t>urb.</t>
        </is>
      </c>
      <c r="H217" s="3" t="inlineStr">
        <is>
          <t>Diesel: budget share, urban</t>
        </is>
      </c>
      <c r="I217" s="3" t="inlineStr">
        <is>
          <t>% consumption</t>
        </is>
      </c>
      <c r="J217" s="118" t="inlineStr">
        <is>
          <t>HHSurvey</t>
        </is>
      </c>
      <c r="K217" s="9" t="str">
        <f>LOWER(CtryCode)&amp;".distn."&amp;$A217&amp;IF($B217="","","."&amp;$B217)&amp;IF($C217="","",".dec."&amp;$C217)&amp;"."&amp;K$5</f>
        <v>egy.distn.bsh.die.dec.urb.1</v>
      </c>
      <c r="L217" s="202">
        <f t="shared" ref="L217:V217" si="356">INDEX(DHHVal,MATCH(CtryCode&amp;".distn.bsh."&amp;L$10&amp;$E217&amp;L$9&amp;L$11,DHHKey,0),MATCH($D217,DHHVar,0))</f>
        <v>0.0</v>
      </c>
      <c r="M217" s="196">
        <f t="shared" si="356"/>
        <v>0.0</v>
      </c>
      <c r="N217" s="196">
        <f t="shared" si="356"/>
        <v>0.0</v>
      </c>
      <c r="O217" s="196">
        <f t="shared" si="356"/>
        <v>0.0</v>
      </c>
      <c r="P217" s="196">
        <f t="shared" si="356"/>
        <v>0.0</v>
      </c>
      <c r="Q217" s="196">
        <f t="shared" si="356"/>
        <v>0.0</v>
      </c>
      <c r="R217" s="196">
        <f t="shared" si="356"/>
        <v>0.0</v>
      </c>
      <c r="S217" s="196">
        <f t="shared" si="356"/>
        <v>0.0</v>
      </c>
      <c r="T217" s="196">
        <f t="shared" si="356"/>
        <v>0.0</v>
      </c>
      <c r="U217" s="196">
        <f t="shared" si="356"/>
        <v>0.0</v>
      </c>
      <c r="V217" s="196">
        <f t="shared" si="356"/>
        <v>0.0</v>
      </c>
      <c r="W217" s="201" t="str">
        <f>IF(X$5=K$5,SUM(Y217:AI217)-SUM(L217:V217),"")</f>
        <v/>
      </c>
      <c r="X217" s="9" t="str">
        <f>LOWER(CtryCode)&amp;".distn."&amp;$A217&amp;IF($B217="","","."&amp;$B217)&amp;IF($C217="","",".dec."&amp;$C217)&amp;"."&amp;X$5</f>
        <v>egy.distn.bsh.die.dec.urb.2</v>
      </c>
      <c r="Y217" s="202">
        <f t="shared" ref="Y217:AI217" si="357">INDEX(DHHVal,MATCH(CtryCode&amp;".distn.bsh."&amp;Y$10&amp;$E217&amp;Y$9&amp;Y$11,DHHKey,0),MATCH($D217,DHHVar,0))</f>
        <v>0.0</v>
      </c>
      <c r="Z217" s="196">
        <f t="shared" si="357"/>
        <v>0.0</v>
      </c>
      <c r="AA217" s="196">
        <f t="shared" si="357"/>
        <v>0.0</v>
      </c>
      <c r="AB217" s="196">
        <f t="shared" si="357"/>
        <v>0.0</v>
      </c>
      <c r="AC217" s="196">
        <f t="shared" si="357"/>
        <v>0.0</v>
      </c>
      <c r="AD217" s="196">
        <f t="shared" si="357"/>
        <v>0.0</v>
      </c>
      <c r="AE217" s="196">
        <f t="shared" si="357"/>
        <v>0.0</v>
      </c>
      <c r="AF217" s="196">
        <f t="shared" si="357"/>
        <v>0.0</v>
      </c>
      <c r="AG217" s="196">
        <f t="shared" si="357"/>
        <v>0.0</v>
      </c>
      <c r="AH217" s="196">
        <f t="shared" si="357"/>
        <v>0.0</v>
      </c>
      <c r="AI217" s="196">
        <f t="shared" si="357"/>
        <v>0.0</v>
      </c>
    </row>
    <row r="218" hidden="1" outlineLevel="1">
      <c r="A218" s="44" t="inlineStr">
        <is>
          <t>bsh</t>
        </is>
      </c>
      <c r="B218" s="3" t="inlineStr">
        <is>
          <t>ker</t>
        </is>
      </c>
      <c r="C218" s="3" t="inlineStr">
        <is>
          <t>urb</t>
        </is>
      </c>
      <c r="D218" s="3" t="inlineStr">
        <is>
          <t>ker_share</t>
        </is>
      </c>
      <c r="E218" s="3" t="inlineStr">
        <is>
          <t>urb.</t>
        </is>
      </c>
      <c r="H218" s="3" t="inlineStr">
        <is>
          <t>Kerosene: budget share, urban</t>
        </is>
      </c>
      <c r="I218" s="3" t="inlineStr">
        <is>
          <t>% consumption</t>
        </is>
      </c>
      <c r="J218" s="118" t="inlineStr">
        <is>
          <t>HHSurvey</t>
        </is>
      </c>
      <c r="K218" s="9" t="str">
        <f>LOWER(CtryCode)&amp;".distn."&amp;$A218&amp;IF($B218="","","."&amp;$B218)&amp;IF($C218="","",".dec."&amp;$C218)&amp;"."&amp;K$5</f>
        <v>egy.distn.bsh.ker.dec.urb.1</v>
      </c>
      <c r="L218" s="202">
        <f t="shared" ref="L218:V218" si="358">INDEX(DHHVal,MATCH(CtryCode&amp;".distn.bsh."&amp;L$10&amp;$E218&amp;L$9&amp;L$11,DHHKey,0),MATCH($D218,DHHVar,0))</f>
        <v>5.321617435078656e-05</v>
      </c>
      <c r="M218" s="196">
        <f t="shared" si="358"/>
        <v>3.057457689145249e-05</v>
      </c>
      <c r="N218" s="196">
        <f t="shared" si="358"/>
        <v>0.0</v>
      </c>
      <c r="O218" s="196">
        <f t="shared" si="358"/>
        <v>2.099876924889973e-05</v>
      </c>
      <c r="P218" s="196">
        <f t="shared" si="358"/>
        <v>0.0</v>
      </c>
      <c r="Q218" s="196">
        <f t="shared" si="358"/>
        <v>8.948061455702401e-05</v>
      </c>
      <c r="R218" s="196">
        <f t="shared" si="358"/>
        <v>4.762885111246307e-05</v>
      </c>
      <c r="S218" s="196">
        <f t="shared" si="358"/>
        <v>0.0001139971565937287</v>
      </c>
      <c r="T218" s="196">
        <f t="shared" si="358"/>
        <v>9.516305044387459e-05</v>
      </c>
      <c r="U218" s="196">
        <f t="shared" si="358"/>
        <v>5.841549273350686e-05</v>
      </c>
      <c r="V218" s="196">
        <f t="shared" si="358"/>
        <v>0.0001226204738901597</v>
      </c>
      <c r="W218" s="201" t="str">
        <f>IF(X$5=K$5,SUM(Y218:AI218)-SUM(L218:V218),"")</f>
        <v/>
      </c>
      <c r="X218" s="9" t="str">
        <f>LOWER(CtryCode)&amp;".distn."&amp;$A218&amp;IF($B218="","","."&amp;$B218)&amp;IF($C218="","",".dec."&amp;$C218)&amp;"."&amp;X$5</f>
        <v>egy.distn.bsh.ker.dec.urb.2</v>
      </c>
      <c r="Y218" s="202">
        <f t="shared" ref="Y218:AI218" si="359">INDEX(DHHVal,MATCH(CtryCode&amp;".distn.bsh."&amp;Y$10&amp;$E218&amp;Y$9&amp;Y$11,DHHKey,0),MATCH($D218,DHHVar,0))</f>
        <v>5.321617435078656e-05</v>
      </c>
      <c r="Z218" s="196">
        <f t="shared" si="359"/>
        <v>3.057457689145249e-05</v>
      </c>
      <c r="AA218" s="196">
        <f t="shared" si="359"/>
        <v>0.0</v>
      </c>
      <c r="AB218" s="196">
        <f t="shared" si="359"/>
        <v>2.099876924889973e-05</v>
      </c>
      <c r="AC218" s="196">
        <f t="shared" si="359"/>
        <v>0.0</v>
      </c>
      <c r="AD218" s="196">
        <f t="shared" si="359"/>
        <v>8.948061455702401e-05</v>
      </c>
      <c r="AE218" s="196">
        <f t="shared" si="359"/>
        <v>4.762885111246307e-05</v>
      </c>
      <c r="AF218" s="196">
        <f t="shared" si="359"/>
        <v>0.0001139971565937287</v>
      </c>
      <c r="AG218" s="196">
        <f t="shared" si="359"/>
        <v>9.516305044387459e-05</v>
      </c>
      <c r="AH218" s="196">
        <f t="shared" si="359"/>
        <v>5.841549273350686e-05</v>
      </c>
      <c r="AI218" s="196">
        <f t="shared" si="359"/>
        <v>0.0001226204738901597</v>
      </c>
    </row>
    <row r="219" hidden="1" outlineLevel="1">
      <c r="A219" s="44" t="inlineStr">
        <is>
          <t>bsh</t>
        </is>
      </c>
      <c r="B219" s="3" t="inlineStr">
        <is>
          <t>lpg</t>
        </is>
      </c>
      <c r="C219" s="3" t="inlineStr">
        <is>
          <t>urb</t>
        </is>
      </c>
      <c r="D219" s="3" t="inlineStr">
        <is>
          <t>lpg_share</t>
        </is>
      </c>
      <c r="E219" s="3" t="inlineStr">
        <is>
          <t>urb.</t>
        </is>
      </c>
      <c r="H219" s="3" t="inlineStr">
        <is>
          <t>LPG: budget share, urban</t>
        </is>
      </c>
      <c r="I219" s="3" t="inlineStr">
        <is>
          <t>% consumption</t>
        </is>
      </c>
      <c r="J219" s="118" t="inlineStr">
        <is>
          <t>HHSurvey</t>
        </is>
      </c>
      <c r="K219" s="9" t="str">
        <f>LOWER(CtryCode)&amp;".distn."&amp;$A219&amp;IF($B219="","","."&amp;$B219)&amp;IF($C219="","",".dec."&amp;$C219)&amp;"."&amp;K$5</f>
        <v>egy.distn.bsh.lpg.dec.urb.1</v>
      </c>
      <c r="L219" s="202">
        <f t="shared" ref="L219:V219" si="360">INDEX(DHHVal,MATCH(CtryCode&amp;".distn.bsh."&amp;L$10&amp;$E219&amp;L$9&amp;L$11,DHHKey,0),MATCH($D219,DHHVar,0))</f>
        <v>0.9468639471765407</v>
      </c>
      <c r="M219" s="196">
        <f t="shared" si="360"/>
        <v>1.800705597403009</v>
      </c>
      <c r="N219" s="196">
        <f t="shared" si="360"/>
        <v>1.373806195635202</v>
      </c>
      <c r="O219" s="196">
        <f t="shared" si="360"/>
        <v>1.14829708067043</v>
      </c>
      <c r="P219" s="196">
        <f t="shared" si="360"/>
        <v>1.001363574083863</v>
      </c>
      <c r="Q219" s="196">
        <f t="shared" si="360"/>
        <v>0.8351083776448905</v>
      </c>
      <c r="R219" s="196">
        <f t="shared" si="360"/>
        <v>0.9189575157516005</v>
      </c>
      <c r="S219" s="196">
        <f t="shared" si="360"/>
        <v>0.8470828425386413</v>
      </c>
      <c r="T219" s="196">
        <f t="shared" si="360"/>
        <v>0.6648054508428634</v>
      </c>
      <c r="U219" s="196">
        <f t="shared" si="360"/>
        <v>0.6792537367587077</v>
      </c>
      <c r="V219" s="196">
        <f t="shared" si="360"/>
        <v>0.5101655763607087</v>
      </c>
      <c r="W219" s="201" t="str">
        <f>IF(X$5=K$5,SUM(Y219:AI219)-SUM(L219:V219),"")</f>
        <v/>
      </c>
      <c r="X219" s="9" t="str">
        <f>LOWER(CtryCode)&amp;".distn."&amp;$A219&amp;IF($B219="","","."&amp;$B219)&amp;IF($C219="","",".dec."&amp;$C219)&amp;"."&amp;X$5</f>
        <v>egy.distn.bsh.lpg.dec.urb.2</v>
      </c>
      <c r="Y219" s="202">
        <f t="shared" ref="Y219:AI219" si="361">INDEX(DHHVal,MATCH(CtryCode&amp;".distn.bsh."&amp;Y$10&amp;$E219&amp;Y$9&amp;Y$11,DHHKey,0),MATCH($D219,DHHVar,0))</f>
        <v>0.9468639471765407</v>
      </c>
      <c r="Z219" s="196">
        <f t="shared" si="361"/>
        <v>1.800705597403009</v>
      </c>
      <c r="AA219" s="196">
        <f t="shared" si="361"/>
        <v>1.373806195635202</v>
      </c>
      <c r="AB219" s="196">
        <f t="shared" si="361"/>
        <v>1.14829708067043</v>
      </c>
      <c r="AC219" s="196">
        <f t="shared" si="361"/>
        <v>1.001363574083863</v>
      </c>
      <c r="AD219" s="196">
        <f t="shared" si="361"/>
        <v>0.8351083776448905</v>
      </c>
      <c r="AE219" s="196">
        <f t="shared" si="361"/>
        <v>0.9189575157516005</v>
      </c>
      <c r="AF219" s="196">
        <f t="shared" si="361"/>
        <v>0.8470828425386413</v>
      </c>
      <c r="AG219" s="196">
        <f t="shared" si="361"/>
        <v>0.6648054508428634</v>
      </c>
      <c r="AH219" s="196">
        <f t="shared" si="361"/>
        <v>0.6792537367587077</v>
      </c>
      <c r="AI219" s="196">
        <f t="shared" si="361"/>
        <v>0.5101655763607087</v>
      </c>
    </row>
    <row r="220" hidden="1" outlineLevel="1">
      <c r="A220" s="44" t="inlineStr">
        <is>
          <t>bsh</t>
        </is>
      </c>
      <c r="B220" s="3" t="inlineStr">
        <is>
          <t>app</t>
        </is>
      </c>
      <c r="C220" s="3" t="inlineStr">
        <is>
          <t>urb</t>
        </is>
      </c>
      <c r="D220" s="3" t="inlineStr">
        <is>
          <t>appliances_share</t>
        </is>
      </c>
      <c r="E220" s="3" t="inlineStr">
        <is>
          <t>urb.</t>
        </is>
      </c>
      <c r="H220" s="3" t="inlineStr">
        <is>
          <t>Appliances: budget share, urban</t>
        </is>
      </c>
      <c r="I220" s="3" t="inlineStr">
        <is>
          <t>% consumption</t>
        </is>
      </c>
      <c r="J220" s="118" t="inlineStr">
        <is>
          <t>HHSurvey</t>
        </is>
      </c>
      <c r="K220" s="9" t="str">
        <f>LOWER(CtryCode)&amp;".distn."&amp;$A220&amp;IF($B220="","","."&amp;$B220)&amp;IF($C220="","",".dec."&amp;$C220)&amp;"."&amp;K$5</f>
        <v>egy.distn.bsh.app.dec.urb.1</v>
      </c>
      <c r="L220" s="202">
        <f t="shared" ref="L220:V220" si="362">INDEX(DHHVal,MATCH(CtryCode&amp;".distn.bsh."&amp;L$10&amp;$E220&amp;L$9&amp;L$11,DHHKey,0),MATCH($D220,DHHVar,0))</f>
        <v>1.616531983961096</v>
      </c>
      <c r="M220" s="196">
        <f t="shared" si="362"/>
        <v>1.406479713587425</v>
      </c>
      <c r="N220" s="196">
        <f t="shared" si="362"/>
        <v>1.478938258051624</v>
      </c>
      <c r="O220" s="196">
        <f t="shared" si="362"/>
        <v>1.579660620631174</v>
      </c>
      <c r="P220" s="196">
        <f t="shared" si="362"/>
        <v>1.438140938714075</v>
      </c>
      <c r="Q220" s="196">
        <f t="shared" si="362"/>
        <v>1.644102060412781</v>
      </c>
      <c r="R220" s="196">
        <f t="shared" si="362"/>
        <v>1.727584664231415</v>
      </c>
      <c r="S220" s="196">
        <f t="shared" si="362"/>
        <v>1.467432779770233</v>
      </c>
      <c r="T220" s="196">
        <f t="shared" si="362"/>
        <v>1.532597040872661</v>
      </c>
      <c r="U220" s="196">
        <f t="shared" si="362"/>
        <v>1.525701086796876</v>
      </c>
      <c r="V220" s="196">
        <f t="shared" si="362"/>
        <v>1.814462380780436</v>
      </c>
      <c r="W220" s="201" t="str">
        <f>IF(X$5=K$5,SUM(Y220:AI220)-SUM(L220:V220),"")</f>
        <v/>
      </c>
      <c r="X220" s="9" t="str">
        <f>LOWER(CtryCode)&amp;".distn."&amp;$A220&amp;IF($B220="","","."&amp;$B220)&amp;IF($C220="","",".dec."&amp;$C220)&amp;"."&amp;X$5</f>
        <v>egy.distn.bsh.app.dec.urb.2</v>
      </c>
      <c r="Y220" s="202">
        <f t="shared" ref="Y220:AI220" si="363">INDEX(DHHVal,MATCH(CtryCode&amp;".distn.bsh."&amp;Y$10&amp;$E220&amp;Y$9&amp;Y$11,DHHKey,0),MATCH($D220,DHHVar,0))</f>
        <v>1.616531983961096</v>
      </c>
      <c r="Z220" s="196">
        <f t="shared" si="363"/>
        <v>1.406479713587425</v>
      </c>
      <c r="AA220" s="196">
        <f t="shared" si="363"/>
        <v>1.478938258051624</v>
      </c>
      <c r="AB220" s="196">
        <f t="shared" si="363"/>
        <v>1.579660620631174</v>
      </c>
      <c r="AC220" s="196">
        <f t="shared" si="363"/>
        <v>1.438140938714075</v>
      </c>
      <c r="AD220" s="196">
        <f t="shared" si="363"/>
        <v>1.644102060412781</v>
      </c>
      <c r="AE220" s="196">
        <f t="shared" si="363"/>
        <v>1.727584664231415</v>
      </c>
      <c r="AF220" s="196">
        <f t="shared" si="363"/>
        <v>1.467432779770233</v>
      </c>
      <c r="AG220" s="196">
        <f t="shared" si="363"/>
        <v>1.532597040872661</v>
      </c>
      <c r="AH220" s="196">
        <f t="shared" si="363"/>
        <v>1.525701086796876</v>
      </c>
      <c r="AI220" s="196">
        <f t="shared" si="363"/>
        <v>1.814462380780436</v>
      </c>
    </row>
    <row r="221" hidden="1" outlineLevel="1">
      <c r="A221" s="44" t="inlineStr">
        <is>
          <t>bsh</t>
        </is>
      </c>
      <c r="B221" s="3" t="inlineStr">
        <is>
          <t>che</t>
        </is>
      </c>
      <c r="C221" s="3" t="inlineStr">
        <is>
          <t>urb</t>
        </is>
      </c>
      <c r="D221" s="3" t="inlineStr">
        <is>
          <t>chemicals_share</t>
        </is>
      </c>
      <c r="E221" s="3" t="inlineStr">
        <is>
          <t>urb.</t>
        </is>
      </c>
      <c r="H221" s="3" t="inlineStr">
        <is>
          <t>Chemicals: budget share, urban</t>
        </is>
      </c>
      <c r="I221" s="3" t="inlineStr">
        <is>
          <t>% consumption</t>
        </is>
      </c>
      <c r="J221" s="118" t="inlineStr">
        <is>
          <t>HHSurvey</t>
        </is>
      </c>
      <c r="K221" s="9" t="str">
        <f>LOWER(CtryCode)&amp;".distn."&amp;$A221&amp;IF($B221="","","."&amp;$B221)&amp;IF($C221="","",".dec."&amp;$C221)&amp;"."&amp;K$5</f>
        <v>egy.distn.bsh.che.dec.urb.1</v>
      </c>
      <c r="L221" s="202">
        <f t="shared" ref="L221:V221" si="364">INDEX(DHHVal,MATCH(CtryCode&amp;".distn.bsh."&amp;L$10&amp;$E221&amp;L$9&amp;L$11,DHHKey,0),MATCH($D221,DHHVar,0))</f>
        <v>3.50512555898268</v>
      </c>
      <c r="M221" s="196">
        <f t="shared" si="364"/>
        <v>3.859606449162937</v>
      </c>
      <c r="N221" s="196">
        <f t="shared" si="364"/>
        <v>4.035731092288587</v>
      </c>
      <c r="O221" s="196">
        <f t="shared" si="364"/>
        <v>4.299874027359845</v>
      </c>
      <c r="P221" s="196">
        <f t="shared" si="364"/>
        <v>3.855579775249678</v>
      </c>
      <c r="Q221" s="196">
        <f t="shared" si="364"/>
        <v>3.715555173573866</v>
      </c>
      <c r="R221" s="196">
        <f t="shared" si="364"/>
        <v>3.95868799741065</v>
      </c>
      <c r="S221" s="196">
        <f t="shared" si="364"/>
        <v>3.955724822338273</v>
      </c>
      <c r="T221" s="196">
        <f t="shared" si="364"/>
        <v>3.516689989365252</v>
      </c>
      <c r="U221" s="196">
        <f t="shared" si="364"/>
        <v>4.001793937492299</v>
      </c>
      <c r="V221" s="196">
        <f t="shared" si="364"/>
        <v>3.622610065193862</v>
      </c>
      <c r="W221" s="201" t="str">
        <f>IF(X$5=K$5,SUM(Y221:AI221)-SUM(L221:V221),"")</f>
        <v/>
      </c>
      <c r="X221" s="9" t="str">
        <f>LOWER(CtryCode)&amp;".distn."&amp;$A221&amp;IF($B221="","","."&amp;$B221)&amp;IF($C221="","",".dec."&amp;$C221)&amp;"."&amp;X$5</f>
        <v>egy.distn.bsh.che.dec.urb.2</v>
      </c>
      <c r="Y221" s="202">
        <f t="shared" ref="Y221:AI221" si="365">INDEX(DHHVal,MATCH(CtryCode&amp;".distn.bsh."&amp;Y$10&amp;$E221&amp;Y$9&amp;Y$11,DHHKey,0),MATCH($D221,DHHVar,0))</f>
        <v>3.50512555898268</v>
      </c>
      <c r="Z221" s="196">
        <f t="shared" si="365"/>
        <v>3.859606449162937</v>
      </c>
      <c r="AA221" s="196">
        <f t="shared" si="365"/>
        <v>4.035731092288587</v>
      </c>
      <c r="AB221" s="196">
        <f t="shared" si="365"/>
        <v>4.299874027359845</v>
      </c>
      <c r="AC221" s="196">
        <f t="shared" si="365"/>
        <v>3.855579775249678</v>
      </c>
      <c r="AD221" s="196">
        <f t="shared" si="365"/>
        <v>3.715555173573866</v>
      </c>
      <c r="AE221" s="196">
        <f t="shared" si="365"/>
        <v>3.95868799741065</v>
      </c>
      <c r="AF221" s="196">
        <f t="shared" si="365"/>
        <v>3.955724822338273</v>
      </c>
      <c r="AG221" s="196">
        <f t="shared" si="365"/>
        <v>3.516689989365252</v>
      </c>
      <c r="AH221" s="196">
        <f t="shared" si="365"/>
        <v>4.001793937492299</v>
      </c>
      <c r="AI221" s="196">
        <f t="shared" si="365"/>
        <v>3.622610065193862</v>
      </c>
    </row>
    <row r="222" hidden="1" outlineLevel="1">
      <c r="A222" s="44" t="inlineStr">
        <is>
          <t>bsh</t>
        </is>
      </c>
      <c r="B222" s="3" t="inlineStr">
        <is>
          <t>clo</t>
        </is>
      </c>
      <c r="C222" s="3" t="inlineStr">
        <is>
          <t>urb</t>
        </is>
      </c>
      <c r="D222" s="3" t="inlineStr">
        <is>
          <t>clothing_share</t>
        </is>
      </c>
      <c r="E222" s="3" t="inlineStr">
        <is>
          <t>urb.</t>
        </is>
      </c>
      <c r="H222" s="3" t="inlineStr">
        <is>
          <t>Clothing: budget share, urban</t>
        </is>
      </c>
      <c r="I222" s="3" t="inlineStr">
        <is>
          <t>% consumption</t>
        </is>
      </c>
      <c r="J222" s="118" t="inlineStr">
        <is>
          <t>HHSurvey</t>
        </is>
      </c>
      <c r="K222" s="9" t="str">
        <f>LOWER(CtryCode)&amp;".distn."&amp;$A222&amp;IF($B222="","","."&amp;$B222)&amp;IF($C222="","",".dec."&amp;$C222)&amp;"."&amp;K$5</f>
        <v>egy.distn.bsh.clo.dec.urb.1</v>
      </c>
      <c r="L222" s="202">
        <f t="shared" ref="L222:V222" si="366">INDEX(DHHVal,MATCH(CtryCode&amp;".distn.bsh."&amp;L$10&amp;$E222&amp;L$9&amp;L$11,DHHKey,0),MATCH($D222,DHHVar,0))</f>
        <v>5.129490144439544</v>
      </c>
      <c r="M222" s="196">
        <f t="shared" si="366"/>
        <v>5.788188276734385</v>
      </c>
      <c r="N222" s="196">
        <f t="shared" si="366"/>
        <v>5.290477310071092</v>
      </c>
      <c r="O222" s="196">
        <f t="shared" si="366"/>
        <v>5.646795218579949</v>
      </c>
      <c r="P222" s="196">
        <f t="shared" si="366"/>
        <v>5.833992855619473</v>
      </c>
      <c r="Q222" s="196">
        <f t="shared" si="366"/>
        <v>5.954256367048343</v>
      </c>
      <c r="R222" s="196">
        <f t="shared" si="366"/>
        <v>5.440843202223457</v>
      </c>
      <c r="S222" s="196">
        <f t="shared" si="366"/>
        <v>5.239192599875411</v>
      </c>
      <c r="T222" s="196">
        <f t="shared" si="366"/>
        <v>5.15883895202653</v>
      </c>
      <c r="U222" s="196">
        <f t="shared" si="366"/>
        <v>4.71232379697724</v>
      </c>
      <c r="V222" s="196">
        <f t="shared" si="366"/>
        <v>4.40406530896871</v>
      </c>
      <c r="W222" s="201" t="str">
        <f>IF(X$5=K$5,SUM(Y222:AI222)-SUM(L222:V222),"")</f>
        <v/>
      </c>
      <c r="X222" s="9" t="str">
        <f>LOWER(CtryCode)&amp;".distn."&amp;$A222&amp;IF($B222="","","."&amp;$B222)&amp;IF($C222="","",".dec."&amp;$C222)&amp;"."&amp;X$5</f>
        <v>egy.distn.bsh.clo.dec.urb.2</v>
      </c>
      <c r="Y222" s="202">
        <f t="shared" ref="Y222:AI222" si="367">INDEX(DHHVal,MATCH(CtryCode&amp;".distn.bsh."&amp;Y$10&amp;$E222&amp;Y$9&amp;Y$11,DHHKey,0),MATCH($D222,DHHVar,0))</f>
        <v>5.129490144439544</v>
      </c>
      <c r="Z222" s="196">
        <f t="shared" si="367"/>
        <v>5.788188276734385</v>
      </c>
      <c r="AA222" s="196">
        <f t="shared" si="367"/>
        <v>5.290477310071092</v>
      </c>
      <c r="AB222" s="196">
        <f t="shared" si="367"/>
        <v>5.646795218579949</v>
      </c>
      <c r="AC222" s="196">
        <f t="shared" si="367"/>
        <v>5.833992855619473</v>
      </c>
      <c r="AD222" s="196">
        <f t="shared" si="367"/>
        <v>5.954256367048343</v>
      </c>
      <c r="AE222" s="196">
        <f t="shared" si="367"/>
        <v>5.440843202223457</v>
      </c>
      <c r="AF222" s="196">
        <f t="shared" si="367"/>
        <v>5.239192599875411</v>
      </c>
      <c r="AG222" s="196">
        <f t="shared" si="367"/>
        <v>5.15883895202653</v>
      </c>
      <c r="AH222" s="196">
        <f t="shared" si="367"/>
        <v>4.71232379697724</v>
      </c>
      <c r="AI222" s="196">
        <f t="shared" si="367"/>
        <v>4.40406530896871</v>
      </c>
    </row>
    <row r="223" hidden="1" outlineLevel="1">
      <c r="A223" s="44" t="inlineStr">
        <is>
          <t>bsh</t>
        </is>
      </c>
      <c r="B223" s="3" t="inlineStr">
        <is>
          <t>com</t>
        </is>
      </c>
      <c r="C223" s="3" t="inlineStr">
        <is>
          <t>urb</t>
        </is>
      </c>
      <c r="D223" s="3" t="inlineStr">
        <is>
          <t>communications_share</t>
        </is>
      </c>
      <c r="E223" s="3" t="inlineStr">
        <is>
          <t>urb.</t>
        </is>
      </c>
      <c r="H223" s="3" t="inlineStr">
        <is>
          <t>Communications: budget share, urban</t>
        </is>
      </c>
      <c r="I223" s="3" t="inlineStr">
        <is>
          <t>% consumption</t>
        </is>
      </c>
      <c r="J223" s="118" t="inlineStr">
        <is>
          <t>HHSurvey</t>
        </is>
      </c>
      <c r="K223" s="9" t="str">
        <f>LOWER(CtryCode)&amp;".distn."&amp;$A223&amp;IF($B223="","","."&amp;$B223)&amp;IF($C223="","",".dec."&amp;$C223)&amp;"."&amp;K$5</f>
        <v>egy.distn.bsh.com.dec.urb.1</v>
      </c>
      <c r="L223" s="202">
        <f t="shared" ref="L223:V223" si="368">INDEX(DHHVal,MATCH(CtryCode&amp;".distn.bsh."&amp;L$10&amp;$E223&amp;L$9&amp;L$11,DHHKey,0),MATCH($D223,DHHVar,0))</f>
        <v>3.34487991749259</v>
      </c>
      <c r="M223" s="196">
        <f t="shared" si="368"/>
        <v>2.802392415357902</v>
      </c>
      <c r="N223" s="196">
        <f t="shared" si="368"/>
        <v>2.983586746309121</v>
      </c>
      <c r="O223" s="196">
        <f t="shared" si="368"/>
        <v>3.216185739062827</v>
      </c>
      <c r="P223" s="196">
        <f t="shared" si="368"/>
        <v>3.500513009862275</v>
      </c>
      <c r="Q223" s="196">
        <f t="shared" si="368"/>
        <v>3.419989137790385</v>
      </c>
      <c r="R223" s="196">
        <f t="shared" si="368"/>
        <v>3.405343589258015</v>
      </c>
      <c r="S223" s="196">
        <f t="shared" si="368"/>
        <v>3.460926556957324</v>
      </c>
      <c r="T223" s="196">
        <f t="shared" si="368"/>
        <v>3.762459271450832</v>
      </c>
      <c r="U223" s="196">
        <f t="shared" si="368"/>
        <v>3.407882764997598</v>
      </c>
      <c r="V223" s="196">
        <f t="shared" si="368"/>
        <v>3.598121535622743</v>
      </c>
      <c r="W223" s="201" t="str">
        <f>IF(X$5=K$5,SUM(Y223:AI223)-SUM(L223:V223),"")</f>
        <v/>
      </c>
      <c r="X223" s="9" t="str">
        <f>LOWER(CtryCode)&amp;".distn."&amp;$A223&amp;IF($B223="","","."&amp;$B223)&amp;IF($C223="","",".dec."&amp;$C223)&amp;"."&amp;X$5</f>
        <v>egy.distn.bsh.com.dec.urb.2</v>
      </c>
      <c r="Y223" s="202">
        <f t="shared" ref="Y223:AI223" si="369">INDEX(DHHVal,MATCH(CtryCode&amp;".distn.bsh."&amp;Y$10&amp;$E223&amp;Y$9&amp;Y$11,DHHKey,0),MATCH($D223,DHHVar,0))</f>
        <v>3.34487991749259</v>
      </c>
      <c r="Z223" s="196">
        <f t="shared" si="369"/>
        <v>2.802392415357902</v>
      </c>
      <c r="AA223" s="196">
        <f t="shared" si="369"/>
        <v>2.983586746309121</v>
      </c>
      <c r="AB223" s="196">
        <f t="shared" si="369"/>
        <v>3.216185739062827</v>
      </c>
      <c r="AC223" s="196">
        <f t="shared" si="369"/>
        <v>3.500513009862275</v>
      </c>
      <c r="AD223" s="196">
        <f t="shared" si="369"/>
        <v>3.419989137790385</v>
      </c>
      <c r="AE223" s="196">
        <f t="shared" si="369"/>
        <v>3.405343589258015</v>
      </c>
      <c r="AF223" s="196">
        <f t="shared" si="369"/>
        <v>3.460926556957324</v>
      </c>
      <c r="AG223" s="196">
        <f t="shared" si="369"/>
        <v>3.762459271450832</v>
      </c>
      <c r="AH223" s="196">
        <f t="shared" si="369"/>
        <v>3.407882764997598</v>
      </c>
      <c r="AI223" s="196">
        <f t="shared" si="369"/>
        <v>3.598121535622743</v>
      </c>
    </row>
    <row r="224" hidden="1" outlineLevel="1">
      <c r="A224" s="44" t="inlineStr">
        <is>
          <t>bsh</t>
        </is>
      </c>
      <c r="B224" s="3" t="inlineStr">
        <is>
          <t>edu</t>
        </is>
      </c>
      <c r="C224" s="3" t="inlineStr">
        <is>
          <t>urb</t>
        </is>
      </c>
      <c r="D224" s="3" t="inlineStr">
        <is>
          <t>education_share</t>
        </is>
      </c>
      <c r="E224" s="3" t="inlineStr">
        <is>
          <t>urb.</t>
        </is>
      </c>
      <c r="H224" s="3" t="inlineStr">
        <is>
          <t>Education: budget share, urban</t>
        </is>
      </c>
      <c r="I224" s="3" t="inlineStr">
        <is>
          <t>% consumption</t>
        </is>
      </c>
      <c r="J224" s="118" t="inlineStr">
        <is>
          <t>HHSurvey</t>
        </is>
      </c>
      <c r="K224" s="9" t="str">
        <f>LOWER(CtryCode)&amp;".distn."&amp;$A224&amp;IF($B224="","","."&amp;$B224)&amp;IF($C224="","",".dec."&amp;$C224)&amp;"."&amp;K$5</f>
        <v>egy.distn.bsh.edu.dec.urb.1</v>
      </c>
      <c r="L224" s="202">
        <f t="shared" ref="L224:V224" si="370">INDEX(DHHVal,MATCH(CtryCode&amp;".distn.bsh."&amp;L$10&amp;$E224&amp;L$9&amp;L$11,DHHKey,0),MATCH($D224,DHHVar,0))</f>
        <v>4.176010141939908</v>
      </c>
      <c r="M224" s="196">
        <f t="shared" si="370"/>
        <v>3.581388363015296</v>
      </c>
      <c r="N224" s="196">
        <f t="shared" si="370"/>
        <v>4.86927099904424</v>
      </c>
      <c r="O224" s="196">
        <f t="shared" si="370"/>
        <v>4.927164644842925</v>
      </c>
      <c r="P224" s="196">
        <f t="shared" si="370"/>
        <v>4.898994750812172</v>
      </c>
      <c r="Q224" s="196">
        <f t="shared" si="370"/>
        <v>5.051296073719004</v>
      </c>
      <c r="R224" s="196">
        <f t="shared" si="370"/>
        <v>4.968768232307118</v>
      </c>
      <c r="S224" s="196">
        <f t="shared" si="370"/>
        <v>4.147078460580068</v>
      </c>
      <c r="T224" s="196">
        <f t="shared" si="370"/>
        <v>3.929417818624535</v>
      </c>
      <c r="U224" s="196">
        <f t="shared" si="370"/>
        <v>3.111730533757314</v>
      </c>
      <c r="V224" s="196">
        <f t="shared" si="370"/>
        <v>1.458811000622698</v>
      </c>
      <c r="W224" s="201" t="str">
        <f>IF(X$5=K$5,SUM(Y224:AI224)-SUM(L224:V224),"")</f>
        <v/>
      </c>
      <c r="X224" s="9" t="str">
        <f>LOWER(CtryCode)&amp;".distn."&amp;$A224&amp;IF($B224="","","."&amp;$B224)&amp;IF($C224="","",".dec."&amp;$C224)&amp;"."&amp;X$5</f>
        <v>egy.distn.bsh.edu.dec.urb.2</v>
      </c>
      <c r="Y224" s="202">
        <f t="shared" ref="Y224:AI224" si="371">INDEX(DHHVal,MATCH(CtryCode&amp;".distn.bsh."&amp;Y$10&amp;$E224&amp;Y$9&amp;Y$11,DHHKey,0),MATCH($D224,DHHVar,0))</f>
        <v>4.176010141939908</v>
      </c>
      <c r="Z224" s="196">
        <f t="shared" si="371"/>
        <v>3.581388363015296</v>
      </c>
      <c r="AA224" s="196">
        <f t="shared" si="371"/>
        <v>4.86927099904424</v>
      </c>
      <c r="AB224" s="196">
        <f t="shared" si="371"/>
        <v>4.927164644842925</v>
      </c>
      <c r="AC224" s="196">
        <f t="shared" si="371"/>
        <v>4.898994750812172</v>
      </c>
      <c r="AD224" s="196">
        <f t="shared" si="371"/>
        <v>5.051296073719004</v>
      </c>
      <c r="AE224" s="196">
        <f t="shared" si="371"/>
        <v>4.968768232307118</v>
      </c>
      <c r="AF224" s="196">
        <f t="shared" si="371"/>
        <v>4.147078460580068</v>
      </c>
      <c r="AG224" s="196">
        <f t="shared" si="371"/>
        <v>3.929417818624535</v>
      </c>
      <c r="AH224" s="196">
        <f t="shared" si="371"/>
        <v>3.111730533757314</v>
      </c>
      <c r="AI224" s="196">
        <f t="shared" si="371"/>
        <v>1.458811000622698</v>
      </c>
    </row>
    <row r="225" hidden="1" outlineLevel="1">
      <c r="A225" s="44" t="inlineStr">
        <is>
          <t>bsh</t>
        </is>
      </c>
      <c r="B225" s="3" t="inlineStr">
        <is>
          <t>food</t>
        </is>
      </c>
      <c r="C225" s="3" t="inlineStr">
        <is>
          <t>urb</t>
        </is>
      </c>
      <c r="D225" s="3" t="inlineStr">
        <is>
          <t>food_share</t>
        </is>
      </c>
      <c r="E225" s="3" t="inlineStr">
        <is>
          <t>urb.</t>
        </is>
      </c>
      <c r="H225" s="3" t="inlineStr">
        <is>
          <t>Food: budget share, urban</t>
        </is>
      </c>
      <c r="I225" s="3" t="inlineStr">
        <is>
          <t>% consumption</t>
        </is>
      </c>
      <c r="J225" s="118" t="inlineStr">
        <is>
          <t>HHSurvey</t>
        </is>
      </c>
      <c r="K225" s="9" t="str">
        <f>LOWER(CtryCode)&amp;".distn."&amp;$A225&amp;IF($B225="","","."&amp;$B225)&amp;IF($C225="","",".dec."&amp;$C225)&amp;"."&amp;K$5</f>
        <v>egy.distn.bsh.food.dec.urb.1</v>
      </c>
      <c r="L225" s="202">
        <f t="shared" ref="L225:V225" si="372">INDEX(DHHVal,MATCH(CtryCode&amp;".distn.bsh."&amp;L$10&amp;$E225&amp;L$9&amp;L$11,DHHKey,0),MATCH($D225,DHHVar,0))</f>
        <v>52.06411321897684</v>
      </c>
      <c r="M225" s="196">
        <f t="shared" si="372"/>
        <v>50.28865905182924</v>
      </c>
      <c r="N225" s="196">
        <f t="shared" si="372"/>
        <v>54.68651558939138</v>
      </c>
      <c r="O225" s="196">
        <f t="shared" si="372"/>
        <v>54.93958389809689</v>
      </c>
      <c r="P225" s="196">
        <f t="shared" si="372"/>
        <v>53.59061538458439</v>
      </c>
      <c r="Q225" s="196">
        <f t="shared" si="372"/>
        <v>49.62643713248794</v>
      </c>
      <c r="R225" s="196">
        <f t="shared" si="372"/>
        <v>49.58087345949172</v>
      </c>
      <c r="S225" s="196">
        <f t="shared" si="372"/>
        <v>54.1584501539852</v>
      </c>
      <c r="T225" s="196">
        <f t="shared" si="372"/>
        <v>51.8727817348059</v>
      </c>
      <c r="U225" s="196">
        <f t="shared" si="372"/>
        <v>48.90375045953306</v>
      </c>
      <c r="V225" s="196">
        <f t="shared" si="372"/>
        <v>45.79037624779301</v>
      </c>
      <c r="W225" s="201" t="str">
        <f>IF(X$5=K$5,SUM(Y225:AI225)-SUM(L225:V225),"")</f>
        <v/>
      </c>
      <c r="X225" s="9" t="str">
        <f>LOWER(CtryCode)&amp;".distn."&amp;$A225&amp;IF($B225="","","."&amp;$B225)&amp;IF($C225="","",".dec."&amp;$C225)&amp;"."&amp;X$5</f>
        <v>egy.distn.bsh.food.dec.urb.2</v>
      </c>
      <c r="Y225" s="202">
        <f t="shared" ref="Y225:AI225" si="373">INDEX(DHHVal,MATCH(CtryCode&amp;".distn.bsh."&amp;Y$10&amp;$E225&amp;Y$9&amp;Y$11,DHHKey,0),MATCH($D225,DHHVar,0))</f>
        <v>52.06411321897684</v>
      </c>
      <c r="Z225" s="196">
        <f t="shared" si="373"/>
        <v>50.28865905182924</v>
      </c>
      <c r="AA225" s="196">
        <f t="shared" si="373"/>
        <v>54.68651558939138</v>
      </c>
      <c r="AB225" s="196">
        <f t="shared" si="373"/>
        <v>54.93958389809689</v>
      </c>
      <c r="AC225" s="196">
        <f t="shared" si="373"/>
        <v>53.59061538458439</v>
      </c>
      <c r="AD225" s="196">
        <f t="shared" si="373"/>
        <v>49.62643713248794</v>
      </c>
      <c r="AE225" s="196">
        <f t="shared" si="373"/>
        <v>49.58087345949172</v>
      </c>
      <c r="AF225" s="196">
        <f t="shared" si="373"/>
        <v>54.1584501539852</v>
      </c>
      <c r="AG225" s="196">
        <f t="shared" si="373"/>
        <v>51.8727817348059</v>
      </c>
      <c r="AH225" s="196">
        <f t="shared" si="373"/>
        <v>48.90375045953306</v>
      </c>
      <c r="AI225" s="196">
        <f t="shared" si="373"/>
        <v>45.79037624779301</v>
      </c>
    </row>
    <row r="226" hidden="1" outlineLevel="1">
      <c r="A226" s="44" t="inlineStr">
        <is>
          <t>bsh</t>
        </is>
      </c>
      <c r="B226" s="3" t="inlineStr">
        <is>
          <t>hea</t>
        </is>
      </c>
      <c r="C226" s="3" t="inlineStr">
        <is>
          <t>urb</t>
        </is>
      </c>
      <c r="D226" s="3" t="inlineStr">
        <is>
          <t>health_srv_share</t>
        </is>
      </c>
      <c r="E226" s="3" t="inlineStr">
        <is>
          <t>urb.</t>
        </is>
      </c>
      <c r="H226" s="3" t="inlineStr">
        <is>
          <t>Health services: budget share, urban</t>
        </is>
      </c>
      <c r="I226" s="3" t="inlineStr">
        <is>
          <t>% consumption</t>
        </is>
      </c>
      <c r="J226" s="118" t="inlineStr">
        <is>
          <t>HHSurvey</t>
        </is>
      </c>
      <c r="K226" s="9" t="str">
        <f>LOWER(CtryCode)&amp;".distn."&amp;$A226&amp;IF($B226="","","."&amp;$B226)&amp;IF($C226="","",".dec."&amp;$C226)&amp;"."&amp;K$5</f>
        <v>egy.distn.bsh.hea.dec.urb.1</v>
      </c>
      <c r="L226" s="202">
        <f t="shared" ref="L226:V226" si="374">INDEX(DHHVal,MATCH(CtryCode&amp;".distn.bsh."&amp;L$10&amp;$E226&amp;L$9&amp;L$11,DHHKey,0),MATCH($D226,DHHVar,0))</f>
        <v>3.708616735580621</v>
      </c>
      <c r="M226" s="196">
        <f t="shared" si="374"/>
        <v>2.727963794432852</v>
      </c>
      <c r="N226" s="196">
        <f t="shared" si="374"/>
        <v>3.144467735235403</v>
      </c>
      <c r="O226" s="196">
        <f t="shared" si="374"/>
        <v>3.573736582121935</v>
      </c>
      <c r="P226" s="196">
        <f t="shared" si="374"/>
        <v>3.664944372111041</v>
      </c>
      <c r="Q226" s="196">
        <f t="shared" si="374"/>
        <v>4.178712721290958</v>
      </c>
      <c r="R226" s="196">
        <f t="shared" si="374"/>
        <v>3.860329069907246</v>
      </c>
      <c r="S226" s="196">
        <f t="shared" si="374"/>
        <v>4.345705396655585</v>
      </c>
      <c r="T226" s="196">
        <f t="shared" si="374"/>
        <v>4.327791853830504</v>
      </c>
      <c r="U226" s="196">
        <f t="shared" si="374"/>
        <v>4.896382127048065</v>
      </c>
      <c r="V226" s="196">
        <f t="shared" si="374"/>
        <v>6.155809236851525</v>
      </c>
      <c r="W226" s="201" t="str">
        <f>IF(X$5=K$5,SUM(Y226:AI226)-SUM(L226:V226),"")</f>
        <v/>
      </c>
      <c r="X226" s="9" t="str">
        <f>LOWER(CtryCode)&amp;".distn."&amp;$A226&amp;IF($B226="","","."&amp;$B226)&amp;IF($C226="","",".dec."&amp;$C226)&amp;"."&amp;X$5</f>
        <v>egy.distn.bsh.hea.dec.urb.2</v>
      </c>
      <c r="Y226" s="202">
        <f t="shared" ref="Y226:AI226" si="375">INDEX(DHHVal,MATCH(CtryCode&amp;".distn.bsh."&amp;Y$10&amp;$E226&amp;Y$9&amp;Y$11,DHHKey,0),MATCH($D226,DHHVar,0))</f>
        <v>3.708616735580621</v>
      </c>
      <c r="Z226" s="196">
        <f t="shared" si="375"/>
        <v>2.727963794432852</v>
      </c>
      <c r="AA226" s="196">
        <f t="shared" si="375"/>
        <v>3.144467735235403</v>
      </c>
      <c r="AB226" s="196">
        <f t="shared" si="375"/>
        <v>3.573736582121935</v>
      </c>
      <c r="AC226" s="196">
        <f t="shared" si="375"/>
        <v>3.664944372111041</v>
      </c>
      <c r="AD226" s="196">
        <f t="shared" si="375"/>
        <v>4.178712721290958</v>
      </c>
      <c r="AE226" s="196">
        <f t="shared" si="375"/>
        <v>3.860329069907246</v>
      </c>
      <c r="AF226" s="196">
        <f t="shared" si="375"/>
        <v>4.345705396655585</v>
      </c>
      <c r="AG226" s="196">
        <f t="shared" si="375"/>
        <v>4.327791853830504</v>
      </c>
      <c r="AH226" s="196">
        <f t="shared" si="375"/>
        <v>4.896382127048065</v>
      </c>
      <c r="AI226" s="196">
        <f t="shared" si="375"/>
        <v>6.155809236851525</v>
      </c>
    </row>
    <row r="227" hidden="1" outlineLevel="1">
      <c r="A227" s="44" t="inlineStr">
        <is>
          <t>bsh</t>
        </is>
      </c>
      <c r="B227" s="3" t="inlineStr">
        <is>
          <t>hou</t>
        </is>
      </c>
      <c r="C227" s="3" t="inlineStr">
        <is>
          <t>urb</t>
        </is>
      </c>
      <c r="D227" s="3" t="inlineStr">
        <is>
          <t>housing_share</t>
        </is>
      </c>
      <c r="E227" s="3" t="inlineStr">
        <is>
          <t>urb.</t>
        </is>
      </c>
      <c r="H227" s="3" t="inlineStr">
        <is>
          <t>Housing: budget share, urban</t>
        </is>
      </c>
      <c r="I227" s="3" t="inlineStr">
        <is>
          <t>% consumption</t>
        </is>
      </c>
      <c r="J227" s="118" t="inlineStr">
        <is>
          <t>HHSurvey</t>
        </is>
      </c>
      <c r="K227" s="9" t="str">
        <f>LOWER(CtryCode)&amp;".distn."&amp;$A227&amp;IF($B227="","","."&amp;$B227)&amp;IF($C227="","",".dec."&amp;$C227)&amp;"."&amp;K$5</f>
        <v>egy.distn.bsh.hou.dec.urb.1</v>
      </c>
      <c r="L227" s="202">
        <f t="shared" ref="L227:V227" si="376">INDEX(DHHVal,MATCH(CtryCode&amp;".distn.bsh."&amp;L$10&amp;$E227&amp;L$9&amp;L$11,DHHKey,0),MATCH($D227,DHHVar,0))</f>
        <v>6.184989881441936</v>
      </c>
      <c r="M227" s="196">
        <f t="shared" si="376"/>
        <v>7.562840251723933</v>
      </c>
      <c r="N227" s="196">
        <f t="shared" si="376"/>
        <v>6.562739246369291</v>
      </c>
      <c r="O227" s="196">
        <f t="shared" si="376"/>
        <v>6.094820615868968</v>
      </c>
      <c r="P227" s="196">
        <f t="shared" si="376"/>
        <v>5.743713527118524</v>
      </c>
      <c r="Q227" s="196">
        <f t="shared" si="376"/>
        <v>5.677320321323283</v>
      </c>
      <c r="R227" s="196">
        <f t="shared" si="376"/>
        <v>5.266579163857599</v>
      </c>
      <c r="S227" s="196">
        <f t="shared" si="376"/>
        <v>5.048197532680843</v>
      </c>
      <c r="T227" s="196">
        <f t="shared" si="376"/>
        <v>5.224436507946487</v>
      </c>
      <c r="U227" s="196">
        <f t="shared" si="376"/>
        <v>5.932094789432771</v>
      </c>
      <c r="V227" s="196">
        <f t="shared" si="376"/>
        <v>6.570738775935115</v>
      </c>
      <c r="W227" s="201" t="str">
        <f>IF(X$5=K$5,SUM(Y227:AI227)-SUM(L227:V227),"")</f>
        <v/>
      </c>
      <c r="X227" s="9" t="str">
        <f>LOWER(CtryCode)&amp;".distn."&amp;$A227&amp;IF($B227="","","."&amp;$B227)&amp;IF($C227="","",".dec."&amp;$C227)&amp;"."&amp;X$5</f>
        <v>egy.distn.bsh.hou.dec.urb.2</v>
      </c>
      <c r="Y227" s="202">
        <f t="shared" ref="Y227:AI227" si="377">INDEX(DHHVal,MATCH(CtryCode&amp;".distn.bsh."&amp;Y$10&amp;$E227&amp;Y$9&amp;Y$11,DHHKey,0),MATCH($D227,DHHVar,0))</f>
        <v>6.184989881441936</v>
      </c>
      <c r="Z227" s="196">
        <f t="shared" si="377"/>
        <v>7.562840251723933</v>
      </c>
      <c r="AA227" s="196">
        <f t="shared" si="377"/>
        <v>6.562739246369291</v>
      </c>
      <c r="AB227" s="196">
        <f t="shared" si="377"/>
        <v>6.094820615868968</v>
      </c>
      <c r="AC227" s="196">
        <f t="shared" si="377"/>
        <v>5.743713527118524</v>
      </c>
      <c r="AD227" s="196">
        <f t="shared" si="377"/>
        <v>5.677320321323283</v>
      </c>
      <c r="AE227" s="196">
        <f t="shared" si="377"/>
        <v>5.266579163857599</v>
      </c>
      <c r="AF227" s="196">
        <f t="shared" si="377"/>
        <v>5.048197532680843</v>
      </c>
      <c r="AG227" s="196">
        <f t="shared" si="377"/>
        <v>5.224436507946487</v>
      </c>
      <c r="AH227" s="196">
        <f t="shared" si="377"/>
        <v>5.932094789432771</v>
      </c>
      <c r="AI227" s="196">
        <f t="shared" si="377"/>
        <v>6.570738775935115</v>
      </c>
    </row>
    <row r="228" hidden="1" outlineLevel="1">
      <c r="A228" s="44" t="inlineStr">
        <is>
          <t>bsh</t>
        </is>
      </c>
      <c r="B228" s="3" t="inlineStr">
        <is>
          <t>oth</t>
        </is>
      </c>
      <c r="C228" s="3" t="inlineStr">
        <is>
          <t>urb</t>
        </is>
      </c>
      <c r="D228" s="3" t="inlineStr">
        <is>
          <t>other_share</t>
        </is>
      </c>
      <c r="E228" s="3" t="inlineStr">
        <is>
          <t>urb.</t>
        </is>
      </c>
      <c r="H228" s="3" t="inlineStr">
        <is>
          <t>Other: budget share, urban</t>
        </is>
      </c>
      <c r="I228" s="3" t="inlineStr">
        <is>
          <t>% consumption</t>
        </is>
      </c>
      <c r="J228" s="118" t="inlineStr">
        <is>
          <t>HHSurvey</t>
        </is>
      </c>
      <c r="K228" s="9" t="str">
        <f>LOWER(CtryCode)&amp;".distn."&amp;$A228&amp;IF($B228="","","."&amp;$B228)&amp;IF($C228="","",".dec."&amp;$C228)&amp;"."&amp;K$5</f>
        <v>egy.distn.bsh.oth.dec.urb.1</v>
      </c>
      <c r="L228" s="202">
        <f t="shared" ref="L228:V228" si="378">INDEX(DHHVal,MATCH(CtryCode&amp;".distn.bsh."&amp;L$10&amp;$E228&amp;L$9&amp;L$11,DHHKey,0),MATCH($D228,DHHVar,0))</f>
        <v>0.02239024384106416</v>
      </c>
      <c r="M228" s="196">
        <f t="shared" si="378"/>
        <v>0.01703797498077337</v>
      </c>
      <c r="N228" s="196">
        <f t="shared" si="378"/>
        <v>0.008922739322782942</v>
      </c>
      <c r="O228" s="196">
        <f t="shared" si="378"/>
        <v>0.00596610590053803</v>
      </c>
      <c r="P228" s="196">
        <f t="shared" si="378"/>
        <v>0.02574078635111931</v>
      </c>
      <c r="Q228" s="196">
        <f t="shared" si="378"/>
        <v>0.02151419172999757</v>
      </c>
      <c r="R228" s="196">
        <f t="shared" si="378"/>
        <v>0.01656340082934805</v>
      </c>
      <c r="S228" s="196">
        <f t="shared" si="378"/>
        <v>0.02176151206746412</v>
      </c>
      <c r="T228" s="196">
        <f t="shared" si="378"/>
        <v>0.02623941949153772</v>
      </c>
      <c r="U228" s="196">
        <f t="shared" si="378"/>
        <v>0.02654157830596322</v>
      </c>
      <c r="V228" s="196">
        <f t="shared" si="378"/>
        <v>0.03849670867135808</v>
      </c>
      <c r="W228" s="201" t="str">
        <f>IF(X$5=K$5,SUM(Y228:AI228)-SUM(L228:V228),"")</f>
        <v/>
      </c>
      <c r="X228" s="9" t="str">
        <f>LOWER(CtryCode)&amp;".distn."&amp;$A228&amp;IF($B228="","","."&amp;$B228)&amp;IF($C228="","",".dec."&amp;$C228)&amp;"."&amp;X$5</f>
        <v>egy.distn.bsh.oth.dec.urb.2</v>
      </c>
      <c r="Y228" s="202">
        <f t="shared" ref="Y228:AI228" si="379">INDEX(DHHVal,MATCH(CtryCode&amp;".distn.bsh."&amp;Y$10&amp;$E228&amp;Y$9&amp;Y$11,DHHKey,0),MATCH($D228,DHHVar,0))</f>
        <v>0.02239024384106416</v>
      </c>
      <c r="Z228" s="196">
        <f t="shared" si="379"/>
        <v>0.01703797498077337</v>
      </c>
      <c r="AA228" s="196">
        <f t="shared" si="379"/>
        <v>0.008922739322782942</v>
      </c>
      <c r="AB228" s="196">
        <f t="shared" si="379"/>
        <v>0.00596610590053803</v>
      </c>
      <c r="AC228" s="196">
        <f t="shared" si="379"/>
        <v>0.02574078635111931</v>
      </c>
      <c r="AD228" s="196">
        <f t="shared" si="379"/>
        <v>0.02151419172999757</v>
      </c>
      <c r="AE228" s="196">
        <f t="shared" si="379"/>
        <v>0.01656340082934805</v>
      </c>
      <c r="AF228" s="196">
        <f t="shared" si="379"/>
        <v>0.02176151206746412</v>
      </c>
      <c r="AG228" s="196">
        <f t="shared" si="379"/>
        <v>0.02623941949153772</v>
      </c>
      <c r="AH228" s="196">
        <f t="shared" si="379"/>
        <v>0.02654157830596322</v>
      </c>
      <c r="AI228" s="196">
        <f t="shared" si="379"/>
        <v>0.03849670867135808</v>
      </c>
    </row>
    <row r="229" hidden="1" outlineLevel="1">
      <c r="A229" s="44" t="inlineStr">
        <is>
          <t>bsh</t>
        </is>
      </c>
      <c r="B229" s="3" t="inlineStr">
        <is>
          <t>pap</t>
        </is>
      </c>
      <c r="C229" s="3" t="inlineStr">
        <is>
          <t>urb</t>
        </is>
      </c>
      <c r="D229" s="3" t="inlineStr">
        <is>
          <t>paper_share</t>
        </is>
      </c>
      <c r="E229" s="3" t="inlineStr">
        <is>
          <t>urb.</t>
        </is>
      </c>
      <c r="H229" s="3" t="inlineStr">
        <is>
          <t>Paper: budget share, urban</t>
        </is>
      </c>
      <c r="I229" s="3" t="inlineStr">
        <is>
          <t>% consumption</t>
        </is>
      </c>
      <c r="J229" s="118" t="inlineStr">
        <is>
          <t>HHSurvey</t>
        </is>
      </c>
      <c r="K229" s="9" t="str">
        <f>LOWER(CtryCode)&amp;".distn."&amp;$A229&amp;IF($B229="","","."&amp;$B229)&amp;IF($C229="","",".dec."&amp;$C229)&amp;"."&amp;K$5</f>
        <v>egy.distn.bsh.pap.dec.urb.1</v>
      </c>
      <c r="L229" s="202">
        <f t="shared" ref="L229:V229" si="380">INDEX(DHHVal,MATCH(CtryCode&amp;".distn.bsh."&amp;L$10&amp;$E229&amp;L$9&amp;L$11,DHHKey,0),MATCH($D229,DHHVar,0))</f>
        <v>1.952908481988179</v>
      </c>
      <c r="M229" s="196">
        <f t="shared" si="380"/>
        <v>2.665820555588964</v>
      </c>
      <c r="N229" s="196">
        <f t="shared" si="380"/>
        <v>2.206540594002662</v>
      </c>
      <c r="O229" s="196">
        <f t="shared" si="380"/>
        <v>2.346060659591815</v>
      </c>
      <c r="P229" s="196">
        <f t="shared" si="380"/>
        <v>2.255719141962442</v>
      </c>
      <c r="Q229" s="196">
        <f t="shared" si="380"/>
        <v>2.081301717929057</v>
      </c>
      <c r="R229" s="196">
        <f t="shared" si="380"/>
        <v>1.781297339892507</v>
      </c>
      <c r="S229" s="196">
        <f t="shared" si="380"/>
        <v>1.501636892658589</v>
      </c>
      <c r="T229" s="196">
        <f t="shared" si="380"/>
        <v>1.406724885501867</v>
      </c>
      <c r="U229" s="196">
        <f t="shared" si="380"/>
        <v>1.069737940108425</v>
      </c>
      <c r="V229" s="196">
        <f t="shared" si="380"/>
        <v>0.8940440446665473</v>
      </c>
      <c r="W229" s="201" t="str">
        <f>IF(X$5=K$5,SUM(Y229:AI229)-SUM(L229:V229),"")</f>
        <v/>
      </c>
      <c r="X229" s="9" t="str">
        <f>LOWER(CtryCode)&amp;".distn."&amp;$A229&amp;IF($B229="","","."&amp;$B229)&amp;IF($C229="","",".dec."&amp;$C229)&amp;"."&amp;X$5</f>
        <v>egy.distn.bsh.pap.dec.urb.2</v>
      </c>
      <c r="Y229" s="202">
        <f t="shared" ref="Y229:AI229" si="381">INDEX(DHHVal,MATCH(CtryCode&amp;".distn.bsh."&amp;Y$10&amp;$E229&amp;Y$9&amp;Y$11,DHHKey,0),MATCH($D229,DHHVar,0))</f>
        <v>1.952908481988179</v>
      </c>
      <c r="Z229" s="196">
        <f t="shared" si="381"/>
        <v>2.665820555588964</v>
      </c>
      <c r="AA229" s="196">
        <f t="shared" si="381"/>
        <v>2.206540594002662</v>
      </c>
      <c r="AB229" s="196">
        <f t="shared" si="381"/>
        <v>2.346060659591815</v>
      </c>
      <c r="AC229" s="196">
        <f t="shared" si="381"/>
        <v>2.255719141962442</v>
      </c>
      <c r="AD229" s="196">
        <f t="shared" si="381"/>
        <v>2.081301717929057</v>
      </c>
      <c r="AE229" s="196">
        <f t="shared" si="381"/>
        <v>1.781297339892507</v>
      </c>
      <c r="AF229" s="196">
        <f t="shared" si="381"/>
        <v>1.501636892658589</v>
      </c>
      <c r="AG229" s="196">
        <f t="shared" si="381"/>
        <v>1.406724885501867</v>
      </c>
      <c r="AH229" s="196">
        <f t="shared" si="381"/>
        <v>1.069737940108425</v>
      </c>
      <c r="AI229" s="196">
        <f t="shared" si="381"/>
        <v>0.8940440446665473</v>
      </c>
    </row>
    <row r="230" hidden="1" outlineLevel="1">
      <c r="A230" s="44" t="inlineStr">
        <is>
          <t>bsh</t>
        </is>
      </c>
      <c r="B230" s="3" t="inlineStr">
        <is>
          <t>pha</t>
        </is>
      </c>
      <c r="C230" s="3" t="inlineStr">
        <is>
          <t>urb</t>
        </is>
      </c>
      <c r="D230" s="3" t="inlineStr">
        <is>
          <t>pharma_share</t>
        </is>
      </c>
      <c r="E230" s="3" t="inlineStr">
        <is>
          <t>urb.</t>
        </is>
      </c>
      <c r="H230" s="3" t="inlineStr">
        <is>
          <t>Pharmaceuticals: budget share, urban</t>
        </is>
      </c>
      <c r="I230" s="3" t="inlineStr">
        <is>
          <t>% consumption</t>
        </is>
      </c>
      <c r="J230" s="118" t="inlineStr">
        <is>
          <t>HHSurvey</t>
        </is>
      </c>
      <c r="K230" s="9" t="str">
        <f>LOWER(CtryCode)&amp;".distn."&amp;$A230&amp;IF($B230="","","."&amp;$B230)&amp;IF($C230="","",".dec."&amp;$C230)&amp;"."&amp;K$5</f>
        <v>egy.distn.bsh.pha.dec.urb.1</v>
      </c>
      <c r="L230" s="202">
        <f t="shared" ref="L230:V230" si="382">INDEX(DHHVal,MATCH(CtryCode&amp;".distn.bsh."&amp;L$10&amp;$E230&amp;L$9&amp;L$11,DHHKey,0),MATCH($D230,DHHVar,0))</f>
        <v>6.721801019753862</v>
      </c>
      <c r="M230" s="196">
        <f t="shared" si="382"/>
        <v>5.412801876630739</v>
      </c>
      <c r="N230" s="196">
        <f t="shared" si="382"/>
        <v>5.279252080605115</v>
      </c>
      <c r="O230" s="196">
        <f t="shared" si="382"/>
        <v>5.511018645426944</v>
      </c>
      <c r="P230" s="196">
        <f t="shared" si="382"/>
        <v>5.696852283929538</v>
      </c>
      <c r="Q230" s="196">
        <f t="shared" si="382"/>
        <v>5.81871826406898</v>
      </c>
      <c r="R230" s="196">
        <f t="shared" si="382"/>
        <v>5.949829609545847</v>
      </c>
      <c r="S230" s="196">
        <f t="shared" si="382"/>
        <v>7.158059901865499</v>
      </c>
      <c r="T230" s="196">
        <f t="shared" si="382"/>
        <v>7.653871648660164</v>
      </c>
      <c r="U230" s="196">
        <f t="shared" si="382"/>
        <v>9.073586740752766</v>
      </c>
      <c r="V230" s="196">
        <f t="shared" si="382"/>
        <v>10.3261786652089</v>
      </c>
      <c r="W230" s="201" t="str">
        <f>IF(X$5=K$5,SUM(Y230:AI230)-SUM(L230:V230),"")</f>
        <v/>
      </c>
      <c r="X230" s="9" t="str">
        <f>LOWER(CtryCode)&amp;".distn."&amp;$A230&amp;IF($B230="","","."&amp;$B230)&amp;IF($C230="","",".dec."&amp;$C230)&amp;"."&amp;X$5</f>
        <v>egy.distn.bsh.pha.dec.urb.2</v>
      </c>
      <c r="Y230" s="202">
        <f t="shared" ref="Y230:AI230" si="383">INDEX(DHHVal,MATCH(CtryCode&amp;".distn.bsh."&amp;Y$10&amp;$E230&amp;Y$9&amp;Y$11,DHHKey,0),MATCH($D230,DHHVar,0))</f>
        <v>6.721801019753862</v>
      </c>
      <c r="Z230" s="196">
        <f t="shared" si="383"/>
        <v>5.412801876630739</v>
      </c>
      <c r="AA230" s="196">
        <f t="shared" si="383"/>
        <v>5.279252080605115</v>
      </c>
      <c r="AB230" s="196">
        <f t="shared" si="383"/>
        <v>5.511018645426944</v>
      </c>
      <c r="AC230" s="196">
        <f t="shared" si="383"/>
        <v>5.696852283929538</v>
      </c>
      <c r="AD230" s="196">
        <f t="shared" si="383"/>
        <v>5.81871826406898</v>
      </c>
      <c r="AE230" s="196">
        <f t="shared" si="383"/>
        <v>5.949829609545847</v>
      </c>
      <c r="AF230" s="196">
        <f t="shared" si="383"/>
        <v>7.158059901865499</v>
      </c>
      <c r="AG230" s="196">
        <f t="shared" si="383"/>
        <v>7.653871648660164</v>
      </c>
      <c r="AH230" s="196">
        <f t="shared" si="383"/>
        <v>9.073586740752766</v>
      </c>
      <c r="AI230" s="196">
        <f t="shared" si="383"/>
        <v>10.3261786652089</v>
      </c>
    </row>
    <row r="231" hidden="1" outlineLevel="1">
      <c r="A231" s="44" t="inlineStr">
        <is>
          <t>bsh</t>
        </is>
      </c>
      <c r="B231" s="3" t="inlineStr">
        <is>
          <t>ret</t>
        </is>
      </c>
      <c r="C231" s="3" t="inlineStr">
        <is>
          <t>urb</t>
        </is>
      </c>
      <c r="D231" s="3" t="inlineStr">
        <is>
          <t>rectourism_share</t>
        </is>
      </c>
      <c r="E231" s="3" t="inlineStr">
        <is>
          <t>urb.</t>
        </is>
      </c>
      <c r="H231" s="3" t="inlineStr">
        <is>
          <t>Recreation and tourism: budget share, urban</t>
        </is>
      </c>
      <c r="I231" s="3" t="inlineStr">
        <is>
          <t>% consumption</t>
        </is>
      </c>
      <c r="J231" s="118" t="inlineStr">
        <is>
          <t>HHSurvey</t>
        </is>
      </c>
      <c r="K231" s="9" t="str">
        <f>LOWER(CtryCode)&amp;".distn."&amp;$A231&amp;IF($B231="","","."&amp;$B231)&amp;IF($C231="","",".dec."&amp;$C231)&amp;"."&amp;K$5</f>
        <v>egy.distn.bsh.ret.dec.urb.1</v>
      </c>
      <c r="L231" s="202">
        <f t="shared" ref="L231:V231" si="384">INDEX(DHHVal,MATCH(CtryCode&amp;".distn.bsh."&amp;L$10&amp;$E231&amp;L$9&amp;L$11,DHHKey,0),MATCH($D231,DHHVar,0))</f>
        <v>7.602593254063746</v>
      </c>
      <c r="M231" s="196">
        <f t="shared" si="384"/>
        <v>8.050482691733727</v>
      </c>
      <c r="N231" s="196">
        <f t="shared" si="384"/>
        <v>7.297287178777459</v>
      </c>
      <c r="O231" s="196">
        <f t="shared" si="384"/>
        <v>7.634982134715038</v>
      </c>
      <c r="P231" s="196">
        <f t="shared" si="384"/>
        <v>7.388859087346549</v>
      </c>
      <c r="Q231" s="196">
        <f t="shared" si="384"/>
        <v>7.593032399479918</v>
      </c>
      <c r="R231" s="196">
        <f t="shared" si="384"/>
        <v>8.278101967338477</v>
      </c>
      <c r="S231" s="196">
        <f t="shared" si="384"/>
        <v>7.858132312629517</v>
      </c>
      <c r="T231" s="196">
        <f t="shared" si="384"/>
        <v>7.809472263552117</v>
      </c>
      <c r="U231" s="196">
        <f t="shared" si="384"/>
        <v>8.563572861649023</v>
      </c>
      <c r="V231" s="196">
        <f t="shared" si="384"/>
        <v>7.97314257556411</v>
      </c>
      <c r="W231" s="201" t="str">
        <f>IF(X$5=K$5,SUM(Y231:AI231)-SUM(L231:V231),"")</f>
        <v/>
      </c>
      <c r="X231" s="9" t="str">
        <f>LOWER(CtryCode)&amp;".distn."&amp;$A231&amp;IF($B231="","","."&amp;$B231)&amp;IF($C231="","",".dec."&amp;$C231)&amp;"."&amp;X$5</f>
        <v>egy.distn.bsh.ret.dec.urb.2</v>
      </c>
      <c r="Y231" s="202">
        <f t="shared" ref="Y231:AI231" si="385">INDEX(DHHVal,MATCH(CtryCode&amp;".distn.bsh."&amp;Y$10&amp;$E231&amp;Y$9&amp;Y$11,DHHKey,0),MATCH($D231,DHHVar,0))</f>
        <v>7.602593254063746</v>
      </c>
      <c r="Z231" s="196">
        <f t="shared" si="385"/>
        <v>8.050482691733727</v>
      </c>
      <c r="AA231" s="196">
        <f t="shared" si="385"/>
        <v>7.297287178777459</v>
      </c>
      <c r="AB231" s="196">
        <f t="shared" si="385"/>
        <v>7.634982134715038</v>
      </c>
      <c r="AC231" s="196">
        <f t="shared" si="385"/>
        <v>7.388859087346549</v>
      </c>
      <c r="AD231" s="196">
        <f t="shared" si="385"/>
        <v>7.593032399479918</v>
      </c>
      <c r="AE231" s="196">
        <f t="shared" si="385"/>
        <v>8.278101967338477</v>
      </c>
      <c r="AF231" s="196">
        <f t="shared" si="385"/>
        <v>7.858132312629517</v>
      </c>
      <c r="AG231" s="196">
        <f t="shared" si="385"/>
        <v>7.809472263552117</v>
      </c>
      <c r="AH231" s="196">
        <f t="shared" si="385"/>
        <v>8.563572861649023</v>
      </c>
      <c r="AI231" s="196">
        <f t="shared" si="385"/>
        <v>7.97314257556411</v>
      </c>
    </row>
    <row r="232" hidden="1" outlineLevel="1">
      <c r="A232" s="44" t="inlineStr">
        <is>
          <t>bsh</t>
        </is>
      </c>
      <c r="B232" s="3" t="inlineStr">
        <is>
          <t>teq</t>
        </is>
      </c>
      <c r="C232" s="3" t="inlineStr">
        <is>
          <t>urb</t>
        </is>
      </c>
      <c r="D232" s="3" t="inlineStr">
        <is>
          <t>transp_eqt_share</t>
        </is>
      </c>
      <c r="E232" s="3" t="inlineStr">
        <is>
          <t>urb.</t>
        </is>
      </c>
      <c r="H232" s="3" t="inlineStr">
        <is>
          <t>Transport equipment: budget share, urban</t>
        </is>
      </c>
      <c r="I232" s="3" t="inlineStr">
        <is>
          <t>% consumption</t>
        </is>
      </c>
      <c r="J232" s="118" t="inlineStr">
        <is>
          <t>HHSurvey</t>
        </is>
      </c>
      <c r="K232" s="9" t="str">
        <f>LOWER(CtryCode)&amp;".distn."&amp;$A232&amp;IF($B232="","","."&amp;$B232)&amp;IF($C232="","",".dec."&amp;$C232)&amp;"."&amp;K$5</f>
        <v>egy.distn.bsh.teq.dec.urb.1</v>
      </c>
      <c r="L232" s="202">
        <f t="shared" ref="L232:V232" si="386">INDEX(DHHVal,MATCH(CtryCode&amp;".distn.bsh."&amp;L$10&amp;$E232&amp;L$9&amp;L$11,DHHKey,0),MATCH($D232,DHHVar,0))</f>
        <v>0.5558793991676326</v>
      </c>
      <c r="M232" s="196">
        <f t="shared" si="386"/>
        <v>0.4826238173688837</v>
      </c>
      <c r="N232" s="196">
        <f t="shared" si="386"/>
        <v>0.3318845419552245</v>
      </c>
      <c r="O232" s="196">
        <f t="shared" si="386"/>
        <v>0.2796382758003821</v>
      </c>
      <c r="P232" s="196">
        <f t="shared" si="386"/>
        <v>0.3124178714326925</v>
      </c>
      <c r="Q232" s="196">
        <f t="shared" si="386"/>
        <v>0.4844005751590944</v>
      </c>
      <c r="R232" s="196">
        <f t="shared" si="386"/>
        <v>0.5394054899643626</v>
      </c>
      <c r="S232" s="196">
        <f t="shared" si="386"/>
        <v>0.6289289840687433</v>
      </c>
      <c r="T232" s="196">
        <f t="shared" si="386"/>
        <v>0.649497518718396</v>
      </c>
      <c r="U232" s="196">
        <f t="shared" si="386"/>
        <v>0.6228843863914955</v>
      </c>
      <c r="V232" s="196">
        <f t="shared" si="386"/>
        <v>0.9819556324226685</v>
      </c>
      <c r="W232" s="201" t="str">
        <f>IF(X$5=K$5,SUM(Y232:AI232)-SUM(L232:V232),"")</f>
        <v/>
      </c>
      <c r="X232" s="9" t="str">
        <f>LOWER(CtryCode)&amp;".distn."&amp;$A232&amp;IF($B232="","","."&amp;$B232)&amp;IF($C232="","",".dec."&amp;$C232)&amp;"."&amp;X$5</f>
        <v>egy.distn.bsh.teq.dec.urb.2</v>
      </c>
      <c r="Y232" s="202">
        <f t="shared" ref="Y232:AI232" si="387">INDEX(DHHVal,MATCH(CtryCode&amp;".distn.bsh."&amp;Y$10&amp;$E232&amp;Y$9&amp;Y$11,DHHKey,0),MATCH($D232,DHHVar,0))</f>
        <v>0.5558793991676326</v>
      </c>
      <c r="Z232" s="196">
        <f t="shared" si="387"/>
        <v>0.4826238173688837</v>
      </c>
      <c r="AA232" s="196">
        <f t="shared" si="387"/>
        <v>0.3318845419552245</v>
      </c>
      <c r="AB232" s="196">
        <f t="shared" si="387"/>
        <v>0.2796382758003821</v>
      </c>
      <c r="AC232" s="196">
        <f t="shared" si="387"/>
        <v>0.3124178714326925</v>
      </c>
      <c r="AD232" s="196">
        <f t="shared" si="387"/>
        <v>0.4844005751590944</v>
      </c>
      <c r="AE232" s="196">
        <f t="shared" si="387"/>
        <v>0.5394054899643626</v>
      </c>
      <c r="AF232" s="196">
        <f t="shared" si="387"/>
        <v>0.6289289840687433</v>
      </c>
      <c r="AG232" s="196">
        <f t="shared" si="387"/>
        <v>0.649497518718396</v>
      </c>
      <c r="AH232" s="196">
        <f t="shared" si="387"/>
        <v>0.6228843863914955</v>
      </c>
      <c r="AI232" s="196">
        <f t="shared" si="387"/>
        <v>0.9819556324226685</v>
      </c>
    </row>
    <row r="233" hidden="1" outlineLevel="1">
      <c r="A233" s="44" t="inlineStr">
        <is>
          <t>bsh</t>
        </is>
      </c>
      <c r="B233" s="3" t="inlineStr">
        <is>
          <t>tpu</t>
        </is>
      </c>
      <c r="C233" s="3" t="inlineStr">
        <is>
          <t>urb</t>
        </is>
      </c>
      <c r="D233" s="3" t="inlineStr">
        <is>
          <t>transp_pub_share</t>
        </is>
      </c>
      <c r="E233" s="3" t="inlineStr">
        <is>
          <t>urb.</t>
        </is>
      </c>
      <c r="H233" s="3" t="inlineStr">
        <is>
          <t>Public transport: budget share, urban</t>
        </is>
      </c>
      <c r="I233" s="3" t="inlineStr">
        <is>
          <t>% consumption</t>
        </is>
      </c>
      <c r="J233" s="118" t="inlineStr">
        <is>
          <t>HHSurvey</t>
        </is>
      </c>
      <c r="K233" s="9" t="str">
        <f>LOWER(CtryCode)&amp;".distn."&amp;$A233&amp;IF($B233="","","."&amp;$B233)&amp;IF($C233="","",".dec."&amp;$C233)&amp;"."&amp;K$5</f>
        <v>egy.distn.bsh.tpu.dec.urb.1</v>
      </c>
      <c r="L233" s="202">
        <f t="shared" ref="L233:V233" si="388">INDEX(DHHVal,MATCH(CtryCode&amp;".distn.bsh."&amp;L$10&amp;$E233&amp;L$9&amp;L$11,DHHKey,0),MATCH($D233,DHHVar,0))</f>
        <v>5.345932721715458</v>
      </c>
      <c r="M233" s="196">
        <f t="shared" si="388"/>
        <v>5.453473711416941</v>
      </c>
      <c r="N233" s="196">
        <f t="shared" si="388"/>
        <v>5.298752165750614</v>
      </c>
      <c r="O233" s="196">
        <f t="shared" si="388"/>
        <v>5.402066902549256</v>
      </c>
      <c r="P233" s="196">
        <f t="shared" si="388"/>
        <v>5.56174321840419</v>
      </c>
      <c r="Q233" s="196">
        <f t="shared" si="388"/>
        <v>5.709372994583853</v>
      </c>
      <c r="R233" s="196">
        <f t="shared" si="388"/>
        <v>5.770748024595594</v>
      </c>
      <c r="S233" s="196">
        <f t="shared" si="388"/>
        <v>5.00252188246222</v>
      </c>
      <c r="T233" s="196">
        <f t="shared" si="388"/>
        <v>5.44372524733314</v>
      </c>
      <c r="U233" s="196">
        <f t="shared" si="388"/>
        <v>4.872865590819524</v>
      </c>
      <c r="V233" s="196">
        <f t="shared" si="388"/>
        <v>4.464739297593931</v>
      </c>
      <c r="W233" s="201" t="str">
        <f>IF(X$5=K$5,SUM(Y233:AI233)-SUM(L233:V233),"")</f>
        <v/>
      </c>
      <c r="X233" s="9" t="str">
        <f>LOWER(CtryCode)&amp;".distn."&amp;$A233&amp;IF($B233="","","."&amp;$B233)&amp;IF($C233="","",".dec."&amp;$C233)&amp;"."&amp;X$5</f>
        <v>egy.distn.bsh.tpu.dec.urb.2</v>
      </c>
      <c r="Y233" s="202">
        <f t="shared" ref="Y233:AI233" si="389">INDEX(DHHVal,MATCH(CtryCode&amp;".distn.bsh."&amp;Y$10&amp;$E233&amp;Y$9&amp;Y$11,DHHKey,0),MATCH($D233,DHHVar,0))</f>
        <v>5.345932721715458</v>
      </c>
      <c r="Z233" s="196">
        <f t="shared" si="389"/>
        <v>5.453473711416941</v>
      </c>
      <c r="AA233" s="196">
        <f t="shared" si="389"/>
        <v>5.298752165750614</v>
      </c>
      <c r="AB233" s="196">
        <f t="shared" si="389"/>
        <v>5.402066902549256</v>
      </c>
      <c r="AC233" s="196">
        <f t="shared" si="389"/>
        <v>5.56174321840419</v>
      </c>
      <c r="AD233" s="196">
        <f t="shared" si="389"/>
        <v>5.709372994583853</v>
      </c>
      <c r="AE233" s="196">
        <f t="shared" si="389"/>
        <v>5.770748024595594</v>
      </c>
      <c r="AF233" s="196">
        <f t="shared" si="389"/>
        <v>5.00252188246222</v>
      </c>
      <c r="AG233" s="196">
        <f t="shared" si="389"/>
        <v>5.44372524733314</v>
      </c>
      <c r="AH233" s="196">
        <f t="shared" si="389"/>
        <v>4.872865590819524</v>
      </c>
      <c r="AI233" s="196">
        <f t="shared" si="389"/>
        <v>4.464739297593931</v>
      </c>
    </row>
    <row r="234" hidden="1" outlineLevel="1"/>
    <row r="235" hidden="1" outlineLevel="1">
      <c r="B235" s="31" t="inlineStr">
        <is>
          <t>Rural</t>
        </is>
      </c>
    </row>
    <row r="236" hidden="1" outlineLevel="1">
      <c r="A236" s="44" t="inlineStr">
        <is>
          <t>bsh</t>
        </is>
      </c>
      <c r="B236" s="3" t="inlineStr">
        <is>
          <t>coa</t>
        </is>
      </c>
      <c r="C236" s="3" t="inlineStr">
        <is>
          <t>rur</t>
        </is>
      </c>
      <c r="D236" s="3" t="inlineStr">
        <is>
          <t>coa_share</t>
        </is>
      </c>
      <c r="E236" s="3" t="inlineStr">
        <is>
          <t>rur.</t>
        </is>
      </c>
      <c r="H236" s="3" t="inlineStr">
        <is>
          <t>Coal: budget share, rural</t>
        </is>
      </c>
      <c r="I236" s="3" t="inlineStr">
        <is>
          <t>% consumption</t>
        </is>
      </c>
      <c r="J236" s="118" t="inlineStr">
        <is>
          <t>HHSurvey</t>
        </is>
      </c>
      <c r="K236" s="9" t="str">
        <f>LOWER(CtryCode)&amp;".distn."&amp;$A236&amp;IF($B236="","","."&amp;$B236)&amp;IF($C236="","",".dec."&amp;$C236)&amp;"."&amp;K$5</f>
        <v>egy.distn.bsh.coa.dec.rur.1</v>
      </c>
      <c r="L236" s="202">
        <f t="shared" ref="L236:V236" si="390">INDEX(DHHVal,MATCH(CtryCode&amp;".distn.bsh."&amp;L$10&amp;$E236&amp;L$9&amp;L$11,DHHKey,0),MATCH($D236,DHHVar,0))</f>
        <v>0.0</v>
      </c>
      <c r="M236" s="196">
        <f t="shared" si="390"/>
        <v>0.0</v>
      </c>
      <c r="N236" s="196">
        <f t="shared" si="390"/>
        <v>0.0</v>
      </c>
      <c r="O236" s="196">
        <f t="shared" si="390"/>
        <v>0.0</v>
      </c>
      <c r="P236" s="196">
        <f t="shared" si="390"/>
        <v>0.0</v>
      </c>
      <c r="Q236" s="196">
        <f t="shared" si="390"/>
        <v>0.0</v>
      </c>
      <c r="R236" s="196">
        <f t="shared" si="390"/>
        <v>0.0</v>
      </c>
      <c r="S236" s="196">
        <f t="shared" si="390"/>
        <v>0.0</v>
      </c>
      <c r="T236" s="196">
        <f t="shared" si="390"/>
        <v>0.0</v>
      </c>
      <c r="U236" s="196">
        <f t="shared" si="390"/>
        <v>0.0</v>
      </c>
      <c r="V236" s="196">
        <f t="shared" si="390"/>
        <v>0.0</v>
      </c>
      <c r="W236" s="201" t="str">
        <f>IF(X$5=K$5,SUM(Y236:AI236)-SUM(L236:V236),"")</f>
        <v/>
      </c>
      <c r="X236" s="9" t="str">
        <f>LOWER(CtryCode)&amp;".distn."&amp;$A236&amp;IF($B236="","","."&amp;$B236)&amp;IF($C236="","",".dec."&amp;$C236)&amp;"."&amp;X$5</f>
        <v>egy.distn.bsh.coa.dec.rur.2</v>
      </c>
      <c r="Y236" s="202">
        <f t="shared" ref="Y236:AI236" si="391">INDEX(DHHVal,MATCH(CtryCode&amp;".distn.bsh."&amp;Y$10&amp;$E236&amp;Y$9&amp;Y$11,DHHKey,0),MATCH($D236,DHHVar,0))</f>
        <v>0.0</v>
      </c>
      <c r="Z236" s="196">
        <f t="shared" si="391"/>
        <v>0.0</v>
      </c>
      <c r="AA236" s="196">
        <f t="shared" si="391"/>
        <v>0.0</v>
      </c>
      <c r="AB236" s="196">
        <f t="shared" si="391"/>
        <v>0.0</v>
      </c>
      <c r="AC236" s="196">
        <f t="shared" si="391"/>
        <v>0.0</v>
      </c>
      <c r="AD236" s="196">
        <f t="shared" si="391"/>
        <v>0.0</v>
      </c>
      <c r="AE236" s="196">
        <f t="shared" si="391"/>
        <v>0.0</v>
      </c>
      <c r="AF236" s="196">
        <f t="shared" si="391"/>
        <v>0.0</v>
      </c>
      <c r="AG236" s="196">
        <f t="shared" si="391"/>
        <v>0.0</v>
      </c>
      <c r="AH236" s="196">
        <f t="shared" si="391"/>
        <v>0.0</v>
      </c>
      <c r="AI236" s="196">
        <f t="shared" si="391"/>
        <v>0.0</v>
      </c>
    </row>
    <row r="237" hidden="1" outlineLevel="1">
      <c r="A237" s="44" t="inlineStr">
        <is>
          <t>bsh</t>
        </is>
      </c>
      <c r="B237" s="3" t="inlineStr">
        <is>
          <t>ely</t>
        </is>
      </c>
      <c r="C237" s="3" t="inlineStr">
        <is>
          <t>rur</t>
        </is>
      </c>
      <c r="D237" s="3" t="inlineStr">
        <is>
          <t>ely_share</t>
        </is>
      </c>
      <c r="E237" s="3" t="inlineStr">
        <is>
          <t>rur.</t>
        </is>
      </c>
      <c r="H237" s="3" t="inlineStr">
        <is>
          <t>Electricity: budget share, rural</t>
        </is>
      </c>
      <c r="I237" s="3" t="inlineStr">
        <is>
          <t>% consumption</t>
        </is>
      </c>
      <c r="J237" s="118" t="inlineStr">
        <is>
          <t>HHSurvey</t>
        </is>
      </c>
      <c r="K237" s="9" t="str">
        <f>LOWER(CtryCode)&amp;".distn."&amp;$A237&amp;IF($B237="","","."&amp;$B237)&amp;IF($C237="","",".dec."&amp;$C237)&amp;"."&amp;K$5</f>
        <v>egy.distn.bsh.ely.dec.rur.1</v>
      </c>
      <c r="L237" s="202">
        <f t="shared" ref="L237:V237" si="392">INDEX(DHHVal,MATCH(CtryCode&amp;".distn.bsh."&amp;L$10&amp;$E237&amp;L$9&amp;L$11,DHHKey,0),MATCH($D237,DHHVar,0))</f>
        <v>3.722971704224237</v>
      </c>
      <c r="M237" s="196">
        <f t="shared" si="392"/>
        <v>3.867463341514283</v>
      </c>
      <c r="N237" s="196">
        <f t="shared" si="392"/>
        <v>3.591988846398894</v>
      </c>
      <c r="O237" s="196">
        <f t="shared" si="392"/>
        <v>3.197052444148484</v>
      </c>
      <c r="P237" s="196">
        <f t="shared" si="392"/>
        <v>3.322595810946034</v>
      </c>
      <c r="Q237" s="196">
        <f t="shared" si="392"/>
        <v>3.263704457931803</v>
      </c>
      <c r="R237" s="196">
        <f t="shared" si="392"/>
        <v>3.514304313962979</v>
      </c>
      <c r="S237" s="196">
        <f t="shared" si="392"/>
        <v>3.172059660006232</v>
      </c>
      <c r="T237" s="196">
        <f t="shared" si="392"/>
        <v>3.342433409705069</v>
      </c>
      <c r="U237" s="196">
        <f t="shared" si="392"/>
        <v>3.410669087922874</v>
      </c>
      <c r="V237" s="196">
        <f t="shared" si="392"/>
        <v>3.949383935315841</v>
      </c>
      <c r="W237" s="201" t="str">
        <f>IF(X$5=K$5,SUM(Y237:AI237)-SUM(L237:V237),"")</f>
        <v/>
      </c>
      <c r="X237" s="9" t="str">
        <f>LOWER(CtryCode)&amp;".distn."&amp;$A237&amp;IF($B237="","","."&amp;$B237)&amp;IF($C237="","",".dec."&amp;$C237)&amp;"."&amp;X$5</f>
        <v>egy.distn.bsh.ely.dec.rur.2</v>
      </c>
      <c r="Y237" s="202">
        <f t="shared" ref="Y237:AI237" si="393">INDEX(DHHVal,MATCH(CtryCode&amp;".distn.bsh."&amp;Y$10&amp;$E237&amp;Y$9&amp;Y$11,DHHKey,0),MATCH($D237,DHHVar,0))</f>
        <v>3.722971704224237</v>
      </c>
      <c r="Z237" s="196">
        <f t="shared" si="393"/>
        <v>3.867463341514283</v>
      </c>
      <c r="AA237" s="196">
        <f t="shared" si="393"/>
        <v>3.591988846398894</v>
      </c>
      <c r="AB237" s="196">
        <f t="shared" si="393"/>
        <v>3.197052444148484</v>
      </c>
      <c r="AC237" s="196">
        <f t="shared" si="393"/>
        <v>3.322595810946034</v>
      </c>
      <c r="AD237" s="196">
        <f t="shared" si="393"/>
        <v>3.263704457931803</v>
      </c>
      <c r="AE237" s="196">
        <f t="shared" si="393"/>
        <v>3.514304313962979</v>
      </c>
      <c r="AF237" s="196">
        <f t="shared" si="393"/>
        <v>3.172059660006232</v>
      </c>
      <c r="AG237" s="196">
        <f t="shared" si="393"/>
        <v>3.342433409705069</v>
      </c>
      <c r="AH237" s="196">
        <f t="shared" si="393"/>
        <v>3.410669087922874</v>
      </c>
      <c r="AI237" s="196">
        <f t="shared" si="393"/>
        <v>3.949383935315841</v>
      </c>
    </row>
    <row r="238" hidden="1" outlineLevel="1">
      <c r="A238" s="44" t="inlineStr">
        <is>
          <t>bsh</t>
        </is>
      </c>
      <c r="B238" s="3" t="inlineStr">
        <is>
          <t>nga</t>
        </is>
      </c>
      <c r="C238" s="3" t="inlineStr">
        <is>
          <t>rur</t>
        </is>
      </c>
      <c r="D238" s="3" t="inlineStr">
        <is>
          <t>nga_share</t>
        </is>
      </c>
      <c r="E238" s="3" t="inlineStr">
        <is>
          <t>rur.</t>
        </is>
      </c>
      <c r="H238" s="3" t="inlineStr">
        <is>
          <t>Natural gas: budget share, rural</t>
        </is>
      </c>
      <c r="I238" s="3" t="inlineStr">
        <is>
          <t>% consumption</t>
        </is>
      </c>
      <c r="J238" s="118" t="inlineStr">
        <is>
          <t>HHSurvey</t>
        </is>
      </c>
      <c r="K238" s="9" t="str">
        <f>LOWER(CtryCode)&amp;".distn."&amp;$A238&amp;IF($B238="","","."&amp;$B238)&amp;IF($C238="","",".dec."&amp;$C238)&amp;"."&amp;K$5</f>
        <v>egy.distn.bsh.nga.dec.rur.1</v>
      </c>
      <c r="L238" s="202">
        <f t="shared" ref="L238:V238" si="394">INDEX(DHHVal,MATCH(CtryCode&amp;".distn.bsh."&amp;L$10&amp;$E238&amp;L$9&amp;L$11,DHHKey,0),MATCH($D238,DHHVar,0))</f>
        <v>0.06048503101918802</v>
      </c>
      <c r="M238" s="196">
        <f t="shared" si="394"/>
        <v>0.04944062147035148</v>
      </c>
      <c r="N238" s="196">
        <f t="shared" si="394"/>
        <v>0.06623382352392303</v>
      </c>
      <c r="O238" s="196">
        <f t="shared" si="394"/>
        <v>0.07055568294267385</v>
      </c>
      <c r="P238" s="196">
        <f t="shared" si="394"/>
        <v>0.06137762731811509</v>
      </c>
      <c r="Q238" s="196">
        <f t="shared" si="394"/>
        <v>0.06734831964254501</v>
      </c>
      <c r="R238" s="196">
        <f t="shared" si="394"/>
        <v>0.0685397927184544</v>
      </c>
      <c r="S238" s="196">
        <f t="shared" si="394"/>
        <v>0.0728758852755465</v>
      </c>
      <c r="T238" s="196">
        <f t="shared" si="394"/>
        <v>0.08091666072106744</v>
      </c>
      <c r="U238" s="196">
        <f t="shared" si="394"/>
        <v>0.06013406157575685</v>
      </c>
      <c r="V238" s="196">
        <f t="shared" si="394"/>
        <v>0.06076379107470515</v>
      </c>
      <c r="W238" s="201" t="str">
        <f>IF(X$5=K$5,SUM(Y238:AI238)-SUM(L238:V238),"")</f>
        <v/>
      </c>
      <c r="X238" s="9" t="str">
        <f>LOWER(CtryCode)&amp;".distn."&amp;$A238&amp;IF($B238="","","."&amp;$B238)&amp;IF($C238="","",".dec."&amp;$C238)&amp;"."&amp;X$5</f>
        <v>egy.distn.bsh.nga.dec.rur.2</v>
      </c>
      <c r="Y238" s="202">
        <f t="shared" ref="Y238:AI238" si="395">INDEX(DHHVal,MATCH(CtryCode&amp;".distn.bsh."&amp;Y$10&amp;$E238&amp;Y$9&amp;Y$11,DHHKey,0),MATCH($D238,DHHVar,0))</f>
        <v>0.06048503101918802</v>
      </c>
      <c r="Z238" s="196">
        <f t="shared" si="395"/>
        <v>0.04944062147035148</v>
      </c>
      <c r="AA238" s="196">
        <f t="shared" si="395"/>
        <v>0.06623382352392303</v>
      </c>
      <c r="AB238" s="196">
        <f t="shared" si="395"/>
        <v>0.07055568294267385</v>
      </c>
      <c r="AC238" s="196">
        <f t="shared" si="395"/>
        <v>0.06137762731811509</v>
      </c>
      <c r="AD238" s="196">
        <f t="shared" si="395"/>
        <v>0.06734831964254501</v>
      </c>
      <c r="AE238" s="196">
        <f t="shared" si="395"/>
        <v>0.0685397927184544</v>
      </c>
      <c r="AF238" s="196">
        <f t="shared" si="395"/>
        <v>0.0728758852755465</v>
      </c>
      <c r="AG238" s="196">
        <f t="shared" si="395"/>
        <v>0.08091666072106744</v>
      </c>
      <c r="AH238" s="196">
        <f t="shared" si="395"/>
        <v>0.06013406157575685</v>
      </c>
      <c r="AI238" s="196">
        <f t="shared" si="395"/>
        <v>0.06076379107470515</v>
      </c>
    </row>
    <row r="239" hidden="1" outlineLevel="1">
      <c r="A239" s="44" t="inlineStr">
        <is>
          <t>bsh</t>
        </is>
      </c>
      <c r="B239" s="3" t="inlineStr">
        <is>
          <t>oil</t>
        </is>
      </c>
      <c r="C239" s="3" t="inlineStr">
        <is>
          <t>rur</t>
        </is>
      </c>
      <c r="D239" s="3" t="inlineStr">
        <is>
          <t>oil_share</t>
        </is>
      </c>
      <c r="E239" s="3" t="inlineStr">
        <is>
          <t>rur.</t>
        </is>
      </c>
      <c r="H239" s="3" t="inlineStr">
        <is>
          <t>Other oil products: budget share, rural</t>
        </is>
      </c>
      <c r="I239" s="3" t="inlineStr">
        <is>
          <t>% consumption</t>
        </is>
      </c>
      <c r="J239" s="118" t="inlineStr">
        <is>
          <t>HHSurvey</t>
        </is>
      </c>
      <c r="K239" s="9" t="str">
        <f>LOWER(CtryCode)&amp;".distn."&amp;$A239&amp;IF($B239="","","."&amp;$B239)&amp;IF($C239="","",".dec."&amp;$C239)&amp;"."&amp;K$5</f>
        <v>egy.distn.bsh.oil.dec.rur.1</v>
      </c>
      <c r="L239" s="202">
        <f t="shared" ref="L239:V239" si="396">INDEX(DHHVal,MATCH(CtryCode&amp;".distn.bsh."&amp;L$10&amp;$E239&amp;L$9&amp;L$11,DHHKey,0),MATCH($D239,DHHVar,0))</f>
        <v>0.125545193193915</v>
      </c>
      <c r="M239" s="196">
        <f t="shared" si="396"/>
        <v>0.0954658668812858</v>
      </c>
      <c r="N239" s="196">
        <f t="shared" si="396"/>
        <v>0.1046386823851101</v>
      </c>
      <c r="O239" s="196">
        <f t="shared" si="396"/>
        <v>0.1220848323878889</v>
      </c>
      <c r="P239" s="196">
        <f t="shared" si="396"/>
        <v>0.1499945772592889</v>
      </c>
      <c r="Q239" s="196">
        <f t="shared" si="396"/>
        <v>0.1141126506102825</v>
      </c>
      <c r="R239" s="196">
        <f t="shared" si="396"/>
        <v>0.1447447949277801</v>
      </c>
      <c r="S239" s="196">
        <f t="shared" si="396"/>
        <v>0.1389675588726499</v>
      </c>
      <c r="T239" s="196">
        <f t="shared" si="396"/>
        <v>0.1512495690405913</v>
      </c>
      <c r="U239" s="196">
        <f t="shared" si="396"/>
        <v>0.1560199706149037</v>
      </c>
      <c r="V239" s="196">
        <f t="shared" si="396"/>
        <v>0.1309022859293773</v>
      </c>
      <c r="W239" s="201" t="str">
        <f>IF(X$5=K$5,SUM(Y239:AI239)-SUM(L239:V239),"")</f>
        <v/>
      </c>
      <c r="X239" s="9" t="str">
        <f>LOWER(CtryCode)&amp;".distn."&amp;$A239&amp;IF($B239="","","."&amp;$B239)&amp;IF($C239="","",".dec."&amp;$C239)&amp;"."&amp;X$5</f>
        <v>egy.distn.bsh.oil.dec.rur.2</v>
      </c>
      <c r="Y239" s="202">
        <f t="shared" ref="Y239:AI239" si="397">INDEX(DHHVal,MATCH(CtryCode&amp;".distn.bsh."&amp;Y$10&amp;$E239&amp;Y$9&amp;Y$11,DHHKey,0),MATCH($D239,DHHVar,0))</f>
        <v>0.125545193193915</v>
      </c>
      <c r="Z239" s="196">
        <f t="shared" si="397"/>
        <v>0.0954658668812858</v>
      </c>
      <c r="AA239" s="196">
        <f t="shared" si="397"/>
        <v>0.1046386823851101</v>
      </c>
      <c r="AB239" s="196">
        <f t="shared" si="397"/>
        <v>0.1220848323878889</v>
      </c>
      <c r="AC239" s="196">
        <f t="shared" si="397"/>
        <v>0.1499945772592889</v>
      </c>
      <c r="AD239" s="196">
        <f t="shared" si="397"/>
        <v>0.1141126506102825</v>
      </c>
      <c r="AE239" s="196">
        <f t="shared" si="397"/>
        <v>0.1447447949277801</v>
      </c>
      <c r="AF239" s="196">
        <f t="shared" si="397"/>
        <v>0.1389675588726499</v>
      </c>
      <c r="AG239" s="196">
        <f t="shared" si="397"/>
        <v>0.1512495690405913</v>
      </c>
      <c r="AH239" s="196">
        <f t="shared" si="397"/>
        <v>0.1560199706149037</v>
      </c>
      <c r="AI239" s="196">
        <f t="shared" si="397"/>
        <v>0.1309022859293773</v>
      </c>
    </row>
    <row r="240" hidden="1" outlineLevel="1">
      <c r="A240" s="44" t="inlineStr">
        <is>
          <t>bsh</t>
        </is>
      </c>
      <c r="B240" s="3" t="inlineStr">
        <is>
          <t>gso</t>
        </is>
      </c>
      <c r="C240" s="3" t="inlineStr">
        <is>
          <t>rur</t>
        </is>
      </c>
      <c r="D240" s="3" t="inlineStr">
        <is>
          <t>gso_share</t>
        </is>
      </c>
      <c r="E240" s="3" t="inlineStr">
        <is>
          <t>rur.</t>
        </is>
      </c>
      <c r="H240" s="3" t="inlineStr">
        <is>
          <t>Gasoline: budget share, rural</t>
        </is>
      </c>
      <c r="I240" s="3" t="inlineStr">
        <is>
          <t>% consumption</t>
        </is>
      </c>
      <c r="J240" s="118" t="inlineStr">
        <is>
          <t>HHSurvey</t>
        </is>
      </c>
      <c r="K240" s="9" t="str">
        <f>LOWER(CtryCode)&amp;".distn."&amp;$A240&amp;IF($B240="","","."&amp;$B240)&amp;IF($C240="","",".dec."&amp;$C240)&amp;"."&amp;K$5</f>
        <v>egy.distn.bsh.gso.dec.rur.1</v>
      </c>
      <c r="L240" s="202">
        <f t="shared" ref="L240:V240" si="398">INDEX(DHHVal,MATCH(CtryCode&amp;".distn.bsh."&amp;L$10&amp;$E240&amp;L$9&amp;L$11,DHHKey,0),MATCH($D240,DHHVar,0))</f>
        <v>0.4554884466998885</v>
      </c>
      <c r="M240" s="196">
        <f t="shared" si="398"/>
        <v>0.2915665238860788</v>
      </c>
      <c r="N240" s="196">
        <f t="shared" si="398"/>
        <v>0.3522783865105002</v>
      </c>
      <c r="O240" s="196">
        <f t="shared" si="398"/>
        <v>0.4305511282743019</v>
      </c>
      <c r="P240" s="196">
        <f t="shared" si="398"/>
        <v>0.5021903726059321</v>
      </c>
      <c r="Q240" s="196">
        <f t="shared" si="398"/>
        <v>0.4182961888003599</v>
      </c>
      <c r="R240" s="196">
        <f t="shared" si="398"/>
        <v>0.499599354680722</v>
      </c>
      <c r="S240" s="196">
        <f t="shared" si="398"/>
        <v>0.5474447959043053</v>
      </c>
      <c r="T240" s="196">
        <f t="shared" si="398"/>
        <v>0.6617335873039887</v>
      </c>
      <c r="U240" s="196">
        <f t="shared" si="398"/>
        <v>0.5748146476947085</v>
      </c>
      <c r="V240" s="196">
        <f t="shared" si="398"/>
        <v>0.5075134516052643</v>
      </c>
      <c r="W240" s="201" t="str">
        <f>IF(X$5=K$5,SUM(Y240:AI240)-SUM(L240:V240),"")</f>
        <v/>
      </c>
      <c r="X240" s="9" t="str">
        <f>LOWER(CtryCode)&amp;".distn."&amp;$A240&amp;IF($B240="","","."&amp;$B240)&amp;IF($C240="","",".dec."&amp;$C240)&amp;"."&amp;X$5</f>
        <v>egy.distn.bsh.gso.dec.rur.2</v>
      </c>
      <c r="Y240" s="202">
        <f t="shared" ref="Y240:AI240" si="399">INDEX(DHHVal,MATCH(CtryCode&amp;".distn.bsh."&amp;Y$10&amp;$E240&amp;Y$9&amp;Y$11,DHHKey,0),MATCH($D240,DHHVar,0))</f>
        <v>0.4554884466998885</v>
      </c>
      <c r="Z240" s="196">
        <f t="shared" si="399"/>
        <v>0.2915665238860788</v>
      </c>
      <c r="AA240" s="196">
        <f t="shared" si="399"/>
        <v>0.3522783865105002</v>
      </c>
      <c r="AB240" s="196">
        <f t="shared" si="399"/>
        <v>0.4305511282743019</v>
      </c>
      <c r="AC240" s="196">
        <f t="shared" si="399"/>
        <v>0.5021903726059321</v>
      </c>
      <c r="AD240" s="196">
        <f t="shared" si="399"/>
        <v>0.4182961888003599</v>
      </c>
      <c r="AE240" s="196">
        <f t="shared" si="399"/>
        <v>0.499599354680722</v>
      </c>
      <c r="AF240" s="196">
        <f t="shared" si="399"/>
        <v>0.5474447959043053</v>
      </c>
      <c r="AG240" s="196">
        <f t="shared" si="399"/>
        <v>0.6617335873039887</v>
      </c>
      <c r="AH240" s="196">
        <f t="shared" si="399"/>
        <v>0.5748146476947085</v>
      </c>
      <c r="AI240" s="196">
        <f t="shared" si="399"/>
        <v>0.5075134516052643</v>
      </c>
    </row>
    <row r="241" hidden="1" outlineLevel="1">
      <c r="A241" s="44" t="inlineStr">
        <is>
          <t>bsh</t>
        </is>
      </c>
      <c r="B241" s="3" t="inlineStr">
        <is>
          <t>die</t>
        </is>
      </c>
      <c r="C241" s="3" t="inlineStr">
        <is>
          <t>rur</t>
        </is>
      </c>
      <c r="D241" s="3" t="inlineStr">
        <is>
          <t>die_share</t>
        </is>
      </c>
      <c r="E241" s="3" t="inlineStr">
        <is>
          <t>rur.</t>
        </is>
      </c>
      <c r="H241" s="3" t="inlineStr">
        <is>
          <t>Diesel: budget share, rural</t>
        </is>
      </c>
      <c r="I241" s="3" t="inlineStr">
        <is>
          <t>% consumption</t>
        </is>
      </c>
      <c r="J241" s="118" t="inlineStr">
        <is>
          <t>HHSurvey</t>
        </is>
      </c>
      <c r="K241" s="9" t="str">
        <f>LOWER(CtryCode)&amp;".distn."&amp;$A241&amp;IF($B241="","","."&amp;$B241)&amp;IF($C241="","",".dec."&amp;$C241)&amp;"."&amp;K$5</f>
        <v>egy.distn.bsh.die.dec.rur.1</v>
      </c>
      <c r="L241" s="202">
        <f t="shared" ref="L241:V241" si="400">INDEX(DHHVal,MATCH(CtryCode&amp;".distn.bsh."&amp;L$10&amp;$E241&amp;L$9&amp;L$11,DHHKey,0),MATCH($D241,DHHVar,0))</f>
        <v>0.0</v>
      </c>
      <c r="M241" s="196">
        <f t="shared" si="400"/>
        <v>0.0</v>
      </c>
      <c r="N241" s="196">
        <f t="shared" si="400"/>
        <v>0.0</v>
      </c>
      <c r="O241" s="196">
        <f t="shared" si="400"/>
        <v>0.0</v>
      </c>
      <c r="P241" s="196">
        <f t="shared" si="400"/>
        <v>0.0</v>
      </c>
      <c r="Q241" s="196">
        <f t="shared" si="400"/>
        <v>0.0</v>
      </c>
      <c r="R241" s="196">
        <f t="shared" si="400"/>
        <v>0.0</v>
      </c>
      <c r="S241" s="196">
        <f t="shared" si="400"/>
        <v>0.0</v>
      </c>
      <c r="T241" s="196">
        <f t="shared" si="400"/>
        <v>0.0</v>
      </c>
      <c r="U241" s="196">
        <f t="shared" si="400"/>
        <v>0.0</v>
      </c>
      <c r="V241" s="196">
        <f t="shared" si="400"/>
        <v>0.0</v>
      </c>
      <c r="W241" s="201" t="str">
        <f>IF(X$5=K$5,SUM(Y241:AI241)-SUM(L241:V241),"")</f>
        <v/>
      </c>
      <c r="X241" s="9" t="str">
        <f>LOWER(CtryCode)&amp;".distn."&amp;$A241&amp;IF($B241="","","."&amp;$B241)&amp;IF($C241="","",".dec."&amp;$C241)&amp;"."&amp;X$5</f>
        <v>egy.distn.bsh.die.dec.rur.2</v>
      </c>
      <c r="Y241" s="202">
        <f t="shared" ref="Y241:AI241" si="401">INDEX(DHHVal,MATCH(CtryCode&amp;".distn.bsh."&amp;Y$10&amp;$E241&amp;Y$9&amp;Y$11,DHHKey,0),MATCH($D241,DHHVar,0))</f>
        <v>0.0</v>
      </c>
      <c r="Z241" s="196">
        <f t="shared" si="401"/>
        <v>0.0</v>
      </c>
      <c r="AA241" s="196">
        <f t="shared" si="401"/>
        <v>0.0</v>
      </c>
      <c r="AB241" s="196">
        <f t="shared" si="401"/>
        <v>0.0</v>
      </c>
      <c r="AC241" s="196">
        <f t="shared" si="401"/>
        <v>0.0</v>
      </c>
      <c r="AD241" s="196">
        <f t="shared" si="401"/>
        <v>0.0</v>
      </c>
      <c r="AE241" s="196">
        <f t="shared" si="401"/>
        <v>0.0</v>
      </c>
      <c r="AF241" s="196">
        <f t="shared" si="401"/>
        <v>0.0</v>
      </c>
      <c r="AG241" s="196">
        <f t="shared" si="401"/>
        <v>0.0</v>
      </c>
      <c r="AH241" s="196">
        <f t="shared" si="401"/>
        <v>0.0</v>
      </c>
      <c r="AI241" s="196">
        <f t="shared" si="401"/>
        <v>0.0</v>
      </c>
    </row>
    <row r="242" hidden="1" outlineLevel="1">
      <c r="A242" s="44" t="inlineStr">
        <is>
          <t>bsh</t>
        </is>
      </c>
      <c r="B242" s="3" t="inlineStr">
        <is>
          <t>ker</t>
        </is>
      </c>
      <c r="C242" s="3" t="inlineStr">
        <is>
          <t>rur</t>
        </is>
      </c>
      <c r="D242" s="3" t="inlineStr">
        <is>
          <t>ker_share</t>
        </is>
      </c>
      <c r="E242" s="3" t="inlineStr">
        <is>
          <t>rur.</t>
        </is>
      </c>
      <c r="H242" s="3" t="inlineStr">
        <is>
          <t>Kerosene: budget share, rural</t>
        </is>
      </c>
      <c r="I242" s="3" t="inlineStr">
        <is>
          <t>% consumption</t>
        </is>
      </c>
      <c r="J242" s="118" t="inlineStr">
        <is>
          <t>HHSurvey</t>
        </is>
      </c>
      <c r="K242" s="9" t="str">
        <f>LOWER(CtryCode)&amp;".distn."&amp;$A242&amp;IF($B242="","","."&amp;$B242)&amp;IF($C242="","",".dec."&amp;$C242)&amp;"."&amp;K$5</f>
        <v>egy.distn.bsh.ker.dec.rur.1</v>
      </c>
      <c r="L242" s="202">
        <f t="shared" ref="L242:V242" si="402">INDEX(DHHVal,MATCH(CtryCode&amp;".distn.bsh."&amp;L$10&amp;$E242&amp;L$9&amp;L$11,DHHKey,0),MATCH($D242,DHHVar,0))</f>
        <v>4.200346815603528e-05</v>
      </c>
      <c r="M242" s="196">
        <f t="shared" si="402"/>
        <v>3.289626598349788e-05</v>
      </c>
      <c r="N242" s="196">
        <f t="shared" si="402"/>
        <v>0.0</v>
      </c>
      <c r="O242" s="196">
        <f t="shared" si="402"/>
        <v>2.218534492813698e-05</v>
      </c>
      <c r="P242" s="196">
        <f t="shared" si="402"/>
        <v>0.0</v>
      </c>
      <c r="Q242" s="196">
        <f t="shared" si="402"/>
        <v>0.0001168976601605742</v>
      </c>
      <c r="R242" s="196">
        <f t="shared" si="402"/>
        <v>6.73178202163453e-05</v>
      </c>
      <c r="S242" s="196">
        <f t="shared" si="402"/>
        <v>0.0</v>
      </c>
      <c r="T242" s="196">
        <f t="shared" si="402"/>
        <v>0.0</v>
      </c>
      <c r="U242" s="196">
        <f t="shared" si="402"/>
        <v>4.277761527397158e-05</v>
      </c>
      <c r="V242" s="196">
        <f t="shared" si="402"/>
        <v>0.0001606829772746656</v>
      </c>
      <c r="W242" s="201" t="str">
        <f>IF(X$5=K$5,SUM(Y242:AI242)-SUM(L242:V242),"")</f>
        <v/>
      </c>
      <c r="X242" s="9" t="str">
        <f>LOWER(CtryCode)&amp;".distn."&amp;$A242&amp;IF($B242="","","."&amp;$B242)&amp;IF($C242="","",".dec."&amp;$C242)&amp;"."&amp;X$5</f>
        <v>egy.distn.bsh.ker.dec.rur.2</v>
      </c>
      <c r="Y242" s="202">
        <f t="shared" ref="Y242:AI242" si="403">INDEX(DHHVal,MATCH(CtryCode&amp;".distn.bsh."&amp;Y$10&amp;$E242&amp;Y$9&amp;Y$11,DHHKey,0),MATCH($D242,DHHVar,0))</f>
        <v>4.200346815603528e-05</v>
      </c>
      <c r="Z242" s="196">
        <f t="shared" si="403"/>
        <v>3.289626598349788e-05</v>
      </c>
      <c r="AA242" s="196">
        <f t="shared" si="403"/>
        <v>0.0</v>
      </c>
      <c r="AB242" s="196">
        <f t="shared" si="403"/>
        <v>2.218534492813698e-05</v>
      </c>
      <c r="AC242" s="196">
        <f t="shared" si="403"/>
        <v>0.0</v>
      </c>
      <c r="AD242" s="196">
        <f t="shared" si="403"/>
        <v>0.0001168976601605742</v>
      </c>
      <c r="AE242" s="196">
        <f t="shared" si="403"/>
        <v>6.73178202163453e-05</v>
      </c>
      <c r="AF242" s="196">
        <f t="shared" si="403"/>
        <v>0.0</v>
      </c>
      <c r="AG242" s="196">
        <f t="shared" si="403"/>
        <v>0.0</v>
      </c>
      <c r="AH242" s="196">
        <f t="shared" si="403"/>
        <v>4.277761527397158e-05</v>
      </c>
      <c r="AI242" s="196">
        <f t="shared" si="403"/>
        <v>0.0001606829772746656</v>
      </c>
    </row>
    <row r="243" hidden="1" outlineLevel="1">
      <c r="A243" s="44" t="inlineStr">
        <is>
          <t>bsh</t>
        </is>
      </c>
      <c r="B243" s="3" t="inlineStr">
        <is>
          <t>lpg</t>
        </is>
      </c>
      <c r="C243" s="3" t="inlineStr">
        <is>
          <t>rur</t>
        </is>
      </c>
      <c r="D243" s="3" t="inlineStr">
        <is>
          <t>lpg_share</t>
        </is>
      </c>
      <c r="E243" s="3" t="inlineStr">
        <is>
          <t>rur.</t>
        </is>
      </c>
      <c r="H243" s="3" t="inlineStr">
        <is>
          <t>LPG: budget share, rural</t>
        </is>
      </c>
      <c r="I243" s="3" t="inlineStr">
        <is>
          <t>% consumption</t>
        </is>
      </c>
      <c r="J243" s="118" t="inlineStr">
        <is>
          <t>HHSurvey</t>
        </is>
      </c>
      <c r="K243" s="9" t="str">
        <f>LOWER(CtryCode)&amp;".distn."&amp;$A243&amp;IF($B243="","","."&amp;$B243)&amp;IF($C243="","",".dec."&amp;$C243)&amp;"."&amp;K$5</f>
        <v>egy.distn.bsh.lpg.dec.rur.1</v>
      </c>
      <c r="L243" s="202">
        <f t="shared" ref="L243:V243" si="404">INDEX(DHHVal,MATCH(CtryCode&amp;".distn.bsh."&amp;L$10&amp;$E243&amp;L$9&amp;L$11,DHHKey,0),MATCH($D243,DHHVar,0))</f>
        <v>2.206085716172975</v>
      </c>
      <c r="M243" s="196">
        <f t="shared" si="404"/>
        <v>3.168428222432481</v>
      </c>
      <c r="N243" s="196">
        <f t="shared" si="404"/>
        <v>2.645794505935402</v>
      </c>
      <c r="O243" s="196">
        <f t="shared" si="404"/>
        <v>2.460524590613363</v>
      </c>
      <c r="P243" s="196">
        <f t="shared" si="404"/>
        <v>2.460623513645465</v>
      </c>
      <c r="Q243" s="196">
        <f t="shared" si="404"/>
        <v>2.334039158460947</v>
      </c>
      <c r="R243" s="196">
        <f t="shared" si="404"/>
        <v>2.044491115226444</v>
      </c>
      <c r="S243" s="196">
        <f t="shared" si="404"/>
        <v>2.051631443345378</v>
      </c>
      <c r="T243" s="196">
        <f t="shared" si="404"/>
        <v>2.124692707137839</v>
      </c>
      <c r="U243" s="196">
        <f t="shared" si="404"/>
        <v>2.30369773914465</v>
      </c>
      <c r="V243" s="196">
        <f t="shared" si="404"/>
        <v>2.175246489471406</v>
      </c>
      <c r="W243" s="201" t="str">
        <f>IF(X$5=K$5,SUM(Y243:AI243)-SUM(L243:V243),"")</f>
        <v/>
      </c>
      <c r="X243" s="9" t="str">
        <f>LOWER(CtryCode)&amp;".distn."&amp;$A243&amp;IF($B243="","","."&amp;$B243)&amp;IF($C243="","",".dec."&amp;$C243)&amp;"."&amp;X$5</f>
        <v>egy.distn.bsh.lpg.dec.rur.2</v>
      </c>
      <c r="Y243" s="202">
        <f t="shared" ref="Y243:AI243" si="405">INDEX(DHHVal,MATCH(CtryCode&amp;".distn.bsh."&amp;Y$10&amp;$E243&amp;Y$9&amp;Y$11,DHHKey,0),MATCH($D243,DHHVar,0))</f>
        <v>2.206085716172975</v>
      </c>
      <c r="Z243" s="196">
        <f t="shared" si="405"/>
        <v>3.168428222432481</v>
      </c>
      <c r="AA243" s="196">
        <f t="shared" si="405"/>
        <v>2.645794505935402</v>
      </c>
      <c r="AB243" s="196">
        <f t="shared" si="405"/>
        <v>2.460524590613363</v>
      </c>
      <c r="AC243" s="196">
        <f t="shared" si="405"/>
        <v>2.460623513645465</v>
      </c>
      <c r="AD243" s="196">
        <f t="shared" si="405"/>
        <v>2.334039158460947</v>
      </c>
      <c r="AE243" s="196">
        <f t="shared" si="405"/>
        <v>2.044491115226444</v>
      </c>
      <c r="AF243" s="196">
        <f t="shared" si="405"/>
        <v>2.051631443345378</v>
      </c>
      <c r="AG243" s="196">
        <f t="shared" si="405"/>
        <v>2.124692707137839</v>
      </c>
      <c r="AH243" s="196">
        <f t="shared" si="405"/>
        <v>2.30369773914465</v>
      </c>
      <c r="AI243" s="196">
        <f t="shared" si="405"/>
        <v>2.175246489471406</v>
      </c>
    </row>
    <row r="244" hidden="1" outlineLevel="1">
      <c r="A244" s="44" t="inlineStr">
        <is>
          <t>bsh</t>
        </is>
      </c>
      <c r="B244" s="3" t="inlineStr">
        <is>
          <t>app</t>
        </is>
      </c>
      <c r="C244" s="3" t="inlineStr">
        <is>
          <t>rur</t>
        </is>
      </c>
      <c r="D244" s="3" t="inlineStr">
        <is>
          <t>appliances_share</t>
        </is>
      </c>
      <c r="E244" s="3" t="inlineStr">
        <is>
          <t>rur.</t>
        </is>
      </c>
      <c r="H244" s="3" t="inlineStr">
        <is>
          <t>Appliances: budget share, rural</t>
        </is>
      </c>
      <c r="I244" s="3" t="inlineStr">
        <is>
          <t>% consumption</t>
        </is>
      </c>
      <c r="J244" s="118" t="inlineStr">
        <is>
          <t>HHSurvey</t>
        </is>
      </c>
      <c r="K244" s="9" t="str">
        <f>LOWER(CtryCode)&amp;".distn."&amp;$A244&amp;IF($B244="","","."&amp;$B244)&amp;IF($C244="","",".dec."&amp;$C244)&amp;"."&amp;K$5</f>
        <v>egy.distn.bsh.app.dec.rur.1</v>
      </c>
      <c r="L244" s="202">
        <f t="shared" ref="L244:V244" si="406">INDEX(DHHVal,MATCH(CtryCode&amp;".distn.bsh."&amp;L$10&amp;$E244&amp;L$9&amp;L$11,DHHKey,0),MATCH($D244,DHHVar,0))</f>
        <v>1.816141424444008</v>
      </c>
      <c r="M244" s="196">
        <f t="shared" si="406"/>
        <v>1.879542788049068</v>
      </c>
      <c r="N244" s="196">
        <f t="shared" si="406"/>
        <v>1.743539221804992</v>
      </c>
      <c r="O244" s="196">
        <f t="shared" si="406"/>
        <v>1.783154080679662</v>
      </c>
      <c r="P244" s="196">
        <f t="shared" si="406"/>
        <v>1.814822037192709</v>
      </c>
      <c r="Q244" s="196">
        <f t="shared" si="406"/>
        <v>1.693917688693682</v>
      </c>
      <c r="R244" s="196">
        <f t="shared" si="406"/>
        <v>1.781387452988999</v>
      </c>
      <c r="S244" s="196">
        <f t="shared" si="406"/>
        <v>2.014264312191511</v>
      </c>
      <c r="T244" s="196">
        <f t="shared" si="406"/>
        <v>1.85100529953291</v>
      </c>
      <c r="U244" s="196">
        <f t="shared" si="406"/>
        <v>1.715754127308399</v>
      </c>
      <c r="V244" s="196">
        <f t="shared" si="406"/>
        <v>2.045723422883226</v>
      </c>
      <c r="W244" s="201" t="str">
        <f>IF(X$5=K$5,SUM(Y244:AI244)-SUM(L244:V244),"")</f>
        <v/>
      </c>
      <c r="X244" s="9" t="str">
        <f>LOWER(CtryCode)&amp;".distn."&amp;$A244&amp;IF($B244="","","."&amp;$B244)&amp;IF($C244="","",".dec."&amp;$C244)&amp;"."&amp;X$5</f>
        <v>egy.distn.bsh.app.dec.rur.2</v>
      </c>
      <c r="Y244" s="202">
        <f t="shared" ref="Y244:AI244" si="407">INDEX(DHHVal,MATCH(CtryCode&amp;".distn.bsh."&amp;Y$10&amp;$E244&amp;Y$9&amp;Y$11,DHHKey,0),MATCH($D244,DHHVar,0))</f>
        <v>1.816141424444008</v>
      </c>
      <c r="Z244" s="196">
        <f t="shared" si="407"/>
        <v>1.879542788049068</v>
      </c>
      <c r="AA244" s="196">
        <f t="shared" si="407"/>
        <v>1.743539221804992</v>
      </c>
      <c r="AB244" s="196">
        <f t="shared" si="407"/>
        <v>1.783154080679662</v>
      </c>
      <c r="AC244" s="196">
        <f t="shared" si="407"/>
        <v>1.814822037192709</v>
      </c>
      <c r="AD244" s="196">
        <f t="shared" si="407"/>
        <v>1.693917688693682</v>
      </c>
      <c r="AE244" s="196">
        <f t="shared" si="407"/>
        <v>1.781387452988999</v>
      </c>
      <c r="AF244" s="196">
        <f t="shared" si="407"/>
        <v>2.014264312191511</v>
      </c>
      <c r="AG244" s="196">
        <f t="shared" si="407"/>
        <v>1.85100529953291</v>
      </c>
      <c r="AH244" s="196">
        <f t="shared" si="407"/>
        <v>1.715754127308399</v>
      </c>
      <c r="AI244" s="196">
        <f t="shared" si="407"/>
        <v>2.045723422883226</v>
      </c>
    </row>
    <row r="245" hidden="1" outlineLevel="1">
      <c r="A245" s="44" t="inlineStr">
        <is>
          <t>bsh</t>
        </is>
      </c>
      <c r="B245" s="3" t="inlineStr">
        <is>
          <t>che</t>
        </is>
      </c>
      <c r="C245" s="3" t="inlineStr">
        <is>
          <t>rur</t>
        </is>
      </c>
      <c r="D245" s="3" t="inlineStr">
        <is>
          <t>chemicals_share</t>
        </is>
      </c>
      <c r="E245" s="3" t="inlineStr">
        <is>
          <t>rur.</t>
        </is>
      </c>
      <c r="H245" s="3" t="inlineStr">
        <is>
          <t>Chemicals: budget share, rural</t>
        </is>
      </c>
      <c r="I245" s="3" t="inlineStr">
        <is>
          <t>% consumption</t>
        </is>
      </c>
      <c r="J245" s="118" t="inlineStr">
        <is>
          <t>HHSurvey</t>
        </is>
      </c>
      <c r="K245" s="9" t="str">
        <f>LOWER(CtryCode)&amp;".distn."&amp;$A245&amp;IF($B245="","","."&amp;$B245)&amp;IF($C245="","",".dec."&amp;$C245)&amp;"."&amp;K$5</f>
        <v>egy.distn.bsh.che.dec.rur.1</v>
      </c>
      <c r="L245" s="202">
        <f t="shared" ref="L245:V245" si="408">INDEX(DHHVal,MATCH(CtryCode&amp;".distn.bsh."&amp;L$10&amp;$E245&amp;L$9&amp;L$11,DHHKey,0),MATCH($D245,DHHVar,0))</f>
        <v>3.592612314099672</v>
      </c>
      <c r="M245" s="196">
        <f t="shared" si="408"/>
        <v>4.407434376136224</v>
      </c>
      <c r="N245" s="196">
        <f t="shared" si="408"/>
        <v>3.710899103846873</v>
      </c>
      <c r="O245" s="196">
        <f t="shared" si="408"/>
        <v>3.740036054884253</v>
      </c>
      <c r="P245" s="196">
        <f t="shared" si="408"/>
        <v>3.222358134307143</v>
      </c>
      <c r="Q245" s="196">
        <f t="shared" si="408"/>
        <v>3.478166845463198</v>
      </c>
      <c r="R245" s="196">
        <f t="shared" si="408"/>
        <v>3.551867479539571</v>
      </c>
      <c r="S245" s="196">
        <f t="shared" si="408"/>
        <v>3.83131277790851</v>
      </c>
      <c r="T245" s="196">
        <f t="shared" si="408"/>
        <v>3.422393562325169</v>
      </c>
      <c r="U245" s="196">
        <f t="shared" si="408"/>
        <v>3.624933342482892</v>
      </c>
      <c r="V245" s="196">
        <f t="shared" si="408"/>
        <v>3.413248296702931</v>
      </c>
      <c r="W245" s="201" t="str">
        <f>IF(X$5=K$5,SUM(Y245:AI245)-SUM(L245:V245),"")</f>
        <v/>
      </c>
      <c r="X245" s="9" t="str">
        <f>LOWER(CtryCode)&amp;".distn."&amp;$A245&amp;IF($B245="","","."&amp;$B245)&amp;IF($C245="","",".dec."&amp;$C245)&amp;"."&amp;X$5</f>
        <v>egy.distn.bsh.che.dec.rur.2</v>
      </c>
      <c r="Y245" s="202">
        <f t="shared" ref="Y245:AI245" si="409">INDEX(DHHVal,MATCH(CtryCode&amp;".distn.bsh."&amp;Y$10&amp;$E245&amp;Y$9&amp;Y$11,DHHKey,0),MATCH($D245,DHHVar,0))</f>
        <v>3.592612314099672</v>
      </c>
      <c r="Z245" s="196">
        <f t="shared" si="409"/>
        <v>4.407434376136224</v>
      </c>
      <c r="AA245" s="196">
        <f t="shared" si="409"/>
        <v>3.710899103846873</v>
      </c>
      <c r="AB245" s="196">
        <f t="shared" si="409"/>
        <v>3.740036054884253</v>
      </c>
      <c r="AC245" s="196">
        <f t="shared" si="409"/>
        <v>3.222358134307143</v>
      </c>
      <c r="AD245" s="196">
        <f t="shared" si="409"/>
        <v>3.478166845463198</v>
      </c>
      <c r="AE245" s="196">
        <f t="shared" si="409"/>
        <v>3.551867479539571</v>
      </c>
      <c r="AF245" s="196">
        <f t="shared" si="409"/>
        <v>3.83131277790851</v>
      </c>
      <c r="AG245" s="196">
        <f t="shared" si="409"/>
        <v>3.422393562325169</v>
      </c>
      <c r="AH245" s="196">
        <f t="shared" si="409"/>
        <v>3.624933342482892</v>
      </c>
      <c r="AI245" s="196">
        <f t="shared" si="409"/>
        <v>3.413248296702931</v>
      </c>
    </row>
    <row r="246" hidden="1" outlineLevel="1">
      <c r="A246" s="44" t="inlineStr">
        <is>
          <t>bsh</t>
        </is>
      </c>
      <c r="B246" s="3" t="inlineStr">
        <is>
          <t>clo</t>
        </is>
      </c>
      <c r="C246" s="3" t="inlineStr">
        <is>
          <t>rur</t>
        </is>
      </c>
      <c r="D246" s="3" t="inlineStr">
        <is>
          <t>clothing_share</t>
        </is>
      </c>
      <c r="E246" s="3" t="inlineStr">
        <is>
          <t>rur.</t>
        </is>
      </c>
      <c r="H246" s="3" t="inlineStr">
        <is>
          <t>Clothing: budget share, rural</t>
        </is>
      </c>
      <c r="I246" s="3" t="inlineStr">
        <is>
          <t>% consumption</t>
        </is>
      </c>
      <c r="J246" s="118" t="inlineStr">
        <is>
          <t>HHSurvey</t>
        </is>
      </c>
      <c r="K246" s="9" t="str">
        <f>LOWER(CtryCode)&amp;".distn."&amp;$A246&amp;IF($B246="","","."&amp;$B246)&amp;IF($C246="","",".dec."&amp;$C246)&amp;"."&amp;K$5</f>
        <v>egy.distn.bsh.clo.dec.rur.1</v>
      </c>
      <c r="L246" s="202">
        <f t="shared" ref="L246:V246" si="410">INDEX(DHHVal,MATCH(CtryCode&amp;".distn.bsh."&amp;L$10&amp;$E246&amp;L$9&amp;L$11,DHHKey,0),MATCH($D246,DHHVar,0))</f>
        <v>6.097139487990662</v>
      </c>
      <c r="M246" s="196">
        <f t="shared" si="410"/>
        <v>5.648843930760583</v>
      </c>
      <c r="N246" s="196">
        <f t="shared" si="410"/>
        <v>5.755690762190004</v>
      </c>
      <c r="O246" s="196">
        <f t="shared" si="410"/>
        <v>6.071616161624573</v>
      </c>
      <c r="P246" s="196">
        <f t="shared" si="410"/>
        <v>6.487014324470495</v>
      </c>
      <c r="Q246" s="196">
        <f t="shared" si="410"/>
        <v>6.542085610837093</v>
      </c>
      <c r="R246" s="196">
        <f t="shared" si="410"/>
        <v>6.756671550230346</v>
      </c>
      <c r="S246" s="196">
        <f t="shared" si="410"/>
        <v>6.652801593058796</v>
      </c>
      <c r="T246" s="196">
        <f t="shared" si="410"/>
        <v>5.471219155276308</v>
      </c>
      <c r="U246" s="196">
        <f t="shared" si="410"/>
        <v>5.462987734924165</v>
      </c>
      <c r="V246" s="196">
        <f t="shared" si="410"/>
        <v>4.14296493299701</v>
      </c>
      <c r="W246" s="201" t="str">
        <f>IF(X$5=K$5,SUM(Y246:AI246)-SUM(L246:V246),"")</f>
        <v/>
      </c>
      <c r="X246" s="9" t="str">
        <f>LOWER(CtryCode)&amp;".distn."&amp;$A246&amp;IF($B246="","","."&amp;$B246)&amp;IF($C246="","",".dec."&amp;$C246)&amp;"."&amp;X$5</f>
        <v>egy.distn.bsh.clo.dec.rur.2</v>
      </c>
      <c r="Y246" s="202">
        <f t="shared" ref="Y246:AI246" si="411">INDEX(DHHVal,MATCH(CtryCode&amp;".distn.bsh."&amp;Y$10&amp;$E246&amp;Y$9&amp;Y$11,DHHKey,0),MATCH($D246,DHHVar,0))</f>
        <v>6.097139487990662</v>
      </c>
      <c r="Z246" s="196">
        <f t="shared" si="411"/>
        <v>5.648843930760583</v>
      </c>
      <c r="AA246" s="196">
        <f t="shared" si="411"/>
        <v>5.755690762190004</v>
      </c>
      <c r="AB246" s="196">
        <f t="shared" si="411"/>
        <v>6.071616161624573</v>
      </c>
      <c r="AC246" s="196">
        <f t="shared" si="411"/>
        <v>6.487014324470495</v>
      </c>
      <c r="AD246" s="196">
        <f t="shared" si="411"/>
        <v>6.542085610837093</v>
      </c>
      <c r="AE246" s="196">
        <f t="shared" si="411"/>
        <v>6.756671550230346</v>
      </c>
      <c r="AF246" s="196">
        <f t="shared" si="411"/>
        <v>6.652801593058796</v>
      </c>
      <c r="AG246" s="196">
        <f t="shared" si="411"/>
        <v>5.471219155276308</v>
      </c>
      <c r="AH246" s="196">
        <f t="shared" si="411"/>
        <v>5.462987734924165</v>
      </c>
      <c r="AI246" s="196">
        <f t="shared" si="411"/>
        <v>4.14296493299701</v>
      </c>
    </row>
    <row r="247" hidden="1" outlineLevel="1">
      <c r="A247" s="44" t="inlineStr">
        <is>
          <t>bsh</t>
        </is>
      </c>
      <c r="B247" s="3" t="inlineStr">
        <is>
          <t>com</t>
        </is>
      </c>
      <c r="C247" s="3" t="inlineStr">
        <is>
          <t>rur</t>
        </is>
      </c>
      <c r="D247" s="3" t="inlineStr">
        <is>
          <t>communications_share</t>
        </is>
      </c>
      <c r="E247" s="3" t="inlineStr">
        <is>
          <t>rur.</t>
        </is>
      </c>
      <c r="H247" s="3" t="inlineStr">
        <is>
          <t>Communications: budget share, rural</t>
        </is>
      </c>
      <c r="I247" s="3" t="inlineStr">
        <is>
          <t>% consumption</t>
        </is>
      </c>
      <c r="J247" s="118" t="inlineStr">
        <is>
          <t>HHSurvey</t>
        </is>
      </c>
      <c r="K247" s="9" t="str">
        <f>LOWER(CtryCode)&amp;".distn."&amp;$A247&amp;IF($B247="","","."&amp;$B247)&amp;IF($C247="","",".dec."&amp;$C247)&amp;"."&amp;K$5</f>
        <v>egy.distn.bsh.com.dec.rur.1</v>
      </c>
      <c r="L247" s="202">
        <f t="shared" ref="L247:V247" si="412">INDEX(DHHVal,MATCH(CtryCode&amp;".distn.bsh."&amp;L$10&amp;$E247&amp;L$9&amp;L$11,DHHKey,0),MATCH($D247,DHHVar,0))</f>
        <v>2.400468122593723</v>
      </c>
      <c r="M247" s="196">
        <f t="shared" si="412"/>
        <v>2.068840523814151</v>
      </c>
      <c r="N247" s="196">
        <f t="shared" si="412"/>
        <v>1.877990330512614</v>
      </c>
      <c r="O247" s="196">
        <f t="shared" si="412"/>
        <v>2.388587749388407</v>
      </c>
      <c r="P247" s="196">
        <f t="shared" si="412"/>
        <v>2.269783097855518</v>
      </c>
      <c r="Q247" s="196">
        <f t="shared" si="412"/>
        <v>2.286926611391667</v>
      </c>
      <c r="R247" s="196">
        <f t="shared" si="412"/>
        <v>2.319866899889963</v>
      </c>
      <c r="S247" s="196">
        <f t="shared" si="412"/>
        <v>2.361444602796878</v>
      </c>
      <c r="T247" s="196">
        <f t="shared" si="412"/>
        <v>2.357398675368995</v>
      </c>
      <c r="U247" s="196">
        <f t="shared" si="412"/>
        <v>2.184786713076266</v>
      </c>
      <c r="V247" s="196">
        <f t="shared" si="412"/>
        <v>2.160597313855024</v>
      </c>
      <c r="W247" s="201" t="str">
        <f>IF(X$5=K$5,SUM(Y247:AI247)-SUM(L247:V247),"")</f>
        <v/>
      </c>
      <c r="X247" s="9" t="str">
        <f>LOWER(CtryCode)&amp;".distn."&amp;$A247&amp;IF($B247="","","."&amp;$B247)&amp;IF($C247="","",".dec."&amp;$C247)&amp;"."&amp;X$5</f>
        <v>egy.distn.bsh.com.dec.rur.2</v>
      </c>
      <c r="Y247" s="202">
        <f t="shared" ref="Y247:AI247" si="413">INDEX(DHHVal,MATCH(CtryCode&amp;".distn.bsh."&amp;Y$10&amp;$E247&amp;Y$9&amp;Y$11,DHHKey,0),MATCH($D247,DHHVar,0))</f>
        <v>2.400468122593723</v>
      </c>
      <c r="Z247" s="196">
        <f t="shared" si="413"/>
        <v>2.068840523814151</v>
      </c>
      <c r="AA247" s="196">
        <f t="shared" si="413"/>
        <v>1.877990330512614</v>
      </c>
      <c r="AB247" s="196">
        <f t="shared" si="413"/>
        <v>2.388587749388407</v>
      </c>
      <c r="AC247" s="196">
        <f t="shared" si="413"/>
        <v>2.269783097855518</v>
      </c>
      <c r="AD247" s="196">
        <f t="shared" si="413"/>
        <v>2.286926611391667</v>
      </c>
      <c r="AE247" s="196">
        <f t="shared" si="413"/>
        <v>2.319866899889963</v>
      </c>
      <c r="AF247" s="196">
        <f t="shared" si="413"/>
        <v>2.361444602796878</v>
      </c>
      <c r="AG247" s="196">
        <f t="shared" si="413"/>
        <v>2.357398675368995</v>
      </c>
      <c r="AH247" s="196">
        <f t="shared" si="413"/>
        <v>2.184786713076266</v>
      </c>
      <c r="AI247" s="196">
        <f t="shared" si="413"/>
        <v>2.160597313855024</v>
      </c>
    </row>
    <row r="248" hidden="1" outlineLevel="1">
      <c r="A248" s="44" t="inlineStr">
        <is>
          <t>bsh</t>
        </is>
      </c>
      <c r="B248" s="3" t="inlineStr">
        <is>
          <t>edu</t>
        </is>
      </c>
      <c r="C248" s="3" t="inlineStr">
        <is>
          <t>rur</t>
        </is>
      </c>
      <c r="D248" s="3" t="inlineStr">
        <is>
          <t>education_share</t>
        </is>
      </c>
      <c r="E248" s="3" t="inlineStr">
        <is>
          <t>rur.</t>
        </is>
      </c>
      <c r="H248" s="3" t="inlineStr">
        <is>
          <t>Education: budget share, rural</t>
        </is>
      </c>
      <c r="I248" s="3" t="inlineStr">
        <is>
          <t>% consumption</t>
        </is>
      </c>
      <c r="J248" s="118" t="inlineStr">
        <is>
          <t>HHSurvey</t>
        </is>
      </c>
      <c r="K248" s="9" t="str">
        <f>LOWER(CtryCode)&amp;".distn."&amp;$A248&amp;IF($B248="","","."&amp;$B248)&amp;IF($C248="","",".dec."&amp;$C248)&amp;"."&amp;K$5</f>
        <v>egy.distn.bsh.edu.dec.rur.1</v>
      </c>
      <c r="L248" s="202">
        <f t="shared" ref="L248:V248" si="414">INDEX(DHHVal,MATCH(CtryCode&amp;".distn.bsh."&amp;L$10&amp;$E248&amp;L$9&amp;L$11,DHHKey,0),MATCH($D248,DHHVar,0))</f>
        <v>2.985442763340571</v>
      </c>
      <c r="M248" s="196">
        <f t="shared" si="414"/>
        <v>2.380105194916422</v>
      </c>
      <c r="N248" s="196">
        <f t="shared" si="414"/>
        <v>3.295123449749078</v>
      </c>
      <c r="O248" s="196">
        <f t="shared" si="414"/>
        <v>3.810587473766784</v>
      </c>
      <c r="P248" s="196">
        <f t="shared" si="414"/>
        <v>3.788506218926283</v>
      </c>
      <c r="Q248" s="196">
        <f t="shared" si="414"/>
        <v>4.081073586579905</v>
      </c>
      <c r="R248" s="196">
        <f t="shared" si="414"/>
        <v>4.239665084498549</v>
      </c>
      <c r="S248" s="196">
        <f t="shared" si="414"/>
        <v>3.603877187274332</v>
      </c>
      <c r="T248" s="196">
        <f t="shared" si="414"/>
        <v>3.523736867141016</v>
      </c>
      <c r="U248" s="196">
        <f t="shared" si="414"/>
        <v>2.433773750698195</v>
      </c>
      <c r="V248" s="196">
        <f t="shared" si="414"/>
        <v>1.298150068093604</v>
      </c>
      <c r="W248" s="201" t="str">
        <f>IF(X$5=K$5,SUM(Y248:AI248)-SUM(L248:V248),"")</f>
        <v/>
      </c>
      <c r="X248" s="9" t="str">
        <f>LOWER(CtryCode)&amp;".distn."&amp;$A248&amp;IF($B248="","","."&amp;$B248)&amp;IF($C248="","",".dec."&amp;$C248)&amp;"."&amp;X$5</f>
        <v>egy.distn.bsh.edu.dec.rur.2</v>
      </c>
      <c r="Y248" s="202">
        <f t="shared" ref="Y248:AI248" si="415">INDEX(DHHVal,MATCH(CtryCode&amp;".distn.bsh."&amp;Y$10&amp;$E248&amp;Y$9&amp;Y$11,DHHKey,0),MATCH($D248,DHHVar,0))</f>
        <v>2.985442763340571</v>
      </c>
      <c r="Z248" s="196">
        <f t="shared" si="415"/>
        <v>2.380105194916422</v>
      </c>
      <c r="AA248" s="196">
        <f t="shared" si="415"/>
        <v>3.295123449749078</v>
      </c>
      <c r="AB248" s="196">
        <f t="shared" si="415"/>
        <v>3.810587473766784</v>
      </c>
      <c r="AC248" s="196">
        <f t="shared" si="415"/>
        <v>3.788506218926283</v>
      </c>
      <c r="AD248" s="196">
        <f t="shared" si="415"/>
        <v>4.081073586579905</v>
      </c>
      <c r="AE248" s="196">
        <f t="shared" si="415"/>
        <v>4.239665084498549</v>
      </c>
      <c r="AF248" s="196">
        <f t="shared" si="415"/>
        <v>3.603877187274332</v>
      </c>
      <c r="AG248" s="196">
        <f t="shared" si="415"/>
        <v>3.523736867141016</v>
      </c>
      <c r="AH248" s="196">
        <f t="shared" si="415"/>
        <v>2.433773750698195</v>
      </c>
      <c r="AI248" s="196">
        <f t="shared" si="415"/>
        <v>1.298150068093604</v>
      </c>
    </row>
    <row r="249" hidden="1" outlineLevel="1">
      <c r="A249" s="44" t="inlineStr">
        <is>
          <t>bsh</t>
        </is>
      </c>
      <c r="B249" s="3" t="inlineStr">
        <is>
          <t>food</t>
        </is>
      </c>
      <c r="C249" s="3" t="inlineStr">
        <is>
          <t>rur</t>
        </is>
      </c>
      <c r="D249" s="3" t="inlineStr">
        <is>
          <t>food_share</t>
        </is>
      </c>
      <c r="E249" s="3" t="inlineStr">
        <is>
          <t>rur.</t>
        </is>
      </c>
      <c r="H249" s="3" t="inlineStr">
        <is>
          <t>Food: budget share, rural</t>
        </is>
      </c>
      <c r="I249" s="3" t="inlineStr">
        <is>
          <t>% consumption</t>
        </is>
      </c>
      <c r="J249" s="118" t="inlineStr">
        <is>
          <t>HHSurvey</t>
        </is>
      </c>
      <c r="K249" s="9" t="str">
        <f>LOWER(CtryCode)&amp;".distn."&amp;$A249&amp;IF($B249="","","."&amp;$B249)&amp;IF($C249="","",".dec."&amp;$C249)&amp;"."&amp;K$5</f>
        <v>egy.distn.bsh.food.dec.rur.1</v>
      </c>
      <c r="L249" s="202">
        <f t="shared" ref="L249:V249" si="416">INDEX(DHHVal,MATCH(CtryCode&amp;".distn.bsh."&amp;L$10&amp;$E249&amp;L$9&amp;L$11,DHHKey,0),MATCH($D249,DHHVar,0))</f>
        <v>61.14838534838243</v>
      </c>
      <c r="M249" s="196">
        <f t="shared" si="416"/>
        <v>59.01859060132116</v>
      </c>
      <c r="N249" s="196">
        <f t="shared" si="416"/>
        <v>61.08300123197901</v>
      </c>
      <c r="O249" s="196">
        <f t="shared" si="416"/>
        <v>57.54600454081508</v>
      </c>
      <c r="P249" s="196">
        <f t="shared" si="416"/>
        <v>56.57975535275786</v>
      </c>
      <c r="Q249" s="196">
        <f t="shared" si="416"/>
        <v>56.37307689781229</v>
      </c>
      <c r="R249" s="196">
        <f t="shared" si="416"/>
        <v>57.52235665888539</v>
      </c>
      <c r="S249" s="196">
        <f t="shared" si="416"/>
        <v>56.70125084338451</v>
      </c>
      <c r="T249" s="196">
        <f t="shared" si="416"/>
        <v>56.43542931684811</v>
      </c>
      <c r="U249" s="196">
        <f t="shared" si="416"/>
        <v>52.49740541900011</v>
      </c>
      <c r="V249" s="196">
        <f t="shared" si="416"/>
        <v>51.63652343217402</v>
      </c>
      <c r="W249" s="201" t="str">
        <f>IF(X$5=K$5,SUM(Y249:AI249)-SUM(L249:V249),"")</f>
        <v/>
      </c>
      <c r="X249" s="9" t="str">
        <f>LOWER(CtryCode)&amp;".distn."&amp;$A249&amp;IF($B249="","","."&amp;$B249)&amp;IF($C249="","",".dec."&amp;$C249)&amp;"."&amp;X$5</f>
        <v>egy.distn.bsh.food.dec.rur.2</v>
      </c>
      <c r="Y249" s="202">
        <f t="shared" ref="Y249:AI249" si="417">INDEX(DHHVal,MATCH(CtryCode&amp;".distn.bsh."&amp;Y$10&amp;$E249&amp;Y$9&amp;Y$11,DHHKey,0),MATCH($D249,DHHVar,0))</f>
        <v>61.14838534838243</v>
      </c>
      <c r="Z249" s="196">
        <f t="shared" si="417"/>
        <v>59.01859060132116</v>
      </c>
      <c r="AA249" s="196">
        <f t="shared" si="417"/>
        <v>61.08300123197901</v>
      </c>
      <c r="AB249" s="196">
        <f t="shared" si="417"/>
        <v>57.54600454081508</v>
      </c>
      <c r="AC249" s="196">
        <f t="shared" si="417"/>
        <v>56.57975535275786</v>
      </c>
      <c r="AD249" s="196">
        <f t="shared" si="417"/>
        <v>56.37307689781229</v>
      </c>
      <c r="AE249" s="196">
        <f t="shared" si="417"/>
        <v>57.52235665888539</v>
      </c>
      <c r="AF249" s="196">
        <f t="shared" si="417"/>
        <v>56.70125084338451</v>
      </c>
      <c r="AG249" s="196">
        <f t="shared" si="417"/>
        <v>56.43542931684811</v>
      </c>
      <c r="AH249" s="196">
        <f t="shared" si="417"/>
        <v>52.49740541900011</v>
      </c>
      <c r="AI249" s="196">
        <f t="shared" si="417"/>
        <v>51.63652343217402</v>
      </c>
    </row>
    <row r="250" hidden="1" outlineLevel="1">
      <c r="A250" s="44" t="inlineStr">
        <is>
          <t>bsh</t>
        </is>
      </c>
      <c r="B250" s="3" t="inlineStr">
        <is>
          <t>hea</t>
        </is>
      </c>
      <c r="C250" s="3" t="inlineStr">
        <is>
          <t>rur</t>
        </is>
      </c>
      <c r="D250" s="3" t="inlineStr">
        <is>
          <t>health_srv_share</t>
        </is>
      </c>
      <c r="E250" s="3" t="inlineStr">
        <is>
          <t>rur.</t>
        </is>
      </c>
      <c r="H250" s="3" t="inlineStr">
        <is>
          <t>Health services: budget share, rural</t>
        </is>
      </c>
      <c r="I250" s="3" t="inlineStr">
        <is>
          <t>% consumption</t>
        </is>
      </c>
      <c r="J250" s="118" t="inlineStr">
        <is>
          <t>HHSurvey</t>
        </is>
      </c>
      <c r="K250" s="9" t="str">
        <f>LOWER(CtryCode)&amp;".distn."&amp;$A250&amp;IF($B250="","","."&amp;$B250)&amp;IF($C250="","",".dec."&amp;$C250)&amp;"."&amp;K$5</f>
        <v>egy.distn.bsh.hea.dec.rur.1</v>
      </c>
      <c r="L250" s="202">
        <f t="shared" ref="L250:V250" si="418">INDEX(DHHVal,MATCH(CtryCode&amp;".distn.bsh."&amp;L$10&amp;$E250&amp;L$9&amp;L$11,DHHKey,0),MATCH($D250,DHHVar,0))</f>
        <v>4.528581805231499</v>
      </c>
      <c r="M250" s="196">
        <f t="shared" si="418"/>
        <v>3.541135047022626</v>
      </c>
      <c r="N250" s="196">
        <f t="shared" si="418"/>
        <v>3.489106094071634</v>
      </c>
      <c r="O250" s="196">
        <f t="shared" si="418"/>
        <v>3.45640662153002</v>
      </c>
      <c r="P250" s="196">
        <f t="shared" si="418"/>
        <v>4.264732759864678</v>
      </c>
      <c r="Q250" s="196">
        <f t="shared" si="418"/>
        <v>4.050190276689155</v>
      </c>
      <c r="R250" s="196">
        <f t="shared" si="418"/>
        <v>4.166882356326603</v>
      </c>
      <c r="S250" s="196">
        <f t="shared" si="418"/>
        <v>4.870229694314116</v>
      </c>
      <c r="T250" s="196">
        <f t="shared" si="418"/>
        <v>5.324684178535967</v>
      </c>
      <c r="U250" s="196">
        <f t="shared" si="418"/>
        <v>5.479746215279581</v>
      </c>
      <c r="V250" s="196">
        <f t="shared" si="418"/>
        <v>6.96639209189749</v>
      </c>
      <c r="W250" s="201" t="str">
        <f>IF(X$5=K$5,SUM(Y250:AI250)-SUM(L250:V250),"")</f>
        <v/>
      </c>
      <c r="X250" s="9" t="str">
        <f>LOWER(CtryCode)&amp;".distn."&amp;$A250&amp;IF($B250="","","."&amp;$B250)&amp;IF($C250="","",".dec."&amp;$C250)&amp;"."&amp;X$5</f>
        <v>egy.distn.bsh.hea.dec.rur.2</v>
      </c>
      <c r="Y250" s="202">
        <f t="shared" ref="Y250:AI250" si="419">INDEX(DHHVal,MATCH(CtryCode&amp;".distn.bsh."&amp;Y$10&amp;$E250&amp;Y$9&amp;Y$11,DHHKey,0),MATCH($D250,DHHVar,0))</f>
        <v>4.528581805231499</v>
      </c>
      <c r="Z250" s="196">
        <f t="shared" si="419"/>
        <v>3.541135047022626</v>
      </c>
      <c r="AA250" s="196">
        <f t="shared" si="419"/>
        <v>3.489106094071634</v>
      </c>
      <c r="AB250" s="196">
        <f t="shared" si="419"/>
        <v>3.45640662153002</v>
      </c>
      <c r="AC250" s="196">
        <f t="shared" si="419"/>
        <v>4.264732759864678</v>
      </c>
      <c r="AD250" s="196">
        <f t="shared" si="419"/>
        <v>4.050190276689155</v>
      </c>
      <c r="AE250" s="196">
        <f t="shared" si="419"/>
        <v>4.166882356326603</v>
      </c>
      <c r="AF250" s="196">
        <f t="shared" si="419"/>
        <v>4.870229694314116</v>
      </c>
      <c r="AG250" s="196">
        <f t="shared" si="419"/>
        <v>5.324684178535967</v>
      </c>
      <c r="AH250" s="196">
        <f t="shared" si="419"/>
        <v>5.479746215279581</v>
      </c>
      <c r="AI250" s="196">
        <f t="shared" si="419"/>
        <v>6.96639209189749</v>
      </c>
    </row>
    <row r="251" hidden="1" outlineLevel="1">
      <c r="A251" s="44" t="inlineStr">
        <is>
          <t>bsh</t>
        </is>
      </c>
      <c r="B251" s="3" t="inlineStr">
        <is>
          <t>hou</t>
        </is>
      </c>
      <c r="C251" s="3" t="inlineStr">
        <is>
          <t>rur</t>
        </is>
      </c>
      <c r="D251" s="3" t="inlineStr">
        <is>
          <t>housing_share</t>
        </is>
      </c>
      <c r="E251" s="3" t="inlineStr">
        <is>
          <t>rur.</t>
        </is>
      </c>
      <c r="H251" s="3" t="inlineStr">
        <is>
          <t>Housing: budget share, rural</t>
        </is>
      </c>
      <c r="I251" s="3" t="inlineStr">
        <is>
          <t>% consumption</t>
        </is>
      </c>
      <c r="J251" s="118" t="inlineStr">
        <is>
          <t>HHSurvey</t>
        </is>
      </c>
      <c r="K251" s="9" t="str">
        <f>LOWER(CtryCode)&amp;".distn."&amp;$A251&amp;IF($B251="","","."&amp;$B251)&amp;IF($C251="","",".dec."&amp;$C251)&amp;"."&amp;K$5</f>
        <v>egy.distn.bsh.hou.dec.rur.1</v>
      </c>
      <c r="L251" s="202">
        <f t="shared" ref="L251:V251" si="420">INDEX(DHHVal,MATCH(CtryCode&amp;".distn.bsh."&amp;L$10&amp;$E251&amp;L$9&amp;L$11,DHHKey,0),MATCH($D251,DHHVar,0))</f>
        <v>3.952000501822543</v>
      </c>
      <c r="M251" s="196">
        <f t="shared" si="420"/>
        <v>4.140983234779765</v>
      </c>
      <c r="N251" s="196">
        <f t="shared" si="420"/>
        <v>3.622059386932924</v>
      </c>
      <c r="O251" s="196">
        <f t="shared" si="420"/>
        <v>4.045728750312001</v>
      </c>
      <c r="P251" s="196">
        <f t="shared" si="420"/>
        <v>3.303126995766689</v>
      </c>
      <c r="Q251" s="196">
        <f t="shared" si="420"/>
        <v>3.153568078743218</v>
      </c>
      <c r="R251" s="196">
        <f t="shared" si="420"/>
        <v>3.913224116241119</v>
      </c>
      <c r="S251" s="196">
        <f t="shared" si="420"/>
        <v>3.542149476569108</v>
      </c>
      <c r="T251" s="196">
        <f t="shared" si="420"/>
        <v>4.05932318337402</v>
      </c>
      <c r="U251" s="196">
        <f t="shared" si="420"/>
        <v>4.007110149869988</v>
      </c>
      <c r="V251" s="196">
        <f t="shared" si="420"/>
        <v>4.782574213216113</v>
      </c>
      <c r="W251" s="201" t="str">
        <f>IF(X$5=K$5,SUM(Y251:AI251)-SUM(L251:V251),"")</f>
        <v/>
      </c>
      <c r="X251" s="9" t="str">
        <f>LOWER(CtryCode)&amp;".distn."&amp;$A251&amp;IF($B251="","","."&amp;$B251)&amp;IF($C251="","",".dec."&amp;$C251)&amp;"."&amp;X$5</f>
        <v>egy.distn.bsh.hou.dec.rur.2</v>
      </c>
      <c r="Y251" s="202">
        <f t="shared" ref="Y251:AI251" si="421">INDEX(DHHVal,MATCH(CtryCode&amp;".distn.bsh."&amp;Y$10&amp;$E251&amp;Y$9&amp;Y$11,DHHKey,0),MATCH($D251,DHHVar,0))</f>
        <v>3.952000501822543</v>
      </c>
      <c r="Z251" s="196">
        <f t="shared" si="421"/>
        <v>4.140983234779765</v>
      </c>
      <c r="AA251" s="196">
        <f t="shared" si="421"/>
        <v>3.622059386932924</v>
      </c>
      <c r="AB251" s="196">
        <f t="shared" si="421"/>
        <v>4.045728750312001</v>
      </c>
      <c r="AC251" s="196">
        <f t="shared" si="421"/>
        <v>3.303126995766689</v>
      </c>
      <c r="AD251" s="196">
        <f t="shared" si="421"/>
        <v>3.153568078743218</v>
      </c>
      <c r="AE251" s="196">
        <f t="shared" si="421"/>
        <v>3.913224116241119</v>
      </c>
      <c r="AF251" s="196">
        <f t="shared" si="421"/>
        <v>3.542149476569108</v>
      </c>
      <c r="AG251" s="196">
        <f t="shared" si="421"/>
        <v>4.05932318337402</v>
      </c>
      <c r="AH251" s="196">
        <f t="shared" si="421"/>
        <v>4.007110149869988</v>
      </c>
      <c r="AI251" s="196">
        <f t="shared" si="421"/>
        <v>4.782574213216113</v>
      </c>
    </row>
    <row r="252" hidden="1" outlineLevel="1">
      <c r="A252" s="44" t="inlineStr">
        <is>
          <t>bsh</t>
        </is>
      </c>
      <c r="B252" s="3" t="inlineStr">
        <is>
          <t>oth</t>
        </is>
      </c>
      <c r="C252" s="3" t="inlineStr">
        <is>
          <t>rur</t>
        </is>
      </c>
      <c r="D252" s="3" t="inlineStr">
        <is>
          <t>other_share</t>
        </is>
      </c>
      <c r="E252" s="3" t="inlineStr">
        <is>
          <t>rur.</t>
        </is>
      </c>
      <c r="H252" s="3" t="inlineStr">
        <is>
          <t>Other: budget share, rural</t>
        </is>
      </c>
      <c r="I252" s="3" t="inlineStr">
        <is>
          <t>% consumption</t>
        </is>
      </c>
      <c r="J252" s="118" t="inlineStr">
        <is>
          <t>HHSurvey</t>
        </is>
      </c>
      <c r="K252" s="9" t="str">
        <f>LOWER(CtryCode)&amp;".distn."&amp;$A252&amp;IF($B252="","","."&amp;$B252)&amp;IF($C252="","",".dec."&amp;$C252)&amp;"."&amp;K$5</f>
        <v>egy.distn.bsh.oth.dec.rur.1</v>
      </c>
      <c r="L252" s="202">
        <f t="shared" ref="L252:V252" si="422">INDEX(DHHVal,MATCH(CtryCode&amp;".distn.bsh."&amp;L$10&amp;$E252&amp;L$9&amp;L$11,DHHKey,0),MATCH($D252,DHHVar,0))</f>
        <v>0.01056292993279169</v>
      </c>
      <c r="M252" s="196">
        <f t="shared" si="422"/>
        <v>0.01285345989779803</v>
      </c>
      <c r="N252" s="196">
        <f t="shared" si="422"/>
        <v>0.003818489555440318</v>
      </c>
      <c r="O252" s="196">
        <f t="shared" si="422"/>
        <v>0.009855990014688674</v>
      </c>
      <c r="P252" s="196">
        <f t="shared" si="422"/>
        <v>0.007568271205781139</v>
      </c>
      <c r="Q252" s="196">
        <f t="shared" si="422"/>
        <v>0.009854633185376507</v>
      </c>
      <c r="R252" s="196">
        <f t="shared" si="422"/>
        <v>0.01228655600403062</v>
      </c>
      <c r="S252" s="196">
        <f t="shared" si="422"/>
        <v>0.01504468097281721</v>
      </c>
      <c r="T252" s="196">
        <f t="shared" si="422"/>
        <v>0.01347173601110624</v>
      </c>
      <c r="U252" s="196">
        <f t="shared" si="422"/>
        <v>0.00788596252088171</v>
      </c>
      <c r="V252" s="196">
        <f t="shared" si="422"/>
        <v>0.01688506449086971</v>
      </c>
      <c r="W252" s="201" t="str">
        <f>IF(X$5=K$5,SUM(Y252:AI252)-SUM(L252:V252),"")</f>
        <v/>
      </c>
      <c r="X252" s="9" t="str">
        <f>LOWER(CtryCode)&amp;".distn."&amp;$A252&amp;IF($B252="","","."&amp;$B252)&amp;IF($C252="","",".dec."&amp;$C252)&amp;"."&amp;X$5</f>
        <v>egy.distn.bsh.oth.dec.rur.2</v>
      </c>
      <c r="Y252" s="202">
        <f t="shared" ref="Y252:AI252" si="423">INDEX(DHHVal,MATCH(CtryCode&amp;".distn.bsh."&amp;Y$10&amp;$E252&amp;Y$9&amp;Y$11,DHHKey,0),MATCH($D252,DHHVar,0))</f>
        <v>0.01056292993279169</v>
      </c>
      <c r="Z252" s="196">
        <f t="shared" si="423"/>
        <v>0.01285345989779803</v>
      </c>
      <c r="AA252" s="196">
        <f t="shared" si="423"/>
        <v>0.003818489555440318</v>
      </c>
      <c r="AB252" s="196">
        <f t="shared" si="423"/>
        <v>0.009855990014688674</v>
      </c>
      <c r="AC252" s="196">
        <f t="shared" si="423"/>
        <v>0.007568271205781139</v>
      </c>
      <c r="AD252" s="196">
        <f t="shared" si="423"/>
        <v>0.009854633185376507</v>
      </c>
      <c r="AE252" s="196">
        <f t="shared" si="423"/>
        <v>0.01228655600403062</v>
      </c>
      <c r="AF252" s="196">
        <f t="shared" si="423"/>
        <v>0.01504468097281721</v>
      </c>
      <c r="AG252" s="196">
        <f t="shared" si="423"/>
        <v>0.01347173601110624</v>
      </c>
      <c r="AH252" s="196">
        <f t="shared" si="423"/>
        <v>0.00788596252088171</v>
      </c>
      <c r="AI252" s="196">
        <f t="shared" si="423"/>
        <v>0.01688506449086971</v>
      </c>
    </row>
    <row r="253" hidden="1" outlineLevel="1">
      <c r="A253" s="44" t="inlineStr">
        <is>
          <t>bsh</t>
        </is>
      </c>
      <c r="B253" s="3" t="inlineStr">
        <is>
          <t>pap</t>
        </is>
      </c>
      <c r="C253" s="3" t="inlineStr">
        <is>
          <t>rur</t>
        </is>
      </c>
      <c r="D253" s="3" t="inlineStr">
        <is>
          <t>paper_share</t>
        </is>
      </c>
      <c r="E253" s="3" t="inlineStr">
        <is>
          <t>rur.</t>
        </is>
      </c>
      <c r="H253" s="3" t="inlineStr">
        <is>
          <t>Paper: budget share, rural</t>
        </is>
      </c>
      <c r="I253" s="3" t="inlineStr">
        <is>
          <t>% consumption</t>
        </is>
      </c>
      <c r="J253" s="118" t="inlineStr">
        <is>
          <t>HHSurvey</t>
        </is>
      </c>
      <c r="K253" s="9" t="str">
        <f>LOWER(CtryCode)&amp;".distn."&amp;$A253&amp;IF($B253="","","."&amp;$B253)&amp;IF($C253="","",".dec."&amp;$C253)&amp;"."&amp;K$5</f>
        <v>egy.distn.bsh.pap.dec.rur.1</v>
      </c>
      <c r="L253" s="202">
        <f t="shared" ref="L253:V253" si="424">INDEX(DHHVal,MATCH(CtryCode&amp;".distn.bsh."&amp;L$10&amp;$E253&amp;L$9&amp;L$11,DHHKey,0),MATCH($D253,DHHVar,0))</f>
        <v>1.774567622657703</v>
      </c>
      <c r="M253" s="196">
        <f t="shared" si="424"/>
        <v>2.138886207885075</v>
      </c>
      <c r="N253" s="196">
        <f t="shared" si="424"/>
        <v>2.269921053268085</v>
      </c>
      <c r="O253" s="196">
        <f t="shared" si="424"/>
        <v>2.066329520690246</v>
      </c>
      <c r="P253" s="196">
        <f t="shared" si="424"/>
        <v>2.144627571134747</v>
      </c>
      <c r="Q253" s="196">
        <f t="shared" si="424"/>
        <v>2.091416534501572</v>
      </c>
      <c r="R253" s="196">
        <f t="shared" si="424"/>
        <v>2.047573808742969</v>
      </c>
      <c r="S253" s="196">
        <f t="shared" si="424"/>
        <v>1.572120461159425</v>
      </c>
      <c r="T253" s="196">
        <f t="shared" si="424"/>
        <v>1.42957103397246</v>
      </c>
      <c r="U253" s="196">
        <f t="shared" si="424"/>
        <v>1.207919092581116</v>
      </c>
      <c r="V253" s="196">
        <f t="shared" si="424"/>
        <v>0.6885025091385351</v>
      </c>
      <c r="W253" s="201" t="str">
        <f>IF(X$5=K$5,SUM(Y253:AI253)-SUM(L253:V253),"")</f>
        <v/>
      </c>
      <c r="X253" s="9" t="str">
        <f>LOWER(CtryCode)&amp;".distn."&amp;$A253&amp;IF($B253="","","."&amp;$B253)&amp;IF($C253="","",".dec."&amp;$C253)&amp;"."&amp;X$5</f>
        <v>egy.distn.bsh.pap.dec.rur.2</v>
      </c>
      <c r="Y253" s="202">
        <f t="shared" ref="Y253:AI253" si="425">INDEX(DHHVal,MATCH(CtryCode&amp;".distn.bsh."&amp;Y$10&amp;$E253&amp;Y$9&amp;Y$11,DHHKey,0),MATCH($D253,DHHVar,0))</f>
        <v>1.774567622657703</v>
      </c>
      <c r="Z253" s="196">
        <f t="shared" si="425"/>
        <v>2.138886207885075</v>
      </c>
      <c r="AA253" s="196">
        <f t="shared" si="425"/>
        <v>2.269921053268085</v>
      </c>
      <c r="AB253" s="196">
        <f t="shared" si="425"/>
        <v>2.066329520690246</v>
      </c>
      <c r="AC253" s="196">
        <f t="shared" si="425"/>
        <v>2.144627571134747</v>
      </c>
      <c r="AD253" s="196">
        <f t="shared" si="425"/>
        <v>2.091416534501572</v>
      </c>
      <c r="AE253" s="196">
        <f t="shared" si="425"/>
        <v>2.047573808742969</v>
      </c>
      <c r="AF253" s="196">
        <f t="shared" si="425"/>
        <v>1.572120461159425</v>
      </c>
      <c r="AG253" s="196">
        <f t="shared" si="425"/>
        <v>1.42957103397246</v>
      </c>
      <c r="AH253" s="196">
        <f t="shared" si="425"/>
        <v>1.207919092581116</v>
      </c>
      <c r="AI253" s="196">
        <f t="shared" si="425"/>
        <v>0.6885025091385351</v>
      </c>
    </row>
    <row r="254" hidden="1" outlineLevel="1">
      <c r="A254" s="44" t="inlineStr">
        <is>
          <t>bsh</t>
        </is>
      </c>
      <c r="B254" s="3" t="inlineStr">
        <is>
          <t>pha</t>
        </is>
      </c>
      <c r="C254" s="3" t="inlineStr">
        <is>
          <t>rur</t>
        </is>
      </c>
      <c r="D254" s="3" t="inlineStr">
        <is>
          <t>pharma_share</t>
        </is>
      </c>
      <c r="E254" s="3" t="inlineStr">
        <is>
          <t>rur.</t>
        </is>
      </c>
      <c r="H254" s="3" t="inlineStr">
        <is>
          <t>Pharmaceuticals: budget share, rural</t>
        </is>
      </c>
      <c r="I254" s="3" t="inlineStr">
        <is>
          <t>% consumption</t>
        </is>
      </c>
      <c r="J254" s="118" t="inlineStr">
        <is>
          <t>HHSurvey</t>
        </is>
      </c>
      <c r="K254" s="9" t="str">
        <f>LOWER(CtryCode)&amp;".distn."&amp;$A254&amp;IF($B254="","","."&amp;$B254)&amp;IF($C254="","",".dec."&amp;$C254)&amp;"."&amp;K$5</f>
        <v>egy.distn.bsh.pha.dec.rur.1</v>
      </c>
      <c r="L254" s="202">
        <f t="shared" ref="L254:V254" si="426">INDEX(DHHVal,MATCH(CtryCode&amp;".distn.bsh."&amp;L$10&amp;$E254&amp;L$9&amp;L$11,DHHKey,0),MATCH($D254,DHHVar,0))</f>
        <v>6.203470957159648</v>
      </c>
      <c r="M254" s="196">
        <f t="shared" si="426"/>
        <v>5.214189093061323</v>
      </c>
      <c r="N254" s="196">
        <f t="shared" si="426"/>
        <v>4.761194953012367</v>
      </c>
      <c r="O254" s="196">
        <f t="shared" si="426"/>
        <v>4.800484408332764</v>
      </c>
      <c r="P254" s="196">
        <f t="shared" si="426"/>
        <v>5.223400228207054</v>
      </c>
      <c r="Q254" s="196">
        <f t="shared" si="426"/>
        <v>5.48532312079687</v>
      </c>
      <c r="R254" s="196">
        <f t="shared" si="426"/>
        <v>5.840034720957946</v>
      </c>
      <c r="S254" s="196">
        <f t="shared" si="426"/>
        <v>6.683201533633145</v>
      </c>
      <c r="T254" s="196">
        <f t="shared" si="426"/>
        <v>6.876931679120071</v>
      </c>
      <c r="U254" s="196">
        <f t="shared" si="426"/>
        <v>9.224486937155069</v>
      </c>
      <c r="V254" s="196">
        <f t="shared" si="426"/>
        <v>12.19646634843558</v>
      </c>
      <c r="W254" s="201" t="str">
        <f>IF(X$5=K$5,SUM(Y254:AI254)-SUM(L254:V254),"")</f>
        <v/>
      </c>
      <c r="X254" s="9" t="str">
        <f>LOWER(CtryCode)&amp;".distn."&amp;$A254&amp;IF($B254="","","."&amp;$B254)&amp;IF($C254="","",".dec."&amp;$C254)&amp;"."&amp;X$5</f>
        <v>egy.distn.bsh.pha.dec.rur.2</v>
      </c>
      <c r="Y254" s="202">
        <f t="shared" ref="Y254:AI254" si="427">INDEX(DHHVal,MATCH(CtryCode&amp;".distn.bsh."&amp;Y$10&amp;$E254&amp;Y$9&amp;Y$11,DHHKey,0),MATCH($D254,DHHVar,0))</f>
        <v>6.203470957159648</v>
      </c>
      <c r="Z254" s="196">
        <f t="shared" si="427"/>
        <v>5.214189093061323</v>
      </c>
      <c r="AA254" s="196">
        <f t="shared" si="427"/>
        <v>4.761194953012367</v>
      </c>
      <c r="AB254" s="196">
        <f t="shared" si="427"/>
        <v>4.800484408332764</v>
      </c>
      <c r="AC254" s="196">
        <f t="shared" si="427"/>
        <v>5.223400228207054</v>
      </c>
      <c r="AD254" s="196">
        <f t="shared" si="427"/>
        <v>5.48532312079687</v>
      </c>
      <c r="AE254" s="196">
        <f t="shared" si="427"/>
        <v>5.840034720957946</v>
      </c>
      <c r="AF254" s="196">
        <f t="shared" si="427"/>
        <v>6.683201533633145</v>
      </c>
      <c r="AG254" s="196">
        <f t="shared" si="427"/>
        <v>6.876931679120071</v>
      </c>
      <c r="AH254" s="196">
        <f t="shared" si="427"/>
        <v>9.224486937155069</v>
      </c>
      <c r="AI254" s="196">
        <f t="shared" si="427"/>
        <v>12.19646634843558</v>
      </c>
    </row>
    <row r="255" hidden="1" outlineLevel="1">
      <c r="A255" s="44" t="inlineStr">
        <is>
          <t>bsh</t>
        </is>
      </c>
      <c r="B255" s="3" t="inlineStr">
        <is>
          <t>ret</t>
        </is>
      </c>
      <c r="C255" s="3" t="inlineStr">
        <is>
          <t>rur</t>
        </is>
      </c>
      <c r="D255" s="3" t="inlineStr">
        <is>
          <t>rectourism_share</t>
        </is>
      </c>
      <c r="E255" s="3" t="inlineStr">
        <is>
          <t>rur.</t>
        </is>
      </c>
      <c r="H255" s="3" t="inlineStr">
        <is>
          <t>Recreation and tourism: budget share, rural</t>
        </is>
      </c>
      <c r="I255" s="3" t="inlineStr">
        <is>
          <t>% consumption</t>
        </is>
      </c>
      <c r="J255" s="118" t="inlineStr">
        <is>
          <t>HHSurvey</t>
        </is>
      </c>
      <c r="K255" s="9" t="str">
        <f>LOWER(CtryCode)&amp;".distn."&amp;$A255&amp;IF($B255="","","."&amp;$B255)&amp;IF($C255="","",".dec."&amp;$C255)&amp;"."&amp;K$5</f>
        <v>egy.distn.bsh.ret.dec.rur.1</v>
      </c>
      <c r="L255" s="202">
        <f t="shared" ref="L255:V255" si="428">INDEX(DHHVal,MATCH(CtryCode&amp;".distn.bsh."&amp;L$10&amp;$E255&amp;L$9&amp;L$11,DHHKey,0),MATCH($D255,DHHVar,0))</f>
        <v>6.225398258048809</v>
      </c>
      <c r="M255" s="196">
        <f t="shared" si="428"/>
        <v>6.335779204762412</v>
      </c>
      <c r="N255" s="196">
        <f t="shared" si="428"/>
        <v>6.408673286599216</v>
      </c>
      <c r="O255" s="196">
        <f t="shared" si="428"/>
        <v>5.981697087937182</v>
      </c>
      <c r="P255" s="196">
        <f t="shared" si="428"/>
        <v>6.225836621662298</v>
      </c>
      <c r="Q255" s="196">
        <f t="shared" si="428"/>
        <v>5.877138914107699</v>
      </c>
      <c r="R255" s="196">
        <f t="shared" si="428"/>
        <v>5.815207033626367</v>
      </c>
      <c r="S255" s="196">
        <f t="shared" si="428"/>
        <v>5.960076320508481</v>
      </c>
      <c r="T255" s="196">
        <f t="shared" si="428"/>
        <v>6.069795297797183</v>
      </c>
      <c r="U255" s="196">
        <f t="shared" si="428"/>
        <v>5.57335042549055</v>
      </c>
      <c r="V255" s="196">
        <f t="shared" si="428"/>
        <v>5.941046080577915</v>
      </c>
      <c r="W255" s="201" t="str">
        <f>IF(X$5=K$5,SUM(Y255:AI255)-SUM(L255:V255),"")</f>
        <v/>
      </c>
      <c r="X255" s="9" t="str">
        <f>LOWER(CtryCode)&amp;".distn."&amp;$A255&amp;IF($B255="","","."&amp;$B255)&amp;IF($C255="","",".dec."&amp;$C255)&amp;"."&amp;X$5</f>
        <v>egy.distn.bsh.ret.dec.rur.2</v>
      </c>
      <c r="Y255" s="202">
        <f t="shared" ref="Y255:AI255" si="429">INDEX(DHHVal,MATCH(CtryCode&amp;".distn.bsh."&amp;Y$10&amp;$E255&amp;Y$9&amp;Y$11,DHHKey,0),MATCH($D255,DHHVar,0))</f>
        <v>6.225398258048809</v>
      </c>
      <c r="Z255" s="196">
        <f t="shared" si="429"/>
        <v>6.335779204762412</v>
      </c>
      <c r="AA255" s="196">
        <f t="shared" si="429"/>
        <v>6.408673286599216</v>
      </c>
      <c r="AB255" s="196">
        <f t="shared" si="429"/>
        <v>5.981697087937182</v>
      </c>
      <c r="AC255" s="196">
        <f t="shared" si="429"/>
        <v>6.225836621662298</v>
      </c>
      <c r="AD255" s="196">
        <f t="shared" si="429"/>
        <v>5.877138914107699</v>
      </c>
      <c r="AE255" s="196">
        <f t="shared" si="429"/>
        <v>5.815207033626367</v>
      </c>
      <c r="AF255" s="196">
        <f t="shared" si="429"/>
        <v>5.960076320508481</v>
      </c>
      <c r="AG255" s="196">
        <f t="shared" si="429"/>
        <v>6.069795297797183</v>
      </c>
      <c r="AH255" s="196">
        <f t="shared" si="429"/>
        <v>5.57335042549055</v>
      </c>
      <c r="AI255" s="196">
        <f t="shared" si="429"/>
        <v>5.941046080577915</v>
      </c>
    </row>
    <row r="256" hidden="1" outlineLevel="1">
      <c r="A256" s="44" t="inlineStr">
        <is>
          <t>bsh</t>
        </is>
      </c>
      <c r="B256" s="3" t="inlineStr">
        <is>
          <t>teq</t>
        </is>
      </c>
      <c r="C256" s="3" t="inlineStr">
        <is>
          <t>rur</t>
        </is>
      </c>
      <c r="D256" s="3" t="inlineStr">
        <is>
          <t>transp_eqt_share</t>
        </is>
      </c>
      <c r="E256" s="3" t="inlineStr">
        <is>
          <t>rur.</t>
        </is>
      </c>
      <c r="H256" s="3" t="inlineStr">
        <is>
          <t>Transport equipment: budget share, rural</t>
        </is>
      </c>
      <c r="I256" s="3" t="inlineStr">
        <is>
          <t>% consumption</t>
        </is>
      </c>
      <c r="J256" s="118" t="inlineStr">
        <is>
          <t>HHSurvey</t>
        </is>
      </c>
      <c r="K256" s="9" t="str">
        <f>LOWER(CtryCode)&amp;".distn."&amp;$A256&amp;IF($B256="","","."&amp;$B256)&amp;IF($C256="","",".dec."&amp;$C256)&amp;"."&amp;K$5</f>
        <v>egy.distn.bsh.teq.dec.rur.1</v>
      </c>
      <c r="L256" s="202">
        <f t="shared" ref="L256:V256" si="430">INDEX(DHHVal,MATCH(CtryCode&amp;".distn.bsh."&amp;L$10&amp;$E256&amp;L$9&amp;L$11,DHHKey,0),MATCH($D256,DHHVar,0))</f>
        <v>0.3731325850332927</v>
      </c>
      <c r="M256" s="196">
        <f t="shared" si="430"/>
        <v>0.2034198686967544</v>
      </c>
      <c r="N256" s="196">
        <f t="shared" si="430"/>
        <v>0.172133940844579</v>
      </c>
      <c r="O256" s="196">
        <f t="shared" si="430"/>
        <v>0.3055482489577888</v>
      </c>
      <c r="P256" s="196">
        <f t="shared" si="430"/>
        <v>0.349534937636663</v>
      </c>
      <c r="Q256" s="196">
        <f t="shared" si="430"/>
        <v>0.275382914603985</v>
      </c>
      <c r="R256" s="196">
        <f t="shared" si="430"/>
        <v>0.3905795558215163</v>
      </c>
      <c r="S256" s="196">
        <f t="shared" si="430"/>
        <v>0.3911387443237112</v>
      </c>
      <c r="T256" s="196">
        <f t="shared" si="430"/>
        <v>0.4998074201018744</v>
      </c>
      <c r="U256" s="196">
        <f t="shared" si="430"/>
        <v>0.5886828662129374</v>
      </c>
      <c r="V256" s="196">
        <f t="shared" si="430"/>
        <v>0.5267192930544984</v>
      </c>
      <c r="W256" s="201" t="str">
        <f>IF(X$5=K$5,SUM(Y256:AI256)-SUM(L256:V256),"")</f>
        <v/>
      </c>
      <c r="X256" s="9" t="str">
        <f>LOWER(CtryCode)&amp;".distn."&amp;$A256&amp;IF($B256="","","."&amp;$B256)&amp;IF($C256="","",".dec."&amp;$C256)&amp;"."&amp;X$5</f>
        <v>egy.distn.bsh.teq.dec.rur.2</v>
      </c>
      <c r="Y256" s="202">
        <f t="shared" ref="Y256:AI256" si="431">INDEX(DHHVal,MATCH(CtryCode&amp;".distn.bsh."&amp;Y$10&amp;$E256&amp;Y$9&amp;Y$11,DHHKey,0),MATCH($D256,DHHVar,0))</f>
        <v>0.3731325850332927</v>
      </c>
      <c r="Z256" s="196">
        <f t="shared" si="431"/>
        <v>0.2034198686967544</v>
      </c>
      <c r="AA256" s="196">
        <f t="shared" si="431"/>
        <v>0.172133940844579</v>
      </c>
      <c r="AB256" s="196">
        <f t="shared" si="431"/>
        <v>0.3055482489577888</v>
      </c>
      <c r="AC256" s="196">
        <f t="shared" si="431"/>
        <v>0.349534937636663</v>
      </c>
      <c r="AD256" s="196">
        <f t="shared" si="431"/>
        <v>0.275382914603985</v>
      </c>
      <c r="AE256" s="196">
        <f t="shared" si="431"/>
        <v>0.3905795558215163</v>
      </c>
      <c r="AF256" s="196">
        <f t="shared" si="431"/>
        <v>0.3911387443237112</v>
      </c>
      <c r="AG256" s="196">
        <f t="shared" si="431"/>
        <v>0.4998074201018744</v>
      </c>
      <c r="AH256" s="196">
        <f t="shared" si="431"/>
        <v>0.5886828662129374</v>
      </c>
      <c r="AI256" s="196">
        <f t="shared" si="431"/>
        <v>0.5267192930544984</v>
      </c>
    </row>
    <row r="257" hidden="1" outlineLevel="1">
      <c r="A257" s="44" t="inlineStr">
        <is>
          <t>bsh</t>
        </is>
      </c>
      <c r="B257" s="3" t="inlineStr">
        <is>
          <t>tpu</t>
        </is>
      </c>
      <c r="C257" s="3" t="inlineStr">
        <is>
          <t>rur</t>
        </is>
      </c>
      <c r="D257" s="3" t="inlineStr">
        <is>
          <t>transp_pub_share</t>
        </is>
      </c>
      <c r="E257" s="3" t="inlineStr">
        <is>
          <t>rur.</t>
        </is>
      </c>
      <c r="H257" s="3" t="inlineStr">
        <is>
          <t>Public transport: budget share, rural</t>
        </is>
      </c>
      <c r="I257" s="3" t="inlineStr">
        <is>
          <t>% consumption</t>
        </is>
      </c>
      <c r="J257" s="118" t="inlineStr">
        <is>
          <t>HHSurvey</t>
        </is>
      </c>
      <c r="K257" s="9" t="str">
        <f>LOWER(CtryCode)&amp;".distn."&amp;$A257&amp;IF($B257="","","."&amp;$B257)&amp;IF($C257="","",".dec."&amp;$C257)&amp;"."&amp;K$5</f>
        <v>egy.distn.bsh.tpu.dec.rur.1</v>
      </c>
      <c r="L257" s="202">
        <f t="shared" ref="L257:V257" si="432">INDEX(DHHVal,MATCH(CtryCode&amp;".distn.bsh."&amp;L$10&amp;$E257&amp;L$9&amp;L$11,DHHKey,0),MATCH($D257,DHHVar,0))</f>
        <v>4.060442764245239</v>
      </c>
      <c r="M257" s="196">
        <f t="shared" si="432"/>
        <v>4.388985495668153</v>
      </c>
      <c r="N257" s="196">
        <f t="shared" si="432"/>
        <v>3.621816317248966</v>
      </c>
      <c r="O257" s="196">
        <f t="shared" si="432"/>
        <v>3.499513445572404</v>
      </c>
      <c r="P257" s="196">
        <f t="shared" si="432"/>
        <v>4.036251934519123</v>
      </c>
      <c r="Q257" s="196">
        <f t="shared" si="432"/>
        <v>4.269437227121559</v>
      </c>
      <c r="R257" s="196">
        <f t="shared" si="432"/>
        <v>4.054665777796236</v>
      </c>
      <c r="S257" s="196">
        <f t="shared" si="432"/>
        <v>4.268766428231986</v>
      </c>
      <c r="T257" s="196">
        <f t="shared" si="432"/>
        <v>4.302822858194474</v>
      </c>
      <c r="U257" s="196">
        <f t="shared" si="432"/>
        <v>4.013243384355132</v>
      </c>
      <c r="V257" s="196">
        <f t="shared" si="432"/>
        <v>3.648139712101226</v>
      </c>
      <c r="W257" s="201" t="str">
        <f>IF(X$5=K$5,SUM(Y257:AI257)-SUM(L257:V257),"")</f>
        <v/>
      </c>
      <c r="X257" s="9" t="str">
        <f>LOWER(CtryCode)&amp;".distn."&amp;$A257&amp;IF($B257="","","."&amp;$B257)&amp;IF($C257="","",".dec."&amp;$C257)&amp;"."&amp;X$5</f>
        <v>egy.distn.bsh.tpu.dec.rur.2</v>
      </c>
      <c r="Y257" s="202">
        <f t="shared" ref="Y257:AI257" si="433">INDEX(DHHVal,MATCH(CtryCode&amp;".distn.bsh."&amp;Y$10&amp;$E257&amp;Y$9&amp;Y$11,DHHKey,0),MATCH($D257,DHHVar,0))</f>
        <v>4.060442764245239</v>
      </c>
      <c r="Z257" s="196">
        <f t="shared" si="433"/>
        <v>4.388985495668153</v>
      </c>
      <c r="AA257" s="196">
        <f t="shared" si="433"/>
        <v>3.621816317248966</v>
      </c>
      <c r="AB257" s="196">
        <f t="shared" si="433"/>
        <v>3.499513445572404</v>
      </c>
      <c r="AC257" s="196">
        <f t="shared" si="433"/>
        <v>4.036251934519123</v>
      </c>
      <c r="AD257" s="196">
        <f t="shared" si="433"/>
        <v>4.269437227121559</v>
      </c>
      <c r="AE257" s="196">
        <f t="shared" si="433"/>
        <v>4.054665777796236</v>
      </c>
      <c r="AF257" s="196">
        <f t="shared" si="433"/>
        <v>4.268766428231986</v>
      </c>
      <c r="AG257" s="196">
        <f t="shared" si="433"/>
        <v>4.302822858194474</v>
      </c>
      <c r="AH257" s="196">
        <f t="shared" si="433"/>
        <v>4.013243384355132</v>
      </c>
      <c r="AI257" s="196">
        <f t="shared" si="433"/>
        <v>3.648139712101226</v>
      </c>
    </row>
    <row r="258" hidden="1" outlineLevel="1"/>
    <row r="259" collapsed="1">
      <c r="A259" s="44" t="inlineStr">
        <is>
          <t>bsh</t>
        </is>
      </c>
      <c r="B259" s="3" t="inlineStr">
        <is>
          <t>ene</t>
        </is>
      </c>
      <c r="C259" s="3" t="inlineStr">
        <is>
          <t>ove</t>
        </is>
      </c>
      <c r="D259" s="3" t="n"/>
      <c r="E259" s="3" t="n"/>
      <c r="H259" s="6" t="inlineStr">
        <is>
          <t>Energy (household fuels and biomass): budget share, overall</t>
        </is>
      </c>
      <c r="I259" s="3" t="inlineStr">
        <is>
          <t>% consumption</t>
        </is>
      </c>
      <c r="J259" s="118" t="inlineStr">
        <is>
          <t>Sum of the budget shares above</t>
        </is>
      </c>
      <c r="K259" s="9" t="str">
        <f>LOWER(CtryCode)&amp;".distn."&amp;$A259&amp;IF($B259="","","."&amp;$B259)&amp;IF($C259="","",".dec."&amp;$C259)&amp;"."&amp;K$5</f>
        <v>egy.distn.bsh.ene.dec.ove.1</v>
      </c>
      <c r="L259" s="209">
        <f t="shared" ref="L259:V259" si="434">SUM(L185:L192)+SUM(L207:L209)</f>
        <v>6.303070127217926</v>
      </c>
      <c r="M259" s="210">
        <f t="shared" si="434"/>
        <v>7.103044888550395</v>
      </c>
      <c r="N259" s="210">
        <f t="shared" si="434"/>
        <v>6.457691007085114</v>
      </c>
      <c r="O259" s="210">
        <f t="shared" si="434"/>
        <v>6.500356078984962</v>
      </c>
      <c r="P259" s="210">
        <f t="shared" si="434"/>
        <v>6.074204455026974</v>
      </c>
      <c r="Q259" s="210">
        <f t="shared" si="434"/>
        <v>5.984879056494126</v>
      </c>
      <c r="R259" s="210">
        <f t="shared" si="434"/>
        <v>5.970142023907651</v>
      </c>
      <c r="S259" s="210">
        <f t="shared" si="434"/>
        <v>6.16101683504057</v>
      </c>
      <c r="T259" s="210">
        <f t="shared" si="434"/>
        <v>6.37979551013284</v>
      </c>
      <c r="U259" s="210">
        <f t="shared" si="434"/>
        <v>6.208202365115778</v>
      </c>
      <c r="V259" s="210">
        <f t="shared" si="434"/>
        <v>6.598642924776793</v>
      </c>
      <c r="W259" s="201" t="str">
        <f>IF(X$5=K$5,SUM(Y259:AI259)-SUM(L259:V259),"")</f>
        <v/>
      </c>
      <c r="X259" s="9" t="str">
        <f>LOWER(CtryCode)&amp;".distn."&amp;$A259&amp;IF($B259="","","."&amp;$B259)&amp;IF($C259="","",".dec."&amp;$C259)&amp;"."&amp;X$5</f>
        <v>egy.distn.bsh.ene.dec.ove.2</v>
      </c>
      <c r="Y259" s="209">
        <f t="shared" ref="Y259:AI259" si="435">SUM(Y185:Y192)+SUM(Y207:Y209)</f>
        <v>6.303070127217926</v>
      </c>
      <c r="Z259" s="210">
        <f t="shared" si="435"/>
        <v>7.103044888550395</v>
      </c>
      <c r="AA259" s="210">
        <f t="shared" si="435"/>
        <v>6.457691007085114</v>
      </c>
      <c r="AB259" s="210">
        <f t="shared" si="435"/>
        <v>6.500356078984962</v>
      </c>
      <c r="AC259" s="210">
        <f t="shared" si="435"/>
        <v>6.074204455026974</v>
      </c>
      <c r="AD259" s="210">
        <f t="shared" si="435"/>
        <v>5.984879056494126</v>
      </c>
      <c r="AE259" s="210">
        <f t="shared" si="435"/>
        <v>5.970142023907651</v>
      </c>
      <c r="AF259" s="210">
        <f t="shared" si="435"/>
        <v>6.16101683504057</v>
      </c>
      <c r="AG259" s="210">
        <f t="shared" si="435"/>
        <v>6.37979551013284</v>
      </c>
      <c r="AH259" s="210">
        <f t="shared" si="435"/>
        <v>6.208202365115778</v>
      </c>
      <c r="AI259" s="210">
        <f t="shared" si="435"/>
        <v>6.598642924776793</v>
      </c>
    </row>
    <row r="260"/>
    <row r="261">
      <c r="A261" s="36" t="inlineStr">
        <is>
          <t>6</t>
        </is>
      </c>
      <c r="B261" s="37" t="inlineStr">
        <is>
          <t>Price effects on households (% of consumption, loss negative; legacy C.V-C.VII, D.II)</t>
        </is>
      </c>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row>
    <row r="262" hidden="1" outlineLevel="1"/>
    <row r="263" hidden="1" outlineLevel="1">
      <c r="B263" s="31" t="inlineStr">
        <is>
          <t>Loss before the behavioural adjustment, by sample</t>
        </is>
      </c>
    </row>
    <row r="264" hidden="1" outlineLevel="1">
      <c r="A264" s="44" t="inlineStr">
        <is>
          <t>uloss</t>
        </is>
      </c>
      <c r="B264" s="3" t="inlineStr"/>
      <c r="C264" s="3" t="inlineStr">
        <is>
          <t>ove</t>
        </is>
      </c>
      <c r="D264" s="3" t="n"/>
      <c r="E264" s="3" t="n"/>
      <c r="H264" s="3" t="inlineStr">
        <is>
          <t>Loss before adjustment, overall</t>
        </is>
      </c>
      <c r="I264" s="3" t="inlineStr">
        <is>
          <t>% consumption</t>
        </is>
      </c>
      <c r="J264" s="118" t="inlineStr">
        <is>
          <t>Sum of price factor x budget share</t>
        </is>
      </c>
      <c r="K264" s="9" t="str">
        <f>LOWER(CtryCode)&amp;".distn."&amp;$A264&amp;IF($B264="","","."&amp;$B264)&amp;IF($C264="","",".dec."&amp;$C264)&amp;"."&amp;K$5</f>
        <v>egy.distn.uloss.dec.ove.1</v>
      </c>
      <c r="L264" s="202">
        <f t="shared" ref="L264:V264" si="436">SUMPRODUCT(L157:L178,L185:L206)</f>
        <v>0.0</v>
      </c>
      <c r="M264" s="196">
        <f t="shared" si="436"/>
        <v>0.0</v>
      </c>
      <c r="N264" s="196">
        <f t="shared" si="436"/>
        <v>0.0</v>
      </c>
      <c r="O264" s="196">
        <f t="shared" si="436"/>
        <v>0.0</v>
      </c>
      <c r="P264" s="196">
        <f t="shared" si="436"/>
        <v>0.0</v>
      </c>
      <c r="Q264" s="196">
        <f t="shared" si="436"/>
        <v>0.0</v>
      </c>
      <c r="R264" s="196">
        <f t="shared" si="436"/>
        <v>0.0</v>
      </c>
      <c r="S264" s="196">
        <f t="shared" si="436"/>
        <v>0.0</v>
      </c>
      <c r="T264" s="196">
        <f t="shared" si="436"/>
        <v>0.0</v>
      </c>
      <c r="U264" s="196">
        <f t="shared" si="436"/>
        <v>0.0</v>
      </c>
      <c r="V264" s="196">
        <f t="shared" si="436"/>
        <v>0.0</v>
      </c>
      <c r="W264" s="201" t="str">
        <f>IF(X$5=K$5,SUM(Y264:AI264)-SUM(L264:V264),"")</f>
        <v/>
      </c>
      <c r="X264" s="9" t="str">
        <f>LOWER(CtryCode)&amp;".distn."&amp;$A264&amp;IF($B264="","","."&amp;$B264)&amp;IF($C264="","",".dec."&amp;$C264)&amp;"."&amp;X$5</f>
        <v>egy.distn.uloss.dec.ove.2</v>
      </c>
      <c r="Y264" s="202">
        <f t="shared" ref="Y264:AI264" si="437">SUMPRODUCT(Y157:Y178,Y185:Y206)</f>
        <v>1.4577731442483484</v>
      </c>
      <c r="Z264" s="196">
        <f t="shared" si="437"/>
        <v>1.665654034841969</v>
      </c>
      <c r="AA264" s="196">
        <f t="shared" si="437"/>
        <v>1.5203874002335405</v>
      </c>
      <c r="AB264" s="196">
        <f t="shared" si="437"/>
        <v>1.5081143473342287</v>
      </c>
      <c r="AC264" s="196">
        <f t="shared" si="437"/>
        <v>1.4092672323890771</v>
      </c>
      <c r="AD264" s="196">
        <f t="shared" si="437"/>
        <v>1.3914522298321172</v>
      </c>
      <c r="AE264" s="196">
        <f t="shared" si="437"/>
        <v>1.3877229564404268</v>
      </c>
      <c r="AF264" s="196">
        <f t="shared" si="437"/>
        <v>1.4180823263436275</v>
      </c>
      <c r="AG264" s="196">
        <f t="shared" si="437"/>
        <v>1.4604655680638818</v>
      </c>
      <c r="AH264" s="196">
        <f t="shared" si="437"/>
        <v>1.411292378953322</v>
      </c>
      <c r="AI264" s="196">
        <f t="shared" si="437"/>
        <v>1.4886996718844943</v>
      </c>
    </row>
    <row r="265" hidden="1" outlineLevel="1">
      <c r="A265" s="44" t="inlineStr">
        <is>
          <t>uloss</t>
        </is>
      </c>
      <c r="B265" s="3" t="inlineStr"/>
      <c r="C265" s="3" t="inlineStr">
        <is>
          <t>urb</t>
        </is>
      </c>
      <c r="D265" s="3" t="n"/>
      <c r="E265" s="3" t="n"/>
      <c r="H265" s="3" t="inlineStr">
        <is>
          <t>Loss before adjustment, urban</t>
        </is>
      </c>
      <c r="I265" s="3" t="inlineStr">
        <is>
          <t>% consumption</t>
        </is>
      </c>
      <c r="J265" s="118" t="inlineStr">
        <is>
          <t>Sum of price factor x budget share</t>
        </is>
      </c>
      <c r="K265" s="9" t="str">
        <f>LOWER(CtryCode)&amp;".distn."&amp;$A265&amp;IF($B265="","","."&amp;$B265)&amp;IF($C265="","",".dec."&amp;$C265)&amp;"."&amp;K$5</f>
        <v>egy.distn.uloss.dec.urb.1</v>
      </c>
      <c r="L265" s="202">
        <f t="shared" ref="L265:V265" si="438">SUMPRODUCT(L157:L178,L212:L233)</f>
        <v>0.0</v>
      </c>
      <c r="M265" s="196">
        <f t="shared" si="438"/>
        <v>0.0</v>
      </c>
      <c r="N265" s="196">
        <f t="shared" si="438"/>
        <v>0.0</v>
      </c>
      <c r="O265" s="196">
        <f t="shared" si="438"/>
        <v>0.0</v>
      </c>
      <c r="P265" s="196">
        <f t="shared" si="438"/>
        <v>0.0</v>
      </c>
      <c r="Q265" s="196">
        <f t="shared" si="438"/>
        <v>0.0</v>
      </c>
      <c r="R265" s="196">
        <f t="shared" si="438"/>
        <v>0.0</v>
      </c>
      <c r="S265" s="196">
        <f t="shared" si="438"/>
        <v>0.0</v>
      </c>
      <c r="T265" s="196">
        <f t="shared" si="438"/>
        <v>0.0</v>
      </c>
      <c r="U265" s="196">
        <f t="shared" si="438"/>
        <v>0.0</v>
      </c>
      <c r="V265" s="196">
        <f t="shared" si="438"/>
        <v>0.0</v>
      </c>
      <c r="W265" s="201" t="str">
        <f>IF(X$5=K$5,SUM(Y265:AI265)-SUM(L265:V265),"")</f>
        <v/>
      </c>
      <c r="X265" s="9" t="str">
        <f>LOWER(CtryCode)&amp;".distn."&amp;$A265&amp;IF($B265="","","."&amp;$B265)&amp;IF($C265="","",".dec."&amp;$C265)&amp;"."&amp;X$5</f>
        <v>egy.distn.uloss.dec.urb.2</v>
      </c>
      <c r="Y265" s="202">
        <f t="shared" ref="Y265:AI265" si="439">SUMPRODUCT(Y157:Y178,Y212:Y233)</f>
        <v>1.4472269616601219</v>
      </c>
      <c r="Z265" s="196">
        <f t="shared" si="439"/>
        <v>1.5590235379339559</v>
      </c>
      <c r="AA265" s="196">
        <f t="shared" si="439"/>
        <v>1.3790779103955206</v>
      </c>
      <c r="AB265" s="196">
        <f t="shared" si="439"/>
        <v>1.4075275191708856</v>
      </c>
      <c r="AC265" s="196">
        <f t="shared" si="439"/>
        <v>1.3593122278787462</v>
      </c>
      <c r="AD265" s="196">
        <f t="shared" si="439"/>
        <v>1.3360890761990147</v>
      </c>
      <c r="AE265" s="196">
        <f t="shared" si="439"/>
        <v>1.3389166891070143</v>
      </c>
      <c r="AF265" s="196">
        <f t="shared" si="439"/>
        <v>1.4268071394317008</v>
      </c>
      <c r="AG265" s="196">
        <f t="shared" si="439"/>
        <v>1.3458391476228861</v>
      </c>
      <c r="AH265" s="196">
        <f t="shared" si="439"/>
        <v>1.4003868357770564</v>
      </c>
      <c r="AI265" s="196">
        <f t="shared" si="439"/>
        <v>1.4224622079112281</v>
      </c>
    </row>
    <row r="266" hidden="1" outlineLevel="1">
      <c r="A266" s="44" t="inlineStr">
        <is>
          <t>uloss</t>
        </is>
      </c>
      <c r="B266" s="3" t="inlineStr"/>
      <c r="C266" s="3" t="inlineStr">
        <is>
          <t>rur</t>
        </is>
      </c>
      <c r="D266" s="3" t="n"/>
      <c r="E266" s="3" t="n"/>
      <c r="H266" s="3" t="inlineStr">
        <is>
          <t>Loss before adjustment, rural</t>
        </is>
      </c>
      <c r="I266" s="3" t="inlineStr">
        <is>
          <t>% consumption</t>
        </is>
      </c>
      <c r="J266" s="118" t="inlineStr">
        <is>
          <t>Sum of price factor x budget share</t>
        </is>
      </c>
      <c r="K266" s="9" t="str">
        <f>LOWER(CtryCode)&amp;".distn."&amp;$A266&amp;IF($B266="","","."&amp;$B266)&amp;IF($C266="","",".dec."&amp;$C266)&amp;"."&amp;K$5</f>
        <v>egy.distn.uloss.dec.rur.1</v>
      </c>
      <c r="L266" s="202">
        <f t="shared" ref="L266:V266" si="440">SUMPRODUCT(L157:L178,L236:L257)</f>
        <v>0.0</v>
      </c>
      <c r="M266" s="196">
        <f t="shared" si="440"/>
        <v>0.0</v>
      </c>
      <c r="N266" s="196">
        <f t="shared" si="440"/>
        <v>0.0</v>
      </c>
      <c r="O266" s="196">
        <f t="shared" si="440"/>
        <v>0.0</v>
      </c>
      <c r="P266" s="196">
        <f t="shared" si="440"/>
        <v>0.0</v>
      </c>
      <c r="Q266" s="196">
        <f t="shared" si="440"/>
        <v>0.0</v>
      </c>
      <c r="R266" s="196">
        <f t="shared" si="440"/>
        <v>0.0</v>
      </c>
      <c r="S266" s="196">
        <f t="shared" si="440"/>
        <v>0.0</v>
      </c>
      <c r="T266" s="196">
        <f t="shared" si="440"/>
        <v>0.0</v>
      </c>
      <c r="U266" s="196">
        <f t="shared" si="440"/>
        <v>0.0</v>
      </c>
      <c r="V266" s="196">
        <f t="shared" si="440"/>
        <v>0.0</v>
      </c>
      <c r="W266" s="201" t="str">
        <f>IF(X$5=K$5,SUM(Y266:AI266)-SUM(L266:V266),"")</f>
        <v/>
      </c>
      <c r="X266" s="9" t="str">
        <f>LOWER(CtryCode)&amp;".distn."&amp;$A266&amp;IF($B266="","","."&amp;$B266)&amp;IF($C266="","",".dec."&amp;$C266)&amp;"."&amp;X$5</f>
        <v>egy.distn.uloss.dec.rur.2</v>
      </c>
      <c r="Y266" s="202">
        <f t="shared" ref="Y266:AI266" si="441">SUMPRODUCT(Y157:Y178,Y236:Y257)</f>
        <v>1.473941895926746</v>
      </c>
      <c r="Z266" s="196">
        <f t="shared" si="441"/>
        <v>1.7183684084453175</v>
      </c>
      <c r="AA266" s="196">
        <f t="shared" si="441"/>
        <v>1.545612243189054</v>
      </c>
      <c r="AB266" s="196">
        <f t="shared" si="441"/>
        <v>1.4460135821910756</v>
      </c>
      <c r="AC266" s="196">
        <f t="shared" si="441"/>
        <v>1.4829079154436964</v>
      </c>
      <c r="AD266" s="196">
        <f t="shared" si="441"/>
        <v>1.4229136713442179</v>
      </c>
      <c r="AE266" s="196">
        <f t="shared" si="441"/>
        <v>1.4088681649805326</v>
      </c>
      <c r="AF266" s="196">
        <f t="shared" si="441"/>
        <v>1.3652817248334799</v>
      </c>
      <c r="AG266" s="196">
        <f t="shared" si="441"/>
        <v>1.431214551053379</v>
      </c>
      <c r="AH266" s="196">
        <f t="shared" si="441"/>
        <v>1.4693062141134532</v>
      </c>
      <c r="AI266" s="196">
        <f t="shared" si="441"/>
        <v>1.5085430858483886</v>
      </c>
    </row>
    <row r="267" hidden="1" outlineLevel="1"/>
    <row r="268" hidden="1" outlineLevel="1">
      <c r="B268" s="31" t="inlineStr">
        <is>
          <t>Behavioural adjustment and deadweight loss (MTInputs InferredDist, DWLs)</t>
        </is>
      </c>
    </row>
    <row r="269" hidden="1" outlineLevel="1">
      <c r="A269" s="44" t="inlineStr">
        <is>
          <t>revimpl</t>
        </is>
      </c>
      <c r="B269" s="3" t="inlineStr"/>
      <c r="C269" s="3" t="inlineStr"/>
      <c r="D269" s="3" t="n"/>
      <c r="E269" s="3" t="n"/>
      <c r="H269" s="3" t="inlineStr">
        <is>
          <t>Revenue implied by the price effects (overall, deciles)</t>
        </is>
      </c>
      <c r="I269" s="3" t="inlineStr">
        <is>
          <t>LCU</t>
        </is>
      </c>
      <c r="J269" s="118" t="inlineStr">
        <is>
          <t>legacy I144</t>
        </is>
      </c>
      <c r="K269" s="9" t="str">
        <f>LOWER(CtryCode)&amp;".distn."&amp;$A269&amp;IF($B269="","","."&amp;$B269)&amp;IF($C269="","",".dec."&amp;$C269)&amp;"."&amp;K$5</f>
        <v>egy.distn.revimpl.1</v>
      </c>
      <c r="L269" s="108">
        <f>SUMPRODUCT(M264:V264,M331:V331)/PctPerUnit</f>
        <v>0.0</v>
      </c>
      <c r="M269" s="109">
        <f t="shared" ref="M269:V269" si="442">L269</f>
        <v>0.0</v>
      </c>
      <c r="N269" s="109">
        <f t="shared" si="442"/>
        <v>0.0</v>
      </c>
      <c r="O269" s="109">
        <f t="shared" si="442"/>
        <v>0.0</v>
      </c>
      <c r="P269" s="109">
        <f t="shared" si="442"/>
        <v>0.0</v>
      </c>
      <c r="Q269" s="109">
        <f t="shared" si="442"/>
        <v>0.0</v>
      </c>
      <c r="R269" s="109">
        <f t="shared" si="442"/>
        <v>0.0</v>
      </c>
      <c r="S269" s="109">
        <f t="shared" si="442"/>
        <v>0.0</v>
      </c>
      <c r="T269" s="109">
        <f t="shared" si="442"/>
        <v>0.0</v>
      </c>
      <c r="U269" s="109">
        <f t="shared" si="442"/>
        <v>0.0</v>
      </c>
      <c r="V269" s="109">
        <f t="shared" si="442"/>
        <v>0.0</v>
      </c>
      <c r="W269" s="201" t="str">
        <f>IF(X$5=K$5,SUM(Y269:AI269)-SUM(L269:V269),"")</f>
        <v/>
      </c>
      <c r="X269" s="9" t="str">
        <f>LOWER(CtryCode)&amp;".distn."&amp;$A269&amp;IF($B269="","","."&amp;$B269)&amp;IF($C269="","",".dec."&amp;$C269)&amp;"."&amp;X$5</f>
        <v>egy.distn.revimpl.2</v>
      </c>
      <c r="Y269" s="108">
        <f>SUMPRODUCT(Z264:AI264,Z331:AI331)/PctPerUnit</f>
        <v>125698557198.22156</v>
      </c>
      <c r="Z269" s="109">
        <f t="shared" ref="Z269:AI269" si="443">Y269</f>
        <v>125698557198.22156</v>
      </c>
      <c r="AA269" s="109">
        <f t="shared" si="443"/>
        <v>125698557198.22156</v>
      </c>
      <c r="AB269" s="109">
        <f t="shared" si="443"/>
        <v>125698557198.22156</v>
      </c>
      <c r="AC269" s="109">
        <f t="shared" si="443"/>
        <v>125698557198.22156</v>
      </c>
      <c r="AD269" s="109">
        <f t="shared" si="443"/>
        <v>125698557198.22156</v>
      </c>
      <c r="AE269" s="109">
        <f t="shared" si="443"/>
        <v>125698557198.22156</v>
      </c>
      <c r="AF269" s="109">
        <f t="shared" si="443"/>
        <v>125698557198.22156</v>
      </c>
      <c r="AG269" s="109">
        <f t="shared" si="443"/>
        <v>125698557198.22156</v>
      </c>
      <c r="AH269" s="109">
        <f t="shared" si="443"/>
        <v>125698557198.22156</v>
      </c>
      <c r="AI269" s="109">
        <f t="shared" si="443"/>
        <v>125698557198.22156</v>
      </c>
    </row>
    <row r="270" hidden="1" outlineLevel="1">
      <c r="A270" s="44" t="inlineStr">
        <is>
          <t>badj</t>
        </is>
      </c>
      <c r="B270" s="3" t="inlineStr"/>
      <c r="C270" s="3" t="inlineStr"/>
      <c r="D270" s="3" t="n"/>
      <c r="E270" s="3" t="n"/>
      <c r="H270" s="3" t="inlineStr">
        <is>
          <t>Behavioural adjustment factor</t>
        </is>
      </c>
      <c r="I270" s="3" t="inlineStr">
        <is>
          <t>ratio</t>
        </is>
      </c>
      <c r="J270" s="118" t="inlineStr">
        <is>
          <t>legacy I145</t>
        </is>
      </c>
      <c r="K270" s="9" t="str">
        <f>LOWER(CtryCode)&amp;".distn."&amp;$A270&amp;IF($B270="","","."&amp;$B270)&amp;IF($C270="","",".dec."&amp;$C270)&amp;"."&amp;K$5</f>
        <v>egy.distn.badj.1</v>
      </c>
      <c r="L270" s="202">
        <f>IF(LEFT(L$20,3)="Yes",MIN(1,MAX(0,L$86/L$269)),1)</f>
        <v>1.0</v>
      </c>
      <c r="M270" s="196">
        <f t="shared" ref="M270:V270" si="444">L270</f>
        <v>1.0</v>
      </c>
      <c r="N270" s="196">
        <f t="shared" si="444"/>
        <v>1.0</v>
      </c>
      <c r="O270" s="196">
        <f t="shared" si="444"/>
        <v>1.0</v>
      </c>
      <c r="P270" s="196">
        <f t="shared" si="444"/>
        <v>1.0</v>
      </c>
      <c r="Q270" s="196">
        <f t="shared" si="444"/>
        <v>1.0</v>
      </c>
      <c r="R270" s="196">
        <f t="shared" si="444"/>
        <v>1.0</v>
      </c>
      <c r="S270" s="196">
        <f t="shared" si="444"/>
        <v>1.0</v>
      </c>
      <c r="T270" s="196">
        <f t="shared" si="444"/>
        <v>1.0</v>
      </c>
      <c r="U270" s="196">
        <f t="shared" si="444"/>
        <v>1.0</v>
      </c>
      <c r="V270" s="196">
        <f t="shared" si="444"/>
        <v>1.0</v>
      </c>
      <c r="W270" s="201" t="str">
        <f>IF(X$5=K$5,SUM(Y270:AI270)-SUM(L270:V270),"")</f>
        <v/>
      </c>
      <c r="X270" s="9" t="str">
        <f>LOWER(CtryCode)&amp;".distn."&amp;$A270&amp;IF($B270="","","."&amp;$B270)&amp;IF($C270="","",".dec."&amp;$C270)&amp;"."&amp;X$5</f>
        <v>egy.distn.badj.2</v>
      </c>
      <c r="Y270" s="202">
        <f>IF(LEFT(Y$20,3)="Yes",MIN(1,MAX(0,Y$86/Y$269)),1)</f>
        <v>1.0</v>
      </c>
      <c r="Z270" s="196">
        <f t="shared" ref="Z270:AI270" si="445">Y270</f>
        <v>1.0</v>
      </c>
      <c r="AA270" s="196">
        <f t="shared" si="445"/>
        <v>1.0</v>
      </c>
      <c r="AB270" s="196">
        <f t="shared" si="445"/>
        <v>1.0</v>
      </c>
      <c r="AC270" s="196">
        <f t="shared" si="445"/>
        <v>1.0</v>
      </c>
      <c r="AD270" s="196">
        <f t="shared" si="445"/>
        <v>1.0</v>
      </c>
      <c r="AE270" s="196">
        <f t="shared" si="445"/>
        <v>1.0</v>
      </c>
      <c r="AF270" s="196">
        <f t="shared" si="445"/>
        <v>1.0</v>
      </c>
      <c r="AG270" s="196">
        <f t="shared" si="445"/>
        <v>1.0</v>
      </c>
      <c r="AH270" s="196">
        <f t="shared" si="445"/>
        <v>1.0</v>
      </c>
      <c r="AI270" s="196">
        <f t="shared" si="445"/>
        <v>1.0</v>
      </c>
    </row>
    <row r="271" hidden="1" outlineLevel="1">
      <c r="A271" s="44" t="inlineStr">
        <is>
          <t>lscale</t>
        </is>
      </c>
      <c r="B271" s="3" t="inlineStr"/>
      <c r="C271" s="3" t="inlineStr"/>
      <c r="D271" s="3" t="n"/>
      <c r="E271" s="3" t="n"/>
      <c r="H271" s="3" t="inlineStr">
        <is>
          <t>Loss scale: adjustment factor + deadweight loss (1/2 x (1 - factor))</t>
        </is>
      </c>
      <c r="I271" s="3" t="inlineStr">
        <is>
          <t>ratio</t>
        </is>
      </c>
      <c r="J271" s="118" t="inlineStr">
        <is>
          <t>legacy rows 830-883 (units corrected)</t>
        </is>
      </c>
      <c r="K271" s="9" t="str">
        <f>LOWER(CtryCode)&amp;".distn."&amp;$A271&amp;IF($B271="","","."&amp;$B271)&amp;IF($C271="","",".dec."&amp;$C271)&amp;"."&amp;K$5</f>
        <v>egy.distn.lscale.1</v>
      </c>
      <c r="L271" s="202">
        <f>L$270+IF(LEFT(L$21,3)="Yes",DWLTri*(1-L$270),0)</f>
        <v>1.0</v>
      </c>
      <c r="M271" s="196">
        <f t="shared" ref="M271:V271" si="446">L271</f>
        <v>1.0</v>
      </c>
      <c r="N271" s="196">
        <f t="shared" si="446"/>
        <v>1.0</v>
      </c>
      <c r="O271" s="196">
        <f t="shared" si="446"/>
        <v>1.0</v>
      </c>
      <c r="P271" s="196">
        <f t="shared" si="446"/>
        <v>1.0</v>
      </c>
      <c r="Q271" s="196">
        <f t="shared" si="446"/>
        <v>1.0</v>
      </c>
      <c r="R271" s="196">
        <f t="shared" si="446"/>
        <v>1.0</v>
      </c>
      <c r="S271" s="196">
        <f t="shared" si="446"/>
        <v>1.0</v>
      </c>
      <c r="T271" s="196">
        <f t="shared" si="446"/>
        <v>1.0</v>
      </c>
      <c r="U271" s="196">
        <f t="shared" si="446"/>
        <v>1.0</v>
      </c>
      <c r="V271" s="196">
        <f t="shared" si="446"/>
        <v>1.0</v>
      </c>
      <c r="W271" s="201" t="str">
        <f>IF(X$5=K$5,SUM(Y271:AI271)-SUM(L271:V271),"")</f>
        <v/>
      </c>
      <c r="X271" s="9" t="str">
        <f>LOWER(CtryCode)&amp;".distn."&amp;$A271&amp;IF($B271="","","."&amp;$B271)&amp;IF($C271="","",".dec."&amp;$C271)&amp;"."&amp;X$5</f>
        <v>egy.distn.lscale.2</v>
      </c>
      <c r="Y271" s="202">
        <f>Y$270+IF(LEFT(Y$21,3)="Yes",DWLTri*(1-Y$270),0)</f>
        <v>1.0</v>
      </c>
      <c r="Z271" s="196">
        <f t="shared" ref="Z271:AI271" si="447">Y271</f>
        <v>1.0</v>
      </c>
      <c r="AA271" s="196">
        <f t="shared" si="447"/>
        <v>1.0</v>
      </c>
      <c r="AB271" s="196">
        <f t="shared" si="447"/>
        <v>1.0</v>
      </c>
      <c r="AC271" s="196">
        <f t="shared" si="447"/>
        <v>1.0</v>
      </c>
      <c r="AD271" s="196">
        <f t="shared" si="447"/>
        <v>1.0</v>
      </c>
      <c r="AE271" s="196">
        <f t="shared" si="447"/>
        <v>1.0</v>
      </c>
      <c r="AF271" s="196">
        <f t="shared" si="447"/>
        <v>1.0</v>
      </c>
      <c r="AG271" s="196">
        <f t="shared" si="447"/>
        <v>1.0</v>
      </c>
      <c r="AH271" s="196">
        <f t="shared" si="447"/>
        <v>1.0</v>
      </c>
      <c r="AI271" s="196">
        <f t="shared" si="447"/>
        <v>1.0</v>
      </c>
    </row>
    <row r="272" hidden="1" outlineLevel="1"/>
    <row r="273" hidden="1" outlineLevel="1">
      <c r="B273" s="31" t="inlineStr">
        <is>
          <t>Direct effects (fuels), overall</t>
        </is>
      </c>
    </row>
    <row r="274" hidden="1" outlineLevel="1">
      <c r="A274" s="44" t="inlineStr">
        <is>
          <t>def</t>
        </is>
      </c>
      <c r="B274" s="3" t="inlineStr">
        <is>
          <t>coa</t>
        </is>
      </c>
      <c r="C274" s="3" t="inlineStr">
        <is>
          <t>ove</t>
        </is>
      </c>
      <c r="D274" s="3" t="n"/>
      <c r="E274" s="3" t="n"/>
      <c r="H274" s="3" t="inlineStr">
        <is>
          <t>Coal: direct effect</t>
        </is>
      </c>
      <c r="I274" s="3" t="inlineStr">
        <is>
          <t>% consumption</t>
        </is>
      </c>
      <c r="J274" s="118" t="inlineStr">
        <is>
          <t>legacy D.II 2828-2835</t>
        </is>
      </c>
      <c r="K274" s="9" t="str">
        <f>LOWER(CtryCode)&amp;".distn."&amp;$A274&amp;IF($B274="","","."&amp;$B274)&amp;IF($C274="","",".dec."&amp;$C274)&amp;"."&amp;K$5</f>
        <v>egy.distn.def.coa.dec.ove.1</v>
      </c>
      <c r="L274" s="202">
        <f t="shared" ref="L274:V274" si="448">-L157*L185*L$271</f>
        <v>-0.0</v>
      </c>
      <c r="M274" s="196">
        <f t="shared" si="448"/>
        <v>-0.0</v>
      </c>
      <c r="N274" s="196">
        <f t="shared" si="448"/>
        <v>-0.0</v>
      </c>
      <c r="O274" s="196">
        <f t="shared" si="448"/>
        <v>-0.0</v>
      </c>
      <c r="P274" s="196">
        <f t="shared" si="448"/>
        <v>-0.0</v>
      </c>
      <c r="Q274" s="196">
        <f t="shared" si="448"/>
        <v>-0.0</v>
      </c>
      <c r="R274" s="196">
        <f t="shared" si="448"/>
        <v>-0.0</v>
      </c>
      <c r="S274" s="196">
        <f t="shared" si="448"/>
        <v>-0.0</v>
      </c>
      <c r="T274" s="196">
        <f t="shared" si="448"/>
        <v>-0.0</v>
      </c>
      <c r="U274" s="196">
        <f t="shared" si="448"/>
        <v>-0.0</v>
      </c>
      <c r="V274" s="196">
        <f t="shared" si="448"/>
        <v>-0.0</v>
      </c>
      <c r="W274" s="201" t="str">
        <f>IF(X$5=K$5,SUM(Y274:AI274)-SUM(L274:V274),"")</f>
        <v/>
      </c>
      <c r="X274" s="9" t="str">
        <f>LOWER(CtryCode)&amp;".distn."&amp;$A274&amp;IF($B274="","","."&amp;$B274)&amp;IF($C274="","",".dec."&amp;$C274)&amp;"."&amp;X$5</f>
        <v>egy.distn.def.coa.dec.ove.2</v>
      </c>
      <c r="Y274" s="202">
        <f t="shared" ref="Y274:AI274" si="449">-Y157*Y185*Y$271</f>
        <v>-0.0</v>
      </c>
      <c r="Z274" s="196">
        <f t="shared" si="449"/>
        <v>-0.0</v>
      </c>
      <c r="AA274" s="196">
        <f t="shared" si="449"/>
        <v>-0.0</v>
      </c>
      <c r="AB274" s="196">
        <f t="shared" si="449"/>
        <v>-0.0</v>
      </c>
      <c r="AC274" s="196">
        <f t="shared" si="449"/>
        <v>-0.0</v>
      </c>
      <c r="AD274" s="196">
        <f t="shared" si="449"/>
        <v>-0.0</v>
      </c>
      <c r="AE274" s="196">
        <f t="shared" si="449"/>
        <v>-0.0</v>
      </c>
      <c r="AF274" s="196">
        <f t="shared" si="449"/>
        <v>-0.0</v>
      </c>
      <c r="AG274" s="196">
        <f t="shared" si="449"/>
        <v>-0.0</v>
      </c>
      <c r="AH274" s="196">
        <f t="shared" si="449"/>
        <v>-0.0</v>
      </c>
      <c r="AI274" s="196">
        <f t="shared" si="449"/>
        <v>-0.0</v>
      </c>
    </row>
    <row r="275" hidden="1" outlineLevel="1">
      <c r="A275" s="44" t="inlineStr">
        <is>
          <t>def</t>
        </is>
      </c>
      <c r="B275" s="3" t="inlineStr">
        <is>
          <t>ely</t>
        </is>
      </c>
      <c r="C275" s="3" t="inlineStr">
        <is>
          <t>ove</t>
        </is>
      </c>
      <c r="D275" s="3" t="n"/>
      <c r="E275" s="3" t="n"/>
      <c r="H275" s="3" t="inlineStr">
        <is>
          <t>Electricity: direct effect</t>
        </is>
      </c>
      <c r="I275" s="3" t="inlineStr">
        <is>
          <t>% consumption</t>
        </is>
      </c>
      <c r="J275" s="118" t="inlineStr">
        <is>
          <t>legacy D.II 2828-2835</t>
        </is>
      </c>
      <c r="K275" s="9" t="str">
        <f>LOWER(CtryCode)&amp;".distn."&amp;$A275&amp;IF($B275="","","."&amp;$B275)&amp;IF($C275="","",".dec."&amp;$C275)&amp;"."&amp;K$5</f>
        <v>egy.distn.def.ely.dec.ove.1</v>
      </c>
      <c r="L275" s="202">
        <f t="shared" ref="L275:V275" si="450">-L158*L186*L$271</f>
        <v>-0.0</v>
      </c>
      <c r="M275" s="196">
        <f t="shared" si="450"/>
        <v>-0.0</v>
      </c>
      <c r="N275" s="196">
        <f t="shared" si="450"/>
        <v>-0.0</v>
      </c>
      <c r="O275" s="196">
        <f t="shared" si="450"/>
        <v>-0.0</v>
      </c>
      <c r="P275" s="196">
        <f t="shared" si="450"/>
        <v>-0.0</v>
      </c>
      <c r="Q275" s="196">
        <f t="shared" si="450"/>
        <v>-0.0</v>
      </c>
      <c r="R275" s="196">
        <f t="shared" si="450"/>
        <v>-0.0</v>
      </c>
      <c r="S275" s="196">
        <f t="shared" si="450"/>
        <v>-0.0</v>
      </c>
      <c r="T275" s="196">
        <f t="shared" si="450"/>
        <v>-0.0</v>
      </c>
      <c r="U275" s="196">
        <f t="shared" si="450"/>
        <v>-0.0</v>
      </c>
      <c r="V275" s="196">
        <f t="shared" si="450"/>
        <v>-0.0</v>
      </c>
      <c r="W275" s="201" t="str">
        <f>IF(X$5=K$5,SUM(Y275:AI275)-SUM(L275:V275),"")</f>
        <v/>
      </c>
      <c r="X275" s="9" t="str">
        <f>LOWER(CtryCode)&amp;".distn."&amp;$A275&amp;IF($B275="","","."&amp;$B275)&amp;IF($C275="","",".dec."&amp;$C275)&amp;"."&amp;X$5</f>
        <v>egy.distn.def.ely.dec.ove.2</v>
      </c>
      <c r="Y275" s="202">
        <f t="shared" ref="Y275:AI275" si="451">-Y158*Y186*Y$271</f>
        <v>-0.5636042115679096</v>
      </c>
      <c r="Z275" s="196">
        <f t="shared" si="451"/>
        <v>-0.5988749857931774</v>
      </c>
      <c r="AA275" s="196">
        <f t="shared" si="451"/>
        <v>-0.5464133261509394</v>
      </c>
      <c r="AB275" s="196">
        <f t="shared" si="451"/>
        <v>-0.5643093887127584</v>
      </c>
      <c r="AC275" s="196">
        <f t="shared" si="451"/>
        <v>-0.5470993779970791</v>
      </c>
      <c r="AD275" s="196">
        <f t="shared" si="451"/>
        <v>-0.5303275472877932</v>
      </c>
      <c r="AE275" s="196">
        <f t="shared" si="451"/>
        <v>-0.5370376393271739</v>
      </c>
      <c r="AF275" s="196">
        <f t="shared" si="451"/>
        <v>-0.561089267031017</v>
      </c>
      <c r="AG275" s="196">
        <f t="shared" si="451"/>
        <v>-0.6028528912532503</v>
      </c>
      <c r="AH275" s="196">
        <f t="shared" si="451"/>
        <v>-0.6103915683837844</v>
      </c>
      <c r="AI275" s="196">
        <f t="shared" si="451"/>
        <v>-0.6464534751518736</v>
      </c>
    </row>
    <row r="276" hidden="1" outlineLevel="1">
      <c r="A276" s="44" t="inlineStr">
        <is>
          <t>def</t>
        </is>
      </c>
      <c r="B276" s="3" t="inlineStr">
        <is>
          <t>nga</t>
        </is>
      </c>
      <c r="C276" s="3" t="inlineStr">
        <is>
          <t>ove</t>
        </is>
      </c>
      <c r="D276" s="3" t="n"/>
      <c r="E276" s="3" t="n"/>
      <c r="H276" s="3" t="inlineStr">
        <is>
          <t>Natural gas: direct effect</t>
        </is>
      </c>
      <c r="I276" s="3" t="inlineStr">
        <is>
          <t>% consumption</t>
        </is>
      </c>
      <c r="J276" s="118" t="inlineStr">
        <is>
          <t>legacy D.II 2828-2835</t>
        </is>
      </c>
      <c r="K276" s="9" t="str">
        <f>LOWER(CtryCode)&amp;".distn."&amp;$A276&amp;IF($B276="","","."&amp;$B276)&amp;IF($C276="","",".dec."&amp;$C276)&amp;"."&amp;K$5</f>
        <v>egy.distn.def.nga.dec.ove.1</v>
      </c>
      <c r="L276" s="202">
        <f t="shared" ref="L276:V276" si="452">-L159*L187*L$271</f>
        <v>-0.0</v>
      </c>
      <c r="M276" s="196">
        <f t="shared" si="452"/>
        <v>-0.0</v>
      </c>
      <c r="N276" s="196">
        <f t="shared" si="452"/>
        <v>-0.0</v>
      </c>
      <c r="O276" s="196">
        <f t="shared" si="452"/>
        <v>-0.0</v>
      </c>
      <c r="P276" s="196">
        <f t="shared" si="452"/>
        <v>-0.0</v>
      </c>
      <c r="Q276" s="196">
        <f t="shared" si="452"/>
        <v>-0.0</v>
      </c>
      <c r="R276" s="196">
        <f t="shared" si="452"/>
        <v>-0.0</v>
      </c>
      <c r="S276" s="196">
        <f t="shared" si="452"/>
        <v>-0.0</v>
      </c>
      <c r="T276" s="196">
        <f t="shared" si="452"/>
        <v>-0.0</v>
      </c>
      <c r="U276" s="196">
        <f t="shared" si="452"/>
        <v>-0.0</v>
      </c>
      <c r="V276" s="196">
        <f t="shared" si="452"/>
        <v>-0.0</v>
      </c>
      <c r="W276" s="201" t="str">
        <f>IF(X$5=K$5,SUM(Y276:AI276)-SUM(L276:V276),"")</f>
        <v/>
      </c>
      <c r="X276" s="9" t="str">
        <f>LOWER(CtryCode)&amp;".distn."&amp;$A276&amp;IF($B276="","","."&amp;$B276)&amp;IF($C276="","",".dec."&amp;$C276)&amp;"."&amp;X$5</f>
        <v>egy.distn.def.nga.dec.ove.2</v>
      </c>
      <c r="Y276" s="202">
        <f t="shared" ref="Y276:AI276" si="453">-Y159*Y187*Y$271</f>
        <v>-0.14623353541824158</v>
      </c>
      <c r="Z276" s="196">
        <f t="shared" si="453"/>
        <v>-0.11925654309103911</v>
      </c>
      <c r="AA276" s="196">
        <f t="shared" si="453"/>
        <v>-0.11565887636411824</v>
      </c>
      <c r="AB276" s="196">
        <f t="shared" si="453"/>
        <v>-0.12261214221658688</v>
      </c>
      <c r="AC276" s="196">
        <f t="shared" si="453"/>
        <v>-0.1297410688404603</v>
      </c>
      <c r="AD276" s="196">
        <f t="shared" si="453"/>
        <v>-0.13122607310932316</v>
      </c>
      <c r="AE276" s="196">
        <f t="shared" si="453"/>
        <v>-0.13648459362034768</v>
      </c>
      <c r="AF276" s="196">
        <f t="shared" si="453"/>
        <v>-0.15567737601109172</v>
      </c>
      <c r="AG276" s="196">
        <f t="shared" si="453"/>
        <v>-0.19146381482750546</v>
      </c>
      <c r="AH276" s="196">
        <f t="shared" si="453"/>
        <v>-0.1855619687347574</v>
      </c>
      <c r="AI276" s="196">
        <f t="shared" si="453"/>
        <v>-0.253564459040512</v>
      </c>
    </row>
    <row r="277" hidden="1" outlineLevel="1">
      <c r="A277" s="44" t="inlineStr">
        <is>
          <t>def</t>
        </is>
      </c>
      <c r="B277" s="3" t="inlineStr">
        <is>
          <t>oil</t>
        </is>
      </c>
      <c r="C277" s="3" t="inlineStr">
        <is>
          <t>ove</t>
        </is>
      </c>
      <c r="D277" s="3" t="n"/>
      <c r="E277" s="3" t="n"/>
      <c r="H277" s="3" t="inlineStr">
        <is>
          <t>Other oil products: direct effect</t>
        </is>
      </c>
      <c r="I277" s="3" t="inlineStr">
        <is>
          <t>% consumption</t>
        </is>
      </c>
      <c r="J277" s="118" t="inlineStr">
        <is>
          <t>legacy D.II 2828-2835</t>
        </is>
      </c>
      <c r="K277" s="9" t="str">
        <f>LOWER(CtryCode)&amp;".distn."&amp;$A277&amp;IF($B277="","","."&amp;$B277)&amp;IF($C277="","",".dec."&amp;$C277)&amp;"."&amp;K$5</f>
        <v>egy.distn.def.oil.dec.ove.1</v>
      </c>
      <c r="L277" s="202">
        <f t="shared" ref="L277:V277" si="454">-L160*L188*L$271</f>
        <v>-0.0</v>
      </c>
      <c r="M277" s="196">
        <f t="shared" si="454"/>
        <v>-0.0</v>
      </c>
      <c r="N277" s="196">
        <f t="shared" si="454"/>
        <v>-0.0</v>
      </c>
      <c r="O277" s="196">
        <f t="shared" si="454"/>
        <v>-0.0</v>
      </c>
      <c r="P277" s="196">
        <f t="shared" si="454"/>
        <v>-0.0</v>
      </c>
      <c r="Q277" s="196">
        <f t="shared" si="454"/>
        <v>-0.0</v>
      </c>
      <c r="R277" s="196">
        <f t="shared" si="454"/>
        <v>-0.0</v>
      </c>
      <c r="S277" s="196">
        <f t="shared" si="454"/>
        <v>-0.0</v>
      </c>
      <c r="T277" s="196">
        <f t="shared" si="454"/>
        <v>-0.0</v>
      </c>
      <c r="U277" s="196">
        <f t="shared" si="454"/>
        <v>-0.0</v>
      </c>
      <c r="V277" s="196">
        <f t="shared" si="454"/>
        <v>-0.0</v>
      </c>
      <c r="W277" s="201" t="str">
        <f>IF(X$5=K$5,SUM(Y277:AI277)-SUM(L277:V277),"")</f>
        <v/>
      </c>
      <c r="X277" s="9" t="str">
        <f>LOWER(CtryCode)&amp;".distn."&amp;$A277&amp;IF($B277="","","."&amp;$B277)&amp;IF($C277="","",".dec."&amp;$C277)&amp;"."&amp;X$5</f>
        <v>egy.distn.def.oil.dec.ove.2</v>
      </c>
      <c r="Y277" s="202">
        <f t="shared" ref="Y277:AI277" si="455">-Y160*Y188*Y$271</f>
        <v>-0.037448809758057235</v>
      </c>
      <c r="Z277" s="196">
        <f t="shared" si="455"/>
        <v>-0.02771448733967161</v>
      </c>
      <c r="AA277" s="196">
        <f t="shared" si="455"/>
        <v>-0.028750324400549945</v>
      </c>
      <c r="AB277" s="196">
        <f t="shared" si="455"/>
        <v>-0.03930996437856396</v>
      </c>
      <c r="AC277" s="196">
        <f t="shared" si="455"/>
        <v>-0.028606483315530642</v>
      </c>
      <c r="AD277" s="196">
        <f t="shared" si="455"/>
        <v>-0.04104796494214197</v>
      </c>
      <c r="AE277" s="196">
        <f t="shared" si="455"/>
        <v>-0.040534408495344246</v>
      </c>
      <c r="AF277" s="196">
        <f t="shared" si="455"/>
        <v>-0.03896889760352382</v>
      </c>
      <c r="AG277" s="196">
        <f t="shared" si="455"/>
        <v>-0.04024935132524737</v>
      </c>
      <c r="AH277" s="196">
        <f t="shared" si="455"/>
        <v>-0.04155862576152043</v>
      </c>
      <c r="AI277" s="196">
        <f t="shared" si="455"/>
        <v>-0.04596360709986467</v>
      </c>
    </row>
    <row r="278" hidden="1" outlineLevel="1">
      <c r="A278" s="44" t="inlineStr">
        <is>
          <t>def</t>
        </is>
      </c>
      <c r="B278" s="3" t="inlineStr">
        <is>
          <t>gso</t>
        </is>
      </c>
      <c r="C278" s="3" t="inlineStr">
        <is>
          <t>ove</t>
        </is>
      </c>
      <c r="D278" s="3" t="n"/>
      <c r="E278" s="3" t="n"/>
      <c r="H278" s="3" t="inlineStr">
        <is>
          <t>Gasoline: direct effect</t>
        </is>
      </c>
      <c r="I278" s="3" t="inlineStr">
        <is>
          <t>% consumption</t>
        </is>
      </c>
      <c r="J278" s="118" t="inlineStr">
        <is>
          <t>legacy D.II 2828-2835</t>
        </is>
      </c>
      <c r="K278" s="9" t="str">
        <f>LOWER(CtryCode)&amp;".distn."&amp;$A278&amp;IF($B278="","","."&amp;$B278)&amp;IF($C278="","",".dec."&amp;$C278)&amp;"."&amp;K$5</f>
        <v>egy.distn.def.gso.dec.ove.1</v>
      </c>
      <c r="L278" s="202">
        <f t="shared" ref="L278:V278" si="456">-L161*L189*L$271</f>
        <v>-0.0</v>
      </c>
      <c r="M278" s="196">
        <f t="shared" si="456"/>
        <v>-0.0</v>
      </c>
      <c r="N278" s="196">
        <f t="shared" si="456"/>
        <v>-0.0</v>
      </c>
      <c r="O278" s="196">
        <f t="shared" si="456"/>
        <v>-0.0</v>
      </c>
      <c r="P278" s="196">
        <f t="shared" si="456"/>
        <v>-0.0</v>
      </c>
      <c r="Q278" s="196">
        <f t="shared" si="456"/>
        <v>-0.0</v>
      </c>
      <c r="R278" s="196">
        <f t="shared" si="456"/>
        <v>-0.0</v>
      </c>
      <c r="S278" s="196">
        <f t="shared" si="456"/>
        <v>-0.0</v>
      </c>
      <c r="T278" s="196">
        <f t="shared" si="456"/>
        <v>-0.0</v>
      </c>
      <c r="U278" s="196">
        <f t="shared" si="456"/>
        <v>-0.0</v>
      </c>
      <c r="V278" s="196">
        <f t="shared" si="456"/>
        <v>-0.0</v>
      </c>
      <c r="W278" s="201" t="str">
        <f>IF(X$5=K$5,SUM(Y278:AI278)-SUM(L278:V278),"")</f>
        <v/>
      </c>
      <c r="X278" s="9" t="str">
        <f>LOWER(CtryCode)&amp;".distn."&amp;$A278&amp;IF($B278="","","."&amp;$B278)&amp;IF($C278="","",".dec."&amp;$C278)&amp;"."&amp;X$5</f>
        <v>egy.distn.def.gso.dec.ove.2</v>
      </c>
      <c r="Y278" s="202">
        <f t="shared" ref="Y278:AI278" si="457">-Y161*Y189*Y$271</f>
        <v>-0.0688483816654245</v>
      </c>
      <c r="Z278" s="196">
        <f t="shared" si="457"/>
        <v>-0.04044780680681448</v>
      </c>
      <c r="AA278" s="196">
        <f t="shared" si="457"/>
        <v>-0.047837347963894584</v>
      </c>
      <c r="AB278" s="196">
        <f t="shared" si="457"/>
        <v>-0.0576985352559498</v>
      </c>
      <c r="AC278" s="196">
        <f t="shared" si="457"/>
        <v>-0.05877632396502973</v>
      </c>
      <c r="AD278" s="196">
        <f t="shared" si="457"/>
        <v>-0.06875513612051702</v>
      </c>
      <c r="AE278" s="196">
        <f t="shared" si="457"/>
        <v>-0.07215103874238968</v>
      </c>
      <c r="AF278" s="196">
        <f t="shared" si="457"/>
        <v>-0.07981142285294235</v>
      </c>
      <c r="AG278" s="196">
        <f t="shared" si="457"/>
        <v>-0.08688483547562818</v>
      </c>
      <c r="AH278" s="196">
        <f t="shared" si="457"/>
        <v>-0.08260349394117868</v>
      </c>
      <c r="AI278" s="196">
        <f t="shared" si="457"/>
        <v>-0.10497945684742732</v>
      </c>
    </row>
    <row r="279" hidden="1" outlineLevel="1">
      <c r="A279" s="44" t="inlineStr">
        <is>
          <t>def</t>
        </is>
      </c>
      <c r="B279" s="3" t="inlineStr">
        <is>
          <t>die</t>
        </is>
      </c>
      <c r="C279" s="3" t="inlineStr">
        <is>
          <t>ove</t>
        </is>
      </c>
      <c r="D279" s="3" t="n"/>
      <c r="E279" s="3" t="n"/>
      <c r="H279" s="3" t="inlineStr">
        <is>
          <t>Diesel: direct effect</t>
        </is>
      </c>
      <c r="I279" s="3" t="inlineStr">
        <is>
          <t>% consumption</t>
        </is>
      </c>
      <c r="J279" s="118" t="inlineStr">
        <is>
          <t>legacy D.II 2828-2835</t>
        </is>
      </c>
      <c r="K279" s="9" t="str">
        <f>LOWER(CtryCode)&amp;".distn."&amp;$A279&amp;IF($B279="","","."&amp;$B279)&amp;IF($C279="","",".dec."&amp;$C279)&amp;"."&amp;K$5</f>
        <v>egy.distn.def.die.dec.ove.1</v>
      </c>
      <c r="L279" s="202">
        <f t="shared" ref="L279:V279" si="458">-L162*L190*L$271</f>
        <v>-0.0</v>
      </c>
      <c r="M279" s="196">
        <f t="shared" si="458"/>
        <v>-0.0</v>
      </c>
      <c r="N279" s="196">
        <f t="shared" si="458"/>
        <v>-0.0</v>
      </c>
      <c r="O279" s="196">
        <f t="shared" si="458"/>
        <v>-0.0</v>
      </c>
      <c r="P279" s="196">
        <f t="shared" si="458"/>
        <v>-0.0</v>
      </c>
      <c r="Q279" s="196">
        <f t="shared" si="458"/>
        <v>-0.0</v>
      </c>
      <c r="R279" s="196">
        <f t="shared" si="458"/>
        <v>-0.0</v>
      </c>
      <c r="S279" s="196">
        <f t="shared" si="458"/>
        <v>-0.0</v>
      </c>
      <c r="T279" s="196">
        <f t="shared" si="458"/>
        <v>-0.0</v>
      </c>
      <c r="U279" s="196">
        <f t="shared" si="458"/>
        <v>-0.0</v>
      </c>
      <c r="V279" s="196">
        <f t="shared" si="458"/>
        <v>-0.0</v>
      </c>
      <c r="W279" s="201" t="str">
        <f>IF(X$5=K$5,SUM(Y279:AI279)-SUM(L279:V279),"")</f>
        <v/>
      </c>
      <c r="X279" s="9" t="str">
        <f>LOWER(CtryCode)&amp;".distn."&amp;$A279&amp;IF($B279="","","."&amp;$B279)&amp;IF($C279="","",".dec."&amp;$C279)&amp;"."&amp;X$5</f>
        <v>egy.distn.def.die.dec.ove.2</v>
      </c>
      <c r="Y279" s="202">
        <f t="shared" ref="Y279:AI279" si="459">-Y162*Y190*Y$271</f>
        <v>-0.0</v>
      </c>
      <c r="Z279" s="196">
        <f t="shared" si="459"/>
        <v>-0.0</v>
      </c>
      <c r="AA279" s="196">
        <f t="shared" si="459"/>
        <v>-0.0</v>
      </c>
      <c r="AB279" s="196">
        <f t="shared" si="459"/>
        <v>-0.0</v>
      </c>
      <c r="AC279" s="196">
        <f t="shared" si="459"/>
        <v>-0.0</v>
      </c>
      <c r="AD279" s="196">
        <f t="shared" si="459"/>
        <v>-0.0</v>
      </c>
      <c r="AE279" s="196">
        <f t="shared" si="459"/>
        <v>-0.0</v>
      </c>
      <c r="AF279" s="196">
        <f t="shared" si="459"/>
        <v>-0.0</v>
      </c>
      <c r="AG279" s="196">
        <f t="shared" si="459"/>
        <v>-0.0</v>
      </c>
      <c r="AH279" s="196">
        <f t="shared" si="459"/>
        <v>-0.0</v>
      </c>
      <c r="AI279" s="196">
        <f t="shared" si="459"/>
        <v>-0.0</v>
      </c>
    </row>
    <row r="280" hidden="1" outlineLevel="1">
      <c r="A280" s="44" t="inlineStr">
        <is>
          <t>def</t>
        </is>
      </c>
      <c r="B280" s="3" t="inlineStr">
        <is>
          <t>ker</t>
        </is>
      </c>
      <c r="C280" s="3" t="inlineStr">
        <is>
          <t>ove</t>
        </is>
      </c>
      <c r="D280" s="3" t="n"/>
      <c r="E280" s="3" t="n"/>
      <c r="H280" s="3" t="inlineStr">
        <is>
          <t>Kerosene: direct effect</t>
        </is>
      </c>
      <c r="I280" s="3" t="inlineStr">
        <is>
          <t>% consumption</t>
        </is>
      </c>
      <c r="J280" s="118" t="inlineStr">
        <is>
          <t>legacy D.II 2828-2835</t>
        </is>
      </c>
      <c r="K280" s="9" t="str">
        <f>LOWER(CtryCode)&amp;".distn."&amp;$A280&amp;IF($B280="","","."&amp;$B280)&amp;IF($C280="","",".dec."&amp;$C280)&amp;"."&amp;K$5</f>
        <v>egy.distn.def.ker.dec.ove.1</v>
      </c>
      <c r="L280" s="202">
        <f t="shared" ref="L280:V280" si="460">-L163*L191*L$271</f>
        <v>-0.0</v>
      </c>
      <c r="M280" s="196">
        <f t="shared" si="460"/>
        <v>-0.0</v>
      </c>
      <c r="N280" s="196">
        <f t="shared" si="460"/>
        <v>-0.0</v>
      </c>
      <c r="O280" s="196">
        <f t="shared" si="460"/>
        <v>-0.0</v>
      </c>
      <c r="P280" s="196">
        <f t="shared" si="460"/>
        <v>-0.0</v>
      </c>
      <c r="Q280" s="196">
        <f t="shared" si="460"/>
        <v>-0.0</v>
      </c>
      <c r="R280" s="196">
        <f t="shared" si="460"/>
        <v>-0.0</v>
      </c>
      <c r="S280" s="196">
        <f t="shared" si="460"/>
        <v>-0.0</v>
      </c>
      <c r="T280" s="196">
        <f t="shared" si="460"/>
        <v>-0.0</v>
      </c>
      <c r="U280" s="196">
        <f t="shared" si="460"/>
        <v>-0.0</v>
      </c>
      <c r="V280" s="196">
        <f t="shared" si="460"/>
        <v>-0.0</v>
      </c>
      <c r="W280" s="201" t="str">
        <f>IF(X$5=K$5,SUM(Y280:AI280)-SUM(L280:V280),"")</f>
        <v/>
      </c>
      <c r="X280" s="9" t="str">
        <f>LOWER(CtryCode)&amp;".distn."&amp;$A280&amp;IF($B280="","","."&amp;$B280)&amp;IF($C280="","",".dec."&amp;$C280)&amp;"."&amp;X$5</f>
        <v>egy.distn.def.ker.dec.ove.2</v>
      </c>
      <c r="Y280" s="202">
        <f t="shared" ref="Y280:AI280" si="461">-Y163*Y191*Y$271</f>
        <v>-9.464161240353707e-06</v>
      </c>
      <c r="Z280" s="196">
        <f t="shared" si="461"/>
        <v>-3.3662088501423593e-06</v>
      </c>
      <c r="AA280" s="196">
        <f t="shared" si="461"/>
        <v>-3.880831964783295e-06</v>
      </c>
      <c r="AB280" s="196">
        <f t="shared" si="461"/>
        <v>-1.7205917971609842e-06</v>
      </c>
      <c r="AC280" s="196">
        <f t="shared" si="461"/>
        <v>-9.515242240096139e-06</v>
      </c>
      <c r="AD280" s="196">
        <f t="shared" si="461"/>
        <v>-9.33402939282518e-06</v>
      </c>
      <c r="AE280" s="196">
        <f t="shared" si="461"/>
        <v>-7.928109975953324e-06</v>
      </c>
      <c r="AF280" s="196">
        <f t="shared" si="461"/>
        <v>-3.603272898832827e-06</v>
      </c>
      <c r="AG280" s="196">
        <f t="shared" si="461"/>
        <v>-1.4025954140894663e-05</v>
      </c>
      <c r="AH280" s="196">
        <f t="shared" si="461"/>
        <v>-1.96464466015923e-05</v>
      </c>
      <c r="AI280" s="196">
        <f t="shared" si="461"/>
        <v>-1.2983748616136325e-05</v>
      </c>
    </row>
    <row r="281" hidden="1" outlineLevel="1">
      <c r="A281" s="44" t="inlineStr">
        <is>
          <t>def</t>
        </is>
      </c>
      <c r="B281" s="3" t="inlineStr">
        <is>
          <t>lpg</t>
        </is>
      </c>
      <c r="C281" s="3" t="inlineStr">
        <is>
          <t>ove</t>
        </is>
      </c>
      <c r="D281" s="3" t="n"/>
      <c r="E281" s="3" t="n"/>
      <c r="H281" s="3" t="inlineStr">
        <is>
          <t>LPG: direct effect</t>
        </is>
      </c>
      <c r="I281" s="3" t="inlineStr">
        <is>
          <t>% consumption</t>
        </is>
      </c>
      <c r="J281" s="118" t="inlineStr">
        <is>
          <t>legacy D.II 2828-2835</t>
        </is>
      </c>
      <c r="K281" s="9" t="str">
        <f>LOWER(CtryCode)&amp;".distn."&amp;$A281&amp;IF($B281="","","."&amp;$B281)&amp;IF($C281="","",".dec."&amp;$C281)&amp;"."&amp;K$5</f>
        <v>egy.distn.def.lpg.dec.ove.1</v>
      </c>
      <c r="L281" s="202">
        <f t="shared" ref="L281:V281" si="462">-L164*L192*L$271</f>
        <v>-0.0</v>
      </c>
      <c r="M281" s="196">
        <f t="shared" si="462"/>
        <v>-0.0</v>
      </c>
      <c r="N281" s="196">
        <f t="shared" si="462"/>
        <v>-0.0</v>
      </c>
      <c r="O281" s="196">
        <f t="shared" si="462"/>
        <v>-0.0</v>
      </c>
      <c r="P281" s="196">
        <f t="shared" si="462"/>
        <v>-0.0</v>
      </c>
      <c r="Q281" s="196">
        <f t="shared" si="462"/>
        <v>-0.0</v>
      </c>
      <c r="R281" s="196">
        <f t="shared" si="462"/>
        <v>-0.0</v>
      </c>
      <c r="S281" s="196">
        <f t="shared" si="462"/>
        <v>-0.0</v>
      </c>
      <c r="T281" s="196">
        <f t="shared" si="462"/>
        <v>-0.0</v>
      </c>
      <c r="U281" s="196">
        <f t="shared" si="462"/>
        <v>-0.0</v>
      </c>
      <c r="V281" s="196">
        <f t="shared" si="462"/>
        <v>-0.0</v>
      </c>
      <c r="W281" s="201" t="str">
        <f>IF(X$5=K$5,SUM(Y281:AI281)-SUM(L281:V281),"")</f>
        <v/>
      </c>
      <c r="X281" s="9" t="str">
        <f>LOWER(CtryCode)&amp;".distn."&amp;$A281&amp;IF($B281="","","."&amp;$B281)&amp;IF($C281="","",".dec."&amp;$C281)&amp;"."&amp;X$5</f>
        <v>egy.distn.def.lpg.dec.ove.2</v>
      </c>
      <c r="Y281" s="202">
        <f t="shared" ref="Y281:AI281" si="463">-Y164*Y192*Y$271</f>
        <v>-0.4841535536421511</v>
      </c>
      <c r="Z281" s="196">
        <f t="shared" si="463"/>
        <v>-0.7197585854193621</v>
      </c>
      <c r="AA281" s="196">
        <f t="shared" si="463"/>
        <v>-0.621614973139173</v>
      </c>
      <c r="AB281" s="196">
        <f t="shared" si="463"/>
        <v>-0.5690191933023855</v>
      </c>
      <c r="AC281" s="196">
        <f t="shared" si="463"/>
        <v>-0.49035666273202994</v>
      </c>
      <c r="AD281" s="196">
        <f t="shared" si="463"/>
        <v>-0.46173911068854984</v>
      </c>
      <c r="AE281" s="196">
        <f t="shared" si="463"/>
        <v>-0.4370231127939516</v>
      </c>
      <c r="AF281" s="196">
        <f t="shared" si="463"/>
        <v>-0.4220366339269454</v>
      </c>
      <c r="AG281" s="196">
        <f t="shared" si="463"/>
        <v>-0.37311254087756257</v>
      </c>
      <c r="AH281" s="196">
        <f t="shared" si="463"/>
        <v>-0.32605455258783145</v>
      </c>
      <c r="AI281" s="196">
        <f t="shared" si="463"/>
        <v>-0.2788378310327055</v>
      </c>
    </row>
    <row r="282" hidden="1" outlineLevel="1">
      <c r="A282" s="44" t="inlineStr">
        <is>
          <t>def</t>
        </is>
      </c>
      <c r="B282" s="3" t="inlineStr">
        <is>
          <t>tot</t>
        </is>
      </c>
      <c r="C282" s="3" t="inlineStr">
        <is>
          <t>ove</t>
        </is>
      </c>
      <c r="D282" s="3" t="n"/>
      <c r="E282" s="3" t="n"/>
      <c r="H282" s="3" t="inlineStr">
        <is>
          <t>Direct effect, total</t>
        </is>
      </c>
      <c r="I282" s="3" t="inlineStr">
        <is>
          <t>% consumption</t>
        </is>
      </c>
      <c r="J282" s="118" t="inlineStr">
        <is>
          <t>legacy D.II 2827</t>
        </is>
      </c>
      <c r="K282" s="9" t="str">
        <f>LOWER(CtryCode)&amp;".distn."&amp;$A282&amp;IF($B282="","","."&amp;$B282)&amp;IF($C282="","",".dec."&amp;$C282)&amp;"."&amp;K$5</f>
        <v>egy.distn.def.tot.dec.ove.1</v>
      </c>
      <c r="L282" s="202">
        <f t="shared" ref="L282:V282" si="464">SUM(L274:L281)</f>
        <v>0.0</v>
      </c>
      <c r="M282" s="196">
        <f t="shared" si="464"/>
        <v>0.0</v>
      </c>
      <c r="N282" s="196">
        <f t="shared" si="464"/>
        <v>0.0</v>
      </c>
      <c r="O282" s="196">
        <f t="shared" si="464"/>
        <v>0.0</v>
      </c>
      <c r="P282" s="196">
        <f t="shared" si="464"/>
        <v>0.0</v>
      </c>
      <c r="Q282" s="196">
        <f t="shared" si="464"/>
        <v>0.0</v>
      </c>
      <c r="R282" s="196">
        <f t="shared" si="464"/>
        <v>0.0</v>
      </c>
      <c r="S282" s="196">
        <f t="shared" si="464"/>
        <v>0.0</v>
      </c>
      <c r="T282" s="196">
        <f t="shared" si="464"/>
        <v>0.0</v>
      </c>
      <c r="U282" s="196">
        <f t="shared" si="464"/>
        <v>0.0</v>
      </c>
      <c r="V282" s="196">
        <f t="shared" si="464"/>
        <v>0.0</v>
      </c>
      <c r="W282" s="201" t="str">
        <f>IF(X$5=K$5,SUM(Y282:AI282)-SUM(L282:V282),"")</f>
        <v/>
      </c>
      <c r="X282" s="9" t="str">
        <f>LOWER(CtryCode)&amp;".distn."&amp;$A282&amp;IF($B282="","","."&amp;$B282)&amp;IF($C282="","",".dec."&amp;$C282)&amp;"."&amp;X$5</f>
        <v>egy.distn.def.tot.dec.ove.2</v>
      </c>
      <c r="Y282" s="202">
        <f t="shared" ref="Y282:AI282" si="465">SUM(Y274:Y281)</f>
        <v>-1.3002979562130244</v>
      </c>
      <c r="Z282" s="196">
        <f t="shared" si="465"/>
        <v>-1.506055774658915</v>
      </c>
      <c r="AA282" s="196">
        <f t="shared" si="465"/>
        <v>-1.36027872885064</v>
      </c>
      <c r="AB282" s="196">
        <f t="shared" si="465"/>
        <v>-1.3529509444580416</v>
      </c>
      <c r="AC282" s="196">
        <f t="shared" si="465"/>
        <v>-1.2545894320923698</v>
      </c>
      <c r="AD282" s="196">
        <f t="shared" si="465"/>
        <v>-1.233105166177718</v>
      </c>
      <c r="AE282" s="196">
        <f t="shared" si="465"/>
        <v>-1.223238721089183</v>
      </c>
      <c r="AF282" s="196">
        <f t="shared" si="465"/>
        <v>-1.2575872006984192</v>
      </c>
      <c r="AG282" s="196">
        <f t="shared" si="465"/>
        <v>-1.2945774597133348</v>
      </c>
      <c r="AH282" s="196">
        <f t="shared" si="465"/>
        <v>-1.2461898558556739</v>
      </c>
      <c r="AI282" s="196">
        <f t="shared" si="465"/>
        <v>-1.3298118129209993</v>
      </c>
    </row>
    <row r="283" hidden="1" outlineLevel="1"/>
    <row r="284" hidden="1" outlineLevel="1">
      <c r="B284" s="31" t="inlineStr">
        <is>
          <t>Indirect effects (consumption categories), overall</t>
        </is>
      </c>
    </row>
    <row r="285" hidden="1" outlineLevel="1">
      <c r="A285" s="44" t="inlineStr">
        <is>
          <t>ief</t>
        </is>
      </c>
      <c r="B285" s="3" t="inlineStr">
        <is>
          <t>app</t>
        </is>
      </c>
      <c r="C285" s="3" t="inlineStr">
        <is>
          <t>ove</t>
        </is>
      </c>
      <c r="D285" s="3" t="n"/>
      <c r="E285" s="3" t="n"/>
      <c r="H285" s="3" t="inlineStr">
        <is>
          <t>Appliances: indirect effect</t>
        </is>
      </c>
      <c r="I285" s="3" t="inlineStr">
        <is>
          <t>% consumption</t>
        </is>
      </c>
      <c r="J285" s="118" t="inlineStr">
        <is>
          <t>legacy D.II 2846-2859</t>
        </is>
      </c>
      <c r="K285" s="9" t="str">
        <f>LOWER(CtryCode)&amp;".distn."&amp;$A285&amp;IF($B285="","","."&amp;$B285)&amp;IF($C285="","",".dec."&amp;$C285)&amp;"."&amp;K$5</f>
        <v>egy.distn.ief.app.dec.ove.1</v>
      </c>
      <c r="L285" s="202">
        <f t="shared" ref="L285:V285" si="466">-L165*L193*L$271</f>
        <v>-0.0</v>
      </c>
      <c r="M285" s="196">
        <f t="shared" si="466"/>
        <v>-0.0</v>
      </c>
      <c r="N285" s="196">
        <f t="shared" si="466"/>
        <v>-0.0</v>
      </c>
      <c r="O285" s="196">
        <f t="shared" si="466"/>
        <v>-0.0</v>
      </c>
      <c r="P285" s="196">
        <f t="shared" si="466"/>
        <v>-0.0</v>
      </c>
      <c r="Q285" s="196">
        <f t="shared" si="466"/>
        <v>-0.0</v>
      </c>
      <c r="R285" s="196">
        <f t="shared" si="466"/>
        <v>-0.0</v>
      </c>
      <c r="S285" s="196">
        <f t="shared" si="466"/>
        <v>-0.0</v>
      </c>
      <c r="T285" s="196">
        <f t="shared" si="466"/>
        <v>-0.0</v>
      </c>
      <c r="U285" s="196">
        <f t="shared" si="466"/>
        <v>-0.0</v>
      </c>
      <c r="V285" s="196">
        <f t="shared" si="466"/>
        <v>-0.0</v>
      </c>
      <c r="W285" s="201" t="str">
        <f>IF(X$5=K$5,SUM(Y285:AI285)-SUM(L285:V285),"")</f>
        <v/>
      </c>
      <c r="X285" s="9" t="str">
        <f>LOWER(CtryCode)&amp;".distn."&amp;$A285&amp;IF($B285="","","."&amp;$B285)&amp;IF($C285="","",".dec."&amp;$C285)&amp;"."&amp;X$5</f>
        <v>egy.distn.ief.app.dec.ove.2</v>
      </c>
      <c r="Y285" s="202">
        <f t="shared" ref="Y285:AI285" si="467">-Y165*Y193*Y$271</f>
        <v>-0.004919381916002289</v>
      </c>
      <c r="Z285" s="196">
        <f t="shared" si="467"/>
        <v>-0.0048735265737396925</v>
      </c>
      <c r="AA285" s="196">
        <f t="shared" si="467"/>
        <v>-0.0046554982455356015</v>
      </c>
      <c r="AB285" s="196">
        <f t="shared" si="467"/>
        <v>-0.0045436647733442265</v>
      </c>
      <c r="AC285" s="196">
        <f t="shared" si="467"/>
        <v>-0.004343278672550782</v>
      </c>
      <c r="AD285" s="196">
        <f t="shared" si="467"/>
        <v>-0.0047607534779389735</v>
      </c>
      <c r="AE285" s="196">
        <f t="shared" si="467"/>
        <v>-0.0047152897393943315</v>
      </c>
      <c r="AF285" s="196">
        <f t="shared" si="467"/>
        <v>-0.005041456399447658</v>
      </c>
      <c r="AG285" s="196">
        <f t="shared" si="467"/>
        <v>-0.004976171590139043</v>
      </c>
      <c r="AH285" s="196">
        <f t="shared" si="467"/>
        <v>-0.004461270123299108</v>
      </c>
      <c r="AI285" s="196">
        <f t="shared" si="467"/>
        <v>-0.005000265810556402</v>
      </c>
    </row>
    <row r="286" hidden="1" outlineLevel="1">
      <c r="A286" s="44" t="inlineStr">
        <is>
          <t>ief</t>
        </is>
      </c>
      <c r="B286" s="3" t="inlineStr">
        <is>
          <t>che</t>
        </is>
      </c>
      <c r="C286" s="3" t="inlineStr">
        <is>
          <t>ove</t>
        </is>
      </c>
      <c r="D286" s="3" t="n"/>
      <c r="E286" s="3" t="n"/>
      <c r="H286" s="3" t="inlineStr">
        <is>
          <t>Chemicals: indirect effect</t>
        </is>
      </c>
      <c r="I286" s="3" t="inlineStr">
        <is>
          <t>% consumption</t>
        </is>
      </c>
      <c r="J286" s="118" t="inlineStr">
        <is>
          <t>legacy D.II 2846-2859</t>
        </is>
      </c>
      <c r="K286" s="9" t="str">
        <f>LOWER(CtryCode)&amp;".distn."&amp;$A286&amp;IF($B286="","","."&amp;$B286)&amp;IF($C286="","",".dec."&amp;$C286)&amp;"."&amp;K$5</f>
        <v>egy.distn.ief.che.dec.ove.1</v>
      </c>
      <c r="L286" s="202">
        <f t="shared" ref="L286:V286" si="468">-L166*L194*L$271</f>
        <v>-0.0</v>
      </c>
      <c r="M286" s="196">
        <f t="shared" si="468"/>
        <v>-0.0</v>
      </c>
      <c r="N286" s="196">
        <f t="shared" si="468"/>
        <v>-0.0</v>
      </c>
      <c r="O286" s="196">
        <f t="shared" si="468"/>
        <v>-0.0</v>
      </c>
      <c r="P286" s="196">
        <f t="shared" si="468"/>
        <v>-0.0</v>
      </c>
      <c r="Q286" s="196">
        <f t="shared" si="468"/>
        <v>-0.0</v>
      </c>
      <c r="R286" s="196">
        <f t="shared" si="468"/>
        <v>-0.0</v>
      </c>
      <c r="S286" s="196">
        <f t="shared" si="468"/>
        <v>-0.0</v>
      </c>
      <c r="T286" s="196">
        <f t="shared" si="468"/>
        <v>-0.0</v>
      </c>
      <c r="U286" s="196">
        <f t="shared" si="468"/>
        <v>-0.0</v>
      </c>
      <c r="V286" s="196">
        <f t="shared" si="468"/>
        <v>-0.0</v>
      </c>
      <c r="W286" s="201" t="str">
        <f>IF(X$5=K$5,SUM(Y286:AI286)-SUM(L286:V286),"")</f>
        <v/>
      </c>
      <c r="X286" s="9" t="str">
        <f>LOWER(CtryCode)&amp;".distn."&amp;$A286&amp;IF($B286="","","."&amp;$B286)&amp;IF($C286="","",".dec."&amp;$C286)&amp;"."&amp;X$5</f>
        <v>egy.distn.ief.che.dec.ove.2</v>
      </c>
      <c r="Y286" s="202">
        <f t="shared" ref="Y286:AI286" si="469">-Y166*Y194*Y$271</f>
        <v>-0.023408431142491064</v>
      </c>
      <c r="Z286" s="196">
        <f t="shared" si="469"/>
        <v>-0.02593709169349991</v>
      </c>
      <c r="AA286" s="196">
        <f t="shared" si="469"/>
        <v>-0.02335323024663713</v>
      </c>
      <c r="AB286" s="196">
        <f t="shared" si="469"/>
        <v>-0.021226120213895062</v>
      </c>
      <c r="AC286" s="196">
        <f t="shared" si="469"/>
        <v>-0.02212964125675492</v>
      </c>
      <c r="AD286" s="196">
        <f t="shared" si="469"/>
        <v>-0.02343410503613046</v>
      </c>
      <c r="AE286" s="196">
        <f t="shared" si="469"/>
        <v>-0.02188642304042663</v>
      </c>
      <c r="AF286" s="196">
        <f t="shared" si="469"/>
        <v>-0.02137447935526006</v>
      </c>
      <c r="AG286" s="196">
        <f t="shared" si="469"/>
        <v>-0.021568431558954597</v>
      </c>
      <c r="AH286" s="196">
        <f t="shared" si="469"/>
        <v>-0.023005935529738782</v>
      </c>
      <c r="AI286" s="196">
        <f t="shared" si="469"/>
        <v>-0.021556329968058778</v>
      </c>
    </row>
    <row r="287" hidden="1" outlineLevel="1">
      <c r="A287" s="44" t="inlineStr">
        <is>
          <t>ief</t>
        </is>
      </c>
      <c r="B287" s="3" t="inlineStr">
        <is>
          <t>clo</t>
        </is>
      </c>
      <c r="C287" s="3" t="inlineStr">
        <is>
          <t>ove</t>
        </is>
      </c>
      <c r="D287" s="3" t="n"/>
      <c r="E287" s="3" t="n"/>
      <c r="H287" s="3" t="inlineStr">
        <is>
          <t>Clothing: indirect effect</t>
        </is>
      </c>
      <c r="I287" s="3" t="inlineStr">
        <is>
          <t>% consumption</t>
        </is>
      </c>
      <c r="J287" s="118" t="inlineStr">
        <is>
          <t>legacy D.II 2846-2859</t>
        </is>
      </c>
      <c r="K287" s="9" t="str">
        <f>LOWER(CtryCode)&amp;".distn."&amp;$A287&amp;IF($B287="","","."&amp;$B287)&amp;IF($C287="","",".dec."&amp;$C287)&amp;"."&amp;K$5</f>
        <v>egy.distn.ief.clo.dec.ove.1</v>
      </c>
      <c r="L287" s="202">
        <f t="shared" ref="L287:V287" si="470">-L167*L195*L$271</f>
        <v>-0.0</v>
      </c>
      <c r="M287" s="196">
        <f t="shared" si="470"/>
        <v>-0.0</v>
      </c>
      <c r="N287" s="196">
        <f t="shared" si="470"/>
        <v>-0.0</v>
      </c>
      <c r="O287" s="196">
        <f t="shared" si="470"/>
        <v>-0.0</v>
      </c>
      <c r="P287" s="196">
        <f t="shared" si="470"/>
        <v>-0.0</v>
      </c>
      <c r="Q287" s="196">
        <f t="shared" si="470"/>
        <v>-0.0</v>
      </c>
      <c r="R287" s="196">
        <f t="shared" si="470"/>
        <v>-0.0</v>
      </c>
      <c r="S287" s="196">
        <f t="shared" si="470"/>
        <v>-0.0</v>
      </c>
      <c r="T287" s="196">
        <f t="shared" si="470"/>
        <v>-0.0</v>
      </c>
      <c r="U287" s="196">
        <f t="shared" si="470"/>
        <v>-0.0</v>
      </c>
      <c r="V287" s="196">
        <f t="shared" si="470"/>
        <v>-0.0</v>
      </c>
      <c r="W287" s="201" t="str">
        <f>IF(X$5=K$5,SUM(Y287:AI287)-SUM(L287:V287),"")</f>
        <v/>
      </c>
      <c r="X287" s="9" t="str">
        <f>LOWER(CtryCode)&amp;".distn."&amp;$A287&amp;IF($B287="","","."&amp;$B287)&amp;IF($C287="","",".dec."&amp;$C287)&amp;"."&amp;X$5</f>
        <v>egy.distn.ief.clo.dec.ove.2</v>
      </c>
      <c r="Y287" s="202">
        <f t="shared" ref="Y287:AI287" si="471">-Y167*Y195*Y$271</f>
        <v>-0.006761566829836641</v>
      </c>
      <c r="Z287" s="196">
        <f t="shared" si="471"/>
        <v>-0.006637857303734683</v>
      </c>
      <c r="AA287" s="196">
        <f t="shared" si="471"/>
        <v>-0.006161986371051814</v>
      </c>
      <c r="AB287" s="196">
        <f t="shared" si="471"/>
        <v>-0.007352047726621105</v>
      </c>
      <c r="AC287" s="196">
        <f t="shared" si="471"/>
        <v>-0.006666452206948509</v>
      </c>
      <c r="AD287" s="196">
        <f t="shared" si="471"/>
        <v>-0.006659969008406738</v>
      </c>
      <c r="AE287" s="196">
        <f t="shared" si="471"/>
        <v>-0.00657301146037588</v>
      </c>
      <c r="AF287" s="196">
        <f t="shared" si="471"/>
        <v>-0.006852129252712486</v>
      </c>
      <c r="AG287" s="196">
        <f t="shared" si="471"/>
        <v>-0.005791473383422583</v>
      </c>
      <c r="AH287" s="196">
        <f t="shared" si="471"/>
        <v>-0.005988179932953305</v>
      </c>
      <c r="AI287" s="196">
        <f t="shared" si="471"/>
        <v>-0.0048809685993881115</v>
      </c>
    </row>
    <row r="288" hidden="1" outlineLevel="1">
      <c r="A288" s="44" t="inlineStr">
        <is>
          <t>ief</t>
        </is>
      </c>
      <c r="B288" s="3" t="inlineStr">
        <is>
          <t>com</t>
        </is>
      </c>
      <c r="C288" s="3" t="inlineStr">
        <is>
          <t>ove</t>
        </is>
      </c>
      <c r="D288" s="3" t="n"/>
      <c r="E288" s="3" t="n"/>
      <c r="H288" s="3" t="inlineStr">
        <is>
          <t>Communications: indirect effect</t>
        </is>
      </c>
      <c r="I288" s="3" t="inlineStr">
        <is>
          <t>% consumption</t>
        </is>
      </c>
      <c r="J288" s="118" t="inlineStr">
        <is>
          <t>legacy D.II 2846-2859</t>
        </is>
      </c>
      <c r="K288" s="9" t="str">
        <f>LOWER(CtryCode)&amp;".distn."&amp;$A288&amp;IF($B288="","","."&amp;$B288)&amp;IF($C288="","",".dec."&amp;$C288)&amp;"."&amp;K$5</f>
        <v>egy.distn.ief.com.dec.ove.1</v>
      </c>
      <c r="L288" s="202">
        <f t="shared" ref="L288:V288" si="472">-L168*L196*L$271</f>
        <v>-0.0</v>
      </c>
      <c r="M288" s="196">
        <f t="shared" si="472"/>
        <v>-0.0</v>
      </c>
      <c r="N288" s="196">
        <f t="shared" si="472"/>
        <v>-0.0</v>
      </c>
      <c r="O288" s="196">
        <f t="shared" si="472"/>
        <v>-0.0</v>
      </c>
      <c r="P288" s="196">
        <f t="shared" si="472"/>
        <v>-0.0</v>
      </c>
      <c r="Q288" s="196">
        <f t="shared" si="472"/>
        <v>-0.0</v>
      </c>
      <c r="R288" s="196">
        <f t="shared" si="472"/>
        <v>-0.0</v>
      </c>
      <c r="S288" s="196">
        <f t="shared" si="472"/>
        <v>-0.0</v>
      </c>
      <c r="T288" s="196">
        <f t="shared" si="472"/>
        <v>-0.0</v>
      </c>
      <c r="U288" s="196">
        <f t="shared" si="472"/>
        <v>-0.0</v>
      </c>
      <c r="V288" s="196">
        <f t="shared" si="472"/>
        <v>-0.0</v>
      </c>
      <c r="W288" s="201" t="str">
        <f>IF(X$5=K$5,SUM(Y288:AI288)-SUM(L288:V288),"")</f>
        <v/>
      </c>
      <c r="X288" s="9" t="str">
        <f>LOWER(CtryCode)&amp;".distn."&amp;$A288&amp;IF($B288="","","."&amp;$B288)&amp;IF($C288="","",".dec."&amp;$C288)&amp;"."&amp;X$5</f>
        <v>egy.distn.ief.com.dec.ove.2</v>
      </c>
      <c r="Y288" s="202">
        <f t="shared" ref="Y288:AI288" si="473">-Y168*Y196*Y$271</f>
        <v>-0.0010911867068729025</v>
      </c>
      <c r="Z288" s="196">
        <f t="shared" si="473"/>
        <v>-0.0009186542514044539</v>
      </c>
      <c r="AA288" s="196">
        <f t="shared" si="473"/>
        <v>-0.001002961977145717</v>
      </c>
      <c r="AB288" s="196">
        <f t="shared" si="473"/>
        <v>-0.001004038893156701</v>
      </c>
      <c r="AC288" s="196">
        <f t="shared" si="473"/>
        <v>-0.0012130352726140961</v>
      </c>
      <c r="AD288" s="196">
        <f t="shared" si="473"/>
        <v>-0.0011996461251705527</v>
      </c>
      <c r="AE288" s="196">
        <f t="shared" si="473"/>
        <v>-0.0012484901029748072</v>
      </c>
      <c r="AF288" s="196">
        <f t="shared" si="473"/>
        <v>-0.0011660858820533649</v>
      </c>
      <c r="AG288" s="196">
        <f t="shared" si="473"/>
        <v>-0.0012517036998501083</v>
      </c>
      <c r="AH288" s="196">
        <f t="shared" si="473"/>
        <v>-0.0014214880069324568</v>
      </c>
      <c r="AI288" s="196">
        <f t="shared" si="473"/>
        <v>-0.001408227789636529</v>
      </c>
    </row>
    <row r="289" hidden="1" outlineLevel="1">
      <c r="A289" s="44" t="inlineStr">
        <is>
          <t>ief</t>
        </is>
      </c>
      <c r="B289" s="3" t="inlineStr">
        <is>
          <t>edu</t>
        </is>
      </c>
      <c r="C289" s="3" t="inlineStr">
        <is>
          <t>ove</t>
        </is>
      </c>
      <c r="D289" s="3" t="n"/>
      <c r="E289" s="3" t="n"/>
      <c r="H289" s="3" t="inlineStr">
        <is>
          <t>Education: indirect effect</t>
        </is>
      </c>
      <c r="I289" s="3" t="inlineStr">
        <is>
          <t>% consumption</t>
        </is>
      </c>
      <c r="J289" s="118" t="inlineStr">
        <is>
          <t>legacy D.II 2846-2859</t>
        </is>
      </c>
      <c r="K289" s="9" t="str">
        <f>LOWER(CtryCode)&amp;".distn."&amp;$A289&amp;IF($B289="","","."&amp;$B289)&amp;IF($C289="","",".dec."&amp;$C289)&amp;"."&amp;K$5</f>
        <v>egy.distn.ief.edu.dec.ove.1</v>
      </c>
      <c r="L289" s="202">
        <f t="shared" ref="L289:V289" si="474">-L169*L197*L$271</f>
        <v>-0.0</v>
      </c>
      <c r="M289" s="196">
        <f t="shared" si="474"/>
        <v>-0.0</v>
      </c>
      <c r="N289" s="196">
        <f t="shared" si="474"/>
        <v>-0.0</v>
      </c>
      <c r="O289" s="196">
        <f t="shared" si="474"/>
        <v>-0.0</v>
      </c>
      <c r="P289" s="196">
        <f t="shared" si="474"/>
        <v>-0.0</v>
      </c>
      <c r="Q289" s="196">
        <f t="shared" si="474"/>
        <v>-0.0</v>
      </c>
      <c r="R289" s="196">
        <f t="shared" si="474"/>
        <v>-0.0</v>
      </c>
      <c r="S289" s="196">
        <f t="shared" si="474"/>
        <v>-0.0</v>
      </c>
      <c r="T289" s="196">
        <f t="shared" si="474"/>
        <v>-0.0</v>
      </c>
      <c r="U289" s="196">
        <f t="shared" si="474"/>
        <v>-0.0</v>
      </c>
      <c r="V289" s="196">
        <f t="shared" si="474"/>
        <v>-0.0</v>
      </c>
      <c r="W289" s="201" t="str">
        <f>IF(X$5=K$5,SUM(Y289:AI289)-SUM(L289:V289),"")</f>
        <v/>
      </c>
      <c r="X289" s="9" t="str">
        <f>LOWER(CtryCode)&amp;".distn."&amp;$A289&amp;IF($B289="","","."&amp;$B289)&amp;IF($C289="","",".dec."&amp;$C289)&amp;"."&amp;X$5</f>
        <v>egy.distn.ief.edu.dec.ove.2</v>
      </c>
      <c r="Y289" s="202">
        <f t="shared" ref="Y289:AI289" si="475">-Y169*Y197*Y$271</f>
        <v>-0.0035705134309300915</v>
      </c>
      <c r="Z289" s="196">
        <f t="shared" si="475"/>
        <v>-0.0030731837734953933</v>
      </c>
      <c r="AA289" s="196">
        <f t="shared" si="475"/>
        <v>-0.0040391431385829344</v>
      </c>
      <c r="AB289" s="196">
        <f t="shared" si="475"/>
        <v>-0.00426965254231431</v>
      </c>
      <c r="AC289" s="196">
        <f t="shared" si="475"/>
        <v>-0.004167474963255603</v>
      </c>
      <c r="AD289" s="196">
        <f t="shared" si="475"/>
        <v>-0.004625562080265348</v>
      </c>
      <c r="AE289" s="196">
        <f t="shared" si="475"/>
        <v>-0.004276495851248881</v>
      </c>
      <c r="AF289" s="196">
        <f t="shared" si="475"/>
        <v>-0.004454007940475206</v>
      </c>
      <c r="AG289" s="196">
        <f t="shared" si="475"/>
        <v>-0.0038443103352811003</v>
      </c>
      <c r="AH289" s="196">
        <f t="shared" si="475"/>
        <v>-0.0028632566646547195</v>
      </c>
      <c r="AI289" s="196">
        <f t="shared" si="475"/>
        <v>-0.0015380868046194803</v>
      </c>
    </row>
    <row r="290" hidden="1" outlineLevel="1">
      <c r="A290" s="44" t="inlineStr">
        <is>
          <t>ief</t>
        </is>
      </c>
      <c r="B290" s="3" t="inlineStr">
        <is>
          <t>food</t>
        </is>
      </c>
      <c r="C290" s="3" t="inlineStr">
        <is>
          <t>ove</t>
        </is>
      </c>
      <c r="D290" s="3" t="n"/>
      <c r="E290" s="3" t="n"/>
      <c r="H290" s="3" t="inlineStr">
        <is>
          <t>Food: indirect effect</t>
        </is>
      </c>
      <c r="I290" s="3" t="inlineStr">
        <is>
          <t>% consumption</t>
        </is>
      </c>
      <c r="J290" s="118" t="inlineStr">
        <is>
          <t>legacy D.II 2846-2859</t>
        </is>
      </c>
      <c r="K290" s="9" t="str">
        <f>LOWER(CtryCode)&amp;".distn."&amp;$A290&amp;IF($B290="","","."&amp;$B290)&amp;IF($C290="","",".dec."&amp;$C290)&amp;"."&amp;K$5</f>
        <v>egy.distn.ief.food.dec.ove.1</v>
      </c>
      <c r="L290" s="202">
        <f t="shared" ref="L290:V290" si="476">-L170*L198*L$271</f>
        <v>-0.0</v>
      </c>
      <c r="M290" s="196">
        <f t="shared" si="476"/>
        <v>-0.0</v>
      </c>
      <c r="N290" s="196">
        <f t="shared" si="476"/>
        <v>-0.0</v>
      </c>
      <c r="O290" s="196">
        <f t="shared" si="476"/>
        <v>-0.0</v>
      </c>
      <c r="P290" s="196">
        <f t="shared" si="476"/>
        <v>-0.0</v>
      </c>
      <c r="Q290" s="196">
        <f t="shared" si="476"/>
        <v>-0.0</v>
      </c>
      <c r="R290" s="196">
        <f t="shared" si="476"/>
        <v>-0.0</v>
      </c>
      <c r="S290" s="196">
        <f t="shared" si="476"/>
        <v>-0.0</v>
      </c>
      <c r="T290" s="196">
        <f t="shared" si="476"/>
        <v>-0.0</v>
      </c>
      <c r="U290" s="196">
        <f t="shared" si="476"/>
        <v>-0.0</v>
      </c>
      <c r="V290" s="196">
        <f t="shared" si="476"/>
        <v>-0.0</v>
      </c>
      <c r="W290" s="201" t="str">
        <f>IF(X$5=K$5,SUM(Y290:AI290)-SUM(L290:V290),"")</f>
        <v/>
      </c>
      <c r="X290" s="9" t="str">
        <f>LOWER(CtryCode)&amp;".distn."&amp;$A290&amp;IF($B290="","","."&amp;$B290)&amp;IF($C290="","",".dec."&amp;$C290)&amp;"."&amp;X$5</f>
        <v>egy.distn.ief.food.dec.ove.2</v>
      </c>
      <c r="Y290" s="202">
        <f t="shared" ref="Y290:AI290" si="477">-Y170*Y198*Y$271</f>
        <v>-0.05946715648215492</v>
      </c>
      <c r="Z290" s="196">
        <f t="shared" si="477"/>
        <v>-0.06283004316910529</v>
      </c>
      <c r="AA290" s="196">
        <f t="shared" si="477"/>
        <v>-0.06902836973824203</v>
      </c>
      <c r="AB290" s="196">
        <f t="shared" si="477"/>
        <v>-0.06299289705603422</v>
      </c>
      <c r="AC290" s="196">
        <f t="shared" si="477"/>
        <v>-0.06343061557951343</v>
      </c>
      <c r="AD290" s="196">
        <f t="shared" si="477"/>
        <v>-0.061566346797474324</v>
      </c>
      <c r="AE290" s="196">
        <f t="shared" si="477"/>
        <v>-0.06725845357269017</v>
      </c>
      <c r="AF290" s="196">
        <f t="shared" si="477"/>
        <v>-0.06093993544992331</v>
      </c>
      <c r="AG290" s="196">
        <f t="shared" si="477"/>
        <v>-0.06457721854554017</v>
      </c>
      <c r="AH290" s="196">
        <f t="shared" si="477"/>
        <v>-0.06642021542355006</v>
      </c>
      <c r="AI290" s="196">
        <f t="shared" si="477"/>
        <v>-0.05665151629837191</v>
      </c>
    </row>
    <row r="291" hidden="1" outlineLevel="1">
      <c r="A291" s="44" t="inlineStr">
        <is>
          <t>ief</t>
        </is>
      </c>
      <c r="B291" s="3" t="inlineStr">
        <is>
          <t>hea</t>
        </is>
      </c>
      <c r="C291" s="3" t="inlineStr">
        <is>
          <t>ove</t>
        </is>
      </c>
      <c r="D291" s="3" t="n"/>
      <c r="E291" s="3" t="n"/>
      <c r="H291" s="3" t="inlineStr">
        <is>
          <t>Health services: indirect effect</t>
        </is>
      </c>
      <c r="I291" s="3" t="inlineStr">
        <is>
          <t>% consumption</t>
        </is>
      </c>
      <c r="J291" s="118" t="inlineStr">
        <is>
          <t>legacy D.II 2846-2859</t>
        </is>
      </c>
      <c r="K291" s="9" t="str">
        <f>LOWER(CtryCode)&amp;".distn."&amp;$A291&amp;IF($B291="","","."&amp;$B291)&amp;IF($C291="","",".dec."&amp;$C291)&amp;"."&amp;K$5</f>
        <v>egy.distn.ief.hea.dec.ove.1</v>
      </c>
      <c r="L291" s="202">
        <f t="shared" ref="L291:V291" si="478">-L171*L199*L$271</f>
        <v>-0.0</v>
      </c>
      <c r="M291" s="196">
        <f t="shared" si="478"/>
        <v>-0.0</v>
      </c>
      <c r="N291" s="196">
        <f t="shared" si="478"/>
        <v>-0.0</v>
      </c>
      <c r="O291" s="196">
        <f t="shared" si="478"/>
        <v>-0.0</v>
      </c>
      <c r="P291" s="196">
        <f t="shared" si="478"/>
        <v>-0.0</v>
      </c>
      <c r="Q291" s="196">
        <f t="shared" si="478"/>
        <v>-0.0</v>
      </c>
      <c r="R291" s="196">
        <f t="shared" si="478"/>
        <v>-0.0</v>
      </c>
      <c r="S291" s="196">
        <f t="shared" si="478"/>
        <v>-0.0</v>
      </c>
      <c r="T291" s="196">
        <f t="shared" si="478"/>
        <v>-0.0</v>
      </c>
      <c r="U291" s="196">
        <f t="shared" si="478"/>
        <v>-0.0</v>
      </c>
      <c r="V291" s="196">
        <f t="shared" si="478"/>
        <v>-0.0</v>
      </c>
      <c r="W291" s="201" t="str">
        <f>IF(X$5=K$5,SUM(Y291:AI291)-SUM(L291:V291),"")</f>
        <v/>
      </c>
      <c r="X291" s="9" t="str">
        <f>LOWER(CtryCode)&amp;".distn."&amp;$A291&amp;IF($B291="","","."&amp;$B291)&amp;IF($C291="","",".dec."&amp;$C291)&amp;"."&amp;X$5</f>
        <v>egy.distn.ief.hea.dec.ove.2</v>
      </c>
      <c r="Y291" s="202">
        <f t="shared" ref="Y291:AI291" si="479">-Y171*Y199*Y$271</f>
        <v>-0.005055911030267325</v>
      </c>
      <c r="Z291" s="196">
        <f t="shared" si="479"/>
        <v>-0.0037690366615786564</v>
      </c>
      <c r="AA291" s="196">
        <f t="shared" si="479"/>
        <v>-0.003813252631158254</v>
      </c>
      <c r="AB291" s="196">
        <f t="shared" si="479"/>
        <v>-0.0046959142951437825</v>
      </c>
      <c r="AC291" s="196">
        <f t="shared" si="479"/>
        <v>-0.004544069614355439</v>
      </c>
      <c r="AD291" s="196">
        <f t="shared" si="479"/>
        <v>-0.004970969916431028</v>
      </c>
      <c r="AE291" s="196">
        <f t="shared" si="479"/>
        <v>-0.0048532780197166</v>
      </c>
      <c r="AF291" s="196">
        <f t="shared" si="479"/>
        <v>-0.005917413030638137</v>
      </c>
      <c r="AG291" s="196">
        <f t="shared" si="479"/>
        <v>-0.005790582435787468</v>
      </c>
      <c r="AH291" s="196">
        <f t="shared" si="479"/>
        <v>-0.006288408279213654</v>
      </c>
      <c r="AI291" s="196">
        <f t="shared" si="479"/>
        <v>-0.007507277941225115</v>
      </c>
    </row>
    <row r="292" hidden="1" outlineLevel="1">
      <c r="A292" s="44" t="inlineStr">
        <is>
          <t>ief</t>
        </is>
      </c>
      <c r="B292" s="3" t="inlineStr">
        <is>
          <t>hou</t>
        </is>
      </c>
      <c r="C292" s="3" t="inlineStr">
        <is>
          <t>ove</t>
        </is>
      </c>
      <c r="D292" s="3" t="n"/>
      <c r="E292" s="3" t="n"/>
      <c r="H292" s="3" t="inlineStr">
        <is>
          <t>Housing: indirect effect</t>
        </is>
      </c>
      <c r="I292" s="3" t="inlineStr">
        <is>
          <t>% consumption</t>
        </is>
      </c>
      <c r="J292" s="118" t="inlineStr">
        <is>
          <t>legacy D.II 2846-2859</t>
        </is>
      </c>
      <c r="K292" s="9" t="str">
        <f>LOWER(CtryCode)&amp;".distn."&amp;$A292&amp;IF($B292="","","."&amp;$B292)&amp;IF($C292="","",".dec."&amp;$C292)&amp;"."&amp;K$5</f>
        <v>egy.distn.ief.hou.dec.ove.1</v>
      </c>
      <c r="L292" s="202">
        <f t="shared" ref="L292:V292" si="480">-L172*L200*L$271</f>
        <v>-0.0</v>
      </c>
      <c r="M292" s="196">
        <f t="shared" si="480"/>
        <v>-0.0</v>
      </c>
      <c r="N292" s="196">
        <f t="shared" si="480"/>
        <v>-0.0</v>
      </c>
      <c r="O292" s="196">
        <f t="shared" si="480"/>
        <v>-0.0</v>
      </c>
      <c r="P292" s="196">
        <f t="shared" si="480"/>
        <v>-0.0</v>
      </c>
      <c r="Q292" s="196">
        <f t="shared" si="480"/>
        <v>-0.0</v>
      </c>
      <c r="R292" s="196">
        <f t="shared" si="480"/>
        <v>-0.0</v>
      </c>
      <c r="S292" s="196">
        <f t="shared" si="480"/>
        <v>-0.0</v>
      </c>
      <c r="T292" s="196">
        <f t="shared" si="480"/>
        <v>-0.0</v>
      </c>
      <c r="U292" s="196">
        <f t="shared" si="480"/>
        <v>-0.0</v>
      </c>
      <c r="V292" s="196">
        <f t="shared" si="480"/>
        <v>-0.0</v>
      </c>
      <c r="W292" s="201" t="str">
        <f>IF(X$5=K$5,SUM(Y292:AI292)-SUM(L292:V292),"")</f>
        <v/>
      </c>
      <c r="X292" s="9" t="str">
        <f>LOWER(CtryCode)&amp;".distn."&amp;$A292&amp;IF($B292="","","."&amp;$B292)&amp;IF($C292="","",".dec."&amp;$C292)&amp;"."&amp;X$5</f>
        <v>egy.distn.ief.hou.dec.ove.2</v>
      </c>
      <c r="Y292" s="202">
        <f t="shared" ref="Y292:AI292" si="481">-Y172*Y200*Y$271</f>
        <v>-0.0044663183864485185</v>
      </c>
      <c r="Z292" s="196">
        <f t="shared" si="481"/>
        <v>-0.005004145348063316</v>
      </c>
      <c r="AA292" s="196">
        <f t="shared" si="481"/>
        <v>-0.004163629754605313</v>
      </c>
      <c r="AB292" s="196">
        <f t="shared" si="481"/>
        <v>-0.004654693569977208</v>
      </c>
      <c r="AC292" s="196">
        <f t="shared" si="481"/>
        <v>-0.004016530588302023</v>
      </c>
      <c r="AD292" s="196">
        <f t="shared" si="481"/>
        <v>-0.00461570860584612</v>
      </c>
      <c r="AE292" s="196">
        <f t="shared" si="481"/>
        <v>-0.004457710054888125</v>
      </c>
      <c r="AF292" s="196">
        <f t="shared" si="481"/>
        <v>-0.004402881502541582</v>
      </c>
      <c r="AG292" s="196">
        <f t="shared" si="481"/>
        <v>-0.004277608757058122</v>
      </c>
      <c r="AH292" s="196">
        <f t="shared" si="481"/>
        <v>-0.004110854278842349</v>
      </c>
      <c r="AI292" s="196">
        <f t="shared" si="481"/>
        <v>-0.00583850022405236</v>
      </c>
    </row>
    <row r="293" hidden="1" outlineLevel="1">
      <c r="A293" s="44" t="inlineStr">
        <is>
          <t>ief</t>
        </is>
      </c>
      <c r="B293" s="3" t="inlineStr">
        <is>
          <t>oth</t>
        </is>
      </c>
      <c r="C293" s="3" t="inlineStr">
        <is>
          <t>ove</t>
        </is>
      </c>
      <c r="D293" s="3" t="n"/>
      <c r="E293" s="3" t="n"/>
      <c r="H293" s="3" t="inlineStr">
        <is>
          <t>Other: indirect effect</t>
        </is>
      </c>
      <c r="I293" s="3" t="inlineStr">
        <is>
          <t>% consumption</t>
        </is>
      </c>
      <c r="J293" s="118" t="inlineStr">
        <is>
          <t>legacy D.II 2846-2859</t>
        </is>
      </c>
      <c r="K293" s="9" t="str">
        <f>LOWER(CtryCode)&amp;".distn."&amp;$A293&amp;IF($B293="","","."&amp;$B293)&amp;IF($C293="","",".dec."&amp;$C293)&amp;"."&amp;K$5</f>
        <v>egy.distn.ief.oth.dec.ove.1</v>
      </c>
      <c r="L293" s="202">
        <f t="shared" ref="L293:V293" si="482">-L173*L201*L$271</f>
        <v>-0.0</v>
      </c>
      <c r="M293" s="196">
        <f t="shared" si="482"/>
        <v>-0.0</v>
      </c>
      <c r="N293" s="196">
        <f t="shared" si="482"/>
        <v>-0.0</v>
      </c>
      <c r="O293" s="196">
        <f t="shared" si="482"/>
        <v>-0.0</v>
      </c>
      <c r="P293" s="196">
        <f t="shared" si="482"/>
        <v>-0.0</v>
      </c>
      <c r="Q293" s="196">
        <f t="shared" si="482"/>
        <v>-0.0</v>
      </c>
      <c r="R293" s="196">
        <f t="shared" si="482"/>
        <v>-0.0</v>
      </c>
      <c r="S293" s="196">
        <f t="shared" si="482"/>
        <v>-0.0</v>
      </c>
      <c r="T293" s="196">
        <f t="shared" si="482"/>
        <v>-0.0</v>
      </c>
      <c r="U293" s="196">
        <f t="shared" si="482"/>
        <v>-0.0</v>
      </c>
      <c r="V293" s="196">
        <f t="shared" si="482"/>
        <v>-0.0</v>
      </c>
      <c r="W293" s="201" t="str">
        <f>IF(X$5=K$5,SUM(Y293:AI293)-SUM(L293:V293),"")</f>
        <v/>
      </c>
      <c r="X293" s="9" t="str">
        <f>LOWER(CtryCode)&amp;".distn."&amp;$A293&amp;IF($B293="","","."&amp;$B293)&amp;IF($C293="","",".dec."&amp;$C293)&amp;"."&amp;X$5</f>
        <v>egy.distn.ief.oth.dec.ove.2</v>
      </c>
      <c r="Y293" s="202">
        <f t="shared" ref="Y293:AI293" si="483">-Y173*Y201*Y$271</f>
        <v>-7.83066447769936e-06</v>
      </c>
      <c r="Z293" s="196">
        <f t="shared" si="483"/>
        <v>-6.677970196771514e-06</v>
      </c>
      <c r="AA293" s="196">
        <f t="shared" si="483"/>
        <v>-4.3902833129820015e-06</v>
      </c>
      <c r="AB293" s="196">
        <f t="shared" si="483"/>
        <v>-3.235182951831887e-06</v>
      </c>
      <c r="AC293" s="196">
        <f t="shared" si="483"/>
        <v>-4.4911516718783655e-06</v>
      </c>
      <c r="AD293" s="196">
        <f t="shared" si="483"/>
        <v>-1.0721590659245726e-05</v>
      </c>
      <c r="AE293" s="196">
        <f t="shared" si="483"/>
        <v>-7.944068747105545e-06</v>
      </c>
      <c r="AF293" s="196">
        <f t="shared" si="483"/>
        <v>-7.299222521589324e-06</v>
      </c>
      <c r="AG293" s="196">
        <f t="shared" si="483"/>
        <v>-9.513650278131332e-06</v>
      </c>
      <c r="AH293" s="196">
        <f t="shared" si="483"/>
        <v>-8.492695779828947e-06</v>
      </c>
      <c r="AI293" s="196">
        <f t="shared" si="483"/>
        <v>-1.4761363878968022e-05</v>
      </c>
    </row>
    <row r="294" hidden="1" outlineLevel="1">
      <c r="A294" s="44" t="inlineStr">
        <is>
          <t>ief</t>
        </is>
      </c>
      <c r="B294" s="3" t="inlineStr">
        <is>
          <t>pap</t>
        </is>
      </c>
      <c r="C294" s="3" t="inlineStr">
        <is>
          <t>ove</t>
        </is>
      </c>
      <c r="D294" s="3" t="n"/>
      <c r="E294" s="3" t="n"/>
      <c r="H294" s="3" t="inlineStr">
        <is>
          <t>Paper: indirect effect</t>
        </is>
      </c>
      <c r="I294" s="3" t="inlineStr">
        <is>
          <t>% consumption</t>
        </is>
      </c>
      <c r="J294" s="118" t="inlineStr">
        <is>
          <t>legacy D.II 2846-2859</t>
        </is>
      </c>
      <c r="K294" s="9" t="str">
        <f>LOWER(CtryCode)&amp;".distn."&amp;$A294&amp;IF($B294="","","."&amp;$B294)&amp;IF($C294="","",".dec."&amp;$C294)&amp;"."&amp;K$5</f>
        <v>egy.distn.ief.pap.dec.ove.1</v>
      </c>
      <c r="L294" s="202">
        <f t="shared" ref="L294:V294" si="484">-L174*L202*L$271</f>
        <v>-0.0</v>
      </c>
      <c r="M294" s="196">
        <f t="shared" si="484"/>
        <v>-0.0</v>
      </c>
      <c r="N294" s="196">
        <f t="shared" si="484"/>
        <v>-0.0</v>
      </c>
      <c r="O294" s="196">
        <f t="shared" si="484"/>
        <v>-0.0</v>
      </c>
      <c r="P294" s="196">
        <f t="shared" si="484"/>
        <v>-0.0</v>
      </c>
      <c r="Q294" s="196">
        <f t="shared" si="484"/>
        <v>-0.0</v>
      </c>
      <c r="R294" s="196">
        <f t="shared" si="484"/>
        <v>-0.0</v>
      </c>
      <c r="S294" s="196">
        <f t="shared" si="484"/>
        <v>-0.0</v>
      </c>
      <c r="T294" s="196">
        <f t="shared" si="484"/>
        <v>-0.0</v>
      </c>
      <c r="U294" s="196">
        <f t="shared" si="484"/>
        <v>-0.0</v>
      </c>
      <c r="V294" s="196">
        <f t="shared" si="484"/>
        <v>-0.0</v>
      </c>
      <c r="W294" s="201" t="str">
        <f>IF(X$5=K$5,SUM(Y294:AI294)-SUM(L294:V294),"")</f>
        <v/>
      </c>
      <c r="X294" s="9" t="str">
        <f>LOWER(CtryCode)&amp;".distn."&amp;$A294&amp;IF($B294="","","."&amp;$B294)&amp;IF($C294="","",".dec."&amp;$C294)&amp;"."&amp;X$5</f>
        <v>egy.distn.ief.pap.dec.ove.2</v>
      </c>
      <c r="Y294" s="202">
        <f t="shared" ref="Y294:AI294" si="485">-Y174*Y202*Y$271</f>
        <v>-0.0033267991143751327</v>
      </c>
      <c r="Z294" s="196">
        <f t="shared" si="485"/>
        <v>-0.004667501711442869</v>
      </c>
      <c r="AA294" s="196">
        <f t="shared" si="485"/>
        <v>-0.00462433822850342</v>
      </c>
      <c r="AB294" s="196">
        <f t="shared" si="485"/>
        <v>-0.0044943714504421545</v>
      </c>
      <c r="AC294" s="196">
        <f t="shared" si="485"/>
        <v>-0.004211055273191547</v>
      </c>
      <c r="AD294" s="196">
        <f t="shared" si="485"/>
        <v>-0.004194394003866164</v>
      </c>
      <c r="AE294" s="196">
        <f t="shared" si="485"/>
        <v>-0.003793035273304988</v>
      </c>
      <c r="AF294" s="196">
        <f t="shared" si="485"/>
        <v>-0.0033927197206397868</v>
      </c>
      <c r="AG294" s="196">
        <f t="shared" si="485"/>
        <v>-0.002662093338849145</v>
      </c>
      <c r="AH294" s="196">
        <f t="shared" si="485"/>
        <v>-0.0023667168084227216</v>
      </c>
      <c r="AI294" s="196">
        <f t="shared" si="485"/>
        <v>-0.0017611565901388022</v>
      </c>
    </row>
    <row r="295" hidden="1" outlineLevel="1">
      <c r="A295" s="44" t="inlineStr">
        <is>
          <t>ief</t>
        </is>
      </c>
      <c r="B295" s="3" t="inlineStr">
        <is>
          <t>pha</t>
        </is>
      </c>
      <c r="C295" s="3" t="inlineStr">
        <is>
          <t>ove</t>
        </is>
      </c>
      <c r="D295" s="3" t="n"/>
      <c r="E295" s="3" t="n"/>
      <c r="H295" s="3" t="inlineStr">
        <is>
          <t>Pharmaceuticals: indirect effect</t>
        </is>
      </c>
      <c r="I295" s="3" t="inlineStr">
        <is>
          <t>% consumption</t>
        </is>
      </c>
      <c r="J295" s="118" t="inlineStr">
        <is>
          <t>legacy D.II 2846-2859</t>
        </is>
      </c>
      <c r="K295" s="9" t="str">
        <f>LOWER(CtryCode)&amp;".distn."&amp;$A295&amp;IF($B295="","","."&amp;$B295)&amp;IF($C295="","",".dec."&amp;$C295)&amp;"."&amp;K$5</f>
        <v>egy.distn.ief.pha.dec.ove.1</v>
      </c>
      <c r="L295" s="202">
        <f t="shared" ref="L295:V295" si="486">-L175*L203*L$271</f>
        <v>-0.0</v>
      </c>
      <c r="M295" s="196">
        <f t="shared" si="486"/>
        <v>-0.0</v>
      </c>
      <c r="N295" s="196">
        <f t="shared" si="486"/>
        <v>-0.0</v>
      </c>
      <c r="O295" s="196">
        <f t="shared" si="486"/>
        <v>-0.0</v>
      </c>
      <c r="P295" s="196">
        <f t="shared" si="486"/>
        <v>-0.0</v>
      </c>
      <c r="Q295" s="196">
        <f t="shared" si="486"/>
        <v>-0.0</v>
      </c>
      <c r="R295" s="196">
        <f t="shared" si="486"/>
        <v>-0.0</v>
      </c>
      <c r="S295" s="196">
        <f t="shared" si="486"/>
        <v>-0.0</v>
      </c>
      <c r="T295" s="196">
        <f t="shared" si="486"/>
        <v>-0.0</v>
      </c>
      <c r="U295" s="196">
        <f t="shared" si="486"/>
        <v>-0.0</v>
      </c>
      <c r="V295" s="196">
        <f t="shared" si="486"/>
        <v>-0.0</v>
      </c>
      <c r="W295" s="201" t="str">
        <f>IF(X$5=K$5,SUM(Y295:AI295)-SUM(L295:V295),"")</f>
        <v/>
      </c>
      <c r="X295" s="9" t="str">
        <f>LOWER(CtryCode)&amp;".distn."&amp;$A295&amp;IF($B295="","","."&amp;$B295)&amp;IF($C295="","",".dec."&amp;$C295)&amp;"."&amp;X$5</f>
        <v>egy.distn.ief.pha.dec.ove.2</v>
      </c>
      <c r="Y295" s="202">
        <f t="shared" ref="Y295:AI295" si="487">-Y175*Y203*Y$271</f>
        <v>-0.01526558165228806</v>
      </c>
      <c r="Z295" s="196">
        <f t="shared" si="487"/>
        <v>-0.010958081558733375</v>
      </c>
      <c r="AA295" s="196">
        <f t="shared" si="487"/>
        <v>-0.010742301604713952</v>
      </c>
      <c r="AB295" s="196">
        <f t="shared" si="487"/>
        <v>-0.01069314841527372</v>
      </c>
      <c r="AC295" s="196">
        <f t="shared" si="487"/>
        <v>-0.011201204579616916</v>
      </c>
      <c r="AD295" s="196">
        <f t="shared" si="487"/>
        <v>-0.012665851698194938</v>
      </c>
      <c r="AE295" s="196">
        <f t="shared" si="487"/>
        <v>-0.014753974282919035</v>
      </c>
      <c r="AF295" s="196">
        <f t="shared" si="487"/>
        <v>-0.014003753018036724</v>
      </c>
      <c r="AG295" s="196">
        <f t="shared" si="487"/>
        <v>-0.018681307526234505</v>
      </c>
      <c r="AH295" s="196">
        <f t="shared" si="487"/>
        <v>-0.01844150823832102</v>
      </c>
      <c r="AI295" s="196">
        <f t="shared" si="487"/>
        <v>-0.022541085359222945</v>
      </c>
    </row>
    <row r="296" hidden="1" outlineLevel="1">
      <c r="A296" s="44" t="inlineStr">
        <is>
          <t>ief</t>
        </is>
      </c>
      <c r="B296" s="3" t="inlineStr">
        <is>
          <t>ret</t>
        </is>
      </c>
      <c r="C296" s="3" t="inlineStr">
        <is>
          <t>ove</t>
        </is>
      </c>
      <c r="D296" s="3" t="n"/>
      <c r="E296" s="3" t="n"/>
      <c r="H296" s="3" t="inlineStr">
        <is>
          <t>Recreation and tourism: indirect effect</t>
        </is>
      </c>
      <c r="I296" s="3" t="inlineStr">
        <is>
          <t>% consumption</t>
        </is>
      </c>
      <c r="J296" s="118" t="inlineStr">
        <is>
          <t>legacy D.II 2846-2859</t>
        </is>
      </c>
      <c r="K296" s="9" t="str">
        <f>LOWER(CtryCode)&amp;".distn."&amp;$A296&amp;IF($B296="","","."&amp;$B296)&amp;IF($C296="","",".dec."&amp;$C296)&amp;"."&amp;K$5</f>
        <v>egy.distn.ief.ret.dec.ove.1</v>
      </c>
      <c r="L296" s="202">
        <f t="shared" ref="L296:V296" si="488">-L176*L204*L$271</f>
        <v>-0.0</v>
      </c>
      <c r="M296" s="196">
        <f t="shared" si="488"/>
        <v>-0.0</v>
      </c>
      <c r="N296" s="196">
        <f t="shared" si="488"/>
        <v>-0.0</v>
      </c>
      <c r="O296" s="196">
        <f t="shared" si="488"/>
        <v>-0.0</v>
      </c>
      <c r="P296" s="196">
        <f t="shared" si="488"/>
        <v>-0.0</v>
      </c>
      <c r="Q296" s="196">
        <f t="shared" si="488"/>
        <v>-0.0</v>
      </c>
      <c r="R296" s="196">
        <f t="shared" si="488"/>
        <v>-0.0</v>
      </c>
      <c r="S296" s="196">
        <f t="shared" si="488"/>
        <v>-0.0</v>
      </c>
      <c r="T296" s="196">
        <f t="shared" si="488"/>
        <v>-0.0</v>
      </c>
      <c r="U296" s="196">
        <f t="shared" si="488"/>
        <v>-0.0</v>
      </c>
      <c r="V296" s="196">
        <f t="shared" si="488"/>
        <v>-0.0</v>
      </c>
      <c r="W296" s="201" t="str">
        <f>IF(X$5=K$5,SUM(Y296:AI296)-SUM(L296:V296),"")</f>
        <v/>
      </c>
      <c r="X296" s="9" t="str">
        <f>LOWER(CtryCode)&amp;".distn."&amp;$A296&amp;IF($B296="","","."&amp;$B296)&amp;IF($C296="","",".dec."&amp;$C296)&amp;"."&amp;X$5</f>
        <v>egy.distn.ief.ret.dec.ove.2</v>
      </c>
      <c r="Y296" s="202">
        <f t="shared" ref="Y296:AI296" si="489">-Y176*Y204*Y$271</f>
        <v>-0.006758583018636226</v>
      </c>
      <c r="Z296" s="196">
        <f t="shared" si="489"/>
        <v>-0.006125159189729555</v>
      </c>
      <c r="AA296" s="196">
        <f t="shared" si="489"/>
        <v>-0.006076923019014954</v>
      </c>
      <c r="AB296" s="196">
        <f t="shared" si="489"/>
        <v>-0.006128497489321002</v>
      </c>
      <c r="AC296" s="196">
        <f t="shared" si="489"/>
        <v>-0.005868707545093049</v>
      </c>
      <c r="AD296" s="196">
        <f t="shared" si="489"/>
        <v>-0.006433299865505841</v>
      </c>
      <c r="AE296" s="196">
        <f t="shared" si="489"/>
        <v>-0.006036325065203795</v>
      </c>
      <c r="AF296" s="196">
        <f t="shared" si="489"/>
        <v>-0.005704387060906415</v>
      </c>
      <c r="AG296" s="196">
        <f t="shared" si="489"/>
        <v>-0.005792458760610103</v>
      </c>
      <c r="AH296" s="196">
        <f t="shared" si="489"/>
        <v>-0.005964562086886326</v>
      </c>
      <c r="AI296" s="196">
        <f t="shared" si="489"/>
        <v>-0.007388650327037593</v>
      </c>
    </row>
    <row r="297" hidden="1" outlineLevel="1">
      <c r="A297" s="44" t="inlineStr">
        <is>
          <t>ief</t>
        </is>
      </c>
      <c r="B297" s="3" t="inlineStr">
        <is>
          <t>teq</t>
        </is>
      </c>
      <c r="C297" s="3" t="inlineStr">
        <is>
          <t>ove</t>
        </is>
      </c>
      <c r="D297" s="3" t="n"/>
      <c r="E297" s="3" t="n"/>
      <c r="H297" s="3" t="inlineStr">
        <is>
          <t>Transport equipment: indirect effect</t>
        </is>
      </c>
      <c r="I297" s="3" t="inlineStr">
        <is>
          <t>% consumption</t>
        </is>
      </c>
      <c r="J297" s="118" t="inlineStr">
        <is>
          <t>legacy D.II 2846-2859</t>
        </is>
      </c>
      <c r="K297" s="9" t="str">
        <f>LOWER(CtryCode)&amp;".distn."&amp;$A297&amp;IF($B297="","","."&amp;$B297)&amp;IF($C297="","",".dec."&amp;$C297)&amp;"."&amp;K$5</f>
        <v>egy.distn.ief.teq.dec.ove.1</v>
      </c>
      <c r="L297" s="202">
        <f t="shared" ref="L297:V297" si="490">-L177*L205*L$271</f>
        <v>-0.0</v>
      </c>
      <c r="M297" s="196">
        <f t="shared" si="490"/>
        <v>-0.0</v>
      </c>
      <c r="N297" s="196">
        <f t="shared" si="490"/>
        <v>-0.0</v>
      </c>
      <c r="O297" s="196">
        <f t="shared" si="490"/>
        <v>-0.0</v>
      </c>
      <c r="P297" s="196">
        <f t="shared" si="490"/>
        <v>-0.0</v>
      </c>
      <c r="Q297" s="196">
        <f t="shared" si="490"/>
        <v>-0.0</v>
      </c>
      <c r="R297" s="196">
        <f t="shared" si="490"/>
        <v>-0.0</v>
      </c>
      <c r="S297" s="196">
        <f t="shared" si="490"/>
        <v>-0.0</v>
      </c>
      <c r="T297" s="196">
        <f t="shared" si="490"/>
        <v>-0.0</v>
      </c>
      <c r="U297" s="196">
        <f t="shared" si="490"/>
        <v>-0.0</v>
      </c>
      <c r="V297" s="196">
        <f t="shared" si="490"/>
        <v>-0.0</v>
      </c>
      <c r="W297" s="201" t="str">
        <f>IF(X$5=K$5,SUM(Y297:AI297)-SUM(L297:V297),"")</f>
        <v/>
      </c>
      <c r="X297" s="9" t="str">
        <f>LOWER(CtryCode)&amp;".distn."&amp;$A297&amp;IF($B297="","","."&amp;$B297)&amp;IF($C297="","",".dec."&amp;$C297)&amp;"."&amp;X$5</f>
        <v>egy.distn.ief.teq.dec.ove.2</v>
      </c>
      <c r="Y297" s="202">
        <f t="shared" ref="Y297:AI297" si="491">-Y177*Y205*Y$271</f>
        <v>-0.00048379667069675143</v>
      </c>
      <c r="Z297" s="196">
        <f t="shared" si="491"/>
        <v>-0.00035218092072872114</v>
      </c>
      <c r="AA297" s="196">
        <f t="shared" si="491"/>
        <v>-0.00033810607578420163</v>
      </c>
      <c r="AB297" s="196">
        <f t="shared" si="491"/>
        <v>-0.0003394316894725097</v>
      </c>
      <c r="AC297" s="196">
        <f t="shared" si="491"/>
        <v>-0.00031077279354670286</v>
      </c>
      <c r="AD297" s="196">
        <f t="shared" si="491"/>
        <v>-0.00040766354550708384</v>
      </c>
      <c r="AE297" s="196">
        <f t="shared" si="491"/>
        <v>-0.0005070779422011027</v>
      </c>
      <c r="AF297" s="196">
        <f t="shared" si="491"/>
        <v>-0.0005531009327840622</v>
      </c>
      <c r="AG297" s="196">
        <f t="shared" si="491"/>
        <v>-0.0006916745033596521</v>
      </c>
      <c r="AH297" s="196">
        <f t="shared" si="491"/>
        <v>-0.0007349523966450738</v>
      </c>
      <c r="AI297" s="196">
        <f t="shared" si="491"/>
        <v>-0.000979139906817902</v>
      </c>
    </row>
    <row r="298" hidden="1" outlineLevel="1">
      <c r="A298" s="44" t="inlineStr">
        <is>
          <t>ief</t>
        </is>
      </c>
      <c r="B298" s="3" t="inlineStr">
        <is>
          <t>tpu</t>
        </is>
      </c>
      <c r="C298" s="3" t="inlineStr">
        <is>
          <t>ove</t>
        </is>
      </c>
      <c r="D298" s="3" t="n"/>
      <c r="E298" s="3" t="n"/>
      <c r="H298" s="3" t="inlineStr">
        <is>
          <t>Public transport: indirect effect</t>
        </is>
      </c>
      <c r="I298" s="3" t="inlineStr">
        <is>
          <t>% consumption</t>
        </is>
      </c>
      <c r="J298" s="118" t="inlineStr">
        <is>
          <t>legacy D.II 2846-2859</t>
        </is>
      </c>
      <c r="K298" s="9" t="str">
        <f>LOWER(CtryCode)&amp;".distn."&amp;$A298&amp;IF($B298="","","."&amp;$B298)&amp;IF($C298="","",".dec."&amp;$C298)&amp;"."&amp;K$5</f>
        <v>egy.distn.ief.tpu.dec.ove.1</v>
      </c>
      <c r="L298" s="202">
        <f t="shared" ref="L298:V298" si="492">-L178*L206*L$271</f>
        <v>-0.0</v>
      </c>
      <c r="M298" s="196">
        <f t="shared" si="492"/>
        <v>-0.0</v>
      </c>
      <c r="N298" s="196">
        <f t="shared" si="492"/>
        <v>-0.0</v>
      </c>
      <c r="O298" s="196">
        <f t="shared" si="492"/>
        <v>-0.0</v>
      </c>
      <c r="P298" s="196">
        <f t="shared" si="492"/>
        <v>-0.0</v>
      </c>
      <c r="Q298" s="196">
        <f t="shared" si="492"/>
        <v>-0.0</v>
      </c>
      <c r="R298" s="196">
        <f t="shared" si="492"/>
        <v>-0.0</v>
      </c>
      <c r="S298" s="196">
        <f t="shared" si="492"/>
        <v>-0.0</v>
      </c>
      <c r="T298" s="196">
        <f t="shared" si="492"/>
        <v>-0.0</v>
      </c>
      <c r="U298" s="196">
        <f t="shared" si="492"/>
        <v>-0.0</v>
      </c>
      <c r="V298" s="196">
        <f t="shared" si="492"/>
        <v>-0.0</v>
      </c>
      <c r="W298" s="201" t="str">
        <f>IF(X$5=K$5,SUM(Y298:AI298)-SUM(L298:V298),"")</f>
        <v/>
      </c>
      <c r="X298" s="9" t="str">
        <f>LOWER(CtryCode)&amp;".distn."&amp;$A298&amp;IF($B298="","","."&amp;$B298)&amp;IF($C298="","",".dec."&amp;$C298)&amp;"."&amp;X$5</f>
        <v>egy.distn.ief.tpu.dec.ove.2</v>
      </c>
      <c r="Y298" s="202">
        <f t="shared" ref="Y298:AI298" si="493">-Y178*Y206*Y$271</f>
        <v>-0.0228921309898464</v>
      </c>
      <c r="Z298" s="196">
        <f t="shared" si="493"/>
        <v>-0.024445120057601556</v>
      </c>
      <c r="AA298" s="196">
        <f t="shared" si="493"/>
        <v>-0.022104540068612216</v>
      </c>
      <c r="AB298" s="196">
        <f t="shared" si="493"/>
        <v>-0.022765689578239087</v>
      </c>
      <c r="AC298" s="196">
        <f t="shared" si="493"/>
        <v>-0.022570470799292443</v>
      </c>
      <c r="AD298" s="196">
        <f t="shared" si="493"/>
        <v>-0.022802071903002364</v>
      </c>
      <c r="AE298" s="196">
        <f t="shared" si="493"/>
        <v>-0.02411672687715218</v>
      </c>
      <c r="AF298" s="196">
        <f t="shared" si="493"/>
        <v>-0.026685476877268015</v>
      </c>
      <c r="AG298" s="196">
        <f t="shared" si="493"/>
        <v>-0.025973560265182338</v>
      </c>
      <c r="AH298" s="196">
        <f t="shared" si="493"/>
        <v>-0.023026682632408767</v>
      </c>
      <c r="AI298" s="196">
        <f t="shared" si="493"/>
        <v>-0.021821891980490258</v>
      </c>
    </row>
    <row r="299" hidden="1" outlineLevel="1">
      <c r="A299" s="44" t="inlineStr">
        <is>
          <t>ief</t>
        </is>
      </c>
      <c r="B299" s="3" t="inlineStr">
        <is>
          <t>tot</t>
        </is>
      </c>
      <c r="C299" s="3" t="inlineStr">
        <is>
          <t>ove</t>
        </is>
      </c>
      <c r="D299" s="3" t="n"/>
      <c r="E299" s="3" t="n"/>
      <c r="H299" s="3" t="inlineStr">
        <is>
          <t>Indirect effect, total</t>
        </is>
      </c>
      <c r="I299" s="3" t="inlineStr">
        <is>
          <t>% consumption</t>
        </is>
      </c>
      <c r="J299" s="118" t="inlineStr">
        <is>
          <t>legacy D.II 2845</t>
        </is>
      </c>
      <c r="K299" s="9" t="str">
        <f>LOWER(CtryCode)&amp;".distn."&amp;$A299&amp;IF($B299="","","."&amp;$B299)&amp;IF($C299="","",".dec."&amp;$C299)&amp;"."&amp;K$5</f>
        <v>egy.distn.ief.tot.dec.ove.1</v>
      </c>
      <c r="L299" s="202">
        <f t="shared" ref="L299:V299" si="494">SUM(L285:L298)</f>
        <v>0.0</v>
      </c>
      <c r="M299" s="196">
        <f t="shared" si="494"/>
        <v>0.0</v>
      </c>
      <c r="N299" s="196">
        <f t="shared" si="494"/>
        <v>0.0</v>
      </c>
      <c r="O299" s="196">
        <f t="shared" si="494"/>
        <v>0.0</v>
      </c>
      <c r="P299" s="196">
        <f t="shared" si="494"/>
        <v>0.0</v>
      </c>
      <c r="Q299" s="196">
        <f t="shared" si="494"/>
        <v>0.0</v>
      </c>
      <c r="R299" s="196">
        <f t="shared" si="494"/>
        <v>0.0</v>
      </c>
      <c r="S299" s="196">
        <f t="shared" si="494"/>
        <v>0.0</v>
      </c>
      <c r="T299" s="196">
        <f t="shared" si="494"/>
        <v>0.0</v>
      </c>
      <c r="U299" s="196">
        <f t="shared" si="494"/>
        <v>0.0</v>
      </c>
      <c r="V299" s="196">
        <f t="shared" si="494"/>
        <v>0.0</v>
      </c>
      <c r="W299" s="201" t="str">
        <f>IF(X$5=K$5,SUM(Y299:AI299)-SUM(L299:V299),"")</f>
        <v/>
      </c>
      <c r="X299" s="9" t="str">
        <f>LOWER(CtryCode)&amp;".distn."&amp;$A299&amp;IF($B299="","","."&amp;$B299)&amp;IF($C299="","",".dec."&amp;$C299)&amp;"."&amp;X$5</f>
        <v>egy.distn.ief.tot.dec.ove.2</v>
      </c>
      <c r="Y299" s="202">
        <f t="shared" ref="Y299:AI299" si="495">SUM(Y285:Y298)</f>
        <v>-0.15747518803532404</v>
      </c>
      <c r="Z299" s="196">
        <f t="shared" si="495"/>
        <v>-0.15959826018305423</v>
      </c>
      <c r="AA299" s="196">
        <f t="shared" si="495"/>
        <v>-0.1601086713829005</v>
      </c>
      <c r="AB299" s="196">
        <f t="shared" si="495"/>
        <v>-0.1551634028761869</v>
      </c>
      <c r="AC299" s="196">
        <f t="shared" si="495"/>
        <v>-0.15467780029670736</v>
      </c>
      <c r="AD299" s="196">
        <f t="shared" si="495"/>
        <v>-0.15834706365439918</v>
      </c>
      <c r="AE299" s="196">
        <f t="shared" si="495"/>
        <v>-0.16448423535124365</v>
      </c>
      <c r="AF299" s="196">
        <f t="shared" si="495"/>
        <v>-0.1604951256452084</v>
      </c>
      <c r="AG299" s="196">
        <f t="shared" si="495"/>
        <v>-0.16588810835054707</v>
      </c>
      <c r="AH299" s="196">
        <f t="shared" si="495"/>
        <v>-0.16510252309764817</v>
      </c>
      <c r="AI299" s="196">
        <f t="shared" si="495"/>
        <v>-0.15888785896349514</v>
      </c>
    </row>
    <row r="300" hidden="1" outlineLevel="1"/>
    <row r="301" hidden="1" outlineLevel="1">
      <c r="B301" s="31" t="inlineStr">
        <is>
          <t>Total effect by sample (overall: the summary below)</t>
        </is>
      </c>
    </row>
    <row r="302" hidden="1" outlineLevel="1">
      <c r="A302" s="44" t="inlineStr">
        <is>
          <t>tef</t>
        </is>
      </c>
      <c r="B302" s="3" t="inlineStr">
        <is>
          <t>tot</t>
        </is>
      </c>
      <c r="C302" s="3" t="inlineStr">
        <is>
          <t>urb</t>
        </is>
      </c>
      <c r="D302" s="3" t="n"/>
      <c r="E302" s="3" t="n"/>
      <c r="H302" s="3" t="inlineStr">
        <is>
          <t>Total effect, urban</t>
        </is>
      </c>
      <c r="I302" s="3" t="inlineStr">
        <is>
          <t>% consumption</t>
        </is>
      </c>
      <c r="J302" s="118" t="inlineStr">
        <is>
          <t>legacy D.II 2875, 2945, 3014</t>
        </is>
      </c>
      <c r="K302" s="9" t="str">
        <f>LOWER(CtryCode)&amp;".distn."&amp;$A302&amp;IF($B302="","","."&amp;$B302)&amp;IF($C302="","",".dec."&amp;$C302)&amp;"."&amp;K$5</f>
        <v>egy.distn.tef.tot.dec.urb.1</v>
      </c>
      <c r="L302" s="202">
        <f t="shared" ref="L302:V302" si="496">-L265*L$271</f>
        <v>-0.0</v>
      </c>
      <c r="M302" s="196">
        <f t="shared" si="496"/>
        <v>-0.0</v>
      </c>
      <c r="N302" s="196">
        <f t="shared" si="496"/>
        <v>-0.0</v>
      </c>
      <c r="O302" s="196">
        <f t="shared" si="496"/>
        <v>-0.0</v>
      </c>
      <c r="P302" s="196">
        <f t="shared" si="496"/>
        <v>-0.0</v>
      </c>
      <c r="Q302" s="196">
        <f t="shared" si="496"/>
        <v>-0.0</v>
      </c>
      <c r="R302" s="196">
        <f t="shared" si="496"/>
        <v>-0.0</v>
      </c>
      <c r="S302" s="196">
        <f t="shared" si="496"/>
        <v>-0.0</v>
      </c>
      <c r="T302" s="196">
        <f t="shared" si="496"/>
        <v>-0.0</v>
      </c>
      <c r="U302" s="196">
        <f t="shared" si="496"/>
        <v>-0.0</v>
      </c>
      <c r="V302" s="196">
        <f t="shared" si="496"/>
        <v>-0.0</v>
      </c>
      <c r="W302" s="201" t="str">
        <f>IF(X$5=K$5,SUM(Y302:AI302)-SUM(L302:V302),"")</f>
        <v/>
      </c>
      <c r="X302" s="9" t="str">
        <f>LOWER(CtryCode)&amp;".distn."&amp;$A302&amp;IF($B302="","","."&amp;$B302)&amp;IF($C302="","",".dec."&amp;$C302)&amp;"."&amp;X$5</f>
        <v>egy.distn.tef.tot.dec.urb.2</v>
      </c>
      <c r="Y302" s="202">
        <f t="shared" ref="Y302:AI302" si="497">-Y265*Y$271</f>
        <v>-1.4472269616601219</v>
      </c>
      <c r="Z302" s="196">
        <f t="shared" si="497"/>
        <v>-1.5590235379339559</v>
      </c>
      <c r="AA302" s="196">
        <f t="shared" si="497"/>
        <v>-1.3790779103955206</v>
      </c>
      <c r="AB302" s="196">
        <f t="shared" si="497"/>
        <v>-1.4075275191708856</v>
      </c>
      <c r="AC302" s="196">
        <f t="shared" si="497"/>
        <v>-1.3593122278787462</v>
      </c>
      <c r="AD302" s="196">
        <f t="shared" si="497"/>
        <v>-1.3360890761990147</v>
      </c>
      <c r="AE302" s="196">
        <f t="shared" si="497"/>
        <v>-1.3389166891070143</v>
      </c>
      <c r="AF302" s="196">
        <f t="shared" si="497"/>
        <v>-1.4268071394317008</v>
      </c>
      <c r="AG302" s="196">
        <f t="shared" si="497"/>
        <v>-1.3458391476228861</v>
      </c>
      <c r="AH302" s="196">
        <f t="shared" si="497"/>
        <v>-1.4003868357770564</v>
      </c>
      <c r="AI302" s="196">
        <f t="shared" si="497"/>
        <v>-1.4224622079112281</v>
      </c>
    </row>
    <row r="303" hidden="1" outlineLevel="1">
      <c r="A303" s="44" t="inlineStr">
        <is>
          <t>tef</t>
        </is>
      </c>
      <c r="B303" s="3" t="inlineStr">
        <is>
          <t>tot</t>
        </is>
      </c>
      <c r="C303" s="3" t="inlineStr">
        <is>
          <t>rur</t>
        </is>
      </c>
      <c r="D303" s="3" t="n"/>
      <c r="E303" s="3" t="n"/>
      <c r="H303" s="3" t="inlineStr">
        <is>
          <t>Total effect, rural</t>
        </is>
      </c>
      <c r="I303" s="3" t="inlineStr">
        <is>
          <t>% consumption</t>
        </is>
      </c>
      <c r="J303" s="118" t="inlineStr">
        <is>
          <t>legacy D.II 2875, 2945, 3014</t>
        </is>
      </c>
      <c r="K303" s="9" t="str">
        <f>LOWER(CtryCode)&amp;".distn."&amp;$A303&amp;IF($B303="","","."&amp;$B303)&amp;IF($C303="","",".dec."&amp;$C303)&amp;"."&amp;K$5</f>
        <v>egy.distn.tef.tot.dec.rur.1</v>
      </c>
      <c r="L303" s="202">
        <f t="shared" ref="L303:V303" si="498">-L266*L$271</f>
        <v>-0.0</v>
      </c>
      <c r="M303" s="196">
        <f t="shared" si="498"/>
        <v>-0.0</v>
      </c>
      <c r="N303" s="196">
        <f t="shared" si="498"/>
        <v>-0.0</v>
      </c>
      <c r="O303" s="196">
        <f t="shared" si="498"/>
        <v>-0.0</v>
      </c>
      <c r="P303" s="196">
        <f t="shared" si="498"/>
        <v>-0.0</v>
      </c>
      <c r="Q303" s="196">
        <f t="shared" si="498"/>
        <v>-0.0</v>
      </c>
      <c r="R303" s="196">
        <f t="shared" si="498"/>
        <v>-0.0</v>
      </c>
      <c r="S303" s="196">
        <f t="shared" si="498"/>
        <v>-0.0</v>
      </c>
      <c r="T303" s="196">
        <f t="shared" si="498"/>
        <v>-0.0</v>
      </c>
      <c r="U303" s="196">
        <f t="shared" si="498"/>
        <v>-0.0</v>
      </c>
      <c r="V303" s="196">
        <f t="shared" si="498"/>
        <v>-0.0</v>
      </c>
      <c r="W303" s="201" t="str">
        <f>IF(X$5=K$5,SUM(Y303:AI303)-SUM(L303:V303),"")</f>
        <v/>
      </c>
      <c r="X303" s="9" t="str">
        <f>LOWER(CtryCode)&amp;".distn."&amp;$A303&amp;IF($B303="","","."&amp;$B303)&amp;IF($C303="","",".dec."&amp;$C303)&amp;"."&amp;X$5</f>
        <v>egy.distn.tef.tot.dec.rur.2</v>
      </c>
      <c r="Y303" s="202">
        <f t="shared" ref="Y303:AI303" si="499">-Y266*Y$271</f>
        <v>-1.473941895926746</v>
      </c>
      <c r="Z303" s="196">
        <f t="shared" si="499"/>
        <v>-1.7183684084453175</v>
      </c>
      <c r="AA303" s="196">
        <f t="shared" si="499"/>
        <v>-1.545612243189054</v>
      </c>
      <c r="AB303" s="196">
        <f t="shared" si="499"/>
        <v>-1.4460135821910756</v>
      </c>
      <c r="AC303" s="196">
        <f t="shared" si="499"/>
        <v>-1.4829079154436964</v>
      </c>
      <c r="AD303" s="196">
        <f t="shared" si="499"/>
        <v>-1.4229136713442179</v>
      </c>
      <c r="AE303" s="196">
        <f t="shared" si="499"/>
        <v>-1.4088681649805326</v>
      </c>
      <c r="AF303" s="196">
        <f t="shared" si="499"/>
        <v>-1.3652817248334799</v>
      </c>
      <c r="AG303" s="196">
        <f t="shared" si="499"/>
        <v>-1.431214551053379</v>
      </c>
      <c r="AH303" s="196">
        <f t="shared" si="499"/>
        <v>-1.4693062141134532</v>
      </c>
      <c r="AI303" s="196">
        <f t="shared" si="499"/>
        <v>-1.5085430858483886</v>
      </c>
    </row>
    <row r="304" hidden="1" outlineLevel="1"/>
    <row r="305" collapsed="1">
      <c r="A305" s="44" t="inlineStr">
        <is>
          <t>tef</t>
        </is>
      </c>
      <c r="B305" s="3" t="inlineStr">
        <is>
          <t>tot</t>
        </is>
      </c>
      <c r="C305" s="3" t="inlineStr">
        <is>
          <t>ove</t>
        </is>
      </c>
      <c r="D305" s="3" t="n"/>
      <c r="E305" s="3" t="n"/>
      <c r="H305" s="6" t="inlineStr">
        <is>
          <t>Total effect, overall</t>
        </is>
      </c>
      <c r="I305" s="3" t="inlineStr">
        <is>
          <t>% consumption</t>
        </is>
      </c>
      <c r="J305" s="118" t="inlineStr">
        <is>
          <t>legacy D.II 2875, 2945, 3014</t>
        </is>
      </c>
      <c r="K305" s="9" t="str">
        <f>LOWER(CtryCode)&amp;".distn."&amp;$A305&amp;IF($B305="","","."&amp;$B305)&amp;IF($C305="","",".dec."&amp;$C305)&amp;"."&amp;K$5</f>
        <v>egy.distn.tef.tot.dec.ove.1</v>
      </c>
      <c r="L305" s="209">
        <f t="shared" ref="L305:V305" si="500">L282+L299</f>
        <v>0.0</v>
      </c>
      <c r="M305" s="210">
        <f t="shared" si="500"/>
        <v>0.0</v>
      </c>
      <c r="N305" s="210">
        <f t="shared" si="500"/>
        <v>0.0</v>
      </c>
      <c r="O305" s="210">
        <f t="shared" si="500"/>
        <v>0.0</v>
      </c>
      <c r="P305" s="210">
        <f t="shared" si="500"/>
        <v>0.0</v>
      </c>
      <c r="Q305" s="210">
        <f t="shared" si="500"/>
        <v>0.0</v>
      </c>
      <c r="R305" s="210">
        <f t="shared" si="500"/>
        <v>0.0</v>
      </c>
      <c r="S305" s="210">
        <f t="shared" si="500"/>
        <v>0.0</v>
      </c>
      <c r="T305" s="210">
        <f t="shared" si="500"/>
        <v>0.0</v>
      </c>
      <c r="U305" s="210">
        <f t="shared" si="500"/>
        <v>0.0</v>
      </c>
      <c r="V305" s="210">
        <f t="shared" si="500"/>
        <v>0.0</v>
      </c>
      <c r="W305" s="201" t="str">
        <f>IF(X$5=K$5,SUM(Y305:AI305)-SUM(L305:V305),"")</f>
        <v/>
      </c>
      <c r="X305" s="9" t="str">
        <f>LOWER(CtryCode)&amp;".distn."&amp;$A305&amp;IF($B305="","","."&amp;$B305)&amp;IF($C305="","",".dec."&amp;$C305)&amp;"."&amp;X$5</f>
        <v>egy.distn.tef.tot.dec.ove.2</v>
      </c>
      <c r="Y305" s="209">
        <f t="shared" ref="Y305:AI305" si="501">Y282+Y299</f>
        <v>-1.4577731442483484</v>
      </c>
      <c r="Z305" s="210">
        <f t="shared" si="501"/>
        <v>-1.6656540348419693</v>
      </c>
      <c r="AA305" s="210">
        <f t="shared" si="501"/>
        <v>-1.5203874002335405</v>
      </c>
      <c r="AB305" s="210">
        <f t="shared" si="501"/>
        <v>-1.5081143473342284</v>
      </c>
      <c r="AC305" s="210">
        <f t="shared" si="501"/>
        <v>-1.4092672323890771</v>
      </c>
      <c r="AD305" s="210">
        <f t="shared" si="501"/>
        <v>-1.391452229832117</v>
      </c>
      <c r="AE305" s="210">
        <f t="shared" si="501"/>
        <v>-1.3877229564404268</v>
      </c>
      <c r="AF305" s="210">
        <f t="shared" si="501"/>
        <v>-1.4180823263436277</v>
      </c>
      <c r="AG305" s="210">
        <f t="shared" si="501"/>
        <v>-1.4604655680638818</v>
      </c>
      <c r="AH305" s="210">
        <f t="shared" si="501"/>
        <v>-1.411292378953322</v>
      </c>
      <c r="AI305" s="210">
        <f t="shared" si="501"/>
        <v>-1.4886996718844945</v>
      </c>
    </row>
    <row r="306"/>
    <row r="307">
      <c r="A307" s="36" t="inlineStr">
        <is>
          <t>7</t>
        </is>
      </c>
      <c r="B307" s="37" t="inlineStr">
        <is>
          <t>Survey to national accounts (legacy C.VIII; deflator ratios cancel)</t>
        </is>
      </c>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row>
    <row r="308" hidden="1" outlineLevel="1"/>
    <row r="309" hidden="1" outlineLevel="1">
      <c r="A309" s="44" t="inlineStr">
        <is>
          <t>consgdpyr</t>
        </is>
      </c>
      <c r="B309" s="3" t="inlineStr"/>
      <c r="C309" s="3" t="inlineStr"/>
      <c r="D309" s="3" t="n"/>
      <c r="E309" s="3" t="n"/>
      <c r="H309" s="3" t="inlineStr">
        <is>
          <t>Latest year of household consumption data (WDI)</t>
        </is>
      </c>
      <c r="I309" s="3" t="inlineStr">
        <is>
          <t>year</t>
        </is>
      </c>
      <c r="J309" s="118" t="inlineStr">
        <is>
          <t>GDPRatios Latest Year</t>
        </is>
      </c>
      <c r="K309" s="9" t="str">
        <f>LOWER(CtryCode)&amp;".distn."&amp;$A309&amp;IF($B309="","","."&amp;$B309)&amp;IF($C309="","",".dec."&amp;$C309)&amp;"."&amp;K$5</f>
        <v>egy.distn.consgdpyr.1</v>
      </c>
      <c r="L309" s="38">
        <f>INDEX(DGDPRVal,MATCH(CtryCode&amp;"|NE.CON.PRVT.ZS",DGDPRKey,0),MATCH("Latest Year",DGDPRHdr,0))</f>
        <v>2023.0</v>
      </c>
      <c r="M309" s="39">
        <f t="shared" ref="M309:V309" si="502">L309</f>
        <v>2023.0</v>
      </c>
      <c r="N309" s="39">
        <f t="shared" si="502"/>
        <v>2023.0</v>
      </c>
      <c r="O309" s="39">
        <f t="shared" si="502"/>
        <v>2023.0</v>
      </c>
      <c r="P309" s="39">
        <f t="shared" si="502"/>
        <v>2023.0</v>
      </c>
      <c r="Q309" s="39">
        <f t="shared" si="502"/>
        <v>2023.0</v>
      </c>
      <c r="R309" s="39">
        <f t="shared" si="502"/>
        <v>2023.0</v>
      </c>
      <c r="S309" s="39">
        <f t="shared" si="502"/>
        <v>2023.0</v>
      </c>
      <c r="T309" s="39">
        <f t="shared" si="502"/>
        <v>2023.0</v>
      </c>
      <c r="U309" s="39">
        <f t="shared" si="502"/>
        <v>2023.0</v>
      </c>
      <c r="V309" s="39">
        <f t="shared" si="502"/>
        <v>2023.0</v>
      </c>
      <c r="W309" s="201" t="str">
        <f>IF(X$5=K$5,SUM(Y309:AI309)-SUM(L309:V309),"")</f>
        <v/>
      </c>
      <c r="X309" s="9" t="str">
        <f>LOWER(CtryCode)&amp;".distn."&amp;$A309&amp;IF($B309="","","."&amp;$B309)&amp;IF($C309="","",".dec."&amp;$C309)&amp;"."&amp;X$5</f>
        <v>egy.distn.consgdpyr.2</v>
      </c>
      <c r="Y309" s="38">
        <f>INDEX(DGDPRVal,MATCH(CtryCode&amp;"|NE.CON.PRVT.ZS",DGDPRKey,0),MATCH("Latest Year",DGDPRHdr,0))</f>
        <v>2023.0</v>
      </c>
      <c r="Z309" s="39">
        <f t="shared" ref="Z309:AI309" si="503">Y309</f>
        <v>2023.0</v>
      </c>
      <c r="AA309" s="39">
        <f t="shared" si="503"/>
        <v>2023.0</v>
      </c>
      <c r="AB309" s="39">
        <f t="shared" si="503"/>
        <v>2023.0</v>
      </c>
      <c r="AC309" s="39">
        <f t="shared" si="503"/>
        <v>2023.0</v>
      </c>
      <c r="AD309" s="39">
        <f t="shared" si="503"/>
        <v>2023.0</v>
      </c>
      <c r="AE309" s="39">
        <f t="shared" si="503"/>
        <v>2023.0</v>
      </c>
      <c r="AF309" s="39">
        <f t="shared" si="503"/>
        <v>2023.0</v>
      </c>
      <c r="AG309" s="39">
        <f t="shared" si="503"/>
        <v>2023.0</v>
      </c>
      <c r="AH309" s="39">
        <f t="shared" si="503"/>
        <v>2023.0</v>
      </c>
      <c r="AI309" s="39">
        <f t="shared" si="503"/>
        <v>2023.0</v>
      </c>
    </row>
    <row r="310" hidden="1" outlineLevel="1">
      <c r="A310" s="44" t="inlineStr">
        <is>
          <t>consgdp</t>
        </is>
      </c>
      <c r="B310" s="3" t="inlineStr"/>
      <c r="C310" s="3" t="inlineStr"/>
      <c r="D310" s="3" t="n"/>
      <c r="E310" s="3" t="n"/>
      <c r="H310" s="3" t="inlineStr">
        <is>
          <t>Household consumption, % GDP (WDI, latest year)</t>
        </is>
      </c>
      <c r="I310" s="3" t="inlineStr">
        <is>
          <t>% GDP</t>
        </is>
      </c>
      <c r="J310" s="118" t="inlineStr">
        <is>
          <t>GDPRatios NE.CON.PRVT.ZS</t>
        </is>
      </c>
      <c r="K310" s="9" t="str">
        <f>LOWER(CtryCode)&amp;".distn."&amp;$A310&amp;IF($B310="","","."&amp;$B310)&amp;IF($C310="","",".dec."&amp;$C310)&amp;"."&amp;K$5</f>
        <v>egy.distn.consgdp.1</v>
      </c>
      <c r="L310" s="47">
        <f>INDEX(DGDPRVal,MATCH(CtryCode&amp;"|NE.CON.PRVT.ZS",DGDPRKey,0),MATCH(L$309,DGDPRHdr,0))</f>
        <v>82.57183370423617</v>
      </c>
      <c r="M310" s="48">
        <f t="shared" ref="M310:V310" si="504">L310</f>
        <v>82.57183370423617</v>
      </c>
      <c r="N310" s="48">
        <f t="shared" si="504"/>
        <v>82.57183370423617</v>
      </c>
      <c r="O310" s="48">
        <f t="shared" si="504"/>
        <v>82.57183370423617</v>
      </c>
      <c r="P310" s="48">
        <f t="shared" si="504"/>
        <v>82.57183370423617</v>
      </c>
      <c r="Q310" s="48">
        <f t="shared" si="504"/>
        <v>82.57183370423617</v>
      </c>
      <c r="R310" s="48">
        <f t="shared" si="504"/>
        <v>82.57183370423617</v>
      </c>
      <c r="S310" s="48">
        <f t="shared" si="504"/>
        <v>82.57183370423617</v>
      </c>
      <c r="T310" s="48">
        <f t="shared" si="504"/>
        <v>82.57183370423617</v>
      </c>
      <c r="U310" s="48">
        <f t="shared" si="504"/>
        <v>82.57183370423617</v>
      </c>
      <c r="V310" s="48">
        <f t="shared" si="504"/>
        <v>82.57183370423617</v>
      </c>
      <c r="W310" s="201" t="str">
        <f>IF(X$5=K$5,SUM(Y310:AI310)-SUM(L310:V310),"")</f>
        <v/>
      </c>
      <c r="X310" s="9" t="str">
        <f>LOWER(CtryCode)&amp;".distn."&amp;$A310&amp;IF($B310="","","."&amp;$B310)&amp;IF($C310="","",".dec."&amp;$C310)&amp;"."&amp;X$5</f>
        <v>egy.distn.consgdp.2</v>
      </c>
      <c r="Y310" s="47">
        <f>INDEX(DGDPRVal,MATCH(CtryCode&amp;"|NE.CON.PRVT.ZS",DGDPRKey,0),MATCH(Y$309,DGDPRHdr,0))</f>
        <v>82.57183370423617</v>
      </c>
      <c r="Z310" s="48">
        <f t="shared" ref="Z310:AI310" si="505">Y310</f>
        <v>82.57183370423617</v>
      </c>
      <c r="AA310" s="48">
        <f t="shared" si="505"/>
        <v>82.57183370423617</v>
      </c>
      <c r="AB310" s="48">
        <f t="shared" si="505"/>
        <v>82.57183370423617</v>
      </c>
      <c r="AC310" s="48">
        <f t="shared" si="505"/>
        <v>82.57183370423617</v>
      </c>
      <c r="AD310" s="48">
        <f t="shared" si="505"/>
        <v>82.57183370423617</v>
      </c>
      <c r="AE310" s="48">
        <f t="shared" si="505"/>
        <v>82.57183370423617</v>
      </c>
      <c r="AF310" s="48">
        <f t="shared" si="505"/>
        <v>82.57183370423617</v>
      </c>
      <c r="AG310" s="48">
        <f t="shared" si="505"/>
        <v>82.57183370423617</v>
      </c>
      <c r="AH310" s="48">
        <f t="shared" si="505"/>
        <v>82.57183370423617</v>
      </c>
      <c r="AI310" s="48">
        <f t="shared" si="505"/>
        <v>82.57183370423617</v>
      </c>
    </row>
    <row r="311" hidden="1" outlineLevel="1">
      <c r="A311" s="44" t="inlineStr">
        <is>
          <t>nacons</t>
        </is>
      </c>
      <c r="B311" s="3" t="inlineStr"/>
      <c r="C311" s="3" t="inlineStr"/>
      <c r="D311" s="3" t="n"/>
      <c r="E311" s="3" t="n"/>
      <c r="H311" s="3" t="inlineStr">
        <is>
          <t>Household consumption, national accounts</t>
        </is>
      </c>
      <c r="I311" s="3" t="inlineStr">
        <is>
          <t>LCU bn</t>
        </is>
      </c>
      <c r="J311" s="118" t="inlineStr">
        <is>
          <t>legacy I248</t>
        </is>
      </c>
      <c r="K311" s="9" t="str">
        <f>LOWER(CtryCode)&amp;".distn."&amp;$A311&amp;IF($B311="","","."&amp;$B311)&amp;IF($C311="","",".dec."&amp;$C311)&amp;"."&amp;K$5</f>
        <v>egy.distn.nacons.1</v>
      </c>
      <c r="L311" s="204">
        <f>L$83*L$310/PctPerUnit</f>
        <v>9138080429470.725</v>
      </c>
      <c r="M311" s="205">
        <f t="shared" ref="M311:V311" si="506">L311</f>
        <v>9138080429470.725</v>
      </c>
      <c r="N311" s="205">
        <f t="shared" si="506"/>
        <v>9138080429470.725</v>
      </c>
      <c r="O311" s="205">
        <f t="shared" si="506"/>
        <v>9138080429470.725</v>
      </c>
      <c r="P311" s="205">
        <f t="shared" si="506"/>
        <v>9138080429470.725</v>
      </c>
      <c r="Q311" s="205">
        <f t="shared" si="506"/>
        <v>9138080429470.725</v>
      </c>
      <c r="R311" s="205">
        <f t="shared" si="506"/>
        <v>9138080429470.725</v>
      </c>
      <c r="S311" s="205">
        <f t="shared" si="506"/>
        <v>9138080429470.725</v>
      </c>
      <c r="T311" s="205">
        <f t="shared" si="506"/>
        <v>9138080429470.725</v>
      </c>
      <c r="U311" s="205">
        <f t="shared" si="506"/>
        <v>9138080429470.725</v>
      </c>
      <c r="V311" s="205">
        <f t="shared" si="506"/>
        <v>9138080429470.725</v>
      </c>
      <c r="W311" s="201" t="str">
        <f>IF(X$5=K$5,SUM(Y311:AI311)-SUM(L311:V311),"")</f>
        <v/>
      </c>
      <c r="X311" s="9" t="str">
        <f>LOWER(CtryCode)&amp;".distn."&amp;$A311&amp;IF($B311="","","."&amp;$B311)&amp;IF($C311="","",".dec."&amp;$C311)&amp;"."&amp;X$5</f>
        <v>egy.distn.nacons.2</v>
      </c>
      <c r="Y311" s="204">
        <f>Y$83*Y$310/PctPerUnit</f>
        <v>9138080429470.725</v>
      </c>
      <c r="Z311" s="205">
        <f t="shared" ref="Z311:AI311" si="507">Y311</f>
        <v>9138080429470.725</v>
      </c>
      <c r="AA311" s="205">
        <f t="shared" si="507"/>
        <v>9138080429470.725</v>
      </c>
      <c r="AB311" s="205">
        <f t="shared" si="507"/>
        <v>9138080429470.725</v>
      </c>
      <c r="AC311" s="205">
        <f t="shared" si="507"/>
        <v>9138080429470.725</v>
      </c>
      <c r="AD311" s="205">
        <f t="shared" si="507"/>
        <v>9138080429470.725</v>
      </c>
      <c r="AE311" s="205">
        <f t="shared" si="507"/>
        <v>9138080429470.725</v>
      </c>
      <c r="AF311" s="205">
        <f t="shared" si="507"/>
        <v>9138080429470.725</v>
      </c>
      <c r="AG311" s="205">
        <f t="shared" si="507"/>
        <v>9138080429470.725</v>
      </c>
      <c r="AH311" s="205">
        <f t="shared" si="507"/>
        <v>9138080429470.725</v>
      </c>
      <c r="AI311" s="205">
        <f t="shared" si="507"/>
        <v>9138080429470.725</v>
      </c>
    </row>
    <row r="312" hidden="1" outlineLevel="1">
      <c r="A312" s="44" t="inlineStr">
        <is>
          <t>popw</t>
        </is>
      </c>
      <c r="B312" s="3" t="inlineStr"/>
      <c r="C312" s="3" t="inlineStr">
        <is>
          <t>ove</t>
        </is>
      </c>
      <c r="D312" s="3" t="inlineStr">
        <is>
          <t>popw</t>
        </is>
      </c>
      <c r="E312" s="3" t="inlineStr">
        <is>
          <t>ove.mean</t>
        </is>
      </c>
      <c r="H312" s="3" t="inlineStr">
        <is>
          <t>Survey population, overall</t>
        </is>
      </c>
      <c r="I312" s="3" t="inlineStr">
        <is>
          <t>persons m</t>
        </is>
      </c>
      <c r="J312" s="118" t="inlineStr">
        <is>
          <t>HHSurvey popw</t>
        </is>
      </c>
      <c r="K312" s="9" t="str">
        <f>LOWER(CtryCode)&amp;".distn."&amp;$A312&amp;IF($B312="","","."&amp;$B312)&amp;IF($C312="","",".dec."&amp;$C312)&amp;"."&amp;K$5</f>
        <v>egy.distn.popw.dec.ove.1</v>
      </c>
      <c r="L312" s="206">
        <f t="shared" ref="L312:V312" si="508">INDEX(DHHVal,MATCH(CtryCode&amp;".distn.bsh."&amp;L$10&amp;$E312&amp;L$11,DHHKey,0),MATCH($D312,DHHVar,0))</f>
        <v>111444648.1893204</v>
      </c>
      <c r="M312" s="207">
        <f t="shared" si="508"/>
        <v>10019634.4156528</v>
      </c>
      <c r="N312" s="207">
        <f t="shared" si="508"/>
        <v>9844692.959651062</v>
      </c>
      <c r="O312" s="207">
        <f t="shared" si="508"/>
        <v>11193191.0523655</v>
      </c>
      <c r="P312" s="207">
        <f t="shared" si="508"/>
        <v>10068725.52885237</v>
      </c>
      <c r="Q312" s="207">
        <f t="shared" si="508"/>
        <v>10271899.02576059</v>
      </c>
      <c r="R312" s="207">
        <f t="shared" si="508"/>
        <v>11280762.58198201</v>
      </c>
      <c r="S312" s="207">
        <f t="shared" si="508"/>
        <v>10490081.38109066</v>
      </c>
      <c r="T312" s="207">
        <f t="shared" si="508"/>
        <v>10973133.14838653</v>
      </c>
      <c r="U312" s="207">
        <f t="shared" si="508"/>
        <v>10076191.43934877</v>
      </c>
      <c r="V312" s="207">
        <f t="shared" si="508"/>
        <v>9724646.691829609</v>
      </c>
      <c r="W312" s="201" t="str">
        <f>IF(X$5=K$5,SUM(Y312:AI312)-SUM(L312:V312),"")</f>
        <v/>
      </c>
      <c r="X312" s="9" t="str">
        <f>LOWER(CtryCode)&amp;".distn."&amp;$A312&amp;IF($B312="","","."&amp;$B312)&amp;IF($C312="","",".dec."&amp;$C312)&amp;"."&amp;X$5</f>
        <v>egy.distn.popw.dec.ove.2</v>
      </c>
      <c r="Y312" s="206">
        <f t="shared" ref="Y312:AI312" si="509">INDEX(DHHVal,MATCH(CtryCode&amp;".distn.bsh."&amp;Y$10&amp;$E312&amp;Y$11,DHHKey,0),MATCH($D312,DHHVar,0))</f>
        <v>111444648.1893204</v>
      </c>
      <c r="Z312" s="207">
        <f t="shared" si="509"/>
        <v>10019634.4156528</v>
      </c>
      <c r="AA312" s="207">
        <f t="shared" si="509"/>
        <v>9844692.959651062</v>
      </c>
      <c r="AB312" s="207">
        <f t="shared" si="509"/>
        <v>11193191.0523655</v>
      </c>
      <c r="AC312" s="207">
        <f t="shared" si="509"/>
        <v>10068725.52885237</v>
      </c>
      <c r="AD312" s="207">
        <f t="shared" si="509"/>
        <v>10271899.02576059</v>
      </c>
      <c r="AE312" s="207">
        <f t="shared" si="509"/>
        <v>11280762.58198201</v>
      </c>
      <c r="AF312" s="207">
        <f t="shared" si="509"/>
        <v>10490081.38109066</v>
      </c>
      <c r="AG312" s="207">
        <f t="shared" si="509"/>
        <v>10973133.14838653</v>
      </c>
      <c r="AH312" s="207">
        <f t="shared" si="509"/>
        <v>10076191.43934877</v>
      </c>
      <c r="AI312" s="207">
        <f t="shared" si="509"/>
        <v>9724646.691829609</v>
      </c>
    </row>
    <row r="313" hidden="1" outlineLevel="1">
      <c r="A313" s="44" t="inlineStr">
        <is>
          <t>popw</t>
        </is>
      </c>
      <c r="B313" s="3" t="inlineStr"/>
      <c r="C313" s="3" t="inlineStr">
        <is>
          <t>urb</t>
        </is>
      </c>
      <c r="D313" s="3" t="inlineStr">
        <is>
          <t>popw</t>
        </is>
      </c>
      <c r="E313" s="3" t="inlineStr">
        <is>
          <t>urb.mean</t>
        </is>
      </c>
      <c r="H313" s="3" t="inlineStr">
        <is>
          <t>Survey population, urban</t>
        </is>
      </c>
      <c r="I313" s="3" t="inlineStr">
        <is>
          <t>persons m</t>
        </is>
      </c>
      <c r="J313" s="118" t="inlineStr">
        <is>
          <t>HHSurvey popw</t>
        </is>
      </c>
      <c r="K313" s="9" t="str">
        <f>LOWER(CtryCode)&amp;".distn."&amp;$A313&amp;IF($B313="","","."&amp;$B313)&amp;IF($C313="","",".dec."&amp;$C313)&amp;"."&amp;K$5</f>
        <v>egy.distn.popw.dec.urb.1</v>
      </c>
      <c r="L313" s="206">
        <f t="shared" ref="L313:V313" si="510">INDEX(DHHVal,MATCH(CtryCode&amp;".distn.bsh."&amp;L$10&amp;$E313&amp;L$11,DHHKey,0),MATCH($D313,DHHVar,0))</f>
        <v>45332695.43971653</v>
      </c>
      <c r="M313" s="207">
        <f t="shared" si="510"/>
        <v>4841787.433900648</v>
      </c>
      <c r="N313" s="207">
        <f t="shared" si="510"/>
        <v>4668418.364431513</v>
      </c>
      <c r="O313" s="207">
        <f t="shared" si="510"/>
        <v>4737444.457435225</v>
      </c>
      <c r="P313" s="207">
        <f t="shared" si="510"/>
        <v>4841156.469836667</v>
      </c>
      <c r="Q313" s="207">
        <f t="shared" si="510"/>
        <v>5144929.641129108</v>
      </c>
      <c r="R313" s="207">
        <f t="shared" si="510"/>
        <v>5043578.349066657</v>
      </c>
      <c r="S313" s="207">
        <f t="shared" si="510"/>
        <v>5185587.618878794</v>
      </c>
      <c r="T313" s="207">
        <f t="shared" si="510"/>
        <v>5086177.899528419</v>
      </c>
      <c r="U313" s="207">
        <f t="shared" si="510"/>
        <v>4816875.549151202</v>
      </c>
      <c r="V313" s="207">
        <f t="shared" si="510"/>
        <v>5155854.65385274</v>
      </c>
      <c r="W313" s="201" t="str">
        <f>IF(X$5=K$5,SUM(Y313:AI313)-SUM(L313:V313),"")</f>
        <v/>
      </c>
      <c r="X313" s="9" t="str">
        <f>LOWER(CtryCode)&amp;".distn."&amp;$A313&amp;IF($B313="","","."&amp;$B313)&amp;IF($C313="","",".dec."&amp;$C313)&amp;"."&amp;X$5</f>
        <v>egy.distn.popw.dec.urb.2</v>
      </c>
      <c r="Y313" s="206">
        <f t="shared" ref="Y313:AI313" si="511">INDEX(DHHVal,MATCH(CtryCode&amp;".distn.bsh."&amp;Y$10&amp;$E313&amp;Y$11,DHHKey,0),MATCH($D313,DHHVar,0))</f>
        <v>45332695.43971653</v>
      </c>
      <c r="Z313" s="207">
        <f t="shared" si="511"/>
        <v>4841787.433900648</v>
      </c>
      <c r="AA313" s="207">
        <f t="shared" si="511"/>
        <v>4668418.364431513</v>
      </c>
      <c r="AB313" s="207">
        <f t="shared" si="511"/>
        <v>4737444.457435225</v>
      </c>
      <c r="AC313" s="207">
        <f t="shared" si="511"/>
        <v>4841156.469836667</v>
      </c>
      <c r="AD313" s="207">
        <f t="shared" si="511"/>
        <v>5144929.641129108</v>
      </c>
      <c r="AE313" s="207">
        <f t="shared" si="511"/>
        <v>5043578.349066657</v>
      </c>
      <c r="AF313" s="207">
        <f t="shared" si="511"/>
        <v>5185587.618878794</v>
      </c>
      <c r="AG313" s="207">
        <f t="shared" si="511"/>
        <v>5086177.899528419</v>
      </c>
      <c r="AH313" s="207">
        <f t="shared" si="511"/>
        <v>4816875.549151202</v>
      </c>
      <c r="AI313" s="207">
        <f t="shared" si="511"/>
        <v>5155854.65385274</v>
      </c>
    </row>
    <row r="314" hidden="1" outlineLevel="1">
      <c r="A314" s="44" t="inlineStr">
        <is>
          <t>popw</t>
        </is>
      </c>
      <c r="B314" s="3" t="inlineStr"/>
      <c r="C314" s="3" t="inlineStr">
        <is>
          <t>rur</t>
        </is>
      </c>
      <c r="D314" s="3" t="inlineStr">
        <is>
          <t>popw</t>
        </is>
      </c>
      <c r="E314" s="3" t="inlineStr">
        <is>
          <t>rur.mean</t>
        </is>
      </c>
      <c r="H314" s="3" t="inlineStr">
        <is>
          <t>Survey population, rural</t>
        </is>
      </c>
      <c r="I314" s="3" t="inlineStr">
        <is>
          <t>persons m</t>
        </is>
      </c>
      <c r="J314" s="118" t="inlineStr">
        <is>
          <t>HHSurvey popw</t>
        </is>
      </c>
      <c r="K314" s="9" t="str">
        <f>LOWER(CtryCode)&amp;".distn."&amp;$A314&amp;IF($B314="","","."&amp;$B314)&amp;IF($C314="","",".dec."&amp;$C314)&amp;"."&amp;K$5</f>
        <v>egy.distn.popw.dec.rur.1</v>
      </c>
      <c r="L314" s="206">
        <f t="shared" ref="L314:V314" si="512">INDEX(DHHVal,MATCH(CtryCode&amp;".distn.bsh."&amp;L$10&amp;$E314&amp;L$11,DHHKey,0),MATCH($D314,DHHVar,0))</f>
        <v>59610014.46141548</v>
      </c>
      <c r="M314" s="207">
        <f t="shared" si="512"/>
        <v>5573784.109320075</v>
      </c>
      <c r="N314" s="207">
        <f t="shared" si="512"/>
        <v>5414998.267393229</v>
      </c>
      <c r="O314" s="207">
        <f t="shared" si="512"/>
        <v>6004874.284119667</v>
      </c>
      <c r="P314" s="207">
        <f t="shared" si="512"/>
        <v>5466352.08139727</v>
      </c>
      <c r="Q314" s="207">
        <f t="shared" si="512"/>
        <v>5425208.03895509</v>
      </c>
      <c r="R314" s="207">
        <f t="shared" si="512"/>
        <v>5871779.921327601</v>
      </c>
      <c r="S314" s="207">
        <f t="shared" si="512"/>
        <v>6015692.788052627</v>
      </c>
      <c r="T314" s="207">
        <f t="shared" si="512"/>
        <v>5786366.546880573</v>
      </c>
      <c r="U314" s="207">
        <f t="shared" si="512"/>
        <v>5528665.514331621</v>
      </c>
      <c r="V314" s="207">
        <f t="shared" si="512"/>
        <v>6113359.319069593</v>
      </c>
      <c r="W314" s="201" t="str">
        <f>IF(X$5=K$5,SUM(Y314:AI314)-SUM(L314:V314),"")</f>
        <v/>
      </c>
      <c r="X314" s="9" t="str">
        <f>LOWER(CtryCode)&amp;".distn."&amp;$A314&amp;IF($B314="","","."&amp;$B314)&amp;IF($C314="","",".dec."&amp;$C314)&amp;"."&amp;X$5</f>
        <v>egy.distn.popw.dec.rur.2</v>
      </c>
      <c r="Y314" s="206">
        <f t="shared" ref="Y314:AI314" si="513">INDEX(DHHVal,MATCH(CtryCode&amp;".distn.bsh."&amp;Y$10&amp;$E314&amp;Y$11,DHHKey,0),MATCH($D314,DHHVar,0))</f>
        <v>59610014.46141548</v>
      </c>
      <c r="Z314" s="207">
        <f t="shared" si="513"/>
        <v>5573784.109320075</v>
      </c>
      <c r="AA314" s="207">
        <f t="shared" si="513"/>
        <v>5414998.267393229</v>
      </c>
      <c r="AB314" s="207">
        <f t="shared" si="513"/>
        <v>6004874.284119667</v>
      </c>
      <c r="AC314" s="207">
        <f t="shared" si="513"/>
        <v>5466352.08139727</v>
      </c>
      <c r="AD314" s="207">
        <f t="shared" si="513"/>
        <v>5425208.03895509</v>
      </c>
      <c r="AE314" s="207">
        <f t="shared" si="513"/>
        <v>5871779.921327601</v>
      </c>
      <c r="AF314" s="207">
        <f t="shared" si="513"/>
        <v>6015692.788052627</v>
      </c>
      <c r="AG314" s="207">
        <f t="shared" si="513"/>
        <v>5786366.546880573</v>
      </c>
      <c r="AH314" s="207">
        <f t="shared" si="513"/>
        <v>5528665.514331621</v>
      </c>
      <c r="AI314" s="207">
        <f t="shared" si="513"/>
        <v>6113359.319069593</v>
      </c>
    </row>
    <row r="315" hidden="1" outlineLevel="1">
      <c r="A315" s="44" t="inlineStr">
        <is>
          <t>cons_pc_svy</t>
        </is>
      </c>
      <c r="B315" s="3" t="inlineStr"/>
      <c r="C315" s="3" t="inlineStr">
        <is>
          <t>ove</t>
        </is>
      </c>
      <c r="D315" s="3" t="inlineStr">
        <is>
          <t>cons_pc_acrent</t>
        </is>
      </c>
      <c r="E315" s="3" t="inlineStr">
        <is>
          <t>ove.mean</t>
        </is>
      </c>
      <c r="H315" s="3" t="inlineStr">
        <is>
          <t>Survey consumption per capita, overall</t>
        </is>
      </c>
      <c r="I315" s="3" t="inlineStr">
        <is>
          <t>LCU, survey year</t>
        </is>
      </c>
      <c r="J315" s="118" t="inlineStr">
        <is>
          <t>HHSurvey cons_pc_acrent</t>
        </is>
      </c>
      <c r="K315" s="9" t="str">
        <f>LOWER(CtryCode)&amp;".distn."&amp;$A315&amp;IF($B315="","","."&amp;$B315)&amp;IF($C315="","",".dec."&amp;$C315)&amp;"."&amp;K$5</f>
        <v>egy.distn.cons_pc_svy.dec.ove.1</v>
      </c>
      <c r="L315" s="108">
        <f t="shared" ref="L315:V315" si="514">INDEX(DHHVal,MATCH(CtryCode&amp;".distn.bsh."&amp;L$10&amp;$E315&amp;L$11,DHHKey,0),MATCH($D315,DHHVar,0))</f>
        <v>12360.82122482531</v>
      </c>
      <c r="M315" s="109">
        <f t="shared" si="514"/>
        <v>5229.795845510605</v>
      </c>
      <c r="N315" s="109">
        <f t="shared" si="514"/>
        <v>6664.219350658041</v>
      </c>
      <c r="O315" s="109">
        <f t="shared" si="514"/>
        <v>8231.77085402133</v>
      </c>
      <c r="P315" s="109">
        <f t="shared" si="514"/>
        <v>9811.9494347979</v>
      </c>
      <c r="Q315" s="109">
        <f t="shared" si="514"/>
        <v>10348.65136596754</v>
      </c>
      <c r="R315" s="109">
        <f t="shared" si="514"/>
        <v>11013.48040473238</v>
      </c>
      <c r="S315" s="109">
        <f t="shared" si="514"/>
        <v>13822.56724671844</v>
      </c>
      <c r="T315" s="109">
        <f t="shared" si="514"/>
        <v>15870.82947068008</v>
      </c>
      <c r="U315" s="109">
        <f t="shared" si="514"/>
        <v>18901.24609034973</v>
      </c>
      <c r="V315" s="109">
        <f t="shared" si="514"/>
        <v>26289.38845322327</v>
      </c>
      <c r="W315" s="201" t="str">
        <f>IF(X$5=K$5,SUM(Y315:AI315)-SUM(L315:V315),"")</f>
        <v/>
      </c>
      <c r="X315" s="9" t="str">
        <f>LOWER(CtryCode)&amp;".distn."&amp;$A315&amp;IF($B315="","","."&amp;$B315)&amp;IF($C315="","",".dec."&amp;$C315)&amp;"."&amp;X$5</f>
        <v>egy.distn.cons_pc_svy.dec.ove.2</v>
      </c>
      <c r="Y315" s="108">
        <f t="shared" ref="Y315:AI315" si="515">INDEX(DHHVal,MATCH(CtryCode&amp;".distn.bsh."&amp;Y$10&amp;$E315&amp;Y$11,DHHKey,0),MATCH($D315,DHHVar,0))</f>
        <v>12360.82122482531</v>
      </c>
      <c r="Z315" s="109">
        <f t="shared" si="515"/>
        <v>5229.795845510605</v>
      </c>
      <c r="AA315" s="109">
        <f t="shared" si="515"/>
        <v>6664.219350658041</v>
      </c>
      <c r="AB315" s="109">
        <f t="shared" si="515"/>
        <v>8231.77085402133</v>
      </c>
      <c r="AC315" s="109">
        <f t="shared" si="515"/>
        <v>9811.9494347979</v>
      </c>
      <c r="AD315" s="109">
        <f t="shared" si="515"/>
        <v>10348.65136596754</v>
      </c>
      <c r="AE315" s="109">
        <f t="shared" si="515"/>
        <v>11013.48040473238</v>
      </c>
      <c r="AF315" s="109">
        <f t="shared" si="515"/>
        <v>13822.56724671844</v>
      </c>
      <c r="AG315" s="109">
        <f t="shared" si="515"/>
        <v>15870.82947068008</v>
      </c>
      <c r="AH315" s="109">
        <f t="shared" si="515"/>
        <v>18901.24609034973</v>
      </c>
      <c r="AI315" s="109">
        <f t="shared" si="515"/>
        <v>26289.38845322327</v>
      </c>
    </row>
    <row r="316" hidden="1" outlineLevel="1">
      <c r="A316" s="44" t="inlineStr">
        <is>
          <t>cons_pc_svy</t>
        </is>
      </c>
      <c r="B316" s="3" t="inlineStr"/>
      <c r="C316" s="3" t="inlineStr">
        <is>
          <t>urb</t>
        </is>
      </c>
      <c r="D316" s="3" t="inlineStr">
        <is>
          <t>cons_pc_acrent</t>
        </is>
      </c>
      <c r="E316" s="3" t="inlineStr">
        <is>
          <t>urb.mean</t>
        </is>
      </c>
      <c r="H316" s="3" t="inlineStr">
        <is>
          <t>Survey consumption per capita, urban</t>
        </is>
      </c>
      <c r="I316" s="3" t="inlineStr">
        <is>
          <t>LCU, survey year</t>
        </is>
      </c>
      <c r="J316" s="118" t="inlineStr">
        <is>
          <t>HHSurvey cons_pc_acrent</t>
        </is>
      </c>
      <c r="K316" s="9" t="str">
        <f>LOWER(CtryCode)&amp;".distn."&amp;$A316&amp;IF($B316="","","."&amp;$B316)&amp;IF($C316="","",".dec."&amp;$C316)&amp;"."&amp;K$5</f>
        <v>egy.distn.cons_pc_svy.dec.urb.1</v>
      </c>
      <c r="L316" s="108">
        <f t="shared" ref="L316:V316" si="516">INDEX(DHHVal,MATCH(CtryCode&amp;".distn.bsh."&amp;L$10&amp;$E316&amp;L$11,DHHKey,0),MATCH($D316,DHHVar,0))</f>
        <v>13464.85369783162</v>
      </c>
      <c r="M316" s="109">
        <f t="shared" si="516"/>
        <v>5576.405312782244</v>
      </c>
      <c r="N316" s="109">
        <f t="shared" si="516"/>
        <v>7855.410870197133</v>
      </c>
      <c r="O316" s="109">
        <f t="shared" si="516"/>
        <v>9064.053028973141</v>
      </c>
      <c r="P316" s="109">
        <f t="shared" si="516"/>
        <v>9668.56497878586</v>
      </c>
      <c r="Q316" s="109">
        <f t="shared" si="516"/>
        <v>12306.80850271767</v>
      </c>
      <c r="R316" s="109">
        <f t="shared" si="516"/>
        <v>12178.47428356027</v>
      </c>
      <c r="S316" s="109">
        <f t="shared" si="516"/>
        <v>13626.94387792811</v>
      </c>
      <c r="T316" s="109">
        <f t="shared" si="516"/>
        <v>16170.27675442859</v>
      </c>
      <c r="U316" s="109">
        <f t="shared" si="516"/>
        <v>20466.09162619826</v>
      </c>
      <c r="V316" s="109">
        <f t="shared" si="516"/>
        <v>29648.67802255559</v>
      </c>
      <c r="W316" s="201" t="str">
        <f>IF(X$5=K$5,SUM(Y316:AI316)-SUM(L316:V316),"")</f>
        <v/>
      </c>
      <c r="X316" s="9" t="str">
        <f>LOWER(CtryCode)&amp;".distn."&amp;$A316&amp;IF($B316="","","."&amp;$B316)&amp;IF($C316="","",".dec."&amp;$C316)&amp;"."&amp;X$5</f>
        <v>egy.distn.cons_pc_svy.dec.urb.2</v>
      </c>
      <c r="Y316" s="108">
        <f t="shared" ref="Y316:AI316" si="517">INDEX(DHHVal,MATCH(CtryCode&amp;".distn.bsh."&amp;Y$10&amp;$E316&amp;Y$11,DHHKey,0),MATCH($D316,DHHVar,0))</f>
        <v>13464.85369783162</v>
      </c>
      <c r="Z316" s="109">
        <f t="shared" si="517"/>
        <v>5576.405312782244</v>
      </c>
      <c r="AA316" s="109">
        <f t="shared" si="517"/>
        <v>7855.410870197133</v>
      </c>
      <c r="AB316" s="109">
        <f t="shared" si="517"/>
        <v>9064.053028973141</v>
      </c>
      <c r="AC316" s="109">
        <f t="shared" si="517"/>
        <v>9668.56497878586</v>
      </c>
      <c r="AD316" s="109">
        <f t="shared" si="517"/>
        <v>12306.80850271767</v>
      </c>
      <c r="AE316" s="109">
        <f t="shared" si="517"/>
        <v>12178.47428356027</v>
      </c>
      <c r="AF316" s="109">
        <f t="shared" si="517"/>
        <v>13626.94387792811</v>
      </c>
      <c r="AG316" s="109">
        <f t="shared" si="517"/>
        <v>16170.27675442859</v>
      </c>
      <c r="AH316" s="109">
        <f t="shared" si="517"/>
        <v>20466.09162619826</v>
      </c>
      <c r="AI316" s="109">
        <f t="shared" si="517"/>
        <v>29648.67802255559</v>
      </c>
    </row>
    <row r="317" hidden="1" outlineLevel="1">
      <c r="A317" s="44" t="inlineStr">
        <is>
          <t>cons_pc_svy</t>
        </is>
      </c>
      <c r="B317" s="3" t="inlineStr"/>
      <c r="C317" s="3" t="inlineStr">
        <is>
          <t>rur</t>
        </is>
      </c>
      <c r="D317" s="3" t="inlineStr">
        <is>
          <t>cons_pc_acrent</t>
        </is>
      </c>
      <c r="E317" s="3" t="inlineStr">
        <is>
          <t>rur.mean</t>
        </is>
      </c>
      <c r="H317" s="3" t="inlineStr">
        <is>
          <t>Survey consumption per capita, rural</t>
        </is>
      </c>
      <c r="I317" s="3" t="inlineStr">
        <is>
          <t>LCU, survey year</t>
        </is>
      </c>
      <c r="J317" s="118" t="inlineStr">
        <is>
          <t>HHSurvey cons_pc_acrent</t>
        </is>
      </c>
      <c r="K317" s="9" t="str">
        <f>LOWER(CtryCode)&amp;".distn."&amp;$A317&amp;IF($B317="","","."&amp;$B317)&amp;IF($C317="","",".dec."&amp;$C317)&amp;"."&amp;K$5</f>
        <v>egy.distn.cons_pc_svy.dec.rur.1</v>
      </c>
      <c r="L317" s="108">
        <f t="shared" ref="L317:V317" si="518">INDEX(DHHVal,MATCH(CtryCode&amp;".distn.bsh."&amp;L$10&amp;$E317&amp;L$11,DHHKey,0),MATCH($D317,DHHVar,0))</f>
        <v>11544.74971588157</v>
      </c>
      <c r="M317" s="109">
        <f t="shared" si="518"/>
        <v>4933.522185744353</v>
      </c>
      <c r="N317" s="109">
        <f t="shared" si="518"/>
        <v>6059.764558952622</v>
      </c>
      <c r="O317" s="109">
        <f t="shared" si="518"/>
        <v>7036.150878595643</v>
      </c>
      <c r="P317" s="109">
        <f t="shared" si="518"/>
        <v>8169.529035932927</v>
      </c>
      <c r="Q317" s="109">
        <f t="shared" si="518"/>
        <v>9297.91647447429</v>
      </c>
      <c r="R317" s="109">
        <f t="shared" si="518"/>
        <v>9907.063542247186</v>
      </c>
      <c r="S317" s="109">
        <f t="shared" si="518"/>
        <v>11600.95726950613</v>
      </c>
      <c r="T317" s="109">
        <f t="shared" si="518"/>
        <v>12407.28319683883</v>
      </c>
      <c r="U317" s="109">
        <f t="shared" si="518"/>
        <v>14484.34245577603</v>
      </c>
      <c r="V317" s="109">
        <f t="shared" si="518"/>
        <v>21796.62360205073</v>
      </c>
      <c r="W317" s="201" t="str">
        <f>IF(X$5=K$5,SUM(Y317:AI317)-SUM(L317:V317),"")</f>
        <v/>
      </c>
      <c r="X317" s="9" t="str">
        <f>LOWER(CtryCode)&amp;".distn."&amp;$A317&amp;IF($B317="","","."&amp;$B317)&amp;IF($C317="","",".dec."&amp;$C317)&amp;"."&amp;X$5</f>
        <v>egy.distn.cons_pc_svy.dec.rur.2</v>
      </c>
      <c r="Y317" s="108">
        <f t="shared" ref="Y317:AI317" si="519">INDEX(DHHVal,MATCH(CtryCode&amp;".distn.bsh."&amp;Y$10&amp;$E317&amp;Y$11,DHHKey,0),MATCH($D317,DHHVar,0))</f>
        <v>11544.74971588157</v>
      </c>
      <c r="Z317" s="109">
        <f t="shared" si="519"/>
        <v>4933.522185744353</v>
      </c>
      <c r="AA317" s="109">
        <f t="shared" si="519"/>
        <v>6059.764558952622</v>
      </c>
      <c r="AB317" s="109">
        <f t="shared" si="519"/>
        <v>7036.150878595643</v>
      </c>
      <c r="AC317" s="109">
        <f t="shared" si="519"/>
        <v>8169.529035932927</v>
      </c>
      <c r="AD317" s="109">
        <f t="shared" si="519"/>
        <v>9297.91647447429</v>
      </c>
      <c r="AE317" s="109">
        <f t="shared" si="519"/>
        <v>9907.063542247186</v>
      </c>
      <c r="AF317" s="109">
        <f t="shared" si="519"/>
        <v>11600.95726950613</v>
      </c>
      <c r="AG317" s="109">
        <f t="shared" si="519"/>
        <v>12407.28319683883</v>
      </c>
      <c r="AH317" s="109">
        <f t="shared" si="519"/>
        <v>14484.34245577603</v>
      </c>
      <c r="AI317" s="109">
        <f t="shared" si="519"/>
        <v>21796.62360205073</v>
      </c>
    </row>
    <row r="318" hidden="1" outlineLevel="1"/>
    <row r="319" hidden="1" outlineLevel="1">
      <c r="A319" s="44" t="inlineStr">
        <is>
          <t>popadj</t>
        </is>
      </c>
      <c r="B319" s="3" t="inlineStr"/>
      <c r="C319" s="3" t="inlineStr"/>
      <c r="D319" s="3" t="n"/>
      <c r="E319" s="3" t="n"/>
      <c r="H319" s="3" t="inlineStr">
        <is>
          <t>Population adjustment: population / survey population</t>
        </is>
      </c>
      <c r="I319" s="3" t="inlineStr">
        <is>
          <t>ratio</t>
        </is>
      </c>
      <c r="J319" s="118" t="inlineStr">
        <is>
          <t>legacy I233</t>
        </is>
      </c>
      <c r="K319" s="9" t="str">
        <f>LOWER(CtryCode)&amp;".distn."&amp;$A319&amp;IF($B319="","","."&amp;$B319)&amp;IF($C319="","",".dec."&amp;$C319)&amp;"."&amp;K$5</f>
        <v>egy.distn.popadj.1</v>
      </c>
      <c r="L319" s="211">
        <f>L$84/L312</f>
        <v>1.140829309129477</v>
      </c>
      <c r="M319" s="197">
        <f t="shared" ref="M319:V319" si="520">L319</f>
        <v>1.140829309129477</v>
      </c>
      <c r="N319" s="197">
        <f t="shared" si="520"/>
        <v>1.140829309129477</v>
      </c>
      <c r="O319" s="197">
        <f t="shared" si="520"/>
        <v>1.140829309129477</v>
      </c>
      <c r="P319" s="197">
        <f t="shared" si="520"/>
        <v>1.140829309129477</v>
      </c>
      <c r="Q319" s="197">
        <f t="shared" si="520"/>
        <v>1.140829309129477</v>
      </c>
      <c r="R319" s="197">
        <f t="shared" si="520"/>
        <v>1.140829309129477</v>
      </c>
      <c r="S319" s="197">
        <f t="shared" si="520"/>
        <v>1.140829309129477</v>
      </c>
      <c r="T319" s="197">
        <f t="shared" si="520"/>
        <v>1.140829309129477</v>
      </c>
      <c r="U319" s="197">
        <f t="shared" si="520"/>
        <v>1.140829309129477</v>
      </c>
      <c r="V319" s="197">
        <f t="shared" si="520"/>
        <v>1.140829309129477</v>
      </c>
      <c r="W319" s="201" t="str">
        <f>IF(X$5=K$5,SUM(Y319:AI319)-SUM(L319:V319),"")</f>
        <v/>
      </c>
      <c r="X319" s="9" t="str">
        <f>LOWER(CtryCode)&amp;".distn."&amp;$A319&amp;IF($B319="","","."&amp;$B319)&amp;IF($C319="","",".dec."&amp;$C319)&amp;"."&amp;X$5</f>
        <v>egy.distn.popadj.2</v>
      </c>
      <c r="Y319" s="211">
        <f>Y$84/Y312</f>
        <v>1.140829309129477</v>
      </c>
      <c r="Z319" s="197">
        <f t="shared" ref="Z319:AI319" si="521">Y319</f>
        <v>1.140829309129477</v>
      </c>
      <c r="AA319" s="197">
        <f t="shared" si="521"/>
        <v>1.140829309129477</v>
      </c>
      <c r="AB319" s="197">
        <f t="shared" si="521"/>
        <v>1.140829309129477</v>
      </c>
      <c r="AC319" s="197">
        <f t="shared" si="521"/>
        <v>1.140829309129477</v>
      </c>
      <c r="AD319" s="197">
        <f t="shared" si="521"/>
        <v>1.140829309129477</v>
      </c>
      <c r="AE319" s="197">
        <f t="shared" si="521"/>
        <v>1.140829309129477</v>
      </c>
      <c r="AF319" s="197">
        <f t="shared" si="521"/>
        <v>1.140829309129477</v>
      </c>
      <c r="AG319" s="197">
        <f t="shared" si="521"/>
        <v>1.140829309129477</v>
      </c>
      <c r="AH319" s="197">
        <f t="shared" si="521"/>
        <v>1.140829309129477</v>
      </c>
      <c r="AI319" s="197">
        <f t="shared" si="521"/>
        <v>1.140829309129477</v>
      </c>
    </row>
    <row r="320" hidden="1" outlineLevel="1">
      <c r="A320" s="44" t="inlineStr">
        <is>
          <t>consadj</t>
        </is>
      </c>
      <c r="B320" s="3" t="inlineStr"/>
      <c r="C320" s="3" t="inlineStr"/>
      <c r="D320" s="3" t="n"/>
      <c r="E320" s="3" t="n"/>
      <c r="H320" s="3" t="inlineStr">
        <is>
          <t>Consumption adjustment: national consumption / (survey per-capita consumption x population)</t>
        </is>
      </c>
      <c r="I320" s="3" t="inlineStr">
        <is>
          <t>ratio</t>
        </is>
      </c>
      <c r="J320" s="118" t="inlineStr">
        <is>
          <t>legacy I243 x I249</t>
        </is>
      </c>
      <c r="K320" s="9" t="str">
        <f>LOWER(CtryCode)&amp;".distn."&amp;$A320&amp;IF($B320="","","."&amp;$B320)&amp;IF($C320="","",".dec."&amp;$C320)&amp;"."&amp;K$5</f>
        <v>egy.distn.consadj.1</v>
      </c>
      <c r="L320" s="211">
        <f>L$311/L315/L$84</f>
        <v>5.814706029397696</v>
      </c>
      <c r="M320" s="197">
        <f t="shared" ref="M320:V320" si="522">L320</f>
        <v>5.814706029397696</v>
      </c>
      <c r="N320" s="197">
        <f t="shared" si="522"/>
        <v>5.814706029397696</v>
      </c>
      <c r="O320" s="197">
        <f t="shared" si="522"/>
        <v>5.814706029397696</v>
      </c>
      <c r="P320" s="197">
        <f t="shared" si="522"/>
        <v>5.814706029397696</v>
      </c>
      <c r="Q320" s="197">
        <f t="shared" si="522"/>
        <v>5.814706029397696</v>
      </c>
      <c r="R320" s="197">
        <f t="shared" si="522"/>
        <v>5.814706029397696</v>
      </c>
      <c r="S320" s="197">
        <f t="shared" si="522"/>
        <v>5.814706029397696</v>
      </c>
      <c r="T320" s="197">
        <f t="shared" si="522"/>
        <v>5.814706029397696</v>
      </c>
      <c r="U320" s="197">
        <f t="shared" si="522"/>
        <v>5.814706029397696</v>
      </c>
      <c r="V320" s="197">
        <f t="shared" si="522"/>
        <v>5.814706029397696</v>
      </c>
      <c r="W320" s="201" t="str">
        <f>IF(X$5=K$5,SUM(Y320:AI320)-SUM(L320:V320),"")</f>
        <v/>
      </c>
      <c r="X320" s="9" t="str">
        <f>LOWER(CtryCode)&amp;".distn."&amp;$A320&amp;IF($B320="","","."&amp;$B320)&amp;IF($C320="","",".dec."&amp;$C320)&amp;"."&amp;X$5</f>
        <v>egy.distn.consadj.2</v>
      </c>
      <c r="Y320" s="211">
        <f>Y$311/Y315/Y$84</f>
        <v>5.814706029397696</v>
      </c>
      <c r="Z320" s="197">
        <f t="shared" ref="Z320:AI320" si="523">Y320</f>
        <v>5.814706029397696</v>
      </c>
      <c r="AA320" s="197">
        <f t="shared" si="523"/>
        <v>5.814706029397696</v>
      </c>
      <c r="AB320" s="197">
        <f t="shared" si="523"/>
        <v>5.814706029397696</v>
      </c>
      <c r="AC320" s="197">
        <f t="shared" si="523"/>
        <v>5.814706029397696</v>
      </c>
      <c r="AD320" s="197">
        <f t="shared" si="523"/>
        <v>5.814706029397696</v>
      </c>
      <c r="AE320" s="197">
        <f t="shared" si="523"/>
        <v>5.814706029397696</v>
      </c>
      <c r="AF320" s="197">
        <f t="shared" si="523"/>
        <v>5.814706029397696</v>
      </c>
      <c r="AG320" s="197">
        <f t="shared" si="523"/>
        <v>5.814706029397696</v>
      </c>
      <c r="AH320" s="197">
        <f t="shared" si="523"/>
        <v>5.814706029397696</v>
      </c>
      <c r="AI320" s="197">
        <f t="shared" si="523"/>
        <v>5.814706029397696</v>
      </c>
    </row>
    <row r="321" hidden="1" outlineLevel="1"/>
    <row r="322" hidden="1" outlineLevel="1">
      <c r="A322" s="44" t="inlineStr">
        <is>
          <t>pop_tot_adj</t>
        </is>
      </c>
      <c r="B322" s="3" t="inlineStr"/>
      <c r="C322" s="3" t="inlineStr">
        <is>
          <t>ove</t>
        </is>
      </c>
      <c r="D322" s="3" t="n"/>
      <c r="E322" s="3" t="n"/>
      <c r="H322" s="3" t="inlineStr">
        <is>
          <t>Population, overall</t>
        </is>
      </c>
      <c r="I322" s="3" t="inlineStr">
        <is>
          <t>persons m</t>
        </is>
      </c>
      <c r="J322" s="118" t="inlineStr">
        <is>
          <t>HHSurvey popw x adjustment</t>
        </is>
      </c>
      <c r="K322" s="9" t="str">
        <f>LOWER(CtryCode)&amp;".distn."&amp;$A322&amp;IF($B322="","","."&amp;$B322)&amp;IF($C322="","",".dec."&amp;$C322)&amp;"."&amp;K$5</f>
        <v>egy.distn.pop_tot_adj.dec.ove.1</v>
      </c>
      <c r="L322" s="206">
        <f t="shared" ref="L322:V322" si="524">L312*L$319</f>
        <v>127139321.00000001</v>
      </c>
      <c r="M322" s="207">
        <f t="shared" si="524"/>
        <v>11430692.608139114</v>
      </c>
      <c r="N322" s="207">
        <f t="shared" si="524"/>
        <v>11231114.267750548</v>
      </c>
      <c r="O322" s="207">
        <f t="shared" si="524"/>
        <v>12769520.415224377</v>
      </c>
      <c r="P322" s="207">
        <f t="shared" si="524"/>
        <v>11486697.188894976</v>
      </c>
      <c r="Q322" s="207">
        <f t="shared" si="524"/>
        <v>11718483.469006201</v>
      </c>
      <c r="R322" s="207">
        <f t="shared" si="524"/>
        <v>12869424.582856191</v>
      </c>
      <c r="S322" s="207">
        <f t="shared" si="524"/>
        <v>11967392.294701647</v>
      </c>
      <c r="T322" s="207">
        <f t="shared" si="524"/>
        <v>12518471.908659568</v>
      </c>
      <c r="U322" s="207">
        <f t="shared" si="524"/>
        <v>11495214.518408608</v>
      </c>
      <c r="V322" s="207">
        <f t="shared" si="524"/>
        <v>11094161.966968227</v>
      </c>
      <c r="W322" s="201" t="str">
        <f>IF(X$5=K$5,SUM(Y322:AI322)-SUM(L322:V322),"")</f>
        <v/>
      </c>
      <c r="X322" s="9" t="str">
        <f>LOWER(CtryCode)&amp;".distn."&amp;$A322&amp;IF($B322="","","."&amp;$B322)&amp;IF($C322="","",".dec."&amp;$C322)&amp;"."&amp;X$5</f>
        <v>egy.distn.pop_tot_adj.dec.ove.2</v>
      </c>
      <c r="Y322" s="206">
        <f t="shared" ref="Y322:AI322" si="525">Y312*Y$319</f>
        <v>127139321.00000001</v>
      </c>
      <c r="Z322" s="207">
        <f t="shared" si="525"/>
        <v>11430692.608139114</v>
      </c>
      <c r="AA322" s="207">
        <f t="shared" si="525"/>
        <v>11231114.267750548</v>
      </c>
      <c r="AB322" s="207">
        <f t="shared" si="525"/>
        <v>12769520.415224377</v>
      </c>
      <c r="AC322" s="207">
        <f t="shared" si="525"/>
        <v>11486697.188894976</v>
      </c>
      <c r="AD322" s="207">
        <f t="shared" si="525"/>
        <v>11718483.469006201</v>
      </c>
      <c r="AE322" s="207">
        <f t="shared" si="525"/>
        <v>12869424.582856191</v>
      </c>
      <c r="AF322" s="207">
        <f t="shared" si="525"/>
        <v>11967392.294701647</v>
      </c>
      <c r="AG322" s="207">
        <f t="shared" si="525"/>
        <v>12518471.908659568</v>
      </c>
      <c r="AH322" s="207">
        <f t="shared" si="525"/>
        <v>11495214.518408608</v>
      </c>
      <c r="AI322" s="207">
        <f t="shared" si="525"/>
        <v>11094161.966968227</v>
      </c>
    </row>
    <row r="323" hidden="1" outlineLevel="1">
      <c r="A323" s="44" t="inlineStr">
        <is>
          <t>pop_tot_adj</t>
        </is>
      </c>
      <c r="B323" s="3" t="inlineStr"/>
      <c r="C323" s="3" t="inlineStr">
        <is>
          <t>urb</t>
        </is>
      </c>
      <c r="D323" s="3" t="n"/>
      <c r="E323" s="3" t="n"/>
      <c r="H323" s="3" t="inlineStr">
        <is>
          <t>Population, urban</t>
        </is>
      </c>
      <c r="I323" s="3" t="inlineStr">
        <is>
          <t>persons m</t>
        </is>
      </c>
      <c r="J323" s="118" t="inlineStr">
        <is>
          <t>HHSurvey popw x adjustment</t>
        </is>
      </c>
      <c r="K323" s="9" t="str">
        <f>LOWER(CtryCode)&amp;".distn."&amp;$A323&amp;IF($B323="","","."&amp;$B323)&amp;IF($C323="","",".dec."&amp;$C323)&amp;"."&amp;K$5</f>
        <v>egy.distn.pop_tot_adj.dec.urb.1</v>
      </c>
      <c r="L323" s="206">
        <f t="shared" ref="L323:V323" si="526">L313*L$319</f>
        <v>51716867.61946881</v>
      </c>
      <c r="M323" s="207">
        <f t="shared" si="526"/>
        <v>5523653.013168659</v>
      </c>
      <c r="N323" s="207">
        <f t="shared" si="526"/>
        <v>5325868.497421766</v>
      </c>
      <c r="O323" s="207">
        <f t="shared" si="526"/>
        <v>5404615.487415098</v>
      </c>
      <c r="P323" s="207">
        <f t="shared" si="526"/>
        <v>5522933.190871463</v>
      </c>
      <c r="Q323" s="207">
        <f t="shared" si="526"/>
        <v>5869486.528009089</v>
      </c>
      <c r="R323" s="207">
        <f t="shared" si="526"/>
        <v>5753862.003506103</v>
      </c>
      <c r="S323" s="207">
        <f t="shared" si="526"/>
        <v>5915870.340675864</v>
      </c>
      <c r="T323" s="207">
        <f t="shared" si="526"/>
        <v>5802460.81922862</v>
      </c>
      <c r="U323" s="207">
        <f t="shared" si="526"/>
        <v>5495232.804900835</v>
      </c>
      <c r="V323" s="207">
        <f t="shared" si="526"/>
        <v>5881950.102726821</v>
      </c>
      <c r="W323" s="201" t="str">
        <f>IF(X$5=K$5,SUM(Y323:AI323)-SUM(L323:V323),"")</f>
        <v/>
      </c>
      <c r="X323" s="9" t="str">
        <f>LOWER(CtryCode)&amp;".distn."&amp;$A323&amp;IF($B323="","","."&amp;$B323)&amp;IF($C323="","",".dec."&amp;$C323)&amp;"."&amp;X$5</f>
        <v>egy.distn.pop_tot_adj.dec.urb.2</v>
      </c>
      <c r="Y323" s="206">
        <f t="shared" ref="Y323:AI323" si="527">Y313*Y$319</f>
        <v>51716867.61946881</v>
      </c>
      <c r="Z323" s="207">
        <f t="shared" si="527"/>
        <v>5523653.013168659</v>
      </c>
      <c r="AA323" s="207">
        <f t="shared" si="527"/>
        <v>5325868.497421766</v>
      </c>
      <c r="AB323" s="207">
        <f t="shared" si="527"/>
        <v>5404615.487415098</v>
      </c>
      <c r="AC323" s="207">
        <f t="shared" si="527"/>
        <v>5522933.190871463</v>
      </c>
      <c r="AD323" s="207">
        <f t="shared" si="527"/>
        <v>5869486.528009089</v>
      </c>
      <c r="AE323" s="207">
        <f t="shared" si="527"/>
        <v>5753862.003506103</v>
      </c>
      <c r="AF323" s="207">
        <f t="shared" si="527"/>
        <v>5915870.340675864</v>
      </c>
      <c r="AG323" s="207">
        <f t="shared" si="527"/>
        <v>5802460.81922862</v>
      </c>
      <c r="AH323" s="207">
        <f t="shared" si="527"/>
        <v>5495232.804900835</v>
      </c>
      <c r="AI323" s="207">
        <f t="shared" si="527"/>
        <v>5881950.102726821</v>
      </c>
    </row>
    <row r="324" hidden="1" outlineLevel="1">
      <c r="A324" s="44" t="inlineStr">
        <is>
          <t>pop_tot_adj</t>
        </is>
      </c>
      <c r="B324" s="3" t="inlineStr"/>
      <c r="C324" s="3" t="inlineStr">
        <is>
          <t>rur</t>
        </is>
      </c>
      <c r="D324" s="3" t="n"/>
      <c r="E324" s="3" t="n"/>
      <c r="H324" s="3" t="inlineStr">
        <is>
          <t>Population, rural</t>
        </is>
      </c>
      <c r="I324" s="3" t="inlineStr">
        <is>
          <t>persons m</t>
        </is>
      </c>
      <c r="J324" s="118" t="inlineStr">
        <is>
          <t>HHSurvey popw x adjustment</t>
        </is>
      </c>
      <c r="K324" s="9" t="str">
        <f>LOWER(CtryCode)&amp;".distn."&amp;$A324&amp;IF($B324="","","."&amp;$B324)&amp;IF($C324="","",".dec."&amp;$C324)&amp;"."&amp;K$5</f>
        <v>egy.distn.pop_tot_adj.dec.rur.1</v>
      </c>
      <c r="L324" s="206">
        <f t="shared" ref="L324:V324" si="528">L314*L$319</f>
        <v>68004851.61521475</v>
      </c>
      <c r="M324" s="207">
        <f t="shared" si="528"/>
        <v>6358736.274672478</v>
      </c>
      <c r="N324" s="207">
        <f t="shared" si="528"/>
        <v>6177588.732327532</v>
      </c>
      <c r="O324" s="207">
        <f t="shared" si="528"/>
        <v>6850536.580961602</v>
      </c>
      <c r="P324" s="207">
        <f t="shared" si="528"/>
        <v>6236174.668478926</v>
      </c>
      <c r="Q324" s="207">
        <f t="shared" si="528"/>
        <v>6189236.33896482</v>
      </c>
      <c r="R324" s="207">
        <f t="shared" si="528"/>
        <v>6698698.631008502</v>
      </c>
      <c r="S324" s="207">
        <f t="shared" si="528"/>
        <v>6862878.647329256</v>
      </c>
      <c r="T324" s="207">
        <f t="shared" si="528"/>
        <v>6601256.550047682</v>
      </c>
      <c r="U324" s="207">
        <f t="shared" si="528"/>
        <v>6307263.659122908</v>
      </c>
      <c r="V324" s="207">
        <f t="shared" si="528"/>
        <v>6974299.488434414</v>
      </c>
      <c r="W324" s="201" t="str">
        <f>IF(X$5=K$5,SUM(Y324:AI324)-SUM(L324:V324),"")</f>
        <v/>
      </c>
      <c r="X324" s="9" t="str">
        <f>LOWER(CtryCode)&amp;".distn."&amp;$A324&amp;IF($B324="","","."&amp;$B324)&amp;IF($C324="","",".dec."&amp;$C324)&amp;"."&amp;X$5</f>
        <v>egy.distn.pop_tot_adj.dec.rur.2</v>
      </c>
      <c r="Y324" s="206">
        <f t="shared" ref="Y324:AI324" si="529">Y314*Y$319</f>
        <v>68004851.61521475</v>
      </c>
      <c r="Z324" s="207">
        <f t="shared" si="529"/>
        <v>6358736.274672478</v>
      </c>
      <c r="AA324" s="207">
        <f t="shared" si="529"/>
        <v>6177588.732327532</v>
      </c>
      <c r="AB324" s="207">
        <f t="shared" si="529"/>
        <v>6850536.580961602</v>
      </c>
      <c r="AC324" s="207">
        <f t="shared" si="529"/>
        <v>6236174.668478926</v>
      </c>
      <c r="AD324" s="207">
        <f t="shared" si="529"/>
        <v>6189236.33896482</v>
      </c>
      <c r="AE324" s="207">
        <f t="shared" si="529"/>
        <v>6698698.631008502</v>
      </c>
      <c r="AF324" s="207">
        <f t="shared" si="529"/>
        <v>6862878.647329256</v>
      </c>
      <c r="AG324" s="207">
        <f t="shared" si="529"/>
        <v>6601256.550047682</v>
      </c>
      <c r="AH324" s="207">
        <f t="shared" si="529"/>
        <v>6307263.659122908</v>
      </c>
      <c r="AI324" s="207">
        <f t="shared" si="529"/>
        <v>6974299.488434414</v>
      </c>
    </row>
    <row r="325" hidden="1" outlineLevel="1">
      <c r="A325" s="44" t="inlineStr">
        <is>
          <t>cons_pc_na</t>
        </is>
      </c>
      <c r="B325" s="3" t="inlineStr"/>
      <c r="C325" s="3" t="inlineStr">
        <is>
          <t>ove</t>
        </is>
      </c>
      <c r="D325" s="3" t="n"/>
      <c r="E325" s="3" t="n"/>
      <c r="H325" s="3" t="inlineStr">
        <is>
          <t>Consumption per capita, overall</t>
        </is>
      </c>
      <c r="I325" s="3" t="inlineStr">
        <is>
          <t>LCU</t>
        </is>
      </c>
      <c r="J325" s="118" t="inlineStr">
        <is>
          <t>HHSurvey cons_pc_acrent x adjustment</t>
        </is>
      </c>
      <c r="K325" s="9" t="str">
        <f>LOWER(CtryCode)&amp;".distn."&amp;$A325&amp;IF($B325="","","."&amp;$B325)&amp;IF($C325="","",".dec."&amp;$C325)&amp;"."&amp;K$5</f>
        <v>egy.distn.cons_pc_na.dec.ove.1</v>
      </c>
      <c r="L325" s="108">
        <f t="shared" ref="L325:V325" si="530">L315*L$320</f>
        <v>71874.54170429874</v>
      </c>
      <c r="M325" s="109">
        <f t="shared" si="530"/>
        <v>30409.72543540954</v>
      </c>
      <c r="N325" s="109">
        <f t="shared" si="530"/>
        <v>38750.476439500104</v>
      </c>
      <c r="O325" s="109">
        <f t="shared" si="530"/>
        <v>47865.32761749805</v>
      </c>
      <c r="P325" s="109">
        <f t="shared" si="530"/>
        <v>57053.60153866466</v>
      </c>
      <c r="Q325" s="109">
        <f t="shared" si="530"/>
        <v>60174.36549382616</v>
      </c>
      <c r="R325" s="109">
        <f t="shared" si="530"/>
        <v>64040.15091405075</v>
      </c>
      <c r="S325" s="109">
        <f t="shared" si="530"/>
        <v>80374.16511124882</v>
      </c>
      <c r="T325" s="109">
        <f t="shared" si="530"/>
        <v>92284.20781470611</v>
      </c>
      <c r="U325" s="109">
        <f t="shared" si="530"/>
        <v>109905.18960468621</v>
      </c>
      <c r="V325" s="109">
        <f t="shared" si="530"/>
        <v>152865.06554813552</v>
      </c>
      <c r="W325" s="201" t="str">
        <f>IF(X$5=K$5,SUM(Y325:AI325)-SUM(L325:V325),"")</f>
        <v/>
      </c>
      <c r="X325" s="9" t="str">
        <f>LOWER(CtryCode)&amp;".distn."&amp;$A325&amp;IF($B325="","","."&amp;$B325)&amp;IF($C325="","",".dec."&amp;$C325)&amp;"."&amp;X$5</f>
        <v>egy.distn.cons_pc_na.dec.ove.2</v>
      </c>
      <c r="Y325" s="108">
        <f t="shared" ref="Y325:AI325" si="531">Y315*Y$320</f>
        <v>71874.54170429874</v>
      </c>
      <c r="Z325" s="109">
        <f t="shared" si="531"/>
        <v>30409.72543540954</v>
      </c>
      <c r="AA325" s="109">
        <f t="shared" si="531"/>
        <v>38750.476439500104</v>
      </c>
      <c r="AB325" s="109">
        <f t="shared" si="531"/>
        <v>47865.32761749805</v>
      </c>
      <c r="AC325" s="109">
        <f t="shared" si="531"/>
        <v>57053.60153866466</v>
      </c>
      <c r="AD325" s="109">
        <f t="shared" si="531"/>
        <v>60174.36549382616</v>
      </c>
      <c r="AE325" s="109">
        <f t="shared" si="531"/>
        <v>64040.15091405075</v>
      </c>
      <c r="AF325" s="109">
        <f t="shared" si="531"/>
        <v>80374.16511124882</v>
      </c>
      <c r="AG325" s="109">
        <f t="shared" si="531"/>
        <v>92284.20781470611</v>
      </c>
      <c r="AH325" s="109">
        <f t="shared" si="531"/>
        <v>109905.18960468621</v>
      </c>
      <c r="AI325" s="109">
        <f t="shared" si="531"/>
        <v>152865.06554813552</v>
      </c>
    </row>
    <row r="326" hidden="1" outlineLevel="1">
      <c r="A326" s="44" t="inlineStr">
        <is>
          <t>cons_pc_na</t>
        </is>
      </c>
      <c r="B326" s="3" t="inlineStr"/>
      <c r="C326" s="3" t="inlineStr">
        <is>
          <t>urb</t>
        </is>
      </c>
      <c r="D326" s="3" t="n"/>
      <c r="E326" s="3" t="n"/>
      <c r="H326" s="3" t="inlineStr">
        <is>
          <t>Consumption per capita, urban</t>
        </is>
      </c>
      <c r="I326" s="3" t="inlineStr">
        <is>
          <t>LCU</t>
        </is>
      </c>
      <c r="J326" s="118" t="inlineStr">
        <is>
          <t>HHSurvey cons_pc_acrent x adjustment</t>
        </is>
      </c>
      <c r="K326" s="9" t="str">
        <f>LOWER(CtryCode)&amp;".distn."&amp;$A326&amp;IF($B326="","","."&amp;$B326)&amp;IF($C326="","",".dec."&amp;$C326)&amp;"."&amp;K$5</f>
        <v>egy.distn.cons_pc_na.dec.urb.1</v>
      </c>
      <c r="L326" s="108">
        <f t="shared" ref="L326:V326" si="532">L316*L$320</f>
        <v>78294.16598173938</v>
      </c>
      <c r="M326" s="109">
        <f t="shared" si="532"/>
        <v>32425.157594600263</v>
      </c>
      <c r="N326" s="109">
        <f t="shared" si="532"/>
        <v>45676.90495033147</v>
      </c>
      <c r="O326" s="109">
        <f t="shared" si="532"/>
        <v>52704.80379835057</v>
      </c>
      <c r="P326" s="109">
        <f t="shared" si="532"/>
        <v>56219.86307776955</v>
      </c>
      <c r="Q326" s="109">
        <f t="shared" si="532"/>
        <v>71560.47360339526</v>
      </c>
      <c r="R326" s="109">
        <f t="shared" si="532"/>
        <v>70814.24784548269</v>
      </c>
      <c r="S326" s="109">
        <f t="shared" si="532"/>
        <v>79236.6727292526</v>
      </c>
      <c r="T326" s="109">
        <f t="shared" si="532"/>
        <v>94025.40574100534</v>
      </c>
      <c r="U326" s="109">
        <f t="shared" si="532"/>
        <v>119004.30637706073</v>
      </c>
      <c r="V326" s="109">
        <f t="shared" si="532"/>
        <v>172398.34686142494</v>
      </c>
      <c r="W326" s="201" t="str">
        <f>IF(X$5=K$5,SUM(Y326:AI326)-SUM(L326:V326),"")</f>
        <v/>
      </c>
      <c r="X326" s="9" t="str">
        <f>LOWER(CtryCode)&amp;".distn."&amp;$A326&amp;IF($B326="","","."&amp;$B326)&amp;IF($C326="","",".dec."&amp;$C326)&amp;"."&amp;X$5</f>
        <v>egy.distn.cons_pc_na.dec.urb.2</v>
      </c>
      <c r="Y326" s="108">
        <f t="shared" ref="Y326:AI326" si="533">Y316*Y$320</f>
        <v>78294.16598173938</v>
      </c>
      <c r="Z326" s="109">
        <f t="shared" si="533"/>
        <v>32425.157594600263</v>
      </c>
      <c r="AA326" s="109">
        <f t="shared" si="533"/>
        <v>45676.90495033147</v>
      </c>
      <c r="AB326" s="109">
        <f t="shared" si="533"/>
        <v>52704.80379835057</v>
      </c>
      <c r="AC326" s="109">
        <f t="shared" si="533"/>
        <v>56219.86307776955</v>
      </c>
      <c r="AD326" s="109">
        <f t="shared" si="533"/>
        <v>71560.47360339526</v>
      </c>
      <c r="AE326" s="109">
        <f t="shared" si="533"/>
        <v>70814.24784548269</v>
      </c>
      <c r="AF326" s="109">
        <f t="shared" si="533"/>
        <v>79236.6727292526</v>
      </c>
      <c r="AG326" s="109">
        <f t="shared" si="533"/>
        <v>94025.40574100534</v>
      </c>
      <c r="AH326" s="109">
        <f t="shared" si="533"/>
        <v>119004.30637706073</v>
      </c>
      <c r="AI326" s="109">
        <f t="shared" si="533"/>
        <v>172398.34686142494</v>
      </c>
    </row>
    <row r="327" hidden="1" outlineLevel="1">
      <c r="A327" s="44" t="inlineStr">
        <is>
          <t>cons_pc_na</t>
        </is>
      </c>
      <c r="B327" s="3" t="inlineStr"/>
      <c r="C327" s="3" t="inlineStr">
        <is>
          <t>rur</t>
        </is>
      </c>
      <c r="D327" s="3" t="n"/>
      <c r="E327" s="3" t="n"/>
      <c r="H327" s="3" t="inlineStr">
        <is>
          <t>Consumption per capita, rural</t>
        </is>
      </c>
      <c r="I327" s="3" t="inlineStr">
        <is>
          <t>LCU</t>
        </is>
      </c>
      <c r="J327" s="118" t="inlineStr">
        <is>
          <t>HHSurvey cons_pc_acrent x adjustment</t>
        </is>
      </c>
      <c r="K327" s="9" t="str">
        <f>LOWER(CtryCode)&amp;".distn."&amp;$A327&amp;IF($B327="","","."&amp;$B327)&amp;IF($C327="","",".dec."&amp;$C327)&amp;"."&amp;K$5</f>
        <v>egy.distn.cons_pc_na.dec.rur.1</v>
      </c>
      <c r="L327" s="108">
        <f t="shared" ref="L327:V327" si="534">L317*L$320</f>
        <v>67129.3257808239</v>
      </c>
      <c r="M327" s="109">
        <f t="shared" si="534"/>
        <v>28686.98119961499</v>
      </c>
      <c r="N327" s="109">
        <f t="shared" si="534"/>
        <v>35235.74951767228</v>
      </c>
      <c r="O327" s="109">
        <f t="shared" si="534"/>
        <v>40913.14893752198</v>
      </c>
      <c r="P327" s="109">
        <f t="shared" si="534"/>
        <v>47503.40974257874</v>
      </c>
      <c r="Q327" s="109">
        <f t="shared" si="534"/>
        <v>54064.65098496182</v>
      </c>
      <c r="R327" s="109">
        <f t="shared" si="534"/>
        <v>57606.66211273081</v>
      </c>
      <c r="S327" s="109">
        <f t="shared" si="534"/>
        <v>67456.15618178232</v>
      </c>
      <c r="T327" s="109">
        <f t="shared" si="534"/>
        <v>72144.70441310346</v>
      </c>
      <c r="U327" s="109">
        <f t="shared" si="534"/>
        <v>84222.1934094619</v>
      </c>
      <c r="V327" s="109">
        <f t="shared" si="534"/>
        <v>126740.95867935651</v>
      </c>
      <c r="W327" s="201" t="str">
        <f>IF(X$5=K$5,SUM(Y327:AI327)-SUM(L327:V327),"")</f>
        <v/>
      </c>
      <c r="X327" s="9" t="str">
        <f>LOWER(CtryCode)&amp;".distn."&amp;$A327&amp;IF($B327="","","."&amp;$B327)&amp;IF($C327="","",".dec."&amp;$C327)&amp;"."&amp;X$5</f>
        <v>egy.distn.cons_pc_na.dec.rur.2</v>
      </c>
      <c r="Y327" s="108">
        <f t="shared" ref="Y327:AI327" si="535">Y317*Y$320</f>
        <v>67129.3257808239</v>
      </c>
      <c r="Z327" s="109">
        <f t="shared" si="535"/>
        <v>28686.98119961499</v>
      </c>
      <c r="AA327" s="109">
        <f t="shared" si="535"/>
        <v>35235.74951767228</v>
      </c>
      <c r="AB327" s="109">
        <f t="shared" si="535"/>
        <v>40913.14893752198</v>
      </c>
      <c r="AC327" s="109">
        <f t="shared" si="535"/>
        <v>47503.40974257874</v>
      </c>
      <c r="AD327" s="109">
        <f t="shared" si="535"/>
        <v>54064.65098496182</v>
      </c>
      <c r="AE327" s="109">
        <f t="shared" si="535"/>
        <v>57606.66211273081</v>
      </c>
      <c r="AF327" s="109">
        <f t="shared" si="535"/>
        <v>67456.15618178232</v>
      </c>
      <c r="AG327" s="109">
        <f t="shared" si="535"/>
        <v>72144.70441310346</v>
      </c>
      <c r="AH327" s="109">
        <f t="shared" si="535"/>
        <v>84222.1934094619</v>
      </c>
      <c r="AI327" s="109">
        <f t="shared" si="535"/>
        <v>126740.95867935651</v>
      </c>
    </row>
    <row r="328" hidden="1" outlineLevel="1">
      <c r="A328" s="44" t="inlineStr">
        <is>
          <t>tot_cons_na</t>
        </is>
      </c>
      <c r="B328" s="3" t="inlineStr"/>
      <c r="C328" s="3" t="inlineStr">
        <is>
          <t>urb</t>
        </is>
      </c>
      <c r="D328" s="3" t="n"/>
      <c r="E328" s="3" t="n"/>
      <c r="H328" s="3" t="inlineStr">
        <is>
          <t>Consumption, total, urban</t>
        </is>
      </c>
      <c r="I328" s="3" t="inlineStr">
        <is>
          <t>LCU bn</t>
        </is>
      </c>
      <c r="J328" s="118" t="inlineStr">
        <is>
          <t>per capita x population</t>
        </is>
      </c>
      <c r="K328" s="9" t="str">
        <f>LOWER(CtryCode)&amp;".distn."&amp;$A328&amp;IF($B328="","","."&amp;$B328)&amp;IF($C328="","",".dec."&amp;$C328)&amp;"."&amp;K$5</f>
        <v>egy.distn.tot_cons_na.dec.urb.1</v>
      </c>
      <c r="L328" s="212">
        <f t="shared" ref="L328:V328" si="536">L326*L323</f>
        <v>4049129017454.3335</v>
      </c>
      <c r="M328" s="213">
        <f t="shared" si="536"/>
        <v>179105319449.8824</v>
      </c>
      <c r="N328" s="213">
        <f t="shared" si="536"/>
        <v>243269189134.69867</v>
      </c>
      <c r="O328" s="213">
        <f t="shared" si="536"/>
        <v>284849198869.73956</v>
      </c>
      <c r="P328" s="213">
        <f t="shared" si="536"/>
        <v>310498547778.4625</v>
      </c>
      <c r="Q328" s="213">
        <f t="shared" si="536"/>
        <v>420023235753.0785</v>
      </c>
      <c r="R328" s="213">
        <f t="shared" si="536"/>
        <v>407455409984.98676</v>
      </c>
      <c r="S328" s="213">
        <f t="shared" si="536"/>
        <v>468753882092.82556</v>
      </c>
      <c r="T328" s="213">
        <f t="shared" si="536"/>
        <v>545578732824.25726</v>
      </c>
      <c r="U328" s="213">
        <f t="shared" si="536"/>
        <v>653956368327.6937</v>
      </c>
      <c r="V328" s="213">
        <f t="shared" si="536"/>
        <v>1014038474031.4926</v>
      </c>
      <c r="W328" s="201" t="str">
        <f>IF(X$5=K$5,SUM(Y328:AI328)-SUM(L328:V328),"")</f>
        <v/>
      </c>
      <c r="X328" s="9" t="str">
        <f>LOWER(CtryCode)&amp;".distn."&amp;$A328&amp;IF($B328="","","."&amp;$B328)&amp;IF($C328="","",".dec."&amp;$C328)&amp;"."&amp;X$5</f>
        <v>egy.distn.tot_cons_na.dec.urb.2</v>
      </c>
      <c r="Y328" s="212">
        <f t="shared" ref="Y328:AI328" si="537">Y326*Y323</f>
        <v>4049129017454.3335</v>
      </c>
      <c r="Z328" s="213">
        <f t="shared" si="537"/>
        <v>179105319449.8824</v>
      </c>
      <c r="AA328" s="213">
        <f t="shared" si="537"/>
        <v>243269189134.69867</v>
      </c>
      <c r="AB328" s="213">
        <f t="shared" si="537"/>
        <v>284849198869.73956</v>
      </c>
      <c r="AC328" s="213">
        <f t="shared" si="537"/>
        <v>310498547778.4625</v>
      </c>
      <c r="AD328" s="213">
        <f t="shared" si="537"/>
        <v>420023235753.0785</v>
      </c>
      <c r="AE328" s="213">
        <f t="shared" si="537"/>
        <v>407455409984.98676</v>
      </c>
      <c r="AF328" s="213">
        <f t="shared" si="537"/>
        <v>468753882092.82556</v>
      </c>
      <c r="AG328" s="213">
        <f t="shared" si="537"/>
        <v>545578732824.25726</v>
      </c>
      <c r="AH328" s="213">
        <f t="shared" si="537"/>
        <v>653956368327.6937</v>
      </c>
      <c r="AI328" s="213">
        <f t="shared" si="537"/>
        <v>1014038474031.4926</v>
      </c>
    </row>
    <row r="329" hidden="1" outlineLevel="1">
      <c r="A329" s="44" t="inlineStr">
        <is>
          <t>tot_cons_na</t>
        </is>
      </c>
      <c r="B329" s="3" t="inlineStr"/>
      <c r="C329" s="3" t="inlineStr">
        <is>
          <t>rur</t>
        </is>
      </c>
      <c r="D329" s="3" t="n"/>
      <c r="E329" s="3" t="n"/>
      <c r="H329" s="3" t="inlineStr">
        <is>
          <t>Consumption, total, rural</t>
        </is>
      </c>
      <c r="I329" s="3" t="inlineStr">
        <is>
          <t>LCU bn</t>
        </is>
      </c>
      <c r="J329" s="118" t="inlineStr">
        <is>
          <t>per capita x population</t>
        </is>
      </c>
      <c r="K329" s="9" t="str">
        <f>LOWER(CtryCode)&amp;".distn."&amp;$A329&amp;IF($B329="","","."&amp;$B329)&amp;IF($C329="","",".dec."&amp;$C329)&amp;"."&amp;K$5</f>
        <v>egy.distn.tot_cons_na.dec.rur.1</v>
      </c>
      <c r="L329" s="212">
        <f t="shared" ref="L329:V329" si="538">L327*L324</f>
        <v>4565119838754.339</v>
      </c>
      <c r="M329" s="213">
        <f t="shared" si="538"/>
        <v>182412947964.83926</v>
      </c>
      <c r="N329" s="213">
        <f t="shared" si="538"/>
        <v>217671969195.48755</v>
      </c>
      <c r="O329" s="213">
        <f t="shared" si="538"/>
        <v>280277023438.82465</v>
      </c>
      <c r="P329" s="213">
        <f t="shared" si="538"/>
        <v>296239560503.04456</v>
      </c>
      <c r="Q329" s="213">
        <f t="shared" si="538"/>
        <v>334618902529.57587</v>
      </c>
      <c r="R329" s="213">
        <f t="shared" si="538"/>
        <v>385889668631.5192</v>
      </c>
      <c r="S329" s="213">
        <f t="shared" si="538"/>
        <v>462943413890.8613</v>
      </c>
      <c r="T329" s="213">
        <f t="shared" si="538"/>
        <v>476245702558.2531</v>
      </c>
      <c r="U329" s="213">
        <f t="shared" si="538"/>
        <v>531211579783.11993</v>
      </c>
      <c r="V329" s="213">
        <f t="shared" si="538"/>
        <v>883929403281.1234</v>
      </c>
      <c r="W329" s="201" t="str">
        <f>IF(X$5=K$5,SUM(Y329:AI329)-SUM(L329:V329),"")</f>
        <v/>
      </c>
      <c r="X329" s="9" t="str">
        <f>LOWER(CtryCode)&amp;".distn."&amp;$A329&amp;IF($B329="","","."&amp;$B329)&amp;IF($C329="","",".dec."&amp;$C329)&amp;"."&amp;X$5</f>
        <v>egy.distn.tot_cons_na.dec.rur.2</v>
      </c>
      <c r="Y329" s="212">
        <f t="shared" ref="Y329:AI329" si="539">Y327*Y324</f>
        <v>4565119838754.339</v>
      </c>
      <c r="Z329" s="213">
        <f t="shared" si="539"/>
        <v>182412947964.83926</v>
      </c>
      <c r="AA329" s="213">
        <f t="shared" si="539"/>
        <v>217671969195.48755</v>
      </c>
      <c r="AB329" s="213">
        <f t="shared" si="539"/>
        <v>280277023438.82465</v>
      </c>
      <c r="AC329" s="213">
        <f t="shared" si="539"/>
        <v>296239560503.04456</v>
      </c>
      <c r="AD329" s="213">
        <f t="shared" si="539"/>
        <v>334618902529.57587</v>
      </c>
      <c r="AE329" s="213">
        <f t="shared" si="539"/>
        <v>385889668631.5192</v>
      </c>
      <c r="AF329" s="213">
        <f t="shared" si="539"/>
        <v>462943413890.8613</v>
      </c>
      <c r="AG329" s="213">
        <f t="shared" si="539"/>
        <v>476245702558.2531</v>
      </c>
      <c r="AH329" s="213">
        <f t="shared" si="539"/>
        <v>531211579783.11993</v>
      </c>
      <c r="AI329" s="213">
        <f t="shared" si="539"/>
        <v>883929403281.1234</v>
      </c>
    </row>
    <row r="330" hidden="1" outlineLevel="1"/>
    <row r="331" collapsed="1">
      <c r="A331" s="44" t="inlineStr">
        <is>
          <t>tot_cons_na</t>
        </is>
      </c>
      <c r="B331" s="3" t="inlineStr"/>
      <c r="C331" s="3" t="inlineStr">
        <is>
          <t>ove</t>
        </is>
      </c>
      <c r="D331" s="3" t="n"/>
      <c r="E331" s="3" t="n"/>
      <c r="H331" s="6" t="inlineStr">
        <is>
          <t>Consumption, total, overall</t>
        </is>
      </c>
      <c r="I331" s="3" t="inlineStr">
        <is>
          <t>LCU bn</t>
        </is>
      </c>
      <c r="J331" s="118" t="inlineStr">
        <is>
          <t>per capita x population</t>
        </is>
      </c>
      <c r="K331" s="9" t="str">
        <f>LOWER(CtryCode)&amp;".distn."&amp;$A331&amp;IF($B331="","","."&amp;$B331)&amp;IF($C331="","",".dec."&amp;$C331)&amp;"."&amp;K$5</f>
        <v>egy.distn.tot_cons_na.dec.ove.1</v>
      </c>
      <c r="L331" s="214">
        <f t="shared" ref="L331:V331" si="540">L325*L322</f>
        <v>9138080429470.725</v>
      </c>
      <c r="M331" s="215">
        <f t="shared" si="540"/>
        <v>347604223750.0758</v>
      </c>
      <c r="N331" s="215">
        <f t="shared" si="540"/>
        <v>435211028821.8011</v>
      </c>
      <c r="O331" s="215">
        <f t="shared" si="540"/>
        <v>611217278193.0446</v>
      </c>
      <c r="P331" s="215">
        <f t="shared" si="540"/>
        <v>655357444410.5134</v>
      </c>
      <c r="Q331" s="215">
        <f t="shared" si="540"/>
        <v>705152307297.339</v>
      </c>
      <c r="R331" s="215">
        <f t="shared" si="540"/>
        <v>824159892463.1051</v>
      </c>
      <c r="S331" s="215">
        <f t="shared" si="540"/>
        <v>961869164245.437</v>
      </c>
      <c r="T331" s="215">
        <f t="shared" si="540"/>
        <v>1155257263141.3003</v>
      </c>
      <c r="U331" s="215">
        <f t="shared" si="540"/>
        <v>1263383731192.2397</v>
      </c>
      <c r="V331" s="215">
        <f t="shared" si="540"/>
        <v>1695909796282.2302</v>
      </c>
      <c r="W331" s="201" t="str">
        <f>IF(X$5=K$5,SUM(Y331:AI331)-SUM(L331:V331),"")</f>
        <v/>
      </c>
      <c r="X331" s="9" t="str">
        <f>LOWER(CtryCode)&amp;".distn."&amp;$A331&amp;IF($B331="","","."&amp;$B331)&amp;IF($C331="","",".dec."&amp;$C331)&amp;"."&amp;X$5</f>
        <v>egy.distn.tot_cons_na.dec.ove.2</v>
      </c>
      <c r="Y331" s="214">
        <f t="shared" ref="Y331:AI331" si="541">Y325*Y322</f>
        <v>9138080429470.725</v>
      </c>
      <c r="Z331" s="215">
        <f t="shared" si="541"/>
        <v>347604223750.0758</v>
      </c>
      <c r="AA331" s="215">
        <f t="shared" si="541"/>
        <v>435211028821.8011</v>
      </c>
      <c r="AB331" s="215">
        <f t="shared" si="541"/>
        <v>611217278193.0446</v>
      </c>
      <c r="AC331" s="215">
        <f t="shared" si="541"/>
        <v>655357444410.5134</v>
      </c>
      <c r="AD331" s="215">
        <f t="shared" si="541"/>
        <v>705152307297.339</v>
      </c>
      <c r="AE331" s="215">
        <f t="shared" si="541"/>
        <v>824159892463.1051</v>
      </c>
      <c r="AF331" s="215">
        <f t="shared" si="541"/>
        <v>961869164245.437</v>
      </c>
      <c r="AG331" s="215">
        <f t="shared" si="541"/>
        <v>1155257263141.3003</v>
      </c>
      <c r="AH331" s="215">
        <f t="shared" si="541"/>
        <v>1263383731192.2397</v>
      </c>
      <c r="AI331" s="215">
        <f t="shared" si="541"/>
        <v>1695909796282.2302</v>
      </c>
    </row>
    <row r="332"/>
    <row r="333">
      <c r="A333" s="36" t="inlineStr">
        <is>
          <t>8</t>
        </is>
      </c>
      <c r="B333" s="37" t="inlineStr">
        <is>
          <t>Revenue recycling (per capita, local currency; legacy C.X-C.XI)</t>
        </is>
      </c>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row>
    <row r="334" hidden="1" outlineLevel="1"/>
    <row r="335" hidden="1" outlineLevel="1">
      <c r="A335" s="44" t="inlineStr">
        <is>
          <t>rpit</t>
        </is>
      </c>
      <c r="B335" s="3" t="inlineStr"/>
      <c r="C335" s="3" t="inlineStr"/>
      <c r="D335" s="3" t="n"/>
      <c r="E335" s="3" t="n"/>
      <c r="H335" s="3" t="inlineStr">
        <is>
          <t>Revenue to labour tax (PIT) reductions</t>
        </is>
      </c>
      <c r="I335" s="3" t="inlineStr">
        <is>
          <t>LCU</t>
        </is>
      </c>
      <c r="J335" s="118" t="inlineStr">
        <is>
          <t>MTInputs EXPLabortax x revenue</t>
        </is>
      </c>
      <c r="K335" s="9" t="str">
        <f>LOWER(CtryCode)&amp;".distn."&amp;$A335&amp;IF($B335="","","."&amp;$B335)&amp;IF($C335="","",".dec."&amp;$C335)&amp;"."&amp;K$5</f>
        <v>egy.distn.rpit.1</v>
      </c>
      <c r="L335" s="108">
        <f>L$86*L$24/PctPerUnit</f>
        <v>0.0</v>
      </c>
      <c r="M335" s="109">
        <f t="shared" ref="M335:V335" si="542">L335</f>
        <v>0.0</v>
      </c>
      <c r="N335" s="109">
        <f t="shared" si="542"/>
        <v>0.0</v>
      </c>
      <c r="O335" s="109">
        <f t="shared" si="542"/>
        <v>0.0</v>
      </c>
      <c r="P335" s="109">
        <f t="shared" si="542"/>
        <v>0.0</v>
      </c>
      <c r="Q335" s="109">
        <f t="shared" si="542"/>
        <v>0.0</v>
      </c>
      <c r="R335" s="109">
        <f t="shared" si="542"/>
        <v>0.0</v>
      </c>
      <c r="S335" s="109">
        <f t="shared" si="542"/>
        <v>0.0</v>
      </c>
      <c r="T335" s="109">
        <f t="shared" si="542"/>
        <v>0.0</v>
      </c>
      <c r="U335" s="109">
        <f t="shared" si="542"/>
        <v>0.0</v>
      </c>
      <c r="V335" s="109">
        <f t="shared" si="542"/>
        <v>0.0</v>
      </c>
      <c r="W335" s="201" t="str">
        <f>IF(X$5=K$5,SUM(Y335:AI335)-SUM(L335:V335),"")</f>
        <v/>
      </c>
      <c r="X335" s="9" t="str">
        <f>LOWER(CtryCode)&amp;".distn."&amp;$A335&amp;IF($B335="","","."&amp;$B335)&amp;IF($C335="","",".dec."&amp;$C335)&amp;"."&amp;X$5</f>
        <v>egy.distn.rpit.2</v>
      </c>
      <c r="Y335" s="108">
        <f>Y$86*Y$24/PctPerUnit</f>
        <v>22326350338.0729</v>
      </c>
      <c r="Z335" s="109">
        <f t="shared" ref="Z335:AI335" si="543">Y335</f>
        <v>22326350338.0729</v>
      </c>
      <c r="AA335" s="109">
        <f t="shared" si="543"/>
        <v>22326350338.0729</v>
      </c>
      <c r="AB335" s="109">
        <f t="shared" si="543"/>
        <v>22326350338.0729</v>
      </c>
      <c r="AC335" s="109">
        <f t="shared" si="543"/>
        <v>22326350338.0729</v>
      </c>
      <c r="AD335" s="109">
        <f t="shared" si="543"/>
        <v>22326350338.0729</v>
      </c>
      <c r="AE335" s="109">
        <f t="shared" si="543"/>
        <v>22326350338.0729</v>
      </c>
      <c r="AF335" s="109">
        <f t="shared" si="543"/>
        <v>22326350338.0729</v>
      </c>
      <c r="AG335" s="109">
        <f t="shared" si="543"/>
        <v>22326350338.0729</v>
      </c>
      <c r="AH335" s="109">
        <f t="shared" si="543"/>
        <v>22326350338.0729</v>
      </c>
      <c r="AI335" s="109">
        <f t="shared" si="543"/>
        <v>22326350338.0729</v>
      </c>
    </row>
    <row r="336" hidden="1" outlineLevel="1">
      <c r="A336" s="44" t="inlineStr">
        <is>
          <t>rpui</t>
        </is>
      </c>
      <c r="B336" s="3" t="inlineStr"/>
      <c r="C336" s="3" t="inlineStr"/>
      <c r="D336" s="3" t="n"/>
      <c r="E336" s="3" t="n"/>
      <c r="H336" s="3" t="inlineStr">
        <is>
          <t>Revenue to public investment</t>
        </is>
      </c>
      <c r="I336" s="3" t="inlineStr">
        <is>
          <t>LCU</t>
        </is>
      </c>
      <c r="J336" s="118" t="inlineStr">
        <is>
          <t>MTInputs EXPCapex x revenue</t>
        </is>
      </c>
      <c r="K336" s="9" t="str">
        <f>LOWER(CtryCode)&amp;".distn."&amp;$A336&amp;IF($B336="","","."&amp;$B336)&amp;IF($C336="","",".dec."&amp;$C336)&amp;"."&amp;K$5</f>
        <v>egy.distn.rpui.1</v>
      </c>
      <c r="L336" s="108">
        <f>L$86*L$25/PctPerUnit</f>
        <v>0.0</v>
      </c>
      <c r="M336" s="109">
        <f t="shared" ref="M336:V336" si="544">L336</f>
        <v>0.0</v>
      </c>
      <c r="N336" s="109">
        <f t="shared" si="544"/>
        <v>0.0</v>
      </c>
      <c r="O336" s="109">
        <f t="shared" si="544"/>
        <v>0.0</v>
      </c>
      <c r="P336" s="109">
        <f t="shared" si="544"/>
        <v>0.0</v>
      </c>
      <c r="Q336" s="109">
        <f t="shared" si="544"/>
        <v>0.0</v>
      </c>
      <c r="R336" s="109">
        <f t="shared" si="544"/>
        <v>0.0</v>
      </c>
      <c r="S336" s="109">
        <f t="shared" si="544"/>
        <v>0.0</v>
      </c>
      <c r="T336" s="109">
        <f t="shared" si="544"/>
        <v>0.0</v>
      </c>
      <c r="U336" s="109">
        <f t="shared" si="544"/>
        <v>0.0</v>
      </c>
      <c r="V336" s="109">
        <f t="shared" si="544"/>
        <v>0.0</v>
      </c>
      <c r="W336" s="201" t="str">
        <f>IF(X$5=K$5,SUM(Y336:AI336)-SUM(L336:V336),"")</f>
        <v/>
      </c>
      <c r="X336" s="9" t="str">
        <f>LOWER(CtryCode)&amp;".distn."&amp;$A336&amp;IF($B336="","","."&amp;$B336)&amp;IF($C336="","",".dec."&amp;$C336)&amp;"."&amp;X$5</f>
        <v>egy.distn.rpui.2</v>
      </c>
      <c r="Y336" s="108">
        <f>Y$86*Y$25/PctPerUnit</f>
        <v>37210583896.78817</v>
      </c>
      <c r="Z336" s="109">
        <f t="shared" ref="Z336:AI336" si="545">Y336</f>
        <v>37210583896.78817</v>
      </c>
      <c r="AA336" s="109">
        <f t="shared" si="545"/>
        <v>37210583896.78817</v>
      </c>
      <c r="AB336" s="109">
        <f t="shared" si="545"/>
        <v>37210583896.78817</v>
      </c>
      <c r="AC336" s="109">
        <f t="shared" si="545"/>
        <v>37210583896.78817</v>
      </c>
      <c r="AD336" s="109">
        <f t="shared" si="545"/>
        <v>37210583896.78817</v>
      </c>
      <c r="AE336" s="109">
        <f t="shared" si="545"/>
        <v>37210583896.78817</v>
      </c>
      <c r="AF336" s="109">
        <f t="shared" si="545"/>
        <v>37210583896.78817</v>
      </c>
      <c r="AG336" s="109">
        <f t="shared" si="545"/>
        <v>37210583896.78817</v>
      </c>
      <c r="AH336" s="109">
        <f t="shared" si="545"/>
        <v>37210583896.78817</v>
      </c>
      <c r="AI336" s="109">
        <f t="shared" si="545"/>
        <v>37210583896.78817</v>
      </c>
    </row>
    <row r="337" hidden="1" outlineLevel="1">
      <c r="A337" s="44" t="inlineStr">
        <is>
          <t>rcts</t>
        </is>
      </c>
      <c r="B337" s="3" t="inlineStr"/>
      <c r="C337" s="3" t="inlineStr"/>
      <c r="D337" s="3" t="n"/>
      <c r="E337" s="3" t="n"/>
      <c r="H337" s="3" t="inlineStr">
        <is>
          <t>Revenue to current spending</t>
        </is>
      </c>
      <c r="I337" s="3" t="inlineStr">
        <is>
          <t>LCU</t>
        </is>
      </c>
      <c r="J337" s="118" t="inlineStr">
        <is>
          <t>MTInputs EXPGoodsandserv x revenue</t>
        </is>
      </c>
      <c r="K337" s="9" t="str">
        <f>LOWER(CtryCode)&amp;".distn."&amp;$A337&amp;IF($B337="","","."&amp;$B337)&amp;IF($C337="","",".dec."&amp;$C337)&amp;"."&amp;K$5</f>
        <v>egy.distn.rcts.1</v>
      </c>
      <c r="L337" s="108">
        <f>L$86*L$26/PctPerUnit</f>
        <v>0.0</v>
      </c>
      <c r="M337" s="109">
        <f t="shared" ref="M337:V337" si="546">L337</f>
        <v>0.0</v>
      </c>
      <c r="N337" s="109">
        <f t="shared" si="546"/>
        <v>0.0</v>
      </c>
      <c r="O337" s="109">
        <f t="shared" si="546"/>
        <v>0.0</v>
      </c>
      <c r="P337" s="109">
        <f t="shared" si="546"/>
        <v>0.0</v>
      </c>
      <c r="Q337" s="109">
        <f t="shared" si="546"/>
        <v>0.0</v>
      </c>
      <c r="R337" s="109">
        <f t="shared" si="546"/>
        <v>0.0</v>
      </c>
      <c r="S337" s="109">
        <f t="shared" si="546"/>
        <v>0.0</v>
      </c>
      <c r="T337" s="109">
        <f t="shared" si="546"/>
        <v>0.0</v>
      </c>
      <c r="U337" s="109">
        <f t="shared" si="546"/>
        <v>0.0</v>
      </c>
      <c r="V337" s="109">
        <f t="shared" si="546"/>
        <v>0.0</v>
      </c>
      <c r="W337" s="201" t="str">
        <f>IF(X$5=K$5,SUM(Y337:AI337)-SUM(L337:V337),"")</f>
        <v/>
      </c>
      <c r="X337" s="9" t="str">
        <f>LOWER(CtryCode)&amp;".distn."&amp;$A337&amp;IF($B337="","","."&amp;$B337)&amp;IF($C337="","",".dec."&amp;$C337)&amp;"."&amp;X$5</f>
        <v>egy.distn.rcts.2</v>
      </c>
      <c r="Y337" s="108">
        <f>Y$86*Y$26/PctPerUnit</f>
        <v>0.0</v>
      </c>
      <c r="Z337" s="109">
        <f t="shared" ref="Z337:AI337" si="547">Y337</f>
        <v>0.0</v>
      </c>
      <c r="AA337" s="109">
        <f t="shared" si="547"/>
        <v>0.0</v>
      </c>
      <c r="AB337" s="109">
        <f t="shared" si="547"/>
        <v>0.0</v>
      </c>
      <c r="AC337" s="109">
        <f t="shared" si="547"/>
        <v>0.0</v>
      </c>
      <c r="AD337" s="109">
        <f t="shared" si="547"/>
        <v>0.0</v>
      </c>
      <c r="AE337" s="109">
        <f t="shared" si="547"/>
        <v>0.0</v>
      </c>
      <c r="AF337" s="109">
        <f t="shared" si="547"/>
        <v>0.0</v>
      </c>
      <c r="AG337" s="109">
        <f t="shared" si="547"/>
        <v>0.0</v>
      </c>
      <c r="AH337" s="109">
        <f t="shared" si="547"/>
        <v>0.0</v>
      </c>
      <c r="AI337" s="109">
        <f t="shared" si="547"/>
        <v>0.0</v>
      </c>
    </row>
    <row r="338" hidden="1" outlineLevel="1">
      <c r="A338" s="44" t="inlineStr">
        <is>
          <t>rtgt</t>
        </is>
      </c>
      <c r="B338" s="3" t="inlineStr"/>
      <c r="C338" s="3" t="inlineStr"/>
      <c r="D338" s="3" t="n"/>
      <c r="E338" s="3" t="n"/>
      <c r="H338" s="3" t="inlineStr">
        <is>
          <t>Revenue to targeted transfers</t>
        </is>
      </c>
      <c r="I338" s="3" t="inlineStr">
        <is>
          <t>LCU</t>
        </is>
      </c>
      <c r="J338" s="118" t="inlineStr">
        <is>
          <t>MTInputs EXPTransfers x revenue</t>
        </is>
      </c>
      <c r="K338" s="9" t="str">
        <f>LOWER(CtryCode)&amp;".distn."&amp;$A338&amp;IF($B338="","","."&amp;$B338)&amp;IF($C338="","",".dec."&amp;$C338)&amp;"."&amp;K$5</f>
        <v>egy.distn.rtgt.1</v>
      </c>
      <c r="L338" s="108">
        <f>L$86*L$27/PctPerUnit</f>
        <v>0.0</v>
      </c>
      <c r="M338" s="109">
        <f t="shared" ref="M338:V338" si="548">L338</f>
        <v>0.0</v>
      </c>
      <c r="N338" s="109">
        <f t="shared" si="548"/>
        <v>0.0</v>
      </c>
      <c r="O338" s="109">
        <f t="shared" si="548"/>
        <v>0.0</v>
      </c>
      <c r="P338" s="109">
        <f t="shared" si="548"/>
        <v>0.0</v>
      </c>
      <c r="Q338" s="109">
        <f t="shared" si="548"/>
        <v>0.0</v>
      </c>
      <c r="R338" s="109">
        <f t="shared" si="548"/>
        <v>0.0</v>
      </c>
      <c r="S338" s="109">
        <f t="shared" si="548"/>
        <v>0.0</v>
      </c>
      <c r="T338" s="109">
        <f t="shared" si="548"/>
        <v>0.0</v>
      </c>
      <c r="U338" s="109">
        <f t="shared" si="548"/>
        <v>0.0</v>
      </c>
      <c r="V338" s="109">
        <f t="shared" si="548"/>
        <v>0.0</v>
      </c>
      <c r="W338" s="201" t="str">
        <f>IF(X$5=K$5,SUM(Y338:AI338)-SUM(L338:V338),"")</f>
        <v/>
      </c>
      <c r="X338" s="9" t="str">
        <f>LOWER(CtryCode)&amp;".distn."&amp;$A338&amp;IF($B338="","","."&amp;$B338)&amp;IF($C338="","",".dec."&amp;$C338)&amp;"."&amp;X$5</f>
        <v>egy.distn.rtgt.2</v>
      </c>
      <c r="Y338" s="108">
        <f>Y$86*Y$27/PctPerUnit</f>
        <v>14884233558.71527</v>
      </c>
      <c r="Z338" s="109">
        <f t="shared" ref="Z338:AI338" si="549">Y338</f>
        <v>14884233558.71527</v>
      </c>
      <c r="AA338" s="109">
        <f t="shared" si="549"/>
        <v>14884233558.71527</v>
      </c>
      <c r="AB338" s="109">
        <f t="shared" si="549"/>
        <v>14884233558.71527</v>
      </c>
      <c r="AC338" s="109">
        <f t="shared" si="549"/>
        <v>14884233558.71527</v>
      </c>
      <c r="AD338" s="109">
        <f t="shared" si="549"/>
        <v>14884233558.71527</v>
      </c>
      <c r="AE338" s="109">
        <f t="shared" si="549"/>
        <v>14884233558.71527</v>
      </c>
      <c r="AF338" s="109">
        <f t="shared" si="549"/>
        <v>14884233558.71527</v>
      </c>
      <c r="AG338" s="109">
        <f t="shared" si="549"/>
        <v>14884233558.71527</v>
      </c>
      <c r="AH338" s="109">
        <f t="shared" si="549"/>
        <v>14884233558.71527</v>
      </c>
      <c r="AI338" s="109">
        <f t="shared" si="549"/>
        <v>14884233558.71527</v>
      </c>
    </row>
    <row r="339" hidden="1" outlineLevel="1">
      <c r="A339" s="44" t="inlineStr">
        <is>
          <t>poptot</t>
        </is>
      </c>
      <c r="B339" s="3" t="inlineStr"/>
      <c r="C339" s="3" t="inlineStr"/>
      <c r="D339" s="3" t="n"/>
      <c r="E339" s="3" t="n"/>
      <c r="H339" s="3" t="inlineStr">
        <is>
          <t>Population, sum of the deciles</t>
        </is>
      </c>
      <c r="I339" s="3" t="inlineStr">
        <is>
          <t>persons m</t>
        </is>
      </c>
      <c r="J339" s="118" t="inlineStr">
        <is>
          <t>Section 7</t>
        </is>
      </c>
      <c r="K339" s="9" t="str">
        <f>LOWER(CtryCode)&amp;".distn."&amp;$A339&amp;IF($B339="","","."&amp;$B339)&amp;IF($C339="","",".dec."&amp;$C339)&amp;"."&amp;K$5</f>
        <v>egy.distn.poptot.1</v>
      </c>
      <c r="L339" s="206">
        <f>SUM(M322:V322)</f>
        <v>118581173.22060946</v>
      </c>
      <c r="M339" s="207">
        <f t="shared" ref="M339:V339" si="550">L339</f>
        <v>118581173.22060946</v>
      </c>
      <c r="N339" s="207">
        <f t="shared" si="550"/>
        <v>118581173.22060946</v>
      </c>
      <c r="O339" s="207">
        <f t="shared" si="550"/>
        <v>118581173.22060946</v>
      </c>
      <c r="P339" s="207">
        <f t="shared" si="550"/>
        <v>118581173.22060946</v>
      </c>
      <c r="Q339" s="207">
        <f t="shared" si="550"/>
        <v>118581173.22060946</v>
      </c>
      <c r="R339" s="207">
        <f t="shared" si="550"/>
        <v>118581173.22060946</v>
      </c>
      <c r="S339" s="207">
        <f t="shared" si="550"/>
        <v>118581173.22060946</v>
      </c>
      <c r="T339" s="207">
        <f t="shared" si="550"/>
        <v>118581173.22060946</v>
      </c>
      <c r="U339" s="207">
        <f t="shared" si="550"/>
        <v>118581173.22060946</v>
      </c>
      <c r="V339" s="207">
        <f t="shared" si="550"/>
        <v>118581173.22060946</v>
      </c>
      <c r="W339" s="201" t="str">
        <f>IF(X$5=K$5,SUM(Y339:AI339)-SUM(L339:V339),"")</f>
        <v/>
      </c>
      <c r="X339" s="9" t="str">
        <f>LOWER(CtryCode)&amp;".distn."&amp;$A339&amp;IF($B339="","","."&amp;$B339)&amp;IF($C339="","",".dec."&amp;$C339)&amp;"."&amp;X$5</f>
        <v>egy.distn.poptot.2</v>
      </c>
      <c r="Y339" s="206">
        <f>SUM(Z322:AI322)</f>
        <v>118581173.22060946</v>
      </c>
      <c r="Z339" s="207">
        <f t="shared" ref="Z339:AI339" si="551">Y339</f>
        <v>118581173.22060946</v>
      </c>
      <c r="AA339" s="207">
        <f t="shared" si="551"/>
        <v>118581173.22060946</v>
      </c>
      <c r="AB339" s="207">
        <f t="shared" si="551"/>
        <v>118581173.22060946</v>
      </c>
      <c r="AC339" s="207">
        <f t="shared" si="551"/>
        <v>118581173.22060946</v>
      </c>
      <c r="AD339" s="207">
        <f t="shared" si="551"/>
        <v>118581173.22060946</v>
      </c>
      <c r="AE339" s="207">
        <f t="shared" si="551"/>
        <v>118581173.22060946</v>
      </c>
      <c r="AF339" s="207">
        <f t="shared" si="551"/>
        <v>118581173.22060946</v>
      </c>
      <c r="AG339" s="207">
        <f t="shared" si="551"/>
        <v>118581173.22060946</v>
      </c>
      <c r="AH339" s="207">
        <f t="shared" si="551"/>
        <v>118581173.22060946</v>
      </c>
      <c r="AI339" s="207">
        <f t="shared" si="551"/>
        <v>118581173.22060946</v>
      </c>
    </row>
    <row r="340" hidden="1" outlineLevel="1"/>
    <row r="341" hidden="1" outlineLevel="1">
      <c r="B341" s="31" t="inlineStr">
        <is>
          <t>Labour tax (PIT) reductions</t>
        </is>
      </c>
    </row>
    <row r="342" hidden="1" outlineLevel="1">
      <c r="A342" s="44" t="inlineStr">
        <is>
          <t>pitind</t>
        </is>
      </c>
      <c r="B342" s="3" t="inlineStr"/>
      <c r="C342" s="3" t="inlineStr"/>
      <c r="D342" s="3" t="n"/>
      <c r="E342" s="3" t="n"/>
      <c r="H342" s="3" t="inlineStr">
        <is>
          <t>Baseline PIT revenue (% GDP; HHSurvey indv, decile-1 row)</t>
        </is>
      </c>
      <c r="I342" s="3" t="inlineStr">
        <is>
          <t>% GDP</t>
        </is>
      </c>
      <c r="J342" s="118" t="inlineStr">
        <is>
          <t>HHSurvey indv (legacy I164)</t>
        </is>
      </c>
      <c r="K342" s="9" t="str">
        <f>LOWER(CtryCode)&amp;".distn."&amp;$A342&amp;IF($B342="","","."&amp;$B342)&amp;IF($C342="","",".dec."&amp;$C342)&amp;"."&amp;K$5</f>
        <v>egy.distn.pitind.1</v>
      </c>
      <c r="L342" s="202">
        <f>INDEX(DHHVal,MATCH(CtryCode&amp;".distn.bsh.dec.ove."&amp;L$9&amp;".1",DHHKey,0),MATCH("indv",DHHVar,0))</f>
        <v>1.554105228546389</v>
      </c>
      <c r="M342" s="196">
        <f t="shared" ref="M342:V342" si="552">L342</f>
        <v>1.554105228546389</v>
      </c>
      <c r="N342" s="196">
        <f t="shared" si="552"/>
        <v>1.554105228546389</v>
      </c>
      <c r="O342" s="196">
        <f t="shared" si="552"/>
        <v>1.554105228546389</v>
      </c>
      <c r="P342" s="196">
        <f t="shared" si="552"/>
        <v>1.554105228546389</v>
      </c>
      <c r="Q342" s="196">
        <f t="shared" si="552"/>
        <v>1.554105228546389</v>
      </c>
      <c r="R342" s="196">
        <f t="shared" si="552"/>
        <v>1.554105228546389</v>
      </c>
      <c r="S342" s="196">
        <f t="shared" si="552"/>
        <v>1.554105228546389</v>
      </c>
      <c r="T342" s="196">
        <f t="shared" si="552"/>
        <v>1.554105228546389</v>
      </c>
      <c r="U342" s="196">
        <f t="shared" si="552"/>
        <v>1.554105228546389</v>
      </c>
      <c r="V342" s="196">
        <f t="shared" si="552"/>
        <v>1.554105228546389</v>
      </c>
      <c r="W342" s="201" t="str">
        <f>IF(X$5=K$5,SUM(Y342:AI342)-SUM(L342:V342),"")</f>
        <v/>
      </c>
      <c r="X342" s="9" t="str">
        <f>LOWER(CtryCode)&amp;".distn."&amp;$A342&amp;IF($B342="","","."&amp;$B342)&amp;IF($C342="","",".dec."&amp;$C342)&amp;"."&amp;X$5</f>
        <v>egy.distn.pitind.2</v>
      </c>
      <c r="Y342" s="202">
        <f>INDEX(DHHVal,MATCH(CtryCode&amp;".distn.bsh.dec.ove."&amp;Y$9&amp;".1",DHHKey,0),MATCH("indv",DHHVar,0))</f>
        <v>1.554105228546389</v>
      </c>
      <c r="Z342" s="196">
        <f t="shared" ref="Z342:AI342" si="553">Y342</f>
        <v>1.554105228546389</v>
      </c>
      <c r="AA342" s="196">
        <f t="shared" si="553"/>
        <v>1.554105228546389</v>
      </c>
      <c r="AB342" s="196">
        <f t="shared" si="553"/>
        <v>1.554105228546389</v>
      </c>
      <c r="AC342" s="196">
        <f t="shared" si="553"/>
        <v>1.554105228546389</v>
      </c>
      <c r="AD342" s="196">
        <f t="shared" si="553"/>
        <v>1.554105228546389</v>
      </c>
      <c r="AE342" s="196">
        <f t="shared" si="553"/>
        <v>1.554105228546389</v>
      </c>
      <c r="AF342" s="196">
        <f t="shared" si="553"/>
        <v>1.554105228546389</v>
      </c>
      <c r="AG342" s="196">
        <f t="shared" si="553"/>
        <v>1.554105228546389</v>
      </c>
      <c r="AH342" s="196">
        <f t="shared" si="553"/>
        <v>1.554105228546389</v>
      </c>
      <c r="AI342" s="196">
        <f t="shared" si="553"/>
        <v>1.554105228546389</v>
      </c>
    </row>
    <row r="343" hidden="1" outlineLevel="1">
      <c r="A343" s="44" t="inlineStr">
        <is>
          <t>pitbase</t>
        </is>
      </c>
      <c r="B343" s="3" t="inlineStr"/>
      <c r="C343" s="3" t="inlineStr"/>
      <c r="D343" s="3" t="n"/>
      <c r="E343" s="3" t="n"/>
      <c r="H343" s="3" t="inlineStr">
        <is>
          <t>Baseline PIT revenue</t>
        </is>
      </c>
      <c r="I343" s="3" t="inlineStr">
        <is>
          <t>LCU bn</t>
        </is>
      </c>
      <c r="J343" s="118" t="inlineStr">
        <is>
          <t>legacy I165</t>
        </is>
      </c>
      <c r="K343" s="9" t="str">
        <f>LOWER(CtryCode)&amp;".distn."&amp;$A343&amp;IF($B343="","","."&amp;$B343)&amp;IF($C343="","",".dec."&amp;$C343)&amp;"."&amp;K$5</f>
        <v>egy.distn.pitbase.1</v>
      </c>
      <c r="L343" s="212">
        <f>L$83*L$342/PctPerUnit</f>
        <v>171990107730.75888</v>
      </c>
      <c r="M343" s="213">
        <f t="shared" ref="M343:V343" si="554">L343</f>
        <v>171990107730.75888</v>
      </c>
      <c r="N343" s="213">
        <f t="shared" si="554"/>
        <v>171990107730.75888</v>
      </c>
      <c r="O343" s="213">
        <f t="shared" si="554"/>
        <v>171990107730.75888</v>
      </c>
      <c r="P343" s="213">
        <f t="shared" si="554"/>
        <v>171990107730.75888</v>
      </c>
      <c r="Q343" s="213">
        <f t="shared" si="554"/>
        <v>171990107730.75888</v>
      </c>
      <c r="R343" s="213">
        <f t="shared" si="554"/>
        <v>171990107730.75888</v>
      </c>
      <c r="S343" s="213">
        <f t="shared" si="554"/>
        <v>171990107730.75888</v>
      </c>
      <c r="T343" s="213">
        <f t="shared" si="554"/>
        <v>171990107730.75888</v>
      </c>
      <c r="U343" s="213">
        <f t="shared" si="554"/>
        <v>171990107730.75888</v>
      </c>
      <c r="V343" s="213">
        <f t="shared" si="554"/>
        <v>171990107730.75888</v>
      </c>
      <c r="W343" s="201" t="str">
        <f>IF(X$5=K$5,SUM(Y343:AI343)-SUM(L343:V343),"")</f>
        <v/>
      </c>
      <c r="X343" s="9" t="str">
        <f>LOWER(CtryCode)&amp;".distn."&amp;$A343&amp;IF($B343="","","."&amp;$B343)&amp;IF($C343="","",".dec."&amp;$C343)&amp;"."&amp;X$5</f>
        <v>egy.distn.pitbase.2</v>
      </c>
      <c r="Y343" s="212">
        <f>Y$83*Y$342/PctPerUnit</f>
        <v>171990107730.75888</v>
      </c>
      <c r="Z343" s="213">
        <f t="shared" ref="Z343:AI343" si="555">Y343</f>
        <v>171990107730.75888</v>
      </c>
      <c r="AA343" s="213">
        <f t="shared" si="555"/>
        <v>171990107730.75888</v>
      </c>
      <c r="AB343" s="213">
        <f t="shared" si="555"/>
        <v>171990107730.75888</v>
      </c>
      <c r="AC343" s="213">
        <f t="shared" si="555"/>
        <v>171990107730.75888</v>
      </c>
      <c r="AD343" s="213">
        <f t="shared" si="555"/>
        <v>171990107730.75888</v>
      </c>
      <c r="AE343" s="213">
        <f t="shared" si="555"/>
        <v>171990107730.75888</v>
      </c>
      <c r="AF343" s="213">
        <f t="shared" si="555"/>
        <v>171990107730.75888</v>
      </c>
      <c r="AG343" s="213">
        <f t="shared" si="555"/>
        <v>171990107730.75888</v>
      </c>
      <c r="AH343" s="213">
        <f t="shared" si="555"/>
        <v>171990107730.75888</v>
      </c>
      <c r="AI343" s="213">
        <f t="shared" si="555"/>
        <v>171990107730.75888</v>
      </c>
    </row>
    <row r="344" hidden="1" outlineLevel="1">
      <c r="A344" s="44" t="inlineStr">
        <is>
          <t>pitvar</t>
        </is>
      </c>
      <c r="B344" s="3" t="inlineStr"/>
      <c r="C344" s="3" t="inlineStr"/>
      <c r="D344" s="3" t="n"/>
      <c r="E344" s="3" t="n"/>
      <c r="H344" s="3" t="inlineStr">
        <is>
          <t>Survey variable of the PIT shares (MTInputs MissingDataReplacement)</t>
        </is>
      </c>
      <c r="I344" s="3" t="inlineStr">
        <is>
          <t>variable</t>
        </is>
      </c>
      <c r="J344" s="118" t="inlineStr">
        <is>
          <t>legacy row 2730</t>
        </is>
      </c>
      <c r="K344" s="9" t="str">
        <f>LOWER(CtryCode)&amp;".distn."&amp;$A344&amp;IF($B344="","","."&amp;$B344)&amp;IF($C344="","",".dec."&amp;$C344)&amp;"."&amp;K$5</f>
        <v>egy.distn.pitvar.1</v>
      </c>
      <c r="L344" s="10" t="str">
        <f>"pit_share_"&amp;L$30</f>
        <v>pit_share_income</v>
      </c>
      <c r="M344" s="3" t="str">
        <f t="shared" ref="M344:V344" si="556">L344</f>
        <v>pit_share_income</v>
      </c>
      <c r="N344" s="3" t="str">
        <f t="shared" si="556"/>
        <v>pit_share_income</v>
      </c>
      <c r="O344" s="3" t="str">
        <f t="shared" si="556"/>
        <v>pit_share_income</v>
      </c>
      <c r="P344" s="3" t="str">
        <f t="shared" si="556"/>
        <v>pit_share_income</v>
      </c>
      <c r="Q344" s="3" t="str">
        <f t="shared" si="556"/>
        <v>pit_share_income</v>
      </c>
      <c r="R344" s="3" t="str">
        <f t="shared" si="556"/>
        <v>pit_share_income</v>
      </c>
      <c r="S344" s="3" t="str">
        <f t="shared" si="556"/>
        <v>pit_share_income</v>
      </c>
      <c r="T344" s="3" t="str">
        <f t="shared" si="556"/>
        <v>pit_share_income</v>
      </c>
      <c r="U344" s="3" t="str">
        <f t="shared" si="556"/>
        <v>pit_share_income</v>
      </c>
      <c r="V344" s="3" t="str">
        <f t="shared" si="556"/>
        <v>pit_share_income</v>
      </c>
      <c r="W344" s="201" t="str">
        <f>IF(X$5=K$5,SUM(Y344:AI344)-SUM(L344:V344),"")</f>
        <v/>
      </c>
      <c r="X344" s="9" t="str">
        <f>LOWER(CtryCode)&amp;".distn."&amp;$A344&amp;IF($B344="","","."&amp;$B344)&amp;IF($C344="","",".dec."&amp;$C344)&amp;"."&amp;X$5</f>
        <v>egy.distn.pitvar.2</v>
      </c>
      <c r="Y344" s="10" t="str">
        <f>"pit_share_"&amp;Y$30</f>
        <v>pit_share_income</v>
      </c>
      <c r="Z344" s="3" t="str">
        <f t="shared" ref="Z344:AI344" si="557">Y344</f>
        <v>pit_share_income</v>
      </c>
      <c r="AA344" s="3" t="str">
        <f t="shared" si="557"/>
        <v>pit_share_income</v>
      </c>
      <c r="AB344" s="3" t="str">
        <f t="shared" si="557"/>
        <v>pit_share_income</v>
      </c>
      <c r="AC344" s="3" t="str">
        <f t="shared" si="557"/>
        <v>pit_share_income</v>
      </c>
      <c r="AD344" s="3" t="str">
        <f t="shared" si="557"/>
        <v>pit_share_income</v>
      </c>
      <c r="AE344" s="3" t="str">
        <f t="shared" si="557"/>
        <v>pit_share_income</v>
      </c>
      <c r="AF344" s="3" t="str">
        <f t="shared" si="557"/>
        <v>pit_share_income</v>
      </c>
      <c r="AG344" s="3" t="str">
        <f t="shared" si="557"/>
        <v>pit_share_income</v>
      </c>
      <c r="AH344" s="3" t="str">
        <f t="shared" si="557"/>
        <v>pit_share_income</v>
      </c>
      <c r="AI344" s="3" t="str">
        <f t="shared" si="557"/>
        <v>pit_share_income</v>
      </c>
    </row>
    <row r="345" hidden="1" outlineLevel="1">
      <c r="A345" s="44" t="inlineStr">
        <is>
          <t>pitsh</t>
        </is>
      </c>
      <c r="B345" s="3" t="inlineStr"/>
      <c r="C345" s="3" t="inlineStr">
        <is>
          <t>ove</t>
        </is>
      </c>
      <c r="D345" s="3" t="n"/>
      <c r="E345" s="3" t="n"/>
      <c r="H345" s="3" t="inlineStr">
        <is>
          <t>Share of baseline PIT paid (survey)</t>
        </is>
      </c>
      <c r="I345" s="3" t="inlineStr">
        <is>
          <t>%</t>
        </is>
      </c>
      <c r="J345" s="118" t="inlineStr">
        <is>
          <t>HHSurvey pit_share_*</t>
        </is>
      </c>
      <c r="K345" s="9" t="str">
        <f>LOWER(CtryCode)&amp;".distn."&amp;$A345&amp;IF($B345="","","."&amp;$B345)&amp;IF($C345="","",".dec."&amp;$C345)&amp;"."&amp;K$5</f>
        <v>egy.distn.pitsh.dec.ove.1</v>
      </c>
      <c r="M345" s="196">
        <f t="shared" ref="M345:V345" si="558">INDEX(DHHVal,MATCH(CtryCode&amp;".distn.bsh."&amp;M$10&amp;"ove."&amp;M$9&amp;M$11,DHHKey,0),MATCH(M$344,DHHVar,0))</f>
        <v>0.7971604541615283</v>
      </c>
      <c r="N345" s="196">
        <f t="shared" si="558"/>
        <v>2.097133686970587</v>
      </c>
      <c r="O345" s="196">
        <f t="shared" si="558"/>
        <v>2.734869773704853</v>
      </c>
      <c r="P345" s="196">
        <f t="shared" si="558"/>
        <v>3.853938406001936</v>
      </c>
      <c r="Q345" s="196">
        <f t="shared" si="558"/>
        <v>4.765978912856215</v>
      </c>
      <c r="R345" s="196">
        <f t="shared" si="558"/>
        <v>6.671844201629153</v>
      </c>
      <c r="S345" s="196">
        <f t="shared" si="558"/>
        <v>7.845784765630955</v>
      </c>
      <c r="T345" s="196">
        <f t="shared" si="558"/>
        <v>9.907194165979185</v>
      </c>
      <c r="U345" s="196">
        <f t="shared" si="558"/>
        <v>14.1615804376602</v>
      </c>
      <c r="V345" s="196">
        <f t="shared" si="558"/>
        <v>54.55282910211606</v>
      </c>
      <c r="W345" s="201" t="str">
        <f>IF(X$5=K$5,SUM(Y345:AI345)-SUM(L345:V345),"")</f>
        <v/>
      </c>
      <c r="X345" s="9" t="str">
        <f>LOWER(CtryCode)&amp;".distn."&amp;$A345&amp;IF($B345="","","."&amp;$B345)&amp;IF($C345="","",".dec."&amp;$C345)&amp;"."&amp;X$5</f>
        <v>egy.distn.pitsh.dec.ove.2</v>
      </c>
      <c r="Z345" s="196">
        <f t="shared" ref="Z345:AI345" si="559">INDEX(DHHVal,MATCH(CtryCode&amp;".distn.bsh."&amp;Z$10&amp;"ove."&amp;Z$9&amp;Z$11,DHHKey,0),MATCH(Z$344,DHHVar,0))</f>
        <v>0.7971604541615283</v>
      </c>
      <c r="AA345" s="196">
        <f t="shared" si="559"/>
        <v>2.097133686970587</v>
      </c>
      <c r="AB345" s="196">
        <f t="shared" si="559"/>
        <v>2.734869773704853</v>
      </c>
      <c r="AC345" s="196">
        <f t="shared" si="559"/>
        <v>3.853938406001936</v>
      </c>
      <c r="AD345" s="196">
        <f t="shared" si="559"/>
        <v>4.765978912856215</v>
      </c>
      <c r="AE345" s="196">
        <f t="shared" si="559"/>
        <v>6.671844201629153</v>
      </c>
      <c r="AF345" s="196">
        <f t="shared" si="559"/>
        <v>7.845784765630955</v>
      </c>
      <c r="AG345" s="196">
        <f t="shared" si="559"/>
        <v>9.907194165979185</v>
      </c>
      <c r="AH345" s="196">
        <f t="shared" si="559"/>
        <v>14.1615804376602</v>
      </c>
      <c r="AI345" s="196">
        <f t="shared" si="559"/>
        <v>54.55282910211606</v>
      </c>
    </row>
    <row r="346" hidden="1" outlineLevel="1">
      <c r="A346" s="44" t="inlineStr">
        <is>
          <t>pitshtot</t>
        </is>
      </c>
      <c r="B346" s="3" t="inlineStr"/>
      <c r="C346" s="3" t="inlineStr"/>
      <c r="D346" s="3" t="n"/>
      <c r="E346" s="3" t="n"/>
      <c r="H346" s="3" t="inlineStr">
        <is>
          <t>Sum of the shares (rescaled to 100)</t>
        </is>
      </c>
      <c r="I346" s="3" t="inlineStr">
        <is>
          <t>%</t>
        </is>
      </c>
      <c r="J346" s="118" t="inlineStr">
        <is>
          <t>legacy row 2731</t>
        </is>
      </c>
      <c r="K346" s="9" t="str">
        <f>LOWER(CtryCode)&amp;".distn."&amp;$A346&amp;IF($B346="","","."&amp;$B346)&amp;IF($C346="","",".dec."&amp;$C346)&amp;"."&amp;K$5</f>
        <v>egy.distn.pitshtot.1</v>
      </c>
      <c r="L346" s="202">
        <f>SUM(M345:V345)</f>
        <v>107.38831390671066</v>
      </c>
      <c r="M346" s="196">
        <f t="shared" ref="M346:V346" si="560">L346</f>
        <v>107.38831390671066</v>
      </c>
      <c r="N346" s="196">
        <f t="shared" si="560"/>
        <v>107.38831390671066</v>
      </c>
      <c r="O346" s="196">
        <f t="shared" si="560"/>
        <v>107.38831390671066</v>
      </c>
      <c r="P346" s="196">
        <f t="shared" si="560"/>
        <v>107.38831390671066</v>
      </c>
      <c r="Q346" s="196">
        <f t="shared" si="560"/>
        <v>107.38831390671066</v>
      </c>
      <c r="R346" s="196">
        <f t="shared" si="560"/>
        <v>107.38831390671066</v>
      </c>
      <c r="S346" s="196">
        <f t="shared" si="560"/>
        <v>107.38831390671066</v>
      </c>
      <c r="T346" s="196">
        <f t="shared" si="560"/>
        <v>107.38831390671066</v>
      </c>
      <c r="U346" s="196">
        <f t="shared" si="560"/>
        <v>107.38831390671066</v>
      </c>
      <c r="V346" s="196">
        <f t="shared" si="560"/>
        <v>107.38831390671066</v>
      </c>
      <c r="W346" s="201" t="str">
        <f>IF(X$5=K$5,SUM(Y346:AI346)-SUM(L346:V346),"")</f>
        <v/>
      </c>
      <c r="X346" s="9" t="str">
        <f>LOWER(CtryCode)&amp;".distn."&amp;$A346&amp;IF($B346="","","."&amp;$B346)&amp;IF($C346="","",".dec."&amp;$C346)&amp;"."&amp;X$5</f>
        <v>egy.distn.pitshtot.2</v>
      </c>
      <c r="Y346" s="202">
        <f>SUM(Z345:AI345)</f>
        <v>107.38831390671066</v>
      </c>
      <c r="Z346" s="196">
        <f t="shared" ref="Z346:AI346" si="561">Y346</f>
        <v>107.38831390671066</v>
      </c>
      <c r="AA346" s="196">
        <f t="shared" si="561"/>
        <v>107.38831390671066</v>
      </c>
      <c r="AB346" s="196">
        <f t="shared" si="561"/>
        <v>107.38831390671066</v>
      </c>
      <c r="AC346" s="196">
        <f t="shared" si="561"/>
        <v>107.38831390671066</v>
      </c>
      <c r="AD346" s="196">
        <f t="shared" si="561"/>
        <v>107.38831390671066</v>
      </c>
      <c r="AE346" s="196">
        <f t="shared" si="561"/>
        <v>107.38831390671066</v>
      </c>
      <c r="AF346" s="196">
        <f t="shared" si="561"/>
        <v>107.38831390671066</v>
      </c>
      <c r="AG346" s="196">
        <f t="shared" si="561"/>
        <v>107.38831390671066</v>
      </c>
      <c r="AH346" s="196">
        <f t="shared" si="561"/>
        <v>107.38831390671066</v>
      </c>
      <c r="AI346" s="196">
        <f t="shared" si="561"/>
        <v>107.38831390671066</v>
      </c>
    </row>
    <row r="347" hidden="1" outlineLevel="1">
      <c r="A347" s="44" t="inlineStr">
        <is>
          <t>pitpc</t>
        </is>
      </c>
      <c r="B347" s="3" t="inlineStr"/>
      <c r="C347" s="3" t="inlineStr">
        <is>
          <t>ove</t>
        </is>
      </c>
      <c r="D347" s="3" t="n"/>
      <c r="E347" s="3" t="n"/>
      <c r="H347" s="3" t="inlineStr">
        <is>
          <t>Baseline PIT per capita</t>
        </is>
      </c>
      <c r="I347" s="3" t="inlineStr">
        <is>
          <t>LCU</t>
        </is>
      </c>
      <c r="J347" s="118" t="inlineStr">
        <is>
          <t>legacy rows 2732-2733</t>
        </is>
      </c>
      <c r="K347" s="9" t="str">
        <f>LOWER(CtryCode)&amp;".distn."&amp;$A347&amp;IF($B347="","","."&amp;$B347)&amp;IF($C347="","",".dec."&amp;$C347)&amp;"."&amp;K$5</f>
        <v>egy.distn.pitpc.dec.ove.1</v>
      </c>
      <c r="M347" s="109">
        <f t="shared" ref="M347:V347" si="562">M$343*M345/M$346/M322</f>
        <v>111.69137691186025</v>
      </c>
      <c r="N347" s="109">
        <f t="shared" si="562"/>
        <v>299.05406876537387</v>
      </c>
      <c r="O347" s="109">
        <f t="shared" si="562"/>
        <v>343.01136478653905</v>
      </c>
      <c r="P347" s="109">
        <f t="shared" si="562"/>
        <v>537.3485013227503</v>
      </c>
      <c r="Q347" s="109">
        <f t="shared" si="562"/>
        <v>651.3690958754263</v>
      </c>
      <c r="R347" s="109">
        <f t="shared" si="562"/>
        <v>830.2965091316787</v>
      </c>
      <c r="S347" s="109">
        <f t="shared" si="562"/>
        <v>1049.9855135841663</v>
      </c>
      <c r="T347" s="109">
        <f t="shared" si="562"/>
        <v>1267.4936737432</v>
      </c>
      <c r="U347" s="109">
        <f t="shared" si="562"/>
        <v>1973.0636160114068</v>
      </c>
      <c r="V347" s="109">
        <f t="shared" si="562"/>
        <v>7875.338337820515</v>
      </c>
      <c r="W347" s="201" t="str">
        <f>IF(X$5=K$5,SUM(Y347:AI347)-SUM(L347:V347),"")</f>
        <v/>
      </c>
      <c r="X347" s="9" t="str">
        <f>LOWER(CtryCode)&amp;".distn."&amp;$A347&amp;IF($B347="","","."&amp;$B347)&amp;IF($C347="","",".dec."&amp;$C347)&amp;"."&amp;X$5</f>
        <v>egy.distn.pitpc.dec.ove.2</v>
      </c>
      <c r="Z347" s="109">
        <f t="shared" ref="Z347:AI347" si="563">Z$343*Z345/Z$346/Z322</f>
        <v>111.69137691186025</v>
      </c>
      <c r="AA347" s="109">
        <f t="shared" si="563"/>
        <v>299.05406876537387</v>
      </c>
      <c r="AB347" s="109">
        <f t="shared" si="563"/>
        <v>343.01136478653905</v>
      </c>
      <c r="AC347" s="109">
        <f t="shared" si="563"/>
        <v>537.3485013227503</v>
      </c>
      <c r="AD347" s="109">
        <f t="shared" si="563"/>
        <v>651.3690958754263</v>
      </c>
      <c r="AE347" s="109">
        <f t="shared" si="563"/>
        <v>830.2965091316787</v>
      </c>
      <c r="AF347" s="109">
        <f t="shared" si="563"/>
        <v>1049.9855135841663</v>
      </c>
      <c r="AG347" s="109">
        <f t="shared" si="563"/>
        <v>1267.4936737432</v>
      </c>
      <c r="AH347" s="109">
        <f t="shared" si="563"/>
        <v>1973.0636160114068</v>
      </c>
      <c r="AI347" s="109">
        <f t="shared" si="563"/>
        <v>7875.338337820515</v>
      </c>
    </row>
    <row r="348" hidden="1" outlineLevel="1">
      <c r="A348" s="44" t="inlineStr">
        <is>
          <t>pitmax</t>
        </is>
      </c>
      <c r="B348" s="3" t="inlineStr"/>
      <c r="C348" s="3" t="inlineStr"/>
      <c r="D348" s="3" t="n"/>
      <c r="E348" s="3" t="n"/>
      <c r="H348" s="3" t="inlineStr">
        <is>
          <t>Personal allowance: maximum per capita (PIT revenue / population)</t>
        </is>
      </c>
      <c r="I348" s="3" t="inlineStr">
        <is>
          <t>LCU</t>
        </is>
      </c>
      <c r="J348" s="118" t="inlineStr">
        <is>
          <t>legacy P2736</t>
        </is>
      </c>
      <c r="K348" s="9" t="str">
        <f>LOWER(CtryCode)&amp;".distn."&amp;$A348&amp;IF($B348="","","."&amp;$B348)&amp;IF($C348="","",".dec."&amp;$C348)&amp;"."&amp;K$5</f>
        <v>egy.distn.pitmax.1</v>
      </c>
      <c r="L348" s="108">
        <f>L$335/L$339</f>
        <v>0.0</v>
      </c>
      <c r="M348" s="109">
        <f t="shared" ref="M348:V348" si="564">L348</f>
        <v>0.0</v>
      </c>
      <c r="N348" s="109">
        <f t="shared" si="564"/>
        <v>0.0</v>
      </c>
      <c r="O348" s="109">
        <f t="shared" si="564"/>
        <v>0.0</v>
      </c>
      <c r="P348" s="109">
        <f t="shared" si="564"/>
        <v>0.0</v>
      </c>
      <c r="Q348" s="109">
        <f t="shared" si="564"/>
        <v>0.0</v>
      </c>
      <c r="R348" s="109">
        <f t="shared" si="564"/>
        <v>0.0</v>
      </c>
      <c r="S348" s="109">
        <f t="shared" si="564"/>
        <v>0.0</v>
      </c>
      <c r="T348" s="109">
        <f t="shared" si="564"/>
        <v>0.0</v>
      </c>
      <c r="U348" s="109">
        <f t="shared" si="564"/>
        <v>0.0</v>
      </c>
      <c r="V348" s="109">
        <f t="shared" si="564"/>
        <v>0.0</v>
      </c>
      <c r="W348" s="201" t="str">
        <f>IF(X$5=K$5,SUM(Y348:AI348)-SUM(L348:V348),"")</f>
        <v/>
      </c>
      <c r="X348" s="9" t="str">
        <f>LOWER(CtryCode)&amp;".distn."&amp;$A348&amp;IF($B348="","","."&amp;$B348)&amp;IF($C348="","",".dec."&amp;$C348)&amp;"."&amp;X$5</f>
        <v>egy.distn.pitmax.2</v>
      </c>
      <c r="Y348" s="108">
        <f>Y$335/Y$339</f>
        <v>188.27904743813556</v>
      </c>
      <c r="Z348" s="109">
        <f t="shared" ref="Z348:AI348" si="565">Y348</f>
        <v>188.27904743813556</v>
      </c>
      <c r="AA348" s="109">
        <f t="shared" si="565"/>
        <v>188.27904743813556</v>
      </c>
      <c r="AB348" s="109">
        <f t="shared" si="565"/>
        <v>188.27904743813556</v>
      </c>
      <c r="AC348" s="109">
        <f t="shared" si="565"/>
        <v>188.27904743813556</v>
      </c>
      <c r="AD348" s="109">
        <f t="shared" si="565"/>
        <v>188.27904743813556</v>
      </c>
      <c r="AE348" s="109">
        <f t="shared" si="565"/>
        <v>188.27904743813556</v>
      </c>
      <c r="AF348" s="109">
        <f t="shared" si="565"/>
        <v>188.27904743813556</v>
      </c>
      <c r="AG348" s="109">
        <f t="shared" si="565"/>
        <v>188.27904743813556</v>
      </c>
      <c r="AH348" s="109">
        <f t="shared" si="565"/>
        <v>188.27904743813556</v>
      </c>
      <c r="AI348" s="109">
        <f t="shared" si="565"/>
        <v>188.27904743813556</v>
      </c>
    </row>
    <row r="349" hidden="1" outlineLevel="1">
      <c r="A349" s="44" t="inlineStr">
        <is>
          <t>pitgap</t>
        </is>
      </c>
      <c r="B349" s="3" t="inlineStr"/>
      <c r="C349" s="3" t="inlineStr">
        <is>
          <t>ove</t>
        </is>
      </c>
      <c r="D349" s="3" t="n"/>
      <c r="E349" s="3" t="n"/>
      <c r="H349" s="3" t="inlineStr">
        <is>
          <t>Personal allowance: room below the maximum</t>
        </is>
      </c>
      <c r="I349" s="3" t="inlineStr">
        <is>
          <t>LCU</t>
        </is>
      </c>
      <c r="J349" s="118" t="inlineStr">
        <is>
          <t>legacy row 2738</t>
        </is>
      </c>
      <c r="K349" s="9" t="str">
        <f>LOWER(CtryCode)&amp;".distn."&amp;$A349&amp;IF($B349="","","."&amp;$B349)&amp;IF($C349="","",".dec."&amp;$C349)&amp;"."&amp;K$5</f>
        <v>egy.distn.pitgap.dec.ove.1</v>
      </c>
      <c r="M349" s="109">
        <f t="shared" ref="M349:V349" si="566">MAX(M$348-M347,0)</f>
        <v>0.0</v>
      </c>
      <c r="N349" s="109">
        <f t="shared" si="566"/>
        <v>0.0</v>
      </c>
      <c r="O349" s="109">
        <f t="shared" si="566"/>
        <v>0.0</v>
      </c>
      <c r="P349" s="109">
        <f t="shared" si="566"/>
        <v>0.0</v>
      </c>
      <c r="Q349" s="109">
        <f t="shared" si="566"/>
        <v>0.0</v>
      </c>
      <c r="R349" s="109">
        <f t="shared" si="566"/>
        <v>0.0</v>
      </c>
      <c r="S349" s="109">
        <f t="shared" si="566"/>
        <v>0.0</v>
      </c>
      <c r="T349" s="109">
        <f t="shared" si="566"/>
        <v>0.0</v>
      </c>
      <c r="U349" s="109">
        <f t="shared" si="566"/>
        <v>0.0</v>
      </c>
      <c r="V349" s="109">
        <f t="shared" si="566"/>
        <v>0.0</v>
      </c>
      <c r="W349" s="201" t="str">
        <f>IF(X$5=K$5,SUM(Y349:AI349)-SUM(L349:V349),"")</f>
        <v/>
      </c>
      <c r="X349" s="9" t="str">
        <f>LOWER(CtryCode)&amp;".distn."&amp;$A349&amp;IF($B349="","","."&amp;$B349)&amp;IF($C349="","",".dec."&amp;$C349)&amp;"."&amp;X$5</f>
        <v>egy.distn.pitgap.dec.ove.2</v>
      </c>
      <c r="Z349" s="109">
        <f t="shared" ref="Z349:AI349" si="567">MAX(Z$348-Z347,0)</f>
        <v>76.58767052627532</v>
      </c>
      <c r="AA349" s="109">
        <f t="shared" si="567"/>
        <v>0.0</v>
      </c>
      <c r="AB349" s="109">
        <f t="shared" si="567"/>
        <v>0.0</v>
      </c>
      <c r="AC349" s="109">
        <f t="shared" si="567"/>
        <v>0.0</v>
      </c>
      <c r="AD349" s="109">
        <f t="shared" si="567"/>
        <v>0.0</v>
      </c>
      <c r="AE349" s="109">
        <f t="shared" si="567"/>
        <v>0.0</v>
      </c>
      <c r="AF349" s="109">
        <f t="shared" si="567"/>
        <v>0.0</v>
      </c>
      <c r="AG349" s="109">
        <f t="shared" si="567"/>
        <v>0.0</v>
      </c>
      <c r="AH349" s="109">
        <f t="shared" si="567"/>
        <v>0.0</v>
      </c>
      <c r="AI349" s="109">
        <f t="shared" si="567"/>
        <v>0.0</v>
      </c>
    </row>
    <row r="350" hidden="1" outlineLevel="1">
      <c r="A350" s="44" t="inlineStr">
        <is>
          <t>pitextra</t>
        </is>
      </c>
      <c r="B350" s="3" t="inlineStr"/>
      <c r="C350" s="3" t="inlineStr"/>
      <c r="D350" s="3" t="n"/>
      <c r="E350" s="3" t="n"/>
      <c r="H350" s="3" t="inlineStr">
        <is>
          <t>Personal allowance: room redistributed per capita</t>
        </is>
      </c>
      <c r="I350" s="3" t="inlineStr">
        <is>
          <t>LCU</t>
        </is>
      </c>
      <c r="J350" s="118" t="inlineStr">
        <is>
          <t>legacy P2740</t>
        </is>
      </c>
      <c r="K350" s="9" t="str">
        <f>LOWER(CtryCode)&amp;".distn."&amp;$A350&amp;IF($B350="","","."&amp;$B350)&amp;IF($C350="","",".dec."&amp;$C350)&amp;"."&amp;K$5</f>
        <v>egy.distn.pitextra.1</v>
      </c>
      <c r="L350" s="108">
        <f>SUMPRODUCT(M349:V349,M322:V322)/L$339</f>
        <v>0.0</v>
      </c>
      <c r="M350" s="109">
        <f t="shared" ref="M350:V350" si="568">L350</f>
        <v>0.0</v>
      </c>
      <c r="N350" s="109">
        <f t="shared" si="568"/>
        <v>0.0</v>
      </c>
      <c r="O350" s="109">
        <f t="shared" si="568"/>
        <v>0.0</v>
      </c>
      <c r="P350" s="109">
        <f t="shared" si="568"/>
        <v>0.0</v>
      </c>
      <c r="Q350" s="109">
        <f t="shared" si="568"/>
        <v>0.0</v>
      </c>
      <c r="R350" s="109">
        <f t="shared" si="568"/>
        <v>0.0</v>
      </c>
      <c r="S350" s="109">
        <f t="shared" si="568"/>
        <v>0.0</v>
      </c>
      <c r="T350" s="109">
        <f t="shared" si="568"/>
        <v>0.0</v>
      </c>
      <c r="U350" s="109">
        <f t="shared" si="568"/>
        <v>0.0</v>
      </c>
      <c r="V350" s="109">
        <f t="shared" si="568"/>
        <v>0.0</v>
      </c>
      <c r="W350" s="201" t="str">
        <f>IF(X$5=K$5,SUM(Y350:AI350)-SUM(L350:V350),"")</f>
        <v/>
      </c>
      <c r="X350" s="9" t="str">
        <f>LOWER(CtryCode)&amp;".distn."&amp;$A350&amp;IF($B350="","","."&amp;$B350)&amp;IF($C350="","",".dec."&amp;$C350)&amp;"."&amp;X$5</f>
        <v>egy.distn.pitextra.2</v>
      </c>
      <c r="Y350" s="108">
        <f>SUMPRODUCT(Z349:AI349,Z322:AI322)/Y$339</f>
        <v>7.38270752078489</v>
      </c>
      <c r="Z350" s="109">
        <f t="shared" ref="Z350:AI350" si="569">Y350</f>
        <v>7.38270752078489</v>
      </c>
      <c r="AA350" s="109">
        <f t="shared" si="569"/>
        <v>7.38270752078489</v>
      </c>
      <c r="AB350" s="109">
        <f t="shared" si="569"/>
        <v>7.38270752078489</v>
      </c>
      <c r="AC350" s="109">
        <f t="shared" si="569"/>
        <v>7.38270752078489</v>
      </c>
      <c r="AD350" s="109">
        <f t="shared" si="569"/>
        <v>7.38270752078489</v>
      </c>
      <c r="AE350" s="109">
        <f t="shared" si="569"/>
        <v>7.38270752078489</v>
      </c>
      <c r="AF350" s="109">
        <f t="shared" si="569"/>
        <v>7.38270752078489</v>
      </c>
      <c r="AG350" s="109">
        <f t="shared" si="569"/>
        <v>7.38270752078489</v>
      </c>
      <c r="AH350" s="109">
        <f t="shared" si="569"/>
        <v>7.38270752078489</v>
      </c>
      <c r="AI350" s="109">
        <f t="shared" si="569"/>
        <v>7.38270752078489</v>
      </c>
    </row>
    <row r="351" hidden="1" outlineLevel="1">
      <c r="A351" s="44" t="inlineStr">
        <is>
          <t>pitpa</t>
        </is>
      </c>
      <c r="B351" s="3" t="inlineStr"/>
      <c r="C351" s="3" t="inlineStr">
        <is>
          <t>ove</t>
        </is>
      </c>
      <c r="D351" s="3" t="n"/>
      <c r="E351" s="3" t="n"/>
      <c r="H351" s="3" t="inlineStr">
        <is>
          <t>Personal allowance</t>
        </is>
      </c>
      <c r="I351" s="3" t="inlineStr">
        <is>
          <t>LCU</t>
        </is>
      </c>
      <c r="J351" s="118" t="inlineStr">
        <is>
          <t>legacy row 2741</t>
        </is>
      </c>
      <c r="K351" s="9" t="str">
        <f>LOWER(CtryCode)&amp;".distn."&amp;$A351&amp;IF($B351="","","."&amp;$B351)&amp;IF($C351="","",".dec."&amp;$C351)&amp;"."&amp;K$5</f>
        <v>egy.distn.pitpa.dec.ove.1</v>
      </c>
      <c r="M351" s="109">
        <f t="shared" ref="M351:V351" si="570">MIN(M$348,M347)+M$350</f>
        <v>0.0</v>
      </c>
      <c r="N351" s="109">
        <f t="shared" si="570"/>
        <v>0.0</v>
      </c>
      <c r="O351" s="109">
        <f t="shared" si="570"/>
        <v>0.0</v>
      </c>
      <c r="P351" s="109">
        <f t="shared" si="570"/>
        <v>0.0</v>
      </c>
      <c r="Q351" s="109">
        <f t="shared" si="570"/>
        <v>0.0</v>
      </c>
      <c r="R351" s="109">
        <f t="shared" si="570"/>
        <v>0.0</v>
      </c>
      <c r="S351" s="109">
        <f t="shared" si="570"/>
        <v>0.0</v>
      </c>
      <c r="T351" s="109">
        <f t="shared" si="570"/>
        <v>0.0</v>
      </c>
      <c r="U351" s="109">
        <f t="shared" si="570"/>
        <v>0.0</v>
      </c>
      <c r="V351" s="109">
        <f t="shared" si="570"/>
        <v>0.0</v>
      </c>
      <c r="W351" s="201" t="str">
        <f>IF(X$5=K$5,SUM(Y351:AI351)-SUM(L351:V351),"")</f>
        <v/>
      </c>
      <c r="X351" s="9" t="str">
        <f>LOWER(CtryCode)&amp;".distn."&amp;$A351&amp;IF($B351="","","."&amp;$B351)&amp;IF($C351="","",".dec."&amp;$C351)&amp;"."&amp;X$5</f>
        <v>egy.distn.pitpa.dec.ove.2</v>
      </c>
      <c r="Z351" s="109">
        <f t="shared" ref="Z351:AI351" si="571">MIN(Z$348,Z347)+Z$350</f>
        <v>119.07408443264514</v>
      </c>
      <c r="AA351" s="109">
        <f t="shared" si="571"/>
        <v>195.66175495892045</v>
      </c>
      <c r="AB351" s="109">
        <f t="shared" si="571"/>
        <v>195.66175495892045</v>
      </c>
      <c r="AC351" s="109">
        <f t="shared" si="571"/>
        <v>195.66175495892045</v>
      </c>
      <c r="AD351" s="109">
        <f t="shared" si="571"/>
        <v>195.66175495892045</v>
      </c>
      <c r="AE351" s="109">
        <f t="shared" si="571"/>
        <v>195.66175495892045</v>
      </c>
      <c r="AF351" s="109">
        <f t="shared" si="571"/>
        <v>195.66175495892045</v>
      </c>
      <c r="AG351" s="109">
        <f t="shared" si="571"/>
        <v>195.66175495892045</v>
      </c>
      <c r="AH351" s="109">
        <f t="shared" si="571"/>
        <v>195.66175495892045</v>
      </c>
      <c r="AI351" s="109">
        <f t="shared" si="571"/>
        <v>195.66175495892045</v>
      </c>
    </row>
    <row r="352" hidden="1" outlineLevel="1">
      <c r="A352" s="44" t="inlineStr">
        <is>
          <t>pitprop</t>
        </is>
      </c>
      <c r="B352" s="3" t="inlineStr"/>
      <c r="C352" s="3" t="inlineStr">
        <is>
          <t>ove</t>
        </is>
      </c>
      <c r="D352" s="3" t="n"/>
      <c r="E352" s="3" t="n"/>
      <c r="H352" s="3" t="inlineStr">
        <is>
          <t>Proportional compensation</t>
        </is>
      </c>
      <c r="I352" s="3" t="inlineStr">
        <is>
          <t>LCU</t>
        </is>
      </c>
      <c r="J352" s="118" t="inlineStr">
        <is>
          <t>legacy row 2758</t>
        </is>
      </c>
      <c r="K352" s="9" t="str">
        <f>LOWER(CtryCode)&amp;".distn."&amp;$A352&amp;IF($B352="","","."&amp;$B352)&amp;IF($C352="","",".dec."&amp;$C352)&amp;"."&amp;K$5</f>
        <v>egy.distn.pitprop.dec.ove.1</v>
      </c>
      <c r="M352" s="109">
        <f t="shared" ref="M352:V352" si="572">M347*M$335/M$343</f>
        <v>0.0</v>
      </c>
      <c r="N352" s="109">
        <f t="shared" si="572"/>
        <v>0.0</v>
      </c>
      <c r="O352" s="109">
        <f t="shared" si="572"/>
        <v>0.0</v>
      </c>
      <c r="P352" s="109">
        <f t="shared" si="572"/>
        <v>0.0</v>
      </c>
      <c r="Q352" s="109">
        <f t="shared" si="572"/>
        <v>0.0</v>
      </c>
      <c r="R352" s="109">
        <f t="shared" si="572"/>
        <v>0.0</v>
      </c>
      <c r="S352" s="109">
        <f t="shared" si="572"/>
        <v>0.0</v>
      </c>
      <c r="T352" s="109">
        <f t="shared" si="572"/>
        <v>0.0</v>
      </c>
      <c r="U352" s="109">
        <f t="shared" si="572"/>
        <v>0.0</v>
      </c>
      <c r="V352" s="109">
        <f t="shared" si="572"/>
        <v>0.0</v>
      </c>
      <c r="W352" s="201" t="str">
        <f>IF(X$5=K$5,SUM(Y352:AI352)-SUM(L352:V352),"")</f>
        <v/>
      </c>
      <c r="X352" s="9" t="str">
        <f>LOWER(CtryCode)&amp;".distn."&amp;$A352&amp;IF($B352="","","."&amp;$B352)&amp;IF($C352="","",".dec."&amp;$C352)&amp;"."&amp;X$5</f>
        <v>egy.distn.pitprop.dec.ove.2</v>
      </c>
      <c r="Z352" s="109">
        <f t="shared" ref="Z352:AI352" si="573">Z347*Z$335/Z$343</f>
        <v>14.498861844889523</v>
      </c>
      <c r="AA352" s="109">
        <f t="shared" si="573"/>
        <v>38.82075543399289</v>
      </c>
      <c r="AB352" s="109">
        <f t="shared" si="573"/>
        <v>44.52693239865443</v>
      </c>
      <c r="AC352" s="109">
        <f t="shared" si="573"/>
        <v>69.75419140355936</v>
      </c>
      <c r="AD352" s="109">
        <f t="shared" si="573"/>
        <v>84.55541324896637</v>
      </c>
      <c r="AE352" s="109">
        <f t="shared" si="573"/>
        <v>107.78230790094177</v>
      </c>
      <c r="AF352" s="109">
        <f t="shared" si="573"/>
        <v>136.30053923147258</v>
      </c>
      <c r="AG352" s="109">
        <f t="shared" si="573"/>
        <v>164.5356711769814</v>
      </c>
      <c r="AH352" s="109">
        <f t="shared" si="573"/>
        <v>256.12699539287183</v>
      </c>
      <c r="AI352" s="109">
        <f t="shared" si="573"/>
        <v>1022.3120682980557</v>
      </c>
    </row>
    <row r="353" hidden="1" outlineLevel="1">
      <c r="A353" s="44" t="inlineStr">
        <is>
          <t>pitcum</t>
        </is>
      </c>
      <c r="B353" s="3" t="inlineStr"/>
      <c r="C353" s="3" t="inlineStr">
        <is>
          <t>ove</t>
        </is>
      </c>
      <c r="D353" s="3" t="n"/>
      <c r="E353" s="3" t="n"/>
      <c r="H353" s="3" t="inlineStr">
        <is>
          <t>Targeted exemption: cumulative baseline PIT through the decile</t>
        </is>
      </c>
      <c r="I353" s="3" t="inlineStr">
        <is>
          <t>LCU bn</t>
        </is>
      </c>
      <c r="J353" s="118" t="inlineStr">
        <is>
          <t>legacy row 2749</t>
        </is>
      </c>
      <c r="K353" s="9" t="str">
        <f>LOWER(CtryCode)&amp;".distn."&amp;$A353&amp;IF($B353="","","."&amp;$B353)&amp;IF($C353="","",".dec."&amp;$C353)&amp;"."&amp;K$5</f>
        <v>egy.distn.pitcum.dec.ove.1</v>
      </c>
      <c r="M353" s="213">
        <f t="shared" ref="M353:V353" si="574">L353+M347*M322</f>
        <v>1276709796.4592807</v>
      </c>
      <c r="N353" s="213">
        <f t="shared" si="574"/>
        <v>4635420214.998925</v>
      </c>
      <c r="O353" s="213">
        <f t="shared" si="574"/>
        <v>9015510840.294613</v>
      </c>
      <c r="P353" s="213">
        <f t="shared" si="574"/>
        <v>15187870359.895576</v>
      </c>
      <c r="Q353" s="213">
        <f t="shared" si="574"/>
        <v>22820928342.133274</v>
      </c>
      <c r="R353" s="213">
        <f t="shared" si="574"/>
        <v>33506366647.81218</v>
      </c>
      <c r="S353" s="213">
        <f t="shared" si="574"/>
        <v>46071955192.627686</v>
      </c>
      <c r="T353" s="213">
        <f t="shared" si="574"/>
        <v>61939039141.785645</v>
      </c>
      <c r="U353" s="213">
        <f t="shared" si="574"/>
        <v>84619828666.30376</v>
      </c>
      <c r="V353" s="213">
        <f t="shared" si="574"/>
        <v>171990107730.7589</v>
      </c>
      <c r="W353" s="201" t="str">
        <f>IF(X$5=K$5,SUM(Y353:AI353)-SUM(L353:V353),"")</f>
        <v/>
      </c>
      <c r="X353" s="9" t="str">
        <f>LOWER(CtryCode)&amp;".distn."&amp;$A353&amp;IF($B353="","","."&amp;$B353)&amp;IF($C353="","",".dec."&amp;$C353)&amp;"."&amp;X$5</f>
        <v>egy.distn.pitcum.dec.ove.2</v>
      </c>
      <c r="Z353" s="213">
        <f t="shared" ref="Z353:AI353" si="575">Y353+Z347*Z322</f>
        <v>1276709796.4592807</v>
      </c>
      <c r="AA353" s="213">
        <f t="shared" si="575"/>
        <v>4635420214.998925</v>
      </c>
      <c r="AB353" s="213">
        <f t="shared" si="575"/>
        <v>9015510840.294613</v>
      </c>
      <c r="AC353" s="213">
        <f t="shared" si="575"/>
        <v>15187870359.895576</v>
      </c>
      <c r="AD353" s="213">
        <f t="shared" si="575"/>
        <v>22820928342.133274</v>
      </c>
      <c r="AE353" s="213">
        <f t="shared" si="575"/>
        <v>33506366647.81218</v>
      </c>
      <c r="AF353" s="213">
        <f t="shared" si="575"/>
        <v>46071955192.627686</v>
      </c>
      <c r="AG353" s="213">
        <f t="shared" si="575"/>
        <v>61939039141.785645</v>
      </c>
      <c r="AH353" s="213">
        <f t="shared" si="575"/>
        <v>84619828666.30376</v>
      </c>
      <c r="AI353" s="213">
        <f t="shared" si="575"/>
        <v>171990107730.7589</v>
      </c>
    </row>
    <row r="354" hidden="1" outlineLevel="1">
      <c r="A354" s="44" t="inlineStr">
        <is>
          <t>pitte</t>
        </is>
      </c>
      <c r="B354" s="3" t="inlineStr"/>
      <c r="C354" s="3" t="inlineStr">
        <is>
          <t>ove</t>
        </is>
      </c>
      <c r="D354" s="3" t="n"/>
      <c r="E354" s="3" t="n"/>
      <c r="H354" s="3" t="inlineStr">
        <is>
          <t>Targeted exemption (bottom deciles, up to the PIT revenue)</t>
        </is>
      </c>
      <c r="I354" s="3" t="inlineStr">
        <is>
          <t>LCU</t>
        </is>
      </c>
      <c r="J354" s="118" t="inlineStr">
        <is>
          <t>legacy rows 2747-2752 (cap: PIT revenue)</t>
        </is>
      </c>
      <c r="K354" s="9" t="str">
        <f>LOWER(CtryCode)&amp;".distn."&amp;$A354&amp;IF($B354="","","."&amp;$B354)&amp;IF($C354="","",".dec."&amp;$C354)&amp;"."&amp;K$5</f>
        <v>egy.distn.pitte.dec.ove.1</v>
      </c>
      <c r="M354" s="109">
        <f t="shared" ref="M354:V354" si="576">IF(M$1&lt;=M$29,MIN(M347,MAX(M$335-L353,0)/M322),0)</f>
        <v>0.0</v>
      </c>
      <c r="N354" s="109">
        <f t="shared" si="576"/>
        <v>0.0</v>
      </c>
      <c r="O354" s="109">
        <f t="shared" si="576"/>
        <v>0.0</v>
      </c>
      <c r="P354" s="109">
        <f t="shared" si="576"/>
        <v>0.0</v>
      </c>
      <c r="Q354" s="109">
        <f t="shared" si="576"/>
        <v>0.0</v>
      </c>
      <c r="R354" s="109">
        <f t="shared" si="576"/>
        <v>0.0</v>
      </c>
      <c r="S354" s="109">
        <f t="shared" si="576"/>
        <v>0.0</v>
      </c>
      <c r="T354" s="109">
        <f t="shared" si="576"/>
        <v>0.0</v>
      </c>
      <c r="U354" s="109">
        <f t="shared" si="576"/>
        <v>0.0</v>
      </c>
      <c r="V354" s="109">
        <f t="shared" si="576"/>
        <v>0.0</v>
      </c>
      <c r="W354" s="201" t="str">
        <f>IF(X$5=K$5,SUM(Y354:AI354)-SUM(L354:V354),"")</f>
        <v/>
      </c>
      <c r="X354" s="9" t="str">
        <f>LOWER(CtryCode)&amp;".distn."&amp;$A354&amp;IF($B354="","","."&amp;$B354)&amp;IF($C354="","",".dec."&amp;$C354)&amp;"."&amp;X$5</f>
        <v>egy.distn.pitte.dec.ove.2</v>
      </c>
      <c r="Z354" s="109">
        <f t="shared" ref="Z354:AI354" si="577">IF(Z$1&lt;=Z$29,MIN(Z347,MAX(Z$335-Y353,0)/Z322),0)</f>
        <v>111.69137691186025</v>
      </c>
      <c r="AA354" s="109">
        <f t="shared" si="577"/>
        <v>299.05406876537387</v>
      </c>
      <c r="AB354" s="109">
        <f t="shared" si="577"/>
        <v>343.01136478653905</v>
      </c>
      <c r="AC354" s="109">
        <f t="shared" si="577"/>
        <v>537.3485013227503</v>
      </c>
      <c r="AD354" s="109">
        <f t="shared" si="577"/>
        <v>0.0</v>
      </c>
      <c r="AE354" s="109">
        <f t="shared" si="577"/>
        <v>0.0</v>
      </c>
      <c r="AF354" s="109">
        <f t="shared" si="577"/>
        <v>0.0</v>
      </c>
      <c r="AG354" s="109">
        <f t="shared" si="577"/>
        <v>0.0</v>
      </c>
      <c r="AH354" s="109">
        <f t="shared" si="577"/>
        <v>0.0</v>
      </c>
      <c r="AI354" s="109">
        <f t="shared" si="577"/>
        <v>0.0</v>
      </c>
    </row>
    <row r="355" hidden="1" outlineLevel="1">
      <c r="A355" s="44" t="inlineStr">
        <is>
          <t>pit</t>
        </is>
      </c>
      <c r="B355" s="3" t="inlineStr"/>
      <c r="C355" s="3" t="inlineStr">
        <is>
          <t>ove</t>
        </is>
      </c>
      <c r="D355" s="3" t="n"/>
      <c r="E355" s="3" t="n"/>
      <c r="H355" s="3" t="inlineStr">
        <is>
          <t>PIT reduction per capita, chosen method</t>
        </is>
      </c>
      <c r="I355" s="3" t="inlineStr">
        <is>
          <t>LCU</t>
        </is>
      </c>
      <c r="J355" s="118" t="inlineStr">
        <is>
          <t>legacy row 2763</t>
        </is>
      </c>
      <c r="K355" s="9" t="str">
        <f>LOWER(CtryCode)&amp;".distn."&amp;$A355&amp;IF($B355="","","."&amp;$B355)&amp;IF($C355="","",".dec."&amp;$C355)&amp;"."&amp;K$5</f>
        <v>egy.distn.pit.dec.ove.1</v>
      </c>
      <c r="M355" s="109">
        <f t="shared" ref="M355:V355" si="578">IF(M$28="Personal Allowance",M351,IF(M$28="Proportional Compensation",M352,M354))</f>
        <v>0.0</v>
      </c>
      <c r="N355" s="109">
        <f t="shared" si="578"/>
        <v>0.0</v>
      </c>
      <c r="O355" s="109">
        <f t="shared" si="578"/>
        <v>0.0</v>
      </c>
      <c r="P355" s="109">
        <f t="shared" si="578"/>
        <v>0.0</v>
      </c>
      <c r="Q355" s="109">
        <f t="shared" si="578"/>
        <v>0.0</v>
      </c>
      <c r="R355" s="109">
        <f t="shared" si="578"/>
        <v>0.0</v>
      </c>
      <c r="S355" s="109">
        <f t="shared" si="578"/>
        <v>0.0</v>
      </c>
      <c r="T355" s="109">
        <f t="shared" si="578"/>
        <v>0.0</v>
      </c>
      <c r="U355" s="109">
        <f t="shared" si="578"/>
        <v>0.0</v>
      </c>
      <c r="V355" s="109">
        <f t="shared" si="578"/>
        <v>0.0</v>
      </c>
      <c r="W355" s="201" t="str">
        <f>IF(X$5=K$5,SUM(Y355:AI355)-SUM(L355:V355),"")</f>
        <v/>
      </c>
      <c r="X355" s="9" t="str">
        <f>LOWER(CtryCode)&amp;".distn."&amp;$A355&amp;IF($B355="","","."&amp;$B355)&amp;IF($C355="","",".dec."&amp;$C355)&amp;"."&amp;X$5</f>
        <v>egy.distn.pit.dec.ove.2</v>
      </c>
      <c r="Z355" s="69">
        <f t="shared" ref="Z355:AI355" si="579">DPITPICK(Z$28,Z351,Z352,Z354)</f>
        <v>119.07408443264514</v>
      </c>
      <c r="AA355" s="69">
        <f t="shared" si="579"/>
        <v>195.66175495892045</v>
      </c>
      <c r="AB355" s="69">
        <f t="shared" si="579"/>
        <v>195.66175495892045</v>
      </c>
      <c r="AC355" s="69">
        <f t="shared" si="579"/>
        <v>195.66175495892045</v>
      </c>
      <c r="AD355" s="69">
        <f t="shared" si="579"/>
        <v>195.66175495892045</v>
      </c>
      <c r="AE355" s="69">
        <f t="shared" si="579"/>
        <v>195.66175495892045</v>
      </c>
      <c r="AF355" s="69">
        <f t="shared" si="579"/>
        <v>195.66175495892045</v>
      </c>
      <c r="AG355" s="69">
        <f t="shared" si="579"/>
        <v>195.66175495892045</v>
      </c>
      <c r="AH355" s="69">
        <f t="shared" si="579"/>
        <v>195.66175495892045</v>
      </c>
      <c r="AI355" s="69">
        <f t="shared" si="579"/>
        <v>195.66175495892045</v>
      </c>
    </row>
    <row r="356" hidden="1" outlineLevel="1"/>
    <row r="357" hidden="1" outlineLevel="1">
      <c r="B357" s="31" t="inlineStr">
        <is>
          <t>Targeted cash transfer (bottom percentile, coverage, leakage)</t>
        </is>
      </c>
    </row>
    <row r="358" hidden="1" outlineLevel="1">
      <c r="A358" s="44" t="inlineStr">
        <is>
          <t>popsh</t>
        </is>
      </c>
      <c r="B358" s="3" t="inlineStr"/>
      <c r="C358" s="3" t="inlineStr">
        <is>
          <t>ove</t>
        </is>
      </c>
      <c r="D358" s="3" t="n"/>
      <c r="E358" s="3" t="n"/>
      <c r="H358" s="3" t="inlineStr">
        <is>
          <t>Population share</t>
        </is>
      </c>
      <c r="I358" s="3" t="inlineStr">
        <is>
          <t>fraction</t>
        </is>
      </c>
      <c r="J358" s="118" t="inlineStr">
        <is>
          <t>legacy row 2560</t>
        </is>
      </c>
      <c r="K358" s="9" t="str">
        <f>LOWER(CtryCode)&amp;".distn."&amp;$A358&amp;IF($B358="","","."&amp;$B358)&amp;IF($C358="","",".dec."&amp;$C358)&amp;"."&amp;K$5</f>
        <v>egy.distn.popsh.dec.ove.1</v>
      </c>
      <c r="M358" s="196">
        <f t="shared" ref="M358:V358" si="580">M322/M$339</f>
        <v>0.09639550948676612</v>
      </c>
      <c r="N358" s="196">
        <f t="shared" si="580"/>
        <v>0.0947124569838425</v>
      </c>
      <c r="O358" s="196">
        <f t="shared" si="580"/>
        <v>0.10768590045460125</v>
      </c>
      <c r="P358" s="196">
        <f t="shared" si="580"/>
        <v>0.09686779846177625</v>
      </c>
      <c r="Q358" s="196">
        <f t="shared" si="580"/>
        <v>0.09882246186926344</v>
      </c>
      <c r="R358" s="196">
        <f t="shared" si="580"/>
        <v>0.1085283964842699</v>
      </c>
      <c r="S358" s="196">
        <f t="shared" si="580"/>
        <v>0.10092152042076195</v>
      </c>
      <c r="T358" s="196">
        <f t="shared" si="580"/>
        <v>0.10556879788472065</v>
      </c>
      <c r="U358" s="196">
        <f t="shared" si="580"/>
        <v>0.09693962545827414</v>
      </c>
      <c r="V358" s="196">
        <f t="shared" si="580"/>
        <v>0.09355753249572385</v>
      </c>
      <c r="W358" s="201" t="str">
        <f>IF(X$5=K$5,SUM(Y358:AI358)-SUM(L358:V358),"")</f>
        <v/>
      </c>
      <c r="X358" s="9" t="str">
        <f>LOWER(CtryCode)&amp;".distn."&amp;$A358&amp;IF($B358="","","."&amp;$B358)&amp;IF($C358="","",".dec."&amp;$C358)&amp;"."&amp;X$5</f>
        <v>egy.distn.popsh.dec.ove.2</v>
      </c>
      <c r="Z358" s="196">
        <f t="shared" ref="Z358:AI358" si="581">Z322/Z$339</f>
        <v>0.09639550948676612</v>
      </c>
      <c r="AA358" s="196">
        <f t="shared" si="581"/>
        <v>0.0947124569838425</v>
      </c>
      <c r="AB358" s="196">
        <f t="shared" si="581"/>
        <v>0.10768590045460125</v>
      </c>
      <c r="AC358" s="196">
        <f t="shared" si="581"/>
        <v>0.09686779846177625</v>
      </c>
      <c r="AD358" s="196">
        <f t="shared" si="581"/>
        <v>0.09882246186926344</v>
      </c>
      <c r="AE358" s="196">
        <f t="shared" si="581"/>
        <v>0.1085283964842699</v>
      </c>
      <c r="AF358" s="196">
        <f t="shared" si="581"/>
        <v>0.10092152042076195</v>
      </c>
      <c r="AG358" s="196">
        <f t="shared" si="581"/>
        <v>0.10556879788472065</v>
      </c>
      <c r="AH358" s="196">
        <f t="shared" si="581"/>
        <v>0.09693962545827414</v>
      </c>
      <c r="AI358" s="196">
        <f t="shared" si="581"/>
        <v>0.09355753249572385</v>
      </c>
    </row>
    <row r="359" hidden="1" outlineLevel="1">
      <c r="A359" s="44" t="inlineStr">
        <is>
          <t>popcum</t>
        </is>
      </c>
      <c r="B359" s="3" t="inlineStr"/>
      <c r="C359" s="3" t="inlineStr">
        <is>
          <t>ove</t>
        </is>
      </c>
      <c r="D359" s="3" t="n"/>
      <c r="E359" s="3" t="n"/>
      <c r="H359" s="3" t="inlineStr">
        <is>
          <t>Cumulative population share</t>
        </is>
      </c>
      <c r="I359" s="3" t="inlineStr">
        <is>
          <t>fraction</t>
        </is>
      </c>
      <c r="J359" s="118" t="inlineStr">
        <is>
          <t>legacy row 2561</t>
        </is>
      </c>
      <c r="K359" s="9" t="str">
        <f>LOWER(CtryCode)&amp;".distn."&amp;$A359&amp;IF($B359="","","."&amp;$B359)&amp;IF($C359="","",".dec."&amp;$C359)&amp;"."&amp;K$5</f>
        <v>egy.distn.popcum.dec.ove.1</v>
      </c>
      <c r="M359" s="196">
        <f t="shared" ref="M359:V359" si="582">L359+M358</f>
        <v>0.09639550948676612</v>
      </c>
      <c r="N359" s="196">
        <f t="shared" si="582"/>
        <v>0.19110796647060863</v>
      </c>
      <c r="O359" s="196">
        <f t="shared" si="582"/>
        <v>0.29879386692520987</v>
      </c>
      <c r="P359" s="196">
        <f t="shared" si="582"/>
        <v>0.3956616653869861</v>
      </c>
      <c r="Q359" s="196">
        <f t="shared" si="582"/>
        <v>0.4944841272562496</v>
      </c>
      <c r="R359" s="196">
        <f t="shared" si="582"/>
        <v>0.6030125237405195</v>
      </c>
      <c r="S359" s="196">
        <f t="shared" si="582"/>
        <v>0.7039340441612815</v>
      </c>
      <c r="T359" s="196">
        <f t="shared" si="582"/>
        <v>0.8095028420460021</v>
      </c>
      <c r="U359" s="196">
        <f t="shared" si="582"/>
        <v>0.9064424675042763</v>
      </c>
      <c r="V359" s="196">
        <f t="shared" si="582"/>
        <v>1.0</v>
      </c>
      <c r="W359" s="201" t="str">
        <f>IF(X$5=K$5,SUM(Y359:AI359)-SUM(L359:V359),"")</f>
        <v/>
      </c>
      <c r="X359" s="9" t="str">
        <f>LOWER(CtryCode)&amp;".distn."&amp;$A359&amp;IF($B359="","","."&amp;$B359)&amp;IF($C359="","",".dec."&amp;$C359)&amp;"."&amp;X$5</f>
        <v>egy.distn.popcum.dec.ove.2</v>
      </c>
      <c r="Z359" s="196">
        <f t="shared" ref="Z359:AI359" si="583">Y359+Z358</f>
        <v>0.09639550948676612</v>
      </c>
      <c r="AA359" s="196">
        <f t="shared" si="583"/>
        <v>0.19110796647060863</v>
      </c>
      <c r="AB359" s="196">
        <f t="shared" si="583"/>
        <v>0.29879386692520987</v>
      </c>
      <c r="AC359" s="196">
        <f t="shared" si="583"/>
        <v>0.3956616653869861</v>
      </c>
      <c r="AD359" s="196">
        <f t="shared" si="583"/>
        <v>0.4944841272562496</v>
      </c>
      <c r="AE359" s="196">
        <f t="shared" si="583"/>
        <v>0.6030125237405195</v>
      </c>
      <c r="AF359" s="196">
        <f t="shared" si="583"/>
        <v>0.7039340441612815</v>
      </c>
      <c r="AG359" s="196">
        <f t="shared" si="583"/>
        <v>0.8095028420460021</v>
      </c>
      <c r="AH359" s="196">
        <f t="shared" si="583"/>
        <v>0.9064424675042763</v>
      </c>
      <c r="AI359" s="196">
        <f t="shared" si="583"/>
        <v>1.0</v>
      </c>
    </row>
    <row r="360" hidden="1" outlineLevel="1">
      <c r="A360" s="44" t="inlineStr">
        <is>
          <t>tgtsh</t>
        </is>
      </c>
      <c r="B360" s="3" t="inlineStr"/>
      <c r="C360" s="3" t="inlineStr">
        <is>
          <t>ove</t>
        </is>
      </c>
      <c r="D360" s="3" t="n"/>
      <c r="E360" s="3" t="n"/>
      <c r="H360" s="3" t="inlineStr">
        <is>
          <t>Targeted share (inside the bottom percentile)</t>
        </is>
      </c>
      <c r="I360" s="3" t="inlineStr">
        <is>
          <t>fraction</t>
        </is>
      </c>
      <c r="J360" s="118" t="inlineStr">
        <is>
          <t>legacy row 2562 (cap: the decile share)</t>
        </is>
      </c>
      <c r="K360" s="9" t="str">
        <f>LOWER(CtryCode)&amp;".distn."&amp;$A360&amp;IF($B360="","","."&amp;$B360)&amp;IF($C360="","",".dec."&amp;$C360)&amp;"."&amp;K$5</f>
        <v>egy.distn.tgtsh.dec.ove.1</v>
      </c>
      <c r="M360" s="196">
        <f t="shared" ref="M360:V360" si="584">MAX(0,MIN(M358,M$33/PctPerUnit-M359+M358))</f>
        <v>0.09639550948676612</v>
      </c>
      <c r="N360" s="196">
        <f t="shared" si="584"/>
        <v>0.0947124569838425</v>
      </c>
      <c r="O360" s="196">
        <f t="shared" si="584"/>
        <v>0.10768590045460125</v>
      </c>
      <c r="P360" s="196">
        <f t="shared" si="584"/>
        <v>0.09686779846177625</v>
      </c>
      <c r="Q360" s="196">
        <f t="shared" si="584"/>
        <v>0.004338334613013889</v>
      </c>
      <c r="R360" s="196">
        <f t="shared" si="584"/>
        <v>0.0</v>
      </c>
      <c r="S360" s="196">
        <f t="shared" si="584"/>
        <v>0.0</v>
      </c>
      <c r="T360" s="196">
        <f t="shared" si="584"/>
        <v>0.0</v>
      </c>
      <c r="U360" s="196">
        <f t="shared" si="584"/>
        <v>0.0</v>
      </c>
      <c r="V360" s="196">
        <f t="shared" si="584"/>
        <v>0.0</v>
      </c>
      <c r="W360" s="201" t="str">
        <f>IF(X$5=K$5,SUM(Y360:AI360)-SUM(L360:V360),"")</f>
        <v/>
      </c>
      <c r="X360" s="9" t="str">
        <f>LOWER(CtryCode)&amp;".distn."&amp;$A360&amp;IF($B360="","","."&amp;$B360)&amp;IF($C360="","",".dec."&amp;$C360)&amp;"."&amp;X$5</f>
        <v>egy.distn.tgtsh.dec.ove.2</v>
      </c>
      <c r="Z360" s="203">
        <f t="shared" ref="Z360:AI360" si="585">DTARGET(Z358,Z359,Z$33/PctPerUnit)</f>
        <v>0.09639550948676612</v>
      </c>
      <c r="AA360" s="203">
        <f t="shared" si="585"/>
        <v>0.0947124569838425</v>
      </c>
      <c r="AB360" s="203">
        <f t="shared" si="585"/>
        <v>0.10768590045460125</v>
      </c>
      <c r="AC360" s="203">
        <f t="shared" si="585"/>
        <v>0.09686779846177625</v>
      </c>
      <c r="AD360" s="203">
        <f t="shared" si="585"/>
        <v>0.004338334613013889</v>
      </c>
      <c r="AE360" s="203">
        <f t="shared" si="585"/>
        <v>0.0</v>
      </c>
      <c r="AF360" s="203">
        <f t="shared" si="585"/>
        <v>0.0</v>
      </c>
      <c r="AG360" s="203">
        <f t="shared" si="585"/>
        <v>0.0</v>
      </c>
      <c r="AH360" s="203">
        <f t="shared" si="585"/>
        <v>0.0</v>
      </c>
      <c r="AI360" s="203">
        <f t="shared" si="585"/>
        <v>0.0</v>
      </c>
    </row>
    <row r="361" hidden="1" outlineLevel="1">
      <c r="A361" s="44" t="inlineStr">
        <is>
          <t>recv</t>
        </is>
      </c>
      <c r="B361" s="3" t="inlineStr"/>
      <c r="C361" s="3" t="inlineStr">
        <is>
          <t>ove</t>
        </is>
      </c>
      <c r="D361" s="3" t="n"/>
      <c r="E361" s="3" t="n"/>
      <c r="H361" s="3" t="inlineStr">
        <is>
          <t>Share of the decile receiving the transfer</t>
        </is>
      </c>
      <c r="I361" s="3" t="inlineStr">
        <is>
          <t>fraction</t>
        </is>
      </c>
      <c r="J361" s="118" t="inlineStr">
        <is>
          <t>legacy row 2568</t>
        </is>
      </c>
      <c r="K361" s="9" t="str">
        <f>LOWER(CtryCode)&amp;".distn."&amp;$A361&amp;IF($B361="","","."&amp;$B361)&amp;IF($C361="","",".dec."&amp;$C361)&amp;"."&amp;K$5</f>
        <v>egy.distn.recv.dec.ove.1</v>
      </c>
      <c r="M361" s="196">
        <f t="shared" ref="M361:V361" si="586">(M360*M$34+(M358-M360)*M$35)/PctPerUnit/M358</f>
        <v>0.9999999999999999</v>
      </c>
      <c r="N361" s="196">
        <f t="shared" si="586"/>
        <v>1.0</v>
      </c>
      <c r="O361" s="196">
        <f t="shared" si="586"/>
        <v>1.0</v>
      </c>
      <c r="P361" s="196">
        <f t="shared" si="586"/>
        <v>1.0</v>
      </c>
      <c r="Q361" s="196">
        <f t="shared" si="586"/>
        <v>0.043900288769908015</v>
      </c>
      <c r="R361" s="196">
        <f t="shared" si="586"/>
        <v>0.0</v>
      </c>
      <c r="S361" s="196">
        <f t="shared" si="586"/>
        <v>0.0</v>
      </c>
      <c r="T361" s="196">
        <f t="shared" si="586"/>
        <v>0.0</v>
      </c>
      <c r="U361" s="196">
        <f t="shared" si="586"/>
        <v>0.0</v>
      </c>
      <c r="V361" s="196">
        <f t="shared" si="586"/>
        <v>0.0</v>
      </c>
      <c r="W361" s="201" t="str">
        <f>IF(X$5=K$5,SUM(Y361:AI361)-SUM(L361:V361),"")</f>
        <v/>
      </c>
      <c r="X361" s="9" t="str">
        <f>LOWER(CtryCode)&amp;".distn."&amp;$A361&amp;IF($B361="","","."&amp;$B361)&amp;IF($C361="","",".dec."&amp;$C361)&amp;"."&amp;X$5</f>
        <v>egy.distn.recv.dec.ove.2</v>
      </c>
      <c r="Z361" s="196">
        <f t="shared" ref="Z361:AI361" si="587">(Z360*Z$34+(Z358-Z360)*Z$35)/PctPerUnit/Z358</f>
        <v>0.9999999999999999</v>
      </c>
      <c r="AA361" s="196">
        <f t="shared" si="587"/>
        <v>1.0</v>
      </c>
      <c r="AB361" s="196">
        <f t="shared" si="587"/>
        <v>1.0</v>
      </c>
      <c r="AC361" s="196">
        <f t="shared" si="587"/>
        <v>1.0</v>
      </c>
      <c r="AD361" s="196">
        <f t="shared" si="587"/>
        <v>0.043900288769908015</v>
      </c>
      <c r="AE361" s="196">
        <f t="shared" si="587"/>
        <v>0.0</v>
      </c>
      <c r="AF361" s="196">
        <f t="shared" si="587"/>
        <v>0.0</v>
      </c>
      <c r="AG361" s="196">
        <f t="shared" si="587"/>
        <v>0.0</v>
      </c>
      <c r="AH361" s="196">
        <f t="shared" si="587"/>
        <v>0.0</v>
      </c>
      <c r="AI361" s="196">
        <f t="shared" si="587"/>
        <v>0.0</v>
      </c>
    </row>
    <row r="362" hidden="1" outlineLevel="1">
      <c r="A362" s="44" t="inlineStr">
        <is>
          <t>aspq</t>
        </is>
      </c>
      <c r="B362" s="3" t="inlineStr"/>
      <c r="C362" s="3" t="inlineStr">
        <is>
          <t>ove</t>
        </is>
      </c>
      <c r="D362" s="3" t="n"/>
      <c r="E362" s="3" t="n"/>
      <c r="H362" s="3" t="inlineStr">
        <is>
          <t>ASPIRE quintile of the decile</t>
        </is>
      </c>
      <c r="I362" s="3" t="inlineStr">
        <is>
          <t>quintile</t>
        </is>
      </c>
      <c r="J362" s="118" t="inlineStr">
        <is>
          <t>legacy row 2558</t>
        </is>
      </c>
      <c r="K362" s="9" t="str">
        <f>LOWER(CtryCode)&amp;".distn."&amp;$A362&amp;IF($B362="","","."&amp;$B362)&amp;IF($C362="","",".dec."&amp;$C362)&amp;"."&amp;K$5</f>
        <v>egy.distn.aspq.dec.ove.1</v>
      </c>
      <c r="M362" s="39">
        <f t="shared" ref="M362:V362" si="588">ROUNDUP(M$1/DecPerQuint,0)</f>
        <v>1.0</v>
      </c>
      <c r="N362" s="39">
        <f t="shared" si="588"/>
        <v>1.0</v>
      </c>
      <c r="O362" s="39">
        <f t="shared" si="588"/>
        <v>2.0</v>
      </c>
      <c r="P362" s="39">
        <f t="shared" si="588"/>
        <v>2.0</v>
      </c>
      <c r="Q362" s="39">
        <f t="shared" si="588"/>
        <v>3.0</v>
      </c>
      <c r="R362" s="39">
        <f t="shared" si="588"/>
        <v>3.0</v>
      </c>
      <c r="S362" s="39">
        <f t="shared" si="588"/>
        <v>4.0</v>
      </c>
      <c r="T362" s="39">
        <f t="shared" si="588"/>
        <v>4.0</v>
      </c>
      <c r="U362" s="39">
        <f t="shared" si="588"/>
        <v>5.0</v>
      </c>
      <c r="V362" s="39">
        <f t="shared" si="588"/>
        <v>5.0</v>
      </c>
      <c r="W362" s="201" t="str">
        <f>IF(X$5=K$5,SUM(Y362:AI362)-SUM(L362:V362),"")</f>
        <v/>
      </c>
      <c r="X362" s="9" t="str">
        <f>LOWER(CtryCode)&amp;".distn."&amp;$A362&amp;IF($B362="","","."&amp;$B362)&amp;IF($C362="","",".dec."&amp;$C362)&amp;"."&amp;X$5</f>
        <v>egy.distn.aspq.dec.ove.2</v>
      </c>
      <c r="Z362" s="39">
        <f t="shared" ref="Z362:AI362" si="589">ROUNDUP(Z$1/DecPerQuint,0)</f>
        <v>1.0</v>
      </c>
      <c r="AA362" s="39">
        <f t="shared" si="589"/>
        <v>1.0</v>
      </c>
      <c r="AB362" s="39">
        <f t="shared" si="589"/>
        <v>2.0</v>
      </c>
      <c r="AC362" s="39">
        <f t="shared" si="589"/>
        <v>2.0</v>
      </c>
      <c r="AD362" s="39">
        <f t="shared" si="589"/>
        <v>3.0</v>
      </c>
      <c r="AE362" s="39">
        <f t="shared" si="589"/>
        <v>3.0</v>
      </c>
      <c r="AF362" s="39">
        <f t="shared" si="589"/>
        <v>4.0</v>
      </c>
      <c r="AG362" s="39">
        <f t="shared" si="589"/>
        <v>4.0</v>
      </c>
      <c r="AH362" s="39">
        <f t="shared" si="589"/>
        <v>5.0</v>
      </c>
      <c r="AI362" s="39">
        <f t="shared" si="589"/>
        <v>5.0</v>
      </c>
    </row>
    <row r="363" hidden="1" outlineLevel="1">
      <c r="A363" s="44" t="inlineStr">
        <is>
          <t>aspt</t>
        </is>
      </c>
      <c r="B363" s="3" t="inlineStr"/>
      <c r="C363" s="3" t="inlineStr">
        <is>
          <t>ove</t>
        </is>
      </c>
      <c r="D363" s="3" t="n"/>
      <c r="E363" s="3" t="n"/>
      <c r="H363" s="3" t="inlineStr">
        <is>
          <t>ASPIRE benefit per capita of the transfer program (quintile of the decile)</t>
        </is>
      </c>
      <c r="I363" s="3" t="inlineStr">
        <is>
          <t>PPP USD/day</t>
        </is>
      </c>
      <c r="J363" s="118" t="inlineStr">
        <is>
          <t>ASPIRE (legacy row 2617; v0.6.0)</t>
        </is>
      </c>
      <c r="K363" s="9" t="str">
        <f>LOWER(CtryCode)&amp;".distn."&amp;$A363&amp;IF($B363="","","."&amp;$B363)&amp;IF($C363="","",".dec."&amp;$C363)&amp;"."&amp;K$5</f>
        <v>egy.distn.aspt.dec.ove.1</v>
      </c>
      <c r="M363" s="196">
        <f t="shared" ref="M363:V363" si="590">IFERROR(INDEX(DAspVal,MATCH(CtryCode&amp;"."&amp;M$45&amp;M362&amp;"_preT_tot",DAspKey,0)),0)</f>
        <v>0.0</v>
      </c>
      <c r="N363" s="196">
        <f t="shared" si="590"/>
        <v>0.0</v>
      </c>
      <c r="O363" s="196">
        <f t="shared" si="590"/>
        <v>0.0</v>
      </c>
      <c r="P363" s="196">
        <f t="shared" si="590"/>
        <v>0.0</v>
      </c>
      <c r="Q363" s="196">
        <f t="shared" si="590"/>
        <v>0.0</v>
      </c>
      <c r="R363" s="196">
        <f t="shared" si="590"/>
        <v>0.0</v>
      </c>
      <c r="S363" s="196">
        <f t="shared" si="590"/>
        <v>0.0</v>
      </c>
      <c r="T363" s="196">
        <f t="shared" si="590"/>
        <v>0.0</v>
      </c>
      <c r="U363" s="196">
        <f t="shared" si="590"/>
        <v>0.0</v>
      </c>
      <c r="V363" s="196">
        <f t="shared" si="590"/>
        <v>0.0</v>
      </c>
      <c r="W363" s="201" t="str">
        <f>IF(X$5=K$5,SUM(Y363:AI363)-SUM(L363:V363),"")</f>
        <v/>
      </c>
      <c r="X363" s="9" t="str">
        <f>LOWER(CtryCode)&amp;".distn."&amp;$A363&amp;IF($B363="","","."&amp;$B363)&amp;IF($C363="","",".dec."&amp;$C363)&amp;"."&amp;X$5</f>
        <v>egy.distn.aspt.dec.ove.2</v>
      </c>
      <c r="Z363" s="196">
        <f t="shared" ref="Z363:AI363" si="591">IFERROR(INDEX(DAspVal,MATCH(CtryCode&amp;"."&amp;Z$45&amp;Z362&amp;"_preT_tot",DAspKey,0)),0)</f>
        <v>0.0</v>
      </c>
      <c r="AA363" s="196">
        <f t="shared" si="591"/>
        <v>0.0</v>
      </c>
      <c r="AB363" s="196">
        <f t="shared" si="591"/>
        <v>0.0</v>
      </c>
      <c r="AC363" s="196">
        <f t="shared" si="591"/>
        <v>0.0</v>
      </c>
      <c r="AD363" s="196">
        <f t="shared" si="591"/>
        <v>0.0</v>
      </c>
      <c r="AE363" s="196">
        <f t="shared" si="591"/>
        <v>0.0</v>
      </c>
      <c r="AF363" s="196">
        <f t="shared" si="591"/>
        <v>0.0</v>
      </c>
      <c r="AG363" s="196">
        <f t="shared" si="591"/>
        <v>0.0</v>
      </c>
      <c r="AH363" s="196">
        <f t="shared" si="591"/>
        <v>0.0</v>
      </c>
      <c r="AI363" s="196">
        <f t="shared" si="591"/>
        <v>0.0</v>
      </c>
    </row>
    <row r="364" hidden="1" outlineLevel="1">
      <c r="A364" s="44" t="inlineStr">
        <is>
          <t>plraw</t>
        </is>
      </c>
      <c r="B364" s="3" t="inlineStr"/>
      <c r="C364" s="3" t="inlineStr">
        <is>
          <t>ove</t>
        </is>
      </c>
      <c r="D364" s="3" t="n"/>
      <c r="E364" s="3" t="inlineStr">
        <is>
          <t>ove.mean</t>
        </is>
      </c>
      <c r="H364" s="3" t="inlineStr">
        <is>
          <t>Poverty line: HHSurvey value of the decile (overall, mean)</t>
        </is>
      </c>
      <c r="I364" s="3" t="inlineStr">
        <is>
          <t>% / 10</t>
        </is>
      </c>
      <c r="J364" s="118" t="inlineStr">
        <is>
          <t>HHSurvey pct_belowpl_* (legacy row 2649; mean as legacy)</t>
        </is>
      </c>
      <c r="K364" s="9" t="str">
        <f>LOWER(CtryCode)&amp;".distn."&amp;$A364&amp;IF($B364="","","."&amp;$B364)&amp;IF($C364="","",".dec."&amp;$C364)&amp;"."&amp;K$5</f>
        <v>egy.distn.plraw.dec.ove.1</v>
      </c>
      <c r="M364" s="196">
        <f t="shared" ref="M364:V364" si="592">INDEX(DHHVal,MATCH(CtryCode&amp;".distn.bsh."&amp;M$10&amp;$E364&amp;M$11,DHHKey,0),MATCH(M$47,DHHVar,0))</f>
        <v>10019634.4156528</v>
      </c>
      <c r="N364" s="196">
        <f t="shared" si="592"/>
        <v>9844692.959651062</v>
      </c>
      <c r="O364" s="196">
        <f t="shared" si="592"/>
        <v>11193191.0523655</v>
      </c>
      <c r="P364" s="196">
        <f t="shared" si="592"/>
        <v>10068725.52885237</v>
      </c>
      <c r="Q364" s="196">
        <f t="shared" si="592"/>
        <v>10271899.02576059</v>
      </c>
      <c r="R364" s="196">
        <f t="shared" si="592"/>
        <v>11280762.58198201</v>
      </c>
      <c r="S364" s="196">
        <f t="shared" si="592"/>
        <v>10490081.38109066</v>
      </c>
      <c r="T364" s="196">
        <f t="shared" si="592"/>
        <v>10973133.14838653</v>
      </c>
      <c r="U364" s="196">
        <f t="shared" si="592"/>
        <v>10076191.43934877</v>
      </c>
      <c r="V364" s="196">
        <f t="shared" si="592"/>
        <v>9724646.691829609</v>
      </c>
      <c r="W364" s="201" t="str">
        <f>IF(X$5=K$5,SUM(Y364:AI364)-SUM(L364:V364),"")</f>
        <v/>
      </c>
      <c r="X364" s="9" t="str">
        <f>LOWER(CtryCode)&amp;".distn."&amp;$A364&amp;IF($B364="","","."&amp;$B364)&amp;IF($C364="","",".dec."&amp;$C364)&amp;"."&amp;X$5</f>
        <v>egy.distn.plraw.dec.ove.2</v>
      </c>
      <c r="Z364" s="196">
        <f t="shared" ref="Z364:AI364" si="593">INDEX(DHHVal,MATCH(CtryCode&amp;".distn.bsh."&amp;Z$10&amp;$E364&amp;Z$11,DHHKey,0),MATCH(Z$47,DHHVar,0))</f>
        <v>10019634.4156528</v>
      </c>
      <c r="AA364" s="196">
        <f t="shared" si="593"/>
        <v>9844692.959651062</v>
      </c>
      <c r="AB364" s="196">
        <f t="shared" si="593"/>
        <v>11193191.0523655</v>
      </c>
      <c r="AC364" s="196">
        <f t="shared" si="593"/>
        <v>10068725.52885237</v>
      </c>
      <c r="AD364" s="196">
        <f t="shared" si="593"/>
        <v>10271899.02576059</v>
      </c>
      <c r="AE364" s="196">
        <f t="shared" si="593"/>
        <v>11280762.58198201</v>
      </c>
      <c r="AF364" s="196">
        <f t="shared" si="593"/>
        <v>10490081.38109066</v>
      </c>
      <c r="AG364" s="196">
        <f t="shared" si="593"/>
        <v>10973133.14838653</v>
      </c>
      <c r="AH364" s="196">
        <f t="shared" si="593"/>
        <v>10076191.43934877</v>
      </c>
      <c r="AI364" s="196">
        <f t="shared" si="593"/>
        <v>9724646.691829609</v>
      </c>
    </row>
    <row r="365" hidden="1" outlineLevel="1">
      <c r="A365" s="44" t="inlineStr">
        <is>
          <t>plsh</t>
        </is>
      </c>
      <c r="B365" s="3" t="inlineStr"/>
      <c r="C365" s="3" t="inlineStr">
        <is>
          <t>ove</t>
        </is>
      </c>
      <c r="D365" s="3" t="n"/>
      <c r="E365" s="3" t="n"/>
      <c r="H365" s="3" t="inlineStr">
        <is>
          <t>Share of the decile below the poverty line (1 unless PL)</t>
        </is>
      </c>
      <c r="I365" s="3" t="inlineStr">
        <is>
          <t>fraction</t>
        </is>
      </c>
      <c r="J365" s="118" t="inlineStr">
        <is>
          <t>legacy row 2649 (x 10, at most 100%)</t>
        </is>
      </c>
      <c r="K365" s="9" t="str">
        <f>LOWER(CtryCode)&amp;".distn."&amp;$A365&amp;IF($B365="","","."&amp;$B365)&amp;IF($C365="","",".dec."&amp;$C365)&amp;"."&amp;K$5</f>
        <v>egy.distn.plsh.dec.ove.1</v>
      </c>
      <c r="M365" s="196">
        <f t="shared" ref="M365:V365" si="594">IF(M$48="PL",MIN(PlDecScale*N(M364),PctPerUnit)/PctPerUnit,1)</f>
        <v>1.0</v>
      </c>
      <c r="N365" s="196">
        <f t="shared" si="594"/>
        <v>1.0</v>
      </c>
      <c r="O365" s="196">
        <f t="shared" si="594"/>
        <v>1.0</v>
      </c>
      <c r="P365" s="196">
        <f t="shared" si="594"/>
        <v>1.0</v>
      </c>
      <c r="Q365" s="196">
        <f t="shared" si="594"/>
        <v>1.0</v>
      </c>
      <c r="R365" s="196">
        <f t="shared" si="594"/>
        <v>1.0</v>
      </c>
      <c r="S365" s="196">
        <f t="shared" si="594"/>
        <v>1.0</v>
      </c>
      <c r="T365" s="196">
        <f t="shared" si="594"/>
        <v>1.0</v>
      </c>
      <c r="U365" s="196">
        <f t="shared" si="594"/>
        <v>1.0</v>
      </c>
      <c r="V365" s="196">
        <f t="shared" si="594"/>
        <v>1.0</v>
      </c>
      <c r="W365" s="201" t="str">
        <f>IF(X$5=K$5,SUM(Y365:AI365)-SUM(L365:V365),"")</f>
        <v/>
      </c>
      <c r="X365" s="9" t="str">
        <f>LOWER(CtryCode)&amp;".distn."&amp;$A365&amp;IF($B365="","","."&amp;$B365)&amp;IF($C365="","",".dec."&amp;$C365)&amp;"."&amp;X$5</f>
        <v>egy.distn.plsh.dec.ove.2</v>
      </c>
      <c r="Z365" s="196">
        <f t="shared" ref="Z365:AI365" si="595">IF(Z$48="PL",MIN(PlDecScale*N(Z364),PctPerUnit)/PctPerUnit,1)</f>
        <v>1.0</v>
      </c>
      <c r="AA365" s="196">
        <f t="shared" si="595"/>
        <v>1.0</v>
      </c>
      <c r="AB365" s="196">
        <f t="shared" si="595"/>
        <v>1.0</v>
      </c>
      <c r="AC365" s="196">
        <f t="shared" si="595"/>
        <v>1.0</v>
      </c>
      <c r="AD365" s="196">
        <f t="shared" si="595"/>
        <v>1.0</v>
      </c>
      <c r="AE365" s="196">
        <f t="shared" si="595"/>
        <v>1.0</v>
      </c>
      <c r="AF365" s="196">
        <f t="shared" si="595"/>
        <v>1.0</v>
      </c>
      <c r="AG365" s="196">
        <f t="shared" si="595"/>
        <v>1.0</v>
      </c>
      <c r="AH365" s="196">
        <f t="shared" si="595"/>
        <v>1.0</v>
      </c>
      <c r="AI365" s="196">
        <f t="shared" si="595"/>
        <v>1.0</v>
      </c>
    </row>
    <row r="366" hidden="1" outlineLevel="1">
      <c r="A366" s="44" t="inlineStr">
        <is>
          <t>tgtw</t>
        </is>
      </c>
      <c r="B366" s="3" t="inlineStr"/>
      <c r="C366" s="3" t="inlineStr">
        <is>
          <t>ove</t>
        </is>
      </c>
      <c r="D366" s="3" t="n"/>
      <c r="E366" s="3" t="n"/>
      <c r="H366" s="3" t="inlineStr">
        <is>
          <t>Weight of the decile in the transfer: 1 (cash), share below the line (PL) or ASPIRE benefit (ASPIRE)</t>
        </is>
      </c>
      <c r="I366" s="3" t="inlineStr">
        <is>
          <t>weight</t>
        </is>
      </c>
      <c r="J366" s="118" t="inlineStr">
        <is>
          <t>legacy rows 2617-2629, 2649-2674 (v0.6.0, fixes D10, D14, D15)</t>
        </is>
      </c>
      <c r="K366" s="9" t="str">
        <f>LOWER(CtryCode)&amp;".distn."&amp;$A366&amp;IF($B366="","","."&amp;$B366)&amp;IF($C366="","",".dec."&amp;$C366)&amp;"."&amp;K$5</f>
        <v>egy.distn.tgtw.dec.ove.1</v>
      </c>
      <c r="M366" s="196">
        <f t="shared" ref="M366:V366" si="596">IF(M$48="ASPIRE",M363,M365)</f>
        <v>1.0</v>
      </c>
      <c r="N366" s="196">
        <f t="shared" si="596"/>
        <v>1.0</v>
      </c>
      <c r="O366" s="196">
        <f t="shared" si="596"/>
        <v>1.0</v>
      </c>
      <c r="P366" s="196">
        <f t="shared" si="596"/>
        <v>1.0</v>
      </c>
      <c r="Q366" s="196">
        <f t="shared" si="596"/>
        <v>1.0</v>
      </c>
      <c r="R366" s="196">
        <f t="shared" si="596"/>
        <v>1.0</v>
      </c>
      <c r="S366" s="196">
        <f t="shared" si="596"/>
        <v>1.0</v>
      </c>
      <c r="T366" s="196">
        <f t="shared" si="596"/>
        <v>1.0</v>
      </c>
      <c r="U366" s="196">
        <f t="shared" si="596"/>
        <v>1.0</v>
      </c>
      <c r="V366" s="196">
        <f t="shared" si="596"/>
        <v>1.0</v>
      </c>
      <c r="W366" s="201" t="str">
        <f>IF(X$5=K$5,SUM(Y366:AI366)-SUM(L366:V366),"")</f>
        <v/>
      </c>
      <c r="X366" s="9" t="str">
        <f>LOWER(CtryCode)&amp;".distn."&amp;$A366&amp;IF($B366="","","."&amp;$B366)&amp;IF($C366="","",".dec."&amp;$C366)&amp;"."&amp;X$5</f>
        <v>egy.distn.tgtw.dec.ove.2</v>
      </c>
      <c r="Z366" s="196">
        <f t="shared" ref="Z366:AI366" si="597">IF(Z$48="ASPIRE",Z363,Z365)</f>
        <v>1.0</v>
      </c>
      <c r="AA366" s="196">
        <f t="shared" si="597"/>
        <v>1.0</v>
      </c>
      <c r="AB366" s="196">
        <f t="shared" si="597"/>
        <v>1.0</v>
      </c>
      <c r="AC366" s="196">
        <f t="shared" si="597"/>
        <v>1.0</v>
      </c>
      <c r="AD366" s="196">
        <f t="shared" si="597"/>
        <v>1.0</v>
      </c>
      <c r="AE366" s="196">
        <f t="shared" si="597"/>
        <v>1.0</v>
      </c>
      <c r="AF366" s="196">
        <f t="shared" si="597"/>
        <v>1.0</v>
      </c>
      <c r="AG366" s="196">
        <f t="shared" si="597"/>
        <v>1.0</v>
      </c>
      <c r="AH366" s="196">
        <f t="shared" si="597"/>
        <v>1.0</v>
      </c>
      <c r="AI366" s="196">
        <f t="shared" si="597"/>
        <v>1.0</v>
      </c>
    </row>
    <row r="367" hidden="1" outlineLevel="1">
      <c r="A367" s="44" t="inlineStr">
        <is>
          <t>rshare</t>
        </is>
      </c>
      <c r="B367" s="3" t="inlineStr"/>
      <c r="C367" s="3" t="inlineStr">
        <is>
          <t>ove</t>
        </is>
      </c>
      <c r="D367" s="3" t="n"/>
      <c r="E367" s="3" t="n"/>
      <c r="H367" s="3" t="inlineStr">
        <is>
          <t>Share of the decile receiving (receiving x below the line)</t>
        </is>
      </c>
      <c r="I367" s="3" t="inlineStr">
        <is>
          <t>fraction</t>
        </is>
      </c>
      <c r="J367" s="118" t="inlineStr">
        <is>
          <t>legacy row 2679 (fix D14)</t>
        </is>
      </c>
      <c r="K367" s="9" t="str">
        <f>LOWER(CtryCode)&amp;".distn."&amp;$A367&amp;IF($B367="","","."&amp;$B367)&amp;IF($C367="","",".dec."&amp;$C367)&amp;"."&amp;K$5</f>
        <v>egy.distn.rshare.dec.ove.1</v>
      </c>
      <c r="M367" s="196">
        <f t="shared" ref="M367:V367" si="598">M361*M365</f>
        <v>0.9999999999999999</v>
      </c>
      <c r="N367" s="196">
        <f t="shared" si="598"/>
        <v>1.0</v>
      </c>
      <c r="O367" s="196">
        <f t="shared" si="598"/>
        <v>1.0</v>
      </c>
      <c r="P367" s="196">
        <f t="shared" si="598"/>
        <v>1.0</v>
      </c>
      <c r="Q367" s="196">
        <f t="shared" si="598"/>
        <v>0.043900288769908015</v>
      </c>
      <c r="R367" s="196">
        <f t="shared" si="598"/>
        <v>0.0</v>
      </c>
      <c r="S367" s="196">
        <f t="shared" si="598"/>
        <v>0.0</v>
      </c>
      <c r="T367" s="196">
        <f t="shared" si="598"/>
        <v>0.0</v>
      </c>
      <c r="U367" s="196">
        <f t="shared" si="598"/>
        <v>0.0</v>
      </c>
      <c r="V367" s="196">
        <f t="shared" si="598"/>
        <v>0.0</v>
      </c>
      <c r="W367" s="201" t="str">
        <f>IF(X$5=K$5,SUM(Y367:AI367)-SUM(L367:V367),"")</f>
        <v/>
      </c>
      <c r="X367" s="9" t="str">
        <f>LOWER(CtryCode)&amp;".distn."&amp;$A367&amp;IF($B367="","","."&amp;$B367)&amp;IF($C367="","",".dec."&amp;$C367)&amp;"."&amp;X$5</f>
        <v>egy.distn.rshare.dec.ove.2</v>
      </c>
      <c r="Z367" s="196">
        <f t="shared" ref="Z367:AI367" si="599">Z361*Z365</f>
        <v>0.9999999999999999</v>
      </c>
      <c r="AA367" s="196">
        <f t="shared" si="599"/>
        <v>1.0</v>
      </c>
      <c r="AB367" s="196">
        <f t="shared" si="599"/>
        <v>1.0</v>
      </c>
      <c r="AC367" s="196">
        <f t="shared" si="599"/>
        <v>1.0</v>
      </c>
      <c r="AD367" s="196">
        <f t="shared" si="599"/>
        <v>0.043900288769908015</v>
      </c>
      <c r="AE367" s="196">
        <f t="shared" si="599"/>
        <v>0.0</v>
      </c>
      <c r="AF367" s="196">
        <f t="shared" si="599"/>
        <v>0.0</v>
      </c>
      <c r="AG367" s="196">
        <f t="shared" si="599"/>
        <v>0.0</v>
      </c>
      <c r="AH367" s="196">
        <f t="shared" si="599"/>
        <v>0.0</v>
      </c>
      <c r="AI367" s="196">
        <f t="shared" si="599"/>
        <v>0.0</v>
      </c>
    </row>
    <row r="368" hidden="1" outlineLevel="1">
      <c r="A368" s="44" t="inlineStr">
        <is>
          <t>medflag</t>
        </is>
      </c>
      <c r="B368" s="3" t="inlineStr"/>
      <c r="C368" s="3" t="inlineStr">
        <is>
          <t>ove</t>
        </is>
      </c>
      <c r="D368" s="3" t="n"/>
      <c r="E368" s="3" t="n"/>
      <c r="H368" s="3" t="inlineStr">
        <is>
          <t>Median statistic: 1 if more than half of the decile receives, else 0 (mean: 1)</t>
        </is>
      </c>
      <c r="I368" s="3" t="inlineStr">
        <is>
          <t>flag</t>
        </is>
      </c>
      <c r="J368" s="118" t="inlineStr">
        <is>
          <t>legacy row 2685 (targeted transfer only: fixes D12, D13)</t>
        </is>
      </c>
      <c r="K368" s="9" t="str">
        <f>LOWER(CtryCode)&amp;".distn."&amp;$A368&amp;IF($B368="","","."&amp;$B368)&amp;IF($C368="","",".dec."&amp;$C368)&amp;"."&amp;K$5</f>
        <v>egy.distn.medflag.dec.ove.1</v>
      </c>
      <c r="M368" s="39">
        <f t="shared" ref="M368:V368" si="600">IF(AND(M$9="median",M367&lt;=1-M367),0,1)</f>
        <v>1.0</v>
      </c>
      <c r="N368" s="39">
        <f t="shared" si="600"/>
        <v>1.0</v>
      </c>
      <c r="O368" s="39">
        <f t="shared" si="600"/>
        <v>1.0</v>
      </c>
      <c r="P368" s="39">
        <f t="shared" si="600"/>
        <v>1.0</v>
      </c>
      <c r="Q368" s="39">
        <f t="shared" si="600"/>
        <v>1.0</v>
      </c>
      <c r="R368" s="39">
        <f t="shared" si="600"/>
        <v>1.0</v>
      </c>
      <c r="S368" s="39">
        <f t="shared" si="600"/>
        <v>1.0</v>
      </c>
      <c r="T368" s="39">
        <f t="shared" si="600"/>
        <v>1.0</v>
      </c>
      <c r="U368" s="39">
        <f t="shared" si="600"/>
        <v>1.0</v>
      </c>
      <c r="V368" s="39">
        <f t="shared" si="600"/>
        <v>1.0</v>
      </c>
      <c r="W368" s="201" t="str">
        <f>IF(X$5=K$5,SUM(Y368:AI368)-SUM(L368:V368),"")</f>
        <v/>
      </c>
      <c r="X368" s="9" t="str">
        <f>LOWER(CtryCode)&amp;".distn."&amp;$A368&amp;IF($B368="","","."&amp;$B368)&amp;IF($C368="","",".dec."&amp;$C368)&amp;"."&amp;X$5</f>
        <v>egy.distn.medflag.dec.ove.2</v>
      </c>
      <c r="Z368" s="39">
        <f t="shared" ref="Z368:AI368" si="601">IF(AND(Z$9="median",Z367&lt;=1-Z367),0,1)</f>
        <v>1.0</v>
      </c>
      <c r="AA368" s="39">
        <f t="shared" si="601"/>
        <v>1.0</v>
      </c>
      <c r="AB368" s="39">
        <f t="shared" si="601"/>
        <v>1.0</v>
      </c>
      <c r="AC368" s="39">
        <f t="shared" si="601"/>
        <v>1.0</v>
      </c>
      <c r="AD368" s="39">
        <f t="shared" si="601"/>
        <v>1.0</v>
      </c>
      <c r="AE368" s="39">
        <f t="shared" si="601"/>
        <v>1.0</v>
      </c>
      <c r="AF368" s="39">
        <f t="shared" si="601"/>
        <v>1.0</v>
      </c>
      <c r="AG368" s="39">
        <f t="shared" si="601"/>
        <v>1.0</v>
      </c>
      <c r="AH368" s="39">
        <f t="shared" si="601"/>
        <v>1.0</v>
      </c>
      <c r="AI368" s="39">
        <f t="shared" si="601"/>
        <v>1.0</v>
      </c>
    </row>
    <row r="369" hidden="1" outlineLevel="1">
      <c r="A369" s="44" t="inlineStr">
        <is>
          <t>tgtamt</t>
        </is>
      </c>
      <c r="B369" s="3" t="inlineStr"/>
      <c r="C369" s="3" t="inlineStr"/>
      <c r="D369" s="3" t="n"/>
      <c r="E369" s="3" t="n"/>
      <c r="H369" s="3" t="inlineStr">
        <is>
          <t>Transfer per recipient and unit of weight</t>
        </is>
      </c>
      <c r="I369" s="3" t="inlineStr">
        <is>
          <t>LCU</t>
        </is>
      </c>
      <c r="J369" s="118" t="inlineStr">
        <is>
          <t>legacy P2593, P2626, P2666 (v0.6.0: revenue conserved, fix D10)</t>
        </is>
      </c>
      <c r="K369" s="9" t="str">
        <f>LOWER(CtryCode)&amp;".distn."&amp;$A369&amp;IF($B369="","","."&amp;$B369)&amp;IF($C369="","",".dec."&amp;$C369)&amp;"."&amp;K$5</f>
        <v>egy.distn.tgtamt.1</v>
      </c>
      <c r="L369" s="216">
        <f>IFERROR(L$338/SUMPRODUCT(M361:V361,M366:V366,M322:V322),0)</f>
        <v>0.0</v>
      </c>
      <c r="M369" s="217">
        <f t="shared" ref="M369:V369" si="602">L369</f>
        <v>0.0</v>
      </c>
      <c r="N369" s="217">
        <f t="shared" si="602"/>
        <v>0.0</v>
      </c>
      <c r="O369" s="217">
        <f t="shared" si="602"/>
        <v>0.0</v>
      </c>
      <c r="P369" s="217">
        <f t="shared" si="602"/>
        <v>0.0</v>
      </c>
      <c r="Q369" s="217">
        <f t="shared" si="602"/>
        <v>0.0</v>
      </c>
      <c r="R369" s="217">
        <f t="shared" si="602"/>
        <v>0.0</v>
      </c>
      <c r="S369" s="217">
        <f t="shared" si="602"/>
        <v>0.0</v>
      </c>
      <c r="T369" s="217">
        <f t="shared" si="602"/>
        <v>0.0</v>
      </c>
      <c r="U369" s="217">
        <f t="shared" si="602"/>
        <v>0.0</v>
      </c>
      <c r="V369" s="217">
        <f t="shared" si="602"/>
        <v>0.0</v>
      </c>
      <c r="W369" s="201" t="str">
        <f>IF(X$5=K$5,SUM(Y369:AI369)-SUM(L369:V369),"")</f>
        <v/>
      </c>
      <c r="X369" s="9" t="str">
        <f>LOWER(CtryCode)&amp;".distn."&amp;$A369&amp;IF($B369="","","."&amp;$B369)&amp;IF($C369="","",".dec."&amp;$C369)&amp;"."&amp;X$5</f>
        <v>egy.distn.tgtamt.2</v>
      </c>
      <c r="Y369" s="216">
        <f>IFERROR(Y$338/SUMPRODUCT(Z361:AI361,Z366:AI366,Z322:AI322),0)</f>
        <v>313.79841239689273</v>
      </c>
      <c r="Z369" s="217">
        <f t="shared" ref="Z369:AI369" si="603">Y369</f>
        <v>313.79841239689273</v>
      </c>
      <c r="AA369" s="217">
        <f t="shared" si="603"/>
        <v>313.79841239689273</v>
      </c>
      <c r="AB369" s="217">
        <f t="shared" si="603"/>
        <v>313.79841239689273</v>
      </c>
      <c r="AC369" s="217">
        <f t="shared" si="603"/>
        <v>313.79841239689273</v>
      </c>
      <c r="AD369" s="217">
        <f t="shared" si="603"/>
        <v>313.79841239689273</v>
      </c>
      <c r="AE369" s="217">
        <f t="shared" si="603"/>
        <v>313.79841239689273</v>
      </c>
      <c r="AF369" s="217">
        <f t="shared" si="603"/>
        <v>313.79841239689273</v>
      </c>
      <c r="AG369" s="217">
        <f t="shared" si="603"/>
        <v>313.79841239689273</v>
      </c>
      <c r="AH369" s="217">
        <f t="shared" si="603"/>
        <v>313.79841239689273</v>
      </c>
      <c r="AI369" s="217">
        <f t="shared" si="603"/>
        <v>313.79841239689273</v>
      </c>
    </row>
    <row r="370" hidden="1" outlineLevel="1">
      <c r="A370" s="44" t="inlineStr">
        <is>
          <t>tgt</t>
        </is>
      </c>
      <c r="B370" s="3" t="inlineStr"/>
      <c r="C370" s="3" t="inlineStr">
        <is>
          <t>ove</t>
        </is>
      </c>
      <c r="D370" s="3" t="n"/>
      <c r="E370" s="3" t="n"/>
      <c r="H370" s="3" t="inlineStr">
        <is>
          <t>Targeted transfer per capita</t>
        </is>
      </c>
      <c r="I370" s="3" t="inlineStr">
        <is>
          <t>LCU</t>
        </is>
      </c>
      <c r="J370" s="118" t="inlineStr">
        <is>
          <t>legacy rows 2603, 2629, 2672, 2697</t>
        </is>
      </c>
      <c r="K370" s="9" t="str">
        <f>LOWER(CtryCode)&amp;".distn."&amp;$A370&amp;IF($B370="","","."&amp;$B370)&amp;IF($C370="","",".dec."&amp;$C370)&amp;"."&amp;K$5</f>
        <v>egy.distn.tgt.dec.ove.1</v>
      </c>
      <c r="M370" s="109">
        <f t="shared" ref="M370:V370" si="604">M$369*M361*M366*M368</f>
        <v>0.0</v>
      </c>
      <c r="N370" s="109">
        <f t="shared" si="604"/>
        <v>0.0</v>
      </c>
      <c r="O370" s="109">
        <f t="shared" si="604"/>
        <v>0.0</v>
      </c>
      <c r="P370" s="109">
        <f t="shared" si="604"/>
        <v>0.0</v>
      </c>
      <c r="Q370" s="109">
        <f t="shared" si="604"/>
        <v>0.0</v>
      </c>
      <c r="R370" s="109">
        <f t="shared" si="604"/>
        <v>0.0</v>
      </c>
      <c r="S370" s="109">
        <f t="shared" si="604"/>
        <v>0.0</v>
      </c>
      <c r="T370" s="109">
        <f t="shared" si="604"/>
        <v>0.0</v>
      </c>
      <c r="U370" s="109">
        <f t="shared" si="604"/>
        <v>0.0</v>
      </c>
      <c r="V370" s="109">
        <f t="shared" si="604"/>
        <v>0.0</v>
      </c>
      <c r="W370" s="201" t="str">
        <f>IF(X$5=K$5,SUM(Y370:AI370)-SUM(L370:V370),"")</f>
        <v/>
      </c>
      <c r="X370" s="9" t="str">
        <f>LOWER(CtryCode)&amp;".distn."&amp;$A370&amp;IF($B370="","","."&amp;$B370)&amp;IF($C370="","",".dec."&amp;$C370)&amp;"."&amp;X$5</f>
        <v>egy.distn.tgt.dec.ove.2</v>
      </c>
      <c r="Z370" s="109">
        <f t="shared" ref="Z370:AI370" si="605">Z$369*Z361*Z366*Z368</f>
        <v>313.7984123968927</v>
      </c>
      <c r="AA370" s="109">
        <f t="shared" si="605"/>
        <v>313.79841239689273</v>
      </c>
      <c r="AB370" s="109">
        <f t="shared" si="605"/>
        <v>313.79841239689273</v>
      </c>
      <c r="AC370" s="109">
        <f t="shared" si="605"/>
        <v>313.79841239689273</v>
      </c>
      <c r="AD370" s="109">
        <f t="shared" si="605"/>
        <v>13.775840919762274</v>
      </c>
      <c r="AE370" s="109">
        <f t="shared" si="605"/>
        <v>0.0</v>
      </c>
      <c r="AF370" s="109">
        <f t="shared" si="605"/>
        <v>0.0</v>
      </c>
      <c r="AG370" s="109">
        <f t="shared" si="605"/>
        <v>0.0</v>
      </c>
      <c r="AH370" s="109">
        <f t="shared" si="605"/>
        <v>0.0</v>
      </c>
      <c r="AI370" s="109">
        <f t="shared" si="605"/>
        <v>0.0</v>
      </c>
    </row>
    <row r="371" hidden="1" outlineLevel="1"/>
    <row r="372" hidden="1" outlineLevel="1">
      <c r="B372" s="31" t="inlineStr">
        <is>
          <t>Public investment (population without infrastructure access)</t>
        </is>
      </c>
    </row>
    <row r="373" hidden="1" outlineLevel="1">
      <c r="A373" s="44" t="inlineStr">
        <is>
          <t>acs</t>
        </is>
      </c>
      <c r="B373" s="3" t="inlineStr"/>
      <c r="C373" s="3" t="inlineStr">
        <is>
          <t>ove</t>
        </is>
      </c>
      <c r="D373" s="3" t="n"/>
      <c r="E373" s="3" t="inlineStr">
        <is>
          <t>ove.mean</t>
        </is>
      </c>
      <c r="H373" s="3" t="inlineStr">
        <is>
          <t>Share with infrastructure access, overall</t>
        </is>
      </c>
      <c r="I373" s="3" t="inlineStr">
        <is>
          <t>%</t>
        </is>
      </c>
      <c r="J373" s="118" t="inlineStr">
        <is>
          <t>HHSurvey *_acs_share</t>
        </is>
      </c>
      <c r="K373" s="9" t="str">
        <f>LOWER(CtryCode)&amp;".distn."&amp;$A373&amp;IF($B373="","","."&amp;$B373)&amp;IF($C373="","",".dec."&amp;$C373)&amp;"."&amp;K$5</f>
        <v>egy.distn.acs.dec.ove.1</v>
      </c>
      <c r="M373" s="196">
        <f t="shared" ref="M373:V373" si="606">INDEX(DHHVal,MATCH(CtryCode&amp;".distn.bsh."&amp;M$10&amp;$E373&amp;M$11,DHHKey,0),MATCH(M$41,DHHVar,0))</f>
        <v>72.13515435239665</v>
      </c>
      <c r="N373" s="196">
        <f t="shared" si="606"/>
        <v>79.16133762104785</v>
      </c>
      <c r="O373" s="196">
        <f t="shared" si="606"/>
        <v>88.02387000783635</v>
      </c>
      <c r="P373" s="196">
        <f t="shared" si="606"/>
        <v>89.62614181341716</v>
      </c>
      <c r="Q373" s="196">
        <f t="shared" si="606"/>
        <v>87.16385777420584</v>
      </c>
      <c r="R373" s="196">
        <f t="shared" si="606"/>
        <v>94.5554357683431</v>
      </c>
      <c r="S373" s="196">
        <f t="shared" si="606"/>
        <v>96.80980676428182</v>
      </c>
      <c r="T373" s="196">
        <f t="shared" si="606"/>
        <v>98.15134740705967</v>
      </c>
      <c r="U373" s="196">
        <f t="shared" si="606"/>
        <v>94.3274650048809</v>
      </c>
      <c r="V373" s="196">
        <f t="shared" si="606"/>
        <v>100.0</v>
      </c>
      <c r="W373" s="201" t="str">
        <f>IF(X$5=K$5,SUM(Y373:AI373)-SUM(L373:V373),"")</f>
        <v/>
      </c>
      <c r="X373" s="9" t="str">
        <f>LOWER(CtryCode)&amp;".distn."&amp;$A373&amp;IF($B373="","","."&amp;$B373)&amp;IF($C373="","",".dec."&amp;$C373)&amp;"."&amp;X$5</f>
        <v>egy.distn.acs.dec.ove.2</v>
      </c>
      <c r="Z373" s="196">
        <f t="shared" ref="Z373:AI373" si="607">INDEX(DHHVal,MATCH(CtryCode&amp;".distn.bsh."&amp;Z$10&amp;$E373&amp;Z$11,DHHKey,0),MATCH(Z$41,DHHVar,0))</f>
        <v>72.13515435239665</v>
      </c>
      <c r="AA373" s="196">
        <f t="shared" si="607"/>
        <v>79.16133762104785</v>
      </c>
      <c r="AB373" s="196">
        <f t="shared" si="607"/>
        <v>88.02387000783635</v>
      </c>
      <c r="AC373" s="196">
        <f t="shared" si="607"/>
        <v>89.62614181341716</v>
      </c>
      <c r="AD373" s="196">
        <f t="shared" si="607"/>
        <v>87.16385777420584</v>
      </c>
      <c r="AE373" s="196">
        <f t="shared" si="607"/>
        <v>94.5554357683431</v>
      </c>
      <c r="AF373" s="196">
        <f t="shared" si="607"/>
        <v>96.80980676428182</v>
      </c>
      <c r="AG373" s="196">
        <f t="shared" si="607"/>
        <v>98.15134740705967</v>
      </c>
      <c r="AH373" s="196">
        <f t="shared" si="607"/>
        <v>94.3274650048809</v>
      </c>
      <c r="AI373" s="196">
        <f t="shared" si="607"/>
        <v>100.0</v>
      </c>
    </row>
    <row r="374" hidden="1" outlineLevel="1">
      <c r="A374" s="44" t="inlineStr">
        <is>
          <t>acs</t>
        </is>
      </c>
      <c r="B374" s="3" t="inlineStr"/>
      <c r="C374" s="3" t="inlineStr">
        <is>
          <t>urb</t>
        </is>
      </c>
      <c r="D374" s="3" t="n"/>
      <c r="E374" s="3" t="inlineStr">
        <is>
          <t>urb.mean</t>
        </is>
      </c>
      <c r="H374" s="3" t="inlineStr">
        <is>
          <t>Share with infrastructure access, urban</t>
        </is>
      </c>
      <c r="I374" s="3" t="inlineStr">
        <is>
          <t>%</t>
        </is>
      </c>
      <c r="J374" s="118" t="inlineStr">
        <is>
          <t>HHSurvey *_acs_share</t>
        </is>
      </c>
      <c r="K374" s="9" t="str">
        <f>LOWER(CtryCode)&amp;".distn."&amp;$A374&amp;IF($B374="","","."&amp;$B374)&amp;IF($C374="","",".dec."&amp;$C374)&amp;"."&amp;K$5</f>
        <v>egy.distn.acs.dec.urb.1</v>
      </c>
      <c r="M374" s="196">
        <f t="shared" ref="M374:V374" si="608">INDEX(DHHVal,MATCH(CtryCode&amp;".distn.bsh."&amp;M$10&amp;$E374&amp;M$11,DHHKey,0),MATCH(M$41,DHHVar,0))</f>
        <v>85.17951781181102</v>
      </c>
      <c r="N374" s="196">
        <f t="shared" si="608"/>
        <v>93.37305951633226</v>
      </c>
      <c r="O374" s="196">
        <f t="shared" si="608"/>
        <v>103.0508306438568</v>
      </c>
      <c r="P374" s="196">
        <f t="shared" si="608"/>
        <v>92.49080418474472</v>
      </c>
      <c r="Q374" s="196">
        <f t="shared" si="608"/>
        <v>99.1378676889698</v>
      </c>
      <c r="R374" s="196">
        <f t="shared" si="608"/>
        <v>93.92731961967152</v>
      </c>
      <c r="S374" s="196">
        <f t="shared" si="608"/>
        <v>98.16557689163074</v>
      </c>
      <c r="T374" s="196">
        <f t="shared" si="608"/>
        <v>100.0</v>
      </c>
      <c r="U374" s="196">
        <f t="shared" si="608"/>
        <v>101.7985440826464</v>
      </c>
      <c r="V374" s="196">
        <f t="shared" si="608"/>
        <v>100.0</v>
      </c>
      <c r="W374" s="201" t="str">
        <f>IF(X$5=K$5,SUM(Y374:AI374)-SUM(L374:V374),"")</f>
        <v/>
      </c>
      <c r="X374" s="9" t="str">
        <f>LOWER(CtryCode)&amp;".distn."&amp;$A374&amp;IF($B374="","","."&amp;$B374)&amp;IF($C374="","",".dec."&amp;$C374)&amp;"."&amp;X$5</f>
        <v>egy.distn.acs.dec.urb.2</v>
      </c>
      <c r="Z374" s="196">
        <f t="shared" ref="Z374:AI374" si="609">INDEX(DHHVal,MATCH(CtryCode&amp;".distn.bsh."&amp;Z$10&amp;$E374&amp;Z$11,DHHKey,0),MATCH(Z$41,DHHVar,0))</f>
        <v>85.17951781181102</v>
      </c>
      <c r="AA374" s="196">
        <f t="shared" si="609"/>
        <v>93.37305951633226</v>
      </c>
      <c r="AB374" s="196">
        <f t="shared" si="609"/>
        <v>103.0508306438568</v>
      </c>
      <c r="AC374" s="196">
        <f t="shared" si="609"/>
        <v>92.49080418474472</v>
      </c>
      <c r="AD374" s="196">
        <f t="shared" si="609"/>
        <v>99.1378676889698</v>
      </c>
      <c r="AE374" s="196">
        <f t="shared" si="609"/>
        <v>93.92731961967152</v>
      </c>
      <c r="AF374" s="196">
        <f t="shared" si="609"/>
        <v>98.16557689163074</v>
      </c>
      <c r="AG374" s="196">
        <f t="shared" si="609"/>
        <v>100.0</v>
      </c>
      <c r="AH374" s="196">
        <f t="shared" si="609"/>
        <v>101.7985440826464</v>
      </c>
      <c r="AI374" s="196">
        <f t="shared" si="609"/>
        <v>100.0</v>
      </c>
    </row>
    <row r="375" hidden="1" outlineLevel="1">
      <c r="A375" s="44" t="inlineStr">
        <is>
          <t>acs</t>
        </is>
      </c>
      <c r="B375" s="3" t="inlineStr"/>
      <c r="C375" s="3" t="inlineStr">
        <is>
          <t>rur</t>
        </is>
      </c>
      <c r="D375" s="3" t="n"/>
      <c r="E375" s="3" t="inlineStr">
        <is>
          <t>rur.mean</t>
        </is>
      </c>
      <c r="H375" s="3" t="inlineStr">
        <is>
          <t>Share with infrastructure access, rural</t>
        </is>
      </c>
      <c r="I375" s="3" t="inlineStr">
        <is>
          <t>%</t>
        </is>
      </c>
      <c r="J375" s="118" t="inlineStr">
        <is>
          <t>HHSurvey *_acs_share</t>
        </is>
      </c>
      <c r="K375" s="9" t="str">
        <f>LOWER(CtryCode)&amp;".distn."&amp;$A375&amp;IF($B375="","","."&amp;$B375)&amp;IF($C375="","",".dec."&amp;$C375)&amp;"."&amp;K$5</f>
        <v>egy.distn.acs.dec.rur.1</v>
      </c>
      <c r="M375" s="196">
        <f t="shared" ref="M375:V375" si="610">INDEX(DHHVal,MATCH(CtryCode&amp;".distn.bsh."&amp;M$10&amp;$E375&amp;M$11,DHHKey,0),MATCH(M$41,DHHVar,0))</f>
        <v>67.9794772576432</v>
      </c>
      <c r="N375" s="196">
        <f t="shared" si="610"/>
        <v>73.22720768583567</v>
      </c>
      <c r="O375" s="196">
        <f t="shared" si="610"/>
        <v>78.6857330333069</v>
      </c>
      <c r="P375" s="196">
        <f t="shared" si="610"/>
        <v>86.77285473491706</v>
      </c>
      <c r="Q375" s="196">
        <f t="shared" si="610"/>
        <v>88.66235543078997</v>
      </c>
      <c r="R375" s="196">
        <f t="shared" si="610"/>
        <v>84.65564962687053</v>
      </c>
      <c r="S375" s="196">
        <f t="shared" si="610"/>
        <v>87.92761433442986</v>
      </c>
      <c r="T375" s="196">
        <f t="shared" si="610"/>
        <v>85.63572709566586</v>
      </c>
      <c r="U375" s="196">
        <f t="shared" si="610"/>
        <v>84.03216877464148</v>
      </c>
      <c r="V375" s="196">
        <f t="shared" si="610"/>
        <v>80.05990278103917</v>
      </c>
      <c r="W375" s="201" t="str">
        <f>IF(X$5=K$5,SUM(Y375:AI375)-SUM(L375:V375),"")</f>
        <v/>
      </c>
      <c r="X375" s="9" t="str">
        <f>LOWER(CtryCode)&amp;".distn."&amp;$A375&amp;IF($B375="","","."&amp;$B375)&amp;IF($C375="","",".dec."&amp;$C375)&amp;"."&amp;X$5</f>
        <v>egy.distn.acs.dec.rur.2</v>
      </c>
      <c r="Z375" s="196">
        <f t="shared" ref="Z375:AI375" si="611">INDEX(DHHVal,MATCH(CtryCode&amp;".distn.bsh."&amp;Z$10&amp;$E375&amp;Z$11,DHHKey,0),MATCH(Z$41,DHHVar,0))</f>
        <v>67.9794772576432</v>
      </c>
      <c r="AA375" s="196">
        <f t="shared" si="611"/>
        <v>73.22720768583567</v>
      </c>
      <c r="AB375" s="196">
        <f t="shared" si="611"/>
        <v>78.6857330333069</v>
      </c>
      <c r="AC375" s="196">
        <f t="shared" si="611"/>
        <v>86.77285473491706</v>
      </c>
      <c r="AD375" s="196">
        <f t="shared" si="611"/>
        <v>88.66235543078997</v>
      </c>
      <c r="AE375" s="196">
        <f t="shared" si="611"/>
        <v>84.65564962687053</v>
      </c>
      <c r="AF375" s="196">
        <f t="shared" si="611"/>
        <v>87.92761433442986</v>
      </c>
      <c r="AG375" s="196">
        <f t="shared" si="611"/>
        <v>85.63572709566586</v>
      </c>
      <c r="AH375" s="196">
        <f t="shared" si="611"/>
        <v>84.03216877464148</v>
      </c>
      <c r="AI375" s="196">
        <f t="shared" si="611"/>
        <v>80.05990278103917</v>
      </c>
    </row>
    <row r="376" hidden="1" outlineLevel="1">
      <c r="A376" s="44" t="inlineStr">
        <is>
          <t>noacc</t>
        </is>
      </c>
      <c r="B376" s="3" t="inlineStr"/>
      <c r="C376" s="3" t="inlineStr">
        <is>
          <t>ove</t>
        </is>
      </c>
      <c r="D376" s="3" t="n"/>
      <c r="E376" s="3" t="n"/>
      <c r="H376" s="3" t="inlineStr">
        <is>
          <t>Share without access, overall</t>
        </is>
      </c>
      <c r="I376" s="3" t="inlineStr">
        <is>
          <t>fraction</t>
        </is>
      </c>
      <c r="J376" s="118" t="inlineStr">
        <is>
          <t>legacy rows 2569-2571</t>
        </is>
      </c>
      <c r="K376" s="9" t="str">
        <f>LOWER(CtryCode)&amp;".distn."&amp;$A376&amp;IF($B376="","","."&amp;$B376)&amp;IF($C376="","",".dec."&amp;$C376)&amp;"."&amp;K$5</f>
        <v>egy.distn.noacc.dec.ove.1</v>
      </c>
      <c r="M376" s="196">
        <f t="shared" ref="M376:V376" si="612">1-M373/PctPerUnit</f>
        <v>0.2786484564760334</v>
      </c>
      <c r="N376" s="196">
        <f t="shared" si="612"/>
        <v>0.20838662378952155</v>
      </c>
      <c r="O376" s="196">
        <f t="shared" si="612"/>
        <v>0.11976129992163653</v>
      </c>
      <c r="P376" s="196">
        <f t="shared" si="612"/>
        <v>0.1037385818658284</v>
      </c>
      <c r="Q376" s="196">
        <f t="shared" si="612"/>
        <v>0.12836142225794167</v>
      </c>
      <c r="R376" s="196">
        <f t="shared" si="612"/>
        <v>0.05444564231656901</v>
      </c>
      <c r="S376" s="196">
        <f t="shared" si="612"/>
        <v>0.03190193235718186</v>
      </c>
      <c r="T376" s="196">
        <f t="shared" si="612"/>
        <v>0.018486525929403252</v>
      </c>
      <c r="U376" s="196">
        <f t="shared" si="612"/>
        <v>0.05672534995119094</v>
      </c>
      <c r="V376" s="196">
        <f t="shared" si="612"/>
        <v>0.0</v>
      </c>
      <c r="W376" s="201" t="str">
        <f>IF(X$5=K$5,SUM(Y376:AI376)-SUM(L376:V376),"")</f>
        <v/>
      </c>
      <c r="X376" s="9" t="str">
        <f>LOWER(CtryCode)&amp;".distn."&amp;$A376&amp;IF($B376="","","."&amp;$B376)&amp;IF($C376="","",".dec."&amp;$C376)&amp;"."&amp;X$5</f>
        <v>egy.distn.noacc.dec.ove.2</v>
      </c>
      <c r="Z376" s="196">
        <f t="shared" ref="Z376:AI376" si="613">1-Z373/PctPerUnit</f>
        <v>0.2786484564760334</v>
      </c>
      <c r="AA376" s="196">
        <f t="shared" si="613"/>
        <v>0.20838662378952155</v>
      </c>
      <c r="AB376" s="196">
        <f t="shared" si="613"/>
        <v>0.11976129992163653</v>
      </c>
      <c r="AC376" s="196">
        <f t="shared" si="613"/>
        <v>0.1037385818658284</v>
      </c>
      <c r="AD376" s="196">
        <f t="shared" si="613"/>
        <v>0.12836142225794167</v>
      </c>
      <c r="AE376" s="196">
        <f t="shared" si="613"/>
        <v>0.05444564231656901</v>
      </c>
      <c r="AF376" s="196">
        <f t="shared" si="613"/>
        <v>0.03190193235718186</v>
      </c>
      <c r="AG376" s="196">
        <f t="shared" si="613"/>
        <v>0.018486525929403252</v>
      </c>
      <c r="AH376" s="196">
        <f t="shared" si="613"/>
        <v>0.05672534995119094</v>
      </c>
      <c r="AI376" s="196">
        <f t="shared" si="613"/>
        <v>0.0</v>
      </c>
    </row>
    <row r="377" hidden="1" outlineLevel="1">
      <c r="A377" s="44" t="inlineStr">
        <is>
          <t>noacc</t>
        </is>
      </c>
      <c r="B377" s="3" t="inlineStr"/>
      <c r="C377" s="3" t="inlineStr">
        <is>
          <t>urb</t>
        </is>
      </c>
      <c r="D377" s="3" t="n"/>
      <c r="E377" s="3" t="n"/>
      <c r="H377" s="3" t="inlineStr">
        <is>
          <t>Share without access, urban</t>
        </is>
      </c>
      <c r="I377" s="3" t="inlineStr">
        <is>
          <t>fraction</t>
        </is>
      </c>
      <c r="J377" s="118" t="inlineStr">
        <is>
          <t>legacy rows 2569-2571</t>
        </is>
      </c>
      <c r="K377" s="9" t="str">
        <f>LOWER(CtryCode)&amp;".distn."&amp;$A377&amp;IF($B377="","","."&amp;$B377)&amp;IF($C377="","",".dec."&amp;$C377)&amp;"."&amp;K$5</f>
        <v>egy.distn.noacc.dec.urb.1</v>
      </c>
      <c r="M377" s="196">
        <f t="shared" ref="M377:V377" si="614">1-M374/PctPerUnit</f>
        <v>0.14820482188188977</v>
      </c>
      <c r="N377" s="196">
        <f t="shared" si="614"/>
        <v>0.06626940483667743</v>
      </c>
      <c r="O377" s="196">
        <f t="shared" si="614"/>
        <v>-0.030508306438568056</v>
      </c>
      <c r="P377" s="196">
        <f t="shared" si="614"/>
        <v>0.07509195815255287</v>
      </c>
      <c r="Q377" s="196">
        <f t="shared" si="614"/>
        <v>0.008621323110301948</v>
      </c>
      <c r="R377" s="196">
        <f t="shared" si="614"/>
        <v>0.06072680380328477</v>
      </c>
      <c r="S377" s="196">
        <f t="shared" si="614"/>
        <v>0.018344231083692653</v>
      </c>
      <c r="T377" s="196">
        <f t="shared" si="614"/>
        <v>0.0</v>
      </c>
      <c r="U377" s="196">
        <f t="shared" si="614"/>
        <v>-0.017985440826463917</v>
      </c>
      <c r="V377" s="196">
        <f t="shared" si="614"/>
        <v>0.0</v>
      </c>
      <c r="W377" s="201" t="str">
        <f>IF(X$5=K$5,SUM(Y377:AI377)-SUM(L377:V377),"")</f>
        <v/>
      </c>
      <c r="X377" s="9" t="str">
        <f>LOWER(CtryCode)&amp;".distn."&amp;$A377&amp;IF($B377="","","."&amp;$B377)&amp;IF($C377="","",".dec."&amp;$C377)&amp;"."&amp;X$5</f>
        <v>egy.distn.noacc.dec.urb.2</v>
      </c>
      <c r="Z377" s="196">
        <f t="shared" ref="Z377:AI377" si="615">1-Z374/PctPerUnit</f>
        <v>0.14820482188188977</v>
      </c>
      <c r="AA377" s="196">
        <f t="shared" si="615"/>
        <v>0.06626940483667743</v>
      </c>
      <c r="AB377" s="196">
        <f t="shared" si="615"/>
        <v>-0.030508306438568056</v>
      </c>
      <c r="AC377" s="196">
        <f t="shared" si="615"/>
        <v>0.07509195815255287</v>
      </c>
      <c r="AD377" s="196">
        <f t="shared" si="615"/>
        <v>0.008621323110301948</v>
      </c>
      <c r="AE377" s="196">
        <f t="shared" si="615"/>
        <v>0.06072680380328477</v>
      </c>
      <c r="AF377" s="196">
        <f t="shared" si="615"/>
        <v>0.018344231083692653</v>
      </c>
      <c r="AG377" s="196">
        <f t="shared" si="615"/>
        <v>0.0</v>
      </c>
      <c r="AH377" s="196">
        <f t="shared" si="615"/>
        <v>-0.017985440826463917</v>
      </c>
      <c r="AI377" s="196">
        <f t="shared" si="615"/>
        <v>0.0</v>
      </c>
    </row>
    <row r="378" hidden="1" outlineLevel="1">
      <c r="A378" s="44" t="inlineStr">
        <is>
          <t>noacc</t>
        </is>
      </c>
      <c r="B378" s="3" t="inlineStr"/>
      <c r="C378" s="3" t="inlineStr">
        <is>
          <t>rur</t>
        </is>
      </c>
      <c r="D378" s="3" t="n"/>
      <c r="E378" s="3" t="n"/>
      <c r="H378" s="3" t="inlineStr">
        <is>
          <t>Share without access, rural</t>
        </is>
      </c>
      <c r="I378" s="3" t="inlineStr">
        <is>
          <t>fraction</t>
        </is>
      </c>
      <c r="J378" s="118" t="inlineStr">
        <is>
          <t>legacy rows 2569-2571</t>
        </is>
      </c>
      <c r="K378" s="9" t="str">
        <f>LOWER(CtryCode)&amp;".distn."&amp;$A378&amp;IF($B378="","","."&amp;$B378)&amp;IF($C378="","",".dec."&amp;$C378)&amp;"."&amp;K$5</f>
        <v>egy.distn.noacc.dec.rur.1</v>
      </c>
      <c r="M378" s="196">
        <f t="shared" ref="M378:V378" si="616">1-M375/PctPerUnit</f>
        <v>0.32020522742356805</v>
      </c>
      <c r="N378" s="196">
        <f t="shared" si="616"/>
        <v>0.2677279231416434</v>
      </c>
      <c r="O378" s="196">
        <f t="shared" si="616"/>
        <v>0.21314266966693096</v>
      </c>
      <c r="P378" s="196">
        <f t="shared" si="616"/>
        <v>0.1322714526508294</v>
      </c>
      <c r="Q378" s="196">
        <f t="shared" si="616"/>
        <v>0.11337644569210026</v>
      </c>
      <c r="R378" s="196">
        <f t="shared" si="616"/>
        <v>0.15344350373129467</v>
      </c>
      <c r="S378" s="196">
        <f t="shared" si="616"/>
        <v>0.1207238566557014</v>
      </c>
      <c r="T378" s="196">
        <f t="shared" si="616"/>
        <v>0.1436427290433414</v>
      </c>
      <c r="U378" s="196">
        <f t="shared" si="616"/>
        <v>0.1596783122535852</v>
      </c>
      <c r="V378" s="196">
        <f t="shared" si="616"/>
        <v>0.19940097218960828</v>
      </c>
      <c r="W378" s="201" t="str">
        <f>IF(X$5=K$5,SUM(Y378:AI378)-SUM(L378:V378),"")</f>
        <v/>
      </c>
      <c r="X378" s="9" t="str">
        <f>LOWER(CtryCode)&amp;".distn."&amp;$A378&amp;IF($B378="","","."&amp;$B378)&amp;IF($C378="","",".dec."&amp;$C378)&amp;"."&amp;X$5</f>
        <v>egy.distn.noacc.dec.rur.2</v>
      </c>
      <c r="Z378" s="196">
        <f t="shared" ref="Z378:AI378" si="617">1-Z375/PctPerUnit</f>
        <v>0.32020522742356805</v>
      </c>
      <c r="AA378" s="196">
        <f t="shared" si="617"/>
        <v>0.2677279231416434</v>
      </c>
      <c r="AB378" s="196">
        <f t="shared" si="617"/>
        <v>0.21314266966693096</v>
      </c>
      <c r="AC378" s="196">
        <f t="shared" si="617"/>
        <v>0.1322714526508294</v>
      </c>
      <c r="AD378" s="196">
        <f t="shared" si="617"/>
        <v>0.11337644569210026</v>
      </c>
      <c r="AE378" s="196">
        <f t="shared" si="617"/>
        <v>0.15344350373129467</v>
      </c>
      <c r="AF378" s="196">
        <f t="shared" si="617"/>
        <v>0.1207238566557014</v>
      </c>
      <c r="AG378" s="196">
        <f t="shared" si="617"/>
        <v>0.1436427290433414</v>
      </c>
      <c r="AH378" s="196">
        <f t="shared" si="617"/>
        <v>0.1596783122535852</v>
      </c>
      <c r="AI378" s="196">
        <f t="shared" si="617"/>
        <v>0.19940097218960828</v>
      </c>
    </row>
    <row r="379" hidden="1" outlineLevel="1">
      <c r="A379" s="44" t="inlineStr">
        <is>
          <t>puiamt</t>
        </is>
      </c>
      <c r="B379" s="3" t="inlineStr"/>
      <c r="C379" s="3" t="inlineStr"/>
      <c r="D379" s="3" t="n"/>
      <c r="E379" s="3" t="n"/>
      <c r="H379" s="3" t="inlineStr">
        <is>
          <t>Investment per person without access</t>
        </is>
      </c>
      <c r="I379" s="3" t="inlineStr">
        <is>
          <t>LCU</t>
        </is>
      </c>
      <c r="J379" s="118" t="inlineStr">
        <is>
          <t>legacy P2594</t>
        </is>
      </c>
      <c r="K379" s="9" t="str">
        <f>LOWER(CtryCode)&amp;".distn."&amp;$A379&amp;IF($B379="","","."&amp;$B379)&amp;IF($C379="","",".dec."&amp;$C379)&amp;"."&amp;K$5</f>
        <v>egy.distn.puiamt.1</v>
      </c>
      <c r="L379" s="108">
        <f>IFERROR(L$336/SUMPRODUCT(M376:V376,M322:V322),0)</f>
        <v>0.0</v>
      </c>
      <c r="M379" s="109">
        <f t="shared" ref="M379:V379" si="618">L379</f>
        <v>0.0</v>
      </c>
      <c r="N379" s="109">
        <f t="shared" si="618"/>
        <v>0.0</v>
      </c>
      <c r="O379" s="109">
        <f t="shared" si="618"/>
        <v>0.0</v>
      </c>
      <c r="P379" s="109">
        <f t="shared" si="618"/>
        <v>0.0</v>
      </c>
      <c r="Q379" s="109">
        <f t="shared" si="618"/>
        <v>0.0</v>
      </c>
      <c r="R379" s="109">
        <f t="shared" si="618"/>
        <v>0.0</v>
      </c>
      <c r="S379" s="109">
        <f t="shared" si="618"/>
        <v>0.0</v>
      </c>
      <c r="T379" s="109">
        <f t="shared" si="618"/>
        <v>0.0</v>
      </c>
      <c r="U379" s="109">
        <f t="shared" si="618"/>
        <v>0.0</v>
      </c>
      <c r="V379" s="109">
        <f t="shared" si="618"/>
        <v>0.0</v>
      </c>
      <c r="W379" s="201" t="str">
        <f>IF(X$5=K$5,SUM(Y379:AI379)-SUM(L379:V379),"")</f>
        <v/>
      </c>
      <c r="X379" s="9" t="str">
        <f>LOWER(CtryCode)&amp;".distn."&amp;$A379&amp;IF($B379="","","."&amp;$B379)&amp;IF($C379="","",".dec."&amp;$C379)&amp;"."&amp;X$5</f>
        <v>egy.distn.puiamt.2</v>
      </c>
      <c r="Y379" s="108">
        <f>IFERROR(Y$336/SUMPRODUCT(Z376:AI376,Z322:AI322),0)</f>
        <v>3175.878176373289</v>
      </c>
      <c r="Z379" s="109">
        <f t="shared" ref="Z379:AI379" si="619">Y379</f>
        <v>3175.878176373289</v>
      </c>
      <c r="AA379" s="109">
        <f t="shared" si="619"/>
        <v>3175.878176373289</v>
      </c>
      <c r="AB379" s="109">
        <f t="shared" si="619"/>
        <v>3175.878176373289</v>
      </c>
      <c r="AC379" s="109">
        <f t="shared" si="619"/>
        <v>3175.878176373289</v>
      </c>
      <c r="AD379" s="109">
        <f t="shared" si="619"/>
        <v>3175.878176373289</v>
      </c>
      <c r="AE379" s="109">
        <f t="shared" si="619"/>
        <v>3175.878176373289</v>
      </c>
      <c r="AF379" s="109">
        <f t="shared" si="619"/>
        <v>3175.878176373289</v>
      </c>
      <c r="AG379" s="109">
        <f t="shared" si="619"/>
        <v>3175.878176373289</v>
      </c>
      <c r="AH379" s="109">
        <f t="shared" si="619"/>
        <v>3175.878176373289</v>
      </c>
      <c r="AI379" s="109">
        <f t="shared" si="619"/>
        <v>3175.878176373289</v>
      </c>
    </row>
    <row r="380" hidden="1" outlineLevel="1">
      <c r="A380" s="44" t="inlineStr">
        <is>
          <t>pui</t>
        </is>
      </c>
      <c r="B380" s="3" t="inlineStr"/>
      <c r="C380" s="3" t="inlineStr">
        <is>
          <t>ove</t>
        </is>
      </c>
      <c r="D380" s="3" t="n"/>
      <c r="E380" s="3" t="n"/>
      <c r="H380" s="3" t="inlineStr">
        <is>
          <t>Public investment per capita, overall</t>
        </is>
      </c>
      <c r="I380" s="3" t="inlineStr">
        <is>
          <t>LCU</t>
        </is>
      </c>
      <c r="J380" s="118" t="inlineStr">
        <is>
          <t>legacy rows 2610-2612</t>
        </is>
      </c>
      <c r="K380" s="9" t="str">
        <f>LOWER(CtryCode)&amp;".distn."&amp;$A380&amp;IF($B380="","","."&amp;$B380)&amp;IF($C380="","",".dec."&amp;$C380)&amp;"."&amp;K$5</f>
        <v>egy.distn.pui.dec.ove.1</v>
      </c>
      <c r="M380" s="109">
        <f t="shared" ref="M380:V380" si="620">M$379*M376</f>
        <v>0.0</v>
      </c>
      <c r="N380" s="109">
        <f t="shared" si="620"/>
        <v>0.0</v>
      </c>
      <c r="O380" s="109">
        <f t="shared" si="620"/>
        <v>0.0</v>
      </c>
      <c r="P380" s="109">
        <f t="shared" si="620"/>
        <v>0.0</v>
      </c>
      <c r="Q380" s="109">
        <f t="shared" si="620"/>
        <v>0.0</v>
      </c>
      <c r="R380" s="109">
        <f t="shared" si="620"/>
        <v>0.0</v>
      </c>
      <c r="S380" s="109">
        <f t="shared" si="620"/>
        <v>0.0</v>
      </c>
      <c r="T380" s="109">
        <f t="shared" si="620"/>
        <v>0.0</v>
      </c>
      <c r="U380" s="109">
        <f t="shared" si="620"/>
        <v>0.0</v>
      </c>
      <c r="V380" s="109">
        <f t="shared" si="620"/>
        <v>0.0</v>
      </c>
      <c r="W380" s="201" t="str">
        <f>IF(X$5=K$5,SUM(Y380:AI380)-SUM(L380:V380),"")</f>
        <v/>
      </c>
      <c r="X380" s="9" t="str">
        <f>LOWER(CtryCode)&amp;".distn."&amp;$A380&amp;IF($B380="","","."&amp;$B380)&amp;IF($C380="","",".dec."&amp;$C380)&amp;"."&amp;X$5</f>
        <v>egy.distn.pui.dec.ove.2</v>
      </c>
      <c r="Z380" s="109">
        <f t="shared" ref="Z380:AI380" si="621">Z$379*Z376</f>
        <v>884.9535518023368</v>
      </c>
      <c r="AA380" s="109">
        <f t="shared" si="621"/>
        <v>661.8105307412524</v>
      </c>
      <c r="AB380" s="109">
        <f t="shared" si="621"/>
        <v>380.34729879522155</v>
      </c>
      <c r="AC380" s="109">
        <f t="shared" si="621"/>
        <v>329.46109819559825</v>
      </c>
      <c r="AD380" s="109">
        <f t="shared" si="621"/>
        <v>407.66023963723353</v>
      </c>
      <c r="AE380" s="109">
        <f t="shared" si="621"/>
        <v>172.91272723181757</v>
      </c>
      <c r="AF380" s="109">
        <f t="shared" si="621"/>
        <v>101.31665075731075</v>
      </c>
      <c r="AG380" s="109">
        <f t="shared" si="621"/>
        <v>58.71095425615072</v>
      </c>
      <c r="AH380" s="109">
        <f t="shared" si="621"/>
        <v>180.15280095712492</v>
      </c>
      <c r="AI380" s="109">
        <f t="shared" si="621"/>
        <v>0.0</v>
      </c>
    </row>
    <row r="381" hidden="1" outlineLevel="1">
      <c r="A381" s="44" t="inlineStr">
        <is>
          <t>pui</t>
        </is>
      </c>
      <c r="B381" s="3" t="inlineStr"/>
      <c r="C381" s="3" t="inlineStr">
        <is>
          <t>urb</t>
        </is>
      </c>
      <c r="D381" s="3" t="n"/>
      <c r="E381" s="3" t="n"/>
      <c r="H381" s="3" t="inlineStr">
        <is>
          <t>Public investment per capita, urban</t>
        </is>
      </c>
      <c r="I381" s="3" t="inlineStr">
        <is>
          <t>LCU</t>
        </is>
      </c>
      <c r="J381" s="118" t="inlineStr">
        <is>
          <t>legacy rows 2610-2612</t>
        </is>
      </c>
      <c r="K381" s="9" t="str">
        <f>LOWER(CtryCode)&amp;".distn."&amp;$A381&amp;IF($B381="","","."&amp;$B381)&amp;IF($C381="","",".dec."&amp;$C381)&amp;"."&amp;K$5</f>
        <v>egy.distn.pui.dec.urb.1</v>
      </c>
      <c r="M381" s="109">
        <f t="shared" ref="M381:V381" si="622">M$379*M377</f>
        <v>0.0</v>
      </c>
      <c r="N381" s="109">
        <f t="shared" si="622"/>
        <v>0.0</v>
      </c>
      <c r="O381" s="109">
        <f t="shared" si="622"/>
        <v>-0.0</v>
      </c>
      <c r="P381" s="109">
        <f t="shared" si="622"/>
        <v>0.0</v>
      </c>
      <c r="Q381" s="109">
        <f t="shared" si="622"/>
        <v>0.0</v>
      </c>
      <c r="R381" s="109">
        <f t="shared" si="622"/>
        <v>0.0</v>
      </c>
      <c r="S381" s="109">
        <f t="shared" si="622"/>
        <v>0.0</v>
      </c>
      <c r="T381" s="109">
        <f t="shared" si="622"/>
        <v>0.0</v>
      </c>
      <c r="U381" s="109">
        <f t="shared" si="622"/>
        <v>-0.0</v>
      </c>
      <c r="V381" s="109">
        <f t="shared" si="622"/>
        <v>0.0</v>
      </c>
      <c r="W381" s="201" t="str">
        <f>IF(X$5=K$5,SUM(Y381:AI381)-SUM(L381:V381),"")</f>
        <v/>
      </c>
      <c r="X381" s="9" t="str">
        <f>LOWER(CtryCode)&amp;".distn."&amp;$A381&amp;IF($B381="","","."&amp;$B381)&amp;IF($C381="","",".dec."&amp;$C381)&amp;"."&amp;X$5</f>
        <v>egy.distn.pui.dec.urb.2</v>
      </c>
      <c r="Z381" s="109">
        <f t="shared" ref="Z381:AI381" si="623">Z$379*Z377</f>
        <v>470.6804594479842</v>
      </c>
      <c r="AA381" s="109">
        <f t="shared" si="623"/>
        <v>210.46355658205033</v>
      </c>
      <c r="AB381" s="109">
        <f t="shared" si="623"/>
        <v>-96.89066461635699</v>
      </c>
      <c r="AC381" s="109">
        <f t="shared" si="623"/>
        <v>238.48291111782896</v>
      </c>
      <c r="AD381" s="109">
        <f t="shared" si="623"/>
        <v>27.380271917470644</v>
      </c>
      <c r="AE381" s="109">
        <f t="shared" si="623"/>
        <v>192.86093091975454</v>
      </c>
      <c r="AF381" s="109">
        <f t="shared" si="623"/>
        <v>58.25904316104803</v>
      </c>
      <c r="AG381" s="109">
        <f t="shared" si="623"/>
        <v>0.0</v>
      </c>
      <c r="AH381" s="109">
        <f t="shared" si="623"/>
        <v>-57.11956901321992</v>
      </c>
      <c r="AI381" s="109">
        <f t="shared" si="623"/>
        <v>0.0</v>
      </c>
    </row>
    <row r="382" hidden="1" outlineLevel="1">
      <c r="A382" s="44" t="inlineStr">
        <is>
          <t>pui</t>
        </is>
      </c>
      <c r="B382" s="3" t="inlineStr"/>
      <c r="C382" s="3" t="inlineStr">
        <is>
          <t>rur</t>
        </is>
      </c>
      <c r="D382" s="3" t="n"/>
      <c r="E382" s="3" t="n"/>
      <c r="H382" s="3" t="inlineStr">
        <is>
          <t>Public investment per capita, rural</t>
        </is>
      </c>
      <c r="I382" s="3" t="inlineStr">
        <is>
          <t>LCU</t>
        </is>
      </c>
      <c r="J382" s="118" t="inlineStr">
        <is>
          <t>legacy rows 2610-2612</t>
        </is>
      </c>
      <c r="K382" s="9" t="str">
        <f>LOWER(CtryCode)&amp;".distn."&amp;$A382&amp;IF($B382="","","."&amp;$B382)&amp;IF($C382="","",".dec."&amp;$C382)&amp;"."&amp;K$5</f>
        <v>egy.distn.pui.dec.rur.1</v>
      </c>
      <c r="M382" s="109">
        <f t="shared" ref="M382:V382" si="624">M$379*M378</f>
        <v>0.0</v>
      </c>
      <c r="N382" s="109">
        <f t="shared" si="624"/>
        <v>0.0</v>
      </c>
      <c r="O382" s="109">
        <f t="shared" si="624"/>
        <v>0.0</v>
      </c>
      <c r="P382" s="109">
        <f t="shared" si="624"/>
        <v>0.0</v>
      </c>
      <c r="Q382" s="109">
        <f t="shared" si="624"/>
        <v>0.0</v>
      </c>
      <c r="R382" s="109">
        <f t="shared" si="624"/>
        <v>0.0</v>
      </c>
      <c r="S382" s="109">
        <f t="shared" si="624"/>
        <v>0.0</v>
      </c>
      <c r="T382" s="109">
        <f t="shared" si="624"/>
        <v>0.0</v>
      </c>
      <c r="U382" s="109">
        <f t="shared" si="624"/>
        <v>0.0</v>
      </c>
      <c r="V382" s="109">
        <f t="shared" si="624"/>
        <v>0.0</v>
      </c>
      <c r="W382" s="201" t="str">
        <f>IF(X$5=K$5,SUM(Y382:AI382)-SUM(L382:V382),"")</f>
        <v/>
      </c>
      <c r="X382" s="9" t="str">
        <f>LOWER(CtryCode)&amp;".distn."&amp;$A382&amp;IF($B382="","","."&amp;$B382)&amp;IF($C382="","",".dec."&amp;$C382)&amp;"."&amp;X$5</f>
        <v>egy.distn.pui.dec.rur.2</v>
      </c>
      <c r="Z382" s="109">
        <f t="shared" ref="Z382:AI382" si="625">Z$379*Z378</f>
        <v>1016.9327937351555</v>
      </c>
      <c r="AA382" s="109">
        <f t="shared" si="625"/>
        <v>850.2712683112906</v>
      </c>
      <c r="AB382" s="109">
        <f t="shared" si="625"/>
        <v>676.9151530491471</v>
      </c>
      <c r="AC382" s="109">
        <f t="shared" si="625"/>
        <v>420.0780198309619</v>
      </c>
      <c r="AD382" s="109">
        <f t="shared" si="625"/>
        <v>360.0697795883126</v>
      </c>
      <c r="AE382" s="109">
        <f t="shared" si="625"/>
        <v>487.3178748064721</v>
      </c>
      <c r="AF382" s="109">
        <f t="shared" si="625"/>
        <v>383.4042617204593</v>
      </c>
      <c r="AG382" s="109">
        <f t="shared" si="625"/>
        <v>456.1918083634496</v>
      </c>
      <c r="AH382" s="109">
        <f t="shared" si="625"/>
        <v>507.1188671262808</v>
      </c>
      <c r="AI382" s="109">
        <f t="shared" si="625"/>
        <v>633.2731959245941</v>
      </c>
    </row>
    <row r="383" hidden="1" outlineLevel="1"/>
    <row r="384" hidden="1" outlineLevel="1">
      <c r="B384" s="31" t="inlineStr">
        <is>
          <t>Current spending (ASPIRE incidence by quintile)</t>
        </is>
      </c>
    </row>
    <row r="385" hidden="1" outlineLevel="1">
      <c r="A385" s="44" t="inlineStr">
        <is>
          <t>aspbase</t>
        </is>
      </c>
      <c r="B385" s="3" t="inlineStr"/>
      <c r="C385" s="3" t="inlineStr">
        <is>
          <t>ove</t>
        </is>
      </c>
      <c r="D385" s="3" t="n"/>
      <c r="E385" s="3" t="n"/>
      <c r="H385" s="3" t="inlineStr">
        <is>
          <t>ASPIRE benefit per capita of the program (quintile of the decile)</t>
        </is>
      </c>
      <c r="I385" s="3" t="inlineStr">
        <is>
          <t>PPP USD/day</t>
        </is>
      </c>
      <c r="J385" s="118" t="inlineStr">
        <is>
          <t>ASPIRE (legacy row 2633)</t>
        </is>
      </c>
      <c r="K385" s="9" t="str">
        <f>LOWER(CtryCode)&amp;".distn."&amp;$A385&amp;IF($B385="","","."&amp;$B385)&amp;IF($C385="","",".dec."&amp;$C385)&amp;"."&amp;K$5</f>
        <v>egy.distn.aspbase.dec.ove.1</v>
      </c>
      <c r="M385" s="196">
        <f t="shared" ref="M385:V385" si="626">IFERROR(INDEX(DAspVal,MATCH(CtryCode&amp;"."&amp;M$42&amp;M362&amp;"_preT_tot",DAspKey,0)),0)</f>
        <v>1.701829075813293</v>
      </c>
      <c r="N385" s="196">
        <f t="shared" si="626"/>
        <v>1.701829075813293</v>
      </c>
      <c r="O385" s="196">
        <f t="shared" si="626"/>
        <v>1.4042809009552</v>
      </c>
      <c r="P385" s="196">
        <f t="shared" si="626"/>
        <v>1.4042809009552</v>
      </c>
      <c r="Q385" s="196">
        <f t="shared" si="626"/>
        <v>1.858706116676331</v>
      </c>
      <c r="R385" s="196">
        <f t="shared" si="626"/>
        <v>1.858706116676331</v>
      </c>
      <c r="S385" s="196">
        <f t="shared" si="626"/>
        <v>1.829251289367676</v>
      </c>
      <c r="T385" s="196">
        <f t="shared" si="626"/>
        <v>1.829251289367676</v>
      </c>
      <c r="U385" s="196">
        <f t="shared" si="626"/>
        <v>4.406506061553955</v>
      </c>
      <c r="V385" s="196">
        <f t="shared" si="626"/>
        <v>4.406506061553955</v>
      </c>
      <c r="W385" s="201" t="str">
        <f>IF(X$5=K$5,SUM(Y385:AI385)-SUM(L385:V385),"")</f>
        <v/>
      </c>
      <c r="X385" s="9" t="str">
        <f>LOWER(CtryCode)&amp;".distn."&amp;$A385&amp;IF($B385="","","."&amp;$B385)&amp;IF($C385="","",".dec."&amp;$C385)&amp;"."&amp;X$5</f>
        <v>egy.distn.aspbase.dec.ove.2</v>
      </c>
      <c r="Z385" s="196">
        <f t="shared" ref="Z385:AI385" si="627">IFERROR(INDEX(DAspVal,MATCH(CtryCode&amp;"."&amp;Z$42&amp;Z362&amp;"_preT_tot",DAspKey,0)),0)</f>
        <v>1.701829075813293</v>
      </c>
      <c r="AA385" s="196">
        <f t="shared" si="627"/>
        <v>1.701829075813293</v>
      </c>
      <c r="AB385" s="196">
        <f t="shared" si="627"/>
        <v>1.4042809009552</v>
      </c>
      <c r="AC385" s="196">
        <f t="shared" si="627"/>
        <v>1.4042809009552</v>
      </c>
      <c r="AD385" s="196">
        <f t="shared" si="627"/>
        <v>1.858706116676331</v>
      </c>
      <c r="AE385" s="196">
        <f t="shared" si="627"/>
        <v>1.858706116676331</v>
      </c>
      <c r="AF385" s="196">
        <f t="shared" si="627"/>
        <v>1.829251289367676</v>
      </c>
      <c r="AG385" s="196">
        <f t="shared" si="627"/>
        <v>1.829251289367676</v>
      </c>
      <c r="AH385" s="196">
        <f t="shared" si="627"/>
        <v>4.406506061553955</v>
      </c>
      <c r="AI385" s="196">
        <f t="shared" si="627"/>
        <v>4.406506061553955</v>
      </c>
    </row>
    <row r="386" hidden="1" outlineLevel="1">
      <c r="A386" s="44" t="inlineStr">
        <is>
          <t>ctsamt</t>
        </is>
      </c>
      <c r="B386" s="3" t="inlineStr"/>
      <c r="C386" s="3" t="inlineStr"/>
      <c r="D386" s="3" t="n"/>
      <c r="E386" s="3" t="n"/>
      <c r="H386" s="3" t="inlineStr">
        <is>
          <t>Scale: current spending / ASPIRE benefits of the population</t>
        </is>
      </c>
      <c r="I386" s="3" t="inlineStr">
        <is>
          <t>ratio</t>
        </is>
      </c>
      <c r="J386" s="118" t="inlineStr">
        <is>
          <t>legacy P2642</t>
        </is>
      </c>
      <c r="K386" s="9" t="str">
        <f>LOWER(CtryCode)&amp;".distn."&amp;$A386&amp;IF($B386="","","."&amp;$B386)&amp;IF($C386="","",".dec."&amp;$C386)&amp;"."&amp;K$5</f>
        <v>egy.distn.ctsamt.1</v>
      </c>
      <c r="L386" s="218">
        <f>IFERROR(L$337/SUMPRODUCT(M385:V385,M322:V322),0)</f>
        <v>0.0</v>
      </c>
      <c r="M386" s="219">
        <f t="shared" ref="M386:V386" si="628">L386</f>
        <v>0.0</v>
      </c>
      <c r="N386" s="219">
        <f t="shared" si="628"/>
        <v>0.0</v>
      </c>
      <c r="O386" s="219">
        <f t="shared" si="628"/>
        <v>0.0</v>
      </c>
      <c r="P386" s="219">
        <f t="shared" si="628"/>
        <v>0.0</v>
      </c>
      <c r="Q386" s="219">
        <f t="shared" si="628"/>
        <v>0.0</v>
      </c>
      <c r="R386" s="219">
        <f t="shared" si="628"/>
        <v>0.0</v>
      </c>
      <c r="S386" s="219">
        <f t="shared" si="628"/>
        <v>0.0</v>
      </c>
      <c r="T386" s="219">
        <f t="shared" si="628"/>
        <v>0.0</v>
      </c>
      <c r="U386" s="219">
        <f t="shared" si="628"/>
        <v>0.0</v>
      </c>
      <c r="V386" s="219">
        <f t="shared" si="628"/>
        <v>0.0</v>
      </c>
      <c r="W386" s="201" t="str">
        <f>IF(X$5=K$5,SUM(Y386:AI386)-SUM(L386:V386),"")</f>
        <v/>
      </c>
      <c r="X386" s="9" t="str">
        <f>LOWER(CtryCode)&amp;".distn."&amp;$A386&amp;IF($B386="","","."&amp;$B386)&amp;IF($C386="","",".dec."&amp;$C386)&amp;"."&amp;X$5</f>
        <v>egy.distn.ctsamt.2</v>
      </c>
      <c r="Y386" s="218">
        <f>IFERROR(Y$337/SUMPRODUCT(Z385:AI385,Z322:AI322),0)</f>
        <v>0.0</v>
      </c>
      <c r="Z386" s="219">
        <f t="shared" ref="Z386:AI386" si="629">Y386</f>
        <v>0.0</v>
      </c>
      <c r="AA386" s="219">
        <f t="shared" si="629"/>
        <v>0.0</v>
      </c>
      <c r="AB386" s="219">
        <f t="shared" si="629"/>
        <v>0.0</v>
      </c>
      <c r="AC386" s="219">
        <f t="shared" si="629"/>
        <v>0.0</v>
      </c>
      <c r="AD386" s="219">
        <f t="shared" si="629"/>
        <v>0.0</v>
      </c>
      <c r="AE386" s="219">
        <f t="shared" si="629"/>
        <v>0.0</v>
      </c>
      <c r="AF386" s="219">
        <f t="shared" si="629"/>
        <v>0.0</v>
      </c>
      <c r="AG386" s="219">
        <f t="shared" si="629"/>
        <v>0.0</v>
      </c>
      <c r="AH386" s="219">
        <f t="shared" si="629"/>
        <v>0.0</v>
      </c>
      <c r="AI386" s="219">
        <f t="shared" si="629"/>
        <v>0.0</v>
      </c>
    </row>
    <row r="387" hidden="1" outlineLevel="1">
      <c r="A387" s="44" t="inlineStr">
        <is>
          <t>cts</t>
        </is>
      </c>
      <c r="B387" s="3" t="inlineStr"/>
      <c r="C387" s="3" t="inlineStr">
        <is>
          <t>ove</t>
        </is>
      </c>
      <c r="D387" s="3" t="n"/>
      <c r="E387" s="3" t="n"/>
      <c r="H387" s="3" t="inlineStr">
        <is>
          <t>Current spending per capita</t>
        </is>
      </c>
      <c r="I387" s="3" t="inlineStr">
        <is>
          <t>LCU</t>
        </is>
      </c>
      <c r="J387" s="118" t="inlineStr">
        <is>
          <t>legacy row 2645</t>
        </is>
      </c>
      <c r="K387" s="9" t="str">
        <f>LOWER(CtryCode)&amp;".distn."&amp;$A387&amp;IF($B387="","","."&amp;$B387)&amp;IF($C387="","",".dec."&amp;$C387)&amp;"."&amp;K$5</f>
        <v>egy.distn.cts.dec.ove.1</v>
      </c>
      <c r="M387" s="109">
        <f t="shared" ref="M387:V387" si="630">M$386*M385</f>
        <v>0.0</v>
      </c>
      <c r="N387" s="109">
        <f t="shared" si="630"/>
        <v>0.0</v>
      </c>
      <c r="O387" s="109">
        <f t="shared" si="630"/>
        <v>0.0</v>
      </c>
      <c r="P387" s="109">
        <f t="shared" si="630"/>
        <v>0.0</v>
      </c>
      <c r="Q387" s="109">
        <f t="shared" si="630"/>
        <v>0.0</v>
      </c>
      <c r="R387" s="109">
        <f t="shared" si="630"/>
        <v>0.0</v>
      </c>
      <c r="S387" s="109">
        <f t="shared" si="630"/>
        <v>0.0</v>
      </c>
      <c r="T387" s="109">
        <f t="shared" si="630"/>
        <v>0.0</v>
      </c>
      <c r="U387" s="109">
        <f t="shared" si="630"/>
        <v>0.0</v>
      </c>
      <c r="V387" s="109">
        <f t="shared" si="630"/>
        <v>0.0</v>
      </c>
      <c r="W387" s="201" t="str">
        <f>IF(X$5=K$5,SUM(Y387:AI387)-SUM(L387:V387),"")</f>
        <v/>
      </c>
      <c r="X387" s="9" t="str">
        <f>LOWER(CtryCode)&amp;".distn."&amp;$A387&amp;IF($B387="","","."&amp;$B387)&amp;IF($C387="","",".dec."&amp;$C387)&amp;"."&amp;X$5</f>
        <v>egy.distn.cts.dec.ove.2</v>
      </c>
      <c r="Z387" s="109">
        <f t="shared" ref="Z387:AI387" si="631">Z$386*Z385</f>
        <v>0.0</v>
      </c>
      <c r="AA387" s="109">
        <f t="shared" si="631"/>
        <v>0.0</v>
      </c>
      <c r="AB387" s="109">
        <f t="shared" si="631"/>
        <v>0.0</v>
      </c>
      <c r="AC387" s="109">
        <f t="shared" si="631"/>
        <v>0.0</v>
      </c>
      <c r="AD387" s="109">
        <f t="shared" si="631"/>
        <v>0.0</v>
      </c>
      <c r="AE387" s="109">
        <f t="shared" si="631"/>
        <v>0.0</v>
      </c>
      <c r="AF387" s="109">
        <f t="shared" si="631"/>
        <v>0.0</v>
      </c>
      <c r="AG387" s="109">
        <f t="shared" si="631"/>
        <v>0.0</v>
      </c>
      <c r="AH387" s="109">
        <f t="shared" si="631"/>
        <v>0.0</v>
      </c>
      <c r="AI387" s="109">
        <f t="shared" si="631"/>
        <v>0.0</v>
      </c>
    </row>
    <row r="388" hidden="1" outlineLevel="1"/>
    <row r="389" hidden="1" outlineLevel="1">
      <c r="B389" s="31" t="inlineStr">
        <is>
          <t>Recycling gains in % of consumption, by sample</t>
        </is>
      </c>
    </row>
    <row r="390" hidden="1" outlineLevel="1">
      <c r="A390" s="44" t="inlineStr">
        <is>
          <t>pit</t>
        </is>
      </c>
      <c r="B390" s="3" t="inlineStr">
        <is>
          <t>tot</t>
        </is>
      </c>
      <c r="C390" s="3" t="inlineStr">
        <is>
          <t>urb</t>
        </is>
      </c>
      <c r="D390" s="3" t="n"/>
      <c r="E390" s="3" t="n"/>
      <c r="H390" s="3" t="inlineStr">
        <is>
          <t>Gain from PIT reduction, urban</t>
        </is>
      </c>
      <c r="I390" s="3" t="inlineStr">
        <is>
          <t>% consumption</t>
        </is>
      </c>
      <c r="J390" s="118" t="inlineStr">
        <is>
          <t>legacy D.II 2878-2881</t>
        </is>
      </c>
      <c r="K390" s="9" t="str">
        <f>LOWER(CtryCode)&amp;".distn."&amp;$A390&amp;IF($B390="","","."&amp;$B390)&amp;IF($C390="","",".dec."&amp;$C390)&amp;"."&amp;K$5</f>
        <v>egy.distn.pit.tot.dec.urb.1</v>
      </c>
      <c r="M390" s="196">
        <f t="shared" ref="M390:V390" si="632">M355/M326*PctPerUnit</f>
        <v>0.0</v>
      </c>
      <c r="N390" s="196">
        <f t="shared" si="632"/>
        <v>0.0</v>
      </c>
      <c r="O390" s="196">
        <f t="shared" si="632"/>
        <v>0.0</v>
      </c>
      <c r="P390" s="196">
        <f t="shared" si="632"/>
        <v>0.0</v>
      </c>
      <c r="Q390" s="196">
        <f t="shared" si="632"/>
        <v>0.0</v>
      </c>
      <c r="R390" s="196">
        <f t="shared" si="632"/>
        <v>0.0</v>
      </c>
      <c r="S390" s="196">
        <f t="shared" si="632"/>
        <v>0.0</v>
      </c>
      <c r="T390" s="196">
        <f t="shared" si="632"/>
        <v>0.0</v>
      </c>
      <c r="U390" s="196">
        <f t="shared" si="632"/>
        <v>0.0</v>
      </c>
      <c r="V390" s="196">
        <f t="shared" si="632"/>
        <v>0.0</v>
      </c>
      <c r="W390" s="201" t="str">
        <f>IF(X$5=K$5,SUM(Y390:AI390)-SUM(L390:V390),"")</f>
        <v/>
      </c>
      <c r="X390" s="9" t="str">
        <f>LOWER(CtryCode)&amp;".distn."&amp;$A390&amp;IF($B390="","","."&amp;$B390)&amp;IF($C390="","",".dec."&amp;$C390)&amp;"."&amp;X$5</f>
        <v>egy.distn.pit.tot.dec.urb.2</v>
      </c>
      <c r="Z390" s="196">
        <f t="shared" ref="Z390:AI390" si="633">Z355/Z326*PctPerUnit</f>
        <v>0.3672274655419854</v>
      </c>
      <c r="AA390" s="196">
        <f t="shared" si="633"/>
        <v>0.4283603610439034</v>
      </c>
      <c r="AB390" s="196">
        <f t="shared" si="633"/>
        <v>0.37124083737703584</v>
      </c>
      <c r="AC390" s="196">
        <f t="shared" si="633"/>
        <v>0.34802958286870855</v>
      </c>
      <c r="AD390" s="196">
        <f t="shared" si="633"/>
        <v>0.27342154838622684</v>
      </c>
      <c r="AE390" s="196">
        <f t="shared" si="633"/>
        <v>0.2763028075732106</v>
      </c>
      <c r="AF390" s="196">
        <f t="shared" si="633"/>
        <v>0.24693333051412444</v>
      </c>
      <c r="AG390" s="196">
        <f t="shared" si="633"/>
        <v>0.20809456063170229</v>
      </c>
      <c r="AH390" s="196">
        <f t="shared" si="633"/>
        <v>0.16441569294053396</v>
      </c>
      <c r="AI390" s="196">
        <f t="shared" si="633"/>
        <v>0.11349398559847838</v>
      </c>
    </row>
    <row r="391" hidden="1" outlineLevel="1">
      <c r="A391" s="44" t="inlineStr">
        <is>
          <t>pui</t>
        </is>
      </c>
      <c r="B391" s="3" t="inlineStr">
        <is>
          <t>tot</t>
        </is>
      </c>
      <c r="C391" s="3" t="inlineStr">
        <is>
          <t>urb</t>
        </is>
      </c>
      <c r="D391" s="3" t="n"/>
      <c r="E391" s="3" t="n"/>
      <c r="H391" s="3" t="inlineStr">
        <is>
          <t>Gain from public investment, urban</t>
        </is>
      </c>
      <c r="I391" s="3" t="inlineStr">
        <is>
          <t>% consumption</t>
        </is>
      </c>
      <c r="J391" s="118" t="inlineStr">
        <is>
          <t>legacy D.II 2878-2881</t>
        </is>
      </c>
      <c r="K391" s="9" t="str">
        <f>LOWER(CtryCode)&amp;".distn."&amp;$A391&amp;IF($B391="","","."&amp;$B391)&amp;IF($C391="","",".dec."&amp;$C391)&amp;"."&amp;K$5</f>
        <v>egy.distn.pui.tot.dec.urb.1</v>
      </c>
      <c r="M391" s="196">
        <f t="shared" ref="M391:V391" si="634">M381/M326*PctPerUnit</f>
        <v>0.0</v>
      </c>
      <c r="N391" s="196">
        <f t="shared" si="634"/>
        <v>0.0</v>
      </c>
      <c r="O391" s="196">
        <f t="shared" si="634"/>
        <v>-0.0</v>
      </c>
      <c r="P391" s="196">
        <f t="shared" si="634"/>
        <v>0.0</v>
      </c>
      <c r="Q391" s="196">
        <f t="shared" si="634"/>
        <v>0.0</v>
      </c>
      <c r="R391" s="196">
        <f t="shared" si="634"/>
        <v>0.0</v>
      </c>
      <c r="S391" s="196">
        <f t="shared" si="634"/>
        <v>0.0</v>
      </c>
      <c r="T391" s="196">
        <f t="shared" si="634"/>
        <v>0.0</v>
      </c>
      <c r="U391" s="196">
        <f t="shared" si="634"/>
        <v>-0.0</v>
      </c>
      <c r="V391" s="196">
        <f t="shared" si="634"/>
        <v>0.0</v>
      </c>
      <c r="W391" s="201" t="str">
        <f>IF(X$5=K$5,SUM(Y391:AI391)-SUM(L391:V391),"")</f>
        <v/>
      </c>
      <c r="X391" s="9" t="str">
        <f>LOWER(CtryCode)&amp;".distn."&amp;$A391&amp;IF($B391="","","."&amp;$B391)&amp;IF($C391="","",".dec."&amp;$C391)&amp;"."&amp;X$5</f>
        <v>egy.distn.pui.tot.dec.urb.2</v>
      </c>
      <c r="Z391" s="196">
        <f t="shared" ref="Z391:AI391" si="635">Z381/Z326*PctPerUnit</f>
        <v>1.4515903525673728</v>
      </c>
      <c r="AA391" s="196">
        <f t="shared" si="635"/>
        <v>0.46076580015853946</v>
      </c>
      <c r="AB391" s="196">
        <f t="shared" si="635"/>
        <v>-0.18383649617037232</v>
      </c>
      <c r="AC391" s="196">
        <f t="shared" si="635"/>
        <v>0.4241968906753347</v>
      </c>
      <c r="AD391" s="196">
        <f t="shared" si="635"/>
        <v>0.038261725417328085</v>
      </c>
      <c r="AE391" s="196">
        <f t="shared" si="635"/>
        <v>0.2723476373576385</v>
      </c>
      <c r="AF391" s="196">
        <f t="shared" si="635"/>
        <v>0.07352535278723275</v>
      </c>
      <c r="AG391" s="196">
        <f t="shared" si="635"/>
        <v>0.0</v>
      </c>
      <c r="AH391" s="196">
        <f t="shared" si="635"/>
        <v>-0.047997900876157115</v>
      </c>
      <c r="AI391" s="196">
        <f t="shared" si="635"/>
        <v>0.0</v>
      </c>
    </row>
    <row r="392" hidden="1" outlineLevel="1">
      <c r="A392" s="44" t="inlineStr">
        <is>
          <t>cts</t>
        </is>
      </c>
      <c r="B392" s="3" t="inlineStr">
        <is>
          <t>tot</t>
        </is>
      </c>
      <c r="C392" s="3" t="inlineStr">
        <is>
          <t>urb</t>
        </is>
      </c>
      <c r="D392" s="3" t="n"/>
      <c r="E392" s="3" t="n"/>
      <c r="H392" s="3" t="inlineStr">
        <is>
          <t>Gain from current spending, urban</t>
        </is>
      </c>
      <c r="I392" s="3" t="inlineStr">
        <is>
          <t>% consumption</t>
        </is>
      </c>
      <c r="J392" s="118" t="inlineStr">
        <is>
          <t>legacy D.II 2878-2881</t>
        </is>
      </c>
      <c r="K392" s="9" t="str">
        <f>LOWER(CtryCode)&amp;".distn."&amp;$A392&amp;IF($B392="","","."&amp;$B392)&amp;IF($C392="","",".dec."&amp;$C392)&amp;"."&amp;K$5</f>
        <v>egy.distn.cts.tot.dec.urb.1</v>
      </c>
      <c r="M392" s="196">
        <f t="shared" ref="M392:V392" si="636">M387/M326*PctPerUnit</f>
        <v>0.0</v>
      </c>
      <c r="N392" s="196">
        <f t="shared" si="636"/>
        <v>0.0</v>
      </c>
      <c r="O392" s="196">
        <f t="shared" si="636"/>
        <v>0.0</v>
      </c>
      <c r="P392" s="196">
        <f t="shared" si="636"/>
        <v>0.0</v>
      </c>
      <c r="Q392" s="196">
        <f t="shared" si="636"/>
        <v>0.0</v>
      </c>
      <c r="R392" s="196">
        <f t="shared" si="636"/>
        <v>0.0</v>
      </c>
      <c r="S392" s="196">
        <f t="shared" si="636"/>
        <v>0.0</v>
      </c>
      <c r="T392" s="196">
        <f t="shared" si="636"/>
        <v>0.0</v>
      </c>
      <c r="U392" s="196">
        <f t="shared" si="636"/>
        <v>0.0</v>
      </c>
      <c r="V392" s="196">
        <f t="shared" si="636"/>
        <v>0.0</v>
      </c>
      <c r="W392" s="201" t="str">
        <f>IF(X$5=K$5,SUM(Y392:AI392)-SUM(L392:V392),"")</f>
        <v/>
      </c>
      <c r="X392" s="9" t="str">
        <f>LOWER(CtryCode)&amp;".distn."&amp;$A392&amp;IF($B392="","","."&amp;$B392)&amp;IF($C392="","",".dec."&amp;$C392)&amp;"."&amp;X$5</f>
        <v>egy.distn.cts.tot.dec.urb.2</v>
      </c>
      <c r="Z392" s="196">
        <f t="shared" ref="Z392:AI392" si="637">Z387/Z326*PctPerUnit</f>
        <v>0.0</v>
      </c>
      <c r="AA392" s="196">
        <f t="shared" si="637"/>
        <v>0.0</v>
      </c>
      <c r="AB392" s="196">
        <f t="shared" si="637"/>
        <v>0.0</v>
      </c>
      <c r="AC392" s="196">
        <f t="shared" si="637"/>
        <v>0.0</v>
      </c>
      <c r="AD392" s="196">
        <f t="shared" si="637"/>
        <v>0.0</v>
      </c>
      <c r="AE392" s="196">
        <f t="shared" si="637"/>
        <v>0.0</v>
      </c>
      <c r="AF392" s="196">
        <f t="shared" si="637"/>
        <v>0.0</v>
      </c>
      <c r="AG392" s="196">
        <f t="shared" si="637"/>
        <v>0.0</v>
      </c>
      <c r="AH392" s="196">
        <f t="shared" si="637"/>
        <v>0.0</v>
      </c>
      <c r="AI392" s="196">
        <f t="shared" si="637"/>
        <v>0.0</v>
      </c>
    </row>
    <row r="393" hidden="1" outlineLevel="1">
      <c r="A393" s="44" t="inlineStr">
        <is>
          <t>tgt</t>
        </is>
      </c>
      <c r="B393" s="3" t="inlineStr">
        <is>
          <t>tot</t>
        </is>
      </c>
      <c r="C393" s="3" t="inlineStr">
        <is>
          <t>urb</t>
        </is>
      </c>
      <c r="D393" s="3" t="n"/>
      <c r="E393" s="3" t="n"/>
      <c r="H393" s="3" t="inlineStr">
        <is>
          <t>Gain from targeted transfer, urban</t>
        </is>
      </c>
      <c r="I393" s="3" t="inlineStr">
        <is>
          <t>% consumption</t>
        </is>
      </c>
      <c r="J393" s="118" t="inlineStr">
        <is>
          <t>legacy D.II 2878-2881</t>
        </is>
      </c>
      <c r="K393" s="9" t="str">
        <f>LOWER(CtryCode)&amp;".distn."&amp;$A393&amp;IF($B393="","","."&amp;$B393)&amp;IF($C393="","",".dec."&amp;$C393)&amp;"."&amp;K$5</f>
        <v>egy.distn.tgt.tot.dec.urb.1</v>
      </c>
      <c r="M393" s="196">
        <f t="shared" ref="M393:V393" si="638">M370/M326*PctPerUnit</f>
        <v>0.0</v>
      </c>
      <c r="N393" s="196">
        <f t="shared" si="638"/>
        <v>0.0</v>
      </c>
      <c r="O393" s="196">
        <f t="shared" si="638"/>
        <v>0.0</v>
      </c>
      <c r="P393" s="196">
        <f t="shared" si="638"/>
        <v>0.0</v>
      </c>
      <c r="Q393" s="196">
        <f t="shared" si="638"/>
        <v>0.0</v>
      </c>
      <c r="R393" s="196">
        <f t="shared" si="638"/>
        <v>0.0</v>
      </c>
      <c r="S393" s="196">
        <f t="shared" si="638"/>
        <v>0.0</v>
      </c>
      <c r="T393" s="196">
        <f t="shared" si="638"/>
        <v>0.0</v>
      </c>
      <c r="U393" s="196">
        <f t="shared" si="638"/>
        <v>0.0</v>
      </c>
      <c r="V393" s="196">
        <f t="shared" si="638"/>
        <v>0.0</v>
      </c>
      <c r="W393" s="201" t="str">
        <f>IF(X$5=K$5,SUM(Y393:AI393)-SUM(L393:V393),"")</f>
        <v/>
      </c>
      <c r="X393" s="9" t="str">
        <f>LOWER(CtryCode)&amp;".distn."&amp;$A393&amp;IF($B393="","","."&amp;$B393)&amp;IF($C393="","",".dec."&amp;$C393)&amp;"."&amp;X$5</f>
        <v>egy.distn.tgt.tot.dec.urb.2</v>
      </c>
      <c r="Z393" s="196">
        <f t="shared" ref="Z393:AI393" si="639">Z370/Z326*PctPerUnit</f>
        <v>0.9677621812057107</v>
      </c>
      <c r="AA393" s="196">
        <f t="shared" si="639"/>
        <v>0.6869957864660783</v>
      </c>
      <c r="AB393" s="196">
        <f t="shared" si="639"/>
        <v>0.5953886359154101</v>
      </c>
      <c r="AC393" s="196">
        <f t="shared" si="639"/>
        <v>0.558162889800731</v>
      </c>
      <c r="AD393" s="196">
        <f t="shared" si="639"/>
        <v>0.019250628490961614</v>
      </c>
      <c r="AE393" s="196">
        <f t="shared" si="639"/>
        <v>0.0</v>
      </c>
      <c r="AF393" s="196">
        <f t="shared" si="639"/>
        <v>0.0</v>
      </c>
      <c r="AG393" s="196">
        <f t="shared" si="639"/>
        <v>0.0</v>
      </c>
      <c r="AH393" s="196">
        <f t="shared" si="639"/>
        <v>0.0</v>
      </c>
      <c r="AI393" s="196">
        <f t="shared" si="639"/>
        <v>0.0</v>
      </c>
    </row>
    <row r="394" hidden="1" outlineLevel="1">
      <c r="A394" s="44" t="inlineStr">
        <is>
          <t>rec</t>
        </is>
      </c>
      <c r="B394" s="3" t="inlineStr">
        <is>
          <t>tot</t>
        </is>
      </c>
      <c r="C394" s="3" t="inlineStr">
        <is>
          <t>urb</t>
        </is>
      </c>
      <c r="D394" s="3" t="n"/>
      <c r="E394" s="3" t="n"/>
      <c r="H394" s="3" t="inlineStr">
        <is>
          <t>Gain from recycling, total, urban</t>
        </is>
      </c>
      <c r="I394" s="3" t="inlineStr">
        <is>
          <t>% consumption</t>
        </is>
      </c>
      <c r="J394" s="118" t="inlineStr">
        <is>
          <t>legacy D.II 2882</t>
        </is>
      </c>
      <c r="K394" s="9" t="str">
        <f>LOWER(CtryCode)&amp;".distn."&amp;$A394&amp;IF($B394="","","."&amp;$B394)&amp;IF($C394="","",".dec."&amp;$C394)&amp;"."&amp;K$5</f>
        <v>egy.distn.rec.tot.dec.urb.1</v>
      </c>
      <c r="M394" s="196">
        <f t="shared" ref="M394:V394" si="640">SUM(M390:M393)</f>
        <v>0.0</v>
      </c>
      <c r="N394" s="196">
        <f t="shared" si="640"/>
        <v>0.0</v>
      </c>
      <c r="O394" s="196">
        <f t="shared" si="640"/>
        <v>0.0</v>
      </c>
      <c r="P394" s="196">
        <f t="shared" si="640"/>
        <v>0.0</v>
      </c>
      <c r="Q394" s="196">
        <f t="shared" si="640"/>
        <v>0.0</v>
      </c>
      <c r="R394" s="196">
        <f t="shared" si="640"/>
        <v>0.0</v>
      </c>
      <c r="S394" s="196">
        <f t="shared" si="640"/>
        <v>0.0</v>
      </c>
      <c r="T394" s="196">
        <f t="shared" si="640"/>
        <v>0.0</v>
      </c>
      <c r="U394" s="196">
        <f t="shared" si="640"/>
        <v>0.0</v>
      </c>
      <c r="V394" s="196">
        <f t="shared" si="640"/>
        <v>0.0</v>
      </c>
      <c r="W394" s="201" t="str">
        <f>IF(X$5=K$5,SUM(Y394:AI394)-SUM(L394:V394),"")</f>
        <v/>
      </c>
      <c r="X394" s="9" t="str">
        <f>LOWER(CtryCode)&amp;".distn."&amp;$A394&amp;IF($B394="","","."&amp;$B394)&amp;IF($C394="","",".dec."&amp;$C394)&amp;"."&amp;X$5</f>
        <v>egy.distn.rec.tot.dec.urb.2</v>
      </c>
      <c r="Z394" s="196">
        <f t="shared" ref="Z394:AI394" si="641">SUM(Z390:Z393)</f>
        <v>2.7865799993150686</v>
      </c>
      <c r="AA394" s="196">
        <f t="shared" si="641"/>
        <v>1.576121947668521</v>
      </c>
      <c r="AB394" s="196">
        <f t="shared" si="641"/>
        <v>0.7827929771220736</v>
      </c>
      <c r="AC394" s="196">
        <f t="shared" si="641"/>
        <v>1.3303893633447743</v>
      </c>
      <c r="AD394" s="196">
        <f t="shared" si="641"/>
        <v>0.3309339022945165</v>
      </c>
      <c r="AE394" s="196">
        <f t="shared" si="641"/>
        <v>0.5486504449308491</v>
      </c>
      <c r="AF394" s="196">
        <f t="shared" si="641"/>
        <v>0.3204586833013572</v>
      </c>
      <c r="AG394" s="196">
        <f t="shared" si="641"/>
        <v>0.20809456063170229</v>
      </c>
      <c r="AH394" s="196">
        <f t="shared" si="641"/>
        <v>0.11641779206437684</v>
      </c>
      <c r="AI394" s="196">
        <f t="shared" si="641"/>
        <v>0.11349398559847838</v>
      </c>
    </row>
    <row r="395" hidden="1" outlineLevel="1"/>
    <row r="396" hidden="1" outlineLevel="1">
      <c r="A396" s="44" t="inlineStr">
        <is>
          <t>pit</t>
        </is>
      </c>
      <c r="B396" s="3" t="inlineStr">
        <is>
          <t>tot</t>
        </is>
      </c>
      <c r="C396" s="3" t="inlineStr">
        <is>
          <t>rur</t>
        </is>
      </c>
      <c r="D396" s="3" t="n"/>
      <c r="E396" s="3" t="n"/>
      <c r="H396" s="3" t="inlineStr">
        <is>
          <t>Gain from PIT reduction, rural</t>
        </is>
      </c>
      <c r="I396" s="3" t="inlineStr">
        <is>
          <t>% consumption</t>
        </is>
      </c>
      <c r="J396" s="118" t="inlineStr">
        <is>
          <t>legacy D.II 2878-2881</t>
        </is>
      </c>
      <c r="K396" s="9" t="str">
        <f>LOWER(CtryCode)&amp;".distn."&amp;$A396&amp;IF($B396="","","."&amp;$B396)&amp;IF($C396="","",".dec."&amp;$C396)&amp;"."&amp;K$5</f>
        <v>egy.distn.pit.tot.dec.rur.1</v>
      </c>
      <c r="M396" s="196">
        <f t="shared" ref="M396:V396" si="642">M355/M327*PctPerUnit</f>
        <v>0.0</v>
      </c>
      <c r="N396" s="196">
        <f t="shared" si="642"/>
        <v>0.0</v>
      </c>
      <c r="O396" s="196">
        <f t="shared" si="642"/>
        <v>0.0</v>
      </c>
      <c r="P396" s="196">
        <f t="shared" si="642"/>
        <v>0.0</v>
      </c>
      <c r="Q396" s="196">
        <f t="shared" si="642"/>
        <v>0.0</v>
      </c>
      <c r="R396" s="196">
        <f t="shared" si="642"/>
        <v>0.0</v>
      </c>
      <c r="S396" s="196">
        <f t="shared" si="642"/>
        <v>0.0</v>
      </c>
      <c r="T396" s="196">
        <f t="shared" si="642"/>
        <v>0.0</v>
      </c>
      <c r="U396" s="196">
        <f t="shared" si="642"/>
        <v>0.0</v>
      </c>
      <c r="V396" s="196">
        <f t="shared" si="642"/>
        <v>0.0</v>
      </c>
      <c r="W396" s="201" t="str">
        <f>IF(X$5=K$5,SUM(Y396:AI396)-SUM(L396:V396),"")</f>
        <v/>
      </c>
      <c r="X396" s="9" t="str">
        <f>LOWER(CtryCode)&amp;".distn."&amp;$A396&amp;IF($B396="","","."&amp;$B396)&amp;IF($C396="","",".dec."&amp;$C396)&amp;"."&amp;X$5</f>
        <v>egy.distn.pit.tot.dec.rur.2</v>
      </c>
      <c r="Z396" s="196">
        <f t="shared" ref="Z396:AI396" si="643">Z355/Z327*PctPerUnit</f>
        <v>0.415080567746331</v>
      </c>
      <c r="AA396" s="196">
        <f t="shared" si="643"/>
        <v>0.555293296260911</v>
      </c>
      <c r="AB396" s="196">
        <f t="shared" si="643"/>
        <v>0.4782368505971353</v>
      </c>
      <c r="AC396" s="196">
        <f t="shared" si="643"/>
        <v>0.4118899169958802</v>
      </c>
      <c r="AD396" s="196">
        <f t="shared" si="643"/>
        <v>0.361903297985488</v>
      </c>
      <c r="AE396" s="196">
        <f t="shared" si="643"/>
        <v>0.33965126216830416</v>
      </c>
      <c r="AF396" s="196">
        <f t="shared" si="643"/>
        <v>0.29005767009855543</v>
      </c>
      <c r="AG396" s="196">
        <f t="shared" si="643"/>
        <v>0.271207369342805</v>
      </c>
      <c r="AH396" s="196">
        <f t="shared" si="643"/>
        <v>0.23231614736946393</v>
      </c>
      <c r="AI396" s="196">
        <f t="shared" si="643"/>
        <v>0.1543792606571073</v>
      </c>
    </row>
    <row r="397" hidden="1" outlineLevel="1">
      <c r="A397" s="44" t="inlineStr">
        <is>
          <t>pui</t>
        </is>
      </c>
      <c r="B397" s="3" t="inlineStr">
        <is>
          <t>tot</t>
        </is>
      </c>
      <c r="C397" s="3" t="inlineStr">
        <is>
          <t>rur</t>
        </is>
      </c>
      <c r="D397" s="3" t="n"/>
      <c r="E397" s="3" t="n"/>
      <c r="H397" s="3" t="inlineStr">
        <is>
          <t>Gain from public investment, rural</t>
        </is>
      </c>
      <c r="I397" s="3" t="inlineStr">
        <is>
          <t>% consumption</t>
        </is>
      </c>
      <c r="J397" s="118" t="inlineStr">
        <is>
          <t>legacy D.II 2878-2881</t>
        </is>
      </c>
      <c r="K397" s="9" t="str">
        <f>LOWER(CtryCode)&amp;".distn."&amp;$A397&amp;IF($B397="","","."&amp;$B397)&amp;IF($C397="","",".dec."&amp;$C397)&amp;"."&amp;K$5</f>
        <v>egy.distn.pui.tot.dec.rur.1</v>
      </c>
      <c r="M397" s="196">
        <f t="shared" ref="M397:V397" si="644">M382/M327*PctPerUnit</f>
        <v>0.0</v>
      </c>
      <c r="N397" s="196">
        <f t="shared" si="644"/>
        <v>0.0</v>
      </c>
      <c r="O397" s="196">
        <f t="shared" si="644"/>
        <v>0.0</v>
      </c>
      <c r="P397" s="196">
        <f t="shared" si="644"/>
        <v>0.0</v>
      </c>
      <c r="Q397" s="196">
        <f t="shared" si="644"/>
        <v>0.0</v>
      </c>
      <c r="R397" s="196">
        <f t="shared" si="644"/>
        <v>0.0</v>
      </c>
      <c r="S397" s="196">
        <f t="shared" si="644"/>
        <v>0.0</v>
      </c>
      <c r="T397" s="196">
        <f t="shared" si="644"/>
        <v>0.0</v>
      </c>
      <c r="U397" s="196">
        <f t="shared" si="644"/>
        <v>0.0</v>
      </c>
      <c r="V397" s="196">
        <f t="shared" si="644"/>
        <v>0.0</v>
      </c>
      <c r="W397" s="201" t="str">
        <f>IF(X$5=K$5,SUM(Y397:AI397)-SUM(L397:V397),"")</f>
        <v/>
      </c>
      <c r="X397" s="9" t="str">
        <f>LOWER(CtryCode)&amp;".distn."&amp;$A397&amp;IF($B397="","","."&amp;$B397)&amp;IF($C397="","",".dec."&amp;$C397)&amp;"."&amp;X$5</f>
        <v>egy.distn.pui.tot.dec.rur.2</v>
      </c>
      <c r="Z397" s="196">
        <f t="shared" ref="Z397:AI397" si="645">Z382/Z327*PctPerUnit</f>
        <v>3.5449278774191963</v>
      </c>
      <c r="AA397" s="196">
        <f t="shared" si="645"/>
        <v>2.4130926117659057</v>
      </c>
      <c r="AB397" s="196">
        <f t="shared" si="645"/>
        <v>1.6545173633123589</v>
      </c>
      <c r="AC397" s="196">
        <f t="shared" si="645"/>
        <v>0.8843112991411927</v>
      </c>
      <c r="AD397" s="196">
        <f t="shared" si="645"/>
        <v>0.66599852774129</v>
      </c>
      <c r="AE397" s="196">
        <f t="shared" si="645"/>
        <v>0.8459401342380104</v>
      </c>
      <c r="AF397" s="196">
        <f t="shared" si="645"/>
        <v>0.5683754951694151</v>
      </c>
      <c r="AG397" s="196">
        <f t="shared" si="645"/>
        <v>0.6323288896594226</v>
      </c>
      <c r="AH397" s="196">
        <f t="shared" si="645"/>
        <v>0.602120232918689</v>
      </c>
      <c r="AI397" s="196">
        <f t="shared" si="645"/>
        <v>0.4996594648827927</v>
      </c>
    </row>
    <row r="398" hidden="1" outlineLevel="1">
      <c r="A398" s="44" t="inlineStr">
        <is>
          <t>cts</t>
        </is>
      </c>
      <c r="B398" s="3" t="inlineStr">
        <is>
          <t>tot</t>
        </is>
      </c>
      <c r="C398" s="3" t="inlineStr">
        <is>
          <t>rur</t>
        </is>
      </c>
      <c r="D398" s="3" t="n"/>
      <c r="E398" s="3" t="n"/>
      <c r="H398" s="3" t="inlineStr">
        <is>
          <t>Gain from current spending, rural</t>
        </is>
      </c>
      <c r="I398" s="3" t="inlineStr">
        <is>
          <t>% consumption</t>
        </is>
      </c>
      <c r="J398" s="118" t="inlineStr">
        <is>
          <t>legacy D.II 2878-2881</t>
        </is>
      </c>
      <c r="K398" s="9" t="str">
        <f>LOWER(CtryCode)&amp;".distn."&amp;$A398&amp;IF($B398="","","."&amp;$B398)&amp;IF($C398="","",".dec."&amp;$C398)&amp;"."&amp;K$5</f>
        <v>egy.distn.cts.tot.dec.rur.1</v>
      </c>
      <c r="M398" s="196">
        <f t="shared" ref="M398:V398" si="646">M387/M327*PctPerUnit</f>
        <v>0.0</v>
      </c>
      <c r="N398" s="196">
        <f t="shared" si="646"/>
        <v>0.0</v>
      </c>
      <c r="O398" s="196">
        <f t="shared" si="646"/>
        <v>0.0</v>
      </c>
      <c r="P398" s="196">
        <f t="shared" si="646"/>
        <v>0.0</v>
      </c>
      <c r="Q398" s="196">
        <f t="shared" si="646"/>
        <v>0.0</v>
      </c>
      <c r="R398" s="196">
        <f t="shared" si="646"/>
        <v>0.0</v>
      </c>
      <c r="S398" s="196">
        <f t="shared" si="646"/>
        <v>0.0</v>
      </c>
      <c r="T398" s="196">
        <f t="shared" si="646"/>
        <v>0.0</v>
      </c>
      <c r="U398" s="196">
        <f t="shared" si="646"/>
        <v>0.0</v>
      </c>
      <c r="V398" s="196">
        <f t="shared" si="646"/>
        <v>0.0</v>
      </c>
      <c r="W398" s="201" t="str">
        <f>IF(X$5=K$5,SUM(Y398:AI398)-SUM(L398:V398),"")</f>
        <v/>
      </c>
      <c r="X398" s="9" t="str">
        <f>LOWER(CtryCode)&amp;".distn."&amp;$A398&amp;IF($B398="","","."&amp;$B398)&amp;IF($C398="","",".dec."&amp;$C398)&amp;"."&amp;X$5</f>
        <v>egy.distn.cts.tot.dec.rur.2</v>
      </c>
      <c r="Z398" s="196">
        <f t="shared" ref="Z398:AI398" si="647">Z387/Z327*PctPerUnit</f>
        <v>0.0</v>
      </c>
      <c r="AA398" s="196">
        <f t="shared" si="647"/>
        <v>0.0</v>
      </c>
      <c r="AB398" s="196">
        <f t="shared" si="647"/>
        <v>0.0</v>
      </c>
      <c r="AC398" s="196">
        <f t="shared" si="647"/>
        <v>0.0</v>
      </c>
      <c r="AD398" s="196">
        <f t="shared" si="647"/>
        <v>0.0</v>
      </c>
      <c r="AE398" s="196">
        <f t="shared" si="647"/>
        <v>0.0</v>
      </c>
      <c r="AF398" s="196">
        <f t="shared" si="647"/>
        <v>0.0</v>
      </c>
      <c r="AG398" s="196">
        <f t="shared" si="647"/>
        <v>0.0</v>
      </c>
      <c r="AH398" s="196">
        <f t="shared" si="647"/>
        <v>0.0</v>
      </c>
      <c r="AI398" s="196">
        <f t="shared" si="647"/>
        <v>0.0</v>
      </c>
    </row>
    <row r="399" hidden="1" outlineLevel="1">
      <c r="A399" s="44" t="inlineStr">
        <is>
          <t>tgt</t>
        </is>
      </c>
      <c r="B399" s="3" t="inlineStr">
        <is>
          <t>tot</t>
        </is>
      </c>
      <c r="C399" s="3" t="inlineStr">
        <is>
          <t>rur</t>
        </is>
      </c>
      <c r="D399" s="3" t="n"/>
      <c r="E399" s="3" t="n"/>
      <c r="H399" s="3" t="inlineStr">
        <is>
          <t>Gain from targeted transfer, rural</t>
        </is>
      </c>
      <c r="I399" s="3" t="inlineStr">
        <is>
          <t>% consumption</t>
        </is>
      </c>
      <c r="J399" s="118" t="inlineStr">
        <is>
          <t>legacy D.II 2878-2881</t>
        </is>
      </c>
      <c r="K399" s="9" t="str">
        <f>LOWER(CtryCode)&amp;".distn."&amp;$A399&amp;IF($B399="","","."&amp;$B399)&amp;IF($C399="","",".dec."&amp;$C399)&amp;"."&amp;K$5</f>
        <v>egy.distn.tgt.tot.dec.rur.1</v>
      </c>
      <c r="M399" s="196">
        <f t="shared" ref="M399:V399" si="648">M370/M327*PctPerUnit</f>
        <v>0.0</v>
      </c>
      <c r="N399" s="196">
        <f t="shared" si="648"/>
        <v>0.0</v>
      </c>
      <c r="O399" s="196">
        <f t="shared" si="648"/>
        <v>0.0</v>
      </c>
      <c r="P399" s="196">
        <f t="shared" si="648"/>
        <v>0.0</v>
      </c>
      <c r="Q399" s="196">
        <f t="shared" si="648"/>
        <v>0.0</v>
      </c>
      <c r="R399" s="196">
        <f t="shared" si="648"/>
        <v>0.0</v>
      </c>
      <c r="S399" s="196">
        <f t="shared" si="648"/>
        <v>0.0</v>
      </c>
      <c r="T399" s="196">
        <f t="shared" si="648"/>
        <v>0.0</v>
      </c>
      <c r="U399" s="196">
        <f t="shared" si="648"/>
        <v>0.0</v>
      </c>
      <c r="V399" s="196">
        <f t="shared" si="648"/>
        <v>0.0</v>
      </c>
      <c r="W399" s="201" t="str">
        <f>IF(X$5=K$5,SUM(Y399:AI399)-SUM(L399:V399),"")</f>
        <v/>
      </c>
      <c r="X399" s="9" t="str">
        <f>LOWER(CtryCode)&amp;".distn."&amp;$A399&amp;IF($B399="","","."&amp;$B399)&amp;IF($C399="","",".dec."&amp;$C399)&amp;"."&amp;X$5</f>
        <v>egy.distn.tgt.tot.dec.rur.2</v>
      </c>
      <c r="Z399" s="196">
        <f t="shared" ref="Z399:AI399" si="649">Z370/Z327*PctPerUnit</f>
        <v>1.093870457171367</v>
      </c>
      <c r="AA399" s="196">
        <f t="shared" si="649"/>
        <v>0.8905682912733529</v>
      </c>
      <c r="AB399" s="196">
        <f t="shared" si="649"/>
        <v>0.7669867036538567</v>
      </c>
      <c r="AC399" s="196">
        <f t="shared" si="649"/>
        <v>0.6605808174557746</v>
      </c>
      <c r="AD399" s="196">
        <f t="shared" si="649"/>
        <v>0.02548031045940544</v>
      </c>
      <c r="AE399" s="196">
        <f t="shared" si="649"/>
        <v>0.0</v>
      </c>
      <c r="AF399" s="196">
        <f t="shared" si="649"/>
        <v>0.0</v>
      </c>
      <c r="AG399" s="196">
        <f t="shared" si="649"/>
        <v>0.0</v>
      </c>
      <c r="AH399" s="196">
        <f t="shared" si="649"/>
        <v>0.0</v>
      </c>
      <c r="AI399" s="196">
        <f t="shared" si="649"/>
        <v>0.0</v>
      </c>
    </row>
    <row r="400" hidden="1" outlineLevel="1">
      <c r="A400" s="44" t="inlineStr">
        <is>
          <t>rec</t>
        </is>
      </c>
      <c r="B400" s="3" t="inlineStr">
        <is>
          <t>tot</t>
        </is>
      </c>
      <c r="C400" s="3" t="inlineStr">
        <is>
          <t>rur</t>
        </is>
      </c>
      <c r="D400" s="3" t="n"/>
      <c r="E400" s="3" t="n"/>
      <c r="H400" s="3" t="inlineStr">
        <is>
          <t>Gain from recycling, total, rural</t>
        </is>
      </c>
      <c r="I400" s="3" t="inlineStr">
        <is>
          <t>% consumption</t>
        </is>
      </c>
      <c r="J400" s="118" t="inlineStr">
        <is>
          <t>legacy D.II 2882</t>
        </is>
      </c>
      <c r="K400" s="9" t="str">
        <f>LOWER(CtryCode)&amp;".distn."&amp;$A400&amp;IF($B400="","","."&amp;$B400)&amp;IF($C400="","",".dec."&amp;$C400)&amp;"."&amp;K$5</f>
        <v>egy.distn.rec.tot.dec.rur.1</v>
      </c>
      <c r="M400" s="196">
        <f t="shared" ref="M400:V400" si="650">SUM(M396:M399)</f>
        <v>0.0</v>
      </c>
      <c r="N400" s="196">
        <f t="shared" si="650"/>
        <v>0.0</v>
      </c>
      <c r="O400" s="196">
        <f t="shared" si="650"/>
        <v>0.0</v>
      </c>
      <c r="P400" s="196">
        <f t="shared" si="650"/>
        <v>0.0</v>
      </c>
      <c r="Q400" s="196">
        <f t="shared" si="650"/>
        <v>0.0</v>
      </c>
      <c r="R400" s="196">
        <f t="shared" si="650"/>
        <v>0.0</v>
      </c>
      <c r="S400" s="196">
        <f t="shared" si="650"/>
        <v>0.0</v>
      </c>
      <c r="T400" s="196">
        <f t="shared" si="650"/>
        <v>0.0</v>
      </c>
      <c r="U400" s="196">
        <f t="shared" si="650"/>
        <v>0.0</v>
      </c>
      <c r="V400" s="196">
        <f t="shared" si="650"/>
        <v>0.0</v>
      </c>
      <c r="W400" s="201" t="str">
        <f>IF(X$5=K$5,SUM(Y400:AI400)-SUM(L400:V400),"")</f>
        <v/>
      </c>
      <c r="X400" s="9" t="str">
        <f>LOWER(CtryCode)&amp;".distn."&amp;$A400&amp;IF($B400="","","."&amp;$B400)&amp;IF($C400="","",".dec."&amp;$C400)&amp;"."&amp;X$5</f>
        <v>egy.distn.rec.tot.dec.rur.2</v>
      </c>
      <c r="Z400" s="196">
        <f t="shared" ref="Z400:AI400" si="651">SUM(Z396:Z399)</f>
        <v>5.053878902336894</v>
      </c>
      <c r="AA400" s="196">
        <f t="shared" si="651"/>
        <v>3.85895419930017</v>
      </c>
      <c r="AB400" s="196">
        <f t="shared" si="651"/>
        <v>2.8997409175633506</v>
      </c>
      <c r="AC400" s="196">
        <f t="shared" si="651"/>
        <v>1.9567820335928474</v>
      </c>
      <c r="AD400" s="196">
        <f t="shared" si="651"/>
        <v>1.0533821361861835</v>
      </c>
      <c r="AE400" s="196">
        <f t="shared" si="651"/>
        <v>1.1855913964063145</v>
      </c>
      <c r="AF400" s="196">
        <f t="shared" si="651"/>
        <v>0.8584331652679705</v>
      </c>
      <c r="AG400" s="196">
        <f t="shared" si="651"/>
        <v>0.9035362590022276</v>
      </c>
      <c r="AH400" s="196">
        <f t="shared" si="651"/>
        <v>0.8344363802881529</v>
      </c>
      <c r="AI400" s="196">
        <f t="shared" si="651"/>
        <v>0.6540387255399001</v>
      </c>
    </row>
    <row r="401" hidden="1" outlineLevel="1"/>
    <row r="402" hidden="1" outlineLevel="1">
      <c r="A402" s="44" t="inlineStr">
        <is>
          <t>pit</t>
        </is>
      </c>
      <c r="B402" s="3" t="inlineStr">
        <is>
          <t>tot</t>
        </is>
      </c>
      <c r="C402" s="3" t="inlineStr">
        <is>
          <t>ove</t>
        </is>
      </c>
      <c r="D402" s="3" t="n"/>
      <c r="E402" s="3" t="n"/>
      <c r="H402" s="3" t="inlineStr">
        <is>
          <t>Gain from PIT reduction, overall</t>
        </is>
      </c>
      <c r="I402" s="3" t="inlineStr">
        <is>
          <t>% consumption</t>
        </is>
      </c>
      <c r="J402" s="118" t="inlineStr">
        <is>
          <t>legacy D.II 2878-2881</t>
        </is>
      </c>
      <c r="K402" s="9" t="str">
        <f>LOWER(CtryCode)&amp;".distn."&amp;$A402&amp;IF($B402="","","."&amp;$B402)&amp;IF($C402="","",".dec."&amp;$C402)&amp;"."&amp;K$5</f>
        <v>egy.distn.pit.tot.dec.ove.1</v>
      </c>
      <c r="M402" s="196">
        <f t="shared" ref="M402:V402" si="652">M355/M325*PctPerUnit</f>
        <v>0.0</v>
      </c>
      <c r="N402" s="196">
        <f t="shared" si="652"/>
        <v>0.0</v>
      </c>
      <c r="O402" s="196">
        <f t="shared" si="652"/>
        <v>0.0</v>
      </c>
      <c r="P402" s="196">
        <f t="shared" si="652"/>
        <v>0.0</v>
      </c>
      <c r="Q402" s="196">
        <f t="shared" si="652"/>
        <v>0.0</v>
      </c>
      <c r="R402" s="196">
        <f t="shared" si="652"/>
        <v>0.0</v>
      </c>
      <c r="S402" s="196">
        <f t="shared" si="652"/>
        <v>0.0</v>
      </c>
      <c r="T402" s="196">
        <f t="shared" si="652"/>
        <v>0.0</v>
      </c>
      <c r="U402" s="196">
        <f t="shared" si="652"/>
        <v>0.0</v>
      </c>
      <c r="V402" s="196">
        <f t="shared" si="652"/>
        <v>0.0</v>
      </c>
      <c r="W402" s="201" t="str">
        <f>IF(X$5=K$5,SUM(Y402:AI402)-SUM(L402:V402),"")</f>
        <v/>
      </c>
      <c r="X402" s="9" t="str">
        <f>LOWER(CtryCode)&amp;".distn."&amp;$A402&amp;IF($B402="","","."&amp;$B402)&amp;IF($C402="","",".dec."&amp;$C402)&amp;"."&amp;X$5</f>
        <v>egy.distn.pit.tot.dec.ove.2</v>
      </c>
      <c r="Z402" s="196">
        <f t="shared" ref="Z402:AI402" si="653">Z355/Z325*PctPerUnit</f>
        <v>0.39156579918999695</v>
      </c>
      <c r="AA402" s="196">
        <f t="shared" si="653"/>
        <v>0.5049273529950038</v>
      </c>
      <c r="AB402" s="196">
        <f t="shared" si="653"/>
        <v>0.4087755473492105</v>
      </c>
      <c r="AC402" s="196">
        <f t="shared" si="653"/>
        <v>0.34294374006577377</v>
      </c>
      <c r="AD402" s="196">
        <f t="shared" si="653"/>
        <v>0.32515798605137797</v>
      </c>
      <c r="AE402" s="196">
        <f t="shared" si="653"/>
        <v>0.30552981553950587</v>
      </c>
      <c r="AF402" s="196">
        <f t="shared" si="653"/>
        <v>0.2434386157393957</v>
      </c>
      <c r="AG402" s="196">
        <f t="shared" si="653"/>
        <v>0.21202084256038922</v>
      </c>
      <c r="AH402" s="196">
        <f t="shared" si="653"/>
        <v>0.17802776708059806</v>
      </c>
      <c r="AI402" s="196">
        <f t="shared" si="653"/>
        <v>0.12799638312215209</v>
      </c>
    </row>
    <row r="403" hidden="1" outlineLevel="1">
      <c r="A403" s="44" t="inlineStr">
        <is>
          <t>pui</t>
        </is>
      </c>
      <c r="B403" s="3" t="inlineStr">
        <is>
          <t>tot</t>
        </is>
      </c>
      <c r="C403" s="3" t="inlineStr">
        <is>
          <t>ove</t>
        </is>
      </c>
      <c r="D403" s="3" t="n"/>
      <c r="E403" s="3" t="n"/>
      <c r="H403" s="3" t="inlineStr">
        <is>
          <t>Gain from public investment, overall</t>
        </is>
      </c>
      <c r="I403" s="3" t="inlineStr">
        <is>
          <t>% consumption</t>
        </is>
      </c>
      <c r="J403" s="118" t="inlineStr">
        <is>
          <t>legacy D.II 2878-2881</t>
        </is>
      </c>
      <c r="K403" s="9" t="str">
        <f>LOWER(CtryCode)&amp;".distn."&amp;$A403&amp;IF($B403="","","."&amp;$B403)&amp;IF($C403="","",".dec."&amp;$C403)&amp;"."&amp;K$5</f>
        <v>egy.distn.pui.tot.dec.ove.1</v>
      </c>
      <c r="M403" s="196">
        <f t="shared" ref="M403:V403" si="654">M380/M325*PctPerUnit</f>
        <v>0.0</v>
      </c>
      <c r="N403" s="196">
        <f t="shared" si="654"/>
        <v>0.0</v>
      </c>
      <c r="O403" s="196">
        <f t="shared" si="654"/>
        <v>0.0</v>
      </c>
      <c r="P403" s="196">
        <f t="shared" si="654"/>
        <v>0.0</v>
      </c>
      <c r="Q403" s="196">
        <f t="shared" si="654"/>
        <v>0.0</v>
      </c>
      <c r="R403" s="196">
        <f t="shared" si="654"/>
        <v>0.0</v>
      </c>
      <c r="S403" s="196">
        <f t="shared" si="654"/>
        <v>0.0</v>
      </c>
      <c r="T403" s="196">
        <f t="shared" si="654"/>
        <v>0.0</v>
      </c>
      <c r="U403" s="196">
        <f t="shared" si="654"/>
        <v>0.0</v>
      </c>
      <c r="V403" s="196">
        <f t="shared" si="654"/>
        <v>0.0</v>
      </c>
      <c r="W403" s="201" t="str">
        <f>IF(X$5=K$5,SUM(Y403:AI403)-SUM(L403:V403),"")</f>
        <v/>
      </c>
      <c r="X403" s="9" t="str">
        <f>LOWER(CtryCode)&amp;".distn."&amp;$A403&amp;IF($B403="","","."&amp;$B403)&amp;IF($C403="","",".dec."&amp;$C403)&amp;"."&amp;X$5</f>
        <v>egy.distn.pui.tot.dec.ove.2</v>
      </c>
      <c r="Z403" s="196">
        <f t="shared" ref="Z403:AI403" si="655">Z380/Z325*PctPerUnit</f>
        <v>2.910100433764139</v>
      </c>
      <c r="AA403" s="196">
        <f t="shared" si="655"/>
        <v>1.7078771451352768</v>
      </c>
      <c r="AB403" s="196">
        <f t="shared" si="655"/>
        <v>0.794619650020276</v>
      </c>
      <c r="AC403" s="196">
        <f t="shared" si="655"/>
        <v>0.5774588970905293</v>
      </c>
      <c r="AD403" s="196">
        <f t="shared" si="655"/>
        <v>0.6774649575308928</v>
      </c>
      <c r="AE403" s="196">
        <f t="shared" si="655"/>
        <v>0.27000674539928293</v>
      </c>
      <c r="AF403" s="196">
        <f t="shared" si="655"/>
        <v>0.12605624035668012</v>
      </c>
      <c r="AG403" s="196">
        <f t="shared" si="655"/>
        <v>0.06361971961013543</v>
      </c>
      <c r="AH403" s="196">
        <f t="shared" si="655"/>
        <v>0.1639165553556749</v>
      </c>
      <c r="AI403" s="196">
        <f t="shared" si="655"/>
        <v>0.0</v>
      </c>
    </row>
    <row r="404" hidden="1" outlineLevel="1">
      <c r="A404" s="44" t="inlineStr">
        <is>
          <t>cts</t>
        </is>
      </c>
      <c r="B404" s="3" t="inlineStr">
        <is>
          <t>tot</t>
        </is>
      </c>
      <c r="C404" s="3" t="inlineStr">
        <is>
          <t>ove</t>
        </is>
      </c>
      <c r="D404" s="3" t="n"/>
      <c r="E404" s="3" t="n"/>
      <c r="H404" s="3" t="inlineStr">
        <is>
          <t>Gain from current spending, overall</t>
        </is>
      </c>
      <c r="I404" s="3" t="inlineStr">
        <is>
          <t>% consumption</t>
        </is>
      </c>
      <c r="J404" s="118" t="inlineStr">
        <is>
          <t>legacy D.II 2878-2881</t>
        </is>
      </c>
      <c r="K404" s="9" t="str">
        <f>LOWER(CtryCode)&amp;".distn."&amp;$A404&amp;IF($B404="","","."&amp;$B404)&amp;IF($C404="","",".dec."&amp;$C404)&amp;"."&amp;K$5</f>
        <v>egy.distn.cts.tot.dec.ove.1</v>
      </c>
      <c r="M404" s="196">
        <f t="shared" ref="M404:V404" si="656">M387/M325*PctPerUnit</f>
        <v>0.0</v>
      </c>
      <c r="N404" s="196">
        <f t="shared" si="656"/>
        <v>0.0</v>
      </c>
      <c r="O404" s="196">
        <f t="shared" si="656"/>
        <v>0.0</v>
      </c>
      <c r="P404" s="196">
        <f t="shared" si="656"/>
        <v>0.0</v>
      </c>
      <c r="Q404" s="196">
        <f t="shared" si="656"/>
        <v>0.0</v>
      </c>
      <c r="R404" s="196">
        <f t="shared" si="656"/>
        <v>0.0</v>
      </c>
      <c r="S404" s="196">
        <f t="shared" si="656"/>
        <v>0.0</v>
      </c>
      <c r="T404" s="196">
        <f t="shared" si="656"/>
        <v>0.0</v>
      </c>
      <c r="U404" s="196">
        <f t="shared" si="656"/>
        <v>0.0</v>
      </c>
      <c r="V404" s="196">
        <f t="shared" si="656"/>
        <v>0.0</v>
      </c>
      <c r="W404" s="201" t="str">
        <f>IF(X$5=K$5,SUM(Y404:AI404)-SUM(L404:V404),"")</f>
        <v/>
      </c>
      <c r="X404" s="9" t="str">
        <f>LOWER(CtryCode)&amp;".distn."&amp;$A404&amp;IF($B404="","","."&amp;$B404)&amp;IF($C404="","",".dec."&amp;$C404)&amp;"."&amp;X$5</f>
        <v>egy.distn.cts.tot.dec.ove.2</v>
      </c>
      <c r="Z404" s="196">
        <f t="shared" ref="Z404:AI404" si="657">Z387/Z325*PctPerUnit</f>
        <v>0.0</v>
      </c>
      <c r="AA404" s="196">
        <f t="shared" si="657"/>
        <v>0.0</v>
      </c>
      <c r="AB404" s="196">
        <f t="shared" si="657"/>
        <v>0.0</v>
      </c>
      <c r="AC404" s="196">
        <f t="shared" si="657"/>
        <v>0.0</v>
      </c>
      <c r="AD404" s="196">
        <f t="shared" si="657"/>
        <v>0.0</v>
      </c>
      <c r="AE404" s="196">
        <f t="shared" si="657"/>
        <v>0.0</v>
      </c>
      <c r="AF404" s="196">
        <f t="shared" si="657"/>
        <v>0.0</v>
      </c>
      <c r="AG404" s="196">
        <f t="shared" si="657"/>
        <v>0.0</v>
      </c>
      <c r="AH404" s="196">
        <f t="shared" si="657"/>
        <v>0.0</v>
      </c>
      <c r="AI404" s="196">
        <f t="shared" si="657"/>
        <v>0.0</v>
      </c>
    </row>
    <row r="405" hidden="1" outlineLevel="1">
      <c r="A405" s="44" t="inlineStr">
        <is>
          <t>tgt</t>
        </is>
      </c>
      <c r="B405" s="3" t="inlineStr">
        <is>
          <t>tot</t>
        </is>
      </c>
      <c r="C405" s="3" t="inlineStr">
        <is>
          <t>ove</t>
        </is>
      </c>
      <c r="D405" s="3" t="n"/>
      <c r="E405" s="3" t="n"/>
      <c r="H405" s="3" t="inlineStr">
        <is>
          <t>Gain from targeted transfer, overall</t>
        </is>
      </c>
      <c r="I405" s="3" t="inlineStr">
        <is>
          <t>% consumption</t>
        </is>
      </c>
      <c r="J405" s="118" t="inlineStr">
        <is>
          <t>legacy D.II 2878-2881</t>
        </is>
      </c>
      <c r="K405" s="9" t="str">
        <f>LOWER(CtryCode)&amp;".distn."&amp;$A405&amp;IF($B405="","","."&amp;$B405)&amp;IF($C405="","",".dec."&amp;$C405)&amp;"."&amp;K$5</f>
        <v>egy.distn.tgt.tot.dec.ove.1</v>
      </c>
      <c r="M405" s="196">
        <f t="shared" ref="M405:V405" si="658">M370/M325*PctPerUnit</f>
        <v>0.0</v>
      </c>
      <c r="N405" s="196">
        <f t="shared" si="658"/>
        <v>0.0</v>
      </c>
      <c r="O405" s="196">
        <f t="shared" si="658"/>
        <v>0.0</v>
      </c>
      <c r="P405" s="196">
        <f t="shared" si="658"/>
        <v>0.0</v>
      </c>
      <c r="Q405" s="196">
        <f t="shared" si="658"/>
        <v>0.0</v>
      </c>
      <c r="R405" s="196">
        <f t="shared" si="658"/>
        <v>0.0</v>
      </c>
      <c r="S405" s="196">
        <f t="shared" si="658"/>
        <v>0.0</v>
      </c>
      <c r="T405" s="196">
        <f t="shared" si="658"/>
        <v>0.0</v>
      </c>
      <c r="U405" s="196">
        <f t="shared" si="658"/>
        <v>0.0</v>
      </c>
      <c r="V405" s="196">
        <f t="shared" si="658"/>
        <v>0.0</v>
      </c>
      <c r="W405" s="201" t="str">
        <f>IF(X$5=K$5,SUM(Y405:AI405)-SUM(L405:V405),"")</f>
        <v/>
      </c>
      <c r="X405" s="9" t="str">
        <f>LOWER(CtryCode)&amp;".distn."&amp;$A405&amp;IF($B405="","","."&amp;$B405)&amp;IF($C405="","",".dec."&amp;$C405)&amp;"."&amp;X$5</f>
        <v>egy.distn.tgt.tot.dec.ove.2</v>
      </c>
      <c r="Z405" s="196">
        <f t="shared" ref="Z405:AI405" si="659">Z370/Z325*PctPerUnit</f>
        <v>1.0319014982999521</v>
      </c>
      <c r="AA405" s="196">
        <f t="shared" si="659"/>
        <v>0.8097923980026834</v>
      </c>
      <c r="AB405" s="196">
        <f t="shared" si="659"/>
        <v>0.6555860536556277</v>
      </c>
      <c r="AC405" s="196">
        <f t="shared" si="659"/>
        <v>0.5500063167515107</v>
      </c>
      <c r="AD405" s="196">
        <f t="shared" si="659"/>
        <v>0.022893205116015163</v>
      </c>
      <c r="AE405" s="196">
        <f t="shared" si="659"/>
        <v>0.0</v>
      </c>
      <c r="AF405" s="196">
        <f t="shared" si="659"/>
        <v>0.0</v>
      </c>
      <c r="AG405" s="196">
        <f t="shared" si="659"/>
        <v>0.0</v>
      </c>
      <c r="AH405" s="196">
        <f t="shared" si="659"/>
        <v>0.0</v>
      </c>
      <c r="AI405" s="196">
        <f t="shared" si="659"/>
        <v>0.0</v>
      </c>
    </row>
    <row r="406" hidden="1" outlineLevel="1"/>
    <row r="407" collapsed="1">
      <c r="A407" s="44" t="inlineStr">
        <is>
          <t>rec</t>
        </is>
      </c>
      <c r="B407" s="3" t="inlineStr">
        <is>
          <t>tot</t>
        </is>
      </c>
      <c r="C407" s="3" t="inlineStr">
        <is>
          <t>ove</t>
        </is>
      </c>
      <c r="D407" s="3" t="n"/>
      <c r="E407" s="3" t="n"/>
      <c r="H407" s="6" t="inlineStr">
        <is>
          <t>Gain from recycling, total, overall</t>
        </is>
      </c>
      <c r="I407" s="3" t="inlineStr">
        <is>
          <t>% consumption</t>
        </is>
      </c>
      <c r="J407" s="118" t="inlineStr">
        <is>
          <t>legacy D.II 2882</t>
        </is>
      </c>
      <c r="K407" s="9" t="str">
        <f>LOWER(CtryCode)&amp;".distn."&amp;$A407&amp;IF($B407="","","."&amp;$B407)&amp;IF($C407="","",".dec."&amp;$C407)&amp;"."&amp;K$5</f>
        <v>egy.distn.rec.tot.dec.ove.1</v>
      </c>
      <c r="M407" s="210">
        <f t="shared" ref="M407:V407" si="660">SUM(M402:M405)</f>
        <v>0.0</v>
      </c>
      <c r="N407" s="210">
        <f t="shared" si="660"/>
        <v>0.0</v>
      </c>
      <c r="O407" s="210">
        <f t="shared" si="660"/>
        <v>0.0</v>
      </c>
      <c r="P407" s="210">
        <f t="shared" si="660"/>
        <v>0.0</v>
      </c>
      <c r="Q407" s="210">
        <f t="shared" si="660"/>
        <v>0.0</v>
      </c>
      <c r="R407" s="210">
        <f t="shared" si="660"/>
        <v>0.0</v>
      </c>
      <c r="S407" s="210">
        <f t="shared" si="660"/>
        <v>0.0</v>
      </c>
      <c r="T407" s="210">
        <f t="shared" si="660"/>
        <v>0.0</v>
      </c>
      <c r="U407" s="210">
        <f t="shared" si="660"/>
        <v>0.0</v>
      </c>
      <c r="V407" s="210">
        <f t="shared" si="660"/>
        <v>0.0</v>
      </c>
      <c r="W407" s="201" t="str">
        <f>IF(X$5=K$5,SUM(Y407:AI407)-SUM(L407:V407),"")</f>
        <v/>
      </c>
      <c r="X407" s="9" t="str">
        <f>LOWER(CtryCode)&amp;".distn."&amp;$A407&amp;IF($B407="","","."&amp;$B407)&amp;IF($C407="","",".dec."&amp;$C407)&amp;"."&amp;X$5</f>
        <v>egy.distn.rec.tot.dec.ove.2</v>
      </c>
      <c r="Z407" s="210">
        <f t="shared" ref="Z407:AI407" si="661">SUM(Z402:Z405)</f>
        <v>4.333567731254088</v>
      </c>
      <c r="AA407" s="210">
        <f t="shared" si="661"/>
        <v>3.022596896132964</v>
      </c>
      <c r="AB407" s="210">
        <f t="shared" si="661"/>
        <v>1.8589812510251142</v>
      </c>
      <c r="AC407" s="210">
        <f t="shared" si="661"/>
        <v>1.4704089539078138</v>
      </c>
      <c r="AD407" s="210">
        <f t="shared" si="661"/>
        <v>1.0255161486982858</v>
      </c>
      <c r="AE407" s="210">
        <f t="shared" si="661"/>
        <v>0.5755365609387888</v>
      </c>
      <c r="AF407" s="210">
        <f t="shared" si="661"/>
        <v>0.3694948560960758</v>
      </c>
      <c r="AG407" s="210">
        <f t="shared" si="661"/>
        <v>0.2756405621705247</v>
      </c>
      <c r="AH407" s="210">
        <f t="shared" si="661"/>
        <v>0.34194432243627293</v>
      </c>
      <c r="AI407" s="210">
        <f t="shared" si="661"/>
        <v>0.12799638312215209</v>
      </c>
    </row>
    <row r="408"/>
    <row r="409">
      <c r="A409" s="36" t="inlineStr">
        <is>
          <t>9</t>
        </is>
      </c>
      <c r="B409" s="37" t="inlineStr">
        <is>
          <t>Net effect, compensation and inequality (legacy C.IX, C.XII, D.V)</t>
        </is>
      </c>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row>
    <row r="410" hidden="1" outlineLevel="1"/>
    <row r="411" hidden="1" outlineLevel="1">
      <c r="B411" s="31" t="inlineStr">
        <is>
          <t>Share of revenue needed to compensate each decile</t>
        </is>
      </c>
    </row>
    <row r="412" hidden="1" outlineLevel="1">
      <c r="A412" s="44" t="inlineStr">
        <is>
          <t>compden</t>
        </is>
      </c>
      <c r="B412" s="3" t="inlineStr"/>
      <c r="C412" s="3" t="inlineStr">
        <is>
          <t>ove</t>
        </is>
      </c>
      <c r="D412" s="3" t="n"/>
      <c r="E412" s="3" t="n"/>
      <c r="H412" s="3" t="inlineStr">
        <is>
          <t>Total loss, overall</t>
        </is>
      </c>
      <c r="I412" s="3" t="inlineStr">
        <is>
          <t>% x LCU</t>
        </is>
      </c>
      <c r="J412" s="118" t="inlineStr">
        <is>
          <t>legacy D.V</t>
        </is>
      </c>
      <c r="K412" s="9" t="str">
        <f>LOWER(CtryCode)&amp;".distn."&amp;$A412&amp;IF($B412="","","."&amp;$B412)&amp;IF($C412="","",".dec."&amp;$C412)&amp;"."&amp;K$5</f>
        <v>egy.distn.compden.dec.ove.1</v>
      </c>
      <c r="L412" s="218">
        <f>SUMPRODUCT(M305:V305,M331:V331)</f>
        <v>0.0</v>
      </c>
      <c r="M412" s="219">
        <f t="shared" ref="M412:V412" si="662">L412</f>
        <v>0.0</v>
      </c>
      <c r="N412" s="219">
        <f t="shared" si="662"/>
        <v>0.0</v>
      </c>
      <c r="O412" s="219">
        <f t="shared" si="662"/>
        <v>0.0</v>
      </c>
      <c r="P412" s="219">
        <f t="shared" si="662"/>
        <v>0.0</v>
      </c>
      <c r="Q412" s="219">
        <f t="shared" si="662"/>
        <v>0.0</v>
      </c>
      <c r="R412" s="219">
        <f t="shared" si="662"/>
        <v>0.0</v>
      </c>
      <c r="S412" s="219">
        <f t="shared" si="662"/>
        <v>0.0</v>
      </c>
      <c r="T412" s="219">
        <f t="shared" si="662"/>
        <v>0.0</v>
      </c>
      <c r="U412" s="219">
        <f t="shared" si="662"/>
        <v>0.0</v>
      </c>
      <c r="V412" s="219">
        <f t="shared" si="662"/>
        <v>0.0</v>
      </c>
      <c r="W412" s="201" t="str">
        <f>IF(X$5=K$5,SUM(Y412:AI412)-SUM(L412:V412),"")</f>
        <v/>
      </c>
      <c r="X412" s="9" t="str">
        <f>LOWER(CtryCode)&amp;".distn."&amp;$A412&amp;IF($B412="","","."&amp;$B412)&amp;IF($C412="","",".dec."&amp;$C412)&amp;"."&amp;X$5</f>
        <v>egy.distn.compden.dec.ove.2</v>
      </c>
      <c r="Y412" s="218">
        <f>SUMPRODUCT(Z305:AI305,Z331:AI331)</f>
        <v>-12569855719822.156</v>
      </c>
      <c r="Z412" s="219">
        <f t="shared" ref="Z412:AI412" si="663">Y412</f>
        <v>-12569855719822.156</v>
      </c>
      <c r="AA412" s="219">
        <f t="shared" si="663"/>
        <v>-12569855719822.156</v>
      </c>
      <c r="AB412" s="219">
        <f t="shared" si="663"/>
        <v>-12569855719822.156</v>
      </c>
      <c r="AC412" s="219">
        <f t="shared" si="663"/>
        <v>-12569855719822.156</v>
      </c>
      <c r="AD412" s="219">
        <f t="shared" si="663"/>
        <v>-12569855719822.156</v>
      </c>
      <c r="AE412" s="219">
        <f t="shared" si="663"/>
        <v>-12569855719822.156</v>
      </c>
      <c r="AF412" s="219">
        <f t="shared" si="663"/>
        <v>-12569855719822.156</v>
      </c>
      <c r="AG412" s="219">
        <f t="shared" si="663"/>
        <v>-12569855719822.156</v>
      </c>
      <c r="AH412" s="219">
        <f t="shared" si="663"/>
        <v>-12569855719822.156</v>
      </c>
      <c r="AI412" s="219">
        <f t="shared" si="663"/>
        <v>-12569855719822.156</v>
      </c>
    </row>
    <row r="413" hidden="1" outlineLevel="1">
      <c r="A413" s="44" t="inlineStr">
        <is>
          <t>pctrev_comp</t>
        </is>
      </c>
      <c r="B413" s="3" t="inlineStr"/>
      <c r="C413" s="3" t="inlineStr">
        <is>
          <t>ove</t>
        </is>
      </c>
      <c r="D413" s="3" t="n"/>
      <c r="E413" s="3" t="n"/>
      <c r="H413" s="3" t="inlineStr">
        <is>
          <t>Share of the compensation, overall</t>
        </is>
      </c>
      <c r="I413" s="3" t="inlineStr">
        <is>
          <t>%</t>
        </is>
      </c>
      <c r="J413" s="118" t="inlineStr">
        <is>
          <t>legacy rows 3255-3263 (own-sample denominator)</t>
        </is>
      </c>
      <c r="K413" s="9" t="str">
        <f>LOWER(CtryCode)&amp;".distn."&amp;$A413&amp;IF($B413="","","."&amp;$B413)&amp;IF($C413="","",".dec."&amp;$C413)&amp;"."&amp;K$5</f>
        <v>egy.distn.pctrev_comp.dec.ove.1</v>
      </c>
      <c r="M413" s="196">
        <f t="shared" ref="M413:V413" si="664">IF(M$412=0,0,M305*M331/M$412*PctPerUnit)</f>
        <v>0.0</v>
      </c>
      <c r="N413" s="196">
        <f t="shared" si="664"/>
        <v>0.0</v>
      </c>
      <c r="O413" s="196">
        <f t="shared" si="664"/>
        <v>0.0</v>
      </c>
      <c r="P413" s="196">
        <f t="shared" si="664"/>
        <v>0.0</v>
      </c>
      <c r="Q413" s="196">
        <f t="shared" si="664"/>
        <v>0.0</v>
      </c>
      <c r="R413" s="196">
        <f t="shared" si="664"/>
        <v>0.0</v>
      </c>
      <c r="S413" s="196">
        <f t="shared" si="664"/>
        <v>0.0</v>
      </c>
      <c r="T413" s="196">
        <f t="shared" si="664"/>
        <v>0.0</v>
      </c>
      <c r="U413" s="196">
        <f t="shared" si="664"/>
        <v>0.0</v>
      </c>
      <c r="V413" s="196">
        <f t="shared" si="664"/>
        <v>0.0</v>
      </c>
      <c r="W413" s="201" t="str">
        <f>IF(X$5=K$5,SUM(Y413:AI413)-SUM(L413:V413),"")</f>
        <v/>
      </c>
      <c r="X413" s="9" t="str">
        <f>LOWER(CtryCode)&amp;".distn."&amp;$A413&amp;IF($B413="","","."&amp;$B413)&amp;IF($C413="","",".dec."&amp;$C413)&amp;"."&amp;X$5</f>
        <v>egy.distn.pctrev_comp.dec.ove.2</v>
      </c>
      <c r="Z413" s="196">
        <f t="shared" ref="Z413:AI413" si="665">IF(Z$412=0,0,Z305*Z331/Z$412*PctPerUnit)</f>
        <v>4.6061656611092445</v>
      </c>
      <c r="AA413" s="196">
        <f t="shared" si="665"/>
        <v>5.264096735970368</v>
      </c>
      <c r="AB413" s="196">
        <f t="shared" si="665"/>
        <v>7.333302522541196</v>
      </c>
      <c r="AC413" s="196">
        <f t="shared" si="665"/>
        <v>7.347528822097331</v>
      </c>
      <c r="AD413" s="196">
        <f t="shared" si="665"/>
        <v>7.805863267092669</v>
      </c>
      <c r="AE413" s="196">
        <f t="shared" si="665"/>
        <v>9.098796581610294</v>
      </c>
      <c r="AF413" s="196">
        <f t="shared" si="665"/>
        <v>10.85143451503888</v>
      </c>
      <c r="AG413" s="196">
        <f t="shared" si="665"/>
        <v>13.422695476233008</v>
      </c>
      <c r="AH413" s="196">
        <f t="shared" si="665"/>
        <v>14.18475972411915</v>
      </c>
      <c r="AI413" s="196">
        <f t="shared" si="665"/>
        <v>20.08535669418787</v>
      </c>
    </row>
    <row r="414" hidden="1" outlineLevel="1">
      <c r="A414" s="44" t="inlineStr">
        <is>
          <t>compden</t>
        </is>
      </c>
      <c r="B414" s="3" t="inlineStr"/>
      <c r="C414" s="3" t="inlineStr">
        <is>
          <t>urb</t>
        </is>
      </c>
      <c r="D414" s="3" t="n"/>
      <c r="E414" s="3" t="n"/>
      <c r="H414" s="3" t="inlineStr">
        <is>
          <t>Total loss, urban</t>
        </is>
      </c>
      <c r="I414" s="3" t="inlineStr">
        <is>
          <t>% x LCU</t>
        </is>
      </c>
      <c r="J414" s="118" t="inlineStr">
        <is>
          <t>legacy D.V</t>
        </is>
      </c>
      <c r="K414" s="9" t="str">
        <f>LOWER(CtryCode)&amp;".distn."&amp;$A414&amp;IF($B414="","","."&amp;$B414)&amp;IF($C414="","",".dec."&amp;$C414)&amp;"."&amp;K$5</f>
        <v>egy.distn.compden.dec.urb.1</v>
      </c>
      <c r="L414" s="218">
        <f>SUMPRODUCT(M302:V302,M328:V328)</f>
        <v>0.0</v>
      </c>
      <c r="M414" s="219">
        <f t="shared" ref="M414:V414" si="666">L414</f>
        <v>0.0</v>
      </c>
      <c r="N414" s="219">
        <f t="shared" si="666"/>
        <v>0.0</v>
      </c>
      <c r="O414" s="219">
        <f t="shared" si="666"/>
        <v>0.0</v>
      </c>
      <c r="P414" s="219">
        <f t="shared" si="666"/>
        <v>0.0</v>
      </c>
      <c r="Q414" s="219">
        <f t="shared" si="666"/>
        <v>0.0</v>
      </c>
      <c r="R414" s="219">
        <f t="shared" si="666"/>
        <v>0.0</v>
      </c>
      <c r="S414" s="219">
        <f t="shared" si="666"/>
        <v>0.0</v>
      </c>
      <c r="T414" s="219">
        <f t="shared" si="666"/>
        <v>0.0</v>
      </c>
      <c r="U414" s="219">
        <f t="shared" si="666"/>
        <v>0.0</v>
      </c>
      <c r="V414" s="219">
        <f t="shared" si="666"/>
        <v>0.0</v>
      </c>
      <c r="W414" s="201" t="str">
        <f>IF(X$5=K$5,SUM(Y414:AI414)-SUM(L414:V414),"")</f>
        <v/>
      </c>
      <c r="X414" s="9" t="str">
        <f>LOWER(CtryCode)&amp;".distn."&amp;$A414&amp;IF($B414="","","."&amp;$B414)&amp;IF($C414="","",".dec."&amp;$C414)&amp;"."&amp;X$5</f>
        <v>egy.distn.compden.dec.urb.2</v>
      </c>
      <c r="Y414" s="218">
        <f>SUMPRODUCT(Z302:AI302,Z328:AI328)</f>
        <v>-6305757336707.3125</v>
      </c>
      <c r="Z414" s="219">
        <f t="shared" ref="Z414:AI414" si="667">Y414</f>
        <v>-6305757336707.3125</v>
      </c>
      <c r="AA414" s="219">
        <f t="shared" si="667"/>
        <v>-6305757336707.3125</v>
      </c>
      <c r="AB414" s="219">
        <f t="shared" si="667"/>
        <v>-6305757336707.3125</v>
      </c>
      <c r="AC414" s="219">
        <f t="shared" si="667"/>
        <v>-6305757336707.3125</v>
      </c>
      <c r="AD414" s="219">
        <f t="shared" si="667"/>
        <v>-6305757336707.3125</v>
      </c>
      <c r="AE414" s="219">
        <f t="shared" si="667"/>
        <v>-6305757336707.3125</v>
      </c>
      <c r="AF414" s="219">
        <f t="shared" si="667"/>
        <v>-6305757336707.3125</v>
      </c>
      <c r="AG414" s="219">
        <f t="shared" si="667"/>
        <v>-6305757336707.3125</v>
      </c>
      <c r="AH414" s="219">
        <f t="shared" si="667"/>
        <v>-6305757336707.3125</v>
      </c>
      <c r="AI414" s="219">
        <f t="shared" si="667"/>
        <v>-6305757336707.3125</v>
      </c>
    </row>
    <row r="415" hidden="1" outlineLevel="1">
      <c r="A415" s="44" t="inlineStr">
        <is>
          <t>pctrev_comp</t>
        </is>
      </c>
      <c r="B415" s="3" t="inlineStr"/>
      <c r="C415" s="3" t="inlineStr">
        <is>
          <t>urb</t>
        </is>
      </c>
      <c r="D415" s="3" t="n"/>
      <c r="E415" s="3" t="n"/>
      <c r="H415" s="3" t="inlineStr">
        <is>
          <t>Share of the compensation, urban</t>
        </is>
      </c>
      <c r="I415" s="3" t="inlineStr">
        <is>
          <t>%</t>
        </is>
      </c>
      <c r="J415" s="118" t="inlineStr">
        <is>
          <t>legacy rows 3255-3263 (own-sample denominator)</t>
        </is>
      </c>
      <c r="K415" s="9" t="str">
        <f>LOWER(CtryCode)&amp;".distn."&amp;$A415&amp;IF($B415="","","."&amp;$B415)&amp;IF($C415="","",".dec."&amp;$C415)&amp;"."&amp;K$5</f>
        <v>egy.distn.pctrev_comp.dec.urb.1</v>
      </c>
      <c r="M415" s="196">
        <f t="shared" ref="M415:V415" si="668">IF(M$414=0,0,M302*M328/M$414*PctPerUnit)</f>
        <v>0.0</v>
      </c>
      <c r="N415" s="196">
        <f t="shared" si="668"/>
        <v>0.0</v>
      </c>
      <c r="O415" s="196">
        <f t="shared" si="668"/>
        <v>0.0</v>
      </c>
      <c r="P415" s="196">
        <f t="shared" si="668"/>
        <v>0.0</v>
      </c>
      <c r="Q415" s="196">
        <f t="shared" si="668"/>
        <v>0.0</v>
      </c>
      <c r="R415" s="196">
        <f t="shared" si="668"/>
        <v>0.0</v>
      </c>
      <c r="S415" s="196">
        <f t="shared" si="668"/>
        <v>0.0</v>
      </c>
      <c r="T415" s="196">
        <f t="shared" si="668"/>
        <v>0.0</v>
      </c>
      <c r="U415" s="196">
        <f t="shared" si="668"/>
        <v>0.0</v>
      </c>
      <c r="V415" s="196">
        <f t="shared" si="668"/>
        <v>0.0</v>
      </c>
      <c r="W415" s="201" t="str">
        <f>IF(X$5=K$5,SUM(Y415:AI415)-SUM(L415:V415),"")</f>
        <v/>
      </c>
      <c r="X415" s="9" t="str">
        <f>LOWER(CtryCode)&amp;".distn."&amp;$A415&amp;IF($B415="","","."&amp;$B415)&amp;IF($C415="","",".dec."&amp;$C415)&amp;"."&amp;X$5</f>
        <v>egy.distn.pctrev_comp.dec.urb.2</v>
      </c>
      <c r="Z415" s="196">
        <f t="shared" ref="Z415:AI415" si="669">IF(Z$414=0,0,Z302*Z328/Z$414*PctPerUnit)</f>
        <v>4.4281661009389985</v>
      </c>
      <c r="AA415" s="196">
        <f t="shared" si="669"/>
        <v>5.32033104195974</v>
      </c>
      <c r="AB415" s="196">
        <f t="shared" si="669"/>
        <v>6.358206711967998</v>
      </c>
      <c r="AC415" s="196">
        <f t="shared" si="669"/>
        <v>6.693319298491231</v>
      </c>
      <c r="AD415" s="196">
        <f t="shared" si="669"/>
        <v>8.899620252949479</v>
      </c>
      <c r="AE415" s="196">
        <f t="shared" si="669"/>
        <v>8.651599155585485</v>
      </c>
      <c r="AF415" s="196">
        <f t="shared" si="669"/>
        <v>10.606519564478019</v>
      </c>
      <c r="AG415" s="196">
        <f t="shared" si="669"/>
        <v>11.644298654993646</v>
      </c>
      <c r="AH415" s="196">
        <f t="shared" si="669"/>
        <v>14.523107066737756</v>
      </c>
      <c r="AI415" s="196">
        <f t="shared" si="669"/>
        <v>22.874832151897653</v>
      </c>
    </row>
    <row r="416" hidden="1" outlineLevel="1">
      <c r="A416" s="44" t="inlineStr">
        <is>
          <t>compden</t>
        </is>
      </c>
      <c r="B416" s="3" t="inlineStr"/>
      <c r="C416" s="3" t="inlineStr">
        <is>
          <t>rur</t>
        </is>
      </c>
      <c r="D416" s="3" t="n"/>
      <c r="E416" s="3" t="n"/>
      <c r="H416" s="3" t="inlineStr">
        <is>
          <t>Total loss, rural</t>
        </is>
      </c>
      <c r="I416" s="3" t="inlineStr">
        <is>
          <t>% x LCU</t>
        </is>
      </c>
      <c r="J416" s="118" t="inlineStr">
        <is>
          <t>legacy D.V</t>
        </is>
      </c>
      <c r="K416" s="9" t="str">
        <f>LOWER(CtryCode)&amp;".distn."&amp;$A416&amp;IF($B416="","","."&amp;$B416)&amp;IF($C416="","",".dec."&amp;$C416)&amp;"."&amp;K$5</f>
        <v>egy.distn.compden.dec.rur.1</v>
      </c>
      <c r="L416" s="218">
        <f>SUMPRODUCT(M303:V303,M329:V329)</f>
        <v>0.0</v>
      </c>
      <c r="M416" s="219">
        <f t="shared" ref="M416:V416" si="670">L416</f>
        <v>0.0</v>
      </c>
      <c r="N416" s="219">
        <f t="shared" si="670"/>
        <v>0.0</v>
      </c>
      <c r="O416" s="219">
        <f t="shared" si="670"/>
        <v>0.0</v>
      </c>
      <c r="P416" s="219">
        <f t="shared" si="670"/>
        <v>0.0</v>
      </c>
      <c r="Q416" s="219">
        <f t="shared" si="670"/>
        <v>0.0</v>
      </c>
      <c r="R416" s="219">
        <f t="shared" si="670"/>
        <v>0.0</v>
      </c>
      <c r="S416" s="219">
        <f t="shared" si="670"/>
        <v>0.0</v>
      </c>
      <c r="T416" s="219">
        <f t="shared" si="670"/>
        <v>0.0</v>
      </c>
      <c r="U416" s="219">
        <f t="shared" si="670"/>
        <v>0.0</v>
      </c>
      <c r="V416" s="219">
        <f t="shared" si="670"/>
        <v>0.0</v>
      </c>
      <c r="W416" s="201" t="str">
        <f>IF(X$5=K$5,SUM(Y416:AI416)-SUM(L416:V416),"")</f>
        <v/>
      </c>
      <c r="X416" s="9" t="str">
        <f>LOWER(CtryCode)&amp;".distn."&amp;$A416&amp;IF($B416="","","."&amp;$B416)&amp;IF($C416="","",".dec."&amp;$C416)&amp;"."&amp;X$5</f>
        <v>egy.distn.compden.dec.rur.2</v>
      </c>
      <c r="Y416" s="218">
        <f>SUMPRODUCT(Z303:AI303,Z329:AI329)</f>
        <v>-5941886986774.714</v>
      </c>
      <c r="Z416" s="219">
        <f t="shared" ref="Z416:AI416" si="671">Y416</f>
        <v>-5941886986774.714</v>
      </c>
      <c r="AA416" s="219">
        <f t="shared" si="671"/>
        <v>-5941886986774.714</v>
      </c>
      <c r="AB416" s="219">
        <f t="shared" si="671"/>
        <v>-5941886986774.714</v>
      </c>
      <c r="AC416" s="219">
        <f t="shared" si="671"/>
        <v>-5941886986774.714</v>
      </c>
      <c r="AD416" s="219">
        <f t="shared" si="671"/>
        <v>-5941886986774.714</v>
      </c>
      <c r="AE416" s="219">
        <f t="shared" si="671"/>
        <v>-5941886986774.714</v>
      </c>
      <c r="AF416" s="219">
        <f t="shared" si="671"/>
        <v>-5941886986774.714</v>
      </c>
      <c r="AG416" s="219">
        <f t="shared" si="671"/>
        <v>-5941886986774.714</v>
      </c>
      <c r="AH416" s="219">
        <f t="shared" si="671"/>
        <v>-5941886986774.714</v>
      </c>
      <c r="AI416" s="219">
        <f t="shared" si="671"/>
        <v>-5941886986774.714</v>
      </c>
    </row>
    <row r="417" hidden="1" outlineLevel="1">
      <c r="A417" s="44" t="inlineStr">
        <is>
          <t>pctrev_comp</t>
        </is>
      </c>
      <c r="B417" s="3" t="inlineStr"/>
      <c r="C417" s="3" t="inlineStr">
        <is>
          <t>rur</t>
        </is>
      </c>
      <c r="D417" s="3" t="n"/>
      <c r="E417" s="3" t="n"/>
      <c r="H417" s="3" t="inlineStr">
        <is>
          <t>Share of the compensation, rural</t>
        </is>
      </c>
      <c r="I417" s="3" t="inlineStr">
        <is>
          <t>%</t>
        </is>
      </c>
      <c r="J417" s="118" t="inlineStr">
        <is>
          <t>legacy rows 3255-3263 (own-sample denominator)</t>
        </is>
      </c>
      <c r="K417" s="9" t="str">
        <f>LOWER(CtryCode)&amp;".distn."&amp;$A417&amp;IF($B417="","","."&amp;$B417)&amp;IF($C417="","",".dec."&amp;$C417)&amp;"."&amp;K$5</f>
        <v>egy.distn.pctrev_comp.dec.rur.1</v>
      </c>
      <c r="M417" s="196">
        <f t="shared" ref="M417:V417" si="672">IF(M$416=0,0,M303*M329/M$416*PctPerUnit)</f>
        <v>0.0</v>
      </c>
      <c r="N417" s="196">
        <f t="shared" si="672"/>
        <v>0.0</v>
      </c>
      <c r="O417" s="196">
        <f t="shared" si="672"/>
        <v>0.0</v>
      </c>
      <c r="P417" s="196">
        <f t="shared" si="672"/>
        <v>0.0</v>
      </c>
      <c r="Q417" s="196">
        <f t="shared" si="672"/>
        <v>0.0</v>
      </c>
      <c r="R417" s="196">
        <f t="shared" si="672"/>
        <v>0.0</v>
      </c>
      <c r="S417" s="196">
        <f t="shared" si="672"/>
        <v>0.0</v>
      </c>
      <c r="T417" s="196">
        <f t="shared" si="672"/>
        <v>0.0</v>
      </c>
      <c r="U417" s="196">
        <f t="shared" si="672"/>
        <v>0.0</v>
      </c>
      <c r="V417" s="196">
        <f t="shared" si="672"/>
        <v>0.0</v>
      </c>
      <c r="W417" s="201" t="str">
        <f>IF(X$5=K$5,SUM(Y417:AI417)-SUM(L417:V417),"")</f>
        <v/>
      </c>
      <c r="X417" s="9" t="str">
        <f>LOWER(CtryCode)&amp;".distn."&amp;$A417&amp;IF($B417="","","."&amp;$B417)&amp;IF($C417="","",".dec."&amp;$C417)&amp;"."&amp;X$5</f>
        <v>egy.distn.pctrev_comp.dec.rur.2</v>
      </c>
      <c r="Z417" s="196">
        <f t="shared" ref="Z417:AI417" si="673">IF(Z$416=0,0,Z303*Z329/Z$416*PctPerUnit)</f>
        <v>5.275304760454609</v>
      </c>
      <c r="AA417" s="196">
        <f t="shared" si="673"/>
        <v>5.662114768194802</v>
      </c>
      <c r="AB417" s="196">
        <f t="shared" si="673"/>
        <v>6.820802609856054</v>
      </c>
      <c r="AC417" s="196">
        <f t="shared" si="673"/>
        <v>7.393206739126801</v>
      </c>
      <c r="AD417" s="196">
        <f t="shared" si="673"/>
        <v>8.013175143843988</v>
      </c>
      <c r="AE417" s="196">
        <f t="shared" si="673"/>
        <v>9.149747723911858</v>
      </c>
      <c r="AF417" s="196">
        <f t="shared" si="673"/>
        <v>10.637162639141572</v>
      </c>
      <c r="AG417" s="196">
        <f t="shared" si="673"/>
        <v>11.471267980948127</v>
      </c>
      <c r="AH417" s="196">
        <f t="shared" si="673"/>
        <v>13.135767760672753</v>
      </c>
      <c r="AI417" s="196">
        <f t="shared" si="673"/>
        <v>22.441449873849447</v>
      </c>
    </row>
    <row r="418" hidden="1" outlineLevel="1"/>
    <row r="419" hidden="1" outlineLevel="1">
      <c r="B419" s="31" t="inlineStr">
        <is>
          <t>Gini of consumption (Lorenz fit of legacy C.IX: weights DGiniW)</t>
        </is>
      </c>
    </row>
    <row r="420" hidden="1" outlineLevel="1">
      <c r="A420" s="44" t="inlineStr">
        <is>
          <t>postx</t>
        </is>
      </c>
      <c r="B420" s="3" t="inlineStr"/>
      <c r="C420" s="3" t="inlineStr">
        <is>
          <t>ove</t>
        </is>
      </c>
      <c r="D420" s="3" t="n"/>
      <c r="E420" s="3" t="n"/>
      <c r="H420" s="3" t="inlineStr">
        <is>
          <t>Consumption after the price effects, overall</t>
        </is>
      </c>
      <c r="I420" s="3" t="inlineStr">
        <is>
          <t>LCU bn</t>
        </is>
      </c>
      <c r="J420" s="118" t="inlineStr">
        <is>
          <t>legacy rows 2415-2417</t>
        </is>
      </c>
      <c r="K420" s="9" t="str">
        <f>LOWER(CtryCode)&amp;".distn."&amp;$A420&amp;IF($B420="","","."&amp;$B420)&amp;IF($C420="","",".dec."&amp;$C420)&amp;"."&amp;K$5</f>
        <v>egy.distn.postx.dec.ove.1</v>
      </c>
      <c r="M420" s="213">
        <f t="shared" ref="M420:V420" si="674">M331*(1+M305/PctPerUnit)</f>
        <v>347604223750.0758</v>
      </c>
      <c r="N420" s="213">
        <f t="shared" si="674"/>
        <v>435211028821.8011</v>
      </c>
      <c r="O420" s="213">
        <f t="shared" si="674"/>
        <v>611217278193.0446</v>
      </c>
      <c r="P420" s="213">
        <f t="shared" si="674"/>
        <v>655357444410.5134</v>
      </c>
      <c r="Q420" s="213">
        <f t="shared" si="674"/>
        <v>705152307297.339</v>
      </c>
      <c r="R420" s="213">
        <f t="shared" si="674"/>
        <v>824159892463.1051</v>
      </c>
      <c r="S420" s="213">
        <f t="shared" si="674"/>
        <v>961869164245.437</v>
      </c>
      <c r="T420" s="213">
        <f t="shared" si="674"/>
        <v>1155257263141.3003</v>
      </c>
      <c r="U420" s="213">
        <f t="shared" si="674"/>
        <v>1263383731192.2397</v>
      </c>
      <c r="V420" s="213">
        <f t="shared" si="674"/>
        <v>1695909796282.2302</v>
      </c>
      <c r="W420" s="201" t="str">
        <f>IF(X$5=K$5,SUM(Y420:AI420)-SUM(L420:V420),"")</f>
        <v/>
      </c>
      <c r="X420" s="9" t="str">
        <f>LOWER(CtryCode)&amp;".distn."&amp;$A420&amp;IF($B420="","","."&amp;$B420)&amp;IF($C420="","",".dec."&amp;$C420)&amp;"."&amp;X$5</f>
        <v>egy.distn.postx.dec.ove.2</v>
      </c>
      <c r="Z420" s="220">
        <f t="shared" ref="Z420:AI420" si="675">DPOST(Z331,Z305)</f>
        <v>341814339971.90155</v>
      </c>
      <c r="AA420" s="220">
        <f t="shared" si="675"/>
        <v>428594135175.16766</v>
      </c>
      <c r="AB420" s="220">
        <f t="shared" si="675"/>
        <v>601999422727.2295</v>
      </c>
      <c r="AC420" s="220">
        <f t="shared" si="675"/>
        <v>646121706691.4136</v>
      </c>
      <c r="AD420" s="220">
        <f t="shared" si="675"/>
        <v>695340449793.7375</v>
      </c>
      <c r="AE420" s="220">
        <f t="shared" si="675"/>
        <v>812722836437.6199</v>
      </c>
      <c r="AF420" s="220">
        <f t="shared" si="675"/>
        <v>948229067624.7233</v>
      </c>
      <c r="AG420" s="220">
        <f t="shared" si="675"/>
        <v>1138385128590.5645</v>
      </c>
      <c r="AH420" s="220">
        <f t="shared" si="675"/>
        <v>1245553692876.9875</v>
      </c>
      <c r="AI420" s="220">
        <f t="shared" si="675"/>
        <v>1670662792709.5195</v>
      </c>
    </row>
    <row r="421" hidden="1" outlineLevel="1">
      <c r="A421" s="44" t="inlineStr">
        <is>
          <t>posti</t>
        </is>
      </c>
      <c r="B421" s="3" t="inlineStr"/>
      <c r="C421" s="3" t="inlineStr">
        <is>
          <t>ove</t>
        </is>
      </c>
      <c r="D421" s="3" t="n"/>
      <c r="E421" s="3" t="n"/>
      <c r="H421" s="3" t="inlineStr">
        <is>
          <t>Consumption after price effects and recycling, overall</t>
        </is>
      </c>
      <c r="I421" s="3" t="inlineStr">
        <is>
          <t>LCU bn</t>
        </is>
      </c>
      <c r="J421" s="118" t="inlineStr">
        <is>
          <t>legacy rows 2420-2422</t>
        </is>
      </c>
      <c r="K421" s="9" t="str">
        <f>LOWER(CtryCode)&amp;".distn."&amp;$A421&amp;IF($B421="","","."&amp;$B421)&amp;IF($C421="","",".dec."&amp;$C421)&amp;"."&amp;K$5</f>
        <v>egy.distn.posti.dec.ove.1</v>
      </c>
      <c r="M421" s="213">
        <f t="shared" ref="M421:V421" si="676">M331*(1+M447/PctPerUnit)</f>
        <v>347604223750.0758</v>
      </c>
      <c r="N421" s="213">
        <f t="shared" si="676"/>
        <v>435211028821.8011</v>
      </c>
      <c r="O421" s="213">
        <f t="shared" si="676"/>
        <v>611217278193.0446</v>
      </c>
      <c r="P421" s="213">
        <f t="shared" si="676"/>
        <v>655357444410.5134</v>
      </c>
      <c r="Q421" s="213">
        <f t="shared" si="676"/>
        <v>705152307297.339</v>
      </c>
      <c r="R421" s="213">
        <f t="shared" si="676"/>
        <v>824159892463.1051</v>
      </c>
      <c r="S421" s="213">
        <f t="shared" si="676"/>
        <v>961869164245.437</v>
      </c>
      <c r="T421" s="213">
        <f t="shared" si="676"/>
        <v>1155257263141.3003</v>
      </c>
      <c r="U421" s="213">
        <f t="shared" si="676"/>
        <v>1263383731192.2397</v>
      </c>
      <c r="V421" s="213">
        <f t="shared" si="676"/>
        <v>1695909796282.2302</v>
      </c>
      <c r="W421" s="201" t="str">
        <f>IF(X$5=K$5,SUM(Y421:AI421)-SUM(L421:V421),"")</f>
        <v/>
      </c>
      <c r="X421" s="9" t="str">
        <f>LOWER(CtryCode)&amp;".distn."&amp;$A421&amp;IF($B421="","","."&amp;$B421)&amp;IF($C421="","",".dec."&amp;$C421)&amp;"."&amp;X$5</f>
        <v>egy.distn.posti.dec.ove.2</v>
      </c>
      <c r="Z421" s="220">
        <f t="shared" ref="Z421:AI421" si="677">DPOST(Z331,Z447)</f>
        <v>356878004444.81116</v>
      </c>
      <c r="AA421" s="220">
        <f t="shared" si="677"/>
        <v>441748810223.9638</v>
      </c>
      <c r="AB421" s="220">
        <f t="shared" si="677"/>
        <v>613361837331.8641</v>
      </c>
      <c r="AC421" s="220">
        <f t="shared" si="677"/>
        <v>655758141234.1272</v>
      </c>
      <c r="AD421" s="220">
        <f t="shared" si="677"/>
        <v>702571900577.9904</v>
      </c>
      <c r="AE421" s="220">
        <f t="shared" si="677"/>
        <v>817466177939.3389</v>
      </c>
      <c r="AF421" s="220">
        <f t="shared" si="677"/>
        <v>951783124708.9845</v>
      </c>
      <c r="AG421" s="220">
        <f t="shared" si="677"/>
        <v>1141569486205.203</v>
      </c>
      <c r="AH421" s="220">
        <f t="shared" si="677"/>
        <v>1249873761816.383</v>
      </c>
      <c r="AI421" s="220">
        <f t="shared" si="677"/>
        <v>1672833495909.7751</v>
      </c>
    </row>
    <row r="422" hidden="1" outlineLevel="1">
      <c r="A422" s="44" t="inlineStr">
        <is>
          <t>gini.g0</t>
        </is>
      </c>
      <c r="B422" s="3" t="inlineStr"/>
      <c r="C422" s="3" t="inlineStr">
        <is>
          <t>ove</t>
        </is>
      </c>
      <c r="D422" s="3" t="n"/>
      <c r="E422" s="3" t="n"/>
      <c r="H422" s="3" t="inlineStr">
        <is>
          <t>Gini, baseline, overall</t>
        </is>
      </c>
      <c r="I422" s="3" t="inlineStr">
        <is>
          <t>index</t>
        </is>
      </c>
      <c r="J422" s="118" t="inlineStr">
        <is>
          <t>legacy rows 2512-2529</t>
        </is>
      </c>
      <c r="K422" s="9" t="str">
        <f>LOWER(CtryCode)&amp;".distn."&amp;$A422&amp;IF($B422="","","."&amp;$B422)&amp;IF($C422="","",".dec."&amp;$C422)&amp;"."&amp;K$5</f>
        <v>egy.distn.gini.g0.dec.ove.1</v>
      </c>
      <c r="L422" s="211">
        <f>1-SUMPRODUCT(M331:V331,DGiniW)/SUM(M331:V331)</f>
        <v>0.2537623871181127</v>
      </c>
      <c r="M422" s="197">
        <f t="shared" ref="M422:V422" si="678">L422</f>
        <v>0.2537623871181127</v>
      </c>
      <c r="N422" s="197">
        <f t="shared" si="678"/>
        <v>0.2537623871181127</v>
      </c>
      <c r="O422" s="197">
        <f t="shared" si="678"/>
        <v>0.2537623871181127</v>
      </c>
      <c r="P422" s="197">
        <f t="shared" si="678"/>
        <v>0.2537623871181127</v>
      </c>
      <c r="Q422" s="197">
        <f t="shared" si="678"/>
        <v>0.2537623871181127</v>
      </c>
      <c r="R422" s="197">
        <f t="shared" si="678"/>
        <v>0.2537623871181127</v>
      </c>
      <c r="S422" s="197">
        <f t="shared" si="678"/>
        <v>0.2537623871181127</v>
      </c>
      <c r="T422" s="197">
        <f t="shared" si="678"/>
        <v>0.2537623871181127</v>
      </c>
      <c r="U422" s="197">
        <f t="shared" si="678"/>
        <v>0.2537623871181127</v>
      </c>
      <c r="V422" s="197">
        <f t="shared" si="678"/>
        <v>0.2537623871181127</v>
      </c>
      <c r="W422" s="201" t="str">
        <f>IF(X$5=K$5,SUM(Y422:AI422)-SUM(L422:V422),"")</f>
        <v/>
      </c>
      <c r="X422" s="9" t="str">
        <f>LOWER(CtryCode)&amp;".distn."&amp;$A422&amp;IF($B422="","","."&amp;$B422)&amp;IF($C422="","",".dec."&amp;$C422)&amp;"."&amp;X$5</f>
        <v>egy.distn.gini.g0.dec.ove.2</v>
      </c>
      <c r="Y422" s="221">
        <f>DGINI(Z331:AI331,DGiniW)</f>
        <v>0.2537623871181127</v>
      </c>
      <c r="Z422" s="197">
        <f t="shared" ref="Z422:AI422" si="679">Y422</f>
        <v>0.2537623871181127</v>
      </c>
      <c r="AA422" s="197">
        <f t="shared" si="679"/>
        <v>0.2537623871181127</v>
      </c>
      <c r="AB422" s="197">
        <f t="shared" si="679"/>
        <v>0.2537623871181127</v>
      </c>
      <c r="AC422" s="197">
        <f t="shared" si="679"/>
        <v>0.2537623871181127</v>
      </c>
      <c r="AD422" s="197">
        <f t="shared" si="679"/>
        <v>0.2537623871181127</v>
      </c>
      <c r="AE422" s="197">
        <f t="shared" si="679"/>
        <v>0.2537623871181127</v>
      </c>
      <c r="AF422" s="197">
        <f t="shared" si="679"/>
        <v>0.2537623871181127</v>
      </c>
      <c r="AG422" s="197">
        <f t="shared" si="679"/>
        <v>0.2537623871181127</v>
      </c>
      <c r="AH422" s="197">
        <f t="shared" si="679"/>
        <v>0.2537623871181127</v>
      </c>
      <c r="AI422" s="197">
        <f t="shared" si="679"/>
        <v>0.2537623871181127</v>
      </c>
    </row>
    <row r="423" hidden="1" outlineLevel="1">
      <c r="A423" s="44" t="inlineStr">
        <is>
          <t>gini.gx</t>
        </is>
      </c>
      <c r="B423" s="3" t="inlineStr"/>
      <c r="C423" s="3" t="inlineStr">
        <is>
          <t>ove</t>
        </is>
      </c>
      <c r="D423" s="3" t="n"/>
      <c r="E423" s="3" t="n"/>
      <c r="H423" s="3" t="inlineStr">
        <is>
          <t>Gini, after price effects, overall</t>
        </is>
      </c>
      <c r="I423" s="3" t="inlineStr">
        <is>
          <t>index</t>
        </is>
      </c>
      <c r="J423" s="118" t="inlineStr">
        <is>
          <t>legacy rows 2512-2529</t>
        </is>
      </c>
      <c r="K423" s="9" t="str">
        <f>LOWER(CtryCode)&amp;".distn."&amp;$A423&amp;IF($B423="","","."&amp;$B423)&amp;IF($C423="","",".dec."&amp;$C423)&amp;"."&amp;K$5</f>
        <v>egy.distn.gini.gx.dec.ove.1</v>
      </c>
      <c r="L423" s="211">
        <f>1-SUMPRODUCT(M420:V420,DGiniW)/SUM(M420:V420)</f>
        <v>0.2537623871181127</v>
      </c>
      <c r="M423" s="197">
        <f t="shared" ref="M423:V423" si="680">L423</f>
        <v>0.2537623871181127</v>
      </c>
      <c r="N423" s="197">
        <f t="shared" si="680"/>
        <v>0.2537623871181127</v>
      </c>
      <c r="O423" s="197">
        <f t="shared" si="680"/>
        <v>0.2537623871181127</v>
      </c>
      <c r="P423" s="197">
        <f t="shared" si="680"/>
        <v>0.2537623871181127</v>
      </c>
      <c r="Q423" s="197">
        <f t="shared" si="680"/>
        <v>0.2537623871181127</v>
      </c>
      <c r="R423" s="197">
        <f t="shared" si="680"/>
        <v>0.2537623871181127</v>
      </c>
      <c r="S423" s="197">
        <f t="shared" si="680"/>
        <v>0.2537623871181127</v>
      </c>
      <c r="T423" s="197">
        <f t="shared" si="680"/>
        <v>0.2537623871181127</v>
      </c>
      <c r="U423" s="197">
        <f t="shared" si="680"/>
        <v>0.2537623871181127</v>
      </c>
      <c r="V423" s="197">
        <f t="shared" si="680"/>
        <v>0.2537623871181127</v>
      </c>
      <c r="W423" s="201" t="str">
        <f>IF(X$5=K$5,SUM(Y423:AI423)-SUM(L423:V423),"")</f>
        <v/>
      </c>
      <c r="X423" s="9" t="str">
        <f>LOWER(CtryCode)&amp;".distn."&amp;$A423&amp;IF($B423="","","."&amp;$B423)&amp;IF($C423="","",".dec."&amp;$C423)&amp;"."&amp;X$5</f>
        <v>egy.distn.gini.gx.dec.ove.2</v>
      </c>
      <c r="Y423" s="221">
        <f>DGINI(Z420:AI420,DGiniW)</f>
        <v>0.25384909777202735</v>
      </c>
      <c r="Z423" s="197">
        <f t="shared" ref="Z423:AI423" si="681">Y423</f>
        <v>0.25384909777202735</v>
      </c>
      <c r="AA423" s="197">
        <f t="shared" si="681"/>
        <v>0.25384909777202735</v>
      </c>
      <c r="AB423" s="197">
        <f t="shared" si="681"/>
        <v>0.25384909777202735</v>
      </c>
      <c r="AC423" s="197">
        <f t="shared" si="681"/>
        <v>0.25384909777202735</v>
      </c>
      <c r="AD423" s="197">
        <f t="shared" si="681"/>
        <v>0.25384909777202735</v>
      </c>
      <c r="AE423" s="197">
        <f t="shared" si="681"/>
        <v>0.25384909777202735</v>
      </c>
      <c r="AF423" s="197">
        <f t="shared" si="681"/>
        <v>0.25384909777202735</v>
      </c>
      <c r="AG423" s="197">
        <f t="shared" si="681"/>
        <v>0.25384909777202735</v>
      </c>
      <c r="AH423" s="197">
        <f t="shared" si="681"/>
        <v>0.25384909777202735</v>
      </c>
      <c r="AI423" s="197">
        <f t="shared" si="681"/>
        <v>0.25384909777202735</v>
      </c>
    </row>
    <row r="424" hidden="1" outlineLevel="1">
      <c r="A424" s="44" t="inlineStr">
        <is>
          <t>gini.gi</t>
        </is>
      </c>
      <c r="B424" s="3" t="inlineStr"/>
      <c r="C424" s="3" t="inlineStr">
        <is>
          <t>ove</t>
        </is>
      </c>
      <c r="D424" s="3" t="n"/>
      <c r="E424" s="3" t="n"/>
      <c r="H424" s="3" t="inlineStr">
        <is>
          <t>Gini, after recycling, overall</t>
        </is>
      </c>
      <c r="I424" s="3" t="inlineStr">
        <is>
          <t>index</t>
        </is>
      </c>
      <c r="J424" s="118" t="inlineStr">
        <is>
          <t>legacy rows 2512-2529</t>
        </is>
      </c>
      <c r="K424" s="9" t="str">
        <f>LOWER(CtryCode)&amp;".distn."&amp;$A424&amp;IF($B424="","","."&amp;$B424)&amp;IF($C424="","",".dec."&amp;$C424)&amp;"."&amp;K$5</f>
        <v>egy.distn.gini.gi.dec.ove.1</v>
      </c>
      <c r="L424" s="211">
        <f>1-SUMPRODUCT(M421:V421,DGiniW)/SUM(M421:V421)</f>
        <v>0.2537623871181127</v>
      </c>
      <c r="M424" s="197">
        <f t="shared" ref="M424:V424" si="682">L424</f>
        <v>0.2537623871181127</v>
      </c>
      <c r="N424" s="197">
        <f t="shared" si="682"/>
        <v>0.2537623871181127</v>
      </c>
      <c r="O424" s="197">
        <f t="shared" si="682"/>
        <v>0.2537623871181127</v>
      </c>
      <c r="P424" s="197">
        <f t="shared" si="682"/>
        <v>0.2537623871181127</v>
      </c>
      <c r="Q424" s="197">
        <f t="shared" si="682"/>
        <v>0.2537623871181127</v>
      </c>
      <c r="R424" s="197">
        <f t="shared" si="682"/>
        <v>0.2537623871181127</v>
      </c>
      <c r="S424" s="197">
        <f t="shared" si="682"/>
        <v>0.2537623871181127</v>
      </c>
      <c r="T424" s="197">
        <f t="shared" si="682"/>
        <v>0.2537623871181127</v>
      </c>
      <c r="U424" s="197">
        <f t="shared" si="682"/>
        <v>0.2537623871181127</v>
      </c>
      <c r="V424" s="197">
        <f t="shared" si="682"/>
        <v>0.2537623871181127</v>
      </c>
      <c r="W424" s="201" t="str">
        <f>IF(X$5=K$5,SUM(Y424:AI424)-SUM(L424:V424),"")</f>
        <v/>
      </c>
      <c r="X424" s="9" t="str">
        <f>LOWER(CtryCode)&amp;".distn."&amp;$A424&amp;IF($B424="","","."&amp;$B424)&amp;IF($C424="","",".dec."&amp;$C424)&amp;"."&amp;X$5</f>
        <v>egy.distn.gini.gi.dec.ove.2</v>
      </c>
      <c r="Y424" s="221">
        <f>DGINI(Z421:AI421,DGiniW)</f>
        <v>0.2488670674508503</v>
      </c>
      <c r="Z424" s="197">
        <f t="shared" ref="Z424:AI424" si="683">Y424</f>
        <v>0.2488670674508503</v>
      </c>
      <c r="AA424" s="197">
        <f t="shared" si="683"/>
        <v>0.2488670674508503</v>
      </c>
      <c r="AB424" s="197">
        <f t="shared" si="683"/>
        <v>0.2488670674508503</v>
      </c>
      <c r="AC424" s="197">
        <f t="shared" si="683"/>
        <v>0.2488670674508503</v>
      </c>
      <c r="AD424" s="197">
        <f t="shared" si="683"/>
        <v>0.2488670674508503</v>
      </c>
      <c r="AE424" s="197">
        <f t="shared" si="683"/>
        <v>0.2488670674508503</v>
      </c>
      <c r="AF424" s="197">
        <f t="shared" si="683"/>
        <v>0.2488670674508503</v>
      </c>
      <c r="AG424" s="197">
        <f t="shared" si="683"/>
        <v>0.2488670674508503</v>
      </c>
      <c r="AH424" s="197">
        <f t="shared" si="683"/>
        <v>0.2488670674508503</v>
      </c>
      <c r="AI424" s="197">
        <f t="shared" si="683"/>
        <v>0.2488670674508503</v>
      </c>
    </row>
    <row r="425" hidden="1" outlineLevel="1">
      <c r="A425" s="44" t="inlineStr">
        <is>
          <t>postx</t>
        </is>
      </c>
      <c r="B425" s="3" t="inlineStr"/>
      <c r="C425" s="3" t="inlineStr">
        <is>
          <t>urb</t>
        </is>
      </c>
      <c r="D425" s="3" t="n"/>
      <c r="E425" s="3" t="n"/>
      <c r="H425" s="3" t="inlineStr">
        <is>
          <t>Consumption after the price effects, urban</t>
        </is>
      </c>
      <c r="I425" s="3" t="inlineStr">
        <is>
          <t>LCU bn</t>
        </is>
      </c>
      <c r="J425" s="118" t="inlineStr">
        <is>
          <t>legacy rows 2415-2417</t>
        </is>
      </c>
      <c r="K425" s="9" t="str">
        <f>LOWER(CtryCode)&amp;".distn."&amp;$A425&amp;IF($B425="","","."&amp;$B425)&amp;IF($C425="","",".dec."&amp;$C425)&amp;"."&amp;K$5</f>
        <v>egy.distn.postx.dec.urb.1</v>
      </c>
      <c r="M425" s="213">
        <f t="shared" ref="M425:V425" si="684">M328*(1+M302/PctPerUnit)</f>
        <v>179105319449.8824</v>
      </c>
      <c r="N425" s="213">
        <f t="shared" si="684"/>
        <v>243269189134.69867</v>
      </c>
      <c r="O425" s="213">
        <f t="shared" si="684"/>
        <v>284849198869.73956</v>
      </c>
      <c r="P425" s="213">
        <f t="shared" si="684"/>
        <v>310498547778.4625</v>
      </c>
      <c r="Q425" s="213">
        <f t="shared" si="684"/>
        <v>420023235753.0785</v>
      </c>
      <c r="R425" s="213">
        <f t="shared" si="684"/>
        <v>407455409984.98676</v>
      </c>
      <c r="S425" s="213">
        <f t="shared" si="684"/>
        <v>468753882092.82556</v>
      </c>
      <c r="T425" s="213">
        <f t="shared" si="684"/>
        <v>545578732824.25726</v>
      </c>
      <c r="U425" s="213">
        <f t="shared" si="684"/>
        <v>653956368327.6937</v>
      </c>
      <c r="V425" s="213">
        <f t="shared" si="684"/>
        <v>1014038474031.4926</v>
      </c>
      <c r="W425" s="201" t="str">
        <f>IF(X$5=K$5,SUM(Y425:AI425)-SUM(L425:V425),"")</f>
        <v/>
      </c>
      <c r="X425" s="9" t="str">
        <f>LOWER(CtryCode)&amp;".distn."&amp;$A425&amp;IF($B425="","","."&amp;$B425)&amp;IF($C425="","",".dec."&amp;$C425)&amp;"."&amp;X$5</f>
        <v>egy.distn.postx.dec.urb.2</v>
      </c>
      <c r="Z425" s="220">
        <f t="shared" ref="Z425:AI425" si="685">DPOST(Z328,Z302)</f>
        <v>176313025361.96692</v>
      </c>
      <c r="AA425" s="220">
        <f t="shared" si="685"/>
        <v>239914317484.54373</v>
      </c>
      <c r="AB425" s="220">
        <f t="shared" si="685"/>
        <v>280839868007.5102</v>
      </c>
      <c r="AC425" s="220">
        <f t="shared" si="685"/>
        <v>306277903051.12396</v>
      </c>
      <c r="AD425" s="220">
        <f t="shared" si="685"/>
        <v>414411351182.684</v>
      </c>
      <c r="AE425" s="220">
        <f t="shared" si="685"/>
        <v>401999921500.0283</v>
      </c>
      <c r="AF425" s="220">
        <f t="shared" si="685"/>
        <v>462065668236.7619</v>
      </c>
      <c r="AG425" s="220">
        <f t="shared" si="685"/>
        <v>538236120656.8035</v>
      </c>
      <c r="AH425" s="220">
        <f t="shared" si="685"/>
        <v>644798449433.907</v>
      </c>
      <c r="AI425" s="220">
        <f t="shared" si="685"/>
        <v>999614159964.7148</v>
      </c>
    </row>
    <row r="426" hidden="1" outlineLevel="1">
      <c r="A426" s="44" t="inlineStr">
        <is>
          <t>posti</t>
        </is>
      </c>
      <c r="B426" s="3" t="inlineStr"/>
      <c r="C426" s="3" t="inlineStr">
        <is>
          <t>urb</t>
        </is>
      </c>
      <c r="D426" s="3" t="n"/>
      <c r="E426" s="3" t="n"/>
      <c r="H426" s="3" t="inlineStr">
        <is>
          <t>Consumption after price effects and recycling, urban</t>
        </is>
      </c>
      <c r="I426" s="3" t="inlineStr">
        <is>
          <t>LCU bn</t>
        </is>
      </c>
      <c r="J426" s="118" t="inlineStr">
        <is>
          <t>legacy rows 2420-2422</t>
        </is>
      </c>
      <c r="K426" s="9" t="str">
        <f>LOWER(CtryCode)&amp;".distn."&amp;$A426&amp;IF($B426="","","."&amp;$B426)&amp;IF($C426="","",".dec."&amp;$C426)&amp;"."&amp;K$5</f>
        <v>egy.distn.posti.dec.urb.1</v>
      </c>
      <c r="M426" s="213">
        <f t="shared" ref="M426:V426" si="686">M328*(1+M444/PctPerUnit)</f>
        <v>179105319449.8824</v>
      </c>
      <c r="N426" s="213">
        <f t="shared" si="686"/>
        <v>243269189134.69867</v>
      </c>
      <c r="O426" s="213">
        <f t="shared" si="686"/>
        <v>284849198869.73956</v>
      </c>
      <c r="P426" s="213">
        <f t="shared" si="686"/>
        <v>310498547778.4625</v>
      </c>
      <c r="Q426" s="213">
        <f t="shared" si="686"/>
        <v>420023235753.0785</v>
      </c>
      <c r="R426" s="213">
        <f t="shared" si="686"/>
        <v>407455409984.98676</v>
      </c>
      <c r="S426" s="213">
        <f t="shared" si="686"/>
        <v>468753882092.82556</v>
      </c>
      <c r="T426" s="213">
        <f t="shared" si="686"/>
        <v>545578732824.25726</v>
      </c>
      <c r="U426" s="213">
        <f t="shared" si="686"/>
        <v>653956368327.6937</v>
      </c>
      <c r="V426" s="213">
        <f t="shared" si="686"/>
        <v>1014038474031.4926</v>
      </c>
      <c r="W426" s="201" t="str">
        <f>IF(X$5=K$5,SUM(Y426:AI426)-SUM(L426:V426),"")</f>
        <v/>
      </c>
      <c r="X426" s="9" t="str">
        <f>LOWER(CtryCode)&amp;".distn."&amp;$A426&amp;IF($B426="","","."&amp;$B426)&amp;IF($C426="","",".dec."&amp;$C426)&amp;"."&amp;X$5</f>
        <v>egy.distn.posti.dec.urb.2</v>
      </c>
      <c r="Z426" s="220">
        <f t="shared" ref="Z426:AI426" si="687">DPOST(Z328,Z444)</f>
        <v>181303938371.46667</v>
      </c>
      <c r="AA426" s="220">
        <f t="shared" si="687"/>
        <v>243748536566.41098</v>
      </c>
      <c r="AB426" s="220">
        <f t="shared" si="687"/>
        <v>283069647531.651</v>
      </c>
      <c r="AC426" s="220">
        <f t="shared" si="687"/>
        <v>310408742704.1086</v>
      </c>
      <c r="AD426" s="220">
        <f t="shared" si="687"/>
        <v>415801350467.30536</v>
      </c>
      <c r="AE426" s="220">
        <f t="shared" si="687"/>
        <v>404235427419.8058</v>
      </c>
      <c r="AF426" s="220">
        <f t="shared" si="687"/>
        <v>463567830755.24054</v>
      </c>
      <c r="AG426" s="220">
        <f t="shared" si="687"/>
        <v>539371440323.7742</v>
      </c>
      <c r="AH426" s="220">
        <f t="shared" si="687"/>
        <v>645559770998.9784</v>
      </c>
      <c r="AI426" s="220">
        <f t="shared" si="687"/>
        <v>1000765032644.3953</v>
      </c>
    </row>
    <row r="427" hidden="1" outlineLevel="1">
      <c r="A427" s="44" t="inlineStr">
        <is>
          <t>gini.g0</t>
        </is>
      </c>
      <c r="B427" s="3" t="inlineStr"/>
      <c r="C427" s="3" t="inlineStr">
        <is>
          <t>urb</t>
        </is>
      </c>
      <c r="D427" s="3" t="n"/>
      <c r="E427" s="3" t="n"/>
      <c r="H427" s="3" t="inlineStr">
        <is>
          <t>Gini, baseline, urban</t>
        </is>
      </c>
      <c r="I427" s="3" t="inlineStr">
        <is>
          <t>index</t>
        </is>
      </c>
      <c r="J427" s="118" t="inlineStr">
        <is>
          <t>legacy rows 2512-2529</t>
        </is>
      </c>
      <c r="K427" s="9" t="str">
        <f>LOWER(CtryCode)&amp;".distn."&amp;$A427&amp;IF($B427="","","."&amp;$B427)&amp;IF($C427="","",".dec."&amp;$C427)&amp;"."&amp;K$5</f>
        <v>egy.distn.gini.g0.dec.urb.1</v>
      </c>
      <c r="L427" s="211">
        <f>1-SUMPRODUCT(M328:V328,DGiniW)/SUM(M328:V328)</f>
        <v>0.271284420109011</v>
      </c>
      <c r="M427" s="197">
        <f t="shared" ref="M427:V427" si="688">L427</f>
        <v>0.271284420109011</v>
      </c>
      <c r="N427" s="197">
        <f t="shared" si="688"/>
        <v>0.271284420109011</v>
      </c>
      <c r="O427" s="197">
        <f t="shared" si="688"/>
        <v>0.271284420109011</v>
      </c>
      <c r="P427" s="197">
        <f t="shared" si="688"/>
        <v>0.271284420109011</v>
      </c>
      <c r="Q427" s="197">
        <f t="shared" si="688"/>
        <v>0.271284420109011</v>
      </c>
      <c r="R427" s="197">
        <f t="shared" si="688"/>
        <v>0.271284420109011</v>
      </c>
      <c r="S427" s="197">
        <f t="shared" si="688"/>
        <v>0.271284420109011</v>
      </c>
      <c r="T427" s="197">
        <f t="shared" si="688"/>
        <v>0.271284420109011</v>
      </c>
      <c r="U427" s="197">
        <f t="shared" si="688"/>
        <v>0.271284420109011</v>
      </c>
      <c r="V427" s="197">
        <f t="shared" si="688"/>
        <v>0.271284420109011</v>
      </c>
      <c r="W427" s="201" t="str">
        <f>IF(X$5=K$5,SUM(Y427:AI427)-SUM(L427:V427),"")</f>
        <v/>
      </c>
      <c r="X427" s="9" t="str">
        <f>LOWER(CtryCode)&amp;".distn."&amp;$A427&amp;IF($B427="","","."&amp;$B427)&amp;IF($C427="","",".dec."&amp;$C427)&amp;"."&amp;X$5</f>
        <v>egy.distn.gini.g0.dec.urb.2</v>
      </c>
      <c r="Y427" s="221">
        <f>DGINI(Z328:AI328,DGiniW)</f>
        <v>0.271284420109011</v>
      </c>
      <c r="Z427" s="197">
        <f t="shared" ref="Z427:AI427" si="689">Y427</f>
        <v>0.271284420109011</v>
      </c>
      <c r="AA427" s="197">
        <f t="shared" si="689"/>
        <v>0.271284420109011</v>
      </c>
      <c r="AB427" s="197">
        <f t="shared" si="689"/>
        <v>0.271284420109011</v>
      </c>
      <c r="AC427" s="197">
        <f t="shared" si="689"/>
        <v>0.271284420109011</v>
      </c>
      <c r="AD427" s="197">
        <f t="shared" si="689"/>
        <v>0.271284420109011</v>
      </c>
      <c r="AE427" s="197">
        <f t="shared" si="689"/>
        <v>0.271284420109011</v>
      </c>
      <c r="AF427" s="197">
        <f t="shared" si="689"/>
        <v>0.271284420109011</v>
      </c>
      <c r="AG427" s="197">
        <f t="shared" si="689"/>
        <v>0.271284420109011</v>
      </c>
      <c r="AH427" s="197">
        <f t="shared" si="689"/>
        <v>0.271284420109011</v>
      </c>
      <c r="AI427" s="197">
        <f t="shared" si="689"/>
        <v>0.271284420109011</v>
      </c>
    </row>
    <row r="428" hidden="1" outlineLevel="1">
      <c r="A428" s="44" t="inlineStr">
        <is>
          <t>gini.gx</t>
        </is>
      </c>
      <c r="B428" s="3" t="inlineStr"/>
      <c r="C428" s="3" t="inlineStr">
        <is>
          <t>urb</t>
        </is>
      </c>
      <c r="D428" s="3" t="n"/>
      <c r="E428" s="3" t="n"/>
      <c r="H428" s="3" t="inlineStr">
        <is>
          <t>Gini, after price effects, urban</t>
        </is>
      </c>
      <c r="I428" s="3" t="inlineStr">
        <is>
          <t>index</t>
        </is>
      </c>
      <c r="J428" s="118" t="inlineStr">
        <is>
          <t>legacy rows 2512-2529</t>
        </is>
      </c>
      <c r="K428" s="9" t="str">
        <f>LOWER(CtryCode)&amp;".distn."&amp;$A428&amp;IF($B428="","","."&amp;$B428)&amp;IF($C428="","",".dec."&amp;$C428)&amp;"."&amp;K$5</f>
        <v>egy.distn.gini.gx.dec.urb.1</v>
      </c>
      <c r="L428" s="211">
        <f>1-SUMPRODUCT(M425:V425,DGiniW)/SUM(M425:V425)</f>
        <v>0.271284420109011</v>
      </c>
      <c r="M428" s="197">
        <f t="shared" ref="M428:V428" si="690">L428</f>
        <v>0.271284420109011</v>
      </c>
      <c r="N428" s="197">
        <f t="shared" si="690"/>
        <v>0.271284420109011</v>
      </c>
      <c r="O428" s="197">
        <f t="shared" si="690"/>
        <v>0.271284420109011</v>
      </c>
      <c r="P428" s="197">
        <f t="shared" si="690"/>
        <v>0.271284420109011</v>
      </c>
      <c r="Q428" s="197">
        <f t="shared" si="690"/>
        <v>0.271284420109011</v>
      </c>
      <c r="R428" s="197">
        <f t="shared" si="690"/>
        <v>0.271284420109011</v>
      </c>
      <c r="S428" s="197">
        <f t="shared" si="690"/>
        <v>0.271284420109011</v>
      </c>
      <c r="T428" s="197">
        <f t="shared" si="690"/>
        <v>0.271284420109011</v>
      </c>
      <c r="U428" s="197">
        <f t="shared" si="690"/>
        <v>0.271284420109011</v>
      </c>
      <c r="V428" s="197">
        <f t="shared" si="690"/>
        <v>0.271284420109011</v>
      </c>
      <c r="W428" s="201" t="str">
        <f>IF(X$5=K$5,SUM(Y428:AI428)-SUM(L428:V428),"")</f>
        <v/>
      </c>
      <c r="X428" s="9" t="str">
        <f>LOWER(CtryCode)&amp;".distn."&amp;$A428&amp;IF($B428="","","."&amp;$B428)&amp;IF($C428="","",".dec."&amp;$C428)&amp;"."&amp;X$5</f>
        <v>egy.distn.gini.gx.dec.urb.2</v>
      </c>
      <c r="Y428" s="221">
        <f>DGINI(Z425:AI425,DGiniW)</f>
        <v>0.27127438921118974</v>
      </c>
      <c r="Z428" s="197">
        <f t="shared" ref="Z428:AI428" si="691">Y428</f>
        <v>0.27127438921118974</v>
      </c>
      <c r="AA428" s="197">
        <f t="shared" si="691"/>
        <v>0.27127438921118974</v>
      </c>
      <c r="AB428" s="197">
        <f t="shared" si="691"/>
        <v>0.27127438921118974</v>
      </c>
      <c r="AC428" s="197">
        <f t="shared" si="691"/>
        <v>0.27127438921118974</v>
      </c>
      <c r="AD428" s="197">
        <f t="shared" si="691"/>
        <v>0.27127438921118974</v>
      </c>
      <c r="AE428" s="197">
        <f t="shared" si="691"/>
        <v>0.27127438921118974</v>
      </c>
      <c r="AF428" s="197">
        <f t="shared" si="691"/>
        <v>0.27127438921118974</v>
      </c>
      <c r="AG428" s="197">
        <f t="shared" si="691"/>
        <v>0.27127438921118974</v>
      </c>
      <c r="AH428" s="197">
        <f t="shared" si="691"/>
        <v>0.27127438921118974</v>
      </c>
      <c r="AI428" s="197">
        <f t="shared" si="691"/>
        <v>0.27127438921118974</v>
      </c>
    </row>
    <row r="429" hidden="1" outlineLevel="1">
      <c r="A429" s="44" t="inlineStr">
        <is>
          <t>gini.gi</t>
        </is>
      </c>
      <c r="B429" s="3" t="inlineStr"/>
      <c r="C429" s="3" t="inlineStr">
        <is>
          <t>urb</t>
        </is>
      </c>
      <c r="D429" s="3" t="n"/>
      <c r="E429" s="3" t="n"/>
      <c r="H429" s="3" t="inlineStr">
        <is>
          <t>Gini, after recycling, urban</t>
        </is>
      </c>
      <c r="I429" s="3" t="inlineStr">
        <is>
          <t>index</t>
        </is>
      </c>
      <c r="J429" s="118" t="inlineStr">
        <is>
          <t>legacy rows 2512-2529</t>
        </is>
      </c>
      <c r="K429" s="9" t="str">
        <f>LOWER(CtryCode)&amp;".distn."&amp;$A429&amp;IF($B429="","","."&amp;$B429)&amp;IF($C429="","",".dec."&amp;$C429)&amp;"."&amp;K$5</f>
        <v>egy.distn.gini.gi.dec.urb.1</v>
      </c>
      <c r="L429" s="211">
        <f>1-SUMPRODUCT(M426:V426,DGiniW)/SUM(M426:V426)</f>
        <v>0.271284420109011</v>
      </c>
      <c r="M429" s="197">
        <f t="shared" ref="M429:V429" si="692">L429</f>
        <v>0.271284420109011</v>
      </c>
      <c r="N429" s="197">
        <f t="shared" si="692"/>
        <v>0.271284420109011</v>
      </c>
      <c r="O429" s="197">
        <f t="shared" si="692"/>
        <v>0.271284420109011</v>
      </c>
      <c r="P429" s="197">
        <f t="shared" si="692"/>
        <v>0.271284420109011</v>
      </c>
      <c r="Q429" s="197">
        <f t="shared" si="692"/>
        <v>0.271284420109011</v>
      </c>
      <c r="R429" s="197">
        <f t="shared" si="692"/>
        <v>0.271284420109011</v>
      </c>
      <c r="S429" s="197">
        <f t="shared" si="692"/>
        <v>0.271284420109011</v>
      </c>
      <c r="T429" s="197">
        <f t="shared" si="692"/>
        <v>0.271284420109011</v>
      </c>
      <c r="U429" s="197">
        <f t="shared" si="692"/>
        <v>0.271284420109011</v>
      </c>
      <c r="V429" s="197">
        <f t="shared" si="692"/>
        <v>0.271284420109011</v>
      </c>
      <c r="W429" s="201" t="str">
        <f>IF(X$5=K$5,SUM(Y429:AI429)-SUM(L429:V429),"")</f>
        <v/>
      </c>
      <c r="X429" s="9" t="str">
        <f>LOWER(CtryCode)&amp;".distn."&amp;$A429&amp;IF($B429="","","."&amp;$B429)&amp;IF($C429="","",".dec."&amp;$C429)&amp;"."&amp;X$5</f>
        <v>egy.distn.gini.gi.dec.urb.2</v>
      </c>
      <c r="Y429" s="221">
        <f>DGINI(Z426:AI426,DGiniW)</f>
        <v>0.2683458809836182</v>
      </c>
      <c r="Z429" s="197">
        <f t="shared" ref="Z429:AI429" si="693">Y429</f>
        <v>0.2683458809836182</v>
      </c>
      <c r="AA429" s="197">
        <f t="shared" si="693"/>
        <v>0.2683458809836182</v>
      </c>
      <c r="AB429" s="197">
        <f t="shared" si="693"/>
        <v>0.2683458809836182</v>
      </c>
      <c r="AC429" s="197">
        <f t="shared" si="693"/>
        <v>0.2683458809836182</v>
      </c>
      <c r="AD429" s="197">
        <f t="shared" si="693"/>
        <v>0.2683458809836182</v>
      </c>
      <c r="AE429" s="197">
        <f t="shared" si="693"/>
        <v>0.2683458809836182</v>
      </c>
      <c r="AF429" s="197">
        <f t="shared" si="693"/>
        <v>0.2683458809836182</v>
      </c>
      <c r="AG429" s="197">
        <f t="shared" si="693"/>
        <v>0.2683458809836182</v>
      </c>
      <c r="AH429" s="197">
        <f t="shared" si="693"/>
        <v>0.2683458809836182</v>
      </c>
      <c r="AI429" s="197">
        <f t="shared" si="693"/>
        <v>0.2683458809836182</v>
      </c>
    </row>
    <row r="430" hidden="1" outlineLevel="1">
      <c r="A430" s="44" t="inlineStr">
        <is>
          <t>postx</t>
        </is>
      </c>
      <c r="B430" s="3" t="inlineStr"/>
      <c r="C430" s="3" t="inlineStr">
        <is>
          <t>rur</t>
        </is>
      </c>
      <c r="D430" s="3" t="n"/>
      <c r="E430" s="3" t="n"/>
      <c r="H430" s="3" t="inlineStr">
        <is>
          <t>Consumption after the price effects, rural</t>
        </is>
      </c>
      <c r="I430" s="3" t="inlineStr">
        <is>
          <t>LCU bn</t>
        </is>
      </c>
      <c r="J430" s="118" t="inlineStr">
        <is>
          <t>legacy rows 2415-2417</t>
        </is>
      </c>
      <c r="K430" s="9" t="str">
        <f>LOWER(CtryCode)&amp;".distn."&amp;$A430&amp;IF($B430="","","."&amp;$B430)&amp;IF($C430="","",".dec."&amp;$C430)&amp;"."&amp;K$5</f>
        <v>egy.distn.postx.dec.rur.1</v>
      </c>
      <c r="M430" s="213">
        <f t="shared" ref="M430:V430" si="694">M329*(1+M303/PctPerUnit)</f>
        <v>182412947964.83926</v>
      </c>
      <c r="N430" s="213">
        <f t="shared" si="694"/>
        <v>217671969195.48755</v>
      </c>
      <c r="O430" s="213">
        <f t="shared" si="694"/>
        <v>280277023438.82465</v>
      </c>
      <c r="P430" s="213">
        <f t="shared" si="694"/>
        <v>296239560503.04456</v>
      </c>
      <c r="Q430" s="213">
        <f t="shared" si="694"/>
        <v>334618902529.57587</v>
      </c>
      <c r="R430" s="213">
        <f t="shared" si="694"/>
        <v>385889668631.5192</v>
      </c>
      <c r="S430" s="213">
        <f t="shared" si="694"/>
        <v>462943413890.8613</v>
      </c>
      <c r="T430" s="213">
        <f t="shared" si="694"/>
        <v>476245702558.2531</v>
      </c>
      <c r="U430" s="213">
        <f t="shared" si="694"/>
        <v>531211579783.11993</v>
      </c>
      <c r="V430" s="213">
        <f t="shared" si="694"/>
        <v>883929403281.1234</v>
      </c>
      <c r="W430" s="201" t="str">
        <f>IF(X$5=K$5,SUM(Y430:AI430)-SUM(L430:V430),"")</f>
        <v/>
      </c>
      <c r="X430" s="9" t="str">
        <f>LOWER(CtryCode)&amp;".distn."&amp;$A430&amp;IF($B430="","","."&amp;$B430)&amp;IF($C430="","",".dec."&amp;$C430)&amp;"."&amp;X$5</f>
        <v>egy.distn.postx.dec.rur.2</v>
      </c>
      <c r="Z430" s="220">
        <f t="shared" ref="Z430:AI430" si="695">DPOST(Z329,Z303)</f>
        <v>179278421494.0977</v>
      </c>
      <c r="AA430" s="220">
        <f t="shared" si="695"/>
        <v>214307604589.6114</v>
      </c>
      <c r="AB430" s="220">
        <f t="shared" si="695"/>
        <v>276224179612.13837</v>
      </c>
      <c r="AC430" s="220">
        <f t="shared" si="695"/>
        <v>291846600611.6693</v>
      </c>
      <c r="AD430" s="220">
        <f t="shared" si="695"/>
        <v>329857564418.58057</v>
      </c>
      <c r="AE430" s="220">
        <f t="shared" si="695"/>
        <v>380452991938.2209</v>
      </c>
      <c r="AF430" s="220">
        <f t="shared" si="695"/>
        <v>456622932064.6892</v>
      </c>
      <c r="AG430" s="220">
        <f t="shared" si="695"/>
        <v>469429604764.47296</v>
      </c>
      <c r="AH430" s="220">
        <f t="shared" si="695"/>
        <v>523406455031.2763</v>
      </c>
      <c r="AI430" s="220">
        <f t="shared" si="695"/>
        <v>870594947384.1451</v>
      </c>
    </row>
    <row r="431" hidden="1" outlineLevel="1">
      <c r="A431" s="44" t="inlineStr">
        <is>
          <t>posti</t>
        </is>
      </c>
      <c r="B431" s="3" t="inlineStr"/>
      <c r="C431" s="3" t="inlineStr">
        <is>
          <t>rur</t>
        </is>
      </c>
      <c r="D431" s="3" t="n"/>
      <c r="E431" s="3" t="n"/>
      <c r="H431" s="3" t="inlineStr">
        <is>
          <t>Consumption after price effects and recycling, rural</t>
        </is>
      </c>
      <c r="I431" s="3" t="inlineStr">
        <is>
          <t>LCU bn</t>
        </is>
      </c>
      <c r="J431" s="118" t="inlineStr">
        <is>
          <t>legacy rows 2420-2422</t>
        </is>
      </c>
      <c r="K431" s="9" t="str">
        <f>LOWER(CtryCode)&amp;".distn."&amp;$A431&amp;IF($B431="","","."&amp;$B431)&amp;IF($C431="","",".dec."&amp;$C431)&amp;"."&amp;K$5</f>
        <v>egy.distn.posti.dec.rur.1</v>
      </c>
      <c r="M431" s="213">
        <f t="shared" ref="M431:V431" si="696">M329*(1+M445/PctPerUnit)</f>
        <v>182412947964.83926</v>
      </c>
      <c r="N431" s="213">
        <f t="shared" si="696"/>
        <v>217671969195.48755</v>
      </c>
      <c r="O431" s="213">
        <f t="shared" si="696"/>
        <v>280277023438.82465</v>
      </c>
      <c r="P431" s="213">
        <f t="shared" si="696"/>
        <v>296239560503.04456</v>
      </c>
      <c r="Q431" s="213">
        <f t="shared" si="696"/>
        <v>334618902529.57587</v>
      </c>
      <c r="R431" s="213">
        <f t="shared" si="696"/>
        <v>385889668631.5192</v>
      </c>
      <c r="S431" s="213">
        <f t="shared" si="696"/>
        <v>462943413890.8613</v>
      </c>
      <c r="T431" s="213">
        <f t="shared" si="696"/>
        <v>476245702558.2531</v>
      </c>
      <c r="U431" s="213">
        <f t="shared" si="696"/>
        <v>531211579783.11993</v>
      </c>
      <c r="V431" s="213">
        <f t="shared" si="696"/>
        <v>883929403281.1234</v>
      </c>
      <c r="W431" s="201" t="str">
        <f>IF(X$5=K$5,SUM(Y431:AI431)-SUM(L431:V431),"")</f>
        <v/>
      </c>
      <c r="X431" s="9" t="str">
        <f>LOWER(CtryCode)&amp;".distn."&amp;$A431&amp;IF($B431="","","."&amp;$B431)&amp;IF($C431="","",".dec."&amp;$C431)&amp;"."&amp;X$5</f>
        <v>egy.distn.posti.dec.rur.2</v>
      </c>
      <c r="Z431" s="220">
        <f t="shared" ref="Z431:AI431" si="697">DPOST(Z329,Z445)</f>
        <v>188497350986.42346</v>
      </c>
      <c r="AA431" s="220">
        <f t="shared" si="697"/>
        <v>222707466185.58005</v>
      </c>
      <c r="AB431" s="220">
        <f t="shared" si="697"/>
        <v>284351487143.32263</v>
      </c>
      <c r="AC431" s="220">
        <f t="shared" si="697"/>
        <v>297643363107.98724</v>
      </c>
      <c r="AD431" s="220">
        <f t="shared" si="697"/>
        <v>333382380162.1294</v>
      </c>
      <c r="AE431" s="220">
        <f t="shared" si="697"/>
        <v>385028066649.137</v>
      </c>
      <c r="AF431" s="220">
        <f t="shared" si="697"/>
        <v>460596991865.9521</v>
      </c>
      <c r="AG431" s="220">
        <f t="shared" si="697"/>
        <v>473732657369.02673</v>
      </c>
      <c r="AH431" s="220">
        <f t="shared" si="697"/>
        <v>527839077709.2901</v>
      </c>
      <c r="AI431" s="220">
        <f t="shared" si="697"/>
        <v>876376187988.0375</v>
      </c>
    </row>
    <row r="432" hidden="1" outlineLevel="1">
      <c r="A432" s="44" t="inlineStr">
        <is>
          <t>gini.g0</t>
        </is>
      </c>
      <c r="B432" s="3" t="inlineStr"/>
      <c r="C432" s="3" t="inlineStr">
        <is>
          <t>rur</t>
        </is>
      </c>
      <c r="D432" s="3" t="n"/>
      <c r="E432" s="3" t="n"/>
      <c r="H432" s="3" t="inlineStr">
        <is>
          <t>Gini, baseline, rural</t>
        </is>
      </c>
      <c r="I432" s="3" t="inlineStr">
        <is>
          <t>index</t>
        </is>
      </c>
      <c r="J432" s="118" t="inlineStr">
        <is>
          <t>legacy rows 2512-2529</t>
        </is>
      </c>
      <c r="K432" s="9" t="str">
        <f>LOWER(CtryCode)&amp;".distn."&amp;$A432&amp;IF($B432="","","."&amp;$B432)&amp;IF($C432="","",".dec."&amp;$C432)&amp;"."&amp;K$5</f>
        <v>egy.distn.gini.g0.dec.rur.1</v>
      </c>
      <c r="L432" s="211">
        <f>1-SUMPRODUCT(M329:V329,DGiniW)/SUM(M329:V329)</f>
        <v>0.2503672122556001</v>
      </c>
      <c r="M432" s="197">
        <f t="shared" ref="M432:V432" si="698">L432</f>
        <v>0.2503672122556001</v>
      </c>
      <c r="N432" s="197">
        <f t="shared" si="698"/>
        <v>0.2503672122556001</v>
      </c>
      <c r="O432" s="197">
        <f t="shared" si="698"/>
        <v>0.2503672122556001</v>
      </c>
      <c r="P432" s="197">
        <f t="shared" si="698"/>
        <v>0.2503672122556001</v>
      </c>
      <c r="Q432" s="197">
        <f t="shared" si="698"/>
        <v>0.2503672122556001</v>
      </c>
      <c r="R432" s="197">
        <f t="shared" si="698"/>
        <v>0.2503672122556001</v>
      </c>
      <c r="S432" s="197">
        <f t="shared" si="698"/>
        <v>0.2503672122556001</v>
      </c>
      <c r="T432" s="197">
        <f t="shared" si="698"/>
        <v>0.2503672122556001</v>
      </c>
      <c r="U432" s="197">
        <f t="shared" si="698"/>
        <v>0.2503672122556001</v>
      </c>
      <c r="V432" s="197">
        <f t="shared" si="698"/>
        <v>0.2503672122556001</v>
      </c>
      <c r="W432" s="201" t="str">
        <f>IF(X$5=K$5,SUM(Y432:AI432)-SUM(L432:V432),"")</f>
        <v/>
      </c>
      <c r="X432" s="9" t="str">
        <f>LOWER(CtryCode)&amp;".distn."&amp;$A432&amp;IF($B432="","","."&amp;$B432)&amp;IF($C432="","",".dec."&amp;$C432)&amp;"."&amp;X$5</f>
        <v>egy.distn.gini.g0.dec.rur.2</v>
      </c>
      <c r="Y432" s="221">
        <f>DGINI(Z329:AI329,DGiniW)</f>
        <v>0.2503672122556001</v>
      </c>
      <c r="Z432" s="197">
        <f t="shared" ref="Z432:AI432" si="699">Y432</f>
        <v>0.2503672122556001</v>
      </c>
      <c r="AA432" s="197">
        <f t="shared" si="699"/>
        <v>0.2503672122556001</v>
      </c>
      <c r="AB432" s="197">
        <f t="shared" si="699"/>
        <v>0.2503672122556001</v>
      </c>
      <c r="AC432" s="197">
        <f t="shared" si="699"/>
        <v>0.2503672122556001</v>
      </c>
      <c r="AD432" s="197">
        <f t="shared" si="699"/>
        <v>0.2503672122556001</v>
      </c>
      <c r="AE432" s="197">
        <f t="shared" si="699"/>
        <v>0.2503672122556001</v>
      </c>
      <c r="AF432" s="197">
        <f t="shared" si="699"/>
        <v>0.2503672122556001</v>
      </c>
      <c r="AG432" s="197">
        <f t="shared" si="699"/>
        <v>0.2503672122556001</v>
      </c>
      <c r="AH432" s="197">
        <f t="shared" si="699"/>
        <v>0.2503672122556001</v>
      </c>
      <c r="AI432" s="197">
        <f t="shared" si="699"/>
        <v>0.2503672122556001</v>
      </c>
    </row>
    <row r="433" hidden="1" outlineLevel="1">
      <c r="A433" s="44" t="inlineStr">
        <is>
          <t>gini.gx</t>
        </is>
      </c>
      <c r="B433" s="3" t="inlineStr"/>
      <c r="C433" s="3" t="inlineStr">
        <is>
          <t>rur</t>
        </is>
      </c>
      <c r="D433" s="3" t="n"/>
      <c r="E433" s="3" t="n"/>
      <c r="H433" s="3" t="inlineStr">
        <is>
          <t>Gini, after price effects, rural</t>
        </is>
      </c>
      <c r="I433" s="3" t="inlineStr">
        <is>
          <t>index</t>
        </is>
      </c>
      <c r="J433" s="118" t="inlineStr">
        <is>
          <t>legacy rows 2512-2529</t>
        </is>
      </c>
      <c r="K433" s="9" t="str">
        <f>LOWER(CtryCode)&amp;".distn."&amp;$A433&amp;IF($B433="","","."&amp;$B433)&amp;IF($C433="","",".dec."&amp;$C433)&amp;"."&amp;K$5</f>
        <v>egy.distn.gini.gx.dec.rur.1</v>
      </c>
      <c r="L433" s="211">
        <f>1-SUMPRODUCT(M430:V430,DGiniW)/SUM(M430:V430)</f>
        <v>0.2503672122556001</v>
      </c>
      <c r="M433" s="197">
        <f t="shared" ref="M433:V433" si="700">L433</f>
        <v>0.2503672122556001</v>
      </c>
      <c r="N433" s="197">
        <f t="shared" si="700"/>
        <v>0.2503672122556001</v>
      </c>
      <c r="O433" s="197">
        <f t="shared" si="700"/>
        <v>0.2503672122556001</v>
      </c>
      <c r="P433" s="197">
        <f t="shared" si="700"/>
        <v>0.2503672122556001</v>
      </c>
      <c r="Q433" s="197">
        <f t="shared" si="700"/>
        <v>0.2503672122556001</v>
      </c>
      <c r="R433" s="197">
        <f t="shared" si="700"/>
        <v>0.2503672122556001</v>
      </c>
      <c r="S433" s="197">
        <f t="shared" si="700"/>
        <v>0.2503672122556001</v>
      </c>
      <c r="T433" s="197">
        <f t="shared" si="700"/>
        <v>0.2503672122556001</v>
      </c>
      <c r="U433" s="197">
        <f t="shared" si="700"/>
        <v>0.2503672122556001</v>
      </c>
      <c r="V433" s="197">
        <f t="shared" si="700"/>
        <v>0.2503672122556001</v>
      </c>
      <c r="W433" s="201" t="str">
        <f>IF(X$5=K$5,SUM(Y433:AI433)-SUM(L433:V433),"")</f>
        <v/>
      </c>
      <c r="X433" s="9" t="str">
        <f>LOWER(CtryCode)&amp;".distn."&amp;$A433&amp;IF($B433="","","."&amp;$B433)&amp;IF($C433="","",".dec."&amp;$C433)&amp;"."&amp;X$5</f>
        <v>egy.distn.gini.gx.dec.rur.2</v>
      </c>
      <c r="Y433" s="221">
        <f>DGINI(Z430:AI430,DGiniW)</f>
        <v>0.2504577510062236</v>
      </c>
      <c r="Z433" s="197">
        <f t="shared" ref="Z433:AI433" si="701">Y433</f>
        <v>0.2504577510062236</v>
      </c>
      <c r="AA433" s="197">
        <f t="shared" si="701"/>
        <v>0.2504577510062236</v>
      </c>
      <c r="AB433" s="197">
        <f t="shared" si="701"/>
        <v>0.2504577510062236</v>
      </c>
      <c r="AC433" s="197">
        <f t="shared" si="701"/>
        <v>0.2504577510062236</v>
      </c>
      <c r="AD433" s="197">
        <f t="shared" si="701"/>
        <v>0.2504577510062236</v>
      </c>
      <c r="AE433" s="197">
        <f t="shared" si="701"/>
        <v>0.2504577510062236</v>
      </c>
      <c r="AF433" s="197">
        <f t="shared" si="701"/>
        <v>0.2504577510062236</v>
      </c>
      <c r="AG433" s="197">
        <f t="shared" si="701"/>
        <v>0.2504577510062236</v>
      </c>
      <c r="AH433" s="197">
        <f t="shared" si="701"/>
        <v>0.2504577510062236</v>
      </c>
      <c r="AI433" s="197">
        <f t="shared" si="701"/>
        <v>0.2504577510062236</v>
      </c>
    </row>
    <row r="434" hidden="1" outlineLevel="1">
      <c r="A434" s="44" t="inlineStr">
        <is>
          <t>gini.gi</t>
        </is>
      </c>
      <c r="B434" s="3" t="inlineStr"/>
      <c r="C434" s="3" t="inlineStr">
        <is>
          <t>rur</t>
        </is>
      </c>
      <c r="D434" s="3" t="n"/>
      <c r="E434" s="3" t="n"/>
      <c r="H434" s="3" t="inlineStr">
        <is>
          <t>Gini, after recycling, rural</t>
        </is>
      </c>
      <c r="I434" s="3" t="inlineStr">
        <is>
          <t>index</t>
        </is>
      </c>
      <c r="J434" s="118" t="inlineStr">
        <is>
          <t>legacy rows 2512-2529</t>
        </is>
      </c>
      <c r="K434" s="9" t="str">
        <f>LOWER(CtryCode)&amp;".distn."&amp;$A434&amp;IF($B434="","","."&amp;$B434)&amp;IF($C434="","",".dec."&amp;$C434)&amp;"."&amp;K$5</f>
        <v>egy.distn.gini.gi.dec.rur.1</v>
      </c>
      <c r="L434" s="211">
        <f>1-SUMPRODUCT(M431:V431,DGiniW)/SUM(M431:V431)</f>
        <v>0.2503672122556001</v>
      </c>
      <c r="M434" s="197">
        <f t="shared" ref="M434:V434" si="702">L434</f>
        <v>0.2503672122556001</v>
      </c>
      <c r="N434" s="197">
        <f t="shared" si="702"/>
        <v>0.2503672122556001</v>
      </c>
      <c r="O434" s="197">
        <f t="shared" si="702"/>
        <v>0.2503672122556001</v>
      </c>
      <c r="P434" s="197">
        <f t="shared" si="702"/>
        <v>0.2503672122556001</v>
      </c>
      <c r="Q434" s="197">
        <f t="shared" si="702"/>
        <v>0.2503672122556001</v>
      </c>
      <c r="R434" s="197">
        <f t="shared" si="702"/>
        <v>0.2503672122556001</v>
      </c>
      <c r="S434" s="197">
        <f t="shared" si="702"/>
        <v>0.2503672122556001</v>
      </c>
      <c r="T434" s="197">
        <f t="shared" si="702"/>
        <v>0.2503672122556001</v>
      </c>
      <c r="U434" s="197">
        <f t="shared" si="702"/>
        <v>0.2503672122556001</v>
      </c>
      <c r="V434" s="197">
        <f t="shared" si="702"/>
        <v>0.2503672122556001</v>
      </c>
      <c r="W434" s="201" t="str">
        <f>IF(X$5=K$5,SUM(Y434:AI434)-SUM(L434:V434),"")</f>
        <v/>
      </c>
      <c r="X434" s="9" t="str">
        <f>LOWER(CtryCode)&amp;".distn."&amp;$A434&amp;IF($B434="","","."&amp;$B434)&amp;IF($C434="","",".dec."&amp;$C434)&amp;"."&amp;X$5</f>
        <v>egy.distn.gini.gi.dec.rur.2</v>
      </c>
      <c r="Y434" s="221">
        <f>DGINI(Z431:AI431,DGiniW)</f>
        <v>0.24487734026740549</v>
      </c>
      <c r="Z434" s="197">
        <f t="shared" ref="Z434:AI434" si="703">Y434</f>
        <v>0.24487734026740549</v>
      </c>
      <c r="AA434" s="197">
        <f t="shared" si="703"/>
        <v>0.24487734026740549</v>
      </c>
      <c r="AB434" s="197">
        <f t="shared" si="703"/>
        <v>0.24487734026740549</v>
      </c>
      <c r="AC434" s="197">
        <f t="shared" si="703"/>
        <v>0.24487734026740549</v>
      </c>
      <c r="AD434" s="197">
        <f t="shared" si="703"/>
        <v>0.24487734026740549</v>
      </c>
      <c r="AE434" s="197">
        <f t="shared" si="703"/>
        <v>0.24487734026740549</v>
      </c>
      <c r="AF434" s="197">
        <f t="shared" si="703"/>
        <v>0.24487734026740549</v>
      </c>
      <c r="AG434" s="197">
        <f t="shared" si="703"/>
        <v>0.24487734026740549</v>
      </c>
      <c r="AH434" s="197">
        <f t="shared" si="703"/>
        <v>0.24487734026740549</v>
      </c>
      <c r="AI434" s="197">
        <f t="shared" si="703"/>
        <v>0.24487734026740549</v>
      </c>
    </row>
    <row r="435" hidden="1" outlineLevel="1"/>
    <row r="436" hidden="1" outlineLevel="1">
      <c r="A436" s="44" t="inlineStr">
        <is>
          <t>pct_gini_norec</t>
        </is>
      </c>
      <c r="B436" s="3" t="inlineStr"/>
      <c r="C436" s="3" t="inlineStr">
        <is>
          <t>ove</t>
        </is>
      </c>
      <c r="D436" s="3" t="n"/>
      <c r="E436" s="3" t="n"/>
      <c r="H436" s="3" t="inlineStr">
        <is>
          <t>Change in the Gini, excluding recycling, overall</t>
        </is>
      </c>
      <c r="I436" s="3" t="inlineStr">
        <is>
          <t>%</t>
        </is>
      </c>
      <c r="J436" s="118" t="inlineStr">
        <is>
          <t>legacy R2532-R2539 x 100</t>
        </is>
      </c>
      <c r="K436" s="9" t="str">
        <f>LOWER(CtryCode)&amp;".distn."&amp;$A436&amp;IF($B436="","","."&amp;$B436)&amp;IF($C436="","",".dec."&amp;$C436)&amp;"."&amp;K$5</f>
        <v>egy.distn.pct_gini_norec.dec.ove.1</v>
      </c>
      <c r="L436" s="202">
        <f>(L423/L422-1)*PctPerUnit</f>
        <v>0.0</v>
      </c>
      <c r="M436" s="196">
        <f t="shared" ref="M436:V436" si="704">L436</f>
        <v>0.0</v>
      </c>
      <c r="N436" s="196">
        <f t="shared" si="704"/>
        <v>0.0</v>
      </c>
      <c r="O436" s="196">
        <f t="shared" si="704"/>
        <v>0.0</v>
      </c>
      <c r="P436" s="196">
        <f t="shared" si="704"/>
        <v>0.0</v>
      </c>
      <c r="Q436" s="196">
        <f t="shared" si="704"/>
        <v>0.0</v>
      </c>
      <c r="R436" s="196">
        <f t="shared" si="704"/>
        <v>0.0</v>
      </c>
      <c r="S436" s="196">
        <f t="shared" si="704"/>
        <v>0.0</v>
      </c>
      <c r="T436" s="196">
        <f t="shared" si="704"/>
        <v>0.0</v>
      </c>
      <c r="U436" s="196">
        <f t="shared" si="704"/>
        <v>0.0</v>
      </c>
      <c r="V436" s="196">
        <f t="shared" si="704"/>
        <v>0.0</v>
      </c>
      <c r="W436" s="201" t="str">
        <f>IF(X$5=K$5,SUM(Y436:AI436)-SUM(L436:V436),"")</f>
        <v/>
      </c>
      <c r="X436" s="9" t="str">
        <f>LOWER(CtryCode)&amp;".distn."&amp;$A436&amp;IF($B436="","","."&amp;$B436)&amp;IF($C436="","",".dec."&amp;$C436)&amp;"."&amp;X$5</f>
        <v>egy.distn.pct_gini_norec.dec.ove.2</v>
      </c>
      <c r="Y436" s="202">
        <f>(Y423/Y422-1)*PctPerUnit</f>
        <v>0.03417001822034749</v>
      </c>
      <c r="Z436" s="196">
        <f t="shared" ref="Z436:AI436" si="705">Y436</f>
        <v>0.03417001822034749</v>
      </c>
      <c r="AA436" s="196">
        <f t="shared" si="705"/>
        <v>0.03417001822034749</v>
      </c>
      <c r="AB436" s="196">
        <f t="shared" si="705"/>
        <v>0.03417001822034749</v>
      </c>
      <c r="AC436" s="196">
        <f t="shared" si="705"/>
        <v>0.03417001822034749</v>
      </c>
      <c r="AD436" s="196">
        <f t="shared" si="705"/>
        <v>0.03417001822034749</v>
      </c>
      <c r="AE436" s="196">
        <f t="shared" si="705"/>
        <v>0.03417001822034749</v>
      </c>
      <c r="AF436" s="196">
        <f t="shared" si="705"/>
        <v>0.03417001822034749</v>
      </c>
      <c r="AG436" s="196">
        <f t="shared" si="705"/>
        <v>0.03417001822034749</v>
      </c>
      <c r="AH436" s="196">
        <f t="shared" si="705"/>
        <v>0.03417001822034749</v>
      </c>
      <c r="AI436" s="196">
        <f t="shared" si="705"/>
        <v>0.03417001822034749</v>
      </c>
    </row>
    <row r="437" hidden="1" outlineLevel="1">
      <c r="A437" s="44" t="inlineStr">
        <is>
          <t>pct_gini_rec</t>
        </is>
      </c>
      <c r="B437" s="3" t="inlineStr"/>
      <c r="C437" s="3" t="inlineStr">
        <is>
          <t>ove</t>
        </is>
      </c>
      <c r="D437" s="3" t="n"/>
      <c r="E437" s="3" t="n"/>
      <c r="H437" s="3" t="inlineStr">
        <is>
          <t>Change in the Gini, including recycling, overall</t>
        </is>
      </c>
      <c r="I437" s="3" t="inlineStr">
        <is>
          <t>%</t>
        </is>
      </c>
      <c r="J437" s="118" t="inlineStr">
        <is>
          <t>legacy R2532-R2539 x 100</t>
        </is>
      </c>
      <c r="K437" s="9" t="str">
        <f>LOWER(CtryCode)&amp;".distn."&amp;$A437&amp;IF($B437="","","."&amp;$B437)&amp;IF($C437="","",".dec."&amp;$C437)&amp;"."&amp;K$5</f>
        <v>egy.distn.pct_gini_rec.dec.ove.1</v>
      </c>
      <c r="L437" s="202">
        <f>(L424/L422-1)*PctPerUnit</f>
        <v>0.0</v>
      </c>
      <c r="M437" s="196">
        <f t="shared" ref="M437:V437" si="706">L437</f>
        <v>0.0</v>
      </c>
      <c r="N437" s="196">
        <f t="shared" si="706"/>
        <v>0.0</v>
      </c>
      <c r="O437" s="196">
        <f t="shared" si="706"/>
        <v>0.0</v>
      </c>
      <c r="P437" s="196">
        <f t="shared" si="706"/>
        <v>0.0</v>
      </c>
      <c r="Q437" s="196">
        <f t="shared" si="706"/>
        <v>0.0</v>
      </c>
      <c r="R437" s="196">
        <f t="shared" si="706"/>
        <v>0.0</v>
      </c>
      <c r="S437" s="196">
        <f t="shared" si="706"/>
        <v>0.0</v>
      </c>
      <c r="T437" s="196">
        <f t="shared" si="706"/>
        <v>0.0</v>
      </c>
      <c r="U437" s="196">
        <f t="shared" si="706"/>
        <v>0.0</v>
      </c>
      <c r="V437" s="196">
        <f t="shared" si="706"/>
        <v>0.0</v>
      </c>
      <c r="W437" s="201" t="str">
        <f>IF(X$5=K$5,SUM(Y437:AI437)-SUM(L437:V437),"")</f>
        <v/>
      </c>
      <c r="X437" s="9" t="str">
        <f>LOWER(CtryCode)&amp;".distn."&amp;$A437&amp;IF($B437="","","."&amp;$B437)&amp;IF($C437="","",".dec."&amp;$C437)&amp;"."&amp;X$5</f>
        <v>egy.distn.pct_gini_rec.dec.ove.2</v>
      </c>
      <c r="Y437" s="202">
        <f>(Y424/Y422-1)*PctPerUnit</f>
        <v>-1.929095845470552</v>
      </c>
      <c r="Z437" s="196">
        <f t="shared" ref="Z437:AI437" si="707">Y437</f>
        <v>-1.929095845470552</v>
      </c>
      <c r="AA437" s="196">
        <f t="shared" si="707"/>
        <v>-1.929095845470552</v>
      </c>
      <c r="AB437" s="196">
        <f t="shared" si="707"/>
        <v>-1.929095845470552</v>
      </c>
      <c r="AC437" s="196">
        <f t="shared" si="707"/>
        <v>-1.929095845470552</v>
      </c>
      <c r="AD437" s="196">
        <f t="shared" si="707"/>
        <v>-1.929095845470552</v>
      </c>
      <c r="AE437" s="196">
        <f t="shared" si="707"/>
        <v>-1.929095845470552</v>
      </c>
      <c r="AF437" s="196">
        <f t="shared" si="707"/>
        <v>-1.929095845470552</v>
      </c>
      <c r="AG437" s="196">
        <f t="shared" si="707"/>
        <v>-1.929095845470552</v>
      </c>
      <c r="AH437" s="196">
        <f t="shared" si="707"/>
        <v>-1.929095845470552</v>
      </c>
      <c r="AI437" s="196">
        <f t="shared" si="707"/>
        <v>-1.929095845470552</v>
      </c>
    </row>
    <row r="438" hidden="1" outlineLevel="1">
      <c r="A438" s="44" t="inlineStr">
        <is>
          <t>pct_gini_norec</t>
        </is>
      </c>
      <c r="B438" s="3" t="inlineStr"/>
      <c r="C438" s="3" t="inlineStr">
        <is>
          <t>urb</t>
        </is>
      </c>
      <c r="D438" s="3" t="n"/>
      <c r="E438" s="3" t="n"/>
      <c r="H438" s="3" t="inlineStr">
        <is>
          <t>Change in the Gini, excluding recycling, urban</t>
        </is>
      </c>
      <c r="I438" s="3" t="inlineStr">
        <is>
          <t>%</t>
        </is>
      </c>
      <c r="J438" s="118" t="inlineStr">
        <is>
          <t>legacy R2532-R2539 x 100</t>
        </is>
      </c>
      <c r="K438" s="9" t="str">
        <f>LOWER(CtryCode)&amp;".distn."&amp;$A438&amp;IF($B438="","","."&amp;$B438)&amp;IF($C438="","",".dec."&amp;$C438)&amp;"."&amp;K$5</f>
        <v>egy.distn.pct_gini_norec.dec.urb.1</v>
      </c>
      <c r="L438" s="202">
        <f>(L428/L427-1)*PctPerUnit</f>
        <v>0.0</v>
      </c>
      <c r="M438" s="196">
        <f t="shared" ref="M438:V438" si="708">L438</f>
        <v>0.0</v>
      </c>
      <c r="N438" s="196">
        <f t="shared" si="708"/>
        <v>0.0</v>
      </c>
      <c r="O438" s="196">
        <f t="shared" si="708"/>
        <v>0.0</v>
      </c>
      <c r="P438" s="196">
        <f t="shared" si="708"/>
        <v>0.0</v>
      </c>
      <c r="Q438" s="196">
        <f t="shared" si="708"/>
        <v>0.0</v>
      </c>
      <c r="R438" s="196">
        <f t="shared" si="708"/>
        <v>0.0</v>
      </c>
      <c r="S438" s="196">
        <f t="shared" si="708"/>
        <v>0.0</v>
      </c>
      <c r="T438" s="196">
        <f t="shared" si="708"/>
        <v>0.0</v>
      </c>
      <c r="U438" s="196">
        <f t="shared" si="708"/>
        <v>0.0</v>
      </c>
      <c r="V438" s="196">
        <f t="shared" si="708"/>
        <v>0.0</v>
      </c>
      <c r="W438" s="201" t="str">
        <f>IF(X$5=K$5,SUM(Y438:AI438)-SUM(L438:V438),"")</f>
        <v/>
      </c>
      <c r="X438" s="9" t="str">
        <f>LOWER(CtryCode)&amp;".distn."&amp;$A438&amp;IF($B438="","","."&amp;$B438)&amp;IF($C438="","",".dec."&amp;$C438)&amp;"."&amp;X$5</f>
        <v>egy.distn.pct_gini_norec.dec.urb.2</v>
      </c>
      <c r="Y438" s="202">
        <f>(Y428/Y427-1)*PctPerUnit</f>
        <v>-0.00369755764714208</v>
      </c>
      <c r="Z438" s="196">
        <f t="shared" ref="Z438:AI438" si="709">Y438</f>
        <v>-0.00369755764714208</v>
      </c>
      <c r="AA438" s="196">
        <f t="shared" si="709"/>
        <v>-0.00369755764714208</v>
      </c>
      <c r="AB438" s="196">
        <f t="shared" si="709"/>
        <v>-0.00369755764714208</v>
      </c>
      <c r="AC438" s="196">
        <f t="shared" si="709"/>
        <v>-0.00369755764714208</v>
      </c>
      <c r="AD438" s="196">
        <f t="shared" si="709"/>
        <v>-0.00369755764714208</v>
      </c>
      <c r="AE438" s="196">
        <f t="shared" si="709"/>
        <v>-0.00369755764714208</v>
      </c>
      <c r="AF438" s="196">
        <f t="shared" si="709"/>
        <v>-0.00369755764714208</v>
      </c>
      <c r="AG438" s="196">
        <f t="shared" si="709"/>
        <v>-0.00369755764714208</v>
      </c>
      <c r="AH438" s="196">
        <f t="shared" si="709"/>
        <v>-0.00369755764714208</v>
      </c>
      <c r="AI438" s="196">
        <f t="shared" si="709"/>
        <v>-0.00369755764714208</v>
      </c>
    </row>
    <row r="439" hidden="1" outlineLevel="1">
      <c r="A439" s="44" t="inlineStr">
        <is>
          <t>pct_gini_rec</t>
        </is>
      </c>
      <c r="B439" s="3" t="inlineStr"/>
      <c r="C439" s="3" t="inlineStr">
        <is>
          <t>urb</t>
        </is>
      </c>
      <c r="D439" s="3" t="n"/>
      <c r="E439" s="3" t="n"/>
      <c r="H439" s="3" t="inlineStr">
        <is>
          <t>Change in the Gini, including recycling, urban</t>
        </is>
      </c>
      <c r="I439" s="3" t="inlineStr">
        <is>
          <t>%</t>
        </is>
      </c>
      <c r="J439" s="118" t="inlineStr">
        <is>
          <t>legacy R2532-R2539 x 100</t>
        </is>
      </c>
      <c r="K439" s="9" t="str">
        <f>LOWER(CtryCode)&amp;".distn."&amp;$A439&amp;IF($B439="","","."&amp;$B439)&amp;IF($C439="","",".dec."&amp;$C439)&amp;"."&amp;K$5</f>
        <v>egy.distn.pct_gini_rec.dec.urb.1</v>
      </c>
      <c r="L439" s="202">
        <f>(L429/L427-1)*PctPerUnit</f>
        <v>0.0</v>
      </c>
      <c r="M439" s="196">
        <f t="shared" ref="M439:V439" si="710">L439</f>
        <v>0.0</v>
      </c>
      <c r="N439" s="196">
        <f t="shared" si="710"/>
        <v>0.0</v>
      </c>
      <c r="O439" s="196">
        <f t="shared" si="710"/>
        <v>0.0</v>
      </c>
      <c r="P439" s="196">
        <f t="shared" si="710"/>
        <v>0.0</v>
      </c>
      <c r="Q439" s="196">
        <f t="shared" si="710"/>
        <v>0.0</v>
      </c>
      <c r="R439" s="196">
        <f t="shared" si="710"/>
        <v>0.0</v>
      </c>
      <c r="S439" s="196">
        <f t="shared" si="710"/>
        <v>0.0</v>
      </c>
      <c r="T439" s="196">
        <f t="shared" si="710"/>
        <v>0.0</v>
      </c>
      <c r="U439" s="196">
        <f t="shared" si="710"/>
        <v>0.0</v>
      </c>
      <c r="V439" s="196">
        <f t="shared" si="710"/>
        <v>0.0</v>
      </c>
      <c r="W439" s="201" t="str">
        <f>IF(X$5=K$5,SUM(Y439:AI439)-SUM(L439:V439),"")</f>
        <v/>
      </c>
      <c r="X439" s="9" t="str">
        <f>LOWER(CtryCode)&amp;".distn."&amp;$A439&amp;IF($B439="","","."&amp;$B439)&amp;IF($C439="","",".dec."&amp;$C439)&amp;"."&amp;X$5</f>
        <v>egy.distn.pct_gini_rec.dec.urb.2</v>
      </c>
      <c r="Y439" s="202">
        <f>(Y429/Y427-1)*PctPerUnit</f>
        <v>-1.0831949450735068</v>
      </c>
      <c r="Z439" s="196">
        <f t="shared" ref="Z439:AI439" si="711">Y439</f>
        <v>-1.0831949450735068</v>
      </c>
      <c r="AA439" s="196">
        <f t="shared" si="711"/>
        <v>-1.0831949450735068</v>
      </c>
      <c r="AB439" s="196">
        <f t="shared" si="711"/>
        <v>-1.0831949450735068</v>
      </c>
      <c r="AC439" s="196">
        <f t="shared" si="711"/>
        <v>-1.0831949450735068</v>
      </c>
      <c r="AD439" s="196">
        <f t="shared" si="711"/>
        <v>-1.0831949450735068</v>
      </c>
      <c r="AE439" s="196">
        <f t="shared" si="711"/>
        <v>-1.0831949450735068</v>
      </c>
      <c r="AF439" s="196">
        <f t="shared" si="711"/>
        <v>-1.0831949450735068</v>
      </c>
      <c r="AG439" s="196">
        <f t="shared" si="711"/>
        <v>-1.0831949450735068</v>
      </c>
      <c r="AH439" s="196">
        <f t="shared" si="711"/>
        <v>-1.0831949450735068</v>
      </c>
      <c r="AI439" s="196">
        <f t="shared" si="711"/>
        <v>-1.0831949450735068</v>
      </c>
    </row>
    <row r="440" hidden="1" outlineLevel="1">
      <c r="A440" s="44" t="inlineStr">
        <is>
          <t>pct_gini_norec</t>
        </is>
      </c>
      <c r="B440" s="3" t="inlineStr"/>
      <c r="C440" s="3" t="inlineStr">
        <is>
          <t>rur</t>
        </is>
      </c>
      <c r="D440" s="3" t="n"/>
      <c r="E440" s="3" t="n"/>
      <c r="H440" s="3" t="inlineStr">
        <is>
          <t>Change in the Gini, excluding recycling, rural</t>
        </is>
      </c>
      <c r="I440" s="3" t="inlineStr">
        <is>
          <t>%</t>
        </is>
      </c>
      <c r="J440" s="118" t="inlineStr">
        <is>
          <t>legacy R2532-R2539 x 100</t>
        </is>
      </c>
      <c r="K440" s="9" t="str">
        <f>LOWER(CtryCode)&amp;".distn."&amp;$A440&amp;IF($B440="","","."&amp;$B440)&amp;IF($C440="","",".dec."&amp;$C440)&amp;"."&amp;K$5</f>
        <v>egy.distn.pct_gini_norec.dec.rur.1</v>
      </c>
      <c r="L440" s="202">
        <f>(L433/L432-1)*PctPerUnit</f>
        <v>0.0</v>
      </c>
      <c r="M440" s="196">
        <f t="shared" ref="M440:V440" si="712">L440</f>
        <v>0.0</v>
      </c>
      <c r="N440" s="196">
        <f t="shared" si="712"/>
        <v>0.0</v>
      </c>
      <c r="O440" s="196">
        <f t="shared" si="712"/>
        <v>0.0</v>
      </c>
      <c r="P440" s="196">
        <f t="shared" si="712"/>
        <v>0.0</v>
      </c>
      <c r="Q440" s="196">
        <f t="shared" si="712"/>
        <v>0.0</v>
      </c>
      <c r="R440" s="196">
        <f t="shared" si="712"/>
        <v>0.0</v>
      </c>
      <c r="S440" s="196">
        <f t="shared" si="712"/>
        <v>0.0</v>
      </c>
      <c r="T440" s="196">
        <f t="shared" si="712"/>
        <v>0.0</v>
      </c>
      <c r="U440" s="196">
        <f t="shared" si="712"/>
        <v>0.0</v>
      </c>
      <c r="V440" s="196">
        <f t="shared" si="712"/>
        <v>0.0</v>
      </c>
      <c r="W440" s="201" t="str">
        <f>IF(X$5=K$5,SUM(Y440:AI440)-SUM(L440:V440),"")</f>
        <v/>
      </c>
      <c r="X440" s="9" t="str">
        <f>LOWER(CtryCode)&amp;".distn."&amp;$A440&amp;IF($B440="","","."&amp;$B440)&amp;IF($C440="","",".dec."&amp;$C440)&amp;"."&amp;X$5</f>
        <v>egy.distn.pct_gini_norec.dec.rur.2</v>
      </c>
      <c r="Y440" s="202">
        <f>(Y433/Y432-1)*PctPerUnit</f>
        <v>0.03616238316823672</v>
      </c>
      <c r="Z440" s="196">
        <f t="shared" ref="Z440:AI440" si="713">Y440</f>
        <v>0.03616238316823672</v>
      </c>
      <c r="AA440" s="196">
        <f t="shared" si="713"/>
        <v>0.03616238316823672</v>
      </c>
      <c r="AB440" s="196">
        <f t="shared" si="713"/>
        <v>0.03616238316823672</v>
      </c>
      <c r="AC440" s="196">
        <f t="shared" si="713"/>
        <v>0.03616238316823672</v>
      </c>
      <c r="AD440" s="196">
        <f t="shared" si="713"/>
        <v>0.03616238316823672</v>
      </c>
      <c r="AE440" s="196">
        <f t="shared" si="713"/>
        <v>0.03616238316823672</v>
      </c>
      <c r="AF440" s="196">
        <f t="shared" si="713"/>
        <v>0.03616238316823672</v>
      </c>
      <c r="AG440" s="196">
        <f t="shared" si="713"/>
        <v>0.03616238316823672</v>
      </c>
      <c r="AH440" s="196">
        <f t="shared" si="713"/>
        <v>0.03616238316823672</v>
      </c>
      <c r="AI440" s="196">
        <f t="shared" si="713"/>
        <v>0.03616238316823672</v>
      </c>
    </row>
    <row r="441" hidden="1" outlineLevel="1">
      <c r="A441" s="44" t="inlineStr">
        <is>
          <t>pct_gini_rec</t>
        </is>
      </c>
      <c r="B441" s="3" t="inlineStr"/>
      <c r="C441" s="3" t="inlineStr">
        <is>
          <t>rur</t>
        </is>
      </c>
      <c r="D441" s="3" t="n"/>
      <c r="E441" s="3" t="n"/>
      <c r="H441" s="3" t="inlineStr">
        <is>
          <t>Change in the Gini, including recycling, rural</t>
        </is>
      </c>
      <c r="I441" s="3" t="inlineStr">
        <is>
          <t>%</t>
        </is>
      </c>
      <c r="J441" s="118" t="inlineStr">
        <is>
          <t>legacy R2532-R2539 x 100</t>
        </is>
      </c>
      <c r="K441" s="9" t="str">
        <f>LOWER(CtryCode)&amp;".distn."&amp;$A441&amp;IF($B441="","","."&amp;$B441)&amp;IF($C441="","",".dec."&amp;$C441)&amp;"."&amp;K$5</f>
        <v>egy.distn.pct_gini_rec.dec.rur.1</v>
      </c>
      <c r="L441" s="202">
        <f>(L434/L432-1)*PctPerUnit</f>
        <v>0.0</v>
      </c>
      <c r="M441" s="196">
        <f t="shared" ref="M441:V441" si="714">L441</f>
        <v>0.0</v>
      </c>
      <c r="N441" s="196">
        <f t="shared" si="714"/>
        <v>0.0</v>
      </c>
      <c r="O441" s="196">
        <f t="shared" si="714"/>
        <v>0.0</v>
      </c>
      <c r="P441" s="196">
        <f t="shared" si="714"/>
        <v>0.0</v>
      </c>
      <c r="Q441" s="196">
        <f t="shared" si="714"/>
        <v>0.0</v>
      </c>
      <c r="R441" s="196">
        <f t="shared" si="714"/>
        <v>0.0</v>
      </c>
      <c r="S441" s="196">
        <f t="shared" si="714"/>
        <v>0.0</v>
      </c>
      <c r="T441" s="196">
        <f t="shared" si="714"/>
        <v>0.0</v>
      </c>
      <c r="U441" s="196">
        <f t="shared" si="714"/>
        <v>0.0</v>
      </c>
      <c r="V441" s="196">
        <f t="shared" si="714"/>
        <v>0.0</v>
      </c>
      <c r="W441" s="201" t="str">
        <f>IF(X$5=K$5,SUM(Y441:AI441)-SUM(L441:V441),"")</f>
        <v/>
      </c>
      <c r="X441" s="9" t="str">
        <f>LOWER(CtryCode)&amp;".distn."&amp;$A441&amp;IF($B441="","","."&amp;$B441)&amp;IF($C441="","",".dec."&amp;$C441)&amp;"."&amp;X$5</f>
        <v>egy.distn.pct_gini_rec.dec.rur.2</v>
      </c>
      <c r="Y441" s="202">
        <f>(Y434/Y432-1)*PctPerUnit</f>
        <v>-2.1927280088856027</v>
      </c>
      <c r="Z441" s="196">
        <f t="shared" ref="Z441:AI441" si="715">Y441</f>
        <v>-2.1927280088856027</v>
      </c>
      <c r="AA441" s="196">
        <f t="shared" si="715"/>
        <v>-2.1927280088856027</v>
      </c>
      <c r="AB441" s="196">
        <f t="shared" si="715"/>
        <v>-2.1927280088856027</v>
      </c>
      <c r="AC441" s="196">
        <f t="shared" si="715"/>
        <v>-2.1927280088856027</v>
      </c>
      <c r="AD441" s="196">
        <f t="shared" si="715"/>
        <v>-2.1927280088856027</v>
      </c>
      <c r="AE441" s="196">
        <f t="shared" si="715"/>
        <v>-2.1927280088856027</v>
      </c>
      <c r="AF441" s="196">
        <f t="shared" si="715"/>
        <v>-2.1927280088856027</v>
      </c>
      <c r="AG441" s="196">
        <f t="shared" si="715"/>
        <v>-2.1927280088856027</v>
      </c>
      <c r="AH441" s="196">
        <f t="shared" si="715"/>
        <v>-2.1927280088856027</v>
      </c>
      <c r="AI441" s="196">
        <f t="shared" si="715"/>
        <v>-2.1927280088856027</v>
      </c>
    </row>
    <row r="442" hidden="1" outlineLevel="1"/>
    <row r="443" hidden="1" outlineLevel="1">
      <c r="B443" s="31" t="inlineStr">
        <is>
          <t>Net effect after recycling (overall: the summary below)</t>
        </is>
      </c>
    </row>
    <row r="444" hidden="1" outlineLevel="1">
      <c r="A444" s="44" t="inlineStr">
        <is>
          <t>net</t>
        </is>
      </c>
      <c r="B444" s="3" t="inlineStr">
        <is>
          <t>tot</t>
        </is>
      </c>
      <c r="C444" s="3" t="inlineStr">
        <is>
          <t>urb</t>
        </is>
      </c>
      <c r="D444" s="3" t="n"/>
      <c r="E444" s="3" t="n"/>
      <c r="H444" s="3" t="inlineStr">
        <is>
          <t>Net effect after recycling, urban</t>
        </is>
      </c>
      <c r="I444" s="3" t="inlineStr">
        <is>
          <t>% consumption</t>
        </is>
      </c>
      <c r="J444" s="118" t="inlineStr">
        <is>
          <t>legacy D.II 2884</t>
        </is>
      </c>
      <c r="K444" s="9" t="str">
        <f>LOWER(CtryCode)&amp;".distn."&amp;$A444&amp;IF($B444="","","."&amp;$B444)&amp;IF($C444="","",".dec."&amp;$C444)&amp;"."&amp;K$5</f>
        <v>egy.distn.net.tot.dec.urb.1</v>
      </c>
      <c r="M444" s="196">
        <f t="shared" ref="M444:V444" si="716">M302+M394</f>
        <v>0.0</v>
      </c>
      <c r="N444" s="196">
        <f t="shared" si="716"/>
        <v>0.0</v>
      </c>
      <c r="O444" s="196">
        <f t="shared" si="716"/>
        <v>0.0</v>
      </c>
      <c r="P444" s="196">
        <f t="shared" si="716"/>
        <v>0.0</v>
      </c>
      <c r="Q444" s="196">
        <f t="shared" si="716"/>
        <v>0.0</v>
      </c>
      <c r="R444" s="196">
        <f t="shared" si="716"/>
        <v>0.0</v>
      </c>
      <c r="S444" s="196">
        <f t="shared" si="716"/>
        <v>0.0</v>
      </c>
      <c r="T444" s="196">
        <f t="shared" si="716"/>
        <v>0.0</v>
      </c>
      <c r="U444" s="196">
        <f t="shared" si="716"/>
        <v>0.0</v>
      </c>
      <c r="V444" s="196">
        <f t="shared" si="716"/>
        <v>0.0</v>
      </c>
      <c r="W444" s="201" t="str">
        <f>IF(X$5=K$5,SUM(Y444:AI444)-SUM(L444:V444),"")</f>
        <v/>
      </c>
      <c r="X444" s="9" t="str">
        <f>LOWER(CtryCode)&amp;".distn."&amp;$A444&amp;IF($B444="","","."&amp;$B444)&amp;IF($C444="","",".dec."&amp;$C444)&amp;"."&amp;X$5</f>
        <v>egy.distn.net.tot.dec.urb.2</v>
      </c>
      <c r="Z444" s="196">
        <f t="shared" ref="Z444:AI444" si="717">Z302+Z394</f>
        <v>1.2275564613811127</v>
      </c>
      <c r="AA444" s="196">
        <f t="shared" si="717"/>
        <v>0.19704403727300046</v>
      </c>
      <c r="AB444" s="196">
        <f t="shared" si="717"/>
        <v>-0.624734542048812</v>
      </c>
      <c r="AC444" s="196">
        <f t="shared" si="717"/>
        <v>-0.02892286453397186</v>
      </c>
      <c r="AD444" s="196">
        <f t="shared" si="717"/>
        <v>-1.0051551739044982</v>
      </c>
      <c r="AE444" s="196">
        <f t="shared" si="717"/>
        <v>-0.7902662441761652</v>
      </c>
      <c r="AF444" s="196">
        <f t="shared" si="717"/>
        <v>-1.1063484561303436</v>
      </c>
      <c r="AG444" s="196">
        <f t="shared" si="717"/>
        <v>-1.1377445869911837</v>
      </c>
      <c r="AH444" s="196">
        <f t="shared" si="717"/>
        <v>-1.2839690437126796</v>
      </c>
      <c r="AI444" s="196">
        <f t="shared" si="717"/>
        <v>-1.3089682223127497</v>
      </c>
    </row>
    <row r="445" hidden="1" outlineLevel="1">
      <c r="A445" s="44" t="inlineStr">
        <is>
          <t>net</t>
        </is>
      </c>
      <c r="B445" s="3" t="inlineStr">
        <is>
          <t>tot</t>
        </is>
      </c>
      <c r="C445" s="3" t="inlineStr">
        <is>
          <t>rur</t>
        </is>
      </c>
      <c r="D445" s="3" t="n"/>
      <c r="E445" s="3" t="n"/>
      <c r="H445" s="3" t="inlineStr">
        <is>
          <t>Net effect after recycling, rural</t>
        </is>
      </c>
      <c r="I445" s="3" t="inlineStr">
        <is>
          <t>% consumption</t>
        </is>
      </c>
      <c r="J445" s="118" t="inlineStr">
        <is>
          <t>legacy D.II 2884</t>
        </is>
      </c>
      <c r="K445" s="9" t="str">
        <f>LOWER(CtryCode)&amp;".distn."&amp;$A445&amp;IF($B445="","","."&amp;$B445)&amp;IF($C445="","",".dec."&amp;$C445)&amp;"."&amp;K$5</f>
        <v>egy.distn.net.tot.dec.rur.1</v>
      </c>
      <c r="M445" s="196">
        <f t="shared" ref="M445:V445" si="718">M303+M400</f>
        <v>0.0</v>
      </c>
      <c r="N445" s="196">
        <f t="shared" si="718"/>
        <v>0.0</v>
      </c>
      <c r="O445" s="196">
        <f t="shared" si="718"/>
        <v>0.0</v>
      </c>
      <c r="P445" s="196">
        <f t="shared" si="718"/>
        <v>0.0</v>
      </c>
      <c r="Q445" s="196">
        <f t="shared" si="718"/>
        <v>0.0</v>
      </c>
      <c r="R445" s="196">
        <f t="shared" si="718"/>
        <v>0.0</v>
      </c>
      <c r="S445" s="196">
        <f t="shared" si="718"/>
        <v>0.0</v>
      </c>
      <c r="T445" s="196">
        <f t="shared" si="718"/>
        <v>0.0</v>
      </c>
      <c r="U445" s="196">
        <f t="shared" si="718"/>
        <v>0.0</v>
      </c>
      <c r="V445" s="196">
        <f t="shared" si="718"/>
        <v>0.0</v>
      </c>
      <c r="W445" s="201" t="str">
        <f>IF(X$5=K$5,SUM(Y445:AI445)-SUM(L445:V445),"")</f>
        <v/>
      </c>
      <c r="X445" s="9" t="str">
        <f>LOWER(CtryCode)&amp;".distn."&amp;$A445&amp;IF($B445="","","."&amp;$B445)&amp;IF($C445="","",".dec."&amp;$C445)&amp;"."&amp;X$5</f>
        <v>egy.distn.net.tot.dec.rur.2</v>
      </c>
      <c r="Z445" s="196">
        <f t="shared" ref="Z445:AI445" si="719">Z303+Z400</f>
        <v>3.3355104938915767</v>
      </c>
      <c r="AA445" s="196">
        <f t="shared" si="719"/>
        <v>2.313341956111116</v>
      </c>
      <c r="AB445" s="196">
        <f t="shared" si="719"/>
        <v>1.453727335372275</v>
      </c>
      <c r="AC445" s="196">
        <f t="shared" si="719"/>
        <v>0.47387411814915104</v>
      </c>
      <c r="AD445" s="196">
        <f t="shared" si="719"/>
        <v>-0.3695315351580344</v>
      </c>
      <c r="AE445" s="196">
        <f t="shared" si="719"/>
        <v>-0.22327676857421808</v>
      </c>
      <c r="AF445" s="196">
        <f t="shared" si="719"/>
        <v>-0.5068485595655093</v>
      </c>
      <c r="AG445" s="196">
        <f t="shared" si="719"/>
        <v>-0.5276782920511514</v>
      </c>
      <c r="AH445" s="196">
        <f t="shared" si="719"/>
        <v>-0.6348698338253003</v>
      </c>
      <c r="AI445" s="196">
        <f t="shared" si="719"/>
        <v>-0.8545043603084885</v>
      </c>
    </row>
    <row r="446" hidden="1" outlineLevel="1"/>
    <row r="447" collapsed="1">
      <c r="A447" s="44" t="inlineStr">
        <is>
          <t>net</t>
        </is>
      </c>
      <c r="B447" s="3" t="inlineStr">
        <is>
          <t>tot</t>
        </is>
      </c>
      <c r="C447" s="3" t="inlineStr">
        <is>
          <t>ove</t>
        </is>
      </c>
      <c r="D447" s="3" t="n"/>
      <c r="E447" s="3" t="n"/>
      <c r="H447" s="6" t="inlineStr">
        <is>
          <t>Net effect after recycling, overall</t>
        </is>
      </c>
      <c r="I447" s="3" t="inlineStr">
        <is>
          <t>% consumption</t>
        </is>
      </c>
      <c r="J447" s="118" t="inlineStr">
        <is>
          <t>legacy D.II 2884</t>
        </is>
      </c>
      <c r="K447" s="9" t="str">
        <f>LOWER(CtryCode)&amp;".distn."&amp;$A447&amp;IF($B447="","","."&amp;$B447)&amp;IF($C447="","",".dec."&amp;$C447)&amp;"."&amp;K$5</f>
        <v>egy.distn.net.tot.dec.ove.1</v>
      </c>
      <c r="M447" s="210">
        <f t="shared" ref="M447:V447" si="720">M305+M407</f>
        <v>0.0</v>
      </c>
      <c r="N447" s="210">
        <f t="shared" si="720"/>
        <v>0.0</v>
      </c>
      <c r="O447" s="210">
        <f t="shared" si="720"/>
        <v>0.0</v>
      </c>
      <c r="P447" s="210">
        <f t="shared" si="720"/>
        <v>0.0</v>
      </c>
      <c r="Q447" s="210">
        <f t="shared" si="720"/>
        <v>0.0</v>
      </c>
      <c r="R447" s="210">
        <f t="shared" si="720"/>
        <v>0.0</v>
      </c>
      <c r="S447" s="210">
        <f t="shared" si="720"/>
        <v>0.0</v>
      </c>
      <c r="T447" s="210">
        <f t="shared" si="720"/>
        <v>0.0</v>
      </c>
      <c r="U447" s="210">
        <f t="shared" si="720"/>
        <v>0.0</v>
      </c>
      <c r="V447" s="210">
        <f t="shared" si="720"/>
        <v>0.0</v>
      </c>
      <c r="W447" s="201" t="str">
        <f>IF(X$5=K$5,SUM(Y447:AI447)-SUM(L447:V447),"")</f>
        <v/>
      </c>
      <c r="X447" s="9" t="str">
        <f>LOWER(CtryCode)&amp;".distn."&amp;$A447&amp;IF($B447="","","."&amp;$B447)&amp;IF($C447="","",".dec."&amp;$C447)&amp;"."&amp;X$5</f>
        <v>egy.distn.net.tot.dec.ove.2</v>
      </c>
      <c r="Z447" s="210">
        <f t="shared" ref="Z447:AI447" si="721">Z305+Z407</f>
        <v>2.6679136964121186</v>
      </c>
      <c r="AA447" s="210">
        <f t="shared" si="721"/>
        <v>1.5022094958994234</v>
      </c>
      <c r="AB447" s="210">
        <f t="shared" si="721"/>
        <v>0.3508669036908858</v>
      </c>
      <c r="AC447" s="210">
        <f t="shared" si="721"/>
        <v>0.06114172151873665</v>
      </c>
      <c r="AD447" s="210">
        <f t="shared" si="721"/>
        <v>-0.36593608113383125</v>
      </c>
      <c r="AE447" s="210">
        <f t="shared" si="721"/>
        <v>-0.812186395501638</v>
      </c>
      <c r="AF447" s="210">
        <f t="shared" si="721"/>
        <v>-1.048587470247552</v>
      </c>
      <c r="AG447" s="210">
        <f t="shared" si="721"/>
        <v>-1.1848250058933572</v>
      </c>
      <c r="AH447" s="210">
        <f t="shared" si="721"/>
        <v>-1.069348056517049</v>
      </c>
      <c r="AI447" s="210">
        <f t="shared" si="721"/>
        <v>-1.3607032887623425</v>
      </c>
    </row>
    <row r="448"/>
    <row r="449">
      <c r="A449" s="36" t="inlineStr">
        <is>
          <t>10</t>
        </is>
      </c>
      <c r="B449" s="37" t="inlineStr">
        <is>
          <t>Outputs for charts (legacy D.I-D.V)</t>
        </is>
      </c>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row>
    <row r="450" hidden="1" outlineLevel="1"/>
    <row r="451" hidden="1" outlineLevel="1">
      <c r="B451" s="31" t="inlineStr">
        <is>
          <t>Decile labels (MTInputs QuantilesLCU: consumption brackets in real local currency of the analysis year)</t>
        </is>
      </c>
    </row>
    <row r="452" hidden="1" outlineLevel="1">
      <c r="A452" s="44" t="inlineStr">
        <is>
          <t>dname</t>
        </is>
      </c>
      <c r="B452" s="3" t="inlineStr"/>
      <c r="C452" s="3" t="inlineStr"/>
      <c r="D452" s="3" t="n"/>
      <c r="E452" s="3" t="n"/>
      <c r="H452" s="3" t="inlineStr">
        <is>
          <t>Decile name</t>
        </is>
      </c>
      <c r="I452" s="3" t="inlineStr">
        <is>
          <t>label</t>
        </is>
      </c>
      <c r="J452" s="118" t="inlineStr">
        <is>
          <t>legacy rows 2775-2784</t>
        </is>
      </c>
      <c r="K452" s="9" t="str">
        <f>LOWER(CtryCode)&amp;".distn."&amp;$A452&amp;IF($B452="","","."&amp;$B452)&amp;IF($C452="","",".dec."&amp;$C452)&amp;"."&amp;K$5</f>
        <v>egy.distn.dname.1</v>
      </c>
      <c r="M452" s="3" t="str">
        <f>IF(M$1=1,"Poorest",IF(M$1=V$1,"Wealthiest","Decile "&amp;M$1))</f>
        <v>Poorest</v>
      </c>
      <c r="N452" s="3" t="str">
        <f>IF(N$1=1,"Poorest",IF(N$1=V$1,"Wealthiest","Decile "&amp;N$1))</f>
        <v>Decile 2</v>
      </c>
      <c r="O452" s="3" t="str">
        <f>IF(O$1=1,"Poorest",IF(O$1=V$1,"Wealthiest","Decile "&amp;O$1))</f>
        <v>Decile 3</v>
      </c>
      <c r="P452" s="3" t="str">
        <f>IF(P$1=1,"Poorest",IF(P$1=V$1,"Wealthiest","Decile "&amp;P$1))</f>
        <v>Decile 4</v>
      </c>
      <c r="Q452" s="3" t="str">
        <f>IF(Q$1=1,"Poorest",IF(Q$1=V$1,"Wealthiest","Decile "&amp;Q$1))</f>
        <v>Decile 5</v>
      </c>
      <c r="R452" s="3" t="str">
        <f>IF(R$1=1,"Poorest",IF(R$1=V$1,"Wealthiest","Decile "&amp;R$1))</f>
        <v>Decile 6</v>
      </c>
      <c r="S452" s="3" t="str">
        <f>IF(S$1=1,"Poorest",IF(S$1=V$1,"Wealthiest","Decile "&amp;S$1))</f>
        <v>Decile 7</v>
      </c>
      <c r="T452" s="3" t="str">
        <f>IF(T$1=1,"Poorest",IF(T$1=V$1,"Wealthiest","Decile "&amp;T$1))</f>
        <v>Decile 8</v>
      </c>
      <c r="U452" s="3" t="str">
        <f>IF(U$1=1,"Poorest",IF(U$1=V$1,"Wealthiest","Decile "&amp;U$1))</f>
        <v>Decile 9</v>
      </c>
      <c r="V452" s="3" t="str">
        <f>IF(V$1=1,"Poorest",IF(V$1=V$1,"Wealthiest","Decile "&amp;V$1))</f>
        <v>Wealthiest</v>
      </c>
      <c r="W452" s="201" t="str">
        <f>IF(X$5=K$5,SUM(Y452:AI452)-SUM(L452:V452),"")</f>
        <v/>
      </c>
      <c r="X452" s="9" t="str">
        <f>LOWER(CtryCode)&amp;".distn."&amp;$A452&amp;IF($B452="","","."&amp;$B452)&amp;IF($C452="","",".dec."&amp;$C452)&amp;"."&amp;X$5</f>
        <v>egy.distn.dname.2</v>
      </c>
      <c r="Z452" s="3" t="str">
        <f>IF(Z$1=1,"Poorest",IF(Z$1=AI$1,"Wealthiest","Decile "&amp;Z$1))</f>
        <v>Poorest</v>
      </c>
      <c r="AA452" s="3" t="str">
        <f>IF(AA$1=1,"Poorest",IF(AA$1=AI$1,"Wealthiest","Decile "&amp;AA$1))</f>
        <v>Decile 2</v>
      </c>
      <c r="AB452" s="3" t="str">
        <f>IF(AB$1=1,"Poorest",IF(AB$1=AI$1,"Wealthiest","Decile "&amp;AB$1))</f>
        <v>Decile 3</v>
      </c>
      <c r="AC452" s="3" t="str">
        <f>IF(AC$1=1,"Poorest",IF(AC$1=AI$1,"Wealthiest","Decile "&amp;AC$1))</f>
        <v>Decile 4</v>
      </c>
      <c r="AD452" s="3" t="str">
        <f>IF(AD$1=1,"Poorest",IF(AD$1=AI$1,"Wealthiest","Decile "&amp;AD$1))</f>
        <v>Decile 5</v>
      </c>
      <c r="AE452" s="3" t="str">
        <f>IF(AE$1=1,"Poorest",IF(AE$1=AI$1,"Wealthiest","Decile "&amp;AE$1))</f>
        <v>Decile 6</v>
      </c>
      <c r="AF452" s="3" t="str">
        <f>IF(AF$1=1,"Poorest",IF(AF$1=AI$1,"Wealthiest","Decile "&amp;AF$1))</f>
        <v>Decile 7</v>
      </c>
      <c r="AG452" s="3" t="str">
        <f>IF(AG$1=1,"Poorest",IF(AG$1=AI$1,"Wealthiest","Decile "&amp;AG$1))</f>
        <v>Decile 8</v>
      </c>
      <c r="AH452" s="3" t="str">
        <f>IF(AH$1=1,"Poorest",IF(AH$1=AI$1,"Wealthiest","Decile "&amp;AH$1))</f>
        <v>Decile 9</v>
      </c>
      <c r="AI452" s="3" t="str">
        <f>IF(AI$1=1,"Poorest",IF(AI$1=AI$1,"Wealthiest","Decile "&amp;AI$1))</f>
        <v>Wealthiest</v>
      </c>
    </row>
    <row r="453" hidden="1" outlineLevel="1">
      <c r="A453" s="44" t="inlineStr">
        <is>
          <t>hhbk</t>
        </is>
      </c>
      <c r="B453" s="3" t="inlineStr"/>
      <c r="C453" s="3" t="inlineStr"/>
      <c r="D453" s="3" t="n"/>
      <c r="E453" s="3" t="n"/>
      <c r="H453" s="3" t="inlineStr">
        <is>
          <t>HHSurvey row of the country (first row: decile 1, overall, mean)</t>
        </is>
      </c>
      <c r="I453" s="3" t="inlineStr">
        <is>
          <t>row</t>
        </is>
      </c>
      <c r="J453" s="118" t="inlineStr">
        <is>
          <t>legacy row 2773 (first country row)</t>
        </is>
      </c>
      <c r="K453" s="9" t="str">
        <f>LOWER(CtryCode)&amp;".distn."&amp;$A453&amp;IF($B453="","","."&amp;$B453)&amp;IF($C453="","",".dec."&amp;$C453)&amp;"."&amp;K$5</f>
        <v>egy.distn.hhbk.1</v>
      </c>
      <c r="L453" s="38">
        <f>MATCH(CtryCode&amp;".distn.bsh.dec.ove.mean.1",DHHKey,0)</f>
        <v>1.0</v>
      </c>
      <c r="M453" s="39">
        <f t="shared" ref="M453:V453" si="722">L453</f>
        <v>1.0</v>
      </c>
      <c r="N453" s="39">
        <f t="shared" si="722"/>
        <v>1.0</v>
      </c>
      <c r="O453" s="39">
        <f t="shared" si="722"/>
        <v>1.0</v>
      </c>
      <c r="P453" s="39">
        <f t="shared" si="722"/>
        <v>1.0</v>
      </c>
      <c r="Q453" s="39">
        <f t="shared" si="722"/>
        <v>1.0</v>
      </c>
      <c r="R453" s="39">
        <f t="shared" si="722"/>
        <v>1.0</v>
      </c>
      <c r="S453" s="39">
        <f t="shared" si="722"/>
        <v>1.0</v>
      </c>
      <c r="T453" s="39">
        <f t="shared" si="722"/>
        <v>1.0</v>
      </c>
      <c r="U453" s="39">
        <f t="shared" si="722"/>
        <v>1.0</v>
      </c>
      <c r="V453" s="39">
        <f t="shared" si="722"/>
        <v>1.0</v>
      </c>
      <c r="W453" s="201" t="str">
        <f>IF(X$5=K$5,SUM(Y453:AI453)-SUM(L453:V453),"")</f>
        <v/>
      </c>
      <c r="X453" s="9" t="str">
        <f>LOWER(CtryCode)&amp;".distn."&amp;$A453&amp;IF($B453="","","."&amp;$B453)&amp;IF($C453="","",".dec."&amp;$C453)&amp;"."&amp;X$5</f>
        <v>egy.distn.hhbk.2</v>
      </c>
      <c r="Y453" s="38">
        <f>MATCH(CtryCode&amp;".distn.bsh.dec.ove.mean.1",DHHKey,0)</f>
        <v>1.0</v>
      </c>
      <c r="Z453" s="39">
        <f t="shared" ref="Z453:AI453" si="723">Y453</f>
        <v>1.0</v>
      </c>
      <c r="AA453" s="39">
        <f t="shared" si="723"/>
        <v>1.0</v>
      </c>
      <c r="AB453" s="39">
        <f t="shared" si="723"/>
        <v>1.0</v>
      </c>
      <c r="AC453" s="39">
        <f t="shared" si="723"/>
        <v>1.0</v>
      </c>
      <c r="AD453" s="39">
        <f t="shared" si="723"/>
        <v>1.0</v>
      </c>
      <c r="AE453" s="39">
        <f t="shared" si="723"/>
        <v>1.0</v>
      </c>
      <c r="AF453" s="39">
        <f t="shared" si="723"/>
        <v>1.0</v>
      </c>
      <c r="AG453" s="39">
        <f t="shared" si="723"/>
        <v>1.0</v>
      </c>
      <c r="AH453" s="39">
        <f t="shared" si="723"/>
        <v>1.0</v>
      </c>
      <c r="AI453" s="39">
        <f t="shared" si="723"/>
        <v>1.0</v>
      </c>
    </row>
    <row r="454" hidden="1" outlineLevel="1">
      <c r="A454" s="44" t="inlineStr">
        <is>
          <t>dbr</t>
        </is>
      </c>
      <c r="B454" s="3" t="inlineStr">
        <is>
          <t>p1</t>
        </is>
      </c>
      <c r="C454" s="3" t="inlineStr"/>
      <c r="D454" s="3" t="n"/>
      <c r="E454" s="3" t="n"/>
      <c r="H454" s="3" t="inlineStr">
        <is>
          <t>Consumption bracket, lower bound (percentile 1 of the decile, per capita)</t>
        </is>
      </c>
      <c r="I454" s="3" t="inlineStr">
        <is>
          <t>LCU</t>
        </is>
      </c>
      <c r="J454" s="118" t="inlineStr">
        <is>
          <t>HHSurvey dec_k_p1, dec_k_p99 x consumption adjustment (legacy row 2773, fixes D20, D21)</t>
        </is>
      </c>
      <c r="K454" s="9" t="str">
        <f>LOWER(CtryCode)&amp;".distn."&amp;$A454&amp;IF($B454="","","."&amp;$B454)&amp;IF($C454="","",".dec."&amp;$C454)&amp;"."&amp;K$5</f>
        <v>egy.distn.dbr.p1.1</v>
      </c>
      <c r="M454" s="109">
        <f t="shared" ref="M454:V454" si="724">INDEX(DHHVal,M$453,MATCH("dec_"&amp;M$1&amp;"_p1",DHHVar,0))*M$320</f>
        <v>19100.536447478313</v>
      </c>
      <c r="N454" s="109">
        <f t="shared" si="724"/>
        <v>42392.93704203088</v>
      </c>
      <c r="O454" s="109">
        <f t="shared" si="724"/>
        <v>51201.39444280677</v>
      </c>
      <c r="P454" s="109">
        <f t="shared" si="724"/>
        <v>56812.996404936646</v>
      </c>
      <c r="Q454" s="109">
        <f t="shared" si="724"/>
        <v>67409.6537629197</v>
      </c>
      <c r="R454" s="109">
        <f t="shared" si="724"/>
        <v>72913.03655467991</v>
      </c>
      <c r="S454" s="109">
        <f t="shared" si="724"/>
        <v>81257.33295463258</v>
      </c>
      <c r="T454" s="109">
        <f t="shared" si="724"/>
        <v>91545.80605723956</v>
      </c>
      <c r="U454" s="109">
        <f t="shared" si="724"/>
        <v>112629.23739367719</v>
      </c>
      <c r="V454" s="109">
        <f t="shared" si="724"/>
        <v>130363.64025337924</v>
      </c>
      <c r="W454" s="201" t="str">
        <f>IF(X$5=K$5,SUM(Y454:AI454)-SUM(L454:V454),"")</f>
        <v/>
      </c>
      <c r="X454" s="9" t="str">
        <f>LOWER(CtryCode)&amp;".distn."&amp;$A454&amp;IF($B454="","","."&amp;$B454)&amp;IF($C454="","",".dec."&amp;$C454)&amp;"."&amp;X$5</f>
        <v>egy.distn.dbr.p1.2</v>
      </c>
      <c r="Z454" s="109">
        <f t="shared" ref="Z454:AI454" si="725">INDEX(DHHVal,Z$453,MATCH("dec_"&amp;Z$1&amp;"_p1",DHHVar,0))*Z$320</f>
        <v>19100.536447478313</v>
      </c>
      <c r="AA454" s="109">
        <f t="shared" si="725"/>
        <v>42392.93704203088</v>
      </c>
      <c r="AB454" s="109">
        <f t="shared" si="725"/>
        <v>51201.39444280677</v>
      </c>
      <c r="AC454" s="109">
        <f t="shared" si="725"/>
        <v>56812.996404936646</v>
      </c>
      <c r="AD454" s="109">
        <f t="shared" si="725"/>
        <v>67409.6537629197</v>
      </c>
      <c r="AE454" s="109">
        <f t="shared" si="725"/>
        <v>72913.03655467991</v>
      </c>
      <c r="AF454" s="109">
        <f t="shared" si="725"/>
        <v>81257.33295463258</v>
      </c>
      <c r="AG454" s="109">
        <f t="shared" si="725"/>
        <v>91545.80605723956</v>
      </c>
      <c r="AH454" s="109">
        <f t="shared" si="725"/>
        <v>112629.23739367719</v>
      </c>
      <c r="AI454" s="109">
        <f t="shared" si="725"/>
        <v>130363.64025337924</v>
      </c>
    </row>
    <row r="455" hidden="1" outlineLevel="1">
      <c r="A455" s="44" t="inlineStr">
        <is>
          <t>dbr</t>
        </is>
      </c>
      <c r="B455" s="3" t="inlineStr">
        <is>
          <t>p99</t>
        </is>
      </c>
      <c r="C455" s="3" t="inlineStr"/>
      <c r="D455" s="3" t="n"/>
      <c r="E455" s="3" t="n"/>
      <c r="H455" s="3" t="inlineStr">
        <is>
          <t>Consumption bracket, upper bound (percentile 99 of the decile, per capita)</t>
        </is>
      </c>
      <c r="I455" s="3" t="inlineStr">
        <is>
          <t>LCU</t>
        </is>
      </c>
      <c r="J455" s="118" t="inlineStr">
        <is>
          <t>HHSurvey dec_k_p1, dec_k_p99 x consumption adjustment (legacy row 2773, fixes D20, D21)</t>
        </is>
      </c>
      <c r="K455" s="9" t="str">
        <f>LOWER(CtryCode)&amp;".distn."&amp;$A455&amp;IF($B455="","","."&amp;$B455)&amp;IF($C455="","",".dec."&amp;$C455)&amp;"."&amp;K$5</f>
        <v>egy.distn.dbr.p99.1</v>
      </c>
      <c r="M455" s="109">
        <f t="shared" ref="M455:V455" si="726">INDEX(DHHVal,M$453,MATCH("dec_"&amp;M$1&amp;"_p99",DHHVar,0))*M$320</f>
        <v>40946.70828208868</v>
      </c>
      <c r="N455" s="109">
        <f t="shared" si="726"/>
        <v>52199.69739016868</v>
      </c>
      <c r="O455" s="109">
        <f t="shared" si="726"/>
        <v>59293.92880689263</v>
      </c>
      <c r="P455" s="109">
        <f t="shared" si="726"/>
        <v>59434.13739979022</v>
      </c>
      <c r="Q455" s="109">
        <f t="shared" si="726"/>
        <v>75181.48023369948</v>
      </c>
      <c r="R455" s="109">
        <f t="shared" si="726"/>
        <v>81029.63330343123</v>
      </c>
      <c r="S455" s="109">
        <f t="shared" si="726"/>
        <v>88853.790935386</v>
      </c>
      <c r="T455" s="109">
        <f t="shared" si="726"/>
        <v>104971.63674189422</v>
      </c>
      <c r="U455" s="109">
        <f t="shared" si="726"/>
        <v>127634.16626749407</v>
      </c>
      <c r="V455" s="109">
        <f t="shared" si="726"/>
        <v>360761.1981114826</v>
      </c>
      <c r="W455" s="201" t="str">
        <f>IF(X$5=K$5,SUM(Y455:AI455)-SUM(L455:V455),"")</f>
        <v/>
      </c>
      <c r="X455" s="9" t="str">
        <f>LOWER(CtryCode)&amp;".distn."&amp;$A455&amp;IF($B455="","","."&amp;$B455)&amp;IF($C455="","",".dec."&amp;$C455)&amp;"."&amp;X$5</f>
        <v>egy.distn.dbr.p99.2</v>
      </c>
      <c r="Z455" s="109">
        <f t="shared" ref="Z455:AI455" si="727">INDEX(DHHVal,Z$453,MATCH("dec_"&amp;Z$1&amp;"_p99",DHHVar,0))*Z$320</f>
        <v>40946.70828208868</v>
      </c>
      <c r="AA455" s="109">
        <f t="shared" si="727"/>
        <v>52199.69739016868</v>
      </c>
      <c r="AB455" s="109">
        <f t="shared" si="727"/>
        <v>59293.92880689263</v>
      </c>
      <c r="AC455" s="109">
        <f t="shared" si="727"/>
        <v>59434.13739979022</v>
      </c>
      <c r="AD455" s="109">
        <f t="shared" si="727"/>
        <v>75181.48023369948</v>
      </c>
      <c r="AE455" s="109">
        <f t="shared" si="727"/>
        <v>81029.63330343123</v>
      </c>
      <c r="AF455" s="109">
        <f t="shared" si="727"/>
        <v>88853.790935386</v>
      </c>
      <c r="AG455" s="109">
        <f t="shared" si="727"/>
        <v>104971.63674189422</v>
      </c>
      <c r="AH455" s="109">
        <f t="shared" si="727"/>
        <v>127634.16626749407</v>
      </c>
      <c r="AI455" s="109">
        <f t="shared" si="727"/>
        <v>360761.1981114826</v>
      </c>
    </row>
    <row r="456" hidden="1" outlineLevel="1">
      <c r="A456" s="44" t="inlineStr">
        <is>
          <t>dlab</t>
        </is>
      </c>
      <c r="B456" s="3" t="inlineStr"/>
      <c r="C456" s="3" t="inlineStr"/>
      <c r="D456" s="3" t="n"/>
      <c r="E456" s="3" t="n"/>
      <c r="H456" s="3" t="inlineStr">
        <is>
          <t>Decile label used by the charts</t>
        </is>
      </c>
      <c r="I456" s="3" t="inlineStr">
        <is>
          <t>label</t>
        </is>
      </c>
      <c r="J456" s="118" t="inlineStr">
        <is>
          <t>legacy rows 2775-2784</t>
        </is>
      </c>
      <c r="K456" s="9" t="str">
        <f>LOWER(CtryCode)&amp;".distn."&amp;$A456&amp;IF($B456="","","."&amp;$B456)&amp;IF($C456="","",".dec."&amp;$C456)&amp;"."&amp;K$5</f>
        <v>egy.distn.dlab.1</v>
      </c>
      <c r="M456" s="3" t="str">
        <f t="shared" ref="M456:V456" si="728">IF(LEFT(M$39,3)="Yes",TEXT(M454,"#,##0")&amp;"-"&amp;TEXT(M455,"#,##0"),M452)</f>
        <v>Poorest</v>
      </c>
      <c r="N456" s="3" t="str">
        <f t="shared" si="728"/>
        <v>Decile 2</v>
      </c>
      <c r="O456" s="3" t="str">
        <f t="shared" si="728"/>
        <v>Decile 3</v>
      </c>
      <c r="P456" s="3" t="str">
        <f t="shared" si="728"/>
        <v>Decile 4</v>
      </c>
      <c r="Q456" s="3" t="str">
        <f t="shared" si="728"/>
        <v>Decile 5</v>
      </c>
      <c r="R456" s="3" t="str">
        <f t="shared" si="728"/>
        <v>Decile 6</v>
      </c>
      <c r="S456" s="3" t="str">
        <f t="shared" si="728"/>
        <v>Decile 7</v>
      </c>
      <c r="T456" s="3" t="str">
        <f t="shared" si="728"/>
        <v>Decile 8</v>
      </c>
      <c r="U456" s="3" t="str">
        <f t="shared" si="728"/>
        <v>Decile 9</v>
      </c>
      <c r="V456" s="3" t="str">
        <f t="shared" si="728"/>
        <v>Wealthiest</v>
      </c>
      <c r="W456" s="201" t="str">
        <f>IF(X$5=K$5,SUM(Y456:AI456)-SUM(L456:V456),"")</f>
        <v/>
      </c>
      <c r="X456" s="9" t="str">
        <f>LOWER(CtryCode)&amp;".distn."&amp;$A456&amp;IF($B456="","","."&amp;$B456)&amp;IF($C456="","",".dec."&amp;$C456)&amp;"."&amp;X$5</f>
        <v>egy.distn.dlab.2</v>
      </c>
      <c r="Z456" s="3" t="str">
        <f t="shared" ref="Z456:AI456" si="729">IF(LEFT(Z$39,3)="Yes",TEXT(Z454,"#,##0")&amp;"-"&amp;TEXT(Z455,"#,##0"),Z452)</f>
        <v>Poorest</v>
      </c>
      <c r="AA456" s="3" t="str">
        <f t="shared" si="729"/>
        <v>Decile 2</v>
      </c>
      <c r="AB456" s="3" t="str">
        <f t="shared" si="729"/>
        <v>Decile 3</v>
      </c>
      <c r="AC456" s="3" t="str">
        <f t="shared" si="729"/>
        <v>Decile 4</v>
      </c>
      <c r="AD456" s="3" t="str">
        <f t="shared" si="729"/>
        <v>Decile 5</v>
      </c>
      <c r="AE456" s="3" t="str">
        <f t="shared" si="729"/>
        <v>Decile 6</v>
      </c>
      <c r="AF456" s="3" t="str">
        <f t="shared" si="729"/>
        <v>Decile 7</v>
      </c>
      <c r="AG456" s="3" t="str">
        <f t="shared" si="729"/>
        <v>Decile 8</v>
      </c>
      <c r="AH456" s="3" t="str">
        <f t="shared" si="729"/>
        <v>Decile 9</v>
      </c>
      <c r="AI456" s="3" t="str">
        <f t="shared" si="729"/>
        <v>Wealthiest</v>
      </c>
    </row>
    <row r="457" hidden="1" outlineLevel="1"/>
    <row r="458" hidden="1" outlineLevel="1">
      <c r="B458" s="31" t="inlineStr">
        <is>
          <t>Budget shares by group, overall (legacy rows 2798, 2807, 2811)</t>
        </is>
      </c>
    </row>
    <row r="459" hidden="1" outlineLevel="1">
      <c r="A459" s="44" t="inlineStr">
        <is>
          <t>bshg</t>
        </is>
      </c>
      <c r="B459" s="3" t="inlineStr">
        <is>
          <t>fos</t>
        </is>
      </c>
      <c r="C459" s="3" t="inlineStr">
        <is>
          <t>ove</t>
        </is>
      </c>
      <c r="D459" s="3" t="n"/>
      <c r="E459" s="3" t="n"/>
      <c r="H459" s="3" t="inlineStr">
        <is>
          <t>Budget share, fossil fuels and electricity</t>
        </is>
      </c>
      <c r="I459" s="3" t="inlineStr">
        <is>
          <t>% consumption</t>
        </is>
      </c>
      <c r="J459" s="118" t="inlineStr">
        <is>
          <t>sum of section 5</t>
        </is>
      </c>
      <c r="K459" s="9" t="str">
        <f>LOWER(CtryCode)&amp;".distn."&amp;$A459&amp;IF($B459="","","."&amp;$B459)&amp;IF($C459="","",".dec."&amp;$C459)&amp;"."&amp;K$5</f>
        <v>egy.distn.bshg.fos.dec.ove.1</v>
      </c>
      <c r="L459" s="202">
        <f t="shared" ref="L459:V459" si="730">SUM(L185:L192)</f>
        <v>6.298713443037109</v>
      </c>
      <c r="M459" s="196">
        <f t="shared" si="730"/>
        <v>7.0935296250956</v>
      </c>
      <c r="N459" s="196">
        <f t="shared" si="730"/>
        <v>6.452152475461048</v>
      </c>
      <c r="O459" s="196">
        <f t="shared" si="730"/>
        <v>6.494518449523458</v>
      </c>
      <c r="P459" s="196">
        <f t="shared" si="730"/>
        <v>6.0701812477017745</v>
      </c>
      <c r="Q459" s="196">
        <f t="shared" si="730"/>
        <v>5.98175098240506</v>
      </c>
      <c r="R459" s="196">
        <f t="shared" si="730"/>
        <v>5.967170429149361</v>
      </c>
      <c r="S459" s="196">
        <f t="shared" si="730"/>
        <v>6.1577053924771885</v>
      </c>
      <c r="T459" s="196">
        <f t="shared" si="730"/>
        <v>6.376530690646368</v>
      </c>
      <c r="U459" s="196">
        <f t="shared" si="730"/>
        <v>6.205668803994179</v>
      </c>
      <c r="V459" s="196">
        <f t="shared" si="730"/>
        <v>6.597331096887357</v>
      </c>
      <c r="W459" s="201" t="str">
        <f>IF(X$5=K$5,SUM(Y459:AI459)-SUM(L459:V459),"")</f>
        <v/>
      </c>
      <c r="X459" s="9" t="str">
        <f>LOWER(CtryCode)&amp;".distn."&amp;$A459&amp;IF($B459="","","."&amp;$B459)&amp;IF($C459="","",".dec."&amp;$C459)&amp;"."&amp;X$5</f>
        <v>egy.distn.bshg.fos.dec.ove.2</v>
      </c>
      <c r="Y459" s="202">
        <f t="shared" ref="Y459:AI459" si="731">SUM(Y185:Y192)</f>
        <v>6.298713443037109</v>
      </c>
      <c r="Z459" s="196">
        <f t="shared" si="731"/>
        <v>7.0935296250956</v>
      </c>
      <c r="AA459" s="196">
        <f t="shared" si="731"/>
        <v>6.452152475461048</v>
      </c>
      <c r="AB459" s="196">
        <f t="shared" si="731"/>
        <v>6.494518449523458</v>
      </c>
      <c r="AC459" s="196">
        <f t="shared" si="731"/>
        <v>6.0701812477017745</v>
      </c>
      <c r="AD459" s="196">
        <f t="shared" si="731"/>
        <v>5.98175098240506</v>
      </c>
      <c r="AE459" s="196">
        <f t="shared" si="731"/>
        <v>5.967170429149361</v>
      </c>
      <c r="AF459" s="196">
        <f t="shared" si="731"/>
        <v>6.1577053924771885</v>
      </c>
      <c r="AG459" s="196">
        <f t="shared" si="731"/>
        <v>6.376530690646368</v>
      </c>
      <c r="AH459" s="196">
        <f t="shared" si="731"/>
        <v>6.205668803994179</v>
      </c>
      <c r="AI459" s="196">
        <f t="shared" si="731"/>
        <v>6.597331096887357</v>
      </c>
    </row>
    <row r="460" hidden="1" outlineLevel="1">
      <c r="A460" s="44" t="inlineStr">
        <is>
          <t>bshg</t>
        </is>
      </c>
      <c r="B460" s="3" t="inlineStr">
        <is>
          <t>bio</t>
        </is>
      </c>
      <c r="C460" s="3" t="inlineStr">
        <is>
          <t>ove</t>
        </is>
      </c>
      <c r="D460" s="3" t="n"/>
      <c r="E460" s="3" t="n"/>
      <c r="H460" s="3" t="inlineStr">
        <is>
          <t>Budget share, biomass</t>
        </is>
      </c>
      <c r="I460" s="3" t="inlineStr">
        <is>
          <t>% consumption</t>
        </is>
      </c>
      <c r="J460" s="118" t="inlineStr">
        <is>
          <t>sum of section 5</t>
        </is>
      </c>
      <c r="K460" s="9" t="str">
        <f>LOWER(CtryCode)&amp;".distn."&amp;$A460&amp;IF($B460="","","."&amp;$B460)&amp;IF($C460="","",".dec."&amp;$C460)&amp;"."&amp;K$5</f>
        <v>egy.distn.bshg.bio.dec.ove.1</v>
      </c>
      <c r="L460" s="202">
        <f t="shared" ref="L460:V460" si="732">SUM(L207:L209)</f>
        <v>0.004356684180816941</v>
      </c>
      <c r="M460" s="196">
        <f t="shared" si="732"/>
        <v>0.009515263454794799</v>
      </c>
      <c r="N460" s="196">
        <f t="shared" si="732"/>
        <v>0.005538531624066502</v>
      </c>
      <c r="O460" s="196">
        <f t="shared" si="732"/>
        <v>0.005837629461503736</v>
      </c>
      <c r="P460" s="196">
        <f t="shared" si="732"/>
        <v>0.004023207325199364</v>
      </c>
      <c r="Q460" s="196">
        <f t="shared" si="732"/>
        <v>0.0031280740890662186</v>
      </c>
      <c r="R460" s="196">
        <f t="shared" si="732"/>
        <v>0.0029715947582904627</v>
      </c>
      <c r="S460" s="196">
        <f t="shared" si="732"/>
        <v>0.003311442563381579</v>
      </c>
      <c r="T460" s="196">
        <f t="shared" si="732"/>
        <v>0.0032648194864711125</v>
      </c>
      <c r="U460" s="196">
        <f t="shared" si="732"/>
        <v>0.002533561121598936</v>
      </c>
      <c r="V460" s="196">
        <f t="shared" si="732"/>
        <v>0.0013118278894356994</v>
      </c>
      <c r="W460" s="201" t="str">
        <f>IF(X$5=K$5,SUM(Y460:AI460)-SUM(L460:V460),"")</f>
        <v/>
      </c>
      <c r="X460" s="9" t="str">
        <f>LOWER(CtryCode)&amp;".distn."&amp;$A460&amp;IF($B460="","","."&amp;$B460)&amp;IF($C460="","",".dec."&amp;$C460)&amp;"."&amp;X$5</f>
        <v>egy.distn.bshg.bio.dec.ove.2</v>
      </c>
      <c r="Y460" s="202">
        <f t="shared" ref="Y460:AI460" si="733">SUM(Y207:Y209)</f>
        <v>0.004356684180816941</v>
      </c>
      <c r="Z460" s="196">
        <f t="shared" si="733"/>
        <v>0.009515263454794799</v>
      </c>
      <c r="AA460" s="196">
        <f t="shared" si="733"/>
        <v>0.005538531624066502</v>
      </c>
      <c r="AB460" s="196">
        <f t="shared" si="733"/>
        <v>0.005837629461503736</v>
      </c>
      <c r="AC460" s="196">
        <f t="shared" si="733"/>
        <v>0.004023207325199364</v>
      </c>
      <c r="AD460" s="196">
        <f t="shared" si="733"/>
        <v>0.0031280740890662186</v>
      </c>
      <c r="AE460" s="196">
        <f t="shared" si="733"/>
        <v>0.0029715947582904627</v>
      </c>
      <c r="AF460" s="196">
        <f t="shared" si="733"/>
        <v>0.003311442563381579</v>
      </c>
      <c r="AG460" s="196">
        <f t="shared" si="733"/>
        <v>0.0032648194864711125</v>
      </c>
      <c r="AH460" s="196">
        <f t="shared" si="733"/>
        <v>0.002533561121598936</v>
      </c>
      <c r="AI460" s="196">
        <f t="shared" si="733"/>
        <v>0.0013118278894356994</v>
      </c>
    </row>
    <row r="461" hidden="1" outlineLevel="1">
      <c r="A461" s="44" t="inlineStr">
        <is>
          <t>bshg</t>
        </is>
      </c>
      <c r="B461" s="3" t="inlineStr">
        <is>
          <t>nfu</t>
        </is>
      </c>
      <c r="C461" s="3" t="inlineStr">
        <is>
          <t>ove</t>
        </is>
      </c>
      <c r="D461" s="3" t="n"/>
      <c r="E461" s="3" t="n"/>
      <c r="H461" s="3" t="inlineStr">
        <is>
          <t>Budget share, non-fuel categories</t>
        </is>
      </c>
      <c r="I461" s="3" t="inlineStr">
        <is>
          <t>% consumption</t>
        </is>
      </c>
      <c r="J461" s="118" t="inlineStr">
        <is>
          <t>sum of section 5</t>
        </is>
      </c>
      <c r="K461" s="9" t="str">
        <f>LOWER(CtryCode)&amp;".distn."&amp;$A461&amp;IF($B461="","","."&amp;$B461)&amp;IF($C461="","",".dec."&amp;$C461)&amp;"."&amp;K$5</f>
        <v>egy.distn.bshg.nfu.dec.ove.1</v>
      </c>
      <c r="L461" s="202">
        <f t="shared" ref="L461:V461" si="734">SUM(L193:L206)</f>
        <v>99.32526688832634</v>
      </c>
      <c r="M461" s="196">
        <f t="shared" si="734"/>
        <v>99.37834835445885</v>
      </c>
      <c r="N461" s="196">
        <f t="shared" si="734"/>
        <v>103.49760573772008</v>
      </c>
      <c r="O461" s="196">
        <f t="shared" si="734"/>
        <v>100.46857254135656</v>
      </c>
      <c r="P461" s="196">
        <f t="shared" si="734"/>
        <v>99.62251395410905</v>
      </c>
      <c r="Q461" s="196">
        <f t="shared" si="734"/>
        <v>101.18416155320429</v>
      </c>
      <c r="R461" s="196">
        <f t="shared" si="734"/>
        <v>105.95560429449895</v>
      </c>
      <c r="S461" s="196">
        <f t="shared" si="734"/>
        <v>101.16274000905071</v>
      </c>
      <c r="T461" s="196">
        <f t="shared" si="734"/>
        <v>104.62265957118653</v>
      </c>
      <c r="U461" s="196">
        <f t="shared" si="734"/>
        <v>105.52834985111126</v>
      </c>
      <c r="V461" s="196">
        <f t="shared" si="734"/>
        <v>100.61184514521402</v>
      </c>
      <c r="W461" s="201" t="str">
        <f>IF(X$5=K$5,SUM(Y461:AI461)-SUM(L461:V461),"")</f>
        <v/>
      </c>
      <c r="X461" s="9" t="str">
        <f>LOWER(CtryCode)&amp;".distn."&amp;$A461&amp;IF($B461="","","."&amp;$B461)&amp;IF($C461="","",".dec."&amp;$C461)&amp;"."&amp;X$5</f>
        <v>egy.distn.bshg.nfu.dec.ove.2</v>
      </c>
      <c r="Y461" s="202">
        <f t="shared" ref="Y461:AI461" si="735">SUM(Y193:Y206)</f>
        <v>99.32526688832634</v>
      </c>
      <c r="Z461" s="196">
        <f t="shared" si="735"/>
        <v>99.37834835445885</v>
      </c>
      <c r="AA461" s="196">
        <f t="shared" si="735"/>
        <v>103.49760573772008</v>
      </c>
      <c r="AB461" s="196">
        <f t="shared" si="735"/>
        <v>100.46857254135656</v>
      </c>
      <c r="AC461" s="196">
        <f t="shared" si="735"/>
        <v>99.62251395410905</v>
      </c>
      <c r="AD461" s="196">
        <f t="shared" si="735"/>
        <v>101.18416155320429</v>
      </c>
      <c r="AE461" s="196">
        <f t="shared" si="735"/>
        <v>105.95560429449895</v>
      </c>
      <c r="AF461" s="196">
        <f t="shared" si="735"/>
        <v>101.16274000905071</v>
      </c>
      <c r="AG461" s="196">
        <f t="shared" si="735"/>
        <v>104.62265957118653</v>
      </c>
      <c r="AH461" s="196">
        <f t="shared" si="735"/>
        <v>105.52834985111126</v>
      </c>
      <c r="AI461" s="196">
        <f t="shared" si="735"/>
        <v>100.61184514521402</v>
      </c>
    </row>
    <row r="462" hidden="1" outlineLevel="1"/>
    <row r="463" hidden="1" outlineLevel="1">
      <c r="B463" s="31" t="inlineStr">
        <is>
          <t>Direct and indirect effects by item, urban (legacy rows 2919-2943, 2988-3012)</t>
        </is>
      </c>
    </row>
    <row r="464" hidden="1" outlineLevel="1">
      <c r="A464" s="44" t="inlineStr">
        <is>
          <t>def</t>
        </is>
      </c>
      <c r="B464" s="3" t="inlineStr">
        <is>
          <t>coa</t>
        </is>
      </c>
      <c r="C464" s="3" t="inlineStr">
        <is>
          <t>urb</t>
        </is>
      </c>
      <c r="D464" s="3" t="n"/>
      <c r="E464" s="3" t="n"/>
      <c r="H464" s="3" t="inlineStr">
        <is>
          <t>Coal: direct effect, urban</t>
        </is>
      </c>
      <c r="I464" s="3" t="inlineStr">
        <is>
          <t>% consumption</t>
        </is>
      </c>
      <c r="J464" s="118" t="inlineStr">
        <is>
          <t>legacy D.II</t>
        </is>
      </c>
      <c r="K464" s="9" t="str">
        <f>LOWER(CtryCode)&amp;".distn."&amp;$A464&amp;IF($B464="","","."&amp;$B464)&amp;IF($C464="","",".dec."&amp;$C464)&amp;"."&amp;K$5</f>
        <v>egy.distn.def.coa.dec.urb.1</v>
      </c>
      <c r="L464" s="202">
        <f t="shared" ref="L464:V464" si="736">-L157*L212*L$271</f>
        <v>-0.0</v>
      </c>
      <c r="M464" s="196">
        <f t="shared" si="736"/>
        <v>-0.0</v>
      </c>
      <c r="N464" s="196">
        <f t="shared" si="736"/>
        <v>-0.0</v>
      </c>
      <c r="O464" s="196">
        <f t="shared" si="736"/>
        <v>-0.0</v>
      </c>
      <c r="P464" s="196">
        <f t="shared" si="736"/>
        <v>-0.0</v>
      </c>
      <c r="Q464" s="196">
        <f t="shared" si="736"/>
        <v>-0.0</v>
      </c>
      <c r="R464" s="196">
        <f t="shared" si="736"/>
        <v>-0.0</v>
      </c>
      <c r="S464" s="196">
        <f t="shared" si="736"/>
        <v>-0.0</v>
      </c>
      <c r="T464" s="196">
        <f t="shared" si="736"/>
        <v>-0.0</v>
      </c>
      <c r="U464" s="196">
        <f t="shared" si="736"/>
        <v>-0.0</v>
      </c>
      <c r="V464" s="196">
        <f t="shared" si="736"/>
        <v>-0.0</v>
      </c>
      <c r="W464" s="201" t="str">
        <f>IF(X$5=K$5,SUM(Y464:AI464)-SUM(L464:V464),"")</f>
        <v/>
      </c>
      <c r="X464" s="9" t="str">
        <f>LOWER(CtryCode)&amp;".distn."&amp;$A464&amp;IF($B464="","","."&amp;$B464)&amp;IF($C464="","",".dec."&amp;$C464)&amp;"."&amp;X$5</f>
        <v>egy.distn.def.coa.dec.urb.2</v>
      </c>
      <c r="Y464" s="202">
        <f t="shared" ref="Y464:AI464" si="737">-Y157*Y212*Y$271</f>
        <v>-0.0</v>
      </c>
      <c r="Z464" s="196">
        <f t="shared" si="737"/>
        <v>-0.0</v>
      </c>
      <c r="AA464" s="196">
        <f t="shared" si="737"/>
        <v>-0.0</v>
      </c>
      <c r="AB464" s="196">
        <f t="shared" si="737"/>
        <v>-0.0</v>
      </c>
      <c r="AC464" s="196">
        <f t="shared" si="737"/>
        <v>-0.0</v>
      </c>
      <c r="AD464" s="196">
        <f t="shared" si="737"/>
        <v>-0.0</v>
      </c>
      <c r="AE464" s="196">
        <f t="shared" si="737"/>
        <v>-0.0</v>
      </c>
      <c r="AF464" s="196">
        <f t="shared" si="737"/>
        <v>-0.0</v>
      </c>
      <c r="AG464" s="196">
        <f t="shared" si="737"/>
        <v>-0.0</v>
      </c>
      <c r="AH464" s="196">
        <f t="shared" si="737"/>
        <v>-0.0</v>
      </c>
      <c r="AI464" s="196">
        <f t="shared" si="737"/>
        <v>-0.0</v>
      </c>
    </row>
    <row r="465" hidden="1" outlineLevel="1">
      <c r="A465" s="44" t="inlineStr">
        <is>
          <t>def</t>
        </is>
      </c>
      <c r="B465" s="3" t="inlineStr">
        <is>
          <t>ely</t>
        </is>
      </c>
      <c r="C465" s="3" t="inlineStr">
        <is>
          <t>urb</t>
        </is>
      </c>
      <c r="D465" s="3" t="n"/>
      <c r="E465" s="3" t="n"/>
      <c r="H465" s="3" t="inlineStr">
        <is>
          <t>Electricity: direct effect, urban</t>
        </is>
      </c>
      <c r="I465" s="3" t="inlineStr">
        <is>
          <t>% consumption</t>
        </is>
      </c>
      <c r="J465" s="118" t="inlineStr">
        <is>
          <t>legacy D.II</t>
        </is>
      </c>
      <c r="K465" s="9" t="str">
        <f>LOWER(CtryCode)&amp;".distn."&amp;$A465&amp;IF($B465="","","."&amp;$B465)&amp;IF($C465="","",".dec."&amp;$C465)&amp;"."&amp;K$5</f>
        <v>egy.distn.def.ely.dec.urb.1</v>
      </c>
      <c r="L465" s="202">
        <f t="shared" ref="L465:V465" si="738">-L158*L213*L$271</f>
        <v>-0.0</v>
      </c>
      <c r="M465" s="196">
        <f t="shared" si="738"/>
        <v>-0.0</v>
      </c>
      <c r="N465" s="196">
        <f t="shared" si="738"/>
        <v>-0.0</v>
      </c>
      <c r="O465" s="196">
        <f t="shared" si="738"/>
        <v>-0.0</v>
      </c>
      <c r="P465" s="196">
        <f t="shared" si="738"/>
        <v>-0.0</v>
      </c>
      <c r="Q465" s="196">
        <f t="shared" si="738"/>
        <v>-0.0</v>
      </c>
      <c r="R465" s="196">
        <f t="shared" si="738"/>
        <v>-0.0</v>
      </c>
      <c r="S465" s="196">
        <f t="shared" si="738"/>
        <v>-0.0</v>
      </c>
      <c r="T465" s="196">
        <f t="shared" si="738"/>
        <v>-0.0</v>
      </c>
      <c r="U465" s="196">
        <f t="shared" si="738"/>
        <v>-0.0</v>
      </c>
      <c r="V465" s="196">
        <f t="shared" si="738"/>
        <v>-0.0</v>
      </c>
      <c r="W465" s="201" t="str">
        <f>IF(X$5=K$5,SUM(Y465:AI465)-SUM(L465:V465),"")</f>
        <v/>
      </c>
      <c r="X465" s="9" t="str">
        <f>LOWER(CtryCode)&amp;".distn."&amp;$A465&amp;IF($B465="","","."&amp;$B465)&amp;IF($C465="","",".dec."&amp;$C465)&amp;"."&amp;X$5</f>
        <v>egy.distn.def.ely.dec.urb.2</v>
      </c>
      <c r="Y465" s="202">
        <f t="shared" ref="Y465:AI465" si="739">-Y158*Y213*Y$271</f>
        <v>-0.591941184836692</v>
      </c>
      <c r="Z465" s="196">
        <f t="shared" si="739"/>
        <v>-0.566057127488672</v>
      </c>
      <c r="AA465" s="196">
        <f t="shared" si="739"/>
        <v>-0.5072659683494096</v>
      </c>
      <c r="AB465" s="196">
        <f t="shared" si="739"/>
        <v>-0.5721694538115113</v>
      </c>
      <c r="AC465" s="196">
        <f t="shared" si="739"/>
        <v>-0.5443188653811925</v>
      </c>
      <c r="AD465" s="196">
        <f t="shared" si="739"/>
        <v>-0.5263185460739893</v>
      </c>
      <c r="AE465" s="196">
        <f t="shared" si="739"/>
        <v>-0.5158918189192344</v>
      </c>
      <c r="AF465" s="196">
        <f t="shared" si="739"/>
        <v>-0.5624045715930057</v>
      </c>
      <c r="AG465" s="196">
        <f t="shared" si="739"/>
        <v>-0.5354282697292759</v>
      </c>
      <c r="AH465" s="196">
        <f t="shared" si="739"/>
        <v>-0.5482810514387175</v>
      </c>
      <c r="AI465" s="196">
        <f t="shared" si="739"/>
        <v>-0.5955933611692621</v>
      </c>
    </row>
    <row r="466" hidden="1" outlineLevel="1">
      <c r="A466" s="44" t="inlineStr">
        <is>
          <t>def</t>
        </is>
      </c>
      <c r="B466" s="3" t="inlineStr">
        <is>
          <t>nga</t>
        </is>
      </c>
      <c r="C466" s="3" t="inlineStr">
        <is>
          <t>urb</t>
        </is>
      </c>
      <c r="D466" s="3" t="n"/>
      <c r="E466" s="3" t="n"/>
      <c r="H466" s="3" t="inlineStr">
        <is>
          <t>Natural gas: direct effect, urban</t>
        </is>
      </c>
      <c r="I466" s="3" t="inlineStr">
        <is>
          <t>% consumption</t>
        </is>
      </c>
      <c r="J466" s="118" t="inlineStr">
        <is>
          <t>legacy D.II</t>
        </is>
      </c>
      <c r="K466" s="9" t="str">
        <f>LOWER(CtryCode)&amp;".distn."&amp;$A466&amp;IF($B466="","","."&amp;$B466)&amp;IF($C466="","",".dec."&amp;$C466)&amp;"."&amp;K$5</f>
        <v>egy.distn.def.nga.dec.urb.1</v>
      </c>
      <c r="L466" s="202">
        <f t="shared" ref="L466:V466" si="740">-L159*L214*L$271</f>
        <v>-0.0</v>
      </c>
      <c r="M466" s="196">
        <f t="shared" si="740"/>
        <v>-0.0</v>
      </c>
      <c r="N466" s="196">
        <f t="shared" si="740"/>
        <v>-0.0</v>
      </c>
      <c r="O466" s="196">
        <f t="shared" si="740"/>
        <v>-0.0</v>
      </c>
      <c r="P466" s="196">
        <f t="shared" si="740"/>
        <v>-0.0</v>
      </c>
      <c r="Q466" s="196">
        <f t="shared" si="740"/>
        <v>-0.0</v>
      </c>
      <c r="R466" s="196">
        <f t="shared" si="740"/>
        <v>-0.0</v>
      </c>
      <c r="S466" s="196">
        <f t="shared" si="740"/>
        <v>-0.0</v>
      </c>
      <c r="T466" s="196">
        <f t="shared" si="740"/>
        <v>-0.0</v>
      </c>
      <c r="U466" s="196">
        <f t="shared" si="740"/>
        <v>-0.0</v>
      </c>
      <c r="V466" s="196">
        <f t="shared" si="740"/>
        <v>-0.0</v>
      </c>
      <c r="W466" s="201" t="str">
        <f>IF(X$5=K$5,SUM(Y466:AI466)-SUM(L466:V466),"")</f>
        <v/>
      </c>
      <c r="X466" s="9" t="str">
        <f>LOWER(CtryCode)&amp;".distn."&amp;$A466&amp;IF($B466="","","."&amp;$B466)&amp;IF($C466="","",".dec."&amp;$C466)&amp;"."&amp;X$5</f>
        <v>egy.distn.def.nga.dec.urb.2</v>
      </c>
      <c r="Y466" s="202">
        <f t="shared" ref="Y466:AI466" si="741">-Y159*Y214*Y$271</f>
        <v>-0.3259479920214267</v>
      </c>
      <c r="Z466" s="196">
        <f t="shared" si="741"/>
        <v>-0.2906580690512355</v>
      </c>
      <c r="AA466" s="196">
        <f t="shared" si="741"/>
        <v>-0.26363896361847283</v>
      </c>
      <c r="AB466" s="196">
        <f t="shared" si="741"/>
        <v>-0.281814929887544</v>
      </c>
      <c r="AC466" s="196">
        <f t="shared" si="741"/>
        <v>-0.28066227501546775</v>
      </c>
      <c r="AD466" s="196">
        <f t="shared" si="741"/>
        <v>-0.3135716002077996</v>
      </c>
      <c r="AE466" s="196">
        <f t="shared" si="741"/>
        <v>-0.30322498615809956</v>
      </c>
      <c r="AF466" s="196">
        <f t="shared" si="741"/>
        <v>-0.3349514772367767</v>
      </c>
      <c r="AG466" s="196">
        <f t="shared" si="741"/>
        <v>-0.34429481381713883</v>
      </c>
      <c r="AH466" s="196">
        <f t="shared" si="741"/>
        <v>-0.34510945200821275</v>
      </c>
      <c r="AI466" s="196">
        <f t="shared" si="741"/>
        <v>-0.36012128594146053</v>
      </c>
    </row>
    <row r="467" hidden="1" outlineLevel="1">
      <c r="A467" s="44" t="inlineStr">
        <is>
          <t>def</t>
        </is>
      </c>
      <c r="B467" s="3" t="inlineStr">
        <is>
          <t>oil</t>
        </is>
      </c>
      <c r="C467" s="3" t="inlineStr">
        <is>
          <t>urb</t>
        </is>
      </c>
      <c r="D467" s="3" t="n"/>
      <c r="E467" s="3" t="n"/>
      <c r="H467" s="3" t="inlineStr">
        <is>
          <t>Other oil products: direct effect, urban</t>
        </is>
      </c>
      <c r="I467" s="3" t="inlineStr">
        <is>
          <t>% consumption</t>
        </is>
      </c>
      <c r="J467" s="118" t="inlineStr">
        <is>
          <t>legacy D.II</t>
        </is>
      </c>
      <c r="K467" s="9" t="str">
        <f>LOWER(CtryCode)&amp;".distn."&amp;$A467&amp;IF($B467="","","."&amp;$B467)&amp;IF($C467="","",".dec."&amp;$C467)&amp;"."&amp;K$5</f>
        <v>egy.distn.def.oil.dec.urb.1</v>
      </c>
      <c r="L467" s="202">
        <f t="shared" ref="L467:V467" si="742">-L160*L215*L$271</f>
        <v>-0.0</v>
      </c>
      <c r="M467" s="196">
        <f t="shared" si="742"/>
        <v>-0.0</v>
      </c>
      <c r="N467" s="196">
        <f t="shared" si="742"/>
        <v>-0.0</v>
      </c>
      <c r="O467" s="196">
        <f t="shared" si="742"/>
        <v>-0.0</v>
      </c>
      <c r="P467" s="196">
        <f t="shared" si="742"/>
        <v>-0.0</v>
      </c>
      <c r="Q467" s="196">
        <f t="shared" si="742"/>
        <v>-0.0</v>
      </c>
      <c r="R467" s="196">
        <f t="shared" si="742"/>
        <v>-0.0</v>
      </c>
      <c r="S467" s="196">
        <f t="shared" si="742"/>
        <v>-0.0</v>
      </c>
      <c r="T467" s="196">
        <f t="shared" si="742"/>
        <v>-0.0</v>
      </c>
      <c r="U467" s="196">
        <f t="shared" si="742"/>
        <v>-0.0</v>
      </c>
      <c r="V467" s="196">
        <f t="shared" si="742"/>
        <v>-0.0</v>
      </c>
      <c r="W467" s="201" t="str">
        <f>IF(X$5=K$5,SUM(Y467:AI467)-SUM(L467:V467),"")</f>
        <v/>
      </c>
      <c r="X467" s="9" t="str">
        <f>LOWER(CtryCode)&amp;".distn."&amp;$A467&amp;IF($B467="","","."&amp;$B467)&amp;IF($C467="","",".dec."&amp;$C467)&amp;"."&amp;X$5</f>
        <v>egy.distn.def.oil.dec.urb.2</v>
      </c>
      <c r="Y467" s="202">
        <f t="shared" ref="Y467:AI467" si="743">-Y160*Y215*Y$271</f>
        <v>-0.034430038584777015</v>
      </c>
      <c r="Z467" s="196">
        <f t="shared" si="743"/>
        <v>-0.025998109969006915</v>
      </c>
      <c r="AA467" s="196">
        <f t="shared" si="743"/>
        <v>-0.02817354860706229</v>
      </c>
      <c r="AB467" s="196">
        <f t="shared" si="743"/>
        <v>-0.02328223743440108</v>
      </c>
      <c r="AC467" s="196">
        <f t="shared" si="743"/>
        <v>-0.033878728359974686</v>
      </c>
      <c r="AD467" s="196">
        <f t="shared" si="743"/>
        <v>-0.04036423799670011</v>
      </c>
      <c r="AE467" s="196">
        <f t="shared" si="743"/>
        <v>-0.028332027159386423</v>
      </c>
      <c r="AF467" s="196">
        <f t="shared" si="743"/>
        <v>-0.044831999315879036</v>
      </c>
      <c r="AG467" s="196">
        <f t="shared" si="743"/>
        <v>-0.03948145905345373</v>
      </c>
      <c r="AH467" s="196">
        <f t="shared" si="743"/>
        <v>-0.046396843500395905</v>
      </c>
      <c r="AI467" s="196">
        <f t="shared" si="743"/>
        <v>-0.0490606651643714</v>
      </c>
    </row>
    <row r="468" hidden="1" outlineLevel="1">
      <c r="A468" s="44" t="inlineStr">
        <is>
          <t>def</t>
        </is>
      </c>
      <c r="B468" s="3" t="inlineStr">
        <is>
          <t>gso</t>
        </is>
      </c>
      <c r="C468" s="3" t="inlineStr">
        <is>
          <t>urb</t>
        </is>
      </c>
      <c r="D468" s="3" t="n"/>
      <c r="E468" s="3" t="n"/>
      <c r="H468" s="3" t="inlineStr">
        <is>
          <t>Gasoline: direct effect, urban</t>
        </is>
      </c>
      <c r="I468" s="3" t="inlineStr">
        <is>
          <t>% consumption</t>
        </is>
      </c>
      <c r="J468" s="118" t="inlineStr">
        <is>
          <t>legacy D.II</t>
        </is>
      </c>
      <c r="K468" s="9" t="str">
        <f>LOWER(CtryCode)&amp;".distn."&amp;$A468&amp;IF($B468="","","."&amp;$B468)&amp;IF($C468="","",".dec."&amp;$C468)&amp;"."&amp;K$5</f>
        <v>egy.distn.def.gso.dec.urb.1</v>
      </c>
      <c r="L468" s="202">
        <f t="shared" ref="L468:V468" si="744">-L161*L216*L$271</f>
        <v>-0.0</v>
      </c>
      <c r="M468" s="196">
        <f t="shared" si="744"/>
        <v>-0.0</v>
      </c>
      <c r="N468" s="196">
        <f t="shared" si="744"/>
        <v>-0.0</v>
      </c>
      <c r="O468" s="196">
        <f t="shared" si="744"/>
        <v>-0.0</v>
      </c>
      <c r="P468" s="196">
        <f t="shared" si="744"/>
        <v>-0.0</v>
      </c>
      <c r="Q468" s="196">
        <f t="shared" si="744"/>
        <v>-0.0</v>
      </c>
      <c r="R468" s="196">
        <f t="shared" si="744"/>
        <v>-0.0</v>
      </c>
      <c r="S468" s="196">
        <f t="shared" si="744"/>
        <v>-0.0</v>
      </c>
      <c r="T468" s="196">
        <f t="shared" si="744"/>
        <v>-0.0</v>
      </c>
      <c r="U468" s="196">
        <f t="shared" si="744"/>
        <v>-0.0</v>
      </c>
      <c r="V468" s="196">
        <f t="shared" si="744"/>
        <v>-0.0</v>
      </c>
      <c r="W468" s="201" t="str">
        <f>IF(X$5=K$5,SUM(Y468:AI468)-SUM(L468:V468),"")</f>
        <v/>
      </c>
      <c r="X468" s="9" t="str">
        <f>LOWER(CtryCode)&amp;".distn."&amp;$A468&amp;IF($B468="","","."&amp;$B468)&amp;IF($C468="","",".dec."&amp;$C468)&amp;"."&amp;X$5</f>
        <v>egy.distn.def.gso.dec.urb.2</v>
      </c>
      <c r="Y468" s="202">
        <f t="shared" ref="Y468:AI468" si="745">-Y161*Y216*Y$271</f>
        <v>-0.08070627721838648</v>
      </c>
      <c r="Z468" s="196">
        <f t="shared" si="745"/>
        <v>-0.03547908683147579</v>
      </c>
      <c r="AA468" s="196">
        <f t="shared" si="745"/>
        <v>-0.0493795334671195</v>
      </c>
      <c r="AB468" s="196">
        <f t="shared" si="745"/>
        <v>-0.05550774030151531</v>
      </c>
      <c r="AC468" s="196">
        <f t="shared" si="745"/>
        <v>-0.06799746195931705</v>
      </c>
      <c r="AD468" s="196">
        <f t="shared" si="745"/>
        <v>-0.07080116329350487</v>
      </c>
      <c r="AE468" s="196">
        <f t="shared" si="745"/>
        <v>-0.0831332347824041</v>
      </c>
      <c r="AF468" s="196">
        <f t="shared" si="745"/>
        <v>-0.09380862207433979</v>
      </c>
      <c r="AG468" s="196">
        <f t="shared" si="745"/>
        <v>-0.08657819036270797</v>
      </c>
      <c r="AH468" s="196">
        <f t="shared" si="745"/>
        <v>-0.11718004392935198</v>
      </c>
      <c r="AI468" s="196">
        <f t="shared" si="745"/>
        <v>-0.1242103851406061</v>
      </c>
    </row>
    <row r="469" hidden="1" outlineLevel="1">
      <c r="A469" s="44" t="inlineStr">
        <is>
          <t>def</t>
        </is>
      </c>
      <c r="B469" s="3" t="inlineStr">
        <is>
          <t>die</t>
        </is>
      </c>
      <c r="C469" s="3" t="inlineStr">
        <is>
          <t>urb</t>
        </is>
      </c>
      <c r="D469" s="3" t="n"/>
      <c r="E469" s="3" t="n"/>
      <c r="H469" s="3" t="inlineStr">
        <is>
          <t>Diesel: direct effect, urban</t>
        </is>
      </c>
      <c r="I469" s="3" t="inlineStr">
        <is>
          <t>% consumption</t>
        </is>
      </c>
      <c r="J469" s="118" t="inlineStr">
        <is>
          <t>legacy D.II</t>
        </is>
      </c>
      <c r="K469" s="9" t="str">
        <f>LOWER(CtryCode)&amp;".distn."&amp;$A469&amp;IF($B469="","","."&amp;$B469)&amp;IF($C469="","",".dec."&amp;$C469)&amp;"."&amp;K$5</f>
        <v>egy.distn.def.die.dec.urb.1</v>
      </c>
      <c r="L469" s="202">
        <f t="shared" ref="L469:V469" si="746">-L162*L217*L$271</f>
        <v>-0.0</v>
      </c>
      <c r="M469" s="196">
        <f t="shared" si="746"/>
        <v>-0.0</v>
      </c>
      <c r="N469" s="196">
        <f t="shared" si="746"/>
        <v>-0.0</v>
      </c>
      <c r="O469" s="196">
        <f t="shared" si="746"/>
        <v>-0.0</v>
      </c>
      <c r="P469" s="196">
        <f t="shared" si="746"/>
        <v>-0.0</v>
      </c>
      <c r="Q469" s="196">
        <f t="shared" si="746"/>
        <v>-0.0</v>
      </c>
      <c r="R469" s="196">
        <f t="shared" si="746"/>
        <v>-0.0</v>
      </c>
      <c r="S469" s="196">
        <f t="shared" si="746"/>
        <v>-0.0</v>
      </c>
      <c r="T469" s="196">
        <f t="shared" si="746"/>
        <v>-0.0</v>
      </c>
      <c r="U469" s="196">
        <f t="shared" si="746"/>
        <v>-0.0</v>
      </c>
      <c r="V469" s="196">
        <f t="shared" si="746"/>
        <v>-0.0</v>
      </c>
      <c r="W469" s="201" t="str">
        <f>IF(X$5=K$5,SUM(Y469:AI469)-SUM(L469:V469),"")</f>
        <v/>
      </c>
      <c r="X469" s="9" t="str">
        <f>LOWER(CtryCode)&amp;".distn."&amp;$A469&amp;IF($B469="","","."&amp;$B469)&amp;IF($C469="","",".dec."&amp;$C469)&amp;"."&amp;X$5</f>
        <v>egy.distn.def.die.dec.urb.2</v>
      </c>
      <c r="Y469" s="202">
        <f t="shared" ref="Y469:AI469" si="747">-Y162*Y217*Y$271</f>
        <v>-0.0</v>
      </c>
      <c r="Z469" s="196">
        <f t="shared" si="747"/>
        <v>-0.0</v>
      </c>
      <c r="AA469" s="196">
        <f t="shared" si="747"/>
        <v>-0.0</v>
      </c>
      <c r="AB469" s="196">
        <f t="shared" si="747"/>
        <v>-0.0</v>
      </c>
      <c r="AC469" s="196">
        <f t="shared" si="747"/>
        <v>-0.0</v>
      </c>
      <c r="AD469" s="196">
        <f t="shared" si="747"/>
        <v>-0.0</v>
      </c>
      <c r="AE469" s="196">
        <f t="shared" si="747"/>
        <v>-0.0</v>
      </c>
      <c r="AF469" s="196">
        <f t="shared" si="747"/>
        <v>-0.0</v>
      </c>
      <c r="AG469" s="196">
        <f t="shared" si="747"/>
        <v>-0.0</v>
      </c>
      <c r="AH469" s="196">
        <f t="shared" si="747"/>
        <v>-0.0</v>
      </c>
      <c r="AI469" s="196">
        <f t="shared" si="747"/>
        <v>-0.0</v>
      </c>
    </row>
    <row r="470" hidden="1" outlineLevel="1">
      <c r="A470" s="44" t="inlineStr">
        <is>
          <t>def</t>
        </is>
      </c>
      <c r="B470" s="3" t="inlineStr">
        <is>
          <t>ker</t>
        </is>
      </c>
      <c r="C470" s="3" t="inlineStr">
        <is>
          <t>urb</t>
        </is>
      </c>
      <c r="D470" s="3" t="n"/>
      <c r="E470" s="3" t="n"/>
      <c r="H470" s="3" t="inlineStr">
        <is>
          <t>Kerosene: direct effect, urban</t>
        </is>
      </c>
      <c r="I470" s="3" t="inlineStr">
        <is>
          <t>% consumption</t>
        </is>
      </c>
      <c r="J470" s="118" t="inlineStr">
        <is>
          <t>legacy D.II</t>
        </is>
      </c>
      <c r="K470" s="9" t="str">
        <f>LOWER(CtryCode)&amp;".distn."&amp;$A470&amp;IF($B470="","","."&amp;$B470)&amp;IF($C470="","",".dec."&amp;$C470)&amp;"."&amp;K$5</f>
        <v>egy.distn.def.ker.dec.urb.1</v>
      </c>
      <c r="L470" s="202">
        <f t="shared" ref="L470:V470" si="748">-L163*L218*L$271</f>
        <v>-0.0</v>
      </c>
      <c r="M470" s="196">
        <f t="shared" si="748"/>
        <v>-0.0</v>
      </c>
      <c r="N470" s="196">
        <f t="shared" si="748"/>
        <v>-0.0</v>
      </c>
      <c r="O470" s="196">
        <f t="shared" si="748"/>
        <v>-0.0</v>
      </c>
      <c r="P470" s="196">
        <f t="shared" si="748"/>
        <v>-0.0</v>
      </c>
      <c r="Q470" s="196">
        <f t="shared" si="748"/>
        <v>-0.0</v>
      </c>
      <c r="R470" s="196">
        <f t="shared" si="748"/>
        <v>-0.0</v>
      </c>
      <c r="S470" s="196">
        <f t="shared" si="748"/>
        <v>-0.0</v>
      </c>
      <c r="T470" s="196">
        <f t="shared" si="748"/>
        <v>-0.0</v>
      </c>
      <c r="U470" s="196">
        <f t="shared" si="748"/>
        <v>-0.0</v>
      </c>
      <c r="V470" s="196">
        <f t="shared" si="748"/>
        <v>-0.0</v>
      </c>
      <c r="W470" s="201" t="str">
        <f>IF(X$5=K$5,SUM(Y470:AI470)-SUM(L470:V470),"")</f>
        <v/>
      </c>
      <c r="X470" s="9" t="str">
        <f>LOWER(CtryCode)&amp;".distn."&amp;$A470&amp;IF($B470="","","."&amp;$B470)&amp;IF($C470="","",".dec."&amp;$C470)&amp;"."&amp;X$5</f>
        <v>egy.distn.def.ker.dec.urb.2</v>
      </c>
      <c r="Y470" s="202">
        <f t="shared" ref="Y470:AI470" si="749">-Y163*Y218*Y$271</f>
        <v>-8.936392440886596e-06</v>
      </c>
      <c r="Z470" s="196">
        <f t="shared" si="749"/>
        <v>-5.130411554077599e-06</v>
      </c>
      <c r="AA470" s="196">
        <f t="shared" si="749"/>
        <v>-0.0</v>
      </c>
      <c r="AB470" s="196">
        <f t="shared" si="749"/>
        <v>-3.5235917984553523e-06</v>
      </c>
      <c r="AC470" s="196">
        <f t="shared" si="749"/>
        <v>-0.0</v>
      </c>
      <c r="AD470" s="196">
        <f t="shared" si="749"/>
        <v>-1.5031420005793439e-05</v>
      </c>
      <c r="AE470" s="196">
        <f t="shared" si="749"/>
        <v>-8.00094265119948e-06</v>
      </c>
      <c r="AF470" s="196">
        <f t="shared" si="749"/>
        <v>-1.9149836517210558e-05</v>
      </c>
      <c r="AG470" s="196">
        <f t="shared" si="749"/>
        <v>-1.598492019625557e-05</v>
      </c>
      <c r="AH470" s="196">
        <f t="shared" si="749"/>
        <v>-9.812285180168461e-06</v>
      </c>
      <c r="AI470" s="196">
        <f t="shared" si="749"/>
        <v>-2.0597054008028684e-05</v>
      </c>
    </row>
    <row r="471" hidden="1" outlineLevel="1">
      <c r="A471" s="44" t="inlineStr">
        <is>
          <t>def</t>
        </is>
      </c>
      <c r="B471" s="3" t="inlineStr">
        <is>
          <t>lpg</t>
        </is>
      </c>
      <c r="C471" s="3" t="inlineStr">
        <is>
          <t>urb</t>
        </is>
      </c>
      <c r="D471" s="3" t="n"/>
      <c r="E471" s="3" t="n"/>
      <c r="H471" s="3" t="inlineStr">
        <is>
          <t>LPG: direct effect, urban</t>
        </is>
      </c>
      <c r="I471" s="3" t="inlineStr">
        <is>
          <t>% consumption</t>
        </is>
      </c>
      <c r="J471" s="118" t="inlineStr">
        <is>
          <t>legacy D.II</t>
        </is>
      </c>
      <c r="K471" s="9" t="str">
        <f>LOWER(CtryCode)&amp;".distn."&amp;$A471&amp;IF($B471="","","."&amp;$B471)&amp;IF($C471="","",".dec."&amp;$C471)&amp;"."&amp;K$5</f>
        <v>egy.distn.def.lpg.dec.urb.1</v>
      </c>
      <c r="L471" s="202">
        <f t="shared" ref="L471:V471" si="750">-L164*L219*L$271</f>
        <v>-0.0</v>
      </c>
      <c r="M471" s="196">
        <f t="shared" si="750"/>
        <v>-0.0</v>
      </c>
      <c r="N471" s="196">
        <f t="shared" si="750"/>
        <v>-0.0</v>
      </c>
      <c r="O471" s="196">
        <f t="shared" si="750"/>
        <v>-0.0</v>
      </c>
      <c r="P471" s="196">
        <f t="shared" si="750"/>
        <v>-0.0</v>
      </c>
      <c r="Q471" s="196">
        <f t="shared" si="750"/>
        <v>-0.0</v>
      </c>
      <c r="R471" s="196">
        <f t="shared" si="750"/>
        <v>-0.0</v>
      </c>
      <c r="S471" s="196">
        <f t="shared" si="750"/>
        <v>-0.0</v>
      </c>
      <c r="T471" s="196">
        <f t="shared" si="750"/>
        <v>-0.0</v>
      </c>
      <c r="U471" s="196">
        <f t="shared" si="750"/>
        <v>-0.0</v>
      </c>
      <c r="V471" s="196">
        <f t="shared" si="750"/>
        <v>-0.0</v>
      </c>
      <c r="W471" s="201" t="str">
        <f>IF(X$5=K$5,SUM(Y471:AI471)-SUM(L471:V471),"")</f>
        <v/>
      </c>
      <c r="X471" s="9" t="str">
        <f>LOWER(CtryCode)&amp;".distn."&amp;$A471&amp;IF($B471="","","."&amp;$B471)&amp;IF($C471="","",".dec."&amp;$C471)&amp;"."&amp;X$5</f>
        <v>egy.distn.def.lpg.dec.urb.2</v>
      </c>
      <c r="Y471" s="202">
        <f t="shared" ref="Y471:AI471" si="751">-Y164*Y219*Y$271</f>
        <v>-0.25320641490083673</v>
      </c>
      <c r="Z471" s="196">
        <f t="shared" si="751"/>
        <v>-0.48094281117694576</v>
      </c>
      <c r="AA471" s="196">
        <f t="shared" si="751"/>
        <v>-0.3669240628195956</v>
      </c>
      <c r="AB471" s="196">
        <f t="shared" si="751"/>
        <v>-0.3066937909452815</v>
      </c>
      <c r="AC471" s="196">
        <f t="shared" si="751"/>
        <v>-0.26793481401408736</v>
      </c>
      <c r="AD471" s="196">
        <f t="shared" si="751"/>
        <v>-0.22344991732957808</v>
      </c>
      <c r="AE471" s="196">
        <f t="shared" si="751"/>
        <v>-0.24588542807243374</v>
      </c>
      <c r="AF471" s="196">
        <f t="shared" si="751"/>
        <v>-0.22665392445272578</v>
      </c>
      <c r="AG471" s="196">
        <f t="shared" si="751"/>
        <v>-0.1778625205055294</v>
      </c>
      <c r="AH471" s="196">
        <f t="shared" si="751"/>
        <v>-0.18172802513807795</v>
      </c>
      <c r="AI471" s="196">
        <f t="shared" si="751"/>
        <v>-0.13649005911673753</v>
      </c>
    </row>
    <row r="472" hidden="1" outlineLevel="1">
      <c r="A472" s="44" t="inlineStr">
        <is>
          <t>def</t>
        </is>
      </c>
      <c r="B472" s="3" t="inlineStr">
        <is>
          <t>tot</t>
        </is>
      </c>
      <c r="C472" s="3" t="inlineStr">
        <is>
          <t>urb</t>
        </is>
      </c>
      <c r="D472" s="3" t="n"/>
      <c r="E472" s="3" t="n"/>
      <c r="H472" s="3" t="inlineStr">
        <is>
          <t>Direct effect, total, urban</t>
        </is>
      </c>
      <c r="I472" s="3" t="inlineStr">
        <is>
          <t>% consumption</t>
        </is>
      </c>
      <c r="J472" s="118" t="inlineStr">
        <is>
          <t>legacy D.II</t>
        </is>
      </c>
      <c r="K472" s="9" t="str">
        <f>LOWER(CtryCode)&amp;".distn."&amp;$A472&amp;IF($B472="","","."&amp;$B472)&amp;IF($C472="","",".dec."&amp;$C472)&amp;"."&amp;K$5</f>
        <v>egy.distn.def.tot.dec.urb.1</v>
      </c>
      <c r="L472" s="202">
        <f t="shared" ref="L472:V472" si="752">SUM(L464:L471)</f>
        <v>0.0</v>
      </c>
      <c r="M472" s="196">
        <f t="shared" si="752"/>
        <v>0.0</v>
      </c>
      <c r="N472" s="196">
        <f t="shared" si="752"/>
        <v>0.0</v>
      </c>
      <c r="O472" s="196">
        <f t="shared" si="752"/>
        <v>0.0</v>
      </c>
      <c r="P472" s="196">
        <f t="shared" si="752"/>
        <v>0.0</v>
      </c>
      <c r="Q472" s="196">
        <f t="shared" si="752"/>
        <v>0.0</v>
      </c>
      <c r="R472" s="196">
        <f t="shared" si="752"/>
        <v>0.0</v>
      </c>
      <c r="S472" s="196">
        <f t="shared" si="752"/>
        <v>0.0</v>
      </c>
      <c r="T472" s="196">
        <f t="shared" si="752"/>
        <v>0.0</v>
      </c>
      <c r="U472" s="196">
        <f t="shared" si="752"/>
        <v>0.0</v>
      </c>
      <c r="V472" s="196">
        <f t="shared" si="752"/>
        <v>0.0</v>
      </c>
      <c r="W472" s="201" t="str">
        <f>IF(X$5=K$5,SUM(Y472:AI472)-SUM(L472:V472),"")</f>
        <v/>
      </c>
      <c r="X472" s="9" t="str">
        <f>LOWER(CtryCode)&amp;".distn."&amp;$A472&amp;IF($B472="","","."&amp;$B472)&amp;IF($C472="","",".dec."&amp;$C472)&amp;"."&amp;X$5</f>
        <v>egy.distn.def.tot.dec.urb.2</v>
      </c>
      <c r="Y472" s="202">
        <f t="shared" ref="Y472:AI472" si="753">SUM(Y464:Y471)</f>
        <v>-1.2862408439545598</v>
      </c>
      <c r="Z472" s="196">
        <f t="shared" si="753"/>
        <v>-1.39914033492889</v>
      </c>
      <c r="AA472" s="196">
        <f t="shared" si="753"/>
        <v>-1.2153820768616599</v>
      </c>
      <c r="AB472" s="196">
        <f t="shared" si="753"/>
        <v>-1.2394716759720517</v>
      </c>
      <c r="AC472" s="196">
        <f t="shared" si="753"/>
        <v>-1.1947921447300394</v>
      </c>
      <c r="AD472" s="196">
        <f t="shared" si="753"/>
        <v>-1.1745204963215778</v>
      </c>
      <c r="AE472" s="196">
        <f t="shared" si="753"/>
        <v>-1.1764754960342094</v>
      </c>
      <c r="AF472" s="196">
        <f t="shared" si="753"/>
        <v>-1.262669744509244</v>
      </c>
      <c r="AG472" s="196">
        <f t="shared" si="753"/>
        <v>-1.183661238388302</v>
      </c>
      <c r="AH472" s="196">
        <f t="shared" si="753"/>
        <v>-1.2387052282999362</v>
      </c>
      <c r="AI472" s="196">
        <f t="shared" si="753"/>
        <v>-1.2654963535864456</v>
      </c>
    </row>
    <row r="473" hidden="1" outlineLevel="1">
      <c r="A473" s="44" t="inlineStr">
        <is>
          <t>ief</t>
        </is>
      </c>
      <c r="B473" s="3" t="inlineStr">
        <is>
          <t>app</t>
        </is>
      </c>
      <c r="C473" s="3" t="inlineStr">
        <is>
          <t>urb</t>
        </is>
      </c>
      <c r="D473" s="3" t="n"/>
      <c r="E473" s="3" t="n"/>
      <c r="H473" s="3" t="inlineStr">
        <is>
          <t>Appliances: indirect effect, urban</t>
        </is>
      </c>
      <c r="I473" s="3" t="inlineStr">
        <is>
          <t>% consumption</t>
        </is>
      </c>
      <c r="J473" s="118" t="inlineStr">
        <is>
          <t>legacy D.II</t>
        </is>
      </c>
      <c r="K473" s="9" t="str">
        <f>LOWER(CtryCode)&amp;".distn."&amp;$A473&amp;IF($B473="","","."&amp;$B473)&amp;IF($C473="","",".dec."&amp;$C473)&amp;"."&amp;K$5</f>
        <v>egy.distn.ief.app.dec.urb.1</v>
      </c>
      <c r="L473" s="202">
        <f t="shared" ref="L473:V473" si="754">-L165*L220*L$271</f>
        <v>-0.0</v>
      </c>
      <c r="M473" s="196">
        <f t="shared" si="754"/>
        <v>-0.0</v>
      </c>
      <c r="N473" s="196">
        <f t="shared" si="754"/>
        <v>-0.0</v>
      </c>
      <c r="O473" s="196">
        <f t="shared" si="754"/>
        <v>-0.0</v>
      </c>
      <c r="P473" s="196">
        <f t="shared" si="754"/>
        <v>-0.0</v>
      </c>
      <c r="Q473" s="196">
        <f t="shared" si="754"/>
        <v>-0.0</v>
      </c>
      <c r="R473" s="196">
        <f t="shared" si="754"/>
        <v>-0.0</v>
      </c>
      <c r="S473" s="196">
        <f t="shared" si="754"/>
        <v>-0.0</v>
      </c>
      <c r="T473" s="196">
        <f t="shared" si="754"/>
        <v>-0.0</v>
      </c>
      <c r="U473" s="196">
        <f t="shared" si="754"/>
        <v>-0.0</v>
      </c>
      <c r="V473" s="196">
        <f t="shared" si="754"/>
        <v>-0.0</v>
      </c>
      <c r="W473" s="201" t="str">
        <f>IF(X$5=K$5,SUM(Y473:AI473)-SUM(L473:V473),"")</f>
        <v/>
      </c>
      <c r="X473" s="9" t="str">
        <f>LOWER(CtryCode)&amp;".distn."&amp;$A473&amp;IF($B473="","","."&amp;$B473)&amp;IF($C473="","",".dec."&amp;$C473)&amp;"."&amp;X$5</f>
        <v>egy.distn.ief.app.dec.urb.2</v>
      </c>
      <c r="Y473" s="202">
        <f t="shared" ref="Y473:AI473" si="755">-Y165*Y220*Y$271</f>
        <v>-0.004461056338690818</v>
      </c>
      <c r="Z473" s="196">
        <f t="shared" si="755"/>
        <v>-0.003881361129089238</v>
      </c>
      <c r="AA473" s="196">
        <f t="shared" si="755"/>
        <v>-0.004081319774234847</v>
      </c>
      <c r="AB473" s="196">
        <f t="shared" si="755"/>
        <v>-0.004359276049870812</v>
      </c>
      <c r="AC473" s="196">
        <f t="shared" si="755"/>
        <v>-0.003968772430654891</v>
      </c>
      <c r="AD473" s="196">
        <f t="shared" si="755"/>
        <v>-0.004537154012445809</v>
      </c>
      <c r="AE473" s="196">
        <f t="shared" si="755"/>
        <v>-0.004767537174176073</v>
      </c>
      <c r="AF473" s="196">
        <f t="shared" si="755"/>
        <v>-0.004049607798105562</v>
      </c>
      <c r="AG473" s="196">
        <f t="shared" si="755"/>
        <v>-0.004229435697190891</v>
      </c>
      <c r="AH473" s="196">
        <f t="shared" si="755"/>
        <v>-0.004210405258297634</v>
      </c>
      <c r="AI473" s="196">
        <f t="shared" si="755"/>
        <v>-0.005007286168393673</v>
      </c>
    </row>
    <row r="474" hidden="1" outlineLevel="1">
      <c r="A474" s="44" t="inlineStr">
        <is>
          <t>ief</t>
        </is>
      </c>
      <c r="B474" s="3" t="inlineStr">
        <is>
          <t>che</t>
        </is>
      </c>
      <c r="C474" s="3" t="inlineStr">
        <is>
          <t>urb</t>
        </is>
      </c>
      <c r="D474" s="3" t="n"/>
      <c r="E474" s="3" t="n"/>
      <c r="H474" s="3" t="inlineStr">
        <is>
          <t>Chemicals: indirect effect, urban</t>
        </is>
      </c>
      <c r="I474" s="3" t="inlineStr">
        <is>
          <t>% consumption</t>
        </is>
      </c>
      <c r="J474" s="118" t="inlineStr">
        <is>
          <t>legacy D.II</t>
        </is>
      </c>
      <c r="K474" s="9" t="str">
        <f>LOWER(CtryCode)&amp;".distn."&amp;$A474&amp;IF($B474="","","."&amp;$B474)&amp;IF($C474="","",".dec."&amp;$C474)&amp;"."&amp;K$5</f>
        <v>egy.distn.ief.che.dec.urb.1</v>
      </c>
      <c r="L474" s="202">
        <f t="shared" ref="L474:V474" si="756">-L166*L221*L$271</f>
        <v>-0.0</v>
      </c>
      <c r="M474" s="196">
        <f t="shared" si="756"/>
        <v>-0.0</v>
      </c>
      <c r="N474" s="196">
        <f t="shared" si="756"/>
        <v>-0.0</v>
      </c>
      <c r="O474" s="196">
        <f t="shared" si="756"/>
        <v>-0.0</v>
      </c>
      <c r="P474" s="196">
        <f t="shared" si="756"/>
        <v>-0.0</v>
      </c>
      <c r="Q474" s="196">
        <f t="shared" si="756"/>
        <v>-0.0</v>
      </c>
      <c r="R474" s="196">
        <f t="shared" si="756"/>
        <v>-0.0</v>
      </c>
      <c r="S474" s="196">
        <f t="shared" si="756"/>
        <v>-0.0</v>
      </c>
      <c r="T474" s="196">
        <f t="shared" si="756"/>
        <v>-0.0</v>
      </c>
      <c r="U474" s="196">
        <f t="shared" si="756"/>
        <v>-0.0</v>
      </c>
      <c r="V474" s="196">
        <f t="shared" si="756"/>
        <v>-0.0</v>
      </c>
      <c r="W474" s="201" t="str">
        <f>IF(X$5=K$5,SUM(Y474:AI474)-SUM(L474:V474),"")</f>
        <v/>
      </c>
      <c r="X474" s="9" t="str">
        <f>LOWER(CtryCode)&amp;".distn."&amp;$A474&amp;IF($B474="","","."&amp;$B474)&amp;IF($C474="","",".dec."&amp;$C474)&amp;"."&amp;X$5</f>
        <v>egy.distn.ief.che.dec.urb.2</v>
      </c>
      <c r="Y474" s="202">
        <f t="shared" ref="Y474:AI474" si="757">-Y166*Y221*Y$271</f>
        <v>-0.021013208760496876</v>
      </c>
      <c r="Z474" s="196">
        <f t="shared" si="757"/>
        <v>-0.0230918873934231</v>
      </c>
      <c r="AA474" s="196">
        <f t="shared" si="757"/>
        <v>-0.02414563483628645</v>
      </c>
      <c r="AB474" s="196">
        <f t="shared" si="757"/>
        <v>-0.025725992572955853</v>
      </c>
      <c r="AC474" s="196">
        <f t="shared" si="757"/>
        <v>-0.023134657596329277</v>
      </c>
      <c r="AD474" s="196">
        <f t="shared" si="757"/>
        <v>-0.02229446717007295</v>
      </c>
      <c r="AE474" s="196">
        <f t="shared" si="757"/>
        <v>-0.023753338457343457</v>
      </c>
      <c r="AF474" s="196">
        <f t="shared" si="757"/>
        <v>-0.023735558500840553</v>
      </c>
      <c r="AG474" s="196">
        <f t="shared" si="757"/>
        <v>-0.021100001475745127</v>
      </c>
      <c r="AH474" s="196">
        <f t="shared" si="757"/>
        <v>-0.02401060606481156</v>
      </c>
      <c r="AI474" s="196">
        <f t="shared" si="757"/>
        <v>-0.02173551776039156</v>
      </c>
    </row>
    <row r="475" hidden="1" outlineLevel="1">
      <c r="A475" s="44" t="inlineStr">
        <is>
          <t>ief</t>
        </is>
      </c>
      <c r="B475" s="3" t="inlineStr">
        <is>
          <t>clo</t>
        </is>
      </c>
      <c r="C475" s="3" t="inlineStr">
        <is>
          <t>urb</t>
        </is>
      </c>
      <c r="D475" s="3" t="n"/>
      <c r="E475" s="3" t="n"/>
      <c r="H475" s="3" t="inlineStr">
        <is>
          <t>Clothing: indirect effect, urban</t>
        </is>
      </c>
      <c r="I475" s="3" t="inlineStr">
        <is>
          <t>% consumption</t>
        </is>
      </c>
      <c r="J475" s="118" t="inlineStr">
        <is>
          <t>legacy D.II</t>
        </is>
      </c>
      <c r="K475" s="9" t="str">
        <f>LOWER(CtryCode)&amp;".distn."&amp;$A475&amp;IF($B475="","","."&amp;$B475)&amp;IF($C475="","",".dec."&amp;$C475)&amp;"."&amp;K$5</f>
        <v>egy.distn.ief.clo.dec.urb.1</v>
      </c>
      <c r="L475" s="202">
        <f t="shared" ref="L475:V475" si="758">-L167*L222*L$271</f>
        <v>-0.0</v>
      </c>
      <c r="M475" s="196">
        <f t="shared" si="758"/>
        <v>-0.0</v>
      </c>
      <c r="N475" s="196">
        <f t="shared" si="758"/>
        <v>-0.0</v>
      </c>
      <c r="O475" s="196">
        <f t="shared" si="758"/>
        <v>-0.0</v>
      </c>
      <c r="P475" s="196">
        <f t="shared" si="758"/>
        <v>-0.0</v>
      </c>
      <c r="Q475" s="196">
        <f t="shared" si="758"/>
        <v>-0.0</v>
      </c>
      <c r="R475" s="196">
        <f t="shared" si="758"/>
        <v>-0.0</v>
      </c>
      <c r="S475" s="196">
        <f t="shared" si="758"/>
        <v>-0.0</v>
      </c>
      <c r="T475" s="196">
        <f t="shared" si="758"/>
        <v>-0.0</v>
      </c>
      <c r="U475" s="196">
        <f t="shared" si="758"/>
        <v>-0.0</v>
      </c>
      <c r="V475" s="196">
        <f t="shared" si="758"/>
        <v>-0.0</v>
      </c>
      <c r="W475" s="201" t="str">
        <f>IF(X$5=K$5,SUM(Y475:AI475)-SUM(L475:V475),"")</f>
        <v/>
      </c>
      <c r="X475" s="9" t="str">
        <f>LOWER(CtryCode)&amp;".distn."&amp;$A475&amp;IF($B475="","","."&amp;$B475)&amp;IF($C475="","",".dec."&amp;$C475)&amp;"."&amp;X$5</f>
        <v>egy.distn.ief.clo.dec.urb.2</v>
      </c>
      <c r="Y475" s="202">
        <f t="shared" ref="Y475:AI475" si="759">-Y167*Y222*Y$271</f>
        <v>-0.005776520369291492</v>
      </c>
      <c r="Z475" s="196">
        <f t="shared" si="759"/>
        <v>-0.006518298827391763</v>
      </c>
      <c r="AA475" s="196">
        <f t="shared" si="759"/>
        <v>-0.005957807589844854</v>
      </c>
      <c r="AB475" s="196">
        <f t="shared" si="759"/>
        <v>-0.00635907073025575</v>
      </c>
      <c r="AC475" s="196">
        <f t="shared" si="759"/>
        <v>-0.006569891869638656</v>
      </c>
      <c r="AD475" s="196">
        <f t="shared" si="759"/>
        <v>-0.00670532540298446</v>
      </c>
      <c r="AE475" s="196">
        <f t="shared" si="759"/>
        <v>-0.00612715037589312</v>
      </c>
      <c r="AF475" s="196">
        <f t="shared" si="759"/>
        <v>-0.005900063595764815</v>
      </c>
      <c r="AG475" s="196">
        <f t="shared" si="759"/>
        <v>-0.0058095738828383755</v>
      </c>
      <c r="AH475" s="196">
        <f t="shared" si="759"/>
        <v>-0.0053067353939479905</v>
      </c>
      <c r="AI475" s="196">
        <f t="shared" si="759"/>
        <v>-0.004959593240887734</v>
      </c>
    </row>
    <row r="476" hidden="1" outlineLevel="1">
      <c r="A476" s="44" t="inlineStr">
        <is>
          <t>ief</t>
        </is>
      </c>
      <c r="B476" s="3" t="inlineStr">
        <is>
          <t>com</t>
        </is>
      </c>
      <c r="C476" s="3" t="inlineStr">
        <is>
          <t>urb</t>
        </is>
      </c>
      <c r="D476" s="3" t="n"/>
      <c r="E476" s="3" t="n"/>
      <c r="H476" s="3" t="inlineStr">
        <is>
          <t>Communications: indirect effect, urban</t>
        </is>
      </c>
      <c r="I476" s="3" t="inlineStr">
        <is>
          <t>% consumption</t>
        </is>
      </c>
      <c r="J476" s="118" t="inlineStr">
        <is>
          <t>legacy D.II</t>
        </is>
      </c>
      <c r="K476" s="9" t="str">
        <f>LOWER(CtryCode)&amp;".distn."&amp;$A476&amp;IF($B476="","","."&amp;$B476)&amp;IF($C476="","",".dec."&amp;$C476)&amp;"."&amp;K$5</f>
        <v>egy.distn.ief.com.dec.urb.1</v>
      </c>
      <c r="L476" s="202">
        <f t="shared" ref="L476:V476" si="760">-L168*L223*L$271</f>
        <v>-0.0</v>
      </c>
      <c r="M476" s="196">
        <f t="shared" si="760"/>
        <v>-0.0</v>
      </c>
      <c r="N476" s="196">
        <f t="shared" si="760"/>
        <v>-0.0</v>
      </c>
      <c r="O476" s="196">
        <f t="shared" si="760"/>
        <v>-0.0</v>
      </c>
      <c r="P476" s="196">
        <f t="shared" si="760"/>
        <v>-0.0</v>
      </c>
      <c r="Q476" s="196">
        <f t="shared" si="760"/>
        <v>-0.0</v>
      </c>
      <c r="R476" s="196">
        <f t="shared" si="760"/>
        <v>-0.0</v>
      </c>
      <c r="S476" s="196">
        <f t="shared" si="760"/>
        <v>-0.0</v>
      </c>
      <c r="T476" s="196">
        <f t="shared" si="760"/>
        <v>-0.0</v>
      </c>
      <c r="U476" s="196">
        <f t="shared" si="760"/>
        <v>-0.0</v>
      </c>
      <c r="V476" s="196">
        <f t="shared" si="760"/>
        <v>-0.0</v>
      </c>
      <c r="W476" s="201" t="str">
        <f>IF(X$5=K$5,SUM(Y476:AI476)-SUM(L476:V476),"")</f>
        <v/>
      </c>
      <c r="X476" s="9" t="str">
        <f>LOWER(CtryCode)&amp;".distn."&amp;$A476&amp;IF($B476="","","."&amp;$B476)&amp;IF($C476="","",".dec."&amp;$C476)&amp;"."&amp;X$5</f>
        <v>egy.distn.ief.com.dec.urb.2</v>
      </c>
      <c r="Y476" s="202">
        <f t="shared" ref="Y476:AI476" si="761">-Y168*Y223*Y$271</f>
        <v>-0.00142405585888403</v>
      </c>
      <c r="Z476" s="196">
        <f t="shared" si="761"/>
        <v>-0.001193080970950522</v>
      </c>
      <c r="AA476" s="196">
        <f t="shared" si="761"/>
        <v>-0.0012702220262564407</v>
      </c>
      <c r="AB476" s="196">
        <f t="shared" si="761"/>
        <v>-0.0013692479266249524</v>
      </c>
      <c r="AC476" s="196">
        <f t="shared" si="761"/>
        <v>-0.0014903241572820998</v>
      </c>
      <c r="AD476" s="196">
        <f t="shared" si="761"/>
        <v>-0.0014560415617172419</v>
      </c>
      <c r="AE476" s="196">
        <f t="shared" si="761"/>
        <v>-0.00144980629999619</v>
      </c>
      <c r="AF476" s="196">
        <f t="shared" si="761"/>
        <v>-0.0014734704427267922</v>
      </c>
      <c r="AG476" s="196">
        <f t="shared" si="761"/>
        <v>-0.0016018447547786231</v>
      </c>
      <c r="AH476" s="196">
        <f t="shared" si="761"/>
        <v>-0.0014508859068411608</v>
      </c>
      <c r="AI476" s="196">
        <f t="shared" si="761"/>
        <v>-0.0015318789369036271</v>
      </c>
    </row>
    <row r="477" hidden="1" outlineLevel="1">
      <c r="A477" s="44" t="inlineStr">
        <is>
          <t>ief</t>
        </is>
      </c>
      <c r="B477" s="3" t="inlineStr">
        <is>
          <t>edu</t>
        </is>
      </c>
      <c r="C477" s="3" t="inlineStr">
        <is>
          <t>urb</t>
        </is>
      </c>
      <c r="D477" s="3" t="n"/>
      <c r="E477" s="3" t="n"/>
      <c r="H477" s="3" t="inlineStr">
        <is>
          <t>Education: indirect effect, urban</t>
        </is>
      </c>
      <c r="I477" s="3" t="inlineStr">
        <is>
          <t>% consumption</t>
        </is>
      </c>
      <c r="J477" s="118" t="inlineStr">
        <is>
          <t>legacy D.II</t>
        </is>
      </c>
      <c r="K477" s="9" t="str">
        <f>LOWER(CtryCode)&amp;".distn."&amp;$A477&amp;IF($B477="","","."&amp;$B477)&amp;IF($C477="","",".dec."&amp;$C477)&amp;"."&amp;K$5</f>
        <v>egy.distn.ief.edu.dec.urb.1</v>
      </c>
      <c r="L477" s="202">
        <f t="shared" ref="L477:V477" si="762">-L169*L224*L$271</f>
        <v>-0.0</v>
      </c>
      <c r="M477" s="196">
        <f t="shared" si="762"/>
        <v>-0.0</v>
      </c>
      <c r="N477" s="196">
        <f t="shared" si="762"/>
        <v>-0.0</v>
      </c>
      <c r="O477" s="196">
        <f t="shared" si="762"/>
        <v>-0.0</v>
      </c>
      <c r="P477" s="196">
        <f t="shared" si="762"/>
        <v>-0.0</v>
      </c>
      <c r="Q477" s="196">
        <f t="shared" si="762"/>
        <v>-0.0</v>
      </c>
      <c r="R477" s="196">
        <f t="shared" si="762"/>
        <v>-0.0</v>
      </c>
      <c r="S477" s="196">
        <f t="shared" si="762"/>
        <v>-0.0</v>
      </c>
      <c r="T477" s="196">
        <f t="shared" si="762"/>
        <v>-0.0</v>
      </c>
      <c r="U477" s="196">
        <f t="shared" si="762"/>
        <v>-0.0</v>
      </c>
      <c r="V477" s="196">
        <f t="shared" si="762"/>
        <v>-0.0</v>
      </c>
      <c r="W477" s="201" t="str">
        <f>IF(X$5=K$5,SUM(Y477:AI477)-SUM(L477:V477),"")</f>
        <v/>
      </c>
      <c r="X477" s="9" t="str">
        <f>LOWER(CtryCode)&amp;".distn."&amp;$A477&amp;IF($B477="","","."&amp;$B477)&amp;IF($C477="","",".dec."&amp;$C477)&amp;"."&amp;X$5</f>
        <v>egy.distn.ief.edu.dec.urb.2</v>
      </c>
      <c r="Y477" s="202">
        <f t="shared" ref="Y477:AI477" si="763">-Y169*Y224*Y$271</f>
        <v>-0.00426191136103102</v>
      </c>
      <c r="Z477" s="196">
        <f t="shared" si="763"/>
        <v>-0.00365504070743164</v>
      </c>
      <c r="AA477" s="196">
        <f t="shared" si="763"/>
        <v>-0.004969409042821257</v>
      </c>
      <c r="AB477" s="196">
        <f t="shared" si="763"/>
        <v>-0.00502849328910994</v>
      </c>
      <c r="AC477" s="196">
        <f t="shared" si="763"/>
        <v>-0.004999779620243281</v>
      </c>
      <c r="AD477" s="196">
        <f t="shared" si="763"/>
        <v>-0.0051552141714396125</v>
      </c>
      <c r="AE477" s="196">
        <f t="shared" si="763"/>
        <v>-0.0050709885209578665</v>
      </c>
      <c r="AF477" s="196">
        <f t="shared" si="763"/>
        <v>-0.004232394486097515</v>
      </c>
      <c r="AG477" s="196">
        <f t="shared" si="763"/>
        <v>-0.004010253137919124</v>
      </c>
      <c r="AH477" s="196">
        <f t="shared" si="763"/>
        <v>-0.0031757445284164624</v>
      </c>
      <c r="AI477" s="196">
        <f t="shared" si="763"/>
        <v>-0.0014888214139889896</v>
      </c>
    </row>
    <row r="478" hidden="1" outlineLevel="1">
      <c r="A478" s="44" t="inlineStr">
        <is>
          <t>ief</t>
        </is>
      </c>
      <c r="B478" s="3" t="inlineStr">
        <is>
          <t>food</t>
        </is>
      </c>
      <c r="C478" s="3" t="inlineStr">
        <is>
          <t>urb</t>
        </is>
      </c>
      <c r="D478" s="3" t="n"/>
      <c r="E478" s="3" t="n"/>
      <c r="H478" s="3" t="inlineStr">
        <is>
          <t>Food: indirect effect, urban</t>
        </is>
      </c>
      <c r="I478" s="3" t="inlineStr">
        <is>
          <t>% consumption</t>
        </is>
      </c>
      <c r="J478" s="118" t="inlineStr">
        <is>
          <t>legacy D.II</t>
        </is>
      </c>
      <c r="K478" s="9" t="str">
        <f>LOWER(CtryCode)&amp;".distn."&amp;$A478&amp;IF($B478="","","."&amp;$B478)&amp;IF($C478="","",".dec."&amp;$C478)&amp;"."&amp;K$5</f>
        <v>egy.distn.ief.food.dec.urb.1</v>
      </c>
      <c r="L478" s="202">
        <f t="shared" ref="L478:V478" si="764">-L170*L225*L$271</f>
        <v>-0.0</v>
      </c>
      <c r="M478" s="196">
        <f t="shared" si="764"/>
        <v>-0.0</v>
      </c>
      <c r="N478" s="196">
        <f t="shared" si="764"/>
        <v>-0.0</v>
      </c>
      <c r="O478" s="196">
        <f t="shared" si="764"/>
        <v>-0.0</v>
      </c>
      <c r="P478" s="196">
        <f t="shared" si="764"/>
        <v>-0.0</v>
      </c>
      <c r="Q478" s="196">
        <f t="shared" si="764"/>
        <v>-0.0</v>
      </c>
      <c r="R478" s="196">
        <f t="shared" si="764"/>
        <v>-0.0</v>
      </c>
      <c r="S478" s="196">
        <f t="shared" si="764"/>
        <v>-0.0</v>
      </c>
      <c r="T478" s="196">
        <f t="shared" si="764"/>
        <v>-0.0</v>
      </c>
      <c r="U478" s="196">
        <f t="shared" si="764"/>
        <v>-0.0</v>
      </c>
      <c r="V478" s="196">
        <f t="shared" si="764"/>
        <v>-0.0</v>
      </c>
      <c r="W478" s="201" t="str">
        <f>IF(X$5=K$5,SUM(Y478:AI478)-SUM(L478:V478),"")</f>
        <v/>
      </c>
      <c r="X478" s="9" t="str">
        <f>LOWER(CtryCode)&amp;".distn."&amp;$A478&amp;IF($B478="","","."&amp;$B478)&amp;IF($C478="","",".dec."&amp;$C478)&amp;"."&amp;X$5</f>
        <v>egy.distn.ief.food.dec.urb.2</v>
      </c>
      <c r="Y478" s="202">
        <f t="shared" ref="Y478:AI478" si="765">-Y170*Y225*Y$271</f>
        <v>-0.059755540114776004</v>
      </c>
      <c r="Z478" s="196">
        <f t="shared" si="765"/>
        <v>-0.057713413718922316</v>
      </c>
      <c r="AA478" s="196">
        <f t="shared" si="765"/>
        <v>-0.06276058178055625</v>
      </c>
      <c r="AB478" s="196">
        <f t="shared" si="765"/>
        <v>-0.06305101378401087</v>
      </c>
      <c r="AC478" s="196">
        <f t="shared" si="765"/>
        <v>-0.06150998838615526</v>
      </c>
      <c r="AD478" s="196">
        <f t="shared" si="765"/>
        <v>-0.05696000222724949</v>
      </c>
      <c r="AE478" s="196">
        <f t="shared" si="765"/>
        <v>-0.0569077053656308</v>
      </c>
      <c r="AF478" s="196">
        <f t="shared" si="765"/>
        <v>-0.06216173514853982</v>
      </c>
      <c r="AG478" s="196">
        <f t="shared" si="765"/>
        <v>-0.05953732216918753</v>
      </c>
      <c r="AH478" s="196">
        <f t="shared" si="765"/>
        <v>-0.05612959723802765</v>
      </c>
      <c r="AI478" s="196">
        <f t="shared" si="765"/>
        <v>-0.05255620176397633</v>
      </c>
    </row>
    <row r="479" hidden="1" outlineLevel="1">
      <c r="A479" s="44" t="inlineStr">
        <is>
          <t>ief</t>
        </is>
      </c>
      <c r="B479" s="3" t="inlineStr">
        <is>
          <t>hea</t>
        </is>
      </c>
      <c r="C479" s="3" t="inlineStr">
        <is>
          <t>urb</t>
        </is>
      </c>
      <c r="D479" s="3" t="n"/>
      <c r="E479" s="3" t="n"/>
      <c r="H479" s="3" t="inlineStr">
        <is>
          <t>Health services: indirect effect, urban</t>
        </is>
      </c>
      <c r="I479" s="3" t="inlineStr">
        <is>
          <t>% consumption</t>
        </is>
      </c>
      <c r="J479" s="118" t="inlineStr">
        <is>
          <t>legacy D.II</t>
        </is>
      </c>
      <c r="K479" s="9" t="str">
        <f>LOWER(CtryCode)&amp;".distn."&amp;$A479&amp;IF($B479="","","."&amp;$B479)&amp;IF($C479="","",".dec."&amp;$C479)&amp;"."&amp;K$5</f>
        <v>egy.distn.ief.hea.dec.urb.1</v>
      </c>
      <c r="L479" s="202">
        <f t="shared" ref="L479:V479" si="766">-L171*L226*L$271</f>
        <v>-0.0</v>
      </c>
      <c r="M479" s="196">
        <f t="shared" si="766"/>
        <v>-0.0</v>
      </c>
      <c r="N479" s="196">
        <f t="shared" si="766"/>
        <v>-0.0</v>
      </c>
      <c r="O479" s="196">
        <f t="shared" si="766"/>
        <v>-0.0</v>
      </c>
      <c r="P479" s="196">
        <f t="shared" si="766"/>
        <v>-0.0</v>
      </c>
      <c r="Q479" s="196">
        <f t="shared" si="766"/>
        <v>-0.0</v>
      </c>
      <c r="R479" s="196">
        <f t="shared" si="766"/>
        <v>-0.0</v>
      </c>
      <c r="S479" s="196">
        <f t="shared" si="766"/>
        <v>-0.0</v>
      </c>
      <c r="T479" s="196">
        <f t="shared" si="766"/>
        <v>-0.0</v>
      </c>
      <c r="U479" s="196">
        <f t="shared" si="766"/>
        <v>-0.0</v>
      </c>
      <c r="V479" s="196">
        <f t="shared" si="766"/>
        <v>-0.0</v>
      </c>
      <c r="W479" s="201" t="str">
        <f>IF(X$5=K$5,SUM(Y479:AI479)-SUM(L479:V479),"")</f>
        <v/>
      </c>
      <c r="X479" s="9" t="str">
        <f>LOWER(CtryCode)&amp;".distn."&amp;$A479&amp;IF($B479="","","."&amp;$B479)&amp;IF($C479="","",".dec."&amp;$C479)&amp;"."&amp;X$5</f>
        <v>egy.distn.ief.hea.dec.urb.2</v>
      </c>
      <c r="Y479" s="202">
        <f t="shared" ref="Y479:AI479" si="767">-Y171*Y226*Y$271</f>
        <v>-0.004509719335886011</v>
      </c>
      <c r="Z479" s="196">
        <f t="shared" si="767"/>
        <v>-0.0033160405246514</v>
      </c>
      <c r="AA479" s="196">
        <f t="shared" si="767"/>
        <v>-0.003822331681886282</v>
      </c>
      <c r="AB479" s="196">
        <f t="shared" si="767"/>
        <v>-0.00434413952081402</v>
      </c>
      <c r="AC479" s="196">
        <f t="shared" si="767"/>
        <v>-0.004457322513549848</v>
      </c>
      <c r="AD479" s="196">
        <f t="shared" si="767"/>
        <v>-0.005082169986536158</v>
      </c>
      <c r="AE479" s="196">
        <f t="shared" si="767"/>
        <v>-0.004694950298276227</v>
      </c>
      <c r="AF479" s="196">
        <f t="shared" si="767"/>
        <v>-0.00528526726058071</v>
      </c>
      <c r="AG479" s="196">
        <f t="shared" si="767"/>
        <v>-0.005263421016479986</v>
      </c>
      <c r="AH479" s="196">
        <f t="shared" si="767"/>
        <v>-0.0059549353256005974</v>
      </c>
      <c r="AI479" s="196">
        <f t="shared" si="767"/>
        <v>-0.0074866391002627215</v>
      </c>
    </row>
    <row r="480" hidden="1" outlineLevel="1">
      <c r="A480" s="44" t="inlineStr">
        <is>
          <t>ief</t>
        </is>
      </c>
      <c r="B480" s="3" t="inlineStr">
        <is>
          <t>hou</t>
        </is>
      </c>
      <c r="C480" s="3" t="inlineStr">
        <is>
          <t>urb</t>
        </is>
      </c>
      <c r="D480" s="3" t="n"/>
      <c r="E480" s="3" t="n"/>
      <c r="H480" s="3" t="inlineStr">
        <is>
          <t>Housing: indirect effect, urban</t>
        </is>
      </c>
      <c r="I480" s="3" t="inlineStr">
        <is>
          <t>% consumption</t>
        </is>
      </c>
      <c r="J480" s="118" t="inlineStr">
        <is>
          <t>legacy D.II</t>
        </is>
      </c>
      <c r="K480" s="9" t="str">
        <f>LOWER(CtryCode)&amp;".distn."&amp;$A480&amp;IF($B480="","","."&amp;$B480)&amp;IF($C480="","",".dec."&amp;$C480)&amp;"."&amp;K$5</f>
        <v>egy.distn.ief.hou.dec.urb.1</v>
      </c>
      <c r="L480" s="202">
        <f t="shared" ref="L480:V480" si="768">-L172*L227*L$271</f>
        <v>-0.0</v>
      </c>
      <c r="M480" s="196">
        <f t="shared" si="768"/>
        <v>-0.0</v>
      </c>
      <c r="N480" s="196">
        <f t="shared" si="768"/>
        <v>-0.0</v>
      </c>
      <c r="O480" s="196">
        <f t="shared" si="768"/>
        <v>-0.0</v>
      </c>
      <c r="P480" s="196">
        <f t="shared" si="768"/>
        <v>-0.0</v>
      </c>
      <c r="Q480" s="196">
        <f t="shared" si="768"/>
        <v>-0.0</v>
      </c>
      <c r="R480" s="196">
        <f t="shared" si="768"/>
        <v>-0.0</v>
      </c>
      <c r="S480" s="196">
        <f t="shared" si="768"/>
        <v>-0.0</v>
      </c>
      <c r="T480" s="196">
        <f t="shared" si="768"/>
        <v>-0.0</v>
      </c>
      <c r="U480" s="196">
        <f t="shared" si="768"/>
        <v>-0.0</v>
      </c>
      <c r="V480" s="196">
        <f t="shared" si="768"/>
        <v>-0.0</v>
      </c>
      <c r="W480" s="201" t="str">
        <f>IF(X$5=K$5,SUM(Y480:AI480)-SUM(L480:V480),"")</f>
        <v/>
      </c>
      <c r="X480" s="9" t="str">
        <f>LOWER(CtryCode)&amp;".distn."&amp;$A480&amp;IF($B480="","","."&amp;$B480)&amp;IF($C480="","",".dec."&amp;$C480)&amp;"."&amp;X$5</f>
        <v>egy.distn.ief.hou.dec.urb.2</v>
      </c>
      <c r="Y480" s="202">
        <f t="shared" ref="Y480:AI480" si="769">-Y172*Y227*Y$271</f>
        <v>-0.005863870186343024</v>
      </c>
      <c r="Z480" s="196">
        <f t="shared" si="769"/>
        <v>-0.007170154663195645</v>
      </c>
      <c r="AA480" s="196">
        <f t="shared" si="769"/>
        <v>-0.006221981933304166</v>
      </c>
      <c r="AB480" s="196">
        <f t="shared" si="769"/>
        <v>-0.005778359056341607</v>
      </c>
      <c r="AC480" s="196">
        <f t="shared" si="769"/>
        <v>-0.005445514823740346</v>
      </c>
      <c r="AD480" s="196">
        <f t="shared" si="769"/>
        <v>-0.00538256858092259</v>
      </c>
      <c r="AE480" s="196">
        <f t="shared" si="769"/>
        <v>-0.0049931520386213</v>
      </c>
      <c r="AF480" s="196">
        <f t="shared" si="769"/>
        <v>-0.0047861082151104475</v>
      </c>
      <c r="AG480" s="196">
        <f t="shared" si="769"/>
        <v>-0.004953195545818982</v>
      </c>
      <c r="AH480" s="196">
        <f t="shared" si="769"/>
        <v>-0.005624113805135241</v>
      </c>
      <c r="AI480" s="196">
        <f t="shared" si="769"/>
        <v>-0.006229600836032447</v>
      </c>
    </row>
    <row r="481" hidden="1" outlineLevel="1">
      <c r="A481" s="44" t="inlineStr">
        <is>
          <t>ief</t>
        </is>
      </c>
      <c r="B481" s="3" t="inlineStr">
        <is>
          <t>oth</t>
        </is>
      </c>
      <c r="C481" s="3" t="inlineStr">
        <is>
          <t>urb</t>
        </is>
      </c>
      <c r="D481" s="3" t="n"/>
      <c r="E481" s="3" t="n"/>
      <c r="H481" s="3" t="inlineStr">
        <is>
          <t>Other: indirect effect, urban</t>
        </is>
      </c>
      <c r="I481" s="3" t="inlineStr">
        <is>
          <t>% consumption</t>
        </is>
      </c>
      <c r="J481" s="118" t="inlineStr">
        <is>
          <t>legacy D.II</t>
        </is>
      </c>
      <c r="K481" s="9" t="str">
        <f>LOWER(CtryCode)&amp;".distn."&amp;$A481&amp;IF($B481="","","."&amp;$B481)&amp;IF($C481="","",".dec."&amp;$C481)&amp;"."&amp;K$5</f>
        <v>egy.distn.ief.oth.dec.urb.1</v>
      </c>
      <c r="L481" s="202">
        <f t="shared" ref="L481:V481" si="770">-L173*L228*L$271</f>
        <v>-0.0</v>
      </c>
      <c r="M481" s="196">
        <f t="shared" si="770"/>
        <v>-0.0</v>
      </c>
      <c r="N481" s="196">
        <f t="shared" si="770"/>
        <v>-0.0</v>
      </c>
      <c r="O481" s="196">
        <f t="shared" si="770"/>
        <v>-0.0</v>
      </c>
      <c r="P481" s="196">
        <f t="shared" si="770"/>
        <v>-0.0</v>
      </c>
      <c r="Q481" s="196">
        <f t="shared" si="770"/>
        <v>-0.0</v>
      </c>
      <c r="R481" s="196">
        <f t="shared" si="770"/>
        <v>-0.0</v>
      </c>
      <c r="S481" s="196">
        <f t="shared" si="770"/>
        <v>-0.0</v>
      </c>
      <c r="T481" s="196">
        <f t="shared" si="770"/>
        <v>-0.0</v>
      </c>
      <c r="U481" s="196">
        <f t="shared" si="770"/>
        <v>-0.0</v>
      </c>
      <c r="V481" s="196">
        <f t="shared" si="770"/>
        <v>-0.0</v>
      </c>
      <c r="W481" s="201" t="str">
        <f>IF(X$5=K$5,SUM(Y481:AI481)-SUM(L481:V481),"")</f>
        <v/>
      </c>
      <c r="X481" s="9" t="str">
        <f>LOWER(CtryCode)&amp;".distn."&amp;$A481&amp;IF($B481="","","."&amp;$B481)&amp;IF($C481="","",".dec."&amp;$C481)&amp;"."&amp;X$5</f>
        <v>egy.distn.ief.oth.dec.urb.2</v>
      </c>
      <c r="Y481" s="202">
        <f t="shared" ref="Y481:AI481" si="771">-Y173*Y228*Y$271</f>
        <v>-1.1325596384678097e-05</v>
      </c>
      <c r="Z481" s="196">
        <f t="shared" si="771"/>
        <v>-8.61681757324168e-06</v>
      </c>
      <c r="AA481" s="196">
        <f t="shared" si="771"/>
        <v>-4.512602999169371e-06</v>
      </c>
      <c r="AB481" s="196">
        <f t="shared" si="771"/>
        <v>-3.0173096407049353e-06</v>
      </c>
      <c r="AC481" s="196">
        <f t="shared" si="771"/>
        <v>-1.3021361508863629e-05</v>
      </c>
      <c r="AD481" s="196">
        <f t="shared" si="771"/>
        <v>-1.088327544722117e-05</v>
      </c>
      <c r="AE481" s="196">
        <f t="shared" si="771"/>
        <v>-8.378843873422465e-06</v>
      </c>
      <c r="AF481" s="196">
        <f t="shared" si="771"/>
        <v>-1.1008386136487509e-05</v>
      </c>
      <c r="AG481" s="196">
        <f t="shared" si="771"/>
        <v>-1.327353835080887e-05</v>
      </c>
      <c r="AH481" s="196">
        <f t="shared" si="771"/>
        <v>-1.3426389164166433e-05</v>
      </c>
      <c r="AI481" s="196">
        <f t="shared" si="771"/>
        <v>-1.947404130239934e-05</v>
      </c>
    </row>
    <row r="482" hidden="1" outlineLevel="1">
      <c r="A482" s="44" t="inlineStr">
        <is>
          <t>ief</t>
        </is>
      </c>
      <c r="B482" s="3" t="inlineStr">
        <is>
          <t>pap</t>
        </is>
      </c>
      <c r="C482" s="3" t="inlineStr">
        <is>
          <t>urb</t>
        </is>
      </c>
      <c r="D482" s="3" t="n"/>
      <c r="E482" s="3" t="n"/>
      <c r="H482" s="3" t="inlineStr">
        <is>
          <t>Paper: indirect effect, urban</t>
        </is>
      </c>
      <c r="I482" s="3" t="inlineStr">
        <is>
          <t>% consumption</t>
        </is>
      </c>
      <c r="J482" s="118" t="inlineStr">
        <is>
          <t>legacy D.II</t>
        </is>
      </c>
      <c r="K482" s="9" t="str">
        <f>LOWER(CtryCode)&amp;".distn."&amp;$A482&amp;IF($B482="","","."&amp;$B482)&amp;IF($C482="","",".dec."&amp;$C482)&amp;"."&amp;K$5</f>
        <v>egy.distn.ief.pap.dec.urb.1</v>
      </c>
      <c r="L482" s="202">
        <f t="shared" ref="L482:V482" si="772">-L174*L229*L$271</f>
        <v>-0.0</v>
      </c>
      <c r="M482" s="196">
        <f t="shared" si="772"/>
        <v>-0.0</v>
      </c>
      <c r="N482" s="196">
        <f t="shared" si="772"/>
        <v>-0.0</v>
      </c>
      <c r="O482" s="196">
        <f t="shared" si="772"/>
        <v>-0.0</v>
      </c>
      <c r="P482" s="196">
        <f t="shared" si="772"/>
        <v>-0.0</v>
      </c>
      <c r="Q482" s="196">
        <f t="shared" si="772"/>
        <v>-0.0</v>
      </c>
      <c r="R482" s="196">
        <f t="shared" si="772"/>
        <v>-0.0</v>
      </c>
      <c r="S482" s="196">
        <f t="shared" si="772"/>
        <v>-0.0</v>
      </c>
      <c r="T482" s="196">
        <f t="shared" si="772"/>
        <v>-0.0</v>
      </c>
      <c r="U482" s="196">
        <f t="shared" si="772"/>
        <v>-0.0</v>
      </c>
      <c r="V482" s="196">
        <f t="shared" si="772"/>
        <v>-0.0</v>
      </c>
      <c r="W482" s="201" t="str">
        <f>IF(X$5=K$5,SUM(Y482:AI482)-SUM(L482:V482),"")</f>
        <v/>
      </c>
      <c r="X482" s="9" t="str">
        <f>LOWER(CtryCode)&amp;".distn."&amp;$A482&amp;IF($B482="","","."&amp;$B482)&amp;IF($C482="","",".dec."&amp;$C482)&amp;"."&amp;X$5</f>
        <v>egy.distn.ief.pap.dec.urb.2</v>
      </c>
      <c r="Y482" s="202">
        <f t="shared" ref="Y482:AI482" si="773">-Y174*Y229*Y$271</f>
        <v>-0.003950450679622263</v>
      </c>
      <c r="Z482" s="196">
        <f t="shared" si="773"/>
        <v>-0.00538892440319659</v>
      </c>
      <c r="AA482" s="196">
        <f t="shared" si="773"/>
        <v>-0.004460495448103323</v>
      </c>
      <c r="AB482" s="196">
        <f t="shared" si="773"/>
        <v>-0.004742533593773958</v>
      </c>
      <c r="AC482" s="196">
        <f t="shared" si="773"/>
        <v>-0.00456435271530694</v>
      </c>
      <c r="AD482" s="196">
        <f t="shared" si="773"/>
        <v>-0.004211426400956021</v>
      </c>
      <c r="AE482" s="196">
        <f t="shared" si="773"/>
        <v>-0.0036043801725395685</v>
      </c>
      <c r="AF482" s="196">
        <f t="shared" si="773"/>
        <v>-0.003038499031598601</v>
      </c>
      <c r="AG482" s="196">
        <f t="shared" si="773"/>
        <v>-0.0028463934810066993</v>
      </c>
      <c r="AH482" s="196">
        <f t="shared" si="773"/>
        <v>-0.002164527783997971</v>
      </c>
      <c r="AI482" s="196">
        <f t="shared" si="773"/>
        <v>-0.001809025465248546</v>
      </c>
    </row>
    <row r="483" hidden="1" outlineLevel="1">
      <c r="A483" s="44" t="inlineStr">
        <is>
          <t>ief</t>
        </is>
      </c>
      <c r="B483" s="3" t="inlineStr">
        <is>
          <t>pha</t>
        </is>
      </c>
      <c r="C483" s="3" t="inlineStr">
        <is>
          <t>urb</t>
        </is>
      </c>
      <c r="D483" s="3" t="n"/>
      <c r="E483" s="3" t="n"/>
      <c r="H483" s="3" t="inlineStr">
        <is>
          <t>Pharmaceuticals: indirect effect, urban</t>
        </is>
      </c>
      <c r="I483" s="3" t="inlineStr">
        <is>
          <t>% consumption</t>
        </is>
      </c>
      <c r="J483" s="118" t="inlineStr">
        <is>
          <t>legacy D.II</t>
        </is>
      </c>
      <c r="K483" s="9" t="str">
        <f>LOWER(CtryCode)&amp;".distn."&amp;$A483&amp;IF($B483="","","."&amp;$B483)&amp;IF($C483="","",".dec."&amp;$C483)&amp;"."&amp;K$5</f>
        <v>egy.distn.ief.pha.dec.urb.1</v>
      </c>
      <c r="L483" s="202">
        <f t="shared" ref="L483:V483" si="774">-L175*L230*L$271</f>
        <v>-0.0</v>
      </c>
      <c r="M483" s="196">
        <f t="shared" si="774"/>
        <v>-0.0</v>
      </c>
      <c r="N483" s="196">
        <f t="shared" si="774"/>
        <v>-0.0</v>
      </c>
      <c r="O483" s="196">
        <f t="shared" si="774"/>
        <v>-0.0</v>
      </c>
      <c r="P483" s="196">
        <f t="shared" si="774"/>
        <v>-0.0</v>
      </c>
      <c r="Q483" s="196">
        <f t="shared" si="774"/>
        <v>-0.0</v>
      </c>
      <c r="R483" s="196">
        <f t="shared" si="774"/>
        <v>-0.0</v>
      </c>
      <c r="S483" s="196">
        <f t="shared" si="774"/>
        <v>-0.0</v>
      </c>
      <c r="T483" s="196">
        <f t="shared" si="774"/>
        <v>-0.0</v>
      </c>
      <c r="U483" s="196">
        <f t="shared" si="774"/>
        <v>-0.0</v>
      </c>
      <c r="V483" s="196">
        <f t="shared" si="774"/>
        <v>-0.0</v>
      </c>
      <c r="W483" s="201" t="str">
        <f>IF(X$5=K$5,SUM(Y483:AI483)-SUM(L483:V483),"")</f>
        <v/>
      </c>
      <c r="X483" s="9" t="str">
        <f>LOWER(CtryCode)&amp;".distn."&amp;$A483&amp;IF($B483="","","."&amp;$B483)&amp;IF($C483="","",".dec."&amp;$C483)&amp;"."&amp;X$5</f>
        <v>egy.distn.ief.pha.dec.urb.2</v>
      </c>
      <c r="Y483" s="202">
        <f t="shared" ref="Y483:AI483" si="775">-Y175*Y230*Y$271</f>
        <v>-0.014776855579611968</v>
      </c>
      <c r="Z483" s="196">
        <f t="shared" si="775"/>
        <v>-0.0118914742845241</v>
      </c>
      <c r="AA483" s="196">
        <f t="shared" si="775"/>
        <v>-0.011598076520974202</v>
      </c>
      <c r="AB483" s="196">
        <f t="shared" si="775"/>
        <v>-0.012107248334095653</v>
      </c>
      <c r="AC483" s="196">
        <f t="shared" si="775"/>
        <v>-0.012527267684526305</v>
      </c>
      <c r="AD483" s="196">
        <f t="shared" si="775"/>
        <v>-0.012795248611318198</v>
      </c>
      <c r="AE483" s="196">
        <f t="shared" si="775"/>
        <v>-0.013083559917177473</v>
      </c>
      <c r="AF483" s="196">
        <f t="shared" si="775"/>
        <v>-0.015740434896916542</v>
      </c>
      <c r="AG483" s="196">
        <f t="shared" si="775"/>
        <v>-0.01683036992303394</v>
      </c>
      <c r="AH483" s="196">
        <f t="shared" si="775"/>
        <v>-0.019952231809679956</v>
      </c>
      <c r="AI483" s="196">
        <f t="shared" si="775"/>
        <v>-0.022706600633579963</v>
      </c>
    </row>
    <row r="484" hidden="1" outlineLevel="1">
      <c r="A484" s="44" t="inlineStr">
        <is>
          <t>ief</t>
        </is>
      </c>
      <c r="B484" s="3" t="inlineStr">
        <is>
          <t>ret</t>
        </is>
      </c>
      <c r="C484" s="3" t="inlineStr">
        <is>
          <t>urb</t>
        </is>
      </c>
      <c r="D484" s="3" t="n"/>
      <c r="E484" s="3" t="n"/>
      <c r="H484" s="3" t="inlineStr">
        <is>
          <t>Recreation and tourism: indirect effect, urban</t>
        </is>
      </c>
      <c r="I484" s="3" t="inlineStr">
        <is>
          <t>% consumption</t>
        </is>
      </c>
      <c r="J484" s="118" t="inlineStr">
        <is>
          <t>legacy D.II</t>
        </is>
      </c>
      <c r="K484" s="9" t="str">
        <f>LOWER(CtryCode)&amp;".distn."&amp;$A484&amp;IF($B484="","","."&amp;$B484)&amp;IF($C484="","",".dec."&amp;$C484)&amp;"."&amp;K$5</f>
        <v>egy.distn.ief.ret.dec.urb.1</v>
      </c>
      <c r="L484" s="202">
        <f t="shared" ref="L484:V484" si="776">-L176*L231*L$271</f>
        <v>-0.0</v>
      </c>
      <c r="M484" s="196">
        <f t="shared" si="776"/>
        <v>-0.0</v>
      </c>
      <c r="N484" s="196">
        <f t="shared" si="776"/>
        <v>-0.0</v>
      </c>
      <c r="O484" s="196">
        <f t="shared" si="776"/>
        <v>-0.0</v>
      </c>
      <c r="P484" s="196">
        <f t="shared" si="776"/>
        <v>-0.0</v>
      </c>
      <c r="Q484" s="196">
        <f t="shared" si="776"/>
        <v>-0.0</v>
      </c>
      <c r="R484" s="196">
        <f t="shared" si="776"/>
        <v>-0.0</v>
      </c>
      <c r="S484" s="196">
        <f t="shared" si="776"/>
        <v>-0.0</v>
      </c>
      <c r="T484" s="196">
        <f t="shared" si="776"/>
        <v>-0.0</v>
      </c>
      <c r="U484" s="196">
        <f t="shared" si="776"/>
        <v>-0.0</v>
      </c>
      <c r="V484" s="196">
        <f t="shared" si="776"/>
        <v>-0.0</v>
      </c>
      <c r="W484" s="201" t="str">
        <f>IF(X$5=K$5,SUM(Y484:AI484)-SUM(L484:V484),"")</f>
        <v/>
      </c>
      <c r="X484" s="9" t="str">
        <f>LOWER(CtryCode)&amp;".distn."&amp;$A484&amp;IF($B484="","","."&amp;$B484)&amp;IF($C484="","",".dec."&amp;$C484)&amp;"."&amp;X$5</f>
        <v>egy.distn.ief.ret.dec.urb.2</v>
      </c>
      <c r="Y484" s="202">
        <f t="shared" ref="Y484:AI484" si="777">-Y176*Y231*Y$271</f>
        <v>-0.0069246516651278525</v>
      </c>
      <c r="Z484" s="196">
        <f t="shared" si="777"/>
        <v>-0.007326889797719261</v>
      </c>
      <c r="AA484" s="196">
        <f t="shared" si="777"/>
        <v>-0.006641392948538564</v>
      </c>
      <c r="AB484" s="196">
        <f t="shared" si="777"/>
        <v>-0.006948735231249249</v>
      </c>
      <c r="AC484" s="196">
        <f t="shared" si="777"/>
        <v>-0.006732267751328184</v>
      </c>
      <c r="AD484" s="196">
        <f t="shared" si="777"/>
        <v>-0.006918297744417545</v>
      </c>
      <c r="AE484" s="196">
        <f t="shared" si="777"/>
        <v>-0.00754249042485568</v>
      </c>
      <c r="AF484" s="196">
        <f t="shared" si="777"/>
        <v>-0.0071598402579611175</v>
      </c>
      <c r="AG484" s="196">
        <f t="shared" si="777"/>
        <v>-0.007115398142293517</v>
      </c>
      <c r="AH484" s="196">
        <f t="shared" si="777"/>
        <v>-0.007802477347356288</v>
      </c>
      <c r="AI484" s="196">
        <f t="shared" si="777"/>
        <v>-0.0072645221028809675</v>
      </c>
    </row>
    <row r="485" hidden="1" outlineLevel="1">
      <c r="A485" s="44" t="inlineStr">
        <is>
          <t>ief</t>
        </is>
      </c>
      <c r="B485" s="3" t="inlineStr">
        <is>
          <t>teq</t>
        </is>
      </c>
      <c r="C485" s="3" t="inlineStr">
        <is>
          <t>urb</t>
        </is>
      </c>
      <c r="D485" s="3" t="n"/>
      <c r="E485" s="3" t="n"/>
      <c r="H485" s="3" t="inlineStr">
        <is>
          <t>Transport equipment: indirect effect, urban</t>
        </is>
      </c>
      <c r="I485" s="3" t="inlineStr">
        <is>
          <t>% consumption</t>
        </is>
      </c>
      <c r="J485" s="118" t="inlineStr">
        <is>
          <t>legacy D.II</t>
        </is>
      </c>
      <c r="K485" s="9" t="str">
        <f>LOWER(CtryCode)&amp;".distn."&amp;$A485&amp;IF($B485="","","."&amp;$B485)&amp;IF($C485="","",".dec."&amp;$C485)&amp;"."&amp;K$5</f>
        <v>egy.distn.ief.teq.dec.urb.1</v>
      </c>
      <c r="L485" s="202">
        <f t="shared" ref="L485:V485" si="778">-L177*L232*L$271</f>
        <v>-0.0</v>
      </c>
      <c r="M485" s="196">
        <f t="shared" si="778"/>
        <v>-0.0</v>
      </c>
      <c r="N485" s="196">
        <f t="shared" si="778"/>
        <v>-0.0</v>
      </c>
      <c r="O485" s="196">
        <f t="shared" si="778"/>
        <v>-0.0</v>
      </c>
      <c r="P485" s="196">
        <f t="shared" si="778"/>
        <v>-0.0</v>
      </c>
      <c r="Q485" s="196">
        <f t="shared" si="778"/>
        <v>-0.0</v>
      </c>
      <c r="R485" s="196">
        <f t="shared" si="778"/>
        <v>-0.0</v>
      </c>
      <c r="S485" s="196">
        <f t="shared" si="778"/>
        <v>-0.0</v>
      </c>
      <c r="T485" s="196">
        <f t="shared" si="778"/>
        <v>-0.0</v>
      </c>
      <c r="U485" s="196">
        <f t="shared" si="778"/>
        <v>-0.0</v>
      </c>
      <c r="V485" s="196">
        <f t="shared" si="778"/>
        <v>-0.0</v>
      </c>
      <c r="W485" s="201" t="str">
        <f>IF(X$5=K$5,SUM(Y485:AI485)-SUM(L485:V485),"")</f>
        <v/>
      </c>
      <c r="X485" s="9" t="str">
        <f>LOWER(CtryCode)&amp;".distn."&amp;$A485&amp;IF($B485="","","."&amp;$B485)&amp;IF($C485="","",".dec."&amp;$C485)&amp;"."&amp;X$5</f>
        <v>egy.distn.ief.teq.dec.urb.2</v>
      </c>
      <c r="Y485" s="202">
        <f t="shared" ref="Y485:AI485" si="779">-Y177*Y232*Y$271</f>
        <v>-0.0006121078523862159</v>
      </c>
      <c r="Z485" s="196">
        <f t="shared" si="779"/>
        <v>-0.0005314248165712032</v>
      </c>
      <c r="AA485" s="196">
        <f t="shared" si="779"/>
        <v>-0.0003654433856847286</v>
      </c>
      <c r="AB485" s="196">
        <f t="shared" si="779"/>
        <v>-0.00030791418507620204</v>
      </c>
      <c r="AC485" s="196">
        <f t="shared" si="779"/>
        <v>-0.00034402487106547296</v>
      </c>
      <c r="AD485" s="196">
        <f t="shared" si="779"/>
        <v>-0.0005334068907420064</v>
      </c>
      <c r="AE485" s="196">
        <f t="shared" si="779"/>
        <v>-0.0005939765970685745</v>
      </c>
      <c r="AF485" s="196">
        <f t="shared" si="779"/>
        <v>-0.0006925570924011708</v>
      </c>
      <c r="AG485" s="196">
        <f t="shared" si="779"/>
        <v>-0.000715204697053842</v>
      </c>
      <c r="AH485" s="196">
        <f t="shared" si="779"/>
        <v>-0.0006858992159781441</v>
      </c>
      <c r="AI485" s="196">
        <f t="shared" si="779"/>
        <v>-0.001081296325801155</v>
      </c>
    </row>
    <row r="486" hidden="1" outlineLevel="1">
      <c r="A486" s="44" t="inlineStr">
        <is>
          <t>ief</t>
        </is>
      </c>
      <c r="B486" s="3" t="inlineStr">
        <is>
          <t>tpu</t>
        </is>
      </c>
      <c r="C486" s="3" t="inlineStr">
        <is>
          <t>urb</t>
        </is>
      </c>
      <c r="D486" s="3" t="n"/>
      <c r="E486" s="3" t="n"/>
      <c r="H486" s="3" t="inlineStr">
        <is>
          <t>Public transport: indirect effect, urban</t>
        </is>
      </c>
      <c r="I486" s="3" t="inlineStr">
        <is>
          <t>% consumption</t>
        </is>
      </c>
      <c r="J486" s="118" t="inlineStr">
        <is>
          <t>legacy D.II</t>
        </is>
      </c>
      <c r="K486" s="9" t="str">
        <f>LOWER(CtryCode)&amp;".distn."&amp;$A486&amp;IF($B486="","","."&amp;$B486)&amp;IF($C486="","",".dec."&amp;$C486)&amp;"."&amp;K$5</f>
        <v>egy.distn.ief.tpu.dec.urb.1</v>
      </c>
      <c r="L486" s="202">
        <f t="shared" ref="L486:V486" si="780">-L178*L233*L$271</f>
        <v>-0.0</v>
      </c>
      <c r="M486" s="196">
        <f t="shared" si="780"/>
        <v>-0.0</v>
      </c>
      <c r="N486" s="196">
        <f t="shared" si="780"/>
        <v>-0.0</v>
      </c>
      <c r="O486" s="196">
        <f t="shared" si="780"/>
        <v>-0.0</v>
      </c>
      <c r="P486" s="196">
        <f t="shared" si="780"/>
        <v>-0.0</v>
      </c>
      <c r="Q486" s="196">
        <f t="shared" si="780"/>
        <v>-0.0</v>
      </c>
      <c r="R486" s="196">
        <f t="shared" si="780"/>
        <v>-0.0</v>
      </c>
      <c r="S486" s="196">
        <f t="shared" si="780"/>
        <v>-0.0</v>
      </c>
      <c r="T486" s="196">
        <f t="shared" si="780"/>
        <v>-0.0</v>
      </c>
      <c r="U486" s="196">
        <f t="shared" si="780"/>
        <v>-0.0</v>
      </c>
      <c r="V486" s="196">
        <f t="shared" si="780"/>
        <v>-0.0</v>
      </c>
      <c r="W486" s="201" t="str">
        <f>IF(X$5=K$5,SUM(Y486:AI486)-SUM(L486:V486),"")</f>
        <v/>
      </c>
      <c r="X486" s="9" t="str">
        <f>LOWER(CtryCode)&amp;".distn."&amp;$A486&amp;IF($B486="","","."&amp;$B486)&amp;IF($C486="","",".dec."&amp;$C486)&amp;"."&amp;X$5</f>
        <v>egy.distn.ief.tpu.dec.urb.2</v>
      </c>
      <c r="Y486" s="202">
        <f t="shared" ref="Y486:AI486" si="781">-Y178*Y233*Y$271</f>
        <v>-0.027644844007029802</v>
      </c>
      <c r="Z486" s="196">
        <f t="shared" si="781"/>
        <v>-0.02819659495042584</v>
      </c>
      <c r="AA486" s="196">
        <f t="shared" si="781"/>
        <v>-0.027396623962370276</v>
      </c>
      <c r="AB486" s="196">
        <f t="shared" si="781"/>
        <v>-0.02793080161501441</v>
      </c>
      <c r="AC486" s="196">
        <f t="shared" si="781"/>
        <v>-0.02876289736737752</v>
      </c>
      <c r="AD486" s="196">
        <f t="shared" si="781"/>
        <v>-0.02952637384118764</v>
      </c>
      <c r="AE486" s="196">
        <f t="shared" si="781"/>
        <v>-0.029843778586395194</v>
      </c>
      <c r="AF486" s="196">
        <f t="shared" si="781"/>
        <v>-0.0258708498096764</v>
      </c>
      <c r="AG486" s="196">
        <f t="shared" si="781"/>
        <v>-0.028152221772886617</v>
      </c>
      <c r="AH486" s="196">
        <f t="shared" si="781"/>
        <v>-0.0252000214098653</v>
      </c>
      <c r="AI486" s="196">
        <f t="shared" si="781"/>
        <v>-0.02308939653513236</v>
      </c>
    </row>
    <row r="487" hidden="1" outlineLevel="1">
      <c r="A487" s="44" t="inlineStr">
        <is>
          <t>ief</t>
        </is>
      </c>
      <c r="B487" s="3" t="inlineStr">
        <is>
          <t>tot</t>
        </is>
      </c>
      <c r="C487" s="3" t="inlineStr">
        <is>
          <t>urb</t>
        </is>
      </c>
      <c r="D487" s="3" t="n"/>
      <c r="E487" s="3" t="n"/>
      <c r="H487" s="3" t="inlineStr">
        <is>
          <t>Indirect effect, total, urban</t>
        </is>
      </c>
      <c r="I487" s="3" t="inlineStr">
        <is>
          <t>% consumption</t>
        </is>
      </c>
      <c r="J487" s="118" t="inlineStr">
        <is>
          <t>legacy D.II</t>
        </is>
      </c>
      <c r="K487" s="9" t="str">
        <f>LOWER(CtryCode)&amp;".distn."&amp;$A487&amp;IF($B487="","","."&amp;$B487)&amp;IF($C487="","",".dec."&amp;$C487)&amp;"."&amp;K$5</f>
        <v>egy.distn.ief.tot.dec.urb.1</v>
      </c>
      <c r="L487" s="202">
        <f t="shared" ref="L487:V487" si="782">SUM(L473:L486)</f>
        <v>0.0</v>
      </c>
      <c r="M487" s="196">
        <f t="shared" si="782"/>
        <v>0.0</v>
      </c>
      <c r="N487" s="196">
        <f t="shared" si="782"/>
        <v>0.0</v>
      </c>
      <c r="O487" s="196">
        <f t="shared" si="782"/>
        <v>0.0</v>
      </c>
      <c r="P487" s="196">
        <f t="shared" si="782"/>
        <v>0.0</v>
      </c>
      <c r="Q487" s="196">
        <f t="shared" si="782"/>
        <v>0.0</v>
      </c>
      <c r="R487" s="196">
        <f t="shared" si="782"/>
        <v>0.0</v>
      </c>
      <c r="S487" s="196">
        <f t="shared" si="782"/>
        <v>0.0</v>
      </c>
      <c r="T487" s="196">
        <f t="shared" si="782"/>
        <v>0.0</v>
      </c>
      <c r="U487" s="196">
        <f t="shared" si="782"/>
        <v>0.0</v>
      </c>
      <c r="V487" s="196">
        <f t="shared" si="782"/>
        <v>0.0</v>
      </c>
      <c r="W487" s="201" t="str">
        <f>IF(X$5=K$5,SUM(Y487:AI487)-SUM(L487:V487),"")</f>
        <v/>
      </c>
      <c r="X487" s="9" t="str">
        <f>LOWER(CtryCode)&amp;".distn."&amp;$A487&amp;IF($B487="","","."&amp;$B487)&amp;IF($C487="","",".dec."&amp;$C487)&amp;"."&amp;X$5</f>
        <v>egy.distn.ief.tot.dec.urb.2</v>
      </c>
      <c r="Y487" s="202">
        <f t="shared" ref="Y487:AI487" si="783">SUM(Y473:Y486)</f>
        <v>-0.16098611770556204</v>
      </c>
      <c r="Z487" s="196">
        <f t="shared" si="783"/>
        <v>-0.15988320300506587</v>
      </c>
      <c r="AA487" s="196">
        <f t="shared" si="783"/>
        <v>-0.1636958335338608</v>
      </c>
      <c r="AB487" s="196">
        <f t="shared" si="783"/>
        <v>-0.168055843198834</v>
      </c>
      <c r="AC487" s="196">
        <f t="shared" si="783"/>
        <v>-0.16452008314870695</v>
      </c>
      <c r="AD487" s="196">
        <f t="shared" si="783"/>
        <v>-0.16156857987743695</v>
      </c>
      <c r="AE487" s="196">
        <f t="shared" si="783"/>
        <v>-0.16244119307280494</v>
      </c>
      <c r="AF487" s="196">
        <f t="shared" si="783"/>
        <v>-0.16413739492245655</v>
      </c>
      <c r="AG487" s="196">
        <f t="shared" si="783"/>
        <v>-0.16217790923458406</v>
      </c>
      <c r="AH487" s="196">
        <f t="shared" si="783"/>
        <v>-0.16168160747712013</v>
      </c>
      <c r="AI487" s="196">
        <f t="shared" si="783"/>
        <v>-0.1569658543247825</v>
      </c>
    </row>
    <row r="488" hidden="1" outlineLevel="1"/>
    <row r="489" hidden="1" outlineLevel="1">
      <c r="B489" s="31" t="inlineStr">
        <is>
          <t>Direct and indirect effects by item, rural (legacy rows 2919-2943, 2988-3012)</t>
        </is>
      </c>
    </row>
    <row r="490" hidden="1" outlineLevel="1">
      <c r="A490" s="44" t="inlineStr">
        <is>
          <t>def</t>
        </is>
      </c>
      <c r="B490" s="3" t="inlineStr">
        <is>
          <t>coa</t>
        </is>
      </c>
      <c r="C490" s="3" t="inlineStr">
        <is>
          <t>rur</t>
        </is>
      </c>
      <c r="D490" s="3" t="n"/>
      <c r="E490" s="3" t="n"/>
      <c r="H490" s="3" t="inlineStr">
        <is>
          <t>Coal: direct effect, rural</t>
        </is>
      </c>
      <c r="I490" s="3" t="inlineStr">
        <is>
          <t>% consumption</t>
        </is>
      </c>
      <c r="J490" s="118" t="inlineStr">
        <is>
          <t>legacy D.II</t>
        </is>
      </c>
      <c r="K490" s="9" t="str">
        <f>LOWER(CtryCode)&amp;".distn."&amp;$A490&amp;IF($B490="","","."&amp;$B490)&amp;IF($C490="","",".dec."&amp;$C490)&amp;"."&amp;K$5</f>
        <v>egy.distn.def.coa.dec.rur.1</v>
      </c>
      <c r="L490" s="202">
        <f t="shared" ref="L490:V490" si="784">-L157*L236*L$271</f>
        <v>-0.0</v>
      </c>
      <c r="M490" s="196">
        <f t="shared" si="784"/>
        <v>-0.0</v>
      </c>
      <c r="N490" s="196">
        <f t="shared" si="784"/>
        <v>-0.0</v>
      </c>
      <c r="O490" s="196">
        <f t="shared" si="784"/>
        <v>-0.0</v>
      </c>
      <c r="P490" s="196">
        <f t="shared" si="784"/>
        <v>-0.0</v>
      </c>
      <c r="Q490" s="196">
        <f t="shared" si="784"/>
        <v>-0.0</v>
      </c>
      <c r="R490" s="196">
        <f t="shared" si="784"/>
        <v>-0.0</v>
      </c>
      <c r="S490" s="196">
        <f t="shared" si="784"/>
        <v>-0.0</v>
      </c>
      <c r="T490" s="196">
        <f t="shared" si="784"/>
        <v>-0.0</v>
      </c>
      <c r="U490" s="196">
        <f t="shared" si="784"/>
        <v>-0.0</v>
      </c>
      <c r="V490" s="196">
        <f t="shared" si="784"/>
        <v>-0.0</v>
      </c>
      <c r="W490" s="201" t="str">
        <f>IF(X$5=K$5,SUM(Y490:AI490)-SUM(L490:V490),"")</f>
        <v/>
      </c>
      <c r="X490" s="9" t="str">
        <f>LOWER(CtryCode)&amp;".distn."&amp;$A490&amp;IF($B490="","","."&amp;$B490)&amp;IF($C490="","",".dec."&amp;$C490)&amp;"."&amp;X$5</f>
        <v>egy.distn.def.coa.dec.rur.2</v>
      </c>
      <c r="Y490" s="202">
        <f t="shared" ref="Y490:AI490" si="785">-Y157*Y236*Y$271</f>
        <v>-0.0</v>
      </c>
      <c r="Z490" s="196">
        <f t="shared" si="785"/>
        <v>-0.0</v>
      </c>
      <c r="AA490" s="196">
        <f t="shared" si="785"/>
        <v>-0.0</v>
      </c>
      <c r="AB490" s="196">
        <f t="shared" si="785"/>
        <v>-0.0</v>
      </c>
      <c r="AC490" s="196">
        <f t="shared" si="785"/>
        <v>-0.0</v>
      </c>
      <c r="AD490" s="196">
        <f t="shared" si="785"/>
        <v>-0.0</v>
      </c>
      <c r="AE490" s="196">
        <f t="shared" si="785"/>
        <v>-0.0</v>
      </c>
      <c r="AF490" s="196">
        <f t="shared" si="785"/>
        <v>-0.0</v>
      </c>
      <c r="AG490" s="196">
        <f t="shared" si="785"/>
        <v>-0.0</v>
      </c>
      <c r="AH490" s="196">
        <f t="shared" si="785"/>
        <v>-0.0</v>
      </c>
      <c r="AI490" s="196">
        <f t="shared" si="785"/>
        <v>-0.0</v>
      </c>
    </row>
    <row r="491" hidden="1" outlineLevel="1">
      <c r="A491" s="44" t="inlineStr">
        <is>
          <t>def</t>
        </is>
      </c>
      <c r="B491" s="3" t="inlineStr">
        <is>
          <t>ely</t>
        </is>
      </c>
      <c r="C491" s="3" t="inlineStr">
        <is>
          <t>rur</t>
        </is>
      </c>
      <c r="D491" s="3" t="n"/>
      <c r="E491" s="3" t="n"/>
      <c r="H491" s="3" t="inlineStr">
        <is>
          <t>Electricity: direct effect, rural</t>
        </is>
      </c>
      <c r="I491" s="3" t="inlineStr">
        <is>
          <t>% consumption</t>
        </is>
      </c>
      <c r="J491" s="118" t="inlineStr">
        <is>
          <t>legacy D.II</t>
        </is>
      </c>
      <c r="K491" s="9" t="str">
        <f>LOWER(CtryCode)&amp;".distn."&amp;$A491&amp;IF($B491="","","."&amp;$B491)&amp;IF($C491="","",".dec."&amp;$C491)&amp;"."&amp;K$5</f>
        <v>egy.distn.def.ely.dec.rur.1</v>
      </c>
      <c r="L491" s="202">
        <f t="shared" ref="L491:V491" si="786">-L158*L237*L$271</f>
        <v>-0.0</v>
      </c>
      <c r="M491" s="196">
        <f t="shared" si="786"/>
        <v>-0.0</v>
      </c>
      <c r="N491" s="196">
        <f t="shared" si="786"/>
        <v>-0.0</v>
      </c>
      <c r="O491" s="196">
        <f t="shared" si="786"/>
        <v>-0.0</v>
      </c>
      <c r="P491" s="196">
        <f t="shared" si="786"/>
        <v>-0.0</v>
      </c>
      <c r="Q491" s="196">
        <f t="shared" si="786"/>
        <v>-0.0</v>
      </c>
      <c r="R491" s="196">
        <f t="shared" si="786"/>
        <v>-0.0</v>
      </c>
      <c r="S491" s="196">
        <f t="shared" si="786"/>
        <v>-0.0</v>
      </c>
      <c r="T491" s="196">
        <f t="shared" si="786"/>
        <v>-0.0</v>
      </c>
      <c r="U491" s="196">
        <f t="shared" si="786"/>
        <v>-0.0</v>
      </c>
      <c r="V491" s="196">
        <f t="shared" si="786"/>
        <v>-0.0</v>
      </c>
      <c r="W491" s="201" t="str">
        <f>IF(X$5=K$5,SUM(Y491:AI491)-SUM(L491:V491),"")</f>
        <v/>
      </c>
      <c r="X491" s="9" t="str">
        <f>LOWER(CtryCode)&amp;".distn."&amp;$A491&amp;IF($B491="","","."&amp;$B491)&amp;IF($C491="","",".dec."&amp;$C491)&amp;"."&amp;X$5</f>
        <v>egy.distn.def.ely.dec.rur.2</v>
      </c>
      <c r="Y491" s="202">
        <f t="shared" ref="Y491:AI491" si="787">-Y158*Y237*Y$271</f>
        <v>-0.6010716674507047</v>
      </c>
      <c r="Z491" s="196">
        <f t="shared" si="787"/>
        <v>-0.6239490222618663</v>
      </c>
      <c r="AA491" s="196">
        <f t="shared" si="787"/>
        <v>-0.5795059269543285</v>
      </c>
      <c r="AB491" s="196">
        <f t="shared" si="787"/>
        <v>-0.5157896974054588</v>
      </c>
      <c r="AC491" s="196">
        <f t="shared" si="787"/>
        <v>-0.536611950512471</v>
      </c>
      <c r="AD491" s="196">
        <f t="shared" si="787"/>
        <v>-0.5271007714201554</v>
      </c>
      <c r="AE491" s="196">
        <f t="shared" si="787"/>
        <v>-0.5675736080799793</v>
      </c>
      <c r="AF491" s="196">
        <f t="shared" si="787"/>
        <v>-0.5122997855141509</v>
      </c>
      <c r="AG491" s="196">
        <f t="shared" si="787"/>
        <v>-0.5397812894207331</v>
      </c>
      <c r="AH491" s="196">
        <f t="shared" si="787"/>
        <v>-0.5508009083205319</v>
      </c>
      <c r="AI491" s="196">
        <f t="shared" si="787"/>
        <v>-0.6377998576822569</v>
      </c>
    </row>
    <row r="492" hidden="1" outlineLevel="1">
      <c r="A492" s="44" t="inlineStr">
        <is>
          <t>def</t>
        </is>
      </c>
      <c r="B492" s="3" t="inlineStr">
        <is>
          <t>nga</t>
        </is>
      </c>
      <c r="C492" s="3" t="inlineStr">
        <is>
          <t>rur</t>
        </is>
      </c>
      <c r="D492" s="3" t="n"/>
      <c r="E492" s="3" t="n"/>
      <c r="H492" s="3" t="inlineStr">
        <is>
          <t>Natural gas: direct effect, rural</t>
        </is>
      </c>
      <c r="I492" s="3" t="inlineStr">
        <is>
          <t>% consumption</t>
        </is>
      </c>
      <c r="J492" s="118" t="inlineStr">
        <is>
          <t>legacy D.II</t>
        </is>
      </c>
      <c r="K492" s="9" t="str">
        <f>LOWER(CtryCode)&amp;".distn."&amp;$A492&amp;IF($B492="","","."&amp;$B492)&amp;IF($C492="","",".dec."&amp;$C492)&amp;"."&amp;K$5</f>
        <v>egy.distn.def.nga.dec.rur.1</v>
      </c>
      <c r="L492" s="202">
        <f t="shared" ref="L492:V492" si="788">-L159*L238*L$271</f>
        <v>-0.0</v>
      </c>
      <c r="M492" s="196">
        <f t="shared" si="788"/>
        <v>-0.0</v>
      </c>
      <c r="N492" s="196">
        <f t="shared" si="788"/>
        <v>-0.0</v>
      </c>
      <c r="O492" s="196">
        <f t="shared" si="788"/>
        <v>-0.0</v>
      </c>
      <c r="P492" s="196">
        <f t="shared" si="788"/>
        <v>-0.0</v>
      </c>
      <c r="Q492" s="196">
        <f t="shared" si="788"/>
        <v>-0.0</v>
      </c>
      <c r="R492" s="196">
        <f t="shared" si="788"/>
        <v>-0.0</v>
      </c>
      <c r="S492" s="196">
        <f t="shared" si="788"/>
        <v>-0.0</v>
      </c>
      <c r="T492" s="196">
        <f t="shared" si="788"/>
        <v>-0.0</v>
      </c>
      <c r="U492" s="196">
        <f t="shared" si="788"/>
        <v>-0.0</v>
      </c>
      <c r="V492" s="196">
        <f t="shared" si="788"/>
        <v>-0.0</v>
      </c>
      <c r="W492" s="201" t="str">
        <f>IF(X$5=K$5,SUM(Y492:AI492)-SUM(L492:V492),"")</f>
        <v/>
      </c>
      <c r="X492" s="9" t="str">
        <f>LOWER(CtryCode)&amp;".distn."&amp;$A492&amp;IF($B492="","","."&amp;$B492)&amp;IF($C492="","",".dec."&amp;$C492)&amp;"."&amp;X$5</f>
        <v>egy.distn.def.nga.dec.rur.2</v>
      </c>
      <c r="Y492" s="202">
        <f t="shared" ref="Y492:AI492" si="789">-Y159*Y238*Y$271</f>
        <v>-0.02561443266444813</v>
      </c>
      <c r="Z492" s="196">
        <f t="shared" si="789"/>
        <v>-0.02089435139408915</v>
      </c>
      <c r="AA492" s="196">
        <f t="shared" si="789"/>
        <v>-0.02799141155037543</v>
      </c>
      <c r="AB492" s="196">
        <f t="shared" si="789"/>
        <v>-0.029817894444110617</v>
      </c>
      <c r="AC492" s="196">
        <f t="shared" si="789"/>
        <v>-0.026017345717437437</v>
      </c>
      <c r="AD492" s="196">
        <f t="shared" si="789"/>
        <v>-0.0285482608597257</v>
      </c>
      <c r="AE492" s="196">
        <f t="shared" si="789"/>
        <v>-0.029053314057176427</v>
      </c>
      <c r="AF492" s="196">
        <f t="shared" si="789"/>
        <v>-0.030891339149543867</v>
      </c>
      <c r="AG492" s="196">
        <f t="shared" si="789"/>
        <v>-0.034293506069434994</v>
      </c>
      <c r="AH492" s="196">
        <f t="shared" si="789"/>
        <v>-0.025485577225396787</v>
      </c>
      <c r="AI492" s="196">
        <f t="shared" si="789"/>
        <v>-0.025752464566048787</v>
      </c>
    </row>
    <row r="493" hidden="1" outlineLevel="1">
      <c r="A493" s="44" t="inlineStr">
        <is>
          <t>def</t>
        </is>
      </c>
      <c r="B493" s="3" t="inlineStr">
        <is>
          <t>oil</t>
        </is>
      </c>
      <c r="C493" s="3" t="inlineStr">
        <is>
          <t>rur</t>
        </is>
      </c>
      <c r="D493" s="3" t="n"/>
      <c r="E493" s="3" t="n"/>
      <c r="H493" s="3" t="inlineStr">
        <is>
          <t>Other oil products: direct effect, rural</t>
        </is>
      </c>
      <c r="I493" s="3" t="inlineStr">
        <is>
          <t>% consumption</t>
        </is>
      </c>
      <c r="J493" s="118" t="inlineStr">
        <is>
          <t>legacy D.II</t>
        </is>
      </c>
      <c r="K493" s="9" t="str">
        <f>LOWER(CtryCode)&amp;".distn."&amp;$A493&amp;IF($B493="","","."&amp;$B493)&amp;IF($C493="","",".dec."&amp;$C493)&amp;"."&amp;K$5</f>
        <v>egy.distn.def.oil.dec.rur.1</v>
      </c>
      <c r="L493" s="202">
        <f t="shared" ref="L493:V493" si="790">-L160*L239*L$271</f>
        <v>-0.0</v>
      </c>
      <c r="M493" s="196">
        <f t="shared" si="790"/>
        <v>-0.0</v>
      </c>
      <c r="N493" s="196">
        <f t="shared" si="790"/>
        <v>-0.0</v>
      </c>
      <c r="O493" s="196">
        <f t="shared" si="790"/>
        <v>-0.0</v>
      </c>
      <c r="P493" s="196">
        <f t="shared" si="790"/>
        <v>-0.0</v>
      </c>
      <c r="Q493" s="196">
        <f t="shared" si="790"/>
        <v>-0.0</v>
      </c>
      <c r="R493" s="196">
        <f t="shared" si="790"/>
        <v>-0.0</v>
      </c>
      <c r="S493" s="196">
        <f t="shared" si="790"/>
        <v>-0.0</v>
      </c>
      <c r="T493" s="196">
        <f t="shared" si="790"/>
        <v>-0.0</v>
      </c>
      <c r="U493" s="196">
        <f t="shared" si="790"/>
        <v>-0.0</v>
      </c>
      <c r="V493" s="196">
        <f t="shared" si="790"/>
        <v>-0.0</v>
      </c>
      <c r="W493" s="201" t="str">
        <f>IF(X$5=K$5,SUM(Y493:AI493)-SUM(L493:V493),"")</f>
        <v/>
      </c>
      <c r="X493" s="9" t="str">
        <f>LOWER(CtryCode)&amp;".distn."&amp;$A493&amp;IF($B493="","","."&amp;$B493)&amp;IF($C493="","",".dec."&amp;$C493)&amp;"."&amp;X$5</f>
        <v>egy.distn.def.oil.dec.rur.2</v>
      </c>
      <c r="Y493" s="202">
        <f t="shared" ref="Y493:AI493" si="791">-Y160*Y239*Y$271</f>
        <v>-0.03587130213586984</v>
      </c>
      <c r="Z493" s="196">
        <f t="shared" si="791"/>
        <v>-0.027240734501516813</v>
      </c>
      <c r="AA493" s="196">
        <f t="shared" si="791"/>
        <v>-0.02985815410848272</v>
      </c>
      <c r="AB493" s="196">
        <f t="shared" si="791"/>
        <v>-0.03483633066335876</v>
      </c>
      <c r="AC493" s="196">
        <f t="shared" si="791"/>
        <v>-0.0428836246887439</v>
      </c>
      <c r="AD493" s="196">
        <f t="shared" si="791"/>
        <v>-0.032624939983995765</v>
      </c>
      <c r="AE493" s="196">
        <f t="shared" si="791"/>
        <v>-0.04138270579343709</v>
      </c>
      <c r="AF493" s="196">
        <f t="shared" si="791"/>
        <v>-0.03973098726298508</v>
      </c>
      <c r="AG493" s="196">
        <f t="shared" si="791"/>
        <v>-0.04323734811532377</v>
      </c>
      <c r="AH493" s="196">
        <f t="shared" si="791"/>
        <v>-0.04460105126388004</v>
      </c>
      <c r="AI493" s="196">
        <f t="shared" si="791"/>
        <v>-0.03742071955458716</v>
      </c>
    </row>
    <row r="494" hidden="1" outlineLevel="1">
      <c r="A494" s="44" t="inlineStr">
        <is>
          <t>def</t>
        </is>
      </c>
      <c r="B494" s="3" t="inlineStr">
        <is>
          <t>gso</t>
        </is>
      </c>
      <c r="C494" s="3" t="inlineStr">
        <is>
          <t>rur</t>
        </is>
      </c>
      <c r="D494" s="3" t="n"/>
      <c r="E494" s="3" t="n"/>
      <c r="H494" s="3" t="inlineStr">
        <is>
          <t>Gasoline: direct effect, rural</t>
        </is>
      </c>
      <c r="I494" s="3" t="inlineStr">
        <is>
          <t>% consumption</t>
        </is>
      </c>
      <c r="J494" s="118" t="inlineStr">
        <is>
          <t>legacy D.II</t>
        </is>
      </c>
      <c r="K494" s="9" t="str">
        <f>LOWER(CtryCode)&amp;".distn."&amp;$A494&amp;IF($B494="","","."&amp;$B494)&amp;IF($C494="","",".dec."&amp;$C494)&amp;"."&amp;K$5</f>
        <v>egy.distn.def.gso.dec.rur.1</v>
      </c>
      <c r="L494" s="202">
        <f t="shared" ref="L494:V494" si="792">-L161*L240*L$271</f>
        <v>-0.0</v>
      </c>
      <c r="M494" s="196">
        <f t="shared" si="792"/>
        <v>-0.0</v>
      </c>
      <c r="N494" s="196">
        <f t="shared" si="792"/>
        <v>-0.0</v>
      </c>
      <c r="O494" s="196">
        <f t="shared" si="792"/>
        <v>-0.0</v>
      </c>
      <c r="P494" s="196">
        <f t="shared" si="792"/>
        <v>-0.0</v>
      </c>
      <c r="Q494" s="196">
        <f t="shared" si="792"/>
        <v>-0.0</v>
      </c>
      <c r="R494" s="196">
        <f t="shared" si="792"/>
        <v>-0.0</v>
      </c>
      <c r="S494" s="196">
        <f t="shared" si="792"/>
        <v>-0.0</v>
      </c>
      <c r="T494" s="196">
        <f t="shared" si="792"/>
        <v>-0.0</v>
      </c>
      <c r="U494" s="196">
        <f t="shared" si="792"/>
        <v>-0.0</v>
      </c>
      <c r="V494" s="196">
        <f t="shared" si="792"/>
        <v>-0.0</v>
      </c>
      <c r="W494" s="201" t="str">
        <f>IF(X$5=K$5,SUM(Y494:AI494)-SUM(L494:V494),"")</f>
        <v/>
      </c>
      <c r="X494" s="9" t="str">
        <f>LOWER(CtryCode)&amp;".distn."&amp;$A494&amp;IF($B494="","","."&amp;$B494)&amp;IF($C494="","",".dec."&amp;$C494)&amp;"."&amp;X$5</f>
        <v>egy.distn.def.gso.dec.rur.2</v>
      </c>
      <c r="Y494" s="202">
        <f t="shared" ref="Y494:AI494" si="793">-Y161*Y240*Y$271</f>
        <v>-0.06020417696770106</v>
      </c>
      <c r="Z494" s="196">
        <f t="shared" si="793"/>
        <v>-0.03837798899344771</v>
      </c>
      <c r="AA494" s="196">
        <f t="shared" si="793"/>
        <v>-0.046369301454552245</v>
      </c>
      <c r="AB494" s="196">
        <f t="shared" si="793"/>
        <v>-0.056672097474687474</v>
      </c>
      <c r="AC494" s="196">
        <f t="shared" si="793"/>
        <v>-0.06650451903920604</v>
      </c>
      <c r="AD494" s="196">
        <f t="shared" si="793"/>
        <v>-0.05539450449387657</v>
      </c>
      <c r="AE494" s="196">
        <f t="shared" si="793"/>
        <v>-0.06616139338340363</v>
      </c>
      <c r="AF494" s="196">
        <f t="shared" si="793"/>
        <v>-0.0724975125731872</v>
      </c>
      <c r="AG494" s="196">
        <f t="shared" si="793"/>
        <v>-0.08760437322910918</v>
      </c>
      <c r="AH494" s="196">
        <f t="shared" si="793"/>
        <v>-0.07609750797048988</v>
      </c>
      <c r="AI494" s="196">
        <f t="shared" si="793"/>
        <v>-0.0671877605825631</v>
      </c>
    </row>
    <row r="495" hidden="1" outlineLevel="1">
      <c r="A495" s="44" t="inlineStr">
        <is>
          <t>def</t>
        </is>
      </c>
      <c r="B495" s="3" t="inlineStr">
        <is>
          <t>die</t>
        </is>
      </c>
      <c r="C495" s="3" t="inlineStr">
        <is>
          <t>rur</t>
        </is>
      </c>
      <c r="D495" s="3" t="n"/>
      <c r="E495" s="3" t="n"/>
      <c r="H495" s="3" t="inlineStr">
        <is>
          <t>Diesel: direct effect, rural</t>
        </is>
      </c>
      <c r="I495" s="3" t="inlineStr">
        <is>
          <t>% consumption</t>
        </is>
      </c>
      <c r="J495" s="118" t="inlineStr">
        <is>
          <t>legacy D.II</t>
        </is>
      </c>
      <c r="K495" s="9" t="str">
        <f>LOWER(CtryCode)&amp;".distn."&amp;$A495&amp;IF($B495="","","."&amp;$B495)&amp;IF($C495="","",".dec."&amp;$C495)&amp;"."&amp;K$5</f>
        <v>egy.distn.def.die.dec.rur.1</v>
      </c>
      <c r="L495" s="202">
        <f t="shared" ref="L495:V495" si="794">-L162*L241*L$271</f>
        <v>-0.0</v>
      </c>
      <c r="M495" s="196">
        <f t="shared" si="794"/>
        <v>-0.0</v>
      </c>
      <c r="N495" s="196">
        <f t="shared" si="794"/>
        <v>-0.0</v>
      </c>
      <c r="O495" s="196">
        <f t="shared" si="794"/>
        <v>-0.0</v>
      </c>
      <c r="P495" s="196">
        <f t="shared" si="794"/>
        <v>-0.0</v>
      </c>
      <c r="Q495" s="196">
        <f t="shared" si="794"/>
        <v>-0.0</v>
      </c>
      <c r="R495" s="196">
        <f t="shared" si="794"/>
        <v>-0.0</v>
      </c>
      <c r="S495" s="196">
        <f t="shared" si="794"/>
        <v>-0.0</v>
      </c>
      <c r="T495" s="196">
        <f t="shared" si="794"/>
        <v>-0.0</v>
      </c>
      <c r="U495" s="196">
        <f t="shared" si="794"/>
        <v>-0.0</v>
      </c>
      <c r="V495" s="196">
        <f t="shared" si="794"/>
        <v>-0.0</v>
      </c>
      <c r="W495" s="201" t="str">
        <f>IF(X$5=K$5,SUM(Y495:AI495)-SUM(L495:V495),"")</f>
        <v/>
      </c>
      <c r="X495" s="9" t="str">
        <f>LOWER(CtryCode)&amp;".distn."&amp;$A495&amp;IF($B495="","","."&amp;$B495)&amp;IF($C495="","",".dec."&amp;$C495)&amp;"."&amp;X$5</f>
        <v>egy.distn.def.die.dec.rur.2</v>
      </c>
      <c r="Y495" s="202">
        <f t="shared" ref="Y495:AI495" si="795">-Y162*Y241*Y$271</f>
        <v>-0.0</v>
      </c>
      <c r="Z495" s="196">
        <f t="shared" si="795"/>
        <v>-0.0</v>
      </c>
      <c r="AA495" s="196">
        <f t="shared" si="795"/>
        <v>-0.0</v>
      </c>
      <c r="AB495" s="196">
        <f t="shared" si="795"/>
        <v>-0.0</v>
      </c>
      <c r="AC495" s="196">
        <f t="shared" si="795"/>
        <v>-0.0</v>
      </c>
      <c r="AD495" s="196">
        <f t="shared" si="795"/>
        <v>-0.0</v>
      </c>
      <c r="AE495" s="196">
        <f t="shared" si="795"/>
        <v>-0.0</v>
      </c>
      <c r="AF495" s="196">
        <f t="shared" si="795"/>
        <v>-0.0</v>
      </c>
      <c r="AG495" s="196">
        <f t="shared" si="795"/>
        <v>-0.0</v>
      </c>
      <c r="AH495" s="196">
        <f t="shared" si="795"/>
        <v>-0.0</v>
      </c>
      <c r="AI495" s="196">
        <f t="shared" si="795"/>
        <v>-0.0</v>
      </c>
    </row>
    <row r="496" hidden="1" outlineLevel="1">
      <c r="A496" s="44" t="inlineStr">
        <is>
          <t>def</t>
        </is>
      </c>
      <c r="B496" s="3" t="inlineStr">
        <is>
          <t>ker</t>
        </is>
      </c>
      <c r="C496" s="3" t="inlineStr">
        <is>
          <t>rur</t>
        </is>
      </c>
      <c r="D496" s="3" t="n"/>
      <c r="E496" s="3" t="n"/>
      <c r="H496" s="3" t="inlineStr">
        <is>
          <t>Kerosene: direct effect, rural</t>
        </is>
      </c>
      <c r="I496" s="3" t="inlineStr">
        <is>
          <t>% consumption</t>
        </is>
      </c>
      <c r="J496" s="118" t="inlineStr">
        <is>
          <t>legacy D.II</t>
        </is>
      </c>
      <c r="K496" s="9" t="str">
        <f>LOWER(CtryCode)&amp;".distn."&amp;$A496&amp;IF($B496="","","."&amp;$B496)&amp;IF($C496="","",".dec."&amp;$C496)&amp;"."&amp;K$5</f>
        <v>egy.distn.def.ker.dec.rur.1</v>
      </c>
      <c r="L496" s="202">
        <f t="shared" ref="L496:V496" si="796">-L163*L242*L$271</f>
        <v>-0.0</v>
      </c>
      <c r="M496" s="196">
        <f t="shared" si="796"/>
        <v>-0.0</v>
      </c>
      <c r="N496" s="196">
        <f t="shared" si="796"/>
        <v>-0.0</v>
      </c>
      <c r="O496" s="196">
        <f t="shared" si="796"/>
        <v>-0.0</v>
      </c>
      <c r="P496" s="196">
        <f t="shared" si="796"/>
        <v>-0.0</v>
      </c>
      <c r="Q496" s="196">
        <f t="shared" si="796"/>
        <v>-0.0</v>
      </c>
      <c r="R496" s="196">
        <f t="shared" si="796"/>
        <v>-0.0</v>
      </c>
      <c r="S496" s="196">
        <f t="shared" si="796"/>
        <v>-0.0</v>
      </c>
      <c r="T496" s="196">
        <f t="shared" si="796"/>
        <v>-0.0</v>
      </c>
      <c r="U496" s="196">
        <f t="shared" si="796"/>
        <v>-0.0</v>
      </c>
      <c r="V496" s="196">
        <f t="shared" si="796"/>
        <v>-0.0</v>
      </c>
      <c r="W496" s="201" t="str">
        <f>IF(X$5=K$5,SUM(Y496:AI496)-SUM(L496:V496),"")</f>
        <v/>
      </c>
      <c r="X496" s="9" t="str">
        <f>LOWER(CtryCode)&amp;".distn."&amp;$A496&amp;IF($B496="","","."&amp;$B496)&amp;IF($C496="","",".dec."&amp;$C496)&amp;"."&amp;X$5</f>
        <v>egy.distn.def.ker.dec.rur.2</v>
      </c>
      <c r="Y496" s="202">
        <f t="shared" ref="Y496:AI496" si="797">-Y163*Y242*Y$271</f>
        <v>-7.0534847703697535e-06</v>
      </c>
      <c r="Z496" s="196">
        <f t="shared" si="797"/>
        <v>-5.519990797809848e-06</v>
      </c>
      <c r="AA496" s="196">
        <f t="shared" si="797"/>
        <v>-0.0</v>
      </c>
      <c r="AB496" s="196">
        <f t="shared" si="797"/>
        <v>-3.7226991024144188e-06</v>
      </c>
      <c r="AC496" s="196">
        <f t="shared" si="797"/>
        <v>-0.0</v>
      </c>
      <c r="AD496" s="196">
        <f t="shared" si="797"/>
        <v>-1.963707822377899e-05</v>
      </c>
      <c r="AE496" s="196">
        <f t="shared" si="797"/>
        <v>-1.1308398300075695e-05</v>
      </c>
      <c r="AF496" s="196">
        <f t="shared" si="797"/>
        <v>-0.0</v>
      </c>
      <c r="AG496" s="196">
        <f t="shared" si="797"/>
        <v>-0.0</v>
      </c>
      <c r="AH496" s="196">
        <f t="shared" si="797"/>
        <v>-7.185528029535475e-06</v>
      </c>
      <c r="AI496" s="196">
        <f t="shared" si="797"/>
        <v>-2.699056573588016e-05</v>
      </c>
    </row>
    <row r="497" hidden="1" outlineLevel="1">
      <c r="A497" s="44" t="inlineStr">
        <is>
          <t>def</t>
        </is>
      </c>
      <c r="B497" s="3" t="inlineStr">
        <is>
          <t>lpg</t>
        </is>
      </c>
      <c r="C497" s="3" t="inlineStr">
        <is>
          <t>rur</t>
        </is>
      </c>
      <c r="D497" s="3" t="n"/>
      <c r="E497" s="3" t="n"/>
      <c r="H497" s="3" t="inlineStr">
        <is>
          <t>LPG: direct effect, rural</t>
        </is>
      </c>
      <c r="I497" s="3" t="inlineStr">
        <is>
          <t>% consumption</t>
        </is>
      </c>
      <c r="J497" s="118" t="inlineStr">
        <is>
          <t>legacy D.II</t>
        </is>
      </c>
      <c r="K497" s="9" t="str">
        <f>LOWER(CtryCode)&amp;".distn."&amp;$A497&amp;IF($B497="","","."&amp;$B497)&amp;IF($C497="","",".dec."&amp;$C497)&amp;"."&amp;K$5</f>
        <v>egy.distn.def.lpg.dec.rur.1</v>
      </c>
      <c r="L497" s="202">
        <f t="shared" ref="L497:V497" si="798">-L164*L243*L$271</f>
        <v>-0.0</v>
      </c>
      <c r="M497" s="196">
        <f t="shared" si="798"/>
        <v>-0.0</v>
      </c>
      <c r="N497" s="196">
        <f t="shared" si="798"/>
        <v>-0.0</v>
      </c>
      <c r="O497" s="196">
        <f t="shared" si="798"/>
        <v>-0.0</v>
      </c>
      <c r="P497" s="196">
        <f t="shared" si="798"/>
        <v>-0.0</v>
      </c>
      <c r="Q497" s="196">
        <f t="shared" si="798"/>
        <v>-0.0</v>
      </c>
      <c r="R497" s="196">
        <f t="shared" si="798"/>
        <v>-0.0</v>
      </c>
      <c r="S497" s="196">
        <f t="shared" si="798"/>
        <v>-0.0</v>
      </c>
      <c r="T497" s="196">
        <f t="shared" si="798"/>
        <v>-0.0</v>
      </c>
      <c r="U497" s="196">
        <f t="shared" si="798"/>
        <v>-0.0</v>
      </c>
      <c r="V497" s="196">
        <f t="shared" si="798"/>
        <v>-0.0</v>
      </c>
      <c r="W497" s="201" t="str">
        <f>IF(X$5=K$5,SUM(Y497:AI497)-SUM(L497:V497),"")</f>
        <v/>
      </c>
      <c r="X497" s="9" t="str">
        <f>LOWER(CtryCode)&amp;".distn."&amp;$A497&amp;IF($B497="","","."&amp;$B497)&amp;IF($C497="","",".dec."&amp;$C497)&amp;"."&amp;X$5</f>
        <v>egy.distn.def.lpg.dec.rur.2</v>
      </c>
      <c r="Y497" s="202">
        <f t="shared" ref="Y497:AI497" si="799">-Y164*Y243*Y$271</f>
        <v>-0.5899422581478382</v>
      </c>
      <c r="Z497" s="196">
        <f t="shared" si="799"/>
        <v>-0.8462420389578027</v>
      </c>
      <c r="AA497" s="196">
        <f t="shared" si="799"/>
        <v>-0.7066540190224679</v>
      </c>
      <c r="AB497" s="196">
        <f t="shared" si="799"/>
        <v>-0.6571710641019064</v>
      </c>
      <c r="AC497" s="196">
        <f t="shared" si="799"/>
        <v>-0.6583889413897069</v>
      </c>
      <c r="AD497" s="196">
        <f t="shared" si="799"/>
        <v>-0.6245187702138812</v>
      </c>
      <c r="AE497" s="196">
        <f t="shared" si="799"/>
        <v>-0.5470444111299125</v>
      </c>
      <c r="AF497" s="196">
        <f t="shared" si="799"/>
        <v>-0.5489549484572729</v>
      </c>
      <c r="AG497" s="196">
        <f t="shared" si="799"/>
        <v>-0.5684417895673598</v>
      </c>
      <c r="AH497" s="196">
        <f t="shared" si="799"/>
        <v>-0.6163329224326796</v>
      </c>
      <c r="AI497" s="196">
        <f t="shared" si="799"/>
        <v>-0.5819669842473014</v>
      </c>
    </row>
    <row r="498" hidden="1" outlineLevel="1">
      <c r="A498" s="44" t="inlineStr">
        <is>
          <t>def</t>
        </is>
      </c>
      <c r="B498" s="3" t="inlineStr">
        <is>
          <t>tot</t>
        </is>
      </c>
      <c r="C498" s="3" t="inlineStr">
        <is>
          <t>rur</t>
        </is>
      </c>
      <c r="D498" s="3" t="n"/>
      <c r="E498" s="3" t="n"/>
      <c r="H498" s="3" t="inlineStr">
        <is>
          <t>Direct effect, total, rural</t>
        </is>
      </c>
      <c r="I498" s="3" t="inlineStr">
        <is>
          <t>% consumption</t>
        </is>
      </c>
      <c r="J498" s="118" t="inlineStr">
        <is>
          <t>legacy D.II</t>
        </is>
      </c>
      <c r="K498" s="9" t="str">
        <f>LOWER(CtryCode)&amp;".distn."&amp;$A498&amp;IF($B498="","","."&amp;$B498)&amp;IF($C498="","",".dec."&amp;$C498)&amp;"."&amp;K$5</f>
        <v>egy.distn.def.tot.dec.rur.1</v>
      </c>
      <c r="L498" s="202">
        <f t="shared" ref="L498:V498" si="800">SUM(L490:L497)</f>
        <v>0.0</v>
      </c>
      <c r="M498" s="196">
        <f t="shared" si="800"/>
        <v>0.0</v>
      </c>
      <c r="N498" s="196">
        <f t="shared" si="800"/>
        <v>0.0</v>
      </c>
      <c r="O498" s="196">
        <f t="shared" si="800"/>
        <v>0.0</v>
      </c>
      <c r="P498" s="196">
        <f t="shared" si="800"/>
        <v>0.0</v>
      </c>
      <c r="Q498" s="196">
        <f t="shared" si="800"/>
        <v>0.0</v>
      </c>
      <c r="R498" s="196">
        <f t="shared" si="800"/>
        <v>0.0</v>
      </c>
      <c r="S498" s="196">
        <f t="shared" si="800"/>
        <v>0.0</v>
      </c>
      <c r="T498" s="196">
        <f t="shared" si="800"/>
        <v>0.0</v>
      </c>
      <c r="U498" s="196">
        <f t="shared" si="800"/>
        <v>0.0</v>
      </c>
      <c r="V498" s="196">
        <f t="shared" si="800"/>
        <v>0.0</v>
      </c>
      <c r="W498" s="201" t="str">
        <f>IF(X$5=K$5,SUM(Y498:AI498)-SUM(L498:V498),"")</f>
        <v/>
      </c>
      <c r="X498" s="9" t="str">
        <f>LOWER(CtryCode)&amp;".distn."&amp;$A498&amp;IF($B498="","","."&amp;$B498)&amp;IF($C498="","",".dec."&amp;$C498)&amp;"."&amp;X$5</f>
        <v>egy.distn.def.tot.dec.rur.2</v>
      </c>
      <c r="Y498" s="202">
        <f t="shared" ref="Y498:AI498" si="801">SUM(Y490:Y497)</f>
        <v>-1.3127108908513323</v>
      </c>
      <c r="Z498" s="196">
        <f t="shared" si="801"/>
        <v>-1.5567096560995206</v>
      </c>
      <c r="AA498" s="196">
        <f t="shared" si="801"/>
        <v>-1.3903788130902068</v>
      </c>
      <c r="AB498" s="196">
        <f t="shared" si="801"/>
        <v>-1.2942908067886245</v>
      </c>
      <c r="AC498" s="196">
        <f t="shared" si="801"/>
        <v>-1.3304063813475653</v>
      </c>
      <c r="AD498" s="196">
        <f t="shared" si="801"/>
        <v>-1.2682068840498584</v>
      </c>
      <c r="AE498" s="196">
        <f t="shared" si="801"/>
        <v>-1.2512267408422089</v>
      </c>
      <c r="AF498" s="196">
        <f t="shared" si="801"/>
        <v>-1.20437457295714</v>
      </c>
      <c r="AG498" s="196">
        <f t="shared" si="801"/>
        <v>-1.273358306401961</v>
      </c>
      <c r="AH498" s="196">
        <f t="shared" si="801"/>
        <v>-1.3133251527410077</v>
      </c>
      <c r="AI498" s="196">
        <f t="shared" si="801"/>
        <v>-1.3501547771984932</v>
      </c>
    </row>
    <row r="499" hidden="1" outlineLevel="1">
      <c r="A499" s="44" t="inlineStr">
        <is>
          <t>ief</t>
        </is>
      </c>
      <c r="B499" s="3" t="inlineStr">
        <is>
          <t>app</t>
        </is>
      </c>
      <c r="C499" s="3" t="inlineStr">
        <is>
          <t>rur</t>
        </is>
      </c>
      <c r="D499" s="3" t="n"/>
      <c r="E499" s="3" t="n"/>
      <c r="H499" s="3" t="inlineStr">
        <is>
          <t>Appliances: indirect effect, rural</t>
        </is>
      </c>
      <c r="I499" s="3" t="inlineStr">
        <is>
          <t>% consumption</t>
        </is>
      </c>
      <c r="J499" s="118" t="inlineStr">
        <is>
          <t>legacy D.II</t>
        </is>
      </c>
      <c r="K499" s="9" t="str">
        <f>LOWER(CtryCode)&amp;".distn."&amp;$A499&amp;IF($B499="","","."&amp;$B499)&amp;IF($C499="","",".dec."&amp;$C499)&amp;"."&amp;K$5</f>
        <v>egy.distn.ief.app.dec.rur.1</v>
      </c>
      <c r="L499" s="202">
        <f t="shared" ref="L499:V499" si="802">-L165*L244*L$271</f>
        <v>-0.0</v>
      </c>
      <c r="M499" s="196">
        <f t="shared" si="802"/>
        <v>-0.0</v>
      </c>
      <c r="N499" s="196">
        <f t="shared" si="802"/>
        <v>-0.0</v>
      </c>
      <c r="O499" s="196">
        <f t="shared" si="802"/>
        <v>-0.0</v>
      </c>
      <c r="P499" s="196">
        <f t="shared" si="802"/>
        <v>-0.0</v>
      </c>
      <c r="Q499" s="196">
        <f t="shared" si="802"/>
        <v>-0.0</v>
      </c>
      <c r="R499" s="196">
        <f t="shared" si="802"/>
        <v>-0.0</v>
      </c>
      <c r="S499" s="196">
        <f t="shared" si="802"/>
        <v>-0.0</v>
      </c>
      <c r="T499" s="196">
        <f t="shared" si="802"/>
        <v>-0.0</v>
      </c>
      <c r="U499" s="196">
        <f t="shared" si="802"/>
        <v>-0.0</v>
      </c>
      <c r="V499" s="196">
        <f t="shared" si="802"/>
        <v>-0.0</v>
      </c>
      <c r="W499" s="201" t="str">
        <f>IF(X$5=K$5,SUM(Y499:AI499)-SUM(L499:V499),"")</f>
        <v/>
      </c>
      <c r="X499" s="9" t="str">
        <f>LOWER(CtryCode)&amp;".distn."&amp;$A499&amp;IF($B499="","","."&amp;$B499)&amp;IF($C499="","",".dec."&amp;$C499)&amp;"."&amp;X$5</f>
        <v>egy.distn.ief.app.dec.rur.2</v>
      </c>
      <c r="Y499" s="202">
        <f t="shared" ref="Y499:AI499" si="803">-Y165*Y244*Y$271</f>
        <v>-0.005011907771612576</v>
      </c>
      <c r="Z499" s="196">
        <f t="shared" si="803"/>
        <v>-0.005186839346147601</v>
      </c>
      <c r="AA499" s="196">
        <f t="shared" si="803"/>
        <v>-0.0048115200647263</v>
      </c>
      <c r="AB499" s="196">
        <f t="shared" si="803"/>
        <v>-0.004920842347788823</v>
      </c>
      <c r="AC499" s="196">
        <f t="shared" si="803"/>
        <v>-0.0050082822022962815</v>
      </c>
      <c r="AD499" s="196">
        <f t="shared" si="803"/>
        <v>-0.004674627946199321</v>
      </c>
      <c r="AE499" s="196">
        <f t="shared" si="803"/>
        <v>-0.004916014294161532</v>
      </c>
      <c r="AF499" s="196">
        <f t="shared" si="803"/>
        <v>-0.005558674018017833</v>
      </c>
      <c r="AG499" s="196">
        <f t="shared" si="803"/>
        <v>-0.005108131936021708</v>
      </c>
      <c r="AH499" s="196">
        <f t="shared" si="803"/>
        <v>-0.004734885661470935</v>
      </c>
      <c r="AI499" s="196">
        <f t="shared" si="803"/>
        <v>-0.0056454863480587545</v>
      </c>
    </row>
    <row r="500" hidden="1" outlineLevel="1">
      <c r="A500" s="44" t="inlineStr">
        <is>
          <t>ief</t>
        </is>
      </c>
      <c r="B500" s="3" t="inlineStr">
        <is>
          <t>che</t>
        </is>
      </c>
      <c r="C500" s="3" t="inlineStr">
        <is>
          <t>rur</t>
        </is>
      </c>
      <c r="D500" s="3" t="n"/>
      <c r="E500" s="3" t="n"/>
      <c r="H500" s="3" t="inlineStr">
        <is>
          <t>Chemicals: indirect effect, rural</t>
        </is>
      </c>
      <c r="I500" s="3" t="inlineStr">
        <is>
          <t>% consumption</t>
        </is>
      </c>
      <c r="J500" s="118" t="inlineStr">
        <is>
          <t>legacy D.II</t>
        </is>
      </c>
      <c r="K500" s="9" t="str">
        <f>LOWER(CtryCode)&amp;".distn."&amp;$A500&amp;IF($B500="","","."&amp;$B500)&amp;IF($C500="","",".dec."&amp;$C500)&amp;"."&amp;K$5</f>
        <v>egy.distn.ief.che.dec.rur.1</v>
      </c>
      <c r="L500" s="202">
        <f t="shared" ref="L500:V500" si="804">-L166*L245*L$271</f>
        <v>-0.0</v>
      </c>
      <c r="M500" s="196">
        <f t="shared" si="804"/>
        <v>-0.0</v>
      </c>
      <c r="N500" s="196">
        <f t="shared" si="804"/>
        <v>-0.0</v>
      </c>
      <c r="O500" s="196">
        <f t="shared" si="804"/>
        <v>-0.0</v>
      </c>
      <c r="P500" s="196">
        <f t="shared" si="804"/>
        <v>-0.0</v>
      </c>
      <c r="Q500" s="196">
        <f t="shared" si="804"/>
        <v>-0.0</v>
      </c>
      <c r="R500" s="196">
        <f t="shared" si="804"/>
        <v>-0.0</v>
      </c>
      <c r="S500" s="196">
        <f t="shared" si="804"/>
        <v>-0.0</v>
      </c>
      <c r="T500" s="196">
        <f t="shared" si="804"/>
        <v>-0.0</v>
      </c>
      <c r="U500" s="196">
        <f t="shared" si="804"/>
        <v>-0.0</v>
      </c>
      <c r="V500" s="196">
        <f t="shared" si="804"/>
        <v>-0.0</v>
      </c>
      <c r="W500" s="201" t="str">
        <f>IF(X$5=K$5,SUM(Y500:AI500)-SUM(L500:V500),"")</f>
        <v/>
      </c>
      <c r="X500" s="9" t="str">
        <f>LOWER(CtryCode)&amp;".distn."&amp;$A500&amp;IF($B500="","","."&amp;$B500)&amp;IF($C500="","",".dec."&amp;$C500)&amp;"."&amp;X$5</f>
        <v>egy.distn.ief.che.dec.rur.2</v>
      </c>
      <c r="Y500" s="202">
        <f t="shared" ref="Y500:AI500" si="805">-Y166*Y245*Y$271</f>
        <v>-0.021537691384048138</v>
      </c>
      <c r="Z500" s="196">
        <f t="shared" si="805"/>
        <v>-0.026369522294096236</v>
      </c>
      <c r="AA500" s="196">
        <f t="shared" si="805"/>
        <v>-0.02220217666310805</v>
      </c>
      <c r="AB500" s="196">
        <f t="shared" si="805"/>
        <v>-0.022376501999435746</v>
      </c>
      <c r="AC500" s="196">
        <f t="shared" si="805"/>
        <v>-0.01933513412651788</v>
      </c>
      <c r="AD500" s="196">
        <f t="shared" si="805"/>
        <v>-0.020870064613689652</v>
      </c>
      <c r="AE500" s="196">
        <f t="shared" si="805"/>
        <v>-0.021312290954053428</v>
      </c>
      <c r="AF500" s="196">
        <f t="shared" si="805"/>
        <v>-0.022989048192010156</v>
      </c>
      <c r="AG500" s="196">
        <f t="shared" si="805"/>
        <v>-0.020534226626179167</v>
      </c>
      <c r="AH500" s="196">
        <f t="shared" si="805"/>
        <v>-0.021749457332652787</v>
      </c>
      <c r="AI500" s="196">
        <f t="shared" si="805"/>
        <v>-0.02047935539251659</v>
      </c>
    </row>
    <row r="501" hidden="1" outlineLevel="1">
      <c r="A501" s="44" t="inlineStr">
        <is>
          <t>ief</t>
        </is>
      </c>
      <c r="B501" s="3" t="inlineStr">
        <is>
          <t>clo</t>
        </is>
      </c>
      <c r="C501" s="3" t="inlineStr">
        <is>
          <t>rur</t>
        </is>
      </c>
      <c r="D501" s="3" t="n"/>
      <c r="E501" s="3" t="n"/>
      <c r="H501" s="3" t="inlineStr">
        <is>
          <t>Clothing: indirect effect, rural</t>
        </is>
      </c>
      <c r="I501" s="3" t="inlineStr">
        <is>
          <t>% consumption</t>
        </is>
      </c>
      <c r="J501" s="118" t="inlineStr">
        <is>
          <t>legacy D.II</t>
        </is>
      </c>
      <c r="K501" s="9" t="str">
        <f>LOWER(CtryCode)&amp;".distn."&amp;$A501&amp;IF($B501="","","."&amp;$B501)&amp;IF($C501="","",".dec."&amp;$C501)&amp;"."&amp;K$5</f>
        <v>egy.distn.ief.clo.dec.rur.1</v>
      </c>
      <c r="L501" s="202">
        <f t="shared" ref="L501:V501" si="806">-L167*L246*L$271</f>
        <v>-0.0</v>
      </c>
      <c r="M501" s="196">
        <f t="shared" si="806"/>
        <v>-0.0</v>
      </c>
      <c r="N501" s="196">
        <f t="shared" si="806"/>
        <v>-0.0</v>
      </c>
      <c r="O501" s="196">
        <f t="shared" si="806"/>
        <v>-0.0</v>
      </c>
      <c r="P501" s="196">
        <f t="shared" si="806"/>
        <v>-0.0</v>
      </c>
      <c r="Q501" s="196">
        <f t="shared" si="806"/>
        <v>-0.0</v>
      </c>
      <c r="R501" s="196">
        <f t="shared" si="806"/>
        <v>-0.0</v>
      </c>
      <c r="S501" s="196">
        <f t="shared" si="806"/>
        <v>-0.0</v>
      </c>
      <c r="T501" s="196">
        <f t="shared" si="806"/>
        <v>-0.0</v>
      </c>
      <c r="U501" s="196">
        <f t="shared" si="806"/>
        <v>-0.0</v>
      </c>
      <c r="V501" s="196">
        <f t="shared" si="806"/>
        <v>-0.0</v>
      </c>
      <c r="W501" s="201" t="str">
        <f>IF(X$5=K$5,SUM(Y501:AI501)-SUM(L501:V501),"")</f>
        <v/>
      </c>
      <c r="X501" s="9" t="str">
        <f>LOWER(CtryCode)&amp;".distn."&amp;$A501&amp;IF($B501="","","."&amp;$B501)&amp;IF($C501="","",".dec."&amp;$C501)&amp;"."&amp;X$5</f>
        <v>egy.distn.ief.clo.dec.rur.2</v>
      </c>
      <c r="Y501" s="202">
        <f t="shared" ref="Y501:AI501" si="807">-Y167*Y246*Y$271</f>
        <v>-0.006866228310228633</v>
      </c>
      <c r="Z501" s="196">
        <f t="shared" si="807"/>
        <v>-0.006361377862913885</v>
      </c>
      <c r="AA501" s="196">
        <f t="shared" si="807"/>
        <v>-0.00648170214103323</v>
      </c>
      <c r="AB501" s="196">
        <f t="shared" si="807"/>
        <v>-0.006837477741656825</v>
      </c>
      <c r="AC501" s="196">
        <f t="shared" si="807"/>
        <v>-0.007305285372010071</v>
      </c>
      <c r="AD501" s="196">
        <f t="shared" si="807"/>
        <v>-0.007367303342464379</v>
      </c>
      <c r="AE501" s="196">
        <f t="shared" si="807"/>
        <v>-0.007608957121179678</v>
      </c>
      <c r="AF501" s="196">
        <f t="shared" si="807"/>
        <v>-0.007491985022651351</v>
      </c>
      <c r="AG501" s="196">
        <f t="shared" si="807"/>
        <v>-0.006161357663489787</v>
      </c>
      <c r="AH501" s="196">
        <f t="shared" si="807"/>
        <v>-0.00615208793339331</v>
      </c>
      <c r="AI501" s="196">
        <f t="shared" si="807"/>
        <v>-0.004665557714841976</v>
      </c>
    </row>
    <row r="502" hidden="1" outlineLevel="1">
      <c r="A502" s="44" t="inlineStr">
        <is>
          <t>ief</t>
        </is>
      </c>
      <c r="B502" s="3" t="inlineStr">
        <is>
          <t>com</t>
        </is>
      </c>
      <c r="C502" s="3" t="inlineStr">
        <is>
          <t>rur</t>
        </is>
      </c>
      <c r="D502" s="3" t="n"/>
      <c r="E502" s="3" t="n"/>
      <c r="H502" s="3" t="inlineStr">
        <is>
          <t>Communications: indirect effect, rural</t>
        </is>
      </c>
      <c r="I502" s="3" t="inlineStr">
        <is>
          <t>% consumption</t>
        </is>
      </c>
      <c r="J502" s="118" t="inlineStr">
        <is>
          <t>legacy D.II</t>
        </is>
      </c>
      <c r="K502" s="9" t="str">
        <f>LOWER(CtryCode)&amp;".distn."&amp;$A502&amp;IF($B502="","","."&amp;$B502)&amp;IF($C502="","",".dec."&amp;$C502)&amp;"."&amp;K$5</f>
        <v>egy.distn.ief.com.dec.rur.1</v>
      </c>
      <c r="L502" s="202">
        <f t="shared" ref="L502:V502" si="808">-L168*L247*L$271</f>
        <v>-0.0</v>
      </c>
      <c r="M502" s="196">
        <f t="shared" si="808"/>
        <v>-0.0</v>
      </c>
      <c r="N502" s="196">
        <f t="shared" si="808"/>
        <v>-0.0</v>
      </c>
      <c r="O502" s="196">
        <f t="shared" si="808"/>
        <v>-0.0</v>
      </c>
      <c r="P502" s="196">
        <f t="shared" si="808"/>
        <v>-0.0</v>
      </c>
      <c r="Q502" s="196">
        <f t="shared" si="808"/>
        <v>-0.0</v>
      </c>
      <c r="R502" s="196">
        <f t="shared" si="808"/>
        <v>-0.0</v>
      </c>
      <c r="S502" s="196">
        <f t="shared" si="808"/>
        <v>-0.0</v>
      </c>
      <c r="T502" s="196">
        <f t="shared" si="808"/>
        <v>-0.0</v>
      </c>
      <c r="U502" s="196">
        <f t="shared" si="808"/>
        <v>-0.0</v>
      </c>
      <c r="V502" s="196">
        <f t="shared" si="808"/>
        <v>-0.0</v>
      </c>
      <c r="W502" s="201" t="str">
        <f>IF(X$5=K$5,SUM(Y502:AI502)-SUM(L502:V502),"")</f>
        <v/>
      </c>
      <c r="X502" s="9" t="str">
        <f>LOWER(CtryCode)&amp;".distn."&amp;$A502&amp;IF($B502="","","."&amp;$B502)&amp;IF($C502="","",".dec."&amp;$C502)&amp;"."&amp;X$5</f>
        <v>egy.distn.ief.com.dec.rur.2</v>
      </c>
      <c r="Y502" s="202">
        <f t="shared" ref="Y502:AI502" si="809">-Y168*Y247*Y$271</f>
        <v>-0.0010219800944622436</v>
      </c>
      <c r="Z502" s="196">
        <f t="shared" si="809"/>
        <v>-0.0008807810952409892</v>
      </c>
      <c r="AA502" s="196">
        <f t="shared" si="809"/>
        <v>-0.0007995291860927793</v>
      </c>
      <c r="AB502" s="196">
        <f t="shared" si="809"/>
        <v>-0.001016909186459131</v>
      </c>
      <c r="AC502" s="196">
        <f t="shared" si="809"/>
        <v>-0.0009663476676116591</v>
      </c>
      <c r="AD502" s="196">
        <f t="shared" si="809"/>
        <v>-0.0009736464241915185</v>
      </c>
      <c r="AE502" s="196">
        <f t="shared" si="809"/>
        <v>-0.0009876705708118975</v>
      </c>
      <c r="AF502" s="196">
        <f t="shared" si="809"/>
        <v>-0.0010053720491014786</v>
      </c>
      <c r="AG502" s="196">
        <f t="shared" si="809"/>
        <v>-0.0010036485263017275</v>
      </c>
      <c r="AH502" s="196">
        <f t="shared" si="809"/>
        <v>-0.0009301600055066482</v>
      </c>
      <c r="AI502" s="196">
        <f t="shared" si="809"/>
        <v>-0.00091986151202984</v>
      </c>
    </row>
    <row r="503" hidden="1" outlineLevel="1">
      <c r="A503" s="44" t="inlineStr">
        <is>
          <t>ief</t>
        </is>
      </c>
      <c r="B503" s="3" t="inlineStr">
        <is>
          <t>edu</t>
        </is>
      </c>
      <c r="C503" s="3" t="inlineStr">
        <is>
          <t>rur</t>
        </is>
      </c>
      <c r="D503" s="3" t="n"/>
      <c r="E503" s="3" t="n"/>
      <c r="H503" s="3" t="inlineStr">
        <is>
          <t>Education: indirect effect, rural</t>
        </is>
      </c>
      <c r="I503" s="3" t="inlineStr">
        <is>
          <t>% consumption</t>
        </is>
      </c>
      <c r="J503" s="118" t="inlineStr">
        <is>
          <t>legacy D.II</t>
        </is>
      </c>
      <c r="K503" s="9" t="str">
        <f>LOWER(CtryCode)&amp;".distn."&amp;$A503&amp;IF($B503="","","."&amp;$B503)&amp;IF($C503="","",".dec."&amp;$C503)&amp;"."&amp;K$5</f>
        <v>egy.distn.ief.edu.dec.rur.1</v>
      </c>
      <c r="L503" s="202">
        <f t="shared" ref="L503:V503" si="810">-L169*L248*L$271</f>
        <v>-0.0</v>
      </c>
      <c r="M503" s="196">
        <f t="shared" si="810"/>
        <v>-0.0</v>
      </c>
      <c r="N503" s="196">
        <f t="shared" si="810"/>
        <v>-0.0</v>
      </c>
      <c r="O503" s="196">
        <f t="shared" si="810"/>
        <v>-0.0</v>
      </c>
      <c r="P503" s="196">
        <f t="shared" si="810"/>
        <v>-0.0</v>
      </c>
      <c r="Q503" s="196">
        <f t="shared" si="810"/>
        <v>-0.0</v>
      </c>
      <c r="R503" s="196">
        <f t="shared" si="810"/>
        <v>-0.0</v>
      </c>
      <c r="S503" s="196">
        <f t="shared" si="810"/>
        <v>-0.0</v>
      </c>
      <c r="T503" s="196">
        <f t="shared" si="810"/>
        <v>-0.0</v>
      </c>
      <c r="U503" s="196">
        <f t="shared" si="810"/>
        <v>-0.0</v>
      </c>
      <c r="V503" s="196">
        <f t="shared" si="810"/>
        <v>-0.0</v>
      </c>
      <c r="W503" s="201" t="str">
        <f>IF(X$5=K$5,SUM(Y503:AI503)-SUM(L503:V503),"")</f>
        <v/>
      </c>
      <c r="X503" s="9" t="str">
        <f>LOWER(CtryCode)&amp;".distn."&amp;$A503&amp;IF($B503="","","."&amp;$B503)&amp;IF($C503="","",".dec."&amp;$C503)&amp;"."&amp;X$5</f>
        <v>egy.distn.ief.edu.dec.rur.2</v>
      </c>
      <c r="Y503" s="202">
        <f t="shared" ref="Y503:AI503" si="811">-Y169*Y248*Y$271</f>
        <v>-0.0030468538146026652</v>
      </c>
      <c r="Z503" s="196">
        <f t="shared" si="811"/>
        <v>-0.0024290527844527668</v>
      </c>
      <c r="AA503" s="196">
        <f t="shared" si="811"/>
        <v>-0.003362888668880733</v>
      </c>
      <c r="AB503" s="196">
        <f t="shared" si="811"/>
        <v>-0.003888953367827539</v>
      </c>
      <c r="AC503" s="196">
        <f t="shared" si="811"/>
        <v>-0.0038664454950502534</v>
      </c>
      <c r="AD503" s="196">
        <f t="shared" si="811"/>
        <v>-0.004165031722786117</v>
      </c>
      <c r="AE503" s="196">
        <f t="shared" si="811"/>
        <v>-0.00432688585400478</v>
      </c>
      <c r="AF503" s="196">
        <f t="shared" si="811"/>
        <v>-0.003678018171341519</v>
      </c>
      <c r="AG503" s="196">
        <f t="shared" si="811"/>
        <v>-0.003596226586461616</v>
      </c>
      <c r="AH503" s="196">
        <f t="shared" si="811"/>
        <v>-0.0024838409329906966</v>
      </c>
      <c r="AI503" s="196">
        <f t="shared" si="811"/>
        <v>-0.0013248553919075453</v>
      </c>
    </row>
    <row r="504" hidden="1" outlineLevel="1">
      <c r="A504" s="44" t="inlineStr">
        <is>
          <t>ief</t>
        </is>
      </c>
      <c r="B504" s="3" t="inlineStr">
        <is>
          <t>food</t>
        </is>
      </c>
      <c r="C504" s="3" t="inlineStr">
        <is>
          <t>rur</t>
        </is>
      </c>
      <c r="D504" s="3" t="n"/>
      <c r="E504" s="3" t="n"/>
      <c r="H504" s="3" t="inlineStr">
        <is>
          <t>Food: indirect effect, rural</t>
        </is>
      </c>
      <c r="I504" s="3" t="inlineStr">
        <is>
          <t>% consumption</t>
        </is>
      </c>
      <c r="J504" s="118" t="inlineStr">
        <is>
          <t>legacy D.II</t>
        </is>
      </c>
      <c r="K504" s="9" t="str">
        <f>LOWER(CtryCode)&amp;".distn."&amp;$A504&amp;IF($B504="","","."&amp;$B504)&amp;IF($C504="","",".dec."&amp;$C504)&amp;"."&amp;K$5</f>
        <v>egy.distn.ief.food.dec.rur.1</v>
      </c>
      <c r="L504" s="202">
        <f t="shared" ref="L504:V504" si="812">-L170*L249*L$271</f>
        <v>-0.0</v>
      </c>
      <c r="M504" s="196">
        <f t="shared" si="812"/>
        <v>-0.0</v>
      </c>
      <c r="N504" s="196">
        <f t="shared" si="812"/>
        <v>-0.0</v>
      </c>
      <c r="O504" s="196">
        <f t="shared" si="812"/>
        <v>-0.0</v>
      </c>
      <c r="P504" s="196">
        <f t="shared" si="812"/>
        <v>-0.0</v>
      </c>
      <c r="Q504" s="196">
        <f t="shared" si="812"/>
        <v>-0.0</v>
      </c>
      <c r="R504" s="196">
        <f t="shared" si="812"/>
        <v>-0.0</v>
      </c>
      <c r="S504" s="196">
        <f t="shared" si="812"/>
        <v>-0.0</v>
      </c>
      <c r="T504" s="196">
        <f t="shared" si="812"/>
        <v>-0.0</v>
      </c>
      <c r="U504" s="196">
        <f t="shared" si="812"/>
        <v>-0.0</v>
      </c>
      <c r="V504" s="196">
        <f t="shared" si="812"/>
        <v>-0.0</v>
      </c>
      <c r="W504" s="201" t="str">
        <f>IF(X$5=K$5,SUM(Y504:AI504)-SUM(L504:V504),"")</f>
        <v/>
      </c>
      <c r="X504" s="9" t="str">
        <f>LOWER(CtryCode)&amp;".distn."&amp;$A504&amp;IF($B504="","","."&amp;$B504)&amp;IF($C504="","",".dec."&amp;$C504)&amp;"."&amp;X$5</f>
        <v>egy.distn.ief.food.dec.rur.2</v>
      </c>
      <c r="Y504" s="202">
        <f t="shared" ref="Y504:AI504" si="813">-Y170*Y249*Y$271</f>
        <v>-0.07018183097195667</v>
      </c>
      <c r="Z504" s="196">
        <f t="shared" si="813"/>
        <v>-0.06773225615284824</v>
      </c>
      <c r="AA504" s="196">
        <f t="shared" si="813"/>
        <v>-0.07010146199486729</v>
      </c>
      <c r="AB504" s="196">
        <f t="shared" si="813"/>
        <v>-0.06604225347333527</v>
      </c>
      <c r="AC504" s="196">
        <f t="shared" si="813"/>
        <v>-0.06494084961824761</v>
      </c>
      <c r="AD504" s="196">
        <f t="shared" si="813"/>
        <v>-0.06470362917821088</v>
      </c>
      <c r="AE504" s="196">
        <f t="shared" si="813"/>
        <v>-0.06602274418087951</v>
      </c>
      <c r="AF504" s="196">
        <f t="shared" si="813"/>
        <v>-0.06508029914992</v>
      </c>
      <c r="AG504" s="196">
        <f t="shared" si="813"/>
        <v>-0.06477413056757422</v>
      </c>
      <c r="AH504" s="196">
        <f t="shared" si="813"/>
        <v>-0.06025423805988522</v>
      </c>
      <c r="AI504" s="196">
        <f t="shared" si="813"/>
        <v>-0.059266155167756004</v>
      </c>
    </row>
    <row r="505" hidden="1" outlineLevel="1">
      <c r="A505" s="44" t="inlineStr">
        <is>
          <t>ief</t>
        </is>
      </c>
      <c r="B505" s="3" t="inlineStr">
        <is>
          <t>hea</t>
        </is>
      </c>
      <c r="C505" s="3" t="inlineStr">
        <is>
          <t>rur</t>
        </is>
      </c>
      <c r="D505" s="3" t="n"/>
      <c r="E505" s="3" t="n"/>
      <c r="H505" s="3" t="inlineStr">
        <is>
          <t>Health services: indirect effect, rural</t>
        </is>
      </c>
      <c r="I505" s="3" t="inlineStr">
        <is>
          <t>% consumption</t>
        </is>
      </c>
      <c r="J505" s="118" t="inlineStr">
        <is>
          <t>legacy D.II</t>
        </is>
      </c>
      <c r="K505" s="9" t="str">
        <f>LOWER(CtryCode)&amp;".distn."&amp;$A505&amp;IF($B505="","","."&amp;$B505)&amp;IF($C505="","",".dec."&amp;$C505)&amp;"."&amp;K$5</f>
        <v>egy.distn.ief.hea.dec.rur.1</v>
      </c>
      <c r="L505" s="202">
        <f t="shared" ref="L505:V505" si="814">-L171*L250*L$271</f>
        <v>-0.0</v>
      </c>
      <c r="M505" s="196">
        <f t="shared" si="814"/>
        <v>-0.0</v>
      </c>
      <c r="N505" s="196">
        <f t="shared" si="814"/>
        <v>-0.0</v>
      </c>
      <c r="O505" s="196">
        <f t="shared" si="814"/>
        <v>-0.0</v>
      </c>
      <c r="P505" s="196">
        <f t="shared" si="814"/>
        <v>-0.0</v>
      </c>
      <c r="Q505" s="196">
        <f t="shared" si="814"/>
        <v>-0.0</v>
      </c>
      <c r="R505" s="196">
        <f t="shared" si="814"/>
        <v>-0.0</v>
      </c>
      <c r="S505" s="196">
        <f t="shared" si="814"/>
        <v>-0.0</v>
      </c>
      <c r="T505" s="196">
        <f t="shared" si="814"/>
        <v>-0.0</v>
      </c>
      <c r="U505" s="196">
        <f t="shared" si="814"/>
        <v>-0.0</v>
      </c>
      <c r="V505" s="196">
        <f t="shared" si="814"/>
        <v>-0.0</v>
      </c>
      <c r="W505" s="201" t="str">
        <f>IF(X$5=K$5,SUM(Y505:AI505)-SUM(L505:V505),"")</f>
        <v/>
      </c>
      <c r="X505" s="9" t="str">
        <f>LOWER(CtryCode)&amp;".distn."&amp;$A505&amp;IF($B505="","","."&amp;$B505)&amp;IF($C505="","",".dec."&amp;$C505)&amp;"."&amp;X$5</f>
        <v>egy.distn.ief.hea.dec.rur.2</v>
      </c>
      <c r="Y505" s="202">
        <f t="shared" ref="Y505:AI505" si="815">-Y171*Y250*Y$271</f>
        <v>-0.0055068060107852325</v>
      </c>
      <c r="Z505" s="196">
        <f t="shared" si="815"/>
        <v>-0.004304509958363162</v>
      </c>
      <c r="AA505" s="196">
        <f t="shared" si="815"/>
        <v>-0.004241264941404812</v>
      </c>
      <c r="AB505" s="196">
        <f t="shared" si="815"/>
        <v>-0.004201516328793457</v>
      </c>
      <c r="AC505" s="196">
        <f t="shared" si="815"/>
        <v>-0.0051867879604046725</v>
      </c>
      <c r="AD505" s="196">
        <f t="shared" si="815"/>
        <v>-0.004925860387356594</v>
      </c>
      <c r="AE505" s="196">
        <f t="shared" si="815"/>
        <v>-0.005067781841247952</v>
      </c>
      <c r="AF505" s="196">
        <f t="shared" si="815"/>
        <v>-0.005923196168492236</v>
      </c>
      <c r="AG505" s="196">
        <f t="shared" si="815"/>
        <v>-0.0064758323778023145</v>
      </c>
      <c r="AH505" s="196">
        <f t="shared" si="815"/>
        <v>-0.006664417413917708</v>
      </c>
      <c r="AI505" s="196">
        <f t="shared" si="815"/>
        <v>-0.008472462582293422</v>
      </c>
    </row>
    <row r="506" hidden="1" outlineLevel="1">
      <c r="A506" s="44" t="inlineStr">
        <is>
          <t>ief</t>
        </is>
      </c>
      <c r="B506" s="3" t="inlineStr">
        <is>
          <t>hou</t>
        </is>
      </c>
      <c r="C506" s="3" t="inlineStr">
        <is>
          <t>rur</t>
        </is>
      </c>
      <c r="D506" s="3" t="n"/>
      <c r="E506" s="3" t="n"/>
      <c r="H506" s="3" t="inlineStr">
        <is>
          <t>Housing: indirect effect, rural</t>
        </is>
      </c>
      <c r="I506" s="3" t="inlineStr">
        <is>
          <t>% consumption</t>
        </is>
      </c>
      <c r="J506" s="118" t="inlineStr">
        <is>
          <t>legacy D.II</t>
        </is>
      </c>
      <c r="K506" s="9" t="str">
        <f>LOWER(CtryCode)&amp;".distn."&amp;$A506&amp;IF($B506="","","."&amp;$B506)&amp;IF($C506="","",".dec."&amp;$C506)&amp;"."&amp;K$5</f>
        <v>egy.distn.ief.hou.dec.rur.1</v>
      </c>
      <c r="L506" s="202">
        <f t="shared" ref="L506:V506" si="816">-L172*L251*L$271</f>
        <v>-0.0</v>
      </c>
      <c r="M506" s="196">
        <f t="shared" si="816"/>
        <v>-0.0</v>
      </c>
      <c r="N506" s="196">
        <f t="shared" si="816"/>
        <v>-0.0</v>
      </c>
      <c r="O506" s="196">
        <f t="shared" si="816"/>
        <v>-0.0</v>
      </c>
      <c r="P506" s="196">
        <f t="shared" si="816"/>
        <v>-0.0</v>
      </c>
      <c r="Q506" s="196">
        <f t="shared" si="816"/>
        <v>-0.0</v>
      </c>
      <c r="R506" s="196">
        <f t="shared" si="816"/>
        <v>-0.0</v>
      </c>
      <c r="S506" s="196">
        <f t="shared" si="816"/>
        <v>-0.0</v>
      </c>
      <c r="T506" s="196">
        <f t="shared" si="816"/>
        <v>-0.0</v>
      </c>
      <c r="U506" s="196">
        <f t="shared" si="816"/>
        <v>-0.0</v>
      </c>
      <c r="V506" s="196">
        <f t="shared" si="816"/>
        <v>-0.0</v>
      </c>
      <c r="W506" s="201" t="str">
        <f>IF(X$5=K$5,SUM(Y506:AI506)-SUM(L506:V506),"")</f>
        <v/>
      </c>
      <c r="X506" s="9" t="str">
        <f>LOWER(CtryCode)&amp;".distn."&amp;$A506&amp;IF($B506="","","."&amp;$B506)&amp;IF($C506="","",".dec."&amp;$C506)&amp;"."&amp;X$5</f>
        <v>egy.distn.ief.hou.dec.rur.2</v>
      </c>
      <c r="Y506" s="202">
        <f t="shared" ref="Y506:AI506" si="817">-Y172*Y251*Y$271</f>
        <v>-0.0037468158175300373</v>
      </c>
      <c r="Z506" s="196">
        <f t="shared" si="817"/>
        <v>-0.003925970834079565</v>
      </c>
      <c r="AA506" s="196">
        <f t="shared" si="817"/>
        <v>-0.0034339910852498427</v>
      </c>
      <c r="AB506" s="196">
        <f t="shared" si="817"/>
        <v>-0.0038356622511578056</v>
      </c>
      <c r="AC506" s="196">
        <f t="shared" si="817"/>
        <v>-0.003131637212618464</v>
      </c>
      <c r="AD506" s="196">
        <f t="shared" si="817"/>
        <v>-0.0029898430065131956</v>
      </c>
      <c r="AE506" s="196">
        <f t="shared" si="817"/>
        <v>-0.003710059673588853</v>
      </c>
      <c r="AF506" s="196">
        <f t="shared" si="817"/>
        <v>-0.00335825026639828</v>
      </c>
      <c r="AG506" s="196">
        <f t="shared" si="817"/>
        <v>-0.0038485722776696193</v>
      </c>
      <c r="AH506" s="196">
        <f t="shared" si="817"/>
        <v>-0.0037990700271221204</v>
      </c>
      <c r="AI506" s="196">
        <f t="shared" si="817"/>
        <v>-0.00453427374500948</v>
      </c>
    </row>
    <row r="507" hidden="1" outlineLevel="1">
      <c r="A507" s="44" t="inlineStr">
        <is>
          <t>ief</t>
        </is>
      </c>
      <c r="B507" s="3" t="inlineStr">
        <is>
          <t>oth</t>
        </is>
      </c>
      <c r="C507" s="3" t="inlineStr">
        <is>
          <t>rur</t>
        </is>
      </c>
      <c r="D507" s="3" t="n"/>
      <c r="E507" s="3" t="n"/>
      <c r="H507" s="3" t="inlineStr">
        <is>
          <t>Other: indirect effect, rural</t>
        </is>
      </c>
      <c r="I507" s="3" t="inlineStr">
        <is>
          <t>% consumption</t>
        </is>
      </c>
      <c r="J507" s="118" t="inlineStr">
        <is>
          <t>legacy D.II</t>
        </is>
      </c>
      <c r="K507" s="9" t="str">
        <f>LOWER(CtryCode)&amp;".distn."&amp;$A507&amp;IF($B507="","","."&amp;$B507)&amp;IF($C507="","",".dec."&amp;$C507)&amp;"."&amp;K$5</f>
        <v>egy.distn.ief.oth.dec.rur.1</v>
      </c>
      <c r="L507" s="202">
        <f t="shared" ref="L507:V507" si="818">-L173*L252*L$271</f>
        <v>-0.0</v>
      </c>
      <c r="M507" s="196">
        <f t="shared" si="818"/>
        <v>-0.0</v>
      </c>
      <c r="N507" s="196">
        <f t="shared" si="818"/>
        <v>-0.0</v>
      </c>
      <c r="O507" s="196">
        <f t="shared" si="818"/>
        <v>-0.0</v>
      </c>
      <c r="P507" s="196">
        <f t="shared" si="818"/>
        <v>-0.0</v>
      </c>
      <c r="Q507" s="196">
        <f t="shared" si="818"/>
        <v>-0.0</v>
      </c>
      <c r="R507" s="196">
        <f t="shared" si="818"/>
        <v>-0.0</v>
      </c>
      <c r="S507" s="196">
        <f t="shared" si="818"/>
        <v>-0.0</v>
      </c>
      <c r="T507" s="196">
        <f t="shared" si="818"/>
        <v>-0.0</v>
      </c>
      <c r="U507" s="196">
        <f t="shared" si="818"/>
        <v>-0.0</v>
      </c>
      <c r="V507" s="196">
        <f t="shared" si="818"/>
        <v>-0.0</v>
      </c>
      <c r="W507" s="201" t="str">
        <f>IF(X$5=K$5,SUM(Y507:AI507)-SUM(L507:V507),"")</f>
        <v/>
      </c>
      <c r="X507" s="9" t="str">
        <f>LOWER(CtryCode)&amp;".distn."&amp;$A507&amp;IF($B507="","","."&amp;$B507)&amp;IF($C507="","",".dec."&amp;$C507)&amp;"."&amp;X$5</f>
        <v>egy.distn.ief.oth.dec.rur.2</v>
      </c>
      <c r="Y507" s="202">
        <f t="shared" ref="Y507:AI507" si="819">-Y173*Y252*Y$271</f>
        <v>-5.343018231852708e-06</v>
      </c>
      <c r="Z507" s="196">
        <f t="shared" si="819"/>
        <v>-6.500533029851647e-06</v>
      </c>
      <c r="AA507" s="196">
        <f t="shared" si="819"/>
        <v>-1.9311701033537043e-06</v>
      </c>
      <c r="AB507" s="196">
        <f t="shared" si="819"/>
        <v>-4.984586962717148e-06</v>
      </c>
      <c r="AC507" s="196">
        <f t="shared" si="819"/>
        <v>-3.828523108165037e-06</v>
      </c>
      <c r="AD507" s="196">
        <f t="shared" si="819"/>
        <v>-4.9851134885182695e-06</v>
      </c>
      <c r="AE507" s="196">
        <f t="shared" si="819"/>
        <v>-6.215337994925891e-06</v>
      </c>
      <c r="AF507" s="196">
        <f t="shared" si="819"/>
        <v>-7.6105767345392865e-06</v>
      </c>
      <c r="AG507" s="196">
        <f t="shared" si="819"/>
        <v>-6.814846062164628e-06</v>
      </c>
      <c r="AH507" s="196">
        <f t="shared" si="819"/>
        <v>-3.989212718205242e-06</v>
      </c>
      <c r="AI507" s="196">
        <f t="shared" si="819"/>
        <v>-8.541520941334883e-06</v>
      </c>
    </row>
    <row r="508" hidden="1" outlineLevel="1">
      <c r="A508" s="44" t="inlineStr">
        <is>
          <t>ief</t>
        </is>
      </c>
      <c r="B508" s="3" t="inlineStr">
        <is>
          <t>pap</t>
        </is>
      </c>
      <c r="C508" s="3" t="inlineStr">
        <is>
          <t>rur</t>
        </is>
      </c>
      <c r="D508" s="3" t="n"/>
      <c r="E508" s="3" t="n"/>
      <c r="H508" s="3" t="inlineStr">
        <is>
          <t>Paper: indirect effect, rural</t>
        </is>
      </c>
      <c r="I508" s="3" t="inlineStr">
        <is>
          <t>% consumption</t>
        </is>
      </c>
      <c r="J508" s="118" t="inlineStr">
        <is>
          <t>legacy D.II</t>
        </is>
      </c>
      <c r="K508" s="9" t="str">
        <f>LOWER(CtryCode)&amp;".distn."&amp;$A508&amp;IF($B508="","","."&amp;$B508)&amp;IF($C508="","",".dec."&amp;$C508)&amp;"."&amp;K$5</f>
        <v>egy.distn.ief.pap.dec.rur.1</v>
      </c>
      <c r="L508" s="202">
        <f t="shared" ref="L508:V508" si="820">-L174*L253*L$271</f>
        <v>-0.0</v>
      </c>
      <c r="M508" s="196">
        <f t="shared" si="820"/>
        <v>-0.0</v>
      </c>
      <c r="N508" s="196">
        <f t="shared" si="820"/>
        <v>-0.0</v>
      </c>
      <c r="O508" s="196">
        <f t="shared" si="820"/>
        <v>-0.0</v>
      </c>
      <c r="P508" s="196">
        <f t="shared" si="820"/>
        <v>-0.0</v>
      </c>
      <c r="Q508" s="196">
        <f t="shared" si="820"/>
        <v>-0.0</v>
      </c>
      <c r="R508" s="196">
        <f t="shared" si="820"/>
        <v>-0.0</v>
      </c>
      <c r="S508" s="196">
        <f t="shared" si="820"/>
        <v>-0.0</v>
      </c>
      <c r="T508" s="196">
        <f t="shared" si="820"/>
        <v>-0.0</v>
      </c>
      <c r="U508" s="196">
        <f t="shared" si="820"/>
        <v>-0.0</v>
      </c>
      <c r="V508" s="196">
        <f t="shared" si="820"/>
        <v>-0.0</v>
      </c>
      <c r="W508" s="201" t="str">
        <f>IF(X$5=K$5,SUM(Y508:AI508)-SUM(L508:V508),"")</f>
        <v/>
      </c>
      <c r="X508" s="9" t="str">
        <f>LOWER(CtryCode)&amp;".distn."&amp;$A508&amp;IF($B508="","","."&amp;$B508)&amp;IF($C508="","",".dec."&amp;$C508)&amp;"."&amp;X$5</f>
        <v>egy.distn.ief.pap.dec.rur.2</v>
      </c>
      <c r="Y508" s="202">
        <f t="shared" ref="Y508:AI508" si="821">-Y174*Y253*Y$271</f>
        <v>-0.0035896929813253897</v>
      </c>
      <c r="Z508" s="196">
        <f t="shared" si="821"/>
        <v>-0.004323732914868298</v>
      </c>
      <c r="AA508" s="196">
        <f t="shared" si="821"/>
        <v>-0.004588618289269496</v>
      </c>
      <c r="AB508" s="196">
        <f t="shared" si="821"/>
        <v>-0.004177060438575935</v>
      </c>
      <c r="AC508" s="196">
        <f t="shared" si="821"/>
        <v>-0.004339563598824129</v>
      </c>
      <c r="AD508" s="196">
        <f t="shared" si="821"/>
        <v>-0.004231893306444718</v>
      </c>
      <c r="AE508" s="196">
        <f t="shared" si="821"/>
        <v>-0.004143179396702993</v>
      </c>
      <c r="AF508" s="196">
        <f t="shared" si="821"/>
        <v>-0.0031811195650181248</v>
      </c>
      <c r="AG508" s="196">
        <f t="shared" si="821"/>
        <v>-0.002892620805725994</v>
      </c>
      <c r="AH508" s="196">
        <f t="shared" si="821"/>
        <v>-0.0024441261160171985</v>
      </c>
      <c r="AI508" s="196">
        <f t="shared" si="821"/>
        <v>-0.0013931288725083698</v>
      </c>
    </row>
    <row r="509" hidden="1" outlineLevel="1">
      <c r="A509" s="44" t="inlineStr">
        <is>
          <t>ief</t>
        </is>
      </c>
      <c r="B509" s="3" t="inlineStr">
        <is>
          <t>pha</t>
        </is>
      </c>
      <c r="C509" s="3" t="inlineStr">
        <is>
          <t>rur</t>
        </is>
      </c>
      <c r="D509" s="3" t="n"/>
      <c r="E509" s="3" t="n"/>
      <c r="H509" s="3" t="inlineStr">
        <is>
          <t>Pharmaceuticals: indirect effect, rural</t>
        </is>
      </c>
      <c r="I509" s="3" t="inlineStr">
        <is>
          <t>% consumption</t>
        </is>
      </c>
      <c r="J509" s="118" t="inlineStr">
        <is>
          <t>legacy D.II</t>
        </is>
      </c>
      <c r="K509" s="9" t="str">
        <f>LOWER(CtryCode)&amp;".distn."&amp;$A509&amp;IF($B509="","","."&amp;$B509)&amp;IF($C509="","",".dec."&amp;$C509)&amp;"."&amp;K$5</f>
        <v>egy.distn.ief.pha.dec.rur.1</v>
      </c>
      <c r="L509" s="202">
        <f t="shared" ref="L509:V509" si="822">-L175*L254*L$271</f>
        <v>-0.0</v>
      </c>
      <c r="M509" s="196">
        <f t="shared" si="822"/>
        <v>-0.0</v>
      </c>
      <c r="N509" s="196">
        <f t="shared" si="822"/>
        <v>-0.0</v>
      </c>
      <c r="O509" s="196">
        <f t="shared" si="822"/>
        <v>-0.0</v>
      </c>
      <c r="P509" s="196">
        <f t="shared" si="822"/>
        <v>-0.0</v>
      </c>
      <c r="Q509" s="196">
        <f t="shared" si="822"/>
        <v>-0.0</v>
      </c>
      <c r="R509" s="196">
        <f t="shared" si="822"/>
        <v>-0.0</v>
      </c>
      <c r="S509" s="196">
        <f t="shared" si="822"/>
        <v>-0.0</v>
      </c>
      <c r="T509" s="196">
        <f t="shared" si="822"/>
        <v>-0.0</v>
      </c>
      <c r="U509" s="196">
        <f t="shared" si="822"/>
        <v>-0.0</v>
      </c>
      <c r="V509" s="196">
        <f t="shared" si="822"/>
        <v>-0.0</v>
      </c>
      <c r="W509" s="201" t="str">
        <f>IF(X$5=K$5,SUM(Y509:AI509)-SUM(L509:V509),"")</f>
        <v/>
      </c>
      <c r="X509" s="9" t="str">
        <f>LOWER(CtryCode)&amp;".distn."&amp;$A509&amp;IF($B509="","","."&amp;$B509)&amp;IF($C509="","",".dec."&amp;$C509)&amp;"."&amp;X$5</f>
        <v>egy.distn.ief.pha.dec.rur.2</v>
      </c>
      <c r="Y509" s="202">
        <f t="shared" ref="Y509:AI509" si="823">-Y175*Y254*Y$271</f>
        <v>-0.01363738589655872</v>
      </c>
      <c r="Z509" s="196">
        <f t="shared" si="823"/>
        <v>-0.011455138563722956</v>
      </c>
      <c r="AA509" s="196">
        <f t="shared" si="823"/>
        <v>-0.010459948218646938</v>
      </c>
      <c r="AB509" s="196">
        <f t="shared" si="823"/>
        <v>-0.010546263875167192</v>
      </c>
      <c r="AC509" s="196">
        <f t="shared" si="823"/>
        <v>-0.011486155796377831</v>
      </c>
      <c r="AD509" s="196">
        <f t="shared" si="823"/>
        <v>-0.012062119157308577</v>
      </c>
      <c r="AE509" s="196">
        <f t="shared" si="823"/>
        <v>-0.012842123086594139</v>
      </c>
      <c r="AF509" s="196">
        <f t="shared" si="823"/>
        <v>-0.014696230554833649</v>
      </c>
      <c r="AG509" s="196">
        <f t="shared" si="823"/>
        <v>-0.015121929058646106</v>
      </c>
      <c r="AH509" s="196">
        <f t="shared" si="823"/>
        <v>-0.020284051605397826</v>
      </c>
      <c r="AI509" s="196">
        <f t="shared" si="823"/>
        <v>-0.02681924257691715</v>
      </c>
    </row>
    <row r="510" hidden="1" outlineLevel="1">
      <c r="A510" s="44" t="inlineStr">
        <is>
          <t>ief</t>
        </is>
      </c>
      <c r="B510" s="3" t="inlineStr">
        <is>
          <t>ret</t>
        </is>
      </c>
      <c r="C510" s="3" t="inlineStr">
        <is>
          <t>rur</t>
        </is>
      </c>
      <c r="D510" s="3" t="n"/>
      <c r="E510" s="3" t="n"/>
      <c r="H510" s="3" t="inlineStr">
        <is>
          <t>Recreation and tourism: indirect effect, rural</t>
        </is>
      </c>
      <c r="I510" s="3" t="inlineStr">
        <is>
          <t>% consumption</t>
        </is>
      </c>
      <c r="J510" s="118" t="inlineStr">
        <is>
          <t>legacy D.II</t>
        </is>
      </c>
      <c r="K510" s="9" t="str">
        <f>LOWER(CtryCode)&amp;".distn."&amp;$A510&amp;IF($B510="","","."&amp;$B510)&amp;IF($C510="","",".dec."&amp;$C510)&amp;"."&amp;K$5</f>
        <v>egy.distn.ief.ret.dec.rur.1</v>
      </c>
      <c r="L510" s="202">
        <f t="shared" ref="L510:V510" si="824">-L176*L255*L$271</f>
        <v>-0.0</v>
      </c>
      <c r="M510" s="196">
        <f t="shared" si="824"/>
        <v>-0.0</v>
      </c>
      <c r="N510" s="196">
        <f t="shared" si="824"/>
        <v>-0.0</v>
      </c>
      <c r="O510" s="196">
        <f t="shared" si="824"/>
        <v>-0.0</v>
      </c>
      <c r="P510" s="196">
        <f t="shared" si="824"/>
        <v>-0.0</v>
      </c>
      <c r="Q510" s="196">
        <f t="shared" si="824"/>
        <v>-0.0</v>
      </c>
      <c r="R510" s="196">
        <f t="shared" si="824"/>
        <v>-0.0</v>
      </c>
      <c r="S510" s="196">
        <f t="shared" si="824"/>
        <v>-0.0</v>
      </c>
      <c r="T510" s="196">
        <f t="shared" si="824"/>
        <v>-0.0</v>
      </c>
      <c r="U510" s="196">
        <f t="shared" si="824"/>
        <v>-0.0</v>
      </c>
      <c r="V510" s="196">
        <f t="shared" si="824"/>
        <v>-0.0</v>
      </c>
      <c r="W510" s="201" t="str">
        <f>IF(X$5=K$5,SUM(Y510:AI510)-SUM(L510:V510),"")</f>
        <v/>
      </c>
      <c r="X510" s="9" t="str">
        <f>LOWER(CtryCode)&amp;".distn."&amp;$A510&amp;IF($B510="","","."&amp;$B510)&amp;IF($C510="","",".dec."&amp;$C510)&amp;"."&amp;X$5</f>
        <v>egy.distn.ief.ret.dec.rur.2</v>
      </c>
      <c r="Y510" s="202">
        <f t="shared" ref="Y510:AI510" si="825">-Y176*Y255*Y$271</f>
        <v>-0.005670264470697443</v>
      </c>
      <c r="Z510" s="196">
        <f t="shared" si="825"/>
        <v>-0.005766307163624044</v>
      </c>
      <c r="AA510" s="196">
        <f t="shared" si="825"/>
        <v>-0.0058326493849510455</v>
      </c>
      <c r="AB510" s="196">
        <f t="shared" si="825"/>
        <v>-0.005444050629617024</v>
      </c>
      <c r="AC510" s="196">
        <f t="shared" si="825"/>
        <v>-0.005672594187759378</v>
      </c>
      <c r="AD510" s="196">
        <f t="shared" si="825"/>
        <v>-0.005354882575752588</v>
      </c>
      <c r="AE510" s="196">
        <f t="shared" si="825"/>
        <v>-0.005298454107322651</v>
      </c>
      <c r="AF510" s="196">
        <f t="shared" si="825"/>
        <v>-0.0054304499698374165</v>
      </c>
      <c r="AG510" s="196">
        <f t="shared" si="825"/>
        <v>-0.005530336587225882</v>
      </c>
      <c r="AH510" s="196">
        <f t="shared" si="825"/>
        <v>-0.005078013715340163</v>
      </c>
      <c r="AI510" s="196">
        <f t="shared" si="825"/>
        <v>-0.005413030076605529</v>
      </c>
    </row>
    <row r="511" hidden="1" outlineLevel="1">
      <c r="A511" s="44" t="inlineStr">
        <is>
          <t>ief</t>
        </is>
      </c>
      <c r="B511" s="3" t="inlineStr">
        <is>
          <t>teq</t>
        </is>
      </c>
      <c r="C511" s="3" t="inlineStr">
        <is>
          <t>rur</t>
        </is>
      </c>
      <c r="D511" s="3" t="n"/>
      <c r="E511" s="3" t="n"/>
      <c r="H511" s="3" t="inlineStr">
        <is>
          <t>Transport equipment: indirect effect, rural</t>
        </is>
      </c>
      <c r="I511" s="3" t="inlineStr">
        <is>
          <t>% consumption</t>
        </is>
      </c>
      <c r="J511" s="118" t="inlineStr">
        <is>
          <t>legacy D.II</t>
        </is>
      </c>
      <c r="K511" s="9" t="str">
        <f>LOWER(CtryCode)&amp;".distn."&amp;$A511&amp;IF($B511="","","."&amp;$B511)&amp;IF($C511="","",".dec."&amp;$C511)&amp;"."&amp;K$5</f>
        <v>egy.distn.ief.teq.dec.rur.1</v>
      </c>
      <c r="L511" s="202">
        <f t="shared" ref="L511:V511" si="826">-L177*L256*L$271</f>
        <v>-0.0</v>
      </c>
      <c r="M511" s="196">
        <f t="shared" si="826"/>
        <v>-0.0</v>
      </c>
      <c r="N511" s="196">
        <f t="shared" si="826"/>
        <v>-0.0</v>
      </c>
      <c r="O511" s="196">
        <f t="shared" si="826"/>
        <v>-0.0</v>
      </c>
      <c r="P511" s="196">
        <f t="shared" si="826"/>
        <v>-0.0</v>
      </c>
      <c r="Q511" s="196">
        <f t="shared" si="826"/>
        <v>-0.0</v>
      </c>
      <c r="R511" s="196">
        <f t="shared" si="826"/>
        <v>-0.0</v>
      </c>
      <c r="S511" s="196">
        <f t="shared" si="826"/>
        <v>-0.0</v>
      </c>
      <c r="T511" s="196">
        <f t="shared" si="826"/>
        <v>-0.0</v>
      </c>
      <c r="U511" s="196">
        <f t="shared" si="826"/>
        <v>-0.0</v>
      </c>
      <c r="V511" s="196">
        <f t="shared" si="826"/>
        <v>-0.0</v>
      </c>
      <c r="W511" s="201" t="str">
        <f>IF(X$5=K$5,SUM(Y511:AI511)-SUM(L511:V511),"")</f>
        <v/>
      </c>
      <c r="X511" s="9" t="str">
        <f>LOWER(CtryCode)&amp;".distn."&amp;$A511&amp;IF($B511="","","."&amp;$B511)&amp;IF($C511="","",".dec."&amp;$C511)&amp;"."&amp;X$5</f>
        <v>egy.distn.ief.teq.dec.rur.2</v>
      </c>
      <c r="Y511" s="202">
        <f t="shared" ref="Y511:AI511" si="827">-Y177*Y256*Y$271</f>
        <v>-0.0004108757864062699</v>
      </c>
      <c r="Z511" s="196">
        <f t="shared" si="827"/>
        <v>-0.00022398887605351044</v>
      </c>
      <c r="AA511" s="196">
        <f t="shared" si="827"/>
        <v>-0.0001895394397187214</v>
      </c>
      <c r="AB511" s="196">
        <f t="shared" si="827"/>
        <v>-0.0003364440715778776</v>
      </c>
      <c r="AC511" s="196">
        <f t="shared" si="827"/>
        <v>-0.00038489703326474896</v>
      </c>
      <c r="AD511" s="196">
        <f t="shared" si="827"/>
        <v>-0.00030324312516379407</v>
      </c>
      <c r="AE511" s="196">
        <f t="shared" si="827"/>
        <v>-0.00043009409390094833</v>
      </c>
      <c r="AF511" s="196">
        <f t="shared" si="827"/>
        <v>-0.00043070985493755834</v>
      </c>
      <c r="AG511" s="196">
        <f t="shared" si="827"/>
        <v>-0.000550371024025744</v>
      </c>
      <c r="AH511" s="196">
        <f t="shared" si="827"/>
        <v>-0.0006482376588926703</v>
      </c>
      <c r="AI511" s="196">
        <f t="shared" si="827"/>
        <v>-0.0005800054681729866</v>
      </c>
    </row>
    <row r="512" hidden="1" outlineLevel="1">
      <c r="A512" s="44" t="inlineStr">
        <is>
          <t>ief</t>
        </is>
      </c>
      <c r="B512" s="3" t="inlineStr">
        <is>
          <t>tpu</t>
        </is>
      </c>
      <c r="C512" s="3" t="inlineStr">
        <is>
          <t>rur</t>
        </is>
      </c>
      <c r="D512" s="3" t="n"/>
      <c r="E512" s="3" t="n"/>
      <c r="H512" s="3" t="inlineStr">
        <is>
          <t>Public transport: indirect effect, rural</t>
        </is>
      </c>
      <c r="I512" s="3" t="inlineStr">
        <is>
          <t>% consumption</t>
        </is>
      </c>
      <c r="J512" s="118" t="inlineStr">
        <is>
          <t>legacy D.II</t>
        </is>
      </c>
      <c r="K512" s="9" t="str">
        <f>LOWER(CtryCode)&amp;".distn."&amp;$A512&amp;IF($B512="","","."&amp;$B512)&amp;IF($C512="","",".dec."&amp;$C512)&amp;"."&amp;K$5</f>
        <v>egy.distn.ief.tpu.dec.rur.1</v>
      </c>
      <c r="L512" s="202">
        <f t="shared" ref="L512:V512" si="828">-L178*L257*L$271</f>
        <v>-0.0</v>
      </c>
      <c r="M512" s="196">
        <f t="shared" si="828"/>
        <v>-0.0</v>
      </c>
      <c r="N512" s="196">
        <f t="shared" si="828"/>
        <v>-0.0</v>
      </c>
      <c r="O512" s="196">
        <f t="shared" si="828"/>
        <v>-0.0</v>
      </c>
      <c r="P512" s="196">
        <f t="shared" si="828"/>
        <v>-0.0</v>
      </c>
      <c r="Q512" s="196">
        <f t="shared" si="828"/>
        <v>-0.0</v>
      </c>
      <c r="R512" s="196">
        <f t="shared" si="828"/>
        <v>-0.0</v>
      </c>
      <c r="S512" s="196">
        <f t="shared" si="828"/>
        <v>-0.0</v>
      </c>
      <c r="T512" s="196">
        <f t="shared" si="828"/>
        <v>-0.0</v>
      </c>
      <c r="U512" s="196">
        <f t="shared" si="828"/>
        <v>-0.0</v>
      </c>
      <c r="V512" s="196">
        <f t="shared" si="828"/>
        <v>-0.0</v>
      </c>
      <c r="W512" s="201" t="str">
        <f>IF(X$5=K$5,SUM(Y512:AI512)-SUM(L512:V512),"")</f>
        <v/>
      </c>
      <c r="X512" s="9" t="str">
        <f>LOWER(CtryCode)&amp;".distn."&amp;$A512&amp;IF($B512="","","."&amp;$B512)&amp;IF($C512="","",".dec."&amp;$C512)&amp;"."&amp;X$5</f>
        <v>egy.distn.ief.tpu.dec.rur.2</v>
      </c>
      <c r="Y512" s="202">
        <f t="shared" ref="Y512:AI512" si="829">-Y178*Y257*Y$271</f>
        <v>-0.02099732874696793</v>
      </c>
      <c r="Z512" s="196">
        <f t="shared" si="829"/>
        <v>-0.022692773966355943</v>
      </c>
      <c r="AA512" s="196">
        <f t="shared" si="829"/>
        <v>-0.018726208850794693</v>
      </c>
      <c r="AB512" s="196">
        <f t="shared" si="829"/>
        <v>-0.01809385510409589</v>
      </c>
      <c r="AC512" s="196">
        <f t="shared" si="829"/>
        <v>-0.020873725302039924</v>
      </c>
      <c r="AD512" s="196">
        <f t="shared" si="829"/>
        <v>-0.02207965739478947</v>
      </c>
      <c r="AE512" s="196">
        <f t="shared" si="829"/>
        <v>-0.02096895362588019</v>
      </c>
      <c r="AF512" s="196">
        <f t="shared" si="829"/>
        <v>-0.02207618831704581</v>
      </c>
      <c r="AG512" s="196">
        <f t="shared" si="829"/>
        <v>-0.022252045768231924</v>
      </c>
      <c r="AH512" s="196">
        <f t="shared" si="829"/>
        <v>-0.02075448569714003</v>
      </c>
      <c r="AI512" s="196">
        <f t="shared" si="829"/>
        <v>-0.018866352280336406</v>
      </c>
    </row>
    <row r="513" hidden="1" outlineLevel="1">
      <c r="A513" s="44" t="inlineStr">
        <is>
          <t>ief</t>
        </is>
      </c>
      <c r="B513" s="3" t="inlineStr">
        <is>
          <t>tot</t>
        </is>
      </c>
      <c r="C513" s="3" t="inlineStr">
        <is>
          <t>rur</t>
        </is>
      </c>
      <c r="D513" s="3" t="n"/>
      <c r="E513" s="3" t="n"/>
      <c r="H513" s="3" t="inlineStr">
        <is>
          <t>Indirect effect, total, rural</t>
        </is>
      </c>
      <c r="I513" s="3" t="inlineStr">
        <is>
          <t>% consumption</t>
        </is>
      </c>
      <c r="J513" s="118" t="inlineStr">
        <is>
          <t>legacy D.II</t>
        </is>
      </c>
      <c r="K513" s="9" t="str">
        <f>LOWER(CtryCode)&amp;".distn."&amp;$A513&amp;IF($B513="","","."&amp;$B513)&amp;IF($C513="","",".dec."&amp;$C513)&amp;"."&amp;K$5</f>
        <v>egy.distn.ief.tot.dec.rur.1</v>
      </c>
      <c r="L513" s="202">
        <f t="shared" ref="L513:V513" si="830">SUM(L499:L512)</f>
        <v>0.0</v>
      </c>
      <c r="M513" s="196">
        <f t="shared" si="830"/>
        <v>0.0</v>
      </c>
      <c r="N513" s="196">
        <f t="shared" si="830"/>
        <v>0.0</v>
      </c>
      <c r="O513" s="196">
        <f t="shared" si="830"/>
        <v>0.0</v>
      </c>
      <c r="P513" s="196">
        <f t="shared" si="830"/>
        <v>0.0</v>
      </c>
      <c r="Q513" s="196">
        <f t="shared" si="830"/>
        <v>0.0</v>
      </c>
      <c r="R513" s="196">
        <f t="shared" si="830"/>
        <v>0.0</v>
      </c>
      <c r="S513" s="196">
        <f t="shared" si="830"/>
        <v>0.0</v>
      </c>
      <c r="T513" s="196">
        <f t="shared" si="830"/>
        <v>0.0</v>
      </c>
      <c r="U513" s="196">
        <f t="shared" si="830"/>
        <v>0.0</v>
      </c>
      <c r="V513" s="196">
        <f t="shared" si="830"/>
        <v>0.0</v>
      </c>
      <c r="W513" s="201" t="str">
        <f>IF(X$5=K$5,SUM(Y513:AI513)-SUM(L513:V513),"")</f>
        <v/>
      </c>
      <c r="X513" s="9" t="str">
        <f>LOWER(CtryCode)&amp;".distn."&amp;$A513&amp;IF($B513="","","."&amp;$B513)&amp;IF($C513="","",".dec."&amp;$C513)&amp;"."&amp;X$5</f>
        <v>egy.distn.ief.tot.dec.rur.2</v>
      </c>
      <c r="Y513" s="202">
        <f t="shared" ref="Y513:AI513" si="831">SUM(Y499:Y512)</f>
        <v>-0.16123100507541382</v>
      </c>
      <c r="Z513" s="196">
        <f t="shared" si="831"/>
        <v>-0.16165875234579705</v>
      </c>
      <c r="AA513" s="196">
        <f t="shared" si="831"/>
        <v>-0.15523343009884727</v>
      </c>
      <c r="AB513" s="196">
        <f t="shared" si="831"/>
        <v>-0.15172277540245124</v>
      </c>
      <c r="AC513" s="196">
        <f t="shared" si="831"/>
        <v>-0.15250153409613107</v>
      </c>
      <c r="AD513" s="196">
        <f t="shared" si="831"/>
        <v>-0.15470678729435933</v>
      </c>
      <c r="AE513" s="196">
        <f t="shared" si="831"/>
        <v>-0.1576414241383235</v>
      </c>
      <c r="AF513" s="196">
        <f t="shared" si="831"/>
        <v>-0.16090715187633994</v>
      </c>
      <c r="AG513" s="196">
        <f t="shared" si="831"/>
        <v>-0.15785624465141798</v>
      </c>
      <c r="AH513" s="196">
        <f t="shared" si="831"/>
        <v>-0.15598106137244552</v>
      </c>
      <c r="AI513" s="196">
        <f t="shared" si="831"/>
        <v>-0.15838830864989537</v>
      </c>
    </row>
    <row r="514" hidden="1" outlineLevel="1"/>
    <row r="515" hidden="1" outlineLevel="1">
      <c r="B515" s="31" t="inlineStr">
        <is>
          <t>Absolute effects per capita (local currency; legacy D.III rows 3035-3099, 3114-3135, 3151-3172)</t>
        </is>
      </c>
    </row>
    <row r="516" hidden="1" outlineLevel="1">
      <c r="A516" s="44" t="inlineStr">
        <is>
          <t>abud</t>
        </is>
      </c>
      <c r="B516" s="3" t="inlineStr">
        <is>
          <t>coa</t>
        </is>
      </c>
      <c r="C516" s="3" t="inlineStr">
        <is>
          <t>ove</t>
        </is>
      </c>
      <c r="D516" s="3" t="n"/>
      <c r="E516" s="3" t="n"/>
      <c r="H516" s="3" t="inlineStr">
        <is>
          <t>Coal: spending per capita</t>
        </is>
      </c>
      <c r="I516" s="3" t="inlineStr">
        <is>
          <t>LCU</t>
        </is>
      </c>
      <c r="J516" s="118" t="inlineStr">
        <is>
          <t>consumption x budget share</t>
        </is>
      </c>
      <c r="K516" s="9" t="str">
        <f>LOWER(CtryCode)&amp;".distn."&amp;$A516&amp;IF($B516="","","."&amp;$B516)&amp;IF($C516="","",".dec."&amp;$C516)&amp;"."&amp;K$5</f>
        <v>egy.distn.abud.coa.dec.ove.1</v>
      </c>
      <c r="L516" s="108">
        <f t="shared" ref="L516:V516" si="832">L325*L185/PctPerUnit</f>
        <v>0.0</v>
      </c>
      <c r="M516" s="109">
        <f t="shared" si="832"/>
        <v>0.0</v>
      </c>
      <c r="N516" s="109">
        <f t="shared" si="832"/>
        <v>0.0</v>
      </c>
      <c r="O516" s="109">
        <f t="shared" si="832"/>
        <v>0.0</v>
      </c>
      <c r="P516" s="109">
        <f t="shared" si="832"/>
        <v>0.0</v>
      </c>
      <c r="Q516" s="109">
        <f t="shared" si="832"/>
        <v>0.0</v>
      </c>
      <c r="R516" s="109">
        <f t="shared" si="832"/>
        <v>0.0</v>
      </c>
      <c r="S516" s="109">
        <f t="shared" si="832"/>
        <v>0.0</v>
      </c>
      <c r="T516" s="109">
        <f t="shared" si="832"/>
        <v>0.0</v>
      </c>
      <c r="U516" s="109">
        <f t="shared" si="832"/>
        <v>0.0</v>
      </c>
      <c r="V516" s="109">
        <f t="shared" si="832"/>
        <v>0.0</v>
      </c>
      <c r="W516" s="201" t="str">
        <f>IF(X$5=K$5,SUM(Y516:AI516)-SUM(L516:V516),"")</f>
        <v/>
      </c>
      <c r="X516" s="9" t="str">
        <f>LOWER(CtryCode)&amp;".distn."&amp;$A516&amp;IF($B516="","","."&amp;$B516)&amp;IF($C516="","",".dec."&amp;$C516)&amp;"."&amp;X$5</f>
        <v>egy.distn.abud.coa.dec.ove.2</v>
      </c>
      <c r="Y516" s="108">
        <f t="shared" ref="Y516:AI516" si="833">Y325*Y185/PctPerUnit</f>
        <v>0.0</v>
      </c>
      <c r="Z516" s="109">
        <f t="shared" si="833"/>
        <v>0.0</v>
      </c>
      <c r="AA516" s="109">
        <f t="shared" si="833"/>
        <v>0.0</v>
      </c>
      <c r="AB516" s="109">
        <f t="shared" si="833"/>
        <v>0.0</v>
      </c>
      <c r="AC516" s="109">
        <f t="shared" si="833"/>
        <v>0.0</v>
      </c>
      <c r="AD516" s="109">
        <f t="shared" si="833"/>
        <v>0.0</v>
      </c>
      <c r="AE516" s="109">
        <f t="shared" si="833"/>
        <v>0.0</v>
      </c>
      <c r="AF516" s="109">
        <f t="shared" si="833"/>
        <v>0.0</v>
      </c>
      <c r="AG516" s="109">
        <f t="shared" si="833"/>
        <v>0.0</v>
      </c>
      <c r="AH516" s="109">
        <f t="shared" si="833"/>
        <v>0.0</v>
      </c>
      <c r="AI516" s="109">
        <f t="shared" si="833"/>
        <v>0.0</v>
      </c>
    </row>
    <row r="517" hidden="1" outlineLevel="1">
      <c r="A517" s="44" t="inlineStr">
        <is>
          <t>abud</t>
        </is>
      </c>
      <c r="B517" s="3" t="inlineStr">
        <is>
          <t>ely</t>
        </is>
      </c>
      <c r="C517" s="3" t="inlineStr">
        <is>
          <t>ove</t>
        </is>
      </c>
      <c r="D517" s="3" t="n"/>
      <c r="E517" s="3" t="n"/>
      <c r="H517" s="3" t="inlineStr">
        <is>
          <t>Electricity: spending per capita</t>
        </is>
      </c>
      <c r="I517" s="3" t="inlineStr">
        <is>
          <t>LCU</t>
        </is>
      </c>
      <c r="J517" s="118" t="inlineStr">
        <is>
          <t>consumption x budget share</t>
        </is>
      </c>
      <c r="K517" s="9" t="str">
        <f>LOWER(CtryCode)&amp;".distn."&amp;$A517&amp;IF($B517="","","."&amp;$B517)&amp;IF($C517="","",".dec."&amp;$C517)&amp;"."&amp;K$5</f>
        <v>egy.distn.abud.ely.dec.ove.1</v>
      </c>
      <c r="L517" s="108">
        <f t="shared" ref="L517:V517" si="834">L325*L186/PctPerUnit</f>
        <v>2509.0701080087338</v>
      </c>
      <c r="M517" s="109">
        <f t="shared" si="834"/>
        <v>1128.822792627649</v>
      </c>
      <c r="N517" s="109">
        <f t="shared" si="834"/>
        <v>1312.4278162012963</v>
      </c>
      <c r="O517" s="109">
        <f t="shared" si="834"/>
        <v>1674.2311157644042</v>
      </c>
      <c r="P517" s="109">
        <f t="shared" si="834"/>
        <v>1932.7089535204725</v>
      </c>
      <c r="Q517" s="109">
        <f t="shared" si="834"/>
        <v>1975.9360240913904</v>
      </c>
      <c r="R517" s="109">
        <f t="shared" si="834"/>
        <v>2129.4833300687874</v>
      </c>
      <c r="S517" s="109">
        <f t="shared" si="834"/>
        <v>2792.3227123598535</v>
      </c>
      <c r="T517" s="109">
        <f t="shared" si="834"/>
        <v>3444.9559568050654</v>
      </c>
      <c r="U517" s="109">
        <f t="shared" si="834"/>
        <v>4154.049458588339</v>
      </c>
      <c r="V517" s="109">
        <f t="shared" si="834"/>
        <v>6119.140972859462</v>
      </c>
      <c r="W517" s="201" t="str">
        <f>IF(X$5=K$5,SUM(Y517:AI517)-SUM(L517:V517),"")</f>
        <v/>
      </c>
      <c r="X517" s="9" t="str">
        <f>LOWER(CtryCode)&amp;".distn."&amp;$A517&amp;IF($B517="","","."&amp;$B517)&amp;IF($C517="","",".dec."&amp;$C517)&amp;"."&amp;X$5</f>
        <v>egy.distn.abud.ely.dec.ove.2</v>
      </c>
      <c r="Y517" s="108">
        <f t="shared" ref="Y517:AI517" si="835">Y325*Y186/PctPerUnit</f>
        <v>2509.0701080087338</v>
      </c>
      <c r="Z517" s="109">
        <f t="shared" si="835"/>
        <v>1128.822792627649</v>
      </c>
      <c r="AA517" s="109">
        <f t="shared" si="835"/>
        <v>1312.4278162012963</v>
      </c>
      <c r="AB517" s="109">
        <f t="shared" si="835"/>
        <v>1674.2311157644042</v>
      </c>
      <c r="AC517" s="109">
        <f t="shared" si="835"/>
        <v>1932.7089535204725</v>
      </c>
      <c r="AD517" s="109">
        <f t="shared" si="835"/>
        <v>1975.9360240913904</v>
      </c>
      <c r="AE517" s="109">
        <f t="shared" si="835"/>
        <v>2129.4833300687874</v>
      </c>
      <c r="AF517" s="109">
        <f t="shared" si="835"/>
        <v>2792.3227123598535</v>
      </c>
      <c r="AG517" s="109">
        <f t="shared" si="835"/>
        <v>3444.9559568050654</v>
      </c>
      <c r="AH517" s="109">
        <f t="shared" si="835"/>
        <v>4154.049458588339</v>
      </c>
      <c r="AI517" s="109">
        <f t="shared" si="835"/>
        <v>6119.140972859462</v>
      </c>
    </row>
    <row r="518" hidden="1" outlineLevel="1">
      <c r="A518" s="44" t="inlineStr">
        <is>
          <t>abud</t>
        </is>
      </c>
      <c r="B518" s="3" t="inlineStr">
        <is>
          <t>nga</t>
        </is>
      </c>
      <c r="C518" s="3" t="inlineStr">
        <is>
          <t>ove</t>
        </is>
      </c>
      <c r="D518" s="3" t="n"/>
      <c r="E518" s="3" t="n"/>
      <c r="H518" s="3" t="inlineStr">
        <is>
          <t>Natural gas: spending per capita</t>
        </is>
      </c>
      <c r="I518" s="3" t="inlineStr">
        <is>
          <t>LCU</t>
        </is>
      </c>
      <c r="J518" s="118" t="inlineStr">
        <is>
          <t>consumption x budget share</t>
        </is>
      </c>
      <c r="K518" s="9" t="str">
        <f>LOWER(CtryCode)&amp;".distn."&amp;$A518&amp;IF($B518="","","."&amp;$B518)&amp;IF($C518="","",".dec."&amp;$C518)&amp;"."&amp;K$5</f>
        <v>egy.distn.abud.nga.dec.ove.1</v>
      </c>
      <c r="L518" s="108">
        <f t="shared" ref="L518:V518" si="836">L325*L187/PctPerUnit</f>
        <v>248.19054628236114</v>
      </c>
      <c r="M518" s="109">
        <f t="shared" si="836"/>
        <v>85.81233947677725</v>
      </c>
      <c r="N518" s="109">
        <f t="shared" si="836"/>
        <v>106.05009021432107</v>
      </c>
      <c r="O518" s="109">
        <f t="shared" si="836"/>
        <v>138.8703541499032</v>
      </c>
      <c r="P518" s="109">
        <f t="shared" si="836"/>
        <v>174.62549254908586</v>
      </c>
      <c r="Q518" s="109">
        <f t="shared" si="836"/>
        <v>186.28537503103493</v>
      </c>
      <c r="R518" s="109">
        <f t="shared" si="836"/>
        <v>206.19735290088232</v>
      </c>
      <c r="S518" s="109">
        <f t="shared" si="836"/>
        <v>295.18146613022543</v>
      </c>
      <c r="T518" s="109">
        <f t="shared" si="836"/>
        <v>416.90793375819317</v>
      </c>
      <c r="U518" s="109">
        <f t="shared" si="836"/>
        <v>481.20843891667175</v>
      </c>
      <c r="V518" s="109">
        <f t="shared" si="836"/>
        <v>914.5820865787325</v>
      </c>
      <c r="W518" s="201" t="str">
        <f>IF(X$5=K$5,SUM(Y518:AI518)-SUM(L518:V518),"")</f>
        <v/>
      </c>
      <c r="X518" s="9" t="str">
        <f>LOWER(CtryCode)&amp;".distn."&amp;$A518&amp;IF($B518="","","."&amp;$B518)&amp;IF($C518="","",".dec."&amp;$C518)&amp;"."&amp;X$5</f>
        <v>egy.distn.abud.nga.dec.ove.2</v>
      </c>
      <c r="Y518" s="108">
        <f t="shared" ref="Y518:AI518" si="837">Y325*Y187/PctPerUnit</f>
        <v>248.19054628236114</v>
      </c>
      <c r="Z518" s="109">
        <f t="shared" si="837"/>
        <v>85.81233947677725</v>
      </c>
      <c r="AA518" s="109">
        <f t="shared" si="837"/>
        <v>106.05009021432107</v>
      </c>
      <c r="AB518" s="109">
        <f t="shared" si="837"/>
        <v>138.8703541499032</v>
      </c>
      <c r="AC518" s="109">
        <f t="shared" si="837"/>
        <v>174.62549254908586</v>
      </c>
      <c r="AD518" s="109">
        <f t="shared" si="837"/>
        <v>186.28537503103493</v>
      </c>
      <c r="AE518" s="109">
        <f t="shared" si="837"/>
        <v>206.19735290088232</v>
      </c>
      <c r="AF518" s="109">
        <f t="shared" si="837"/>
        <v>295.18146613022543</v>
      </c>
      <c r="AG518" s="109">
        <f t="shared" si="837"/>
        <v>416.90793375819317</v>
      </c>
      <c r="AH518" s="109">
        <f t="shared" si="837"/>
        <v>481.20843891667175</v>
      </c>
      <c r="AI518" s="109">
        <f t="shared" si="837"/>
        <v>914.5820865787325</v>
      </c>
    </row>
    <row r="519" hidden="1" outlineLevel="1">
      <c r="A519" s="44" t="inlineStr">
        <is>
          <t>abud</t>
        </is>
      </c>
      <c r="B519" s="3" t="inlineStr">
        <is>
          <t>oil</t>
        </is>
      </c>
      <c r="C519" s="3" t="inlineStr">
        <is>
          <t>ove</t>
        </is>
      </c>
      <c r="D519" s="3" t="n"/>
      <c r="E519" s="3" t="n"/>
      <c r="H519" s="3" t="inlineStr">
        <is>
          <t>Other oil products: spending per capita</t>
        </is>
      </c>
      <c r="I519" s="3" t="inlineStr">
        <is>
          <t>LCU</t>
        </is>
      </c>
      <c r="J519" s="118" t="inlineStr">
        <is>
          <t>consumption x budget share</t>
        </is>
      </c>
      <c r="K519" s="9" t="str">
        <f>LOWER(CtryCode)&amp;".distn."&amp;$A519&amp;IF($B519="","","."&amp;$B519)&amp;IF($C519="","",".dec."&amp;$C519)&amp;"."&amp;K$5</f>
        <v>egy.distn.abud.oil.dec.ove.1</v>
      </c>
      <c r="L519" s="108">
        <f t="shared" ref="L519:V519" si="838">L325*L188/PctPerUnit</f>
        <v>94.2032866012195</v>
      </c>
      <c r="M519" s="109">
        <f t="shared" si="838"/>
        <v>29.535794354854453</v>
      </c>
      <c r="N519" s="109">
        <f t="shared" si="838"/>
        <v>39.04353241416406</v>
      </c>
      <c r="O519" s="109">
        <f t="shared" si="838"/>
        <v>65.94061498373658</v>
      </c>
      <c r="P519" s="109">
        <f t="shared" si="838"/>
        <v>57.08626226957565</v>
      </c>
      <c r="Q519" s="109">
        <f t="shared" si="838"/>
        <v>86.39472411890053</v>
      </c>
      <c r="R519" s="109">
        <f t="shared" si="838"/>
        <v>90.79464991661266</v>
      </c>
      <c r="S519" s="109">
        <f t="shared" si="838"/>
        <v>109.55158534571123</v>
      </c>
      <c r="T519" s="109">
        <f t="shared" si="838"/>
        <v>129.93356980366437</v>
      </c>
      <c r="U519" s="109">
        <f t="shared" si="838"/>
        <v>159.77707794569608</v>
      </c>
      <c r="V519" s="109">
        <f t="shared" si="838"/>
        <v>245.78617269340313</v>
      </c>
      <c r="W519" s="201" t="str">
        <f>IF(X$5=K$5,SUM(Y519:AI519)-SUM(L519:V519),"")</f>
        <v/>
      </c>
      <c r="X519" s="9" t="str">
        <f>LOWER(CtryCode)&amp;".distn."&amp;$A519&amp;IF($B519="","","."&amp;$B519)&amp;IF($C519="","",".dec."&amp;$C519)&amp;"."&amp;X$5</f>
        <v>egy.distn.abud.oil.dec.ove.2</v>
      </c>
      <c r="Y519" s="108">
        <f t="shared" ref="Y519:AI519" si="839">Y325*Y188/PctPerUnit</f>
        <v>94.2032866012195</v>
      </c>
      <c r="Z519" s="109">
        <f t="shared" si="839"/>
        <v>29.535794354854453</v>
      </c>
      <c r="AA519" s="109">
        <f t="shared" si="839"/>
        <v>39.04353241416406</v>
      </c>
      <c r="AB519" s="109">
        <f t="shared" si="839"/>
        <v>65.94061498373658</v>
      </c>
      <c r="AC519" s="109">
        <f t="shared" si="839"/>
        <v>57.08626226957565</v>
      </c>
      <c r="AD519" s="109">
        <f t="shared" si="839"/>
        <v>86.39472411890053</v>
      </c>
      <c r="AE519" s="109">
        <f t="shared" si="839"/>
        <v>90.79464991661266</v>
      </c>
      <c r="AF519" s="109">
        <f t="shared" si="839"/>
        <v>109.55158534571123</v>
      </c>
      <c r="AG519" s="109">
        <f t="shared" si="839"/>
        <v>129.93356980366437</v>
      </c>
      <c r="AH519" s="109">
        <f t="shared" si="839"/>
        <v>159.77707794569608</v>
      </c>
      <c r="AI519" s="109">
        <f t="shared" si="839"/>
        <v>245.78617269340313</v>
      </c>
    </row>
    <row r="520" hidden="1" outlineLevel="1">
      <c r="A520" s="44" t="inlineStr">
        <is>
          <t>abud</t>
        </is>
      </c>
      <c r="B520" s="3" t="inlineStr">
        <is>
          <t>gso</t>
        </is>
      </c>
      <c r="C520" s="3" t="inlineStr">
        <is>
          <t>ove</t>
        </is>
      </c>
      <c r="D520" s="3" t="n"/>
      <c r="E520" s="3" t="n"/>
      <c r="H520" s="3" t="inlineStr">
        <is>
          <t>Gasoline: spending per capita</t>
        </is>
      </c>
      <c r="I520" s="3" t="inlineStr">
        <is>
          <t>LCU</t>
        </is>
      </c>
      <c r="J520" s="118" t="inlineStr">
        <is>
          <t>consumption x budget share</t>
        </is>
      </c>
      <c r="K520" s="9" t="str">
        <f>LOWER(CtryCode)&amp;".distn."&amp;$A520&amp;IF($B520="","","."&amp;$B520)&amp;IF($C520="","",".dec."&amp;$C520)&amp;"."&amp;K$5</f>
        <v>egy.distn.abud.gso.dec.ove.1</v>
      </c>
      <c r="L520" s="108">
        <f t="shared" ref="L520:V520" si="840">L325*L189/PctPerUnit</f>
        <v>374.38597131611465</v>
      </c>
      <c r="M520" s="109">
        <f t="shared" si="840"/>
        <v>93.44647469133608</v>
      </c>
      <c r="N520" s="109">
        <f t="shared" si="840"/>
        <v>140.83142920770263</v>
      </c>
      <c r="O520" s="109">
        <f t="shared" si="840"/>
        <v>209.81728798496016</v>
      </c>
      <c r="P520" s="109">
        <f t="shared" si="840"/>
        <v>253.22274420585885</v>
      </c>
      <c r="Q520" s="109">
        <f t="shared" si="840"/>
        <v>312.4164487762839</v>
      </c>
      <c r="R520" s="109">
        <f t="shared" si="840"/>
        <v>348.90899052779474</v>
      </c>
      <c r="S520" s="109">
        <f t="shared" si="840"/>
        <v>484.3939985258497</v>
      </c>
      <c r="T520" s="109">
        <f t="shared" si="840"/>
        <v>605.6598201957739</v>
      </c>
      <c r="U520" s="109">
        <f t="shared" si="840"/>
        <v>685.7629362760853</v>
      </c>
      <c r="V520" s="109">
        <f t="shared" si="840"/>
        <v>1212.1879430614758</v>
      </c>
      <c r="W520" s="201" t="str">
        <f>IF(X$5=K$5,SUM(Y520:AI520)-SUM(L520:V520),"")</f>
        <v/>
      </c>
      <c r="X520" s="9" t="str">
        <f>LOWER(CtryCode)&amp;".distn."&amp;$A520&amp;IF($B520="","","."&amp;$B520)&amp;IF($C520="","",".dec."&amp;$C520)&amp;"."&amp;X$5</f>
        <v>egy.distn.abud.gso.dec.ove.2</v>
      </c>
      <c r="Y520" s="108">
        <f t="shared" ref="Y520:AI520" si="841">Y325*Y189/PctPerUnit</f>
        <v>374.38597131611465</v>
      </c>
      <c r="Z520" s="109">
        <f t="shared" si="841"/>
        <v>93.44647469133608</v>
      </c>
      <c r="AA520" s="109">
        <f t="shared" si="841"/>
        <v>140.83142920770263</v>
      </c>
      <c r="AB520" s="109">
        <f t="shared" si="841"/>
        <v>209.81728798496016</v>
      </c>
      <c r="AC520" s="109">
        <f t="shared" si="841"/>
        <v>253.22274420585885</v>
      </c>
      <c r="AD520" s="109">
        <f t="shared" si="841"/>
        <v>312.4164487762839</v>
      </c>
      <c r="AE520" s="109">
        <f t="shared" si="841"/>
        <v>348.90899052779474</v>
      </c>
      <c r="AF520" s="109">
        <f t="shared" si="841"/>
        <v>484.3939985258497</v>
      </c>
      <c r="AG520" s="109">
        <f t="shared" si="841"/>
        <v>605.6598201957739</v>
      </c>
      <c r="AH520" s="109">
        <f t="shared" si="841"/>
        <v>685.7629362760853</v>
      </c>
      <c r="AI520" s="109">
        <f t="shared" si="841"/>
        <v>1212.1879430614758</v>
      </c>
    </row>
    <row r="521" hidden="1" outlineLevel="1">
      <c r="A521" s="44" t="inlineStr">
        <is>
          <t>abud</t>
        </is>
      </c>
      <c r="B521" s="3" t="inlineStr">
        <is>
          <t>die</t>
        </is>
      </c>
      <c r="C521" s="3" t="inlineStr">
        <is>
          <t>ove</t>
        </is>
      </c>
      <c r="D521" s="3" t="n"/>
      <c r="E521" s="3" t="n"/>
      <c r="H521" s="3" t="inlineStr">
        <is>
          <t>Diesel: spending per capita</t>
        </is>
      </c>
      <c r="I521" s="3" t="inlineStr">
        <is>
          <t>LCU</t>
        </is>
      </c>
      <c r="J521" s="118" t="inlineStr">
        <is>
          <t>consumption x budget share</t>
        </is>
      </c>
      <c r="K521" s="9" t="str">
        <f>LOWER(CtryCode)&amp;".distn."&amp;$A521&amp;IF($B521="","","."&amp;$B521)&amp;IF($C521="","",".dec."&amp;$C521)&amp;"."&amp;K$5</f>
        <v>egy.distn.abud.die.dec.ove.1</v>
      </c>
      <c r="L521" s="108">
        <f t="shared" ref="L521:V521" si="842">L325*L190/PctPerUnit</f>
        <v>0.0</v>
      </c>
      <c r="M521" s="109">
        <f t="shared" si="842"/>
        <v>0.0</v>
      </c>
      <c r="N521" s="109">
        <f t="shared" si="842"/>
        <v>0.0</v>
      </c>
      <c r="O521" s="109">
        <f t="shared" si="842"/>
        <v>0.0</v>
      </c>
      <c r="P521" s="109">
        <f t="shared" si="842"/>
        <v>0.0</v>
      </c>
      <c r="Q521" s="109">
        <f t="shared" si="842"/>
        <v>0.0</v>
      </c>
      <c r="R521" s="109">
        <f t="shared" si="842"/>
        <v>0.0</v>
      </c>
      <c r="S521" s="109">
        <f t="shared" si="842"/>
        <v>0.0</v>
      </c>
      <c r="T521" s="109">
        <f t="shared" si="842"/>
        <v>0.0</v>
      </c>
      <c r="U521" s="109">
        <f t="shared" si="842"/>
        <v>0.0</v>
      </c>
      <c r="V521" s="109">
        <f t="shared" si="842"/>
        <v>0.0</v>
      </c>
      <c r="W521" s="201" t="str">
        <f>IF(X$5=K$5,SUM(Y521:AI521)-SUM(L521:V521),"")</f>
        <v/>
      </c>
      <c r="X521" s="9" t="str">
        <f>LOWER(CtryCode)&amp;".distn."&amp;$A521&amp;IF($B521="","","."&amp;$B521)&amp;IF($C521="","",".dec."&amp;$C521)&amp;"."&amp;X$5</f>
        <v>egy.distn.abud.die.dec.ove.2</v>
      </c>
      <c r="Y521" s="108">
        <f t="shared" ref="Y521:AI521" si="843">Y325*Y190/PctPerUnit</f>
        <v>0.0</v>
      </c>
      <c r="Z521" s="109">
        <f t="shared" si="843"/>
        <v>0.0</v>
      </c>
      <c r="AA521" s="109">
        <f t="shared" si="843"/>
        <v>0.0</v>
      </c>
      <c r="AB521" s="109">
        <f t="shared" si="843"/>
        <v>0.0</v>
      </c>
      <c r="AC521" s="109">
        <f t="shared" si="843"/>
        <v>0.0</v>
      </c>
      <c r="AD521" s="109">
        <f t="shared" si="843"/>
        <v>0.0</v>
      </c>
      <c r="AE521" s="109">
        <f t="shared" si="843"/>
        <v>0.0</v>
      </c>
      <c r="AF521" s="109">
        <f t="shared" si="843"/>
        <v>0.0</v>
      </c>
      <c r="AG521" s="109">
        <f t="shared" si="843"/>
        <v>0.0</v>
      </c>
      <c r="AH521" s="109">
        <f t="shared" si="843"/>
        <v>0.0</v>
      </c>
      <c r="AI521" s="109">
        <f t="shared" si="843"/>
        <v>0.0</v>
      </c>
    </row>
    <row r="522" hidden="1" outlineLevel="1">
      <c r="A522" s="44" t="inlineStr">
        <is>
          <t>abud</t>
        </is>
      </c>
      <c r="B522" s="3" t="inlineStr">
        <is>
          <t>ker</t>
        </is>
      </c>
      <c r="C522" s="3" t="inlineStr">
        <is>
          <t>ove</t>
        </is>
      </c>
      <c r="D522" s="3" t="n"/>
      <c r="E522" s="3" t="n"/>
      <c r="H522" s="3" t="inlineStr">
        <is>
          <t>Kerosene: spending per capita</t>
        </is>
      </c>
      <c r="I522" s="3" t="inlineStr">
        <is>
          <t>LCU</t>
        </is>
      </c>
      <c r="J522" s="118" t="inlineStr">
        <is>
          <t>consumption x budget share</t>
        </is>
      </c>
      <c r="K522" s="9" t="str">
        <f>LOWER(CtryCode)&amp;".distn."&amp;$A522&amp;IF($B522="","","."&amp;$B522)&amp;IF($C522="","",".dec."&amp;$C522)&amp;"."&amp;K$5</f>
        <v>egy.distn.abud.ker.dec.ove.1</v>
      </c>
      <c r="L522" s="108">
        <f t="shared" ref="L522:V522" si="844">L325*L191/PctPerUnit</f>
        <v>0.04050779813942094</v>
      </c>
      <c r="M522" s="109">
        <f t="shared" si="844"/>
        <v>0.006100449090667239</v>
      </c>
      <c r="N522" s="109">
        <f t="shared" si="844"/>
        <v>0.008962107233760463</v>
      </c>
      <c r="O522" s="109">
        <f t="shared" si="844"/>
        <v>0.004908029163821127</v>
      </c>
      <c r="P522" s="109">
        <f t="shared" si="844"/>
        <v>0.0323170612974478</v>
      </c>
      <c r="Q522" s="109">
        <f t="shared" si="844"/>
        <v>0.033435639336581134</v>
      </c>
      <c r="R522" s="109">
        <f t="shared" si="844"/>
        <v>0.030223931814827236</v>
      </c>
      <c r="S522" s="109">
        <f t="shared" si="844"/>
        <v>0.017240211056227507</v>
      </c>
      <c r="T522" s="109">
        <f t="shared" si="844"/>
        <v>0.07705799159076937</v>
      </c>
      <c r="U522" s="109">
        <f t="shared" si="844"/>
        <v>0.12854645206487678</v>
      </c>
      <c r="V522" s="109">
        <f t="shared" si="844"/>
        <v>0.11815884242679477</v>
      </c>
      <c r="W522" s="201" t="str">
        <f>IF(X$5=K$5,SUM(Y522:AI522)-SUM(L522:V522),"")</f>
        <v/>
      </c>
      <c r="X522" s="9" t="str">
        <f>LOWER(CtryCode)&amp;".distn."&amp;$A522&amp;IF($B522="","","."&amp;$B522)&amp;IF($C522="","",".dec."&amp;$C522)&amp;"."&amp;X$5</f>
        <v>egy.distn.abud.ker.dec.ove.2</v>
      </c>
      <c r="Y522" s="108">
        <f t="shared" ref="Y522:AI522" si="845">Y325*Y191/PctPerUnit</f>
        <v>0.04050779813942094</v>
      </c>
      <c r="Z522" s="109">
        <f t="shared" si="845"/>
        <v>0.006100449090667239</v>
      </c>
      <c r="AA522" s="109">
        <f t="shared" si="845"/>
        <v>0.008962107233760463</v>
      </c>
      <c r="AB522" s="109">
        <f t="shared" si="845"/>
        <v>0.004908029163821127</v>
      </c>
      <c r="AC522" s="109">
        <f t="shared" si="845"/>
        <v>0.0323170612974478</v>
      </c>
      <c r="AD522" s="109">
        <f t="shared" si="845"/>
        <v>0.033435639336581134</v>
      </c>
      <c r="AE522" s="109">
        <f t="shared" si="845"/>
        <v>0.030223931814827236</v>
      </c>
      <c r="AF522" s="109">
        <f t="shared" si="845"/>
        <v>0.017240211056227507</v>
      </c>
      <c r="AG522" s="109">
        <f t="shared" si="845"/>
        <v>0.07705799159076937</v>
      </c>
      <c r="AH522" s="109">
        <f t="shared" si="845"/>
        <v>0.12854645206487678</v>
      </c>
      <c r="AI522" s="109">
        <f t="shared" si="845"/>
        <v>0.11815884242679477</v>
      </c>
    </row>
    <row r="523" hidden="1" outlineLevel="1">
      <c r="A523" s="44" t="inlineStr">
        <is>
          <t>abud</t>
        </is>
      </c>
      <c r="B523" s="3" t="inlineStr">
        <is>
          <t>lpg</t>
        </is>
      </c>
      <c r="C523" s="3" t="inlineStr">
        <is>
          <t>ove</t>
        </is>
      </c>
      <c r="D523" s="3" t="n"/>
      <c r="E523" s="3" t="n"/>
      <c r="H523" s="3" t="inlineStr">
        <is>
          <t>LPG: spending per capita</t>
        </is>
      </c>
      <c r="I523" s="3" t="inlineStr">
        <is>
          <t>LCU</t>
        </is>
      </c>
      <c r="J523" s="118" t="inlineStr">
        <is>
          <t>consumption x budget share</t>
        </is>
      </c>
      <c r="K523" s="9" t="str">
        <f>LOWER(CtryCode)&amp;".distn."&amp;$A523&amp;IF($B523="","","."&amp;$B523)&amp;IF($C523="","",".dec."&amp;$C523)&amp;"."&amp;K$5</f>
        <v>egy.distn.abud.lpg.dec.ove.1</v>
      </c>
      <c r="L523" s="108">
        <f t="shared" ref="L523:V523" si="846">L325*L192/PctPerUnit</f>
        <v>1301.2810004434089</v>
      </c>
      <c r="M523" s="109">
        <f t="shared" si="846"/>
        <v>819.4993810713</v>
      </c>
      <c r="N523" s="109">
        <f t="shared" si="846"/>
        <v>901.8779946994385</v>
      </c>
      <c r="O523" s="109">
        <f t="shared" si="846"/>
        <v>1019.7582521310896</v>
      </c>
      <c r="P523" s="109">
        <f t="shared" si="846"/>
        <v>1045.581252132223</v>
      </c>
      <c r="Q523" s="109">
        <f t="shared" si="846"/>
        <v>1038.4146914260116</v>
      </c>
      <c r="R523" s="109">
        <f t="shared" si="846"/>
        <v>1045.9704007799685</v>
      </c>
      <c r="S523" s="109">
        <f t="shared" si="846"/>
        <v>1267.7372966411913</v>
      </c>
      <c r="T523" s="109">
        <f t="shared" si="846"/>
        <v>1286.9964953703216</v>
      </c>
      <c r="U523" s="109">
        <f t="shared" si="846"/>
        <v>1339.42560708981</v>
      </c>
      <c r="V523" s="109">
        <f t="shared" si="846"/>
        <v>1593.199171648887</v>
      </c>
      <c r="W523" s="201" t="str">
        <f>IF(X$5=K$5,SUM(Y523:AI523)-SUM(L523:V523),"")</f>
        <v/>
      </c>
      <c r="X523" s="9" t="str">
        <f>LOWER(CtryCode)&amp;".distn."&amp;$A523&amp;IF($B523="","","."&amp;$B523)&amp;IF($C523="","",".dec."&amp;$C523)&amp;"."&amp;X$5</f>
        <v>egy.distn.abud.lpg.dec.ove.2</v>
      </c>
      <c r="Y523" s="108">
        <f t="shared" ref="Y523:AI523" si="847">Y325*Y192/PctPerUnit</f>
        <v>1301.2810004434089</v>
      </c>
      <c r="Z523" s="109">
        <f t="shared" si="847"/>
        <v>819.4993810713</v>
      </c>
      <c r="AA523" s="109">
        <f t="shared" si="847"/>
        <v>901.8779946994385</v>
      </c>
      <c r="AB523" s="109">
        <f t="shared" si="847"/>
        <v>1019.7582521310896</v>
      </c>
      <c r="AC523" s="109">
        <f t="shared" si="847"/>
        <v>1045.581252132223</v>
      </c>
      <c r="AD523" s="109">
        <f t="shared" si="847"/>
        <v>1038.4146914260116</v>
      </c>
      <c r="AE523" s="109">
        <f t="shared" si="847"/>
        <v>1045.9704007799685</v>
      </c>
      <c r="AF523" s="109">
        <f t="shared" si="847"/>
        <v>1267.7372966411913</v>
      </c>
      <c r="AG523" s="109">
        <f t="shared" si="847"/>
        <v>1286.9964953703216</v>
      </c>
      <c r="AH523" s="109">
        <f t="shared" si="847"/>
        <v>1339.42560708981</v>
      </c>
      <c r="AI523" s="109">
        <f t="shared" si="847"/>
        <v>1593.199171648887</v>
      </c>
    </row>
    <row r="524" hidden="1" outlineLevel="1">
      <c r="A524" s="44" t="inlineStr">
        <is>
          <t>abud</t>
        </is>
      </c>
      <c r="B524" s="3" t="inlineStr">
        <is>
          <t>ccl</t>
        </is>
      </c>
      <c r="C524" s="3" t="inlineStr">
        <is>
          <t>ove</t>
        </is>
      </c>
      <c r="D524" s="3" t="n"/>
      <c r="E524" s="3" t="n"/>
      <c r="H524" s="3" t="inlineStr">
        <is>
          <t>Charcoal: spending per capita</t>
        </is>
      </c>
      <c r="I524" s="3" t="inlineStr">
        <is>
          <t>LCU</t>
        </is>
      </c>
      <c r="J524" s="118" t="inlineStr">
        <is>
          <t>consumption x budget share</t>
        </is>
      </c>
      <c r="K524" s="9" t="str">
        <f>LOWER(CtryCode)&amp;".distn."&amp;$A524&amp;IF($B524="","","."&amp;$B524)&amp;IF($C524="","",".dec."&amp;$C524)&amp;"."&amp;K$5</f>
        <v>egy.distn.abud.ccl.dec.ove.1</v>
      </c>
      <c r="L524" s="108">
        <f t="shared" ref="L524:V524" si="848">L325*L207/PctPerUnit</f>
        <v>2.978769119893562</v>
      </c>
      <c r="M524" s="109">
        <f t="shared" si="848"/>
        <v>2.728447493509425</v>
      </c>
      <c r="N524" s="109">
        <f t="shared" si="848"/>
        <v>2.0442923725498976</v>
      </c>
      <c r="O524" s="109">
        <f t="shared" si="848"/>
        <v>2.649873965715214</v>
      </c>
      <c r="P524" s="109">
        <f t="shared" si="848"/>
        <v>2.1669749804099587</v>
      </c>
      <c r="Q524" s="109">
        <f t="shared" si="848"/>
        <v>1.7878133138070122</v>
      </c>
      <c r="R524" s="109">
        <f t="shared" si="848"/>
        <v>1.801773675696276</v>
      </c>
      <c r="S524" s="109">
        <f t="shared" si="848"/>
        <v>2.5364563934034483</v>
      </c>
      <c r="T524" s="109">
        <f t="shared" si="848"/>
        <v>2.835539163826961</v>
      </c>
      <c r="U524" s="109">
        <f t="shared" si="848"/>
        <v>2.6532009591210213</v>
      </c>
      <c r="V524" s="109">
        <f t="shared" si="848"/>
        <v>1.8795024215811624</v>
      </c>
      <c r="W524" s="201" t="str">
        <f>IF(X$5=K$5,SUM(Y524:AI524)-SUM(L524:V524),"")</f>
        <v/>
      </c>
      <c r="X524" s="9" t="str">
        <f>LOWER(CtryCode)&amp;".distn."&amp;$A524&amp;IF($B524="","","."&amp;$B524)&amp;IF($C524="","",".dec."&amp;$C524)&amp;"."&amp;X$5</f>
        <v>egy.distn.abud.ccl.dec.ove.2</v>
      </c>
      <c r="Y524" s="108">
        <f t="shared" ref="Y524:AI524" si="849">Y325*Y207/PctPerUnit</f>
        <v>2.978769119893562</v>
      </c>
      <c r="Z524" s="109">
        <f t="shared" si="849"/>
        <v>2.728447493509425</v>
      </c>
      <c r="AA524" s="109">
        <f t="shared" si="849"/>
        <v>2.0442923725498976</v>
      </c>
      <c r="AB524" s="109">
        <f t="shared" si="849"/>
        <v>2.649873965715214</v>
      </c>
      <c r="AC524" s="109">
        <f t="shared" si="849"/>
        <v>2.1669749804099587</v>
      </c>
      <c r="AD524" s="109">
        <f t="shared" si="849"/>
        <v>1.7878133138070122</v>
      </c>
      <c r="AE524" s="109">
        <f t="shared" si="849"/>
        <v>1.801773675696276</v>
      </c>
      <c r="AF524" s="109">
        <f t="shared" si="849"/>
        <v>2.5364563934034483</v>
      </c>
      <c r="AG524" s="109">
        <f t="shared" si="849"/>
        <v>2.835539163826961</v>
      </c>
      <c r="AH524" s="109">
        <f t="shared" si="849"/>
        <v>2.6532009591210213</v>
      </c>
      <c r="AI524" s="109">
        <f t="shared" si="849"/>
        <v>1.8795024215811624</v>
      </c>
    </row>
    <row r="525" hidden="1" outlineLevel="1">
      <c r="A525" s="44" t="inlineStr">
        <is>
          <t>abud</t>
        </is>
      </c>
      <c r="B525" s="3" t="inlineStr">
        <is>
          <t>ethanol</t>
        </is>
      </c>
      <c r="C525" s="3" t="inlineStr">
        <is>
          <t>ove</t>
        </is>
      </c>
      <c r="D525" s="3" t="n"/>
      <c r="E525" s="3" t="n"/>
      <c r="H525" s="3" t="inlineStr">
        <is>
          <t>Ethanol: spending per capita</t>
        </is>
      </c>
      <c r="I525" s="3" t="inlineStr">
        <is>
          <t>LCU</t>
        </is>
      </c>
      <c r="J525" s="118" t="inlineStr">
        <is>
          <t>consumption x budget share</t>
        </is>
      </c>
      <c r="K525" s="9" t="str">
        <f>LOWER(CtryCode)&amp;".distn."&amp;$A525&amp;IF($B525="","","."&amp;$B525)&amp;IF($C525="","",".dec."&amp;$C525)&amp;"."&amp;K$5</f>
        <v>egy.distn.abud.ethanol.dec.ove.1</v>
      </c>
      <c r="L525" s="108">
        <f t="shared" ref="L525:V525" si="850">L325*L208/PctPerUnit</f>
        <v>0.0</v>
      </c>
      <c r="M525" s="109">
        <f t="shared" si="850"/>
        <v>0.0</v>
      </c>
      <c r="N525" s="109">
        <f t="shared" si="850"/>
        <v>0.0</v>
      </c>
      <c r="O525" s="109">
        <f t="shared" si="850"/>
        <v>0.0</v>
      </c>
      <c r="P525" s="109">
        <f t="shared" si="850"/>
        <v>0.0</v>
      </c>
      <c r="Q525" s="109">
        <f t="shared" si="850"/>
        <v>0.0</v>
      </c>
      <c r="R525" s="109">
        <f t="shared" si="850"/>
        <v>0.0071168705931730835</v>
      </c>
      <c r="S525" s="109">
        <f t="shared" si="850"/>
        <v>0.0</v>
      </c>
      <c r="T525" s="109">
        <f t="shared" si="850"/>
        <v>0.010088697907625566</v>
      </c>
      <c r="U525" s="109">
        <f t="shared" si="850"/>
        <v>0.011202546501278408</v>
      </c>
      <c r="V525" s="109">
        <f t="shared" si="850"/>
        <v>0.01596153631593507</v>
      </c>
      <c r="W525" s="201" t="str">
        <f>IF(X$5=K$5,SUM(Y525:AI525)-SUM(L525:V525),"")</f>
        <v/>
      </c>
      <c r="X525" s="9" t="str">
        <f>LOWER(CtryCode)&amp;".distn."&amp;$A525&amp;IF($B525="","","."&amp;$B525)&amp;IF($C525="","",".dec."&amp;$C525)&amp;"."&amp;X$5</f>
        <v>egy.distn.abud.ethanol.dec.ove.2</v>
      </c>
      <c r="Y525" s="108">
        <f t="shared" ref="Y525:AI525" si="851">Y325*Y208/PctPerUnit</f>
        <v>0.0</v>
      </c>
      <c r="Z525" s="109">
        <f t="shared" si="851"/>
        <v>0.0</v>
      </c>
      <c r="AA525" s="109">
        <f t="shared" si="851"/>
        <v>0.0</v>
      </c>
      <c r="AB525" s="109">
        <f t="shared" si="851"/>
        <v>0.0</v>
      </c>
      <c r="AC525" s="109">
        <f t="shared" si="851"/>
        <v>0.0</v>
      </c>
      <c r="AD525" s="109">
        <f t="shared" si="851"/>
        <v>0.0</v>
      </c>
      <c r="AE525" s="109">
        <f t="shared" si="851"/>
        <v>0.0071168705931730835</v>
      </c>
      <c r="AF525" s="109">
        <f t="shared" si="851"/>
        <v>0.0</v>
      </c>
      <c r="AG525" s="109">
        <f t="shared" si="851"/>
        <v>0.010088697907625566</v>
      </c>
      <c r="AH525" s="109">
        <f t="shared" si="851"/>
        <v>0.011202546501278408</v>
      </c>
      <c r="AI525" s="109">
        <f t="shared" si="851"/>
        <v>0.01596153631593507</v>
      </c>
    </row>
    <row r="526" hidden="1" outlineLevel="1">
      <c r="A526" s="44" t="inlineStr">
        <is>
          <t>abud</t>
        </is>
      </c>
      <c r="B526" s="3" t="inlineStr">
        <is>
          <t>fwd</t>
        </is>
      </c>
      <c r="C526" s="3" t="inlineStr">
        <is>
          <t>ove</t>
        </is>
      </c>
      <c r="D526" s="3" t="n"/>
      <c r="E526" s="3" t="n"/>
      <c r="H526" s="3" t="inlineStr">
        <is>
          <t>Firewood: spending per capita</t>
        </is>
      </c>
      <c r="I526" s="3" t="inlineStr">
        <is>
          <t>LCU</t>
        </is>
      </c>
      <c r="J526" s="118" t="inlineStr">
        <is>
          <t>consumption x budget share</t>
        </is>
      </c>
      <c r="K526" s="9" t="str">
        <f>LOWER(CtryCode)&amp;".distn."&amp;$A526&amp;IF($B526="","","."&amp;$B526)&amp;IF($C526="","",".dec."&amp;$C526)&amp;"."&amp;K$5</f>
        <v>egy.distn.abud.fwd.dec.ove.1</v>
      </c>
      <c r="L526" s="108">
        <f t="shared" ref="L526:V526" si="852">L325*L209/PctPerUnit</f>
        <v>0.15257766857229604</v>
      </c>
      <c r="M526" s="109">
        <f t="shared" si="852"/>
        <v>0.1651179975495376</v>
      </c>
      <c r="N526" s="109">
        <f t="shared" si="852"/>
        <v>0.10191501952825455</v>
      </c>
      <c r="O526" s="109">
        <f t="shared" si="852"/>
        <v>0.14432650112913634</v>
      </c>
      <c r="P526" s="109">
        <f t="shared" si="852"/>
        <v>0.12840969598365531</v>
      </c>
      <c r="Q526" s="109">
        <f t="shared" si="852"/>
        <v>0.09448542146536719</v>
      </c>
      <c r="R526" s="109">
        <f t="shared" si="852"/>
        <v>0.09412322147378491</v>
      </c>
      <c r="S526" s="109">
        <f t="shared" si="852"/>
        <v>0.12508792005303246</v>
      </c>
      <c r="T526" s="109">
        <f t="shared" si="852"/>
        <v>0.16728493793543586</v>
      </c>
      <c r="U526" s="109">
        <f t="shared" si="852"/>
        <v>0.12011164882162538</v>
      </c>
      <c r="V526" s="109">
        <f t="shared" si="852"/>
        <v>0.10986260516750689</v>
      </c>
      <c r="W526" s="201" t="str">
        <f>IF(X$5=K$5,SUM(Y526:AI526)-SUM(L526:V526),"")</f>
        <v/>
      </c>
      <c r="X526" s="9" t="str">
        <f>LOWER(CtryCode)&amp;".distn."&amp;$A526&amp;IF($B526="","","."&amp;$B526)&amp;IF($C526="","",".dec."&amp;$C526)&amp;"."&amp;X$5</f>
        <v>egy.distn.abud.fwd.dec.ove.2</v>
      </c>
      <c r="Y526" s="108">
        <f t="shared" ref="Y526:AI526" si="853">Y325*Y209/PctPerUnit</f>
        <v>0.15257766857229604</v>
      </c>
      <c r="Z526" s="109">
        <f t="shared" si="853"/>
        <v>0.1651179975495376</v>
      </c>
      <c r="AA526" s="109">
        <f t="shared" si="853"/>
        <v>0.10191501952825455</v>
      </c>
      <c r="AB526" s="109">
        <f t="shared" si="853"/>
        <v>0.14432650112913634</v>
      </c>
      <c r="AC526" s="109">
        <f t="shared" si="853"/>
        <v>0.12840969598365531</v>
      </c>
      <c r="AD526" s="109">
        <f t="shared" si="853"/>
        <v>0.09448542146536719</v>
      </c>
      <c r="AE526" s="109">
        <f t="shared" si="853"/>
        <v>0.09412322147378491</v>
      </c>
      <c r="AF526" s="109">
        <f t="shared" si="853"/>
        <v>0.12508792005303246</v>
      </c>
      <c r="AG526" s="109">
        <f t="shared" si="853"/>
        <v>0.16728493793543586</v>
      </c>
      <c r="AH526" s="109">
        <f t="shared" si="853"/>
        <v>0.12011164882162538</v>
      </c>
      <c r="AI526" s="109">
        <f t="shared" si="853"/>
        <v>0.10986260516750689</v>
      </c>
    </row>
    <row r="527" hidden="1" outlineLevel="1">
      <c r="A527" s="44" t="inlineStr">
        <is>
          <t>abud</t>
        </is>
      </c>
      <c r="B527" s="3" t="inlineStr">
        <is>
          <t>app</t>
        </is>
      </c>
      <c r="C527" s="3" t="inlineStr">
        <is>
          <t>ove</t>
        </is>
      </c>
      <c r="D527" s="3" t="n"/>
      <c r="E527" s="3" t="n"/>
      <c r="H527" s="3" t="inlineStr">
        <is>
          <t>Appliances: spending per capita</t>
        </is>
      </c>
      <c r="I527" s="3" t="inlineStr">
        <is>
          <t>LCU</t>
        </is>
      </c>
      <c r="J527" s="118" t="inlineStr">
        <is>
          <t>consumption x budget share</t>
        </is>
      </c>
      <c r="K527" s="9" t="str">
        <f>LOWER(CtryCode)&amp;".distn."&amp;$A527&amp;IF($B527="","","."&amp;$B527)&amp;IF($C527="","",".dec."&amp;$C527)&amp;"."&amp;K$5</f>
        <v>egy.distn.abud.app.dec.ove.1</v>
      </c>
      <c r="L527" s="108">
        <f t="shared" ref="L527:V527" si="854">L325*L193/PctPerUnit</f>
        <v>1281.245115106429</v>
      </c>
      <c r="M527" s="109">
        <f t="shared" si="854"/>
        <v>537.0382979429655</v>
      </c>
      <c r="N527" s="109">
        <f t="shared" si="854"/>
        <v>653.721297717239</v>
      </c>
      <c r="O527" s="109">
        <f t="shared" si="854"/>
        <v>788.0916720189193</v>
      </c>
      <c r="P527" s="109">
        <f t="shared" si="854"/>
        <v>897.937299510976</v>
      </c>
      <c r="Q527" s="109">
        <f t="shared" si="854"/>
        <v>1038.0839227871659</v>
      </c>
      <c r="R527" s="109">
        <f t="shared" si="854"/>
        <v>1094.2233615009386</v>
      </c>
      <c r="S527" s="109">
        <f t="shared" si="854"/>
        <v>1468.3099519685877</v>
      </c>
      <c r="T527" s="109">
        <f t="shared" si="854"/>
        <v>1664.057359289142</v>
      </c>
      <c r="U527" s="109">
        <f t="shared" si="854"/>
        <v>1776.733438557761</v>
      </c>
      <c r="V527" s="109">
        <f t="shared" si="854"/>
        <v>2769.7903306108556</v>
      </c>
      <c r="W527" s="201" t="str">
        <f>IF(X$5=K$5,SUM(Y527:AI527)-SUM(L527:V527),"")</f>
        <v/>
      </c>
      <c r="X527" s="9" t="str">
        <f>LOWER(CtryCode)&amp;".distn."&amp;$A527&amp;IF($B527="","","."&amp;$B527)&amp;IF($C527="","",".dec."&amp;$C527)&amp;"."&amp;X$5</f>
        <v>egy.distn.abud.app.dec.ove.2</v>
      </c>
      <c r="Y527" s="108">
        <f t="shared" ref="Y527:AI527" si="855">Y325*Y193/PctPerUnit</f>
        <v>1281.245115106429</v>
      </c>
      <c r="Z527" s="109">
        <f t="shared" si="855"/>
        <v>537.0382979429655</v>
      </c>
      <c r="AA527" s="109">
        <f t="shared" si="855"/>
        <v>653.721297717239</v>
      </c>
      <c r="AB527" s="109">
        <f t="shared" si="855"/>
        <v>788.0916720189193</v>
      </c>
      <c r="AC527" s="109">
        <f t="shared" si="855"/>
        <v>897.937299510976</v>
      </c>
      <c r="AD527" s="109">
        <f t="shared" si="855"/>
        <v>1038.0839227871659</v>
      </c>
      <c r="AE527" s="109">
        <f t="shared" si="855"/>
        <v>1094.2233615009386</v>
      </c>
      <c r="AF527" s="109">
        <f t="shared" si="855"/>
        <v>1468.3099519685877</v>
      </c>
      <c r="AG527" s="109">
        <f t="shared" si="855"/>
        <v>1664.057359289142</v>
      </c>
      <c r="AH527" s="109">
        <f t="shared" si="855"/>
        <v>1776.733438557761</v>
      </c>
      <c r="AI527" s="109">
        <f t="shared" si="855"/>
        <v>2769.7903306108556</v>
      </c>
    </row>
    <row r="528" hidden="1" outlineLevel="1">
      <c r="A528" s="44" t="inlineStr">
        <is>
          <t>abud</t>
        </is>
      </c>
      <c r="B528" s="3" t="inlineStr">
        <is>
          <t>che</t>
        </is>
      </c>
      <c r="C528" s="3" t="inlineStr">
        <is>
          <t>ove</t>
        </is>
      </c>
      <c r="D528" s="3" t="n"/>
      <c r="E528" s="3" t="n"/>
      <c r="H528" s="3" t="inlineStr">
        <is>
          <t>Chemicals: spending per capita</t>
        </is>
      </c>
      <c r="I528" s="3" t="inlineStr">
        <is>
          <t>LCU</t>
        </is>
      </c>
      <c r="J528" s="118" t="inlineStr">
        <is>
          <t>consumption x budget share</t>
        </is>
      </c>
      <c r="K528" s="9" t="str">
        <f>LOWER(CtryCode)&amp;".distn."&amp;$A528&amp;IF($B528="","","."&amp;$B528)&amp;IF($C528="","",".dec."&amp;$C528)&amp;"."&amp;K$5</f>
        <v>egy.distn.abud.che.dec.ove.1</v>
      </c>
      <c r="L528" s="108">
        <f t="shared" ref="L528:V528" si="856">L325*L194/PctPerUnit</f>
        <v>2806.4583468012343</v>
      </c>
      <c r="M528" s="109">
        <f t="shared" si="856"/>
        <v>1318.3094606786137</v>
      </c>
      <c r="N528" s="109">
        <f t="shared" si="856"/>
        <v>1512.5425475994612</v>
      </c>
      <c r="O528" s="109">
        <f t="shared" si="856"/>
        <v>1698.1468651930231</v>
      </c>
      <c r="P528" s="109">
        <f t="shared" si="856"/>
        <v>2104.185655751325</v>
      </c>
      <c r="Q528" s="109">
        <f t="shared" si="856"/>
        <v>2350.1009015904788</v>
      </c>
      <c r="R528" s="109">
        <f t="shared" si="856"/>
        <v>2335.897347130234</v>
      </c>
      <c r="S528" s="109">
        <f t="shared" si="856"/>
        <v>2863.113976055485</v>
      </c>
      <c r="T528" s="109">
        <f t="shared" si="856"/>
        <v>3317.397802679577</v>
      </c>
      <c r="U528" s="109">
        <f t="shared" si="856"/>
        <v>4214.147164214159</v>
      </c>
      <c r="V528" s="109">
        <f t="shared" si="856"/>
        <v>5492.052361767527</v>
      </c>
      <c r="W528" s="201" t="str">
        <f>IF(X$5=K$5,SUM(Y528:AI528)-SUM(L528:V528),"")</f>
        <v/>
      </c>
      <c r="X528" s="9" t="str">
        <f>LOWER(CtryCode)&amp;".distn."&amp;$A528&amp;IF($B528="","","."&amp;$B528)&amp;IF($C528="","",".dec."&amp;$C528)&amp;"."&amp;X$5</f>
        <v>egy.distn.abud.che.dec.ove.2</v>
      </c>
      <c r="Y528" s="108">
        <f t="shared" ref="Y528:AI528" si="857">Y325*Y194/PctPerUnit</f>
        <v>2806.4583468012343</v>
      </c>
      <c r="Z528" s="109">
        <f t="shared" si="857"/>
        <v>1318.3094606786137</v>
      </c>
      <c r="AA528" s="109">
        <f t="shared" si="857"/>
        <v>1512.5425475994612</v>
      </c>
      <c r="AB528" s="109">
        <f t="shared" si="857"/>
        <v>1698.1468651930231</v>
      </c>
      <c r="AC528" s="109">
        <f t="shared" si="857"/>
        <v>2104.185655751325</v>
      </c>
      <c r="AD528" s="109">
        <f t="shared" si="857"/>
        <v>2350.1009015904788</v>
      </c>
      <c r="AE528" s="109">
        <f t="shared" si="857"/>
        <v>2335.897347130234</v>
      </c>
      <c r="AF528" s="109">
        <f t="shared" si="857"/>
        <v>2863.113976055485</v>
      </c>
      <c r="AG528" s="109">
        <f t="shared" si="857"/>
        <v>3317.397802679577</v>
      </c>
      <c r="AH528" s="109">
        <f t="shared" si="857"/>
        <v>4214.147164214159</v>
      </c>
      <c r="AI528" s="109">
        <f t="shared" si="857"/>
        <v>5492.052361767527</v>
      </c>
    </row>
    <row r="529" hidden="1" outlineLevel="1">
      <c r="A529" s="44" t="inlineStr">
        <is>
          <t>abud</t>
        </is>
      </c>
      <c r="B529" s="3" t="inlineStr">
        <is>
          <t>clo</t>
        </is>
      </c>
      <c r="C529" s="3" t="inlineStr">
        <is>
          <t>ove</t>
        </is>
      </c>
      <c r="D529" s="3" t="n"/>
      <c r="E529" s="3" t="n"/>
      <c r="H529" s="3" t="inlineStr">
        <is>
          <t>Clothing: spending per capita</t>
        </is>
      </c>
      <c r="I529" s="3" t="inlineStr">
        <is>
          <t>LCU</t>
        </is>
      </c>
      <c r="J529" s="118" t="inlineStr">
        <is>
          <t>consumption x budget share</t>
        </is>
      </c>
      <c r="K529" s="9" t="str">
        <f>LOWER(CtryCode)&amp;".distn."&amp;$A529&amp;IF($B529="","","."&amp;$B529)&amp;IF($C529="","",".dec."&amp;$C529)&amp;"."&amp;K$5</f>
        <v>egy.distn.abud.clo.dec.ove.1</v>
      </c>
      <c r="L529" s="108">
        <f t="shared" ref="L529:V529" si="858">L325*L195/PctPerUnit</f>
        <v>4315.492080758605</v>
      </c>
      <c r="M529" s="109">
        <f t="shared" si="858"/>
        <v>1792.4571970386573</v>
      </c>
      <c r="N529" s="109">
        <f t="shared" si="858"/>
        <v>2120.343204601714</v>
      </c>
      <c r="O529" s="109">
        <f t="shared" si="858"/>
        <v>3124.9116002954397</v>
      </c>
      <c r="P529" s="109">
        <f t="shared" si="858"/>
        <v>3377.4233825138635</v>
      </c>
      <c r="Q529" s="109">
        <f t="shared" si="858"/>
        <v>3558.7001689045464</v>
      </c>
      <c r="R529" s="109">
        <f t="shared" si="858"/>
        <v>3737.8718454929062</v>
      </c>
      <c r="S529" s="109">
        <f t="shared" si="858"/>
        <v>4890.459789521817</v>
      </c>
      <c r="T529" s="109">
        <f t="shared" si="858"/>
        <v>4745.96077404806</v>
      </c>
      <c r="U529" s="109">
        <f t="shared" si="858"/>
        <v>5844.141632974952</v>
      </c>
      <c r="V529" s="109">
        <f t="shared" si="858"/>
        <v>6625.550244104367</v>
      </c>
      <c r="W529" s="201" t="str">
        <f>IF(X$5=K$5,SUM(Y529:AI529)-SUM(L529:V529),"")</f>
        <v/>
      </c>
      <c r="X529" s="9" t="str">
        <f>LOWER(CtryCode)&amp;".distn."&amp;$A529&amp;IF($B529="","","."&amp;$B529)&amp;IF($C529="","",".dec."&amp;$C529)&amp;"."&amp;X$5</f>
        <v>egy.distn.abud.clo.dec.ove.2</v>
      </c>
      <c r="Y529" s="108">
        <f t="shared" ref="Y529:AI529" si="859">Y325*Y195/PctPerUnit</f>
        <v>4315.492080758605</v>
      </c>
      <c r="Z529" s="109">
        <f t="shared" si="859"/>
        <v>1792.4571970386573</v>
      </c>
      <c r="AA529" s="109">
        <f t="shared" si="859"/>
        <v>2120.343204601714</v>
      </c>
      <c r="AB529" s="109">
        <f t="shared" si="859"/>
        <v>3124.9116002954397</v>
      </c>
      <c r="AC529" s="109">
        <f t="shared" si="859"/>
        <v>3377.4233825138635</v>
      </c>
      <c r="AD529" s="109">
        <f t="shared" si="859"/>
        <v>3558.7001689045464</v>
      </c>
      <c r="AE529" s="109">
        <f t="shared" si="859"/>
        <v>3737.8718454929062</v>
      </c>
      <c r="AF529" s="109">
        <f t="shared" si="859"/>
        <v>4890.459789521817</v>
      </c>
      <c r="AG529" s="109">
        <f t="shared" si="859"/>
        <v>4745.96077404806</v>
      </c>
      <c r="AH529" s="109">
        <f t="shared" si="859"/>
        <v>5844.141632974952</v>
      </c>
      <c r="AI529" s="109">
        <f t="shared" si="859"/>
        <v>6625.550244104367</v>
      </c>
    </row>
    <row r="530" hidden="1" outlineLevel="1">
      <c r="A530" s="44" t="inlineStr">
        <is>
          <t>abud</t>
        </is>
      </c>
      <c r="B530" s="3" t="inlineStr">
        <is>
          <t>com</t>
        </is>
      </c>
      <c r="C530" s="3" t="inlineStr">
        <is>
          <t>ove</t>
        </is>
      </c>
      <c r="D530" s="3" t="n"/>
      <c r="E530" s="3" t="n"/>
      <c r="H530" s="3" t="inlineStr">
        <is>
          <t>Communications: spending per capita</t>
        </is>
      </c>
      <c r="I530" s="3" t="inlineStr">
        <is>
          <t>LCU</t>
        </is>
      </c>
      <c r="J530" s="118" t="inlineStr">
        <is>
          <t>consumption x budget share</t>
        </is>
      </c>
      <c r="K530" s="9" t="str">
        <f>LOWER(CtryCode)&amp;".distn."&amp;$A530&amp;IF($B530="","","."&amp;$B530)&amp;IF($C530="","",".dec."&amp;$C530)&amp;"."&amp;K$5</f>
        <v>egy.distn.abud.com.dec.ove.1</v>
      </c>
      <c r="L530" s="108">
        <f t="shared" ref="L530:V530" si="860">L325*L196/PctPerUnit</f>
        <v>1842.1613289980328</v>
      </c>
      <c r="M530" s="109">
        <f t="shared" si="860"/>
        <v>656.180950268682</v>
      </c>
      <c r="N530" s="109">
        <f t="shared" si="860"/>
        <v>912.8944052068583</v>
      </c>
      <c r="O530" s="109">
        <f t="shared" si="860"/>
        <v>1128.8353523820028</v>
      </c>
      <c r="P530" s="109">
        <f t="shared" si="860"/>
        <v>1625.5766375052378</v>
      </c>
      <c r="Q530" s="109">
        <f t="shared" si="860"/>
        <v>1695.5696335599982</v>
      </c>
      <c r="R530" s="109">
        <f t="shared" si="860"/>
        <v>1877.9689418300115</v>
      </c>
      <c r="S530" s="109">
        <f t="shared" si="860"/>
        <v>2201.3949554220917</v>
      </c>
      <c r="T530" s="109">
        <f t="shared" si="860"/>
        <v>2713.1906288036153</v>
      </c>
      <c r="U530" s="109">
        <f t="shared" si="860"/>
        <v>3669.5497805971368</v>
      </c>
      <c r="V530" s="109">
        <f t="shared" si="860"/>
        <v>5056.296595217754</v>
      </c>
      <c r="W530" s="201" t="str">
        <f>IF(X$5=K$5,SUM(Y530:AI530)-SUM(L530:V530),"")</f>
        <v/>
      </c>
      <c r="X530" s="9" t="str">
        <f>LOWER(CtryCode)&amp;".distn."&amp;$A530&amp;IF($B530="","","."&amp;$B530)&amp;IF($C530="","",".dec."&amp;$C530)&amp;"."&amp;X$5</f>
        <v>egy.distn.abud.com.dec.ove.2</v>
      </c>
      <c r="Y530" s="108">
        <f t="shared" ref="Y530:AI530" si="861">Y325*Y196/PctPerUnit</f>
        <v>1842.1613289980328</v>
      </c>
      <c r="Z530" s="109">
        <f t="shared" si="861"/>
        <v>656.180950268682</v>
      </c>
      <c r="AA530" s="109">
        <f t="shared" si="861"/>
        <v>912.8944052068583</v>
      </c>
      <c r="AB530" s="109">
        <f t="shared" si="861"/>
        <v>1128.8353523820028</v>
      </c>
      <c r="AC530" s="109">
        <f t="shared" si="861"/>
        <v>1625.5766375052378</v>
      </c>
      <c r="AD530" s="109">
        <f t="shared" si="861"/>
        <v>1695.5696335599982</v>
      </c>
      <c r="AE530" s="109">
        <f t="shared" si="861"/>
        <v>1877.9689418300115</v>
      </c>
      <c r="AF530" s="109">
        <f t="shared" si="861"/>
        <v>2201.3949554220917</v>
      </c>
      <c r="AG530" s="109">
        <f t="shared" si="861"/>
        <v>2713.1906288036153</v>
      </c>
      <c r="AH530" s="109">
        <f t="shared" si="861"/>
        <v>3669.5497805971368</v>
      </c>
      <c r="AI530" s="109">
        <f t="shared" si="861"/>
        <v>5056.296595217754</v>
      </c>
    </row>
    <row r="531" hidden="1" outlineLevel="1">
      <c r="A531" s="44" t="inlineStr">
        <is>
          <t>abud</t>
        </is>
      </c>
      <c r="B531" s="3" t="inlineStr">
        <is>
          <t>edu</t>
        </is>
      </c>
      <c r="C531" s="3" t="inlineStr">
        <is>
          <t>ove</t>
        </is>
      </c>
      <c r="D531" s="3" t="n"/>
      <c r="E531" s="3" t="n"/>
      <c r="H531" s="3" t="inlineStr">
        <is>
          <t>Education: spending per capita</t>
        </is>
      </c>
      <c r="I531" s="3" t="inlineStr">
        <is>
          <t>LCU</t>
        </is>
      </c>
      <c r="J531" s="118" t="inlineStr">
        <is>
          <t>consumption x budget share</t>
        </is>
      </c>
      <c r="K531" s="9" t="str">
        <f>LOWER(CtryCode)&amp;".distn."&amp;$A531&amp;IF($B531="","","."&amp;$B531)&amp;IF($C531="","",".dec."&amp;$C531)&amp;"."&amp;K$5</f>
        <v>egy.distn.abud.edu.dec.ove.1</v>
      </c>
      <c r="L531" s="108">
        <f t="shared" ref="L531:V531" si="862">L325*L197/PctPerUnit</f>
        <v>2514.5651441912646</v>
      </c>
      <c r="M531" s="109">
        <f t="shared" si="862"/>
        <v>915.7147935195768</v>
      </c>
      <c r="N531" s="109">
        <f t="shared" si="862"/>
        <v>1533.647285902757</v>
      </c>
      <c r="O531" s="109">
        <f t="shared" si="862"/>
        <v>2002.5011307627574</v>
      </c>
      <c r="P531" s="109">
        <f t="shared" si="862"/>
        <v>2329.7653200821437</v>
      </c>
      <c r="Q531" s="109">
        <f t="shared" si="862"/>
        <v>2727.2951851590174</v>
      </c>
      <c r="R531" s="109">
        <f t="shared" si="862"/>
        <v>2683.4685754211505</v>
      </c>
      <c r="S531" s="109">
        <f t="shared" si="862"/>
        <v>3507.709135216917</v>
      </c>
      <c r="T531" s="109">
        <f t="shared" si="862"/>
        <v>3476.1799523464874</v>
      </c>
      <c r="U531" s="109">
        <f t="shared" si="862"/>
        <v>3083.4357470683917</v>
      </c>
      <c r="V531" s="109">
        <f t="shared" si="862"/>
        <v>2303.8039368224913</v>
      </c>
      <c r="W531" s="201" t="str">
        <f>IF(X$5=K$5,SUM(Y531:AI531)-SUM(L531:V531),"")</f>
        <v/>
      </c>
      <c r="X531" s="9" t="str">
        <f>LOWER(CtryCode)&amp;".distn."&amp;$A531&amp;IF($B531="","","."&amp;$B531)&amp;IF($C531="","",".dec."&amp;$C531)&amp;"."&amp;X$5</f>
        <v>egy.distn.abud.edu.dec.ove.2</v>
      </c>
      <c r="Y531" s="108">
        <f t="shared" ref="Y531:AI531" si="863">Y325*Y197/PctPerUnit</f>
        <v>2514.5651441912646</v>
      </c>
      <c r="Z531" s="109">
        <f t="shared" si="863"/>
        <v>915.7147935195768</v>
      </c>
      <c r="AA531" s="109">
        <f t="shared" si="863"/>
        <v>1533.647285902757</v>
      </c>
      <c r="AB531" s="109">
        <f t="shared" si="863"/>
        <v>2002.5011307627574</v>
      </c>
      <c r="AC531" s="109">
        <f t="shared" si="863"/>
        <v>2329.7653200821437</v>
      </c>
      <c r="AD531" s="109">
        <f t="shared" si="863"/>
        <v>2727.2951851590174</v>
      </c>
      <c r="AE531" s="109">
        <f t="shared" si="863"/>
        <v>2683.4685754211505</v>
      </c>
      <c r="AF531" s="109">
        <f t="shared" si="863"/>
        <v>3507.709135216917</v>
      </c>
      <c r="AG531" s="109">
        <f t="shared" si="863"/>
        <v>3476.1799523464874</v>
      </c>
      <c r="AH531" s="109">
        <f t="shared" si="863"/>
        <v>3083.4357470683917</v>
      </c>
      <c r="AI531" s="109">
        <f t="shared" si="863"/>
        <v>2303.8039368224913</v>
      </c>
    </row>
    <row r="532" hidden="1" outlineLevel="1">
      <c r="A532" s="44" t="inlineStr">
        <is>
          <t>abud</t>
        </is>
      </c>
      <c r="B532" s="3" t="inlineStr">
        <is>
          <t>food</t>
        </is>
      </c>
      <c r="C532" s="3" t="inlineStr">
        <is>
          <t>ove</t>
        </is>
      </c>
      <c r="D532" s="3" t="n"/>
      <c r="E532" s="3" t="n"/>
      <c r="H532" s="3" t="inlineStr">
        <is>
          <t>Food: spending per capita</t>
        </is>
      </c>
      <c r="I532" s="3" t="inlineStr">
        <is>
          <t>LCU</t>
        </is>
      </c>
      <c r="J532" s="118" t="inlineStr">
        <is>
          <t>consumption x budget share</t>
        </is>
      </c>
      <c r="K532" s="9" t="str">
        <f>LOWER(CtryCode)&amp;".distn."&amp;$A532&amp;IF($B532="","","."&amp;$B532)&amp;IF($C532="","",".dec."&amp;$C532)&amp;"."&amp;K$5</f>
        <v>egy.distn.abud.food.dec.ove.1</v>
      </c>
      <c r="L532" s="108">
        <f t="shared" ref="L532:V532" si="864">L325*L198/PctPerUnit</f>
        <v>37240.24765464428</v>
      </c>
      <c r="M532" s="109">
        <f t="shared" si="864"/>
        <v>16648.42481007979</v>
      </c>
      <c r="N532" s="109">
        <f t="shared" si="864"/>
        <v>23307.62141000044</v>
      </c>
      <c r="O532" s="109">
        <f t="shared" si="864"/>
        <v>26272.77278074507</v>
      </c>
      <c r="P532" s="109">
        <f t="shared" si="864"/>
        <v>31530.08125215864</v>
      </c>
      <c r="Q532" s="109">
        <f t="shared" si="864"/>
        <v>32277.359769788734</v>
      </c>
      <c r="R532" s="109">
        <f t="shared" si="864"/>
        <v>37526.86832894929</v>
      </c>
      <c r="S532" s="109">
        <f t="shared" si="864"/>
        <v>42673.82419042821</v>
      </c>
      <c r="T532" s="109">
        <f t="shared" si="864"/>
        <v>51922.66373901717</v>
      </c>
      <c r="U532" s="109">
        <f t="shared" si="864"/>
        <v>63601.69948188581</v>
      </c>
      <c r="V532" s="109">
        <f t="shared" si="864"/>
        <v>75451.87317400287</v>
      </c>
      <c r="W532" s="201" t="str">
        <f>IF(X$5=K$5,SUM(Y532:AI532)-SUM(L532:V532),"")</f>
        <v/>
      </c>
      <c r="X532" s="9" t="str">
        <f>LOWER(CtryCode)&amp;".distn."&amp;$A532&amp;IF($B532="","","."&amp;$B532)&amp;IF($C532="","",".dec."&amp;$C532)&amp;"."&amp;X$5</f>
        <v>egy.distn.abud.food.dec.ove.2</v>
      </c>
      <c r="Y532" s="108">
        <f t="shared" ref="Y532:AI532" si="865">Y325*Y198/PctPerUnit</f>
        <v>37240.24765464428</v>
      </c>
      <c r="Z532" s="109">
        <f t="shared" si="865"/>
        <v>16648.42481007979</v>
      </c>
      <c r="AA532" s="109">
        <f t="shared" si="865"/>
        <v>23307.62141000044</v>
      </c>
      <c r="AB532" s="109">
        <f t="shared" si="865"/>
        <v>26272.77278074507</v>
      </c>
      <c r="AC532" s="109">
        <f t="shared" si="865"/>
        <v>31530.08125215864</v>
      </c>
      <c r="AD532" s="109">
        <f t="shared" si="865"/>
        <v>32277.359769788734</v>
      </c>
      <c r="AE532" s="109">
        <f t="shared" si="865"/>
        <v>37526.86832894929</v>
      </c>
      <c r="AF532" s="109">
        <f t="shared" si="865"/>
        <v>42673.82419042821</v>
      </c>
      <c r="AG532" s="109">
        <f t="shared" si="865"/>
        <v>51922.66373901717</v>
      </c>
      <c r="AH532" s="109">
        <f t="shared" si="865"/>
        <v>63601.69948188581</v>
      </c>
      <c r="AI532" s="109">
        <f t="shared" si="865"/>
        <v>75451.87317400287</v>
      </c>
    </row>
    <row r="533" hidden="1" outlineLevel="1">
      <c r="A533" s="44" t="inlineStr">
        <is>
          <t>abud</t>
        </is>
      </c>
      <c r="B533" s="3" t="inlineStr">
        <is>
          <t>hea</t>
        </is>
      </c>
      <c r="C533" s="3" t="inlineStr">
        <is>
          <t>ove</t>
        </is>
      </c>
      <c r="D533" s="3" t="n"/>
      <c r="E533" s="3" t="n"/>
      <c r="H533" s="3" t="inlineStr">
        <is>
          <t>Health services: spending per capita</t>
        </is>
      </c>
      <c r="I533" s="3" t="inlineStr">
        <is>
          <t>LCU</t>
        </is>
      </c>
      <c r="J533" s="118" t="inlineStr">
        <is>
          <t>consumption x budget share</t>
        </is>
      </c>
      <c r="K533" s="9" t="str">
        <f>LOWER(CtryCode)&amp;".distn."&amp;$A533&amp;IF($B533="","","."&amp;$B533)&amp;IF($C533="","",".dec."&amp;$C533)&amp;"."&amp;K$5</f>
        <v>egy.distn.abud.hea.dec.ove.1</v>
      </c>
      <c r="L533" s="108">
        <f t="shared" ref="L533:V533" si="866">L325*L199/PctPerUnit</f>
        <v>2988.3877744936644</v>
      </c>
      <c r="M533" s="109">
        <f t="shared" si="866"/>
        <v>942.8913109340865</v>
      </c>
      <c r="N533" s="109">
        <f t="shared" si="866"/>
        <v>1215.6019774240337</v>
      </c>
      <c r="O533" s="109">
        <f t="shared" si="866"/>
        <v>1849.0981775963965</v>
      </c>
      <c r="P533" s="109">
        <f t="shared" si="866"/>
        <v>2131.6768506128246</v>
      </c>
      <c r="Q533" s="109">
        <f t="shared" si="866"/>
        <v>2459.4952185162124</v>
      </c>
      <c r="R533" s="109">
        <f t="shared" si="866"/>
        <v>2555.5291867277474</v>
      </c>
      <c r="S533" s="109">
        <f t="shared" si="866"/>
        <v>3910.584608358726</v>
      </c>
      <c r="T533" s="109">
        <f t="shared" si="866"/>
        <v>4393.876966831272</v>
      </c>
      <c r="U533" s="109">
        <f t="shared" si="866"/>
        <v>5682.732137116428</v>
      </c>
      <c r="V533" s="109">
        <f t="shared" si="866"/>
        <v>9436.023129116884</v>
      </c>
      <c r="W533" s="201" t="str">
        <f>IF(X$5=K$5,SUM(Y533:AI533)-SUM(L533:V533),"")</f>
        <v/>
      </c>
      <c r="X533" s="9" t="str">
        <f>LOWER(CtryCode)&amp;".distn."&amp;$A533&amp;IF($B533="","","."&amp;$B533)&amp;IF($C533="","",".dec."&amp;$C533)&amp;"."&amp;X$5</f>
        <v>egy.distn.abud.hea.dec.ove.2</v>
      </c>
      <c r="Y533" s="108">
        <f t="shared" ref="Y533:AI533" si="867">Y325*Y199/PctPerUnit</f>
        <v>2988.3877744936644</v>
      </c>
      <c r="Z533" s="109">
        <f t="shared" si="867"/>
        <v>942.8913109340865</v>
      </c>
      <c r="AA533" s="109">
        <f t="shared" si="867"/>
        <v>1215.6019774240337</v>
      </c>
      <c r="AB533" s="109">
        <f t="shared" si="867"/>
        <v>1849.0981775963965</v>
      </c>
      <c r="AC533" s="109">
        <f t="shared" si="867"/>
        <v>2131.6768506128246</v>
      </c>
      <c r="AD533" s="109">
        <f t="shared" si="867"/>
        <v>2459.4952185162124</v>
      </c>
      <c r="AE533" s="109">
        <f t="shared" si="867"/>
        <v>2555.5291867277474</v>
      </c>
      <c r="AF533" s="109">
        <f t="shared" si="867"/>
        <v>3910.584608358726</v>
      </c>
      <c r="AG533" s="109">
        <f t="shared" si="867"/>
        <v>4393.876966831272</v>
      </c>
      <c r="AH533" s="109">
        <f t="shared" si="867"/>
        <v>5682.732137116428</v>
      </c>
      <c r="AI533" s="109">
        <f t="shared" si="867"/>
        <v>9436.023129116884</v>
      </c>
    </row>
    <row r="534" hidden="1" outlineLevel="1">
      <c r="A534" s="44" t="inlineStr">
        <is>
          <t>abud</t>
        </is>
      </c>
      <c r="B534" s="3" t="inlineStr">
        <is>
          <t>hou</t>
        </is>
      </c>
      <c r="C534" s="3" t="inlineStr">
        <is>
          <t>ove</t>
        </is>
      </c>
      <c r="D534" s="3" t="n"/>
      <c r="E534" s="3" t="n"/>
      <c r="H534" s="3" t="inlineStr">
        <is>
          <t>Housing: spending per capita</t>
        </is>
      </c>
      <c r="I534" s="3" t="inlineStr">
        <is>
          <t>LCU</t>
        </is>
      </c>
      <c r="J534" s="118" t="inlineStr">
        <is>
          <t>consumption x budget share</t>
        </is>
      </c>
      <c r="K534" s="9" t="str">
        <f>LOWER(CtryCode)&amp;".distn."&amp;$A534&amp;IF($B534="","","."&amp;$B534)&amp;IF($C534="","",".dec."&amp;$C534)&amp;"."&amp;K$5</f>
        <v>egy.distn.abud.hou.dec.ove.1</v>
      </c>
      <c r="L534" s="108">
        <f t="shared" ref="L534:V534" si="868">L325*L200/PctPerUnit</f>
        <v>3385.9412130704673</v>
      </c>
      <c r="M534" s="109">
        <f t="shared" si="868"/>
        <v>1605.0878888811783</v>
      </c>
      <c r="N534" s="109">
        <f t="shared" si="868"/>
        <v>1701.7883777077461</v>
      </c>
      <c r="O534" s="109">
        <f t="shared" si="868"/>
        <v>2350.003638537784</v>
      </c>
      <c r="P534" s="109">
        <f t="shared" si="868"/>
        <v>2417.0629968842504</v>
      </c>
      <c r="Q534" s="109">
        <f t="shared" si="868"/>
        <v>2929.5689872095886</v>
      </c>
      <c r="R534" s="109">
        <f t="shared" si="868"/>
        <v>3011.050158032603</v>
      </c>
      <c r="S534" s="109">
        <f t="shared" si="868"/>
        <v>3732.5643023712737</v>
      </c>
      <c r="T534" s="109">
        <f t="shared" si="868"/>
        <v>4163.728762812647</v>
      </c>
      <c r="U534" s="109">
        <f t="shared" si="868"/>
        <v>4765.4538047399665</v>
      </c>
      <c r="V534" s="109">
        <f t="shared" si="868"/>
        <v>9413.768844408802</v>
      </c>
      <c r="W534" s="201" t="str">
        <f>IF(X$5=K$5,SUM(Y534:AI534)-SUM(L534:V534),"")</f>
        <v/>
      </c>
      <c r="X534" s="9" t="str">
        <f>LOWER(CtryCode)&amp;".distn."&amp;$A534&amp;IF($B534="","","."&amp;$B534)&amp;IF($C534="","",".dec."&amp;$C534)&amp;"."&amp;X$5</f>
        <v>egy.distn.abud.hou.dec.ove.2</v>
      </c>
      <c r="Y534" s="108">
        <f t="shared" ref="Y534:AI534" si="869">Y325*Y200/PctPerUnit</f>
        <v>3385.9412130704673</v>
      </c>
      <c r="Z534" s="109">
        <f t="shared" si="869"/>
        <v>1605.0878888811783</v>
      </c>
      <c r="AA534" s="109">
        <f t="shared" si="869"/>
        <v>1701.7883777077461</v>
      </c>
      <c r="AB534" s="109">
        <f t="shared" si="869"/>
        <v>2350.003638537784</v>
      </c>
      <c r="AC534" s="109">
        <f t="shared" si="869"/>
        <v>2417.0629968842504</v>
      </c>
      <c r="AD534" s="109">
        <f t="shared" si="869"/>
        <v>2929.5689872095886</v>
      </c>
      <c r="AE534" s="109">
        <f t="shared" si="869"/>
        <v>3011.050158032603</v>
      </c>
      <c r="AF534" s="109">
        <f t="shared" si="869"/>
        <v>3732.5643023712737</v>
      </c>
      <c r="AG534" s="109">
        <f t="shared" si="869"/>
        <v>4163.728762812647</v>
      </c>
      <c r="AH534" s="109">
        <f t="shared" si="869"/>
        <v>4765.4538047399665</v>
      </c>
      <c r="AI534" s="109">
        <f t="shared" si="869"/>
        <v>9413.768844408802</v>
      </c>
    </row>
    <row r="535" hidden="1" outlineLevel="1">
      <c r="A535" s="44" t="inlineStr">
        <is>
          <t>abud</t>
        </is>
      </c>
      <c r="B535" s="3" t="inlineStr">
        <is>
          <t>oth</t>
        </is>
      </c>
      <c r="C535" s="3" t="inlineStr">
        <is>
          <t>ove</t>
        </is>
      </c>
      <c r="D535" s="3" t="n"/>
      <c r="E535" s="3" t="n"/>
      <c r="H535" s="3" t="inlineStr">
        <is>
          <t>Other: spending per capita</t>
        </is>
      </c>
      <c r="I535" s="3" t="inlineStr">
        <is>
          <t>LCU</t>
        </is>
      </c>
      <c r="J535" s="118" t="inlineStr">
        <is>
          <t>consumption x budget share</t>
        </is>
      </c>
      <c r="K535" s="9" t="str">
        <f>LOWER(CtryCode)&amp;".distn."&amp;$A535&amp;IF($B535="","","."&amp;$B535)&amp;IF($C535="","",".dec."&amp;$C535)&amp;"."&amp;K$5</f>
        <v>egy.distn.abud.oth.dec.ove.1</v>
      </c>
      <c r="L535" s="108">
        <f t="shared" ref="L535:V535" si="870">L325*L201/PctPerUnit</f>
        <v>11.126829862723243</v>
      </c>
      <c r="M535" s="109">
        <f t="shared" si="870"/>
        <v>4.015392958566433</v>
      </c>
      <c r="N535" s="109">
        <f t="shared" si="870"/>
        <v>3.3638813657325097</v>
      </c>
      <c r="O535" s="109">
        <f t="shared" si="870"/>
        <v>3.0618996896766673</v>
      </c>
      <c r="P535" s="109">
        <f t="shared" si="870"/>
        <v>5.065311991662863</v>
      </c>
      <c r="Q535" s="109">
        <f t="shared" si="870"/>
        <v>12.75369877955405</v>
      </c>
      <c r="R535" s="109">
        <f t="shared" si="870"/>
        <v>10.0568217864322</v>
      </c>
      <c r="S535" s="109">
        <f t="shared" si="870"/>
        <v>11.597342734680781</v>
      </c>
      <c r="T535" s="109">
        <f t="shared" si="870"/>
        <v>17.355698016683252</v>
      </c>
      <c r="U535" s="109">
        <f t="shared" si="870"/>
        <v>18.45148314720727</v>
      </c>
      <c r="V535" s="109">
        <f t="shared" si="870"/>
        <v>44.60692096236194</v>
      </c>
      <c r="W535" s="201" t="str">
        <f>IF(X$5=K$5,SUM(Y535:AI535)-SUM(L535:V535),"")</f>
        <v/>
      </c>
      <c r="X535" s="9" t="str">
        <f>LOWER(CtryCode)&amp;".distn."&amp;$A535&amp;IF($B535="","","."&amp;$B535)&amp;IF($C535="","",".dec."&amp;$C535)&amp;"."&amp;X$5</f>
        <v>egy.distn.abud.oth.dec.ove.2</v>
      </c>
      <c r="Y535" s="108">
        <f t="shared" ref="Y535:AI535" si="871">Y325*Y201/PctPerUnit</f>
        <v>11.126829862723243</v>
      </c>
      <c r="Z535" s="109">
        <f t="shared" si="871"/>
        <v>4.015392958566433</v>
      </c>
      <c r="AA535" s="109">
        <f t="shared" si="871"/>
        <v>3.3638813657325097</v>
      </c>
      <c r="AB535" s="109">
        <f t="shared" si="871"/>
        <v>3.0618996896766673</v>
      </c>
      <c r="AC535" s="109">
        <f t="shared" si="871"/>
        <v>5.065311991662863</v>
      </c>
      <c r="AD535" s="109">
        <f t="shared" si="871"/>
        <v>12.75369877955405</v>
      </c>
      <c r="AE535" s="109">
        <f t="shared" si="871"/>
        <v>10.0568217864322</v>
      </c>
      <c r="AF535" s="109">
        <f t="shared" si="871"/>
        <v>11.597342734680781</v>
      </c>
      <c r="AG535" s="109">
        <f t="shared" si="871"/>
        <v>17.355698016683252</v>
      </c>
      <c r="AH535" s="109">
        <f t="shared" si="871"/>
        <v>18.45148314720727</v>
      </c>
      <c r="AI535" s="109">
        <f t="shared" si="871"/>
        <v>44.60692096236194</v>
      </c>
    </row>
    <row r="536" hidden="1" outlineLevel="1">
      <c r="A536" s="44" t="inlineStr">
        <is>
          <t>abud</t>
        </is>
      </c>
      <c r="B536" s="3" t="inlineStr">
        <is>
          <t>pap</t>
        </is>
      </c>
      <c r="C536" s="3" t="inlineStr">
        <is>
          <t>ove</t>
        </is>
      </c>
      <c r="D536" s="3" t="n"/>
      <c r="E536" s="3" t="n"/>
      <c r="H536" s="3" t="inlineStr">
        <is>
          <t>Paper: spending per capita</t>
        </is>
      </c>
      <c r="I536" s="3" t="inlineStr">
        <is>
          <t>LCU</t>
        </is>
      </c>
      <c r="J536" s="118" t="inlineStr">
        <is>
          <t>consumption x budget share</t>
        </is>
      </c>
      <c r="K536" s="9" t="str">
        <f>LOWER(CtryCode)&amp;".distn."&amp;$A536&amp;IF($B536="","","."&amp;$B536)&amp;IF($C536="","",".dec."&amp;$C536)&amp;"."&amp;K$5</f>
        <v>egy.distn.abud.pap.dec.ove.1</v>
      </c>
      <c r="L536" s="108">
        <f t="shared" ref="L536:V536" si="872">L325*L202/PctPerUnit</f>
        <v>1182.0529012442566</v>
      </c>
      <c r="M536" s="109">
        <f t="shared" si="872"/>
        <v>702.1433806629658</v>
      </c>
      <c r="N536" s="109">
        <f t="shared" si="872"/>
        <v>886.4524791599231</v>
      </c>
      <c r="O536" s="109">
        <f t="shared" si="872"/>
        <v>1064.189133571727</v>
      </c>
      <c r="P536" s="109">
        <f t="shared" si="872"/>
        <v>1187.3529454452002</v>
      </c>
      <c r="Q536" s="109">
        <f t="shared" si="872"/>
        <v>1247.344943336113</v>
      </c>
      <c r="R536" s="109">
        <f t="shared" si="872"/>
        <v>1200.4527075522415</v>
      </c>
      <c r="S536" s="109">
        <f t="shared" si="872"/>
        <v>1347.6288049427383</v>
      </c>
      <c r="T536" s="109">
        <f t="shared" si="872"/>
        <v>1214.1291927658704</v>
      </c>
      <c r="U536" s="109">
        <f t="shared" si="872"/>
        <v>1285.5196788428314</v>
      </c>
      <c r="V536" s="109">
        <f t="shared" si="872"/>
        <v>1330.5170779856232</v>
      </c>
      <c r="W536" s="201" t="str">
        <f>IF(X$5=K$5,SUM(Y536:AI536)-SUM(L536:V536),"")</f>
        <v/>
      </c>
      <c r="X536" s="9" t="str">
        <f>LOWER(CtryCode)&amp;".distn."&amp;$A536&amp;IF($B536="","","."&amp;$B536)&amp;IF($C536="","",".dec."&amp;$C536)&amp;"."&amp;X$5</f>
        <v>egy.distn.abud.pap.dec.ove.2</v>
      </c>
      <c r="Y536" s="108">
        <f t="shared" ref="Y536:AI536" si="873">Y325*Y202/PctPerUnit</f>
        <v>1182.0529012442566</v>
      </c>
      <c r="Z536" s="109">
        <f t="shared" si="873"/>
        <v>702.1433806629658</v>
      </c>
      <c r="AA536" s="109">
        <f t="shared" si="873"/>
        <v>886.4524791599231</v>
      </c>
      <c r="AB536" s="109">
        <f t="shared" si="873"/>
        <v>1064.189133571727</v>
      </c>
      <c r="AC536" s="109">
        <f t="shared" si="873"/>
        <v>1187.3529454452002</v>
      </c>
      <c r="AD536" s="109">
        <f t="shared" si="873"/>
        <v>1247.344943336113</v>
      </c>
      <c r="AE536" s="109">
        <f t="shared" si="873"/>
        <v>1200.4527075522415</v>
      </c>
      <c r="AF536" s="109">
        <f t="shared" si="873"/>
        <v>1347.6288049427383</v>
      </c>
      <c r="AG536" s="109">
        <f t="shared" si="873"/>
        <v>1214.1291927658704</v>
      </c>
      <c r="AH536" s="109">
        <f t="shared" si="873"/>
        <v>1285.5196788428314</v>
      </c>
      <c r="AI536" s="109">
        <f t="shared" si="873"/>
        <v>1330.5170779856232</v>
      </c>
    </row>
    <row r="537" hidden="1" outlineLevel="1">
      <c r="A537" s="44" t="inlineStr">
        <is>
          <t>abud</t>
        </is>
      </c>
      <c r="B537" s="3" t="inlineStr">
        <is>
          <t>pha</t>
        </is>
      </c>
      <c r="C537" s="3" t="inlineStr">
        <is>
          <t>ove</t>
        </is>
      </c>
      <c r="D537" s="3" t="n"/>
      <c r="E537" s="3" t="n"/>
      <c r="H537" s="3" t="inlineStr">
        <is>
          <t>Pharmaceuticals: spending per capita</t>
        </is>
      </c>
      <c r="I537" s="3" t="inlineStr">
        <is>
          <t>LCU</t>
        </is>
      </c>
      <c r="J537" s="118" t="inlineStr">
        <is>
          <t>consumption x budget share</t>
        </is>
      </c>
      <c r="K537" s="9" t="str">
        <f>LOWER(CtryCode)&amp;".distn."&amp;$A537&amp;IF($B537="","","."&amp;$B537)&amp;IF($C537="","",".dec."&amp;$C537)&amp;"."&amp;K$5</f>
        <v>egy.distn.abud.pha.dec.ove.1</v>
      </c>
      <c r="L537" s="108">
        <f t="shared" ref="L537:V537" si="874">L325*L203/PctPerUnit</f>
        <v>4991.051699127275</v>
      </c>
      <c r="M537" s="109">
        <f t="shared" si="874"/>
        <v>1516.8179429357997</v>
      </c>
      <c r="N537" s="109">
        <f t="shared" si="874"/>
        <v>1894.788840031673</v>
      </c>
      <c r="O537" s="109">
        <f t="shared" si="874"/>
        <v>2329.770063290582</v>
      </c>
      <c r="P537" s="109">
        <f t="shared" si="874"/>
        <v>2906.205999507267</v>
      </c>
      <c r="Q537" s="109">
        <f t="shared" si="874"/>
        <v>3465.9677647255385</v>
      </c>
      <c r="R537" s="109">
        <f t="shared" si="874"/>
        <v>4296.748854057785</v>
      </c>
      <c r="S537" s="109">
        <f t="shared" si="874"/>
        <v>5118.462411422021</v>
      </c>
      <c r="T537" s="109">
        <f t="shared" si="874"/>
        <v>7840.110281315212</v>
      </c>
      <c r="U537" s="109">
        <f t="shared" si="874"/>
        <v>9217.26662066284</v>
      </c>
      <c r="V537" s="109">
        <f t="shared" si="874"/>
        <v>15670.057276530775</v>
      </c>
      <c r="W537" s="201" t="str">
        <f>IF(X$5=K$5,SUM(Y537:AI537)-SUM(L537:V537),"")</f>
        <v/>
      </c>
      <c r="X537" s="9" t="str">
        <f>LOWER(CtryCode)&amp;".distn."&amp;$A537&amp;IF($B537="","","."&amp;$B537)&amp;IF($C537="","",".dec."&amp;$C537)&amp;"."&amp;X$5</f>
        <v>egy.distn.abud.pha.dec.ove.2</v>
      </c>
      <c r="Y537" s="108">
        <f t="shared" ref="Y537:AI537" si="875">Y325*Y203/PctPerUnit</f>
        <v>4991.051699127275</v>
      </c>
      <c r="Z537" s="109">
        <f t="shared" si="875"/>
        <v>1516.8179429357997</v>
      </c>
      <c r="AA537" s="109">
        <f t="shared" si="875"/>
        <v>1894.788840031673</v>
      </c>
      <c r="AB537" s="109">
        <f t="shared" si="875"/>
        <v>2329.770063290582</v>
      </c>
      <c r="AC537" s="109">
        <f t="shared" si="875"/>
        <v>2906.205999507267</v>
      </c>
      <c r="AD537" s="109">
        <f t="shared" si="875"/>
        <v>3465.9677647255385</v>
      </c>
      <c r="AE537" s="109">
        <f t="shared" si="875"/>
        <v>4296.748854057785</v>
      </c>
      <c r="AF537" s="109">
        <f t="shared" si="875"/>
        <v>5118.462411422021</v>
      </c>
      <c r="AG537" s="109">
        <f t="shared" si="875"/>
        <v>7840.110281315212</v>
      </c>
      <c r="AH537" s="109">
        <f t="shared" si="875"/>
        <v>9217.26662066284</v>
      </c>
      <c r="AI537" s="109">
        <f t="shared" si="875"/>
        <v>15670.057276530775</v>
      </c>
    </row>
    <row r="538" hidden="1" outlineLevel="1">
      <c r="A538" s="44" t="inlineStr">
        <is>
          <t>abud</t>
        </is>
      </c>
      <c r="B538" s="3" t="inlineStr">
        <is>
          <t>ret</t>
        </is>
      </c>
      <c r="C538" s="3" t="inlineStr">
        <is>
          <t>ove</t>
        </is>
      </c>
      <c r="D538" s="3" t="n"/>
      <c r="E538" s="3" t="n"/>
      <c r="H538" s="3" t="inlineStr">
        <is>
          <t>Recreation and tourism: spending per capita</t>
        </is>
      </c>
      <c r="I538" s="3" t="inlineStr">
        <is>
          <t>LCU</t>
        </is>
      </c>
      <c r="J538" s="118" t="inlineStr">
        <is>
          <t>consumption x budget share</t>
        </is>
      </c>
      <c r="K538" s="9" t="str">
        <f>LOWER(CtryCode)&amp;".distn."&amp;$A538&amp;IF($B538="","","."&amp;$B538)&amp;IF($C538="","",".dec."&amp;$C538)&amp;"."&amp;K$5</f>
        <v>egy.distn.abud.ret.dec.ove.1</v>
      </c>
      <c r="L538" s="108">
        <f t="shared" ref="L538:V538" si="876">L325*L204/PctPerUnit</f>
        <v>5333.2822172677015</v>
      </c>
      <c r="M538" s="109">
        <f t="shared" si="876"/>
        <v>2046.5960916739741</v>
      </c>
      <c r="N538" s="109">
        <f t="shared" si="876"/>
        <v>2587.3968350185</v>
      </c>
      <c r="O538" s="109">
        <f t="shared" si="876"/>
        <v>3223.126193048191</v>
      </c>
      <c r="P538" s="109">
        <f t="shared" si="876"/>
        <v>3674.8662457516457</v>
      </c>
      <c r="Q538" s="109">
        <f t="shared" si="876"/>
        <v>4248.751379946395</v>
      </c>
      <c r="R538" s="109">
        <f t="shared" si="876"/>
        <v>4242.686771677682</v>
      </c>
      <c r="S538" s="109">
        <f t="shared" si="876"/>
        <v>5032.009645726604</v>
      </c>
      <c r="T538" s="109">
        <f t="shared" si="876"/>
        <v>5866.955845548167</v>
      </c>
      <c r="U538" s="109">
        <f t="shared" si="876"/>
        <v>7194.808585004238</v>
      </c>
      <c r="V538" s="109">
        <f t="shared" si="876"/>
        <v>12396.407421275839</v>
      </c>
      <c r="W538" s="201" t="str">
        <f>IF(X$5=K$5,SUM(Y538:AI538)-SUM(L538:V538),"")</f>
        <v/>
      </c>
      <c r="X538" s="9" t="str">
        <f>LOWER(CtryCode)&amp;".distn."&amp;$A538&amp;IF($B538="","","."&amp;$B538)&amp;IF($C538="","",".dec."&amp;$C538)&amp;"."&amp;X$5</f>
        <v>egy.distn.abud.ret.dec.ove.2</v>
      </c>
      <c r="Y538" s="108">
        <f t="shared" ref="Y538:AI538" si="877">Y325*Y204/PctPerUnit</f>
        <v>5333.2822172677015</v>
      </c>
      <c r="Z538" s="109">
        <f t="shared" si="877"/>
        <v>2046.5960916739741</v>
      </c>
      <c r="AA538" s="109">
        <f t="shared" si="877"/>
        <v>2587.3968350185</v>
      </c>
      <c r="AB538" s="109">
        <f t="shared" si="877"/>
        <v>3223.126193048191</v>
      </c>
      <c r="AC538" s="109">
        <f t="shared" si="877"/>
        <v>3674.8662457516457</v>
      </c>
      <c r="AD538" s="109">
        <f t="shared" si="877"/>
        <v>4248.751379946395</v>
      </c>
      <c r="AE538" s="109">
        <f t="shared" si="877"/>
        <v>4242.686771677682</v>
      </c>
      <c r="AF538" s="109">
        <f t="shared" si="877"/>
        <v>5032.009645726604</v>
      </c>
      <c r="AG538" s="109">
        <f t="shared" si="877"/>
        <v>5866.955845548167</v>
      </c>
      <c r="AH538" s="109">
        <f t="shared" si="877"/>
        <v>7194.808585004238</v>
      </c>
      <c r="AI538" s="109">
        <f t="shared" si="877"/>
        <v>12396.407421275839</v>
      </c>
    </row>
    <row r="539" hidden="1" outlineLevel="1">
      <c r="A539" s="44" t="inlineStr">
        <is>
          <t>abud</t>
        </is>
      </c>
      <c r="B539" s="3" t="inlineStr">
        <is>
          <t>teq</t>
        </is>
      </c>
      <c r="C539" s="3" t="inlineStr">
        <is>
          <t>ove</t>
        </is>
      </c>
      <c r="D539" s="3" t="n"/>
      <c r="E539" s="3" t="n"/>
      <c r="H539" s="3" t="inlineStr">
        <is>
          <t>Transport equipment: spending per capita</t>
        </is>
      </c>
      <c r="I539" s="3" t="inlineStr">
        <is>
          <t>LCU</t>
        </is>
      </c>
      <c r="J539" s="118" t="inlineStr">
        <is>
          <t>consumption x budget share</t>
        </is>
      </c>
      <c r="K539" s="9" t="str">
        <f>LOWER(CtryCode)&amp;".distn."&amp;$A539&amp;IF($B539="","","."&amp;$B539)&amp;IF($C539="","",".dec."&amp;$C539)&amp;"."&amp;K$5</f>
        <v>egy.distn.abud.teq.dec.ove.1</v>
      </c>
      <c r="L539" s="108">
        <f t="shared" ref="L539:V539" si="878">L325*L205/PctPerUnit</f>
        <v>315.78434237937404</v>
      </c>
      <c r="M539" s="109">
        <f t="shared" si="878"/>
        <v>97.2624584133364</v>
      </c>
      <c r="N539" s="109">
        <f t="shared" si="878"/>
        <v>118.986294766479</v>
      </c>
      <c r="O539" s="109">
        <f t="shared" si="878"/>
        <v>147.550382852387</v>
      </c>
      <c r="P539" s="109">
        <f t="shared" si="878"/>
        <v>161.0171312336294</v>
      </c>
      <c r="Q539" s="109">
        <f t="shared" si="878"/>
        <v>222.77139541006932</v>
      </c>
      <c r="R539" s="109">
        <f t="shared" si="878"/>
        <v>294.89886040672917</v>
      </c>
      <c r="S539" s="109">
        <f t="shared" si="878"/>
        <v>403.70757088091784</v>
      </c>
      <c r="T539" s="109">
        <f t="shared" si="878"/>
        <v>579.663952397284</v>
      </c>
      <c r="U539" s="109">
        <f t="shared" si="878"/>
        <v>733.5412627536804</v>
      </c>
      <c r="V539" s="109">
        <f t="shared" si="878"/>
        <v>1359.252488024169</v>
      </c>
      <c r="W539" s="201" t="str">
        <f>IF(X$5=K$5,SUM(Y539:AI539)-SUM(L539:V539),"")</f>
        <v/>
      </c>
      <c r="X539" s="9" t="str">
        <f>LOWER(CtryCode)&amp;".distn."&amp;$A539&amp;IF($B539="","","."&amp;$B539)&amp;IF($C539="","",".dec."&amp;$C539)&amp;"."&amp;X$5</f>
        <v>egy.distn.abud.teq.dec.ove.2</v>
      </c>
      <c r="Y539" s="108">
        <f t="shared" ref="Y539:AI539" si="879">Y325*Y205/PctPerUnit</f>
        <v>315.78434237937404</v>
      </c>
      <c r="Z539" s="109">
        <f t="shared" si="879"/>
        <v>97.2624584133364</v>
      </c>
      <c r="AA539" s="109">
        <f t="shared" si="879"/>
        <v>118.986294766479</v>
      </c>
      <c r="AB539" s="109">
        <f t="shared" si="879"/>
        <v>147.550382852387</v>
      </c>
      <c r="AC539" s="109">
        <f t="shared" si="879"/>
        <v>161.0171312336294</v>
      </c>
      <c r="AD539" s="109">
        <f t="shared" si="879"/>
        <v>222.77139541006932</v>
      </c>
      <c r="AE539" s="109">
        <f t="shared" si="879"/>
        <v>294.89886040672917</v>
      </c>
      <c r="AF539" s="109">
        <f t="shared" si="879"/>
        <v>403.70757088091784</v>
      </c>
      <c r="AG539" s="109">
        <f t="shared" si="879"/>
        <v>579.663952397284</v>
      </c>
      <c r="AH539" s="109">
        <f t="shared" si="879"/>
        <v>733.5412627536804</v>
      </c>
      <c r="AI539" s="109">
        <f t="shared" si="879"/>
        <v>1359.252488024169</v>
      </c>
    </row>
    <row r="540" hidden="1" outlineLevel="1">
      <c r="A540" s="44" t="inlineStr">
        <is>
          <t>abud</t>
        </is>
      </c>
      <c r="B540" s="3" t="inlineStr">
        <is>
          <t>tpu</t>
        </is>
      </c>
      <c r="C540" s="3" t="inlineStr">
        <is>
          <t>ove</t>
        </is>
      </c>
      <c r="D540" s="3" t="n"/>
      <c r="E540" s="3" t="n"/>
      <c r="H540" s="3" t="inlineStr">
        <is>
          <t>Public transport: spending per capita</t>
        </is>
      </c>
      <c r="I540" s="3" t="inlineStr">
        <is>
          <t>LCU</t>
        </is>
      </c>
      <c r="J540" s="118" t="inlineStr">
        <is>
          <t>consumption x budget share</t>
        </is>
      </c>
      <c r="K540" s="9" t="str">
        <f>LOWER(CtryCode)&amp;".distn."&amp;$A540&amp;IF($B540="","","."&amp;$B540)&amp;IF($C540="","",".dec."&amp;$C540)&amp;"."&amp;K$5</f>
        <v>egy.distn.abud.tpu.dec.ove.1</v>
      </c>
      <c r="L540" s="108">
        <f t="shared" ref="L540:V540" si="880">L325*L206/PctPerUnit</f>
        <v>3181.7837246108315</v>
      </c>
      <c r="M540" s="109">
        <f t="shared" si="880"/>
        <v>1437.742900847575</v>
      </c>
      <c r="N540" s="109">
        <f t="shared" si="880"/>
        <v>1656.6664903393641</v>
      </c>
      <c r="O540" s="109">
        <f t="shared" si="880"/>
        <v>2107.5525095600515</v>
      </c>
      <c r="P540" s="109">
        <f t="shared" si="880"/>
        <v>2490.015125229311</v>
      </c>
      <c r="Q540" s="109">
        <f t="shared" si="880"/>
        <v>2653.164225175272</v>
      </c>
      <c r="R540" s="109">
        <f t="shared" si="880"/>
        <v>2986.4071315258134</v>
      </c>
      <c r="S540" s="109">
        <f t="shared" si="880"/>
        <v>4147.341000887709</v>
      </c>
      <c r="T540" s="109">
        <f t="shared" si="880"/>
        <v>4634.921624075116</v>
      </c>
      <c r="U540" s="109">
        <f t="shared" si="880"/>
        <v>4893.652172995031</v>
      </c>
      <c r="V540" s="109">
        <f t="shared" si="880"/>
        <v>6450.36322958972</v>
      </c>
      <c r="W540" s="201" t="str">
        <f>IF(X$5=K$5,SUM(Y540:AI540)-SUM(L540:V540),"")</f>
        <v/>
      </c>
      <c r="X540" s="9" t="str">
        <f>LOWER(CtryCode)&amp;".distn."&amp;$A540&amp;IF($B540="","","."&amp;$B540)&amp;IF($C540="","",".dec."&amp;$C540)&amp;"."&amp;X$5</f>
        <v>egy.distn.abud.tpu.dec.ove.2</v>
      </c>
      <c r="Y540" s="108">
        <f t="shared" ref="Y540:AI540" si="881">Y325*Y206/PctPerUnit</f>
        <v>3181.7837246108315</v>
      </c>
      <c r="Z540" s="109">
        <f t="shared" si="881"/>
        <v>1437.742900847575</v>
      </c>
      <c r="AA540" s="109">
        <f t="shared" si="881"/>
        <v>1656.6664903393641</v>
      </c>
      <c r="AB540" s="109">
        <f t="shared" si="881"/>
        <v>2107.5525095600515</v>
      </c>
      <c r="AC540" s="109">
        <f t="shared" si="881"/>
        <v>2490.015125229311</v>
      </c>
      <c r="AD540" s="109">
        <f t="shared" si="881"/>
        <v>2653.164225175272</v>
      </c>
      <c r="AE540" s="109">
        <f t="shared" si="881"/>
        <v>2986.4071315258134</v>
      </c>
      <c r="AF540" s="109">
        <f t="shared" si="881"/>
        <v>4147.341000887709</v>
      </c>
      <c r="AG540" s="109">
        <f t="shared" si="881"/>
        <v>4634.921624075116</v>
      </c>
      <c r="AH540" s="109">
        <f t="shared" si="881"/>
        <v>4893.652172995031</v>
      </c>
      <c r="AI540" s="109">
        <f t="shared" si="881"/>
        <v>6450.36322958972</v>
      </c>
    </row>
    <row r="541" hidden="1" outlineLevel="1">
      <c r="A541" s="44" t="inlineStr">
        <is>
          <t>adef</t>
        </is>
      </c>
      <c r="B541" s="3" t="inlineStr">
        <is>
          <t>coa</t>
        </is>
      </c>
      <c r="C541" s="3" t="inlineStr">
        <is>
          <t>ove</t>
        </is>
      </c>
      <c r="D541" s="3" t="n"/>
      <c r="E541" s="3" t="n"/>
      <c r="H541" s="3" t="inlineStr">
        <is>
          <t>Coal: direct effect per capita</t>
        </is>
      </c>
      <c r="I541" s="3" t="inlineStr">
        <is>
          <t>LCU</t>
        </is>
      </c>
      <c r="J541" s="118" t="inlineStr">
        <is>
          <t>legacy rows 3064-3072</t>
        </is>
      </c>
      <c r="K541" s="9" t="str">
        <f>LOWER(CtryCode)&amp;".distn."&amp;$A541&amp;IF($B541="","","."&amp;$B541)&amp;IF($C541="","",".dec."&amp;$C541)&amp;"."&amp;K$5</f>
        <v>egy.distn.adef.coa.dec.ove.1</v>
      </c>
      <c r="L541" s="108">
        <f t="shared" ref="L541:V541" si="882">L325*L274/PctPerUnit</f>
        <v>-0.0</v>
      </c>
      <c r="M541" s="109">
        <f t="shared" si="882"/>
        <v>-0.0</v>
      </c>
      <c r="N541" s="109">
        <f t="shared" si="882"/>
        <v>-0.0</v>
      </c>
      <c r="O541" s="109">
        <f t="shared" si="882"/>
        <v>-0.0</v>
      </c>
      <c r="P541" s="109">
        <f t="shared" si="882"/>
        <v>-0.0</v>
      </c>
      <c r="Q541" s="109">
        <f t="shared" si="882"/>
        <v>-0.0</v>
      </c>
      <c r="R541" s="109">
        <f t="shared" si="882"/>
        <v>-0.0</v>
      </c>
      <c r="S541" s="109">
        <f t="shared" si="882"/>
        <v>-0.0</v>
      </c>
      <c r="T541" s="109">
        <f t="shared" si="882"/>
        <v>-0.0</v>
      </c>
      <c r="U541" s="109">
        <f t="shared" si="882"/>
        <v>-0.0</v>
      </c>
      <c r="V541" s="109">
        <f t="shared" si="882"/>
        <v>-0.0</v>
      </c>
      <c r="W541" s="201" t="str">
        <f>IF(X$5=K$5,SUM(Y541:AI541)-SUM(L541:V541),"")</f>
        <v/>
      </c>
      <c r="X541" s="9" t="str">
        <f>LOWER(CtryCode)&amp;".distn."&amp;$A541&amp;IF($B541="","","."&amp;$B541)&amp;IF($C541="","",".dec."&amp;$C541)&amp;"."&amp;X$5</f>
        <v>egy.distn.adef.coa.dec.ove.2</v>
      </c>
      <c r="Y541" s="108">
        <f t="shared" ref="Y541:AI541" si="883">Y325*Y274/PctPerUnit</f>
        <v>-0.0</v>
      </c>
      <c r="Z541" s="109">
        <f t="shared" si="883"/>
        <v>-0.0</v>
      </c>
      <c r="AA541" s="109">
        <f t="shared" si="883"/>
        <v>-0.0</v>
      </c>
      <c r="AB541" s="109">
        <f t="shared" si="883"/>
        <v>-0.0</v>
      </c>
      <c r="AC541" s="109">
        <f t="shared" si="883"/>
        <v>-0.0</v>
      </c>
      <c r="AD541" s="109">
        <f t="shared" si="883"/>
        <v>-0.0</v>
      </c>
      <c r="AE541" s="109">
        <f t="shared" si="883"/>
        <v>-0.0</v>
      </c>
      <c r="AF541" s="109">
        <f t="shared" si="883"/>
        <v>-0.0</v>
      </c>
      <c r="AG541" s="109">
        <f t="shared" si="883"/>
        <v>-0.0</v>
      </c>
      <c r="AH541" s="109">
        <f t="shared" si="883"/>
        <v>-0.0</v>
      </c>
      <c r="AI541" s="109">
        <f t="shared" si="883"/>
        <v>-0.0</v>
      </c>
    </row>
    <row r="542" hidden="1" outlineLevel="1">
      <c r="A542" s="44" t="inlineStr">
        <is>
          <t>adef</t>
        </is>
      </c>
      <c r="B542" s="3" t="inlineStr">
        <is>
          <t>ely</t>
        </is>
      </c>
      <c r="C542" s="3" t="inlineStr">
        <is>
          <t>ove</t>
        </is>
      </c>
      <c r="D542" s="3" t="n"/>
      <c r="E542" s="3" t="n"/>
      <c r="H542" s="3" t="inlineStr">
        <is>
          <t>Electricity: direct effect per capita</t>
        </is>
      </c>
      <c r="I542" s="3" t="inlineStr">
        <is>
          <t>LCU</t>
        </is>
      </c>
      <c r="J542" s="118" t="inlineStr">
        <is>
          <t>legacy rows 3064-3072</t>
        </is>
      </c>
      <c r="K542" s="9" t="str">
        <f>LOWER(CtryCode)&amp;".distn."&amp;$A542&amp;IF($B542="","","."&amp;$B542)&amp;IF($C542="","",".dec."&amp;$C542)&amp;"."&amp;K$5</f>
        <v>egy.distn.adef.ely.dec.ove.1</v>
      </c>
      <c r="L542" s="108">
        <f t="shared" ref="L542:V542" si="884">L325*L275/PctPerUnit</f>
        <v>-0.0</v>
      </c>
      <c r="M542" s="109">
        <f t="shared" si="884"/>
        <v>-0.0</v>
      </c>
      <c r="N542" s="109">
        <f t="shared" si="884"/>
        <v>-0.0</v>
      </c>
      <c r="O542" s="109">
        <f t="shared" si="884"/>
        <v>-0.0</v>
      </c>
      <c r="P542" s="109">
        <f t="shared" si="884"/>
        <v>-0.0</v>
      </c>
      <c r="Q542" s="109">
        <f t="shared" si="884"/>
        <v>-0.0</v>
      </c>
      <c r="R542" s="109">
        <f t="shared" si="884"/>
        <v>-0.0</v>
      </c>
      <c r="S542" s="109">
        <f t="shared" si="884"/>
        <v>-0.0</v>
      </c>
      <c r="T542" s="109">
        <f t="shared" si="884"/>
        <v>-0.0</v>
      </c>
      <c r="U542" s="109">
        <f t="shared" si="884"/>
        <v>-0.0</v>
      </c>
      <c r="V542" s="109">
        <f t="shared" si="884"/>
        <v>-0.0</v>
      </c>
      <c r="W542" s="201" t="str">
        <f>IF(X$5=K$5,SUM(Y542:AI542)-SUM(L542:V542),"")</f>
        <v/>
      </c>
      <c r="X542" s="9" t="str">
        <f>LOWER(CtryCode)&amp;".distn."&amp;$A542&amp;IF($B542="","","."&amp;$B542)&amp;IF($C542="","",".dec."&amp;$C542)&amp;"."&amp;X$5</f>
        <v>egy.distn.adef.ely.dec.ove.2</v>
      </c>
      <c r="Y542" s="108">
        <f t="shared" ref="Y542:AI542" si="885">Y325*Y275/PctPerUnit</f>
        <v>-405.0879440905613</v>
      </c>
      <c r="Z542" s="109">
        <f t="shared" si="885"/>
        <v>-182.11623888105314</v>
      </c>
      <c r="AA542" s="109">
        <f t="shared" si="885"/>
        <v>-211.7377672124086</v>
      </c>
      <c r="AB542" s="109">
        <f t="shared" si="885"/>
        <v>-270.10853768366235</v>
      </c>
      <c r="AC542" s="109">
        <f t="shared" si="885"/>
        <v>-312.1398991429663</v>
      </c>
      <c r="AD542" s="109">
        <f t="shared" si="885"/>
        <v>-319.12123661940046</v>
      </c>
      <c r="AE542" s="109">
        <f t="shared" si="885"/>
        <v>-343.91971469037765</v>
      </c>
      <c r="AF542" s="109">
        <f t="shared" si="885"/>
        <v>-450.9708139050054</v>
      </c>
      <c r="AG542" s="109">
        <f t="shared" si="885"/>
        <v>-556.3380149811137</v>
      </c>
      <c r="AH542" s="109">
        <f t="shared" si="885"/>
        <v>-670.8520105632161</v>
      </c>
      <c r="AI542" s="109">
        <f t="shared" si="885"/>
        <v>-988.2015285291116</v>
      </c>
    </row>
    <row r="543" hidden="1" outlineLevel="1">
      <c r="A543" s="44" t="inlineStr">
        <is>
          <t>adef</t>
        </is>
      </c>
      <c r="B543" s="3" t="inlineStr">
        <is>
          <t>nga</t>
        </is>
      </c>
      <c r="C543" s="3" t="inlineStr">
        <is>
          <t>ove</t>
        </is>
      </c>
      <c r="D543" s="3" t="n"/>
      <c r="E543" s="3" t="n"/>
      <c r="H543" s="3" t="inlineStr">
        <is>
          <t>Natural gas: direct effect per capita</t>
        </is>
      </c>
      <c r="I543" s="3" t="inlineStr">
        <is>
          <t>LCU</t>
        </is>
      </c>
      <c r="J543" s="118" t="inlineStr">
        <is>
          <t>legacy rows 3064-3072</t>
        </is>
      </c>
      <c r="K543" s="9" t="str">
        <f>LOWER(CtryCode)&amp;".distn."&amp;$A543&amp;IF($B543="","","."&amp;$B543)&amp;IF($C543="","",".dec."&amp;$C543)&amp;"."&amp;K$5</f>
        <v>egy.distn.adef.nga.dec.ove.1</v>
      </c>
      <c r="L543" s="108">
        <f t="shared" ref="L543:V543" si="886">L325*L276/PctPerUnit</f>
        <v>-0.0</v>
      </c>
      <c r="M543" s="109">
        <f t="shared" si="886"/>
        <v>-0.0</v>
      </c>
      <c r="N543" s="109">
        <f t="shared" si="886"/>
        <v>-0.0</v>
      </c>
      <c r="O543" s="109">
        <f t="shared" si="886"/>
        <v>-0.0</v>
      </c>
      <c r="P543" s="109">
        <f t="shared" si="886"/>
        <v>-0.0</v>
      </c>
      <c r="Q543" s="109">
        <f t="shared" si="886"/>
        <v>-0.0</v>
      </c>
      <c r="R543" s="109">
        <f t="shared" si="886"/>
        <v>-0.0</v>
      </c>
      <c r="S543" s="109">
        <f t="shared" si="886"/>
        <v>-0.0</v>
      </c>
      <c r="T543" s="109">
        <f t="shared" si="886"/>
        <v>-0.0</v>
      </c>
      <c r="U543" s="109">
        <f t="shared" si="886"/>
        <v>-0.0</v>
      </c>
      <c r="V543" s="109">
        <f t="shared" si="886"/>
        <v>-0.0</v>
      </c>
      <c r="W543" s="201" t="str">
        <f>IF(X$5=K$5,SUM(Y543:AI543)-SUM(L543:V543),"")</f>
        <v/>
      </c>
      <c r="X543" s="9" t="str">
        <f>LOWER(CtryCode)&amp;".distn."&amp;$A543&amp;IF($B543="","","."&amp;$B543)&amp;IF($C543="","",".dec."&amp;$C543)&amp;"."&amp;X$5</f>
        <v>egy.distn.adef.nga.dec.ove.2</v>
      </c>
      <c r="Y543" s="108">
        <f t="shared" ref="Y543:AI543" si="887">Y325*Y276/PctPerUnit</f>
        <v>-105.10468339985451</v>
      </c>
      <c r="Z543" s="109">
        <f t="shared" si="887"/>
        <v>-36.265587317745855</v>
      </c>
      <c r="AA543" s="109">
        <f t="shared" si="887"/>
        <v>-44.818365635668194</v>
      </c>
      <c r="AB543" s="109">
        <f t="shared" si="887"/>
        <v>-58.68870357080195</v>
      </c>
      <c r="AC543" s="109">
        <f t="shared" si="887"/>
        <v>-74.02195244824084</v>
      </c>
      <c r="AD543" s="109">
        <f t="shared" si="887"/>
        <v>-78.96445685599964</v>
      </c>
      <c r="AE543" s="109">
        <f t="shared" si="887"/>
        <v>-87.40493972889954</v>
      </c>
      <c r="AF543" s="109">
        <f t="shared" si="887"/>
        <v>-125.1243912360145</v>
      </c>
      <c r="AG543" s="109">
        <f t="shared" si="887"/>
        <v>-176.69086476537922</v>
      </c>
      <c r="AH543" s="109">
        <f t="shared" si="887"/>
        <v>-203.94223357212365</v>
      </c>
      <c r="AI543" s="109">
        <f t="shared" si="887"/>
        <v>-387.6114765190539</v>
      </c>
    </row>
    <row r="544" hidden="1" outlineLevel="1">
      <c r="A544" s="44" t="inlineStr">
        <is>
          <t>adef</t>
        </is>
      </c>
      <c r="B544" s="3" t="inlineStr">
        <is>
          <t>oil</t>
        </is>
      </c>
      <c r="C544" s="3" t="inlineStr">
        <is>
          <t>ove</t>
        </is>
      </c>
      <c r="D544" s="3" t="n"/>
      <c r="E544" s="3" t="n"/>
      <c r="H544" s="3" t="inlineStr">
        <is>
          <t>Other oil products: direct effect per capita</t>
        </is>
      </c>
      <c r="I544" s="3" t="inlineStr">
        <is>
          <t>LCU</t>
        </is>
      </c>
      <c r="J544" s="118" t="inlineStr">
        <is>
          <t>legacy rows 3064-3072</t>
        </is>
      </c>
      <c r="K544" s="9" t="str">
        <f>LOWER(CtryCode)&amp;".distn."&amp;$A544&amp;IF($B544="","","."&amp;$B544)&amp;IF($C544="","",".dec."&amp;$C544)&amp;"."&amp;K$5</f>
        <v>egy.distn.adef.oil.dec.ove.1</v>
      </c>
      <c r="L544" s="108">
        <f t="shared" ref="L544:V544" si="888">L325*L277/PctPerUnit</f>
        <v>-0.0</v>
      </c>
      <c r="M544" s="109">
        <f t="shared" si="888"/>
        <v>-0.0</v>
      </c>
      <c r="N544" s="109">
        <f t="shared" si="888"/>
        <v>-0.0</v>
      </c>
      <c r="O544" s="109">
        <f t="shared" si="888"/>
        <v>-0.0</v>
      </c>
      <c r="P544" s="109">
        <f t="shared" si="888"/>
        <v>-0.0</v>
      </c>
      <c r="Q544" s="109">
        <f t="shared" si="888"/>
        <v>-0.0</v>
      </c>
      <c r="R544" s="109">
        <f t="shared" si="888"/>
        <v>-0.0</v>
      </c>
      <c r="S544" s="109">
        <f t="shared" si="888"/>
        <v>-0.0</v>
      </c>
      <c r="T544" s="109">
        <f t="shared" si="888"/>
        <v>-0.0</v>
      </c>
      <c r="U544" s="109">
        <f t="shared" si="888"/>
        <v>-0.0</v>
      </c>
      <c r="V544" s="109">
        <f t="shared" si="888"/>
        <v>-0.0</v>
      </c>
      <c r="W544" s="201" t="str">
        <f>IF(X$5=K$5,SUM(Y544:AI544)-SUM(L544:V544),"")</f>
        <v/>
      </c>
      <c r="X544" s="9" t="str">
        <f>LOWER(CtryCode)&amp;".distn."&amp;$A544&amp;IF($B544="","","."&amp;$B544)&amp;IF($C544="","",".dec."&amp;$C544)&amp;"."&amp;X$5</f>
        <v>egy.distn.adef.oil.dec.ove.2</v>
      </c>
      <c r="Y544" s="108">
        <f t="shared" ref="Y544:AI544" si="889">Y325*Y277/PctPerUnit</f>
        <v>-26.916160387318342</v>
      </c>
      <c r="Z544" s="109">
        <f t="shared" si="889"/>
        <v>-8.427899505825474</v>
      </c>
      <c r="AA544" s="109">
        <f t="shared" si="889"/>
        <v>-11.140887683114956</v>
      </c>
      <c r="AB544" s="109">
        <f t="shared" si="889"/>
        <v>-18.81584323612142</v>
      </c>
      <c r="AC544" s="109">
        <f t="shared" si="889"/>
        <v>-16.32102900506744</v>
      </c>
      <c r="AD544" s="109">
        <f t="shared" si="889"/>
        <v>-24.700352452062134</v>
      </c>
      <c r="AE544" s="109">
        <f t="shared" si="889"/>
        <v>-25.95829637253626</v>
      </c>
      <c r="AF544" s="109">
        <f t="shared" si="889"/>
        <v>-31.320926101889718</v>
      </c>
      <c r="AG544" s="109">
        <f t="shared" si="889"/>
        <v>-37.14379502106246</v>
      </c>
      <c r="AH544" s="109">
        <f t="shared" si="889"/>
        <v>-45.675086440301</v>
      </c>
      <c r="AI544" s="109">
        <f t="shared" si="889"/>
        <v>-70.26229812149559</v>
      </c>
    </row>
    <row r="545" hidden="1" outlineLevel="1">
      <c r="A545" s="44" t="inlineStr">
        <is>
          <t>adef</t>
        </is>
      </c>
      <c r="B545" s="3" t="inlineStr">
        <is>
          <t>gso</t>
        </is>
      </c>
      <c r="C545" s="3" t="inlineStr">
        <is>
          <t>ove</t>
        </is>
      </c>
      <c r="D545" s="3" t="n"/>
      <c r="E545" s="3" t="n"/>
      <c r="H545" s="3" t="inlineStr">
        <is>
          <t>Gasoline: direct effect per capita</t>
        </is>
      </c>
      <c r="I545" s="3" t="inlineStr">
        <is>
          <t>LCU</t>
        </is>
      </c>
      <c r="J545" s="118" t="inlineStr">
        <is>
          <t>legacy rows 3064-3072</t>
        </is>
      </c>
      <c r="K545" s="9" t="str">
        <f>LOWER(CtryCode)&amp;".distn."&amp;$A545&amp;IF($B545="","","."&amp;$B545)&amp;IF($C545="","",".dec."&amp;$C545)&amp;"."&amp;K$5</f>
        <v>egy.distn.adef.gso.dec.ove.1</v>
      </c>
      <c r="L545" s="108">
        <f t="shared" ref="L545:V545" si="890">L325*L278/PctPerUnit</f>
        <v>-0.0</v>
      </c>
      <c r="M545" s="109">
        <f t="shared" si="890"/>
        <v>-0.0</v>
      </c>
      <c r="N545" s="109">
        <f t="shared" si="890"/>
        <v>-0.0</v>
      </c>
      <c r="O545" s="109">
        <f t="shared" si="890"/>
        <v>-0.0</v>
      </c>
      <c r="P545" s="109">
        <f t="shared" si="890"/>
        <v>-0.0</v>
      </c>
      <c r="Q545" s="109">
        <f t="shared" si="890"/>
        <v>-0.0</v>
      </c>
      <c r="R545" s="109">
        <f t="shared" si="890"/>
        <v>-0.0</v>
      </c>
      <c r="S545" s="109">
        <f t="shared" si="890"/>
        <v>-0.0</v>
      </c>
      <c r="T545" s="109">
        <f t="shared" si="890"/>
        <v>-0.0</v>
      </c>
      <c r="U545" s="109">
        <f t="shared" si="890"/>
        <v>-0.0</v>
      </c>
      <c r="V545" s="109">
        <f t="shared" si="890"/>
        <v>-0.0</v>
      </c>
      <c r="W545" s="201" t="str">
        <f>IF(X$5=K$5,SUM(Y545:AI545)-SUM(L545:V545),"")</f>
        <v/>
      </c>
      <c r="X545" s="9" t="str">
        <f>LOWER(CtryCode)&amp;".distn."&amp;$A545&amp;IF($B545="","","."&amp;$B545)&amp;IF($C545="","",".dec."&amp;$C545)&amp;"."&amp;X$5</f>
        <v>egy.distn.adef.gso.dec.ove.2</v>
      </c>
      <c r="Y545" s="108">
        <f t="shared" ref="Y545:AI545" si="891">Y325*Y278/PctPerUnit</f>
        <v>-49.48445879285029</v>
      </c>
      <c r="Z545" s="109">
        <f t="shared" si="891"/>
        <v>-12.300066994597174</v>
      </c>
      <c r="AA545" s="109">
        <f t="shared" si="891"/>
        <v>-18.537200252030654</v>
      </c>
      <c r="AB545" s="109">
        <f t="shared" si="891"/>
        <v>-27.617592930757986</v>
      </c>
      <c r="AC545" s="109">
        <f t="shared" si="891"/>
        <v>-33.534009674082725</v>
      </c>
      <c r="AD545" s="109">
        <f t="shared" si="891"/>
        <v>-41.372966904937606</v>
      </c>
      <c r="AE545" s="109">
        <f t="shared" si="891"/>
        <v>-46.20563409668157</v>
      </c>
      <c r="AF545" s="109">
        <f t="shared" si="891"/>
        <v>-64.14776478146085</v>
      </c>
      <c r="AG545" s="109">
        <f t="shared" si="891"/>
        <v>-80.18098212979422</v>
      </c>
      <c r="AH545" s="109">
        <f t="shared" si="891"/>
        <v>-90.78552663614792</v>
      </c>
      <c r="AI545" s="109">
        <f t="shared" si="891"/>
        <v>-160.47691552189642</v>
      </c>
    </row>
    <row r="546" hidden="1" outlineLevel="1">
      <c r="A546" s="44" t="inlineStr">
        <is>
          <t>adef</t>
        </is>
      </c>
      <c r="B546" s="3" t="inlineStr">
        <is>
          <t>die</t>
        </is>
      </c>
      <c r="C546" s="3" t="inlineStr">
        <is>
          <t>ove</t>
        </is>
      </c>
      <c r="D546" s="3" t="n"/>
      <c r="E546" s="3" t="n"/>
      <c r="H546" s="3" t="inlineStr">
        <is>
          <t>Diesel: direct effect per capita</t>
        </is>
      </c>
      <c r="I546" s="3" t="inlineStr">
        <is>
          <t>LCU</t>
        </is>
      </c>
      <c r="J546" s="118" t="inlineStr">
        <is>
          <t>legacy rows 3064-3072</t>
        </is>
      </c>
      <c r="K546" s="9" t="str">
        <f>LOWER(CtryCode)&amp;".distn."&amp;$A546&amp;IF($B546="","","."&amp;$B546)&amp;IF($C546="","",".dec."&amp;$C546)&amp;"."&amp;K$5</f>
        <v>egy.distn.adef.die.dec.ove.1</v>
      </c>
      <c r="L546" s="108">
        <f t="shared" ref="L546:V546" si="892">L325*L279/PctPerUnit</f>
        <v>-0.0</v>
      </c>
      <c r="M546" s="109">
        <f t="shared" si="892"/>
        <v>-0.0</v>
      </c>
      <c r="N546" s="109">
        <f t="shared" si="892"/>
        <v>-0.0</v>
      </c>
      <c r="O546" s="109">
        <f t="shared" si="892"/>
        <v>-0.0</v>
      </c>
      <c r="P546" s="109">
        <f t="shared" si="892"/>
        <v>-0.0</v>
      </c>
      <c r="Q546" s="109">
        <f t="shared" si="892"/>
        <v>-0.0</v>
      </c>
      <c r="R546" s="109">
        <f t="shared" si="892"/>
        <v>-0.0</v>
      </c>
      <c r="S546" s="109">
        <f t="shared" si="892"/>
        <v>-0.0</v>
      </c>
      <c r="T546" s="109">
        <f t="shared" si="892"/>
        <v>-0.0</v>
      </c>
      <c r="U546" s="109">
        <f t="shared" si="892"/>
        <v>-0.0</v>
      </c>
      <c r="V546" s="109">
        <f t="shared" si="892"/>
        <v>-0.0</v>
      </c>
      <c r="W546" s="201" t="str">
        <f>IF(X$5=K$5,SUM(Y546:AI546)-SUM(L546:V546),"")</f>
        <v/>
      </c>
      <c r="X546" s="9" t="str">
        <f>LOWER(CtryCode)&amp;".distn."&amp;$A546&amp;IF($B546="","","."&amp;$B546)&amp;IF($C546="","",".dec."&amp;$C546)&amp;"."&amp;X$5</f>
        <v>egy.distn.adef.die.dec.ove.2</v>
      </c>
      <c r="Y546" s="108">
        <f t="shared" ref="Y546:AI546" si="893">Y325*Y279/PctPerUnit</f>
        <v>-0.0</v>
      </c>
      <c r="Z546" s="109">
        <f t="shared" si="893"/>
        <v>-0.0</v>
      </c>
      <c r="AA546" s="109">
        <f t="shared" si="893"/>
        <v>-0.0</v>
      </c>
      <c r="AB546" s="109">
        <f t="shared" si="893"/>
        <v>-0.0</v>
      </c>
      <c r="AC546" s="109">
        <f t="shared" si="893"/>
        <v>-0.0</v>
      </c>
      <c r="AD546" s="109">
        <f t="shared" si="893"/>
        <v>-0.0</v>
      </c>
      <c r="AE546" s="109">
        <f t="shared" si="893"/>
        <v>-0.0</v>
      </c>
      <c r="AF546" s="109">
        <f t="shared" si="893"/>
        <v>-0.0</v>
      </c>
      <c r="AG546" s="109">
        <f t="shared" si="893"/>
        <v>-0.0</v>
      </c>
      <c r="AH546" s="109">
        <f t="shared" si="893"/>
        <v>-0.0</v>
      </c>
      <c r="AI546" s="109">
        <f t="shared" si="893"/>
        <v>-0.0</v>
      </c>
    </row>
    <row r="547" hidden="1" outlineLevel="1">
      <c r="A547" s="44" t="inlineStr">
        <is>
          <t>adef</t>
        </is>
      </c>
      <c r="B547" s="3" t="inlineStr">
        <is>
          <t>ker</t>
        </is>
      </c>
      <c r="C547" s="3" t="inlineStr">
        <is>
          <t>ove</t>
        </is>
      </c>
      <c r="D547" s="3" t="n"/>
      <c r="E547" s="3" t="n"/>
      <c r="H547" s="3" t="inlineStr">
        <is>
          <t>Kerosene: direct effect per capita</t>
        </is>
      </c>
      <c r="I547" s="3" t="inlineStr">
        <is>
          <t>LCU</t>
        </is>
      </c>
      <c r="J547" s="118" t="inlineStr">
        <is>
          <t>legacy rows 3064-3072</t>
        </is>
      </c>
      <c r="K547" s="9" t="str">
        <f>LOWER(CtryCode)&amp;".distn."&amp;$A547&amp;IF($B547="","","."&amp;$B547)&amp;IF($C547="","",".dec."&amp;$C547)&amp;"."&amp;K$5</f>
        <v>egy.distn.adef.ker.dec.ove.1</v>
      </c>
      <c r="L547" s="108">
        <f t="shared" ref="L547:V547" si="894">L325*L280/PctPerUnit</f>
        <v>-0.0</v>
      </c>
      <c r="M547" s="109">
        <f t="shared" si="894"/>
        <v>-0.0</v>
      </c>
      <c r="N547" s="109">
        <f t="shared" si="894"/>
        <v>-0.0</v>
      </c>
      <c r="O547" s="109">
        <f t="shared" si="894"/>
        <v>-0.0</v>
      </c>
      <c r="P547" s="109">
        <f t="shared" si="894"/>
        <v>-0.0</v>
      </c>
      <c r="Q547" s="109">
        <f t="shared" si="894"/>
        <v>-0.0</v>
      </c>
      <c r="R547" s="109">
        <f t="shared" si="894"/>
        <v>-0.0</v>
      </c>
      <c r="S547" s="109">
        <f t="shared" si="894"/>
        <v>-0.0</v>
      </c>
      <c r="T547" s="109">
        <f t="shared" si="894"/>
        <v>-0.0</v>
      </c>
      <c r="U547" s="109">
        <f t="shared" si="894"/>
        <v>-0.0</v>
      </c>
      <c r="V547" s="109">
        <f t="shared" si="894"/>
        <v>-0.0</v>
      </c>
      <c r="W547" s="201" t="str">
        <f>IF(X$5=K$5,SUM(Y547:AI547)-SUM(L547:V547),"")</f>
        <v/>
      </c>
      <c r="X547" s="9" t="str">
        <f>LOWER(CtryCode)&amp;".distn."&amp;$A547&amp;IF($B547="","","."&amp;$B547)&amp;IF($C547="","",".dec."&amp;$C547)&amp;"."&amp;X$5</f>
        <v>egy.distn.adef.ker.dec.ove.2</v>
      </c>
      <c r="Y547" s="108">
        <f t="shared" ref="Y547:AI547" si="895">Y325*Y280/PctPerUnit</f>
        <v>-0.006802322517660102</v>
      </c>
      <c r="Z547" s="109">
        <f t="shared" si="895"/>
        <v>-0.001023654868910748</v>
      </c>
      <c r="AA547" s="109">
        <f t="shared" si="895"/>
        <v>-0.0015038408761699398</v>
      </c>
      <c r="AB547" s="109">
        <f t="shared" si="895"/>
        <v>-0.0008235669006709026</v>
      </c>
      <c r="AC547" s="109">
        <f t="shared" si="895"/>
        <v>-0.0054287883931031615</v>
      </c>
      <c r="AD547" s="109">
        <f t="shared" si="895"/>
        <v>-0.005616692962139787</v>
      </c>
      <c r="AE547" s="109">
        <f t="shared" si="895"/>
        <v>-0.0050771735932324214</v>
      </c>
      <c r="AF547" s="109">
        <f t="shared" si="895"/>
        <v>-0.002896100509116778</v>
      </c>
      <c r="AG547" s="109">
        <f t="shared" si="895"/>
        <v>-0.012943740667378608</v>
      </c>
      <c r="AH547" s="109">
        <f t="shared" si="895"/>
        <v>-0.02159246438806345</v>
      </c>
      <c r="AI547" s="109">
        <f t="shared" si="895"/>
        <v>-0.01984761583266193</v>
      </c>
    </row>
    <row r="548" hidden="1" outlineLevel="1">
      <c r="A548" s="44" t="inlineStr">
        <is>
          <t>adef</t>
        </is>
      </c>
      <c r="B548" s="3" t="inlineStr">
        <is>
          <t>lpg</t>
        </is>
      </c>
      <c r="C548" s="3" t="inlineStr">
        <is>
          <t>ove</t>
        </is>
      </c>
      <c r="D548" s="3" t="n"/>
      <c r="E548" s="3" t="n"/>
      <c r="H548" s="3" t="inlineStr">
        <is>
          <t>LPG: direct effect per capita</t>
        </is>
      </c>
      <c r="I548" s="3" t="inlineStr">
        <is>
          <t>LCU</t>
        </is>
      </c>
      <c r="J548" s="118" t="inlineStr">
        <is>
          <t>legacy rows 3064-3072</t>
        </is>
      </c>
      <c r="K548" s="9" t="str">
        <f>LOWER(CtryCode)&amp;".distn."&amp;$A548&amp;IF($B548="","","."&amp;$B548)&amp;IF($C548="","",".dec."&amp;$C548)&amp;"."&amp;K$5</f>
        <v>egy.distn.adef.lpg.dec.ove.1</v>
      </c>
      <c r="L548" s="108">
        <f t="shared" ref="L548:V548" si="896">L325*L281/PctPerUnit</f>
        <v>-0.0</v>
      </c>
      <c r="M548" s="109">
        <f t="shared" si="896"/>
        <v>-0.0</v>
      </c>
      <c r="N548" s="109">
        <f t="shared" si="896"/>
        <v>-0.0</v>
      </c>
      <c r="O548" s="109">
        <f t="shared" si="896"/>
        <v>-0.0</v>
      </c>
      <c r="P548" s="109">
        <f t="shared" si="896"/>
        <v>-0.0</v>
      </c>
      <c r="Q548" s="109">
        <f t="shared" si="896"/>
        <v>-0.0</v>
      </c>
      <c r="R548" s="109">
        <f t="shared" si="896"/>
        <v>-0.0</v>
      </c>
      <c r="S548" s="109">
        <f t="shared" si="896"/>
        <v>-0.0</v>
      </c>
      <c r="T548" s="109">
        <f t="shared" si="896"/>
        <v>-0.0</v>
      </c>
      <c r="U548" s="109">
        <f t="shared" si="896"/>
        <v>-0.0</v>
      </c>
      <c r="V548" s="109">
        <f t="shared" si="896"/>
        <v>-0.0</v>
      </c>
      <c r="W548" s="201" t="str">
        <f>IF(X$5=K$5,SUM(Y548:AI548)-SUM(L548:V548),"")</f>
        <v/>
      </c>
      <c r="X548" s="9" t="str">
        <f>LOWER(CtryCode)&amp;".distn."&amp;$A548&amp;IF($B548="","","."&amp;$B548)&amp;IF($C548="","",".dec."&amp;$C548)&amp;"."&amp;X$5</f>
        <v>egy.distn.adef.lpg.dec.ove.2</v>
      </c>
      <c r="Y548" s="108">
        <f t="shared" ref="Y548:AI548" si="897">Y325*Y281/PctPerUnit</f>
        <v>-347.98314782537227</v>
      </c>
      <c r="Z548" s="109">
        <f t="shared" si="897"/>
        <v>-218.87660962381563</v>
      </c>
      <c r="AA548" s="109">
        <f t="shared" si="897"/>
        <v>-240.87876371070016</v>
      </c>
      <c r="AB548" s="109">
        <f t="shared" si="897"/>
        <v>-272.36290108063133</v>
      </c>
      <c r="AC548" s="109">
        <f t="shared" si="897"/>
        <v>-279.7661364734261</v>
      </c>
      <c r="AD548" s="109">
        <f t="shared" si="897"/>
        <v>-277.8485800936705</v>
      </c>
      <c r="AE548" s="109">
        <f t="shared" si="897"/>
        <v>-279.87026096252885</v>
      </c>
      <c r="AF548" s="109">
        <f t="shared" si="897"/>
        <v>-339.20842098239984</v>
      </c>
      <c r="AG548" s="109">
        <f t="shared" si="897"/>
        <v>-344.3239526061801</v>
      </c>
      <c r="AH548" s="109">
        <f t="shared" si="897"/>
        <v>-358.3508742363675</v>
      </c>
      <c r="AI548" s="109">
        <f t="shared" si="897"/>
        <v>-426.24563318114457</v>
      </c>
    </row>
    <row r="549" hidden="1" outlineLevel="1">
      <c r="A549" s="44" t="inlineStr">
        <is>
          <t>aief</t>
        </is>
      </c>
      <c r="B549" s="3" t="inlineStr">
        <is>
          <t>app</t>
        </is>
      </c>
      <c r="C549" s="3" t="inlineStr">
        <is>
          <t>ove</t>
        </is>
      </c>
      <c r="D549" s="3" t="n"/>
      <c r="E549" s="3" t="n"/>
      <c r="H549" s="3" t="inlineStr">
        <is>
          <t>Appliances: indirect effect per capita</t>
        </is>
      </c>
      <c r="I549" s="3" t="inlineStr">
        <is>
          <t>LCU</t>
        </is>
      </c>
      <c r="J549" s="118" t="inlineStr">
        <is>
          <t>legacy rows 3074-3088</t>
        </is>
      </c>
      <c r="K549" s="9" t="str">
        <f>LOWER(CtryCode)&amp;".distn."&amp;$A549&amp;IF($B549="","","."&amp;$B549)&amp;IF($C549="","",".dec."&amp;$C549)&amp;"."&amp;K$5</f>
        <v>egy.distn.aief.app.dec.ove.1</v>
      </c>
      <c r="L549" s="108">
        <f t="shared" ref="L549:V549" si="898">L325*L285/PctPerUnit</f>
        <v>-0.0</v>
      </c>
      <c r="M549" s="109">
        <f t="shared" si="898"/>
        <v>-0.0</v>
      </c>
      <c r="N549" s="109">
        <f t="shared" si="898"/>
        <v>-0.0</v>
      </c>
      <c r="O549" s="109">
        <f t="shared" si="898"/>
        <v>-0.0</v>
      </c>
      <c r="P549" s="109">
        <f t="shared" si="898"/>
        <v>-0.0</v>
      </c>
      <c r="Q549" s="109">
        <f t="shared" si="898"/>
        <v>-0.0</v>
      </c>
      <c r="R549" s="109">
        <f t="shared" si="898"/>
        <v>-0.0</v>
      </c>
      <c r="S549" s="109">
        <f t="shared" si="898"/>
        <v>-0.0</v>
      </c>
      <c r="T549" s="109">
        <f t="shared" si="898"/>
        <v>-0.0</v>
      </c>
      <c r="U549" s="109">
        <f t="shared" si="898"/>
        <v>-0.0</v>
      </c>
      <c r="V549" s="109">
        <f t="shared" si="898"/>
        <v>-0.0</v>
      </c>
      <c r="W549" s="201" t="str">
        <f>IF(X$5=K$5,SUM(Y549:AI549)-SUM(L549:V549),"")</f>
        <v/>
      </c>
      <c r="X549" s="9" t="str">
        <f>LOWER(CtryCode)&amp;".distn."&amp;$A549&amp;IF($B549="","","."&amp;$B549)&amp;IF($C549="","",".dec."&amp;$C549)&amp;"."&amp;X$5</f>
        <v>egy.distn.aief.app.dec.ove.2</v>
      </c>
      <c r="Y549" s="108">
        <f t="shared" ref="Y549:AI549" si="899">Y325*Y285/PctPerUnit</f>
        <v>-3.5357832068107955</v>
      </c>
      <c r="Z549" s="109">
        <f t="shared" si="899"/>
        <v>-1.4820260500959623</v>
      </c>
      <c r="AA549" s="109">
        <f t="shared" si="899"/>
        <v>-1.804027750777614</v>
      </c>
      <c r="AB549" s="109">
        <f t="shared" si="899"/>
        <v>-2.1748400296020645</v>
      </c>
      <c r="AC549" s="109">
        <f t="shared" si="899"/>
        <v>-2.477996907550927</v>
      </c>
      <c r="AD549" s="109">
        <f t="shared" si="899"/>
        <v>-2.8647531980750385</v>
      </c>
      <c r="AE549" s="109">
        <f t="shared" si="899"/>
        <v>-3.01967866514288</v>
      </c>
      <c r="AF549" s="109">
        <f t="shared" si="899"/>
        <v>-4.05202849050368</v>
      </c>
      <c r="AG549" s="109">
        <f t="shared" si="899"/>
        <v>-4.59222053146028</v>
      </c>
      <c r="AH549" s="109">
        <f t="shared" si="899"/>
        <v>-4.903167387789102</v>
      </c>
      <c r="AI549" s="109">
        <f t="shared" si="899"/>
        <v>-7.643659608888054</v>
      </c>
    </row>
    <row r="550" hidden="1" outlineLevel="1">
      <c r="A550" s="44" t="inlineStr">
        <is>
          <t>aief</t>
        </is>
      </c>
      <c r="B550" s="3" t="inlineStr">
        <is>
          <t>che</t>
        </is>
      </c>
      <c r="C550" s="3" t="inlineStr">
        <is>
          <t>ove</t>
        </is>
      </c>
      <c r="D550" s="3" t="n"/>
      <c r="E550" s="3" t="n"/>
      <c r="H550" s="3" t="inlineStr">
        <is>
          <t>Chemicals: indirect effect per capita</t>
        </is>
      </c>
      <c r="I550" s="3" t="inlineStr">
        <is>
          <t>LCU</t>
        </is>
      </c>
      <c r="J550" s="118" t="inlineStr">
        <is>
          <t>legacy rows 3074-3088</t>
        </is>
      </c>
      <c r="K550" s="9" t="str">
        <f>LOWER(CtryCode)&amp;".distn."&amp;$A550&amp;IF($B550="","","."&amp;$B550)&amp;IF($C550="","",".dec."&amp;$C550)&amp;"."&amp;K$5</f>
        <v>egy.distn.aief.che.dec.ove.1</v>
      </c>
      <c r="L550" s="108">
        <f t="shared" ref="L550:V550" si="900">L325*L286/PctPerUnit</f>
        <v>-0.0</v>
      </c>
      <c r="M550" s="109">
        <f t="shared" si="900"/>
        <v>-0.0</v>
      </c>
      <c r="N550" s="109">
        <f t="shared" si="900"/>
        <v>-0.0</v>
      </c>
      <c r="O550" s="109">
        <f t="shared" si="900"/>
        <v>-0.0</v>
      </c>
      <c r="P550" s="109">
        <f t="shared" si="900"/>
        <v>-0.0</v>
      </c>
      <c r="Q550" s="109">
        <f t="shared" si="900"/>
        <v>-0.0</v>
      </c>
      <c r="R550" s="109">
        <f t="shared" si="900"/>
        <v>-0.0</v>
      </c>
      <c r="S550" s="109">
        <f t="shared" si="900"/>
        <v>-0.0</v>
      </c>
      <c r="T550" s="109">
        <f t="shared" si="900"/>
        <v>-0.0</v>
      </c>
      <c r="U550" s="109">
        <f t="shared" si="900"/>
        <v>-0.0</v>
      </c>
      <c r="V550" s="109">
        <f t="shared" si="900"/>
        <v>-0.0</v>
      </c>
      <c r="W550" s="201" t="str">
        <f>IF(X$5=K$5,SUM(Y550:AI550)-SUM(L550:V550),"")</f>
        <v/>
      </c>
      <c r="X550" s="9" t="str">
        <f>LOWER(CtryCode)&amp;".distn."&amp;$A550&amp;IF($B550="","","."&amp;$B550)&amp;IF($C550="","",".dec."&amp;$C550)&amp;"."&amp;X$5</f>
        <v>egy.distn.aief.che.dec.ove.2</v>
      </c>
      <c r="Y550" s="108">
        <f t="shared" ref="Y550:AI550" si="901">Y325*Y286/PctPerUnit</f>
        <v>-16.824702603831795</v>
      </c>
      <c r="Z550" s="109">
        <f t="shared" si="901"/>
        <v>-7.887398369923736</v>
      </c>
      <c r="AA550" s="109">
        <f t="shared" si="901"/>
        <v>-9.049487984585333</v>
      </c>
      <c r="AB550" s="109">
        <f t="shared" si="901"/>
        <v>-10.15995198086485</v>
      </c>
      <c r="AC550" s="109">
        <f t="shared" si="901"/>
        <v>-12.625757344564896</v>
      </c>
      <c r="AD550" s="109">
        <f t="shared" si="901"/>
        <v>-14.101324014648267</v>
      </c>
      <c r="AE550" s="109">
        <f t="shared" si="901"/>
        <v>-14.016098344776788</v>
      </c>
      <c r="AF550" s="109">
        <f t="shared" si="901"/>
        <v>-17.179559328666514</v>
      </c>
      <c r="AG550" s="109">
        <f t="shared" si="901"/>
        <v>-19.904256202238315</v>
      </c>
      <c r="AH550" s="109">
        <f t="shared" si="901"/>
        <v>-25.284717064291282</v>
      </c>
      <c r="AI550" s="109">
        <f t="shared" si="901"/>
        <v>-32.95209793544543</v>
      </c>
    </row>
    <row r="551" hidden="1" outlineLevel="1">
      <c r="A551" s="44" t="inlineStr">
        <is>
          <t>aief</t>
        </is>
      </c>
      <c r="B551" s="3" t="inlineStr">
        <is>
          <t>clo</t>
        </is>
      </c>
      <c r="C551" s="3" t="inlineStr">
        <is>
          <t>ove</t>
        </is>
      </c>
      <c r="D551" s="3" t="n"/>
      <c r="E551" s="3" t="n"/>
      <c r="H551" s="3" t="inlineStr">
        <is>
          <t>Clothing: indirect effect per capita</t>
        </is>
      </c>
      <c r="I551" s="3" t="inlineStr">
        <is>
          <t>LCU</t>
        </is>
      </c>
      <c r="J551" s="118" t="inlineStr">
        <is>
          <t>legacy rows 3074-3088</t>
        </is>
      </c>
      <c r="K551" s="9" t="str">
        <f>LOWER(CtryCode)&amp;".distn."&amp;$A551&amp;IF($B551="","","."&amp;$B551)&amp;IF($C551="","",".dec."&amp;$C551)&amp;"."&amp;K$5</f>
        <v>egy.distn.aief.clo.dec.ove.1</v>
      </c>
      <c r="L551" s="108">
        <f t="shared" ref="L551:V551" si="902">L325*L287/PctPerUnit</f>
        <v>-0.0</v>
      </c>
      <c r="M551" s="109">
        <f t="shared" si="902"/>
        <v>-0.0</v>
      </c>
      <c r="N551" s="109">
        <f t="shared" si="902"/>
        <v>-0.0</v>
      </c>
      <c r="O551" s="109">
        <f t="shared" si="902"/>
        <v>-0.0</v>
      </c>
      <c r="P551" s="109">
        <f t="shared" si="902"/>
        <v>-0.0</v>
      </c>
      <c r="Q551" s="109">
        <f t="shared" si="902"/>
        <v>-0.0</v>
      </c>
      <c r="R551" s="109">
        <f t="shared" si="902"/>
        <v>-0.0</v>
      </c>
      <c r="S551" s="109">
        <f t="shared" si="902"/>
        <v>-0.0</v>
      </c>
      <c r="T551" s="109">
        <f t="shared" si="902"/>
        <v>-0.0</v>
      </c>
      <c r="U551" s="109">
        <f t="shared" si="902"/>
        <v>-0.0</v>
      </c>
      <c r="V551" s="109">
        <f t="shared" si="902"/>
        <v>-0.0</v>
      </c>
      <c r="W551" s="201" t="str">
        <f>IF(X$5=K$5,SUM(Y551:AI551)-SUM(L551:V551),"")</f>
        <v/>
      </c>
      <c r="X551" s="9" t="str">
        <f>LOWER(CtryCode)&amp;".distn."&amp;$A551&amp;IF($B551="","","."&amp;$B551)&amp;IF($C551="","",".dec."&amp;$C551)&amp;"."&amp;X$5</f>
        <v>egy.distn.aief.clo.dec.ove.2</v>
      </c>
      <c r="Y551" s="108">
        <f t="shared" ref="Y551:AI551" si="903">Y325*Y287/PctPerUnit</f>
        <v>-4.859845170974967</v>
      </c>
      <c r="Z551" s="109">
        <f t="shared" si="903"/>
        <v>-2.0185541808599954</v>
      </c>
      <c r="AA551" s="109">
        <f t="shared" si="903"/>
        <v>-2.38779907691964</v>
      </c>
      <c r="AB551" s="109">
        <f t="shared" si="903"/>
        <v>-3.5190817309420095</v>
      </c>
      <c r="AC551" s="109">
        <f t="shared" si="903"/>
        <v>-3.803451078917919</v>
      </c>
      <c r="AD551" s="109">
        <f t="shared" si="903"/>
        <v>-4.00759409289422</v>
      </c>
      <c r="AE551" s="109">
        <f t="shared" si="903"/>
        <v>-4.209366458822565</v>
      </c>
      <c r="AF551" s="109">
        <f t="shared" si="903"/>
        <v>-5.507341679211313</v>
      </c>
      <c r="AG551" s="109">
        <f t="shared" si="903"/>
        <v>-5.344615332691087</v>
      </c>
      <c r="AH551" s="109">
        <f t="shared" si="903"/>
        <v>-6.581320509182101</v>
      </c>
      <c r="AI551" s="109">
        <f t="shared" si="903"/>
        <v>-7.4612958488385495</v>
      </c>
    </row>
    <row r="552" hidden="1" outlineLevel="1">
      <c r="A552" s="44" t="inlineStr">
        <is>
          <t>aief</t>
        </is>
      </c>
      <c r="B552" s="3" t="inlineStr">
        <is>
          <t>com</t>
        </is>
      </c>
      <c r="C552" s="3" t="inlineStr">
        <is>
          <t>ove</t>
        </is>
      </c>
      <c r="D552" s="3" t="n"/>
      <c r="E552" s="3" t="n"/>
      <c r="H552" s="3" t="inlineStr">
        <is>
          <t>Communications: indirect effect per capita</t>
        </is>
      </c>
      <c r="I552" s="3" t="inlineStr">
        <is>
          <t>LCU</t>
        </is>
      </c>
      <c r="J552" s="118" t="inlineStr">
        <is>
          <t>legacy rows 3074-3088</t>
        </is>
      </c>
      <c r="K552" s="9" t="str">
        <f>LOWER(CtryCode)&amp;".distn."&amp;$A552&amp;IF($B552="","","."&amp;$B552)&amp;IF($C552="","",".dec."&amp;$C552)&amp;"."&amp;K$5</f>
        <v>egy.distn.aief.com.dec.ove.1</v>
      </c>
      <c r="L552" s="108">
        <f t="shared" ref="L552:V552" si="904">L325*L288/PctPerUnit</f>
        <v>-0.0</v>
      </c>
      <c r="M552" s="109">
        <f t="shared" si="904"/>
        <v>-0.0</v>
      </c>
      <c r="N552" s="109">
        <f t="shared" si="904"/>
        <v>-0.0</v>
      </c>
      <c r="O552" s="109">
        <f t="shared" si="904"/>
        <v>-0.0</v>
      </c>
      <c r="P552" s="109">
        <f t="shared" si="904"/>
        <v>-0.0</v>
      </c>
      <c r="Q552" s="109">
        <f t="shared" si="904"/>
        <v>-0.0</v>
      </c>
      <c r="R552" s="109">
        <f t="shared" si="904"/>
        <v>-0.0</v>
      </c>
      <c r="S552" s="109">
        <f t="shared" si="904"/>
        <v>-0.0</v>
      </c>
      <c r="T552" s="109">
        <f t="shared" si="904"/>
        <v>-0.0</v>
      </c>
      <c r="U552" s="109">
        <f t="shared" si="904"/>
        <v>-0.0</v>
      </c>
      <c r="V552" s="109">
        <f t="shared" si="904"/>
        <v>-0.0</v>
      </c>
      <c r="W552" s="201" t="str">
        <f>IF(X$5=K$5,SUM(Y552:AI552)-SUM(L552:V552),"")</f>
        <v/>
      </c>
      <c r="X552" s="9" t="str">
        <f>LOWER(CtryCode)&amp;".distn."&amp;$A552&amp;IF($B552="","","."&amp;$B552)&amp;IF($C552="","",".dec."&amp;$C552)&amp;"."&amp;X$5</f>
        <v>egy.distn.aief.com.dec.ove.2</v>
      </c>
      <c r="Y552" s="108">
        <f t="shared" ref="Y552:AI552" si="905">Y325*Y288/PctPerUnit</f>
        <v>-0.7842854447031283</v>
      </c>
      <c r="Z552" s="109">
        <f t="shared" si="905"/>
        <v>-0.2793602355528113</v>
      </c>
      <c r="AA552" s="109">
        <f t="shared" si="905"/>
        <v>-0.38865254465099547</v>
      </c>
      <c r="AB552" s="109">
        <f t="shared" si="905"/>
        <v>-0.48058650561655614</v>
      </c>
      <c r="AC552" s="109">
        <f t="shared" si="905"/>
        <v>-0.692080310960701</v>
      </c>
      <c r="AD552" s="109">
        <f t="shared" si="905"/>
        <v>-0.7218794439926516</v>
      </c>
      <c r="AE552" s="109">
        <f t="shared" si="905"/>
        <v>-0.7995349460920541</v>
      </c>
      <c r="AF552" s="109">
        <f t="shared" si="905"/>
        <v>-0.9372317921805337</v>
      </c>
      <c r="AG552" s="109">
        <f t="shared" si="905"/>
        <v>-1.155124843594039</v>
      </c>
      <c r="AH552" s="109">
        <f t="shared" si="905"/>
        <v>-1.5622890892269916</v>
      </c>
      <c r="AI552" s="109">
        <f t="shared" si="905"/>
        <v>-2.15268833369494</v>
      </c>
    </row>
    <row r="553" hidden="1" outlineLevel="1">
      <c r="A553" s="44" t="inlineStr">
        <is>
          <t>aief</t>
        </is>
      </c>
      <c r="B553" s="3" t="inlineStr">
        <is>
          <t>edu</t>
        </is>
      </c>
      <c r="C553" s="3" t="inlineStr">
        <is>
          <t>ove</t>
        </is>
      </c>
      <c r="D553" s="3" t="n"/>
      <c r="E553" s="3" t="n"/>
      <c r="H553" s="3" t="inlineStr">
        <is>
          <t>Education: indirect effect per capita</t>
        </is>
      </c>
      <c r="I553" s="3" t="inlineStr">
        <is>
          <t>LCU</t>
        </is>
      </c>
      <c r="J553" s="118" t="inlineStr">
        <is>
          <t>legacy rows 3074-3088</t>
        </is>
      </c>
      <c r="K553" s="9" t="str">
        <f>LOWER(CtryCode)&amp;".distn."&amp;$A553&amp;IF($B553="","","."&amp;$B553)&amp;IF($C553="","",".dec."&amp;$C553)&amp;"."&amp;K$5</f>
        <v>egy.distn.aief.edu.dec.ove.1</v>
      </c>
      <c r="L553" s="108">
        <f t="shared" ref="L553:V553" si="906">L325*L289/PctPerUnit</f>
        <v>-0.0</v>
      </c>
      <c r="M553" s="109">
        <f t="shared" si="906"/>
        <v>-0.0</v>
      </c>
      <c r="N553" s="109">
        <f t="shared" si="906"/>
        <v>-0.0</v>
      </c>
      <c r="O553" s="109">
        <f t="shared" si="906"/>
        <v>-0.0</v>
      </c>
      <c r="P553" s="109">
        <f t="shared" si="906"/>
        <v>-0.0</v>
      </c>
      <c r="Q553" s="109">
        <f t="shared" si="906"/>
        <v>-0.0</v>
      </c>
      <c r="R553" s="109">
        <f t="shared" si="906"/>
        <v>-0.0</v>
      </c>
      <c r="S553" s="109">
        <f t="shared" si="906"/>
        <v>-0.0</v>
      </c>
      <c r="T553" s="109">
        <f t="shared" si="906"/>
        <v>-0.0</v>
      </c>
      <c r="U553" s="109">
        <f t="shared" si="906"/>
        <v>-0.0</v>
      </c>
      <c r="V553" s="109">
        <f t="shared" si="906"/>
        <v>-0.0</v>
      </c>
      <c r="W553" s="201" t="str">
        <f>IF(X$5=K$5,SUM(Y553:AI553)-SUM(L553:V553),"")</f>
        <v/>
      </c>
      <c r="X553" s="9" t="str">
        <f>LOWER(CtryCode)&amp;".distn."&amp;$A553&amp;IF($B553="","","."&amp;$B553)&amp;IF($C553="","",".dec."&amp;$C553)&amp;"."&amp;X$5</f>
        <v>egy.distn.aief.edu.dec.ove.2</v>
      </c>
      <c r="Y553" s="108">
        <f t="shared" ref="Y553:AI553" si="907">Y325*Y289/PctPerUnit</f>
        <v>-2.5662901649714365</v>
      </c>
      <c r="Z553" s="109">
        <f t="shared" si="907"/>
        <v>-0.9345467476455073</v>
      </c>
      <c r="AA553" s="109">
        <f t="shared" si="907"/>
        <v>-1.565187210274265</v>
      </c>
      <c r="AB553" s="109">
        <f t="shared" si="907"/>
        <v>-2.043683177507579</v>
      </c>
      <c r="AC553" s="109">
        <f t="shared" si="907"/>
        <v>-2.377694559759463</v>
      </c>
      <c r="AD553" s="109">
        <f t="shared" si="907"/>
        <v>-2.7834026323226992</v>
      </c>
      <c r="AE553" s="109">
        <f t="shared" si="907"/>
        <v>-2.7386743969729026</v>
      </c>
      <c r="AF553" s="109">
        <f t="shared" si="907"/>
        <v>-3.579871696145675</v>
      </c>
      <c r="AG553" s="109">
        <f t="shared" si="907"/>
        <v>-3.547691338853036</v>
      </c>
      <c r="AH553" s="109">
        <f t="shared" si="907"/>
        <v>-3.1468676661575836</v>
      </c>
      <c r="AI553" s="109">
        <f t="shared" si="907"/>
        <v>-2.351197402068792</v>
      </c>
    </row>
    <row r="554" hidden="1" outlineLevel="1">
      <c r="A554" s="44" t="inlineStr">
        <is>
          <t>aief</t>
        </is>
      </c>
      <c r="B554" s="3" t="inlineStr">
        <is>
          <t>food</t>
        </is>
      </c>
      <c r="C554" s="3" t="inlineStr">
        <is>
          <t>ove</t>
        </is>
      </c>
      <c r="D554" s="3" t="n"/>
      <c r="E554" s="3" t="n"/>
      <c r="H554" s="3" t="inlineStr">
        <is>
          <t>Food: indirect effect per capita</t>
        </is>
      </c>
      <c r="I554" s="3" t="inlineStr">
        <is>
          <t>LCU</t>
        </is>
      </c>
      <c r="J554" s="118" t="inlineStr">
        <is>
          <t>legacy rows 3074-3088</t>
        </is>
      </c>
      <c r="K554" s="9" t="str">
        <f>LOWER(CtryCode)&amp;".distn."&amp;$A554&amp;IF($B554="","","."&amp;$B554)&amp;IF($C554="","",".dec."&amp;$C554)&amp;"."&amp;K$5</f>
        <v>egy.distn.aief.food.dec.ove.1</v>
      </c>
      <c r="L554" s="108">
        <f t="shared" ref="L554:V554" si="908">L325*L290/PctPerUnit</f>
        <v>-0.0</v>
      </c>
      <c r="M554" s="109">
        <f t="shared" si="908"/>
        <v>-0.0</v>
      </c>
      <c r="N554" s="109">
        <f t="shared" si="908"/>
        <v>-0.0</v>
      </c>
      <c r="O554" s="109">
        <f t="shared" si="908"/>
        <v>-0.0</v>
      </c>
      <c r="P554" s="109">
        <f t="shared" si="908"/>
        <v>-0.0</v>
      </c>
      <c r="Q554" s="109">
        <f t="shared" si="908"/>
        <v>-0.0</v>
      </c>
      <c r="R554" s="109">
        <f t="shared" si="908"/>
        <v>-0.0</v>
      </c>
      <c r="S554" s="109">
        <f t="shared" si="908"/>
        <v>-0.0</v>
      </c>
      <c r="T554" s="109">
        <f t="shared" si="908"/>
        <v>-0.0</v>
      </c>
      <c r="U554" s="109">
        <f t="shared" si="908"/>
        <v>-0.0</v>
      </c>
      <c r="V554" s="109">
        <f t="shared" si="908"/>
        <v>-0.0</v>
      </c>
      <c r="W554" s="201" t="str">
        <f>IF(X$5=K$5,SUM(Y554:AI554)-SUM(L554:V554),"")</f>
        <v/>
      </c>
      <c r="X554" s="9" t="str">
        <f>LOWER(CtryCode)&amp;".distn."&amp;$A554&amp;IF($B554="","","."&amp;$B554)&amp;IF($C554="","",".dec."&amp;$C554)&amp;"."&amp;X$5</f>
        <v>egy.distn.aief.food.dec.ove.2</v>
      </c>
      <c r="Y554" s="108">
        <f t="shared" ref="Y554:AI554" si="909">Y325*Y290/PctPerUnit</f>
        <v>-42.74174618612703</v>
      </c>
      <c r="Z554" s="109">
        <f t="shared" si="909"/>
        <v>-19.106443618674206</v>
      </c>
      <c r="AA554" s="109">
        <f t="shared" si="909"/>
        <v>-26.7488221519885</v>
      </c>
      <c r="AB554" s="109">
        <f t="shared" si="909"/>
        <v>-30.151756551624068</v>
      </c>
      <c r="AC554" s="109">
        <f t="shared" si="909"/>
        <v>-36.18945066625774</v>
      </c>
      <c r="AD554" s="109">
        <f t="shared" si="909"/>
        <v>-37.047158543108736</v>
      </c>
      <c r="AE554" s="109">
        <f t="shared" si="909"/>
        <v>-43.07241517040754</v>
      </c>
      <c r="AF554" s="109">
        <f t="shared" si="909"/>
        <v>-48.979964337209815</v>
      </c>
      <c r="AG554" s="109">
        <f t="shared" si="909"/>
        <v>-59.59457456352323</v>
      </c>
      <c r="AH554" s="109">
        <f t="shared" si="909"/>
        <v>-72.99926369709372</v>
      </c>
      <c r="AI554" s="109">
        <f t="shared" si="909"/>
        <v>-86.60037752351889</v>
      </c>
    </row>
    <row r="555" hidden="1" outlineLevel="1">
      <c r="A555" s="44" t="inlineStr">
        <is>
          <t>aief</t>
        </is>
      </c>
      <c r="B555" s="3" t="inlineStr">
        <is>
          <t>hea</t>
        </is>
      </c>
      <c r="C555" s="3" t="inlineStr">
        <is>
          <t>ove</t>
        </is>
      </c>
      <c r="D555" s="3" t="n"/>
      <c r="E555" s="3" t="n"/>
      <c r="H555" s="3" t="inlineStr">
        <is>
          <t>Health services: indirect effect per capita</t>
        </is>
      </c>
      <c r="I555" s="3" t="inlineStr">
        <is>
          <t>LCU</t>
        </is>
      </c>
      <c r="J555" s="118" t="inlineStr">
        <is>
          <t>legacy rows 3074-3088</t>
        </is>
      </c>
      <c r="K555" s="9" t="str">
        <f>LOWER(CtryCode)&amp;".distn."&amp;$A555&amp;IF($B555="","","."&amp;$B555)&amp;IF($C555="","",".dec."&amp;$C555)&amp;"."&amp;K$5</f>
        <v>egy.distn.aief.hea.dec.ove.1</v>
      </c>
      <c r="L555" s="108">
        <f t="shared" ref="L555:V555" si="910">L325*L291/PctPerUnit</f>
        <v>-0.0</v>
      </c>
      <c r="M555" s="109">
        <f t="shared" si="910"/>
        <v>-0.0</v>
      </c>
      <c r="N555" s="109">
        <f t="shared" si="910"/>
        <v>-0.0</v>
      </c>
      <c r="O555" s="109">
        <f t="shared" si="910"/>
        <v>-0.0</v>
      </c>
      <c r="P555" s="109">
        <f t="shared" si="910"/>
        <v>-0.0</v>
      </c>
      <c r="Q555" s="109">
        <f t="shared" si="910"/>
        <v>-0.0</v>
      </c>
      <c r="R555" s="109">
        <f t="shared" si="910"/>
        <v>-0.0</v>
      </c>
      <c r="S555" s="109">
        <f t="shared" si="910"/>
        <v>-0.0</v>
      </c>
      <c r="T555" s="109">
        <f t="shared" si="910"/>
        <v>-0.0</v>
      </c>
      <c r="U555" s="109">
        <f t="shared" si="910"/>
        <v>-0.0</v>
      </c>
      <c r="V555" s="109">
        <f t="shared" si="910"/>
        <v>-0.0</v>
      </c>
      <c r="W555" s="201" t="str">
        <f>IF(X$5=K$5,SUM(Y555:AI555)-SUM(L555:V555),"")</f>
        <v/>
      </c>
      <c r="X555" s="9" t="str">
        <f>LOWER(CtryCode)&amp;".distn."&amp;$A555&amp;IF($B555="","","."&amp;$B555)&amp;IF($C555="","",".dec."&amp;$C555)&amp;"."&amp;X$5</f>
        <v>egy.distn.aief.hea.dec.ove.2</v>
      </c>
      <c r="Y555" s="108">
        <f t="shared" ref="Y555:AI555" si="911">Y325*Y291/PctPerUnit</f>
        <v>-3.6339128819817286</v>
      </c>
      <c r="Z555" s="109">
        <f t="shared" si="911"/>
        <v>-1.1461537003459952</v>
      </c>
      <c r="AA555" s="109">
        <f t="shared" si="911"/>
        <v>-1.477653562415597</v>
      </c>
      <c r="AB555" s="109">
        <f t="shared" si="911"/>
        <v>-2.247714762007496</v>
      </c>
      <c r="AC555" s="109">
        <f t="shared" si="911"/>
        <v>-2.592555371413888</v>
      </c>
      <c r="AD555" s="109">
        <f t="shared" si="911"/>
        <v>-2.991249606101351</v>
      </c>
      <c r="AE555" s="109">
        <f t="shared" si="911"/>
        <v>-3.108046568104964</v>
      </c>
      <c r="AF555" s="109">
        <f t="shared" si="911"/>
        <v>-4.7560713195596485</v>
      </c>
      <c r="AG555" s="109">
        <f t="shared" si="911"/>
        <v>-5.343793128723978</v>
      </c>
      <c r="AH555" s="109">
        <f t="shared" si="911"/>
        <v>-6.911287042386551</v>
      </c>
      <c r="AI555" s="109">
        <f t="shared" si="911"/>
        <v>-11.47600534573449</v>
      </c>
    </row>
    <row r="556" hidden="1" outlineLevel="1">
      <c r="A556" s="44" t="inlineStr">
        <is>
          <t>aief</t>
        </is>
      </c>
      <c r="B556" s="3" t="inlineStr">
        <is>
          <t>hou</t>
        </is>
      </c>
      <c r="C556" s="3" t="inlineStr">
        <is>
          <t>ove</t>
        </is>
      </c>
      <c r="D556" s="3" t="n"/>
      <c r="E556" s="3" t="n"/>
      <c r="H556" s="3" t="inlineStr">
        <is>
          <t>Housing: indirect effect per capita</t>
        </is>
      </c>
      <c r="I556" s="3" t="inlineStr">
        <is>
          <t>LCU</t>
        </is>
      </c>
      <c r="J556" s="118" t="inlineStr">
        <is>
          <t>legacy rows 3074-3088</t>
        </is>
      </c>
      <c r="K556" s="9" t="str">
        <f>LOWER(CtryCode)&amp;".distn."&amp;$A556&amp;IF($B556="","","."&amp;$B556)&amp;IF($C556="","",".dec."&amp;$C556)&amp;"."&amp;K$5</f>
        <v>egy.distn.aief.hou.dec.ove.1</v>
      </c>
      <c r="L556" s="108">
        <f t="shared" ref="L556:V556" si="912">L325*L292/PctPerUnit</f>
        <v>-0.0</v>
      </c>
      <c r="M556" s="109">
        <f t="shared" si="912"/>
        <v>-0.0</v>
      </c>
      <c r="N556" s="109">
        <f t="shared" si="912"/>
        <v>-0.0</v>
      </c>
      <c r="O556" s="109">
        <f t="shared" si="912"/>
        <v>-0.0</v>
      </c>
      <c r="P556" s="109">
        <f t="shared" si="912"/>
        <v>-0.0</v>
      </c>
      <c r="Q556" s="109">
        <f t="shared" si="912"/>
        <v>-0.0</v>
      </c>
      <c r="R556" s="109">
        <f t="shared" si="912"/>
        <v>-0.0</v>
      </c>
      <c r="S556" s="109">
        <f t="shared" si="912"/>
        <v>-0.0</v>
      </c>
      <c r="T556" s="109">
        <f t="shared" si="912"/>
        <v>-0.0</v>
      </c>
      <c r="U556" s="109">
        <f t="shared" si="912"/>
        <v>-0.0</v>
      </c>
      <c r="V556" s="109">
        <f t="shared" si="912"/>
        <v>-0.0</v>
      </c>
      <c r="W556" s="201" t="str">
        <f>IF(X$5=K$5,SUM(Y556:AI556)-SUM(L556:V556),"")</f>
        <v/>
      </c>
      <c r="X556" s="9" t="str">
        <f>LOWER(CtryCode)&amp;".distn."&amp;$A556&amp;IF($B556="","","."&amp;$B556)&amp;IF($C556="","",".dec."&amp;$C556)&amp;"."&amp;X$5</f>
        <v>egy.distn.aief.hou.dec.ove.2</v>
      </c>
      <c r="Y556" s="108">
        <f t="shared" ref="Y556:AI556" si="913">Y325*Y292/PctPerUnit</f>
        <v>-3.210145871314703</v>
      </c>
      <c r="Z556" s="109">
        <f t="shared" si="913"/>
        <v>-1.5217468607348732</v>
      </c>
      <c r="AA556" s="109">
        <f t="shared" si="913"/>
        <v>-1.6134263670863478</v>
      </c>
      <c r="AB556" s="109">
        <f t="shared" si="913"/>
        <v>-2.2279843268602066</v>
      </c>
      <c r="AC556" s="109">
        <f t="shared" si="913"/>
        <v>-2.29157535752842</v>
      </c>
      <c r="AD556" s="109">
        <f t="shared" si="913"/>
        <v>-2.777473366611832</v>
      </c>
      <c r="AE556" s="109">
        <f t="shared" si="913"/>
        <v>-2.8547242464611697</v>
      </c>
      <c r="AF556" s="109">
        <f t="shared" si="913"/>
        <v>-3.538779248505404</v>
      </c>
      <c r="AG556" s="109">
        <f t="shared" si="913"/>
        <v>-3.9475573548635845</v>
      </c>
      <c r="AH556" s="109">
        <f t="shared" si="913"/>
        <v>-4.5180421895340395</v>
      </c>
      <c r="AI556" s="109">
        <f t="shared" si="913"/>
        <v>-8.92502719452568</v>
      </c>
    </row>
    <row r="557" hidden="1" outlineLevel="1">
      <c r="A557" s="44" t="inlineStr">
        <is>
          <t>aief</t>
        </is>
      </c>
      <c r="B557" s="3" t="inlineStr">
        <is>
          <t>oth</t>
        </is>
      </c>
      <c r="C557" s="3" t="inlineStr">
        <is>
          <t>ove</t>
        </is>
      </c>
      <c r="D557" s="3" t="n"/>
      <c r="E557" s="3" t="n"/>
      <c r="H557" s="3" t="inlineStr">
        <is>
          <t>Other: indirect effect per capita</t>
        </is>
      </c>
      <c r="I557" s="3" t="inlineStr">
        <is>
          <t>LCU</t>
        </is>
      </c>
      <c r="J557" s="118" t="inlineStr">
        <is>
          <t>legacy rows 3074-3088</t>
        </is>
      </c>
      <c r="K557" s="9" t="str">
        <f>LOWER(CtryCode)&amp;".distn."&amp;$A557&amp;IF($B557="","","."&amp;$B557)&amp;IF($C557="","",".dec."&amp;$C557)&amp;"."&amp;K$5</f>
        <v>egy.distn.aief.oth.dec.ove.1</v>
      </c>
      <c r="L557" s="108">
        <f t="shared" ref="L557:V557" si="914">L325*L293/PctPerUnit</f>
        <v>-0.0</v>
      </c>
      <c r="M557" s="109">
        <f t="shared" si="914"/>
        <v>-0.0</v>
      </c>
      <c r="N557" s="109">
        <f t="shared" si="914"/>
        <v>-0.0</v>
      </c>
      <c r="O557" s="109">
        <f t="shared" si="914"/>
        <v>-0.0</v>
      </c>
      <c r="P557" s="109">
        <f t="shared" si="914"/>
        <v>-0.0</v>
      </c>
      <c r="Q557" s="109">
        <f t="shared" si="914"/>
        <v>-0.0</v>
      </c>
      <c r="R557" s="109">
        <f t="shared" si="914"/>
        <v>-0.0</v>
      </c>
      <c r="S557" s="109">
        <f t="shared" si="914"/>
        <v>-0.0</v>
      </c>
      <c r="T557" s="109">
        <f t="shared" si="914"/>
        <v>-0.0</v>
      </c>
      <c r="U557" s="109">
        <f t="shared" si="914"/>
        <v>-0.0</v>
      </c>
      <c r="V557" s="109">
        <f t="shared" si="914"/>
        <v>-0.0</v>
      </c>
      <c r="W557" s="201" t="str">
        <f>IF(X$5=K$5,SUM(Y557:AI557)-SUM(L557:V557),"")</f>
        <v/>
      </c>
      <c r="X557" s="9" t="str">
        <f>LOWER(CtryCode)&amp;".distn."&amp;$A557&amp;IF($B557="","","."&amp;$B557)&amp;IF($C557="","",".dec."&amp;$C557)&amp;"."&amp;X$5</f>
        <v>egy.distn.aief.oth.dec.ove.2</v>
      </c>
      <c r="Y557" s="108">
        <f t="shared" ref="Y557:AI557" si="915">Y325*Y293/PctPerUnit</f>
        <v>-0.005628254205747734</v>
      </c>
      <c r="Z557" s="109">
        <f t="shared" si="915"/>
        <v>-0.0020307524014966955</v>
      </c>
      <c r="AA557" s="109">
        <f t="shared" si="915"/>
        <v>-0.001701255700824395</v>
      </c>
      <c r="AB557" s="109">
        <f t="shared" si="915"/>
        <v>-0.0015485309189197769</v>
      </c>
      <c r="AC557" s="109">
        <f t="shared" si="915"/>
        <v>-0.0025623637793705588</v>
      </c>
      <c r="AD557" s="109">
        <f t="shared" si="915"/>
        <v>-0.006451649150046449</v>
      </c>
      <c r="AE557" s="109">
        <f t="shared" si="915"/>
        <v>-0.005087393614362331</v>
      </c>
      <c r="AF557" s="109">
        <f t="shared" si="915"/>
        <v>-0.0058666891613396634</v>
      </c>
      <c r="AG557" s="109">
        <f t="shared" si="915"/>
        <v>-0.008779596793435084</v>
      </c>
      <c r="AH557" s="109">
        <f t="shared" si="915"/>
        <v>-0.009333913399370189</v>
      </c>
      <c r="AI557" s="109">
        <f t="shared" si="915"/>
        <v>-0.022564968569383267</v>
      </c>
    </row>
    <row r="558" hidden="1" outlineLevel="1">
      <c r="A558" s="44" t="inlineStr">
        <is>
          <t>aief</t>
        </is>
      </c>
      <c r="B558" s="3" t="inlineStr">
        <is>
          <t>pap</t>
        </is>
      </c>
      <c r="C558" s="3" t="inlineStr">
        <is>
          <t>ove</t>
        </is>
      </c>
      <c r="D558" s="3" t="n"/>
      <c r="E558" s="3" t="n"/>
      <c r="H558" s="3" t="inlineStr">
        <is>
          <t>Paper: indirect effect per capita</t>
        </is>
      </c>
      <c r="I558" s="3" t="inlineStr">
        <is>
          <t>LCU</t>
        </is>
      </c>
      <c r="J558" s="118" t="inlineStr">
        <is>
          <t>legacy rows 3074-3088</t>
        </is>
      </c>
      <c r="K558" s="9" t="str">
        <f>LOWER(CtryCode)&amp;".distn."&amp;$A558&amp;IF($B558="","","."&amp;$B558)&amp;IF($C558="","",".dec."&amp;$C558)&amp;"."&amp;K$5</f>
        <v>egy.distn.aief.pap.dec.ove.1</v>
      </c>
      <c r="L558" s="108">
        <f t="shared" ref="L558:V558" si="916">L325*L294/PctPerUnit</f>
        <v>-0.0</v>
      </c>
      <c r="M558" s="109">
        <f t="shared" si="916"/>
        <v>-0.0</v>
      </c>
      <c r="N558" s="109">
        <f t="shared" si="916"/>
        <v>-0.0</v>
      </c>
      <c r="O558" s="109">
        <f t="shared" si="916"/>
        <v>-0.0</v>
      </c>
      <c r="P558" s="109">
        <f t="shared" si="916"/>
        <v>-0.0</v>
      </c>
      <c r="Q558" s="109">
        <f t="shared" si="916"/>
        <v>-0.0</v>
      </c>
      <c r="R558" s="109">
        <f t="shared" si="916"/>
        <v>-0.0</v>
      </c>
      <c r="S558" s="109">
        <f t="shared" si="916"/>
        <v>-0.0</v>
      </c>
      <c r="T558" s="109">
        <f t="shared" si="916"/>
        <v>-0.0</v>
      </c>
      <c r="U558" s="109">
        <f t="shared" si="916"/>
        <v>-0.0</v>
      </c>
      <c r="V558" s="109">
        <f t="shared" si="916"/>
        <v>-0.0</v>
      </c>
      <c r="W558" s="201" t="str">
        <f>IF(X$5=K$5,SUM(Y558:AI558)-SUM(L558:V558),"")</f>
        <v/>
      </c>
      <c r="X558" s="9" t="str">
        <f>LOWER(CtryCode)&amp;".distn."&amp;$A558&amp;IF($B558="","","."&amp;$B558)&amp;IF($C558="","",".dec."&amp;$C558)&amp;"."&amp;X$5</f>
        <v>egy.distn.aief.pap.dec.ove.2</v>
      </c>
      <c r="Y558" s="108">
        <f t="shared" ref="Y558:AI558" si="917">Y325*Y294/PctPerUnit</f>
        <v>-2.3911216168797957</v>
      </c>
      <c r="Z558" s="109">
        <f t="shared" si="917"/>
        <v>-1.4193744551428176</v>
      </c>
      <c r="AA558" s="109">
        <f t="shared" si="917"/>
        <v>-1.7919530957190142</v>
      </c>
      <c r="AB558" s="109">
        <f t="shared" si="917"/>
        <v>-2.151245619101436</v>
      </c>
      <c r="AC558" s="109">
        <f t="shared" si="917"/>
        <v>-2.4025586961396317</v>
      </c>
      <c r="AD558" s="109">
        <f t="shared" si="917"/>
        <v>-2.5239499781375545</v>
      </c>
      <c r="AE558" s="109">
        <f t="shared" si="917"/>
        <v>-2.4290655132476915</v>
      </c>
      <c r="AF558" s="109">
        <f t="shared" si="917"/>
        <v>-2.7268701500289216</v>
      </c>
      <c r="AG558" s="109">
        <f t="shared" si="917"/>
        <v>-2.4566917490449933</v>
      </c>
      <c r="AH558" s="109">
        <f t="shared" si="917"/>
        <v>-2.60114459570297</v>
      </c>
      <c r="AI558" s="109">
        <f t="shared" si="917"/>
        <v>-2.6921931759209885</v>
      </c>
    </row>
    <row r="559" hidden="1" outlineLevel="1">
      <c r="A559" s="44" t="inlineStr">
        <is>
          <t>aief</t>
        </is>
      </c>
      <c r="B559" s="3" t="inlineStr">
        <is>
          <t>pha</t>
        </is>
      </c>
      <c r="C559" s="3" t="inlineStr">
        <is>
          <t>ove</t>
        </is>
      </c>
      <c r="D559" s="3" t="n"/>
      <c r="E559" s="3" t="n"/>
      <c r="H559" s="3" t="inlineStr">
        <is>
          <t>Pharmaceuticals: indirect effect per capita</t>
        </is>
      </c>
      <c r="I559" s="3" t="inlineStr">
        <is>
          <t>LCU</t>
        </is>
      </c>
      <c r="J559" s="118" t="inlineStr">
        <is>
          <t>legacy rows 3074-3088</t>
        </is>
      </c>
      <c r="K559" s="9" t="str">
        <f>LOWER(CtryCode)&amp;".distn."&amp;$A559&amp;IF($B559="","","."&amp;$B559)&amp;IF($C559="","",".dec."&amp;$C559)&amp;"."&amp;K$5</f>
        <v>egy.distn.aief.pha.dec.ove.1</v>
      </c>
      <c r="L559" s="108">
        <f t="shared" ref="L559:V559" si="918">L325*L295/PctPerUnit</f>
        <v>-0.0</v>
      </c>
      <c r="M559" s="109">
        <f t="shared" si="918"/>
        <v>-0.0</v>
      </c>
      <c r="N559" s="109">
        <f t="shared" si="918"/>
        <v>-0.0</v>
      </c>
      <c r="O559" s="109">
        <f t="shared" si="918"/>
        <v>-0.0</v>
      </c>
      <c r="P559" s="109">
        <f t="shared" si="918"/>
        <v>-0.0</v>
      </c>
      <c r="Q559" s="109">
        <f t="shared" si="918"/>
        <v>-0.0</v>
      </c>
      <c r="R559" s="109">
        <f t="shared" si="918"/>
        <v>-0.0</v>
      </c>
      <c r="S559" s="109">
        <f t="shared" si="918"/>
        <v>-0.0</v>
      </c>
      <c r="T559" s="109">
        <f t="shared" si="918"/>
        <v>-0.0</v>
      </c>
      <c r="U559" s="109">
        <f t="shared" si="918"/>
        <v>-0.0</v>
      </c>
      <c r="V559" s="109">
        <f t="shared" si="918"/>
        <v>-0.0</v>
      </c>
      <c r="W559" s="201" t="str">
        <f>IF(X$5=K$5,SUM(Y559:AI559)-SUM(L559:V559),"")</f>
        <v/>
      </c>
      <c r="X559" s="9" t="str">
        <f>LOWER(CtryCode)&amp;".distn."&amp;$A559&amp;IF($B559="","","."&amp;$B559)&amp;IF($C559="","",".dec."&amp;$C559)&amp;"."&amp;X$5</f>
        <v>egy.distn.aief.pha.dec.ove.2</v>
      </c>
      <c r="Y559" s="108">
        <f t="shared" ref="Y559:AI559" si="919">Y325*Y295/PctPerUnit</f>
        <v>-10.972066851077559</v>
      </c>
      <c r="Z559" s="109">
        <f t="shared" si="919"/>
        <v>-3.332322514999065</v>
      </c>
      <c r="AA559" s="109">
        <f t="shared" si="919"/>
        <v>-4.162693052394721</v>
      </c>
      <c r="AB559" s="109">
        <f t="shared" si="919"/>
        <v>-5.118310521596067</v>
      </c>
      <c r="AC559" s="109">
        <f t="shared" si="919"/>
        <v>-6.390690628385293</v>
      </c>
      <c r="AD559" s="109">
        <f t="shared" si="919"/>
        <v>-7.62159589377781</v>
      </c>
      <c r="AE559" s="109">
        <f t="shared" si="919"/>
        <v>-9.448467396601586</v>
      </c>
      <c r="AF559" s="109">
        <f t="shared" si="919"/>
        <v>-11.255399572488324</v>
      </c>
      <c r="AG559" s="109">
        <f t="shared" si="919"/>
        <v>-17.239896660014583</v>
      </c>
      <c r="AH559" s="109">
        <f t="shared" si="919"/>
        <v>-20.268174595290546</v>
      </c>
      <c r="AI559" s="109">
        <f t="shared" si="919"/>
        <v>-34.45744490963733</v>
      </c>
    </row>
    <row r="560" hidden="1" outlineLevel="1">
      <c r="A560" s="44" t="inlineStr">
        <is>
          <t>aief</t>
        </is>
      </c>
      <c r="B560" s="3" t="inlineStr">
        <is>
          <t>ret</t>
        </is>
      </c>
      <c r="C560" s="3" t="inlineStr">
        <is>
          <t>ove</t>
        </is>
      </c>
      <c r="D560" s="3" t="n"/>
      <c r="E560" s="3" t="n"/>
      <c r="H560" s="3" t="inlineStr">
        <is>
          <t>Recreation and tourism: indirect effect per capita</t>
        </is>
      </c>
      <c r="I560" s="3" t="inlineStr">
        <is>
          <t>LCU</t>
        </is>
      </c>
      <c r="J560" s="118" t="inlineStr">
        <is>
          <t>legacy rows 3074-3088</t>
        </is>
      </c>
      <c r="K560" s="9" t="str">
        <f>LOWER(CtryCode)&amp;".distn."&amp;$A560&amp;IF($B560="","","."&amp;$B560)&amp;IF($C560="","",".dec."&amp;$C560)&amp;"."&amp;K$5</f>
        <v>egy.distn.aief.ret.dec.ove.1</v>
      </c>
      <c r="L560" s="108">
        <f t="shared" ref="L560:V560" si="920">L325*L296/PctPerUnit</f>
        <v>-0.0</v>
      </c>
      <c r="M560" s="109">
        <f t="shared" si="920"/>
        <v>-0.0</v>
      </c>
      <c r="N560" s="109">
        <f t="shared" si="920"/>
        <v>-0.0</v>
      </c>
      <c r="O560" s="109">
        <f t="shared" si="920"/>
        <v>-0.0</v>
      </c>
      <c r="P560" s="109">
        <f t="shared" si="920"/>
        <v>-0.0</v>
      </c>
      <c r="Q560" s="109">
        <f t="shared" si="920"/>
        <v>-0.0</v>
      </c>
      <c r="R560" s="109">
        <f t="shared" si="920"/>
        <v>-0.0</v>
      </c>
      <c r="S560" s="109">
        <f t="shared" si="920"/>
        <v>-0.0</v>
      </c>
      <c r="T560" s="109">
        <f t="shared" si="920"/>
        <v>-0.0</v>
      </c>
      <c r="U560" s="109">
        <f t="shared" si="920"/>
        <v>-0.0</v>
      </c>
      <c r="V560" s="109">
        <f t="shared" si="920"/>
        <v>-0.0</v>
      </c>
      <c r="W560" s="201" t="str">
        <f>IF(X$5=K$5,SUM(Y560:AI560)-SUM(L560:V560),"")</f>
        <v/>
      </c>
      <c r="X560" s="9" t="str">
        <f>LOWER(CtryCode)&amp;".distn."&amp;$A560&amp;IF($B560="","","."&amp;$B560)&amp;IF($C560="","",".dec."&amp;$C560)&amp;"."&amp;X$5</f>
        <v>egy.distn.aief.ret.dec.ove.2</v>
      </c>
      <c r="Y560" s="108">
        <f t="shared" ref="Y560:AI560" si="921">Y325*Y296/PctPerUnit</f>
        <v>-4.857700570349347</v>
      </c>
      <c r="Z560" s="109">
        <f t="shared" si="921"/>
        <v>-1.8626440920785132</v>
      </c>
      <c r="AA560" s="109">
        <f t="shared" si="921"/>
        <v>-2.354836622729948</v>
      </c>
      <c r="AB560" s="109">
        <f t="shared" si="921"/>
        <v>-2.9334254012936403</v>
      </c>
      <c r="AC560" s="109">
        <f t="shared" si="921"/>
        <v>-3.348309018246937</v>
      </c>
      <c r="AD560" s="109">
        <f t="shared" si="921"/>
        <v>-3.8711973743833115</v>
      </c>
      <c r="AE560" s="109">
        <f t="shared" si="921"/>
        <v>-3.8656716814191827</v>
      </c>
      <c r="AF560" s="109">
        <f t="shared" si="921"/>
        <v>-4.584853474917636</v>
      </c>
      <c r="AG560" s="109">
        <f t="shared" si="921"/>
        <v>-5.345524680222577</v>
      </c>
      <c r="AH560" s="109">
        <f t="shared" si="921"/>
        <v>-6.555363270681645</v>
      </c>
      <c r="AI560" s="109">
        <f t="shared" si="921"/>
        <v>-11.294665165548547</v>
      </c>
    </row>
    <row r="561" hidden="1" outlineLevel="1">
      <c r="A561" s="44" t="inlineStr">
        <is>
          <t>aief</t>
        </is>
      </c>
      <c r="B561" s="3" t="inlineStr">
        <is>
          <t>teq</t>
        </is>
      </c>
      <c r="C561" s="3" t="inlineStr">
        <is>
          <t>ove</t>
        </is>
      </c>
      <c r="D561" s="3" t="n"/>
      <c r="E561" s="3" t="n"/>
      <c r="H561" s="3" t="inlineStr">
        <is>
          <t>Transport equipment: indirect effect per capita</t>
        </is>
      </c>
      <c r="I561" s="3" t="inlineStr">
        <is>
          <t>LCU</t>
        </is>
      </c>
      <c r="J561" s="118" t="inlineStr">
        <is>
          <t>legacy rows 3074-3088</t>
        </is>
      </c>
      <c r="K561" s="9" t="str">
        <f>LOWER(CtryCode)&amp;".distn."&amp;$A561&amp;IF($B561="","","."&amp;$B561)&amp;IF($C561="","",".dec."&amp;$C561)&amp;"."&amp;K$5</f>
        <v>egy.distn.aief.teq.dec.ove.1</v>
      </c>
      <c r="L561" s="108">
        <f t="shared" ref="L561:V561" si="922">L325*L297/PctPerUnit</f>
        <v>-0.0</v>
      </c>
      <c r="M561" s="109">
        <f t="shared" si="922"/>
        <v>-0.0</v>
      </c>
      <c r="N561" s="109">
        <f t="shared" si="922"/>
        <v>-0.0</v>
      </c>
      <c r="O561" s="109">
        <f t="shared" si="922"/>
        <v>-0.0</v>
      </c>
      <c r="P561" s="109">
        <f t="shared" si="922"/>
        <v>-0.0</v>
      </c>
      <c r="Q561" s="109">
        <f t="shared" si="922"/>
        <v>-0.0</v>
      </c>
      <c r="R561" s="109">
        <f t="shared" si="922"/>
        <v>-0.0</v>
      </c>
      <c r="S561" s="109">
        <f t="shared" si="922"/>
        <v>-0.0</v>
      </c>
      <c r="T561" s="109">
        <f t="shared" si="922"/>
        <v>-0.0</v>
      </c>
      <c r="U561" s="109">
        <f t="shared" si="922"/>
        <v>-0.0</v>
      </c>
      <c r="V561" s="109">
        <f t="shared" si="922"/>
        <v>-0.0</v>
      </c>
      <c r="W561" s="201" t="str">
        <f>IF(X$5=K$5,SUM(Y561:AI561)-SUM(L561:V561),"")</f>
        <v/>
      </c>
      <c r="X561" s="9" t="str">
        <f>LOWER(CtryCode)&amp;".distn."&amp;$A561&amp;IF($B561="","","."&amp;$B561)&amp;IF($C561="","",".dec."&amp;$C561)&amp;"."&amp;X$5</f>
        <v>egy.distn.aief.teq.dec.ove.2</v>
      </c>
      <c r="Y561" s="108">
        <f t="shared" ref="Y561:AI561" si="923">Y325*Y297/PctPerUnit</f>
        <v>-0.3477266398439455</v>
      </c>
      <c r="Z561" s="109">
        <f t="shared" si="923"/>
        <v>-0.10709725102950142</v>
      </c>
      <c r="AA561" s="109">
        <f t="shared" si="923"/>
        <v>-0.13101771523727543</v>
      </c>
      <c r="AB561" s="109">
        <f t="shared" si="923"/>
        <v>-0.1624700902036254</v>
      </c>
      <c r="AC561" s="109">
        <f t="shared" si="923"/>
        <v>-0.1773070713207128</v>
      </c>
      <c r="AD561" s="109">
        <f t="shared" si="923"/>
        <v>-0.24530895185852297</v>
      </c>
      <c r="AE561" s="109">
        <f t="shared" si="923"/>
        <v>-0.3247334794374492</v>
      </c>
      <c r="AF561" s="109">
        <f t="shared" si="923"/>
        <v>-0.4445502569477195</v>
      </c>
      <c r="AG561" s="109">
        <f t="shared" si="923"/>
        <v>-0.6383063360817577</v>
      </c>
      <c r="AH561" s="109">
        <f t="shared" si="923"/>
        <v>-0.8077508250369537</v>
      </c>
      <c r="AI561" s="109">
        <f t="shared" si="923"/>
        <v>-1.4967628603651388</v>
      </c>
    </row>
    <row r="562" hidden="1" outlineLevel="1">
      <c r="A562" s="44" t="inlineStr">
        <is>
          <t>aief</t>
        </is>
      </c>
      <c r="B562" s="3" t="inlineStr">
        <is>
          <t>tpu</t>
        </is>
      </c>
      <c r="C562" s="3" t="inlineStr">
        <is>
          <t>ove</t>
        </is>
      </c>
      <c r="D562" s="3" t="n"/>
      <c r="E562" s="3" t="n"/>
      <c r="H562" s="3" t="inlineStr">
        <is>
          <t>Public transport: indirect effect per capita</t>
        </is>
      </c>
      <c r="I562" s="3" t="inlineStr">
        <is>
          <t>LCU</t>
        </is>
      </c>
      <c r="J562" s="118" t="inlineStr">
        <is>
          <t>legacy rows 3074-3088</t>
        </is>
      </c>
      <c r="K562" s="9" t="str">
        <f>LOWER(CtryCode)&amp;".distn."&amp;$A562&amp;IF($B562="","","."&amp;$B562)&amp;IF($C562="","",".dec."&amp;$C562)&amp;"."&amp;K$5</f>
        <v>egy.distn.aief.tpu.dec.ove.1</v>
      </c>
      <c r="L562" s="108">
        <f t="shared" ref="L562:V562" si="924">L325*L298/PctPerUnit</f>
        <v>-0.0</v>
      </c>
      <c r="M562" s="109">
        <f t="shared" si="924"/>
        <v>-0.0</v>
      </c>
      <c r="N562" s="109">
        <f t="shared" si="924"/>
        <v>-0.0</v>
      </c>
      <c r="O562" s="109">
        <f t="shared" si="924"/>
        <v>-0.0</v>
      </c>
      <c r="P562" s="109">
        <f t="shared" si="924"/>
        <v>-0.0</v>
      </c>
      <c r="Q562" s="109">
        <f t="shared" si="924"/>
        <v>-0.0</v>
      </c>
      <c r="R562" s="109">
        <f t="shared" si="924"/>
        <v>-0.0</v>
      </c>
      <c r="S562" s="109">
        <f t="shared" si="924"/>
        <v>-0.0</v>
      </c>
      <c r="T562" s="109">
        <f t="shared" si="924"/>
        <v>-0.0</v>
      </c>
      <c r="U562" s="109">
        <f t="shared" si="924"/>
        <v>-0.0</v>
      </c>
      <c r="V562" s="109">
        <f t="shared" si="924"/>
        <v>-0.0</v>
      </c>
      <c r="W562" s="201" t="str">
        <f>IF(X$5=K$5,SUM(Y562:AI562)-SUM(L562:V562),"")</f>
        <v/>
      </c>
      <c r="X562" s="9" t="str">
        <f>LOWER(CtryCode)&amp;".distn."&amp;$A562&amp;IF($B562="","","."&amp;$B562)&amp;IF($C562="","",".dec."&amp;$C562)&amp;"."&amp;X$5</f>
        <v>egy.distn.aief.tpu.dec.ove.2</v>
      </c>
      <c r="Y562" s="108">
        <f t="shared" ref="Y562:AI562" si="925">Y325*Y298/PctPerUnit</f>
        <v>-16.453614235299845</v>
      </c>
      <c r="Z562" s="109">
        <f t="shared" si="925"/>
        <v>-7.43369389187286</v>
      </c>
      <c r="AA562" s="109">
        <f t="shared" si="925"/>
        <v>-8.565614591347437</v>
      </c>
      <c r="AB562" s="109">
        <f t="shared" si="925"/>
        <v>-10.896871901006747</v>
      </c>
      <c r="AC562" s="109">
        <f t="shared" si="925"/>
        <v>-12.877266475228971</v>
      </c>
      <c r="AD562" s="109">
        <f t="shared" si="925"/>
        <v>-13.721002087077684</v>
      </c>
      <c r="AE562" s="109">
        <f t="shared" si="925"/>
        <v>-15.444388287657693</v>
      </c>
      <c r="AF562" s="109">
        <f t="shared" si="925"/>
        <v>-21.44822924605952</v>
      </c>
      <c r="AG562" s="109">
        <f t="shared" si="925"/>
        <v>-23.9694943319988</v>
      </c>
      <c r="AH562" s="109">
        <f t="shared" si="925"/>
        <v>-25.307519206818206</v>
      </c>
      <c r="AI562" s="109">
        <f t="shared" si="925"/>
        <v>-33.35804947981976</v>
      </c>
    </row>
    <row r="563" hidden="1" outlineLevel="1">
      <c r="A563" s="44" t="inlineStr">
        <is>
          <t>adef</t>
        </is>
      </c>
      <c r="B563" s="3" t="inlineStr">
        <is>
          <t>tot</t>
        </is>
      </c>
      <c r="C563" s="3" t="inlineStr">
        <is>
          <t>ove</t>
        </is>
      </c>
      <c r="D563" s="3" t="n"/>
      <c r="E563" s="3" t="n"/>
      <c r="H563" s="3" t="inlineStr">
        <is>
          <t>Direct effect per capita, overall</t>
        </is>
      </c>
      <c r="I563" s="3" t="inlineStr">
        <is>
          <t>LCU</t>
        </is>
      </c>
      <c r="J563" s="118" t="inlineStr">
        <is>
          <t>legacy rows 3090, 3099, 3126, 3135, 3163, 3172</t>
        </is>
      </c>
      <c r="K563" s="9" t="str">
        <f>LOWER(CtryCode)&amp;".distn."&amp;$A563&amp;IF($B563="","","."&amp;$B563)&amp;IF($C563="","",".dec."&amp;$C563)&amp;"."&amp;K$5</f>
        <v>egy.distn.adef.tot.dec.ove.1</v>
      </c>
      <c r="L563" s="108">
        <f t="shared" ref="L563:V563" si="926">L325*L282/PctPerUnit</f>
        <v>0.0</v>
      </c>
      <c r="M563" s="109">
        <f t="shared" si="926"/>
        <v>0.0</v>
      </c>
      <c r="N563" s="109">
        <f t="shared" si="926"/>
        <v>0.0</v>
      </c>
      <c r="O563" s="109">
        <f t="shared" si="926"/>
        <v>0.0</v>
      </c>
      <c r="P563" s="109">
        <f t="shared" si="926"/>
        <v>0.0</v>
      </c>
      <c r="Q563" s="109">
        <f t="shared" si="926"/>
        <v>0.0</v>
      </c>
      <c r="R563" s="109">
        <f t="shared" si="926"/>
        <v>0.0</v>
      </c>
      <c r="S563" s="109">
        <f t="shared" si="926"/>
        <v>0.0</v>
      </c>
      <c r="T563" s="109">
        <f t="shared" si="926"/>
        <v>0.0</v>
      </c>
      <c r="U563" s="109">
        <f t="shared" si="926"/>
        <v>0.0</v>
      </c>
      <c r="V563" s="109">
        <f t="shared" si="926"/>
        <v>0.0</v>
      </c>
      <c r="W563" s="201" t="str">
        <f>IF(X$5=K$5,SUM(Y563:AI563)-SUM(L563:V563),"")</f>
        <v/>
      </c>
      <c r="X563" s="9" t="str">
        <f>LOWER(CtryCode)&amp;".distn."&amp;$A563&amp;IF($B563="","","."&amp;$B563)&amp;IF($C563="","",".dec."&amp;$C563)&amp;"."&amp;X$5</f>
        <v>egy.distn.adef.tot.dec.ove.2</v>
      </c>
      <c r="Y563" s="108">
        <f t="shared" ref="Y563:AI563" si="927">Y325*Y282/PctPerUnit</f>
        <v>-934.5831968184743</v>
      </c>
      <c r="Z563" s="109">
        <f t="shared" si="927"/>
        <v>-457.98742597790624</v>
      </c>
      <c r="AA563" s="109">
        <f t="shared" si="927"/>
        <v>-527.1144883347987</v>
      </c>
      <c r="AB563" s="109">
        <f t="shared" si="927"/>
        <v>-647.5944020688758</v>
      </c>
      <c r="AC563" s="109">
        <f t="shared" si="927"/>
        <v>-715.7884555321766</v>
      </c>
      <c r="AD563" s="109">
        <f t="shared" si="927"/>
        <v>-742.0132096190324</v>
      </c>
      <c r="AE563" s="109">
        <f t="shared" si="927"/>
        <v>-783.3639230246171</v>
      </c>
      <c r="AF563" s="109">
        <f t="shared" si="927"/>
        <v>-1010.7752131072796</v>
      </c>
      <c r="AG563" s="109">
        <f t="shared" si="927"/>
        <v>-1194.6905532441972</v>
      </c>
      <c r="AH563" s="109">
        <f t="shared" si="927"/>
        <v>-1369.6273239125442</v>
      </c>
      <c r="AI563" s="109">
        <f t="shared" si="927"/>
        <v>-2032.8176994885348</v>
      </c>
    </row>
    <row r="564" hidden="1" outlineLevel="1">
      <c r="A564" s="44" t="inlineStr">
        <is>
          <t>aief</t>
        </is>
      </c>
      <c r="B564" s="3" t="inlineStr">
        <is>
          <t>tot</t>
        </is>
      </c>
      <c r="C564" s="3" t="inlineStr">
        <is>
          <t>ove</t>
        </is>
      </c>
      <c r="D564" s="3" t="n"/>
      <c r="E564" s="3" t="n"/>
      <c r="H564" s="3" t="inlineStr">
        <is>
          <t>Indirect effect per capita, overall</t>
        </is>
      </c>
      <c r="I564" s="3" t="inlineStr">
        <is>
          <t>LCU</t>
        </is>
      </c>
      <c r="J564" s="118" t="inlineStr">
        <is>
          <t>legacy rows 3090, 3099, 3126, 3135, 3163, 3172</t>
        </is>
      </c>
      <c r="K564" s="9" t="str">
        <f>LOWER(CtryCode)&amp;".distn."&amp;$A564&amp;IF($B564="","","."&amp;$B564)&amp;IF($C564="","",".dec."&amp;$C564)&amp;"."&amp;K$5</f>
        <v>egy.distn.aief.tot.dec.ove.1</v>
      </c>
      <c r="L564" s="108">
        <f t="shared" ref="L564:V564" si="928">L325*L299/PctPerUnit</f>
        <v>0.0</v>
      </c>
      <c r="M564" s="109">
        <f t="shared" si="928"/>
        <v>0.0</v>
      </c>
      <c r="N564" s="109">
        <f t="shared" si="928"/>
        <v>0.0</v>
      </c>
      <c r="O564" s="109">
        <f t="shared" si="928"/>
        <v>0.0</v>
      </c>
      <c r="P564" s="109">
        <f t="shared" si="928"/>
        <v>0.0</v>
      </c>
      <c r="Q564" s="109">
        <f t="shared" si="928"/>
        <v>0.0</v>
      </c>
      <c r="R564" s="109">
        <f t="shared" si="928"/>
        <v>0.0</v>
      </c>
      <c r="S564" s="109">
        <f t="shared" si="928"/>
        <v>0.0</v>
      </c>
      <c r="T564" s="109">
        <f t="shared" si="928"/>
        <v>0.0</v>
      </c>
      <c r="U564" s="109">
        <f t="shared" si="928"/>
        <v>0.0</v>
      </c>
      <c r="V564" s="109">
        <f t="shared" si="928"/>
        <v>0.0</v>
      </c>
      <c r="W564" s="201" t="str">
        <f>IF(X$5=K$5,SUM(Y564:AI564)-SUM(L564:V564),"")</f>
        <v/>
      </c>
      <c r="X564" s="9" t="str">
        <f>LOWER(CtryCode)&amp;".distn."&amp;$A564&amp;IF($B564="","","."&amp;$B564)&amp;IF($C564="","",".dec."&amp;$C564)&amp;"."&amp;X$5</f>
        <v>egy.distn.aief.tot.dec.ove.2</v>
      </c>
      <c r="Y564" s="108">
        <f t="shared" ref="Y564:AI564" si="929">Y325*Y299/PctPerUnit</f>
        <v>-113.18456969837183</v>
      </c>
      <c r="Z564" s="109">
        <f t="shared" si="929"/>
        <v>-48.53339272135734</v>
      </c>
      <c r="AA564" s="109">
        <f t="shared" si="929"/>
        <v>-62.04287298182751</v>
      </c>
      <c r="AB564" s="109">
        <f t="shared" si="929"/>
        <v>-74.26947112914524</v>
      </c>
      <c r="AC564" s="109">
        <f t="shared" si="929"/>
        <v>-88.2492558500549</v>
      </c>
      <c r="AD564" s="109">
        <f t="shared" si="929"/>
        <v>-95.28434083213973</v>
      </c>
      <c r="AE564" s="109">
        <f t="shared" si="929"/>
        <v>-105.33595254875885</v>
      </c>
      <c r="AF564" s="109">
        <f t="shared" si="929"/>
        <v>-128.99661728158605</v>
      </c>
      <c r="AG564" s="109">
        <f t="shared" si="929"/>
        <v>-153.08852665010372</v>
      </c>
      <c r="AH564" s="109">
        <f t="shared" si="929"/>
        <v>-181.45624105259105</v>
      </c>
      <c r="AI564" s="109">
        <f t="shared" si="929"/>
        <v>-242.88402975257594</v>
      </c>
    </row>
    <row r="565" hidden="1" outlineLevel="1">
      <c r="A565" s="44" t="inlineStr">
        <is>
          <t>atef</t>
        </is>
      </c>
      <c r="B565" s="3" t="inlineStr">
        <is>
          <t>tot</t>
        </is>
      </c>
      <c r="C565" s="3" t="inlineStr">
        <is>
          <t>ove</t>
        </is>
      </c>
      <c r="D565" s="3" t="n"/>
      <c r="E565" s="3" t="n"/>
      <c r="H565" s="3" t="inlineStr">
        <is>
          <t>Total effect per capita, overall</t>
        </is>
      </c>
      <c r="I565" s="3" t="inlineStr">
        <is>
          <t>LCU</t>
        </is>
      </c>
      <c r="J565" s="118" t="inlineStr">
        <is>
          <t>legacy rows 3090, 3099, 3126, 3135, 3163, 3172</t>
        </is>
      </c>
      <c r="K565" s="9" t="str">
        <f>LOWER(CtryCode)&amp;".distn."&amp;$A565&amp;IF($B565="","","."&amp;$B565)&amp;IF($C565="","",".dec."&amp;$C565)&amp;"."&amp;K$5</f>
        <v>egy.distn.atef.tot.dec.ove.1</v>
      </c>
      <c r="L565" s="108">
        <f t="shared" ref="L565:V565" si="930">L325*L305/PctPerUnit</f>
        <v>0.0</v>
      </c>
      <c r="M565" s="109">
        <f t="shared" si="930"/>
        <v>0.0</v>
      </c>
      <c r="N565" s="109">
        <f t="shared" si="930"/>
        <v>0.0</v>
      </c>
      <c r="O565" s="109">
        <f t="shared" si="930"/>
        <v>0.0</v>
      </c>
      <c r="P565" s="109">
        <f t="shared" si="930"/>
        <v>0.0</v>
      </c>
      <c r="Q565" s="109">
        <f t="shared" si="930"/>
        <v>0.0</v>
      </c>
      <c r="R565" s="109">
        <f t="shared" si="930"/>
        <v>0.0</v>
      </c>
      <c r="S565" s="109">
        <f t="shared" si="930"/>
        <v>0.0</v>
      </c>
      <c r="T565" s="109">
        <f t="shared" si="930"/>
        <v>0.0</v>
      </c>
      <c r="U565" s="109">
        <f t="shared" si="930"/>
        <v>0.0</v>
      </c>
      <c r="V565" s="109">
        <f t="shared" si="930"/>
        <v>0.0</v>
      </c>
      <c r="W565" s="201" t="str">
        <f>IF(X$5=K$5,SUM(Y565:AI565)-SUM(L565:V565),"")</f>
        <v/>
      </c>
      <c r="X565" s="9" t="str">
        <f>LOWER(CtryCode)&amp;".distn."&amp;$A565&amp;IF($B565="","","."&amp;$B565)&amp;IF($C565="","",".dec."&amp;$C565)&amp;"."&amp;X$5</f>
        <v>egy.distn.atef.tot.dec.ove.2</v>
      </c>
      <c r="Y565" s="108">
        <f t="shared" ref="Y565:AI565" si="931">Y325*Y305/PctPerUnit</f>
        <v>-1047.7677665168462</v>
      </c>
      <c r="Z565" s="109">
        <f t="shared" si="931"/>
        <v>-506.5208186992636</v>
      </c>
      <c r="AA565" s="109">
        <f t="shared" si="931"/>
        <v>-589.1573613166263</v>
      </c>
      <c r="AB565" s="109">
        <f t="shared" si="931"/>
        <v>-721.8638731980209</v>
      </c>
      <c r="AC565" s="109">
        <f t="shared" si="931"/>
        <v>-804.0377113822314</v>
      </c>
      <c r="AD565" s="109">
        <f t="shared" si="931"/>
        <v>-837.2975504511721</v>
      </c>
      <c r="AE565" s="109">
        <f t="shared" si="931"/>
        <v>-888.6998755733761</v>
      </c>
      <c r="AF565" s="109">
        <f t="shared" si="931"/>
        <v>-1139.7718303888657</v>
      </c>
      <c r="AG565" s="109">
        <f t="shared" si="931"/>
        <v>-1347.779079894301</v>
      </c>
      <c r="AH565" s="109">
        <f t="shared" si="931"/>
        <v>-1551.0835649651353</v>
      </c>
      <c r="AI565" s="109">
        <f t="shared" si="931"/>
        <v>-2275.701729241111</v>
      </c>
    </row>
    <row r="566" hidden="1" outlineLevel="1">
      <c r="A566" s="44" t="inlineStr">
        <is>
          <t>anet</t>
        </is>
      </c>
      <c r="B566" s="3" t="inlineStr">
        <is>
          <t>tot</t>
        </is>
      </c>
      <c r="C566" s="3" t="inlineStr">
        <is>
          <t>ove</t>
        </is>
      </c>
      <c r="D566" s="3" t="n"/>
      <c r="E566" s="3" t="n"/>
      <c r="H566" s="3" t="inlineStr">
        <is>
          <t>Net effect after recycling per capita, overall</t>
        </is>
      </c>
      <c r="I566" s="3" t="inlineStr">
        <is>
          <t>LCU</t>
        </is>
      </c>
      <c r="J566" s="118" t="inlineStr">
        <is>
          <t>legacy rows 3090, 3099, 3126, 3135, 3163, 3172</t>
        </is>
      </c>
      <c r="K566" s="9" t="str">
        <f>LOWER(CtryCode)&amp;".distn."&amp;$A566&amp;IF($B566="","","."&amp;$B566)&amp;IF($C566="","",".dec."&amp;$C566)&amp;"."&amp;K$5</f>
        <v>egy.distn.anet.tot.dec.ove.1</v>
      </c>
      <c r="M566" s="109">
        <f t="shared" ref="M566:V566" si="932">M325*M447/PctPerUnit</f>
        <v>0.0</v>
      </c>
      <c r="N566" s="109">
        <f t="shared" si="932"/>
        <v>0.0</v>
      </c>
      <c r="O566" s="109">
        <f t="shared" si="932"/>
        <v>0.0</v>
      </c>
      <c r="P566" s="109">
        <f t="shared" si="932"/>
        <v>0.0</v>
      </c>
      <c r="Q566" s="109">
        <f t="shared" si="932"/>
        <v>0.0</v>
      </c>
      <c r="R566" s="109">
        <f t="shared" si="932"/>
        <v>0.0</v>
      </c>
      <c r="S566" s="109">
        <f t="shared" si="932"/>
        <v>0.0</v>
      </c>
      <c r="T566" s="109">
        <f t="shared" si="932"/>
        <v>0.0</v>
      </c>
      <c r="U566" s="109">
        <f t="shared" si="932"/>
        <v>0.0</v>
      </c>
      <c r="V566" s="109">
        <f t="shared" si="932"/>
        <v>0.0</v>
      </c>
      <c r="W566" s="201" t="str">
        <f>IF(X$5=K$5,SUM(Y566:AI566)-SUM(L566:V566),"")</f>
        <v/>
      </c>
      <c r="X566" s="9" t="str">
        <f>LOWER(CtryCode)&amp;".distn."&amp;$A566&amp;IF($B566="","","."&amp;$B566)&amp;IF($C566="","",".dec."&amp;$C566)&amp;"."&amp;X$5</f>
        <v>egy.distn.anet.tot.dec.ove.2</v>
      </c>
      <c r="Z566" s="109">
        <f t="shared" ref="Z566:AI566" si="933">Z325*Z447/PctPerUnit</f>
        <v>811.3052299326108</v>
      </c>
      <c r="AA566" s="109">
        <f t="shared" si="933"/>
        <v>582.1133367804393</v>
      </c>
      <c r="AB566" s="109">
        <f t="shared" si="933"/>
        <v>167.94359295301382</v>
      </c>
      <c r="AC566" s="109">
        <f t="shared" si="933"/>
        <v>34.883554169179995</v>
      </c>
      <c r="AD566" s="109">
        <f t="shared" si="933"/>
        <v>-220.19971493525588</v>
      </c>
      <c r="AE566" s="109">
        <f t="shared" si="933"/>
        <v>-520.125393382638</v>
      </c>
      <c r="AF566" s="109">
        <f t="shared" si="933"/>
        <v>-842.7934246726344</v>
      </c>
      <c r="AG566" s="109">
        <f t="shared" si="933"/>
        <v>-1093.4063706792297</v>
      </c>
      <c r="AH566" s="109">
        <f t="shared" si="933"/>
        <v>-1175.2690090490898</v>
      </c>
      <c r="AI566" s="109">
        <f t="shared" si="933"/>
        <v>-2080.0399742821905</v>
      </c>
    </row>
    <row r="567" hidden="1" outlineLevel="1">
      <c r="A567" s="44" t="inlineStr">
        <is>
          <t>adef</t>
        </is>
      </c>
      <c r="B567" s="3" t="inlineStr">
        <is>
          <t>tot</t>
        </is>
      </c>
      <c r="C567" s="3" t="inlineStr">
        <is>
          <t>urb</t>
        </is>
      </c>
      <c r="D567" s="3" t="n"/>
      <c r="E567" s="3" t="n"/>
      <c r="H567" s="3" t="inlineStr">
        <is>
          <t>Direct effect per capita, urban</t>
        </is>
      </c>
      <c r="I567" s="3" t="inlineStr">
        <is>
          <t>LCU</t>
        </is>
      </c>
      <c r="J567" s="118" t="inlineStr">
        <is>
          <t>legacy rows 3090, 3099, 3126, 3135, 3163, 3172</t>
        </is>
      </c>
      <c r="K567" s="9" t="str">
        <f>LOWER(CtryCode)&amp;".distn."&amp;$A567&amp;IF($B567="","","."&amp;$B567)&amp;IF($C567="","",".dec."&amp;$C567)&amp;"."&amp;K$5</f>
        <v>egy.distn.adef.tot.dec.urb.1</v>
      </c>
      <c r="L567" s="108">
        <f t="shared" ref="L567:V567" si="934">L326*L472/PctPerUnit</f>
        <v>0.0</v>
      </c>
      <c r="M567" s="109">
        <f t="shared" si="934"/>
        <v>0.0</v>
      </c>
      <c r="N567" s="109">
        <f t="shared" si="934"/>
        <v>0.0</v>
      </c>
      <c r="O567" s="109">
        <f t="shared" si="934"/>
        <v>0.0</v>
      </c>
      <c r="P567" s="109">
        <f t="shared" si="934"/>
        <v>0.0</v>
      </c>
      <c r="Q567" s="109">
        <f t="shared" si="934"/>
        <v>0.0</v>
      </c>
      <c r="R567" s="109">
        <f t="shared" si="934"/>
        <v>0.0</v>
      </c>
      <c r="S567" s="109">
        <f t="shared" si="934"/>
        <v>0.0</v>
      </c>
      <c r="T567" s="109">
        <f t="shared" si="934"/>
        <v>0.0</v>
      </c>
      <c r="U567" s="109">
        <f t="shared" si="934"/>
        <v>0.0</v>
      </c>
      <c r="V567" s="109">
        <f t="shared" si="934"/>
        <v>0.0</v>
      </c>
      <c r="W567" s="201" t="str">
        <f>IF(X$5=K$5,SUM(Y567:AI567)-SUM(L567:V567),"")</f>
        <v/>
      </c>
      <c r="X567" s="9" t="str">
        <f>LOWER(CtryCode)&amp;".distn."&amp;$A567&amp;IF($B567="","","."&amp;$B567)&amp;IF($C567="","",".dec."&amp;$C567)&amp;"."&amp;X$5</f>
        <v>egy.distn.adef.tot.dec.urb.2</v>
      </c>
      <c r="Y567" s="108">
        <f t="shared" ref="Y567:AI567" si="935">Y326*Y472/PctPerUnit</f>
        <v>-1007.0515412907085</v>
      </c>
      <c r="Z567" s="109">
        <f t="shared" si="935"/>
        <v>-453.6734585703105</v>
      </c>
      <c r="AA567" s="109">
        <f t="shared" si="935"/>
        <v>-555.1489160314649</v>
      </c>
      <c r="AB567" s="109">
        <f t="shared" si="935"/>
        <v>-653.2611149571974</v>
      </c>
      <c r="AC567" s="109">
        <f t="shared" si="935"/>
        <v>-671.7105078311744</v>
      </c>
      <c r="AD567" s="109">
        <f t="shared" si="935"/>
        <v>-840.4924297366697</v>
      </c>
      <c r="AE567" s="109">
        <f t="shared" si="935"/>
        <v>-833.112273603037</v>
      </c>
      <c r="AF567" s="109">
        <f t="shared" si="935"/>
        <v>-1000.4974931080798</v>
      </c>
      <c r="AG567" s="109">
        <f t="shared" si="935"/>
        <v>-1112.9422819936094</v>
      </c>
      <c r="AH567" s="109">
        <f t="shared" si="935"/>
        <v>-1474.1125649947257</v>
      </c>
      <c r="AI567" s="109">
        <f t="shared" si="935"/>
        <v>-2181.6947931746454</v>
      </c>
    </row>
    <row r="568" hidden="1" outlineLevel="1">
      <c r="A568" s="44" t="inlineStr">
        <is>
          <t>aief</t>
        </is>
      </c>
      <c r="B568" s="3" t="inlineStr">
        <is>
          <t>tot</t>
        </is>
      </c>
      <c r="C568" s="3" t="inlineStr">
        <is>
          <t>urb</t>
        </is>
      </c>
      <c r="D568" s="3" t="n"/>
      <c r="E568" s="3" t="n"/>
      <c r="H568" s="3" t="inlineStr">
        <is>
          <t>Indirect effect per capita, urban</t>
        </is>
      </c>
      <c r="I568" s="3" t="inlineStr">
        <is>
          <t>LCU</t>
        </is>
      </c>
      <c r="J568" s="118" t="inlineStr">
        <is>
          <t>legacy rows 3090, 3099, 3126, 3135, 3163, 3172</t>
        </is>
      </c>
      <c r="K568" s="9" t="str">
        <f>LOWER(CtryCode)&amp;".distn."&amp;$A568&amp;IF($B568="","","."&amp;$B568)&amp;IF($C568="","",".dec."&amp;$C568)&amp;"."&amp;K$5</f>
        <v>egy.distn.aief.tot.dec.urb.1</v>
      </c>
      <c r="L568" s="108">
        <f t="shared" ref="L568:V568" si="936">L326*L487/PctPerUnit</f>
        <v>0.0</v>
      </c>
      <c r="M568" s="109">
        <f t="shared" si="936"/>
        <v>0.0</v>
      </c>
      <c r="N568" s="109">
        <f t="shared" si="936"/>
        <v>0.0</v>
      </c>
      <c r="O568" s="109">
        <f t="shared" si="936"/>
        <v>0.0</v>
      </c>
      <c r="P568" s="109">
        <f t="shared" si="936"/>
        <v>0.0</v>
      </c>
      <c r="Q568" s="109">
        <f t="shared" si="936"/>
        <v>0.0</v>
      </c>
      <c r="R568" s="109">
        <f t="shared" si="936"/>
        <v>0.0</v>
      </c>
      <c r="S568" s="109">
        <f t="shared" si="936"/>
        <v>0.0</v>
      </c>
      <c r="T568" s="109">
        <f t="shared" si="936"/>
        <v>0.0</v>
      </c>
      <c r="U568" s="109">
        <f t="shared" si="936"/>
        <v>0.0</v>
      </c>
      <c r="V568" s="109">
        <f t="shared" si="936"/>
        <v>0.0</v>
      </c>
      <c r="W568" s="201" t="str">
        <f>IF(X$5=K$5,SUM(Y568:AI568)-SUM(L568:V568),"")</f>
        <v/>
      </c>
      <c r="X568" s="9" t="str">
        <f>LOWER(CtryCode)&amp;".distn."&amp;$A568&amp;IF($B568="","","."&amp;$B568)&amp;IF($C568="","",".dec."&amp;$C568)&amp;"."&amp;X$5</f>
        <v>egy.distn.aief.tot.dec.urb.2</v>
      </c>
      <c r="Y568" s="108">
        <f t="shared" ref="Y568:AI568" si="937">Y326*Y487/PctPerUnit</f>
        <v>-126.04273820395106</v>
      </c>
      <c r="Z568" s="109">
        <f t="shared" si="937"/>
        <v>-51.84238054168727</v>
      </c>
      <c r="AA568" s="109">
        <f t="shared" si="937"/>
        <v>-74.77119029091442</v>
      </c>
      <c r="AB568" s="109">
        <f t="shared" si="937"/>
        <v>-88.57350242960915</v>
      </c>
      <c r="AC568" s="109">
        <f t="shared" si="937"/>
        <v>-92.49296548163565</v>
      </c>
      <c r="AD568" s="109">
        <f t="shared" si="937"/>
        <v>-115.61924095457385</v>
      </c>
      <c r="AE568" s="109">
        <f t="shared" si="937"/>
        <v>-115.03150906573515</v>
      </c>
      <c r="AF568" s="109">
        <f t="shared" si="937"/>
        <v>-130.05701044102778</v>
      </c>
      <c r="AG568" s="109">
        <f t="shared" si="937"/>
        <v>-152.48843718009704</v>
      </c>
      <c r="AH568" s="109">
        <f t="shared" si="937"/>
        <v>-192.40807551742876</v>
      </c>
      <c r="AI568" s="109">
        <f t="shared" si="937"/>
        <v>-270.6065379928375</v>
      </c>
    </row>
    <row r="569" hidden="1" outlineLevel="1">
      <c r="A569" s="44" t="inlineStr">
        <is>
          <t>atef</t>
        </is>
      </c>
      <c r="B569" s="3" t="inlineStr">
        <is>
          <t>tot</t>
        </is>
      </c>
      <c r="C569" s="3" t="inlineStr">
        <is>
          <t>urb</t>
        </is>
      </c>
      <c r="D569" s="3" t="n"/>
      <c r="E569" s="3" t="n"/>
      <c r="H569" s="3" t="inlineStr">
        <is>
          <t>Total effect per capita, urban</t>
        </is>
      </c>
      <c r="I569" s="3" t="inlineStr">
        <is>
          <t>LCU</t>
        </is>
      </c>
      <c r="J569" s="118" t="inlineStr">
        <is>
          <t>legacy rows 3090, 3099, 3126, 3135, 3163, 3172</t>
        </is>
      </c>
      <c r="K569" s="9" t="str">
        <f>LOWER(CtryCode)&amp;".distn."&amp;$A569&amp;IF($B569="","","."&amp;$B569)&amp;IF($C569="","",".dec."&amp;$C569)&amp;"."&amp;K$5</f>
        <v>egy.distn.atef.tot.dec.urb.1</v>
      </c>
      <c r="L569" s="108">
        <f t="shared" ref="L569:V569" si="938">L326*L302/PctPerUnit</f>
        <v>-0.0</v>
      </c>
      <c r="M569" s="109">
        <f t="shared" si="938"/>
        <v>-0.0</v>
      </c>
      <c r="N569" s="109">
        <f t="shared" si="938"/>
        <v>-0.0</v>
      </c>
      <c r="O569" s="109">
        <f t="shared" si="938"/>
        <v>-0.0</v>
      </c>
      <c r="P569" s="109">
        <f t="shared" si="938"/>
        <v>-0.0</v>
      </c>
      <c r="Q569" s="109">
        <f t="shared" si="938"/>
        <v>-0.0</v>
      </c>
      <c r="R569" s="109">
        <f t="shared" si="938"/>
        <v>-0.0</v>
      </c>
      <c r="S569" s="109">
        <f t="shared" si="938"/>
        <v>-0.0</v>
      </c>
      <c r="T569" s="109">
        <f t="shared" si="938"/>
        <v>-0.0</v>
      </c>
      <c r="U569" s="109">
        <f t="shared" si="938"/>
        <v>-0.0</v>
      </c>
      <c r="V569" s="109">
        <f t="shared" si="938"/>
        <v>-0.0</v>
      </c>
      <c r="W569" s="201" t="str">
        <f>IF(X$5=K$5,SUM(Y569:AI569)-SUM(L569:V569),"")</f>
        <v/>
      </c>
      <c r="X569" s="9" t="str">
        <f>LOWER(CtryCode)&amp;".distn."&amp;$A569&amp;IF($B569="","","."&amp;$B569)&amp;IF($C569="","",".dec."&amp;$C569)&amp;"."&amp;X$5</f>
        <v>egy.distn.atef.tot.dec.urb.2</v>
      </c>
      <c r="Y569" s="108">
        <f t="shared" ref="Y569:AI569" si="939">Y326*Y302/PctPerUnit</f>
        <v>-1133.0942794946595</v>
      </c>
      <c r="Z569" s="109">
        <f t="shared" si="939"/>
        <v>-505.51583911199776</v>
      </c>
      <c r="AA569" s="109">
        <f t="shared" si="939"/>
        <v>-629.9201063223793</v>
      </c>
      <c r="AB569" s="109">
        <f t="shared" si="939"/>
        <v>-741.8346173868065</v>
      </c>
      <c r="AC569" s="109">
        <f t="shared" si="939"/>
        <v>-764.2034733128099</v>
      </c>
      <c r="AD569" s="109">
        <f t="shared" si="939"/>
        <v>-956.1116706912436</v>
      </c>
      <c r="AE569" s="109">
        <f t="shared" si="939"/>
        <v>-948.143782668772</v>
      </c>
      <c r="AF569" s="109">
        <f t="shared" si="939"/>
        <v>-1130.5545035491077</v>
      </c>
      <c r="AG569" s="109">
        <f t="shared" si="939"/>
        <v>-1265.4307191737064</v>
      </c>
      <c r="AH569" s="109">
        <f t="shared" si="939"/>
        <v>-1666.5206405121544</v>
      </c>
      <c r="AI569" s="109">
        <f t="shared" si="939"/>
        <v>-2452.3013311674827</v>
      </c>
    </row>
    <row r="570" hidden="1" outlineLevel="1">
      <c r="A570" s="44" t="inlineStr">
        <is>
          <t>anet</t>
        </is>
      </c>
      <c r="B570" s="3" t="inlineStr">
        <is>
          <t>tot</t>
        </is>
      </c>
      <c r="C570" s="3" t="inlineStr">
        <is>
          <t>urb</t>
        </is>
      </c>
      <c r="D570" s="3" t="n"/>
      <c r="E570" s="3" t="n"/>
      <c r="H570" s="3" t="inlineStr">
        <is>
          <t>Net effect after recycling per capita, urban</t>
        </is>
      </c>
      <c r="I570" s="3" t="inlineStr">
        <is>
          <t>LCU</t>
        </is>
      </c>
      <c r="J570" s="118" t="inlineStr">
        <is>
          <t>legacy rows 3090, 3099, 3126, 3135, 3163, 3172</t>
        </is>
      </c>
      <c r="K570" s="9" t="str">
        <f>LOWER(CtryCode)&amp;".distn."&amp;$A570&amp;IF($B570="","","."&amp;$B570)&amp;IF($C570="","",".dec."&amp;$C570)&amp;"."&amp;K$5</f>
        <v>egy.distn.anet.tot.dec.urb.1</v>
      </c>
      <c r="M570" s="109">
        <f t="shared" ref="M570:V570" si="940">M326*M444/PctPerUnit</f>
        <v>0.0</v>
      </c>
      <c r="N570" s="109">
        <f t="shared" si="940"/>
        <v>0.0</v>
      </c>
      <c r="O570" s="109">
        <f t="shared" si="940"/>
        <v>0.0</v>
      </c>
      <c r="P570" s="109">
        <f t="shared" si="940"/>
        <v>0.0</v>
      </c>
      <c r="Q570" s="109">
        <f t="shared" si="940"/>
        <v>0.0</v>
      </c>
      <c r="R570" s="109">
        <f t="shared" si="940"/>
        <v>0.0</v>
      </c>
      <c r="S570" s="109">
        <f t="shared" si="940"/>
        <v>0.0</v>
      </c>
      <c r="T570" s="109">
        <f t="shared" si="940"/>
        <v>0.0</v>
      </c>
      <c r="U570" s="109">
        <f t="shared" si="940"/>
        <v>0.0</v>
      </c>
      <c r="V570" s="109">
        <f t="shared" si="940"/>
        <v>0.0</v>
      </c>
      <c r="W570" s="201" t="str">
        <f>IF(X$5=K$5,SUM(Y570:AI570)-SUM(L570:V570),"")</f>
        <v/>
      </c>
      <c r="X570" s="9" t="str">
        <f>LOWER(CtryCode)&amp;".distn."&amp;$A570&amp;IF($B570="","","."&amp;$B570)&amp;IF($C570="","",".dec."&amp;$C570)&amp;"."&amp;X$5</f>
        <v>egy.distn.anet.tot.dec.urb.2</v>
      </c>
      <c r="Z570" s="109">
        <f t="shared" ref="Z570:AI570" si="941">Z326*Z444/PctPerUnit</f>
        <v>398.0371171655241</v>
      </c>
      <c r="AA570" s="109">
        <f t="shared" si="941"/>
        <v>90.00361761548413</v>
      </c>
      <c r="AB570" s="109">
        <f t="shared" si="941"/>
        <v>-329.2651146473503</v>
      </c>
      <c r="AC570" s="109">
        <f t="shared" si="941"/>
        <v>-16.26039483916775</v>
      </c>
      <c r="AD570" s="109">
        <f t="shared" si="941"/>
        <v>-719.2938028950902</v>
      </c>
      <c r="AE570" s="109">
        <f t="shared" si="941"/>
        <v>-559.6210967900971</v>
      </c>
      <c r="AF570" s="109">
        <f t="shared" si="941"/>
        <v>-876.6337054291392</v>
      </c>
      <c r="AG570" s="109">
        <f t="shared" si="941"/>
        <v>-1069.768964214786</v>
      </c>
      <c r="AH570" s="109">
        <f t="shared" si="941"/>
        <v>-1527.9784545664538</v>
      </c>
      <c r="AI570" s="109">
        <f t="shared" si="941"/>
        <v>-2256.639576208562</v>
      </c>
    </row>
    <row r="571" hidden="1" outlineLevel="1">
      <c r="A571" s="44" t="inlineStr">
        <is>
          <t>adef</t>
        </is>
      </c>
      <c r="B571" s="3" t="inlineStr">
        <is>
          <t>tot</t>
        </is>
      </c>
      <c r="C571" s="3" t="inlineStr">
        <is>
          <t>rur</t>
        </is>
      </c>
      <c r="D571" s="3" t="n"/>
      <c r="E571" s="3" t="n"/>
      <c r="H571" s="3" t="inlineStr">
        <is>
          <t>Direct effect per capita, rural</t>
        </is>
      </c>
      <c r="I571" s="3" t="inlineStr">
        <is>
          <t>LCU</t>
        </is>
      </c>
      <c r="J571" s="118" t="inlineStr">
        <is>
          <t>legacy rows 3090, 3099, 3126, 3135, 3163, 3172</t>
        </is>
      </c>
      <c r="K571" s="9" t="str">
        <f>LOWER(CtryCode)&amp;".distn."&amp;$A571&amp;IF($B571="","","."&amp;$B571)&amp;IF($C571="","",".dec."&amp;$C571)&amp;"."&amp;K$5</f>
        <v>egy.distn.adef.tot.dec.rur.1</v>
      </c>
      <c r="L571" s="108">
        <f t="shared" ref="L571:V571" si="942">L327*L498/PctPerUnit</f>
        <v>0.0</v>
      </c>
      <c r="M571" s="109">
        <f t="shared" si="942"/>
        <v>0.0</v>
      </c>
      <c r="N571" s="109">
        <f t="shared" si="942"/>
        <v>0.0</v>
      </c>
      <c r="O571" s="109">
        <f t="shared" si="942"/>
        <v>0.0</v>
      </c>
      <c r="P571" s="109">
        <f t="shared" si="942"/>
        <v>0.0</v>
      </c>
      <c r="Q571" s="109">
        <f t="shared" si="942"/>
        <v>0.0</v>
      </c>
      <c r="R571" s="109">
        <f t="shared" si="942"/>
        <v>0.0</v>
      </c>
      <c r="S571" s="109">
        <f t="shared" si="942"/>
        <v>0.0</v>
      </c>
      <c r="T571" s="109">
        <f t="shared" si="942"/>
        <v>0.0</v>
      </c>
      <c r="U571" s="109">
        <f t="shared" si="942"/>
        <v>0.0</v>
      </c>
      <c r="V571" s="109">
        <f t="shared" si="942"/>
        <v>0.0</v>
      </c>
      <c r="W571" s="201" t="str">
        <f>IF(X$5=K$5,SUM(Y571:AI571)-SUM(L571:V571),"")</f>
        <v/>
      </c>
      <c r="X571" s="9" t="str">
        <f>LOWER(CtryCode)&amp;".distn."&amp;$A571&amp;IF($B571="","","."&amp;$B571)&amp;IF($C571="","",".dec."&amp;$C571)&amp;"."&amp;X$5</f>
        <v>egy.distn.adef.tot.dec.rur.2</v>
      </c>
      <c r="Y571" s="108">
        <f t="shared" ref="Y571:AI571" si="943">Y327*Y498/PctPerUnit</f>
        <v>-881.2139704799464</v>
      </c>
      <c r="Z571" s="109">
        <f t="shared" si="943"/>
        <v>-446.5730063778607</v>
      </c>
      <c r="AA571" s="109">
        <f t="shared" si="943"/>
        <v>-489.91039592725014</v>
      </c>
      <c r="AB571" s="109">
        <f t="shared" si="943"/>
        <v>-529.5351254660848</v>
      </c>
      <c r="AC571" s="109">
        <f t="shared" si="943"/>
        <v>-631.9883945729486</v>
      </c>
      <c r="AD571" s="109">
        <f t="shared" si="943"/>
        <v>-685.6516256288154</v>
      </c>
      <c r="AE571" s="109">
        <f t="shared" si="943"/>
        <v>-720.7899608611052</v>
      </c>
      <c r="AF571" s="109">
        <f t="shared" si="943"/>
        <v>-812.4247929476422</v>
      </c>
      <c r="AG571" s="109">
        <f t="shared" si="943"/>
        <v>-918.660586273395</v>
      </c>
      <c r="AH571" s="109">
        <f t="shared" si="943"/>
        <v>-1106.1112502366425</v>
      </c>
      <c r="AI571" s="109">
        <f t="shared" si="943"/>
        <v>-1711.1991082765003</v>
      </c>
    </row>
    <row r="572" hidden="1" outlineLevel="1">
      <c r="A572" s="44" t="inlineStr">
        <is>
          <t>aief</t>
        </is>
      </c>
      <c r="B572" s="3" t="inlineStr">
        <is>
          <t>tot</t>
        </is>
      </c>
      <c r="C572" s="3" t="inlineStr">
        <is>
          <t>rur</t>
        </is>
      </c>
      <c r="D572" s="3" t="n"/>
      <c r="E572" s="3" t="n"/>
      <c r="H572" s="3" t="inlineStr">
        <is>
          <t>Indirect effect per capita, rural</t>
        </is>
      </c>
      <c r="I572" s="3" t="inlineStr">
        <is>
          <t>LCU</t>
        </is>
      </c>
      <c r="J572" s="118" t="inlineStr">
        <is>
          <t>legacy rows 3090, 3099, 3126, 3135, 3163, 3172</t>
        </is>
      </c>
      <c r="K572" s="9" t="str">
        <f>LOWER(CtryCode)&amp;".distn."&amp;$A572&amp;IF($B572="","","."&amp;$B572)&amp;IF($C572="","",".dec."&amp;$C572)&amp;"."&amp;K$5</f>
        <v>egy.distn.aief.tot.dec.rur.1</v>
      </c>
      <c r="L572" s="108">
        <f t="shared" ref="L572:V572" si="944">L327*L513/PctPerUnit</f>
        <v>0.0</v>
      </c>
      <c r="M572" s="109">
        <f t="shared" si="944"/>
        <v>0.0</v>
      </c>
      <c r="N572" s="109">
        <f t="shared" si="944"/>
        <v>0.0</v>
      </c>
      <c r="O572" s="109">
        <f t="shared" si="944"/>
        <v>0.0</v>
      </c>
      <c r="P572" s="109">
        <f t="shared" si="944"/>
        <v>0.0</v>
      </c>
      <c r="Q572" s="109">
        <f t="shared" si="944"/>
        <v>0.0</v>
      </c>
      <c r="R572" s="109">
        <f t="shared" si="944"/>
        <v>0.0</v>
      </c>
      <c r="S572" s="109">
        <f t="shared" si="944"/>
        <v>0.0</v>
      </c>
      <c r="T572" s="109">
        <f t="shared" si="944"/>
        <v>0.0</v>
      </c>
      <c r="U572" s="109">
        <f t="shared" si="944"/>
        <v>0.0</v>
      </c>
      <c r="V572" s="109">
        <f t="shared" si="944"/>
        <v>0.0</v>
      </c>
      <c r="W572" s="201" t="str">
        <f>IF(X$5=K$5,SUM(Y572:AI572)-SUM(L572:V572),"")</f>
        <v/>
      </c>
      <c r="X572" s="9" t="str">
        <f>LOWER(CtryCode)&amp;".distn."&amp;$A572&amp;IF($B572="","","."&amp;$B572)&amp;IF($C572="","",".dec."&amp;$C572)&amp;"."&amp;X$5</f>
        <v>egy.distn.aief.tot.dec.rur.2</v>
      </c>
      <c r="Y572" s="108">
        <f t="shared" ref="Y572:AI572" si="945">Y327*Y513/PctPerUnit</f>
        <v>-108.23328665677127</v>
      </c>
      <c r="Z572" s="109">
        <f t="shared" si="945"/>
        <v>-46.37501589297096</v>
      </c>
      <c r="AA572" s="109">
        <f t="shared" si="945"/>
        <v>-54.697662597320715</v>
      </c>
      <c r="AB572" s="109">
        <f t="shared" si="945"/>
        <v>-62.07456507254685</v>
      </c>
      <c r="AC572" s="109">
        <f t="shared" si="945"/>
        <v>-72.44342860540357</v>
      </c>
      <c r="AD572" s="109">
        <f t="shared" si="945"/>
        <v>-83.64168460074262</v>
      </c>
      <c r="AE572" s="109">
        <f t="shared" si="945"/>
        <v>-90.81196255306088</v>
      </c>
      <c r="AF572" s="109">
        <f t="shared" si="945"/>
        <v>-108.54177967736156</v>
      </c>
      <c r="AG572" s="109">
        <f t="shared" si="945"/>
        <v>-113.88492110139096</v>
      </c>
      <c r="AH572" s="109">
        <f t="shared" si="945"/>
        <v>-131.37067119123253</v>
      </c>
      <c r="AI572" s="109">
        <f t="shared" si="945"/>
        <v>-200.74286081889554</v>
      </c>
    </row>
    <row r="573" hidden="1" outlineLevel="1">
      <c r="A573" s="44" t="inlineStr">
        <is>
          <t>atef</t>
        </is>
      </c>
      <c r="B573" s="3" t="inlineStr">
        <is>
          <t>tot</t>
        </is>
      </c>
      <c r="C573" s="3" t="inlineStr">
        <is>
          <t>rur</t>
        </is>
      </c>
      <c r="D573" s="3" t="n"/>
      <c r="E573" s="3" t="n"/>
      <c r="H573" s="3" t="inlineStr">
        <is>
          <t>Total effect per capita, rural</t>
        </is>
      </c>
      <c r="I573" s="3" t="inlineStr">
        <is>
          <t>LCU</t>
        </is>
      </c>
      <c r="J573" s="118" t="inlineStr">
        <is>
          <t>legacy rows 3090, 3099, 3126, 3135, 3163, 3172</t>
        </is>
      </c>
      <c r="K573" s="9" t="str">
        <f>LOWER(CtryCode)&amp;".distn."&amp;$A573&amp;IF($B573="","","."&amp;$B573)&amp;IF($C573="","",".dec."&amp;$C573)&amp;"."&amp;K$5</f>
        <v>egy.distn.atef.tot.dec.rur.1</v>
      </c>
      <c r="L573" s="108">
        <f t="shared" ref="L573:V573" si="946">L327*L303/PctPerUnit</f>
        <v>-0.0</v>
      </c>
      <c r="M573" s="109">
        <f t="shared" si="946"/>
        <v>-0.0</v>
      </c>
      <c r="N573" s="109">
        <f t="shared" si="946"/>
        <v>-0.0</v>
      </c>
      <c r="O573" s="109">
        <f t="shared" si="946"/>
        <v>-0.0</v>
      </c>
      <c r="P573" s="109">
        <f t="shared" si="946"/>
        <v>-0.0</v>
      </c>
      <c r="Q573" s="109">
        <f t="shared" si="946"/>
        <v>-0.0</v>
      </c>
      <c r="R573" s="109">
        <f t="shared" si="946"/>
        <v>-0.0</v>
      </c>
      <c r="S573" s="109">
        <f t="shared" si="946"/>
        <v>-0.0</v>
      </c>
      <c r="T573" s="109">
        <f t="shared" si="946"/>
        <v>-0.0</v>
      </c>
      <c r="U573" s="109">
        <f t="shared" si="946"/>
        <v>-0.0</v>
      </c>
      <c r="V573" s="109">
        <f t="shared" si="946"/>
        <v>-0.0</v>
      </c>
      <c r="W573" s="201" t="str">
        <f>IF(X$5=K$5,SUM(Y573:AI573)-SUM(L573:V573),"")</f>
        <v/>
      </c>
      <c r="X573" s="9" t="str">
        <f>LOWER(CtryCode)&amp;".distn."&amp;$A573&amp;IF($B573="","","."&amp;$B573)&amp;IF($C573="","",".dec."&amp;$C573)&amp;"."&amp;X$5</f>
        <v>egy.distn.atef.tot.dec.rur.2</v>
      </c>
      <c r="Y573" s="108">
        <f t="shared" ref="Y573:AI573" si="947">Y327*Y303/PctPerUnit</f>
        <v>-989.4472571367177</v>
      </c>
      <c r="Z573" s="109">
        <f t="shared" si="947"/>
        <v>-492.9480222708316</v>
      </c>
      <c r="AA573" s="109">
        <f t="shared" si="947"/>
        <v>-544.6080585245708</v>
      </c>
      <c r="AB573" s="109">
        <f t="shared" si="947"/>
        <v>-591.6096905386316</v>
      </c>
      <c r="AC573" s="109">
        <f t="shared" si="947"/>
        <v>-704.4318231783523</v>
      </c>
      <c r="AD573" s="109">
        <f t="shared" si="947"/>
        <v>-769.2933102295581</v>
      </c>
      <c r="AE573" s="109">
        <f t="shared" si="947"/>
        <v>-811.6019234141662</v>
      </c>
      <c r="AF573" s="109">
        <f t="shared" si="947"/>
        <v>-920.9665726250038</v>
      </c>
      <c r="AG573" s="109">
        <f t="shared" si="947"/>
        <v>-1032.545507374786</v>
      </c>
      <c r="AH573" s="109">
        <f t="shared" si="947"/>
        <v>-1237.481921427875</v>
      </c>
      <c r="AI573" s="109">
        <f t="shared" si="947"/>
        <v>-1911.9419690953957</v>
      </c>
    </row>
    <row r="574" hidden="1" outlineLevel="1">
      <c r="A574" s="44" t="inlineStr">
        <is>
          <t>anet</t>
        </is>
      </c>
      <c r="B574" s="3" t="inlineStr">
        <is>
          <t>tot</t>
        </is>
      </c>
      <c r="C574" s="3" t="inlineStr">
        <is>
          <t>rur</t>
        </is>
      </c>
      <c r="D574" s="3" t="n"/>
      <c r="E574" s="3" t="n"/>
      <c r="H574" s="3" t="inlineStr">
        <is>
          <t>Net effect after recycling per capita, rural</t>
        </is>
      </c>
      <c r="I574" s="3" t="inlineStr">
        <is>
          <t>LCU</t>
        </is>
      </c>
      <c r="J574" s="118" t="inlineStr">
        <is>
          <t>legacy rows 3090, 3099, 3126, 3135, 3163, 3172</t>
        </is>
      </c>
      <c r="K574" s="9" t="str">
        <f>LOWER(CtryCode)&amp;".distn."&amp;$A574&amp;IF($B574="","","."&amp;$B574)&amp;IF($C574="","",".dec."&amp;$C574)&amp;"."&amp;K$5</f>
        <v>egy.distn.anet.tot.dec.rur.1</v>
      </c>
      <c r="M574" s="109">
        <f t="shared" ref="M574:V574" si="948">M327*M445/PctPerUnit</f>
        <v>0.0</v>
      </c>
      <c r="N574" s="109">
        <f t="shared" si="948"/>
        <v>0.0</v>
      </c>
      <c r="O574" s="109">
        <f t="shared" si="948"/>
        <v>0.0</v>
      </c>
      <c r="P574" s="109">
        <f t="shared" si="948"/>
        <v>0.0</v>
      </c>
      <c r="Q574" s="109">
        <f t="shared" si="948"/>
        <v>0.0</v>
      </c>
      <c r="R574" s="109">
        <f t="shared" si="948"/>
        <v>0.0</v>
      </c>
      <c r="S574" s="109">
        <f t="shared" si="948"/>
        <v>0.0</v>
      </c>
      <c r="T574" s="109">
        <f t="shared" si="948"/>
        <v>0.0</v>
      </c>
      <c r="U574" s="109">
        <f t="shared" si="948"/>
        <v>0.0</v>
      </c>
      <c r="V574" s="109">
        <f t="shared" si="948"/>
        <v>0.0</v>
      </c>
      <c r="W574" s="201" t="str">
        <f>IF(X$5=K$5,SUM(Y574:AI574)-SUM(L574:V574),"")</f>
        <v/>
      </c>
      <c r="X574" s="9" t="str">
        <f>LOWER(CtryCode)&amp;".distn."&amp;$A574&amp;IF($B574="","","."&amp;$B574)&amp;IF($C574="","",".dec."&amp;$C574)&amp;"."&amp;X$5</f>
        <v>egy.distn.anet.tot.dec.rur.2</v>
      </c>
      <c r="Z574" s="109">
        <f t="shared" ref="Z574:AI574" si="949">Z327*Z445/PctPerUnit</f>
        <v>956.8572682938617</v>
      </c>
      <c r="AA574" s="109">
        <f t="shared" si="949"/>
        <v>815.123377142533</v>
      </c>
      <c r="AB574" s="109">
        <f t="shared" si="949"/>
        <v>594.7656298663286</v>
      </c>
      <c r="AC574" s="109">
        <f t="shared" si="949"/>
        <v>225.1063640084229</v>
      </c>
      <c r="AD574" s="109">
        <f t="shared" si="949"/>
        <v>-199.7859347625628</v>
      </c>
      <c r="AE574" s="109">
        <f t="shared" si="949"/>
        <v>-128.62229364877373</v>
      </c>
      <c r="AF574" s="109">
        <f t="shared" si="949"/>
        <v>-341.900555945624</v>
      </c>
      <c r="AG574" s="109">
        <f t="shared" si="949"/>
        <v>-380.691944052416</v>
      </c>
      <c r="AH574" s="109">
        <f t="shared" si="949"/>
        <v>-534.7012993426738</v>
      </c>
      <c r="AI574" s="109">
        <f t="shared" si="949"/>
        <v>-1083.0070182118811</v>
      </c>
    </row>
    <row r="575" hidden="1" outlineLevel="1"/>
    <row r="576" hidden="1" outlineLevel="1">
      <c r="B576" s="31" t="inlineStr">
        <is>
          <t>Lorenz curves: cumulative shares of population and consumption, % (legacy rows 3104-3109; equality line = population share, fix D30)</t>
        </is>
      </c>
    </row>
    <row r="577" hidden="1" outlineLevel="1">
      <c r="A577" s="44" t="inlineStr">
        <is>
          <t>lzp</t>
        </is>
      </c>
      <c r="B577" s="3" t="inlineStr"/>
      <c r="C577" s="3" t="inlineStr">
        <is>
          <t>ove</t>
        </is>
      </c>
      <c r="D577" s="3" t="n"/>
      <c r="E577" s="3" t="n"/>
      <c r="H577" s="3" t="inlineStr">
        <is>
          <t>Cumulative share of population, overall</t>
        </is>
      </c>
      <c r="I577" s="3" t="inlineStr">
        <is>
          <t>%</t>
        </is>
      </c>
      <c r="J577" s="118" t="inlineStr">
        <is>
          <t>legacy D.III</t>
        </is>
      </c>
      <c r="K577" s="9" t="str">
        <f>LOWER(CtryCode)&amp;".distn."&amp;$A577&amp;IF($B577="","","."&amp;$B577)&amp;IF($C577="","",".dec."&amp;$C577)&amp;"."&amp;K$5</f>
        <v>egy.distn.lzp.dec.ove.1</v>
      </c>
      <c r="M577" s="196">
        <f>L577+M322/SUM(M322:V322)*PctPerUnit</f>
        <v>9.63955094867661</v>
      </c>
      <c r="N577" s="196">
        <f>M577+N322/SUM(M322:V322)*PctPerUnit</f>
        <v>19.11079664706086</v>
      </c>
      <c r="O577" s="196">
        <f>N577+O322/SUM(M322:V322)*PctPerUnit</f>
        <v>29.87938669252098</v>
      </c>
      <c r="P577" s="196">
        <f>O577+P322/SUM(M322:V322)*PctPerUnit</f>
        <v>39.56616653869861</v>
      </c>
      <c r="Q577" s="196">
        <f>P577+Q322/SUM(M322:V322)*PctPerUnit</f>
        <v>49.448412725624955</v>
      </c>
      <c r="R577" s="196">
        <f>Q577+R322/SUM(M322:V322)*PctPerUnit</f>
        <v>60.30125237405194</v>
      </c>
      <c r="S577" s="196">
        <f>R577+S322/SUM(M322:V322)*PctPerUnit</f>
        <v>70.39340441612813</v>
      </c>
      <c r="T577" s="196">
        <f>S577+T322/SUM(M322:V322)*PctPerUnit</f>
        <v>80.9502842046002</v>
      </c>
      <c r="U577" s="196">
        <f>T577+U322/SUM(M322:V322)*PctPerUnit</f>
        <v>90.64424675042761</v>
      </c>
      <c r="V577" s="196">
        <f>U577+V322/SUM(M322:V322)*PctPerUnit</f>
        <v>100.0</v>
      </c>
      <c r="W577" s="201" t="str">
        <f>IF(X$5=K$5,SUM(Y577:AI577)-SUM(L577:V577),"")</f>
        <v/>
      </c>
      <c r="X577" s="9" t="str">
        <f>LOWER(CtryCode)&amp;".distn."&amp;$A577&amp;IF($B577="","","."&amp;$B577)&amp;IF($C577="","",".dec."&amp;$C577)&amp;"."&amp;X$5</f>
        <v>egy.distn.lzp.dec.ove.2</v>
      </c>
      <c r="Z577" s="196">
        <f>Y577+Z322/SUM(Z322:AI322)*PctPerUnit</f>
        <v>9.63955094867661</v>
      </c>
      <c r="AA577" s="196">
        <f>Z577+AA322/SUM(Z322:AI322)*PctPerUnit</f>
        <v>19.11079664706086</v>
      </c>
      <c r="AB577" s="196">
        <f>AA577+AB322/SUM(Z322:AI322)*PctPerUnit</f>
        <v>29.87938669252098</v>
      </c>
      <c r="AC577" s="196">
        <f>AB577+AC322/SUM(Z322:AI322)*PctPerUnit</f>
        <v>39.56616653869861</v>
      </c>
      <c r="AD577" s="196">
        <f>AC577+AD322/SUM(Z322:AI322)*PctPerUnit</f>
        <v>49.448412725624955</v>
      </c>
      <c r="AE577" s="196">
        <f>AD577+AE322/SUM(Z322:AI322)*PctPerUnit</f>
        <v>60.30125237405194</v>
      </c>
      <c r="AF577" s="196">
        <f>AE577+AF322/SUM(Z322:AI322)*PctPerUnit</f>
        <v>70.39340441612813</v>
      </c>
      <c r="AG577" s="196">
        <f>AF577+AG322/SUM(Z322:AI322)*PctPerUnit</f>
        <v>80.9502842046002</v>
      </c>
      <c r="AH577" s="196">
        <f>AG577+AH322/SUM(Z322:AI322)*PctPerUnit</f>
        <v>90.64424675042761</v>
      </c>
      <c r="AI577" s="196">
        <f>AH577+AI322/SUM(Z322:AI322)*PctPerUnit</f>
        <v>100.0</v>
      </c>
    </row>
    <row r="578" hidden="1" outlineLevel="1">
      <c r="A578" s="44" t="inlineStr">
        <is>
          <t>lz0</t>
        </is>
      </c>
      <c r="B578" s="3" t="inlineStr"/>
      <c r="C578" s="3" t="inlineStr">
        <is>
          <t>ove</t>
        </is>
      </c>
      <c r="D578" s="3" t="n"/>
      <c r="E578" s="3" t="n"/>
      <c r="H578" s="3" t="inlineStr">
        <is>
          <t>Cumulative share of consumption, baseline, overall</t>
        </is>
      </c>
      <c r="I578" s="3" t="inlineStr">
        <is>
          <t>%</t>
        </is>
      </c>
      <c r="J578" s="118" t="inlineStr">
        <is>
          <t>legacy D.III</t>
        </is>
      </c>
      <c r="K578" s="9" t="str">
        <f>LOWER(CtryCode)&amp;".distn."&amp;$A578&amp;IF($B578="","","."&amp;$B578)&amp;IF($C578="","",".dec."&amp;$C578)&amp;"."&amp;K$5</f>
        <v>egy.distn.lz0.dec.ove.1</v>
      </c>
      <c r="M578" s="196">
        <f>L578+M331/SUM(M331:V331)*PctPerUnit</f>
        <v>4.016167750578294</v>
      </c>
      <c r="N578" s="196">
        <f>M578+N331/SUM(M331:V331)*PctPerUnit</f>
        <v>9.044531559836342</v>
      </c>
      <c r="O578" s="196">
        <f>N578+O331/SUM(M331:V331)*PctPerUnit</f>
        <v>16.10644552276934</v>
      </c>
      <c r="P578" s="196">
        <f>O578+P331/SUM(M331:V331)*PctPerUnit</f>
        <v>23.67834843277343</v>
      </c>
      <c r="Q578" s="196">
        <f>P578+Q331/SUM(M331:V331)*PctPerUnit</f>
        <v>31.825573818186573</v>
      </c>
      <c r="R578" s="196">
        <f>Q578+R331/SUM(M331:V331)*PctPerUnit</f>
        <v>41.347795227700374</v>
      </c>
      <c r="S578" s="196">
        <f>R578+S331/SUM(M331:V331)*PctPerUnit</f>
        <v>52.46108918035298</v>
      </c>
      <c r="T578" s="196">
        <f>S578+T331/SUM(M331:V331)*PctPerUnit</f>
        <v>65.808760603314</v>
      </c>
      <c r="U578" s="196">
        <f>T578+U331/SUM(M331:V331)*PctPerUnit</f>
        <v>80.40570923379923</v>
      </c>
      <c r="V578" s="196">
        <f>U578+V331/SUM(M331:V331)*PctPerUnit</f>
        <v>100.0</v>
      </c>
      <c r="W578" s="201" t="str">
        <f>IF(X$5=K$5,SUM(Y578:AI578)-SUM(L578:V578),"")</f>
        <v/>
      </c>
      <c r="X578" s="9" t="str">
        <f>LOWER(CtryCode)&amp;".distn."&amp;$A578&amp;IF($B578="","","."&amp;$B578)&amp;IF($C578="","",".dec."&amp;$C578)&amp;"."&amp;X$5</f>
        <v>egy.distn.lz0.dec.ove.2</v>
      </c>
      <c r="Z578" s="196">
        <f>Y578+Z331/SUM(Z331:AI331)*PctPerUnit</f>
        <v>4.016167750578294</v>
      </c>
      <c r="AA578" s="196">
        <f>Z578+AA331/SUM(Z331:AI331)*PctPerUnit</f>
        <v>9.044531559836342</v>
      </c>
      <c r="AB578" s="196">
        <f>AA578+AB331/SUM(Z331:AI331)*PctPerUnit</f>
        <v>16.10644552276934</v>
      </c>
      <c r="AC578" s="196">
        <f>AB578+AC331/SUM(Z331:AI331)*PctPerUnit</f>
        <v>23.67834843277343</v>
      </c>
      <c r="AD578" s="196">
        <f>AC578+AD331/SUM(Z331:AI331)*PctPerUnit</f>
        <v>31.825573818186573</v>
      </c>
      <c r="AE578" s="196">
        <f>AD578+AE331/SUM(Z331:AI331)*PctPerUnit</f>
        <v>41.347795227700374</v>
      </c>
      <c r="AF578" s="196">
        <f>AE578+AF331/SUM(Z331:AI331)*PctPerUnit</f>
        <v>52.46108918035298</v>
      </c>
      <c r="AG578" s="196">
        <f>AF578+AG331/SUM(Z331:AI331)*PctPerUnit</f>
        <v>65.808760603314</v>
      </c>
      <c r="AH578" s="196">
        <f>AG578+AH331/SUM(Z331:AI331)*PctPerUnit</f>
        <v>80.40570923379923</v>
      </c>
      <c r="AI578" s="196">
        <f>AH578+AI331/SUM(Z331:AI331)*PctPerUnit</f>
        <v>100.0</v>
      </c>
    </row>
    <row r="579" hidden="1" outlineLevel="1">
      <c r="A579" s="44" t="inlineStr">
        <is>
          <t>lzx</t>
        </is>
      </c>
      <c r="B579" s="3" t="inlineStr"/>
      <c r="C579" s="3" t="inlineStr">
        <is>
          <t>ove</t>
        </is>
      </c>
      <c r="D579" s="3" t="n"/>
      <c r="E579" s="3" t="n"/>
      <c r="H579" s="3" t="inlineStr">
        <is>
          <t>Cumulative share of consumption after the price effects, overall</t>
        </is>
      </c>
      <c r="I579" s="3" t="inlineStr">
        <is>
          <t>%</t>
        </is>
      </c>
      <c r="J579" s="118" t="inlineStr">
        <is>
          <t>legacy D.III</t>
        </is>
      </c>
      <c r="K579" s="9" t="str">
        <f>LOWER(CtryCode)&amp;".distn."&amp;$A579&amp;IF($B579="","","."&amp;$B579)&amp;IF($C579="","",".dec."&amp;$C579)&amp;"."&amp;K$5</f>
        <v>egy.distn.lzx.dec.ove.1</v>
      </c>
      <c r="M579" s="196">
        <f>L579+M420/SUM(M420:V420)*PctPerUnit</f>
        <v>4.016167750578294</v>
      </c>
      <c r="N579" s="196">
        <f>M579+N420/SUM(M420:V420)*PctPerUnit</f>
        <v>9.044531559836342</v>
      </c>
      <c r="O579" s="196">
        <f>N579+O420/SUM(M420:V420)*PctPerUnit</f>
        <v>16.10644552276934</v>
      </c>
      <c r="P579" s="196">
        <f>O579+P420/SUM(M420:V420)*PctPerUnit</f>
        <v>23.67834843277343</v>
      </c>
      <c r="Q579" s="196">
        <f>P579+Q420/SUM(M420:V420)*PctPerUnit</f>
        <v>31.825573818186573</v>
      </c>
      <c r="R579" s="196">
        <f>Q579+R420/SUM(M420:V420)*PctPerUnit</f>
        <v>41.347795227700374</v>
      </c>
      <c r="S579" s="196">
        <f>R579+S420/SUM(M420:V420)*PctPerUnit</f>
        <v>52.46108918035298</v>
      </c>
      <c r="T579" s="196">
        <f>S579+T420/SUM(M420:V420)*PctPerUnit</f>
        <v>65.808760603314</v>
      </c>
      <c r="U579" s="196">
        <f>T579+U420/SUM(M420:V420)*PctPerUnit</f>
        <v>80.40570923379923</v>
      </c>
      <c r="V579" s="196">
        <f>U579+V420/SUM(M420:V420)*PctPerUnit</f>
        <v>100.0</v>
      </c>
      <c r="W579" s="201" t="str">
        <f>IF(X$5=K$5,SUM(Y579:AI579)-SUM(L579:V579),"")</f>
        <v/>
      </c>
      <c r="X579" s="9" t="str">
        <f>LOWER(CtryCode)&amp;".distn."&amp;$A579&amp;IF($B579="","","."&amp;$B579)&amp;IF($C579="","",".dec."&amp;$C579)&amp;"."&amp;X$5</f>
        <v>egy.distn.lzx.dec.ove.2</v>
      </c>
      <c r="Z579" s="196">
        <f>Y579+Z420/SUM(Z420:AI420)*PctPerUnit</f>
        <v>4.007472920796133</v>
      </c>
      <c r="AA579" s="196">
        <f>Z579+AA420/SUM(Z420:AI420)*PctPerUnit</f>
        <v>9.032362721697151</v>
      </c>
      <c r="AB579" s="196">
        <f>AA579+AB420/SUM(Z420:AI420)*PctPerUnit</f>
        <v>16.0902772173634</v>
      </c>
      <c r="AC579" s="196">
        <f>AB579+AC420/SUM(Z420:AI420)*PctPerUnit</f>
        <v>23.665486739928408</v>
      </c>
      <c r="AD579" s="196">
        <f>AC579+AD420/SUM(Z420:AI420)*PctPerUnit</f>
        <v>31.817742796569192</v>
      </c>
      <c r="AE579" s="196">
        <f>AD579+AE420/SUM(Z420:AI420)*PctPerUnit</f>
        <v>41.34620423971438</v>
      </c>
      <c r="AF579" s="196">
        <f>AE579+AF420/SUM(Z420:AI420)*PctPerUnit</f>
        <v>52.46335722846909</v>
      </c>
      <c r="AG579" s="196">
        <f>AF579+AG420/SUM(Z420:AI420)*PctPerUnit</f>
        <v>65.80992301806917</v>
      </c>
      <c r="AH579" s="196">
        <f>AG579+AH420/SUM(Z420:AI420)*PctPerUnit</f>
        <v>80.41294609782783</v>
      </c>
      <c r="AI579" s="196">
        <f>AH579+AI420/SUM(Z420:AI420)*PctPerUnit</f>
        <v>100.0</v>
      </c>
    </row>
    <row r="580" hidden="1" outlineLevel="1">
      <c r="A580" s="44" t="inlineStr">
        <is>
          <t>lzi</t>
        </is>
      </c>
      <c r="B580" s="3" t="inlineStr"/>
      <c r="C580" s="3" t="inlineStr">
        <is>
          <t>ove</t>
        </is>
      </c>
      <c r="D580" s="3" t="n"/>
      <c r="E580" s="3" t="n"/>
      <c r="H580" s="3" t="inlineStr">
        <is>
          <t>Cumulative share of consumption after recycling, overall</t>
        </is>
      </c>
      <c r="I580" s="3" t="inlineStr">
        <is>
          <t>%</t>
        </is>
      </c>
      <c r="J580" s="118" t="inlineStr">
        <is>
          <t>legacy D.III</t>
        </is>
      </c>
      <c r="K580" s="9" t="str">
        <f>LOWER(CtryCode)&amp;".distn."&amp;$A580&amp;IF($B580="","","."&amp;$B580)&amp;IF($C580="","",".dec."&amp;$C580)&amp;"."&amp;K$5</f>
        <v>egy.distn.lzi.dec.ove.1</v>
      </c>
      <c r="M580" s="196">
        <f>L580+M421/SUM(M421:V421)*PctPerUnit</f>
        <v>4.016167750578294</v>
      </c>
      <c r="N580" s="196">
        <f>M580+N421/SUM(M421:V421)*PctPerUnit</f>
        <v>9.044531559836342</v>
      </c>
      <c r="O580" s="196">
        <f>N580+O421/SUM(M421:V421)*PctPerUnit</f>
        <v>16.10644552276934</v>
      </c>
      <c r="P580" s="196">
        <f>O580+P421/SUM(M421:V421)*PctPerUnit</f>
        <v>23.67834843277343</v>
      </c>
      <c r="Q580" s="196">
        <f>P580+Q421/SUM(M421:V421)*PctPerUnit</f>
        <v>31.825573818186573</v>
      </c>
      <c r="R580" s="196">
        <f>Q580+R421/SUM(M421:V421)*PctPerUnit</f>
        <v>41.347795227700374</v>
      </c>
      <c r="S580" s="196">
        <f>R580+S421/SUM(M421:V421)*PctPerUnit</f>
        <v>52.46108918035298</v>
      </c>
      <c r="T580" s="196">
        <f>S580+T421/SUM(M421:V421)*PctPerUnit</f>
        <v>65.808760603314</v>
      </c>
      <c r="U580" s="196">
        <f>T580+U421/SUM(M421:V421)*PctPerUnit</f>
        <v>80.40570923379923</v>
      </c>
      <c r="V580" s="196">
        <f>U580+V421/SUM(M421:V421)*PctPerUnit</f>
        <v>100.0</v>
      </c>
      <c r="W580" s="201" t="str">
        <f>IF(X$5=K$5,SUM(Y580:AI580)-SUM(L580:V580),"")</f>
        <v/>
      </c>
      <c r="X580" s="9" t="str">
        <f>LOWER(CtryCode)&amp;".distn."&amp;$A580&amp;IF($B580="","","."&amp;$B580)&amp;IF($C580="","",".dec."&amp;$C580)&amp;"."&amp;X$5</f>
        <v>egy.distn.lzi.dec.ove.2</v>
      </c>
      <c r="Z580" s="196">
        <f>Y580+Z421/SUM(Z421:AI421)*PctPerUnit</f>
        <v>4.147889870320151</v>
      </c>
      <c r="AA580" s="196">
        <f>Z580+AA421/SUM(Z421:AI421)*PctPerUnit</f>
        <v>9.282208579607026</v>
      </c>
      <c r="AB580" s="196">
        <f>AA580+AB421/SUM(Z421:AI421)*PctPerUnit</f>
        <v>16.411135888724033</v>
      </c>
      <c r="AC580" s="196">
        <f>AB580+AC421/SUM(Z421:AI421)*PctPerUnit</f>
        <v>24.032823181098586</v>
      </c>
      <c r="AD580" s="196">
        <f>AC580+AD421/SUM(Z421:AI421)*PctPerUnit</f>
        <v>32.19861326421838</v>
      </c>
      <c r="AE580" s="196">
        <f>AD580+AE421/SUM(Z421:AI421)*PctPerUnit</f>
        <v>41.69978631655838</v>
      </c>
      <c r="AF580" s="196">
        <f>AE580+AF421/SUM(Z421:AI421)*PctPerUnit</f>
        <v>52.762086409453495</v>
      </c>
      <c r="AG580" s="196">
        <f>AF580+AG421/SUM(Z421:AI421)*PctPerUnit</f>
        <v>66.03021851376589</v>
      </c>
      <c r="AH580" s="196">
        <f>AG580+AH421/SUM(Z421:AI421)*PctPerUnit</f>
        <v>80.55713990216107</v>
      </c>
      <c r="AI580" s="196">
        <f>AH580+AI421/SUM(Z421:AI421)*PctPerUnit</f>
        <v>100.0</v>
      </c>
    </row>
    <row r="581" hidden="1" outlineLevel="1">
      <c r="A581" s="44" t="inlineStr">
        <is>
          <t>lzp</t>
        </is>
      </c>
      <c r="B581" s="3" t="inlineStr"/>
      <c r="C581" s="3" t="inlineStr">
        <is>
          <t>urb</t>
        </is>
      </c>
      <c r="D581" s="3" t="n"/>
      <c r="E581" s="3" t="n"/>
      <c r="H581" s="3" t="inlineStr">
        <is>
          <t>Cumulative share of population, urban</t>
        </is>
      </c>
      <c r="I581" s="3" t="inlineStr">
        <is>
          <t>%</t>
        </is>
      </c>
      <c r="J581" s="118" t="inlineStr">
        <is>
          <t>legacy D.III</t>
        </is>
      </c>
      <c r="K581" s="9" t="str">
        <f>LOWER(CtryCode)&amp;".distn."&amp;$A581&amp;IF($B581="","","."&amp;$B581)&amp;IF($C581="","",".dec."&amp;$C581)&amp;"."&amp;K$5</f>
        <v>egy.distn.lzp.dec.urb.1</v>
      </c>
      <c r="M581" s="196">
        <f>L581+M323/SUM(M323:V323)*PctPerUnit</f>
        <v>9.777080827930517</v>
      </c>
      <c r="N581" s="196">
        <f>M581+N323/SUM(M323:V323)*PctPerUnit</f>
        <v>19.204075364712708</v>
      </c>
      <c r="O581" s="196">
        <f>N581+O323/SUM(M323:V323)*PctPerUnit</f>
        <v>28.770455138816203</v>
      </c>
      <c r="P581" s="196">
        <f>O581+P323/SUM(M323:V323)*PctPerUnit</f>
        <v>38.54626185326337</v>
      </c>
      <c r="Q581" s="196">
        <f>P581+Q323/SUM(M323:V323)*PctPerUnit</f>
        <v>48.935481463181304</v>
      </c>
      <c r="R581" s="196">
        <f>Q581+R323/SUM(M323:V323)*PctPerUnit</f>
        <v>59.12004116432843</v>
      </c>
      <c r="S581" s="196">
        <f>R581+S323/SUM(M323:V323)*PctPerUnit</f>
        <v>69.5913619280425</v>
      </c>
      <c r="T581" s="196">
        <f>S581+T323/SUM(M323:V323)*PctPerUnit</f>
        <v>79.86194342460797</v>
      </c>
      <c r="U581" s="196">
        <f>T581+U323/SUM(M323:V323)*PctPerUnit</f>
        <v>89.58871937771767</v>
      </c>
      <c r="V581" s="196">
        <f>U581+V323/SUM(M323:V323)*PctPerUnit</f>
        <v>100.0</v>
      </c>
      <c r="W581" s="201" t="str">
        <f>IF(X$5=K$5,SUM(Y581:AI581)-SUM(L581:V581),"")</f>
        <v/>
      </c>
      <c r="X581" s="9" t="str">
        <f>LOWER(CtryCode)&amp;".distn."&amp;$A581&amp;IF($B581="","","."&amp;$B581)&amp;IF($C581="","",".dec."&amp;$C581)&amp;"."&amp;X$5</f>
        <v>egy.distn.lzp.dec.urb.2</v>
      </c>
      <c r="Z581" s="196">
        <f>Y581+Z323/SUM(Z323:AI323)*PctPerUnit</f>
        <v>9.777080827930517</v>
      </c>
      <c r="AA581" s="196">
        <f>Z581+AA323/SUM(Z323:AI323)*PctPerUnit</f>
        <v>19.204075364712708</v>
      </c>
      <c r="AB581" s="196">
        <f>AA581+AB323/SUM(Z323:AI323)*PctPerUnit</f>
        <v>28.770455138816203</v>
      </c>
      <c r="AC581" s="196">
        <f>AB581+AC323/SUM(Z323:AI323)*PctPerUnit</f>
        <v>38.54626185326337</v>
      </c>
      <c r="AD581" s="196">
        <f>AC581+AD323/SUM(Z323:AI323)*PctPerUnit</f>
        <v>48.935481463181304</v>
      </c>
      <c r="AE581" s="196">
        <f>AD581+AE323/SUM(Z323:AI323)*PctPerUnit</f>
        <v>59.12004116432843</v>
      </c>
      <c r="AF581" s="196">
        <f>AE581+AF323/SUM(Z323:AI323)*PctPerUnit</f>
        <v>69.5913619280425</v>
      </c>
      <c r="AG581" s="196">
        <f>AF581+AG323/SUM(Z323:AI323)*PctPerUnit</f>
        <v>79.86194342460797</v>
      </c>
      <c r="AH581" s="196">
        <f>AG581+AH323/SUM(Z323:AI323)*PctPerUnit</f>
        <v>89.58871937771767</v>
      </c>
      <c r="AI581" s="196">
        <f>AH581+AI323/SUM(Z323:AI323)*PctPerUnit</f>
        <v>100.0</v>
      </c>
    </row>
    <row r="582" hidden="1" outlineLevel="1">
      <c r="A582" s="44" t="inlineStr">
        <is>
          <t>lz0</t>
        </is>
      </c>
      <c r="B582" s="3" t="inlineStr"/>
      <c r="C582" s="3" t="inlineStr">
        <is>
          <t>urb</t>
        </is>
      </c>
      <c r="D582" s="3" t="n"/>
      <c r="E582" s="3" t="n"/>
      <c r="H582" s="3" t="inlineStr">
        <is>
          <t>Cumulative share of consumption, baseline, urban</t>
        </is>
      </c>
      <c r="I582" s="3" t="inlineStr">
        <is>
          <t>%</t>
        </is>
      </c>
      <c r="J582" s="118" t="inlineStr">
        <is>
          <t>legacy D.III</t>
        </is>
      </c>
      <c r="K582" s="9" t="str">
        <f>LOWER(CtryCode)&amp;".distn."&amp;$A582&amp;IF($B582="","","."&amp;$B582)&amp;IF($C582="","",".dec."&amp;$C582)&amp;"."&amp;K$5</f>
        <v>egy.distn.lz0.dec.urb.1</v>
      </c>
      <c r="M582" s="196">
        <f>L582+M328/SUM(M328:V328)*PctPerUnit</f>
        <v>3.955918224645312</v>
      </c>
      <c r="N582" s="196">
        <f>M582+N328/SUM(M328:V328)*PctPerUnit</f>
        <v>9.329030657868879</v>
      </c>
      <c r="O582" s="196">
        <f>N582+O328/SUM(M328:V328)*PctPerUnit</f>
        <v>15.620525184918558</v>
      </c>
      <c r="P582" s="196">
        <f>O582+P328/SUM(M328:V328)*PctPerUnit</f>
        <v>22.478539607133584</v>
      </c>
      <c r="Q582" s="196">
        <f>P582+Q328/SUM(M328:V328)*PctPerUnit</f>
        <v>31.75563745209761</v>
      </c>
      <c r="R582" s="196">
        <f>Q582+R328/SUM(M328:V328)*PctPerUnit</f>
        <v>40.75514839370854</v>
      </c>
      <c r="S582" s="196">
        <f>R582+S328/SUM(M328:V328)*PctPerUnit</f>
        <v>51.10856520310228</v>
      </c>
      <c r="T582" s="196">
        <f>S582+T328/SUM(M328:V328)*PctPerUnit</f>
        <v>63.15882065496397</v>
      </c>
      <c r="U582" s="196">
        <f>T582+U328/SUM(M328:V328)*PctPerUnit</f>
        <v>77.60282445974367</v>
      </c>
      <c r="V582" s="196">
        <f>U582+V328/SUM(M328:V328)*PctPerUnit</f>
        <v>100.00000000000001</v>
      </c>
      <c r="W582" s="201" t="str">
        <f>IF(X$5=K$5,SUM(Y582:AI582)-SUM(L582:V582),"")</f>
        <v/>
      </c>
      <c r="X582" s="9" t="str">
        <f>LOWER(CtryCode)&amp;".distn."&amp;$A582&amp;IF($B582="","","."&amp;$B582)&amp;IF($C582="","",".dec."&amp;$C582)&amp;"."&amp;X$5</f>
        <v>egy.distn.lz0.dec.urb.2</v>
      </c>
      <c r="Z582" s="196">
        <f>Y582+Z328/SUM(Z328:AI328)*PctPerUnit</f>
        <v>3.955918224645312</v>
      </c>
      <c r="AA582" s="196">
        <f>Z582+AA328/SUM(Z328:AI328)*PctPerUnit</f>
        <v>9.329030657868879</v>
      </c>
      <c r="AB582" s="196">
        <f>AA582+AB328/SUM(Z328:AI328)*PctPerUnit</f>
        <v>15.620525184918558</v>
      </c>
      <c r="AC582" s="196">
        <f>AB582+AC328/SUM(Z328:AI328)*PctPerUnit</f>
        <v>22.478539607133584</v>
      </c>
      <c r="AD582" s="196">
        <f>AC582+AD328/SUM(Z328:AI328)*PctPerUnit</f>
        <v>31.75563745209761</v>
      </c>
      <c r="AE582" s="196">
        <f>AD582+AE328/SUM(Z328:AI328)*PctPerUnit</f>
        <v>40.75514839370854</v>
      </c>
      <c r="AF582" s="196">
        <f>AE582+AF328/SUM(Z328:AI328)*PctPerUnit</f>
        <v>51.10856520310228</v>
      </c>
      <c r="AG582" s="196">
        <f>AF582+AG328/SUM(Z328:AI328)*PctPerUnit</f>
        <v>63.15882065496397</v>
      </c>
      <c r="AH582" s="196">
        <f>AG582+AH328/SUM(Z328:AI328)*PctPerUnit</f>
        <v>77.60282445974367</v>
      </c>
      <c r="AI582" s="196">
        <f>AH582+AI328/SUM(Z328:AI328)*PctPerUnit</f>
        <v>100.00000000000001</v>
      </c>
    </row>
    <row r="583" hidden="1" outlineLevel="1">
      <c r="A583" s="44" t="inlineStr">
        <is>
          <t>lzx</t>
        </is>
      </c>
      <c r="B583" s="3" t="inlineStr"/>
      <c r="C583" s="3" t="inlineStr">
        <is>
          <t>urb</t>
        </is>
      </c>
      <c r="D583" s="3" t="n"/>
      <c r="E583" s="3" t="n"/>
      <c r="H583" s="3" t="inlineStr">
        <is>
          <t>Cumulative share of consumption after the price effects, urban</t>
        </is>
      </c>
      <c r="I583" s="3" t="inlineStr">
        <is>
          <t>%</t>
        </is>
      </c>
      <c r="J583" s="118" t="inlineStr">
        <is>
          <t>legacy D.III</t>
        </is>
      </c>
      <c r="K583" s="9" t="str">
        <f>LOWER(CtryCode)&amp;".distn."&amp;$A583&amp;IF($B583="","","."&amp;$B583)&amp;IF($C583="","",".dec."&amp;$C583)&amp;"."&amp;K$5</f>
        <v>egy.distn.lzx.dec.urb.1</v>
      </c>
      <c r="M583" s="196">
        <f>L583+M425/SUM(M425:V425)*PctPerUnit</f>
        <v>3.955918224645312</v>
      </c>
      <c r="N583" s="196">
        <f>M583+N425/SUM(M425:V425)*PctPerUnit</f>
        <v>9.329030657868879</v>
      </c>
      <c r="O583" s="196">
        <f>N583+O425/SUM(M425:V425)*PctPerUnit</f>
        <v>15.620525184918558</v>
      </c>
      <c r="P583" s="196">
        <f>O583+P425/SUM(M425:V425)*PctPerUnit</f>
        <v>22.478539607133584</v>
      </c>
      <c r="Q583" s="196">
        <f>P583+Q425/SUM(M425:V425)*PctPerUnit</f>
        <v>31.75563745209761</v>
      </c>
      <c r="R583" s="196">
        <f>Q583+R425/SUM(M425:V425)*PctPerUnit</f>
        <v>40.75514839370854</v>
      </c>
      <c r="S583" s="196">
        <f>R583+S425/SUM(M425:V425)*PctPerUnit</f>
        <v>51.10856520310228</v>
      </c>
      <c r="T583" s="196">
        <f>S583+T425/SUM(M425:V425)*PctPerUnit</f>
        <v>63.15882065496397</v>
      </c>
      <c r="U583" s="196">
        <f>T583+U425/SUM(M425:V425)*PctPerUnit</f>
        <v>77.60282445974367</v>
      </c>
      <c r="V583" s="196">
        <f>U583+V425/SUM(M425:V425)*PctPerUnit</f>
        <v>100.00000000000001</v>
      </c>
      <c r="W583" s="201" t="str">
        <f>IF(X$5=K$5,SUM(Y583:AI583)-SUM(L583:V583),"")</f>
        <v/>
      </c>
      <c r="X583" s="9" t="str">
        <f>LOWER(CtryCode)&amp;".distn."&amp;$A583&amp;IF($B583="","","."&amp;$B583)&amp;IF($C583="","",".dec."&amp;$C583)&amp;"."&amp;X$5</f>
        <v>egy.distn.lzx.dec.urb.2</v>
      </c>
      <c r="Z583" s="196">
        <f>Y583+Z425/SUM(Z425:AI425)*PctPerUnit</f>
        <v>3.949248048818943</v>
      </c>
      <c r="AA583" s="196">
        <f>Z583+AA425/SUM(Z425:AI425)*PctPerUnit</f>
        <v>9.323105982822423</v>
      </c>
      <c r="AB583" s="196">
        <f>AA583+AB425/SUM(Z425:AI425)*PctPerUnit</f>
        <v>15.613658246231534</v>
      </c>
      <c r="AC583" s="196">
        <f>AB583+AC425/SUM(Z425:AI425)*PctPerUnit</f>
        <v>22.473998873577656</v>
      </c>
      <c r="AD583" s="196">
        <f>AC583+AD425/SUM(Z425:AI425)*PctPerUnit</f>
        <v>31.756428329408863</v>
      </c>
      <c r="AE583" s="196">
        <f>AD583+AE425/SUM(Z425:AI425)*PctPerUnit</f>
        <v>40.76085328525119</v>
      </c>
      <c r="AF583" s="196">
        <f>AE583+AF425/SUM(Z425:AI425)*PctPerUnit</f>
        <v>51.110695192642616</v>
      </c>
      <c r="AG583" s="196">
        <f>AF583+AG425/SUM(Z425:AI425)*PctPerUnit</f>
        <v>63.166684504515004</v>
      </c>
      <c r="AH583" s="196">
        <f>AG583+AH425/SUM(Z425:AI425)*PctPerUnit</f>
        <v>77.60957103022966</v>
      </c>
      <c r="AI583" s="196">
        <f>AH583+AI425/SUM(Z425:AI425)*PctPerUnit</f>
        <v>100.0</v>
      </c>
    </row>
    <row r="584" hidden="1" outlineLevel="1">
      <c r="A584" s="44" t="inlineStr">
        <is>
          <t>lzi</t>
        </is>
      </c>
      <c r="B584" s="3" t="inlineStr"/>
      <c r="C584" s="3" t="inlineStr">
        <is>
          <t>urb</t>
        </is>
      </c>
      <c r="D584" s="3" t="n"/>
      <c r="E584" s="3" t="n"/>
      <c r="H584" s="3" t="inlineStr">
        <is>
          <t>Cumulative share of consumption after recycling, urban</t>
        </is>
      </c>
      <c r="I584" s="3" t="inlineStr">
        <is>
          <t>%</t>
        </is>
      </c>
      <c r="J584" s="118" t="inlineStr">
        <is>
          <t>legacy D.III</t>
        </is>
      </c>
      <c r="K584" s="9" t="str">
        <f>LOWER(CtryCode)&amp;".distn."&amp;$A584&amp;IF($B584="","","."&amp;$B584)&amp;IF($C584="","",".dec."&amp;$C584)&amp;"."&amp;K$5</f>
        <v>egy.distn.lzi.dec.urb.1</v>
      </c>
      <c r="M584" s="196">
        <f>L584+M426/SUM(M426:V426)*PctPerUnit</f>
        <v>3.955918224645312</v>
      </c>
      <c r="N584" s="196">
        <f>M584+N426/SUM(M426:V426)*PctPerUnit</f>
        <v>9.329030657868879</v>
      </c>
      <c r="O584" s="196">
        <f>N584+O426/SUM(M426:V426)*PctPerUnit</f>
        <v>15.620525184918558</v>
      </c>
      <c r="P584" s="196">
        <f>O584+P426/SUM(M426:V426)*PctPerUnit</f>
        <v>22.478539607133584</v>
      </c>
      <c r="Q584" s="196">
        <f>P584+Q426/SUM(M426:V426)*PctPerUnit</f>
        <v>31.75563745209761</v>
      </c>
      <c r="R584" s="196">
        <f>Q584+R426/SUM(M426:V426)*PctPerUnit</f>
        <v>40.75514839370854</v>
      </c>
      <c r="S584" s="196">
        <f>R584+S426/SUM(M426:V426)*PctPerUnit</f>
        <v>51.10856520310228</v>
      </c>
      <c r="T584" s="196">
        <f>S584+T426/SUM(M426:V426)*PctPerUnit</f>
        <v>63.15882065496397</v>
      </c>
      <c r="U584" s="196">
        <f>T584+U426/SUM(M426:V426)*PctPerUnit</f>
        <v>77.60282445974367</v>
      </c>
      <c r="V584" s="196">
        <f>U584+V426/SUM(M426:V426)*PctPerUnit</f>
        <v>100.00000000000001</v>
      </c>
      <c r="W584" s="201" t="str">
        <f>IF(X$5=K$5,SUM(Y584:AI584)-SUM(L584:V584),"")</f>
        <v/>
      </c>
      <c r="X584" s="9" t="str">
        <f>LOWER(CtryCode)&amp;".distn."&amp;$A584&amp;IF($B584="","","."&amp;$B584)&amp;IF($C584="","",".dec."&amp;$C584)&amp;"."&amp;X$5</f>
        <v>egy.distn.lzi.dec.urb.2</v>
      </c>
      <c r="Z584" s="196">
        <f>Y584+Z426/SUM(Z426:AI426)*PctPerUnit</f>
        <v>4.039900552711138</v>
      </c>
      <c r="AA584" s="196">
        <f>Z584+AA426/SUM(Z426:AI426)*PctPerUnit</f>
        <v>9.471221330639413</v>
      </c>
      <c r="AB584" s="196">
        <f>AA584+AB426/SUM(Z426:AI426)*PctPerUnit</f>
        <v>15.778713797658195</v>
      </c>
      <c r="AC584" s="196">
        <f>AB584+AC426/SUM(Z426:AI426)*PctPerUnit</f>
        <v>22.695388981224163</v>
      </c>
      <c r="AD584" s="196">
        <f>AC584+AD426/SUM(Z426:AI426)*PctPerUnit</f>
        <v>31.960472358118242</v>
      </c>
      <c r="AE584" s="196">
        <f>AD584+AE426/SUM(Z426:AI426)*PctPerUnit</f>
        <v>40.96783833884371</v>
      </c>
      <c r="AF584" s="196">
        <f>AE584+AF426/SUM(Z426:AI426)*PctPerUnit</f>
        <v>51.29727713928585</v>
      </c>
      <c r="AG584" s="196">
        <f>AF584+AG426/SUM(Z426:AI426)*PctPerUnit</f>
        <v>63.31580800768946</v>
      </c>
      <c r="AH584" s="196">
        <f>AG584+AH426/SUM(Z426:AI426)*PctPerUnit</f>
        <v>77.70047774565964</v>
      </c>
      <c r="AI584" s="196">
        <f>AH584+AI426/SUM(Z426:AI426)*PctPerUnit</f>
        <v>99.99999999999999</v>
      </c>
    </row>
    <row r="585" hidden="1" outlineLevel="1">
      <c r="A585" s="44" t="inlineStr">
        <is>
          <t>lzp</t>
        </is>
      </c>
      <c r="B585" s="3" t="inlineStr"/>
      <c r="C585" s="3" t="inlineStr">
        <is>
          <t>rur</t>
        </is>
      </c>
      <c r="D585" s="3" t="n"/>
      <c r="E585" s="3" t="n"/>
      <c r="H585" s="3" t="inlineStr">
        <is>
          <t>Cumulative share of population, rural</t>
        </is>
      </c>
      <c r="I585" s="3" t="inlineStr">
        <is>
          <t>%</t>
        </is>
      </c>
      <c r="J585" s="118" t="inlineStr">
        <is>
          <t>legacy D.III</t>
        </is>
      </c>
      <c r="K585" s="9" t="str">
        <f>LOWER(CtryCode)&amp;".distn."&amp;$A585&amp;IF($B585="","","."&amp;$B585)&amp;IF($C585="","",".dec."&amp;$C585)&amp;"."&amp;K$5</f>
        <v>egy.distn.lzp.dec.rur.1</v>
      </c>
      <c r="M585" s="196">
        <f>L585+M324/SUM(M324:V324)*PctPerUnit</f>
        <v>9.7441936838658</v>
      </c>
      <c r="N585" s="196">
        <f>M585+N324/SUM(M324:V324)*PctPerUnit</f>
        <v>19.210794987466333</v>
      </c>
      <c r="O585" s="196">
        <f>N585+O324/SUM(M324:V324)*PctPerUnit</f>
        <v>29.70862858204105</v>
      </c>
      <c r="P585" s="196">
        <f>O585+P324/SUM(M324:V324)*PctPerUnit</f>
        <v>39.26500758428331</v>
      </c>
      <c r="Q585" s="196">
        <f>P585+Q324/SUM(M324:V324)*PctPerUnit</f>
        <v>48.749457801586914</v>
      </c>
      <c r="R585" s="196">
        <f>Q585+R324/SUM(M324:V324)*PctPerUnit</f>
        <v>59.01461334049242</v>
      </c>
      <c r="S585" s="196">
        <f>R585+S324/SUM(M324:V324)*PctPerUnit</f>
        <v>69.53136004609276</v>
      </c>
      <c r="T585" s="196">
        <f>S585+T324/SUM(M324:V324)*PctPerUnit</f>
        <v>79.64719432542297</v>
      </c>
      <c r="U585" s="196">
        <f>T585+U324/SUM(M324:V324)*PctPerUnit</f>
        <v>89.31251083721168</v>
      </c>
      <c r="V585" s="196">
        <f>U585+V324/SUM(M324:V324)*PctPerUnit</f>
        <v>100.0</v>
      </c>
      <c r="W585" s="201" t="str">
        <f>IF(X$5=K$5,SUM(Y585:AI585)-SUM(L585:V585),"")</f>
        <v/>
      </c>
      <c r="X585" s="9" t="str">
        <f>LOWER(CtryCode)&amp;".distn."&amp;$A585&amp;IF($B585="","","."&amp;$B585)&amp;IF($C585="","",".dec."&amp;$C585)&amp;"."&amp;X$5</f>
        <v>egy.distn.lzp.dec.rur.2</v>
      </c>
      <c r="Z585" s="196">
        <f>Y585+Z324/SUM(Z324:AI324)*PctPerUnit</f>
        <v>9.7441936838658</v>
      </c>
      <c r="AA585" s="196">
        <f>Z585+AA324/SUM(Z324:AI324)*PctPerUnit</f>
        <v>19.210794987466333</v>
      </c>
      <c r="AB585" s="196">
        <f>AA585+AB324/SUM(Z324:AI324)*PctPerUnit</f>
        <v>29.70862858204105</v>
      </c>
      <c r="AC585" s="196">
        <f>AB585+AC324/SUM(Z324:AI324)*PctPerUnit</f>
        <v>39.26500758428331</v>
      </c>
      <c r="AD585" s="196">
        <f>AC585+AD324/SUM(Z324:AI324)*PctPerUnit</f>
        <v>48.749457801586914</v>
      </c>
      <c r="AE585" s="196">
        <f>AD585+AE324/SUM(Z324:AI324)*PctPerUnit</f>
        <v>59.01461334049242</v>
      </c>
      <c r="AF585" s="196">
        <f>AE585+AF324/SUM(Z324:AI324)*PctPerUnit</f>
        <v>69.53136004609276</v>
      </c>
      <c r="AG585" s="196">
        <f>AF585+AG324/SUM(Z324:AI324)*PctPerUnit</f>
        <v>79.64719432542297</v>
      </c>
      <c r="AH585" s="196">
        <f>AG585+AH324/SUM(Z324:AI324)*PctPerUnit</f>
        <v>89.31251083721168</v>
      </c>
      <c r="AI585" s="196">
        <f>AH585+AI324/SUM(Z324:AI324)*PctPerUnit</f>
        <v>100.0</v>
      </c>
    </row>
    <row r="586" hidden="1" outlineLevel="1">
      <c r="A586" s="44" t="inlineStr">
        <is>
          <t>lz0</t>
        </is>
      </c>
      <c r="B586" s="3" t="inlineStr"/>
      <c r="C586" s="3" t="inlineStr">
        <is>
          <t>rur</t>
        </is>
      </c>
      <c r="D586" s="3" t="n"/>
      <c r="E586" s="3" t="n"/>
      <c r="H586" s="3" t="inlineStr">
        <is>
          <t>Cumulative share of consumption, baseline, rural</t>
        </is>
      </c>
      <c r="I586" s="3" t="inlineStr">
        <is>
          <t>%</t>
        </is>
      </c>
      <c r="J586" s="118" t="inlineStr">
        <is>
          <t>legacy D.III</t>
        </is>
      </c>
      <c r="K586" s="9" t="str">
        <f>LOWER(CtryCode)&amp;".distn."&amp;$A586&amp;IF($B586="","","."&amp;$B586)&amp;IF($C586="","",".dec."&amp;$C586)&amp;"."&amp;K$5</f>
        <v>egy.distn.lz0.dec.rur.1</v>
      </c>
      <c r="M586" s="196">
        <f>L586+M329/SUM(M329:V329)*PctPerUnit</f>
        <v>4.5024223542920305</v>
      </c>
      <c r="N586" s="196">
        <f>M586+N329/SUM(M329:V329)*PctPerUnit</f>
        <v>9.875128354292851</v>
      </c>
      <c r="O586" s="196">
        <f>N586+O329/SUM(M329:V329)*PctPerUnit</f>
        <v>16.793088673472802</v>
      </c>
      <c r="P586" s="196">
        <f>O586+P329/SUM(M329:V329)*PctPerUnit</f>
        <v>24.105045605892137</v>
      </c>
      <c r="Q586" s="196">
        <f>P586+Q329/SUM(M329:V329)*PctPerUnit</f>
        <v>32.364303754651566</v>
      </c>
      <c r="R586" s="196">
        <f>Q586+R329/SUM(M329:V329)*PctPerUnit</f>
        <v>41.88905673804062</v>
      </c>
      <c r="S586" s="196">
        <f>R586+S329/SUM(M329:V329)*PctPerUnit</f>
        <v>53.315695026218776</v>
      </c>
      <c r="T586" s="196">
        <f>S586+T329/SUM(M329:V329)*PctPerUnit</f>
        <v>65.0706681312371</v>
      </c>
      <c r="U586" s="196">
        <f>T586+U329/SUM(M329:V329)*PctPerUnit</f>
        <v>78.18234095029224</v>
      </c>
      <c r="V586" s="196">
        <f>U586+V329/SUM(M329:V329)*PctPerUnit</f>
        <v>100.0</v>
      </c>
      <c r="W586" s="201" t="str">
        <f>IF(X$5=K$5,SUM(Y586:AI586)-SUM(L586:V586),"")</f>
        <v/>
      </c>
      <c r="X586" s="9" t="str">
        <f>LOWER(CtryCode)&amp;".distn."&amp;$A586&amp;IF($B586="","","."&amp;$B586)&amp;IF($C586="","",".dec."&amp;$C586)&amp;"."&amp;X$5</f>
        <v>egy.distn.lz0.dec.rur.2</v>
      </c>
      <c r="Z586" s="196">
        <f>Y586+Z329/SUM(Z329:AI329)*PctPerUnit</f>
        <v>4.5024223542920305</v>
      </c>
      <c r="AA586" s="196">
        <f>Z586+AA329/SUM(Z329:AI329)*PctPerUnit</f>
        <v>9.875128354292851</v>
      </c>
      <c r="AB586" s="196">
        <f>AA586+AB329/SUM(Z329:AI329)*PctPerUnit</f>
        <v>16.793088673472802</v>
      </c>
      <c r="AC586" s="196">
        <f>AB586+AC329/SUM(Z329:AI329)*PctPerUnit</f>
        <v>24.105045605892137</v>
      </c>
      <c r="AD586" s="196">
        <f>AC586+AD329/SUM(Z329:AI329)*PctPerUnit</f>
        <v>32.364303754651566</v>
      </c>
      <c r="AE586" s="196">
        <f>AD586+AE329/SUM(Z329:AI329)*PctPerUnit</f>
        <v>41.88905673804062</v>
      </c>
      <c r="AF586" s="196">
        <f>AE586+AF329/SUM(Z329:AI329)*PctPerUnit</f>
        <v>53.315695026218776</v>
      </c>
      <c r="AG586" s="196">
        <f>AF586+AG329/SUM(Z329:AI329)*PctPerUnit</f>
        <v>65.0706681312371</v>
      </c>
      <c r="AH586" s="196">
        <f>AG586+AH329/SUM(Z329:AI329)*PctPerUnit</f>
        <v>78.18234095029224</v>
      </c>
      <c r="AI586" s="196">
        <f>AH586+AI329/SUM(Z329:AI329)*PctPerUnit</f>
        <v>100.0</v>
      </c>
    </row>
    <row r="587" hidden="1" outlineLevel="1">
      <c r="A587" s="44" t="inlineStr">
        <is>
          <t>lzx</t>
        </is>
      </c>
      <c r="B587" s="3" t="inlineStr"/>
      <c r="C587" s="3" t="inlineStr">
        <is>
          <t>rur</t>
        </is>
      </c>
      <c r="D587" s="3" t="n"/>
      <c r="E587" s="3" t="n"/>
      <c r="H587" s="3" t="inlineStr">
        <is>
          <t>Cumulative share of consumption after the price effects, rural</t>
        </is>
      </c>
      <c r="I587" s="3" t="inlineStr">
        <is>
          <t>%</t>
        </is>
      </c>
      <c r="J587" s="118" t="inlineStr">
        <is>
          <t>legacy D.III</t>
        </is>
      </c>
      <c r="K587" s="9" t="str">
        <f>LOWER(CtryCode)&amp;".distn."&amp;$A587&amp;IF($B587="","","."&amp;$B587)&amp;IF($C587="","",".dec."&amp;$C587)&amp;"."&amp;K$5</f>
        <v>egy.distn.lzx.dec.rur.1</v>
      </c>
      <c r="M587" s="196">
        <f>L587+M430/SUM(M430:V430)*PctPerUnit</f>
        <v>4.5024223542920305</v>
      </c>
      <c r="N587" s="196">
        <f>M587+N430/SUM(M430:V430)*PctPerUnit</f>
        <v>9.875128354292851</v>
      </c>
      <c r="O587" s="196">
        <f>N587+O430/SUM(M430:V430)*PctPerUnit</f>
        <v>16.793088673472802</v>
      </c>
      <c r="P587" s="196">
        <f>O587+P430/SUM(M430:V430)*PctPerUnit</f>
        <v>24.105045605892137</v>
      </c>
      <c r="Q587" s="196">
        <f>P587+Q430/SUM(M430:V430)*PctPerUnit</f>
        <v>32.364303754651566</v>
      </c>
      <c r="R587" s="196">
        <f>Q587+R430/SUM(M430:V430)*PctPerUnit</f>
        <v>41.88905673804062</v>
      </c>
      <c r="S587" s="196">
        <f>R587+S430/SUM(M430:V430)*PctPerUnit</f>
        <v>53.315695026218776</v>
      </c>
      <c r="T587" s="196">
        <f>S587+T430/SUM(M430:V430)*PctPerUnit</f>
        <v>65.0706681312371</v>
      </c>
      <c r="U587" s="196">
        <f>T587+U430/SUM(M430:V430)*PctPerUnit</f>
        <v>78.18234095029224</v>
      </c>
      <c r="V587" s="196">
        <f>U587+V430/SUM(M430:V430)*PctPerUnit</f>
        <v>100.0</v>
      </c>
      <c r="W587" s="201" t="str">
        <f>IF(X$5=K$5,SUM(Y587:AI587)-SUM(L587:V587),"")</f>
        <v/>
      </c>
      <c r="X587" s="9" t="str">
        <f>LOWER(CtryCode)&amp;".distn."&amp;$A587&amp;IF($B587="","","."&amp;$B587)&amp;IF($C587="","",".dec."&amp;$C587)&amp;"."&amp;X$5</f>
        <v>egy.distn.lzx.dec.rur.2</v>
      </c>
      <c r="Z587" s="196">
        <f>Y587+Z430/SUM(Z430:AI430)*PctPerUnit</f>
        <v>4.490918457984441</v>
      </c>
      <c r="AA587" s="196">
        <f>Z587+AA430/SUM(Z430:AI430)*PctPerUnit</f>
        <v>9.859316780085926</v>
      </c>
      <c r="AB587" s="196">
        <f>AA587+AB430/SUM(Z430:AI430)*PctPerUnit</f>
        <v>16.77872323415604</v>
      </c>
      <c r="AC587" s="196">
        <f>AB587+AC430/SUM(Z430:AI430)*PctPerUnit</f>
        <v>24.0894708113825</v>
      </c>
      <c r="AD587" s="196">
        <f>AC587+AD430/SUM(Z430:AI430)*PctPerUnit</f>
        <v>32.35239175974642</v>
      </c>
      <c r="AE587" s="196">
        <f>AD587+AE430/SUM(Z430:AI430)*PctPerUnit</f>
        <v>41.882726474050074</v>
      </c>
      <c r="AF587" s="196">
        <f>AE587+AF430/SUM(Z430:AI430)*PctPerUnit</f>
        <v>53.32111563911644</v>
      </c>
      <c r="AG587" s="196">
        <f>AF587+AG430/SUM(Z430:AI430)*PctPerUnit</f>
        <v>65.08031152667348</v>
      </c>
      <c r="AH587" s="196">
        <f>AG587+AH430/SUM(Z430:AI430)*PctPerUnit</f>
        <v>78.19162570681061</v>
      </c>
      <c r="AI587" s="196">
        <f>AH587+AI430/SUM(Z430:AI430)*PctPerUnit</f>
        <v>100.0</v>
      </c>
    </row>
    <row r="588" hidden="1" outlineLevel="1">
      <c r="A588" s="44" t="inlineStr">
        <is>
          <t>lzi</t>
        </is>
      </c>
      <c r="B588" s="3" t="inlineStr"/>
      <c r="C588" s="3" t="inlineStr">
        <is>
          <t>rur</t>
        </is>
      </c>
      <c r="D588" s="3" t="n"/>
      <c r="E588" s="3" t="n"/>
      <c r="H588" s="3" t="inlineStr">
        <is>
          <t>Cumulative share of consumption after recycling, rural</t>
        </is>
      </c>
      <c r="I588" s="3" t="inlineStr">
        <is>
          <t>%</t>
        </is>
      </c>
      <c r="J588" s="118" t="inlineStr">
        <is>
          <t>legacy D.III</t>
        </is>
      </c>
      <c r="K588" s="9" t="str">
        <f>LOWER(CtryCode)&amp;".distn."&amp;$A588&amp;IF($B588="","","."&amp;$B588)&amp;IF($C588="","",".dec."&amp;$C588)&amp;"."&amp;K$5</f>
        <v>egy.distn.lzi.dec.rur.1</v>
      </c>
      <c r="M588" s="196">
        <f>L588+M431/SUM(M431:V431)*PctPerUnit</f>
        <v>4.5024223542920305</v>
      </c>
      <c r="N588" s="196">
        <f>M588+N431/SUM(M431:V431)*PctPerUnit</f>
        <v>9.875128354292851</v>
      </c>
      <c r="O588" s="196">
        <f>N588+O431/SUM(M431:V431)*PctPerUnit</f>
        <v>16.793088673472802</v>
      </c>
      <c r="P588" s="196">
        <f>O588+P431/SUM(M431:V431)*PctPerUnit</f>
        <v>24.105045605892137</v>
      </c>
      <c r="Q588" s="196">
        <f>P588+Q431/SUM(M431:V431)*PctPerUnit</f>
        <v>32.364303754651566</v>
      </c>
      <c r="R588" s="196">
        <f>Q588+R431/SUM(M431:V431)*PctPerUnit</f>
        <v>41.88905673804062</v>
      </c>
      <c r="S588" s="196">
        <f>R588+S431/SUM(M431:V431)*PctPerUnit</f>
        <v>53.315695026218776</v>
      </c>
      <c r="T588" s="196">
        <f>S588+T431/SUM(M431:V431)*PctPerUnit</f>
        <v>65.0706681312371</v>
      </c>
      <c r="U588" s="196">
        <f>T588+U431/SUM(M431:V431)*PctPerUnit</f>
        <v>78.18234095029224</v>
      </c>
      <c r="V588" s="196">
        <f>U588+V431/SUM(M431:V431)*PctPerUnit</f>
        <v>100.0</v>
      </c>
      <c r="W588" s="201" t="str">
        <f>IF(X$5=K$5,SUM(Y588:AI588)-SUM(L588:V588),"")</f>
        <v/>
      </c>
      <c r="X588" s="9" t="str">
        <f>LOWER(CtryCode)&amp;".distn."&amp;$A588&amp;IF($B588="","","."&amp;$B588)&amp;IF($C588="","",".dec."&amp;$C588)&amp;"."&amp;X$5</f>
        <v>egy.distn.lzi.dec.rur.2</v>
      </c>
      <c r="Z588" s="196">
        <f>Y588+Z431/SUM(Z431:AI431)*PctPerUnit</f>
        <v>4.654077427381767</v>
      </c>
      <c r="AA588" s="196">
        <f>Z588+AA431/SUM(Z431:AI431)*PctPerUnit</f>
        <v>10.152816724563456</v>
      </c>
      <c r="AB588" s="196">
        <f>AA588+AB431/SUM(Z431:AI431)*PctPerUnit</f>
        <v>17.173572352325525</v>
      </c>
      <c r="AC588" s="196">
        <f>AB588+AC431/SUM(Z431:AI431)*PctPerUnit</f>
        <v>24.5225098859392</v>
      </c>
      <c r="AD588" s="196">
        <f>AC588+AD431/SUM(Z431:AI431)*PctPerUnit</f>
        <v>32.753858507443844</v>
      </c>
      <c r="AE588" s="196">
        <f>AD588+AE431/SUM(Z431:AI431)*PctPerUnit</f>
        <v>42.260360453082626</v>
      </c>
      <c r="AF588" s="196">
        <f>AE588+AF431/SUM(Z431:AI431)*PctPerUnit</f>
        <v>53.63269036512297</v>
      </c>
      <c r="AG588" s="196">
        <f>AF588+AG431/SUM(Z431:AI431)*PctPerUnit</f>
        <v>65.32934528221816</v>
      </c>
      <c r="AH588" s="196">
        <f>AG588+AH431/SUM(Z431:AI431)*PctPerUnit</f>
        <v>78.36191005833405</v>
      </c>
      <c r="AI588" s="196">
        <f>AH588+AI431/SUM(Z431:AI431)*PctPerUnit</f>
        <v>100.0</v>
      </c>
    </row>
    <row r="589" hidden="1" outlineLevel="1"/>
    <row r="590" hidden="1" outlineLevel="1">
      <c r="B590" s="31" t="inlineStr">
        <is>
          <t>Cumulative share of the compensation (legacy rows 3265-3271)</t>
        </is>
      </c>
    </row>
    <row r="591" hidden="1" outlineLevel="1">
      <c r="A591" s="44" t="inlineStr">
        <is>
          <t>ccomp</t>
        </is>
      </c>
      <c r="B591" s="3" t="inlineStr"/>
      <c r="C591" s="3" t="inlineStr">
        <is>
          <t>ove</t>
        </is>
      </c>
      <c r="D591" s="3" t="n"/>
      <c r="E591" s="3" t="n"/>
      <c r="H591" s="3" t="inlineStr">
        <is>
          <t>Cumulative compensation share, overall</t>
        </is>
      </c>
      <c r="I591" s="3" t="inlineStr">
        <is>
          <t>%</t>
        </is>
      </c>
      <c r="J591" s="118" t="inlineStr">
        <is>
          <t>legacy rows 3267-3271</t>
        </is>
      </c>
      <c r="K591" s="9" t="str">
        <f>LOWER(CtryCode)&amp;".distn."&amp;$A591&amp;IF($B591="","","."&amp;$B591)&amp;IF($C591="","",".dec."&amp;$C591)&amp;"."&amp;K$5</f>
        <v>egy.distn.ccomp.dec.ove.1</v>
      </c>
      <c r="M591" s="196">
        <f t="shared" ref="M591:V591" si="950">L591+M413</f>
        <v>0.0</v>
      </c>
      <c r="N591" s="196">
        <f t="shared" si="950"/>
        <v>0.0</v>
      </c>
      <c r="O591" s="196">
        <f t="shared" si="950"/>
        <v>0.0</v>
      </c>
      <c r="P591" s="196">
        <f t="shared" si="950"/>
        <v>0.0</v>
      </c>
      <c r="Q591" s="196">
        <f t="shared" si="950"/>
        <v>0.0</v>
      </c>
      <c r="R591" s="196">
        <f t="shared" si="950"/>
        <v>0.0</v>
      </c>
      <c r="S591" s="196">
        <f t="shared" si="950"/>
        <v>0.0</v>
      </c>
      <c r="T591" s="196">
        <f t="shared" si="950"/>
        <v>0.0</v>
      </c>
      <c r="U591" s="196">
        <f t="shared" si="950"/>
        <v>0.0</v>
      </c>
      <c r="V591" s="196">
        <f t="shared" si="950"/>
        <v>0.0</v>
      </c>
      <c r="W591" s="201" t="str">
        <f>IF(X$5=K$5,SUM(Y591:AI591)-SUM(L591:V591),"")</f>
        <v/>
      </c>
      <c r="X591" s="9" t="str">
        <f>LOWER(CtryCode)&amp;".distn."&amp;$A591&amp;IF($B591="","","."&amp;$B591)&amp;IF($C591="","",".dec."&amp;$C591)&amp;"."&amp;X$5</f>
        <v>egy.distn.ccomp.dec.ove.2</v>
      </c>
      <c r="Z591" s="196">
        <f t="shared" ref="Z591:AI591" si="951">Y591+Z413</f>
        <v>4.6061656611092445</v>
      </c>
      <c r="AA591" s="196">
        <f t="shared" si="951"/>
        <v>9.870262397079612</v>
      </c>
      <c r="AB591" s="196">
        <f t="shared" si="951"/>
        <v>17.20356491962081</v>
      </c>
      <c r="AC591" s="196">
        <f t="shared" si="951"/>
        <v>24.55109374171814</v>
      </c>
      <c r="AD591" s="196">
        <f t="shared" si="951"/>
        <v>32.35695700881081</v>
      </c>
      <c r="AE591" s="196">
        <f t="shared" si="951"/>
        <v>41.455753590421104</v>
      </c>
      <c r="AF591" s="196">
        <f t="shared" si="951"/>
        <v>52.307188105459986</v>
      </c>
      <c r="AG591" s="196">
        <f t="shared" si="951"/>
        <v>65.72988358169299</v>
      </c>
      <c r="AH591" s="196">
        <f t="shared" si="951"/>
        <v>79.91464330581213</v>
      </c>
      <c r="AI591" s="196">
        <f t="shared" si="951"/>
        <v>100.0</v>
      </c>
    </row>
    <row r="592" hidden="1" outlineLevel="1">
      <c r="A592" s="44" t="inlineStr">
        <is>
          <t>ccomp</t>
        </is>
      </c>
      <c r="B592" s="3" t="inlineStr"/>
      <c r="C592" s="3" t="inlineStr">
        <is>
          <t>urb</t>
        </is>
      </c>
      <c r="D592" s="3" t="n"/>
      <c r="E592" s="3" t="n"/>
      <c r="H592" s="3" t="inlineStr">
        <is>
          <t>Cumulative compensation share, urban</t>
        </is>
      </c>
      <c r="I592" s="3" t="inlineStr">
        <is>
          <t>%</t>
        </is>
      </c>
      <c r="J592" s="118" t="inlineStr">
        <is>
          <t>legacy rows 3267-3271</t>
        </is>
      </c>
      <c r="K592" s="9" t="str">
        <f>LOWER(CtryCode)&amp;".distn."&amp;$A592&amp;IF($B592="","","."&amp;$B592)&amp;IF($C592="","",".dec."&amp;$C592)&amp;"."&amp;K$5</f>
        <v>egy.distn.ccomp.dec.urb.1</v>
      </c>
      <c r="M592" s="196">
        <f t="shared" ref="M592:V592" si="952">L592+M415</f>
        <v>0.0</v>
      </c>
      <c r="N592" s="196">
        <f t="shared" si="952"/>
        <v>0.0</v>
      </c>
      <c r="O592" s="196">
        <f t="shared" si="952"/>
        <v>0.0</v>
      </c>
      <c r="P592" s="196">
        <f t="shared" si="952"/>
        <v>0.0</v>
      </c>
      <c r="Q592" s="196">
        <f t="shared" si="952"/>
        <v>0.0</v>
      </c>
      <c r="R592" s="196">
        <f t="shared" si="952"/>
        <v>0.0</v>
      </c>
      <c r="S592" s="196">
        <f t="shared" si="952"/>
        <v>0.0</v>
      </c>
      <c r="T592" s="196">
        <f t="shared" si="952"/>
        <v>0.0</v>
      </c>
      <c r="U592" s="196">
        <f t="shared" si="952"/>
        <v>0.0</v>
      </c>
      <c r="V592" s="196">
        <f t="shared" si="952"/>
        <v>0.0</v>
      </c>
      <c r="W592" s="201" t="str">
        <f>IF(X$5=K$5,SUM(Y592:AI592)-SUM(L592:V592),"")</f>
        <v/>
      </c>
      <c r="X592" s="9" t="str">
        <f>LOWER(CtryCode)&amp;".distn."&amp;$A592&amp;IF($B592="","","."&amp;$B592)&amp;IF($C592="","",".dec."&amp;$C592)&amp;"."&amp;X$5</f>
        <v>egy.distn.ccomp.dec.urb.2</v>
      </c>
      <c r="Z592" s="196">
        <f t="shared" ref="Z592:AI592" si="953">Y592+Z415</f>
        <v>4.4281661009389985</v>
      </c>
      <c r="AA592" s="196">
        <f t="shared" si="953"/>
        <v>9.748497142898739</v>
      </c>
      <c r="AB592" s="196">
        <f t="shared" si="953"/>
        <v>16.106703854866737</v>
      </c>
      <c r="AC592" s="196">
        <f t="shared" si="953"/>
        <v>22.80002315335797</v>
      </c>
      <c r="AD592" s="196">
        <f t="shared" si="953"/>
        <v>31.699643406307448</v>
      </c>
      <c r="AE592" s="196">
        <f t="shared" si="953"/>
        <v>40.35124256189293</v>
      </c>
      <c r="AF592" s="196">
        <f t="shared" si="953"/>
        <v>50.95776212637095</v>
      </c>
      <c r="AG592" s="196">
        <f t="shared" si="953"/>
        <v>62.6020607813646</v>
      </c>
      <c r="AH592" s="196">
        <f t="shared" si="953"/>
        <v>77.12516784810235</v>
      </c>
      <c r="AI592" s="196">
        <f t="shared" si="953"/>
        <v>100.0</v>
      </c>
    </row>
    <row r="593" hidden="1" outlineLevel="1">
      <c r="A593" s="44" t="inlineStr">
        <is>
          <t>ccomp</t>
        </is>
      </c>
      <c r="B593" s="3" t="inlineStr"/>
      <c r="C593" s="3" t="inlineStr">
        <is>
          <t>rur</t>
        </is>
      </c>
      <c r="D593" s="3" t="n"/>
      <c r="E593" s="3" t="n"/>
      <c r="H593" s="3" t="inlineStr">
        <is>
          <t>Cumulative compensation share, rural</t>
        </is>
      </c>
      <c r="I593" s="3" t="inlineStr">
        <is>
          <t>%</t>
        </is>
      </c>
      <c r="J593" s="118" t="inlineStr">
        <is>
          <t>legacy rows 3267-3271</t>
        </is>
      </c>
      <c r="K593" s="9" t="str">
        <f>LOWER(CtryCode)&amp;".distn."&amp;$A593&amp;IF($B593="","","."&amp;$B593)&amp;IF($C593="","",".dec."&amp;$C593)&amp;"."&amp;K$5</f>
        <v>egy.distn.ccomp.dec.rur.1</v>
      </c>
      <c r="M593" s="196">
        <f t="shared" ref="M593:V593" si="954">L593+M417</f>
        <v>0.0</v>
      </c>
      <c r="N593" s="196">
        <f t="shared" si="954"/>
        <v>0.0</v>
      </c>
      <c r="O593" s="196">
        <f t="shared" si="954"/>
        <v>0.0</v>
      </c>
      <c r="P593" s="196">
        <f t="shared" si="954"/>
        <v>0.0</v>
      </c>
      <c r="Q593" s="196">
        <f t="shared" si="954"/>
        <v>0.0</v>
      </c>
      <c r="R593" s="196">
        <f t="shared" si="954"/>
        <v>0.0</v>
      </c>
      <c r="S593" s="196">
        <f t="shared" si="954"/>
        <v>0.0</v>
      </c>
      <c r="T593" s="196">
        <f t="shared" si="954"/>
        <v>0.0</v>
      </c>
      <c r="U593" s="196">
        <f t="shared" si="954"/>
        <v>0.0</v>
      </c>
      <c r="V593" s="196">
        <f t="shared" si="954"/>
        <v>0.0</v>
      </c>
      <c r="W593" s="201" t="str">
        <f>IF(X$5=K$5,SUM(Y593:AI593)-SUM(L593:V593),"")</f>
        <v/>
      </c>
      <c r="X593" s="9" t="str">
        <f>LOWER(CtryCode)&amp;".distn."&amp;$A593&amp;IF($B593="","","."&amp;$B593)&amp;IF($C593="","",".dec."&amp;$C593)&amp;"."&amp;X$5</f>
        <v>egy.distn.ccomp.dec.rur.2</v>
      </c>
      <c r="Z593" s="196">
        <f t="shared" ref="Z593:AI593" si="955">Y593+Z417</f>
        <v>5.275304760454609</v>
      </c>
      <c r="AA593" s="196">
        <f t="shared" si="955"/>
        <v>10.93741952864941</v>
      </c>
      <c r="AB593" s="196">
        <f t="shared" si="955"/>
        <v>17.758222138505467</v>
      </c>
      <c r="AC593" s="196">
        <f t="shared" si="955"/>
        <v>25.151428877632267</v>
      </c>
      <c r="AD593" s="196">
        <f t="shared" si="955"/>
        <v>33.16460402147625</v>
      </c>
      <c r="AE593" s="196">
        <f t="shared" si="955"/>
        <v>42.31435174538811</v>
      </c>
      <c r="AF593" s="196">
        <f t="shared" si="955"/>
        <v>52.95151438452968</v>
      </c>
      <c r="AG593" s="196">
        <f t="shared" si="955"/>
        <v>64.42278236547781</v>
      </c>
      <c r="AH593" s="196">
        <f t="shared" si="955"/>
        <v>77.55855012615056</v>
      </c>
      <c r="AI593" s="196">
        <f t="shared" si="955"/>
        <v>100.00000000000001</v>
      </c>
    </row>
    <row r="594" hidden="1" outlineLevel="1"/>
    <row r="595" hidden="1" outlineLevel="1">
      <c r="B595" s="31" t="inlineStr">
        <is>
          <t>Horizontal distribution: total effect, recycling and net effect for the 25th and 75th percentile households of each decile (legacy D.IV rows 3188-3210, fixes D18, D19; the chosen statistic: sections 6, 8, 9)</t>
        </is>
      </c>
    </row>
    <row r="596" hidden="1" outlineLevel="1">
      <c r="A596" s="44" t="inlineStr">
        <is>
          <t>hrow</t>
        </is>
      </c>
      <c r="B596" s="3" t="inlineStr">
        <is>
          <t>p25</t>
        </is>
      </c>
      <c r="C596" s="3" t="inlineStr">
        <is>
          <t>ove</t>
        </is>
      </c>
      <c r="D596" s="3" t="n"/>
      <c r="E596" s="3" t="inlineStr">
        <is>
          <t>ove.p25</t>
        </is>
      </c>
      <c r="H596" s="3" t="inlineStr">
        <is>
          <t>HHSurvey row, overall, p25</t>
        </is>
      </c>
      <c r="I596" s="3" t="inlineStr">
        <is>
          <t>row</t>
        </is>
      </c>
      <c r="J596" s="118" t="inlineStr">
        <is>
          <t>HHSurvey</t>
        </is>
      </c>
      <c r="K596" s="9" t="str">
        <f>LOWER(CtryCode)&amp;".distn."&amp;$A596&amp;IF($B596="","","."&amp;$B596)&amp;IF($C596="","",".dec."&amp;$C596)&amp;"."&amp;K$5</f>
        <v>egy.distn.hrow.p25.dec.ove.1</v>
      </c>
      <c r="M596" s="39">
        <f t="shared" ref="M596:V596" si="956">MATCH(CtryCode&amp;".distn.bsh."&amp;M$10&amp;$E596&amp;M$11,DHHKey,0)</f>
        <v>23.0</v>
      </c>
      <c r="N596" s="39">
        <f t="shared" si="956"/>
        <v>24.0</v>
      </c>
      <c r="O596" s="39">
        <f t="shared" si="956"/>
        <v>25.0</v>
      </c>
      <c r="P596" s="39">
        <f t="shared" si="956"/>
        <v>26.0</v>
      </c>
      <c r="Q596" s="39">
        <f t="shared" si="956"/>
        <v>27.0</v>
      </c>
      <c r="R596" s="39">
        <f t="shared" si="956"/>
        <v>28.0</v>
      </c>
      <c r="S596" s="39">
        <f t="shared" si="956"/>
        <v>29.0</v>
      </c>
      <c r="T596" s="39">
        <f t="shared" si="956"/>
        <v>30.0</v>
      </c>
      <c r="U596" s="39">
        <f t="shared" si="956"/>
        <v>31.0</v>
      </c>
      <c r="V596" s="39">
        <f t="shared" si="956"/>
        <v>32.0</v>
      </c>
      <c r="W596" s="201" t="str">
        <f>IF(X$5=K$5,SUM(Y596:AI596)-SUM(L596:V596),"")</f>
        <v/>
      </c>
      <c r="X596" s="9" t="str">
        <f>LOWER(CtryCode)&amp;".distn."&amp;$A596&amp;IF($B596="","","."&amp;$B596)&amp;IF($C596="","",".dec."&amp;$C596)&amp;"."&amp;X$5</f>
        <v>egy.distn.hrow.p25.dec.ove.2</v>
      </c>
      <c r="Z596" s="39">
        <f t="shared" ref="Z596:AI596" si="957">MATCH(CtryCode&amp;".distn.bsh."&amp;Z$10&amp;$E596&amp;Z$11,DHHKey,0)</f>
        <v>23.0</v>
      </c>
      <c r="AA596" s="39">
        <f t="shared" si="957"/>
        <v>24.0</v>
      </c>
      <c r="AB596" s="39">
        <f t="shared" si="957"/>
        <v>25.0</v>
      </c>
      <c r="AC596" s="39">
        <f t="shared" si="957"/>
        <v>26.0</v>
      </c>
      <c r="AD596" s="39">
        <f t="shared" si="957"/>
        <v>27.0</v>
      </c>
      <c r="AE596" s="39">
        <f t="shared" si="957"/>
        <v>28.0</v>
      </c>
      <c r="AF596" s="39">
        <f t="shared" si="957"/>
        <v>29.0</v>
      </c>
      <c r="AG596" s="39">
        <f t="shared" si="957"/>
        <v>30.0</v>
      </c>
      <c r="AH596" s="39">
        <f t="shared" si="957"/>
        <v>31.0</v>
      </c>
      <c r="AI596" s="39">
        <f t="shared" si="957"/>
        <v>32.0</v>
      </c>
    </row>
    <row r="597" hidden="1" outlineLevel="1">
      <c r="A597" s="44" t="inlineStr">
        <is>
          <t>htef</t>
        </is>
      </c>
      <c r="B597" s="3" t="inlineStr">
        <is>
          <t>p25</t>
        </is>
      </c>
      <c r="C597" s="3" t="inlineStr">
        <is>
          <t>ove</t>
        </is>
      </c>
      <c r="D597" s="3" t="n"/>
      <c r="E597" s="3" t="n"/>
      <c r="H597" s="3" t="inlineStr">
        <is>
          <t>Total effect, overall, p25</t>
        </is>
      </c>
      <c r="I597" s="3" t="inlineStr">
        <is>
          <t>% consumption</t>
        </is>
      </c>
      <c r="J597" s="118" t="inlineStr">
        <is>
          <t>price factors x the budget shares of the percentile x loss scale</t>
        </is>
      </c>
      <c r="K597" s="9" t="str">
        <f>LOWER(CtryCode)&amp;".distn."&amp;$A597&amp;IF($B597="","","."&amp;$B597)&amp;IF($C597="","",".dec."&amp;$C597)&amp;"."&amp;K$5</f>
        <v>egy.distn.htef.p25.dec.ove.1</v>
      </c>
      <c r="M597" s="196">
        <f t="shared" ref="M597:V597" si="958">-SUMPRODUCT(M157:M178,SUMIF(DHHVar,$D$185:$D$206,INDEX(DHHVal,M596,0)))*M$271</f>
        <v>-0.0</v>
      </c>
      <c r="N597" s="196">
        <f t="shared" si="958"/>
        <v>-0.0</v>
      </c>
      <c r="O597" s="196">
        <f t="shared" si="958"/>
        <v>-0.0</v>
      </c>
      <c r="P597" s="196">
        <f t="shared" si="958"/>
        <v>-0.0</v>
      </c>
      <c r="Q597" s="196">
        <f t="shared" si="958"/>
        <v>-0.0</v>
      </c>
      <c r="R597" s="196">
        <f t="shared" si="958"/>
        <v>-0.0</v>
      </c>
      <c r="S597" s="196">
        <f t="shared" si="958"/>
        <v>-0.0</v>
      </c>
      <c r="T597" s="196">
        <f t="shared" si="958"/>
        <v>-0.0</v>
      </c>
      <c r="U597" s="196">
        <f t="shared" si="958"/>
        <v>-0.0</v>
      </c>
      <c r="V597" s="196">
        <f t="shared" si="958"/>
        <v>-0.0</v>
      </c>
      <c r="W597" s="201" t="str">
        <f>IF(X$5=K$5,SUM(Y597:AI597)-SUM(L597:V597),"")</f>
        <v/>
      </c>
      <c r="X597" s="9" t="str">
        <f>LOWER(CtryCode)&amp;".distn."&amp;$A597&amp;IF($B597="","","."&amp;$B597)&amp;IF($C597="","",".dec."&amp;$C597)&amp;"."&amp;X$5</f>
        <v>egy.distn.htef.p25.dec.ove.2</v>
      </c>
      <c r="Z597" s="196">
        <f t="shared" ref="Z597:AI597" si="959">-SUMPRODUCT(Z157:Z178,SUMIF(DHHVar,$D$185:$D$206,INDEX(DHHVal,Z596,0)))*Z$271</f>
        <v>-0.9644643716125897</v>
      </c>
      <c r="AA597" s="196">
        <f t="shared" si="959"/>
        <v>-0.8946156045049696</v>
      </c>
      <c r="AB597" s="196">
        <f t="shared" si="959"/>
        <v>-0.8028664039340686</v>
      </c>
      <c r="AC597" s="196">
        <f t="shared" si="959"/>
        <v>-0.7255671118110629</v>
      </c>
      <c r="AD597" s="196">
        <f t="shared" si="959"/>
        <v>-0.4750996398708623</v>
      </c>
      <c r="AE597" s="196">
        <f t="shared" si="959"/>
        <v>-0.4550764648981457</v>
      </c>
      <c r="AF597" s="196">
        <f t="shared" si="959"/>
        <v>-0.4638900594860091</v>
      </c>
      <c r="AG597" s="196">
        <f t="shared" si="959"/>
        <v>-0.44700431274048</v>
      </c>
      <c r="AH597" s="196">
        <f t="shared" si="959"/>
        <v>-0.46234979613618854</v>
      </c>
      <c r="AI597" s="196">
        <f t="shared" si="959"/>
        <v>-0.4558038391012691</v>
      </c>
    </row>
    <row r="598" hidden="1" outlineLevel="1">
      <c r="A598" s="44" t="inlineStr">
        <is>
          <t>hcpc</t>
        </is>
      </c>
      <c r="B598" s="3" t="inlineStr">
        <is>
          <t>p25</t>
        </is>
      </c>
      <c r="C598" s="3" t="inlineStr">
        <is>
          <t>ove</t>
        </is>
      </c>
      <c r="D598" s="3" t="n"/>
      <c r="E598" s="3" t="n"/>
      <c r="H598" s="3" t="inlineStr">
        <is>
          <t>Consumption per capita, overall, p25</t>
        </is>
      </c>
      <c r="I598" s="3" t="inlineStr">
        <is>
          <t>LCU</t>
        </is>
      </c>
      <c r="J598" s="118" t="inlineStr">
        <is>
          <t>HHSurvey cons_pc_acrent x adjustment</t>
        </is>
      </c>
      <c r="K598" s="9" t="str">
        <f>LOWER(CtryCode)&amp;".distn."&amp;$A598&amp;IF($B598="","","."&amp;$B598)&amp;IF($C598="","",".dec."&amp;$C598)&amp;"."&amp;K$5</f>
        <v>egy.distn.hcpc.p25.dec.ove.1</v>
      </c>
      <c r="M598" s="109">
        <f t="shared" ref="M598:V598" si="960">INDEX(DHHVal,M596,MATCH("cons_pc_acrent",DHHVar,0))*M$320</f>
        <v>27745.81485603166</v>
      </c>
      <c r="N598" s="109">
        <f t="shared" si="960"/>
        <v>37866.56929883164</v>
      </c>
      <c r="O598" s="109">
        <f t="shared" si="960"/>
        <v>44209.667383107415</v>
      </c>
      <c r="P598" s="109">
        <f t="shared" si="960"/>
        <v>47940.550529035005</v>
      </c>
      <c r="Q598" s="109">
        <f t="shared" si="960"/>
        <v>60636.24048324455</v>
      </c>
      <c r="R598" s="109">
        <f t="shared" si="960"/>
        <v>65940.3912397689</v>
      </c>
      <c r="S598" s="109">
        <f t="shared" si="960"/>
        <v>73866.30538494981</v>
      </c>
      <c r="T598" s="109">
        <f t="shared" si="960"/>
        <v>84412.58783703463</v>
      </c>
      <c r="U598" s="109">
        <f t="shared" si="960"/>
        <v>88085.61518489508</v>
      </c>
      <c r="V598" s="109">
        <f t="shared" si="960"/>
        <v>125420.70776786805</v>
      </c>
      <c r="W598" s="201" t="str">
        <f>IF(X$5=K$5,SUM(Y598:AI598)-SUM(L598:V598),"")</f>
        <v/>
      </c>
      <c r="X598" s="9" t="str">
        <f>LOWER(CtryCode)&amp;".distn."&amp;$A598&amp;IF($B598="","","."&amp;$B598)&amp;IF($C598="","",".dec."&amp;$C598)&amp;"."&amp;X$5</f>
        <v>egy.distn.hcpc.p25.dec.ove.2</v>
      </c>
      <c r="Z598" s="109">
        <f t="shared" ref="Z598:AI598" si="961">INDEX(DHHVal,Z596,MATCH("cons_pc_acrent",DHHVar,0))*Z$320</f>
        <v>27745.81485603166</v>
      </c>
      <c r="AA598" s="109">
        <f t="shared" si="961"/>
        <v>37866.56929883164</v>
      </c>
      <c r="AB598" s="109">
        <f t="shared" si="961"/>
        <v>44209.667383107415</v>
      </c>
      <c r="AC598" s="109">
        <f t="shared" si="961"/>
        <v>47940.550529035005</v>
      </c>
      <c r="AD598" s="109">
        <f t="shared" si="961"/>
        <v>60636.24048324455</v>
      </c>
      <c r="AE598" s="109">
        <f t="shared" si="961"/>
        <v>65940.3912397689</v>
      </c>
      <c r="AF598" s="109">
        <f t="shared" si="961"/>
        <v>73866.30538494981</v>
      </c>
      <c r="AG598" s="109">
        <f t="shared" si="961"/>
        <v>84412.58783703463</v>
      </c>
      <c r="AH598" s="109">
        <f t="shared" si="961"/>
        <v>88085.61518489508</v>
      </c>
      <c r="AI598" s="109">
        <f t="shared" si="961"/>
        <v>125420.70776786805</v>
      </c>
    </row>
    <row r="599" hidden="1" outlineLevel="1">
      <c r="A599" s="44" t="inlineStr">
        <is>
          <t>hrec</t>
        </is>
      </c>
      <c r="B599" s="3" t="inlineStr">
        <is>
          <t>p25</t>
        </is>
      </c>
      <c r="C599" s="3" t="inlineStr">
        <is>
          <t>ove</t>
        </is>
      </c>
      <c r="D599" s="3" t="n"/>
      <c r="E599" s="3" t="n"/>
      <c r="H599" s="3" t="inlineStr">
        <is>
          <t>Gain from recycling, overall, p25</t>
        </is>
      </c>
      <c r="I599" s="3" t="inlineStr">
        <is>
          <t>% consumption</t>
        </is>
      </c>
      <c r="J599" s="118" t="inlineStr">
        <is>
          <t>recycling per capita / consumption of the percentile</t>
        </is>
      </c>
      <c r="K599" s="9" t="str">
        <f>LOWER(CtryCode)&amp;".distn."&amp;$A599&amp;IF($B599="","","."&amp;$B599)&amp;IF($C599="","",".dec."&amp;$C599)&amp;"."&amp;K$5</f>
        <v>egy.distn.hrec.p25.dec.ove.1</v>
      </c>
      <c r="M599" s="196">
        <f t="shared" ref="M599:V599" si="962">(M355+M380+M387+M370)/M598*PctPerUnit</f>
        <v>0.0</v>
      </c>
      <c r="N599" s="196">
        <f t="shared" si="962"/>
        <v>0.0</v>
      </c>
      <c r="O599" s="196">
        <f t="shared" si="962"/>
        <v>0.0</v>
      </c>
      <c r="P599" s="196">
        <f t="shared" si="962"/>
        <v>0.0</v>
      </c>
      <c r="Q599" s="196">
        <f t="shared" si="962"/>
        <v>0.0</v>
      </c>
      <c r="R599" s="196">
        <f t="shared" si="962"/>
        <v>0.0</v>
      </c>
      <c r="S599" s="196">
        <f t="shared" si="962"/>
        <v>0.0</v>
      </c>
      <c r="T599" s="196">
        <f t="shared" si="962"/>
        <v>0.0</v>
      </c>
      <c r="U599" s="196">
        <f t="shared" si="962"/>
        <v>0.0</v>
      </c>
      <c r="V599" s="196">
        <f t="shared" si="962"/>
        <v>0.0</v>
      </c>
      <c r="W599" s="201" t="str">
        <f>IF(X$5=K$5,SUM(Y599:AI599)-SUM(L599:V599),"")</f>
        <v/>
      </c>
      <c r="X599" s="9" t="str">
        <f>LOWER(CtryCode)&amp;".distn."&amp;$A599&amp;IF($B599="","","."&amp;$B599)&amp;IF($C599="","",".dec."&amp;$C599)&amp;"."&amp;X$5</f>
        <v>egy.distn.hrec.p25.dec.ove.2</v>
      </c>
      <c r="Z599" s="196">
        <f t="shared" ref="Z599:AI599" si="963">(Z355+Z380+Z387+Z370)/Z598*PctPerUnit</f>
        <v>4.74963901932544</v>
      </c>
      <c r="AA599" s="196">
        <f t="shared" si="963"/>
        <v>3.0931524027269215</v>
      </c>
      <c r="AB599" s="196">
        <f t="shared" si="963"/>
        <v>2.0126988480601677</v>
      </c>
      <c r="AC599" s="196">
        <f t="shared" si="963"/>
        <v>1.7499199660698974</v>
      </c>
      <c r="AD599" s="196">
        <f t="shared" si="963"/>
        <v>1.0177046442818913</v>
      </c>
      <c r="AE599" s="196">
        <f t="shared" si="963"/>
        <v>0.5589510090265424</v>
      </c>
      <c r="AF599" s="196">
        <f t="shared" si="963"/>
        <v>0.40204854455430816</v>
      </c>
      <c r="AG599" s="196">
        <f t="shared" si="963"/>
        <v>0.30134452186936667</v>
      </c>
      <c r="AH599" s="196">
        <f t="shared" si="963"/>
        <v>0.4266469106530007</v>
      </c>
      <c r="AI599" s="196">
        <f t="shared" si="963"/>
        <v>0.15600434604551616</v>
      </c>
    </row>
    <row r="600" hidden="1" outlineLevel="1">
      <c r="A600" s="44" t="inlineStr">
        <is>
          <t>hnet</t>
        </is>
      </c>
      <c r="B600" s="3" t="inlineStr">
        <is>
          <t>p25</t>
        </is>
      </c>
      <c r="C600" s="3" t="inlineStr">
        <is>
          <t>ove</t>
        </is>
      </c>
      <c r="D600" s="3" t="n"/>
      <c r="E600" s="3" t="n"/>
      <c r="H600" s="3" t="inlineStr">
        <is>
          <t>Net effect, overall, p25</t>
        </is>
      </c>
      <c r="I600" s="3" t="inlineStr">
        <is>
          <t>% consumption</t>
        </is>
      </c>
      <c r="J600" s="118" t="inlineStr">
        <is>
          <t>total effect + recycling</t>
        </is>
      </c>
      <c r="K600" s="9" t="str">
        <f>LOWER(CtryCode)&amp;".distn."&amp;$A600&amp;IF($B600="","","."&amp;$B600)&amp;IF($C600="","",".dec."&amp;$C600)&amp;"."&amp;K$5</f>
        <v>egy.distn.hnet.p25.dec.ove.1</v>
      </c>
      <c r="M600" s="196">
        <f t="shared" ref="M600:V600" si="964">M597+M599</f>
        <v>0.0</v>
      </c>
      <c r="N600" s="196">
        <f t="shared" si="964"/>
        <v>0.0</v>
      </c>
      <c r="O600" s="196">
        <f t="shared" si="964"/>
        <v>0.0</v>
      </c>
      <c r="P600" s="196">
        <f t="shared" si="964"/>
        <v>0.0</v>
      </c>
      <c r="Q600" s="196">
        <f t="shared" si="964"/>
        <v>0.0</v>
      </c>
      <c r="R600" s="196">
        <f t="shared" si="964"/>
        <v>0.0</v>
      </c>
      <c r="S600" s="196">
        <f t="shared" si="964"/>
        <v>0.0</v>
      </c>
      <c r="T600" s="196">
        <f t="shared" si="964"/>
        <v>0.0</v>
      </c>
      <c r="U600" s="196">
        <f t="shared" si="964"/>
        <v>0.0</v>
      </c>
      <c r="V600" s="196">
        <f t="shared" si="964"/>
        <v>0.0</v>
      </c>
      <c r="W600" s="201" t="str">
        <f>IF(X$5=K$5,SUM(Y600:AI600)-SUM(L600:V600),"")</f>
        <v/>
      </c>
      <c r="X600" s="9" t="str">
        <f>LOWER(CtryCode)&amp;".distn."&amp;$A600&amp;IF($B600="","","."&amp;$B600)&amp;IF($C600="","",".dec."&amp;$C600)&amp;"."&amp;X$5</f>
        <v>egy.distn.hnet.p25.dec.ove.2</v>
      </c>
      <c r="Z600" s="196">
        <f t="shared" ref="Z600:AI600" si="965">Z597+Z599</f>
        <v>3.7851746477128505</v>
      </c>
      <c r="AA600" s="196">
        <f t="shared" si="965"/>
        <v>2.198536798221952</v>
      </c>
      <c r="AB600" s="196">
        <f t="shared" si="965"/>
        <v>1.209832444126099</v>
      </c>
      <c r="AC600" s="196">
        <f t="shared" si="965"/>
        <v>1.0243528542588345</v>
      </c>
      <c r="AD600" s="196">
        <f t="shared" si="965"/>
        <v>0.5426050044110291</v>
      </c>
      <c r="AE600" s="196">
        <f t="shared" si="965"/>
        <v>0.1038745441283967</v>
      </c>
      <c r="AF600" s="196">
        <f t="shared" si="965"/>
        <v>-0.061841514931700925</v>
      </c>
      <c r="AG600" s="196">
        <f t="shared" si="965"/>
        <v>-0.14565979087111336</v>
      </c>
      <c r="AH600" s="196">
        <f t="shared" si="965"/>
        <v>-0.03570288548318784</v>
      </c>
      <c r="AI600" s="196">
        <f t="shared" si="965"/>
        <v>-0.29979949305575293</v>
      </c>
    </row>
    <row r="601" hidden="1" outlineLevel="1">
      <c r="A601" s="44" t="inlineStr">
        <is>
          <t>hrow</t>
        </is>
      </c>
      <c r="B601" s="3" t="inlineStr">
        <is>
          <t>p75</t>
        </is>
      </c>
      <c r="C601" s="3" t="inlineStr">
        <is>
          <t>ove</t>
        </is>
      </c>
      <c r="D601" s="3" t="n"/>
      <c r="E601" s="3" t="inlineStr">
        <is>
          <t>ove.p75</t>
        </is>
      </c>
      <c r="H601" s="3" t="inlineStr">
        <is>
          <t>HHSurvey row, overall, p75</t>
        </is>
      </c>
      <c r="I601" s="3" t="inlineStr">
        <is>
          <t>row</t>
        </is>
      </c>
      <c r="J601" s="118" t="inlineStr">
        <is>
          <t>HHSurvey</t>
        </is>
      </c>
      <c r="K601" s="9" t="str">
        <f>LOWER(CtryCode)&amp;".distn."&amp;$A601&amp;IF($B601="","","."&amp;$B601)&amp;IF($C601="","",".dec."&amp;$C601)&amp;"."&amp;K$5</f>
        <v>egy.distn.hrow.p75.dec.ove.1</v>
      </c>
      <c r="M601" s="39">
        <f t="shared" ref="M601:V601" si="966">MATCH(CtryCode&amp;".distn.bsh."&amp;M$10&amp;$E601&amp;M$11,DHHKey,0)</f>
        <v>34.0</v>
      </c>
      <c r="N601" s="39">
        <f t="shared" si="966"/>
        <v>35.0</v>
      </c>
      <c r="O601" s="39">
        <f t="shared" si="966"/>
        <v>36.0</v>
      </c>
      <c r="P601" s="39">
        <f t="shared" si="966"/>
        <v>37.0</v>
      </c>
      <c r="Q601" s="39">
        <f t="shared" si="966"/>
        <v>38.0</v>
      </c>
      <c r="R601" s="39">
        <f t="shared" si="966"/>
        <v>39.0</v>
      </c>
      <c r="S601" s="39">
        <f t="shared" si="966"/>
        <v>40.0</v>
      </c>
      <c r="T601" s="39">
        <f t="shared" si="966"/>
        <v>41.0</v>
      </c>
      <c r="U601" s="39">
        <f t="shared" si="966"/>
        <v>42.0</v>
      </c>
      <c r="V601" s="39">
        <f t="shared" si="966"/>
        <v>43.0</v>
      </c>
      <c r="W601" s="201" t="str">
        <f>IF(X$5=K$5,SUM(Y601:AI601)-SUM(L601:V601),"")</f>
        <v/>
      </c>
      <c r="X601" s="9" t="str">
        <f>LOWER(CtryCode)&amp;".distn."&amp;$A601&amp;IF($B601="","","."&amp;$B601)&amp;IF($C601="","",".dec."&amp;$C601)&amp;"."&amp;X$5</f>
        <v>egy.distn.hrow.p75.dec.ove.2</v>
      </c>
      <c r="Z601" s="39">
        <f t="shared" ref="Z601:AI601" si="967">MATCH(CtryCode&amp;".distn.bsh."&amp;Z$10&amp;$E601&amp;Z$11,DHHKey,0)</f>
        <v>34.0</v>
      </c>
      <c r="AA601" s="39">
        <f t="shared" si="967"/>
        <v>35.0</v>
      </c>
      <c r="AB601" s="39">
        <f t="shared" si="967"/>
        <v>36.0</v>
      </c>
      <c r="AC601" s="39">
        <f t="shared" si="967"/>
        <v>37.0</v>
      </c>
      <c r="AD601" s="39">
        <f t="shared" si="967"/>
        <v>38.0</v>
      </c>
      <c r="AE601" s="39">
        <f t="shared" si="967"/>
        <v>39.0</v>
      </c>
      <c r="AF601" s="39">
        <f t="shared" si="967"/>
        <v>40.0</v>
      </c>
      <c r="AG601" s="39">
        <f t="shared" si="967"/>
        <v>41.0</v>
      </c>
      <c r="AH601" s="39">
        <f t="shared" si="967"/>
        <v>42.0</v>
      </c>
      <c r="AI601" s="39">
        <f t="shared" si="967"/>
        <v>43.0</v>
      </c>
    </row>
    <row r="602" hidden="1" outlineLevel="1">
      <c r="A602" s="44" t="inlineStr">
        <is>
          <t>htef</t>
        </is>
      </c>
      <c r="B602" s="3" t="inlineStr">
        <is>
          <t>p75</t>
        </is>
      </c>
      <c r="C602" s="3" t="inlineStr">
        <is>
          <t>ove</t>
        </is>
      </c>
      <c r="D602" s="3" t="n"/>
      <c r="E602" s="3" t="n"/>
      <c r="H602" s="3" t="inlineStr">
        <is>
          <t>Total effect, overall, p75</t>
        </is>
      </c>
      <c r="I602" s="3" t="inlineStr">
        <is>
          <t>% consumption</t>
        </is>
      </c>
      <c r="J602" s="118" t="inlineStr">
        <is>
          <t>price factors x the budget shares of the percentile x loss scale</t>
        </is>
      </c>
      <c r="K602" s="9" t="str">
        <f>LOWER(CtryCode)&amp;".distn."&amp;$A602&amp;IF($B602="","","."&amp;$B602)&amp;IF($C602="","",".dec."&amp;$C602)&amp;"."&amp;K$5</f>
        <v>egy.distn.htef.p75.dec.ove.1</v>
      </c>
      <c r="M602" s="196">
        <f t="shared" ref="M602:V602" si="968">-SUMPRODUCT(M157:M178,SUMIF(DHHVar,$D$185:$D$206,INDEX(DHHVal,M601,0)))*M$271</f>
        <v>-0.0</v>
      </c>
      <c r="N602" s="196">
        <f t="shared" si="968"/>
        <v>-0.0</v>
      </c>
      <c r="O602" s="196">
        <f t="shared" si="968"/>
        <v>-0.0</v>
      </c>
      <c r="P602" s="196">
        <f t="shared" si="968"/>
        <v>-0.0</v>
      </c>
      <c r="Q602" s="196">
        <f t="shared" si="968"/>
        <v>-0.0</v>
      </c>
      <c r="R602" s="196">
        <f t="shared" si="968"/>
        <v>-0.0</v>
      </c>
      <c r="S602" s="196">
        <f t="shared" si="968"/>
        <v>-0.0</v>
      </c>
      <c r="T602" s="196">
        <f t="shared" si="968"/>
        <v>-0.0</v>
      </c>
      <c r="U602" s="196">
        <f t="shared" si="968"/>
        <v>-0.0</v>
      </c>
      <c r="V602" s="196">
        <f t="shared" si="968"/>
        <v>-0.0</v>
      </c>
      <c r="W602" s="201" t="str">
        <f>IF(X$5=K$5,SUM(Y602:AI602)-SUM(L602:V602),"")</f>
        <v/>
      </c>
      <c r="X602" s="9" t="str">
        <f>LOWER(CtryCode)&amp;".distn."&amp;$A602&amp;IF($B602="","","."&amp;$B602)&amp;IF($C602="","",".dec."&amp;$C602)&amp;"."&amp;X$5</f>
        <v>egy.distn.htef.p75.dec.ove.2</v>
      </c>
      <c r="Z602" s="196">
        <f t="shared" ref="Z602:AI602" si="969">-SUMPRODUCT(Z157:Z178,SUMIF(DHHVar,$D$185:$D$206,INDEX(DHHVal,Z601,0)))*Z$271</f>
        <v>-1.9429625423339418</v>
      </c>
      <c r="AA602" s="196">
        <f t="shared" si="969"/>
        <v>-1.7092602390881855</v>
      </c>
      <c r="AB602" s="196">
        <f t="shared" si="969"/>
        <v>-1.6095433286528338</v>
      </c>
      <c r="AC602" s="196">
        <f t="shared" si="969"/>
        <v>-1.456150656524516</v>
      </c>
      <c r="AD602" s="196">
        <f t="shared" si="969"/>
        <v>-1.728959579172809</v>
      </c>
      <c r="AE602" s="196">
        <f t="shared" si="969"/>
        <v>-1.7168542590012081</v>
      </c>
      <c r="AF602" s="196">
        <f t="shared" si="969"/>
        <v>-1.738720962358421</v>
      </c>
      <c r="AG602" s="196">
        <f t="shared" si="969"/>
        <v>-1.8292206458651132</v>
      </c>
      <c r="AH602" s="196">
        <f t="shared" si="969"/>
        <v>-1.7565695054911596</v>
      </c>
      <c r="AI602" s="196">
        <f t="shared" si="969"/>
        <v>-1.919372412168598</v>
      </c>
    </row>
    <row r="603" hidden="1" outlineLevel="1">
      <c r="A603" s="44" t="inlineStr">
        <is>
          <t>hcpc</t>
        </is>
      </c>
      <c r="B603" s="3" t="inlineStr">
        <is>
          <t>p75</t>
        </is>
      </c>
      <c r="C603" s="3" t="inlineStr">
        <is>
          <t>ove</t>
        </is>
      </c>
      <c r="D603" s="3" t="n"/>
      <c r="E603" s="3" t="n"/>
      <c r="H603" s="3" t="inlineStr">
        <is>
          <t>Consumption per capita, overall, p75</t>
        </is>
      </c>
      <c r="I603" s="3" t="inlineStr">
        <is>
          <t>LCU</t>
        </is>
      </c>
      <c r="J603" s="118" t="inlineStr">
        <is>
          <t>HHSurvey cons_pc_acrent x adjustment</t>
        </is>
      </c>
      <c r="K603" s="9" t="str">
        <f>LOWER(CtryCode)&amp;".distn."&amp;$A603&amp;IF($B603="","","."&amp;$B603)&amp;IF($C603="","",".dec."&amp;$C603)&amp;"."&amp;K$5</f>
        <v>egy.distn.hcpc.p75.dec.ove.1</v>
      </c>
      <c r="M603" s="109">
        <f t="shared" ref="M603:V603" si="970">INDEX(DHHVal,M601,MATCH("cons_pc_acrent",DHHVar,0))*M$320</f>
        <v>32135.33548609586</v>
      </c>
      <c r="N603" s="109">
        <f t="shared" si="970"/>
        <v>41082.38573860922</v>
      </c>
      <c r="O603" s="109">
        <f t="shared" si="970"/>
        <v>52015.162085076096</v>
      </c>
      <c r="P603" s="109">
        <f t="shared" si="970"/>
        <v>53544.690728818015</v>
      </c>
      <c r="Q603" s="109">
        <f t="shared" si="970"/>
        <v>61862.18998326369</v>
      </c>
      <c r="R603" s="109">
        <f t="shared" si="970"/>
        <v>69869.40863839445</v>
      </c>
      <c r="S603" s="109">
        <f t="shared" si="970"/>
        <v>79020.62585091217</v>
      </c>
      <c r="T603" s="109">
        <f t="shared" si="970"/>
        <v>97832.18494053686</v>
      </c>
      <c r="U603" s="109">
        <f t="shared" si="970"/>
        <v>107739.73643927132</v>
      </c>
      <c r="V603" s="109">
        <f t="shared" si="970"/>
        <v>172408.62751519313</v>
      </c>
      <c r="W603" s="201" t="str">
        <f>IF(X$5=K$5,SUM(Y603:AI603)-SUM(L603:V603),"")</f>
        <v/>
      </c>
      <c r="X603" s="9" t="str">
        <f>LOWER(CtryCode)&amp;".distn."&amp;$A603&amp;IF($B603="","","."&amp;$B603)&amp;IF($C603="","",".dec."&amp;$C603)&amp;"."&amp;X$5</f>
        <v>egy.distn.hcpc.p75.dec.ove.2</v>
      </c>
      <c r="Z603" s="109">
        <f t="shared" ref="Z603:AI603" si="971">INDEX(DHHVal,Z601,MATCH("cons_pc_acrent",DHHVar,0))*Z$320</f>
        <v>32135.33548609586</v>
      </c>
      <c r="AA603" s="109">
        <f t="shared" si="971"/>
        <v>41082.38573860922</v>
      </c>
      <c r="AB603" s="109">
        <f t="shared" si="971"/>
        <v>52015.162085076096</v>
      </c>
      <c r="AC603" s="109">
        <f t="shared" si="971"/>
        <v>53544.690728818015</v>
      </c>
      <c r="AD603" s="109">
        <f t="shared" si="971"/>
        <v>61862.18998326369</v>
      </c>
      <c r="AE603" s="109">
        <f t="shared" si="971"/>
        <v>69869.40863839445</v>
      </c>
      <c r="AF603" s="109">
        <f t="shared" si="971"/>
        <v>79020.62585091217</v>
      </c>
      <c r="AG603" s="109">
        <f t="shared" si="971"/>
        <v>97832.18494053686</v>
      </c>
      <c r="AH603" s="109">
        <f t="shared" si="971"/>
        <v>107739.73643927132</v>
      </c>
      <c r="AI603" s="109">
        <f t="shared" si="971"/>
        <v>172408.62751519313</v>
      </c>
    </row>
    <row r="604" hidden="1" outlineLevel="1">
      <c r="A604" s="44" t="inlineStr">
        <is>
          <t>hrec</t>
        </is>
      </c>
      <c r="B604" s="3" t="inlineStr">
        <is>
          <t>p75</t>
        </is>
      </c>
      <c r="C604" s="3" t="inlineStr">
        <is>
          <t>ove</t>
        </is>
      </c>
      <c r="D604" s="3" t="n"/>
      <c r="E604" s="3" t="n"/>
      <c r="H604" s="3" t="inlineStr">
        <is>
          <t>Gain from recycling, overall, p75</t>
        </is>
      </c>
      <c r="I604" s="3" t="inlineStr">
        <is>
          <t>% consumption</t>
        </is>
      </c>
      <c r="J604" s="118" t="inlineStr">
        <is>
          <t>recycling per capita / consumption of the percentile</t>
        </is>
      </c>
      <c r="K604" s="9" t="str">
        <f>LOWER(CtryCode)&amp;".distn."&amp;$A604&amp;IF($B604="","","."&amp;$B604)&amp;IF($C604="","",".dec."&amp;$C604)&amp;"."&amp;K$5</f>
        <v>egy.distn.hrec.p75.dec.ove.1</v>
      </c>
      <c r="M604" s="196">
        <f t="shared" ref="M604:V604" si="972">(M355+M380+M387+M370)/M603*PctPerUnit</f>
        <v>0.0</v>
      </c>
      <c r="N604" s="196">
        <f t="shared" si="972"/>
        <v>0.0</v>
      </c>
      <c r="O604" s="196">
        <f t="shared" si="972"/>
        <v>0.0</v>
      </c>
      <c r="P604" s="196">
        <f t="shared" si="972"/>
        <v>0.0</v>
      </c>
      <c r="Q604" s="196">
        <f t="shared" si="972"/>
        <v>0.0</v>
      </c>
      <c r="R604" s="196">
        <f t="shared" si="972"/>
        <v>0.0</v>
      </c>
      <c r="S604" s="196">
        <f t="shared" si="972"/>
        <v>0.0</v>
      </c>
      <c r="T604" s="196">
        <f t="shared" si="972"/>
        <v>0.0</v>
      </c>
      <c r="U604" s="196">
        <f t="shared" si="972"/>
        <v>0.0</v>
      </c>
      <c r="V604" s="196">
        <f t="shared" si="972"/>
        <v>0.0</v>
      </c>
      <c r="W604" s="201" t="str">
        <f>IF(X$5=K$5,SUM(Y604:AI604)-SUM(L604:V604),"")</f>
        <v/>
      </c>
      <c r="X604" s="9" t="str">
        <f>LOWER(CtryCode)&amp;".distn."&amp;$A604&amp;IF($B604="","","."&amp;$B604)&amp;IF($C604="","",".dec."&amp;$C604)&amp;"."&amp;X$5</f>
        <v>egy.distn.hrec.p75.dec.ove.2</v>
      </c>
      <c r="Z604" s="196">
        <f t="shared" ref="Z604:AI604" si="973">(Z355+Z380+Z387+Z370)/Z603*PctPerUnit</f>
        <v>4.100862893440351</v>
      </c>
      <c r="AA604" s="196">
        <f t="shared" si="973"/>
        <v>2.8510289191805764</v>
      </c>
      <c r="AB604" s="196">
        <f t="shared" si="973"/>
        <v>1.710669409614958</v>
      </c>
      <c r="AC604" s="196">
        <f t="shared" si="973"/>
        <v>1.5667683464644606</v>
      </c>
      <c r="AD604" s="196">
        <f t="shared" si="973"/>
        <v>0.9975363557010622</v>
      </c>
      <c r="AE604" s="196">
        <f t="shared" si="973"/>
        <v>0.5275191093977571</v>
      </c>
      <c r="AF604" s="196">
        <f t="shared" si="973"/>
        <v>0.3758239099200998</v>
      </c>
      <c r="AG604" s="196">
        <f t="shared" si="973"/>
        <v>0.26000922842485924</v>
      </c>
      <c r="AH604" s="196">
        <f t="shared" si="973"/>
        <v>0.3488170366259225</v>
      </c>
      <c r="AI604" s="196">
        <f t="shared" si="973"/>
        <v>0.11348721799996823</v>
      </c>
    </row>
    <row r="605" hidden="1" outlineLevel="1">
      <c r="A605" s="44" t="inlineStr">
        <is>
          <t>hnet</t>
        </is>
      </c>
      <c r="B605" s="3" t="inlineStr">
        <is>
          <t>p75</t>
        </is>
      </c>
      <c r="C605" s="3" t="inlineStr">
        <is>
          <t>ove</t>
        </is>
      </c>
      <c r="D605" s="3" t="n"/>
      <c r="E605" s="3" t="n"/>
      <c r="H605" s="3" t="inlineStr">
        <is>
          <t>Net effect, overall, p75</t>
        </is>
      </c>
      <c r="I605" s="3" t="inlineStr">
        <is>
          <t>% consumption</t>
        </is>
      </c>
      <c r="J605" s="118" t="inlineStr">
        <is>
          <t>total effect + recycling</t>
        </is>
      </c>
      <c r="K605" s="9" t="str">
        <f>LOWER(CtryCode)&amp;".distn."&amp;$A605&amp;IF($B605="","","."&amp;$B605)&amp;IF($C605="","",".dec."&amp;$C605)&amp;"."&amp;K$5</f>
        <v>egy.distn.hnet.p75.dec.ove.1</v>
      </c>
      <c r="M605" s="196">
        <f t="shared" ref="M605:V605" si="974">M602+M604</f>
        <v>0.0</v>
      </c>
      <c r="N605" s="196">
        <f t="shared" si="974"/>
        <v>0.0</v>
      </c>
      <c r="O605" s="196">
        <f t="shared" si="974"/>
        <v>0.0</v>
      </c>
      <c r="P605" s="196">
        <f t="shared" si="974"/>
        <v>0.0</v>
      </c>
      <c r="Q605" s="196">
        <f t="shared" si="974"/>
        <v>0.0</v>
      </c>
      <c r="R605" s="196">
        <f t="shared" si="974"/>
        <v>0.0</v>
      </c>
      <c r="S605" s="196">
        <f t="shared" si="974"/>
        <v>0.0</v>
      </c>
      <c r="T605" s="196">
        <f t="shared" si="974"/>
        <v>0.0</v>
      </c>
      <c r="U605" s="196">
        <f t="shared" si="974"/>
        <v>0.0</v>
      </c>
      <c r="V605" s="196">
        <f t="shared" si="974"/>
        <v>0.0</v>
      </c>
      <c r="W605" s="201" t="str">
        <f>IF(X$5=K$5,SUM(Y605:AI605)-SUM(L605:V605),"")</f>
        <v/>
      </c>
      <c r="X605" s="9" t="str">
        <f>LOWER(CtryCode)&amp;".distn."&amp;$A605&amp;IF($B605="","","."&amp;$B605)&amp;IF($C605="","",".dec."&amp;$C605)&amp;"."&amp;X$5</f>
        <v>egy.distn.hnet.p75.dec.ove.2</v>
      </c>
      <c r="Z605" s="196">
        <f t="shared" ref="Z605:AI605" si="975">Z602+Z604</f>
        <v>2.1579003511064094</v>
      </c>
      <c r="AA605" s="196">
        <f t="shared" si="975"/>
        <v>1.141768680092391</v>
      </c>
      <c r="AB605" s="196">
        <f t="shared" si="975"/>
        <v>0.10112608096212417</v>
      </c>
      <c r="AC605" s="196">
        <f t="shared" si="975"/>
        <v>0.1106176899399447</v>
      </c>
      <c r="AD605" s="196">
        <f t="shared" si="975"/>
        <v>-0.7314232234717467</v>
      </c>
      <c r="AE605" s="196">
        <f t="shared" si="975"/>
        <v>-1.189335149603451</v>
      </c>
      <c r="AF605" s="196">
        <f t="shared" si="975"/>
        <v>-1.3628970524383213</v>
      </c>
      <c r="AG605" s="196">
        <f t="shared" si="975"/>
        <v>-1.569211417440254</v>
      </c>
      <c r="AH605" s="196">
        <f t="shared" si="975"/>
        <v>-1.4077524688652372</v>
      </c>
      <c r="AI605" s="196">
        <f t="shared" si="975"/>
        <v>-1.8058851941686298</v>
      </c>
    </row>
    <row r="606" hidden="1" outlineLevel="1">
      <c r="A606" s="44" t="inlineStr">
        <is>
          <t>hrow</t>
        </is>
      </c>
      <c r="B606" s="3" t="inlineStr">
        <is>
          <t>p25</t>
        </is>
      </c>
      <c r="C606" s="3" t="inlineStr">
        <is>
          <t>urb</t>
        </is>
      </c>
      <c r="D606" s="3" t="n"/>
      <c r="E606" s="3" t="inlineStr">
        <is>
          <t>urb.p25</t>
        </is>
      </c>
      <c r="H606" s="3" t="inlineStr">
        <is>
          <t>HHSurvey row, urban, p25</t>
        </is>
      </c>
      <c r="I606" s="3" t="inlineStr">
        <is>
          <t>row</t>
        </is>
      </c>
      <c r="J606" s="118" t="inlineStr">
        <is>
          <t>HHSurvey</t>
        </is>
      </c>
      <c r="K606" s="9" t="str">
        <f>LOWER(CtryCode)&amp;".distn."&amp;$A606&amp;IF($B606="","","."&amp;$B606)&amp;IF($C606="","",".dec."&amp;$C606)&amp;"."&amp;K$5</f>
        <v>egy.distn.hrow.p25.dec.urb.1</v>
      </c>
      <c r="M606" s="39">
        <f t="shared" ref="M606:V606" si="976">MATCH(CtryCode&amp;".distn.bsh."&amp;M$10&amp;$E606&amp;M$11,DHHKey,0)</f>
        <v>111.0</v>
      </c>
      <c r="N606" s="39">
        <f t="shared" si="976"/>
        <v>112.0</v>
      </c>
      <c r="O606" s="39">
        <f t="shared" si="976"/>
        <v>113.0</v>
      </c>
      <c r="P606" s="39">
        <f t="shared" si="976"/>
        <v>114.0</v>
      </c>
      <c r="Q606" s="39">
        <f t="shared" si="976"/>
        <v>115.0</v>
      </c>
      <c r="R606" s="39">
        <f t="shared" si="976"/>
        <v>116.0</v>
      </c>
      <c r="S606" s="39">
        <f t="shared" si="976"/>
        <v>117.0</v>
      </c>
      <c r="T606" s="39">
        <f t="shared" si="976"/>
        <v>118.0</v>
      </c>
      <c r="U606" s="39">
        <f t="shared" si="976"/>
        <v>119.0</v>
      </c>
      <c r="V606" s="39">
        <f t="shared" si="976"/>
        <v>120.0</v>
      </c>
      <c r="W606" s="201" t="str">
        <f>IF(X$5=K$5,SUM(Y606:AI606)-SUM(L606:V606),"")</f>
        <v/>
      </c>
      <c r="X606" s="9" t="str">
        <f>LOWER(CtryCode)&amp;".distn."&amp;$A606&amp;IF($B606="","","."&amp;$B606)&amp;IF($C606="","",".dec."&amp;$C606)&amp;"."&amp;X$5</f>
        <v>egy.distn.hrow.p25.dec.urb.2</v>
      </c>
      <c r="Z606" s="39">
        <f t="shared" ref="Z606:AI606" si="977">MATCH(CtryCode&amp;".distn.bsh."&amp;Z$10&amp;$E606&amp;Z$11,DHHKey,0)</f>
        <v>111.0</v>
      </c>
      <c r="AA606" s="39">
        <f t="shared" si="977"/>
        <v>112.0</v>
      </c>
      <c r="AB606" s="39">
        <f t="shared" si="977"/>
        <v>113.0</v>
      </c>
      <c r="AC606" s="39">
        <f t="shared" si="977"/>
        <v>114.0</v>
      </c>
      <c r="AD606" s="39">
        <f t="shared" si="977"/>
        <v>115.0</v>
      </c>
      <c r="AE606" s="39">
        <f t="shared" si="977"/>
        <v>116.0</v>
      </c>
      <c r="AF606" s="39">
        <f t="shared" si="977"/>
        <v>117.0</v>
      </c>
      <c r="AG606" s="39">
        <f t="shared" si="977"/>
        <v>118.0</v>
      </c>
      <c r="AH606" s="39">
        <f t="shared" si="977"/>
        <v>119.0</v>
      </c>
      <c r="AI606" s="39">
        <f t="shared" si="977"/>
        <v>120.0</v>
      </c>
    </row>
    <row r="607" hidden="1" outlineLevel="1">
      <c r="A607" s="44" t="inlineStr">
        <is>
          <t>htef</t>
        </is>
      </c>
      <c r="B607" s="3" t="inlineStr">
        <is>
          <t>p25</t>
        </is>
      </c>
      <c r="C607" s="3" t="inlineStr">
        <is>
          <t>urb</t>
        </is>
      </c>
      <c r="D607" s="3" t="n"/>
      <c r="E607" s="3" t="n"/>
      <c r="H607" s="3" t="inlineStr">
        <is>
          <t>Total effect, urban, p25</t>
        </is>
      </c>
      <c r="I607" s="3" t="inlineStr">
        <is>
          <t>% consumption</t>
        </is>
      </c>
      <c r="J607" s="118" t="inlineStr">
        <is>
          <t>price factors x the budget shares of the percentile x loss scale</t>
        </is>
      </c>
      <c r="K607" s="9" t="str">
        <f>LOWER(CtryCode)&amp;".distn."&amp;$A607&amp;IF($B607="","","."&amp;$B607)&amp;IF($C607="","",".dec."&amp;$C607)&amp;"."&amp;K$5</f>
        <v>egy.distn.htef.p25.dec.urb.1</v>
      </c>
      <c r="M607" s="196">
        <f t="shared" ref="M607:V607" si="978">-SUMPRODUCT(M157:M178,SUMIF(DHHVar,$D$185:$D$206,INDEX(DHHVal,M606,0)))*M$271</f>
        <v>-0.0</v>
      </c>
      <c r="N607" s="196">
        <f t="shared" si="978"/>
        <v>-0.0</v>
      </c>
      <c r="O607" s="196">
        <f t="shared" si="978"/>
        <v>-0.0</v>
      </c>
      <c r="P607" s="196">
        <f t="shared" si="978"/>
        <v>-0.0</v>
      </c>
      <c r="Q607" s="196">
        <f t="shared" si="978"/>
        <v>-0.0</v>
      </c>
      <c r="R607" s="196">
        <f t="shared" si="978"/>
        <v>-0.0</v>
      </c>
      <c r="S607" s="196">
        <f t="shared" si="978"/>
        <v>-0.0</v>
      </c>
      <c r="T607" s="196">
        <f t="shared" si="978"/>
        <v>-0.0</v>
      </c>
      <c r="U607" s="196">
        <f t="shared" si="978"/>
        <v>-0.0</v>
      </c>
      <c r="V607" s="196">
        <f t="shared" si="978"/>
        <v>-0.0</v>
      </c>
      <c r="W607" s="201" t="str">
        <f>IF(X$5=K$5,SUM(Y607:AI607)-SUM(L607:V607),"")</f>
        <v/>
      </c>
      <c r="X607" s="9" t="str">
        <f>LOWER(CtryCode)&amp;".distn."&amp;$A607&amp;IF($B607="","","."&amp;$B607)&amp;IF($C607="","",".dec."&amp;$C607)&amp;"."&amp;X$5</f>
        <v>egy.distn.htef.p25.dec.urb.2</v>
      </c>
      <c r="Z607" s="196">
        <f t="shared" ref="Z607:AI607" si="979">-SUMPRODUCT(Z157:Z178,SUMIF(DHHVar,$D$185:$D$206,INDEX(DHHVal,Z606,0)))*Z$271</f>
        <v>-0.4390735588993775</v>
      </c>
      <c r="AA607" s="196">
        <f t="shared" si="979"/>
        <v>-0.41434744770256954</v>
      </c>
      <c r="AB607" s="196">
        <f t="shared" si="979"/>
        <v>-0.45553301121125006</v>
      </c>
      <c r="AC607" s="196">
        <f t="shared" si="979"/>
        <v>-0.425752893314538</v>
      </c>
      <c r="AD607" s="196">
        <f t="shared" si="979"/>
        <v>-0.43910334120493</v>
      </c>
      <c r="AE607" s="196">
        <f t="shared" si="979"/>
        <v>-0.4592853240890222</v>
      </c>
      <c r="AF607" s="196">
        <f t="shared" si="979"/>
        <v>-0.447657406869357</v>
      </c>
      <c r="AG607" s="196">
        <f t="shared" si="979"/>
        <v>-0.4073846679221195</v>
      </c>
      <c r="AH607" s="196">
        <f t="shared" si="979"/>
        <v>-0.46150227241266156</v>
      </c>
      <c r="AI607" s="196">
        <f t="shared" si="979"/>
        <v>-0.45393725004548563</v>
      </c>
    </row>
    <row r="608" hidden="1" outlineLevel="1">
      <c r="A608" s="44" t="inlineStr">
        <is>
          <t>hcpc</t>
        </is>
      </c>
      <c r="B608" s="3" t="inlineStr">
        <is>
          <t>p25</t>
        </is>
      </c>
      <c r="C608" s="3" t="inlineStr">
        <is>
          <t>urb</t>
        </is>
      </c>
      <c r="D608" s="3" t="n"/>
      <c r="E608" s="3" t="n"/>
      <c r="H608" s="3" t="inlineStr">
        <is>
          <t>Consumption per capita, urban, p25</t>
        </is>
      </c>
      <c r="I608" s="3" t="inlineStr">
        <is>
          <t>LCU</t>
        </is>
      </c>
      <c r="J608" s="118" t="inlineStr">
        <is>
          <t>HHSurvey cons_pc_acrent x adjustment</t>
        </is>
      </c>
      <c r="K608" s="9" t="str">
        <f>LOWER(CtryCode)&amp;".distn."&amp;$A608&amp;IF($B608="","","."&amp;$B608)&amp;IF($C608="","",".dec."&amp;$C608)&amp;"."&amp;K$5</f>
        <v>egy.distn.hcpc.p25.dec.urb.1</v>
      </c>
      <c r="M608" s="109">
        <f t="shared" ref="M608:V608" si="980">INDEX(DHHVal,M606,MATCH("cons_pc_acrent",DHHVar,0))*M$320</f>
        <v>29044.665804521213</v>
      </c>
      <c r="N608" s="109">
        <f t="shared" si="980"/>
        <v>42194.77181565794</v>
      </c>
      <c r="O608" s="109">
        <f t="shared" si="980"/>
        <v>50292.35212993791</v>
      </c>
      <c r="P608" s="109">
        <f t="shared" si="980"/>
        <v>60111.718104217034</v>
      </c>
      <c r="Q608" s="109">
        <f t="shared" si="980"/>
        <v>62150.51909556994</v>
      </c>
      <c r="R608" s="109">
        <f t="shared" si="980"/>
        <v>67969.30369261415</v>
      </c>
      <c r="S608" s="109">
        <f t="shared" si="980"/>
        <v>83734.24017013806</v>
      </c>
      <c r="T608" s="109">
        <f t="shared" si="980"/>
        <v>83699.45719805795</v>
      </c>
      <c r="U608" s="109">
        <f t="shared" si="980"/>
        <v>99552.14698778396</v>
      </c>
      <c r="V608" s="109">
        <f t="shared" si="980"/>
        <v>142458.12061804175</v>
      </c>
      <c r="W608" s="201" t="str">
        <f>IF(X$5=K$5,SUM(Y608:AI608)-SUM(L608:V608),"")</f>
        <v/>
      </c>
      <c r="X608" s="9" t="str">
        <f>LOWER(CtryCode)&amp;".distn."&amp;$A608&amp;IF($B608="","","."&amp;$B608)&amp;IF($C608="","",".dec."&amp;$C608)&amp;"."&amp;X$5</f>
        <v>egy.distn.hcpc.p25.dec.urb.2</v>
      </c>
      <c r="Z608" s="109">
        <f t="shared" ref="Z608:AI608" si="981">INDEX(DHHVal,Z606,MATCH("cons_pc_acrent",DHHVar,0))*Z$320</f>
        <v>29044.665804521213</v>
      </c>
      <c r="AA608" s="109">
        <f t="shared" si="981"/>
        <v>42194.77181565794</v>
      </c>
      <c r="AB608" s="109">
        <f t="shared" si="981"/>
        <v>50292.35212993791</v>
      </c>
      <c r="AC608" s="109">
        <f t="shared" si="981"/>
        <v>60111.718104217034</v>
      </c>
      <c r="AD608" s="109">
        <f t="shared" si="981"/>
        <v>62150.51909556994</v>
      </c>
      <c r="AE608" s="109">
        <f t="shared" si="981"/>
        <v>67969.30369261415</v>
      </c>
      <c r="AF608" s="109">
        <f t="shared" si="981"/>
        <v>83734.24017013806</v>
      </c>
      <c r="AG608" s="109">
        <f t="shared" si="981"/>
        <v>83699.45719805795</v>
      </c>
      <c r="AH608" s="109">
        <f t="shared" si="981"/>
        <v>99552.14698778396</v>
      </c>
      <c r="AI608" s="109">
        <f t="shared" si="981"/>
        <v>142458.12061804175</v>
      </c>
    </row>
    <row r="609" hidden="1" outlineLevel="1">
      <c r="A609" s="44" t="inlineStr">
        <is>
          <t>hrec</t>
        </is>
      </c>
      <c r="B609" s="3" t="inlineStr">
        <is>
          <t>p25</t>
        </is>
      </c>
      <c r="C609" s="3" t="inlineStr">
        <is>
          <t>urb</t>
        </is>
      </c>
      <c r="D609" s="3" t="n"/>
      <c r="E609" s="3" t="n"/>
      <c r="H609" s="3" t="inlineStr">
        <is>
          <t>Gain from recycling, urban, p25</t>
        </is>
      </c>
      <c r="I609" s="3" t="inlineStr">
        <is>
          <t>% consumption</t>
        </is>
      </c>
      <c r="J609" s="118" t="inlineStr">
        <is>
          <t>recycling per capita / consumption of the percentile</t>
        </is>
      </c>
      <c r="K609" s="9" t="str">
        <f>LOWER(CtryCode)&amp;".distn."&amp;$A609&amp;IF($B609="","","."&amp;$B609)&amp;IF($C609="","",".dec."&amp;$C609)&amp;"."&amp;K$5</f>
        <v>egy.distn.hrec.p25.dec.urb.1</v>
      </c>
      <c r="M609" s="196">
        <f t="shared" ref="M609:V609" si="982">(M355+M381+M387+M370)/M608*PctPerUnit</f>
        <v>0.0</v>
      </c>
      <c r="N609" s="196">
        <f t="shared" si="982"/>
        <v>0.0</v>
      </c>
      <c r="O609" s="196">
        <f t="shared" si="982"/>
        <v>0.0</v>
      </c>
      <c r="P609" s="196">
        <f t="shared" si="982"/>
        <v>0.0</v>
      </c>
      <c r="Q609" s="196">
        <f t="shared" si="982"/>
        <v>0.0</v>
      </c>
      <c r="R609" s="196">
        <f t="shared" si="982"/>
        <v>0.0</v>
      </c>
      <c r="S609" s="196">
        <f t="shared" si="982"/>
        <v>0.0</v>
      </c>
      <c r="T609" s="196">
        <f t="shared" si="982"/>
        <v>0.0</v>
      </c>
      <c r="U609" s="196">
        <f t="shared" si="982"/>
        <v>0.0</v>
      </c>
      <c r="V609" s="196">
        <f t="shared" si="982"/>
        <v>0.0</v>
      </c>
      <c r="W609" s="201" t="str">
        <f>IF(X$5=K$5,SUM(Y609:AI609)-SUM(L609:V609),"")</f>
        <v/>
      </c>
      <c r="X609" s="9" t="str">
        <f>LOWER(CtryCode)&amp;".distn."&amp;$A609&amp;IF($B609="","","."&amp;$B609)&amp;IF($C609="","",".dec."&amp;$C609)&amp;"."&amp;X$5</f>
        <v>egy.distn.hrec.p25.dec.urb.2</v>
      </c>
      <c r="Z609" s="196">
        <f t="shared" ref="Z609:AI609" si="983">(Z355+Z381+Z387+Z370)/Z608*PctPerUnit</f>
        <v>3.1109084275876615</v>
      </c>
      <c r="AA609" s="196">
        <f t="shared" si="983"/>
        <v>1.7061917696417284</v>
      </c>
      <c r="AB609" s="196">
        <f t="shared" si="983"/>
        <v>0.8203424283547534</v>
      </c>
      <c r="AC609" s="196">
        <f t="shared" si="983"/>
        <v>1.2442550338969123</v>
      </c>
      <c r="AD609" s="196">
        <f t="shared" si="983"/>
        <v>0.3810392435049406</v>
      </c>
      <c r="AE609" s="196">
        <f t="shared" si="983"/>
        <v>0.5716149272850263</v>
      </c>
      <c r="AF609" s="196">
        <f t="shared" si="983"/>
        <v>0.30324607663965364</v>
      </c>
      <c r="AG609" s="196">
        <f t="shared" si="983"/>
        <v>0.2337670535854566</v>
      </c>
      <c r="AH609" s="196">
        <f t="shared" si="983"/>
        <v>0.13916544257222405</v>
      </c>
      <c r="AI609" s="196">
        <f t="shared" si="983"/>
        <v>0.13734685963148996</v>
      </c>
    </row>
    <row r="610" hidden="1" outlineLevel="1">
      <c r="A610" s="44" t="inlineStr">
        <is>
          <t>hnet</t>
        </is>
      </c>
      <c r="B610" s="3" t="inlineStr">
        <is>
          <t>p25</t>
        </is>
      </c>
      <c r="C610" s="3" t="inlineStr">
        <is>
          <t>urb</t>
        </is>
      </c>
      <c r="D610" s="3" t="n"/>
      <c r="E610" s="3" t="n"/>
      <c r="H610" s="3" t="inlineStr">
        <is>
          <t>Net effect, urban, p25</t>
        </is>
      </c>
      <c r="I610" s="3" t="inlineStr">
        <is>
          <t>% consumption</t>
        </is>
      </c>
      <c r="J610" s="118" t="inlineStr">
        <is>
          <t>total effect + recycling</t>
        </is>
      </c>
      <c r="K610" s="9" t="str">
        <f>LOWER(CtryCode)&amp;".distn."&amp;$A610&amp;IF($B610="","","."&amp;$B610)&amp;IF($C610="","",".dec."&amp;$C610)&amp;"."&amp;K$5</f>
        <v>egy.distn.hnet.p25.dec.urb.1</v>
      </c>
      <c r="M610" s="196">
        <f t="shared" ref="M610:V610" si="984">M607+M609</f>
        <v>0.0</v>
      </c>
      <c r="N610" s="196">
        <f t="shared" si="984"/>
        <v>0.0</v>
      </c>
      <c r="O610" s="196">
        <f t="shared" si="984"/>
        <v>0.0</v>
      </c>
      <c r="P610" s="196">
        <f t="shared" si="984"/>
        <v>0.0</v>
      </c>
      <c r="Q610" s="196">
        <f t="shared" si="984"/>
        <v>0.0</v>
      </c>
      <c r="R610" s="196">
        <f t="shared" si="984"/>
        <v>0.0</v>
      </c>
      <c r="S610" s="196">
        <f t="shared" si="984"/>
        <v>0.0</v>
      </c>
      <c r="T610" s="196">
        <f t="shared" si="984"/>
        <v>0.0</v>
      </c>
      <c r="U610" s="196">
        <f t="shared" si="984"/>
        <v>0.0</v>
      </c>
      <c r="V610" s="196">
        <f t="shared" si="984"/>
        <v>0.0</v>
      </c>
      <c r="W610" s="201" t="str">
        <f>IF(X$5=K$5,SUM(Y610:AI610)-SUM(L610:V610),"")</f>
        <v/>
      </c>
      <c r="X610" s="9" t="str">
        <f>LOWER(CtryCode)&amp;".distn."&amp;$A610&amp;IF($B610="","","."&amp;$B610)&amp;IF($C610="","",".dec."&amp;$C610)&amp;"."&amp;X$5</f>
        <v>egy.distn.hnet.p25.dec.urb.2</v>
      </c>
      <c r="Z610" s="196">
        <f t="shared" ref="Z610:AI610" si="985">Z607+Z609</f>
        <v>2.671834868688284</v>
      </c>
      <c r="AA610" s="196">
        <f t="shared" si="985"/>
        <v>1.2918443219391589</v>
      </c>
      <c r="AB610" s="196">
        <f t="shared" si="985"/>
        <v>0.3648094171435033</v>
      </c>
      <c r="AC610" s="196">
        <f t="shared" si="985"/>
        <v>0.8185021405823742</v>
      </c>
      <c r="AD610" s="196">
        <f t="shared" si="985"/>
        <v>-0.05806409769998938</v>
      </c>
      <c r="AE610" s="196">
        <f t="shared" si="985"/>
        <v>0.1123296031960041</v>
      </c>
      <c r="AF610" s="196">
        <f t="shared" si="985"/>
        <v>-0.14441133022970337</v>
      </c>
      <c r="AG610" s="196">
        <f t="shared" si="985"/>
        <v>-0.17361761433666292</v>
      </c>
      <c r="AH610" s="196">
        <f t="shared" si="985"/>
        <v>-0.32233682984043754</v>
      </c>
      <c r="AI610" s="196">
        <f t="shared" si="985"/>
        <v>-0.31659039041399567</v>
      </c>
    </row>
    <row r="611" hidden="1" outlineLevel="1">
      <c r="A611" s="44" t="inlineStr">
        <is>
          <t>hrow</t>
        </is>
      </c>
      <c r="B611" s="3" t="inlineStr">
        <is>
          <t>p75</t>
        </is>
      </c>
      <c r="C611" s="3" t="inlineStr">
        <is>
          <t>urb</t>
        </is>
      </c>
      <c r="D611" s="3" t="n"/>
      <c r="E611" s="3" t="inlineStr">
        <is>
          <t>urb.p75</t>
        </is>
      </c>
      <c r="H611" s="3" t="inlineStr">
        <is>
          <t>HHSurvey row, urban, p75</t>
        </is>
      </c>
      <c r="I611" s="3" t="inlineStr">
        <is>
          <t>row</t>
        </is>
      </c>
      <c r="J611" s="118" t="inlineStr">
        <is>
          <t>HHSurvey</t>
        </is>
      </c>
      <c r="K611" s="9" t="str">
        <f>LOWER(CtryCode)&amp;".distn."&amp;$A611&amp;IF($B611="","","."&amp;$B611)&amp;IF($C611="","",".dec."&amp;$C611)&amp;"."&amp;K$5</f>
        <v>egy.distn.hrow.p75.dec.urb.1</v>
      </c>
      <c r="M611" s="39">
        <f t="shared" ref="M611:V611" si="986">MATCH(CtryCode&amp;".distn.bsh."&amp;M$10&amp;$E611&amp;M$11,DHHKey,0)</f>
        <v>122.0</v>
      </c>
      <c r="N611" s="39">
        <f t="shared" si="986"/>
        <v>123.0</v>
      </c>
      <c r="O611" s="39">
        <f t="shared" si="986"/>
        <v>124.0</v>
      </c>
      <c r="P611" s="39">
        <f t="shared" si="986"/>
        <v>125.0</v>
      </c>
      <c r="Q611" s="39">
        <f t="shared" si="986"/>
        <v>126.0</v>
      </c>
      <c r="R611" s="39">
        <f t="shared" si="986"/>
        <v>127.0</v>
      </c>
      <c r="S611" s="39">
        <f t="shared" si="986"/>
        <v>128.0</v>
      </c>
      <c r="T611" s="39">
        <f t="shared" si="986"/>
        <v>129.0</v>
      </c>
      <c r="U611" s="39">
        <f t="shared" si="986"/>
        <v>130.0</v>
      </c>
      <c r="V611" s="39">
        <f t="shared" si="986"/>
        <v>131.0</v>
      </c>
      <c r="W611" s="201" t="str">
        <f>IF(X$5=K$5,SUM(Y611:AI611)-SUM(L611:V611),"")</f>
        <v/>
      </c>
      <c r="X611" s="9" t="str">
        <f>LOWER(CtryCode)&amp;".distn."&amp;$A611&amp;IF($B611="","","."&amp;$B611)&amp;IF($C611="","",".dec."&amp;$C611)&amp;"."&amp;X$5</f>
        <v>egy.distn.hrow.p75.dec.urb.2</v>
      </c>
      <c r="Z611" s="39">
        <f t="shared" ref="Z611:AI611" si="987">MATCH(CtryCode&amp;".distn.bsh."&amp;Z$10&amp;$E611&amp;Z$11,DHHKey,0)</f>
        <v>122.0</v>
      </c>
      <c r="AA611" s="39">
        <f t="shared" si="987"/>
        <v>123.0</v>
      </c>
      <c r="AB611" s="39">
        <f t="shared" si="987"/>
        <v>124.0</v>
      </c>
      <c r="AC611" s="39">
        <f t="shared" si="987"/>
        <v>125.0</v>
      </c>
      <c r="AD611" s="39">
        <f t="shared" si="987"/>
        <v>126.0</v>
      </c>
      <c r="AE611" s="39">
        <f t="shared" si="987"/>
        <v>127.0</v>
      </c>
      <c r="AF611" s="39">
        <f t="shared" si="987"/>
        <v>128.0</v>
      </c>
      <c r="AG611" s="39">
        <f t="shared" si="987"/>
        <v>129.0</v>
      </c>
      <c r="AH611" s="39">
        <f t="shared" si="987"/>
        <v>130.0</v>
      </c>
      <c r="AI611" s="39">
        <f t="shared" si="987"/>
        <v>131.0</v>
      </c>
    </row>
    <row r="612" hidden="1" outlineLevel="1">
      <c r="A612" s="44" t="inlineStr">
        <is>
          <t>htef</t>
        </is>
      </c>
      <c r="B612" s="3" t="inlineStr">
        <is>
          <t>p75</t>
        </is>
      </c>
      <c r="C612" s="3" t="inlineStr">
        <is>
          <t>urb</t>
        </is>
      </c>
      <c r="D612" s="3" t="n"/>
      <c r="E612" s="3" t="n"/>
      <c r="H612" s="3" t="inlineStr">
        <is>
          <t>Total effect, urban, p75</t>
        </is>
      </c>
      <c r="I612" s="3" t="inlineStr">
        <is>
          <t>% consumption</t>
        </is>
      </c>
      <c r="J612" s="118" t="inlineStr">
        <is>
          <t>price factors x the budget shares of the percentile x loss scale</t>
        </is>
      </c>
      <c r="K612" s="9" t="str">
        <f>LOWER(CtryCode)&amp;".distn."&amp;$A612&amp;IF($B612="","","."&amp;$B612)&amp;IF($C612="","",".dec."&amp;$C612)&amp;"."&amp;K$5</f>
        <v>egy.distn.htef.p75.dec.urb.1</v>
      </c>
      <c r="M612" s="196">
        <f t="shared" ref="M612:V612" si="988">-SUMPRODUCT(M157:M178,SUMIF(DHHVar,$D$185:$D$206,INDEX(DHHVal,M611,0)))*M$271</f>
        <v>-0.0</v>
      </c>
      <c r="N612" s="196">
        <f t="shared" si="988"/>
        <v>-0.0</v>
      </c>
      <c r="O612" s="196">
        <f t="shared" si="988"/>
        <v>-0.0</v>
      </c>
      <c r="P612" s="196">
        <f t="shared" si="988"/>
        <v>-0.0</v>
      </c>
      <c r="Q612" s="196">
        <f t="shared" si="988"/>
        <v>-0.0</v>
      </c>
      <c r="R612" s="196">
        <f t="shared" si="988"/>
        <v>-0.0</v>
      </c>
      <c r="S612" s="196">
        <f t="shared" si="988"/>
        <v>-0.0</v>
      </c>
      <c r="T612" s="196">
        <f t="shared" si="988"/>
        <v>-0.0</v>
      </c>
      <c r="U612" s="196">
        <f t="shared" si="988"/>
        <v>-0.0</v>
      </c>
      <c r="V612" s="196">
        <f t="shared" si="988"/>
        <v>-0.0</v>
      </c>
      <c r="W612" s="201" t="str">
        <f>IF(X$5=K$5,SUM(Y612:AI612)-SUM(L612:V612),"")</f>
        <v/>
      </c>
      <c r="X612" s="9" t="str">
        <f>LOWER(CtryCode)&amp;".distn."&amp;$A612&amp;IF($B612="","","."&amp;$B612)&amp;IF($C612="","",".dec."&amp;$C612)&amp;"."&amp;X$5</f>
        <v>egy.distn.htef.p75.dec.urb.2</v>
      </c>
      <c r="Z612" s="196">
        <f t="shared" ref="Z612:AI612" si="989">-SUMPRODUCT(Z157:Z178,SUMIF(DHHVar,$D$185:$D$206,INDEX(DHHVal,Z611,0)))*Z$271</f>
        <v>-2.2466886651565288</v>
      </c>
      <c r="AA612" s="196">
        <f t="shared" si="989"/>
        <v>-2.083814044644411</v>
      </c>
      <c r="AB612" s="196">
        <f t="shared" si="989"/>
        <v>-1.94102925026674</v>
      </c>
      <c r="AC612" s="196">
        <f t="shared" si="989"/>
        <v>-1.886653393033956</v>
      </c>
      <c r="AD612" s="196">
        <f t="shared" si="989"/>
        <v>-1.919752726375497</v>
      </c>
      <c r="AE612" s="196">
        <f t="shared" si="989"/>
        <v>-1.7554888265948796</v>
      </c>
      <c r="AF612" s="196">
        <f t="shared" si="989"/>
        <v>-1.7930707783142397</v>
      </c>
      <c r="AG612" s="196">
        <f t="shared" si="989"/>
        <v>-1.7584228622363438</v>
      </c>
      <c r="AH612" s="196">
        <f t="shared" si="989"/>
        <v>-1.6892807927255893</v>
      </c>
      <c r="AI612" s="196">
        <f t="shared" si="989"/>
        <v>-1.7075852300809704</v>
      </c>
    </row>
    <row r="613" hidden="1" outlineLevel="1">
      <c r="A613" s="44" t="inlineStr">
        <is>
          <t>hcpc</t>
        </is>
      </c>
      <c r="B613" s="3" t="inlineStr">
        <is>
          <t>p75</t>
        </is>
      </c>
      <c r="C613" s="3" t="inlineStr">
        <is>
          <t>urb</t>
        </is>
      </c>
      <c r="D613" s="3" t="n"/>
      <c r="E613" s="3" t="n"/>
      <c r="H613" s="3" t="inlineStr">
        <is>
          <t>Consumption per capita, urban, p75</t>
        </is>
      </c>
      <c r="I613" s="3" t="inlineStr">
        <is>
          <t>LCU</t>
        </is>
      </c>
      <c r="J613" s="118" t="inlineStr">
        <is>
          <t>HHSurvey cons_pc_acrent x adjustment</t>
        </is>
      </c>
      <c r="K613" s="9" t="str">
        <f>LOWER(CtryCode)&amp;".distn."&amp;$A613&amp;IF($B613="","","."&amp;$B613)&amp;IF($C613="","",".dec."&amp;$C613)&amp;"."&amp;K$5</f>
        <v>egy.distn.hcpc.p75.dec.urb.1</v>
      </c>
      <c r="M613" s="109">
        <f t="shared" ref="M613:V613" si="990">INDEX(DHHVal,M611,MATCH("cons_pc_acrent",DHHVar,0))*M$320</f>
        <v>38604.7605216812</v>
      </c>
      <c r="N613" s="109">
        <f t="shared" si="990"/>
        <v>49861.421550093946</v>
      </c>
      <c r="O613" s="109">
        <f t="shared" si="990"/>
        <v>59039.791102672374</v>
      </c>
      <c r="P613" s="109">
        <f t="shared" si="990"/>
        <v>62725.98261572711</v>
      </c>
      <c r="Q613" s="109">
        <f t="shared" si="990"/>
        <v>75346.55728276157</v>
      </c>
      <c r="R613" s="109">
        <f t="shared" si="990"/>
        <v>80524.34134289573</v>
      </c>
      <c r="S613" s="109">
        <f t="shared" si="990"/>
        <v>91659.13326046921</v>
      </c>
      <c r="T613" s="109">
        <f t="shared" si="990"/>
        <v>113742.3842194858</v>
      </c>
      <c r="U613" s="109">
        <f t="shared" si="990"/>
        <v>121744.54697736599</v>
      </c>
      <c r="V613" s="109">
        <f t="shared" si="990"/>
        <v>181092.59839157056</v>
      </c>
      <c r="W613" s="201" t="str">
        <f>IF(X$5=K$5,SUM(Y613:AI613)-SUM(L613:V613),"")</f>
        <v/>
      </c>
      <c r="X613" s="9" t="str">
        <f>LOWER(CtryCode)&amp;".distn."&amp;$A613&amp;IF($B613="","","."&amp;$B613)&amp;IF($C613="","",".dec."&amp;$C613)&amp;"."&amp;X$5</f>
        <v>egy.distn.hcpc.p75.dec.urb.2</v>
      </c>
      <c r="Z613" s="109">
        <f t="shared" ref="Z613:AI613" si="991">INDEX(DHHVal,Z611,MATCH("cons_pc_acrent",DHHVar,0))*Z$320</f>
        <v>38604.7605216812</v>
      </c>
      <c r="AA613" s="109">
        <f t="shared" si="991"/>
        <v>49861.421550093946</v>
      </c>
      <c r="AB613" s="109">
        <f t="shared" si="991"/>
        <v>59039.791102672374</v>
      </c>
      <c r="AC613" s="109">
        <f t="shared" si="991"/>
        <v>62725.98261572711</v>
      </c>
      <c r="AD613" s="109">
        <f t="shared" si="991"/>
        <v>75346.55728276157</v>
      </c>
      <c r="AE613" s="109">
        <f t="shared" si="991"/>
        <v>80524.34134289573</v>
      </c>
      <c r="AF613" s="109">
        <f t="shared" si="991"/>
        <v>91659.13326046921</v>
      </c>
      <c r="AG613" s="109">
        <f t="shared" si="991"/>
        <v>113742.3842194858</v>
      </c>
      <c r="AH613" s="109">
        <f t="shared" si="991"/>
        <v>121744.54697736599</v>
      </c>
      <c r="AI613" s="109">
        <f t="shared" si="991"/>
        <v>181092.59839157056</v>
      </c>
    </row>
    <row r="614" hidden="1" outlineLevel="1">
      <c r="A614" s="44" t="inlineStr">
        <is>
          <t>hrec</t>
        </is>
      </c>
      <c r="B614" s="3" t="inlineStr">
        <is>
          <t>p75</t>
        </is>
      </c>
      <c r="C614" s="3" t="inlineStr">
        <is>
          <t>urb</t>
        </is>
      </c>
      <c r="D614" s="3" t="n"/>
      <c r="E614" s="3" t="n"/>
      <c r="H614" s="3" t="inlineStr">
        <is>
          <t>Gain from recycling, urban, p75</t>
        </is>
      </c>
      <c r="I614" s="3" t="inlineStr">
        <is>
          <t>% consumption</t>
        </is>
      </c>
      <c r="J614" s="118" t="inlineStr">
        <is>
          <t>recycling per capita / consumption of the percentile</t>
        </is>
      </c>
      <c r="K614" s="9" t="str">
        <f>LOWER(CtryCode)&amp;".distn."&amp;$A614&amp;IF($B614="","","."&amp;$B614)&amp;IF($C614="","",".dec."&amp;$C614)&amp;"."&amp;K$5</f>
        <v>egy.distn.hrec.p75.dec.urb.1</v>
      </c>
      <c r="M614" s="196">
        <f t="shared" ref="M614:V614" si="992">(M355+M381+M387+M370)/M613*PctPerUnit</f>
        <v>0.0</v>
      </c>
      <c r="N614" s="196">
        <f t="shared" si="992"/>
        <v>0.0</v>
      </c>
      <c r="O614" s="196">
        <f t="shared" si="992"/>
        <v>0.0</v>
      </c>
      <c r="P614" s="196">
        <f t="shared" si="992"/>
        <v>0.0</v>
      </c>
      <c r="Q614" s="196">
        <f t="shared" si="992"/>
        <v>0.0</v>
      </c>
      <c r="R614" s="196">
        <f t="shared" si="992"/>
        <v>0.0</v>
      </c>
      <c r="S614" s="196">
        <f t="shared" si="992"/>
        <v>0.0</v>
      </c>
      <c r="T614" s="196">
        <f t="shared" si="992"/>
        <v>0.0</v>
      </c>
      <c r="U614" s="196">
        <f t="shared" si="992"/>
        <v>0.0</v>
      </c>
      <c r="V614" s="196">
        <f t="shared" si="992"/>
        <v>0.0</v>
      </c>
      <c r="W614" s="201" t="str">
        <f>IF(X$5=K$5,SUM(Y614:AI614)-SUM(L614:V614),"")</f>
        <v/>
      </c>
      <c r="X614" s="9" t="str">
        <f>LOWER(CtryCode)&amp;".distn."&amp;$A614&amp;IF($B614="","","."&amp;$B614)&amp;IF($C614="","",".dec."&amp;$C614)&amp;"."&amp;X$5</f>
        <v>egy.distn.hrec.p75.dec.urb.2</v>
      </c>
      <c r="Z614" s="196">
        <f t="shared" ref="Z614:AI614" si="993">(Z355+Z381+Z387+Z370)/Z613*PctPerUnit</f>
        <v>2.340522111955775</v>
      </c>
      <c r="AA614" s="196">
        <f t="shared" si="993"/>
        <v>1.4438491754884737</v>
      </c>
      <c r="AB614" s="196">
        <f t="shared" si="993"/>
        <v>0.6987990557452729</v>
      </c>
      <c r="AC614" s="196">
        <f t="shared" si="993"/>
        <v>1.1923975476888145</v>
      </c>
      <c r="AD614" s="196">
        <f t="shared" si="993"/>
        <v>0.31430482869631343</v>
      </c>
      <c r="AE614" s="196">
        <f t="shared" si="993"/>
        <v>0.48249098272562585</v>
      </c>
      <c r="AF614" s="196">
        <f t="shared" si="993"/>
        <v>0.2770272738652216</v>
      </c>
      <c r="AG614" s="196">
        <f t="shared" si="993"/>
        <v>0.17202185122245803</v>
      </c>
      <c r="AH614" s="196">
        <f t="shared" si="993"/>
        <v>0.11379744669094498</v>
      </c>
      <c r="AI614" s="196">
        <f t="shared" si="993"/>
        <v>0.10804514193111718</v>
      </c>
    </row>
    <row r="615" hidden="1" outlineLevel="1">
      <c r="A615" s="44" t="inlineStr">
        <is>
          <t>hnet</t>
        </is>
      </c>
      <c r="B615" s="3" t="inlineStr">
        <is>
          <t>p75</t>
        </is>
      </c>
      <c r="C615" s="3" t="inlineStr">
        <is>
          <t>urb</t>
        </is>
      </c>
      <c r="D615" s="3" t="n"/>
      <c r="E615" s="3" t="n"/>
      <c r="H615" s="3" t="inlineStr">
        <is>
          <t>Net effect, urban, p75</t>
        </is>
      </c>
      <c r="I615" s="3" t="inlineStr">
        <is>
          <t>% consumption</t>
        </is>
      </c>
      <c r="J615" s="118" t="inlineStr">
        <is>
          <t>total effect + recycling</t>
        </is>
      </c>
      <c r="K615" s="9" t="str">
        <f>LOWER(CtryCode)&amp;".distn."&amp;$A615&amp;IF($B615="","","."&amp;$B615)&amp;IF($C615="","",".dec."&amp;$C615)&amp;"."&amp;K$5</f>
        <v>egy.distn.hnet.p75.dec.urb.1</v>
      </c>
      <c r="M615" s="196">
        <f t="shared" ref="M615:V615" si="994">M612+M614</f>
        <v>0.0</v>
      </c>
      <c r="N615" s="196">
        <f t="shared" si="994"/>
        <v>0.0</v>
      </c>
      <c r="O615" s="196">
        <f t="shared" si="994"/>
        <v>0.0</v>
      </c>
      <c r="P615" s="196">
        <f t="shared" si="994"/>
        <v>0.0</v>
      </c>
      <c r="Q615" s="196">
        <f t="shared" si="994"/>
        <v>0.0</v>
      </c>
      <c r="R615" s="196">
        <f t="shared" si="994"/>
        <v>0.0</v>
      </c>
      <c r="S615" s="196">
        <f t="shared" si="994"/>
        <v>0.0</v>
      </c>
      <c r="T615" s="196">
        <f t="shared" si="994"/>
        <v>0.0</v>
      </c>
      <c r="U615" s="196">
        <f t="shared" si="994"/>
        <v>0.0</v>
      </c>
      <c r="V615" s="196">
        <f t="shared" si="994"/>
        <v>0.0</v>
      </c>
      <c r="W615" s="201" t="str">
        <f>IF(X$5=K$5,SUM(Y615:AI615)-SUM(L615:V615),"")</f>
        <v/>
      </c>
      <c r="X615" s="9" t="str">
        <f>LOWER(CtryCode)&amp;".distn."&amp;$A615&amp;IF($B615="","","."&amp;$B615)&amp;IF($C615="","",".dec."&amp;$C615)&amp;"."&amp;X$5</f>
        <v>egy.distn.hnet.p75.dec.urb.2</v>
      </c>
      <c r="Z615" s="196">
        <f t="shared" ref="Z615:AI615" si="995">Z612+Z614</f>
        <v>0.0938334467992461</v>
      </c>
      <c r="AA615" s="196">
        <f t="shared" si="995"/>
        <v>-0.6399648691559374</v>
      </c>
      <c r="AB615" s="196">
        <f t="shared" si="995"/>
        <v>-1.242230194521467</v>
      </c>
      <c r="AC615" s="196">
        <f t="shared" si="995"/>
        <v>-0.6942558453451415</v>
      </c>
      <c r="AD615" s="196">
        <f t="shared" si="995"/>
        <v>-1.6054478976791835</v>
      </c>
      <c r="AE615" s="196">
        <f t="shared" si="995"/>
        <v>-1.2729978438692537</v>
      </c>
      <c r="AF615" s="196">
        <f t="shared" si="995"/>
        <v>-1.5160435044490181</v>
      </c>
      <c r="AG615" s="196">
        <f t="shared" si="995"/>
        <v>-1.5864010110138858</v>
      </c>
      <c r="AH615" s="196">
        <f t="shared" si="995"/>
        <v>-1.5754833460346442</v>
      </c>
      <c r="AI615" s="196">
        <f t="shared" si="995"/>
        <v>-1.5995400881498532</v>
      </c>
    </row>
    <row r="616" hidden="1" outlineLevel="1">
      <c r="A616" s="44" t="inlineStr">
        <is>
          <t>hrow</t>
        </is>
      </c>
      <c r="B616" s="3" t="inlineStr">
        <is>
          <t>p25</t>
        </is>
      </c>
      <c r="C616" s="3" t="inlineStr">
        <is>
          <t>rur</t>
        </is>
      </c>
      <c r="D616" s="3" t="n"/>
      <c r="E616" s="3" t="inlineStr">
        <is>
          <t>rur.p25</t>
        </is>
      </c>
      <c r="H616" s="3" t="inlineStr">
        <is>
          <t>HHSurvey row, rural, p25</t>
        </is>
      </c>
      <c r="I616" s="3" t="inlineStr">
        <is>
          <t>row</t>
        </is>
      </c>
      <c r="J616" s="118" t="inlineStr">
        <is>
          <t>HHSurvey</t>
        </is>
      </c>
      <c r="K616" s="9" t="str">
        <f>LOWER(CtryCode)&amp;".distn."&amp;$A616&amp;IF($B616="","","."&amp;$B616)&amp;IF($C616="","",".dec."&amp;$C616)&amp;"."&amp;K$5</f>
        <v>egy.distn.hrow.p25.dec.rur.1</v>
      </c>
      <c r="M616" s="39">
        <f t="shared" ref="M616:V616" si="996">MATCH(CtryCode&amp;".distn.bsh."&amp;M$10&amp;$E616&amp;M$11,DHHKey,0)</f>
        <v>67.0</v>
      </c>
      <c r="N616" s="39">
        <f t="shared" si="996"/>
        <v>68.0</v>
      </c>
      <c r="O616" s="39">
        <f t="shared" si="996"/>
        <v>69.0</v>
      </c>
      <c r="P616" s="39">
        <f t="shared" si="996"/>
        <v>70.0</v>
      </c>
      <c r="Q616" s="39">
        <f t="shared" si="996"/>
        <v>71.0</v>
      </c>
      <c r="R616" s="39">
        <f t="shared" si="996"/>
        <v>72.0</v>
      </c>
      <c r="S616" s="39">
        <f t="shared" si="996"/>
        <v>73.0</v>
      </c>
      <c r="T616" s="39">
        <f t="shared" si="996"/>
        <v>74.0</v>
      </c>
      <c r="U616" s="39">
        <f t="shared" si="996"/>
        <v>75.0</v>
      </c>
      <c r="V616" s="39">
        <f t="shared" si="996"/>
        <v>76.0</v>
      </c>
      <c r="W616" s="201" t="str">
        <f>IF(X$5=K$5,SUM(Y616:AI616)-SUM(L616:V616),"")</f>
        <v/>
      </c>
      <c r="X616" s="9" t="str">
        <f>LOWER(CtryCode)&amp;".distn."&amp;$A616&amp;IF($B616="","","."&amp;$B616)&amp;IF($C616="","",".dec."&amp;$C616)&amp;"."&amp;X$5</f>
        <v>egy.distn.hrow.p25.dec.rur.2</v>
      </c>
      <c r="Z616" s="39">
        <f t="shared" ref="Z616:AI616" si="997">MATCH(CtryCode&amp;".distn.bsh."&amp;Z$10&amp;$E616&amp;Z$11,DHHKey,0)</f>
        <v>67.0</v>
      </c>
      <c r="AA616" s="39">
        <f t="shared" si="997"/>
        <v>68.0</v>
      </c>
      <c r="AB616" s="39">
        <f t="shared" si="997"/>
        <v>69.0</v>
      </c>
      <c r="AC616" s="39">
        <f t="shared" si="997"/>
        <v>70.0</v>
      </c>
      <c r="AD616" s="39">
        <f t="shared" si="997"/>
        <v>71.0</v>
      </c>
      <c r="AE616" s="39">
        <f t="shared" si="997"/>
        <v>72.0</v>
      </c>
      <c r="AF616" s="39">
        <f t="shared" si="997"/>
        <v>73.0</v>
      </c>
      <c r="AG616" s="39">
        <f t="shared" si="997"/>
        <v>74.0</v>
      </c>
      <c r="AH616" s="39">
        <f t="shared" si="997"/>
        <v>75.0</v>
      </c>
      <c r="AI616" s="39">
        <f t="shared" si="997"/>
        <v>76.0</v>
      </c>
    </row>
    <row r="617" hidden="1" outlineLevel="1">
      <c r="A617" s="44" t="inlineStr">
        <is>
          <t>htef</t>
        </is>
      </c>
      <c r="B617" s="3" t="inlineStr">
        <is>
          <t>p25</t>
        </is>
      </c>
      <c r="C617" s="3" t="inlineStr">
        <is>
          <t>rur</t>
        </is>
      </c>
      <c r="D617" s="3" t="n"/>
      <c r="E617" s="3" t="n"/>
      <c r="H617" s="3" t="inlineStr">
        <is>
          <t>Total effect, rural, p25</t>
        </is>
      </c>
      <c r="I617" s="3" t="inlineStr">
        <is>
          <t>% consumption</t>
        </is>
      </c>
      <c r="J617" s="118" t="inlineStr">
        <is>
          <t>price factors x the budget shares of the percentile x loss scale</t>
        </is>
      </c>
      <c r="K617" s="9" t="str">
        <f>LOWER(CtryCode)&amp;".distn."&amp;$A617&amp;IF($B617="","","."&amp;$B617)&amp;IF($C617="","",".dec."&amp;$C617)&amp;"."&amp;K$5</f>
        <v>egy.distn.htef.p25.dec.rur.1</v>
      </c>
      <c r="M617" s="196">
        <f t="shared" ref="M617:V617" si="998">-SUMPRODUCT(M157:M178,SUMIF(DHHVar,$D$185:$D$206,INDEX(DHHVal,M616,0)))*M$271</f>
        <v>-0.0</v>
      </c>
      <c r="N617" s="196">
        <f t="shared" si="998"/>
        <v>-0.0</v>
      </c>
      <c r="O617" s="196">
        <f t="shared" si="998"/>
        <v>-0.0</v>
      </c>
      <c r="P617" s="196">
        <f t="shared" si="998"/>
        <v>-0.0</v>
      </c>
      <c r="Q617" s="196">
        <f t="shared" si="998"/>
        <v>-0.0</v>
      </c>
      <c r="R617" s="196">
        <f t="shared" si="998"/>
        <v>-0.0</v>
      </c>
      <c r="S617" s="196">
        <f t="shared" si="998"/>
        <v>-0.0</v>
      </c>
      <c r="T617" s="196">
        <f t="shared" si="998"/>
        <v>-0.0</v>
      </c>
      <c r="U617" s="196">
        <f t="shared" si="998"/>
        <v>-0.0</v>
      </c>
      <c r="V617" s="196">
        <f t="shared" si="998"/>
        <v>-0.0</v>
      </c>
      <c r="W617" s="201" t="str">
        <f>IF(X$5=K$5,SUM(Y617:AI617)-SUM(L617:V617),"")</f>
        <v/>
      </c>
      <c r="X617" s="9" t="str">
        <f>LOWER(CtryCode)&amp;".distn."&amp;$A617&amp;IF($B617="","","."&amp;$B617)&amp;IF($C617="","",".dec."&amp;$C617)&amp;"."&amp;X$5</f>
        <v>egy.distn.htef.p25.dec.rur.2</v>
      </c>
      <c r="Z617" s="196">
        <f t="shared" ref="Z617:AI617" si="999">-SUMPRODUCT(Z157:Z178,SUMIF(DHHVar,$D$185:$D$206,INDEX(DHHVal,Z616,0)))*Z$271</f>
        <v>-1.1689288695798448</v>
      </c>
      <c r="AA617" s="196">
        <f t="shared" si="999"/>
        <v>-1.0811871629088998</v>
      </c>
      <c r="AB617" s="196">
        <f t="shared" si="999"/>
        <v>-0.9697212904530425</v>
      </c>
      <c r="AC617" s="196">
        <f t="shared" si="999"/>
        <v>-0.9351604851072203</v>
      </c>
      <c r="AD617" s="196">
        <f t="shared" si="999"/>
        <v>-0.8886876721154245</v>
      </c>
      <c r="AE617" s="196">
        <f t="shared" si="999"/>
        <v>-0.9029185023395175</v>
      </c>
      <c r="AF617" s="196">
        <f t="shared" si="999"/>
        <v>-0.831329482796109</v>
      </c>
      <c r="AG617" s="196">
        <f t="shared" si="999"/>
        <v>-0.8492788120095035</v>
      </c>
      <c r="AH617" s="196">
        <f t="shared" si="999"/>
        <v>-0.8644000160747356</v>
      </c>
      <c r="AI617" s="196">
        <f t="shared" si="999"/>
        <v>-0.879947298513158</v>
      </c>
    </row>
    <row r="618" hidden="1" outlineLevel="1">
      <c r="A618" s="44" t="inlineStr">
        <is>
          <t>hcpc</t>
        </is>
      </c>
      <c r="B618" s="3" t="inlineStr">
        <is>
          <t>p25</t>
        </is>
      </c>
      <c r="C618" s="3" t="inlineStr">
        <is>
          <t>rur</t>
        </is>
      </c>
      <c r="D618" s="3" t="n"/>
      <c r="E618" s="3" t="n"/>
      <c r="H618" s="3" t="inlineStr">
        <is>
          <t>Consumption per capita, rural, p25</t>
        </is>
      </c>
      <c r="I618" s="3" t="inlineStr">
        <is>
          <t>LCU</t>
        </is>
      </c>
      <c r="J618" s="118" t="inlineStr">
        <is>
          <t>HHSurvey cons_pc_acrent x adjustment</t>
        </is>
      </c>
      <c r="K618" s="9" t="str">
        <f>LOWER(CtryCode)&amp;".distn."&amp;$A618&amp;IF($B618="","","."&amp;$B618)&amp;IF($C618="","",".dec."&amp;$C618)&amp;"."&amp;K$5</f>
        <v>egy.distn.hcpc.p25.dec.rur.1</v>
      </c>
      <c r="M618" s="109">
        <f t="shared" ref="M618:V618" si="1000">INDEX(DHHVal,M616,MATCH("cons_pc_acrent",DHHVar,0))*M$320</f>
        <v>24992.924846931473</v>
      </c>
      <c r="N618" s="109">
        <f t="shared" si="1000"/>
        <v>36448.249868396015</v>
      </c>
      <c r="O618" s="109">
        <f t="shared" si="1000"/>
        <v>43782.60942297014</v>
      </c>
      <c r="P618" s="109">
        <f t="shared" si="1000"/>
        <v>44046.216054553</v>
      </c>
      <c r="Q618" s="109">
        <f t="shared" si="1000"/>
        <v>51399.392400553406</v>
      </c>
      <c r="R618" s="109">
        <f t="shared" si="1000"/>
        <v>56561.61313353783</v>
      </c>
      <c r="S618" s="109">
        <f t="shared" si="1000"/>
        <v>62011.48159025865</v>
      </c>
      <c r="T618" s="109">
        <f t="shared" si="1000"/>
        <v>70451.45663348299</v>
      </c>
      <c r="U618" s="109">
        <f t="shared" si="1000"/>
        <v>91109.1767130438</v>
      </c>
      <c r="V618" s="109">
        <f t="shared" si="1000"/>
        <v>107596.01416701131</v>
      </c>
      <c r="W618" s="201" t="str">
        <f>IF(X$5=K$5,SUM(Y618:AI618)-SUM(L618:V618),"")</f>
        <v/>
      </c>
      <c r="X618" s="9" t="str">
        <f>LOWER(CtryCode)&amp;".distn."&amp;$A618&amp;IF($B618="","","."&amp;$B618)&amp;IF($C618="","",".dec."&amp;$C618)&amp;"."&amp;X$5</f>
        <v>egy.distn.hcpc.p25.dec.rur.2</v>
      </c>
      <c r="Z618" s="109">
        <f t="shared" ref="Z618:AI618" si="1001">INDEX(DHHVal,Z616,MATCH("cons_pc_acrent",DHHVar,0))*Z$320</f>
        <v>24992.924846931473</v>
      </c>
      <c r="AA618" s="109">
        <f t="shared" si="1001"/>
        <v>36448.249868396015</v>
      </c>
      <c r="AB618" s="109">
        <f t="shared" si="1001"/>
        <v>43782.60942297014</v>
      </c>
      <c r="AC618" s="109">
        <f t="shared" si="1001"/>
        <v>44046.216054553</v>
      </c>
      <c r="AD618" s="109">
        <f t="shared" si="1001"/>
        <v>51399.392400553406</v>
      </c>
      <c r="AE618" s="109">
        <f t="shared" si="1001"/>
        <v>56561.61313353783</v>
      </c>
      <c r="AF618" s="109">
        <f t="shared" si="1001"/>
        <v>62011.48159025865</v>
      </c>
      <c r="AG618" s="109">
        <f t="shared" si="1001"/>
        <v>70451.45663348299</v>
      </c>
      <c r="AH618" s="109">
        <f t="shared" si="1001"/>
        <v>91109.1767130438</v>
      </c>
      <c r="AI618" s="109">
        <f t="shared" si="1001"/>
        <v>107596.01416701131</v>
      </c>
    </row>
    <row r="619" hidden="1" outlineLevel="1">
      <c r="A619" s="44" t="inlineStr">
        <is>
          <t>hrec</t>
        </is>
      </c>
      <c r="B619" s="3" t="inlineStr">
        <is>
          <t>p25</t>
        </is>
      </c>
      <c r="C619" s="3" t="inlineStr">
        <is>
          <t>rur</t>
        </is>
      </c>
      <c r="D619" s="3" t="n"/>
      <c r="E619" s="3" t="n"/>
      <c r="H619" s="3" t="inlineStr">
        <is>
          <t>Gain from recycling, rural, p25</t>
        </is>
      </c>
      <c r="I619" s="3" t="inlineStr">
        <is>
          <t>% consumption</t>
        </is>
      </c>
      <c r="J619" s="118" t="inlineStr">
        <is>
          <t>recycling per capita / consumption of the percentile</t>
        </is>
      </c>
      <c r="K619" s="9" t="str">
        <f>LOWER(CtryCode)&amp;".distn."&amp;$A619&amp;IF($B619="","","."&amp;$B619)&amp;IF($C619="","",".dec."&amp;$C619)&amp;"."&amp;K$5</f>
        <v>egy.distn.hrec.p25.dec.rur.1</v>
      </c>
      <c r="M619" s="196">
        <f t="shared" ref="M619:V619" si="1002">(M355+M382+M387+M370)/M618*PctPerUnit</f>
        <v>0.0</v>
      </c>
      <c r="N619" s="196">
        <f t="shared" si="1002"/>
        <v>0.0</v>
      </c>
      <c r="O619" s="196">
        <f t="shared" si="1002"/>
        <v>0.0</v>
      </c>
      <c r="P619" s="196">
        <f t="shared" si="1002"/>
        <v>0.0</v>
      </c>
      <c r="Q619" s="196">
        <f t="shared" si="1002"/>
        <v>0.0</v>
      </c>
      <c r="R619" s="196">
        <f t="shared" si="1002"/>
        <v>0.0</v>
      </c>
      <c r="S619" s="196">
        <f t="shared" si="1002"/>
        <v>0.0</v>
      </c>
      <c r="T619" s="196">
        <f t="shared" si="1002"/>
        <v>0.0</v>
      </c>
      <c r="U619" s="196">
        <f t="shared" si="1002"/>
        <v>0.0</v>
      </c>
      <c r="V619" s="196">
        <f t="shared" si="1002"/>
        <v>0.0</v>
      </c>
      <c r="W619" s="201" t="str">
        <f>IF(X$5=K$5,SUM(Y619:AI619)-SUM(L619:V619),"")</f>
        <v/>
      </c>
      <c r="X619" s="9" t="str">
        <f>LOWER(CtryCode)&amp;".distn."&amp;$A619&amp;IF($B619="","","."&amp;$B619)&amp;IF($C619="","",".dec."&amp;$C619)&amp;"."&amp;X$5</f>
        <v>egy.distn.hrec.p25.dec.rur.2</v>
      </c>
      <c r="Z619" s="196">
        <f t="shared" ref="Z619:AI619" si="1003">(Z355+Z382+Z387+Z370)/Z618*PctPerUnit</f>
        <v>5.80086284196023</v>
      </c>
      <c r="AA619" s="196">
        <f t="shared" si="1003"/>
        <v>3.730580866232801</v>
      </c>
      <c r="AB619" s="196">
        <f t="shared" si="1003"/>
        <v>2.7096953243324498</v>
      </c>
      <c r="AC619" s="196">
        <f t="shared" si="1003"/>
        <v>2.110370130400089</v>
      </c>
      <c r="AD619" s="196">
        <f t="shared" si="1003"/>
        <v>1.1080041005715537</v>
      </c>
      <c r="AE619" s="196">
        <f t="shared" si="1003"/>
        <v>1.2074967313130331</v>
      </c>
      <c r="AF619" s="196">
        <f t="shared" si="1003"/>
        <v>0.9338045178561658</v>
      </c>
      <c r="AG619" s="196">
        <f t="shared" si="1003"/>
        <v>0.925252073514358</v>
      </c>
      <c r="AH619" s="196">
        <f t="shared" si="1003"/>
        <v>0.7713609621330125</v>
      </c>
      <c r="AI619" s="196">
        <f t="shared" si="1003"/>
        <v>0.770414180581853</v>
      </c>
    </row>
    <row r="620" hidden="1" outlineLevel="1">
      <c r="A620" s="44" t="inlineStr">
        <is>
          <t>hnet</t>
        </is>
      </c>
      <c r="B620" s="3" t="inlineStr">
        <is>
          <t>p25</t>
        </is>
      </c>
      <c r="C620" s="3" t="inlineStr">
        <is>
          <t>rur</t>
        </is>
      </c>
      <c r="D620" s="3" t="n"/>
      <c r="E620" s="3" t="n"/>
      <c r="H620" s="3" t="inlineStr">
        <is>
          <t>Net effect, rural, p25</t>
        </is>
      </c>
      <c r="I620" s="3" t="inlineStr">
        <is>
          <t>% consumption</t>
        </is>
      </c>
      <c r="J620" s="118" t="inlineStr">
        <is>
          <t>total effect + recycling</t>
        </is>
      </c>
      <c r="K620" s="9" t="str">
        <f>LOWER(CtryCode)&amp;".distn."&amp;$A620&amp;IF($B620="","","."&amp;$B620)&amp;IF($C620="","",".dec."&amp;$C620)&amp;"."&amp;K$5</f>
        <v>egy.distn.hnet.p25.dec.rur.1</v>
      </c>
      <c r="M620" s="196">
        <f t="shared" ref="M620:V620" si="1004">M617+M619</f>
        <v>0.0</v>
      </c>
      <c r="N620" s="196">
        <f t="shared" si="1004"/>
        <v>0.0</v>
      </c>
      <c r="O620" s="196">
        <f t="shared" si="1004"/>
        <v>0.0</v>
      </c>
      <c r="P620" s="196">
        <f t="shared" si="1004"/>
        <v>0.0</v>
      </c>
      <c r="Q620" s="196">
        <f t="shared" si="1004"/>
        <v>0.0</v>
      </c>
      <c r="R620" s="196">
        <f t="shared" si="1004"/>
        <v>0.0</v>
      </c>
      <c r="S620" s="196">
        <f t="shared" si="1004"/>
        <v>0.0</v>
      </c>
      <c r="T620" s="196">
        <f t="shared" si="1004"/>
        <v>0.0</v>
      </c>
      <c r="U620" s="196">
        <f t="shared" si="1004"/>
        <v>0.0</v>
      </c>
      <c r="V620" s="196">
        <f t="shared" si="1004"/>
        <v>0.0</v>
      </c>
      <c r="W620" s="201" t="str">
        <f>IF(X$5=K$5,SUM(Y620:AI620)-SUM(L620:V620),"")</f>
        <v/>
      </c>
      <c r="X620" s="9" t="str">
        <f>LOWER(CtryCode)&amp;".distn."&amp;$A620&amp;IF($B620="","","."&amp;$B620)&amp;IF($C620="","",".dec."&amp;$C620)&amp;"."&amp;X$5</f>
        <v>egy.distn.hnet.p25.dec.rur.2</v>
      </c>
      <c r="Z620" s="196">
        <f t="shared" ref="Z620:AI620" si="1005">Z617+Z619</f>
        <v>4.631933972380385</v>
      </c>
      <c r="AA620" s="196">
        <f t="shared" si="1005"/>
        <v>2.6493937033239012</v>
      </c>
      <c r="AB620" s="196">
        <f t="shared" si="1005"/>
        <v>1.7399740338794074</v>
      </c>
      <c r="AC620" s="196">
        <f t="shared" si="1005"/>
        <v>1.1752096452928686</v>
      </c>
      <c r="AD620" s="196">
        <f t="shared" si="1005"/>
        <v>0.2193164284561292</v>
      </c>
      <c r="AE620" s="196">
        <f t="shared" si="1005"/>
        <v>0.3045782289735156</v>
      </c>
      <c r="AF620" s="196">
        <f t="shared" si="1005"/>
        <v>0.10247503506005684</v>
      </c>
      <c r="AG620" s="196">
        <f t="shared" si="1005"/>
        <v>0.0759732615048545</v>
      </c>
      <c r="AH620" s="196">
        <f t="shared" si="1005"/>
        <v>-0.09303905394172307</v>
      </c>
      <c r="AI620" s="196">
        <f t="shared" si="1005"/>
        <v>-0.10953311793130505</v>
      </c>
    </row>
    <row r="621" hidden="1" outlineLevel="1">
      <c r="A621" s="44" t="inlineStr">
        <is>
          <t>hrow</t>
        </is>
      </c>
      <c r="B621" s="3" t="inlineStr">
        <is>
          <t>p75</t>
        </is>
      </c>
      <c r="C621" s="3" t="inlineStr">
        <is>
          <t>rur</t>
        </is>
      </c>
      <c r="D621" s="3" t="n"/>
      <c r="E621" s="3" t="inlineStr">
        <is>
          <t>rur.p75</t>
        </is>
      </c>
      <c r="H621" s="3" t="inlineStr">
        <is>
          <t>HHSurvey row, rural, p75</t>
        </is>
      </c>
      <c r="I621" s="3" t="inlineStr">
        <is>
          <t>row</t>
        </is>
      </c>
      <c r="J621" s="118" t="inlineStr">
        <is>
          <t>HHSurvey</t>
        </is>
      </c>
      <c r="K621" s="9" t="str">
        <f>LOWER(CtryCode)&amp;".distn."&amp;$A621&amp;IF($B621="","","."&amp;$B621)&amp;IF($C621="","",".dec."&amp;$C621)&amp;"."&amp;K$5</f>
        <v>egy.distn.hrow.p75.dec.rur.1</v>
      </c>
      <c r="M621" s="39">
        <f t="shared" ref="M621:V621" si="1006">MATCH(CtryCode&amp;".distn.bsh."&amp;M$10&amp;$E621&amp;M$11,DHHKey,0)</f>
        <v>78.0</v>
      </c>
      <c r="N621" s="39">
        <f t="shared" si="1006"/>
        <v>79.0</v>
      </c>
      <c r="O621" s="39">
        <f t="shared" si="1006"/>
        <v>80.0</v>
      </c>
      <c r="P621" s="39">
        <f t="shared" si="1006"/>
        <v>81.0</v>
      </c>
      <c r="Q621" s="39">
        <f t="shared" si="1006"/>
        <v>82.0</v>
      </c>
      <c r="R621" s="39">
        <f t="shared" si="1006"/>
        <v>83.0</v>
      </c>
      <c r="S621" s="39">
        <f t="shared" si="1006"/>
        <v>84.0</v>
      </c>
      <c r="T621" s="39">
        <f t="shared" si="1006"/>
        <v>85.0</v>
      </c>
      <c r="U621" s="39">
        <f t="shared" si="1006"/>
        <v>86.0</v>
      </c>
      <c r="V621" s="39">
        <f t="shared" si="1006"/>
        <v>87.0</v>
      </c>
      <c r="W621" s="201" t="str">
        <f>IF(X$5=K$5,SUM(Y621:AI621)-SUM(L621:V621),"")</f>
        <v/>
      </c>
      <c r="X621" s="9" t="str">
        <f>LOWER(CtryCode)&amp;".distn."&amp;$A621&amp;IF($B621="","","."&amp;$B621)&amp;IF($C621="","",".dec."&amp;$C621)&amp;"."&amp;X$5</f>
        <v>egy.distn.hrow.p75.dec.rur.2</v>
      </c>
      <c r="Z621" s="39">
        <f t="shared" ref="Z621:AI621" si="1007">MATCH(CtryCode&amp;".distn.bsh."&amp;Z$10&amp;$E621&amp;Z$11,DHHKey,0)</f>
        <v>78.0</v>
      </c>
      <c r="AA621" s="39">
        <f t="shared" si="1007"/>
        <v>79.0</v>
      </c>
      <c r="AB621" s="39">
        <f t="shared" si="1007"/>
        <v>80.0</v>
      </c>
      <c r="AC621" s="39">
        <f t="shared" si="1007"/>
        <v>81.0</v>
      </c>
      <c r="AD621" s="39">
        <f t="shared" si="1007"/>
        <v>82.0</v>
      </c>
      <c r="AE621" s="39">
        <f t="shared" si="1007"/>
        <v>83.0</v>
      </c>
      <c r="AF621" s="39">
        <f t="shared" si="1007"/>
        <v>84.0</v>
      </c>
      <c r="AG621" s="39">
        <f t="shared" si="1007"/>
        <v>85.0</v>
      </c>
      <c r="AH621" s="39">
        <f t="shared" si="1007"/>
        <v>86.0</v>
      </c>
      <c r="AI621" s="39">
        <f t="shared" si="1007"/>
        <v>87.0</v>
      </c>
    </row>
    <row r="622" hidden="1" outlineLevel="1">
      <c r="A622" s="44" t="inlineStr">
        <is>
          <t>htef</t>
        </is>
      </c>
      <c r="B622" s="3" t="inlineStr">
        <is>
          <t>p75</t>
        </is>
      </c>
      <c r="C622" s="3" t="inlineStr">
        <is>
          <t>rur</t>
        </is>
      </c>
      <c r="D622" s="3" t="n"/>
      <c r="E622" s="3" t="n"/>
      <c r="H622" s="3" t="inlineStr">
        <is>
          <t>Total effect, rural, p75</t>
        </is>
      </c>
      <c r="I622" s="3" t="inlineStr">
        <is>
          <t>% consumption</t>
        </is>
      </c>
      <c r="J622" s="118" t="inlineStr">
        <is>
          <t>price factors x the budget shares of the percentile x loss scale</t>
        </is>
      </c>
      <c r="K622" s="9" t="str">
        <f>LOWER(CtryCode)&amp;".distn."&amp;$A622&amp;IF($B622="","","."&amp;$B622)&amp;IF($C622="","",".dec."&amp;$C622)&amp;"."&amp;K$5</f>
        <v>egy.distn.htef.p75.dec.rur.1</v>
      </c>
      <c r="M622" s="196">
        <f t="shared" ref="M622:V622" si="1008">-SUMPRODUCT(M157:M178,SUMIF(DHHVar,$D$185:$D$206,INDEX(DHHVal,M621,0)))*M$271</f>
        <v>-0.0</v>
      </c>
      <c r="N622" s="196">
        <f t="shared" si="1008"/>
        <v>-0.0</v>
      </c>
      <c r="O622" s="196">
        <f t="shared" si="1008"/>
        <v>-0.0</v>
      </c>
      <c r="P622" s="196">
        <f t="shared" si="1008"/>
        <v>-0.0</v>
      </c>
      <c r="Q622" s="196">
        <f t="shared" si="1008"/>
        <v>-0.0</v>
      </c>
      <c r="R622" s="196">
        <f t="shared" si="1008"/>
        <v>-0.0</v>
      </c>
      <c r="S622" s="196">
        <f t="shared" si="1008"/>
        <v>-0.0</v>
      </c>
      <c r="T622" s="196">
        <f t="shared" si="1008"/>
        <v>-0.0</v>
      </c>
      <c r="U622" s="196">
        <f t="shared" si="1008"/>
        <v>-0.0</v>
      </c>
      <c r="V622" s="196">
        <f t="shared" si="1008"/>
        <v>-0.0</v>
      </c>
      <c r="W622" s="201" t="str">
        <f>IF(X$5=K$5,SUM(Y622:AI622)-SUM(L622:V622),"")</f>
        <v/>
      </c>
      <c r="X622" s="9" t="str">
        <f>LOWER(CtryCode)&amp;".distn."&amp;$A622&amp;IF($B622="","","."&amp;$B622)&amp;IF($C622="","",".dec."&amp;$C622)&amp;"."&amp;X$5</f>
        <v>egy.distn.htef.p75.dec.rur.2</v>
      </c>
      <c r="Z622" s="196">
        <f t="shared" ref="Z622:AI622" si="1009">-SUMPRODUCT(Z157:Z178,SUMIF(DHHVar,$D$185:$D$206,INDEX(DHHVal,Z621,0)))*Z$271</f>
        <v>-1.925557443230431</v>
      </c>
      <c r="AA622" s="196">
        <f t="shared" si="1009"/>
        <v>-1.7427542192641732</v>
      </c>
      <c r="AB622" s="196">
        <f t="shared" si="1009"/>
        <v>-1.6471210032061814</v>
      </c>
      <c r="AC622" s="196">
        <f t="shared" si="1009"/>
        <v>-1.6079663869260374</v>
      </c>
      <c r="AD622" s="196">
        <f t="shared" si="1009"/>
        <v>-1.5044919706681492</v>
      </c>
      <c r="AE622" s="196">
        <f t="shared" si="1009"/>
        <v>-1.5203552003998548</v>
      </c>
      <c r="AF622" s="196">
        <f t="shared" si="1009"/>
        <v>-1.5184402670898531</v>
      </c>
      <c r="AG622" s="196">
        <f t="shared" si="1009"/>
        <v>-1.594069444767798</v>
      </c>
      <c r="AH622" s="196">
        <f t="shared" si="1009"/>
        <v>-1.59364697433292</v>
      </c>
      <c r="AI622" s="196">
        <f t="shared" si="1009"/>
        <v>-1.7200818358519925</v>
      </c>
    </row>
    <row r="623" hidden="1" outlineLevel="1">
      <c r="A623" s="44" t="inlineStr">
        <is>
          <t>hcpc</t>
        </is>
      </c>
      <c r="B623" s="3" t="inlineStr">
        <is>
          <t>p75</t>
        </is>
      </c>
      <c r="C623" s="3" t="inlineStr">
        <is>
          <t>rur</t>
        </is>
      </c>
      <c r="D623" s="3" t="n"/>
      <c r="E623" s="3" t="n"/>
      <c r="H623" s="3" t="inlineStr">
        <is>
          <t>Consumption per capita, rural, p75</t>
        </is>
      </c>
      <c r="I623" s="3" t="inlineStr">
        <is>
          <t>LCU</t>
        </is>
      </c>
      <c r="J623" s="118" t="inlineStr">
        <is>
          <t>HHSurvey cons_pc_acrent x adjustment</t>
        </is>
      </c>
      <c r="K623" s="9" t="str">
        <f>LOWER(CtryCode)&amp;".distn."&amp;$A623&amp;IF($B623="","","."&amp;$B623)&amp;IF($C623="","",".dec."&amp;$C623)&amp;"."&amp;K$5</f>
        <v>egy.distn.hcpc.p75.dec.rur.1</v>
      </c>
      <c r="M623" s="109">
        <f t="shared" ref="M623:V623" si="1010">INDEX(DHHVal,M621,MATCH("cons_pc_acrent",DHHVar,0))*M$320</f>
        <v>31361.298684733458</v>
      </c>
      <c r="N623" s="109">
        <f t="shared" si="1010"/>
        <v>38297.2385020138</v>
      </c>
      <c r="O623" s="109">
        <f t="shared" si="1010"/>
        <v>44930.12815173966</v>
      </c>
      <c r="P623" s="109">
        <f t="shared" si="1010"/>
        <v>48739.572850191595</v>
      </c>
      <c r="Q623" s="109">
        <f t="shared" si="1010"/>
        <v>53645.423703379776</v>
      </c>
      <c r="R623" s="109">
        <f t="shared" si="1010"/>
        <v>60670.068559273175</v>
      </c>
      <c r="S623" s="109">
        <f t="shared" si="1010"/>
        <v>69230.91478131544</v>
      </c>
      <c r="T623" s="109">
        <f t="shared" si="1010"/>
        <v>81073.33734105987</v>
      </c>
      <c r="U623" s="109">
        <f t="shared" si="1010"/>
        <v>95516.41315912888</v>
      </c>
      <c r="V623" s="109">
        <f t="shared" si="1010"/>
        <v>132067.95526057758</v>
      </c>
      <c r="W623" s="201" t="str">
        <f>IF(X$5=K$5,SUM(Y623:AI623)-SUM(L623:V623),"")</f>
        <v/>
      </c>
      <c r="X623" s="9" t="str">
        <f>LOWER(CtryCode)&amp;".distn."&amp;$A623&amp;IF($B623="","","."&amp;$B623)&amp;IF($C623="","",".dec."&amp;$C623)&amp;"."&amp;X$5</f>
        <v>egy.distn.hcpc.p75.dec.rur.2</v>
      </c>
      <c r="Z623" s="109">
        <f t="shared" ref="Z623:AI623" si="1011">INDEX(DHHVal,Z621,MATCH("cons_pc_acrent",DHHVar,0))*Z$320</f>
        <v>31361.298684733458</v>
      </c>
      <c r="AA623" s="109">
        <f t="shared" si="1011"/>
        <v>38297.2385020138</v>
      </c>
      <c r="AB623" s="109">
        <f t="shared" si="1011"/>
        <v>44930.12815173966</v>
      </c>
      <c r="AC623" s="109">
        <f t="shared" si="1011"/>
        <v>48739.572850191595</v>
      </c>
      <c r="AD623" s="109">
        <f t="shared" si="1011"/>
        <v>53645.423703379776</v>
      </c>
      <c r="AE623" s="109">
        <f t="shared" si="1011"/>
        <v>60670.068559273175</v>
      </c>
      <c r="AF623" s="109">
        <f t="shared" si="1011"/>
        <v>69230.91478131544</v>
      </c>
      <c r="AG623" s="109">
        <f t="shared" si="1011"/>
        <v>81073.33734105987</v>
      </c>
      <c r="AH623" s="109">
        <f t="shared" si="1011"/>
        <v>95516.41315912888</v>
      </c>
      <c r="AI623" s="109">
        <f t="shared" si="1011"/>
        <v>132067.95526057758</v>
      </c>
    </row>
    <row r="624" hidden="1" outlineLevel="1">
      <c r="A624" s="44" t="inlineStr">
        <is>
          <t>hrec</t>
        </is>
      </c>
      <c r="B624" s="3" t="inlineStr">
        <is>
          <t>p75</t>
        </is>
      </c>
      <c r="C624" s="3" t="inlineStr">
        <is>
          <t>rur</t>
        </is>
      </c>
      <c r="D624" s="3" t="n"/>
      <c r="E624" s="3" t="n"/>
      <c r="H624" s="3" t="inlineStr">
        <is>
          <t>Gain from recycling, rural, p75</t>
        </is>
      </c>
      <c r="I624" s="3" t="inlineStr">
        <is>
          <t>% consumption</t>
        </is>
      </c>
      <c r="J624" s="118" t="inlineStr">
        <is>
          <t>recycling per capita / consumption of the percentile</t>
        </is>
      </c>
      <c r="K624" s="9" t="str">
        <f>LOWER(CtryCode)&amp;".distn."&amp;$A624&amp;IF($B624="","","."&amp;$B624)&amp;IF($C624="","",".dec."&amp;$C624)&amp;"."&amp;K$5</f>
        <v>egy.distn.hrec.p75.dec.rur.1</v>
      </c>
      <c r="M624" s="196">
        <f t="shared" ref="M624:V624" si="1012">(M355+M382+M387+M370)/M623*PctPerUnit</f>
        <v>0.0</v>
      </c>
      <c r="N624" s="196">
        <f t="shared" si="1012"/>
        <v>0.0</v>
      </c>
      <c r="O624" s="196">
        <f t="shared" si="1012"/>
        <v>0.0</v>
      </c>
      <c r="P624" s="196">
        <f t="shared" si="1012"/>
        <v>0.0</v>
      </c>
      <c r="Q624" s="196">
        <f t="shared" si="1012"/>
        <v>0.0</v>
      </c>
      <c r="R624" s="196">
        <f t="shared" si="1012"/>
        <v>0.0</v>
      </c>
      <c r="S624" s="196">
        <f t="shared" si="1012"/>
        <v>0.0</v>
      </c>
      <c r="T624" s="196">
        <f t="shared" si="1012"/>
        <v>0.0</v>
      </c>
      <c r="U624" s="196">
        <f t="shared" si="1012"/>
        <v>0.0</v>
      </c>
      <c r="V624" s="196">
        <f t="shared" si="1012"/>
        <v>0.0</v>
      </c>
      <c r="W624" s="201" t="str">
        <f>IF(X$5=K$5,SUM(Y624:AI624)-SUM(L624:V624),"")</f>
        <v/>
      </c>
      <c r="X624" s="9" t="str">
        <f>LOWER(CtryCode)&amp;".distn."&amp;$A624&amp;IF($B624="","","."&amp;$B624)&amp;IF($C624="","",".dec."&amp;$C624)&amp;"."&amp;X$5</f>
        <v>egy.distn.hrec.p75.dec.rur.2</v>
      </c>
      <c r="Z624" s="196">
        <f t="shared" ref="Z624:AI624" si="1013">(Z355+Z382+Z387+Z370)/Z623*PctPerUnit</f>
        <v>4.6229121604280135</v>
      </c>
      <c r="AA624" s="196">
        <f t="shared" si="1013"/>
        <v>3.550468620852661</v>
      </c>
      <c r="AB624" s="196">
        <f t="shared" si="1013"/>
        <v>2.6404895093962133</v>
      </c>
      <c r="AC624" s="196">
        <f t="shared" si="1013"/>
        <v>1.9071529207772306</v>
      </c>
      <c r="AD624" s="196">
        <f t="shared" si="1013"/>
        <v>1.0616140877476472</v>
      </c>
      <c r="AE624" s="196">
        <f t="shared" si="1013"/>
        <v>1.1257274731742526</v>
      </c>
      <c r="AF624" s="196">
        <f t="shared" si="1013"/>
        <v>0.8364269322578163</v>
      </c>
      <c r="AG624" s="196">
        <f t="shared" si="1013"/>
        <v>0.804029517842775</v>
      </c>
      <c r="AH624" s="196">
        <f t="shared" si="1013"/>
        <v>0.7357694859357622</v>
      </c>
      <c r="AI624" s="196">
        <f t="shared" si="1013"/>
        <v>0.6276578972150957</v>
      </c>
    </row>
    <row r="625" hidden="1" outlineLevel="1">
      <c r="A625" s="44" t="inlineStr">
        <is>
          <t>hnet</t>
        </is>
      </c>
      <c r="B625" s="3" t="inlineStr">
        <is>
          <t>p75</t>
        </is>
      </c>
      <c r="C625" s="3" t="inlineStr">
        <is>
          <t>rur</t>
        </is>
      </c>
      <c r="D625" s="3" t="n"/>
      <c r="E625" s="3" t="n"/>
      <c r="H625" s="3" t="inlineStr">
        <is>
          <t>Net effect, rural, p75</t>
        </is>
      </c>
      <c r="I625" s="3" t="inlineStr">
        <is>
          <t>% consumption</t>
        </is>
      </c>
      <c r="J625" s="118" t="inlineStr">
        <is>
          <t>total effect + recycling</t>
        </is>
      </c>
      <c r="K625" s="9" t="str">
        <f>LOWER(CtryCode)&amp;".distn."&amp;$A625&amp;IF($B625="","","."&amp;$B625)&amp;IF($C625="","",".dec."&amp;$C625)&amp;"."&amp;K$5</f>
        <v>egy.distn.hnet.p75.dec.rur.1</v>
      </c>
      <c r="M625" s="196">
        <f t="shared" ref="M625:V625" si="1014">M622+M624</f>
        <v>0.0</v>
      </c>
      <c r="N625" s="196">
        <f t="shared" si="1014"/>
        <v>0.0</v>
      </c>
      <c r="O625" s="196">
        <f t="shared" si="1014"/>
        <v>0.0</v>
      </c>
      <c r="P625" s="196">
        <f t="shared" si="1014"/>
        <v>0.0</v>
      </c>
      <c r="Q625" s="196">
        <f t="shared" si="1014"/>
        <v>0.0</v>
      </c>
      <c r="R625" s="196">
        <f t="shared" si="1014"/>
        <v>0.0</v>
      </c>
      <c r="S625" s="196">
        <f t="shared" si="1014"/>
        <v>0.0</v>
      </c>
      <c r="T625" s="196">
        <f t="shared" si="1014"/>
        <v>0.0</v>
      </c>
      <c r="U625" s="196">
        <f t="shared" si="1014"/>
        <v>0.0</v>
      </c>
      <c r="V625" s="196">
        <f t="shared" si="1014"/>
        <v>0.0</v>
      </c>
      <c r="W625" s="201" t="str">
        <f>IF(X$5=K$5,SUM(Y625:AI625)-SUM(L625:V625),"")</f>
        <v/>
      </c>
      <c r="X625" s="9" t="str">
        <f>LOWER(CtryCode)&amp;".distn."&amp;$A625&amp;IF($B625="","","."&amp;$B625)&amp;IF($C625="","",".dec."&amp;$C625)&amp;"."&amp;X$5</f>
        <v>egy.distn.hnet.p75.dec.rur.2</v>
      </c>
      <c r="Z625" s="196">
        <f t="shared" ref="Z625:AI625" si="1015">Z622+Z624</f>
        <v>2.6973547171975825</v>
      </c>
      <c r="AA625" s="196">
        <f t="shared" si="1015"/>
        <v>1.8077144015884876</v>
      </c>
      <c r="AB625" s="196">
        <f t="shared" si="1015"/>
        <v>0.9933685061900319</v>
      </c>
      <c r="AC625" s="196">
        <f t="shared" si="1015"/>
        <v>0.2991865338511932</v>
      </c>
      <c r="AD625" s="196">
        <f t="shared" si="1015"/>
        <v>-0.442877882920502</v>
      </c>
      <c r="AE625" s="196">
        <f t="shared" si="1015"/>
        <v>-0.39462772722560224</v>
      </c>
      <c r="AF625" s="196">
        <f t="shared" si="1015"/>
        <v>-0.6820133348320369</v>
      </c>
      <c r="AG625" s="196">
        <f t="shared" si="1015"/>
        <v>-0.7900399269250231</v>
      </c>
      <c r="AH625" s="196">
        <f t="shared" si="1015"/>
        <v>-0.8578774883971578</v>
      </c>
      <c r="AI625" s="196">
        <f t="shared" si="1015"/>
        <v>-1.0924239386368968</v>
      </c>
    </row>
    <row r="626" hidden="1" outlineLevel="1"/>
    <row r="627" hidden="1" outlineLevel="1">
      <c r="A627" s="44" t="inlineStr">
        <is>
          <t>gini.ptx</t>
        </is>
      </c>
      <c r="B627" s="3" t="inlineStr"/>
      <c r="C627" s="3" t="inlineStr">
        <is>
          <t>urb</t>
        </is>
      </c>
      <c r="D627" s="3" t="n"/>
      <c r="E627" s="3" t="n"/>
      <c r="H627" s="3" t="inlineStr">
        <is>
          <t>Change in the Gini in points, excluding recycling, urban</t>
        </is>
      </c>
      <c r="I627" s="3" t="inlineStr">
        <is>
          <t>points</t>
        </is>
      </c>
      <c r="J627" s="118" t="inlineStr">
        <is>
          <t>legacy rows 3102, 3140, 3175</t>
        </is>
      </c>
      <c r="K627" s="9" t="str">
        <f>LOWER(CtryCode)&amp;".distn."&amp;$A627&amp;IF($B627="","","."&amp;$B627)&amp;IF($C627="","",".dec."&amp;$C627)&amp;"."&amp;K$5</f>
        <v>egy.distn.gini.ptx.dec.urb.1</v>
      </c>
      <c r="L627" s="211">
        <f>L428-L427</f>
        <v>0.0</v>
      </c>
      <c r="M627" s="197">
        <f t="shared" ref="M627:V627" si="1016">L627</f>
        <v>0.0</v>
      </c>
      <c r="N627" s="197">
        <f t="shared" si="1016"/>
        <v>0.0</v>
      </c>
      <c r="O627" s="197">
        <f t="shared" si="1016"/>
        <v>0.0</v>
      </c>
      <c r="P627" s="197">
        <f t="shared" si="1016"/>
        <v>0.0</v>
      </c>
      <c r="Q627" s="197">
        <f t="shared" si="1016"/>
        <v>0.0</v>
      </c>
      <c r="R627" s="197">
        <f t="shared" si="1016"/>
        <v>0.0</v>
      </c>
      <c r="S627" s="197">
        <f t="shared" si="1016"/>
        <v>0.0</v>
      </c>
      <c r="T627" s="197">
        <f t="shared" si="1016"/>
        <v>0.0</v>
      </c>
      <c r="U627" s="197">
        <f t="shared" si="1016"/>
        <v>0.0</v>
      </c>
      <c r="V627" s="197">
        <f t="shared" si="1016"/>
        <v>0.0</v>
      </c>
      <c r="W627" s="201" t="str">
        <f>IF(X$5=K$5,SUM(Y627:AI627)-SUM(L627:V627),"")</f>
        <v/>
      </c>
      <c r="X627" s="9" t="str">
        <f>LOWER(CtryCode)&amp;".distn."&amp;$A627&amp;IF($B627="","","."&amp;$B627)&amp;IF($C627="","",".dec."&amp;$C627)&amp;"."&amp;X$5</f>
        <v>egy.distn.gini.ptx.dec.urb.2</v>
      </c>
      <c r="Y627" s="211">
        <f>Y428-Y427</f>
        <v>-1.003089782125599e-05</v>
      </c>
      <c r="Z627" s="197">
        <f t="shared" ref="Z627:AI627" si="1017">Y627</f>
        <v>-1.003089782125599e-05</v>
      </c>
      <c r="AA627" s="197">
        <f t="shared" si="1017"/>
        <v>-1.003089782125599e-05</v>
      </c>
      <c r="AB627" s="197">
        <f t="shared" si="1017"/>
        <v>-1.003089782125599e-05</v>
      </c>
      <c r="AC627" s="197">
        <f t="shared" si="1017"/>
        <v>-1.003089782125599e-05</v>
      </c>
      <c r="AD627" s="197">
        <f t="shared" si="1017"/>
        <v>-1.003089782125599e-05</v>
      </c>
      <c r="AE627" s="197">
        <f t="shared" si="1017"/>
        <v>-1.003089782125599e-05</v>
      </c>
      <c r="AF627" s="197">
        <f t="shared" si="1017"/>
        <v>-1.003089782125599e-05</v>
      </c>
      <c r="AG627" s="197">
        <f t="shared" si="1017"/>
        <v>-1.003089782125599e-05</v>
      </c>
      <c r="AH627" s="197">
        <f t="shared" si="1017"/>
        <v>-1.003089782125599e-05</v>
      </c>
      <c r="AI627" s="197">
        <f t="shared" si="1017"/>
        <v>-1.003089782125599e-05</v>
      </c>
    </row>
    <row r="628" hidden="1" outlineLevel="1">
      <c r="A628" s="44" t="inlineStr">
        <is>
          <t>gini.ptx</t>
        </is>
      </c>
      <c r="B628" s="3" t="inlineStr"/>
      <c r="C628" s="3" t="inlineStr">
        <is>
          <t>rur</t>
        </is>
      </c>
      <c r="D628" s="3" t="n"/>
      <c r="E628" s="3" t="n"/>
      <c r="H628" s="3" t="inlineStr">
        <is>
          <t>Change in the Gini in points, excluding recycling, rural</t>
        </is>
      </c>
      <c r="I628" s="3" t="inlineStr">
        <is>
          <t>points</t>
        </is>
      </c>
      <c r="J628" s="118" t="inlineStr">
        <is>
          <t>legacy rows 3102, 3140, 3175</t>
        </is>
      </c>
      <c r="K628" s="9" t="str">
        <f>LOWER(CtryCode)&amp;".distn."&amp;$A628&amp;IF($B628="","","."&amp;$B628)&amp;IF($C628="","",".dec."&amp;$C628)&amp;"."&amp;K$5</f>
        <v>egy.distn.gini.ptx.dec.rur.1</v>
      </c>
      <c r="L628" s="211">
        <f>L433-L432</f>
        <v>0.0</v>
      </c>
      <c r="M628" s="197">
        <f t="shared" ref="M628:V628" si="1018">L628</f>
        <v>0.0</v>
      </c>
      <c r="N628" s="197">
        <f t="shared" si="1018"/>
        <v>0.0</v>
      </c>
      <c r="O628" s="197">
        <f t="shared" si="1018"/>
        <v>0.0</v>
      </c>
      <c r="P628" s="197">
        <f t="shared" si="1018"/>
        <v>0.0</v>
      </c>
      <c r="Q628" s="197">
        <f t="shared" si="1018"/>
        <v>0.0</v>
      </c>
      <c r="R628" s="197">
        <f t="shared" si="1018"/>
        <v>0.0</v>
      </c>
      <c r="S628" s="197">
        <f t="shared" si="1018"/>
        <v>0.0</v>
      </c>
      <c r="T628" s="197">
        <f t="shared" si="1018"/>
        <v>0.0</v>
      </c>
      <c r="U628" s="197">
        <f t="shared" si="1018"/>
        <v>0.0</v>
      </c>
      <c r="V628" s="197">
        <f t="shared" si="1018"/>
        <v>0.0</v>
      </c>
      <c r="W628" s="201" t="str">
        <f>IF(X$5=K$5,SUM(Y628:AI628)-SUM(L628:V628),"")</f>
        <v/>
      </c>
      <c r="X628" s="9" t="str">
        <f>LOWER(CtryCode)&amp;".distn."&amp;$A628&amp;IF($B628="","","."&amp;$B628)&amp;IF($C628="","",".dec."&amp;$C628)&amp;"."&amp;X$5</f>
        <v>egy.distn.gini.ptx.dec.rur.2</v>
      </c>
      <c r="Y628" s="211">
        <f>Y433-Y432</f>
        <v>9.053875062348116e-05</v>
      </c>
      <c r="Z628" s="197">
        <f t="shared" ref="Z628:AI628" si="1019">Y628</f>
        <v>9.053875062348116e-05</v>
      </c>
      <c r="AA628" s="197">
        <f t="shared" si="1019"/>
        <v>9.053875062348116e-05</v>
      </c>
      <c r="AB628" s="197">
        <f t="shared" si="1019"/>
        <v>9.053875062348116e-05</v>
      </c>
      <c r="AC628" s="197">
        <f t="shared" si="1019"/>
        <v>9.053875062348116e-05</v>
      </c>
      <c r="AD628" s="197">
        <f t="shared" si="1019"/>
        <v>9.053875062348116e-05</v>
      </c>
      <c r="AE628" s="197">
        <f t="shared" si="1019"/>
        <v>9.053875062348116e-05</v>
      </c>
      <c r="AF628" s="197">
        <f t="shared" si="1019"/>
        <v>9.053875062348116e-05</v>
      </c>
      <c r="AG628" s="197">
        <f t="shared" si="1019"/>
        <v>9.053875062348116e-05</v>
      </c>
      <c r="AH628" s="197">
        <f t="shared" si="1019"/>
        <v>9.053875062348116e-05</v>
      </c>
      <c r="AI628" s="197">
        <f t="shared" si="1019"/>
        <v>9.053875062348116e-05</v>
      </c>
    </row>
    <row r="629" hidden="1" outlineLevel="1">
      <c r="A629" s="44" t="inlineStr">
        <is>
          <t>gini.ptx</t>
        </is>
      </c>
      <c r="B629" s="3" t="inlineStr"/>
      <c r="C629" s="3" t="inlineStr">
        <is>
          <t>ove</t>
        </is>
      </c>
      <c r="D629" s="3" t="n"/>
      <c r="E629" s="3" t="n"/>
      <c r="H629" s="3" t="inlineStr">
        <is>
          <t>Change in the Gini in points, excluding recycling, overall</t>
        </is>
      </c>
      <c r="I629" s="3" t="inlineStr">
        <is>
          <t>points</t>
        </is>
      </c>
      <c r="J629" s="118" t="inlineStr">
        <is>
          <t>legacy rows 3102, 3140, 3175</t>
        </is>
      </c>
      <c r="K629" s="9" t="str">
        <f>LOWER(CtryCode)&amp;".distn."&amp;$A629&amp;IF($B629="","","."&amp;$B629)&amp;IF($C629="","",".dec."&amp;$C629)&amp;"."&amp;K$5</f>
        <v>egy.distn.gini.ptx.dec.ove.1</v>
      </c>
      <c r="L629" s="211">
        <f>L423-L422</f>
        <v>0.0</v>
      </c>
      <c r="M629" s="197">
        <f t="shared" ref="M629:V629" si="1020">L629</f>
        <v>0.0</v>
      </c>
      <c r="N629" s="197">
        <f t="shared" si="1020"/>
        <v>0.0</v>
      </c>
      <c r="O629" s="197">
        <f t="shared" si="1020"/>
        <v>0.0</v>
      </c>
      <c r="P629" s="197">
        <f t="shared" si="1020"/>
        <v>0.0</v>
      </c>
      <c r="Q629" s="197">
        <f t="shared" si="1020"/>
        <v>0.0</v>
      </c>
      <c r="R629" s="197">
        <f t="shared" si="1020"/>
        <v>0.0</v>
      </c>
      <c r="S629" s="197">
        <f t="shared" si="1020"/>
        <v>0.0</v>
      </c>
      <c r="T629" s="197">
        <f t="shared" si="1020"/>
        <v>0.0</v>
      </c>
      <c r="U629" s="197">
        <f t="shared" si="1020"/>
        <v>0.0</v>
      </c>
      <c r="V629" s="197">
        <f t="shared" si="1020"/>
        <v>0.0</v>
      </c>
      <c r="W629" s="201" t="str">
        <f>IF(X$5=K$5,SUM(Y629:AI629)-SUM(L629:V629),"")</f>
        <v/>
      </c>
      <c r="X629" s="9" t="str">
        <f>LOWER(CtryCode)&amp;".distn."&amp;$A629&amp;IF($B629="","","."&amp;$B629)&amp;IF($C629="","",".dec."&amp;$C629)&amp;"."&amp;X$5</f>
        <v>egy.distn.gini.ptx.dec.ove.2</v>
      </c>
      <c r="Y629" s="211">
        <f>Y423-Y422</f>
        <v>8.67106539146345e-05</v>
      </c>
      <c r="Z629" s="197">
        <f t="shared" ref="Z629:AI629" si="1021">Y629</f>
        <v>8.67106539146345e-05</v>
      </c>
      <c r="AA629" s="197">
        <f t="shared" si="1021"/>
        <v>8.67106539146345e-05</v>
      </c>
      <c r="AB629" s="197">
        <f t="shared" si="1021"/>
        <v>8.67106539146345e-05</v>
      </c>
      <c r="AC629" s="197">
        <f t="shared" si="1021"/>
        <v>8.67106539146345e-05</v>
      </c>
      <c r="AD629" s="197">
        <f t="shared" si="1021"/>
        <v>8.67106539146345e-05</v>
      </c>
      <c r="AE629" s="197">
        <f t="shared" si="1021"/>
        <v>8.67106539146345e-05</v>
      </c>
      <c r="AF629" s="197">
        <f t="shared" si="1021"/>
        <v>8.67106539146345e-05</v>
      </c>
      <c r="AG629" s="197">
        <f t="shared" si="1021"/>
        <v>8.67106539146345e-05</v>
      </c>
      <c r="AH629" s="197">
        <f t="shared" si="1021"/>
        <v>8.67106539146345e-05</v>
      </c>
      <c r="AI629" s="197">
        <f t="shared" si="1021"/>
        <v>8.67106539146345e-05</v>
      </c>
    </row>
    <row r="630" hidden="1" outlineLevel="1">
      <c r="A630" s="44" t="inlineStr">
        <is>
          <t>gini.pti</t>
        </is>
      </c>
      <c r="B630" s="3" t="inlineStr"/>
      <c r="C630" s="3" t="inlineStr">
        <is>
          <t>urb</t>
        </is>
      </c>
      <c r="D630" s="3" t="n"/>
      <c r="E630" s="3" t="n"/>
      <c r="H630" s="3" t="inlineStr">
        <is>
          <t>Change in the Gini in points, including recycling, urban</t>
        </is>
      </c>
      <c r="I630" s="3" t="inlineStr">
        <is>
          <t>points</t>
        </is>
      </c>
      <c r="J630" s="118" t="inlineStr">
        <is>
          <t>legacy rows 3103, 3141, 3176</t>
        </is>
      </c>
      <c r="K630" s="9" t="str">
        <f>LOWER(CtryCode)&amp;".distn."&amp;$A630&amp;IF($B630="","","."&amp;$B630)&amp;IF($C630="","",".dec."&amp;$C630)&amp;"."&amp;K$5</f>
        <v>egy.distn.gini.pti.dec.urb.1</v>
      </c>
      <c r="L630" s="211">
        <f>L429-L427</f>
        <v>0.0</v>
      </c>
      <c r="M630" s="197">
        <f t="shared" ref="M630:V630" si="1022">L630</f>
        <v>0.0</v>
      </c>
      <c r="N630" s="197">
        <f t="shared" si="1022"/>
        <v>0.0</v>
      </c>
      <c r="O630" s="197">
        <f t="shared" si="1022"/>
        <v>0.0</v>
      </c>
      <c r="P630" s="197">
        <f t="shared" si="1022"/>
        <v>0.0</v>
      </c>
      <c r="Q630" s="197">
        <f t="shared" si="1022"/>
        <v>0.0</v>
      </c>
      <c r="R630" s="197">
        <f t="shared" si="1022"/>
        <v>0.0</v>
      </c>
      <c r="S630" s="197">
        <f t="shared" si="1022"/>
        <v>0.0</v>
      </c>
      <c r="T630" s="197">
        <f t="shared" si="1022"/>
        <v>0.0</v>
      </c>
      <c r="U630" s="197">
        <f t="shared" si="1022"/>
        <v>0.0</v>
      </c>
      <c r="V630" s="197">
        <f t="shared" si="1022"/>
        <v>0.0</v>
      </c>
      <c r="W630" s="201" t="str">
        <f>IF(X$5=K$5,SUM(Y630:AI630)-SUM(L630:V630),"")</f>
        <v/>
      </c>
      <c r="X630" s="9" t="str">
        <f>LOWER(CtryCode)&amp;".distn."&amp;$A630&amp;IF($B630="","","."&amp;$B630)&amp;IF($C630="","",".dec."&amp;$C630)&amp;"."&amp;X$5</f>
        <v>egy.distn.gini.pti.dec.urb.2</v>
      </c>
      <c r="Y630" s="211">
        <f>Y429-Y427</f>
        <v>-0.0029385391253927695</v>
      </c>
      <c r="Z630" s="197">
        <f t="shared" ref="Z630:AI630" si="1023">Y630</f>
        <v>-0.0029385391253927695</v>
      </c>
      <c r="AA630" s="197">
        <f t="shared" si="1023"/>
        <v>-0.0029385391253927695</v>
      </c>
      <c r="AB630" s="197">
        <f t="shared" si="1023"/>
        <v>-0.0029385391253927695</v>
      </c>
      <c r="AC630" s="197">
        <f t="shared" si="1023"/>
        <v>-0.0029385391253927695</v>
      </c>
      <c r="AD630" s="197">
        <f t="shared" si="1023"/>
        <v>-0.0029385391253927695</v>
      </c>
      <c r="AE630" s="197">
        <f t="shared" si="1023"/>
        <v>-0.0029385391253927695</v>
      </c>
      <c r="AF630" s="197">
        <f t="shared" si="1023"/>
        <v>-0.0029385391253927695</v>
      </c>
      <c r="AG630" s="197">
        <f t="shared" si="1023"/>
        <v>-0.0029385391253927695</v>
      </c>
      <c r="AH630" s="197">
        <f t="shared" si="1023"/>
        <v>-0.0029385391253927695</v>
      </c>
      <c r="AI630" s="197">
        <f t="shared" si="1023"/>
        <v>-0.0029385391253927695</v>
      </c>
    </row>
    <row r="631" hidden="1" outlineLevel="1">
      <c r="A631" s="44" t="inlineStr">
        <is>
          <t>gini.pti</t>
        </is>
      </c>
      <c r="B631" s="3" t="inlineStr"/>
      <c r="C631" s="3" t="inlineStr">
        <is>
          <t>rur</t>
        </is>
      </c>
      <c r="D631" s="3" t="n"/>
      <c r="E631" s="3" t="n"/>
      <c r="H631" s="3" t="inlineStr">
        <is>
          <t>Change in the Gini in points, including recycling, rural</t>
        </is>
      </c>
      <c r="I631" s="3" t="inlineStr">
        <is>
          <t>points</t>
        </is>
      </c>
      <c r="J631" s="118" t="inlineStr">
        <is>
          <t>legacy rows 3103, 3141, 3176</t>
        </is>
      </c>
      <c r="K631" s="9" t="str">
        <f>LOWER(CtryCode)&amp;".distn."&amp;$A631&amp;IF($B631="","","."&amp;$B631)&amp;IF($C631="","",".dec."&amp;$C631)&amp;"."&amp;K$5</f>
        <v>egy.distn.gini.pti.dec.rur.1</v>
      </c>
      <c r="L631" s="211">
        <f>L434-L432</f>
        <v>0.0</v>
      </c>
      <c r="M631" s="197">
        <f t="shared" ref="M631:V631" si="1024">L631</f>
        <v>0.0</v>
      </c>
      <c r="N631" s="197">
        <f t="shared" si="1024"/>
        <v>0.0</v>
      </c>
      <c r="O631" s="197">
        <f t="shared" si="1024"/>
        <v>0.0</v>
      </c>
      <c r="P631" s="197">
        <f t="shared" si="1024"/>
        <v>0.0</v>
      </c>
      <c r="Q631" s="197">
        <f t="shared" si="1024"/>
        <v>0.0</v>
      </c>
      <c r="R631" s="197">
        <f t="shared" si="1024"/>
        <v>0.0</v>
      </c>
      <c r="S631" s="197">
        <f t="shared" si="1024"/>
        <v>0.0</v>
      </c>
      <c r="T631" s="197">
        <f t="shared" si="1024"/>
        <v>0.0</v>
      </c>
      <c r="U631" s="197">
        <f t="shared" si="1024"/>
        <v>0.0</v>
      </c>
      <c r="V631" s="197">
        <f t="shared" si="1024"/>
        <v>0.0</v>
      </c>
      <c r="W631" s="201" t="str">
        <f>IF(X$5=K$5,SUM(Y631:AI631)-SUM(L631:V631),"")</f>
        <v/>
      </c>
      <c r="X631" s="9" t="str">
        <f>LOWER(CtryCode)&amp;".distn."&amp;$A631&amp;IF($B631="","","."&amp;$B631)&amp;IF($C631="","",".dec."&amp;$C631)&amp;"."&amp;X$5</f>
        <v>egy.distn.gini.pti.dec.rur.2</v>
      </c>
      <c r="Y631" s="211">
        <f>Y434-Y432</f>
        <v>-0.005489871988194617</v>
      </c>
      <c r="Z631" s="197">
        <f t="shared" ref="Z631:AI631" si="1025">Y631</f>
        <v>-0.005489871988194617</v>
      </c>
      <c r="AA631" s="197">
        <f t="shared" si="1025"/>
        <v>-0.005489871988194617</v>
      </c>
      <c r="AB631" s="197">
        <f t="shared" si="1025"/>
        <v>-0.005489871988194617</v>
      </c>
      <c r="AC631" s="197">
        <f t="shared" si="1025"/>
        <v>-0.005489871988194617</v>
      </c>
      <c r="AD631" s="197">
        <f t="shared" si="1025"/>
        <v>-0.005489871988194617</v>
      </c>
      <c r="AE631" s="197">
        <f t="shared" si="1025"/>
        <v>-0.005489871988194617</v>
      </c>
      <c r="AF631" s="197">
        <f t="shared" si="1025"/>
        <v>-0.005489871988194617</v>
      </c>
      <c r="AG631" s="197">
        <f t="shared" si="1025"/>
        <v>-0.005489871988194617</v>
      </c>
      <c r="AH631" s="197">
        <f t="shared" si="1025"/>
        <v>-0.005489871988194617</v>
      </c>
      <c r="AI631" s="197">
        <f t="shared" si="1025"/>
        <v>-0.005489871988194617</v>
      </c>
    </row>
    <row r="632" hidden="1" outlineLevel="1"/>
    <row r="633" collapsed="1">
      <c r="A633" s="44" t="inlineStr">
        <is>
          <t>gini.pti</t>
        </is>
      </c>
      <c r="B633" s="3" t="inlineStr"/>
      <c r="C633" s="3" t="inlineStr">
        <is>
          <t>ove</t>
        </is>
      </c>
      <c r="D633" s="3" t="n"/>
      <c r="E633" s="3" t="n"/>
      <c r="H633" s="6" t="inlineStr">
        <is>
          <t>Change in the Gini in points, including recycling, overall</t>
        </is>
      </c>
      <c r="I633" s="3" t="inlineStr">
        <is>
          <t>points</t>
        </is>
      </c>
      <c r="J633" s="118" t="inlineStr">
        <is>
          <t>legacy rows 3103, 3141, 3176</t>
        </is>
      </c>
      <c r="K633" s="9" t="str">
        <f>LOWER(CtryCode)&amp;".distn."&amp;$A633&amp;IF($B633="","","."&amp;$B633)&amp;IF($C633="","",".dec."&amp;$C633)&amp;"."&amp;K$5</f>
        <v>egy.distn.gini.pti.dec.ove.1</v>
      </c>
      <c r="L633" s="222">
        <f>L424-L422</f>
        <v>0.0</v>
      </c>
      <c r="M633" s="223">
        <f t="shared" ref="M633:V633" si="1026">L633</f>
        <v>0.0</v>
      </c>
      <c r="N633" s="223">
        <f t="shared" si="1026"/>
        <v>0.0</v>
      </c>
      <c r="O633" s="223">
        <f t="shared" si="1026"/>
        <v>0.0</v>
      </c>
      <c r="P633" s="223">
        <f t="shared" si="1026"/>
        <v>0.0</v>
      </c>
      <c r="Q633" s="223">
        <f t="shared" si="1026"/>
        <v>0.0</v>
      </c>
      <c r="R633" s="223">
        <f t="shared" si="1026"/>
        <v>0.0</v>
      </c>
      <c r="S633" s="223">
        <f t="shared" si="1026"/>
        <v>0.0</v>
      </c>
      <c r="T633" s="223">
        <f t="shared" si="1026"/>
        <v>0.0</v>
      </c>
      <c r="U633" s="223">
        <f t="shared" si="1026"/>
        <v>0.0</v>
      </c>
      <c r="V633" s="223">
        <f t="shared" si="1026"/>
        <v>0.0</v>
      </c>
      <c r="W633" s="201" t="str">
        <f>IF(X$5=K$5,SUM(Y633:AI633)-SUM(L633:V633),"")</f>
        <v/>
      </c>
      <c r="X633" s="9" t="str">
        <f>LOWER(CtryCode)&amp;".distn."&amp;$A633&amp;IF($B633="","","."&amp;$B633)&amp;IF($C633="","",".dec."&amp;$C633)&amp;"."&amp;X$5</f>
        <v>egy.distn.gini.pti.dec.ove.2</v>
      </c>
      <c r="Y633" s="222">
        <f>Y424-Y422</f>
        <v>-0.004895319667262421</v>
      </c>
      <c r="Z633" s="223">
        <f t="shared" ref="Z633:AI633" si="1027">Y633</f>
        <v>-0.004895319667262421</v>
      </c>
      <c r="AA633" s="223">
        <f t="shared" si="1027"/>
        <v>-0.004895319667262421</v>
      </c>
      <c r="AB633" s="223">
        <f t="shared" si="1027"/>
        <v>-0.004895319667262421</v>
      </c>
      <c r="AC633" s="223">
        <f t="shared" si="1027"/>
        <v>-0.004895319667262421</v>
      </c>
      <c r="AD633" s="223">
        <f t="shared" si="1027"/>
        <v>-0.004895319667262421</v>
      </c>
      <c r="AE633" s="223">
        <f t="shared" si="1027"/>
        <v>-0.004895319667262421</v>
      </c>
      <c r="AF633" s="223">
        <f t="shared" si="1027"/>
        <v>-0.004895319667262421</v>
      </c>
      <c r="AG633" s="223">
        <f t="shared" si="1027"/>
        <v>-0.004895319667262421</v>
      </c>
      <c r="AH633" s="223">
        <f t="shared" si="1027"/>
        <v>-0.004895319667262421</v>
      </c>
      <c r="AI633" s="223">
        <f t="shared" si="1027"/>
        <v>-0.004895319667262421</v>
      </c>
    </row>
    <row r="634"/>
    <row r="635">
      <c r="A635" s="36" t="inlineStr">
        <is>
          <t>11</t>
        </is>
      </c>
      <c r="B635" s="37" t="inlineStr">
        <is>
          <t>Price changes by production sector (legacy D.VI; MTInputs PassthroughDist)</t>
        </is>
      </c>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row>
    <row r="636" hidden="1" outlineLevel="1"/>
    <row r="637" hidden="1" outlineLevel="1">
      <c r="B637" s="31" t="inlineStr">
        <is>
          <t>Input-cost price change by GTAP sector (Leontief coefficients x fuel-group factors; fuel sectors 0)</t>
        </is>
      </c>
    </row>
    <row r="638" hidden="1" outlineLevel="1">
      <c r="A638" s="44" t="inlineStr">
        <is>
          <t>dps</t>
        </is>
      </c>
      <c r="B638" s="3" t="inlineStr">
        <is>
          <t>afs</t>
        </is>
      </c>
      <c r="C638" s="3" t="inlineStr"/>
      <c r="D638" s="3" t="n">
        <v>1</v>
      </c>
      <c r="E638" s="3" t="inlineStr">
        <is>
          <t>srv</t>
        </is>
      </c>
      <c r="H638" s="3" t="inlineStr">
        <is>
          <t>Hotels: price change, input costs</t>
        </is>
      </c>
      <c r="I638" s="3" t="inlineStr">
        <is>
          <t>fraction</t>
        </is>
      </c>
      <c r="J638" s="118" t="inlineStr">
        <is>
          <t>legacy rows 643, 653</t>
        </is>
      </c>
      <c r="K638" s="9" t="str">
        <f>LOWER(CtryCode)&amp;".distn."&amp;$A638&amp;IF($B638="","","."&amp;$B638)&amp;IF($C638="","",".dec."&amp;$C638)&amp;"."&amp;K$5</f>
        <v>egy.distn.dps.afs.1</v>
      </c>
      <c r="L638" s="121">
        <f>IF(INDEX(DSecFuel,$D638),0,MMULT(INDEX(DSecLeon,$D638,0),L$106:L$110))</f>
        <v>0.0</v>
      </c>
      <c r="M638" s="122">
        <f t="shared" ref="M638:V638" si="1028">L638</f>
        <v>0.0</v>
      </c>
      <c r="N638" s="122">
        <f t="shared" si="1028"/>
        <v>0.0</v>
      </c>
      <c r="O638" s="122">
        <f t="shared" si="1028"/>
        <v>0.0</v>
      </c>
      <c r="P638" s="122">
        <f t="shared" si="1028"/>
        <v>0.0</v>
      </c>
      <c r="Q638" s="122">
        <f t="shared" si="1028"/>
        <v>0.0</v>
      </c>
      <c r="R638" s="122">
        <f t="shared" si="1028"/>
        <v>0.0</v>
      </c>
      <c r="S638" s="122">
        <f t="shared" si="1028"/>
        <v>0.0</v>
      </c>
      <c r="T638" s="122">
        <f t="shared" si="1028"/>
        <v>0.0</v>
      </c>
      <c r="U638" s="122">
        <f t="shared" si="1028"/>
        <v>0.0</v>
      </c>
      <c r="V638" s="122">
        <f t="shared" si="1028"/>
        <v>0.0</v>
      </c>
      <c r="W638" s="201" t="str">
        <f>IF(X$5=K$5,SUM(Y638:AI638)-SUM(L638:V638),"")</f>
        <v/>
      </c>
      <c r="X638" s="9" t="str">
        <f>LOWER(CtryCode)&amp;".distn."&amp;$A638&amp;IF($B638="","","."&amp;$B638)&amp;IF($C638="","",".dec."&amp;$C638)&amp;"."&amp;X$5</f>
        <v>egy.distn.dps.afs.2</v>
      </c>
      <c r="Y638" s="121">
        <f>IF(INDEX(DSecFuel,$D638),0,MMULT(INDEX(DSecLeon,$D638,0),Y$106:Y$110))</f>
        <v>0.0007645757621477592</v>
      </c>
      <c r="Z638" s="122">
        <f t="shared" ref="Z638:AI638" si="1029">Y638</f>
        <v>0.0007645757621477592</v>
      </c>
      <c r="AA638" s="122">
        <f t="shared" si="1029"/>
        <v>0.0007645757621477592</v>
      </c>
      <c r="AB638" s="122">
        <f t="shared" si="1029"/>
        <v>0.0007645757621477592</v>
      </c>
      <c r="AC638" s="122">
        <f t="shared" si="1029"/>
        <v>0.0007645757621477592</v>
      </c>
      <c r="AD638" s="122">
        <f t="shared" si="1029"/>
        <v>0.0007645757621477592</v>
      </c>
      <c r="AE638" s="122">
        <f t="shared" si="1029"/>
        <v>0.0007645757621477592</v>
      </c>
      <c r="AF638" s="122">
        <f t="shared" si="1029"/>
        <v>0.0007645757621477592</v>
      </c>
      <c r="AG638" s="122">
        <f t="shared" si="1029"/>
        <v>0.0007645757621477592</v>
      </c>
      <c r="AH638" s="122">
        <f t="shared" si="1029"/>
        <v>0.0007645757621477592</v>
      </c>
      <c r="AI638" s="122">
        <f t="shared" si="1029"/>
        <v>0.0007645757621477592</v>
      </c>
    </row>
    <row r="639" hidden="1" outlineLevel="1">
      <c r="A639" s="44" t="inlineStr">
        <is>
          <t>dps</t>
        </is>
      </c>
      <c r="B639" s="3" t="inlineStr">
        <is>
          <t>atp</t>
        </is>
      </c>
      <c r="C639" s="3" t="inlineStr"/>
      <c r="D639" s="3" t="n">
        <v>2</v>
      </c>
      <c r="E639" s="3" t="inlineStr">
        <is>
          <t>avi</t>
        </is>
      </c>
      <c r="H639" s="3" t="inlineStr">
        <is>
          <t>Air transport: price change, input costs</t>
        </is>
      </c>
      <c r="I639" s="3" t="inlineStr">
        <is>
          <t>fraction</t>
        </is>
      </c>
      <c r="J639" s="118" t="inlineStr">
        <is>
          <t>legacy rows 643, 653</t>
        </is>
      </c>
      <c r="K639" s="9" t="str">
        <f>LOWER(CtryCode)&amp;".distn."&amp;$A639&amp;IF($B639="","","."&amp;$B639)&amp;IF($C639="","",".dec."&amp;$C639)&amp;"."&amp;K$5</f>
        <v>egy.distn.dps.atp.1</v>
      </c>
      <c r="L639" s="121">
        <f>IF(INDEX(DSecFuel,$D639),0,MMULT(INDEX(DSecLeon,$D639,0),L$106:L$110))</f>
        <v>0.0</v>
      </c>
      <c r="M639" s="122">
        <f t="shared" ref="M639:V639" si="1030">L639</f>
        <v>0.0</v>
      </c>
      <c r="N639" s="122">
        <f t="shared" si="1030"/>
        <v>0.0</v>
      </c>
      <c r="O639" s="122">
        <f t="shared" si="1030"/>
        <v>0.0</v>
      </c>
      <c r="P639" s="122">
        <f t="shared" si="1030"/>
        <v>0.0</v>
      </c>
      <c r="Q639" s="122">
        <f t="shared" si="1030"/>
        <v>0.0</v>
      </c>
      <c r="R639" s="122">
        <f t="shared" si="1030"/>
        <v>0.0</v>
      </c>
      <c r="S639" s="122">
        <f t="shared" si="1030"/>
        <v>0.0</v>
      </c>
      <c r="T639" s="122">
        <f t="shared" si="1030"/>
        <v>0.0</v>
      </c>
      <c r="U639" s="122">
        <f t="shared" si="1030"/>
        <v>0.0</v>
      </c>
      <c r="V639" s="122">
        <f t="shared" si="1030"/>
        <v>0.0</v>
      </c>
      <c r="W639" s="201" t="str">
        <f>IF(X$5=K$5,SUM(Y639:AI639)-SUM(L639:V639),"")</f>
        <v/>
      </c>
      <c r="X639" s="9" t="str">
        <f>LOWER(CtryCode)&amp;".distn."&amp;$A639&amp;IF($B639="","","."&amp;$B639)&amp;IF($C639="","",".dec."&amp;$C639)&amp;"."&amp;X$5</f>
        <v>egy.distn.dps.atp.2</v>
      </c>
      <c r="Y639" s="121">
        <f>IF(INDEX(DSecFuel,$D639),0,MMULT(INDEX(DSecLeon,$D639,0),Y$106:Y$110))</f>
        <v>0.007533819297724958</v>
      </c>
      <c r="Z639" s="122">
        <f t="shared" ref="Z639:AI639" si="1031">Y639</f>
        <v>0.007533819297724958</v>
      </c>
      <c r="AA639" s="122">
        <f t="shared" si="1031"/>
        <v>0.007533819297724958</v>
      </c>
      <c r="AB639" s="122">
        <f t="shared" si="1031"/>
        <v>0.007533819297724958</v>
      </c>
      <c r="AC639" s="122">
        <f t="shared" si="1031"/>
        <v>0.007533819297724958</v>
      </c>
      <c r="AD639" s="122">
        <f t="shared" si="1031"/>
        <v>0.007533819297724958</v>
      </c>
      <c r="AE639" s="122">
        <f t="shared" si="1031"/>
        <v>0.007533819297724958</v>
      </c>
      <c r="AF639" s="122">
        <f t="shared" si="1031"/>
        <v>0.007533819297724958</v>
      </c>
      <c r="AG639" s="122">
        <f t="shared" si="1031"/>
        <v>0.007533819297724958</v>
      </c>
      <c r="AH639" s="122">
        <f t="shared" si="1031"/>
        <v>0.007533819297724958</v>
      </c>
      <c r="AI639" s="122">
        <f t="shared" si="1031"/>
        <v>0.007533819297724958</v>
      </c>
    </row>
    <row r="640" hidden="1" outlineLevel="1">
      <c r="A640" s="44" t="inlineStr">
        <is>
          <t>dps</t>
        </is>
      </c>
      <c r="B640" s="3" t="inlineStr">
        <is>
          <t>b_t</t>
        </is>
      </c>
      <c r="C640" s="3" t="inlineStr"/>
      <c r="D640" s="3" t="n">
        <v>3</v>
      </c>
      <c r="E640" s="3" t="inlineStr">
        <is>
          <t>foo</t>
        </is>
      </c>
      <c r="H640" s="3" t="inlineStr">
        <is>
          <t>Beverages &amp; Tobacco: price change, input costs</t>
        </is>
      </c>
      <c r="I640" s="3" t="inlineStr">
        <is>
          <t>fraction</t>
        </is>
      </c>
      <c r="J640" s="118" t="inlineStr">
        <is>
          <t>legacy rows 643, 653</t>
        </is>
      </c>
      <c r="K640" s="9" t="str">
        <f>LOWER(CtryCode)&amp;".distn."&amp;$A640&amp;IF($B640="","","."&amp;$B640)&amp;IF($C640="","",".dec."&amp;$C640)&amp;"."&amp;K$5</f>
        <v>egy.distn.dps.b_t.1</v>
      </c>
      <c r="L640" s="121">
        <f>IF(INDEX(DSecFuel,$D640),0,MMULT(INDEX(DSecLeon,$D640,0),L$106:L$110))</f>
        <v>0.0</v>
      </c>
      <c r="M640" s="122">
        <f t="shared" ref="M640:V640" si="1032">L640</f>
        <v>0.0</v>
      </c>
      <c r="N640" s="122">
        <f t="shared" si="1032"/>
        <v>0.0</v>
      </c>
      <c r="O640" s="122">
        <f t="shared" si="1032"/>
        <v>0.0</v>
      </c>
      <c r="P640" s="122">
        <f t="shared" si="1032"/>
        <v>0.0</v>
      </c>
      <c r="Q640" s="122">
        <f t="shared" si="1032"/>
        <v>0.0</v>
      </c>
      <c r="R640" s="122">
        <f t="shared" si="1032"/>
        <v>0.0</v>
      </c>
      <c r="S640" s="122">
        <f t="shared" si="1032"/>
        <v>0.0</v>
      </c>
      <c r="T640" s="122">
        <f t="shared" si="1032"/>
        <v>0.0</v>
      </c>
      <c r="U640" s="122">
        <f t="shared" si="1032"/>
        <v>0.0</v>
      </c>
      <c r="V640" s="122">
        <f t="shared" si="1032"/>
        <v>0.0</v>
      </c>
      <c r="W640" s="201" t="str">
        <f>IF(X$5=K$5,SUM(Y640:AI640)-SUM(L640:V640),"")</f>
        <v/>
      </c>
      <c r="X640" s="9" t="str">
        <f>LOWER(CtryCode)&amp;".distn."&amp;$A640&amp;IF($B640="","","."&amp;$B640)&amp;IF($C640="","",".dec."&amp;$C640)&amp;"."&amp;X$5</f>
        <v>egy.distn.dps.b_t.2</v>
      </c>
      <c r="Y640" s="121">
        <f>IF(INDEX(DSecFuel,$D640),0,MMULT(INDEX(DSecLeon,$D640,0),Y$106:Y$110))</f>
        <v>0.0006453934082410002</v>
      </c>
      <c r="Z640" s="122">
        <f t="shared" ref="Z640:AI640" si="1033">Y640</f>
        <v>0.0006453934082410002</v>
      </c>
      <c r="AA640" s="122">
        <f t="shared" si="1033"/>
        <v>0.0006453934082410002</v>
      </c>
      <c r="AB640" s="122">
        <f t="shared" si="1033"/>
        <v>0.0006453934082410002</v>
      </c>
      <c r="AC640" s="122">
        <f t="shared" si="1033"/>
        <v>0.0006453934082410002</v>
      </c>
      <c r="AD640" s="122">
        <f t="shared" si="1033"/>
        <v>0.0006453934082410002</v>
      </c>
      <c r="AE640" s="122">
        <f t="shared" si="1033"/>
        <v>0.0006453934082410002</v>
      </c>
      <c r="AF640" s="122">
        <f t="shared" si="1033"/>
        <v>0.0006453934082410002</v>
      </c>
      <c r="AG640" s="122">
        <f t="shared" si="1033"/>
        <v>0.0006453934082410002</v>
      </c>
      <c r="AH640" s="122">
        <f t="shared" si="1033"/>
        <v>0.0006453934082410002</v>
      </c>
      <c r="AI640" s="122">
        <f t="shared" si="1033"/>
        <v>0.0006453934082410002</v>
      </c>
    </row>
    <row r="641" hidden="1" outlineLevel="1">
      <c r="A641" s="44" t="inlineStr">
        <is>
          <t>dps</t>
        </is>
      </c>
      <c r="B641" s="3" t="inlineStr">
        <is>
          <t>bph</t>
        </is>
      </c>
      <c r="C641" s="3" t="inlineStr"/>
      <c r="D641" s="3" t="n">
        <v>4</v>
      </c>
      <c r="E641" s="3" t="inlineStr">
        <is>
          <t>mch</t>
        </is>
      </c>
      <c r="H641" s="3" t="inlineStr">
        <is>
          <t>Pharmaceuticals: price change, input costs</t>
        </is>
      </c>
      <c r="I641" s="3" t="inlineStr">
        <is>
          <t>fraction</t>
        </is>
      </c>
      <c r="J641" s="118" t="inlineStr">
        <is>
          <t>legacy rows 643, 653</t>
        </is>
      </c>
      <c r="K641" s="9" t="str">
        <f>LOWER(CtryCode)&amp;".distn."&amp;$A641&amp;IF($B641="","","."&amp;$B641)&amp;IF($C641="","",".dec."&amp;$C641)&amp;"."&amp;K$5</f>
        <v>egy.distn.dps.bph.1</v>
      </c>
      <c r="L641" s="121">
        <f>IF(INDEX(DSecFuel,$D641),0,MMULT(INDEX(DSecLeon,$D641,0),L$106:L$110))</f>
        <v>0.0</v>
      </c>
      <c r="M641" s="122">
        <f t="shared" ref="M641:V641" si="1034">L641</f>
        <v>0.0</v>
      </c>
      <c r="N641" s="122">
        <f t="shared" si="1034"/>
        <v>0.0</v>
      </c>
      <c r="O641" s="122">
        <f t="shared" si="1034"/>
        <v>0.0</v>
      </c>
      <c r="P641" s="122">
        <f t="shared" si="1034"/>
        <v>0.0</v>
      </c>
      <c r="Q641" s="122">
        <f t="shared" si="1034"/>
        <v>0.0</v>
      </c>
      <c r="R641" s="122">
        <f t="shared" si="1034"/>
        <v>0.0</v>
      </c>
      <c r="S641" s="122">
        <f t="shared" si="1034"/>
        <v>0.0</v>
      </c>
      <c r="T641" s="122">
        <f t="shared" si="1034"/>
        <v>0.0</v>
      </c>
      <c r="U641" s="122">
        <f t="shared" si="1034"/>
        <v>0.0</v>
      </c>
      <c r="V641" s="122">
        <f t="shared" si="1034"/>
        <v>0.0</v>
      </c>
      <c r="W641" s="201" t="str">
        <f>IF(X$5=K$5,SUM(Y641:AI641)-SUM(L641:V641),"")</f>
        <v/>
      </c>
      <c r="X641" s="9" t="str">
        <f>LOWER(CtryCode)&amp;".distn."&amp;$A641&amp;IF($B641="","","."&amp;$B641)&amp;IF($C641="","",".dec."&amp;$C641)&amp;"."&amp;X$5</f>
        <v>egy.distn.dps.bph.2</v>
      </c>
      <c r="Y641" s="121">
        <f>IF(INDEX(DSecFuel,$D641),0,MMULT(INDEX(DSecLeon,$D641,0),Y$106:Y$110))</f>
        <v>0.002203938616931878</v>
      </c>
      <c r="Z641" s="122">
        <f t="shared" ref="Z641:AI641" si="1035">Y641</f>
        <v>0.002203938616931878</v>
      </c>
      <c r="AA641" s="122">
        <f t="shared" si="1035"/>
        <v>0.002203938616931878</v>
      </c>
      <c r="AB641" s="122">
        <f t="shared" si="1035"/>
        <v>0.002203938616931878</v>
      </c>
      <c r="AC641" s="122">
        <f t="shared" si="1035"/>
        <v>0.002203938616931878</v>
      </c>
      <c r="AD641" s="122">
        <f t="shared" si="1035"/>
        <v>0.002203938616931878</v>
      </c>
      <c r="AE641" s="122">
        <f t="shared" si="1035"/>
        <v>0.002203938616931878</v>
      </c>
      <c r="AF641" s="122">
        <f t="shared" si="1035"/>
        <v>0.002203938616931878</v>
      </c>
      <c r="AG641" s="122">
        <f t="shared" si="1035"/>
        <v>0.002203938616931878</v>
      </c>
      <c r="AH641" s="122">
        <f t="shared" si="1035"/>
        <v>0.002203938616931878</v>
      </c>
      <c r="AI641" s="122">
        <f t="shared" si="1035"/>
        <v>0.002203938616931878</v>
      </c>
    </row>
    <row r="642" hidden="1" outlineLevel="1">
      <c r="A642" s="44" t="inlineStr">
        <is>
          <t>dps</t>
        </is>
      </c>
      <c r="B642" s="3" t="inlineStr">
        <is>
          <t>c_b</t>
        </is>
      </c>
      <c r="C642" s="3" t="inlineStr"/>
      <c r="D642" s="3" t="n">
        <v>5</v>
      </c>
      <c r="E642" s="3" t="inlineStr">
        <is>
          <t>foo</t>
        </is>
      </c>
      <c r="H642" s="3" t="inlineStr">
        <is>
          <t>Cane &amp; Beet: price change, input costs</t>
        </is>
      </c>
      <c r="I642" s="3" t="inlineStr">
        <is>
          <t>fraction</t>
        </is>
      </c>
      <c r="J642" s="118" t="inlineStr">
        <is>
          <t>legacy rows 643, 653</t>
        </is>
      </c>
      <c r="K642" s="9" t="str">
        <f>LOWER(CtryCode)&amp;".distn."&amp;$A642&amp;IF($B642="","","."&amp;$B642)&amp;IF($C642="","",".dec."&amp;$C642)&amp;"."&amp;K$5</f>
        <v>egy.distn.dps.c_b.1</v>
      </c>
      <c r="L642" s="121">
        <f>IF(INDEX(DSecFuel,$D642),0,MMULT(INDEX(DSecLeon,$D642,0),L$106:L$110))</f>
        <v>0.0</v>
      </c>
      <c r="M642" s="122">
        <f t="shared" ref="M642:V642" si="1036">L642</f>
        <v>0.0</v>
      </c>
      <c r="N642" s="122">
        <f t="shared" si="1036"/>
        <v>0.0</v>
      </c>
      <c r="O642" s="122">
        <f t="shared" si="1036"/>
        <v>0.0</v>
      </c>
      <c r="P642" s="122">
        <f t="shared" si="1036"/>
        <v>0.0</v>
      </c>
      <c r="Q642" s="122">
        <f t="shared" si="1036"/>
        <v>0.0</v>
      </c>
      <c r="R642" s="122">
        <f t="shared" si="1036"/>
        <v>0.0</v>
      </c>
      <c r="S642" s="122">
        <f t="shared" si="1036"/>
        <v>0.0</v>
      </c>
      <c r="T642" s="122">
        <f t="shared" si="1036"/>
        <v>0.0</v>
      </c>
      <c r="U642" s="122">
        <f t="shared" si="1036"/>
        <v>0.0</v>
      </c>
      <c r="V642" s="122">
        <f t="shared" si="1036"/>
        <v>0.0</v>
      </c>
      <c r="W642" s="201" t="str">
        <f>IF(X$5=K$5,SUM(Y642:AI642)-SUM(L642:V642),"")</f>
        <v/>
      </c>
      <c r="X642" s="9" t="str">
        <f>LOWER(CtryCode)&amp;".distn."&amp;$A642&amp;IF($B642="","","."&amp;$B642)&amp;IF($C642="","",".dec."&amp;$C642)&amp;"."&amp;X$5</f>
        <v>egy.distn.dps.c_b.2</v>
      </c>
      <c r="Y642" s="121">
        <f>IF(INDEX(DSecFuel,$D642),0,MMULT(INDEX(DSecLeon,$D642,0),Y$106:Y$110))</f>
        <v>0.0013551359995556478</v>
      </c>
      <c r="Z642" s="122">
        <f t="shared" ref="Z642:AI642" si="1037">Y642</f>
        <v>0.0013551359995556478</v>
      </c>
      <c r="AA642" s="122">
        <f t="shared" si="1037"/>
        <v>0.0013551359995556478</v>
      </c>
      <c r="AB642" s="122">
        <f t="shared" si="1037"/>
        <v>0.0013551359995556478</v>
      </c>
      <c r="AC642" s="122">
        <f t="shared" si="1037"/>
        <v>0.0013551359995556478</v>
      </c>
      <c r="AD642" s="122">
        <f t="shared" si="1037"/>
        <v>0.0013551359995556478</v>
      </c>
      <c r="AE642" s="122">
        <f t="shared" si="1037"/>
        <v>0.0013551359995556478</v>
      </c>
      <c r="AF642" s="122">
        <f t="shared" si="1037"/>
        <v>0.0013551359995556478</v>
      </c>
      <c r="AG642" s="122">
        <f t="shared" si="1037"/>
        <v>0.0013551359995556478</v>
      </c>
      <c r="AH642" s="122">
        <f t="shared" si="1037"/>
        <v>0.0013551359995556478</v>
      </c>
      <c r="AI642" s="122">
        <f t="shared" si="1037"/>
        <v>0.0013551359995556478</v>
      </c>
    </row>
    <row r="643" hidden="1" outlineLevel="1">
      <c r="A643" s="44" t="inlineStr">
        <is>
          <t>dps</t>
        </is>
      </c>
      <c r="B643" s="3" t="inlineStr">
        <is>
          <t>chm</t>
        </is>
      </c>
      <c r="C643" s="3" t="inlineStr"/>
      <c r="D643" s="3" t="n">
        <v>6</v>
      </c>
      <c r="E643" s="3" t="inlineStr">
        <is>
          <t>mch</t>
        </is>
      </c>
      <c r="H643" s="3" t="inlineStr">
        <is>
          <t>Chemicals: price change, input costs</t>
        </is>
      </c>
      <c r="I643" s="3" t="inlineStr">
        <is>
          <t>fraction</t>
        </is>
      </c>
      <c r="J643" s="118" t="inlineStr">
        <is>
          <t>legacy rows 643, 653</t>
        </is>
      </c>
      <c r="K643" s="9" t="str">
        <f>LOWER(CtryCode)&amp;".distn."&amp;$A643&amp;IF($B643="","","."&amp;$B643)&amp;IF($C643="","",".dec."&amp;$C643)&amp;"."&amp;K$5</f>
        <v>egy.distn.dps.chm.1</v>
      </c>
      <c r="L643" s="121">
        <f>IF(INDEX(DSecFuel,$D643),0,MMULT(INDEX(DSecLeon,$D643,0),L$106:L$110))</f>
        <v>0.0</v>
      </c>
      <c r="M643" s="122">
        <f t="shared" ref="M643:V643" si="1038">L643</f>
        <v>0.0</v>
      </c>
      <c r="N643" s="122">
        <f t="shared" si="1038"/>
        <v>0.0</v>
      </c>
      <c r="O643" s="122">
        <f t="shared" si="1038"/>
        <v>0.0</v>
      </c>
      <c r="P643" s="122">
        <f t="shared" si="1038"/>
        <v>0.0</v>
      </c>
      <c r="Q643" s="122">
        <f t="shared" si="1038"/>
        <v>0.0</v>
      </c>
      <c r="R643" s="122">
        <f t="shared" si="1038"/>
        <v>0.0</v>
      </c>
      <c r="S643" s="122">
        <f t="shared" si="1038"/>
        <v>0.0</v>
      </c>
      <c r="T643" s="122">
        <f t="shared" si="1038"/>
        <v>0.0</v>
      </c>
      <c r="U643" s="122">
        <f t="shared" si="1038"/>
        <v>0.0</v>
      </c>
      <c r="V643" s="122">
        <f t="shared" si="1038"/>
        <v>0.0</v>
      </c>
      <c r="W643" s="201" t="str">
        <f>IF(X$5=K$5,SUM(Y643:AI643)-SUM(L643:V643),"")</f>
        <v/>
      </c>
      <c r="X643" s="9" t="str">
        <f>LOWER(CtryCode)&amp;".distn."&amp;$A643&amp;IF($B643="","","."&amp;$B643)&amp;IF($C643="","",".dec."&amp;$C643)&amp;"."&amp;X$5</f>
        <v>egy.distn.dps.chm.2</v>
      </c>
      <c r="Y643" s="121">
        <f>IF(INDEX(DSecFuel,$D643),0,MMULT(INDEX(DSecLeon,$D643,0),Y$106:Y$110))</f>
        <v>0.006928790105011151</v>
      </c>
      <c r="Z643" s="122">
        <f t="shared" ref="Z643:AI643" si="1039">Y643</f>
        <v>0.006928790105011151</v>
      </c>
      <c r="AA643" s="122">
        <f t="shared" si="1039"/>
        <v>0.006928790105011151</v>
      </c>
      <c r="AB643" s="122">
        <f t="shared" si="1039"/>
        <v>0.006928790105011151</v>
      </c>
      <c r="AC643" s="122">
        <f t="shared" si="1039"/>
        <v>0.006928790105011151</v>
      </c>
      <c r="AD643" s="122">
        <f t="shared" si="1039"/>
        <v>0.006928790105011151</v>
      </c>
      <c r="AE643" s="122">
        <f t="shared" si="1039"/>
        <v>0.006928790105011151</v>
      </c>
      <c r="AF643" s="122">
        <f t="shared" si="1039"/>
        <v>0.006928790105011151</v>
      </c>
      <c r="AG643" s="122">
        <f t="shared" si="1039"/>
        <v>0.006928790105011151</v>
      </c>
      <c r="AH643" s="122">
        <f t="shared" si="1039"/>
        <v>0.006928790105011151</v>
      </c>
      <c r="AI643" s="122">
        <f t="shared" si="1039"/>
        <v>0.006928790105011151</v>
      </c>
    </row>
    <row r="644" hidden="1" outlineLevel="1">
      <c r="A644" s="44" t="inlineStr">
        <is>
          <t>dps</t>
        </is>
      </c>
      <c r="B644" s="3" t="inlineStr">
        <is>
          <t>cmn</t>
        </is>
      </c>
      <c r="C644" s="3" t="inlineStr"/>
      <c r="D644" s="3" t="n">
        <v>7</v>
      </c>
      <c r="E644" s="3" t="inlineStr">
        <is>
          <t>srv</t>
        </is>
      </c>
      <c r="H644" s="3" t="inlineStr">
        <is>
          <t>Telecomms: price change, input costs</t>
        </is>
      </c>
      <c r="I644" s="3" t="inlineStr">
        <is>
          <t>fraction</t>
        </is>
      </c>
      <c r="J644" s="118" t="inlineStr">
        <is>
          <t>legacy rows 643, 653</t>
        </is>
      </c>
      <c r="K644" s="9" t="str">
        <f>LOWER(CtryCode)&amp;".distn."&amp;$A644&amp;IF($B644="","","."&amp;$B644)&amp;IF($C644="","",".dec."&amp;$C644)&amp;"."&amp;K$5</f>
        <v>egy.distn.dps.cmn.1</v>
      </c>
      <c r="L644" s="121">
        <f>IF(INDEX(DSecFuel,$D644),0,MMULT(INDEX(DSecLeon,$D644,0),L$106:L$110))</f>
        <v>0.0</v>
      </c>
      <c r="M644" s="122">
        <f t="shared" ref="M644:V644" si="1040">L644</f>
        <v>0.0</v>
      </c>
      <c r="N644" s="122">
        <f t="shared" si="1040"/>
        <v>0.0</v>
      </c>
      <c r="O644" s="122">
        <f t="shared" si="1040"/>
        <v>0.0</v>
      </c>
      <c r="P644" s="122">
        <f t="shared" si="1040"/>
        <v>0.0</v>
      </c>
      <c r="Q644" s="122">
        <f t="shared" si="1040"/>
        <v>0.0</v>
      </c>
      <c r="R644" s="122">
        <f t="shared" si="1040"/>
        <v>0.0</v>
      </c>
      <c r="S644" s="122">
        <f t="shared" si="1040"/>
        <v>0.0</v>
      </c>
      <c r="T644" s="122">
        <f t="shared" si="1040"/>
        <v>0.0</v>
      </c>
      <c r="U644" s="122">
        <f t="shared" si="1040"/>
        <v>0.0</v>
      </c>
      <c r="V644" s="122">
        <f t="shared" si="1040"/>
        <v>0.0</v>
      </c>
      <c r="W644" s="201" t="str">
        <f>IF(X$5=K$5,SUM(Y644:AI644)-SUM(L644:V644),"")</f>
        <v/>
      </c>
      <c r="X644" s="9" t="str">
        <f>LOWER(CtryCode)&amp;".distn."&amp;$A644&amp;IF($B644="","","."&amp;$B644)&amp;IF($C644="","",".dec."&amp;$C644)&amp;"."&amp;X$5</f>
        <v>egy.distn.dps.cmn.2</v>
      </c>
      <c r="Y644" s="121">
        <f>IF(INDEX(DSecFuel,$D644),0,MMULT(INDEX(DSecLeon,$D644,0),Y$106:Y$110))</f>
        <v>0.0004259004335551858</v>
      </c>
      <c r="Z644" s="122">
        <f t="shared" ref="Z644:AI644" si="1041">Y644</f>
        <v>0.0004259004335551858</v>
      </c>
      <c r="AA644" s="122">
        <f t="shared" si="1041"/>
        <v>0.0004259004335551858</v>
      </c>
      <c r="AB644" s="122">
        <f t="shared" si="1041"/>
        <v>0.0004259004335551858</v>
      </c>
      <c r="AC644" s="122">
        <f t="shared" si="1041"/>
        <v>0.0004259004335551858</v>
      </c>
      <c r="AD644" s="122">
        <f t="shared" si="1041"/>
        <v>0.0004259004335551858</v>
      </c>
      <c r="AE644" s="122">
        <f t="shared" si="1041"/>
        <v>0.0004259004335551858</v>
      </c>
      <c r="AF644" s="122">
        <f t="shared" si="1041"/>
        <v>0.0004259004335551858</v>
      </c>
      <c r="AG644" s="122">
        <f t="shared" si="1041"/>
        <v>0.0004259004335551858</v>
      </c>
      <c r="AH644" s="122">
        <f t="shared" si="1041"/>
        <v>0.0004259004335551858</v>
      </c>
      <c r="AI644" s="122">
        <f t="shared" si="1041"/>
        <v>0.0004259004335551858</v>
      </c>
    </row>
    <row r="645" hidden="1" outlineLevel="1">
      <c r="A645" s="44" t="inlineStr">
        <is>
          <t>dps</t>
        </is>
      </c>
      <c r="B645" s="3" t="inlineStr">
        <is>
          <t>cmt</t>
        </is>
      </c>
      <c r="C645" s="3" t="inlineStr"/>
      <c r="D645" s="3" t="n">
        <v>8</v>
      </c>
      <c r="E645" s="3" t="inlineStr">
        <is>
          <t>foo</t>
        </is>
      </c>
      <c r="H645" s="3" t="inlineStr">
        <is>
          <t>Cattle Meat: price change, input costs</t>
        </is>
      </c>
      <c r="I645" s="3" t="inlineStr">
        <is>
          <t>fraction</t>
        </is>
      </c>
      <c r="J645" s="118" t="inlineStr">
        <is>
          <t>legacy rows 643, 653</t>
        </is>
      </c>
      <c r="K645" s="9" t="str">
        <f>LOWER(CtryCode)&amp;".distn."&amp;$A645&amp;IF($B645="","","."&amp;$B645)&amp;IF($C645="","",".dec."&amp;$C645)&amp;"."&amp;K$5</f>
        <v>egy.distn.dps.cmt.1</v>
      </c>
      <c r="L645" s="121">
        <f>IF(INDEX(DSecFuel,$D645),0,MMULT(INDEX(DSecLeon,$D645,0),L$106:L$110))</f>
        <v>0.0</v>
      </c>
      <c r="M645" s="122">
        <f t="shared" ref="M645:V645" si="1042">L645</f>
        <v>0.0</v>
      </c>
      <c r="N645" s="122">
        <f t="shared" si="1042"/>
        <v>0.0</v>
      </c>
      <c r="O645" s="122">
        <f t="shared" si="1042"/>
        <v>0.0</v>
      </c>
      <c r="P645" s="122">
        <f t="shared" si="1042"/>
        <v>0.0</v>
      </c>
      <c r="Q645" s="122">
        <f t="shared" si="1042"/>
        <v>0.0</v>
      </c>
      <c r="R645" s="122">
        <f t="shared" si="1042"/>
        <v>0.0</v>
      </c>
      <c r="S645" s="122">
        <f t="shared" si="1042"/>
        <v>0.0</v>
      </c>
      <c r="T645" s="122">
        <f t="shared" si="1042"/>
        <v>0.0</v>
      </c>
      <c r="U645" s="122">
        <f t="shared" si="1042"/>
        <v>0.0</v>
      </c>
      <c r="V645" s="122">
        <f t="shared" si="1042"/>
        <v>0.0</v>
      </c>
      <c r="W645" s="201" t="str">
        <f>IF(X$5=K$5,SUM(Y645:AI645)-SUM(L645:V645),"")</f>
        <v/>
      </c>
      <c r="X645" s="9" t="str">
        <f>LOWER(CtryCode)&amp;".distn."&amp;$A645&amp;IF($B645="","","."&amp;$B645)&amp;IF($C645="","",".dec."&amp;$C645)&amp;"."&amp;X$5</f>
        <v>egy.distn.dps.cmt.2</v>
      </c>
      <c r="Y645" s="121">
        <f>IF(INDEX(DSecFuel,$D645),0,MMULT(INDEX(DSecLeon,$D645,0),Y$106:Y$110))</f>
        <v>0.00035142238252946795</v>
      </c>
      <c r="Z645" s="122">
        <f t="shared" ref="Z645:AI645" si="1043">Y645</f>
        <v>0.00035142238252946795</v>
      </c>
      <c r="AA645" s="122">
        <f t="shared" si="1043"/>
        <v>0.00035142238252946795</v>
      </c>
      <c r="AB645" s="122">
        <f t="shared" si="1043"/>
        <v>0.00035142238252946795</v>
      </c>
      <c r="AC645" s="122">
        <f t="shared" si="1043"/>
        <v>0.00035142238252946795</v>
      </c>
      <c r="AD645" s="122">
        <f t="shared" si="1043"/>
        <v>0.00035142238252946795</v>
      </c>
      <c r="AE645" s="122">
        <f t="shared" si="1043"/>
        <v>0.00035142238252946795</v>
      </c>
      <c r="AF645" s="122">
        <f t="shared" si="1043"/>
        <v>0.00035142238252946795</v>
      </c>
      <c r="AG645" s="122">
        <f t="shared" si="1043"/>
        <v>0.00035142238252946795</v>
      </c>
      <c r="AH645" s="122">
        <f t="shared" si="1043"/>
        <v>0.00035142238252946795</v>
      </c>
      <c r="AI645" s="122">
        <f t="shared" si="1043"/>
        <v>0.00035142238252946795</v>
      </c>
    </row>
    <row r="646" hidden="1" outlineLevel="1">
      <c r="A646" s="44" t="inlineStr">
        <is>
          <t>dps</t>
        </is>
      </c>
      <c r="B646" s="3" t="inlineStr">
        <is>
          <t>cns</t>
        </is>
      </c>
      <c r="C646" s="3" t="inlineStr"/>
      <c r="D646" s="3" t="n">
        <v>9</v>
      </c>
      <c r="E646" s="3" t="inlineStr">
        <is>
          <t>cst</t>
        </is>
      </c>
      <c r="H646" s="3" t="inlineStr">
        <is>
          <t>Construction: price change, input costs</t>
        </is>
      </c>
      <c r="I646" s="3" t="inlineStr">
        <is>
          <t>fraction</t>
        </is>
      </c>
      <c r="J646" s="118" t="inlineStr">
        <is>
          <t>legacy rows 643, 653</t>
        </is>
      </c>
      <c r="K646" s="9" t="str">
        <f>LOWER(CtryCode)&amp;".distn."&amp;$A646&amp;IF($B646="","","."&amp;$B646)&amp;IF($C646="","",".dec."&amp;$C646)&amp;"."&amp;K$5</f>
        <v>egy.distn.dps.cns.1</v>
      </c>
      <c r="L646" s="121">
        <f>IF(INDEX(DSecFuel,$D646),0,MMULT(INDEX(DSecLeon,$D646,0),L$106:L$110))</f>
        <v>0.0</v>
      </c>
      <c r="M646" s="122">
        <f t="shared" ref="M646:V646" si="1044">L646</f>
        <v>0.0</v>
      </c>
      <c r="N646" s="122">
        <f t="shared" si="1044"/>
        <v>0.0</v>
      </c>
      <c r="O646" s="122">
        <f t="shared" si="1044"/>
        <v>0.0</v>
      </c>
      <c r="P646" s="122">
        <f t="shared" si="1044"/>
        <v>0.0</v>
      </c>
      <c r="Q646" s="122">
        <f t="shared" si="1044"/>
        <v>0.0</v>
      </c>
      <c r="R646" s="122">
        <f t="shared" si="1044"/>
        <v>0.0</v>
      </c>
      <c r="S646" s="122">
        <f t="shared" si="1044"/>
        <v>0.0</v>
      </c>
      <c r="T646" s="122">
        <f t="shared" si="1044"/>
        <v>0.0</v>
      </c>
      <c r="U646" s="122">
        <f t="shared" si="1044"/>
        <v>0.0</v>
      </c>
      <c r="V646" s="122">
        <f t="shared" si="1044"/>
        <v>0.0</v>
      </c>
      <c r="W646" s="201" t="str">
        <f>IF(X$5=K$5,SUM(Y646:AI646)-SUM(L646:V646),"")</f>
        <v/>
      </c>
      <c r="X646" s="9" t="str">
        <f>LOWER(CtryCode)&amp;".distn."&amp;$A646&amp;IF($B646="","","."&amp;$B646)&amp;IF($C646="","",".dec."&amp;$C646)&amp;"."&amp;X$5</f>
        <v>egy.distn.dps.cns.2</v>
      </c>
      <c r="Y646" s="121">
        <f>IF(INDEX(DSecFuel,$D646),0,MMULT(INDEX(DSecLeon,$D646,0),Y$106:Y$110))</f>
        <v>0.0019632445992351076</v>
      </c>
      <c r="Z646" s="122">
        <f t="shared" ref="Z646:AI646" si="1045">Y646</f>
        <v>0.0019632445992351076</v>
      </c>
      <c r="AA646" s="122">
        <f t="shared" si="1045"/>
        <v>0.0019632445992351076</v>
      </c>
      <c r="AB646" s="122">
        <f t="shared" si="1045"/>
        <v>0.0019632445992351076</v>
      </c>
      <c r="AC646" s="122">
        <f t="shared" si="1045"/>
        <v>0.0019632445992351076</v>
      </c>
      <c r="AD646" s="122">
        <f t="shared" si="1045"/>
        <v>0.0019632445992351076</v>
      </c>
      <c r="AE646" s="122">
        <f t="shared" si="1045"/>
        <v>0.0019632445992351076</v>
      </c>
      <c r="AF646" s="122">
        <f t="shared" si="1045"/>
        <v>0.0019632445992351076</v>
      </c>
      <c r="AG646" s="122">
        <f t="shared" si="1045"/>
        <v>0.0019632445992351076</v>
      </c>
      <c r="AH646" s="122">
        <f t="shared" si="1045"/>
        <v>0.0019632445992351076</v>
      </c>
      <c r="AI646" s="122">
        <f t="shared" si="1045"/>
        <v>0.0019632445992351076</v>
      </c>
    </row>
    <row r="647" hidden="1" outlineLevel="1">
      <c r="A647" s="44" t="inlineStr">
        <is>
          <t>dps</t>
        </is>
      </c>
      <c r="B647" s="3" t="inlineStr">
        <is>
          <t>coa</t>
        </is>
      </c>
      <c r="C647" s="3" t="inlineStr"/>
      <c r="D647" s="3" t="n">
        <v>10</v>
      </c>
      <c r="E647" s="3" t="inlineStr">
        <is>
          <t>foo</t>
        </is>
      </c>
      <c r="H647" s="3" t="inlineStr">
        <is>
          <t>Coal: price change, input costs</t>
        </is>
      </c>
      <c r="I647" s="3" t="inlineStr">
        <is>
          <t>fraction</t>
        </is>
      </c>
      <c r="J647" s="118" t="inlineStr">
        <is>
          <t>legacy rows 643, 653</t>
        </is>
      </c>
      <c r="K647" s="9" t="str">
        <f>LOWER(CtryCode)&amp;".distn."&amp;$A647&amp;IF($B647="","","."&amp;$B647)&amp;IF($C647="","",".dec."&amp;$C647)&amp;"."&amp;K$5</f>
        <v>egy.distn.dps.coa.1</v>
      </c>
      <c r="L647" s="121">
        <f>IF(INDEX(DSecFuel,$D647),0,MMULT(INDEX(DSecLeon,$D647,0),L$106:L$110))</f>
        <v>0.0</v>
      </c>
      <c r="M647" s="122">
        <f t="shared" ref="M647:V647" si="1046">L647</f>
        <v>0.0</v>
      </c>
      <c r="N647" s="122">
        <f t="shared" si="1046"/>
        <v>0.0</v>
      </c>
      <c r="O647" s="122">
        <f t="shared" si="1046"/>
        <v>0.0</v>
      </c>
      <c r="P647" s="122">
        <f t="shared" si="1046"/>
        <v>0.0</v>
      </c>
      <c r="Q647" s="122">
        <f t="shared" si="1046"/>
        <v>0.0</v>
      </c>
      <c r="R647" s="122">
        <f t="shared" si="1046"/>
        <v>0.0</v>
      </c>
      <c r="S647" s="122">
        <f t="shared" si="1046"/>
        <v>0.0</v>
      </c>
      <c r="T647" s="122">
        <f t="shared" si="1046"/>
        <v>0.0</v>
      </c>
      <c r="U647" s="122">
        <f t="shared" si="1046"/>
        <v>0.0</v>
      </c>
      <c r="V647" s="122">
        <f t="shared" si="1046"/>
        <v>0.0</v>
      </c>
      <c r="W647" s="201" t="str">
        <f>IF(X$5=K$5,SUM(Y647:AI647)-SUM(L647:V647),"")</f>
        <v/>
      </c>
      <c r="X647" s="9" t="str">
        <f>LOWER(CtryCode)&amp;".distn."&amp;$A647&amp;IF($B647="","","."&amp;$B647)&amp;IF($C647="","",".dec."&amp;$C647)&amp;"."&amp;X$5</f>
        <v>egy.distn.dps.coa.2</v>
      </c>
      <c r="Y647" s="121">
        <f>IF(INDEX(DSecFuel,$D647),0,MMULT(INDEX(DSecLeon,$D647,0),Y$106:Y$110))</f>
        <v>0.0</v>
      </c>
      <c r="Z647" s="122">
        <f t="shared" ref="Z647:AI647" si="1047">Y647</f>
        <v>0.0</v>
      </c>
      <c r="AA647" s="122">
        <f t="shared" si="1047"/>
        <v>0.0</v>
      </c>
      <c r="AB647" s="122">
        <f t="shared" si="1047"/>
        <v>0.0</v>
      </c>
      <c r="AC647" s="122">
        <f t="shared" si="1047"/>
        <v>0.0</v>
      </c>
      <c r="AD647" s="122">
        <f t="shared" si="1047"/>
        <v>0.0</v>
      </c>
      <c r="AE647" s="122">
        <f t="shared" si="1047"/>
        <v>0.0</v>
      </c>
      <c r="AF647" s="122">
        <f t="shared" si="1047"/>
        <v>0.0</v>
      </c>
      <c r="AG647" s="122">
        <f t="shared" si="1047"/>
        <v>0.0</v>
      </c>
      <c r="AH647" s="122">
        <f t="shared" si="1047"/>
        <v>0.0</v>
      </c>
      <c r="AI647" s="122">
        <f t="shared" si="1047"/>
        <v>0.0</v>
      </c>
    </row>
    <row r="648" hidden="1" outlineLevel="1">
      <c r="A648" s="44" t="inlineStr">
        <is>
          <t>dps</t>
        </is>
      </c>
      <c r="B648" s="3" t="inlineStr">
        <is>
          <t>ctl</t>
        </is>
      </c>
      <c r="C648" s="3" t="inlineStr"/>
      <c r="D648" s="3" t="n">
        <v>11</v>
      </c>
      <c r="E648" s="3" t="inlineStr">
        <is>
          <t>foo</t>
        </is>
      </c>
      <c r="H648" s="3" t="inlineStr">
        <is>
          <t>Cattle: price change, input costs</t>
        </is>
      </c>
      <c r="I648" s="3" t="inlineStr">
        <is>
          <t>fraction</t>
        </is>
      </c>
      <c r="J648" s="118" t="inlineStr">
        <is>
          <t>legacy rows 643, 653</t>
        </is>
      </c>
      <c r="K648" s="9" t="str">
        <f>LOWER(CtryCode)&amp;".distn."&amp;$A648&amp;IF($B648="","","."&amp;$B648)&amp;IF($C648="","",".dec."&amp;$C648)&amp;"."&amp;K$5</f>
        <v>egy.distn.dps.ctl.1</v>
      </c>
      <c r="L648" s="121">
        <f>IF(INDEX(DSecFuel,$D648),0,MMULT(INDEX(DSecLeon,$D648,0),L$106:L$110))</f>
        <v>0.0</v>
      </c>
      <c r="M648" s="122">
        <f t="shared" ref="M648:V648" si="1048">L648</f>
        <v>0.0</v>
      </c>
      <c r="N648" s="122">
        <f t="shared" si="1048"/>
        <v>0.0</v>
      </c>
      <c r="O648" s="122">
        <f t="shared" si="1048"/>
        <v>0.0</v>
      </c>
      <c r="P648" s="122">
        <f t="shared" si="1048"/>
        <v>0.0</v>
      </c>
      <c r="Q648" s="122">
        <f t="shared" si="1048"/>
        <v>0.0</v>
      </c>
      <c r="R648" s="122">
        <f t="shared" si="1048"/>
        <v>0.0</v>
      </c>
      <c r="S648" s="122">
        <f t="shared" si="1048"/>
        <v>0.0</v>
      </c>
      <c r="T648" s="122">
        <f t="shared" si="1048"/>
        <v>0.0</v>
      </c>
      <c r="U648" s="122">
        <f t="shared" si="1048"/>
        <v>0.0</v>
      </c>
      <c r="V648" s="122">
        <f t="shared" si="1048"/>
        <v>0.0</v>
      </c>
      <c r="W648" s="201" t="str">
        <f>IF(X$5=K$5,SUM(Y648:AI648)-SUM(L648:V648),"")</f>
        <v/>
      </c>
      <c r="X648" s="9" t="str">
        <f>LOWER(CtryCode)&amp;".distn."&amp;$A648&amp;IF($B648="","","."&amp;$B648)&amp;IF($C648="","",".dec."&amp;$C648)&amp;"."&amp;X$5</f>
        <v>egy.distn.dps.ctl.2</v>
      </c>
      <c r="Y648" s="121">
        <f>IF(INDEX(DSecFuel,$D648),0,MMULT(INDEX(DSecLeon,$D648,0),Y$106:Y$110))</f>
        <v>0.001101269961438113</v>
      </c>
      <c r="Z648" s="122">
        <f t="shared" ref="Z648:AI648" si="1049">Y648</f>
        <v>0.001101269961438113</v>
      </c>
      <c r="AA648" s="122">
        <f t="shared" si="1049"/>
        <v>0.001101269961438113</v>
      </c>
      <c r="AB648" s="122">
        <f t="shared" si="1049"/>
        <v>0.001101269961438113</v>
      </c>
      <c r="AC648" s="122">
        <f t="shared" si="1049"/>
        <v>0.001101269961438113</v>
      </c>
      <c r="AD648" s="122">
        <f t="shared" si="1049"/>
        <v>0.001101269961438113</v>
      </c>
      <c r="AE648" s="122">
        <f t="shared" si="1049"/>
        <v>0.001101269961438113</v>
      </c>
      <c r="AF648" s="122">
        <f t="shared" si="1049"/>
        <v>0.001101269961438113</v>
      </c>
      <c r="AG648" s="122">
        <f t="shared" si="1049"/>
        <v>0.001101269961438113</v>
      </c>
      <c r="AH648" s="122">
        <f t="shared" si="1049"/>
        <v>0.001101269961438113</v>
      </c>
      <c r="AI648" s="122">
        <f t="shared" si="1049"/>
        <v>0.001101269961438113</v>
      </c>
    </row>
    <row r="649" hidden="1" outlineLevel="1">
      <c r="A649" s="44" t="inlineStr">
        <is>
          <t>dps</t>
        </is>
      </c>
      <c r="B649" s="3" t="inlineStr">
        <is>
          <t>dwe</t>
        </is>
      </c>
      <c r="C649" s="3" t="inlineStr"/>
      <c r="D649" s="3" t="n">
        <v>12</v>
      </c>
      <c r="E649" s="3" t="inlineStr">
        <is>
          <t>srv</t>
        </is>
      </c>
      <c r="H649" s="3" t="inlineStr">
        <is>
          <t>Housing rent: price change, input costs</t>
        </is>
      </c>
      <c r="I649" s="3" t="inlineStr">
        <is>
          <t>fraction</t>
        </is>
      </c>
      <c r="J649" s="118" t="inlineStr">
        <is>
          <t>legacy rows 643, 653</t>
        </is>
      </c>
      <c r="K649" s="9" t="str">
        <f>LOWER(CtryCode)&amp;".distn."&amp;$A649&amp;IF($B649="","","."&amp;$B649)&amp;IF($C649="","",".dec."&amp;$C649)&amp;"."&amp;K$5</f>
        <v>egy.distn.dps.dwe.1</v>
      </c>
      <c r="L649" s="121">
        <f>IF(INDEX(DSecFuel,$D649),0,MMULT(INDEX(DSecLeon,$D649,0),L$106:L$110))</f>
        <v>0.0</v>
      </c>
      <c r="M649" s="122">
        <f t="shared" ref="M649:V649" si="1050">L649</f>
        <v>0.0</v>
      </c>
      <c r="N649" s="122">
        <f t="shared" si="1050"/>
        <v>0.0</v>
      </c>
      <c r="O649" s="122">
        <f t="shared" si="1050"/>
        <v>0.0</v>
      </c>
      <c r="P649" s="122">
        <f t="shared" si="1050"/>
        <v>0.0</v>
      </c>
      <c r="Q649" s="122">
        <f t="shared" si="1050"/>
        <v>0.0</v>
      </c>
      <c r="R649" s="122">
        <f t="shared" si="1050"/>
        <v>0.0</v>
      </c>
      <c r="S649" s="122">
        <f t="shared" si="1050"/>
        <v>0.0</v>
      </c>
      <c r="T649" s="122">
        <f t="shared" si="1050"/>
        <v>0.0</v>
      </c>
      <c r="U649" s="122">
        <f t="shared" si="1050"/>
        <v>0.0</v>
      </c>
      <c r="V649" s="122">
        <f t="shared" si="1050"/>
        <v>0.0</v>
      </c>
      <c r="W649" s="201" t="str">
        <f>IF(X$5=K$5,SUM(Y649:AI649)-SUM(L649:V649),"")</f>
        <v/>
      </c>
      <c r="X649" s="9" t="str">
        <f>LOWER(CtryCode)&amp;".distn."&amp;$A649&amp;IF($B649="","","."&amp;$B649)&amp;IF($C649="","",".dec."&amp;$C649)&amp;"."&amp;X$5</f>
        <v>egy.distn.dps.dwe.2</v>
      </c>
      <c r="Y649" s="121">
        <f>IF(INDEX(DSecFuel,$D649),0,MMULT(INDEX(DSecLeon,$D649,0),Y$106:Y$110))</f>
        <v>0.00014276654346997888</v>
      </c>
      <c r="Z649" s="122">
        <f t="shared" ref="Z649:AI649" si="1051">Y649</f>
        <v>0.00014276654346997888</v>
      </c>
      <c r="AA649" s="122">
        <f t="shared" si="1051"/>
        <v>0.00014276654346997888</v>
      </c>
      <c r="AB649" s="122">
        <f t="shared" si="1051"/>
        <v>0.00014276654346997888</v>
      </c>
      <c r="AC649" s="122">
        <f t="shared" si="1051"/>
        <v>0.00014276654346997888</v>
      </c>
      <c r="AD649" s="122">
        <f t="shared" si="1051"/>
        <v>0.00014276654346997888</v>
      </c>
      <c r="AE649" s="122">
        <f t="shared" si="1051"/>
        <v>0.00014276654346997888</v>
      </c>
      <c r="AF649" s="122">
        <f t="shared" si="1051"/>
        <v>0.00014276654346997888</v>
      </c>
      <c r="AG649" s="122">
        <f t="shared" si="1051"/>
        <v>0.00014276654346997888</v>
      </c>
      <c r="AH649" s="122">
        <f t="shared" si="1051"/>
        <v>0.00014276654346997888</v>
      </c>
      <c r="AI649" s="122">
        <f t="shared" si="1051"/>
        <v>0.00014276654346997888</v>
      </c>
    </row>
    <row r="650" hidden="1" outlineLevel="1">
      <c r="A650" s="44" t="inlineStr">
        <is>
          <t>dps</t>
        </is>
      </c>
      <c r="B650" s="3" t="inlineStr">
        <is>
          <t>edu</t>
        </is>
      </c>
      <c r="C650" s="3" t="inlineStr"/>
      <c r="D650" s="3" t="n">
        <v>13</v>
      </c>
      <c r="E650" s="3" t="inlineStr">
        <is>
          <t>srv</t>
        </is>
      </c>
      <c r="H650" s="3" t="inlineStr">
        <is>
          <t>Education: price change, input costs</t>
        </is>
      </c>
      <c r="I650" s="3" t="inlineStr">
        <is>
          <t>fraction</t>
        </is>
      </c>
      <c r="J650" s="118" t="inlineStr">
        <is>
          <t>legacy rows 643, 653</t>
        </is>
      </c>
      <c r="K650" s="9" t="str">
        <f>LOWER(CtryCode)&amp;".distn."&amp;$A650&amp;IF($B650="","","."&amp;$B650)&amp;IF($C650="","",".dec."&amp;$C650)&amp;"."&amp;K$5</f>
        <v>egy.distn.dps.edu.1</v>
      </c>
      <c r="L650" s="121">
        <f>IF(INDEX(DSecFuel,$D650),0,MMULT(INDEX(DSecLeon,$D650,0),L$106:L$110))</f>
        <v>0.0</v>
      </c>
      <c r="M650" s="122">
        <f t="shared" ref="M650:V650" si="1052">L650</f>
        <v>0.0</v>
      </c>
      <c r="N650" s="122">
        <f t="shared" si="1052"/>
        <v>0.0</v>
      </c>
      <c r="O650" s="122">
        <f t="shared" si="1052"/>
        <v>0.0</v>
      </c>
      <c r="P650" s="122">
        <f t="shared" si="1052"/>
        <v>0.0</v>
      </c>
      <c r="Q650" s="122">
        <f t="shared" si="1052"/>
        <v>0.0</v>
      </c>
      <c r="R650" s="122">
        <f t="shared" si="1052"/>
        <v>0.0</v>
      </c>
      <c r="S650" s="122">
        <f t="shared" si="1052"/>
        <v>0.0</v>
      </c>
      <c r="T650" s="122">
        <f t="shared" si="1052"/>
        <v>0.0</v>
      </c>
      <c r="U650" s="122">
        <f t="shared" si="1052"/>
        <v>0.0</v>
      </c>
      <c r="V650" s="122">
        <f t="shared" si="1052"/>
        <v>0.0</v>
      </c>
      <c r="W650" s="201" t="str">
        <f>IF(X$5=K$5,SUM(Y650:AI650)-SUM(L650:V650),"")</f>
        <v/>
      </c>
      <c r="X650" s="9" t="str">
        <f>LOWER(CtryCode)&amp;".distn."&amp;$A650&amp;IF($B650="","","."&amp;$B650)&amp;IF($C650="","",".dec."&amp;$C650)&amp;"."&amp;X$5</f>
        <v>egy.distn.dps.edu.2</v>
      </c>
      <c r="Y650" s="121">
        <f>IF(INDEX(DSecFuel,$D650),0,MMULT(INDEX(DSecLeon,$D650,0),Y$106:Y$110))</f>
        <v>0.0010212791172932486</v>
      </c>
      <c r="Z650" s="122">
        <f t="shared" ref="Z650:AI650" si="1053">Y650</f>
        <v>0.0010212791172932486</v>
      </c>
      <c r="AA650" s="122">
        <f t="shared" si="1053"/>
        <v>0.0010212791172932486</v>
      </c>
      <c r="AB650" s="122">
        <f t="shared" si="1053"/>
        <v>0.0010212791172932486</v>
      </c>
      <c r="AC650" s="122">
        <f t="shared" si="1053"/>
        <v>0.0010212791172932486</v>
      </c>
      <c r="AD650" s="122">
        <f t="shared" si="1053"/>
        <v>0.0010212791172932486</v>
      </c>
      <c r="AE650" s="122">
        <f t="shared" si="1053"/>
        <v>0.0010212791172932486</v>
      </c>
      <c r="AF650" s="122">
        <f t="shared" si="1053"/>
        <v>0.0010212791172932486</v>
      </c>
      <c r="AG650" s="122">
        <f t="shared" si="1053"/>
        <v>0.0010212791172932486</v>
      </c>
      <c r="AH650" s="122">
        <f t="shared" si="1053"/>
        <v>0.0010212791172932486</v>
      </c>
      <c r="AI650" s="122">
        <f t="shared" si="1053"/>
        <v>0.0010212791172932486</v>
      </c>
    </row>
    <row r="651" hidden="1" outlineLevel="1">
      <c r="A651" s="44" t="inlineStr">
        <is>
          <t>dps</t>
        </is>
      </c>
      <c r="B651" s="3" t="inlineStr">
        <is>
          <t>eeq</t>
        </is>
      </c>
      <c r="C651" s="3" t="inlineStr"/>
      <c r="D651" s="3" t="n">
        <v>14</v>
      </c>
      <c r="E651" s="3" t="inlineStr">
        <is>
          <t>mac</t>
        </is>
      </c>
      <c r="H651" s="3" t="inlineStr">
        <is>
          <t>Electrical equipment: price change, input costs</t>
        </is>
      </c>
      <c r="I651" s="3" t="inlineStr">
        <is>
          <t>fraction</t>
        </is>
      </c>
      <c r="J651" s="118" t="inlineStr">
        <is>
          <t>legacy rows 643, 653</t>
        </is>
      </c>
      <c r="K651" s="9" t="str">
        <f>LOWER(CtryCode)&amp;".distn."&amp;$A651&amp;IF($B651="","","."&amp;$B651)&amp;IF($C651="","",".dec."&amp;$C651)&amp;"."&amp;K$5</f>
        <v>egy.distn.dps.eeq.1</v>
      </c>
      <c r="L651" s="121">
        <f>IF(INDEX(DSecFuel,$D651),0,MMULT(INDEX(DSecLeon,$D651,0),L$106:L$110))</f>
        <v>0.0</v>
      </c>
      <c r="M651" s="122">
        <f t="shared" ref="M651:V651" si="1054">L651</f>
        <v>0.0</v>
      </c>
      <c r="N651" s="122">
        <f t="shared" si="1054"/>
        <v>0.0</v>
      </c>
      <c r="O651" s="122">
        <f t="shared" si="1054"/>
        <v>0.0</v>
      </c>
      <c r="P651" s="122">
        <f t="shared" si="1054"/>
        <v>0.0</v>
      </c>
      <c r="Q651" s="122">
        <f t="shared" si="1054"/>
        <v>0.0</v>
      </c>
      <c r="R651" s="122">
        <f t="shared" si="1054"/>
        <v>0.0</v>
      </c>
      <c r="S651" s="122">
        <f t="shared" si="1054"/>
        <v>0.0</v>
      </c>
      <c r="T651" s="122">
        <f t="shared" si="1054"/>
        <v>0.0</v>
      </c>
      <c r="U651" s="122">
        <f t="shared" si="1054"/>
        <v>0.0</v>
      </c>
      <c r="V651" s="122">
        <f t="shared" si="1054"/>
        <v>0.0</v>
      </c>
      <c r="W651" s="201" t="str">
        <f>IF(X$5=K$5,SUM(Y651:AI651)-SUM(L651:V651),"")</f>
        <v/>
      </c>
      <c r="X651" s="9" t="str">
        <f>LOWER(CtryCode)&amp;".distn."&amp;$A651&amp;IF($B651="","","."&amp;$B651)&amp;IF($C651="","",".dec."&amp;$C651)&amp;"."&amp;X$5</f>
        <v>egy.distn.dps.eeq.2</v>
      </c>
      <c r="Y651" s="121">
        <f>IF(INDEX(DSecFuel,$D651),0,MMULT(INDEX(DSecLeon,$D651,0),Y$106:Y$110))</f>
        <v>0.0023603950351929748</v>
      </c>
      <c r="Z651" s="122">
        <f t="shared" ref="Z651:AI651" si="1055">Y651</f>
        <v>0.0023603950351929748</v>
      </c>
      <c r="AA651" s="122">
        <f t="shared" si="1055"/>
        <v>0.0023603950351929748</v>
      </c>
      <c r="AB651" s="122">
        <f t="shared" si="1055"/>
        <v>0.0023603950351929748</v>
      </c>
      <c r="AC651" s="122">
        <f t="shared" si="1055"/>
        <v>0.0023603950351929748</v>
      </c>
      <c r="AD651" s="122">
        <f t="shared" si="1055"/>
        <v>0.0023603950351929748</v>
      </c>
      <c r="AE651" s="122">
        <f t="shared" si="1055"/>
        <v>0.0023603950351929748</v>
      </c>
      <c r="AF651" s="122">
        <f t="shared" si="1055"/>
        <v>0.0023603950351929748</v>
      </c>
      <c r="AG651" s="122">
        <f t="shared" si="1055"/>
        <v>0.0023603950351929748</v>
      </c>
      <c r="AH651" s="122">
        <f t="shared" si="1055"/>
        <v>0.0023603950351929748</v>
      </c>
      <c r="AI651" s="122">
        <f t="shared" si="1055"/>
        <v>0.0023603950351929748</v>
      </c>
    </row>
    <row r="652" hidden="1" outlineLevel="1">
      <c r="A652" s="44" t="inlineStr">
        <is>
          <t>dps</t>
        </is>
      </c>
      <c r="B652" s="3" t="inlineStr">
        <is>
          <t>ele</t>
        </is>
      </c>
      <c r="C652" s="3" t="inlineStr"/>
      <c r="D652" s="3" t="n">
        <v>15</v>
      </c>
      <c r="E652" s="3" t="inlineStr">
        <is>
          <t>mac</t>
        </is>
      </c>
      <c r="H652" s="3" t="inlineStr">
        <is>
          <t>Computer equipment: price change, input costs</t>
        </is>
      </c>
      <c r="I652" s="3" t="inlineStr">
        <is>
          <t>fraction</t>
        </is>
      </c>
      <c r="J652" s="118" t="inlineStr">
        <is>
          <t>legacy rows 643, 653</t>
        </is>
      </c>
      <c r="K652" s="9" t="str">
        <f>LOWER(CtryCode)&amp;".distn."&amp;$A652&amp;IF($B652="","","."&amp;$B652)&amp;IF($C652="","",".dec."&amp;$C652)&amp;"."&amp;K$5</f>
        <v>egy.distn.dps.ele.1</v>
      </c>
      <c r="L652" s="121">
        <f>IF(INDEX(DSecFuel,$D652),0,MMULT(INDEX(DSecLeon,$D652,0),L$106:L$110))</f>
        <v>0.0</v>
      </c>
      <c r="M652" s="122">
        <f t="shared" ref="M652:V652" si="1056">L652</f>
        <v>0.0</v>
      </c>
      <c r="N652" s="122">
        <f t="shared" si="1056"/>
        <v>0.0</v>
      </c>
      <c r="O652" s="122">
        <f t="shared" si="1056"/>
        <v>0.0</v>
      </c>
      <c r="P652" s="122">
        <f t="shared" si="1056"/>
        <v>0.0</v>
      </c>
      <c r="Q652" s="122">
        <f t="shared" si="1056"/>
        <v>0.0</v>
      </c>
      <c r="R652" s="122">
        <f t="shared" si="1056"/>
        <v>0.0</v>
      </c>
      <c r="S652" s="122">
        <f t="shared" si="1056"/>
        <v>0.0</v>
      </c>
      <c r="T652" s="122">
        <f t="shared" si="1056"/>
        <v>0.0</v>
      </c>
      <c r="U652" s="122">
        <f t="shared" si="1056"/>
        <v>0.0</v>
      </c>
      <c r="V652" s="122">
        <f t="shared" si="1056"/>
        <v>0.0</v>
      </c>
      <c r="W652" s="201" t="str">
        <f>IF(X$5=K$5,SUM(Y652:AI652)-SUM(L652:V652),"")</f>
        <v/>
      </c>
      <c r="X652" s="9" t="str">
        <f>LOWER(CtryCode)&amp;".distn."&amp;$A652&amp;IF($B652="","","."&amp;$B652)&amp;IF($C652="","",".dec."&amp;$C652)&amp;"."&amp;X$5</f>
        <v>egy.distn.dps.ele.2</v>
      </c>
      <c r="Y652" s="121">
        <f>IF(INDEX(DSecFuel,$D652),0,MMULT(INDEX(DSecLeon,$D652,0),Y$106:Y$110))</f>
        <v>0.0021141285018558068</v>
      </c>
      <c r="Z652" s="122">
        <f t="shared" ref="Z652:AI652" si="1057">Y652</f>
        <v>0.0021141285018558068</v>
      </c>
      <c r="AA652" s="122">
        <f t="shared" si="1057"/>
        <v>0.0021141285018558068</v>
      </c>
      <c r="AB652" s="122">
        <f t="shared" si="1057"/>
        <v>0.0021141285018558068</v>
      </c>
      <c r="AC652" s="122">
        <f t="shared" si="1057"/>
        <v>0.0021141285018558068</v>
      </c>
      <c r="AD652" s="122">
        <f t="shared" si="1057"/>
        <v>0.0021141285018558068</v>
      </c>
      <c r="AE652" s="122">
        <f t="shared" si="1057"/>
        <v>0.0021141285018558068</v>
      </c>
      <c r="AF652" s="122">
        <f t="shared" si="1057"/>
        <v>0.0021141285018558068</v>
      </c>
      <c r="AG652" s="122">
        <f t="shared" si="1057"/>
        <v>0.0021141285018558068</v>
      </c>
      <c r="AH652" s="122">
        <f t="shared" si="1057"/>
        <v>0.0021141285018558068</v>
      </c>
      <c r="AI652" s="122">
        <f t="shared" si="1057"/>
        <v>0.0021141285018558068</v>
      </c>
    </row>
    <row r="653" hidden="1" outlineLevel="1">
      <c r="A653" s="44" t="inlineStr">
        <is>
          <t>dps</t>
        </is>
      </c>
      <c r="B653" s="3" t="inlineStr">
        <is>
          <t>ely</t>
        </is>
      </c>
      <c r="C653" s="3" t="inlineStr"/>
      <c r="D653" s="3" t="n">
        <v>16</v>
      </c>
      <c r="E653" s="3" t="inlineStr">
        <is>
          <t>pow</t>
        </is>
      </c>
      <c r="H653" s="3" t="inlineStr">
        <is>
          <t>Electricity supply: price change, input costs</t>
        </is>
      </c>
      <c r="I653" s="3" t="inlineStr">
        <is>
          <t>fraction</t>
        </is>
      </c>
      <c r="J653" s="118" t="inlineStr">
        <is>
          <t>legacy rows 643, 653</t>
        </is>
      </c>
      <c r="K653" s="9" t="str">
        <f>LOWER(CtryCode)&amp;".distn."&amp;$A653&amp;IF($B653="","","."&amp;$B653)&amp;IF($C653="","",".dec."&amp;$C653)&amp;"."&amp;K$5</f>
        <v>egy.distn.dps.ely.1</v>
      </c>
      <c r="L653" s="121">
        <f>IF(INDEX(DSecFuel,$D653),0,MMULT(INDEX(DSecLeon,$D653,0),L$106:L$110))</f>
        <v>0.0</v>
      </c>
      <c r="M653" s="122">
        <f t="shared" ref="M653:V653" si="1058">L653</f>
        <v>0.0</v>
      </c>
      <c r="N653" s="122">
        <f t="shared" si="1058"/>
        <v>0.0</v>
      </c>
      <c r="O653" s="122">
        <f t="shared" si="1058"/>
        <v>0.0</v>
      </c>
      <c r="P653" s="122">
        <f t="shared" si="1058"/>
        <v>0.0</v>
      </c>
      <c r="Q653" s="122">
        <f t="shared" si="1058"/>
        <v>0.0</v>
      </c>
      <c r="R653" s="122">
        <f t="shared" si="1058"/>
        <v>0.0</v>
      </c>
      <c r="S653" s="122">
        <f t="shared" si="1058"/>
        <v>0.0</v>
      </c>
      <c r="T653" s="122">
        <f t="shared" si="1058"/>
        <v>0.0</v>
      </c>
      <c r="U653" s="122">
        <f t="shared" si="1058"/>
        <v>0.0</v>
      </c>
      <c r="V653" s="122">
        <f t="shared" si="1058"/>
        <v>0.0</v>
      </c>
      <c r="W653" s="201" t="str">
        <f>IF(X$5=K$5,SUM(Y653:AI653)-SUM(L653:V653),"")</f>
        <v/>
      </c>
      <c r="X653" s="9" t="str">
        <f>LOWER(CtryCode)&amp;".distn."&amp;$A653&amp;IF($B653="","","."&amp;$B653)&amp;IF($C653="","",".dec."&amp;$C653)&amp;"."&amp;X$5</f>
        <v>egy.distn.dps.ely.2</v>
      </c>
      <c r="Y653" s="121">
        <f>IF(INDEX(DSecFuel,$D653),0,MMULT(INDEX(DSecLeon,$D653,0),Y$106:Y$110))</f>
        <v>0.0</v>
      </c>
      <c r="Z653" s="122">
        <f t="shared" ref="Z653:AI653" si="1059">Y653</f>
        <v>0.0</v>
      </c>
      <c r="AA653" s="122">
        <f t="shared" si="1059"/>
        <v>0.0</v>
      </c>
      <c r="AB653" s="122">
        <f t="shared" si="1059"/>
        <v>0.0</v>
      </c>
      <c r="AC653" s="122">
        <f t="shared" si="1059"/>
        <v>0.0</v>
      </c>
      <c r="AD653" s="122">
        <f t="shared" si="1059"/>
        <v>0.0</v>
      </c>
      <c r="AE653" s="122">
        <f t="shared" si="1059"/>
        <v>0.0</v>
      </c>
      <c r="AF653" s="122">
        <f t="shared" si="1059"/>
        <v>0.0</v>
      </c>
      <c r="AG653" s="122">
        <f t="shared" si="1059"/>
        <v>0.0</v>
      </c>
      <c r="AH653" s="122">
        <f t="shared" si="1059"/>
        <v>0.0</v>
      </c>
      <c r="AI653" s="122">
        <f t="shared" si="1059"/>
        <v>0.0</v>
      </c>
    </row>
    <row r="654" hidden="1" outlineLevel="1">
      <c r="A654" s="44" t="inlineStr">
        <is>
          <t>dps</t>
        </is>
      </c>
      <c r="B654" s="3" t="inlineStr">
        <is>
          <t>fmp</t>
        </is>
      </c>
      <c r="C654" s="3" t="inlineStr"/>
      <c r="D654" s="3" t="n">
        <v>17</v>
      </c>
      <c r="E654" s="3" t="inlineStr">
        <is>
          <t>mac</t>
        </is>
      </c>
      <c r="H654" s="3" t="inlineStr">
        <is>
          <t>Fabricated metals: price change, input costs</t>
        </is>
      </c>
      <c r="I654" s="3" t="inlineStr">
        <is>
          <t>fraction</t>
        </is>
      </c>
      <c r="J654" s="118" t="inlineStr">
        <is>
          <t>legacy rows 643, 653</t>
        </is>
      </c>
      <c r="K654" s="9" t="str">
        <f>LOWER(CtryCode)&amp;".distn."&amp;$A654&amp;IF($B654="","","."&amp;$B654)&amp;IF($C654="","",".dec."&amp;$C654)&amp;"."&amp;K$5</f>
        <v>egy.distn.dps.fmp.1</v>
      </c>
      <c r="L654" s="121">
        <f>IF(INDEX(DSecFuel,$D654),0,MMULT(INDEX(DSecLeon,$D654,0),L$106:L$110))</f>
        <v>0.0</v>
      </c>
      <c r="M654" s="122">
        <f t="shared" ref="M654:V654" si="1060">L654</f>
        <v>0.0</v>
      </c>
      <c r="N654" s="122">
        <f t="shared" si="1060"/>
        <v>0.0</v>
      </c>
      <c r="O654" s="122">
        <f t="shared" si="1060"/>
        <v>0.0</v>
      </c>
      <c r="P654" s="122">
        <f t="shared" si="1060"/>
        <v>0.0</v>
      </c>
      <c r="Q654" s="122">
        <f t="shared" si="1060"/>
        <v>0.0</v>
      </c>
      <c r="R654" s="122">
        <f t="shared" si="1060"/>
        <v>0.0</v>
      </c>
      <c r="S654" s="122">
        <f t="shared" si="1060"/>
        <v>0.0</v>
      </c>
      <c r="T654" s="122">
        <f t="shared" si="1060"/>
        <v>0.0</v>
      </c>
      <c r="U654" s="122">
        <f t="shared" si="1060"/>
        <v>0.0</v>
      </c>
      <c r="V654" s="122">
        <f t="shared" si="1060"/>
        <v>0.0</v>
      </c>
      <c r="W654" s="201" t="str">
        <f>IF(X$5=K$5,SUM(Y654:AI654)-SUM(L654:V654),"")</f>
        <v/>
      </c>
      <c r="X654" s="9" t="str">
        <f>LOWER(CtryCode)&amp;".distn."&amp;$A654&amp;IF($B654="","","."&amp;$B654)&amp;IF($C654="","",".dec."&amp;$C654)&amp;"."&amp;X$5</f>
        <v>egy.distn.dps.fmp.2</v>
      </c>
      <c r="Y654" s="121">
        <f>IF(INDEX(DSecFuel,$D654),0,MMULT(INDEX(DSecLeon,$D654,0),Y$106:Y$110))</f>
        <v>0.0029914627174303684</v>
      </c>
      <c r="Z654" s="122">
        <f t="shared" ref="Z654:AI654" si="1061">Y654</f>
        <v>0.0029914627174303684</v>
      </c>
      <c r="AA654" s="122">
        <f t="shared" si="1061"/>
        <v>0.0029914627174303684</v>
      </c>
      <c r="AB654" s="122">
        <f t="shared" si="1061"/>
        <v>0.0029914627174303684</v>
      </c>
      <c r="AC654" s="122">
        <f t="shared" si="1061"/>
        <v>0.0029914627174303684</v>
      </c>
      <c r="AD654" s="122">
        <f t="shared" si="1061"/>
        <v>0.0029914627174303684</v>
      </c>
      <c r="AE654" s="122">
        <f t="shared" si="1061"/>
        <v>0.0029914627174303684</v>
      </c>
      <c r="AF654" s="122">
        <f t="shared" si="1061"/>
        <v>0.0029914627174303684</v>
      </c>
      <c r="AG654" s="122">
        <f t="shared" si="1061"/>
        <v>0.0029914627174303684</v>
      </c>
      <c r="AH654" s="122">
        <f t="shared" si="1061"/>
        <v>0.0029914627174303684</v>
      </c>
      <c r="AI654" s="122">
        <f t="shared" si="1061"/>
        <v>0.0029914627174303684</v>
      </c>
    </row>
    <row r="655" hidden="1" outlineLevel="1">
      <c r="A655" s="44" t="inlineStr">
        <is>
          <t>dps</t>
        </is>
      </c>
      <c r="B655" s="3" t="inlineStr">
        <is>
          <t>frs</t>
        </is>
      </c>
      <c r="C655" s="3" t="inlineStr"/>
      <c r="D655" s="3" t="n">
        <v>18</v>
      </c>
      <c r="E655" s="3" t="inlineStr">
        <is>
          <t>foo</t>
        </is>
      </c>
      <c r="H655" s="3" t="inlineStr">
        <is>
          <t>Forestry: price change, input costs</t>
        </is>
      </c>
      <c r="I655" s="3" t="inlineStr">
        <is>
          <t>fraction</t>
        </is>
      </c>
      <c r="J655" s="118" t="inlineStr">
        <is>
          <t>legacy rows 643, 653</t>
        </is>
      </c>
      <c r="K655" s="9" t="str">
        <f>LOWER(CtryCode)&amp;".distn."&amp;$A655&amp;IF($B655="","","."&amp;$B655)&amp;IF($C655="","",".dec."&amp;$C655)&amp;"."&amp;K$5</f>
        <v>egy.distn.dps.frs.1</v>
      </c>
      <c r="L655" s="121">
        <f>IF(INDEX(DSecFuel,$D655),0,MMULT(INDEX(DSecLeon,$D655,0),L$106:L$110))</f>
        <v>0.0</v>
      </c>
      <c r="M655" s="122">
        <f t="shared" ref="M655:V655" si="1062">L655</f>
        <v>0.0</v>
      </c>
      <c r="N655" s="122">
        <f t="shared" si="1062"/>
        <v>0.0</v>
      </c>
      <c r="O655" s="122">
        <f t="shared" si="1062"/>
        <v>0.0</v>
      </c>
      <c r="P655" s="122">
        <f t="shared" si="1062"/>
        <v>0.0</v>
      </c>
      <c r="Q655" s="122">
        <f t="shared" si="1062"/>
        <v>0.0</v>
      </c>
      <c r="R655" s="122">
        <f t="shared" si="1062"/>
        <v>0.0</v>
      </c>
      <c r="S655" s="122">
        <f t="shared" si="1062"/>
        <v>0.0</v>
      </c>
      <c r="T655" s="122">
        <f t="shared" si="1062"/>
        <v>0.0</v>
      </c>
      <c r="U655" s="122">
        <f t="shared" si="1062"/>
        <v>0.0</v>
      </c>
      <c r="V655" s="122">
        <f t="shared" si="1062"/>
        <v>0.0</v>
      </c>
      <c r="W655" s="201" t="str">
        <f>IF(X$5=K$5,SUM(Y655:AI655)-SUM(L655:V655),"")</f>
        <v/>
      </c>
      <c r="X655" s="9" t="str">
        <f>LOWER(CtryCode)&amp;".distn."&amp;$A655&amp;IF($B655="","","."&amp;$B655)&amp;IF($C655="","",".dec."&amp;$C655)&amp;"."&amp;X$5</f>
        <v>egy.distn.dps.frs.2</v>
      </c>
      <c r="Y655" s="121">
        <f>IF(INDEX(DSecFuel,$D655),0,MMULT(INDEX(DSecLeon,$D655,0),Y$106:Y$110))</f>
        <v>0.0017116942999596037</v>
      </c>
      <c r="Z655" s="122">
        <f t="shared" ref="Z655:AI655" si="1063">Y655</f>
        <v>0.0017116942999596037</v>
      </c>
      <c r="AA655" s="122">
        <f t="shared" si="1063"/>
        <v>0.0017116942999596037</v>
      </c>
      <c r="AB655" s="122">
        <f t="shared" si="1063"/>
        <v>0.0017116942999596037</v>
      </c>
      <c r="AC655" s="122">
        <f t="shared" si="1063"/>
        <v>0.0017116942999596037</v>
      </c>
      <c r="AD655" s="122">
        <f t="shared" si="1063"/>
        <v>0.0017116942999596037</v>
      </c>
      <c r="AE655" s="122">
        <f t="shared" si="1063"/>
        <v>0.0017116942999596037</v>
      </c>
      <c r="AF655" s="122">
        <f t="shared" si="1063"/>
        <v>0.0017116942999596037</v>
      </c>
      <c r="AG655" s="122">
        <f t="shared" si="1063"/>
        <v>0.0017116942999596037</v>
      </c>
      <c r="AH655" s="122">
        <f t="shared" si="1063"/>
        <v>0.0017116942999596037</v>
      </c>
      <c r="AI655" s="122">
        <f t="shared" si="1063"/>
        <v>0.0017116942999596037</v>
      </c>
    </row>
    <row r="656" hidden="1" outlineLevel="1">
      <c r="A656" s="44" t="inlineStr">
        <is>
          <t>dps</t>
        </is>
      </c>
      <c r="B656" s="3" t="inlineStr">
        <is>
          <t>fsh</t>
        </is>
      </c>
      <c r="C656" s="3" t="inlineStr"/>
      <c r="D656" s="3" t="n">
        <v>19</v>
      </c>
      <c r="E656" s="3" t="inlineStr">
        <is>
          <t>foo</t>
        </is>
      </c>
      <c r="H656" s="3" t="inlineStr">
        <is>
          <t>Fishing: price change, input costs</t>
        </is>
      </c>
      <c r="I656" s="3" t="inlineStr">
        <is>
          <t>fraction</t>
        </is>
      </c>
      <c r="J656" s="118" t="inlineStr">
        <is>
          <t>legacy rows 643, 653</t>
        </is>
      </c>
      <c r="K656" s="9" t="str">
        <f>LOWER(CtryCode)&amp;".distn."&amp;$A656&amp;IF($B656="","","."&amp;$B656)&amp;IF($C656="","",".dec."&amp;$C656)&amp;"."&amp;K$5</f>
        <v>egy.distn.dps.fsh.1</v>
      </c>
      <c r="L656" s="121">
        <f>IF(INDEX(DSecFuel,$D656),0,MMULT(INDEX(DSecLeon,$D656,0),L$106:L$110))</f>
        <v>0.0</v>
      </c>
      <c r="M656" s="122">
        <f t="shared" ref="M656:V656" si="1064">L656</f>
        <v>0.0</v>
      </c>
      <c r="N656" s="122">
        <f t="shared" si="1064"/>
        <v>0.0</v>
      </c>
      <c r="O656" s="122">
        <f t="shared" si="1064"/>
        <v>0.0</v>
      </c>
      <c r="P656" s="122">
        <f t="shared" si="1064"/>
        <v>0.0</v>
      </c>
      <c r="Q656" s="122">
        <f t="shared" si="1064"/>
        <v>0.0</v>
      </c>
      <c r="R656" s="122">
        <f t="shared" si="1064"/>
        <v>0.0</v>
      </c>
      <c r="S656" s="122">
        <f t="shared" si="1064"/>
        <v>0.0</v>
      </c>
      <c r="T656" s="122">
        <f t="shared" si="1064"/>
        <v>0.0</v>
      </c>
      <c r="U656" s="122">
        <f t="shared" si="1064"/>
        <v>0.0</v>
      </c>
      <c r="V656" s="122">
        <f t="shared" si="1064"/>
        <v>0.0</v>
      </c>
      <c r="W656" s="201" t="str">
        <f>IF(X$5=K$5,SUM(Y656:AI656)-SUM(L656:V656),"")</f>
        <v/>
      </c>
      <c r="X656" s="9" t="str">
        <f>LOWER(CtryCode)&amp;".distn."&amp;$A656&amp;IF($B656="","","."&amp;$B656)&amp;IF($C656="","",".dec."&amp;$C656)&amp;"."&amp;X$5</f>
        <v>egy.distn.dps.fsh.2</v>
      </c>
      <c r="Y656" s="121">
        <f>IF(INDEX(DSecFuel,$D656),0,MMULT(INDEX(DSecLeon,$D656,0),Y$106:Y$110))</f>
        <v>0.0010837060372673325</v>
      </c>
      <c r="Z656" s="122">
        <f t="shared" ref="Z656:AI656" si="1065">Y656</f>
        <v>0.0010837060372673325</v>
      </c>
      <c r="AA656" s="122">
        <f t="shared" si="1065"/>
        <v>0.0010837060372673325</v>
      </c>
      <c r="AB656" s="122">
        <f t="shared" si="1065"/>
        <v>0.0010837060372673325</v>
      </c>
      <c r="AC656" s="122">
        <f t="shared" si="1065"/>
        <v>0.0010837060372673325</v>
      </c>
      <c r="AD656" s="122">
        <f t="shared" si="1065"/>
        <v>0.0010837060372673325</v>
      </c>
      <c r="AE656" s="122">
        <f t="shared" si="1065"/>
        <v>0.0010837060372673325</v>
      </c>
      <c r="AF656" s="122">
        <f t="shared" si="1065"/>
        <v>0.0010837060372673325</v>
      </c>
      <c r="AG656" s="122">
        <f t="shared" si="1065"/>
        <v>0.0010837060372673325</v>
      </c>
      <c r="AH656" s="122">
        <f t="shared" si="1065"/>
        <v>0.0010837060372673325</v>
      </c>
      <c r="AI656" s="122">
        <f t="shared" si="1065"/>
        <v>0.0010837060372673325</v>
      </c>
    </row>
    <row r="657" hidden="1" outlineLevel="1">
      <c r="A657" s="44" t="inlineStr">
        <is>
          <t>dps</t>
        </is>
      </c>
      <c r="B657" s="3" t="inlineStr">
        <is>
          <t>gro</t>
        </is>
      </c>
      <c r="C657" s="3" t="inlineStr"/>
      <c r="D657" s="3" t="n">
        <v>20</v>
      </c>
      <c r="E657" s="3" t="inlineStr">
        <is>
          <t>foo</t>
        </is>
      </c>
      <c r="H657" s="3" t="inlineStr">
        <is>
          <t>Other grains: price change, input costs</t>
        </is>
      </c>
      <c r="I657" s="3" t="inlineStr">
        <is>
          <t>fraction</t>
        </is>
      </c>
      <c r="J657" s="118" t="inlineStr">
        <is>
          <t>legacy rows 643, 653</t>
        </is>
      </c>
      <c r="K657" s="9" t="str">
        <f>LOWER(CtryCode)&amp;".distn."&amp;$A657&amp;IF($B657="","","."&amp;$B657)&amp;IF($C657="","",".dec."&amp;$C657)&amp;"."&amp;K$5</f>
        <v>egy.distn.dps.gro.1</v>
      </c>
      <c r="L657" s="121">
        <f>IF(INDEX(DSecFuel,$D657),0,MMULT(INDEX(DSecLeon,$D657,0),L$106:L$110))</f>
        <v>0.0</v>
      </c>
      <c r="M657" s="122">
        <f t="shared" ref="M657:V657" si="1066">L657</f>
        <v>0.0</v>
      </c>
      <c r="N657" s="122">
        <f t="shared" si="1066"/>
        <v>0.0</v>
      </c>
      <c r="O657" s="122">
        <f t="shared" si="1066"/>
        <v>0.0</v>
      </c>
      <c r="P657" s="122">
        <f t="shared" si="1066"/>
        <v>0.0</v>
      </c>
      <c r="Q657" s="122">
        <f t="shared" si="1066"/>
        <v>0.0</v>
      </c>
      <c r="R657" s="122">
        <f t="shared" si="1066"/>
        <v>0.0</v>
      </c>
      <c r="S657" s="122">
        <f t="shared" si="1066"/>
        <v>0.0</v>
      </c>
      <c r="T657" s="122">
        <f t="shared" si="1066"/>
        <v>0.0</v>
      </c>
      <c r="U657" s="122">
        <f t="shared" si="1066"/>
        <v>0.0</v>
      </c>
      <c r="V657" s="122">
        <f t="shared" si="1066"/>
        <v>0.0</v>
      </c>
      <c r="W657" s="201" t="str">
        <f>IF(X$5=K$5,SUM(Y657:AI657)-SUM(L657:V657),"")</f>
        <v/>
      </c>
      <c r="X657" s="9" t="str">
        <f>LOWER(CtryCode)&amp;".distn."&amp;$A657&amp;IF($B657="","","."&amp;$B657)&amp;IF($C657="","",".dec."&amp;$C657)&amp;"."&amp;X$5</f>
        <v>egy.distn.dps.gro.2</v>
      </c>
      <c r="Y657" s="121">
        <f>IF(INDEX(DSecFuel,$D657),0,MMULT(INDEX(DSecLeon,$D657,0),Y$106:Y$110))</f>
        <v>0.001243779128646874</v>
      </c>
      <c r="Z657" s="122">
        <f t="shared" ref="Z657:AI657" si="1067">Y657</f>
        <v>0.001243779128646874</v>
      </c>
      <c r="AA657" s="122">
        <f t="shared" si="1067"/>
        <v>0.001243779128646874</v>
      </c>
      <c r="AB657" s="122">
        <f t="shared" si="1067"/>
        <v>0.001243779128646874</v>
      </c>
      <c r="AC657" s="122">
        <f t="shared" si="1067"/>
        <v>0.001243779128646874</v>
      </c>
      <c r="AD657" s="122">
        <f t="shared" si="1067"/>
        <v>0.001243779128646874</v>
      </c>
      <c r="AE657" s="122">
        <f t="shared" si="1067"/>
        <v>0.001243779128646874</v>
      </c>
      <c r="AF657" s="122">
        <f t="shared" si="1067"/>
        <v>0.001243779128646874</v>
      </c>
      <c r="AG657" s="122">
        <f t="shared" si="1067"/>
        <v>0.001243779128646874</v>
      </c>
      <c r="AH657" s="122">
        <f t="shared" si="1067"/>
        <v>0.001243779128646874</v>
      </c>
      <c r="AI657" s="122">
        <f t="shared" si="1067"/>
        <v>0.001243779128646874</v>
      </c>
    </row>
    <row r="658" hidden="1" outlineLevel="1">
      <c r="A658" s="44" t="inlineStr">
        <is>
          <t>dps</t>
        </is>
      </c>
      <c r="B658" s="3" t="inlineStr">
        <is>
          <t>hht</t>
        </is>
      </c>
      <c r="C658" s="3" t="inlineStr"/>
      <c r="D658" s="3" t="n">
        <v>21</v>
      </c>
      <c r="E658" s="3" t="inlineStr">
        <is>
          <t>srv</t>
        </is>
      </c>
      <c r="H658" s="3" t="inlineStr">
        <is>
          <t>Human health &amp; social work: price change, input costs</t>
        </is>
      </c>
      <c r="I658" s="3" t="inlineStr">
        <is>
          <t>fraction</t>
        </is>
      </c>
      <c r="J658" s="118" t="inlineStr">
        <is>
          <t>legacy rows 643, 653</t>
        </is>
      </c>
      <c r="K658" s="9" t="str">
        <f>LOWER(CtryCode)&amp;".distn."&amp;$A658&amp;IF($B658="","","."&amp;$B658)&amp;IF($C658="","",".dec."&amp;$C658)&amp;"."&amp;K$5</f>
        <v>egy.distn.dps.hht.1</v>
      </c>
      <c r="L658" s="121">
        <f>IF(INDEX(DSecFuel,$D658),0,MMULT(INDEX(DSecLeon,$D658,0),L$106:L$110))</f>
        <v>0.0</v>
      </c>
      <c r="M658" s="122">
        <f t="shared" ref="M658:V658" si="1068">L658</f>
        <v>0.0</v>
      </c>
      <c r="N658" s="122">
        <f t="shared" si="1068"/>
        <v>0.0</v>
      </c>
      <c r="O658" s="122">
        <f t="shared" si="1068"/>
        <v>0.0</v>
      </c>
      <c r="P658" s="122">
        <f t="shared" si="1068"/>
        <v>0.0</v>
      </c>
      <c r="Q658" s="122">
        <f t="shared" si="1068"/>
        <v>0.0</v>
      </c>
      <c r="R658" s="122">
        <f t="shared" si="1068"/>
        <v>0.0</v>
      </c>
      <c r="S658" s="122">
        <f t="shared" si="1068"/>
        <v>0.0</v>
      </c>
      <c r="T658" s="122">
        <f t="shared" si="1068"/>
        <v>0.0</v>
      </c>
      <c r="U658" s="122">
        <f t="shared" si="1068"/>
        <v>0.0</v>
      </c>
      <c r="V658" s="122">
        <f t="shared" si="1068"/>
        <v>0.0</v>
      </c>
      <c r="W658" s="201" t="str">
        <f>IF(X$5=K$5,SUM(Y658:AI658)-SUM(L658:V658),"")</f>
        <v/>
      </c>
      <c r="X658" s="9" t="str">
        <f>LOWER(CtryCode)&amp;".distn."&amp;$A658&amp;IF($B658="","","."&amp;$B658)&amp;IF($C658="","",".dec."&amp;$C658)&amp;"."&amp;X$5</f>
        <v>egy.distn.dps.hht.2</v>
      </c>
      <c r="Y658" s="121">
        <f>IF(INDEX(DSecFuel,$D658),0,MMULT(INDEX(DSecLeon,$D658,0),Y$106:Y$110))</f>
        <v>0.001217719765046205</v>
      </c>
      <c r="Z658" s="122">
        <f t="shared" ref="Z658:AI658" si="1069">Y658</f>
        <v>0.001217719765046205</v>
      </c>
      <c r="AA658" s="122">
        <f t="shared" si="1069"/>
        <v>0.001217719765046205</v>
      </c>
      <c r="AB658" s="122">
        <f t="shared" si="1069"/>
        <v>0.001217719765046205</v>
      </c>
      <c r="AC658" s="122">
        <f t="shared" si="1069"/>
        <v>0.001217719765046205</v>
      </c>
      <c r="AD658" s="122">
        <f t="shared" si="1069"/>
        <v>0.001217719765046205</v>
      </c>
      <c r="AE658" s="122">
        <f t="shared" si="1069"/>
        <v>0.001217719765046205</v>
      </c>
      <c r="AF658" s="122">
        <f t="shared" si="1069"/>
        <v>0.001217719765046205</v>
      </c>
      <c r="AG658" s="122">
        <f t="shared" si="1069"/>
        <v>0.001217719765046205</v>
      </c>
      <c r="AH658" s="122">
        <f t="shared" si="1069"/>
        <v>0.001217719765046205</v>
      </c>
      <c r="AI658" s="122">
        <f t="shared" si="1069"/>
        <v>0.001217719765046205</v>
      </c>
    </row>
    <row r="659" hidden="1" outlineLevel="1">
      <c r="A659" s="44" t="inlineStr">
        <is>
          <t>dps</t>
        </is>
      </c>
      <c r="B659" s="3" t="inlineStr">
        <is>
          <t>i_s</t>
        </is>
      </c>
      <c r="C659" s="3" t="inlineStr"/>
      <c r="D659" s="3" t="n">
        <v>22</v>
      </c>
      <c r="E659" s="3" t="inlineStr">
        <is>
          <t>irn</t>
        </is>
      </c>
      <c r="H659" s="3" t="inlineStr">
        <is>
          <t>Iron &amp; Steel: price change, input costs</t>
        </is>
      </c>
      <c r="I659" s="3" t="inlineStr">
        <is>
          <t>fraction</t>
        </is>
      </c>
      <c r="J659" s="118" t="inlineStr">
        <is>
          <t>legacy rows 643, 653</t>
        </is>
      </c>
      <c r="K659" s="9" t="str">
        <f>LOWER(CtryCode)&amp;".distn."&amp;$A659&amp;IF($B659="","","."&amp;$B659)&amp;IF($C659="","",".dec."&amp;$C659)&amp;"."&amp;K$5</f>
        <v>egy.distn.dps.i_s.1</v>
      </c>
      <c r="L659" s="121">
        <f>IF(INDEX(DSecFuel,$D659),0,MMULT(INDEX(DSecLeon,$D659,0),L$106:L$110))</f>
        <v>0.0</v>
      </c>
      <c r="M659" s="122">
        <f t="shared" ref="M659:V659" si="1070">L659</f>
        <v>0.0</v>
      </c>
      <c r="N659" s="122">
        <f t="shared" si="1070"/>
        <v>0.0</v>
      </c>
      <c r="O659" s="122">
        <f t="shared" si="1070"/>
        <v>0.0</v>
      </c>
      <c r="P659" s="122">
        <f t="shared" si="1070"/>
        <v>0.0</v>
      </c>
      <c r="Q659" s="122">
        <f t="shared" si="1070"/>
        <v>0.0</v>
      </c>
      <c r="R659" s="122">
        <f t="shared" si="1070"/>
        <v>0.0</v>
      </c>
      <c r="S659" s="122">
        <f t="shared" si="1070"/>
        <v>0.0</v>
      </c>
      <c r="T659" s="122">
        <f t="shared" si="1070"/>
        <v>0.0</v>
      </c>
      <c r="U659" s="122">
        <f t="shared" si="1070"/>
        <v>0.0</v>
      </c>
      <c r="V659" s="122">
        <f t="shared" si="1070"/>
        <v>0.0</v>
      </c>
      <c r="W659" s="201" t="str">
        <f>IF(X$5=K$5,SUM(Y659:AI659)-SUM(L659:V659),"")</f>
        <v/>
      </c>
      <c r="X659" s="9" t="str">
        <f>LOWER(CtryCode)&amp;".distn."&amp;$A659&amp;IF($B659="","","."&amp;$B659)&amp;IF($C659="","",".dec."&amp;$C659)&amp;"."&amp;X$5</f>
        <v>egy.distn.dps.i_s.2</v>
      </c>
      <c r="Y659" s="121">
        <f>IF(INDEX(DSecFuel,$D659),0,MMULT(INDEX(DSecLeon,$D659,0),Y$106:Y$110))</f>
        <v>0.005639113544198023</v>
      </c>
      <c r="Z659" s="122">
        <f t="shared" ref="Z659:AI659" si="1071">Y659</f>
        <v>0.005639113544198023</v>
      </c>
      <c r="AA659" s="122">
        <f t="shared" si="1071"/>
        <v>0.005639113544198023</v>
      </c>
      <c r="AB659" s="122">
        <f t="shared" si="1071"/>
        <v>0.005639113544198023</v>
      </c>
      <c r="AC659" s="122">
        <f t="shared" si="1071"/>
        <v>0.005639113544198023</v>
      </c>
      <c r="AD659" s="122">
        <f t="shared" si="1071"/>
        <v>0.005639113544198023</v>
      </c>
      <c r="AE659" s="122">
        <f t="shared" si="1071"/>
        <v>0.005639113544198023</v>
      </c>
      <c r="AF659" s="122">
        <f t="shared" si="1071"/>
        <v>0.005639113544198023</v>
      </c>
      <c r="AG659" s="122">
        <f t="shared" si="1071"/>
        <v>0.005639113544198023</v>
      </c>
      <c r="AH659" s="122">
        <f t="shared" si="1071"/>
        <v>0.005639113544198023</v>
      </c>
      <c r="AI659" s="122">
        <f t="shared" si="1071"/>
        <v>0.005639113544198023</v>
      </c>
    </row>
    <row r="660" hidden="1" outlineLevel="1">
      <c r="A660" s="44" t="inlineStr">
        <is>
          <t>dps</t>
        </is>
      </c>
      <c r="B660" s="3" t="inlineStr">
        <is>
          <t>ins</t>
        </is>
      </c>
      <c r="C660" s="3" t="inlineStr"/>
      <c r="D660" s="3" t="n">
        <v>23</v>
      </c>
      <c r="E660" s="3" t="inlineStr">
        <is>
          <t>srv</t>
        </is>
      </c>
      <c r="H660" s="3" t="inlineStr">
        <is>
          <t>Insurance: price change, input costs</t>
        </is>
      </c>
      <c r="I660" s="3" t="inlineStr">
        <is>
          <t>fraction</t>
        </is>
      </c>
      <c r="J660" s="118" t="inlineStr">
        <is>
          <t>legacy rows 643, 653</t>
        </is>
      </c>
      <c r="K660" s="9" t="str">
        <f>LOWER(CtryCode)&amp;".distn."&amp;$A660&amp;IF($B660="","","."&amp;$B660)&amp;IF($C660="","",".dec."&amp;$C660)&amp;"."&amp;K$5</f>
        <v>egy.distn.dps.ins.1</v>
      </c>
      <c r="L660" s="121">
        <f>IF(INDEX(DSecFuel,$D660),0,MMULT(INDEX(DSecLeon,$D660,0),L$106:L$110))</f>
        <v>0.0</v>
      </c>
      <c r="M660" s="122">
        <f t="shared" ref="M660:V660" si="1072">L660</f>
        <v>0.0</v>
      </c>
      <c r="N660" s="122">
        <f t="shared" si="1072"/>
        <v>0.0</v>
      </c>
      <c r="O660" s="122">
        <f t="shared" si="1072"/>
        <v>0.0</v>
      </c>
      <c r="P660" s="122">
        <f t="shared" si="1072"/>
        <v>0.0</v>
      </c>
      <c r="Q660" s="122">
        <f t="shared" si="1072"/>
        <v>0.0</v>
      </c>
      <c r="R660" s="122">
        <f t="shared" si="1072"/>
        <v>0.0</v>
      </c>
      <c r="S660" s="122">
        <f t="shared" si="1072"/>
        <v>0.0</v>
      </c>
      <c r="T660" s="122">
        <f t="shared" si="1072"/>
        <v>0.0</v>
      </c>
      <c r="U660" s="122">
        <f t="shared" si="1072"/>
        <v>0.0</v>
      </c>
      <c r="V660" s="122">
        <f t="shared" si="1072"/>
        <v>0.0</v>
      </c>
      <c r="W660" s="201" t="str">
        <f>IF(X$5=K$5,SUM(Y660:AI660)-SUM(L660:V660),"")</f>
        <v/>
      </c>
      <c r="X660" s="9" t="str">
        <f>LOWER(CtryCode)&amp;".distn."&amp;$A660&amp;IF($B660="","","."&amp;$B660)&amp;IF($C660="","",".dec."&amp;$C660)&amp;"."&amp;X$5</f>
        <v>egy.distn.dps.ins.2</v>
      </c>
      <c r="Y660" s="121">
        <f>IF(INDEX(DSecFuel,$D660),0,MMULT(INDEX(DSecLeon,$D660,0),Y$106:Y$110))</f>
        <v>0.00043087128416880095</v>
      </c>
      <c r="Z660" s="122">
        <f t="shared" ref="Z660:AI660" si="1073">Y660</f>
        <v>0.00043087128416880095</v>
      </c>
      <c r="AA660" s="122">
        <f t="shared" si="1073"/>
        <v>0.00043087128416880095</v>
      </c>
      <c r="AB660" s="122">
        <f t="shared" si="1073"/>
        <v>0.00043087128416880095</v>
      </c>
      <c r="AC660" s="122">
        <f t="shared" si="1073"/>
        <v>0.00043087128416880095</v>
      </c>
      <c r="AD660" s="122">
        <f t="shared" si="1073"/>
        <v>0.00043087128416880095</v>
      </c>
      <c r="AE660" s="122">
        <f t="shared" si="1073"/>
        <v>0.00043087128416880095</v>
      </c>
      <c r="AF660" s="122">
        <f t="shared" si="1073"/>
        <v>0.00043087128416880095</v>
      </c>
      <c r="AG660" s="122">
        <f t="shared" si="1073"/>
        <v>0.00043087128416880095</v>
      </c>
      <c r="AH660" s="122">
        <f t="shared" si="1073"/>
        <v>0.00043087128416880095</v>
      </c>
      <c r="AI660" s="122">
        <f t="shared" si="1073"/>
        <v>0.00043087128416880095</v>
      </c>
    </row>
    <row r="661" hidden="1" outlineLevel="1">
      <c r="A661" s="44" t="inlineStr">
        <is>
          <t>dps</t>
        </is>
      </c>
      <c r="B661" s="3" t="inlineStr">
        <is>
          <t>lea</t>
        </is>
      </c>
      <c r="C661" s="3" t="inlineStr"/>
      <c r="D661" s="3" t="n">
        <v>24</v>
      </c>
      <c r="E661" s="3" t="inlineStr">
        <is>
          <t>omn</t>
        </is>
      </c>
      <c r="H661" s="3" t="inlineStr">
        <is>
          <t>Leather: price change, input costs</t>
        </is>
      </c>
      <c r="I661" s="3" t="inlineStr">
        <is>
          <t>fraction</t>
        </is>
      </c>
      <c r="J661" s="118" t="inlineStr">
        <is>
          <t>legacy rows 643, 653</t>
        </is>
      </c>
      <c r="K661" s="9" t="str">
        <f>LOWER(CtryCode)&amp;".distn."&amp;$A661&amp;IF($B661="","","."&amp;$B661)&amp;IF($C661="","",".dec."&amp;$C661)&amp;"."&amp;K$5</f>
        <v>egy.distn.dps.lea.1</v>
      </c>
      <c r="L661" s="121">
        <f>IF(INDEX(DSecFuel,$D661),0,MMULT(INDEX(DSecLeon,$D661,0),L$106:L$110))</f>
        <v>0.0</v>
      </c>
      <c r="M661" s="122">
        <f t="shared" ref="M661:V661" si="1074">L661</f>
        <v>0.0</v>
      </c>
      <c r="N661" s="122">
        <f t="shared" si="1074"/>
        <v>0.0</v>
      </c>
      <c r="O661" s="122">
        <f t="shared" si="1074"/>
        <v>0.0</v>
      </c>
      <c r="P661" s="122">
        <f t="shared" si="1074"/>
        <v>0.0</v>
      </c>
      <c r="Q661" s="122">
        <f t="shared" si="1074"/>
        <v>0.0</v>
      </c>
      <c r="R661" s="122">
        <f t="shared" si="1074"/>
        <v>0.0</v>
      </c>
      <c r="S661" s="122">
        <f t="shared" si="1074"/>
        <v>0.0</v>
      </c>
      <c r="T661" s="122">
        <f t="shared" si="1074"/>
        <v>0.0</v>
      </c>
      <c r="U661" s="122">
        <f t="shared" si="1074"/>
        <v>0.0</v>
      </c>
      <c r="V661" s="122">
        <f t="shared" si="1074"/>
        <v>0.0</v>
      </c>
      <c r="W661" s="201" t="str">
        <f>IF(X$5=K$5,SUM(Y661:AI661)-SUM(L661:V661),"")</f>
        <v/>
      </c>
      <c r="X661" s="9" t="str">
        <f>LOWER(CtryCode)&amp;".distn."&amp;$A661&amp;IF($B661="","","."&amp;$B661)&amp;IF($C661="","",".dec."&amp;$C661)&amp;"."&amp;X$5</f>
        <v>egy.distn.dps.lea.2</v>
      </c>
      <c r="Y661" s="121">
        <f>IF(INDEX(DSecFuel,$D661),0,MMULT(INDEX(DSecLeon,$D661,0),Y$106:Y$110))</f>
        <v>0.001264022893099197</v>
      </c>
      <c r="Z661" s="122">
        <f t="shared" ref="Z661:AI661" si="1075">Y661</f>
        <v>0.001264022893099197</v>
      </c>
      <c r="AA661" s="122">
        <f t="shared" si="1075"/>
        <v>0.001264022893099197</v>
      </c>
      <c r="AB661" s="122">
        <f t="shared" si="1075"/>
        <v>0.001264022893099197</v>
      </c>
      <c r="AC661" s="122">
        <f t="shared" si="1075"/>
        <v>0.001264022893099197</v>
      </c>
      <c r="AD661" s="122">
        <f t="shared" si="1075"/>
        <v>0.001264022893099197</v>
      </c>
      <c r="AE661" s="122">
        <f t="shared" si="1075"/>
        <v>0.001264022893099197</v>
      </c>
      <c r="AF661" s="122">
        <f t="shared" si="1075"/>
        <v>0.001264022893099197</v>
      </c>
      <c r="AG661" s="122">
        <f t="shared" si="1075"/>
        <v>0.001264022893099197</v>
      </c>
      <c r="AH661" s="122">
        <f t="shared" si="1075"/>
        <v>0.001264022893099197</v>
      </c>
      <c r="AI661" s="122">
        <f t="shared" si="1075"/>
        <v>0.001264022893099197</v>
      </c>
    </row>
    <row r="662" hidden="1" outlineLevel="1">
      <c r="A662" s="44" t="inlineStr">
        <is>
          <t>dps</t>
        </is>
      </c>
      <c r="B662" s="3" t="inlineStr">
        <is>
          <t>lum</t>
        </is>
      </c>
      <c r="C662" s="3" t="inlineStr"/>
      <c r="D662" s="3" t="n">
        <v>25</v>
      </c>
      <c r="E662" s="3" t="inlineStr">
        <is>
          <t>foo</t>
        </is>
      </c>
      <c r="H662" s="3" t="inlineStr">
        <is>
          <t>Lumber: price change, input costs</t>
        </is>
      </c>
      <c r="I662" s="3" t="inlineStr">
        <is>
          <t>fraction</t>
        </is>
      </c>
      <c r="J662" s="118" t="inlineStr">
        <is>
          <t>legacy rows 643, 653</t>
        </is>
      </c>
      <c r="K662" s="9" t="str">
        <f>LOWER(CtryCode)&amp;".distn."&amp;$A662&amp;IF($B662="","","."&amp;$B662)&amp;IF($C662="","",".dec."&amp;$C662)&amp;"."&amp;K$5</f>
        <v>egy.distn.dps.lum.1</v>
      </c>
      <c r="L662" s="121">
        <f>IF(INDEX(DSecFuel,$D662),0,MMULT(INDEX(DSecLeon,$D662,0),L$106:L$110))</f>
        <v>0.0</v>
      </c>
      <c r="M662" s="122">
        <f t="shared" ref="M662:V662" si="1076">L662</f>
        <v>0.0</v>
      </c>
      <c r="N662" s="122">
        <f t="shared" si="1076"/>
        <v>0.0</v>
      </c>
      <c r="O662" s="122">
        <f t="shared" si="1076"/>
        <v>0.0</v>
      </c>
      <c r="P662" s="122">
        <f t="shared" si="1076"/>
        <v>0.0</v>
      </c>
      <c r="Q662" s="122">
        <f t="shared" si="1076"/>
        <v>0.0</v>
      </c>
      <c r="R662" s="122">
        <f t="shared" si="1076"/>
        <v>0.0</v>
      </c>
      <c r="S662" s="122">
        <f t="shared" si="1076"/>
        <v>0.0</v>
      </c>
      <c r="T662" s="122">
        <f t="shared" si="1076"/>
        <v>0.0</v>
      </c>
      <c r="U662" s="122">
        <f t="shared" si="1076"/>
        <v>0.0</v>
      </c>
      <c r="V662" s="122">
        <f t="shared" si="1076"/>
        <v>0.0</v>
      </c>
      <c r="W662" s="201" t="str">
        <f>IF(X$5=K$5,SUM(Y662:AI662)-SUM(L662:V662),"")</f>
        <v/>
      </c>
      <c r="X662" s="9" t="str">
        <f>LOWER(CtryCode)&amp;".distn."&amp;$A662&amp;IF($B662="","","."&amp;$B662)&amp;IF($C662="","",".dec."&amp;$C662)&amp;"."&amp;X$5</f>
        <v>egy.distn.dps.lum.2</v>
      </c>
      <c r="Y662" s="121">
        <f>IF(INDEX(DSecFuel,$D662),0,MMULT(INDEX(DSecLeon,$D662,0),Y$106:Y$110))</f>
        <v>0.0018121672937185794</v>
      </c>
      <c r="Z662" s="122">
        <f t="shared" ref="Z662:AI662" si="1077">Y662</f>
        <v>0.0018121672937185794</v>
      </c>
      <c r="AA662" s="122">
        <f t="shared" si="1077"/>
        <v>0.0018121672937185794</v>
      </c>
      <c r="AB662" s="122">
        <f t="shared" si="1077"/>
        <v>0.0018121672937185794</v>
      </c>
      <c r="AC662" s="122">
        <f t="shared" si="1077"/>
        <v>0.0018121672937185794</v>
      </c>
      <c r="AD662" s="122">
        <f t="shared" si="1077"/>
        <v>0.0018121672937185794</v>
      </c>
      <c r="AE662" s="122">
        <f t="shared" si="1077"/>
        <v>0.0018121672937185794</v>
      </c>
      <c r="AF662" s="122">
        <f t="shared" si="1077"/>
        <v>0.0018121672937185794</v>
      </c>
      <c r="AG662" s="122">
        <f t="shared" si="1077"/>
        <v>0.0018121672937185794</v>
      </c>
      <c r="AH662" s="122">
        <f t="shared" si="1077"/>
        <v>0.0018121672937185794</v>
      </c>
      <c r="AI662" s="122">
        <f t="shared" si="1077"/>
        <v>0.0018121672937185794</v>
      </c>
    </row>
    <row r="663" hidden="1" outlineLevel="1">
      <c r="A663" s="44" t="inlineStr">
        <is>
          <t>dps</t>
        </is>
      </c>
      <c r="B663" s="3" t="inlineStr">
        <is>
          <t>mil</t>
        </is>
      </c>
      <c r="C663" s="3" t="inlineStr"/>
      <c r="D663" s="3" t="n">
        <v>26</v>
      </c>
      <c r="E663" s="3" t="inlineStr">
        <is>
          <t>foo</t>
        </is>
      </c>
      <c r="H663" s="3" t="inlineStr">
        <is>
          <t>Dairy: price change, input costs</t>
        </is>
      </c>
      <c r="I663" s="3" t="inlineStr">
        <is>
          <t>fraction</t>
        </is>
      </c>
      <c r="J663" s="118" t="inlineStr">
        <is>
          <t>legacy rows 643, 653</t>
        </is>
      </c>
      <c r="K663" s="9" t="str">
        <f>LOWER(CtryCode)&amp;".distn."&amp;$A663&amp;IF($B663="","","."&amp;$B663)&amp;IF($C663="","",".dec."&amp;$C663)&amp;"."&amp;K$5</f>
        <v>egy.distn.dps.mil.1</v>
      </c>
      <c r="L663" s="121">
        <f>IF(INDEX(DSecFuel,$D663),0,MMULT(INDEX(DSecLeon,$D663,0),L$106:L$110))</f>
        <v>0.0</v>
      </c>
      <c r="M663" s="122">
        <f t="shared" ref="M663:V663" si="1078">L663</f>
        <v>0.0</v>
      </c>
      <c r="N663" s="122">
        <f t="shared" si="1078"/>
        <v>0.0</v>
      </c>
      <c r="O663" s="122">
        <f t="shared" si="1078"/>
        <v>0.0</v>
      </c>
      <c r="P663" s="122">
        <f t="shared" si="1078"/>
        <v>0.0</v>
      </c>
      <c r="Q663" s="122">
        <f t="shared" si="1078"/>
        <v>0.0</v>
      </c>
      <c r="R663" s="122">
        <f t="shared" si="1078"/>
        <v>0.0</v>
      </c>
      <c r="S663" s="122">
        <f t="shared" si="1078"/>
        <v>0.0</v>
      </c>
      <c r="T663" s="122">
        <f t="shared" si="1078"/>
        <v>0.0</v>
      </c>
      <c r="U663" s="122">
        <f t="shared" si="1078"/>
        <v>0.0</v>
      </c>
      <c r="V663" s="122">
        <f t="shared" si="1078"/>
        <v>0.0</v>
      </c>
      <c r="W663" s="201" t="str">
        <f>IF(X$5=K$5,SUM(Y663:AI663)-SUM(L663:V663),"")</f>
        <v/>
      </c>
      <c r="X663" s="9" t="str">
        <f>LOWER(CtryCode)&amp;".distn."&amp;$A663&amp;IF($B663="","","."&amp;$B663)&amp;IF($C663="","",".dec."&amp;$C663)&amp;"."&amp;X$5</f>
        <v>egy.distn.dps.mil.2</v>
      </c>
      <c r="Y663" s="121">
        <f>IF(INDEX(DSecFuel,$D663),0,MMULT(INDEX(DSecLeon,$D663,0),Y$106:Y$110))</f>
        <v>0.0005942590034649164</v>
      </c>
      <c r="Z663" s="122">
        <f t="shared" ref="Z663:AI663" si="1079">Y663</f>
        <v>0.0005942590034649164</v>
      </c>
      <c r="AA663" s="122">
        <f t="shared" si="1079"/>
        <v>0.0005942590034649164</v>
      </c>
      <c r="AB663" s="122">
        <f t="shared" si="1079"/>
        <v>0.0005942590034649164</v>
      </c>
      <c r="AC663" s="122">
        <f t="shared" si="1079"/>
        <v>0.0005942590034649164</v>
      </c>
      <c r="AD663" s="122">
        <f t="shared" si="1079"/>
        <v>0.0005942590034649164</v>
      </c>
      <c r="AE663" s="122">
        <f t="shared" si="1079"/>
        <v>0.0005942590034649164</v>
      </c>
      <c r="AF663" s="122">
        <f t="shared" si="1079"/>
        <v>0.0005942590034649164</v>
      </c>
      <c r="AG663" s="122">
        <f t="shared" si="1079"/>
        <v>0.0005942590034649164</v>
      </c>
      <c r="AH663" s="122">
        <f t="shared" si="1079"/>
        <v>0.0005942590034649164</v>
      </c>
      <c r="AI663" s="122">
        <f t="shared" si="1079"/>
        <v>0.0005942590034649164</v>
      </c>
    </row>
    <row r="664" hidden="1" outlineLevel="1">
      <c r="A664" s="44" t="inlineStr">
        <is>
          <t>dps</t>
        </is>
      </c>
      <c r="B664" s="3" t="inlineStr">
        <is>
          <t>mvh</t>
        </is>
      </c>
      <c r="C664" s="3" t="inlineStr"/>
      <c r="D664" s="3" t="n">
        <v>27</v>
      </c>
      <c r="E664" s="3" t="inlineStr">
        <is>
          <t>mac</t>
        </is>
      </c>
      <c r="H664" s="3" t="inlineStr">
        <is>
          <t>Motor vehicles: price change, input costs</t>
        </is>
      </c>
      <c r="I664" s="3" t="inlineStr">
        <is>
          <t>fraction</t>
        </is>
      </c>
      <c r="J664" s="118" t="inlineStr">
        <is>
          <t>legacy rows 643, 653</t>
        </is>
      </c>
      <c r="K664" s="9" t="str">
        <f>LOWER(CtryCode)&amp;".distn."&amp;$A664&amp;IF($B664="","","."&amp;$B664)&amp;IF($C664="","",".dec."&amp;$C664)&amp;"."&amp;K$5</f>
        <v>egy.distn.dps.mvh.1</v>
      </c>
      <c r="L664" s="121">
        <f>IF(INDEX(DSecFuel,$D664),0,MMULT(INDEX(DSecLeon,$D664,0),L$106:L$110))</f>
        <v>0.0</v>
      </c>
      <c r="M664" s="122">
        <f t="shared" ref="M664:V664" si="1080">L664</f>
        <v>0.0</v>
      </c>
      <c r="N664" s="122">
        <f t="shared" si="1080"/>
        <v>0.0</v>
      </c>
      <c r="O664" s="122">
        <f t="shared" si="1080"/>
        <v>0.0</v>
      </c>
      <c r="P664" s="122">
        <f t="shared" si="1080"/>
        <v>0.0</v>
      </c>
      <c r="Q664" s="122">
        <f t="shared" si="1080"/>
        <v>0.0</v>
      </c>
      <c r="R664" s="122">
        <f t="shared" si="1080"/>
        <v>0.0</v>
      </c>
      <c r="S664" s="122">
        <f t="shared" si="1080"/>
        <v>0.0</v>
      </c>
      <c r="T664" s="122">
        <f t="shared" si="1080"/>
        <v>0.0</v>
      </c>
      <c r="U664" s="122">
        <f t="shared" si="1080"/>
        <v>0.0</v>
      </c>
      <c r="V664" s="122">
        <f t="shared" si="1080"/>
        <v>0.0</v>
      </c>
      <c r="W664" s="201" t="str">
        <f>IF(X$5=K$5,SUM(Y664:AI664)-SUM(L664:V664),"")</f>
        <v/>
      </c>
      <c r="X664" s="9" t="str">
        <f>LOWER(CtryCode)&amp;".distn."&amp;$A664&amp;IF($B664="","","."&amp;$B664)&amp;IF($C664="","",".dec."&amp;$C664)&amp;"."&amp;X$5</f>
        <v>egy.distn.dps.mvh.2</v>
      </c>
      <c r="Y664" s="121">
        <f>IF(INDEX(DSecFuel,$D664),0,MMULT(INDEX(DSecLeon,$D664,0),Y$106:Y$110))</f>
        <v>0.002005585626146568</v>
      </c>
      <c r="Z664" s="122">
        <f t="shared" ref="Z664:AI664" si="1081">Y664</f>
        <v>0.002005585626146568</v>
      </c>
      <c r="AA664" s="122">
        <f t="shared" si="1081"/>
        <v>0.002005585626146568</v>
      </c>
      <c r="AB664" s="122">
        <f t="shared" si="1081"/>
        <v>0.002005585626146568</v>
      </c>
      <c r="AC664" s="122">
        <f t="shared" si="1081"/>
        <v>0.002005585626146568</v>
      </c>
      <c r="AD664" s="122">
        <f t="shared" si="1081"/>
        <v>0.002005585626146568</v>
      </c>
      <c r="AE664" s="122">
        <f t="shared" si="1081"/>
        <v>0.002005585626146568</v>
      </c>
      <c r="AF664" s="122">
        <f t="shared" si="1081"/>
        <v>0.002005585626146568</v>
      </c>
      <c r="AG664" s="122">
        <f t="shared" si="1081"/>
        <v>0.002005585626146568</v>
      </c>
      <c r="AH664" s="122">
        <f t="shared" si="1081"/>
        <v>0.002005585626146568</v>
      </c>
      <c r="AI664" s="122">
        <f t="shared" si="1081"/>
        <v>0.002005585626146568</v>
      </c>
    </row>
    <row r="665" hidden="1" outlineLevel="1">
      <c r="A665" s="44" t="inlineStr">
        <is>
          <t>dps</t>
        </is>
      </c>
      <c r="B665" s="3" t="inlineStr">
        <is>
          <t>nfm</t>
        </is>
      </c>
      <c r="C665" s="3" t="inlineStr"/>
      <c r="D665" s="3" t="n">
        <v>28</v>
      </c>
      <c r="E665" s="3" t="inlineStr">
        <is>
          <t>nfm</t>
        </is>
      </c>
      <c r="H665" s="3" t="inlineStr">
        <is>
          <t>Non-Ferrous Metals: price change, input costs</t>
        </is>
      </c>
      <c r="I665" s="3" t="inlineStr">
        <is>
          <t>fraction</t>
        </is>
      </c>
      <c r="J665" s="118" t="inlineStr">
        <is>
          <t>legacy rows 643, 653</t>
        </is>
      </c>
      <c r="K665" s="9" t="str">
        <f>LOWER(CtryCode)&amp;".distn."&amp;$A665&amp;IF($B665="","","."&amp;$B665)&amp;IF($C665="","",".dec."&amp;$C665)&amp;"."&amp;K$5</f>
        <v>egy.distn.dps.nfm.1</v>
      </c>
      <c r="L665" s="121">
        <f>IF(INDEX(DSecFuel,$D665),0,MMULT(INDEX(DSecLeon,$D665,0),L$106:L$110))</f>
        <v>0.0</v>
      </c>
      <c r="M665" s="122">
        <f t="shared" ref="M665:V665" si="1082">L665</f>
        <v>0.0</v>
      </c>
      <c r="N665" s="122">
        <f t="shared" si="1082"/>
        <v>0.0</v>
      </c>
      <c r="O665" s="122">
        <f t="shared" si="1082"/>
        <v>0.0</v>
      </c>
      <c r="P665" s="122">
        <f t="shared" si="1082"/>
        <v>0.0</v>
      </c>
      <c r="Q665" s="122">
        <f t="shared" si="1082"/>
        <v>0.0</v>
      </c>
      <c r="R665" s="122">
        <f t="shared" si="1082"/>
        <v>0.0</v>
      </c>
      <c r="S665" s="122">
        <f t="shared" si="1082"/>
        <v>0.0</v>
      </c>
      <c r="T665" s="122">
        <f t="shared" si="1082"/>
        <v>0.0</v>
      </c>
      <c r="U665" s="122">
        <f t="shared" si="1082"/>
        <v>0.0</v>
      </c>
      <c r="V665" s="122">
        <f t="shared" si="1082"/>
        <v>0.0</v>
      </c>
      <c r="W665" s="201" t="str">
        <f>IF(X$5=K$5,SUM(Y665:AI665)-SUM(L665:V665),"")</f>
        <v/>
      </c>
      <c r="X665" s="9" t="str">
        <f>LOWER(CtryCode)&amp;".distn."&amp;$A665&amp;IF($B665="","","."&amp;$B665)&amp;IF($C665="","",".dec."&amp;$C665)&amp;"."&amp;X$5</f>
        <v>egy.distn.dps.nfm.2</v>
      </c>
      <c r="Y665" s="121">
        <f>IF(INDEX(DSecFuel,$D665),0,MMULT(INDEX(DSecLeon,$D665,0),Y$106:Y$110))</f>
        <v>0.0041046532004021</v>
      </c>
      <c r="Z665" s="122">
        <f t="shared" ref="Z665:AI665" si="1083">Y665</f>
        <v>0.0041046532004021</v>
      </c>
      <c r="AA665" s="122">
        <f t="shared" si="1083"/>
        <v>0.0041046532004021</v>
      </c>
      <c r="AB665" s="122">
        <f t="shared" si="1083"/>
        <v>0.0041046532004021</v>
      </c>
      <c r="AC665" s="122">
        <f t="shared" si="1083"/>
        <v>0.0041046532004021</v>
      </c>
      <c r="AD665" s="122">
        <f t="shared" si="1083"/>
        <v>0.0041046532004021</v>
      </c>
      <c r="AE665" s="122">
        <f t="shared" si="1083"/>
        <v>0.0041046532004021</v>
      </c>
      <c r="AF665" s="122">
        <f t="shared" si="1083"/>
        <v>0.0041046532004021</v>
      </c>
      <c r="AG665" s="122">
        <f t="shared" si="1083"/>
        <v>0.0041046532004021</v>
      </c>
      <c r="AH665" s="122">
        <f t="shared" si="1083"/>
        <v>0.0041046532004021</v>
      </c>
      <c r="AI665" s="122">
        <f t="shared" si="1083"/>
        <v>0.0041046532004021</v>
      </c>
    </row>
    <row r="666" hidden="1" outlineLevel="1">
      <c r="A666" s="44" t="inlineStr">
        <is>
          <t>dps</t>
        </is>
      </c>
      <c r="B666" s="3" t="inlineStr">
        <is>
          <t>nga</t>
        </is>
      </c>
      <c r="C666" s="3" t="inlineStr"/>
      <c r="D666" s="3" t="n">
        <v>29</v>
      </c>
      <c r="E666" s="3" t="inlineStr">
        <is>
          <t>pow</t>
        </is>
      </c>
      <c r="H666" s="3" t="inlineStr">
        <is>
          <t>Natural gas: price change, input costs</t>
        </is>
      </c>
      <c r="I666" s="3" t="inlineStr">
        <is>
          <t>fraction</t>
        </is>
      </c>
      <c r="J666" s="118" t="inlineStr">
        <is>
          <t>legacy rows 643, 653</t>
        </is>
      </c>
      <c r="K666" s="9" t="str">
        <f>LOWER(CtryCode)&amp;".distn."&amp;$A666&amp;IF($B666="","","."&amp;$B666)&amp;IF($C666="","",".dec."&amp;$C666)&amp;"."&amp;K$5</f>
        <v>egy.distn.dps.nga.1</v>
      </c>
      <c r="L666" s="121">
        <f>IF(INDEX(DSecFuel,$D666),0,MMULT(INDEX(DSecLeon,$D666,0),L$106:L$110))</f>
        <v>0.0</v>
      </c>
      <c r="M666" s="122">
        <f t="shared" ref="M666:V666" si="1084">L666</f>
        <v>0.0</v>
      </c>
      <c r="N666" s="122">
        <f t="shared" si="1084"/>
        <v>0.0</v>
      </c>
      <c r="O666" s="122">
        <f t="shared" si="1084"/>
        <v>0.0</v>
      </c>
      <c r="P666" s="122">
        <f t="shared" si="1084"/>
        <v>0.0</v>
      </c>
      <c r="Q666" s="122">
        <f t="shared" si="1084"/>
        <v>0.0</v>
      </c>
      <c r="R666" s="122">
        <f t="shared" si="1084"/>
        <v>0.0</v>
      </c>
      <c r="S666" s="122">
        <f t="shared" si="1084"/>
        <v>0.0</v>
      </c>
      <c r="T666" s="122">
        <f t="shared" si="1084"/>
        <v>0.0</v>
      </c>
      <c r="U666" s="122">
        <f t="shared" si="1084"/>
        <v>0.0</v>
      </c>
      <c r="V666" s="122">
        <f t="shared" si="1084"/>
        <v>0.0</v>
      </c>
      <c r="W666" s="201" t="str">
        <f>IF(X$5=K$5,SUM(Y666:AI666)-SUM(L666:V666),"")</f>
        <v/>
      </c>
      <c r="X666" s="9" t="str">
        <f>LOWER(CtryCode)&amp;".distn."&amp;$A666&amp;IF($B666="","","."&amp;$B666)&amp;IF($C666="","",".dec."&amp;$C666)&amp;"."&amp;X$5</f>
        <v>egy.distn.dps.nga.2</v>
      </c>
      <c r="Y666" s="121">
        <f>IF(INDEX(DSecFuel,$D666),0,MMULT(INDEX(DSecLeon,$D666,0),Y$106:Y$110))</f>
        <v>0.0</v>
      </c>
      <c r="Z666" s="122">
        <f t="shared" ref="Z666:AI666" si="1085">Y666</f>
        <v>0.0</v>
      </c>
      <c r="AA666" s="122">
        <f t="shared" si="1085"/>
        <v>0.0</v>
      </c>
      <c r="AB666" s="122">
        <f t="shared" si="1085"/>
        <v>0.0</v>
      </c>
      <c r="AC666" s="122">
        <f t="shared" si="1085"/>
        <v>0.0</v>
      </c>
      <c r="AD666" s="122">
        <f t="shared" si="1085"/>
        <v>0.0</v>
      </c>
      <c r="AE666" s="122">
        <f t="shared" si="1085"/>
        <v>0.0</v>
      </c>
      <c r="AF666" s="122">
        <f t="shared" si="1085"/>
        <v>0.0</v>
      </c>
      <c r="AG666" s="122">
        <f t="shared" si="1085"/>
        <v>0.0</v>
      </c>
      <c r="AH666" s="122">
        <f t="shared" si="1085"/>
        <v>0.0</v>
      </c>
      <c r="AI666" s="122">
        <f t="shared" si="1085"/>
        <v>0.0</v>
      </c>
    </row>
    <row r="667" hidden="1" outlineLevel="1">
      <c r="A667" s="44" t="inlineStr">
        <is>
          <t>dps</t>
        </is>
      </c>
      <c r="B667" s="3" t="inlineStr">
        <is>
          <t>nmm</t>
        </is>
      </c>
      <c r="C667" s="3" t="inlineStr"/>
      <c r="D667" s="3" t="n">
        <v>30</v>
      </c>
      <c r="E667" s="3" t="inlineStr">
        <is>
          <t>cem</t>
        </is>
      </c>
      <c r="H667" s="3" t="inlineStr">
        <is>
          <t>Non-metallic minerals: price change, input costs</t>
        </is>
      </c>
      <c r="I667" s="3" t="inlineStr">
        <is>
          <t>fraction</t>
        </is>
      </c>
      <c r="J667" s="118" t="inlineStr">
        <is>
          <t>legacy rows 643, 653</t>
        </is>
      </c>
      <c r="K667" s="9" t="str">
        <f>LOWER(CtryCode)&amp;".distn."&amp;$A667&amp;IF($B667="","","."&amp;$B667)&amp;IF($C667="","",".dec."&amp;$C667)&amp;"."&amp;K$5</f>
        <v>egy.distn.dps.nmm.1</v>
      </c>
      <c r="L667" s="121">
        <f>IF(INDEX(DSecFuel,$D667),0,MMULT(INDEX(DSecLeon,$D667,0),L$106:L$110))</f>
        <v>0.0</v>
      </c>
      <c r="M667" s="122">
        <f t="shared" ref="M667:V667" si="1086">L667</f>
        <v>0.0</v>
      </c>
      <c r="N667" s="122">
        <f t="shared" si="1086"/>
        <v>0.0</v>
      </c>
      <c r="O667" s="122">
        <f t="shared" si="1086"/>
        <v>0.0</v>
      </c>
      <c r="P667" s="122">
        <f t="shared" si="1086"/>
        <v>0.0</v>
      </c>
      <c r="Q667" s="122">
        <f t="shared" si="1086"/>
        <v>0.0</v>
      </c>
      <c r="R667" s="122">
        <f t="shared" si="1086"/>
        <v>0.0</v>
      </c>
      <c r="S667" s="122">
        <f t="shared" si="1086"/>
        <v>0.0</v>
      </c>
      <c r="T667" s="122">
        <f t="shared" si="1086"/>
        <v>0.0</v>
      </c>
      <c r="U667" s="122">
        <f t="shared" si="1086"/>
        <v>0.0</v>
      </c>
      <c r="V667" s="122">
        <f t="shared" si="1086"/>
        <v>0.0</v>
      </c>
      <c r="W667" s="201" t="str">
        <f>IF(X$5=K$5,SUM(Y667:AI667)-SUM(L667:V667),"")</f>
        <v/>
      </c>
      <c r="X667" s="9" t="str">
        <f>LOWER(CtryCode)&amp;".distn."&amp;$A667&amp;IF($B667="","","."&amp;$B667)&amp;IF($C667="","",".dec."&amp;$C667)&amp;"."&amp;X$5</f>
        <v>egy.distn.dps.nmm.2</v>
      </c>
      <c r="Y667" s="121">
        <f>IF(INDEX(DSecFuel,$D667),0,MMULT(INDEX(DSecLeon,$D667,0),Y$106:Y$110))</f>
        <v>0.0019892939204200046</v>
      </c>
      <c r="Z667" s="122">
        <f t="shared" ref="Z667:AI667" si="1087">Y667</f>
        <v>0.0019892939204200046</v>
      </c>
      <c r="AA667" s="122">
        <f t="shared" si="1087"/>
        <v>0.0019892939204200046</v>
      </c>
      <c r="AB667" s="122">
        <f t="shared" si="1087"/>
        <v>0.0019892939204200046</v>
      </c>
      <c r="AC667" s="122">
        <f t="shared" si="1087"/>
        <v>0.0019892939204200046</v>
      </c>
      <c r="AD667" s="122">
        <f t="shared" si="1087"/>
        <v>0.0019892939204200046</v>
      </c>
      <c r="AE667" s="122">
        <f t="shared" si="1087"/>
        <v>0.0019892939204200046</v>
      </c>
      <c r="AF667" s="122">
        <f t="shared" si="1087"/>
        <v>0.0019892939204200046</v>
      </c>
      <c r="AG667" s="122">
        <f t="shared" si="1087"/>
        <v>0.0019892939204200046</v>
      </c>
      <c r="AH667" s="122">
        <f t="shared" si="1087"/>
        <v>0.0019892939204200046</v>
      </c>
      <c r="AI667" s="122">
        <f t="shared" si="1087"/>
        <v>0.0019892939204200046</v>
      </c>
    </row>
    <row r="668" hidden="1" outlineLevel="1">
      <c r="A668" s="44" t="inlineStr">
        <is>
          <t>dps</t>
        </is>
      </c>
      <c r="B668" s="3" t="inlineStr">
        <is>
          <t>oap</t>
        </is>
      </c>
      <c r="C668" s="3" t="inlineStr"/>
      <c r="D668" s="3" t="n">
        <v>31</v>
      </c>
      <c r="E668" s="3" t="inlineStr">
        <is>
          <t>foo</t>
        </is>
      </c>
      <c r="H668" s="3" t="inlineStr">
        <is>
          <t>Other Animal Products: price change, input costs</t>
        </is>
      </c>
      <c r="I668" s="3" t="inlineStr">
        <is>
          <t>fraction</t>
        </is>
      </c>
      <c r="J668" s="118" t="inlineStr">
        <is>
          <t>legacy rows 643, 653</t>
        </is>
      </c>
      <c r="K668" s="9" t="str">
        <f>LOWER(CtryCode)&amp;".distn."&amp;$A668&amp;IF($B668="","","."&amp;$B668)&amp;IF($C668="","",".dec."&amp;$C668)&amp;"."&amp;K$5</f>
        <v>egy.distn.dps.oap.1</v>
      </c>
      <c r="L668" s="121">
        <f>IF(INDEX(DSecFuel,$D668),0,MMULT(INDEX(DSecLeon,$D668,0),L$106:L$110))</f>
        <v>0.0</v>
      </c>
      <c r="M668" s="122">
        <f t="shared" ref="M668:V668" si="1088">L668</f>
        <v>0.0</v>
      </c>
      <c r="N668" s="122">
        <f t="shared" si="1088"/>
        <v>0.0</v>
      </c>
      <c r="O668" s="122">
        <f t="shared" si="1088"/>
        <v>0.0</v>
      </c>
      <c r="P668" s="122">
        <f t="shared" si="1088"/>
        <v>0.0</v>
      </c>
      <c r="Q668" s="122">
        <f t="shared" si="1088"/>
        <v>0.0</v>
      </c>
      <c r="R668" s="122">
        <f t="shared" si="1088"/>
        <v>0.0</v>
      </c>
      <c r="S668" s="122">
        <f t="shared" si="1088"/>
        <v>0.0</v>
      </c>
      <c r="T668" s="122">
        <f t="shared" si="1088"/>
        <v>0.0</v>
      </c>
      <c r="U668" s="122">
        <f t="shared" si="1088"/>
        <v>0.0</v>
      </c>
      <c r="V668" s="122">
        <f t="shared" si="1088"/>
        <v>0.0</v>
      </c>
      <c r="W668" s="201" t="str">
        <f>IF(X$5=K$5,SUM(Y668:AI668)-SUM(L668:V668),"")</f>
        <v/>
      </c>
      <c r="X668" s="9" t="str">
        <f>LOWER(CtryCode)&amp;".distn."&amp;$A668&amp;IF($B668="","","."&amp;$B668)&amp;IF($C668="","",".dec."&amp;$C668)&amp;"."&amp;X$5</f>
        <v>egy.distn.dps.oap.2</v>
      </c>
      <c r="Y668" s="121">
        <f>IF(INDEX(DSecFuel,$D668),0,MMULT(INDEX(DSecLeon,$D668,0),Y$106:Y$110))</f>
        <v>0.0011903268389929812</v>
      </c>
      <c r="Z668" s="122">
        <f t="shared" ref="Z668:AI668" si="1089">Y668</f>
        <v>0.0011903268389929812</v>
      </c>
      <c r="AA668" s="122">
        <f t="shared" si="1089"/>
        <v>0.0011903268389929812</v>
      </c>
      <c r="AB668" s="122">
        <f t="shared" si="1089"/>
        <v>0.0011903268389929812</v>
      </c>
      <c r="AC668" s="122">
        <f t="shared" si="1089"/>
        <v>0.0011903268389929812</v>
      </c>
      <c r="AD668" s="122">
        <f t="shared" si="1089"/>
        <v>0.0011903268389929812</v>
      </c>
      <c r="AE668" s="122">
        <f t="shared" si="1089"/>
        <v>0.0011903268389929812</v>
      </c>
      <c r="AF668" s="122">
        <f t="shared" si="1089"/>
        <v>0.0011903268389929812</v>
      </c>
      <c r="AG668" s="122">
        <f t="shared" si="1089"/>
        <v>0.0011903268389929812</v>
      </c>
      <c r="AH668" s="122">
        <f t="shared" si="1089"/>
        <v>0.0011903268389929812</v>
      </c>
      <c r="AI668" s="122">
        <f t="shared" si="1089"/>
        <v>0.0011903268389929812</v>
      </c>
    </row>
    <row r="669" hidden="1" outlineLevel="1">
      <c r="A669" s="44" t="inlineStr">
        <is>
          <t>dps</t>
        </is>
      </c>
      <c r="B669" s="3" t="inlineStr">
        <is>
          <t>obs</t>
        </is>
      </c>
      <c r="C669" s="3" t="inlineStr"/>
      <c r="D669" s="3" t="n">
        <v>32</v>
      </c>
      <c r="E669" s="3" t="inlineStr">
        <is>
          <t>srv</t>
        </is>
      </c>
      <c r="H669" s="3" t="inlineStr">
        <is>
          <t>Other Business Services: price change, input costs</t>
        </is>
      </c>
      <c r="I669" s="3" t="inlineStr">
        <is>
          <t>fraction</t>
        </is>
      </c>
      <c r="J669" s="118" t="inlineStr">
        <is>
          <t>legacy rows 643, 653</t>
        </is>
      </c>
      <c r="K669" s="9" t="str">
        <f>LOWER(CtryCode)&amp;".distn."&amp;$A669&amp;IF($B669="","","."&amp;$B669)&amp;IF($C669="","",".dec."&amp;$C669)&amp;"."&amp;K$5</f>
        <v>egy.distn.dps.obs.1</v>
      </c>
      <c r="L669" s="121">
        <f>IF(INDEX(DSecFuel,$D669),0,MMULT(INDEX(DSecLeon,$D669,0),L$106:L$110))</f>
        <v>0.0</v>
      </c>
      <c r="M669" s="122">
        <f t="shared" ref="M669:V669" si="1090">L669</f>
        <v>0.0</v>
      </c>
      <c r="N669" s="122">
        <f t="shared" si="1090"/>
        <v>0.0</v>
      </c>
      <c r="O669" s="122">
        <f t="shared" si="1090"/>
        <v>0.0</v>
      </c>
      <c r="P669" s="122">
        <f t="shared" si="1090"/>
        <v>0.0</v>
      </c>
      <c r="Q669" s="122">
        <f t="shared" si="1090"/>
        <v>0.0</v>
      </c>
      <c r="R669" s="122">
        <f t="shared" si="1090"/>
        <v>0.0</v>
      </c>
      <c r="S669" s="122">
        <f t="shared" si="1090"/>
        <v>0.0</v>
      </c>
      <c r="T669" s="122">
        <f t="shared" si="1090"/>
        <v>0.0</v>
      </c>
      <c r="U669" s="122">
        <f t="shared" si="1090"/>
        <v>0.0</v>
      </c>
      <c r="V669" s="122">
        <f t="shared" si="1090"/>
        <v>0.0</v>
      </c>
      <c r="W669" s="201" t="str">
        <f>IF(X$5=K$5,SUM(Y669:AI669)-SUM(L669:V669),"")</f>
        <v/>
      </c>
      <c r="X669" s="9" t="str">
        <f>LOWER(CtryCode)&amp;".distn."&amp;$A669&amp;IF($B669="","","."&amp;$B669)&amp;IF($C669="","",".dec."&amp;$C669)&amp;"."&amp;X$5</f>
        <v>egy.distn.dps.obs.2</v>
      </c>
      <c r="Y669" s="121">
        <f>IF(INDEX(DSecFuel,$D669),0,MMULT(INDEX(DSecLeon,$D669,0),Y$106:Y$110))</f>
        <v>0.0007009047266365601</v>
      </c>
      <c r="Z669" s="122">
        <f t="shared" ref="Z669:AI669" si="1091">Y669</f>
        <v>0.0007009047266365601</v>
      </c>
      <c r="AA669" s="122">
        <f t="shared" si="1091"/>
        <v>0.0007009047266365601</v>
      </c>
      <c r="AB669" s="122">
        <f t="shared" si="1091"/>
        <v>0.0007009047266365601</v>
      </c>
      <c r="AC669" s="122">
        <f t="shared" si="1091"/>
        <v>0.0007009047266365601</v>
      </c>
      <c r="AD669" s="122">
        <f t="shared" si="1091"/>
        <v>0.0007009047266365601</v>
      </c>
      <c r="AE669" s="122">
        <f t="shared" si="1091"/>
        <v>0.0007009047266365601</v>
      </c>
      <c r="AF669" s="122">
        <f t="shared" si="1091"/>
        <v>0.0007009047266365601</v>
      </c>
      <c r="AG669" s="122">
        <f t="shared" si="1091"/>
        <v>0.0007009047266365601</v>
      </c>
      <c r="AH669" s="122">
        <f t="shared" si="1091"/>
        <v>0.0007009047266365601</v>
      </c>
      <c r="AI669" s="122">
        <f t="shared" si="1091"/>
        <v>0.0007009047266365601</v>
      </c>
    </row>
    <row r="670" hidden="1" outlineLevel="1">
      <c r="A670" s="44" t="inlineStr">
        <is>
          <t>dps</t>
        </is>
      </c>
      <c r="B670" s="3" t="inlineStr">
        <is>
          <t>ocr</t>
        </is>
      </c>
      <c r="C670" s="3" t="inlineStr"/>
      <c r="D670" s="3" t="n">
        <v>33</v>
      </c>
      <c r="E670" s="3" t="inlineStr">
        <is>
          <t>foo</t>
        </is>
      </c>
      <c r="H670" s="3" t="inlineStr">
        <is>
          <t>Other Crops: price change, input costs</t>
        </is>
      </c>
      <c r="I670" s="3" t="inlineStr">
        <is>
          <t>fraction</t>
        </is>
      </c>
      <c r="J670" s="118" t="inlineStr">
        <is>
          <t>legacy rows 643, 653</t>
        </is>
      </c>
      <c r="K670" s="9" t="str">
        <f>LOWER(CtryCode)&amp;".distn."&amp;$A670&amp;IF($B670="","","."&amp;$B670)&amp;IF($C670="","",".dec."&amp;$C670)&amp;"."&amp;K$5</f>
        <v>egy.distn.dps.ocr.1</v>
      </c>
      <c r="L670" s="121">
        <f>IF(INDEX(DSecFuel,$D670),0,MMULT(INDEX(DSecLeon,$D670,0),L$106:L$110))</f>
        <v>0.0</v>
      </c>
      <c r="M670" s="122">
        <f t="shared" ref="M670:V670" si="1092">L670</f>
        <v>0.0</v>
      </c>
      <c r="N670" s="122">
        <f t="shared" si="1092"/>
        <v>0.0</v>
      </c>
      <c r="O670" s="122">
        <f t="shared" si="1092"/>
        <v>0.0</v>
      </c>
      <c r="P670" s="122">
        <f t="shared" si="1092"/>
        <v>0.0</v>
      </c>
      <c r="Q670" s="122">
        <f t="shared" si="1092"/>
        <v>0.0</v>
      </c>
      <c r="R670" s="122">
        <f t="shared" si="1092"/>
        <v>0.0</v>
      </c>
      <c r="S670" s="122">
        <f t="shared" si="1092"/>
        <v>0.0</v>
      </c>
      <c r="T670" s="122">
        <f t="shared" si="1092"/>
        <v>0.0</v>
      </c>
      <c r="U670" s="122">
        <f t="shared" si="1092"/>
        <v>0.0</v>
      </c>
      <c r="V670" s="122">
        <f t="shared" si="1092"/>
        <v>0.0</v>
      </c>
      <c r="W670" s="201" t="str">
        <f>IF(X$5=K$5,SUM(Y670:AI670)-SUM(L670:V670),"")</f>
        <v/>
      </c>
      <c r="X670" s="9" t="str">
        <f>LOWER(CtryCode)&amp;".distn."&amp;$A670&amp;IF($B670="","","."&amp;$B670)&amp;IF($C670="","",".dec."&amp;$C670)&amp;"."&amp;X$5</f>
        <v>egy.distn.dps.ocr.2</v>
      </c>
      <c r="Y670" s="121">
        <f>IF(INDEX(DSecFuel,$D670),0,MMULT(INDEX(DSecLeon,$D670,0),Y$106:Y$110))</f>
        <v>0.00042970838598792603</v>
      </c>
      <c r="Z670" s="122">
        <f t="shared" ref="Z670:AI670" si="1093">Y670</f>
        <v>0.00042970838598792603</v>
      </c>
      <c r="AA670" s="122">
        <f t="shared" si="1093"/>
        <v>0.00042970838598792603</v>
      </c>
      <c r="AB670" s="122">
        <f t="shared" si="1093"/>
        <v>0.00042970838598792603</v>
      </c>
      <c r="AC670" s="122">
        <f t="shared" si="1093"/>
        <v>0.00042970838598792603</v>
      </c>
      <c r="AD670" s="122">
        <f t="shared" si="1093"/>
        <v>0.00042970838598792603</v>
      </c>
      <c r="AE670" s="122">
        <f t="shared" si="1093"/>
        <v>0.00042970838598792603</v>
      </c>
      <c r="AF670" s="122">
        <f t="shared" si="1093"/>
        <v>0.00042970838598792603</v>
      </c>
      <c r="AG670" s="122">
        <f t="shared" si="1093"/>
        <v>0.00042970838598792603</v>
      </c>
      <c r="AH670" s="122">
        <f t="shared" si="1093"/>
        <v>0.00042970838598792603</v>
      </c>
      <c r="AI670" s="122">
        <f t="shared" si="1093"/>
        <v>0.00042970838598792603</v>
      </c>
    </row>
    <row r="671" hidden="1" outlineLevel="1">
      <c r="A671" s="44" t="inlineStr">
        <is>
          <t>dps</t>
        </is>
      </c>
      <c r="B671" s="3" t="inlineStr">
        <is>
          <t>ofd</t>
        </is>
      </c>
      <c r="C671" s="3" t="inlineStr"/>
      <c r="D671" s="3" t="n">
        <v>34</v>
      </c>
      <c r="E671" s="3" t="inlineStr">
        <is>
          <t>foo</t>
        </is>
      </c>
      <c r="H671" s="3" t="inlineStr">
        <is>
          <t>Other Food: price change, input costs</t>
        </is>
      </c>
      <c r="I671" s="3" t="inlineStr">
        <is>
          <t>fraction</t>
        </is>
      </c>
      <c r="J671" s="118" t="inlineStr">
        <is>
          <t>legacy rows 643, 653</t>
        </is>
      </c>
      <c r="K671" s="9" t="str">
        <f>LOWER(CtryCode)&amp;".distn."&amp;$A671&amp;IF($B671="","","."&amp;$B671)&amp;IF($C671="","",".dec."&amp;$C671)&amp;"."&amp;K$5</f>
        <v>egy.distn.dps.ofd.1</v>
      </c>
      <c r="L671" s="121">
        <f>IF(INDEX(DSecFuel,$D671),0,MMULT(INDEX(DSecLeon,$D671,0),L$106:L$110))</f>
        <v>0.0</v>
      </c>
      <c r="M671" s="122">
        <f t="shared" ref="M671:V671" si="1094">L671</f>
        <v>0.0</v>
      </c>
      <c r="N671" s="122">
        <f t="shared" si="1094"/>
        <v>0.0</v>
      </c>
      <c r="O671" s="122">
        <f t="shared" si="1094"/>
        <v>0.0</v>
      </c>
      <c r="P671" s="122">
        <f t="shared" si="1094"/>
        <v>0.0</v>
      </c>
      <c r="Q671" s="122">
        <f t="shared" si="1094"/>
        <v>0.0</v>
      </c>
      <c r="R671" s="122">
        <f t="shared" si="1094"/>
        <v>0.0</v>
      </c>
      <c r="S671" s="122">
        <f t="shared" si="1094"/>
        <v>0.0</v>
      </c>
      <c r="T671" s="122">
        <f t="shared" si="1094"/>
        <v>0.0</v>
      </c>
      <c r="U671" s="122">
        <f t="shared" si="1094"/>
        <v>0.0</v>
      </c>
      <c r="V671" s="122">
        <f t="shared" si="1094"/>
        <v>0.0</v>
      </c>
      <c r="W671" s="201" t="str">
        <f>IF(X$5=K$5,SUM(Y671:AI671)-SUM(L671:V671),"")</f>
        <v/>
      </c>
      <c r="X671" s="9" t="str">
        <f>LOWER(CtryCode)&amp;".distn."&amp;$A671&amp;IF($B671="","","."&amp;$B671)&amp;IF($C671="","",".dec."&amp;$C671)&amp;"."&amp;X$5</f>
        <v>egy.distn.dps.ofd.2</v>
      </c>
      <c r="Y671" s="121">
        <f>IF(INDEX(DSecFuel,$D671),0,MMULT(INDEX(DSecLeon,$D671,0),Y$106:Y$110))</f>
        <v>0.001671916248603954</v>
      </c>
      <c r="Z671" s="122">
        <f t="shared" ref="Z671:AI671" si="1095">Y671</f>
        <v>0.001671916248603954</v>
      </c>
      <c r="AA671" s="122">
        <f t="shared" si="1095"/>
        <v>0.001671916248603954</v>
      </c>
      <c r="AB671" s="122">
        <f t="shared" si="1095"/>
        <v>0.001671916248603954</v>
      </c>
      <c r="AC671" s="122">
        <f t="shared" si="1095"/>
        <v>0.001671916248603954</v>
      </c>
      <c r="AD671" s="122">
        <f t="shared" si="1095"/>
        <v>0.001671916248603954</v>
      </c>
      <c r="AE671" s="122">
        <f t="shared" si="1095"/>
        <v>0.001671916248603954</v>
      </c>
      <c r="AF671" s="122">
        <f t="shared" si="1095"/>
        <v>0.001671916248603954</v>
      </c>
      <c r="AG671" s="122">
        <f t="shared" si="1095"/>
        <v>0.001671916248603954</v>
      </c>
      <c r="AH671" s="122">
        <f t="shared" si="1095"/>
        <v>0.001671916248603954</v>
      </c>
      <c r="AI671" s="122">
        <f t="shared" si="1095"/>
        <v>0.001671916248603954</v>
      </c>
    </row>
    <row r="672" hidden="1" outlineLevel="1">
      <c r="A672" s="44" t="inlineStr">
        <is>
          <t>dps</t>
        </is>
      </c>
      <c r="B672" s="3" t="inlineStr">
        <is>
          <t>ofi</t>
        </is>
      </c>
      <c r="C672" s="3" t="inlineStr"/>
      <c r="D672" s="3" t="n">
        <v>35</v>
      </c>
      <c r="E672" s="3" t="inlineStr">
        <is>
          <t>srv</t>
        </is>
      </c>
      <c r="H672" s="3" t="inlineStr">
        <is>
          <t>Other financial intermediation: price change, input costs</t>
        </is>
      </c>
      <c r="I672" s="3" t="inlineStr">
        <is>
          <t>fraction</t>
        </is>
      </c>
      <c r="J672" s="118" t="inlineStr">
        <is>
          <t>legacy rows 643, 653</t>
        </is>
      </c>
      <c r="K672" s="9" t="str">
        <f>LOWER(CtryCode)&amp;".distn."&amp;$A672&amp;IF($B672="","","."&amp;$B672)&amp;IF($C672="","",".dec."&amp;$C672)&amp;"."&amp;K$5</f>
        <v>egy.distn.dps.ofi.1</v>
      </c>
      <c r="L672" s="121">
        <f>IF(INDEX(DSecFuel,$D672),0,MMULT(INDEX(DSecLeon,$D672,0),L$106:L$110))</f>
        <v>0.0</v>
      </c>
      <c r="M672" s="122">
        <f t="shared" ref="M672:V672" si="1096">L672</f>
        <v>0.0</v>
      </c>
      <c r="N672" s="122">
        <f t="shared" si="1096"/>
        <v>0.0</v>
      </c>
      <c r="O672" s="122">
        <f t="shared" si="1096"/>
        <v>0.0</v>
      </c>
      <c r="P672" s="122">
        <f t="shared" si="1096"/>
        <v>0.0</v>
      </c>
      <c r="Q672" s="122">
        <f t="shared" si="1096"/>
        <v>0.0</v>
      </c>
      <c r="R672" s="122">
        <f t="shared" si="1096"/>
        <v>0.0</v>
      </c>
      <c r="S672" s="122">
        <f t="shared" si="1096"/>
        <v>0.0</v>
      </c>
      <c r="T672" s="122">
        <f t="shared" si="1096"/>
        <v>0.0</v>
      </c>
      <c r="U672" s="122">
        <f t="shared" si="1096"/>
        <v>0.0</v>
      </c>
      <c r="V672" s="122">
        <f t="shared" si="1096"/>
        <v>0.0</v>
      </c>
      <c r="W672" s="201" t="str">
        <f>IF(X$5=K$5,SUM(Y672:AI672)-SUM(L672:V672),"")</f>
        <v/>
      </c>
      <c r="X672" s="9" t="str">
        <f>LOWER(CtryCode)&amp;".distn."&amp;$A672&amp;IF($B672="","","."&amp;$B672)&amp;IF($C672="","",".dec."&amp;$C672)&amp;"."&amp;X$5</f>
        <v>egy.distn.dps.ofi.2</v>
      </c>
      <c r="Y672" s="121">
        <f>IF(INDEX(DSecFuel,$D672),0,MMULT(INDEX(DSecLeon,$D672,0),Y$106:Y$110))</f>
        <v>0.00036010150631770146</v>
      </c>
      <c r="Z672" s="122">
        <f t="shared" ref="Z672:AI672" si="1097">Y672</f>
        <v>0.00036010150631770146</v>
      </c>
      <c r="AA672" s="122">
        <f t="shared" si="1097"/>
        <v>0.00036010150631770146</v>
      </c>
      <c r="AB672" s="122">
        <f t="shared" si="1097"/>
        <v>0.00036010150631770146</v>
      </c>
      <c r="AC672" s="122">
        <f t="shared" si="1097"/>
        <v>0.00036010150631770146</v>
      </c>
      <c r="AD672" s="122">
        <f t="shared" si="1097"/>
        <v>0.00036010150631770146</v>
      </c>
      <c r="AE672" s="122">
        <f t="shared" si="1097"/>
        <v>0.00036010150631770146</v>
      </c>
      <c r="AF672" s="122">
        <f t="shared" si="1097"/>
        <v>0.00036010150631770146</v>
      </c>
      <c r="AG672" s="122">
        <f t="shared" si="1097"/>
        <v>0.00036010150631770146</v>
      </c>
      <c r="AH672" s="122">
        <f t="shared" si="1097"/>
        <v>0.00036010150631770146</v>
      </c>
      <c r="AI672" s="122">
        <f t="shared" si="1097"/>
        <v>0.00036010150631770146</v>
      </c>
    </row>
    <row r="673" hidden="1" outlineLevel="1">
      <c r="A673" s="44" t="inlineStr">
        <is>
          <t>dps</t>
        </is>
      </c>
      <c r="B673" s="3" t="inlineStr">
        <is>
          <t>oil</t>
        </is>
      </c>
      <c r="C673" s="3" t="inlineStr"/>
      <c r="D673" s="3" t="n">
        <v>36</v>
      </c>
      <c r="E673" s="3" t="inlineStr">
        <is>
          <t>ftr</t>
        </is>
      </c>
      <c r="H673" s="3" t="inlineStr">
        <is>
          <t>Oil: price change, input costs</t>
        </is>
      </c>
      <c r="I673" s="3" t="inlineStr">
        <is>
          <t>fraction</t>
        </is>
      </c>
      <c r="J673" s="118" t="inlineStr">
        <is>
          <t>legacy rows 643, 653</t>
        </is>
      </c>
      <c r="K673" s="9" t="str">
        <f>LOWER(CtryCode)&amp;".distn."&amp;$A673&amp;IF($B673="","","."&amp;$B673)&amp;IF($C673="","",".dec."&amp;$C673)&amp;"."&amp;K$5</f>
        <v>egy.distn.dps.oil.1</v>
      </c>
      <c r="L673" s="121">
        <f>IF(INDEX(DSecFuel,$D673),0,MMULT(INDEX(DSecLeon,$D673,0),L$106:L$110))</f>
        <v>0.0</v>
      </c>
      <c r="M673" s="122">
        <f t="shared" ref="M673:V673" si="1098">L673</f>
        <v>0.0</v>
      </c>
      <c r="N673" s="122">
        <f t="shared" si="1098"/>
        <v>0.0</v>
      </c>
      <c r="O673" s="122">
        <f t="shared" si="1098"/>
        <v>0.0</v>
      </c>
      <c r="P673" s="122">
        <f t="shared" si="1098"/>
        <v>0.0</v>
      </c>
      <c r="Q673" s="122">
        <f t="shared" si="1098"/>
        <v>0.0</v>
      </c>
      <c r="R673" s="122">
        <f t="shared" si="1098"/>
        <v>0.0</v>
      </c>
      <c r="S673" s="122">
        <f t="shared" si="1098"/>
        <v>0.0</v>
      </c>
      <c r="T673" s="122">
        <f t="shared" si="1098"/>
        <v>0.0</v>
      </c>
      <c r="U673" s="122">
        <f t="shared" si="1098"/>
        <v>0.0</v>
      </c>
      <c r="V673" s="122">
        <f t="shared" si="1098"/>
        <v>0.0</v>
      </c>
      <c r="W673" s="201" t="str">
        <f>IF(X$5=K$5,SUM(Y673:AI673)-SUM(L673:V673),"")</f>
        <v/>
      </c>
      <c r="X673" s="9" t="str">
        <f>LOWER(CtryCode)&amp;".distn."&amp;$A673&amp;IF($B673="","","."&amp;$B673)&amp;IF($C673="","",".dec."&amp;$C673)&amp;"."&amp;X$5</f>
        <v>egy.distn.dps.oil.2</v>
      </c>
      <c r="Y673" s="121">
        <f>IF(INDEX(DSecFuel,$D673),0,MMULT(INDEX(DSecLeon,$D673,0),Y$106:Y$110))</f>
        <v>0.0</v>
      </c>
      <c r="Z673" s="122">
        <f t="shared" ref="Z673:AI673" si="1099">Y673</f>
        <v>0.0</v>
      </c>
      <c r="AA673" s="122">
        <f t="shared" si="1099"/>
        <v>0.0</v>
      </c>
      <c r="AB673" s="122">
        <f t="shared" si="1099"/>
        <v>0.0</v>
      </c>
      <c r="AC673" s="122">
        <f t="shared" si="1099"/>
        <v>0.0</v>
      </c>
      <c r="AD673" s="122">
        <f t="shared" si="1099"/>
        <v>0.0</v>
      </c>
      <c r="AE673" s="122">
        <f t="shared" si="1099"/>
        <v>0.0</v>
      </c>
      <c r="AF673" s="122">
        <f t="shared" si="1099"/>
        <v>0.0</v>
      </c>
      <c r="AG673" s="122">
        <f t="shared" si="1099"/>
        <v>0.0</v>
      </c>
      <c r="AH673" s="122">
        <f t="shared" si="1099"/>
        <v>0.0</v>
      </c>
      <c r="AI673" s="122">
        <f t="shared" si="1099"/>
        <v>0.0</v>
      </c>
    </row>
    <row r="674" hidden="1" outlineLevel="1">
      <c r="A674" s="44" t="inlineStr">
        <is>
          <t>dps</t>
        </is>
      </c>
      <c r="B674" s="3" t="inlineStr">
        <is>
          <t>ome</t>
        </is>
      </c>
      <c r="C674" s="3" t="inlineStr"/>
      <c r="D674" s="3" t="n">
        <v>37</v>
      </c>
      <c r="E674" s="3" t="inlineStr">
        <is>
          <t>mac</t>
        </is>
      </c>
      <c r="H674" s="3" t="inlineStr">
        <is>
          <t>Machinery: price change, input costs</t>
        </is>
      </c>
      <c r="I674" s="3" t="inlineStr">
        <is>
          <t>fraction</t>
        </is>
      </c>
      <c r="J674" s="118" t="inlineStr">
        <is>
          <t>legacy rows 643, 653</t>
        </is>
      </c>
      <c r="K674" s="9" t="str">
        <f>LOWER(CtryCode)&amp;".distn."&amp;$A674&amp;IF($B674="","","."&amp;$B674)&amp;IF($C674="","",".dec."&amp;$C674)&amp;"."&amp;K$5</f>
        <v>egy.distn.dps.ome.1</v>
      </c>
      <c r="L674" s="121">
        <f>IF(INDEX(DSecFuel,$D674),0,MMULT(INDEX(DSecLeon,$D674,0),L$106:L$110))</f>
        <v>0.0</v>
      </c>
      <c r="M674" s="122">
        <f t="shared" ref="M674:V674" si="1100">L674</f>
        <v>0.0</v>
      </c>
      <c r="N674" s="122">
        <f t="shared" si="1100"/>
        <v>0.0</v>
      </c>
      <c r="O674" s="122">
        <f t="shared" si="1100"/>
        <v>0.0</v>
      </c>
      <c r="P674" s="122">
        <f t="shared" si="1100"/>
        <v>0.0</v>
      </c>
      <c r="Q674" s="122">
        <f t="shared" si="1100"/>
        <v>0.0</v>
      </c>
      <c r="R674" s="122">
        <f t="shared" si="1100"/>
        <v>0.0</v>
      </c>
      <c r="S674" s="122">
        <f t="shared" si="1100"/>
        <v>0.0</v>
      </c>
      <c r="T674" s="122">
        <f t="shared" si="1100"/>
        <v>0.0</v>
      </c>
      <c r="U674" s="122">
        <f t="shared" si="1100"/>
        <v>0.0</v>
      </c>
      <c r="V674" s="122">
        <f t="shared" si="1100"/>
        <v>0.0</v>
      </c>
      <c r="W674" s="201" t="str">
        <f>IF(X$5=K$5,SUM(Y674:AI674)-SUM(L674:V674),"")</f>
        <v/>
      </c>
      <c r="X674" s="9" t="str">
        <f>LOWER(CtryCode)&amp;".distn."&amp;$A674&amp;IF($B674="","","."&amp;$B674)&amp;IF($C674="","",".dec."&amp;$C674)&amp;"."&amp;X$5</f>
        <v>egy.distn.dps.ome.2</v>
      </c>
      <c r="Y674" s="121">
        <f>IF(INDEX(DSecFuel,$D674),0,MMULT(INDEX(DSecLeon,$D674,0),Y$106:Y$110))</f>
        <v>0.0024017636562173985</v>
      </c>
      <c r="Z674" s="122">
        <f t="shared" ref="Z674:AI674" si="1101">Y674</f>
        <v>0.0024017636562173985</v>
      </c>
      <c r="AA674" s="122">
        <f t="shared" si="1101"/>
        <v>0.0024017636562173985</v>
      </c>
      <c r="AB674" s="122">
        <f t="shared" si="1101"/>
        <v>0.0024017636562173985</v>
      </c>
      <c r="AC674" s="122">
        <f t="shared" si="1101"/>
        <v>0.0024017636562173985</v>
      </c>
      <c r="AD674" s="122">
        <f t="shared" si="1101"/>
        <v>0.0024017636562173985</v>
      </c>
      <c r="AE674" s="122">
        <f t="shared" si="1101"/>
        <v>0.0024017636562173985</v>
      </c>
      <c r="AF674" s="122">
        <f t="shared" si="1101"/>
        <v>0.0024017636562173985</v>
      </c>
      <c r="AG674" s="122">
        <f t="shared" si="1101"/>
        <v>0.0024017636562173985</v>
      </c>
      <c r="AH674" s="122">
        <f t="shared" si="1101"/>
        <v>0.0024017636562173985</v>
      </c>
      <c r="AI674" s="122">
        <f t="shared" si="1101"/>
        <v>0.0024017636562173985</v>
      </c>
    </row>
    <row r="675" hidden="1" outlineLevel="1">
      <c r="A675" s="44" t="inlineStr">
        <is>
          <t>dps</t>
        </is>
      </c>
      <c r="B675" s="3" t="inlineStr">
        <is>
          <t>omf</t>
        </is>
      </c>
      <c r="C675" s="3" t="inlineStr"/>
      <c r="D675" s="3" t="n">
        <v>38</v>
      </c>
      <c r="E675" s="3" t="inlineStr">
        <is>
          <t>srv</t>
        </is>
      </c>
      <c r="H675" s="3" t="inlineStr">
        <is>
          <t>Other Manufacturing: price change, input costs</t>
        </is>
      </c>
      <c r="I675" s="3" t="inlineStr">
        <is>
          <t>fraction</t>
        </is>
      </c>
      <c r="J675" s="118" t="inlineStr">
        <is>
          <t>legacy rows 643, 653</t>
        </is>
      </c>
      <c r="K675" s="9" t="str">
        <f>LOWER(CtryCode)&amp;".distn."&amp;$A675&amp;IF($B675="","","."&amp;$B675)&amp;IF($C675="","",".dec."&amp;$C675)&amp;"."&amp;K$5</f>
        <v>egy.distn.dps.omf.1</v>
      </c>
      <c r="L675" s="121">
        <f>IF(INDEX(DSecFuel,$D675),0,MMULT(INDEX(DSecLeon,$D675,0),L$106:L$110))</f>
        <v>0.0</v>
      </c>
      <c r="M675" s="122">
        <f t="shared" ref="M675:V675" si="1102">L675</f>
        <v>0.0</v>
      </c>
      <c r="N675" s="122">
        <f t="shared" si="1102"/>
        <v>0.0</v>
      </c>
      <c r="O675" s="122">
        <f t="shared" si="1102"/>
        <v>0.0</v>
      </c>
      <c r="P675" s="122">
        <f t="shared" si="1102"/>
        <v>0.0</v>
      </c>
      <c r="Q675" s="122">
        <f t="shared" si="1102"/>
        <v>0.0</v>
      </c>
      <c r="R675" s="122">
        <f t="shared" si="1102"/>
        <v>0.0</v>
      </c>
      <c r="S675" s="122">
        <f t="shared" si="1102"/>
        <v>0.0</v>
      </c>
      <c r="T675" s="122">
        <f t="shared" si="1102"/>
        <v>0.0</v>
      </c>
      <c r="U675" s="122">
        <f t="shared" si="1102"/>
        <v>0.0</v>
      </c>
      <c r="V675" s="122">
        <f t="shared" si="1102"/>
        <v>0.0</v>
      </c>
      <c r="W675" s="201" t="str">
        <f>IF(X$5=K$5,SUM(Y675:AI675)-SUM(L675:V675),"")</f>
        <v/>
      </c>
      <c r="X675" s="9" t="str">
        <f>LOWER(CtryCode)&amp;".distn."&amp;$A675&amp;IF($B675="","","."&amp;$B675)&amp;IF($C675="","",".dec."&amp;$C675)&amp;"."&amp;X$5</f>
        <v>egy.distn.dps.omf.2</v>
      </c>
      <c r="Y675" s="121">
        <f>IF(INDEX(DSecFuel,$D675),0,MMULT(INDEX(DSecLeon,$D675,0),Y$106:Y$110))</f>
        <v>0.005605508179595983</v>
      </c>
      <c r="Z675" s="122">
        <f t="shared" ref="Z675:AI675" si="1103">Y675</f>
        <v>0.005605508179595983</v>
      </c>
      <c r="AA675" s="122">
        <f t="shared" si="1103"/>
        <v>0.005605508179595983</v>
      </c>
      <c r="AB675" s="122">
        <f t="shared" si="1103"/>
        <v>0.005605508179595983</v>
      </c>
      <c r="AC675" s="122">
        <f t="shared" si="1103"/>
        <v>0.005605508179595983</v>
      </c>
      <c r="AD675" s="122">
        <f t="shared" si="1103"/>
        <v>0.005605508179595983</v>
      </c>
      <c r="AE675" s="122">
        <f t="shared" si="1103"/>
        <v>0.005605508179595983</v>
      </c>
      <c r="AF675" s="122">
        <f t="shared" si="1103"/>
        <v>0.005605508179595983</v>
      </c>
      <c r="AG675" s="122">
        <f t="shared" si="1103"/>
        <v>0.005605508179595983</v>
      </c>
      <c r="AH675" s="122">
        <f t="shared" si="1103"/>
        <v>0.005605508179595983</v>
      </c>
      <c r="AI675" s="122">
        <f t="shared" si="1103"/>
        <v>0.005605508179595983</v>
      </c>
    </row>
    <row r="676" hidden="1" outlineLevel="1">
      <c r="A676" s="44" t="inlineStr">
        <is>
          <t>dps</t>
        </is>
      </c>
      <c r="B676" s="3" t="inlineStr">
        <is>
          <t>omt</t>
        </is>
      </c>
      <c r="C676" s="3" t="inlineStr"/>
      <c r="D676" s="3" t="n">
        <v>39</v>
      </c>
      <c r="E676" s="3" t="inlineStr">
        <is>
          <t>foo</t>
        </is>
      </c>
      <c r="H676" s="3" t="inlineStr">
        <is>
          <t>Other Meat: price change, input costs</t>
        </is>
      </c>
      <c r="I676" s="3" t="inlineStr">
        <is>
          <t>fraction</t>
        </is>
      </c>
      <c r="J676" s="118" t="inlineStr">
        <is>
          <t>legacy rows 643, 653</t>
        </is>
      </c>
      <c r="K676" s="9" t="str">
        <f>LOWER(CtryCode)&amp;".distn."&amp;$A676&amp;IF($B676="","","."&amp;$B676)&amp;IF($C676="","",".dec."&amp;$C676)&amp;"."&amp;K$5</f>
        <v>egy.distn.dps.omt.1</v>
      </c>
      <c r="L676" s="121">
        <f>IF(INDEX(DSecFuel,$D676),0,MMULT(INDEX(DSecLeon,$D676,0),L$106:L$110))</f>
        <v>0.0</v>
      </c>
      <c r="M676" s="122">
        <f t="shared" ref="M676:V676" si="1104">L676</f>
        <v>0.0</v>
      </c>
      <c r="N676" s="122">
        <f t="shared" si="1104"/>
        <v>0.0</v>
      </c>
      <c r="O676" s="122">
        <f t="shared" si="1104"/>
        <v>0.0</v>
      </c>
      <c r="P676" s="122">
        <f t="shared" si="1104"/>
        <v>0.0</v>
      </c>
      <c r="Q676" s="122">
        <f t="shared" si="1104"/>
        <v>0.0</v>
      </c>
      <c r="R676" s="122">
        <f t="shared" si="1104"/>
        <v>0.0</v>
      </c>
      <c r="S676" s="122">
        <f t="shared" si="1104"/>
        <v>0.0</v>
      </c>
      <c r="T676" s="122">
        <f t="shared" si="1104"/>
        <v>0.0</v>
      </c>
      <c r="U676" s="122">
        <f t="shared" si="1104"/>
        <v>0.0</v>
      </c>
      <c r="V676" s="122">
        <f t="shared" si="1104"/>
        <v>0.0</v>
      </c>
      <c r="W676" s="201" t="str">
        <f>IF(X$5=K$5,SUM(Y676:AI676)-SUM(L676:V676),"")</f>
        <v/>
      </c>
      <c r="X676" s="9" t="str">
        <f>LOWER(CtryCode)&amp;".distn."&amp;$A676&amp;IF($B676="","","."&amp;$B676)&amp;IF($C676="","",".dec."&amp;$C676)&amp;"."&amp;X$5</f>
        <v>egy.distn.dps.omt.2</v>
      </c>
      <c r="Y676" s="121">
        <f>IF(INDEX(DSecFuel,$D676),0,MMULT(INDEX(DSecLeon,$D676,0),Y$106:Y$110))</f>
        <v>0.00021913087557903213</v>
      </c>
      <c r="Z676" s="122">
        <f t="shared" ref="Z676:AI676" si="1105">Y676</f>
        <v>0.00021913087557903213</v>
      </c>
      <c r="AA676" s="122">
        <f t="shared" si="1105"/>
        <v>0.00021913087557903213</v>
      </c>
      <c r="AB676" s="122">
        <f t="shared" si="1105"/>
        <v>0.00021913087557903213</v>
      </c>
      <c r="AC676" s="122">
        <f t="shared" si="1105"/>
        <v>0.00021913087557903213</v>
      </c>
      <c r="AD676" s="122">
        <f t="shared" si="1105"/>
        <v>0.00021913087557903213</v>
      </c>
      <c r="AE676" s="122">
        <f t="shared" si="1105"/>
        <v>0.00021913087557903213</v>
      </c>
      <c r="AF676" s="122">
        <f t="shared" si="1105"/>
        <v>0.00021913087557903213</v>
      </c>
      <c r="AG676" s="122">
        <f t="shared" si="1105"/>
        <v>0.00021913087557903213</v>
      </c>
      <c r="AH676" s="122">
        <f t="shared" si="1105"/>
        <v>0.00021913087557903213</v>
      </c>
      <c r="AI676" s="122">
        <f t="shared" si="1105"/>
        <v>0.00021913087557903213</v>
      </c>
    </row>
    <row r="677" hidden="1" outlineLevel="1">
      <c r="A677" s="44" t="inlineStr">
        <is>
          <t>dps</t>
        </is>
      </c>
      <c r="B677" s="3" t="inlineStr">
        <is>
          <t>osd</t>
        </is>
      </c>
      <c r="C677" s="3" t="inlineStr"/>
      <c r="D677" s="3" t="n">
        <v>40</v>
      </c>
      <c r="E677" s="3" t="inlineStr">
        <is>
          <t>foo</t>
        </is>
      </c>
      <c r="H677" s="3" t="inlineStr">
        <is>
          <t>Oil Seeds: price change, input costs</t>
        </is>
      </c>
      <c r="I677" s="3" t="inlineStr">
        <is>
          <t>fraction</t>
        </is>
      </c>
      <c r="J677" s="118" t="inlineStr">
        <is>
          <t>legacy rows 643, 653</t>
        </is>
      </c>
      <c r="K677" s="9" t="str">
        <f>LOWER(CtryCode)&amp;".distn."&amp;$A677&amp;IF($B677="","","."&amp;$B677)&amp;IF($C677="","",".dec."&amp;$C677)&amp;"."&amp;K$5</f>
        <v>egy.distn.dps.osd.1</v>
      </c>
      <c r="L677" s="121">
        <f>IF(INDEX(DSecFuel,$D677),0,MMULT(INDEX(DSecLeon,$D677,0),L$106:L$110))</f>
        <v>0.0</v>
      </c>
      <c r="M677" s="122">
        <f t="shared" ref="M677:V677" si="1106">L677</f>
        <v>0.0</v>
      </c>
      <c r="N677" s="122">
        <f t="shared" si="1106"/>
        <v>0.0</v>
      </c>
      <c r="O677" s="122">
        <f t="shared" si="1106"/>
        <v>0.0</v>
      </c>
      <c r="P677" s="122">
        <f t="shared" si="1106"/>
        <v>0.0</v>
      </c>
      <c r="Q677" s="122">
        <f t="shared" si="1106"/>
        <v>0.0</v>
      </c>
      <c r="R677" s="122">
        <f t="shared" si="1106"/>
        <v>0.0</v>
      </c>
      <c r="S677" s="122">
        <f t="shared" si="1106"/>
        <v>0.0</v>
      </c>
      <c r="T677" s="122">
        <f t="shared" si="1106"/>
        <v>0.0</v>
      </c>
      <c r="U677" s="122">
        <f t="shared" si="1106"/>
        <v>0.0</v>
      </c>
      <c r="V677" s="122">
        <f t="shared" si="1106"/>
        <v>0.0</v>
      </c>
      <c r="W677" s="201" t="str">
        <f>IF(X$5=K$5,SUM(Y677:AI677)-SUM(L677:V677),"")</f>
        <v/>
      </c>
      <c r="X677" s="9" t="str">
        <f>LOWER(CtryCode)&amp;".distn."&amp;$A677&amp;IF($B677="","","."&amp;$B677)&amp;IF($C677="","",".dec."&amp;$C677)&amp;"."&amp;X$5</f>
        <v>egy.distn.dps.osd.2</v>
      </c>
      <c r="Y677" s="121">
        <f>IF(INDEX(DSecFuel,$D677),0,MMULT(INDEX(DSecLeon,$D677,0),Y$106:Y$110))</f>
        <v>0.0008739694997712169</v>
      </c>
      <c r="Z677" s="122">
        <f t="shared" ref="Z677:AI677" si="1107">Y677</f>
        <v>0.0008739694997712169</v>
      </c>
      <c r="AA677" s="122">
        <f t="shared" si="1107"/>
        <v>0.0008739694997712169</v>
      </c>
      <c r="AB677" s="122">
        <f t="shared" si="1107"/>
        <v>0.0008739694997712169</v>
      </c>
      <c r="AC677" s="122">
        <f t="shared" si="1107"/>
        <v>0.0008739694997712169</v>
      </c>
      <c r="AD677" s="122">
        <f t="shared" si="1107"/>
        <v>0.0008739694997712169</v>
      </c>
      <c r="AE677" s="122">
        <f t="shared" si="1107"/>
        <v>0.0008739694997712169</v>
      </c>
      <c r="AF677" s="122">
        <f t="shared" si="1107"/>
        <v>0.0008739694997712169</v>
      </c>
      <c r="AG677" s="122">
        <f t="shared" si="1107"/>
        <v>0.0008739694997712169</v>
      </c>
      <c r="AH677" s="122">
        <f t="shared" si="1107"/>
        <v>0.0008739694997712169</v>
      </c>
      <c r="AI677" s="122">
        <f t="shared" si="1107"/>
        <v>0.0008739694997712169</v>
      </c>
    </row>
    <row r="678" hidden="1" outlineLevel="1">
      <c r="A678" s="44" t="inlineStr">
        <is>
          <t>dps</t>
        </is>
      </c>
      <c r="B678" s="3" t="inlineStr">
        <is>
          <t>osg</t>
        </is>
      </c>
      <c r="C678" s="3" t="inlineStr"/>
      <c r="D678" s="3" t="n">
        <v>41</v>
      </c>
      <c r="E678" s="3" t="inlineStr">
        <is>
          <t>srv</t>
        </is>
      </c>
      <c r="H678" s="3" t="inlineStr">
        <is>
          <t>Government services: price change, input costs</t>
        </is>
      </c>
      <c r="I678" s="3" t="inlineStr">
        <is>
          <t>fraction</t>
        </is>
      </c>
      <c r="J678" s="118" t="inlineStr">
        <is>
          <t>legacy rows 643, 653</t>
        </is>
      </c>
      <c r="K678" s="9" t="str">
        <f>LOWER(CtryCode)&amp;".distn."&amp;$A678&amp;IF($B678="","","."&amp;$B678)&amp;IF($C678="","",".dec."&amp;$C678)&amp;"."&amp;K$5</f>
        <v>egy.distn.dps.osg.1</v>
      </c>
      <c r="L678" s="121">
        <f>IF(INDEX(DSecFuel,$D678),0,MMULT(INDEX(DSecLeon,$D678,0),L$106:L$110))</f>
        <v>0.0</v>
      </c>
      <c r="M678" s="122">
        <f t="shared" ref="M678:V678" si="1108">L678</f>
        <v>0.0</v>
      </c>
      <c r="N678" s="122">
        <f t="shared" si="1108"/>
        <v>0.0</v>
      </c>
      <c r="O678" s="122">
        <f t="shared" si="1108"/>
        <v>0.0</v>
      </c>
      <c r="P678" s="122">
        <f t="shared" si="1108"/>
        <v>0.0</v>
      </c>
      <c r="Q678" s="122">
        <f t="shared" si="1108"/>
        <v>0.0</v>
      </c>
      <c r="R678" s="122">
        <f t="shared" si="1108"/>
        <v>0.0</v>
      </c>
      <c r="S678" s="122">
        <f t="shared" si="1108"/>
        <v>0.0</v>
      </c>
      <c r="T678" s="122">
        <f t="shared" si="1108"/>
        <v>0.0</v>
      </c>
      <c r="U678" s="122">
        <f t="shared" si="1108"/>
        <v>0.0</v>
      </c>
      <c r="V678" s="122">
        <f t="shared" si="1108"/>
        <v>0.0</v>
      </c>
      <c r="W678" s="201" t="str">
        <f>IF(X$5=K$5,SUM(Y678:AI678)-SUM(L678:V678),"")</f>
        <v/>
      </c>
      <c r="X678" s="9" t="str">
        <f>LOWER(CtryCode)&amp;".distn."&amp;$A678&amp;IF($B678="","","."&amp;$B678)&amp;IF($C678="","",".dec."&amp;$C678)&amp;"."&amp;X$5</f>
        <v>egy.distn.dps.osg.2</v>
      </c>
      <c r="Y678" s="121">
        <f>IF(INDEX(DSecFuel,$D678),0,MMULT(INDEX(DSecLeon,$D678,0),Y$106:Y$110))</f>
        <v>0.0011503409822830786</v>
      </c>
      <c r="Z678" s="122">
        <f t="shared" ref="Z678:AI678" si="1109">Y678</f>
        <v>0.0011503409822830786</v>
      </c>
      <c r="AA678" s="122">
        <f t="shared" si="1109"/>
        <v>0.0011503409822830786</v>
      </c>
      <c r="AB678" s="122">
        <f t="shared" si="1109"/>
        <v>0.0011503409822830786</v>
      </c>
      <c r="AC678" s="122">
        <f t="shared" si="1109"/>
        <v>0.0011503409822830786</v>
      </c>
      <c r="AD678" s="122">
        <f t="shared" si="1109"/>
        <v>0.0011503409822830786</v>
      </c>
      <c r="AE678" s="122">
        <f t="shared" si="1109"/>
        <v>0.0011503409822830786</v>
      </c>
      <c r="AF678" s="122">
        <f t="shared" si="1109"/>
        <v>0.0011503409822830786</v>
      </c>
      <c r="AG678" s="122">
        <f t="shared" si="1109"/>
        <v>0.0011503409822830786</v>
      </c>
      <c r="AH678" s="122">
        <f t="shared" si="1109"/>
        <v>0.0011503409822830786</v>
      </c>
      <c r="AI678" s="122">
        <f t="shared" si="1109"/>
        <v>0.0011503409822830786</v>
      </c>
    </row>
    <row r="679" hidden="1" outlineLevel="1">
      <c r="A679" s="44" t="inlineStr">
        <is>
          <t>dps</t>
        </is>
      </c>
      <c r="B679" s="3" t="inlineStr">
        <is>
          <t>otn</t>
        </is>
      </c>
      <c r="C679" s="3" t="inlineStr"/>
      <c r="D679" s="3" t="n">
        <v>42</v>
      </c>
      <c r="E679" s="3" t="inlineStr">
        <is>
          <t>mac</t>
        </is>
      </c>
      <c r="H679" s="3" t="inlineStr">
        <is>
          <t>Other transport equipment: price change, input costs</t>
        </is>
      </c>
      <c r="I679" s="3" t="inlineStr">
        <is>
          <t>fraction</t>
        </is>
      </c>
      <c r="J679" s="118" t="inlineStr">
        <is>
          <t>legacy rows 643, 653</t>
        </is>
      </c>
      <c r="K679" s="9" t="str">
        <f>LOWER(CtryCode)&amp;".distn."&amp;$A679&amp;IF($B679="","","."&amp;$B679)&amp;IF($C679="","",".dec."&amp;$C679)&amp;"."&amp;K$5</f>
        <v>egy.distn.dps.otn.1</v>
      </c>
      <c r="L679" s="121">
        <f>IF(INDEX(DSecFuel,$D679),0,MMULT(INDEX(DSecLeon,$D679,0),L$106:L$110))</f>
        <v>0.0</v>
      </c>
      <c r="M679" s="122">
        <f t="shared" ref="M679:V679" si="1110">L679</f>
        <v>0.0</v>
      </c>
      <c r="N679" s="122">
        <f t="shared" si="1110"/>
        <v>0.0</v>
      </c>
      <c r="O679" s="122">
        <f t="shared" si="1110"/>
        <v>0.0</v>
      </c>
      <c r="P679" s="122">
        <f t="shared" si="1110"/>
        <v>0.0</v>
      </c>
      <c r="Q679" s="122">
        <f t="shared" si="1110"/>
        <v>0.0</v>
      </c>
      <c r="R679" s="122">
        <f t="shared" si="1110"/>
        <v>0.0</v>
      </c>
      <c r="S679" s="122">
        <f t="shared" si="1110"/>
        <v>0.0</v>
      </c>
      <c r="T679" s="122">
        <f t="shared" si="1110"/>
        <v>0.0</v>
      </c>
      <c r="U679" s="122">
        <f t="shared" si="1110"/>
        <v>0.0</v>
      </c>
      <c r="V679" s="122">
        <f t="shared" si="1110"/>
        <v>0.0</v>
      </c>
      <c r="W679" s="201" t="str">
        <f>IF(X$5=K$5,SUM(Y679:AI679)-SUM(L679:V679),"")</f>
        <v/>
      </c>
      <c r="X679" s="9" t="str">
        <f>LOWER(CtryCode)&amp;".distn."&amp;$A679&amp;IF($B679="","","."&amp;$B679)&amp;IF($C679="","",".dec."&amp;$C679)&amp;"."&amp;X$5</f>
        <v>egy.distn.dps.otn.2</v>
      </c>
      <c r="Y679" s="121">
        <f>IF(INDEX(DSecFuel,$D679),0,MMULT(INDEX(DSecLeon,$D679,0),Y$106:Y$110))</f>
        <v>0.0019397959112412652</v>
      </c>
      <c r="Z679" s="122">
        <f t="shared" ref="Z679:AI679" si="1111">Y679</f>
        <v>0.0019397959112412652</v>
      </c>
      <c r="AA679" s="122">
        <f t="shared" si="1111"/>
        <v>0.0019397959112412652</v>
      </c>
      <c r="AB679" s="122">
        <f t="shared" si="1111"/>
        <v>0.0019397959112412652</v>
      </c>
      <c r="AC679" s="122">
        <f t="shared" si="1111"/>
        <v>0.0019397959112412652</v>
      </c>
      <c r="AD679" s="122">
        <f t="shared" si="1111"/>
        <v>0.0019397959112412652</v>
      </c>
      <c r="AE679" s="122">
        <f t="shared" si="1111"/>
        <v>0.0019397959112412652</v>
      </c>
      <c r="AF679" s="122">
        <f t="shared" si="1111"/>
        <v>0.0019397959112412652</v>
      </c>
      <c r="AG679" s="122">
        <f t="shared" si="1111"/>
        <v>0.0019397959112412652</v>
      </c>
      <c r="AH679" s="122">
        <f t="shared" si="1111"/>
        <v>0.0019397959112412652</v>
      </c>
      <c r="AI679" s="122">
        <f t="shared" si="1111"/>
        <v>0.0019397959112412652</v>
      </c>
    </row>
    <row r="680" hidden="1" outlineLevel="1">
      <c r="A680" s="44" t="inlineStr">
        <is>
          <t>dps</t>
        </is>
      </c>
      <c r="B680" s="3" t="inlineStr">
        <is>
          <t>otp</t>
        </is>
      </c>
      <c r="C680" s="3" t="inlineStr"/>
      <c r="D680" s="3" t="n">
        <v>43</v>
      </c>
      <c r="E680" s="3" t="inlineStr">
        <is>
          <t>nav</t>
        </is>
      </c>
      <c r="H680" s="3" t="inlineStr">
        <is>
          <t>Land transport: price change, input costs</t>
        </is>
      </c>
      <c r="I680" s="3" t="inlineStr">
        <is>
          <t>fraction</t>
        </is>
      </c>
      <c r="J680" s="118" t="inlineStr">
        <is>
          <t>legacy rows 643, 653</t>
        </is>
      </c>
      <c r="K680" s="9" t="str">
        <f>LOWER(CtryCode)&amp;".distn."&amp;$A680&amp;IF($B680="","","."&amp;$B680)&amp;IF($C680="","",".dec."&amp;$C680)&amp;"."&amp;K$5</f>
        <v>egy.distn.dps.otp.1</v>
      </c>
      <c r="L680" s="121">
        <f>IF(INDEX(DSecFuel,$D680),0,MMULT(INDEX(DSecLeon,$D680,0),L$106:L$110))</f>
        <v>0.0</v>
      </c>
      <c r="M680" s="122">
        <f t="shared" ref="M680:V680" si="1112">L680</f>
        <v>0.0</v>
      </c>
      <c r="N680" s="122">
        <f t="shared" si="1112"/>
        <v>0.0</v>
      </c>
      <c r="O680" s="122">
        <f t="shared" si="1112"/>
        <v>0.0</v>
      </c>
      <c r="P680" s="122">
        <f t="shared" si="1112"/>
        <v>0.0</v>
      </c>
      <c r="Q680" s="122">
        <f t="shared" si="1112"/>
        <v>0.0</v>
      </c>
      <c r="R680" s="122">
        <f t="shared" si="1112"/>
        <v>0.0</v>
      </c>
      <c r="S680" s="122">
        <f t="shared" si="1112"/>
        <v>0.0</v>
      </c>
      <c r="T680" s="122">
        <f t="shared" si="1112"/>
        <v>0.0</v>
      </c>
      <c r="U680" s="122">
        <f t="shared" si="1112"/>
        <v>0.0</v>
      </c>
      <c r="V680" s="122">
        <f t="shared" si="1112"/>
        <v>0.0</v>
      </c>
      <c r="W680" s="201" t="str">
        <f>IF(X$5=K$5,SUM(Y680:AI680)-SUM(L680:V680),"")</f>
        <v/>
      </c>
      <c r="X680" s="9" t="str">
        <f>LOWER(CtryCode)&amp;".distn."&amp;$A680&amp;IF($B680="","","."&amp;$B680)&amp;IF($C680="","",".dec."&amp;$C680)&amp;"."&amp;X$5</f>
        <v>egy.distn.dps.otp.2</v>
      </c>
      <c r="Y680" s="121">
        <f>IF(INDEX(DSecFuel,$D680),0,MMULT(INDEX(DSecLeon,$D680,0),Y$106:Y$110))</f>
        <v>0.0057002230686377985</v>
      </c>
      <c r="Z680" s="122">
        <f t="shared" ref="Z680:AI680" si="1113">Y680</f>
        <v>0.0057002230686377985</v>
      </c>
      <c r="AA680" s="122">
        <f t="shared" si="1113"/>
        <v>0.0057002230686377985</v>
      </c>
      <c r="AB680" s="122">
        <f t="shared" si="1113"/>
        <v>0.0057002230686377985</v>
      </c>
      <c r="AC680" s="122">
        <f t="shared" si="1113"/>
        <v>0.0057002230686377985</v>
      </c>
      <c r="AD680" s="122">
        <f t="shared" si="1113"/>
        <v>0.0057002230686377985</v>
      </c>
      <c r="AE680" s="122">
        <f t="shared" si="1113"/>
        <v>0.0057002230686377985</v>
      </c>
      <c r="AF680" s="122">
        <f t="shared" si="1113"/>
        <v>0.0057002230686377985</v>
      </c>
      <c r="AG680" s="122">
        <f t="shared" si="1113"/>
        <v>0.0057002230686377985</v>
      </c>
      <c r="AH680" s="122">
        <f t="shared" si="1113"/>
        <v>0.0057002230686377985</v>
      </c>
      <c r="AI680" s="122">
        <f t="shared" si="1113"/>
        <v>0.0057002230686377985</v>
      </c>
    </row>
    <row r="681" hidden="1" outlineLevel="1">
      <c r="A681" s="44" t="inlineStr">
        <is>
          <t>dps</t>
        </is>
      </c>
      <c r="B681" s="3" t="inlineStr">
        <is>
          <t>oxt</t>
        </is>
      </c>
      <c r="C681" s="3" t="inlineStr"/>
      <c r="D681" s="3" t="n">
        <v>44</v>
      </c>
      <c r="E681" s="3" t="inlineStr">
        <is>
          <t>mch</t>
        </is>
      </c>
      <c r="H681" s="3" t="inlineStr">
        <is>
          <t>Other Mining: price change, input costs</t>
        </is>
      </c>
      <c r="I681" s="3" t="inlineStr">
        <is>
          <t>fraction</t>
        </is>
      </c>
      <c r="J681" s="118" t="inlineStr">
        <is>
          <t>legacy rows 643, 653</t>
        </is>
      </c>
      <c r="K681" s="9" t="str">
        <f>LOWER(CtryCode)&amp;".distn."&amp;$A681&amp;IF($B681="","","."&amp;$B681)&amp;IF($C681="","",".dec."&amp;$C681)&amp;"."&amp;K$5</f>
        <v>egy.distn.dps.oxt.1</v>
      </c>
      <c r="L681" s="121">
        <f>IF(INDEX(DSecFuel,$D681),0,MMULT(INDEX(DSecLeon,$D681,0),L$106:L$110))</f>
        <v>0.0</v>
      </c>
      <c r="M681" s="122">
        <f t="shared" ref="M681:V681" si="1114">L681</f>
        <v>0.0</v>
      </c>
      <c r="N681" s="122">
        <f t="shared" si="1114"/>
        <v>0.0</v>
      </c>
      <c r="O681" s="122">
        <f t="shared" si="1114"/>
        <v>0.0</v>
      </c>
      <c r="P681" s="122">
        <f t="shared" si="1114"/>
        <v>0.0</v>
      </c>
      <c r="Q681" s="122">
        <f t="shared" si="1114"/>
        <v>0.0</v>
      </c>
      <c r="R681" s="122">
        <f t="shared" si="1114"/>
        <v>0.0</v>
      </c>
      <c r="S681" s="122">
        <f t="shared" si="1114"/>
        <v>0.0</v>
      </c>
      <c r="T681" s="122">
        <f t="shared" si="1114"/>
        <v>0.0</v>
      </c>
      <c r="U681" s="122">
        <f t="shared" si="1114"/>
        <v>0.0</v>
      </c>
      <c r="V681" s="122">
        <f t="shared" si="1114"/>
        <v>0.0</v>
      </c>
      <c r="W681" s="201" t="str">
        <f>IF(X$5=K$5,SUM(Y681:AI681)-SUM(L681:V681),"")</f>
        <v/>
      </c>
      <c r="X681" s="9" t="str">
        <f>LOWER(CtryCode)&amp;".distn."&amp;$A681&amp;IF($B681="","","."&amp;$B681)&amp;IF($C681="","",".dec."&amp;$C681)&amp;"."&amp;X$5</f>
        <v>egy.distn.dps.oxt.2</v>
      </c>
      <c r="Y681" s="121">
        <f>IF(INDEX(DSecFuel,$D681),0,MMULT(INDEX(DSecLeon,$D681,0),Y$106:Y$110))</f>
        <v>0.005987124884325509</v>
      </c>
      <c r="Z681" s="122">
        <f t="shared" ref="Z681:AI681" si="1115">Y681</f>
        <v>0.005987124884325509</v>
      </c>
      <c r="AA681" s="122">
        <f t="shared" si="1115"/>
        <v>0.005987124884325509</v>
      </c>
      <c r="AB681" s="122">
        <f t="shared" si="1115"/>
        <v>0.005987124884325509</v>
      </c>
      <c r="AC681" s="122">
        <f t="shared" si="1115"/>
        <v>0.005987124884325509</v>
      </c>
      <c r="AD681" s="122">
        <f t="shared" si="1115"/>
        <v>0.005987124884325509</v>
      </c>
      <c r="AE681" s="122">
        <f t="shared" si="1115"/>
        <v>0.005987124884325509</v>
      </c>
      <c r="AF681" s="122">
        <f t="shared" si="1115"/>
        <v>0.005987124884325509</v>
      </c>
      <c r="AG681" s="122">
        <f t="shared" si="1115"/>
        <v>0.005987124884325509</v>
      </c>
      <c r="AH681" s="122">
        <f t="shared" si="1115"/>
        <v>0.005987124884325509</v>
      </c>
      <c r="AI681" s="122">
        <f t="shared" si="1115"/>
        <v>0.005987124884325509</v>
      </c>
    </row>
    <row r="682" hidden="1" outlineLevel="1">
      <c r="A682" s="44" t="inlineStr">
        <is>
          <t>dps</t>
        </is>
      </c>
      <c r="B682" s="3" t="inlineStr">
        <is>
          <t>p_c</t>
        </is>
      </c>
      <c r="C682" s="3" t="inlineStr"/>
      <c r="D682" s="3" t="n">
        <v>45</v>
      </c>
      <c r="E682" s="3" t="inlineStr">
        <is>
          <t>ftr</t>
        </is>
      </c>
      <c r="H682" s="3" t="inlineStr">
        <is>
          <t>Petroleum &amp; Coke: price change, input costs</t>
        </is>
      </c>
      <c r="I682" s="3" t="inlineStr">
        <is>
          <t>fraction</t>
        </is>
      </c>
      <c r="J682" s="118" t="inlineStr">
        <is>
          <t>legacy rows 643, 653</t>
        </is>
      </c>
      <c r="K682" s="9" t="str">
        <f>LOWER(CtryCode)&amp;".distn."&amp;$A682&amp;IF($B682="","","."&amp;$B682)&amp;IF($C682="","",".dec."&amp;$C682)&amp;"."&amp;K$5</f>
        <v>egy.distn.dps.p_c.1</v>
      </c>
      <c r="L682" s="121">
        <f>IF(INDEX(DSecFuel,$D682),0,MMULT(INDEX(DSecLeon,$D682,0),L$106:L$110))</f>
        <v>0.0</v>
      </c>
      <c r="M682" s="122">
        <f t="shared" ref="M682:V682" si="1116">L682</f>
        <v>0.0</v>
      </c>
      <c r="N682" s="122">
        <f t="shared" si="1116"/>
        <v>0.0</v>
      </c>
      <c r="O682" s="122">
        <f t="shared" si="1116"/>
        <v>0.0</v>
      </c>
      <c r="P682" s="122">
        <f t="shared" si="1116"/>
        <v>0.0</v>
      </c>
      <c r="Q682" s="122">
        <f t="shared" si="1116"/>
        <v>0.0</v>
      </c>
      <c r="R682" s="122">
        <f t="shared" si="1116"/>
        <v>0.0</v>
      </c>
      <c r="S682" s="122">
        <f t="shared" si="1116"/>
        <v>0.0</v>
      </c>
      <c r="T682" s="122">
        <f t="shared" si="1116"/>
        <v>0.0</v>
      </c>
      <c r="U682" s="122">
        <f t="shared" si="1116"/>
        <v>0.0</v>
      </c>
      <c r="V682" s="122">
        <f t="shared" si="1116"/>
        <v>0.0</v>
      </c>
      <c r="W682" s="201" t="str">
        <f>IF(X$5=K$5,SUM(Y682:AI682)-SUM(L682:V682),"")</f>
        <v/>
      </c>
      <c r="X682" s="9" t="str">
        <f>LOWER(CtryCode)&amp;".distn."&amp;$A682&amp;IF($B682="","","."&amp;$B682)&amp;IF($C682="","",".dec."&amp;$C682)&amp;"."&amp;X$5</f>
        <v>egy.distn.dps.p_c.2</v>
      </c>
      <c r="Y682" s="121">
        <f>IF(INDEX(DSecFuel,$D682),0,MMULT(INDEX(DSecLeon,$D682,0),Y$106:Y$110))</f>
        <v>0.0</v>
      </c>
      <c r="Z682" s="122">
        <f t="shared" ref="Z682:AI682" si="1117">Y682</f>
        <v>0.0</v>
      </c>
      <c r="AA682" s="122">
        <f t="shared" si="1117"/>
        <v>0.0</v>
      </c>
      <c r="AB682" s="122">
        <f t="shared" si="1117"/>
        <v>0.0</v>
      </c>
      <c r="AC682" s="122">
        <f t="shared" si="1117"/>
        <v>0.0</v>
      </c>
      <c r="AD682" s="122">
        <f t="shared" si="1117"/>
        <v>0.0</v>
      </c>
      <c r="AE682" s="122">
        <f t="shared" si="1117"/>
        <v>0.0</v>
      </c>
      <c r="AF682" s="122">
        <f t="shared" si="1117"/>
        <v>0.0</v>
      </c>
      <c r="AG682" s="122">
        <f t="shared" si="1117"/>
        <v>0.0</v>
      </c>
      <c r="AH682" s="122">
        <f t="shared" si="1117"/>
        <v>0.0</v>
      </c>
      <c r="AI682" s="122">
        <f t="shared" si="1117"/>
        <v>0.0</v>
      </c>
    </row>
    <row r="683" hidden="1" outlineLevel="1">
      <c r="A683" s="44" t="inlineStr">
        <is>
          <t>dps</t>
        </is>
      </c>
      <c r="B683" s="3" t="inlineStr">
        <is>
          <t>pcr</t>
        </is>
      </c>
      <c r="C683" s="3" t="inlineStr"/>
      <c r="D683" s="3" t="n">
        <v>46</v>
      </c>
      <c r="E683" s="3" t="inlineStr">
        <is>
          <t>foo</t>
        </is>
      </c>
      <c r="H683" s="3" t="inlineStr">
        <is>
          <t>Processed Rice: price change, input costs</t>
        </is>
      </c>
      <c r="I683" s="3" t="inlineStr">
        <is>
          <t>fraction</t>
        </is>
      </c>
      <c r="J683" s="118" t="inlineStr">
        <is>
          <t>legacy rows 643, 653</t>
        </is>
      </c>
      <c r="K683" s="9" t="str">
        <f>LOWER(CtryCode)&amp;".distn."&amp;$A683&amp;IF($B683="","","."&amp;$B683)&amp;IF($C683="","",".dec."&amp;$C683)&amp;"."&amp;K$5</f>
        <v>egy.distn.dps.pcr.1</v>
      </c>
      <c r="L683" s="121">
        <f>IF(INDEX(DSecFuel,$D683),0,MMULT(INDEX(DSecLeon,$D683,0),L$106:L$110))</f>
        <v>0.0</v>
      </c>
      <c r="M683" s="122">
        <f t="shared" ref="M683:V683" si="1118">L683</f>
        <v>0.0</v>
      </c>
      <c r="N683" s="122">
        <f t="shared" si="1118"/>
        <v>0.0</v>
      </c>
      <c r="O683" s="122">
        <f t="shared" si="1118"/>
        <v>0.0</v>
      </c>
      <c r="P683" s="122">
        <f t="shared" si="1118"/>
        <v>0.0</v>
      </c>
      <c r="Q683" s="122">
        <f t="shared" si="1118"/>
        <v>0.0</v>
      </c>
      <c r="R683" s="122">
        <f t="shared" si="1118"/>
        <v>0.0</v>
      </c>
      <c r="S683" s="122">
        <f t="shared" si="1118"/>
        <v>0.0</v>
      </c>
      <c r="T683" s="122">
        <f t="shared" si="1118"/>
        <v>0.0</v>
      </c>
      <c r="U683" s="122">
        <f t="shared" si="1118"/>
        <v>0.0</v>
      </c>
      <c r="V683" s="122">
        <f t="shared" si="1118"/>
        <v>0.0</v>
      </c>
      <c r="W683" s="201" t="str">
        <f>IF(X$5=K$5,SUM(Y683:AI683)-SUM(L683:V683),"")</f>
        <v/>
      </c>
      <c r="X683" s="9" t="str">
        <f>LOWER(CtryCode)&amp;".distn."&amp;$A683&amp;IF($B683="","","."&amp;$B683)&amp;IF($C683="","",".dec."&amp;$C683)&amp;"."&amp;X$5</f>
        <v>egy.distn.dps.pcr.2</v>
      </c>
      <c r="Y683" s="121">
        <f>IF(INDEX(DSecFuel,$D683),0,MMULT(INDEX(DSecLeon,$D683,0),Y$106:Y$110))</f>
        <v>0.0012008630028594476</v>
      </c>
      <c r="Z683" s="122">
        <f t="shared" ref="Z683:AI683" si="1119">Y683</f>
        <v>0.0012008630028594476</v>
      </c>
      <c r="AA683" s="122">
        <f t="shared" si="1119"/>
        <v>0.0012008630028594476</v>
      </c>
      <c r="AB683" s="122">
        <f t="shared" si="1119"/>
        <v>0.0012008630028594476</v>
      </c>
      <c r="AC683" s="122">
        <f t="shared" si="1119"/>
        <v>0.0012008630028594476</v>
      </c>
      <c r="AD683" s="122">
        <f t="shared" si="1119"/>
        <v>0.0012008630028594476</v>
      </c>
      <c r="AE683" s="122">
        <f t="shared" si="1119"/>
        <v>0.0012008630028594476</v>
      </c>
      <c r="AF683" s="122">
        <f t="shared" si="1119"/>
        <v>0.0012008630028594476</v>
      </c>
      <c r="AG683" s="122">
        <f t="shared" si="1119"/>
        <v>0.0012008630028594476</v>
      </c>
      <c r="AH683" s="122">
        <f t="shared" si="1119"/>
        <v>0.0012008630028594476</v>
      </c>
      <c r="AI683" s="122">
        <f t="shared" si="1119"/>
        <v>0.0012008630028594476</v>
      </c>
    </row>
    <row r="684" hidden="1" outlineLevel="1">
      <c r="A684" s="44" t="inlineStr">
        <is>
          <t>dps</t>
        </is>
      </c>
      <c r="B684" s="3" t="inlineStr">
        <is>
          <t>pdr</t>
        </is>
      </c>
      <c r="C684" s="3" t="inlineStr"/>
      <c r="D684" s="3" t="n">
        <v>47</v>
      </c>
      <c r="E684" s="3" t="inlineStr">
        <is>
          <t>foo</t>
        </is>
      </c>
      <c r="H684" s="3" t="inlineStr">
        <is>
          <t>Rice: price change, input costs</t>
        </is>
      </c>
      <c r="I684" s="3" t="inlineStr">
        <is>
          <t>fraction</t>
        </is>
      </c>
      <c r="J684" s="118" t="inlineStr">
        <is>
          <t>legacy rows 643, 653</t>
        </is>
      </c>
      <c r="K684" s="9" t="str">
        <f>LOWER(CtryCode)&amp;".distn."&amp;$A684&amp;IF($B684="","","."&amp;$B684)&amp;IF($C684="","",".dec."&amp;$C684)&amp;"."&amp;K$5</f>
        <v>egy.distn.dps.pdr.1</v>
      </c>
      <c r="L684" s="121">
        <f>IF(INDEX(DSecFuel,$D684),0,MMULT(INDEX(DSecLeon,$D684,0),L$106:L$110))</f>
        <v>0.0</v>
      </c>
      <c r="M684" s="122">
        <f t="shared" ref="M684:V684" si="1120">L684</f>
        <v>0.0</v>
      </c>
      <c r="N684" s="122">
        <f t="shared" si="1120"/>
        <v>0.0</v>
      </c>
      <c r="O684" s="122">
        <f t="shared" si="1120"/>
        <v>0.0</v>
      </c>
      <c r="P684" s="122">
        <f t="shared" si="1120"/>
        <v>0.0</v>
      </c>
      <c r="Q684" s="122">
        <f t="shared" si="1120"/>
        <v>0.0</v>
      </c>
      <c r="R684" s="122">
        <f t="shared" si="1120"/>
        <v>0.0</v>
      </c>
      <c r="S684" s="122">
        <f t="shared" si="1120"/>
        <v>0.0</v>
      </c>
      <c r="T684" s="122">
        <f t="shared" si="1120"/>
        <v>0.0</v>
      </c>
      <c r="U684" s="122">
        <f t="shared" si="1120"/>
        <v>0.0</v>
      </c>
      <c r="V684" s="122">
        <f t="shared" si="1120"/>
        <v>0.0</v>
      </c>
      <c r="W684" s="201" t="str">
        <f>IF(X$5=K$5,SUM(Y684:AI684)-SUM(L684:V684),"")</f>
        <v/>
      </c>
      <c r="X684" s="9" t="str">
        <f>LOWER(CtryCode)&amp;".distn."&amp;$A684&amp;IF($B684="","","."&amp;$B684)&amp;IF($C684="","",".dec."&amp;$C684)&amp;"."&amp;X$5</f>
        <v>egy.distn.dps.pdr.2</v>
      </c>
      <c r="Y684" s="121">
        <f>IF(INDEX(DSecFuel,$D684),0,MMULT(INDEX(DSecLeon,$D684,0),Y$106:Y$110))</f>
        <v>0.0009869046317954188</v>
      </c>
      <c r="Z684" s="122">
        <f t="shared" ref="Z684:AI684" si="1121">Y684</f>
        <v>0.0009869046317954188</v>
      </c>
      <c r="AA684" s="122">
        <f t="shared" si="1121"/>
        <v>0.0009869046317954188</v>
      </c>
      <c r="AB684" s="122">
        <f t="shared" si="1121"/>
        <v>0.0009869046317954188</v>
      </c>
      <c r="AC684" s="122">
        <f t="shared" si="1121"/>
        <v>0.0009869046317954188</v>
      </c>
      <c r="AD684" s="122">
        <f t="shared" si="1121"/>
        <v>0.0009869046317954188</v>
      </c>
      <c r="AE684" s="122">
        <f t="shared" si="1121"/>
        <v>0.0009869046317954188</v>
      </c>
      <c r="AF684" s="122">
        <f t="shared" si="1121"/>
        <v>0.0009869046317954188</v>
      </c>
      <c r="AG684" s="122">
        <f t="shared" si="1121"/>
        <v>0.0009869046317954188</v>
      </c>
      <c r="AH684" s="122">
        <f t="shared" si="1121"/>
        <v>0.0009869046317954188</v>
      </c>
      <c r="AI684" s="122">
        <f t="shared" si="1121"/>
        <v>0.0009869046317954188</v>
      </c>
    </row>
    <row r="685" hidden="1" outlineLevel="1">
      <c r="A685" s="44" t="inlineStr">
        <is>
          <t>dps</t>
        </is>
      </c>
      <c r="B685" s="3" t="inlineStr">
        <is>
          <t>pfb</t>
        </is>
      </c>
      <c r="C685" s="3" t="inlineStr"/>
      <c r="D685" s="3" t="n">
        <v>48</v>
      </c>
      <c r="E685" s="3" t="inlineStr">
        <is>
          <t>foo</t>
        </is>
      </c>
      <c r="H685" s="3" t="inlineStr">
        <is>
          <t>Fibres crops: price change, input costs</t>
        </is>
      </c>
      <c r="I685" s="3" t="inlineStr">
        <is>
          <t>fraction</t>
        </is>
      </c>
      <c r="J685" s="118" t="inlineStr">
        <is>
          <t>legacy rows 643, 653</t>
        </is>
      </c>
      <c r="K685" s="9" t="str">
        <f>LOWER(CtryCode)&amp;".distn."&amp;$A685&amp;IF($B685="","","."&amp;$B685)&amp;IF($C685="","",".dec."&amp;$C685)&amp;"."&amp;K$5</f>
        <v>egy.distn.dps.pfb.1</v>
      </c>
      <c r="L685" s="121">
        <f>IF(INDEX(DSecFuel,$D685),0,MMULT(INDEX(DSecLeon,$D685,0),L$106:L$110))</f>
        <v>0.0</v>
      </c>
      <c r="M685" s="122">
        <f t="shared" ref="M685:V685" si="1122">L685</f>
        <v>0.0</v>
      </c>
      <c r="N685" s="122">
        <f t="shared" si="1122"/>
        <v>0.0</v>
      </c>
      <c r="O685" s="122">
        <f t="shared" si="1122"/>
        <v>0.0</v>
      </c>
      <c r="P685" s="122">
        <f t="shared" si="1122"/>
        <v>0.0</v>
      </c>
      <c r="Q685" s="122">
        <f t="shared" si="1122"/>
        <v>0.0</v>
      </c>
      <c r="R685" s="122">
        <f t="shared" si="1122"/>
        <v>0.0</v>
      </c>
      <c r="S685" s="122">
        <f t="shared" si="1122"/>
        <v>0.0</v>
      </c>
      <c r="T685" s="122">
        <f t="shared" si="1122"/>
        <v>0.0</v>
      </c>
      <c r="U685" s="122">
        <f t="shared" si="1122"/>
        <v>0.0</v>
      </c>
      <c r="V685" s="122">
        <f t="shared" si="1122"/>
        <v>0.0</v>
      </c>
      <c r="W685" s="201" t="str">
        <f>IF(X$5=K$5,SUM(Y685:AI685)-SUM(L685:V685),"")</f>
        <v/>
      </c>
      <c r="X685" s="9" t="str">
        <f>LOWER(CtryCode)&amp;".distn."&amp;$A685&amp;IF($B685="","","."&amp;$B685)&amp;IF($C685="","",".dec."&amp;$C685)&amp;"."&amp;X$5</f>
        <v>egy.distn.dps.pfb.2</v>
      </c>
      <c r="Y685" s="121">
        <f>IF(INDEX(DSecFuel,$D685),0,MMULT(INDEX(DSecLeon,$D685,0),Y$106:Y$110))</f>
        <v>0.0029298848941635676</v>
      </c>
      <c r="Z685" s="122">
        <f t="shared" ref="Z685:AI685" si="1123">Y685</f>
        <v>0.0029298848941635676</v>
      </c>
      <c r="AA685" s="122">
        <f t="shared" si="1123"/>
        <v>0.0029298848941635676</v>
      </c>
      <c r="AB685" s="122">
        <f t="shared" si="1123"/>
        <v>0.0029298848941635676</v>
      </c>
      <c r="AC685" s="122">
        <f t="shared" si="1123"/>
        <v>0.0029298848941635676</v>
      </c>
      <c r="AD685" s="122">
        <f t="shared" si="1123"/>
        <v>0.0029298848941635676</v>
      </c>
      <c r="AE685" s="122">
        <f t="shared" si="1123"/>
        <v>0.0029298848941635676</v>
      </c>
      <c r="AF685" s="122">
        <f t="shared" si="1123"/>
        <v>0.0029298848941635676</v>
      </c>
      <c r="AG685" s="122">
        <f t="shared" si="1123"/>
        <v>0.0029298848941635676</v>
      </c>
      <c r="AH685" s="122">
        <f t="shared" si="1123"/>
        <v>0.0029298848941635676</v>
      </c>
      <c r="AI685" s="122">
        <f t="shared" si="1123"/>
        <v>0.0029298848941635676</v>
      </c>
    </row>
    <row r="686" hidden="1" outlineLevel="1">
      <c r="A686" s="44" t="inlineStr">
        <is>
          <t>dps</t>
        </is>
      </c>
      <c r="B686" s="3" t="inlineStr">
        <is>
          <t>ppp</t>
        </is>
      </c>
      <c r="C686" s="3" t="inlineStr"/>
      <c r="D686" s="3" t="n">
        <v>49</v>
      </c>
      <c r="E686" s="3" t="inlineStr">
        <is>
          <t>omn</t>
        </is>
      </c>
      <c r="H686" s="3" t="inlineStr">
        <is>
          <t>Paper: price change, input costs</t>
        </is>
      </c>
      <c r="I686" s="3" t="inlineStr">
        <is>
          <t>fraction</t>
        </is>
      </c>
      <c r="J686" s="118" t="inlineStr">
        <is>
          <t>legacy rows 643, 653</t>
        </is>
      </c>
      <c r="K686" s="9" t="str">
        <f>LOWER(CtryCode)&amp;".distn."&amp;$A686&amp;IF($B686="","","."&amp;$B686)&amp;IF($C686="","",".dec."&amp;$C686)&amp;"."&amp;K$5</f>
        <v>egy.distn.dps.ppp.1</v>
      </c>
      <c r="L686" s="121">
        <f>IF(INDEX(DSecFuel,$D686),0,MMULT(INDEX(DSecLeon,$D686,0),L$106:L$110))</f>
        <v>0.0</v>
      </c>
      <c r="M686" s="122">
        <f t="shared" ref="M686:V686" si="1124">L686</f>
        <v>0.0</v>
      </c>
      <c r="N686" s="122">
        <f t="shared" si="1124"/>
        <v>0.0</v>
      </c>
      <c r="O686" s="122">
        <f t="shared" si="1124"/>
        <v>0.0</v>
      </c>
      <c r="P686" s="122">
        <f t="shared" si="1124"/>
        <v>0.0</v>
      </c>
      <c r="Q686" s="122">
        <f t="shared" si="1124"/>
        <v>0.0</v>
      </c>
      <c r="R686" s="122">
        <f t="shared" si="1124"/>
        <v>0.0</v>
      </c>
      <c r="S686" s="122">
        <f t="shared" si="1124"/>
        <v>0.0</v>
      </c>
      <c r="T686" s="122">
        <f t="shared" si="1124"/>
        <v>0.0</v>
      </c>
      <c r="U686" s="122">
        <f t="shared" si="1124"/>
        <v>0.0</v>
      </c>
      <c r="V686" s="122">
        <f t="shared" si="1124"/>
        <v>0.0</v>
      </c>
      <c r="W686" s="201" t="str">
        <f>IF(X$5=K$5,SUM(Y686:AI686)-SUM(L686:V686),"")</f>
        <v/>
      </c>
      <c r="X686" s="9" t="str">
        <f>LOWER(CtryCode)&amp;".distn."&amp;$A686&amp;IF($B686="","","."&amp;$B686)&amp;IF($C686="","",".dec."&amp;$C686)&amp;"."&amp;X$5</f>
        <v>egy.distn.dps.ppp.2</v>
      </c>
      <c r="Y686" s="121">
        <f>IF(INDEX(DSecFuel,$D686),0,MMULT(INDEX(DSecLeon,$D686,0),Y$106:Y$110))</f>
        <v>0.002658702658518509</v>
      </c>
      <c r="Z686" s="122">
        <f t="shared" ref="Z686:AI686" si="1125">Y686</f>
        <v>0.002658702658518509</v>
      </c>
      <c r="AA686" s="122">
        <f t="shared" si="1125"/>
        <v>0.002658702658518509</v>
      </c>
      <c r="AB686" s="122">
        <f t="shared" si="1125"/>
        <v>0.002658702658518509</v>
      </c>
      <c r="AC686" s="122">
        <f t="shared" si="1125"/>
        <v>0.002658702658518509</v>
      </c>
      <c r="AD686" s="122">
        <f t="shared" si="1125"/>
        <v>0.002658702658518509</v>
      </c>
      <c r="AE686" s="122">
        <f t="shared" si="1125"/>
        <v>0.002658702658518509</v>
      </c>
      <c r="AF686" s="122">
        <f t="shared" si="1125"/>
        <v>0.002658702658518509</v>
      </c>
      <c r="AG686" s="122">
        <f t="shared" si="1125"/>
        <v>0.002658702658518509</v>
      </c>
      <c r="AH686" s="122">
        <f t="shared" si="1125"/>
        <v>0.002658702658518509</v>
      </c>
      <c r="AI686" s="122">
        <f t="shared" si="1125"/>
        <v>0.002658702658518509</v>
      </c>
    </row>
    <row r="687" hidden="1" outlineLevel="1">
      <c r="A687" s="44" t="inlineStr">
        <is>
          <t>dps</t>
        </is>
      </c>
      <c r="B687" s="3" t="inlineStr">
        <is>
          <t>rmk</t>
        </is>
      </c>
      <c r="C687" s="3" t="inlineStr"/>
      <c r="D687" s="3" t="n">
        <v>50</v>
      </c>
      <c r="E687" s="3" t="inlineStr">
        <is>
          <t>foo</t>
        </is>
      </c>
      <c r="H687" s="3" t="inlineStr">
        <is>
          <t>Raw milk: price change, input costs</t>
        </is>
      </c>
      <c r="I687" s="3" t="inlineStr">
        <is>
          <t>fraction</t>
        </is>
      </c>
      <c r="J687" s="118" t="inlineStr">
        <is>
          <t>legacy rows 643, 653</t>
        </is>
      </c>
      <c r="K687" s="9" t="str">
        <f>LOWER(CtryCode)&amp;".distn."&amp;$A687&amp;IF($B687="","","."&amp;$B687)&amp;IF($C687="","",".dec."&amp;$C687)&amp;"."&amp;K$5</f>
        <v>egy.distn.dps.rmk.1</v>
      </c>
      <c r="L687" s="121">
        <f>IF(INDEX(DSecFuel,$D687),0,MMULT(INDEX(DSecLeon,$D687,0),L$106:L$110))</f>
        <v>0.0</v>
      </c>
      <c r="M687" s="122">
        <f t="shared" ref="M687:V687" si="1126">L687</f>
        <v>0.0</v>
      </c>
      <c r="N687" s="122">
        <f t="shared" si="1126"/>
        <v>0.0</v>
      </c>
      <c r="O687" s="122">
        <f t="shared" si="1126"/>
        <v>0.0</v>
      </c>
      <c r="P687" s="122">
        <f t="shared" si="1126"/>
        <v>0.0</v>
      </c>
      <c r="Q687" s="122">
        <f t="shared" si="1126"/>
        <v>0.0</v>
      </c>
      <c r="R687" s="122">
        <f t="shared" si="1126"/>
        <v>0.0</v>
      </c>
      <c r="S687" s="122">
        <f t="shared" si="1126"/>
        <v>0.0</v>
      </c>
      <c r="T687" s="122">
        <f t="shared" si="1126"/>
        <v>0.0</v>
      </c>
      <c r="U687" s="122">
        <f t="shared" si="1126"/>
        <v>0.0</v>
      </c>
      <c r="V687" s="122">
        <f t="shared" si="1126"/>
        <v>0.0</v>
      </c>
      <c r="W687" s="201" t="str">
        <f>IF(X$5=K$5,SUM(Y687:AI687)-SUM(L687:V687),"")</f>
        <v/>
      </c>
      <c r="X687" s="9" t="str">
        <f>LOWER(CtryCode)&amp;".distn."&amp;$A687&amp;IF($B687="","","."&amp;$B687)&amp;IF($C687="","",".dec."&amp;$C687)&amp;"."&amp;X$5</f>
        <v>egy.distn.dps.rmk.2</v>
      </c>
      <c r="Y687" s="121">
        <f>IF(INDEX(DSecFuel,$D687),0,MMULT(INDEX(DSecLeon,$D687,0),Y$106:Y$110))</f>
        <v>0.001135524904215367</v>
      </c>
      <c r="Z687" s="122">
        <f t="shared" ref="Z687:AI687" si="1127">Y687</f>
        <v>0.001135524904215367</v>
      </c>
      <c r="AA687" s="122">
        <f t="shared" si="1127"/>
        <v>0.001135524904215367</v>
      </c>
      <c r="AB687" s="122">
        <f t="shared" si="1127"/>
        <v>0.001135524904215367</v>
      </c>
      <c r="AC687" s="122">
        <f t="shared" si="1127"/>
        <v>0.001135524904215367</v>
      </c>
      <c r="AD687" s="122">
        <f t="shared" si="1127"/>
        <v>0.001135524904215367</v>
      </c>
      <c r="AE687" s="122">
        <f t="shared" si="1127"/>
        <v>0.001135524904215367</v>
      </c>
      <c r="AF687" s="122">
        <f t="shared" si="1127"/>
        <v>0.001135524904215367</v>
      </c>
      <c r="AG687" s="122">
        <f t="shared" si="1127"/>
        <v>0.001135524904215367</v>
      </c>
      <c r="AH687" s="122">
        <f t="shared" si="1127"/>
        <v>0.001135524904215367</v>
      </c>
      <c r="AI687" s="122">
        <f t="shared" si="1127"/>
        <v>0.001135524904215367</v>
      </c>
    </row>
    <row r="688" hidden="1" outlineLevel="1">
      <c r="A688" s="44" t="inlineStr">
        <is>
          <t>dps</t>
        </is>
      </c>
      <c r="B688" s="3" t="inlineStr">
        <is>
          <t>ros</t>
        </is>
      </c>
      <c r="C688" s="3" t="inlineStr"/>
      <c r="D688" s="3" t="n">
        <v>51</v>
      </c>
      <c r="E688" s="3" t="inlineStr">
        <is>
          <t>res</t>
        </is>
      </c>
      <c r="H688" s="3" t="inlineStr">
        <is>
          <t>Recreation: price change, input costs</t>
        </is>
      </c>
      <c r="I688" s="3" t="inlineStr">
        <is>
          <t>fraction</t>
        </is>
      </c>
      <c r="J688" s="118" t="inlineStr">
        <is>
          <t>legacy rows 643, 653</t>
        </is>
      </c>
      <c r="K688" s="9" t="str">
        <f>LOWER(CtryCode)&amp;".distn."&amp;$A688&amp;IF($B688="","","."&amp;$B688)&amp;IF($C688="","",".dec."&amp;$C688)&amp;"."&amp;K$5</f>
        <v>egy.distn.dps.ros.1</v>
      </c>
      <c r="L688" s="121">
        <f>IF(INDEX(DSecFuel,$D688),0,MMULT(INDEX(DSecLeon,$D688,0),L$106:L$110))</f>
        <v>0.0</v>
      </c>
      <c r="M688" s="122">
        <f t="shared" ref="M688:V688" si="1128">L688</f>
        <v>0.0</v>
      </c>
      <c r="N688" s="122">
        <f t="shared" si="1128"/>
        <v>0.0</v>
      </c>
      <c r="O688" s="122">
        <f t="shared" si="1128"/>
        <v>0.0</v>
      </c>
      <c r="P688" s="122">
        <f t="shared" si="1128"/>
        <v>0.0</v>
      </c>
      <c r="Q688" s="122">
        <f t="shared" si="1128"/>
        <v>0.0</v>
      </c>
      <c r="R688" s="122">
        <f t="shared" si="1128"/>
        <v>0.0</v>
      </c>
      <c r="S688" s="122">
        <f t="shared" si="1128"/>
        <v>0.0</v>
      </c>
      <c r="T688" s="122">
        <f t="shared" si="1128"/>
        <v>0.0</v>
      </c>
      <c r="U688" s="122">
        <f t="shared" si="1128"/>
        <v>0.0</v>
      </c>
      <c r="V688" s="122">
        <f t="shared" si="1128"/>
        <v>0.0</v>
      </c>
      <c r="W688" s="201" t="str">
        <f>IF(X$5=K$5,SUM(Y688:AI688)-SUM(L688:V688),"")</f>
        <v/>
      </c>
      <c r="X688" s="9" t="str">
        <f>LOWER(CtryCode)&amp;".distn."&amp;$A688&amp;IF($B688="","","."&amp;$B688)&amp;IF($C688="","",".dec."&amp;$C688)&amp;"."&amp;X$5</f>
        <v>egy.distn.dps.ros.2</v>
      </c>
      <c r="Y688" s="121">
        <f>IF(INDEX(DSecFuel,$D688),0,MMULT(INDEX(DSecLeon,$D688,0),Y$106:Y$110))</f>
        <v>0.0010322684094301005</v>
      </c>
      <c r="Z688" s="122">
        <f t="shared" ref="Z688:AI688" si="1129">Y688</f>
        <v>0.0010322684094301005</v>
      </c>
      <c r="AA688" s="122">
        <f t="shared" si="1129"/>
        <v>0.0010322684094301005</v>
      </c>
      <c r="AB688" s="122">
        <f t="shared" si="1129"/>
        <v>0.0010322684094301005</v>
      </c>
      <c r="AC688" s="122">
        <f t="shared" si="1129"/>
        <v>0.0010322684094301005</v>
      </c>
      <c r="AD688" s="122">
        <f t="shared" si="1129"/>
        <v>0.0010322684094301005</v>
      </c>
      <c r="AE688" s="122">
        <f t="shared" si="1129"/>
        <v>0.0010322684094301005</v>
      </c>
      <c r="AF688" s="122">
        <f t="shared" si="1129"/>
        <v>0.0010322684094301005</v>
      </c>
      <c r="AG688" s="122">
        <f t="shared" si="1129"/>
        <v>0.0010322684094301005</v>
      </c>
      <c r="AH688" s="122">
        <f t="shared" si="1129"/>
        <v>0.0010322684094301005</v>
      </c>
      <c r="AI688" s="122">
        <f t="shared" si="1129"/>
        <v>0.0010322684094301005</v>
      </c>
    </row>
    <row r="689" hidden="1" outlineLevel="1">
      <c r="A689" s="44" t="inlineStr">
        <is>
          <t>dps</t>
        </is>
      </c>
      <c r="B689" s="3" t="inlineStr">
        <is>
          <t>rpp</t>
        </is>
      </c>
      <c r="C689" s="3" t="inlineStr"/>
      <c r="D689" s="3" t="n">
        <v>52</v>
      </c>
      <c r="E689" s="3" t="inlineStr">
        <is>
          <t>omn</t>
        </is>
      </c>
      <c r="H689" s="3" t="inlineStr">
        <is>
          <t>Rubber &amp; plastics: price change, input costs</t>
        </is>
      </c>
      <c r="I689" s="3" t="inlineStr">
        <is>
          <t>fraction</t>
        </is>
      </c>
      <c r="J689" s="118" t="inlineStr">
        <is>
          <t>legacy rows 643, 653</t>
        </is>
      </c>
      <c r="K689" s="9" t="str">
        <f>LOWER(CtryCode)&amp;".distn."&amp;$A689&amp;IF($B689="","","."&amp;$B689)&amp;IF($C689="","",".dec."&amp;$C689)&amp;"."&amp;K$5</f>
        <v>egy.distn.dps.rpp.1</v>
      </c>
      <c r="L689" s="121">
        <f>IF(INDEX(DSecFuel,$D689),0,MMULT(INDEX(DSecLeon,$D689,0),L$106:L$110))</f>
        <v>0.0</v>
      </c>
      <c r="M689" s="122">
        <f t="shared" ref="M689:V689" si="1130">L689</f>
        <v>0.0</v>
      </c>
      <c r="N689" s="122">
        <f t="shared" si="1130"/>
        <v>0.0</v>
      </c>
      <c r="O689" s="122">
        <f t="shared" si="1130"/>
        <v>0.0</v>
      </c>
      <c r="P689" s="122">
        <f t="shared" si="1130"/>
        <v>0.0</v>
      </c>
      <c r="Q689" s="122">
        <f t="shared" si="1130"/>
        <v>0.0</v>
      </c>
      <c r="R689" s="122">
        <f t="shared" si="1130"/>
        <v>0.0</v>
      </c>
      <c r="S689" s="122">
        <f t="shared" si="1130"/>
        <v>0.0</v>
      </c>
      <c r="T689" s="122">
        <f t="shared" si="1130"/>
        <v>0.0</v>
      </c>
      <c r="U689" s="122">
        <f t="shared" si="1130"/>
        <v>0.0</v>
      </c>
      <c r="V689" s="122">
        <f t="shared" si="1130"/>
        <v>0.0</v>
      </c>
      <c r="W689" s="201" t="str">
        <f>IF(X$5=K$5,SUM(Y689:AI689)-SUM(L689:V689),"")</f>
        <v/>
      </c>
      <c r="X689" s="9" t="str">
        <f>LOWER(CtryCode)&amp;".distn."&amp;$A689&amp;IF($B689="","","."&amp;$B689)&amp;IF($C689="","",".dec."&amp;$C689)&amp;"."&amp;X$5</f>
        <v>egy.distn.dps.rpp.2</v>
      </c>
      <c r="Y689" s="121">
        <f>IF(INDEX(DSecFuel,$D689),0,MMULT(INDEX(DSecLeon,$D689,0),Y$106:Y$110))</f>
        <v>0.003249320553232754</v>
      </c>
      <c r="Z689" s="122">
        <f t="shared" ref="Z689:AI689" si="1131">Y689</f>
        <v>0.003249320553232754</v>
      </c>
      <c r="AA689" s="122">
        <f t="shared" si="1131"/>
        <v>0.003249320553232754</v>
      </c>
      <c r="AB689" s="122">
        <f t="shared" si="1131"/>
        <v>0.003249320553232754</v>
      </c>
      <c r="AC689" s="122">
        <f t="shared" si="1131"/>
        <v>0.003249320553232754</v>
      </c>
      <c r="AD689" s="122">
        <f t="shared" si="1131"/>
        <v>0.003249320553232754</v>
      </c>
      <c r="AE689" s="122">
        <f t="shared" si="1131"/>
        <v>0.003249320553232754</v>
      </c>
      <c r="AF689" s="122">
        <f t="shared" si="1131"/>
        <v>0.003249320553232754</v>
      </c>
      <c r="AG689" s="122">
        <f t="shared" si="1131"/>
        <v>0.003249320553232754</v>
      </c>
      <c r="AH689" s="122">
        <f t="shared" si="1131"/>
        <v>0.003249320553232754</v>
      </c>
      <c r="AI689" s="122">
        <f t="shared" si="1131"/>
        <v>0.003249320553232754</v>
      </c>
    </row>
    <row r="690" hidden="1" outlineLevel="1">
      <c r="A690" s="44" t="inlineStr">
        <is>
          <t>dps</t>
        </is>
      </c>
      <c r="B690" s="3" t="inlineStr">
        <is>
          <t>rsa</t>
        </is>
      </c>
      <c r="C690" s="3" t="inlineStr"/>
      <c r="D690" s="3" t="n">
        <v>53</v>
      </c>
      <c r="E690" s="3" t="inlineStr">
        <is>
          <t>srv</t>
        </is>
      </c>
      <c r="H690" s="3" t="inlineStr">
        <is>
          <t>Real estate activities: price change, input costs</t>
        </is>
      </c>
      <c r="I690" s="3" t="inlineStr">
        <is>
          <t>fraction</t>
        </is>
      </c>
      <c r="J690" s="118" t="inlineStr">
        <is>
          <t>legacy rows 643, 653</t>
        </is>
      </c>
      <c r="K690" s="9" t="str">
        <f>LOWER(CtryCode)&amp;".distn."&amp;$A690&amp;IF($B690="","","."&amp;$B690)&amp;IF($C690="","",".dec."&amp;$C690)&amp;"."&amp;K$5</f>
        <v>egy.distn.dps.rsa.1</v>
      </c>
      <c r="L690" s="121">
        <f>IF(INDEX(DSecFuel,$D690),0,MMULT(INDEX(DSecLeon,$D690,0),L$106:L$110))</f>
        <v>0.0</v>
      </c>
      <c r="M690" s="122">
        <f t="shared" ref="M690:V690" si="1132">L690</f>
        <v>0.0</v>
      </c>
      <c r="N690" s="122">
        <f t="shared" si="1132"/>
        <v>0.0</v>
      </c>
      <c r="O690" s="122">
        <f t="shared" si="1132"/>
        <v>0.0</v>
      </c>
      <c r="P690" s="122">
        <f t="shared" si="1132"/>
        <v>0.0</v>
      </c>
      <c r="Q690" s="122">
        <f t="shared" si="1132"/>
        <v>0.0</v>
      </c>
      <c r="R690" s="122">
        <f t="shared" si="1132"/>
        <v>0.0</v>
      </c>
      <c r="S690" s="122">
        <f t="shared" si="1132"/>
        <v>0.0</v>
      </c>
      <c r="T690" s="122">
        <f t="shared" si="1132"/>
        <v>0.0</v>
      </c>
      <c r="U690" s="122">
        <f t="shared" si="1132"/>
        <v>0.0</v>
      </c>
      <c r="V690" s="122">
        <f t="shared" si="1132"/>
        <v>0.0</v>
      </c>
      <c r="W690" s="201" t="str">
        <f>IF(X$5=K$5,SUM(Y690:AI690)-SUM(L690:V690),"")</f>
        <v/>
      </c>
      <c r="X690" s="9" t="str">
        <f>LOWER(CtryCode)&amp;".distn."&amp;$A690&amp;IF($B690="","","."&amp;$B690)&amp;IF($C690="","",".dec."&amp;$C690)&amp;"."&amp;X$5</f>
        <v>egy.distn.dps.rsa.2</v>
      </c>
      <c r="Y690" s="121">
        <f>IF(INDEX(DSecFuel,$D690),0,MMULT(INDEX(DSecLeon,$D690,0),Y$106:Y$110))</f>
        <v>0.0005283008165377156</v>
      </c>
      <c r="Z690" s="122">
        <f t="shared" ref="Z690:AI690" si="1133">Y690</f>
        <v>0.0005283008165377156</v>
      </c>
      <c r="AA690" s="122">
        <f t="shared" si="1133"/>
        <v>0.0005283008165377156</v>
      </c>
      <c r="AB690" s="122">
        <f t="shared" si="1133"/>
        <v>0.0005283008165377156</v>
      </c>
      <c r="AC690" s="122">
        <f t="shared" si="1133"/>
        <v>0.0005283008165377156</v>
      </c>
      <c r="AD690" s="122">
        <f t="shared" si="1133"/>
        <v>0.0005283008165377156</v>
      </c>
      <c r="AE690" s="122">
        <f t="shared" si="1133"/>
        <v>0.0005283008165377156</v>
      </c>
      <c r="AF690" s="122">
        <f t="shared" si="1133"/>
        <v>0.0005283008165377156</v>
      </c>
      <c r="AG690" s="122">
        <f t="shared" si="1133"/>
        <v>0.0005283008165377156</v>
      </c>
      <c r="AH690" s="122">
        <f t="shared" si="1133"/>
        <v>0.0005283008165377156</v>
      </c>
      <c r="AI690" s="122">
        <f t="shared" si="1133"/>
        <v>0.0005283008165377156</v>
      </c>
    </row>
    <row r="691" hidden="1" outlineLevel="1">
      <c r="A691" s="44" t="inlineStr">
        <is>
          <t>dps</t>
        </is>
      </c>
      <c r="B691" s="3" t="inlineStr">
        <is>
          <t>sgr</t>
        </is>
      </c>
      <c r="C691" s="3" t="inlineStr"/>
      <c r="D691" s="3" t="n">
        <v>54</v>
      </c>
      <c r="E691" s="3" t="inlineStr">
        <is>
          <t>foo</t>
        </is>
      </c>
      <c r="H691" s="3" t="inlineStr">
        <is>
          <t>Sugar and molasses: price change, input costs</t>
        </is>
      </c>
      <c r="I691" s="3" t="inlineStr">
        <is>
          <t>fraction</t>
        </is>
      </c>
      <c r="J691" s="118" t="inlineStr">
        <is>
          <t>legacy rows 643, 653</t>
        </is>
      </c>
      <c r="K691" s="9" t="str">
        <f>LOWER(CtryCode)&amp;".distn."&amp;$A691&amp;IF($B691="","","."&amp;$B691)&amp;IF($C691="","",".dec."&amp;$C691)&amp;"."&amp;K$5</f>
        <v>egy.distn.dps.sgr.1</v>
      </c>
      <c r="L691" s="121">
        <f>IF(INDEX(DSecFuel,$D691),0,MMULT(INDEX(DSecLeon,$D691,0),L$106:L$110))</f>
        <v>0.0</v>
      </c>
      <c r="M691" s="122">
        <f t="shared" ref="M691:V691" si="1134">L691</f>
        <v>0.0</v>
      </c>
      <c r="N691" s="122">
        <f t="shared" si="1134"/>
        <v>0.0</v>
      </c>
      <c r="O691" s="122">
        <f t="shared" si="1134"/>
        <v>0.0</v>
      </c>
      <c r="P691" s="122">
        <f t="shared" si="1134"/>
        <v>0.0</v>
      </c>
      <c r="Q691" s="122">
        <f t="shared" si="1134"/>
        <v>0.0</v>
      </c>
      <c r="R691" s="122">
        <f t="shared" si="1134"/>
        <v>0.0</v>
      </c>
      <c r="S691" s="122">
        <f t="shared" si="1134"/>
        <v>0.0</v>
      </c>
      <c r="T691" s="122">
        <f t="shared" si="1134"/>
        <v>0.0</v>
      </c>
      <c r="U691" s="122">
        <f t="shared" si="1134"/>
        <v>0.0</v>
      </c>
      <c r="V691" s="122">
        <f t="shared" si="1134"/>
        <v>0.0</v>
      </c>
      <c r="W691" s="201" t="str">
        <f>IF(X$5=K$5,SUM(Y691:AI691)-SUM(L691:V691),"")</f>
        <v/>
      </c>
      <c r="X691" s="9" t="str">
        <f>LOWER(CtryCode)&amp;".distn."&amp;$A691&amp;IF($B691="","","."&amp;$B691)&amp;IF($C691="","",".dec."&amp;$C691)&amp;"."&amp;X$5</f>
        <v>egy.distn.dps.sgr.2</v>
      </c>
      <c r="Y691" s="121">
        <f>IF(INDEX(DSecFuel,$D691),0,MMULT(INDEX(DSecLeon,$D691,0),Y$106:Y$110))</f>
        <v>0.0017412197313412443</v>
      </c>
      <c r="Z691" s="122">
        <f t="shared" ref="Z691:AI691" si="1135">Y691</f>
        <v>0.0017412197313412443</v>
      </c>
      <c r="AA691" s="122">
        <f t="shared" si="1135"/>
        <v>0.0017412197313412443</v>
      </c>
      <c r="AB691" s="122">
        <f t="shared" si="1135"/>
        <v>0.0017412197313412443</v>
      </c>
      <c r="AC691" s="122">
        <f t="shared" si="1135"/>
        <v>0.0017412197313412443</v>
      </c>
      <c r="AD691" s="122">
        <f t="shared" si="1135"/>
        <v>0.0017412197313412443</v>
      </c>
      <c r="AE691" s="122">
        <f t="shared" si="1135"/>
        <v>0.0017412197313412443</v>
      </c>
      <c r="AF691" s="122">
        <f t="shared" si="1135"/>
        <v>0.0017412197313412443</v>
      </c>
      <c r="AG691" s="122">
        <f t="shared" si="1135"/>
        <v>0.0017412197313412443</v>
      </c>
      <c r="AH691" s="122">
        <f t="shared" si="1135"/>
        <v>0.0017412197313412443</v>
      </c>
      <c r="AI691" s="122">
        <f t="shared" si="1135"/>
        <v>0.0017412197313412443</v>
      </c>
    </row>
    <row r="692" hidden="1" outlineLevel="1">
      <c r="A692" s="44" t="inlineStr">
        <is>
          <t>dps</t>
        </is>
      </c>
      <c r="B692" s="3" t="inlineStr">
        <is>
          <t>tex</t>
        </is>
      </c>
      <c r="C692" s="3" t="inlineStr"/>
      <c r="D692" s="3" t="n">
        <v>55</v>
      </c>
      <c r="E692" s="3" t="inlineStr">
        <is>
          <t>omn</t>
        </is>
      </c>
      <c r="H692" s="3" t="inlineStr">
        <is>
          <t>Textiles: price change, input costs</t>
        </is>
      </c>
      <c r="I692" s="3" t="inlineStr">
        <is>
          <t>fraction</t>
        </is>
      </c>
      <c r="J692" s="118" t="inlineStr">
        <is>
          <t>legacy rows 643, 653</t>
        </is>
      </c>
      <c r="K692" s="9" t="str">
        <f>LOWER(CtryCode)&amp;".distn."&amp;$A692&amp;IF($B692="","","."&amp;$B692)&amp;IF($C692="","",".dec."&amp;$C692)&amp;"."&amp;K$5</f>
        <v>egy.distn.dps.tex.1</v>
      </c>
      <c r="L692" s="121">
        <f>IF(INDEX(DSecFuel,$D692),0,MMULT(INDEX(DSecLeon,$D692,0),L$106:L$110))</f>
        <v>0.0</v>
      </c>
      <c r="M692" s="122">
        <f t="shared" ref="M692:V692" si="1136">L692</f>
        <v>0.0</v>
      </c>
      <c r="N692" s="122">
        <f t="shared" si="1136"/>
        <v>0.0</v>
      </c>
      <c r="O692" s="122">
        <f t="shared" si="1136"/>
        <v>0.0</v>
      </c>
      <c r="P692" s="122">
        <f t="shared" si="1136"/>
        <v>0.0</v>
      </c>
      <c r="Q692" s="122">
        <f t="shared" si="1136"/>
        <v>0.0</v>
      </c>
      <c r="R692" s="122">
        <f t="shared" si="1136"/>
        <v>0.0</v>
      </c>
      <c r="S692" s="122">
        <f t="shared" si="1136"/>
        <v>0.0</v>
      </c>
      <c r="T692" s="122">
        <f t="shared" si="1136"/>
        <v>0.0</v>
      </c>
      <c r="U692" s="122">
        <f t="shared" si="1136"/>
        <v>0.0</v>
      </c>
      <c r="V692" s="122">
        <f t="shared" si="1136"/>
        <v>0.0</v>
      </c>
      <c r="W692" s="201" t="str">
        <f>IF(X$5=K$5,SUM(Y692:AI692)-SUM(L692:V692),"")</f>
        <v/>
      </c>
      <c r="X692" s="9" t="str">
        <f>LOWER(CtryCode)&amp;".distn."&amp;$A692&amp;IF($B692="","","."&amp;$B692)&amp;IF($C692="","",".dec."&amp;$C692)&amp;"."&amp;X$5</f>
        <v>egy.distn.dps.tex.2</v>
      </c>
      <c r="Y692" s="121">
        <f>IF(INDEX(DSecFuel,$D692),0,MMULT(INDEX(DSecLeon,$D692,0),Y$106:Y$110))</f>
        <v>0.0012483292112067347</v>
      </c>
      <c r="Z692" s="122">
        <f t="shared" ref="Z692:AI692" si="1137">Y692</f>
        <v>0.0012483292112067347</v>
      </c>
      <c r="AA692" s="122">
        <f t="shared" si="1137"/>
        <v>0.0012483292112067347</v>
      </c>
      <c r="AB692" s="122">
        <f t="shared" si="1137"/>
        <v>0.0012483292112067347</v>
      </c>
      <c r="AC692" s="122">
        <f t="shared" si="1137"/>
        <v>0.0012483292112067347</v>
      </c>
      <c r="AD692" s="122">
        <f t="shared" si="1137"/>
        <v>0.0012483292112067347</v>
      </c>
      <c r="AE692" s="122">
        <f t="shared" si="1137"/>
        <v>0.0012483292112067347</v>
      </c>
      <c r="AF692" s="122">
        <f t="shared" si="1137"/>
        <v>0.0012483292112067347</v>
      </c>
      <c r="AG692" s="122">
        <f t="shared" si="1137"/>
        <v>0.0012483292112067347</v>
      </c>
      <c r="AH692" s="122">
        <f t="shared" si="1137"/>
        <v>0.0012483292112067347</v>
      </c>
      <c r="AI692" s="122">
        <f t="shared" si="1137"/>
        <v>0.0012483292112067347</v>
      </c>
    </row>
    <row r="693" hidden="1" outlineLevel="1">
      <c r="A693" s="44" t="inlineStr">
        <is>
          <t>dps</t>
        </is>
      </c>
      <c r="B693" s="3" t="inlineStr">
        <is>
          <t>trd</t>
        </is>
      </c>
      <c r="C693" s="3" t="inlineStr"/>
      <c r="D693" s="3" t="n">
        <v>56</v>
      </c>
      <c r="E693" s="3" t="inlineStr">
        <is>
          <t>srv</t>
        </is>
      </c>
      <c r="H693" s="3" t="inlineStr">
        <is>
          <t>Vehicles repair: price change, input costs</t>
        </is>
      </c>
      <c r="I693" s="3" t="inlineStr">
        <is>
          <t>fraction</t>
        </is>
      </c>
      <c r="J693" s="118" t="inlineStr">
        <is>
          <t>legacy rows 643, 653</t>
        </is>
      </c>
      <c r="K693" s="9" t="str">
        <f>LOWER(CtryCode)&amp;".distn."&amp;$A693&amp;IF($B693="","","."&amp;$B693)&amp;IF($C693="","",".dec."&amp;$C693)&amp;"."&amp;K$5</f>
        <v>egy.distn.dps.trd.1</v>
      </c>
      <c r="L693" s="121">
        <f>IF(INDEX(DSecFuel,$D693),0,MMULT(INDEX(DSecLeon,$D693,0),L$106:L$110))</f>
        <v>0.0</v>
      </c>
      <c r="M693" s="122">
        <f t="shared" ref="M693:V693" si="1138">L693</f>
        <v>0.0</v>
      </c>
      <c r="N693" s="122">
        <f t="shared" si="1138"/>
        <v>0.0</v>
      </c>
      <c r="O693" s="122">
        <f t="shared" si="1138"/>
        <v>0.0</v>
      </c>
      <c r="P693" s="122">
        <f t="shared" si="1138"/>
        <v>0.0</v>
      </c>
      <c r="Q693" s="122">
        <f t="shared" si="1138"/>
        <v>0.0</v>
      </c>
      <c r="R693" s="122">
        <f t="shared" si="1138"/>
        <v>0.0</v>
      </c>
      <c r="S693" s="122">
        <f t="shared" si="1138"/>
        <v>0.0</v>
      </c>
      <c r="T693" s="122">
        <f t="shared" si="1138"/>
        <v>0.0</v>
      </c>
      <c r="U693" s="122">
        <f t="shared" si="1138"/>
        <v>0.0</v>
      </c>
      <c r="V693" s="122">
        <f t="shared" si="1138"/>
        <v>0.0</v>
      </c>
      <c r="W693" s="201" t="str">
        <f>IF(X$5=K$5,SUM(Y693:AI693)-SUM(L693:V693),"")</f>
        <v/>
      </c>
      <c r="X693" s="9" t="str">
        <f>LOWER(CtryCode)&amp;".distn."&amp;$A693&amp;IF($B693="","","."&amp;$B693)&amp;IF($C693="","",".dec."&amp;$C693)&amp;"."&amp;X$5</f>
        <v>egy.distn.dps.trd.2</v>
      </c>
      <c r="Y693" s="121">
        <f>IF(INDEX(DSecFuel,$D693),0,MMULT(INDEX(DSecLeon,$D693,0),Y$106:Y$110))</f>
        <v>0.0008331016239078197</v>
      </c>
      <c r="Z693" s="122">
        <f t="shared" ref="Z693:AI693" si="1139">Y693</f>
        <v>0.0008331016239078197</v>
      </c>
      <c r="AA693" s="122">
        <f t="shared" si="1139"/>
        <v>0.0008331016239078197</v>
      </c>
      <c r="AB693" s="122">
        <f t="shared" si="1139"/>
        <v>0.0008331016239078197</v>
      </c>
      <c r="AC693" s="122">
        <f t="shared" si="1139"/>
        <v>0.0008331016239078197</v>
      </c>
      <c r="AD693" s="122">
        <f t="shared" si="1139"/>
        <v>0.0008331016239078197</v>
      </c>
      <c r="AE693" s="122">
        <f t="shared" si="1139"/>
        <v>0.0008331016239078197</v>
      </c>
      <c r="AF693" s="122">
        <f t="shared" si="1139"/>
        <v>0.0008331016239078197</v>
      </c>
      <c r="AG693" s="122">
        <f t="shared" si="1139"/>
        <v>0.0008331016239078197</v>
      </c>
      <c r="AH693" s="122">
        <f t="shared" si="1139"/>
        <v>0.0008331016239078197</v>
      </c>
      <c r="AI693" s="122">
        <f t="shared" si="1139"/>
        <v>0.0008331016239078197</v>
      </c>
    </row>
    <row r="694" hidden="1" outlineLevel="1">
      <c r="A694" s="44" t="inlineStr">
        <is>
          <t>dps</t>
        </is>
      </c>
      <c r="B694" s="3" t="inlineStr">
        <is>
          <t>v_f</t>
        </is>
      </c>
      <c r="C694" s="3" t="inlineStr"/>
      <c r="D694" s="3" t="n">
        <v>57</v>
      </c>
      <c r="E694" s="3" t="inlineStr">
        <is>
          <t>foo</t>
        </is>
      </c>
      <c r="H694" s="3" t="inlineStr">
        <is>
          <t>Veg &amp; fruit: price change, input costs</t>
        </is>
      </c>
      <c r="I694" s="3" t="inlineStr">
        <is>
          <t>fraction</t>
        </is>
      </c>
      <c r="J694" s="118" t="inlineStr">
        <is>
          <t>legacy rows 643, 653</t>
        </is>
      </c>
      <c r="K694" s="9" t="str">
        <f>LOWER(CtryCode)&amp;".distn."&amp;$A694&amp;IF($B694="","","."&amp;$B694)&amp;IF($C694="","",".dec."&amp;$C694)&amp;"."&amp;K$5</f>
        <v>egy.distn.dps.v_f.1</v>
      </c>
      <c r="L694" s="121">
        <f>IF(INDEX(DSecFuel,$D694),0,MMULT(INDEX(DSecLeon,$D694,0),L$106:L$110))</f>
        <v>0.0</v>
      </c>
      <c r="M694" s="122">
        <f t="shared" ref="M694:V694" si="1140">L694</f>
        <v>0.0</v>
      </c>
      <c r="N694" s="122">
        <f t="shared" si="1140"/>
        <v>0.0</v>
      </c>
      <c r="O694" s="122">
        <f t="shared" si="1140"/>
        <v>0.0</v>
      </c>
      <c r="P694" s="122">
        <f t="shared" si="1140"/>
        <v>0.0</v>
      </c>
      <c r="Q694" s="122">
        <f t="shared" si="1140"/>
        <v>0.0</v>
      </c>
      <c r="R694" s="122">
        <f t="shared" si="1140"/>
        <v>0.0</v>
      </c>
      <c r="S694" s="122">
        <f t="shared" si="1140"/>
        <v>0.0</v>
      </c>
      <c r="T694" s="122">
        <f t="shared" si="1140"/>
        <v>0.0</v>
      </c>
      <c r="U694" s="122">
        <f t="shared" si="1140"/>
        <v>0.0</v>
      </c>
      <c r="V694" s="122">
        <f t="shared" si="1140"/>
        <v>0.0</v>
      </c>
      <c r="W694" s="201" t="str">
        <f>IF(X$5=K$5,SUM(Y694:AI694)-SUM(L694:V694),"")</f>
        <v/>
      </c>
      <c r="X694" s="9" t="str">
        <f>LOWER(CtryCode)&amp;".distn."&amp;$A694&amp;IF($B694="","","."&amp;$B694)&amp;IF($C694="","",".dec."&amp;$C694)&amp;"."&amp;X$5</f>
        <v>egy.distn.dps.v_f.2</v>
      </c>
      <c r="Y694" s="121">
        <f>IF(INDEX(DSecFuel,$D694),0,MMULT(INDEX(DSecLeon,$D694,0),Y$106:Y$110))</f>
        <v>0.0008756206870516113</v>
      </c>
      <c r="Z694" s="122">
        <f t="shared" ref="Z694:AI694" si="1141">Y694</f>
        <v>0.0008756206870516113</v>
      </c>
      <c r="AA694" s="122">
        <f t="shared" si="1141"/>
        <v>0.0008756206870516113</v>
      </c>
      <c r="AB694" s="122">
        <f t="shared" si="1141"/>
        <v>0.0008756206870516113</v>
      </c>
      <c r="AC694" s="122">
        <f t="shared" si="1141"/>
        <v>0.0008756206870516113</v>
      </c>
      <c r="AD694" s="122">
        <f t="shared" si="1141"/>
        <v>0.0008756206870516113</v>
      </c>
      <c r="AE694" s="122">
        <f t="shared" si="1141"/>
        <v>0.0008756206870516113</v>
      </c>
      <c r="AF694" s="122">
        <f t="shared" si="1141"/>
        <v>0.0008756206870516113</v>
      </c>
      <c r="AG694" s="122">
        <f t="shared" si="1141"/>
        <v>0.0008756206870516113</v>
      </c>
      <c r="AH694" s="122">
        <f t="shared" si="1141"/>
        <v>0.0008756206870516113</v>
      </c>
      <c r="AI694" s="122">
        <f t="shared" si="1141"/>
        <v>0.0008756206870516113</v>
      </c>
    </row>
    <row r="695" hidden="1" outlineLevel="1">
      <c r="A695" s="44" t="inlineStr">
        <is>
          <t>dps</t>
        </is>
      </c>
      <c r="B695" s="3" t="inlineStr">
        <is>
          <t>vol</t>
        </is>
      </c>
      <c r="C695" s="3" t="inlineStr"/>
      <c r="D695" s="3" t="n">
        <v>58</v>
      </c>
      <c r="E695" s="3" t="inlineStr">
        <is>
          <t>foo</t>
        </is>
      </c>
      <c r="H695" s="3" t="inlineStr">
        <is>
          <t>Vegetable Oils: price change, input costs</t>
        </is>
      </c>
      <c r="I695" s="3" t="inlineStr">
        <is>
          <t>fraction</t>
        </is>
      </c>
      <c r="J695" s="118" t="inlineStr">
        <is>
          <t>legacy rows 643, 653</t>
        </is>
      </c>
      <c r="K695" s="9" t="str">
        <f>LOWER(CtryCode)&amp;".distn."&amp;$A695&amp;IF($B695="","","."&amp;$B695)&amp;IF($C695="","",".dec."&amp;$C695)&amp;"."&amp;K$5</f>
        <v>egy.distn.dps.vol.1</v>
      </c>
      <c r="L695" s="121">
        <f>IF(INDEX(DSecFuel,$D695),0,MMULT(INDEX(DSecLeon,$D695,0),L$106:L$110))</f>
        <v>0.0</v>
      </c>
      <c r="M695" s="122">
        <f t="shared" ref="M695:V695" si="1142">L695</f>
        <v>0.0</v>
      </c>
      <c r="N695" s="122">
        <f t="shared" si="1142"/>
        <v>0.0</v>
      </c>
      <c r="O695" s="122">
        <f t="shared" si="1142"/>
        <v>0.0</v>
      </c>
      <c r="P695" s="122">
        <f t="shared" si="1142"/>
        <v>0.0</v>
      </c>
      <c r="Q695" s="122">
        <f t="shared" si="1142"/>
        <v>0.0</v>
      </c>
      <c r="R695" s="122">
        <f t="shared" si="1142"/>
        <v>0.0</v>
      </c>
      <c r="S695" s="122">
        <f t="shared" si="1142"/>
        <v>0.0</v>
      </c>
      <c r="T695" s="122">
        <f t="shared" si="1142"/>
        <v>0.0</v>
      </c>
      <c r="U695" s="122">
        <f t="shared" si="1142"/>
        <v>0.0</v>
      </c>
      <c r="V695" s="122">
        <f t="shared" si="1142"/>
        <v>0.0</v>
      </c>
      <c r="W695" s="201" t="str">
        <f>IF(X$5=K$5,SUM(Y695:AI695)-SUM(L695:V695),"")</f>
        <v/>
      </c>
      <c r="X695" s="9" t="str">
        <f>LOWER(CtryCode)&amp;".distn."&amp;$A695&amp;IF($B695="","","."&amp;$B695)&amp;IF($C695="","",".dec."&amp;$C695)&amp;"."&amp;X$5</f>
        <v>egy.distn.dps.vol.2</v>
      </c>
      <c r="Y695" s="121">
        <f>IF(INDEX(DSecFuel,$D695),0,MMULT(INDEX(DSecLeon,$D695,0),Y$106:Y$110))</f>
        <v>0.0008432812737369321</v>
      </c>
      <c r="Z695" s="122">
        <f t="shared" ref="Z695:AI695" si="1143">Y695</f>
        <v>0.0008432812737369321</v>
      </c>
      <c r="AA695" s="122">
        <f t="shared" si="1143"/>
        <v>0.0008432812737369321</v>
      </c>
      <c r="AB695" s="122">
        <f t="shared" si="1143"/>
        <v>0.0008432812737369321</v>
      </c>
      <c r="AC695" s="122">
        <f t="shared" si="1143"/>
        <v>0.0008432812737369321</v>
      </c>
      <c r="AD695" s="122">
        <f t="shared" si="1143"/>
        <v>0.0008432812737369321</v>
      </c>
      <c r="AE695" s="122">
        <f t="shared" si="1143"/>
        <v>0.0008432812737369321</v>
      </c>
      <c r="AF695" s="122">
        <f t="shared" si="1143"/>
        <v>0.0008432812737369321</v>
      </c>
      <c r="AG695" s="122">
        <f t="shared" si="1143"/>
        <v>0.0008432812737369321</v>
      </c>
      <c r="AH695" s="122">
        <f t="shared" si="1143"/>
        <v>0.0008432812737369321</v>
      </c>
      <c r="AI695" s="122">
        <f t="shared" si="1143"/>
        <v>0.0008432812737369321</v>
      </c>
    </row>
    <row r="696" hidden="1" outlineLevel="1">
      <c r="A696" s="44" t="inlineStr">
        <is>
          <t>dps</t>
        </is>
      </c>
      <c r="B696" s="3" t="inlineStr">
        <is>
          <t>wap</t>
        </is>
      </c>
      <c r="C696" s="3" t="inlineStr"/>
      <c r="D696" s="3" t="n">
        <v>59</v>
      </c>
      <c r="E696" s="3" t="inlineStr">
        <is>
          <t>omn</t>
        </is>
      </c>
      <c r="H696" s="3" t="inlineStr">
        <is>
          <t>Apparel: price change, input costs</t>
        </is>
      </c>
      <c r="I696" s="3" t="inlineStr">
        <is>
          <t>fraction</t>
        </is>
      </c>
      <c r="J696" s="118" t="inlineStr">
        <is>
          <t>legacy rows 643, 653</t>
        </is>
      </c>
      <c r="K696" s="9" t="str">
        <f>LOWER(CtryCode)&amp;".distn."&amp;$A696&amp;IF($B696="","","."&amp;$B696)&amp;IF($C696="","",".dec."&amp;$C696)&amp;"."&amp;K$5</f>
        <v>egy.distn.dps.wap.1</v>
      </c>
      <c r="L696" s="121">
        <f>IF(INDEX(DSecFuel,$D696),0,MMULT(INDEX(DSecLeon,$D696,0),L$106:L$110))</f>
        <v>0.0</v>
      </c>
      <c r="M696" s="122">
        <f t="shared" ref="M696:V696" si="1144">L696</f>
        <v>0.0</v>
      </c>
      <c r="N696" s="122">
        <f t="shared" si="1144"/>
        <v>0.0</v>
      </c>
      <c r="O696" s="122">
        <f t="shared" si="1144"/>
        <v>0.0</v>
      </c>
      <c r="P696" s="122">
        <f t="shared" si="1144"/>
        <v>0.0</v>
      </c>
      <c r="Q696" s="122">
        <f t="shared" si="1144"/>
        <v>0.0</v>
      </c>
      <c r="R696" s="122">
        <f t="shared" si="1144"/>
        <v>0.0</v>
      </c>
      <c r="S696" s="122">
        <f t="shared" si="1144"/>
        <v>0.0</v>
      </c>
      <c r="T696" s="122">
        <f t="shared" si="1144"/>
        <v>0.0</v>
      </c>
      <c r="U696" s="122">
        <f t="shared" si="1144"/>
        <v>0.0</v>
      </c>
      <c r="V696" s="122">
        <f t="shared" si="1144"/>
        <v>0.0</v>
      </c>
      <c r="W696" s="201" t="str">
        <f>IF(X$5=K$5,SUM(Y696:AI696)-SUM(L696:V696),"")</f>
        <v/>
      </c>
      <c r="X696" s="9" t="str">
        <f>LOWER(CtryCode)&amp;".distn."&amp;$A696&amp;IF($B696="","","."&amp;$B696)&amp;IF($C696="","",".dec."&amp;$C696)&amp;"."&amp;X$5</f>
        <v>egy.distn.dps.wap.2</v>
      </c>
      <c r="Y696" s="121">
        <f>IF(INDEX(DSecFuel,$D696),0,MMULT(INDEX(DSecLeon,$D696,0),Y$106:Y$110))</f>
        <v>0.0010735200368662103</v>
      </c>
      <c r="Z696" s="122">
        <f t="shared" ref="Z696:AI696" si="1145">Y696</f>
        <v>0.0010735200368662103</v>
      </c>
      <c r="AA696" s="122">
        <f t="shared" si="1145"/>
        <v>0.0010735200368662103</v>
      </c>
      <c r="AB696" s="122">
        <f t="shared" si="1145"/>
        <v>0.0010735200368662103</v>
      </c>
      <c r="AC696" s="122">
        <f t="shared" si="1145"/>
        <v>0.0010735200368662103</v>
      </c>
      <c r="AD696" s="122">
        <f t="shared" si="1145"/>
        <v>0.0010735200368662103</v>
      </c>
      <c r="AE696" s="122">
        <f t="shared" si="1145"/>
        <v>0.0010735200368662103</v>
      </c>
      <c r="AF696" s="122">
        <f t="shared" si="1145"/>
        <v>0.0010735200368662103</v>
      </c>
      <c r="AG696" s="122">
        <f t="shared" si="1145"/>
        <v>0.0010735200368662103</v>
      </c>
      <c r="AH696" s="122">
        <f t="shared" si="1145"/>
        <v>0.0010735200368662103</v>
      </c>
      <c r="AI696" s="122">
        <f t="shared" si="1145"/>
        <v>0.0010735200368662103</v>
      </c>
    </row>
    <row r="697" hidden="1" outlineLevel="1">
      <c r="A697" s="44" t="inlineStr">
        <is>
          <t>dps</t>
        </is>
      </c>
      <c r="B697" s="3" t="inlineStr">
        <is>
          <t>whs</t>
        </is>
      </c>
      <c r="C697" s="3" t="inlineStr"/>
      <c r="D697" s="3" t="n">
        <v>60</v>
      </c>
      <c r="E697" s="3" t="inlineStr">
        <is>
          <t>srv</t>
        </is>
      </c>
      <c r="H697" s="3" t="inlineStr">
        <is>
          <t>Warehousing: price change, input costs</t>
        </is>
      </c>
      <c r="I697" s="3" t="inlineStr">
        <is>
          <t>fraction</t>
        </is>
      </c>
      <c r="J697" s="118" t="inlineStr">
        <is>
          <t>legacy rows 643, 653</t>
        </is>
      </c>
      <c r="K697" s="9" t="str">
        <f>LOWER(CtryCode)&amp;".distn."&amp;$A697&amp;IF($B697="","","."&amp;$B697)&amp;IF($C697="","",".dec."&amp;$C697)&amp;"."&amp;K$5</f>
        <v>egy.distn.dps.whs.1</v>
      </c>
      <c r="L697" s="121">
        <f>IF(INDEX(DSecFuel,$D697),0,MMULT(INDEX(DSecLeon,$D697,0),L$106:L$110))</f>
        <v>0.0</v>
      </c>
      <c r="M697" s="122">
        <f t="shared" ref="M697:V697" si="1146">L697</f>
        <v>0.0</v>
      </c>
      <c r="N697" s="122">
        <f t="shared" si="1146"/>
        <v>0.0</v>
      </c>
      <c r="O697" s="122">
        <f t="shared" si="1146"/>
        <v>0.0</v>
      </c>
      <c r="P697" s="122">
        <f t="shared" si="1146"/>
        <v>0.0</v>
      </c>
      <c r="Q697" s="122">
        <f t="shared" si="1146"/>
        <v>0.0</v>
      </c>
      <c r="R697" s="122">
        <f t="shared" si="1146"/>
        <v>0.0</v>
      </c>
      <c r="S697" s="122">
        <f t="shared" si="1146"/>
        <v>0.0</v>
      </c>
      <c r="T697" s="122">
        <f t="shared" si="1146"/>
        <v>0.0</v>
      </c>
      <c r="U697" s="122">
        <f t="shared" si="1146"/>
        <v>0.0</v>
      </c>
      <c r="V697" s="122">
        <f t="shared" si="1146"/>
        <v>0.0</v>
      </c>
      <c r="W697" s="201" t="str">
        <f>IF(X$5=K$5,SUM(Y697:AI697)-SUM(L697:V697),"")</f>
        <v/>
      </c>
      <c r="X697" s="9" t="str">
        <f>LOWER(CtryCode)&amp;".distn."&amp;$A697&amp;IF($B697="","","."&amp;$B697)&amp;IF($C697="","",".dec."&amp;$C697)&amp;"."&amp;X$5</f>
        <v>egy.distn.dps.whs.2</v>
      </c>
      <c r="Y697" s="121">
        <f>IF(INDEX(DSecFuel,$D697),0,MMULT(INDEX(DSecLeon,$D697,0),Y$106:Y$110))</f>
        <v>0.001045916564350337</v>
      </c>
      <c r="Z697" s="122">
        <f t="shared" ref="Z697:AI697" si="1147">Y697</f>
        <v>0.001045916564350337</v>
      </c>
      <c r="AA697" s="122">
        <f t="shared" si="1147"/>
        <v>0.001045916564350337</v>
      </c>
      <c r="AB697" s="122">
        <f t="shared" si="1147"/>
        <v>0.001045916564350337</v>
      </c>
      <c r="AC697" s="122">
        <f t="shared" si="1147"/>
        <v>0.001045916564350337</v>
      </c>
      <c r="AD697" s="122">
        <f t="shared" si="1147"/>
        <v>0.001045916564350337</v>
      </c>
      <c r="AE697" s="122">
        <f t="shared" si="1147"/>
        <v>0.001045916564350337</v>
      </c>
      <c r="AF697" s="122">
        <f t="shared" si="1147"/>
        <v>0.001045916564350337</v>
      </c>
      <c r="AG697" s="122">
        <f t="shared" si="1147"/>
        <v>0.001045916564350337</v>
      </c>
      <c r="AH697" s="122">
        <f t="shared" si="1147"/>
        <v>0.001045916564350337</v>
      </c>
      <c r="AI697" s="122">
        <f t="shared" si="1147"/>
        <v>0.001045916564350337</v>
      </c>
    </row>
    <row r="698" hidden="1" outlineLevel="1">
      <c r="A698" s="44" t="inlineStr">
        <is>
          <t>dps</t>
        </is>
      </c>
      <c r="B698" s="3" t="inlineStr">
        <is>
          <t>wht</t>
        </is>
      </c>
      <c r="C698" s="3" t="inlineStr"/>
      <c r="D698" s="3" t="n">
        <v>61</v>
      </c>
      <c r="E698" s="3" t="inlineStr">
        <is>
          <t>foo</t>
        </is>
      </c>
      <c r="H698" s="3" t="inlineStr">
        <is>
          <t>Wheat: price change, input costs</t>
        </is>
      </c>
      <c r="I698" s="3" t="inlineStr">
        <is>
          <t>fraction</t>
        </is>
      </c>
      <c r="J698" s="118" t="inlineStr">
        <is>
          <t>legacy rows 643, 653</t>
        </is>
      </c>
      <c r="K698" s="9" t="str">
        <f>LOWER(CtryCode)&amp;".distn."&amp;$A698&amp;IF($B698="","","."&amp;$B698)&amp;IF($C698="","",".dec."&amp;$C698)&amp;"."&amp;K$5</f>
        <v>egy.distn.dps.wht.1</v>
      </c>
      <c r="L698" s="121">
        <f>IF(INDEX(DSecFuel,$D698),0,MMULT(INDEX(DSecLeon,$D698,0),L$106:L$110))</f>
        <v>0.0</v>
      </c>
      <c r="M698" s="122">
        <f t="shared" ref="M698:V698" si="1148">L698</f>
        <v>0.0</v>
      </c>
      <c r="N698" s="122">
        <f t="shared" si="1148"/>
        <v>0.0</v>
      </c>
      <c r="O698" s="122">
        <f t="shared" si="1148"/>
        <v>0.0</v>
      </c>
      <c r="P698" s="122">
        <f t="shared" si="1148"/>
        <v>0.0</v>
      </c>
      <c r="Q698" s="122">
        <f t="shared" si="1148"/>
        <v>0.0</v>
      </c>
      <c r="R698" s="122">
        <f t="shared" si="1148"/>
        <v>0.0</v>
      </c>
      <c r="S698" s="122">
        <f t="shared" si="1148"/>
        <v>0.0</v>
      </c>
      <c r="T698" s="122">
        <f t="shared" si="1148"/>
        <v>0.0</v>
      </c>
      <c r="U698" s="122">
        <f t="shared" si="1148"/>
        <v>0.0</v>
      </c>
      <c r="V698" s="122">
        <f t="shared" si="1148"/>
        <v>0.0</v>
      </c>
      <c r="W698" s="201" t="str">
        <f>IF(X$5=K$5,SUM(Y698:AI698)-SUM(L698:V698),"")</f>
        <v/>
      </c>
      <c r="X698" s="9" t="str">
        <f>LOWER(CtryCode)&amp;".distn."&amp;$A698&amp;IF($B698="","","."&amp;$B698)&amp;IF($C698="","",".dec."&amp;$C698)&amp;"."&amp;X$5</f>
        <v>egy.distn.dps.wht.2</v>
      </c>
      <c r="Y698" s="121">
        <f>IF(INDEX(DSecFuel,$D698),0,MMULT(INDEX(DSecLeon,$D698,0),Y$106:Y$110))</f>
        <v>0.0015616190060591087</v>
      </c>
      <c r="Z698" s="122">
        <f t="shared" ref="Z698:AI698" si="1149">Y698</f>
        <v>0.0015616190060591087</v>
      </c>
      <c r="AA698" s="122">
        <f t="shared" si="1149"/>
        <v>0.0015616190060591087</v>
      </c>
      <c r="AB698" s="122">
        <f t="shared" si="1149"/>
        <v>0.0015616190060591087</v>
      </c>
      <c r="AC698" s="122">
        <f t="shared" si="1149"/>
        <v>0.0015616190060591087</v>
      </c>
      <c r="AD698" s="122">
        <f t="shared" si="1149"/>
        <v>0.0015616190060591087</v>
      </c>
      <c r="AE698" s="122">
        <f t="shared" si="1149"/>
        <v>0.0015616190060591087</v>
      </c>
      <c r="AF698" s="122">
        <f t="shared" si="1149"/>
        <v>0.0015616190060591087</v>
      </c>
      <c r="AG698" s="122">
        <f t="shared" si="1149"/>
        <v>0.0015616190060591087</v>
      </c>
      <c r="AH698" s="122">
        <f t="shared" si="1149"/>
        <v>0.0015616190060591087</v>
      </c>
      <c r="AI698" s="122">
        <f t="shared" si="1149"/>
        <v>0.0015616190060591087</v>
      </c>
    </row>
    <row r="699" hidden="1" outlineLevel="1">
      <c r="A699" s="44" t="inlineStr">
        <is>
          <t>dps</t>
        </is>
      </c>
      <c r="B699" s="3" t="inlineStr">
        <is>
          <t>wol</t>
        </is>
      </c>
      <c r="C699" s="3" t="inlineStr"/>
      <c r="D699" s="3" t="n">
        <v>62</v>
      </c>
      <c r="E699" s="3" t="inlineStr">
        <is>
          <t>foo</t>
        </is>
      </c>
      <c r="H699" s="3" t="inlineStr">
        <is>
          <t>Wool: price change, input costs</t>
        </is>
      </c>
      <c r="I699" s="3" t="inlineStr">
        <is>
          <t>fraction</t>
        </is>
      </c>
      <c r="J699" s="118" t="inlineStr">
        <is>
          <t>legacy rows 643, 653</t>
        </is>
      </c>
      <c r="K699" s="9" t="str">
        <f>LOWER(CtryCode)&amp;".distn."&amp;$A699&amp;IF($B699="","","."&amp;$B699)&amp;IF($C699="","",".dec."&amp;$C699)&amp;"."&amp;K$5</f>
        <v>egy.distn.dps.wol.1</v>
      </c>
      <c r="L699" s="121">
        <f>IF(INDEX(DSecFuel,$D699),0,MMULT(INDEX(DSecLeon,$D699,0),L$106:L$110))</f>
        <v>0.0</v>
      </c>
      <c r="M699" s="122">
        <f t="shared" ref="M699:V699" si="1150">L699</f>
        <v>0.0</v>
      </c>
      <c r="N699" s="122">
        <f t="shared" si="1150"/>
        <v>0.0</v>
      </c>
      <c r="O699" s="122">
        <f t="shared" si="1150"/>
        <v>0.0</v>
      </c>
      <c r="P699" s="122">
        <f t="shared" si="1150"/>
        <v>0.0</v>
      </c>
      <c r="Q699" s="122">
        <f t="shared" si="1150"/>
        <v>0.0</v>
      </c>
      <c r="R699" s="122">
        <f t="shared" si="1150"/>
        <v>0.0</v>
      </c>
      <c r="S699" s="122">
        <f t="shared" si="1150"/>
        <v>0.0</v>
      </c>
      <c r="T699" s="122">
        <f t="shared" si="1150"/>
        <v>0.0</v>
      </c>
      <c r="U699" s="122">
        <f t="shared" si="1150"/>
        <v>0.0</v>
      </c>
      <c r="V699" s="122">
        <f t="shared" si="1150"/>
        <v>0.0</v>
      </c>
      <c r="W699" s="201" t="str">
        <f>IF(X$5=K$5,SUM(Y699:AI699)-SUM(L699:V699),"")</f>
        <v/>
      </c>
      <c r="X699" s="9" t="str">
        <f>LOWER(CtryCode)&amp;".distn."&amp;$A699&amp;IF($B699="","","."&amp;$B699)&amp;IF($C699="","",".dec."&amp;$C699)&amp;"."&amp;X$5</f>
        <v>egy.distn.dps.wol.2</v>
      </c>
      <c r="Y699" s="121">
        <f>IF(INDEX(DSecFuel,$D699),0,MMULT(INDEX(DSecLeon,$D699,0),Y$106:Y$110))</f>
        <v>0.0021658474475274173</v>
      </c>
      <c r="Z699" s="122">
        <f t="shared" ref="Z699:AI699" si="1151">Y699</f>
        <v>0.0021658474475274173</v>
      </c>
      <c r="AA699" s="122">
        <f t="shared" si="1151"/>
        <v>0.0021658474475274173</v>
      </c>
      <c r="AB699" s="122">
        <f t="shared" si="1151"/>
        <v>0.0021658474475274173</v>
      </c>
      <c r="AC699" s="122">
        <f t="shared" si="1151"/>
        <v>0.0021658474475274173</v>
      </c>
      <c r="AD699" s="122">
        <f t="shared" si="1151"/>
        <v>0.0021658474475274173</v>
      </c>
      <c r="AE699" s="122">
        <f t="shared" si="1151"/>
        <v>0.0021658474475274173</v>
      </c>
      <c r="AF699" s="122">
        <f t="shared" si="1151"/>
        <v>0.0021658474475274173</v>
      </c>
      <c r="AG699" s="122">
        <f t="shared" si="1151"/>
        <v>0.0021658474475274173</v>
      </c>
      <c r="AH699" s="122">
        <f t="shared" si="1151"/>
        <v>0.0021658474475274173</v>
      </c>
      <c r="AI699" s="122">
        <f t="shared" si="1151"/>
        <v>0.0021658474475274173</v>
      </c>
    </row>
    <row r="700" hidden="1" outlineLevel="1">
      <c r="A700" s="44" t="inlineStr">
        <is>
          <t>dps</t>
        </is>
      </c>
      <c r="B700" s="3" t="inlineStr">
        <is>
          <t>wtp</t>
        </is>
      </c>
      <c r="C700" s="3" t="inlineStr"/>
      <c r="D700" s="3" t="n">
        <v>63</v>
      </c>
      <c r="E700" s="3" t="inlineStr">
        <is>
          <t>nav</t>
        </is>
      </c>
      <c r="H700" s="3" t="inlineStr">
        <is>
          <t>Water transport: price change, input costs</t>
        </is>
      </c>
      <c r="I700" s="3" t="inlineStr">
        <is>
          <t>fraction</t>
        </is>
      </c>
      <c r="J700" s="118" t="inlineStr">
        <is>
          <t>legacy rows 643, 653</t>
        </is>
      </c>
      <c r="K700" s="9" t="str">
        <f>LOWER(CtryCode)&amp;".distn."&amp;$A700&amp;IF($B700="","","."&amp;$B700)&amp;IF($C700="","",".dec."&amp;$C700)&amp;"."&amp;K$5</f>
        <v>egy.distn.dps.wtp.1</v>
      </c>
      <c r="L700" s="121">
        <f>IF(INDEX(DSecFuel,$D700),0,MMULT(INDEX(DSecLeon,$D700,0),L$106:L$110))</f>
        <v>0.0</v>
      </c>
      <c r="M700" s="122">
        <f t="shared" ref="M700:V700" si="1152">L700</f>
        <v>0.0</v>
      </c>
      <c r="N700" s="122">
        <f t="shared" si="1152"/>
        <v>0.0</v>
      </c>
      <c r="O700" s="122">
        <f t="shared" si="1152"/>
        <v>0.0</v>
      </c>
      <c r="P700" s="122">
        <f t="shared" si="1152"/>
        <v>0.0</v>
      </c>
      <c r="Q700" s="122">
        <f t="shared" si="1152"/>
        <v>0.0</v>
      </c>
      <c r="R700" s="122">
        <f t="shared" si="1152"/>
        <v>0.0</v>
      </c>
      <c r="S700" s="122">
        <f t="shared" si="1152"/>
        <v>0.0</v>
      </c>
      <c r="T700" s="122">
        <f t="shared" si="1152"/>
        <v>0.0</v>
      </c>
      <c r="U700" s="122">
        <f t="shared" si="1152"/>
        <v>0.0</v>
      </c>
      <c r="V700" s="122">
        <f t="shared" si="1152"/>
        <v>0.0</v>
      </c>
      <c r="W700" s="201" t="str">
        <f>IF(X$5=K$5,SUM(Y700:AI700)-SUM(L700:V700),"")</f>
        <v/>
      </c>
      <c r="X700" s="9" t="str">
        <f>LOWER(CtryCode)&amp;".distn."&amp;$A700&amp;IF($B700="","","."&amp;$B700)&amp;IF($C700="","",".dec."&amp;$C700)&amp;"."&amp;X$5</f>
        <v>egy.distn.dps.wtp.2</v>
      </c>
      <c r="Y700" s="121">
        <f>IF(INDEX(DSecFuel,$D700),0,MMULT(INDEX(DSecLeon,$D700,0),Y$106:Y$110))</f>
        <v>0.006669003426948593</v>
      </c>
      <c r="Z700" s="122">
        <f t="shared" ref="Z700:AI700" si="1153">Y700</f>
        <v>0.006669003426948593</v>
      </c>
      <c r="AA700" s="122">
        <f t="shared" si="1153"/>
        <v>0.006669003426948593</v>
      </c>
      <c r="AB700" s="122">
        <f t="shared" si="1153"/>
        <v>0.006669003426948593</v>
      </c>
      <c r="AC700" s="122">
        <f t="shared" si="1153"/>
        <v>0.006669003426948593</v>
      </c>
      <c r="AD700" s="122">
        <f t="shared" si="1153"/>
        <v>0.006669003426948593</v>
      </c>
      <c r="AE700" s="122">
        <f t="shared" si="1153"/>
        <v>0.006669003426948593</v>
      </c>
      <c r="AF700" s="122">
        <f t="shared" si="1153"/>
        <v>0.006669003426948593</v>
      </c>
      <c r="AG700" s="122">
        <f t="shared" si="1153"/>
        <v>0.006669003426948593</v>
      </c>
      <c r="AH700" s="122">
        <f t="shared" si="1153"/>
        <v>0.006669003426948593</v>
      </c>
      <c r="AI700" s="122">
        <f t="shared" si="1153"/>
        <v>0.006669003426948593</v>
      </c>
    </row>
    <row r="701" hidden="1" outlineLevel="1">
      <c r="A701" s="44" t="inlineStr">
        <is>
          <t>dps</t>
        </is>
      </c>
      <c r="B701" s="3" t="inlineStr">
        <is>
          <t>wtr</t>
        </is>
      </c>
      <c r="C701" s="3" t="inlineStr"/>
      <c r="D701" s="3" t="n">
        <v>64</v>
      </c>
      <c r="E701" s="3" t="inlineStr">
        <is>
          <t>srv</t>
        </is>
      </c>
      <c r="H701" s="3" t="inlineStr">
        <is>
          <t>Water supply: price change, input costs</t>
        </is>
      </c>
      <c r="I701" s="3" t="inlineStr">
        <is>
          <t>fraction</t>
        </is>
      </c>
      <c r="J701" s="118" t="inlineStr">
        <is>
          <t>legacy rows 643, 653</t>
        </is>
      </c>
      <c r="K701" s="9" t="str">
        <f>LOWER(CtryCode)&amp;".distn."&amp;$A701&amp;IF($B701="","","."&amp;$B701)&amp;IF($C701="","",".dec."&amp;$C701)&amp;"."&amp;K$5</f>
        <v>egy.distn.dps.wtr.1</v>
      </c>
      <c r="L701" s="121">
        <f>IF(INDEX(DSecFuel,$D701),0,MMULT(INDEX(DSecLeon,$D701,0),L$106:L$110))</f>
        <v>0.0</v>
      </c>
      <c r="M701" s="122">
        <f t="shared" ref="M701:V701" si="1154">L701</f>
        <v>0.0</v>
      </c>
      <c r="N701" s="122">
        <f t="shared" si="1154"/>
        <v>0.0</v>
      </c>
      <c r="O701" s="122">
        <f t="shared" si="1154"/>
        <v>0.0</v>
      </c>
      <c r="P701" s="122">
        <f t="shared" si="1154"/>
        <v>0.0</v>
      </c>
      <c r="Q701" s="122">
        <f t="shared" si="1154"/>
        <v>0.0</v>
      </c>
      <c r="R701" s="122">
        <f t="shared" si="1154"/>
        <v>0.0</v>
      </c>
      <c r="S701" s="122">
        <f t="shared" si="1154"/>
        <v>0.0</v>
      </c>
      <c r="T701" s="122">
        <f t="shared" si="1154"/>
        <v>0.0</v>
      </c>
      <c r="U701" s="122">
        <f t="shared" si="1154"/>
        <v>0.0</v>
      </c>
      <c r="V701" s="122">
        <f t="shared" si="1154"/>
        <v>0.0</v>
      </c>
      <c r="W701" s="201" t="str">
        <f>IF(X$5=K$5,SUM(Y701:AI701)-SUM(L701:V701),"")</f>
        <v/>
      </c>
      <c r="X701" s="9" t="str">
        <f>LOWER(CtryCode)&amp;".distn."&amp;$A701&amp;IF($B701="","","."&amp;$B701)&amp;IF($C701="","",".dec."&amp;$C701)&amp;"."&amp;X$5</f>
        <v>egy.distn.dps.wtr.2</v>
      </c>
      <c r="Y701" s="121">
        <f>IF(INDEX(DSecFuel,$D701),0,MMULT(INDEX(DSecLeon,$D701,0),Y$106:Y$110))</f>
        <v>0.0025298867807612585</v>
      </c>
      <c r="Z701" s="122">
        <f t="shared" ref="Z701:AI701" si="1155">Y701</f>
        <v>0.0025298867807612585</v>
      </c>
      <c r="AA701" s="122">
        <f t="shared" si="1155"/>
        <v>0.0025298867807612585</v>
      </c>
      <c r="AB701" s="122">
        <f t="shared" si="1155"/>
        <v>0.0025298867807612585</v>
      </c>
      <c r="AC701" s="122">
        <f t="shared" si="1155"/>
        <v>0.0025298867807612585</v>
      </c>
      <c r="AD701" s="122">
        <f t="shared" si="1155"/>
        <v>0.0025298867807612585</v>
      </c>
      <c r="AE701" s="122">
        <f t="shared" si="1155"/>
        <v>0.0025298867807612585</v>
      </c>
      <c r="AF701" s="122">
        <f t="shared" si="1155"/>
        <v>0.0025298867807612585</v>
      </c>
      <c r="AG701" s="122">
        <f t="shared" si="1155"/>
        <v>0.0025298867807612585</v>
      </c>
      <c r="AH701" s="122">
        <f t="shared" si="1155"/>
        <v>0.0025298867807612585</v>
      </c>
      <c r="AI701" s="122">
        <f t="shared" si="1155"/>
        <v>0.0025298867807612585</v>
      </c>
    </row>
    <row r="702" hidden="1" outlineLevel="1"/>
    <row r="703" hidden="1" outlineLevel="1">
      <c r="B703" s="31" t="inlineStr">
        <is>
          <t>After pass-through to output prices (PassthroughDist = Yes: coefficient of the CPAT sector, else 1)</t>
        </is>
      </c>
    </row>
    <row r="704" hidden="1" outlineLevel="1">
      <c r="A704" s="44" t="inlineStr">
        <is>
          <t>dpsp</t>
        </is>
      </c>
      <c r="B704" s="3" t="inlineStr">
        <is>
          <t>afs</t>
        </is>
      </c>
      <c r="C704" s="3" t="inlineStr"/>
      <c r="D704" s="3" t="n">
        <v>1</v>
      </c>
      <c r="E704" s="3" t="inlineStr">
        <is>
          <t>srv</t>
        </is>
      </c>
      <c r="H704" s="3" t="inlineStr">
        <is>
          <t>Hotels: price change, output price</t>
        </is>
      </c>
      <c r="I704" s="3" t="inlineStr">
        <is>
          <t>fraction</t>
        </is>
      </c>
      <c r="J704" s="118" t="inlineStr">
        <is>
          <t>legacy rows 659-661 (fix D26)</t>
        </is>
      </c>
      <c r="K704" s="9" t="str">
        <f>LOWER(CtryCode)&amp;".distn."&amp;$A704&amp;IF($B704="","","."&amp;$B704)&amp;IF($C704="","",".dec."&amp;$C704)&amp;"."&amp;K$5</f>
        <v>egy.distn.dpsp.afs.1</v>
      </c>
      <c r="L704" s="121">
        <f>L638*IF(LEFT(L$38,3)="Yes",IFERROR(INDEX(DPTVal,MATCH($E704,DPTKey,0)),1),1)</f>
        <v>0.0</v>
      </c>
      <c r="M704" s="122">
        <f t="shared" ref="M704:V704" si="1156">L704</f>
        <v>0.0</v>
      </c>
      <c r="N704" s="122">
        <f t="shared" si="1156"/>
        <v>0.0</v>
      </c>
      <c r="O704" s="122">
        <f t="shared" si="1156"/>
        <v>0.0</v>
      </c>
      <c r="P704" s="122">
        <f t="shared" si="1156"/>
        <v>0.0</v>
      </c>
      <c r="Q704" s="122">
        <f t="shared" si="1156"/>
        <v>0.0</v>
      </c>
      <c r="R704" s="122">
        <f t="shared" si="1156"/>
        <v>0.0</v>
      </c>
      <c r="S704" s="122">
        <f t="shared" si="1156"/>
        <v>0.0</v>
      </c>
      <c r="T704" s="122">
        <f t="shared" si="1156"/>
        <v>0.0</v>
      </c>
      <c r="U704" s="122">
        <f t="shared" si="1156"/>
        <v>0.0</v>
      </c>
      <c r="V704" s="122">
        <f t="shared" si="1156"/>
        <v>0.0</v>
      </c>
      <c r="W704" s="201" t="str">
        <f>IF(X$5=K$5,SUM(Y704:AI704)-SUM(L704:V704),"")</f>
        <v/>
      </c>
      <c r="X704" s="9" t="str">
        <f>LOWER(CtryCode)&amp;".distn."&amp;$A704&amp;IF($B704="","","."&amp;$B704)&amp;IF($C704="","",".dec."&amp;$C704)&amp;"."&amp;X$5</f>
        <v>egy.distn.dpsp.afs.2</v>
      </c>
      <c r="Y704" s="121">
        <f>Y638*IF(LEFT(Y$38,3)="Yes",IFERROR(INDEX(DPTVal,MATCH($E704,DPTKey,0)),1),1)</f>
        <v>0.0007645757621477592</v>
      </c>
      <c r="Z704" s="122">
        <f t="shared" ref="Z704:AI704" si="1157">Y704</f>
        <v>0.0007645757621477592</v>
      </c>
      <c r="AA704" s="122">
        <f t="shared" si="1157"/>
        <v>0.0007645757621477592</v>
      </c>
      <c r="AB704" s="122">
        <f t="shared" si="1157"/>
        <v>0.0007645757621477592</v>
      </c>
      <c r="AC704" s="122">
        <f t="shared" si="1157"/>
        <v>0.0007645757621477592</v>
      </c>
      <c r="AD704" s="122">
        <f t="shared" si="1157"/>
        <v>0.0007645757621477592</v>
      </c>
      <c r="AE704" s="122">
        <f t="shared" si="1157"/>
        <v>0.0007645757621477592</v>
      </c>
      <c r="AF704" s="122">
        <f t="shared" si="1157"/>
        <v>0.0007645757621477592</v>
      </c>
      <c r="AG704" s="122">
        <f t="shared" si="1157"/>
        <v>0.0007645757621477592</v>
      </c>
      <c r="AH704" s="122">
        <f t="shared" si="1157"/>
        <v>0.0007645757621477592</v>
      </c>
      <c r="AI704" s="122">
        <f t="shared" si="1157"/>
        <v>0.0007645757621477592</v>
      </c>
    </row>
    <row r="705" hidden="1" outlineLevel="1">
      <c r="A705" s="44" t="inlineStr">
        <is>
          <t>dpsp</t>
        </is>
      </c>
      <c r="B705" s="3" t="inlineStr">
        <is>
          <t>atp</t>
        </is>
      </c>
      <c r="C705" s="3" t="inlineStr"/>
      <c r="D705" s="3" t="n">
        <v>2</v>
      </c>
      <c r="E705" s="3" t="inlineStr">
        <is>
          <t>avi</t>
        </is>
      </c>
      <c r="H705" s="3" t="inlineStr">
        <is>
          <t>Air transport: price change, output price</t>
        </is>
      </c>
      <c r="I705" s="3" t="inlineStr">
        <is>
          <t>fraction</t>
        </is>
      </c>
      <c r="J705" s="118" t="inlineStr">
        <is>
          <t>legacy rows 659-661 (fix D26)</t>
        </is>
      </c>
      <c r="K705" s="9" t="str">
        <f>LOWER(CtryCode)&amp;".distn."&amp;$A705&amp;IF($B705="","","."&amp;$B705)&amp;IF($C705="","",".dec."&amp;$C705)&amp;"."&amp;K$5</f>
        <v>egy.distn.dpsp.atp.1</v>
      </c>
      <c r="L705" s="121">
        <f>L639*IF(LEFT(L$38,3)="Yes",IFERROR(INDEX(DPTVal,MATCH($E705,DPTKey,0)),1),1)</f>
        <v>0.0</v>
      </c>
      <c r="M705" s="122">
        <f t="shared" ref="M705:V705" si="1158">L705</f>
        <v>0.0</v>
      </c>
      <c r="N705" s="122">
        <f t="shared" si="1158"/>
        <v>0.0</v>
      </c>
      <c r="O705" s="122">
        <f t="shared" si="1158"/>
        <v>0.0</v>
      </c>
      <c r="P705" s="122">
        <f t="shared" si="1158"/>
        <v>0.0</v>
      </c>
      <c r="Q705" s="122">
        <f t="shared" si="1158"/>
        <v>0.0</v>
      </c>
      <c r="R705" s="122">
        <f t="shared" si="1158"/>
        <v>0.0</v>
      </c>
      <c r="S705" s="122">
        <f t="shared" si="1158"/>
        <v>0.0</v>
      </c>
      <c r="T705" s="122">
        <f t="shared" si="1158"/>
        <v>0.0</v>
      </c>
      <c r="U705" s="122">
        <f t="shared" si="1158"/>
        <v>0.0</v>
      </c>
      <c r="V705" s="122">
        <f t="shared" si="1158"/>
        <v>0.0</v>
      </c>
      <c r="W705" s="201" t="str">
        <f>IF(X$5=K$5,SUM(Y705:AI705)-SUM(L705:V705),"")</f>
        <v/>
      </c>
      <c r="X705" s="9" t="str">
        <f>LOWER(CtryCode)&amp;".distn."&amp;$A705&amp;IF($B705="","","."&amp;$B705)&amp;IF($C705="","",".dec."&amp;$C705)&amp;"."&amp;X$5</f>
        <v>egy.distn.dpsp.atp.2</v>
      </c>
      <c r="Y705" s="121">
        <f>Y639*IF(LEFT(Y$38,3)="Yes",IFERROR(INDEX(DPTVal,MATCH($E705,DPTKey,0)),1),1)</f>
        <v>0.007533819297724958</v>
      </c>
      <c r="Z705" s="122">
        <f t="shared" ref="Z705:AI705" si="1159">Y705</f>
        <v>0.007533819297724958</v>
      </c>
      <c r="AA705" s="122">
        <f t="shared" si="1159"/>
        <v>0.007533819297724958</v>
      </c>
      <c r="AB705" s="122">
        <f t="shared" si="1159"/>
        <v>0.007533819297724958</v>
      </c>
      <c r="AC705" s="122">
        <f t="shared" si="1159"/>
        <v>0.007533819297724958</v>
      </c>
      <c r="AD705" s="122">
        <f t="shared" si="1159"/>
        <v>0.007533819297724958</v>
      </c>
      <c r="AE705" s="122">
        <f t="shared" si="1159"/>
        <v>0.007533819297724958</v>
      </c>
      <c r="AF705" s="122">
        <f t="shared" si="1159"/>
        <v>0.007533819297724958</v>
      </c>
      <c r="AG705" s="122">
        <f t="shared" si="1159"/>
        <v>0.007533819297724958</v>
      </c>
      <c r="AH705" s="122">
        <f t="shared" si="1159"/>
        <v>0.007533819297724958</v>
      </c>
      <c r="AI705" s="122">
        <f t="shared" si="1159"/>
        <v>0.007533819297724958</v>
      </c>
    </row>
    <row r="706" hidden="1" outlineLevel="1">
      <c r="A706" s="44" t="inlineStr">
        <is>
          <t>dpsp</t>
        </is>
      </c>
      <c r="B706" s="3" t="inlineStr">
        <is>
          <t>b_t</t>
        </is>
      </c>
      <c r="C706" s="3" t="inlineStr"/>
      <c r="D706" s="3" t="n">
        <v>3</v>
      </c>
      <c r="E706" s="3" t="inlineStr">
        <is>
          <t>foo</t>
        </is>
      </c>
      <c r="H706" s="3" t="inlineStr">
        <is>
          <t>Beverages &amp; Tobacco: price change, output price</t>
        </is>
      </c>
      <c r="I706" s="3" t="inlineStr">
        <is>
          <t>fraction</t>
        </is>
      </c>
      <c r="J706" s="118" t="inlineStr">
        <is>
          <t>legacy rows 659-661 (fix D26)</t>
        </is>
      </c>
      <c r="K706" s="9" t="str">
        <f>LOWER(CtryCode)&amp;".distn."&amp;$A706&amp;IF($B706="","","."&amp;$B706)&amp;IF($C706="","",".dec."&amp;$C706)&amp;"."&amp;K$5</f>
        <v>egy.distn.dpsp.b_t.1</v>
      </c>
      <c r="L706" s="121">
        <f>L640*IF(LEFT(L$38,3)="Yes",IFERROR(INDEX(DPTVal,MATCH($E706,DPTKey,0)),1),1)</f>
        <v>0.0</v>
      </c>
      <c r="M706" s="122">
        <f t="shared" ref="M706:V706" si="1160">L706</f>
        <v>0.0</v>
      </c>
      <c r="N706" s="122">
        <f t="shared" si="1160"/>
        <v>0.0</v>
      </c>
      <c r="O706" s="122">
        <f t="shared" si="1160"/>
        <v>0.0</v>
      </c>
      <c r="P706" s="122">
        <f t="shared" si="1160"/>
        <v>0.0</v>
      </c>
      <c r="Q706" s="122">
        <f t="shared" si="1160"/>
        <v>0.0</v>
      </c>
      <c r="R706" s="122">
        <f t="shared" si="1160"/>
        <v>0.0</v>
      </c>
      <c r="S706" s="122">
        <f t="shared" si="1160"/>
        <v>0.0</v>
      </c>
      <c r="T706" s="122">
        <f t="shared" si="1160"/>
        <v>0.0</v>
      </c>
      <c r="U706" s="122">
        <f t="shared" si="1160"/>
        <v>0.0</v>
      </c>
      <c r="V706" s="122">
        <f t="shared" si="1160"/>
        <v>0.0</v>
      </c>
      <c r="W706" s="201" t="str">
        <f>IF(X$5=K$5,SUM(Y706:AI706)-SUM(L706:V706),"")</f>
        <v/>
      </c>
      <c r="X706" s="9" t="str">
        <f>LOWER(CtryCode)&amp;".distn."&amp;$A706&amp;IF($B706="","","."&amp;$B706)&amp;IF($C706="","",".dec."&amp;$C706)&amp;"."&amp;X$5</f>
        <v>egy.distn.dpsp.b_t.2</v>
      </c>
      <c r="Y706" s="121">
        <f>Y640*IF(LEFT(Y$38,3)="Yes",IFERROR(INDEX(DPTVal,MATCH($E706,DPTKey,0)),1),1)</f>
        <v>0.0006453934082410002</v>
      </c>
      <c r="Z706" s="122">
        <f t="shared" ref="Z706:AI706" si="1161">Y706</f>
        <v>0.0006453934082410002</v>
      </c>
      <c r="AA706" s="122">
        <f t="shared" si="1161"/>
        <v>0.0006453934082410002</v>
      </c>
      <c r="AB706" s="122">
        <f t="shared" si="1161"/>
        <v>0.0006453934082410002</v>
      </c>
      <c r="AC706" s="122">
        <f t="shared" si="1161"/>
        <v>0.0006453934082410002</v>
      </c>
      <c r="AD706" s="122">
        <f t="shared" si="1161"/>
        <v>0.0006453934082410002</v>
      </c>
      <c r="AE706" s="122">
        <f t="shared" si="1161"/>
        <v>0.0006453934082410002</v>
      </c>
      <c r="AF706" s="122">
        <f t="shared" si="1161"/>
        <v>0.0006453934082410002</v>
      </c>
      <c r="AG706" s="122">
        <f t="shared" si="1161"/>
        <v>0.0006453934082410002</v>
      </c>
      <c r="AH706" s="122">
        <f t="shared" si="1161"/>
        <v>0.0006453934082410002</v>
      </c>
      <c r="AI706" s="122">
        <f t="shared" si="1161"/>
        <v>0.0006453934082410002</v>
      </c>
    </row>
    <row r="707" hidden="1" outlineLevel="1">
      <c r="A707" s="44" t="inlineStr">
        <is>
          <t>dpsp</t>
        </is>
      </c>
      <c r="B707" s="3" t="inlineStr">
        <is>
          <t>bph</t>
        </is>
      </c>
      <c r="C707" s="3" t="inlineStr"/>
      <c r="D707" s="3" t="n">
        <v>4</v>
      </c>
      <c r="E707" s="3" t="inlineStr">
        <is>
          <t>mch</t>
        </is>
      </c>
      <c r="H707" s="3" t="inlineStr">
        <is>
          <t>Pharmaceuticals: price change, output price</t>
        </is>
      </c>
      <c r="I707" s="3" t="inlineStr">
        <is>
          <t>fraction</t>
        </is>
      </c>
      <c r="J707" s="118" t="inlineStr">
        <is>
          <t>legacy rows 659-661 (fix D26)</t>
        </is>
      </c>
      <c r="K707" s="9" t="str">
        <f>LOWER(CtryCode)&amp;".distn."&amp;$A707&amp;IF($B707="","","."&amp;$B707)&amp;IF($C707="","",".dec."&amp;$C707)&amp;"."&amp;K$5</f>
        <v>egy.distn.dpsp.bph.1</v>
      </c>
      <c r="L707" s="121">
        <f>L641*IF(LEFT(L$38,3)="Yes",IFERROR(INDEX(DPTVal,MATCH($E707,DPTKey,0)),1),1)</f>
        <v>0.0</v>
      </c>
      <c r="M707" s="122">
        <f t="shared" ref="M707:V707" si="1162">L707</f>
        <v>0.0</v>
      </c>
      <c r="N707" s="122">
        <f t="shared" si="1162"/>
        <v>0.0</v>
      </c>
      <c r="O707" s="122">
        <f t="shared" si="1162"/>
        <v>0.0</v>
      </c>
      <c r="P707" s="122">
        <f t="shared" si="1162"/>
        <v>0.0</v>
      </c>
      <c r="Q707" s="122">
        <f t="shared" si="1162"/>
        <v>0.0</v>
      </c>
      <c r="R707" s="122">
        <f t="shared" si="1162"/>
        <v>0.0</v>
      </c>
      <c r="S707" s="122">
        <f t="shared" si="1162"/>
        <v>0.0</v>
      </c>
      <c r="T707" s="122">
        <f t="shared" si="1162"/>
        <v>0.0</v>
      </c>
      <c r="U707" s="122">
        <f t="shared" si="1162"/>
        <v>0.0</v>
      </c>
      <c r="V707" s="122">
        <f t="shared" si="1162"/>
        <v>0.0</v>
      </c>
      <c r="W707" s="201" t="str">
        <f>IF(X$5=K$5,SUM(Y707:AI707)-SUM(L707:V707),"")</f>
        <v/>
      </c>
      <c r="X707" s="9" t="str">
        <f>LOWER(CtryCode)&amp;".distn."&amp;$A707&amp;IF($B707="","","."&amp;$B707)&amp;IF($C707="","",".dec."&amp;$C707)&amp;"."&amp;X$5</f>
        <v>egy.distn.dpsp.bph.2</v>
      </c>
      <c r="Y707" s="121">
        <f>Y641*IF(LEFT(Y$38,3)="Yes",IFERROR(INDEX(DPTVal,MATCH($E707,DPTKey,0)),1),1)</f>
        <v>0.002203938616931878</v>
      </c>
      <c r="Z707" s="122">
        <f t="shared" ref="Z707:AI707" si="1163">Y707</f>
        <v>0.002203938616931878</v>
      </c>
      <c r="AA707" s="122">
        <f t="shared" si="1163"/>
        <v>0.002203938616931878</v>
      </c>
      <c r="AB707" s="122">
        <f t="shared" si="1163"/>
        <v>0.002203938616931878</v>
      </c>
      <c r="AC707" s="122">
        <f t="shared" si="1163"/>
        <v>0.002203938616931878</v>
      </c>
      <c r="AD707" s="122">
        <f t="shared" si="1163"/>
        <v>0.002203938616931878</v>
      </c>
      <c r="AE707" s="122">
        <f t="shared" si="1163"/>
        <v>0.002203938616931878</v>
      </c>
      <c r="AF707" s="122">
        <f t="shared" si="1163"/>
        <v>0.002203938616931878</v>
      </c>
      <c r="AG707" s="122">
        <f t="shared" si="1163"/>
        <v>0.002203938616931878</v>
      </c>
      <c r="AH707" s="122">
        <f t="shared" si="1163"/>
        <v>0.002203938616931878</v>
      </c>
      <c r="AI707" s="122">
        <f t="shared" si="1163"/>
        <v>0.002203938616931878</v>
      </c>
    </row>
    <row r="708" hidden="1" outlineLevel="1">
      <c r="A708" s="44" t="inlineStr">
        <is>
          <t>dpsp</t>
        </is>
      </c>
      <c r="B708" s="3" t="inlineStr">
        <is>
          <t>c_b</t>
        </is>
      </c>
      <c r="C708" s="3" t="inlineStr"/>
      <c r="D708" s="3" t="n">
        <v>5</v>
      </c>
      <c r="E708" s="3" t="inlineStr">
        <is>
          <t>foo</t>
        </is>
      </c>
      <c r="H708" s="3" t="inlineStr">
        <is>
          <t>Cane &amp; Beet: price change, output price</t>
        </is>
      </c>
      <c r="I708" s="3" t="inlineStr">
        <is>
          <t>fraction</t>
        </is>
      </c>
      <c r="J708" s="118" t="inlineStr">
        <is>
          <t>legacy rows 659-661 (fix D26)</t>
        </is>
      </c>
      <c r="K708" s="9" t="str">
        <f>LOWER(CtryCode)&amp;".distn."&amp;$A708&amp;IF($B708="","","."&amp;$B708)&amp;IF($C708="","",".dec."&amp;$C708)&amp;"."&amp;K$5</f>
        <v>egy.distn.dpsp.c_b.1</v>
      </c>
      <c r="L708" s="121">
        <f>L642*IF(LEFT(L$38,3)="Yes",IFERROR(INDEX(DPTVal,MATCH($E708,DPTKey,0)),1),1)</f>
        <v>0.0</v>
      </c>
      <c r="M708" s="122">
        <f t="shared" ref="M708:V708" si="1164">L708</f>
        <v>0.0</v>
      </c>
      <c r="N708" s="122">
        <f t="shared" si="1164"/>
        <v>0.0</v>
      </c>
      <c r="O708" s="122">
        <f t="shared" si="1164"/>
        <v>0.0</v>
      </c>
      <c r="P708" s="122">
        <f t="shared" si="1164"/>
        <v>0.0</v>
      </c>
      <c r="Q708" s="122">
        <f t="shared" si="1164"/>
        <v>0.0</v>
      </c>
      <c r="R708" s="122">
        <f t="shared" si="1164"/>
        <v>0.0</v>
      </c>
      <c r="S708" s="122">
        <f t="shared" si="1164"/>
        <v>0.0</v>
      </c>
      <c r="T708" s="122">
        <f t="shared" si="1164"/>
        <v>0.0</v>
      </c>
      <c r="U708" s="122">
        <f t="shared" si="1164"/>
        <v>0.0</v>
      </c>
      <c r="V708" s="122">
        <f t="shared" si="1164"/>
        <v>0.0</v>
      </c>
      <c r="W708" s="201" t="str">
        <f>IF(X$5=K$5,SUM(Y708:AI708)-SUM(L708:V708),"")</f>
        <v/>
      </c>
      <c r="X708" s="9" t="str">
        <f>LOWER(CtryCode)&amp;".distn."&amp;$A708&amp;IF($B708="","","."&amp;$B708)&amp;IF($C708="","",".dec."&amp;$C708)&amp;"."&amp;X$5</f>
        <v>egy.distn.dpsp.c_b.2</v>
      </c>
      <c r="Y708" s="121">
        <f>Y642*IF(LEFT(Y$38,3)="Yes",IFERROR(INDEX(DPTVal,MATCH($E708,DPTKey,0)),1),1)</f>
        <v>0.0013551359995556478</v>
      </c>
      <c r="Z708" s="122">
        <f t="shared" ref="Z708:AI708" si="1165">Y708</f>
        <v>0.0013551359995556478</v>
      </c>
      <c r="AA708" s="122">
        <f t="shared" si="1165"/>
        <v>0.0013551359995556478</v>
      </c>
      <c r="AB708" s="122">
        <f t="shared" si="1165"/>
        <v>0.0013551359995556478</v>
      </c>
      <c r="AC708" s="122">
        <f t="shared" si="1165"/>
        <v>0.0013551359995556478</v>
      </c>
      <c r="AD708" s="122">
        <f t="shared" si="1165"/>
        <v>0.0013551359995556478</v>
      </c>
      <c r="AE708" s="122">
        <f t="shared" si="1165"/>
        <v>0.0013551359995556478</v>
      </c>
      <c r="AF708" s="122">
        <f t="shared" si="1165"/>
        <v>0.0013551359995556478</v>
      </c>
      <c r="AG708" s="122">
        <f t="shared" si="1165"/>
        <v>0.0013551359995556478</v>
      </c>
      <c r="AH708" s="122">
        <f t="shared" si="1165"/>
        <v>0.0013551359995556478</v>
      </c>
      <c r="AI708" s="122">
        <f t="shared" si="1165"/>
        <v>0.0013551359995556478</v>
      </c>
    </row>
    <row r="709" hidden="1" outlineLevel="1">
      <c r="A709" s="44" t="inlineStr">
        <is>
          <t>dpsp</t>
        </is>
      </c>
      <c r="B709" s="3" t="inlineStr">
        <is>
          <t>chm</t>
        </is>
      </c>
      <c r="C709" s="3" t="inlineStr"/>
      <c r="D709" s="3" t="n">
        <v>6</v>
      </c>
      <c r="E709" s="3" t="inlineStr">
        <is>
          <t>mch</t>
        </is>
      </c>
      <c r="H709" s="3" t="inlineStr">
        <is>
          <t>Chemicals: price change, output price</t>
        </is>
      </c>
      <c r="I709" s="3" t="inlineStr">
        <is>
          <t>fraction</t>
        </is>
      </c>
      <c r="J709" s="118" t="inlineStr">
        <is>
          <t>legacy rows 659-661 (fix D26)</t>
        </is>
      </c>
      <c r="K709" s="9" t="str">
        <f>LOWER(CtryCode)&amp;".distn."&amp;$A709&amp;IF($B709="","","."&amp;$B709)&amp;IF($C709="","",".dec."&amp;$C709)&amp;"."&amp;K$5</f>
        <v>egy.distn.dpsp.chm.1</v>
      </c>
      <c r="L709" s="121">
        <f>L643*IF(LEFT(L$38,3)="Yes",IFERROR(INDEX(DPTVal,MATCH($E709,DPTKey,0)),1),1)</f>
        <v>0.0</v>
      </c>
      <c r="M709" s="122">
        <f t="shared" ref="M709:V709" si="1166">L709</f>
        <v>0.0</v>
      </c>
      <c r="N709" s="122">
        <f t="shared" si="1166"/>
        <v>0.0</v>
      </c>
      <c r="O709" s="122">
        <f t="shared" si="1166"/>
        <v>0.0</v>
      </c>
      <c r="P709" s="122">
        <f t="shared" si="1166"/>
        <v>0.0</v>
      </c>
      <c r="Q709" s="122">
        <f t="shared" si="1166"/>
        <v>0.0</v>
      </c>
      <c r="R709" s="122">
        <f t="shared" si="1166"/>
        <v>0.0</v>
      </c>
      <c r="S709" s="122">
        <f t="shared" si="1166"/>
        <v>0.0</v>
      </c>
      <c r="T709" s="122">
        <f t="shared" si="1166"/>
        <v>0.0</v>
      </c>
      <c r="U709" s="122">
        <f t="shared" si="1166"/>
        <v>0.0</v>
      </c>
      <c r="V709" s="122">
        <f t="shared" si="1166"/>
        <v>0.0</v>
      </c>
      <c r="W709" s="201" t="str">
        <f>IF(X$5=K$5,SUM(Y709:AI709)-SUM(L709:V709),"")</f>
        <v/>
      </c>
      <c r="X709" s="9" t="str">
        <f>LOWER(CtryCode)&amp;".distn."&amp;$A709&amp;IF($B709="","","."&amp;$B709)&amp;IF($C709="","",".dec."&amp;$C709)&amp;"."&amp;X$5</f>
        <v>egy.distn.dpsp.chm.2</v>
      </c>
      <c r="Y709" s="121">
        <f>Y643*IF(LEFT(Y$38,3)="Yes",IFERROR(INDEX(DPTVal,MATCH($E709,DPTKey,0)),1),1)</f>
        <v>0.006928790105011151</v>
      </c>
      <c r="Z709" s="122">
        <f t="shared" ref="Z709:AI709" si="1167">Y709</f>
        <v>0.006928790105011151</v>
      </c>
      <c r="AA709" s="122">
        <f t="shared" si="1167"/>
        <v>0.006928790105011151</v>
      </c>
      <c r="AB709" s="122">
        <f t="shared" si="1167"/>
        <v>0.006928790105011151</v>
      </c>
      <c r="AC709" s="122">
        <f t="shared" si="1167"/>
        <v>0.006928790105011151</v>
      </c>
      <c r="AD709" s="122">
        <f t="shared" si="1167"/>
        <v>0.006928790105011151</v>
      </c>
      <c r="AE709" s="122">
        <f t="shared" si="1167"/>
        <v>0.006928790105011151</v>
      </c>
      <c r="AF709" s="122">
        <f t="shared" si="1167"/>
        <v>0.006928790105011151</v>
      </c>
      <c r="AG709" s="122">
        <f t="shared" si="1167"/>
        <v>0.006928790105011151</v>
      </c>
      <c r="AH709" s="122">
        <f t="shared" si="1167"/>
        <v>0.006928790105011151</v>
      </c>
      <c r="AI709" s="122">
        <f t="shared" si="1167"/>
        <v>0.006928790105011151</v>
      </c>
    </row>
    <row r="710" hidden="1" outlineLevel="1">
      <c r="A710" s="44" t="inlineStr">
        <is>
          <t>dpsp</t>
        </is>
      </c>
      <c r="B710" s="3" t="inlineStr">
        <is>
          <t>cmn</t>
        </is>
      </c>
      <c r="C710" s="3" t="inlineStr"/>
      <c r="D710" s="3" t="n">
        <v>7</v>
      </c>
      <c r="E710" s="3" t="inlineStr">
        <is>
          <t>srv</t>
        </is>
      </c>
      <c r="H710" s="3" t="inlineStr">
        <is>
          <t>Telecomms: price change, output price</t>
        </is>
      </c>
      <c r="I710" s="3" t="inlineStr">
        <is>
          <t>fraction</t>
        </is>
      </c>
      <c r="J710" s="118" t="inlineStr">
        <is>
          <t>legacy rows 659-661 (fix D26)</t>
        </is>
      </c>
      <c r="K710" s="9" t="str">
        <f>LOWER(CtryCode)&amp;".distn."&amp;$A710&amp;IF($B710="","","."&amp;$B710)&amp;IF($C710="","",".dec."&amp;$C710)&amp;"."&amp;K$5</f>
        <v>egy.distn.dpsp.cmn.1</v>
      </c>
      <c r="L710" s="121">
        <f>L644*IF(LEFT(L$38,3)="Yes",IFERROR(INDEX(DPTVal,MATCH($E710,DPTKey,0)),1),1)</f>
        <v>0.0</v>
      </c>
      <c r="M710" s="122">
        <f t="shared" ref="M710:V710" si="1168">L710</f>
        <v>0.0</v>
      </c>
      <c r="N710" s="122">
        <f t="shared" si="1168"/>
        <v>0.0</v>
      </c>
      <c r="O710" s="122">
        <f t="shared" si="1168"/>
        <v>0.0</v>
      </c>
      <c r="P710" s="122">
        <f t="shared" si="1168"/>
        <v>0.0</v>
      </c>
      <c r="Q710" s="122">
        <f t="shared" si="1168"/>
        <v>0.0</v>
      </c>
      <c r="R710" s="122">
        <f t="shared" si="1168"/>
        <v>0.0</v>
      </c>
      <c r="S710" s="122">
        <f t="shared" si="1168"/>
        <v>0.0</v>
      </c>
      <c r="T710" s="122">
        <f t="shared" si="1168"/>
        <v>0.0</v>
      </c>
      <c r="U710" s="122">
        <f t="shared" si="1168"/>
        <v>0.0</v>
      </c>
      <c r="V710" s="122">
        <f t="shared" si="1168"/>
        <v>0.0</v>
      </c>
      <c r="W710" s="201" t="str">
        <f>IF(X$5=K$5,SUM(Y710:AI710)-SUM(L710:V710),"")</f>
        <v/>
      </c>
      <c r="X710" s="9" t="str">
        <f>LOWER(CtryCode)&amp;".distn."&amp;$A710&amp;IF($B710="","","."&amp;$B710)&amp;IF($C710="","",".dec."&amp;$C710)&amp;"."&amp;X$5</f>
        <v>egy.distn.dpsp.cmn.2</v>
      </c>
      <c r="Y710" s="121">
        <f>Y644*IF(LEFT(Y$38,3)="Yes",IFERROR(INDEX(DPTVal,MATCH($E710,DPTKey,0)),1),1)</f>
        <v>0.0004259004335551858</v>
      </c>
      <c r="Z710" s="122">
        <f t="shared" ref="Z710:AI710" si="1169">Y710</f>
        <v>0.0004259004335551858</v>
      </c>
      <c r="AA710" s="122">
        <f t="shared" si="1169"/>
        <v>0.0004259004335551858</v>
      </c>
      <c r="AB710" s="122">
        <f t="shared" si="1169"/>
        <v>0.0004259004335551858</v>
      </c>
      <c r="AC710" s="122">
        <f t="shared" si="1169"/>
        <v>0.0004259004335551858</v>
      </c>
      <c r="AD710" s="122">
        <f t="shared" si="1169"/>
        <v>0.0004259004335551858</v>
      </c>
      <c r="AE710" s="122">
        <f t="shared" si="1169"/>
        <v>0.0004259004335551858</v>
      </c>
      <c r="AF710" s="122">
        <f t="shared" si="1169"/>
        <v>0.0004259004335551858</v>
      </c>
      <c r="AG710" s="122">
        <f t="shared" si="1169"/>
        <v>0.0004259004335551858</v>
      </c>
      <c r="AH710" s="122">
        <f t="shared" si="1169"/>
        <v>0.0004259004335551858</v>
      </c>
      <c r="AI710" s="122">
        <f t="shared" si="1169"/>
        <v>0.0004259004335551858</v>
      </c>
    </row>
    <row r="711" hidden="1" outlineLevel="1">
      <c r="A711" s="44" t="inlineStr">
        <is>
          <t>dpsp</t>
        </is>
      </c>
      <c r="B711" s="3" t="inlineStr">
        <is>
          <t>cmt</t>
        </is>
      </c>
      <c r="C711" s="3" t="inlineStr"/>
      <c r="D711" s="3" t="n">
        <v>8</v>
      </c>
      <c r="E711" s="3" t="inlineStr">
        <is>
          <t>foo</t>
        </is>
      </c>
      <c r="H711" s="3" t="inlineStr">
        <is>
          <t>Cattle Meat: price change, output price</t>
        </is>
      </c>
      <c r="I711" s="3" t="inlineStr">
        <is>
          <t>fraction</t>
        </is>
      </c>
      <c r="J711" s="118" t="inlineStr">
        <is>
          <t>legacy rows 659-661 (fix D26)</t>
        </is>
      </c>
      <c r="K711" s="9" t="str">
        <f>LOWER(CtryCode)&amp;".distn."&amp;$A711&amp;IF($B711="","","."&amp;$B711)&amp;IF($C711="","",".dec."&amp;$C711)&amp;"."&amp;K$5</f>
        <v>egy.distn.dpsp.cmt.1</v>
      </c>
      <c r="L711" s="121">
        <f>L645*IF(LEFT(L$38,3)="Yes",IFERROR(INDEX(DPTVal,MATCH($E711,DPTKey,0)),1),1)</f>
        <v>0.0</v>
      </c>
      <c r="M711" s="122">
        <f t="shared" ref="M711:V711" si="1170">L711</f>
        <v>0.0</v>
      </c>
      <c r="N711" s="122">
        <f t="shared" si="1170"/>
        <v>0.0</v>
      </c>
      <c r="O711" s="122">
        <f t="shared" si="1170"/>
        <v>0.0</v>
      </c>
      <c r="P711" s="122">
        <f t="shared" si="1170"/>
        <v>0.0</v>
      </c>
      <c r="Q711" s="122">
        <f t="shared" si="1170"/>
        <v>0.0</v>
      </c>
      <c r="R711" s="122">
        <f t="shared" si="1170"/>
        <v>0.0</v>
      </c>
      <c r="S711" s="122">
        <f t="shared" si="1170"/>
        <v>0.0</v>
      </c>
      <c r="T711" s="122">
        <f t="shared" si="1170"/>
        <v>0.0</v>
      </c>
      <c r="U711" s="122">
        <f t="shared" si="1170"/>
        <v>0.0</v>
      </c>
      <c r="V711" s="122">
        <f t="shared" si="1170"/>
        <v>0.0</v>
      </c>
      <c r="W711" s="201" t="str">
        <f>IF(X$5=K$5,SUM(Y711:AI711)-SUM(L711:V711),"")</f>
        <v/>
      </c>
      <c r="X711" s="9" t="str">
        <f>LOWER(CtryCode)&amp;".distn."&amp;$A711&amp;IF($B711="","","."&amp;$B711)&amp;IF($C711="","",".dec."&amp;$C711)&amp;"."&amp;X$5</f>
        <v>egy.distn.dpsp.cmt.2</v>
      </c>
      <c r="Y711" s="121">
        <f>Y645*IF(LEFT(Y$38,3)="Yes",IFERROR(INDEX(DPTVal,MATCH($E711,DPTKey,0)),1),1)</f>
        <v>0.00035142238252946795</v>
      </c>
      <c r="Z711" s="122">
        <f t="shared" ref="Z711:AI711" si="1171">Y711</f>
        <v>0.00035142238252946795</v>
      </c>
      <c r="AA711" s="122">
        <f t="shared" si="1171"/>
        <v>0.00035142238252946795</v>
      </c>
      <c r="AB711" s="122">
        <f t="shared" si="1171"/>
        <v>0.00035142238252946795</v>
      </c>
      <c r="AC711" s="122">
        <f t="shared" si="1171"/>
        <v>0.00035142238252946795</v>
      </c>
      <c r="AD711" s="122">
        <f t="shared" si="1171"/>
        <v>0.00035142238252946795</v>
      </c>
      <c r="AE711" s="122">
        <f t="shared" si="1171"/>
        <v>0.00035142238252946795</v>
      </c>
      <c r="AF711" s="122">
        <f t="shared" si="1171"/>
        <v>0.00035142238252946795</v>
      </c>
      <c r="AG711" s="122">
        <f t="shared" si="1171"/>
        <v>0.00035142238252946795</v>
      </c>
      <c r="AH711" s="122">
        <f t="shared" si="1171"/>
        <v>0.00035142238252946795</v>
      </c>
      <c r="AI711" s="122">
        <f t="shared" si="1171"/>
        <v>0.00035142238252946795</v>
      </c>
    </row>
    <row r="712" hidden="1" outlineLevel="1">
      <c r="A712" s="44" t="inlineStr">
        <is>
          <t>dpsp</t>
        </is>
      </c>
      <c r="B712" s="3" t="inlineStr">
        <is>
          <t>cns</t>
        </is>
      </c>
      <c r="C712" s="3" t="inlineStr"/>
      <c r="D712" s="3" t="n">
        <v>9</v>
      </c>
      <c r="E712" s="3" t="inlineStr">
        <is>
          <t>cst</t>
        </is>
      </c>
      <c r="H712" s="3" t="inlineStr">
        <is>
          <t>Construction: price change, output price</t>
        </is>
      </c>
      <c r="I712" s="3" t="inlineStr">
        <is>
          <t>fraction</t>
        </is>
      </c>
      <c r="J712" s="118" t="inlineStr">
        <is>
          <t>legacy rows 659-661 (fix D26)</t>
        </is>
      </c>
      <c r="K712" s="9" t="str">
        <f>LOWER(CtryCode)&amp;".distn."&amp;$A712&amp;IF($B712="","","."&amp;$B712)&amp;IF($C712="","",".dec."&amp;$C712)&amp;"."&amp;K$5</f>
        <v>egy.distn.dpsp.cns.1</v>
      </c>
      <c r="L712" s="121">
        <f>L646*IF(LEFT(L$38,3)="Yes",IFERROR(INDEX(DPTVal,MATCH($E712,DPTKey,0)),1),1)</f>
        <v>0.0</v>
      </c>
      <c r="M712" s="122">
        <f t="shared" ref="M712:V712" si="1172">L712</f>
        <v>0.0</v>
      </c>
      <c r="N712" s="122">
        <f t="shared" si="1172"/>
        <v>0.0</v>
      </c>
      <c r="O712" s="122">
        <f t="shared" si="1172"/>
        <v>0.0</v>
      </c>
      <c r="P712" s="122">
        <f t="shared" si="1172"/>
        <v>0.0</v>
      </c>
      <c r="Q712" s="122">
        <f t="shared" si="1172"/>
        <v>0.0</v>
      </c>
      <c r="R712" s="122">
        <f t="shared" si="1172"/>
        <v>0.0</v>
      </c>
      <c r="S712" s="122">
        <f t="shared" si="1172"/>
        <v>0.0</v>
      </c>
      <c r="T712" s="122">
        <f t="shared" si="1172"/>
        <v>0.0</v>
      </c>
      <c r="U712" s="122">
        <f t="shared" si="1172"/>
        <v>0.0</v>
      </c>
      <c r="V712" s="122">
        <f t="shared" si="1172"/>
        <v>0.0</v>
      </c>
      <c r="W712" s="201" t="str">
        <f>IF(X$5=K$5,SUM(Y712:AI712)-SUM(L712:V712),"")</f>
        <v/>
      </c>
      <c r="X712" s="9" t="str">
        <f>LOWER(CtryCode)&amp;".distn."&amp;$A712&amp;IF($B712="","","."&amp;$B712)&amp;IF($C712="","",".dec."&amp;$C712)&amp;"."&amp;X$5</f>
        <v>egy.distn.dpsp.cns.2</v>
      </c>
      <c r="Y712" s="121">
        <f>Y646*IF(LEFT(Y$38,3)="Yes",IFERROR(INDEX(DPTVal,MATCH($E712,DPTKey,0)),1),1)</f>
        <v>0.0019632445992351076</v>
      </c>
      <c r="Z712" s="122">
        <f t="shared" ref="Z712:AI712" si="1173">Y712</f>
        <v>0.0019632445992351076</v>
      </c>
      <c r="AA712" s="122">
        <f t="shared" si="1173"/>
        <v>0.0019632445992351076</v>
      </c>
      <c r="AB712" s="122">
        <f t="shared" si="1173"/>
        <v>0.0019632445992351076</v>
      </c>
      <c r="AC712" s="122">
        <f t="shared" si="1173"/>
        <v>0.0019632445992351076</v>
      </c>
      <c r="AD712" s="122">
        <f t="shared" si="1173"/>
        <v>0.0019632445992351076</v>
      </c>
      <c r="AE712" s="122">
        <f t="shared" si="1173"/>
        <v>0.0019632445992351076</v>
      </c>
      <c r="AF712" s="122">
        <f t="shared" si="1173"/>
        <v>0.0019632445992351076</v>
      </c>
      <c r="AG712" s="122">
        <f t="shared" si="1173"/>
        <v>0.0019632445992351076</v>
      </c>
      <c r="AH712" s="122">
        <f t="shared" si="1173"/>
        <v>0.0019632445992351076</v>
      </c>
      <c r="AI712" s="122">
        <f t="shared" si="1173"/>
        <v>0.0019632445992351076</v>
      </c>
    </row>
    <row r="713" hidden="1" outlineLevel="1">
      <c r="A713" s="44" t="inlineStr">
        <is>
          <t>dpsp</t>
        </is>
      </c>
      <c r="B713" s="3" t="inlineStr">
        <is>
          <t>coa</t>
        </is>
      </c>
      <c r="C713" s="3" t="inlineStr"/>
      <c r="D713" s="3" t="n">
        <v>10</v>
      </c>
      <c r="E713" s="3" t="inlineStr">
        <is>
          <t>foo</t>
        </is>
      </c>
      <c r="H713" s="3" t="inlineStr">
        <is>
          <t>Coal: price change, output price</t>
        </is>
      </c>
      <c r="I713" s="3" t="inlineStr">
        <is>
          <t>fraction</t>
        </is>
      </c>
      <c r="J713" s="118" t="inlineStr">
        <is>
          <t>legacy rows 659-661 (fix D26)</t>
        </is>
      </c>
      <c r="K713" s="9" t="str">
        <f>LOWER(CtryCode)&amp;".distn."&amp;$A713&amp;IF($B713="","","."&amp;$B713)&amp;IF($C713="","",".dec."&amp;$C713)&amp;"."&amp;K$5</f>
        <v>egy.distn.dpsp.coa.1</v>
      </c>
      <c r="L713" s="121">
        <f>L647*IF(LEFT(L$38,3)="Yes",IFERROR(INDEX(DPTVal,MATCH($E713,DPTKey,0)),1),1)</f>
        <v>0.0</v>
      </c>
      <c r="M713" s="122">
        <f t="shared" ref="M713:V713" si="1174">L713</f>
        <v>0.0</v>
      </c>
      <c r="N713" s="122">
        <f t="shared" si="1174"/>
        <v>0.0</v>
      </c>
      <c r="O713" s="122">
        <f t="shared" si="1174"/>
        <v>0.0</v>
      </c>
      <c r="P713" s="122">
        <f t="shared" si="1174"/>
        <v>0.0</v>
      </c>
      <c r="Q713" s="122">
        <f t="shared" si="1174"/>
        <v>0.0</v>
      </c>
      <c r="R713" s="122">
        <f t="shared" si="1174"/>
        <v>0.0</v>
      </c>
      <c r="S713" s="122">
        <f t="shared" si="1174"/>
        <v>0.0</v>
      </c>
      <c r="T713" s="122">
        <f t="shared" si="1174"/>
        <v>0.0</v>
      </c>
      <c r="U713" s="122">
        <f t="shared" si="1174"/>
        <v>0.0</v>
      </c>
      <c r="V713" s="122">
        <f t="shared" si="1174"/>
        <v>0.0</v>
      </c>
      <c r="W713" s="201" t="str">
        <f>IF(X$5=K$5,SUM(Y713:AI713)-SUM(L713:V713),"")</f>
        <v/>
      </c>
      <c r="X713" s="9" t="str">
        <f>LOWER(CtryCode)&amp;".distn."&amp;$A713&amp;IF($B713="","","."&amp;$B713)&amp;IF($C713="","",".dec."&amp;$C713)&amp;"."&amp;X$5</f>
        <v>egy.distn.dpsp.coa.2</v>
      </c>
      <c r="Y713" s="121">
        <f>Y647*IF(LEFT(Y$38,3)="Yes",IFERROR(INDEX(DPTVal,MATCH($E713,DPTKey,0)),1),1)</f>
        <v>0.0</v>
      </c>
      <c r="Z713" s="122">
        <f t="shared" ref="Z713:AI713" si="1175">Y713</f>
        <v>0.0</v>
      </c>
      <c r="AA713" s="122">
        <f t="shared" si="1175"/>
        <v>0.0</v>
      </c>
      <c r="AB713" s="122">
        <f t="shared" si="1175"/>
        <v>0.0</v>
      </c>
      <c r="AC713" s="122">
        <f t="shared" si="1175"/>
        <v>0.0</v>
      </c>
      <c r="AD713" s="122">
        <f t="shared" si="1175"/>
        <v>0.0</v>
      </c>
      <c r="AE713" s="122">
        <f t="shared" si="1175"/>
        <v>0.0</v>
      </c>
      <c r="AF713" s="122">
        <f t="shared" si="1175"/>
        <v>0.0</v>
      </c>
      <c r="AG713" s="122">
        <f t="shared" si="1175"/>
        <v>0.0</v>
      </c>
      <c r="AH713" s="122">
        <f t="shared" si="1175"/>
        <v>0.0</v>
      </c>
      <c r="AI713" s="122">
        <f t="shared" si="1175"/>
        <v>0.0</v>
      </c>
    </row>
    <row r="714" hidden="1" outlineLevel="1">
      <c r="A714" s="44" t="inlineStr">
        <is>
          <t>dpsp</t>
        </is>
      </c>
      <c r="B714" s="3" t="inlineStr">
        <is>
          <t>ctl</t>
        </is>
      </c>
      <c r="C714" s="3" t="inlineStr"/>
      <c r="D714" s="3" t="n">
        <v>11</v>
      </c>
      <c r="E714" s="3" t="inlineStr">
        <is>
          <t>foo</t>
        </is>
      </c>
      <c r="H714" s="3" t="inlineStr">
        <is>
          <t>Cattle: price change, output price</t>
        </is>
      </c>
      <c r="I714" s="3" t="inlineStr">
        <is>
          <t>fraction</t>
        </is>
      </c>
      <c r="J714" s="118" t="inlineStr">
        <is>
          <t>legacy rows 659-661 (fix D26)</t>
        </is>
      </c>
      <c r="K714" s="9" t="str">
        <f>LOWER(CtryCode)&amp;".distn."&amp;$A714&amp;IF($B714="","","."&amp;$B714)&amp;IF($C714="","",".dec."&amp;$C714)&amp;"."&amp;K$5</f>
        <v>egy.distn.dpsp.ctl.1</v>
      </c>
      <c r="L714" s="121">
        <f>L648*IF(LEFT(L$38,3)="Yes",IFERROR(INDEX(DPTVal,MATCH($E714,DPTKey,0)),1),1)</f>
        <v>0.0</v>
      </c>
      <c r="M714" s="122">
        <f t="shared" ref="M714:V714" si="1176">L714</f>
        <v>0.0</v>
      </c>
      <c r="N714" s="122">
        <f t="shared" si="1176"/>
        <v>0.0</v>
      </c>
      <c r="O714" s="122">
        <f t="shared" si="1176"/>
        <v>0.0</v>
      </c>
      <c r="P714" s="122">
        <f t="shared" si="1176"/>
        <v>0.0</v>
      </c>
      <c r="Q714" s="122">
        <f t="shared" si="1176"/>
        <v>0.0</v>
      </c>
      <c r="R714" s="122">
        <f t="shared" si="1176"/>
        <v>0.0</v>
      </c>
      <c r="S714" s="122">
        <f t="shared" si="1176"/>
        <v>0.0</v>
      </c>
      <c r="T714" s="122">
        <f t="shared" si="1176"/>
        <v>0.0</v>
      </c>
      <c r="U714" s="122">
        <f t="shared" si="1176"/>
        <v>0.0</v>
      </c>
      <c r="V714" s="122">
        <f t="shared" si="1176"/>
        <v>0.0</v>
      </c>
      <c r="W714" s="201" t="str">
        <f>IF(X$5=K$5,SUM(Y714:AI714)-SUM(L714:V714),"")</f>
        <v/>
      </c>
      <c r="X714" s="9" t="str">
        <f>LOWER(CtryCode)&amp;".distn."&amp;$A714&amp;IF($B714="","","."&amp;$B714)&amp;IF($C714="","",".dec."&amp;$C714)&amp;"."&amp;X$5</f>
        <v>egy.distn.dpsp.ctl.2</v>
      </c>
      <c r="Y714" s="121">
        <f>Y648*IF(LEFT(Y$38,3)="Yes",IFERROR(INDEX(DPTVal,MATCH($E714,DPTKey,0)),1),1)</f>
        <v>0.001101269961438113</v>
      </c>
      <c r="Z714" s="122">
        <f t="shared" ref="Z714:AI714" si="1177">Y714</f>
        <v>0.001101269961438113</v>
      </c>
      <c r="AA714" s="122">
        <f t="shared" si="1177"/>
        <v>0.001101269961438113</v>
      </c>
      <c r="AB714" s="122">
        <f t="shared" si="1177"/>
        <v>0.001101269961438113</v>
      </c>
      <c r="AC714" s="122">
        <f t="shared" si="1177"/>
        <v>0.001101269961438113</v>
      </c>
      <c r="AD714" s="122">
        <f t="shared" si="1177"/>
        <v>0.001101269961438113</v>
      </c>
      <c r="AE714" s="122">
        <f t="shared" si="1177"/>
        <v>0.001101269961438113</v>
      </c>
      <c r="AF714" s="122">
        <f t="shared" si="1177"/>
        <v>0.001101269961438113</v>
      </c>
      <c r="AG714" s="122">
        <f t="shared" si="1177"/>
        <v>0.001101269961438113</v>
      </c>
      <c r="AH714" s="122">
        <f t="shared" si="1177"/>
        <v>0.001101269961438113</v>
      </c>
      <c r="AI714" s="122">
        <f t="shared" si="1177"/>
        <v>0.001101269961438113</v>
      </c>
    </row>
    <row r="715" hidden="1" outlineLevel="1">
      <c r="A715" s="44" t="inlineStr">
        <is>
          <t>dpsp</t>
        </is>
      </c>
      <c r="B715" s="3" t="inlineStr">
        <is>
          <t>dwe</t>
        </is>
      </c>
      <c r="C715" s="3" t="inlineStr"/>
      <c r="D715" s="3" t="n">
        <v>12</v>
      </c>
      <c r="E715" s="3" t="inlineStr">
        <is>
          <t>srv</t>
        </is>
      </c>
      <c r="H715" s="3" t="inlineStr">
        <is>
          <t>Housing rent: price change, output price</t>
        </is>
      </c>
      <c r="I715" s="3" t="inlineStr">
        <is>
          <t>fraction</t>
        </is>
      </c>
      <c r="J715" s="118" t="inlineStr">
        <is>
          <t>legacy rows 659-661 (fix D26)</t>
        </is>
      </c>
      <c r="K715" s="9" t="str">
        <f>LOWER(CtryCode)&amp;".distn."&amp;$A715&amp;IF($B715="","","."&amp;$B715)&amp;IF($C715="","",".dec."&amp;$C715)&amp;"."&amp;K$5</f>
        <v>egy.distn.dpsp.dwe.1</v>
      </c>
      <c r="L715" s="121">
        <f>L649*IF(LEFT(L$38,3)="Yes",IFERROR(INDEX(DPTVal,MATCH($E715,DPTKey,0)),1),1)</f>
        <v>0.0</v>
      </c>
      <c r="M715" s="122">
        <f t="shared" ref="M715:V715" si="1178">L715</f>
        <v>0.0</v>
      </c>
      <c r="N715" s="122">
        <f t="shared" si="1178"/>
        <v>0.0</v>
      </c>
      <c r="O715" s="122">
        <f t="shared" si="1178"/>
        <v>0.0</v>
      </c>
      <c r="P715" s="122">
        <f t="shared" si="1178"/>
        <v>0.0</v>
      </c>
      <c r="Q715" s="122">
        <f t="shared" si="1178"/>
        <v>0.0</v>
      </c>
      <c r="R715" s="122">
        <f t="shared" si="1178"/>
        <v>0.0</v>
      </c>
      <c r="S715" s="122">
        <f t="shared" si="1178"/>
        <v>0.0</v>
      </c>
      <c r="T715" s="122">
        <f t="shared" si="1178"/>
        <v>0.0</v>
      </c>
      <c r="U715" s="122">
        <f t="shared" si="1178"/>
        <v>0.0</v>
      </c>
      <c r="V715" s="122">
        <f t="shared" si="1178"/>
        <v>0.0</v>
      </c>
      <c r="W715" s="201" t="str">
        <f>IF(X$5=K$5,SUM(Y715:AI715)-SUM(L715:V715),"")</f>
        <v/>
      </c>
      <c r="X715" s="9" t="str">
        <f>LOWER(CtryCode)&amp;".distn."&amp;$A715&amp;IF($B715="","","."&amp;$B715)&amp;IF($C715="","",".dec."&amp;$C715)&amp;"."&amp;X$5</f>
        <v>egy.distn.dpsp.dwe.2</v>
      </c>
      <c r="Y715" s="121">
        <f>Y649*IF(LEFT(Y$38,3)="Yes",IFERROR(INDEX(DPTVal,MATCH($E715,DPTKey,0)),1),1)</f>
        <v>0.00014276654346997888</v>
      </c>
      <c r="Z715" s="122">
        <f t="shared" ref="Z715:AI715" si="1179">Y715</f>
        <v>0.00014276654346997888</v>
      </c>
      <c r="AA715" s="122">
        <f t="shared" si="1179"/>
        <v>0.00014276654346997888</v>
      </c>
      <c r="AB715" s="122">
        <f t="shared" si="1179"/>
        <v>0.00014276654346997888</v>
      </c>
      <c r="AC715" s="122">
        <f t="shared" si="1179"/>
        <v>0.00014276654346997888</v>
      </c>
      <c r="AD715" s="122">
        <f t="shared" si="1179"/>
        <v>0.00014276654346997888</v>
      </c>
      <c r="AE715" s="122">
        <f t="shared" si="1179"/>
        <v>0.00014276654346997888</v>
      </c>
      <c r="AF715" s="122">
        <f t="shared" si="1179"/>
        <v>0.00014276654346997888</v>
      </c>
      <c r="AG715" s="122">
        <f t="shared" si="1179"/>
        <v>0.00014276654346997888</v>
      </c>
      <c r="AH715" s="122">
        <f t="shared" si="1179"/>
        <v>0.00014276654346997888</v>
      </c>
      <c r="AI715" s="122">
        <f t="shared" si="1179"/>
        <v>0.00014276654346997888</v>
      </c>
    </row>
    <row r="716" hidden="1" outlineLevel="1">
      <c r="A716" s="44" t="inlineStr">
        <is>
          <t>dpsp</t>
        </is>
      </c>
      <c r="B716" s="3" t="inlineStr">
        <is>
          <t>edu</t>
        </is>
      </c>
      <c r="C716" s="3" t="inlineStr"/>
      <c r="D716" s="3" t="n">
        <v>13</v>
      </c>
      <c r="E716" s="3" t="inlineStr">
        <is>
          <t>srv</t>
        </is>
      </c>
      <c r="H716" s="3" t="inlineStr">
        <is>
          <t>Education: price change, output price</t>
        </is>
      </c>
      <c r="I716" s="3" t="inlineStr">
        <is>
          <t>fraction</t>
        </is>
      </c>
      <c r="J716" s="118" t="inlineStr">
        <is>
          <t>legacy rows 659-661 (fix D26)</t>
        </is>
      </c>
      <c r="K716" s="9" t="str">
        <f>LOWER(CtryCode)&amp;".distn."&amp;$A716&amp;IF($B716="","","."&amp;$B716)&amp;IF($C716="","",".dec."&amp;$C716)&amp;"."&amp;K$5</f>
        <v>egy.distn.dpsp.edu.1</v>
      </c>
      <c r="L716" s="121">
        <f>L650*IF(LEFT(L$38,3)="Yes",IFERROR(INDEX(DPTVal,MATCH($E716,DPTKey,0)),1),1)</f>
        <v>0.0</v>
      </c>
      <c r="M716" s="122">
        <f t="shared" ref="M716:V716" si="1180">L716</f>
        <v>0.0</v>
      </c>
      <c r="N716" s="122">
        <f t="shared" si="1180"/>
        <v>0.0</v>
      </c>
      <c r="O716" s="122">
        <f t="shared" si="1180"/>
        <v>0.0</v>
      </c>
      <c r="P716" s="122">
        <f t="shared" si="1180"/>
        <v>0.0</v>
      </c>
      <c r="Q716" s="122">
        <f t="shared" si="1180"/>
        <v>0.0</v>
      </c>
      <c r="R716" s="122">
        <f t="shared" si="1180"/>
        <v>0.0</v>
      </c>
      <c r="S716" s="122">
        <f t="shared" si="1180"/>
        <v>0.0</v>
      </c>
      <c r="T716" s="122">
        <f t="shared" si="1180"/>
        <v>0.0</v>
      </c>
      <c r="U716" s="122">
        <f t="shared" si="1180"/>
        <v>0.0</v>
      </c>
      <c r="V716" s="122">
        <f t="shared" si="1180"/>
        <v>0.0</v>
      </c>
      <c r="W716" s="201" t="str">
        <f>IF(X$5=K$5,SUM(Y716:AI716)-SUM(L716:V716),"")</f>
        <v/>
      </c>
      <c r="X716" s="9" t="str">
        <f>LOWER(CtryCode)&amp;".distn."&amp;$A716&amp;IF($B716="","","."&amp;$B716)&amp;IF($C716="","",".dec."&amp;$C716)&amp;"."&amp;X$5</f>
        <v>egy.distn.dpsp.edu.2</v>
      </c>
      <c r="Y716" s="121">
        <f>Y650*IF(LEFT(Y$38,3)="Yes",IFERROR(INDEX(DPTVal,MATCH($E716,DPTKey,0)),1),1)</f>
        <v>0.0010212791172932486</v>
      </c>
      <c r="Z716" s="122">
        <f t="shared" ref="Z716:AI716" si="1181">Y716</f>
        <v>0.0010212791172932486</v>
      </c>
      <c r="AA716" s="122">
        <f t="shared" si="1181"/>
        <v>0.0010212791172932486</v>
      </c>
      <c r="AB716" s="122">
        <f t="shared" si="1181"/>
        <v>0.0010212791172932486</v>
      </c>
      <c r="AC716" s="122">
        <f t="shared" si="1181"/>
        <v>0.0010212791172932486</v>
      </c>
      <c r="AD716" s="122">
        <f t="shared" si="1181"/>
        <v>0.0010212791172932486</v>
      </c>
      <c r="AE716" s="122">
        <f t="shared" si="1181"/>
        <v>0.0010212791172932486</v>
      </c>
      <c r="AF716" s="122">
        <f t="shared" si="1181"/>
        <v>0.0010212791172932486</v>
      </c>
      <c r="AG716" s="122">
        <f t="shared" si="1181"/>
        <v>0.0010212791172932486</v>
      </c>
      <c r="AH716" s="122">
        <f t="shared" si="1181"/>
        <v>0.0010212791172932486</v>
      </c>
      <c r="AI716" s="122">
        <f t="shared" si="1181"/>
        <v>0.0010212791172932486</v>
      </c>
    </row>
    <row r="717" hidden="1" outlineLevel="1">
      <c r="A717" s="44" t="inlineStr">
        <is>
          <t>dpsp</t>
        </is>
      </c>
      <c r="B717" s="3" t="inlineStr">
        <is>
          <t>eeq</t>
        </is>
      </c>
      <c r="C717" s="3" t="inlineStr"/>
      <c r="D717" s="3" t="n">
        <v>14</v>
      </c>
      <c r="E717" s="3" t="inlineStr">
        <is>
          <t>mac</t>
        </is>
      </c>
      <c r="H717" s="3" t="inlineStr">
        <is>
          <t>Electrical equipment: price change, output price</t>
        </is>
      </c>
      <c r="I717" s="3" t="inlineStr">
        <is>
          <t>fraction</t>
        </is>
      </c>
      <c r="J717" s="118" t="inlineStr">
        <is>
          <t>legacy rows 659-661 (fix D26)</t>
        </is>
      </c>
      <c r="K717" s="9" t="str">
        <f>LOWER(CtryCode)&amp;".distn."&amp;$A717&amp;IF($B717="","","."&amp;$B717)&amp;IF($C717="","",".dec."&amp;$C717)&amp;"."&amp;K$5</f>
        <v>egy.distn.dpsp.eeq.1</v>
      </c>
      <c r="L717" s="121">
        <f>L651*IF(LEFT(L$38,3)="Yes",IFERROR(INDEX(DPTVal,MATCH($E717,DPTKey,0)),1),1)</f>
        <v>0.0</v>
      </c>
      <c r="M717" s="122">
        <f t="shared" ref="M717:V717" si="1182">L717</f>
        <v>0.0</v>
      </c>
      <c r="N717" s="122">
        <f t="shared" si="1182"/>
        <v>0.0</v>
      </c>
      <c r="O717" s="122">
        <f t="shared" si="1182"/>
        <v>0.0</v>
      </c>
      <c r="P717" s="122">
        <f t="shared" si="1182"/>
        <v>0.0</v>
      </c>
      <c r="Q717" s="122">
        <f t="shared" si="1182"/>
        <v>0.0</v>
      </c>
      <c r="R717" s="122">
        <f t="shared" si="1182"/>
        <v>0.0</v>
      </c>
      <c r="S717" s="122">
        <f t="shared" si="1182"/>
        <v>0.0</v>
      </c>
      <c r="T717" s="122">
        <f t="shared" si="1182"/>
        <v>0.0</v>
      </c>
      <c r="U717" s="122">
        <f t="shared" si="1182"/>
        <v>0.0</v>
      </c>
      <c r="V717" s="122">
        <f t="shared" si="1182"/>
        <v>0.0</v>
      </c>
      <c r="W717" s="201" t="str">
        <f>IF(X$5=K$5,SUM(Y717:AI717)-SUM(L717:V717),"")</f>
        <v/>
      </c>
      <c r="X717" s="9" t="str">
        <f>LOWER(CtryCode)&amp;".distn."&amp;$A717&amp;IF($B717="","","."&amp;$B717)&amp;IF($C717="","",".dec."&amp;$C717)&amp;"."&amp;X$5</f>
        <v>egy.distn.dpsp.eeq.2</v>
      </c>
      <c r="Y717" s="121">
        <f>Y651*IF(LEFT(Y$38,3)="Yes",IFERROR(INDEX(DPTVal,MATCH($E717,DPTKey,0)),1),1)</f>
        <v>0.0023603950351929748</v>
      </c>
      <c r="Z717" s="122">
        <f t="shared" ref="Z717:AI717" si="1183">Y717</f>
        <v>0.0023603950351929748</v>
      </c>
      <c r="AA717" s="122">
        <f t="shared" si="1183"/>
        <v>0.0023603950351929748</v>
      </c>
      <c r="AB717" s="122">
        <f t="shared" si="1183"/>
        <v>0.0023603950351929748</v>
      </c>
      <c r="AC717" s="122">
        <f t="shared" si="1183"/>
        <v>0.0023603950351929748</v>
      </c>
      <c r="AD717" s="122">
        <f t="shared" si="1183"/>
        <v>0.0023603950351929748</v>
      </c>
      <c r="AE717" s="122">
        <f t="shared" si="1183"/>
        <v>0.0023603950351929748</v>
      </c>
      <c r="AF717" s="122">
        <f t="shared" si="1183"/>
        <v>0.0023603950351929748</v>
      </c>
      <c r="AG717" s="122">
        <f t="shared" si="1183"/>
        <v>0.0023603950351929748</v>
      </c>
      <c r="AH717" s="122">
        <f t="shared" si="1183"/>
        <v>0.0023603950351929748</v>
      </c>
      <c r="AI717" s="122">
        <f t="shared" si="1183"/>
        <v>0.0023603950351929748</v>
      </c>
    </row>
    <row r="718" hidden="1" outlineLevel="1">
      <c r="A718" s="44" t="inlineStr">
        <is>
          <t>dpsp</t>
        </is>
      </c>
      <c r="B718" s="3" t="inlineStr">
        <is>
          <t>ele</t>
        </is>
      </c>
      <c r="C718" s="3" t="inlineStr"/>
      <c r="D718" s="3" t="n">
        <v>15</v>
      </c>
      <c r="E718" s="3" t="inlineStr">
        <is>
          <t>mac</t>
        </is>
      </c>
      <c r="H718" s="3" t="inlineStr">
        <is>
          <t>Computer equipment: price change, output price</t>
        </is>
      </c>
      <c r="I718" s="3" t="inlineStr">
        <is>
          <t>fraction</t>
        </is>
      </c>
      <c r="J718" s="118" t="inlineStr">
        <is>
          <t>legacy rows 659-661 (fix D26)</t>
        </is>
      </c>
      <c r="K718" s="9" t="str">
        <f>LOWER(CtryCode)&amp;".distn."&amp;$A718&amp;IF($B718="","","."&amp;$B718)&amp;IF($C718="","",".dec."&amp;$C718)&amp;"."&amp;K$5</f>
        <v>egy.distn.dpsp.ele.1</v>
      </c>
      <c r="L718" s="121">
        <f>L652*IF(LEFT(L$38,3)="Yes",IFERROR(INDEX(DPTVal,MATCH($E718,DPTKey,0)),1),1)</f>
        <v>0.0</v>
      </c>
      <c r="M718" s="122">
        <f t="shared" ref="M718:V718" si="1184">L718</f>
        <v>0.0</v>
      </c>
      <c r="N718" s="122">
        <f t="shared" si="1184"/>
        <v>0.0</v>
      </c>
      <c r="O718" s="122">
        <f t="shared" si="1184"/>
        <v>0.0</v>
      </c>
      <c r="P718" s="122">
        <f t="shared" si="1184"/>
        <v>0.0</v>
      </c>
      <c r="Q718" s="122">
        <f t="shared" si="1184"/>
        <v>0.0</v>
      </c>
      <c r="R718" s="122">
        <f t="shared" si="1184"/>
        <v>0.0</v>
      </c>
      <c r="S718" s="122">
        <f t="shared" si="1184"/>
        <v>0.0</v>
      </c>
      <c r="T718" s="122">
        <f t="shared" si="1184"/>
        <v>0.0</v>
      </c>
      <c r="U718" s="122">
        <f t="shared" si="1184"/>
        <v>0.0</v>
      </c>
      <c r="V718" s="122">
        <f t="shared" si="1184"/>
        <v>0.0</v>
      </c>
      <c r="W718" s="201" t="str">
        <f>IF(X$5=K$5,SUM(Y718:AI718)-SUM(L718:V718),"")</f>
        <v/>
      </c>
      <c r="X718" s="9" t="str">
        <f>LOWER(CtryCode)&amp;".distn."&amp;$A718&amp;IF($B718="","","."&amp;$B718)&amp;IF($C718="","",".dec."&amp;$C718)&amp;"."&amp;X$5</f>
        <v>egy.distn.dpsp.ele.2</v>
      </c>
      <c r="Y718" s="121">
        <f>Y652*IF(LEFT(Y$38,3)="Yes",IFERROR(INDEX(DPTVal,MATCH($E718,DPTKey,0)),1),1)</f>
        <v>0.0021141285018558068</v>
      </c>
      <c r="Z718" s="122">
        <f t="shared" ref="Z718:AI718" si="1185">Y718</f>
        <v>0.0021141285018558068</v>
      </c>
      <c r="AA718" s="122">
        <f t="shared" si="1185"/>
        <v>0.0021141285018558068</v>
      </c>
      <c r="AB718" s="122">
        <f t="shared" si="1185"/>
        <v>0.0021141285018558068</v>
      </c>
      <c r="AC718" s="122">
        <f t="shared" si="1185"/>
        <v>0.0021141285018558068</v>
      </c>
      <c r="AD718" s="122">
        <f t="shared" si="1185"/>
        <v>0.0021141285018558068</v>
      </c>
      <c r="AE718" s="122">
        <f t="shared" si="1185"/>
        <v>0.0021141285018558068</v>
      </c>
      <c r="AF718" s="122">
        <f t="shared" si="1185"/>
        <v>0.0021141285018558068</v>
      </c>
      <c r="AG718" s="122">
        <f t="shared" si="1185"/>
        <v>0.0021141285018558068</v>
      </c>
      <c r="AH718" s="122">
        <f t="shared" si="1185"/>
        <v>0.0021141285018558068</v>
      </c>
      <c r="AI718" s="122">
        <f t="shared" si="1185"/>
        <v>0.0021141285018558068</v>
      </c>
    </row>
    <row r="719" hidden="1" outlineLevel="1">
      <c r="A719" s="44" t="inlineStr">
        <is>
          <t>dpsp</t>
        </is>
      </c>
      <c r="B719" s="3" t="inlineStr">
        <is>
          <t>ely</t>
        </is>
      </c>
      <c r="C719" s="3" t="inlineStr"/>
      <c r="D719" s="3" t="n">
        <v>16</v>
      </c>
      <c r="E719" s="3" t="inlineStr">
        <is>
          <t>pow</t>
        </is>
      </c>
      <c r="H719" s="3" t="inlineStr">
        <is>
          <t>Electricity supply: price change, output price</t>
        </is>
      </c>
      <c r="I719" s="3" t="inlineStr">
        <is>
          <t>fraction</t>
        </is>
      </c>
      <c r="J719" s="118" t="inlineStr">
        <is>
          <t>legacy rows 659-661 (fix D26)</t>
        </is>
      </c>
      <c r="K719" s="9" t="str">
        <f>LOWER(CtryCode)&amp;".distn."&amp;$A719&amp;IF($B719="","","."&amp;$B719)&amp;IF($C719="","",".dec."&amp;$C719)&amp;"."&amp;K$5</f>
        <v>egy.distn.dpsp.ely.1</v>
      </c>
      <c r="L719" s="121">
        <f>L653*IF(LEFT(L$38,3)="Yes",IFERROR(INDEX(DPTVal,MATCH($E719,DPTKey,0)),1),1)</f>
        <v>0.0</v>
      </c>
      <c r="M719" s="122">
        <f t="shared" ref="M719:V719" si="1186">L719</f>
        <v>0.0</v>
      </c>
      <c r="N719" s="122">
        <f t="shared" si="1186"/>
        <v>0.0</v>
      </c>
      <c r="O719" s="122">
        <f t="shared" si="1186"/>
        <v>0.0</v>
      </c>
      <c r="P719" s="122">
        <f t="shared" si="1186"/>
        <v>0.0</v>
      </c>
      <c r="Q719" s="122">
        <f t="shared" si="1186"/>
        <v>0.0</v>
      </c>
      <c r="R719" s="122">
        <f t="shared" si="1186"/>
        <v>0.0</v>
      </c>
      <c r="S719" s="122">
        <f t="shared" si="1186"/>
        <v>0.0</v>
      </c>
      <c r="T719" s="122">
        <f t="shared" si="1186"/>
        <v>0.0</v>
      </c>
      <c r="U719" s="122">
        <f t="shared" si="1186"/>
        <v>0.0</v>
      </c>
      <c r="V719" s="122">
        <f t="shared" si="1186"/>
        <v>0.0</v>
      </c>
      <c r="W719" s="201" t="str">
        <f>IF(X$5=K$5,SUM(Y719:AI719)-SUM(L719:V719),"")</f>
        <v/>
      </c>
      <c r="X719" s="9" t="str">
        <f>LOWER(CtryCode)&amp;".distn."&amp;$A719&amp;IF($B719="","","."&amp;$B719)&amp;IF($C719="","",".dec."&amp;$C719)&amp;"."&amp;X$5</f>
        <v>egy.distn.dpsp.ely.2</v>
      </c>
      <c r="Y719" s="121">
        <f>Y653*IF(LEFT(Y$38,3)="Yes",IFERROR(INDEX(DPTVal,MATCH($E719,DPTKey,0)),1),1)</f>
        <v>0.0</v>
      </c>
      <c r="Z719" s="122">
        <f t="shared" ref="Z719:AI719" si="1187">Y719</f>
        <v>0.0</v>
      </c>
      <c r="AA719" s="122">
        <f t="shared" si="1187"/>
        <v>0.0</v>
      </c>
      <c r="AB719" s="122">
        <f t="shared" si="1187"/>
        <v>0.0</v>
      </c>
      <c r="AC719" s="122">
        <f t="shared" si="1187"/>
        <v>0.0</v>
      </c>
      <c r="AD719" s="122">
        <f t="shared" si="1187"/>
        <v>0.0</v>
      </c>
      <c r="AE719" s="122">
        <f t="shared" si="1187"/>
        <v>0.0</v>
      </c>
      <c r="AF719" s="122">
        <f t="shared" si="1187"/>
        <v>0.0</v>
      </c>
      <c r="AG719" s="122">
        <f t="shared" si="1187"/>
        <v>0.0</v>
      </c>
      <c r="AH719" s="122">
        <f t="shared" si="1187"/>
        <v>0.0</v>
      </c>
      <c r="AI719" s="122">
        <f t="shared" si="1187"/>
        <v>0.0</v>
      </c>
    </row>
    <row r="720" hidden="1" outlineLevel="1">
      <c r="A720" s="44" t="inlineStr">
        <is>
          <t>dpsp</t>
        </is>
      </c>
      <c r="B720" s="3" t="inlineStr">
        <is>
          <t>fmp</t>
        </is>
      </c>
      <c r="C720" s="3" t="inlineStr"/>
      <c r="D720" s="3" t="n">
        <v>17</v>
      </c>
      <c r="E720" s="3" t="inlineStr">
        <is>
          <t>mac</t>
        </is>
      </c>
      <c r="H720" s="3" t="inlineStr">
        <is>
          <t>Fabricated metals: price change, output price</t>
        </is>
      </c>
      <c r="I720" s="3" t="inlineStr">
        <is>
          <t>fraction</t>
        </is>
      </c>
      <c r="J720" s="118" t="inlineStr">
        <is>
          <t>legacy rows 659-661 (fix D26)</t>
        </is>
      </c>
      <c r="K720" s="9" t="str">
        <f>LOWER(CtryCode)&amp;".distn."&amp;$A720&amp;IF($B720="","","."&amp;$B720)&amp;IF($C720="","",".dec."&amp;$C720)&amp;"."&amp;K$5</f>
        <v>egy.distn.dpsp.fmp.1</v>
      </c>
      <c r="L720" s="121">
        <f>L654*IF(LEFT(L$38,3)="Yes",IFERROR(INDEX(DPTVal,MATCH($E720,DPTKey,0)),1),1)</f>
        <v>0.0</v>
      </c>
      <c r="M720" s="122">
        <f t="shared" ref="M720:V720" si="1188">L720</f>
        <v>0.0</v>
      </c>
      <c r="N720" s="122">
        <f t="shared" si="1188"/>
        <v>0.0</v>
      </c>
      <c r="O720" s="122">
        <f t="shared" si="1188"/>
        <v>0.0</v>
      </c>
      <c r="P720" s="122">
        <f t="shared" si="1188"/>
        <v>0.0</v>
      </c>
      <c r="Q720" s="122">
        <f t="shared" si="1188"/>
        <v>0.0</v>
      </c>
      <c r="R720" s="122">
        <f t="shared" si="1188"/>
        <v>0.0</v>
      </c>
      <c r="S720" s="122">
        <f t="shared" si="1188"/>
        <v>0.0</v>
      </c>
      <c r="T720" s="122">
        <f t="shared" si="1188"/>
        <v>0.0</v>
      </c>
      <c r="U720" s="122">
        <f t="shared" si="1188"/>
        <v>0.0</v>
      </c>
      <c r="V720" s="122">
        <f t="shared" si="1188"/>
        <v>0.0</v>
      </c>
      <c r="W720" s="201" t="str">
        <f>IF(X$5=K$5,SUM(Y720:AI720)-SUM(L720:V720),"")</f>
        <v/>
      </c>
      <c r="X720" s="9" t="str">
        <f>LOWER(CtryCode)&amp;".distn."&amp;$A720&amp;IF($B720="","","."&amp;$B720)&amp;IF($C720="","",".dec."&amp;$C720)&amp;"."&amp;X$5</f>
        <v>egy.distn.dpsp.fmp.2</v>
      </c>
      <c r="Y720" s="121">
        <f>Y654*IF(LEFT(Y$38,3)="Yes",IFERROR(INDEX(DPTVal,MATCH($E720,DPTKey,0)),1),1)</f>
        <v>0.0029914627174303684</v>
      </c>
      <c r="Z720" s="122">
        <f t="shared" ref="Z720:AI720" si="1189">Y720</f>
        <v>0.0029914627174303684</v>
      </c>
      <c r="AA720" s="122">
        <f t="shared" si="1189"/>
        <v>0.0029914627174303684</v>
      </c>
      <c r="AB720" s="122">
        <f t="shared" si="1189"/>
        <v>0.0029914627174303684</v>
      </c>
      <c r="AC720" s="122">
        <f t="shared" si="1189"/>
        <v>0.0029914627174303684</v>
      </c>
      <c r="AD720" s="122">
        <f t="shared" si="1189"/>
        <v>0.0029914627174303684</v>
      </c>
      <c r="AE720" s="122">
        <f t="shared" si="1189"/>
        <v>0.0029914627174303684</v>
      </c>
      <c r="AF720" s="122">
        <f t="shared" si="1189"/>
        <v>0.0029914627174303684</v>
      </c>
      <c r="AG720" s="122">
        <f t="shared" si="1189"/>
        <v>0.0029914627174303684</v>
      </c>
      <c r="AH720" s="122">
        <f t="shared" si="1189"/>
        <v>0.0029914627174303684</v>
      </c>
      <c r="AI720" s="122">
        <f t="shared" si="1189"/>
        <v>0.0029914627174303684</v>
      </c>
    </row>
    <row r="721" hidden="1" outlineLevel="1">
      <c r="A721" s="44" t="inlineStr">
        <is>
          <t>dpsp</t>
        </is>
      </c>
      <c r="B721" s="3" t="inlineStr">
        <is>
          <t>frs</t>
        </is>
      </c>
      <c r="C721" s="3" t="inlineStr"/>
      <c r="D721" s="3" t="n">
        <v>18</v>
      </c>
      <c r="E721" s="3" t="inlineStr">
        <is>
          <t>foo</t>
        </is>
      </c>
      <c r="H721" s="3" t="inlineStr">
        <is>
          <t>Forestry: price change, output price</t>
        </is>
      </c>
      <c r="I721" s="3" t="inlineStr">
        <is>
          <t>fraction</t>
        </is>
      </c>
      <c r="J721" s="118" t="inlineStr">
        <is>
          <t>legacy rows 659-661 (fix D26)</t>
        </is>
      </c>
      <c r="K721" s="9" t="str">
        <f>LOWER(CtryCode)&amp;".distn."&amp;$A721&amp;IF($B721="","","."&amp;$B721)&amp;IF($C721="","",".dec."&amp;$C721)&amp;"."&amp;K$5</f>
        <v>egy.distn.dpsp.frs.1</v>
      </c>
      <c r="L721" s="121">
        <f>L655*IF(LEFT(L$38,3)="Yes",IFERROR(INDEX(DPTVal,MATCH($E721,DPTKey,0)),1),1)</f>
        <v>0.0</v>
      </c>
      <c r="M721" s="122">
        <f t="shared" ref="M721:V721" si="1190">L721</f>
        <v>0.0</v>
      </c>
      <c r="N721" s="122">
        <f t="shared" si="1190"/>
        <v>0.0</v>
      </c>
      <c r="O721" s="122">
        <f t="shared" si="1190"/>
        <v>0.0</v>
      </c>
      <c r="P721" s="122">
        <f t="shared" si="1190"/>
        <v>0.0</v>
      </c>
      <c r="Q721" s="122">
        <f t="shared" si="1190"/>
        <v>0.0</v>
      </c>
      <c r="R721" s="122">
        <f t="shared" si="1190"/>
        <v>0.0</v>
      </c>
      <c r="S721" s="122">
        <f t="shared" si="1190"/>
        <v>0.0</v>
      </c>
      <c r="T721" s="122">
        <f t="shared" si="1190"/>
        <v>0.0</v>
      </c>
      <c r="U721" s="122">
        <f t="shared" si="1190"/>
        <v>0.0</v>
      </c>
      <c r="V721" s="122">
        <f t="shared" si="1190"/>
        <v>0.0</v>
      </c>
      <c r="W721" s="201" t="str">
        <f>IF(X$5=K$5,SUM(Y721:AI721)-SUM(L721:V721),"")</f>
        <v/>
      </c>
      <c r="X721" s="9" t="str">
        <f>LOWER(CtryCode)&amp;".distn."&amp;$A721&amp;IF($B721="","","."&amp;$B721)&amp;IF($C721="","",".dec."&amp;$C721)&amp;"."&amp;X$5</f>
        <v>egy.distn.dpsp.frs.2</v>
      </c>
      <c r="Y721" s="121">
        <f>Y655*IF(LEFT(Y$38,3)="Yes",IFERROR(INDEX(DPTVal,MATCH($E721,DPTKey,0)),1),1)</f>
        <v>0.0017116942999596037</v>
      </c>
      <c r="Z721" s="122">
        <f t="shared" ref="Z721:AI721" si="1191">Y721</f>
        <v>0.0017116942999596037</v>
      </c>
      <c r="AA721" s="122">
        <f t="shared" si="1191"/>
        <v>0.0017116942999596037</v>
      </c>
      <c r="AB721" s="122">
        <f t="shared" si="1191"/>
        <v>0.0017116942999596037</v>
      </c>
      <c r="AC721" s="122">
        <f t="shared" si="1191"/>
        <v>0.0017116942999596037</v>
      </c>
      <c r="AD721" s="122">
        <f t="shared" si="1191"/>
        <v>0.0017116942999596037</v>
      </c>
      <c r="AE721" s="122">
        <f t="shared" si="1191"/>
        <v>0.0017116942999596037</v>
      </c>
      <c r="AF721" s="122">
        <f t="shared" si="1191"/>
        <v>0.0017116942999596037</v>
      </c>
      <c r="AG721" s="122">
        <f t="shared" si="1191"/>
        <v>0.0017116942999596037</v>
      </c>
      <c r="AH721" s="122">
        <f t="shared" si="1191"/>
        <v>0.0017116942999596037</v>
      </c>
      <c r="AI721" s="122">
        <f t="shared" si="1191"/>
        <v>0.0017116942999596037</v>
      </c>
    </row>
    <row r="722" hidden="1" outlineLevel="1">
      <c r="A722" s="44" t="inlineStr">
        <is>
          <t>dpsp</t>
        </is>
      </c>
      <c r="B722" s="3" t="inlineStr">
        <is>
          <t>fsh</t>
        </is>
      </c>
      <c r="C722" s="3" t="inlineStr"/>
      <c r="D722" s="3" t="n">
        <v>19</v>
      </c>
      <c r="E722" s="3" t="inlineStr">
        <is>
          <t>foo</t>
        </is>
      </c>
      <c r="H722" s="3" t="inlineStr">
        <is>
          <t>Fishing: price change, output price</t>
        </is>
      </c>
      <c r="I722" s="3" t="inlineStr">
        <is>
          <t>fraction</t>
        </is>
      </c>
      <c r="J722" s="118" t="inlineStr">
        <is>
          <t>legacy rows 659-661 (fix D26)</t>
        </is>
      </c>
      <c r="K722" s="9" t="str">
        <f>LOWER(CtryCode)&amp;".distn."&amp;$A722&amp;IF($B722="","","."&amp;$B722)&amp;IF($C722="","",".dec."&amp;$C722)&amp;"."&amp;K$5</f>
        <v>egy.distn.dpsp.fsh.1</v>
      </c>
      <c r="L722" s="121">
        <f>L656*IF(LEFT(L$38,3)="Yes",IFERROR(INDEX(DPTVal,MATCH($E722,DPTKey,0)),1),1)</f>
        <v>0.0</v>
      </c>
      <c r="M722" s="122">
        <f t="shared" ref="M722:V722" si="1192">L722</f>
        <v>0.0</v>
      </c>
      <c r="N722" s="122">
        <f t="shared" si="1192"/>
        <v>0.0</v>
      </c>
      <c r="O722" s="122">
        <f t="shared" si="1192"/>
        <v>0.0</v>
      </c>
      <c r="P722" s="122">
        <f t="shared" si="1192"/>
        <v>0.0</v>
      </c>
      <c r="Q722" s="122">
        <f t="shared" si="1192"/>
        <v>0.0</v>
      </c>
      <c r="R722" s="122">
        <f t="shared" si="1192"/>
        <v>0.0</v>
      </c>
      <c r="S722" s="122">
        <f t="shared" si="1192"/>
        <v>0.0</v>
      </c>
      <c r="T722" s="122">
        <f t="shared" si="1192"/>
        <v>0.0</v>
      </c>
      <c r="U722" s="122">
        <f t="shared" si="1192"/>
        <v>0.0</v>
      </c>
      <c r="V722" s="122">
        <f t="shared" si="1192"/>
        <v>0.0</v>
      </c>
      <c r="W722" s="201" t="str">
        <f>IF(X$5=K$5,SUM(Y722:AI722)-SUM(L722:V722),"")</f>
        <v/>
      </c>
      <c r="X722" s="9" t="str">
        <f>LOWER(CtryCode)&amp;".distn."&amp;$A722&amp;IF($B722="","","."&amp;$B722)&amp;IF($C722="","",".dec."&amp;$C722)&amp;"."&amp;X$5</f>
        <v>egy.distn.dpsp.fsh.2</v>
      </c>
      <c r="Y722" s="121">
        <f>Y656*IF(LEFT(Y$38,3)="Yes",IFERROR(INDEX(DPTVal,MATCH($E722,DPTKey,0)),1),1)</f>
        <v>0.0010837060372673325</v>
      </c>
      <c r="Z722" s="122">
        <f t="shared" ref="Z722:AI722" si="1193">Y722</f>
        <v>0.0010837060372673325</v>
      </c>
      <c r="AA722" s="122">
        <f t="shared" si="1193"/>
        <v>0.0010837060372673325</v>
      </c>
      <c r="AB722" s="122">
        <f t="shared" si="1193"/>
        <v>0.0010837060372673325</v>
      </c>
      <c r="AC722" s="122">
        <f t="shared" si="1193"/>
        <v>0.0010837060372673325</v>
      </c>
      <c r="AD722" s="122">
        <f t="shared" si="1193"/>
        <v>0.0010837060372673325</v>
      </c>
      <c r="AE722" s="122">
        <f t="shared" si="1193"/>
        <v>0.0010837060372673325</v>
      </c>
      <c r="AF722" s="122">
        <f t="shared" si="1193"/>
        <v>0.0010837060372673325</v>
      </c>
      <c r="AG722" s="122">
        <f t="shared" si="1193"/>
        <v>0.0010837060372673325</v>
      </c>
      <c r="AH722" s="122">
        <f t="shared" si="1193"/>
        <v>0.0010837060372673325</v>
      </c>
      <c r="AI722" s="122">
        <f t="shared" si="1193"/>
        <v>0.0010837060372673325</v>
      </c>
    </row>
    <row r="723" hidden="1" outlineLevel="1">
      <c r="A723" s="44" t="inlineStr">
        <is>
          <t>dpsp</t>
        </is>
      </c>
      <c r="B723" s="3" t="inlineStr">
        <is>
          <t>gro</t>
        </is>
      </c>
      <c r="C723" s="3" t="inlineStr"/>
      <c r="D723" s="3" t="n">
        <v>20</v>
      </c>
      <c r="E723" s="3" t="inlineStr">
        <is>
          <t>foo</t>
        </is>
      </c>
      <c r="H723" s="3" t="inlineStr">
        <is>
          <t>Other grains: price change, output price</t>
        </is>
      </c>
      <c r="I723" s="3" t="inlineStr">
        <is>
          <t>fraction</t>
        </is>
      </c>
      <c r="J723" s="118" t="inlineStr">
        <is>
          <t>legacy rows 659-661 (fix D26)</t>
        </is>
      </c>
      <c r="K723" s="9" t="str">
        <f>LOWER(CtryCode)&amp;".distn."&amp;$A723&amp;IF($B723="","","."&amp;$B723)&amp;IF($C723="","",".dec."&amp;$C723)&amp;"."&amp;K$5</f>
        <v>egy.distn.dpsp.gro.1</v>
      </c>
      <c r="L723" s="121">
        <f>L657*IF(LEFT(L$38,3)="Yes",IFERROR(INDEX(DPTVal,MATCH($E723,DPTKey,0)),1),1)</f>
        <v>0.0</v>
      </c>
      <c r="M723" s="122">
        <f t="shared" ref="M723:V723" si="1194">L723</f>
        <v>0.0</v>
      </c>
      <c r="N723" s="122">
        <f t="shared" si="1194"/>
        <v>0.0</v>
      </c>
      <c r="O723" s="122">
        <f t="shared" si="1194"/>
        <v>0.0</v>
      </c>
      <c r="P723" s="122">
        <f t="shared" si="1194"/>
        <v>0.0</v>
      </c>
      <c r="Q723" s="122">
        <f t="shared" si="1194"/>
        <v>0.0</v>
      </c>
      <c r="R723" s="122">
        <f t="shared" si="1194"/>
        <v>0.0</v>
      </c>
      <c r="S723" s="122">
        <f t="shared" si="1194"/>
        <v>0.0</v>
      </c>
      <c r="T723" s="122">
        <f t="shared" si="1194"/>
        <v>0.0</v>
      </c>
      <c r="U723" s="122">
        <f t="shared" si="1194"/>
        <v>0.0</v>
      </c>
      <c r="V723" s="122">
        <f t="shared" si="1194"/>
        <v>0.0</v>
      </c>
      <c r="W723" s="201" t="str">
        <f>IF(X$5=K$5,SUM(Y723:AI723)-SUM(L723:V723),"")</f>
        <v/>
      </c>
      <c r="X723" s="9" t="str">
        <f>LOWER(CtryCode)&amp;".distn."&amp;$A723&amp;IF($B723="","","."&amp;$B723)&amp;IF($C723="","",".dec."&amp;$C723)&amp;"."&amp;X$5</f>
        <v>egy.distn.dpsp.gro.2</v>
      </c>
      <c r="Y723" s="121">
        <f>Y657*IF(LEFT(Y$38,3)="Yes",IFERROR(INDEX(DPTVal,MATCH($E723,DPTKey,0)),1),1)</f>
        <v>0.001243779128646874</v>
      </c>
      <c r="Z723" s="122">
        <f t="shared" ref="Z723:AI723" si="1195">Y723</f>
        <v>0.001243779128646874</v>
      </c>
      <c r="AA723" s="122">
        <f t="shared" si="1195"/>
        <v>0.001243779128646874</v>
      </c>
      <c r="AB723" s="122">
        <f t="shared" si="1195"/>
        <v>0.001243779128646874</v>
      </c>
      <c r="AC723" s="122">
        <f t="shared" si="1195"/>
        <v>0.001243779128646874</v>
      </c>
      <c r="AD723" s="122">
        <f t="shared" si="1195"/>
        <v>0.001243779128646874</v>
      </c>
      <c r="AE723" s="122">
        <f t="shared" si="1195"/>
        <v>0.001243779128646874</v>
      </c>
      <c r="AF723" s="122">
        <f t="shared" si="1195"/>
        <v>0.001243779128646874</v>
      </c>
      <c r="AG723" s="122">
        <f t="shared" si="1195"/>
        <v>0.001243779128646874</v>
      </c>
      <c r="AH723" s="122">
        <f t="shared" si="1195"/>
        <v>0.001243779128646874</v>
      </c>
      <c r="AI723" s="122">
        <f t="shared" si="1195"/>
        <v>0.001243779128646874</v>
      </c>
    </row>
    <row r="724" hidden="1" outlineLevel="1">
      <c r="A724" s="44" t="inlineStr">
        <is>
          <t>dpsp</t>
        </is>
      </c>
      <c r="B724" s="3" t="inlineStr">
        <is>
          <t>hht</t>
        </is>
      </c>
      <c r="C724" s="3" t="inlineStr"/>
      <c r="D724" s="3" t="n">
        <v>21</v>
      </c>
      <c r="E724" s="3" t="inlineStr">
        <is>
          <t>srv</t>
        </is>
      </c>
      <c r="H724" s="3" t="inlineStr">
        <is>
          <t>Human health &amp; social work: price change, output price</t>
        </is>
      </c>
      <c r="I724" s="3" t="inlineStr">
        <is>
          <t>fraction</t>
        </is>
      </c>
      <c r="J724" s="118" t="inlineStr">
        <is>
          <t>legacy rows 659-661 (fix D26)</t>
        </is>
      </c>
      <c r="K724" s="9" t="str">
        <f>LOWER(CtryCode)&amp;".distn."&amp;$A724&amp;IF($B724="","","."&amp;$B724)&amp;IF($C724="","",".dec."&amp;$C724)&amp;"."&amp;K$5</f>
        <v>egy.distn.dpsp.hht.1</v>
      </c>
      <c r="L724" s="121">
        <f>L658*IF(LEFT(L$38,3)="Yes",IFERROR(INDEX(DPTVal,MATCH($E724,DPTKey,0)),1),1)</f>
        <v>0.0</v>
      </c>
      <c r="M724" s="122">
        <f t="shared" ref="M724:V724" si="1196">L724</f>
        <v>0.0</v>
      </c>
      <c r="N724" s="122">
        <f t="shared" si="1196"/>
        <v>0.0</v>
      </c>
      <c r="O724" s="122">
        <f t="shared" si="1196"/>
        <v>0.0</v>
      </c>
      <c r="P724" s="122">
        <f t="shared" si="1196"/>
        <v>0.0</v>
      </c>
      <c r="Q724" s="122">
        <f t="shared" si="1196"/>
        <v>0.0</v>
      </c>
      <c r="R724" s="122">
        <f t="shared" si="1196"/>
        <v>0.0</v>
      </c>
      <c r="S724" s="122">
        <f t="shared" si="1196"/>
        <v>0.0</v>
      </c>
      <c r="T724" s="122">
        <f t="shared" si="1196"/>
        <v>0.0</v>
      </c>
      <c r="U724" s="122">
        <f t="shared" si="1196"/>
        <v>0.0</v>
      </c>
      <c r="V724" s="122">
        <f t="shared" si="1196"/>
        <v>0.0</v>
      </c>
      <c r="W724" s="201" t="str">
        <f>IF(X$5=K$5,SUM(Y724:AI724)-SUM(L724:V724),"")</f>
        <v/>
      </c>
      <c r="X724" s="9" t="str">
        <f>LOWER(CtryCode)&amp;".distn."&amp;$A724&amp;IF($B724="","","."&amp;$B724)&amp;IF($C724="","",".dec."&amp;$C724)&amp;"."&amp;X$5</f>
        <v>egy.distn.dpsp.hht.2</v>
      </c>
      <c r="Y724" s="121">
        <f>Y658*IF(LEFT(Y$38,3)="Yes",IFERROR(INDEX(DPTVal,MATCH($E724,DPTKey,0)),1),1)</f>
        <v>0.001217719765046205</v>
      </c>
      <c r="Z724" s="122">
        <f t="shared" ref="Z724:AI724" si="1197">Y724</f>
        <v>0.001217719765046205</v>
      </c>
      <c r="AA724" s="122">
        <f t="shared" si="1197"/>
        <v>0.001217719765046205</v>
      </c>
      <c r="AB724" s="122">
        <f t="shared" si="1197"/>
        <v>0.001217719765046205</v>
      </c>
      <c r="AC724" s="122">
        <f t="shared" si="1197"/>
        <v>0.001217719765046205</v>
      </c>
      <c r="AD724" s="122">
        <f t="shared" si="1197"/>
        <v>0.001217719765046205</v>
      </c>
      <c r="AE724" s="122">
        <f t="shared" si="1197"/>
        <v>0.001217719765046205</v>
      </c>
      <c r="AF724" s="122">
        <f t="shared" si="1197"/>
        <v>0.001217719765046205</v>
      </c>
      <c r="AG724" s="122">
        <f t="shared" si="1197"/>
        <v>0.001217719765046205</v>
      </c>
      <c r="AH724" s="122">
        <f t="shared" si="1197"/>
        <v>0.001217719765046205</v>
      </c>
      <c r="AI724" s="122">
        <f t="shared" si="1197"/>
        <v>0.001217719765046205</v>
      </c>
    </row>
    <row r="725" hidden="1" outlineLevel="1">
      <c r="A725" s="44" t="inlineStr">
        <is>
          <t>dpsp</t>
        </is>
      </c>
      <c r="B725" s="3" t="inlineStr">
        <is>
          <t>i_s</t>
        </is>
      </c>
      <c r="C725" s="3" t="inlineStr"/>
      <c r="D725" s="3" t="n">
        <v>22</v>
      </c>
      <c r="E725" s="3" t="inlineStr">
        <is>
          <t>irn</t>
        </is>
      </c>
      <c r="H725" s="3" t="inlineStr">
        <is>
          <t>Iron &amp; Steel: price change, output price</t>
        </is>
      </c>
      <c r="I725" s="3" t="inlineStr">
        <is>
          <t>fraction</t>
        </is>
      </c>
      <c r="J725" s="118" t="inlineStr">
        <is>
          <t>legacy rows 659-661 (fix D26)</t>
        </is>
      </c>
      <c r="K725" s="9" t="str">
        <f>LOWER(CtryCode)&amp;".distn."&amp;$A725&amp;IF($B725="","","."&amp;$B725)&amp;IF($C725="","",".dec."&amp;$C725)&amp;"."&amp;K$5</f>
        <v>egy.distn.dpsp.i_s.1</v>
      </c>
      <c r="L725" s="121">
        <f>L659*IF(LEFT(L$38,3)="Yes",IFERROR(INDEX(DPTVal,MATCH($E725,DPTKey,0)),1),1)</f>
        <v>0.0</v>
      </c>
      <c r="M725" s="122">
        <f t="shared" ref="M725:V725" si="1198">L725</f>
        <v>0.0</v>
      </c>
      <c r="N725" s="122">
        <f t="shared" si="1198"/>
        <v>0.0</v>
      </c>
      <c r="O725" s="122">
        <f t="shared" si="1198"/>
        <v>0.0</v>
      </c>
      <c r="P725" s="122">
        <f t="shared" si="1198"/>
        <v>0.0</v>
      </c>
      <c r="Q725" s="122">
        <f t="shared" si="1198"/>
        <v>0.0</v>
      </c>
      <c r="R725" s="122">
        <f t="shared" si="1198"/>
        <v>0.0</v>
      </c>
      <c r="S725" s="122">
        <f t="shared" si="1198"/>
        <v>0.0</v>
      </c>
      <c r="T725" s="122">
        <f t="shared" si="1198"/>
        <v>0.0</v>
      </c>
      <c r="U725" s="122">
        <f t="shared" si="1198"/>
        <v>0.0</v>
      </c>
      <c r="V725" s="122">
        <f t="shared" si="1198"/>
        <v>0.0</v>
      </c>
      <c r="W725" s="201" t="str">
        <f>IF(X$5=K$5,SUM(Y725:AI725)-SUM(L725:V725),"")</f>
        <v/>
      </c>
      <c r="X725" s="9" t="str">
        <f>LOWER(CtryCode)&amp;".distn."&amp;$A725&amp;IF($B725="","","."&amp;$B725)&amp;IF($C725="","",".dec."&amp;$C725)&amp;"."&amp;X$5</f>
        <v>egy.distn.dpsp.i_s.2</v>
      </c>
      <c r="Y725" s="121">
        <f>Y659*IF(LEFT(Y$38,3)="Yes",IFERROR(INDEX(DPTVal,MATCH($E725,DPTKey,0)),1),1)</f>
        <v>0.005639113544198023</v>
      </c>
      <c r="Z725" s="122">
        <f t="shared" ref="Z725:AI725" si="1199">Y725</f>
        <v>0.005639113544198023</v>
      </c>
      <c r="AA725" s="122">
        <f t="shared" si="1199"/>
        <v>0.005639113544198023</v>
      </c>
      <c r="AB725" s="122">
        <f t="shared" si="1199"/>
        <v>0.005639113544198023</v>
      </c>
      <c r="AC725" s="122">
        <f t="shared" si="1199"/>
        <v>0.005639113544198023</v>
      </c>
      <c r="AD725" s="122">
        <f t="shared" si="1199"/>
        <v>0.005639113544198023</v>
      </c>
      <c r="AE725" s="122">
        <f t="shared" si="1199"/>
        <v>0.005639113544198023</v>
      </c>
      <c r="AF725" s="122">
        <f t="shared" si="1199"/>
        <v>0.005639113544198023</v>
      </c>
      <c r="AG725" s="122">
        <f t="shared" si="1199"/>
        <v>0.005639113544198023</v>
      </c>
      <c r="AH725" s="122">
        <f t="shared" si="1199"/>
        <v>0.005639113544198023</v>
      </c>
      <c r="AI725" s="122">
        <f t="shared" si="1199"/>
        <v>0.005639113544198023</v>
      </c>
    </row>
    <row r="726" hidden="1" outlineLevel="1">
      <c r="A726" s="44" t="inlineStr">
        <is>
          <t>dpsp</t>
        </is>
      </c>
      <c r="B726" s="3" t="inlineStr">
        <is>
          <t>ins</t>
        </is>
      </c>
      <c r="C726" s="3" t="inlineStr"/>
      <c r="D726" s="3" t="n">
        <v>23</v>
      </c>
      <c r="E726" s="3" t="inlineStr">
        <is>
          <t>srv</t>
        </is>
      </c>
      <c r="H726" s="3" t="inlineStr">
        <is>
          <t>Insurance: price change, output price</t>
        </is>
      </c>
      <c r="I726" s="3" t="inlineStr">
        <is>
          <t>fraction</t>
        </is>
      </c>
      <c r="J726" s="118" t="inlineStr">
        <is>
          <t>legacy rows 659-661 (fix D26)</t>
        </is>
      </c>
      <c r="K726" s="9" t="str">
        <f>LOWER(CtryCode)&amp;".distn."&amp;$A726&amp;IF($B726="","","."&amp;$B726)&amp;IF($C726="","",".dec."&amp;$C726)&amp;"."&amp;K$5</f>
        <v>egy.distn.dpsp.ins.1</v>
      </c>
      <c r="L726" s="121">
        <f>L660*IF(LEFT(L$38,3)="Yes",IFERROR(INDEX(DPTVal,MATCH($E726,DPTKey,0)),1),1)</f>
        <v>0.0</v>
      </c>
      <c r="M726" s="122">
        <f t="shared" ref="M726:V726" si="1200">L726</f>
        <v>0.0</v>
      </c>
      <c r="N726" s="122">
        <f t="shared" si="1200"/>
        <v>0.0</v>
      </c>
      <c r="O726" s="122">
        <f t="shared" si="1200"/>
        <v>0.0</v>
      </c>
      <c r="P726" s="122">
        <f t="shared" si="1200"/>
        <v>0.0</v>
      </c>
      <c r="Q726" s="122">
        <f t="shared" si="1200"/>
        <v>0.0</v>
      </c>
      <c r="R726" s="122">
        <f t="shared" si="1200"/>
        <v>0.0</v>
      </c>
      <c r="S726" s="122">
        <f t="shared" si="1200"/>
        <v>0.0</v>
      </c>
      <c r="T726" s="122">
        <f t="shared" si="1200"/>
        <v>0.0</v>
      </c>
      <c r="U726" s="122">
        <f t="shared" si="1200"/>
        <v>0.0</v>
      </c>
      <c r="V726" s="122">
        <f t="shared" si="1200"/>
        <v>0.0</v>
      </c>
      <c r="W726" s="201" t="str">
        <f>IF(X$5=K$5,SUM(Y726:AI726)-SUM(L726:V726),"")</f>
        <v/>
      </c>
      <c r="X726" s="9" t="str">
        <f>LOWER(CtryCode)&amp;".distn."&amp;$A726&amp;IF($B726="","","."&amp;$B726)&amp;IF($C726="","",".dec."&amp;$C726)&amp;"."&amp;X$5</f>
        <v>egy.distn.dpsp.ins.2</v>
      </c>
      <c r="Y726" s="121">
        <f>Y660*IF(LEFT(Y$38,3)="Yes",IFERROR(INDEX(DPTVal,MATCH($E726,DPTKey,0)),1),1)</f>
        <v>0.00043087128416880095</v>
      </c>
      <c r="Z726" s="122">
        <f t="shared" ref="Z726:AI726" si="1201">Y726</f>
        <v>0.00043087128416880095</v>
      </c>
      <c r="AA726" s="122">
        <f t="shared" si="1201"/>
        <v>0.00043087128416880095</v>
      </c>
      <c r="AB726" s="122">
        <f t="shared" si="1201"/>
        <v>0.00043087128416880095</v>
      </c>
      <c r="AC726" s="122">
        <f t="shared" si="1201"/>
        <v>0.00043087128416880095</v>
      </c>
      <c r="AD726" s="122">
        <f t="shared" si="1201"/>
        <v>0.00043087128416880095</v>
      </c>
      <c r="AE726" s="122">
        <f t="shared" si="1201"/>
        <v>0.00043087128416880095</v>
      </c>
      <c r="AF726" s="122">
        <f t="shared" si="1201"/>
        <v>0.00043087128416880095</v>
      </c>
      <c r="AG726" s="122">
        <f t="shared" si="1201"/>
        <v>0.00043087128416880095</v>
      </c>
      <c r="AH726" s="122">
        <f t="shared" si="1201"/>
        <v>0.00043087128416880095</v>
      </c>
      <c r="AI726" s="122">
        <f t="shared" si="1201"/>
        <v>0.00043087128416880095</v>
      </c>
    </row>
    <row r="727" hidden="1" outlineLevel="1">
      <c r="A727" s="44" t="inlineStr">
        <is>
          <t>dpsp</t>
        </is>
      </c>
      <c r="B727" s="3" t="inlineStr">
        <is>
          <t>lea</t>
        </is>
      </c>
      <c r="C727" s="3" t="inlineStr"/>
      <c r="D727" s="3" t="n">
        <v>24</v>
      </c>
      <c r="E727" s="3" t="inlineStr">
        <is>
          <t>omn</t>
        </is>
      </c>
      <c r="H727" s="3" t="inlineStr">
        <is>
          <t>Leather: price change, output price</t>
        </is>
      </c>
      <c r="I727" s="3" t="inlineStr">
        <is>
          <t>fraction</t>
        </is>
      </c>
      <c r="J727" s="118" t="inlineStr">
        <is>
          <t>legacy rows 659-661 (fix D26)</t>
        </is>
      </c>
      <c r="K727" s="9" t="str">
        <f>LOWER(CtryCode)&amp;".distn."&amp;$A727&amp;IF($B727="","","."&amp;$B727)&amp;IF($C727="","",".dec."&amp;$C727)&amp;"."&amp;K$5</f>
        <v>egy.distn.dpsp.lea.1</v>
      </c>
      <c r="L727" s="121">
        <f>L661*IF(LEFT(L$38,3)="Yes",IFERROR(INDEX(DPTVal,MATCH($E727,DPTKey,0)),1),1)</f>
        <v>0.0</v>
      </c>
      <c r="M727" s="122">
        <f t="shared" ref="M727:V727" si="1202">L727</f>
        <v>0.0</v>
      </c>
      <c r="N727" s="122">
        <f t="shared" si="1202"/>
        <v>0.0</v>
      </c>
      <c r="O727" s="122">
        <f t="shared" si="1202"/>
        <v>0.0</v>
      </c>
      <c r="P727" s="122">
        <f t="shared" si="1202"/>
        <v>0.0</v>
      </c>
      <c r="Q727" s="122">
        <f t="shared" si="1202"/>
        <v>0.0</v>
      </c>
      <c r="R727" s="122">
        <f t="shared" si="1202"/>
        <v>0.0</v>
      </c>
      <c r="S727" s="122">
        <f t="shared" si="1202"/>
        <v>0.0</v>
      </c>
      <c r="T727" s="122">
        <f t="shared" si="1202"/>
        <v>0.0</v>
      </c>
      <c r="U727" s="122">
        <f t="shared" si="1202"/>
        <v>0.0</v>
      </c>
      <c r="V727" s="122">
        <f t="shared" si="1202"/>
        <v>0.0</v>
      </c>
      <c r="W727" s="201" t="str">
        <f>IF(X$5=K$5,SUM(Y727:AI727)-SUM(L727:V727),"")</f>
        <v/>
      </c>
      <c r="X727" s="9" t="str">
        <f>LOWER(CtryCode)&amp;".distn."&amp;$A727&amp;IF($B727="","","."&amp;$B727)&amp;IF($C727="","",".dec."&amp;$C727)&amp;"."&amp;X$5</f>
        <v>egy.distn.dpsp.lea.2</v>
      </c>
      <c r="Y727" s="121">
        <f>Y661*IF(LEFT(Y$38,3)="Yes",IFERROR(INDEX(DPTVal,MATCH($E727,DPTKey,0)),1),1)</f>
        <v>0.001264022893099197</v>
      </c>
      <c r="Z727" s="122">
        <f t="shared" ref="Z727:AI727" si="1203">Y727</f>
        <v>0.001264022893099197</v>
      </c>
      <c r="AA727" s="122">
        <f t="shared" si="1203"/>
        <v>0.001264022893099197</v>
      </c>
      <c r="AB727" s="122">
        <f t="shared" si="1203"/>
        <v>0.001264022893099197</v>
      </c>
      <c r="AC727" s="122">
        <f t="shared" si="1203"/>
        <v>0.001264022893099197</v>
      </c>
      <c r="AD727" s="122">
        <f t="shared" si="1203"/>
        <v>0.001264022893099197</v>
      </c>
      <c r="AE727" s="122">
        <f t="shared" si="1203"/>
        <v>0.001264022893099197</v>
      </c>
      <c r="AF727" s="122">
        <f t="shared" si="1203"/>
        <v>0.001264022893099197</v>
      </c>
      <c r="AG727" s="122">
        <f t="shared" si="1203"/>
        <v>0.001264022893099197</v>
      </c>
      <c r="AH727" s="122">
        <f t="shared" si="1203"/>
        <v>0.001264022893099197</v>
      </c>
      <c r="AI727" s="122">
        <f t="shared" si="1203"/>
        <v>0.001264022893099197</v>
      </c>
    </row>
    <row r="728" hidden="1" outlineLevel="1">
      <c r="A728" s="44" t="inlineStr">
        <is>
          <t>dpsp</t>
        </is>
      </c>
      <c r="B728" s="3" t="inlineStr">
        <is>
          <t>lum</t>
        </is>
      </c>
      <c r="C728" s="3" t="inlineStr"/>
      <c r="D728" s="3" t="n">
        <v>25</v>
      </c>
      <c r="E728" s="3" t="inlineStr">
        <is>
          <t>foo</t>
        </is>
      </c>
      <c r="H728" s="3" t="inlineStr">
        <is>
          <t>Lumber: price change, output price</t>
        </is>
      </c>
      <c r="I728" s="3" t="inlineStr">
        <is>
          <t>fraction</t>
        </is>
      </c>
      <c r="J728" s="118" t="inlineStr">
        <is>
          <t>legacy rows 659-661 (fix D26)</t>
        </is>
      </c>
      <c r="K728" s="9" t="str">
        <f>LOWER(CtryCode)&amp;".distn."&amp;$A728&amp;IF($B728="","","."&amp;$B728)&amp;IF($C728="","",".dec."&amp;$C728)&amp;"."&amp;K$5</f>
        <v>egy.distn.dpsp.lum.1</v>
      </c>
      <c r="L728" s="121">
        <f>L662*IF(LEFT(L$38,3)="Yes",IFERROR(INDEX(DPTVal,MATCH($E728,DPTKey,0)),1),1)</f>
        <v>0.0</v>
      </c>
      <c r="M728" s="122">
        <f t="shared" ref="M728:V728" si="1204">L728</f>
        <v>0.0</v>
      </c>
      <c r="N728" s="122">
        <f t="shared" si="1204"/>
        <v>0.0</v>
      </c>
      <c r="O728" s="122">
        <f t="shared" si="1204"/>
        <v>0.0</v>
      </c>
      <c r="P728" s="122">
        <f t="shared" si="1204"/>
        <v>0.0</v>
      </c>
      <c r="Q728" s="122">
        <f t="shared" si="1204"/>
        <v>0.0</v>
      </c>
      <c r="R728" s="122">
        <f t="shared" si="1204"/>
        <v>0.0</v>
      </c>
      <c r="S728" s="122">
        <f t="shared" si="1204"/>
        <v>0.0</v>
      </c>
      <c r="T728" s="122">
        <f t="shared" si="1204"/>
        <v>0.0</v>
      </c>
      <c r="U728" s="122">
        <f t="shared" si="1204"/>
        <v>0.0</v>
      </c>
      <c r="V728" s="122">
        <f t="shared" si="1204"/>
        <v>0.0</v>
      </c>
      <c r="W728" s="201" t="str">
        <f>IF(X$5=K$5,SUM(Y728:AI728)-SUM(L728:V728),"")</f>
        <v/>
      </c>
      <c r="X728" s="9" t="str">
        <f>LOWER(CtryCode)&amp;".distn."&amp;$A728&amp;IF($B728="","","."&amp;$B728)&amp;IF($C728="","",".dec."&amp;$C728)&amp;"."&amp;X$5</f>
        <v>egy.distn.dpsp.lum.2</v>
      </c>
      <c r="Y728" s="121">
        <f>Y662*IF(LEFT(Y$38,3)="Yes",IFERROR(INDEX(DPTVal,MATCH($E728,DPTKey,0)),1),1)</f>
        <v>0.0018121672937185794</v>
      </c>
      <c r="Z728" s="122">
        <f t="shared" ref="Z728:AI728" si="1205">Y728</f>
        <v>0.0018121672937185794</v>
      </c>
      <c r="AA728" s="122">
        <f t="shared" si="1205"/>
        <v>0.0018121672937185794</v>
      </c>
      <c r="AB728" s="122">
        <f t="shared" si="1205"/>
        <v>0.0018121672937185794</v>
      </c>
      <c r="AC728" s="122">
        <f t="shared" si="1205"/>
        <v>0.0018121672937185794</v>
      </c>
      <c r="AD728" s="122">
        <f t="shared" si="1205"/>
        <v>0.0018121672937185794</v>
      </c>
      <c r="AE728" s="122">
        <f t="shared" si="1205"/>
        <v>0.0018121672937185794</v>
      </c>
      <c r="AF728" s="122">
        <f t="shared" si="1205"/>
        <v>0.0018121672937185794</v>
      </c>
      <c r="AG728" s="122">
        <f t="shared" si="1205"/>
        <v>0.0018121672937185794</v>
      </c>
      <c r="AH728" s="122">
        <f t="shared" si="1205"/>
        <v>0.0018121672937185794</v>
      </c>
      <c r="AI728" s="122">
        <f t="shared" si="1205"/>
        <v>0.0018121672937185794</v>
      </c>
    </row>
    <row r="729" hidden="1" outlineLevel="1">
      <c r="A729" s="44" t="inlineStr">
        <is>
          <t>dpsp</t>
        </is>
      </c>
      <c r="B729" s="3" t="inlineStr">
        <is>
          <t>mil</t>
        </is>
      </c>
      <c r="C729" s="3" t="inlineStr"/>
      <c r="D729" s="3" t="n">
        <v>26</v>
      </c>
      <c r="E729" s="3" t="inlineStr">
        <is>
          <t>foo</t>
        </is>
      </c>
      <c r="H729" s="3" t="inlineStr">
        <is>
          <t>Dairy: price change, output price</t>
        </is>
      </c>
      <c r="I729" s="3" t="inlineStr">
        <is>
          <t>fraction</t>
        </is>
      </c>
      <c r="J729" s="118" t="inlineStr">
        <is>
          <t>legacy rows 659-661 (fix D26)</t>
        </is>
      </c>
      <c r="K729" s="9" t="str">
        <f>LOWER(CtryCode)&amp;".distn."&amp;$A729&amp;IF($B729="","","."&amp;$B729)&amp;IF($C729="","",".dec."&amp;$C729)&amp;"."&amp;K$5</f>
        <v>egy.distn.dpsp.mil.1</v>
      </c>
      <c r="L729" s="121">
        <f>L663*IF(LEFT(L$38,3)="Yes",IFERROR(INDEX(DPTVal,MATCH($E729,DPTKey,0)),1),1)</f>
        <v>0.0</v>
      </c>
      <c r="M729" s="122">
        <f t="shared" ref="M729:V729" si="1206">L729</f>
        <v>0.0</v>
      </c>
      <c r="N729" s="122">
        <f t="shared" si="1206"/>
        <v>0.0</v>
      </c>
      <c r="O729" s="122">
        <f t="shared" si="1206"/>
        <v>0.0</v>
      </c>
      <c r="P729" s="122">
        <f t="shared" si="1206"/>
        <v>0.0</v>
      </c>
      <c r="Q729" s="122">
        <f t="shared" si="1206"/>
        <v>0.0</v>
      </c>
      <c r="R729" s="122">
        <f t="shared" si="1206"/>
        <v>0.0</v>
      </c>
      <c r="S729" s="122">
        <f t="shared" si="1206"/>
        <v>0.0</v>
      </c>
      <c r="T729" s="122">
        <f t="shared" si="1206"/>
        <v>0.0</v>
      </c>
      <c r="U729" s="122">
        <f t="shared" si="1206"/>
        <v>0.0</v>
      </c>
      <c r="V729" s="122">
        <f t="shared" si="1206"/>
        <v>0.0</v>
      </c>
      <c r="W729" s="201" t="str">
        <f>IF(X$5=K$5,SUM(Y729:AI729)-SUM(L729:V729),"")</f>
        <v/>
      </c>
      <c r="X729" s="9" t="str">
        <f>LOWER(CtryCode)&amp;".distn."&amp;$A729&amp;IF($B729="","","."&amp;$B729)&amp;IF($C729="","",".dec."&amp;$C729)&amp;"."&amp;X$5</f>
        <v>egy.distn.dpsp.mil.2</v>
      </c>
      <c r="Y729" s="121">
        <f>Y663*IF(LEFT(Y$38,3)="Yes",IFERROR(INDEX(DPTVal,MATCH($E729,DPTKey,0)),1),1)</f>
        <v>0.0005942590034649164</v>
      </c>
      <c r="Z729" s="122">
        <f t="shared" ref="Z729:AI729" si="1207">Y729</f>
        <v>0.0005942590034649164</v>
      </c>
      <c r="AA729" s="122">
        <f t="shared" si="1207"/>
        <v>0.0005942590034649164</v>
      </c>
      <c r="AB729" s="122">
        <f t="shared" si="1207"/>
        <v>0.0005942590034649164</v>
      </c>
      <c r="AC729" s="122">
        <f t="shared" si="1207"/>
        <v>0.0005942590034649164</v>
      </c>
      <c r="AD729" s="122">
        <f t="shared" si="1207"/>
        <v>0.0005942590034649164</v>
      </c>
      <c r="AE729" s="122">
        <f t="shared" si="1207"/>
        <v>0.0005942590034649164</v>
      </c>
      <c r="AF729" s="122">
        <f t="shared" si="1207"/>
        <v>0.0005942590034649164</v>
      </c>
      <c r="AG729" s="122">
        <f t="shared" si="1207"/>
        <v>0.0005942590034649164</v>
      </c>
      <c r="AH729" s="122">
        <f t="shared" si="1207"/>
        <v>0.0005942590034649164</v>
      </c>
      <c r="AI729" s="122">
        <f t="shared" si="1207"/>
        <v>0.0005942590034649164</v>
      </c>
    </row>
    <row r="730" hidden="1" outlineLevel="1">
      <c r="A730" s="44" t="inlineStr">
        <is>
          <t>dpsp</t>
        </is>
      </c>
      <c r="B730" s="3" t="inlineStr">
        <is>
          <t>mvh</t>
        </is>
      </c>
      <c r="C730" s="3" t="inlineStr"/>
      <c r="D730" s="3" t="n">
        <v>27</v>
      </c>
      <c r="E730" s="3" t="inlineStr">
        <is>
          <t>mac</t>
        </is>
      </c>
      <c r="H730" s="3" t="inlineStr">
        <is>
          <t>Motor vehicles: price change, output price</t>
        </is>
      </c>
      <c r="I730" s="3" t="inlineStr">
        <is>
          <t>fraction</t>
        </is>
      </c>
      <c r="J730" s="118" t="inlineStr">
        <is>
          <t>legacy rows 659-661 (fix D26)</t>
        </is>
      </c>
      <c r="K730" s="9" t="str">
        <f>LOWER(CtryCode)&amp;".distn."&amp;$A730&amp;IF($B730="","","."&amp;$B730)&amp;IF($C730="","",".dec."&amp;$C730)&amp;"."&amp;K$5</f>
        <v>egy.distn.dpsp.mvh.1</v>
      </c>
      <c r="L730" s="121">
        <f>L664*IF(LEFT(L$38,3)="Yes",IFERROR(INDEX(DPTVal,MATCH($E730,DPTKey,0)),1),1)</f>
        <v>0.0</v>
      </c>
      <c r="M730" s="122">
        <f t="shared" ref="M730:V730" si="1208">L730</f>
        <v>0.0</v>
      </c>
      <c r="N730" s="122">
        <f t="shared" si="1208"/>
        <v>0.0</v>
      </c>
      <c r="O730" s="122">
        <f t="shared" si="1208"/>
        <v>0.0</v>
      </c>
      <c r="P730" s="122">
        <f t="shared" si="1208"/>
        <v>0.0</v>
      </c>
      <c r="Q730" s="122">
        <f t="shared" si="1208"/>
        <v>0.0</v>
      </c>
      <c r="R730" s="122">
        <f t="shared" si="1208"/>
        <v>0.0</v>
      </c>
      <c r="S730" s="122">
        <f t="shared" si="1208"/>
        <v>0.0</v>
      </c>
      <c r="T730" s="122">
        <f t="shared" si="1208"/>
        <v>0.0</v>
      </c>
      <c r="U730" s="122">
        <f t="shared" si="1208"/>
        <v>0.0</v>
      </c>
      <c r="V730" s="122">
        <f t="shared" si="1208"/>
        <v>0.0</v>
      </c>
      <c r="W730" s="201" t="str">
        <f>IF(X$5=K$5,SUM(Y730:AI730)-SUM(L730:V730),"")</f>
        <v/>
      </c>
      <c r="X730" s="9" t="str">
        <f>LOWER(CtryCode)&amp;".distn."&amp;$A730&amp;IF($B730="","","."&amp;$B730)&amp;IF($C730="","",".dec."&amp;$C730)&amp;"."&amp;X$5</f>
        <v>egy.distn.dpsp.mvh.2</v>
      </c>
      <c r="Y730" s="121">
        <f>Y664*IF(LEFT(Y$38,3)="Yes",IFERROR(INDEX(DPTVal,MATCH($E730,DPTKey,0)),1),1)</f>
        <v>0.002005585626146568</v>
      </c>
      <c r="Z730" s="122">
        <f t="shared" ref="Z730:AI730" si="1209">Y730</f>
        <v>0.002005585626146568</v>
      </c>
      <c r="AA730" s="122">
        <f t="shared" si="1209"/>
        <v>0.002005585626146568</v>
      </c>
      <c r="AB730" s="122">
        <f t="shared" si="1209"/>
        <v>0.002005585626146568</v>
      </c>
      <c r="AC730" s="122">
        <f t="shared" si="1209"/>
        <v>0.002005585626146568</v>
      </c>
      <c r="AD730" s="122">
        <f t="shared" si="1209"/>
        <v>0.002005585626146568</v>
      </c>
      <c r="AE730" s="122">
        <f t="shared" si="1209"/>
        <v>0.002005585626146568</v>
      </c>
      <c r="AF730" s="122">
        <f t="shared" si="1209"/>
        <v>0.002005585626146568</v>
      </c>
      <c r="AG730" s="122">
        <f t="shared" si="1209"/>
        <v>0.002005585626146568</v>
      </c>
      <c r="AH730" s="122">
        <f t="shared" si="1209"/>
        <v>0.002005585626146568</v>
      </c>
      <c r="AI730" s="122">
        <f t="shared" si="1209"/>
        <v>0.002005585626146568</v>
      </c>
    </row>
    <row r="731" hidden="1" outlineLevel="1">
      <c r="A731" s="44" t="inlineStr">
        <is>
          <t>dpsp</t>
        </is>
      </c>
      <c r="B731" s="3" t="inlineStr">
        <is>
          <t>nfm</t>
        </is>
      </c>
      <c r="C731" s="3" t="inlineStr"/>
      <c r="D731" s="3" t="n">
        <v>28</v>
      </c>
      <c r="E731" s="3" t="inlineStr">
        <is>
          <t>nfm</t>
        </is>
      </c>
      <c r="H731" s="3" t="inlineStr">
        <is>
          <t>Non-Ferrous Metals: price change, output price</t>
        </is>
      </c>
      <c r="I731" s="3" t="inlineStr">
        <is>
          <t>fraction</t>
        </is>
      </c>
      <c r="J731" s="118" t="inlineStr">
        <is>
          <t>legacy rows 659-661 (fix D26)</t>
        </is>
      </c>
      <c r="K731" s="9" t="str">
        <f>LOWER(CtryCode)&amp;".distn."&amp;$A731&amp;IF($B731="","","."&amp;$B731)&amp;IF($C731="","",".dec."&amp;$C731)&amp;"."&amp;K$5</f>
        <v>egy.distn.dpsp.nfm.1</v>
      </c>
      <c r="L731" s="121">
        <f>L665*IF(LEFT(L$38,3)="Yes",IFERROR(INDEX(DPTVal,MATCH($E731,DPTKey,0)),1),1)</f>
        <v>0.0</v>
      </c>
      <c r="M731" s="122">
        <f t="shared" ref="M731:V731" si="1210">L731</f>
        <v>0.0</v>
      </c>
      <c r="N731" s="122">
        <f t="shared" si="1210"/>
        <v>0.0</v>
      </c>
      <c r="O731" s="122">
        <f t="shared" si="1210"/>
        <v>0.0</v>
      </c>
      <c r="P731" s="122">
        <f t="shared" si="1210"/>
        <v>0.0</v>
      </c>
      <c r="Q731" s="122">
        <f t="shared" si="1210"/>
        <v>0.0</v>
      </c>
      <c r="R731" s="122">
        <f t="shared" si="1210"/>
        <v>0.0</v>
      </c>
      <c r="S731" s="122">
        <f t="shared" si="1210"/>
        <v>0.0</v>
      </c>
      <c r="T731" s="122">
        <f t="shared" si="1210"/>
        <v>0.0</v>
      </c>
      <c r="U731" s="122">
        <f t="shared" si="1210"/>
        <v>0.0</v>
      </c>
      <c r="V731" s="122">
        <f t="shared" si="1210"/>
        <v>0.0</v>
      </c>
      <c r="W731" s="201" t="str">
        <f>IF(X$5=K$5,SUM(Y731:AI731)-SUM(L731:V731),"")</f>
        <v/>
      </c>
      <c r="X731" s="9" t="str">
        <f>LOWER(CtryCode)&amp;".distn."&amp;$A731&amp;IF($B731="","","."&amp;$B731)&amp;IF($C731="","",".dec."&amp;$C731)&amp;"."&amp;X$5</f>
        <v>egy.distn.dpsp.nfm.2</v>
      </c>
      <c r="Y731" s="121">
        <f>Y665*IF(LEFT(Y$38,3)="Yes",IFERROR(INDEX(DPTVal,MATCH($E731,DPTKey,0)),1),1)</f>
        <v>0.0041046532004021</v>
      </c>
      <c r="Z731" s="122">
        <f t="shared" ref="Z731:AI731" si="1211">Y731</f>
        <v>0.0041046532004021</v>
      </c>
      <c r="AA731" s="122">
        <f t="shared" si="1211"/>
        <v>0.0041046532004021</v>
      </c>
      <c r="AB731" s="122">
        <f t="shared" si="1211"/>
        <v>0.0041046532004021</v>
      </c>
      <c r="AC731" s="122">
        <f t="shared" si="1211"/>
        <v>0.0041046532004021</v>
      </c>
      <c r="AD731" s="122">
        <f t="shared" si="1211"/>
        <v>0.0041046532004021</v>
      </c>
      <c r="AE731" s="122">
        <f t="shared" si="1211"/>
        <v>0.0041046532004021</v>
      </c>
      <c r="AF731" s="122">
        <f t="shared" si="1211"/>
        <v>0.0041046532004021</v>
      </c>
      <c r="AG731" s="122">
        <f t="shared" si="1211"/>
        <v>0.0041046532004021</v>
      </c>
      <c r="AH731" s="122">
        <f t="shared" si="1211"/>
        <v>0.0041046532004021</v>
      </c>
      <c r="AI731" s="122">
        <f t="shared" si="1211"/>
        <v>0.0041046532004021</v>
      </c>
    </row>
    <row r="732" hidden="1" outlineLevel="1">
      <c r="A732" s="44" t="inlineStr">
        <is>
          <t>dpsp</t>
        </is>
      </c>
      <c r="B732" s="3" t="inlineStr">
        <is>
          <t>nga</t>
        </is>
      </c>
      <c r="C732" s="3" t="inlineStr"/>
      <c r="D732" s="3" t="n">
        <v>29</v>
      </c>
      <c r="E732" s="3" t="inlineStr">
        <is>
          <t>pow</t>
        </is>
      </c>
      <c r="H732" s="3" t="inlineStr">
        <is>
          <t>Natural gas: price change, output price</t>
        </is>
      </c>
      <c r="I732" s="3" t="inlineStr">
        <is>
          <t>fraction</t>
        </is>
      </c>
      <c r="J732" s="118" t="inlineStr">
        <is>
          <t>legacy rows 659-661 (fix D26)</t>
        </is>
      </c>
      <c r="K732" s="9" t="str">
        <f>LOWER(CtryCode)&amp;".distn."&amp;$A732&amp;IF($B732="","","."&amp;$B732)&amp;IF($C732="","",".dec."&amp;$C732)&amp;"."&amp;K$5</f>
        <v>egy.distn.dpsp.nga.1</v>
      </c>
      <c r="L732" s="121">
        <f>L666*IF(LEFT(L$38,3)="Yes",IFERROR(INDEX(DPTVal,MATCH($E732,DPTKey,0)),1),1)</f>
        <v>0.0</v>
      </c>
      <c r="M732" s="122">
        <f t="shared" ref="M732:V732" si="1212">L732</f>
        <v>0.0</v>
      </c>
      <c r="N732" s="122">
        <f t="shared" si="1212"/>
        <v>0.0</v>
      </c>
      <c r="O732" s="122">
        <f t="shared" si="1212"/>
        <v>0.0</v>
      </c>
      <c r="P732" s="122">
        <f t="shared" si="1212"/>
        <v>0.0</v>
      </c>
      <c r="Q732" s="122">
        <f t="shared" si="1212"/>
        <v>0.0</v>
      </c>
      <c r="R732" s="122">
        <f t="shared" si="1212"/>
        <v>0.0</v>
      </c>
      <c r="S732" s="122">
        <f t="shared" si="1212"/>
        <v>0.0</v>
      </c>
      <c r="T732" s="122">
        <f t="shared" si="1212"/>
        <v>0.0</v>
      </c>
      <c r="U732" s="122">
        <f t="shared" si="1212"/>
        <v>0.0</v>
      </c>
      <c r="V732" s="122">
        <f t="shared" si="1212"/>
        <v>0.0</v>
      </c>
      <c r="W732" s="201" t="str">
        <f>IF(X$5=K$5,SUM(Y732:AI732)-SUM(L732:V732),"")</f>
        <v/>
      </c>
      <c r="X732" s="9" t="str">
        <f>LOWER(CtryCode)&amp;".distn."&amp;$A732&amp;IF($B732="","","."&amp;$B732)&amp;IF($C732="","",".dec."&amp;$C732)&amp;"."&amp;X$5</f>
        <v>egy.distn.dpsp.nga.2</v>
      </c>
      <c r="Y732" s="121">
        <f>Y666*IF(LEFT(Y$38,3)="Yes",IFERROR(INDEX(DPTVal,MATCH($E732,DPTKey,0)),1),1)</f>
        <v>0.0</v>
      </c>
      <c r="Z732" s="122">
        <f t="shared" ref="Z732:AI732" si="1213">Y732</f>
        <v>0.0</v>
      </c>
      <c r="AA732" s="122">
        <f t="shared" si="1213"/>
        <v>0.0</v>
      </c>
      <c r="AB732" s="122">
        <f t="shared" si="1213"/>
        <v>0.0</v>
      </c>
      <c r="AC732" s="122">
        <f t="shared" si="1213"/>
        <v>0.0</v>
      </c>
      <c r="AD732" s="122">
        <f t="shared" si="1213"/>
        <v>0.0</v>
      </c>
      <c r="AE732" s="122">
        <f t="shared" si="1213"/>
        <v>0.0</v>
      </c>
      <c r="AF732" s="122">
        <f t="shared" si="1213"/>
        <v>0.0</v>
      </c>
      <c r="AG732" s="122">
        <f t="shared" si="1213"/>
        <v>0.0</v>
      </c>
      <c r="AH732" s="122">
        <f t="shared" si="1213"/>
        <v>0.0</v>
      </c>
      <c r="AI732" s="122">
        <f t="shared" si="1213"/>
        <v>0.0</v>
      </c>
    </row>
    <row r="733" hidden="1" outlineLevel="1">
      <c r="A733" s="44" t="inlineStr">
        <is>
          <t>dpsp</t>
        </is>
      </c>
      <c r="B733" s="3" t="inlineStr">
        <is>
          <t>nmm</t>
        </is>
      </c>
      <c r="C733" s="3" t="inlineStr"/>
      <c r="D733" s="3" t="n">
        <v>30</v>
      </c>
      <c r="E733" s="3" t="inlineStr">
        <is>
          <t>cem</t>
        </is>
      </c>
      <c r="H733" s="3" t="inlineStr">
        <is>
          <t>Non-metallic minerals: price change, output price</t>
        </is>
      </c>
      <c r="I733" s="3" t="inlineStr">
        <is>
          <t>fraction</t>
        </is>
      </c>
      <c r="J733" s="118" t="inlineStr">
        <is>
          <t>legacy rows 659-661 (fix D26)</t>
        </is>
      </c>
      <c r="K733" s="9" t="str">
        <f>LOWER(CtryCode)&amp;".distn."&amp;$A733&amp;IF($B733="","","."&amp;$B733)&amp;IF($C733="","",".dec."&amp;$C733)&amp;"."&amp;K$5</f>
        <v>egy.distn.dpsp.nmm.1</v>
      </c>
      <c r="L733" s="121">
        <f>L667*IF(LEFT(L$38,3)="Yes",IFERROR(INDEX(DPTVal,MATCH($E733,DPTKey,0)),1),1)</f>
        <v>0.0</v>
      </c>
      <c r="M733" s="122">
        <f t="shared" ref="M733:V733" si="1214">L733</f>
        <v>0.0</v>
      </c>
      <c r="N733" s="122">
        <f t="shared" si="1214"/>
        <v>0.0</v>
      </c>
      <c r="O733" s="122">
        <f t="shared" si="1214"/>
        <v>0.0</v>
      </c>
      <c r="P733" s="122">
        <f t="shared" si="1214"/>
        <v>0.0</v>
      </c>
      <c r="Q733" s="122">
        <f t="shared" si="1214"/>
        <v>0.0</v>
      </c>
      <c r="R733" s="122">
        <f t="shared" si="1214"/>
        <v>0.0</v>
      </c>
      <c r="S733" s="122">
        <f t="shared" si="1214"/>
        <v>0.0</v>
      </c>
      <c r="T733" s="122">
        <f t="shared" si="1214"/>
        <v>0.0</v>
      </c>
      <c r="U733" s="122">
        <f t="shared" si="1214"/>
        <v>0.0</v>
      </c>
      <c r="V733" s="122">
        <f t="shared" si="1214"/>
        <v>0.0</v>
      </c>
      <c r="W733" s="201" t="str">
        <f>IF(X$5=K$5,SUM(Y733:AI733)-SUM(L733:V733),"")</f>
        <v/>
      </c>
      <c r="X733" s="9" t="str">
        <f>LOWER(CtryCode)&amp;".distn."&amp;$A733&amp;IF($B733="","","."&amp;$B733)&amp;IF($C733="","",".dec."&amp;$C733)&amp;"."&amp;X$5</f>
        <v>egy.distn.dpsp.nmm.2</v>
      </c>
      <c r="Y733" s="121">
        <f>Y667*IF(LEFT(Y$38,3)="Yes",IFERROR(INDEX(DPTVal,MATCH($E733,DPTKey,0)),1),1)</f>
        <v>0.0019892939204200046</v>
      </c>
      <c r="Z733" s="122">
        <f t="shared" ref="Z733:AI733" si="1215">Y733</f>
        <v>0.0019892939204200046</v>
      </c>
      <c r="AA733" s="122">
        <f t="shared" si="1215"/>
        <v>0.0019892939204200046</v>
      </c>
      <c r="AB733" s="122">
        <f t="shared" si="1215"/>
        <v>0.0019892939204200046</v>
      </c>
      <c r="AC733" s="122">
        <f t="shared" si="1215"/>
        <v>0.0019892939204200046</v>
      </c>
      <c r="AD733" s="122">
        <f t="shared" si="1215"/>
        <v>0.0019892939204200046</v>
      </c>
      <c r="AE733" s="122">
        <f t="shared" si="1215"/>
        <v>0.0019892939204200046</v>
      </c>
      <c r="AF733" s="122">
        <f t="shared" si="1215"/>
        <v>0.0019892939204200046</v>
      </c>
      <c r="AG733" s="122">
        <f t="shared" si="1215"/>
        <v>0.0019892939204200046</v>
      </c>
      <c r="AH733" s="122">
        <f t="shared" si="1215"/>
        <v>0.0019892939204200046</v>
      </c>
      <c r="AI733" s="122">
        <f t="shared" si="1215"/>
        <v>0.0019892939204200046</v>
      </c>
    </row>
    <row r="734" hidden="1" outlineLevel="1">
      <c r="A734" s="44" t="inlineStr">
        <is>
          <t>dpsp</t>
        </is>
      </c>
      <c r="B734" s="3" t="inlineStr">
        <is>
          <t>oap</t>
        </is>
      </c>
      <c r="C734" s="3" t="inlineStr"/>
      <c r="D734" s="3" t="n">
        <v>31</v>
      </c>
      <c r="E734" s="3" t="inlineStr">
        <is>
          <t>foo</t>
        </is>
      </c>
      <c r="H734" s="3" t="inlineStr">
        <is>
          <t>Other Animal Products: price change, output price</t>
        </is>
      </c>
      <c r="I734" s="3" t="inlineStr">
        <is>
          <t>fraction</t>
        </is>
      </c>
      <c r="J734" s="118" t="inlineStr">
        <is>
          <t>legacy rows 659-661 (fix D26)</t>
        </is>
      </c>
      <c r="K734" s="9" t="str">
        <f>LOWER(CtryCode)&amp;".distn."&amp;$A734&amp;IF($B734="","","."&amp;$B734)&amp;IF($C734="","",".dec."&amp;$C734)&amp;"."&amp;K$5</f>
        <v>egy.distn.dpsp.oap.1</v>
      </c>
      <c r="L734" s="121">
        <f>L668*IF(LEFT(L$38,3)="Yes",IFERROR(INDEX(DPTVal,MATCH($E734,DPTKey,0)),1),1)</f>
        <v>0.0</v>
      </c>
      <c r="M734" s="122">
        <f t="shared" ref="M734:V734" si="1216">L734</f>
        <v>0.0</v>
      </c>
      <c r="N734" s="122">
        <f t="shared" si="1216"/>
        <v>0.0</v>
      </c>
      <c r="O734" s="122">
        <f t="shared" si="1216"/>
        <v>0.0</v>
      </c>
      <c r="P734" s="122">
        <f t="shared" si="1216"/>
        <v>0.0</v>
      </c>
      <c r="Q734" s="122">
        <f t="shared" si="1216"/>
        <v>0.0</v>
      </c>
      <c r="R734" s="122">
        <f t="shared" si="1216"/>
        <v>0.0</v>
      </c>
      <c r="S734" s="122">
        <f t="shared" si="1216"/>
        <v>0.0</v>
      </c>
      <c r="T734" s="122">
        <f t="shared" si="1216"/>
        <v>0.0</v>
      </c>
      <c r="U734" s="122">
        <f t="shared" si="1216"/>
        <v>0.0</v>
      </c>
      <c r="V734" s="122">
        <f t="shared" si="1216"/>
        <v>0.0</v>
      </c>
      <c r="W734" s="201" t="str">
        <f>IF(X$5=K$5,SUM(Y734:AI734)-SUM(L734:V734),"")</f>
        <v/>
      </c>
      <c r="X734" s="9" t="str">
        <f>LOWER(CtryCode)&amp;".distn."&amp;$A734&amp;IF($B734="","","."&amp;$B734)&amp;IF($C734="","",".dec."&amp;$C734)&amp;"."&amp;X$5</f>
        <v>egy.distn.dpsp.oap.2</v>
      </c>
      <c r="Y734" s="121">
        <f>Y668*IF(LEFT(Y$38,3)="Yes",IFERROR(INDEX(DPTVal,MATCH($E734,DPTKey,0)),1),1)</f>
        <v>0.0011903268389929812</v>
      </c>
      <c r="Z734" s="122">
        <f t="shared" ref="Z734:AI734" si="1217">Y734</f>
        <v>0.0011903268389929812</v>
      </c>
      <c r="AA734" s="122">
        <f t="shared" si="1217"/>
        <v>0.0011903268389929812</v>
      </c>
      <c r="AB734" s="122">
        <f t="shared" si="1217"/>
        <v>0.0011903268389929812</v>
      </c>
      <c r="AC734" s="122">
        <f t="shared" si="1217"/>
        <v>0.0011903268389929812</v>
      </c>
      <c r="AD734" s="122">
        <f t="shared" si="1217"/>
        <v>0.0011903268389929812</v>
      </c>
      <c r="AE734" s="122">
        <f t="shared" si="1217"/>
        <v>0.0011903268389929812</v>
      </c>
      <c r="AF734" s="122">
        <f t="shared" si="1217"/>
        <v>0.0011903268389929812</v>
      </c>
      <c r="AG734" s="122">
        <f t="shared" si="1217"/>
        <v>0.0011903268389929812</v>
      </c>
      <c r="AH734" s="122">
        <f t="shared" si="1217"/>
        <v>0.0011903268389929812</v>
      </c>
      <c r="AI734" s="122">
        <f t="shared" si="1217"/>
        <v>0.0011903268389929812</v>
      </c>
    </row>
    <row r="735" hidden="1" outlineLevel="1">
      <c r="A735" s="44" t="inlineStr">
        <is>
          <t>dpsp</t>
        </is>
      </c>
      <c r="B735" s="3" t="inlineStr">
        <is>
          <t>obs</t>
        </is>
      </c>
      <c r="C735" s="3" t="inlineStr"/>
      <c r="D735" s="3" t="n">
        <v>32</v>
      </c>
      <c r="E735" s="3" t="inlineStr">
        <is>
          <t>srv</t>
        </is>
      </c>
      <c r="H735" s="3" t="inlineStr">
        <is>
          <t>Other Business Services: price change, output price</t>
        </is>
      </c>
      <c r="I735" s="3" t="inlineStr">
        <is>
          <t>fraction</t>
        </is>
      </c>
      <c r="J735" s="118" t="inlineStr">
        <is>
          <t>legacy rows 659-661 (fix D26)</t>
        </is>
      </c>
      <c r="K735" s="9" t="str">
        <f>LOWER(CtryCode)&amp;".distn."&amp;$A735&amp;IF($B735="","","."&amp;$B735)&amp;IF($C735="","",".dec."&amp;$C735)&amp;"."&amp;K$5</f>
        <v>egy.distn.dpsp.obs.1</v>
      </c>
      <c r="L735" s="121">
        <f>L669*IF(LEFT(L$38,3)="Yes",IFERROR(INDEX(DPTVal,MATCH($E735,DPTKey,0)),1),1)</f>
        <v>0.0</v>
      </c>
      <c r="M735" s="122">
        <f t="shared" ref="M735:V735" si="1218">L735</f>
        <v>0.0</v>
      </c>
      <c r="N735" s="122">
        <f t="shared" si="1218"/>
        <v>0.0</v>
      </c>
      <c r="O735" s="122">
        <f t="shared" si="1218"/>
        <v>0.0</v>
      </c>
      <c r="P735" s="122">
        <f t="shared" si="1218"/>
        <v>0.0</v>
      </c>
      <c r="Q735" s="122">
        <f t="shared" si="1218"/>
        <v>0.0</v>
      </c>
      <c r="R735" s="122">
        <f t="shared" si="1218"/>
        <v>0.0</v>
      </c>
      <c r="S735" s="122">
        <f t="shared" si="1218"/>
        <v>0.0</v>
      </c>
      <c r="T735" s="122">
        <f t="shared" si="1218"/>
        <v>0.0</v>
      </c>
      <c r="U735" s="122">
        <f t="shared" si="1218"/>
        <v>0.0</v>
      </c>
      <c r="V735" s="122">
        <f t="shared" si="1218"/>
        <v>0.0</v>
      </c>
      <c r="W735" s="201" t="str">
        <f>IF(X$5=K$5,SUM(Y735:AI735)-SUM(L735:V735),"")</f>
        <v/>
      </c>
      <c r="X735" s="9" t="str">
        <f>LOWER(CtryCode)&amp;".distn."&amp;$A735&amp;IF($B735="","","."&amp;$B735)&amp;IF($C735="","",".dec."&amp;$C735)&amp;"."&amp;X$5</f>
        <v>egy.distn.dpsp.obs.2</v>
      </c>
      <c r="Y735" s="121">
        <f>Y669*IF(LEFT(Y$38,3)="Yes",IFERROR(INDEX(DPTVal,MATCH($E735,DPTKey,0)),1),1)</f>
        <v>0.0007009047266365601</v>
      </c>
      <c r="Z735" s="122">
        <f t="shared" ref="Z735:AI735" si="1219">Y735</f>
        <v>0.0007009047266365601</v>
      </c>
      <c r="AA735" s="122">
        <f t="shared" si="1219"/>
        <v>0.0007009047266365601</v>
      </c>
      <c r="AB735" s="122">
        <f t="shared" si="1219"/>
        <v>0.0007009047266365601</v>
      </c>
      <c r="AC735" s="122">
        <f t="shared" si="1219"/>
        <v>0.0007009047266365601</v>
      </c>
      <c r="AD735" s="122">
        <f t="shared" si="1219"/>
        <v>0.0007009047266365601</v>
      </c>
      <c r="AE735" s="122">
        <f t="shared" si="1219"/>
        <v>0.0007009047266365601</v>
      </c>
      <c r="AF735" s="122">
        <f t="shared" si="1219"/>
        <v>0.0007009047266365601</v>
      </c>
      <c r="AG735" s="122">
        <f t="shared" si="1219"/>
        <v>0.0007009047266365601</v>
      </c>
      <c r="AH735" s="122">
        <f t="shared" si="1219"/>
        <v>0.0007009047266365601</v>
      </c>
      <c r="AI735" s="122">
        <f t="shared" si="1219"/>
        <v>0.0007009047266365601</v>
      </c>
    </row>
    <row r="736" hidden="1" outlineLevel="1">
      <c r="A736" s="44" t="inlineStr">
        <is>
          <t>dpsp</t>
        </is>
      </c>
      <c r="B736" s="3" t="inlineStr">
        <is>
          <t>ocr</t>
        </is>
      </c>
      <c r="C736" s="3" t="inlineStr"/>
      <c r="D736" s="3" t="n">
        <v>33</v>
      </c>
      <c r="E736" s="3" t="inlineStr">
        <is>
          <t>foo</t>
        </is>
      </c>
      <c r="H736" s="3" t="inlineStr">
        <is>
          <t>Other Crops: price change, output price</t>
        </is>
      </c>
      <c r="I736" s="3" t="inlineStr">
        <is>
          <t>fraction</t>
        </is>
      </c>
      <c r="J736" s="118" t="inlineStr">
        <is>
          <t>legacy rows 659-661 (fix D26)</t>
        </is>
      </c>
      <c r="K736" s="9" t="str">
        <f>LOWER(CtryCode)&amp;".distn."&amp;$A736&amp;IF($B736="","","."&amp;$B736)&amp;IF($C736="","",".dec."&amp;$C736)&amp;"."&amp;K$5</f>
        <v>egy.distn.dpsp.ocr.1</v>
      </c>
      <c r="L736" s="121">
        <f>L670*IF(LEFT(L$38,3)="Yes",IFERROR(INDEX(DPTVal,MATCH($E736,DPTKey,0)),1),1)</f>
        <v>0.0</v>
      </c>
      <c r="M736" s="122">
        <f t="shared" ref="M736:V736" si="1220">L736</f>
        <v>0.0</v>
      </c>
      <c r="N736" s="122">
        <f t="shared" si="1220"/>
        <v>0.0</v>
      </c>
      <c r="O736" s="122">
        <f t="shared" si="1220"/>
        <v>0.0</v>
      </c>
      <c r="P736" s="122">
        <f t="shared" si="1220"/>
        <v>0.0</v>
      </c>
      <c r="Q736" s="122">
        <f t="shared" si="1220"/>
        <v>0.0</v>
      </c>
      <c r="R736" s="122">
        <f t="shared" si="1220"/>
        <v>0.0</v>
      </c>
      <c r="S736" s="122">
        <f t="shared" si="1220"/>
        <v>0.0</v>
      </c>
      <c r="T736" s="122">
        <f t="shared" si="1220"/>
        <v>0.0</v>
      </c>
      <c r="U736" s="122">
        <f t="shared" si="1220"/>
        <v>0.0</v>
      </c>
      <c r="V736" s="122">
        <f t="shared" si="1220"/>
        <v>0.0</v>
      </c>
      <c r="W736" s="201" t="str">
        <f>IF(X$5=K$5,SUM(Y736:AI736)-SUM(L736:V736),"")</f>
        <v/>
      </c>
      <c r="X736" s="9" t="str">
        <f>LOWER(CtryCode)&amp;".distn."&amp;$A736&amp;IF($B736="","","."&amp;$B736)&amp;IF($C736="","",".dec."&amp;$C736)&amp;"."&amp;X$5</f>
        <v>egy.distn.dpsp.ocr.2</v>
      </c>
      <c r="Y736" s="121">
        <f>Y670*IF(LEFT(Y$38,3)="Yes",IFERROR(INDEX(DPTVal,MATCH($E736,DPTKey,0)),1),1)</f>
        <v>0.00042970838598792603</v>
      </c>
      <c r="Z736" s="122">
        <f t="shared" ref="Z736:AI736" si="1221">Y736</f>
        <v>0.00042970838598792603</v>
      </c>
      <c r="AA736" s="122">
        <f t="shared" si="1221"/>
        <v>0.00042970838598792603</v>
      </c>
      <c r="AB736" s="122">
        <f t="shared" si="1221"/>
        <v>0.00042970838598792603</v>
      </c>
      <c r="AC736" s="122">
        <f t="shared" si="1221"/>
        <v>0.00042970838598792603</v>
      </c>
      <c r="AD736" s="122">
        <f t="shared" si="1221"/>
        <v>0.00042970838598792603</v>
      </c>
      <c r="AE736" s="122">
        <f t="shared" si="1221"/>
        <v>0.00042970838598792603</v>
      </c>
      <c r="AF736" s="122">
        <f t="shared" si="1221"/>
        <v>0.00042970838598792603</v>
      </c>
      <c r="AG736" s="122">
        <f t="shared" si="1221"/>
        <v>0.00042970838598792603</v>
      </c>
      <c r="AH736" s="122">
        <f t="shared" si="1221"/>
        <v>0.00042970838598792603</v>
      </c>
      <c r="AI736" s="122">
        <f t="shared" si="1221"/>
        <v>0.00042970838598792603</v>
      </c>
    </row>
    <row r="737" hidden="1" outlineLevel="1">
      <c r="A737" s="44" t="inlineStr">
        <is>
          <t>dpsp</t>
        </is>
      </c>
      <c r="B737" s="3" t="inlineStr">
        <is>
          <t>ofd</t>
        </is>
      </c>
      <c r="C737" s="3" t="inlineStr"/>
      <c r="D737" s="3" t="n">
        <v>34</v>
      </c>
      <c r="E737" s="3" t="inlineStr">
        <is>
          <t>foo</t>
        </is>
      </c>
      <c r="H737" s="3" t="inlineStr">
        <is>
          <t>Other Food: price change, output price</t>
        </is>
      </c>
      <c r="I737" s="3" t="inlineStr">
        <is>
          <t>fraction</t>
        </is>
      </c>
      <c r="J737" s="118" t="inlineStr">
        <is>
          <t>legacy rows 659-661 (fix D26)</t>
        </is>
      </c>
      <c r="K737" s="9" t="str">
        <f>LOWER(CtryCode)&amp;".distn."&amp;$A737&amp;IF($B737="","","."&amp;$B737)&amp;IF($C737="","",".dec."&amp;$C737)&amp;"."&amp;K$5</f>
        <v>egy.distn.dpsp.ofd.1</v>
      </c>
      <c r="L737" s="121">
        <f>L671*IF(LEFT(L$38,3)="Yes",IFERROR(INDEX(DPTVal,MATCH($E737,DPTKey,0)),1),1)</f>
        <v>0.0</v>
      </c>
      <c r="M737" s="122">
        <f t="shared" ref="M737:V737" si="1222">L737</f>
        <v>0.0</v>
      </c>
      <c r="N737" s="122">
        <f t="shared" si="1222"/>
        <v>0.0</v>
      </c>
      <c r="O737" s="122">
        <f t="shared" si="1222"/>
        <v>0.0</v>
      </c>
      <c r="P737" s="122">
        <f t="shared" si="1222"/>
        <v>0.0</v>
      </c>
      <c r="Q737" s="122">
        <f t="shared" si="1222"/>
        <v>0.0</v>
      </c>
      <c r="R737" s="122">
        <f t="shared" si="1222"/>
        <v>0.0</v>
      </c>
      <c r="S737" s="122">
        <f t="shared" si="1222"/>
        <v>0.0</v>
      </c>
      <c r="T737" s="122">
        <f t="shared" si="1222"/>
        <v>0.0</v>
      </c>
      <c r="U737" s="122">
        <f t="shared" si="1222"/>
        <v>0.0</v>
      </c>
      <c r="V737" s="122">
        <f t="shared" si="1222"/>
        <v>0.0</v>
      </c>
      <c r="W737" s="201" t="str">
        <f>IF(X$5=K$5,SUM(Y737:AI737)-SUM(L737:V737),"")</f>
        <v/>
      </c>
      <c r="X737" s="9" t="str">
        <f>LOWER(CtryCode)&amp;".distn."&amp;$A737&amp;IF($B737="","","."&amp;$B737)&amp;IF($C737="","",".dec."&amp;$C737)&amp;"."&amp;X$5</f>
        <v>egy.distn.dpsp.ofd.2</v>
      </c>
      <c r="Y737" s="121">
        <f>Y671*IF(LEFT(Y$38,3)="Yes",IFERROR(INDEX(DPTVal,MATCH($E737,DPTKey,0)),1),1)</f>
        <v>0.001671916248603954</v>
      </c>
      <c r="Z737" s="122">
        <f t="shared" ref="Z737:AI737" si="1223">Y737</f>
        <v>0.001671916248603954</v>
      </c>
      <c r="AA737" s="122">
        <f t="shared" si="1223"/>
        <v>0.001671916248603954</v>
      </c>
      <c r="AB737" s="122">
        <f t="shared" si="1223"/>
        <v>0.001671916248603954</v>
      </c>
      <c r="AC737" s="122">
        <f t="shared" si="1223"/>
        <v>0.001671916248603954</v>
      </c>
      <c r="AD737" s="122">
        <f t="shared" si="1223"/>
        <v>0.001671916248603954</v>
      </c>
      <c r="AE737" s="122">
        <f t="shared" si="1223"/>
        <v>0.001671916248603954</v>
      </c>
      <c r="AF737" s="122">
        <f t="shared" si="1223"/>
        <v>0.001671916248603954</v>
      </c>
      <c r="AG737" s="122">
        <f t="shared" si="1223"/>
        <v>0.001671916248603954</v>
      </c>
      <c r="AH737" s="122">
        <f t="shared" si="1223"/>
        <v>0.001671916248603954</v>
      </c>
      <c r="AI737" s="122">
        <f t="shared" si="1223"/>
        <v>0.001671916248603954</v>
      </c>
    </row>
    <row r="738" hidden="1" outlineLevel="1">
      <c r="A738" s="44" t="inlineStr">
        <is>
          <t>dpsp</t>
        </is>
      </c>
      <c r="B738" s="3" t="inlineStr">
        <is>
          <t>ofi</t>
        </is>
      </c>
      <c r="C738" s="3" t="inlineStr"/>
      <c r="D738" s="3" t="n">
        <v>35</v>
      </c>
      <c r="E738" s="3" t="inlineStr">
        <is>
          <t>srv</t>
        </is>
      </c>
      <c r="H738" s="3" t="inlineStr">
        <is>
          <t>Other financial intermediation: price change, output price</t>
        </is>
      </c>
      <c r="I738" s="3" t="inlineStr">
        <is>
          <t>fraction</t>
        </is>
      </c>
      <c r="J738" s="118" t="inlineStr">
        <is>
          <t>legacy rows 659-661 (fix D26)</t>
        </is>
      </c>
      <c r="K738" s="9" t="str">
        <f>LOWER(CtryCode)&amp;".distn."&amp;$A738&amp;IF($B738="","","."&amp;$B738)&amp;IF($C738="","",".dec."&amp;$C738)&amp;"."&amp;K$5</f>
        <v>egy.distn.dpsp.ofi.1</v>
      </c>
      <c r="L738" s="121">
        <f>L672*IF(LEFT(L$38,3)="Yes",IFERROR(INDEX(DPTVal,MATCH($E738,DPTKey,0)),1),1)</f>
        <v>0.0</v>
      </c>
      <c r="M738" s="122">
        <f t="shared" ref="M738:V738" si="1224">L738</f>
        <v>0.0</v>
      </c>
      <c r="N738" s="122">
        <f t="shared" si="1224"/>
        <v>0.0</v>
      </c>
      <c r="O738" s="122">
        <f t="shared" si="1224"/>
        <v>0.0</v>
      </c>
      <c r="P738" s="122">
        <f t="shared" si="1224"/>
        <v>0.0</v>
      </c>
      <c r="Q738" s="122">
        <f t="shared" si="1224"/>
        <v>0.0</v>
      </c>
      <c r="R738" s="122">
        <f t="shared" si="1224"/>
        <v>0.0</v>
      </c>
      <c r="S738" s="122">
        <f t="shared" si="1224"/>
        <v>0.0</v>
      </c>
      <c r="T738" s="122">
        <f t="shared" si="1224"/>
        <v>0.0</v>
      </c>
      <c r="U738" s="122">
        <f t="shared" si="1224"/>
        <v>0.0</v>
      </c>
      <c r="V738" s="122">
        <f t="shared" si="1224"/>
        <v>0.0</v>
      </c>
      <c r="W738" s="201" t="str">
        <f>IF(X$5=K$5,SUM(Y738:AI738)-SUM(L738:V738),"")</f>
        <v/>
      </c>
      <c r="X738" s="9" t="str">
        <f>LOWER(CtryCode)&amp;".distn."&amp;$A738&amp;IF($B738="","","."&amp;$B738)&amp;IF($C738="","",".dec."&amp;$C738)&amp;"."&amp;X$5</f>
        <v>egy.distn.dpsp.ofi.2</v>
      </c>
      <c r="Y738" s="121">
        <f>Y672*IF(LEFT(Y$38,3)="Yes",IFERROR(INDEX(DPTVal,MATCH($E738,DPTKey,0)),1),1)</f>
        <v>0.00036010150631770146</v>
      </c>
      <c r="Z738" s="122">
        <f t="shared" ref="Z738:AI738" si="1225">Y738</f>
        <v>0.00036010150631770146</v>
      </c>
      <c r="AA738" s="122">
        <f t="shared" si="1225"/>
        <v>0.00036010150631770146</v>
      </c>
      <c r="AB738" s="122">
        <f t="shared" si="1225"/>
        <v>0.00036010150631770146</v>
      </c>
      <c r="AC738" s="122">
        <f t="shared" si="1225"/>
        <v>0.00036010150631770146</v>
      </c>
      <c r="AD738" s="122">
        <f t="shared" si="1225"/>
        <v>0.00036010150631770146</v>
      </c>
      <c r="AE738" s="122">
        <f t="shared" si="1225"/>
        <v>0.00036010150631770146</v>
      </c>
      <c r="AF738" s="122">
        <f t="shared" si="1225"/>
        <v>0.00036010150631770146</v>
      </c>
      <c r="AG738" s="122">
        <f t="shared" si="1225"/>
        <v>0.00036010150631770146</v>
      </c>
      <c r="AH738" s="122">
        <f t="shared" si="1225"/>
        <v>0.00036010150631770146</v>
      </c>
      <c r="AI738" s="122">
        <f t="shared" si="1225"/>
        <v>0.00036010150631770146</v>
      </c>
    </row>
    <row r="739" hidden="1" outlineLevel="1">
      <c r="A739" s="44" t="inlineStr">
        <is>
          <t>dpsp</t>
        </is>
      </c>
      <c r="B739" s="3" t="inlineStr">
        <is>
          <t>oil</t>
        </is>
      </c>
      <c r="C739" s="3" t="inlineStr"/>
      <c r="D739" s="3" t="n">
        <v>36</v>
      </c>
      <c r="E739" s="3" t="inlineStr">
        <is>
          <t>ftr</t>
        </is>
      </c>
      <c r="H739" s="3" t="inlineStr">
        <is>
          <t>Oil: price change, output price</t>
        </is>
      </c>
      <c r="I739" s="3" t="inlineStr">
        <is>
          <t>fraction</t>
        </is>
      </c>
      <c r="J739" s="118" t="inlineStr">
        <is>
          <t>legacy rows 659-661 (fix D26)</t>
        </is>
      </c>
      <c r="K739" s="9" t="str">
        <f>LOWER(CtryCode)&amp;".distn."&amp;$A739&amp;IF($B739="","","."&amp;$B739)&amp;IF($C739="","",".dec."&amp;$C739)&amp;"."&amp;K$5</f>
        <v>egy.distn.dpsp.oil.1</v>
      </c>
      <c r="L739" s="121">
        <f>L673*IF(LEFT(L$38,3)="Yes",IFERROR(INDEX(DPTVal,MATCH($E739,DPTKey,0)),1),1)</f>
        <v>0.0</v>
      </c>
      <c r="M739" s="122">
        <f t="shared" ref="M739:V739" si="1226">L739</f>
        <v>0.0</v>
      </c>
      <c r="N739" s="122">
        <f t="shared" si="1226"/>
        <v>0.0</v>
      </c>
      <c r="O739" s="122">
        <f t="shared" si="1226"/>
        <v>0.0</v>
      </c>
      <c r="P739" s="122">
        <f t="shared" si="1226"/>
        <v>0.0</v>
      </c>
      <c r="Q739" s="122">
        <f t="shared" si="1226"/>
        <v>0.0</v>
      </c>
      <c r="R739" s="122">
        <f t="shared" si="1226"/>
        <v>0.0</v>
      </c>
      <c r="S739" s="122">
        <f t="shared" si="1226"/>
        <v>0.0</v>
      </c>
      <c r="T739" s="122">
        <f t="shared" si="1226"/>
        <v>0.0</v>
      </c>
      <c r="U739" s="122">
        <f t="shared" si="1226"/>
        <v>0.0</v>
      </c>
      <c r="V739" s="122">
        <f t="shared" si="1226"/>
        <v>0.0</v>
      </c>
      <c r="W739" s="201" t="str">
        <f>IF(X$5=K$5,SUM(Y739:AI739)-SUM(L739:V739),"")</f>
        <v/>
      </c>
      <c r="X739" s="9" t="str">
        <f>LOWER(CtryCode)&amp;".distn."&amp;$A739&amp;IF($B739="","","."&amp;$B739)&amp;IF($C739="","",".dec."&amp;$C739)&amp;"."&amp;X$5</f>
        <v>egy.distn.dpsp.oil.2</v>
      </c>
      <c r="Y739" s="121">
        <f>Y673*IF(LEFT(Y$38,3)="Yes",IFERROR(INDEX(DPTVal,MATCH($E739,DPTKey,0)),1),1)</f>
        <v>0.0</v>
      </c>
      <c r="Z739" s="122">
        <f t="shared" ref="Z739:AI739" si="1227">Y739</f>
        <v>0.0</v>
      </c>
      <c r="AA739" s="122">
        <f t="shared" si="1227"/>
        <v>0.0</v>
      </c>
      <c r="AB739" s="122">
        <f t="shared" si="1227"/>
        <v>0.0</v>
      </c>
      <c r="AC739" s="122">
        <f t="shared" si="1227"/>
        <v>0.0</v>
      </c>
      <c r="AD739" s="122">
        <f t="shared" si="1227"/>
        <v>0.0</v>
      </c>
      <c r="AE739" s="122">
        <f t="shared" si="1227"/>
        <v>0.0</v>
      </c>
      <c r="AF739" s="122">
        <f t="shared" si="1227"/>
        <v>0.0</v>
      </c>
      <c r="AG739" s="122">
        <f t="shared" si="1227"/>
        <v>0.0</v>
      </c>
      <c r="AH739" s="122">
        <f t="shared" si="1227"/>
        <v>0.0</v>
      </c>
      <c r="AI739" s="122">
        <f t="shared" si="1227"/>
        <v>0.0</v>
      </c>
    </row>
    <row r="740" hidden="1" outlineLevel="1">
      <c r="A740" s="44" t="inlineStr">
        <is>
          <t>dpsp</t>
        </is>
      </c>
      <c r="B740" s="3" t="inlineStr">
        <is>
          <t>ome</t>
        </is>
      </c>
      <c r="C740" s="3" t="inlineStr"/>
      <c r="D740" s="3" t="n">
        <v>37</v>
      </c>
      <c r="E740" s="3" t="inlineStr">
        <is>
          <t>mac</t>
        </is>
      </c>
      <c r="H740" s="3" t="inlineStr">
        <is>
          <t>Machinery: price change, output price</t>
        </is>
      </c>
      <c r="I740" s="3" t="inlineStr">
        <is>
          <t>fraction</t>
        </is>
      </c>
      <c r="J740" s="118" t="inlineStr">
        <is>
          <t>legacy rows 659-661 (fix D26)</t>
        </is>
      </c>
      <c r="K740" s="9" t="str">
        <f>LOWER(CtryCode)&amp;".distn."&amp;$A740&amp;IF($B740="","","."&amp;$B740)&amp;IF($C740="","",".dec."&amp;$C740)&amp;"."&amp;K$5</f>
        <v>egy.distn.dpsp.ome.1</v>
      </c>
      <c r="L740" s="121">
        <f>L674*IF(LEFT(L$38,3)="Yes",IFERROR(INDEX(DPTVal,MATCH($E740,DPTKey,0)),1),1)</f>
        <v>0.0</v>
      </c>
      <c r="M740" s="122">
        <f t="shared" ref="M740:V740" si="1228">L740</f>
        <v>0.0</v>
      </c>
      <c r="N740" s="122">
        <f t="shared" si="1228"/>
        <v>0.0</v>
      </c>
      <c r="O740" s="122">
        <f t="shared" si="1228"/>
        <v>0.0</v>
      </c>
      <c r="P740" s="122">
        <f t="shared" si="1228"/>
        <v>0.0</v>
      </c>
      <c r="Q740" s="122">
        <f t="shared" si="1228"/>
        <v>0.0</v>
      </c>
      <c r="R740" s="122">
        <f t="shared" si="1228"/>
        <v>0.0</v>
      </c>
      <c r="S740" s="122">
        <f t="shared" si="1228"/>
        <v>0.0</v>
      </c>
      <c r="T740" s="122">
        <f t="shared" si="1228"/>
        <v>0.0</v>
      </c>
      <c r="U740" s="122">
        <f t="shared" si="1228"/>
        <v>0.0</v>
      </c>
      <c r="V740" s="122">
        <f t="shared" si="1228"/>
        <v>0.0</v>
      </c>
      <c r="W740" s="201" t="str">
        <f>IF(X$5=K$5,SUM(Y740:AI740)-SUM(L740:V740),"")</f>
        <v/>
      </c>
      <c r="X740" s="9" t="str">
        <f>LOWER(CtryCode)&amp;".distn."&amp;$A740&amp;IF($B740="","","."&amp;$B740)&amp;IF($C740="","",".dec."&amp;$C740)&amp;"."&amp;X$5</f>
        <v>egy.distn.dpsp.ome.2</v>
      </c>
      <c r="Y740" s="121">
        <f>Y674*IF(LEFT(Y$38,3)="Yes",IFERROR(INDEX(DPTVal,MATCH($E740,DPTKey,0)),1),1)</f>
        <v>0.0024017636562173985</v>
      </c>
      <c r="Z740" s="122">
        <f t="shared" ref="Z740:AI740" si="1229">Y740</f>
        <v>0.0024017636562173985</v>
      </c>
      <c r="AA740" s="122">
        <f t="shared" si="1229"/>
        <v>0.0024017636562173985</v>
      </c>
      <c r="AB740" s="122">
        <f t="shared" si="1229"/>
        <v>0.0024017636562173985</v>
      </c>
      <c r="AC740" s="122">
        <f t="shared" si="1229"/>
        <v>0.0024017636562173985</v>
      </c>
      <c r="AD740" s="122">
        <f t="shared" si="1229"/>
        <v>0.0024017636562173985</v>
      </c>
      <c r="AE740" s="122">
        <f t="shared" si="1229"/>
        <v>0.0024017636562173985</v>
      </c>
      <c r="AF740" s="122">
        <f t="shared" si="1229"/>
        <v>0.0024017636562173985</v>
      </c>
      <c r="AG740" s="122">
        <f t="shared" si="1229"/>
        <v>0.0024017636562173985</v>
      </c>
      <c r="AH740" s="122">
        <f t="shared" si="1229"/>
        <v>0.0024017636562173985</v>
      </c>
      <c r="AI740" s="122">
        <f t="shared" si="1229"/>
        <v>0.0024017636562173985</v>
      </c>
    </row>
    <row r="741" hidden="1" outlineLevel="1">
      <c r="A741" s="44" t="inlineStr">
        <is>
          <t>dpsp</t>
        </is>
      </c>
      <c r="B741" s="3" t="inlineStr">
        <is>
          <t>omf</t>
        </is>
      </c>
      <c r="C741" s="3" t="inlineStr"/>
      <c r="D741" s="3" t="n">
        <v>38</v>
      </c>
      <c r="E741" s="3" t="inlineStr">
        <is>
          <t>srv</t>
        </is>
      </c>
      <c r="H741" s="3" t="inlineStr">
        <is>
          <t>Other Manufacturing: price change, output price</t>
        </is>
      </c>
      <c r="I741" s="3" t="inlineStr">
        <is>
          <t>fraction</t>
        </is>
      </c>
      <c r="J741" s="118" t="inlineStr">
        <is>
          <t>legacy rows 659-661 (fix D26)</t>
        </is>
      </c>
      <c r="K741" s="9" t="str">
        <f>LOWER(CtryCode)&amp;".distn."&amp;$A741&amp;IF($B741="","","."&amp;$B741)&amp;IF($C741="","",".dec."&amp;$C741)&amp;"."&amp;K$5</f>
        <v>egy.distn.dpsp.omf.1</v>
      </c>
      <c r="L741" s="121">
        <f>L675*IF(LEFT(L$38,3)="Yes",IFERROR(INDEX(DPTVal,MATCH($E741,DPTKey,0)),1),1)</f>
        <v>0.0</v>
      </c>
      <c r="M741" s="122">
        <f t="shared" ref="M741:V741" si="1230">L741</f>
        <v>0.0</v>
      </c>
      <c r="N741" s="122">
        <f t="shared" si="1230"/>
        <v>0.0</v>
      </c>
      <c r="O741" s="122">
        <f t="shared" si="1230"/>
        <v>0.0</v>
      </c>
      <c r="P741" s="122">
        <f t="shared" si="1230"/>
        <v>0.0</v>
      </c>
      <c r="Q741" s="122">
        <f t="shared" si="1230"/>
        <v>0.0</v>
      </c>
      <c r="R741" s="122">
        <f t="shared" si="1230"/>
        <v>0.0</v>
      </c>
      <c r="S741" s="122">
        <f t="shared" si="1230"/>
        <v>0.0</v>
      </c>
      <c r="T741" s="122">
        <f t="shared" si="1230"/>
        <v>0.0</v>
      </c>
      <c r="U741" s="122">
        <f t="shared" si="1230"/>
        <v>0.0</v>
      </c>
      <c r="V741" s="122">
        <f t="shared" si="1230"/>
        <v>0.0</v>
      </c>
      <c r="W741" s="201" t="str">
        <f>IF(X$5=K$5,SUM(Y741:AI741)-SUM(L741:V741),"")</f>
        <v/>
      </c>
      <c r="X741" s="9" t="str">
        <f>LOWER(CtryCode)&amp;".distn."&amp;$A741&amp;IF($B741="","","."&amp;$B741)&amp;IF($C741="","",".dec."&amp;$C741)&amp;"."&amp;X$5</f>
        <v>egy.distn.dpsp.omf.2</v>
      </c>
      <c r="Y741" s="121">
        <f>Y675*IF(LEFT(Y$38,3)="Yes",IFERROR(INDEX(DPTVal,MATCH($E741,DPTKey,0)),1),1)</f>
        <v>0.005605508179595983</v>
      </c>
      <c r="Z741" s="122">
        <f t="shared" ref="Z741:AI741" si="1231">Y741</f>
        <v>0.005605508179595983</v>
      </c>
      <c r="AA741" s="122">
        <f t="shared" si="1231"/>
        <v>0.005605508179595983</v>
      </c>
      <c r="AB741" s="122">
        <f t="shared" si="1231"/>
        <v>0.005605508179595983</v>
      </c>
      <c r="AC741" s="122">
        <f t="shared" si="1231"/>
        <v>0.005605508179595983</v>
      </c>
      <c r="AD741" s="122">
        <f t="shared" si="1231"/>
        <v>0.005605508179595983</v>
      </c>
      <c r="AE741" s="122">
        <f t="shared" si="1231"/>
        <v>0.005605508179595983</v>
      </c>
      <c r="AF741" s="122">
        <f t="shared" si="1231"/>
        <v>0.005605508179595983</v>
      </c>
      <c r="AG741" s="122">
        <f t="shared" si="1231"/>
        <v>0.005605508179595983</v>
      </c>
      <c r="AH741" s="122">
        <f t="shared" si="1231"/>
        <v>0.005605508179595983</v>
      </c>
      <c r="AI741" s="122">
        <f t="shared" si="1231"/>
        <v>0.005605508179595983</v>
      </c>
    </row>
    <row r="742" hidden="1" outlineLevel="1">
      <c r="A742" s="44" t="inlineStr">
        <is>
          <t>dpsp</t>
        </is>
      </c>
      <c r="B742" s="3" t="inlineStr">
        <is>
          <t>omt</t>
        </is>
      </c>
      <c r="C742" s="3" t="inlineStr"/>
      <c r="D742" s="3" t="n">
        <v>39</v>
      </c>
      <c r="E742" s="3" t="inlineStr">
        <is>
          <t>foo</t>
        </is>
      </c>
      <c r="H742" s="3" t="inlineStr">
        <is>
          <t>Other Meat: price change, output price</t>
        </is>
      </c>
      <c r="I742" s="3" t="inlineStr">
        <is>
          <t>fraction</t>
        </is>
      </c>
      <c r="J742" s="118" t="inlineStr">
        <is>
          <t>legacy rows 659-661 (fix D26)</t>
        </is>
      </c>
      <c r="K742" s="9" t="str">
        <f>LOWER(CtryCode)&amp;".distn."&amp;$A742&amp;IF($B742="","","."&amp;$B742)&amp;IF($C742="","",".dec."&amp;$C742)&amp;"."&amp;K$5</f>
        <v>egy.distn.dpsp.omt.1</v>
      </c>
      <c r="L742" s="121">
        <f>L676*IF(LEFT(L$38,3)="Yes",IFERROR(INDEX(DPTVal,MATCH($E742,DPTKey,0)),1),1)</f>
        <v>0.0</v>
      </c>
      <c r="M742" s="122">
        <f t="shared" ref="M742:V742" si="1232">L742</f>
        <v>0.0</v>
      </c>
      <c r="N742" s="122">
        <f t="shared" si="1232"/>
        <v>0.0</v>
      </c>
      <c r="O742" s="122">
        <f t="shared" si="1232"/>
        <v>0.0</v>
      </c>
      <c r="P742" s="122">
        <f t="shared" si="1232"/>
        <v>0.0</v>
      </c>
      <c r="Q742" s="122">
        <f t="shared" si="1232"/>
        <v>0.0</v>
      </c>
      <c r="R742" s="122">
        <f t="shared" si="1232"/>
        <v>0.0</v>
      </c>
      <c r="S742" s="122">
        <f t="shared" si="1232"/>
        <v>0.0</v>
      </c>
      <c r="T742" s="122">
        <f t="shared" si="1232"/>
        <v>0.0</v>
      </c>
      <c r="U742" s="122">
        <f t="shared" si="1232"/>
        <v>0.0</v>
      </c>
      <c r="V742" s="122">
        <f t="shared" si="1232"/>
        <v>0.0</v>
      </c>
      <c r="W742" s="201" t="str">
        <f>IF(X$5=K$5,SUM(Y742:AI742)-SUM(L742:V742),"")</f>
        <v/>
      </c>
      <c r="X742" s="9" t="str">
        <f>LOWER(CtryCode)&amp;".distn."&amp;$A742&amp;IF($B742="","","."&amp;$B742)&amp;IF($C742="","",".dec."&amp;$C742)&amp;"."&amp;X$5</f>
        <v>egy.distn.dpsp.omt.2</v>
      </c>
      <c r="Y742" s="121">
        <f>Y676*IF(LEFT(Y$38,3)="Yes",IFERROR(INDEX(DPTVal,MATCH($E742,DPTKey,0)),1),1)</f>
        <v>0.00021913087557903213</v>
      </c>
      <c r="Z742" s="122">
        <f t="shared" ref="Z742:AI742" si="1233">Y742</f>
        <v>0.00021913087557903213</v>
      </c>
      <c r="AA742" s="122">
        <f t="shared" si="1233"/>
        <v>0.00021913087557903213</v>
      </c>
      <c r="AB742" s="122">
        <f t="shared" si="1233"/>
        <v>0.00021913087557903213</v>
      </c>
      <c r="AC742" s="122">
        <f t="shared" si="1233"/>
        <v>0.00021913087557903213</v>
      </c>
      <c r="AD742" s="122">
        <f t="shared" si="1233"/>
        <v>0.00021913087557903213</v>
      </c>
      <c r="AE742" s="122">
        <f t="shared" si="1233"/>
        <v>0.00021913087557903213</v>
      </c>
      <c r="AF742" s="122">
        <f t="shared" si="1233"/>
        <v>0.00021913087557903213</v>
      </c>
      <c r="AG742" s="122">
        <f t="shared" si="1233"/>
        <v>0.00021913087557903213</v>
      </c>
      <c r="AH742" s="122">
        <f t="shared" si="1233"/>
        <v>0.00021913087557903213</v>
      </c>
      <c r="AI742" s="122">
        <f t="shared" si="1233"/>
        <v>0.00021913087557903213</v>
      </c>
    </row>
    <row r="743" hidden="1" outlineLevel="1">
      <c r="A743" s="44" t="inlineStr">
        <is>
          <t>dpsp</t>
        </is>
      </c>
      <c r="B743" s="3" t="inlineStr">
        <is>
          <t>osd</t>
        </is>
      </c>
      <c r="C743" s="3" t="inlineStr"/>
      <c r="D743" s="3" t="n">
        <v>40</v>
      </c>
      <c r="E743" s="3" t="inlineStr">
        <is>
          <t>foo</t>
        </is>
      </c>
      <c r="H743" s="3" t="inlineStr">
        <is>
          <t>Oil Seeds: price change, output price</t>
        </is>
      </c>
      <c r="I743" s="3" t="inlineStr">
        <is>
          <t>fraction</t>
        </is>
      </c>
      <c r="J743" s="118" t="inlineStr">
        <is>
          <t>legacy rows 659-661 (fix D26)</t>
        </is>
      </c>
      <c r="K743" s="9" t="str">
        <f>LOWER(CtryCode)&amp;".distn."&amp;$A743&amp;IF($B743="","","."&amp;$B743)&amp;IF($C743="","",".dec."&amp;$C743)&amp;"."&amp;K$5</f>
        <v>egy.distn.dpsp.osd.1</v>
      </c>
      <c r="L743" s="121">
        <f>L677*IF(LEFT(L$38,3)="Yes",IFERROR(INDEX(DPTVal,MATCH($E743,DPTKey,0)),1),1)</f>
        <v>0.0</v>
      </c>
      <c r="M743" s="122">
        <f t="shared" ref="M743:V743" si="1234">L743</f>
        <v>0.0</v>
      </c>
      <c r="N743" s="122">
        <f t="shared" si="1234"/>
        <v>0.0</v>
      </c>
      <c r="O743" s="122">
        <f t="shared" si="1234"/>
        <v>0.0</v>
      </c>
      <c r="P743" s="122">
        <f t="shared" si="1234"/>
        <v>0.0</v>
      </c>
      <c r="Q743" s="122">
        <f t="shared" si="1234"/>
        <v>0.0</v>
      </c>
      <c r="R743" s="122">
        <f t="shared" si="1234"/>
        <v>0.0</v>
      </c>
      <c r="S743" s="122">
        <f t="shared" si="1234"/>
        <v>0.0</v>
      </c>
      <c r="T743" s="122">
        <f t="shared" si="1234"/>
        <v>0.0</v>
      </c>
      <c r="U743" s="122">
        <f t="shared" si="1234"/>
        <v>0.0</v>
      </c>
      <c r="V743" s="122">
        <f t="shared" si="1234"/>
        <v>0.0</v>
      </c>
      <c r="W743" s="201" t="str">
        <f>IF(X$5=K$5,SUM(Y743:AI743)-SUM(L743:V743),"")</f>
        <v/>
      </c>
      <c r="X743" s="9" t="str">
        <f>LOWER(CtryCode)&amp;".distn."&amp;$A743&amp;IF($B743="","","."&amp;$B743)&amp;IF($C743="","",".dec."&amp;$C743)&amp;"."&amp;X$5</f>
        <v>egy.distn.dpsp.osd.2</v>
      </c>
      <c r="Y743" s="121">
        <f>Y677*IF(LEFT(Y$38,3)="Yes",IFERROR(INDEX(DPTVal,MATCH($E743,DPTKey,0)),1),1)</f>
        <v>0.0008739694997712169</v>
      </c>
      <c r="Z743" s="122">
        <f t="shared" ref="Z743:AI743" si="1235">Y743</f>
        <v>0.0008739694997712169</v>
      </c>
      <c r="AA743" s="122">
        <f t="shared" si="1235"/>
        <v>0.0008739694997712169</v>
      </c>
      <c r="AB743" s="122">
        <f t="shared" si="1235"/>
        <v>0.0008739694997712169</v>
      </c>
      <c r="AC743" s="122">
        <f t="shared" si="1235"/>
        <v>0.0008739694997712169</v>
      </c>
      <c r="AD743" s="122">
        <f t="shared" si="1235"/>
        <v>0.0008739694997712169</v>
      </c>
      <c r="AE743" s="122">
        <f t="shared" si="1235"/>
        <v>0.0008739694997712169</v>
      </c>
      <c r="AF743" s="122">
        <f t="shared" si="1235"/>
        <v>0.0008739694997712169</v>
      </c>
      <c r="AG743" s="122">
        <f t="shared" si="1235"/>
        <v>0.0008739694997712169</v>
      </c>
      <c r="AH743" s="122">
        <f t="shared" si="1235"/>
        <v>0.0008739694997712169</v>
      </c>
      <c r="AI743" s="122">
        <f t="shared" si="1235"/>
        <v>0.0008739694997712169</v>
      </c>
    </row>
    <row r="744" hidden="1" outlineLevel="1">
      <c r="A744" s="44" t="inlineStr">
        <is>
          <t>dpsp</t>
        </is>
      </c>
      <c r="B744" s="3" t="inlineStr">
        <is>
          <t>osg</t>
        </is>
      </c>
      <c r="C744" s="3" t="inlineStr"/>
      <c r="D744" s="3" t="n">
        <v>41</v>
      </c>
      <c r="E744" s="3" t="inlineStr">
        <is>
          <t>srv</t>
        </is>
      </c>
      <c r="H744" s="3" t="inlineStr">
        <is>
          <t>Government services: price change, output price</t>
        </is>
      </c>
      <c r="I744" s="3" t="inlineStr">
        <is>
          <t>fraction</t>
        </is>
      </c>
      <c r="J744" s="118" t="inlineStr">
        <is>
          <t>legacy rows 659-661 (fix D26)</t>
        </is>
      </c>
      <c r="K744" s="9" t="str">
        <f>LOWER(CtryCode)&amp;".distn."&amp;$A744&amp;IF($B744="","","."&amp;$B744)&amp;IF($C744="","",".dec."&amp;$C744)&amp;"."&amp;K$5</f>
        <v>egy.distn.dpsp.osg.1</v>
      </c>
      <c r="L744" s="121">
        <f>L678*IF(LEFT(L$38,3)="Yes",IFERROR(INDEX(DPTVal,MATCH($E744,DPTKey,0)),1),1)</f>
        <v>0.0</v>
      </c>
      <c r="M744" s="122">
        <f t="shared" ref="M744:V744" si="1236">L744</f>
        <v>0.0</v>
      </c>
      <c r="N744" s="122">
        <f t="shared" si="1236"/>
        <v>0.0</v>
      </c>
      <c r="O744" s="122">
        <f t="shared" si="1236"/>
        <v>0.0</v>
      </c>
      <c r="P744" s="122">
        <f t="shared" si="1236"/>
        <v>0.0</v>
      </c>
      <c r="Q744" s="122">
        <f t="shared" si="1236"/>
        <v>0.0</v>
      </c>
      <c r="R744" s="122">
        <f t="shared" si="1236"/>
        <v>0.0</v>
      </c>
      <c r="S744" s="122">
        <f t="shared" si="1236"/>
        <v>0.0</v>
      </c>
      <c r="T744" s="122">
        <f t="shared" si="1236"/>
        <v>0.0</v>
      </c>
      <c r="U744" s="122">
        <f t="shared" si="1236"/>
        <v>0.0</v>
      </c>
      <c r="V744" s="122">
        <f t="shared" si="1236"/>
        <v>0.0</v>
      </c>
      <c r="W744" s="201" t="str">
        <f>IF(X$5=K$5,SUM(Y744:AI744)-SUM(L744:V744),"")</f>
        <v/>
      </c>
      <c r="X744" s="9" t="str">
        <f>LOWER(CtryCode)&amp;".distn."&amp;$A744&amp;IF($B744="","","."&amp;$B744)&amp;IF($C744="","",".dec."&amp;$C744)&amp;"."&amp;X$5</f>
        <v>egy.distn.dpsp.osg.2</v>
      </c>
      <c r="Y744" s="121">
        <f>Y678*IF(LEFT(Y$38,3)="Yes",IFERROR(INDEX(DPTVal,MATCH($E744,DPTKey,0)),1),1)</f>
        <v>0.0011503409822830786</v>
      </c>
      <c r="Z744" s="122">
        <f t="shared" ref="Z744:AI744" si="1237">Y744</f>
        <v>0.0011503409822830786</v>
      </c>
      <c r="AA744" s="122">
        <f t="shared" si="1237"/>
        <v>0.0011503409822830786</v>
      </c>
      <c r="AB744" s="122">
        <f t="shared" si="1237"/>
        <v>0.0011503409822830786</v>
      </c>
      <c r="AC744" s="122">
        <f t="shared" si="1237"/>
        <v>0.0011503409822830786</v>
      </c>
      <c r="AD744" s="122">
        <f t="shared" si="1237"/>
        <v>0.0011503409822830786</v>
      </c>
      <c r="AE744" s="122">
        <f t="shared" si="1237"/>
        <v>0.0011503409822830786</v>
      </c>
      <c r="AF744" s="122">
        <f t="shared" si="1237"/>
        <v>0.0011503409822830786</v>
      </c>
      <c r="AG744" s="122">
        <f t="shared" si="1237"/>
        <v>0.0011503409822830786</v>
      </c>
      <c r="AH744" s="122">
        <f t="shared" si="1237"/>
        <v>0.0011503409822830786</v>
      </c>
      <c r="AI744" s="122">
        <f t="shared" si="1237"/>
        <v>0.0011503409822830786</v>
      </c>
    </row>
    <row r="745" hidden="1" outlineLevel="1">
      <c r="A745" s="44" t="inlineStr">
        <is>
          <t>dpsp</t>
        </is>
      </c>
      <c r="B745" s="3" t="inlineStr">
        <is>
          <t>otn</t>
        </is>
      </c>
      <c r="C745" s="3" t="inlineStr"/>
      <c r="D745" s="3" t="n">
        <v>42</v>
      </c>
      <c r="E745" s="3" t="inlineStr">
        <is>
          <t>mac</t>
        </is>
      </c>
      <c r="H745" s="3" t="inlineStr">
        <is>
          <t>Other transport equipment: price change, output price</t>
        </is>
      </c>
      <c r="I745" s="3" t="inlineStr">
        <is>
          <t>fraction</t>
        </is>
      </c>
      <c r="J745" s="118" t="inlineStr">
        <is>
          <t>legacy rows 659-661 (fix D26)</t>
        </is>
      </c>
      <c r="K745" s="9" t="str">
        <f>LOWER(CtryCode)&amp;".distn."&amp;$A745&amp;IF($B745="","","."&amp;$B745)&amp;IF($C745="","",".dec."&amp;$C745)&amp;"."&amp;K$5</f>
        <v>egy.distn.dpsp.otn.1</v>
      </c>
      <c r="L745" s="121">
        <f>L679*IF(LEFT(L$38,3)="Yes",IFERROR(INDEX(DPTVal,MATCH($E745,DPTKey,0)),1),1)</f>
        <v>0.0</v>
      </c>
      <c r="M745" s="122">
        <f t="shared" ref="M745:V745" si="1238">L745</f>
        <v>0.0</v>
      </c>
      <c r="N745" s="122">
        <f t="shared" si="1238"/>
        <v>0.0</v>
      </c>
      <c r="O745" s="122">
        <f t="shared" si="1238"/>
        <v>0.0</v>
      </c>
      <c r="P745" s="122">
        <f t="shared" si="1238"/>
        <v>0.0</v>
      </c>
      <c r="Q745" s="122">
        <f t="shared" si="1238"/>
        <v>0.0</v>
      </c>
      <c r="R745" s="122">
        <f t="shared" si="1238"/>
        <v>0.0</v>
      </c>
      <c r="S745" s="122">
        <f t="shared" si="1238"/>
        <v>0.0</v>
      </c>
      <c r="T745" s="122">
        <f t="shared" si="1238"/>
        <v>0.0</v>
      </c>
      <c r="U745" s="122">
        <f t="shared" si="1238"/>
        <v>0.0</v>
      </c>
      <c r="V745" s="122">
        <f t="shared" si="1238"/>
        <v>0.0</v>
      </c>
      <c r="W745" s="201" t="str">
        <f>IF(X$5=K$5,SUM(Y745:AI745)-SUM(L745:V745),"")</f>
        <v/>
      </c>
      <c r="X745" s="9" t="str">
        <f>LOWER(CtryCode)&amp;".distn."&amp;$A745&amp;IF($B745="","","."&amp;$B745)&amp;IF($C745="","",".dec."&amp;$C745)&amp;"."&amp;X$5</f>
        <v>egy.distn.dpsp.otn.2</v>
      </c>
      <c r="Y745" s="121">
        <f>Y679*IF(LEFT(Y$38,3)="Yes",IFERROR(INDEX(DPTVal,MATCH($E745,DPTKey,0)),1),1)</f>
        <v>0.0019397959112412652</v>
      </c>
      <c r="Z745" s="122">
        <f t="shared" ref="Z745:AI745" si="1239">Y745</f>
        <v>0.0019397959112412652</v>
      </c>
      <c r="AA745" s="122">
        <f t="shared" si="1239"/>
        <v>0.0019397959112412652</v>
      </c>
      <c r="AB745" s="122">
        <f t="shared" si="1239"/>
        <v>0.0019397959112412652</v>
      </c>
      <c r="AC745" s="122">
        <f t="shared" si="1239"/>
        <v>0.0019397959112412652</v>
      </c>
      <c r="AD745" s="122">
        <f t="shared" si="1239"/>
        <v>0.0019397959112412652</v>
      </c>
      <c r="AE745" s="122">
        <f t="shared" si="1239"/>
        <v>0.0019397959112412652</v>
      </c>
      <c r="AF745" s="122">
        <f t="shared" si="1239"/>
        <v>0.0019397959112412652</v>
      </c>
      <c r="AG745" s="122">
        <f t="shared" si="1239"/>
        <v>0.0019397959112412652</v>
      </c>
      <c r="AH745" s="122">
        <f t="shared" si="1239"/>
        <v>0.0019397959112412652</v>
      </c>
      <c r="AI745" s="122">
        <f t="shared" si="1239"/>
        <v>0.0019397959112412652</v>
      </c>
    </row>
    <row r="746" hidden="1" outlineLevel="1">
      <c r="A746" s="44" t="inlineStr">
        <is>
          <t>dpsp</t>
        </is>
      </c>
      <c r="B746" s="3" t="inlineStr">
        <is>
          <t>otp</t>
        </is>
      </c>
      <c r="C746" s="3" t="inlineStr"/>
      <c r="D746" s="3" t="n">
        <v>43</v>
      </c>
      <c r="E746" s="3" t="inlineStr">
        <is>
          <t>nav</t>
        </is>
      </c>
      <c r="H746" s="3" t="inlineStr">
        <is>
          <t>Land transport: price change, output price</t>
        </is>
      </c>
      <c r="I746" s="3" t="inlineStr">
        <is>
          <t>fraction</t>
        </is>
      </c>
      <c r="J746" s="118" t="inlineStr">
        <is>
          <t>legacy rows 659-661 (fix D26)</t>
        </is>
      </c>
      <c r="K746" s="9" t="str">
        <f>LOWER(CtryCode)&amp;".distn."&amp;$A746&amp;IF($B746="","","."&amp;$B746)&amp;IF($C746="","",".dec."&amp;$C746)&amp;"."&amp;K$5</f>
        <v>egy.distn.dpsp.otp.1</v>
      </c>
      <c r="L746" s="121">
        <f>L680*IF(LEFT(L$38,3)="Yes",IFERROR(INDEX(DPTVal,MATCH($E746,DPTKey,0)),1),1)</f>
        <v>0.0</v>
      </c>
      <c r="M746" s="122">
        <f t="shared" ref="M746:V746" si="1240">L746</f>
        <v>0.0</v>
      </c>
      <c r="N746" s="122">
        <f t="shared" si="1240"/>
        <v>0.0</v>
      </c>
      <c r="O746" s="122">
        <f t="shared" si="1240"/>
        <v>0.0</v>
      </c>
      <c r="P746" s="122">
        <f t="shared" si="1240"/>
        <v>0.0</v>
      </c>
      <c r="Q746" s="122">
        <f t="shared" si="1240"/>
        <v>0.0</v>
      </c>
      <c r="R746" s="122">
        <f t="shared" si="1240"/>
        <v>0.0</v>
      </c>
      <c r="S746" s="122">
        <f t="shared" si="1240"/>
        <v>0.0</v>
      </c>
      <c r="T746" s="122">
        <f t="shared" si="1240"/>
        <v>0.0</v>
      </c>
      <c r="U746" s="122">
        <f t="shared" si="1240"/>
        <v>0.0</v>
      </c>
      <c r="V746" s="122">
        <f t="shared" si="1240"/>
        <v>0.0</v>
      </c>
      <c r="W746" s="201" t="str">
        <f>IF(X$5=K$5,SUM(Y746:AI746)-SUM(L746:V746),"")</f>
        <v/>
      </c>
      <c r="X746" s="9" t="str">
        <f>LOWER(CtryCode)&amp;".distn."&amp;$A746&amp;IF($B746="","","."&amp;$B746)&amp;IF($C746="","",".dec."&amp;$C746)&amp;"."&amp;X$5</f>
        <v>egy.distn.dpsp.otp.2</v>
      </c>
      <c r="Y746" s="121">
        <f>Y680*IF(LEFT(Y$38,3)="Yes",IFERROR(INDEX(DPTVal,MATCH($E746,DPTKey,0)),1),1)</f>
        <v>0.0057002230686377985</v>
      </c>
      <c r="Z746" s="122">
        <f t="shared" ref="Z746:AI746" si="1241">Y746</f>
        <v>0.0057002230686377985</v>
      </c>
      <c r="AA746" s="122">
        <f t="shared" si="1241"/>
        <v>0.0057002230686377985</v>
      </c>
      <c r="AB746" s="122">
        <f t="shared" si="1241"/>
        <v>0.0057002230686377985</v>
      </c>
      <c r="AC746" s="122">
        <f t="shared" si="1241"/>
        <v>0.0057002230686377985</v>
      </c>
      <c r="AD746" s="122">
        <f t="shared" si="1241"/>
        <v>0.0057002230686377985</v>
      </c>
      <c r="AE746" s="122">
        <f t="shared" si="1241"/>
        <v>0.0057002230686377985</v>
      </c>
      <c r="AF746" s="122">
        <f t="shared" si="1241"/>
        <v>0.0057002230686377985</v>
      </c>
      <c r="AG746" s="122">
        <f t="shared" si="1241"/>
        <v>0.0057002230686377985</v>
      </c>
      <c r="AH746" s="122">
        <f t="shared" si="1241"/>
        <v>0.0057002230686377985</v>
      </c>
      <c r="AI746" s="122">
        <f t="shared" si="1241"/>
        <v>0.0057002230686377985</v>
      </c>
    </row>
    <row r="747" hidden="1" outlineLevel="1">
      <c r="A747" s="44" t="inlineStr">
        <is>
          <t>dpsp</t>
        </is>
      </c>
      <c r="B747" s="3" t="inlineStr">
        <is>
          <t>oxt</t>
        </is>
      </c>
      <c r="C747" s="3" t="inlineStr"/>
      <c r="D747" s="3" t="n">
        <v>44</v>
      </c>
      <c r="E747" s="3" t="inlineStr">
        <is>
          <t>mch</t>
        </is>
      </c>
      <c r="H747" s="3" t="inlineStr">
        <is>
          <t>Other Mining: price change, output price</t>
        </is>
      </c>
      <c r="I747" s="3" t="inlineStr">
        <is>
          <t>fraction</t>
        </is>
      </c>
      <c r="J747" s="118" t="inlineStr">
        <is>
          <t>legacy rows 659-661 (fix D26)</t>
        </is>
      </c>
      <c r="K747" s="9" t="str">
        <f>LOWER(CtryCode)&amp;".distn."&amp;$A747&amp;IF($B747="","","."&amp;$B747)&amp;IF($C747="","",".dec."&amp;$C747)&amp;"."&amp;K$5</f>
        <v>egy.distn.dpsp.oxt.1</v>
      </c>
      <c r="L747" s="121">
        <f>L681*IF(LEFT(L$38,3)="Yes",IFERROR(INDEX(DPTVal,MATCH($E747,DPTKey,0)),1),1)</f>
        <v>0.0</v>
      </c>
      <c r="M747" s="122">
        <f t="shared" ref="M747:V747" si="1242">L747</f>
        <v>0.0</v>
      </c>
      <c r="N747" s="122">
        <f t="shared" si="1242"/>
        <v>0.0</v>
      </c>
      <c r="O747" s="122">
        <f t="shared" si="1242"/>
        <v>0.0</v>
      </c>
      <c r="P747" s="122">
        <f t="shared" si="1242"/>
        <v>0.0</v>
      </c>
      <c r="Q747" s="122">
        <f t="shared" si="1242"/>
        <v>0.0</v>
      </c>
      <c r="R747" s="122">
        <f t="shared" si="1242"/>
        <v>0.0</v>
      </c>
      <c r="S747" s="122">
        <f t="shared" si="1242"/>
        <v>0.0</v>
      </c>
      <c r="T747" s="122">
        <f t="shared" si="1242"/>
        <v>0.0</v>
      </c>
      <c r="U747" s="122">
        <f t="shared" si="1242"/>
        <v>0.0</v>
      </c>
      <c r="V747" s="122">
        <f t="shared" si="1242"/>
        <v>0.0</v>
      </c>
      <c r="W747" s="201" t="str">
        <f>IF(X$5=K$5,SUM(Y747:AI747)-SUM(L747:V747),"")</f>
        <v/>
      </c>
      <c r="X747" s="9" t="str">
        <f>LOWER(CtryCode)&amp;".distn."&amp;$A747&amp;IF($B747="","","."&amp;$B747)&amp;IF($C747="","",".dec."&amp;$C747)&amp;"."&amp;X$5</f>
        <v>egy.distn.dpsp.oxt.2</v>
      </c>
      <c r="Y747" s="121">
        <f>Y681*IF(LEFT(Y$38,3)="Yes",IFERROR(INDEX(DPTVal,MATCH($E747,DPTKey,0)),1),1)</f>
        <v>0.005987124884325509</v>
      </c>
      <c r="Z747" s="122">
        <f t="shared" ref="Z747:AI747" si="1243">Y747</f>
        <v>0.005987124884325509</v>
      </c>
      <c r="AA747" s="122">
        <f t="shared" si="1243"/>
        <v>0.005987124884325509</v>
      </c>
      <c r="AB747" s="122">
        <f t="shared" si="1243"/>
        <v>0.005987124884325509</v>
      </c>
      <c r="AC747" s="122">
        <f t="shared" si="1243"/>
        <v>0.005987124884325509</v>
      </c>
      <c r="AD747" s="122">
        <f t="shared" si="1243"/>
        <v>0.005987124884325509</v>
      </c>
      <c r="AE747" s="122">
        <f t="shared" si="1243"/>
        <v>0.005987124884325509</v>
      </c>
      <c r="AF747" s="122">
        <f t="shared" si="1243"/>
        <v>0.005987124884325509</v>
      </c>
      <c r="AG747" s="122">
        <f t="shared" si="1243"/>
        <v>0.005987124884325509</v>
      </c>
      <c r="AH747" s="122">
        <f t="shared" si="1243"/>
        <v>0.005987124884325509</v>
      </c>
      <c r="AI747" s="122">
        <f t="shared" si="1243"/>
        <v>0.005987124884325509</v>
      </c>
    </row>
    <row r="748" hidden="1" outlineLevel="1">
      <c r="A748" s="44" t="inlineStr">
        <is>
          <t>dpsp</t>
        </is>
      </c>
      <c r="B748" s="3" t="inlineStr">
        <is>
          <t>p_c</t>
        </is>
      </c>
      <c r="C748" s="3" t="inlineStr"/>
      <c r="D748" s="3" t="n">
        <v>45</v>
      </c>
      <c r="E748" s="3" t="inlineStr">
        <is>
          <t>ftr</t>
        </is>
      </c>
      <c r="H748" s="3" t="inlineStr">
        <is>
          <t>Petroleum &amp; Coke: price change, output price</t>
        </is>
      </c>
      <c r="I748" s="3" t="inlineStr">
        <is>
          <t>fraction</t>
        </is>
      </c>
      <c r="J748" s="118" t="inlineStr">
        <is>
          <t>legacy rows 659-661 (fix D26)</t>
        </is>
      </c>
      <c r="K748" s="9" t="str">
        <f>LOWER(CtryCode)&amp;".distn."&amp;$A748&amp;IF($B748="","","."&amp;$B748)&amp;IF($C748="","",".dec."&amp;$C748)&amp;"."&amp;K$5</f>
        <v>egy.distn.dpsp.p_c.1</v>
      </c>
      <c r="L748" s="121">
        <f>L682*IF(LEFT(L$38,3)="Yes",IFERROR(INDEX(DPTVal,MATCH($E748,DPTKey,0)),1),1)</f>
        <v>0.0</v>
      </c>
      <c r="M748" s="122">
        <f t="shared" ref="M748:V748" si="1244">L748</f>
        <v>0.0</v>
      </c>
      <c r="N748" s="122">
        <f t="shared" si="1244"/>
        <v>0.0</v>
      </c>
      <c r="O748" s="122">
        <f t="shared" si="1244"/>
        <v>0.0</v>
      </c>
      <c r="P748" s="122">
        <f t="shared" si="1244"/>
        <v>0.0</v>
      </c>
      <c r="Q748" s="122">
        <f t="shared" si="1244"/>
        <v>0.0</v>
      </c>
      <c r="R748" s="122">
        <f t="shared" si="1244"/>
        <v>0.0</v>
      </c>
      <c r="S748" s="122">
        <f t="shared" si="1244"/>
        <v>0.0</v>
      </c>
      <c r="T748" s="122">
        <f t="shared" si="1244"/>
        <v>0.0</v>
      </c>
      <c r="U748" s="122">
        <f t="shared" si="1244"/>
        <v>0.0</v>
      </c>
      <c r="V748" s="122">
        <f t="shared" si="1244"/>
        <v>0.0</v>
      </c>
      <c r="W748" s="201" t="str">
        <f>IF(X$5=K$5,SUM(Y748:AI748)-SUM(L748:V748),"")</f>
        <v/>
      </c>
      <c r="X748" s="9" t="str">
        <f>LOWER(CtryCode)&amp;".distn."&amp;$A748&amp;IF($B748="","","."&amp;$B748)&amp;IF($C748="","",".dec."&amp;$C748)&amp;"."&amp;X$5</f>
        <v>egy.distn.dpsp.p_c.2</v>
      </c>
      <c r="Y748" s="121">
        <f>Y682*IF(LEFT(Y$38,3)="Yes",IFERROR(INDEX(DPTVal,MATCH($E748,DPTKey,0)),1),1)</f>
        <v>0.0</v>
      </c>
      <c r="Z748" s="122">
        <f t="shared" ref="Z748:AI748" si="1245">Y748</f>
        <v>0.0</v>
      </c>
      <c r="AA748" s="122">
        <f t="shared" si="1245"/>
        <v>0.0</v>
      </c>
      <c r="AB748" s="122">
        <f t="shared" si="1245"/>
        <v>0.0</v>
      </c>
      <c r="AC748" s="122">
        <f t="shared" si="1245"/>
        <v>0.0</v>
      </c>
      <c r="AD748" s="122">
        <f t="shared" si="1245"/>
        <v>0.0</v>
      </c>
      <c r="AE748" s="122">
        <f t="shared" si="1245"/>
        <v>0.0</v>
      </c>
      <c r="AF748" s="122">
        <f t="shared" si="1245"/>
        <v>0.0</v>
      </c>
      <c r="AG748" s="122">
        <f t="shared" si="1245"/>
        <v>0.0</v>
      </c>
      <c r="AH748" s="122">
        <f t="shared" si="1245"/>
        <v>0.0</v>
      </c>
      <c r="AI748" s="122">
        <f t="shared" si="1245"/>
        <v>0.0</v>
      </c>
    </row>
    <row r="749" hidden="1" outlineLevel="1">
      <c r="A749" s="44" t="inlineStr">
        <is>
          <t>dpsp</t>
        </is>
      </c>
      <c r="B749" s="3" t="inlineStr">
        <is>
          <t>pcr</t>
        </is>
      </c>
      <c r="C749" s="3" t="inlineStr"/>
      <c r="D749" s="3" t="n">
        <v>46</v>
      </c>
      <c r="E749" s="3" t="inlineStr">
        <is>
          <t>foo</t>
        </is>
      </c>
      <c r="H749" s="3" t="inlineStr">
        <is>
          <t>Processed Rice: price change, output price</t>
        </is>
      </c>
      <c r="I749" s="3" t="inlineStr">
        <is>
          <t>fraction</t>
        </is>
      </c>
      <c r="J749" s="118" t="inlineStr">
        <is>
          <t>legacy rows 659-661 (fix D26)</t>
        </is>
      </c>
      <c r="K749" s="9" t="str">
        <f>LOWER(CtryCode)&amp;".distn."&amp;$A749&amp;IF($B749="","","."&amp;$B749)&amp;IF($C749="","",".dec."&amp;$C749)&amp;"."&amp;K$5</f>
        <v>egy.distn.dpsp.pcr.1</v>
      </c>
      <c r="L749" s="121">
        <f>L683*IF(LEFT(L$38,3)="Yes",IFERROR(INDEX(DPTVal,MATCH($E749,DPTKey,0)),1),1)</f>
        <v>0.0</v>
      </c>
      <c r="M749" s="122">
        <f t="shared" ref="M749:V749" si="1246">L749</f>
        <v>0.0</v>
      </c>
      <c r="N749" s="122">
        <f t="shared" si="1246"/>
        <v>0.0</v>
      </c>
      <c r="O749" s="122">
        <f t="shared" si="1246"/>
        <v>0.0</v>
      </c>
      <c r="P749" s="122">
        <f t="shared" si="1246"/>
        <v>0.0</v>
      </c>
      <c r="Q749" s="122">
        <f t="shared" si="1246"/>
        <v>0.0</v>
      </c>
      <c r="R749" s="122">
        <f t="shared" si="1246"/>
        <v>0.0</v>
      </c>
      <c r="S749" s="122">
        <f t="shared" si="1246"/>
        <v>0.0</v>
      </c>
      <c r="T749" s="122">
        <f t="shared" si="1246"/>
        <v>0.0</v>
      </c>
      <c r="U749" s="122">
        <f t="shared" si="1246"/>
        <v>0.0</v>
      </c>
      <c r="V749" s="122">
        <f t="shared" si="1246"/>
        <v>0.0</v>
      </c>
      <c r="W749" s="201" t="str">
        <f>IF(X$5=K$5,SUM(Y749:AI749)-SUM(L749:V749),"")</f>
        <v/>
      </c>
      <c r="X749" s="9" t="str">
        <f>LOWER(CtryCode)&amp;".distn."&amp;$A749&amp;IF($B749="","","."&amp;$B749)&amp;IF($C749="","",".dec."&amp;$C749)&amp;"."&amp;X$5</f>
        <v>egy.distn.dpsp.pcr.2</v>
      </c>
      <c r="Y749" s="121">
        <f>Y683*IF(LEFT(Y$38,3)="Yes",IFERROR(INDEX(DPTVal,MATCH($E749,DPTKey,0)),1),1)</f>
        <v>0.0012008630028594476</v>
      </c>
      <c r="Z749" s="122">
        <f t="shared" ref="Z749:AI749" si="1247">Y749</f>
        <v>0.0012008630028594476</v>
      </c>
      <c r="AA749" s="122">
        <f t="shared" si="1247"/>
        <v>0.0012008630028594476</v>
      </c>
      <c r="AB749" s="122">
        <f t="shared" si="1247"/>
        <v>0.0012008630028594476</v>
      </c>
      <c r="AC749" s="122">
        <f t="shared" si="1247"/>
        <v>0.0012008630028594476</v>
      </c>
      <c r="AD749" s="122">
        <f t="shared" si="1247"/>
        <v>0.0012008630028594476</v>
      </c>
      <c r="AE749" s="122">
        <f t="shared" si="1247"/>
        <v>0.0012008630028594476</v>
      </c>
      <c r="AF749" s="122">
        <f t="shared" si="1247"/>
        <v>0.0012008630028594476</v>
      </c>
      <c r="AG749" s="122">
        <f t="shared" si="1247"/>
        <v>0.0012008630028594476</v>
      </c>
      <c r="AH749" s="122">
        <f t="shared" si="1247"/>
        <v>0.0012008630028594476</v>
      </c>
      <c r="AI749" s="122">
        <f t="shared" si="1247"/>
        <v>0.0012008630028594476</v>
      </c>
    </row>
    <row r="750" hidden="1" outlineLevel="1">
      <c r="A750" s="44" t="inlineStr">
        <is>
          <t>dpsp</t>
        </is>
      </c>
      <c r="B750" s="3" t="inlineStr">
        <is>
          <t>pdr</t>
        </is>
      </c>
      <c r="C750" s="3" t="inlineStr"/>
      <c r="D750" s="3" t="n">
        <v>47</v>
      </c>
      <c r="E750" s="3" t="inlineStr">
        <is>
          <t>foo</t>
        </is>
      </c>
      <c r="H750" s="3" t="inlineStr">
        <is>
          <t>Rice: price change, output price</t>
        </is>
      </c>
      <c r="I750" s="3" t="inlineStr">
        <is>
          <t>fraction</t>
        </is>
      </c>
      <c r="J750" s="118" t="inlineStr">
        <is>
          <t>legacy rows 659-661 (fix D26)</t>
        </is>
      </c>
      <c r="K750" s="9" t="str">
        <f>LOWER(CtryCode)&amp;".distn."&amp;$A750&amp;IF($B750="","","."&amp;$B750)&amp;IF($C750="","",".dec."&amp;$C750)&amp;"."&amp;K$5</f>
        <v>egy.distn.dpsp.pdr.1</v>
      </c>
      <c r="L750" s="121">
        <f>L684*IF(LEFT(L$38,3)="Yes",IFERROR(INDEX(DPTVal,MATCH($E750,DPTKey,0)),1),1)</f>
        <v>0.0</v>
      </c>
      <c r="M750" s="122">
        <f t="shared" ref="M750:V750" si="1248">L750</f>
        <v>0.0</v>
      </c>
      <c r="N750" s="122">
        <f t="shared" si="1248"/>
        <v>0.0</v>
      </c>
      <c r="O750" s="122">
        <f t="shared" si="1248"/>
        <v>0.0</v>
      </c>
      <c r="P750" s="122">
        <f t="shared" si="1248"/>
        <v>0.0</v>
      </c>
      <c r="Q750" s="122">
        <f t="shared" si="1248"/>
        <v>0.0</v>
      </c>
      <c r="R750" s="122">
        <f t="shared" si="1248"/>
        <v>0.0</v>
      </c>
      <c r="S750" s="122">
        <f t="shared" si="1248"/>
        <v>0.0</v>
      </c>
      <c r="T750" s="122">
        <f t="shared" si="1248"/>
        <v>0.0</v>
      </c>
      <c r="U750" s="122">
        <f t="shared" si="1248"/>
        <v>0.0</v>
      </c>
      <c r="V750" s="122">
        <f t="shared" si="1248"/>
        <v>0.0</v>
      </c>
      <c r="W750" s="201" t="str">
        <f>IF(X$5=K$5,SUM(Y750:AI750)-SUM(L750:V750),"")</f>
        <v/>
      </c>
      <c r="X750" s="9" t="str">
        <f>LOWER(CtryCode)&amp;".distn."&amp;$A750&amp;IF($B750="","","."&amp;$B750)&amp;IF($C750="","",".dec."&amp;$C750)&amp;"."&amp;X$5</f>
        <v>egy.distn.dpsp.pdr.2</v>
      </c>
      <c r="Y750" s="121">
        <f>Y684*IF(LEFT(Y$38,3)="Yes",IFERROR(INDEX(DPTVal,MATCH($E750,DPTKey,0)),1),1)</f>
        <v>0.0009869046317954188</v>
      </c>
      <c r="Z750" s="122">
        <f t="shared" ref="Z750:AI750" si="1249">Y750</f>
        <v>0.0009869046317954188</v>
      </c>
      <c r="AA750" s="122">
        <f t="shared" si="1249"/>
        <v>0.0009869046317954188</v>
      </c>
      <c r="AB750" s="122">
        <f t="shared" si="1249"/>
        <v>0.0009869046317954188</v>
      </c>
      <c r="AC750" s="122">
        <f t="shared" si="1249"/>
        <v>0.0009869046317954188</v>
      </c>
      <c r="AD750" s="122">
        <f t="shared" si="1249"/>
        <v>0.0009869046317954188</v>
      </c>
      <c r="AE750" s="122">
        <f t="shared" si="1249"/>
        <v>0.0009869046317954188</v>
      </c>
      <c r="AF750" s="122">
        <f t="shared" si="1249"/>
        <v>0.0009869046317954188</v>
      </c>
      <c r="AG750" s="122">
        <f t="shared" si="1249"/>
        <v>0.0009869046317954188</v>
      </c>
      <c r="AH750" s="122">
        <f t="shared" si="1249"/>
        <v>0.0009869046317954188</v>
      </c>
      <c r="AI750" s="122">
        <f t="shared" si="1249"/>
        <v>0.0009869046317954188</v>
      </c>
    </row>
    <row r="751" hidden="1" outlineLevel="1">
      <c r="A751" s="44" t="inlineStr">
        <is>
          <t>dpsp</t>
        </is>
      </c>
      <c r="B751" s="3" t="inlineStr">
        <is>
          <t>pfb</t>
        </is>
      </c>
      <c r="C751" s="3" t="inlineStr"/>
      <c r="D751" s="3" t="n">
        <v>48</v>
      </c>
      <c r="E751" s="3" t="inlineStr">
        <is>
          <t>foo</t>
        </is>
      </c>
      <c r="H751" s="3" t="inlineStr">
        <is>
          <t>Fibres crops: price change, output price</t>
        </is>
      </c>
      <c r="I751" s="3" t="inlineStr">
        <is>
          <t>fraction</t>
        </is>
      </c>
      <c r="J751" s="118" t="inlineStr">
        <is>
          <t>legacy rows 659-661 (fix D26)</t>
        </is>
      </c>
      <c r="K751" s="9" t="str">
        <f>LOWER(CtryCode)&amp;".distn."&amp;$A751&amp;IF($B751="","","."&amp;$B751)&amp;IF($C751="","",".dec."&amp;$C751)&amp;"."&amp;K$5</f>
        <v>egy.distn.dpsp.pfb.1</v>
      </c>
      <c r="L751" s="121">
        <f>L685*IF(LEFT(L$38,3)="Yes",IFERROR(INDEX(DPTVal,MATCH($E751,DPTKey,0)),1),1)</f>
        <v>0.0</v>
      </c>
      <c r="M751" s="122">
        <f t="shared" ref="M751:V751" si="1250">L751</f>
        <v>0.0</v>
      </c>
      <c r="N751" s="122">
        <f t="shared" si="1250"/>
        <v>0.0</v>
      </c>
      <c r="O751" s="122">
        <f t="shared" si="1250"/>
        <v>0.0</v>
      </c>
      <c r="P751" s="122">
        <f t="shared" si="1250"/>
        <v>0.0</v>
      </c>
      <c r="Q751" s="122">
        <f t="shared" si="1250"/>
        <v>0.0</v>
      </c>
      <c r="R751" s="122">
        <f t="shared" si="1250"/>
        <v>0.0</v>
      </c>
      <c r="S751" s="122">
        <f t="shared" si="1250"/>
        <v>0.0</v>
      </c>
      <c r="T751" s="122">
        <f t="shared" si="1250"/>
        <v>0.0</v>
      </c>
      <c r="U751" s="122">
        <f t="shared" si="1250"/>
        <v>0.0</v>
      </c>
      <c r="V751" s="122">
        <f t="shared" si="1250"/>
        <v>0.0</v>
      </c>
      <c r="W751" s="201" t="str">
        <f>IF(X$5=K$5,SUM(Y751:AI751)-SUM(L751:V751),"")</f>
        <v/>
      </c>
      <c r="X751" s="9" t="str">
        <f>LOWER(CtryCode)&amp;".distn."&amp;$A751&amp;IF($B751="","","."&amp;$B751)&amp;IF($C751="","",".dec."&amp;$C751)&amp;"."&amp;X$5</f>
        <v>egy.distn.dpsp.pfb.2</v>
      </c>
      <c r="Y751" s="121">
        <f>Y685*IF(LEFT(Y$38,3)="Yes",IFERROR(INDEX(DPTVal,MATCH($E751,DPTKey,0)),1),1)</f>
        <v>0.0029298848941635676</v>
      </c>
      <c r="Z751" s="122">
        <f t="shared" ref="Z751:AI751" si="1251">Y751</f>
        <v>0.0029298848941635676</v>
      </c>
      <c r="AA751" s="122">
        <f t="shared" si="1251"/>
        <v>0.0029298848941635676</v>
      </c>
      <c r="AB751" s="122">
        <f t="shared" si="1251"/>
        <v>0.0029298848941635676</v>
      </c>
      <c r="AC751" s="122">
        <f t="shared" si="1251"/>
        <v>0.0029298848941635676</v>
      </c>
      <c r="AD751" s="122">
        <f t="shared" si="1251"/>
        <v>0.0029298848941635676</v>
      </c>
      <c r="AE751" s="122">
        <f t="shared" si="1251"/>
        <v>0.0029298848941635676</v>
      </c>
      <c r="AF751" s="122">
        <f t="shared" si="1251"/>
        <v>0.0029298848941635676</v>
      </c>
      <c r="AG751" s="122">
        <f t="shared" si="1251"/>
        <v>0.0029298848941635676</v>
      </c>
      <c r="AH751" s="122">
        <f t="shared" si="1251"/>
        <v>0.0029298848941635676</v>
      </c>
      <c r="AI751" s="122">
        <f t="shared" si="1251"/>
        <v>0.0029298848941635676</v>
      </c>
    </row>
    <row r="752" hidden="1" outlineLevel="1">
      <c r="A752" s="44" t="inlineStr">
        <is>
          <t>dpsp</t>
        </is>
      </c>
      <c r="B752" s="3" t="inlineStr">
        <is>
          <t>ppp</t>
        </is>
      </c>
      <c r="C752" s="3" t="inlineStr"/>
      <c r="D752" s="3" t="n">
        <v>49</v>
      </c>
      <c r="E752" s="3" t="inlineStr">
        <is>
          <t>omn</t>
        </is>
      </c>
      <c r="H752" s="3" t="inlineStr">
        <is>
          <t>Paper: price change, output price</t>
        </is>
      </c>
      <c r="I752" s="3" t="inlineStr">
        <is>
          <t>fraction</t>
        </is>
      </c>
      <c r="J752" s="118" t="inlineStr">
        <is>
          <t>legacy rows 659-661 (fix D26)</t>
        </is>
      </c>
      <c r="K752" s="9" t="str">
        <f>LOWER(CtryCode)&amp;".distn."&amp;$A752&amp;IF($B752="","","."&amp;$B752)&amp;IF($C752="","",".dec."&amp;$C752)&amp;"."&amp;K$5</f>
        <v>egy.distn.dpsp.ppp.1</v>
      </c>
      <c r="L752" s="121">
        <f>L686*IF(LEFT(L$38,3)="Yes",IFERROR(INDEX(DPTVal,MATCH($E752,DPTKey,0)),1),1)</f>
        <v>0.0</v>
      </c>
      <c r="M752" s="122">
        <f t="shared" ref="M752:V752" si="1252">L752</f>
        <v>0.0</v>
      </c>
      <c r="N752" s="122">
        <f t="shared" si="1252"/>
        <v>0.0</v>
      </c>
      <c r="O752" s="122">
        <f t="shared" si="1252"/>
        <v>0.0</v>
      </c>
      <c r="P752" s="122">
        <f t="shared" si="1252"/>
        <v>0.0</v>
      </c>
      <c r="Q752" s="122">
        <f t="shared" si="1252"/>
        <v>0.0</v>
      </c>
      <c r="R752" s="122">
        <f t="shared" si="1252"/>
        <v>0.0</v>
      </c>
      <c r="S752" s="122">
        <f t="shared" si="1252"/>
        <v>0.0</v>
      </c>
      <c r="T752" s="122">
        <f t="shared" si="1252"/>
        <v>0.0</v>
      </c>
      <c r="U752" s="122">
        <f t="shared" si="1252"/>
        <v>0.0</v>
      </c>
      <c r="V752" s="122">
        <f t="shared" si="1252"/>
        <v>0.0</v>
      </c>
      <c r="W752" s="201" t="str">
        <f>IF(X$5=K$5,SUM(Y752:AI752)-SUM(L752:V752),"")</f>
        <v/>
      </c>
      <c r="X752" s="9" t="str">
        <f>LOWER(CtryCode)&amp;".distn."&amp;$A752&amp;IF($B752="","","."&amp;$B752)&amp;IF($C752="","",".dec."&amp;$C752)&amp;"."&amp;X$5</f>
        <v>egy.distn.dpsp.ppp.2</v>
      </c>
      <c r="Y752" s="121">
        <f>Y686*IF(LEFT(Y$38,3)="Yes",IFERROR(INDEX(DPTVal,MATCH($E752,DPTKey,0)),1),1)</f>
        <v>0.002658702658518509</v>
      </c>
      <c r="Z752" s="122">
        <f t="shared" ref="Z752:AI752" si="1253">Y752</f>
        <v>0.002658702658518509</v>
      </c>
      <c r="AA752" s="122">
        <f t="shared" si="1253"/>
        <v>0.002658702658518509</v>
      </c>
      <c r="AB752" s="122">
        <f t="shared" si="1253"/>
        <v>0.002658702658518509</v>
      </c>
      <c r="AC752" s="122">
        <f t="shared" si="1253"/>
        <v>0.002658702658518509</v>
      </c>
      <c r="AD752" s="122">
        <f t="shared" si="1253"/>
        <v>0.002658702658518509</v>
      </c>
      <c r="AE752" s="122">
        <f t="shared" si="1253"/>
        <v>0.002658702658518509</v>
      </c>
      <c r="AF752" s="122">
        <f t="shared" si="1253"/>
        <v>0.002658702658518509</v>
      </c>
      <c r="AG752" s="122">
        <f t="shared" si="1253"/>
        <v>0.002658702658518509</v>
      </c>
      <c r="AH752" s="122">
        <f t="shared" si="1253"/>
        <v>0.002658702658518509</v>
      </c>
      <c r="AI752" s="122">
        <f t="shared" si="1253"/>
        <v>0.002658702658518509</v>
      </c>
    </row>
    <row r="753" hidden="1" outlineLevel="1">
      <c r="A753" s="44" t="inlineStr">
        <is>
          <t>dpsp</t>
        </is>
      </c>
      <c r="B753" s="3" t="inlineStr">
        <is>
          <t>rmk</t>
        </is>
      </c>
      <c r="C753" s="3" t="inlineStr"/>
      <c r="D753" s="3" t="n">
        <v>50</v>
      </c>
      <c r="E753" s="3" t="inlineStr">
        <is>
          <t>foo</t>
        </is>
      </c>
      <c r="H753" s="3" t="inlineStr">
        <is>
          <t>Raw milk: price change, output price</t>
        </is>
      </c>
      <c r="I753" s="3" t="inlineStr">
        <is>
          <t>fraction</t>
        </is>
      </c>
      <c r="J753" s="118" t="inlineStr">
        <is>
          <t>legacy rows 659-661 (fix D26)</t>
        </is>
      </c>
      <c r="K753" s="9" t="str">
        <f>LOWER(CtryCode)&amp;".distn."&amp;$A753&amp;IF($B753="","","."&amp;$B753)&amp;IF($C753="","",".dec."&amp;$C753)&amp;"."&amp;K$5</f>
        <v>egy.distn.dpsp.rmk.1</v>
      </c>
      <c r="L753" s="121">
        <f>L687*IF(LEFT(L$38,3)="Yes",IFERROR(INDEX(DPTVal,MATCH($E753,DPTKey,0)),1),1)</f>
        <v>0.0</v>
      </c>
      <c r="M753" s="122">
        <f t="shared" ref="M753:V753" si="1254">L753</f>
        <v>0.0</v>
      </c>
      <c r="N753" s="122">
        <f t="shared" si="1254"/>
        <v>0.0</v>
      </c>
      <c r="O753" s="122">
        <f t="shared" si="1254"/>
        <v>0.0</v>
      </c>
      <c r="P753" s="122">
        <f t="shared" si="1254"/>
        <v>0.0</v>
      </c>
      <c r="Q753" s="122">
        <f t="shared" si="1254"/>
        <v>0.0</v>
      </c>
      <c r="R753" s="122">
        <f t="shared" si="1254"/>
        <v>0.0</v>
      </c>
      <c r="S753" s="122">
        <f t="shared" si="1254"/>
        <v>0.0</v>
      </c>
      <c r="T753" s="122">
        <f t="shared" si="1254"/>
        <v>0.0</v>
      </c>
      <c r="U753" s="122">
        <f t="shared" si="1254"/>
        <v>0.0</v>
      </c>
      <c r="V753" s="122">
        <f t="shared" si="1254"/>
        <v>0.0</v>
      </c>
      <c r="W753" s="201" t="str">
        <f>IF(X$5=K$5,SUM(Y753:AI753)-SUM(L753:V753),"")</f>
        <v/>
      </c>
      <c r="X753" s="9" t="str">
        <f>LOWER(CtryCode)&amp;".distn."&amp;$A753&amp;IF($B753="","","."&amp;$B753)&amp;IF($C753="","",".dec."&amp;$C753)&amp;"."&amp;X$5</f>
        <v>egy.distn.dpsp.rmk.2</v>
      </c>
      <c r="Y753" s="121">
        <f>Y687*IF(LEFT(Y$38,3)="Yes",IFERROR(INDEX(DPTVal,MATCH($E753,DPTKey,0)),1),1)</f>
        <v>0.001135524904215367</v>
      </c>
      <c r="Z753" s="122">
        <f t="shared" ref="Z753:AI753" si="1255">Y753</f>
        <v>0.001135524904215367</v>
      </c>
      <c r="AA753" s="122">
        <f t="shared" si="1255"/>
        <v>0.001135524904215367</v>
      </c>
      <c r="AB753" s="122">
        <f t="shared" si="1255"/>
        <v>0.001135524904215367</v>
      </c>
      <c r="AC753" s="122">
        <f t="shared" si="1255"/>
        <v>0.001135524904215367</v>
      </c>
      <c r="AD753" s="122">
        <f t="shared" si="1255"/>
        <v>0.001135524904215367</v>
      </c>
      <c r="AE753" s="122">
        <f t="shared" si="1255"/>
        <v>0.001135524904215367</v>
      </c>
      <c r="AF753" s="122">
        <f t="shared" si="1255"/>
        <v>0.001135524904215367</v>
      </c>
      <c r="AG753" s="122">
        <f t="shared" si="1255"/>
        <v>0.001135524904215367</v>
      </c>
      <c r="AH753" s="122">
        <f t="shared" si="1255"/>
        <v>0.001135524904215367</v>
      </c>
      <c r="AI753" s="122">
        <f t="shared" si="1255"/>
        <v>0.001135524904215367</v>
      </c>
    </row>
    <row r="754" hidden="1" outlineLevel="1">
      <c r="A754" s="44" t="inlineStr">
        <is>
          <t>dpsp</t>
        </is>
      </c>
      <c r="B754" s="3" t="inlineStr">
        <is>
          <t>ros</t>
        </is>
      </c>
      <c r="C754" s="3" t="inlineStr"/>
      <c r="D754" s="3" t="n">
        <v>51</v>
      </c>
      <c r="E754" s="3" t="inlineStr">
        <is>
          <t>res</t>
        </is>
      </c>
      <c r="H754" s="3" t="inlineStr">
        <is>
          <t>Recreation: price change, output price</t>
        </is>
      </c>
      <c r="I754" s="3" t="inlineStr">
        <is>
          <t>fraction</t>
        </is>
      </c>
      <c r="J754" s="118" t="inlineStr">
        <is>
          <t>legacy rows 659-661 (fix D26)</t>
        </is>
      </c>
      <c r="K754" s="9" t="str">
        <f>LOWER(CtryCode)&amp;".distn."&amp;$A754&amp;IF($B754="","","."&amp;$B754)&amp;IF($C754="","",".dec."&amp;$C754)&amp;"."&amp;K$5</f>
        <v>egy.distn.dpsp.ros.1</v>
      </c>
      <c r="L754" s="121">
        <f>L688*IF(LEFT(L$38,3)="Yes",IFERROR(INDEX(DPTVal,MATCH($E754,DPTKey,0)),1),1)</f>
        <v>0.0</v>
      </c>
      <c r="M754" s="122">
        <f t="shared" ref="M754:V754" si="1256">L754</f>
        <v>0.0</v>
      </c>
      <c r="N754" s="122">
        <f t="shared" si="1256"/>
        <v>0.0</v>
      </c>
      <c r="O754" s="122">
        <f t="shared" si="1256"/>
        <v>0.0</v>
      </c>
      <c r="P754" s="122">
        <f t="shared" si="1256"/>
        <v>0.0</v>
      </c>
      <c r="Q754" s="122">
        <f t="shared" si="1256"/>
        <v>0.0</v>
      </c>
      <c r="R754" s="122">
        <f t="shared" si="1256"/>
        <v>0.0</v>
      </c>
      <c r="S754" s="122">
        <f t="shared" si="1256"/>
        <v>0.0</v>
      </c>
      <c r="T754" s="122">
        <f t="shared" si="1256"/>
        <v>0.0</v>
      </c>
      <c r="U754" s="122">
        <f t="shared" si="1256"/>
        <v>0.0</v>
      </c>
      <c r="V754" s="122">
        <f t="shared" si="1256"/>
        <v>0.0</v>
      </c>
      <c r="W754" s="201" t="str">
        <f>IF(X$5=K$5,SUM(Y754:AI754)-SUM(L754:V754),"")</f>
        <v/>
      </c>
      <c r="X754" s="9" t="str">
        <f>LOWER(CtryCode)&amp;".distn."&amp;$A754&amp;IF($B754="","","."&amp;$B754)&amp;IF($C754="","",".dec."&amp;$C754)&amp;"."&amp;X$5</f>
        <v>egy.distn.dpsp.ros.2</v>
      </c>
      <c r="Y754" s="121">
        <f>Y688*IF(LEFT(Y$38,3)="Yes",IFERROR(INDEX(DPTVal,MATCH($E754,DPTKey,0)),1),1)</f>
        <v>0.0010322684094301005</v>
      </c>
      <c r="Z754" s="122">
        <f t="shared" ref="Z754:AI754" si="1257">Y754</f>
        <v>0.0010322684094301005</v>
      </c>
      <c r="AA754" s="122">
        <f t="shared" si="1257"/>
        <v>0.0010322684094301005</v>
      </c>
      <c r="AB754" s="122">
        <f t="shared" si="1257"/>
        <v>0.0010322684094301005</v>
      </c>
      <c r="AC754" s="122">
        <f t="shared" si="1257"/>
        <v>0.0010322684094301005</v>
      </c>
      <c r="AD754" s="122">
        <f t="shared" si="1257"/>
        <v>0.0010322684094301005</v>
      </c>
      <c r="AE754" s="122">
        <f t="shared" si="1257"/>
        <v>0.0010322684094301005</v>
      </c>
      <c r="AF754" s="122">
        <f t="shared" si="1257"/>
        <v>0.0010322684094301005</v>
      </c>
      <c r="AG754" s="122">
        <f t="shared" si="1257"/>
        <v>0.0010322684094301005</v>
      </c>
      <c r="AH754" s="122">
        <f t="shared" si="1257"/>
        <v>0.0010322684094301005</v>
      </c>
      <c r="AI754" s="122">
        <f t="shared" si="1257"/>
        <v>0.0010322684094301005</v>
      </c>
    </row>
    <row r="755" hidden="1" outlineLevel="1">
      <c r="A755" s="44" t="inlineStr">
        <is>
          <t>dpsp</t>
        </is>
      </c>
      <c r="B755" s="3" t="inlineStr">
        <is>
          <t>rpp</t>
        </is>
      </c>
      <c r="C755" s="3" t="inlineStr"/>
      <c r="D755" s="3" t="n">
        <v>52</v>
      </c>
      <c r="E755" s="3" t="inlineStr">
        <is>
          <t>omn</t>
        </is>
      </c>
      <c r="H755" s="3" t="inlineStr">
        <is>
          <t>Rubber &amp; plastics: price change, output price</t>
        </is>
      </c>
      <c r="I755" s="3" t="inlineStr">
        <is>
          <t>fraction</t>
        </is>
      </c>
      <c r="J755" s="118" t="inlineStr">
        <is>
          <t>legacy rows 659-661 (fix D26)</t>
        </is>
      </c>
      <c r="K755" s="9" t="str">
        <f>LOWER(CtryCode)&amp;".distn."&amp;$A755&amp;IF($B755="","","."&amp;$B755)&amp;IF($C755="","",".dec."&amp;$C755)&amp;"."&amp;K$5</f>
        <v>egy.distn.dpsp.rpp.1</v>
      </c>
      <c r="L755" s="121">
        <f>L689*IF(LEFT(L$38,3)="Yes",IFERROR(INDEX(DPTVal,MATCH($E755,DPTKey,0)),1),1)</f>
        <v>0.0</v>
      </c>
      <c r="M755" s="122">
        <f t="shared" ref="M755:V755" si="1258">L755</f>
        <v>0.0</v>
      </c>
      <c r="N755" s="122">
        <f t="shared" si="1258"/>
        <v>0.0</v>
      </c>
      <c r="O755" s="122">
        <f t="shared" si="1258"/>
        <v>0.0</v>
      </c>
      <c r="P755" s="122">
        <f t="shared" si="1258"/>
        <v>0.0</v>
      </c>
      <c r="Q755" s="122">
        <f t="shared" si="1258"/>
        <v>0.0</v>
      </c>
      <c r="R755" s="122">
        <f t="shared" si="1258"/>
        <v>0.0</v>
      </c>
      <c r="S755" s="122">
        <f t="shared" si="1258"/>
        <v>0.0</v>
      </c>
      <c r="T755" s="122">
        <f t="shared" si="1258"/>
        <v>0.0</v>
      </c>
      <c r="U755" s="122">
        <f t="shared" si="1258"/>
        <v>0.0</v>
      </c>
      <c r="V755" s="122">
        <f t="shared" si="1258"/>
        <v>0.0</v>
      </c>
      <c r="W755" s="201" t="str">
        <f>IF(X$5=K$5,SUM(Y755:AI755)-SUM(L755:V755),"")</f>
        <v/>
      </c>
      <c r="X755" s="9" t="str">
        <f>LOWER(CtryCode)&amp;".distn."&amp;$A755&amp;IF($B755="","","."&amp;$B755)&amp;IF($C755="","",".dec."&amp;$C755)&amp;"."&amp;X$5</f>
        <v>egy.distn.dpsp.rpp.2</v>
      </c>
      <c r="Y755" s="121">
        <f>Y689*IF(LEFT(Y$38,3)="Yes",IFERROR(INDEX(DPTVal,MATCH($E755,DPTKey,0)),1),1)</f>
        <v>0.003249320553232754</v>
      </c>
      <c r="Z755" s="122">
        <f t="shared" ref="Z755:AI755" si="1259">Y755</f>
        <v>0.003249320553232754</v>
      </c>
      <c r="AA755" s="122">
        <f t="shared" si="1259"/>
        <v>0.003249320553232754</v>
      </c>
      <c r="AB755" s="122">
        <f t="shared" si="1259"/>
        <v>0.003249320553232754</v>
      </c>
      <c r="AC755" s="122">
        <f t="shared" si="1259"/>
        <v>0.003249320553232754</v>
      </c>
      <c r="AD755" s="122">
        <f t="shared" si="1259"/>
        <v>0.003249320553232754</v>
      </c>
      <c r="AE755" s="122">
        <f t="shared" si="1259"/>
        <v>0.003249320553232754</v>
      </c>
      <c r="AF755" s="122">
        <f t="shared" si="1259"/>
        <v>0.003249320553232754</v>
      </c>
      <c r="AG755" s="122">
        <f t="shared" si="1259"/>
        <v>0.003249320553232754</v>
      </c>
      <c r="AH755" s="122">
        <f t="shared" si="1259"/>
        <v>0.003249320553232754</v>
      </c>
      <c r="AI755" s="122">
        <f t="shared" si="1259"/>
        <v>0.003249320553232754</v>
      </c>
    </row>
    <row r="756" hidden="1" outlineLevel="1">
      <c r="A756" s="44" t="inlineStr">
        <is>
          <t>dpsp</t>
        </is>
      </c>
      <c r="B756" s="3" t="inlineStr">
        <is>
          <t>rsa</t>
        </is>
      </c>
      <c r="C756" s="3" t="inlineStr"/>
      <c r="D756" s="3" t="n">
        <v>53</v>
      </c>
      <c r="E756" s="3" t="inlineStr">
        <is>
          <t>srv</t>
        </is>
      </c>
      <c r="H756" s="3" t="inlineStr">
        <is>
          <t>Real estate activities: price change, output price</t>
        </is>
      </c>
      <c r="I756" s="3" t="inlineStr">
        <is>
          <t>fraction</t>
        </is>
      </c>
      <c r="J756" s="118" t="inlineStr">
        <is>
          <t>legacy rows 659-661 (fix D26)</t>
        </is>
      </c>
      <c r="K756" s="9" t="str">
        <f>LOWER(CtryCode)&amp;".distn."&amp;$A756&amp;IF($B756="","","."&amp;$B756)&amp;IF($C756="","",".dec."&amp;$C756)&amp;"."&amp;K$5</f>
        <v>egy.distn.dpsp.rsa.1</v>
      </c>
      <c r="L756" s="121">
        <f>L690*IF(LEFT(L$38,3)="Yes",IFERROR(INDEX(DPTVal,MATCH($E756,DPTKey,0)),1),1)</f>
        <v>0.0</v>
      </c>
      <c r="M756" s="122">
        <f t="shared" ref="M756:V756" si="1260">L756</f>
        <v>0.0</v>
      </c>
      <c r="N756" s="122">
        <f t="shared" si="1260"/>
        <v>0.0</v>
      </c>
      <c r="O756" s="122">
        <f t="shared" si="1260"/>
        <v>0.0</v>
      </c>
      <c r="P756" s="122">
        <f t="shared" si="1260"/>
        <v>0.0</v>
      </c>
      <c r="Q756" s="122">
        <f t="shared" si="1260"/>
        <v>0.0</v>
      </c>
      <c r="R756" s="122">
        <f t="shared" si="1260"/>
        <v>0.0</v>
      </c>
      <c r="S756" s="122">
        <f t="shared" si="1260"/>
        <v>0.0</v>
      </c>
      <c r="T756" s="122">
        <f t="shared" si="1260"/>
        <v>0.0</v>
      </c>
      <c r="U756" s="122">
        <f t="shared" si="1260"/>
        <v>0.0</v>
      </c>
      <c r="V756" s="122">
        <f t="shared" si="1260"/>
        <v>0.0</v>
      </c>
      <c r="W756" s="201" t="str">
        <f>IF(X$5=K$5,SUM(Y756:AI756)-SUM(L756:V756),"")</f>
        <v/>
      </c>
      <c r="X756" s="9" t="str">
        <f>LOWER(CtryCode)&amp;".distn."&amp;$A756&amp;IF($B756="","","."&amp;$B756)&amp;IF($C756="","",".dec."&amp;$C756)&amp;"."&amp;X$5</f>
        <v>egy.distn.dpsp.rsa.2</v>
      </c>
      <c r="Y756" s="121">
        <f>Y690*IF(LEFT(Y$38,3)="Yes",IFERROR(INDEX(DPTVal,MATCH($E756,DPTKey,0)),1),1)</f>
        <v>0.0005283008165377156</v>
      </c>
      <c r="Z756" s="122">
        <f t="shared" ref="Z756:AI756" si="1261">Y756</f>
        <v>0.0005283008165377156</v>
      </c>
      <c r="AA756" s="122">
        <f t="shared" si="1261"/>
        <v>0.0005283008165377156</v>
      </c>
      <c r="AB756" s="122">
        <f t="shared" si="1261"/>
        <v>0.0005283008165377156</v>
      </c>
      <c r="AC756" s="122">
        <f t="shared" si="1261"/>
        <v>0.0005283008165377156</v>
      </c>
      <c r="AD756" s="122">
        <f t="shared" si="1261"/>
        <v>0.0005283008165377156</v>
      </c>
      <c r="AE756" s="122">
        <f t="shared" si="1261"/>
        <v>0.0005283008165377156</v>
      </c>
      <c r="AF756" s="122">
        <f t="shared" si="1261"/>
        <v>0.0005283008165377156</v>
      </c>
      <c r="AG756" s="122">
        <f t="shared" si="1261"/>
        <v>0.0005283008165377156</v>
      </c>
      <c r="AH756" s="122">
        <f t="shared" si="1261"/>
        <v>0.0005283008165377156</v>
      </c>
      <c r="AI756" s="122">
        <f t="shared" si="1261"/>
        <v>0.0005283008165377156</v>
      </c>
    </row>
    <row r="757" hidden="1" outlineLevel="1">
      <c r="A757" s="44" t="inlineStr">
        <is>
          <t>dpsp</t>
        </is>
      </c>
      <c r="B757" s="3" t="inlineStr">
        <is>
          <t>sgr</t>
        </is>
      </c>
      <c r="C757" s="3" t="inlineStr"/>
      <c r="D757" s="3" t="n">
        <v>54</v>
      </c>
      <c r="E757" s="3" t="inlineStr">
        <is>
          <t>foo</t>
        </is>
      </c>
      <c r="H757" s="3" t="inlineStr">
        <is>
          <t>Sugar and molasses: price change, output price</t>
        </is>
      </c>
      <c r="I757" s="3" t="inlineStr">
        <is>
          <t>fraction</t>
        </is>
      </c>
      <c r="J757" s="118" t="inlineStr">
        <is>
          <t>legacy rows 659-661 (fix D26)</t>
        </is>
      </c>
      <c r="K757" s="9" t="str">
        <f>LOWER(CtryCode)&amp;".distn."&amp;$A757&amp;IF($B757="","","."&amp;$B757)&amp;IF($C757="","",".dec."&amp;$C757)&amp;"."&amp;K$5</f>
        <v>egy.distn.dpsp.sgr.1</v>
      </c>
      <c r="L757" s="121">
        <f>L691*IF(LEFT(L$38,3)="Yes",IFERROR(INDEX(DPTVal,MATCH($E757,DPTKey,0)),1),1)</f>
        <v>0.0</v>
      </c>
      <c r="M757" s="122">
        <f t="shared" ref="M757:V757" si="1262">L757</f>
        <v>0.0</v>
      </c>
      <c r="N757" s="122">
        <f t="shared" si="1262"/>
        <v>0.0</v>
      </c>
      <c r="O757" s="122">
        <f t="shared" si="1262"/>
        <v>0.0</v>
      </c>
      <c r="P757" s="122">
        <f t="shared" si="1262"/>
        <v>0.0</v>
      </c>
      <c r="Q757" s="122">
        <f t="shared" si="1262"/>
        <v>0.0</v>
      </c>
      <c r="R757" s="122">
        <f t="shared" si="1262"/>
        <v>0.0</v>
      </c>
      <c r="S757" s="122">
        <f t="shared" si="1262"/>
        <v>0.0</v>
      </c>
      <c r="T757" s="122">
        <f t="shared" si="1262"/>
        <v>0.0</v>
      </c>
      <c r="U757" s="122">
        <f t="shared" si="1262"/>
        <v>0.0</v>
      </c>
      <c r="V757" s="122">
        <f t="shared" si="1262"/>
        <v>0.0</v>
      </c>
      <c r="W757" s="201" t="str">
        <f>IF(X$5=K$5,SUM(Y757:AI757)-SUM(L757:V757),"")</f>
        <v/>
      </c>
      <c r="X757" s="9" t="str">
        <f>LOWER(CtryCode)&amp;".distn."&amp;$A757&amp;IF($B757="","","."&amp;$B757)&amp;IF($C757="","",".dec."&amp;$C757)&amp;"."&amp;X$5</f>
        <v>egy.distn.dpsp.sgr.2</v>
      </c>
      <c r="Y757" s="121">
        <f>Y691*IF(LEFT(Y$38,3)="Yes",IFERROR(INDEX(DPTVal,MATCH($E757,DPTKey,0)),1),1)</f>
        <v>0.0017412197313412443</v>
      </c>
      <c r="Z757" s="122">
        <f t="shared" ref="Z757:AI757" si="1263">Y757</f>
        <v>0.0017412197313412443</v>
      </c>
      <c r="AA757" s="122">
        <f t="shared" si="1263"/>
        <v>0.0017412197313412443</v>
      </c>
      <c r="AB757" s="122">
        <f t="shared" si="1263"/>
        <v>0.0017412197313412443</v>
      </c>
      <c r="AC757" s="122">
        <f t="shared" si="1263"/>
        <v>0.0017412197313412443</v>
      </c>
      <c r="AD757" s="122">
        <f t="shared" si="1263"/>
        <v>0.0017412197313412443</v>
      </c>
      <c r="AE757" s="122">
        <f t="shared" si="1263"/>
        <v>0.0017412197313412443</v>
      </c>
      <c r="AF757" s="122">
        <f t="shared" si="1263"/>
        <v>0.0017412197313412443</v>
      </c>
      <c r="AG757" s="122">
        <f t="shared" si="1263"/>
        <v>0.0017412197313412443</v>
      </c>
      <c r="AH757" s="122">
        <f t="shared" si="1263"/>
        <v>0.0017412197313412443</v>
      </c>
      <c r="AI757" s="122">
        <f t="shared" si="1263"/>
        <v>0.0017412197313412443</v>
      </c>
    </row>
    <row r="758" hidden="1" outlineLevel="1">
      <c r="A758" s="44" t="inlineStr">
        <is>
          <t>dpsp</t>
        </is>
      </c>
      <c r="B758" s="3" t="inlineStr">
        <is>
          <t>tex</t>
        </is>
      </c>
      <c r="C758" s="3" t="inlineStr"/>
      <c r="D758" s="3" t="n">
        <v>55</v>
      </c>
      <c r="E758" s="3" t="inlineStr">
        <is>
          <t>omn</t>
        </is>
      </c>
      <c r="H758" s="3" t="inlineStr">
        <is>
          <t>Textiles: price change, output price</t>
        </is>
      </c>
      <c r="I758" s="3" t="inlineStr">
        <is>
          <t>fraction</t>
        </is>
      </c>
      <c r="J758" s="118" t="inlineStr">
        <is>
          <t>legacy rows 659-661 (fix D26)</t>
        </is>
      </c>
      <c r="K758" s="9" t="str">
        <f>LOWER(CtryCode)&amp;".distn."&amp;$A758&amp;IF($B758="","","."&amp;$B758)&amp;IF($C758="","",".dec."&amp;$C758)&amp;"."&amp;K$5</f>
        <v>egy.distn.dpsp.tex.1</v>
      </c>
      <c r="L758" s="121">
        <f>L692*IF(LEFT(L$38,3)="Yes",IFERROR(INDEX(DPTVal,MATCH($E758,DPTKey,0)),1),1)</f>
        <v>0.0</v>
      </c>
      <c r="M758" s="122">
        <f t="shared" ref="M758:V758" si="1264">L758</f>
        <v>0.0</v>
      </c>
      <c r="N758" s="122">
        <f t="shared" si="1264"/>
        <v>0.0</v>
      </c>
      <c r="O758" s="122">
        <f t="shared" si="1264"/>
        <v>0.0</v>
      </c>
      <c r="P758" s="122">
        <f t="shared" si="1264"/>
        <v>0.0</v>
      </c>
      <c r="Q758" s="122">
        <f t="shared" si="1264"/>
        <v>0.0</v>
      </c>
      <c r="R758" s="122">
        <f t="shared" si="1264"/>
        <v>0.0</v>
      </c>
      <c r="S758" s="122">
        <f t="shared" si="1264"/>
        <v>0.0</v>
      </c>
      <c r="T758" s="122">
        <f t="shared" si="1264"/>
        <v>0.0</v>
      </c>
      <c r="U758" s="122">
        <f t="shared" si="1264"/>
        <v>0.0</v>
      </c>
      <c r="V758" s="122">
        <f t="shared" si="1264"/>
        <v>0.0</v>
      </c>
      <c r="W758" s="201" t="str">
        <f>IF(X$5=K$5,SUM(Y758:AI758)-SUM(L758:V758),"")</f>
        <v/>
      </c>
      <c r="X758" s="9" t="str">
        <f>LOWER(CtryCode)&amp;".distn."&amp;$A758&amp;IF($B758="","","."&amp;$B758)&amp;IF($C758="","",".dec."&amp;$C758)&amp;"."&amp;X$5</f>
        <v>egy.distn.dpsp.tex.2</v>
      </c>
      <c r="Y758" s="121">
        <f>Y692*IF(LEFT(Y$38,3)="Yes",IFERROR(INDEX(DPTVal,MATCH($E758,DPTKey,0)),1),1)</f>
        <v>0.0012483292112067347</v>
      </c>
      <c r="Z758" s="122">
        <f t="shared" ref="Z758:AI758" si="1265">Y758</f>
        <v>0.0012483292112067347</v>
      </c>
      <c r="AA758" s="122">
        <f t="shared" si="1265"/>
        <v>0.0012483292112067347</v>
      </c>
      <c r="AB758" s="122">
        <f t="shared" si="1265"/>
        <v>0.0012483292112067347</v>
      </c>
      <c r="AC758" s="122">
        <f t="shared" si="1265"/>
        <v>0.0012483292112067347</v>
      </c>
      <c r="AD758" s="122">
        <f t="shared" si="1265"/>
        <v>0.0012483292112067347</v>
      </c>
      <c r="AE758" s="122">
        <f t="shared" si="1265"/>
        <v>0.0012483292112067347</v>
      </c>
      <c r="AF758" s="122">
        <f t="shared" si="1265"/>
        <v>0.0012483292112067347</v>
      </c>
      <c r="AG758" s="122">
        <f t="shared" si="1265"/>
        <v>0.0012483292112067347</v>
      </c>
      <c r="AH758" s="122">
        <f t="shared" si="1265"/>
        <v>0.0012483292112067347</v>
      </c>
      <c r="AI758" s="122">
        <f t="shared" si="1265"/>
        <v>0.0012483292112067347</v>
      </c>
    </row>
    <row r="759" hidden="1" outlineLevel="1">
      <c r="A759" s="44" t="inlineStr">
        <is>
          <t>dpsp</t>
        </is>
      </c>
      <c r="B759" s="3" t="inlineStr">
        <is>
          <t>trd</t>
        </is>
      </c>
      <c r="C759" s="3" t="inlineStr"/>
      <c r="D759" s="3" t="n">
        <v>56</v>
      </c>
      <c r="E759" s="3" t="inlineStr">
        <is>
          <t>srv</t>
        </is>
      </c>
      <c r="H759" s="3" t="inlineStr">
        <is>
          <t>Vehicles repair: price change, output price</t>
        </is>
      </c>
      <c r="I759" s="3" t="inlineStr">
        <is>
          <t>fraction</t>
        </is>
      </c>
      <c r="J759" s="118" t="inlineStr">
        <is>
          <t>legacy rows 659-661 (fix D26)</t>
        </is>
      </c>
      <c r="K759" s="9" t="str">
        <f>LOWER(CtryCode)&amp;".distn."&amp;$A759&amp;IF($B759="","","."&amp;$B759)&amp;IF($C759="","",".dec."&amp;$C759)&amp;"."&amp;K$5</f>
        <v>egy.distn.dpsp.trd.1</v>
      </c>
      <c r="L759" s="121">
        <f>L693*IF(LEFT(L$38,3)="Yes",IFERROR(INDEX(DPTVal,MATCH($E759,DPTKey,0)),1),1)</f>
        <v>0.0</v>
      </c>
      <c r="M759" s="122">
        <f t="shared" ref="M759:V759" si="1266">L759</f>
        <v>0.0</v>
      </c>
      <c r="N759" s="122">
        <f t="shared" si="1266"/>
        <v>0.0</v>
      </c>
      <c r="O759" s="122">
        <f t="shared" si="1266"/>
        <v>0.0</v>
      </c>
      <c r="P759" s="122">
        <f t="shared" si="1266"/>
        <v>0.0</v>
      </c>
      <c r="Q759" s="122">
        <f t="shared" si="1266"/>
        <v>0.0</v>
      </c>
      <c r="R759" s="122">
        <f t="shared" si="1266"/>
        <v>0.0</v>
      </c>
      <c r="S759" s="122">
        <f t="shared" si="1266"/>
        <v>0.0</v>
      </c>
      <c r="T759" s="122">
        <f t="shared" si="1266"/>
        <v>0.0</v>
      </c>
      <c r="U759" s="122">
        <f t="shared" si="1266"/>
        <v>0.0</v>
      </c>
      <c r="V759" s="122">
        <f t="shared" si="1266"/>
        <v>0.0</v>
      </c>
      <c r="W759" s="201" t="str">
        <f>IF(X$5=K$5,SUM(Y759:AI759)-SUM(L759:V759),"")</f>
        <v/>
      </c>
      <c r="X759" s="9" t="str">
        <f>LOWER(CtryCode)&amp;".distn."&amp;$A759&amp;IF($B759="","","."&amp;$B759)&amp;IF($C759="","",".dec."&amp;$C759)&amp;"."&amp;X$5</f>
        <v>egy.distn.dpsp.trd.2</v>
      </c>
      <c r="Y759" s="121">
        <f>Y693*IF(LEFT(Y$38,3)="Yes",IFERROR(INDEX(DPTVal,MATCH($E759,DPTKey,0)),1),1)</f>
        <v>0.0008331016239078197</v>
      </c>
      <c r="Z759" s="122">
        <f t="shared" ref="Z759:AI759" si="1267">Y759</f>
        <v>0.0008331016239078197</v>
      </c>
      <c r="AA759" s="122">
        <f t="shared" si="1267"/>
        <v>0.0008331016239078197</v>
      </c>
      <c r="AB759" s="122">
        <f t="shared" si="1267"/>
        <v>0.0008331016239078197</v>
      </c>
      <c r="AC759" s="122">
        <f t="shared" si="1267"/>
        <v>0.0008331016239078197</v>
      </c>
      <c r="AD759" s="122">
        <f t="shared" si="1267"/>
        <v>0.0008331016239078197</v>
      </c>
      <c r="AE759" s="122">
        <f t="shared" si="1267"/>
        <v>0.0008331016239078197</v>
      </c>
      <c r="AF759" s="122">
        <f t="shared" si="1267"/>
        <v>0.0008331016239078197</v>
      </c>
      <c r="AG759" s="122">
        <f t="shared" si="1267"/>
        <v>0.0008331016239078197</v>
      </c>
      <c r="AH759" s="122">
        <f t="shared" si="1267"/>
        <v>0.0008331016239078197</v>
      </c>
      <c r="AI759" s="122">
        <f t="shared" si="1267"/>
        <v>0.0008331016239078197</v>
      </c>
    </row>
    <row r="760" hidden="1" outlineLevel="1">
      <c r="A760" s="44" t="inlineStr">
        <is>
          <t>dpsp</t>
        </is>
      </c>
      <c r="B760" s="3" t="inlineStr">
        <is>
          <t>v_f</t>
        </is>
      </c>
      <c r="C760" s="3" t="inlineStr"/>
      <c r="D760" s="3" t="n">
        <v>57</v>
      </c>
      <c r="E760" s="3" t="inlineStr">
        <is>
          <t>foo</t>
        </is>
      </c>
      <c r="H760" s="3" t="inlineStr">
        <is>
          <t>Veg &amp; fruit: price change, output price</t>
        </is>
      </c>
      <c r="I760" s="3" t="inlineStr">
        <is>
          <t>fraction</t>
        </is>
      </c>
      <c r="J760" s="118" t="inlineStr">
        <is>
          <t>legacy rows 659-661 (fix D26)</t>
        </is>
      </c>
      <c r="K760" s="9" t="str">
        <f>LOWER(CtryCode)&amp;".distn."&amp;$A760&amp;IF($B760="","","."&amp;$B760)&amp;IF($C760="","",".dec."&amp;$C760)&amp;"."&amp;K$5</f>
        <v>egy.distn.dpsp.v_f.1</v>
      </c>
      <c r="L760" s="121">
        <f>L694*IF(LEFT(L$38,3)="Yes",IFERROR(INDEX(DPTVal,MATCH($E760,DPTKey,0)),1),1)</f>
        <v>0.0</v>
      </c>
      <c r="M760" s="122">
        <f t="shared" ref="M760:V760" si="1268">L760</f>
        <v>0.0</v>
      </c>
      <c r="N760" s="122">
        <f t="shared" si="1268"/>
        <v>0.0</v>
      </c>
      <c r="O760" s="122">
        <f t="shared" si="1268"/>
        <v>0.0</v>
      </c>
      <c r="P760" s="122">
        <f t="shared" si="1268"/>
        <v>0.0</v>
      </c>
      <c r="Q760" s="122">
        <f t="shared" si="1268"/>
        <v>0.0</v>
      </c>
      <c r="R760" s="122">
        <f t="shared" si="1268"/>
        <v>0.0</v>
      </c>
      <c r="S760" s="122">
        <f t="shared" si="1268"/>
        <v>0.0</v>
      </c>
      <c r="T760" s="122">
        <f t="shared" si="1268"/>
        <v>0.0</v>
      </c>
      <c r="U760" s="122">
        <f t="shared" si="1268"/>
        <v>0.0</v>
      </c>
      <c r="V760" s="122">
        <f t="shared" si="1268"/>
        <v>0.0</v>
      </c>
      <c r="W760" s="201" t="str">
        <f>IF(X$5=K$5,SUM(Y760:AI760)-SUM(L760:V760),"")</f>
        <v/>
      </c>
      <c r="X760" s="9" t="str">
        <f>LOWER(CtryCode)&amp;".distn."&amp;$A760&amp;IF($B760="","","."&amp;$B760)&amp;IF($C760="","",".dec."&amp;$C760)&amp;"."&amp;X$5</f>
        <v>egy.distn.dpsp.v_f.2</v>
      </c>
      <c r="Y760" s="121">
        <f>Y694*IF(LEFT(Y$38,3)="Yes",IFERROR(INDEX(DPTVal,MATCH($E760,DPTKey,0)),1),1)</f>
        <v>0.0008756206870516113</v>
      </c>
      <c r="Z760" s="122">
        <f t="shared" ref="Z760:AI760" si="1269">Y760</f>
        <v>0.0008756206870516113</v>
      </c>
      <c r="AA760" s="122">
        <f t="shared" si="1269"/>
        <v>0.0008756206870516113</v>
      </c>
      <c r="AB760" s="122">
        <f t="shared" si="1269"/>
        <v>0.0008756206870516113</v>
      </c>
      <c r="AC760" s="122">
        <f t="shared" si="1269"/>
        <v>0.0008756206870516113</v>
      </c>
      <c r="AD760" s="122">
        <f t="shared" si="1269"/>
        <v>0.0008756206870516113</v>
      </c>
      <c r="AE760" s="122">
        <f t="shared" si="1269"/>
        <v>0.0008756206870516113</v>
      </c>
      <c r="AF760" s="122">
        <f t="shared" si="1269"/>
        <v>0.0008756206870516113</v>
      </c>
      <c r="AG760" s="122">
        <f t="shared" si="1269"/>
        <v>0.0008756206870516113</v>
      </c>
      <c r="AH760" s="122">
        <f t="shared" si="1269"/>
        <v>0.0008756206870516113</v>
      </c>
      <c r="AI760" s="122">
        <f t="shared" si="1269"/>
        <v>0.0008756206870516113</v>
      </c>
    </row>
    <row r="761" hidden="1" outlineLevel="1">
      <c r="A761" s="44" t="inlineStr">
        <is>
          <t>dpsp</t>
        </is>
      </c>
      <c r="B761" s="3" t="inlineStr">
        <is>
          <t>vol</t>
        </is>
      </c>
      <c r="C761" s="3" t="inlineStr"/>
      <c r="D761" s="3" t="n">
        <v>58</v>
      </c>
      <c r="E761" s="3" t="inlineStr">
        <is>
          <t>foo</t>
        </is>
      </c>
      <c r="H761" s="3" t="inlineStr">
        <is>
          <t>Vegetable Oils: price change, output price</t>
        </is>
      </c>
      <c r="I761" s="3" t="inlineStr">
        <is>
          <t>fraction</t>
        </is>
      </c>
      <c r="J761" s="118" t="inlineStr">
        <is>
          <t>legacy rows 659-661 (fix D26)</t>
        </is>
      </c>
      <c r="K761" s="9" t="str">
        <f>LOWER(CtryCode)&amp;".distn."&amp;$A761&amp;IF($B761="","","."&amp;$B761)&amp;IF($C761="","",".dec."&amp;$C761)&amp;"."&amp;K$5</f>
        <v>egy.distn.dpsp.vol.1</v>
      </c>
      <c r="L761" s="121">
        <f>L695*IF(LEFT(L$38,3)="Yes",IFERROR(INDEX(DPTVal,MATCH($E761,DPTKey,0)),1),1)</f>
        <v>0.0</v>
      </c>
      <c r="M761" s="122">
        <f t="shared" ref="M761:V761" si="1270">L761</f>
        <v>0.0</v>
      </c>
      <c r="N761" s="122">
        <f t="shared" si="1270"/>
        <v>0.0</v>
      </c>
      <c r="O761" s="122">
        <f t="shared" si="1270"/>
        <v>0.0</v>
      </c>
      <c r="P761" s="122">
        <f t="shared" si="1270"/>
        <v>0.0</v>
      </c>
      <c r="Q761" s="122">
        <f t="shared" si="1270"/>
        <v>0.0</v>
      </c>
      <c r="R761" s="122">
        <f t="shared" si="1270"/>
        <v>0.0</v>
      </c>
      <c r="S761" s="122">
        <f t="shared" si="1270"/>
        <v>0.0</v>
      </c>
      <c r="T761" s="122">
        <f t="shared" si="1270"/>
        <v>0.0</v>
      </c>
      <c r="U761" s="122">
        <f t="shared" si="1270"/>
        <v>0.0</v>
      </c>
      <c r="V761" s="122">
        <f t="shared" si="1270"/>
        <v>0.0</v>
      </c>
      <c r="W761" s="201" t="str">
        <f>IF(X$5=K$5,SUM(Y761:AI761)-SUM(L761:V761),"")</f>
        <v/>
      </c>
      <c r="X761" s="9" t="str">
        <f>LOWER(CtryCode)&amp;".distn."&amp;$A761&amp;IF($B761="","","."&amp;$B761)&amp;IF($C761="","",".dec."&amp;$C761)&amp;"."&amp;X$5</f>
        <v>egy.distn.dpsp.vol.2</v>
      </c>
      <c r="Y761" s="121">
        <f>Y695*IF(LEFT(Y$38,3)="Yes",IFERROR(INDEX(DPTVal,MATCH($E761,DPTKey,0)),1),1)</f>
        <v>0.0008432812737369321</v>
      </c>
      <c r="Z761" s="122">
        <f t="shared" ref="Z761:AI761" si="1271">Y761</f>
        <v>0.0008432812737369321</v>
      </c>
      <c r="AA761" s="122">
        <f t="shared" si="1271"/>
        <v>0.0008432812737369321</v>
      </c>
      <c r="AB761" s="122">
        <f t="shared" si="1271"/>
        <v>0.0008432812737369321</v>
      </c>
      <c r="AC761" s="122">
        <f t="shared" si="1271"/>
        <v>0.0008432812737369321</v>
      </c>
      <c r="AD761" s="122">
        <f t="shared" si="1271"/>
        <v>0.0008432812737369321</v>
      </c>
      <c r="AE761" s="122">
        <f t="shared" si="1271"/>
        <v>0.0008432812737369321</v>
      </c>
      <c r="AF761" s="122">
        <f t="shared" si="1271"/>
        <v>0.0008432812737369321</v>
      </c>
      <c r="AG761" s="122">
        <f t="shared" si="1271"/>
        <v>0.0008432812737369321</v>
      </c>
      <c r="AH761" s="122">
        <f t="shared" si="1271"/>
        <v>0.0008432812737369321</v>
      </c>
      <c r="AI761" s="122">
        <f t="shared" si="1271"/>
        <v>0.0008432812737369321</v>
      </c>
    </row>
    <row r="762" hidden="1" outlineLevel="1">
      <c r="A762" s="44" t="inlineStr">
        <is>
          <t>dpsp</t>
        </is>
      </c>
      <c r="B762" s="3" t="inlineStr">
        <is>
          <t>wap</t>
        </is>
      </c>
      <c r="C762" s="3" t="inlineStr"/>
      <c r="D762" s="3" t="n">
        <v>59</v>
      </c>
      <c r="E762" s="3" t="inlineStr">
        <is>
          <t>omn</t>
        </is>
      </c>
      <c r="H762" s="3" t="inlineStr">
        <is>
          <t>Apparel: price change, output price</t>
        </is>
      </c>
      <c r="I762" s="3" t="inlineStr">
        <is>
          <t>fraction</t>
        </is>
      </c>
      <c r="J762" s="118" t="inlineStr">
        <is>
          <t>legacy rows 659-661 (fix D26)</t>
        </is>
      </c>
      <c r="K762" s="9" t="str">
        <f>LOWER(CtryCode)&amp;".distn."&amp;$A762&amp;IF($B762="","","."&amp;$B762)&amp;IF($C762="","",".dec."&amp;$C762)&amp;"."&amp;K$5</f>
        <v>egy.distn.dpsp.wap.1</v>
      </c>
      <c r="L762" s="121">
        <f>L696*IF(LEFT(L$38,3)="Yes",IFERROR(INDEX(DPTVal,MATCH($E762,DPTKey,0)),1),1)</f>
        <v>0.0</v>
      </c>
      <c r="M762" s="122">
        <f t="shared" ref="M762:V762" si="1272">L762</f>
        <v>0.0</v>
      </c>
      <c r="N762" s="122">
        <f t="shared" si="1272"/>
        <v>0.0</v>
      </c>
      <c r="O762" s="122">
        <f t="shared" si="1272"/>
        <v>0.0</v>
      </c>
      <c r="P762" s="122">
        <f t="shared" si="1272"/>
        <v>0.0</v>
      </c>
      <c r="Q762" s="122">
        <f t="shared" si="1272"/>
        <v>0.0</v>
      </c>
      <c r="R762" s="122">
        <f t="shared" si="1272"/>
        <v>0.0</v>
      </c>
      <c r="S762" s="122">
        <f t="shared" si="1272"/>
        <v>0.0</v>
      </c>
      <c r="T762" s="122">
        <f t="shared" si="1272"/>
        <v>0.0</v>
      </c>
      <c r="U762" s="122">
        <f t="shared" si="1272"/>
        <v>0.0</v>
      </c>
      <c r="V762" s="122">
        <f t="shared" si="1272"/>
        <v>0.0</v>
      </c>
      <c r="W762" s="201" t="str">
        <f>IF(X$5=K$5,SUM(Y762:AI762)-SUM(L762:V762),"")</f>
        <v/>
      </c>
      <c r="X762" s="9" t="str">
        <f>LOWER(CtryCode)&amp;".distn."&amp;$A762&amp;IF($B762="","","."&amp;$B762)&amp;IF($C762="","",".dec."&amp;$C762)&amp;"."&amp;X$5</f>
        <v>egy.distn.dpsp.wap.2</v>
      </c>
      <c r="Y762" s="121">
        <f>Y696*IF(LEFT(Y$38,3)="Yes",IFERROR(INDEX(DPTVal,MATCH($E762,DPTKey,0)),1),1)</f>
        <v>0.0010735200368662103</v>
      </c>
      <c r="Z762" s="122">
        <f t="shared" ref="Z762:AI762" si="1273">Y762</f>
        <v>0.0010735200368662103</v>
      </c>
      <c r="AA762" s="122">
        <f t="shared" si="1273"/>
        <v>0.0010735200368662103</v>
      </c>
      <c r="AB762" s="122">
        <f t="shared" si="1273"/>
        <v>0.0010735200368662103</v>
      </c>
      <c r="AC762" s="122">
        <f t="shared" si="1273"/>
        <v>0.0010735200368662103</v>
      </c>
      <c r="AD762" s="122">
        <f t="shared" si="1273"/>
        <v>0.0010735200368662103</v>
      </c>
      <c r="AE762" s="122">
        <f t="shared" si="1273"/>
        <v>0.0010735200368662103</v>
      </c>
      <c r="AF762" s="122">
        <f t="shared" si="1273"/>
        <v>0.0010735200368662103</v>
      </c>
      <c r="AG762" s="122">
        <f t="shared" si="1273"/>
        <v>0.0010735200368662103</v>
      </c>
      <c r="AH762" s="122">
        <f t="shared" si="1273"/>
        <v>0.0010735200368662103</v>
      </c>
      <c r="AI762" s="122">
        <f t="shared" si="1273"/>
        <v>0.0010735200368662103</v>
      </c>
    </row>
    <row r="763" hidden="1" outlineLevel="1">
      <c r="A763" s="44" t="inlineStr">
        <is>
          <t>dpsp</t>
        </is>
      </c>
      <c r="B763" s="3" t="inlineStr">
        <is>
          <t>whs</t>
        </is>
      </c>
      <c r="C763" s="3" t="inlineStr"/>
      <c r="D763" s="3" t="n">
        <v>60</v>
      </c>
      <c r="E763" s="3" t="inlineStr">
        <is>
          <t>srv</t>
        </is>
      </c>
      <c r="H763" s="3" t="inlineStr">
        <is>
          <t>Warehousing: price change, output price</t>
        </is>
      </c>
      <c r="I763" s="3" t="inlineStr">
        <is>
          <t>fraction</t>
        </is>
      </c>
      <c r="J763" s="118" t="inlineStr">
        <is>
          <t>legacy rows 659-661 (fix D26)</t>
        </is>
      </c>
      <c r="K763" s="9" t="str">
        <f>LOWER(CtryCode)&amp;".distn."&amp;$A763&amp;IF($B763="","","."&amp;$B763)&amp;IF($C763="","",".dec."&amp;$C763)&amp;"."&amp;K$5</f>
        <v>egy.distn.dpsp.whs.1</v>
      </c>
      <c r="L763" s="121">
        <f>L697*IF(LEFT(L$38,3)="Yes",IFERROR(INDEX(DPTVal,MATCH($E763,DPTKey,0)),1),1)</f>
        <v>0.0</v>
      </c>
      <c r="M763" s="122">
        <f t="shared" ref="M763:V763" si="1274">L763</f>
        <v>0.0</v>
      </c>
      <c r="N763" s="122">
        <f t="shared" si="1274"/>
        <v>0.0</v>
      </c>
      <c r="O763" s="122">
        <f t="shared" si="1274"/>
        <v>0.0</v>
      </c>
      <c r="P763" s="122">
        <f t="shared" si="1274"/>
        <v>0.0</v>
      </c>
      <c r="Q763" s="122">
        <f t="shared" si="1274"/>
        <v>0.0</v>
      </c>
      <c r="R763" s="122">
        <f t="shared" si="1274"/>
        <v>0.0</v>
      </c>
      <c r="S763" s="122">
        <f t="shared" si="1274"/>
        <v>0.0</v>
      </c>
      <c r="T763" s="122">
        <f t="shared" si="1274"/>
        <v>0.0</v>
      </c>
      <c r="U763" s="122">
        <f t="shared" si="1274"/>
        <v>0.0</v>
      </c>
      <c r="V763" s="122">
        <f t="shared" si="1274"/>
        <v>0.0</v>
      </c>
      <c r="W763" s="201" t="str">
        <f>IF(X$5=K$5,SUM(Y763:AI763)-SUM(L763:V763),"")</f>
        <v/>
      </c>
      <c r="X763" s="9" t="str">
        <f>LOWER(CtryCode)&amp;".distn."&amp;$A763&amp;IF($B763="","","."&amp;$B763)&amp;IF($C763="","",".dec."&amp;$C763)&amp;"."&amp;X$5</f>
        <v>egy.distn.dpsp.whs.2</v>
      </c>
      <c r="Y763" s="121">
        <f>Y697*IF(LEFT(Y$38,3)="Yes",IFERROR(INDEX(DPTVal,MATCH($E763,DPTKey,0)),1),1)</f>
        <v>0.001045916564350337</v>
      </c>
      <c r="Z763" s="122">
        <f t="shared" ref="Z763:AI763" si="1275">Y763</f>
        <v>0.001045916564350337</v>
      </c>
      <c r="AA763" s="122">
        <f t="shared" si="1275"/>
        <v>0.001045916564350337</v>
      </c>
      <c r="AB763" s="122">
        <f t="shared" si="1275"/>
        <v>0.001045916564350337</v>
      </c>
      <c r="AC763" s="122">
        <f t="shared" si="1275"/>
        <v>0.001045916564350337</v>
      </c>
      <c r="AD763" s="122">
        <f t="shared" si="1275"/>
        <v>0.001045916564350337</v>
      </c>
      <c r="AE763" s="122">
        <f t="shared" si="1275"/>
        <v>0.001045916564350337</v>
      </c>
      <c r="AF763" s="122">
        <f t="shared" si="1275"/>
        <v>0.001045916564350337</v>
      </c>
      <c r="AG763" s="122">
        <f t="shared" si="1275"/>
        <v>0.001045916564350337</v>
      </c>
      <c r="AH763" s="122">
        <f t="shared" si="1275"/>
        <v>0.001045916564350337</v>
      </c>
      <c r="AI763" s="122">
        <f t="shared" si="1275"/>
        <v>0.001045916564350337</v>
      </c>
    </row>
    <row r="764" hidden="1" outlineLevel="1">
      <c r="A764" s="44" t="inlineStr">
        <is>
          <t>dpsp</t>
        </is>
      </c>
      <c r="B764" s="3" t="inlineStr">
        <is>
          <t>wht</t>
        </is>
      </c>
      <c r="C764" s="3" t="inlineStr"/>
      <c r="D764" s="3" t="n">
        <v>61</v>
      </c>
      <c r="E764" s="3" t="inlineStr">
        <is>
          <t>foo</t>
        </is>
      </c>
      <c r="H764" s="3" t="inlineStr">
        <is>
          <t>Wheat: price change, output price</t>
        </is>
      </c>
      <c r="I764" s="3" t="inlineStr">
        <is>
          <t>fraction</t>
        </is>
      </c>
      <c r="J764" s="118" t="inlineStr">
        <is>
          <t>legacy rows 659-661 (fix D26)</t>
        </is>
      </c>
      <c r="K764" s="9" t="str">
        <f>LOWER(CtryCode)&amp;".distn."&amp;$A764&amp;IF($B764="","","."&amp;$B764)&amp;IF($C764="","",".dec."&amp;$C764)&amp;"."&amp;K$5</f>
        <v>egy.distn.dpsp.wht.1</v>
      </c>
      <c r="L764" s="121">
        <f>L698*IF(LEFT(L$38,3)="Yes",IFERROR(INDEX(DPTVal,MATCH($E764,DPTKey,0)),1),1)</f>
        <v>0.0</v>
      </c>
      <c r="M764" s="122">
        <f t="shared" ref="M764:V764" si="1276">L764</f>
        <v>0.0</v>
      </c>
      <c r="N764" s="122">
        <f t="shared" si="1276"/>
        <v>0.0</v>
      </c>
      <c r="O764" s="122">
        <f t="shared" si="1276"/>
        <v>0.0</v>
      </c>
      <c r="P764" s="122">
        <f t="shared" si="1276"/>
        <v>0.0</v>
      </c>
      <c r="Q764" s="122">
        <f t="shared" si="1276"/>
        <v>0.0</v>
      </c>
      <c r="R764" s="122">
        <f t="shared" si="1276"/>
        <v>0.0</v>
      </c>
      <c r="S764" s="122">
        <f t="shared" si="1276"/>
        <v>0.0</v>
      </c>
      <c r="T764" s="122">
        <f t="shared" si="1276"/>
        <v>0.0</v>
      </c>
      <c r="U764" s="122">
        <f t="shared" si="1276"/>
        <v>0.0</v>
      </c>
      <c r="V764" s="122">
        <f t="shared" si="1276"/>
        <v>0.0</v>
      </c>
      <c r="W764" s="201" t="str">
        <f>IF(X$5=K$5,SUM(Y764:AI764)-SUM(L764:V764),"")</f>
        <v/>
      </c>
      <c r="X764" s="9" t="str">
        <f>LOWER(CtryCode)&amp;".distn."&amp;$A764&amp;IF($B764="","","."&amp;$B764)&amp;IF($C764="","",".dec."&amp;$C764)&amp;"."&amp;X$5</f>
        <v>egy.distn.dpsp.wht.2</v>
      </c>
      <c r="Y764" s="121">
        <f>Y698*IF(LEFT(Y$38,3)="Yes",IFERROR(INDEX(DPTVal,MATCH($E764,DPTKey,0)),1),1)</f>
        <v>0.0015616190060591087</v>
      </c>
      <c r="Z764" s="122">
        <f t="shared" ref="Z764:AI764" si="1277">Y764</f>
        <v>0.0015616190060591087</v>
      </c>
      <c r="AA764" s="122">
        <f t="shared" si="1277"/>
        <v>0.0015616190060591087</v>
      </c>
      <c r="AB764" s="122">
        <f t="shared" si="1277"/>
        <v>0.0015616190060591087</v>
      </c>
      <c r="AC764" s="122">
        <f t="shared" si="1277"/>
        <v>0.0015616190060591087</v>
      </c>
      <c r="AD764" s="122">
        <f t="shared" si="1277"/>
        <v>0.0015616190060591087</v>
      </c>
      <c r="AE764" s="122">
        <f t="shared" si="1277"/>
        <v>0.0015616190060591087</v>
      </c>
      <c r="AF764" s="122">
        <f t="shared" si="1277"/>
        <v>0.0015616190060591087</v>
      </c>
      <c r="AG764" s="122">
        <f t="shared" si="1277"/>
        <v>0.0015616190060591087</v>
      </c>
      <c r="AH764" s="122">
        <f t="shared" si="1277"/>
        <v>0.0015616190060591087</v>
      </c>
      <c r="AI764" s="122">
        <f t="shared" si="1277"/>
        <v>0.0015616190060591087</v>
      </c>
    </row>
    <row r="765" hidden="1" outlineLevel="1">
      <c r="A765" s="44" t="inlineStr">
        <is>
          <t>dpsp</t>
        </is>
      </c>
      <c r="B765" s="3" t="inlineStr">
        <is>
          <t>wol</t>
        </is>
      </c>
      <c r="C765" s="3" t="inlineStr"/>
      <c r="D765" s="3" t="n">
        <v>62</v>
      </c>
      <c r="E765" s="3" t="inlineStr">
        <is>
          <t>foo</t>
        </is>
      </c>
      <c r="H765" s="3" t="inlineStr">
        <is>
          <t>Wool: price change, output price</t>
        </is>
      </c>
      <c r="I765" s="3" t="inlineStr">
        <is>
          <t>fraction</t>
        </is>
      </c>
      <c r="J765" s="118" t="inlineStr">
        <is>
          <t>legacy rows 659-661 (fix D26)</t>
        </is>
      </c>
      <c r="K765" s="9" t="str">
        <f>LOWER(CtryCode)&amp;".distn."&amp;$A765&amp;IF($B765="","","."&amp;$B765)&amp;IF($C765="","",".dec."&amp;$C765)&amp;"."&amp;K$5</f>
        <v>egy.distn.dpsp.wol.1</v>
      </c>
      <c r="L765" s="121">
        <f>L699*IF(LEFT(L$38,3)="Yes",IFERROR(INDEX(DPTVal,MATCH($E765,DPTKey,0)),1),1)</f>
        <v>0.0</v>
      </c>
      <c r="M765" s="122">
        <f t="shared" ref="M765:V765" si="1278">L765</f>
        <v>0.0</v>
      </c>
      <c r="N765" s="122">
        <f t="shared" si="1278"/>
        <v>0.0</v>
      </c>
      <c r="O765" s="122">
        <f t="shared" si="1278"/>
        <v>0.0</v>
      </c>
      <c r="P765" s="122">
        <f t="shared" si="1278"/>
        <v>0.0</v>
      </c>
      <c r="Q765" s="122">
        <f t="shared" si="1278"/>
        <v>0.0</v>
      </c>
      <c r="R765" s="122">
        <f t="shared" si="1278"/>
        <v>0.0</v>
      </c>
      <c r="S765" s="122">
        <f t="shared" si="1278"/>
        <v>0.0</v>
      </c>
      <c r="T765" s="122">
        <f t="shared" si="1278"/>
        <v>0.0</v>
      </c>
      <c r="U765" s="122">
        <f t="shared" si="1278"/>
        <v>0.0</v>
      </c>
      <c r="V765" s="122">
        <f t="shared" si="1278"/>
        <v>0.0</v>
      </c>
      <c r="W765" s="201" t="str">
        <f>IF(X$5=K$5,SUM(Y765:AI765)-SUM(L765:V765),"")</f>
        <v/>
      </c>
      <c r="X765" s="9" t="str">
        <f>LOWER(CtryCode)&amp;".distn."&amp;$A765&amp;IF($B765="","","."&amp;$B765)&amp;IF($C765="","",".dec."&amp;$C765)&amp;"."&amp;X$5</f>
        <v>egy.distn.dpsp.wol.2</v>
      </c>
      <c r="Y765" s="121">
        <f>Y699*IF(LEFT(Y$38,3)="Yes",IFERROR(INDEX(DPTVal,MATCH($E765,DPTKey,0)),1),1)</f>
        <v>0.0021658474475274173</v>
      </c>
      <c r="Z765" s="122">
        <f t="shared" ref="Z765:AI765" si="1279">Y765</f>
        <v>0.0021658474475274173</v>
      </c>
      <c r="AA765" s="122">
        <f t="shared" si="1279"/>
        <v>0.0021658474475274173</v>
      </c>
      <c r="AB765" s="122">
        <f t="shared" si="1279"/>
        <v>0.0021658474475274173</v>
      </c>
      <c r="AC765" s="122">
        <f t="shared" si="1279"/>
        <v>0.0021658474475274173</v>
      </c>
      <c r="AD765" s="122">
        <f t="shared" si="1279"/>
        <v>0.0021658474475274173</v>
      </c>
      <c r="AE765" s="122">
        <f t="shared" si="1279"/>
        <v>0.0021658474475274173</v>
      </c>
      <c r="AF765" s="122">
        <f t="shared" si="1279"/>
        <v>0.0021658474475274173</v>
      </c>
      <c r="AG765" s="122">
        <f t="shared" si="1279"/>
        <v>0.0021658474475274173</v>
      </c>
      <c r="AH765" s="122">
        <f t="shared" si="1279"/>
        <v>0.0021658474475274173</v>
      </c>
      <c r="AI765" s="122">
        <f t="shared" si="1279"/>
        <v>0.0021658474475274173</v>
      </c>
    </row>
    <row r="766" hidden="1" outlineLevel="1">
      <c r="A766" s="44" t="inlineStr">
        <is>
          <t>dpsp</t>
        </is>
      </c>
      <c r="B766" s="3" t="inlineStr">
        <is>
          <t>wtp</t>
        </is>
      </c>
      <c r="C766" s="3" t="inlineStr"/>
      <c r="D766" s="3" t="n">
        <v>63</v>
      </c>
      <c r="E766" s="3" t="inlineStr">
        <is>
          <t>nav</t>
        </is>
      </c>
      <c r="H766" s="3" t="inlineStr">
        <is>
          <t>Water transport: price change, output price</t>
        </is>
      </c>
      <c r="I766" s="3" t="inlineStr">
        <is>
          <t>fraction</t>
        </is>
      </c>
      <c r="J766" s="118" t="inlineStr">
        <is>
          <t>legacy rows 659-661 (fix D26)</t>
        </is>
      </c>
      <c r="K766" s="9" t="str">
        <f>LOWER(CtryCode)&amp;".distn."&amp;$A766&amp;IF($B766="","","."&amp;$B766)&amp;IF($C766="","",".dec."&amp;$C766)&amp;"."&amp;K$5</f>
        <v>egy.distn.dpsp.wtp.1</v>
      </c>
      <c r="L766" s="121">
        <f>L700*IF(LEFT(L$38,3)="Yes",IFERROR(INDEX(DPTVal,MATCH($E766,DPTKey,0)),1),1)</f>
        <v>0.0</v>
      </c>
      <c r="M766" s="122">
        <f t="shared" ref="M766:V766" si="1280">L766</f>
        <v>0.0</v>
      </c>
      <c r="N766" s="122">
        <f t="shared" si="1280"/>
        <v>0.0</v>
      </c>
      <c r="O766" s="122">
        <f t="shared" si="1280"/>
        <v>0.0</v>
      </c>
      <c r="P766" s="122">
        <f t="shared" si="1280"/>
        <v>0.0</v>
      </c>
      <c r="Q766" s="122">
        <f t="shared" si="1280"/>
        <v>0.0</v>
      </c>
      <c r="R766" s="122">
        <f t="shared" si="1280"/>
        <v>0.0</v>
      </c>
      <c r="S766" s="122">
        <f t="shared" si="1280"/>
        <v>0.0</v>
      </c>
      <c r="T766" s="122">
        <f t="shared" si="1280"/>
        <v>0.0</v>
      </c>
      <c r="U766" s="122">
        <f t="shared" si="1280"/>
        <v>0.0</v>
      </c>
      <c r="V766" s="122">
        <f t="shared" si="1280"/>
        <v>0.0</v>
      </c>
      <c r="W766" s="201" t="str">
        <f>IF(X$5=K$5,SUM(Y766:AI766)-SUM(L766:V766),"")</f>
        <v/>
      </c>
      <c r="X766" s="9" t="str">
        <f>LOWER(CtryCode)&amp;".distn."&amp;$A766&amp;IF($B766="","","."&amp;$B766)&amp;IF($C766="","",".dec."&amp;$C766)&amp;"."&amp;X$5</f>
        <v>egy.distn.dpsp.wtp.2</v>
      </c>
      <c r="Y766" s="121">
        <f>Y700*IF(LEFT(Y$38,3)="Yes",IFERROR(INDEX(DPTVal,MATCH($E766,DPTKey,0)),1),1)</f>
        <v>0.006669003426948593</v>
      </c>
      <c r="Z766" s="122">
        <f t="shared" ref="Z766:AI766" si="1281">Y766</f>
        <v>0.006669003426948593</v>
      </c>
      <c r="AA766" s="122">
        <f t="shared" si="1281"/>
        <v>0.006669003426948593</v>
      </c>
      <c r="AB766" s="122">
        <f t="shared" si="1281"/>
        <v>0.006669003426948593</v>
      </c>
      <c r="AC766" s="122">
        <f t="shared" si="1281"/>
        <v>0.006669003426948593</v>
      </c>
      <c r="AD766" s="122">
        <f t="shared" si="1281"/>
        <v>0.006669003426948593</v>
      </c>
      <c r="AE766" s="122">
        <f t="shared" si="1281"/>
        <v>0.006669003426948593</v>
      </c>
      <c r="AF766" s="122">
        <f t="shared" si="1281"/>
        <v>0.006669003426948593</v>
      </c>
      <c r="AG766" s="122">
        <f t="shared" si="1281"/>
        <v>0.006669003426948593</v>
      </c>
      <c r="AH766" s="122">
        <f t="shared" si="1281"/>
        <v>0.006669003426948593</v>
      </c>
      <c r="AI766" s="122">
        <f t="shared" si="1281"/>
        <v>0.006669003426948593</v>
      </c>
    </row>
    <row r="767" hidden="1" outlineLevel="1">
      <c r="A767" s="44" t="inlineStr">
        <is>
          <t>dpsp</t>
        </is>
      </c>
      <c r="B767" s="3" t="inlineStr">
        <is>
          <t>wtr</t>
        </is>
      </c>
      <c r="C767" s="3" t="inlineStr"/>
      <c r="D767" s="3" t="n">
        <v>64</v>
      </c>
      <c r="E767" s="3" t="inlineStr">
        <is>
          <t>srv</t>
        </is>
      </c>
      <c r="H767" s="3" t="inlineStr">
        <is>
          <t>Water supply: price change, output price</t>
        </is>
      </c>
      <c r="I767" s="3" t="inlineStr">
        <is>
          <t>fraction</t>
        </is>
      </c>
      <c r="J767" s="118" t="inlineStr">
        <is>
          <t>legacy rows 659-661 (fix D26)</t>
        </is>
      </c>
      <c r="K767" s="9" t="str">
        <f>LOWER(CtryCode)&amp;".distn."&amp;$A767&amp;IF($B767="","","."&amp;$B767)&amp;IF($C767="","",".dec."&amp;$C767)&amp;"."&amp;K$5</f>
        <v>egy.distn.dpsp.wtr.1</v>
      </c>
      <c r="L767" s="121">
        <f>L701*IF(LEFT(L$38,3)="Yes",IFERROR(INDEX(DPTVal,MATCH($E767,DPTKey,0)),1),1)</f>
        <v>0.0</v>
      </c>
      <c r="M767" s="122">
        <f t="shared" ref="M767:V767" si="1282">L767</f>
        <v>0.0</v>
      </c>
      <c r="N767" s="122">
        <f t="shared" si="1282"/>
        <v>0.0</v>
      </c>
      <c r="O767" s="122">
        <f t="shared" si="1282"/>
        <v>0.0</v>
      </c>
      <c r="P767" s="122">
        <f t="shared" si="1282"/>
        <v>0.0</v>
      </c>
      <c r="Q767" s="122">
        <f t="shared" si="1282"/>
        <v>0.0</v>
      </c>
      <c r="R767" s="122">
        <f t="shared" si="1282"/>
        <v>0.0</v>
      </c>
      <c r="S767" s="122">
        <f t="shared" si="1282"/>
        <v>0.0</v>
      </c>
      <c r="T767" s="122">
        <f t="shared" si="1282"/>
        <v>0.0</v>
      </c>
      <c r="U767" s="122">
        <f t="shared" si="1282"/>
        <v>0.0</v>
      </c>
      <c r="V767" s="122">
        <f t="shared" si="1282"/>
        <v>0.0</v>
      </c>
      <c r="W767" s="201" t="str">
        <f>IF(X$5=K$5,SUM(Y767:AI767)-SUM(L767:V767),"")</f>
        <v/>
      </c>
      <c r="X767" s="9" t="str">
        <f>LOWER(CtryCode)&amp;".distn."&amp;$A767&amp;IF($B767="","","."&amp;$B767)&amp;IF($C767="","",".dec."&amp;$C767)&amp;"."&amp;X$5</f>
        <v>egy.distn.dpsp.wtr.2</v>
      </c>
      <c r="Y767" s="121">
        <f>Y701*IF(LEFT(Y$38,3)="Yes",IFERROR(INDEX(DPTVal,MATCH($E767,DPTKey,0)),1),1)</f>
        <v>0.0025298867807612585</v>
      </c>
      <c r="Z767" s="122">
        <f t="shared" ref="Z767:AI767" si="1283">Y767</f>
        <v>0.0025298867807612585</v>
      </c>
      <c r="AA767" s="122">
        <f t="shared" si="1283"/>
        <v>0.0025298867807612585</v>
      </c>
      <c r="AB767" s="122">
        <f t="shared" si="1283"/>
        <v>0.0025298867807612585</v>
      </c>
      <c r="AC767" s="122">
        <f t="shared" si="1283"/>
        <v>0.0025298867807612585</v>
      </c>
      <c r="AD767" s="122">
        <f t="shared" si="1283"/>
        <v>0.0025298867807612585</v>
      </c>
      <c r="AE767" s="122">
        <f t="shared" si="1283"/>
        <v>0.0025298867807612585</v>
      </c>
      <c r="AF767" s="122">
        <f t="shared" si="1283"/>
        <v>0.0025298867807612585</v>
      </c>
      <c r="AG767" s="122">
        <f t="shared" si="1283"/>
        <v>0.0025298867807612585</v>
      </c>
      <c r="AH767" s="122">
        <f t="shared" si="1283"/>
        <v>0.0025298867807612585</v>
      </c>
      <c r="AI767" s="122">
        <f t="shared" si="1283"/>
        <v>0.0025298867807612585</v>
      </c>
    </row>
    <row r="768" hidden="1" outlineLevel="1"/>
    <row r="769" hidden="1" outlineLevel="1">
      <c r="B769" s="31" t="inlineStr">
        <is>
          <t>Rank of each sector by output-price change (ties broken by order, fix D25)</t>
        </is>
      </c>
    </row>
    <row r="770" hidden="1" outlineLevel="1">
      <c r="A770" s="44" t="inlineStr">
        <is>
          <t>dprk</t>
        </is>
      </c>
      <c r="B770" s="3" t="inlineStr">
        <is>
          <t>afs</t>
        </is>
      </c>
      <c r="C770" s="3" t="inlineStr"/>
      <c r="D770" s="3" t="n"/>
      <c r="E770" s="3" t="n"/>
      <c r="H770" s="3" t="inlineStr">
        <is>
          <t>Hotels: rank</t>
        </is>
      </c>
      <c r="I770" s="3" t="inlineStr">
        <is>
          <t>rank</t>
        </is>
      </c>
      <c r="J770" s="118" t="inlineStr">
        <is>
          <t>legacy rows 3277-3279</t>
        </is>
      </c>
      <c r="K770" s="9" t="str">
        <f>LOWER(CtryCode)&amp;".distn."&amp;$A770&amp;IF($B770="","","."&amp;$B770)&amp;IF($C770="","",".dec."&amp;$C770)&amp;"."&amp;K$5</f>
        <v>egy.distn.dprk.afs.1</v>
      </c>
      <c r="L770" s="38">
        <f>RANK(L704,L$704:L$767)</f>
        <v>1.0</v>
      </c>
      <c r="M770" s="39">
        <f t="shared" ref="M770:V770" si="1284">L770</f>
        <v>1.0</v>
      </c>
      <c r="N770" s="39">
        <f t="shared" si="1284"/>
        <v>1.0</v>
      </c>
      <c r="O770" s="39">
        <f t="shared" si="1284"/>
        <v>1.0</v>
      </c>
      <c r="P770" s="39">
        <f t="shared" si="1284"/>
        <v>1.0</v>
      </c>
      <c r="Q770" s="39">
        <f t="shared" si="1284"/>
        <v>1.0</v>
      </c>
      <c r="R770" s="39">
        <f t="shared" si="1284"/>
        <v>1.0</v>
      </c>
      <c r="S770" s="39">
        <f t="shared" si="1284"/>
        <v>1.0</v>
      </c>
      <c r="T770" s="39">
        <f t="shared" si="1284"/>
        <v>1.0</v>
      </c>
      <c r="U770" s="39">
        <f t="shared" si="1284"/>
        <v>1.0</v>
      </c>
      <c r="V770" s="39">
        <f t="shared" si="1284"/>
        <v>1.0</v>
      </c>
      <c r="W770" s="201" t="str">
        <f>IF(X$5=K$5,SUM(Y770:AI770)-SUM(L770:V770),"")</f>
        <v/>
      </c>
      <c r="X770" s="9" t="str">
        <f>LOWER(CtryCode)&amp;".distn."&amp;$A770&amp;IF($B770="","","."&amp;$B770)&amp;IF($C770="","",".dec."&amp;$C770)&amp;"."&amp;X$5</f>
        <v>egy.distn.dprk.afs.2</v>
      </c>
      <c r="Y770" s="38">
        <f>RANK(Y704,Y$704:Y$767)</f>
        <v>48.0</v>
      </c>
      <c r="Z770" s="39">
        <f t="shared" ref="Z770:AI770" si="1285">Y770</f>
        <v>48.0</v>
      </c>
      <c r="AA770" s="39">
        <f t="shared" si="1285"/>
        <v>48.0</v>
      </c>
      <c r="AB770" s="39">
        <f t="shared" si="1285"/>
        <v>48.0</v>
      </c>
      <c r="AC770" s="39">
        <f t="shared" si="1285"/>
        <v>48.0</v>
      </c>
      <c r="AD770" s="39">
        <f t="shared" si="1285"/>
        <v>48.0</v>
      </c>
      <c r="AE770" s="39">
        <f t="shared" si="1285"/>
        <v>48.0</v>
      </c>
      <c r="AF770" s="39">
        <f t="shared" si="1285"/>
        <v>48.0</v>
      </c>
      <c r="AG770" s="39">
        <f t="shared" si="1285"/>
        <v>48.0</v>
      </c>
      <c r="AH770" s="39">
        <f t="shared" si="1285"/>
        <v>48.0</v>
      </c>
      <c r="AI770" s="39">
        <f t="shared" si="1285"/>
        <v>48.0</v>
      </c>
    </row>
    <row r="771" hidden="1" outlineLevel="1">
      <c r="A771" s="44" t="inlineStr">
        <is>
          <t>dprk</t>
        </is>
      </c>
      <c r="B771" s="3" t="inlineStr">
        <is>
          <t>atp</t>
        </is>
      </c>
      <c r="C771" s="3" t="inlineStr"/>
      <c r="D771" s="3" t="n"/>
      <c r="E771" s="3" t="n"/>
      <c r="H771" s="3" t="inlineStr">
        <is>
          <t>Air transport: rank</t>
        </is>
      </c>
      <c r="I771" s="3" t="inlineStr">
        <is>
          <t>rank</t>
        </is>
      </c>
      <c r="J771" s="118" t="inlineStr">
        <is>
          <t>legacy rows 3277-3279</t>
        </is>
      </c>
      <c r="K771" s="9" t="str">
        <f>LOWER(CtryCode)&amp;".distn."&amp;$A771&amp;IF($B771="","","."&amp;$B771)&amp;IF($C771="","",".dec."&amp;$C771)&amp;"."&amp;K$5</f>
        <v>egy.distn.dprk.atp.1</v>
      </c>
      <c r="L771" s="38">
        <f>RANK(L705,L$704:L$767)+COUNTIF(L$704:L704,L705)</f>
        <v>2.0</v>
      </c>
      <c r="M771" s="39">
        <f t="shared" ref="M771:V771" si="1286">L771</f>
        <v>2.0</v>
      </c>
      <c r="N771" s="39">
        <f t="shared" si="1286"/>
        <v>2.0</v>
      </c>
      <c r="O771" s="39">
        <f t="shared" si="1286"/>
        <v>2.0</v>
      </c>
      <c r="P771" s="39">
        <f t="shared" si="1286"/>
        <v>2.0</v>
      </c>
      <c r="Q771" s="39">
        <f t="shared" si="1286"/>
        <v>2.0</v>
      </c>
      <c r="R771" s="39">
        <f t="shared" si="1286"/>
        <v>2.0</v>
      </c>
      <c r="S771" s="39">
        <f t="shared" si="1286"/>
        <v>2.0</v>
      </c>
      <c r="T771" s="39">
        <f t="shared" si="1286"/>
        <v>2.0</v>
      </c>
      <c r="U771" s="39">
        <f t="shared" si="1286"/>
        <v>2.0</v>
      </c>
      <c r="V771" s="39">
        <f t="shared" si="1286"/>
        <v>2.0</v>
      </c>
      <c r="W771" s="201" t="str">
        <f>IF(X$5=K$5,SUM(Y771:AI771)-SUM(L771:V771),"")</f>
        <v/>
      </c>
      <c r="X771" s="9" t="str">
        <f>LOWER(CtryCode)&amp;".distn."&amp;$A771&amp;IF($B771="","","."&amp;$B771)&amp;IF($C771="","",".dec."&amp;$C771)&amp;"."&amp;X$5</f>
        <v>egy.distn.dprk.atp.2</v>
      </c>
      <c r="Y771" s="38">
        <f>RANK(Y705,Y$704:Y$767)+COUNTIF(Y$704:Y704,Y705)</f>
        <v>1.0</v>
      </c>
      <c r="Z771" s="39">
        <f t="shared" ref="Z771:AI771" si="1287">Y771</f>
        <v>1.0</v>
      </c>
      <c r="AA771" s="39">
        <f t="shared" si="1287"/>
        <v>1.0</v>
      </c>
      <c r="AB771" s="39">
        <f t="shared" si="1287"/>
        <v>1.0</v>
      </c>
      <c r="AC771" s="39">
        <f t="shared" si="1287"/>
        <v>1.0</v>
      </c>
      <c r="AD771" s="39">
        <f t="shared" si="1287"/>
        <v>1.0</v>
      </c>
      <c r="AE771" s="39">
        <f t="shared" si="1287"/>
        <v>1.0</v>
      </c>
      <c r="AF771" s="39">
        <f t="shared" si="1287"/>
        <v>1.0</v>
      </c>
      <c r="AG771" s="39">
        <f t="shared" si="1287"/>
        <v>1.0</v>
      </c>
      <c r="AH771" s="39">
        <f t="shared" si="1287"/>
        <v>1.0</v>
      </c>
      <c r="AI771" s="39">
        <f t="shared" si="1287"/>
        <v>1.0</v>
      </c>
    </row>
    <row r="772" hidden="1" outlineLevel="1">
      <c r="A772" s="44" t="inlineStr">
        <is>
          <t>dprk</t>
        </is>
      </c>
      <c r="B772" s="3" t="inlineStr">
        <is>
          <t>b_t</t>
        </is>
      </c>
      <c r="C772" s="3" t="inlineStr"/>
      <c r="D772" s="3" t="n"/>
      <c r="E772" s="3" t="n"/>
      <c r="H772" s="3" t="inlineStr">
        <is>
          <t>Beverages &amp; Tobacco: rank</t>
        </is>
      </c>
      <c r="I772" s="3" t="inlineStr">
        <is>
          <t>rank</t>
        </is>
      </c>
      <c r="J772" s="118" t="inlineStr">
        <is>
          <t>legacy rows 3277-3279</t>
        </is>
      </c>
      <c r="K772" s="9" t="str">
        <f>LOWER(CtryCode)&amp;".distn."&amp;$A772&amp;IF($B772="","","."&amp;$B772)&amp;IF($C772="","",".dec."&amp;$C772)&amp;"."&amp;K$5</f>
        <v>egy.distn.dprk.b_t.1</v>
      </c>
      <c r="L772" s="38">
        <f>RANK(L706,L$704:L$767)+COUNTIF(L$704:L705,L706)</f>
        <v>3.0</v>
      </c>
      <c r="M772" s="39">
        <f t="shared" ref="M772:V772" si="1288">L772</f>
        <v>3.0</v>
      </c>
      <c r="N772" s="39">
        <f t="shared" si="1288"/>
        <v>3.0</v>
      </c>
      <c r="O772" s="39">
        <f t="shared" si="1288"/>
        <v>3.0</v>
      </c>
      <c r="P772" s="39">
        <f t="shared" si="1288"/>
        <v>3.0</v>
      </c>
      <c r="Q772" s="39">
        <f t="shared" si="1288"/>
        <v>3.0</v>
      </c>
      <c r="R772" s="39">
        <f t="shared" si="1288"/>
        <v>3.0</v>
      </c>
      <c r="S772" s="39">
        <f t="shared" si="1288"/>
        <v>3.0</v>
      </c>
      <c r="T772" s="39">
        <f t="shared" si="1288"/>
        <v>3.0</v>
      </c>
      <c r="U772" s="39">
        <f t="shared" si="1288"/>
        <v>3.0</v>
      </c>
      <c r="V772" s="39">
        <f t="shared" si="1288"/>
        <v>3.0</v>
      </c>
      <c r="W772" s="201" t="str">
        <f>IF(X$5=K$5,SUM(Y772:AI772)-SUM(L772:V772),"")</f>
        <v/>
      </c>
      <c r="X772" s="9" t="str">
        <f>LOWER(CtryCode)&amp;".distn."&amp;$A772&amp;IF($B772="","","."&amp;$B772)&amp;IF($C772="","",".dec."&amp;$C772)&amp;"."&amp;X$5</f>
        <v>egy.distn.dprk.b_t.2</v>
      </c>
      <c r="Y772" s="38">
        <f>RANK(Y706,Y$704:Y$767)+COUNTIF(Y$704:Y705,Y706)</f>
        <v>50.0</v>
      </c>
      <c r="Z772" s="39">
        <f t="shared" ref="Z772:AI772" si="1289">Y772</f>
        <v>50.0</v>
      </c>
      <c r="AA772" s="39">
        <f t="shared" si="1289"/>
        <v>50.0</v>
      </c>
      <c r="AB772" s="39">
        <f t="shared" si="1289"/>
        <v>50.0</v>
      </c>
      <c r="AC772" s="39">
        <f t="shared" si="1289"/>
        <v>50.0</v>
      </c>
      <c r="AD772" s="39">
        <f t="shared" si="1289"/>
        <v>50.0</v>
      </c>
      <c r="AE772" s="39">
        <f t="shared" si="1289"/>
        <v>50.0</v>
      </c>
      <c r="AF772" s="39">
        <f t="shared" si="1289"/>
        <v>50.0</v>
      </c>
      <c r="AG772" s="39">
        <f t="shared" si="1289"/>
        <v>50.0</v>
      </c>
      <c r="AH772" s="39">
        <f t="shared" si="1289"/>
        <v>50.0</v>
      </c>
      <c r="AI772" s="39">
        <f t="shared" si="1289"/>
        <v>50.0</v>
      </c>
    </row>
    <row r="773" hidden="1" outlineLevel="1">
      <c r="A773" s="44" t="inlineStr">
        <is>
          <t>dprk</t>
        </is>
      </c>
      <c r="B773" s="3" t="inlineStr">
        <is>
          <t>bph</t>
        </is>
      </c>
      <c r="C773" s="3" t="inlineStr"/>
      <c r="D773" s="3" t="n"/>
      <c r="E773" s="3" t="n"/>
      <c r="H773" s="3" t="inlineStr">
        <is>
          <t>Pharmaceuticals: rank</t>
        </is>
      </c>
      <c r="I773" s="3" t="inlineStr">
        <is>
          <t>rank</t>
        </is>
      </c>
      <c r="J773" s="118" t="inlineStr">
        <is>
          <t>legacy rows 3277-3279</t>
        </is>
      </c>
      <c r="K773" s="9" t="str">
        <f>LOWER(CtryCode)&amp;".distn."&amp;$A773&amp;IF($B773="","","."&amp;$B773)&amp;IF($C773="","",".dec."&amp;$C773)&amp;"."&amp;K$5</f>
        <v>egy.distn.dprk.bph.1</v>
      </c>
      <c r="L773" s="38">
        <f>RANK(L707,L$704:L$767)+COUNTIF(L$704:L706,L707)</f>
        <v>4.0</v>
      </c>
      <c r="M773" s="39">
        <f t="shared" ref="M773:V773" si="1290">L773</f>
        <v>4.0</v>
      </c>
      <c r="N773" s="39">
        <f t="shared" si="1290"/>
        <v>4.0</v>
      </c>
      <c r="O773" s="39">
        <f t="shared" si="1290"/>
        <v>4.0</v>
      </c>
      <c r="P773" s="39">
        <f t="shared" si="1290"/>
        <v>4.0</v>
      </c>
      <c r="Q773" s="39">
        <f t="shared" si="1290"/>
        <v>4.0</v>
      </c>
      <c r="R773" s="39">
        <f t="shared" si="1290"/>
        <v>4.0</v>
      </c>
      <c r="S773" s="39">
        <f t="shared" si="1290"/>
        <v>4.0</v>
      </c>
      <c r="T773" s="39">
        <f t="shared" si="1290"/>
        <v>4.0</v>
      </c>
      <c r="U773" s="39">
        <f t="shared" si="1290"/>
        <v>4.0</v>
      </c>
      <c r="V773" s="39">
        <f t="shared" si="1290"/>
        <v>4.0</v>
      </c>
      <c r="W773" s="201" t="str">
        <f>IF(X$5=K$5,SUM(Y773:AI773)-SUM(L773:V773),"")</f>
        <v/>
      </c>
      <c r="X773" s="9" t="str">
        <f>LOWER(CtryCode)&amp;".distn."&amp;$A773&amp;IF($B773="","","."&amp;$B773)&amp;IF($C773="","",".dec."&amp;$C773)&amp;"."&amp;X$5</f>
        <v>egy.distn.dprk.bph.2</v>
      </c>
      <c r="Y773" s="38">
        <f>RANK(Y707,Y$704:Y$767)+COUNTIF(Y$704:Y706,Y707)</f>
        <v>16.0</v>
      </c>
      <c r="Z773" s="39">
        <f t="shared" ref="Z773:AI773" si="1291">Y773</f>
        <v>16.0</v>
      </c>
      <c r="AA773" s="39">
        <f t="shared" si="1291"/>
        <v>16.0</v>
      </c>
      <c r="AB773" s="39">
        <f t="shared" si="1291"/>
        <v>16.0</v>
      </c>
      <c r="AC773" s="39">
        <f t="shared" si="1291"/>
        <v>16.0</v>
      </c>
      <c r="AD773" s="39">
        <f t="shared" si="1291"/>
        <v>16.0</v>
      </c>
      <c r="AE773" s="39">
        <f t="shared" si="1291"/>
        <v>16.0</v>
      </c>
      <c r="AF773" s="39">
        <f t="shared" si="1291"/>
        <v>16.0</v>
      </c>
      <c r="AG773" s="39">
        <f t="shared" si="1291"/>
        <v>16.0</v>
      </c>
      <c r="AH773" s="39">
        <f t="shared" si="1291"/>
        <v>16.0</v>
      </c>
      <c r="AI773" s="39">
        <f t="shared" si="1291"/>
        <v>16.0</v>
      </c>
    </row>
    <row r="774" hidden="1" outlineLevel="1">
      <c r="A774" s="44" t="inlineStr">
        <is>
          <t>dprk</t>
        </is>
      </c>
      <c r="B774" s="3" t="inlineStr">
        <is>
          <t>c_b</t>
        </is>
      </c>
      <c r="C774" s="3" t="inlineStr"/>
      <c r="D774" s="3" t="n"/>
      <c r="E774" s="3" t="n"/>
      <c r="H774" s="3" t="inlineStr">
        <is>
          <t>Cane &amp; Beet: rank</t>
        </is>
      </c>
      <c r="I774" s="3" t="inlineStr">
        <is>
          <t>rank</t>
        </is>
      </c>
      <c r="J774" s="118" t="inlineStr">
        <is>
          <t>legacy rows 3277-3279</t>
        </is>
      </c>
      <c r="K774" s="9" t="str">
        <f>LOWER(CtryCode)&amp;".distn."&amp;$A774&amp;IF($B774="","","."&amp;$B774)&amp;IF($C774="","",".dec."&amp;$C774)&amp;"."&amp;K$5</f>
        <v>egy.distn.dprk.c_b.1</v>
      </c>
      <c r="L774" s="38">
        <f>RANK(L708,L$704:L$767)+COUNTIF(L$704:L707,L708)</f>
        <v>5.0</v>
      </c>
      <c r="M774" s="39">
        <f t="shared" ref="M774:V774" si="1292">L774</f>
        <v>5.0</v>
      </c>
      <c r="N774" s="39">
        <f t="shared" si="1292"/>
        <v>5.0</v>
      </c>
      <c r="O774" s="39">
        <f t="shared" si="1292"/>
        <v>5.0</v>
      </c>
      <c r="P774" s="39">
        <f t="shared" si="1292"/>
        <v>5.0</v>
      </c>
      <c r="Q774" s="39">
        <f t="shared" si="1292"/>
        <v>5.0</v>
      </c>
      <c r="R774" s="39">
        <f t="shared" si="1292"/>
        <v>5.0</v>
      </c>
      <c r="S774" s="39">
        <f t="shared" si="1292"/>
        <v>5.0</v>
      </c>
      <c r="T774" s="39">
        <f t="shared" si="1292"/>
        <v>5.0</v>
      </c>
      <c r="U774" s="39">
        <f t="shared" si="1292"/>
        <v>5.0</v>
      </c>
      <c r="V774" s="39">
        <f t="shared" si="1292"/>
        <v>5.0</v>
      </c>
      <c r="W774" s="201" t="str">
        <f>IF(X$5=K$5,SUM(Y774:AI774)-SUM(L774:V774),"")</f>
        <v/>
      </c>
      <c r="X774" s="9" t="str">
        <f>LOWER(CtryCode)&amp;".distn."&amp;$A774&amp;IF($B774="","","."&amp;$B774)&amp;IF($C774="","",".dec."&amp;$C774)&amp;"."&amp;X$5</f>
        <v>egy.distn.dprk.c_b.2</v>
      </c>
      <c r="Y774" s="38">
        <f>RANK(Y708,Y$704:Y$767)+COUNTIF(Y$704:Y707,Y708)</f>
        <v>28.0</v>
      </c>
      <c r="Z774" s="39">
        <f t="shared" ref="Z774:AI774" si="1293">Y774</f>
        <v>28.0</v>
      </c>
      <c r="AA774" s="39">
        <f t="shared" si="1293"/>
        <v>28.0</v>
      </c>
      <c r="AB774" s="39">
        <f t="shared" si="1293"/>
        <v>28.0</v>
      </c>
      <c r="AC774" s="39">
        <f t="shared" si="1293"/>
        <v>28.0</v>
      </c>
      <c r="AD774" s="39">
        <f t="shared" si="1293"/>
        <v>28.0</v>
      </c>
      <c r="AE774" s="39">
        <f t="shared" si="1293"/>
        <v>28.0</v>
      </c>
      <c r="AF774" s="39">
        <f t="shared" si="1293"/>
        <v>28.0</v>
      </c>
      <c r="AG774" s="39">
        <f t="shared" si="1293"/>
        <v>28.0</v>
      </c>
      <c r="AH774" s="39">
        <f t="shared" si="1293"/>
        <v>28.0</v>
      </c>
      <c r="AI774" s="39">
        <f t="shared" si="1293"/>
        <v>28.0</v>
      </c>
    </row>
    <row r="775" hidden="1" outlineLevel="1">
      <c r="A775" s="44" t="inlineStr">
        <is>
          <t>dprk</t>
        </is>
      </c>
      <c r="B775" s="3" t="inlineStr">
        <is>
          <t>chm</t>
        </is>
      </c>
      <c r="C775" s="3" t="inlineStr"/>
      <c r="D775" s="3" t="n"/>
      <c r="E775" s="3" t="n"/>
      <c r="H775" s="3" t="inlineStr">
        <is>
          <t>Chemicals: rank</t>
        </is>
      </c>
      <c r="I775" s="3" t="inlineStr">
        <is>
          <t>rank</t>
        </is>
      </c>
      <c r="J775" s="118" t="inlineStr">
        <is>
          <t>legacy rows 3277-3279</t>
        </is>
      </c>
      <c r="K775" s="9" t="str">
        <f>LOWER(CtryCode)&amp;".distn."&amp;$A775&amp;IF($B775="","","."&amp;$B775)&amp;IF($C775="","",".dec."&amp;$C775)&amp;"."&amp;K$5</f>
        <v>egy.distn.dprk.chm.1</v>
      </c>
      <c r="L775" s="38">
        <f>RANK(L709,L$704:L$767)+COUNTIF(L$704:L708,L709)</f>
        <v>6.0</v>
      </c>
      <c r="M775" s="39">
        <f t="shared" ref="M775:V775" si="1294">L775</f>
        <v>6.0</v>
      </c>
      <c r="N775" s="39">
        <f t="shared" si="1294"/>
        <v>6.0</v>
      </c>
      <c r="O775" s="39">
        <f t="shared" si="1294"/>
        <v>6.0</v>
      </c>
      <c r="P775" s="39">
        <f t="shared" si="1294"/>
        <v>6.0</v>
      </c>
      <c r="Q775" s="39">
        <f t="shared" si="1294"/>
        <v>6.0</v>
      </c>
      <c r="R775" s="39">
        <f t="shared" si="1294"/>
        <v>6.0</v>
      </c>
      <c r="S775" s="39">
        <f t="shared" si="1294"/>
        <v>6.0</v>
      </c>
      <c r="T775" s="39">
        <f t="shared" si="1294"/>
        <v>6.0</v>
      </c>
      <c r="U775" s="39">
        <f t="shared" si="1294"/>
        <v>6.0</v>
      </c>
      <c r="V775" s="39">
        <f t="shared" si="1294"/>
        <v>6.0</v>
      </c>
      <c r="W775" s="201" t="str">
        <f>IF(X$5=K$5,SUM(Y775:AI775)-SUM(L775:V775),"")</f>
        <v/>
      </c>
      <c r="X775" s="9" t="str">
        <f>LOWER(CtryCode)&amp;".distn."&amp;$A775&amp;IF($B775="","","."&amp;$B775)&amp;IF($C775="","",".dec."&amp;$C775)&amp;"."&amp;X$5</f>
        <v>egy.distn.dprk.chm.2</v>
      </c>
      <c r="Y775" s="38">
        <f>RANK(Y709,Y$704:Y$767)+COUNTIF(Y$704:Y708,Y709)</f>
        <v>2.0</v>
      </c>
      <c r="Z775" s="39">
        <f t="shared" ref="Z775:AI775" si="1295">Y775</f>
        <v>2.0</v>
      </c>
      <c r="AA775" s="39">
        <f t="shared" si="1295"/>
        <v>2.0</v>
      </c>
      <c r="AB775" s="39">
        <f t="shared" si="1295"/>
        <v>2.0</v>
      </c>
      <c r="AC775" s="39">
        <f t="shared" si="1295"/>
        <v>2.0</v>
      </c>
      <c r="AD775" s="39">
        <f t="shared" si="1295"/>
        <v>2.0</v>
      </c>
      <c r="AE775" s="39">
        <f t="shared" si="1295"/>
        <v>2.0</v>
      </c>
      <c r="AF775" s="39">
        <f t="shared" si="1295"/>
        <v>2.0</v>
      </c>
      <c r="AG775" s="39">
        <f t="shared" si="1295"/>
        <v>2.0</v>
      </c>
      <c r="AH775" s="39">
        <f t="shared" si="1295"/>
        <v>2.0</v>
      </c>
      <c r="AI775" s="39">
        <f t="shared" si="1295"/>
        <v>2.0</v>
      </c>
    </row>
    <row r="776" hidden="1" outlineLevel="1">
      <c r="A776" s="44" t="inlineStr">
        <is>
          <t>dprk</t>
        </is>
      </c>
      <c r="B776" s="3" t="inlineStr">
        <is>
          <t>cmn</t>
        </is>
      </c>
      <c r="C776" s="3" t="inlineStr"/>
      <c r="D776" s="3" t="n"/>
      <c r="E776" s="3" t="n"/>
      <c r="H776" s="3" t="inlineStr">
        <is>
          <t>Telecomms: rank</t>
        </is>
      </c>
      <c r="I776" s="3" t="inlineStr">
        <is>
          <t>rank</t>
        </is>
      </c>
      <c r="J776" s="118" t="inlineStr">
        <is>
          <t>legacy rows 3277-3279</t>
        </is>
      </c>
      <c r="K776" s="9" t="str">
        <f>LOWER(CtryCode)&amp;".distn."&amp;$A776&amp;IF($B776="","","."&amp;$B776)&amp;IF($C776="","",".dec."&amp;$C776)&amp;"."&amp;K$5</f>
        <v>egy.distn.dprk.cmn.1</v>
      </c>
      <c r="L776" s="38">
        <f>RANK(L710,L$704:L$767)+COUNTIF(L$704:L709,L710)</f>
        <v>7.0</v>
      </c>
      <c r="M776" s="39">
        <f t="shared" ref="M776:V776" si="1296">L776</f>
        <v>7.0</v>
      </c>
      <c r="N776" s="39">
        <f t="shared" si="1296"/>
        <v>7.0</v>
      </c>
      <c r="O776" s="39">
        <f t="shared" si="1296"/>
        <v>7.0</v>
      </c>
      <c r="P776" s="39">
        <f t="shared" si="1296"/>
        <v>7.0</v>
      </c>
      <c r="Q776" s="39">
        <f t="shared" si="1296"/>
        <v>7.0</v>
      </c>
      <c r="R776" s="39">
        <f t="shared" si="1296"/>
        <v>7.0</v>
      </c>
      <c r="S776" s="39">
        <f t="shared" si="1296"/>
        <v>7.0</v>
      </c>
      <c r="T776" s="39">
        <f t="shared" si="1296"/>
        <v>7.0</v>
      </c>
      <c r="U776" s="39">
        <f t="shared" si="1296"/>
        <v>7.0</v>
      </c>
      <c r="V776" s="39">
        <f t="shared" si="1296"/>
        <v>7.0</v>
      </c>
      <c r="W776" s="201" t="str">
        <f>IF(X$5=K$5,SUM(Y776:AI776)-SUM(L776:V776),"")</f>
        <v/>
      </c>
      <c r="X776" s="9" t="str">
        <f>LOWER(CtryCode)&amp;".distn."&amp;$A776&amp;IF($B776="","","."&amp;$B776)&amp;IF($C776="","",".dec."&amp;$C776)&amp;"."&amp;X$5</f>
        <v>egy.distn.dprk.cmn.2</v>
      </c>
      <c r="Y776" s="38">
        <f>RANK(Y710,Y$704:Y$767)+COUNTIF(Y$704:Y709,Y710)</f>
        <v>55.0</v>
      </c>
      <c r="Z776" s="39">
        <f t="shared" ref="Z776:AI776" si="1297">Y776</f>
        <v>55.0</v>
      </c>
      <c r="AA776" s="39">
        <f t="shared" si="1297"/>
        <v>55.0</v>
      </c>
      <c r="AB776" s="39">
        <f t="shared" si="1297"/>
        <v>55.0</v>
      </c>
      <c r="AC776" s="39">
        <f t="shared" si="1297"/>
        <v>55.0</v>
      </c>
      <c r="AD776" s="39">
        <f t="shared" si="1297"/>
        <v>55.0</v>
      </c>
      <c r="AE776" s="39">
        <f t="shared" si="1297"/>
        <v>55.0</v>
      </c>
      <c r="AF776" s="39">
        <f t="shared" si="1297"/>
        <v>55.0</v>
      </c>
      <c r="AG776" s="39">
        <f t="shared" si="1297"/>
        <v>55.0</v>
      </c>
      <c r="AH776" s="39">
        <f t="shared" si="1297"/>
        <v>55.0</v>
      </c>
      <c r="AI776" s="39">
        <f t="shared" si="1297"/>
        <v>55.0</v>
      </c>
    </row>
    <row r="777" hidden="1" outlineLevel="1">
      <c r="A777" s="44" t="inlineStr">
        <is>
          <t>dprk</t>
        </is>
      </c>
      <c r="B777" s="3" t="inlineStr">
        <is>
          <t>cmt</t>
        </is>
      </c>
      <c r="C777" s="3" t="inlineStr"/>
      <c r="D777" s="3" t="n"/>
      <c r="E777" s="3" t="n"/>
      <c r="H777" s="3" t="inlineStr">
        <is>
          <t>Cattle Meat: rank</t>
        </is>
      </c>
      <c r="I777" s="3" t="inlineStr">
        <is>
          <t>rank</t>
        </is>
      </c>
      <c r="J777" s="118" t="inlineStr">
        <is>
          <t>legacy rows 3277-3279</t>
        </is>
      </c>
      <c r="K777" s="9" t="str">
        <f>LOWER(CtryCode)&amp;".distn."&amp;$A777&amp;IF($B777="","","."&amp;$B777)&amp;IF($C777="","",".dec."&amp;$C777)&amp;"."&amp;K$5</f>
        <v>egy.distn.dprk.cmt.1</v>
      </c>
      <c r="L777" s="38">
        <f>RANK(L711,L$704:L$767)+COUNTIF(L$704:L710,L711)</f>
        <v>8.0</v>
      </c>
      <c r="M777" s="39">
        <f t="shared" ref="M777:V777" si="1298">L777</f>
        <v>8.0</v>
      </c>
      <c r="N777" s="39">
        <f t="shared" si="1298"/>
        <v>8.0</v>
      </c>
      <c r="O777" s="39">
        <f t="shared" si="1298"/>
        <v>8.0</v>
      </c>
      <c r="P777" s="39">
        <f t="shared" si="1298"/>
        <v>8.0</v>
      </c>
      <c r="Q777" s="39">
        <f t="shared" si="1298"/>
        <v>8.0</v>
      </c>
      <c r="R777" s="39">
        <f t="shared" si="1298"/>
        <v>8.0</v>
      </c>
      <c r="S777" s="39">
        <f t="shared" si="1298"/>
        <v>8.0</v>
      </c>
      <c r="T777" s="39">
        <f t="shared" si="1298"/>
        <v>8.0</v>
      </c>
      <c r="U777" s="39">
        <f t="shared" si="1298"/>
        <v>8.0</v>
      </c>
      <c r="V777" s="39">
        <f t="shared" si="1298"/>
        <v>8.0</v>
      </c>
      <c r="W777" s="201" t="str">
        <f>IF(X$5=K$5,SUM(Y777:AI777)-SUM(L777:V777),"")</f>
        <v/>
      </c>
      <c r="X777" s="9" t="str">
        <f>LOWER(CtryCode)&amp;".distn."&amp;$A777&amp;IF($B777="","","."&amp;$B777)&amp;IF($C777="","",".dec."&amp;$C777)&amp;"."&amp;X$5</f>
        <v>egy.distn.dprk.cmt.2</v>
      </c>
      <c r="Y777" s="38">
        <f>RANK(Y711,Y$704:Y$767)+COUNTIF(Y$704:Y710,Y711)</f>
        <v>57.0</v>
      </c>
      <c r="Z777" s="39">
        <f t="shared" ref="Z777:AI777" si="1299">Y777</f>
        <v>57.0</v>
      </c>
      <c r="AA777" s="39">
        <f t="shared" si="1299"/>
        <v>57.0</v>
      </c>
      <c r="AB777" s="39">
        <f t="shared" si="1299"/>
        <v>57.0</v>
      </c>
      <c r="AC777" s="39">
        <f t="shared" si="1299"/>
        <v>57.0</v>
      </c>
      <c r="AD777" s="39">
        <f t="shared" si="1299"/>
        <v>57.0</v>
      </c>
      <c r="AE777" s="39">
        <f t="shared" si="1299"/>
        <v>57.0</v>
      </c>
      <c r="AF777" s="39">
        <f t="shared" si="1299"/>
        <v>57.0</v>
      </c>
      <c r="AG777" s="39">
        <f t="shared" si="1299"/>
        <v>57.0</v>
      </c>
      <c r="AH777" s="39">
        <f t="shared" si="1299"/>
        <v>57.0</v>
      </c>
      <c r="AI777" s="39">
        <f t="shared" si="1299"/>
        <v>57.0</v>
      </c>
    </row>
    <row r="778" hidden="1" outlineLevel="1">
      <c r="A778" s="44" t="inlineStr">
        <is>
          <t>dprk</t>
        </is>
      </c>
      <c r="B778" s="3" t="inlineStr">
        <is>
          <t>cns</t>
        </is>
      </c>
      <c r="C778" s="3" t="inlineStr"/>
      <c r="D778" s="3" t="n"/>
      <c r="E778" s="3" t="n"/>
      <c r="H778" s="3" t="inlineStr">
        <is>
          <t>Construction: rank</t>
        </is>
      </c>
      <c r="I778" s="3" t="inlineStr">
        <is>
          <t>rank</t>
        </is>
      </c>
      <c r="J778" s="118" t="inlineStr">
        <is>
          <t>legacy rows 3277-3279</t>
        </is>
      </c>
      <c r="K778" s="9" t="str">
        <f>LOWER(CtryCode)&amp;".distn."&amp;$A778&amp;IF($B778="","","."&amp;$B778)&amp;IF($C778="","",".dec."&amp;$C778)&amp;"."&amp;K$5</f>
        <v>egy.distn.dprk.cns.1</v>
      </c>
      <c r="L778" s="38">
        <f>RANK(L712,L$704:L$767)+COUNTIF(L$704:L711,L712)</f>
        <v>9.0</v>
      </c>
      <c r="M778" s="39">
        <f t="shared" ref="M778:V778" si="1300">L778</f>
        <v>9.0</v>
      </c>
      <c r="N778" s="39">
        <f t="shared" si="1300"/>
        <v>9.0</v>
      </c>
      <c r="O778" s="39">
        <f t="shared" si="1300"/>
        <v>9.0</v>
      </c>
      <c r="P778" s="39">
        <f t="shared" si="1300"/>
        <v>9.0</v>
      </c>
      <c r="Q778" s="39">
        <f t="shared" si="1300"/>
        <v>9.0</v>
      </c>
      <c r="R778" s="39">
        <f t="shared" si="1300"/>
        <v>9.0</v>
      </c>
      <c r="S778" s="39">
        <f t="shared" si="1300"/>
        <v>9.0</v>
      </c>
      <c r="T778" s="39">
        <f t="shared" si="1300"/>
        <v>9.0</v>
      </c>
      <c r="U778" s="39">
        <f t="shared" si="1300"/>
        <v>9.0</v>
      </c>
      <c r="V778" s="39">
        <f t="shared" si="1300"/>
        <v>9.0</v>
      </c>
      <c r="W778" s="201" t="str">
        <f>IF(X$5=K$5,SUM(Y778:AI778)-SUM(L778:V778),"")</f>
        <v/>
      </c>
      <c r="X778" s="9" t="str">
        <f>LOWER(CtryCode)&amp;".distn."&amp;$A778&amp;IF($B778="","","."&amp;$B778)&amp;IF($C778="","",".dec."&amp;$C778)&amp;"."&amp;X$5</f>
        <v>egy.distn.dprk.cns.2</v>
      </c>
      <c r="Y778" s="38">
        <f>RANK(Y712,Y$704:Y$767)+COUNTIF(Y$704:Y711,Y712)</f>
        <v>21.0</v>
      </c>
      <c r="Z778" s="39">
        <f t="shared" ref="Z778:AI778" si="1301">Y778</f>
        <v>21.0</v>
      </c>
      <c r="AA778" s="39">
        <f t="shared" si="1301"/>
        <v>21.0</v>
      </c>
      <c r="AB778" s="39">
        <f t="shared" si="1301"/>
        <v>21.0</v>
      </c>
      <c r="AC778" s="39">
        <f t="shared" si="1301"/>
        <v>21.0</v>
      </c>
      <c r="AD778" s="39">
        <f t="shared" si="1301"/>
        <v>21.0</v>
      </c>
      <c r="AE778" s="39">
        <f t="shared" si="1301"/>
        <v>21.0</v>
      </c>
      <c r="AF778" s="39">
        <f t="shared" si="1301"/>
        <v>21.0</v>
      </c>
      <c r="AG778" s="39">
        <f t="shared" si="1301"/>
        <v>21.0</v>
      </c>
      <c r="AH778" s="39">
        <f t="shared" si="1301"/>
        <v>21.0</v>
      </c>
      <c r="AI778" s="39">
        <f t="shared" si="1301"/>
        <v>21.0</v>
      </c>
    </row>
    <row r="779" hidden="1" outlineLevel="1">
      <c r="A779" s="44" t="inlineStr">
        <is>
          <t>dprk</t>
        </is>
      </c>
      <c r="B779" s="3" t="inlineStr">
        <is>
          <t>coa</t>
        </is>
      </c>
      <c r="C779" s="3" t="inlineStr"/>
      <c r="D779" s="3" t="n"/>
      <c r="E779" s="3" t="n"/>
      <c r="H779" s="3" t="inlineStr">
        <is>
          <t>Coal: rank</t>
        </is>
      </c>
      <c r="I779" s="3" t="inlineStr">
        <is>
          <t>rank</t>
        </is>
      </c>
      <c r="J779" s="118" t="inlineStr">
        <is>
          <t>legacy rows 3277-3279</t>
        </is>
      </c>
      <c r="K779" s="9" t="str">
        <f>LOWER(CtryCode)&amp;".distn."&amp;$A779&amp;IF($B779="","","."&amp;$B779)&amp;IF($C779="","",".dec."&amp;$C779)&amp;"."&amp;K$5</f>
        <v>egy.distn.dprk.coa.1</v>
      </c>
      <c r="L779" s="38">
        <f>RANK(L713,L$704:L$767)+COUNTIF(L$704:L712,L713)</f>
        <v>10.0</v>
      </c>
      <c r="M779" s="39">
        <f t="shared" ref="M779:V779" si="1302">L779</f>
        <v>10.0</v>
      </c>
      <c r="N779" s="39">
        <f t="shared" si="1302"/>
        <v>10.0</v>
      </c>
      <c r="O779" s="39">
        <f t="shared" si="1302"/>
        <v>10.0</v>
      </c>
      <c r="P779" s="39">
        <f t="shared" si="1302"/>
        <v>10.0</v>
      </c>
      <c r="Q779" s="39">
        <f t="shared" si="1302"/>
        <v>10.0</v>
      </c>
      <c r="R779" s="39">
        <f t="shared" si="1302"/>
        <v>10.0</v>
      </c>
      <c r="S779" s="39">
        <f t="shared" si="1302"/>
        <v>10.0</v>
      </c>
      <c r="T779" s="39">
        <f t="shared" si="1302"/>
        <v>10.0</v>
      </c>
      <c r="U779" s="39">
        <f t="shared" si="1302"/>
        <v>10.0</v>
      </c>
      <c r="V779" s="39">
        <f t="shared" si="1302"/>
        <v>10.0</v>
      </c>
      <c r="W779" s="201" t="str">
        <f>IF(X$5=K$5,SUM(Y779:AI779)-SUM(L779:V779),"")</f>
        <v/>
      </c>
      <c r="X779" s="9" t="str">
        <f>LOWER(CtryCode)&amp;".distn."&amp;$A779&amp;IF($B779="","","."&amp;$B779)&amp;IF($C779="","",".dec."&amp;$C779)&amp;"."&amp;X$5</f>
        <v>egy.distn.dprk.coa.2</v>
      </c>
      <c r="Y779" s="38">
        <f>RANK(Y713,Y$704:Y$767)+COUNTIF(Y$704:Y712,Y713)</f>
        <v>60.0</v>
      </c>
      <c r="Z779" s="39">
        <f t="shared" ref="Z779:AI779" si="1303">Y779</f>
        <v>60.0</v>
      </c>
      <c r="AA779" s="39">
        <f t="shared" si="1303"/>
        <v>60.0</v>
      </c>
      <c r="AB779" s="39">
        <f t="shared" si="1303"/>
        <v>60.0</v>
      </c>
      <c r="AC779" s="39">
        <f t="shared" si="1303"/>
        <v>60.0</v>
      </c>
      <c r="AD779" s="39">
        <f t="shared" si="1303"/>
        <v>60.0</v>
      </c>
      <c r="AE779" s="39">
        <f t="shared" si="1303"/>
        <v>60.0</v>
      </c>
      <c r="AF779" s="39">
        <f t="shared" si="1303"/>
        <v>60.0</v>
      </c>
      <c r="AG779" s="39">
        <f t="shared" si="1303"/>
        <v>60.0</v>
      </c>
      <c r="AH779" s="39">
        <f t="shared" si="1303"/>
        <v>60.0</v>
      </c>
      <c r="AI779" s="39">
        <f t="shared" si="1303"/>
        <v>60.0</v>
      </c>
    </row>
    <row r="780" hidden="1" outlineLevel="1">
      <c r="A780" s="44" t="inlineStr">
        <is>
          <t>dprk</t>
        </is>
      </c>
      <c r="B780" s="3" t="inlineStr">
        <is>
          <t>ctl</t>
        </is>
      </c>
      <c r="C780" s="3" t="inlineStr"/>
      <c r="D780" s="3" t="n"/>
      <c r="E780" s="3" t="n"/>
      <c r="H780" s="3" t="inlineStr">
        <is>
          <t>Cattle: rank</t>
        </is>
      </c>
      <c r="I780" s="3" t="inlineStr">
        <is>
          <t>rank</t>
        </is>
      </c>
      <c r="J780" s="118" t="inlineStr">
        <is>
          <t>legacy rows 3277-3279</t>
        </is>
      </c>
      <c r="K780" s="9" t="str">
        <f>LOWER(CtryCode)&amp;".distn."&amp;$A780&amp;IF($B780="","","."&amp;$B780)&amp;IF($C780="","",".dec."&amp;$C780)&amp;"."&amp;K$5</f>
        <v>egy.distn.dprk.ctl.1</v>
      </c>
      <c r="L780" s="38">
        <f>RANK(L714,L$704:L$767)+COUNTIF(L$704:L713,L714)</f>
        <v>11.0</v>
      </c>
      <c r="M780" s="39">
        <f t="shared" ref="M780:V780" si="1304">L780</f>
        <v>11.0</v>
      </c>
      <c r="N780" s="39">
        <f t="shared" si="1304"/>
        <v>11.0</v>
      </c>
      <c r="O780" s="39">
        <f t="shared" si="1304"/>
        <v>11.0</v>
      </c>
      <c r="P780" s="39">
        <f t="shared" si="1304"/>
        <v>11.0</v>
      </c>
      <c r="Q780" s="39">
        <f t="shared" si="1304"/>
        <v>11.0</v>
      </c>
      <c r="R780" s="39">
        <f t="shared" si="1304"/>
        <v>11.0</v>
      </c>
      <c r="S780" s="39">
        <f t="shared" si="1304"/>
        <v>11.0</v>
      </c>
      <c r="T780" s="39">
        <f t="shared" si="1304"/>
        <v>11.0</v>
      </c>
      <c r="U780" s="39">
        <f t="shared" si="1304"/>
        <v>11.0</v>
      </c>
      <c r="V780" s="39">
        <f t="shared" si="1304"/>
        <v>11.0</v>
      </c>
      <c r="W780" s="201" t="str">
        <f>IF(X$5=K$5,SUM(Y780:AI780)-SUM(L780:V780),"")</f>
        <v/>
      </c>
      <c r="X780" s="9" t="str">
        <f>LOWER(CtryCode)&amp;".distn."&amp;$A780&amp;IF($B780="","","."&amp;$B780)&amp;IF($C780="","",".dec."&amp;$C780)&amp;"."&amp;X$5</f>
        <v>egy.distn.dprk.ctl.2</v>
      </c>
      <c r="Y780" s="38">
        <f>RANK(Y714,Y$704:Y$767)+COUNTIF(Y$704:Y713,Y714)</f>
        <v>37.0</v>
      </c>
      <c r="Z780" s="39">
        <f t="shared" ref="Z780:AI780" si="1305">Y780</f>
        <v>37.0</v>
      </c>
      <c r="AA780" s="39">
        <f t="shared" si="1305"/>
        <v>37.0</v>
      </c>
      <c r="AB780" s="39">
        <f t="shared" si="1305"/>
        <v>37.0</v>
      </c>
      <c r="AC780" s="39">
        <f t="shared" si="1305"/>
        <v>37.0</v>
      </c>
      <c r="AD780" s="39">
        <f t="shared" si="1305"/>
        <v>37.0</v>
      </c>
      <c r="AE780" s="39">
        <f t="shared" si="1305"/>
        <v>37.0</v>
      </c>
      <c r="AF780" s="39">
        <f t="shared" si="1305"/>
        <v>37.0</v>
      </c>
      <c r="AG780" s="39">
        <f t="shared" si="1305"/>
        <v>37.0</v>
      </c>
      <c r="AH780" s="39">
        <f t="shared" si="1305"/>
        <v>37.0</v>
      </c>
      <c r="AI780" s="39">
        <f t="shared" si="1305"/>
        <v>37.0</v>
      </c>
    </row>
    <row r="781" hidden="1" outlineLevel="1">
      <c r="A781" s="44" t="inlineStr">
        <is>
          <t>dprk</t>
        </is>
      </c>
      <c r="B781" s="3" t="inlineStr">
        <is>
          <t>dwe</t>
        </is>
      </c>
      <c r="C781" s="3" t="inlineStr"/>
      <c r="D781" s="3" t="n"/>
      <c r="E781" s="3" t="n"/>
      <c r="H781" s="3" t="inlineStr">
        <is>
          <t>Housing rent: rank</t>
        </is>
      </c>
      <c r="I781" s="3" t="inlineStr">
        <is>
          <t>rank</t>
        </is>
      </c>
      <c r="J781" s="118" t="inlineStr">
        <is>
          <t>legacy rows 3277-3279</t>
        </is>
      </c>
      <c r="K781" s="9" t="str">
        <f>LOWER(CtryCode)&amp;".distn."&amp;$A781&amp;IF($B781="","","."&amp;$B781)&amp;IF($C781="","",".dec."&amp;$C781)&amp;"."&amp;K$5</f>
        <v>egy.distn.dprk.dwe.1</v>
      </c>
      <c r="L781" s="38">
        <f>RANK(L715,L$704:L$767)+COUNTIF(L$704:L714,L715)</f>
        <v>12.0</v>
      </c>
      <c r="M781" s="39">
        <f t="shared" ref="M781:V781" si="1306">L781</f>
        <v>12.0</v>
      </c>
      <c r="N781" s="39">
        <f t="shared" si="1306"/>
        <v>12.0</v>
      </c>
      <c r="O781" s="39">
        <f t="shared" si="1306"/>
        <v>12.0</v>
      </c>
      <c r="P781" s="39">
        <f t="shared" si="1306"/>
        <v>12.0</v>
      </c>
      <c r="Q781" s="39">
        <f t="shared" si="1306"/>
        <v>12.0</v>
      </c>
      <c r="R781" s="39">
        <f t="shared" si="1306"/>
        <v>12.0</v>
      </c>
      <c r="S781" s="39">
        <f t="shared" si="1306"/>
        <v>12.0</v>
      </c>
      <c r="T781" s="39">
        <f t="shared" si="1306"/>
        <v>12.0</v>
      </c>
      <c r="U781" s="39">
        <f t="shared" si="1306"/>
        <v>12.0</v>
      </c>
      <c r="V781" s="39">
        <f t="shared" si="1306"/>
        <v>12.0</v>
      </c>
      <c r="W781" s="201" t="str">
        <f>IF(X$5=K$5,SUM(Y781:AI781)-SUM(L781:V781),"")</f>
        <v/>
      </c>
      <c r="X781" s="9" t="str">
        <f>LOWER(CtryCode)&amp;".distn."&amp;$A781&amp;IF($B781="","","."&amp;$B781)&amp;IF($C781="","",".dec."&amp;$C781)&amp;"."&amp;X$5</f>
        <v>egy.distn.dprk.dwe.2</v>
      </c>
      <c r="Y781" s="38">
        <f>RANK(Y715,Y$704:Y$767)+COUNTIF(Y$704:Y714,Y715)</f>
        <v>59.0</v>
      </c>
      <c r="Z781" s="39">
        <f t="shared" ref="Z781:AI781" si="1307">Y781</f>
        <v>59.0</v>
      </c>
      <c r="AA781" s="39">
        <f t="shared" si="1307"/>
        <v>59.0</v>
      </c>
      <c r="AB781" s="39">
        <f t="shared" si="1307"/>
        <v>59.0</v>
      </c>
      <c r="AC781" s="39">
        <f t="shared" si="1307"/>
        <v>59.0</v>
      </c>
      <c r="AD781" s="39">
        <f t="shared" si="1307"/>
        <v>59.0</v>
      </c>
      <c r="AE781" s="39">
        <f t="shared" si="1307"/>
        <v>59.0</v>
      </c>
      <c r="AF781" s="39">
        <f t="shared" si="1307"/>
        <v>59.0</v>
      </c>
      <c r="AG781" s="39">
        <f t="shared" si="1307"/>
        <v>59.0</v>
      </c>
      <c r="AH781" s="39">
        <f t="shared" si="1307"/>
        <v>59.0</v>
      </c>
      <c r="AI781" s="39">
        <f t="shared" si="1307"/>
        <v>59.0</v>
      </c>
    </row>
    <row r="782" hidden="1" outlineLevel="1">
      <c r="A782" s="44" t="inlineStr">
        <is>
          <t>dprk</t>
        </is>
      </c>
      <c r="B782" s="3" t="inlineStr">
        <is>
          <t>edu</t>
        </is>
      </c>
      <c r="C782" s="3" t="inlineStr"/>
      <c r="D782" s="3" t="n"/>
      <c r="E782" s="3" t="n"/>
      <c r="H782" s="3" t="inlineStr">
        <is>
          <t>Education: rank</t>
        </is>
      </c>
      <c r="I782" s="3" t="inlineStr">
        <is>
          <t>rank</t>
        </is>
      </c>
      <c r="J782" s="118" t="inlineStr">
        <is>
          <t>legacy rows 3277-3279</t>
        </is>
      </c>
      <c r="K782" s="9" t="str">
        <f>LOWER(CtryCode)&amp;".distn."&amp;$A782&amp;IF($B782="","","."&amp;$B782)&amp;IF($C782="","",".dec."&amp;$C782)&amp;"."&amp;K$5</f>
        <v>egy.distn.dprk.edu.1</v>
      </c>
      <c r="L782" s="38">
        <f>RANK(L716,L$704:L$767)+COUNTIF(L$704:L715,L716)</f>
        <v>13.0</v>
      </c>
      <c r="M782" s="39">
        <f t="shared" ref="M782:V782" si="1308">L782</f>
        <v>13.0</v>
      </c>
      <c r="N782" s="39">
        <f t="shared" si="1308"/>
        <v>13.0</v>
      </c>
      <c r="O782" s="39">
        <f t="shared" si="1308"/>
        <v>13.0</v>
      </c>
      <c r="P782" s="39">
        <f t="shared" si="1308"/>
        <v>13.0</v>
      </c>
      <c r="Q782" s="39">
        <f t="shared" si="1308"/>
        <v>13.0</v>
      </c>
      <c r="R782" s="39">
        <f t="shared" si="1308"/>
        <v>13.0</v>
      </c>
      <c r="S782" s="39">
        <f t="shared" si="1308"/>
        <v>13.0</v>
      </c>
      <c r="T782" s="39">
        <f t="shared" si="1308"/>
        <v>13.0</v>
      </c>
      <c r="U782" s="39">
        <f t="shared" si="1308"/>
        <v>13.0</v>
      </c>
      <c r="V782" s="39">
        <f t="shared" si="1308"/>
        <v>13.0</v>
      </c>
      <c r="W782" s="201" t="str">
        <f>IF(X$5=K$5,SUM(Y782:AI782)-SUM(L782:V782),"")</f>
        <v/>
      </c>
      <c r="X782" s="9" t="str">
        <f>LOWER(CtryCode)&amp;".distn."&amp;$A782&amp;IF($B782="","","."&amp;$B782)&amp;IF($C782="","",".dec."&amp;$C782)&amp;"."&amp;X$5</f>
        <v>egy.distn.dprk.edu.2</v>
      </c>
      <c r="Y782" s="38">
        <f>RANK(Y716,Y$704:Y$767)+COUNTIF(Y$704:Y715,Y716)</f>
        <v>42.0</v>
      </c>
      <c r="Z782" s="39">
        <f t="shared" ref="Z782:AI782" si="1309">Y782</f>
        <v>42.0</v>
      </c>
      <c r="AA782" s="39">
        <f t="shared" si="1309"/>
        <v>42.0</v>
      </c>
      <c r="AB782" s="39">
        <f t="shared" si="1309"/>
        <v>42.0</v>
      </c>
      <c r="AC782" s="39">
        <f t="shared" si="1309"/>
        <v>42.0</v>
      </c>
      <c r="AD782" s="39">
        <f t="shared" si="1309"/>
        <v>42.0</v>
      </c>
      <c r="AE782" s="39">
        <f t="shared" si="1309"/>
        <v>42.0</v>
      </c>
      <c r="AF782" s="39">
        <f t="shared" si="1309"/>
        <v>42.0</v>
      </c>
      <c r="AG782" s="39">
        <f t="shared" si="1309"/>
        <v>42.0</v>
      </c>
      <c r="AH782" s="39">
        <f t="shared" si="1309"/>
        <v>42.0</v>
      </c>
      <c r="AI782" s="39">
        <f t="shared" si="1309"/>
        <v>42.0</v>
      </c>
    </row>
    <row r="783" hidden="1" outlineLevel="1">
      <c r="A783" s="44" t="inlineStr">
        <is>
          <t>dprk</t>
        </is>
      </c>
      <c r="B783" s="3" t="inlineStr">
        <is>
          <t>eeq</t>
        </is>
      </c>
      <c r="C783" s="3" t="inlineStr"/>
      <c r="D783" s="3" t="n"/>
      <c r="E783" s="3" t="n"/>
      <c r="H783" s="3" t="inlineStr">
        <is>
          <t>Electrical equipment: rank</t>
        </is>
      </c>
      <c r="I783" s="3" t="inlineStr">
        <is>
          <t>rank</t>
        </is>
      </c>
      <c r="J783" s="118" t="inlineStr">
        <is>
          <t>legacy rows 3277-3279</t>
        </is>
      </c>
      <c r="K783" s="9" t="str">
        <f>LOWER(CtryCode)&amp;".distn."&amp;$A783&amp;IF($B783="","","."&amp;$B783)&amp;IF($C783="","",".dec."&amp;$C783)&amp;"."&amp;K$5</f>
        <v>egy.distn.dprk.eeq.1</v>
      </c>
      <c r="L783" s="38">
        <f>RANK(L717,L$704:L$767)+COUNTIF(L$704:L716,L717)</f>
        <v>14.0</v>
      </c>
      <c r="M783" s="39">
        <f t="shared" ref="M783:V783" si="1310">L783</f>
        <v>14.0</v>
      </c>
      <c r="N783" s="39">
        <f t="shared" si="1310"/>
        <v>14.0</v>
      </c>
      <c r="O783" s="39">
        <f t="shared" si="1310"/>
        <v>14.0</v>
      </c>
      <c r="P783" s="39">
        <f t="shared" si="1310"/>
        <v>14.0</v>
      </c>
      <c r="Q783" s="39">
        <f t="shared" si="1310"/>
        <v>14.0</v>
      </c>
      <c r="R783" s="39">
        <f t="shared" si="1310"/>
        <v>14.0</v>
      </c>
      <c r="S783" s="39">
        <f t="shared" si="1310"/>
        <v>14.0</v>
      </c>
      <c r="T783" s="39">
        <f t="shared" si="1310"/>
        <v>14.0</v>
      </c>
      <c r="U783" s="39">
        <f t="shared" si="1310"/>
        <v>14.0</v>
      </c>
      <c r="V783" s="39">
        <f t="shared" si="1310"/>
        <v>14.0</v>
      </c>
      <c r="W783" s="201" t="str">
        <f>IF(X$5=K$5,SUM(Y783:AI783)-SUM(L783:V783),"")</f>
        <v/>
      </c>
      <c r="X783" s="9" t="str">
        <f>LOWER(CtryCode)&amp;".distn."&amp;$A783&amp;IF($B783="","","."&amp;$B783)&amp;IF($C783="","",".dec."&amp;$C783)&amp;"."&amp;X$5</f>
        <v>egy.distn.dprk.eeq.2</v>
      </c>
      <c r="Y783" s="38">
        <f>RANK(Y717,Y$704:Y$767)+COUNTIF(Y$704:Y716,Y717)</f>
        <v>15.0</v>
      </c>
      <c r="Z783" s="39">
        <f t="shared" ref="Z783:AI783" si="1311">Y783</f>
        <v>15.0</v>
      </c>
      <c r="AA783" s="39">
        <f t="shared" si="1311"/>
        <v>15.0</v>
      </c>
      <c r="AB783" s="39">
        <f t="shared" si="1311"/>
        <v>15.0</v>
      </c>
      <c r="AC783" s="39">
        <f t="shared" si="1311"/>
        <v>15.0</v>
      </c>
      <c r="AD783" s="39">
        <f t="shared" si="1311"/>
        <v>15.0</v>
      </c>
      <c r="AE783" s="39">
        <f t="shared" si="1311"/>
        <v>15.0</v>
      </c>
      <c r="AF783" s="39">
        <f t="shared" si="1311"/>
        <v>15.0</v>
      </c>
      <c r="AG783" s="39">
        <f t="shared" si="1311"/>
        <v>15.0</v>
      </c>
      <c r="AH783" s="39">
        <f t="shared" si="1311"/>
        <v>15.0</v>
      </c>
      <c r="AI783" s="39">
        <f t="shared" si="1311"/>
        <v>15.0</v>
      </c>
    </row>
    <row r="784" hidden="1" outlineLevel="1">
      <c r="A784" s="44" t="inlineStr">
        <is>
          <t>dprk</t>
        </is>
      </c>
      <c r="B784" s="3" t="inlineStr">
        <is>
          <t>ele</t>
        </is>
      </c>
      <c r="C784" s="3" t="inlineStr"/>
      <c r="D784" s="3" t="n"/>
      <c r="E784" s="3" t="n"/>
      <c r="H784" s="3" t="inlineStr">
        <is>
          <t>Computer equipment: rank</t>
        </is>
      </c>
      <c r="I784" s="3" t="inlineStr">
        <is>
          <t>rank</t>
        </is>
      </c>
      <c r="J784" s="118" t="inlineStr">
        <is>
          <t>legacy rows 3277-3279</t>
        </is>
      </c>
      <c r="K784" s="9" t="str">
        <f>LOWER(CtryCode)&amp;".distn."&amp;$A784&amp;IF($B784="","","."&amp;$B784)&amp;IF($C784="","",".dec."&amp;$C784)&amp;"."&amp;K$5</f>
        <v>egy.distn.dprk.ele.1</v>
      </c>
      <c r="L784" s="38">
        <f>RANK(L718,L$704:L$767)+COUNTIF(L$704:L717,L718)</f>
        <v>15.0</v>
      </c>
      <c r="M784" s="39">
        <f t="shared" ref="M784:V784" si="1312">L784</f>
        <v>15.0</v>
      </c>
      <c r="N784" s="39">
        <f t="shared" si="1312"/>
        <v>15.0</v>
      </c>
      <c r="O784" s="39">
        <f t="shared" si="1312"/>
        <v>15.0</v>
      </c>
      <c r="P784" s="39">
        <f t="shared" si="1312"/>
        <v>15.0</v>
      </c>
      <c r="Q784" s="39">
        <f t="shared" si="1312"/>
        <v>15.0</v>
      </c>
      <c r="R784" s="39">
        <f t="shared" si="1312"/>
        <v>15.0</v>
      </c>
      <c r="S784" s="39">
        <f t="shared" si="1312"/>
        <v>15.0</v>
      </c>
      <c r="T784" s="39">
        <f t="shared" si="1312"/>
        <v>15.0</v>
      </c>
      <c r="U784" s="39">
        <f t="shared" si="1312"/>
        <v>15.0</v>
      </c>
      <c r="V784" s="39">
        <f t="shared" si="1312"/>
        <v>15.0</v>
      </c>
      <c r="W784" s="201" t="str">
        <f>IF(X$5=K$5,SUM(Y784:AI784)-SUM(L784:V784),"")</f>
        <v/>
      </c>
      <c r="X784" s="9" t="str">
        <f>LOWER(CtryCode)&amp;".distn."&amp;$A784&amp;IF($B784="","","."&amp;$B784)&amp;IF($C784="","",".dec."&amp;$C784)&amp;"."&amp;X$5</f>
        <v>egy.distn.dprk.ele.2</v>
      </c>
      <c r="Y784" s="38">
        <f>RANK(Y718,Y$704:Y$767)+COUNTIF(Y$704:Y717,Y718)</f>
        <v>18.0</v>
      </c>
      <c r="Z784" s="39">
        <f t="shared" ref="Z784:AI784" si="1313">Y784</f>
        <v>18.0</v>
      </c>
      <c r="AA784" s="39">
        <f t="shared" si="1313"/>
        <v>18.0</v>
      </c>
      <c r="AB784" s="39">
        <f t="shared" si="1313"/>
        <v>18.0</v>
      </c>
      <c r="AC784" s="39">
        <f t="shared" si="1313"/>
        <v>18.0</v>
      </c>
      <c r="AD784" s="39">
        <f t="shared" si="1313"/>
        <v>18.0</v>
      </c>
      <c r="AE784" s="39">
        <f t="shared" si="1313"/>
        <v>18.0</v>
      </c>
      <c r="AF784" s="39">
        <f t="shared" si="1313"/>
        <v>18.0</v>
      </c>
      <c r="AG784" s="39">
        <f t="shared" si="1313"/>
        <v>18.0</v>
      </c>
      <c r="AH784" s="39">
        <f t="shared" si="1313"/>
        <v>18.0</v>
      </c>
      <c r="AI784" s="39">
        <f t="shared" si="1313"/>
        <v>18.0</v>
      </c>
    </row>
    <row r="785" hidden="1" outlineLevel="1">
      <c r="A785" s="44" t="inlineStr">
        <is>
          <t>dprk</t>
        </is>
      </c>
      <c r="B785" s="3" t="inlineStr">
        <is>
          <t>ely</t>
        </is>
      </c>
      <c r="C785" s="3" t="inlineStr"/>
      <c r="D785" s="3" t="n"/>
      <c r="E785" s="3" t="n"/>
      <c r="H785" s="3" t="inlineStr">
        <is>
          <t>Electricity supply: rank</t>
        </is>
      </c>
      <c r="I785" s="3" t="inlineStr">
        <is>
          <t>rank</t>
        </is>
      </c>
      <c r="J785" s="118" t="inlineStr">
        <is>
          <t>legacy rows 3277-3279</t>
        </is>
      </c>
      <c r="K785" s="9" t="str">
        <f>LOWER(CtryCode)&amp;".distn."&amp;$A785&amp;IF($B785="","","."&amp;$B785)&amp;IF($C785="","",".dec."&amp;$C785)&amp;"."&amp;K$5</f>
        <v>egy.distn.dprk.ely.1</v>
      </c>
      <c r="L785" s="38">
        <f>RANK(L719,L$704:L$767)+COUNTIF(L$704:L718,L719)</f>
        <v>16.0</v>
      </c>
      <c r="M785" s="39">
        <f t="shared" ref="M785:V785" si="1314">L785</f>
        <v>16.0</v>
      </c>
      <c r="N785" s="39">
        <f t="shared" si="1314"/>
        <v>16.0</v>
      </c>
      <c r="O785" s="39">
        <f t="shared" si="1314"/>
        <v>16.0</v>
      </c>
      <c r="P785" s="39">
        <f t="shared" si="1314"/>
        <v>16.0</v>
      </c>
      <c r="Q785" s="39">
        <f t="shared" si="1314"/>
        <v>16.0</v>
      </c>
      <c r="R785" s="39">
        <f t="shared" si="1314"/>
        <v>16.0</v>
      </c>
      <c r="S785" s="39">
        <f t="shared" si="1314"/>
        <v>16.0</v>
      </c>
      <c r="T785" s="39">
        <f t="shared" si="1314"/>
        <v>16.0</v>
      </c>
      <c r="U785" s="39">
        <f t="shared" si="1314"/>
        <v>16.0</v>
      </c>
      <c r="V785" s="39">
        <f t="shared" si="1314"/>
        <v>16.0</v>
      </c>
      <c r="W785" s="201" t="str">
        <f>IF(X$5=K$5,SUM(Y785:AI785)-SUM(L785:V785),"")</f>
        <v/>
      </c>
      <c r="X785" s="9" t="str">
        <f>LOWER(CtryCode)&amp;".distn."&amp;$A785&amp;IF($B785="","","."&amp;$B785)&amp;IF($C785="","",".dec."&amp;$C785)&amp;"."&amp;X$5</f>
        <v>egy.distn.dprk.ely.2</v>
      </c>
      <c r="Y785" s="38">
        <f>RANK(Y719,Y$704:Y$767)+COUNTIF(Y$704:Y718,Y719)</f>
        <v>61.0</v>
      </c>
      <c r="Z785" s="39">
        <f t="shared" ref="Z785:AI785" si="1315">Y785</f>
        <v>61.0</v>
      </c>
      <c r="AA785" s="39">
        <f t="shared" si="1315"/>
        <v>61.0</v>
      </c>
      <c r="AB785" s="39">
        <f t="shared" si="1315"/>
        <v>61.0</v>
      </c>
      <c r="AC785" s="39">
        <f t="shared" si="1315"/>
        <v>61.0</v>
      </c>
      <c r="AD785" s="39">
        <f t="shared" si="1315"/>
        <v>61.0</v>
      </c>
      <c r="AE785" s="39">
        <f t="shared" si="1315"/>
        <v>61.0</v>
      </c>
      <c r="AF785" s="39">
        <f t="shared" si="1315"/>
        <v>61.0</v>
      </c>
      <c r="AG785" s="39">
        <f t="shared" si="1315"/>
        <v>61.0</v>
      </c>
      <c r="AH785" s="39">
        <f t="shared" si="1315"/>
        <v>61.0</v>
      </c>
      <c r="AI785" s="39">
        <f t="shared" si="1315"/>
        <v>61.0</v>
      </c>
    </row>
    <row r="786" hidden="1" outlineLevel="1">
      <c r="A786" s="44" t="inlineStr">
        <is>
          <t>dprk</t>
        </is>
      </c>
      <c r="B786" s="3" t="inlineStr">
        <is>
          <t>fmp</t>
        </is>
      </c>
      <c r="C786" s="3" t="inlineStr"/>
      <c r="D786" s="3" t="n"/>
      <c r="E786" s="3" t="n"/>
      <c r="H786" s="3" t="inlineStr">
        <is>
          <t>Fabricated metals: rank</t>
        </is>
      </c>
      <c r="I786" s="3" t="inlineStr">
        <is>
          <t>rank</t>
        </is>
      </c>
      <c r="J786" s="118" t="inlineStr">
        <is>
          <t>legacy rows 3277-3279</t>
        </is>
      </c>
      <c r="K786" s="9" t="str">
        <f>LOWER(CtryCode)&amp;".distn."&amp;$A786&amp;IF($B786="","","."&amp;$B786)&amp;IF($C786="","",".dec."&amp;$C786)&amp;"."&amp;K$5</f>
        <v>egy.distn.dprk.fmp.1</v>
      </c>
      <c r="L786" s="38">
        <f>RANK(L720,L$704:L$767)+COUNTIF(L$704:L719,L720)</f>
        <v>17.0</v>
      </c>
      <c r="M786" s="39">
        <f t="shared" ref="M786:V786" si="1316">L786</f>
        <v>17.0</v>
      </c>
      <c r="N786" s="39">
        <f t="shared" si="1316"/>
        <v>17.0</v>
      </c>
      <c r="O786" s="39">
        <f t="shared" si="1316"/>
        <v>17.0</v>
      </c>
      <c r="P786" s="39">
        <f t="shared" si="1316"/>
        <v>17.0</v>
      </c>
      <c r="Q786" s="39">
        <f t="shared" si="1316"/>
        <v>17.0</v>
      </c>
      <c r="R786" s="39">
        <f t="shared" si="1316"/>
        <v>17.0</v>
      </c>
      <c r="S786" s="39">
        <f t="shared" si="1316"/>
        <v>17.0</v>
      </c>
      <c r="T786" s="39">
        <f t="shared" si="1316"/>
        <v>17.0</v>
      </c>
      <c r="U786" s="39">
        <f t="shared" si="1316"/>
        <v>17.0</v>
      </c>
      <c r="V786" s="39">
        <f t="shared" si="1316"/>
        <v>17.0</v>
      </c>
      <c r="W786" s="201" t="str">
        <f>IF(X$5=K$5,SUM(Y786:AI786)-SUM(L786:V786),"")</f>
        <v/>
      </c>
      <c r="X786" s="9" t="str">
        <f>LOWER(CtryCode)&amp;".distn."&amp;$A786&amp;IF($B786="","","."&amp;$B786)&amp;IF($C786="","",".dec."&amp;$C786)&amp;"."&amp;X$5</f>
        <v>egy.distn.dprk.fmp.2</v>
      </c>
      <c r="Y786" s="38">
        <f>RANK(Y720,Y$704:Y$767)+COUNTIF(Y$704:Y719,Y720)</f>
        <v>10.0</v>
      </c>
      <c r="Z786" s="39">
        <f t="shared" ref="Z786:AI786" si="1317">Y786</f>
        <v>10.0</v>
      </c>
      <c r="AA786" s="39">
        <f t="shared" si="1317"/>
        <v>10.0</v>
      </c>
      <c r="AB786" s="39">
        <f t="shared" si="1317"/>
        <v>10.0</v>
      </c>
      <c r="AC786" s="39">
        <f t="shared" si="1317"/>
        <v>10.0</v>
      </c>
      <c r="AD786" s="39">
        <f t="shared" si="1317"/>
        <v>10.0</v>
      </c>
      <c r="AE786" s="39">
        <f t="shared" si="1317"/>
        <v>10.0</v>
      </c>
      <c r="AF786" s="39">
        <f t="shared" si="1317"/>
        <v>10.0</v>
      </c>
      <c r="AG786" s="39">
        <f t="shared" si="1317"/>
        <v>10.0</v>
      </c>
      <c r="AH786" s="39">
        <f t="shared" si="1317"/>
        <v>10.0</v>
      </c>
      <c r="AI786" s="39">
        <f t="shared" si="1317"/>
        <v>10.0</v>
      </c>
    </row>
    <row r="787" hidden="1" outlineLevel="1">
      <c r="A787" s="44" t="inlineStr">
        <is>
          <t>dprk</t>
        </is>
      </c>
      <c r="B787" s="3" t="inlineStr">
        <is>
          <t>frs</t>
        </is>
      </c>
      <c r="C787" s="3" t="inlineStr"/>
      <c r="D787" s="3" t="n"/>
      <c r="E787" s="3" t="n"/>
      <c r="H787" s="3" t="inlineStr">
        <is>
          <t>Forestry: rank</t>
        </is>
      </c>
      <c r="I787" s="3" t="inlineStr">
        <is>
          <t>rank</t>
        </is>
      </c>
      <c r="J787" s="118" t="inlineStr">
        <is>
          <t>legacy rows 3277-3279</t>
        </is>
      </c>
      <c r="K787" s="9" t="str">
        <f>LOWER(CtryCode)&amp;".distn."&amp;$A787&amp;IF($B787="","","."&amp;$B787)&amp;IF($C787="","",".dec."&amp;$C787)&amp;"."&amp;K$5</f>
        <v>egy.distn.dprk.frs.1</v>
      </c>
      <c r="L787" s="38">
        <f>RANK(L721,L$704:L$767)+COUNTIF(L$704:L720,L721)</f>
        <v>18.0</v>
      </c>
      <c r="M787" s="39">
        <f t="shared" ref="M787:V787" si="1318">L787</f>
        <v>18.0</v>
      </c>
      <c r="N787" s="39">
        <f t="shared" si="1318"/>
        <v>18.0</v>
      </c>
      <c r="O787" s="39">
        <f t="shared" si="1318"/>
        <v>18.0</v>
      </c>
      <c r="P787" s="39">
        <f t="shared" si="1318"/>
        <v>18.0</v>
      </c>
      <c r="Q787" s="39">
        <f t="shared" si="1318"/>
        <v>18.0</v>
      </c>
      <c r="R787" s="39">
        <f t="shared" si="1318"/>
        <v>18.0</v>
      </c>
      <c r="S787" s="39">
        <f t="shared" si="1318"/>
        <v>18.0</v>
      </c>
      <c r="T787" s="39">
        <f t="shared" si="1318"/>
        <v>18.0</v>
      </c>
      <c r="U787" s="39">
        <f t="shared" si="1318"/>
        <v>18.0</v>
      </c>
      <c r="V787" s="39">
        <f t="shared" si="1318"/>
        <v>18.0</v>
      </c>
      <c r="W787" s="201" t="str">
        <f>IF(X$5=K$5,SUM(Y787:AI787)-SUM(L787:V787),"")</f>
        <v/>
      </c>
      <c r="X787" s="9" t="str">
        <f>LOWER(CtryCode)&amp;".distn."&amp;$A787&amp;IF($B787="","","."&amp;$B787)&amp;IF($C787="","",".dec."&amp;$C787)&amp;"."&amp;X$5</f>
        <v>egy.distn.dprk.frs.2</v>
      </c>
      <c r="Y787" s="38">
        <f>RANK(Y721,Y$704:Y$767)+COUNTIF(Y$704:Y720,Y721)</f>
        <v>25.0</v>
      </c>
      <c r="Z787" s="39">
        <f t="shared" ref="Z787:AI787" si="1319">Y787</f>
        <v>25.0</v>
      </c>
      <c r="AA787" s="39">
        <f t="shared" si="1319"/>
        <v>25.0</v>
      </c>
      <c r="AB787" s="39">
        <f t="shared" si="1319"/>
        <v>25.0</v>
      </c>
      <c r="AC787" s="39">
        <f t="shared" si="1319"/>
        <v>25.0</v>
      </c>
      <c r="AD787" s="39">
        <f t="shared" si="1319"/>
        <v>25.0</v>
      </c>
      <c r="AE787" s="39">
        <f t="shared" si="1319"/>
        <v>25.0</v>
      </c>
      <c r="AF787" s="39">
        <f t="shared" si="1319"/>
        <v>25.0</v>
      </c>
      <c r="AG787" s="39">
        <f t="shared" si="1319"/>
        <v>25.0</v>
      </c>
      <c r="AH787" s="39">
        <f t="shared" si="1319"/>
        <v>25.0</v>
      </c>
      <c r="AI787" s="39">
        <f t="shared" si="1319"/>
        <v>25.0</v>
      </c>
    </row>
    <row r="788" hidden="1" outlineLevel="1">
      <c r="A788" s="44" t="inlineStr">
        <is>
          <t>dprk</t>
        </is>
      </c>
      <c r="B788" s="3" t="inlineStr">
        <is>
          <t>fsh</t>
        </is>
      </c>
      <c r="C788" s="3" t="inlineStr"/>
      <c r="D788" s="3" t="n"/>
      <c r="E788" s="3" t="n"/>
      <c r="H788" s="3" t="inlineStr">
        <is>
          <t>Fishing: rank</t>
        </is>
      </c>
      <c r="I788" s="3" t="inlineStr">
        <is>
          <t>rank</t>
        </is>
      </c>
      <c r="J788" s="118" t="inlineStr">
        <is>
          <t>legacy rows 3277-3279</t>
        </is>
      </c>
      <c r="K788" s="9" t="str">
        <f>LOWER(CtryCode)&amp;".distn."&amp;$A788&amp;IF($B788="","","."&amp;$B788)&amp;IF($C788="","",".dec."&amp;$C788)&amp;"."&amp;K$5</f>
        <v>egy.distn.dprk.fsh.1</v>
      </c>
      <c r="L788" s="38">
        <f>RANK(L722,L$704:L$767)+COUNTIF(L$704:L721,L722)</f>
        <v>19.0</v>
      </c>
      <c r="M788" s="39">
        <f t="shared" ref="M788:V788" si="1320">L788</f>
        <v>19.0</v>
      </c>
      <c r="N788" s="39">
        <f t="shared" si="1320"/>
        <v>19.0</v>
      </c>
      <c r="O788" s="39">
        <f t="shared" si="1320"/>
        <v>19.0</v>
      </c>
      <c r="P788" s="39">
        <f t="shared" si="1320"/>
        <v>19.0</v>
      </c>
      <c r="Q788" s="39">
        <f t="shared" si="1320"/>
        <v>19.0</v>
      </c>
      <c r="R788" s="39">
        <f t="shared" si="1320"/>
        <v>19.0</v>
      </c>
      <c r="S788" s="39">
        <f t="shared" si="1320"/>
        <v>19.0</v>
      </c>
      <c r="T788" s="39">
        <f t="shared" si="1320"/>
        <v>19.0</v>
      </c>
      <c r="U788" s="39">
        <f t="shared" si="1320"/>
        <v>19.0</v>
      </c>
      <c r="V788" s="39">
        <f t="shared" si="1320"/>
        <v>19.0</v>
      </c>
      <c r="W788" s="201" t="str">
        <f>IF(X$5=K$5,SUM(Y788:AI788)-SUM(L788:V788),"")</f>
        <v/>
      </c>
      <c r="X788" s="9" t="str">
        <f>LOWER(CtryCode)&amp;".distn."&amp;$A788&amp;IF($B788="","","."&amp;$B788)&amp;IF($C788="","",".dec."&amp;$C788)&amp;"."&amp;X$5</f>
        <v>egy.distn.dprk.fsh.2</v>
      </c>
      <c r="Y788" s="38">
        <f>RANK(Y722,Y$704:Y$767)+COUNTIF(Y$704:Y721,Y722)</f>
        <v>38.0</v>
      </c>
      <c r="Z788" s="39">
        <f t="shared" ref="Z788:AI788" si="1321">Y788</f>
        <v>38.0</v>
      </c>
      <c r="AA788" s="39">
        <f t="shared" si="1321"/>
        <v>38.0</v>
      </c>
      <c r="AB788" s="39">
        <f t="shared" si="1321"/>
        <v>38.0</v>
      </c>
      <c r="AC788" s="39">
        <f t="shared" si="1321"/>
        <v>38.0</v>
      </c>
      <c r="AD788" s="39">
        <f t="shared" si="1321"/>
        <v>38.0</v>
      </c>
      <c r="AE788" s="39">
        <f t="shared" si="1321"/>
        <v>38.0</v>
      </c>
      <c r="AF788" s="39">
        <f t="shared" si="1321"/>
        <v>38.0</v>
      </c>
      <c r="AG788" s="39">
        <f t="shared" si="1321"/>
        <v>38.0</v>
      </c>
      <c r="AH788" s="39">
        <f t="shared" si="1321"/>
        <v>38.0</v>
      </c>
      <c r="AI788" s="39">
        <f t="shared" si="1321"/>
        <v>38.0</v>
      </c>
    </row>
    <row r="789" hidden="1" outlineLevel="1">
      <c r="A789" s="44" t="inlineStr">
        <is>
          <t>dprk</t>
        </is>
      </c>
      <c r="B789" s="3" t="inlineStr">
        <is>
          <t>gro</t>
        </is>
      </c>
      <c r="C789" s="3" t="inlineStr"/>
      <c r="D789" s="3" t="n"/>
      <c r="E789" s="3" t="n"/>
      <c r="H789" s="3" t="inlineStr">
        <is>
          <t>Other grains: rank</t>
        </is>
      </c>
      <c r="I789" s="3" t="inlineStr">
        <is>
          <t>rank</t>
        </is>
      </c>
      <c r="J789" s="118" t="inlineStr">
        <is>
          <t>legacy rows 3277-3279</t>
        </is>
      </c>
      <c r="K789" s="9" t="str">
        <f>LOWER(CtryCode)&amp;".distn."&amp;$A789&amp;IF($B789="","","."&amp;$B789)&amp;IF($C789="","",".dec."&amp;$C789)&amp;"."&amp;K$5</f>
        <v>egy.distn.dprk.gro.1</v>
      </c>
      <c r="L789" s="38">
        <f>RANK(L723,L$704:L$767)+COUNTIF(L$704:L722,L723)</f>
        <v>20.0</v>
      </c>
      <c r="M789" s="39">
        <f t="shared" ref="M789:V789" si="1322">L789</f>
        <v>20.0</v>
      </c>
      <c r="N789" s="39">
        <f t="shared" si="1322"/>
        <v>20.0</v>
      </c>
      <c r="O789" s="39">
        <f t="shared" si="1322"/>
        <v>20.0</v>
      </c>
      <c r="P789" s="39">
        <f t="shared" si="1322"/>
        <v>20.0</v>
      </c>
      <c r="Q789" s="39">
        <f t="shared" si="1322"/>
        <v>20.0</v>
      </c>
      <c r="R789" s="39">
        <f t="shared" si="1322"/>
        <v>20.0</v>
      </c>
      <c r="S789" s="39">
        <f t="shared" si="1322"/>
        <v>20.0</v>
      </c>
      <c r="T789" s="39">
        <f t="shared" si="1322"/>
        <v>20.0</v>
      </c>
      <c r="U789" s="39">
        <f t="shared" si="1322"/>
        <v>20.0</v>
      </c>
      <c r="V789" s="39">
        <f t="shared" si="1322"/>
        <v>20.0</v>
      </c>
      <c r="W789" s="201" t="str">
        <f>IF(X$5=K$5,SUM(Y789:AI789)-SUM(L789:V789),"")</f>
        <v/>
      </c>
      <c r="X789" s="9" t="str">
        <f>LOWER(CtryCode)&amp;".distn."&amp;$A789&amp;IF($B789="","","."&amp;$B789)&amp;IF($C789="","",".dec."&amp;$C789)&amp;"."&amp;X$5</f>
        <v>egy.distn.dprk.gro.2</v>
      </c>
      <c r="Y789" s="38">
        <f>RANK(Y723,Y$704:Y$767)+COUNTIF(Y$704:Y722,Y723)</f>
        <v>31.0</v>
      </c>
      <c r="Z789" s="39">
        <f t="shared" ref="Z789:AI789" si="1323">Y789</f>
        <v>31.0</v>
      </c>
      <c r="AA789" s="39">
        <f t="shared" si="1323"/>
        <v>31.0</v>
      </c>
      <c r="AB789" s="39">
        <f t="shared" si="1323"/>
        <v>31.0</v>
      </c>
      <c r="AC789" s="39">
        <f t="shared" si="1323"/>
        <v>31.0</v>
      </c>
      <c r="AD789" s="39">
        <f t="shared" si="1323"/>
        <v>31.0</v>
      </c>
      <c r="AE789" s="39">
        <f t="shared" si="1323"/>
        <v>31.0</v>
      </c>
      <c r="AF789" s="39">
        <f t="shared" si="1323"/>
        <v>31.0</v>
      </c>
      <c r="AG789" s="39">
        <f t="shared" si="1323"/>
        <v>31.0</v>
      </c>
      <c r="AH789" s="39">
        <f t="shared" si="1323"/>
        <v>31.0</v>
      </c>
      <c r="AI789" s="39">
        <f t="shared" si="1323"/>
        <v>31.0</v>
      </c>
    </row>
    <row r="790" hidden="1" outlineLevel="1">
      <c r="A790" s="44" t="inlineStr">
        <is>
          <t>dprk</t>
        </is>
      </c>
      <c r="B790" s="3" t="inlineStr">
        <is>
          <t>hht</t>
        </is>
      </c>
      <c r="C790" s="3" t="inlineStr"/>
      <c r="D790" s="3" t="n"/>
      <c r="E790" s="3" t="n"/>
      <c r="H790" s="3" t="inlineStr">
        <is>
          <t>Human health &amp; social work: rank</t>
        </is>
      </c>
      <c r="I790" s="3" t="inlineStr">
        <is>
          <t>rank</t>
        </is>
      </c>
      <c r="J790" s="118" t="inlineStr">
        <is>
          <t>legacy rows 3277-3279</t>
        </is>
      </c>
      <c r="K790" s="9" t="str">
        <f>LOWER(CtryCode)&amp;".distn."&amp;$A790&amp;IF($B790="","","."&amp;$B790)&amp;IF($C790="","",".dec."&amp;$C790)&amp;"."&amp;K$5</f>
        <v>egy.distn.dprk.hht.1</v>
      </c>
      <c r="L790" s="38">
        <f>RANK(L724,L$704:L$767)+COUNTIF(L$704:L723,L724)</f>
        <v>21.0</v>
      </c>
      <c r="M790" s="39">
        <f t="shared" ref="M790:V790" si="1324">L790</f>
        <v>21.0</v>
      </c>
      <c r="N790" s="39">
        <f t="shared" si="1324"/>
        <v>21.0</v>
      </c>
      <c r="O790" s="39">
        <f t="shared" si="1324"/>
        <v>21.0</v>
      </c>
      <c r="P790" s="39">
        <f t="shared" si="1324"/>
        <v>21.0</v>
      </c>
      <c r="Q790" s="39">
        <f t="shared" si="1324"/>
        <v>21.0</v>
      </c>
      <c r="R790" s="39">
        <f t="shared" si="1324"/>
        <v>21.0</v>
      </c>
      <c r="S790" s="39">
        <f t="shared" si="1324"/>
        <v>21.0</v>
      </c>
      <c r="T790" s="39">
        <f t="shared" si="1324"/>
        <v>21.0</v>
      </c>
      <c r="U790" s="39">
        <f t="shared" si="1324"/>
        <v>21.0</v>
      </c>
      <c r="V790" s="39">
        <f t="shared" si="1324"/>
        <v>21.0</v>
      </c>
      <c r="W790" s="201" t="str">
        <f>IF(X$5=K$5,SUM(Y790:AI790)-SUM(L790:V790),"")</f>
        <v/>
      </c>
      <c r="X790" s="9" t="str">
        <f>LOWER(CtryCode)&amp;".distn."&amp;$A790&amp;IF($B790="","","."&amp;$B790)&amp;IF($C790="","",".dec."&amp;$C790)&amp;"."&amp;X$5</f>
        <v>egy.distn.dprk.hht.2</v>
      </c>
      <c r="Y790" s="38">
        <f>RANK(Y724,Y$704:Y$767)+COUNTIF(Y$704:Y723,Y724)</f>
        <v>32.0</v>
      </c>
      <c r="Z790" s="39">
        <f t="shared" ref="Z790:AI790" si="1325">Y790</f>
        <v>32.0</v>
      </c>
      <c r="AA790" s="39">
        <f t="shared" si="1325"/>
        <v>32.0</v>
      </c>
      <c r="AB790" s="39">
        <f t="shared" si="1325"/>
        <v>32.0</v>
      </c>
      <c r="AC790" s="39">
        <f t="shared" si="1325"/>
        <v>32.0</v>
      </c>
      <c r="AD790" s="39">
        <f t="shared" si="1325"/>
        <v>32.0</v>
      </c>
      <c r="AE790" s="39">
        <f t="shared" si="1325"/>
        <v>32.0</v>
      </c>
      <c r="AF790" s="39">
        <f t="shared" si="1325"/>
        <v>32.0</v>
      </c>
      <c r="AG790" s="39">
        <f t="shared" si="1325"/>
        <v>32.0</v>
      </c>
      <c r="AH790" s="39">
        <f t="shared" si="1325"/>
        <v>32.0</v>
      </c>
      <c r="AI790" s="39">
        <f t="shared" si="1325"/>
        <v>32.0</v>
      </c>
    </row>
    <row r="791" hidden="1" outlineLevel="1">
      <c r="A791" s="44" t="inlineStr">
        <is>
          <t>dprk</t>
        </is>
      </c>
      <c r="B791" s="3" t="inlineStr">
        <is>
          <t>i_s</t>
        </is>
      </c>
      <c r="C791" s="3" t="inlineStr"/>
      <c r="D791" s="3" t="n"/>
      <c r="E791" s="3" t="n"/>
      <c r="H791" s="3" t="inlineStr">
        <is>
          <t>Iron &amp; Steel: rank</t>
        </is>
      </c>
      <c r="I791" s="3" t="inlineStr">
        <is>
          <t>rank</t>
        </is>
      </c>
      <c r="J791" s="118" t="inlineStr">
        <is>
          <t>legacy rows 3277-3279</t>
        </is>
      </c>
      <c r="K791" s="9" t="str">
        <f>LOWER(CtryCode)&amp;".distn."&amp;$A791&amp;IF($B791="","","."&amp;$B791)&amp;IF($C791="","",".dec."&amp;$C791)&amp;"."&amp;K$5</f>
        <v>egy.distn.dprk.i_s.1</v>
      </c>
      <c r="L791" s="38">
        <f>RANK(L725,L$704:L$767)+COUNTIF(L$704:L724,L725)</f>
        <v>22.0</v>
      </c>
      <c r="M791" s="39">
        <f t="shared" ref="M791:V791" si="1326">L791</f>
        <v>22.0</v>
      </c>
      <c r="N791" s="39">
        <f t="shared" si="1326"/>
        <v>22.0</v>
      </c>
      <c r="O791" s="39">
        <f t="shared" si="1326"/>
        <v>22.0</v>
      </c>
      <c r="P791" s="39">
        <f t="shared" si="1326"/>
        <v>22.0</v>
      </c>
      <c r="Q791" s="39">
        <f t="shared" si="1326"/>
        <v>22.0</v>
      </c>
      <c r="R791" s="39">
        <f t="shared" si="1326"/>
        <v>22.0</v>
      </c>
      <c r="S791" s="39">
        <f t="shared" si="1326"/>
        <v>22.0</v>
      </c>
      <c r="T791" s="39">
        <f t="shared" si="1326"/>
        <v>22.0</v>
      </c>
      <c r="U791" s="39">
        <f t="shared" si="1326"/>
        <v>22.0</v>
      </c>
      <c r="V791" s="39">
        <f t="shared" si="1326"/>
        <v>22.0</v>
      </c>
      <c r="W791" s="201" t="str">
        <f>IF(X$5=K$5,SUM(Y791:AI791)-SUM(L791:V791),"")</f>
        <v/>
      </c>
      <c r="X791" s="9" t="str">
        <f>LOWER(CtryCode)&amp;".distn."&amp;$A791&amp;IF($B791="","","."&amp;$B791)&amp;IF($C791="","",".dec."&amp;$C791)&amp;"."&amp;X$5</f>
        <v>egy.distn.dprk.i_s.2</v>
      </c>
      <c r="Y791" s="38">
        <f>RANK(Y725,Y$704:Y$767)+COUNTIF(Y$704:Y724,Y725)</f>
        <v>6.0</v>
      </c>
      <c r="Z791" s="39">
        <f t="shared" ref="Z791:AI791" si="1327">Y791</f>
        <v>6.0</v>
      </c>
      <c r="AA791" s="39">
        <f t="shared" si="1327"/>
        <v>6.0</v>
      </c>
      <c r="AB791" s="39">
        <f t="shared" si="1327"/>
        <v>6.0</v>
      </c>
      <c r="AC791" s="39">
        <f t="shared" si="1327"/>
        <v>6.0</v>
      </c>
      <c r="AD791" s="39">
        <f t="shared" si="1327"/>
        <v>6.0</v>
      </c>
      <c r="AE791" s="39">
        <f t="shared" si="1327"/>
        <v>6.0</v>
      </c>
      <c r="AF791" s="39">
        <f t="shared" si="1327"/>
        <v>6.0</v>
      </c>
      <c r="AG791" s="39">
        <f t="shared" si="1327"/>
        <v>6.0</v>
      </c>
      <c r="AH791" s="39">
        <f t="shared" si="1327"/>
        <v>6.0</v>
      </c>
      <c r="AI791" s="39">
        <f t="shared" si="1327"/>
        <v>6.0</v>
      </c>
    </row>
    <row r="792" hidden="1" outlineLevel="1">
      <c r="A792" s="44" t="inlineStr">
        <is>
          <t>dprk</t>
        </is>
      </c>
      <c r="B792" s="3" t="inlineStr">
        <is>
          <t>ins</t>
        </is>
      </c>
      <c r="C792" s="3" t="inlineStr"/>
      <c r="D792" s="3" t="n"/>
      <c r="E792" s="3" t="n"/>
      <c r="H792" s="3" t="inlineStr">
        <is>
          <t>Insurance: rank</t>
        </is>
      </c>
      <c r="I792" s="3" t="inlineStr">
        <is>
          <t>rank</t>
        </is>
      </c>
      <c r="J792" s="118" t="inlineStr">
        <is>
          <t>legacy rows 3277-3279</t>
        </is>
      </c>
      <c r="K792" s="9" t="str">
        <f>LOWER(CtryCode)&amp;".distn."&amp;$A792&amp;IF($B792="","","."&amp;$B792)&amp;IF($C792="","",".dec."&amp;$C792)&amp;"."&amp;K$5</f>
        <v>egy.distn.dprk.ins.1</v>
      </c>
      <c r="L792" s="38">
        <f>RANK(L726,L$704:L$767)+COUNTIF(L$704:L725,L726)</f>
        <v>23.0</v>
      </c>
      <c r="M792" s="39">
        <f t="shared" ref="M792:V792" si="1328">L792</f>
        <v>23.0</v>
      </c>
      <c r="N792" s="39">
        <f t="shared" si="1328"/>
        <v>23.0</v>
      </c>
      <c r="O792" s="39">
        <f t="shared" si="1328"/>
        <v>23.0</v>
      </c>
      <c r="P792" s="39">
        <f t="shared" si="1328"/>
        <v>23.0</v>
      </c>
      <c r="Q792" s="39">
        <f t="shared" si="1328"/>
        <v>23.0</v>
      </c>
      <c r="R792" s="39">
        <f t="shared" si="1328"/>
        <v>23.0</v>
      </c>
      <c r="S792" s="39">
        <f t="shared" si="1328"/>
        <v>23.0</v>
      </c>
      <c r="T792" s="39">
        <f t="shared" si="1328"/>
        <v>23.0</v>
      </c>
      <c r="U792" s="39">
        <f t="shared" si="1328"/>
        <v>23.0</v>
      </c>
      <c r="V792" s="39">
        <f t="shared" si="1328"/>
        <v>23.0</v>
      </c>
      <c r="W792" s="201" t="str">
        <f>IF(X$5=K$5,SUM(Y792:AI792)-SUM(L792:V792),"")</f>
        <v/>
      </c>
      <c r="X792" s="9" t="str">
        <f>LOWER(CtryCode)&amp;".distn."&amp;$A792&amp;IF($B792="","","."&amp;$B792)&amp;IF($C792="","",".dec."&amp;$C792)&amp;"."&amp;X$5</f>
        <v>egy.distn.dprk.ins.2</v>
      </c>
      <c r="Y792" s="38">
        <f>RANK(Y726,Y$704:Y$767)+COUNTIF(Y$704:Y725,Y726)</f>
        <v>53.0</v>
      </c>
      <c r="Z792" s="39">
        <f t="shared" ref="Z792:AI792" si="1329">Y792</f>
        <v>53.0</v>
      </c>
      <c r="AA792" s="39">
        <f t="shared" si="1329"/>
        <v>53.0</v>
      </c>
      <c r="AB792" s="39">
        <f t="shared" si="1329"/>
        <v>53.0</v>
      </c>
      <c r="AC792" s="39">
        <f t="shared" si="1329"/>
        <v>53.0</v>
      </c>
      <c r="AD792" s="39">
        <f t="shared" si="1329"/>
        <v>53.0</v>
      </c>
      <c r="AE792" s="39">
        <f t="shared" si="1329"/>
        <v>53.0</v>
      </c>
      <c r="AF792" s="39">
        <f t="shared" si="1329"/>
        <v>53.0</v>
      </c>
      <c r="AG792" s="39">
        <f t="shared" si="1329"/>
        <v>53.0</v>
      </c>
      <c r="AH792" s="39">
        <f t="shared" si="1329"/>
        <v>53.0</v>
      </c>
      <c r="AI792" s="39">
        <f t="shared" si="1329"/>
        <v>53.0</v>
      </c>
    </row>
    <row r="793" hidden="1" outlineLevel="1">
      <c r="A793" s="44" t="inlineStr">
        <is>
          <t>dprk</t>
        </is>
      </c>
      <c r="B793" s="3" t="inlineStr">
        <is>
          <t>lea</t>
        </is>
      </c>
      <c r="C793" s="3" t="inlineStr"/>
      <c r="D793" s="3" t="n"/>
      <c r="E793" s="3" t="n"/>
      <c r="H793" s="3" t="inlineStr">
        <is>
          <t>Leather: rank</t>
        </is>
      </c>
      <c r="I793" s="3" t="inlineStr">
        <is>
          <t>rank</t>
        </is>
      </c>
      <c r="J793" s="118" t="inlineStr">
        <is>
          <t>legacy rows 3277-3279</t>
        </is>
      </c>
      <c r="K793" s="9" t="str">
        <f>LOWER(CtryCode)&amp;".distn."&amp;$A793&amp;IF($B793="","","."&amp;$B793)&amp;IF($C793="","",".dec."&amp;$C793)&amp;"."&amp;K$5</f>
        <v>egy.distn.dprk.lea.1</v>
      </c>
      <c r="L793" s="38">
        <f>RANK(L727,L$704:L$767)+COUNTIF(L$704:L726,L727)</f>
        <v>24.0</v>
      </c>
      <c r="M793" s="39">
        <f t="shared" ref="M793:V793" si="1330">L793</f>
        <v>24.0</v>
      </c>
      <c r="N793" s="39">
        <f t="shared" si="1330"/>
        <v>24.0</v>
      </c>
      <c r="O793" s="39">
        <f t="shared" si="1330"/>
        <v>24.0</v>
      </c>
      <c r="P793" s="39">
        <f t="shared" si="1330"/>
        <v>24.0</v>
      </c>
      <c r="Q793" s="39">
        <f t="shared" si="1330"/>
        <v>24.0</v>
      </c>
      <c r="R793" s="39">
        <f t="shared" si="1330"/>
        <v>24.0</v>
      </c>
      <c r="S793" s="39">
        <f t="shared" si="1330"/>
        <v>24.0</v>
      </c>
      <c r="T793" s="39">
        <f t="shared" si="1330"/>
        <v>24.0</v>
      </c>
      <c r="U793" s="39">
        <f t="shared" si="1330"/>
        <v>24.0</v>
      </c>
      <c r="V793" s="39">
        <f t="shared" si="1330"/>
        <v>24.0</v>
      </c>
      <c r="W793" s="201" t="str">
        <f>IF(X$5=K$5,SUM(Y793:AI793)-SUM(L793:V793),"")</f>
        <v/>
      </c>
      <c r="X793" s="9" t="str">
        <f>LOWER(CtryCode)&amp;".distn."&amp;$A793&amp;IF($B793="","","."&amp;$B793)&amp;IF($C793="","",".dec."&amp;$C793)&amp;"."&amp;X$5</f>
        <v>egy.distn.dprk.lea.2</v>
      </c>
      <c r="Y793" s="38">
        <f>RANK(Y727,Y$704:Y$767)+COUNTIF(Y$704:Y726,Y727)</f>
        <v>29.0</v>
      </c>
      <c r="Z793" s="39">
        <f t="shared" ref="Z793:AI793" si="1331">Y793</f>
        <v>29.0</v>
      </c>
      <c r="AA793" s="39">
        <f t="shared" si="1331"/>
        <v>29.0</v>
      </c>
      <c r="AB793" s="39">
        <f t="shared" si="1331"/>
        <v>29.0</v>
      </c>
      <c r="AC793" s="39">
        <f t="shared" si="1331"/>
        <v>29.0</v>
      </c>
      <c r="AD793" s="39">
        <f t="shared" si="1331"/>
        <v>29.0</v>
      </c>
      <c r="AE793" s="39">
        <f t="shared" si="1331"/>
        <v>29.0</v>
      </c>
      <c r="AF793" s="39">
        <f t="shared" si="1331"/>
        <v>29.0</v>
      </c>
      <c r="AG793" s="39">
        <f t="shared" si="1331"/>
        <v>29.0</v>
      </c>
      <c r="AH793" s="39">
        <f t="shared" si="1331"/>
        <v>29.0</v>
      </c>
      <c r="AI793" s="39">
        <f t="shared" si="1331"/>
        <v>29.0</v>
      </c>
    </row>
    <row r="794" hidden="1" outlineLevel="1">
      <c r="A794" s="44" t="inlineStr">
        <is>
          <t>dprk</t>
        </is>
      </c>
      <c r="B794" s="3" t="inlineStr">
        <is>
          <t>lum</t>
        </is>
      </c>
      <c r="C794" s="3" t="inlineStr"/>
      <c r="D794" s="3" t="n"/>
      <c r="E794" s="3" t="n"/>
      <c r="H794" s="3" t="inlineStr">
        <is>
          <t>Lumber: rank</t>
        </is>
      </c>
      <c r="I794" s="3" t="inlineStr">
        <is>
          <t>rank</t>
        </is>
      </c>
      <c r="J794" s="118" t="inlineStr">
        <is>
          <t>legacy rows 3277-3279</t>
        </is>
      </c>
      <c r="K794" s="9" t="str">
        <f>LOWER(CtryCode)&amp;".distn."&amp;$A794&amp;IF($B794="","","."&amp;$B794)&amp;IF($C794="","",".dec."&amp;$C794)&amp;"."&amp;K$5</f>
        <v>egy.distn.dprk.lum.1</v>
      </c>
      <c r="L794" s="38">
        <f>RANK(L728,L$704:L$767)+COUNTIF(L$704:L727,L728)</f>
        <v>25.0</v>
      </c>
      <c r="M794" s="39">
        <f t="shared" ref="M794:V794" si="1332">L794</f>
        <v>25.0</v>
      </c>
      <c r="N794" s="39">
        <f t="shared" si="1332"/>
        <v>25.0</v>
      </c>
      <c r="O794" s="39">
        <f t="shared" si="1332"/>
        <v>25.0</v>
      </c>
      <c r="P794" s="39">
        <f t="shared" si="1332"/>
        <v>25.0</v>
      </c>
      <c r="Q794" s="39">
        <f t="shared" si="1332"/>
        <v>25.0</v>
      </c>
      <c r="R794" s="39">
        <f t="shared" si="1332"/>
        <v>25.0</v>
      </c>
      <c r="S794" s="39">
        <f t="shared" si="1332"/>
        <v>25.0</v>
      </c>
      <c r="T794" s="39">
        <f t="shared" si="1332"/>
        <v>25.0</v>
      </c>
      <c r="U794" s="39">
        <f t="shared" si="1332"/>
        <v>25.0</v>
      </c>
      <c r="V794" s="39">
        <f t="shared" si="1332"/>
        <v>25.0</v>
      </c>
      <c r="W794" s="201" t="str">
        <f>IF(X$5=K$5,SUM(Y794:AI794)-SUM(L794:V794),"")</f>
        <v/>
      </c>
      <c r="X794" s="9" t="str">
        <f>LOWER(CtryCode)&amp;".distn."&amp;$A794&amp;IF($B794="","","."&amp;$B794)&amp;IF($C794="","",".dec."&amp;$C794)&amp;"."&amp;X$5</f>
        <v>egy.distn.dprk.lum.2</v>
      </c>
      <c r="Y794" s="38">
        <f>RANK(Y728,Y$704:Y$767)+COUNTIF(Y$704:Y727,Y728)</f>
        <v>23.0</v>
      </c>
      <c r="Z794" s="39">
        <f t="shared" ref="Z794:AI794" si="1333">Y794</f>
        <v>23.0</v>
      </c>
      <c r="AA794" s="39">
        <f t="shared" si="1333"/>
        <v>23.0</v>
      </c>
      <c r="AB794" s="39">
        <f t="shared" si="1333"/>
        <v>23.0</v>
      </c>
      <c r="AC794" s="39">
        <f t="shared" si="1333"/>
        <v>23.0</v>
      </c>
      <c r="AD794" s="39">
        <f t="shared" si="1333"/>
        <v>23.0</v>
      </c>
      <c r="AE794" s="39">
        <f t="shared" si="1333"/>
        <v>23.0</v>
      </c>
      <c r="AF794" s="39">
        <f t="shared" si="1333"/>
        <v>23.0</v>
      </c>
      <c r="AG794" s="39">
        <f t="shared" si="1333"/>
        <v>23.0</v>
      </c>
      <c r="AH794" s="39">
        <f t="shared" si="1333"/>
        <v>23.0</v>
      </c>
      <c r="AI794" s="39">
        <f t="shared" si="1333"/>
        <v>23.0</v>
      </c>
    </row>
    <row r="795" hidden="1" outlineLevel="1">
      <c r="A795" s="44" t="inlineStr">
        <is>
          <t>dprk</t>
        </is>
      </c>
      <c r="B795" s="3" t="inlineStr">
        <is>
          <t>mil</t>
        </is>
      </c>
      <c r="C795" s="3" t="inlineStr"/>
      <c r="D795" s="3" t="n"/>
      <c r="E795" s="3" t="n"/>
      <c r="H795" s="3" t="inlineStr">
        <is>
          <t>Dairy: rank</t>
        </is>
      </c>
      <c r="I795" s="3" t="inlineStr">
        <is>
          <t>rank</t>
        </is>
      </c>
      <c r="J795" s="118" t="inlineStr">
        <is>
          <t>legacy rows 3277-3279</t>
        </is>
      </c>
      <c r="K795" s="9" t="str">
        <f>LOWER(CtryCode)&amp;".distn."&amp;$A795&amp;IF($B795="","","."&amp;$B795)&amp;IF($C795="","",".dec."&amp;$C795)&amp;"."&amp;K$5</f>
        <v>egy.distn.dprk.mil.1</v>
      </c>
      <c r="L795" s="38">
        <f>RANK(L729,L$704:L$767)+COUNTIF(L$704:L728,L729)</f>
        <v>26.0</v>
      </c>
      <c r="M795" s="39">
        <f t="shared" ref="M795:V795" si="1334">L795</f>
        <v>26.0</v>
      </c>
      <c r="N795" s="39">
        <f t="shared" si="1334"/>
        <v>26.0</v>
      </c>
      <c r="O795" s="39">
        <f t="shared" si="1334"/>
        <v>26.0</v>
      </c>
      <c r="P795" s="39">
        <f t="shared" si="1334"/>
        <v>26.0</v>
      </c>
      <c r="Q795" s="39">
        <f t="shared" si="1334"/>
        <v>26.0</v>
      </c>
      <c r="R795" s="39">
        <f t="shared" si="1334"/>
        <v>26.0</v>
      </c>
      <c r="S795" s="39">
        <f t="shared" si="1334"/>
        <v>26.0</v>
      </c>
      <c r="T795" s="39">
        <f t="shared" si="1334"/>
        <v>26.0</v>
      </c>
      <c r="U795" s="39">
        <f t="shared" si="1334"/>
        <v>26.0</v>
      </c>
      <c r="V795" s="39">
        <f t="shared" si="1334"/>
        <v>26.0</v>
      </c>
      <c r="W795" s="201" t="str">
        <f>IF(X$5=K$5,SUM(Y795:AI795)-SUM(L795:V795),"")</f>
        <v/>
      </c>
      <c r="X795" s="9" t="str">
        <f>LOWER(CtryCode)&amp;".distn."&amp;$A795&amp;IF($B795="","","."&amp;$B795)&amp;IF($C795="","",".dec."&amp;$C795)&amp;"."&amp;X$5</f>
        <v>egy.distn.dprk.mil.2</v>
      </c>
      <c r="Y795" s="38">
        <f>RANK(Y729,Y$704:Y$767)+COUNTIF(Y$704:Y728,Y729)</f>
        <v>51.0</v>
      </c>
      <c r="Z795" s="39">
        <f t="shared" ref="Z795:AI795" si="1335">Y795</f>
        <v>51.0</v>
      </c>
      <c r="AA795" s="39">
        <f t="shared" si="1335"/>
        <v>51.0</v>
      </c>
      <c r="AB795" s="39">
        <f t="shared" si="1335"/>
        <v>51.0</v>
      </c>
      <c r="AC795" s="39">
        <f t="shared" si="1335"/>
        <v>51.0</v>
      </c>
      <c r="AD795" s="39">
        <f t="shared" si="1335"/>
        <v>51.0</v>
      </c>
      <c r="AE795" s="39">
        <f t="shared" si="1335"/>
        <v>51.0</v>
      </c>
      <c r="AF795" s="39">
        <f t="shared" si="1335"/>
        <v>51.0</v>
      </c>
      <c r="AG795" s="39">
        <f t="shared" si="1335"/>
        <v>51.0</v>
      </c>
      <c r="AH795" s="39">
        <f t="shared" si="1335"/>
        <v>51.0</v>
      </c>
      <c r="AI795" s="39">
        <f t="shared" si="1335"/>
        <v>51.0</v>
      </c>
    </row>
    <row r="796" hidden="1" outlineLevel="1">
      <c r="A796" s="44" t="inlineStr">
        <is>
          <t>dprk</t>
        </is>
      </c>
      <c r="B796" s="3" t="inlineStr">
        <is>
          <t>mvh</t>
        </is>
      </c>
      <c r="C796" s="3" t="inlineStr"/>
      <c r="D796" s="3" t="n"/>
      <c r="E796" s="3" t="n"/>
      <c r="H796" s="3" t="inlineStr">
        <is>
          <t>Motor vehicles: rank</t>
        </is>
      </c>
      <c r="I796" s="3" t="inlineStr">
        <is>
          <t>rank</t>
        </is>
      </c>
      <c r="J796" s="118" t="inlineStr">
        <is>
          <t>legacy rows 3277-3279</t>
        </is>
      </c>
      <c r="K796" s="9" t="str">
        <f>LOWER(CtryCode)&amp;".distn."&amp;$A796&amp;IF($B796="","","."&amp;$B796)&amp;IF($C796="","",".dec."&amp;$C796)&amp;"."&amp;K$5</f>
        <v>egy.distn.dprk.mvh.1</v>
      </c>
      <c r="L796" s="38">
        <f>RANK(L730,L$704:L$767)+COUNTIF(L$704:L729,L730)</f>
        <v>27.0</v>
      </c>
      <c r="M796" s="39">
        <f t="shared" ref="M796:V796" si="1336">L796</f>
        <v>27.0</v>
      </c>
      <c r="N796" s="39">
        <f t="shared" si="1336"/>
        <v>27.0</v>
      </c>
      <c r="O796" s="39">
        <f t="shared" si="1336"/>
        <v>27.0</v>
      </c>
      <c r="P796" s="39">
        <f t="shared" si="1336"/>
        <v>27.0</v>
      </c>
      <c r="Q796" s="39">
        <f t="shared" si="1336"/>
        <v>27.0</v>
      </c>
      <c r="R796" s="39">
        <f t="shared" si="1336"/>
        <v>27.0</v>
      </c>
      <c r="S796" s="39">
        <f t="shared" si="1336"/>
        <v>27.0</v>
      </c>
      <c r="T796" s="39">
        <f t="shared" si="1336"/>
        <v>27.0</v>
      </c>
      <c r="U796" s="39">
        <f t="shared" si="1336"/>
        <v>27.0</v>
      </c>
      <c r="V796" s="39">
        <f t="shared" si="1336"/>
        <v>27.0</v>
      </c>
      <c r="W796" s="201" t="str">
        <f>IF(X$5=K$5,SUM(Y796:AI796)-SUM(L796:V796),"")</f>
        <v/>
      </c>
      <c r="X796" s="9" t="str">
        <f>LOWER(CtryCode)&amp;".distn."&amp;$A796&amp;IF($B796="","","."&amp;$B796)&amp;IF($C796="","",".dec."&amp;$C796)&amp;"."&amp;X$5</f>
        <v>egy.distn.dprk.mvh.2</v>
      </c>
      <c r="Y796" s="38">
        <f>RANK(Y730,Y$704:Y$767)+COUNTIF(Y$704:Y729,Y730)</f>
        <v>19.0</v>
      </c>
      <c r="Z796" s="39">
        <f t="shared" ref="Z796:AI796" si="1337">Y796</f>
        <v>19.0</v>
      </c>
      <c r="AA796" s="39">
        <f t="shared" si="1337"/>
        <v>19.0</v>
      </c>
      <c r="AB796" s="39">
        <f t="shared" si="1337"/>
        <v>19.0</v>
      </c>
      <c r="AC796" s="39">
        <f t="shared" si="1337"/>
        <v>19.0</v>
      </c>
      <c r="AD796" s="39">
        <f t="shared" si="1337"/>
        <v>19.0</v>
      </c>
      <c r="AE796" s="39">
        <f t="shared" si="1337"/>
        <v>19.0</v>
      </c>
      <c r="AF796" s="39">
        <f t="shared" si="1337"/>
        <v>19.0</v>
      </c>
      <c r="AG796" s="39">
        <f t="shared" si="1337"/>
        <v>19.0</v>
      </c>
      <c r="AH796" s="39">
        <f t="shared" si="1337"/>
        <v>19.0</v>
      </c>
      <c r="AI796" s="39">
        <f t="shared" si="1337"/>
        <v>19.0</v>
      </c>
    </row>
    <row r="797" hidden="1" outlineLevel="1">
      <c r="A797" s="44" t="inlineStr">
        <is>
          <t>dprk</t>
        </is>
      </c>
      <c r="B797" s="3" t="inlineStr">
        <is>
          <t>nfm</t>
        </is>
      </c>
      <c r="C797" s="3" t="inlineStr"/>
      <c r="D797" s="3" t="n"/>
      <c r="E797" s="3" t="n"/>
      <c r="H797" s="3" t="inlineStr">
        <is>
          <t>Non-Ferrous Metals: rank</t>
        </is>
      </c>
      <c r="I797" s="3" t="inlineStr">
        <is>
          <t>rank</t>
        </is>
      </c>
      <c r="J797" s="118" t="inlineStr">
        <is>
          <t>legacy rows 3277-3279</t>
        </is>
      </c>
      <c r="K797" s="9" t="str">
        <f>LOWER(CtryCode)&amp;".distn."&amp;$A797&amp;IF($B797="","","."&amp;$B797)&amp;IF($C797="","",".dec."&amp;$C797)&amp;"."&amp;K$5</f>
        <v>egy.distn.dprk.nfm.1</v>
      </c>
      <c r="L797" s="38">
        <f>RANK(L731,L$704:L$767)+COUNTIF(L$704:L730,L731)</f>
        <v>28.0</v>
      </c>
      <c r="M797" s="39">
        <f t="shared" ref="M797:V797" si="1338">L797</f>
        <v>28.0</v>
      </c>
      <c r="N797" s="39">
        <f t="shared" si="1338"/>
        <v>28.0</v>
      </c>
      <c r="O797" s="39">
        <f t="shared" si="1338"/>
        <v>28.0</v>
      </c>
      <c r="P797" s="39">
        <f t="shared" si="1338"/>
        <v>28.0</v>
      </c>
      <c r="Q797" s="39">
        <f t="shared" si="1338"/>
        <v>28.0</v>
      </c>
      <c r="R797" s="39">
        <f t="shared" si="1338"/>
        <v>28.0</v>
      </c>
      <c r="S797" s="39">
        <f t="shared" si="1338"/>
        <v>28.0</v>
      </c>
      <c r="T797" s="39">
        <f t="shared" si="1338"/>
        <v>28.0</v>
      </c>
      <c r="U797" s="39">
        <f t="shared" si="1338"/>
        <v>28.0</v>
      </c>
      <c r="V797" s="39">
        <f t="shared" si="1338"/>
        <v>28.0</v>
      </c>
      <c r="W797" s="201" t="str">
        <f>IF(X$5=K$5,SUM(Y797:AI797)-SUM(L797:V797),"")</f>
        <v/>
      </c>
      <c r="X797" s="9" t="str">
        <f>LOWER(CtryCode)&amp;".distn."&amp;$A797&amp;IF($B797="","","."&amp;$B797)&amp;IF($C797="","",".dec."&amp;$C797)&amp;"."&amp;X$5</f>
        <v>egy.distn.dprk.nfm.2</v>
      </c>
      <c r="Y797" s="38">
        <f>RANK(Y731,Y$704:Y$767)+COUNTIF(Y$704:Y730,Y731)</f>
        <v>8.0</v>
      </c>
      <c r="Z797" s="39">
        <f t="shared" ref="Z797:AI797" si="1339">Y797</f>
        <v>8.0</v>
      </c>
      <c r="AA797" s="39">
        <f t="shared" si="1339"/>
        <v>8.0</v>
      </c>
      <c r="AB797" s="39">
        <f t="shared" si="1339"/>
        <v>8.0</v>
      </c>
      <c r="AC797" s="39">
        <f t="shared" si="1339"/>
        <v>8.0</v>
      </c>
      <c r="AD797" s="39">
        <f t="shared" si="1339"/>
        <v>8.0</v>
      </c>
      <c r="AE797" s="39">
        <f t="shared" si="1339"/>
        <v>8.0</v>
      </c>
      <c r="AF797" s="39">
        <f t="shared" si="1339"/>
        <v>8.0</v>
      </c>
      <c r="AG797" s="39">
        <f t="shared" si="1339"/>
        <v>8.0</v>
      </c>
      <c r="AH797" s="39">
        <f t="shared" si="1339"/>
        <v>8.0</v>
      </c>
      <c r="AI797" s="39">
        <f t="shared" si="1339"/>
        <v>8.0</v>
      </c>
    </row>
    <row r="798" hidden="1" outlineLevel="1">
      <c r="A798" s="44" t="inlineStr">
        <is>
          <t>dprk</t>
        </is>
      </c>
      <c r="B798" s="3" t="inlineStr">
        <is>
          <t>nga</t>
        </is>
      </c>
      <c r="C798" s="3" t="inlineStr"/>
      <c r="D798" s="3" t="n"/>
      <c r="E798" s="3" t="n"/>
      <c r="H798" s="3" t="inlineStr">
        <is>
          <t>Natural gas: rank</t>
        </is>
      </c>
      <c r="I798" s="3" t="inlineStr">
        <is>
          <t>rank</t>
        </is>
      </c>
      <c r="J798" s="118" t="inlineStr">
        <is>
          <t>legacy rows 3277-3279</t>
        </is>
      </c>
      <c r="K798" s="9" t="str">
        <f>LOWER(CtryCode)&amp;".distn."&amp;$A798&amp;IF($B798="","","."&amp;$B798)&amp;IF($C798="","",".dec."&amp;$C798)&amp;"."&amp;K$5</f>
        <v>egy.distn.dprk.nga.1</v>
      </c>
      <c r="L798" s="38">
        <f>RANK(L732,L$704:L$767)+COUNTIF(L$704:L731,L732)</f>
        <v>29.0</v>
      </c>
      <c r="M798" s="39">
        <f t="shared" ref="M798:V798" si="1340">L798</f>
        <v>29.0</v>
      </c>
      <c r="N798" s="39">
        <f t="shared" si="1340"/>
        <v>29.0</v>
      </c>
      <c r="O798" s="39">
        <f t="shared" si="1340"/>
        <v>29.0</v>
      </c>
      <c r="P798" s="39">
        <f t="shared" si="1340"/>
        <v>29.0</v>
      </c>
      <c r="Q798" s="39">
        <f t="shared" si="1340"/>
        <v>29.0</v>
      </c>
      <c r="R798" s="39">
        <f t="shared" si="1340"/>
        <v>29.0</v>
      </c>
      <c r="S798" s="39">
        <f t="shared" si="1340"/>
        <v>29.0</v>
      </c>
      <c r="T798" s="39">
        <f t="shared" si="1340"/>
        <v>29.0</v>
      </c>
      <c r="U798" s="39">
        <f t="shared" si="1340"/>
        <v>29.0</v>
      </c>
      <c r="V798" s="39">
        <f t="shared" si="1340"/>
        <v>29.0</v>
      </c>
      <c r="W798" s="201" t="str">
        <f>IF(X$5=K$5,SUM(Y798:AI798)-SUM(L798:V798),"")</f>
        <v/>
      </c>
      <c r="X798" s="9" t="str">
        <f>LOWER(CtryCode)&amp;".distn."&amp;$A798&amp;IF($B798="","","."&amp;$B798)&amp;IF($C798="","",".dec."&amp;$C798)&amp;"."&amp;X$5</f>
        <v>egy.distn.dprk.nga.2</v>
      </c>
      <c r="Y798" s="38">
        <f>RANK(Y732,Y$704:Y$767)+COUNTIF(Y$704:Y731,Y732)</f>
        <v>62.0</v>
      </c>
      <c r="Z798" s="39">
        <f t="shared" ref="Z798:AI798" si="1341">Y798</f>
        <v>62.0</v>
      </c>
      <c r="AA798" s="39">
        <f t="shared" si="1341"/>
        <v>62.0</v>
      </c>
      <c r="AB798" s="39">
        <f t="shared" si="1341"/>
        <v>62.0</v>
      </c>
      <c r="AC798" s="39">
        <f t="shared" si="1341"/>
        <v>62.0</v>
      </c>
      <c r="AD798" s="39">
        <f t="shared" si="1341"/>
        <v>62.0</v>
      </c>
      <c r="AE798" s="39">
        <f t="shared" si="1341"/>
        <v>62.0</v>
      </c>
      <c r="AF798" s="39">
        <f t="shared" si="1341"/>
        <v>62.0</v>
      </c>
      <c r="AG798" s="39">
        <f t="shared" si="1341"/>
        <v>62.0</v>
      </c>
      <c r="AH798" s="39">
        <f t="shared" si="1341"/>
        <v>62.0</v>
      </c>
      <c r="AI798" s="39">
        <f t="shared" si="1341"/>
        <v>62.0</v>
      </c>
    </row>
    <row r="799" hidden="1" outlineLevel="1">
      <c r="A799" s="44" t="inlineStr">
        <is>
          <t>dprk</t>
        </is>
      </c>
      <c r="B799" s="3" t="inlineStr">
        <is>
          <t>nmm</t>
        </is>
      </c>
      <c r="C799" s="3" t="inlineStr"/>
      <c r="D799" s="3" t="n"/>
      <c r="E799" s="3" t="n"/>
      <c r="H799" s="3" t="inlineStr">
        <is>
          <t>Non-metallic minerals: rank</t>
        </is>
      </c>
      <c r="I799" s="3" t="inlineStr">
        <is>
          <t>rank</t>
        </is>
      </c>
      <c r="J799" s="118" t="inlineStr">
        <is>
          <t>legacy rows 3277-3279</t>
        </is>
      </c>
      <c r="K799" s="9" t="str">
        <f>LOWER(CtryCode)&amp;".distn."&amp;$A799&amp;IF($B799="","","."&amp;$B799)&amp;IF($C799="","",".dec."&amp;$C799)&amp;"."&amp;K$5</f>
        <v>egy.distn.dprk.nmm.1</v>
      </c>
      <c r="L799" s="38">
        <f>RANK(L733,L$704:L$767)+COUNTIF(L$704:L732,L733)</f>
        <v>30.0</v>
      </c>
      <c r="M799" s="39">
        <f t="shared" ref="M799:V799" si="1342">L799</f>
        <v>30.0</v>
      </c>
      <c r="N799" s="39">
        <f t="shared" si="1342"/>
        <v>30.0</v>
      </c>
      <c r="O799" s="39">
        <f t="shared" si="1342"/>
        <v>30.0</v>
      </c>
      <c r="P799" s="39">
        <f t="shared" si="1342"/>
        <v>30.0</v>
      </c>
      <c r="Q799" s="39">
        <f t="shared" si="1342"/>
        <v>30.0</v>
      </c>
      <c r="R799" s="39">
        <f t="shared" si="1342"/>
        <v>30.0</v>
      </c>
      <c r="S799" s="39">
        <f t="shared" si="1342"/>
        <v>30.0</v>
      </c>
      <c r="T799" s="39">
        <f t="shared" si="1342"/>
        <v>30.0</v>
      </c>
      <c r="U799" s="39">
        <f t="shared" si="1342"/>
        <v>30.0</v>
      </c>
      <c r="V799" s="39">
        <f t="shared" si="1342"/>
        <v>30.0</v>
      </c>
      <c r="W799" s="201" t="str">
        <f>IF(X$5=K$5,SUM(Y799:AI799)-SUM(L799:V799),"")</f>
        <v/>
      </c>
      <c r="X799" s="9" t="str">
        <f>LOWER(CtryCode)&amp;".distn."&amp;$A799&amp;IF($B799="","","."&amp;$B799)&amp;IF($C799="","",".dec."&amp;$C799)&amp;"."&amp;X$5</f>
        <v>egy.distn.dprk.nmm.2</v>
      </c>
      <c r="Y799" s="38">
        <f>RANK(Y733,Y$704:Y$767)+COUNTIF(Y$704:Y732,Y733)</f>
        <v>20.0</v>
      </c>
      <c r="Z799" s="39">
        <f t="shared" ref="Z799:AI799" si="1343">Y799</f>
        <v>20.0</v>
      </c>
      <c r="AA799" s="39">
        <f t="shared" si="1343"/>
        <v>20.0</v>
      </c>
      <c r="AB799" s="39">
        <f t="shared" si="1343"/>
        <v>20.0</v>
      </c>
      <c r="AC799" s="39">
        <f t="shared" si="1343"/>
        <v>20.0</v>
      </c>
      <c r="AD799" s="39">
        <f t="shared" si="1343"/>
        <v>20.0</v>
      </c>
      <c r="AE799" s="39">
        <f t="shared" si="1343"/>
        <v>20.0</v>
      </c>
      <c r="AF799" s="39">
        <f t="shared" si="1343"/>
        <v>20.0</v>
      </c>
      <c r="AG799" s="39">
        <f t="shared" si="1343"/>
        <v>20.0</v>
      </c>
      <c r="AH799" s="39">
        <f t="shared" si="1343"/>
        <v>20.0</v>
      </c>
      <c r="AI799" s="39">
        <f t="shared" si="1343"/>
        <v>20.0</v>
      </c>
    </row>
    <row r="800" hidden="1" outlineLevel="1">
      <c r="A800" s="44" t="inlineStr">
        <is>
          <t>dprk</t>
        </is>
      </c>
      <c r="B800" s="3" t="inlineStr">
        <is>
          <t>oap</t>
        </is>
      </c>
      <c r="C800" s="3" t="inlineStr"/>
      <c r="D800" s="3" t="n"/>
      <c r="E800" s="3" t="n"/>
      <c r="H800" s="3" t="inlineStr">
        <is>
          <t>Other Animal Products: rank</t>
        </is>
      </c>
      <c r="I800" s="3" t="inlineStr">
        <is>
          <t>rank</t>
        </is>
      </c>
      <c r="J800" s="118" t="inlineStr">
        <is>
          <t>legacy rows 3277-3279</t>
        </is>
      </c>
      <c r="K800" s="9" t="str">
        <f>LOWER(CtryCode)&amp;".distn."&amp;$A800&amp;IF($B800="","","."&amp;$B800)&amp;IF($C800="","",".dec."&amp;$C800)&amp;"."&amp;K$5</f>
        <v>egy.distn.dprk.oap.1</v>
      </c>
      <c r="L800" s="38">
        <f>RANK(L734,L$704:L$767)+COUNTIF(L$704:L733,L734)</f>
        <v>31.0</v>
      </c>
      <c r="M800" s="39">
        <f t="shared" ref="M800:V800" si="1344">L800</f>
        <v>31.0</v>
      </c>
      <c r="N800" s="39">
        <f t="shared" si="1344"/>
        <v>31.0</v>
      </c>
      <c r="O800" s="39">
        <f t="shared" si="1344"/>
        <v>31.0</v>
      </c>
      <c r="P800" s="39">
        <f t="shared" si="1344"/>
        <v>31.0</v>
      </c>
      <c r="Q800" s="39">
        <f t="shared" si="1344"/>
        <v>31.0</v>
      </c>
      <c r="R800" s="39">
        <f t="shared" si="1344"/>
        <v>31.0</v>
      </c>
      <c r="S800" s="39">
        <f t="shared" si="1344"/>
        <v>31.0</v>
      </c>
      <c r="T800" s="39">
        <f t="shared" si="1344"/>
        <v>31.0</v>
      </c>
      <c r="U800" s="39">
        <f t="shared" si="1344"/>
        <v>31.0</v>
      </c>
      <c r="V800" s="39">
        <f t="shared" si="1344"/>
        <v>31.0</v>
      </c>
      <c r="W800" s="201" t="str">
        <f>IF(X$5=K$5,SUM(Y800:AI800)-SUM(L800:V800),"")</f>
        <v/>
      </c>
      <c r="X800" s="9" t="str">
        <f>LOWER(CtryCode)&amp;".distn."&amp;$A800&amp;IF($B800="","","."&amp;$B800)&amp;IF($C800="","",".dec."&amp;$C800)&amp;"."&amp;X$5</f>
        <v>egy.distn.dprk.oap.2</v>
      </c>
      <c r="Y800" s="38">
        <f>RANK(Y734,Y$704:Y$767)+COUNTIF(Y$704:Y733,Y734)</f>
        <v>34.0</v>
      </c>
      <c r="Z800" s="39">
        <f t="shared" ref="Z800:AI800" si="1345">Y800</f>
        <v>34.0</v>
      </c>
      <c r="AA800" s="39">
        <f t="shared" si="1345"/>
        <v>34.0</v>
      </c>
      <c r="AB800" s="39">
        <f t="shared" si="1345"/>
        <v>34.0</v>
      </c>
      <c r="AC800" s="39">
        <f t="shared" si="1345"/>
        <v>34.0</v>
      </c>
      <c r="AD800" s="39">
        <f t="shared" si="1345"/>
        <v>34.0</v>
      </c>
      <c r="AE800" s="39">
        <f t="shared" si="1345"/>
        <v>34.0</v>
      </c>
      <c r="AF800" s="39">
        <f t="shared" si="1345"/>
        <v>34.0</v>
      </c>
      <c r="AG800" s="39">
        <f t="shared" si="1345"/>
        <v>34.0</v>
      </c>
      <c r="AH800" s="39">
        <f t="shared" si="1345"/>
        <v>34.0</v>
      </c>
      <c r="AI800" s="39">
        <f t="shared" si="1345"/>
        <v>34.0</v>
      </c>
    </row>
    <row r="801" hidden="1" outlineLevel="1">
      <c r="A801" s="44" t="inlineStr">
        <is>
          <t>dprk</t>
        </is>
      </c>
      <c r="B801" s="3" t="inlineStr">
        <is>
          <t>obs</t>
        </is>
      </c>
      <c r="C801" s="3" t="inlineStr"/>
      <c r="D801" s="3" t="n"/>
      <c r="E801" s="3" t="n"/>
      <c r="H801" s="3" t="inlineStr">
        <is>
          <t>Other Business Services: rank</t>
        </is>
      </c>
      <c r="I801" s="3" t="inlineStr">
        <is>
          <t>rank</t>
        </is>
      </c>
      <c r="J801" s="118" t="inlineStr">
        <is>
          <t>legacy rows 3277-3279</t>
        </is>
      </c>
      <c r="K801" s="9" t="str">
        <f>LOWER(CtryCode)&amp;".distn."&amp;$A801&amp;IF($B801="","","."&amp;$B801)&amp;IF($C801="","",".dec."&amp;$C801)&amp;"."&amp;K$5</f>
        <v>egy.distn.dprk.obs.1</v>
      </c>
      <c r="L801" s="38">
        <f>RANK(L735,L$704:L$767)+COUNTIF(L$704:L734,L735)</f>
        <v>32.0</v>
      </c>
      <c r="M801" s="39">
        <f t="shared" ref="M801:V801" si="1346">L801</f>
        <v>32.0</v>
      </c>
      <c r="N801" s="39">
        <f t="shared" si="1346"/>
        <v>32.0</v>
      </c>
      <c r="O801" s="39">
        <f t="shared" si="1346"/>
        <v>32.0</v>
      </c>
      <c r="P801" s="39">
        <f t="shared" si="1346"/>
        <v>32.0</v>
      </c>
      <c r="Q801" s="39">
        <f t="shared" si="1346"/>
        <v>32.0</v>
      </c>
      <c r="R801" s="39">
        <f t="shared" si="1346"/>
        <v>32.0</v>
      </c>
      <c r="S801" s="39">
        <f t="shared" si="1346"/>
        <v>32.0</v>
      </c>
      <c r="T801" s="39">
        <f t="shared" si="1346"/>
        <v>32.0</v>
      </c>
      <c r="U801" s="39">
        <f t="shared" si="1346"/>
        <v>32.0</v>
      </c>
      <c r="V801" s="39">
        <f t="shared" si="1346"/>
        <v>32.0</v>
      </c>
      <c r="W801" s="201" t="str">
        <f>IF(X$5=K$5,SUM(Y801:AI801)-SUM(L801:V801),"")</f>
        <v/>
      </c>
      <c r="X801" s="9" t="str">
        <f>LOWER(CtryCode)&amp;".distn."&amp;$A801&amp;IF($B801="","","."&amp;$B801)&amp;IF($C801="","",".dec."&amp;$C801)&amp;"."&amp;X$5</f>
        <v>egy.distn.dprk.obs.2</v>
      </c>
      <c r="Y801" s="38">
        <f>RANK(Y735,Y$704:Y$767)+COUNTIF(Y$704:Y734,Y735)</f>
        <v>49.0</v>
      </c>
      <c r="Z801" s="39">
        <f t="shared" ref="Z801:AI801" si="1347">Y801</f>
        <v>49.0</v>
      </c>
      <c r="AA801" s="39">
        <f t="shared" si="1347"/>
        <v>49.0</v>
      </c>
      <c r="AB801" s="39">
        <f t="shared" si="1347"/>
        <v>49.0</v>
      </c>
      <c r="AC801" s="39">
        <f t="shared" si="1347"/>
        <v>49.0</v>
      </c>
      <c r="AD801" s="39">
        <f t="shared" si="1347"/>
        <v>49.0</v>
      </c>
      <c r="AE801" s="39">
        <f t="shared" si="1347"/>
        <v>49.0</v>
      </c>
      <c r="AF801" s="39">
        <f t="shared" si="1347"/>
        <v>49.0</v>
      </c>
      <c r="AG801" s="39">
        <f t="shared" si="1347"/>
        <v>49.0</v>
      </c>
      <c r="AH801" s="39">
        <f t="shared" si="1347"/>
        <v>49.0</v>
      </c>
      <c r="AI801" s="39">
        <f t="shared" si="1347"/>
        <v>49.0</v>
      </c>
    </row>
    <row r="802" hidden="1" outlineLevel="1">
      <c r="A802" s="44" t="inlineStr">
        <is>
          <t>dprk</t>
        </is>
      </c>
      <c r="B802" s="3" t="inlineStr">
        <is>
          <t>ocr</t>
        </is>
      </c>
      <c r="C802" s="3" t="inlineStr"/>
      <c r="D802" s="3" t="n"/>
      <c r="E802" s="3" t="n"/>
      <c r="H802" s="3" t="inlineStr">
        <is>
          <t>Other Crops: rank</t>
        </is>
      </c>
      <c r="I802" s="3" t="inlineStr">
        <is>
          <t>rank</t>
        </is>
      </c>
      <c r="J802" s="118" t="inlineStr">
        <is>
          <t>legacy rows 3277-3279</t>
        </is>
      </c>
      <c r="K802" s="9" t="str">
        <f>LOWER(CtryCode)&amp;".distn."&amp;$A802&amp;IF($B802="","","."&amp;$B802)&amp;IF($C802="","",".dec."&amp;$C802)&amp;"."&amp;K$5</f>
        <v>egy.distn.dprk.ocr.1</v>
      </c>
      <c r="L802" s="38">
        <f>RANK(L736,L$704:L$767)+COUNTIF(L$704:L735,L736)</f>
        <v>33.0</v>
      </c>
      <c r="M802" s="39">
        <f t="shared" ref="M802:V802" si="1348">L802</f>
        <v>33.0</v>
      </c>
      <c r="N802" s="39">
        <f t="shared" si="1348"/>
        <v>33.0</v>
      </c>
      <c r="O802" s="39">
        <f t="shared" si="1348"/>
        <v>33.0</v>
      </c>
      <c r="P802" s="39">
        <f t="shared" si="1348"/>
        <v>33.0</v>
      </c>
      <c r="Q802" s="39">
        <f t="shared" si="1348"/>
        <v>33.0</v>
      </c>
      <c r="R802" s="39">
        <f t="shared" si="1348"/>
        <v>33.0</v>
      </c>
      <c r="S802" s="39">
        <f t="shared" si="1348"/>
        <v>33.0</v>
      </c>
      <c r="T802" s="39">
        <f t="shared" si="1348"/>
        <v>33.0</v>
      </c>
      <c r="U802" s="39">
        <f t="shared" si="1348"/>
        <v>33.0</v>
      </c>
      <c r="V802" s="39">
        <f t="shared" si="1348"/>
        <v>33.0</v>
      </c>
      <c r="W802" s="201" t="str">
        <f>IF(X$5=K$5,SUM(Y802:AI802)-SUM(L802:V802),"")</f>
        <v/>
      </c>
      <c r="X802" s="9" t="str">
        <f>LOWER(CtryCode)&amp;".distn."&amp;$A802&amp;IF($B802="","","."&amp;$B802)&amp;IF($C802="","",".dec."&amp;$C802)&amp;"."&amp;X$5</f>
        <v>egy.distn.dprk.ocr.2</v>
      </c>
      <c r="Y802" s="38">
        <f>RANK(Y736,Y$704:Y$767)+COUNTIF(Y$704:Y735,Y736)</f>
        <v>54.0</v>
      </c>
      <c r="Z802" s="39">
        <f t="shared" ref="Z802:AI802" si="1349">Y802</f>
        <v>54.0</v>
      </c>
      <c r="AA802" s="39">
        <f t="shared" si="1349"/>
        <v>54.0</v>
      </c>
      <c r="AB802" s="39">
        <f t="shared" si="1349"/>
        <v>54.0</v>
      </c>
      <c r="AC802" s="39">
        <f t="shared" si="1349"/>
        <v>54.0</v>
      </c>
      <c r="AD802" s="39">
        <f t="shared" si="1349"/>
        <v>54.0</v>
      </c>
      <c r="AE802" s="39">
        <f t="shared" si="1349"/>
        <v>54.0</v>
      </c>
      <c r="AF802" s="39">
        <f t="shared" si="1349"/>
        <v>54.0</v>
      </c>
      <c r="AG802" s="39">
        <f t="shared" si="1349"/>
        <v>54.0</v>
      </c>
      <c r="AH802" s="39">
        <f t="shared" si="1349"/>
        <v>54.0</v>
      </c>
      <c r="AI802" s="39">
        <f t="shared" si="1349"/>
        <v>54.0</v>
      </c>
    </row>
    <row r="803" hidden="1" outlineLevel="1">
      <c r="A803" s="44" t="inlineStr">
        <is>
          <t>dprk</t>
        </is>
      </c>
      <c r="B803" s="3" t="inlineStr">
        <is>
          <t>ofd</t>
        </is>
      </c>
      <c r="C803" s="3" t="inlineStr"/>
      <c r="D803" s="3" t="n"/>
      <c r="E803" s="3" t="n"/>
      <c r="H803" s="3" t="inlineStr">
        <is>
          <t>Other Food: rank</t>
        </is>
      </c>
      <c r="I803" s="3" t="inlineStr">
        <is>
          <t>rank</t>
        </is>
      </c>
      <c r="J803" s="118" t="inlineStr">
        <is>
          <t>legacy rows 3277-3279</t>
        </is>
      </c>
      <c r="K803" s="9" t="str">
        <f>LOWER(CtryCode)&amp;".distn."&amp;$A803&amp;IF($B803="","","."&amp;$B803)&amp;IF($C803="","",".dec."&amp;$C803)&amp;"."&amp;K$5</f>
        <v>egy.distn.dprk.ofd.1</v>
      </c>
      <c r="L803" s="38">
        <f>RANK(L737,L$704:L$767)+COUNTIF(L$704:L736,L737)</f>
        <v>34.0</v>
      </c>
      <c r="M803" s="39">
        <f t="shared" ref="M803:V803" si="1350">L803</f>
        <v>34.0</v>
      </c>
      <c r="N803" s="39">
        <f t="shared" si="1350"/>
        <v>34.0</v>
      </c>
      <c r="O803" s="39">
        <f t="shared" si="1350"/>
        <v>34.0</v>
      </c>
      <c r="P803" s="39">
        <f t="shared" si="1350"/>
        <v>34.0</v>
      </c>
      <c r="Q803" s="39">
        <f t="shared" si="1350"/>
        <v>34.0</v>
      </c>
      <c r="R803" s="39">
        <f t="shared" si="1350"/>
        <v>34.0</v>
      </c>
      <c r="S803" s="39">
        <f t="shared" si="1350"/>
        <v>34.0</v>
      </c>
      <c r="T803" s="39">
        <f t="shared" si="1350"/>
        <v>34.0</v>
      </c>
      <c r="U803" s="39">
        <f t="shared" si="1350"/>
        <v>34.0</v>
      </c>
      <c r="V803" s="39">
        <f t="shared" si="1350"/>
        <v>34.0</v>
      </c>
      <c r="W803" s="201" t="str">
        <f>IF(X$5=K$5,SUM(Y803:AI803)-SUM(L803:V803),"")</f>
        <v/>
      </c>
      <c r="X803" s="9" t="str">
        <f>LOWER(CtryCode)&amp;".distn."&amp;$A803&amp;IF($B803="","","."&amp;$B803)&amp;IF($C803="","",".dec."&amp;$C803)&amp;"."&amp;X$5</f>
        <v>egy.distn.dprk.ofd.2</v>
      </c>
      <c r="Y803" s="38">
        <f>RANK(Y737,Y$704:Y$767)+COUNTIF(Y$704:Y736,Y737)</f>
        <v>26.0</v>
      </c>
      <c r="Z803" s="39">
        <f t="shared" ref="Z803:AI803" si="1351">Y803</f>
        <v>26.0</v>
      </c>
      <c r="AA803" s="39">
        <f t="shared" si="1351"/>
        <v>26.0</v>
      </c>
      <c r="AB803" s="39">
        <f t="shared" si="1351"/>
        <v>26.0</v>
      </c>
      <c r="AC803" s="39">
        <f t="shared" si="1351"/>
        <v>26.0</v>
      </c>
      <c r="AD803" s="39">
        <f t="shared" si="1351"/>
        <v>26.0</v>
      </c>
      <c r="AE803" s="39">
        <f t="shared" si="1351"/>
        <v>26.0</v>
      </c>
      <c r="AF803" s="39">
        <f t="shared" si="1351"/>
        <v>26.0</v>
      </c>
      <c r="AG803" s="39">
        <f t="shared" si="1351"/>
        <v>26.0</v>
      </c>
      <c r="AH803" s="39">
        <f t="shared" si="1351"/>
        <v>26.0</v>
      </c>
      <c r="AI803" s="39">
        <f t="shared" si="1351"/>
        <v>26.0</v>
      </c>
    </row>
    <row r="804" hidden="1" outlineLevel="1">
      <c r="A804" s="44" t="inlineStr">
        <is>
          <t>dprk</t>
        </is>
      </c>
      <c r="B804" s="3" t="inlineStr">
        <is>
          <t>ofi</t>
        </is>
      </c>
      <c r="C804" s="3" t="inlineStr"/>
      <c r="D804" s="3" t="n"/>
      <c r="E804" s="3" t="n"/>
      <c r="H804" s="3" t="inlineStr">
        <is>
          <t>Other financial intermediation: rank</t>
        </is>
      </c>
      <c r="I804" s="3" t="inlineStr">
        <is>
          <t>rank</t>
        </is>
      </c>
      <c r="J804" s="118" t="inlineStr">
        <is>
          <t>legacy rows 3277-3279</t>
        </is>
      </c>
      <c r="K804" s="9" t="str">
        <f>LOWER(CtryCode)&amp;".distn."&amp;$A804&amp;IF($B804="","","."&amp;$B804)&amp;IF($C804="","",".dec."&amp;$C804)&amp;"."&amp;K$5</f>
        <v>egy.distn.dprk.ofi.1</v>
      </c>
      <c r="L804" s="38">
        <f>RANK(L738,L$704:L$767)+COUNTIF(L$704:L737,L738)</f>
        <v>35.0</v>
      </c>
      <c r="M804" s="39">
        <f t="shared" ref="M804:V804" si="1352">L804</f>
        <v>35.0</v>
      </c>
      <c r="N804" s="39">
        <f t="shared" si="1352"/>
        <v>35.0</v>
      </c>
      <c r="O804" s="39">
        <f t="shared" si="1352"/>
        <v>35.0</v>
      </c>
      <c r="P804" s="39">
        <f t="shared" si="1352"/>
        <v>35.0</v>
      </c>
      <c r="Q804" s="39">
        <f t="shared" si="1352"/>
        <v>35.0</v>
      </c>
      <c r="R804" s="39">
        <f t="shared" si="1352"/>
        <v>35.0</v>
      </c>
      <c r="S804" s="39">
        <f t="shared" si="1352"/>
        <v>35.0</v>
      </c>
      <c r="T804" s="39">
        <f t="shared" si="1352"/>
        <v>35.0</v>
      </c>
      <c r="U804" s="39">
        <f t="shared" si="1352"/>
        <v>35.0</v>
      </c>
      <c r="V804" s="39">
        <f t="shared" si="1352"/>
        <v>35.0</v>
      </c>
      <c r="W804" s="201" t="str">
        <f>IF(X$5=K$5,SUM(Y804:AI804)-SUM(L804:V804),"")</f>
        <v/>
      </c>
      <c r="X804" s="9" t="str">
        <f>LOWER(CtryCode)&amp;".distn."&amp;$A804&amp;IF($B804="","","."&amp;$B804)&amp;IF($C804="","",".dec."&amp;$C804)&amp;"."&amp;X$5</f>
        <v>egy.distn.dprk.ofi.2</v>
      </c>
      <c r="Y804" s="38">
        <f>RANK(Y738,Y$704:Y$767)+COUNTIF(Y$704:Y737,Y738)</f>
        <v>56.0</v>
      </c>
      <c r="Z804" s="39">
        <f t="shared" ref="Z804:AI804" si="1353">Y804</f>
        <v>56.0</v>
      </c>
      <c r="AA804" s="39">
        <f t="shared" si="1353"/>
        <v>56.0</v>
      </c>
      <c r="AB804" s="39">
        <f t="shared" si="1353"/>
        <v>56.0</v>
      </c>
      <c r="AC804" s="39">
        <f t="shared" si="1353"/>
        <v>56.0</v>
      </c>
      <c r="AD804" s="39">
        <f t="shared" si="1353"/>
        <v>56.0</v>
      </c>
      <c r="AE804" s="39">
        <f t="shared" si="1353"/>
        <v>56.0</v>
      </c>
      <c r="AF804" s="39">
        <f t="shared" si="1353"/>
        <v>56.0</v>
      </c>
      <c r="AG804" s="39">
        <f t="shared" si="1353"/>
        <v>56.0</v>
      </c>
      <c r="AH804" s="39">
        <f t="shared" si="1353"/>
        <v>56.0</v>
      </c>
      <c r="AI804" s="39">
        <f t="shared" si="1353"/>
        <v>56.0</v>
      </c>
    </row>
    <row r="805" hidden="1" outlineLevel="1">
      <c r="A805" s="44" t="inlineStr">
        <is>
          <t>dprk</t>
        </is>
      </c>
      <c r="B805" s="3" t="inlineStr">
        <is>
          <t>oil</t>
        </is>
      </c>
      <c r="C805" s="3" t="inlineStr"/>
      <c r="D805" s="3" t="n"/>
      <c r="E805" s="3" t="n"/>
      <c r="H805" s="3" t="inlineStr">
        <is>
          <t>Oil: rank</t>
        </is>
      </c>
      <c r="I805" s="3" t="inlineStr">
        <is>
          <t>rank</t>
        </is>
      </c>
      <c r="J805" s="118" t="inlineStr">
        <is>
          <t>legacy rows 3277-3279</t>
        </is>
      </c>
      <c r="K805" s="9" t="str">
        <f>LOWER(CtryCode)&amp;".distn."&amp;$A805&amp;IF($B805="","","."&amp;$B805)&amp;IF($C805="","",".dec."&amp;$C805)&amp;"."&amp;K$5</f>
        <v>egy.distn.dprk.oil.1</v>
      </c>
      <c r="L805" s="38">
        <f>RANK(L739,L$704:L$767)+COUNTIF(L$704:L738,L739)</f>
        <v>36.0</v>
      </c>
      <c r="M805" s="39">
        <f t="shared" ref="M805:V805" si="1354">L805</f>
        <v>36.0</v>
      </c>
      <c r="N805" s="39">
        <f t="shared" si="1354"/>
        <v>36.0</v>
      </c>
      <c r="O805" s="39">
        <f t="shared" si="1354"/>
        <v>36.0</v>
      </c>
      <c r="P805" s="39">
        <f t="shared" si="1354"/>
        <v>36.0</v>
      </c>
      <c r="Q805" s="39">
        <f t="shared" si="1354"/>
        <v>36.0</v>
      </c>
      <c r="R805" s="39">
        <f t="shared" si="1354"/>
        <v>36.0</v>
      </c>
      <c r="S805" s="39">
        <f t="shared" si="1354"/>
        <v>36.0</v>
      </c>
      <c r="T805" s="39">
        <f t="shared" si="1354"/>
        <v>36.0</v>
      </c>
      <c r="U805" s="39">
        <f t="shared" si="1354"/>
        <v>36.0</v>
      </c>
      <c r="V805" s="39">
        <f t="shared" si="1354"/>
        <v>36.0</v>
      </c>
      <c r="W805" s="201" t="str">
        <f>IF(X$5=K$5,SUM(Y805:AI805)-SUM(L805:V805),"")</f>
        <v/>
      </c>
      <c r="X805" s="9" t="str">
        <f>LOWER(CtryCode)&amp;".distn."&amp;$A805&amp;IF($B805="","","."&amp;$B805)&amp;IF($C805="","",".dec."&amp;$C805)&amp;"."&amp;X$5</f>
        <v>egy.distn.dprk.oil.2</v>
      </c>
      <c r="Y805" s="38">
        <f>RANK(Y739,Y$704:Y$767)+COUNTIF(Y$704:Y738,Y739)</f>
        <v>63.0</v>
      </c>
      <c r="Z805" s="39">
        <f t="shared" ref="Z805:AI805" si="1355">Y805</f>
        <v>63.0</v>
      </c>
      <c r="AA805" s="39">
        <f t="shared" si="1355"/>
        <v>63.0</v>
      </c>
      <c r="AB805" s="39">
        <f t="shared" si="1355"/>
        <v>63.0</v>
      </c>
      <c r="AC805" s="39">
        <f t="shared" si="1355"/>
        <v>63.0</v>
      </c>
      <c r="AD805" s="39">
        <f t="shared" si="1355"/>
        <v>63.0</v>
      </c>
      <c r="AE805" s="39">
        <f t="shared" si="1355"/>
        <v>63.0</v>
      </c>
      <c r="AF805" s="39">
        <f t="shared" si="1355"/>
        <v>63.0</v>
      </c>
      <c r="AG805" s="39">
        <f t="shared" si="1355"/>
        <v>63.0</v>
      </c>
      <c r="AH805" s="39">
        <f t="shared" si="1355"/>
        <v>63.0</v>
      </c>
      <c r="AI805" s="39">
        <f t="shared" si="1355"/>
        <v>63.0</v>
      </c>
    </row>
    <row r="806" hidden="1" outlineLevel="1">
      <c r="A806" s="44" t="inlineStr">
        <is>
          <t>dprk</t>
        </is>
      </c>
      <c r="B806" s="3" t="inlineStr">
        <is>
          <t>ome</t>
        </is>
      </c>
      <c r="C806" s="3" t="inlineStr"/>
      <c r="D806" s="3" t="n"/>
      <c r="E806" s="3" t="n"/>
      <c r="H806" s="3" t="inlineStr">
        <is>
          <t>Machinery: rank</t>
        </is>
      </c>
      <c r="I806" s="3" t="inlineStr">
        <is>
          <t>rank</t>
        </is>
      </c>
      <c r="J806" s="118" t="inlineStr">
        <is>
          <t>legacy rows 3277-3279</t>
        </is>
      </c>
      <c r="K806" s="9" t="str">
        <f>LOWER(CtryCode)&amp;".distn."&amp;$A806&amp;IF($B806="","","."&amp;$B806)&amp;IF($C806="","",".dec."&amp;$C806)&amp;"."&amp;K$5</f>
        <v>egy.distn.dprk.ome.1</v>
      </c>
      <c r="L806" s="38">
        <f>RANK(L740,L$704:L$767)+COUNTIF(L$704:L739,L740)</f>
        <v>37.0</v>
      </c>
      <c r="M806" s="39">
        <f t="shared" ref="M806:V806" si="1356">L806</f>
        <v>37.0</v>
      </c>
      <c r="N806" s="39">
        <f t="shared" si="1356"/>
        <v>37.0</v>
      </c>
      <c r="O806" s="39">
        <f t="shared" si="1356"/>
        <v>37.0</v>
      </c>
      <c r="P806" s="39">
        <f t="shared" si="1356"/>
        <v>37.0</v>
      </c>
      <c r="Q806" s="39">
        <f t="shared" si="1356"/>
        <v>37.0</v>
      </c>
      <c r="R806" s="39">
        <f t="shared" si="1356"/>
        <v>37.0</v>
      </c>
      <c r="S806" s="39">
        <f t="shared" si="1356"/>
        <v>37.0</v>
      </c>
      <c r="T806" s="39">
        <f t="shared" si="1356"/>
        <v>37.0</v>
      </c>
      <c r="U806" s="39">
        <f t="shared" si="1356"/>
        <v>37.0</v>
      </c>
      <c r="V806" s="39">
        <f t="shared" si="1356"/>
        <v>37.0</v>
      </c>
      <c r="W806" s="201" t="str">
        <f>IF(X$5=K$5,SUM(Y806:AI806)-SUM(L806:V806),"")</f>
        <v/>
      </c>
      <c r="X806" s="9" t="str">
        <f>LOWER(CtryCode)&amp;".distn."&amp;$A806&amp;IF($B806="","","."&amp;$B806)&amp;IF($C806="","",".dec."&amp;$C806)&amp;"."&amp;X$5</f>
        <v>egy.distn.dprk.ome.2</v>
      </c>
      <c r="Y806" s="38">
        <f>RANK(Y740,Y$704:Y$767)+COUNTIF(Y$704:Y739,Y740)</f>
        <v>14.0</v>
      </c>
      <c r="Z806" s="39">
        <f t="shared" ref="Z806:AI806" si="1357">Y806</f>
        <v>14.0</v>
      </c>
      <c r="AA806" s="39">
        <f t="shared" si="1357"/>
        <v>14.0</v>
      </c>
      <c r="AB806" s="39">
        <f t="shared" si="1357"/>
        <v>14.0</v>
      </c>
      <c r="AC806" s="39">
        <f t="shared" si="1357"/>
        <v>14.0</v>
      </c>
      <c r="AD806" s="39">
        <f t="shared" si="1357"/>
        <v>14.0</v>
      </c>
      <c r="AE806" s="39">
        <f t="shared" si="1357"/>
        <v>14.0</v>
      </c>
      <c r="AF806" s="39">
        <f t="shared" si="1357"/>
        <v>14.0</v>
      </c>
      <c r="AG806" s="39">
        <f t="shared" si="1357"/>
        <v>14.0</v>
      </c>
      <c r="AH806" s="39">
        <f t="shared" si="1357"/>
        <v>14.0</v>
      </c>
      <c r="AI806" s="39">
        <f t="shared" si="1357"/>
        <v>14.0</v>
      </c>
    </row>
    <row r="807" hidden="1" outlineLevel="1">
      <c r="A807" s="44" t="inlineStr">
        <is>
          <t>dprk</t>
        </is>
      </c>
      <c r="B807" s="3" t="inlineStr">
        <is>
          <t>omf</t>
        </is>
      </c>
      <c r="C807" s="3" t="inlineStr"/>
      <c r="D807" s="3" t="n"/>
      <c r="E807" s="3" t="n"/>
      <c r="H807" s="3" t="inlineStr">
        <is>
          <t>Other Manufacturing: rank</t>
        </is>
      </c>
      <c r="I807" s="3" t="inlineStr">
        <is>
          <t>rank</t>
        </is>
      </c>
      <c r="J807" s="118" t="inlineStr">
        <is>
          <t>legacy rows 3277-3279</t>
        </is>
      </c>
      <c r="K807" s="9" t="str">
        <f>LOWER(CtryCode)&amp;".distn."&amp;$A807&amp;IF($B807="","","."&amp;$B807)&amp;IF($C807="","",".dec."&amp;$C807)&amp;"."&amp;K$5</f>
        <v>egy.distn.dprk.omf.1</v>
      </c>
      <c r="L807" s="38">
        <f>RANK(L741,L$704:L$767)+COUNTIF(L$704:L740,L741)</f>
        <v>38.0</v>
      </c>
      <c r="M807" s="39">
        <f t="shared" ref="M807:V807" si="1358">L807</f>
        <v>38.0</v>
      </c>
      <c r="N807" s="39">
        <f t="shared" si="1358"/>
        <v>38.0</v>
      </c>
      <c r="O807" s="39">
        <f t="shared" si="1358"/>
        <v>38.0</v>
      </c>
      <c r="P807" s="39">
        <f t="shared" si="1358"/>
        <v>38.0</v>
      </c>
      <c r="Q807" s="39">
        <f t="shared" si="1358"/>
        <v>38.0</v>
      </c>
      <c r="R807" s="39">
        <f t="shared" si="1358"/>
        <v>38.0</v>
      </c>
      <c r="S807" s="39">
        <f t="shared" si="1358"/>
        <v>38.0</v>
      </c>
      <c r="T807" s="39">
        <f t="shared" si="1358"/>
        <v>38.0</v>
      </c>
      <c r="U807" s="39">
        <f t="shared" si="1358"/>
        <v>38.0</v>
      </c>
      <c r="V807" s="39">
        <f t="shared" si="1358"/>
        <v>38.0</v>
      </c>
      <c r="W807" s="201" t="str">
        <f>IF(X$5=K$5,SUM(Y807:AI807)-SUM(L807:V807),"")</f>
        <v/>
      </c>
      <c r="X807" s="9" t="str">
        <f>LOWER(CtryCode)&amp;".distn."&amp;$A807&amp;IF($B807="","","."&amp;$B807)&amp;IF($C807="","",".dec."&amp;$C807)&amp;"."&amp;X$5</f>
        <v>egy.distn.dprk.omf.2</v>
      </c>
      <c r="Y807" s="38">
        <f>RANK(Y741,Y$704:Y$767)+COUNTIF(Y$704:Y740,Y741)</f>
        <v>7.0</v>
      </c>
      <c r="Z807" s="39">
        <f t="shared" ref="Z807:AI807" si="1359">Y807</f>
        <v>7.0</v>
      </c>
      <c r="AA807" s="39">
        <f t="shared" si="1359"/>
        <v>7.0</v>
      </c>
      <c r="AB807" s="39">
        <f t="shared" si="1359"/>
        <v>7.0</v>
      </c>
      <c r="AC807" s="39">
        <f t="shared" si="1359"/>
        <v>7.0</v>
      </c>
      <c r="AD807" s="39">
        <f t="shared" si="1359"/>
        <v>7.0</v>
      </c>
      <c r="AE807" s="39">
        <f t="shared" si="1359"/>
        <v>7.0</v>
      </c>
      <c r="AF807" s="39">
        <f t="shared" si="1359"/>
        <v>7.0</v>
      </c>
      <c r="AG807" s="39">
        <f t="shared" si="1359"/>
        <v>7.0</v>
      </c>
      <c r="AH807" s="39">
        <f t="shared" si="1359"/>
        <v>7.0</v>
      </c>
      <c r="AI807" s="39">
        <f t="shared" si="1359"/>
        <v>7.0</v>
      </c>
    </row>
    <row r="808" hidden="1" outlineLevel="1">
      <c r="A808" s="44" t="inlineStr">
        <is>
          <t>dprk</t>
        </is>
      </c>
      <c r="B808" s="3" t="inlineStr">
        <is>
          <t>omt</t>
        </is>
      </c>
      <c r="C808" s="3" t="inlineStr"/>
      <c r="D808" s="3" t="n"/>
      <c r="E808" s="3" t="n"/>
      <c r="H808" s="3" t="inlineStr">
        <is>
          <t>Other Meat: rank</t>
        </is>
      </c>
      <c r="I808" s="3" t="inlineStr">
        <is>
          <t>rank</t>
        </is>
      </c>
      <c r="J808" s="118" t="inlineStr">
        <is>
          <t>legacy rows 3277-3279</t>
        </is>
      </c>
      <c r="K808" s="9" t="str">
        <f>LOWER(CtryCode)&amp;".distn."&amp;$A808&amp;IF($B808="","","."&amp;$B808)&amp;IF($C808="","",".dec."&amp;$C808)&amp;"."&amp;K$5</f>
        <v>egy.distn.dprk.omt.1</v>
      </c>
      <c r="L808" s="38">
        <f>RANK(L742,L$704:L$767)+COUNTIF(L$704:L741,L742)</f>
        <v>39.0</v>
      </c>
      <c r="M808" s="39">
        <f t="shared" ref="M808:V808" si="1360">L808</f>
        <v>39.0</v>
      </c>
      <c r="N808" s="39">
        <f t="shared" si="1360"/>
        <v>39.0</v>
      </c>
      <c r="O808" s="39">
        <f t="shared" si="1360"/>
        <v>39.0</v>
      </c>
      <c r="P808" s="39">
        <f t="shared" si="1360"/>
        <v>39.0</v>
      </c>
      <c r="Q808" s="39">
        <f t="shared" si="1360"/>
        <v>39.0</v>
      </c>
      <c r="R808" s="39">
        <f t="shared" si="1360"/>
        <v>39.0</v>
      </c>
      <c r="S808" s="39">
        <f t="shared" si="1360"/>
        <v>39.0</v>
      </c>
      <c r="T808" s="39">
        <f t="shared" si="1360"/>
        <v>39.0</v>
      </c>
      <c r="U808" s="39">
        <f t="shared" si="1360"/>
        <v>39.0</v>
      </c>
      <c r="V808" s="39">
        <f t="shared" si="1360"/>
        <v>39.0</v>
      </c>
      <c r="W808" s="201" t="str">
        <f>IF(X$5=K$5,SUM(Y808:AI808)-SUM(L808:V808),"")</f>
        <v/>
      </c>
      <c r="X808" s="9" t="str">
        <f>LOWER(CtryCode)&amp;".distn."&amp;$A808&amp;IF($B808="","","."&amp;$B808)&amp;IF($C808="","",".dec."&amp;$C808)&amp;"."&amp;X$5</f>
        <v>egy.distn.dprk.omt.2</v>
      </c>
      <c r="Y808" s="38">
        <f>RANK(Y742,Y$704:Y$767)+COUNTIF(Y$704:Y741,Y742)</f>
        <v>58.0</v>
      </c>
      <c r="Z808" s="39">
        <f t="shared" ref="Z808:AI808" si="1361">Y808</f>
        <v>58.0</v>
      </c>
      <c r="AA808" s="39">
        <f t="shared" si="1361"/>
        <v>58.0</v>
      </c>
      <c r="AB808" s="39">
        <f t="shared" si="1361"/>
        <v>58.0</v>
      </c>
      <c r="AC808" s="39">
        <f t="shared" si="1361"/>
        <v>58.0</v>
      </c>
      <c r="AD808" s="39">
        <f t="shared" si="1361"/>
        <v>58.0</v>
      </c>
      <c r="AE808" s="39">
        <f t="shared" si="1361"/>
        <v>58.0</v>
      </c>
      <c r="AF808" s="39">
        <f t="shared" si="1361"/>
        <v>58.0</v>
      </c>
      <c r="AG808" s="39">
        <f t="shared" si="1361"/>
        <v>58.0</v>
      </c>
      <c r="AH808" s="39">
        <f t="shared" si="1361"/>
        <v>58.0</v>
      </c>
      <c r="AI808" s="39">
        <f t="shared" si="1361"/>
        <v>58.0</v>
      </c>
    </row>
    <row r="809" hidden="1" outlineLevel="1">
      <c r="A809" s="44" t="inlineStr">
        <is>
          <t>dprk</t>
        </is>
      </c>
      <c r="B809" s="3" t="inlineStr">
        <is>
          <t>osd</t>
        </is>
      </c>
      <c r="C809" s="3" t="inlineStr"/>
      <c r="D809" s="3" t="n"/>
      <c r="E809" s="3" t="n"/>
      <c r="H809" s="3" t="inlineStr">
        <is>
          <t>Oil Seeds: rank</t>
        </is>
      </c>
      <c r="I809" s="3" t="inlineStr">
        <is>
          <t>rank</t>
        </is>
      </c>
      <c r="J809" s="118" t="inlineStr">
        <is>
          <t>legacy rows 3277-3279</t>
        </is>
      </c>
      <c r="K809" s="9" t="str">
        <f>LOWER(CtryCode)&amp;".distn."&amp;$A809&amp;IF($B809="","","."&amp;$B809)&amp;IF($C809="","",".dec."&amp;$C809)&amp;"."&amp;K$5</f>
        <v>egy.distn.dprk.osd.1</v>
      </c>
      <c r="L809" s="38">
        <f>RANK(L743,L$704:L$767)+COUNTIF(L$704:L742,L743)</f>
        <v>40.0</v>
      </c>
      <c r="M809" s="39">
        <f t="shared" ref="M809:V809" si="1362">L809</f>
        <v>40.0</v>
      </c>
      <c r="N809" s="39">
        <f t="shared" si="1362"/>
        <v>40.0</v>
      </c>
      <c r="O809" s="39">
        <f t="shared" si="1362"/>
        <v>40.0</v>
      </c>
      <c r="P809" s="39">
        <f t="shared" si="1362"/>
        <v>40.0</v>
      </c>
      <c r="Q809" s="39">
        <f t="shared" si="1362"/>
        <v>40.0</v>
      </c>
      <c r="R809" s="39">
        <f t="shared" si="1362"/>
        <v>40.0</v>
      </c>
      <c r="S809" s="39">
        <f t="shared" si="1362"/>
        <v>40.0</v>
      </c>
      <c r="T809" s="39">
        <f t="shared" si="1362"/>
        <v>40.0</v>
      </c>
      <c r="U809" s="39">
        <f t="shared" si="1362"/>
        <v>40.0</v>
      </c>
      <c r="V809" s="39">
        <f t="shared" si="1362"/>
        <v>40.0</v>
      </c>
      <c r="W809" s="201" t="str">
        <f>IF(X$5=K$5,SUM(Y809:AI809)-SUM(L809:V809),"")</f>
        <v/>
      </c>
      <c r="X809" s="9" t="str">
        <f>LOWER(CtryCode)&amp;".distn."&amp;$A809&amp;IF($B809="","","."&amp;$B809)&amp;IF($C809="","",".dec."&amp;$C809)&amp;"."&amp;X$5</f>
        <v>egy.distn.dprk.osd.2</v>
      </c>
      <c r="Y809" s="38">
        <f>RANK(Y743,Y$704:Y$767)+COUNTIF(Y$704:Y742,Y743)</f>
        <v>45.0</v>
      </c>
      <c r="Z809" s="39">
        <f t="shared" ref="Z809:AI809" si="1363">Y809</f>
        <v>45.0</v>
      </c>
      <c r="AA809" s="39">
        <f t="shared" si="1363"/>
        <v>45.0</v>
      </c>
      <c r="AB809" s="39">
        <f t="shared" si="1363"/>
        <v>45.0</v>
      </c>
      <c r="AC809" s="39">
        <f t="shared" si="1363"/>
        <v>45.0</v>
      </c>
      <c r="AD809" s="39">
        <f t="shared" si="1363"/>
        <v>45.0</v>
      </c>
      <c r="AE809" s="39">
        <f t="shared" si="1363"/>
        <v>45.0</v>
      </c>
      <c r="AF809" s="39">
        <f t="shared" si="1363"/>
        <v>45.0</v>
      </c>
      <c r="AG809" s="39">
        <f t="shared" si="1363"/>
        <v>45.0</v>
      </c>
      <c r="AH809" s="39">
        <f t="shared" si="1363"/>
        <v>45.0</v>
      </c>
      <c r="AI809" s="39">
        <f t="shared" si="1363"/>
        <v>45.0</v>
      </c>
    </row>
    <row r="810" hidden="1" outlineLevel="1">
      <c r="A810" s="44" t="inlineStr">
        <is>
          <t>dprk</t>
        </is>
      </c>
      <c r="B810" s="3" t="inlineStr">
        <is>
          <t>osg</t>
        </is>
      </c>
      <c r="C810" s="3" t="inlineStr"/>
      <c r="D810" s="3" t="n"/>
      <c r="E810" s="3" t="n"/>
      <c r="H810" s="3" t="inlineStr">
        <is>
          <t>Government services: rank</t>
        </is>
      </c>
      <c r="I810" s="3" t="inlineStr">
        <is>
          <t>rank</t>
        </is>
      </c>
      <c r="J810" s="118" t="inlineStr">
        <is>
          <t>legacy rows 3277-3279</t>
        </is>
      </c>
      <c r="K810" s="9" t="str">
        <f>LOWER(CtryCode)&amp;".distn."&amp;$A810&amp;IF($B810="","","."&amp;$B810)&amp;IF($C810="","",".dec."&amp;$C810)&amp;"."&amp;K$5</f>
        <v>egy.distn.dprk.osg.1</v>
      </c>
      <c r="L810" s="38">
        <f>RANK(L744,L$704:L$767)+COUNTIF(L$704:L743,L744)</f>
        <v>41.0</v>
      </c>
      <c r="M810" s="39">
        <f t="shared" ref="M810:V810" si="1364">L810</f>
        <v>41.0</v>
      </c>
      <c r="N810" s="39">
        <f t="shared" si="1364"/>
        <v>41.0</v>
      </c>
      <c r="O810" s="39">
        <f t="shared" si="1364"/>
        <v>41.0</v>
      </c>
      <c r="P810" s="39">
        <f t="shared" si="1364"/>
        <v>41.0</v>
      </c>
      <c r="Q810" s="39">
        <f t="shared" si="1364"/>
        <v>41.0</v>
      </c>
      <c r="R810" s="39">
        <f t="shared" si="1364"/>
        <v>41.0</v>
      </c>
      <c r="S810" s="39">
        <f t="shared" si="1364"/>
        <v>41.0</v>
      </c>
      <c r="T810" s="39">
        <f t="shared" si="1364"/>
        <v>41.0</v>
      </c>
      <c r="U810" s="39">
        <f t="shared" si="1364"/>
        <v>41.0</v>
      </c>
      <c r="V810" s="39">
        <f t="shared" si="1364"/>
        <v>41.0</v>
      </c>
      <c r="W810" s="201" t="str">
        <f>IF(X$5=K$5,SUM(Y810:AI810)-SUM(L810:V810),"")</f>
        <v/>
      </c>
      <c r="X810" s="9" t="str">
        <f>LOWER(CtryCode)&amp;".distn."&amp;$A810&amp;IF($B810="","","."&amp;$B810)&amp;IF($C810="","",".dec."&amp;$C810)&amp;"."&amp;X$5</f>
        <v>egy.distn.dprk.osg.2</v>
      </c>
      <c r="Y810" s="38">
        <f>RANK(Y744,Y$704:Y$767)+COUNTIF(Y$704:Y743,Y744)</f>
        <v>35.0</v>
      </c>
      <c r="Z810" s="39">
        <f t="shared" ref="Z810:AI810" si="1365">Y810</f>
        <v>35.0</v>
      </c>
      <c r="AA810" s="39">
        <f t="shared" si="1365"/>
        <v>35.0</v>
      </c>
      <c r="AB810" s="39">
        <f t="shared" si="1365"/>
        <v>35.0</v>
      </c>
      <c r="AC810" s="39">
        <f t="shared" si="1365"/>
        <v>35.0</v>
      </c>
      <c r="AD810" s="39">
        <f t="shared" si="1365"/>
        <v>35.0</v>
      </c>
      <c r="AE810" s="39">
        <f t="shared" si="1365"/>
        <v>35.0</v>
      </c>
      <c r="AF810" s="39">
        <f t="shared" si="1365"/>
        <v>35.0</v>
      </c>
      <c r="AG810" s="39">
        <f t="shared" si="1365"/>
        <v>35.0</v>
      </c>
      <c r="AH810" s="39">
        <f t="shared" si="1365"/>
        <v>35.0</v>
      </c>
      <c r="AI810" s="39">
        <f t="shared" si="1365"/>
        <v>35.0</v>
      </c>
    </row>
    <row r="811" hidden="1" outlineLevel="1">
      <c r="A811" s="44" t="inlineStr">
        <is>
          <t>dprk</t>
        </is>
      </c>
      <c r="B811" s="3" t="inlineStr">
        <is>
          <t>otn</t>
        </is>
      </c>
      <c r="C811" s="3" t="inlineStr"/>
      <c r="D811" s="3" t="n"/>
      <c r="E811" s="3" t="n"/>
      <c r="H811" s="3" t="inlineStr">
        <is>
          <t>Other transport equipment: rank</t>
        </is>
      </c>
      <c r="I811" s="3" t="inlineStr">
        <is>
          <t>rank</t>
        </is>
      </c>
      <c r="J811" s="118" t="inlineStr">
        <is>
          <t>legacy rows 3277-3279</t>
        </is>
      </c>
      <c r="K811" s="9" t="str">
        <f>LOWER(CtryCode)&amp;".distn."&amp;$A811&amp;IF($B811="","","."&amp;$B811)&amp;IF($C811="","",".dec."&amp;$C811)&amp;"."&amp;K$5</f>
        <v>egy.distn.dprk.otn.1</v>
      </c>
      <c r="L811" s="38">
        <f>RANK(L745,L$704:L$767)+COUNTIF(L$704:L744,L745)</f>
        <v>42.0</v>
      </c>
      <c r="M811" s="39">
        <f t="shared" ref="M811:V811" si="1366">L811</f>
        <v>42.0</v>
      </c>
      <c r="N811" s="39">
        <f t="shared" si="1366"/>
        <v>42.0</v>
      </c>
      <c r="O811" s="39">
        <f t="shared" si="1366"/>
        <v>42.0</v>
      </c>
      <c r="P811" s="39">
        <f t="shared" si="1366"/>
        <v>42.0</v>
      </c>
      <c r="Q811" s="39">
        <f t="shared" si="1366"/>
        <v>42.0</v>
      </c>
      <c r="R811" s="39">
        <f t="shared" si="1366"/>
        <v>42.0</v>
      </c>
      <c r="S811" s="39">
        <f t="shared" si="1366"/>
        <v>42.0</v>
      </c>
      <c r="T811" s="39">
        <f t="shared" si="1366"/>
        <v>42.0</v>
      </c>
      <c r="U811" s="39">
        <f t="shared" si="1366"/>
        <v>42.0</v>
      </c>
      <c r="V811" s="39">
        <f t="shared" si="1366"/>
        <v>42.0</v>
      </c>
      <c r="W811" s="201" t="str">
        <f>IF(X$5=K$5,SUM(Y811:AI811)-SUM(L811:V811),"")</f>
        <v/>
      </c>
      <c r="X811" s="9" t="str">
        <f>LOWER(CtryCode)&amp;".distn."&amp;$A811&amp;IF($B811="","","."&amp;$B811)&amp;IF($C811="","",".dec."&amp;$C811)&amp;"."&amp;X$5</f>
        <v>egy.distn.dprk.otn.2</v>
      </c>
      <c r="Y811" s="38">
        <f>RANK(Y745,Y$704:Y$767)+COUNTIF(Y$704:Y744,Y745)</f>
        <v>22.0</v>
      </c>
      <c r="Z811" s="39">
        <f t="shared" ref="Z811:AI811" si="1367">Y811</f>
        <v>22.0</v>
      </c>
      <c r="AA811" s="39">
        <f t="shared" si="1367"/>
        <v>22.0</v>
      </c>
      <c r="AB811" s="39">
        <f t="shared" si="1367"/>
        <v>22.0</v>
      </c>
      <c r="AC811" s="39">
        <f t="shared" si="1367"/>
        <v>22.0</v>
      </c>
      <c r="AD811" s="39">
        <f t="shared" si="1367"/>
        <v>22.0</v>
      </c>
      <c r="AE811" s="39">
        <f t="shared" si="1367"/>
        <v>22.0</v>
      </c>
      <c r="AF811" s="39">
        <f t="shared" si="1367"/>
        <v>22.0</v>
      </c>
      <c r="AG811" s="39">
        <f t="shared" si="1367"/>
        <v>22.0</v>
      </c>
      <c r="AH811" s="39">
        <f t="shared" si="1367"/>
        <v>22.0</v>
      </c>
      <c r="AI811" s="39">
        <f t="shared" si="1367"/>
        <v>22.0</v>
      </c>
    </row>
    <row r="812" hidden="1" outlineLevel="1">
      <c r="A812" s="44" t="inlineStr">
        <is>
          <t>dprk</t>
        </is>
      </c>
      <c r="B812" s="3" t="inlineStr">
        <is>
          <t>otp</t>
        </is>
      </c>
      <c r="C812" s="3" t="inlineStr"/>
      <c r="D812" s="3" t="n"/>
      <c r="E812" s="3" t="n"/>
      <c r="H812" s="3" t="inlineStr">
        <is>
          <t>Land transport: rank</t>
        </is>
      </c>
      <c r="I812" s="3" t="inlineStr">
        <is>
          <t>rank</t>
        </is>
      </c>
      <c r="J812" s="118" t="inlineStr">
        <is>
          <t>legacy rows 3277-3279</t>
        </is>
      </c>
      <c r="K812" s="9" t="str">
        <f>LOWER(CtryCode)&amp;".distn."&amp;$A812&amp;IF($B812="","","."&amp;$B812)&amp;IF($C812="","",".dec."&amp;$C812)&amp;"."&amp;K$5</f>
        <v>egy.distn.dprk.otp.1</v>
      </c>
      <c r="L812" s="38">
        <f>RANK(L746,L$704:L$767)+COUNTIF(L$704:L745,L746)</f>
        <v>43.0</v>
      </c>
      <c r="M812" s="39">
        <f t="shared" ref="M812:V812" si="1368">L812</f>
        <v>43.0</v>
      </c>
      <c r="N812" s="39">
        <f t="shared" si="1368"/>
        <v>43.0</v>
      </c>
      <c r="O812" s="39">
        <f t="shared" si="1368"/>
        <v>43.0</v>
      </c>
      <c r="P812" s="39">
        <f t="shared" si="1368"/>
        <v>43.0</v>
      </c>
      <c r="Q812" s="39">
        <f t="shared" si="1368"/>
        <v>43.0</v>
      </c>
      <c r="R812" s="39">
        <f t="shared" si="1368"/>
        <v>43.0</v>
      </c>
      <c r="S812" s="39">
        <f t="shared" si="1368"/>
        <v>43.0</v>
      </c>
      <c r="T812" s="39">
        <f t="shared" si="1368"/>
        <v>43.0</v>
      </c>
      <c r="U812" s="39">
        <f t="shared" si="1368"/>
        <v>43.0</v>
      </c>
      <c r="V812" s="39">
        <f t="shared" si="1368"/>
        <v>43.0</v>
      </c>
      <c r="W812" s="201" t="str">
        <f>IF(X$5=K$5,SUM(Y812:AI812)-SUM(L812:V812),"")</f>
        <v/>
      </c>
      <c r="X812" s="9" t="str">
        <f>LOWER(CtryCode)&amp;".distn."&amp;$A812&amp;IF($B812="","","."&amp;$B812)&amp;IF($C812="","",".dec."&amp;$C812)&amp;"."&amp;X$5</f>
        <v>egy.distn.dprk.otp.2</v>
      </c>
      <c r="Y812" s="38">
        <f>RANK(Y746,Y$704:Y$767)+COUNTIF(Y$704:Y745,Y746)</f>
        <v>5.0</v>
      </c>
      <c r="Z812" s="39">
        <f t="shared" ref="Z812:AI812" si="1369">Y812</f>
        <v>5.0</v>
      </c>
      <c r="AA812" s="39">
        <f t="shared" si="1369"/>
        <v>5.0</v>
      </c>
      <c r="AB812" s="39">
        <f t="shared" si="1369"/>
        <v>5.0</v>
      </c>
      <c r="AC812" s="39">
        <f t="shared" si="1369"/>
        <v>5.0</v>
      </c>
      <c r="AD812" s="39">
        <f t="shared" si="1369"/>
        <v>5.0</v>
      </c>
      <c r="AE812" s="39">
        <f t="shared" si="1369"/>
        <v>5.0</v>
      </c>
      <c r="AF812" s="39">
        <f t="shared" si="1369"/>
        <v>5.0</v>
      </c>
      <c r="AG812" s="39">
        <f t="shared" si="1369"/>
        <v>5.0</v>
      </c>
      <c r="AH812" s="39">
        <f t="shared" si="1369"/>
        <v>5.0</v>
      </c>
      <c r="AI812" s="39">
        <f t="shared" si="1369"/>
        <v>5.0</v>
      </c>
    </row>
    <row r="813" hidden="1" outlineLevel="1">
      <c r="A813" s="44" t="inlineStr">
        <is>
          <t>dprk</t>
        </is>
      </c>
      <c r="B813" s="3" t="inlineStr">
        <is>
          <t>oxt</t>
        </is>
      </c>
      <c r="C813" s="3" t="inlineStr"/>
      <c r="D813" s="3" t="n"/>
      <c r="E813" s="3" t="n"/>
      <c r="H813" s="3" t="inlineStr">
        <is>
          <t>Other Mining: rank</t>
        </is>
      </c>
      <c r="I813" s="3" t="inlineStr">
        <is>
          <t>rank</t>
        </is>
      </c>
      <c r="J813" s="118" t="inlineStr">
        <is>
          <t>legacy rows 3277-3279</t>
        </is>
      </c>
      <c r="K813" s="9" t="str">
        <f>LOWER(CtryCode)&amp;".distn."&amp;$A813&amp;IF($B813="","","."&amp;$B813)&amp;IF($C813="","",".dec."&amp;$C813)&amp;"."&amp;K$5</f>
        <v>egy.distn.dprk.oxt.1</v>
      </c>
      <c r="L813" s="38">
        <f>RANK(L747,L$704:L$767)+COUNTIF(L$704:L746,L747)</f>
        <v>44.0</v>
      </c>
      <c r="M813" s="39">
        <f t="shared" ref="M813:V813" si="1370">L813</f>
        <v>44.0</v>
      </c>
      <c r="N813" s="39">
        <f t="shared" si="1370"/>
        <v>44.0</v>
      </c>
      <c r="O813" s="39">
        <f t="shared" si="1370"/>
        <v>44.0</v>
      </c>
      <c r="P813" s="39">
        <f t="shared" si="1370"/>
        <v>44.0</v>
      </c>
      <c r="Q813" s="39">
        <f t="shared" si="1370"/>
        <v>44.0</v>
      </c>
      <c r="R813" s="39">
        <f t="shared" si="1370"/>
        <v>44.0</v>
      </c>
      <c r="S813" s="39">
        <f t="shared" si="1370"/>
        <v>44.0</v>
      </c>
      <c r="T813" s="39">
        <f t="shared" si="1370"/>
        <v>44.0</v>
      </c>
      <c r="U813" s="39">
        <f t="shared" si="1370"/>
        <v>44.0</v>
      </c>
      <c r="V813" s="39">
        <f t="shared" si="1370"/>
        <v>44.0</v>
      </c>
      <c r="W813" s="201" t="str">
        <f>IF(X$5=K$5,SUM(Y813:AI813)-SUM(L813:V813),"")</f>
        <v/>
      </c>
      <c r="X813" s="9" t="str">
        <f>LOWER(CtryCode)&amp;".distn."&amp;$A813&amp;IF($B813="","","."&amp;$B813)&amp;IF($C813="","",".dec."&amp;$C813)&amp;"."&amp;X$5</f>
        <v>egy.distn.dprk.oxt.2</v>
      </c>
      <c r="Y813" s="38">
        <f>RANK(Y747,Y$704:Y$767)+COUNTIF(Y$704:Y746,Y747)</f>
        <v>4.0</v>
      </c>
      <c r="Z813" s="39">
        <f t="shared" ref="Z813:AI813" si="1371">Y813</f>
        <v>4.0</v>
      </c>
      <c r="AA813" s="39">
        <f t="shared" si="1371"/>
        <v>4.0</v>
      </c>
      <c r="AB813" s="39">
        <f t="shared" si="1371"/>
        <v>4.0</v>
      </c>
      <c r="AC813" s="39">
        <f t="shared" si="1371"/>
        <v>4.0</v>
      </c>
      <c r="AD813" s="39">
        <f t="shared" si="1371"/>
        <v>4.0</v>
      </c>
      <c r="AE813" s="39">
        <f t="shared" si="1371"/>
        <v>4.0</v>
      </c>
      <c r="AF813" s="39">
        <f t="shared" si="1371"/>
        <v>4.0</v>
      </c>
      <c r="AG813" s="39">
        <f t="shared" si="1371"/>
        <v>4.0</v>
      </c>
      <c r="AH813" s="39">
        <f t="shared" si="1371"/>
        <v>4.0</v>
      </c>
      <c r="AI813" s="39">
        <f t="shared" si="1371"/>
        <v>4.0</v>
      </c>
    </row>
    <row r="814" hidden="1" outlineLevel="1">
      <c r="A814" s="44" t="inlineStr">
        <is>
          <t>dprk</t>
        </is>
      </c>
      <c r="B814" s="3" t="inlineStr">
        <is>
          <t>p_c</t>
        </is>
      </c>
      <c r="C814" s="3" t="inlineStr"/>
      <c r="D814" s="3" t="n"/>
      <c r="E814" s="3" t="n"/>
      <c r="H814" s="3" t="inlineStr">
        <is>
          <t>Petroleum &amp; Coke: rank</t>
        </is>
      </c>
      <c r="I814" s="3" t="inlineStr">
        <is>
          <t>rank</t>
        </is>
      </c>
      <c r="J814" s="118" t="inlineStr">
        <is>
          <t>legacy rows 3277-3279</t>
        </is>
      </c>
      <c r="K814" s="9" t="str">
        <f>LOWER(CtryCode)&amp;".distn."&amp;$A814&amp;IF($B814="","","."&amp;$B814)&amp;IF($C814="","",".dec."&amp;$C814)&amp;"."&amp;K$5</f>
        <v>egy.distn.dprk.p_c.1</v>
      </c>
      <c r="L814" s="38">
        <f>RANK(L748,L$704:L$767)+COUNTIF(L$704:L747,L748)</f>
        <v>45.0</v>
      </c>
      <c r="M814" s="39">
        <f t="shared" ref="M814:V814" si="1372">L814</f>
        <v>45.0</v>
      </c>
      <c r="N814" s="39">
        <f t="shared" si="1372"/>
        <v>45.0</v>
      </c>
      <c r="O814" s="39">
        <f t="shared" si="1372"/>
        <v>45.0</v>
      </c>
      <c r="P814" s="39">
        <f t="shared" si="1372"/>
        <v>45.0</v>
      </c>
      <c r="Q814" s="39">
        <f t="shared" si="1372"/>
        <v>45.0</v>
      </c>
      <c r="R814" s="39">
        <f t="shared" si="1372"/>
        <v>45.0</v>
      </c>
      <c r="S814" s="39">
        <f t="shared" si="1372"/>
        <v>45.0</v>
      </c>
      <c r="T814" s="39">
        <f t="shared" si="1372"/>
        <v>45.0</v>
      </c>
      <c r="U814" s="39">
        <f t="shared" si="1372"/>
        <v>45.0</v>
      </c>
      <c r="V814" s="39">
        <f t="shared" si="1372"/>
        <v>45.0</v>
      </c>
      <c r="W814" s="201" t="str">
        <f>IF(X$5=K$5,SUM(Y814:AI814)-SUM(L814:V814),"")</f>
        <v/>
      </c>
      <c r="X814" s="9" t="str">
        <f>LOWER(CtryCode)&amp;".distn."&amp;$A814&amp;IF($B814="","","."&amp;$B814)&amp;IF($C814="","",".dec."&amp;$C814)&amp;"."&amp;X$5</f>
        <v>egy.distn.dprk.p_c.2</v>
      </c>
      <c r="Y814" s="38">
        <f>RANK(Y748,Y$704:Y$767)+COUNTIF(Y$704:Y747,Y748)</f>
        <v>64.0</v>
      </c>
      <c r="Z814" s="39">
        <f t="shared" ref="Z814:AI814" si="1373">Y814</f>
        <v>64.0</v>
      </c>
      <c r="AA814" s="39">
        <f t="shared" si="1373"/>
        <v>64.0</v>
      </c>
      <c r="AB814" s="39">
        <f t="shared" si="1373"/>
        <v>64.0</v>
      </c>
      <c r="AC814" s="39">
        <f t="shared" si="1373"/>
        <v>64.0</v>
      </c>
      <c r="AD814" s="39">
        <f t="shared" si="1373"/>
        <v>64.0</v>
      </c>
      <c r="AE814" s="39">
        <f t="shared" si="1373"/>
        <v>64.0</v>
      </c>
      <c r="AF814" s="39">
        <f t="shared" si="1373"/>
        <v>64.0</v>
      </c>
      <c r="AG814" s="39">
        <f t="shared" si="1373"/>
        <v>64.0</v>
      </c>
      <c r="AH814" s="39">
        <f t="shared" si="1373"/>
        <v>64.0</v>
      </c>
      <c r="AI814" s="39">
        <f t="shared" si="1373"/>
        <v>64.0</v>
      </c>
    </row>
    <row r="815" hidden="1" outlineLevel="1">
      <c r="A815" s="44" t="inlineStr">
        <is>
          <t>dprk</t>
        </is>
      </c>
      <c r="B815" s="3" t="inlineStr">
        <is>
          <t>pcr</t>
        </is>
      </c>
      <c r="C815" s="3" t="inlineStr"/>
      <c r="D815" s="3" t="n"/>
      <c r="E815" s="3" t="n"/>
      <c r="H815" s="3" t="inlineStr">
        <is>
          <t>Processed Rice: rank</t>
        </is>
      </c>
      <c r="I815" s="3" t="inlineStr">
        <is>
          <t>rank</t>
        </is>
      </c>
      <c r="J815" s="118" t="inlineStr">
        <is>
          <t>legacy rows 3277-3279</t>
        </is>
      </c>
      <c r="K815" s="9" t="str">
        <f>LOWER(CtryCode)&amp;".distn."&amp;$A815&amp;IF($B815="","","."&amp;$B815)&amp;IF($C815="","",".dec."&amp;$C815)&amp;"."&amp;K$5</f>
        <v>egy.distn.dprk.pcr.1</v>
      </c>
      <c r="L815" s="38">
        <f>RANK(L749,L$704:L$767)+COUNTIF(L$704:L748,L749)</f>
        <v>46.0</v>
      </c>
      <c r="M815" s="39">
        <f t="shared" ref="M815:V815" si="1374">L815</f>
        <v>46.0</v>
      </c>
      <c r="N815" s="39">
        <f t="shared" si="1374"/>
        <v>46.0</v>
      </c>
      <c r="O815" s="39">
        <f t="shared" si="1374"/>
        <v>46.0</v>
      </c>
      <c r="P815" s="39">
        <f t="shared" si="1374"/>
        <v>46.0</v>
      </c>
      <c r="Q815" s="39">
        <f t="shared" si="1374"/>
        <v>46.0</v>
      </c>
      <c r="R815" s="39">
        <f t="shared" si="1374"/>
        <v>46.0</v>
      </c>
      <c r="S815" s="39">
        <f t="shared" si="1374"/>
        <v>46.0</v>
      </c>
      <c r="T815" s="39">
        <f t="shared" si="1374"/>
        <v>46.0</v>
      </c>
      <c r="U815" s="39">
        <f t="shared" si="1374"/>
        <v>46.0</v>
      </c>
      <c r="V815" s="39">
        <f t="shared" si="1374"/>
        <v>46.0</v>
      </c>
      <c r="W815" s="201" t="str">
        <f>IF(X$5=K$5,SUM(Y815:AI815)-SUM(L815:V815),"")</f>
        <v/>
      </c>
      <c r="X815" s="9" t="str">
        <f>LOWER(CtryCode)&amp;".distn."&amp;$A815&amp;IF($B815="","","."&amp;$B815)&amp;IF($C815="","",".dec."&amp;$C815)&amp;"."&amp;X$5</f>
        <v>egy.distn.dprk.pcr.2</v>
      </c>
      <c r="Y815" s="38">
        <f>RANK(Y749,Y$704:Y$767)+COUNTIF(Y$704:Y748,Y749)</f>
        <v>33.0</v>
      </c>
      <c r="Z815" s="39">
        <f t="shared" ref="Z815:AI815" si="1375">Y815</f>
        <v>33.0</v>
      </c>
      <c r="AA815" s="39">
        <f t="shared" si="1375"/>
        <v>33.0</v>
      </c>
      <c r="AB815" s="39">
        <f t="shared" si="1375"/>
        <v>33.0</v>
      </c>
      <c r="AC815" s="39">
        <f t="shared" si="1375"/>
        <v>33.0</v>
      </c>
      <c r="AD815" s="39">
        <f t="shared" si="1375"/>
        <v>33.0</v>
      </c>
      <c r="AE815" s="39">
        <f t="shared" si="1375"/>
        <v>33.0</v>
      </c>
      <c r="AF815" s="39">
        <f t="shared" si="1375"/>
        <v>33.0</v>
      </c>
      <c r="AG815" s="39">
        <f t="shared" si="1375"/>
        <v>33.0</v>
      </c>
      <c r="AH815" s="39">
        <f t="shared" si="1375"/>
        <v>33.0</v>
      </c>
      <c r="AI815" s="39">
        <f t="shared" si="1375"/>
        <v>33.0</v>
      </c>
    </row>
    <row r="816" hidden="1" outlineLevel="1">
      <c r="A816" s="44" t="inlineStr">
        <is>
          <t>dprk</t>
        </is>
      </c>
      <c r="B816" s="3" t="inlineStr">
        <is>
          <t>pdr</t>
        </is>
      </c>
      <c r="C816" s="3" t="inlineStr"/>
      <c r="D816" s="3" t="n"/>
      <c r="E816" s="3" t="n"/>
      <c r="H816" s="3" t="inlineStr">
        <is>
          <t>Rice: rank</t>
        </is>
      </c>
      <c r="I816" s="3" t="inlineStr">
        <is>
          <t>rank</t>
        </is>
      </c>
      <c r="J816" s="118" t="inlineStr">
        <is>
          <t>legacy rows 3277-3279</t>
        </is>
      </c>
      <c r="K816" s="9" t="str">
        <f>LOWER(CtryCode)&amp;".distn."&amp;$A816&amp;IF($B816="","","."&amp;$B816)&amp;IF($C816="","",".dec."&amp;$C816)&amp;"."&amp;K$5</f>
        <v>egy.distn.dprk.pdr.1</v>
      </c>
      <c r="L816" s="38">
        <f>RANK(L750,L$704:L$767)+COUNTIF(L$704:L749,L750)</f>
        <v>47.0</v>
      </c>
      <c r="M816" s="39">
        <f t="shared" ref="M816:V816" si="1376">L816</f>
        <v>47.0</v>
      </c>
      <c r="N816" s="39">
        <f t="shared" si="1376"/>
        <v>47.0</v>
      </c>
      <c r="O816" s="39">
        <f t="shared" si="1376"/>
        <v>47.0</v>
      </c>
      <c r="P816" s="39">
        <f t="shared" si="1376"/>
        <v>47.0</v>
      </c>
      <c r="Q816" s="39">
        <f t="shared" si="1376"/>
        <v>47.0</v>
      </c>
      <c r="R816" s="39">
        <f t="shared" si="1376"/>
        <v>47.0</v>
      </c>
      <c r="S816" s="39">
        <f t="shared" si="1376"/>
        <v>47.0</v>
      </c>
      <c r="T816" s="39">
        <f t="shared" si="1376"/>
        <v>47.0</v>
      </c>
      <c r="U816" s="39">
        <f t="shared" si="1376"/>
        <v>47.0</v>
      </c>
      <c r="V816" s="39">
        <f t="shared" si="1376"/>
        <v>47.0</v>
      </c>
      <c r="W816" s="201" t="str">
        <f>IF(X$5=K$5,SUM(Y816:AI816)-SUM(L816:V816),"")</f>
        <v/>
      </c>
      <c r="X816" s="9" t="str">
        <f>LOWER(CtryCode)&amp;".distn."&amp;$A816&amp;IF($B816="","","."&amp;$B816)&amp;IF($C816="","",".dec."&amp;$C816)&amp;"."&amp;X$5</f>
        <v>egy.distn.dprk.pdr.2</v>
      </c>
      <c r="Y816" s="38">
        <f>RANK(Y750,Y$704:Y$767)+COUNTIF(Y$704:Y749,Y750)</f>
        <v>43.0</v>
      </c>
      <c r="Z816" s="39">
        <f t="shared" ref="Z816:AI816" si="1377">Y816</f>
        <v>43.0</v>
      </c>
      <c r="AA816" s="39">
        <f t="shared" si="1377"/>
        <v>43.0</v>
      </c>
      <c r="AB816" s="39">
        <f t="shared" si="1377"/>
        <v>43.0</v>
      </c>
      <c r="AC816" s="39">
        <f t="shared" si="1377"/>
        <v>43.0</v>
      </c>
      <c r="AD816" s="39">
        <f t="shared" si="1377"/>
        <v>43.0</v>
      </c>
      <c r="AE816" s="39">
        <f t="shared" si="1377"/>
        <v>43.0</v>
      </c>
      <c r="AF816" s="39">
        <f t="shared" si="1377"/>
        <v>43.0</v>
      </c>
      <c r="AG816" s="39">
        <f t="shared" si="1377"/>
        <v>43.0</v>
      </c>
      <c r="AH816" s="39">
        <f t="shared" si="1377"/>
        <v>43.0</v>
      </c>
      <c r="AI816" s="39">
        <f t="shared" si="1377"/>
        <v>43.0</v>
      </c>
    </row>
    <row r="817" hidden="1" outlineLevel="1">
      <c r="A817" s="44" t="inlineStr">
        <is>
          <t>dprk</t>
        </is>
      </c>
      <c r="B817" s="3" t="inlineStr">
        <is>
          <t>pfb</t>
        </is>
      </c>
      <c r="C817" s="3" t="inlineStr"/>
      <c r="D817" s="3" t="n"/>
      <c r="E817" s="3" t="n"/>
      <c r="H817" s="3" t="inlineStr">
        <is>
          <t>Fibres crops: rank</t>
        </is>
      </c>
      <c r="I817" s="3" t="inlineStr">
        <is>
          <t>rank</t>
        </is>
      </c>
      <c r="J817" s="118" t="inlineStr">
        <is>
          <t>legacy rows 3277-3279</t>
        </is>
      </c>
      <c r="K817" s="9" t="str">
        <f>LOWER(CtryCode)&amp;".distn."&amp;$A817&amp;IF($B817="","","."&amp;$B817)&amp;IF($C817="","",".dec."&amp;$C817)&amp;"."&amp;K$5</f>
        <v>egy.distn.dprk.pfb.1</v>
      </c>
      <c r="L817" s="38">
        <f>RANK(L751,L$704:L$767)+COUNTIF(L$704:L750,L751)</f>
        <v>48.0</v>
      </c>
      <c r="M817" s="39">
        <f t="shared" ref="M817:V817" si="1378">L817</f>
        <v>48.0</v>
      </c>
      <c r="N817" s="39">
        <f t="shared" si="1378"/>
        <v>48.0</v>
      </c>
      <c r="O817" s="39">
        <f t="shared" si="1378"/>
        <v>48.0</v>
      </c>
      <c r="P817" s="39">
        <f t="shared" si="1378"/>
        <v>48.0</v>
      </c>
      <c r="Q817" s="39">
        <f t="shared" si="1378"/>
        <v>48.0</v>
      </c>
      <c r="R817" s="39">
        <f t="shared" si="1378"/>
        <v>48.0</v>
      </c>
      <c r="S817" s="39">
        <f t="shared" si="1378"/>
        <v>48.0</v>
      </c>
      <c r="T817" s="39">
        <f t="shared" si="1378"/>
        <v>48.0</v>
      </c>
      <c r="U817" s="39">
        <f t="shared" si="1378"/>
        <v>48.0</v>
      </c>
      <c r="V817" s="39">
        <f t="shared" si="1378"/>
        <v>48.0</v>
      </c>
      <c r="W817" s="201" t="str">
        <f>IF(X$5=K$5,SUM(Y817:AI817)-SUM(L817:V817),"")</f>
        <v/>
      </c>
      <c r="X817" s="9" t="str">
        <f>LOWER(CtryCode)&amp;".distn."&amp;$A817&amp;IF($B817="","","."&amp;$B817)&amp;IF($C817="","",".dec."&amp;$C817)&amp;"."&amp;X$5</f>
        <v>egy.distn.dprk.pfb.2</v>
      </c>
      <c r="Y817" s="38">
        <f>RANK(Y751,Y$704:Y$767)+COUNTIF(Y$704:Y750,Y751)</f>
        <v>11.0</v>
      </c>
      <c r="Z817" s="39">
        <f t="shared" ref="Z817:AI817" si="1379">Y817</f>
        <v>11.0</v>
      </c>
      <c r="AA817" s="39">
        <f t="shared" si="1379"/>
        <v>11.0</v>
      </c>
      <c r="AB817" s="39">
        <f t="shared" si="1379"/>
        <v>11.0</v>
      </c>
      <c r="AC817" s="39">
        <f t="shared" si="1379"/>
        <v>11.0</v>
      </c>
      <c r="AD817" s="39">
        <f t="shared" si="1379"/>
        <v>11.0</v>
      </c>
      <c r="AE817" s="39">
        <f t="shared" si="1379"/>
        <v>11.0</v>
      </c>
      <c r="AF817" s="39">
        <f t="shared" si="1379"/>
        <v>11.0</v>
      </c>
      <c r="AG817" s="39">
        <f t="shared" si="1379"/>
        <v>11.0</v>
      </c>
      <c r="AH817" s="39">
        <f t="shared" si="1379"/>
        <v>11.0</v>
      </c>
      <c r="AI817" s="39">
        <f t="shared" si="1379"/>
        <v>11.0</v>
      </c>
    </row>
    <row r="818" hidden="1" outlineLevel="1">
      <c r="A818" s="44" t="inlineStr">
        <is>
          <t>dprk</t>
        </is>
      </c>
      <c r="B818" s="3" t="inlineStr">
        <is>
          <t>ppp</t>
        </is>
      </c>
      <c r="C818" s="3" t="inlineStr"/>
      <c r="D818" s="3" t="n"/>
      <c r="E818" s="3" t="n"/>
      <c r="H818" s="3" t="inlineStr">
        <is>
          <t>Paper: rank</t>
        </is>
      </c>
      <c r="I818" s="3" t="inlineStr">
        <is>
          <t>rank</t>
        </is>
      </c>
      <c r="J818" s="118" t="inlineStr">
        <is>
          <t>legacy rows 3277-3279</t>
        </is>
      </c>
      <c r="K818" s="9" t="str">
        <f>LOWER(CtryCode)&amp;".distn."&amp;$A818&amp;IF($B818="","","."&amp;$B818)&amp;IF($C818="","",".dec."&amp;$C818)&amp;"."&amp;K$5</f>
        <v>egy.distn.dprk.ppp.1</v>
      </c>
      <c r="L818" s="38">
        <f>RANK(L752,L$704:L$767)+COUNTIF(L$704:L751,L752)</f>
        <v>49.0</v>
      </c>
      <c r="M818" s="39">
        <f t="shared" ref="M818:V818" si="1380">L818</f>
        <v>49.0</v>
      </c>
      <c r="N818" s="39">
        <f t="shared" si="1380"/>
        <v>49.0</v>
      </c>
      <c r="O818" s="39">
        <f t="shared" si="1380"/>
        <v>49.0</v>
      </c>
      <c r="P818" s="39">
        <f t="shared" si="1380"/>
        <v>49.0</v>
      </c>
      <c r="Q818" s="39">
        <f t="shared" si="1380"/>
        <v>49.0</v>
      </c>
      <c r="R818" s="39">
        <f t="shared" si="1380"/>
        <v>49.0</v>
      </c>
      <c r="S818" s="39">
        <f t="shared" si="1380"/>
        <v>49.0</v>
      </c>
      <c r="T818" s="39">
        <f t="shared" si="1380"/>
        <v>49.0</v>
      </c>
      <c r="U818" s="39">
        <f t="shared" si="1380"/>
        <v>49.0</v>
      </c>
      <c r="V818" s="39">
        <f t="shared" si="1380"/>
        <v>49.0</v>
      </c>
      <c r="W818" s="201" t="str">
        <f>IF(X$5=K$5,SUM(Y818:AI818)-SUM(L818:V818),"")</f>
        <v/>
      </c>
      <c r="X818" s="9" t="str">
        <f>LOWER(CtryCode)&amp;".distn."&amp;$A818&amp;IF($B818="","","."&amp;$B818)&amp;IF($C818="","",".dec."&amp;$C818)&amp;"."&amp;X$5</f>
        <v>egy.distn.dprk.ppp.2</v>
      </c>
      <c r="Y818" s="38">
        <f>RANK(Y752,Y$704:Y$767)+COUNTIF(Y$704:Y751,Y752)</f>
        <v>12.0</v>
      </c>
      <c r="Z818" s="39">
        <f t="shared" ref="Z818:AI818" si="1381">Y818</f>
        <v>12.0</v>
      </c>
      <c r="AA818" s="39">
        <f t="shared" si="1381"/>
        <v>12.0</v>
      </c>
      <c r="AB818" s="39">
        <f t="shared" si="1381"/>
        <v>12.0</v>
      </c>
      <c r="AC818" s="39">
        <f t="shared" si="1381"/>
        <v>12.0</v>
      </c>
      <c r="AD818" s="39">
        <f t="shared" si="1381"/>
        <v>12.0</v>
      </c>
      <c r="AE818" s="39">
        <f t="shared" si="1381"/>
        <v>12.0</v>
      </c>
      <c r="AF818" s="39">
        <f t="shared" si="1381"/>
        <v>12.0</v>
      </c>
      <c r="AG818" s="39">
        <f t="shared" si="1381"/>
        <v>12.0</v>
      </c>
      <c r="AH818" s="39">
        <f t="shared" si="1381"/>
        <v>12.0</v>
      </c>
      <c r="AI818" s="39">
        <f t="shared" si="1381"/>
        <v>12.0</v>
      </c>
    </row>
    <row r="819" hidden="1" outlineLevel="1">
      <c r="A819" s="44" t="inlineStr">
        <is>
          <t>dprk</t>
        </is>
      </c>
      <c r="B819" s="3" t="inlineStr">
        <is>
          <t>rmk</t>
        </is>
      </c>
      <c r="C819" s="3" t="inlineStr"/>
      <c r="D819" s="3" t="n"/>
      <c r="E819" s="3" t="n"/>
      <c r="H819" s="3" t="inlineStr">
        <is>
          <t>Raw milk: rank</t>
        </is>
      </c>
      <c r="I819" s="3" t="inlineStr">
        <is>
          <t>rank</t>
        </is>
      </c>
      <c r="J819" s="118" t="inlineStr">
        <is>
          <t>legacy rows 3277-3279</t>
        </is>
      </c>
      <c r="K819" s="9" t="str">
        <f>LOWER(CtryCode)&amp;".distn."&amp;$A819&amp;IF($B819="","","."&amp;$B819)&amp;IF($C819="","",".dec."&amp;$C819)&amp;"."&amp;K$5</f>
        <v>egy.distn.dprk.rmk.1</v>
      </c>
      <c r="L819" s="38">
        <f>RANK(L753,L$704:L$767)+COUNTIF(L$704:L752,L753)</f>
        <v>50.0</v>
      </c>
      <c r="M819" s="39">
        <f t="shared" ref="M819:V819" si="1382">L819</f>
        <v>50.0</v>
      </c>
      <c r="N819" s="39">
        <f t="shared" si="1382"/>
        <v>50.0</v>
      </c>
      <c r="O819" s="39">
        <f t="shared" si="1382"/>
        <v>50.0</v>
      </c>
      <c r="P819" s="39">
        <f t="shared" si="1382"/>
        <v>50.0</v>
      </c>
      <c r="Q819" s="39">
        <f t="shared" si="1382"/>
        <v>50.0</v>
      </c>
      <c r="R819" s="39">
        <f t="shared" si="1382"/>
        <v>50.0</v>
      </c>
      <c r="S819" s="39">
        <f t="shared" si="1382"/>
        <v>50.0</v>
      </c>
      <c r="T819" s="39">
        <f t="shared" si="1382"/>
        <v>50.0</v>
      </c>
      <c r="U819" s="39">
        <f t="shared" si="1382"/>
        <v>50.0</v>
      </c>
      <c r="V819" s="39">
        <f t="shared" si="1382"/>
        <v>50.0</v>
      </c>
      <c r="W819" s="201" t="str">
        <f>IF(X$5=K$5,SUM(Y819:AI819)-SUM(L819:V819),"")</f>
        <v/>
      </c>
      <c r="X819" s="9" t="str">
        <f>LOWER(CtryCode)&amp;".distn."&amp;$A819&amp;IF($B819="","","."&amp;$B819)&amp;IF($C819="","",".dec."&amp;$C819)&amp;"."&amp;X$5</f>
        <v>egy.distn.dprk.rmk.2</v>
      </c>
      <c r="Y819" s="38">
        <f>RANK(Y753,Y$704:Y$767)+COUNTIF(Y$704:Y752,Y753)</f>
        <v>36.0</v>
      </c>
      <c r="Z819" s="39">
        <f t="shared" ref="Z819:AI819" si="1383">Y819</f>
        <v>36.0</v>
      </c>
      <c r="AA819" s="39">
        <f t="shared" si="1383"/>
        <v>36.0</v>
      </c>
      <c r="AB819" s="39">
        <f t="shared" si="1383"/>
        <v>36.0</v>
      </c>
      <c r="AC819" s="39">
        <f t="shared" si="1383"/>
        <v>36.0</v>
      </c>
      <c r="AD819" s="39">
        <f t="shared" si="1383"/>
        <v>36.0</v>
      </c>
      <c r="AE819" s="39">
        <f t="shared" si="1383"/>
        <v>36.0</v>
      </c>
      <c r="AF819" s="39">
        <f t="shared" si="1383"/>
        <v>36.0</v>
      </c>
      <c r="AG819" s="39">
        <f t="shared" si="1383"/>
        <v>36.0</v>
      </c>
      <c r="AH819" s="39">
        <f t="shared" si="1383"/>
        <v>36.0</v>
      </c>
      <c r="AI819" s="39">
        <f t="shared" si="1383"/>
        <v>36.0</v>
      </c>
    </row>
    <row r="820" hidden="1" outlineLevel="1">
      <c r="A820" s="44" t="inlineStr">
        <is>
          <t>dprk</t>
        </is>
      </c>
      <c r="B820" s="3" t="inlineStr">
        <is>
          <t>ros</t>
        </is>
      </c>
      <c r="C820" s="3" t="inlineStr"/>
      <c r="D820" s="3" t="n"/>
      <c r="E820" s="3" t="n"/>
      <c r="H820" s="3" t="inlineStr">
        <is>
          <t>Recreation: rank</t>
        </is>
      </c>
      <c r="I820" s="3" t="inlineStr">
        <is>
          <t>rank</t>
        </is>
      </c>
      <c r="J820" s="118" t="inlineStr">
        <is>
          <t>legacy rows 3277-3279</t>
        </is>
      </c>
      <c r="K820" s="9" t="str">
        <f>LOWER(CtryCode)&amp;".distn."&amp;$A820&amp;IF($B820="","","."&amp;$B820)&amp;IF($C820="","",".dec."&amp;$C820)&amp;"."&amp;K$5</f>
        <v>egy.distn.dprk.ros.1</v>
      </c>
      <c r="L820" s="38">
        <f>RANK(L754,L$704:L$767)+COUNTIF(L$704:L753,L754)</f>
        <v>51.0</v>
      </c>
      <c r="M820" s="39">
        <f t="shared" ref="M820:V820" si="1384">L820</f>
        <v>51.0</v>
      </c>
      <c r="N820" s="39">
        <f t="shared" si="1384"/>
        <v>51.0</v>
      </c>
      <c r="O820" s="39">
        <f t="shared" si="1384"/>
        <v>51.0</v>
      </c>
      <c r="P820" s="39">
        <f t="shared" si="1384"/>
        <v>51.0</v>
      </c>
      <c r="Q820" s="39">
        <f t="shared" si="1384"/>
        <v>51.0</v>
      </c>
      <c r="R820" s="39">
        <f t="shared" si="1384"/>
        <v>51.0</v>
      </c>
      <c r="S820" s="39">
        <f t="shared" si="1384"/>
        <v>51.0</v>
      </c>
      <c r="T820" s="39">
        <f t="shared" si="1384"/>
        <v>51.0</v>
      </c>
      <c r="U820" s="39">
        <f t="shared" si="1384"/>
        <v>51.0</v>
      </c>
      <c r="V820" s="39">
        <f t="shared" si="1384"/>
        <v>51.0</v>
      </c>
      <c r="W820" s="201" t="str">
        <f>IF(X$5=K$5,SUM(Y820:AI820)-SUM(L820:V820),"")</f>
        <v/>
      </c>
      <c r="X820" s="9" t="str">
        <f>LOWER(CtryCode)&amp;".distn."&amp;$A820&amp;IF($B820="","","."&amp;$B820)&amp;IF($C820="","",".dec."&amp;$C820)&amp;"."&amp;X$5</f>
        <v>egy.distn.dprk.ros.2</v>
      </c>
      <c r="Y820" s="38">
        <f>RANK(Y754,Y$704:Y$767)+COUNTIF(Y$704:Y753,Y754)</f>
        <v>41.0</v>
      </c>
      <c r="Z820" s="39">
        <f t="shared" ref="Z820:AI820" si="1385">Y820</f>
        <v>41.0</v>
      </c>
      <c r="AA820" s="39">
        <f t="shared" si="1385"/>
        <v>41.0</v>
      </c>
      <c r="AB820" s="39">
        <f t="shared" si="1385"/>
        <v>41.0</v>
      </c>
      <c r="AC820" s="39">
        <f t="shared" si="1385"/>
        <v>41.0</v>
      </c>
      <c r="AD820" s="39">
        <f t="shared" si="1385"/>
        <v>41.0</v>
      </c>
      <c r="AE820" s="39">
        <f t="shared" si="1385"/>
        <v>41.0</v>
      </c>
      <c r="AF820" s="39">
        <f t="shared" si="1385"/>
        <v>41.0</v>
      </c>
      <c r="AG820" s="39">
        <f t="shared" si="1385"/>
        <v>41.0</v>
      </c>
      <c r="AH820" s="39">
        <f t="shared" si="1385"/>
        <v>41.0</v>
      </c>
      <c r="AI820" s="39">
        <f t="shared" si="1385"/>
        <v>41.0</v>
      </c>
    </row>
    <row r="821" hidden="1" outlineLevel="1">
      <c r="A821" s="44" t="inlineStr">
        <is>
          <t>dprk</t>
        </is>
      </c>
      <c r="B821" s="3" t="inlineStr">
        <is>
          <t>rpp</t>
        </is>
      </c>
      <c r="C821" s="3" t="inlineStr"/>
      <c r="D821" s="3" t="n"/>
      <c r="E821" s="3" t="n"/>
      <c r="H821" s="3" t="inlineStr">
        <is>
          <t>Rubber &amp; plastics: rank</t>
        </is>
      </c>
      <c r="I821" s="3" t="inlineStr">
        <is>
          <t>rank</t>
        </is>
      </c>
      <c r="J821" s="118" t="inlineStr">
        <is>
          <t>legacy rows 3277-3279</t>
        </is>
      </c>
      <c r="K821" s="9" t="str">
        <f>LOWER(CtryCode)&amp;".distn."&amp;$A821&amp;IF($B821="","","."&amp;$B821)&amp;IF($C821="","",".dec."&amp;$C821)&amp;"."&amp;K$5</f>
        <v>egy.distn.dprk.rpp.1</v>
      </c>
      <c r="L821" s="38">
        <f>RANK(L755,L$704:L$767)+COUNTIF(L$704:L754,L755)</f>
        <v>52.0</v>
      </c>
      <c r="M821" s="39">
        <f t="shared" ref="M821:V821" si="1386">L821</f>
        <v>52.0</v>
      </c>
      <c r="N821" s="39">
        <f t="shared" si="1386"/>
        <v>52.0</v>
      </c>
      <c r="O821" s="39">
        <f t="shared" si="1386"/>
        <v>52.0</v>
      </c>
      <c r="P821" s="39">
        <f t="shared" si="1386"/>
        <v>52.0</v>
      </c>
      <c r="Q821" s="39">
        <f t="shared" si="1386"/>
        <v>52.0</v>
      </c>
      <c r="R821" s="39">
        <f t="shared" si="1386"/>
        <v>52.0</v>
      </c>
      <c r="S821" s="39">
        <f t="shared" si="1386"/>
        <v>52.0</v>
      </c>
      <c r="T821" s="39">
        <f t="shared" si="1386"/>
        <v>52.0</v>
      </c>
      <c r="U821" s="39">
        <f t="shared" si="1386"/>
        <v>52.0</v>
      </c>
      <c r="V821" s="39">
        <f t="shared" si="1386"/>
        <v>52.0</v>
      </c>
      <c r="W821" s="201" t="str">
        <f>IF(X$5=K$5,SUM(Y821:AI821)-SUM(L821:V821),"")</f>
        <v/>
      </c>
      <c r="X821" s="9" t="str">
        <f>LOWER(CtryCode)&amp;".distn."&amp;$A821&amp;IF($B821="","","."&amp;$B821)&amp;IF($C821="","",".dec."&amp;$C821)&amp;"."&amp;X$5</f>
        <v>egy.distn.dprk.rpp.2</v>
      </c>
      <c r="Y821" s="38">
        <f>RANK(Y755,Y$704:Y$767)+COUNTIF(Y$704:Y754,Y755)</f>
        <v>9.0</v>
      </c>
      <c r="Z821" s="39">
        <f t="shared" ref="Z821:AI821" si="1387">Y821</f>
        <v>9.0</v>
      </c>
      <c r="AA821" s="39">
        <f t="shared" si="1387"/>
        <v>9.0</v>
      </c>
      <c r="AB821" s="39">
        <f t="shared" si="1387"/>
        <v>9.0</v>
      </c>
      <c r="AC821" s="39">
        <f t="shared" si="1387"/>
        <v>9.0</v>
      </c>
      <c r="AD821" s="39">
        <f t="shared" si="1387"/>
        <v>9.0</v>
      </c>
      <c r="AE821" s="39">
        <f t="shared" si="1387"/>
        <v>9.0</v>
      </c>
      <c r="AF821" s="39">
        <f t="shared" si="1387"/>
        <v>9.0</v>
      </c>
      <c r="AG821" s="39">
        <f t="shared" si="1387"/>
        <v>9.0</v>
      </c>
      <c r="AH821" s="39">
        <f t="shared" si="1387"/>
        <v>9.0</v>
      </c>
      <c r="AI821" s="39">
        <f t="shared" si="1387"/>
        <v>9.0</v>
      </c>
    </row>
    <row r="822" hidden="1" outlineLevel="1">
      <c r="A822" s="44" t="inlineStr">
        <is>
          <t>dprk</t>
        </is>
      </c>
      <c r="B822" s="3" t="inlineStr">
        <is>
          <t>rsa</t>
        </is>
      </c>
      <c r="C822" s="3" t="inlineStr"/>
      <c r="D822" s="3" t="n"/>
      <c r="E822" s="3" t="n"/>
      <c r="H822" s="3" t="inlineStr">
        <is>
          <t>Real estate activities: rank</t>
        </is>
      </c>
      <c r="I822" s="3" t="inlineStr">
        <is>
          <t>rank</t>
        </is>
      </c>
      <c r="J822" s="118" t="inlineStr">
        <is>
          <t>legacy rows 3277-3279</t>
        </is>
      </c>
      <c r="K822" s="9" t="str">
        <f>LOWER(CtryCode)&amp;".distn."&amp;$A822&amp;IF($B822="","","."&amp;$B822)&amp;IF($C822="","",".dec."&amp;$C822)&amp;"."&amp;K$5</f>
        <v>egy.distn.dprk.rsa.1</v>
      </c>
      <c r="L822" s="38">
        <f>RANK(L756,L$704:L$767)+COUNTIF(L$704:L755,L756)</f>
        <v>53.0</v>
      </c>
      <c r="M822" s="39">
        <f t="shared" ref="M822:V822" si="1388">L822</f>
        <v>53.0</v>
      </c>
      <c r="N822" s="39">
        <f t="shared" si="1388"/>
        <v>53.0</v>
      </c>
      <c r="O822" s="39">
        <f t="shared" si="1388"/>
        <v>53.0</v>
      </c>
      <c r="P822" s="39">
        <f t="shared" si="1388"/>
        <v>53.0</v>
      </c>
      <c r="Q822" s="39">
        <f t="shared" si="1388"/>
        <v>53.0</v>
      </c>
      <c r="R822" s="39">
        <f t="shared" si="1388"/>
        <v>53.0</v>
      </c>
      <c r="S822" s="39">
        <f t="shared" si="1388"/>
        <v>53.0</v>
      </c>
      <c r="T822" s="39">
        <f t="shared" si="1388"/>
        <v>53.0</v>
      </c>
      <c r="U822" s="39">
        <f t="shared" si="1388"/>
        <v>53.0</v>
      </c>
      <c r="V822" s="39">
        <f t="shared" si="1388"/>
        <v>53.0</v>
      </c>
      <c r="W822" s="201" t="str">
        <f>IF(X$5=K$5,SUM(Y822:AI822)-SUM(L822:V822),"")</f>
        <v/>
      </c>
      <c r="X822" s="9" t="str">
        <f>LOWER(CtryCode)&amp;".distn."&amp;$A822&amp;IF($B822="","","."&amp;$B822)&amp;IF($C822="","",".dec."&amp;$C822)&amp;"."&amp;X$5</f>
        <v>egy.distn.dprk.rsa.2</v>
      </c>
      <c r="Y822" s="38">
        <f>RANK(Y756,Y$704:Y$767)+COUNTIF(Y$704:Y755,Y756)</f>
        <v>52.0</v>
      </c>
      <c r="Z822" s="39">
        <f t="shared" ref="Z822:AI822" si="1389">Y822</f>
        <v>52.0</v>
      </c>
      <c r="AA822" s="39">
        <f t="shared" si="1389"/>
        <v>52.0</v>
      </c>
      <c r="AB822" s="39">
        <f t="shared" si="1389"/>
        <v>52.0</v>
      </c>
      <c r="AC822" s="39">
        <f t="shared" si="1389"/>
        <v>52.0</v>
      </c>
      <c r="AD822" s="39">
        <f t="shared" si="1389"/>
        <v>52.0</v>
      </c>
      <c r="AE822" s="39">
        <f t="shared" si="1389"/>
        <v>52.0</v>
      </c>
      <c r="AF822" s="39">
        <f t="shared" si="1389"/>
        <v>52.0</v>
      </c>
      <c r="AG822" s="39">
        <f t="shared" si="1389"/>
        <v>52.0</v>
      </c>
      <c r="AH822" s="39">
        <f t="shared" si="1389"/>
        <v>52.0</v>
      </c>
      <c r="AI822" s="39">
        <f t="shared" si="1389"/>
        <v>52.0</v>
      </c>
    </row>
    <row r="823" hidden="1" outlineLevel="1">
      <c r="A823" s="44" t="inlineStr">
        <is>
          <t>dprk</t>
        </is>
      </c>
      <c r="B823" s="3" t="inlineStr">
        <is>
          <t>sgr</t>
        </is>
      </c>
      <c r="C823" s="3" t="inlineStr"/>
      <c r="D823" s="3" t="n"/>
      <c r="E823" s="3" t="n"/>
      <c r="H823" s="3" t="inlineStr">
        <is>
          <t>Sugar and molasses: rank</t>
        </is>
      </c>
      <c r="I823" s="3" t="inlineStr">
        <is>
          <t>rank</t>
        </is>
      </c>
      <c r="J823" s="118" t="inlineStr">
        <is>
          <t>legacy rows 3277-3279</t>
        </is>
      </c>
      <c r="K823" s="9" t="str">
        <f>LOWER(CtryCode)&amp;".distn."&amp;$A823&amp;IF($B823="","","."&amp;$B823)&amp;IF($C823="","",".dec."&amp;$C823)&amp;"."&amp;K$5</f>
        <v>egy.distn.dprk.sgr.1</v>
      </c>
      <c r="L823" s="38">
        <f>RANK(L757,L$704:L$767)+COUNTIF(L$704:L756,L757)</f>
        <v>54.0</v>
      </c>
      <c r="M823" s="39">
        <f t="shared" ref="M823:V823" si="1390">L823</f>
        <v>54.0</v>
      </c>
      <c r="N823" s="39">
        <f t="shared" si="1390"/>
        <v>54.0</v>
      </c>
      <c r="O823" s="39">
        <f t="shared" si="1390"/>
        <v>54.0</v>
      </c>
      <c r="P823" s="39">
        <f t="shared" si="1390"/>
        <v>54.0</v>
      </c>
      <c r="Q823" s="39">
        <f t="shared" si="1390"/>
        <v>54.0</v>
      </c>
      <c r="R823" s="39">
        <f t="shared" si="1390"/>
        <v>54.0</v>
      </c>
      <c r="S823" s="39">
        <f t="shared" si="1390"/>
        <v>54.0</v>
      </c>
      <c r="T823" s="39">
        <f t="shared" si="1390"/>
        <v>54.0</v>
      </c>
      <c r="U823" s="39">
        <f t="shared" si="1390"/>
        <v>54.0</v>
      </c>
      <c r="V823" s="39">
        <f t="shared" si="1390"/>
        <v>54.0</v>
      </c>
      <c r="W823" s="201" t="str">
        <f>IF(X$5=K$5,SUM(Y823:AI823)-SUM(L823:V823),"")</f>
        <v/>
      </c>
      <c r="X823" s="9" t="str">
        <f>LOWER(CtryCode)&amp;".distn."&amp;$A823&amp;IF($B823="","","."&amp;$B823)&amp;IF($C823="","",".dec."&amp;$C823)&amp;"."&amp;X$5</f>
        <v>egy.distn.dprk.sgr.2</v>
      </c>
      <c r="Y823" s="38">
        <f>RANK(Y757,Y$704:Y$767)+COUNTIF(Y$704:Y756,Y757)</f>
        <v>24.0</v>
      </c>
      <c r="Z823" s="39">
        <f t="shared" ref="Z823:AI823" si="1391">Y823</f>
        <v>24.0</v>
      </c>
      <c r="AA823" s="39">
        <f t="shared" si="1391"/>
        <v>24.0</v>
      </c>
      <c r="AB823" s="39">
        <f t="shared" si="1391"/>
        <v>24.0</v>
      </c>
      <c r="AC823" s="39">
        <f t="shared" si="1391"/>
        <v>24.0</v>
      </c>
      <c r="AD823" s="39">
        <f t="shared" si="1391"/>
        <v>24.0</v>
      </c>
      <c r="AE823" s="39">
        <f t="shared" si="1391"/>
        <v>24.0</v>
      </c>
      <c r="AF823" s="39">
        <f t="shared" si="1391"/>
        <v>24.0</v>
      </c>
      <c r="AG823" s="39">
        <f t="shared" si="1391"/>
        <v>24.0</v>
      </c>
      <c r="AH823" s="39">
        <f t="shared" si="1391"/>
        <v>24.0</v>
      </c>
      <c r="AI823" s="39">
        <f t="shared" si="1391"/>
        <v>24.0</v>
      </c>
    </row>
    <row r="824" hidden="1" outlineLevel="1">
      <c r="A824" s="44" t="inlineStr">
        <is>
          <t>dprk</t>
        </is>
      </c>
      <c r="B824" s="3" t="inlineStr">
        <is>
          <t>tex</t>
        </is>
      </c>
      <c r="C824" s="3" t="inlineStr"/>
      <c r="D824" s="3" t="n"/>
      <c r="E824" s="3" t="n"/>
      <c r="H824" s="3" t="inlineStr">
        <is>
          <t>Textiles: rank</t>
        </is>
      </c>
      <c r="I824" s="3" t="inlineStr">
        <is>
          <t>rank</t>
        </is>
      </c>
      <c r="J824" s="118" t="inlineStr">
        <is>
          <t>legacy rows 3277-3279</t>
        </is>
      </c>
      <c r="K824" s="9" t="str">
        <f>LOWER(CtryCode)&amp;".distn."&amp;$A824&amp;IF($B824="","","."&amp;$B824)&amp;IF($C824="","",".dec."&amp;$C824)&amp;"."&amp;K$5</f>
        <v>egy.distn.dprk.tex.1</v>
      </c>
      <c r="L824" s="38">
        <f>RANK(L758,L$704:L$767)+COUNTIF(L$704:L757,L758)</f>
        <v>55.0</v>
      </c>
      <c r="M824" s="39">
        <f t="shared" ref="M824:V824" si="1392">L824</f>
        <v>55.0</v>
      </c>
      <c r="N824" s="39">
        <f t="shared" si="1392"/>
        <v>55.0</v>
      </c>
      <c r="O824" s="39">
        <f t="shared" si="1392"/>
        <v>55.0</v>
      </c>
      <c r="P824" s="39">
        <f t="shared" si="1392"/>
        <v>55.0</v>
      </c>
      <c r="Q824" s="39">
        <f t="shared" si="1392"/>
        <v>55.0</v>
      </c>
      <c r="R824" s="39">
        <f t="shared" si="1392"/>
        <v>55.0</v>
      </c>
      <c r="S824" s="39">
        <f t="shared" si="1392"/>
        <v>55.0</v>
      </c>
      <c r="T824" s="39">
        <f t="shared" si="1392"/>
        <v>55.0</v>
      </c>
      <c r="U824" s="39">
        <f t="shared" si="1392"/>
        <v>55.0</v>
      </c>
      <c r="V824" s="39">
        <f t="shared" si="1392"/>
        <v>55.0</v>
      </c>
      <c r="W824" s="201" t="str">
        <f>IF(X$5=K$5,SUM(Y824:AI824)-SUM(L824:V824),"")</f>
        <v/>
      </c>
      <c r="X824" s="9" t="str">
        <f>LOWER(CtryCode)&amp;".distn."&amp;$A824&amp;IF($B824="","","."&amp;$B824)&amp;IF($C824="","",".dec."&amp;$C824)&amp;"."&amp;X$5</f>
        <v>egy.distn.dprk.tex.2</v>
      </c>
      <c r="Y824" s="38">
        <f>RANK(Y758,Y$704:Y$767)+COUNTIF(Y$704:Y757,Y758)</f>
        <v>30.0</v>
      </c>
      <c r="Z824" s="39">
        <f t="shared" ref="Z824:AI824" si="1393">Y824</f>
        <v>30.0</v>
      </c>
      <c r="AA824" s="39">
        <f t="shared" si="1393"/>
        <v>30.0</v>
      </c>
      <c r="AB824" s="39">
        <f t="shared" si="1393"/>
        <v>30.0</v>
      </c>
      <c r="AC824" s="39">
        <f t="shared" si="1393"/>
        <v>30.0</v>
      </c>
      <c r="AD824" s="39">
        <f t="shared" si="1393"/>
        <v>30.0</v>
      </c>
      <c r="AE824" s="39">
        <f t="shared" si="1393"/>
        <v>30.0</v>
      </c>
      <c r="AF824" s="39">
        <f t="shared" si="1393"/>
        <v>30.0</v>
      </c>
      <c r="AG824" s="39">
        <f t="shared" si="1393"/>
        <v>30.0</v>
      </c>
      <c r="AH824" s="39">
        <f t="shared" si="1393"/>
        <v>30.0</v>
      </c>
      <c r="AI824" s="39">
        <f t="shared" si="1393"/>
        <v>30.0</v>
      </c>
    </row>
    <row r="825" hidden="1" outlineLevel="1">
      <c r="A825" s="44" t="inlineStr">
        <is>
          <t>dprk</t>
        </is>
      </c>
      <c r="B825" s="3" t="inlineStr">
        <is>
          <t>trd</t>
        </is>
      </c>
      <c r="C825" s="3" t="inlineStr"/>
      <c r="D825" s="3" t="n"/>
      <c r="E825" s="3" t="n"/>
      <c r="H825" s="3" t="inlineStr">
        <is>
          <t>Vehicles repair: rank</t>
        </is>
      </c>
      <c r="I825" s="3" t="inlineStr">
        <is>
          <t>rank</t>
        </is>
      </c>
      <c r="J825" s="118" t="inlineStr">
        <is>
          <t>legacy rows 3277-3279</t>
        </is>
      </c>
      <c r="K825" s="9" t="str">
        <f>LOWER(CtryCode)&amp;".distn."&amp;$A825&amp;IF($B825="","","."&amp;$B825)&amp;IF($C825="","",".dec."&amp;$C825)&amp;"."&amp;K$5</f>
        <v>egy.distn.dprk.trd.1</v>
      </c>
      <c r="L825" s="38">
        <f>RANK(L759,L$704:L$767)+COUNTIF(L$704:L758,L759)</f>
        <v>56.0</v>
      </c>
      <c r="M825" s="39">
        <f t="shared" ref="M825:V825" si="1394">L825</f>
        <v>56.0</v>
      </c>
      <c r="N825" s="39">
        <f t="shared" si="1394"/>
        <v>56.0</v>
      </c>
      <c r="O825" s="39">
        <f t="shared" si="1394"/>
        <v>56.0</v>
      </c>
      <c r="P825" s="39">
        <f t="shared" si="1394"/>
        <v>56.0</v>
      </c>
      <c r="Q825" s="39">
        <f t="shared" si="1394"/>
        <v>56.0</v>
      </c>
      <c r="R825" s="39">
        <f t="shared" si="1394"/>
        <v>56.0</v>
      </c>
      <c r="S825" s="39">
        <f t="shared" si="1394"/>
        <v>56.0</v>
      </c>
      <c r="T825" s="39">
        <f t="shared" si="1394"/>
        <v>56.0</v>
      </c>
      <c r="U825" s="39">
        <f t="shared" si="1394"/>
        <v>56.0</v>
      </c>
      <c r="V825" s="39">
        <f t="shared" si="1394"/>
        <v>56.0</v>
      </c>
      <c r="W825" s="201" t="str">
        <f>IF(X$5=K$5,SUM(Y825:AI825)-SUM(L825:V825),"")</f>
        <v/>
      </c>
      <c r="X825" s="9" t="str">
        <f>LOWER(CtryCode)&amp;".distn."&amp;$A825&amp;IF($B825="","","."&amp;$B825)&amp;IF($C825="","",".dec."&amp;$C825)&amp;"."&amp;X$5</f>
        <v>egy.distn.dprk.trd.2</v>
      </c>
      <c r="Y825" s="38">
        <f>RANK(Y759,Y$704:Y$767)+COUNTIF(Y$704:Y758,Y759)</f>
        <v>47.0</v>
      </c>
      <c r="Z825" s="39">
        <f t="shared" ref="Z825:AI825" si="1395">Y825</f>
        <v>47.0</v>
      </c>
      <c r="AA825" s="39">
        <f t="shared" si="1395"/>
        <v>47.0</v>
      </c>
      <c r="AB825" s="39">
        <f t="shared" si="1395"/>
        <v>47.0</v>
      </c>
      <c r="AC825" s="39">
        <f t="shared" si="1395"/>
        <v>47.0</v>
      </c>
      <c r="AD825" s="39">
        <f t="shared" si="1395"/>
        <v>47.0</v>
      </c>
      <c r="AE825" s="39">
        <f t="shared" si="1395"/>
        <v>47.0</v>
      </c>
      <c r="AF825" s="39">
        <f t="shared" si="1395"/>
        <v>47.0</v>
      </c>
      <c r="AG825" s="39">
        <f t="shared" si="1395"/>
        <v>47.0</v>
      </c>
      <c r="AH825" s="39">
        <f t="shared" si="1395"/>
        <v>47.0</v>
      </c>
      <c r="AI825" s="39">
        <f t="shared" si="1395"/>
        <v>47.0</v>
      </c>
    </row>
    <row r="826" hidden="1" outlineLevel="1">
      <c r="A826" s="44" t="inlineStr">
        <is>
          <t>dprk</t>
        </is>
      </c>
      <c r="B826" s="3" t="inlineStr">
        <is>
          <t>v_f</t>
        </is>
      </c>
      <c r="C826" s="3" t="inlineStr"/>
      <c r="D826" s="3" t="n"/>
      <c r="E826" s="3" t="n"/>
      <c r="H826" s="3" t="inlineStr">
        <is>
          <t>Veg &amp; fruit: rank</t>
        </is>
      </c>
      <c r="I826" s="3" t="inlineStr">
        <is>
          <t>rank</t>
        </is>
      </c>
      <c r="J826" s="118" t="inlineStr">
        <is>
          <t>legacy rows 3277-3279</t>
        </is>
      </c>
      <c r="K826" s="9" t="str">
        <f>LOWER(CtryCode)&amp;".distn."&amp;$A826&amp;IF($B826="","","."&amp;$B826)&amp;IF($C826="","",".dec."&amp;$C826)&amp;"."&amp;K$5</f>
        <v>egy.distn.dprk.v_f.1</v>
      </c>
      <c r="L826" s="38">
        <f>RANK(L760,L$704:L$767)+COUNTIF(L$704:L759,L760)</f>
        <v>57.0</v>
      </c>
      <c r="M826" s="39">
        <f t="shared" ref="M826:V826" si="1396">L826</f>
        <v>57.0</v>
      </c>
      <c r="N826" s="39">
        <f t="shared" si="1396"/>
        <v>57.0</v>
      </c>
      <c r="O826" s="39">
        <f t="shared" si="1396"/>
        <v>57.0</v>
      </c>
      <c r="P826" s="39">
        <f t="shared" si="1396"/>
        <v>57.0</v>
      </c>
      <c r="Q826" s="39">
        <f t="shared" si="1396"/>
        <v>57.0</v>
      </c>
      <c r="R826" s="39">
        <f t="shared" si="1396"/>
        <v>57.0</v>
      </c>
      <c r="S826" s="39">
        <f t="shared" si="1396"/>
        <v>57.0</v>
      </c>
      <c r="T826" s="39">
        <f t="shared" si="1396"/>
        <v>57.0</v>
      </c>
      <c r="U826" s="39">
        <f t="shared" si="1396"/>
        <v>57.0</v>
      </c>
      <c r="V826" s="39">
        <f t="shared" si="1396"/>
        <v>57.0</v>
      </c>
      <c r="W826" s="201" t="str">
        <f>IF(X$5=K$5,SUM(Y826:AI826)-SUM(L826:V826),"")</f>
        <v/>
      </c>
      <c r="X826" s="9" t="str">
        <f>LOWER(CtryCode)&amp;".distn."&amp;$A826&amp;IF($B826="","","."&amp;$B826)&amp;IF($C826="","",".dec."&amp;$C826)&amp;"."&amp;X$5</f>
        <v>egy.distn.dprk.v_f.2</v>
      </c>
      <c r="Y826" s="38">
        <f>RANK(Y760,Y$704:Y$767)+COUNTIF(Y$704:Y759,Y760)</f>
        <v>44.0</v>
      </c>
      <c r="Z826" s="39">
        <f t="shared" ref="Z826:AI826" si="1397">Y826</f>
        <v>44.0</v>
      </c>
      <c r="AA826" s="39">
        <f t="shared" si="1397"/>
        <v>44.0</v>
      </c>
      <c r="AB826" s="39">
        <f t="shared" si="1397"/>
        <v>44.0</v>
      </c>
      <c r="AC826" s="39">
        <f t="shared" si="1397"/>
        <v>44.0</v>
      </c>
      <c r="AD826" s="39">
        <f t="shared" si="1397"/>
        <v>44.0</v>
      </c>
      <c r="AE826" s="39">
        <f t="shared" si="1397"/>
        <v>44.0</v>
      </c>
      <c r="AF826" s="39">
        <f t="shared" si="1397"/>
        <v>44.0</v>
      </c>
      <c r="AG826" s="39">
        <f t="shared" si="1397"/>
        <v>44.0</v>
      </c>
      <c r="AH826" s="39">
        <f t="shared" si="1397"/>
        <v>44.0</v>
      </c>
      <c r="AI826" s="39">
        <f t="shared" si="1397"/>
        <v>44.0</v>
      </c>
    </row>
    <row r="827" hidden="1" outlineLevel="1">
      <c r="A827" s="44" t="inlineStr">
        <is>
          <t>dprk</t>
        </is>
      </c>
      <c r="B827" s="3" t="inlineStr">
        <is>
          <t>vol</t>
        </is>
      </c>
      <c r="C827" s="3" t="inlineStr"/>
      <c r="D827" s="3" t="n"/>
      <c r="E827" s="3" t="n"/>
      <c r="H827" s="3" t="inlineStr">
        <is>
          <t>Vegetable Oils: rank</t>
        </is>
      </c>
      <c r="I827" s="3" t="inlineStr">
        <is>
          <t>rank</t>
        </is>
      </c>
      <c r="J827" s="118" t="inlineStr">
        <is>
          <t>legacy rows 3277-3279</t>
        </is>
      </c>
      <c r="K827" s="9" t="str">
        <f>LOWER(CtryCode)&amp;".distn."&amp;$A827&amp;IF($B827="","","."&amp;$B827)&amp;IF($C827="","",".dec."&amp;$C827)&amp;"."&amp;K$5</f>
        <v>egy.distn.dprk.vol.1</v>
      </c>
      <c r="L827" s="38">
        <f>RANK(L761,L$704:L$767)+COUNTIF(L$704:L760,L761)</f>
        <v>58.0</v>
      </c>
      <c r="M827" s="39">
        <f t="shared" ref="M827:V827" si="1398">L827</f>
        <v>58.0</v>
      </c>
      <c r="N827" s="39">
        <f t="shared" si="1398"/>
        <v>58.0</v>
      </c>
      <c r="O827" s="39">
        <f t="shared" si="1398"/>
        <v>58.0</v>
      </c>
      <c r="P827" s="39">
        <f t="shared" si="1398"/>
        <v>58.0</v>
      </c>
      <c r="Q827" s="39">
        <f t="shared" si="1398"/>
        <v>58.0</v>
      </c>
      <c r="R827" s="39">
        <f t="shared" si="1398"/>
        <v>58.0</v>
      </c>
      <c r="S827" s="39">
        <f t="shared" si="1398"/>
        <v>58.0</v>
      </c>
      <c r="T827" s="39">
        <f t="shared" si="1398"/>
        <v>58.0</v>
      </c>
      <c r="U827" s="39">
        <f t="shared" si="1398"/>
        <v>58.0</v>
      </c>
      <c r="V827" s="39">
        <f t="shared" si="1398"/>
        <v>58.0</v>
      </c>
      <c r="W827" s="201" t="str">
        <f>IF(X$5=K$5,SUM(Y827:AI827)-SUM(L827:V827),"")</f>
        <v/>
      </c>
      <c r="X827" s="9" t="str">
        <f>LOWER(CtryCode)&amp;".distn."&amp;$A827&amp;IF($B827="","","."&amp;$B827)&amp;IF($C827="","",".dec."&amp;$C827)&amp;"."&amp;X$5</f>
        <v>egy.distn.dprk.vol.2</v>
      </c>
      <c r="Y827" s="38">
        <f>RANK(Y761,Y$704:Y$767)+COUNTIF(Y$704:Y760,Y761)</f>
        <v>46.0</v>
      </c>
      <c r="Z827" s="39">
        <f t="shared" ref="Z827:AI827" si="1399">Y827</f>
        <v>46.0</v>
      </c>
      <c r="AA827" s="39">
        <f t="shared" si="1399"/>
        <v>46.0</v>
      </c>
      <c r="AB827" s="39">
        <f t="shared" si="1399"/>
        <v>46.0</v>
      </c>
      <c r="AC827" s="39">
        <f t="shared" si="1399"/>
        <v>46.0</v>
      </c>
      <c r="AD827" s="39">
        <f t="shared" si="1399"/>
        <v>46.0</v>
      </c>
      <c r="AE827" s="39">
        <f t="shared" si="1399"/>
        <v>46.0</v>
      </c>
      <c r="AF827" s="39">
        <f t="shared" si="1399"/>
        <v>46.0</v>
      </c>
      <c r="AG827" s="39">
        <f t="shared" si="1399"/>
        <v>46.0</v>
      </c>
      <c r="AH827" s="39">
        <f t="shared" si="1399"/>
        <v>46.0</v>
      </c>
      <c r="AI827" s="39">
        <f t="shared" si="1399"/>
        <v>46.0</v>
      </c>
    </row>
    <row r="828" hidden="1" outlineLevel="1">
      <c r="A828" s="44" t="inlineStr">
        <is>
          <t>dprk</t>
        </is>
      </c>
      <c r="B828" s="3" t="inlineStr">
        <is>
          <t>wap</t>
        </is>
      </c>
      <c r="C828" s="3" t="inlineStr"/>
      <c r="D828" s="3" t="n"/>
      <c r="E828" s="3" t="n"/>
      <c r="H828" s="3" t="inlineStr">
        <is>
          <t>Apparel: rank</t>
        </is>
      </c>
      <c r="I828" s="3" t="inlineStr">
        <is>
          <t>rank</t>
        </is>
      </c>
      <c r="J828" s="118" t="inlineStr">
        <is>
          <t>legacy rows 3277-3279</t>
        </is>
      </c>
      <c r="K828" s="9" t="str">
        <f>LOWER(CtryCode)&amp;".distn."&amp;$A828&amp;IF($B828="","","."&amp;$B828)&amp;IF($C828="","",".dec."&amp;$C828)&amp;"."&amp;K$5</f>
        <v>egy.distn.dprk.wap.1</v>
      </c>
      <c r="L828" s="38">
        <f>RANK(L762,L$704:L$767)+COUNTIF(L$704:L761,L762)</f>
        <v>59.0</v>
      </c>
      <c r="M828" s="39">
        <f t="shared" ref="M828:V828" si="1400">L828</f>
        <v>59.0</v>
      </c>
      <c r="N828" s="39">
        <f t="shared" si="1400"/>
        <v>59.0</v>
      </c>
      <c r="O828" s="39">
        <f t="shared" si="1400"/>
        <v>59.0</v>
      </c>
      <c r="P828" s="39">
        <f t="shared" si="1400"/>
        <v>59.0</v>
      </c>
      <c r="Q828" s="39">
        <f t="shared" si="1400"/>
        <v>59.0</v>
      </c>
      <c r="R828" s="39">
        <f t="shared" si="1400"/>
        <v>59.0</v>
      </c>
      <c r="S828" s="39">
        <f t="shared" si="1400"/>
        <v>59.0</v>
      </c>
      <c r="T828" s="39">
        <f t="shared" si="1400"/>
        <v>59.0</v>
      </c>
      <c r="U828" s="39">
        <f t="shared" si="1400"/>
        <v>59.0</v>
      </c>
      <c r="V828" s="39">
        <f t="shared" si="1400"/>
        <v>59.0</v>
      </c>
      <c r="W828" s="201" t="str">
        <f>IF(X$5=K$5,SUM(Y828:AI828)-SUM(L828:V828),"")</f>
        <v/>
      </c>
      <c r="X828" s="9" t="str">
        <f>LOWER(CtryCode)&amp;".distn."&amp;$A828&amp;IF($B828="","","."&amp;$B828)&amp;IF($C828="","",".dec."&amp;$C828)&amp;"."&amp;X$5</f>
        <v>egy.distn.dprk.wap.2</v>
      </c>
      <c r="Y828" s="38">
        <f>RANK(Y762,Y$704:Y$767)+COUNTIF(Y$704:Y761,Y762)</f>
        <v>39.0</v>
      </c>
      <c r="Z828" s="39">
        <f t="shared" ref="Z828:AI828" si="1401">Y828</f>
        <v>39.0</v>
      </c>
      <c r="AA828" s="39">
        <f t="shared" si="1401"/>
        <v>39.0</v>
      </c>
      <c r="AB828" s="39">
        <f t="shared" si="1401"/>
        <v>39.0</v>
      </c>
      <c r="AC828" s="39">
        <f t="shared" si="1401"/>
        <v>39.0</v>
      </c>
      <c r="AD828" s="39">
        <f t="shared" si="1401"/>
        <v>39.0</v>
      </c>
      <c r="AE828" s="39">
        <f t="shared" si="1401"/>
        <v>39.0</v>
      </c>
      <c r="AF828" s="39">
        <f t="shared" si="1401"/>
        <v>39.0</v>
      </c>
      <c r="AG828" s="39">
        <f t="shared" si="1401"/>
        <v>39.0</v>
      </c>
      <c r="AH828" s="39">
        <f t="shared" si="1401"/>
        <v>39.0</v>
      </c>
      <c r="AI828" s="39">
        <f t="shared" si="1401"/>
        <v>39.0</v>
      </c>
    </row>
    <row r="829" hidden="1" outlineLevel="1">
      <c r="A829" s="44" t="inlineStr">
        <is>
          <t>dprk</t>
        </is>
      </c>
      <c r="B829" s="3" t="inlineStr">
        <is>
          <t>whs</t>
        </is>
      </c>
      <c r="C829" s="3" t="inlineStr"/>
      <c r="D829" s="3" t="n"/>
      <c r="E829" s="3" t="n"/>
      <c r="H829" s="3" t="inlineStr">
        <is>
          <t>Warehousing: rank</t>
        </is>
      </c>
      <c r="I829" s="3" t="inlineStr">
        <is>
          <t>rank</t>
        </is>
      </c>
      <c r="J829" s="118" t="inlineStr">
        <is>
          <t>legacy rows 3277-3279</t>
        </is>
      </c>
      <c r="K829" s="9" t="str">
        <f>LOWER(CtryCode)&amp;".distn."&amp;$A829&amp;IF($B829="","","."&amp;$B829)&amp;IF($C829="","",".dec."&amp;$C829)&amp;"."&amp;K$5</f>
        <v>egy.distn.dprk.whs.1</v>
      </c>
      <c r="L829" s="38">
        <f>RANK(L763,L$704:L$767)+COUNTIF(L$704:L762,L763)</f>
        <v>60.0</v>
      </c>
      <c r="M829" s="39">
        <f t="shared" ref="M829:V829" si="1402">L829</f>
        <v>60.0</v>
      </c>
      <c r="N829" s="39">
        <f t="shared" si="1402"/>
        <v>60.0</v>
      </c>
      <c r="O829" s="39">
        <f t="shared" si="1402"/>
        <v>60.0</v>
      </c>
      <c r="P829" s="39">
        <f t="shared" si="1402"/>
        <v>60.0</v>
      </c>
      <c r="Q829" s="39">
        <f t="shared" si="1402"/>
        <v>60.0</v>
      </c>
      <c r="R829" s="39">
        <f t="shared" si="1402"/>
        <v>60.0</v>
      </c>
      <c r="S829" s="39">
        <f t="shared" si="1402"/>
        <v>60.0</v>
      </c>
      <c r="T829" s="39">
        <f t="shared" si="1402"/>
        <v>60.0</v>
      </c>
      <c r="U829" s="39">
        <f t="shared" si="1402"/>
        <v>60.0</v>
      </c>
      <c r="V829" s="39">
        <f t="shared" si="1402"/>
        <v>60.0</v>
      </c>
      <c r="W829" s="201" t="str">
        <f>IF(X$5=K$5,SUM(Y829:AI829)-SUM(L829:V829),"")</f>
        <v/>
      </c>
      <c r="X829" s="9" t="str">
        <f>LOWER(CtryCode)&amp;".distn."&amp;$A829&amp;IF($B829="","","."&amp;$B829)&amp;IF($C829="","",".dec."&amp;$C829)&amp;"."&amp;X$5</f>
        <v>egy.distn.dprk.whs.2</v>
      </c>
      <c r="Y829" s="38">
        <f>RANK(Y763,Y$704:Y$767)+COUNTIF(Y$704:Y762,Y763)</f>
        <v>40.0</v>
      </c>
      <c r="Z829" s="39">
        <f t="shared" ref="Z829:AI829" si="1403">Y829</f>
        <v>40.0</v>
      </c>
      <c r="AA829" s="39">
        <f t="shared" si="1403"/>
        <v>40.0</v>
      </c>
      <c r="AB829" s="39">
        <f t="shared" si="1403"/>
        <v>40.0</v>
      </c>
      <c r="AC829" s="39">
        <f t="shared" si="1403"/>
        <v>40.0</v>
      </c>
      <c r="AD829" s="39">
        <f t="shared" si="1403"/>
        <v>40.0</v>
      </c>
      <c r="AE829" s="39">
        <f t="shared" si="1403"/>
        <v>40.0</v>
      </c>
      <c r="AF829" s="39">
        <f t="shared" si="1403"/>
        <v>40.0</v>
      </c>
      <c r="AG829" s="39">
        <f t="shared" si="1403"/>
        <v>40.0</v>
      </c>
      <c r="AH829" s="39">
        <f t="shared" si="1403"/>
        <v>40.0</v>
      </c>
      <c r="AI829" s="39">
        <f t="shared" si="1403"/>
        <v>40.0</v>
      </c>
    </row>
    <row r="830" hidden="1" outlineLevel="1">
      <c r="A830" s="44" t="inlineStr">
        <is>
          <t>dprk</t>
        </is>
      </c>
      <c r="B830" s="3" t="inlineStr">
        <is>
          <t>wht</t>
        </is>
      </c>
      <c r="C830" s="3" t="inlineStr"/>
      <c r="D830" s="3" t="n"/>
      <c r="E830" s="3" t="n"/>
      <c r="H830" s="3" t="inlineStr">
        <is>
          <t>Wheat: rank</t>
        </is>
      </c>
      <c r="I830" s="3" t="inlineStr">
        <is>
          <t>rank</t>
        </is>
      </c>
      <c r="J830" s="118" t="inlineStr">
        <is>
          <t>legacy rows 3277-3279</t>
        </is>
      </c>
      <c r="K830" s="9" t="str">
        <f>LOWER(CtryCode)&amp;".distn."&amp;$A830&amp;IF($B830="","","."&amp;$B830)&amp;IF($C830="","",".dec."&amp;$C830)&amp;"."&amp;K$5</f>
        <v>egy.distn.dprk.wht.1</v>
      </c>
      <c r="L830" s="38">
        <f>RANK(L764,L$704:L$767)+COUNTIF(L$704:L763,L764)</f>
        <v>61.0</v>
      </c>
      <c r="M830" s="39">
        <f t="shared" ref="M830:V830" si="1404">L830</f>
        <v>61.0</v>
      </c>
      <c r="N830" s="39">
        <f t="shared" si="1404"/>
        <v>61.0</v>
      </c>
      <c r="O830" s="39">
        <f t="shared" si="1404"/>
        <v>61.0</v>
      </c>
      <c r="P830" s="39">
        <f t="shared" si="1404"/>
        <v>61.0</v>
      </c>
      <c r="Q830" s="39">
        <f t="shared" si="1404"/>
        <v>61.0</v>
      </c>
      <c r="R830" s="39">
        <f t="shared" si="1404"/>
        <v>61.0</v>
      </c>
      <c r="S830" s="39">
        <f t="shared" si="1404"/>
        <v>61.0</v>
      </c>
      <c r="T830" s="39">
        <f t="shared" si="1404"/>
        <v>61.0</v>
      </c>
      <c r="U830" s="39">
        <f t="shared" si="1404"/>
        <v>61.0</v>
      </c>
      <c r="V830" s="39">
        <f t="shared" si="1404"/>
        <v>61.0</v>
      </c>
      <c r="W830" s="201" t="str">
        <f>IF(X$5=K$5,SUM(Y830:AI830)-SUM(L830:V830),"")</f>
        <v/>
      </c>
      <c r="X830" s="9" t="str">
        <f>LOWER(CtryCode)&amp;".distn."&amp;$A830&amp;IF($B830="","","."&amp;$B830)&amp;IF($C830="","",".dec."&amp;$C830)&amp;"."&amp;X$5</f>
        <v>egy.distn.dprk.wht.2</v>
      </c>
      <c r="Y830" s="38">
        <f>RANK(Y764,Y$704:Y$767)+COUNTIF(Y$704:Y763,Y764)</f>
        <v>27.0</v>
      </c>
      <c r="Z830" s="39">
        <f t="shared" ref="Z830:AI830" si="1405">Y830</f>
        <v>27.0</v>
      </c>
      <c r="AA830" s="39">
        <f t="shared" si="1405"/>
        <v>27.0</v>
      </c>
      <c r="AB830" s="39">
        <f t="shared" si="1405"/>
        <v>27.0</v>
      </c>
      <c r="AC830" s="39">
        <f t="shared" si="1405"/>
        <v>27.0</v>
      </c>
      <c r="AD830" s="39">
        <f t="shared" si="1405"/>
        <v>27.0</v>
      </c>
      <c r="AE830" s="39">
        <f t="shared" si="1405"/>
        <v>27.0</v>
      </c>
      <c r="AF830" s="39">
        <f t="shared" si="1405"/>
        <v>27.0</v>
      </c>
      <c r="AG830" s="39">
        <f t="shared" si="1405"/>
        <v>27.0</v>
      </c>
      <c r="AH830" s="39">
        <f t="shared" si="1405"/>
        <v>27.0</v>
      </c>
      <c r="AI830" s="39">
        <f t="shared" si="1405"/>
        <v>27.0</v>
      </c>
    </row>
    <row r="831" hidden="1" outlineLevel="1">
      <c r="A831" s="44" t="inlineStr">
        <is>
          <t>dprk</t>
        </is>
      </c>
      <c r="B831" s="3" t="inlineStr">
        <is>
          <t>wol</t>
        </is>
      </c>
      <c r="C831" s="3" t="inlineStr"/>
      <c r="D831" s="3" t="n"/>
      <c r="E831" s="3" t="n"/>
      <c r="H831" s="3" t="inlineStr">
        <is>
          <t>Wool: rank</t>
        </is>
      </c>
      <c r="I831" s="3" t="inlineStr">
        <is>
          <t>rank</t>
        </is>
      </c>
      <c r="J831" s="118" t="inlineStr">
        <is>
          <t>legacy rows 3277-3279</t>
        </is>
      </c>
      <c r="K831" s="9" t="str">
        <f>LOWER(CtryCode)&amp;".distn."&amp;$A831&amp;IF($B831="","","."&amp;$B831)&amp;IF($C831="","",".dec."&amp;$C831)&amp;"."&amp;K$5</f>
        <v>egy.distn.dprk.wol.1</v>
      </c>
      <c r="L831" s="38">
        <f>RANK(L765,L$704:L$767)+COUNTIF(L$704:L764,L765)</f>
        <v>62.0</v>
      </c>
      <c r="M831" s="39">
        <f t="shared" ref="M831:V831" si="1406">L831</f>
        <v>62.0</v>
      </c>
      <c r="N831" s="39">
        <f t="shared" si="1406"/>
        <v>62.0</v>
      </c>
      <c r="O831" s="39">
        <f t="shared" si="1406"/>
        <v>62.0</v>
      </c>
      <c r="P831" s="39">
        <f t="shared" si="1406"/>
        <v>62.0</v>
      </c>
      <c r="Q831" s="39">
        <f t="shared" si="1406"/>
        <v>62.0</v>
      </c>
      <c r="R831" s="39">
        <f t="shared" si="1406"/>
        <v>62.0</v>
      </c>
      <c r="S831" s="39">
        <f t="shared" si="1406"/>
        <v>62.0</v>
      </c>
      <c r="T831" s="39">
        <f t="shared" si="1406"/>
        <v>62.0</v>
      </c>
      <c r="U831" s="39">
        <f t="shared" si="1406"/>
        <v>62.0</v>
      </c>
      <c r="V831" s="39">
        <f t="shared" si="1406"/>
        <v>62.0</v>
      </c>
      <c r="W831" s="201" t="str">
        <f>IF(X$5=K$5,SUM(Y831:AI831)-SUM(L831:V831),"")</f>
        <v/>
      </c>
      <c r="X831" s="9" t="str">
        <f>LOWER(CtryCode)&amp;".distn."&amp;$A831&amp;IF($B831="","","."&amp;$B831)&amp;IF($C831="","",".dec."&amp;$C831)&amp;"."&amp;X$5</f>
        <v>egy.distn.dprk.wol.2</v>
      </c>
      <c r="Y831" s="38">
        <f>RANK(Y765,Y$704:Y$767)+COUNTIF(Y$704:Y764,Y765)</f>
        <v>17.0</v>
      </c>
      <c r="Z831" s="39">
        <f t="shared" ref="Z831:AI831" si="1407">Y831</f>
        <v>17.0</v>
      </c>
      <c r="AA831" s="39">
        <f t="shared" si="1407"/>
        <v>17.0</v>
      </c>
      <c r="AB831" s="39">
        <f t="shared" si="1407"/>
        <v>17.0</v>
      </c>
      <c r="AC831" s="39">
        <f t="shared" si="1407"/>
        <v>17.0</v>
      </c>
      <c r="AD831" s="39">
        <f t="shared" si="1407"/>
        <v>17.0</v>
      </c>
      <c r="AE831" s="39">
        <f t="shared" si="1407"/>
        <v>17.0</v>
      </c>
      <c r="AF831" s="39">
        <f t="shared" si="1407"/>
        <v>17.0</v>
      </c>
      <c r="AG831" s="39">
        <f t="shared" si="1407"/>
        <v>17.0</v>
      </c>
      <c r="AH831" s="39">
        <f t="shared" si="1407"/>
        <v>17.0</v>
      </c>
      <c r="AI831" s="39">
        <f t="shared" si="1407"/>
        <v>17.0</v>
      </c>
    </row>
    <row r="832" hidden="1" outlineLevel="1">
      <c r="A832" s="44" t="inlineStr">
        <is>
          <t>dprk</t>
        </is>
      </c>
      <c r="B832" s="3" t="inlineStr">
        <is>
          <t>wtp</t>
        </is>
      </c>
      <c r="C832" s="3" t="inlineStr"/>
      <c r="D832" s="3" t="n"/>
      <c r="E832" s="3" t="n"/>
      <c r="H832" s="3" t="inlineStr">
        <is>
          <t>Water transport: rank</t>
        </is>
      </c>
      <c r="I832" s="3" t="inlineStr">
        <is>
          <t>rank</t>
        </is>
      </c>
      <c r="J832" s="118" t="inlineStr">
        <is>
          <t>legacy rows 3277-3279</t>
        </is>
      </c>
      <c r="K832" s="9" t="str">
        <f>LOWER(CtryCode)&amp;".distn."&amp;$A832&amp;IF($B832="","","."&amp;$B832)&amp;IF($C832="","",".dec."&amp;$C832)&amp;"."&amp;K$5</f>
        <v>egy.distn.dprk.wtp.1</v>
      </c>
      <c r="L832" s="38">
        <f>RANK(L766,L$704:L$767)+COUNTIF(L$704:L765,L766)</f>
        <v>63.0</v>
      </c>
      <c r="M832" s="39">
        <f t="shared" ref="M832:V832" si="1408">L832</f>
        <v>63.0</v>
      </c>
      <c r="N832" s="39">
        <f t="shared" si="1408"/>
        <v>63.0</v>
      </c>
      <c r="O832" s="39">
        <f t="shared" si="1408"/>
        <v>63.0</v>
      </c>
      <c r="P832" s="39">
        <f t="shared" si="1408"/>
        <v>63.0</v>
      </c>
      <c r="Q832" s="39">
        <f t="shared" si="1408"/>
        <v>63.0</v>
      </c>
      <c r="R832" s="39">
        <f t="shared" si="1408"/>
        <v>63.0</v>
      </c>
      <c r="S832" s="39">
        <f t="shared" si="1408"/>
        <v>63.0</v>
      </c>
      <c r="T832" s="39">
        <f t="shared" si="1408"/>
        <v>63.0</v>
      </c>
      <c r="U832" s="39">
        <f t="shared" si="1408"/>
        <v>63.0</v>
      </c>
      <c r="V832" s="39">
        <f t="shared" si="1408"/>
        <v>63.0</v>
      </c>
      <c r="W832" s="201" t="str">
        <f>IF(X$5=K$5,SUM(Y832:AI832)-SUM(L832:V832),"")</f>
        <v/>
      </c>
      <c r="X832" s="9" t="str">
        <f>LOWER(CtryCode)&amp;".distn."&amp;$A832&amp;IF($B832="","","."&amp;$B832)&amp;IF($C832="","",".dec."&amp;$C832)&amp;"."&amp;X$5</f>
        <v>egy.distn.dprk.wtp.2</v>
      </c>
      <c r="Y832" s="38">
        <f>RANK(Y766,Y$704:Y$767)+COUNTIF(Y$704:Y765,Y766)</f>
        <v>3.0</v>
      </c>
      <c r="Z832" s="39">
        <f t="shared" ref="Z832:AI832" si="1409">Y832</f>
        <v>3.0</v>
      </c>
      <c r="AA832" s="39">
        <f t="shared" si="1409"/>
        <v>3.0</v>
      </c>
      <c r="AB832" s="39">
        <f t="shared" si="1409"/>
        <v>3.0</v>
      </c>
      <c r="AC832" s="39">
        <f t="shared" si="1409"/>
        <v>3.0</v>
      </c>
      <c r="AD832" s="39">
        <f t="shared" si="1409"/>
        <v>3.0</v>
      </c>
      <c r="AE832" s="39">
        <f t="shared" si="1409"/>
        <v>3.0</v>
      </c>
      <c r="AF832" s="39">
        <f t="shared" si="1409"/>
        <v>3.0</v>
      </c>
      <c r="AG832" s="39">
        <f t="shared" si="1409"/>
        <v>3.0</v>
      </c>
      <c r="AH832" s="39">
        <f t="shared" si="1409"/>
        <v>3.0</v>
      </c>
      <c r="AI832" s="39">
        <f t="shared" si="1409"/>
        <v>3.0</v>
      </c>
    </row>
    <row r="833" hidden="1" outlineLevel="1">
      <c r="A833" s="44" t="inlineStr">
        <is>
          <t>dprk</t>
        </is>
      </c>
      <c r="B833" s="3" t="inlineStr">
        <is>
          <t>wtr</t>
        </is>
      </c>
      <c r="C833" s="3" t="inlineStr"/>
      <c r="D833" s="3" t="n"/>
      <c r="E833" s="3" t="n"/>
      <c r="H833" s="3" t="inlineStr">
        <is>
          <t>Water supply: rank</t>
        </is>
      </c>
      <c r="I833" s="3" t="inlineStr">
        <is>
          <t>rank</t>
        </is>
      </c>
      <c r="J833" s="118" t="inlineStr">
        <is>
          <t>legacy rows 3277-3279</t>
        </is>
      </c>
      <c r="K833" s="9" t="str">
        <f>LOWER(CtryCode)&amp;".distn."&amp;$A833&amp;IF($B833="","","."&amp;$B833)&amp;IF($C833="","",".dec."&amp;$C833)&amp;"."&amp;K$5</f>
        <v>egy.distn.dprk.wtr.1</v>
      </c>
      <c r="L833" s="38">
        <f>RANK(L767,L$704:L$767)+COUNTIF(L$704:L766,L767)</f>
        <v>64.0</v>
      </c>
      <c r="M833" s="39">
        <f t="shared" ref="M833:V833" si="1410">L833</f>
        <v>64.0</v>
      </c>
      <c r="N833" s="39">
        <f t="shared" si="1410"/>
        <v>64.0</v>
      </c>
      <c r="O833" s="39">
        <f t="shared" si="1410"/>
        <v>64.0</v>
      </c>
      <c r="P833" s="39">
        <f t="shared" si="1410"/>
        <v>64.0</v>
      </c>
      <c r="Q833" s="39">
        <f t="shared" si="1410"/>
        <v>64.0</v>
      </c>
      <c r="R833" s="39">
        <f t="shared" si="1410"/>
        <v>64.0</v>
      </c>
      <c r="S833" s="39">
        <f t="shared" si="1410"/>
        <v>64.0</v>
      </c>
      <c r="T833" s="39">
        <f t="shared" si="1410"/>
        <v>64.0</v>
      </c>
      <c r="U833" s="39">
        <f t="shared" si="1410"/>
        <v>64.0</v>
      </c>
      <c r="V833" s="39">
        <f t="shared" si="1410"/>
        <v>64.0</v>
      </c>
      <c r="W833" s="201" t="str">
        <f>IF(X$5=K$5,SUM(Y833:AI833)-SUM(L833:V833),"")</f>
        <v/>
      </c>
      <c r="X833" s="9" t="str">
        <f>LOWER(CtryCode)&amp;".distn."&amp;$A833&amp;IF($B833="","","."&amp;$B833)&amp;IF($C833="","",".dec."&amp;$C833)&amp;"."&amp;X$5</f>
        <v>egy.distn.dprk.wtr.2</v>
      </c>
      <c r="Y833" s="38">
        <f>RANK(Y767,Y$704:Y$767)+COUNTIF(Y$704:Y766,Y767)</f>
        <v>13.0</v>
      </c>
      <c r="Z833" s="39">
        <f t="shared" ref="Z833:AI833" si="1411">Y833</f>
        <v>13.0</v>
      </c>
      <c r="AA833" s="39">
        <f t="shared" si="1411"/>
        <v>13.0</v>
      </c>
      <c r="AB833" s="39">
        <f t="shared" si="1411"/>
        <v>13.0</v>
      </c>
      <c r="AC833" s="39">
        <f t="shared" si="1411"/>
        <v>13.0</v>
      </c>
      <c r="AD833" s="39">
        <f t="shared" si="1411"/>
        <v>13.0</v>
      </c>
      <c r="AE833" s="39">
        <f t="shared" si="1411"/>
        <v>13.0</v>
      </c>
      <c r="AF833" s="39">
        <f t="shared" si="1411"/>
        <v>13.0</v>
      </c>
      <c r="AG833" s="39">
        <f t="shared" si="1411"/>
        <v>13.0</v>
      </c>
      <c r="AH833" s="39">
        <f t="shared" si="1411"/>
        <v>13.0</v>
      </c>
      <c r="AI833" s="39">
        <f t="shared" si="1411"/>
        <v>13.0</v>
      </c>
    </row>
    <row r="834" hidden="1" outlineLevel="1"/>
    <row r="835" hidden="1" outlineLevel="1">
      <c r="B835" s="31" t="inlineStr">
        <is>
          <t>Top 20 sectors by output-price change (legacy rows 3277-3279, chart 128)</t>
        </is>
      </c>
    </row>
    <row r="836" hidden="1" outlineLevel="1">
      <c r="A836" s="44" t="inlineStr">
        <is>
          <t>rks</t>
        </is>
      </c>
      <c r="B836" s="3" t="inlineStr">
        <is>
          <t>r1</t>
        </is>
      </c>
      <c r="C836" s="3" t="inlineStr"/>
      <c r="D836" s="3" t="n">
        <v>1</v>
      </c>
      <c r="E836" s="3" t="n"/>
      <c r="H836" s="3" t="inlineStr">
        <is>
          <t>Rank 1: sector code</t>
        </is>
      </c>
      <c r="I836" s="3" t="inlineStr">
        <is>
          <t>code</t>
        </is>
      </c>
      <c r="J836" s="118" t="inlineStr">
        <is>
          <t>DistMapping</t>
        </is>
      </c>
      <c r="K836" s="9" t="str">
        <f>LOWER(CtryCode)&amp;".distn."&amp;$A836&amp;IF($B836="","","."&amp;$B836)&amp;IF($C836="","",".dec."&amp;$C836)&amp;"."&amp;K$5</f>
        <v>egy.distn.rks.r1.1</v>
      </c>
      <c r="L836" s="10" t="str">
        <f>INDEX(DSecCode,MATCH($D836,L$770:L$833,0))</f>
        <v>afs</v>
      </c>
      <c r="M836" s="3" t="str">
        <f t="shared" ref="M836:V836" si="1412">L836</f>
        <v>afs</v>
      </c>
      <c r="N836" s="3" t="str">
        <f t="shared" si="1412"/>
        <v>afs</v>
      </c>
      <c r="O836" s="3" t="str">
        <f t="shared" si="1412"/>
        <v>afs</v>
      </c>
      <c r="P836" s="3" t="str">
        <f t="shared" si="1412"/>
        <v>afs</v>
      </c>
      <c r="Q836" s="3" t="str">
        <f t="shared" si="1412"/>
        <v>afs</v>
      </c>
      <c r="R836" s="3" t="str">
        <f t="shared" si="1412"/>
        <v>afs</v>
      </c>
      <c r="S836" s="3" t="str">
        <f t="shared" si="1412"/>
        <v>afs</v>
      </c>
      <c r="T836" s="3" t="str">
        <f t="shared" si="1412"/>
        <v>afs</v>
      </c>
      <c r="U836" s="3" t="str">
        <f t="shared" si="1412"/>
        <v>afs</v>
      </c>
      <c r="V836" s="3" t="str">
        <f t="shared" si="1412"/>
        <v>afs</v>
      </c>
      <c r="W836" s="201" t="str">
        <f>IF(X$5=K$5,SUM(Y836:AI836)-SUM(L836:V836),"")</f>
        <v/>
      </c>
      <c r="X836" s="9" t="str">
        <f>LOWER(CtryCode)&amp;".distn."&amp;$A836&amp;IF($B836="","","."&amp;$B836)&amp;IF($C836="","",".dec."&amp;$C836)&amp;"."&amp;X$5</f>
        <v>egy.distn.rks.r1.2</v>
      </c>
      <c r="Y836" s="10" t="str">
        <f>INDEX(DSecCode,MATCH($D836,Y$770:Y$833,0))</f>
        <v>atp</v>
      </c>
      <c r="Z836" s="3" t="str">
        <f t="shared" ref="Z836:AI836" si="1413">Y836</f>
        <v>atp</v>
      </c>
      <c r="AA836" s="3" t="str">
        <f t="shared" si="1413"/>
        <v>atp</v>
      </c>
      <c r="AB836" s="3" t="str">
        <f t="shared" si="1413"/>
        <v>atp</v>
      </c>
      <c r="AC836" s="3" t="str">
        <f t="shared" si="1413"/>
        <v>atp</v>
      </c>
      <c r="AD836" s="3" t="str">
        <f t="shared" si="1413"/>
        <v>atp</v>
      </c>
      <c r="AE836" s="3" t="str">
        <f t="shared" si="1413"/>
        <v>atp</v>
      </c>
      <c r="AF836" s="3" t="str">
        <f t="shared" si="1413"/>
        <v>atp</v>
      </c>
      <c r="AG836" s="3" t="str">
        <f t="shared" si="1413"/>
        <v>atp</v>
      </c>
      <c r="AH836" s="3" t="str">
        <f t="shared" si="1413"/>
        <v>atp</v>
      </c>
      <c r="AI836" s="3" t="str">
        <f t="shared" si="1413"/>
        <v>atp</v>
      </c>
    </row>
    <row r="837" hidden="1" outlineLevel="1">
      <c r="A837" s="44" t="inlineStr">
        <is>
          <t>rks</t>
        </is>
      </c>
      <c r="B837" s="3" t="inlineStr">
        <is>
          <t>r2</t>
        </is>
      </c>
      <c r="C837" s="3" t="inlineStr"/>
      <c r="D837" s="3" t="n">
        <v>2</v>
      </c>
      <c r="E837" s="3" t="n"/>
      <c r="H837" s="3" t="inlineStr">
        <is>
          <t>Rank 2: sector code</t>
        </is>
      </c>
      <c r="I837" s="3" t="inlineStr">
        <is>
          <t>code</t>
        </is>
      </c>
      <c r="J837" s="118" t="inlineStr">
        <is>
          <t>DistMapping</t>
        </is>
      </c>
      <c r="K837" s="9" t="str">
        <f>LOWER(CtryCode)&amp;".distn."&amp;$A837&amp;IF($B837="","","."&amp;$B837)&amp;IF($C837="","",".dec."&amp;$C837)&amp;"."&amp;K$5</f>
        <v>egy.distn.rks.r2.1</v>
      </c>
      <c r="L837" s="10" t="str">
        <f>INDEX(DSecCode,MATCH($D837,L$770:L$833,0))</f>
        <v>atp</v>
      </c>
      <c r="M837" s="3" t="str">
        <f t="shared" ref="M837:V837" si="1414">L837</f>
        <v>atp</v>
      </c>
      <c r="N837" s="3" t="str">
        <f t="shared" si="1414"/>
        <v>atp</v>
      </c>
      <c r="O837" s="3" t="str">
        <f t="shared" si="1414"/>
        <v>atp</v>
      </c>
      <c r="P837" s="3" t="str">
        <f t="shared" si="1414"/>
        <v>atp</v>
      </c>
      <c r="Q837" s="3" t="str">
        <f t="shared" si="1414"/>
        <v>atp</v>
      </c>
      <c r="R837" s="3" t="str">
        <f t="shared" si="1414"/>
        <v>atp</v>
      </c>
      <c r="S837" s="3" t="str">
        <f t="shared" si="1414"/>
        <v>atp</v>
      </c>
      <c r="T837" s="3" t="str">
        <f t="shared" si="1414"/>
        <v>atp</v>
      </c>
      <c r="U837" s="3" t="str">
        <f t="shared" si="1414"/>
        <v>atp</v>
      </c>
      <c r="V837" s="3" t="str">
        <f t="shared" si="1414"/>
        <v>atp</v>
      </c>
      <c r="W837" s="201" t="str">
        <f>IF(X$5=K$5,SUM(Y837:AI837)-SUM(L837:V837),"")</f>
        <v/>
      </c>
      <c r="X837" s="9" t="str">
        <f>LOWER(CtryCode)&amp;".distn."&amp;$A837&amp;IF($B837="","","."&amp;$B837)&amp;IF($C837="","",".dec."&amp;$C837)&amp;"."&amp;X$5</f>
        <v>egy.distn.rks.r2.2</v>
      </c>
      <c r="Y837" s="10" t="str">
        <f>INDEX(DSecCode,MATCH($D837,Y$770:Y$833,0))</f>
        <v>chm</v>
      </c>
      <c r="Z837" s="3" t="str">
        <f t="shared" ref="Z837:AI837" si="1415">Y837</f>
        <v>chm</v>
      </c>
      <c r="AA837" s="3" t="str">
        <f t="shared" si="1415"/>
        <v>chm</v>
      </c>
      <c r="AB837" s="3" t="str">
        <f t="shared" si="1415"/>
        <v>chm</v>
      </c>
      <c r="AC837" s="3" t="str">
        <f t="shared" si="1415"/>
        <v>chm</v>
      </c>
      <c r="AD837" s="3" t="str">
        <f t="shared" si="1415"/>
        <v>chm</v>
      </c>
      <c r="AE837" s="3" t="str">
        <f t="shared" si="1415"/>
        <v>chm</v>
      </c>
      <c r="AF837" s="3" t="str">
        <f t="shared" si="1415"/>
        <v>chm</v>
      </c>
      <c r="AG837" s="3" t="str">
        <f t="shared" si="1415"/>
        <v>chm</v>
      </c>
      <c r="AH837" s="3" t="str">
        <f t="shared" si="1415"/>
        <v>chm</v>
      </c>
      <c r="AI837" s="3" t="str">
        <f t="shared" si="1415"/>
        <v>chm</v>
      </c>
    </row>
    <row r="838" hidden="1" outlineLevel="1">
      <c r="A838" s="44" t="inlineStr">
        <is>
          <t>rks</t>
        </is>
      </c>
      <c r="B838" s="3" t="inlineStr">
        <is>
          <t>r3</t>
        </is>
      </c>
      <c r="C838" s="3" t="inlineStr"/>
      <c r="D838" s="3" t="n">
        <v>3</v>
      </c>
      <c r="E838" s="3" t="n"/>
      <c r="H838" s="3" t="inlineStr">
        <is>
          <t>Rank 3: sector code</t>
        </is>
      </c>
      <c r="I838" s="3" t="inlineStr">
        <is>
          <t>code</t>
        </is>
      </c>
      <c r="J838" s="118" t="inlineStr">
        <is>
          <t>DistMapping</t>
        </is>
      </c>
      <c r="K838" s="9" t="str">
        <f>LOWER(CtryCode)&amp;".distn."&amp;$A838&amp;IF($B838="","","."&amp;$B838)&amp;IF($C838="","",".dec."&amp;$C838)&amp;"."&amp;K$5</f>
        <v>egy.distn.rks.r3.1</v>
      </c>
      <c r="L838" s="10" t="str">
        <f>INDEX(DSecCode,MATCH($D838,L$770:L$833,0))</f>
        <v>b_t</v>
      </c>
      <c r="M838" s="3" t="str">
        <f t="shared" ref="M838:V838" si="1416">L838</f>
        <v>b_t</v>
      </c>
      <c r="N838" s="3" t="str">
        <f t="shared" si="1416"/>
        <v>b_t</v>
      </c>
      <c r="O838" s="3" t="str">
        <f t="shared" si="1416"/>
        <v>b_t</v>
      </c>
      <c r="P838" s="3" t="str">
        <f t="shared" si="1416"/>
        <v>b_t</v>
      </c>
      <c r="Q838" s="3" t="str">
        <f t="shared" si="1416"/>
        <v>b_t</v>
      </c>
      <c r="R838" s="3" t="str">
        <f t="shared" si="1416"/>
        <v>b_t</v>
      </c>
      <c r="S838" s="3" t="str">
        <f t="shared" si="1416"/>
        <v>b_t</v>
      </c>
      <c r="T838" s="3" t="str">
        <f t="shared" si="1416"/>
        <v>b_t</v>
      </c>
      <c r="U838" s="3" t="str">
        <f t="shared" si="1416"/>
        <v>b_t</v>
      </c>
      <c r="V838" s="3" t="str">
        <f t="shared" si="1416"/>
        <v>b_t</v>
      </c>
      <c r="W838" s="201" t="str">
        <f>IF(X$5=K$5,SUM(Y838:AI838)-SUM(L838:V838),"")</f>
        <v/>
      </c>
      <c r="X838" s="9" t="str">
        <f>LOWER(CtryCode)&amp;".distn."&amp;$A838&amp;IF($B838="","","."&amp;$B838)&amp;IF($C838="","",".dec."&amp;$C838)&amp;"."&amp;X$5</f>
        <v>egy.distn.rks.r3.2</v>
      </c>
      <c r="Y838" s="10" t="str">
        <f>INDEX(DSecCode,MATCH($D838,Y$770:Y$833,0))</f>
        <v>wtp</v>
      </c>
      <c r="Z838" s="3" t="str">
        <f t="shared" ref="Z838:AI838" si="1417">Y838</f>
        <v>wtp</v>
      </c>
      <c r="AA838" s="3" t="str">
        <f t="shared" si="1417"/>
        <v>wtp</v>
      </c>
      <c r="AB838" s="3" t="str">
        <f t="shared" si="1417"/>
        <v>wtp</v>
      </c>
      <c r="AC838" s="3" t="str">
        <f t="shared" si="1417"/>
        <v>wtp</v>
      </c>
      <c r="AD838" s="3" t="str">
        <f t="shared" si="1417"/>
        <v>wtp</v>
      </c>
      <c r="AE838" s="3" t="str">
        <f t="shared" si="1417"/>
        <v>wtp</v>
      </c>
      <c r="AF838" s="3" t="str">
        <f t="shared" si="1417"/>
        <v>wtp</v>
      </c>
      <c r="AG838" s="3" t="str">
        <f t="shared" si="1417"/>
        <v>wtp</v>
      </c>
      <c r="AH838" s="3" t="str">
        <f t="shared" si="1417"/>
        <v>wtp</v>
      </c>
      <c r="AI838" s="3" t="str">
        <f t="shared" si="1417"/>
        <v>wtp</v>
      </c>
    </row>
    <row r="839" hidden="1" outlineLevel="1">
      <c r="A839" s="44" t="inlineStr">
        <is>
          <t>rks</t>
        </is>
      </c>
      <c r="B839" s="3" t="inlineStr">
        <is>
          <t>r4</t>
        </is>
      </c>
      <c r="C839" s="3" t="inlineStr"/>
      <c r="D839" s="3" t="n">
        <v>4</v>
      </c>
      <c r="E839" s="3" t="n"/>
      <c r="H839" s="3" t="inlineStr">
        <is>
          <t>Rank 4: sector code</t>
        </is>
      </c>
      <c r="I839" s="3" t="inlineStr">
        <is>
          <t>code</t>
        </is>
      </c>
      <c r="J839" s="118" t="inlineStr">
        <is>
          <t>DistMapping</t>
        </is>
      </c>
      <c r="K839" s="9" t="str">
        <f>LOWER(CtryCode)&amp;".distn."&amp;$A839&amp;IF($B839="","","."&amp;$B839)&amp;IF($C839="","",".dec."&amp;$C839)&amp;"."&amp;K$5</f>
        <v>egy.distn.rks.r4.1</v>
      </c>
      <c r="L839" s="10" t="str">
        <f>INDEX(DSecCode,MATCH($D839,L$770:L$833,0))</f>
        <v>bph</v>
      </c>
      <c r="M839" s="3" t="str">
        <f t="shared" ref="M839:V839" si="1418">L839</f>
        <v>bph</v>
      </c>
      <c r="N839" s="3" t="str">
        <f t="shared" si="1418"/>
        <v>bph</v>
      </c>
      <c r="O839" s="3" t="str">
        <f t="shared" si="1418"/>
        <v>bph</v>
      </c>
      <c r="P839" s="3" t="str">
        <f t="shared" si="1418"/>
        <v>bph</v>
      </c>
      <c r="Q839" s="3" t="str">
        <f t="shared" si="1418"/>
        <v>bph</v>
      </c>
      <c r="R839" s="3" t="str">
        <f t="shared" si="1418"/>
        <v>bph</v>
      </c>
      <c r="S839" s="3" t="str">
        <f t="shared" si="1418"/>
        <v>bph</v>
      </c>
      <c r="T839" s="3" t="str">
        <f t="shared" si="1418"/>
        <v>bph</v>
      </c>
      <c r="U839" s="3" t="str">
        <f t="shared" si="1418"/>
        <v>bph</v>
      </c>
      <c r="V839" s="3" t="str">
        <f t="shared" si="1418"/>
        <v>bph</v>
      </c>
      <c r="W839" s="201" t="str">
        <f>IF(X$5=K$5,SUM(Y839:AI839)-SUM(L839:V839),"")</f>
        <v/>
      </c>
      <c r="X839" s="9" t="str">
        <f>LOWER(CtryCode)&amp;".distn."&amp;$A839&amp;IF($B839="","","."&amp;$B839)&amp;IF($C839="","",".dec."&amp;$C839)&amp;"."&amp;X$5</f>
        <v>egy.distn.rks.r4.2</v>
      </c>
      <c r="Y839" s="10" t="str">
        <f>INDEX(DSecCode,MATCH($D839,Y$770:Y$833,0))</f>
        <v>oxt</v>
      </c>
      <c r="Z839" s="3" t="str">
        <f t="shared" ref="Z839:AI839" si="1419">Y839</f>
        <v>oxt</v>
      </c>
      <c r="AA839" s="3" t="str">
        <f t="shared" si="1419"/>
        <v>oxt</v>
      </c>
      <c r="AB839" s="3" t="str">
        <f t="shared" si="1419"/>
        <v>oxt</v>
      </c>
      <c r="AC839" s="3" t="str">
        <f t="shared" si="1419"/>
        <v>oxt</v>
      </c>
      <c r="AD839" s="3" t="str">
        <f t="shared" si="1419"/>
        <v>oxt</v>
      </c>
      <c r="AE839" s="3" t="str">
        <f t="shared" si="1419"/>
        <v>oxt</v>
      </c>
      <c r="AF839" s="3" t="str">
        <f t="shared" si="1419"/>
        <v>oxt</v>
      </c>
      <c r="AG839" s="3" t="str">
        <f t="shared" si="1419"/>
        <v>oxt</v>
      </c>
      <c r="AH839" s="3" t="str">
        <f t="shared" si="1419"/>
        <v>oxt</v>
      </c>
      <c r="AI839" s="3" t="str">
        <f t="shared" si="1419"/>
        <v>oxt</v>
      </c>
    </row>
    <row r="840" hidden="1" outlineLevel="1">
      <c r="A840" s="44" t="inlineStr">
        <is>
          <t>rks</t>
        </is>
      </c>
      <c r="B840" s="3" t="inlineStr">
        <is>
          <t>r5</t>
        </is>
      </c>
      <c r="C840" s="3" t="inlineStr"/>
      <c r="D840" s="3" t="n">
        <v>5</v>
      </c>
      <c r="E840" s="3" t="n"/>
      <c r="H840" s="3" t="inlineStr">
        <is>
          <t>Rank 5: sector code</t>
        </is>
      </c>
      <c r="I840" s="3" t="inlineStr">
        <is>
          <t>code</t>
        </is>
      </c>
      <c r="J840" s="118" t="inlineStr">
        <is>
          <t>DistMapping</t>
        </is>
      </c>
      <c r="K840" s="9" t="str">
        <f>LOWER(CtryCode)&amp;".distn."&amp;$A840&amp;IF($B840="","","."&amp;$B840)&amp;IF($C840="","",".dec."&amp;$C840)&amp;"."&amp;K$5</f>
        <v>egy.distn.rks.r5.1</v>
      </c>
      <c r="L840" s="10" t="str">
        <f>INDEX(DSecCode,MATCH($D840,L$770:L$833,0))</f>
        <v>c_b</v>
      </c>
      <c r="M840" s="3" t="str">
        <f t="shared" ref="M840:V840" si="1420">L840</f>
        <v>c_b</v>
      </c>
      <c r="N840" s="3" t="str">
        <f t="shared" si="1420"/>
        <v>c_b</v>
      </c>
      <c r="O840" s="3" t="str">
        <f t="shared" si="1420"/>
        <v>c_b</v>
      </c>
      <c r="P840" s="3" t="str">
        <f t="shared" si="1420"/>
        <v>c_b</v>
      </c>
      <c r="Q840" s="3" t="str">
        <f t="shared" si="1420"/>
        <v>c_b</v>
      </c>
      <c r="R840" s="3" t="str">
        <f t="shared" si="1420"/>
        <v>c_b</v>
      </c>
      <c r="S840" s="3" t="str">
        <f t="shared" si="1420"/>
        <v>c_b</v>
      </c>
      <c r="T840" s="3" t="str">
        <f t="shared" si="1420"/>
        <v>c_b</v>
      </c>
      <c r="U840" s="3" t="str">
        <f t="shared" si="1420"/>
        <v>c_b</v>
      </c>
      <c r="V840" s="3" t="str">
        <f t="shared" si="1420"/>
        <v>c_b</v>
      </c>
      <c r="W840" s="201" t="str">
        <f>IF(X$5=K$5,SUM(Y840:AI840)-SUM(L840:V840),"")</f>
        <v/>
      </c>
      <c r="X840" s="9" t="str">
        <f>LOWER(CtryCode)&amp;".distn."&amp;$A840&amp;IF($B840="","","."&amp;$B840)&amp;IF($C840="","",".dec."&amp;$C840)&amp;"."&amp;X$5</f>
        <v>egy.distn.rks.r5.2</v>
      </c>
      <c r="Y840" s="10" t="str">
        <f>INDEX(DSecCode,MATCH($D840,Y$770:Y$833,0))</f>
        <v>otp</v>
      </c>
      <c r="Z840" s="3" t="str">
        <f t="shared" ref="Z840:AI840" si="1421">Y840</f>
        <v>otp</v>
      </c>
      <c r="AA840" s="3" t="str">
        <f t="shared" si="1421"/>
        <v>otp</v>
      </c>
      <c r="AB840" s="3" t="str">
        <f t="shared" si="1421"/>
        <v>otp</v>
      </c>
      <c r="AC840" s="3" t="str">
        <f t="shared" si="1421"/>
        <v>otp</v>
      </c>
      <c r="AD840" s="3" t="str">
        <f t="shared" si="1421"/>
        <v>otp</v>
      </c>
      <c r="AE840" s="3" t="str">
        <f t="shared" si="1421"/>
        <v>otp</v>
      </c>
      <c r="AF840" s="3" t="str">
        <f t="shared" si="1421"/>
        <v>otp</v>
      </c>
      <c r="AG840" s="3" t="str">
        <f t="shared" si="1421"/>
        <v>otp</v>
      </c>
      <c r="AH840" s="3" t="str">
        <f t="shared" si="1421"/>
        <v>otp</v>
      </c>
      <c r="AI840" s="3" t="str">
        <f t="shared" si="1421"/>
        <v>otp</v>
      </c>
    </row>
    <row r="841" hidden="1" outlineLevel="1">
      <c r="A841" s="44" t="inlineStr">
        <is>
          <t>rks</t>
        </is>
      </c>
      <c r="B841" s="3" t="inlineStr">
        <is>
          <t>r6</t>
        </is>
      </c>
      <c r="C841" s="3" t="inlineStr"/>
      <c r="D841" s="3" t="n">
        <v>6</v>
      </c>
      <c r="E841" s="3" t="n"/>
      <c r="H841" s="3" t="inlineStr">
        <is>
          <t>Rank 6: sector code</t>
        </is>
      </c>
      <c r="I841" s="3" t="inlineStr">
        <is>
          <t>code</t>
        </is>
      </c>
      <c r="J841" s="118" t="inlineStr">
        <is>
          <t>DistMapping</t>
        </is>
      </c>
      <c r="K841" s="9" t="str">
        <f>LOWER(CtryCode)&amp;".distn."&amp;$A841&amp;IF($B841="","","."&amp;$B841)&amp;IF($C841="","",".dec."&amp;$C841)&amp;"."&amp;K$5</f>
        <v>egy.distn.rks.r6.1</v>
      </c>
      <c r="L841" s="10" t="str">
        <f>INDEX(DSecCode,MATCH($D841,L$770:L$833,0))</f>
        <v>chm</v>
      </c>
      <c r="M841" s="3" t="str">
        <f t="shared" ref="M841:V841" si="1422">L841</f>
        <v>chm</v>
      </c>
      <c r="N841" s="3" t="str">
        <f t="shared" si="1422"/>
        <v>chm</v>
      </c>
      <c r="O841" s="3" t="str">
        <f t="shared" si="1422"/>
        <v>chm</v>
      </c>
      <c r="P841" s="3" t="str">
        <f t="shared" si="1422"/>
        <v>chm</v>
      </c>
      <c r="Q841" s="3" t="str">
        <f t="shared" si="1422"/>
        <v>chm</v>
      </c>
      <c r="R841" s="3" t="str">
        <f t="shared" si="1422"/>
        <v>chm</v>
      </c>
      <c r="S841" s="3" t="str">
        <f t="shared" si="1422"/>
        <v>chm</v>
      </c>
      <c r="T841" s="3" t="str">
        <f t="shared" si="1422"/>
        <v>chm</v>
      </c>
      <c r="U841" s="3" t="str">
        <f t="shared" si="1422"/>
        <v>chm</v>
      </c>
      <c r="V841" s="3" t="str">
        <f t="shared" si="1422"/>
        <v>chm</v>
      </c>
      <c r="W841" s="201" t="str">
        <f>IF(X$5=K$5,SUM(Y841:AI841)-SUM(L841:V841),"")</f>
        <v/>
      </c>
      <c r="X841" s="9" t="str">
        <f>LOWER(CtryCode)&amp;".distn."&amp;$A841&amp;IF($B841="","","."&amp;$B841)&amp;IF($C841="","",".dec."&amp;$C841)&amp;"."&amp;X$5</f>
        <v>egy.distn.rks.r6.2</v>
      </c>
      <c r="Y841" s="10" t="str">
        <f>INDEX(DSecCode,MATCH($D841,Y$770:Y$833,0))</f>
        <v>i_s</v>
      </c>
      <c r="Z841" s="3" t="str">
        <f t="shared" ref="Z841:AI841" si="1423">Y841</f>
        <v>i_s</v>
      </c>
      <c r="AA841" s="3" t="str">
        <f t="shared" si="1423"/>
        <v>i_s</v>
      </c>
      <c r="AB841" s="3" t="str">
        <f t="shared" si="1423"/>
        <v>i_s</v>
      </c>
      <c r="AC841" s="3" t="str">
        <f t="shared" si="1423"/>
        <v>i_s</v>
      </c>
      <c r="AD841" s="3" t="str">
        <f t="shared" si="1423"/>
        <v>i_s</v>
      </c>
      <c r="AE841" s="3" t="str">
        <f t="shared" si="1423"/>
        <v>i_s</v>
      </c>
      <c r="AF841" s="3" t="str">
        <f t="shared" si="1423"/>
        <v>i_s</v>
      </c>
      <c r="AG841" s="3" t="str">
        <f t="shared" si="1423"/>
        <v>i_s</v>
      </c>
      <c r="AH841" s="3" t="str">
        <f t="shared" si="1423"/>
        <v>i_s</v>
      </c>
      <c r="AI841" s="3" t="str">
        <f t="shared" si="1423"/>
        <v>i_s</v>
      </c>
    </row>
    <row r="842" hidden="1" outlineLevel="1">
      <c r="A842" s="44" t="inlineStr">
        <is>
          <t>rks</t>
        </is>
      </c>
      <c r="B842" s="3" t="inlineStr">
        <is>
          <t>r7</t>
        </is>
      </c>
      <c r="C842" s="3" t="inlineStr"/>
      <c r="D842" s="3" t="n">
        <v>7</v>
      </c>
      <c r="E842" s="3" t="n"/>
      <c r="H842" s="3" t="inlineStr">
        <is>
          <t>Rank 7: sector code</t>
        </is>
      </c>
      <c r="I842" s="3" t="inlineStr">
        <is>
          <t>code</t>
        </is>
      </c>
      <c r="J842" s="118" t="inlineStr">
        <is>
          <t>DistMapping</t>
        </is>
      </c>
      <c r="K842" s="9" t="str">
        <f>LOWER(CtryCode)&amp;".distn."&amp;$A842&amp;IF($B842="","","."&amp;$B842)&amp;IF($C842="","",".dec."&amp;$C842)&amp;"."&amp;K$5</f>
        <v>egy.distn.rks.r7.1</v>
      </c>
      <c r="L842" s="10" t="str">
        <f>INDEX(DSecCode,MATCH($D842,L$770:L$833,0))</f>
        <v>cmn</v>
      </c>
      <c r="M842" s="3" t="str">
        <f t="shared" ref="M842:V842" si="1424">L842</f>
        <v>cmn</v>
      </c>
      <c r="N842" s="3" t="str">
        <f t="shared" si="1424"/>
        <v>cmn</v>
      </c>
      <c r="O842" s="3" t="str">
        <f t="shared" si="1424"/>
        <v>cmn</v>
      </c>
      <c r="P842" s="3" t="str">
        <f t="shared" si="1424"/>
        <v>cmn</v>
      </c>
      <c r="Q842" s="3" t="str">
        <f t="shared" si="1424"/>
        <v>cmn</v>
      </c>
      <c r="R842" s="3" t="str">
        <f t="shared" si="1424"/>
        <v>cmn</v>
      </c>
      <c r="S842" s="3" t="str">
        <f t="shared" si="1424"/>
        <v>cmn</v>
      </c>
      <c r="T842" s="3" t="str">
        <f t="shared" si="1424"/>
        <v>cmn</v>
      </c>
      <c r="U842" s="3" t="str">
        <f t="shared" si="1424"/>
        <v>cmn</v>
      </c>
      <c r="V842" s="3" t="str">
        <f t="shared" si="1424"/>
        <v>cmn</v>
      </c>
      <c r="W842" s="201" t="str">
        <f>IF(X$5=K$5,SUM(Y842:AI842)-SUM(L842:V842),"")</f>
        <v/>
      </c>
      <c r="X842" s="9" t="str">
        <f>LOWER(CtryCode)&amp;".distn."&amp;$A842&amp;IF($B842="","","."&amp;$B842)&amp;IF($C842="","",".dec."&amp;$C842)&amp;"."&amp;X$5</f>
        <v>egy.distn.rks.r7.2</v>
      </c>
      <c r="Y842" s="10" t="str">
        <f>INDEX(DSecCode,MATCH($D842,Y$770:Y$833,0))</f>
        <v>omf</v>
      </c>
      <c r="Z842" s="3" t="str">
        <f t="shared" ref="Z842:AI842" si="1425">Y842</f>
        <v>omf</v>
      </c>
      <c r="AA842" s="3" t="str">
        <f t="shared" si="1425"/>
        <v>omf</v>
      </c>
      <c r="AB842" s="3" t="str">
        <f t="shared" si="1425"/>
        <v>omf</v>
      </c>
      <c r="AC842" s="3" t="str">
        <f t="shared" si="1425"/>
        <v>omf</v>
      </c>
      <c r="AD842" s="3" t="str">
        <f t="shared" si="1425"/>
        <v>omf</v>
      </c>
      <c r="AE842" s="3" t="str">
        <f t="shared" si="1425"/>
        <v>omf</v>
      </c>
      <c r="AF842" s="3" t="str">
        <f t="shared" si="1425"/>
        <v>omf</v>
      </c>
      <c r="AG842" s="3" t="str">
        <f t="shared" si="1425"/>
        <v>omf</v>
      </c>
      <c r="AH842" s="3" t="str">
        <f t="shared" si="1425"/>
        <v>omf</v>
      </c>
      <c r="AI842" s="3" t="str">
        <f t="shared" si="1425"/>
        <v>omf</v>
      </c>
    </row>
    <row r="843" hidden="1" outlineLevel="1">
      <c r="A843" s="44" t="inlineStr">
        <is>
          <t>rks</t>
        </is>
      </c>
      <c r="B843" s="3" t="inlineStr">
        <is>
          <t>r8</t>
        </is>
      </c>
      <c r="C843" s="3" t="inlineStr"/>
      <c r="D843" s="3" t="n">
        <v>8</v>
      </c>
      <c r="E843" s="3" t="n"/>
      <c r="H843" s="3" t="inlineStr">
        <is>
          <t>Rank 8: sector code</t>
        </is>
      </c>
      <c r="I843" s="3" t="inlineStr">
        <is>
          <t>code</t>
        </is>
      </c>
      <c r="J843" s="118" t="inlineStr">
        <is>
          <t>DistMapping</t>
        </is>
      </c>
      <c r="K843" s="9" t="str">
        <f>LOWER(CtryCode)&amp;".distn."&amp;$A843&amp;IF($B843="","","."&amp;$B843)&amp;IF($C843="","",".dec."&amp;$C843)&amp;"."&amp;K$5</f>
        <v>egy.distn.rks.r8.1</v>
      </c>
      <c r="L843" s="10" t="str">
        <f>INDEX(DSecCode,MATCH($D843,L$770:L$833,0))</f>
        <v>cmt</v>
      </c>
      <c r="M843" s="3" t="str">
        <f t="shared" ref="M843:V843" si="1426">L843</f>
        <v>cmt</v>
      </c>
      <c r="N843" s="3" t="str">
        <f t="shared" si="1426"/>
        <v>cmt</v>
      </c>
      <c r="O843" s="3" t="str">
        <f t="shared" si="1426"/>
        <v>cmt</v>
      </c>
      <c r="P843" s="3" t="str">
        <f t="shared" si="1426"/>
        <v>cmt</v>
      </c>
      <c r="Q843" s="3" t="str">
        <f t="shared" si="1426"/>
        <v>cmt</v>
      </c>
      <c r="R843" s="3" t="str">
        <f t="shared" si="1426"/>
        <v>cmt</v>
      </c>
      <c r="S843" s="3" t="str">
        <f t="shared" si="1426"/>
        <v>cmt</v>
      </c>
      <c r="T843" s="3" t="str">
        <f t="shared" si="1426"/>
        <v>cmt</v>
      </c>
      <c r="U843" s="3" t="str">
        <f t="shared" si="1426"/>
        <v>cmt</v>
      </c>
      <c r="V843" s="3" t="str">
        <f t="shared" si="1426"/>
        <v>cmt</v>
      </c>
      <c r="W843" s="201" t="str">
        <f>IF(X$5=K$5,SUM(Y843:AI843)-SUM(L843:V843),"")</f>
        <v/>
      </c>
      <c r="X843" s="9" t="str">
        <f>LOWER(CtryCode)&amp;".distn."&amp;$A843&amp;IF($B843="","","."&amp;$B843)&amp;IF($C843="","",".dec."&amp;$C843)&amp;"."&amp;X$5</f>
        <v>egy.distn.rks.r8.2</v>
      </c>
      <c r="Y843" s="10" t="str">
        <f>INDEX(DSecCode,MATCH($D843,Y$770:Y$833,0))</f>
        <v>nfm</v>
      </c>
      <c r="Z843" s="3" t="str">
        <f t="shared" ref="Z843:AI843" si="1427">Y843</f>
        <v>nfm</v>
      </c>
      <c r="AA843" s="3" t="str">
        <f t="shared" si="1427"/>
        <v>nfm</v>
      </c>
      <c r="AB843" s="3" t="str">
        <f t="shared" si="1427"/>
        <v>nfm</v>
      </c>
      <c r="AC843" s="3" t="str">
        <f t="shared" si="1427"/>
        <v>nfm</v>
      </c>
      <c r="AD843" s="3" t="str">
        <f t="shared" si="1427"/>
        <v>nfm</v>
      </c>
      <c r="AE843" s="3" t="str">
        <f t="shared" si="1427"/>
        <v>nfm</v>
      </c>
      <c r="AF843" s="3" t="str">
        <f t="shared" si="1427"/>
        <v>nfm</v>
      </c>
      <c r="AG843" s="3" t="str">
        <f t="shared" si="1427"/>
        <v>nfm</v>
      </c>
      <c r="AH843" s="3" t="str">
        <f t="shared" si="1427"/>
        <v>nfm</v>
      </c>
      <c r="AI843" s="3" t="str">
        <f t="shared" si="1427"/>
        <v>nfm</v>
      </c>
    </row>
    <row r="844" hidden="1" outlineLevel="1">
      <c r="A844" s="44" t="inlineStr">
        <is>
          <t>rks</t>
        </is>
      </c>
      <c r="B844" s="3" t="inlineStr">
        <is>
          <t>r9</t>
        </is>
      </c>
      <c r="C844" s="3" t="inlineStr"/>
      <c r="D844" s="3" t="n">
        <v>9</v>
      </c>
      <c r="E844" s="3" t="n"/>
      <c r="H844" s="3" t="inlineStr">
        <is>
          <t>Rank 9: sector code</t>
        </is>
      </c>
      <c r="I844" s="3" t="inlineStr">
        <is>
          <t>code</t>
        </is>
      </c>
      <c r="J844" s="118" t="inlineStr">
        <is>
          <t>DistMapping</t>
        </is>
      </c>
      <c r="K844" s="9" t="str">
        <f>LOWER(CtryCode)&amp;".distn."&amp;$A844&amp;IF($B844="","","."&amp;$B844)&amp;IF($C844="","",".dec."&amp;$C844)&amp;"."&amp;K$5</f>
        <v>egy.distn.rks.r9.1</v>
      </c>
      <c r="L844" s="10" t="str">
        <f>INDEX(DSecCode,MATCH($D844,L$770:L$833,0))</f>
        <v>cns</v>
      </c>
      <c r="M844" s="3" t="str">
        <f t="shared" ref="M844:V844" si="1428">L844</f>
        <v>cns</v>
      </c>
      <c r="N844" s="3" t="str">
        <f t="shared" si="1428"/>
        <v>cns</v>
      </c>
      <c r="O844" s="3" t="str">
        <f t="shared" si="1428"/>
        <v>cns</v>
      </c>
      <c r="P844" s="3" t="str">
        <f t="shared" si="1428"/>
        <v>cns</v>
      </c>
      <c r="Q844" s="3" t="str">
        <f t="shared" si="1428"/>
        <v>cns</v>
      </c>
      <c r="R844" s="3" t="str">
        <f t="shared" si="1428"/>
        <v>cns</v>
      </c>
      <c r="S844" s="3" t="str">
        <f t="shared" si="1428"/>
        <v>cns</v>
      </c>
      <c r="T844" s="3" t="str">
        <f t="shared" si="1428"/>
        <v>cns</v>
      </c>
      <c r="U844" s="3" t="str">
        <f t="shared" si="1428"/>
        <v>cns</v>
      </c>
      <c r="V844" s="3" t="str">
        <f t="shared" si="1428"/>
        <v>cns</v>
      </c>
      <c r="W844" s="201" t="str">
        <f>IF(X$5=K$5,SUM(Y844:AI844)-SUM(L844:V844),"")</f>
        <v/>
      </c>
      <c r="X844" s="9" t="str">
        <f>LOWER(CtryCode)&amp;".distn."&amp;$A844&amp;IF($B844="","","."&amp;$B844)&amp;IF($C844="","",".dec."&amp;$C844)&amp;"."&amp;X$5</f>
        <v>egy.distn.rks.r9.2</v>
      </c>
      <c r="Y844" s="10" t="str">
        <f>INDEX(DSecCode,MATCH($D844,Y$770:Y$833,0))</f>
        <v>rpp</v>
      </c>
      <c r="Z844" s="3" t="str">
        <f t="shared" ref="Z844:AI844" si="1429">Y844</f>
        <v>rpp</v>
      </c>
      <c r="AA844" s="3" t="str">
        <f t="shared" si="1429"/>
        <v>rpp</v>
      </c>
      <c r="AB844" s="3" t="str">
        <f t="shared" si="1429"/>
        <v>rpp</v>
      </c>
      <c r="AC844" s="3" t="str">
        <f t="shared" si="1429"/>
        <v>rpp</v>
      </c>
      <c r="AD844" s="3" t="str">
        <f t="shared" si="1429"/>
        <v>rpp</v>
      </c>
      <c r="AE844" s="3" t="str">
        <f t="shared" si="1429"/>
        <v>rpp</v>
      </c>
      <c r="AF844" s="3" t="str">
        <f t="shared" si="1429"/>
        <v>rpp</v>
      </c>
      <c r="AG844" s="3" t="str">
        <f t="shared" si="1429"/>
        <v>rpp</v>
      </c>
      <c r="AH844" s="3" t="str">
        <f t="shared" si="1429"/>
        <v>rpp</v>
      </c>
      <c r="AI844" s="3" t="str">
        <f t="shared" si="1429"/>
        <v>rpp</v>
      </c>
    </row>
    <row r="845" hidden="1" outlineLevel="1">
      <c r="A845" s="44" t="inlineStr">
        <is>
          <t>rks</t>
        </is>
      </c>
      <c r="B845" s="3" t="inlineStr">
        <is>
          <t>r10</t>
        </is>
      </c>
      <c r="C845" s="3" t="inlineStr"/>
      <c r="D845" s="3" t="n">
        <v>10</v>
      </c>
      <c r="E845" s="3" t="n"/>
      <c r="H845" s="3" t="inlineStr">
        <is>
          <t>Rank 10: sector code</t>
        </is>
      </c>
      <c r="I845" s="3" t="inlineStr">
        <is>
          <t>code</t>
        </is>
      </c>
      <c r="J845" s="118" t="inlineStr">
        <is>
          <t>DistMapping</t>
        </is>
      </c>
      <c r="K845" s="9" t="str">
        <f>LOWER(CtryCode)&amp;".distn."&amp;$A845&amp;IF($B845="","","."&amp;$B845)&amp;IF($C845="","",".dec."&amp;$C845)&amp;"."&amp;K$5</f>
        <v>egy.distn.rks.r10.1</v>
      </c>
      <c r="L845" s="10" t="str">
        <f>INDEX(DSecCode,MATCH($D845,L$770:L$833,0))</f>
        <v>coa</v>
      </c>
      <c r="M845" s="3" t="str">
        <f t="shared" ref="M845:V845" si="1430">L845</f>
        <v>coa</v>
      </c>
      <c r="N845" s="3" t="str">
        <f t="shared" si="1430"/>
        <v>coa</v>
      </c>
      <c r="O845" s="3" t="str">
        <f t="shared" si="1430"/>
        <v>coa</v>
      </c>
      <c r="P845" s="3" t="str">
        <f t="shared" si="1430"/>
        <v>coa</v>
      </c>
      <c r="Q845" s="3" t="str">
        <f t="shared" si="1430"/>
        <v>coa</v>
      </c>
      <c r="R845" s="3" t="str">
        <f t="shared" si="1430"/>
        <v>coa</v>
      </c>
      <c r="S845" s="3" t="str">
        <f t="shared" si="1430"/>
        <v>coa</v>
      </c>
      <c r="T845" s="3" t="str">
        <f t="shared" si="1430"/>
        <v>coa</v>
      </c>
      <c r="U845" s="3" t="str">
        <f t="shared" si="1430"/>
        <v>coa</v>
      </c>
      <c r="V845" s="3" t="str">
        <f t="shared" si="1430"/>
        <v>coa</v>
      </c>
      <c r="W845" s="201" t="str">
        <f>IF(X$5=K$5,SUM(Y845:AI845)-SUM(L845:V845),"")</f>
        <v/>
      </c>
      <c r="X845" s="9" t="str">
        <f>LOWER(CtryCode)&amp;".distn."&amp;$A845&amp;IF($B845="","","."&amp;$B845)&amp;IF($C845="","",".dec."&amp;$C845)&amp;"."&amp;X$5</f>
        <v>egy.distn.rks.r10.2</v>
      </c>
      <c r="Y845" s="10" t="str">
        <f>INDEX(DSecCode,MATCH($D845,Y$770:Y$833,0))</f>
        <v>fmp</v>
      </c>
      <c r="Z845" s="3" t="str">
        <f t="shared" ref="Z845:AI845" si="1431">Y845</f>
        <v>fmp</v>
      </c>
      <c r="AA845" s="3" t="str">
        <f t="shared" si="1431"/>
        <v>fmp</v>
      </c>
      <c r="AB845" s="3" t="str">
        <f t="shared" si="1431"/>
        <v>fmp</v>
      </c>
      <c r="AC845" s="3" t="str">
        <f t="shared" si="1431"/>
        <v>fmp</v>
      </c>
      <c r="AD845" s="3" t="str">
        <f t="shared" si="1431"/>
        <v>fmp</v>
      </c>
      <c r="AE845" s="3" t="str">
        <f t="shared" si="1431"/>
        <v>fmp</v>
      </c>
      <c r="AF845" s="3" t="str">
        <f t="shared" si="1431"/>
        <v>fmp</v>
      </c>
      <c r="AG845" s="3" t="str">
        <f t="shared" si="1431"/>
        <v>fmp</v>
      </c>
      <c r="AH845" s="3" t="str">
        <f t="shared" si="1431"/>
        <v>fmp</v>
      </c>
      <c r="AI845" s="3" t="str">
        <f t="shared" si="1431"/>
        <v>fmp</v>
      </c>
    </row>
    <row r="846" hidden="1" outlineLevel="1">
      <c r="A846" s="44" t="inlineStr">
        <is>
          <t>rks</t>
        </is>
      </c>
      <c r="B846" s="3" t="inlineStr">
        <is>
          <t>r11</t>
        </is>
      </c>
      <c r="C846" s="3" t="inlineStr"/>
      <c r="D846" s="3" t="n">
        <v>11</v>
      </c>
      <c r="E846" s="3" t="n"/>
      <c r="H846" s="3" t="inlineStr">
        <is>
          <t>Rank 11: sector code</t>
        </is>
      </c>
      <c r="I846" s="3" t="inlineStr">
        <is>
          <t>code</t>
        </is>
      </c>
      <c r="J846" s="118" t="inlineStr">
        <is>
          <t>DistMapping</t>
        </is>
      </c>
      <c r="K846" s="9" t="str">
        <f>LOWER(CtryCode)&amp;".distn."&amp;$A846&amp;IF($B846="","","."&amp;$B846)&amp;IF($C846="","",".dec."&amp;$C846)&amp;"."&amp;K$5</f>
        <v>egy.distn.rks.r11.1</v>
      </c>
      <c r="L846" s="10" t="str">
        <f>INDEX(DSecCode,MATCH($D846,L$770:L$833,0))</f>
        <v>ctl</v>
      </c>
      <c r="M846" s="3" t="str">
        <f t="shared" ref="M846:V846" si="1432">L846</f>
        <v>ctl</v>
      </c>
      <c r="N846" s="3" t="str">
        <f t="shared" si="1432"/>
        <v>ctl</v>
      </c>
      <c r="O846" s="3" t="str">
        <f t="shared" si="1432"/>
        <v>ctl</v>
      </c>
      <c r="P846" s="3" t="str">
        <f t="shared" si="1432"/>
        <v>ctl</v>
      </c>
      <c r="Q846" s="3" t="str">
        <f t="shared" si="1432"/>
        <v>ctl</v>
      </c>
      <c r="R846" s="3" t="str">
        <f t="shared" si="1432"/>
        <v>ctl</v>
      </c>
      <c r="S846" s="3" t="str">
        <f t="shared" si="1432"/>
        <v>ctl</v>
      </c>
      <c r="T846" s="3" t="str">
        <f t="shared" si="1432"/>
        <v>ctl</v>
      </c>
      <c r="U846" s="3" t="str">
        <f t="shared" si="1432"/>
        <v>ctl</v>
      </c>
      <c r="V846" s="3" t="str">
        <f t="shared" si="1432"/>
        <v>ctl</v>
      </c>
      <c r="W846" s="201" t="str">
        <f>IF(X$5=K$5,SUM(Y846:AI846)-SUM(L846:V846),"")</f>
        <v/>
      </c>
      <c r="X846" s="9" t="str">
        <f>LOWER(CtryCode)&amp;".distn."&amp;$A846&amp;IF($B846="","","."&amp;$B846)&amp;IF($C846="","",".dec."&amp;$C846)&amp;"."&amp;X$5</f>
        <v>egy.distn.rks.r11.2</v>
      </c>
      <c r="Y846" s="10" t="str">
        <f>INDEX(DSecCode,MATCH($D846,Y$770:Y$833,0))</f>
        <v>pfb</v>
      </c>
      <c r="Z846" s="3" t="str">
        <f t="shared" ref="Z846:AI846" si="1433">Y846</f>
        <v>pfb</v>
      </c>
      <c r="AA846" s="3" t="str">
        <f t="shared" si="1433"/>
        <v>pfb</v>
      </c>
      <c r="AB846" s="3" t="str">
        <f t="shared" si="1433"/>
        <v>pfb</v>
      </c>
      <c r="AC846" s="3" t="str">
        <f t="shared" si="1433"/>
        <v>pfb</v>
      </c>
      <c r="AD846" s="3" t="str">
        <f t="shared" si="1433"/>
        <v>pfb</v>
      </c>
      <c r="AE846" s="3" t="str">
        <f t="shared" si="1433"/>
        <v>pfb</v>
      </c>
      <c r="AF846" s="3" t="str">
        <f t="shared" si="1433"/>
        <v>pfb</v>
      </c>
      <c r="AG846" s="3" t="str">
        <f t="shared" si="1433"/>
        <v>pfb</v>
      </c>
      <c r="AH846" s="3" t="str">
        <f t="shared" si="1433"/>
        <v>pfb</v>
      </c>
      <c r="AI846" s="3" t="str">
        <f t="shared" si="1433"/>
        <v>pfb</v>
      </c>
    </row>
    <row r="847" hidden="1" outlineLevel="1">
      <c r="A847" s="44" t="inlineStr">
        <is>
          <t>rks</t>
        </is>
      </c>
      <c r="B847" s="3" t="inlineStr">
        <is>
          <t>r12</t>
        </is>
      </c>
      <c r="C847" s="3" t="inlineStr"/>
      <c r="D847" s="3" t="n">
        <v>12</v>
      </c>
      <c r="E847" s="3" t="n"/>
      <c r="H847" s="3" t="inlineStr">
        <is>
          <t>Rank 12: sector code</t>
        </is>
      </c>
      <c r="I847" s="3" t="inlineStr">
        <is>
          <t>code</t>
        </is>
      </c>
      <c r="J847" s="118" t="inlineStr">
        <is>
          <t>DistMapping</t>
        </is>
      </c>
      <c r="K847" s="9" t="str">
        <f>LOWER(CtryCode)&amp;".distn."&amp;$A847&amp;IF($B847="","","."&amp;$B847)&amp;IF($C847="","",".dec."&amp;$C847)&amp;"."&amp;K$5</f>
        <v>egy.distn.rks.r12.1</v>
      </c>
      <c r="L847" s="10" t="str">
        <f>INDEX(DSecCode,MATCH($D847,L$770:L$833,0))</f>
        <v>dwe</v>
      </c>
      <c r="M847" s="3" t="str">
        <f t="shared" ref="M847:V847" si="1434">L847</f>
        <v>dwe</v>
      </c>
      <c r="N847" s="3" t="str">
        <f t="shared" si="1434"/>
        <v>dwe</v>
      </c>
      <c r="O847" s="3" t="str">
        <f t="shared" si="1434"/>
        <v>dwe</v>
      </c>
      <c r="P847" s="3" t="str">
        <f t="shared" si="1434"/>
        <v>dwe</v>
      </c>
      <c r="Q847" s="3" t="str">
        <f t="shared" si="1434"/>
        <v>dwe</v>
      </c>
      <c r="R847" s="3" t="str">
        <f t="shared" si="1434"/>
        <v>dwe</v>
      </c>
      <c r="S847" s="3" t="str">
        <f t="shared" si="1434"/>
        <v>dwe</v>
      </c>
      <c r="T847" s="3" t="str">
        <f t="shared" si="1434"/>
        <v>dwe</v>
      </c>
      <c r="U847" s="3" t="str">
        <f t="shared" si="1434"/>
        <v>dwe</v>
      </c>
      <c r="V847" s="3" t="str">
        <f t="shared" si="1434"/>
        <v>dwe</v>
      </c>
      <c r="W847" s="201" t="str">
        <f>IF(X$5=K$5,SUM(Y847:AI847)-SUM(L847:V847),"")</f>
        <v/>
      </c>
      <c r="X847" s="9" t="str">
        <f>LOWER(CtryCode)&amp;".distn."&amp;$A847&amp;IF($B847="","","."&amp;$B847)&amp;IF($C847="","",".dec."&amp;$C847)&amp;"."&amp;X$5</f>
        <v>egy.distn.rks.r12.2</v>
      </c>
      <c r="Y847" s="10" t="str">
        <f>INDEX(DSecCode,MATCH($D847,Y$770:Y$833,0))</f>
        <v>ppp</v>
      </c>
      <c r="Z847" s="3" t="str">
        <f t="shared" ref="Z847:AI847" si="1435">Y847</f>
        <v>ppp</v>
      </c>
      <c r="AA847" s="3" t="str">
        <f t="shared" si="1435"/>
        <v>ppp</v>
      </c>
      <c r="AB847" s="3" t="str">
        <f t="shared" si="1435"/>
        <v>ppp</v>
      </c>
      <c r="AC847" s="3" t="str">
        <f t="shared" si="1435"/>
        <v>ppp</v>
      </c>
      <c r="AD847" s="3" t="str">
        <f t="shared" si="1435"/>
        <v>ppp</v>
      </c>
      <c r="AE847" s="3" t="str">
        <f t="shared" si="1435"/>
        <v>ppp</v>
      </c>
      <c r="AF847" s="3" t="str">
        <f t="shared" si="1435"/>
        <v>ppp</v>
      </c>
      <c r="AG847" s="3" t="str">
        <f t="shared" si="1435"/>
        <v>ppp</v>
      </c>
      <c r="AH847" s="3" t="str">
        <f t="shared" si="1435"/>
        <v>ppp</v>
      </c>
      <c r="AI847" s="3" t="str">
        <f t="shared" si="1435"/>
        <v>ppp</v>
      </c>
    </row>
    <row r="848" hidden="1" outlineLevel="1">
      <c r="A848" s="44" t="inlineStr">
        <is>
          <t>rks</t>
        </is>
      </c>
      <c r="B848" s="3" t="inlineStr">
        <is>
          <t>r13</t>
        </is>
      </c>
      <c r="C848" s="3" t="inlineStr"/>
      <c r="D848" s="3" t="n">
        <v>13</v>
      </c>
      <c r="E848" s="3" t="n"/>
      <c r="H848" s="3" t="inlineStr">
        <is>
          <t>Rank 13: sector code</t>
        </is>
      </c>
      <c r="I848" s="3" t="inlineStr">
        <is>
          <t>code</t>
        </is>
      </c>
      <c r="J848" s="118" t="inlineStr">
        <is>
          <t>DistMapping</t>
        </is>
      </c>
      <c r="K848" s="9" t="str">
        <f>LOWER(CtryCode)&amp;".distn."&amp;$A848&amp;IF($B848="","","."&amp;$B848)&amp;IF($C848="","",".dec."&amp;$C848)&amp;"."&amp;K$5</f>
        <v>egy.distn.rks.r13.1</v>
      </c>
      <c r="L848" s="10" t="str">
        <f>INDEX(DSecCode,MATCH($D848,L$770:L$833,0))</f>
        <v>edu</v>
      </c>
      <c r="M848" s="3" t="str">
        <f t="shared" ref="M848:V848" si="1436">L848</f>
        <v>edu</v>
      </c>
      <c r="N848" s="3" t="str">
        <f t="shared" si="1436"/>
        <v>edu</v>
      </c>
      <c r="O848" s="3" t="str">
        <f t="shared" si="1436"/>
        <v>edu</v>
      </c>
      <c r="P848" s="3" t="str">
        <f t="shared" si="1436"/>
        <v>edu</v>
      </c>
      <c r="Q848" s="3" t="str">
        <f t="shared" si="1436"/>
        <v>edu</v>
      </c>
      <c r="R848" s="3" t="str">
        <f t="shared" si="1436"/>
        <v>edu</v>
      </c>
      <c r="S848" s="3" t="str">
        <f t="shared" si="1436"/>
        <v>edu</v>
      </c>
      <c r="T848" s="3" t="str">
        <f t="shared" si="1436"/>
        <v>edu</v>
      </c>
      <c r="U848" s="3" t="str">
        <f t="shared" si="1436"/>
        <v>edu</v>
      </c>
      <c r="V848" s="3" t="str">
        <f t="shared" si="1436"/>
        <v>edu</v>
      </c>
      <c r="W848" s="201" t="str">
        <f>IF(X$5=K$5,SUM(Y848:AI848)-SUM(L848:V848),"")</f>
        <v/>
      </c>
      <c r="X848" s="9" t="str">
        <f>LOWER(CtryCode)&amp;".distn."&amp;$A848&amp;IF($B848="","","."&amp;$B848)&amp;IF($C848="","",".dec."&amp;$C848)&amp;"."&amp;X$5</f>
        <v>egy.distn.rks.r13.2</v>
      </c>
      <c r="Y848" s="10" t="str">
        <f>INDEX(DSecCode,MATCH($D848,Y$770:Y$833,0))</f>
        <v>wtr</v>
      </c>
      <c r="Z848" s="3" t="str">
        <f t="shared" ref="Z848:AI848" si="1437">Y848</f>
        <v>wtr</v>
      </c>
      <c r="AA848" s="3" t="str">
        <f t="shared" si="1437"/>
        <v>wtr</v>
      </c>
      <c r="AB848" s="3" t="str">
        <f t="shared" si="1437"/>
        <v>wtr</v>
      </c>
      <c r="AC848" s="3" t="str">
        <f t="shared" si="1437"/>
        <v>wtr</v>
      </c>
      <c r="AD848" s="3" t="str">
        <f t="shared" si="1437"/>
        <v>wtr</v>
      </c>
      <c r="AE848" s="3" t="str">
        <f t="shared" si="1437"/>
        <v>wtr</v>
      </c>
      <c r="AF848" s="3" t="str">
        <f t="shared" si="1437"/>
        <v>wtr</v>
      </c>
      <c r="AG848" s="3" t="str">
        <f t="shared" si="1437"/>
        <v>wtr</v>
      </c>
      <c r="AH848" s="3" t="str">
        <f t="shared" si="1437"/>
        <v>wtr</v>
      </c>
      <c r="AI848" s="3" t="str">
        <f t="shared" si="1437"/>
        <v>wtr</v>
      </c>
    </row>
    <row r="849" hidden="1" outlineLevel="1">
      <c r="A849" s="44" t="inlineStr">
        <is>
          <t>rks</t>
        </is>
      </c>
      <c r="B849" s="3" t="inlineStr">
        <is>
          <t>r14</t>
        </is>
      </c>
      <c r="C849" s="3" t="inlineStr"/>
      <c r="D849" s="3" t="n">
        <v>14</v>
      </c>
      <c r="E849" s="3" t="n"/>
      <c r="H849" s="3" t="inlineStr">
        <is>
          <t>Rank 14: sector code</t>
        </is>
      </c>
      <c r="I849" s="3" t="inlineStr">
        <is>
          <t>code</t>
        </is>
      </c>
      <c r="J849" s="118" t="inlineStr">
        <is>
          <t>DistMapping</t>
        </is>
      </c>
      <c r="K849" s="9" t="str">
        <f>LOWER(CtryCode)&amp;".distn."&amp;$A849&amp;IF($B849="","","."&amp;$B849)&amp;IF($C849="","",".dec."&amp;$C849)&amp;"."&amp;K$5</f>
        <v>egy.distn.rks.r14.1</v>
      </c>
      <c r="L849" s="10" t="str">
        <f>INDEX(DSecCode,MATCH($D849,L$770:L$833,0))</f>
        <v>eeq</v>
      </c>
      <c r="M849" s="3" t="str">
        <f t="shared" ref="M849:V849" si="1438">L849</f>
        <v>eeq</v>
      </c>
      <c r="N849" s="3" t="str">
        <f t="shared" si="1438"/>
        <v>eeq</v>
      </c>
      <c r="O849" s="3" t="str">
        <f t="shared" si="1438"/>
        <v>eeq</v>
      </c>
      <c r="P849" s="3" t="str">
        <f t="shared" si="1438"/>
        <v>eeq</v>
      </c>
      <c r="Q849" s="3" t="str">
        <f t="shared" si="1438"/>
        <v>eeq</v>
      </c>
      <c r="R849" s="3" t="str">
        <f t="shared" si="1438"/>
        <v>eeq</v>
      </c>
      <c r="S849" s="3" t="str">
        <f t="shared" si="1438"/>
        <v>eeq</v>
      </c>
      <c r="T849" s="3" t="str">
        <f t="shared" si="1438"/>
        <v>eeq</v>
      </c>
      <c r="U849" s="3" t="str">
        <f t="shared" si="1438"/>
        <v>eeq</v>
      </c>
      <c r="V849" s="3" t="str">
        <f t="shared" si="1438"/>
        <v>eeq</v>
      </c>
      <c r="W849" s="201" t="str">
        <f>IF(X$5=K$5,SUM(Y849:AI849)-SUM(L849:V849),"")</f>
        <v/>
      </c>
      <c r="X849" s="9" t="str">
        <f>LOWER(CtryCode)&amp;".distn."&amp;$A849&amp;IF($B849="","","."&amp;$B849)&amp;IF($C849="","",".dec."&amp;$C849)&amp;"."&amp;X$5</f>
        <v>egy.distn.rks.r14.2</v>
      </c>
      <c r="Y849" s="10" t="str">
        <f>INDEX(DSecCode,MATCH($D849,Y$770:Y$833,0))</f>
        <v>ome</v>
      </c>
      <c r="Z849" s="3" t="str">
        <f t="shared" ref="Z849:AI849" si="1439">Y849</f>
        <v>ome</v>
      </c>
      <c r="AA849" s="3" t="str">
        <f t="shared" si="1439"/>
        <v>ome</v>
      </c>
      <c r="AB849" s="3" t="str">
        <f t="shared" si="1439"/>
        <v>ome</v>
      </c>
      <c r="AC849" s="3" t="str">
        <f t="shared" si="1439"/>
        <v>ome</v>
      </c>
      <c r="AD849" s="3" t="str">
        <f t="shared" si="1439"/>
        <v>ome</v>
      </c>
      <c r="AE849" s="3" t="str">
        <f t="shared" si="1439"/>
        <v>ome</v>
      </c>
      <c r="AF849" s="3" t="str">
        <f t="shared" si="1439"/>
        <v>ome</v>
      </c>
      <c r="AG849" s="3" t="str">
        <f t="shared" si="1439"/>
        <v>ome</v>
      </c>
      <c r="AH849" s="3" t="str">
        <f t="shared" si="1439"/>
        <v>ome</v>
      </c>
      <c r="AI849" s="3" t="str">
        <f t="shared" si="1439"/>
        <v>ome</v>
      </c>
    </row>
    <row r="850" hidden="1" outlineLevel="1">
      <c r="A850" s="44" t="inlineStr">
        <is>
          <t>rks</t>
        </is>
      </c>
      <c r="B850" s="3" t="inlineStr">
        <is>
          <t>r15</t>
        </is>
      </c>
      <c r="C850" s="3" t="inlineStr"/>
      <c r="D850" s="3" t="n">
        <v>15</v>
      </c>
      <c r="E850" s="3" t="n"/>
      <c r="H850" s="3" t="inlineStr">
        <is>
          <t>Rank 15: sector code</t>
        </is>
      </c>
      <c r="I850" s="3" t="inlineStr">
        <is>
          <t>code</t>
        </is>
      </c>
      <c r="J850" s="118" t="inlineStr">
        <is>
          <t>DistMapping</t>
        </is>
      </c>
      <c r="K850" s="9" t="str">
        <f>LOWER(CtryCode)&amp;".distn."&amp;$A850&amp;IF($B850="","","."&amp;$B850)&amp;IF($C850="","",".dec."&amp;$C850)&amp;"."&amp;K$5</f>
        <v>egy.distn.rks.r15.1</v>
      </c>
      <c r="L850" s="10" t="str">
        <f>INDEX(DSecCode,MATCH($D850,L$770:L$833,0))</f>
        <v>ele</v>
      </c>
      <c r="M850" s="3" t="str">
        <f t="shared" ref="M850:V850" si="1440">L850</f>
        <v>ele</v>
      </c>
      <c r="N850" s="3" t="str">
        <f t="shared" si="1440"/>
        <v>ele</v>
      </c>
      <c r="O850" s="3" t="str">
        <f t="shared" si="1440"/>
        <v>ele</v>
      </c>
      <c r="P850" s="3" t="str">
        <f t="shared" si="1440"/>
        <v>ele</v>
      </c>
      <c r="Q850" s="3" t="str">
        <f t="shared" si="1440"/>
        <v>ele</v>
      </c>
      <c r="R850" s="3" t="str">
        <f t="shared" si="1440"/>
        <v>ele</v>
      </c>
      <c r="S850" s="3" t="str">
        <f t="shared" si="1440"/>
        <v>ele</v>
      </c>
      <c r="T850" s="3" t="str">
        <f t="shared" si="1440"/>
        <v>ele</v>
      </c>
      <c r="U850" s="3" t="str">
        <f t="shared" si="1440"/>
        <v>ele</v>
      </c>
      <c r="V850" s="3" t="str">
        <f t="shared" si="1440"/>
        <v>ele</v>
      </c>
      <c r="W850" s="201" t="str">
        <f>IF(X$5=K$5,SUM(Y850:AI850)-SUM(L850:V850),"")</f>
        <v/>
      </c>
      <c r="X850" s="9" t="str">
        <f>LOWER(CtryCode)&amp;".distn."&amp;$A850&amp;IF($B850="","","."&amp;$B850)&amp;IF($C850="","",".dec."&amp;$C850)&amp;"."&amp;X$5</f>
        <v>egy.distn.rks.r15.2</v>
      </c>
      <c r="Y850" s="10" t="str">
        <f>INDEX(DSecCode,MATCH($D850,Y$770:Y$833,0))</f>
        <v>eeq</v>
      </c>
      <c r="Z850" s="3" t="str">
        <f t="shared" ref="Z850:AI850" si="1441">Y850</f>
        <v>eeq</v>
      </c>
      <c r="AA850" s="3" t="str">
        <f t="shared" si="1441"/>
        <v>eeq</v>
      </c>
      <c r="AB850" s="3" t="str">
        <f t="shared" si="1441"/>
        <v>eeq</v>
      </c>
      <c r="AC850" s="3" t="str">
        <f t="shared" si="1441"/>
        <v>eeq</v>
      </c>
      <c r="AD850" s="3" t="str">
        <f t="shared" si="1441"/>
        <v>eeq</v>
      </c>
      <c r="AE850" s="3" t="str">
        <f t="shared" si="1441"/>
        <v>eeq</v>
      </c>
      <c r="AF850" s="3" t="str">
        <f t="shared" si="1441"/>
        <v>eeq</v>
      </c>
      <c r="AG850" s="3" t="str">
        <f t="shared" si="1441"/>
        <v>eeq</v>
      </c>
      <c r="AH850" s="3" t="str">
        <f t="shared" si="1441"/>
        <v>eeq</v>
      </c>
      <c r="AI850" s="3" t="str">
        <f t="shared" si="1441"/>
        <v>eeq</v>
      </c>
    </row>
    <row r="851" hidden="1" outlineLevel="1">
      <c r="A851" s="44" t="inlineStr">
        <is>
          <t>rks</t>
        </is>
      </c>
      <c r="B851" s="3" t="inlineStr">
        <is>
          <t>r16</t>
        </is>
      </c>
      <c r="C851" s="3" t="inlineStr"/>
      <c r="D851" s="3" t="n">
        <v>16</v>
      </c>
      <c r="E851" s="3" t="n"/>
      <c r="H851" s="3" t="inlineStr">
        <is>
          <t>Rank 16: sector code</t>
        </is>
      </c>
      <c r="I851" s="3" t="inlineStr">
        <is>
          <t>code</t>
        </is>
      </c>
      <c r="J851" s="118" t="inlineStr">
        <is>
          <t>DistMapping</t>
        </is>
      </c>
      <c r="K851" s="9" t="str">
        <f>LOWER(CtryCode)&amp;".distn."&amp;$A851&amp;IF($B851="","","."&amp;$B851)&amp;IF($C851="","",".dec."&amp;$C851)&amp;"."&amp;K$5</f>
        <v>egy.distn.rks.r16.1</v>
      </c>
      <c r="L851" s="10" t="str">
        <f>INDEX(DSecCode,MATCH($D851,L$770:L$833,0))</f>
        <v>ely</v>
      </c>
      <c r="M851" s="3" t="str">
        <f t="shared" ref="M851:V851" si="1442">L851</f>
        <v>ely</v>
      </c>
      <c r="N851" s="3" t="str">
        <f t="shared" si="1442"/>
        <v>ely</v>
      </c>
      <c r="O851" s="3" t="str">
        <f t="shared" si="1442"/>
        <v>ely</v>
      </c>
      <c r="P851" s="3" t="str">
        <f t="shared" si="1442"/>
        <v>ely</v>
      </c>
      <c r="Q851" s="3" t="str">
        <f t="shared" si="1442"/>
        <v>ely</v>
      </c>
      <c r="R851" s="3" t="str">
        <f t="shared" si="1442"/>
        <v>ely</v>
      </c>
      <c r="S851" s="3" t="str">
        <f t="shared" si="1442"/>
        <v>ely</v>
      </c>
      <c r="T851" s="3" t="str">
        <f t="shared" si="1442"/>
        <v>ely</v>
      </c>
      <c r="U851" s="3" t="str">
        <f t="shared" si="1442"/>
        <v>ely</v>
      </c>
      <c r="V851" s="3" t="str">
        <f t="shared" si="1442"/>
        <v>ely</v>
      </c>
      <c r="W851" s="201" t="str">
        <f>IF(X$5=K$5,SUM(Y851:AI851)-SUM(L851:V851),"")</f>
        <v/>
      </c>
      <c r="X851" s="9" t="str">
        <f>LOWER(CtryCode)&amp;".distn."&amp;$A851&amp;IF($B851="","","."&amp;$B851)&amp;IF($C851="","",".dec."&amp;$C851)&amp;"."&amp;X$5</f>
        <v>egy.distn.rks.r16.2</v>
      </c>
      <c r="Y851" s="10" t="str">
        <f>INDEX(DSecCode,MATCH($D851,Y$770:Y$833,0))</f>
        <v>bph</v>
      </c>
      <c r="Z851" s="3" t="str">
        <f t="shared" ref="Z851:AI851" si="1443">Y851</f>
        <v>bph</v>
      </c>
      <c r="AA851" s="3" t="str">
        <f t="shared" si="1443"/>
        <v>bph</v>
      </c>
      <c r="AB851" s="3" t="str">
        <f t="shared" si="1443"/>
        <v>bph</v>
      </c>
      <c r="AC851" s="3" t="str">
        <f t="shared" si="1443"/>
        <v>bph</v>
      </c>
      <c r="AD851" s="3" t="str">
        <f t="shared" si="1443"/>
        <v>bph</v>
      </c>
      <c r="AE851" s="3" t="str">
        <f t="shared" si="1443"/>
        <v>bph</v>
      </c>
      <c r="AF851" s="3" t="str">
        <f t="shared" si="1443"/>
        <v>bph</v>
      </c>
      <c r="AG851" s="3" t="str">
        <f t="shared" si="1443"/>
        <v>bph</v>
      </c>
      <c r="AH851" s="3" t="str">
        <f t="shared" si="1443"/>
        <v>bph</v>
      </c>
      <c r="AI851" s="3" t="str">
        <f t="shared" si="1443"/>
        <v>bph</v>
      </c>
    </row>
    <row r="852" hidden="1" outlineLevel="1">
      <c r="A852" s="44" t="inlineStr">
        <is>
          <t>rks</t>
        </is>
      </c>
      <c r="B852" s="3" t="inlineStr">
        <is>
          <t>r17</t>
        </is>
      </c>
      <c r="C852" s="3" t="inlineStr"/>
      <c r="D852" s="3" t="n">
        <v>17</v>
      </c>
      <c r="E852" s="3" t="n"/>
      <c r="H852" s="3" t="inlineStr">
        <is>
          <t>Rank 17: sector code</t>
        </is>
      </c>
      <c r="I852" s="3" t="inlineStr">
        <is>
          <t>code</t>
        </is>
      </c>
      <c r="J852" s="118" t="inlineStr">
        <is>
          <t>DistMapping</t>
        </is>
      </c>
      <c r="K852" s="9" t="str">
        <f>LOWER(CtryCode)&amp;".distn."&amp;$A852&amp;IF($B852="","","."&amp;$B852)&amp;IF($C852="","",".dec."&amp;$C852)&amp;"."&amp;K$5</f>
        <v>egy.distn.rks.r17.1</v>
      </c>
      <c r="L852" s="10" t="str">
        <f>INDEX(DSecCode,MATCH($D852,L$770:L$833,0))</f>
        <v>fmp</v>
      </c>
      <c r="M852" s="3" t="str">
        <f t="shared" ref="M852:V852" si="1444">L852</f>
        <v>fmp</v>
      </c>
      <c r="N852" s="3" t="str">
        <f t="shared" si="1444"/>
        <v>fmp</v>
      </c>
      <c r="O852" s="3" t="str">
        <f t="shared" si="1444"/>
        <v>fmp</v>
      </c>
      <c r="P852" s="3" t="str">
        <f t="shared" si="1444"/>
        <v>fmp</v>
      </c>
      <c r="Q852" s="3" t="str">
        <f t="shared" si="1444"/>
        <v>fmp</v>
      </c>
      <c r="R852" s="3" t="str">
        <f t="shared" si="1444"/>
        <v>fmp</v>
      </c>
      <c r="S852" s="3" t="str">
        <f t="shared" si="1444"/>
        <v>fmp</v>
      </c>
      <c r="T852" s="3" t="str">
        <f t="shared" si="1444"/>
        <v>fmp</v>
      </c>
      <c r="U852" s="3" t="str">
        <f t="shared" si="1444"/>
        <v>fmp</v>
      </c>
      <c r="V852" s="3" t="str">
        <f t="shared" si="1444"/>
        <v>fmp</v>
      </c>
      <c r="W852" s="201" t="str">
        <f>IF(X$5=K$5,SUM(Y852:AI852)-SUM(L852:V852),"")</f>
        <v/>
      </c>
      <c r="X852" s="9" t="str">
        <f>LOWER(CtryCode)&amp;".distn."&amp;$A852&amp;IF($B852="","","."&amp;$B852)&amp;IF($C852="","",".dec."&amp;$C852)&amp;"."&amp;X$5</f>
        <v>egy.distn.rks.r17.2</v>
      </c>
      <c r="Y852" s="10" t="str">
        <f>INDEX(DSecCode,MATCH($D852,Y$770:Y$833,0))</f>
        <v>wol</v>
      </c>
      <c r="Z852" s="3" t="str">
        <f t="shared" ref="Z852:AI852" si="1445">Y852</f>
        <v>wol</v>
      </c>
      <c r="AA852" s="3" t="str">
        <f t="shared" si="1445"/>
        <v>wol</v>
      </c>
      <c r="AB852" s="3" t="str">
        <f t="shared" si="1445"/>
        <v>wol</v>
      </c>
      <c r="AC852" s="3" t="str">
        <f t="shared" si="1445"/>
        <v>wol</v>
      </c>
      <c r="AD852" s="3" t="str">
        <f t="shared" si="1445"/>
        <v>wol</v>
      </c>
      <c r="AE852" s="3" t="str">
        <f t="shared" si="1445"/>
        <v>wol</v>
      </c>
      <c r="AF852" s="3" t="str">
        <f t="shared" si="1445"/>
        <v>wol</v>
      </c>
      <c r="AG852" s="3" t="str">
        <f t="shared" si="1445"/>
        <v>wol</v>
      </c>
      <c r="AH852" s="3" t="str">
        <f t="shared" si="1445"/>
        <v>wol</v>
      </c>
      <c r="AI852" s="3" t="str">
        <f t="shared" si="1445"/>
        <v>wol</v>
      </c>
    </row>
    <row r="853" hidden="1" outlineLevel="1">
      <c r="A853" s="44" t="inlineStr">
        <is>
          <t>rks</t>
        </is>
      </c>
      <c r="B853" s="3" t="inlineStr">
        <is>
          <t>r18</t>
        </is>
      </c>
      <c r="C853" s="3" t="inlineStr"/>
      <c r="D853" s="3" t="n">
        <v>18</v>
      </c>
      <c r="E853" s="3" t="n"/>
      <c r="H853" s="3" t="inlineStr">
        <is>
          <t>Rank 18: sector code</t>
        </is>
      </c>
      <c r="I853" s="3" t="inlineStr">
        <is>
          <t>code</t>
        </is>
      </c>
      <c r="J853" s="118" t="inlineStr">
        <is>
          <t>DistMapping</t>
        </is>
      </c>
      <c r="K853" s="9" t="str">
        <f>LOWER(CtryCode)&amp;".distn."&amp;$A853&amp;IF($B853="","","."&amp;$B853)&amp;IF($C853="","",".dec."&amp;$C853)&amp;"."&amp;K$5</f>
        <v>egy.distn.rks.r18.1</v>
      </c>
      <c r="L853" s="10" t="str">
        <f>INDEX(DSecCode,MATCH($D853,L$770:L$833,0))</f>
        <v>frs</v>
      </c>
      <c r="M853" s="3" t="str">
        <f t="shared" ref="M853:V853" si="1446">L853</f>
        <v>frs</v>
      </c>
      <c r="N853" s="3" t="str">
        <f t="shared" si="1446"/>
        <v>frs</v>
      </c>
      <c r="O853" s="3" t="str">
        <f t="shared" si="1446"/>
        <v>frs</v>
      </c>
      <c r="P853" s="3" t="str">
        <f t="shared" si="1446"/>
        <v>frs</v>
      </c>
      <c r="Q853" s="3" t="str">
        <f t="shared" si="1446"/>
        <v>frs</v>
      </c>
      <c r="R853" s="3" t="str">
        <f t="shared" si="1446"/>
        <v>frs</v>
      </c>
      <c r="S853" s="3" t="str">
        <f t="shared" si="1446"/>
        <v>frs</v>
      </c>
      <c r="T853" s="3" t="str">
        <f t="shared" si="1446"/>
        <v>frs</v>
      </c>
      <c r="U853" s="3" t="str">
        <f t="shared" si="1446"/>
        <v>frs</v>
      </c>
      <c r="V853" s="3" t="str">
        <f t="shared" si="1446"/>
        <v>frs</v>
      </c>
      <c r="W853" s="201" t="str">
        <f>IF(X$5=K$5,SUM(Y853:AI853)-SUM(L853:V853),"")</f>
        <v/>
      </c>
      <c r="X853" s="9" t="str">
        <f>LOWER(CtryCode)&amp;".distn."&amp;$A853&amp;IF($B853="","","."&amp;$B853)&amp;IF($C853="","",".dec."&amp;$C853)&amp;"."&amp;X$5</f>
        <v>egy.distn.rks.r18.2</v>
      </c>
      <c r="Y853" s="10" t="str">
        <f>INDEX(DSecCode,MATCH($D853,Y$770:Y$833,0))</f>
        <v>ele</v>
      </c>
      <c r="Z853" s="3" t="str">
        <f t="shared" ref="Z853:AI853" si="1447">Y853</f>
        <v>ele</v>
      </c>
      <c r="AA853" s="3" t="str">
        <f t="shared" si="1447"/>
        <v>ele</v>
      </c>
      <c r="AB853" s="3" t="str">
        <f t="shared" si="1447"/>
        <v>ele</v>
      </c>
      <c r="AC853" s="3" t="str">
        <f t="shared" si="1447"/>
        <v>ele</v>
      </c>
      <c r="AD853" s="3" t="str">
        <f t="shared" si="1447"/>
        <v>ele</v>
      </c>
      <c r="AE853" s="3" t="str">
        <f t="shared" si="1447"/>
        <v>ele</v>
      </c>
      <c r="AF853" s="3" t="str">
        <f t="shared" si="1447"/>
        <v>ele</v>
      </c>
      <c r="AG853" s="3" t="str">
        <f t="shared" si="1447"/>
        <v>ele</v>
      </c>
      <c r="AH853" s="3" t="str">
        <f t="shared" si="1447"/>
        <v>ele</v>
      </c>
      <c r="AI853" s="3" t="str">
        <f t="shared" si="1447"/>
        <v>ele</v>
      </c>
    </row>
    <row r="854" hidden="1" outlineLevel="1">
      <c r="A854" s="44" t="inlineStr">
        <is>
          <t>rks</t>
        </is>
      </c>
      <c r="B854" s="3" t="inlineStr">
        <is>
          <t>r19</t>
        </is>
      </c>
      <c r="C854" s="3" t="inlineStr"/>
      <c r="D854" s="3" t="n">
        <v>19</v>
      </c>
      <c r="E854" s="3" t="n"/>
      <c r="H854" s="3" t="inlineStr">
        <is>
          <t>Rank 19: sector code</t>
        </is>
      </c>
      <c r="I854" s="3" t="inlineStr">
        <is>
          <t>code</t>
        </is>
      </c>
      <c r="J854" s="118" t="inlineStr">
        <is>
          <t>DistMapping</t>
        </is>
      </c>
      <c r="K854" s="9" t="str">
        <f>LOWER(CtryCode)&amp;".distn."&amp;$A854&amp;IF($B854="","","."&amp;$B854)&amp;IF($C854="","",".dec."&amp;$C854)&amp;"."&amp;K$5</f>
        <v>egy.distn.rks.r19.1</v>
      </c>
      <c r="L854" s="10" t="str">
        <f>INDEX(DSecCode,MATCH($D854,L$770:L$833,0))</f>
        <v>fsh</v>
      </c>
      <c r="M854" s="3" t="str">
        <f t="shared" ref="M854:V854" si="1448">L854</f>
        <v>fsh</v>
      </c>
      <c r="N854" s="3" t="str">
        <f t="shared" si="1448"/>
        <v>fsh</v>
      </c>
      <c r="O854" s="3" t="str">
        <f t="shared" si="1448"/>
        <v>fsh</v>
      </c>
      <c r="P854" s="3" t="str">
        <f t="shared" si="1448"/>
        <v>fsh</v>
      </c>
      <c r="Q854" s="3" t="str">
        <f t="shared" si="1448"/>
        <v>fsh</v>
      </c>
      <c r="R854" s="3" t="str">
        <f t="shared" si="1448"/>
        <v>fsh</v>
      </c>
      <c r="S854" s="3" t="str">
        <f t="shared" si="1448"/>
        <v>fsh</v>
      </c>
      <c r="T854" s="3" t="str">
        <f t="shared" si="1448"/>
        <v>fsh</v>
      </c>
      <c r="U854" s="3" t="str">
        <f t="shared" si="1448"/>
        <v>fsh</v>
      </c>
      <c r="V854" s="3" t="str">
        <f t="shared" si="1448"/>
        <v>fsh</v>
      </c>
      <c r="W854" s="201" t="str">
        <f>IF(X$5=K$5,SUM(Y854:AI854)-SUM(L854:V854),"")</f>
        <v/>
      </c>
      <c r="X854" s="9" t="str">
        <f>LOWER(CtryCode)&amp;".distn."&amp;$A854&amp;IF($B854="","","."&amp;$B854)&amp;IF($C854="","",".dec."&amp;$C854)&amp;"."&amp;X$5</f>
        <v>egy.distn.rks.r19.2</v>
      </c>
      <c r="Y854" s="10" t="str">
        <f>INDEX(DSecCode,MATCH($D854,Y$770:Y$833,0))</f>
        <v>mvh</v>
      </c>
      <c r="Z854" s="3" t="str">
        <f t="shared" ref="Z854:AI854" si="1449">Y854</f>
        <v>mvh</v>
      </c>
      <c r="AA854" s="3" t="str">
        <f t="shared" si="1449"/>
        <v>mvh</v>
      </c>
      <c r="AB854" s="3" t="str">
        <f t="shared" si="1449"/>
        <v>mvh</v>
      </c>
      <c r="AC854" s="3" t="str">
        <f t="shared" si="1449"/>
        <v>mvh</v>
      </c>
      <c r="AD854" s="3" t="str">
        <f t="shared" si="1449"/>
        <v>mvh</v>
      </c>
      <c r="AE854" s="3" t="str">
        <f t="shared" si="1449"/>
        <v>mvh</v>
      </c>
      <c r="AF854" s="3" t="str">
        <f t="shared" si="1449"/>
        <v>mvh</v>
      </c>
      <c r="AG854" s="3" t="str">
        <f t="shared" si="1449"/>
        <v>mvh</v>
      </c>
      <c r="AH854" s="3" t="str">
        <f t="shared" si="1449"/>
        <v>mvh</v>
      </c>
      <c r="AI854" s="3" t="str">
        <f t="shared" si="1449"/>
        <v>mvh</v>
      </c>
    </row>
    <row r="855" hidden="1" outlineLevel="1">
      <c r="A855" s="44" t="inlineStr">
        <is>
          <t>rks</t>
        </is>
      </c>
      <c r="B855" s="3" t="inlineStr">
        <is>
          <t>r20</t>
        </is>
      </c>
      <c r="C855" s="3" t="inlineStr"/>
      <c r="D855" s="3" t="n">
        <v>20</v>
      </c>
      <c r="E855" s="3" t="n"/>
      <c r="H855" s="3" t="inlineStr">
        <is>
          <t>Rank 20: sector code</t>
        </is>
      </c>
      <c r="I855" s="3" t="inlineStr">
        <is>
          <t>code</t>
        </is>
      </c>
      <c r="J855" s="118" t="inlineStr">
        <is>
          <t>DistMapping</t>
        </is>
      </c>
      <c r="K855" s="9" t="str">
        <f>LOWER(CtryCode)&amp;".distn."&amp;$A855&amp;IF($B855="","","."&amp;$B855)&amp;IF($C855="","",".dec."&amp;$C855)&amp;"."&amp;K$5</f>
        <v>egy.distn.rks.r20.1</v>
      </c>
      <c r="L855" s="10" t="str">
        <f>INDEX(DSecCode,MATCH($D855,L$770:L$833,0))</f>
        <v>gro</v>
      </c>
      <c r="M855" s="3" t="str">
        <f t="shared" ref="M855:V855" si="1450">L855</f>
        <v>gro</v>
      </c>
      <c r="N855" s="3" t="str">
        <f t="shared" si="1450"/>
        <v>gro</v>
      </c>
      <c r="O855" s="3" t="str">
        <f t="shared" si="1450"/>
        <v>gro</v>
      </c>
      <c r="P855" s="3" t="str">
        <f t="shared" si="1450"/>
        <v>gro</v>
      </c>
      <c r="Q855" s="3" t="str">
        <f t="shared" si="1450"/>
        <v>gro</v>
      </c>
      <c r="R855" s="3" t="str">
        <f t="shared" si="1450"/>
        <v>gro</v>
      </c>
      <c r="S855" s="3" t="str">
        <f t="shared" si="1450"/>
        <v>gro</v>
      </c>
      <c r="T855" s="3" t="str">
        <f t="shared" si="1450"/>
        <v>gro</v>
      </c>
      <c r="U855" s="3" t="str">
        <f t="shared" si="1450"/>
        <v>gro</v>
      </c>
      <c r="V855" s="3" t="str">
        <f t="shared" si="1450"/>
        <v>gro</v>
      </c>
      <c r="W855" s="201" t="str">
        <f>IF(X$5=K$5,SUM(Y855:AI855)-SUM(L855:V855),"")</f>
        <v/>
      </c>
      <c r="X855" s="9" t="str">
        <f>LOWER(CtryCode)&amp;".distn."&amp;$A855&amp;IF($B855="","","."&amp;$B855)&amp;IF($C855="","",".dec."&amp;$C855)&amp;"."&amp;X$5</f>
        <v>egy.distn.rks.r20.2</v>
      </c>
      <c r="Y855" s="10" t="str">
        <f>INDEX(DSecCode,MATCH($D855,Y$770:Y$833,0))</f>
        <v>nmm</v>
      </c>
      <c r="Z855" s="3" t="str">
        <f t="shared" ref="Z855:AI855" si="1451">Y855</f>
        <v>nmm</v>
      </c>
      <c r="AA855" s="3" t="str">
        <f t="shared" si="1451"/>
        <v>nmm</v>
      </c>
      <c r="AB855" s="3" t="str">
        <f t="shared" si="1451"/>
        <v>nmm</v>
      </c>
      <c r="AC855" s="3" t="str">
        <f t="shared" si="1451"/>
        <v>nmm</v>
      </c>
      <c r="AD855" s="3" t="str">
        <f t="shared" si="1451"/>
        <v>nmm</v>
      </c>
      <c r="AE855" s="3" t="str">
        <f t="shared" si="1451"/>
        <v>nmm</v>
      </c>
      <c r="AF855" s="3" t="str">
        <f t="shared" si="1451"/>
        <v>nmm</v>
      </c>
      <c r="AG855" s="3" t="str">
        <f t="shared" si="1451"/>
        <v>nmm</v>
      </c>
      <c r="AH855" s="3" t="str">
        <f t="shared" si="1451"/>
        <v>nmm</v>
      </c>
      <c r="AI855" s="3" t="str">
        <f t="shared" si="1451"/>
        <v>nmm</v>
      </c>
    </row>
    <row r="856" hidden="1" outlineLevel="1">
      <c r="A856" s="44" t="inlineStr">
        <is>
          <t>rkn</t>
        </is>
      </c>
      <c r="B856" s="3" t="inlineStr">
        <is>
          <t>r1</t>
        </is>
      </c>
      <c r="C856" s="3" t="inlineStr"/>
      <c r="D856" s="3" t="n">
        <v>1</v>
      </c>
      <c r="E856" s="3" t="n"/>
      <c r="H856" s="3" t="inlineStr">
        <is>
          <t>Rank 1: sector</t>
        </is>
      </c>
      <c r="I856" s="3" t="inlineStr">
        <is>
          <t>name</t>
        </is>
      </c>
      <c r="J856" s="118" t="inlineStr">
        <is>
          <t>DistMapping</t>
        </is>
      </c>
      <c r="K856" s="9" t="str">
        <f>LOWER(CtryCode)&amp;".distn."&amp;$A856&amp;IF($B856="","","."&amp;$B856)&amp;IF($C856="","",".dec."&amp;$C856)&amp;"."&amp;K$5</f>
        <v>egy.distn.rkn.r1.1</v>
      </c>
      <c r="L856" s="10" t="str">
        <f>INDEX(DSecName,MATCH($D856,L$770:L$833,0))</f>
        <v>Hotels</v>
      </c>
      <c r="M856" s="3" t="str">
        <f t="shared" ref="M856:V856" si="1452">L856</f>
        <v>Hotels</v>
      </c>
      <c r="N856" s="3" t="str">
        <f t="shared" si="1452"/>
        <v>Hotels</v>
      </c>
      <c r="O856" s="3" t="str">
        <f t="shared" si="1452"/>
        <v>Hotels</v>
      </c>
      <c r="P856" s="3" t="str">
        <f t="shared" si="1452"/>
        <v>Hotels</v>
      </c>
      <c r="Q856" s="3" t="str">
        <f t="shared" si="1452"/>
        <v>Hotels</v>
      </c>
      <c r="R856" s="3" t="str">
        <f t="shared" si="1452"/>
        <v>Hotels</v>
      </c>
      <c r="S856" s="3" t="str">
        <f t="shared" si="1452"/>
        <v>Hotels</v>
      </c>
      <c r="T856" s="3" t="str">
        <f t="shared" si="1452"/>
        <v>Hotels</v>
      </c>
      <c r="U856" s="3" t="str">
        <f t="shared" si="1452"/>
        <v>Hotels</v>
      </c>
      <c r="V856" s="3" t="str">
        <f t="shared" si="1452"/>
        <v>Hotels</v>
      </c>
      <c r="W856" s="201" t="str">
        <f>IF(X$5=K$5,SUM(Y856:AI856)-SUM(L856:V856),"")</f>
        <v/>
      </c>
      <c r="X856" s="9" t="str">
        <f>LOWER(CtryCode)&amp;".distn."&amp;$A856&amp;IF($B856="","","."&amp;$B856)&amp;IF($C856="","",".dec."&amp;$C856)&amp;"."&amp;X$5</f>
        <v>egy.distn.rkn.r1.2</v>
      </c>
      <c r="Y856" s="10" t="str">
        <f>INDEX(DSecName,MATCH($D856,Y$770:Y$833,0))</f>
        <v>Air transport</v>
      </c>
      <c r="Z856" s="3" t="str">
        <f t="shared" ref="Z856:AI856" si="1453">Y856</f>
        <v>Air transport</v>
      </c>
      <c r="AA856" s="3" t="str">
        <f t="shared" si="1453"/>
        <v>Air transport</v>
      </c>
      <c r="AB856" s="3" t="str">
        <f t="shared" si="1453"/>
        <v>Air transport</v>
      </c>
      <c r="AC856" s="3" t="str">
        <f t="shared" si="1453"/>
        <v>Air transport</v>
      </c>
      <c r="AD856" s="3" t="str">
        <f t="shared" si="1453"/>
        <v>Air transport</v>
      </c>
      <c r="AE856" s="3" t="str">
        <f t="shared" si="1453"/>
        <v>Air transport</v>
      </c>
      <c r="AF856" s="3" t="str">
        <f t="shared" si="1453"/>
        <v>Air transport</v>
      </c>
      <c r="AG856" s="3" t="str">
        <f t="shared" si="1453"/>
        <v>Air transport</v>
      </c>
      <c r="AH856" s="3" t="str">
        <f t="shared" si="1453"/>
        <v>Air transport</v>
      </c>
      <c r="AI856" s="3" t="str">
        <f t="shared" si="1453"/>
        <v>Air transport</v>
      </c>
    </row>
    <row r="857" hidden="1" outlineLevel="1">
      <c r="A857" s="44" t="inlineStr">
        <is>
          <t>rkn</t>
        </is>
      </c>
      <c r="B857" s="3" t="inlineStr">
        <is>
          <t>r2</t>
        </is>
      </c>
      <c r="C857" s="3" t="inlineStr"/>
      <c r="D857" s="3" t="n">
        <v>2</v>
      </c>
      <c r="E857" s="3" t="n"/>
      <c r="H857" s="3" t="inlineStr">
        <is>
          <t>Rank 2: sector</t>
        </is>
      </c>
      <c r="I857" s="3" t="inlineStr">
        <is>
          <t>name</t>
        </is>
      </c>
      <c r="J857" s="118" t="inlineStr">
        <is>
          <t>DistMapping</t>
        </is>
      </c>
      <c r="K857" s="9" t="str">
        <f>LOWER(CtryCode)&amp;".distn."&amp;$A857&amp;IF($B857="","","."&amp;$B857)&amp;IF($C857="","",".dec."&amp;$C857)&amp;"."&amp;K$5</f>
        <v>egy.distn.rkn.r2.1</v>
      </c>
      <c r="L857" s="10" t="str">
        <f>INDEX(DSecName,MATCH($D857,L$770:L$833,0))</f>
        <v>Air transport</v>
      </c>
      <c r="M857" s="3" t="str">
        <f t="shared" ref="M857:V857" si="1454">L857</f>
        <v>Air transport</v>
      </c>
      <c r="N857" s="3" t="str">
        <f t="shared" si="1454"/>
        <v>Air transport</v>
      </c>
      <c r="O857" s="3" t="str">
        <f t="shared" si="1454"/>
        <v>Air transport</v>
      </c>
      <c r="P857" s="3" t="str">
        <f t="shared" si="1454"/>
        <v>Air transport</v>
      </c>
      <c r="Q857" s="3" t="str">
        <f t="shared" si="1454"/>
        <v>Air transport</v>
      </c>
      <c r="R857" s="3" t="str">
        <f t="shared" si="1454"/>
        <v>Air transport</v>
      </c>
      <c r="S857" s="3" t="str">
        <f t="shared" si="1454"/>
        <v>Air transport</v>
      </c>
      <c r="T857" s="3" t="str">
        <f t="shared" si="1454"/>
        <v>Air transport</v>
      </c>
      <c r="U857" s="3" t="str">
        <f t="shared" si="1454"/>
        <v>Air transport</v>
      </c>
      <c r="V857" s="3" t="str">
        <f t="shared" si="1454"/>
        <v>Air transport</v>
      </c>
      <c r="W857" s="201" t="str">
        <f>IF(X$5=K$5,SUM(Y857:AI857)-SUM(L857:V857),"")</f>
        <v/>
      </c>
      <c r="X857" s="9" t="str">
        <f>LOWER(CtryCode)&amp;".distn."&amp;$A857&amp;IF($B857="","","."&amp;$B857)&amp;IF($C857="","",".dec."&amp;$C857)&amp;"."&amp;X$5</f>
        <v>egy.distn.rkn.r2.2</v>
      </c>
      <c r="Y857" s="10" t="str">
        <f>INDEX(DSecName,MATCH($D857,Y$770:Y$833,0))</f>
        <v>Chemicals</v>
      </c>
      <c r="Z857" s="3" t="str">
        <f t="shared" ref="Z857:AI857" si="1455">Y857</f>
        <v>Chemicals</v>
      </c>
      <c r="AA857" s="3" t="str">
        <f t="shared" si="1455"/>
        <v>Chemicals</v>
      </c>
      <c r="AB857" s="3" t="str">
        <f t="shared" si="1455"/>
        <v>Chemicals</v>
      </c>
      <c r="AC857" s="3" t="str">
        <f t="shared" si="1455"/>
        <v>Chemicals</v>
      </c>
      <c r="AD857" s="3" t="str">
        <f t="shared" si="1455"/>
        <v>Chemicals</v>
      </c>
      <c r="AE857" s="3" t="str">
        <f t="shared" si="1455"/>
        <v>Chemicals</v>
      </c>
      <c r="AF857" s="3" t="str">
        <f t="shared" si="1455"/>
        <v>Chemicals</v>
      </c>
      <c r="AG857" s="3" t="str">
        <f t="shared" si="1455"/>
        <v>Chemicals</v>
      </c>
      <c r="AH857" s="3" t="str">
        <f t="shared" si="1455"/>
        <v>Chemicals</v>
      </c>
      <c r="AI857" s="3" t="str">
        <f t="shared" si="1455"/>
        <v>Chemicals</v>
      </c>
    </row>
    <row r="858" hidden="1" outlineLevel="1">
      <c r="A858" s="44" t="inlineStr">
        <is>
          <t>rkn</t>
        </is>
      </c>
      <c r="B858" s="3" t="inlineStr">
        <is>
          <t>r3</t>
        </is>
      </c>
      <c r="C858" s="3" t="inlineStr"/>
      <c r="D858" s="3" t="n">
        <v>3</v>
      </c>
      <c r="E858" s="3" t="n"/>
      <c r="H858" s="3" t="inlineStr">
        <is>
          <t>Rank 3: sector</t>
        </is>
      </c>
      <c r="I858" s="3" t="inlineStr">
        <is>
          <t>name</t>
        </is>
      </c>
      <c r="J858" s="118" t="inlineStr">
        <is>
          <t>DistMapping</t>
        </is>
      </c>
      <c r="K858" s="9" t="str">
        <f>LOWER(CtryCode)&amp;".distn."&amp;$A858&amp;IF($B858="","","."&amp;$B858)&amp;IF($C858="","",".dec."&amp;$C858)&amp;"."&amp;K$5</f>
        <v>egy.distn.rkn.r3.1</v>
      </c>
      <c r="L858" s="10" t="str">
        <f>INDEX(DSecName,MATCH($D858,L$770:L$833,0))</f>
        <v>Beverages &amp; Tobacco</v>
      </c>
      <c r="M858" s="3" t="str">
        <f t="shared" ref="M858:V858" si="1456">L858</f>
        <v>Beverages &amp; Tobacco</v>
      </c>
      <c r="N858" s="3" t="str">
        <f t="shared" si="1456"/>
        <v>Beverages &amp; Tobacco</v>
      </c>
      <c r="O858" s="3" t="str">
        <f t="shared" si="1456"/>
        <v>Beverages &amp; Tobacco</v>
      </c>
      <c r="P858" s="3" t="str">
        <f t="shared" si="1456"/>
        <v>Beverages &amp; Tobacco</v>
      </c>
      <c r="Q858" s="3" t="str">
        <f t="shared" si="1456"/>
        <v>Beverages &amp; Tobacco</v>
      </c>
      <c r="R858" s="3" t="str">
        <f t="shared" si="1456"/>
        <v>Beverages &amp; Tobacco</v>
      </c>
      <c r="S858" s="3" t="str">
        <f t="shared" si="1456"/>
        <v>Beverages &amp; Tobacco</v>
      </c>
      <c r="T858" s="3" t="str">
        <f t="shared" si="1456"/>
        <v>Beverages &amp; Tobacco</v>
      </c>
      <c r="U858" s="3" t="str">
        <f t="shared" si="1456"/>
        <v>Beverages &amp; Tobacco</v>
      </c>
      <c r="V858" s="3" t="str">
        <f t="shared" si="1456"/>
        <v>Beverages &amp; Tobacco</v>
      </c>
      <c r="W858" s="201" t="str">
        <f>IF(X$5=K$5,SUM(Y858:AI858)-SUM(L858:V858),"")</f>
        <v/>
      </c>
      <c r="X858" s="9" t="str">
        <f>LOWER(CtryCode)&amp;".distn."&amp;$A858&amp;IF($B858="","","."&amp;$B858)&amp;IF($C858="","",".dec."&amp;$C858)&amp;"."&amp;X$5</f>
        <v>egy.distn.rkn.r3.2</v>
      </c>
      <c r="Y858" s="10" t="str">
        <f>INDEX(DSecName,MATCH($D858,Y$770:Y$833,0))</f>
        <v>Water transport</v>
      </c>
      <c r="Z858" s="3" t="str">
        <f t="shared" ref="Z858:AI858" si="1457">Y858</f>
        <v>Water transport</v>
      </c>
      <c r="AA858" s="3" t="str">
        <f t="shared" si="1457"/>
        <v>Water transport</v>
      </c>
      <c r="AB858" s="3" t="str">
        <f t="shared" si="1457"/>
        <v>Water transport</v>
      </c>
      <c r="AC858" s="3" t="str">
        <f t="shared" si="1457"/>
        <v>Water transport</v>
      </c>
      <c r="AD858" s="3" t="str">
        <f t="shared" si="1457"/>
        <v>Water transport</v>
      </c>
      <c r="AE858" s="3" t="str">
        <f t="shared" si="1457"/>
        <v>Water transport</v>
      </c>
      <c r="AF858" s="3" t="str">
        <f t="shared" si="1457"/>
        <v>Water transport</v>
      </c>
      <c r="AG858" s="3" t="str">
        <f t="shared" si="1457"/>
        <v>Water transport</v>
      </c>
      <c r="AH858" s="3" t="str">
        <f t="shared" si="1457"/>
        <v>Water transport</v>
      </c>
      <c r="AI858" s="3" t="str">
        <f t="shared" si="1457"/>
        <v>Water transport</v>
      </c>
    </row>
    <row r="859" hidden="1" outlineLevel="1">
      <c r="A859" s="44" t="inlineStr">
        <is>
          <t>rkn</t>
        </is>
      </c>
      <c r="B859" s="3" t="inlineStr">
        <is>
          <t>r4</t>
        </is>
      </c>
      <c r="C859" s="3" t="inlineStr"/>
      <c r="D859" s="3" t="n">
        <v>4</v>
      </c>
      <c r="E859" s="3" t="n"/>
      <c r="H859" s="3" t="inlineStr">
        <is>
          <t>Rank 4: sector</t>
        </is>
      </c>
      <c r="I859" s="3" t="inlineStr">
        <is>
          <t>name</t>
        </is>
      </c>
      <c r="J859" s="118" t="inlineStr">
        <is>
          <t>DistMapping</t>
        </is>
      </c>
      <c r="K859" s="9" t="str">
        <f>LOWER(CtryCode)&amp;".distn."&amp;$A859&amp;IF($B859="","","."&amp;$B859)&amp;IF($C859="","",".dec."&amp;$C859)&amp;"."&amp;K$5</f>
        <v>egy.distn.rkn.r4.1</v>
      </c>
      <c r="L859" s="10" t="str">
        <f>INDEX(DSecName,MATCH($D859,L$770:L$833,0))</f>
        <v>Pharmaceuticals</v>
      </c>
      <c r="M859" s="3" t="str">
        <f t="shared" ref="M859:V859" si="1458">L859</f>
        <v>Pharmaceuticals</v>
      </c>
      <c r="N859" s="3" t="str">
        <f t="shared" si="1458"/>
        <v>Pharmaceuticals</v>
      </c>
      <c r="O859" s="3" t="str">
        <f t="shared" si="1458"/>
        <v>Pharmaceuticals</v>
      </c>
      <c r="P859" s="3" t="str">
        <f t="shared" si="1458"/>
        <v>Pharmaceuticals</v>
      </c>
      <c r="Q859" s="3" t="str">
        <f t="shared" si="1458"/>
        <v>Pharmaceuticals</v>
      </c>
      <c r="R859" s="3" t="str">
        <f t="shared" si="1458"/>
        <v>Pharmaceuticals</v>
      </c>
      <c r="S859" s="3" t="str">
        <f t="shared" si="1458"/>
        <v>Pharmaceuticals</v>
      </c>
      <c r="T859" s="3" t="str">
        <f t="shared" si="1458"/>
        <v>Pharmaceuticals</v>
      </c>
      <c r="U859" s="3" t="str">
        <f t="shared" si="1458"/>
        <v>Pharmaceuticals</v>
      </c>
      <c r="V859" s="3" t="str">
        <f t="shared" si="1458"/>
        <v>Pharmaceuticals</v>
      </c>
      <c r="W859" s="201" t="str">
        <f>IF(X$5=K$5,SUM(Y859:AI859)-SUM(L859:V859),"")</f>
        <v/>
      </c>
      <c r="X859" s="9" t="str">
        <f>LOWER(CtryCode)&amp;".distn."&amp;$A859&amp;IF($B859="","","."&amp;$B859)&amp;IF($C859="","",".dec."&amp;$C859)&amp;"."&amp;X$5</f>
        <v>egy.distn.rkn.r4.2</v>
      </c>
      <c r="Y859" s="10" t="str">
        <f>INDEX(DSecName,MATCH($D859,Y$770:Y$833,0))</f>
        <v>Other Mining</v>
      </c>
      <c r="Z859" s="3" t="str">
        <f t="shared" ref="Z859:AI859" si="1459">Y859</f>
        <v>Other Mining</v>
      </c>
      <c r="AA859" s="3" t="str">
        <f t="shared" si="1459"/>
        <v>Other Mining</v>
      </c>
      <c r="AB859" s="3" t="str">
        <f t="shared" si="1459"/>
        <v>Other Mining</v>
      </c>
      <c r="AC859" s="3" t="str">
        <f t="shared" si="1459"/>
        <v>Other Mining</v>
      </c>
      <c r="AD859" s="3" t="str">
        <f t="shared" si="1459"/>
        <v>Other Mining</v>
      </c>
      <c r="AE859" s="3" t="str">
        <f t="shared" si="1459"/>
        <v>Other Mining</v>
      </c>
      <c r="AF859" s="3" t="str">
        <f t="shared" si="1459"/>
        <v>Other Mining</v>
      </c>
      <c r="AG859" s="3" t="str">
        <f t="shared" si="1459"/>
        <v>Other Mining</v>
      </c>
      <c r="AH859" s="3" t="str">
        <f t="shared" si="1459"/>
        <v>Other Mining</v>
      </c>
      <c r="AI859" s="3" t="str">
        <f t="shared" si="1459"/>
        <v>Other Mining</v>
      </c>
    </row>
    <row r="860" hidden="1" outlineLevel="1">
      <c r="A860" s="44" t="inlineStr">
        <is>
          <t>rkn</t>
        </is>
      </c>
      <c r="B860" s="3" t="inlineStr">
        <is>
          <t>r5</t>
        </is>
      </c>
      <c r="C860" s="3" t="inlineStr"/>
      <c r="D860" s="3" t="n">
        <v>5</v>
      </c>
      <c r="E860" s="3" t="n"/>
      <c r="H860" s="3" t="inlineStr">
        <is>
          <t>Rank 5: sector</t>
        </is>
      </c>
      <c r="I860" s="3" t="inlineStr">
        <is>
          <t>name</t>
        </is>
      </c>
      <c r="J860" s="118" t="inlineStr">
        <is>
          <t>DistMapping</t>
        </is>
      </c>
      <c r="K860" s="9" t="str">
        <f>LOWER(CtryCode)&amp;".distn."&amp;$A860&amp;IF($B860="","","."&amp;$B860)&amp;IF($C860="","",".dec."&amp;$C860)&amp;"."&amp;K$5</f>
        <v>egy.distn.rkn.r5.1</v>
      </c>
      <c r="L860" s="10" t="str">
        <f>INDEX(DSecName,MATCH($D860,L$770:L$833,0))</f>
        <v>Cane &amp; Beet</v>
      </c>
      <c r="M860" s="3" t="str">
        <f t="shared" ref="M860:V860" si="1460">L860</f>
        <v>Cane &amp; Beet</v>
      </c>
      <c r="N860" s="3" t="str">
        <f t="shared" si="1460"/>
        <v>Cane &amp; Beet</v>
      </c>
      <c r="O860" s="3" t="str">
        <f t="shared" si="1460"/>
        <v>Cane &amp; Beet</v>
      </c>
      <c r="P860" s="3" t="str">
        <f t="shared" si="1460"/>
        <v>Cane &amp; Beet</v>
      </c>
      <c r="Q860" s="3" t="str">
        <f t="shared" si="1460"/>
        <v>Cane &amp; Beet</v>
      </c>
      <c r="R860" s="3" t="str">
        <f t="shared" si="1460"/>
        <v>Cane &amp; Beet</v>
      </c>
      <c r="S860" s="3" t="str">
        <f t="shared" si="1460"/>
        <v>Cane &amp; Beet</v>
      </c>
      <c r="T860" s="3" t="str">
        <f t="shared" si="1460"/>
        <v>Cane &amp; Beet</v>
      </c>
      <c r="U860" s="3" t="str">
        <f t="shared" si="1460"/>
        <v>Cane &amp; Beet</v>
      </c>
      <c r="V860" s="3" t="str">
        <f t="shared" si="1460"/>
        <v>Cane &amp; Beet</v>
      </c>
      <c r="W860" s="201" t="str">
        <f>IF(X$5=K$5,SUM(Y860:AI860)-SUM(L860:V860),"")</f>
        <v/>
      </c>
      <c r="X860" s="9" t="str">
        <f>LOWER(CtryCode)&amp;".distn."&amp;$A860&amp;IF($B860="","","."&amp;$B860)&amp;IF($C860="","",".dec."&amp;$C860)&amp;"."&amp;X$5</f>
        <v>egy.distn.rkn.r5.2</v>
      </c>
      <c r="Y860" s="10" t="str">
        <f>INDEX(DSecName,MATCH($D860,Y$770:Y$833,0))</f>
        <v>Land transport</v>
      </c>
      <c r="Z860" s="3" t="str">
        <f t="shared" ref="Z860:AI860" si="1461">Y860</f>
        <v>Land transport</v>
      </c>
      <c r="AA860" s="3" t="str">
        <f t="shared" si="1461"/>
        <v>Land transport</v>
      </c>
      <c r="AB860" s="3" t="str">
        <f t="shared" si="1461"/>
        <v>Land transport</v>
      </c>
      <c r="AC860" s="3" t="str">
        <f t="shared" si="1461"/>
        <v>Land transport</v>
      </c>
      <c r="AD860" s="3" t="str">
        <f t="shared" si="1461"/>
        <v>Land transport</v>
      </c>
      <c r="AE860" s="3" t="str">
        <f t="shared" si="1461"/>
        <v>Land transport</v>
      </c>
      <c r="AF860" s="3" t="str">
        <f t="shared" si="1461"/>
        <v>Land transport</v>
      </c>
      <c r="AG860" s="3" t="str">
        <f t="shared" si="1461"/>
        <v>Land transport</v>
      </c>
      <c r="AH860" s="3" t="str">
        <f t="shared" si="1461"/>
        <v>Land transport</v>
      </c>
      <c r="AI860" s="3" t="str">
        <f t="shared" si="1461"/>
        <v>Land transport</v>
      </c>
    </row>
    <row r="861" hidden="1" outlineLevel="1">
      <c r="A861" s="44" t="inlineStr">
        <is>
          <t>rkn</t>
        </is>
      </c>
      <c r="B861" s="3" t="inlineStr">
        <is>
          <t>r6</t>
        </is>
      </c>
      <c r="C861" s="3" t="inlineStr"/>
      <c r="D861" s="3" t="n">
        <v>6</v>
      </c>
      <c r="E861" s="3" t="n"/>
      <c r="H861" s="3" t="inlineStr">
        <is>
          <t>Rank 6: sector</t>
        </is>
      </c>
      <c r="I861" s="3" t="inlineStr">
        <is>
          <t>name</t>
        </is>
      </c>
      <c r="J861" s="118" t="inlineStr">
        <is>
          <t>DistMapping</t>
        </is>
      </c>
      <c r="K861" s="9" t="str">
        <f>LOWER(CtryCode)&amp;".distn."&amp;$A861&amp;IF($B861="","","."&amp;$B861)&amp;IF($C861="","",".dec."&amp;$C861)&amp;"."&amp;K$5</f>
        <v>egy.distn.rkn.r6.1</v>
      </c>
      <c r="L861" s="10" t="str">
        <f>INDEX(DSecName,MATCH($D861,L$770:L$833,0))</f>
        <v>Chemicals</v>
      </c>
      <c r="M861" s="3" t="str">
        <f t="shared" ref="M861:V861" si="1462">L861</f>
        <v>Chemicals</v>
      </c>
      <c r="N861" s="3" t="str">
        <f t="shared" si="1462"/>
        <v>Chemicals</v>
      </c>
      <c r="O861" s="3" t="str">
        <f t="shared" si="1462"/>
        <v>Chemicals</v>
      </c>
      <c r="P861" s="3" t="str">
        <f t="shared" si="1462"/>
        <v>Chemicals</v>
      </c>
      <c r="Q861" s="3" t="str">
        <f t="shared" si="1462"/>
        <v>Chemicals</v>
      </c>
      <c r="R861" s="3" t="str">
        <f t="shared" si="1462"/>
        <v>Chemicals</v>
      </c>
      <c r="S861" s="3" t="str">
        <f t="shared" si="1462"/>
        <v>Chemicals</v>
      </c>
      <c r="T861" s="3" t="str">
        <f t="shared" si="1462"/>
        <v>Chemicals</v>
      </c>
      <c r="U861" s="3" t="str">
        <f t="shared" si="1462"/>
        <v>Chemicals</v>
      </c>
      <c r="V861" s="3" t="str">
        <f t="shared" si="1462"/>
        <v>Chemicals</v>
      </c>
      <c r="W861" s="201" t="str">
        <f>IF(X$5=K$5,SUM(Y861:AI861)-SUM(L861:V861),"")</f>
        <v/>
      </c>
      <c r="X861" s="9" t="str">
        <f>LOWER(CtryCode)&amp;".distn."&amp;$A861&amp;IF($B861="","","."&amp;$B861)&amp;IF($C861="","",".dec."&amp;$C861)&amp;"."&amp;X$5</f>
        <v>egy.distn.rkn.r6.2</v>
      </c>
      <c r="Y861" s="10" t="str">
        <f>INDEX(DSecName,MATCH($D861,Y$770:Y$833,0))</f>
        <v>Iron &amp; Steel</v>
      </c>
      <c r="Z861" s="3" t="str">
        <f t="shared" ref="Z861:AI861" si="1463">Y861</f>
        <v>Iron &amp; Steel</v>
      </c>
      <c r="AA861" s="3" t="str">
        <f t="shared" si="1463"/>
        <v>Iron &amp; Steel</v>
      </c>
      <c r="AB861" s="3" t="str">
        <f t="shared" si="1463"/>
        <v>Iron &amp; Steel</v>
      </c>
      <c r="AC861" s="3" t="str">
        <f t="shared" si="1463"/>
        <v>Iron &amp; Steel</v>
      </c>
      <c r="AD861" s="3" t="str">
        <f t="shared" si="1463"/>
        <v>Iron &amp; Steel</v>
      </c>
      <c r="AE861" s="3" t="str">
        <f t="shared" si="1463"/>
        <v>Iron &amp; Steel</v>
      </c>
      <c r="AF861" s="3" t="str">
        <f t="shared" si="1463"/>
        <v>Iron &amp; Steel</v>
      </c>
      <c r="AG861" s="3" t="str">
        <f t="shared" si="1463"/>
        <v>Iron &amp; Steel</v>
      </c>
      <c r="AH861" s="3" t="str">
        <f t="shared" si="1463"/>
        <v>Iron &amp; Steel</v>
      </c>
      <c r="AI861" s="3" t="str">
        <f t="shared" si="1463"/>
        <v>Iron &amp; Steel</v>
      </c>
    </row>
    <row r="862" hidden="1" outlineLevel="1">
      <c r="A862" s="44" t="inlineStr">
        <is>
          <t>rkn</t>
        </is>
      </c>
      <c r="B862" s="3" t="inlineStr">
        <is>
          <t>r7</t>
        </is>
      </c>
      <c r="C862" s="3" t="inlineStr"/>
      <c r="D862" s="3" t="n">
        <v>7</v>
      </c>
      <c r="E862" s="3" t="n"/>
      <c r="H862" s="3" t="inlineStr">
        <is>
          <t>Rank 7: sector</t>
        </is>
      </c>
      <c r="I862" s="3" t="inlineStr">
        <is>
          <t>name</t>
        </is>
      </c>
      <c r="J862" s="118" t="inlineStr">
        <is>
          <t>DistMapping</t>
        </is>
      </c>
      <c r="K862" s="9" t="str">
        <f>LOWER(CtryCode)&amp;".distn."&amp;$A862&amp;IF($B862="","","."&amp;$B862)&amp;IF($C862="","",".dec."&amp;$C862)&amp;"."&amp;K$5</f>
        <v>egy.distn.rkn.r7.1</v>
      </c>
      <c r="L862" s="10" t="str">
        <f>INDEX(DSecName,MATCH($D862,L$770:L$833,0))</f>
        <v>Telecomms</v>
      </c>
      <c r="M862" s="3" t="str">
        <f t="shared" ref="M862:V862" si="1464">L862</f>
        <v>Telecomms</v>
      </c>
      <c r="N862" s="3" t="str">
        <f t="shared" si="1464"/>
        <v>Telecomms</v>
      </c>
      <c r="O862" s="3" t="str">
        <f t="shared" si="1464"/>
        <v>Telecomms</v>
      </c>
      <c r="P862" s="3" t="str">
        <f t="shared" si="1464"/>
        <v>Telecomms</v>
      </c>
      <c r="Q862" s="3" t="str">
        <f t="shared" si="1464"/>
        <v>Telecomms</v>
      </c>
      <c r="R862" s="3" t="str">
        <f t="shared" si="1464"/>
        <v>Telecomms</v>
      </c>
      <c r="S862" s="3" t="str">
        <f t="shared" si="1464"/>
        <v>Telecomms</v>
      </c>
      <c r="T862" s="3" t="str">
        <f t="shared" si="1464"/>
        <v>Telecomms</v>
      </c>
      <c r="U862" s="3" t="str">
        <f t="shared" si="1464"/>
        <v>Telecomms</v>
      </c>
      <c r="V862" s="3" t="str">
        <f t="shared" si="1464"/>
        <v>Telecomms</v>
      </c>
      <c r="W862" s="201" t="str">
        <f>IF(X$5=K$5,SUM(Y862:AI862)-SUM(L862:V862),"")</f>
        <v/>
      </c>
      <c r="X862" s="9" t="str">
        <f>LOWER(CtryCode)&amp;".distn."&amp;$A862&amp;IF($B862="","","."&amp;$B862)&amp;IF($C862="","",".dec."&amp;$C862)&amp;"."&amp;X$5</f>
        <v>egy.distn.rkn.r7.2</v>
      </c>
      <c r="Y862" s="10" t="str">
        <f>INDEX(DSecName,MATCH($D862,Y$770:Y$833,0))</f>
        <v>Other Manufacturing</v>
      </c>
      <c r="Z862" s="3" t="str">
        <f t="shared" ref="Z862:AI862" si="1465">Y862</f>
        <v>Other Manufacturing</v>
      </c>
      <c r="AA862" s="3" t="str">
        <f t="shared" si="1465"/>
        <v>Other Manufacturing</v>
      </c>
      <c r="AB862" s="3" t="str">
        <f t="shared" si="1465"/>
        <v>Other Manufacturing</v>
      </c>
      <c r="AC862" s="3" t="str">
        <f t="shared" si="1465"/>
        <v>Other Manufacturing</v>
      </c>
      <c r="AD862" s="3" t="str">
        <f t="shared" si="1465"/>
        <v>Other Manufacturing</v>
      </c>
      <c r="AE862" s="3" t="str">
        <f t="shared" si="1465"/>
        <v>Other Manufacturing</v>
      </c>
      <c r="AF862" s="3" t="str">
        <f t="shared" si="1465"/>
        <v>Other Manufacturing</v>
      </c>
      <c r="AG862" s="3" t="str">
        <f t="shared" si="1465"/>
        <v>Other Manufacturing</v>
      </c>
      <c r="AH862" s="3" t="str">
        <f t="shared" si="1465"/>
        <v>Other Manufacturing</v>
      </c>
      <c r="AI862" s="3" t="str">
        <f t="shared" si="1465"/>
        <v>Other Manufacturing</v>
      </c>
    </row>
    <row r="863" hidden="1" outlineLevel="1">
      <c r="A863" s="44" t="inlineStr">
        <is>
          <t>rkn</t>
        </is>
      </c>
      <c r="B863" s="3" t="inlineStr">
        <is>
          <t>r8</t>
        </is>
      </c>
      <c r="C863" s="3" t="inlineStr"/>
      <c r="D863" s="3" t="n">
        <v>8</v>
      </c>
      <c r="E863" s="3" t="n"/>
      <c r="H863" s="3" t="inlineStr">
        <is>
          <t>Rank 8: sector</t>
        </is>
      </c>
      <c r="I863" s="3" t="inlineStr">
        <is>
          <t>name</t>
        </is>
      </c>
      <c r="J863" s="118" t="inlineStr">
        <is>
          <t>DistMapping</t>
        </is>
      </c>
      <c r="K863" s="9" t="str">
        <f>LOWER(CtryCode)&amp;".distn."&amp;$A863&amp;IF($B863="","","."&amp;$B863)&amp;IF($C863="","",".dec."&amp;$C863)&amp;"."&amp;K$5</f>
        <v>egy.distn.rkn.r8.1</v>
      </c>
      <c r="L863" s="10" t="str">
        <f>INDEX(DSecName,MATCH($D863,L$770:L$833,0))</f>
        <v>Cattle Meat</v>
      </c>
      <c r="M863" s="3" t="str">
        <f t="shared" ref="M863:V863" si="1466">L863</f>
        <v>Cattle Meat</v>
      </c>
      <c r="N863" s="3" t="str">
        <f t="shared" si="1466"/>
        <v>Cattle Meat</v>
      </c>
      <c r="O863" s="3" t="str">
        <f t="shared" si="1466"/>
        <v>Cattle Meat</v>
      </c>
      <c r="P863" s="3" t="str">
        <f t="shared" si="1466"/>
        <v>Cattle Meat</v>
      </c>
      <c r="Q863" s="3" t="str">
        <f t="shared" si="1466"/>
        <v>Cattle Meat</v>
      </c>
      <c r="R863" s="3" t="str">
        <f t="shared" si="1466"/>
        <v>Cattle Meat</v>
      </c>
      <c r="S863" s="3" t="str">
        <f t="shared" si="1466"/>
        <v>Cattle Meat</v>
      </c>
      <c r="T863" s="3" t="str">
        <f t="shared" si="1466"/>
        <v>Cattle Meat</v>
      </c>
      <c r="U863" s="3" t="str">
        <f t="shared" si="1466"/>
        <v>Cattle Meat</v>
      </c>
      <c r="V863" s="3" t="str">
        <f t="shared" si="1466"/>
        <v>Cattle Meat</v>
      </c>
      <c r="W863" s="201" t="str">
        <f>IF(X$5=K$5,SUM(Y863:AI863)-SUM(L863:V863),"")</f>
        <v/>
      </c>
      <c r="X863" s="9" t="str">
        <f>LOWER(CtryCode)&amp;".distn."&amp;$A863&amp;IF($B863="","","."&amp;$B863)&amp;IF($C863="","",".dec."&amp;$C863)&amp;"."&amp;X$5</f>
        <v>egy.distn.rkn.r8.2</v>
      </c>
      <c r="Y863" s="10" t="str">
        <f>INDEX(DSecName,MATCH($D863,Y$770:Y$833,0))</f>
        <v>Non-Ferrous Metals</v>
      </c>
      <c r="Z863" s="3" t="str">
        <f t="shared" ref="Z863:AI863" si="1467">Y863</f>
        <v>Non-Ferrous Metals</v>
      </c>
      <c r="AA863" s="3" t="str">
        <f t="shared" si="1467"/>
        <v>Non-Ferrous Metals</v>
      </c>
      <c r="AB863" s="3" t="str">
        <f t="shared" si="1467"/>
        <v>Non-Ferrous Metals</v>
      </c>
      <c r="AC863" s="3" t="str">
        <f t="shared" si="1467"/>
        <v>Non-Ferrous Metals</v>
      </c>
      <c r="AD863" s="3" t="str">
        <f t="shared" si="1467"/>
        <v>Non-Ferrous Metals</v>
      </c>
      <c r="AE863" s="3" t="str">
        <f t="shared" si="1467"/>
        <v>Non-Ferrous Metals</v>
      </c>
      <c r="AF863" s="3" t="str">
        <f t="shared" si="1467"/>
        <v>Non-Ferrous Metals</v>
      </c>
      <c r="AG863" s="3" t="str">
        <f t="shared" si="1467"/>
        <v>Non-Ferrous Metals</v>
      </c>
      <c r="AH863" s="3" t="str">
        <f t="shared" si="1467"/>
        <v>Non-Ferrous Metals</v>
      </c>
      <c r="AI863" s="3" t="str">
        <f t="shared" si="1467"/>
        <v>Non-Ferrous Metals</v>
      </c>
    </row>
    <row r="864" hidden="1" outlineLevel="1">
      <c r="A864" s="44" t="inlineStr">
        <is>
          <t>rkn</t>
        </is>
      </c>
      <c r="B864" s="3" t="inlineStr">
        <is>
          <t>r9</t>
        </is>
      </c>
      <c r="C864" s="3" t="inlineStr"/>
      <c r="D864" s="3" t="n">
        <v>9</v>
      </c>
      <c r="E864" s="3" t="n"/>
      <c r="H864" s="3" t="inlineStr">
        <is>
          <t>Rank 9: sector</t>
        </is>
      </c>
      <c r="I864" s="3" t="inlineStr">
        <is>
          <t>name</t>
        </is>
      </c>
      <c r="J864" s="118" t="inlineStr">
        <is>
          <t>DistMapping</t>
        </is>
      </c>
      <c r="K864" s="9" t="str">
        <f>LOWER(CtryCode)&amp;".distn."&amp;$A864&amp;IF($B864="","","."&amp;$B864)&amp;IF($C864="","",".dec."&amp;$C864)&amp;"."&amp;K$5</f>
        <v>egy.distn.rkn.r9.1</v>
      </c>
      <c r="L864" s="10" t="str">
        <f>INDEX(DSecName,MATCH($D864,L$770:L$833,0))</f>
        <v>Construction</v>
      </c>
      <c r="M864" s="3" t="str">
        <f t="shared" ref="M864:V864" si="1468">L864</f>
        <v>Construction</v>
      </c>
      <c r="N864" s="3" t="str">
        <f t="shared" si="1468"/>
        <v>Construction</v>
      </c>
      <c r="O864" s="3" t="str">
        <f t="shared" si="1468"/>
        <v>Construction</v>
      </c>
      <c r="P864" s="3" t="str">
        <f t="shared" si="1468"/>
        <v>Construction</v>
      </c>
      <c r="Q864" s="3" t="str">
        <f t="shared" si="1468"/>
        <v>Construction</v>
      </c>
      <c r="R864" s="3" t="str">
        <f t="shared" si="1468"/>
        <v>Construction</v>
      </c>
      <c r="S864" s="3" t="str">
        <f t="shared" si="1468"/>
        <v>Construction</v>
      </c>
      <c r="T864" s="3" t="str">
        <f t="shared" si="1468"/>
        <v>Construction</v>
      </c>
      <c r="U864" s="3" t="str">
        <f t="shared" si="1468"/>
        <v>Construction</v>
      </c>
      <c r="V864" s="3" t="str">
        <f t="shared" si="1468"/>
        <v>Construction</v>
      </c>
      <c r="W864" s="201" t="str">
        <f>IF(X$5=K$5,SUM(Y864:AI864)-SUM(L864:V864),"")</f>
        <v/>
      </c>
      <c r="X864" s="9" t="str">
        <f>LOWER(CtryCode)&amp;".distn."&amp;$A864&amp;IF($B864="","","."&amp;$B864)&amp;IF($C864="","",".dec."&amp;$C864)&amp;"."&amp;X$5</f>
        <v>egy.distn.rkn.r9.2</v>
      </c>
      <c r="Y864" s="10" t="str">
        <f>INDEX(DSecName,MATCH($D864,Y$770:Y$833,0))</f>
        <v>Rubber &amp; plastics</v>
      </c>
      <c r="Z864" s="3" t="str">
        <f t="shared" ref="Z864:AI864" si="1469">Y864</f>
        <v>Rubber &amp; plastics</v>
      </c>
      <c r="AA864" s="3" t="str">
        <f t="shared" si="1469"/>
        <v>Rubber &amp; plastics</v>
      </c>
      <c r="AB864" s="3" t="str">
        <f t="shared" si="1469"/>
        <v>Rubber &amp; plastics</v>
      </c>
      <c r="AC864" s="3" t="str">
        <f t="shared" si="1469"/>
        <v>Rubber &amp; plastics</v>
      </c>
      <c r="AD864" s="3" t="str">
        <f t="shared" si="1469"/>
        <v>Rubber &amp; plastics</v>
      </c>
      <c r="AE864" s="3" t="str">
        <f t="shared" si="1469"/>
        <v>Rubber &amp; plastics</v>
      </c>
      <c r="AF864" s="3" t="str">
        <f t="shared" si="1469"/>
        <v>Rubber &amp; plastics</v>
      </c>
      <c r="AG864" s="3" t="str">
        <f t="shared" si="1469"/>
        <v>Rubber &amp; plastics</v>
      </c>
      <c r="AH864" s="3" t="str">
        <f t="shared" si="1469"/>
        <v>Rubber &amp; plastics</v>
      </c>
      <c r="AI864" s="3" t="str">
        <f t="shared" si="1469"/>
        <v>Rubber &amp; plastics</v>
      </c>
    </row>
    <row r="865" hidden="1" outlineLevel="1">
      <c r="A865" s="44" t="inlineStr">
        <is>
          <t>rkn</t>
        </is>
      </c>
      <c r="B865" s="3" t="inlineStr">
        <is>
          <t>r10</t>
        </is>
      </c>
      <c r="C865" s="3" t="inlineStr"/>
      <c r="D865" s="3" t="n">
        <v>10</v>
      </c>
      <c r="E865" s="3" t="n"/>
      <c r="H865" s="3" t="inlineStr">
        <is>
          <t>Rank 10: sector</t>
        </is>
      </c>
      <c r="I865" s="3" t="inlineStr">
        <is>
          <t>name</t>
        </is>
      </c>
      <c r="J865" s="118" t="inlineStr">
        <is>
          <t>DistMapping</t>
        </is>
      </c>
      <c r="K865" s="9" t="str">
        <f>LOWER(CtryCode)&amp;".distn."&amp;$A865&amp;IF($B865="","","."&amp;$B865)&amp;IF($C865="","",".dec."&amp;$C865)&amp;"."&amp;K$5</f>
        <v>egy.distn.rkn.r10.1</v>
      </c>
      <c r="L865" s="10" t="str">
        <f>INDEX(DSecName,MATCH($D865,L$770:L$833,0))</f>
        <v>Coal</v>
      </c>
      <c r="M865" s="3" t="str">
        <f t="shared" ref="M865:V865" si="1470">L865</f>
        <v>Coal</v>
      </c>
      <c r="N865" s="3" t="str">
        <f t="shared" si="1470"/>
        <v>Coal</v>
      </c>
      <c r="O865" s="3" t="str">
        <f t="shared" si="1470"/>
        <v>Coal</v>
      </c>
      <c r="P865" s="3" t="str">
        <f t="shared" si="1470"/>
        <v>Coal</v>
      </c>
      <c r="Q865" s="3" t="str">
        <f t="shared" si="1470"/>
        <v>Coal</v>
      </c>
      <c r="R865" s="3" t="str">
        <f t="shared" si="1470"/>
        <v>Coal</v>
      </c>
      <c r="S865" s="3" t="str">
        <f t="shared" si="1470"/>
        <v>Coal</v>
      </c>
      <c r="T865" s="3" t="str">
        <f t="shared" si="1470"/>
        <v>Coal</v>
      </c>
      <c r="U865" s="3" t="str">
        <f t="shared" si="1470"/>
        <v>Coal</v>
      </c>
      <c r="V865" s="3" t="str">
        <f t="shared" si="1470"/>
        <v>Coal</v>
      </c>
      <c r="W865" s="201" t="str">
        <f>IF(X$5=K$5,SUM(Y865:AI865)-SUM(L865:V865),"")</f>
        <v/>
      </c>
      <c r="X865" s="9" t="str">
        <f>LOWER(CtryCode)&amp;".distn."&amp;$A865&amp;IF($B865="","","."&amp;$B865)&amp;IF($C865="","",".dec."&amp;$C865)&amp;"."&amp;X$5</f>
        <v>egy.distn.rkn.r10.2</v>
      </c>
      <c r="Y865" s="10" t="str">
        <f>INDEX(DSecName,MATCH($D865,Y$770:Y$833,0))</f>
        <v>Fabricated metals</v>
      </c>
      <c r="Z865" s="3" t="str">
        <f t="shared" ref="Z865:AI865" si="1471">Y865</f>
        <v>Fabricated metals</v>
      </c>
      <c r="AA865" s="3" t="str">
        <f t="shared" si="1471"/>
        <v>Fabricated metals</v>
      </c>
      <c r="AB865" s="3" t="str">
        <f t="shared" si="1471"/>
        <v>Fabricated metals</v>
      </c>
      <c r="AC865" s="3" t="str">
        <f t="shared" si="1471"/>
        <v>Fabricated metals</v>
      </c>
      <c r="AD865" s="3" t="str">
        <f t="shared" si="1471"/>
        <v>Fabricated metals</v>
      </c>
      <c r="AE865" s="3" t="str">
        <f t="shared" si="1471"/>
        <v>Fabricated metals</v>
      </c>
      <c r="AF865" s="3" t="str">
        <f t="shared" si="1471"/>
        <v>Fabricated metals</v>
      </c>
      <c r="AG865" s="3" t="str">
        <f t="shared" si="1471"/>
        <v>Fabricated metals</v>
      </c>
      <c r="AH865" s="3" t="str">
        <f t="shared" si="1471"/>
        <v>Fabricated metals</v>
      </c>
      <c r="AI865" s="3" t="str">
        <f t="shared" si="1471"/>
        <v>Fabricated metals</v>
      </c>
    </row>
    <row r="866" hidden="1" outlineLevel="1">
      <c r="A866" s="44" t="inlineStr">
        <is>
          <t>rkn</t>
        </is>
      </c>
      <c r="B866" s="3" t="inlineStr">
        <is>
          <t>r11</t>
        </is>
      </c>
      <c r="C866" s="3" t="inlineStr"/>
      <c r="D866" s="3" t="n">
        <v>11</v>
      </c>
      <c r="E866" s="3" t="n"/>
      <c r="H866" s="3" t="inlineStr">
        <is>
          <t>Rank 11: sector</t>
        </is>
      </c>
      <c r="I866" s="3" t="inlineStr">
        <is>
          <t>name</t>
        </is>
      </c>
      <c r="J866" s="118" t="inlineStr">
        <is>
          <t>DistMapping</t>
        </is>
      </c>
      <c r="K866" s="9" t="str">
        <f>LOWER(CtryCode)&amp;".distn."&amp;$A866&amp;IF($B866="","","."&amp;$B866)&amp;IF($C866="","",".dec."&amp;$C866)&amp;"."&amp;K$5</f>
        <v>egy.distn.rkn.r11.1</v>
      </c>
      <c r="L866" s="10" t="str">
        <f>INDEX(DSecName,MATCH($D866,L$770:L$833,0))</f>
        <v>Cattle</v>
      </c>
      <c r="M866" s="3" t="str">
        <f t="shared" ref="M866:V866" si="1472">L866</f>
        <v>Cattle</v>
      </c>
      <c r="N866" s="3" t="str">
        <f t="shared" si="1472"/>
        <v>Cattle</v>
      </c>
      <c r="O866" s="3" t="str">
        <f t="shared" si="1472"/>
        <v>Cattle</v>
      </c>
      <c r="P866" s="3" t="str">
        <f t="shared" si="1472"/>
        <v>Cattle</v>
      </c>
      <c r="Q866" s="3" t="str">
        <f t="shared" si="1472"/>
        <v>Cattle</v>
      </c>
      <c r="R866" s="3" t="str">
        <f t="shared" si="1472"/>
        <v>Cattle</v>
      </c>
      <c r="S866" s="3" t="str">
        <f t="shared" si="1472"/>
        <v>Cattle</v>
      </c>
      <c r="T866" s="3" t="str">
        <f t="shared" si="1472"/>
        <v>Cattle</v>
      </c>
      <c r="U866" s="3" t="str">
        <f t="shared" si="1472"/>
        <v>Cattle</v>
      </c>
      <c r="V866" s="3" t="str">
        <f t="shared" si="1472"/>
        <v>Cattle</v>
      </c>
      <c r="W866" s="201" t="str">
        <f>IF(X$5=K$5,SUM(Y866:AI866)-SUM(L866:V866),"")</f>
        <v/>
      </c>
      <c r="X866" s="9" t="str">
        <f>LOWER(CtryCode)&amp;".distn."&amp;$A866&amp;IF($B866="","","."&amp;$B866)&amp;IF($C866="","",".dec."&amp;$C866)&amp;"."&amp;X$5</f>
        <v>egy.distn.rkn.r11.2</v>
      </c>
      <c r="Y866" s="10" t="str">
        <f>INDEX(DSecName,MATCH($D866,Y$770:Y$833,0))</f>
        <v>Fibres crops</v>
      </c>
      <c r="Z866" s="3" t="str">
        <f t="shared" ref="Z866:AI866" si="1473">Y866</f>
        <v>Fibres crops</v>
      </c>
      <c r="AA866" s="3" t="str">
        <f t="shared" si="1473"/>
        <v>Fibres crops</v>
      </c>
      <c r="AB866" s="3" t="str">
        <f t="shared" si="1473"/>
        <v>Fibres crops</v>
      </c>
      <c r="AC866" s="3" t="str">
        <f t="shared" si="1473"/>
        <v>Fibres crops</v>
      </c>
      <c r="AD866" s="3" t="str">
        <f t="shared" si="1473"/>
        <v>Fibres crops</v>
      </c>
      <c r="AE866" s="3" t="str">
        <f t="shared" si="1473"/>
        <v>Fibres crops</v>
      </c>
      <c r="AF866" s="3" t="str">
        <f t="shared" si="1473"/>
        <v>Fibres crops</v>
      </c>
      <c r="AG866" s="3" t="str">
        <f t="shared" si="1473"/>
        <v>Fibres crops</v>
      </c>
      <c r="AH866" s="3" t="str">
        <f t="shared" si="1473"/>
        <v>Fibres crops</v>
      </c>
      <c r="AI866" s="3" t="str">
        <f t="shared" si="1473"/>
        <v>Fibres crops</v>
      </c>
    </row>
    <row r="867" hidden="1" outlineLevel="1">
      <c r="A867" s="44" t="inlineStr">
        <is>
          <t>rkn</t>
        </is>
      </c>
      <c r="B867" s="3" t="inlineStr">
        <is>
          <t>r12</t>
        </is>
      </c>
      <c r="C867" s="3" t="inlineStr"/>
      <c r="D867" s="3" t="n">
        <v>12</v>
      </c>
      <c r="E867" s="3" t="n"/>
      <c r="H867" s="3" t="inlineStr">
        <is>
          <t>Rank 12: sector</t>
        </is>
      </c>
      <c r="I867" s="3" t="inlineStr">
        <is>
          <t>name</t>
        </is>
      </c>
      <c r="J867" s="118" t="inlineStr">
        <is>
          <t>DistMapping</t>
        </is>
      </c>
      <c r="K867" s="9" t="str">
        <f>LOWER(CtryCode)&amp;".distn."&amp;$A867&amp;IF($B867="","","."&amp;$B867)&amp;IF($C867="","",".dec."&amp;$C867)&amp;"."&amp;K$5</f>
        <v>egy.distn.rkn.r12.1</v>
      </c>
      <c r="L867" s="10" t="str">
        <f>INDEX(DSecName,MATCH($D867,L$770:L$833,0))</f>
        <v>Housing rent</v>
      </c>
      <c r="M867" s="3" t="str">
        <f t="shared" ref="M867:V867" si="1474">L867</f>
        <v>Housing rent</v>
      </c>
      <c r="N867" s="3" t="str">
        <f t="shared" si="1474"/>
        <v>Housing rent</v>
      </c>
      <c r="O867" s="3" t="str">
        <f t="shared" si="1474"/>
        <v>Housing rent</v>
      </c>
      <c r="P867" s="3" t="str">
        <f t="shared" si="1474"/>
        <v>Housing rent</v>
      </c>
      <c r="Q867" s="3" t="str">
        <f t="shared" si="1474"/>
        <v>Housing rent</v>
      </c>
      <c r="R867" s="3" t="str">
        <f t="shared" si="1474"/>
        <v>Housing rent</v>
      </c>
      <c r="S867" s="3" t="str">
        <f t="shared" si="1474"/>
        <v>Housing rent</v>
      </c>
      <c r="T867" s="3" t="str">
        <f t="shared" si="1474"/>
        <v>Housing rent</v>
      </c>
      <c r="U867" s="3" t="str">
        <f t="shared" si="1474"/>
        <v>Housing rent</v>
      </c>
      <c r="V867" s="3" t="str">
        <f t="shared" si="1474"/>
        <v>Housing rent</v>
      </c>
      <c r="W867" s="201" t="str">
        <f>IF(X$5=K$5,SUM(Y867:AI867)-SUM(L867:V867),"")</f>
        <v/>
      </c>
      <c r="X867" s="9" t="str">
        <f>LOWER(CtryCode)&amp;".distn."&amp;$A867&amp;IF($B867="","","."&amp;$B867)&amp;IF($C867="","",".dec."&amp;$C867)&amp;"."&amp;X$5</f>
        <v>egy.distn.rkn.r12.2</v>
      </c>
      <c r="Y867" s="10" t="str">
        <f>INDEX(DSecName,MATCH($D867,Y$770:Y$833,0))</f>
        <v>Paper</v>
      </c>
      <c r="Z867" s="3" t="str">
        <f t="shared" ref="Z867:AI867" si="1475">Y867</f>
        <v>Paper</v>
      </c>
      <c r="AA867" s="3" t="str">
        <f t="shared" si="1475"/>
        <v>Paper</v>
      </c>
      <c r="AB867" s="3" t="str">
        <f t="shared" si="1475"/>
        <v>Paper</v>
      </c>
      <c r="AC867" s="3" t="str">
        <f t="shared" si="1475"/>
        <v>Paper</v>
      </c>
      <c r="AD867" s="3" t="str">
        <f t="shared" si="1475"/>
        <v>Paper</v>
      </c>
      <c r="AE867" s="3" t="str">
        <f t="shared" si="1475"/>
        <v>Paper</v>
      </c>
      <c r="AF867" s="3" t="str">
        <f t="shared" si="1475"/>
        <v>Paper</v>
      </c>
      <c r="AG867" s="3" t="str">
        <f t="shared" si="1475"/>
        <v>Paper</v>
      </c>
      <c r="AH867" s="3" t="str">
        <f t="shared" si="1475"/>
        <v>Paper</v>
      </c>
      <c r="AI867" s="3" t="str">
        <f t="shared" si="1475"/>
        <v>Paper</v>
      </c>
    </row>
    <row r="868" hidden="1" outlineLevel="1">
      <c r="A868" s="44" t="inlineStr">
        <is>
          <t>rkn</t>
        </is>
      </c>
      <c r="B868" s="3" t="inlineStr">
        <is>
          <t>r13</t>
        </is>
      </c>
      <c r="C868" s="3" t="inlineStr"/>
      <c r="D868" s="3" t="n">
        <v>13</v>
      </c>
      <c r="E868" s="3" t="n"/>
      <c r="H868" s="3" t="inlineStr">
        <is>
          <t>Rank 13: sector</t>
        </is>
      </c>
      <c r="I868" s="3" t="inlineStr">
        <is>
          <t>name</t>
        </is>
      </c>
      <c r="J868" s="118" t="inlineStr">
        <is>
          <t>DistMapping</t>
        </is>
      </c>
      <c r="K868" s="9" t="str">
        <f>LOWER(CtryCode)&amp;".distn."&amp;$A868&amp;IF($B868="","","."&amp;$B868)&amp;IF($C868="","",".dec."&amp;$C868)&amp;"."&amp;K$5</f>
        <v>egy.distn.rkn.r13.1</v>
      </c>
      <c r="L868" s="10" t="str">
        <f>INDEX(DSecName,MATCH($D868,L$770:L$833,0))</f>
        <v>Education</v>
      </c>
      <c r="M868" s="3" t="str">
        <f t="shared" ref="M868:V868" si="1476">L868</f>
        <v>Education</v>
      </c>
      <c r="N868" s="3" t="str">
        <f t="shared" si="1476"/>
        <v>Education</v>
      </c>
      <c r="O868" s="3" t="str">
        <f t="shared" si="1476"/>
        <v>Education</v>
      </c>
      <c r="P868" s="3" t="str">
        <f t="shared" si="1476"/>
        <v>Education</v>
      </c>
      <c r="Q868" s="3" t="str">
        <f t="shared" si="1476"/>
        <v>Education</v>
      </c>
      <c r="R868" s="3" t="str">
        <f t="shared" si="1476"/>
        <v>Education</v>
      </c>
      <c r="S868" s="3" t="str">
        <f t="shared" si="1476"/>
        <v>Education</v>
      </c>
      <c r="T868" s="3" t="str">
        <f t="shared" si="1476"/>
        <v>Education</v>
      </c>
      <c r="U868" s="3" t="str">
        <f t="shared" si="1476"/>
        <v>Education</v>
      </c>
      <c r="V868" s="3" t="str">
        <f t="shared" si="1476"/>
        <v>Education</v>
      </c>
      <c r="W868" s="201" t="str">
        <f>IF(X$5=K$5,SUM(Y868:AI868)-SUM(L868:V868),"")</f>
        <v/>
      </c>
      <c r="X868" s="9" t="str">
        <f>LOWER(CtryCode)&amp;".distn."&amp;$A868&amp;IF($B868="","","."&amp;$B868)&amp;IF($C868="","",".dec."&amp;$C868)&amp;"."&amp;X$5</f>
        <v>egy.distn.rkn.r13.2</v>
      </c>
      <c r="Y868" s="10" t="str">
        <f>INDEX(DSecName,MATCH($D868,Y$770:Y$833,0))</f>
        <v>Water supply</v>
      </c>
      <c r="Z868" s="3" t="str">
        <f t="shared" ref="Z868:AI868" si="1477">Y868</f>
        <v>Water supply</v>
      </c>
      <c r="AA868" s="3" t="str">
        <f t="shared" si="1477"/>
        <v>Water supply</v>
      </c>
      <c r="AB868" s="3" t="str">
        <f t="shared" si="1477"/>
        <v>Water supply</v>
      </c>
      <c r="AC868" s="3" t="str">
        <f t="shared" si="1477"/>
        <v>Water supply</v>
      </c>
      <c r="AD868" s="3" t="str">
        <f t="shared" si="1477"/>
        <v>Water supply</v>
      </c>
      <c r="AE868" s="3" t="str">
        <f t="shared" si="1477"/>
        <v>Water supply</v>
      </c>
      <c r="AF868" s="3" t="str">
        <f t="shared" si="1477"/>
        <v>Water supply</v>
      </c>
      <c r="AG868" s="3" t="str">
        <f t="shared" si="1477"/>
        <v>Water supply</v>
      </c>
      <c r="AH868" s="3" t="str">
        <f t="shared" si="1477"/>
        <v>Water supply</v>
      </c>
      <c r="AI868" s="3" t="str">
        <f t="shared" si="1477"/>
        <v>Water supply</v>
      </c>
    </row>
    <row r="869" hidden="1" outlineLevel="1">
      <c r="A869" s="44" t="inlineStr">
        <is>
          <t>rkn</t>
        </is>
      </c>
      <c r="B869" s="3" t="inlineStr">
        <is>
          <t>r14</t>
        </is>
      </c>
      <c r="C869" s="3" t="inlineStr"/>
      <c r="D869" s="3" t="n">
        <v>14</v>
      </c>
      <c r="E869" s="3" t="n"/>
      <c r="H869" s="3" t="inlineStr">
        <is>
          <t>Rank 14: sector</t>
        </is>
      </c>
      <c r="I869" s="3" t="inlineStr">
        <is>
          <t>name</t>
        </is>
      </c>
      <c r="J869" s="118" t="inlineStr">
        <is>
          <t>DistMapping</t>
        </is>
      </c>
      <c r="K869" s="9" t="str">
        <f>LOWER(CtryCode)&amp;".distn."&amp;$A869&amp;IF($B869="","","."&amp;$B869)&amp;IF($C869="","",".dec."&amp;$C869)&amp;"."&amp;K$5</f>
        <v>egy.distn.rkn.r14.1</v>
      </c>
      <c r="L869" s="10" t="str">
        <f>INDEX(DSecName,MATCH($D869,L$770:L$833,0))</f>
        <v>Electrical equipment</v>
      </c>
      <c r="M869" s="3" t="str">
        <f t="shared" ref="M869:V869" si="1478">L869</f>
        <v>Electrical equipment</v>
      </c>
      <c r="N869" s="3" t="str">
        <f t="shared" si="1478"/>
        <v>Electrical equipment</v>
      </c>
      <c r="O869" s="3" t="str">
        <f t="shared" si="1478"/>
        <v>Electrical equipment</v>
      </c>
      <c r="P869" s="3" t="str">
        <f t="shared" si="1478"/>
        <v>Electrical equipment</v>
      </c>
      <c r="Q869" s="3" t="str">
        <f t="shared" si="1478"/>
        <v>Electrical equipment</v>
      </c>
      <c r="R869" s="3" t="str">
        <f t="shared" si="1478"/>
        <v>Electrical equipment</v>
      </c>
      <c r="S869" s="3" t="str">
        <f t="shared" si="1478"/>
        <v>Electrical equipment</v>
      </c>
      <c r="T869" s="3" t="str">
        <f t="shared" si="1478"/>
        <v>Electrical equipment</v>
      </c>
      <c r="U869" s="3" t="str">
        <f t="shared" si="1478"/>
        <v>Electrical equipment</v>
      </c>
      <c r="V869" s="3" t="str">
        <f t="shared" si="1478"/>
        <v>Electrical equipment</v>
      </c>
      <c r="W869" s="201" t="str">
        <f>IF(X$5=K$5,SUM(Y869:AI869)-SUM(L869:V869),"")</f>
        <v/>
      </c>
      <c r="X869" s="9" t="str">
        <f>LOWER(CtryCode)&amp;".distn."&amp;$A869&amp;IF($B869="","","."&amp;$B869)&amp;IF($C869="","",".dec."&amp;$C869)&amp;"."&amp;X$5</f>
        <v>egy.distn.rkn.r14.2</v>
      </c>
      <c r="Y869" s="10" t="str">
        <f>INDEX(DSecName,MATCH($D869,Y$770:Y$833,0))</f>
        <v>Machinery</v>
      </c>
      <c r="Z869" s="3" t="str">
        <f t="shared" ref="Z869:AI869" si="1479">Y869</f>
        <v>Machinery</v>
      </c>
      <c r="AA869" s="3" t="str">
        <f t="shared" si="1479"/>
        <v>Machinery</v>
      </c>
      <c r="AB869" s="3" t="str">
        <f t="shared" si="1479"/>
        <v>Machinery</v>
      </c>
      <c r="AC869" s="3" t="str">
        <f t="shared" si="1479"/>
        <v>Machinery</v>
      </c>
      <c r="AD869" s="3" t="str">
        <f t="shared" si="1479"/>
        <v>Machinery</v>
      </c>
      <c r="AE869" s="3" t="str">
        <f t="shared" si="1479"/>
        <v>Machinery</v>
      </c>
      <c r="AF869" s="3" t="str">
        <f t="shared" si="1479"/>
        <v>Machinery</v>
      </c>
      <c r="AG869" s="3" t="str">
        <f t="shared" si="1479"/>
        <v>Machinery</v>
      </c>
      <c r="AH869" s="3" t="str">
        <f t="shared" si="1479"/>
        <v>Machinery</v>
      </c>
      <c r="AI869" s="3" t="str">
        <f t="shared" si="1479"/>
        <v>Machinery</v>
      </c>
    </row>
    <row r="870" hidden="1" outlineLevel="1">
      <c r="A870" s="44" t="inlineStr">
        <is>
          <t>rkn</t>
        </is>
      </c>
      <c r="B870" s="3" t="inlineStr">
        <is>
          <t>r15</t>
        </is>
      </c>
      <c r="C870" s="3" t="inlineStr"/>
      <c r="D870" s="3" t="n">
        <v>15</v>
      </c>
      <c r="E870" s="3" t="n"/>
      <c r="H870" s="3" t="inlineStr">
        <is>
          <t>Rank 15: sector</t>
        </is>
      </c>
      <c r="I870" s="3" t="inlineStr">
        <is>
          <t>name</t>
        </is>
      </c>
      <c r="J870" s="118" t="inlineStr">
        <is>
          <t>DistMapping</t>
        </is>
      </c>
      <c r="K870" s="9" t="str">
        <f>LOWER(CtryCode)&amp;".distn."&amp;$A870&amp;IF($B870="","","."&amp;$B870)&amp;IF($C870="","",".dec."&amp;$C870)&amp;"."&amp;K$5</f>
        <v>egy.distn.rkn.r15.1</v>
      </c>
      <c r="L870" s="10" t="str">
        <f>INDEX(DSecName,MATCH($D870,L$770:L$833,0))</f>
        <v>Computer equipment</v>
      </c>
      <c r="M870" s="3" t="str">
        <f t="shared" ref="M870:V870" si="1480">L870</f>
        <v>Computer equipment</v>
      </c>
      <c r="N870" s="3" t="str">
        <f t="shared" si="1480"/>
        <v>Computer equipment</v>
      </c>
      <c r="O870" s="3" t="str">
        <f t="shared" si="1480"/>
        <v>Computer equipment</v>
      </c>
      <c r="P870" s="3" t="str">
        <f t="shared" si="1480"/>
        <v>Computer equipment</v>
      </c>
      <c r="Q870" s="3" t="str">
        <f t="shared" si="1480"/>
        <v>Computer equipment</v>
      </c>
      <c r="R870" s="3" t="str">
        <f t="shared" si="1480"/>
        <v>Computer equipment</v>
      </c>
      <c r="S870" s="3" t="str">
        <f t="shared" si="1480"/>
        <v>Computer equipment</v>
      </c>
      <c r="T870" s="3" t="str">
        <f t="shared" si="1480"/>
        <v>Computer equipment</v>
      </c>
      <c r="U870" s="3" t="str">
        <f t="shared" si="1480"/>
        <v>Computer equipment</v>
      </c>
      <c r="V870" s="3" t="str">
        <f t="shared" si="1480"/>
        <v>Computer equipment</v>
      </c>
      <c r="W870" s="201" t="str">
        <f>IF(X$5=K$5,SUM(Y870:AI870)-SUM(L870:V870),"")</f>
        <v/>
      </c>
      <c r="X870" s="9" t="str">
        <f>LOWER(CtryCode)&amp;".distn."&amp;$A870&amp;IF($B870="","","."&amp;$B870)&amp;IF($C870="","",".dec."&amp;$C870)&amp;"."&amp;X$5</f>
        <v>egy.distn.rkn.r15.2</v>
      </c>
      <c r="Y870" s="10" t="str">
        <f>INDEX(DSecName,MATCH($D870,Y$770:Y$833,0))</f>
        <v>Electrical equipment</v>
      </c>
      <c r="Z870" s="3" t="str">
        <f t="shared" ref="Z870:AI870" si="1481">Y870</f>
        <v>Electrical equipment</v>
      </c>
      <c r="AA870" s="3" t="str">
        <f t="shared" si="1481"/>
        <v>Electrical equipment</v>
      </c>
      <c r="AB870" s="3" t="str">
        <f t="shared" si="1481"/>
        <v>Electrical equipment</v>
      </c>
      <c r="AC870" s="3" t="str">
        <f t="shared" si="1481"/>
        <v>Electrical equipment</v>
      </c>
      <c r="AD870" s="3" t="str">
        <f t="shared" si="1481"/>
        <v>Electrical equipment</v>
      </c>
      <c r="AE870" s="3" t="str">
        <f t="shared" si="1481"/>
        <v>Electrical equipment</v>
      </c>
      <c r="AF870" s="3" t="str">
        <f t="shared" si="1481"/>
        <v>Electrical equipment</v>
      </c>
      <c r="AG870" s="3" t="str">
        <f t="shared" si="1481"/>
        <v>Electrical equipment</v>
      </c>
      <c r="AH870" s="3" t="str">
        <f t="shared" si="1481"/>
        <v>Electrical equipment</v>
      </c>
      <c r="AI870" s="3" t="str">
        <f t="shared" si="1481"/>
        <v>Electrical equipment</v>
      </c>
    </row>
    <row r="871" hidden="1" outlineLevel="1">
      <c r="A871" s="44" t="inlineStr">
        <is>
          <t>rkn</t>
        </is>
      </c>
      <c r="B871" s="3" t="inlineStr">
        <is>
          <t>r16</t>
        </is>
      </c>
      <c r="C871" s="3" t="inlineStr"/>
      <c r="D871" s="3" t="n">
        <v>16</v>
      </c>
      <c r="E871" s="3" t="n"/>
      <c r="H871" s="3" t="inlineStr">
        <is>
          <t>Rank 16: sector</t>
        </is>
      </c>
      <c r="I871" s="3" t="inlineStr">
        <is>
          <t>name</t>
        </is>
      </c>
      <c r="J871" s="118" t="inlineStr">
        <is>
          <t>DistMapping</t>
        </is>
      </c>
      <c r="K871" s="9" t="str">
        <f>LOWER(CtryCode)&amp;".distn."&amp;$A871&amp;IF($B871="","","."&amp;$B871)&amp;IF($C871="","",".dec."&amp;$C871)&amp;"."&amp;K$5</f>
        <v>egy.distn.rkn.r16.1</v>
      </c>
      <c r="L871" s="10" t="str">
        <f>INDEX(DSecName,MATCH($D871,L$770:L$833,0))</f>
        <v>Electricity supply</v>
      </c>
      <c r="M871" s="3" t="str">
        <f t="shared" ref="M871:V871" si="1482">L871</f>
        <v>Electricity supply</v>
      </c>
      <c r="N871" s="3" t="str">
        <f t="shared" si="1482"/>
        <v>Electricity supply</v>
      </c>
      <c r="O871" s="3" t="str">
        <f t="shared" si="1482"/>
        <v>Electricity supply</v>
      </c>
      <c r="P871" s="3" t="str">
        <f t="shared" si="1482"/>
        <v>Electricity supply</v>
      </c>
      <c r="Q871" s="3" t="str">
        <f t="shared" si="1482"/>
        <v>Electricity supply</v>
      </c>
      <c r="R871" s="3" t="str">
        <f t="shared" si="1482"/>
        <v>Electricity supply</v>
      </c>
      <c r="S871" s="3" t="str">
        <f t="shared" si="1482"/>
        <v>Electricity supply</v>
      </c>
      <c r="T871" s="3" t="str">
        <f t="shared" si="1482"/>
        <v>Electricity supply</v>
      </c>
      <c r="U871" s="3" t="str">
        <f t="shared" si="1482"/>
        <v>Electricity supply</v>
      </c>
      <c r="V871" s="3" t="str">
        <f t="shared" si="1482"/>
        <v>Electricity supply</v>
      </c>
      <c r="W871" s="201" t="str">
        <f>IF(X$5=K$5,SUM(Y871:AI871)-SUM(L871:V871),"")</f>
        <v/>
      </c>
      <c r="X871" s="9" t="str">
        <f>LOWER(CtryCode)&amp;".distn."&amp;$A871&amp;IF($B871="","","."&amp;$B871)&amp;IF($C871="","",".dec."&amp;$C871)&amp;"."&amp;X$5</f>
        <v>egy.distn.rkn.r16.2</v>
      </c>
      <c r="Y871" s="10" t="str">
        <f>INDEX(DSecName,MATCH($D871,Y$770:Y$833,0))</f>
        <v>Pharmaceuticals</v>
      </c>
      <c r="Z871" s="3" t="str">
        <f t="shared" ref="Z871:AI871" si="1483">Y871</f>
        <v>Pharmaceuticals</v>
      </c>
      <c r="AA871" s="3" t="str">
        <f t="shared" si="1483"/>
        <v>Pharmaceuticals</v>
      </c>
      <c r="AB871" s="3" t="str">
        <f t="shared" si="1483"/>
        <v>Pharmaceuticals</v>
      </c>
      <c r="AC871" s="3" t="str">
        <f t="shared" si="1483"/>
        <v>Pharmaceuticals</v>
      </c>
      <c r="AD871" s="3" t="str">
        <f t="shared" si="1483"/>
        <v>Pharmaceuticals</v>
      </c>
      <c r="AE871" s="3" t="str">
        <f t="shared" si="1483"/>
        <v>Pharmaceuticals</v>
      </c>
      <c r="AF871" s="3" t="str">
        <f t="shared" si="1483"/>
        <v>Pharmaceuticals</v>
      </c>
      <c r="AG871" s="3" t="str">
        <f t="shared" si="1483"/>
        <v>Pharmaceuticals</v>
      </c>
      <c r="AH871" s="3" t="str">
        <f t="shared" si="1483"/>
        <v>Pharmaceuticals</v>
      </c>
      <c r="AI871" s="3" t="str">
        <f t="shared" si="1483"/>
        <v>Pharmaceuticals</v>
      </c>
    </row>
    <row r="872" hidden="1" outlineLevel="1">
      <c r="A872" s="44" t="inlineStr">
        <is>
          <t>rkn</t>
        </is>
      </c>
      <c r="B872" s="3" t="inlineStr">
        <is>
          <t>r17</t>
        </is>
      </c>
      <c r="C872" s="3" t="inlineStr"/>
      <c r="D872" s="3" t="n">
        <v>17</v>
      </c>
      <c r="E872" s="3" t="n"/>
      <c r="H872" s="3" t="inlineStr">
        <is>
          <t>Rank 17: sector</t>
        </is>
      </c>
      <c r="I872" s="3" t="inlineStr">
        <is>
          <t>name</t>
        </is>
      </c>
      <c r="J872" s="118" t="inlineStr">
        <is>
          <t>DistMapping</t>
        </is>
      </c>
      <c r="K872" s="9" t="str">
        <f>LOWER(CtryCode)&amp;".distn."&amp;$A872&amp;IF($B872="","","."&amp;$B872)&amp;IF($C872="","",".dec."&amp;$C872)&amp;"."&amp;K$5</f>
        <v>egy.distn.rkn.r17.1</v>
      </c>
      <c r="L872" s="10" t="str">
        <f>INDEX(DSecName,MATCH($D872,L$770:L$833,0))</f>
        <v>Fabricated metals</v>
      </c>
      <c r="M872" s="3" t="str">
        <f t="shared" ref="M872:V872" si="1484">L872</f>
        <v>Fabricated metals</v>
      </c>
      <c r="N872" s="3" t="str">
        <f t="shared" si="1484"/>
        <v>Fabricated metals</v>
      </c>
      <c r="O872" s="3" t="str">
        <f t="shared" si="1484"/>
        <v>Fabricated metals</v>
      </c>
      <c r="P872" s="3" t="str">
        <f t="shared" si="1484"/>
        <v>Fabricated metals</v>
      </c>
      <c r="Q872" s="3" t="str">
        <f t="shared" si="1484"/>
        <v>Fabricated metals</v>
      </c>
      <c r="R872" s="3" t="str">
        <f t="shared" si="1484"/>
        <v>Fabricated metals</v>
      </c>
      <c r="S872" s="3" t="str">
        <f t="shared" si="1484"/>
        <v>Fabricated metals</v>
      </c>
      <c r="T872" s="3" t="str">
        <f t="shared" si="1484"/>
        <v>Fabricated metals</v>
      </c>
      <c r="U872" s="3" t="str">
        <f t="shared" si="1484"/>
        <v>Fabricated metals</v>
      </c>
      <c r="V872" s="3" t="str">
        <f t="shared" si="1484"/>
        <v>Fabricated metals</v>
      </c>
      <c r="W872" s="201" t="str">
        <f>IF(X$5=K$5,SUM(Y872:AI872)-SUM(L872:V872),"")</f>
        <v/>
      </c>
      <c r="X872" s="9" t="str">
        <f>LOWER(CtryCode)&amp;".distn."&amp;$A872&amp;IF($B872="","","."&amp;$B872)&amp;IF($C872="","",".dec."&amp;$C872)&amp;"."&amp;X$5</f>
        <v>egy.distn.rkn.r17.2</v>
      </c>
      <c r="Y872" s="10" t="str">
        <f>INDEX(DSecName,MATCH($D872,Y$770:Y$833,0))</f>
        <v>Wool</v>
      </c>
      <c r="Z872" s="3" t="str">
        <f t="shared" ref="Z872:AI872" si="1485">Y872</f>
        <v>Wool</v>
      </c>
      <c r="AA872" s="3" t="str">
        <f t="shared" si="1485"/>
        <v>Wool</v>
      </c>
      <c r="AB872" s="3" t="str">
        <f t="shared" si="1485"/>
        <v>Wool</v>
      </c>
      <c r="AC872" s="3" t="str">
        <f t="shared" si="1485"/>
        <v>Wool</v>
      </c>
      <c r="AD872" s="3" t="str">
        <f t="shared" si="1485"/>
        <v>Wool</v>
      </c>
      <c r="AE872" s="3" t="str">
        <f t="shared" si="1485"/>
        <v>Wool</v>
      </c>
      <c r="AF872" s="3" t="str">
        <f t="shared" si="1485"/>
        <v>Wool</v>
      </c>
      <c r="AG872" s="3" t="str">
        <f t="shared" si="1485"/>
        <v>Wool</v>
      </c>
      <c r="AH872" s="3" t="str">
        <f t="shared" si="1485"/>
        <v>Wool</v>
      </c>
      <c r="AI872" s="3" t="str">
        <f t="shared" si="1485"/>
        <v>Wool</v>
      </c>
    </row>
    <row r="873" hidden="1" outlineLevel="1">
      <c r="A873" s="44" t="inlineStr">
        <is>
          <t>rkn</t>
        </is>
      </c>
      <c r="B873" s="3" t="inlineStr">
        <is>
          <t>r18</t>
        </is>
      </c>
      <c r="C873" s="3" t="inlineStr"/>
      <c r="D873" s="3" t="n">
        <v>18</v>
      </c>
      <c r="E873" s="3" t="n"/>
      <c r="H873" s="3" t="inlineStr">
        <is>
          <t>Rank 18: sector</t>
        </is>
      </c>
      <c r="I873" s="3" t="inlineStr">
        <is>
          <t>name</t>
        </is>
      </c>
      <c r="J873" s="118" t="inlineStr">
        <is>
          <t>DistMapping</t>
        </is>
      </c>
      <c r="K873" s="9" t="str">
        <f>LOWER(CtryCode)&amp;".distn."&amp;$A873&amp;IF($B873="","","."&amp;$B873)&amp;IF($C873="","",".dec."&amp;$C873)&amp;"."&amp;K$5</f>
        <v>egy.distn.rkn.r18.1</v>
      </c>
      <c r="L873" s="10" t="str">
        <f>INDEX(DSecName,MATCH($D873,L$770:L$833,0))</f>
        <v>Forestry</v>
      </c>
      <c r="M873" s="3" t="str">
        <f t="shared" ref="M873:V873" si="1486">L873</f>
        <v>Forestry</v>
      </c>
      <c r="N873" s="3" t="str">
        <f t="shared" si="1486"/>
        <v>Forestry</v>
      </c>
      <c r="O873" s="3" t="str">
        <f t="shared" si="1486"/>
        <v>Forestry</v>
      </c>
      <c r="P873" s="3" t="str">
        <f t="shared" si="1486"/>
        <v>Forestry</v>
      </c>
      <c r="Q873" s="3" t="str">
        <f t="shared" si="1486"/>
        <v>Forestry</v>
      </c>
      <c r="R873" s="3" t="str">
        <f t="shared" si="1486"/>
        <v>Forestry</v>
      </c>
      <c r="S873" s="3" t="str">
        <f t="shared" si="1486"/>
        <v>Forestry</v>
      </c>
      <c r="T873" s="3" t="str">
        <f t="shared" si="1486"/>
        <v>Forestry</v>
      </c>
      <c r="U873" s="3" t="str">
        <f t="shared" si="1486"/>
        <v>Forestry</v>
      </c>
      <c r="V873" s="3" t="str">
        <f t="shared" si="1486"/>
        <v>Forestry</v>
      </c>
      <c r="W873" s="201" t="str">
        <f>IF(X$5=K$5,SUM(Y873:AI873)-SUM(L873:V873),"")</f>
        <v/>
      </c>
      <c r="X873" s="9" t="str">
        <f>LOWER(CtryCode)&amp;".distn."&amp;$A873&amp;IF($B873="","","."&amp;$B873)&amp;IF($C873="","",".dec."&amp;$C873)&amp;"."&amp;X$5</f>
        <v>egy.distn.rkn.r18.2</v>
      </c>
      <c r="Y873" s="10" t="str">
        <f>INDEX(DSecName,MATCH($D873,Y$770:Y$833,0))</f>
        <v>Computer equipment</v>
      </c>
      <c r="Z873" s="3" t="str">
        <f t="shared" ref="Z873:AI873" si="1487">Y873</f>
        <v>Computer equipment</v>
      </c>
      <c r="AA873" s="3" t="str">
        <f t="shared" si="1487"/>
        <v>Computer equipment</v>
      </c>
      <c r="AB873" s="3" t="str">
        <f t="shared" si="1487"/>
        <v>Computer equipment</v>
      </c>
      <c r="AC873" s="3" t="str">
        <f t="shared" si="1487"/>
        <v>Computer equipment</v>
      </c>
      <c r="AD873" s="3" t="str">
        <f t="shared" si="1487"/>
        <v>Computer equipment</v>
      </c>
      <c r="AE873" s="3" t="str">
        <f t="shared" si="1487"/>
        <v>Computer equipment</v>
      </c>
      <c r="AF873" s="3" t="str">
        <f t="shared" si="1487"/>
        <v>Computer equipment</v>
      </c>
      <c r="AG873" s="3" t="str">
        <f t="shared" si="1487"/>
        <v>Computer equipment</v>
      </c>
      <c r="AH873" s="3" t="str">
        <f t="shared" si="1487"/>
        <v>Computer equipment</v>
      </c>
      <c r="AI873" s="3" t="str">
        <f t="shared" si="1487"/>
        <v>Computer equipment</v>
      </c>
    </row>
    <row r="874" hidden="1" outlineLevel="1">
      <c r="A874" s="44" t="inlineStr">
        <is>
          <t>rkn</t>
        </is>
      </c>
      <c r="B874" s="3" t="inlineStr">
        <is>
          <t>r19</t>
        </is>
      </c>
      <c r="C874" s="3" t="inlineStr"/>
      <c r="D874" s="3" t="n">
        <v>19</v>
      </c>
      <c r="E874" s="3" t="n"/>
      <c r="H874" s="3" t="inlineStr">
        <is>
          <t>Rank 19: sector</t>
        </is>
      </c>
      <c r="I874" s="3" t="inlineStr">
        <is>
          <t>name</t>
        </is>
      </c>
      <c r="J874" s="118" t="inlineStr">
        <is>
          <t>DistMapping</t>
        </is>
      </c>
      <c r="K874" s="9" t="str">
        <f>LOWER(CtryCode)&amp;".distn."&amp;$A874&amp;IF($B874="","","."&amp;$B874)&amp;IF($C874="","",".dec."&amp;$C874)&amp;"."&amp;K$5</f>
        <v>egy.distn.rkn.r19.1</v>
      </c>
      <c r="L874" s="10" t="str">
        <f>INDEX(DSecName,MATCH($D874,L$770:L$833,0))</f>
        <v>Fishing</v>
      </c>
      <c r="M874" s="3" t="str">
        <f t="shared" ref="M874:V874" si="1488">L874</f>
        <v>Fishing</v>
      </c>
      <c r="N874" s="3" t="str">
        <f t="shared" si="1488"/>
        <v>Fishing</v>
      </c>
      <c r="O874" s="3" t="str">
        <f t="shared" si="1488"/>
        <v>Fishing</v>
      </c>
      <c r="P874" s="3" t="str">
        <f t="shared" si="1488"/>
        <v>Fishing</v>
      </c>
      <c r="Q874" s="3" t="str">
        <f t="shared" si="1488"/>
        <v>Fishing</v>
      </c>
      <c r="R874" s="3" t="str">
        <f t="shared" si="1488"/>
        <v>Fishing</v>
      </c>
      <c r="S874" s="3" t="str">
        <f t="shared" si="1488"/>
        <v>Fishing</v>
      </c>
      <c r="T874" s="3" t="str">
        <f t="shared" si="1488"/>
        <v>Fishing</v>
      </c>
      <c r="U874" s="3" t="str">
        <f t="shared" si="1488"/>
        <v>Fishing</v>
      </c>
      <c r="V874" s="3" t="str">
        <f t="shared" si="1488"/>
        <v>Fishing</v>
      </c>
      <c r="W874" s="201" t="str">
        <f>IF(X$5=K$5,SUM(Y874:AI874)-SUM(L874:V874),"")</f>
        <v/>
      </c>
      <c r="X874" s="9" t="str">
        <f>LOWER(CtryCode)&amp;".distn."&amp;$A874&amp;IF($B874="","","."&amp;$B874)&amp;IF($C874="","",".dec."&amp;$C874)&amp;"."&amp;X$5</f>
        <v>egy.distn.rkn.r19.2</v>
      </c>
      <c r="Y874" s="10" t="str">
        <f>INDEX(DSecName,MATCH($D874,Y$770:Y$833,0))</f>
        <v>Motor vehicles</v>
      </c>
      <c r="Z874" s="3" t="str">
        <f t="shared" ref="Z874:AI874" si="1489">Y874</f>
        <v>Motor vehicles</v>
      </c>
      <c r="AA874" s="3" t="str">
        <f t="shared" si="1489"/>
        <v>Motor vehicles</v>
      </c>
      <c r="AB874" s="3" t="str">
        <f t="shared" si="1489"/>
        <v>Motor vehicles</v>
      </c>
      <c r="AC874" s="3" t="str">
        <f t="shared" si="1489"/>
        <v>Motor vehicles</v>
      </c>
      <c r="AD874" s="3" t="str">
        <f t="shared" si="1489"/>
        <v>Motor vehicles</v>
      </c>
      <c r="AE874" s="3" t="str">
        <f t="shared" si="1489"/>
        <v>Motor vehicles</v>
      </c>
      <c r="AF874" s="3" t="str">
        <f t="shared" si="1489"/>
        <v>Motor vehicles</v>
      </c>
      <c r="AG874" s="3" t="str">
        <f t="shared" si="1489"/>
        <v>Motor vehicles</v>
      </c>
      <c r="AH874" s="3" t="str">
        <f t="shared" si="1489"/>
        <v>Motor vehicles</v>
      </c>
      <c r="AI874" s="3" t="str">
        <f t="shared" si="1489"/>
        <v>Motor vehicles</v>
      </c>
    </row>
    <row r="875" hidden="1" outlineLevel="1">
      <c r="A875" s="44" t="inlineStr">
        <is>
          <t>rkn</t>
        </is>
      </c>
      <c r="B875" s="3" t="inlineStr">
        <is>
          <t>r20</t>
        </is>
      </c>
      <c r="C875" s="3" t="inlineStr"/>
      <c r="D875" s="3" t="n">
        <v>20</v>
      </c>
      <c r="E875" s="3" t="n"/>
      <c r="H875" s="3" t="inlineStr">
        <is>
          <t>Rank 20: sector</t>
        </is>
      </c>
      <c r="I875" s="3" t="inlineStr">
        <is>
          <t>name</t>
        </is>
      </c>
      <c r="J875" s="118" t="inlineStr">
        <is>
          <t>DistMapping</t>
        </is>
      </c>
      <c r="K875" s="9" t="str">
        <f>LOWER(CtryCode)&amp;".distn."&amp;$A875&amp;IF($B875="","","."&amp;$B875)&amp;IF($C875="","",".dec."&amp;$C875)&amp;"."&amp;K$5</f>
        <v>egy.distn.rkn.r20.1</v>
      </c>
      <c r="L875" s="10" t="str">
        <f>INDEX(DSecName,MATCH($D875,L$770:L$833,0))</f>
        <v>Other grains</v>
      </c>
      <c r="M875" s="3" t="str">
        <f t="shared" ref="M875:V875" si="1490">L875</f>
        <v>Other grains</v>
      </c>
      <c r="N875" s="3" t="str">
        <f t="shared" si="1490"/>
        <v>Other grains</v>
      </c>
      <c r="O875" s="3" t="str">
        <f t="shared" si="1490"/>
        <v>Other grains</v>
      </c>
      <c r="P875" s="3" t="str">
        <f t="shared" si="1490"/>
        <v>Other grains</v>
      </c>
      <c r="Q875" s="3" t="str">
        <f t="shared" si="1490"/>
        <v>Other grains</v>
      </c>
      <c r="R875" s="3" t="str">
        <f t="shared" si="1490"/>
        <v>Other grains</v>
      </c>
      <c r="S875" s="3" t="str">
        <f t="shared" si="1490"/>
        <v>Other grains</v>
      </c>
      <c r="T875" s="3" t="str">
        <f t="shared" si="1490"/>
        <v>Other grains</v>
      </c>
      <c r="U875" s="3" t="str">
        <f t="shared" si="1490"/>
        <v>Other grains</v>
      </c>
      <c r="V875" s="3" t="str">
        <f t="shared" si="1490"/>
        <v>Other grains</v>
      </c>
      <c r="W875" s="201" t="str">
        <f>IF(X$5=K$5,SUM(Y875:AI875)-SUM(L875:V875),"")</f>
        <v/>
      </c>
      <c r="X875" s="9" t="str">
        <f>LOWER(CtryCode)&amp;".distn."&amp;$A875&amp;IF($B875="","","."&amp;$B875)&amp;IF($C875="","",".dec."&amp;$C875)&amp;"."&amp;X$5</f>
        <v>egy.distn.rkn.r20.2</v>
      </c>
      <c r="Y875" s="10" t="str">
        <f>INDEX(DSecName,MATCH($D875,Y$770:Y$833,0))</f>
        <v>Non-metallic minerals</v>
      </c>
      <c r="Z875" s="3" t="str">
        <f t="shared" ref="Z875:AI875" si="1491">Y875</f>
        <v>Non-metallic minerals</v>
      </c>
      <c r="AA875" s="3" t="str">
        <f t="shared" si="1491"/>
        <v>Non-metallic minerals</v>
      </c>
      <c r="AB875" s="3" t="str">
        <f t="shared" si="1491"/>
        <v>Non-metallic minerals</v>
      </c>
      <c r="AC875" s="3" t="str">
        <f t="shared" si="1491"/>
        <v>Non-metallic minerals</v>
      </c>
      <c r="AD875" s="3" t="str">
        <f t="shared" si="1491"/>
        <v>Non-metallic minerals</v>
      </c>
      <c r="AE875" s="3" t="str">
        <f t="shared" si="1491"/>
        <v>Non-metallic minerals</v>
      </c>
      <c r="AF875" s="3" t="str">
        <f t="shared" si="1491"/>
        <v>Non-metallic minerals</v>
      </c>
      <c r="AG875" s="3" t="str">
        <f t="shared" si="1491"/>
        <v>Non-metallic minerals</v>
      </c>
      <c r="AH875" s="3" t="str">
        <f t="shared" si="1491"/>
        <v>Non-metallic minerals</v>
      </c>
      <c r="AI875" s="3" t="str">
        <f t="shared" si="1491"/>
        <v>Non-metallic minerals</v>
      </c>
    </row>
    <row r="876" hidden="1" outlineLevel="1">
      <c r="A876" s="44" t="inlineStr">
        <is>
          <t>rkp</t>
        </is>
      </c>
      <c r="B876" s="3" t="inlineStr">
        <is>
          <t>r1</t>
        </is>
      </c>
      <c r="C876" s="3" t="inlineStr"/>
      <c r="D876" s="3" t="n">
        <v>1</v>
      </c>
      <c r="E876" s="3" t="n"/>
      <c r="H876" s="3" t="inlineStr">
        <is>
          <t>Rank 1: output-price change</t>
        </is>
      </c>
      <c r="I876" s="3" t="inlineStr">
        <is>
          <t>fraction</t>
        </is>
      </c>
      <c r="J876" s="118" t="inlineStr">
        <is>
          <t>legacy row 3279</t>
        </is>
      </c>
      <c r="K876" s="9" t="str">
        <f>LOWER(CtryCode)&amp;".distn."&amp;$A876&amp;IF($B876="","","."&amp;$B876)&amp;IF($C876="","",".dec."&amp;$C876)&amp;"."&amp;K$5</f>
        <v>egy.distn.rkp.r1.1</v>
      </c>
      <c r="L876" s="121">
        <f>INDEX(L$704:L$767,MATCH($D876,L$770:L$833,0))</f>
        <v>0.0</v>
      </c>
      <c r="M876" s="122">
        <f t="shared" ref="M876:V876" si="1492">L876</f>
        <v>0.0</v>
      </c>
      <c r="N876" s="122">
        <f t="shared" si="1492"/>
        <v>0.0</v>
      </c>
      <c r="O876" s="122">
        <f t="shared" si="1492"/>
        <v>0.0</v>
      </c>
      <c r="P876" s="122">
        <f t="shared" si="1492"/>
        <v>0.0</v>
      </c>
      <c r="Q876" s="122">
        <f t="shared" si="1492"/>
        <v>0.0</v>
      </c>
      <c r="R876" s="122">
        <f t="shared" si="1492"/>
        <v>0.0</v>
      </c>
      <c r="S876" s="122">
        <f t="shared" si="1492"/>
        <v>0.0</v>
      </c>
      <c r="T876" s="122">
        <f t="shared" si="1492"/>
        <v>0.0</v>
      </c>
      <c r="U876" s="122">
        <f t="shared" si="1492"/>
        <v>0.0</v>
      </c>
      <c r="V876" s="122">
        <f t="shared" si="1492"/>
        <v>0.0</v>
      </c>
      <c r="W876" s="201" t="str">
        <f>IF(X$5=K$5,SUM(Y876:AI876)-SUM(L876:V876),"")</f>
        <v/>
      </c>
      <c r="X876" s="9" t="str">
        <f>LOWER(CtryCode)&amp;".distn."&amp;$A876&amp;IF($B876="","","."&amp;$B876)&amp;IF($C876="","",".dec."&amp;$C876)&amp;"."&amp;X$5</f>
        <v>egy.distn.rkp.r1.2</v>
      </c>
      <c r="Y876" s="121">
        <f>INDEX(Y$704:Y$767,MATCH($D876,Y$770:Y$833,0))</f>
        <v>0.007533819297724958</v>
      </c>
      <c r="Z876" s="122">
        <f t="shared" ref="Z876:AI876" si="1493">Y876</f>
        <v>0.007533819297724958</v>
      </c>
      <c r="AA876" s="122">
        <f t="shared" si="1493"/>
        <v>0.007533819297724958</v>
      </c>
      <c r="AB876" s="122">
        <f t="shared" si="1493"/>
        <v>0.007533819297724958</v>
      </c>
      <c r="AC876" s="122">
        <f t="shared" si="1493"/>
        <v>0.007533819297724958</v>
      </c>
      <c r="AD876" s="122">
        <f t="shared" si="1493"/>
        <v>0.007533819297724958</v>
      </c>
      <c r="AE876" s="122">
        <f t="shared" si="1493"/>
        <v>0.007533819297724958</v>
      </c>
      <c r="AF876" s="122">
        <f t="shared" si="1493"/>
        <v>0.007533819297724958</v>
      </c>
      <c r="AG876" s="122">
        <f t="shared" si="1493"/>
        <v>0.007533819297724958</v>
      </c>
      <c r="AH876" s="122">
        <f t="shared" si="1493"/>
        <v>0.007533819297724958</v>
      </c>
      <c r="AI876" s="122">
        <f t="shared" si="1493"/>
        <v>0.007533819297724958</v>
      </c>
    </row>
    <row r="877" hidden="1" outlineLevel="1">
      <c r="A877" s="44" t="inlineStr">
        <is>
          <t>rkp</t>
        </is>
      </c>
      <c r="B877" s="3" t="inlineStr">
        <is>
          <t>r2</t>
        </is>
      </c>
      <c r="C877" s="3" t="inlineStr"/>
      <c r="D877" s="3" t="n">
        <v>2</v>
      </c>
      <c r="E877" s="3" t="n"/>
      <c r="H877" s="3" t="inlineStr">
        <is>
          <t>Rank 2: output-price change</t>
        </is>
      </c>
      <c r="I877" s="3" t="inlineStr">
        <is>
          <t>fraction</t>
        </is>
      </c>
      <c r="J877" s="118" t="inlineStr">
        <is>
          <t>legacy row 3279</t>
        </is>
      </c>
      <c r="K877" s="9" t="str">
        <f>LOWER(CtryCode)&amp;".distn."&amp;$A877&amp;IF($B877="","","."&amp;$B877)&amp;IF($C877="","",".dec."&amp;$C877)&amp;"."&amp;K$5</f>
        <v>egy.distn.rkp.r2.1</v>
      </c>
      <c r="L877" s="121">
        <f>INDEX(L$704:L$767,MATCH($D877,L$770:L$833,0))</f>
        <v>0.0</v>
      </c>
      <c r="M877" s="122">
        <f t="shared" ref="M877:V877" si="1494">L877</f>
        <v>0.0</v>
      </c>
      <c r="N877" s="122">
        <f t="shared" si="1494"/>
        <v>0.0</v>
      </c>
      <c r="O877" s="122">
        <f t="shared" si="1494"/>
        <v>0.0</v>
      </c>
      <c r="P877" s="122">
        <f t="shared" si="1494"/>
        <v>0.0</v>
      </c>
      <c r="Q877" s="122">
        <f t="shared" si="1494"/>
        <v>0.0</v>
      </c>
      <c r="R877" s="122">
        <f t="shared" si="1494"/>
        <v>0.0</v>
      </c>
      <c r="S877" s="122">
        <f t="shared" si="1494"/>
        <v>0.0</v>
      </c>
      <c r="T877" s="122">
        <f t="shared" si="1494"/>
        <v>0.0</v>
      </c>
      <c r="U877" s="122">
        <f t="shared" si="1494"/>
        <v>0.0</v>
      </c>
      <c r="V877" s="122">
        <f t="shared" si="1494"/>
        <v>0.0</v>
      </c>
      <c r="W877" s="201" t="str">
        <f>IF(X$5=K$5,SUM(Y877:AI877)-SUM(L877:V877),"")</f>
        <v/>
      </c>
      <c r="X877" s="9" t="str">
        <f>LOWER(CtryCode)&amp;".distn."&amp;$A877&amp;IF($B877="","","."&amp;$B877)&amp;IF($C877="","",".dec."&amp;$C877)&amp;"."&amp;X$5</f>
        <v>egy.distn.rkp.r2.2</v>
      </c>
      <c r="Y877" s="121">
        <f>INDEX(Y$704:Y$767,MATCH($D877,Y$770:Y$833,0))</f>
        <v>0.006928790105011151</v>
      </c>
      <c r="Z877" s="122">
        <f t="shared" ref="Z877:AI877" si="1495">Y877</f>
        <v>0.006928790105011151</v>
      </c>
      <c r="AA877" s="122">
        <f t="shared" si="1495"/>
        <v>0.006928790105011151</v>
      </c>
      <c r="AB877" s="122">
        <f t="shared" si="1495"/>
        <v>0.006928790105011151</v>
      </c>
      <c r="AC877" s="122">
        <f t="shared" si="1495"/>
        <v>0.006928790105011151</v>
      </c>
      <c r="AD877" s="122">
        <f t="shared" si="1495"/>
        <v>0.006928790105011151</v>
      </c>
      <c r="AE877" s="122">
        <f t="shared" si="1495"/>
        <v>0.006928790105011151</v>
      </c>
      <c r="AF877" s="122">
        <f t="shared" si="1495"/>
        <v>0.006928790105011151</v>
      </c>
      <c r="AG877" s="122">
        <f t="shared" si="1495"/>
        <v>0.006928790105011151</v>
      </c>
      <c r="AH877" s="122">
        <f t="shared" si="1495"/>
        <v>0.006928790105011151</v>
      </c>
      <c r="AI877" s="122">
        <f t="shared" si="1495"/>
        <v>0.006928790105011151</v>
      </c>
    </row>
    <row r="878" hidden="1" outlineLevel="1">
      <c r="A878" s="44" t="inlineStr">
        <is>
          <t>rkp</t>
        </is>
      </c>
      <c r="B878" s="3" t="inlineStr">
        <is>
          <t>r3</t>
        </is>
      </c>
      <c r="C878" s="3" t="inlineStr"/>
      <c r="D878" s="3" t="n">
        <v>3</v>
      </c>
      <c r="E878" s="3" t="n"/>
      <c r="H878" s="3" t="inlineStr">
        <is>
          <t>Rank 3: output-price change</t>
        </is>
      </c>
      <c r="I878" s="3" t="inlineStr">
        <is>
          <t>fraction</t>
        </is>
      </c>
      <c r="J878" s="118" t="inlineStr">
        <is>
          <t>legacy row 3279</t>
        </is>
      </c>
      <c r="K878" s="9" t="str">
        <f>LOWER(CtryCode)&amp;".distn."&amp;$A878&amp;IF($B878="","","."&amp;$B878)&amp;IF($C878="","",".dec."&amp;$C878)&amp;"."&amp;K$5</f>
        <v>egy.distn.rkp.r3.1</v>
      </c>
      <c r="L878" s="121">
        <f>INDEX(L$704:L$767,MATCH($D878,L$770:L$833,0))</f>
        <v>0.0</v>
      </c>
      <c r="M878" s="122">
        <f t="shared" ref="M878:V878" si="1496">L878</f>
        <v>0.0</v>
      </c>
      <c r="N878" s="122">
        <f t="shared" si="1496"/>
        <v>0.0</v>
      </c>
      <c r="O878" s="122">
        <f t="shared" si="1496"/>
        <v>0.0</v>
      </c>
      <c r="P878" s="122">
        <f t="shared" si="1496"/>
        <v>0.0</v>
      </c>
      <c r="Q878" s="122">
        <f t="shared" si="1496"/>
        <v>0.0</v>
      </c>
      <c r="R878" s="122">
        <f t="shared" si="1496"/>
        <v>0.0</v>
      </c>
      <c r="S878" s="122">
        <f t="shared" si="1496"/>
        <v>0.0</v>
      </c>
      <c r="T878" s="122">
        <f t="shared" si="1496"/>
        <v>0.0</v>
      </c>
      <c r="U878" s="122">
        <f t="shared" si="1496"/>
        <v>0.0</v>
      </c>
      <c r="V878" s="122">
        <f t="shared" si="1496"/>
        <v>0.0</v>
      </c>
      <c r="W878" s="201" t="str">
        <f>IF(X$5=K$5,SUM(Y878:AI878)-SUM(L878:V878),"")</f>
        <v/>
      </c>
      <c r="X878" s="9" t="str">
        <f>LOWER(CtryCode)&amp;".distn."&amp;$A878&amp;IF($B878="","","."&amp;$B878)&amp;IF($C878="","",".dec."&amp;$C878)&amp;"."&amp;X$5</f>
        <v>egy.distn.rkp.r3.2</v>
      </c>
      <c r="Y878" s="121">
        <f>INDEX(Y$704:Y$767,MATCH($D878,Y$770:Y$833,0))</f>
        <v>0.006669003426948593</v>
      </c>
      <c r="Z878" s="122">
        <f t="shared" ref="Z878:AI878" si="1497">Y878</f>
        <v>0.006669003426948593</v>
      </c>
      <c r="AA878" s="122">
        <f t="shared" si="1497"/>
        <v>0.006669003426948593</v>
      </c>
      <c r="AB878" s="122">
        <f t="shared" si="1497"/>
        <v>0.006669003426948593</v>
      </c>
      <c r="AC878" s="122">
        <f t="shared" si="1497"/>
        <v>0.006669003426948593</v>
      </c>
      <c r="AD878" s="122">
        <f t="shared" si="1497"/>
        <v>0.006669003426948593</v>
      </c>
      <c r="AE878" s="122">
        <f t="shared" si="1497"/>
        <v>0.006669003426948593</v>
      </c>
      <c r="AF878" s="122">
        <f t="shared" si="1497"/>
        <v>0.006669003426948593</v>
      </c>
      <c r="AG878" s="122">
        <f t="shared" si="1497"/>
        <v>0.006669003426948593</v>
      </c>
      <c r="AH878" s="122">
        <f t="shared" si="1497"/>
        <v>0.006669003426948593</v>
      </c>
      <c r="AI878" s="122">
        <f t="shared" si="1497"/>
        <v>0.006669003426948593</v>
      </c>
    </row>
    <row r="879" hidden="1" outlineLevel="1">
      <c r="A879" s="44" t="inlineStr">
        <is>
          <t>rkp</t>
        </is>
      </c>
      <c r="B879" s="3" t="inlineStr">
        <is>
          <t>r4</t>
        </is>
      </c>
      <c r="C879" s="3" t="inlineStr"/>
      <c r="D879" s="3" t="n">
        <v>4</v>
      </c>
      <c r="E879" s="3" t="n"/>
      <c r="H879" s="3" t="inlineStr">
        <is>
          <t>Rank 4: output-price change</t>
        </is>
      </c>
      <c r="I879" s="3" t="inlineStr">
        <is>
          <t>fraction</t>
        </is>
      </c>
      <c r="J879" s="118" t="inlineStr">
        <is>
          <t>legacy row 3279</t>
        </is>
      </c>
      <c r="K879" s="9" t="str">
        <f>LOWER(CtryCode)&amp;".distn."&amp;$A879&amp;IF($B879="","","."&amp;$B879)&amp;IF($C879="","",".dec."&amp;$C879)&amp;"."&amp;K$5</f>
        <v>egy.distn.rkp.r4.1</v>
      </c>
      <c r="L879" s="121">
        <f>INDEX(L$704:L$767,MATCH($D879,L$770:L$833,0))</f>
        <v>0.0</v>
      </c>
      <c r="M879" s="122">
        <f t="shared" ref="M879:V879" si="1498">L879</f>
        <v>0.0</v>
      </c>
      <c r="N879" s="122">
        <f t="shared" si="1498"/>
        <v>0.0</v>
      </c>
      <c r="O879" s="122">
        <f t="shared" si="1498"/>
        <v>0.0</v>
      </c>
      <c r="P879" s="122">
        <f t="shared" si="1498"/>
        <v>0.0</v>
      </c>
      <c r="Q879" s="122">
        <f t="shared" si="1498"/>
        <v>0.0</v>
      </c>
      <c r="R879" s="122">
        <f t="shared" si="1498"/>
        <v>0.0</v>
      </c>
      <c r="S879" s="122">
        <f t="shared" si="1498"/>
        <v>0.0</v>
      </c>
      <c r="T879" s="122">
        <f t="shared" si="1498"/>
        <v>0.0</v>
      </c>
      <c r="U879" s="122">
        <f t="shared" si="1498"/>
        <v>0.0</v>
      </c>
      <c r="V879" s="122">
        <f t="shared" si="1498"/>
        <v>0.0</v>
      </c>
      <c r="W879" s="201" t="str">
        <f>IF(X$5=K$5,SUM(Y879:AI879)-SUM(L879:V879),"")</f>
        <v/>
      </c>
      <c r="X879" s="9" t="str">
        <f>LOWER(CtryCode)&amp;".distn."&amp;$A879&amp;IF($B879="","","."&amp;$B879)&amp;IF($C879="","",".dec."&amp;$C879)&amp;"."&amp;X$5</f>
        <v>egy.distn.rkp.r4.2</v>
      </c>
      <c r="Y879" s="121">
        <f>INDEX(Y$704:Y$767,MATCH($D879,Y$770:Y$833,0))</f>
        <v>0.005987124884325509</v>
      </c>
      <c r="Z879" s="122">
        <f t="shared" ref="Z879:AI879" si="1499">Y879</f>
        <v>0.005987124884325509</v>
      </c>
      <c r="AA879" s="122">
        <f t="shared" si="1499"/>
        <v>0.005987124884325509</v>
      </c>
      <c r="AB879" s="122">
        <f t="shared" si="1499"/>
        <v>0.005987124884325509</v>
      </c>
      <c r="AC879" s="122">
        <f t="shared" si="1499"/>
        <v>0.005987124884325509</v>
      </c>
      <c r="AD879" s="122">
        <f t="shared" si="1499"/>
        <v>0.005987124884325509</v>
      </c>
      <c r="AE879" s="122">
        <f t="shared" si="1499"/>
        <v>0.005987124884325509</v>
      </c>
      <c r="AF879" s="122">
        <f t="shared" si="1499"/>
        <v>0.005987124884325509</v>
      </c>
      <c r="AG879" s="122">
        <f t="shared" si="1499"/>
        <v>0.005987124884325509</v>
      </c>
      <c r="AH879" s="122">
        <f t="shared" si="1499"/>
        <v>0.005987124884325509</v>
      </c>
      <c r="AI879" s="122">
        <f t="shared" si="1499"/>
        <v>0.005987124884325509</v>
      </c>
    </row>
    <row r="880" hidden="1" outlineLevel="1">
      <c r="A880" s="44" t="inlineStr">
        <is>
          <t>rkp</t>
        </is>
      </c>
      <c r="B880" s="3" t="inlineStr">
        <is>
          <t>r5</t>
        </is>
      </c>
      <c r="C880" s="3" t="inlineStr"/>
      <c r="D880" s="3" t="n">
        <v>5</v>
      </c>
      <c r="E880" s="3" t="n"/>
      <c r="H880" s="3" t="inlineStr">
        <is>
          <t>Rank 5: output-price change</t>
        </is>
      </c>
      <c r="I880" s="3" t="inlineStr">
        <is>
          <t>fraction</t>
        </is>
      </c>
      <c r="J880" s="118" t="inlineStr">
        <is>
          <t>legacy row 3279</t>
        </is>
      </c>
      <c r="K880" s="9" t="str">
        <f>LOWER(CtryCode)&amp;".distn."&amp;$A880&amp;IF($B880="","","."&amp;$B880)&amp;IF($C880="","",".dec."&amp;$C880)&amp;"."&amp;K$5</f>
        <v>egy.distn.rkp.r5.1</v>
      </c>
      <c r="L880" s="121">
        <f>INDEX(L$704:L$767,MATCH($D880,L$770:L$833,0))</f>
        <v>0.0</v>
      </c>
      <c r="M880" s="122">
        <f t="shared" ref="M880:V880" si="1500">L880</f>
        <v>0.0</v>
      </c>
      <c r="N880" s="122">
        <f t="shared" si="1500"/>
        <v>0.0</v>
      </c>
      <c r="O880" s="122">
        <f t="shared" si="1500"/>
        <v>0.0</v>
      </c>
      <c r="P880" s="122">
        <f t="shared" si="1500"/>
        <v>0.0</v>
      </c>
      <c r="Q880" s="122">
        <f t="shared" si="1500"/>
        <v>0.0</v>
      </c>
      <c r="R880" s="122">
        <f t="shared" si="1500"/>
        <v>0.0</v>
      </c>
      <c r="S880" s="122">
        <f t="shared" si="1500"/>
        <v>0.0</v>
      </c>
      <c r="T880" s="122">
        <f t="shared" si="1500"/>
        <v>0.0</v>
      </c>
      <c r="U880" s="122">
        <f t="shared" si="1500"/>
        <v>0.0</v>
      </c>
      <c r="V880" s="122">
        <f t="shared" si="1500"/>
        <v>0.0</v>
      </c>
      <c r="W880" s="201" t="str">
        <f>IF(X$5=K$5,SUM(Y880:AI880)-SUM(L880:V880),"")</f>
        <v/>
      </c>
      <c r="X880" s="9" t="str">
        <f>LOWER(CtryCode)&amp;".distn."&amp;$A880&amp;IF($B880="","","."&amp;$B880)&amp;IF($C880="","",".dec."&amp;$C880)&amp;"."&amp;X$5</f>
        <v>egy.distn.rkp.r5.2</v>
      </c>
      <c r="Y880" s="121">
        <f>INDEX(Y$704:Y$767,MATCH($D880,Y$770:Y$833,0))</f>
        <v>0.0057002230686377985</v>
      </c>
      <c r="Z880" s="122">
        <f t="shared" ref="Z880:AI880" si="1501">Y880</f>
        <v>0.0057002230686377985</v>
      </c>
      <c r="AA880" s="122">
        <f t="shared" si="1501"/>
        <v>0.0057002230686377985</v>
      </c>
      <c r="AB880" s="122">
        <f t="shared" si="1501"/>
        <v>0.0057002230686377985</v>
      </c>
      <c r="AC880" s="122">
        <f t="shared" si="1501"/>
        <v>0.0057002230686377985</v>
      </c>
      <c r="AD880" s="122">
        <f t="shared" si="1501"/>
        <v>0.0057002230686377985</v>
      </c>
      <c r="AE880" s="122">
        <f t="shared" si="1501"/>
        <v>0.0057002230686377985</v>
      </c>
      <c r="AF880" s="122">
        <f t="shared" si="1501"/>
        <v>0.0057002230686377985</v>
      </c>
      <c r="AG880" s="122">
        <f t="shared" si="1501"/>
        <v>0.0057002230686377985</v>
      </c>
      <c r="AH880" s="122">
        <f t="shared" si="1501"/>
        <v>0.0057002230686377985</v>
      </c>
      <c r="AI880" s="122">
        <f t="shared" si="1501"/>
        <v>0.0057002230686377985</v>
      </c>
    </row>
    <row r="881" hidden="1" outlineLevel="1">
      <c r="A881" s="44" t="inlineStr">
        <is>
          <t>rkp</t>
        </is>
      </c>
      <c r="B881" s="3" t="inlineStr">
        <is>
          <t>r6</t>
        </is>
      </c>
      <c r="C881" s="3" t="inlineStr"/>
      <c r="D881" s="3" t="n">
        <v>6</v>
      </c>
      <c r="E881" s="3" t="n"/>
      <c r="H881" s="3" t="inlineStr">
        <is>
          <t>Rank 6: output-price change</t>
        </is>
      </c>
      <c r="I881" s="3" t="inlineStr">
        <is>
          <t>fraction</t>
        </is>
      </c>
      <c r="J881" s="118" t="inlineStr">
        <is>
          <t>legacy row 3279</t>
        </is>
      </c>
      <c r="K881" s="9" t="str">
        <f>LOWER(CtryCode)&amp;".distn."&amp;$A881&amp;IF($B881="","","."&amp;$B881)&amp;IF($C881="","",".dec."&amp;$C881)&amp;"."&amp;K$5</f>
        <v>egy.distn.rkp.r6.1</v>
      </c>
      <c r="L881" s="121">
        <f>INDEX(L$704:L$767,MATCH($D881,L$770:L$833,0))</f>
        <v>0.0</v>
      </c>
      <c r="M881" s="122">
        <f t="shared" ref="M881:V881" si="1502">L881</f>
        <v>0.0</v>
      </c>
      <c r="N881" s="122">
        <f t="shared" si="1502"/>
        <v>0.0</v>
      </c>
      <c r="O881" s="122">
        <f t="shared" si="1502"/>
        <v>0.0</v>
      </c>
      <c r="P881" s="122">
        <f t="shared" si="1502"/>
        <v>0.0</v>
      </c>
      <c r="Q881" s="122">
        <f t="shared" si="1502"/>
        <v>0.0</v>
      </c>
      <c r="R881" s="122">
        <f t="shared" si="1502"/>
        <v>0.0</v>
      </c>
      <c r="S881" s="122">
        <f t="shared" si="1502"/>
        <v>0.0</v>
      </c>
      <c r="T881" s="122">
        <f t="shared" si="1502"/>
        <v>0.0</v>
      </c>
      <c r="U881" s="122">
        <f t="shared" si="1502"/>
        <v>0.0</v>
      </c>
      <c r="V881" s="122">
        <f t="shared" si="1502"/>
        <v>0.0</v>
      </c>
      <c r="W881" s="201" t="str">
        <f>IF(X$5=K$5,SUM(Y881:AI881)-SUM(L881:V881),"")</f>
        <v/>
      </c>
      <c r="X881" s="9" t="str">
        <f>LOWER(CtryCode)&amp;".distn."&amp;$A881&amp;IF($B881="","","."&amp;$B881)&amp;IF($C881="","",".dec."&amp;$C881)&amp;"."&amp;X$5</f>
        <v>egy.distn.rkp.r6.2</v>
      </c>
      <c r="Y881" s="121">
        <f>INDEX(Y$704:Y$767,MATCH($D881,Y$770:Y$833,0))</f>
        <v>0.005639113544198023</v>
      </c>
      <c r="Z881" s="122">
        <f t="shared" ref="Z881:AI881" si="1503">Y881</f>
        <v>0.005639113544198023</v>
      </c>
      <c r="AA881" s="122">
        <f t="shared" si="1503"/>
        <v>0.005639113544198023</v>
      </c>
      <c r="AB881" s="122">
        <f t="shared" si="1503"/>
        <v>0.005639113544198023</v>
      </c>
      <c r="AC881" s="122">
        <f t="shared" si="1503"/>
        <v>0.005639113544198023</v>
      </c>
      <c r="AD881" s="122">
        <f t="shared" si="1503"/>
        <v>0.005639113544198023</v>
      </c>
      <c r="AE881" s="122">
        <f t="shared" si="1503"/>
        <v>0.005639113544198023</v>
      </c>
      <c r="AF881" s="122">
        <f t="shared" si="1503"/>
        <v>0.005639113544198023</v>
      </c>
      <c r="AG881" s="122">
        <f t="shared" si="1503"/>
        <v>0.005639113544198023</v>
      </c>
      <c r="AH881" s="122">
        <f t="shared" si="1503"/>
        <v>0.005639113544198023</v>
      </c>
      <c r="AI881" s="122">
        <f t="shared" si="1503"/>
        <v>0.005639113544198023</v>
      </c>
    </row>
    <row r="882" hidden="1" outlineLevel="1">
      <c r="A882" s="44" t="inlineStr">
        <is>
          <t>rkp</t>
        </is>
      </c>
      <c r="B882" s="3" t="inlineStr">
        <is>
          <t>r7</t>
        </is>
      </c>
      <c r="C882" s="3" t="inlineStr"/>
      <c r="D882" s="3" t="n">
        <v>7</v>
      </c>
      <c r="E882" s="3" t="n"/>
      <c r="H882" s="3" t="inlineStr">
        <is>
          <t>Rank 7: output-price change</t>
        </is>
      </c>
      <c r="I882" s="3" t="inlineStr">
        <is>
          <t>fraction</t>
        </is>
      </c>
      <c r="J882" s="118" t="inlineStr">
        <is>
          <t>legacy row 3279</t>
        </is>
      </c>
      <c r="K882" s="9" t="str">
        <f>LOWER(CtryCode)&amp;".distn."&amp;$A882&amp;IF($B882="","","."&amp;$B882)&amp;IF($C882="","",".dec."&amp;$C882)&amp;"."&amp;K$5</f>
        <v>egy.distn.rkp.r7.1</v>
      </c>
      <c r="L882" s="121">
        <f>INDEX(L$704:L$767,MATCH($D882,L$770:L$833,0))</f>
        <v>0.0</v>
      </c>
      <c r="M882" s="122">
        <f t="shared" ref="M882:V882" si="1504">L882</f>
        <v>0.0</v>
      </c>
      <c r="N882" s="122">
        <f t="shared" si="1504"/>
        <v>0.0</v>
      </c>
      <c r="O882" s="122">
        <f t="shared" si="1504"/>
        <v>0.0</v>
      </c>
      <c r="P882" s="122">
        <f t="shared" si="1504"/>
        <v>0.0</v>
      </c>
      <c r="Q882" s="122">
        <f t="shared" si="1504"/>
        <v>0.0</v>
      </c>
      <c r="R882" s="122">
        <f t="shared" si="1504"/>
        <v>0.0</v>
      </c>
      <c r="S882" s="122">
        <f t="shared" si="1504"/>
        <v>0.0</v>
      </c>
      <c r="T882" s="122">
        <f t="shared" si="1504"/>
        <v>0.0</v>
      </c>
      <c r="U882" s="122">
        <f t="shared" si="1504"/>
        <v>0.0</v>
      </c>
      <c r="V882" s="122">
        <f t="shared" si="1504"/>
        <v>0.0</v>
      </c>
      <c r="W882" s="201" t="str">
        <f>IF(X$5=K$5,SUM(Y882:AI882)-SUM(L882:V882),"")</f>
        <v/>
      </c>
      <c r="X882" s="9" t="str">
        <f>LOWER(CtryCode)&amp;".distn."&amp;$A882&amp;IF($B882="","","."&amp;$B882)&amp;IF($C882="","",".dec."&amp;$C882)&amp;"."&amp;X$5</f>
        <v>egy.distn.rkp.r7.2</v>
      </c>
      <c r="Y882" s="121">
        <f>INDEX(Y$704:Y$767,MATCH($D882,Y$770:Y$833,0))</f>
        <v>0.005605508179595983</v>
      </c>
      <c r="Z882" s="122">
        <f t="shared" ref="Z882:AI882" si="1505">Y882</f>
        <v>0.005605508179595983</v>
      </c>
      <c r="AA882" s="122">
        <f t="shared" si="1505"/>
        <v>0.005605508179595983</v>
      </c>
      <c r="AB882" s="122">
        <f t="shared" si="1505"/>
        <v>0.005605508179595983</v>
      </c>
      <c r="AC882" s="122">
        <f t="shared" si="1505"/>
        <v>0.005605508179595983</v>
      </c>
      <c r="AD882" s="122">
        <f t="shared" si="1505"/>
        <v>0.005605508179595983</v>
      </c>
      <c r="AE882" s="122">
        <f t="shared" si="1505"/>
        <v>0.005605508179595983</v>
      </c>
      <c r="AF882" s="122">
        <f t="shared" si="1505"/>
        <v>0.005605508179595983</v>
      </c>
      <c r="AG882" s="122">
        <f t="shared" si="1505"/>
        <v>0.005605508179595983</v>
      </c>
      <c r="AH882" s="122">
        <f t="shared" si="1505"/>
        <v>0.005605508179595983</v>
      </c>
      <c r="AI882" s="122">
        <f t="shared" si="1505"/>
        <v>0.005605508179595983</v>
      </c>
    </row>
    <row r="883" hidden="1" outlineLevel="1">
      <c r="A883" s="44" t="inlineStr">
        <is>
          <t>rkp</t>
        </is>
      </c>
      <c r="B883" s="3" t="inlineStr">
        <is>
          <t>r8</t>
        </is>
      </c>
      <c r="C883" s="3" t="inlineStr"/>
      <c r="D883" s="3" t="n">
        <v>8</v>
      </c>
      <c r="E883" s="3" t="n"/>
      <c r="H883" s="3" t="inlineStr">
        <is>
          <t>Rank 8: output-price change</t>
        </is>
      </c>
      <c r="I883" s="3" t="inlineStr">
        <is>
          <t>fraction</t>
        </is>
      </c>
      <c r="J883" s="118" t="inlineStr">
        <is>
          <t>legacy row 3279</t>
        </is>
      </c>
      <c r="K883" s="9" t="str">
        <f>LOWER(CtryCode)&amp;".distn."&amp;$A883&amp;IF($B883="","","."&amp;$B883)&amp;IF($C883="","",".dec."&amp;$C883)&amp;"."&amp;K$5</f>
        <v>egy.distn.rkp.r8.1</v>
      </c>
      <c r="L883" s="121">
        <f>INDEX(L$704:L$767,MATCH($D883,L$770:L$833,0))</f>
        <v>0.0</v>
      </c>
      <c r="M883" s="122">
        <f t="shared" ref="M883:V883" si="1506">L883</f>
        <v>0.0</v>
      </c>
      <c r="N883" s="122">
        <f t="shared" si="1506"/>
        <v>0.0</v>
      </c>
      <c r="O883" s="122">
        <f t="shared" si="1506"/>
        <v>0.0</v>
      </c>
      <c r="P883" s="122">
        <f t="shared" si="1506"/>
        <v>0.0</v>
      </c>
      <c r="Q883" s="122">
        <f t="shared" si="1506"/>
        <v>0.0</v>
      </c>
      <c r="R883" s="122">
        <f t="shared" si="1506"/>
        <v>0.0</v>
      </c>
      <c r="S883" s="122">
        <f t="shared" si="1506"/>
        <v>0.0</v>
      </c>
      <c r="T883" s="122">
        <f t="shared" si="1506"/>
        <v>0.0</v>
      </c>
      <c r="U883" s="122">
        <f t="shared" si="1506"/>
        <v>0.0</v>
      </c>
      <c r="V883" s="122">
        <f t="shared" si="1506"/>
        <v>0.0</v>
      </c>
      <c r="W883" s="201" t="str">
        <f>IF(X$5=K$5,SUM(Y883:AI883)-SUM(L883:V883),"")</f>
        <v/>
      </c>
      <c r="X883" s="9" t="str">
        <f>LOWER(CtryCode)&amp;".distn."&amp;$A883&amp;IF($B883="","","."&amp;$B883)&amp;IF($C883="","",".dec."&amp;$C883)&amp;"."&amp;X$5</f>
        <v>egy.distn.rkp.r8.2</v>
      </c>
      <c r="Y883" s="121">
        <f>INDEX(Y$704:Y$767,MATCH($D883,Y$770:Y$833,0))</f>
        <v>0.0041046532004021</v>
      </c>
      <c r="Z883" s="122">
        <f t="shared" ref="Z883:AI883" si="1507">Y883</f>
        <v>0.0041046532004021</v>
      </c>
      <c r="AA883" s="122">
        <f t="shared" si="1507"/>
        <v>0.0041046532004021</v>
      </c>
      <c r="AB883" s="122">
        <f t="shared" si="1507"/>
        <v>0.0041046532004021</v>
      </c>
      <c r="AC883" s="122">
        <f t="shared" si="1507"/>
        <v>0.0041046532004021</v>
      </c>
      <c r="AD883" s="122">
        <f t="shared" si="1507"/>
        <v>0.0041046532004021</v>
      </c>
      <c r="AE883" s="122">
        <f t="shared" si="1507"/>
        <v>0.0041046532004021</v>
      </c>
      <c r="AF883" s="122">
        <f t="shared" si="1507"/>
        <v>0.0041046532004021</v>
      </c>
      <c r="AG883" s="122">
        <f t="shared" si="1507"/>
        <v>0.0041046532004021</v>
      </c>
      <c r="AH883" s="122">
        <f t="shared" si="1507"/>
        <v>0.0041046532004021</v>
      </c>
      <c r="AI883" s="122">
        <f t="shared" si="1507"/>
        <v>0.0041046532004021</v>
      </c>
    </row>
    <row r="884" hidden="1" outlineLevel="1">
      <c r="A884" s="44" t="inlineStr">
        <is>
          <t>rkp</t>
        </is>
      </c>
      <c r="B884" s="3" t="inlineStr">
        <is>
          <t>r9</t>
        </is>
      </c>
      <c r="C884" s="3" t="inlineStr"/>
      <c r="D884" s="3" t="n">
        <v>9</v>
      </c>
      <c r="E884" s="3" t="n"/>
      <c r="H884" s="3" t="inlineStr">
        <is>
          <t>Rank 9: output-price change</t>
        </is>
      </c>
      <c r="I884" s="3" t="inlineStr">
        <is>
          <t>fraction</t>
        </is>
      </c>
      <c r="J884" s="118" t="inlineStr">
        <is>
          <t>legacy row 3279</t>
        </is>
      </c>
      <c r="K884" s="9" t="str">
        <f>LOWER(CtryCode)&amp;".distn."&amp;$A884&amp;IF($B884="","","."&amp;$B884)&amp;IF($C884="","",".dec."&amp;$C884)&amp;"."&amp;K$5</f>
        <v>egy.distn.rkp.r9.1</v>
      </c>
      <c r="L884" s="121">
        <f>INDEX(L$704:L$767,MATCH($D884,L$770:L$833,0))</f>
        <v>0.0</v>
      </c>
      <c r="M884" s="122">
        <f t="shared" ref="M884:V884" si="1508">L884</f>
        <v>0.0</v>
      </c>
      <c r="N884" s="122">
        <f t="shared" si="1508"/>
        <v>0.0</v>
      </c>
      <c r="O884" s="122">
        <f t="shared" si="1508"/>
        <v>0.0</v>
      </c>
      <c r="P884" s="122">
        <f t="shared" si="1508"/>
        <v>0.0</v>
      </c>
      <c r="Q884" s="122">
        <f t="shared" si="1508"/>
        <v>0.0</v>
      </c>
      <c r="R884" s="122">
        <f t="shared" si="1508"/>
        <v>0.0</v>
      </c>
      <c r="S884" s="122">
        <f t="shared" si="1508"/>
        <v>0.0</v>
      </c>
      <c r="T884" s="122">
        <f t="shared" si="1508"/>
        <v>0.0</v>
      </c>
      <c r="U884" s="122">
        <f t="shared" si="1508"/>
        <v>0.0</v>
      </c>
      <c r="V884" s="122">
        <f t="shared" si="1508"/>
        <v>0.0</v>
      </c>
      <c r="W884" s="201" t="str">
        <f>IF(X$5=K$5,SUM(Y884:AI884)-SUM(L884:V884),"")</f>
        <v/>
      </c>
      <c r="X884" s="9" t="str">
        <f>LOWER(CtryCode)&amp;".distn."&amp;$A884&amp;IF($B884="","","."&amp;$B884)&amp;IF($C884="","",".dec."&amp;$C884)&amp;"."&amp;X$5</f>
        <v>egy.distn.rkp.r9.2</v>
      </c>
      <c r="Y884" s="121">
        <f>INDEX(Y$704:Y$767,MATCH($D884,Y$770:Y$833,0))</f>
        <v>0.003249320553232754</v>
      </c>
      <c r="Z884" s="122">
        <f t="shared" ref="Z884:AI884" si="1509">Y884</f>
        <v>0.003249320553232754</v>
      </c>
      <c r="AA884" s="122">
        <f t="shared" si="1509"/>
        <v>0.003249320553232754</v>
      </c>
      <c r="AB884" s="122">
        <f t="shared" si="1509"/>
        <v>0.003249320553232754</v>
      </c>
      <c r="AC884" s="122">
        <f t="shared" si="1509"/>
        <v>0.003249320553232754</v>
      </c>
      <c r="AD884" s="122">
        <f t="shared" si="1509"/>
        <v>0.003249320553232754</v>
      </c>
      <c r="AE884" s="122">
        <f t="shared" si="1509"/>
        <v>0.003249320553232754</v>
      </c>
      <c r="AF884" s="122">
        <f t="shared" si="1509"/>
        <v>0.003249320553232754</v>
      </c>
      <c r="AG884" s="122">
        <f t="shared" si="1509"/>
        <v>0.003249320553232754</v>
      </c>
      <c r="AH884" s="122">
        <f t="shared" si="1509"/>
        <v>0.003249320553232754</v>
      </c>
      <c r="AI884" s="122">
        <f t="shared" si="1509"/>
        <v>0.003249320553232754</v>
      </c>
    </row>
    <row r="885" hidden="1" outlineLevel="1">
      <c r="A885" s="44" t="inlineStr">
        <is>
          <t>rkp</t>
        </is>
      </c>
      <c r="B885" s="3" t="inlineStr">
        <is>
          <t>r10</t>
        </is>
      </c>
      <c r="C885" s="3" t="inlineStr"/>
      <c r="D885" s="3" t="n">
        <v>10</v>
      </c>
      <c r="E885" s="3" t="n"/>
      <c r="H885" s="3" t="inlineStr">
        <is>
          <t>Rank 10: output-price change</t>
        </is>
      </c>
      <c r="I885" s="3" t="inlineStr">
        <is>
          <t>fraction</t>
        </is>
      </c>
      <c r="J885" s="118" t="inlineStr">
        <is>
          <t>legacy row 3279</t>
        </is>
      </c>
      <c r="K885" s="9" t="str">
        <f>LOWER(CtryCode)&amp;".distn."&amp;$A885&amp;IF($B885="","","."&amp;$B885)&amp;IF($C885="","",".dec."&amp;$C885)&amp;"."&amp;K$5</f>
        <v>egy.distn.rkp.r10.1</v>
      </c>
      <c r="L885" s="121">
        <f>INDEX(L$704:L$767,MATCH($D885,L$770:L$833,0))</f>
        <v>0.0</v>
      </c>
      <c r="M885" s="122">
        <f t="shared" ref="M885:V885" si="1510">L885</f>
        <v>0.0</v>
      </c>
      <c r="N885" s="122">
        <f t="shared" si="1510"/>
        <v>0.0</v>
      </c>
      <c r="O885" s="122">
        <f t="shared" si="1510"/>
        <v>0.0</v>
      </c>
      <c r="P885" s="122">
        <f t="shared" si="1510"/>
        <v>0.0</v>
      </c>
      <c r="Q885" s="122">
        <f t="shared" si="1510"/>
        <v>0.0</v>
      </c>
      <c r="R885" s="122">
        <f t="shared" si="1510"/>
        <v>0.0</v>
      </c>
      <c r="S885" s="122">
        <f t="shared" si="1510"/>
        <v>0.0</v>
      </c>
      <c r="T885" s="122">
        <f t="shared" si="1510"/>
        <v>0.0</v>
      </c>
      <c r="U885" s="122">
        <f t="shared" si="1510"/>
        <v>0.0</v>
      </c>
      <c r="V885" s="122">
        <f t="shared" si="1510"/>
        <v>0.0</v>
      </c>
      <c r="W885" s="201" t="str">
        <f>IF(X$5=K$5,SUM(Y885:AI885)-SUM(L885:V885),"")</f>
        <v/>
      </c>
      <c r="X885" s="9" t="str">
        <f>LOWER(CtryCode)&amp;".distn."&amp;$A885&amp;IF($B885="","","."&amp;$B885)&amp;IF($C885="","",".dec."&amp;$C885)&amp;"."&amp;X$5</f>
        <v>egy.distn.rkp.r10.2</v>
      </c>
      <c r="Y885" s="121">
        <f>INDEX(Y$704:Y$767,MATCH($D885,Y$770:Y$833,0))</f>
        <v>0.0029914627174303684</v>
      </c>
      <c r="Z885" s="122">
        <f t="shared" ref="Z885:AI885" si="1511">Y885</f>
        <v>0.0029914627174303684</v>
      </c>
      <c r="AA885" s="122">
        <f t="shared" si="1511"/>
        <v>0.0029914627174303684</v>
      </c>
      <c r="AB885" s="122">
        <f t="shared" si="1511"/>
        <v>0.0029914627174303684</v>
      </c>
      <c r="AC885" s="122">
        <f t="shared" si="1511"/>
        <v>0.0029914627174303684</v>
      </c>
      <c r="AD885" s="122">
        <f t="shared" si="1511"/>
        <v>0.0029914627174303684</v>
      </c>
      <c r="AE885" s="122">
        <f t="shared" si="1511"/>
        <v>0.0029914627174303684</v>
      </c>
      <c r="AF885" s="122">
        <f t="shared" si="1511"/>
        <v>0.0029914627174303684</v>
      </c>
      <c r="AG885" s="122">
        <f t="shared" si="1511"/>
        <v>0.0029914627174303684</v>
      </c>
      <c r="AH885" s="122">
        <f t="shared" si="1511"/>
        <v>0.0029914627174303684</v>
      </c>
      <c r="AI885" s="122">
        <f t="shared" si="1511"/>
        <v>0.0029914627174303684</v>
      </c>
    </row>
    <row r="886" hidden="1" outlineLevel="1">
      <c r="A886" s="44" t="inlineStr">
        <is>
          <t>rkp</t>
        </is>
      </c>
      <c r="B886" s="3" t="inlineStr">
        <is>
          <t>r11</t>
        </is>
      </c>
      <c r="C886" s="3" t="inlineStr"/>
      <c r="D886" s="3" t="n">
        <v>11</v>
      </c>
      <c r="E886" s="3" t="n"/>
      <c r="H886" s="3" t="inlineStr">
        <is>
          <t>Rank 11: output-price change</t>
        </is>
      </c>
      <c r="I886" s="3" t="inlineStr">
        <is>
          <t>fraction</t>
        </is>
      </c>
      <c r="J886" s="118" t="inlineStr">
        <is>
          <t>legacy row 3279</t>
        </is>
      </c>
      <c r="K886" s="9" t="str">
        <f>LOWER(CtryCode)&amp;".distn."&amp;$A886&amp;IF($B886="","","."&amp;$B886)&amp;IF($C886="","",".dec."&amp;$C886)&amp;"."&amp;K$5</f>
        <v>egy.distn.rkp.r11.1</v>
      </c>
      <c r="L886" s="121">
        <f>INDEX(L$704:L$767,MATCH($D886,L$770:L$833,0))</f>
        <v>0.0</v>
      </c>
      <c r="M886" s="122">
        <f t="shared" ref="M886:V886" si="1512">L886</f>
        <v>0.0</v>
      </c>
      <c r="N886" s="122">
        <f t="shared" si="1512"/>
        <v>0.0</v>
      </c>
      <c r="O886" s="122">
        <f t="shared" si="1512"/>
        <v>0.0</v>
      </c>
      <c r="P886" s="122">
        <f t="shared" si="1512"/>
        <v>0.0</v>
      </c>
      <c r="Q886" s="122">
        <f t="shared" si="1512"/>
        <v>0.0</v>
      </c>
      <c r="R886" s="122">
        <f t="shared" si="1512"/>
        <v>0.0</v>
      </c>
      <c r="S886" s="122">
        <f t="shared" si="1512"/>
        <v>0.0</v>
      </c>
      <c r="T886" s="122">
        <f t="shared" si="1512"/>
        <v>0.0</v>
      </c>
      <c r="U886" s="122">
        <f t="shared" si="1512"/>
        <v>0.0</v>
      </c>
      <c r="V886" s="122">
        <f t="shared" si="1512"/>
        <v>0.0</v>
      </c>
      <c r="W886" s="201" t="str">
        <f>IF(X$5=K$5,SUM(Y886:AI886)-SUM(L886:V886),"")</f>
        <v/>
      </c>
      <c r="X886" s="9" t="str">
        <f>LOWER(CtryCode)&amp;".distn."&amp;$A886&amp;IF($B886="","","."&amp;$B886)&amp;IF($C886="","",".dec."&amp;$C886)&amp;"."&amp;X$5</f>
        <v>egy.distn.rkp.r11.2</v>
      </c>
      <c r="Y886" s="121">
        <f>INDEX(Y$704:Y$767,MATCH($D886,Y$770:Y$833,0))</f>
        <v>0.0029298848941635676</v>
      </c>
      <c r="Z886" s="122">
        <f t="shared" ref="Z886:AI886" si="1513">Y886</f>
        <v>0.0029298848941635676</v>
      </c>
      <c r="AA886" s="122">
        <f t="shared" si="1513"/>
        <v>0.0029298848941635676</v>
      </c>
      <c r="AB886" s="122">
        <f t="shared" si="1513"/>
        <v>0.0029298848941635676</v>
      </c>
      <c r="AC886" s="122">
        <f t="shared" si="1513"/>
        <v>0.0029298848941635676</v>
      </c>
      <c r="AD886" s="122">
        <f t="shared" si="1513"/>
        <v>0.0029298848941635676</v>
      </c>
      <c r="AE886" s="122">
        <f t="shared" si="1513"/>
        <v>0.0029298848941635676</v>
      </c>
      <c r="AF886" s="122">
        <f t="shared" si="1513"/>
        <v>0.0029298848941635676</v>
      </c>
      <c r="AG886" s="122">
        <f t="shared" si="1513"/>
        <v>0.0029298848941635676</v>
      </c>
      <c r="AH886" s="122">
        <f t="shared" si="1513"/>
        <v>0.0029298848941635676</v>
      </c>
      <c r="AI886" s="122">
        <f t="shared" si="1513"/>
        <v>0.0029298848941635676</v>
      </c>
    </row>
    <row r="887" hidden="1" outlineLevel="1">
      <c r="A887" s="44" t="inlineStr">
        <is>
          <t>rkp</t>
        </is>
      </c>
      <c r="B887" s="3" t="inlineStr">
        <is>
          <t>r12</t>
        </is>
      </c>
      <c r="C887" s="3" t="inlineStr"/>
      <c r="D887" s="3" t="n">
        <v>12</v>
      </c>
      <c r="E887" s="3" t="n"/>
      <c r="H887" s="3" t="inlineStr">
        <is>
          <t>Rank 12: output-price change</t>
        </is>
      </c>
      <c r="I887" s="3" t="inlineStr">
        <is>
          <t>fraction</t>
        </is>
      </c>
      <c r="J887" s="118" t="inlineStr">
        <is>
          <t>legacy row 3279</t>
        </is>
      </c>
      <c r="K887" s="9" t="str">
        <f>LOWER(CtryCode)&amp;".distn."&amp;$A887&amp;IF($B887="","","."&amp;$B887)&amp;IF($C887="","",".dec."&amp;$C887)&amp;"."&amp;K$5</f>
        <v>egy.distn.rkp.r12.1</v>
      </c>
      <c r="L887" s="121">
        <f>INDEX(L$704:L$767,MATCH($D887,L$770:L$833,0))</f>
        <v>0.0</v>
      </c>
      <c r="M887" s="122">
        <f t="shared" ref="M887:V887" si="1514">L887</f>
        <v>0.0</v>
      </c>
      <c r="N887" s="122">
        <f t="shared" si="1514"/>
        <v>0.0</v>
      </c>
      <c r="O887" s="122">
        <f t="shared" si="1514"/>
        <v>0.0</v>
      </c>
      <c r="P887" s="122">
        <f t="shared" si="1514"/>
        <v>0.0</v>
      </c>
      <c r="Q887" s="122">
        <f t="shared" si="1514"/>
        <v>0.0</v>
      </c>
      <c r="R887" s="122">
        <f t="shared" si="1514"/>
        <v>0.0</v>
      </c>
      <c r="S887" s="122">
        <f t="shared" si="1514"/>
        <v>0.0</v>
      </c>
      <c r="T887" s="122">
        <f t="shared" si="1514"/>
        <v>0.0</v>
      </c>
      <c r="U887" s="122">
        <f t="shared" si="1514"/>
        <v>0.0</v>
      </c>
      <c r="V887" s="122">
        <f t="shared" si="1514"/>
        <v>0.0</v>
      </c>
      <c r="W887" s="201" t="str">
        <f>IF(X$5=K$5,SUM(Y887:AI887)-SUM(L887:V887),"")</f>
        <v/>
      </c>
      <c r="X887" s="9" t="str">
        <f>LOWER(CtryCode)&amp;".distn."&amp;$A887&amp;IF($B887="","","."&amp;$B887)&amp;IF($C887="","",".dec."&amp;$C887)&amp;"."&amp;X$5</f>
        <v>egy.distn.rkp.r12.2</v>
      </c>
      <c r="Y887" s="121">
        <f>INDEX(Y$704:Y$767,MATCH($D887,Y$770:Y$833,0))</f>
        <v>0.002658702658518509</v>
      </c>
      <c r="Z887" s="122">
        <f t="shared" ref="Z887:AI887" si="1515">Y887</f>
        <v>0.002658702658518509</v>
      </c>
      <c r="AA887" s="122">
        <f t="shared" si="1515"/>
        <v>0.002658702658518509</v>
      </c>
      <c r="AB887" s="122">
        <f t="shared" si="1515"/>
        <v>0.002658702658518509</v>
      </c>
      <c r="AC887" s="122">
        <f t="shared" si="1515"/>
        <v>0.002658702658518509</v>
      </c>
      <c r="AD887" s="122">
        <f t="shared" si="1515"/>
        <v>0.002658702658518509</v>
      </c>
      <c r="AE887" s="122">
        <f t="shared" si="1515"/>
        <v>0.002658702658518509</v>
      </c>
      <c r="AF887" s="122">
        <f t="shared" si="1515"/>
        <v>0.002658702658518509</v>
      </c>
      <c r="AG887" s="122">
        <f t="shared" si="1515"/>
        <v>0.002658702658518509</v>
      </c>
      <c r="AH887" s="122">
        <f t="shared" si="1515"/>
        <v>0.002658702658518509</v>
      </c>
      <c r="AI887" s="122">
        <f t="shared" si="1515"/>
        <v>0.002658702658518509</v>
      </c>
    </row>
    <row r="888" hidden="1" outlineLevel="1">
      <c r="A888" s="44" t="inlineStr">
        <is>
          <t>rkp</t>
        </is>
      </c>
      <c r="B888" s="3" t="inlineStr">
        <is>
          <t>r13</t>
        </is>
      </c>
      <c r="C888" s="3" t="inlineStr"/>
      <c r="D888" s="3" t="n">
        <v>13</v>
      </c>
      <c r="E888" s="3" t="n"/>
      <c r="H888" s="3" t="inlineStr">
        <is>
          <t>Rank 13: output-price change</t>
        </is>
      </c>
      <c r="I888" s="3" t="inlineStr">
        <is>
          <t>fraction</t>
        </is>
      </c>
      <c r="J888" s="118" t="inlineStr">
        <is>
          <t>legacy row 3279</t>
        </is>
      </c>
      <c r="K888" s="9" t="str">
        <f>LOWER(CtryCode)&amp;".distn."&amp;$A888&amp;IF($B888="","","."&amp;$B888)&amp;IF($C888="","",".dec."&amp;$C888)&amp;"."&amp;K$5</f>
        <v>egy.distn.rkp.r13.1</v>
      </c>
      <c r="L888" s="121">
        <f>INDEX(L$704:L$767,MATCH($D888,L$770:L$833,0))</f>
        <v>0.0</v>
      </c>
      <c r="M888" s="122">
        <f t="shared" ref="M888:V888" si="1516">L888</f>
        <v>0.0</v>
      </c>
      <c r="N888" s="122">
        <f t="shared" si="1516"/>
        <v>0.0</v>
      </c>
      <c r="O888" s="122">
        <f t="shared" si="1516"/>
        <v>0.0</v>
      </c>
      <c r="P888" s="122">
        <f t="shared" si="1516"/>
        <v>0.0</v>
      </c>
      <c r="Q888" s="122">
        <f t="shared" si="1516"/>
        <v>0.0</v>
      </c>
      <c r="R888" s="122">
        <f t="shared" si="1516"/>
        <v>0.0</v>
      </c>
      <c r="S888" s="122">
        <f t="shared" si="1516"/>
        <v>0.0</v>
      </c>
      <c r="T888" s="122">
        <f t="shared" si="1516"/>
        <v>0.0</v>
      </c>
      <c r="U888" s="122">
        <f t="shared" si="1516"/>
        <v>0.0</v>
      </c>
      <c r="V888" s="122">
        <f t="shared" si="1516"/>
        <v>0.0</v>
      </c>
      <c r="W888" s="201" t="str">
        <f>IF(X$5=K$5,SUM(Y888:AI888)-SUM(L888:V888),"")</f>
        <v/>
      </c>
      <c r="X888" s="9" t="str">
        <f>LOWER(CtryCode)&amp;".distn."&amp;$A888&amp;IF($B888="","","."&amp;$B888)&amp;IF($C888="","",".dec."&amp;$C888)&amp;"."&amp;X$5</f>
        <v>egy.distn.rkp.r13.2</v>
      </c>
      <c r="Y888" s="121">
        <f>INDEX(Y$704:Y$767,MATCH($D888,Y$770:Y$833,0))</f>
        <v>0.0025298867807612585</v>
      </c>
      <c r="Z888" s="122">
        <f t="shared" ref="Z888:AI888" si="1517">Y888</f>
        <v>0.0025298867807612585</v>
      </c>
      <c r="AA888" s="122">
        <f t="shared" si="1517"/>
        <v>0.0025298867807612585</v>
      </c>
      <c r="AB888" s="122">
        <f t="shared" si="1517"/>
        <v>0.0025298867807612585</v>
      </c>
      <c r="AC888" s="122">
        <f t="shared" si="1517"/>
        <v>0.0025298867807612585</v>
      </c>
      <c r="AD888" s="122">
        <f t="shared" si="1517"/>
        <v>0.0025298867807612585</v>
      </c>
      <c r="AE888" s="122">
        <f t="shared" si="1517"/>
        <v>0.0025298867807612585</v>
      </c>
      <c r="AF888" s="122">
        <f t="shared" si="1517"/>
        <v>0.0025298867807612585</v>
      </c>
      <c r="AG888" s="122">
        <f t="shared" si="1517"/>
        <v>0.0025298867807612585</v>
      </c>
      <c r="AH888" s="122">
        <f t="shared" si="1517"/>
        <v>0.0025298867807612585</v>
      </c>
      <c r="AI888" s="122">
        <f t="shared" si="1517"/>
        <v>0.0025298867807612585</v>
      </c>
    </row>
    <row r="889" hidden="1" outlineLevel="1">
      <c r="A889" s="44" t="inlineStr">
        <is>
          <t>rkp</t>
        </is>
      </c>
      <c r="B889" s="3" t="inlineStr">
        <is>
          <t>r14</t>
        </is>
      </c>
      <c r="C889" s="3" t="inlineStr"/>
      <c r="D889" s="3" t="n">
        <v>14</v>
      </c>
      <c r="E889" s="3" t="n"/>
      <c r="H889" s="3" t="inlineStr">
        <is>
          <t>Rank 14: output-price change</t>
        </is>
      </c>
      <c r="I889" s="3" t="inlineStr">
        <is>
          <t>fraction</t>
        </is>
      </c>
      <c r="J889" s="118" t="inlineStr">
        <is>
          <t>legacy row 3279</t>
        </is>
      </c>
      <c r="K889" s="9" t="str">
        <f>LOWER(CtryCode)&amp;".distn."&amp;$A889&amp;IF($B889="","","."&amp;$B889)&amp;IF($C889="","",".dec."&amp;$C889)&amp;"."&amp;K$5</f>
        <v>egy.distn.rkp.r14.1</v>
      </c>
      <c r="L889" s="121">
        <f>INDEX(L$704:L$767,MATCH($D889,L$770:L$833,0))</f>
        <v>0.0</v>
      </c>
      <c r="M889" s="122">
        <f t="shared" ref="M889:V889" si="1518">L889</f>
        <v>0.0</v>
      </c>
      <c r="N889" s="122">
        <f t="shared" si="1518"/>
        <v>0.0</v>
      </c>
      <c r="O889" s="122">
        <f t="shared" si="1518"/>
        <v>0.0</v>
      </c>
      <c r="P889" s="122">
        <f t="shared" si="1518"/>
        <v>0.0</v>
      </c>
      <c r="Q889" s="122">
        <f t="shared" si="1518"/>
        <v>0.0</v>
      </c>
      <c r="R889" s="122">
        <f t="shared" si="1518"/>
        <v>0.0</v>
      </c>
      <c r="S889" s="122">
        <f t="shared" si="1518"/>
        <v>0.0</v>
      </c>
      <c r="T889" s="122">
        <f t="shared" si="1518"/>
        <v>0.0</v>
      </c>
      <c r="U889" s="122">
        <f t="shared" si="1518"/>
        <v>0.0</v>
      </c>
      <c r="V889" s="122">
        <f t="shared" si="1518"/>
        <v>0.0</v>
      </c>
      <c r="W889" s="201" t="str">
        <f>IF(X$5=K$5,SUM(Y889:AI889)-SUM(L889:V889),"")</f>
        <v/>
      </c>
      <c r="X889" s="9" t="str">
        <f>LOWER(CtryCode)&amp;".distn."&amp;$A889&amp;IF($B889="","","."&amp;$B889)&amp;IF($C889="","",".dec."&amp;$C889)&amp;"."&amp;X$5</f>
        <v>egy.distn.rkp.r14.2</v>
      </c>
      <c r="Y889" s="121">
        <f>INDEX(Y$704:Y$767,MATCH($D889,Y$770:Y$833,0))</f>
        <v>0.0024017636562173985</v>
      </c>
      <c r="Z889" s="122">
        <f t="shared" ref="Z889:AI889" si="1519">Y889</f>
        <v>0.0024017636562173985</v>
      </c>
      <c r="AA889" s="122">
        <f t="shared" si="1519"/>
        <v>0.0024017636562173985</v>
      </c>
      <c r="AB889" s="122">
        <f t="shared" si="1519"/>
        <v>0.0024017636562173985</v>
      </c>
      <c r="AC889" s="122">
        <f t="shared" si="1519"/>
        <v>0.0024017636562173985</v>
      </c>
      <c r="AD889" s="122">
        <f t="shared" si="1519"/>
        <v>0.0024017636562173985</v>
      </c>
      <c r="AE889" s="122">
        <f t="shared" si="1519"/>
        <v>0.0024017636562173985</v>
      </c>
      <c r="AF889" s="122">
        <f t="shared" si="1519"/>
        <v>0.0024017636562173985</v>
      </c>
      <c r="AG889" s="122">
        <f t="shared" si="1519"/>
        <v>0.0024017636562173985</v>
      </c>
      <c r="AH889" s="122">
        <f t="shared" si="1519"/>
        <v>0.0024017636562173985</v>
      </c>
      <c r="AI889" s="122">
        <f t="shared" si="1519"/>
        <v>0.0024017636562173985</v>
      </c>
    </row>
    <row r="890" hidden="1" outlineLevel="1">
      <c r="A890" s="44" t="inlineStr">
        <is>
          <t>rkp</t>
        </is>
      </c>
      <c r="B890" s="3" t="inlineStr">
        <is>
          <t>r15</t>
        </is>
      </c>
      <c r="C890" s="3" t="inlineStr"/>
      <c r="D890" s="3" t="n">
        <v>15</v>
      </c>
      <c r="E890" s="3" t="n"/>
      <c r="H890" s="3" t="inlineStr">
        <is>
          <t>Rank 15: output-price change</t>
        </is>
      </c>
      <c r="I890" s="3" t="inlineStr">
        <is>
          <t>fraction</t>
        </is>
      </c>
      <c r="J890" s="118" t="inlineStr">
        <is>
          <t>legacy row 3279</t>
        </is>
      </c>
      <c r="K890" s="9" t="str">
        <f>LOWER(CtryCode)&amp;".distn."&amp;$A890&amp;IF($B890="","","."&amp;$B890)&amp;IF($C890="","",".dec."&amp;$C890)&amp;"."&amp;K$5</f>
        <v>egy.distn.rkp.r15.1</v>
      </c>
      <c r="L890" s="121">
        <f>INDEX(L$704:L$767,MATCH($D890,L$770:L$833,0))</f>
        <v>0.0</v>
      </c>
      <c r="M890" s="122">
        <f t="shared" ref="M890:V890" si="1520">L890</f>
        <v>0.0</v>
      </c>
      <c r="N890" s="122">
        <f t="shared" si="1520"/>
        <v>0.0</v>
      </c>
      <c r="O890" s="122">
        <f t="shared" si="1520"/>
        <v>0.0</v>
      </c>
      <c r="P890" s="122">
        <f t="shared" si="1520"/>
        <v>0.0</v>
      </c>
      <c r="Q890" s="122">
        <f t="shared" si="1520"/>
        <v>0.0</v>
      </c>
      <c r="R890" s="122">
        <f t="shared" si="1520"/>
        <v>0.0</v>
      </c>
      <c r="S890" s="122">
        <f t="shared" si="1520"/>
        <v>0.0</v>
      </c>
      <c r="T890" s="122">
        <f t="shared" si="1520"/>
        <v>0.0</v>
      </c>
      <c r="U890" s="122">
        <f t="shared" si="1520"/>
        <v>0.0</v>
      </c>
      <c r="V890" s="122">
        <f t="shared" si="1520"/>
        <v>0.0</v>
      </c>
      <c r="W890" s="201" t="str">
        <f>IF(X$5=K$5,SUM(Y890:AI890)-SUM(L890:V890),"")</f>
        <v/>
      </c>
      <c r="X890" s="9" t="str">
        <f>LOWER(CtryCode)&amp;".distn."&amp;$A890&amp;IF($B890="","","."&amp;$B890)&amp;IF($C890="","",".dec."&amp;$C890)&amp;"."&amp;X$5</f>
        <v>egy.distn.rkp.r15.2</v>
      </c>
      <c r="Y890" s="121">
        <f>INDEX(Y$704:Y$767,MATCH($D890,Y$770:Y$833,0))</f>
        <v>0.0023603950351929748</v>
      </c>
      <c r="Z890" s="122">
        <f t="shared" ref="Z890:AI890" si="1521">Y890</f>
        <v>0.0023603950351929748</v>
      </c>
      <c r="AA890" s="122">
        <f t="shared" si="1521"/>
        <v>0.0023603950351929748</v>
      </c>
      <c r="AB890" s="122">
        <f t="shared" si="1521"/>
        <v>0.0023603950351929748</v>
      </c>
      <c r="AC890" s="122">
        <f t="shared" si="1521"/>
        <v>0.0023603950351929748</v>
      </c>
      <c r="AD890" s="122">
        <f t="shared" si="1521"/>
        <v>0.0023603950351929748</v>
      </c>
      <c r="AE890" s="122">
        <f t="shared" si="1521"/>
        <v>0.0023603950351929748</v>
      </c>
      <c r="AF890" s="122">
        <f t="shared" si="1521"/>
        <v>0.0023603950351929748</v>
      </c>
      <c r="AG890" s="122">
        <f t="shared" si="1521"/>
        <v>0.0023603950351929748</v>
      </c>
      <c r="AH890" s="122">
        <f t="shared" si="1521"/>
        <v>0.0023603950351929748</v>
      </c>
      <c r="AI890" s="122">
        <f t="shared" si="1521"/>
        <v>0.0023603950351929748</v>
      </c>
    </row>
    <row r="891" hidden="1" outlineLevel="1">
      <c r="A891" s="44" t="inlineStr">
        <is>
          <t>rkp</t>
        </is>
      </c>
      <c r="B891" s="3" t="inlineStr">
        <is>
          <t>r16</t>
        </is>
      </c>
      <c r="C891" s="3" t="inlineStr"/>
      <c r="D891" s="3" t="n">
        <v>16</v>
      </c>
      <c r="E891" s="3" t="n"/>
      <c r="H891" s="3" t="inlineStr">
        <is>
          <t>Rank 16: output-price change</t>
        </is>
      </c>
      <c r="I891" s="3" t="inlineStr">
        <is>
          <t>fraction</t>
        </is>
      </c>
      <c r="J891" s="118" t="inlineStr">
        <is>
          <t>legacy row 3279</t>
        </is>
      </c>
      <c r="K891" s="9" t="str">
        <f>LOWER(CtryCode)&amp;".distn."&amp;$A891&amp;IF($B891="","","."&amp;$B891)&amp;IF($C891="","",".dec."&amp;$C891)&amp;"."&amp;K$5</f>
        <v>egy.distn.rkp.r16.1</v>
      </c>
      <c r="L891" s="121">
        <f>INDEX(L$704:L$767,MATCH($D891,L$770:L$833,0))</f>
        <v>0.0</v>
      </c>
      <c r="M891" s="122">
        <f t="shared" ref="M891:V891" si="1522">L891</f>
        <v>0.0</v>
      </c>
      <c r="N891" s="122">
        <f t="shared" si="1522"/>
        <v>0.0</v>
      </c>
      <c r="O891" s="122">
        <f t="shared" si="1522"/>
        <v>0.0</v>
      </c>
      <c r="P891" s="122">
        <f t="shared" si="1522"/>
        <v>0.0</v>
      </c>
      <c r="Q891" s="122">
        <f t="shared" si="1522"/>
        <v>0.0</v>
      </c>
      <c r="R891" s="122">
        <f t="shared" si="1522"/>
        <v>0.0</v>
      </c>
      <c r="S891" s="122">
        <f t="shared" si="1522"/>
        <v>0.0</v>
      </c>
      <c r="T891" s="122">
        <f t="shared" si="1522"/>
        <v>0.0</v>
      </c>
      <c r="U891" s="122">
        <f t="shared" si="1522"/>
        <v>0.0</v>
      </c>
      <c r="V891" s="122">
        <f t="shared" si="1522"/>
        <v>0.0</v>
      </c>
      <c r="W891" s="201" t="str">
        <f>IF(X$5=K$5,SUM(Y891:AI891)-SUM(L891:V891),"")</f>
        <v/>
      </c>
      <c r="X891" s="9" t="str">
        <f>LOWER(CtryCode)&amp;".distn."&amp;$A891&amp;IF($B891="","","."&amp;$B891)&amp;IF($C891="","",".dec."&amp;$C891)&amp;"."&amp;X$5</f>
        <v>egy.distn.rkp.r16.2</v>
      </c>
      <c r="Y891" s="121">
        <f>INDEX(Y$704:Y$767,MATCH($D891,Y$770:Y$833,0))</f>
        <v>0.002203938616931878</v>
      </c>
      <c r="Z891" s="122">
        <f t="shared" ref="Z891:AI891" si="1523">Y891</f>
        <v>0.002203938616931878</v>
      </c>
      <c r="AA891" s="122">
        <f t="shared" si="1523"/>
        <v>0.002203938616931878</v>
      </c>
      <c r="AB891" s="122">
        <f t="shared" si="1523"/>
        <v>0.002203938616931878</v>
      </c>
      <c r="AC891" s="122">
        <f t="shared" si="1523"/>
        <v>0.002203938616931878</v>
      </c>
      <c r="AD891" s="122">
        <f t="shared" si="1523"/>
        <v>0.002203938616931878</v>
      </c>
      <c r="AE891" s="122">
        <f t="shared" si="1523"/>
        <v>0.002203938616931878</v>
      </c>
      <c r="AF891" s="122">
        <f t="shared" si="1523"/>
        <v>0.002203938616931878</v>
      </c>
      <c r="AG891" s="122">
        <f t="shared" si="1523"/>
        <v>0.002203938616931878</v>
      </c>
      <c r="AH891" s="122">
        <f t="shared" si="1523"/>
        <v>0.002203938616931878</v>
      </c>
      <c r="AI891" s="122">
        <f t="shared" si="1523"/>
        <v>0.002203938616931878</v>
      </c>
    </row>
    <row r="892" hidden="1" outlineLevel="1">
      <c r="A892" s="44" t="inlineStr">
        <is>
          <t>rkp</t>
        </is>
      </c>
      <c r="B892" s="3" t="inlineStr">
        <is>
          <t>r17</t>
        </is>
      </c>
      <c r="C892" s="3" t="inlineStr"/>
      <c r="D892" s="3" t="n">
        <v>17</v>
      </c>
      <c r="E892" s="3" t="n"/>
      <c r="H892" s="3" t="inlineStr">
        <is>
          <t>Rank 17: output-price change</t>
        </is>
      </c>
      <c r="I892" s="3" t="inlineStr">
        <is>
          <t>fraction</t>
        </is>
      </c>
      <c r="J892" s="118" t="inlineStr">
        <is>
          <t>legacy row 3279</t>
        </is>
      </c>
      <c r="K892" s="9" t="str">
        <f>LOWER(CtryCode)&amp;".distn."&amp;$A892&amp;IF($B892="","","."&amp;$B892)&amp;IF($C892="","",".dec."&amp;$C892)&amp;"."&amp;K$5</f>
        <v>egy.distn.rkp.r17.1</v>
      </c>
      <c r="L892" s="121">
        <f>INDEX(L$704:L$767,MATCH($D892,L$770:L$833,0))</f>
        <v>0.0</v>
      </c>
      <c r="M892" s="122">
        <f t="shared" ref="M892:V892" si="1524">L892</f>
        <v>0.0</v>
      </c>
      <c r="N892" s="122">
        <f t="shared" si="1524"/>
        <v>0.0</v>
      </c>
      <c r="O892" s="122">
        <f t="shared" si="1524"/>
        <v>0.0</v>
      </c>
      <c r="P892" s="122">
        <f t="shared" si="1524"/>
        <v>0.0</v>
      </c>
      <c r="Q892" s="122">
        <f t="shared" si="1524"/>
        <v>0.0</v>
      </c>
      <c r="R892" s="122">
        <f t="shared" si="1524"/>
        <v>0.0</v>
      </c>
      <c r="S892" s="122">
        <f t="shared" si="1524"/>
        <v>0.0</v>
      </c>
      <c r="T892" s="122">
        <f t="shared" si="1524"/>
        <v>0.0</v>
      </c>
      <c r="U892" s="122">
        <f t="shared" si="1524"/>
        <v>0.0</v>
      </c>
      <c r="V892" s="122">
        <f t="shared" si="1524"/>
        <v>0.0</v>
      </c>
      <c r="W892" s="201" t="str">
        <f>IF(X$5=K$5,SUM(Y892:AI892)-SUM(L892:V892),"")</f>
        <v/>
      </c>
      <c r="X892" s="9" t="str">
        <f>LOWER(CtryCode)&amp;".distn."&amp;$A892&amp;IF($B892="","","."&amp;$B892)&amp;IF($C892="","",".dec."&amp;$C892)&amp;"."&amp;X$5</f>
        <v>egy.distn.rkp.r17.2</v>
      </c>
      <c r="Y892" s="121">
        <f>INDEX(Y$704:Y$767,MATCH($D892,Y$770:Y$833,0))</f>
        <v>0.0021658474475274173</v>
      </c>
      <c r="Z892" s="122">
        <f t="shared" ref="Z892:AI892" si="1525">Y892</f>
        <v>0.0021658474475274173</v>
      </c>
      <c r="AA892" s="122">
        <f t="shared" si="1525"/>
        <v>0.0021658474475274173</v>
      </c>
      <c r="AB892" s="122">
        <f t="shared" si="1525"/>
        <v>0.0021658474475274173</v>
      </c>
      <c r="AC892" s="122">
        <f t="shared" si="1525"/>
        <v>0.0021658474475274173</v>
      </c>
      <c r="AD892" s="122">
        <f t="shared" si="1525"/>
        <v>0.0021658474475274173</v>
      </c>
      <c r="AE892" s="122">
        <f t="shared" si="1525"/>
        <v>0.0021658474475274173</v>
      </c>
      <c r="AF892" s="122">
        <f t="shared" si="1525"/>
        <v>0.0021658474475274173</v>
      </c>
      <c r="AG892" s="122">
        <f t="shared" si="1525"/>
        <v>0.0021658474475274173</v>
      </c>
      <c r="AH892" s="122">
        <f t="shared" si="1525"/>
        <v>0.0021658474475274173</v>
      </c>
      <c r="AI892" s="122">
        <f t="shared" si="1525"/>
        <v>0.0021658474475274173</v>
      </c>
    </row>
    <row r="893" hidden="1" outlineLevel="1">
      <c r="A893" s="44" t="inlineStr">
        <is>
          <t>rkp</t>
        </is>
      </c>
      <c r="B893" s="3" t="inlineStr">
        <is>
          <t>r18</t>
        </is>
      </c>
      <c r="C893" s="3" t="inlineStr"/>
      <c r="D893" s="3" t="n">
        <v>18</v>
      </c>
      <c r="E893" s="3" t="n"/>
      <c r="H893" s="3" t="inlineStr">
        <is>
          <t>Rank 18: output-price change</t>
        </is>
      </c>
      <c r="I893" s="3" t="inlineStr">
        <is>
          <t>fraction</t>
        </is>
      </c>
      <c r="J893" s="118" t="inlineStr">
        <is>
          <t>legacy row 3279</t>
        </is>
      </c>
      <c r="K893" s="9" t="str">
        <f>LOWER(CtryCode)&amp;".distn."&amp;$A893&amp;IF($B893="","","."&amp;$B893)&amp;IF($C893="","",".dec."&amp;$C893)&amp;"."&amp;K$5</f>
        <v>egy.distn.rkp.r18.1</v>
      </c>
      <c r="L893" s="121">
        <f>INDEX(L$704:L$767,MATCH($D893,L$770:L$833,0))</f>
        <v>0.0</v>
      </c>
      <c r="M893" s="122">
        <f t="shared" ref="M893:V893" si="1526">L893</f>
        <v>0.0</v>
      </c>
      <c r="N893" s="122">
        <f t="shared" si="1526"/>
        <v>0.0</v>
      </c>
      <c r="O893" s="122">
        <f t="shared" si="1526"/>
        <v>0.0</v>
      </c>
      <c r="P893" s="122">
        <f t="shared" si="1526"/>
        <v>0.0</v>
      </c>
      <c r="Q893" s="122">
        <f t="shared" si="1526"/>
        <v>0.0</v>
      </c>
      <c r="R893" s="122">
        <f t="shared" si="1526"/>
        <v>0.0</v>
      </c>
      <c r="S893" s="122">
        <f t="shared" si="1526"/>
        <v>0.0</v>
      </c>
      <c r="T893" s="122">
        <f t="shared" si="1526"/>
        <v>0.0</v>
      </c>
      <c r="U893" s="122">
        <f t="shared" si="1526"/>
        <v>0.0</v>
      </c>
      <c r="V893" s="122">
        <f t="shared" si="1526"/>
        <v>0.0</v>
      </c>
      <c r="W893" s="201" t="str">
        <f>IF(X$5=K$5,SUM(Y893:AI893)-SUM(L893:V893),"")</f>
        <v/>
      </c>
      <c r="X893" s="9" t="str">
        <f>LOWER(CtryCode)&amp;".distn."&amp;$A893&amp;IF($B893="","","."&amp;$B893)&amp;IF($C893="","",".dec."&amp;$C893)&amp;"."&amp;X$5</f>
        <v>egy.distn.rkp.r18.2</v>
      </c>
      <c r="Y893" s="121">
        <f>INDEX(Y$704:Y$767,MATCH($D893,Y$770:Y$833,0))</f>
        <v>0.0021141285018558068</v>
      </c>
      <c r="Z893" s="122">
        <f t="shared" ref="Z893:AI893" si="1527">Y893</f>
        <v>0.0021141285018558068</v>
      </c>
      <c r="AA893" s="122">
        <f t="shared" si="1527"/>
        <v>0.0021141285018558068</v>
      </c>
      <c r="AB893" s="122">
        <f t="shared" si="1527"/>
        <v>0.0021141285018558068</v>
      </c>
      <c r="AC893" s="122">
        <f t="shared" si="1527"/>
        <v>0.0021141285018558068</v>
      </c>
      <c r="AD893" s="122">
        <f t="shared" si="1527"/>
        <v>0.0021141285018558068</v>
      </c>
      <c r="AE893" s="122">
        <f t="shared" si="1527"/>
        <v>0.0021141285018558068</v>
      </c>
      <c r="AF893" s="122">
        <f t="shared" si="1527"/>
        <v>0.0021141285018558068</v>
      </c>
      <c r="AG893" s="122">
        <f t="shared" si="1527"/>
        <v>0.0021141285018558068</v>
      </c>
      <c r="AH893" s="122">
        <f t="shared" si="1527"/>
        <v>0.0021141285018558068</v>
      </c>
      <c r="AI893" s="122">
        <f t="shared" si="1527"/>
        <v>0.0021141285018558068</v>
      </c>
    </row>
    <row r="894" hidden="1" outlineLevel="1">
      <c r="A894" s="44" t="inlineStr">
        <is>
          <t>rkp</t>
        </is>
      </c>
      <c r="B894" s="3" t="inlineStr">
        <is>
          <t>r19</t>
        </is>
      </c>
      <c r="C894" s="3" t="inlineStr"/>
      <c r="D894" s="3" t="n">
        <v>19</v>
      </c>
      <c r="E894" s="3" t="n"/>
      <c r="H894" s="3" t="inlineStr">
        <is>
          <t>Rank 19: output-price change</t>
        </is>
      </c>
      <c r="I894" s="3" t="inlineStr">
        <is>
          <t>fraction</t>
        </is>
      </c>
      <c r="J894" s="118" t="inlineStr">
        <is>
          <t>legacy row 3279</t>
        </is>
      </c>
      <c r="K894" s="9" t="str">
        <f>LOWER(CtryCode)&amp;".distn."&amp;$A894&amp;IF($B894="","","."&amp;$B894)&amp;IF($C894="","",".dec."&amp;$C894)&amp;"."&amp;K$5</f>
        <v>egy.distn.rkp.r19.1</v>
      </c>
      <c r="L894" s="121">
        <f>INDEX(L$704:L$767,MATCH($D894,L$770:L$833,0))</f>
        <v>0.0</v>
      </c>
      <c r="M894" s="122">
        <f t="shared" ref="M894:V894" si="1528">L894</f>
        <v>0.0</v>
      </c>
      <c r="N894" s="122">
        <f t="shared" si="1528"/>
        <v>0.0</v>
      </c>
      <c r="O894" s="122">
        <f t="shared" si="1528"/>
        <v>0.0</v>
      </c>
      <c r="P894" s="122">
        <f t="shared" si="1528"/>
        <v>0.0</v>
      </c>
      <c r="Q894" s="122">
        <f t="shared" si="1528"/>
        <v>0.0</v>
      </c>
      <c r="R894" s="122">
        <f t="shared" si="1528"/>
        <v>0.0</v>
      </c>
      <c r="S894" s="122">
        <f t="shared" si="1528"/>
        <v>0.0</v>
      </c>
      <c r="T894" s="122">
        <f t="shared" si="1528"/>
        <v>0.0</v>
      </c>
      <c r="U894" s="122">
        <f t="shared" si="1528"/>
        <v>0.0</v>
      </c>
      <c r="V894" s="122">
        <f t="shared" si="1528"/>
        <v>0.0</v>
      </c>
      <c r="W894" s="201" t="str">
        <f>IF(X$5=K$5,SUM(Y894:AI894)-SUM(L894:V894),"")</f>
        <v/>
      </c>
      <c r="X894" s="9" t="str">
        <f>LOWER(CtryCode)&amp;".distn."&amp;$A894&amp;IF($B894="","","."&amp;$B894)&amp;IF($C894="","",".dec."&amp;$C894)&amp;"."&amp;X$5</f>
        <v>egy.distn.rkp.r19.2</v>
      </c>
      <c r="Y894" s="121">
        <f>INDEX(Y$704:Y$767,MATCH($D894,Y$770:Y$833,0))</f>
        <v>0.002005585626146568</v>
      </c>
      <c r="Z894" s="122">
        <f t="shared" ref="Z894:AI894" si="1529">Y894</f>
        <v>0.002005585626146568</v>
      </c>
      <c r="AA894" s="122">
        <f t="shared" si="1529"/>
        <v>0.002005585626146568</v>
      </c>
      <c r="AB894" s="122">
        <f t="shared" si="1529"/>
        <v>0.002005585626146568</v>
      </c>
      <c r="AC894" s="122">
        <f t="shared" si="1529"/>
        <v>0.002005585626146568</v>
      </c>
      <c r="AD894" s="122">
        <f t="shared" si="1529"/>
        <v>0.002005585626146568</v>
      </c>
      <c r="AE894" s="122">
        <f t="shared" si="1529"/>
        <v>0.002005585626146568</v>
      </c>
      <c r="AF894" s="122">
        <f t="shared" si="1529"/>
        <v>0.002005585626146568</v>
      </c>
      <c r="AG894" s="122">
        <f t="shared" si="1529"/>
        <v>0.002005585626146568</v>
      </c>
      <c r="AH894" s="122">
        <f t="shared" si="1529"/>
        <v>0.002005585626146568</v>
      </c>
      <c r="AI894" s="122">
        <f t="shared" si="1529"/>
        <v>0.002005585626146568</v>
      </c>
    </row>
    <row r="895" hidden="1" outlineLevel="1">
      <c r="A895" s="44" t="inlineStr">
        <is>
          <t>rkp</t>
        </is>
      </c>
      <c r="B895" s="3" t="inlineStr">
        <is>
          <t>r20</t>
        </is>
      </c>
      <c r="C895" s="3" t="inlineStr"/>
      <c r="D895" s="3" t="n">
        <v>20</v>
      </c>
      <c r="E895" s="3" t="n"/>
      <c r="H895" s="3" t="inlineStr">
        <is>
          <t>Rank 20: output-price change</t>
        </is>
      </c>
      <c r="I895" s="3" t="inlineStr">
        <is>
          <t>fraction</t>
        </is>
      </c>
      <c r="J895" s="118" t="inlineStr">
        <is>
          <t>legacy row 3279</t>
        </is>
      </c>
      <c r="K895" s="9" t="str">
        <f>LOWER(CtryCode)&amp;".distn."&amp;$A895&amp;IF($B895="","","."&amp;$B895)&amp;IF($C895="","",".dec."&amp;$C895)&amp;"."&amp;K$5</f>
        <v>egy.distn.rkp.r20.1</v>
      </c>
      <c r="L895" s="121">
        <f>INDEX(L$704:L$767,MATCH($D895,L$770:L$833,0))</f>
        <v>0.0</v>
      </c>
      <c r="M895" s="122">
        <f t="shared" ref="M895:V895" si="1530">L895</f>
        <v>0.0</v>
      </c>
      <c r="N895" s="122">
        <f t="shared" si="1530"/>
        <v>0.0</v>
      </c>
      <c r="O895" s="122">
        <f t="shared" si="1530"/>
        <v>0.0</v>
      </c>
      <c r="P895" s="122">
        <f t="shared" si="1530"/>
        <v>0.0</v>
      </c>
      <c r="Q895" s="122">
        <f t="shared" si="1530"/>
        <v>0.0</v>
      </c>
      <c r="R895" s="122">
        <f t="shared" si="1530"/>
        <v>0.0</v>
      </c>
      <c r="S895" s="122">
        <f t="shared" si="1530"/>
        <v>0.0</v>
      </c>
      <c r="T895" s="122">
        <f t="shared" si="1530"/>
        <v>0.0</v>
      </c>
      <c r="U895" s="122">
        <f t="shared" si="1530"/>
        <v>0.0</v>
      </c>
      <c r="V895" s="122">
        <f t="shared" si="1530"/>
        <v>0.0</v>
      </c>
      <c r="W895" s="201" t="str">
        <f>IF(X$5=K$5,SUM(Y895:AI895)-SUM(L895:V895),"")</f>
        <v/>
      </c>
      <c r="X895" s="9" t="str">
        <f>LOWER(CtryCode)&amp;".distn."&amp;$A895&amp;IF($B895="","","."&amp;$B895)&amp;IF($C895="","",".dec."&amp;$C895)&amp;"."&amp;X$5</f>
        <v>egy.distn.rkp.r20.2</v>
      </c>
      <c r="Y895" s="121">
        <f>INDEX(Y$704:Y$767,MATCH($D895,Y$770:Y$833,0))</f>
        <v>0.0019892939204200046</v>
      </c>
      <c r="Z895" s="122">
        <f t="shared" ref="Z895:AI895" si="1531">Y895</f>
        <v>0.0019892939204200046</v>
      </c>
      <c r="AA895" s="122">
        <f t="shared" si="1531"/>
        <v>0.0019892939204200046</v>
      </c>
      <c r="AB895" s="122">
        <f t="shared" si="1531"/>
        <v>0.0019892939204200046</v>
      </c>
      <c r="AC895" s="122">
        <f t="shared" si="1531"/>
        <v>0.0019892939204200046</v>
      </c>
      <c r="AD895" s="122">
        <f t="shared" si="1531"/>
        <v>0.0019892939204200046</v>
      </c>
      <c r="AE895" s="122">
        <f t="shared" si="1531"/>
        <v>0.0019892939204200046</v>
      </c>
      <c r="AF895" s="122">
        <f t="shared" si="1531"/>
        <v>0.0019892939204200046</v>
      </c>
      <c r="AG895" s="122">
        <f t="shared" si="1531"/>
        <v>0.0019892939204200046</v>
      </c>
      <c r="AH895" s="122">
        <f t="shared" si="1531"/>
        <v>0.0019892939204200046</v>
      </c>
      <c r="AI895" s="122">
        <f t="shared" si="1531"/>
        <v>0.0019892939204200046</v>
      </c>
    </row>
    <row r="896" hidden="1" outlineLevel="1"/>
    <row r="897" hidden="1" outlineLevel="1">
      <c r="B897" s="31" t="inlineStr">
        <is>
          <t>CPAT production sectors: shares and weighted price changes (legacy rows 3285-3297, MTOutputs ppic, outpriin; chemicals and power added, fix D24)</t>
        </is>
      </c>
    </row>
    <row r="898" hidden="1" outlineLevel="1">
      <c r="A898" s="44" t="inlineStr">
        <is>
          <t>secshh</t>
        </is>
      </c>
      <c r="B898" s="3" t="inlineStr">
        <is>
          <t>avi</t>
        </is>
      </c>
      <c r="C898" s="3" t="inlineStr"/>
      <c r="D898" s="3" t="n"/>
      <c r="E898" s="3" t="n"/>
      <c r="H898" s="3" t="inlineStr">
        <is>
          <t>Domestic aviation: share of household demand</t>
        </is>
      </c>
      <c r="I898" s="3" t="inlineStr">
        <is>
          <t>fraction</t>
        </is>
      </c>
      <c r="J898" s="118" t="inlineStr">
        <is>
          <t>IO_GTAP (legacy I:K 3285-3296)</t>
        </is>
      </c>
      <c r="K898" s="9" t="str">
        <f>LOWER(CtryCode)&amp;".distn."&amp;$A898&amp;IF($B898="","","."&amp;$B898)&amp;IF($C898="","",".dec."&amp;$C898)&amp;"."&amp;K$5</f>
        <v>egy.distn.secshh.avi.1</v>
      </c>
      <c r="L898" s="224">
        <f>IFERROR(SUMIF(DSecCpat,$B898,DSecHhd)/SUM(DSecHhd),0)</f>
        <v>0.005399407476909895</v>
      </c>
      <c r="M898" s="225">
        <f t="shared" ref="M898:V898" si="1532">L898</f>
        <v>0.005399407476909895</v>
      </c>
      <c r="N898" s="225">
        <f t="shared" si="1532"/>
        <v>0.005399407476909895</v>
      </c>
      <c r="O898" s="225">
        <f t="shared" si="1532"/>
        <v>0.005399407476909895</v>
      </c>
      <c r="P898" s="225">
        <f t="shared" si="1532"/>
        <v>0.005399407476909895</v>
      </c>
      <c r="Q898" s="225">
        <f t="shared" si="1532"/>
        <v>0.005399407476909895</v>
      </c>
      <c r="R898" s="225">
        <f t="shared" si="1532"/>
        <v>0.005399407476909895</v>
      </c>
      <c r="S898" s="225">
        <f t="shared" si="1532"/>
        <v>0.005399407476909895</v>
      </c>
      <c r="T898" s="225">
        <f t="shared" si="1532"/>
        <v>0.005399407476909895</v>
      </c>
      <c r="U898" s="225">
        <f t="shared" si="1532"/>
        <v>0.005399407476909895</v>
      </c>
      <c r="V898" s="225">
        <f t="shared" si="1532"/>
        <v>0.005399407476909895</v>
      </c>
      <c r="W898" s="201" t="str">
        <f>IF(X$5=K$5,SUM(Y898:AI898)-SUM(L898:V898),"")</f>
        <v/>
      </c>
      <c r="X898" s="9" t="str">
        <f>LOWER(CtryCode)&amp;".distn."&amp;$A898&amp;IF($B898="","","."&amp;$B898)&amp;IF($C898="","",".dec."&amp;$C898)&amp;"."&amp;X$5</f>
        <v>egy.distn.secshh.avi.2</v>
      </c>
      <c r="Y898" s="224">
        <f>IFERROR(SUMIF(DSecCpat,$B898,DSecHhd)/SUM(DSecHhd),0)</f>
        <v>0.005399407476909895</v>
      </c>
      <c r="Z898" s="225">
        <f t="shared" ref="Z898:AI898" si="1533">Y898</f>
        <v>0.005399407476909895</v>
      </c>
      <c r="AA898" s="225">
        <f t="shared" si="1533"/>
        <v>0.005399407476909895</v>
      </c>
      <c r="AB898" s="225">
        <f t="shared" si="1533"/>
        <v>0.005399407476909895</v>
      </c>
      <c r="AC898" s="225">
        <f t="shared" si="1533"/>
        <v>0.005399407476909895</v>
      </c>
      <c r="AD898" s="225">
        <f t="shared" si="1533"/>
        <v>0.005399407476909895</v>
      </c>
      <c r="AE898" s="225">
        <f t="shared" si="1533"/>
        <v>0.005399407476909895</v>
      </c>
      <c r="AF898" s="225">
        <f t="shared" si="1533"/>
        <v>0.005399407476909895</v>
      </c>
      <c r="AG898" s="225">
        <f t="shared" si="1533"/>
        <v>0.005399407476909895</v>
      </c>
      <c r="AH898" s="225">
        <f t="shared" si="1533"/>
        <v>0.005399407476909895</v>
      </c>
      <c r="AI898" s="225">
        <f t="shared" si="1533"/>
        <v>0.005399407476909895</v>
      </c>
    </row>
    <row r="899" hidden="1" outlineLevel="1">
      <c r="A899" s="44" t="inlineStr">
        <is>
          <t>secshh</t>
        </is>
      </c>
      <c r="B899" s="3" t="inlineStr">
        <is>
          <t>nav</t>
        </is>
      </c>
      <c r="C899" s="3" t="inlineStr"/>
      <c r="D899" s="3" t="n"/>
      <c r="E899" s="3" t="n"/>
      <c r="H899" s="3" t="inlineStr">
        <is>
          <t>Domestic navigation: share of household demand</t>
        </is>
      </c>
      <c r="I899" s="3" t="inlineStr">
        <is>
          <t>fraction</t>
        </is>
      </c>
      <c r="J899" s="118" t="inlineStr">
        <is>
          <t>IO_GTAP (legacy I:K 3285-3296)</t>
        </is>
      </c>
      <c r="K899" s="9" t="str">
        <f>LOWER(CtryCode)&amp;".distn."&amp;$A899&amp;IF($B899="","","."&amp;$B899)&amp;IF($C899="","",".dec."&amp;$C899)&amp;"."&amp;K$5</f>
        <v>egy.distn.secshh.nav.1</v>
      </c>
      <c r="L899" s="224">
        <f>IFERROR(SUMIF(DSecCpat,$B899,DSecHhd)/SUM(DSecHhd),0)</f>
        <v>0.0458386513925629</v>
      </c>
      <c r="M899" s="225">
        <f t="shared" ref="M899:V899" si="1534">L899</f>
        <v>0.0458386513925629</v>
      </c>
      <c r="N899" s="225">
        <f t="shared" si="1534"/>
        <v>0.0458386513925629</v>
      </c>
      <c r="O899" s="225">
        <f t="shared" si="1534"/>
        <v>0.0458386513925629</v>
      </c>
      <c r="P899" s="225">
        <f t="shared" si="1534"/>
        <v>0.0458386513925629</v>
      </c>
      <c r="Q899" s="225">
        <f t="shared" si="1534"/>
        <v>0.0458386513925629</v>
      </c>
      <c r="R899" s="225">
        <f t="shared" si="1534"/>
        <v>0.0458386513925629</v>
      </c>
      <c r="S899" s="225">
        <f t="shared" si="1534"/>
        <v>0.0458386513925629</v>
      </c>
      <c r="T899" s="225">
        <f t="shared" si="1534"/>
        <v>0.0458386513925629</v>
      </c>
      <c r="U899" s="225">
        <f t="shared" si="1534"/>
        <v>0.0458386513925629</v>
      </c>
      <c r="V899" s="225">
        <f t="shared" si="1534"/>
        <v>0.0458386513925629</v>
      </c>
      <c r="W899" s="201" t="str">
        <f>IF(X$5=K$5,SUM(Y899:AI899)-SUM(L899:V899),"")</f>
        <v/>
      </c>
      <c r="X899" s="9" t="str">
        <f>LOWER(CtryCode)&amp;".distn."&amp;$A899&amp;IF($B899="","","."&amp;$B899)&amp;IF($C899="","",".dec."&amp;$C899)&amp;"."&amp;X$5</f>
        <v>egy.distn.secshh.nav.2</v>
      </c>
      <c r="Y899" s="224">
        <f>IFERROR(SUMIF(DSecCpat,$B899,DSecHhd)/SUM(DSecHhd),0)</f>
        <v>0.0458386513925629</v>
      </c>
      <c r="Z899" s="225">
        <f t="shared" ref="Z899:AI899" si="1535">Y899</f>
        <v>0.0458386513925629</v>
      </c>
      <c r="AA899" s="225">
        <f t="shared" si="1535"/>
        <v>0.0458386513925629</v>
      </c>
      <c r="AB899" s="225">
        <f t="shared" si="1535"/>
        <v>0.0458386513925629</v>
      </c>
      <c r="AC899" s="225">
        <f t="shared" si="1535"/>
        <v>0.0458386513925629</v>
      </c>
      <c r="AD899" s="225">
        <f t="shared" si="1535"/>
        <v>0.0458386513925629</v>
      </c>
      <c r="AE899" s="225">
        <f t="shared" si="1535"/>
        <v>0.0458386513925629</v>
      </c>
      <c r="AF899" s="225">
        <f t="shared" si="1535"/>
        <v>0.0458386513925629</v>
      </c>
      <c r="AG899" s="225">
        <f t="shared" si="1535"/>
        <v>0.0458386513925629</v>
      </c>
      <c r="AH899" s="225">
        <f t="shared" si="1535"/>
        <v>0.0458386513925629</v>
      </c>
      <c r="AI899" s="225">
        <f t="shared" si="1535"/>
        <v>0.0458386513925629</v>
      </c>
    </row>
    <row r="900" hidden="1" outlineLevel="1">
      <c r="A900" s="44" t="inlineStr">
        <is>
          <t>secshh</t>
        </is>
      </c>
      <c r="B900" s="3" t="inlineStr">
        <is>
          <t>foo</t>
        </is>
      </c>
      <c r="C900" s="3" t="inlineStr"/>
      <c r="D900" s="3" t="n"/>
      <c r="E900" s="3" t="n"/>
      <c r="H900" s="3" t="inlineStr">
        <is>
          <t>Food &amp; forestry: share of household demand</t>
        </is>
      </c>
      <c r="I900" s="3" t="inlineStr">
        <is>
          <t>fraction</t>
        </is>
      </c>
      <c r="J900" s="118" t="inlineStr">
        <is>
          <t>IO_GTAP (legacy I:K 3285-3296)</t>
        </is>
      </c>
      <c r="K900" s="9" t="str">
        <f>LOWER(CtryCode)&amp;".distn."&amp;$A900&amp;IF($B900="","","."&amp;$B900)&amp;IF($C900="","",".dec."&amp;$C900)&amp;"."&amp;K$5</f>
        <v>egy.distn.secshh.foo.1</v>
      </c>
      <c r="L900" s="224">
        <f>IFERROR(SUMIF(DSecCpat,$B900,DSecHhd)/SUM(DSecHhd),0)</f>
        <v>0.3103888115973431</v>
      </c>
      <c r="M900" s="225">
        <f t="shared" ref="M900:V900" si="1536">L900</f>
        <v>0.3103888115973431</v>
      </c>
      <c r="N900" s="225">
        <f t="shared" si="1536"/>
        <v>0.3103888115973431</v>
      </c>
      <c r="O900" s="225">
        <f t="shared" si="1536"/>
        <v>0.3103888115973431</v>
      </c>
      <c r="P900" s="225">
        <f t="shared" si="1536"/>
        <v>0.3103888115973431</v>
      </c>
      <c r="Q900" s="225">
        <f t="shared" si="1536"/>
        <v>0.3103888115973431</v>
      </c>
      <c r="R900" s="225">
        <f t="shared" si="1536"/>
        <v>0.3103888115973431</v>
      </c>
      <c r="S900" s="225">
        <f t="shared" si="1536"/>
        <v>0.3103888115973431</v>
      </c>
      <c r="T900" s="225">
        <f t="shared" si="1536"/>
        <v>0.3103888115973431</v>
      </c>
      <c r="U900" s="225">
        <f t="shared" si="1536"/>
        <v>0.3103888115973431</v>
      </c>
      <c r="V900" s="225">
        <f t="shared" si="1536"/>
        <v>0.3103888115973431</v>
      </c>
      <c r="W900" s="201" t="str">
        <f>IF(X$5=K$5,SUM(Y900:AI900)-SUM(L900:V900),"")</f>
        <v/>
      </c>
      <c r="X900" s="9" t="str">
        <f>LOWER(CtryCode)&amp;".distn."&amp;$A900&amp;IF($B900="","","."&amp;$B900)&amp;IF($C900="","",".dec."&amp;$C900)&amp;"."&amp;X$5</f>
        <v>egy.distn.secshh.foo.2</v>
      </c>
      <c r="Y900" s="224">
        <f>IFERROR(SUMIF(DSecCpat,$B900,DSecHhd)/SUM(DSecHhd),0)</f>
        <v>0.3103888115973431</v>
      </c>
      <c r="Z900" s="225">
        <f t="shared" ref="Z900:AI900" si="1537">Y900</f>
        <v>0.3103888115973431</v>
      </c>
      <c r="AA900" s="225">
        <f t="shared" si="1537"/>
        <v>0.3103888115973431</v>
      </c>
      <c r="AB900" s="225">
        <f t="shared" si="1537"/>
        <v>0.3103888115973431</v>
      </c>
      <c r="AC900" s="225">
        <f t="shared" si="1537"/>
        <v>0.3103888115973431</v>
      </c>
      <c r="AD900" s="225">
        <f t="shared" si="1537"/>
        <v>0.3103888115973431</v>
      </c>
      <c r="AE900" s="225">
        <f t="shared" si="1537"/>
        <v>0.3103888115973431</v>
      </c>
      <c r="AF900" s="225">
        <f t="shared" si="1537"/>
        <v>0.3103888115973431</v>
      </c>
      <c r="AG900" s="225">
        <f t="shared" si="1537"/>
        <v>0.3103888115973431</v>
      </c>
      <c r="AH900" s="225">
        <f t="shared" si="1537"/>
        <v>0.3103888115973431</v>
      </c>
      <c r="AI900" s="225">
        <f t="shared" si="1537"/>
        <v>0.3103888115973431</v>
      </c>
    </row>
    <row r="901" hidden="1" outlineLevel="1">
      <c r="A901" s="44" t="inlineStr">
        <is>
          <t>secshh</t>
        </is>
      </c>
      <c r="B901" s="3" t="inlineStr">
        <is>
          <t>srv</t>
        </is>
      </c>
      <c r="C901" s="3" t="inlineStr"/>
      <c r="D901" s="3" t="n"/>
      <c r="E901" s="3" t="n"/>
      <c r="H901" s="3" t="inlineStr">
        <is>
          <t>Services (public &amp; private): share of household demand</t>
        </is>
      </c>
      <c r="I901" s="3" t="inlineStr">
        <is>
          <t>fraction</t>
        </is>
      </c>
      <c r="J901" s="118" t="inlineStr">
        <is>
          <t>IO_GTAP (legacy I:K 3285-3296)</t>
        </is>
      </c>
      <c r="K901" s="9" t="str">
        <f>LOWER(CtryCode)&amp;".distn."&amp;$A901&amp;IF($B901="","","."&amp;$B901)&amp;IF($C901="","",".dec."&amp;$C901)&amp;"."&amp;K$5</f>
        <v>egy.distn.secshh.srv.1</v>
      </c>
      <c r="L901" s="224">
        <f>IFERROR(SUMIF(DSecCpat,$B901,DSecHhd)/SUM(DSecHhd),0)</f>
        <v>0.3487271405351836</v>
      </c>
      <c r="M901" s="225">
        <f t="shared" ref="M901:V901" si="1538">L901</f>
        <v>0.3487271405351836</v>
      </c>
      <c r="N901" s="225">
        <f t="shared" si="1538"/>
        <v>0.3487271405351836</v>
      </c>
      <c r="O901" s="225">
        <f t="shared" si="1538"/>
        <v>0.3487271405351836</v>
      </c>
      <c r="P901" s="225">
        <f t="shared" si="1538"/>
        <v>0.3487271405351836</v>
      </c>
      <c r="Q901" s="225">
        <f t="shared" si="1538"/>
        <v>0.3487271405351836</v>
      </c>
      <c r="R901" s="225">
        <f t="shared" si="1538"/>
        <v>0.3487271405351836</v>
      </c>
      <c r="S901" s="225">
        <f t="shared" si="1538"/>
        <v>0.3487271405351836</v>
      </c>
      <c r="T901" s="225">
        <f t="shared" si="1538"/>
        <v>0.3487271405351836</v>
      </c>
      <c r="U901" s="225">
        <f t="shared" si="1538"/>
        <v>0.3487271405351836</v>
      </c>
      <c r="V901" s="225">
        <f t="shared" si="1538"/>
        <v>0.3487271405351836</v>
      </c>
      <c r="W901" s="201" t="str">
        <f>IF(X$5=K$5,SUM(Y901:AI901)-SUM(L901:V901),"")</f>
        <v/>
      </c>
      <c r="X901" s="9" t="str">
        <f>LOWER(CtryCode)&amp;".distn."&amp;$A901&amp;IF($B901="","","."&amp;$B901)&amp;IF($C901="","",".dec."&amp;$C901)&amp;"."&amp;X$5</f>
        <v>egy.distn.secshh.srv.2</v>
      </c>
      <c r="Y901" s="224">
        <f>IFERROR(SUMIF(DSecCpat,$B901,DSecHhd)/SUM(DSecHhd),0)</f>
        <v>0.3487271405351836</v>
      </c>
      <c r="Z901" s="225">
        <f t="shared" ref="Z901:AI901" si="1539">Y901</f>
        <v>0.3487271405351836</v>
      </c>
      <c r="AA901" s="225">
        <f t="shared" si="1539"/>
        <v>0.3487271405351836</v>
      </c>
      <c r="AB901" s="225">
        <f t="shared" si="1539"/>
        <v>0.3487271405351836</v>
      </c>
      <c r="AC901" s="225">
        <f t="shared" si="1539"/>
        <v>0.3487271405351836</v>
      </c>
      <c r="AD901" s="225">
        <f t="shared" si="1539"/>
        <v>0.3487271405351836</v>
      </c>
      <c r="AE901" s="225">
        <f t="shared" si="1539"/>
        <v>0.3487271405351836</v>
      </c>
      <c r="AF901" s="225">
        <f t="shared" si="1539"/>
        <v>0.3487271405351836</v>
      </c>
      <c r="AG901" s="225">
        <f t="shared" si="1539"/>
        <v>0.3487271405351836</v>
      </c>
      <c r="AH901" s="225">
        <f t="shared" si="1539"/>
        <v>0.3487271405351836</v>
      </c>
      <c r="AI901" s="225">
        <f t="shared" si="1539"/>
        <v>0.3487271405351836</v>
      </c>
    </row>
    <row r="902" hidden="1" outlineLevel="1">
      <c r="A902" s="44" t="inlineStr">
        <is>
          <t>secshh</t>
        </is>
      </c>
      <c r="B902" s="3" t="inlineStr">
        <is>
          <t>mch</t>
        </is>
      </c>
      <c r="C902" s="3" t="inlineStr"/>
      <c r="D902" s="3" t="n"/>
      <c r="E902" s="3" t="n"/>
      <c r="H902" s="3" t="inlineStr">
        <is>
          <t>Mining &amp; Chemicals: share of household demand</t>
        </is>
      </c>
      <c r="I902" s="3" t="inlineStr">
        <is>
          <t>fraction</t>
        </is>
      </c>
      <c r="J902" s="118" t="inlineStr">
        <is>
          <t>IO_GTAP (legacy I:K 3285-3296)</t>
        </is>
      </c>
      <c r="K902" s="9" t="str">
        <f>LOWER(CtryCode)&amp;".distn."&amp;$A902&amp;IF($B902="","","."&amp;$B902)&amp;IF($C902="","",".dec."&amp;$C902)&amp;"."&amp;K$5</f>
        <v>egy.distn.secshh.mch.1</v>
      </c>
      <c r="L902" s="224">
        <f>IFERROR(SUMIF(DSecCpat,$B902,DSecHhd)/SUM(DSecHhd),0)</f>
        <v>0.02032444608295543</v>
      </c>
      <c r="M902" s="225">
        <f t="shared" ref="M902:V902" si="1540">L902</f>
        <v>0.02032444608295543</v>
      </c>
      <c r="N902" s="225">
        <f t="shared" si="1540"/>
        <v>0.02032444608295543</v>
      </c>
      <c r="O902" s="225">
        <f t="shared" si="1540"/>
        <v>0.02032444608295543</v>
      </c>
      <c r="P902" s="225">
        <f t="shared" si="1540"/>
        <v>0.02032444608295543</v>
      </c>
      <c r="Q902" s="225">
        <f t="shared" si="1540"/>
        <v>0.02032444608295543</v>
      </c>
      <c r="R902" s="225">
        <f t="shared" si="1540"/>
        <v>0.02032444608295543</v>
      </c>
      <c r="S902" s="225">
        <f t="shared" si="1540"/>
        <v>0.02032444608295543</v>
      </c>
      <c r="T902" s="225">
        <f t="shared" si="1540"/>
        <v>0.02032444608295543</v>
      </c>
      <c r="U902" s="225">
        <f t="shared" si="1540"/>
        <v>0.02032444608295543</v>
      </c>
      <c r="V902" s="225">
        <f t="shared" si="1540"/>
        <v>0.02032444608295543</v>
      </c>
      <c r="W902" s="201" t="str">
        <f>IF(X$5=K$5,SUM(Y902:AI902)-SUM(L902:V902),"")</f>
        <v/>
      </c>
      <c r="X902" s="9" t="str">
        <f>LOWER(CtryCode)&amp;".distn."&amp;$A902&amp;IF($B902="","","."&amp;$B902)&amp;IF($C902="","",".dec."&amp;$C902)&amp;"."&amp;X$5</f>
        <v>egy.distn.secshh.mch.2</v>
      </c>
      <c r="Y902" s="224">
        <f>IFERROR(SUMIF(DSecCpat,$B902,DSecHhd)/SUM(DSecHhd),0)</f>
        <v>0.02032444608295543</v>
      </c>
      <c r="Z902" s="225">
        <f t="shared" ref="Z902:AI902" si="1541">Y902</f>
        <v>0.02032444608295543</v>
      </c>
      <c r="AA902" s="225">
        <f t="shared" si="1541"/>
        <v>0.02032444608295543</v>
      </c>
      <c r="AB902" s="225">
        <f t="shared" si="1541"/>
        <v>0.02032444608295543</v>
      </c>
      <c r="AC902" s="225">
        <f t="shared" si="1541"/>
        <v>0.02032444608295543</v>
      </c>
      <c r="AD902" s="225">
        <f t="shared" si="1541"/>
        <v>0.02032444608295543</v>
      </c>
      <c r="AE902" s="225">
        <f t="shared" si="1541"/>
        <v>0.02032444608295543</v>
      </c>
      <c r="AF902" s="225">
        <f t="shared" si="1541"/>
        <v>0.02032444608295543</v>
      </c>
      <c r="AG902" s="225">
        <f t="shared" si="1541"/>
        <v>0.02032444608295543</v>
      </c>
      <c r="AH902" s="225">
        <f t="shared" si="1541"/>
        <v>0.02032444608295543</v>
      </c>
      <c r="AI902" s="225">
        <f t="shared" si="1541"/>
        <v>0.02032444608295543</v>
      </c>
    </row>
    <row r="903" hidden="1" outlineLevel="1">
      <c r="A903" s="44" t="inlineStr">
        <is>
          <t>secshh</t>
        </is>
      </c>
      <c r="B903" s="3" t="inlineStr">
        <is>
          <t>irn</t>
        </is>
      </c>
      <c r="C903" s="3" t="inlineStr"/>
      <c r="D903" s="3" t="n"/>
      <c r="E903" s="3" t="n"/>
      <c r="H903" s="3" t="inlineStr">
        <is>
          <t>Iron and steel: share of household demand</t>
        </is>
      </c>
      <c r="I903" s="3" t="inlineStr">
        <is>
          <t>fraction</t>
        </is>
      </c>
      <c r="J903" s="118" t="inlineStr">
        <is>
          <t>IO_GTAP (legacy I:K 3285-3296)</t>
        </is>
      </c>
      <c r="K903" s="9" t="str">
        <f>LOWER(CtryCode)&amp;".distn."&amp;$A903&amp;IF($B903="","","."&amp;$B903)&amp;IF($C903="","",".dec."&amp;$C903)&amp;"."&amp;K$5</f>
        <v>egy.distn.secshh.irn.1</v>
      </c>
      <c r="L903" s="224">
        <f>IFERROR(SUMIF(DSecCpat,$B903,DSecHhd)/SUM(DSecHhd),0)</f>
        <v>0.001674564530018174</v>
      </c>
      <c r="M903" s="225">
        <f t="shared" ref="M903:V903" si="1542">L903</f>
        <v>0.001674564530018174</v>
      </c>
      <c r="N903" s="225">
        <f t="shared" si="1542"/>
        <v>0.001674564530018174</v>
      </c>
      <c r="O903" s="225">
        <f t="shared" si="1542"/>
        <v>0.001674564530018174</v>
      </c>
      <c r="P903" s="225">
        <f t="shared" si="1542"/>
        <v>0.001674564530018174</v>
      </c>
      <c r="Q903" s="225">
        <f t="shared" si="1542"/>
        <v>0.001674564530018174</v>
      </c>
      <c r="R903" s="225">
        <f t="shared" si="1542"/>
        <v>0.001674564530018174</v>
      </c>
      <c r="S903" s="225">
        <f t="shared" si="1542"/>
        <v>0.001674564530018174</v>
      </c>
      <c r="T903" s="225">
        <f t="shared" si="1542"/>
        <v>0.001674564530018174</v>
      </c>
      <c r="U903" s="225">
        <f t="shared" si="1542"/>
        <v>0.001674564530018174</v>
      </c>
      <c r="V903" s="225">
        <f t="shared" si="1542"/>
        <v>0.001674564530018174</v>
      </c>
      <c r="W903" s="201" t="str">
        <f>IF(X$5=K$5,SUM(Y903:AI903)-SUM(L903:V903),"")</f>
        <v/>
      </c>
      <c r="X903" s="9" t="str">
        <f>LOWER(CtryCode)&amp;".distn."&amp;$A903&amp;IF($B903="","","."&amp;$B903)&amp;IF($C903="","",".dec."&amp;$C903)&amp;"."&amp;X$5</f>
        <v>egy.distn.secshh.irn.2</v>
      </c>
      <c r="Y903" s="224">
        <f>IFERROR(SUMIF(DSecCpat,$B903,DSecHhd)/SUM(DSecHhd),0)</f>
        <v>0.001674564530018174</v>
      </c>
      <c r="Z903" s="225">
        <f t="shared" ref="Z903:AI903" si="1543">Y903</f>
        <v>0.001674564530018174</v>
      </c>
      <c r="AA903" s="225">
        <f t="shared" si="1543"/>
        <v>0.001674564530018174</v>
      </c>
      <c r="AB903" s="225">
        <f t="shared" si="1543"/>
        <v>0.001674564530018174</v>
      </c>
      <c r="AC903" s="225">
        <f t="shared" si="1543"/>
        <v>0.001674564530018174</v>
      </c>
      <c r="AD903" s="225">
        <f t="shared" si="1543"/>
        <v>0.001674564530018174</v>
      </c>
      <c r="AE903" s="225">
        <f t="shared" si="1543"/>
        <v>0.001674564530018174</v>
      </c>
      <c r="AF903" s="225">
        <f t="shared" si="1543"/>
        <v>0.001674564530018174</v>
      </c>
      <c r="AG903" s="225">
        <f t="shared" si="1543"/>
        <v>0.001674564530018174</v>
      </c>
      <c r="AH903" s="225">
        <f t="shared" si="1543"/>
        <v>0.001674564530018174</v>
      </c>
      <c r="AI903" s="225">
        <f t="shared" si="1543"/>
        <v>0.001674564530018174</v>
      </c>
    </row>
    <row r="904" hidden="1" outlineLevel="1">
      <c r="A904" s="44" t="inlineStr">
        <is>
          <t>secshh</t>
        </is>
      </c>
      <c r="B904" s="3" t="inlineStr">
        <is>
          <t>nfm</t>
        </is>
      </c>
      <c r="C904" s="3" t="inlineStr"/>
      <c r="D904" s="3" t="n"/>
      <c r="E904" s="3" t="n"/>
      <c r="H904" s="3" t="inlineStr">
        <is>
          <t>Non-ferrous metals: share of household demand</t>
        </is>
      </c>
      <c r="I904" s="3" t="inlineStr">
        <is>
          <t>fraction</t>
        </is>
      </c>
      <c r="J904" s="118" t="inlineStr">
        <is>
          <t>IO_GTAP (legacy I:K 3285-3296)</t>
        </is>
      </c>
      <c r="K904" s="9" t="str">
        <f>LOWER(CtryCode)&amp;".distn."&amp;$A904&amp;IF($B904="","","."&amp;$B904)&amp;IF($C904="","",".dec."&amp;$C904)&amp;"."&amp;K$5</f>
        <v>egy.distn.secshh.nfm.1</v>
      </c>
      <c r="L904" s="224">
        <f>IFERROR(SUMIF(DSecCpat,$B904,DSecHhd)/SUM(DSecHhd),0)</f>
        <v>0.002544427235463197</v>
      </c>
      <c r="M904" s="225">
        <f t="shared" ref="M904:V904" si="1544">L904</f>
        <v>0.002544427235463197</v>
      </c>
      <c r="N904" s="225">
        <f t="shared" si="1544"/>
        <v>0.002544427235463197</v>
      </c>
      <c r="O904" s="225">
        <f t="shared" si="1544"/>
        <v>0.002544427235463197</v>
      </c>
      <c r="P904" s="225">
        <f t="shared" si="1544"/>
        <v>0.002544427235463197</v>
      </c>
      <c r="Q904" s="225">
        <f t="shared" si="1544"/>
        <v>0.002544427235463197</v>
      </c>
      <c r="R904" s="225">
        <f t="shared" si="1544"/>
        <v>0.002544427235463197</v>
      </c>
      <c r="S904" s="225">
        <f t="shared" si="1544"/>
        <v>0.002544427235463197</v>
      </c>
      <c r="T904" s="225">
        <f t="shared" si="1544"/>
        <v>0.002544427235463197</v>
      </c>
      <c r="U904" s="225">
        <f t="shared" si="1544"/>
        <v>0.002544427235463197</v>
      </c>
      <c r="V904" s="225">
        <f t="shared" si="1544"/>
        <v>0.002544427235463197</v>
      </c>
      <c r="W904" s="201" t="str">
        <f>IF(X$5=K$5,SUM(Y904:AI904)-SUM(L904:V904),"")</f>
        <v/>
      </c>
      <c r="X904" s="9" t="str">
        <f>LOWER(CtryCode)&amp;".distn."&amp;$A904&amp;IF($B904="","","."&amp;$B904)&amp;IF($C904="","",".dec."&amp;$C904)&amp;"."&amp;X$5</f>
        <v>egy.distn.secshh.nfm.2</v>
      </c>
      <c r="Y904" s="224">
        <f>IFERROR(SUMIF(DSecCpat,$B904,DSecHhd)/SUM(DSecHhd),0)</f>
        <v>0.002544427235463197</v>
      </c>
      <c r="Z904" s="225">
        <f t="shared" ref="Z904:AI904" si="1545">Y904</f>
        <v>0.002544427235463197</v>
      </c>
      <c r="AA904" s="225">
        <f t="shared" si="1545"/>
        <v>0.002544427235463197</v>
      </c>
      <c r="AB904" s="225">
        <f t="shared" si="1545"/>
        <v>0.002544427235463197</v>
      </c>
      <c r="AC904" s="225">
        <f t="shared" si="1545"/>
        <v>0.002544427235463197</v>
      </c>
      <c r="AD904" s="225">
        <f t="shared" si="1545"/>
        <v>0.002544427235463197</v>
      </c>
      <c r="AE904" s="225">
        <f t="shared" si="1545"/>
        <v>0.002544427235463197</v>
      </c>
      <c r="AF904" s="225">
        <f t="shared" si="1545"/>
        <v>0.002544427235463197</v>
      </c>
      <c r="AG904" s="225">
        <f t="shared" si="1545"/>
        <v>0.002544427235463197</v>
      </c>
      <c r="AH904" s="225">
        <f t="shared" si="1545"/>
        <v>0.002544427235463197</v>
      </c>
      <c r="AI904" s="225">
        <f t="shared" si="1545"/>
        <v>0.002544427235463197</v>
      </c>
    </row>
    <row r="905" hidden="1" outlineLevel="1">
      <c r="A905" s="44" t="inlineStr">
        <is>
          <t>secshh</t>
        </is>
      </c>
      <c r="B905" s="3" t="inlineStr">
        <is>
          <t>mac</t>
        </is>
      </c>
      <c r="C905" s="3" t="inlineStr"/>
      <c r="D905" s="3" t="n"/>
      <c r="E905" s="3" t="n"/>
      <c r="H905" s="3" t="inlineStr">
        <is>
          <t>Machinery: share of household demand</t>
        </is>
      </c>
      <c r="I905" s="3" t="inlineStr">
        <is>
          <t>fraction</t>
        </is>
      </c>
      <c r="J905" s="118" t="inlineStr">
        <is>
          <t>IO_GTAP (legacy I:K 3285-3296)</t>
        </is>
      </c>
      <c r="K905" s="9" t="str">
        <f>LOWER(CtryCode)&amp;".distn."&amp;$A905&amp;IF($B905="","","."&amp;$B905)&amp;IF($C905="","",".dec."&amp;$C905)&amp;"."&amp;K$5</f>
        <v>egy.distn.secshh.mac.1</v>
      </c>
      <c r="L905" s="224">
        <f>IFERROR(SUMIF(DSecCpat,$B905,DSecHhd)/SUM(DSecHhd),0)</f>
        <v>0.031007536535282643</v>
      </c>
      <c r="M905" s="225">
        <f t="shared" ref="M905:V905" si="1546">L905</f>
        <v>0.031007536535282643</v>
      </c>
      <c r="N905" s="225">
        <f t="shared" si="1546"/>
        <v>0.031007536535282643</v>
      </c>
      <c r="O905" s="225">
        <f t="shared" si="1546"/>
        <v>0.031007536535282643</v>
      </c>
      <c r="P905" s="225">
        <f t="shared" si="1546"/>
        <v>0.031007536535282643</v>
      </c>
      <c r="Q905" s="225">
        <f t="shared" si="1546"/>
        <v>0.031007536535282643</v>
      </c>
      <c r="R905" s="225">
        <f t="shared" si="1546"/>
        <v>0.031007536535282643</v>
      </c>
      <c r="S905" s="225">
        <f t="shared" si="1546"/>
        <v>0.031007536535282643</v>
      </c>
      <c r="T905" s="225">
        <f t="shared" si="1546"/>
        <v>0.031007536535282643</v>
      </c>
      <c r="U905" s="225">
        <f t="shared" si="1546"/>
        <v>0.031007536535282643</v>
      </c>
      <c r="V905" s="225">
        <f t="shared" si="1546"/>
        <v>0.031007536535282643</v>
      </c>
      <c r="W905" s="201" t="str">
        <f>IF(X$5=K$5,SUM(Y905:AI905)-SUM(L905:V905),"")</f>
        <v/>
      </c>
      <c r="X905" s="9" t="str">
        <f>LOWER(CtryCode)&amp;".distn."&amp;$A905&amp;IF($B905="","","."&amp;$B905)&amp;IF($C905="","",".dec."&amp;$C905)&amp;"."&amp;X$5</f>
        <v>egy.distn.secshh.mac.2</v>
      </c>
      <c r="Y905" s="224">
        <f>IFERROR(SUMIF(DSecCpat,$B905,DSecHhd)/SUM(DSecHhd),0)</f>
        <v>0.031007536535282643</v>
      </c>
      <c r="Z905" s="225">
        <f t="shared" ref="Z905:AI905" si="1547">Y905</f>
        <v>0.031007536535282643</v>
      </c>
      <c r="AA905" s="225">
        <f t="shared" si="1547"/>
        <v>0.031007536535282643</v>
      </c>
      <c r="AB905" s="225">
        <f t="shared" si="1547"/>
        <v>0.031007536535282643</v>
      </c>
      <c r="AC905" s="225">
        <f t="shared" si="1547"/>
        <v>0.031007536535282643</v>
      </c>
      <c r="AD905" s="225">
        <f t="shared" si="1547"/>
        <v>0.031007536535282643</v>
      </c>
      <c r="AE905" s="225">
        <f t="shared" si="1547"/>
        <v>0.031007536535282643</v>
      </c>
      <c r="AF905" s="225">
        <f t="shared" si="1547"/>
        <v>0.031007536535282643</v>
      </c>
      <c r="AG905" s="225">
        <f t="shared" si="1547"/>
        <v>0.031007536535282643</v>
      </c>
      <c r="AH905" s="225">
        <f t="shared" si="1547"/>
        <v>0.031007536535282643</v>
      </c>
      <c r="AI905" s="225">
        <f t="shared" si="1547"/>
        <v>0.031007536535282643</v>
      </c>
    </row>
    <row r="906" hidden="1" outlineLevel="1">
      <c r="A906" s="44" t="inlineStr">
        <is>
          <t>secshh</t>
        </is>
      </c>
      <c r="B906" s="3" t="inlineStr">
        <is>
          <t>cem</t>
        </is>
      </c>
      <c r="C906" s="3" t="inlineStr"/>
      <c r="D906" s="3" t="n"/>
      <c r="E906" s="3" t="n"/>
      <c r="H906" s="3" t="inlineStr">
        <is>
          <t>Cement: share of household demand</t>
        </is>
      </c>
      <c r="I906" s="3" t="inlineStr">
        <is>
          <t>fraction</t>
        </is>
      </c>
      <c r="J906" s="118" t="inlineStr">
        <is>
          <t>IO_GTAP (legacy I:K 3285-3296)</t>
        </is>
      </c>
      <c r="K906" s="9" t="str">
        <f>LOWER(CtryCode)&amp;".distn."&amp;$A906&amp;IF($B906="","","."&amp;$B906)&amp;IF($C906="","",".dec."&amp;$C906)&amp;"."&amp;K$5</f>
        <v>egy.distn.secshh.cem.1</v>
      </c>
      <c r="L906" s="224">
        <f>IFERROR(SUMIF(DSecCpat,$B906,DSecHhd)/SUM(DSecHhd),0)</f>
        <v>0.015948884476453384</v>
      </c>
      <c r="M906" s="225">
        <f t="shared" ref="M906:V906" si="1548">L906</f>
        <v>0.015948884476453384</v>
      </c>
      <c r="N906" s="225">
        <f t="shared" si="1548"/>
        <v>0.015948884476453384</v>
      </c>
      <c r="O906" s="225">
        <f t="shared" si="1548"/>
        <v>0.015948884476453384</v>
      </c>
      <c r="P906" s="225">
        <f t="shared" si="1548"/>
        <v>0.015948884476453384</v>
      </c>
      <c r="Q906" s="225">
        <f t="shared" si="1548"/>
        <v>0.015948884476453384</v>
      </c>
      <c r="R906" s="225">
        <f t="shared" si="1548"/>
        <v>0.015948884476453384</v>
      </c>
      <c r="S906" s="225">
        <f t="shared" si="1548"/>
        <v>0.015948884476453384</v>
      </c>
      <c r="T906" s="225">
        <f t="shared" si="1548"/>
        <v>0.015948884476453384</v>
      </c>
      <c r="U906" s="225">
        <f t="shared" si="1548"/>
        <v>0.015948884476453384</v>
      </c>
      <c r="V906" s="225">
        <f t="shared" si="1548"/>
        <v>0.015948884476453384</v>
      </c>
      <c r="W906" s="201" t="str">
        <f>IF(X$5=K$5,SUM(Y906:AI906)-SUM(L906:V906),"")</f>
        <v/>
      </c>
      <c r="X906" s="9" t="str">
        <f>LOWER(CtryCode)&amp;".distn."&amp;$A906&amp;IF($B906="","","."&amp;$B906)&amp;IF($C906="","",".dec."&amp;$C906)&amp;"."&amp;X$5</f>
        <v>egy.distn.secshh.cem.2</v>
      </c>
      <c r="Y906" s="224">
        <f>IFERROR(SUMIF(DSecCpat,$B906,DSecHhd)/SUM(DSecHhd),0)</f>
        <v>0.015948884476453384</v>
      </c>
      <c r="Z906" s="225">
        <f t="shared" ref="Z906:AI906" si="1549">Y906</f>
        <v>0.015948884476453384</v>
      </c>
      <c r="AA906" s="225">
        <f t="shared" si="1549"/>
        <v>0.015948884476453384</v>
      </c>
      <c r="AB906" s="225">
        <f t="shared" si="1549"/>
        <v>0.015948884476453384</v>
      </c>
      <c r="AC906" s="225">
        <f t="shared" si="1549"/>
        <v>0.015948884476453384</v>
      </c>
      <c r="AD906" s="225">
        <f t="shared" si="1549"/>
        <v>0.015948884476453384</v>
      </c>
      <c r="AE906" s="225">
        <f t="shared" si="1549"/>
        <v>0.015948884476453384</v>
      </c>
      <c r="AF906" s="225">
        <f t="shared" si="1549"/>
        <v>0.015948884476453384</v>
      </c>
      <c r="AG906" s="225">
        <f t="shared" si="1549"/>
        <v>0.015948884476453384</v>
      </c>
      <c r="AH906" s="225">
        <f t="shared" si="1549"/>
        <v>0.015948884476453384</v>
      </c>
      <c r="AI906" s="225">
        <f t="shared" si="1549"/>
        <v>0.015948884476453384</v>
      </c>
    </row>
    <row r="907" hidden="1" outlineLevel="1">
      <c r="A907" s="44" t="inlineStr">
        <is>
          <t>secshh</t>
        </is>
      </c>
      <c r="B907" s="3" t="inlineStr">
        <is>
          <t>omn</t>
        </is>
      </c>
      <c r="C907" s="3" t="inlineStr"/>
      <c r="D907" s="3" t="n"/>
      <c r="E907" s="3" t="n"/>
      <c r="H907" s="3" t="inlineStr">
        <is>
          <t>Other manufacturing: share of household demand</t>
        </is>
      </c>
      <c r="I907" s="3" t="inlineStr">
        <is>
          <t>fraction</t>
        </is>
      </c>
      <c r="J907" s="118" t="inlineStr">
        <is>
          <t>IO_GTAP (legacy I:K 3285-3296)</t>
        </is>
      </c>
      <c r="K907" s="9" t="str">
        <f>LOWER(CtryCode)&amp;".distn."&amp;$A907&amp;IF($B907="","","."&amp;$B907)&amp;IF($C907="","",".dec."&amp;$C907)&amp;"."&amp;K$5</f>
        <v>egy.distn.secshh.omn.1</v>
      </c>
      <c r="L907" s="224">
        <f>IFERROR(SUMIF(DSecCpat,$B907,DSecHhd)/SUM(DSecHhd),0)</f>
        <v>0.12010782660941051</v>
      </c>
      <c r="M907" s="225">
        <f t="shared" ref="M907:V907" si="1550">L907</f>
        <v>0.12010782660941051</v>
      </c>
      <c r="N907" s="225">
        <f t="shared" si="1550"/>
        <v>0.12010782660941051</v>
      </c>
      <c r="O907" s="225">
        <f t="shared" si="1550"/>
        <v>0.12010782660941051</v>
      </c>
      <c r="P907" s="225">
        <f t="shared" si="1550"/>
        <v>0.12010782660941051</v>
      </c>
      <c r="Q907" s="225">
        <f t="shared" si="1550"/>
        <v>0.12010782660941051</v>
      </c>
      <c r="R907" s="225">
        <f t="shared" si="1550"/>
        <v>0.12010782660941051</v>
      </c>
      <c r="S907" s="225">
        <f t="shared" si="1550"/>
        <v>0.12010782660941051</v>
      </c>
      <c r="T907" s="225">
        <f t="shared" si="1550"/>
        <v>0.12010782660941051</v>
      </c>
      <c r="U907" s="225">
        <f t="shared" si="1550"/>
        <v>0.12010782660941051</v>
      </c>
      <c r="V907" s="225">
        <f t="shared" si="1550"/>
        <v>0.12010782660941051</v>
      </c>
      <c r="W907" s="201" t="str">
        <f>IF(X$5=K$5,SUM(Y907:AI907)-SUM(L907:V907),"")</f>
        <v/>
      </c>
      <c r="X907" s="9" t="str">
        <f>LOWER(CtryCode)&amp;".distn."&amp;$A907&amp;IF($B907="","","."&amp;$B907)&amp;IF($C907="","",".dec."&amp;$C907)&amp;"."&amp;X$5</f>
        <v>egy.distn.secshh.omn.2</v>
      </c>
      <c r="Y907" s="224">
        <f>IFERROR(SUMIF(DSecCpat,$B907,DSecHhd)/SUM(DSecHhd),0)</f>
        <v>0.12010782660941051</v>
      </c>
      <c r="Z907" s="225">
        <f t="shared" ref="Z907:AI907" si="1551">Y907</f>
        <v>0.12010782660941051</v>
      </c>
      <c r="AA907" s="225">
        <f t="shared" si="1551"/>
        <v>0.12010782660941051</v>
      </c>
      <c r="AB907" s="225">
        <f t="shared" si="1551"/>
        <v>0.12010782660941051</v>
      </c>
      <c r="AC907" s="225">
        <f t="shared" si="1551"/>
        <v>0.12010782660941051</v>
      </c>
      <c r="AD907" s="225">
        <f t="shared" si="1551"/>
        <v>0.12010782660941051</v>
      </c>
      <c r="AE907" s="225">
        <f t="shared" si="1551"/>
        <v>0.12010782660941051</v>
      </c>
      <c r="AF907" s="225">
        <f t="shared" si="1551"/>
        <v>0.12010782660941051</v>
      </c>
      <c r="AG907" s="225">
        <f t="shared" si="1551"/>
        <v>0.12010782660941051</v>
      </c>
      <c r="AH907" s="225">
        <f t="shared" si="1551"/>
        <v>0.12010782660941051</v>
      </c>
      <c r="AI907" s="225">
        <f t="shared" si="1551"/>
        <v>0.12010782660941051</v>
      </c>
    </row>
    <row r="908" hidden="1" outlineLevel="1">
      <c r="A908" s="44" t="inlineStr">
        <is>
          <t>secshh</t>
        </is>
      </c>
      <c r="B908" s="3" t="inlineStr">
        <is>
          <t>cst</t>
        </is>
      </c>
      <c r="C908" s="3" t="inlineStr"/>
      <c r="D908" s="3" t="n"/>
      <c r="E908" s="3" t="n"/>
      <c r="H908" s="3" t="inlineStr">
        <is>
          <t>Construction: share of household demand</t>
        </is>
      </c>
      <c r="I908" s="3" t="inlineStr">
        <is>
          <t>fraction</t>
        </is>
      </c>
      <c r="J908" s="118" t="inlineStr">
        <is>
          <t>IO_GTAP (legacy I:K 3285-3296)</t>
        </is>
      </c>
      <c r="K908" s="9" t="str">
        <f>LOWER(CtryCode)&amp;".distn."&amp;$A908&amp;IF($B908="","","."&amp;$B908)&amp;IF($C908="","",".dec."&amp;$C908)&amp;"."&amp;K$5</f>
        <v>egy.distn.secshh.cst.1</v>
      </c>
      <c r="L908" s="224">
        <f>IFERROR(SUMIF(DSecCpat,$B908,DSecHhd)/SUM(DSecHhd),0)</f>
        <v>0.01044412018578298</v>
      </c>
      <c r="M908" s="225">
        <f t="shared" ref="M908:V908" si="1552">L908</f>
        <v>0.01044412018578298</v>
      </c>
      <c r="N908" s="225">
        <f t="shared" si="1552"/>
        <v>0.01044412018578298</v>
      </c>
      <c r="O908" s="225">
        <f t="shared" si="1552"/>
        <v>0.01044412018578298</v>
      </c>
      <c r="P908" s="225">
        <f t="shared" si="1552"/>
        <v>0.01044412018578298</v>
      </c>
      <c r="Q908" s="225">
        <f t="shared" si="1552"/>
        <v>0.01044412018578298</v>
      </c>
      <c r="R908" s="225">
        <f t="shared" si="1552"/>
        <v>0.01044412018578298</v>
      </c>
      <c r="S908" s="225">
        <f t="shared" si="1552"/>
        <v>0.01044412018578298</v>
      </c>
      <c r="T908" s="225">
        <f t="shared" si="1552"/>
        <v>0.01044412018578298</v>
      </c>
      <c r="U908" s="225">
        <f t="shared" si="1552"/>
        <v>0.01044412018578298</v>
      </c>
      <c r="V908" s="225">
        <f t="shared" si="1552"/>
        <v>0.01044412018578298</v>
      </c>
      <c r="W908" s="201" t="str">
        <f>IF(X$5=K$5,SUM(Y908:AI908)-SUM(L908:V908),"")</f>
        <v/>
      </c>
      <c r="X908" s="9" t="str">
        <f>LOWER(CtryCode)&amp;".distn."&amp;$A908&amp;IF($B908="","","."&amp;$B908)&amp;IF($C908="","",".dec."&amp;$C908)&amp;"."&amp;X$5</f>
        <v>egy.distn.secshh.cst.2</v>
      </c>
      <c r="Y908" s="224">
        <f>IFERROR(SUMIF(DSecCpat,$B908,DSecHhd)/SUM(DSecHhd),0)</f>
        <v>0.01044412018578298</v>
      </c>
      <c r="Z908" s="225">
        <f t="shared" ref="Z908:AI908" si="1553">Y908</f>
        <v>0.01044412018578298</v>
      </c>
      <c r="AA908" s="225">
        <f t="shared" si="1553"/>
        <v>0.01044412018578298</v>
      </c>
      <c r="AB908" s="225">
        <f t="shared" si="1553"/>
        <v>0.01044412018578298</v>
      </c>
      <c r="AC908" s="225">
        <f t="shared" si="1553"/>
        <v>0.01044412018578298</v>
      </c>
      <c r="AD908" s="225">
        <f t="shared" si="1553"/>
        <v>0.01044412018578298</v>
      </c>
      <c r="AE908" s="225">
        <f t="shared" si="1553"/>
        <v>0.01044412018578298</v>
      </c>
      <c r="AF908" s="225">
        <f t="shared" si="1553"/>
        <v>0.01044412018578298</v>
      </c>
      <c r="AG908" s="225">
        <f t="shared" si="1553"/>
        <v>0.01044412018578298</v>
      </c>
      <c r="AH908" s="225">
        <f t="shared" si="1553"/>
        <v>0.01044412018578298</v>
      </c>
      <c r="AI908" s="225">
        <f t="shared" si="1553"/>
        <v>0.01044412018578298</v>
      </c>
    </row>
    <row r="909" hidden="1" outlineLevel="1">
      <c r="A909" s="44" t="inlineStr">
        <is>
          <t>secshh</t>
        </is>
      </c>
      <c r="B909" s="3" t="inlineStr">
        <is>
          <t>ftr</t>
        </is>
      </c>
      <c r="C909" s="3" t="inlineStr"/>
      <c r="D909" s="3" t="n"/>
      <c r="E909" s="3" t="n"/>
      <c r="H909" s="3" t="inlineStr">
        <is>
          <t>Fuel transformation &amp; transportation: share of household demand</t>
        </is>
      </c>
      <c r="I909" s="3" t="inlineStr">
        <is>
          <t>fraction</t>
        </is>
      </c>
      <c r="J909" s="118" t="inlineStr">
        <is>
          <t>IO_GTAP (legacy I:K 3285-3296)</t>
        </is>
      </c>
      <c r="K909" s="9" t="str">
        <f>LOWER(CtryCode)&amp;".distn."&amp;$A909&amp;IF($B909="","","."&amp;$B909)&amp;IF($C909="","",".dec."&amp;$C909)&amp;"."&amp;K$5</f>
        <v>egy.distn.secshh.ftr.1</v>
      </c>
      <c r="L909" s="224">
        <f>IFERROR(SUMIF(DSecCpat,$B909,DSecHhd)/SUM(DSecHhd),0)</f>
        <v>0.021352714179714766</v>
      </c>
      <c r="M909" s="225">
        <f t="shared" ref="M909:V909" si="1554">L909</f>
        <v>0.021352714179714766</v>
      </c>
      <c r="N909" s="225">
        <f t="shared" si="1554"/>
        <v>0.021352714179714766</v>
      </c>
      <c r="O909" s="225">
        <f t="shared" si="1554"/>
        <v>0.021352714179714766</v>
      </c>
      <c r="P909" s="225">
        <f t="shared" si="1554"/>
        <v>0.021352714179714766</v>
      </c>
      <c r="Q909" s="225">
        <f t="shared" si="1554"/>
        <v>0.021352714179714766</v>
      </c>
      <c r="R909" s="225">
        <f t="shared" si="1554"/>
        <v>0.021352714179714766</v>
      </c>
      <c r="S909" s="225">
        <f t="shared" si="1554"/>
        <v>0.021352714179714766</v>
      </c>
      <c r="T909" s="225">
        <f t="shared" si="1554"/>
        <v>0.021352714179714766</v>
      </c>
      <c r="U909" s="225">
        <f t="shared" si="1554"/>
        <v>0.021352714179714766</v>
      </c>
      <c r="V909" s="225">
        <f t="shared" si="1554"/>
        <v>0.021352714179714766</v>
      </c>
      <c r="W909" s="201" t="str">
        <f>IF(X$5=K$5,SUM(Y909:AI909)-SUM(L909:V909),"")</f>
        <v/>
      </c>
      <c r="X909" s="9" t="str">
        <f>LOWER(CtryCode)&amp;".distn."&amp;$A909&amp;IF($B909="","","."&amp;$B909)&amp;IF($C909="","",".dec."&amp;$C909)&amp;"."&amp;X$5</f>
        <v>egy.distn.secshh.ftr.2</v>
      </c>
      <c r="Y909" s="224">
        <f>IFERROR(SUMIF(DSecCpat,$B909,DSecHhd)/SUM(DSecHhd),0)</f>
        <v>0.021352714179714766</v>
      </c>
      <c r="Z909" s="225">
        <f t="shared" ref="Z909:AI909" si="1555">Y909</f>
        <v>0.021352714179714766</v>
      </c>
      <c r="AA909" s="225">
        <f t="shared" si="1555"/>
        <v>0.021352714179714766</v>
      </c>
      <c r="AB909" s="225">
        <f t="shared" si="1555"/>
        <v>0.021352714179714766</v>
      </c>
      <c r="AC909" s="225">
        <f t="shared" si="1555"/>
        <v>0.021352714179714766</v>
      </c>
      <c r="AD909" s="225">
        <f t="shared" si="1555"/>
        <v>0.021352714179714766</v>
      </c>
      <c r="AE909" s="225">
        <f t="shared" si="1555"/>
        <v>0.021352714179714766</v>
      </c>
      <c r="AF909" s="225">
        <f t="shared" si="1555"/>
        <v>0.021352714179714766</v>
      </c>
      <c r="AG909" s="225">
        <f t="shared" si="1555"/>
        <v>0.021352714179714766</v>
      </c>
      <c r="AH909" s="225">
        <f t="shared" si="1555"/>
        <v>0.021352714179714766</v>
      </c>
      <c r="AI909" s="225">
        <f t="shared" si="1555"/>
        <v>0.021352714179714766</v>
      </c>
    </row>
    <row r="910" hidden="1" outlineLevel="1">
      <c r="A910" s="44" t="inlineStr">
        <is>
          <t>secshh</t>
        </is>
      </c>
      <c r="B910" s="3" t="inlineStr">
        <is>
          <t>res</t>
        </is>
      </c>
      <c r="C910" s="3" t="inlineStr"/>
      <c r="D910" s="3" t="n"/>
      <c r="E910" s="3" t="n"/>
      <c r="H910" s="3" t="inlineStr">
        <is>
          <t>Residential sector: share of household demand</t>
        </is>
      </c>
      <c r="I910" s="3" t="inlineStr">
        <is>
          <t>fraction</t>
        </is>
      </c>
      <c r="J910" s="118" t="inlineStr">
        <is>
          <t>IO_GTAP (legacy I:K 3285-3296)</t>
        </is>
      </c>
      <c r="K910" s="9" t="str">
        <f>LOWER(CtryCode)&amp;".distn."&amp;$A910&amp;IF($B910="","","."&amp;$B910)&amp;IF($C910="","",".dec."&amp;$C910)&amp;"."&amp;K$5</f>
        <v>egy.distn.secshh.res.1</v>
      </c>
      <c r="L910" s="224">
        <f>IFERROR(SUMIF(DSecCpat,$B910,DSecHhd)/SUM(DSecHhd),0)</f>
        <v>0.048594336477938094</v>
      </c>
      <c r="M910" s="225">
        <f t="shared" ref="M910:V910" si="1556">L910</f>
        <v>0.048594336477938094</v>
      </c>
      <c r="N910" s="225">
        <f t="shared" si="1556"/>
        <v>0.048594336477938094</v>
      </c>
      <c r="O910" s="225">
        <f t="shared" si="1556"/>
        <v>0.048594336477938094</v>
      </c>
      <c r="P910" s="225">
        <f t="shared" si="1556"/>
        <v>0.048594336477938094</v>
      </c>
      <c r="Q910" s="225">
        <f t="shared" si="1556"/>
        <v>0.048594336477938094</v>
      </c>
      <c r="R910" s="225">
        <f t="shared" si="1556"/>
        <v>0.048594336477938094</v>
      </c>
      <c r="S910" s="225">
        <f t="shared" si="1556"/>
        <v>0.048594336477938094</v>
      </c>
      <c r="T910" s="225">
        <f t="shared" si="1556"/>
        <v>0.048594336477938094</v>
      </c>
      <c r="U910" s="225">
        <f t="shared" si="1556"/>
        <v>0.048594336477938094</v>
      </c>
      <c r="V910" s="225">
        <f t="shared" si="1556"/>
        <v>0.048594336477938094</v>
      </c>
      <c r="W910" s="201" t="str">
        <f>IF(X$5=K$5,SUM(Y910:AI910)-SUM(L910:V910),"")</f>
        <v/>
      </c>
      <c r="X910" s="9" t="str">
        <f>LOWER(CtryCode)&amp;".distn."&amp;$A910&amp;IF($B910="","","."&amp;$B910)&amp;IF($C910="","",".dec."&amp;$C910)&amp;"."&amp;X$5</f>
        <v>egy.distn.secshh.res.2</v>
      </c>
      <c r="Y910" s="224">
        <f>IFERROR(SUMIF(DSecCpat,$B910,DSecHhd)/SUM(DSecHhd),0)</f>
        <v>0.048594336477938094</v>
      </c>
      <c r="Z910" s="225">
        <f t="shared" ref="Z910:AI910" si="1557">Y910</f>
        <v>0.048594336477938094</v>
      </c>
      <c r="AA910" s="225">
        <f t="shared" si="1557"/>
        <v>0.048594336477938094</v>
      </c>
      <c r="AB910" s="225">
        <f t="shared" si="1557"/>
        <v>0.048594336477938094</v>
      </c>
      <c r="AC910" s="225">
        <f t="shared" si="1557"/>
        <v>0.048594336477938094</v>
      </c>
      <c r="AD910" s="225">
        <f t="shared" si="1557"/>
        <v>0.048594336477938094</v>
      </c>
      <c r="AE910" s="225">
        <f t="shared" si="1557"/>
        <v>0.048594336477938094</v>
      </c>
      <c r="AF910" s="225">
        <f t="shared" si="1557"/>
        <v>0.048594336477938094</v>
      </c>
      <c r="AG910" s="225">
        <f t="shared" si="1557"/>
        <v>0.048594336477938094</v>
      </c>
      <c r="AH910" s="225">
        <f t="shared" si="1557"/>
        <v>0.048594336477938094</v>
      </c>
      <c r="AI910" s="225">
        <f t="shared" si="1557"/>
        <v>0.048594336477938094</v>
      </c>
    </row>
    <row r="911" hidden="1" outlineLevel="1">
      <c r="A911" s="44" t="inlineStr">
        <is>
          <t>secshh</t>
        </is>
      </c>
      <c r="B911" s="3" t="inlineStr">
        <is>
          <t>pow</t>
        </is>
      </c>
      <c r="C911" s="3" t="inlineStr"/>
      <c r="D911" s="3" t="n"/>
      <c r="E911" s="3" t="n"/>
      <c r="H911" s="3" t="inlineStr">
        <is>
          <t>Electricity production: share of household demand</t>
        </is>
      </c>
      <c r="I911" s="3" t="inlineStr">
        <is>
          <t>fraction</t>
        </is>
      </c>
      <c r="J911" s="118" t="inlineStr">
        <is>
          <t>IO_GTAP (legacy I:K 3285-3296)</t>
        </is>
      </c>
      <c r="K911" s="9" t="str">
        <f>LOWER(CtryCode)&amp;".distn."&amp;$A911&amp;IF($B911="","","."&amp;$B911)&amp;IF($C911="","",".dec."&amp;$C911)&amp;"."&amp;K$5</f>
        <v>egy.distn.secshh.pow.1</v>
      </c>
      <c r="L911" s="224">
        <f>IFERROR(SUMIF(DSecCpat,$B911,DSecHhd)/SUM(DSecHhd),0)</f>
        <v>0.01764713268498131</v>
      </c>
      <c r="M911" s="225">
        <f t="shared" ref="M911:V911" si="1558">L911</f>
        <v>0.01764713268498131</v>
      </c>
      <c r="N911" s="225">
        <f t="shared" si="1558"/>
        <v>0.01764713268498131</v>
      </c>
      <c r="O911" s="225">
        <f t="shared" si="1558"/>
        <v>0.01764713268498131</v>
      </c>
      <c r="P911" s="225">
        <f t="shared" si="1558"/>
        <v>0.01764713268498131</v>
      </c>
      <c r="Q911" s="225">
        <f t="shared" si="1558"/>
        <v>0.01764713268498131</v>
      </c>
      <c r="R911" s="225">
        <f t="shared" si="1558"/>
        <v>0.01764713268498131</v>
      </c>
      <c r="S911" s="225">
        <f t="shared" si="1558"/>
        <v>0.01764713268498131</v>
      </c>
      <c r="T911" s="225">
        <f t="shared" si="1558"/>
        <v>0.01764713268498131</v>
      </c>
      <c r="U911" s="225">
        <f t="shared" si="1558"/>
        <v>0.01764713268498131</v>
      </c>
      <c r="V911" s="225">
        <f t="shared" si="1558"/>
        <v>0.01764713268498131</v>
      </c>
      <c r="W911" s="201" t="str">
        <f>IF(X$5=K$5,SUM(Y911:AI911)-SUM(L911:V911),"")</f>
        <v/>
      </c>
      <c r="X911" s="9" t="str">
        <f>LOWER(CtryCode)&amp;".distn."&amp;$A911&amp;IF($B911="","","."&amp;$B911)&amp;IF($C911="","",".dec."&amp;$C911)&amp;"."&amp;X$5</f>
        <v>egy.distn.secshh.pow.2</v>
      </c>
      <c r="Y911" s="224">
        <f>IFERROR(SUMIF(DSecCpat,$B911,DSecHhd)/SUM(DSecHhd),0)</f>
        <v>0.01764713268498131</v>
      </c>
      <c r="Z911" s="225">
        <f t="shared" ref="Z911:AI911" si="1559">Y911</f>
        <v>0.01764713268498131</v>
      </c>
      <c r="AA911" s="225">
        <f t="shared" si="1559"/>
        <v>0.01764713268498131</v>
      </c>
      <c r="AB911" s="225">
        <f t="shared" si="1559"/>
        <v>0.01764713268498131</v>
      </c>
      <c r="AC911" s="225">
        <f t="shared" si="1559"/>
        <v>0.01764713268498131</v>
      </c>
      <c r="AD911" s="225">
        <f t="shared" si="1559"/>
        <v>0.01764713268498131</v>
      </c>
      <c r="AE911" s="225">
        <f t="shared" si="1559"/>
        <v>0.01764713268498131</v>
      </c>
      <c r="AF911" s="225">
        <f t="shared" si="1559"/>
        <v>0.01764713268498131</v>
      </c>
      <c r="AG911" s="225">
        <f t="shared" si="1559"/>
        <v>0.01764713268498131</v>
      </c>
      <c r="AH911" s="225">
        <f t="shared" si="1559"/>
        <v>0.01764713268498131</v>
      </c>
      <c r="AI911" s="225">
        <f t="shared" si="1559"/>
        <v>0.01764713268498131</v>
      </c>
    </row>
    <row r="912" hidden="1" outlineLevel="1">
      <c r="A912" s="44" t="inlineStr">
        <is>
          <t>secsout</t>
        </is>
      </c>
      <c r="B912" s="3" t="inlineStr">
        <is>
          <t>avi</t>
        </is>
      </c>
      <c r="C912" s="3" t="inlineStr"/>
      <c r="D912" s="3" t="n"/>
      <c r="E912" s="3" t="n"/>
      <c r="H912" s="3" t="inlineStr">
        <is>
          <t>Domestic aviation: share of output</t>
        </is>
      </c>
      <c r="I912" s="3" t="inlineStr">
        <is>
          <t>fraction</t>
        </is>
      </c>
      <c r="J912" s="118" t="inlineStr">
        <is>
          <t>IO_GTAP (legacy I:K 3285-3296)</t>
        </is>
      </c>
      <c r="K912" s="9" t="str">
        <f>LOWER(CtryCode)&amp;".distn."&amp;$A912&amp;IF($B912="","","."&amp;$B912)&amp;IF($C912="","",".dec."&amp;$C912)&amp;"."&amp;K$5</f>
        <v>egy.distn.secsout.avi.1</v>
      </c>
      <c r="L912" s="224">
        <f>IFERROR(SUMIF(DSecCpat,$B912,DSecOut)/SUM(DSecOut),0)</f>
        <v>0.00663156067588177</v>
      </c>
      <c r="M912" s="225">
        <f t="shared" ref="M912:V912" si="1560">L912</f>
        <v>0.00663156067588177</v>
      </c>
      <c r="N912" s="225">
        <f t="shared" si="1560"/>
        <v>0.00663156067588177</v>
      </c>
      <c r="O912" s="225">
        <f t="shared" si="1560"/>
        <v>0.00663156067588177</v>
      </c>
      <c r="P912" s="225">
        <f t="shared" si="1560"/>
        <v>0.00663156067588177</v>
      </c>
      <c r="Q912" s="225">
        <f t="shared" si="1560"/>
        <v>0.00663156067588177</v>
      </c>
      <c r="R912" s="225">
        <f t="shared" si="1560"/>
        <v>0.00663156067588177</v>
      </c>
      <c r="S912" s="225">
        <f t="shared" si="1560"/>
        <v>0.00663156067588177</v>
      </c>
      <c r="T912" s="225">
        <f t="shared" si="1560"/>
        <v>0.00663156067588177</v>
      </c>
      <c r="U912" s="225">
        <f t="shared" si="1560"/>
        <v>0.00663156067588177</v>
      </c>
      <c r="V912" s="225">
        <f t="shared" si="1560"/>
        <v>0.00663156067588177</v>
      </c>
      <c r="W912" s="201" t="str">
        <f>IF(X$5=K$5,SUM(Y912:AI912)-SUM(L912:V912),"")</f>
        <v/>
      </c>
      <c r="X912" s="9" t="str">
        <f>LOWER(CtryCode)&amp;".distn."&amp;$A912&amp;IF($B912="","","."&amp;$B912)&amp;IF($C912="","",".dec."&amp;$C912)&amp;"."&amp;X$5</f>
        <v>egy.distn.secsout.avi.2</v>
      </c>
      <c r="Y912" s="224">
        <f>IFERROR(SUMIF(DSecCpat,$B912,DSecOut)/SUM(DSecOut),0)</f>
        <v>0.00663156067588177</v>
      </c>
      <c r="Z912" s="225">
        <f t="shared" ref="Z912:AI912" si="1561">Y912</f>
        <v>0.00663156067588177</v>
      </c>
      <c r="AA912" s="225">
        <f t="shared" si="1561"/>
        <v>0.00663156067588177</v>
      </c>
      <c r="AB912" s="225">
        <f t="shared" si="1561"/>
        <v>0.00663156067588177</v>
      </c>
      <c r="AC912" s="225">
        <f t="shared" si="1561"/>
        <v>0.00663156067588177</v>
      </c>
      <c r="AD912" s="225">
        <f t="shared" si="1561"/>
        <v>0.00663156067588177</v>
      </c>
      <c r="AE912" s="225">
        <f t="shared" si="1561"/>
        <v>0.00663156067588177</v>
      </c>
      <c r="AF912" s="225">
        <f t="shared" si="1561"/>
        <v>0.00663156067588177</v>
      </c>
      <c r="AG912" s="225">
        <f t="shared" si="1561"/>
        <v>0.00663156067588177</v>
      </c>
      <c r="AH912" s="225">
        <f t="shared" si="1561"/>
        <v>0.00663156067588177</v>
      </c>
      <c r="AI912" s="225">
        <f t="shared" si="1561"/>
        <v>0.00663156067588177</v>
      </c>
    </row>
    <row r="913" hidden="1" outlineLevel="1">
      <c r="A913" s="44" t="inlineStr">
        <is>
          <t>secsout</t>
        </is>
      </c>
      <c r="B913" s="3" t="inlineStr">
        <is>
          <t>nav</t>
        </is>
      </c>
      <c r="C913" s="3" t="inlineStr"/>
      <c r="D913" s="3" t="n"/>
      <c r="E913" s="3" t="n"/>
      <c r="H913" s="3" t="inlineStr">
        <is>
          <t>Domestic navigation: share of output</t>
        </is>
      </c>
      <c r="I913" s="3" t="inlineStr">
        <is>
          <t>fraction</t>
        </is>
      </c>
      <c r="J913" s="118" t="inlineStr">
        <is>
          <t>IO_GTAP (legacy I:K 3285-3296)</t>
        </is>
      </c>
      <c r="K913" s="9" t="str">
        <f>LOWER(CtryCode)&amp;".distn."&amp;$A913&amp;IF($B913="","","."&amp;$B913)&amp;IF($C913="","",".dec."&amp;$C913)&amp;"."&amp;K$5</f>
        <v>egy.distn.secsout.nav.1</v>
      </c>
      <c r="L913" s="224">
        <f>IFERROR(SUMIF(DSecCpat,$B913,DSecOut)/SUM(DSecOut),0)</f>
        <v>0.04525411898725419</v>
      </c>
      <c r="M913" s="225">
        <f t="shared" ref="M913:V913" si="1562">L913</f>
        <v>0.04525411898725419</v>
      </c>
      <c r="N913" s="225">
        <f t="shared" si="1562"/>
        <v>0.04525411898725419</v>
      </c>
      <c r="O913" s="225">
        <f t="shared" si="1562"/>
        <v>0.04525411898725419</v>
      </c>
      <c r="P913" s="225">
        <f t="shared" si="1562"/>
        <v>0.04525411898725419</v>
      </c>
      <c r="Q913" s="225">
        <f t="shared" si="1562"/>
        <v>0.04525411898725419</v>
      </c>
      <c r="R913" s="225">
        <f t="shared" si="1562"/>
        <v>0.04525411898725419</v>
      </c>
      <c r="S913" s="225">
        <f t="shared" si="1562"/>
        <v>0.04525411898725419</v>
      </c>
      <c r="T913" s="225">
        <f t="shared" si="1562"/>
        <v>0.04525411898725419</v>
      </c>
      <c r="U913" s="225">
        <f t="shared" si="1562"/>
        <v>0.04525411898725419</v>
      </c>
      <c r="V913" s="225">
        <f t="shared" si="1562"/>
        <v>0.04525411898725419</v>
      </c>
      <c r="W913" s="201" t="str">
        <f>IF(X$5=K$5,SUM(Y913:AI913)-SUM(L913:V913),"")</f>
        <v/>
      </c>
      <c r="X913" s="9" t="str">
        <f>LOWER(CtryCode)&amp;".distn."&amp;$A913&amp;IF($B913="","","."&amp;$B913)&amp;IF($C913="","",".dec."&amp;$C913)&amp;"."&amp;X$5</f>
        <v>egy.distn.secsout.nav.2</v>
      </c>
      <c r="Y913" s="224">
        <f>IFERROR(SUMIF(DSecCpat,$B913,DSecOut)/SUM(DSecOut),0)</f>
        <v>0.04525411898725419</v>
      </c>
      <c r="Z913" s="225">
        <f t="shared" ref="Z913:AI913" si="1563">Y913</f>
        <v>0.04525411898725419</v>
      </c>
      <c r="AA913" s="225">
        <f t="shared" si="1563"/>
        <v>0.04525411898725419</v>
      </c>
      <c r="AB913" s="225">
        <f t="shared" si="1563"/>
        <v>0.04525411898725419</v>
      </c>
      <c r="AC913" s="225">
        <f t="shared" si="1563"/>
        <v>0.04525411898725419</v>
      </c>
      <c r="AD913" s="225">
        <f t="shared" si="1563"/>
        <v>0.04525411898725419</v>
      </c>
      <c r="AE913" s="225">
        <f t="shared" si="1563"/>
        <v>0.04525411898725419</v>
      </c>
      <c r="AF913" s="225">
        <f t="shared" si="1563"/>
        <v>0.04525411898725419</v>
      </c>
      <c r="AG913" s="225">
        <f t="shared" si="1563"/>
        <v>0.04525411898725419</v>
      </c>
      <c r="AH913" s="225">
        <f t="shared" si="1563"/>
        <v>0.04525411898725419</v>
      </c>
      <c r="AI913" s="225">
        <f t="shared" si="1563"/>
        <v>0.04525411898725419</v>
      </c>
    </row>
    <row r="914" hidden="1" outlineLevel="1">
      <c r="A914" s="44" t="inlineStr">
        <is>
          <t>secsout</t>
        </is>
      </c>
      <c r="B914" s="3" t="inlineStr">
        <is>
          <t>foo</t>
        </is>
      </c>
      <c r="C914" s="3" t="inlineStr"/>
      <c r="D914" s="3" t="n"/>
      <c r="E914" s="3" t="n"/>
      <c r="H914" s="3" t="inlineStr">
        <is>
          <t>Food &amp; forestry: share of output</t>
        </is>
      </c>
      <c r="I914" s="3" t="inlineStr">
        <is>
          <t>fraction</t>
        </is>
      </c>
      <c r="J914" s="118" t="inlineStr">
        <is>
          <t>IO_GTAP (legacy I:K 3285-3296)</t>
        </is>
      </c>
      <c r="K914" s="9" t="str">
        <f>LOWER(CtryCode)&amp;".distn."&amp;$A914&amp;IF($B914="","","."&amp;$B914)&amp;IF($C914="","",".dec."&amp;$C914)&amp;"."&amp;K$5</f>
        <v>egy.distn.secsout.foo.1</v>
      </c>
      <c r="L914" s="224">
        <f>IFERROR(SUMIF(DSecCpat,$B914,DSecOut)/SUM(DSecOut),0)</f>
        <v>0.2281896146141585</v>
      </c>
      <c r="M914" s="225">
        <f t="shared" ref="M914:V914" si="1564">L914</f>
        <v>0.2281896146141585</v>
      </c>
      <c r="N914" s="225">
        <f t="shared" si="1564"/>
        <v>0.2281896146141585</v>
      </c>
      <c r="O914" s="225">
        <f t="shared" si="1564"/>
        <v>0.2281896146141585</v>
      </c>
      <c r="P914" s="225">
        <f t="shared" si="1564"/>
        <v>0.2281896146141585</v>
      </c>
      <c r="Q914" s="225">
        <f t="shared" si="1564"/>
        <v>0.2281896146141585</v>
      </c>
      <c r="R914" s="225">
        <f t="shared" si="1564"/>
        <v>0.2281896146141585</v>
      </c>
      <c r="S914" s="225">
        <f t="shared" si="1564"/>
        <v>0.2281896146141585</v>
      </c>
      <c r="T914" s="225">
        <f t="shared" si="1564"/>
        <v>0.2281896146141585</v>
      </c>
      <c r="U914" s="225">
        <f t="shared" si="1564"/>
        <v>0.2281896146141585</v>
      </c>
      <c r="V914" s="225">
        <f t="shared" si="1564"/>
        <v>0.2281896146141585</v>
      </c>
      <c r="W914" s="201" t="str">
        <f>IF(X$5=K$5,SUM(Y914:AI914)-SUM(L914:V914),"")</f>
        <v/>
      </c>
      <c r="X914" s="9" t="str">
        <f>LOWER(CtryCode)&amp;".distn."&amp;$A914&amp;IF($B914="","","."&amp;$B914)&amp;IF($C914="","",".dec."&amp;$C914)&amp;"."&amp;X$5</f>
        <v>egy.distn.secsout.foo.2</v>
      </c>
      <c r="Y914" s="224">
        <f>IFERROR(SUMIF(DSecCpat,$B914,DSecOut)/SUM(DSecOut),0)</f>
        <v>0.2281896146141585</v>
      </c>
      <c r="Z914" s="225">
        <f t="shared" ref="Z914:AI914" si="1565">Y914</f>
        <v>0.2281896146141585</v>
      </c>
      <c r="AA914" s="225">
        <f t="shared" si="1565"/>
        <v>0.2281896146141585</v>
      </c>
      <c r="AB914" s="225">
        <f t="shared" si="1565"/>
        <v>0.2281896146141585</v>
      </c>
      <c r="AC914" s="225">
        <f t="shared" si="1565"/>
        <v>0.2281896146141585</v>
      </c>
      <c r="AD914" s="225">
        <f t="shared" si="1565"/>
        <v>0.2281896146141585</v>
      </c>
      <c r="AE914" s="225">
        <f t="shared" si="1565"/>
        <v>0.2281896146141585</v>
      </c>
      <c r="AF914" s="225">
        <f t="shared" si="1565"/>
        <v>0.2281896146141585</v>
      </c>
      <c r="AG914" s="225">
        <f t="shared" si="1565"/>
        <v>0.2281896146141585</v>
      </c>
      <c r="AH914" s="225">
        <f t="shared" si="1565"/>
        <v>0.2281896146141585</v>
      </c>
      <c r="AI914" s="225">
        <f t="shared" si="1565"/>
        <v>0.2281896146141585</v>
      </c>
    </row>
    <row r="915" hidden="1" outlineLevel="1">
      <c r="A915" s="44" t="inlineStr">
        <is>
          <t>secsout</t>
        </is>
      </c>
      <c r="B915" s="3" t="inlineStr">
        <is>
          <t>srv</t>
        </is>
      </c>
      <c r="C915" s="3" t="inlineStr"/>
      <c r="D915" s="3" t="n"/>
      <c r="E915" s="3" t="n"/>
      <c r="H915" s="3" t="inlineStr">
        <is>
          <t>Services (public &amp; private): share of output</t>
        </is>
      </c>
      <c r="I915" s="3" t="inlineStr">
        <is>
          <t>fraction</t>
        </is>
      </c>
      <c r="J915" s="118" t="inlineStr">
        <is>
          <t>IO_GTAP (legacy I:K 3285-3296)</t>
        </is>
      </c>
      <c r="K915" s="9" t="str">
        <f>LOWER(CtryCode)&amp;".distn."&amp;$A915&amp;IF($B915="","","."&amp;$B915)&amp;IF($C915="","",".dec."&amp;$C915)&amp;"."&amp;K$5</f>
        <v>egy.distn.secsout.srv.1</v>
      </c>
      <c r="L915" s="224">
        <f>IFERROR(SUMIF(DSecCpat,$B915,DSecOut)/SUM(DSecOut),0)</f>
        <v>0.3236316533543796</v>
      </c>
      <c r="M915" s="225">
        <f t="shared" ref="M915:V915" si="1566">L915</f>
        <v>0.3236316533543796</v>
      </c>
      <c r="N915" s="225">
        <f t="shared" si="1566"/>
        <v>0.3236316533543796</v>
      </c>
      <c r="O915" s="225">
        <f t="shared" si="1566"/>
        <v>0.3236316533543796</v>
      </c>
      <c r="P915" s="225">
        <f t="shared" si="1566"/>
        <v>0.3236316533543796</v>
      </c>
      <c r="Q915" s="225">
        <f t="shared" si="1566"/>
        <v>0.3236316533543796</v>
      </c>
      <c r="R915" s="225">
        <f t="shared" si="1566"/>
        <v>0.3236316533543796</v>
      </c>
      <c r="S915" s="225">
        <f t="shared" si="1566"/>
        <v>0.3236316533543796</v>
      </c>
      <c r="T915" s="225">
        <f t="shared" si="1566"/>
        <v>0.3236316533543796</v>
      </c>
      <c r="U915" s="225">
        <f t="shared" si="1566"/>
        <v>0.3236316533543796</v>
      </c>
      <c r="V915" s="225">
        <f t="shared" si="1566"/>
        <v>0.3236316533543796</v>
      </c>
      <c r="W915" s="201" t="str">
        <f>IF(X$5=K$5,SUM(Y915:AI915)-SUM(L915:V915),"")</f>
        <v/>
      </c>
      <c r="X915" s="9" t="str">
        <f>LOWER(CtryCode)&amp;".distn."&amp;$A915&amp;IF($B915="","","."&amp;$B915)&amp;IF($C915="","",".dec."&amp;$C915)&amp;"."&amp;X$5</f>
        <v>egy.distn.secsout.srv.2</v>
      </c>
      <c r="Y915" s="224">
        <f>IFERROR(SUMIF(DSecCpat,$B915,DSecOut)/SUM(DSecOut),0)</f>
        <v>0.3236316533543796</v>
      </c>
      <c r="Z915" s="225">
        <f t="shared" ref="Z915:AI915" si="1567">Y915</f>
        <v>0.3236316533543796</v>
      </c>
      <c r="AA915" s="225">
        <f t="shared" si="1567"/>
        <v>0.3236316533543796</v>
      </c>
      <c r="AB915" s="225">
        <f t="shared" si="1567"/>
        <v>0.3236316533543796</v>
      </c>
      <c r="AC915" s="225">
        <f t="shared" si="1567"/>
        <v>0.3236316533543796</v>
      </c>
      <c r="AD915" s="225">
        <f t="shared" si="1567"/>
        <v>0.3236316533543796</v>
      </c>
      <c r="AE915" s="225">
        <f t="shared" si="1567"/>
        <v>0.3236316533543796</v>
      </c>
      <c r="AF915" s="225">
        <f t="shared" si="1567"/>
        <v>0.3236316533543796</v>
      </c>
      <c r="AG915" s="225">
        <f t="shared" si="1567"/>
        <v>0.3236316533543796</v>
      </c>
      <c r="AH915" s="225">
        <f t="shared" si="1567"/>
        <v>0.3236316533543796</v>
      </c>
      <c r="AI915" s="225">
        <f t="shared" si="1567"/>
        <v>0.3236316533543796</v>
      </c>
    </row>
    <row r="916" hidden="1" outlineLevel="1">
      <c r="A916" s="44" t="inlineStr">
        <is>
          <t>secsout</t>
        </is>
      </c>
      <c r="B916" s="3" t="inlineStr">
        <is>
          <t>mch</t>
        </is>
      </c>
      <c r="C916" s="3" t="inlineStr"/>
      <c r="D916" s="3" t="n"/>
      <c r="E916" s="3" t="n"/>
      <c r="H916" s="3" t="inlineStr">
        <is>
          <t>Mining &amp; Chemicals: share of output</t>
        </is>
      </c>
      <c r="I916" s="3" t="inlineStr">
        <is>
          <t>fraction</t>
        </is>
      </c>
      <c r="J916" s="118" t="inlineStr">
        <is>
          <t>IO_GTAP (legacy I:K 3285-3296)</t>
        </is>
      </c>
      <c r="K916" s="9" t="str">
        <f>LOWER(CtryCode)&amp;".distn."&amp;$A916&amp;IF($B916="","","."&amp;$B916)&amp;IF($C916="","",".dec."&amp;$C916)&amp;"."&amp;K$5</f>
        <v>egy.distn.secsout.mch.1</v>
      </c>
      <c r="L916" s="224">
        <f>IFERROR(SUMIF(DSecCpat,$B916,DSecOut)/SUM(DSecOut),0)</f>
        <v>0.028405347434109385</v>
      </c>
      <c r="M916" s="225">
        <f t="shared" ref="M916:V916" si="1568">L916</f>
        <v>0.028405347434109385</v>
      </c>
      <c r="N916" s="225">
        <f t="shared" si="1568"/>
        <v>0.028405347434109385</v>
      </c>
      <c r="O916" s="225">
        <f t="shared" si="1568"/>
        <v>0.028405347434109385</v>
      </c>
      <c r="P916" s="225">
        <f t="shared" si="1568"/>
        <v>0.028405347434109385</v>
      </c>
      <c r="Q916" s="225">
        <f t="shared" si="1568"/>
        <v>0.028405347434109385</v>
      </c>
      <c r="R916" s="225">
        <f t="shared" si="1568"/>
        <v>0.028405347434109385</v>
      </c>
      <c r="S916" s="225">
        <f t="shared" si="1568"/>
        <v>0.028405347434109385</v>
      </c>
      <c r="T916" s="225">
        <f t="shared" si="1568"/>
        <v>0.028405347434109385</v>
      </c>
      <c r="U916" s="225">
        <f t="shared" si="1568"/>
        <v>0.028405347434109385</v>
      </c>
      <c r="V916" s="225">
        <f t="shared" si="1568"/>
        <v>0.028405347434109385</v>
      </c>
      <c r="W916" s="201" t="str">
        <f>IF(X$5=K$5,SUM(Y916:AI916)-SUM(L916:V916),"")</f>
        <v/>
      </c>
      <c r="X916" s="9" t="str">
        <f>LOWER(CtryCode)&amp;".distn."&amp;$A916&amp;IF($B916="","","."&amp;$B916)&amp;IF($C916="","",".dec."&amp;$C916)&amp;"."&amp;X$5</f>
        <v>egy.distn.secsout.mch.2</v>
      </c>
      <c r="Y916" s="224">
        <f>IFERROR(SUMIF(DSecCpat,$B916,DSecOut)/SUM(DSecOut),0)</f>
        <v>0.028405347434109385</v>
      </c>
      <c r="Z916" s="225">
        <f t="shared" ref="Z916:AI916" si="1569">Y916</f>
        <v>0.028405347434109385</v>
      </c>
      <c r="AA916" s="225">
        <f t="shared" si="1569"/>
        <v>0.028405347434109385</v>
      </c>
      <c r="AB916" s="225">
        <f t="shared" si="1569"/>
        <v>0.028405347434109385</v>
      </c>
      <c r="AC916" s="225">
        <f t="shared" si="1569"/>
        <v>0.028405347434109385</v>
      </c>
      <c r="AD916" s="225">
        <f t="shared" si="1569"/>
        <v>0.028405347434109385</v>
      </c>
      <c r="AE916" s="225">
        <f t="shared" si="1569"/>
        <v>0.028405347434109385</v>
      </c>
      <c r="AF916" s="225">
        <f t="shared" si="1569"/>
        <v>0.028405347434109385</v>
      </c>
      <c r="AG916" s="225">
        <f t="shared" si="1569"/>
        <v>0.028405347434109385</v>
      </c>
      <c r="AH916" s="225">
        <f t="shared" si="1569"/>
        <v>0.028405347434109385</v>
      </c>
      <c r="AI916" s="225">
        <f t="shared" si="1569"/>
        <v>0.028405347434109385</v>
      </c>
    </row>
    <row r="917" hidden="1" outlineLevel="1">
      <c r="A917" s="44" t="inlineStr">
        <is>
          <t>secsout</t>
        </is>
      </c>
      <c r="B917" s="3" t="inlineStr">
        <is>
          <t>irn</t>
        </is>
      </c>
      <c r="C917" s="3" t="inlineStr"/>
      <c r="D917" s="3" t="n"/>
      <c r="E917" s="3" t="n"/>
      <c r="H917" s="3" t="inlineStr">
        <is>
          <t>Iron and steel: share of output</t>
        </is>
      </c>
      <c r="I917" s="3" t="inlineStr">
        <is>
          <t>fraction</t>
        </is>
      </c>
      <c r="J917" s="118" t="inlineStr">
        <is>
          <t>IO_GTAP (legacy I:K 3285-3296)</t>
        </is>
      </c>
      <c r="K917" s="9" t="str">
        <f>LOWER(CtryCode)&amp;".distn."&amp;$A917&amp;IF($B917="","","."&amp;$B917)&amp;IF($C917="","",".dec."&amp;$C917)&amp;"."&amp;K$5</f>
        <v>egy.distn.secsout.irn.1</v>
      </c>
      <c r="L917" s="224">
        <f>IFERROR(SUMIF(DSecCpat,$B917,DSecOut)/SUM(DSecOut),0)</f>
        <v>0.006129484476679629</v>
      </c>
      <c r="M917" s="225">
        <f t="shared" ref="M917:V917" si="1570">L917</f>
        <v>0.006129484476679629</v>
      </c>
      <c r="N917" s="225">
        <f t="shared" si="1570"/>
        <v>0.006129484476679629</v>
      </c>
      <c r="O917" s="225">
        <f t="shared" si="1570"/>
        <v>0.006129484476679629</v>
      </c>
      <c r="P917" s="225">
        <f t="shared" si="1570"/>
        <v>0.006129484476679629</v>
      </c>
      <c r="Q917" s="225">
        <f t="shared" si="1570"/>
        <v>0.006129484476679629</v>
      </c>
      <c r="R917" s="225">
        <f t="shared" si="1570"/>
        <v>0.006129484476679629</v>
      </c>
      <c r="S917" s="225">
        <f t="shared" si="1570"/>
        <v>0.006129484476679629</v>
      </c>
      <c r="T917" s="225">
        <f t="shared" si="1570"/>
        <v>0.006129484476679629</v>
      </c>
      <c r="U917" s="225">
        <f t="shared" si="1570"/>
        <v>0.006129484476679629</v>
      </c>
      <c r="V917" s="225">
        <f t="shared" si="1570"/>
        <v>0.006129484476679629</v>
      </c>
      <c r="W917" s="201" t="str">
        <f>IF(X$5=K$5,SUM(Y917:AI917)-SUM(L917:V917),"")</f>
        <v/>
      </c>
      <c r="X917" s="9" t="str">
        <f>LOWER(CtryCode)&amp;".distn."&amp;$A917&amp;IF($B917="","","."&amp;$B917)&amp;IF($C917="","",".dec."&amp;$C917)&amp;"."&amp;X$5</f>
        <v>egy.distn.secsout.irn.2</v>
      </c>
      <c r="Y917" s="224">
        <f>IFERROR(SUMIF(DSecCpat,$B917,DSecOut)/SUM(DSecOut),0)</f>
        <v>0.006129484476679629</v>
      </c>
      <c r="Z917" s="225">
        <f t="shared" ref="Z917:AI917" si="1571">Y917</f>
        <v>0.006129484476679629</v>
      </c>
      <c r="AA917" s="225">
        <f t="shared" si="1571"/>
        <v>0.006129484476679629</v>
      </c>
      <c r="AB917" s="225">
        <f t="shared" si="1571"/>
        <v>0.006129484476679629</v>
      </c>
      <c r="AC917" s="225">
        <f t="shared" si="1571"/>
        <v>0.006129484476679629</v>
      </c>
      <c r="AD917" s="225">
        <f t="shared" si="1571"/>
        <v>0.006129484476679629</v>
      </c>
      <c r="AE917" s="225">
        <f t="shared" si="1571"/>
        <v>0.006129484476679629</v>
      </c>
      <c r="AF917" s="225">
        <f t="shared" si="1571"/>
        <v>0.006129484476679629</v>
      </c>
      <c r="AG917" s="225">
        <f t="shared" si="1571"/>
        <v>0.006129484476679629</v>
      </c>
      <c r="AH917" s="225">
        <f t="shared" si="1571"/>
        <v>0.006129484476679629</v>
      </c>
      <c r="AI917" s="225">
        <f t="shared" si="1571"/>
        <v>0.006129484476679629</v>
      </c>
    </row>
    <row r="918" hidden="1" outlineLevel="1">
      <c r="A918" s="44" t="inlineStr">
        <is>
          <t>secsout</t>
        </is>
      </c>
      <c r="B918" s="3" t="inlineStr">
        <is>
          <t>nfm</t>
        </is>
      </c>
      <c r="C918" s="3" t="inlineStr"/>
      <c r="D918" s="3" t="n"/>
      <c r="E918" s="3" t="n"/>
      <c r="H918" s="3" t="inlineStr">
        <is>
          <t>Non-ferrous metals: share of output</t>
        </is>
      </c>
      <c r="I918" s="3" t="inlineStr">
        <is>
          <t>fraction</t>
        </is>
      </c>
      <c r="J918" s="118" t="inlineStr">
        <is>
          <t>IO_GTAP (legacy I:K 3285-3296)</t>
        </is>
      </c>
      <c r="K918" s="9" t="str">
        <f>LOWER(CtryCode)&amp;".distn."&amp;$A918&amp;IF($B918="","","."&amp;$B918)&amp;IF($C918="","",".dec."&amp;$C918)&amp;"."&amp;K$5</f>
        <v>egy.distn.secsout.nfm.1</v>
      </c>
      <c r="L918" s="224">
        <f>IFERROR(SUMIF(DSecCpat,$B918,DSecOut)/SUM(DSecOut),0)</f>
        <v>0.010574453681699382</v>
      </c>
      <c r="M918" s="225">
        <f t="shared" ref="M918:V918" si="1572">L918</f>
        <v>0.010574453681699382</v>
      </c>
      <c r="N918" s="225">
        <f t="shared" si="1572"/>
        <v>0.010574453681699382</v>
      </c>
      <c r="O918" s="225">
        <f t="shared" si="1572"/>
        <v>0.010574453681699382</v>
      </c>
      <c r="P918" s="225">
        <f t="shared" si="1572"/>
        <v>0.010574453681699382</v>
      </c>
      <c r="Q918" s="225">
        <f t="shared" si="1572"/>
        <v>0.010574453681699382</v>
      </c>
      <c r="R918" s="225">
        <f t="shared" si="1572"/>
        <v>0.010574453681699382</v>
      </c>
      <c r="S918" s="225">
        <f t="shared" si="1572"/>
        <v>0.010574453681699382</v>
      </c>
      <c r="T918" s="225">
        <f t="shared" si="1572"/>
        <v>0.010574453681699382</v>
      </c>
      <c r="U918" s="225">
        <f t="shared" si="1572"/>
        <v>0.010574453681699382</v>
      </c>
      <c r="V918" s="225">
        <f t="shared" si="1572"/>
        <v>0.010574453681699382</v>
      </c>
      <c r="W918" s="201" t="str">
        <f>IF(X$5=K$5,SUM(Y918:AI918)-SUM(L918:V918),"")</f>
        <v/>
      </c>
      <c r="X918" s="9" t="str">
        <f>LOWER(CtryCode)&amp;".distn."&amp;$A918&amp;IF($B918="","","."&amp;$B918)&amp;IF($C918="","",".dec."&amp;$C918)&amp;"."&amp;X$5</f>
        <v>egy.distn.secsout.nfm.2</v>
      </c>
      <c r="Y918" s="224">
        <f>IFERROR(SUMIF(DSecCpat,$B918,DSecOut)/SUM(DSecOut),0)</f>
        <v>0.010574453681699382</v>
      </c>
      <c r="Z918" s="225">
        <f t="shared" ref="Z918:AI918" si="1573">Y918</f>
        <v>0.010574453681699382</v>
      </c>
      <c r="AA918" s="225">
        <f t="shared" si="1573"/>
        <v>0.010574453681699382</v>
      </c>
      <c r="AB918" s="225">
        <f t="shared" si="1573"/>
        <v>0.010574453681699382</v>
      </c>
      <c r="AC918" s="225">
        <f t="shared" si="1573"/>
        <v>0.010574453681699382</v>
      </c>
      <c r="AD918" s="225">
        <f t="shared" si="1573"/>
        <v>0.010574453681699382</v>
      </c>
      <c r="AE918" s="225">
        <f t="shared" si="1573"/>
        <v>0.010574453681699382</v>
      </c>
      <c r="AF918" s="225">
        <f t="shared" si="1573"/>
        <v>0.010574453681699382</v>
      </c>
      <c r="AG918" s="225">
        <f t="shared" si="1573"/>
        <v>0.010574453681699382</v>
      </c>
      <c r="AH918" s="225">
        <f t="shared" si="1573"/>
        <v>0.010574453681699382</v>
      </c>
      <c r="AI918" s="225">
        <f t="shared" si="1573"/>
        <v>0.010574453681699382</v>
      </c>
    </row>
    <row r="919" hidden="1" outlineLevel="1">
      <c r="A919" s="44" t="inlineStr">
        <is>
          <t>secsout</t>
        </is>
      </c>
      <c r="B919" s="3" t="inlineStr">
        <is>
          <t>mac</t>
        </is>
      </c>
      <c r="C919" s="3" t="inlineStr"/>
      <c r="D919" s="3" t="n"/>
      <c r="E919" s="3" t="n"/>
      <c r="H919" s="3" t="inlineStr">
        <is>
          <t>Machinery: share of output</t>
        </is>
      </c>
      <c r="I919" s="3" t="inlineStr">
        <is>
          <t>fraction</t>
        </is>
      </c>
      <c r="J919" s="118" t="inlineStr">
        <is>
          <t>IO_GTAP (legacy I:K 3285-3296)</t>
        </is>
      </c>
      <c r="K919" s="9" t="str">
        <f>LOWER(CtryCode)&amp;".distn."&amp;$A919&amp;IF($B919="","","."&amp;$B919)&amp;IF($C919="","",".dec."&amp;$C919)&amp;"."&amp;K$5</f>
        <v>egy.distn.secsout.mac.1</v>
      </c>
      <c r="L919" s="224">
        <f>IFERROR(SUMIF(DSecCpat,$B919,DSecOut)/SUM(DSecOut),0)</f>
        <v>0.046332466551659575</v>
      </c>
      <c r="M919" s="225">
        <f t="shared" ref="M919:V919" si="1574">L919</f>
        <v>0.046332466551659575</v>
      </c>
      <c r="N919" s="225">
        <f t="shared" si="1574"/>
        <v>0.046332466551659575</v>
      </c>
      <c r="O919" s="225">
        <f t="shared" si="1574"/>
        <v>0.046332466551659575</v>
      </c>
      <c r="P919" s="225">
        <f t="shared" si="1574"/>
        <v>0.046332466551659575</v>
      </c>
      <c r="Q919" s="225">
        <f t="shared" si="1574"/>
        <v>0.046332466551659575</v>
      </c>
      <c r="R919" s="225">
        <f t="shared" si="1574"/>
        <v>0.046332466551659575</v>
      </c>
      <c r="S919" s="225">
        <f t="shared" si="1574"/>
        <v>0.046332466551659575</v>
      </c>
      <c r="T919" s="225">
        <f t="shared" si="1574"/>
        <v>0.046332466551659575</v>
      </c>
      <c r="U919" s="225">
        <f t="shared" si="1574"/>
        <v>0.046332466551659575</v>
      </c>
      <c r="V919" s="225">
        <f t="shared" si="1574"/>
        <v>0.046332466551659575</v>
      </c>
      <c r="W919" s="201" t="str">
        <f>IF(X$5=K$5,SUM(Y919:AI919)-SUM(L919:V919),"")</f>
        <v/>
      </c>
      <c r="X919" s="9" t="str">
        <f>LOWER(CtryCode)&amp;".distn."&amp;$A919&amp;IF($B919="","","."&amp;$B919)&amp;IF($C919="","",".dec."&amp;$C919)&amp;"."&amp;X$5</f>
        <v>egy.distn.secsout.mac.2</v>
      </c>
      <c r="Y919" s="224">
        <f>IFERROR(SUMIF(DSecCpat,$B919,DSecOut)/SUM(DSecOut),0)</f>
        <v>0.046332466551659575</v>
      </c>
      <c r="Z919" s="225">
        <f t="shared" ref="Z919:AI919" si="1575">Y919</f>
        <v>0.046332466551659575</v>
      </c>
      <c r="AA919" s="225">
        <f t="shared" si="1575"/>
        <v>0.046332466551659575</v>
      </c>
      <c r="AB919" s="225">
        <f t="shared" si="1575"/>
        <v>0.046332466551659575</v>
      </c>
      <c r="AC919" s="225">
        <f t="shared" si="1575"/>
        <v>0.046332466551659575</v>
      </c>
      <c r="AD919" s="225">
        <f t="shared" si="1575"/>
        <v>0.046332466551659575</v>
      </c>
      <c r="AE919" s="225">
        <f t="shared" si="1575"/>
        <v>0.046332466551659575</v>
      </c>
      <c r="AF919" s="225">
        <f t="shared" si="1575"/>
        <v>0.046332466551659575</v>
      </c>
      <c r="AG919" s="225">
        <f t="shared" si="1575"/>
        <v>0.046332466551659575</v>
      </c>
      <c r="AH919" s="225">
        <f t="shared" si="1575"/>
        <v>0.046332466551659575</v>
      </c>
      <c r="AI919" s="225">
        <f t="shared" si="1575"/>
        <v>0.046332466551659575</v>
      </c>
    </row>
    <row r="920" hidden="1" outlineLevel="1">
      <c r="A920" s="44" t="inlineStr">
        <is>
          <t>secsout</t>
        </is>
      </c>
      <c r="B920" s="3" t="inlineStr">
        <is>
          <t>cem</t>
        </is>
      </c>
      <c r="C920" s="3" t="inlineStr"/>
      <c r="D920" s="3" t="n"/>
      <c r="E920" s="3" t="n"/>
      <c r="H920" s="3" t="inlineStr">
        <is>
          <t>Cement: share of output</t>
        </is>
      </c>
      <c r="I920" s="3" t="inlineStr">
        <is>
          <t>fraction</t>
        </is>
      </c>
      <c r="J920" s="118" t="inlineStr">
        <is>
          <t>IO_GTAP (legacy I:K 3285-3296)</t>
        </is>
      </c>
      <c r="K920" s="9" t="str">
        <f>LOWER(CtryCode)&amp;".distn."&amp;$A920&amp;IF($B920="","","."&amp;$B920)&amp;IF($C920="","",".dec."&amp;$C920)&amp;"."&amp;K$5</f>
        <v>egy.distn.secsout.cem.1</v>
      </c>
      <c r="L920" s="224">
        <f>IFERROR(SUMIF(DSecCpat,$B920,DSecOut)/SUM(DSecOut),0)</f>
        <v>0.022718804459271786</v>
      </c>
      <c r="M920" s="225">
        <f t="shared" ref="M920:V920" si="1576">L920</f>
        <v>0.022718804459271786</v>
      </c>
      <c r="N920" s="225">
        <f t="shared" si="1576"/>
        <v>0.022718804459271786</v>
      </c>
      <c r="O920" s="225">
        <f t="shared" si="1576"/>
        <v>0.022718804459271786</v>
      </c>
      <c r="P920" s="225">
        <f t="shared" si="1576"/>
        <v>0.022718804459271786</v>
      </c>
      <c r="Q920" s="225">
        <f t="shared" si="1576"/>
        <v>0.022718804459271786</v>
      </c>
      <c r="R920" s="225">
        <f t="shared" si="1576"/>
        <v>0.022718804459271786</v>
      </c>
      <c r="S920" s="225">
        <f t="shared" si="1576"/>
        <v>0.022718804459271786</v>
      </c>
      <c r="T920" s="225">
        <f t="shared" si="1576"/>
        <v>0.022718804459271786</v>
      </c>
      <c r="U920" s="225">
        <f t="shared" si="1576"/>
        <v>0.022718804459271786</v>
      </c>
      <c r="V920" s="225">
        <f t="shared" si="1576"/>
        <v>0.022718804459271786</v>
      </c>
      <c r="W920" s="201" t="str">
        <f>IF(X$5=K$5,SUM(Y920:AI920)-SUM(L920:V920),"")</f>
        <v/>
      </c>
      <c r="X920" s="9" t="str">
        <f>LOWER(CtryCode)&amp;".distn."&amp;$A920&amp;IF($B920="","","."&amp;$B920)&amp;IF($C920="","",".dec."&amp;$C920)&amp;"."&amp;X$5</f>
        <v>egy.distn.secsout.cem.2</v>
      </c>
      <c r="Y920" s="224">
        <f>IFERROR(SUMIF(DSecCpat,$B920,DSecOut)/SUM(DSecOut),0)</f>
        <v>0.022718804459271786</v>
      </c>
      <c r="Z920" s="225">
        <f t="shared" ref="Z920:AI920" si="1577">Y920</f>
        <v>0.022718804459271786</v>
      </c>
      <c r="AA920" s="225">
        <f t="shared" si="1577"/>
        <v>0.022718804459271786</v>
      </c>
      <c r="AB920" s="225">
        <f t="shared" si="1577"/>
        <v>0.022718804459271786</v>
      </c>
      <c r="AC920" s="225">
        <f t="shared" si="1577"/>
        <v>0.022718804459271786</v>
      </c>
      <c r="AD920" s="225">
        <f t="shared" si="1577"/>
        <v>0.022718804459271786</v>
      </c>
      <c r="AE920" s="225">
        <f t="shared" si="1577"/>
        <v>0.022718804459271786</v>
      </c>
      <c r="AF920" s="225">
        <f t="shared" si="1577"/>
        <v>0.022718804459271786</v>
      </c>
      <c r="AG920" s="225">
        <f t="shared" si="1577"/>
        <v>0.022718804459271786</v>
      </c>
      <c r="AH920" s="225">
        <f t="shared" si="1577"/>
        <v>0.022718804459271786</v>
      </c>
      <c r="AI920" s="225">
        <f t="shared" si="1577"/>
        <v>0.022718804459271786</v>
      </c>
    </row>
    <row r="921" hidden="1" outlineLevel="1">
      <c r="A921" s="44" t="inlineStr">
        <is>
          <t>secsout</t>
        </is>
      </c>
      <c r="B921" s="3" t="inlineStr">
        <is>
          <t>omn</t>
        </is>
      </c>
      <c r="C921" s="3" t="inlineStr"/>
      <c r="D921" s="3" t="n"/>
      <c r="E921" s="3" t="n"/>
      <c r="H921" s="3" t="inlineStr">
        <is>
          <t>Other manufacturing: share of output</t>
        </is>
      </c>
      <c r="I921" s="3" t="inlineStr">
        <is>
          <t>fraction</t>
        </is>
      </c>
      <c r="J921" s="118" t="inlineStr">
        <is>
          <t>IO_GTAP (legacy I:K 3285-3296)</t>
        </is>
      </c>
      <c r="K921" s="9" t="str">
        <f>LOWER(CtryCode)&amp;".distn."&amp;$A921&amp;IF($B921="","","."&amp;$B921)&amp;IF($C921="","",".dec."&amp;$C921)&amp;"."&amp;K$5</f>
        <v>egy.distn.secsout.omn.1</v>
      </c>
      <c r="L921" s="224">
        <f>IFERROR(SUMIF(DSecCpat,$B921,DSecOut)/SUM(DSecOut),0)</f>
        <v>0.10851640771578383</v>
      </c>
      <c r="M921" s="225">
        <f t="shared" ref="M921:V921" si="1578">L921</f>
        <v>0.10851640771578383</v>
      </c>
      <c r="N921" s="225">
        <f t="shared" si="1578"/>
        <v>0.10851640771578383</v>
      </c>
      <c r="O921" s="225">
        <f t="shared" si="1578"/>
        <v>0.10851640771578383</v>
      </c>
      <c r="P921" s="225">
        <f t="shared" si="1578"/>
        <v>0.10851640771578383</v>
      </c>
      <c r="Q921" s="225">
        <f t="shared" si="1578"/>
        <v>0.10851640771578383</v>
      </c>
      <c r="R921" s="225">
        <f t="shared" si="1578"/>
        <v>0.10851640771578383</v>
      </c>
      <c r="S921" s="225">
        <f t="shared" si="1578"/>
        <v>0.10851640771578383</v>
      </c>
      <c r="T921" s="225">
        <f t="shared" si="1578"/>
        <v>0.10851640771578383</v>
      </c>
      <c r="U921" s="225">
        <f t="shared" si="1578"/>
        <v>0.10851640771578383</v>
      </c>
      <c r="V921" s="225">
        <f t="shared" si="1578"/>
        <v>0.10851640771578383</v>
      </c>
      <c r="W921" s="201" t="str">
        <f>IF(X$5=K$5,SUM(Y921:AI921)-SUM(L921:V921),"")</f>
        <v/>
      </c>
      <c r="X921" s="9" t="str">
        <f>LOWER(CtryCode)&amp;".distn."&amp;$A921&amp;IF($B921="","","."&amp;$B921)&amp;IF($C921="","",".dec."&amp;$C921)&amp;"."&amp;X$5</f>
        <v>egy.distn.secsout.omn.2</v>
      </c>
      <c r="Y921" s="224">
        <f>IFERROR(SUMIF(DSecCpat,$B921,DSecOut)/SUM(DSecOut),0)</f>
        <v>0.10851640771578383</v>
      </c>
      <c r="Z921" s="225">
        <f t="shared" ref="Z921:AI921" si="1579">Y921</f>
        <v>0.10851640771578383</v>
      </c>
      <c r="AA921" s="225">
        <f t="shared" si="1579"/>
        <v>0.10851640771578383</v>
      </c>
      <c r="AB921" s="225">
        <f t="shared" si="1579"/>
        <v>0.10851640771578383</v>
      </c>
      <c r="AC921" s="225">
        <f t="shared" si="1579"/>
        <v>0.10851640771578383</v>
      </c>
      <c r="AD921" s="225">
        <f t="shared" si="1579"/>
        <v>0.10851640771578383</v>
      </c>
      <c r="AE921" s="225">
        <f t="shared" si="1579"/>
        <v>0.10851640771578383</v>
      </c>
      <c r="AF921" s="225">
        <f t="shared" si="1579"/>
        <v>0.10851640771578383</v>
      </c>
      <c r="AG921" s="225">
        <f t="shared" si="1579"/>
        <v>0.10851640771578383</v>
      </c>
      <c r="AH921" s="225">
        <f t="shared" si="1579"/>
        <v>0.10851640771578383</v>
      </c>
      <c r="AI921" s="225">
        <f t="shared" si="1579"/>
        <v>0.10851640771578383</v>
      </c>
    </row>
    <row r="922" hidden="1" outlineLevel="1">
      <c r="A922" s="44" t="inlineStr">
        <is>
          <t>secsout</t>
        </is>
      </c>
      <c r="B922" s="3" t="inlineStr">
        <is>
          <t>cst</t>
        </is>
      </c>
      <c r="C922" s="3" t="inlineStr"/>
      <c r="D922" s="3" t="n"/>
      <c r="E922" s="3" t="n"/>
      <c r="H922" s="3" t="inlineStr">
        <is>
          <t>Construction: share of output</t>
        </is>
      </c>
      <c r="I922" s="3" t="inlineStr">
        <is>
          <t>fraction</t>
        </is>
      </c>
      <c r="J922" s="118" t="inlineStr">
        <is>
          <t>IO_GTAP (legacy I:K 3285-3296)</t>
        </is>
      </c>
      <c r="K922" s="9" t="str">
        <f>LOWER(CtryCode)&amp;".distn."&amp;$A922&amp;IF($B922="","","."&amp;$B922)&amp;IF($C922="","",".dec."&amp;$C922)&amp;"."&amp;K$5</f>
        <v>egy.distn.secsout.cst.1</v>
      </c>
      <c r="L922" s="224">
        <f>IFERROR(SUMIF(DSecCpat,$B922,DSecOut)/SUM(DSecOut),0)</f>
        <v>0.05800649692879321</v>
      </c>
      <c r="M922" s="225">
        <f t="shared" ref="M922:V922" si="1580">L922</f>
        <v>0.05800649692879321</v>
      </c>
      <c r="N922" s="225">
        <f t="shared" si="1580"/>
        <v>0.05800649692879321</v>
      </c>
      <c r="O922" s="225">
        <f t="shared" si="1580"/>
        <v>0.05800649692879321</v>
      </c>
      <c r="P922" s="225">
        <f t="shared" si="1580"/>
        <v>0.05800649692879321</v>
      </c>
      <c r="Q922" s="225">
        <f t="shared" si="1580"/>
        <v>0.05800649692879321</v>
      </c>
      <c r="R922" s="225">
        <f t="shared" si="1580"/>
        <v>0.05800649692879321</v>
      </c>
      <c r="S922" s="225">
        <f t="shared" si="1580"/>
        <v>0.05800649692879321</v>
      </c>
      <c r="T922" s="225">
        <f t="shared" si="1580"/>
        <v>0.05800649692879321</v>
      </c>
      <c r="U922" s="225">
        <f t="shared" si="1580"/>
        <v>0.05800649692879321</v>
      </c>
      <c r="V922" s="225">
        <f t="shared" si="1580"/>
        <v>0.05800649692879321</v>
      </c>
      <c r="W922" s="201" t="str">
        <f>IF(X$5=K$5,SUM(Y922:AI922)-SUM(L922:V922),"")</f>
        <v/>
      </c>
      <c r="X922" s="9" t="str">
        <f>LOWER(CtryCode)&amp;".distn."&amp;$A922&amp;IF($B922="","","."&amp;$B922)&amp;IF($C922="","",".dec."&amp;$C922)&amp;"."&amp;X$5</f>
        <v>egy.distn.secsout.cst.2</v>
      </c>
      <c r="Y922" s="224">
        <f>IFERROR(SUMIF(DSecCpat,$B922,DSecOut)/SUM(DSecOut),0)</f>
        <v>0.05800649692879321</v>
      </c>
      <c r="Z922" s="225">
        <f t="shared" ref="Z922:AI922" si="1581">Y922</f>
        <v>0.05800649692879321</v>
      </c>
      <c r="AA922" s="225">
        <f t="shared" si="1581"/>
        <v>0.05800649692879321</v>
      </c>
      <c r="AB922" s="225">
        <f t="shared" si="1581"/>
        <v>0.05800649692879321</v>
      </c>
      <c r="AC922" s="225">
        <f t="shared" si="1581"/>
        <v>0.05800649692879321</v>
      </c>
      <c r="AD922" s="225">
        <f t="shared" si="1581"/>
        <v>0.05800649692879321</v>
      </c>
      <c r="AE922" s="225">
        <f t="shared" si="1581"/>
        <v>0.05800649692879321</v>
      </c>
      <c r="AF922" s="225">
        <f t="shared" si="1581"/>
        <v>0.05800649692879321</v>
      </c>
      <c r="AG922" s="225">
        <f t="shared" si="1581"/>
        <v>0.05800649692879321</v>
      </c>
      <c r="AH922" s="225">
        <f t="shared" si="1581"/>
        <v>0.05800649692879321</v>
      </c>
      <c r="AI922" s="225">
        <f t="shared" si="1581"/>
        <v>0.05800649692879321</v>
      </c>
    </row>
    <row r="923" hidden="1" outlineLevel="1">
      <c r="A923" s="44" t="inlineStr">
        <is>
          <t>secsout</t>
        </is>
      </c>
      <c r="B923" s="3" t="inlineStr">
        <is>
          <t>ftr</t>
        </is>
      </c>
      <c r="C923" s="3" t="inlineStr"/>
      <c r="D923" s="3" t="n"/>
      <c r="E923" s="3" t="n"/>
      <c r="H923" s="3" t="inlineStr">
        <is>
          <t>Fuel transformation &amp; transportation: share of output</t>
        </is>
      </c>
      <c r="I923" s="3" t="inlineStr">
        <is>
          <t>fraction</t>
        </is>
      </c>
      <c r="J923" s="118" t="inlineStr">
        <is>
          <t>IO_GTAP (legacy I:K 3285-3296)</t>
        </is>
      </c>
      <c r="K923" s="9" t="str">
        <f>LOWER(CtryCode)&amp;".distn."&amp;$A923&amp;IF($B923="","","."&amp;$B923)&amp;IF($C923="","",".dec."&amp;$C923)&amp;"."&amp;K$5</f>
        <v>egy.distn.secsout.ftr.1</v>
      </c>
      <c r="L923" s="224">
        <f>IFERROR(SUMIF(DSecCpat,$B923,DSecOut)/SUM(DSecOut),0)</f>
        <v>0.060863406892349564</v>
      </c>
      <c r="M923" s="225">
        <f t="shared" ref="M923:V923" si="1582">L923</f>
        <v>0.060863406892349564</v>
      </c>
      <c r="N923" s="225">
        <f t="shared" si="1582"/>
        <v>0.060863406892349564</v>
      </c>
      <c r="O923" s="225">
        <f t="shared" si="1582"/>
        <v>0.060863406892349564</v>
      </c>
      <c r="P923" s="225">
        <f t="shared" si="1582"/>
        <v>0.060863406892349564</v>
      </c>
      <c r="Q923" s="225">
        <f t="shared" si="1582"/>
        <v>0.060863406892349564</v>
      </c>
      <c r="R923" s="225">
        <f t="shared" si="1582"/>
        <v>0.060863406892349564</v>
      </c>
      <c r="S923" s="225">
        <f t="shared" si="1582"/>
        <v>0.060863406892349564</v>
      </c>
      <c r="T923" s="225">
        <f t="shared" si="1582"/>
        <v>0.060863406892349564</v>
      </c>
      <c r="U923" s="225">
        <f t="shared" si="1582"/>
        <v>0.060863406892349564</v>
      </c>
      <c r="V923" s="225">
        <f t="shared" si="1582"/>
        <v>0.060863406892349564</v>
      </c>
      <c r="W923" s="201" t="str">
        <f>IF(X$5=K$5,SUM(Y923:AI923)-SUM(L923:V923),"")</f>
        <v/>
      </c>
      <c r="X923" s="9" t="str">
        <f>LOWER(CtryCode)&amp;".distn."&amp;$A923&amp;IF($B923="","","."&amp;$B923)&amp;IF($C923="","",".dec."&amp;$C923)&amp;"."&amp;X$5</f>
        <v>egy.distn.secsout.ftr.2</v>
      </c>
      <c r="Y923" s="224">
        <f>IFERROR(SUMIF(DSecCpat,$B923,DSecOut)/SUM(DSecOut),0)</f>
        <v>0.060863406892349564</v>
      </c>
      <c r="Z923" s="225">
        <f t="shared" ref="Z923:AI923" si="1583">Y923</f>
        <v>0.060863406892349564</v>
      </c>
      <c r="AA923" s="225">
        <f t="shared" si="1583"/>
        <v>0.060863406892349564</v>
      </c>
      <c r="AB923" s="225">
        <f t="shared" si="1583"/>
        <v>0.060863406892349564</v>
      </c>
      <c r="AC923" s="225">
        <f t="shared" si="1583"/>
        <v>0.060863406892349564</v>
      </c>
      <c r="AD923" s="225">
        <f t="shared" si="1583"/>
        <v>0.060863406892349564</v>
      </c>
      <c r="AE923" s="225">
        <f t="shared" si="1583"/>
        <v>0.060863406892349564</v>
      </c>
      <c r="AF923" s="225">
        <f t="shared" si="1583"/>
        <v>0.060863406892349564</v>
      </c>
      <c r="AG923" s="225">
        <f t="shared" si="1583"/>
        <v>0.060863406892349564</v>
      </c>
      <c r="AH923" s="225">
        <f t="shared" si="1583"/>
        <v>0.060863406892349564</v>
      </c>
      <c r="AI923" s="225">
        <f t="shared" si="1583"/>
        <v>0.060863406892349564</v>
      </c>
    </row>
    <row r="924" hidden="1" outlineLevel="1">
      <c r="A924" s="44" t="inlineStr">
        <is>
          <t>secsout</t>
        </is>
      </c>
      <c r="B924" s="3" t="inlineStr">
        <is>
          <t>res</t>
        </is>
      </c>
      <c r="C924" s="3" t="inlineStr"/>
      <c r="D924" s="3" t="n"/>
      <c r="E924" s="3" t="n"/>
      <c r="H924" s="3" t="inlineStr">
        <is>
          <t>Residential sector: share of output</t>
        </is>
      </c>
      <c r="I924" s="3" t="inlineStr">
        <is>
          <t>fraction</t>
        </is>
      </c>
      <c r="J924" s="118" t="inlineStr">
        <is>
          <t>IO_GTAP (legacy I:K 3285-3296)</t>
        </is>
      </c>
      <c r="K924" s="9" t="str">
        <f>LOWER(CtryCode)&amp;".distn."&amp;$A924&amp;IF($B924="","","."&amp;$B924)&amp;IF($C924="","",".dec."&amp;$C924)&amp;"."&amp;K$5</f>
        <v>egy.distn.secsout.res.1</v>
      </c>
      <c r="L924" s="224">
        <f>IFERROR(SUMIF(DSecCpat,$B924,DSecOut)/SUM(DSecOut),0)</f>
        <v>0.0262889425639964</v>
      </c>
      <c r="M924" s="225">
        <f t="shared" ref="M924:V924" si="1584">L924</f>
        <v>0.0262889425639964</v>
      </c>
      <c r="N924" s="225">
        <f t="shared" si="1584"/>
        <v>0.0262889425639964</v>
      </c>
      <c r="O924" s="225">
        <f t="shared" si="1584"/>
        <v>0.0262889425639964</v>
      </c>
      <c r="P924" s="225">
        <f t="shared" si="1584"/>
        <v>0.0262889425639964</v>
      </c>
      <c r="Q924" s="225">
        <f t="shared" si="1584"/>
        <v>0.0262889425639964</v>
      </c>
      <c r="R924" s="225">
        <f t="shared" si="1584"/>
        <v>0.0262889425639964</v>
      </c>
      <c r="S924" s="225">
        <f t="shared" si="1584"/>
        <v>0.0262889425639964</v>
      </c>
      <c r="T924" s="225">
        <f t="shared" si="1584"/>
        <v>0.0262889425639964</v>
      </c>
      <c r="U924" s="225">
        <f t="shared" si="1584"/>
        <v>0.0262889425639964</v>
      </c>
      <c r="V924" s="225">
        <f t="shared" si="1584"/>
        <v>0.0262889425639964</v>
      </c>
      <c r="W924" s="201" t="str">
        <f>IF(X$5=K$5,SUM(Y924:AI924)-SUM(L924:V924),"")</f>
        <v/>
      </c>
      <c r="X924" s="9" t="str">
        <f>LOWER(CtryCode)&amp;".distn."&amp;$A924&amp;IF($B924="","","."&amp;$B924)&amp;IF($C924="","",".dec."&amp;$C924)&amp;"."&amp;X$5</f>
        <v>egy.distn.secsout.res.2</v>
      </c>
      <c r="Y924" s="224">
        <f>IFERROR(SUMIF(DSecCpat,$B924,DSecOut)/SUM(DSecOut),0)</f>
        <v>0.0262889425639964</v>
      </c>
      <c r="Z924" s="225">
        <f t="shared" ref="Z924:AI924" si="1585">Y924</f>
        <v>0.0262889425639964</v>
      </c>
      <c r="AA924" s="225">
        <f t="shared" si="1585"/>
        <v>0.0262889425639964</v>
      </c>
      <c r="AB924" s="225">
        <f t="shared" si="1585"/>
        <v>0.0262889425639964</v>
      </c>
      <c r="AC924" s="225">
        <f t="shared" si="1585"/>
        <v>0.0262889425639964</v>
      </c>
      <c r="AD924" s="225">
        <f t="shared" si="1585"/>
        <v>0.0262889425639964</v>
      </c>
      <c r="AE924" s="225">
        <f t="shared" si="1585"/>
        <v>0.0262889425639964</v>
      </c>
      <c r="AF924" s="225">
        <f t="shared" si="1585"/>
        <v>0.0262889425639964</v>
      </c>
      <c r="AG924" s="225">
        <f t="shared" si="1585"/>
        <v>0.0262889425639964</v>
      </c>
      <c r="AH924" s="225">
        <f t="shared" si="1585"/>
        <v>0.0262889425639964</v>
      </c>
      <c r="AI924" s="225">
        <f t="shared" si="1585"/>
        <v>0.0262889425639964</v>
      </c>
    </row>
    <row r="925" hidden="1" outlineLevel="1">
      <c r="A925" s="44" t="inlineStr">
        <is>
          <t>secsout</t>
        </is>
      </c>
      <c r="B925" s="3" t="inlineStr">
        <is>
          <t>pow</t>
        </is>
      </c>
      <c r="C925" s="3" t="inlineStr"/>
      <c r="D925" s="3" t="n"/>
      <c r="E925" s="3" t="n"/>
      <c r="H925" s="3" t="inlineStr">
        <is>
          <t>Electricity production: share of output</t>
        </is>
      </c>
      <c r="I925" s="3" t="inlineStr">
        <is>
          <t>fraction</t>
        </is>
      </c>
      <c r="J925" s="118" t="inlineStr">
        <is>
          <t>IO_GTAP (legacy I:K 3285-3296)</t>
        </is>
      </c>
      <c r="K925" s="9" t="str">
        <f>LOWER(CtryCode)&amp;".distn."&amp;$A925&amp;IF($B925="","","."&amp;$B925)&amp;IF($C925="","",".dec."&amp;$C925)&amp;"."&amp;K$5</f>
        <v>egy.distn.secsout.pow.1</v>
      </c>
      <c r="L925" s="224">
        <f>IFERROR(SUMIF(DSecCpat,$B925,DSecOut)/SUM(DSecOut),0)</f>
        <v>0.028457241663983095</v>
      </c>
      <c r="M925" s="225">
        <f t="shared" ref="M925:V925" si="1586">L925</f>
        <v>0.028457241663983095</v>
      </c>
      <c r="N925" s="225">
        <f t="shared" si="1586"/>
        <v>0.028457241663983095</v>
      </c>
      <c r="O925" s="225">
        <f t="shared" si="1586"/>
        <v>0.028457241663983095</v>
      </c>
      <c r="P925" s="225">
        <f t="shared" si="1586"/>
        <v>0.028457241663983095</v>
      </c>
      <c r="Q925" s="225">
        <f t="shared" si="1586"/>
        <v>0.028457241663983095</v>
      </c>
      <c r="R925" s="225">
        <f t="shared" si="1586"/>
        <v>0.028457241663983095</v>
      </c>
      <c r="S925" s="225">
        <f t="shared" si="1586"/>
        <v>0.028457241663983095</v>
      </c>
      <c r="T925" s="225">
        <f t="shared" si="1586"/>
        <v>0.028457241663983095</v>
      </c>
      <c r="U925" s="225">
        <f t="shared" si="1586"/>
        <v>0.028457241663983095</v>
      </c>
      <c r="V925" s="225">
        <f t="shared" si="1586"/>
        <v>0.028457241663983095</v>
      </c>
      <c r="W925" s="201" t="str">
        <f>IF(X$5=K$5,SUM(Y925:AI925)-SUM(L925:V925),"")</f>
        <v/>
      </c>
      <c r="X925" s="9" t="str">
        <f>LOWER(CtryCode)&amp;".distn."&amp;$A925&amp;IF($B925="","","."&amp;$B925)&amp;IF($C925="","",".dec."&amp;$C925)&amp;"."&amp;X$5</f>
        <v>egy.distn.secsout.pow.2</v>
      </c>
      <c r="Y925" s="224">
        <f>IFERROR(SUMIF(DSecCpat,$B925,DSecOut)/SUM(DSecOut),0)</f>
        <v>0.028457241663983095</v>
      </c>
      <c r="Z925" s="225">
        <f t="shared" ref="Z925:AI925" si="1587">Y925</f>
        <v>0.028457241663983095</v>
      </c>
      <c r="AA925" s="225">
        <f t="shared" si="1587"/>
        <v>0.028457241663983095</v>
      </c>
      <c r="AB925" s="225">
        <f t="shared" si="1587"/>
        <v>0.028457241663983095</v>
      </c>
      <c r="AC925" s="225">
        <f t="shared" si="1587"/>
        <v>0.028457241663983095</v>
      </c>
      <c r="AD925" s="225">
        <f t="shared" si="1587"/>
        <v>0.028457241663983095</v>
      </c>
      <c r="AE925" s="225">
        <f t="shared" si="1587"/>
        <v>0.028457241663983095</v>
      </c>
      <c r="AF925" s="225">
        <f t="shared" si="1587"/>
        <v>0.028457241663983095</v>
      </c>
      <c r="AG925" s="225">
        <f t="shared" si="1587"/>
        <v>0.028457241663983095</v>
      </c>
      <c r="AH925" s="225">
        <f t="shared" si="1587"/>
        <v>0.028457241663983095</v>
      </c>
      <c r="AI925" s="225">
        <f t="shared" si="1587"/>
        <v>0.028457241663983095</v>
      </c>
    </row>
    <row r="926" hidden="1" outlineLevel="1">
      <c r="A926" s="44" t="inlineStr">
        <is>
          <t>ppici</t>
        </is>
      </c>
      <c r="B926" s="3" t="inlineStr">
        <is>
          <t>avi</t>
        </is>
      </c>
      <c r="C926" s="3" t="inlineStr"/>
      <c r="D926" s="3" t="n"/>
      <c r="E926" s="3" t="n"/>
      <c r="H926" s="3" t="inlineStr">
        <is>
          <t>Domestic aviation: input-cost price change, output-weighted</t>
        </is>
      </c>
      <c r="I926" s="3" t="inlineStr">
        <is>
          <t>fraction</t>
        </is>
      </c>
      <c r="J926" s="118" t="inlineStr">
        <is>
          <t>legacy P:U 3285-3296, MTOutputs 1035-1058 (by sector code, fix D27)</t>
        </is>
      </c>
      <c r="K926" s="9" t="str">
        <f>LOWER(CtryCode)&amp;".distn."&amp;$A926&amp;IF($B926="","","."&amp;$B926)&amp;IF($C926="","",".dec."&amp;$C926)&amp;"."&amp;K$5</f>
        <v>egy.distn.ppici.avi.1</v>
      </c>
      <c r="L926" s="121">
        <f>IFERROR(SUMPRODUCT((DSecCpat=$B926)*DSecOut*L$638:L$701)/SUMIF(DSecCpat,$B926,DSecOut),0)</f>
        <v>0.0</v>
      </c>
      <c r="M926" s="122">
        <f t="shared" ref="M926:V926" si="1588">L926</f>
        <v>0.0</v>
      </c>
      <c r="N926" s="122">
        <f t="shared" si="1588"/>
        <v>0.0</v>
      </c>
      <c r="O926" s="122">
        <f t="shared" si="1588"/>
        <v>0.0</v>
      </c>
      <c r="P926" s="122">
        <f t="shared" si="1588"/>
        <v>0.0</v>
      </c>
      <c r="Q926" s="122">
        <f t="shared" si="1588"/>
        <v>0.0</v>
      </c>
      <c r="R926" s="122">
        <f t="shared" si="1588"/>
        <v>0.0</v>
      </c>
      <c r="S926" s="122">
        <f t="shared" si="1588"/>
        <v>0.0</v>
      </c>
      <c r="T926" s="122">
        <f t="shared" si="1588"/>
        <v>0.0</v>
      </c>
      <c r="U926" s="122">
        <f t="shared" si="1588"/>
        <v>0.0</v>
      </c>
      <c r="V926" s="122">
        <f t="shared" si="1588"/>
        <v>0.0</v>
      </c>
      <c r="W926" s="201" t="str">
        <f>IF(X$5=K$5,SUM(Y926:AI926)-SUM(L926:V926),"")</f>
        <v/>
      </c>
      <c r="X926" s="9" t="str">
        <f>LOWER(CtryCode)&amp;".distn."&amp;$A926&amp;IF($B926="","","."&amp;$B926)&amp;IF($C926="","",".dec."&amp;$C926)&amp;"."&amp;X$5</f>
        <v>egy.distn.ppici.avi.2</v>
      </c>
      <c r="Y926" s="121">
        <f>IFERROR(SUMPRODUCT((DSecCpat=$B926)*DSecOut*Y$638:Y$701)/SUMIF(DSecCpat,$B926,DSecOut),0)</f>
        <v>0.007533819297724958</v>
      </c>
      <c r="Z926" s="122">
        <f t="shared" ref="Z926:AI926" si="1589">Y926</f>
        <v>0.007533819297724958</v>
      </c>
      <c r="AA926" s="122">
        <f t="shared" si="1589"/>
        <v>0.007533819297724958</v>
      </c>
      <c r="AB926" s="122">
        <f t="shared" si="1589"/>
        <v>0.007533819297724958</v>
      </c>
      <c r="AC926" s="122">
        <f t="shared" si="1589"/>
        <v>0.007533819297724958</v>
      </c>
      <c r="AD926" s="122">
        <f t="shared" si="1589"/>
        <v>0.007533819297724958</v>
      </c>
      <c r="AE926" s="122">
        <f t="shared" si="1589"/>
        <v>0.007533819297724958</v>
      </c>
      <c r="AF926" s="122">
        <f t="shared" si="1589"/>
        <v>0.007533819297724958</v>
      </c>
      <c r="AG926" s="122">
        <f t="shared" si="1589"/>
        <v>0.007533819297724958</v>
      </c>
      <c r="AH926" s="122">
        <f t="shared" si="1589"/>
        <v>0.007533819297724958</v>
      </c>
      <c r="AI926" s="122">
        <f t="shared" si="1589"/>
        <v>0.007533819297724958</v>
      </c>
    </row>
    <row r="927" hidden="1" outlineLevel="1">
      <c r="A927" s="44" t="inlineStr">
        <is>
          <t>ppici</t>
        </is>
      </c>
      <c r="B927" s="3" t="inlineStr">
        <is>
          <t>nav</t>
        </is>
      </c>
      <c r="C927" s="3" t="inlineStr"/>
      <c r="D927" s="3" t="n"/>
      <c r="E927" s="3" t="n"/>
      <c r="H927" s="3" t="inlineStr">
        <is>
          <t>Domestic navigation: input-cost price change, output-weighted</t>
        </is>
      </c>
      <c r="I927" s="3" t="inlineStr">
        <is>
          <t>fraction</t>
        </is>
      </c>
      <c r="J927" s="118" t="inlineStr">
        <is>
          <t>legacy P:U 3285-3296, MTOutputs 1035-1058 (by sector code, fix D27)</t>
        </is>
      </c>
      <c r="K927" s="9" t="str">
        <f>LOWER(CtryCode)&amp;".distn."&amp;$A927&amp;IF($B927="","","."&amp;$B927)&amp;IF($C927="","",".dec."&amp;$C927)&amp;"."&amp;K$5</f>
        <v>egy.distn.ppici.nav.1</v>
      </c>
      <c r="L927" s="121">
        <f>IFERROR(SUMPRODUCT((DSecCpat=$B927)*DSecOut*L$638:L$701)/SUMIF(DSecCpat,$B927,DSecOut),0)</f>
        <v>0.0</v>
      </c>
      <c r="M927" s="122">
        <f t="shared" ref="M927:V927" si="1590">L927</f>
        <v>0.0</v>
      </c>
      <c r="N927" s="122">
        <f t="shared" si="1590"/>
        <v>0.0</v>
      </c>
      <c r="O927" s="122">
        <f t="shared" si="1590"/>
        <v>0.0</v>
      </c>
      <c r="P927" s="122">
        <f t="shared" si="1590"/>
        <v>0.0</v>
      </c>
      <c r="Q927" s="122">
        <f t="shared" si="1590"/>
        <v>0.0</v>
      </c>
      <c r="R927" s="122">
        <f t="shared" si="1590"/>
        <v>0.0</v>
      </c>
      <c r="S927" s="122">
        <f t="shared" si="1590"/>
        <v>0.0</v>
      </c>
      <c r="T927" s="122">
        <f t="shared" si="1590"/>
        <v>0.0</v>
      </c>
      <c r="U927" s="122">
        <f t="shared" si="1590"/>
        <v>0.0</v>
      </c>
      <c r="V927" s="122">
        <f t="shared" si="1590"/>
        <v>0.0</v>
      </c>
      <c r="W927" s="201" t="str">
        <f>IF(X$5=K$5,SUM(Y927:AI927)-SUM(L927:V927),"")</f>
        <v/>
      </c>
      <c r="X927" s="9" t="str">
        <f>LOWER(CtryCode)&amp;".distn."&amp;$A927&amp;IF($B927="","","."&amp;$B927)&amp;IF($C927="","",".dec."&amp;$C927)&amp;"."&amp;X$5</f>
        <v>egy.distn.ppici.nav.2</v>
      </c>
      <c r="Y927" s="121">
        <f>IFERROR(SUMPRODUCT((DSecCpat=$B927)*DSecOut*Y$638:Y$701)/SUMIF(DSecCpat,$B927,DSecOut),0)</f>
        <v>0.005779495045574878</v>
      </c>
      <c r="Z927" s="122">
        <f t="shared" ref="Z927:AI927" si="1591">Y927</f>
        <v>0.005779495045574878</v>
      </c>
      <c r="AA927" s="122">
        <f t="shared" si="1591"/>
        <v>0.005779495045574878</v>
      </c>
      <c r="AB927" s="122">
        <f t="shared" si="1591"/>
        <v>0.005779495045574878</v>
      </c>
      <c r="AC927" s="122">
        <f t="shared" si="1591"/>
        <v>0.005779495045574878</v>
      </c>
      <c r="AD927" s="122">
        <f t="shared" si="1591"/>
        <v>0.005779495045574878</v>
      </c>
      <c r="AE927" s="122">
        <f t="shared" si="1591"/>
        <v>0.005779495045574878</v>
      </c>
      <c r="AF927" s="122">
        <f t="shared" si="1591"/>
        <v>0.005779495045574878</v>
      </c>
      <c r="AG927" s="122">
        <f t="shared" si="1591"/>
        <v>0.005779495045574878</v>
      </c>
      <c r="AH927" s="122">
        <f t="shared" si="1591"/>
        <v>0.005779495045574878</v>
      </c>
      <c r="AI927" s="122">
        <f t="shared" si="1591"/>
        <v>0.005779495045574878</v>
      </c>
    </row>
    <row r="928" hidden="1" outlineLevel="1">
      <c r="A928" s="44" t="inlineStr">
        <is>
          <t>ppici</t>
        </is>
      </c>
      <c r="B928" s="3" t="inlineStr">
        <is>
          <t>foo</t>
        </is>
      </c>
      <c r="C928" s="3" t="inlineStr"/>
      <c r="D928" s="3" t="n"/>
      <c r="E928" s="3" t="n"/>
      <c r="H928" s="3" t="inlineStr">
        <is>
          <t>Food &amp; forestry: input-cost price change, output-weighted</t>
        </is>
      </c>
      <c r="I928" s="3" t="inlineStr">
        <is>
          <t>fraction</t>
        </is>
      </c>
      <c r="J928" s="118" t="inlineStr">
        <is>
          <t>legacy P:U 3285-3296, MTOutputs 1035-1058 (by sector code, fix D27)</t>
        </is>
      </c>
      <c r="K928" s="9" t="str">
        <f>LOWER(CtryCode)&amp;".distn."&amp;$A928&amp;IF($B928="","","."&amp;$B928)&amp;IF($C928="","",".dec."&amp;$C928)&amp;"."&amp;K$5</f>
        <v>egy.distn.ppici.foo.1</v>
      </c>
      <c r="L928" s="121">
        <f>IFERROR(SUMPRODUCT((DSecCpat=$B928)*DSecOut*L$638:L$701)/SUMIF(DSecCpat,$B928,DSecOut),0)</f>
        <v>0.0</v>
      </c>
      <c r="M928" s="122">
        <f t="shared" ref="M928:V928" si="1592">L928</f>
        <v>0.0</v>
      </c>
      <c r="N928" s="122">
        <f t="shared" si="1592"/>
        <v>0.0</v>
      </c>
      <c r="O928" s="122">
        <f t="shared" si="1592"/>
        <v>0.0</v>
      </c>
      <c r="P928" s="122">
        <f t="shared" si="1592"/>
        <v>0.0</v>
      </c>
      <c r="Q928" s="122">
        <f t="shared" si="1592"/>
        <v>0.0</v>
      </c>
      <c r="R928" s="122">
        <f t="shared" si="1592"/>
        <v>0.0</v>
      </c>
      <c r="S928" s="122">
        <f t="shared" si="1592"/>
        <v>0.0</v>
      </c>
      <c r="T928" s="122">
        <f t="shared" si="1592"/>
        <v>0.0</v>
      </c>
      <c r="U928" s="122">
        <f t="shared" si="1592"/>
        <v>0.0</v>
      </c>
      <c r="V928" s="122">
        <f t="shared" si="1592"/>
        <v>0.0</v>
      </c>
      <c r="W928" s="201" t="str">
        <f>IF(X$5=K$5,SUM(Y928:AI928)-SUM(L928:V928),"")</f>
        <v/>
      </c>
      <c r="X928" s="9" t="str">
        <f>LOWER(CtryCode)&amp;".distn."&amp;$A928&amp;IF($B928="","","."&amp;$B928)&amp;IF($C928="","",".dec."&amp;$C928)&amp;"."&amp;X$5</f>
        <v>egy.distn.ppici.foo.2</v>
      </c>
      <c r="Y928" s="121">
        <f>IFERROR(SUMPRODUCT((DSecCpat=$B928)*DSecOut*Y$638:Y$701)/SUMIF(DSecCpat,$B928,DSecOut),0)</f>
        <v>0.0012127707642121696</v>
      </c>
      <c r="Z928" s="122">
        <f t="shared" ref="Z928:AI928" si="1593">Y928</f>
        <v>0.0012127707642121696</v>
      </c>
      <c r="AA928" s="122">
        <f t="shared" si="1593"/>
        <v>0.0012127707642121696</v>
      </c>
      <c r="AB928" s="122">
        <f t="shared" si="1593"/>
        <v>0.0012127707642121696</v>
      </c>
      <c r="AC928" s="122">
        <f t="shared" si="1593"/>
        <v>0.0012127707642121696</v>
      </c>
      <c r="AD928" s="122">
        <f t="shared" si="1593"/>
        <v>0.0012127707642121696</v>
      </c>
      <c r="AE928" s="122">
        <f t="shared" si="1593"/>
        <v>0.0012127707642121696</v>
      </c>
      <c r="AF928" s="122">
        <f t="shared" si="1593"/>
        <v>0.0012127707642121696</v>
      </c>
      <c r="AG928" s="122">
        <f t="shared" si="1593"/>
        <v>0.0012127707642121696</v>
      </c>
      <c r="AH928" s="122">
        <f t="shared" si="1593"/>
        <v>0.0012127707642121696</v>
      </c>
      <c r="AI928" s="122">
        <f t="shared" si="1593"/>
        <v>0.0012127707642121696</v>
      </c>
    </row>
    <row r="929" hidden="1" outlineLevel="1">
      <c r="A929" s="44" t="inlineStr">
        <is>
          <t>ppici</t>
        </is>
      </c>
      <c r="B929" s="3" t="inlineStr">
        <is>
          <t>srv</t>
        </is>
      </c>
      <c r="C929" s="3" t="inlineStr"/>
      <c r="D929" s="3" t="n"/>
      <c r="E929" s="3" t="n"/>
      <c r="H929" s="3" t="inlineStr">
        <is>
          <t>Services (public &amp; private): input-cost price change, output-weighted</t>
        </is>
      </c>
      <c r="I929" s="3" t="inlineStr">
        <is>
          <t>fraction</t>
        </is>
      </c>
      <c r="J929" s="118" t="inlineStr">
        <is>
          <t>legacy P:U 3285-3296, MTOutputs 1035-1058 (by sector code, fix D27)</t>
        </is>
      </c>
      <c r="K929" s="9" t="str">
        <f>LOWER(CtryCode)&amp;".distn."&amp;$A929&amp;IF($B929="","","."&amp;$B929)&amp;IF($C929="","",".dec."&amp;$C929)&amp;"."&amp;K$5</f>
        <v>egy.distn.ppici.srv.1</v>
      </c>
      <c r="L929" s="121">
        <f>IFERROR(SUMPRODUCT((DSecCpat=$B929)*DSecOut*L$638:L$701)/SUMIF(DSecCpat,$B929,DSecOut),0)</f>
        <v>0.0</v>
      </c>
      <c r="M929" s="122">
        <f t="shared" ref="M929:V929" si="1594">L929</f>
        <v>0.0</v>
      </c>
      <c r="N929" s="122">
        <f t="shared" si="1594"/>
        <v>0.0</v>
      </c>
      <c r="O929" s="122">
        <f t="shared" si="1594"/>
        <v>0.0</v>
      </c>
      <c r="P929" s="122">
        <f t="shared" si="1594"/>
        <v>0.0</v>
      </c>
      <c r="Q929" s="122">
        <f t="shared" si="1594"/>
        <v>0.0</v>
      </c>
      <c r="R929" s="122">
        <f t="shared" si="1594"/>
        <v>0.0</v>
      </c>
      <c r="S929" s="122">
        <f t="shared" si="1594"/>
        <v>0.0</v>
      </c>
      <c r="T929" s="122">
        <f t="shared" si="1594"/>
        <v>0.0</v>
      </c>
      <c r="U929" s="122">
        <f t="shared" si="1594"/>
        <v>0.0</v>
      </c>
      <c r="V929" s="122">
        <f t="shared" si="1594"/>
        <v>0.0</v>
      </c>
      <c r="W929" s="201" t="str">
        <f>IF(X$5=K$5,SUM(Y929:AI929)-SUM(L929:V929),"")</f>
        <v/>
      </c>
      <c r="X929" s="9" t="str">
        <f>LOWER(CtryCode)&amp;".distn."&amp;$A929&amp;IF($B929="","","."&amp;$B929)&amp;IF($C929="","",".dec."&amp;$C929)&amp;"."&amp;X$5</f>
        <v>egy.distn.ppici.srv.2</v>
      </c>
      <c r="Y929" s="121">
        <f>IFERROR(SUMPRODUCT((DSecCpat=$B929)*DSecOut*Y$638:Y$701)/SUMIF(DSecCpat,$B929,DSecOut),0)</f>
        <v>0.0008403297588119551</v>
      </c>
      <c r="Z929" s="122">
        <f t="shared" ref="Z929:AI929" si="1595">Y929</f>
        <v>0.0008403297588119551</v>
      </c>
      <c r="AA929" s="122">
        <f t="shared" si="1595"/>
        <v>0.0008403297588119551</v>
      </c>
      <c r="AB929" s="122">
        <f t="shared" si="1595"/>
        <v>0.0008403297588119551</v>
      </c>
      <c r="AC929" s="122">
        <f t="shared" si="1595"/>
        <v>0.0008403297588119551</v>
      </c>
      <c r="AD929" s="122">
        <f t="shared" si="1595"/>
        <v>0.0008403297588119551</v>
      </c>
      <c r="AE929" s="122">
        <f t="shared" si="1595"/>
        <v>0.0008403297588119551</v>
      </c>
      <c r="AF929" s="122">
        <f t="shared" si="1595"/>
        <v>0.0008403297588119551</v>
      </c>
      <c r="AG929" s="122">
        <f t="shared" si="1595"/>
        <v>0.0008403297588119551</v>
      </c>
      <c r="AH929" s="122">
        <f t="shared" si="1595"/>
        <v>0.0008403297588119551</v>
      </c>
      <c r="AI929" s="122">
        <f t="shared" si="1595"/>
        <v>0.0008403297588119551</v>
      </c>
    </row>
    <row r="930" hidden="1" outlineLevel="1">
      <c r="A930" s="44" t="inlineStr">
        <is>
          <t>ppici</t>
        </is>
      </c>
      <c r="B930" s="3" t="inlineStr">
        <is>
          <t>mch</t>
        </is>
      </c>
      <c r="C930" s="3" t="inlineStr"/>
      <c r="D930" s="3" t="n"/>
      <c r="E930" s="3" t="n"/>
      <c r="H930" s="3" t="inlineStr">
        <is>
          <t>Mining &amp; Chemicals: input-cost price change, output-weighted</t>
        </is>
      </c>
      <c r="I930" s="3" t="inlineStr">
        <is>
          <t>fraction</t>
        </is>
      </c>
      <c r="J930" s="118" t="inlineStr">
        <is>
          <t>legacy P:U 3285-3296, MTOutputs 1035-1058 (by sector code, fix D27)</t>
        </is>
      </c>
      <c r="K930" s="9" t="str">
        <f>LOWER(CtryCode)&amp;".distn."&amp;$A930&amp;IF($B930="","","."&amp;$B930)&amp;IF($C930="","",".dec."&amp;$C930)&amp;"."&amp;K$5</f>
        <v>egy.distn.ppici.mch.1</v>
      </c>
      <c r="L930" s="121">
        <f>IFERROR(SUMPRODUCT((DSecCpat=$B930)*DSecOut*L$638:L$701)/SUMIF(DSecCpat,$B930,DSecOut),0)</f>
        <v>0.0</v>
      </c>
      <c r="M930" s="122">
        <f t="shared" ref="M930:V930" si="1596">L930</f>
        <v>0.0</v>
      </c>
      <c r="N930" s="122">
        <f t="shared" si="1596"/>
        <v>0.0</v>
      </c>
      <c r="O930" s="122">
        <f t="shared" si="1596"/>
        <v>0.0</v>
      </c>
      <c r="P930" s="122">
        <f t="shared" si="1596"/>
        <v>0.0</v>
      </c>
      <c r="Q930" s="122">
        <f t="shared" si="1596"/>
        <v>0.0</v>
      </c>
      <c r="R930" s="122">
        <f t="shared" si="1596"/>
        <v>0.0</v>
      </c>
      <c r="S930" s="122">
        <f t="shared" si="1596"/>
        <v>0.0</v>
      </c>
      <c r="T930" s="122">
        <f t="shared" si="1596"/>
        <v>0.0</v>
      </c>
      <c r="U930" s="122">
        <f t="shared" si="1596"/>
        <v>0.0</v>
      </c>
      <c r="V930" s="122">
        <f t="shared" si="1596"/>
        <v>0.0</v>
      </c>
      <c r="W930" s="201" t="str">
        <f>IF(X$5=K$5,SUM(Y930:AI930)-SUM(L930:V930),"")</f>
        <v/>
      </c>
      <c r="X930" s="9" t="str">
        <f>LOWER(CtryCode)&amp;".distn."&amp;$A930&amp;IF($B930="","","."&amp;$B930)&amp;IF($C930="","",".dec."&amp;$C930)&amp;"."&amp;X$5</f>
        <v>egy.distn.ppici.mch.2</v>
      </c>
      <c r="Y930" s="121">
        <f>IFERROR(SUMPRODUCT((DSecCpat=$B930)*DSecOut*Y$638:Y$701)/SUMIF(DSecCpat,$B930,DSecOut),0)</f>
        <v>0.00594704035836759</v>
      </c>
      <c r="Z930" s="122">
        <f t="shared" ref="Z930:AI930" si="1597">Y930</f>
        <v>0.00594704035836759</v>
      </c>
      <c r="AA930" s="122">
        <f t="shared" si="1597"/>
        <v>0.00594704035836759</v>
      </c>
      <c r="AB930" s="122">
        <f t="shared" si="1597"/>
        <v>0.00594704035836759</v>
      </c>
      <c r="AC930" s="122">
        <f t="shared" si="1597"/>
        <v>0.00594704035836759</v>
      </c>
      <c r="AD930" s="122">
        <f t="shared" si="1597"/>
        <v>0.00594704035836759</v>
      </c>
      <c r="AE930" s="122">
        <f t="shared" si="1597"/>
        <v>0.00594704035836759</v>
      </c>
      <c r="AF930" s="122">
        <f t="shared" si="1597"/>
        <v>0.00594704035836759</v>
      </c>
      <c r="AG930" s="122">
        <f t="shared" si="1597"/>
        <v>0.00594704035836759</v>
      </c>
      <c r="AH930" s="122">
        <f t="shared" si="1597"/>
        <v>0.00594704035836759</v>
      </c>
      <c r="AI930" s="122">
        <f t="shared" si="1597"/>
        <v>0.00594704035836759</v>
      </c>
    </row>
    <row r="931" hidden="1" outlineLevel="1">
      <c r="A931" s="44" t="inlineStr">
        <is>
          <t>ppici</t>
        </is>
      </c>
      <c r="B931" s="3" t="inlineStr">
        <is>
          <t>irn</t>
        </is>
      </c>
      <c r="C931" s="3" t="inlineStr"/>
      <c r="D931" s="3" t="n"/>
      <c r="E931" s="3" t="n"/>
      <c r="H931" s="3" t="inlineStr">
        <is>
          <t>Iron and steel: input-cost price change, output-weighted</t>
        </is>
      </c>
      <c r="I931" s="3" t="inlineStr">
        <is>
          <t>fraction</t>
        </is>
      </c>
      <c r="J931" s="118" t="inlineStr">
        <is>
          <t>legacy P:U 3285-3296, MTOutputs 1035-1058 (by sector code, fix D27)</t>
        </is>
      </c>
      <c r="K931" s="9" t="str">
        <f>LOWER(CtryCode)&amp;".distn."&amp;$A931&amp;IF($B931="","","."&amp;$B931)&amp;IF($C931="","",".dec."&amp;$C931)&amp;"."&amp;K$5</f>
        <v>egy.distn.ppici.irn.1</v>
      </c>
      <c r="L931" s="121">
        <f>IFERROR(SUMPRODUCT((DSecCpat=$B931)*DSecOut*L$638:L$701)/SUMIF(DSecCpat,$B931,DSecOut),0)</f>
        <v>0.0</v>
      </c>
      <c r="M931" s="122">
        <f t="shared" ref="M931:V931" si="1598">L931</f>
        <v>0.0</v>
      </c>
      <c r="N931" s="122">
        <f t="shared" si="1598"/>
        <v>0.0</v>
      </c>
      <c r="O931" s="122">
        <f t="shared" si="1598"/>
        <v>0.0</v>
      </c>
      <c r="P931" s="122">
        <f t="shared" si="1598"/>
        <v>0.0</v>
      </c>
      <c r="Q931" s="122">
        <f t="shared" si="1598"/>
        <v>0.0</v>
      </c>
      <c r="R931" s="122">
        <f t="shared" si="1598"/>
        <v>0.0</v>
      </c>
      <c r="S931" s="122">
        <f t="shared" si="1598"/>
        <v>0.0</v>
      </c>
      <c r="T931" s="122">
        <f t="shared" si="1598"/>
        <v>0.0</v>
      </c>
      <c r="U931" s="122">
        <f t="shared" si="1598"/>
        <v>0.0</v>
      </c>
      <c r="V931" s="122">
        <f t="shared" si="1598"/>
        <v>0.0</v>
      </c>
      <c r="W931" s="201" t="str">
        <f>IF(X$5=K$5,SUM(Y931:AI931)-SUM(L931:V931),"")</f>
        <v/>
      </c>
      <c r="X931" s="9" t="str">
        <f>LOWER(CtryCode)&amp;".distn."&amp;$A931&amp;IF($B931="","","."&amp;$B931)&amp;IF($C931="","",".dec."&amp;$C931)&amp;"."&amp;X$5</f>
        <v>egy.distn.ppici.irn.2</v>
      </c>
      <c r="Y931" s="121">
        <f>IFERROR(SUMPRODUCT((DSecCpat=$B931)*DSecOut*Y$638:Y$701)/SUMIF(DSecCpat,$B931,DSecOut),0)</f>
        <v>0.005639113544198024</v>
      </c>
      <c r="Z931" s="122">
        <f t="shared" ref="Z931:AI931" si="1599">Y931</f>
        <v>0.005639113544198024</v>
      </c>
      <c r="AA931" s="122">
        <f t="shared" si="1599"/>
        <v>0.005639113544198024</v>
      </c>
      <c r="AB931" s="122">
        <f t="shared" si="1599"/>
        <v>0.005639113544198024</v>
      </c>
      <c r="AC931" s="122">
        <f t="shared" si="1599"/>
        <v>0.005639113544198024</v>
      </c>
      <c r="AD931" s="122">
        <f t="shared" si="1599"/>
        <v>0.005639113544198024</v>
      </c>
      <c r="AE931" s="122">
        <f t="shared" si="1599"/>
        <v>0.005639113544198024</v>
      </c>
      <c r="AF931" s="122">
        <f t="shared" si="1599"/>
        <v>0.005639113544198024</v>
      </c>
      <c r="AG931" s="122">
        <f t="shared" si="1599"/>
        <v>0.005639113544198024</v>
      </c>
      <c r="AH931" s="122">
        <f t="shared" si="1599"/>
        <v>0.005639113544198024</v>
      </c>
      <c r="AI931" s="122">
        <f t="shared" si="1599"/>
        <v>0.005639113544198024</v>
      </c>
    </row>
    <row r="932" hidden="1" outlineLevel="1">
      <c r="A932" s="44" t="inlineStr">
        <is>
          <t>ppici</t>
        </is>
      </c>
      <c r="B932" s="3" t="inlineStr">
        <is>
          <t>nfm</t>
        </is>
      </c>
      <c r="C932" s="3" t="inlineStr"/>
      <c r="D932" s="3" t="n"/>
      <c r="E932" s="3" t="n"/>
      <c r="H932" s="3" t="inlineStr">
        <is>
          <t>Non-ferrous metals: input-cost price change, output-weighted</t>
        </is>
      </c>
      <c r="I932" s="3" t="inlineStr">
        <is>
          <t>fraction</t>
        </is>
      </c>
      <c r="J932" s="118" t="inlineStr">
        <is>
          <t>legacy P:U 3285-3296, MTOutputs 1035-1058 (by sector code, fix D27)</t>
        </is>
      </c>
      <c r="K932" s="9" t="str">
        <f>LOWER(CtryCode)&amp;".distn."&amp;$A932&amp;IF($B932="","","."&amp;$B932)&amp;IF($C932="","",".dec."&amp;$C932)&amp;"."&amp;K$5</f>
        <v>egy.distn.ppici.nfm.1</v>
      </c>
      <c r="L932" s="121">
        <f>IFERROR(SUMPRODUCT((DSecCpat=$B932)*DSecOut*L$638:L$701)/SUMIF(DSecCpat,$B932,DSecOut),0)</f>
        <v>0.0</v>
      </c>
      <c r="M932" s="122">
        <f t="shared" ref="M932:V932" si="1600">L932</f>
        <v>0.0</v>
      </c>
      <c r="N932" s="122">
        <f t="shared" si="1600"/>
        <v>0.0</v>
      </c>
      <c r="O932" s="122">
        <f t="shared" si="1600"/>
        <v>0.0</v>
      </c>
      <c r="P932" s="122">
        <f t="shared" si="1600"/>
        <v>0.0</v>
      </c>
      <c r="Q932" s="122">
        <f t="shared" si="1600"/>
        <v>0.0</v>
      </c>
      <c r="R932" s="122">
        <f t="shared" si="1600"/>
        <v>0.0</v>
      </c>
      <c r="S932" s="122">
        <f t="shared" si="1600"/>
        <v>0.0</v>
      </c>
      <c r="T932" s="122">
        <f t="shared" si="1600"/>
        <v>0.0</v>
      </c>
      <c r="U932" s="122">
        <f t="shared" si="1600"/>
        <v>0.0</v>
      </c>
      <c r="V932" s="122">
        <f t="shared" si="1600"/>
        <v>0.0</v>
      </c>
      <c r="W932" s="201" t="str">
        <f>IF(X$5=K$5,SUM(Y932:AI932)-SUM(L932:V932),"")</f>
        <v/>
      </c>
      <c r="X932" s="9" t="str">
        <f>LOWER(CtryCode)&amp;".distn."&amp;$A932&amp;IF($B932="","","."&amp;$B932)&amp;IF($C932="","",".dec."&amp;$C932)&amp;"."&amp;X$5</f>
        <v>egy.distn.ppici.nfm.2</v>
      </c>
      <c r="Y932" s="121">
        <f>IFERROR(SUMPRODUCT((DSecCpat=$B932)*DSecOut*Y$638:Y$701)/SUMIF(DSecCpat,$B932,DSecOut),0)</f>
        <v>0.0041046532004021</v>
      </c>
      <c r="Z932" s="122">
        <f t="shared" ref="Z932:AI932" si="1601">Y932</f>
        <v>0.0041046532004021</v>
      </c>
      <c r="AA932" s="122">
        <f t="shared" si="1601"/>
        <v>0.0041046532004021</v>
      </c>
      <c r="AB932" s="122">
        <f t="shared" si="1601"/>
        <v>0.0041046532004021</v>
      </c>
      <c r="AC932" s="122">
        <f t="shared" si="1601"/>
        <v>0.0041046532004021</v>
      </c>
      <c r="AD932" s="122">
        <f t="shared" si="1601"/>
        <v>0.0041046532004021</v>
      </c>
      <c r="AE932" s="122">
        <f t="shared" si="1601"/>
        <v>0.0041046532004021</v>
      </c>
      <c r="AF932" s="122">
        <f t="shared" si="1601"/>
        <v>0.0041046532004021</v>
      </c>
      <c r="AG932" s="122">
        <f t="shared" si="1601"/>
        <v>0.0041046532004021</v>
      </c>
      <c r="AH932" s="122">
        <f t="shared" si="1601"/>
        <v>0.0041046532004021</v>
      </c>
      <c r="AI932" s="122">
        <f t="shared" si="1601"/>
        <v>0.0041046532004021</v>
      </c>
    </row>
    <row r="933" hidden="1" outlineLevel="1">
      <c r="A933" s="44" t="inlineStr">
        <is>
          <t>ppici</t>
        </is>
      </c>
      <c r="B933" s="3" t="inlineStr">
        <is>
          <t>mac</t>
        </is>
      </c>
      <c r="C933" s="3" t="inlineStr"/>
      <c r="D933" s="3" t="n"/>
      <c r="E933" s="3" t="n"/>
      <c r="H933" s="3" t="inlineStr">
        <is>
          <t>Machinery: input-cost price change, output-weighted</t>
        </is>
      </c>
      <c r="I933" s="3" t="inlineStr">
        <is>
          <t>fraction</t>
        </is>
      </c>
      <c r="J933" s="118" t="inlineStr">
        <is>
          <t>legacy P:U 3285-3296, MTOutputs 1035-1058 (by sector code, fix D27)</t>
        </is>
      </c>
      <c r="K933" s="9" t="str">
        <f>LOWER(CtryCode)&amp;".distn."&amp;$A933&amp;IF($B933="","","."&amp;$B933)&amp;IF($C933="","",".dec."&amp;$C933)&amp;"."&amp;K$5</f>
        <v>egy.distn.ppici.mac.1</v>
      </c>
      <c r="L933" s="121">
        <f>IFERROR(SUMPRODUCT((DSecCpat=$B933)*DSecOut*L$638:L$701)/SUMIF(DSecCpat,$B933,DSecOut),0)</f>
        <v>0.0</v>
      </c>
      <c r="M933" s="122">
        <f t="shared" ref="M933:V933" si="1602">L933</f>
        <v>0.0</v>
      </c>
      <c r="N933" s="122">
        <f t="shared" si="1602"/>
        <v>0.0</v>
      </c>
      <c r="O933" s="122">
        <f t="shared" si="1602"/>
        <v>0.0</v>
      </c>
      <c r="P933" s="122">
        <f t="shared" si="1602"/>
        <v>0.0</v>
      </c>
      <c r="Q933" s="122">
        <f t="shared" si="1602"/>
        <v>0.0</v>
      </c>
      <c r="R933" s="122">
        <f t="shared" si="1602"/>
        <v>0.0</v>
      </c>
      <c r="S933" s="122">
        <f t="shared" si="1602"/>
        <v>0.0</v>
      </c>
      <c r="T933" s="122">
        <f t="shared" si="1602"/>
        <v>0.0</v>
      </c>
      <c r="U933" s="122">
        <f t="shared" si="1602"/>
        <v>0.0</v>
      </c>
      <c r="V933" s="122">
        <f t="shared" si="1602"/>
        <v>0.0</v>
      </c>
      <c r="W933" s="201" t="str">
        <f>IF(X$5=K$5,SUM(Y933:AI933)-SUM(L933:V933),"")</f>
        <v/>
      </c>
      <c r="X933" s="9" t="str">
        <f>LOWER(CtryCode)&amp;".distn."&amp;$A933&amp;IF($B933="","","."&amp;$B933)&amp;IF($C933="","",".dec."&amp;$C933)&amp;"."&amp;X$5</f>
        <v>egy.distn.ppici.mac.2</v>
      </c>
      <c r="Y933" s="121">
        <f>IFERROR(SUMPRODUCT((DSecCpat=$B933)*DSecOut*Y$638:Y$701)/SUMIF(DSecCpat,$B933,DSecOut),0)</f>
        <v>0.0023644884091666065</v>
      </c>
      <c r="Z933" s="122">
        <f t="shared" ref="Z933:AI933" si="1603">Y933</f>
        <v>0.0023644884091666065</v>
      </c>
      <c r="AA933" s="122">
        <f t="shared" si="1603"/>
        <v>0.0023644884091666065</v>
      </c>
      <c r="AB933" s="122">
        <f t="shared" si="1603"/>
        <v>0.0023644884091666065</v>
      </c>
      <c r="AC933" s="122">
        <f t="shared" si="1603"/>
        <v>0.0023644884091666065</v>
      </c>
      <c r="AD933" s="122">
        <f t="shared" si="1603"/>
        <v>0.0023644884091666065</v>
      </c>
      <c r="AE933" s="122">
        <f t="shared" si="1603"/>
        <v>0.0023644884091666065</v>
      </c>
      <c r="AF933" s="122">
        <f t="shared" si="1603"/>
        <v>0.0023644884091666065</v>
      </c>
      <c r="AG933" s="122">
        <f t="shared" si="1603"/>
        <v>0.0023644884091666065</v>
      </c>
      <c r="AH933" s="122">
        <f t="shared" si="1603"/>
        <v>0.0023644884091666065</v>
      </c>
      <c r="AI933" s="122">
        <f t="shared" si="1603"/>
        <v>0.0023644884091666065</v>
      </c>
    </row>
    <row r="934" hidden="1" outlineLevel="1">
      <c r="A934" s="44" t="inlineStr">
        <is>
          <t>ppici</t>
        </is>
      </c>
      <c r="B934" s="3" t="inlineStr">
        <is>
          <t>cem</t>
        </is>
      </c>
      <c r="C934" s="3" t="inlineStr"/>
      <c r="D934" s="3" t="n"/>
      <c r="E934" s="3" t="n"/>
      <c r="H934" s="3" t="inlineStr">
        <is>
          <t>Cement: input-cost price change, output-weighted</t>
        </is>
      </c>
      <c r="I934" s="3" t="inlineStr">
        <is>
          <t>fraction</t>
        </is>
      </c>
      <c r="J934" s="118" t="inlineStr">
        <is>
          <t>legacy P:U 3285-3296, MTOutputs 1035-1058 (by sector code, fix D27)</t>
        </is>
      </c>
      <c r="K934" s="9" t="str">
        <f>LOWER(CtryCode)&amp;".distn."&amp;$A934&amp;IF($B934="","","."&amp;$B934)&amp;IF($C934="","",".dec."&amp;$C934)&amp;"."&amp;K$5</f>
        <v>egy.distn.ppici.cem.1</v>
      </c>
      <c r="L934" s="121">
        <f>IFERROR(SUMPRODUCT((DSecCpat=$B934)*DSecOut*L$638:L$701)/SUMIF(DSecCpat,$B934,DSecOut),0)</f>
        <v>0.0</v>
      </c>
      <c r="M934" s="122">
        <f t="shared" ref="M934:V934" si="1604">L934</f>
        <v>0.0</v>
      </c>
      <c r="N934" s="122">
        <f t="shared" si="1604"/>
        <v>0.0</v>
      </c>
      <c r="O934" s="122">
        <f t="shared" si="1604"/>
        <v>0.0</v>
      </c>
      <c r="P934" s="122">
        <f t="shared" si="1604"/>
        <v>0.0</v>
      </c>
      <c r="Q934" s="122">
        <f t="shared" si="1604"/>
        <v>0.0</v>
      </c>
      <c r="R934" s="122">
        <f t="shared" si="1604"/>
        <v>0.0</v>
      </c>
      <c r="S934" s="122">
        <f t="shared" si="1604"/>
        <v>0.0</v>
      </c>
      <c r="T934" s="122">
        <f t="shared" si="1604"/>
        <v>0.0</v>
      </c>
      <c r="U934" s="122">
        <f t="shared" si="1604"/>
        <v>0.0</v>
      </c>
      <c r="V934" s="122">
        <f t="shared" si="1604"/>
        <v>0.0</v>
      </c>
      <c r="W934" s="201" t="str">
        <f>IF(X$5=K$5,SUM(Y934:AI934)-SUM(L934:V934),"")</f>
        <v/>
      </c>
      <c r="X934" s="9" t="str">
        <f>LOWER(CtryCode)&amp;".distn."&amp;$A934&amp;IF($B934="","","."&amp;$B934)&amp;IF($C934="","",".dec."&amp;$C934)&amp;"."&amp;X$5</f>
        <v>egy.distn.ppici.cem.2</v>
      </c>
      <c r="Y934" s="121">
        <f>IFERROR(SUMPRODUCT((DSecCpat=$B934)*DSecOut*Y$638:Y$701)/SUMIF(DSecCpat,$B934,DSecOut),0)</f>
        <v>0.0019892939204200046</v>
      </c>
      <c r="Z934" s="122">
        <f t="shared" ref="Z934:AI934" si="1605">Y934</f>
        <v>0.0019892939204200046</v>
      </c>
      <c r="AA934" s="122">
        <f t="shared" si="1605"/>
        <v>0.0019892939204200046</v>
      </c>
      <c r="AB934" s="122">
        <f t="shared" si="1605"/>
        <v>0.0019892939204200046</v>
      </c>
      <c r="AC934" s="122">
        <f t="shared" si="1605"/>
        <v>0.0019892939204200046</v>
      </c>
      <c r="AD934" s="122">
        <f t="shared" si="1605"/>
        <v>0.0019892939204200046</v>
      </c>
      <c r="AE934" s="122">
        <f t="shared" si="1605"/>
        <v>0.0019892939204200046</v>
      </c>
      <c r="AF934" s="122">
        <f t="shared" si="1605"/>
        <v>0.0019892939204200046</v>
      </c>
      <c r="AG934" s="122">
        <f t="shared" si="1605"/>
        <v>0.0019892939204200046</v>
      </c>
      <c r="AH934" s="122">
        <f t="shared" si="1605"/>
        <v>0.0019892939204200046</v>
      </c>
      <c r="AI934" s="122">
        <f t="shared" si="1605"/>
        <v>0.0019892939204200046</v>
      </c>
    </row>
    <row r="935" hidden="1" outlineLevel="1">
      <c r="A935" s="44" t="inlineStr">
        <is>
          <t>ppici</t>
        </is>
      </c>
      <c r="B935" s="3" t="inlineStr">
        <is>
          <t>omn</t>
        </is>
      </c>
      <c r="C935" s="3" t="inlineStr"/>
      <c r="D935" s="3" t="n"/>
      <c r="E935" s="3" t="n"/>
      <c r="H935" s="3" t="inlineStr">
        <is>
          <t>Other manufacturing: input-cost price change, output-weighted</t>
        </is>
      </c>
      <c r="I935" s="3" t="inlineStr">
        <is>
          <t>fraction</t>
        </is>
      </c>
      <c r="J935" s="118" t="inlineStr">
        <is>
          <t>legacy P:U 3285-3296, MTOutputs 1035-1058 (by sector code, fix D27)</t>
        </is>
      </c>
      <c r="K935" s="9" t="str">
        <f>LOWER(CtryCode)&amp;".distn."&amp;$A935&amp;IF($B935="","","."&amp;$B935)&amp;IF($C935="","",".dec."&amp;$C935)&amp;"."&amp;K$5</f>
        <v>egy.distn.ppici.omn.1</v>
      </c>
      <c r="L935" s="121">
        <f>IFERROR(SUMPRODUCT((DSecCpat=$B935)*DSecOut*L$638:L$701)/SUMIF(DSecCpat,$B935,DSecOut),0)</f>
        <v>0.0</v>
      </c>
      <c r="M935" s="122">
        <f t="shared" ref="M935:V935" si="1606">L935</f>
        <v>0.0</v>
      </c>
      <c r="N935" s="122">
        <f t="shared" si="1606"/>
        <v>0.0</v>
      </c>
      <c r="O935" s="122">
        <f t="shared" si="1606"/>
        <v>0.0</v>
      </c>
      <c r="P935" s="122">
        <f t="shared" si="1606"/>
        <v>0.0</v>
      </c>
      <c r="Q935" s="122">
        <f t="shared" si="1606"/>
        <v>0.0</v>
      </c>
      <c r="R935" s="122">
        <f t="shared" si="1606"/>
        <v>0.0</v>
      </c>
      <c r="S935" s="122">
        <f t="shared" si="1606"/>
        <v>0.0</v>
      </c>
      <c r="T935" s="122">
        <f t="shared" si="1606"/>
        <v>0.0</v>
      </c>
      <c r="U935" s="122">
        <f t="shared" si="1606"/>
        <v>0.0</v>
      </c>
      <c r="V935" s="122">
        <f t="shared" si="1606"/>
        <v>0.0</v>
      </c>
      <c r="W935" s="201" t="str">
        <f>IF(X$5=K$5,SUM(Y935:AI935)-SUM(L935:V935),"")</f>
        <v/>
      </c>
      <c r="X935" s="9" t="str">
        <f>LOWER(CtryCode)&amp;".distn."&amp;$A935&amp;IF($B935="","","."&amp;$B935)&amp;IF($C935="","",".dec."&amp;$C935)&amp;"."&amp;X$5</f>
        <v>egy.distn.ppici.omn.2</v>
      </c>
      <c r="Y935" s="121">
        <f>IFERROR(SUMPRODUCT((DSecCpat=$B935)*DSecOut*Y$638:Y$701)/SUMIF(DSecCpat,$B935,DSecOut),0)</f>
        <v>0.0013671561249490995</v>
      </c>
      <c r="Z935" s="122">
        <f t="shared" ref="Z935:AI935" si="1607">Y935</f>
        <v>0.0013671561249490995</v>
      </c>
      <c r="AA935" s="122">
        <f t="shared" si="1607"/>
        <v>0.0013671561249490995</v>
      </c>
      <c r="AB935" s="122">
        <f t="shared" si="1607"/>
        <v>0.0013671561249490995</v>
      </c>
      <c r="AC935" s="122">
        <f t="shared" si="1607"/>
        <v>0.0013671561249490995</v>
      </c>
      <c r="AD935" s="122">
        <f t="shared" si="1607"/>
        <v>0.0013671561249490995</v>
      </c>
      <c r="AE935" s="122">
        <f t="shared" si="1607"/>
        <v>0.0013671561249490995</v>
      </c>
      <c r="AF935" s="122">
        <f t="shared" si="1607"/>
        <v>0.0013671561249490995</v>
      </c>
      <c r="AG935" s="122">
        <f t="shared" si="1607"/>
        <v>0.0013671561249490995</v>
      </c>
      <c r="AH935" s="122">
        <f t="shared" si="1607"/>
        <v>0.0013671561249490995</v>
      </c>
      <c r="AI935" s="122">
        <f t="shared" si="1607"/>
        <v>0.0013671561249490995</v>
      </c>
    </row>
    <row r="936" hidden="1" outlineLevel="1">
      <c r="A936" s="44" t="inlineStr">
        <is>
          <t>ppici</t>
        </is>
      </c>
      <c r="B936" s="3" t="inlineStr">
        <is>
          <t>cst</t>
        </is>
      </c>
      <c r="C936" s="3" t="inlineStr"/>
      <c r="D936" s="3" t="n"/>
      <c r="E936" s="3" t="n"/>
      <c r="H936" s="3" t="inlineStr">
        <is>
          <t>Construction: input-cost price change, output-weighted</t>
        </is>
      </c>
      <c r="I936" s="3" t="inlineStr">
        <is>
          <t>fraction</t>
        </is>
      </c>
      <c r="J936" s="118" t="inlineStr">
        <is>
          <t>legacy P:U 3285-3296, MTOutputs 1035-1058 (by sector code, fix D27)</t>
        </is>
      </c>
      <c r="K936" s="9" t="str">
        <f>LOWER(CtryCode)&amp;".distn."&amp;$A936&amp;IF($B936="","","."&amp;$B936)&amp;IF($C936="","",".dec."&amp;$C936)&amp;"."&amp;K$5</f>
        <v>egy.distn.ppici.cst.1</v>
      </c>
      <c r="L936" s="121">
        <f>IFERROR(SUMPRODUCT((DSecCpat=$B936)*DSecOut*L$638:L$701)/SUMIF(DSecCpat,$B936,DSecOut),0)</f>
        <v>0.0</v>
      </c>
      <c r="M936" s="122">
        <f t="shared" ref="M936:V936" si="1608">L936</f>
        <v>0.0</v>
      </c>
      <c r="N936" s="122">
        <f t="shared" si="1608"/>
        <v>0.0</v>
      </c>
      <c r="O936" s="122">
        <f t="shared" si="1608"/>
        <v>0.0</v>
      </c>
      <c r="P936" s="122">
        <f t="shared" si="1608"/>
        <v>0.0</v>
      </c>
      <c r="Q936" s="122">
        <f t="shared" si="1608"/>
        <v>0.0</v>
      </c>
      <c r="R936" s="122">
        <f t="shared" si="1608"/>
        <v>0.0</v>
      </c>
      <c r="S936" s="122">
        <f t="shared" si="1608"/>
        <v>0.0</v>
      </c>
      <c r="T936" s="122">
        <f t="shared" si="1608"/>
        <v>0.0</v>
      </c>
      <c r="U936" s="122">
        <f t="shared" si="1608"/>
        <v>0.0</v>
      </c>
      <c r="V936" s="122">
        <f t="shared" si="1608"/>
        <v>0.0</v>
      </c>
      <c r="W936" s="201" t="str">
        <f>IF(X$5=K$5,SUM(Y936:AI936)-SUM(L936:V936),"")</f>
        <v/>
      </c>
      <c r="X936" s="9" t="str">
        <f>LOWER(CtryCode)&amp;".distn."&amp;$A936&amp;IF($B936="","","."&amp;$B936)&amp;IF($C936="","",".dec."&amp;$C936)&amp;"."&amp;X$5</f>
        <v>egy.distn.ppici.cst.2</v>
      </c>
      <c r="Y936" s="121">
        <f>IFERROR(SUMPRODUCT((DSecCpat=$B936)*DSecOut*Y$638:Y$701)/SUMIF(DSecCpat,$B936,DSecOut),0)</f>
        <v>0.0019632445992351076</v>
      </c>
      <c r="Z936" s="122">
        <f t="shared" ref="Z936:AI936" si="1609">Y936</f>
        <v>0.0019632445992351076</v>
      </c>
      <c r="AA936" s="122">
        <f t="shared" si="1609"/>
        <v>0.0019632445992351076</v>
      </c>
      <c r="AB936" s="122">
        <f t="shared" si="1609"/>
        <v>0.0019632445992351076</v>
      </c>
      <c r="AC936" s="122">
        <f t="shared" si="1609"/>
        <v>0.0019632445992351076</v>
      </c>
      <c r="AD936" s="122">
        <f t="shared" si="1609"/>
        <v>0.0019632445992351076</v>
      </c>
      <c r="AE936" s="122">
        <f t="shared" si="1609"/>
        <v>0.0019632445992351076</v>
      </c>
      <c r="AF936" s="122">
        <f t="shared" si="1609"/>
        <v>0.0019632445992351076</v>
      </c>
      <c r="AG936" s="122">
        <f t="shared" si="1609"/>
        <v>0.0019632445992351076</v>
      </c>
      <c r="AH936" s="122">
        <f t="shared" si="1609"/>
        <v>0.0019632445992351076</v>
      </c>
      <c r="AI936" s="122">
        <f t="shared" si="1609"/>
        <v>0.0019632445992351076</v>
      </c>
    </row>
    <row r="937" hidden="1" outlineLevel="1">
      <c r="A937" s="44" t="inlineStr">
        <is>
          <t>ppici</t>
        </is>
      </c>
      <c r="B937" s="3" t="inlineStr">
        <is>
          <t>ftr</t>
        </is>
      </c>
      <c r="C937" s="3" t="inlineStr"/>
      <c r="D937" s="3" t="n"/>
      <c r="E937" s="3" t="n"/>
      <c r="H937" s="3" t="inlineStr">
        <is>
          <t>Fuel transformation &amp; transportation: input-cost price change, output-weighted</t>
        </is>
      </c>
      <c r="I937" s="3" t="inlineStr">
        <is>
          <t>fraction</t>
        </is>
      </c>
      <c r="J937" s="118" t="inlineStr">
        <is>
          <t>legacy P:U 3285-3296, MTOutputs 1035-1058 (by sector code, fix D27)</t>
        </is>
      </c>
      <c r="K937" s="9" t="str">
        <f>LOWER(CtryCode)&amp;".distn."&amp;$A937&amp;IF($B937="","","."&amp;$B937)&amp;IF($C937="","",".dec."&amp;$C937)&amp;"."&amp;K$5</f>
        <v>egy.distn.ppici.ftr.1</v>
      </c>
      <c r="L937" s="121">
        <f>IFERROR(SUMPRODUCT((DSecCpat=$B937)*DSecOut*L$638:L$701)/SUMIF(DSecCpat,$B937,DSecOut),0)</f>
        <v>0.0</v>
      </c>
      <c r="M937" s="122">
        <f t="shared" ref="M937:V937" si="1610">L937</f>
        <v>0.0</v>
      </c>
      <c r="N937" s="122">
        <f t="shared" si="1610"/>
        <v>0.0</v>
      </c>
      <c r="O937" s="122">
        <f t="shared" si="1610"/>
        <v>0.0</v>
      </c>
      <c r="P937" s="122">
        <f t="shared" si="1610"/>
        <v>0.0</v>
      </c>
      <c r="Q937" s="122">
        <f t="shared" si="1610"/>
        <v>0.0</v>
      </c>
      <c r="R937" s="122">
        <f t="shared" si="1610"/>
        <v>0.0</v>
      </c>
      <c r="S937" s="122">
        <f t="shared" si="1610"/>
        <v>0.0</v>
      </c>
      <c r="T937" s="122">
        <f t="shared" si="1610"/>
        <v>0.0</v>
      </c>
      <c r="U937" s="122">
        <f t="shared" si="1610"/>
        <v>0.0</v>
      </c>
      <c r="V937" s="122">
        <f t="shared" si="1610"/>
        <v>0.0</v>
      </c>
      <c r="W937" s="201" t="str">
        <f>IF(X$5=K$5,SUM(Y937:AI937)-SUM(L937:V937),"")</f>
        <v/>
      </c>
      <c r="X937" s="9" t="str">
        <f>LOWER(CtryCode)&amp;".distn."&amp;$A937&amp;IF($B937="","","."&amp;$B937)&amp;IF($C937="","",".dec."&amp;$C937)&amp;"."&amp;X$5</f>
        <v>egy.distn.ppici.ftr.2</v>
      </c>
      <c r="Y937" s="121">
        <f>IFERROR(SUMPRODUCT((DSecCpat=$B937)*DSecOut*Y$638:Y$701)/SUMIF(DSecCpat,$B937,DSecOut),0)</f>
        <v>0.0</v>
      </c>
      <c r="Z937" s="122">
        <f t="shared" ref="Z937:AI937" si="1611">Y937</f>
        <v>0.0</v>
      </c>
      <c r="AA937" s="122">
        <f t="shared" si="1611"/>
        <v>0.0</v>
      </c>
      <c r="AB937" s="122">
        <f t="shared" si="1611"/>
        <v>0.0</v>
      </c>
      <c r="AC937" s="122">
        <f t="shared" si="1611"/>
        <v>0.0</v>
      </c>
      <c r="AD937" s="122">
        <f t="shared" si="1611"/>
        <v>0.0</v>
      </c>
      <c r="AE937" s="122">
        <f t="shared" si="1611"/>
        <v>0.0</v>
      </c>
      <c r="AF937" s="122">
        <f t="shared" si="1611"/>
        <v>0.0</v>
      </c>
      <c r="AG937" s="122">
        <f t="shared" si="1611"/>
        <v>0.0</v>
      </c>
      <c r="AH937" s="122">
        <f t="shared" si="1611"/>
        <v>0.0</v>
      </c>
      <c r="AI937" s="122">
        <f t="shared" si="1611"/>
        <v>0.0</v>
      </c>
    </row>
    <row r="938" hidden="1" outlineLevel="1">
      <c r="A938" s="44" t="inlineStr">
        <is>
          <t>ppici</t>
        </is>
      </c>
      <c r="B938" s="3" t="inlineStr">
        <is>
          <t>res</t>
        </is>
      </c>
      <c r="C938" s="3" t="inlineStr"/>
      <c r="D938" s="3" t="n"/>
      <c r="E938" s="3" t="n"/>
      <c r="H938" s="3" t="inlineStr">
        <is>
          <t>Residential sector: input-cost price change, output-weighted</t>
        </is>
      </c>
      <c r="I938" s="3" t="inlineStr">
        <is>
          <t>fraction</t>
        </is>
      </c>
      <c r="J938" s="118" t="inlineStr">
        <is>
          <t>legacy P:U 3285-3296, MTOutputs 1035-1058 (by sector code, fix D27)</t>
        </is>
      </c>
      <c r="K938" s="9" t="str">
        <f>LOWER(CtryCode)&amp;".distn."&amp;$A938&amp;IF($B938="","","."&amp;$B938)&amp;IF($C938="","",".dec."&amp;$C938)&amp;"."&amp;K$5</f>
        <v>egy.distn.ppici.res.1</v>
      </c>
      <c r="L938" s="121">
        <f>IFERROR(SUMPRODUCT((DSecCpat=$B938)*DSecOut*L$638:L$701)/SUMIF(DSecCpat,$B938,DSecOut),0)</f>
        <v>0.0</v>
      </c>
      <c r="M938" s="122">
        <f t="shared" ref="M938:V938" si="1612">L938</f>
        <v>0.0</v>
      </c>
      <c r="N938" s="122">
        <f t="shared" si="1612"/>
        <v>0.0</v>
      </c>
      <c r="O938" s="122">
        <f t="shared" si="1612"/>
        <v>0.0</v>
      </c>
      <c r="P938" s="122">
        <f t="shared" si="1612"/>
        <v>0.0</v>
      </c>
      <c r="Q938" s="122">
        <f t="shared" si="1612"/>
        <v>0.0</v>
      </c>
      <c r="R938" s="122">
        <f t="shared" si="1612"/>
        <v>0.0</v>
      </c>
      <c r="S938" s="122">
        <f t="shared" si="1612"/>
        <v>0.0</v>
      </c>
      <c r="T938" s="122">
        <f t="shared" si="1612"/>
        <v>0.0</v>
      </c>
      <c r="U938" s="122">
        <f t="shared" si="1612"/>
        <v>0.0</v>
      </c>
      <c r="V938" s="122">
        <f t="shared" si="1612"/>
        <v>0.0</v>
      </c>
      <c r="W938" s="201" t="str">
        <f>IF(X$5=K$5,SUM(Y938:AI938)-SUM(L938:V938),"")</f>
        <v/>
      </c>
      <c r="X938" s="9" t="str">
        <f>LOWER(CtryCode)&amp;".distn."&amp;$A938&amp;IF($B938="","","."&amp;$B938)&amp;IF($C938="","",".dec."&amp;$C938)&amp;"."&amp;X$5</f>
        <v>egy.distn.ppici.res.2</v>
      </c>
      <c r="Y938" s="121">
        <f>IFERROR(SUMPRODUCT((DSecCpat=$B938)*DSecOut*Y$638:Y$701)/SUMIF(DSecCpat,$B938,DSecOut),0)</f>
        <v>0.0010322684094301005</v>
      </c>
      <c r="Z938" s="122">
        <f t="shared" ref="Z938:AI938" si="1613">Y938</f>
        <v>0.0010322684094301005</v>
      </c>
      <c r="AA938" s="122">
        <f t="shared" si="1613"/>
        <v>0.0010322684094301005</v>
      </c>
      <c r="AB938" s="122">
        <f t="shared" si="1613"/>
        <v>0.0010322684094301005</v>
      </c>
      <c r="AC938" s="122">
        <f t="shared" si="1613"/>
        <v>0.0010322684094301005</v>
      </c>
      <c r="AD938" s="122">
        <f t="shared" si="1613"/>
        <v>0.0010322684094301005</v>
      </c>
      <c r="AE938" s="122">
        <f t="shared" si="1613"/>
        <v>0.0010322684094301005</v>
      </c>
      <c r="AF938" s="122">
        <f t="shared" si="1613"/>
        <v>0.0010322684094301005</v>
      </c>
      <c r="AG938" s="122">
        <f t="shared" si="1613"/>
        <v>0.0010322684094301005</v>
      </c>
      <c r="AH938" s="122">
        <f t="shared" si="1613"/>
        <v>0.0010322684094301005</v>
      </c>
      <c r="AI938" s="122">
        <f t="shared" si="1613"/>
        <v>0.0010322684094301005</v>
      </c>
    </row>
    <row r="939" hidden="1" outlineLevel="1">
      <c r="A939" s="44" t="inlineStr">
        <is>
          <t>ppici</t>
        </is>
      </c>
      <c r="B939" s="3" t="inlineStr">
        <is>
          <t>pow</t>
        </is>
      </c>
      <c r="C939" s="3" t="inlineStr"/>
      <c r="D939" s="3" t="n"/>
      <c r="E939" s="3" t="n"/>
      <c r="H939" s="3" t="inlineStr">
        <is>
          <t>Electricity production: input-cost price change, output-weighted</t>
        </is>
      </c>
      <c r="I939" s="3" t="inlineStr">
        <is>
          <t>fraction</t>
        </is>
      </c>
      <c r="J939" s="118" t="inlineStr">
        <is>
          <t>legacy P:U 3285-3296, MTOutputs 1035-1058 (by sector code, fix D27)</t>
        </is>
      </c>
      <c r="K939" s="9" t="str">
        <f>LOWER(CtryCode)&amp;".distn."&amp;$A939&amp;IF($B939="","","."&amp;$B939)&amp;IF($C939="","",".dec."&amp;$C939)&amp;"."&amp;K$5</f>
        <v>egy.distn.ppici.pow.1</v>
      </c>
      <c r="L939" s="121">
        <f>IFERROR(SUMPRODUCT((DSecCpat=$B939)*DSecOut*L$638:L$701)/SUMIF(DSecCpat,$B939,DSecOut),0)</f>
        <v>0.0</v>
      </c>
      <c r="M939" s="122">
        <f t="shared" ref="M939:V939" si="1614">L939</f>
        <v>0.0</v>
      </c>
      <c r="N939" s="122">
        <f t="shared" si="1614"/>
        <v>0.0</v>
      </c>
      <c r="O939" s="122">
        <f t="shared" si="1614"/>
        <v>0.0</v>
      </c>
      <c r="P939" s="122">
        <f t="shared" si="1614"/>
        <v>0.0</v>
      </c>
      <c r="Q939" s="122">
        <f t="shared" si="1614"/>
        <v>0.0</v>
      </c>
      <c r="R939" s="122">
        <f t="shared" si="1614"/>
        <v>0.0</v>
      </c>
      <c r="S939" s="122">
        <f t="shared" si="1614"/>
        <v>0.0</v>
      </c>
      <c r="T939" s="122">
        <f t="shared" si="1614"/>
        <v>0.0</v>
      </c>
      <c r="U939" s="122">
        <f t="shared" si="1614"/>
        <v>0.0</v>
      </c>
      <c r="V939" s="122">
        <f t="shared" si="1614"/>
        <v>0.0</v>
      </c>
      <c r="W939" s="201" t="str">
        <f>IF(X$5=K$5,SUM(Y939:AI939)-SUM(L939:V939),"")</f>
        <v/>
      </c>
      <c r="X939" s="9" t="str">
        <f>LOWER(CtryCode)&amp;".distn."&amp;$A939&amp;IF($B939="","","."&amp;$B939)&amp;IF($C939="","",".dec."&amp;$C939)&amp;"."&amp;X$5</f>
        <v>egy.distn.ppici.pow.2</v>
      </c>
      <c r="Y939" s="121">
        <f>IFERROR(SUMPRODUCT((DSecCpat=$B939)*DSecOut*Y$638:Y$701)/SUMIF(DSecCpat,$B939,DSecOut),0)</f>
        <v>0.0</v>
      </c>
      <c r="Z939" s="122">
        <f t="shared" ref="Z939:AI939" si="1615">Y939</f>
        <v>0.0</v>
      </c>
      <c r="AA939" s="122">
        <f t="shared" si="1615"/>
        <v>0.0</v>
      </c>
      <c r="AB939" s="122">
        <f t="shared" si="1615"/>
        <v>0.0</v>
      </c>
      <c r="AC939" s="122">
        <f t="shared" si="1615"/>
        <v>0.0</v>
      </c>
      <c r="AD939" s="122">
        <f t="shared" si="1615"/>
        <v>0.0</v>
      </c>
      <c r="AE939" s="122">
        <f t="shared" si="1615"/>
        <v>0.0</v>
      </c>
      <c r="AF939" s="122">
        <f t="shared" si="1615"/>
        <v>0.0</v>
      </c>
      <c r="AG939" s="122">
        <f t="shared" si="1615"/>
        <v>0.0</v>
      </c>
      <c r="AH939" s="122">
        <f t="shared" si="1615"/>
        <v>0.0</v>
      </c>
      <c r="AI939" s="122">
        <f t="shared" si="1615"/>
        <v>0.0</v>
      </c>
    </row>
    <row r="940" hidden="1" outlineLevel="1">
      <c r="A940" s="44" t="inlineStr">
        <is>
          <t>ppic</t>
        </is>
      </c>
      <c r="B940" s="3" t="inlineStr">
        <is>
          <t>avi</t>
        </is>
      </c>
      <c r="C940" s="3" t="inlineStr"/>
      <c r="D940" s="3" t="n"/>
      <c r="E940" s="3" t="n"/>
      <c r="H940" s="3" t="inlineStr">
        <is>
          <t>Domestic aviation: output price change, output-weighted</t>
        </is>
      </c>
      <c r="I940" s="3" t="inlineStr">
        <is>
          <t>fraction</t>
        </is>
      </c>
      <c r="J940" s="118" t="inlineStr">
        <is>
          <t>legacy P:U 3285-3296, MTOutputs 1035-1058 (by sector code, fix D27)</t>
        </is>
      </c>
      <c r="K940" s="9" t="str">
        <f>LOWER(CtryCode)&amp;".distn."&amp;$A940&amp;IF($B940="","","."&amp;$B940)&amp;IF($C940="","",".dec."&amp;$C940)&amp;"."&amp;K$5</f>
        <v>egy.distn.ppic.avi.1</v>
      </c>
      <c r="L940" s="121">
        <f>IFERROR(SUMPRODUCT((DSecCpat=$B940)*DSecOut*L$704:L$767)/SUMIF(DSecCpat,$B940,DSecOut),0)</f>
        <v>0.0</v>
      </c>
      <c r="M940" s="122">
        <f t="shared" ref="M940:V940" si="1616">L940</f>
        <v>0.0</v>
      </c>
      <c r="N940" s="122">
        <f t="shared" si="1616"/>
        <v>0.0</v>
      </c>
      <c r="O940" s="122">
        <f t="shared" si="1616"/>
        <v>0.0</v>
      </c>
      <c r="P940" s="122">
        <f t="shared" si="1616"/>
        <v>0.0</v>
      </c>
      <c r="Q940" s="122">
        <f t="shared" si="1616"/>
        <v>0.0</v>
      </c>
      <c r="R940" s="122">
        <f t="shared" si="1616"/>
        <v>0.0</v>
      </c>
      <c r="S940" s="122">
        <f t="shared" si="1616"/>
        <v>0.0</v>
      </c>
      <c r="T940" s="122">
        <f t="shared" si="1616"/>
        <v>0.0</v>
      </c>
      <c r="U940" s="122">
        <f t="shared" si="1616"/>
        <v>0.0</v>
      </c>
      <c r="V940" s="122">
        <f t="shared" si="1616"/>
        <v>0.0</v>
      </c>
      <c r="W940" s="201" t="str">
        <f>IF(X$5=K$5,SUM(Y940:AI940)-SUM(L940:V940),"")</f>
        <v/>
      </c>
      <c r="X940" s="9" t="str">
        <f>LOWER(CtryCode)&amp;".distn."&amp;$A940&amp;IF($B940="","","."&amp;$B940)&amp;IF($C940="","",".dec."&amp;$C940)&amp;"."&amp;X$5</f>
        <v>egy.distn.ppic.avi.2</v>
      </c>
      <c r="Y940" s="121">
        <f>IFERROR(SUMPRODUCT((DSecCpat=$B940)*DSecOut*Y$704:Y$767)/SUMIF(DSecCpat,$B940,DSecOut),0)</f>
        <v>0.007533819297724958</v>
      </c>
      <c r="Z940" s="122">
        <f t="shared" ref="Z940:AI940" si="1617">Y940</f>
        <v>0.007533819297724958</v>
      </c>
      <c r="AA940" s="122">
        <f t="shared" si="1617"/>
        <v>0.007533819297724958</v>
      </c>
      <c r="AB940" s="122">
        <f t="shared" si="1617"/>
        <v>0.007533819297724958</v>
      </c>
      <c r="AC940" s="122">
        <f t="shared" si="1617"/>
        <v>0.007533819297724958</v>
      </c>
      <c r="AD940" s="122">
        <f t="shared" si="1617"/>
        <v>0.007533819297724958</v>
      </c>
      <c r="AE940" s="122">
        <f t="shared" si="1617"/>
        <v>0.007533819297724958</v>
      </c>
      <c r="AF940" s="122">
        <f t="shared" si="1617"/>
        <v>0.007533819297724958</v>
      </c>
      <c r="AG940" s="122">
        <f t="shared" si="1617"/>
        <v>0.007533819297724958</v>
      </c>
      <c r="AH940" s="122">
        <f t="shared" si="1617"/>
        <v>0.007533819297724958</v>
      </c>
      <c r="AI940" s="122">
        <f t="shared" si="1617"/>
        <v>0.007533819297724958</v>
      </c>
    </row>
    <row r="941" hidden="1" outlineLevel="1">
      <c r="A941" s="44" t="inlineStr">
        <is>
          <t>ppic</t>
        </is>
      </c>
      <c r="B941" s="3" t="inlineStr">
        <is>
          <t>nav</t>
        </is>
      </c>
      <c r="C941" s="3" t="inlineStr"/>
      <c r="D941" s="3" t="n"/>
      <c r="E941" s="3" t="n"/>
      <c r="H941" s="3" t="inlineStr">
        <is>
          <t>Domestic navigation: output price change, output-weighted</t>
        </is>
      </c>
      <c r="I941" s="3" t="inlineStr">
        <is>
          <t>fraction</t>
        </is>
      </c>
      <c r="J941" s="118" t="inlineStr">
        <is>
          <t>legacy P:U 3285-3296, MTOutputs 1035-1058 (by sector code, fix D27)</t>
        </is>
      </c>
      <c r="K941" s="9" t="str">
        <f>LOWER(CtryCode)&amp;".distn."&amp;$A941&amp;IF($B941="","","."&amp;$B941)&amp;IF($C941="","",".dec."&amp;$C941)&amp;"."&amp;K$5</f>
        <v>egy.distn.ppic.nav.1</v>
      </c>
      <c r="L941" s="121">
        <f>IFERROR(SUMPRODUCT((DSecCpat=$B941)*DSecOut*L$704:L$767)/SUMIF(DSecCpat,$B941,DSecOut),0)</f>
        <v>0.0</v>
      </c>
      <c r="M941" s="122">
        <f t="shared" ref="M941:V941" si="1618">L941</f>
        <v>0.0</v>
      </c>
      <c r="N941" s="122">
        <f t="shared" si="1618"/>
        <v>0.0</v>
      </c>
      <c r="O941" s="122">
        <f t="shared" si="1618"/>
        <v>0.0</v>
      </c>
      <c r="P941" s="122">
        <f t="shared" si="1618"/>
        <v>0.0</v>
      </c>
      <c r="Q941" s="122">
        <f t="shared" si="1618"/>
        <v>0.0</v>
      </c>
      <c r="R941" s="122">
        <f t="shared" si="1618"/>
        <v>0.0</v>
      </c>
      <c r="S941" s="122">
        <f t="shared" si="1618"/>
        <v>0.0</v>
      </c>
      <c r="T941" s="122">
        <f t="shared" si="1618"/>
        <v>0.0</v>
      </c>
      <c r="U941" s="122">
        <f t="shared" si="1618"/>
        <v>0.0</v>
      </c>
      <c r="V941" s="122">
        <f t="shared" si="1618"/>
        <v>0.0</v>
      </c>
      <c r="W941" s="201" t="str">
        <f>IF(X$5=K$5,SUM(Y941:AI941)-SUM(L941:V941),"")</f>
        <v/>
      </c>
      <c r="X941" s="9" t="str">
        <f>LOWER(CtryCode)&amp;".distn."&amp;$A941&amp;IF($B941="","","."&amp;$B941)&amp;IF($C941="","",".dec."&amp;$C941)&amp;"."&amp;X$5</f>
        <v>egy.distn.ppic.nav.2</v>
      </c>
      <c r="Y941" s="121">
        <f>IFERROR(SUMPRODUCT((DSecCpat=$B941)*DSecOut*Y$704:Y$767)/SUMIF(DSecCpat,$B941,DSecOut),0)</f>
        <v>0.005779495045574878</v>
      </c>
      <c r="Z941" s="122">
        <f t="shared" ref="Z941:AI941" si="1619">Y941</f>
        <v>0.005779495045574878</v>
      </c>
      <c r="AA941" s="122">
        <f t="shared" si="1619"/>
        <v>0.005779495045574878</v>
      </c>
      <c r="AB941" s="122">
        <f t="shared" si="1619"/>
        <v>0.005779495045574878</v>
      </c>
      <c r="AC941" s="122">
        <f t="shared" si="1619"/>
        <v>0.005779495045574878</v>
      </c>
      <c r="AD941" s="122">
        <f t="shared" si="1619"/>
        <v>0.005779495045574878</v>
      </c>
      <c r="AE941" s="122">
        <f t="shared" si="1619"/>
        <v>0.005779495045574878</v>
      </c>
      <c r="AF941" s="122">
        <f t="shared" si="1619"/>
        <v>0.005779495045574878</v>
      </c>
      <c r="AG941" s="122">
        <f t="shared" si="1619"/>
        <v>0.005779495045574878</v>
      </c>
      <c r="AH941" s="122">
        <f t="shared" si="1619"/>
        <v>0.005779495045574878</v>
      </c>
      <c r="AI941" s="122">
        <f t="shared" si="1619"/>
        <v>0.005779495045574878</v>
      </c>
    </row>
    <row r="942" hidden="1" outlineLevel="1">
      <c r="A942" s="44" t="inlineStr">
        <is>
          <t>ppic</t>
        </is>
      </c>
      <c r="B942" s="3" t="inlineStr">
        <is>
          <t>foo</t>
        </is>
      </c>
      <c r="C942" s="3" t="inlineStr"/>
      <c r="D942" s="3" t="n"/>
      <c r="E942" s="3" t="n"/>
      <c r="H942" s="3" t="inlineStr">
        <is>
          <t>Food &amp; forestry: output price change, output-weighted</t>
        </is>
      </c>
      <c r="I942" s="3" t="inlineStr">
        <is>
          <t>fraction</t>
        </is>
      </c>
      <c r="J942" s="118" t="inlineStr">
        <is>
          <t>legacy P:U 3285-3296, MTOutputs 1035-1058 (by sector code, fix D27)</t>
        </is>
      </c>
      <c r="K942" s="9" t="str">
        <f>LOWER(CtryCode)&amp;".distn."&amp;$A942&amp;IF($B942="","","."&amp;$B942)&amp;IF($C942="","",".dec."&amp;$C942)&amp;"."&amp;K$5</f>
        <v>egy.distn.ppic.foo.1</v>
      </c>
      <c r="L942" s="121">
        <f>IFERROR(SUMPRODUCT((DSecCpat=$B942)*DSecOut*L$704:L$767)/SUMIF(DSecCpat,$B942,DSecOut),0)</f>
        <v>0.0</v>
      </c>
      <c r="M942" s="122">
        <f t="shared" ref="M942:V942" si="1620">L942</f>
        <v>0.0</v>
      </c>
      <c r="N942" s="122">
        <f t="shared" si="1620"/>
        <v>0.0</v>
      </c>
      <c r="O942" s="122">
        <f t="shared" si="1620"/>
        <v>0.0</v>
      </c>
      <c r="P942" s="122">
        <f t="shared" si="1620"/>
        <v>0.0</v>
      </c>
      <c r="Q942" s="122">
        <f t="shared" si="1620"/>
        <v>0.0</v>
      </c>
      <c r="R942" s="122">
        <f t="shared" si="1620"/>
        <v>0.0</v>
      </c>
      <c r="S942" s="122">
        <f t="shared" si="1620"/>
        <v>0.0</v>
      </c>
      <c r="T942" s="122">
        <f t="shared" si="1620"/>
        <v>0.0</v>
      </c>
      <c r="U942" s="122">
        <f t="shared" si="1620"/>
        <v>0.0</v>
      </c>
      <c r="V942" s="122">
        <f t="shared" si="1620"/>
        <v>0.0</v>
      </c>
      <c r="W942" s="201" t="str">
        <f>IF(X$5=K$5,SUM(Y942:AI942)-SUM(L942:V942),"")</f>
        <v/>
      </c>
      <c r="X942" s="9" t="str">
        <f>LOWER(CtryCode)&amp;".distn."&amp;$A942&amp;IF($B942="","","."&amp;$B942)&amp;IF($C942="","",".dec."&amp;$C942)&amp;"."&amp;X$5</f>
        <v>egy.distn.ppic.foo.2</v>
      </c>
      <c r="Y942" s="121">
        <f>IFERROR(SUMPRODUCT((DSecCpat=$B942)*DSecOut*Y$704:Y$767)/SUMIF(DSecCpat,$B942,DSecOut),0)</f>
        <v>0.0012127707642121696</v>
      </c>
      <c r="Z942" s="122">
        <f t="shared" ref="Z942:AI942" si="1621">Y942</f>
        <v>0.0012127707642121696</v>
      </c>
      <c r="AA942" s="122">
        <f t="shared" si="1621"/>
        <v>0.0012127707642121696</v>
      </c>
      <c r="AB942" s="122">
        <f t="shared" si="1621"/>
        <v>0.0012127707642121696</v>
      </c>
      <c r="AC942" s="122">
        <f t="shared" si="1621"/>
        <v>0.0012127707642121696</v>
      </c>
      <c r="AD942" s="122">
        <f t="shared" si="1621"/>
        <v>0.0012127707642121696</v>
      </c>
      <c r="AE942" s="122">
        <f t="shared" si="1621"/>
        <v>0.0012127707642121696</v>
      </c>
      <c r="AF942" s="122">
        <f t="shared" si="1621"/>
        <v>0.0012127707642121696</v>
      </c>
      <c r="AG942" s="122">
        <f t="shared" si="1621"/>
        <v>0.0012127707642121696</v>
      </c>
      <c r="AH942" s="122">
        <f t="shared" si="1621"/>
        <v>0.0012127707642121696</v>
      </c>
      <c r="AI942" s="122">
        <f t="shared" si="1621"/>
        <v>0.0012127707642121696</v>
      </c>
    </row>
    <row r="943" hidden="1" outlineLevel="1">
      <c r="A943" s="44" t="inlineStr">
        <is>
          <t>ppic</t>
        </is>
      </c>
      <c r="B943" s="3" t="inlineStr">
        <is>
          <t>srv</t>
        </is>
      </c>
      <c r="C943" s="3" t="inlineStr"/>
      <c r="D943" s="3" t="n"/>
      <c r="E943" s="3" t="n"/>
      <c r="H943" s="3" t="inlineStr">
        <is>
          <t>Services (public &amp; private): output price change, output-weighted</t>
        </is>
      </c>
      <c r="I943" s="3" t="inlineStr">
        <is>
          <t>fraction</t>
        </is>
      </c>
      <c r="J943" s="118" t="inlineStr">
        <is>
          <t>legacy P:U 3285-3296, MTOutputs 1035-1058 (by sector code, fix D27)</t>
        </is>
      </c>
      <c r="K943" s="9" t="str">
        <f>LOWER(CtryCode)&amp;".distn."&amp;$A943&amp;IF($B943="","","."&amp;$B943)&amp;IF($C943="","",".dec."&amp;$C943)&amp;"."&amp;K$5</f>
        <v>egy.distn.ppic.srv.1</v>
      </c>
      <c r="L943" s="121">
        <f>IFERROR(SUMPRODUCT((DSecCpat=$B943)*DSecOut*L$704:L$767)/SUMIF(DSecCpat,$B943,DSecOut),0)</f>
        <v>0.0</v>
      </c>
      <c r="M943" s="122">
        <f t="shared" ref="M943:V943" si="1622">L943</f>
        <v>0.0</v>
      </c>
      <c r="N943" s="122">
        <f t="shared" si="1622"/>
        <v>0.0</v>
      </c>
      <c r="O943" s="122">
        <f t="shared" si="1622"/>
        <v>0.0</v>
      </c>
      <c r="P943" s="122">
        <f t="shared" si="1622"/>
        <v>0.0</v>
      </c>
      <c r="Q943" s="122">
        <f t="shared" si="1622"/>
        <v>0.0</v>
      </c>
      <c r="R943" s="122">
        <f t="shared" si="1622"/>
        <v>0.0</v>
      </c>
      <c r="S943" s="122">
        <f t="shared" si="1622"/>
        <v>0.0</v>
      </c>
      <c r="T943" s="122">
        <f t="shared" si="1622"/>
        <v>0.0</v>
      </c>
      <c r="U943" s="122">
        <f t="shared" si="1622"/>
        <v>0.0</v>
      </c>
      <c r="V943" s="122">
        <f t="shared" si="1622"/>
        <v>0.0</v>
      </c>
      <c r="W943" s="201" t="str">
        <f>IF(X$5=K$5,SUM(Y943:AI943)-SUM(L943:V943),"")</f>
        <v/>
      </c>
      <c r="X943" s="9" t="str">
        <f>LOWER(CtryCode)&amp;".distn."&amp;$A943&amp;IF($B943="","","."&amp;$B943)&amp;IF($C943="","",".dec."&amp;$C943)&amp;"."&amp;X$5</f>
        <v>egy.distn.ppic.srv.2</v>
      </c>
      <c r="Y943" s="121">
        <f>IFERROR(SUMPRODUCT((DSecCpat=$B943)*DSecOut*Y$704:Y$767)/SUMIF(DSecCpat,$B943,DSecOut),0)</f>
        <v>0.0008403297588119551</v>
      </c>
      <c r="Z943" s="122">
        <f t="shared" ref="Z943:AI943" si="1623">Y943</f>
        <v>0.0008403297588119551</v>
      </c>
      <c r="AA943" s="122">
        <f t="shared" si="1623"/>
        <v>0.0008403297588119551</v>
      </c>
      <c r="AB943" s="122">
        <f t="shared" si="1623"/>
        <v>0.0008403297588119551</v>
      </c>
      <c r="AC943" s="122">
        <f t="shared" si="1623"/>
        <v>0.0008403297588119551</v>
      </c>
      <c r="AD943" s="122">
        <f t="shared" si="1623"/>
        <v>0.0008403297588119551</v>
      </c>
      <c r="AE943" s="122">
        <f t="shared" si="1623"/>
        <v>0.0008403297588119551</v>
      </c>
      <c r="AF943" s="122">
        <f t="shared" si="1623"/>
        <v>0.0008403297588119551</v>
      </c>
      <c r="AG943" s="122">
        <f t="shared" si="1623"/>
        <v>0.0008403297588119551</v>
      </c>
      <c r="AH943" s="122">
        <f t="shared" si="1623"/>
        <v>0.0008403297588119551</v>
      </c>
      <c r="AI943" s="122">
        <f t="shared" si="1623"/>
        <v>0.0008403297588119551</v>
      </c>
    </row>
    <row r="944" hidden="1" outlineLevel="1">
      <c r="A944" s="44" t="inlineStr">
        <is>
          <t>ppic</t>
        </is>
      </c>
      <c r="B944" s="3" t="inlineStr">
        <is>
          <t>mch</t>
        </is>
      </c>
      <c r="C944" s="3" t="inlineStr"/>
      <c r="D944" s="3" t="n"/>
      <c r="E944" s="3" t="n"/>
      <c r="H944" s="3" t="inlineStr">
        <is>
          <t>Mining &amp; Chemicals: output price change, output-weighted</t>
        </is>
      </c>
      <c r="I944" s="3" t="inlineStr">
        <is>
          <t>fraction</t>
        </is>
      </c>
      <c r="J944" s="118" t="inlineStr">
        <is>
          <t>legacy P:U 3285-3296, MTOutputs 1035-1058 (by sector code, fix D27)</t>
        </is>
      </c>
      <c r="K944" s="9" t="str">
        <f>LOWER(CtryCode)&amp;".distn."&amp;$A944&amp;IF($B944="","","."&amp;$B944)&amp;IF($C944="","",".dec."&amp;$C944)&amp;"."&amp;K$5</f>
        <v>egy.distn.ppic.mch.1</v>
      </c>
      <c r="L944" s="121">
        <f>IFERROR(SUMPRODUCT((DSecCpat=$B944)*DSecOut*L$704:L$767)/SUMIF(DSecCpat,$B944,DSecOut),0)</f>
        <v>0.0</v>
      </c>
      <c r="M944" s="122">
        <f t="shared" ref="M944:V944" si="1624">L944</f>
        <v>0.0</v>
      </c>
      <c r="N944" s="122">
        <f t="shared" si="1624"/>
        <v>0.0</v>
      </c>
      <c r="O944" s="122">
        <f t="shared" si="1624"/>
        <v>0.0</v>
      </c>
      <c r="P944" s="122">
        <f t="shared" si="1624"/>
        <v>0.0</v>
      </c>
      <c r="Q944" s="122">
        <f t="shared" si="1624"/>
        <v>0.0</v>
      </c>
      <c r="R944" s="122">
        <f t="shared" si="1624"/>
        <v>0.0</v>
      </c>
      <c r="S944" s="122">
        <f t="shared" si="1624"/>
        <v>0.0</v>
      </c>
      <c r="T944" s="122">
        <f t="shared" si="1624"/>
        <v>0.0</v>
      </c>
      <c r="U944" s="122">
        <f t="shared" si="1624"/>
        <v>0.0</v>
      </c>
      <c r="V944" s="122">
        <f t="shared" si="1624"/>
        <v>0.0</v>
      </c>
      <c r="W944" s="201" t="str">
        <f>IF(X$5=K$5,SUM(Y944:AI944)-SUM(L944:V944),"")</f>
        <v/>
      </c>
      <c r="X944" s="9" t="str">
        <f>LOWER(CtryCode)&amp;".distn."&amp;$A944&amp;IF($B944="","","."&amp;$B944)&amp;IF($C944="","",".dec."&amp;$C944)&amp;"."&amp;X$5</f>
        <v>egy.distn.ppic.mch.2</v>
      </c>
      <c r="Y944" s="121">
        <f>IFERROR(SUMPRODUCT((DSecCpat=$B944)*DSecOut*Y$704:Y$767)/SUMIF(DSecCpat,$B944,DSecOut),0)</f>
        <v>0.00594704035836759</v>
      </c>
      <c r="Z944" s="122">
        <f t="shared" ref="Z944:AI944" si="1625">Y944</f>
        <v>0.00594704035836759</v>
      </c>
      <c r="AA944" s="122">
        <f t="shared" si="1625"/>
        <v>0.00594704035836759</v>
      </c>
      <c r="AB944" s="122">
        <f t="shared" si="1625"/>
        <v>0.00594704035836759</v>
      </c>
      <c r="AC944" s="122">
        <f t="shared" si="1625"/>
        <v>0.00594704035836759</v>
      </c>
      <c r="AD944" s="122">
        <f t="shared" si="1625"/>
        <v>0.00594704035836759</v>
      </c>
      <c r="AE944" s="122">
        <f t="shared" si="1625"/>
        <v>0.00594704035836759</v>
      </c>
      <c r="AF944" s="122">
        <f t="shared" si="1625"/>
        <v>0.00594704035836759</v>
      </c>
      <c r="AG944" s="122">
        <f t="shared" si="1625"/>
        <v>0.00594704035836759</v>
      </c>
      <c r="AH944" s="122">
        <f t="shared" si="1625"/>
        <v>0.00594704035836759</v>
      </c>
      <c r="AI944" s="122">
        <f t="shared" si="1625"/>
        <v>0.00594704035836759</v>
      </c>
    </row>
    <row r="945" hidden="1" outlineLevel="1">
      <c r="A945" s="44" t="inlineStr">
        <is>
          <t>ppic</t>
        </is>
      </c>
      <c r="B945" s="3" t="inlineStr">
        <is>
          <t>irn</t>
        </is>
      </c>
      <c r="C945" s="3" t="inlineStr"/>
      <c r="D945" s="3" t="n"/>
      <c r="E945" s="3" t="n"/>
      <c r="H945" s="3" t="inlineStr">
        <is>
          <t>Iron and steel: output price change, output-weighted</t>
        </is>
      </c>
      <c r="I945" s="3" t="inlineStr">
        <is>
          <t>fraction</t>
        </is>
      </c>
      <c r="J945" s="118" t="inlineStr">
        <is>
          <t>legacy P:U 3285-3296, MTOutputs 1035-1058 (by sector code, fix D27)</t>
        </is>
      </c>
      <c r="K945" s="9" t="str">
        <f>LOWER(CtryCode)&amp;".distn."&amp;$A945&amp;IF($B945="","","."&amp;$B945)&amp;IF($C945="","",".dec."&amp;$C945)&amp;"."&amp;K$5</f>
        <v>egy.distn.ppic.irn.1</v>
      </c>
      <c r="L945" s="121">
        <f>IFERROR(SUMPRODUCT((DSecCpat=$B945)*DSecOut*L$704:L$767)/SUMIF(DSecCpat,$B945,DSecOut),0)</f>
        <v>0.0</v>
      </c>
      <c r="M945" s="122">
        <f t="shared" ref="M945:V945" si="1626">L945</f>
        <v>0.0</v>
      </c>
      <c r="N945" s="122">
        <f t="shared" si="1626"/>
        <v>0.0</v>
      </c>
      <c r="O945" s="122">
        <f t="shared" si="1626"/>
        <v>0.0</v>
      </c>
      <c r="P945" s="122">
        <f t="shared" si="1626"/>
        <v>0.0</v>
      </c>
      <c r="Q945" s="122">
        <f t="shared" si="1626"/>
        <v>0.0</v>
      </c>
      <c r="R945" s="122">
        <f t="shared" si="1626"/>
        <v>0.0</v>
      </c>
      <c r="S945" s="122">
        <f t="shared" si="1626"/>
        <v>0.0</v>
      </c>
      <c r="T945" s="122">
        <f t="shared" si="1626"/>
        <v>0.0</v>
      </c>
      <c r="U945" s="122">
        <f t="shared" si="1626"/>
        <v>0.0</v>
      </c>
      <c r="V945" s="122">
        <f t="shared" si="1626"/>
        <v>0.0</v>
      </c>
      <c r="W945" s="201" t="str">
        <f>IF(X$5=K$5,SUM(Y945:AI945)-SUM(L945:V945),"")</f>
        <v/>
      </c>
      <c r="X945" s="9" t="str">
        <f>LOWER(CtryCode)&amp;".distn."&amp;$A945&amp;IF($B945="","","."&amp;$B945)&amp;IF($C945="","",".dec."&amp;$C945)&amp;"."&amp;X$5</f>
        <v>egy.distn.ppic.irn.2</v>
      </c>
      <c r="Y945" s="121">
        <f>IFERROR(SUMPRODUCT((DSecCpat=$B945)*DSecOut*Y$704:Y$767)/SUMIF(DSecCpat,$B945,DSecOut),0)</f>
        <v>0.005639113544198024</v>
      </c>
      <c r="Z945" s="122">
        <f t="shared" ref="Z945:AI945" si="1627">Y945</f>
        <v>0.005639113544198024</v>
      </c>
      <c r="AA945" s="122">
        <f t="shared" si="1627"/>
        <v>0.005639113544198024</v>
      </c>
      <c r="AB945" s="122">
        <f t="shared" si="1627"/>
        <v>0.005639113544198024</v>
      </c>
      <c r="AC945" s="122">
        <f t="shared" si="1627"/>
        <v>0.005639113544198024</v>
      </c>
      <c r="AD945" s="122">
        <f t="shared" si="1627"/>
        <v>0.005639113544198024</v>
      </c>
      <c r="AE945" s="122">
        <f t="shared" si="1627"/>
        <v>0.005639113544198024</v>
      </c>
      <c r="AF945" s="122">
        <f t="shared" si="1627"/>
        <v>0.005639113544198024</v>
      </c>
      <c r="AG945" s="122">
        <f t="shared" si="1627"/>
        <v>0.005639113544198024</v>
      </c>
      <c r="AH945" s="122">
        <f t="shared" si="1627"/>
        <v>0.005639113544198024</v>
      </c>
      <c r="AI945" s="122">
        <f t="shared" si="1627"/>
        <v>0.005639113544198024</v>
      </c>
    </row>
    <row r="946" hidden="1" outlineLevel="1">
      <c r="A946" s="44" t="inlineStr">
        <is>
          <t>ppic</t>
        </is>
      </c>
      <c r="B946" s="3" t="inlineStr">
        <is>
          <t>nfm</t>
        </is>
      </c>
      <c r="C946" s="3" t="inlineStr"/>
      <c r="D946" s="3" t="n"/>
      <c r="E946" s="3" t="n"/>
      <c r="H946" s="3" t="inlineStr">
        <is>
          <t>Non-ferrous metals: output price change, output-weighted</t>
        </is>
      </c>
      <c r="I946" s="3" t="inlineStr">
        <is>
          <t>fraction</t>
        </is>
      </c>
      <c r="J946" s="118" t="inlineStr">
        <is>
          <t>legacy P:U 3285-3296, MTOutputs 1035-1058 (by sector code, fix D27)</t>
        </is>
      </c>
      <c r="K946" s="9" t="str">
        <f>LOWER(CtryCode)&amp;".distn."&amp;$A946&amp;IF($B946="","","."&amp;$B946)&amp;IF($C946="","",".dec."&amp;$C946)&amp;"."&amp;K$5</f>
        <v>egy.distn.ppic.nfm.1</v>
      </c>
      <c r="L946" s="121">
        <f>IFERROR(SUMPRODUCT((DSecCpat=$B946)*DSecOut*L$704:L$767)/SUMIF(DSecCpat,$B946,DSecOut),0)</f>
        <v>0.0</v>
      </c>
      <c r="M946" s="122">
        <f t="shared" ref="M946:V946" si="1628">L946</f>
        <v>0.0</v>
      </c>
      <c r="N946" s="122">
        <f t="shared" si="1628"/>
        <v>0.0</v>
      </c>
      <c r="O946" s="122">
        <f t="shared" si="1628"/>
        <v>0.0</v>
      </c>
      <c r="P946" s="122">
        <f t="shared" si="1628"/>
        <v>0.0</v>
      </c>
      <c r="Q946" s="122">
        <f t="shared" si="1628"/>
        <v>0.0</v>
      </c>
      <c r="R946" s="122">
        <f t="shared" si="1628"/>
        <v>0.0</v>
      </c>
      <c r="S946" s="122">
        <f t="shared" si="1628"/>
        <v>0.0</v>
      </c>
      <c r="T946" s="122">
        <f t="shared" si="1628"/>
        <v>0.0</v>
      </c>
      <c r="U946" s="122">
        <f t="shared" si="1628"/>
        <v>0.0</v>
      </c>
      <c r="V946" s="122">
        <f t="shared" si="1628"/>
        <v>0.0</v>
      </c>
      <c r="W946" s="201" t="str">
        <f>IF(X$5=K$5,SUM(Y946:AI946)-SUM(L946:V946),"")</f>
        <v/>
      </c>
      <c r="X946" s="9" t="str">
        <f>LOWER(CtryCode)&amp;".distn."&amp;$A946&amp;IF($B946="","","."&amp;$B946)&amp;IF($C946="","",".dec."&amp;$C946)&amp;"."&amp;X$5</f>
        <v>egy.distn.ppic.nfm.2</v>
      </c>
      <c r="Y946" s="121">
        <f>IFERROR(SUMPRODUCT((DSecCpat=$B946)*DSecOut*Y$704:Y$767)/SUMIF(DSecCpat,$B946,DSecOut),0)</f>
        <v>0.0041046532004021</v>
      </c>
      <c r="Z946" s="122">
        <f t="shared" ref="Z946:AI946" si="1629">Y946</f>
        <v>0.0041046532004021</v>
      </c>
      <c r="AA946" s="122">
        <f t="shared" si="1629"/>
        <v>0.0041046532004021</v>
      </c>
      <c r="AB946" s="122">
        <f t="shared" si="1629"/>
        <v>0.0041046532004021</v>
      </c>
      <c r="AC946" s="122">
        <f t="shared" si="1629"/>
        <v>0.0041046532004021</v>
      </c>
      <c r="AD946" s="122">
        <f t="shared" si="1629"/>
        <v>0.0041046532004021</v>
      </c>
      <c r="AE946" s="122">
        <f t="shared" si="1629"/>
        <v>0.0041046532004021</v>
      </c>
      <c r="AF946" s="122">
        <f t="shared" si="1629"/>
        <v>0.0041046532004021</v>
      </c>
      <c r="AG946" s="122">
        <f t="shared" si="1629"/>
        <v>0.0041046532004021</v>
      </c>
      <c r="AH946" s="122">
        <f t="shared" si="1629"/>
        <v>0.0041046532004021</v>
      </c>
      <c r="AI946" s="122">
        <f t="shared" si="1629"/>
        <v>0.0041046532004021</v>
      </c>
    </row>
    <row r="947" hidden="1" outlineLevel="1">
      <c r="A947" s="44" t="inlineStr">
        <is>
          <t>ppic</t>
        </is>
      </c>
      <c r="B947" s="3" t="inlineStr">
        <is>
          <t>mac</t>
        </is>
      </c>
      <c r="C947" s="3" t="inlineStr"/>
      <c r="D947" s="3" t="n"/>
      <c r="E947" s="3" t="n"/>
      <c r="H947" s="3" t="inlineStr">
        <is>
          <t>Machinery: output price change, output-weighted</t>
        </is>
      </c>
      <c r="I947" s="3" t="inlineStr">
        <is>
          <t>fraction</t>
        </is>
      </c>
      <c r="J947" s="118" t="inlineStr">
        <is>
          <t>legacy P:U 3285-3296, MTOutputs 1035-1058 (by sector code, fix D27)</t>
        </is>
      </c>
      <c r="K947" s="9" t="str">
        <f>LOWER(CtryCode)&amp;".distn."&amp;$A947&amp;IF($B947="","","."&amp;$B947)&amp;IF($C947="","",".dec."&amp;$C947)&amp;"."&amp;K$5</f>
        <v>egy.distn.ppic.mac.1</v>
      </c>
      <c r="L947" s="121">
        <f>IFERROR(SUMPRODUCT((DSecCpat=$B947)*DSecOut*L$704:L$767)/SUMIF(DSecCpat,$B947,DSecOut),0)</f>
        <v>0.0</v>
      </c>
      <c r="M947" s="122">
        <f t="shared" ref="M947:V947" si="1630">L947</f>
        <v>0.0</v>
      </c>
      <c r="N947" s="122">
        <f t="shared" si="1630"/>
        <v>0.0</v>
      </c>
      <c r="O947" s="122">
        <f t="shared" si="1630"/>
        <v>0.0</v>
      </c>
      <c r="P947" s="122">
        <f t="shared" si="1630"/>
        <v>0.0</v>
      </c>
      <c r="Q947" s="122">
        <f t="shared" si="1630"/>
        <v>0.0</v>
      </c>
      <c r="R947" s="122">
        <f t="shared" si="1630"/>
        <v>0.0</v>
      </c>
      <c r="S947" s="122">
        <f t="shared" si="1630"/>
        <v>0.0</v>
      </c>
      <c r="T947" s="122">
        <f t="shared" si="1630"/>
        <v>0.0</v>
      </c>
      <c r="U947" s="122">
        <f t="shared" si="1630"/>
        <v>0.0</v>
      </c>
      <c r="V947" s="122">
        <f t="shared" si="1630"/>
        <v>0.0</v>
      </c>
      <c r="W947" s="201" t="str">
        <f>IF(X$5=K$5,SUM(Y947:AI947)-SUM(L947:V947),"")</f>
        <v/>
      </c>
      <c r="X947" s="9" t="str">
        <f>LOWER(CtryCode)&amp;".distn."&amp;$A947&amp;IF($B947="","","."&amp;$B947)&amp;IF($C947="","",".dec."&amp;$C947)&amp;"."&amp;X$5</f>
        <v>egy.distn.ppic.mac.2</v>
      </c>
      <c r="Y947" s="121">
        <f>IFERROR(SUMPRODUCT((DSecCpat=$B947)*DSecOut*Y$704:Y$767)/SUMIF(DSecCpat,$B947,DSecOut),0)</f>
        <v>0.0023644884091666065</v>
      </c>
      <c r="Z947" s="122">
        <f t="shared" ref="Z947:AI947" si="1631">Y947</f>
        <v>0.0023644884091666065</v>
      </c>
      <c r="AA947" s="122">
        <f t="shared" si="1631"/>
        <v>0.0023644884091666065</v>
      </c>
      <c r="AB947" s="122">
        <f t="shared" si="1631"/>
        <v>0.0023644884091666065</v>
      </c>
      <c r="AC947" s="122">
        <f t="shared" si="1631"/>
        <v>0.0023644884091666065</v>
      </c>
      <c r="AD947" s="122">
        <f t="shared" si="1631"/>
        <v>0.0023644884091666065</v>
      </c>
      <c r="AE947" s="122">
        <f t="shared" si="1631"/>
        <v>0.0023644884091666065</v>
      </c>
      <c r="AF947" s="122">
        <f t="shared" si="1631"/>
        <v>0.0023644884091666065</v>
      </c>
      <c r="AG947" s="122">
        <f t="shared" si="1631"/>
        <v>0.0023644884091666065</v>
      </c>
      <c r="AH947" s="122">
        <f t="shared" si="1631"/>
        <v>0.0023644884091666065</v>
      </c>
      <c r="AI947" s="122">
        <f t="shared" si="1631"/>
        <v>0.0023644884091666065</v>
      </c>
    </row>
    <row r="948" hidden="1" outlineLevel="1">
      <c r="A948" s="44" t="inlineStr">
        <is>
          <t>ppic</t>
        </is>
      </c>
      <c r="B948" s="3" t="inlineStr">
        <is>
          <t>cem</t>
        </is>
      </c>
      <c r="C948" s="3" t="inlineStr"/>
      <c r="D948" s="3" t="n"/>
      <c r="E948" s="3" t="n"/>
      <c r="H948" s="3" t="inlineStr">
        <is>
          <t>Cement: output price change, output-weighted</t>
        </is>
      </c>
      <c r="I948" s="3" t="inlineStr">
        <is>
          <t>fraction</t>
        </is>
      </c>
      <c r="J948" s="118" t="inlineStr">
        <is>
          <t>legacy P:U 3285-3296, MTOutputs 1035-1058 (by sector code, fix D27)</t>
        </is>
      </c>
      <c r="K948" s="9" t="str">
        <f>LOWER(CtryCode)&amp;".distn."&amp;$A948&amp;IF($B948="","","."&amp;$B948)&amp;IF($C948="","",".dec."&amp;$C948)&amp;"."&amp;K$5</f>
        <v>egy.distn.ppic.cem.1</v>
      </c>
      <c r="L948" s="121">
        <f>IFERROR(SUMPRODUCT((DSecCpat=$B948)*DSecOut*L$704:L$767)/SUMIF(DSecCpat,$B948,DSecOut),0)</f>
        <v>0.0</v>
      </c>
      <c r="M948" s="122">
        <f t="shared" ref="M948:V948" si="1632">L948</f>
        <v>0.0</v>
      </c>
      <c r="N948" s="122">
        <f t="shared" si="1632"/>
        <v>0.0</v>
      </c>
      <c r="O948" s="122">
        <f t="shared" si="1632"/>
        <v>0.0</v>
      </c>
      <c r="P948" s="122">
        <f t="shared" si="1632"/>
        <v>0.0</v>
      </c>
      <c r="Q948" s="122">
        <f t="shared" si="1632"/>
        <v>0.0</v>
      </c>
      <c r="R948" s="122">
        <f t="shared" si="1632"/>
        <v>0.0</v>
      </c>
      <c r="S948" s="122">
        <f t="shared" si="1632"/>
        <v>0.0</v>
      </c>
      <c r="T948" s="122">
        <f t="shared" si="1632"/>
        <v>0.0</v>
      </c>
      <c r="U948" s="122">
        <f t="shared" si="1632"/>
        <v>0.0</v>
      </c>
      <c r="V948" s="122">
        <f t="shared" si="1632"/>
        <v>0.0</v>
      </c>
      <c r="W948" s="201" t="str">
        <f>IF(X$5=K$5,SUM(Y948:AI948)-SUM(L948:V948),"")</f>
        <v/>
      </c>
      <c r="X948" s="9" t="str">
        <f>LOWER(CtryCode)&amp;".distn."&amp;$A948&amp;IF($B948="","","."&amp;$B948)&amp;IF($C948="","",".dec."&amp;$C948)&amp;"."&amp;X$5</f>
        <v>egy.distn.ppic.cem.2</v>
      </c>
      <c r="Y948" s="121">
        <f>IFERROR(SUMPRODUCT((DSecCpat=$B948)*DSecOut*Y$704:Y$767)/SUMIF(DSecCpat,$B948,DSecOut),0)</f>
        <v>0.0019892939204200046</v>
      </c>
      <c r="Z948" s="122">
        <f t="shared" ref="Z948:AI948" si="1633">Y948</f>
        <v>0.0019892939204200046</v>
      </c>
      <c r="AA948" s="122">
        <f t="shared" si="1633"/>
        <v>0.0019892939204200046</v>
      </c>
      <c r="AB948" s="122">
        <f t="shared" si="1633"/>
        <v>0.0019892939204200046</v>
      </c>
      <c r="AC948" s="122">
        <f t="shared" si="1633"/>
        <v>0.0019892939204200046</v>
      </c>
      <c r="AD948" s="122">
        <f t="shared" si="1633"/>
        <v>0.0019892939204200046</v>
      </c>
      <c r="AE948" s="122">
        <f t="shared" si="1633"/>
        <v>0.0019892939204200046</v>
      </c>
      <c r="AF948" s="122">
        <f t="shared" si="1633"/>
        <v>0.0019892939204200046</v>
      </c>
      <c r="AG948" s="122">
        <f t="shared" si="1633"/>
        <v>0.0019892939204200046</v>
      </c>
      <c r="AH948" s="122">
        <f t="shared" si="1633"/>
        <v>0.0019892939204200046</v>
      </c>
      <c r="AI948" s="122">
        <f t="shared" si="1633"/>
        <v>0.0019892939204200046</v>
      </c>
    </row>
    <row r="949" hidden="1" outlineLevel="1">
      <c r="A949" s="44" t="inlineStr">
        <is>
          <t>ppic</t>
        </is>
      </c>
      <c r="B949" s="3" t="inlineStr">
        <is>
          <t>omn</t>
        </is>
      </c>
      <c r="C949" s="3" t="inlineStr"/>
      <c r="D949" s="3" t="n"/>
      <c r="E949" s="3" t="n"/>
      <c r="H949" s="3" t="inlineStr">
        <is>
          <t>Other manufacturing: output price change, output-weighted</t>
        </is>
      </c>
      <c r="I949" s="3" t="inlineStr">
        <is>
          <t>fraction</t>
        </is>
      </c>
      <c r="J949" s="118" t="inlineStr">
        <is>
          <t>legacy P:U 3285-3296, MTOutputs 1035-1058 (by sector code, fix D27)</t>
        </is>
      </c>
      <c r="K949" s="9" t="str">
        <f>LOWER(CtryCode)&amp;".distn."&amp;$A949&amp;IF($B949="","","."&amp;$B949)&amp;IF($C949="","",".dec."&amp;$C949)&amp;"."&amp;K$5</f>
        <v>egy.distn.ppic.omn.1</v>
      </c>
      <c r="L949" s="121">
        <f>IFERROR(SUMPRODUCT((DSecCpat=$B949)*DSecOut*L$704:L$767)/SUMIF(DSecCpat,$B949,DSecOut),0)</f>
        <v>0.0</v>
      </c>
      <c r="M949" s="122">
        <f t="shared" ref="M949:V949" si="1634">L949</f>
        <v>0.0</v>
      </c>
      <c r="N949" s="122">
        <f t="shared" si="1634"/>
        <v>0.0</v>
      </c>
      <c r="O949" s="122">
        <f t="shared" si="1634"/>
        <v>0.0</v>
      </c>
      <c r="P949" s="122">
        <f t="shared" si="1634"/>
        <v>0.0</v>
      </c>
      <c r="Q949" s="122">
        <f t="shared" si="1634"/>
        <v>0.0</v>
      </c>
      <c r="R949" s="122">
        <f t="shared" si="1634"/>
        <v>0.0</v>
      </c>
      <c r="S949" s="122">
        <f t="shared" si="1634"/>
        <v>0.0</v>
      </c>
      <c r="T949" s="122">
        <f t="shared" si="1634"/>
        <v>0.0</v>
      </c>
      <c r="U949" s="122">
        <f t="shared" si="1634"/>
        <v>0.0</v>
      </c>
      <c r="V949" s="122">
        <f t="shared" si="1634"/>
        <v>0.0</v>
      </c>
      <c r="W949" s="201" t="str">
        <f>IF(X$5=K$5,SUM(Y949:AI949)-SUM(L949:V949),"")</f>
        <v/>
      </c>
      <c r="X949" s="9" t="str">
        <f>LOWER(CtryCode)&amp;".distn."&amp;$A949&amp;IF($B949="","","."&amp;$B949)&amp;IF($C949="","",".dec."&amp;$C949)&amp;"."&amp;X$5</f>
        <v>egy.distn.ppic.omn.2</v>
      </c>
      <c r="Y949" s="121">
        <f>IFERROR(SUMPRODUCT((DSecCpat=$B949)*DSecOut*Y$704:Y$767)/SUMIF(DSecCpat,$B949,DSecOut),0)</f>
        <v>0.0013671561249490995</v>
      </c>
      <c r="Z949" s="122">
        <f t="shared" ref="Z949:AI949" si="1635">Y949</f>
        <v>0.0013671561249490995</v>
      </c>
      <c r="AA949" s="122">
        <f t="shared" si="1635"/>
        <v>0.0013671561249490995</v>
      </c>
      <c r="AB949" s="122">
        <f t="shared" si="1635"/>
        <v>0.0013671561249490995</v>
      </c>
      <c r="AC949" s="122">
        <f t="shared" si="1635"/>
        <v>0.0013671561249490995</v>
      </c>
      <c r="AD949" s="122">
        <f t="shared" si="1635"/>
        <v>0.0013671561249490995</v>
      </c>
      <c r="AE949" s="122">
        <f t="shared" si="1635"/>
        <v>0.0013671561249490995</v>
      </c>
      <c r="AF949" s="122">
        <f t="shared" si="1635"/>
        <v>0.0013671561249490995</v>
      </c>
      <c r="AG949" s="122">
        <f t="shared" si="1635"/>
        <v>0.0013671561249490995</v>
      </c>
      <c r="AH949" s="122">
        <f t="shared" si="1635"/>
        <v>0.0013671561249490995</v>
      </c>
      <c r="AI949" s="122">
        <f t="shared" si="1635"/>
        <v>0.0013671561249490995</v>
      </c>
    </row>
    <row r="950" hidden="1" outlineLevel="1">
      <c r="A950" s="44" t="inlineStr">
        <is>
          <t>ppic</t>
        </is>
      </c>
      <c r="B950" s="3" t="inlineStr">
        <is>
          <t>cst</t>
        </is>
      </c>
      <c r="C950" s="3" t="inlineStr"/>
      <c r="D950" s="3" t="n"/>
      <c r="E950" s="3" t="n"/>
      <c r="H950" s="3" t="inlineStr">
        <is>
          <t>Construction: output price change, output-weighted</t>
        </is>
      </c>
      <c r="I950" s="3" t="inlineStr">
        <is>
          <t>fraction</t>
        </is>
      </c>
      <c r="J950" s="118" t="inlineStr">
        <is>
          <t>legacy P:U 3285-3296, MTOutputs 1035-1058 (by sector code, fix D27)</t>
        </is>
      </c>
      <c r="K950" s="9" t="str">
        <f>LOWER(CtryCode)&amp;".distn."&amp;$A950&amp;IF($B950="","","."&amp;$B950)&amp;IF($C950="","",".dec."&amp;$C950)&amp;"."&amp;K$5</f>
        <v>egy.distn.ppic.cst.1</v>
      </c>
      <c r="L950" s="121">
        <f>IFERROR(SUMPRODUCT((DSecCpat=$B950)*DSecOut*L$704:L$767)/SUMIF(DSecCpat,$B950,DSecOut),0)</f>
        <v>0.0</v>
      </c>
      <c r="M950" s="122">
        <f t="shared" ref="M950:V950" si="1636">L950</f>
        <v>0.0</v>
      </c>
      <c r="N950" s="122">
        <f t="shared" si="1636"/>
        <v>0.0</v>
      </c>
      <c r="O950" s="122">
        <f t="shared" si="1636"/>
        <v>0.0</v>
      </c>
      <c r="P950" s="122">
        <f t="shared" si="1636"/>
        <v>0.0</v>
      </c>
      <c r="Q950" s="122">
        <f t="shared" si="1636"/>
        <v>0.0</v>
      </c>
      <c r="R950" s="122">
        <f t="shared" si="1636"/>
        <v>0.0</v>
      </c>
      <c r="S950" s="122">
        <f t="shared" si="1636"/>
        <v>0.0</v>
      </c>
      <c r="T950" s="122">
        <f t="shared" si="1636"/>
        <v>0.0</v>
      </c>
      <c r="U950" s="122">
        <f t="shared" si="1636"/>
        <v>0.0</v>
      </c>
      <c r="V950" s="122">
        <f t="shared" si="1636"/>
        <v>0.0</v>
      </c>
      <c r="W950" s="201" t="str">
        <f>IF(X$5=K$5,SUM(Y950:AI950)-SUM(L950:V950),"")</f>
        <v/>
      </c>
      <c r="X950" s="9" t="str">
        <f>LOWER(CtryCode)&amp;".distn."&amp;$A950&amp;IF($B950="","","."&amp;$B950)&amp;IF($C950="","",".dec."&amp;$C950)&amp;"."&amp;X$5</f>
        <v>egy.distn.ppic.cst.2</v>
      </c>
      <c r="Y950" s="121">
        <f>IFERROR(SUMPRODUCT((DSecCpat=$B950)*DSecOut*Y$704:Y$767)/SUMIF(DSecCpat,$B950,DSecOut),0)</f>
        <v>0.0019632445992351076</v>
      </c>
      <c r="Z950" s="122">
        <f t="shared" ref="Z950:AI950" si="1637">Y950</f>
        <v>0.0019632445992351076</v>
      </c>
      <c r="AA950" s="122">
        <f t="shared" si="1637"/>
        <v>0.0019632445992351076</v>
      </c>
      <c r="AB950" s="122">
        <f t="shared" si="1637"/>
        <v>0.0019632445992351076</v>
      </c>
      <c r="AC950" s="122">
        <f t="shared" si="1637"/>
        <v>0.0019632445992351076</v>
      </c>
      <c r="AD950" s="122">
        <f t="shared" si="1637"/>
        <v>0.0019632445992351076</v>
      </c>
      <c r="AE950" s="122">
        <f t="shared" si="1637"/>
        <v>0.0019632445992351076</v>
      </c>
      <c r="AF950" s="122">
        <f t="shared" si="1637"/>
        <v>0.0019632445992351076</v>
      </c>
      <c r="AG950" s="122">
        <f t="shared" si="1637"/>
        <v>0.0019632445992351076</v>
      </c>
      <c r="AH950" s="122">
        <f t="shared" si="1637"/>
        <v>0.0019632445992351076</v>
      </c>
      <c r="AI950" s="122">
        <f t="shared" si="1637"/>
        <v>0.0019632445992351076</v>
      </c>
    </row>
    <row r="951" hidden="1" outlineLevel="1">
      <c r="A951" s="44" t="inlineStr">
        <is>
          <t>ppic</t>
        </is>
      </c>
      <c r="B951" s="3" t="inlineStr">
        <is>
          <t>ftr</t>
        </is>
      </c>
      <c r="C951" s="3" t="inlineStr"/>
      <c r="D951" s="3" t="n"/>
      <c r="E951" s="3" t="n"/>
      <c r="H951" s="3" t="inlineStr">
        <is>
          <t>Fuel transformation &amp; transportation: output price change, output-weighted</t>
        </is>
      </c>
      <c r="I951" s="3" t="inlineStr">
        <is>
          <t>fraction</t>
        </is>
      </c>
      <c r="J951" s="118" t="inlineStr">
        <is>
          <t>legacy P:U 3285-3296, MTOutputs 1035-1058 (by sector code, fix D27)</t>
        </is>
      </c>
      <c r="K951" s="9" t="str">
        <f>LOWER(CtryCode)&amp;".distn."&amp;$A951&amp;IF($B951="","","."&amp;$B951)&amp;IF($C951="","",".dec."&amp;$C951)&amp;"."&amp;K$5</f>
        <v>egy.distn.ppic.ftr.1</v>
      </c>
      <c r="L951" s="121">
        <f>IFERROR(SUMPRODUCT((DSecCpat=$B951)*DSecOut*L$704:L$767)/SUMIF(DSecCpat,$B951,DSecOut),0)</f>
        <v>0.0</v>
      </c>
      <c r="M951" s="122">
        <f t="shared" ref="M951:V951" si="1638">L951</f>
        <v>0.0</v>
      </c>
      <c r="N951" s="122">
        <f t="shared" si="1638"/>
        <v>0.0</v>
      </c>
      <c r="O951" s="122">
        <f t="shared" si="1638"/>
        <v>0.0</v>
      </c>
      <c r="P951" s="122">
        <f t="shared" si="1638"/>
        <v>0.0</v>
      </c>
      <c r="Q951" s="122">
        <f t="shared" si="1638"/>
        <v>0.0</v>
      </c>
      <c r="R951" s="122">
        <f t="shared" si="1638"/>
        <v>0.0</v>
      </c>
      <c r="S951" s="122">
        <f t="shared" si="1638"/>
        <v>0.0</v>
      </c>
      <c r="T951" s="122">
        <f t="shared" si="1638"/>
        <v>0.0</v>
      </c>
      <c r="U951" s="122">
        <f t="shared" si="1638"/>
        <v>0.0</v>
      </c>
      <c r="V951" s="122">
        <f t="shared" si="1638"/>
        <v>0.0</v>
      </c>
      <c r="W951" s="201" t="str">
        <f>IF(X$5=K$5,SUM(Y951:AI951)-SUM(L951:V951),"")</f>
        <v/>
      </c>
      <c r="X951" s="9" t="str">
        <f>LOWER(CtryCode)&amp;".distn."&amp;$A951&amp;IF($B951="","","."&amp;$B951)&amp;IF($C951="","",".dec."&amp;$C951)&amp;"."&amp;X$5</f>
        <v>egy.distn.ppic.ftr.2</v>
      </c>
      <c r="Y951" s="121">
        <f>IFERROR(SUMPRODUCT((DSecCpat=$B951)*DSecOut*Y$704:Y$767)/SUMIF(DSecCpat,$B951,DSecOut),0)</f>
        <v>0.0</v>
      </c>
      <c r="Z951" s="122">
        <f t="shared" ref="Z951:AI951" si="1639">Y951</f>
        <v>0.0</v>
      </c>
      <c r="AA951" s="122">
        <f t="shared" si="1639"/>
        <v>0.0</v>
      </c>
      <c r="AB951" s="122">
        <f t="shared" si="1639"/>
        <v>0.0</v>
      </c>
      <c r="AC951" s="122">
        <f t="shared" si="1639"/>
        <v>0.0</v>
      </c>
      <c r="AD951" s="122">
        <f t="shared" si="1639"/>
        <v>0.0</v>
      </c>
      <c r="AE951" s="122">
        <f t="shared" si="1639"/>
        <v>0.0</v>
      </c>
      <c r="AF951" s="122">
        <f t="shared" si="1639"/>
        <v>0.0</v>
      </c>
      <c r="AG951" s="122">
        <f t="shared" si="1639"/>
        <v>0.0</v>
      </c>
      <c r="AH951" s="122">
        <f t="shared" si="1639"/>
        <v>0.0</v>
      </c>
      <c r="AI951" s="122">
        <f t="shared" si="1639"/>
        <v>0.0</v>
      </c>
    </row>
    <row r="952" hidden="1" outlineLevel="1">
      <c r="A952" s="44" t="inlineStr">
        <is>
          <t>ppic</t>
        </is>
      </c>
      <c r="B952" s="3" t="inlineStr">
        <is>
          <t>res</t>
        </is>
      </c>
      <c r="C952" s="3" t="inlineStr"/>
      <c r="D952" s="3" t="n"/>
      <c r="E952" s="3" t="n"/>
      <c r="H952" s="3" t="inlineStr">
        <is>
          <t>Residential sector: output price change, output-weighted</t>
        </is>
      </c>
      <c r="I952" s="3" t="inlineStr">
        <is>
          <t>fraction</t>
        </is>
      </c>
      <c r="J952" s="118" t="inlineStr">
        <is>
          <t>legacy P:U 3285-3296, MTOutputs 1035-1058 (by sector code, fix D27)</t>
        </is>
      </c>
      <c r="K952" s="9" t="str">
        <f>LOWER(CtryCode)&amp;".distn."&amp;$A952&amp;IF($B952="","","."&amp;$B952)&amp;IF($C952="","",".dec."&amp;$C952)&amp;"."&amp;K$5</f>
        <v>egy.distn.ppic.res.1</v>
      </c>
      <c r="L952" s="121">
        <f>IFERROR(SUMPRODUCT((DSecCpat=$B952)*DSecOut*L$704:L$767)/SUMIF(DSecCpat,$B952,DSecOut),0)</f>
        <v>0.0</v>
      </c>
      <c r="M952" s="122">
        <f t="shared" ref="M952:V952" si="1640">L952</f>
        <v>0.0</v>
      </c>
      <c r="N952" s="122">
        <f t="shared" si="1640"/>
        <v>0.0</v>
      </c>
      <c r="O952" s="122">
        <f t="shared" si="1640"/>
        <v>0.0</v>
      </c>
      <c r="P952" s="122">
        <f t="shared" si="1640"/>
        <v>0.0</v>
      </c>
      <c r="Q952" s="122">
        <f t="shared" si="1640"/>
        <v>0.0</v>
      </c>
      <c r="R952" s="122">
        <f t="shared" si="1640"/>
        <v>0.0</v>
      </c>
      <c r="S952" s="122">
        <f t="shared" si="1640"/>
        <v>0.0</v>
      </c>
      <c r="T952" s="122">
        <f t="shared" si="1640"/>
        <v>0.0</v>
      </c>
      <c r="U952" s="122">
        <f t="shared" si="1640"/>
        <v>0.0</v>
      </c>
      <c r="V952" s="122">
        <f t="shared" si="1640"/>
        <v>0.0</v>
      </c>
      <c r="W952" s="201" t="str">
        <f>IF(X$5=K$5,SUM(Y952:AI952)-SUM(L952:V952),"")</f>
        <v/>
      </c>
      <c r="X952" s="9" t="str">
        <f>LOWER(CtryCode)&amp;".distn."&amp;$A952&amp;IF($B952="","","."&amp;$B952)&amp;IF($C952="","",".dec."&amp;$C952)&amp;"."&amp;X$5</f>
        <v>egy.distn.ppic.res.2</v>
      </c>
      <c r="Y952" s="121">
        <f>IFERROR(SUMPRODUCT((DSecCpat=$B952)*DSecOut*Y$704:Y$767)/SUMIF(DSecCpat,$B952,DSecOut),0)</f>
        <v>0.0010322684094301005</v>
      </c>
      <c r="Z952" s="122">
        <f t="shared" ref="Z952:AI952" si="1641">Y952</f>
        <v>0.0010322684094301005</v>
      </c>
      <c r="AA952" s="122">
        <f t="shared" si="1641"/>
        <v>0.0010322684094301005</v>
      </c>
      <c r="AB952" s="122">
        <f t="shared" si="1641"/>
        <v>0.0010322684094301005</v>
      </c>
      <c r="AC952" s="122">
        <f t="shared" si="1641"/>
        <v>0.0010322684094301005</v>
      </c>
      <c r="AD952" s="122">
        <f t="shared" si="1641"/>
        <v>0.0010322684094301005</v>
      </c>
      <c r="AE952" s="122">
        <f t="shared" si="1641"/>
        <v>0.0010322684094301005</v>
      </c>
      <c r="AF952" s="122">
        <f t="shared" si="1641"/>
        <v>0.0010322684094301005</v>
      </c>
      <c r="AG952" s="122">
        <f t="shared" si="1641"/>
        <v>0.0010322684094301005</v>
      </c>
      <c r="AH952" s="122">
        <f t="shared" si="1641"/>
        <v>0.0010322684094301005</v>
      </c>
      <c r="AI952" s="122">
        <f t="shared" si="1641"/>
        <v>0.0010322684094301005</v>
      </c>
    </row>
    <row r="953" hidden="1" outlineLevel="1">
      <c r="A953" s="44" t="inlineStr">
        <is>
          <t>ppic</t>
        </is>
      </c>
      <c r="B953" s="3" t="inlineStr">
        <is>
          <t>pow</t>
        </is>
      </c>
      <c r="C953" s="3" t="inlineStr"/>
      <c r="D953" s="3" t="n"/>
      <c r="E953" s="3" t="n"/>
      <c r="H953" s="3" t="inlineStr">
        <is>
          <t>Electricity production: output price change, output-weighted</t>
        </is>
      </c>
      <c r="I953" s="3" t="inlineStr">
        <is>
          <t>fraction</t>
        </is>
      </c>
      <c r="J953" s="118" t="inlineStr">
        <is>
          <t>legacy P:U 3285-3296, MTOutputs 1035-1058 (by sector code, fix D27)</t>
        </is>
      </c>
      <c r="K953" s="9" t="str">
        <f>LOWER(CtryCode)&amp;".distn."&amp;$A953&amp;IF($B953="","","."&amp;$B953)&amp;IF($C953="","",".dec."&amp;$C953)&amp;"."&amp;K$5</f>
        <v>egy.distn.ppic.pow.1</v>
      </c>
      <c r="L953" s="121">
        <f>IFERROR(SUMPRODUCT((DSecCpat=$B953)*DSecOut*L$704:L$767)/SUMIF(DSecCpat,$B953,DSecOut),0)</f>
        <v>0.0</v>
      </c>
      <c r="M953" s="122">
        <f t="shared" ref="M953:V953" si="1642">L953</f>
        <v>0.0</v>
      </c>
      <c r="N953" s="122">
        <f t="shared" si="1642"/>
        <v>0.0</v>
      </c>
      <c r="O953" s="122">
        <f t="shared" si="1642"/>
        <v>0.0</v>
      </c>
      <c r="P953" s="122">
        <f t="shared" si="1642"/>
        <v>0.0</v>
      </c>
      <c r="Q953" s="122">
        <f t="shared" si="1642"/>
        <v>0.0</v>
      </c>
      <c r="R953" s="122">
        <f t="shared" si="1642"/>
        <v>0.0</v>
      </c>
      <c r="S953" s="122">
        <f t="shared" si="1642"/>
        <v>0.0</v>
      </c>
      <c r="T953" s="122">
        <f t="shared" si="1642"/>
        <v>0.0</v>
      </c>
      <c r="U953" s="122">
        <f t="shared" si="1642"/>
        <v>0.0</v>
      </c>
      <c r="V953" s="122">
        <f t="shared" si="1642"/>
        <v>0.0</v>
      </c>
      <c r="W953" s="201" t="str">
        <f>IF(X$5=K$5,SUM(Y953:AI953)-SUM(L953:V953),"")</f>
        <v/>
      </c>
      <c r="X953" s="9" t="str">
        <f>LOWER(CtryCode)&amp;".distn."&amp;$A953&amp;IF($B953="","","."&amp;$B953)&amp;IF($C953="","",".dec."&amp;$C953)&amp;"."&amp;X$5</f>
        <v>egy.distn.ppic.pow.2</v>
      </c>
      <c r="Y953" s="121">
        <f>IFERROR(SUMPRODUCT((DSecCpat=$B953)*DSecOut*Y$704:Y$767)/SUMIF(DSecCpat,$B953,DSecOut),0)</f>
        <v>0.0</v>
      </c>
      <c r="Z953" s="122">
        <f t="shared" ref="Z953:AI953" si="1643">Y953</f>
        <v>0.0</v>
      </c>
      <c r="AA953" s="122">
        <f t="shared" si="1643"/>
        <v>0.0</v>
      </c>
      <c r="AB953" s="122">
        <f t="shared" si="1643"/>
        <v>0.0</v>
      </c>
      <c r="AC953" s="122">
        <f t="shared" si="1643"/>
        <v>0.0</v>
      </c>
      <c r="AD953" s="122">
        <f t="shared" si="1643"/>
        <v>0.0</v>
      </c>
      <c r="AE953" s="122">
        <f t="shared" si="1643"/>
        <v>0.0</v>
      </c>
      <c r="AF953" s="122">
        <f t="shared" si="1643"/>
        <v>0.0</v>
      </c>
      <c r="AG953" s="122">
        <f t="shared" si="1643"/>
        <v>0.0</v>
      </c>
      <c r="AH953" s="122">
        <f t="shared" si="1643"/>
        <v>0.0</v>
      </c>
      <c r="AI953" s="122">
        <f t="shared" si="1643"/>
        <v>0.0</v>
      </c>
    </row>
    <row r="954" hidden="1" outlineLevel="1">
      <c r="A954" s="44" t="inlineStr">
        <is>
          <t>outpriin</t>
        </is>
      </c>
      <c r="B954" s="3" t="inlineStr">
        <is>
          <t>avi</t>
        </is>
      </c>
      <c r="C954" s="3" t="inlineStr"/>
      <c r="D954" s="3" t="n"/>
      <c r="E954" s="3" t="n"/>
      <c r="H954" s="3" t="inlineStr">
        <is>
          <t>Domestic aviation: output price change, household-demand-weighted</t>
        </is>
      </c>
      <c r="I954" s="3" t="inlineStr">
        <is>
          <t>fraction</t>
        </is>
      </c>
      <c r="J954" s="118" t="inlineStr">
        <is>
          <t>legacy P:U 3285-3296, MTOutputs 1035-1058 (by sector code, fix D27)</t>
        </is>
      </c>
      <c r="K954" s="9" t="str">
        <f>LOWER(CtryCode)&amp;".distn."&amp;$A954&amp;IF($B954="","","."&amp;$B954)&amp;IF($C954="","",".dec."&amp;$C954)&amp;"."&amp;K$5</f>
        <v>egy.distn.outpriin.avi.1</v>
      </c>
      <c r="L954" s="121">
        <f>IFERROR(SUMPRODUCT((DSecCpat=$B954)*DSecHhd*L$704:L$767)/SUMIF(DSecCpat,$B954,DSecHhd),0)</f>
        <v>0.0</v>
      </c>
      <c r="M954" s="122">
        <f t="shared" ref="M954:V954" si="1644">L954</f>
        <v>0.0</v>
      </c>
      <c r="N954" s="122">
        <f t="shared" si="1644"/>
        <v>0.0</v>
      </c>
      <c r="O954" s="122">
        <f t="shared" si="1644"/>
        <v>0.0</v>
      </c>
      <c r="P954" s="122">
        <f t="shared" si="1644"/>
        <v>0.0</v>
      </c>
      <c r="Q954" s="122">
        <f t="shared" si="1644"/>
        <v>0.0</v>
      </c>
      <c r="R954" s="122">
        <f t="shared" si="1644"/>
        <v>0.0</v>
      </c>
      <c r="S954" s="122">
        <f t="shared" si="1644"/>
        <v>0.0</v>
      </c>
      <c r="T954" s="122">
        <f t="shared" si="1644"/>
        <v>0.0</v>
      </c>
      <c r="U954" s="122">
        <f t="shared" si="1644"/>
        <v>0.0</v>
      </c>
      <c r="V954" s="122">
        <f t="shared" si="1644"/>
        <v>0.0</v>
      </c>
      <c r="W954" s="201" t="str">
        <f>IF(X$5=K$5,SUM(Y954:AI954)-SUM(L954:V954),"")</f>
        <v/>
      </c>
      <c r="X954" s="9" t="str">
        <f>LOWER(CtryCode)&amp;".distn."&amp;$A954&amp;IF($B954="","","."&amp;$B954)&amp;IF($C954="","",".dec."&amp;$C954)&amp;"."&amp;X$5</f>
        <v>egy.distn.outpriin.avi.2</v>
      </c>
      <c r="Y954" s="121">
        <f>IFERROR(SUMPRODUCT((DSecCpat=$B954)*DSecHhd*Y$704:Y$767)/SUMIF(DSecCpat,$B954,DSecHhd),0)</f>
        <v>0.007533819297724958</v>
      </c>
      <c r="Z954" s="122">
        <f t="shared" ref="Z954:AI954" si="1645">Y954</f>
        <v>0.007533819297724958</v>
      </c>
      <c r="AA954" s="122">
        <f t="shared" si="1645"/>
        <v>0.007533819297724958</v>
      </c>
      <c r="AB954" s="122">
        <f t="shared" si="1645"/>
        <v>0.007533819297724958</v>
      </c>
      <c r="AC954" s="122">
        <f t="shared" si="1645"/>
        <v>0.007533819297724958</v>
      </c>
      <c r="AD954" s="122">
        <f t="shared" si="1645"/>
        <v>0.007533819297724958</v>
      </c>
      <c r="AE954" s="122">
        <f t="shared" si="1645"/>
        <v>0.007533819297724958</v>
      </c>
      <c r="AF954" s="122">
        <f t="shared" si="1645"/>
        <v>0.007533819297724958</v>
      </c>
      <c r="AG954" s="122">
        <f t="shared" si="1645"/>
        <v>0.007533819297724958</v>
      </c>
      <c r="AH954" s="122">
        <f t="shared" si="1645"/>
        <v>0.007533819297724958</v>
      </c>
      <c r="AI954" s="122">
        <f t="shared" si="1645"/>
        <v>0.007533819297724958</v>
      </c>
    </row>
    <row r="955" hidden="1" outlineLevel="1">
      <c r="A955" s="44" t="inlineStr">
        <is>
          <t>outpriin</t>
        </is>
      </c>
      <c r="B955" s="3" t="inlineStr">
        <is>
          <t>nav</t>
        </is>
      </c>
      <c r="C955" s="3" t="inlineStr"/>
      <c r="D955" s="3" t="n"/>
      <c r="E955" s="3" t="n"/>
      <c r="H955" s="3" t="inlineStr">
        <is>
          <t>Domestic navigation: output price change, household-demand-weighted</t>
        </is>
      </c>
      <c r="I955" s="3" t="inlineStr">
        <is>
          <t>fraction</t>
        </is>
      </c>
      <c r="J955" s="118" t="inlineStr">
        <is>
          <t>legacy P:U 3285-3296, MTOutputs 1035-1058 (by sector code, fix D27)</t>
        </is>
      </c>
      <c r="K955" s="9" t="str">
        <f>LOWER(CtryCode)&amp;".distn."&amp;$A955&amp;IF($B955="","","."&amp;$B955)&amp;IF($C955="","",".dec."&amp;$C955)&amp;"."&amp;K$5</f>
        <v>egy.distn.outpriin.nav.1</v>
      </c>
      <c r="L955" s="121">
        <f>IFERROR(SUMPRODUCT((DSecCpat=$B955)*DSecHhd*L$704:L$767)/SUMIF(DSecCpat,$B955,DSecHhd),0)</f>
        <v>0.0</v>
      </c>
      <c r="M955" s="122">
        <f t="shared" ref="M955:V955" si="1646">L955</f>
        <v>0.0</v>
      </c>
      <c r="N955" s="122">
        <f t="shared" si="1646"/>
        <v>0.0</v>
      </c>
      <c r="O955" s="122">
        <f t="shared" si="1646"/>
        <v>0.0</v>
      </c>
      <c r="P955" s="122">
        <f t="shared" si="1646"/>
        <v>0.0</v>
      </c>
      <c r="Q955" s="122">
        <f t="shared" si="1646"/>
        <v>0.0</v>
      </c>
      <c r="R955" s="122">
        <f t="shared" si="1646"/>
        <v>0.0</v>
      </c>
      <c r="S955" s="122">
        <f t="shared" si="1646"/>
        <v>0.0</v>
      </c>
      <c r="T955" s="122">
        <f t="shared" si="1646"/>
        <v>0.0</v>
      </c>
      <c r="U955" s="122">
        <f t="shared" si="1646"/>
        <v>0.0</v>
      </c>
      <c r="V955" s="122">
        <f t="shared" si="1646"/>
        <v>0.0</v>
      </c>
      <c r="W955" s="201" t="str">
        <f>IF(X$5=K$5,SUM(Y955:AI955)-SUM(L955:V955),"")</f>
        <v/>
      </c>
      <c r="X955" s="9" t="str">
        <f>LOWER(CtryCode)&amp;".distn."&amp;$A955&amp;IF($B955="","","."&amp;$B955)&amp;IF($C955="","",".dec."&amp;$C955)&amp;"."&amp;X$5</f>
        <v>egy.distn.outpriin.nav.2</v>
      </c>
      <c r="Y955" s="121">
        <f>IFERROR(SUMPRODUCT((DSecCpat=$B955)*DSecHhd*Y$704:Y$767)/SUMIF(DSecCpat,$B955,DSecHhd),0)</f>
        <v>0.005751798648953897</v>
      </c>
      <c r="Z955" s="122">
        <f t="shared" ref="Z955:AI955" si="1647">Y955</f>
        <v>0.005751798648953897</v>
      </c>
      <c r="AA955" s="122">
        <f t="shared" si="1647"/>
        <v>0.005751798648953897</v>
      </c>
      <c r="AB955" s="122">
        <f t="shared" si="1647"/>
        <v>0.005751798648953897</v>
      </c>
      <c r="AC955" s="122">
        <f t="shared" si="1647"/>
        <v>0.005751798648953897</v>
      </c>
      <c r="AD955" s="122">
        <f t="shared" si="1647"/>
        <v>0.005751798648953897</v>
      </c>
      <c r="AE955" s="122">
        <f t="shared" si="1647"/>
        <v>0.005751798648953897</v>
      </c>
      <c r="AF955" s="122">
        <f t="shared" si="1647"/>
        <v>0.005751798648953897</v>
      </c>
      <c r="AG955" s="122">
        <f t="shared" si="1647"/>
        <v>0.005751798648953897</v>
      </c>
      <c r="AH955" s="122">
        <f t="shared" si="1647"/>
        <v>0.005751798648953897</v>
      </c>
      <c r="AI955" s="122">
        <f t="shared" si="1647"/>
        <v>0.005751798648953897</v>
      </c>
    </row>
    <row r="956" hidden="1" outlineLevel="1">
      <c r="A956" s="44" t="inlineStr">
        <is>
          <t>outpriin</t>
        </is>
      </c>
      <c r="B956" s="3" t="inlineStr">
        <is>
          <t>foo</t>
        </is>
      </c>
      <c r="C956" s="3" t="inlineStr"/>
      <c r="D956" s="3" t="n"/>
      <c r="E956" s="3" t="n"/>
      <c r="H956" s="3" t="inlineStr">
        <is>
          <t>Food &amp; forestry: output price change, household-demand-weighted</t>
        </is>
      </c>
      <c r="I956" s="3" t="inlineStr">
        <is>
          <t>fraction</t>
        </is>
      </c>
      <c r="J956" s="118" t="inlineStr">
        <is>
          <t>legacy P:U 3285-3296, MTOutputs 1035-1058 (by sector code, fix D27)</t>
        </is>
      </c>
      <c r="K956" s="9" t="str">
        <f>LOWER(CtryCode)&amp;".distn."&amp;$A956&amp;IF($B956="","","."&amp;$B956)&amp;IF($C956="","",".dec."&amp;$C956)&amp;"."&amp;K$5</f>
        <v>egy.distn.outpriin.foo.1</v>
      </c>
      <c r="L956" s="121">
        <f>IFERROR(SUMPRODUCT((DSecCpat=$B956)*DSecHhd*L$704:L$767)/SUMIF(DSecCpat,$B956,DSecHhd),0)</f>
        <v>0.0</v>
      </c>
      <c r="M956" s="122">
        <f t="shared" ref="M956:V956" si="1648">L956</f>
        <v>0.0</v>
      </c>
      <c r="N956" s="122">
        <f t="shared" si="1648"/>
        <v>0.0</v>
      </c>
      <c r="O956" s="122">
        <f t="shared" si="1648"/>
        <v>0.0</v>
      </c>
      <c r="P956" s="122">
        <f t="shared" si="1648"/>
        <v>0.0</v>
      </c>
      <c r="Q956" s="122">
        <f t="shared" si="1648"/>
        <v>0.0</v>
      </c>
      <c r="R956" s="122">
        <f t="shared" si="1648"/>
        <v>0.0</v>
      </c>
      <c r="S956" s="122">
        <f t="shared" si="1648"/>
        <v>0.0</v>
      </c>
      <c r="T956" s="122">
        <f t="shared" si="1648"/>
        <v>0.0</v>
      </c>
      <c r="U956" s="122">
        <f t="shared" si="1648"/>
        <v>0.0</v>
      </c>
      <c r="V956" s="122">
        <f t="shared" si="1648"/>
        <v>0.0</v>
      </c>
      <c r="W956" s="201" t="str">
        <f>IF(X$5=K$5,SUM(Y956:AI956)-SUM(L956:V956),"")</f>
        <v/>
      </c>
      <c r="X956" s="9" t="str">
        <f>LOWER(CtryCode)&amp;".distn."&amp;$A956&amp;IF($B956="","","."&amp;$B956)&amp;IF($C956="","",".dec."&amp;$C956)&amp;"."&amp;X$5</f>
        <v>egy.distn.outpriin.foo.2</v>
      </c>
      <c r="Y956" s="121">
        <f>IFERROR(SUMPRODUCT((DSecCpat=$B956)*DSecHhd*Y$704:Y$767)/SUMIF(DSecCpat,$B956,DSecHhd),0)</f>
        <v>0.0011837238969658313</v>
      </c>
      <c r="Z956" s="122">
        <f t="shared" ref="Z956:AI956" si="1649">Y956</f>
        <v>0.0011837238969658313</v>
      </c>
      <c r="AA956" s="122">
        <f t="shared" si="1649"/>
        <v>0.0011837238969658313</v>
      </c>
      <c r="AB956" s="122">
        <f t="shared" si="1649"/>
        <v>0.0011837238969658313</v>
      </c>
      <c r="AC956" s="122">
        <f t="shared" si="1649"/>
        <v>0.0011837238969658313</v>
      </c>
      <c r="AD956" s="122">
        <f t="shared" si="1649"/>
        <v>0.0011837238969658313</v>
      </c>
      <c r="AE956" s="122">
        <f t="shared" si="1649"/>
        <v>0.0011837238969658313</v>
      </c>
      <c r="AF956" s="122">
        <f t="shared" si="1649"/>
        <v>0.0011837238969658313</v>
      </c>
      <c r="AG956" s="122">
        <f t="shared" si="1649"/>
        <v>0.0011837238969658313</v>
      </c>
      <c r="AH956" s="122">
        <f t="shared" si="1649"/>
        <v>0.0011837238969658313</v>
      </c>
      <c r="AI956" s="122">
        <f t="shared" si="1649"/>
        <v>0.0011837238969658313</v>
      </c>
    </row>
    <row r="957" hidden="1" outlineLevel="1">
      <c r="A957" s="44" t="inlineStr">
        <is>
          <t>outpriin</t>
        </is>
      </c>
      <c r="B957" s="3" t="inlineStr">
        <is>
          <t>srv</t>
        </is>
      </c>
      <c r="C957" s="3" t="inlineStr"/>
      <c r="D957" s="3" t="n"/>
      <c r="E957" s="3" t="n"/>
      <c r="H957" s="3" t="inlineStr">
        <is>
          <t>Services (public &amp; private): output price change, household-demand-weighted</t>
        </is>
      </c>
      <c r="I957" s="3" t="inlineStr">
        <is>
          <t>fraction</t>
        </is>
      </c>
      <c r="J957" s="118" t="inlineStr">
        <is>
          <t>legacy P:U 3285-3296, MTOutputs 1035-1058 (by sector code, fix D27)</t>
        </is>
      </c>
      <c r="K957" s="9" t="str">
        <f>LOWER(CtryCode)&amp;".distn."&amp;$A957&amp;IF($B957="","","."&amp;$B957)&amp;IF($C957="","",".dec."&amp;$C957)&amp;"."&amp;K$5</f>
        <v>egy.distn.outpriin.srv.1</v>
      </c>
      <c r="L957" s="121">
        <f>IFERROR(SUMPRODUCT((DSecCpat=$B957)*DSecHhd*L$704:L$767)/SUMIF(DSecCpat,$B957,DSecHhd),0)</f>
        <v>0.0</v>
      </c>
      <c r="M957" s="122">
        <f t="shared" ref="M957:V957" si="1650">L957</f>
        <v>0.0</v>
      </c>
      <c r="N957" s="122">
        <f t="shared" si="1650"/>
        <v>0.0</v>
      </c>
      <c r="O957" s="122">
        <f t="shared" si="1650"/>
        <v>0.0</v>
      </c>
      <c r="P957" s="122">
        <f t="shared" si="1650"/>
        <v>0.0</v>
      </c>
      <c r="Q957" s="122">
        <f t="shared" si="1650"/>
        <v>0.0</v>
      </c>
      <c r="R957" s="122">
        <f t="shared" si="1650"/>
        <v>0.0</v>
      </c>
      <c r="S957" s="122">
        <f t="shared" si="1650"/>
        <v>0.0</v>
      </c>
      <c r="T957" s="122">
        <f t="shared" si="1650"/>
        <v>0.0</v>
      </c>
      <c r="U957" s="122">
        <f t="shared" si="1650"/>
        <v>0.0</v>
      </c>
      <c r="V957" s="122">
        <f t="shared" si="1650"/>
        <v>0.0</v>
      </c>
      <c r="W957" s="201" t="str">
        <f>IF(X$5=K$5,SUM(Y957:AI957)-SUM(L957:V957),"")</f>
        <v/>
      </c>
      <c r="X957" s="9" t="str">
        <f>LOWER(CtryCode)&amp;".distn."&amp;$A957&amp;IF($B957="","","."&amp;$B957)&amp;IF($C957="","",".dec."&amp;$C957)&amp;"."&amp;X$5</f>
        <v>egy.distn.outpriin.srv.2</v>
      </c>
      <c r="Y957" s="121">
        <f>IFERROR(SUMPRODUCT((DSecCpat=$B957)*DSecHhd*Y$704:Y$767)/SUMIF(DSecCpat,$B957,DSecHhd),0)</f>
        <v>0.000640481817353179</v>
      </c>
      <c r="Z957" s="122">
        <f t="shared" ref="Z957:AI957" si="1651">Y957</f>
        <v>0.000640481817353179</v>
      </c>
      <c r="AA957" s="122">
        <f t="shared" si="1651"/>
        <v>0.000640481817353179</v>
      </c>
      <c r="AB957" s="122">
        <f t="shared" si="1651"/>
        <v>0.000640481817353179</v>
      </c>
      <c r="AC957" s="122">
        <f t="shared" si="1651"/>
        <v>0.000640481817353179</v>
      </c>
      <c r="AD957" s="122">
        <f t="shared" si="1651"/>
        <v>0.000640481817353179</v>
      </c>
      <c r="AE957" s="122">
        <f t="shared" si="1651"/>
        <v>0.000640481817353179</v>
      </c>
      <c r="AF957" s="122">
        <f t="shared" si="1651"/>
        <v>0.000640481817353179</v>
      </c>
      <c r="AG957" s="122">
        <f t="shared" si="1651"/>
        <v>0.000640481817353179</v>
      </c>
      <c r="AH957" s="122">
        <f t="shared" si="1651"/>
        <v>0.000640481817353179</v>
      </c>
      <c r="AI957" s="122">
        <f t="shared" si="1651"/>
        <v>0.000640481817353179</v>
      </c>
    </row>
    <row r="958" hidden="1" outlineLevel="1">
      <c r="A958" s="44" t="inlineStr">
        <is>
          <t>outpriin</t>
        </is>
      </c>
      <c r="B958" s="3" t="inlineStr">
        <is>
          <t>mch</t>
        </is>
      </c>
      <c r="C958" s="3" t="inlineStr"/>
      <c r="D958" s="3" t="n"/>
      <c r="E958" s="3" t="n"/>
      <c r="H958" s="3" t="inlineStr">
        <is>
          <t>Mining &amp; Chemicals: output price change, household-demand-weighted</t>
        </is>
      </c>
      <c r="I958" s="3" t="inlineStr">
        <is>
          <t>fraction</t>
        </is>
      </c>
      <c r="J958" s="118" t="inlineStr">
        <is>
          <t>legacy P:U 3285-3296, MTOutputs 1035-1058 (by sector code, fix D27)</t>
        </is>
      </c>
      <c r="K958" s="9" t="str">
        <f>LOWER(CtryCode)&amp;".distn."&amp;$A958&amp;IF($B958="","","."&amp;$B958)&amp;IF($C958="","",".dec."&amp;$C958)&amp;"."&amp;K$5</f>
        <v>egy.distn.outpriin.mch.1</v>
      </c>
      <c r="L958" s="121">
        <f>IFERROR(SUMPRODUCT((DSecCpat=$B958)*DSecHhd*L$704:L$767)/SUMIF(DSecCpat,$B958,DSecHhd),0)</f>
        <v>0.0</v>
      </c>
      <c r="M958" s="122">
        <f t="shared" ref="M958:V958" si="1652">L958</f>
        <v>0.0</v>
      </c>
      <c r="N958" s="122">
        <f t="shared" si="1652"/>
        <v>0.0</v>
      </c>
      <c r="O958" s="122">
        <f t="shared" si="1652"/>
        <v>0.0</v>
      </c>
      <c r="P958" s="122">
        <f t="shared" si="1652"/>
        <v>0.0</v>
      </c>
      <c r="Q958" s="122">
        <f t="shared" si="1652"/>
        <v>0.0</v>
      </c>
      <c r="R958" s="122">
        <f t="shared" si="1652"/>
        <v>0.0</v>
      </c>
      <c r="S958" s="122">
        <f t="shared" si="1652"/>
        <v>0.0</v>
      </c>
      <c r="T958" s="122">
        <f t="shared" si="1652"/>
        <v>0.0</v>
      </c>
      <c r="U958" s="122">
        <f t="shared" si="1652"/>
        <v>0.0</v>
      </c>
      <c r="V958" s="122">
        <f t="shared" si="1652"/>
        <v>0.0</v>
      </c>
      <c r="W958" s="201" t="str">
        <f>IF(X$5=K$5,SUM(Y958:AI958)-SUM(L958:V958),"")</f>
        <v/>
      </c>
      <c r="X958" s="9" t="str">
        <f>LOWER(CtryCode)&amp;".distn."&amp;$A958&amp;IF($B958="","","."&amp;$B958)&amp;IF($C958="","",".dec."&amp;$C958)&amp;"."&amp;X$5</f>
        <v>egy.distn.outpriin.mch.2</v>
      </c>
      <c r="Y958" s="121">
        <f>IFERROR(SUMPRODUCT((DSecCpat=$B958)*DSecHhd*Y$704:Y$767)/SUMIF(DSecCpat,$B958,DSecHhd),0)</f>
        <v>0.0055719766890284204</v>
      </c>
      <c r="Z958" s="122">
        <f t="shared" ref="Z958:AI958" si="1653">Y958</f>
        <v>0.0055719766890284204</v>
      </c>
      <c r="AA958" s="122">
        <f t="shared" si="1653"/>
        <v>0.0055719766890284204</v>
      </c>
      <c r="AB958" s="122">
        <f t="shared" si="1653"/>
        <v>0.0055719766890284204</v>
      </c>
      <c r="AC958" s="122">
        <f t="shared" si="1653"/>
        <v>0.0055719766890284204</v>
      </c>
      <c r="AD958" s="122">
        <f t="shared" si="1653"/>
        <v>0.0055719766890284204</v>
      </c>
      <c r="AE958" s="122">
        <f t="shared" si="1653"/>
        <v>0.0055719766890284204</v>
      </c>
      <c r="AF958" s="122">
        <f t="shared" si="1653"/>
        <v>0.0055719766890284204</v>
      </c>
      <c r="AG958" s="122">
        <f t="shared" si="1653"/>
        <v>0.0055719766890284204</v>
      </c>
      <c r="AH958" s="122">
        <f t="shared" si="1653"/>
        <v>0.0055719766890284204</v>
      </c>
      <c r="AI958" s="122">
        <f t="shared" si="1653"/>
        <v>0.0055719766890284204</v>
      </c>
    </row>
    <row r="959" hidden="1" outlineLevel="1">
      <c r="A959" s="44" t="inlineStr">
        <is>
          <t>outpriin</t>
        </is>
      </c>
      <c r="B959" s="3" t="inlineStr">
        <is>
          <t>irn</t>
        </is>
      </c>
      <c r="C959" s="3" t="inlineStr"/>
      <c r="D959" s="3" t="n"/>
      <c r="E959" s="3" t="n"/>
      <c r="H959" s="3" t="inlineStr">
        <is>
          <t>Iron and steel: output price change, household-demand-weighted</t>
        </is>
      </c>
      <c r="I959" s="3" t="inlineStr">
        <is>
          <t>fraction</t>
        </is>
      </c>
      <c r="J959" s="118" t="inlineStr">
        <is>
          <t>legacy P:U 3285-3296, MTOutputs 1035-1058 (by sector code, fix D27)</t>
        </is>
      </c>
      <c r="K959" s="9" t="str">
        <f>LOWER(CtryCode)&amp;".distn."&amp;$A959&amp;IF($B959="","","."&amp;$B959)&amp;IF($C959="","",".dec."&amp;$C959)&amp;"."&amp;K$5</f>
        <v>egy.distn.outpriin.irn.1</v>
      </c>
      <c r="L959" s="121">
        <f>IFERROR(SUMPRODUCT((DSecCpat=$B959)*DSecHhd*L$704:L$767)/SUMIF(DSecCpat,$B959,DSecHhd),0)</f>
        <v>0.0</v>
      </c>
      <c r="M959" s="122">
        <f t="shared" ref="M959:V959" si="1654">L959</f>
        <v>0.0</v>
      </c>
      <c r="N959" s="122">
        <f t="shared" si="1654"/>
        <v>0.0</v>
      </c>
      <c r="O959" s="122">
        <f t="shared" si="1654"/>
        <v>0.0</v>
      </c>
      <c r="P959" s="122">
        <f t="shared" si="1654"/>
        <v>0.0</v>
      </c>
      <c r="Q959" s="122">
        <f t="shared" si="1654"/>
        <v>0.0</v>
      </c>
      <c r="R959" s="122">
        <f t="shared" si="1654"/>
        <v>0.0</v>
      </c>
      <c r="S959" s="122">
        <f t="shared" si="1654"/>
        <v>0.0</v>
      </c>
      <c r="T959" s="122">
        <f t="shared" si="1654"/>
        <v>0.0</v>
      </c>
      <c r="U959" s="122">
        <f t="shared" si="1654"/>
        <v>0.0</v>
      </c>
      <c r="V959" s="122">
        <f t="shared" si="1654"/>
        <v>0.0</v>
      </c>
      <c r="W959" s="201" t="str">
        <f>IF(X$5=K$5,SUM(Y959:AI959)-SUM(L959:V959),"")</f>
        <v/>
      </c>
      <c r="X959" s="9" t="str">
        <f>LOWER(CtryCode)&amp;".distn."&amp;$A959&amp;IF($B959="","","."&amp;$B959)&amp;IF($C959="","",".dec."&amp;$C959)&amp;"."&amp;X$5</f>
        <v>egy.distn.outpriin.irn.2</v>
      </c>
      <c r="Y959" s="121">
        <f>IFERROR(SUMPRODUCT((DSecCpat=$B959)*DSecHhd*Y$704:Y$767)/SUMIF(DSecCpat,$B959,DSecHhd),0)</f>
        <v>0.005639113544198023</v>
      </c>
      <c r="Z959" s="122">
        <f t="shared" ref="Z959:AI959" si="1655">Y959</f>
        <v>0.005639113544198023</v>
      </c>
      <c r="AA959" s="122">
        <f t="shared" si="1655"/>
        <v>0.005639113544198023</v>
      </c>
      <c r="AB959" s="122">
        <f t="shared" si="1655"/>
        <v>0.005639113544198023</v>
      </c>
      <c r="AC959" s="122">
        <f t="shared" si="1655"/>
        <v>0.005639113544198023</v>
      </c>
      <c r="AD959" s="122">
        <f t="shared" si="1655"/>
        <v>0.005639113544198023</v>
      </c>
      <c r="AE959" s="122">
        <f t="shared" si="1655"/>
        <v>0.005639113544198023</v>
      </c>
      <c r="AF959" s="122">
        <f t="shared" si="1655"/>
        <v>0.005639113544198023</v>
      </c>
      <c r="AG959" s="122">
        <f t="shared" si="1655"/>
        <v>0.005639113544198023</v>
      </c>
      <c r="AH959" s="122">
        <f t="shared" si="1655"/>
        <v>0.005639113544198023</v>
      </c>
      <c r="AI959" s="122">
        <f t="shared" si="1655"/>
        <v>0.005639113544198023</v>
      </c>
    </row>
    <row r="960" hidden="1" outlineLevel="1">
      <c r="A960" s="44" t="inlineStr">
        <is>
          <t>outpriin</t>
        </is>
      </c>
      <c r="B960" s="3" t="inlineStr">
        <is>
          <t>nfm</t>
        </is>
      </c>
      <c r="C960" s="3" t="inlineStr"/>
      <c r="D960" s="3" t="n"/>
      <c r="E960" s="3" t="n"/>
      <c r="H960" s="3" t="inlineStr">
        <is>
          <t>Non-ferrous metals: output price change, household-demand-weighted</t>
        </is>
      </c>
      <c r="I960" s="3" t="inlineStr">
        <is>
          <t>fraction</t>
        </is>
      </c>
      <c r="J960" s="118" t="inlineStr">
        <is>
          <t>legacy P:U 3285-3296, MTOutputs 1035-1058 (by sector code, fix D27)</t>
        </is>
      </c>
      <c r="K960" s="9" t="str">
        <f>LOWER(CtryCode)&amp;".distn."&amp;$A960&amp;IF($B960="","","."&amp;$B960)&amp;IF($C960="","",".dec."&amp;$C960)&amp;"."&amp;K$5</f>
        <v>egy.distn.outpriin.nfm.1</v>
      </c>
      <c r="L960" s="121">
        <f>IFERROR(SUMPRODUCT((DSecCpat=$B960)*DSecHhd*L$704:L$767)/SUMIF(DSecCpat,$B960,DSecHhd),0)</f>
        <v>0.0</v>
      </c>
      <c r="M960" s="122">
        <f t="shared" ref="M960:V960" si="1656">L960</f>
        <v>0.0</v>
      </c>
      <c r="N960" s="122">
        <f t="shared" si="1656"/>
        <v>0.0</v>
      </c>
      <c r="O960" s="122">
        <f t="shared" si="1656"/>
        <v>0.0</v>
      </c>
      <c r="P960" s="122">
        <f t="shared" si="1656"/>
        <v>0.0</v>
      </c>
      <c r="Q960" s="122">
        <f t="shared" si="1656"/>
        <v>0.0</v>
      </c>
      <c r="R960" s="122">
        <f t="shared" si="1656"/>
        <v>0.0</v>
      </c>
      <c r="S960" s="122">
        <f t="shared" si="1656"/>
        <v>0.0</v>
      </c>
      <c r="T960" s="122">
        <f t="shared" si="1656"/>
        <v>0.0</v>
      </c>
      <c r="U960" s="122">
        <f t="shared" si="1656"/>
        <v>0.0</v>
      </c>
      <c r="V960" s="122">
        <f t="shared" si="1656"/>
        <v>0.0</v>
      </c>
      <c r="W960" s="201" t="str">
        <f>IF(X$5=K$5,SUM(Y960:AI960)-SUM(L960:V960),"")</f>
        <v/>
      </c>
      <c r="X960" s="9" t="str">
        <f>LOWER(CtryCode)&amp;".distn."&amp;$A960&amp;IF($B960="","","."&amp;$B960)&amp;IF($C960="","",".dec."&amp;$C960)&amp;"."&amp;X$5</f>
        <v>egy.distn.outpriin.nfm.2</v>
      </c>
      <c r="Y960" s="121">
        <f>IFERROR(SUMPRODUCT((DSecCpat=$B960)*DSecHhd*Y$704:Y$767)/SUMIF(DSecCpat,$B960,DSecHhd),0)</f>
        <v>0.0041046532004021</v>
      </c>
      <c r="Z960" s="122">
        <f t="shared" ref="Z960:AI960" si="1657">Y960</f>
        <v>0.0041046532004021</v>
      </c>
      <c r="AA960" s="122">
        <f t="shared" si="1657"/>
        <v>0.0041046532004021</v>
      </c>
      <c r="AB960" s="122">
        <f t="shared" si="1657"/>
        <v>0.0041046532004021</v>
      </c>
      <c r="AC960" s="122">
        <f t="shared" si="1657"/>
        <v>0.0041046532004021</v>
      </c>
      <c r="AD960" s="122">
        <f t="shared" si="1657"/>
        <v>0.0041046532004021</v>
      </c>
      <c r="AE960" s="122">
        <f t="shared" si="1657"/>
        <v>0.0041046532004021</v>
      </c>
      <c r="AF960" s="122">
        <f t="shared" si="1657"/>
        <v>0.0041046532004021</v>
      </c>
      <c r="AG960" s="122">
        <f t="shared" si="1657"/>
        <v>0.0041046532004021</v>
      </c>
      <c r="AH960" s="122">
        <f t="shared" si="1657"/>
        <v>0.0041046532004021</v>
      </c>
      <c r="AI960" s="122">
        <f t="shared" si="1657"/>
        <v>0.0041046532004021</v>
      </c>
    </row>
    <row r="961" hidden="1" outlineLevel="1">
      <c r="A961" s="44" t="inlineStr">
        <is>
          <t>outpriin</t>
        </is>
      </c>
      <c r="B961" s="3" t="inlineStr">
        <is>
          <t>mac</t>
        </is>
      </c>
      <c r="C961" s="3" t="inlineStr"/>
      <c r="D961" s="3" t="n"/>
      <c r="E961" s="3" t="n"/>
      <c r="H961" s="3" t="inlineStr">
        <is>
          <t>Machinery: output price change, household-demand-weighted</t>
        </is>
      </c>
      <c r="I961" s="3" t="inlineStr">
        <is>
          <t>fraction</t>
        </is>
      </c>
      <c r="J961" s="118" t="inlineStr">
        <is>
          <t>legacy P:U 3285-3296, MTOutputs 1035-1058 (by sector code, fix D27)</t>
        </is>
      </c>
      <c r="K961" s="9" t="str">
        <f>LOWER(CtryCode)&amp;".distn."&amp;$A961&amp;IF($B961="","","."&amp;$B961)&amp;IF($C961="","",".dec."&amp;$C961)&amp;"."&amp;K$5</f>
        <v>egy.distn.outpriin.mac.1</v>
      </c>
      <c r="L961" s="121">
        <f>IFERROR(SUMPRODUCT((DSecCpat=$B961)*DSecHhd*L$704:L$767)/SUMIF(DSecCpat,$B961,DSecHhd),0)</f>
        <v>0.0</v>
      </c>
      <c r="M961" s="122">
        <f t="shared" ref="M961:V961" si="1658">L961</f>
        <v>0.0</v>
      </c>
      <c r="N961" s="122">
        <f t="shared" si="1658"/>
        <v>0.0</v>
      </c>
      <c r="O961" s="122">
        <f t="shared" si="1658"/>
        <v>0.0</v>
      </c>
      <c r="P961" s="122">
        <f t="shared" si="1658"/>
        <v>0.0</v>
      </c>
      <c r="Q961" s="122">
        <f t="shared" si="1658"/>
        <v>0.0</v>
      </c>
      <c r="R961" s="122">
        <f t="shared" si="1658"/>
        <v>0.0</v>
      </c>
      <c r="S961" s="122">
        <f t="shared" si="1658"/>
        <v>0.0</v>
      </c>
      <c r="T961" s="122">
        <f t="shared" si="1658"/>
        <v>0.0</v>
      </c>
      <c r="U961" s="122">
        <f t="shared" si="1658"/>
        <v>0.0</v>
      </c>
      <c r="V961" s="122">
        <f t="shared" si="1658"/>
        <v>0.0</v>
      </c>
      <c r="W961" s="201" t="str">
        <f>IF(X$5=K$5,SUM(Y961:AI961)-SUM(L961:V961),"")</f>
        <v/>
      </c>
      <c r="X961" s="9" t="str">
        <f>LOWER(CtryCode)&amp;".distn."&amp;$A961&amp;IF($B961="","","."&amp;$B961)&amp;IF($C961="","",".dec."&amp;$C961)&amp;"."&amp;X$5</f>
        <v>egy.distn.outpriin.mac.2</v>
      </c>
      <c r="Y961" s="121">
        <f>IFERROR(SUMPRODUCT((DSecCpat=$B961)*DSecHhd*Y$704:Y$767)/SUMIF(DSecCpat,$B961,DSecHhd),0)</f>
        <v>0.0021182477008845667</v>
      </c>
      <c r="Z961" s="122">
        <f t="shared" ref="Z961:AI961" si="1659">Y961</f>
        <v>0.0021182477008845667</v>
      </c>
      <c r="AA961" s="122">
        <f t="shared" si="1659"/>
        <v>0.0021182477008845667</v>
      </c>
      <c r="AB961" s="122">
        <f t="shared" si="1659"/>
        <v>0.0021182477008845667</v>
      </c>
      <c r="AC961" s="122">
        <f t="shared" si="1659"/>
        <v>0.0021182477008845667</v>
      </c>
      <c r="AD961" s="122">
        <f t="shared" si="1659"/>
        <v>0.0021182477008845667</v>
      </c>
      <c r="AE961" s="122">
        <f t="shared" si="1659"/>
        <v>0.0021182477008845667</v>
      </c>
      <c r="AF961" s="122">
        <f t="shared" si="1659"/>
        <v>0.0021182477008845667</v>
      </c>
      <c r="AG961" s="122">
        <f t="shared" si="1659"/>
        <v>0.0021182477008845667</v>
      </c>
      <c r="AH961" s="122">
        <f t="shared" si="1659"/>
        <v>0.0021182477008845667</v>
      </c>
      <c r="AI961" s="122">
        <f t="shared" si="1659"/>
        <v>0.0021182477008845667</v>
      </c>
    </row>
    <row r="962" hidden="1" outlineLevel="1">
      <c r="A962" s="44" t="inlineStr">
        <is>
          <t>outpriin</t>
        </is>
      </c>
      <c r="B962" s="3" t="inlineStr">
        <is>
          <t>cem</t>
        </is>
      </c>
      <c r="C962" s="3" t="inlineStr"/>
      <c r="D962" s="3" t="n"/>
      <c r="E962" s="3" t="n"/>
      <c r="H962" s="3" t="inlineStr">
        <is>
          <t>Cement: output price change, household-demand-weighted</t>
        </is>
      </c>
      <c r="I962" s="3" t="inlineStr">
        <is>
          <t>fraction</t>
        </is>
      </c>
      <c r="J962" s="118" t="inlineStr">
        <is>
          <t>legacy P:U 3285-3296, MTOutputs 1035-1058 (by sector code, fix D27)</t>
        </is>
      </c>
      <c r="K962" s="9" t="str">
        <f>LOWER(CtryCode)&amp;".distn."&amp;$A962&amp;IF($B962="","","."&amp;$B962)&amp;IF($C962="","",".dec."&amp;$C962)&amp;"."&amp;K$5</f>
        <v>egy.distn.outpriin.cem.1</v>
      </c>
      <c r="L962" s="121">
        <f>IFERROR(SUMPRODUCT((DSecCpat=$B962)*DSecHhd*L$704:L$767)/SUMIF(DSecCpat,$B962,DSecHhd),0)</f>
        <v>0.0</v>
      </c>
      <c r="M962" s="122">
        <f t="shared" ref="M962:V962" si="1660">L962</f>
        <v>0.0</v>
      </c>
      <c r="N962" s="122">
        <f t="shared" si="1660"/>
        <v>0.0</v>
      </c>
      <c r="O962" s="122">
        <f t="shared" si="1660"/>
        <v>0.0</v>
      </c>
      <c r="P962" s="122">
        <f t="shared" si="1660"/>
        <v>0.0</v>
      </c>
      <c r="Q962" s="122">
        <f t="shared" si="1660"/>
        <v>0.0</v>
      </c>
      <c r="R962" s="122">
        <f t="shared" si="1660"/>
        <v>0.0</v>
      </c>
      <c r="S962" s="122">
        <f t="shared" si="1660"/>
        <v>0.0</v>
      </c>
      <c r="T962" s="122">
        <f t="shared" si="1660"/>
        <v>0.0</v>
      </c>
      <c r="U962" s="122">
        <f t="shared" si="1660"/>
        <v>0.0</v>
      </c>
      <c r="V962" s="122">
        <f t="shared" si="1660"/>
        <v>0.0</v>
      </c>
      <c r="W962" s="201" t="str">
        <f>IF(X$5=K$5,SUM(Y962:AI962)-SUM(L962:V962),"")</f>
        <v/>
      </c>
      <c r="X962" s="9" t="str">
        <f>LOWER(CtryCode)&amp;".distn."&amp;$A962&amp;IF($B962="","","."&amp;$B962)&amp;IF($C962="","",".dec."&amp;$C962)&amp;"."&amp;X$5</f>
        <v>egy.distn.outpriin.cem.2</v>
      </c>
      <c r="Y962" s="121">
        <f>IFERROR(SUMPRODUCT((DSecCpat=$B962)*DSecHhd*Y$704:Y$767)/SUMIF(DSecCpat,$B962,DSecHhd),0)</f>
        <v>0.0019892939204200046</v>
      </c>
      <c r="Z962" s="122">
        <f t="shared" ref="Z962:AI962" si="1661">Y962</f>
        <v>0.0019892939204200046</v>
      </c>
      <c r="AA962" s="122">
        <f t="shared" si="1661"/>
        <v>0.0019892939204200046</v>
      </c>
      <c r="AB962" s="122">
        <f t="shared" si="1661"/>
        <v>0.0019892939204200046</v>
      </c>
      <c r="AC962" s="122">
        <f t="shared" si="1661"/>
        <v>0.0019892939204200046</v>
      </c>
      <c r="AD962" s="122">
        <f t="shared" si="1661"/>
        <v>0.0019892939204200046</v>
      </c>
      <c r="AE962" s="122">
        <f t="shared" si="1661"/>
        <v>0.0019892939204200046</v>
      </c>
      <c r="AF962" s="122">
        <f t="shared" si="1661"/>
        <v>0.0019892939204200046</v>
      </c>
      <c r="AG962" s="122">
        <f t="shared" si="1661"/>
        <v>0.0019892939204200046</v>
      </c>
      <c r="AH962" s="122">
        <f t="shared" si="1661"/>
        <v>0.0019892939204200046</v>
      </c>
      <c r="AI962" s="122">
        <f t="shared" si="1661"/>
        <v>0.0019892939204200046</v>
      </c>
    </row>
    <row r="963" hidden="1" outlineLevel="1">
      <c r="A963" s="44" t="inlineStr">
        <is>
          <t>outpriin</t>
        </is>
      </c>
      <c r="B963" s="3" t="inlineStr">
        <is>
          <t>omn</t>
        </is>
      </c>
      <c r="C963" s="3" t="inlineStr"/>
      <c r="D963" s="3" t="n"/>
      <c r="E963" s="3" t="n"/>
      <c r="H963" s="3" t="inlineStr">
        <is>
          <t>Other manufacturing: output price change, household-demand-weighted</t>
        </is>
      </c>
      <c r="I963" s="3" t="inlineStr">
        <is>
          <t>fraction</t>
        </is>
      </c>
      <c r="J963" s="118" t="inlineStr">
        <is>
          <t>legacy P:U 3285-3296, MTOutputs 1035-1058 (by sector code, fix D27)</t>
        </is>
      </c>
      <c r="K963" s="9" t="str">
        <f>LOWER(CtryCode)&amp;".distn."&amp;$A963&amp;IF($B963="","","."&amp;$B963)&amp;IF($C963="","",".dec."&amp;$C963)&amp;"."&amp;K$5</f>
        <v>egy.distn.outpriin.omn.1</v>
      </c>
      <c r="L963" s="121">
        <f>IFERROR(SUMPRODUCT((DSecCpat=$B963)*DSecHhd*L$704:L$767)/SUMIF(DSecCpat,$B963,DSecHhd),0)</f>
        <v>0.0</v>
      </c>
      <c r="M963" s="122">
        <f t="shared" ref="M963:V963" si="1662">L963</f>
        <v>0.0</v>
      </c>
      <c r="N963" s="122">
        <f t="shared" si="1662"/>
        <v>0.0</v>
      </c>
      <c r="O963" s="122">
        <f t="shared" si="1662"/>
        <v>0.0</v>
      </c>
      <c r="P963" s="122">
        <f t="shared" si="1662"/>
        <v>0.0</v>
      </c>
      <c r="Q963" s="122">
        <f t="shared" si="1662"/>
        <v>0.0</v>
      </c>
      <c r="R963" s="122">
        <f t="shared" si="1662"/>
        <v>0.0</v>
      </c>
      <c r="S963" s="122">
        <f t="shared" si="1662"/>
        <v>0.0</v>
      </c>
      <c r="T963" s="122">
        <f t="shared" si="1662"/>
        <v>0.0</v>
      </c>
      <c r="U963" s="122">
        <f t="shared" si="1662"/>
        <v>0.0</v>
      </c>
      <c r="V963" s="122">
        <f t="shared" si="1662"/>
        <v>0.0</v>
      </c>
      <c r="W963" s="201" t="str">
        <f>IF(X$5=K$5,SUM(Y963:AI963)-SUM(L963:V963),"")</f>
        <v/>
      </c>
      <c r="X963" s="9" t="str">
        <f>LOWER(CtryCode)&amp;".distn."&amp;$A963&amp;IF($B963="","","."&amp;$B963)&amp;IF($C963="","",".dec."&amp;$C963)&amp;"."&amp;X$5</f>
        <v>egy.distn.outpriin.omn.2</v>
      </c>
      <c r="Y963" s="121">
        <f>IFERROR(SUMPRODUCT((DSecCpat=$B963)*DSecHhd*Y$704:Y$767)/SUMIF(DSecCpat,$B963,DSecHhd),0)</f>
        <v>0.0012760776020713958</v>
      </c>
      <c r="Z963" s="122">
        <f t="shared" ref="Z963:AI963" si="1663">Y963</f>
        <v>0.0012760776020713958</v>
      </c>
      <c r="AA963" s="122">
        <f t="shared" si="1663"/>
        <v>0.0012760776020713958</v>
      </c>
      <c r="AB963" s="122">
        <f t="shared" si="1663"/>
        <v>0.0012760776020713958</v>
      </c>
      <c r="AC963" s="122">
        <f t="shared" si="1663"/>
        <v>0.0012760776020713958</v>
      </c>
      <c r="AD963" s="122">
        <f t="shared" si="1663"/>
        <v>0.0012760776020713958</v>
      </c>
      <c r="AE963" s="122">
        <f t="shared" si="1663"/>
        <v>0.0012760776020713958</v>
      </c>
      <c r="AF963" s="122">
        <f t="shared" si="1663"/>
        <v>0.0012760776020713958</v>
      </c>
      <c r="AG963" s="122">
        <f t="shared" si="1663"/>
        <v>0.0012760776020713958</v>
      </c>
      <c r="AH963" s="122">
        <f t="shared" si="1663"/>
        <v>0.0012760776020713958</v>
      </c>
      <c r="AI963" s="122">
        <f t="shared" si="1663"/>
        <v>0.0012760776020713958</v>
      </c>
    </row>
    <row r="964" hidden="1" outlineLevel="1">
      <c r="A964" s="44" t="inlineStr">
        <is>
          <t>outpriin</t>
        </is>
      </c>
      <c r="B964" s="3" t="inlineStr">
        <is>
          <t>cst</t>
        </is>
      </c>
      <c r="C964" s="3" t="inlineStr"/>
      <c r="D964" s="3" t="n"/>
      <c r="E964" s="3" t="n"/>
      <c r="H964" s="3" t="inlineStr">
        <is>
          <t>Construction: output price change, household-demand-weighted</t>
        </is>
      </c>
      <c r="I964" s="3" t="inlineStr">
        <is>
          <t>fraction</t>
        </is>
      </c>
      <c r="J964" s="118" t="inlineStr">
        <is>
          <t>legacy P:U 3285-3296, MTOutputs 1035-1058 (by sector code, fix D27)</t>
        </is>
      </c>
      <c r="K964" s="9" t="str">
        <f>LOWER(CtryCode)&amp;".distn."&amp;$A964&amp;IF($B964="","","."&amp;$B964)&amp;IF($C964="","",".dec."&amp;$C964)&amp;"."&amp;K$5</f>
        <v>egy.distn.outpriin.cst.1</v>
      </c>
      <c r="L964" s="121">
        <f>IFERROR(SUMPRODUCT((DSecCpat=$B964)*DSecHhd*L$704:L$767)/SUMIF(DSecCpat,$B964,DSecHhd),0)</f>
        <v>0.0</v>
      </c>
      <c r="M964" s="122">
        <f t="shared" ref="M964:V964" si="1664">L964</f>
        <v>0.0</v>
      </c>
      <c r="N964" s="122">
        <f t="shared" si="1664"/>
        <v>0.0</v>
      </c>
      <c r="O964" s="122">
        <f t="shared" si="1664"/>
        <v>0.0</v>
      </c>
      <c r="P964" s="122">
        <f t="shared" si="1664"/>
        <v>0.0</v>
      </c>
      <c r="Q964" s="122">
        <f t="shared" si="1664"/>
        <v>0.0</v>
      </c>
      <c r="R964" s="122">
        <f t="shared" si="1664"/>
        <v>0.0</v>
      </c>
      <c r="S964" s="122">
        <f t="shared" si="1664"/>
        <v>0.0</v>
      </c>
      <c r="T964" s="122">
        <f t="shared" si="1664"/>
        <v>0.0</v>
      </c>
      <c r="U964" s="122">
        <f t="shared" si="1664"/>
        <v>0.0</v>
      </c>
      <c r="V964" s="122">
        <f t="shared" si="1664"/>
        <v>0.0</v>
      </c>
      <c r="W964" s="201" t="str">
        <f>IF(X$5=K$5,SUM(Y964:AI964)-SUM(L964:V964),"")</f>
        <v/>
      </c>
      <c r="X964" s="9" t="str">
        <f>LOWER(CtryCode)&amp;".distn."&amp;$A964&amp;IF($B964="","","."&amp;$B964)&amp;IF($C964="","",".dec."&amp;$C964)&amp;"."&amp;X$5</f>
        <v>egy.distn.outpriin.cst.2</v>
      </c>
      <c r="Y964" s="121">
        <f>IFERROR(SUMPRODUCT((DSecCpat=$B964)*DSecHhd*Y$704:Y$767)/SUMIF(DSecCpat,$B964,DSecHhd),0)</f>
        <v>0.0019632445992351076</v>
      </c>
      <c r="Z964" s="122">
        <f t="shared" ref="Z964:AI964" si="1665">Y964</f>
        <v>0.0019632445992351076</v>
      </c>
      <c r="AA964" s="122">
        <f t="shared" si="1665"/>
        <v>0.0019632445992351076</v>
      </c>
      <c r="AB964" s="122">
        <f t="shared" si="1665"/>
        <v>0.0019632445992351076</v>
      </c>
      <c r="AC964" s="122">
        <f t="shared" si="1665"/>
        <v>0.0019632445992351076</v>
      </c>
      <c r="AD964" s="122">
        <f t="shared" si="1665"/>
        <v>0.0019632445992351076</v>
      </c>
      <c r="AE964" s="122">
        <f t="shared" si="1665"/>
        <v>0.0019632445992351076</v>
      </c>
      <c r="AF964" s="122">
        <f t="shared" si="1665"/>
        <v>0.0019632445992351076</v>
      </c>
      <c r="AG964" s="122">
        <f t="shared" si="1665"/>
        <v>0.0019632445992351076</v>
      </c>
      <c r="AH964" s="122">
        <f t="shared" si="1665"/>
        <v>0.0019632445992351076</v>
      </c>
      <c r="AI964" s="122">
        <f t="shared" si="1665"/>
        <v>0.0019632445992351076</v>
      </c>
    </row>
    <row r="965" hidden="1" outlineLevel="1">
      <c r="A965" s="44" t="inlineStr">
        <is>
          <t>outpriin</t>
        </is>
      </c>
      <c r="B965" s="3" t="inlineStr">
        <is>
          <t>ftr</t>
        </is>
      </c>
      <c r="C965" s="3" t="inlineStr"/>
      <c r="D965" s="3" t="n"/>
      <c r="E965" s="3" t="n"/>
      <c r="H965" s="3" t="inlineStr">
        <is>
          <t>Fuel transformation &amp; transportation: output price change, household-demand-weighted</t>
        </is>
      </c>
      <c r="I965" s="3" t="inlineStr">
        <is>
          <t>fraction</t>
        </is>
      </c>
      <c r="J965" s="118" t="inlineStr">
        <is>
          <t>legacy P:U 3285-3296, MTOutputs 1035-1058 (by sector code, fix D27)</t>
        </is>
      </c>
      <c r="K965" s="9" t="str">
        <f>LOWER(CtryCode)&amp;".distn."&amp;$A965&amp;IF($B965="","","."&amp;$B965)&amp;IF($C965="","",".dec."&amp;$C965)&amp;"."&amp;K$5</f>
        <v>egy.distn.outpriin.ftr.1</v>
      </c>
      <c r="L965" s="121">
        <f>IFERROR(SUMPRODUCT((DSecCpat=$B965)*DSecHhd*L$704:L$767)/SUMIF(DSecCpat,$B965,DSecHhd),0)</f>
        <v>0.0</v>
      </c>
      <c r="M965" s="122">
        <f t="shared" ref="M965:V965" si="1666">L965</f>
        <v>0.0</v>
      </c>
      <c r="N965" s="122">
        <f t="shared" si="1666"/>
        <v>0.0</v>
      </c>
      <c r="O965" s="122">
        <f t="shared" si="1666"/>
        <v>0.0</v>
      </c>
      <c r="P965" s="122">
        <f t="shared" si="1666"/>
        <v>0.0</v>
      </c>
      <c r="Q965" s="122">
        <f t="shared" si="1666"/>
        <v>0.0</v>
      </c>
      <c r="R965" s="122">
        <f t="shared" si="1666"/>
        <v>0.0</v>
      </c>
      <c r="S965" s="122">
        <f t="shared" si="1666"/>
        <v>0.0</v>
      </c>
      <c r="T965" s="122">
        <f t="shared" si="1666"/>
        <v>0.0</v>
      </c>
      <c r="U965" s="122">
        <f t="shared" si="1666"/>
        <v>0.0</v>
      </c>
      <c r="V965" s="122">
        <f t="shared" si="1666"/>
        <v>0.0</v>
      </c>
      <c r="W965" s="201" t="str">
        <f>IF(X$5=K$5,SUM(Y965:AI965)-SUM(L965:V965),"")</f>
        <v/>
      </c>
      <c r="X965" s="9" t="str">
        <f>LOWER(CtryCode)&amp;".distn."&amp;$A965&amp;IF($B965="","","."&amp;$B965)&amp;IF($C965="","",".dec."&amp;$C965)&amp;"."&amp;X$5</f>
        <v>egy.distn.outpriin.ftr.2</v>
      </c>
      <c r="Y965" s="121">
        <f>IFERROR(SUMPRODUCT((DSecCpat=$B965)*DSecHhd*Y$704:Y$767)/SUMIF(DSecCpat,$B965,DSecHhd),0)</f>
        <v>0.0</v>
      </c>
      <c r="Z965" s="122">
        <f t="shared" ref="Z965:AI965" si="1667">Y965</f>
        <v>0.0</v>
      </c>
      <c r="AA965" s="122">
        <f t="shared" si="1667"/>
        <v>0.0</v>
      </c>
      <c r="AB965" s="122">
        <f t="shared" si="1667"/>
        <v>0.0</v>
      </c>
      <c r="AC965" s="122">
        <f t="shared" si="1667"/>
        <v>0.0</v>
      </c>
      <c r="AD965" s="122">
        <f t="shared" si="1667"/>
        <v>0.0</v>
      </c>
      <c r="AE965" s="122">
        <f t="shared" si="1667"/>
        <v>0.0</v>
      </c>
      <c r="AF965" s="122">
        <f t="shared" si="1667"/>
        <v>0.0</v>
      </c>
      <c r="AG965" s="122">
        <f t="shared" si="1667"/>
        <v>0.0</v>
      </c>
      <c r="AH965" s="122">
        <f t="shared" si="1667"/>
        <v>0.0</v>
      </c>
      <c r="AI965" s="122">
        <f t="shared" si="1667"/>
        <v>0.0</v>
      </c>
    </row>
    <row r="966" hidden="1" outlineLevel="1">
      <c r="A966" s="44" t="inlineStr">
        <is>
          <t>outpriin</t>
        </is>
      </c>
      <c r="B966" s="3" t="inlineStr">
        <is>
          <t>res</t>
        </is>
      </c>
      <c r="C966" s="3" t="inlineStr"/>
      <c r="D966" s="3" t="n"/>
      <c r="E966" s="3" t="n"/>
      <c r="H966" s="3" t="inlineStr">
        <is>
          <t>Residential sector: output price change, household-demand-weighted</t>
        </is>
      </c>
      <c r="I966" s="3" t="inlineStr">
        <is>
          <t>fraction</t>
        </is>
      </c>
      <c r="J966" s="118" t="inlineStr">
        <is>
          <t>legacy P:U 3285-3296, MTOutputs 1035-1058 (by sector code, fix D27)</t>
        </is>
      </c>
      <c r="K966" s="9" t="str">
        <f>LOWER(CtryCode)&amp;".distn."&amp;$A966&amp;IF($B966="","","."&amp;$B966)&amp;IF($C966="","",".dec."&amp;$C966)&amp;"."&amp;K$5</f>
        <v>egy.distn.outpriin.res.1</v>
      </c>
      <c r="L966" s="121">
        <f>IFERROR(SUMPRODUCT((DSecCpat=$B966)*DSecHhd*L$704:L$767)/SUMIF(DSecCpat,$B966,DSecHhd),0)</f>
        <v>0.0</v>
      </c>
      <c r="M966" s="122">
        <f t="shared" ref="M966:V966" si="1668">L966</f>
        <v>0.0</v>
      </c>
      <c r="N966" s="122">
        <f t="shared" si="1668"/>
        <v>0.0</v>
      </c>
      <c r="O966" s="122">
        <f t="shared" si="1668"/>
        <v>0.0</v>
      </c>
      <c r="P966" s="122">
        <f t="shared" si="1668"/>
        <v>0.0</v>
      </c>
      <c r="Q966" s="122">
        <f t="shared" si="1668"/>
        <v>0.0</v>
      </c>
      <c r="R966" s="122">
        <f t="shared" si="1668"/>
        <v>0.0</v>
      </c>
      <c r="S966" s="122">
        <f t="shared" si="1668"/>
        <v>0.0</v>
      </c>
      <c r="T966" s="122">
        <f t="shared" si="1668"/>
        <v>0.0</v>
      </c>
      <c r="U966" s="122">
        <f t="shared" si="1668"/>
        <v>0.0</v>
      </c>
      <c r="V966" s="122">
        <f t="shared" si="1668"/>
        <v>0.0</v>
      </c>
      <c r="W966" s="201" t="str">
        <f>IF(X$5=K$5,SUM(Y966:AI966)-SUM(L966:V966),"")</f>
        <v/>
      </c>
      <c r="X966" s="9" t="str">
        <f>LOWER(CtryCode)&amp;".distn."&amp;$A966&amp;IF($B966="","","."&amp;$B966)&amp;IF($C966="","",".dec."&amp;$C966)&amp;"."&amp;X$5</f>
        <v>egy.distn.outpriin.res.2</v>
      </c>
      <c r="Y966" s="121">
        <f>IFERROR(SUMPRODUCT((DSecCpat=$B966)*DSecHhd*Y$704:Y$767)/SUMIF(DSecCpat,$B966,DSecHhd),0)</f>
        <v>0.0010322684094301005</v>
      </c>
      <c r="Z966" s="122">
        <f t="shared" ref="Z966:AI966" si="1669">Y966</f>
        <v>0.0010322684094301005</v>
      </c>
      <c r="AA966" s="122">
        <f t="shared" si="1669"/>
        <v>0.0010322684094301005</v>
      </c>
      <c r="AB966" s="122">
        <f t="shared" si="1669"/>
        <v>0.0010322684094301005</v>
      </c>
      <c r="AC966" s="122">
        <f t="shared" si="1669"/>
        <v>0.0010322684094301005</v>
      </c>
      <c r="AD966" s="122">
        <f t="shared" si="1669"/>
        <v>0.0010322684094301005</v>
      </c>
      <c r="AE966" s="122">
        <f t="shared" si="1669"/>
        <v>0.0010322684094301005</v>
      </c>
      <c r="AF966" s="122">
        <f t="shared" si="1669"/>
        <v>0.0010322684094301005</v>
      </c>
      <c r="AG966" s="122">
        <f t="shared" si="1669"/>
        <v>0.0010322684094301005</v>
      </c>
      <c r="AH966" s="122">
        <f t="shared" si="1669"/>
        <v>0.0010322684094301005</v>
      </c>
      <c r="AI966" s="122">
        <f t="shared" si="1669"/>
        <v>0.0010322684094301005</v>
      </c>
    </row>
    <row r="967" hidden="1" outlineLevel="1">
      <c r="A967" s="44" t="inlineStr">
        <is>
          <t>outpriin</t>
        </is>
      </c>
      <c r="B967" s="3" t="inlineStr">
        <is>
          <t>pow</t>
        </is>
      </c>
      <c r="C967" s="3" t="inlineStr"/>
      <c r="D967" s="3" t="n"/>
      <c r="E967" s="3" t="n"/>
      <c r="H967" s="3" t="inlineStr">
        <is>
          <t>Electricity production: output price change, household-demand-weighted</t>
        </is>
      </c>
      <c r="I967" s="3" t="inlineStr">
        <is>
          <t>fraction</t>
        </is>
      </c>
      <c r="J967" s="118" t="inlineStr">
        <is>
          <t>legacy P:U 3285-3296, MTOutputs 1035-1058 (by sector code, fix D27)</t>
        </is>
      </c>
      <c r="K967" s="9" t="str">
        <f>LOWER(CtryCode)&amp;".distn."&amp;$A967&amp;IF($B967="","","."&amp;$B967)&amp;IF($C967="","",".dec."&amp;$C967)&amp;"."&amp;K$5</f>
        <v>egy.distn.outpriin.pow.1</v>
      </c>
      <c r="L967" s="121">
        <f>IFERROR(SUMPRODUCT((DSecCpat=$B967)*DSecHhd*L$704:L$767)/SUMIF(DSecCpat,$B967,DSecHhd),0)</f>
        <v>0.0</v>
      </c>
      <c r="M967" s="122">
        <f t="shared" ref="M967:V967" si="1670">L967</f>
        <v>0.0</v>
      </c>
      <c r="N967" s="122">
        <f t="shared" si="1670"/>
        <v>0.0</v>
      </c>
      <c r="O967" s="122">
        <f t="shared" si="1670"/>
        <v>0.0</v>
      </c>
      <c r="P967" s="122">
        <f t="shared" si="1670"/>
        <v>0.0</v>
      </c>
      <c r="Q967" s="122">
        <f t="shared" si="1670"/>
        <v>0.0</v>
      </c>
      <c r="R967" s="122">
        <f t="shared" si="1670"/>
        <v>0.0</v>
      </c>
      <c r="S967" s="122">
        <f t="shared" si="1670"/>
        <v>0.0</v>
      </c>
      <c r="T967" s="122">
        <f t="shared" si="1670"/>
        <v>0.0</v>
      </c>
      <c r="U967" s="122">
        <f t="shared" si="1670"/>
        <v>0.0</v>
      </c>
      <c r="V967" s="122">
        <f t="shared" si="1670"/>
        <v>0.0</v>
      </c>
      <c r="W967" s="201" t="str">
        <f>IF(X$5=K$5,SUM(Y967:AI967)-SUM(L967:V967),"")</f>
        <v/>
      </c>
      <c r="X967" s="9" t="str">
        <f>LOWER(CtryCode)&amp;".distn."&amp;$A967&amp;IF($B967="","","."&amp;$B967)&amp;IF($C967="","",".dec."&amp;$C967)&amp;"."&amp;X$5</f>
        <v>egy.distn.outpriin.pow.2</v>
      </c>
      <c r="Y967" s="121">
        <f>IFERROR(SUMPRODUCT((DSecCpat=$B967)*DSecHhd*Y$704:Y$767)/SUMIF(DSecCpat,$B967,DSecHhd),0)</f>
        <v>0.0</v>
      </c>
      <c r="Z967" s="122">
        <f t="shared" ref="Z967:AI967" si="1671">Y967</f>
        <v>0.0</v>
      </c>
      <c r="AA967" s="122">
        <f t="shared" si="1671"/>
        <v>0.0</v>
      </c>
      <c r="AB967" s="122">
        <f t="shared" si="1671"/>
        <v>0.0</v>
      </c>
      <c r="AC967" s="122">
        <f t="shared" si="1671"/>
        <v>0.0</v>
      </c>
      <c r="AD967" s="122">
        <f t="shared" si="1671"/>
        <v>0.0</v>
      </c>
      <c r="AE967" s="122">
        <f t="shared" si="1671"/>
        <v>0.0</v>
      </c>
      <c r="AF967" s="122">
        <f t="shared" si="1671"/>
        <v>0.0</v>
      </c>
      <c r="AG967" s="122">
        <f t="shared" si="1671"/>
        <v>0.0</v>
      </c>
      <c r="AH967" s="122">
        <f t="shared" si="1671"/>
        <v>0.0</v>
      </c>
      <c r="AI967" s="122">
        <f t="shared" si="1671"/>
        <v>0.0</v>
      </c>
    </row>
    <row r="968" hidden="1" outlineLevel="1"/>
    <row r="969" collapsed="1">
      <c r="A969" s="44" t="inlineStr">
        <is>
          <t>ppic</t>
        </is>
      </c>
      <c r="B969" s="3" t="inlineStr">
        <is>
          <t>all</t>
        </is>
      </c>
      <c r="C969" s="3" t="inlineStr"/>
      <c r="D969" s="3" t="n"/>
      <c r="E969" s="3" t="n"/>
      <c r="H969" s="6" t="inlineStr">
        <is>
          <t>All sectors: output price change, output-weighted</t>
        </is>
      </c>
      <c r="I969" s="3" t="inlineStr">
        <is>
          <t>fraction</t>
        </is>
      </c>
      <c r="J969" s="118" t="inlineStr">
        <is>
          <t>legacy row 3297</t>
        </is>
      </c>
      <c r="K969" s="9" t="str">
        <f>LOWER(CtryCode)&amp;".distn."&amp;$A969&amp;IF($B969="","","."&amp;$B969)&amp;IF($C969="","",".dec."&amp;$C969)&amp;"."&amp;K$5</f>
        <v>egy.distn.ppic.all.1</v>
      </c>
      <c r="L969" s="154">
        <f>IFERROR(SUMPRODUCT(DSecOut,L$704:L$767)/SUM(DSecOut),0)</f>
        <v>0.0</v>
      </c>
      <c r="M969" s="155">
        <f t="shared" ref="M969:V969" si="1672">L969</f>
        <v>0.0</v>
      </c>
      <c r="N969" s="155">
        <f t="shared" si="1672"/>
        <v>0.0</v>
      </c>
      <c r="O969" s="155">
        <f t="shared" si="1672"/>
        <v>0.0</v>
      </c>
      <c r="P969" s="155">
        <f t="shared" si="1672"/>
        <v>0.0</v>
      </c>
      <c r="Q969" s="155">
        <f t="shared" si="1672"/>
        <v>0.0</v>
      </c>
      <c r="R969" s="155">
        <f t="shared" si="1672"/>
        <v>0.0</v>
      </c>
      <c r="S969" s="155">
        <f t="shared" si="1672"/>
        <v>0.0</v>
      </c>
      <c r="T969" s="155">
        <f t="shared" si="1672"/>
        <v>0.0</v>
      </c>
      <c r="U969" s="155">
        <f t="shared" si="1672"/>
        <v>0.0</v>
      </c>
      <c r="V969" s="155">
        <f t="shared" si="1672"/>
        <v>0.0</v>
      </c>
      <c r="W969" s="201" t="str">
        <f>IF(X$5=K$5,SUM(Y969:AI969)-SUM(L969:V969),"")</f>
        <v/>
      </c>
      <c r="X969" s="9" t="str">
        <f>LOWER(CtryCode)&amp;".distn."&amp;$A969&amp;IF($B969="","","."&amp;$B969)&amp;IF($C969="","",".dec."&amp;$C969)&amp;"."&amp;X$5</f>
        <v>egy.distn.ppic.all.2</v>
      </c>
      <c r="Y969" s="154">
        <f>IFERROR(SUMPRODUCT(DSecOut,Y$704:Y$767)/SUM(DSecOut),0)</f>
        <v>0.001551227028371149</v>
      </c>
      <c r="Z969" s="155">
        <f t="shared" ref="Z969:AI969" si="1673">Y969</f>
        <v>0.001551227028371149</v>
      </c>
      <c r="AA969" s="155">
        <f t="shared" si="1673"/>
        <v>0.001551227028371149</v>
      </c>
      <c r="AB969" s="155">
        <f t="shared" si="1673"/>
        <v>0.001551227028371149</v>
      </c>
      <c r="AC969" s="155">
        <f t="shared" si="1673"/>
        <v>0.001551227028371149</v>
      </c>
      <c r="AD969" s="155">
        <f t="shared" si="1673"/>
        <v>0.001551227028371149</v>
      </c>
      <c r="AE969" s="155">
        <f t="shared" si="1673"/>
        <v>0.001551227028371149</v>
      </c>
      <c r="AF969" s="155">
        <f t="shared" si="1673"/>
        <v>0.001551227028371149</v>
      </c>
      <c r="AG969" s="155">
        <f t="shared" si="1673"/>
        <v>0.001551227028371149</v>
      </c>
      <c r="AH969" s="155">
        <f t="shared" si="1673"/>
        <v>0.001551227028371149</v>
      </c>
      <c r="AI969" s="155">
        <f t="shared" si="1673"/>
        <v>0.001551227028371149</v>
      </c>
    </row>
  </sheetData>
  <pageMargins left="0.75" right="0.75" top="1" bottom="1" header="0.5" footer="0.5"/>
</worksheet>
</file>

<file path=xl/worksheets/sheet6.xml><?xml version="1.0" encoding="utf-8"?>
<worksheet xmlns="http://schemas.openxmlformats.org/spreadsheetml/2006/main">
  <sheetPr>
    <tabColor rgb="0092D050"/>
    <outlinePr summaryBelow="1" summaryRight="1"/>
    <pageSetUpPr/>
  </sheetPr>
  <dimension ref="A1:FO2946"/>
  <sheetViews>
    <sheetView tabSelected="0" zoomScale="80" workbookViewId="0">
      <selection activeCell="A1" sqref="A1"/>
    </sheetView>
  </sheetViews>
  <sheetFormatPr baseColWidth="8" defaultRowHeight="15"/>
  <cols>
    <col width="18" customWidth="1" min="1" max="1"/>
    <col width="60" customWidth="1" min="2" max="2"/>
    <col width="22" customWidth="1" min="3" max="3"/>
    <col width="100" customWidth="1" min="4" max="4"/>
    <col width="44" customWidth="1" min="5" max="5"/>
    <col width="26" customWidth="1" min="6" max="6"/>
    <col width="26" customWidth="1" min="7" max="7"/>
    <col width="26" customWidth="1" min="8" max="8"/>
    <col width="26" customWidth="1" min="9" max="9"/>
    <col width="26"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s>
  <sheetData>
    <row r="1"/>
    <row r="2">
      <c r="A2" s="1" t="inlineStr">
        <is>
          <t>Constants and Mappings: global settings (from MTInputs), named constants, mappings, the data step (every lookup Mitigation reads)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row>
    <row r="3">
      <c r="A3" s="4" t="inlineStr">
        <is>
          <t>Global settings (inputs: MTInputs, Model settings)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c r="BA3" s="5" t="n"/>
      <c r="BB3" s="5" t="n"/>
      <c r="BC3" s="5" t="n"/>
      <c r="BD3" s="5" t="n"/>
      <c r="BE3" s="5" t="n"/>
      <c r="BF3" s="5" t="n"/>
      <c r="BG3" s="5" t="n"/>
      <c r="BH3" s="5" t="n"/>
      <c r="BI3" s="5" t="n"/>
      <c r="BJ3" s="5" t="n"/>
      <c r="BK3" s="5" t="n"/>
      <c r="BL3" s="5" t="n"/>
      <c r="BM3" s="5" t="n"/>
      <c r="BN3" s="5" t="n"/>
      <c r="BO3" s="5" t="n"/>
      <c r="BP3" s="5" t="n"/>
      <c r="BQ3" s="5" t="n"/>
      <c r="BR3" s="5" t="n"/>
      <c r="BS3" s="5" t="n"/>
      <c r="BT3" s="5" t="n"/>
      <c r="BU3" s="5" t="n"/>
      <c r="BV3" s="5" t="n"/>
      <c r="BW3" s="5" t="n"/>
      <c r="BX3" s="5" t="n"/>
      <c r="BY3" s="5" t="n"/>
      <c r="BZ3" s="5" t="n"/>
      <c r="CA3" s="5" t="n"/>
      <c r="CB3" s="5" t="n"/>
      <c r="CC3" s="5" t="n"/>
      <c r="CD3" s="5" t="n"/>
      <c r="CE3" s="5" t="n"/>
      <c r="CF3" s="5" t="n"/>
      <c r="CG3" s="5" t="n"/>
      <c r="CH3" s="5" t="n"/>
      <c r="CI3" s="5" t="n"/>
      <c r="CJ3" s="5" t="n"/>
      <c r="CK3" s="5" t="n"/>
      <c r="CL3" s="5" t="n"/>
      <c r="CM3" s="5" t="n"/>
      <c r="CN3" s="5" t="n"/>
      <c r="CO3" s="5" t="n"/>
      <c r="CP3" s="5" t="n"/>
      <c r="CQ3" s="5" t="n"/>
      <c r="CR3" s="5" t="n"/>
      <c r="CS3" s="5" t="n"/>
      <c r="CT3" s="5" t="n"/>
      <c r="CU3" s="5" t="n"/>
      <c r="CV3" s="5" t="n"/>
      <c r="CW3" s="5" t="n"/>
      <c r="CX3" s="5" t="n"/>
      <c r="CY3" s="5" t="n"/>
      <c r="CZ3" s="5" t="n"/>
      <c r="DA3" s="5" t="n"/>
      <c r="DB3" s="5" t="n"/>
      <c r="DC3" s="5" t="n"/>
      <c r="DD3" s="5" t="n"/>
      <c r="DE3" s="5" t="n"/>
      <c r="DF3" s="5" t="n"/>
      <c r="DG3" s="5" t="n"/>
      <c r="DH3" s="5" t="n"/>
      <c r="DI3" s="5" t="n"/>
      <c r="DJ3" s="5" t="n"/>
      <c r="DK3" s="5" t="n"/>
      <c r="DL3" s="5" t="n"/>
      <c r="DM3" s="5" t="n"/>
      <c r="DN3" s="5" t="n"/>
      <c r="DO3" s="5" t="n"/>
      <c r="DP3" s="5" t="n"/>
      <c r="DQ3" s="5" t="n"/>
      <c r="DR3" s="5" t="n"/>
      <c r="DS3" s="5" t="n"/>
      <c r="DT3" s="5" t="n"/>
      <c r="DU3" s="5" t="n"/>
      <c r="DV3" s="5" t="n"/>
      <c r="DW3" s="5" t="n"/>
      <c r="DX3" s="5" t="n"/>
      <c r="DY3" s="5" t="n"/>
      <c r="DZ3" s="5" t="n"/>
      <c r="EA3" s="5" t="n"/>
      <c r="EB3" s="5" t="n"/>
      <c r="EC3" s="5" t="n"/>
      <c r="ED3" s="5" t="n"/>
      <c r="EE3" s="5" t="n"/>
      <c r="EF3" s="5" t="n"/>
      <c r="EG3" s="5" t="n"/>
      <c r="EH3" s="5" t="n"/>
      <c r="EI3" s="5" t="n"/>
      <c r="EJ3" s="5" t="n"/>
      <c r="EK3" s="5" t="n"/>
      <c r="EL3" s="5" t="n"/>
      <c r="EM3" s="5" t="n"/>
      <c r="EN3" s="5" t="n"/>
      <c r="EO3" s="5" t="n"/>
      <c r="EP3" s="5" t="n"/>
      <c r="EQ3" s="5" t="n"/>
      <c r="ER3" s="5" t="n"/>
      <c r="ES3" s="5" t="n"/>
      <c r="ET3" s="5" t="n"/>
      <c r="EU3" s="5" t="n"/>
      <c r="EV3" s="5" t="n"/>
      <c r="EW3" s="5" t="n"/>
      <c r="EX3" s="5" t="n"/>
      <c r="EY3" s="5" t="n"/>
      <c r="EZ3" s="5" t="n"/>
      <c r="FA3" s="5" t="n"/>
      <c r="FB3" s="5" t="n"/>
      <c r="FC3" s="5" t="n"/>
      <c r="FD3" s="5" t="n"/>
      <c r="FE3" s="5" t="n"/>
      <c r="FF3" s="5" t="n"/>
      <c r="FG3" s="5" t="n"/>
      <c r="FH3" s="5" t="n"/>
      <c r="FI3" s="5" t="n"/>
      <c r="FJ3" s="5" t="n"/>
      <c r="FK3" s="5" t="n"/>
      <c r="FL3" s="5" t="n"/>
      <c r="FM3" s="5" t="n"/>
      <c r="FN3" s="5" t="n"/>
      <c r="FO3" s="5" t="n"/>
    </row>
    <row r="4">
      <c r="B4" s="3" t="inlineStr">
        <is>
          <t>Country code</t>
        </is>
      </c>
      <c r="C4" s="8" t="str">
        <f>ScenarioDefinition!$J$531</f>
        <v>EGY</v>
      </c>
    </row>
    <row r="5">
      <c r="B5" s="3" t="inlineStr">
        <is>
          <t>Country name</t>
        </is>
      </c>
      <c r="C5" s="3" t="inlineStr">
        <is>
          <t>Egypt</t>
        </is>
      </c>
    </row>
    <row r="6">
      <c r="B6" s="3" t="inlineStr">
        <is>
          <t>Income group (selects elasticities)</t>
        </is>
      </c>
      <c r="C6" s="3" t="inlineStr">
        <is>
          <t>LMIC</t>
        </is>
      </c>
    </row>
    <row r="7">
      <c r="B7" s="3" t="inlineStr">
        <is>
          <t>Base year</t>
        </is>
      </c>
      <c r="C7" s="8">
        <f>ScenarioDefinition!$J$532</f>
        <v>2022.0</v>
      </c>
    </row>
    <row r="8">
      <c r="B8" s="3" t="inlineStr">
        <is>
          <t>Results in real USD of year (MTInputs ResultsYear, scenario 1)</t>
        </is>
      </c>
      <c r="C8" s="3">
        <f>INDEX(SDBase,MATCH("ResultsYear",SDParam,0))</f>
        <v>2026.0</v>
      </c>
    </row>
    <row r="9">
      <c r="B9" s="3" t="inlineStr">
        <is>
          <t>Government energy price controls (MTInputs GovPriceControls, scenario 1)</t>
        </is>
      </c>
      <c r="C9" s="3" t="str">
        <f>INDEX(SDBase,MATCH("GovPriceControls",SDParam,0))</f>
        <v>Bucketed*</v>
      </c>
    </row>
    <row r="10">
      <c r="B10" s="3" t="inlineStr">
        <is>
          <t>Last historical price year (IMF price dataset)</t>
        </is>
      </c>
      <c r="C10" s="8">
        <f>ScenarioDefinition!$J$533</f>
        <v>2024.0</v>
      </c>
    </row>
    <row r="11">
      <c r="B11" s="3" t="inlineStr">
        <is>
          <t>Gas market (Prices_int regional assumptions, by country name)</t>
        </is>
      </c>
      <c r="C11" s="3" t="inlineStr">
        <is>
          <t>Global</t>
        </is>
      </c>
    </row>
    <row r="12">
      <c r="B12" s="3" t="inlineStr">
        <is>
          <t>Gas price commodity key (Prices_int)</t>
        </is>
      </c>
      <c r="C12" s="3" t="str">
        <f>IF($C$11="LNG","lng",IF($C$11="Europe","eus",IF($C$11="North Am","nam","glo")))</f>
        <v>glo</v>
      </c>
    </row>
    <row r="13">
      <c r="B13" s="3" t="inlineStr">
        <is>
          <t>PJ per ktoe (ktoe x PJ/ktoe x $/GJ = USD million; x tCO2/GJ = MtCO2)</t>
        </is>
      </c>
      <c r="C13" s="8" t="n">
        <v>0.041868</v>
      </c>
    </row>
    <row r="14">
      <c r="B14" s="3" t="inlineStr">
        <is>
          <t>ETS: relative effectiveness of output-based allocation (fast estimate; auctioned = 1; legacy hardcoded)</t>
        </is>
      </c>
      <c r="C14" s="8">
        <f>ScenarioDefinition!$J$534</f>
        <v>0.5</v>
      </c>
    </row>
    <row r="15">
      <c r="B15" s="3" t="inlineStr">
        <is>
          <t>ETS: convergence exponent of the next-price proposal (legacy convergence factor, row 1966)</t>
        </is>
      </c>
      <c r="C15" s="8">
        <f>ScenarioDefinition!$J$535</f>
        <v>0.5</v>
      </c>
    </row>
    <row r="16">
      <c r="B16" s="6" t="inlineStr">
        <is>
          <t>ETS volatility table (sheet ETS+LTS rows 5-7; MTInputs labels ETSVolatility, ETSVolImpact)</t>
        </is>
      </c>
      <c r="C16" s="7" t="inlineStr">
        <is>
          <t>Medium</t>
        </is>
      </c>
      <c r="D16" s="7" t="inlineStr">
        <is>
          <t>High</t>
        </is>
      </c>
      <c r="E16" s="7" t="inlineStr">
        <is>
          <t>Low</t>
        </is>
      </c>
      <c r="F16" s="7" t="inlineStr">
        <is>
          <t>Zero</t>
        </is>
      </c>
    </row>
    <row r="17">
      <c r="B17" s="3" t="inlineStr">
        <is>
          <t>Assumed annual price volatility of the ETS</t>
        </is>
      </c>
      <c r="C17" s="48" t="n">
        <v>0.42</v>
      </c>
      <c r="D17" s="48" t="n">
        <v>0.63</v>
      </c>
      <c r="E17" s="48" t="n">
        <v>0.28</v>
      </c>
      <c r="F17" s="48" t="n">
        <v>0</v>
      </c>
    </row>
    <row r="18">
      <c r="B18" s="3" t="inlineStr">
        <is>
          <t>Abatement cost increase per unit of volatility (impact)</t>
        </is>
      </c>
      <c r="C18" s="48" t="n">
        <v>0.5</v>
      </c>
      <c r="D18" s="48" t="n">
        <v>0.75</v>
      </c>
      <c r="E18" s="48" t="n">
        <v>0.3333333333333333</v>
      </c>
      <c r="F18" s="48" t="n">
        <v>0</v>
      </c>
    </row>
    <row r="19">
      <c r="B19" s="3" t="inlineStr">
        <is>
          <t>Fuel use and power demand: apply the legacy 2023-2024 energy demand shock (1 = yes, as legacy; legacy rows 2439 and 483, data PowerPaths shock)</t>
        </is>
      </c>
      <c r="C19" s="133">
        <f>ScenarioDefinition!$J$536</f>
        <v>1.0</v>
      </c>
    </row>
    <row r="20">
      <c r="B20" s="3" t="inlineStr">
        <is>
          <t>Output code prefix (country.mit.; defined name CodePrefix)</t>
        </is>
      </c>
      <c r="C20" s="71" t="str">
        <f>LOWER($C$4)&amp;".mit."</f>
        <v>egy.mit.</v>
      </c>
    </row>
    <row r="21">
      <c r="B21" s="3" t="inlineStr">
        <is>
          <t>Power: use spot fuel prices (Yes / No; legacy option; No = centred 5-year moving average of the price before new policies, as legacy A18; defined name SpotPow)</t>
        </is>
      </c>
      <c r="C21" s="8" t="str">
        <f>ScenarioDefinition!$J$542</f>
        <v>No</v>
      </c>
    </row>
    <row r="22">
      <c r="B22" s="3" t="inlineStr">
        <is>
          <t>US CPI of ResultsYear (WEO USA|pcpi; CPIRes, base of the real-price index)</t>
        </is>
      </c>
      <c r="C22" s="196">
        <f>INDEX(WEOVal,MATCH("USA|pcpi",WEOKey,0),MATCH($C$8,WEOYear,0))</f>
        <v>332.662858</v>
      </c>
    </row>
    <row r="23">
      <c r="B23" s="3" t="inlineStr">
        <is>
          <t>US GDP deflator of ResultsYear (WEO USA|ngdp_d; DeflRes)</t>
        </is>
      </c>
      <c r="C23" s="196">
        <f>INDEX(WEOVal,MATCH("USA|ngdp_d",WEOKey,0),MATCH($C$8,WEOYear,0))</f>
        <v>132.681448</v>
      </c>
    </row>
    <row r="24">
      <c r="B24" s="3" t="inlineStr">
        <is>
          <t>Prices_dom row of the country and base year (PDomBase)</t>
        </is>
      </c>
      <c r="C24" s="39" t="n">
        <v>4</v>
      </c>
    </row>
    <row r="25">
      <c r="B25" s="3" t="inlineStr">
        <is>
          <t>Prices_dom row of the country and last historical price year (PDomLast)</t>
        </is>
      </c>
      <c r="C25" s="39" t="n">
        <v>6</v>
      </c>
    </row>
    <row r="26">
      <c r="B26" s="3" t="inlineStr">
        <is>
          <t>Last GHG inventory year of the country (sheet GHGs; GHGYear)</t>
        </is>
      </c>
      <c r="C26" s="39" t="n">
        <v>2024</v>
      </c>
    </row>
    <row r="27">
      <c r="B27" s="3" t="inlineStr">
        <is>
          <t>Calibrate energy CO2 to the GHG inventory (Yes / No; v0.4.11: Yes, as legacy EFsAdjustmentAnnexI and NonAnnexI, both Yes*; uses the country's scenario-1 CO2 with uncalibrated EFs on sheet BaselineCO2, row country|raw, refreshed by the build)</t>
        </is>
      </c>
      <c r="C27" s="8" t="str">
        <f>IF(LEFT(D27,1)="Y","Yes","No")</f>
        <v>Yes</v>
      </c>
      <c r="D27" t="str">
        <f>INDEX(SDBase,MATCH("EFsAdjustmentAnnexI",SDParam,0))</f>
        <v>Yes*</v>
      </c>
    </row>
    <row r="28">
      <c r="B28" s="3" t="inlineStr">
        <is>
          <t>Energy CO2 of the inventory in the year before the base year (Mt CO2; sheet GHGs, enr.co2; as legacy row 839, v0.4.11)</t>
        </is>
      </c>
      <c r="C28" s="226" t="n">
        <v>211.0535364</v>
      </c>
    </row>
    <row r="29">
      <c r="B29" s="3" t="inlineStr">
        <is>
          <t>CO2 calibration factor (EFCalib): C28 / C30 if C27 = Yes, else 1; every CO2 EF is multiplied by it</t>
        </is>
      </c>
      <c r="C29" s="197">
        <f>IF(LEFT($C$27,3)="Yes",IFERROR($C$28/$C$30,1),1)</f>
        <v>0.9955404329757563</v>
      </c>
    </row>
    <row r="30">
      <c r="B30" s="3" t="inlineStr">
        <is>
          <t>Scenario-1 energy CO2 with uncalibrated EFs in the base year (Mt CO2; sheet BaselineCO2 row raw; as legacy row 623: the base-year energy balance, v0.4.11)</t>
        </is>
      </c>
      <c r="C30" s="226" t="n">
        <v>211.9989599710609</v>
      </c>
    </row>
    <row r="31">
      <c r="B31" s="3" t="inlineStr">
        <is>
          <t>Base-year fuel use and power demand from: Balances (legacy default) or EnergyCons (MTInputs BalancesOrConsumption, scenario 1; BalOpt)</t>
        </is>
      </c>
      <c r="C31" s="3" t="str">
        <f>INDEX(SDBase,MATCH("BalancesOrConsumption",SDParam,0))</f>
        <v>Balances</v>
      </c>
    </row>
    <row r="32">
      <c r="B32" s="6" t="inlineStr">
        <is>
          <t>Social cost of carbon (section 18; legacy Mitigation rows 17671-17677)</t>
        </is>
      </c>
    </row>
    <row r="33">
      <c r="B33" s="3" t="inlineStr">
        <is>
          <t>Target-consistent carbon price (USD per tCO2 real; SCCTgt)</t>
        </is>
      </c>
      <c r="C33" s="227">
        <f>INDEX(SDBase,MATCH("SCCTargetConsistentCP",SDParam,0))</f>
        <v>75.0</v>
      </c>
    </row>
    <row r="34">
      <c r="B34" s="3" t="inlineStr">
        <is>
          <t>Year of the target-consistent price (SCCTgtYr)</t>
        </is>
      </c>
      <c r="C34" s="133">
        <f>ScenarioDefinition!$J$537</f>
        <v>2030.0</v>
      </c>
    </row>
    <row r="35">
      <c r="B35" s="3" t="inlineStr">
        <is>
          <t>SCC: real growth a year (SCCGr)</t>
        </is>
      </c>
      <c r="C35" s="228">
        <f>INDEX(SDBase,MATCH("SCCRise",SDParam,0))</f>
        <v>0.04</v>
      </c>
    </row>
    <row r="36">
      <c r="B36" s="3" t="inlineStr">
        <is>
          <t>Source of the national SCC: Target, Ricke, Manual or EPA (NSCCSrc; legacy Target*)</t>
        </is>
      </c>
      <c r="C36" s="171" t="str">
        <f>INDEX(SDBase,MATCH("NSCCSource",SDParam,0))</f>
        <v>Target*</v>
      </c>
    </row>
    <row r="37">
      <c r="B37" s="3" t="inlineStr">
        <is>
          <t>Source of the global SCC: Target, Ricke, Manual or EPA (GSCCSrc; legacy Target*)</t>
        </is>
      </c>
      <c r="C37" s="171" t="str">
        <f>INDEX(SDBase,MATCH("GSCCSource",SDParam,0))</f>
        <v>Target*</v>
      </c>
    </row>
    <row r="38">
      <c r="B38" s="3" t="inlineStr">
        <is>
          <t>Ricke et al. (2018): pure rate of time preference, 1 or 2 (%)</t>
        </is>
      </c>
      <c r="C38" s="133" t="str">
        <f>INDEX(SDBase,MATCH("NSCCDiscountRate",SDParam,0))</f>
        <v>2%*</v>
      </c>
    </row>
    <row r="39">
      <c r="B39" s="3" t="inlineStr">
        <is>
          <t>Ricke et al. (2018): elasticity of marginal utility, 0p7 or 1p5</t>
        </is>
      </c>
      <c r="C39" s="171" t="str">
        <f>INDEX(SDBase,MATCH("NSCCMargUtilofCons",SDParam,0))</f>
        <v>1.5%*</v>
      </c>
    </row>
    <row r="40">
      <c r="B40" s="3" t="inlineStr">
        <is>
          <t>US EPA SCC (2.5% discount rate) in the base year (USD per tCO2 real; SCCEpa)</t>
        </is>
      </c>
      <c r="C40" s="227">
        <f>ScenarioDefinition!$J$538</f>
        <v>62.0</v>
      </c>
    </row>
    <row r="41">
      <c r="B41" s="3" t="inlineStr">
        <is>
          <t>Key of the national Ricke value (sheet SCC; RickeN)</t>
        </is>
      </c>
      <c r="C41" s="71" t="str">
        <f>LOWER($C$4)&amp;"."&amp;LEFT($C$38,1)&amp;"."&amp;SUBSTITUTE(LEFT($C$39,FIND("%",$C$39&amp;"%")-1),".","p")</f>
        <v>egy.2.1p5</v>
      </c>
    </row>
    <row r="42">
      <c r="B42" s="3" t="inlineStr">
        <is>
          <t>Key of the global Ricke value (sheet SCC; RickeG)</t>
        </is>
      </c>
      <c r="C42" s="71" t="str">
        <f>"wld."&amp;LEFT($C$38,1)&amp;"."&amp;SUBSTITUTE(LEFT($C$39,FIND("%",$C$39&amp;"%")-1),".","p")</f>
        <v>wld.2.1p5</v>
      </c>
    </row>
    <row r="43">
      <c r="B43" s="3" t="inlineStr">
        <is>
          <t>World Bank region of the country, lower case (Countries; CtryReg: regional IIASA CO2 emission factors, sheet EF_GHG)</t>
        </is>
      </c>
      <c r="C43" s="3" t="inlineStr">
        <is>
          <t>mea</t>
        </is>
      </c>
    </row>
    <row r="44">
      <c r="B44" s="3" t="inlineStr">
        <is>
          <t>Key prefix of the Balances information flows info_agrc, info_fish, info_food, info_wood (BalInfo: food share of food &amp; forestry, legacy rows 1666-1673; v0.4.11)</t>
        </is>
      </c>
      <c r="C44" s="3" t="str">
        <f>$C$4&amp;"|info_"</f>
        <v>EGY|info_</v>
      </c>
    </row>
    <row r="45">
      <c r="B45" s="3" t="inlineStr">
        <is>
          <t>Power: the investment deficit left after the second round goes to gas (Yes / No; legacy typed switch E4248, default No; PwDeficitGas; v0.5.4)</t>
        </is>
      </c>
      <c r="C45" s="8" t="str">
        <f>ScenarioDefinition!$J$540</f>
        <v>No</v>
      </c>
    </row>
    <row r="46">
      <c r="B46" s="6" t="inlineStr">
        <is>
          <t>Methane fee applies to (Yes / No; inputs on sheet Manual inputs J196:J200, the legacy addresses; shown here; v0.5.2)</t>
        </is>
      </c>
    </row>
    <row r="47">
      <c r="B47" s="3" t="inlineStr">
        <is>
          <t>Methane fee applies to biomass (MFeeBio = Manual inputs J196)</t>
        </is>
      </c>
      <c r="C47" s="3" t="inlineStr">
        <is>
          <t>No</t>
        </is>
      </c>
    </row>
    <row r="48">
      <c r="B48" s="3" t="inlineStr">
        <is>
          <t>Methane fee applies to downstream gas (MFeeDG = Manual inputs J197)</t>
        </is>
      </c>
      <c r="C48" s="3" t="inlineStr">
        <is>
          <t>Yes</t>
        </is>
      </c>
    </row>
    <row r="49">
      <c r="B49" s="3" t="inlineStr">
        <is>
          <t>Methane fee applies to fossil fuel production (oil, gas and coal) (MFeeFF = Manual inputs J198)</t>
        </is>
      </c>
      <c r="C49" s="3" t="inlineStr">
        <is>
          <t>Yes</t>
        </is>
      </c>
    </row>
    <row r="50">
      <c r="B50" s="3" t="inlineStr">
        <is>
          <t>Methane fee applies to agriculture (livestock, rice) (MFeeAgr = Manual inputs J199)</t>
        </is>
      </c>
      <c r="C50" s="3" t="inlineStr">
        <is>
          <t>Yes</t>
        </is>
      </c>
    </row>
    <row r="51">
      <c r="B51" s="3" t="inlineStr">
        <is>
          <t>Methane fee applies to waste (MFeeWst = Manual inputs J200)</t>
        </is>
      </c>
      <c r="C51" s="3" t="inlineStr">
        <is>
          <t>Yes</t>
        </is>
      </c>
    </row>
    <row r="52"/>
    <row r="53">
      <c r="B53" s="3" t="inlineStr">
        <is>
          <t>Biomass is a normal good: residential biomass grows with income (Yes / No; MTInputs BiomassNormal, scenario 1; BioNormal; legacy row 5567; v0.4.13, I24)</t>
        </is>
      </c>
      <c r="C53" s="3" t="str">
        <f>INDEX(SDBase,MATCH("BiomassNormal",SDParam,0))</f>
        <v>No</v>
      </c>
    </row>
    <row r="54">
      <c r="B54" s="3" t="inlineStr">
        <is>
          <t>Average price change reported (Legacy* / Laspeyres; PavMethod): Legacy* = legacy F5b-c (coal and gas over power, residential and industry at scenario-1 quantities; electricity own quantities; oil products the single price); Laspeyres = all final uses at scenario-1 quantities (v0.4.15, I31)</t>
        </is>
      </c>
      <c r="C54" s="8" t="str">
        <f>ScenarioDefinition!$J$539</f>
        <v>Legacy*</v>
      </c>
    </row>
    <row r="55">
      <c r="B55" s="6" t="inlineStr">
        <is>
          <t>Multiplier group of each MTInputs MultipliersSource (row 226; first three letters, column B; any other text: the income group; MultSrcKey, MultSrcVal; v0.4.15, LD56)</t>
        </is>
      </c>
    </row>
    <row r="56">
      <c r="B56" s="8" t="inlineStr">
        <is>
          <t>Glo</t>
        </is>
      </c>
      <c r="C56" s="8" t="inlineStr">
        <is>
          <t>global</t>
        </is>
      </c>
    </row>
    <row r="57">
      <c r="B57" s="8" t="inlineStr">
        <is>
          <t>Est</t>
        </is>
      </c>
      <c r="C57" s="8" t="inlineStr">
        <is>
          <t>est</t>
        </is>
      </c>
    </row>
    <row r="58">
      <c r="B58" s="8" t="inlineStr">
        <is>
          <t>Man</t>
        </is>
      </c>
      <c r="C58" s="8" t="inlineStr">
        <is>
          <t>man</t>
        </is>
      </c>
    </row>
    <row r="59">
      <c r="B59" s="3" t="inlineStr">
        <is>
          <t>Include leakage to biomass in the residential sector (Yes / No; MTInputs BiomassLeakage, scenario 1; BioLeak; legacy rows 1785, 5571-5593; section 6b, v0.5.1)</t>
        </is>
      </c>
      <c r="C59" s="3" t="str">
        <f>INDEX(SDBase,MATCH("BiomassLeakage",SDParam,0))</f>
        <v>No</v>
      </c>
    </row>
    <row r="60">
      <c r="B60" s="6" t="inlineStr">
        <is>
          <t>Residential cookstove efficiency by fuel (MTInputs NatGasEff, LPGEff, KerEff, BioEff, scenario 1; CookEffKey, CookEffVal, CookEffBio; legacy C5578-C5593; v0.5.1)</t>
        </is>
      </c>
    </row>
    <row r="61">
      <c r="B61" s="8" t="inlineStr">
        <is>
          <t>nga</t>
        </is>
      </c>
      <c r="C61" s="48">
        <f>INDEX(SDBase,MATCH("NatGasEff",SDParam,0))</f>
        <v>0.58</v>
      </c>
    </row>
    <row r="62">
      <c r="B62" s="8" t="inlineStr">
        <is>
          <t>lpg</t>
        </is>
      </c>
      <c r="C62" s="48">
        <f>INDEX(SDBase,MATCH("LPGEff",SDParam,0))</f>
        <v>0.56</v>
      </c>
    </row>
    <row r="63">
      <c r="B63" s="8" t="inlineStr">
        <is>
          <t>ker</t>
        </is>
      </c>
      <c r="C63" s="48">
        <f>INDEX(SDBase,MATCH("KerEff",SDParam,0))</f>
        <v>0.45</v>
      </c>
    </row>
    <row r="64">
      <c r="B64" s="8" t="inlineStr">
        <is>
          <t>bio</t>
        </is>
      </c>
      <c r="C64" s="48">
        <f>INDEX(SDBase,MATCH("BioEff",SDParam,0))</f>
        <v>0.2</v>
      </c>
    </row>
    <row r="65">
      <c r="B65" s="3" t="inlineStr">
        <is>
          <t>Most-used cooking fuel of the country (WHOCooking, overall sample; CookFuel: the fuel that leaks to biomass; legacy L1784; v0.5.1)</t>
        </is>
      </c>
      <c r="C65" s="3" t="str">
        <f>IFERROR(INDEX(DCookFuel,MATCH(CtryCode&amp;".distn.pcoff.ove",DCookKey,0)),"lpg")</f>
        <v>lpg</v>
      </c>
    </row>
    <row r="66">
      <c r="B66" s="3" t="inlineStr">
        <is>
          <t>Power: the coal implicit cost enters generation costs and tariffs (Yes / No; legacy: Yes; PwCoalICTariff; v0.5.6, PowerFeatures_Plan P5, decision 6). It always enters dispatch and investment</t>
        </is>
      </c>
      <c r="C66" s="8" t="str">
        <f>ScenarioDefinition!$J$541</f>
        <v>Yes</v>
      </c>
    </row>
    <row r="67"/>
    <row r="68">
      <c r="B68" s="6" t="inlineStr">
        <is>
          <t>Initially exempt residential demand (legacy rows 1784-1795, 5564-5570; v0.5.6, LegacyDiff 67): MTInputs ExemptMostCook and ExemptCookDeciles (scenario 1), and the share of the most-used cooking fuel spent by the exempt deciles (HHSurvey, overall mean: budget share x consumption per capita x weight)</t>
        </is>
      </c>
    </row>
    <row r="69">
      <c r="C69" s="3" t="str">
        <f>INDEX(SDBase,MATCH("ExemptMostCook",SDParam,0))</f>
        <v>No</v>
      </c>
    </row>
    <row r="70">
      <c r="C70" s="3">
        <f>INDEX(SDBase,MATCH("ExemptCookDeciles",SDParam,0))</f>
        <v>4.0</v>
      </c>
    </row>
    <row r="71">
      <c r="A71" s="6" t="inlineStr">
        <is>
          <t>Decile</t>
        </is>
      </c>
      <c r="B71" s="6" t="inlineStr">
        <is>
          <t>Budget share of the fuel</t>
        </is>
      </c>
      <c r="C71" s="6" t="inlineStr">
        <is>
          <t>Consumption per capita</t>
        </is>
      </c>
      <c r="D71" s="6" t="inlineStr">
        <is>
          <t>Exempt (1/0)</t>
        </is>
      </c>
      <c r="E71" s="6" t="inlineStr">
        <is>
          <t>HHSurvey row</t>
        </is>
      </c>
      <c r="F71" s="6" t="inlineStr">
        <is>
          <t>Population weight</t>
        </is>
      </c>
    </row>
    <row r="72">
      <c r="A72" s="39" t="n">
        <v>1</v>
      </c>
      <c r="B72" s="196">
        <f>IFERROR(INDEX(DHHVal,$E72,MATCH(CookFuel&amp;"_share",DHHVar,0)),0)</f>
        <v>2.694859520556745</v>
      </c>
      <c r="C72" s="109">
        <f>IFERROR(INDEX(DHHVal,$E72,MATCH("cons_pc_acrent",DHHVar,0)),0)</f>
        <v>5229.795845510605</v>
      </c>
      <c r="D72" s="39">
        <f>IF(AND(LEFT($C$69,1)="Y",$A72&lt;=$C$70),1,0)</f>
        <v>0.0</v>
      </c>
      <c r="E72" s="39">
        <f>MATCH(CtryCode&amp;".distn.bsh.dec.ove.mean."&amp;$A72,DHHKey,0)</f>
        <v>1.0</v>
      </c>
      <c r="F72" s="109">
        <f>IFERROR(INDEX(DHHVal,$E72,MATCH("popw",DHHVar,0)),0)</f>
        <v>10019634.4156528</v>
      </c>
    </row>
    <row r="73">
      <c r="A73" s="39" t="n">
        <v>2</v>
      </c>
      <c r="B73" s="196">
        <f>IFERROR(INDEX(DHHVal,$E73,MATCH(CookFuel&amp;"_share",DHHVar,0)),0)</f>
        <v>2.327398467235654</v>
      </c>
      <c r="C73" s="109">
        <f>IFERROR(INDEX(DHHVal,$E73,MATCH("cons_pc_acrent",DHHVar,0)),0)</f>
        <v>6664.219350658041</v>
      </c>
      <c r="D73" s="39">
        <f>IF(AND(LEFT($C$69,1)="Y",$A73&lt;=$C$70),1,0)</f>
        <v>0.0</v>
      </c>
      <c r="E73" s="39">
        <f>MATCH(CtryCode&amp;".distn.bsh.dec.ove.mean."&amp;$A73,DHHKey,0)</f>
        <v>2.0</v>
      </c>
      <c r="F73" s="109">
        <f>IFERROR(INDEX(DHHVal,$E73,MATCH("popw",DHHVar,0)),0)</f>
        <v>9844692.959651062</v>
      </c>
    </row>
    <row r="74">
      <c r="A74" s="39" t="n">
        <v>3</v>
      </c>
      <c r="B74" s="196">
        <f>IFERROR(INDEX(DHHVal,$E74,MATCH(CookFuel&amp;"_share",DHHVar,0)),0)</f>
        <v>2.130473774838007</v>
      </c>
      <c r="C74" s="109">
        <f>IFERROR(INDEX(DHHVal,$E74,MATCH("cons_pc_acrent",DHHVar,0)),0)</f>
        <v>8231.77085402133</v>
      </c>
      <c r="D74" s="39">
        <f>IF(AND(LEFT($C$69,1)="Y",$A74&lt;=$C$70),1,0)</f>
        <v>0.0</v>
      </c>
      <c r="E74" s="39">
        <f>MATCH(CtryCode&amp;".distn.bsh.dec.ove.mean."&amp;$A74,DHHKey,0)</f>
        <v>3.0</v>
      </c>
      <c r="F74" s="109">
        <f>IFERROR(INDEX(DHHVal,$E74,MATCH("popw",DHHVar,0)),0)</f>
        <v>11193191.0523655</v>
      </c>
    </row>
    <row r="75">
      <c r="A75" s="39" t="n">
        <v>4</v>
      </c>
      <c r="B75" s="196">
        <f>IFERROR(INDEX(DHHVal,$E75,MATCH(CookFuel&amp;"_share",DHHVar,0)),0)</f>
        <v>1.83262970949107</v>
      </c>
      <c r="C75" s="109">
        <f>IFERROR(INDEX(DHHVal,$E75,MATCH("cons_pc_acrent",DHHVar,0)),0)</f>
        <v>9811.9494347979</v>
      </c>
      <c r="D75" s="39">
        <f>IF(AND(LEFT($C$69,1)="Y",$A75&lt;=$C$70),1,0)</f>
        <v>0.0</v>
      </c>
      <c r="E75" s="39">
        <f>MATCH(CtryCode&amp;".distn.bsh.dec.ove.mean."&amp;$A75,DHHKey,0)</f>
        <v>4.0</v>
      </c>
      <c r="F75" s="109">
        <f>IFERROR(INDEX(DHHVal,$E75,MATCH("popw",DHHVar,0)),0)</f>
        <v>10068725.52885237</v>
      </c>
    </row>
    <row r="76">
      <c r="A76" s="39" t="n">
        <v>5</v>
      </c>
      <c r="B76" s="196">
        <f>IFERROR(INDEX(DHHVal,$E76,MATCH(CookFuel&amp;"_share",DHHVar,0)),0)</f>
        <v>1.725676179389963</v>
      </c>
      <c r="C76" s="109">
        <f>IFERROR(INDEX(DHHVal,$E76,MATCH("cons_pc_acrent",DHHVar,0)),0)</f>
        <v>10348.65136596754</v>
      </c>
      <c r="D76" s="39">
        <f>IF(AND(LEFT($C$69,1)="Y",$A76&lt;=$C$70),1,0)</f>
        <v>0.0</v>
      </c>
      <c r="E76" s="39">
        <f>MATCH(CtryCode&amp;".distn.bsh.dec.ove.mean."&amp;$A76,DHHKey,0)</f>
        <v>5.0</v>
      </c>
      <c r="F76" s="109">
        <f>IFERROR(INDEX(DHHVal,$E76,MATCH("popw",DHHVar,0)),0)</f>
        <v>10271899.02576059</v>
      </c>
    </row>
    <row r="77">
      <c r="A77" s="39" t="n">
        <v>6</v>
      </c>
      <c r="B77" s="196">
        <f>IFERROR(INDEX(DHHVal,$E77,MATCH(CookFuel&amp;"_share",DHHVar,0)),0)</f>
        <v>1.633304084782344</v>
      </c>
      <c r="C77" s="109">
        <f>IFERROR(INDEX(DHHVal,$E77,MATCH("cons_pc_acrent",DHHVar,0)),0)</f>
        <v>11013.48040473238</v>
      </c>
      <c r="D77" s="39">
        <f>IF(AND(LEFT($C$69,1)="Y",$A77&lt;=$C$70),1,0)</f>
        <v>0.0</v>
      </c>
      <c r="E77" s="39">
        <f>MATCH(CtryCode&amp;".distn.bsh.dec.ove.mean."&amp;$A77,DHHKey,0)</f>
        <v>6.0</v>
      </c>
      <c r="F77" s="109">
        <f>IFERROR(INDEX(DHHVal,$E77,MATCH("popw",DHHVar,0)),0)</f>
        <v>11280762.58198201</v>
      </c>
    </row>
    <row r="78">
      <c r="A78" s="39" t="n">
        <v>7</v>
      </c>
      <c r="B78" s="196">
        <f>IFERROR(INDEX(DHHVal,$E78,MATCH(CookFuel&amp;"_share",DHHVar,0)),0)</f>
        <v>1.577294513587133</v>
      </c>
      <c r="C78" s="109">
        <f>IFERROR(INDEX(DHHVal,$E78,MATCH("cons_pc_acrent",DHHVar,0)),0)</f>
        <v>13822.56724671844</v>
      </c>
      <c r="D78" s="39">
        <f>IF(AND(LEFT($C$69,1)="Y",$A78&lt;=$C$70),1,0)</f>
        <v>0.0</v>
      </c>
      <c r="E78" s="39">
        <f>MATCH(CtryCode&amp;".distn.bsh.dec.ove.mean."&amp;$A78,DHHKey,0)</f>
        <v>7.0</v>
      </c>
      <c r="F78" s="109">
        <f>IFERROR(INDEX(DHHVal,$E78,MATCH("popw",DHHVar,0)),0)</f>
        <v>10490081.38109066</v>
      </c>
    </row>
    <row r="79">
      <c r="A79" s="39" t="n">
        <v>8</v>
      </c>
      <c r="B79" s="196">
        <f>IFERROR(INDEX(DHHVal,$E79,MATCH(CookFuel&amp;"_share",DHHVar,0)),0)</f>
        <v>1.394601011209233</v>
      </c>
      <c r="C79" s="109">
        <f>IFERROR(INDEX(DHHVal,$E79,MATCH("cons_pc_acrent",DHHVar,0)),0)</f>
        <v>15870.82947068008</v>
      </c>
      <c r="D79" s="39">
        <f>IF(AND(LEFT($C$69,1)="Y",$A79&lt;=$C$70),1,0)</f>
        <v>0.0</v>
      </c>
      <c r="E79" s="39">
        <f>MATCH(CtryCode&amp;".distn.bsh.dec.ove.mean."&amp;$A79,DHHKey,0)</f>
        <v>8.0</v>
      </c>
      <c r="F79" s="109">
        <f>IFERROR(INDEX(DHHVal,$E79,MATCH("popw",DHHVar,0)),0)</f>
        <v>10973133.14838653</v>
      </c>
    </row>
    <row r="80">
      <c r="A80" s="39" t="n">
        <v>9</v>
      </c>
      <c r="B80" s="196">
        <f>IFERROR(INDEX(DHHVal,$E80,MATCH(CookFuel&amp;"_share",DHHVar,0)),0)</f>
        <v>1.218710064472423</v>
      </c>
      <c r="C80" s="109">
        <f>IFERROR(INDEX(DHHVal,$E80,MATCH("cons_pc_acrent",DHHVar,0)),0)</f>
        <v>18901.24609034973</v>
      </c>
      <c r="D80" s="39">
        <f>IF(AND(LEFT($C$69,1)="Y",$A80&lt;=$C$70),1,0)</f>
        <v>0.0</v>
      </c>
      <c r="E80" s="39">
        <f>MATCH(CtryCode&amp;".distn.bsh.dec.ove.mean."&amp;$A80,DHHKey,0)</f>
        <v>9.0</v>
      </c>
      <c r="F80" s="109">
        <f>IFERROR(INDEX(DHHVal,$E80,MATCH("popw",DHHVar,0)),0)</f>
        <v>10076191.43934877</v>
      </c>
    </row>
    <row r="81">
      <c r="A81" s="39" t="n">
        <v>10</v>
      </c>
      <c r="B81" s="196">
        <f>IFERROR(INDEX(DHHVal,$E81,MATCH(CookFuel&amp;"_share",DHHVar,0)),0)</f>
        <v>1.042225812638144</v>
      </c>
      <c r="C81" s="109">
        <f>IFERROR(INDEX(DHHVal,$E81,MATCH("cons_pc_acrent",DHHVar,0)),0)</f>
        <v>26289.38845322327</v>
      </c>
      <c r="D81" s="39">
        <f>IF(AND(LEFT($C$69,1)="Y",$A81&lt;=$C$70),1,0)</f>
        <v>0.0</v>
      </c>
      <c r="E81" s="39">
        <f>MATCH(CtryCode&amp;".distn.bsh.dec.ove.mean."&amp;$A81,DHHKey,0)</f>
        <v>10.0</v>
      </c>
      <c r="F81" s="109">
        <f>IFERROR(INDEX(DHHVal,$E81,MATCH("popw",DHHVar,0)),0)</f>
        <v>9724646.691829609</v>
      </c>
    </row>
    <row r="82">
      <c r="A82" s="3" t="inlineStr">
        <is>
          <t>Basket</t>
        </is>
      </c>
      <c r="B82" s="196">
        <f>IFERROR(INDEX(DHHVal,$E82,MATCH(CookFuel&amp;"_share",DHHVar,0)),0)</f>
        <v>1.810489457862631</v>
      </c>
      <c r="C82" s="109">
        <f>IFERROR(INDEX(DHHVal,$E82,MATCH("cons_pc_acrent",DHHVar,0)),0)</f>
        <v>12360.82122482531</v>
      </c>
      <c r="D82" s="39">
        <f>OR(CookFuel={"nga","lpg","ker"})*1</f>
        <v>1.0</v>
      </c>
      <c r="E82" s="39">
        <f>MATCH(CtryCode&amp;".distn.bsh.bkt.ove.mean."&amp;BasketQ,DHHKey,0)</f>
        <v>11.0</v>
      </c>
      <c r="F82" s="109">
        <f>IFERROR(INDEX(DHHVal,$E82,MATCH("popw",DHHVar,0)),0)</f>
        <v>111444648.1893204</v>
      </c>
    </row>
    <row r="83">
      <c r="B83" s="6" t="inlineStr">
        <is>
          <t>Share of the most-used cooking fuel initially exempt (ExemptCookShare): spend of the exempt deciles / economy-wide spend of the basket row 82 (v0.9.0, R6.3, I136, as legacy K1795); 0 unless the fuel is gas, LPG or kerosene</t>
        </is>
      </c>
      <c r="C83" s="225">
        <f>IFERROR(SUMPRODUCT(B72:B81,C72:C81,F72:F81,D72:D81)/(B82*C82*F82)*D82,0)</f>
        <v>0.0</v>
      </c>
    </row>
    <row r="84"/>
    <row r="85">
      <c r="B85" s="6" t="inlineStr">
        <is>
          <t>Manual inputs (v0.9.0, R8): domestic prices, elasticities (MTInputs DomPrTax, ElIncMainSrc, ElPrcMainSrc, scenario 1)</t>
        </is>
      </c>
    </row>
    <row r="86">
      <c r="B86" s="3" t="inlineStr">
        <is>
          <t>Manual domestic prices in use (1 / 0; DomPrTax = Yes; ManPrOn; Manual inputs G59:N146, legacy rows 765-829)</t>
        </is>
      </c>
      <c r="C86" s="39">
        <f>IF(LEFT(INDEX(SDBase,MATCH("DomPrTax",SDParam,0)),1)="Y",1,0)</f>
        <v>0.0</v>
      </c>
    </row>
    <row r="87">
      <c r="B87" s="3" t="inlineStr">
        <is>
          <t>Manual income elasticities (1 / 0; ElIncMainSrc = Manual; ElIncMan; Manual inputs K279:N286)</t>
        </is>
      </c>
      <c r="C87" s="39">
        <f>IF(INDEX(SDBase,MATCH("ElIncMainSrc",SDParam,0))="Manual",1,0)</f>
        <v>0.0</v>
      </c>
    </row>
    <row r="88">
      <c r="B88" s="3" t="inlineStr">
        <is>
          <t>Manual price elasticities (1 / 0; ElPrcMainSrc = Manual; ElPrcMan; Manual inputs K291:N307, L319:L321)</t>
        </is>
      </c>
      <c r="C88" s="39">
        <f>IF(INDEX(SDBase,MATCH("ElPrcMainSrc",SDParam,0))="Manual",1,0)</f>
        <v>0.0</v>
      </c>
    </row>
    <row r="89">
      <c r="B89" s="3" t="inlineStr">
        <is>
          <t>Substitution elasticity biomass / LPG of the leakage (ResBioSubst; Elasticities C131, or Manual inputs L319 if ElPrcMan = 1; blank: #N/A, I140; R8.5)</t>
        </is>
      </c>
      <c r="C89" s="48" t="n">
        <v>0.25</v>
      </c>
    </row>
    <row r="90"/>
    <row r="91"/>
    <row r="92"/>
    <row r="93"/>
    <row r="94">
      <c r="A94" s="4" t="inlineStr">
        <is>
          <t>Constants: named constants and policy assumptions without an MTInputs row (looked up by Mitigation)</t>
        </is>
      </c>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c r="AT94" s="5" t="n"/>
      <c r="AU94" s="5" t="n"/>
      <c r="AV94" s="5" t="n"/>
      <c r="AW94" s="5" t="n"/>
      <c r="AX94" s="5" t="n"/>
      <c r="AY94" s="5" t="n"/>
      <c r="AZ94" s="5" t="n"/>
      <c r="BA94" s="5" t="n"/>
      <c r="BB94" s="5" t="n"/>
      <c r="BC94" s="5" t="n"/>
      <c r="BD94" s="5" t="n"/>
      <c r="BE94" s="5" t="n"/>
      <c r="BF94" s="5" t="n"/>
      <c r="BG94" s="5" t="n"/>
      <c r="BH94" s="5" t="n"/>
      <c r="BI94" s="5" t="n"/>
      <c r="BJ94" s="5" t="n"/>
      <c r="BK94" s="5" t="n"/>
      <c r="BL94" s="5" t="n"/>
      <c r="BM94" s="5" t="n"/>
      <c r="BN94" s="5" t="n"/>
      <c r="BO94" s="5" t="n"/>
      <c r="BP94" s="5" t="n"/>
      <c r="BQ94" s="5" t="n"/>
      <c r="BR94" s="5" t="n"/>
      <c r="BS94" s="5" t="n"/>
      <c r="BT94" s="5" t="n"/>
      <c r="BU94" s="5" t="n"/>
      <c r="BV94" s="5" t="n"/>
      <c r="BW94" s="5" t="n"/>
      <c r="BX94" s="5" t="n"/>
      <c r="BY94" s="5" t="n"/>
      <c r="BZ94" s="5" t="n"/>
      <c r="CA94" s="5" t="n"/>
      <c r="CB94" s="5" t="n"/>
      <c r="CC94" s="5" t="n"/>
      <c r="CD94" s="5" t="n"/>
      <c r="CE94" s="5" t="n"/>
      <c r="CF94" s="5" t="n"/>
      <c r="CG94" s="5" t="n"/>
      <c r="CH94" s="5" t="n"/>
      <c r="CI94" s="5" t="n"/>
      <c r="CJ94" s="5" t="n"/>
      <c r="CK94" s="5" t="n"/>
      <c r="CL94" s="5" t="n"/>
      <c r="CM94" s="5" t="n"/>
      <c r="CN94" s="5" t="n"/>
      <c r="CO94" s="5" t="n"/>
      <c r="CP94" s="5" t="n"/>
      <c r="CQ94" s="5" t="n"/>
      <c r="CR94" s="5" t="n"/>
      <c r="CS94" s="5" t="n"/>
      <c r="CT94" s="5" t="n"/>
      <c r="CU94" s="5" t="n"/>
      <c r="CV94" s="5" t="n"/>
      <c r="CW94" s="5" t="n"/>
      <c r="CX94" s="5" t="n"/>
      <c r="CY94" s="5" t="n"/>
      <c r="CZ94" s="5" t="n"/>
      <c r="DA94" s="5" t="n"/>
      <c r="DB94" s="5" t="n"/>
      <c r="DC94" s="5" t="n"/>
      <c r="DD94" s="5" t="n"/>
      <c r="DE94" s="5" t="n"/>
      <c r="DF94" s="5" t="n"/>
      <c r="DG94" s="5" t="n"/>
      <c r="DH94" s="5" t="n"/>
      <c r="DI94" s="5" t="n"/>
      <c r="DJ94" s="5" t="n"/>
      <c r="DK94" s="5" t="n"/>
      <c r="DL94" s="5" t="n"/>
      <c r="DM94" s="5" t="n"/>
      <c r="DN94" s="5" t="n"/>
      <c r="DO94" s="5" t="n"/>
      <c r="DP94" s="5" t="n"/>
      <c r="DQ94" s="5" t="n"/>
      <c r="DR94" s="5" t="n"/>
      <c r="DS94" s="5" t="n"/>
      <c r="DT94" s="5" t="n"/>
      <c r="DU94" s="5" t="n"/>
      <c r="DV94" s="5" t="n"/>
      <c r="DW94" s="5" t="n"/>
      <c r="DX94" s="5" t="n"/>
      <c r="DY94" s="5" t="n"/>
      <c r="DZ94" s="5" t="n"/>
      <c r="EA94" s="5" t="n"/>
      <c r="EB94" s="5" t="n"/>
      <c r="EC94" s="5" t="n"/>
      <c r="ED94" s="5" t="n"/>
      <c r="EE94" s="5" t="n"/>
      <c r="EF94" s="5" t="n"/>
      <c r="EG94" s="5" t="n"/>
      <c r="EH94" s="5" t="n"/>
      <c r="EI94" s="5" t="n"/>
      <c r="EJ94" s="5" t="n"/>
      <c r="EK94" s="5" t="n"/>
      <c r="EL94" s="5" t="n"/>
      <c r="EM94" s="5" t="n"/>
      <c r="EN94" s="5" t="n"/>
      <c r="EO94" s="5" t="n"/>
      <c r="EP94" s="5" t="n"/>
      <c r="EQ94" s="5" t="n"/>
      <c r="ER94" s="5" t="n"/>
      <c r="ES94" s="5" t="n"/>
      <c r="ET94" s="5" t="n"/>
      <c r="EU94" s="5" t="n"/>
      <c r="EV94" s="5" t="n"/>
      <c r="EW94" s="5" t="n"/>
      <c r="EX94" s="5" t="n"/>
      <c r="EY94" s="5" t="n"/>
      <c r="EZ94" s="5" t="n"/>
      <c r="FA94" s="5" t="n"/>
      <c r="FB94" s="5" t="n"/>
      <c r="FC94" s="5" t="n"/>
      <c r="FD94" s="5" t="n"/>
      <c r="FE94" s="5" t="n"/>
      <c r="FF94" s="5" t="n"/>
      <c r="FG94" s="5" t="n"/>
      <c r="FH94" s="5" t="n"/>
      <c r="FI94" s="5" t="n"/>
      <c r="FJ94" s="5" t="n"/>
      <c r="FK94" s="5" t="n"/>
      <c r="FL94" s="5" t="n"/>
      <c r="FM94" s="5" t="n"/>
      <c r="FN94" s="5" t="n"/>
      <c r="FO94" s="5" t="n"/>
    </row>
    <row r="95">
      <c r="A95" s="3" t="inlineStr">
        <is>
          <t>Rows with a defined name (column A) are used by name in formulas; the other rows are looked up by key = variable|fuel|sector (Mitigation columns A|B|C) or by the key in the row description.</t>
        </is>
      </c>
    </row>
    <row r="96">
      <c r="A96" s="7" t="inlineStr">
        <is>
          <t>Key / defined name</t>
        </is>
      </c>
      <c r="B96" s="7" t="inlineStr">
        <is>
          <t>Value</t>
        </is>
      </c>
      <c r="C96" s="7" t="inlineStr">
        <is>
          <t>Unit</t>
        </is>
      </c>
      <c r="D96" s="7" t="inlineStr">
        <is>
          <t>Description</t>
        </is>
      </c>
      <c r="E96" s="7" t="inlineStr">
        <is>
          <t>Source</t>
        </is>
      </c>
    </row>
    <row r="97">
      <c r="A97" s="6" t="inlineStr">
        <is>
          <t>ManCapOff</t>
        </is>
      </c>
      <c r="B97" s="229" t="n">
        <v>14</v>
      </c>
      <c r="C97" s="3" t="inlineStr">
        <is>
          <t>rows</t>
        </is>
      </c>
      <c r="D97" s="3" t="inlineStr">
        <is>
          <t>Manual inputs: rows from the scenario-1 to the other-scenario capacity block (349 -&gt; 363)</t>
        </is>
      </c>
      <c r="E97" s="3" t="inlineStr">
        <is>
          <t>legacy Manual inputs rows 349-357, 363-371 (v0.5.6, P3)</t>
        </is>
      </c>
    </row>
    <row r="98">
      <c r="A98" s="6" t="inlineStr">
        <is>
          <t>CoalICYr</t>
        </is>
      </c>
      <c r="B98" s="229" t="n">
        <v>2030</v>
      </c>
      <c r="C98" s="3" t="inlineStr">
        <is>
          <t>year</t>
        </is>
      </c>
      <c r="D98" s="3" t="inlineStr">
        <is>
          <t>Year the coal implicit cost reaches its long-term value</t>
        </is>
      </c>
      <c r="E98" s="3" t="inlineStr">
        <is>
          <t>legacy K88 (v0.5.6, P5)</t>
        </is>
      </c>
    </row>
    <row r="99">
      <c r="A99" s="6" t="inlineStr">
        <is>
          <t>MethGJperKtoe</t>
        </is>
      </c>
      <c r="B99" s="229" t="n">
        <v>41868</v>
      </c>
      <c r="C99" s="3" t="inlineStr">
        <is>
          <t>GJ per ktoe</t>
        </is>
      </c>
      <c r="D99" s="3" t="inlineStr">
        <is>
          <t>Production of fuels for supply methane: GJ per ktoe</t>
        </is>
      </c>
      <c r="E99" s="3" t="inlineStr">
        <is>
          <t>legacy rows 6137-6144 (v0.6.0)</t>
        </is>
      </c>
    </row>
    <row r="100">
      <c r="A100" s="6" t="inlineStr">
        <is>
          <t>MethGJperBbl</t>
        </is>
      </c>
      <c r="B100" s="229" t="n">
        <v>6.1408</v>
      </c>
      <c r="C100" s="3" t="inlineStr">
        <is>
          <t>GJ per barrel</t>
        </is>
      </c>
      <c r="D100" s="3" t="inlineStr">
        <is>
          <t>Crude oil: GJ per barrel (legacy unit of the oil price)</t>
        </is>
      </c>
      <c r="E100" s="3" t="inlineStr">
        <is>
          <t>legacy rows 6137-6144 (v0.6.0)</t>
        </is>
      </c>
    </row>
    <row r="101">
      <c r="A101" s="6" t="inlineStr">
        <is>
          <t>MethGJperT</t>
        </is>
      </c>
      <c r="B101" s="229" t="n">
        <v>29.3076</v>
      </c>
      <c r="C101" s="3" t="inlineStr">
        <is>
          <t>GJ per tonne</t>
        </is>
      </c>
      <c r="D101" s="3" t="inlineStr">
        <is>
          <t>Coal: GJ per tonne (legacy unit of the coal price)</t>
        </is>
      </c>
      <c r="E101" s="3" t="inlineStr">
        <is>
          <t>legacy rows 6137-6144 (v0.6.0)</t>
        </is>
      </c>
    </row>
    <row r="102">
      <c r="A102" s="6" t="inlineStr">
        <is>
          <t>MethGJperMMBtu</t>
        </is>
      </c>
      <c r="B102" s="229" t="n">
        <v>1.055056</v>
      </c>
      <c r="C102" s="3" t="inlineStr">
        <is>
          <t>GJ per MMBtu</t>
        </is>
      </c>
      <c r="D102" s="3" t="inlineStr">
        <is>
          <t>Natural gas: GJ per MMBtu (legacy unit of the gas price)</t>
        </is>
      </c>
      <c r="E102" s="3" t="inlineStr">
        <is>
          <t>legacy rows 6137-6144 (v0.6.0)</t>
        </is>
      </c>
    </row>
    <row r="103">
      <c r="A103" s="6" t="inlineStr">
        <is>
          <t>PwAvgLag</t>
        </is>
      </c>
      <c r="B103" s="229" t="n">
        <v>4</v>
      </c>
      <c r="C103" s="3" t="inlineStr">
        <is>
          <t>years</t>
        </is>
      </c>
      <c r="D103" s="3" t="inlineStr">
        <is>
          <t>Fuel price for power: trailing average over this year and the 4 before</t>
        </is>
      </c>
      <c r="E103" s="3" t="inlineStr">
        <is>
          <t>v0.6.2 (legacy bug L126: legacy rows 3155-3163 average t-2 .. t+2)</t>
        </is>
      </c>
    </row>
    <row r="104">
      <c r="A104" s="6" t="inlineStr">
        <is>
          <t>LitersPerKtoeOil</t>
        </is>
      </c>
      <c r="B104" s="229" t="n">
        <v>1108792</v>
      </c>
      <c r="C104" s="3" t="inlineStr">
        <is>
          <t>liters per ktoe</t>
        </is>
      </c>
      <c r="D104" s="3" t="inlineStr">
        <is>
          <t>Crude oil: liters per ktoe (spreads the oil producer subsidy)</t>
        </is>
      </c>
      <c r="E104" s="3" t="inlineStr">
        <is>
          <t>legacy _conv_ktoe_liter_oil, Mitigation O953 (v0.6.1, I49)</t>
        </is>
      </c>
    </row>
    <row r="105">
      <c r="A105" s="6" t="inlineStr">
        <is>
          <t>LitersPerBbl</t>
        </is>
      </c>
      <c r="B105" s="229" t="n">
        <v>158.987294928</v>
      </c>
      <c r="C105" s="3" t="inlineStr">
        <is>
          <t>liters per barrel</t>
        </is>
      </c>
      <c r="D105" s="3" t="inlineStr">
        <is>
          <t>Liters in a barrel (other oil products are priced per barrel)</t>
        </is>
      </c>
      <c r="E105" s="3" t="inlineStr">
        <is>
          <t>Definition (v0.6.1, I49; legacy bug L125)</t>
        </is>
      </c>
    </row>
    <row r="106">
      <c r="A106" s="6" t="inlineStr">
        <is>
          <t>NDCYrCap</t>
        </is>
      </c>
      <c r="B106" s="229" t="n">
        <v>2035</v>
      </c>
      <c r="C106" s="3" t="inlineStr">
        <is>
          <t>year</t>
        </is>
      </c>
      <c r="D106" s="3" t="inlineStr">
        <is>
          <t>Latest NDC target year used (later targets are compared in this year)</t>
        </is>
      </c>
      <c r="E106" s="3" t="inlineStr">
        <is>
          <t>legacy Mitigation F18405 (v0.5.7)</t>
        </is>
      </c>
    </row>
    <row r="107">
      <c r="A107" s="6" t="inlineStr">
        <is>
          <t>HoursYr</t>
        </is>
      </c>
      <c r="B107" s="229" t="n">
        <v>8760</v>
      </c>
      <c r="C107" s="3" t="inlineStr">
        <is>
          <t>hours per year</t>
        </is>
      </c>
      <c r="D107" s="3" t="inlineStr">
        <is>
          <t>Hours in a year</t>
        </is>
      </c>
      <c r="E107" s="3" t="inlineStr">
        <is>
          <t>Definition</t>
        </is>
      </c>
    </row>
    <row r="108">
      <c r="A108" s="6" t="inlineStr">
        <is>
          <t>kWperMW</t>
        </is>
      </c>
      <c r="B108" s="229" t="n">
        <v>1000</v>
      </c>
      <c r="C108" s="3" t="inlineStr">
        <is>
          <t>kW per MW</t>
        </is>
      </c>
      <c r="D108" s="3" t="inlineStr">
        <is>
          <t>Kilowatts per megawatt</t>
        </is>
      </c>
      <c r="E108" s="3" t="inlineStr">
        <is>
          <t>Definition</t>
        </is>
      </c>
    </row>
    <row r="109">
      <c r="A109" s="6" t="inlineStr">
        <is>
          <t>USDperM</t>
        </is>
      </c>
      <c r="B109" s="229" t="n">
        <v>1000000</v>
      </c>
      <c r="C109" s="3" t="inlineStr">
        <is>
          <t>USD per USD million</t>
        </is>
      </c>
      <c r="D109" s="3" t="inlineStr">
        <is>
          <t>US dollars per million US dollars</t>
        </is>
      </c>
      <c r="E109" s="3" t="inlineStr">
        <is>
          <t>Definition</t>
        </is>
      </c>
    </row>
    <row r="110">
      <c r="A110" s="6" t="inlineStr">
        <is>
          <t>MWyMkWh</t>
        </is>
      </c>
      <c r="B110" s="230">
        <f>HoursYr*kWperMW/USDperM</f>
        <v>8.76</v>
      </c>
      <c r="C110" s="3" t="inlineStr">
        <is>
          <t>million kWh per MWy</t>
        </is>
      </c>
      <c r="D110" s="3" t="inlineStr">
        <is>
          <t>Million kWh in one MW-year (8.76): $/kWh x MWy x MWyMkWh = USD million</t>
        </is>
      </c>
      <c r="E110" s="3" t="inlineStr">
        <is>
          <t>Definition</t>
        </is>
      </c>
    </row>
    <row r="111">
      <c r="A111" s="6" t="inlineStr">
        <is>
          <t>PriceFloor</t>
        </is>
      </c>
      <c r="B111" s="229">
        <f>ScenarioDefinition!$J$551</f>
        <v>0.01</v>
      </c>
      <c r="C111" s="3" t="inlineStr">
        <is>
          <t>$/GJ real</t>
        </is>
      </c>
      <c r="D111" s="3" t="inlineStr">
        <is>
          <t>Floor of the after-tax fuel price (atp)</t>
        </is>
      </c>
      <c r="E111" s="3" t="inlineStr">
        <is>
          <t>Legacy CPAT (fuel price floor)</t>
        </is>
      </c>
    </row>
    <row r="112">
      <c r="A112" s="6" t="inlineStr">
        <is>
          <t>GWPCH4F</t>
        </is>
      </c>
      <c r="B112" s="229" t="n">
        <v>29.8</v>
      </c>
      <c r="C112" s="3" t="inlineStr">
        <is>
          <t>t CO2e per t CH4</t>
        </is>
      </c>
      <c r="D112" s="3" t="inlineStr">
        <is>
          <t>Global warming potential (100 years) of fossil methane</t>
        </is>
      </c>
      <c r="E112" s="3" t="inlineStr">
        <is>
          <t>IPCC AR6; legacy Mitigation row 1030</t>
        </is>
      </c>
    </row>
    <row r="113">
      <c r="A113" s="6" t="inlineStr">
        <is>
          <t>GWPCH4NF</t>
        </is>
      </c>
      <c r="B113" s="229" t="n">
        <v>27.2</v>
      </c>
      <c r="C113" s="3" t="inlineStr">
        <is>
          <t>t CO2e per t CH4</t>
        </is>
      </c>
      <c r="D113" s="3" t="inlineStr">
        <is>
          <t>Global warming potential (100 years) of non-fossil methane</t>
        </is>
      </c>
      <c r="E113" s="3" t="inlineStr">
        <is>
          <t>IPCC AR6; legacy Mitigation row 1029</t>
        </is>
      </c>
    </row>
    <row r="114">
      <c r="A114" s="6" t="inlineStr">
        <is>
          <t>tPerKt</t>
        </is>
      </c>
      <c r="B114" s="229" t="n">
        <v>1000</v>
      </c>
      <c r="C114" s="3" t="inlineStr">
        <is>
          <t>t per kt</t>
        </is>
      </c>
      <c r="D114" s="3" t="inlineStr">
        <is>
          <t>Tonnes per kilotonne</t>
        </is>
      </c>
      <c r="E114" s="3" t="inlineStr">
        <is>
          <t>Definition</t>
        </is>
      </c>
    </row>
    <row r="115">
      <c r="A115" s="6" t="inlineStr">
        <is>
          <t>EFtPerKtoe</t>
        </is>
      </c>
      <c r="B115" s="230">
        <f>'Constants and Mappings'!$C$13*tPerKt</f>
        <v>41.868</v>
      </c>
      <c r="C115" s="3" t="inlineStr">
        <is>
          <t>t/ktoe per kt/PJ</t>
        </is>
      </c>
      <c r="D115" s="3" t="inlineStr">
        <is>
          <t>Converts an emission factor in kt per PJ to t per ktoe (PJ per ktoe x tPerKt)</t>
        </is>
      </c>
      <c r="E115" s="3" t="inlineStr">
        <is>
          <t>Definition</t>
        </is>
      </c>
    </row>
    <row r="116">
      <c r="A116" s="6" t="inlineStr">
        <is>
          <t>ktPerMt</t>
        </is>
      </c>
      <c r="B116" s="229" t="n">
        <v>1000</v>
      </c>
      <c r="C116" s="3" t="inlineStr">
        <is>
          <t>kt per Mt</t>
        </is>
      </c>
      <c r="D116" s="3" t="inlineStr">
        <is>
          <t>Kilotonnes per megatonne</t>
        </is>
      </c>
      <c r="E116" s="3" t="inlineStr">
        <is>
          <t>Definition</t>
        </is>
      </c>
    </row>
    <row r="117">
      <c r="A117" s="6" t="inlineStr">
        <is>
          <t>GdpExtHalf</t>
        </is>
      </c>
      <c r="B117" s="229" t="n">
        <v>0.5</v>
      </c>
      <c r="C117" s="3" t="inlineStr">
        <is>
          <t>factor</t>
        </is>
      </c>
      <c r="D117" s="3" t="inlineStr">
        <is>
          <t>Real GDP growth past the last WEO year, when it was falling: at least this factor times the average of the last three years (otherwise the linear trend)</t>
        </is>
      </c>
      <c r="E117" s="3" t="inlineStr">
        <is>
          <t>Legacy Mitigation row 420</t>
        </is>
      </c>
    </row>
    <row r="118">
      <c r="A118" s="6" t="inlineStr">
        <is>
          <t>WaccDefault</t>
        </is>
      </c>
      <c r="B118" s="229">
        <f>ScenarioDefinition!$J$560</f>
        <v>0.075</v>
      </c>
      <c r="C118" s="3" t="inlineStr">
        <is>
          <t>share</t>
        </is>
      </c>
      <c r="D118" s="3" t="inlineStr">
        <is>
          <t>WACC of a country missing from CoC or without CoC risk data (legacy XLOOKUP default; v0.4.10: also without risk data, L56)</t>
        </is>
      </c>
      <c r="E118" s="3" t="inlineStr">
        <is>
          <t>Legacy Mitigation rows 2988-2996</t>
        </is>
      </c>
    </row>
    <row r="119">
      <c r="A119" s="6" t="inlineStr">
        <is>
          <t>HydInvShare</t>
        </is>
      </c>
      <c r="B119" s="229">
        <f>ScenarioDefinition!$J$559</f>
        <v>0.5</v>
      </c>
      <c r="C119" s="3" t="inlineStr">
        <is>
          <t>share</t>
        </is>
      </c>
      <c r="D119" s="3" t="inlineStr">
        <is>
          <t>Hydro invests from the base year when its generation share is above this value, else from NewInvHydYear (v0.4.10, L54 fixed)</t>
        </is>
      </c>
      <c r="E119" s="3" t="inlineStr">
        <is>
          <t>Legacy Mitigation row 4067 (intended test of row 3846)</t>
        </is>
      </c>
    </row>
    <row r="120">
      <c r="A120" s="6" t="inlineStr">
        <is>
          <t>UraniumFuel</t>
        </is>
      </c>
      <c r="B120" s="231" t="n">
        <v>0.004</v>
      </c>
      <c r="C120" s="3" t="inlineStr">
        <is>
          <t>$/kWh</t>
        </is>
      </c>
      <c r="D120" s="3" t="inlineStr">
        <is>
          <t>Nuclear fuel cost per kWh of final electricity (legacy typed constant)</t>
        </is>
      </c>
      <c r="E120" s="3" t="inlineStr">
        <is>
          <t>Legacy Mitigation row 710</t>
        </is>
      </c>
    </row>
    <row r="121">
      <c r="A121" s="6" t="inlineStr">
        <is>
          <t>InvPresentShare</t>
        </is>
      </c>
      <c r="B121" s="231">
        <f>ScenarioDefinition!$J$558</f>
        <v>0.001</v>
      </c>
      <c r="C121" s="3" t="inlineStr">
        <is>
          <t>share</t>
        </is>
      </c>
      <c r="D121" s="3" t="inlineStr">
        <is>
          <t>New investment "If Present": allowed when the type has more than this share of capacity</t>
        </is>
      </c>
      <c r="E121" s="3" t="inlineStr">
        <is>
          <t>Legacy Mitigation rows 4061-4069</t>
        </is>
      </c>
    </row>
    <row r="122">
      <c r="A122" s="6" t="inlineStr">
        <is>
          <t>StMargFactor</t>
        </is>
      </c>
      <c r="B122" s="229" t="n">
        <v>2</v>
      </c>
      <c r="C122" s="3" t="inlineStr">
        <is>
          <t>factor</t>
        </is>
      </c>
      <c r="D122" s="3" t="inlineStr">
        <is>
          <t>Marginal hours of short-term storage = this x total hours for 100% VRE</t>
        </is>
      </c>
      <c r="E122" s="3" t="inlineStr">
        <is>
          <t>Legacy Mitigation row 3873</t>
        </is>
      </c>
    </row>
    <row r="123">
      <c r="A123" s="6" t="inlineStr">
        <is>
          <t>EarlyMaxShare</t>
        </is>
      </c>
      <c r="B123" s="229">
        <f>ScenarioDefinition!$J$557</f>
        <v>0.8</v>
      </c>
      <c r="C123" s="3" t="inlineStr">
        <is>
          <t>share</t>
        </is>
      </c>
      <c r="D123" s="3" t="inlineStr">
        <is>
          <t>Maximum early coal retirement, share of coal effective capacity (legacy typed)</t>
        </is>
      </c>
      <c r="E123" s="3" t="inlineStr">
        <is>
          <t>Legacy Mitigation row 3975</t>
        </is>
      </c>
    </row>
    <row r="124">
      <c r="A124" s="6" t="inlineStr">
        <is>
          <t>KtoeGWh</t>
        </is>
      </c>
      <c r="B124" s="229" t="n">
        <v>11.63</v>
      </c>
      <c r="C124" s="3" t="inlineStr">
        <is>
          <t>GWh per ktoe</t>
        </is>
      </c>
      <c r="D124" s="3" t="inlineStr">
        <is>
          <t>GWh in a ktoe</t>
        </is>
      </c>
      <c r="E124" s="3" t="inlineStr">
        <is>
          <t>Legacy Mitigation row 1033</t>
        </is>
      </c>
    </row>
    <row r="125">
      <c r="A125" s="6" t="inlineStr">
        <is>
          <t>IncfA</t>
        </is>
      </c>
      <c r="B125" s="229" t="n">
        <v>0.012019</v>
      </c>
      <c r="C125" s="3" t="inlineStr">
        <is>
          <t>factor</t>
        </is>
      </c>
      <c r="D125" s="3" t="inlineStr">
        <is>
          <t>Income factor polynomial in x = ln GDP per capita: coefficient of x^4</t>
        </is>
      </c>
      <c r="E125" s="3" t="inlineStr">
        <is>
          <t>Legacy Mitigation row 2432</t>
        </is>
      </c>
    </row>
    <row r="126">
      <c r="A126" s="6" t="inlineStr">
        <is>
          <t>IncfB</t>
        </is>
      </c>
      <c r="B126" s="229" t="n">
        <v>-0.365464</v>
      </c>
      <c r="C126" s="3" t="inlineStr">
        <is>
          <t>factor</t>
        </is>
      </c>
      <c r="D126" s="3" t="inlineStr">
        <is>
          <t>Income factor polynomial: coefficient of x^3</t>
        </is>
      </c>
      <c r="E126" s="3" t="inlineStr">
        <is>
          <t>Legacy Mitigation row 2432</t>
        </is>
      </c>
    </row>
    <row r="127">
      <c r="A127" s="6" t="inlineStr">
        <is>
          <t>IncfC</t>
        </is>
      </c>
      <c r="B127" s="229" t="n">
        <v>4.011846</v>
      </c>
      <c r="C127" s="3" t="inlineStr">
        <is>
          <t>factor</t>
        </is>
      </c>
      <c r="D127" s="3" t="inlineStr">
        <is>
          <t>Income factor polynomial: coefficient of x^2</t>
        </is>
      </c>
      <c r="E127" s="3" t="inlineStr">
        <is>
          <t>Legacy Mitigation row 2432</t>
        </is>
      </c>
    </row>
    <row r="128">
      <c r="A128" s="6" t="inlineStr">
        <is>
          <t>IncfD</t>
        </is>
      </c>
      <c r="B128" s="229" t="n">
        <v>-18.722243</v>
      </c>
      <c r="C128" s="3" t="inlineStr">
        <is>
          <t>factor</t>
        </is>
      </c>
      <c r="D128" s="3" t="inlineStr">
        <is>
          <t>Income factor polynomial: coefficient of x</t>
        </is>
      </c>
      <c r="E128" s="3" t="inlineStr">
        <is>
          <t>Legacy Mitigation row 2432</t>
        </is>
      </c>
    </row>
    <row r="129">
      <c r="A129" s="6" t="inlineStr">
        <is>
          <t>IncfE</t>
        </is>
      </c>
      <c r="B129" s="229" t="n">
        <v>31.75949</v>
      </c>
      <c r="C129" s="3" t="inlineStr">
        <is>
          <t>factor</t>
        </is>
      </c>
      <c r="D129" s="3" t="inlineStr">
        <is>
          <t>Income factor polynomial: constant (31.59949 + 0.16)</t>
        </is>
      </c>
      <c r="E129" s="3" t="inlineStr">
        <is>
          <t>Legacy Mitigation row 2432</t>
        </is>
      </c>
    </row>
    <row r="130">
      <c r="A130" s="6" t="inlineStr">
        <is>
          <t>IncfLnCap</t>
        </is>
      </c>
      <c r="B130" s="229" t="n">
        <v>10</v>
      </c>
      <c r="C130" s="3" t="inlineStr">
        <is>
          <t>ln USD</t>
        </is>
      </c>
      <c r="D130" s="3" t="inlineStr">
        <is>
          <t>Cap on ln GDP per capita in the income factor</t>
        </is>
      </c>
      <c r="E130" s="3" t="inlineStr">
        <is>
          <t>Legacy Mitigation row 2431</t>
        </is>
      </c>
    </row>
    <row r="131">
      <c r="A131" s="6" t="inlineStr">
        <is>
          <t>IncfNorm</t>
        </is>
      </c>
      <c r="B131" s="229" t="n">
        <v>0.74</v>
      </c>
      <c r="C131" s="3" t="inlineStr">
        <is>
          <t>factor</t>
        </is>
      </c>
      <c r="D131" s="3" t="inlineStr">
        <is>
          <t>Income factor divisor (normalisation)</t>
        </is>
      </c>
      <c r="E131" s="3" t="inlineStr">
        <is>
          <t>Legacy Mitigation row 2433 (G2432)</t>
        </is>
      </c>
    </row>
    <row r="132">
      <c r="A132" s="6" t="inlineStr">
        <is>
          <t>MultLastLag</t>
        </is>
      </c>
      <c r="B132" s="229" t="n">
        <v>11</v>
      </c>
      <c r="C132" s="3" t="inlineStr">
        <is>
          <t>years</t>
        </is>
      </c>
      <c r="D132" s="3" t="inlineStr">
        <is>
          <t>Last lag of the legacy multiplier tables (columns D:O = lags 0-11); later lags hold its value</t>
        </is>
      </c>
      <c r="E132" s="3" t="inlineStr">
        <is>
          <t>Legacy Multipliers rows 36-57, 90-203</t>
        </is>
      </c>
    </row>
    <row r="133">
      <c r="A133" s="6" t="inlineStr">
        <is>
          <t>KgPerT</t>
        </is>
      </c>
      <c r="B133" s="229" t="n">
        <v>1000</v>
      </c>
      <c r="C133" s="3" t="inlineStr">
        <is>
          <t>kg per t</t>
        </is>
      </c>
      <c r="D133" s="3" t="inlineStr">
        <is>
          <t>Kilograms per tonne (EF_GHG factors are kg CO2 per GJ)</t>
        </is>
      </c>
      <c r="E133" s="3" t="inlineStr">
        <is>
          <t>Definition</t>
        </is>
      </c>
    </row>
    <row r="134">
      <c r="A134" s="6" t="inlineStr">
        <is>
          <t>EFOilIEA</t>
        </is>
      </c>
      <c r="B134" s="229" t="n">
        <v>0.07333333333333333</v>
      </c>
      <c r="C134" s="3" t="inlineStr">
        <is>
          <t>tCO2/GJ</t>
        </is>
      </c>
      <c r="D134" s="3" t="inlineStr">
        <is>
          <t>Generic CO2 factor of other oil products, IEA (20 tC/TJ x 44/12; v0.9.0, R3.2)</t>
        </is>
      </c>
      <c r="E134" s="3" t="inlineStr">
        <is>
          <t>Legacy Mitigation row 967</t>
        </is>
      </c>
    </row>
    <row r="135">
      <c r="A135" s="6" t="inlineStr">
        <is>
          <t>ApCoalResMin</t>
        </is>
      </c>
      <c r="B135" s="231" t="n">
        <v>0.001</v>
      </c>
      <c r="C135" s="3" t="inlineStr">
        <is>
          <t>share</t>
        </is>
      </c>
      <c r="D135" s="3" t="inlineStr">
        <is>
          <t>Residential coal air-pollution cost applies only where coal is above this share of buildings fuel use (v0.9.0, R1.3; bug L192 fixed: legacy divides by a typed 9127)</t>
        </is>
      </c>
      <c r="E135" s="3" t="inlineStr">
        <is>
          <t>Legacy Mitigation row 17739</t>
        </is>
      </c>
    </row>
    <row r="136">
      <c r="A136" s="6" t="inlineStr">
        <is>
          <t>EFJetIEA</t>
        </is>
      </c>
      <c r="B136" s="229" t="n">
        <v>0.07149999999999999</v>
      </c>
      <c r="C136" s="3" t="inlineStr">
        <is>
          <t>tCO2/GJ</t>
        </is>
      </c>
      <c r="D136" s="3" t="inlineStr">
        <is>
          <t>CO2 emission factor of jet fuel, IEA global (19.5 tC/TJ x 44/12): legacy uses it for aviation and for jet fuel in every sector</t>
        </is>
      </c>
      <c r="E136" s="3" t="inlineStr">
        <is>
          <t>Legacy Mitigation rows 970, 1010-1011</t>
        </is>
      </c>
    </row>
    <row r="137">
      <c r="A137" s="6" t="inlineStr">
        <is>
          <t>FlareCO2perCH4</t>
        </is>
      </c>
      <c r="B137" s="229" t="n">
        <v>2.75</v>
      </c>
      <c r="C137" s="3" t="inlineStr">
        <is>
          <t>t CO2 per t CH4</t>
        </is>
      </c>
      <c r="D137" s="3" t="inlineStr">
        <is>
          <t>CO2 from burning (flaring) one tonne of methane (44/16)</t>
        </is>
      </c>
      <c r="E137" s="3" t="inlineStr">
        <is>
          <t>Definition</t>
        </is>
      </c>
    </row>
    <row r="138">
      <c r="A138" s="6" t="inlineStr">
        <is>
          <t>EFEndYear</t>
        </is>
      </c>
      <c r="B138" s="229">
        <f>ScenarioDefinition!$J$552</f>
        <v>2039.0</v>
      </c>
      <c r="C138" s="3" t="inlineStr">
        <is>
          <t>year</t>
        </is>
      </c>
      <c r="D138" s="3" t="inlineStr">
        <is>
          <t>Year of the final combustion emission factor: linear path from the base year, continued after it, as legacy (v0.8.4, I98; the final factor follows EFSel, name EFFinShare)</t>
        </is>
      </c>
      <c r="E138" s="3" t="inlineStr">
        <is>
          <t>Legacy Mitigation rows 1052-1663 (column AC = 2039; AD, AE extrapolate)</t>
        </is>
      </c>
    </row>
    <row r="139">
      <c r="A139" s="6" t="inlineStr">
        <is>
          <t>MperBn</t>
        </is>
      </c>
      <c r="B139" s="229" t="n">
        <v>1000</v>
      </c>
      <c r="C139" s="3" t="inlineStr">
        <is>
          <t>USD million per USD billion</t>
        </is>
      </c>
      <c r="D139" s="3" t="inlineStr">
        <is>
          <t>Millions in a billion (GDP in USD bn, revenue in USD m)</t>
        </is>
      </c>
      <c r="E139" s="3" t="inlineStr">
        <is>
          <t>Definition</t>
        </is>
      </c>
    </row>
    <row r="140">
      <c r="A140" s="6" t="inlineStr">
        <is>
          <t>PctPerUnit</t>
        </is>
      </c>
      <c r="B140" s="229" t="n">
        <v>100</v>
      </c>
      <c r="C140" s="3" t="inlineStr">
        <is>
          <t>percent per unit</t>
        </is>
      </c>
      <c r="D140" s="3" t="inlineStr">
        <is>
          <t>MTInputs revenue-use shares are in percent</t>
        </is>
      </c>
      <c r="E140" s="3" t="inlineStr">
        <is>
          <t>Definition</t>
        </is>
      </c>
    </row>
    <row r="141">
      <c r="A141" s="6" t="inlineStr">
        <is>
          <t>PomPerOC</t>
        </is>
      </c>
      <c r="B141" s="229" t="n">
        <v>1.3</v>
      </c>
      <c r="C141" s="3" t="inlineStr">
        <is>
          <t>t POM per t OC</t>
        </is>
      </c>
      <c r="D141" s="3" t="inlineStr">
        <is>
          <t>Primary organic matter per tonne of organic carbon (POM = 1.3 x OC)</t>
        </is>
      </c>
      <c r="E141" s="3" t="inlineStr">
        <is>
          <t>Legacy Mitigation rows 7428-7435</t>
        </is>
      </c>
    </row>
    <row r="142">
      <c r="A142" s="6" t="inlineStr">
        <is>
          <t>GJperkWh</t>
        </is>
      </c>
      <c r="B142" s="231" t="n">
        <v>0.0036</v>
      </c>
      <c r="C142" s="3" t="inlineStr">
        <is>
          <t>GJ per kWh</t>
        </is>
      </c>
      <c r="D142" s="3" t="inlineStr">
        <is>
          <t>Gigajoules in one kilowatt-hour</t>
        </is>
      </c>
      <c r="E142" s="3" t="inlineStr">
        <is>
          <t>Definition</t>
        </is>
      </c>
    </row>
    <row r="143">
      <c r="A143" s="6" t="inlineStr">
        <is>
          <t>CapAvgShr</t>
        </is>
      </c>
      <c r="B143" s="229" t="n">
        <v>0.5</v>
      </c>
      <c r="C143" s="3" t="inlineStr">
        <is>
          <t>share</t>
        </is>
      </c>
      <c r="D143" s="3" t="inlineStr">
        <is>
          <t>Average outstanding share of the capital over the lifetime (straight-line repayment): amortised capex = capex x (1/N + wacc x CapAvgShr)</t>
        </is>
      </c>
      <c r="E143" s="3" t="inlineStr">
        <is>
          <t>Legacy Mitigation rows 3247-3255 (B8)</t>
        </is>
      </c>
    </row>
    <row r="144">
      <c r="A144" s="6" t="inlineStr">
        <is>
          <t>TieBreak</t>
        </is>
      </c>
      <c r="B144" s="231" t="n">
        <v>1.356e-06</v>
      </c>
      <c r="C144" s="3" t="inlineStr">
        <is>
          <t>$/kWh</t>
        </is>
      </c>
      <c r="D144" s="3" t="inlineStr">
        <is>
          <t>Tie breaker added to the cost of each generation type (x its position - 1)</t>
        </is>
      </c>
      <c r="E144" s="3" t="inlineStr">
        <is>
          <t>Legacy CPAT (dispatch tie breaker)</t>
        </is>
      </c>
    </row>
    <row r="145">
      <c r="A145" s="6" t="inlineStr">
        <is>
          <t>PassLo</t>
        </is>
      </c>
      <c r="B145" s="229">
        <f>ScenarioDefinition!$J$548</f>
        <v>0.25</v>
      </c>
      <c r="C145" s="3" t="inlineStr">
        <is>
          <t>share</t>
        </is>
      </c>
      <c r="D145" s="3" t="inlineStr">
        <is>
          <t>Pass-through buckets: a raw pass-through up to this value counts as 0</t>
        </is>
      </c>
      <c r="E145" s="3" t="inlineStr">
        <is>
          <t>Legacy CPAT (pass-through buckets)</t>
        </is>
      </c>
    </row>
    <row r="146">
      <c r="A146" s="6" t="inlineStr">
        <is>
          <t>PassHi</t>
        </is>
      </c>
      <c r="B146" s="229">
        <f>ScenarioDefinition!$J$550</f>
        <v>0.5</v>
      </c>
      <c r="C146" s="3" t="inlineStr">
        <is>
          <t>share</t>
        </is>
      </c>
      <c r="D146" s="3" t="inlineStr">
        <is>
          <t>Pass-through buckets: above PassLo and up to this value counts as PassMid, above as 1</t>
        </is>
      </c>
      <c r="E146" s="3" t="inlineStr">
        <is>
          <t>Legacy CPAT (pass-through buckets)</t>
        </is>
      </c>
    </row>
    <row r="147">
      <c r="A147" s="6" t="inlineStr">
        <is>
          <t>PassMid</t>
        </is>
      </c>
      <c r="B147" s="229">
        <f>ScenarioDefinition!$J$549</f>
        <v>0.5</v>
      </c>
      <c r="C147" s="3" t="inlineStr">
        <is>
          <t>share</t>
        </is>
      </c>
      <c r="D147" s="3" t="inlineStr">
        <is>
          <t>Pass-through of the middle bucket</t>
        </is>
      </c>
      <c r="E147" s="3" t="inlineStr">
        <is>
          <t>Legacy CPAT (pass-through buckets)</t>
        </is>
      </c>
    </row>
    <row r="148">
      <c r="A148" s="6" t="inlineStr">
        <is>
          <t>MethShareCap</t>
        </is>
      </c>
      <c r="B148" s="229">
        <f>ScenarioDefinition!$J$553</f>
        <v>10.0</v>
      </c>
      <c r="C148" s="3" t="inlineStr">
        <is>
          <t>factor</t>
        </is>
      </c>
      <c r="D148" s="3" t="inlineStr">
        <is>
          <t>Methane source shares: at most this multiple of the source's share of activity</t>
        </is>
      </c>
      <c r="E148" s="3" t="inlineStr">
        <is>
          <t>Legacy Mitigation row 899</t>
        </is>
      </c>
    </row>
    <row r="149">
      <c r="A149" s="6" t="inlineStr">
        <is>
          <t>Thousand</t>
        </is>
      </c>
      <c r="B149" s="229" t="n">
        <v>1000</v>
      </c>
      <c r="C149" s="3" t="inlineStr">
        <is>
          <t>units per thousand</t>
        </is>
      </c>
      <c r="D149" s="3" t="inlineStr">
        <is>
          <t>Thousand (per-1,000 people, kt, GWh)</t>
        </is>
      </c>
      <c r="E149" s="3" t="inlineStr">
        <is>
          <t>Definition</t>
        </is>
      </c>
    </row>
    <row r="150">
      <c r="A150" s="6" t="inlineStr">
        <is>
          <t>Million</t>
        </is>
      </c>
      <c r="B150" s="229" t="n">
        <v>1000000</v>
      </c>
      <c r="C150" s="3" t="inlineStr">
        <is>
          <t>units per million</t>
        </is>
      </c>
      <c r="D150" s="3" t="inlineStr">
        <is>
          <t>Million (population, GJ per PJ, grams per tonne)</t>
        </is>
      </c>
      <c r="E150" s="3" t="inlineStr">
        <is>
          <t>Definition</t>
        </is>
      </c>
    </row>
    <row r="151">
      <c r="A151" s="6" t="inlineStr">
        <is>
          <t>Billion</t>
        </is>
      </c>
      <c r="B151" s="229" t="n">
        <v>1000000000</v>
      </c>
      <c r="C151" s="3" t="inlineStr">
        <is>
          <t>units per billion</t>
        </is>
      </c>
      <c r="D151" s="3" t="inlineStr">
        <is>
          <t>Billion (liters, km)</t>
        </is>
      </c>
      <c r="E151" s="3" t="inlineStr">
        <is>
          <t>Definition</t>
        </is>
      </c>
    </row>
    <row r="152">
      <c r="A152" s="6" t="inlineStr">
        <is>
          <t>TrRALag</t>
        </is>
      </c>
      <c r="B152" s="229">
        <f>ScenarioDefinition!$J$555</f>
        <v>3.0</v>
      </c>
      <c r="C152" s="3" t="inlineStr">
        <is>
          <t>years</t>
        </is>
      </c>
      <c r="D152" s="3" t="inlineStr">
        <is>
          <t>Range anxiety: the start value holds in the first years of the horizon (base year counted as 1)</t>
        </is>
      </c>
      <c r="E152" s="3" t="inlineStr">
        <is>
          <t>Legacy Mitigation rows 4354-4356 (range anxiety from column O)</t>
        </is>
      </c>
    </row>
    <row r="153">
      <c r="A153" s="6" t="inlineStr">
        <is>
          <t>TrPivotLag</t>
        </is>
      </c>
      <c r="B153" s="229">
        <f>ScenarioDefinition!$J$556</f>
        <v>2.0</v>
      </c>
      <c r="C153" s="3" t="inlineStr">
        <is>
          <t>years</t>
        </is>
      </c>
      <c r="D153" s="3" t="inlineStr">
        <is>
          <t>Feebate pivot: blank in the first years of the horizon (base year counted as 1)</t>
        </is>
      </c>
      <c r="E153" s="3" t="inlineStr">
        <is>
          <t>Legacy Mitigation rows 4517, 4633, 4690 (from column N)</t>
        </is>
      </c>
    </row>
    <row r="154">
      <c r="A154" s="6" t="inlineStr">
        <is>
          <t>TrOwnDecline</t>
        </is>
      </c>
      <c r="B154" s="229">
        <f>ScenarioDefinition!$J$554</f>
        <v>0.1</v>
      </c>
      <c r="C154" s="3" t="inlineStr">
        <is>
          <t>share per year</t>
        </is>
      </c>
      <c r="D154" s="3" t="inlineStr">
        <is>
          <t>Maximum annual decrease of passenger and freight ownership (fix B4: the legacy 2-3 wheeler value; legacy 0)</t>
        </is>
      </c>
      <c r="E154" s="3" t="inlineStr">
        <is>
          <t>Methods, chapter Transport B4</t>
        </is>
      </c>
    </row>
    <row r="155">
      <c r="A155" s="6" t="inlineStr">
        <is>
          <t>TrFEWGso</t>
        </is>
      </c>
      <c r="B155" s="229" t="n">
        <v>0.75</v>
      </c>
      <c r="C155" s="3" t="inlineStr">
        <is>
          <t>share</t>
        </is>
      </c>
      <c r="D155" s="3" t="inlineStr">
        <is>
          <t>Average gasoline fuel economy without fuel use: weight of passenger vehicles (2-3 wheelers the rest)</t>
        </is>
      </c>
      <c r="E155" s="3" t="inlineStr">
        <is>
          <t>Legacy Mitigation row 5356</t>
        </is>
      </c>
    </row>
    <row r="156">
      <c r="A156" s="6" t="inlineStr">
        <is>
          <t>TrFEWHalf</t>
        </is>
      </c>
      <c r="B156" s="229" t="n">
        <v>0.5</v>
      </c>
      <c r="C156" s="3" t="inlineStr">
        <is>
          <t>share</t>
        </is>
      </c>
      <c r="D156" s="3" t="inlineStr">
        <is>
          <t>Average diesel, LPG and gas fuel economy without fuel use: weight of passenger vehicles (freight the rest)</t>
        </is>
      </c>
      <c r="E156" s="3" t="inlineStr">
        <is>
          <t>Legacy Mitigation rows 5360, 5364, 5368</t>
        </is>
      </c>
    </row>
    <row r="157">
      <c r="A157" s="6" t="inlineStr">
        <is>
          <t>TrFEWEvP</t>
        </is>
      </c>
      <c r="B157" s="229" t="n">
        <v>0.5</v>
      </c>
      <c r="C157" s="3" t="inlineStr">
        <is>
          <t>share</t>
        </is>
      </c>
      <c r="D157" s="3" t="inlineStr">
        <is>
          <t>Average EV fuel economy without electricity use: weight of passenger BEVs</t>
        </is>
      </c>
      <c r="E157" s="3" t="inlineStr">
        <is>
          <t>Legacy Mitigation row 5373</t>
        </is>
      </c>
    </row>
    <row r="158">
      <c r="A158" s="6" t="inlineStr">
        <is>
          <t>TrFEWEvO</t>
        </is>
      </c>
      <c r="B158" s="229" t="n">
        <v>0.25</v>
      </c>
      <c r="C158" s="3" t="inlineStr">
        <is>
          <t>share</t>
        </is>
      </c>
      <c r="D158" s="3" t="inlineStr">
        <is>
          <t>Average EV fuel economy without electricity use: weight of freight and of 2-3 wheeler BEVs each</t>
        </is>
      </c>
      <c r="E158" s="3" t="inlineStr">
        <is>
          <t>Legacy Mitigation row 5373</t>
        </is>
      </c>
    </row>
    <row r="159">
      <c r="A159" s="6" t="inlineStr">
        <is>
          <t>ResSubstLag</t>
        </is>
      </c>
      <c r="B159" s="229" t="n">
        <v>1</v>
      </c>
      <c r="C159" s="3" t="inlineStr">
        <is>
          <t>years</t>
        </is>
      </c>
      <c r="D159" s="3" t="inlineStr">
        <is>
          <t>Residential leakage to biomass: substitution lag (the coefficient of the leaked share is divided by it; v0.5.1)</t>
        </is>
      </c>
      <c r="E159" s="3" t="inlineStr">
        <is>
          <t>Legacy Mitigation E5571 (typed 1)</t>
        </is>
      </c>
    </row>
    <row r="160">
      <c r="A160" s="6" t="inlineStr">
        <is>
          <t>MitGW</t>
        </is>
      </c>
      <c r="B160" s="229" t="n">
        <v>22</v>
      </c>
      <c r="C160" s="3" t="inlineStr">
        <is>
          <t>columns</t>
        </is>
      </c>
      <c r="D160" s="3" t="inlineStr">
        <is>
          <t>Width of a Mitigation scenario group (code column, years, spacer); Distribution reads group n of Mitigation at (n - 1) x MitGW + the year column of group 1</t>
        </is>
      </c>
      <c r="E160" s="3" t="inlineStr">
        <is>
          <t>Definition (v0.4.4)</t>
        </is>
      </c>
    </row>
    <row r="161">
      <c r="A161" s="6" t="inlineStr">
        <is>
          <t>BasketQ</t>
        </is>
      </c>
      <c r="B161" s="229" t="n">
        <v>9999</v>
      </c>
      <c r="C161" s="3" t="inlineStr">
        <is>
          <t>code</t>
        </is>
      </c>
      <c r="D161" s="3" t="inlineStr">
        <is>
          <t>Quantile code of the basket (whole sample) in HHSurvey and HH_Elast</t>
        </is>
      </c>
      <c r="E161" s="3" t="inlineStr">
        <is>
          <t>Legacy HHSurvey (quant_cons 9999)</t>
        </is>
      </c>
    </row>
    <row r="162">
      <c r="A162" s="6" t="inlineStr">
        <is>
          <t>DecPerQuint</t>
        </is>
      </c>
      <c r="B162" s="229" t="n">
        <v>2</v>
      </c>
      <c r="C162" s="3" t="inlineStr">
        <is>
          <t>deciles per quintile</t>
        </is>
      </c>
      <c r="D162" s="3" t="inlineStr">
        <is>
          <t>ASPIRE data are by quintile: decile d reads quintile ROUNDUP(d / 2)</t>
        </is>
      </c>
      <c r="E162" s="3" t="inlineStr">
        <is>
          <t>Legacy Distribution row 2558</t>
        </is>
      </c>
    </row>
    <row r="163">
      <c r="A163" s="6" t="inlineStr">
        <is>
          <t>PlDecScale</t>
        </is>
      </c>
      <c r="B163" s="229" t="n">
        <v>10</v>
      </c>
      <c r="C163" s="3" t="inlineStr">
        <is>
          <t>ratio</t>
        </is>
      </c>
      <c r="D163" s="3" t="inlineStr">
        <is>
          <t>Poverty-line targeting: the HHSurvey pct_belowpl_* value of a decile x 10 = share of the decile below the line (%; deciles of 10%)</t>
        </is>
      </c>
      <c r="E163" s="3" t="inlineStr">
        <is>
          <t>legacy Distribution rows 2649-2651 (v0.6.0)</t>
        </is>
      </c>
    </row>
    <row r="164">
      <c r="A164" s="6" t="inlineStr">
        <is>
          <t>DWLTri</t>
        </is>
      </c>
      <c r="B164" s="229" t="n">
        <v>0.5</v>
      </c>
      <c r="C164" s="3" t="inlineStr">
        <is>
          <t>ratio</t>
        </is>
      </c>
      <c r="D164" s="3" t="inlineStr">
        <is>
          <t>Harberger triangle: deadweight loss = 1/2 x lost demand x price change</t>
        </is>
      </c>
      <c r="E164" s="3" t="inlineStr">
        <is>
          <t>Legacy Distribution rows 859-883 (units corrected, register)</t>
        </is>
      </c>
    </row>
    <row r="165">
      <c r="A165" s="6" t="inlineStr">
        <is>
          <t>PsElFloor</t>
        </is>
      </c>
      <c r="B165" s="229" t="n">
        <v>-0.3</v>
      </c>
      <c r="C165" s="3" t="inlineStr">
        <is>
          <t>USD/kWh</t>
        </is>
      </c>
      <c r="D165" s="3" t="inlineStr">
        <is>
          <t>Floor of the electricity producer subsidy per kWh (the part beyond it is the residual pser, outside prices; v0.9.0, R7.6, I146)</t>
        </is>
      </c>
      <c r="E165" s="3" t="inlineStr">
        <is>
          <t>Legacy Mitigation H3590:H3591</t>
        </is>
      </c>
    </row>
    <row r="166">
      <c r="A166" s="3" t="inlineStr">
        <is>
          <t>exf|all|all</t>
        </is>
      </c>
      <c r="B166" s="229" t="n">
        <v>1</v>
      </c>
      <c r="C166" s="3" t="inlineStr">
        <is>
          <t>factor</t>
        </is>
      </c>
      <c r="D166" s="3" t="inlineStr">
        <is>
          <t>Exemption factor of the new policies where no exemption applies (1 = taxed; v0.5.1)</t>
        </is>
      </c>
      <c r="E166" s="3" t="inlineStr">
        <is>
          <t>Definition</t>
        </is>
      </c>
    </row>
    <row r="167">
      <c r="A167" s="3" t="inlineStr">
        <is>
          <t>gp.hi|oil</t>
        </is>
      </c>
      <c r="B167" s="229" t="n">
        <v>1.5</v>
      </c>
      <c r="C167" s="3" t="inlineStr">
        <is>
          <t>factor</t>
        </is>
      </c>
      <c r="D167" s="3" t="inlineStr">
        <is>
          <t>International price, High forecast adjustment: Crude oil</t>
        </is>
      </c>
      <c r="E167" s="3" t="inlineStr">
        <is>
          <t>Legacy CPAT</t>
        </is>
      </c>
    </row>
    <row r="168">
      <c r="A168" s="3" t="inlineStr">
        <is>
          <t>gp.hi|coa</t>
        </is>
      </c>
      <c r="B168" s="229" t="n">
        <v>1.25</v>
      </c>
      <c r="C168" s="3" t="inlineStr">
        <is>
          <t>factor</t>
        </is>
      </c>
      <c r="D168" s="3" t="inlineStr">
        <is>
          <t>International price, High forecast adjustment: Coal</t>
        </is>
      </c>
      <c r="E168" s="3" t="inlineStr">
        <is>
          <t>Legacy CPAT</t>
        </is>
      </c>
    </row>
    <row r="169">
      <c r="A169" s="3" t="inlineStr">
        <is>
          <t>gp.hi|nga</t>
        </is>
      </c>
      <c r="B169" s="229" t="n">
        <v>1.25</v>
      </c>
      <c r="C169" s="3" t="inlineStr">
        <is>
          <t>factor</t>
        </is>
      </c>
      <c r="D169" s="3" t="inlineStr">
        <is>
          <t>International price, High forecast adjustment: Natural gas (country gas market)</t>
        </is>
      </c>
      <c r="E169" s="3" t="inlineStr">
        <is>
          <t>Legacy CPAT</t>
        </is>
      </c>
    </row>
    <row r="170">
      <c r="A170" s="3" t="inlineStr">
        <is>
          <t>gp.hi|one</t>
        </is>
      </c>
      <c r="B170" s="229" t="n">
        <v>1</v>
      </c>
      <c r="C170" s="3" t="inlineStr">
        <is>
          <t>factor</t>
        </is>
      </c>
      <c r="D170" s="3" t="inlineStr">
        <is>
          <t>International price, High forecast adjustment: Flat (no price change)</t>
        </is>
      </c>
      <c r="E170" s="3" t="inlineStr">
        <is>
          <t>Legacy CPAT</t>
        </is>
      </c>
    </row>
    <row r="171">
      <c r="A171" s="3" t="inlineStr">
        <is>
          <t>gp.lo|oil</t>
        </is>
      </c>
      <c r="B171" s="229" t="n">
        <v>0.5</v>
      </c>
      <c r="C171" s="3" t="inlineStr">
        <is>
          <t>factor</t>
        </is>
      </c>
      <c r="D171" s="3" t="inlineStr">
        <is>
          <t>International price, Low forecast adjustment: Crude oil</t>
        </is>
      </c>
      <c r="E171" s="3" t="inlineStr">
        <is>
          <t>Legacy CPAT</t>
        </is>
      </c>
    </row>
    <row r="172">
      <c r="A172" s="3" t="inlineStr">
        <is>
          <t>gp.lo|coa</t>
        </is>
      </c>
      <c r="B172" s="229" t="n">
        <v>0.75</v>
      </c>
      <c r="C172" s="3" t="inlineStr">
        <is>
          <t>factor</t>
        </is>
      </c>
      <c r="D172" s="3" t="inlineStr">
        <is>
          <t>International price, Low forecast adjustment: Coal</t>
        </is>
      </c>
      <c r="E172" s="3" t="inlineStr">
        <is>
          <t>Legacy CPAT</t>
        </is>
      </c>
    </row>
    <row r="173">
      <c r="A173" s="3" t="inlineStr">
        <is>
          <t>gp.lo|nga</t>
        </is>
      </c>
      <c r="B173" s="229" t="n">
        <v>0.75</v>
      </c>
      <c r="C173" s="3" t="inlineStr">
        <is>
          <t>factor</t>
        </is>
      </c>
      <c r="D173" s="3" t="inlineStr">
        <is>
          <t>International price, Low forecast adjustment: Natural gas (country gas market)</t>
        </is>
      </c>
      <c r="E173" s="3" t="inlineStr">
        <is>
          <t>Legacy CPAT</t>
        </is>
      </c>
    </row>
    <row r="174">
      <c r="A174" s="3" t="inlineStr">
        <is>
          <t>gp.lo|one</t>
        </is>
      </c>
      <c r="B174" s="229" t="n">
        <v>1</v>
      </c>
      <c r="C174" s="3" t="inlineStr">
        <is>
          <t>factor</t>
        </is>
      </c>
      <c r="D174" s="3" t="inlineStr">
        <is>
          <t>International price, Low forecast adjustment: Flat (no price change)</t>
        </is>
      </c>
      <c r="E174" s="3" t="inlineStr">
        <is>
          <t>Legacy CPAT</t>
        </is>
      </c>
    </row>
    <row r="175">
      <c r="A175" s="3" t="inlineStr">
        <is>
          <t>pw.c|gncav</t>
        </is>
      </c>
      <c r="B175" s="229" t="n">
        <v>1</v>
      </c>
      <c r="C175" s="3" t="inlineStr">
        <is>
          <t>factor</t>
        </is>
      </c>
      <c r="D175" s="3" t="inlineStr">
        <is>
          <t>Scale factor of power row gncav</t>
        </is>
      </c>
      <c r="E175" s="3" t="inlineStr">
        <is>
          <t>Definition (1)</t>
        </is>
      </c>
    </row>
    <row r="176">
      <c r="A176" s="3" t="inlineStr">
        <is>
          <t>pw.c|rcarb</t>
        </is>
      </c>
      <c r="B176" s="229" t="n">
        <v>1</v>
      </c>
      <c r="C176" s="3" t="inlineStr">
        <is>
          <t>factor</t>
        </is>
      </c>
      <c r="D176" s="3" t="inlineStr">
        <is>
          <t>Scale factor of power row rcarb</t>
        </is>
      </c>
      <c r="E176" s="3" t="inlineStr">
        <is>
          <t>Definition (1)</t>
        </is>
      </c>
    </row>
    <row r="177">
      <c r="A177" s="3" t="inlineStr">
        <is>
          <t>pw.c|rgap</t>
        </is>
      </c>
      <c r="B177" s="229" t="n">
        <v>1</v>
      </c>
      <c r="C177" s="3" t="inlineStr">
        <is>
          <t>factor</t>
        </is>
      </c>
      <c r="D177" s="3" t="inlineStr">
        <is>
          <t>Scale factor of power row rgap</t>
        </is>
      </c>
      <c r="E177" s="3" t="inlineStr">
        <is>
          <t>Definition (1)</t>
        </is>
      </c>
    </row>
    <row r="178">
      <c r="A178" s="3" t="inlineStr">
        <is>
          <t>pw.c|vre</t>
        </is>
      </c>
      <c r="B178" s="229" t="n">
        <v>1</v>
      </c>
      <c r="C178" s="3" t="inlineStr">
        <is>
          <t>factor</t>
        </is>
      </c>
      <c r="D178" s="3" t="inlineStr">
        <is>
          <t>Scale factor of power row vre</t>
        </is>
      </c>
      <c r="E178" s="3" t="inlineStr">
        <is>
          <t>Definition (1)</t>
        </is>
      </c>
    </row>
    <row r="179"/>
    <row r="180"/>
    <row r="181"/>
    <row r="182"/>
    <row r="183">
      <c r="A183" s="4" t="inlineStr">
        <is>
          <t>Mapping: subsectors, fuels and policy keys to CPAT parameter groups</t>
        </is>
      </c>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5" t="n"/>
      <c r="AS183" s="5" t="n"/>
      <c r="AT183" s="5" t="n"/>
      <c r="AU183" s="5" t="n"/>
      <c r="AV183" s="5" t="n"/>
      <c r="AW183" s="5" t="n"/>
      <c r="AX183" s="5" t="n"/>
      <c r="AY183" s="5" t="n"/>
      <c r="AZ183" s="5" t="n"/>
      <c r="BA183" s="5" t="n"/>
      <c r="BB183" s="5" t="n"/>
      <c r="BC183" s="5" t="n"/>
      <c r="BD183" s="5" t="n"/>
      <c r="BE183" s="5" t="n"/>
      <c r="BF183" s="5" t="n"/>
      <c r="BG183" s="5" t="n"/>
      <c r="BH183" s="5" t="n"/>
      <c r="BI183" s="5" t="n"/>
      <c r="BJ183" s="5" t="n"/>
      <c r="BK183" s="5" t="n"/>
      <c r="BL183" s="5" t="n"/>
      <c r="BM183" s="5" t="n"/>
      <c r="BN183" s="5" t="n"/>
      <c r="BO183" s="5" t="n"/>
      <c r="BP183" s="5" t="n"/>
      <c r="BQ183" s="5" t="n"/>
      <c r="BR183" s="5" t="n"/>
      <c r="BS183" s="5" t="n"/>
      <c r="BT183" s="5" t="n"/>
      <c r="BU183" s="5" t="n"/>
      <c r="BV183" s="5" t="n"/>
      <c r="BW183" s="5" t="n"/>
      <c r="BX183" s="5" t="n"/>
      <c r="BY183" s="5" t="n"/>
      <c r="BZ183" s="5" t="n"/>
      <c r="CA183" s="5" t="n"/>
      <c r="CB183" s="5" t="n"/>
      <c r="CC183" s="5" t="n"/>
      <c r="CD183" s="5" t="n"/>
      <c r="CE183" s="5" t="n"/>
      <c r="CF183" s="5" t="n"/>
      <c r="CG183" s="5" t="n"/>
      <c r="CH183" s="5" t="n"/>
      <c r="CI183" s="5" t="n"/>
      <c r="CJ183" s="5" t="n"/>
      <c r="CK183" s="5" t="n"/>
      <c r="CL183" s="5" t="n"/>
      <c r="CM183" s="5" t="n"/>
      <c r="CN183" s="5" t="n"/>
      <c r="CO183" s="5" t="n"/>
      <c r="CP183" s="5" t="n"/>
      <c r="CQ183" s="5" t="n"/>
      <c r="CR183" s="5" t="n"/>
      <c r="CS183" s="5" t="n"/>
      <c r="CT183" s="5" t="n"/>
      <c r="CU183" s="5" t="n"/>
      <c r="CV183" s="5" t="n"/>
      <c r="CW183" s="5" t="n"/>
      <c r="CX183" s="5" t="n"/>
      <c r="CY183" s="5" t="n"/>
      <c r="CZ183" s="5" t="n"/>
      <c r="DA183" s="5" t="n"/>
      <c r="DB183" s="5" t="n"/>
      <c r="DC183" s="5" t="n"/>
      <c r="DD183" s="5" t="n"/>
      <c r="DE183" s="5" t="n"/>
      <c r="DF183" s="5" t="n"/>
      <c r="DG183" s="5" t="n"/>
      <c r="DH183" s="5" t="n"/>
      <c r="DI183" s="5" t="n"/>
      <c r="DJ183" s="5" t="n"/>
      <c r="DK183" s="5" t="n"/>
      <c r="DL183" s="5" t="n"/>
      <c r="DM183" s="5" t="n"/>
      <c r="DN183" s="5" t="n"/>
      <c r="DO183" s="5" t="n"/>
      <c r="DP183" s="5" t="n"/>
      <c r="DQ183" s="5" t="n"/>
      <c r="DR183" s="5" t="n"/>
      <c r="DS183" s="5" t="n"/>
      <c r="DT183" s="5" t="n"/>
      <c r="DU183" s="5" t="n"/>
      <c r="DV183" s="5" t="n"/>
      <c r="DW183" s="5" t="n"/>
      <c r="DX183" s="5" t="n"/>
      <c r="DY183" s="5" t="n"/>
      <c r="DZ183" s="5" t="n"/>
      <c r="EA183" s="5" t="n"/>
      <c r="EB183" s="5" t="n"/>
      <c r="EC183" s="5" t="n"/>
      <c r="ED183" s="5" t="n"/>
      <c r="EE183" s="5" t="n"/>
      <c r="EF183" s="5" t="n"/>
      <c r="EG183" s="5" t="n"/>
      <c r="EH183" s="5" t="n"/>
      <c r="EI183" s="5" t="n"/>
      <c r="EJ183" s="5" t="n"/>
      <c r="EK183" s="5" t="n"/>
      <c r="EL183" s="5" t="n"/>
      <c r="EM183" s="5" t="n"/>
      <c r="EN183" s="5" t="n"/>
      <c r="EO183" s="5" t="n"/>
      <c r="EP183" s="5" t="n"/>
      <c r="EQ183" s="5" t="n"/>
      <c r="ER183" s="5" t="n"/>
      <c r="ES183" s="5" t="n"/>
      <c r="ET183" s="5" t="n"/>
      <c r="EU183" s="5" t="n"/>
      <c r="EV183" s="5" t="n"/>
      <c r="EW183" s="5" t="n"/>
      <c r="EX183" s="5" t="n"/>
      <c r="EY183" s="5" t="n"/>
      <c r="EZ183" s="5" t="n"/>
      <c r="FA183" s="5" t="n"/>
      <c r="FB183" s="5" t="n"/>
      <c r="FC183" s="5" t="n"/>
      <c r="FD183" s="5" t="n"/>
      <c r="FE183" s="5" t="n"/>
      <c r="FF183" s="5" t="n"/>
      <c r="FG183" s="5" t="n"/>
      <c r="FH183" s="5" t="n"/>
      <c r="FI183" s="5" t="n"/>
      <c r="FJ183" s="5" t="n"/>
      <c r="FK183" s="5" t="n"/>
      <c r="FL183" s="5" t="n"/>
      <c r="FM183" s="5" t="n"/>
      <c r="FN183" s="5" t="n"/>
      <c r="FO183" s="5" t="n"/>
    </row>
    <row r="184">
      <c r="A184" s="6" t="inlineStr">
        <is>
          <t>Subsectors</t>
        </is>
      </c>
    </row>
    <row r="185">
      <c r="A185" s="7" t="inlineStr">
        <is>
          <t>Code</t>
        </is>
      </c>
      <c r="B185" s="7" t="inlineStr">
        <is>
          <t>Name</t>
        </is>
      </c>
      <c r="C185" s="7" t="inlineStr">
        <is>
          <t>Group</t>
        </is>
      </c>
      <c r="D185" s="7" t="inlineStr">
        <is>
          <t>Elasticity sector</t>
        </is>
      </c>
      <c r="E185" s="7" t="inlineStr">
        <is>
          <t>EF sector</t>
        </is>
      </c>
      <c r="F185" s="7" t="inlineStr">
        <is>
          <t>Coal/gas price sector</t>
        </is>
      </c>
      <c r="G185" s="7" t="inlineStr">
        <is>
          <t>Feebate sector</t>
        </is>
      </c>
      <c r="H185" s="7" t="inlineStr">
        <is>
          <t>Coverage position</t>
        </is>
      </c>
      <c r="I185" s="7" t="inlineStr">
        <is>
          <t>ECP sector</t>
        </is>
      </c>
      <c r="J185" s="7" t="inlineStr">
        <is>
          <t>Balances flow 1</t>
        </is>
      </c>
      <c r="K185" s="7" t="inlineStr">
        <is>
          <t>Sign 1</t>
        </is>
      </c>
      <c r="L185" s="7" t="inlineStr">
        <is>
          <t>Balances flow 2</t>
        </is>
      </c>
      <c r="M185" s="7" t="inlineStr">
        <is>
          <t>Sign 2</t>
        </is>
      </c>
    </row>
    <row r="186">
      <c r="A186" s="3" t="inlineStr">
        <is>
          <t>rod</t>
        </is>
      </c>
      <c r="B186" s="3" t="inlineStr">
        <is>
          <t>Road</t>
        </is>
      </c>
      <c r="C186" s="3" t="inlineStr">
        <is>
          <t>tra</t>
        </is>
      </c>
      <c r="D186" s="3" t="inlineStr">
        <is>
          <t>tra</t>
        </is>
      </c>
      <c r="E186" s="3" t="inlineStr">
        <is>
          <t>rod</t>
        </is>
      </c>
      <c r="F186" s="3" t="inlineStr">
        <is>
          <t>res</t>
        </is>
      </c>
      <c r="G186" s="3" t="inlineStr">
        <is>
          <t>tra</t>
        </is>
      </c>
      <c r="H186" s="3" t="n">
        <v>2</v>
      </c>
      <c r="I186" s="3" t="inlineStr">
        <is>
          <t>trs</t>
        </is>
      </c>
      <c r="J186" s="3" t="inlineStr">
        <is>
          <t>road</t>
        </is>
      </c>
      <c r="K186" s="3" t="n">
        <v>1</v>
      </c>
      <c r="L186" s="3" t="inlineStr"/>
      <c r="M186" s="3" t="n">
        <v>0</v>
      </c>
    </row>
    <row r="187">
      <c r="A187" s="3" t="inlineStr">
        <is>
          <t>ral</t>
        </is>
      </c>
      <c r="B187" s="3" t="inlineStr">
        <is>
          <t>Rail</t>
        </is>
      </c>
      <c r="C187" s="3" t="inlineStr">
        <is>
          <t>tra</t>
        </is>
      </c>
      <c r="D187" s="3" t="inlineStr">
        <is>
          <t>tra</t>
        </is>
      </c>
      <c r="E187" s="3" t="inlineStr">
        <is>
          <t>rod</t>
        </is>
      </c>
      <c r="F187" s="3" t="inlineStr">
        <is>
          <t>ind</t>
        </is>
      </c>
      <c r="G187" s="3" t="inlineStr">
        <is>
          <t>tra</t>
        </is>
      </c>
      <c r="H187" s="3" t="n">
        <v>3</v>
      </c>
      <c r="I187" s="3" t="inlineStr">
        <is>
          <t>trs</t>
        </is>
      </c>
      <c r="J187" s="3" t="inlineStr">
        <is>
          <t>rail</t>
        </is>
      </c>
      <c r="K187" s="3" t="n">
        <v>1</v>
      </c>
      <c r="L187" s="3" t="inlineStr"/>
      <c r="M187" s="3" t="n">
        <v>0</v>
      </c>
    </row>
    <row r="188">
      <c r="A188" s="3" t="inlineStr">
        <is>
          <t>avi</t>
        </is>
      </c>
      <c r="B188" s="3" t="inlineStr">
        <is>
          <t>Domestic aviation</t>
        </is>
      </c>
      <c r="C188" s="3" t="inlineStr">
        <is>
          <t>tra</t>
        </is>
      </c>
      <c r="D188" s="3" t="inlineStr">
        <is>
          <t>tra</t>
        </is>
      </c>
      <c r="E188" s="3" t="inlineStr">
        <is>
          <t>rod</t>
        </is>
      </c>
      <c r="F188" s="3" t="inlineStr">
        <is>
          <t>ind</t>
        </is>
      </c>
      <c r="G188" s="3" t="inlineStr">
        <is>
          <t>tra</t>
        </is>
      </c>
      <c r="H188" s="3" t="n">
        <v>4</v>
      </c>
      <c r="I188" s="3" t="inlineStr">
        <is>
          <t>trs</t>
        </is>
      </c>
      <c r="J188" s="3" t="inlineStr">
        <is>
          <t>domesair</t>
        </is>
      </c>
      <c r="K188" s="3" t="n">
        <v>1</v>
      </c>
      <c r="L188" s="3" t="inlineStr"/>
      <c r="M188" s="3" t="n">
        <v>0</v>
      </c>
    </row>
    <row r="189">
      <c r="A189" s="3" t="inlineStr">
        <is>
          <t>nav</t>
        </is>
      </c>
      <c r="B189" s="3" t="inlineStr">
        <is>
          <t>Domestic navigation</t>
        </is>
      </c>
      <c r="C189" s="3" t="inlineStr">
        <is>
          <t>tra</t>
        </is>
      </c>
      <c r="D189" s="3" t="inlineStr">
        <is>
          <t>tra</t>
        </is>
      </c>
      <c r="E189" s="3" t="inlineStr">
        <is>
          <t>rod</t>
        </is>
      </c>
      <c r="F189" s="3" t="inlineStr">
        <is>
          <t>ind</t>
        </is>
      </c>
      <c r="G189" s="3" t="inlineStr">
        <is>
          <t>tra</t>
        </is>
      </c>
      <c r="H189" s="3" t="n">
        <v>5</v>
      </c>
      <c r="I189" s="3" t="inlineStr">
        <is>
          <t>trs</t>
        </is>
      </c>
      <c r="J189" s="3" t="inlineStr">
        <is>
          <t>domesnav</t>
        </is>
      </c>
      <c r="K189" s="3" t="n">
        <v>1</v>
      </c>
      <c r="L189" s="3" t="inlineStr"/>
      <c r="M189" s="3" t="n">
        <v>0</v>
      </c>
    </row>
    <row r="190">
      <c r="A190" s="3" t="inlineStr">
        <is>
          <t>res</t>
        </is>
      </c>
      <c r="B190" s="3" t="inlineStr">
        <is>
          <t>Residential</t>
        </is>
      </c>
      <c r="C190" s="3" t="inlineStr">
        <is>
          <t>bld</t>
        </is>
      </c>
      <c r="D190" s="3" t="inlineStr">
        <is>
          <t>res</t>
        </is>
      </c>
      <c r="E190" s="3" t="inlineStr">
        <is>
          <t>res</t>
        </is>
      </c>
      <c r="F190" s="3" t="inlineStr">
        <is>
          <t>res</t>
        </is>
      </c>
      <c r="G190" s="3" t="inlineStr">
        <is>
          <t>res</t>
        </is>
      </c>
      <c r="H190" s="3" t="n">
        <v>6</v>
      </c>
      <c r="I190" s="3" t="inlineStr">
        <is>
          <t>res</t>
        </is>
      </c>
      <c r="J190" s="3" t="inlineStr">
        <is>
          <t>resident</t>
        </is>
      </c>
      <c r="K190" s="3" t="n">
        <v>1</v>
      </c>
      <c r="L190" s="3" t="inlineStr"/>
      <c r="M190" s="3" t="n">
        <v>0</v>
      </c>
    </row>
    <row r="191">
      <c r="A191" s="3" t="inlineStr">
        <is>
          <t>foo</t>
        </is>
      </c>
      <c r="B191" s="3" t="inlineStr">
        <is>
          <t>Food &amp; forestry</t>
        </is>
      </c>
      <c r="C191" s="3" t="inlineStr">
        <is>
          <t>bld</t>
        </is>
      </c>
      <c r="D191" s="3" t="inlineStr">
        <is>
          <t>ind</t>
        </is>
      </c>
      <c r="E191" s="3" t="inlineStr">
        <is>
          <t>res</t>
        </is>
      </c>
      <c r="F191" s="3" t="inlineStr">
        <is>
          <t>ind</t>
        </is>
      </c>
      <c r="G191" s="3" t="inlineStr">
        <is>
          <t>res</t>
        </is>
      </c>
      <c r="H191" s="3" t="n">
        <v>7</v>
      </c>
      <c r="I191" s="3" t="inlineStr">
        <is>
          <t>res</t>
        </is>
      </c>
      <c r="J191" s="3" t="inlineStr">
        <is>
          <t>food_forest</t>
        </is>
      </c>
      <c r="K191" s="3" t="n">
        <v>1</v>
      </c>
      <c r="L191" s="3" t="inlineStr"/>
      <c r="M191" s="3" t="n">
        <v>0</v>
      </c>
    </row>
    <row r="192">
      <c r="A192" s="3" t="inlineStr">
        <is>
          <t>srv</t>
        </is>
      </c>
      <c r="B192" s="3" t="inlineStr">
        <is>
          <t>Services (public &amp; private)</t>
        </is>
      </c>
      <c r="C192" s="3" t="inlineStr">
        <is>
          <t>bld</t>
        </is>
      </c>
      <c r="D192" s="3" t="inlineStr">
        <is>
          <t>srv</t>
        </is>
      </c>
      <c r="E192" s="3" t="inlineStr">
        <is>
          <t>res</t>
        </is>
      </c>
      <c r="F192" s="3" t="inlineStr">
        <is>
          <t>ind</t>
        </is>
      </c>
      <c r="G192" s="3" t="inlineStr">
        <is>
          <t>res</t>
        </is>
      </c>
      <c r="H192" s="3" t="n">
        <v>8</v>
      </c>
      <c r="I192" s="3" t="inlineStr">
        <is>
          <t>res</t>
        </is>
      </c>
      <c r="J192" s="3" t="inlineStr">
        <is>
          <t>services</t>
        </is>
      </c>
      <c r="K192" s="3" t="n">
        <v>1</v>
      </c>
      <c r="L192" s="3" t="inlineStr"/>
      <c r="M192" s="3" t="n">
        <v>0</v>
      </c>
    </row>
    <row r="193">
      <c r="A193" s="3" t="inlineStr">
        <is>
          <t>mch</t>
        </is>
      </c>
      <c r="B193" s="3" t="inlineStr">
        <is>
          <t>Mining &amp; chemicals</t>
        </is>
      </c>
      <c r="C193" s="3" t="inlineStr">
        <is>
          <t>ind</t>
        </is>
      </c>
      <c r="D193" s="3" t="inlineStr">
        <is>
          <t>ind</t>
        </is>
      </c>
      <c r="E193" s="3" t="inlineStr">
        <is>
          <t>ind</t>
        </is>
      </c>
      <c r="F193" s="3" t="inlineStr">
        <is>
          <t>ind</t>
        </is>
      </c>
      <c r="G193" s="3" t="inlineStr">
        <is>
          <t>ind</t>
        </is>
      </c>
      <c r="H193" s="3" t="n">
        <v>9</v>
      </c>
      <c r="I193" s="3" t="inlineStr">
        <is>
          <t>ind</t>
        </is>
      </c>
      <c r="J193" s="3" t="inlineStr">
        <is>
          <t>mining_chemicals</t>
        </is>
      </c>
      <c r="K193" s="3" t="n">
        <v>1</v>
      </c>
      <c r="L193" s="3" t="inlineStr"/>
      <c r="M193" s="3" t="n">
        <v>0</v>
      </c>
    </row>
    <row r="194">
      <c r="A194" s="3" t="inlineStr">
        <is>
          <t>irn</t>
        </is>
      </c>
      <c r="B194" s="3" t="inlineStr">
        <is>
          <t>Iron &amp; steel</t>
        </is>
      </c>
      <c r="C194" s="3" t="inlineStr">
        <is>
          <t>ind</t>
        </is>
      </c>
      <c r="D194" s="3" t="inlineStr">
        <is>
          <t>ind</t>
        </is>
      </c>
      <c r="E194" s="3" t="inlineStr">
        <is>
          <t>ind</t>
        </is>
      </c>
      <c r="F194" s="3" t="inlineStr">
        <is>
          <t>ind</t>
        </is>
      </c>
      <c r="G194" s="3" t="inlineStr">
        <is>
          <t>ind</t>
        </is>
      </c>
      <c r="H194" s="3" t="n">
        <v>10</v>
      </c>
      <c r="I194" s="3" t="inlineStr">
        <is>
          <t>ind</t>
        </is>
      </c>
      <c r="J194" s="3" t="inlineStr">
        <is>
          <t>ironstl</t>
        </is>
      </c>
      <c r="K194" s="3" t="n">
        <v>1</v>
      </c>
      <c r="L194" s="3" t="inlineStr"/>
      <c r="M194" s="3" t="n">
        <v>0</v>
      </c>
    </row>
    <row r="195">
      <c r="A195" s="3" t="inlineStr">
        <is>
          <t>nfm</t>
        </is>
      </c>
      <c r="B195" s="3" t="inlineStr">
        <is>
          <t>Other metals</t>
        </is>
      </c>
      <c r="C195" s="3" t="inlineStr">
        <is>
          <t>ind</t>
        </is>
      </c>
      <c r="D195" s="3" t="inlineStr">
        <is>
          <t>ind</t>
        </is>
      </c>
      <c r="E195" s="3" t="inlineStr">
        <is>
          <t>ind</t>
        </is>
      </c>
      <c r="F195" s="3" t="inlineStr">
        <is>
          <t>ind</t>
        </is>
      </c>
      <c r="G195" s="3" t="inlineStr">
        <is>
          <t>ind</t>
        </is>
      </c>
      <c r="H195" s="3" t="n">
        <v>11</v>
      </c>
      <c r="I195" s="3" t="inlineStr">
        <is>
          <t>ind</t>
        </is>
      </c>
      <c r="J195" s="3" t="inlineStr">
        <is>
          <t>nonferrmet</t>
        </is>
      </c>
      <c r="K195" s="3" t="n">
        <v>1</v>
      </c>
      <c r="L195" s="3" t="inlineStr"/>
      <c r="M195" s="3" t="n">
        <v>0</v>
      </c>
    </row>
    <row r="196">
      <c r="A196" s="3" t="inlineStr">
        <is>
          <t>mac</t>
        </is>
      </c>
      <c r="B196" s="3" t="inlineStr">
        <is>
          <t>Machinery</t>
        </is>
      </c>
      <c r="C196" s="3" t="inlineStr">
        <is>
          <t>ind</t>
        </is>
      </c>
      <c r="D196" s="3" t="inlineStr">
        <is>
          <t>ind</t>
        </is>
      </c>
      <c r="E196" s="3" t="inlineStr">
        <is>
          <t>ind</t>
        </is>
      </c>
      <c r="F196" s="3" t="inlineStr">
        <is>
          <t>ind</t>
        </is>
      </c>
      <c r="G196" s="3" t="inlineStr">
        <is>
          <t>ind</t>
        </is>
      </c>
      <c r="H196" s="3" t="n">
        <v>12</v>
      </c>
      <c r="I196" s="3" t="inlineStr">
        <is>
          <t>ind</t>
        </is>
      </c>
      <c r="J196" s="3" t="inlineStr">
        <is>
          <t>machinery</t>
        </is>
      </c>
      <c r="K196" s="3" t="n">
        <v>1</v>
      </c>
      <c r="L196" s="3" t="inlineStr"/>
      <c r="M196" s="3" t="n">
        <v>0</v>
      </c>
    </row>
    <row r="197">
      <c r="A197" s="3" t="inlineStr">
        <is>
          <t>cem</t>
        </is>
      </c>
      <c r="B197" s="3" t="inlineStr">
        <is>
          <t>Cement</t>
        </is>
      </c>
      <c r="C197" s="3" t="inlineStr">
        <is>
          <t>ind</t>
        </is>
      </c>
      <c r="D197" s="3" t="inlineStr">
        <is>
          <t>ind</t>
        </is>
      </c>
      <c r="E197" s="3" t="inlineStr">
        <is>
          <t>ind</t>
        </is>
      </c>
      <c r="F197" s="3" t="inlineStr">
        <is>
          <t>ind</t>
        </is>
      </c>
      <c r="G197" s="3" t="inlineStr">
        <is>
          <t>ind</t>
        </is>
      </c>
      <c r="H197" s="3" t="n">
        <v>13</v>
      </c>
      <c r="I197" s="3" t="inlineStr">
        <is>
          <t>ind</t>
        </is>
      </c>
      <c r="J197" s="3" t="inlineStr">
        <is>
          <t>cement</t>
        </is>
      </c>
      <c r="K197" s="3" t="n">
        <v>1</v>
      </c>
      <c r="L197" s="3" t="inlineStr"/>
      <c r="M197" s="3" t="n">
        <v>0</v>
      </c>
    </row>
    <row r="198">
      <c r="A198" s="3" t="inlineStr">
        <is>
          <t>omn</t>
        </is>
      </c>
      <c r="B198" s="3" t="inlineStr">
        <is>
          <t>Other manufacturing</t>
        </is>
      </c>
      <c r="C198" s="3" t="inlineStr">
        <is>
          <t>ind</t>
        </is>
      </c>
      <c r="D198" s="3" t="inlineStr">
        <is>
          <t>ind</t>
        </is>
      </c>
      <c r="E198" s="3" t="inlineStr">
        <is>
          <t>ind</t>
        </is>
      </c>
      <c r="F198" s="3" t="inlineStr">
        <is>
          <t>ind</t>
        </is>
      </c>
      <c r="G198" s="3" t="inlineStr">
        <is>
          <t>ind</t>
        </is>
      </c>
      <c r="H198" s="3" t="n">
        <v>14</v>
      </c>
      <c r="I198" s="3" t="inlineStr">
        <is>
          <t>ind</t>
        </is>
      </c>
      <c r="J198" s="3" t="inlineStr">
        <is>
          <t>other_manufact</t>
        </is>
      </c>
      <c r="K198" s="3" t="n">
        <v>1</v>
      </c>
      <c r="L198" s="3" t="inlineStr"/>
      <c r="M198" s="3" t="n">
        <v>0</v>
      </c>
    </row>
    <row r="199">
      <c r="A199" s="3" t="inlineStr">
        <is>
          <t>cst</t>
        </is>
      </c>
      <c r="B199" s="3" t="inlineStr">
        <is>
          <t>Construction</t>
        </is>
      </c>
      <c r="C199" s="3" t="inlineStr">
        <is>
          <t>ind</t>
        </is>
      </c>
      <c r="D199" s="3" t="inlineStr">
        <is>
          <t>ind</t>
        </is>
      </c>
      <c r="E199" s="3" t="inlineStr">
        <is>
          <t>ind</t>
        </is>
      </c>
      <c r="F199" s="3" t="inlineStr">
        <is>
          <t>ind</t>
        </is>
      </c>
      <c r="G199" s="3" t="inlineStr">
        <is>
          <t>ind</t>
        </is>
      </c>
      <c r="H199" s="3" t="n">
        <v>15</v>
      </c>
      <c r="I199" s="3" t="inlineStr">
        <is>
          <t>ind</t>
        </is>
      </c>
      <c r="J199" s="3" t="inlineStr">
        <is>
          <t>construc</t>
        </is>
      </c>
      <c r="K199" s="3" t="n">
        <v>1</v>
      </c>
      <c r="L199" s="3" t="inlineStr"/>
      <c r="M199" s="3" t="n">
        <v>0</v>
      </c>
    </row>
    <row r="200">
      <c r="A200" s="3" t="inlineStr">
        <is>
          <t>ftr</t>
        </is>
      </c>
      <c r="B200" s="3" t="inlineStr">
        <is>
          <t>Fuel transformation</t>
        </is>
      </c>
      <c r="C200" s="3" t="inlineStr">
        <is>
          <t>ind</t>
        </is>
      </c>
      <c r="D200" s="3" t="inlineStr">
        <is>
          <t>ind</t>
        </is>
      </c>
      <c r="E200" s="3" t="inlineStr">
        <is>
          <t>ind</t>
        </is>
      </c>
      <c r="F200" s="3" t="inlineStr">
        <is>
          <t>ind</t>
        </is>
      </c>
      <c r="G200" s="3" t="inlineStr">
        <is>
          <t>ind</t>
        </is>
      </c>
      <c r="H200" s="3" t="n">
        <v>16</v>
      </c>
      <c r="I200" s="3" t="inlineStr">
        <is>
          <t>ind</t>
        </is>
      </c>
      <c r="J200" s="3" t="inlineStr">
        <is>
          <t>ownuse</t>
        </is>
      </c>
      <c r="K200" s="3" t="n">
        <v>-1</v>
      </c>
      <c r="L200" s="3" t="inlineStr">
        <is>
          <t>heat</t>
        </is>
      </c>
      <c r="M200" s="3" t="n">
        <v>-1</v>
      </c>
    </row>
    <row r="201">
      <c r="A201" s="3" t="inlineStr">
        <is>
          <t>oen</t>
        </is>
      </c>
      <c r="B201" s="3" t="inlineStr">
        <is>
          <t>Other energy use</t>
        </is>
      </c>
      <c r="C201" s="3" t="inlineStr">
        <is>
          <t>oen</t>
        </is>
      </c>
      <c r="D201" s="3" t="inlineStr">
        <is>
          <t>ind</t>
        </is>
      </c>
      <c r="E201" s="3" t="inlineStr">
        <is>
          <t>ind</t>
        </is>
      </c>
      <c r="F201" s="3" t="inlineStr">
        <is>
          <t>ind</t>
        </is>
      </c>
      <c r="G201" s="3" t="inlineStr">
        <is>
          <t>ind</t>
        </is>
      </c>
      <c r="H201" s="3" t="n">
        <v>17</v>
      </c>
      <c r="I201" s="3" t="inlineStr">
        <is>
          <t>ind</t>
        </is>
      </c>
      <c r="J201" s="3" t="inlineStr">
        <is>
          <t>ononspec</t>
        </is>
      </c>
      <c r="K201" s="3" t="n">
        <v>1</v>
      </c>
      <c r="L201" s="3" t="inlineStr"/>
      <c r="M201" s="3" t="n">
        <v>0</v>
      </c>
    </row>
    <row r="202">
      <c r="A202" s="3" t="inlineStr">
        <is>
          <t>all</t>
        </is>
      </c>
      <c r="B202" s="3" t="inlineStr">
        <is>
          <t>All sectors</t>
        </is>
      </c>
    </row>
    <row r="203">
      <c r="A203" s="3" t="inlineStr">
        <is>
          <t>pow</t>
        </is>
      </c>
      <c r="B203" s="3" t="inlineStr">
        <is>
          <t>Power</t>
        </is>
      </c>
    </row>
    <row r="204">
      <c r="A204" s="3" t="inlineStr">
        <is>
          <t>tra</t>
        </is>
      </c>
      <c r="B204" s="3" t="inlineStr">
        <is>
          <t>Transport</t>
        </is>
      </c>
    </row>
    <row r="205">
      <c r="A205" s="3" t="inlineStr">
        <is>
          <t>bld</t>
        </is>
      </c>
      <c r="B205" s="3" t="inlineStr">
        <is>
          <t>Buildings</t>
        </is>
      </c>
    </row>
    <row r="206">
      <c r="A206" s="3" t="inlineStr">
        <is>
          <t>ind</t>
        </is>
      </c>
      <c r="B206" s="3" t="inlineStr">
        <is>
          <t>Industry</t>
        </is>
      </c>
    </row>
    <row r="207">
      <c r="A207" s="3" t="inlineStr">
        <is>
          <t>int</t>
        </is>
      </c>
      <c r="B207" s="3" t="inlineStr">
        <is>
          <t>International</t>
        </is>
      </c>
    </row>
    <row r="208">
      <c r="A208" s="3" t="inlineStr">
        <is>
          <t>enr</t>
        </is>
      </c>
      <c r="B208" s="3" t="inlineStr">
        <is>
          <t>Energy</t>
        </is>
      </c>
    </row>
    <row r="209">
      <c r="A209" s="3" t="inlineStr">
        <is>
          <t>ipr</t>
        </is>
      </c>
      <c r="B209" s="3" t="inlineStr">
        <is>
          <t>Industrial processes</t>
        </is>
      </c>
    </row>
    <row r="210">
      <c r="A210" s="3" t="inlineStr">
        <is>
          <t>agr</t>
        </is>
      </c>
      <c r="B210" s="3" t="inlineStr">
        <is>
          <t>Agriculture</t>
        </is>
      </c>
    </row>
    <row r="211">
      <c r="A211" s="3" t="inlineStr">
        <is>
          <t>lucf</t>
        </is>
      </c>
      <c r="B211" s="3" t="inlineStr">
        <is>
          <t>LULUCF</t>
        </is>
      </c>
    </row>
    <row r="212">
      <c r="A212" s="3" t="inlineStr">
        <is>
          <t>wst</t>
        </is>
      </c>
      <c r="B212" s="3" t="inlineStr">
        <is>
          <t>Waste</t>
        </is>
      </c>
    </row>
    <row r="213">
      <c r="A213" s="3" t="inlineStr">
        <is>
          <t>oth</t>
        </is>
      </c>
      <c r="B213" s="3" t="inlineStr">
        <is>
          <t>Other</t>
        </is>
      </c>
    </row>
    <row r="214">
      <c r="A214" s="3" t="inlineStr">
        <is>
          <t>fod</t>
        </is>
      </c>
      <c r="B214" s="3" t="inlineStr">
        <is>
          <t>of which food</t>
        </is>
      </c>
    </row>
    <row r="215">
      <c r="A215" s="3" t="inlineStr">
        <is>
          <t>fag</t>
        </is>
      </c>
      <c r="B215" s="3" t="inlineStr">
        <is>
          <t>of which forestry and agriculture</t>
        </is>
      </c>
    </row>
    <row r="216">
      <c r="A216" s="3" t="inlineStr">
        <is>
          <t>cpp</t>
        </is>
      </c>
      <c r="B216" s="3" t="inlineStr">
        <is>
          <t>Coal power plants</t>
        </is>
      </c>
    </row>
    <row r="217">
      <c r="A217" s="3" t="inlineStr">
        <is>
          <t>gpp</t>
        </is>
      </c>
      <c r="B217" s="3" t="inlineStr">
        <is>
          <t>Gas power plants</t>
        </is>
      </c>
    </row>
    <row r="218">
      <c r="A218" s="3" t="inlineStr">
        <is>
          <t>opp</t>
        </is>
      </c>
      <c r="B218" s="3" t="inlineStr">
        <is>
          <t>Other power plants</t>
        </is>
      </c>
    </row>
    <row r="219">
      <c r="A219" s="3" t="inlineStr">
        <is>
          <t>gro</t>
        </is>
      </c>
      <c r="B219" s="3" t="inlineStr">
        <is>
          <t>Ground level other</t>
        </is>
      </c>
    </row>
    <row r="220">
      <c r="A220" s="3" t="inlineStr">
        <is>
          <t>pas</t>
        </is>
      </c>
      <c r="B220" s="3" t="inlineStr">
        <is>
          <t>Passenger and light vehicles</t>
        </is>
      </c>
    </row>
    <row r="221">
      <c r="A221" s="3" t="inlineStr">
        <is>
          <t>pau</t>
        </is>
      </c>
      <c r="B221" s="3" t="inlineStr">
        <is>
          <t>Used passenger and light vehicles</t>
        </is>
      </c>
    </row>
    <row r="222">
      <c r="A222" s="3" t="inlineStr">
        <is>
          <t>lgt</t>
        </is>
      </c>
      <c r="B222" s="3" t="inlineStr">
        <is>
          <t>Light vehicles</t>
        </is>
      </c>
    </row>
    <row r="223">
      <c r="A223" s="3" t="inlineStr">
        <is>
          <t>fre</t>
        </is>
      </c>
      <c r="B223" s="3" t="inlineStr">
        <is>
          <t>Freight vehicles</t>
        </is>
      </c>
    </row>
    <row r="224">
      <c r="A224" s="3" t="inlineStr">
        <is>
          <t>cyc</t>
        </is>
      </c>
      <c r="B224" s="3" t="inlineStr">
        <is>
          <t>2-3 wheelers</t>
        </is>
      </c>
    </row>
    <row r="225">
      <c r="A225" s="3" t="inlineStr">
        <is>
          <t>bus</t>
        </is>
      </c>
      <c r="B225" s="3" t="inlineStr">
        <is>
          <t>Buses</t>
        </is>
      </c>
    </row>
    <row r="226"/>
    <row r="227">
      <c r="A227" s="6" t="inlineStr">
        <is>
          <t>Fuels</t>
        </is>
      </c>
    </row>
    <row r="228">
      <c r="A228" s="7" t="inlineStr">
        <is>
          <t>Code</t>
        </is>
      </c>
      <c r="B228" s="7" t="inlineStr">
        <is>
          <t>Name</t>
        </is>
      </c>
      <c r="C228" s="7" t="inlineStr">
        <is>
          <t>Elasticity fuel</t>
        </is>
      </c>
      <c r="D228" s="7" t="inlineStr">
        <is>
          <t>AEEI fuel</t>
        </is>
      </c>
      <c r="E228" s="7" t="inlineStr">
        <is>
          <t>Price sector rule</t>
        </is>
      </c>
      <c r="F228" s="7" t="inlineStr">
        <is>
          <t>Price unit</t>
        </is>
      </c>
      <c r="G228" s="7" t="inlineStr">
        <is>
          <t>GJ per price unit</t>
        </is>
      </c>
      <c r="H228" s="7" t="inlineStr">
        <is>
          <t>Fuel position</t>
        </is>
      </c>
      <c r="I228" s="7" t="inlineStr">
        <is>
          <t>Price fuel (section 2)</t>
        </is>
      </c>
    </row>
    <row r="229">
      <c r="A229" s="3" t="inlineStr">
        <is>
          <t>coa</t>
        </is>
      </c>
      <c r="B229" s="3" t="inlineStr">
        <is>
          <t>Coal</t>
        </is>
      </c>
      <c r="C229" s="3" t="inlineStr">
        <is>
          <t>coa</t>
        </is>
      </c>
      <c r="D229" s="3" t="inlineStr">
        <is>
          <t>coa</t>
        </is>
      </c>
      <c r="E229" s="3" t="inlineStr">
        <is>
          <t>sub</t>
        </is>
      </c>
      <c r="F229" s="3" t="inlineStr">
        <is>
          <t>$/GJ</t>
        </is>
      </c>
      <c r="G229" s="3" t="n">
        <v>1</v>
      </c>
      <c r="H229" s="3" t="n">
        <v>1</v>
      </c>
      <c r="I229" s="3" t="inlineStr">
        <is>
          <t>coa</t>
        </is>
      </c>
    </row>
    <row r="230">
      <c r="A230" s="3" t="inlineStr">
        <is>
          <t>nga</t>
        </is>
      </c>
      <c r="B230" s="3" t="inlineStr">
        <is>
          <t>Natural gas</t>
        </is>
      </c>
      <c r="C230" s="3" t="inlineStr">
        <is>
          <t>nga</t>
        </is>
      </c>
      <c r="D230" s="3" t="inlineStr">
        <is>
          <t>nga</t>
        </is>
      </c>
      <c r="E230" s="3" t="inlineStr">
        <is>
          <t>sub</t>
        </is>
      </c>
      <c r="F230" s="3" t="inlineStr">
        <is>
          <t>$/GJ</t>
        </is>
      </c>
      <c r="G230" s="3" t="n">
        <v>1</v>
      </c>
      <c r="H230" s="3" t="n">
        <v>2</v>
      </c>
      <c r="I230" s="3" t="inlineStr">
        <is>
          <t>nga</t>
        </is>
      </c>
    </row>
    <row r="231">
      <c r="A231" s="3" t="inlineStr">
        <is>
          <t>gso</t>
        </is>
      </c>
      <c r="B231" s="3" t="inlineStr">
        <is>
          <t>Gasoline</t>
        </is>
      </c>
      <c r="C231" s="3" t="inlineStr">
        <is>
          <t>gso</t>
        </is>
      </c>
      <c r="D231" s="3" t="inlineStr">
        <is>
          <t>oil</t>
        </is>
      </c>
      <c r="E231" s="3" t="inlineStr">
        <is>
          <t>all</t>
        </is>
      </c>
      <c r="F231" s="3" t="inlineStr">
        <is>
          <t>$/liter</t>
        </is>
      </c>
      <c r="G231" s="3" t="n">
        <v>0.03496974000000001</v>
      </c>
      <c r="H231" s="3" t="n">
        <v>3</v>
      </c>
      <c r="I231" s="3" t="inlineStr">
        <is>
          <t>gso</t>
        </is>
      </c>
    </row>
    <row r="232">
      <c r="A232" s="3" t="inlineStr">
        <is>
          <t>die</t>
        </is>
      </c>
      <c r="B232" s="3" t="inlineStr">
        <is>
          <t>Diesel</t>
        </is>
      </c>
      <c r="C232" s="3" t="inlineStr">
        <is>
          <t>die</t>
        </is>
      </c>
      <c r="D232" s="3" t="inlineStr">
        <is>
          <t>oil</t>
        </is>
      </c>
      <c r="E232" s="3" t="inlineStr">
        <is>
          <t>all</t>
        </is>
      </c>
      <c r="F232" s="3" t="inlineStr">
        <is>
          <t>$/liter</t>
        </is>
      </c>
      <c r="G232" s="3" t="n">
        <v>0.03729519000000001</v>
      </c>
      <c r="H232" s="3" t="n">
        <v>4</v>
      </c>
      <c r="I232" s="3" t="inlineStr">
        <is>
          <t>die</t>
        </is>
      </c>
    </row>
    <row r="233">
      <c r="A233" s="3" t="inlineStr">
        <is>
          <t>lpg</t>
        </is>
      </c>
      <c r="B233" s="3" t="inlineStr">
        <is>
          <t>LPG</t>
        </is>
      </c>
      <c r="C233" s="3" t="inlineStr">
        <is>
          <t>oil</t>
        </is>
      </c>
      <c r="D233" s="3" t="inlineStr">
        <is>
          <t>oil</t>
        </is>
      </c>
      <c r="E233" s="3" t="inlineStr">
        <is>
          <t>all</t>
        </is>
      </c>
      <c r="F233" s="3" t="inlineStr">
        <is>
          <t>$/liter</t>
        </is>
      </c>
      <c r="G233" s="3" t="n">
        <v>0.02577968854495125</v>
      </c>
      <c r="H233" s="3" t="n">
        <v>5</v>
      </c>
      <c r="I233" s="3" t="inlineStr">
        <is>
          <t>lpg</t>
        </is>
      </c>
    </row>
    <row r="234">
      <c r="A234" s="3" t="inlineStr">
        <is>
          <t>ker</t>
        </is>
      </c>
      <c r="B234" s="3" t="inlineStr">
        <is>
          <t>Kerosene</t>
        </is>
      </c>
      <c r="C234" s="3" t="inlineStr">
        <is>
          <t>oil</t>
        </is>
      </c>
      <c r="D234" s="3" t="inlineStr">
        <is>
          <t>oil</t>
        </is>
      </c>
      <c r="E234" s="3" t="inlineStr">
        <is>
          <t>all</t>
        </is>
      </c>
      <c r="F234" s="3" t="inlineStr">
        <is>
          <t>$/liter</t>
        </is>
      </c>
      <c r="G234" s="3" t="n">
        <v>0.03774882965510715</v>
      </c>
      <c r="H234" s="3" t="n">
        <v>6</v>
      </c>
      <c r="I234" s="3" t="inlineStr">
        <is>
          <t>ker</t>
        </is>
      </c>
    </row>
    <row r="235">
      <c r="A235" s="3" t="inlineStr">
        <is>
          <t>jfu</t>
        </is>
      </c>
      <c r="B235" s="3" t="inlineStr">
        <is>
          <t>Jet fuel</t>
        </is>
      </c>
      <c r="C235" s="3" t="inlineStr">
        <is>
          <t>oil</t>
        </is>
      </c>
      <c r="D235" s="3" t="inlineStr">
        <is>
          <t>oil</t>
        </is>
      </c>
      <c r="E235" s="3" t="inlineStr">
        <is>
          <t>all</t>
        </is>
      </c>
      <c r="F235" s="3" t="inlineStr">
        <is>
          <t>$/liter</t>
        </is>
      </c>
      <c r="G235" s="3" t="n">
        <v>0.0348608</v>
      </c>
      <c r="H235" s="3" t="n">
        <v>7</v>
      </c>
      <c r="I235" s="3" t="inlineStr">
        <is>
          <t>ker</t>
        </is>
      </c>
    </row>
    <row r="236">
      <c r="A236" s="3" t="inlineStr">
        <is>
          <t>oop</t>
        </is>
      </c>
      <c r="B236" s="3" t="inlineStr">
        <is>
          <t>Other oil products</t>
        </is>
      </c>
      <c r="C236" s="3" t="inlineStr">
        <is>
          <t>oil</t>
        </is>
      </c>
      <c r="D236" s="3" t="inlineStr">
        <is>
          <t>oil</t>
        </is>
      </c>
      <c r="E236" s="3" t="inlineStr">
        <is>
          <t>all</t>
        </is>
      </c>
      <c r="F236" s="3" t="inlineStr">
        <is>
          <t>$/bbl</t>
        </is>
      </c>
      <c r="G236" s="3" t="n">
        <v>6.12</v>
      </c>
      <c r="H236" s="3" t="n">
        <v>8</v>
      </c>
      <c r="I236" s="3" t="inlineStr">
        <is>
          <t>oop</t>
        </is>
      </c>
    </row>
    <row r="237">
      <c r="A237" s="3" t="inlineStr">
        <is>
          <t>bio</t>
        </is>
      </c>
      <c r="B237" s="3" t="inlineStr">
        <is>
          <t>Biomass</t>
        </is>
      </c>
      <c r="C237" s="3" t="inlineStr">
        <is>
          <t>bio</t>
        </is>
      </c>
      <c r="D237" s="3" t="inlineStr">
        <is>
          <t>bio</t>
        </is>
      </c>
      <c r="E237" s="3" t="inlineStr">
        <is>
          <t>all</t>
        </is>
      </c>
      <c r="F237" s="3" t="inlineStr">
        <is>
          <t>$/GJ</t>
        </is>
      </c>
      <c r="G237" s="3" t="n">
        <v>1</v>
      </c>
      <c r="H237" s="3" t="n">
        <v>9</v>
      </c>
      <c r="I237" s="3" t="inlineStr">
        <is>
          <t>bio</t>
        </is>
      </c>
    </row>
    <row r="238">
      <c r="A238" s="3" t="inlineStr">
        <is>
          <t>all</t>
        </is>
      </c>
      <c r="B238" s="3" t="inlineStr">
        <is>
          <t>All fuels</t>
        </is>
      </c>
    </row>
    <row r="239">
      <c r="A239" s="3" t="inlineStr">
        <is>
          <t>ecy</t>
        </is>
      </c>
      <c r="B239" s="3" t="inlineStr">
        <is>
          <t>Electricity</t>
        </is>
      </c>
    </row>
    <row r="240">
      <c r="A240" s="3" t="inlineStr">
        <is>
          <t>oil</t>
        </is>
      </c>
      <c r="B240" s="3" t="inlineStr">
        <is>
          <t>Crude oil</t>
        </is>
      </c>
    </row>
    <row r="241">
      <c r="A241" s="3" t="inlineStr">
        <is>
          <t>one</t>
        </is>
      </c>
      <c r="B241" s="3" t="inlineStr">
        <is>
          <t>Flat (no change)</t>
        </is>
      </c>
    </row>
    <row r="242">
      <c r="A242" s="3" t="inlineStr">
        <is>
          <t>nuc</t>
        </is>
      </c>
      <c r="B242" s="3" t="inlineStr">
        <is>
          <t>Nuclear</t>
        </is>
      </c>
    </row>
    <row r="243">
      <c r="A243" s="3" t="inlineStr">
        <is>
          <t>wnd</t>
        </is>
      </c>
      <c r="B243" s="3" t="inlineStr">
        <is>
          <t>Wind</t>
        </is>
      </c>
    </row>
    <row r="244">
      <c r="A244" s="3" t="inlineStr">
        <is>
          <t>sol</t>
        </is>
      </c>
      <c r="B244" s="3" t="inlineStr">
        <is>
          <t>Solar</t>
        </is>
      </c>
    </row>
    <row r="245">
      <c r="A245" s="3" t="inlineStr">
        <is>
          <t>hyd</t>
        </is>
      </c>
      <c r="B245" s="3" t="inlineStr">
        <is>
          <t>Hydro</t>
        </is>
      </c>
    </row>
    <row r="246">
      <c r="A246" s="3" t="inlineStr">
        <is>
          <t>ore</t>
        </is>
      </c>
      <c r="B246" s="3" t="inlineStr">
        <is>
          <t>Other renewables</t>
        </is>
      </c>
    </row>
    <row r="247">
      <c r="A247" s="3" t="inlineStr">
        <is>
          <t>og</t>
        </is>
      </c>
      <c r="B247" s="3" t="inlineStr">
        <is>
          <t>Oil and gas extraction</t>
        </is>
      </c>
    </row>
    <row r="248">
      <c r="A248" s="3" t="inlineStr">
        <is>
          <t>dg</t>
        </is>
      </c>
      <c r="B248" s="3" t="inlineStr">
        <is>
          <t>Downstream gas</t>
        </is>
      </c>
    </row>
    <row r="249">
      <c r="A249" s="3" t="inlineStr">
        <is>
          <t>cm</t>
        </is>
      </c>
      <c r="B249" s="3" t="inlineStr">
        <is>
          <t>Coal mining</t>
        </is>
      </c>
    </row>
    <row r="250">
      <c r="A250" s="3" t="inlineStr">
        <is>
          <t>bm</t>
        </is>
      </c>
      <c r="B250" s="3" t="inlineStr">
        <is>
          <t>Biomass use</t>
        </is>
      </c>
    </row>
    <row r="251">
      <c r="A251" s="3" t="inlineStr">
        <is>
          <t>liv</t>
        </is>
      </c>
      <c r="B251" s="3" t="inlineStr">
        <is>
          <t>Livestock</t>
        </is>
      </c>
    </row>
    <row r="252">
      <c r="A252" s="3" t="inlineStr">
        <is>
          <t>ric</t>
        </is>
      </c>
      <c r="B252" s="3" t="inlineStr">
        <is>
          <t>Rice</t>
        </is>
      </c>
    </row>
    <row r="253">
      <c r="A253" s="3" t="inlineStr">
        <is>
          <t>wst</t>
        </is>
      </c>
      <c r="B253" s="3" t="inlineStr">
        <is>
          <t>Waste</t>
        </is>
      </c>
    </row>
    <row r="254">
      <c r="A254" s="3" t="inlineStr">
        <is>
          <t>co2</t>
        </is>
      </c>
      <c r="B254" s="3" t="inlineStr">
        <is>
          <t>CO2</t>
        </is>
      </c>
    </row>
    <row r="255">
      <c r="A255" s="3" t="inlineStr">
        <is>
          <t>ch4</t>
        </is>
      </c>
      <c r="B255" s="3" t="inlineStr">
        <is>
          <t>CH4</t>
        </is>
      </c>
    </row>
    <row r="256">
      <c r="A256" s="3" t="inlineStr">
        <is>
          <t>n2o</t>
        </is>
      </c>
      <c r="B256" s="3" t="inlineStr">
        <is>
          <t>N2O</t>
        </is>
      </c>
    </row>
    <row r="257">
      <c r="A257" s="3" t="inlineStr">
        <is>
          <t>fga</t>
        </is>
      </c>
      <c r="B257" s="3" t="inlineStr">
        <is>
          <t>F-gases</t>
        </is>
      </c>
    </row>
    <row r="258">
      <c r="A258" s="3" t="inlineStr">
        <is>
          <t>pm2</t>
        </is>
      </c>
      <c r="B258" s="3" t="inlineStr">
        <is>
          <t>PM2.5</t>
        </is>
      </c>
    </row>
    <row r="259">
      <c r="A259" s="3" t="inlineStr">
        <is>
          <t>nox</t>
        </is>
      </c>
      <c r="B259" s="3" t="inlineStr">
        <is>
          <t>NOx</t>
        </is>
      </c>
    </row>
    <row r="260">
      <c r="A260" s="3" t="inlineStr">
        <is>
          <t>so2</t>
        </is>
      </c>
      <c r="B260" s="3" t="inlineStr">
        <is>
          <t>SO2</t>
        </is>
      </c>
    </row>
    <row r="261">
      <c r="A261" s="3" t="inlineStr">
        <is>
          <t>voc</t>
        </is>
      </c>
      <c r="B261" s="3" t="inlineStr">
        <is>
          <t>VOC</t>
        </is>
      </c>
    </row>
    <row r="262">
      <c r="A262" s="3" t="inlineStr">
        <is>
          <t>bc</t>
        </is>
      </c>
      <c r="B262" s="3" t="inlineStr">
        <is>
          <t>Black carbon</t>
        </is>
      </c>
    </row>
    <row r="263">
      <c r="A263" s="3" t="inlineStr">
        <is>
          <t>oc</t>
        </is>
      </c>
      <c r="B263" s="3" t="inlineStr">
        <is>
          <t>Organic carbon</t>
        </is>
      </c>
    </row>
    <row r="264">
      <c r="A264" s="3" t="inlineStr">
        <is>
          <t>co</t>
        </is>
      </c>
      <c r="B264" s="3" t="inlineStr">
        <is>
          <t>CO</t>
        </is>
      </c>
    </row>
    <row r="265">
      <c r="A265" s="3" t="inlineStr">
        <is>
          <t>pom</t>
        </is>
      </c>
      <c r="B265" s="3" t="inlineStr">
        <is>
          <t>Primary organic matter</t>
        </is>
      </c>
    </row>
    <row r="266">
      <c r="A266" s="3" t="inlineStr">
        <is>
          <t>opm</t>
        </is>
      </c>
      <c r="B266" s="3" t="inlineStr">
        <is>
          <t>Other PM2.5</t>
        </is>
      </c>
    </row>
    <row r="267">
      <c r="A267" s="3" t="inlineStr">
        <is>
          <t>exc</t>
        </is>
      </c>
      <c r="B267" s="3" t="inlineStr">
        <is>
          <t>Revenue (energy tax increase)</t>
        </is>
      </c>
    </row>
    <row r="268">
      <c r="A268" s="3" t="inlineStr">
        <is>
          <t>pit</t>
        </is>
      </c>
      <c r="B268" s="3" t="inlineStr">
        <is>
          <t>Labour tax cuts</t>
        </is>
      </c>
    </row>
    <row r="269">
      <c r="A269" s="3" t="inlineStr">
        <is>
          <t>cit</t>
        </is>
      </c>
      <c r="B269" s="3" t="inlineStr">
        <is>
          <t>Corporate tax cuts</t>
        </is>
      </c>
    </row>
    <row r="270">
      <c r="A270" s="3" t="inlineStr">
        <is>
          <t>capt</t>
        </is>
      </c>
      <c r="B270" s="3" t="inlineStr">
        <is>
          <t>Public investment</t>
        </is>
      </c>
    </row>
    <row r="271">
      <c r="A271" s="3" t="inlineStr">
        <is>
          <t>gnfs</t>
        </is>
      </c>
      <c r="B271" s="3" t="inlineStr">
        <is>
          <t>Current spending</t>
        </is>
      </c>
    </row>
    <row r="272">
      <c r="A272" s="3" t="inlineStr">
        <is>
          <t>trns</t>
        </is>
      </c>
      <c r="B272" s="3" t="inlineStr">
        <is>
          <t>Targeted transfers</t>
        </is>
      </c>
    </row>
    <row r="273">
      <c r="A273" s="3" t="inlineStr">
        <is>
          <t>none</t>
        </is>
      </c>
      <c r="B273" s="3" t="inlineStr">
        <is>
          <t>None</t>
        </is>
      </c>
    </row>
    <row r="274">
      <c r="A274" s="3" t="inlineStr">
        <is>
          <t>l1</t>
        </is>
      </c>
      <c r="B274" s="3" t="inlineStr">
        <is>
          <t>1 years back</t>
        </is>
      </c>
    </row>
    <row r="275">
      <c r="A275" s="3" t="inlineStr">
        <is>
          <t>l2</t>
        </is>
      </c>
      <c r="B275" s="3" t="inlineStr">
        <is>
          <t>2 years back</t>
        </is>
      </c>
    </row>
    <row r="276">
      <c r="A276" s="3" t="inlineStr">
        <is>
          <t>l3</t>
        </is>
      </c>
      <c r="B276" s="3" t="inlineStr">
        <is>
          <t>3 years back</t>
        </is>
      </c>
    </row>
    <row r="277">
      <c r="A277" s="3" t="inlineStr">
        <is>
          <t>l4</t>
        </is>
      </c>
      <c r="B277" s="3" t="inlineStr">
        <is>
          <t>4 years back</t>
        </is>
      </c>
    </row>
    <row r="278">
      <c r="A278" s="3" t="inlineStr">
        <is>
          <t>l5</t>
        </is>
      </c>
      <c r="B278" s="3" t="inlineStr">
        <is>
          <t>5 years back</t>
        </is>
      </c>
    </row>
    <row r="279">
      <c r="A279" s="3" t="inlineStr">
        <is>
          <t>l6</t>
        </is>
      </c>
      <c r="B279" s="3" t="inlineStr">
        <is>
          <t>6 years back</t>
        </is>
      </c>
    </row>
    <row r="280">
      <c r="A280" s="3" t="inlineStr">
        <is>
          <t>l7</t>
        </is>
      </c>
      <c r="B280" s="3" t="inlineStr">
        <is>
          <t>7 years back</t>
        </is>
      </c>
    </row>
    <row r="281">
      <c r="A281" s="3" t="inlineStr">
        <is>
          <t>l8</t>
        </is>
      </c>
      <c r="B281" s="3" t="inlineStr">
        <is>
          <t>8 years back</t>
        </is>
      </c>
    </row>
    <row r="282">
      <c r="A282" s="3" t="inlineStr">
        <is>
          <t>l9</t>
        </is>
      </c>
      <c r="B282" s="3" t="inlineStr">
        <is>
          <t>9 years back</t>
        </is>
      </c>
    </row>
    <row r="283">
      <c r="A283" s="3" t="inlineStr">
        <is>
          <t>l10</t>
        </is>
      </c>
      <c r="B283" s="3" t="inlineStr">
        <is>
          <t>10 years back</t>
        </is>
      </c>
    </row>
    <row r="284">
      <c r="A284" s="3" t="inlineStr">
        <is>
          <t>l11</t>
        </is>
      </c>
      <c r="B284" s="3" t="inlineStr">
        <is>
          <t>11 years back</t>
        </is>
      </c>
    </row>
    <row r="285">
      <c r="A285" s="3" t="inlineStr">
        <is>
          <t>l12</t>
        </is>
      </c>
      <c r="B285" s="3" t="inlineStr">
        <is>
          <t>12 years back</t>
        </is>
      </c>
    </row>
    <row r="286">
      <c r="A286" s="3" t="inlineStr">
        <is>
          <t>l13</t>
        </is>
      </c>
      <c r="B286" s="3" t="inlineStr">
        <is>
          <t>13 years back</t>
        </is>
      </c>
    </row>
    <row r="287">
      <c r="A287" s="3" t="inlineStr">
        <is>
          <t>l14</t>
        </is>
      </c>
      <c r="B287" s="3" t="inlineStr">
        <is>
          <t>14 years back</t>
        </is>
      </c>
    </row>
    <row r="288">
      <c r="A288" s="3" t="inlineStr">
        <is>
          <t>l15</t>
        </is>
      </c>
      <c r="B288" s="3" t="inlineStr">
        <is>
          <t>15 years back</t>
        </is>
      </c>
    </row>
    <row r="289">
      <c r="A289" s="3" t="inlineStr">
        <is>
          <t>l16</t>
        </is>
      </c>
      <c r="B289" s="3" t="inlineStr">
        <is>
          <t>16 years back</t>
        </is>
      </c>
    </row>
    <row r="290">
      <c r="A290" s="3" t="inlineStr">
        <is>
          <t>l17</t>
        </is>
      </c>
      <c r="B290" s="3" t="inlineStr">
        <is>
          <t>17 years back</t>
        </is>
      </c>
    </row>
    <row r="291">
      <c r="A291" s="3" t="inlineStr">
        <is>
          <t>l18</t>
        </is>
      </c>
      <c r="B291" s="3" t="inlineStr">
        <is>
          <t>18 years back</t>
        </is>
      </c>
    </row>
    <row r="292">
      <c r="A292" s="3" t="inlineStr">
        <is>
          <t>l19</t>
        </is>
      </c>
      <c r="B292" s="3" t="inlineStr">
        <is>
          <t>19 years back</t>
        </is>
      </c>
    </row>
    <row r="293">
      <c r="A293" s="3" t="inlineStr">
        <is>
          <t>phv</t>
        </is>
      </c>
      <c r="B293" s="3" t="inlineStr">
        <is>
          <t>Plug-in hybrid</t>
        </is>
      </c>
    </row>
    <row r="294">
      <c r="A294" s="3" t="inlineStr">
        <is>
          <t>bev</t>
        </is>
      </c>
      <c r="B294" s="3" t="inlineStr">
        <is>
          <t>Battery electric</t>
        </is>
      </c>
    </row>
    <row r="295">
      <c r="A295" s="3" t="inlineStr">
        <is>
          <t>ev</t>
        </is>
      </c>
      <c r="B295" s="3" t="inlineStr">
        <is>
          <t>Electric (BEV and PHEV)</t>
        </is>
      </c>
    </row>
    <row r="296">
      <c r="A296" s="3" t="inlineStr">
        <is>
          <t>ice</t>
        </is>
      </c>
      <c r="B296" s="3" t="inlineStr">
        <is>
          <t>Internal combustion</t>
        </is>
      </c>
    </row>
    <row r="297"/>
    <row r="298">
      <c r="A298" s="6" t="inlineStr">
        <is>
          <t>Price fuels (fuel price reform, MTInputs rows 142-169)</t>
        </is>
      </c>
    </row>
    <row r="299">
      <c r="A299" s="7" t="inlineStr">
        <is>
          <t>Price code</t>
        </is>
      </c>
      <c r="B299" s="7" t="inlineStr">
        <is>
          <t>Label</t>
        </is>
      </c>
      <c r="C299" s="7" t="inlineStr">
        <is>
          <t>MTInputs row: starting increase</t>
        </is>
      </c>
      <c r="D299" s="7" t="inlineStr">
        <is>
          <t>MTInputs row: final increase</t>
        </is>
      </c>
      <c r="E299" s="7" t="inlineStr">
        <is>
          <t>Position</t>
        </is>
      </c>
    </row>
    <row r="300">
      <c r="A300" s="3" t="inlineStr">
        <is>
          <t>coa.pow</t>
        </is>
      </c>
      <c r="B300" s="3" t="inlineStr">
        <is>
          <t>Coal, Power</t>
        </is>
      </c>
      <c r="C300" s="3" t="n">
        <v>142</v>
      </c>
      <c r="D300" s="3" t="n">
        <v>156</v>
      </c>
      <c r="E300" s="3" t="n">
        <v>1</v>
      </c>
    </row>
    <row r="301">
      <c r="A301" s="3" t="inlineStr">
        <is>
          <t>coa.res</t>
        </is>
      </c>
      <c r="B301" s="3" t="inlineStr">
        <is>
          <t>Coal, Residential</t>
        </is>
      </c>
      <c r="C301" s="3" t="n">
        <v>143</v>
      </c>
      <c r="D301" s="3" t="n">
        <v>157</v>
      </c>
      <c r="E301" s="3" t="n">
        <v>2</v>
      </c>
    </row>
    <row r="302">
      <c r="A302" s="3" t="inlineStr">
        <is>
          <t>coa.ind</t>
        </is>
      </c>
      <c r="B302" s="3" t="inlineStr">
        <is>
          <t>Coal, Industry</t>
        </is>
      </c>
      <c r="C302" s="3" t="n">
        <v>144</v>
      </c>
      <c r="D302" s="3" t="n">
        <v>158</v>
      </c>
      <c r="E302" s="3" t="n">
        <v>3</v>
      </c>
    </row>
    <row r="303">
      <c r="A303" s="3" t="inlineStr">
        <is>
          <t>nga.pow</t>
        </is>
      </c>
      <c r="B303" s="3" t="inlineStr">
        <is>
          <t>Natural gas, Power</t>
        </is>
      </c>
      <c r="C303" s="3" t="n">
        <v>145</v>
      </c>
      <c r="D303" s="3" t="n">
        <v>159</v>
      </c>
      <c r="E303" s="3" t="n">
        <v>4</v>
      </c>
    </row>
    <row r="304">
      <c r="A304" s="3" t="inlineStr">
        <is>
          <t>nga.res</t>
        </is>
      </c>
      <c r="B304" s="3" t="inlineStr">
        <is>
          <t>Natural gas, Residential</t>
        </is>
      </c>
      <c r="C304" s="3" t="n">
        <v>146</v>
      </c>
      <c r="D304" s="3" t="n">
        <v>160</v>
      </c>
      <c r="E304" s="3" t="n">
        <v>5</v>
      </c>
    </row>
    <row r="305">
      <c r="A305" s="3" t="inlineStr">
        <is>
          <t>nga.ind</t>
        </is>
      </c>
      <c r="B305" s="3" t="inlineStr">
        <is>
          <t>Natural gas, Industry</t>
        </is>
      </c>
      <c r="C305" s="3" t="n">
        <v>147</v>
      </c>
      <c r="D305" s="3" t="n">
        <v>161</v>
      </c>
      <c r="E305" s="3" t="n">
        <v>6</v>
      </c>
    </row>
    <row r="306">
      <c r="A306" s="3" t="inlineStr">
        <is>
          <t>ecy.res</t>
        </is>
      </c>
      <c r="B306" s="3" t="inlineStr">
        <is>
          <t>Electricity, Residential</t>
        </is>
      </c>
      <c r="C306" s="3" t="n">
        <v>148</v>
      </c>
      <c r="D306" s="3" t="n">
        <v>162</v>
      </c>
      <c r="E306" s="3" t="n">
        <v>7</v>
      </c>
    </row>
    <row r="307">
      <c r="A307" s="3" t="inlineStr">
        <is>
          <t>ecy.ind</t>
        </is>
      </c>
      <c r="B307" s="3" t="inlineStr">
        <is>
          <t>Electricity, Industry</t>
        </is>
      </c>
      <c r="C307" s="3" t="n">
        <v>149</v>
      </c>
      <c r="D307" s="3" t="n">
        <v>163</v>
      </c>
      <c r="E307" s="3" t="n">
        <v>8</v>
      </c>
    </row>
    <row r="308">
      <c r="A308" s="3" t="inlineStr">
        <is>
          <t>gso.all</t>
        </is>
      </c>
      <c r="B308" s="3" t="inlineStr">
        <is>
          <t>Gasoline, All</t>
        </is>
      </c>
      <c r="C308" s="3" t="n">
        <v>150</v>
      </c>
      <c r="D308" s="3" t="n">
        <v>164</v>
      </c>
      <c r="E308" s="3" t="n">
        <v>9</v>
      </c>
    </row>
    <row r="309">
      <c r="A309" s="3" t="inlineStr">
        <is>
          <t>die.all</t>
        </is>
      </c>
      <c r="B309" s="3" t="inlineStr">
        <is>
          <t>Diesel, All</t>
        </is>
      </c>
      <c r="C309" s="3" t="n">
        <v>151</v>
      </c>
      <c r="D309" s="3" t="n">
        <v>165</v>
      </c>
      <c r="E309" s="3" t="n">
        <v>10</v>
      </c>
    </row>
    <row r="310">
      <c r="A310" s="3" t="inlineStr">
        <is>
          <t>lpg.all</t>
        </is>
      </c>
      <c r="B310" s="3" t="inlineStr">
        <is>
          <t>LPG, All</t>
        </is>
      </c>
      <c r="C310" s="3" t="n">
        <v>152</v>
      </c>
      <c r="D310" s="3" t="n">
        <v>166</v>
      </c>
      <c r="E310" s="3" t="n">
        <v>11</v>
      </c>
    </row>
    <row r="311">
      <c r="A311" s="3" t="inlineStr">
        <is>
          <t>ker.all</t>
        </is>
      </c>
      <c r="B311" s="3" t="inlineStr">
        <is>
          <t>Kerosene, All</t>
        </is>
      </c>
      <c r="C311" s="3" t="n">
        <v>153</v>
      </c>
      <c r="D311" s="3" t="n">
        <v>167</v>
      </c>
      <c r="E311" s="3" t="n">
        <v>12</v>
      </c>
    </row>
    <row r="312">
      <c r="A312" s="3" t="inlineStr">
        <is>
          <t>oop.all</t>
        </is>
      </c>
      <c r="B312" s="3" t="inlineStr">
        <is>
          <t>Other oil products, All</t>
        </is>
      </c>
      <c r="C312" s="3" t="n">
        <v>154</v>
      </c>
      <c r="D312" s="3" t="n">
        <v>168</v>
      </c>
      <c r="E312" s="3" t="n">
        <v>13</v>
      </c>
    </row>
    <row r="313">
      <c r="A313" s="3" t="inlineStr">
        <is>
          <t>bio.all</t>
        </is>
      </c>
      <c r="B313" s="3" t="inlineStr">
        <is>
          <t>Biomass, All</t>
        </is>
      </c>
      <c r="C313" s="3" t="n">
        <v>155</v>
      </c>
      <c r="D313" s="3" t="n">
        <v>169</v>
      </c>
      <c r="E313" s="3" t="n">
        <v>14</v>
      </c>
    </row>
    <row r="314"/>
    <row r="315">
      <c r="A315" s="6" t="inlineStr">
        <is>
          <t>Feebate sectors (MTInputs rows 56-64)</t>
        </is>
      </c>
    </row>
    <row r="316">
      <c r="A316" s="7" t="inlineStr">
        <is>
          <t>Code</t>
        </is>
      </c>
      <c r="B316" s="7" t="inlineStr">
        <is>
          <t>Starting rate (NameOfParameter)</t>
        </is>
      </c>
      <c r="C316" s="7" t="inlineStr">
        <is>
          <t>Target rate (NameOfParameter)</t>
        </is>
      </c>
      <c r="D316" s="7" t="inlineStr">
        <is>
          <t>Position</t>
        </is>
      </c>
    </row>
    <row r="317">
      <c r="A317" s="3" t="inlineStr">
        <is>
          <t>pow</t>
        </is>
      </c>
      <c r="B317" s="3" t="inlineStr">
        <is>
          <t>Feb_Level_Start_Pow</t>
        </is>
      </c>
      <c r="C317" s="3" t="inlineStr">
        <is>
          <t>Feb_Level_Target_Pow</t>
        </is>
      </c>
      <c r="D317" s="3" t="n">
        <v>1</v>
      </c>
    </row>
    <row r="318">
      <c r="A318" s="3" t="inlineStr">
        <is>
          <t>tra</t>
        </is>
      </c>
      <c r="B318" s="3" t="inlineStr">
        <is>
          <t>Feb_Level_Start_Trans</t>
        </is>
      </c>
      <c r="C318" s="3" t="inlineStr">
        <is>
          <t>Feb_Level_Target_Trans</t>
        </is>
      </c>
      <c r="D318" s="3" t="n">
        <v>2</v>
      </c>
    </row>
    <row r="319">
      <c r="A319" s="3" t="inlineStr">
        <is>
          <t>res</t>
        </is>
      </c>
      <c r="B319" s="3" t="inlineStr">
        <is>
          <t>Feb_Level_Start_Res</t>
        </is>
      </c>
      <c r="C319" s="3" t="inlineStr">
        <is>
          <t>Feb_Level_Target_Res</t>
        </is>
      </c>
      <c r="D319" s="3" t="n">
        <v>3</v>
      </c>
    </row>
    <row r="320">
      <c r="A320" s="3" t="inlineStr">
        <is>
          <t>ind</t>
        </is>
      </c>
      <c r="B320" s="3" t="inlineStr">
        <is>
          <t>Feb_Level_Start_Ind</t>
        </is>
      </c>
      <c r="C320" s="3" t="inlineStr">
        <is>
          <t>Feb_Level_Target_Ind</t>
        </is>
      </c>
      <c r="D320" s="3" t="n">
        <v>4</v>
      </c>
    </row>
    <row r="321"/>
    <row r="322"/>
    <row r="323">
      <c r="A323" s="3" t="inlineStr">
        <is>
          <t>Price sector rule: 'sub' = the subsector's coal/gas price sector (rod and res use residential coal/gas prices, as CPAT); 'all' = the fuel's single price.</t>
        </is>
      </c>
    </row>
    <row r="324">
      <c r="A324" s="3" t="inlineStr">
        <is>
          <t>GJ per price unit: legacy Mitigation rows 980-1009 (conversion factor, volume unit to GJ).</t>
        </is>
      </c>
    </row>
    <row r="325">
      <c r="A325" s="3" t="inlineStr">
        <is>
          <t>Coverage position: order of the MTInputs sector switches (power first, then the 16 subsectors).</t>
        </is>
      </c>
    </row>
    <row r="326">
      <c r="A326" s="3" t="inlineStr">
        <is>
          <t>ECP sector: sector of the legacy existing carbon pricing data (sheet ECP: pow, trs, res, ind); buildings (residential, food &amp; forestry, services) = res, industry and other energy use = ind.</t>
        </is>
      </c>
    </row>
    <row r="327">
      <c r="A327" s="3" t="inlineStr">
        <is>
          <t>Feebate sector for food &amp; forestry and services = residential (assumption; legacy groups them as Commercial).</t>
        </is>
      </c>
    </row>
    <row r="328">
      <c r="A328" s="3" t="inlineStr">
        <is>
          <t>Rows 21-44 and 57-115: labels only (totals, policy rows).</t>
        </is>
      </c>
    </row>
    <row r="329"/>
    <row r="330"/>
    <row r="331">
      <c r="A331" s="6" t="inlineStr">
        <is>
          <t>MTInputs rows read by Mitigation (Mitigation column D looks the row up here by key; the row is found by NameOfParameter, or by its label below a heading)</t>
        </is>
      </c>
    </row>
    <row r="332">
      <c r="A332" s="7" t="inlineStr">
        <is>
          <t>Key (variable|fuel|sector)</t>
        </is>
      </c>
      <c r="B332" s="7" t="inlineStr">
        <is>
          <t>NameOfParameter (MTInputs H)</t>
        </is>
      </c>
      <c r="C332" s="7" t="inlineStr">
        <is>
          <t>Heading above (MTInputs B)</t>
        </is>
      </c>
      <c r="D332" s="7" t="inlineStr">
        <is>
          <t>Label (MTInputs B)</t>
        </is>
      </c>
      <c r="E332" s="7" t="inlineStr">
        <is>
          <t>Heading row</t>
        </is>
      </c>
      <c r="F332" s="7" t="inlineStr">
        <is>
          <t>MTInputs row</t>
        </is>
      </c>
      <c r="G332" s="7" t="inlineStr">
        <is>
          <t>Label found (check)</t>
        </is>
      </c>
    </row>
    <row r="333">
      <c r="A333" s="3" t="inlineStr">
        <is>
          <t>CPIntro||</t>
        </is>
      </c>
      <c r="B333" s="3" t="inlineStr">
        <is>
          <t>CPIntro</t>
        </is>
      </c>
      <c r="C333" s="3" t="n"/>
      <c r="D333" s="3" t="n"/>
      <c r="E333" s="39">
        <f>IF($C333="",0,MATCH($C333,MTDesc,0))</f>
        <v>0.0</v>
      </c>
      <c r="F333" s="39">
        <f>IF($B333&lt;&gt;"",MATCH($B333,MTName,0),$E333+MATCH($D333,INDEX(MTDesc,$E333+1):MTEnd,0))</f>
        <v>18.0</v>
      </c>
      <c r="G333" s="3" t="str">
        <f>INDEX(MTDesc,$F333)</f>
        <v>Carbon pricing start year</v>
      </c>
    </row>
    <row r="334">
      <c r="A334" s="3" t="inlineStr">
        <is>
          <t>CPLevelStart||</t>
        </is>
      </c>
      <c r="B334" s="3" t="inlineStr">
        <is>
          <t>CPLevelStart</t>
        </is>
      </c>
      <c r="C334" s="3" t="n"/>
      <c r="D334" s="3" t="n"/>
      <c r="E334" s="39">
        <f>IF($C334="",0,MATCH($C334,MTDesc,0))</f>
        <v>0.0</v>
      </c>
      <c r="F334" s="39">
        <f>IF($B334&lt;&gt;"",MATCH($B334,MTName,0),$E334+MATCH($D334,INDEX(MTDesc,$E334+1):MTEnd,0))</f>
        <v>19.0</v>
      </c>
      <c r="G334" s="3" t="str">
        <f>INDEX(MTDesc,$F334)</f>
        <v>Starting carbon price</v>
      </c>
    </row>
    <row r="335">
      <c r="A335" s="3" t="inlineStr">
        <is>
          <t>CPLevelTarget||</t>
        </is>
      </c>
      <c r="B335" s="3" t="inlineStr">
        <is>
          <t>CPLevelTarget</t>
        </is>
      </c>
      <c r="C335" s="3" t="n"/>
      <c r="D335" s="3" t="n"/>
      <c r="E335" s="39">
        <f>IF($C335="",0,MATCH($C335,MTDesc,0))</f>
        <v>0.0</v>
      </c>
      <c r="F335" s="39">
        <f>IF($B335&lt;&gt;"",MATCH($B335,MTName,0),$E335+MATCH($D335,INDEX(MTDesc,$E335+1):MTEnd,0))</f>
        <v>20.0</v>
      </c>
      <c r="G335" s="3" t="str">
        <f>INDEX(MTDesc,$F335)</f>
        <v>Target level of carbon price</v>
      </c>
    </row>
    <row r="336">
      <c r="A336" s="3" t="inlineStr">
        <is>
          <t>CPOutro||</t>
        </is>
      </c>
      <c r="B336" s="3" t="inlineStr">
        <is>
          <t>CPOutro</t>
        </is>
      </c>
      <c r="C336" s="3" t="n"/>
      <c r="D336" s="3" t="n"/>
      <c r="E336" s="39">
        <f>IF($C336="",0,MATCH($C336,MTDesc,0))</f>
        <v>0.0</v>
      </c>
      <c r="F336" s="39">
        <f>IF($B336&lt;&gt;"",MATCH($B336,MTName,0),$E336+MATCH($D336,INDEX(MTDesc,$E336+1):MTEnd,0))</f>
        <v>21.0</v>
      </c>
      <c r="G336" s="3" t="str">
        <f>INDEX(MTDesc,$F336)</f>
        <v>Year to reach target level</v>
      </c>
    </row>
    <row r="337">
      <c r="A337" s="3" t="inlineStr">
        <is>
          <t>ExtendCarbonPriceBeyondOutro||</t>
        </is>
      </c>
      <c r="B337" s="3" t="inlineStr">
        <is>
          <t>ExtendCarbonPriceBeyondOutro</t>
        </is>
      </c>
      <c r="C337" s="3" t="n"/>
      <c r="D337" s="3" t="n"/>
      <c r="E337" s="39">
        <f>IF($C337="",0,MATCH($C337,MTDesc,0))</f>
        <v>0.0</v>
      </c>
      <c r="F337" s="39">
        <f>IF($B337&lt;&gt;"",MATCH($B337,MTName,0),$E337+MATCH($D337,INDEX(MTDesc,$E337+1):MTEnd,0))</f>
        <v>265.0</v>
      </c>
      <c r="G337" s="3" t="str">
        <f>INDEX(MTDesc,$F337)</f>
        <v>Price pathway continues to rise after target year?</v>
      </c>
    </row>
    <row r="338">
      <c r="A338" s="3" t="inlineStr">
        <is>
          <t>NomorReal||</t>
        </is>
      </c>
      <c r="B338" s="3" t="inlineStr">
        <is>
          <t>NomorReal</t>
        </is>
      </c>
      <c r="C338" s="3" t="n"/>
      <c r="D338" s="3" t="n"/>
      <c r="E338" s="39">
        <f>IF($C338="",0,MATCH($C338,MTDesc,0))</f>
        <v>0.0</v>
      </c>
      <c r="F338" s="39">
        <f>IF($B338&lt;&gt;"",MATCH($B338,MTName,0),$E338+MATCH($D338,INDEX(MTDesc,$E338+1):MTEnd,0))</f>
        <v>266.0</v>
      </c>
      <c r="G338" s="3" t="str">
        <f>INDEX(MTDesc,$F338)</f>
        <v>Tax pathway is in nominal or real terms?</v>
      </c>
    </row>
    <row r="339">
      <c r="A339" s="3" t="inlineStr">
        <is>
          <t>ExemptPhaseout||</t>
        </is>
      </c>
      <c r="B339" s="3" t="inlineStr">
        <is>
          <t>ExemptPhaseout</t>
        </is>
      </c>
      <c r="C339" s="3" t="n"/>
      <c r="D339" s="3" t="n"/>
      <c r="E339" s="39">
        <f>IF($C339="",0,MATCH($C339,MTDesc,0))</f>
        <v>0.0</v>
      </c>
      <c r="F339" s="39">
        <f>IF($B339&lt;&gt;"",MATCH($B339,MTName,0),$E339+MATCH($D339,INDEX(MTDesc,$E339+1):MTEnd,0))</f>
        <v>49.0</v>
      </c>
      <c r="G339" s="3" t="str">
        <f>INDEX(MTDesc,$F339)</f>
        <v>Apply exemption phaseout?</v>
      </c>
    </row>
    <row r="340">
      <c r="A340" s="3" t="inlineStr">
        <is>
          <t>YearPha||</t>
        </is>
      </c>
      <c r="B340" s="3" t="inlineStr">
        <is>
          <t>YearPha</t>
        </is>
      </c>
      <c r="C340" s="3" t="n"/>
      <c r="D340" s="3" t="n"/>
      <c r="E340" s="39">
        <f>IF($C340="",0,MATCH($C340,MTDesc,0))</f>
        <v>0.0</v>
      </c>
      <c r="F340" s="39">
        <f>IF($B340&lt;&gt;"",MATCH($B340,MTName,0),$E340+MATCH($D340,INDEX(MTDesc,$E340+1):MTEnd,0))</f>
        <v>50.0</v>
      </c>
      <c r="G340" s="3" t="str">
        <f>INDEX(MTDesc,$F340)</f>
        <v>Year to start exemption phaseout (if applicable)</v>
      </c>
    </row>
    <row r="341">
      <c r="A341" s="3" t="inlineStr">
        <is>
          <t>ExemptPhaseoutPeriod||</t>
        </is>
      </c>
      <c r="B341" s="3" t="inlineStr">
        <is>
          <t>ExemptPhaseoutPeriod</t>
        </is>
      </c>
      <c r="C341" s="3" t="n"/>
      <c r="D341" s="3" t="n"/>
      <c r="E341" s="39">
        <f>IF($C341="",0,MATCH($C341,MTDesc,0))</f>
        <v>0.0</v>
      </c>
      <c r="F341" s="39">
        <f>IF($B341&lt;&gt;"",MATCH($B341,MTName,0),$E341+MATCH($D341,INDEX(MTDesc,$E341+1):MTEnd,0))</f>
        <v>51.0</v>
      </c>
      <c r="G341" s="3" t="str">
        <f>INDEX(MTDesc,$F341)</f>
        <v>Period to reach full exemption phaseout (if applicable)</v>
      </c>
    </row>
    <row r="342">
      <c r="A342" s="3" t="inlineStr">
        <is>
          <t>ctcov|coa|all</t>
        </is>
      </c>
      <c r="B342" s="3" t="inlineStr">
        <is>
          <t>MCovCoa</t>
        </is>
      </c>
      <c r="C342" s="3" t="n"/>
      <c r="D342" s="3" t="n"/>
      <c r="E342" s="39">
        <f>IF($C342="",0,MATCH($C342,MTDesc,0))</f>
        <v>0.0</v>
      </c>
      <c r="F342" s="39">
        <f>IF($B342&lt;&gt;"",MATCH($B342,MTName,0),$E342+MATCH($D342,INDEX(MTDesc,$E342+1):MTEnd,0))</f>
        <v>23.0</v>
      </c>
      <c r="G342" s="3" t="str">
        <f>INDEX(MTDesc,$F342)</f>
        <v>Apply tax to coal?</v>
      </c>
    </row>
    <row r="343">
      <c r="A343" s="3" t="inlineStr">
        <is>
          <t>ctcov|nga|all</t>
        </is>
      </c>
      <c r="B343" s="3" t="inlineStr">
        <is>
          <t>MCovNga</t>
        </is>
      </c>
      <c r="C343" s="3" t="n"/>
      <c r="D343" s="3" t="n"/>
      <c r="E343" s="39">
        <f>IF($C343="",0,MATCH($C343,MTDesc,0))</f>
        <v>0.0</v>
      </c>
      <c r="F343" s="39">
        <f>IF($B343&lt;&gt;"",MATCH($B343,MTName,0),$E343+MATCH($D343,INDEX(MTDesc,$E343+1):MTEnd,0))</f>
        <v>24.0</v>
      </c>
      <c r="G343" s="3" t="str">
        <f>INDEX(MTDesc,$F343)</f>
        <v>Apply tax to natural gas?</v>
      </c>
    </row>
    <row r="344">
      <c r="A344" s="3" t="inlineStr">
        <is>
          <t>ctcov|gso|all</t>
        </is>
      </c>
      <c r="B344" s="3" t="inlineStr">
        <is>
          <t>MCovGso</t>
        </is>
      </c>
      <c r="C344" s="3" t="n"/>
      <c r="D344" s="3" t="n"/>
      <c r="E344" s="39">
        <f>IF($C344="",0,MATCH($C344,MTDesc,0))</f>
        <v>0.0</v>
      </c>
      <c r="F344" s="39">
        <f>IF($B344&lt;&gt;"",MATCH($B344,MTName,0),$E344+MATCH($D344,INDEX(MTDesc,$E344+1):MTEnd,0))</f>
        <v>25.0</v>
      </c>
      <c r="G344" s="3" t="str">
        <f>INDEX(MTDesc,$F344)</f>
        <v>Apply tax to gasoline?</v>
      </c>
    </row>
    <row r="345">
      <c r="A345" s="3" t="inlineStr">
        <is>
          <t>ctcov|die|all</t>
        </is>
      </c>
      <c r="B345" s="3" t="inlineStr">
        <is>
          <t>MCovDie</t>
        </is>
      </c>
      <c r="C345" s="3" t="n"/>
      <c r="D345" s="3" t="n"/>
      <c r="E345" s="39">
        <f>IF($C345="",0,MATCH($C345,MTDesc,0))</f>
        <v>0.0</v>
      </c>
      <c r="F345" s="39">
        <f>IF($B345&lt;&gt;"",MATCH($B345,MTName,0),$E345+MATCH($D345,INDEX(MTDesc,$E345+1):MTEnd,0))</f>
        <v>26.0</v>
      </c>
      <c r="G345" s="3" t="str">
        <f>INDEX(MTDesc,$F345)</f>
        <v>Apply tax to diesel?</v>
      </c>
    </row>
    <row r="346">
      <c r="A346" s="3" t="inlineStr">
        <is>
          <t>ctcov|lpg|all</t>
        </is>
      </c>
      <c r="B346" s="3" t="inlineStr">
        <is>
          <t>MCovLpg</t>
        </is>
      </c>
      <c r="C346" s="3" t="n"/>
      <c r="D346" s="3" t="n"/>
      <c r="E346" s="39">
        <f>IF($C346="",0,MATCH($C346,MTDesc,0))</f>
        <v>0.0</v>
      </c>
      <c r="F346" s="39">
        <f>IF($B346&lt;&gt;"",MATCH($B346,MTName,0),$E346+MATCH($D346,INDEX(MTDesc,$E346+1):MTEnd,0))</f>
        <v>27.0</v>
      </c>
      <c r="G346" s="3" t="str">
        <f>INDEX(MTDesc,$F346)</f>
        <v>Apply tax to LPG?</v>
      </c>
    </row>
    <row r="347">
      <c r="A347" s="3" t="inlineStr">
        <is>
          <t>ctcov|ker|all</t>
        </is>
      </c>
      <c r="B347" s="3" t="inlineStr">
        <is>
          <t>MCovKer</t>
        </is>
      </c>
      <c r="C347" s="3" t="n"/>
      <c r="D347" s="3" t="n"/>
      <c r="E347" s="39">
        <f>IF($C347="",0,MATCH($C347,MTDesc,0))</f>
        <v>0.0</v>
      </c>
      <c r="F347" s="39">
        <f>IF($B347&lt;&gt;"",MATCH($B347,MTName,0),$E347+MATCH($D347,INDEX(MTDesc,$E347+1):MTEnd,0))</f>
        <v>28.0</v>
      </c>
      <c r="G347" s="3" t="str">
        <f>INDEX(MTDesc,$F347)</f>
        <v>Apply tax to kerosene?</v>
      </c>
    </row>
    <row r="348">
      <c r="A348" s="3" t="inlineStr">
        <is>
          <t>ctcov|jfu|all</t>
        </is>
      </c>
      <c r="B348" s="3" t="inlineStr">
        <is>
          <t>MCovKer</t>
        </is>
      </c>
      <c r="C348" s="3" t="n"/>
      <c r="D348" s="3" t="n"/>
      <c r="E348" s="39">
        <f>IF($C348="",0,MATCH($C348,MTDesc,0))</f>
        <v>0.0</v>
      </c>
      <c r="F348" s="39">
        <f>IF($B348&lt;&gt;"",MATCH($B348,MTName,0),$E348+MATCH($D348,INDEX(MTDesc,$E348+1):MTEnd,0))</f>
        <v>28.0</v>
      </c>
      <c r="G348" s="3" t="str">
        <f>INDEX(MTDesc,$F348)</f>
        <v>Apply tax to kerosene?</v>
      </c>
    </row>
    <row r="349">
      <c r="A349" s="3" t="inlineStr">
        <is>
          <t>ctcov|oop|all</t>
        </is>
      </c>
      <c r="B349" s="3" t="inlineStr">
        <is>
          <t>MCovOop</t>
        </is>
      </c>
      <c r="C349" s="3" t="n"/>
      <c r="D349" s="3" t="n"/>
      <c r="E349" s="39">
        <f>IF($C349="",0,MATCH($C349,MTDesc,0))</f>
        <v>0.0</v>
      </c>
      <c r="F349" s="39">
        <f>IF($B349&lt;&gt;"",MATCH($B349,MTName,0),$E349+MATCH($D349,INDEX(MTDesc,$E349+1):MTEnd,0))</f>
        <v>29.0</v>
      </c>
      <c r="G349" s="3" t="str">
        <f>INDEX(MTDesc,$F349)</f>
        <v>Apply tax to non-road oil products?</v>
      </c>
    </row>
    <row r="350">
      <c r="A350" s="3" t="inlineStr">
        <is>
          <t>ctcov|bio|all</t>
        </is>
      </c>
      <c r="B350" s="3" t="inlineStr">
        <is>
          <t>CTaxCoversBiomass</t>
        </is>
      </c>
      <c r="C350" s="3" t="n"/>
      <c r="D350" s="3" t="n"/>
      <c r="E350" s="39">
        <f>IF($C350="",0,MATCH($C350,MTDesc,0))</f>
        <v>0.0</v>
      </c>
      <c r="F350" s="39">
        <f>IF($B350&lt;&gt;"",MATCH($B350,MTName,0),$E350+MATCH($D350,INDEX(MTDesc,$E350+1):MTEnd,0))</f>
        <v>478.0</v>
      </c>
      <c r="G350" s="3" t="str">
        <f>INDEX(MTDesc,$F350)</f>
        <v>Carbon tax covers biomass (TRUE / FALSE; EF 0, so no effect unless a factor is added; was Constants ctcov|bio|all)</v>
      </c>
    </row>
    <row r="351">
      <c r="A351" s="3" t="inlineStr">
        <is>
          <t>ctcov|all|pow</t>
        </is>
      </c>
      <c r="B351" s="3" t="inlineStr">
        <is>
          <t>MCovPow</t>
        </is>
      </c>
      <c r="C351" s="3" t="n"/>
      <c r="D351" s="3" t="n"/>
      <c r="E351" s="39">
        <f>IF($C351="",0,MATCH($C351,MTDesc,0))</f>
        <v>0.0</v>
      </c>
      <c r="F351" s="39">
        <f>IF($B351&lt;&gt;"",MATCH($B351,MTName,0),$E351+MATCH($D351,INDEX(MTDesc,$E351+1):MTEnd,0))</f>
        <v>31.0</v>
      </c>
      <c r="G351" s="3" t="str">
        <f>INDEX(MTDesc,$F351)</f>
        <v>Apply tax to power sector?</v>
      </c>
    </row>
    <row r="352">
      <c r="A352" s="3" t="inlineStr">
        <is>
          <t>ctcov|all|rod</t>
        </is>
      </c>
      <c r="B352" s="3" t="inlineStr">
        <is>
          <t>MCovRod</t>
        </is>
      </c>
      <c r="C352" s="3" t="n"/>
      <c r="D352" s="3" t="n"/>
      <c r="E352" s="39">
        <f>IF($C352="",0,MATCH($C352,MTDesc,0))</f>
        <v>0.0</v>
      </c>
      <c r="F352" s="39">
        <f>IF($B352&lt;&gt;"",MATCH($B352,MTName,0),$E352+MATCH($D352,INDEX(MTDesc,$E352+1):MTEnd,0))</f>
        <v>32.0</v>
      </c>
      <c r="G352" s="3" t="str">
        <f>INDEX(MTDesc,$F352)</f>
        <v>Apply tax to road transportation?</v>
      </c>
    </row>
    <row r="353">
      <c r="A353" s="3" t="inlineStr">
        <is>
          <t>ctcov|all|ral</t>
        </is>
      </c>
      <c r="B353" s="3" t="inlineStr">
        <is>
          <t>MCovRal</t>
        </is>
      </c>
      <c r="C353" s="3" t="n"/>
      <c r="D353" s="3" t="n"/>
      <c r="E353" s="39">
        <f>IF($C353="",0,MATCH($C353,MTDesc,0))</f>
        <v>0.0</v>
      </c>
      <c r="F353" s="39">
        <f>IF($B353&lt;&gt;"",MATCH($B353,MTName,0),$E353+MATCH($D353,INDEX(MTDesc,$E353+1):MTEnd,0))</f>
        <v>33.0</v>
      </c>
      <c r="G353" s="3" t="str">
        <f>INDEX(MTDesc,$F353)</f>
        <v>Apply tax to rail transportation?</v>
      </c>
    </row>
    <row r="354">
      <c r="A354" s="3" t="inlineStr">
        <is>
          <t>ctcov|all|avi</t>
        </is>
      </c>
      <c r="B354" s="3" t="inlineStr">
        <is>
          <t>MCovAvi</t>
        </is>
      </c>
      <c r="C354" s="3" t="n"/>
      <c r="D354" s="3" t="n"/>
      <c r="E354" s="39">
        <f>IF($C354="",0,MATCH($C354,MTDesc,0))</f>
        <v>0.0</v>
      </c>
      <c r="F354" s="39">
        <f>IF($B354&lt;&gt;"",MATCH($B354,MTName,0),$E354+MATCH($D354,INDEX(MTDesc,$E354+1):MTEnd,0))</f>
        <v>34.0</v>
      </c>
      <c r="G354" s="3" t="str">
        <f>INDEX(MTDesc,$F354)</f>
        <v>Apply tax to domestic aviation?</v>
      </c>
    </row>
    <row r="355">
      <c r="A355" s="3" t="inlineStr">
        <is>
          <t>ctcov|all|nav</t>
        </is>
      </c>
      <c r="B355" s="3" t="inlineStr">
        <is>
          <t>MCovNav</t>
        </is>
      </c>
      <c r="C355" s="3" t="n"/>
      <c r="D355" s="3" t="n"/>
      <c r="E355" s="39">
        <f>IF($C355="",0,MATCH($C355,MTDesc,0))</f>
        <v>0.0</v>
      </c>
      <c r="F355" s="39">
        <f>IF($B355&lt;&gt;"",MATCH($B355,MTName,0),$E355+MATCH($D355,INDEX(MTDesc,$E355+1):MTEnd,0))</f>
        <v>35.0</v>
      </c>
      <c r="G355" s="3" t="str">
        <f>INDEX(MTDesc,$F355)</f>
        <v>Apply tax to domestic shipping?</v>
      </c>
    </row>
    <row r="356">
      <c r="A356" s="3" t="inlineStr">
        <is>
          <t>ctcov|all|res</t>
        </is>
      </c>
      <c r="B356" s="3" t="inlineStr">
        <is>
          <t>MCovRes</t>
        </is>
      </c>
      <c r="C356" s="3" t="n"/>
      <c r="D356" s="3" t="n"/>
      <c r="E356" s="39">
        <f>IF($C356="",0,MATCH($C356,MTDesc,0))</f>
        <v>0.0</v>
      </c>
      <c r="F356" s="39">
        <f>IF($B356&lt;&gt;"",MATCH($B356,MTName,0),$E356+MATCH($D356,INDEX(MTDesc,$E356+1):MTEnd,0))</f>
        <v>36.0</v>
      </c>
      <c r="G356" s="3" t="str">
        <f>INDEX(MTDesc,$F356)</f>
        <v>Apply tax to residential sector?</v>
      </c>
    </row>
    <row r="357">
      <c r="A357" s="3" t="inlineStr">
        <is>
          <t>ctcov|all|foo</t>
        </is>
      </c>
      <c r="B357" s="3" t="inlineStr">
        <is>
          <t>MCovFoo</t>
        </is>
      </c>
      <c r="C357" s="3" t="n"/>
      <c r="D357" s="3" t="n"/>
      <c r="E357" s="39">
        <f>IF($C357="",0,MATCH($C357,MTDesc,0))</f>
        <v>0.0</v>
      </c>
      <c r="F357" s="39">
        <f>IF($B357&lt;&gt;"",MATCH($B357,MTName,0),$E357+MATCH($D357,INDEX(MTDesc,$E357+1):MTEnd,0))</f>
        <v>37.0</v>
      </c>
      <c r="G357" s="3" t="str">
        <f>INDEX(MTDesc,$F357)</f>
        <v>Apply tax to food &amp; forestry?</v>
      </c>
    </row>
    <row r="358">
      <c r="A358" s="3" t="inlineStr">
        <is>
          <t>ctcov|all|srv</t>
        </is>
      </c>
      <c r="B358" s="3" t="inlineStr">
        <is>
          <t>MCovSrv</t>
        </is>
      </c>
      <c r="C358" s="3" t="n"/>
      <c r="D358" s="3" t="n"/>
      <c r="E358" s="39">
        <f>IF($C358="",0,MATCH($C358,MTDesc,0))</f>
        <v>0.0</v>
      </c>
      <c r="F358" s="39">
        <f>IF($B358&lt;&gt;"",MATCH($B358,MTName,0),$E358+MATCH($D358,INDEX(MTDesc,$E358+1):MTEnd,0))</f>
        <v>38.0</v>
      </c>
      <c r="G358" s="3" t="str">
        <f>INDEX(MTDesc,$F358)</f>
        <v>Apply tax to services (private / public)?</v>
      </c>
    </row>
    <row r="359">
      <c r="A359" s="3" t="inlineStr">
        <is>
          <t>ctcov|all|mch</t>
        </is>
      </c>
      <c r="B359" s="3" t="inlineStr">
        <is>
          <t>MCovMch</t>
        </is>
      </c>
      <c r="C359" s="3" t="n"/>
      <c r="D359" s="3" t="n"/>
      <c r="E359" s="39">
        <f>IF($C359="",0,MATCH($C359,MTDesc,0))</f>
        <v>0.0</v>
      </c>
      <c r="F359" s="39">
        <f>IF($B359&lt;&gt;"",MATCH($B359,MTName,0),$E359+MATCH($D359,INDEX(MTDesc,$E359+1):MTEnd,0))</f>
        <v>39.0</v>
      </c>
      <c r="G359" s="3" t="str">
        <f>INDEX(MTDesc,$F359)</f>
        <v>Apply tax to mining &amp; chemicals?</v>
      </c>
    </row>
    <row r="360">
      <c r="A360" s="3" t="inlineStr">
        <is>
          <t>ctcov|all|irn</t>
        </is>
      </c>
      <c r="B360" s="3" t="inlineStr">
        <is>
          <t>MCovIrn</t>
        </is>
      </c>
      <c r="C360" s="3" t="n"/>
      <c r="D360" s="3" t="n"/>
      <c r="E360" s="39">
        <f>IF($C360="",0,MATCH($C360,MTDesc,0))</f>
        <v>0.0</v>
      </c>
      <c r="F360" s="39">
        <f>IF($B360&lt;&gt;"",MATCH($B360,MTName,0),$E360+MATCH($D360,INDEX(MTDesc,$E360+1):MTEnd,0))</f>
        <v>40.0</v>
      </c>
      <c r="G360" s="3" t="str">
        <f>INDEX(MTDesc,$F360)</f>
        <v>Apply tax to iron and steel?</v>
      </c>
    </row>
    <row r="361">
      <c r="A361" s="3" t="inlineStr">
        <is>
          <t>ctcov|all|nfm</t>
        </is>
      </c>
      <c r="B361" s="3" t="inlineStr">
        <is>
          <t>MCovNfm</t>
        </is>
      </c>
      <c r="C361" s="3" t="n"/>
      <c r="D361" s="3" t="n"/>
      <c r="E361" s="39">
        <f>IF($C361="",0,MATCH($C361,MTDesc,0))</f>
        <v>0.0</v>
      </c>
      <c r="F361" s="39">
        <f>IF($B361&lt;&gt;"",MATCH($B361,MTName,0),$E361+MATCH($D361,INDEX(MTDesc,$E361+1):MTEnd,0))</f>
        <v>41.0</v>
      </c>
      <c r="G361" s="3" t="str">
        <f>INDEX(MTDesc,$F361)</f>
        <v>Apply tax to non-ferrous metals?</v>
      </c>
    </row>
    <row r="362">
      <c r="A362" s="3" t="inlineStr">
        <is>
          <t>ctcov|all|mac</t>
        </is>
      </c>
      <c r="B362" s="3" t="inlineStr">
        <is>
          <t>MCovMac</t>
        </is>
      </c>
      <c r="C362" s="3" t="n"/>
      <c r="D362" s="3" t="n"/>
      <c r="E362" s="39">
        <f>IF($C362="",0,MATCH($C362,MTDesc,0))</f>
        <v>0.0</v>
      </c>
      <c r="F362" s="39">
        <f>IF($B362&lt;&gt;"",MATCH($B362,MTName,0),$E362+MATCH($D362,INDEX(MTDesc,$E362+1):MTEnd,0))</f>
        <v>42.0</v>
      </c>
      <c r="G362" s="3" t="str">
        <f>INDEX(MTDesc,$F362)</f>
        <v>Apply tax to machinery?</v>
      </c>
    </row>
    <row r="363">
      <c r="A363" s="3" t="inlineStr">
        <is>
          <t>ctcov|all|cem</t>
        </is>
      </c>
      <c r="B363" s="3" t="inlineStr">
        <is>
          <t>MCovCem</t>
        </is>
      </c>
      <c r="C363" s="3" t="n"/>
      <c r="D363" s="3" t="n"/>
      <c r="E363" s="39">
        <f>IF($C363="",0,MATCH($C363,MTDesc,0))</f>
        <v>0.0</v>
      </c>
      <c r="F363" s="39">
        <f>IF($B363&lt;&gt;"",MATCH($B363,MTName,0),$E363+MATCH($D363,INDEX(MTDesc,$E363+1):MTEnd,0))</f>
        <v>43.0</v>
      </c>
      <c r="G363" s="3" t="str">
        <f>INDEX(MTDesc,$F363)</f>
        <v>Apply tax to cement?</v>
      </c>
    </row>
    <row r="364">
      <c r="A364" s="3" t="inlineStr">
        <is>
          <t>ctcov|all|omn</t>
        </is>
      </c>
      <c r="B364" s="3" t="inlineStr">
        <is>
          <t>MCovOmn</t>
        </is>
      </c>
      <c r="C364" s="3" t="n"/>
      <c r="D364" s="3" t="n"/>
      <c r="E364" s="39">
        <f>IF($C364="",0,MATCH($C364,MTDesc,0))</f>
        <v>0.0</v>
      </c>
      <c r="F364" s="39">
        <f>IF($B364&lt;&gt;"",MATCH($B364,MTName,0),$E364+MATCH($D364,INDEX(MTDesc,$E364+1):MTEnd,0))</f>
        <v>44.0</v>
      </c>
      <c r="G364" s="3" t="str">
        <f>INDEX(MTDesc,$F364)</f>
        <v>Apply tax to other manucfacturing?</v>
      </c>
    </row>
    <row r="365">
      <c r="A365" s="3" t="inlineStr">
        <is>
          <t>ctcov|all|cst</t>
        </is>
      </c>
      <c r="B365" s="3" t="inlineStr">
        <is>
          <t>MCovCst</t>
        </is>
      </c>
      <c r="C365" s="3" t="n"/>
      <c r="D365" s="3" t="n"/>
      <c r="E365" s="39">
        <f>IF($C365="",0,MATCH($C365,MTDesc,0))</f>
        <v>0.0</v>
      </c>
      <c r="F365" s="39">
        <f>IF($B365&lt;&gt;"",MATCH($B365,MTName,0),$E365+MATCH($D365,INDEX(MTDesc,$E365+1):MTEnd,0))</f>
        <v>45.0</v>
      </c>
      <c r="G365" s="3" t="str">
        <f>INDEX(MTDesc,$F365)</f>
        <v>Apply tax to construction?</v>
      </c>
    </row>
    <row r="366">
      <c r="A366" s="3" t="inlineStr">
        <is>
          <t>ctcov|all|ftr</t>
        </is>
      </c>
      <c r="B366" s="3" t="inlineStr">
        <is>
          <t>MCovFtr</t>
        </is>
      </c>
      <c r="C366" s="3" t="n"/>
      <c r="D366" s="3" t="n"/>
      <c r="E366" s="39">
        <f>IF($C366="",0,MATCH($C366,MTDesc,0))</f>
        <v>0.0</v>
      </c>
      <c r="F366" s="39">
        <f>IF($B366&lt;&gt;"",MATCH($B366,MTName,0),$E366+MATCH($D366,INDEX(MTDesc,$E366+1):MTEnd,0))</f>
        <v>46.0</v>
      </c>
      <c r="G366" s="3" t="str">
        <f>INDEX(MTDesc,$F366)</f>
        <v>Apply tax to fuel transformation?</v>
      </c>
    </row>
    <row r="367">
      <c r="A367" s="3" t="inlineStr">
        <is>
          <t>ctcov|all|oen</t>
        </is>
      </c>
      <c r="B367" s="3" t="inlineStr">
        <is>
          <t>MCovOen</t>
        </is>
      </c>
      <c r="C367" s="3" t="n"/>
      <c r="D367" s="3" t="n"/>
      <c r="E367" s="39">
        <f>IF($C367="",0,MATCH($C367,MTDesc,0))</f>
        <v>0.0</v>
      </c>
      <c r="F367" s="39">
        <f>IF($B367&lt;&gt;"",MATCH($B367,MTName,0),$E367+MATCH($D367,INDEX(MTDesc,$E367+1):MTEnd,0))</f>
        <v>47.0</v>
      </c>
      <c r="G367" s="3" t="str">
        <f>INDEX(MTDesc,$F367)</f>
        <v>Apply tax to other energy use?</v>
      </c>
    </row>
    <row r="368">
      <c r="A368" s="3" t="inlineStr">
        <is>
          <t>fpr.yr0||</t>
        </is>
      </c>
      <c r="B368" s="3" t="inlineStr">
        <is>
          <t>FprIntro</t>
        </is>
      </c>
      <c r="C368" s="3" t="n"/>
      <c r="D368" s="3" t="n"/>
      <c r="E368" s="39">
        <f>IF($C368="",0,MATCH($C368,MTDesc,0))</f>
        <v>0.0</v>
      </c>
      <c r="F368" s="39">
        <f>IF($B368&lt;&gt;"",MATCH($B368,MTName,0),$E368+MATCH($D368,INDEX(MTDesc,$E368+1):MTEnd,0))</f>
        <v>140.0</v>
      </c>
      <c r="G368" s="3" t="str">
        <f>INDEX(MTDesc,$F368)</f>
        <v>Starting year</v>
      </c>
    </row>
    <row r="369">
      <c r="A369" s="3" t="inlineStr">
        <is>
          <t>fpr.yr1||</t>
        </is>
      </c>
      <c r="B369" s="3" t="inlineStr">
        <is>
          <t>FprOutro</t>
        </is>
      </c>
      <c r="C369" s="3" t="n"/>
      <c r="D369" s="3" t="n"/>
      <c r="E369" s="39">
        <f>IF($C369="",0,MATCH($C369,MTDesc,0))</f>
        <v>0.0</v>
      </c>
      <c r="F369" s="39">
        <f>IF($B369&lt;&gt;"",MATCH($B369,MTName,0),$E369+MATCH($D369,INDEX(MTDesc,$E369+1):MTEnd,0))</f>
        <v>141.0</v>
      </c>
      <c r="G369" s="3" t="str">
        <f>INDEX(MTDesc,$F369)</f>
        <v>Target year</v>
      </c>
    </row>
    <row r="370">
      <c r="A370" s="3" t="inlineStr">
        <is>
          <t>fpr.s|coa|pow</t>
        </is>
      </c>
      <c r="B370" s="3" t="inlineStr">
        <is>
          <t>FprStartCoaPow</t>
        </is>
      </c>
      <c r="C370" s="3" t="n"/>
      <c r="D370" s="3" t="n"/>
      <c r="E370" s="39">
        <f>IF($C370="",0,MATCH($C370,MTDesc,0))</f>
        <v>0.0</v>
      </c>
      <c r="F370" s="39">
        <f>IF($B370&lt;&gt;"",MATCH($B370,MTName,0),$E370+MATCH($D370,INDEX(MTDesc,$E370+1):MTEnd,0))</f>
        <v>142.0</v>
      </c>
      <c r="G370" s="3" t="str">
        <f>INDEX(MTDesc,$F370)</f>
        <v>Starting price increase, Coal , Power</v>
      </c>
    </row>
    <row r="371">
      <c r="A371" s="3" t="inlineStr">
        <is>
          <t>fpr.s|coa|res</t>
        </is>
      </c>
      <c r="B371" s="3" t="inlineStr">
        <is>
          <t>FprStartCoaRes</t>
        </is>
      </c>
      <c r="C371" s="3" t="n"/>
      <c r="D371" s="3" t="n"/>
      <c r="E371" s="39">
        <f>IF($C371="",0,MATCH($C371,MTDesc,0))</f>
        <v>0.0</v>
      </c>
      <c r="F371" s="39">
        <f>IF($B371&lt;&gt;"",MATCH($B371,MTName,0),$E371+MATCH($D371,INDEX(MTDesc,$E371+1):MTEnd,0))</f>
        <v>143.0</v>
      </c>
      <c r="G371" s="3" t="str">
        <f>INDEX(MTDesc,$F371)</f>
        <v>Starting price increase, Coal , Residential</v>
      </c>
    </row>
    <row r="372">
      <c r="A372" s="3" t="inlineStr">
        <is>
          <t>fpr.s|coa|ind</t>
        </is>
      </c>
      <c r="B372" s="3" t="inlineStr">
        <is>
          <t>FprStartCoaInd</t>
        </is>
      </c>
      <c r="C372" s="3" t="n"/>
      <c r="D372" s="3" t="n"/>
      <c r="E372" s="39">
        <f>IF($C372="",0,MATCH($C372,MTDesc,0))</f>
        <v>0.0</v>
      </c>
      <c r="F372" s="39">
        <f>IF($B372&lt;&gt;"",MATCH($B372,MTName,0),$E372+MATCH($D372,INDEX(MTDesc,$E372+1):MTEnd,0))</f>
        <v>144.0</v>
      </c>
      <c r="G372" s="3" t="str">
        <f>INDEX(MTDesc,$F372)</f>
        <v>Starting price increase, Coal , Industry</v>
      </c>
    </row>
    <row r="373">
      <c r="A373" s="3" t="inlineStr">
        <is>
          <t>fpr.s|nga|pow</t>
        </is>
      </c>
      <c r="B373" s="3" t="inlineStr">
        <is>
          <t>FprStartNgaPow</t>
        </is>
      </c>
      <c r="C373" s="3" t="n"/>
      <c r="D373" s="3" t="n"/>
      <c r="E373" s="39">
        <f>IF($C373="",0,MATCH($C373,MTDesc,0))</f>
        <v>0.0</v>
      </c>
      <c r="F373" s="39">
        <f>IF($B373&lt;&gt;"",MATCH($B373,MTName,0),$E373+MATCH($D373,INDEX(MTDesc,$E373+1):MTEnd,0))</f>
        <v>145.0</v>
      </c>
      <c r="G373" s="3" t="str">
        <f>INDEX(MTDesc,$F373)</f>
        <v>Starting price increase, Natural gas , Power</v>
      </c>
    </row>
    <row r="374">
      <c r="A374" s="3" t="inlineStr">
        <is>
          <t>fpr.s|nga|res</t>
        </is>
      </c>
      <c r="B374" s="3" t="inlineStr">
        <is>
          <t>FprStartNgaRes</t>
        </is>
      </c>
      <c r="C374" s="3" t="n"/>
      <c r="D374" s="3" t="n"/>
      <c r="E374" s="39">
        <f>IF($C374="",0,MATCH($C374,MTDesc,0))</f>
        <v>0.0</v>
      </c>
      <c r="F374" s="39">
        <f>IF($B374&lt;&gt;"",MATCH($B374,MTName,0),$E374+MATCH($D374,INDEX(MTDesc,$E374+1):MTEnd,0))</f>
        <v>146.0</v>
      </c>
      <c r="G374" s="3" t="str">
        <f>INDEX(MTDesc,$F374)</f>
        <v>Starting price increase, Natural gas , Residential</v>
      </c>
    </row>
    <row r="375">
      <c r="A375" s="3" t="inlineStr">
        <is>
          <t>fpr.s|nga|ind</t>
        </is>
      </c>
      <c r="B375" s="3" t="inlineStr">
        <is>
          <t>FprStartNgaInd</t>
        </is>
      </c>
      <c r="C375" s="3" t="n"/>
      <c r="D375" s="3" t="n"/>
      <c r="E375" s="39">
        <f>IF($C375="",0,MATCH($C375,MTDesc,0))</f>
        <v>0.0</v>
      </c>
      <c r="F375" s="39">
        <f>IF($B375&lt;&gt;"",MATCH($B375,MTName,0),$E375+MATCH($D375,INDEX(MTDesc,$E375+1):MTEnd,0))</f>
        <v>147.0</v>
      </c>
      <c r="G375" s="3" t="str">
        <f>INDEX(MTDesc,$F375)</f>
        <v>Starting price increase, Natural gas , Industry</v>
      </c>
    </row>
    <row r="376">
      <c r="A376" s="3" t="inlineStr">
        <is>
          <t>fpr.s|ecy|res</t>
        </is>
      </c>
      <c r="B376" s="3" t="inlineStr">
        <is>
          <t>FprStartEcyRes</t>
        </is>
      </c>
      <c r="C376" s="3" t="n"/>
      <c r="D376" s="3" t="n"/>
      <c r="E376" s="39">
        <f>IF($C376="",0,MATCH($C376,MTDesc,0))</f>
        <v>0.0</v>
      </c>
      <c r="F376" s="39">
        <f>IF($B376&lt;&gt;"",MATCH($B376,MTName,0),$E376+MATCH($D376,INDEX(MTDesc,$E376+1):MTEnd,0))</f>
        <v>148.0</v>
      </c>
      <c r="G376" s="3" t="str">
        <f>INDEX(MTDesc,$F376)</f>
        <v>Starting price increase, Electricity , Residential</v>
      </c>
    </row>
    <row r="377">
      <c r="A377" s="3" t="inlineStr">
        <is>
          <t>fpr.s|ecy|ind</t>
        </is>
      </c>
      <c r="B377" s="3" t="inlineStr">
        <is>
          <t>FprStartEcyInd</t>
        </is>
      </c>
      <c r="C377" s="3" t="n"/>
      <c r="D377" s="3" t="n"/>
      <c r="E377" s="39">
        <f>IF($C377="",0,MATCH($C377,MTDesc,0))</f>
        <v>0.0</v>
      </c>
      <c r="F377" s="39">
        <f>IF($B377&lt;&gt;"",MATCH($B377,MTName,0),$E377+MATCH($D377,INDEX(MTDesc,$E377+1):MTEnd,0))</f>
        <v>149.0</v>
      </c>
      <c r="G377" s="3" t="str">
        <f>INDEX(MTDesc,$F377)</f>
        <v>Starting price increase, Electricity , Industry</v>
      </c>
    </row>
    <row r="378">
      <c r="A378" s="3" t="inlineStr">
        <is>
          <t>fpr.s|gso|all</t>
        </is>
      </c>
      <c r="B378" s="3" t="inlineStr">
        <is>
          <t>FprStartGsoAll</t>
        </is>
      </c>
      <c r="C378" s="3" t="n"/>
      <c r="D378" s="3" t="n"/>
      <c r="E378" s="39">
        <f>IF($C378="",0,MATCH($C378,MTDesc,0))</f>
        <v>0.0</v>
      </c>
      <c r="F378" s="39">
        <f>IF($B378&lt;&gt;"",MATCH($B378,MTName,0),$E378+MATCH($D378,INDEX(MTDesc,$E378+1):MTEnd,0))</f>
        <v>150.0</v>
      </c>
      <c r="G378" s="3" t="str">
        <f>INDEX(MTDesc,$F378)</f>
        <v>Starting price increase, Gasoline , All</v>
      </c>
    </row>
    <row r="379">
      <c r="A379" s="3" t="inlineStr">
        <is>
          <t>fpr.s|die|all</t>
        </is>
      </c>
      <c r="B379" s="3" t="inlineStr">
        <is>
          <t>FprStartDieAll</t>
        </is>
      </c>
      <c r="C379" s="3" t="n"/>
      <c r="D379" s="3" t="n"/>
      <c r="E379" s="39">
        <f>IF($C379="",0,MATCH($C379,MTDesc,0))</f>
        <v>0.0</v>
      </c>
      <c r="F379" s="39">
        <f>IF($B379&lt;&gt;"",MATCH($B379,MTName,0),$E379+MATCH($D379,INDEX(MTDesc,$E379+1):MTEnd,0))</f>
        <v>151.0</v>
      </c>
      <c r="G379" s="3" t="str">
        <f>INDEX(MTDesc,$F379)</f>
        <v>Starting price increase, Diesel  , All</v>
      </c>
    </row>
    <row r="380">
      <c r="A380" s="3" t="inlineStr">
        <is>
          <t>fpr.s|lpg|all</t>
        </is>
      </c>
      <c r="B380" s="3" t="inlineStr">
        <is>
          <t>FprStartLpgAll</t>
        </is>
      </c>
      <c r="C380" s="3" t="n"/>
      <c r="D380" s="3" t="n"/>
      <c r="E380" s="39">
        <f>IF($C380="",0,MATCH($C380,MTDesc,0))</f>
        <v>0.0</v>
      </c>
      <c r="F380" s="39">
        <f>IF($B380&lt;&gt;"",MATCH($B380,MTName,0),$E380+MATCH($D380,INDEX(MTDesc,$E380+1):MTEnd,0))</f>
        <v>152.0</v>
      </c>
      <c r="G380" s="3" t="str">
        <f>INDEX(MTDesc,$F380)</f>
        <v>Starting price increase, LPG , All</v>
      </c>
    </row>
    <row r="381">
      <c r="A381" s="3" t="inlineStr">
        <is>
          <t>fpr.s|ker|all</t>
        </is>
      </c>
      <c r="B381" s="3" t="inlineStr">
        <is>
          <t>FprStartKerAll</t>
        </is>
      </c>
      <c r="C381" s="3" t="n"/>
      <c r="D381" s="3" t="n"/>
      <c r="E381" s="39">
        <f>IF($C381="",0,MATCH($C381,MTDesc,0))</f>
        <v>0.0</v>
      </c>
      <c r="F381" s="39">
        <f>IF($B381&lt;&gt;"",MATCH($B381,MTName,0),$E381+MATCH($D381,INDEX(MTDesc,$E381+1):MTEnd,0))</f>
        <v>153.0</v>
      </c>
      <c r="G381" s="3" t="str">
        <f>INDEX(MTDesc,$F381)</f>
        <v>Starting price increase, Kerosene , All</v>
      </c>
    </row>
    <row r="382">
      <c r="A382" s="3" t="inlineStr">
        <is>
          <t>fpr.s|oop|all</t>
        </is>
      </c>
      <c r="B382" s="3" t="inlineStr">
        <is>
          <t>FprStartOopAll</t>
        </is>
      </c>
      <c r="C382" s="3" t="n"/>
      <c r="D382" s="3" t="n"/>
      <c r="E382" s="39">
        <f>IF($C382="",0,MATCH($C382,MTDesc,0))</f>
        <v>0.0</v>
      </c>
      <c r="F382" s="39">
        <f>IF($B382&lt;&gt;"",MATCH($B382,MTName,0),$E382+MATCH($D382,INDEX(MTDesc,$E382+1):MTEnd,0))</f>
        <v>154.0</v>
      </c>
      <c r="G382" s="3" t="str">
        <f>INDEX(MTDesc,$F382)</f>
        <v>Starting price increase, Other oil products , All</v>
      </c>
    </row>
    <row r="383">
      <c r="A383" s="3" t="inlineStr">
        <is>
          <t>fpr.s|bio|all</t>
        </is>
      </c>
      <c r="B383" s="3" t="inlineStr">
        <is>
          <t>FprStartBioAll</t>
        </is>
      </c>
      <c r="C383" s="3" t="n"/>
      <c r="D383" s="3" t="n"/>
      <c r="E383" s="39">
        <f>IF($C383="",0,MATCH($C383,MTDesc,0))</f>
        <v>0.0</v>
      </c>
      <c r="F383" s="39">
        <f>IF($B383&lt;&gt;"",MATCH($B383,MTName,0),$E383+MATCH($D383,INDEX(MTDesc,$E383+1):MTEnd,0))</f>
        <v>155.0</v>
      </c>
      <c r="G383" s="3" t="str">
        <f>INDEX(MTDesc,$F383)</f>
        <v>Starting price increase, Biomass , All</v>
      </c>
    </row>
    <row r="384">
      <c r="A384" s="3" t="inlineStr">
        <is>
          <t>fpr.f|coa|pow</t>
        </is>
      </c>
      <c r="B384" s="3" t="inlineStr">
        <is>
          <t>FprFinalCoaPow</t>
        </is>
      </c>
      <c r="C384" s="3" t="n"/>
      <c r="D384" s="3" t="n"/>
      <c r="E384" s="39">
        <f>IF($C384="",0,MATCH($C384,MTDesc,0))</f>
        <v>0.0</v>
      </c>
      <c r="F384" s="39">
        <f>IF($B384&lt;&gt;"",MATCH($B384,MTName,0),$E384+MATCH($D384,INDEX(MTDesc,$E384+1):MTEnd,0))</f>
        <v>156.0</v>
      </c>
      <c r="G384" s="3" t="str">
        <f>INDEX(MTDesc,$F384)</f>
        <v>Final price increase, Coal , Power</v>
      </c>
    </row>
    <row r="385">
      <c r="A385" s="3" t="inlineStr">
        <is>
          <t>fpr.f|coa|res</t>
        </is>
      </c>
      <c r="B385" s="3" t="inlineStr">
        <is>
          <t>FprFinalCoaRes</t>
        </is>
      </c>
      <c r="C385" s="3" t="n"/>
      <c r="D385" s="3" t="n"/>
      <c r="E385" s="39">
        <f>IF($C385="",0,MATCH($C385,MTDesc,0))</f>
        <v>0.0</v>
      </c>
      <c r="F385" s="39">
        <f>IF($B385&lt;&gt;"",MATCH($B385,MTName,0),$E385+MATCH($D385,INDEX(MTDesc,$E385+1):MTEnd,0))</f>
        <v>157.0</v>
      </c>
      <c r="G385" s="3" t="str">
        <f>INDEX(MTDesc,$F385)</f>
        <v>Final price increase, Coal , Residential</v>
      </c>
    </row>
    <row r="386">
      <c r="A386" s="3" t="inlineStr">
        <is>
          <t>fpr.f|coa|ind</t>
        </is>
      </c>
      <c r="B386" s="3" t="inlineStr">
        <is>
          <t>FprFinalCoaInd</t>
        </is>
      </c>
      <c r="C386" s="3" t="n"/>
      <c r="D386" s="3" t="n"/>
      <c r="E386" s="39">
        <f>IF($C386="",0,MATCH($C386,MTDesc,0))</f>
        <v>0.0</v>
      </c>
      <c r="F386" s="39">
        <f>IF($B386&lt;&gt;"",MATCH($B386,MTName,0),$E386+MATCH($D386,INDEX(MTDesc,$E386+1):MTEnd,0))</f>
        <v>158.0</v>
      </c>
      <c r="G386" s="3" t="str">
        <f>INDEX(MTDesc,$F386)</f>
        <v>Final price increase, Coal , Industry</v>
      </c>
    </row>
    <row r="387">
      <c r="A387" s="3" t="inlineStr">
        <is>
          <t>fpr.f|nga|pow</t>
        </is>
      </c>
      <c r="B387" s="3" t="inlineStr">
        <is>
          <t>FprFinalNgaPow</t>
        </is>
      </c>
      <c r="C387" s="3" t="n"/>
      <c r="D387" s="3" t="n"/>
      <c r="E387" s="39">
        <f>IF($C387="",0,MATCH($C387,MTDesc,0))</f>
        <v>0.0</v>
      </c>
      <c r="F387" s="39">
        <f>IF($B387&lt;&gt;"",MATCH($B387,MTName,0),$E387+MATCH($D387,INDEX(MTDesc,$E387+1):MTEnd,0))</f>
        <v>159.0</v>
      </c>
      <c r="G387" s="3" t="str">
        <f>INDEX(MTDesc,$F387)</f>
        <v>Final price increase, Natural gas , Power</v>
      </c>
    </row>
    <row r="388">
      <c r="A388" s="3" t="inlineStr">
        <is>
          <t>fpr.f|nga|res</t>
        </is>
      </c>
      <c r="B388" s="3" t="inlineStr">
        <is>
          <t>FprFinalNgaRes</t>
        </is>
      </c>
      <c r="C388" s="3" t="n"/>
      <c r="D388" s="3" t="n"/>
      <c r="E388" s="39">
        <f>IF($C388="",0,MATCH($C388,MTDesc,0))</f>
        <v>0.0</v>
      </c>
      <c r="F388" s="39">
        <f>IF($B388&lt;&gt;"",MATCH($B388,MTName,0),$E388+MATCH($D388,INDEX(MTDesc,$E388+1):MTEnd,0))</f>
        <v>160.0</v>
      </c>
      <c r="G388" s="3" t="str">
        <f>INDEX(MTDesc,$F388)</f>
        <v>Final price increase, Natural gas , Residential</v>
      </c>
    </row>
    <row r="389">
      <c r="A389" s="3" t="inlineStr">
        <is>
          <t>fpr.f|nga|ind</t>
        </is>
      </c>
      <c r="B389" s="3" t="inlineStr">
        <is>
          <t>FprFinalNgaInd</t>
        </is>
      </c>
      <c r="C389" s="3" t="n"/>
      <c r="D389" s="3" t="n"/>
      <c r="E389" s="39">
        <f>IF($C389="",0,MATCH($C389,MTDesc,0))</f>
        <v>0.0</v>
      </c>
      <c r="F389" s="39">
        <f>IF($B389&lt;&gt;"",MATCH($B389,MTName,0),$E389+MATCH($D389,INDEX(MTDesc,$E389+1):MTEnd,0))</f>
        <v>161.0</v>
      </c>
      <c r="G389" s="3" t="str">
        <f>INDEX(MTDesc,$F389)</f>
        <v>Final price increase, Natural gas , Industry</v>
      </c>
    </row>
    <row r="390">
      <c r="A390" s="3" t="inlineStr">
        <is>
          <t>fpr.f|ecy|res</t>
        </is>
      </c>
      <c r="B390" s="3" t="inlineStr">
        <is>
          <t>FprFinalEcyRes</t>
        </is>
      </c>
      <c r="C390" s="3" t="n"/>
      <c r="D390" s="3" t="n"/>
      <c r="E390" s="39">
        <f>IF($C390="",0,MATCH($C390,MTDesc,0))</f>
        <v>0.0</v>
      </c>
      <c r="F390" s="39">
        <f>IF($B390&lt;&gt;"",MATCH($B390,MTName,0),$E390+MATCH($D390,INDEX(MTDesc,$E390+1):MTEnd,0))</f>
        <v>162.0</v>
      </c>
      <c r="G390" s="3" t="str">
        <f>INDEX(MTDesc,$F390)</f>
        <v>Final price increase, Electricity , Residential</v>
      </c>
    </row>
    <row r="391">
      <c r="A391" s="3" t="inlineStr">
        <is>
          <t>fpr.f|ecy|ind</t>
        </is>
      </c>
      <c r="B391" s="3" t="inlineStr">
        <is>
          <t>FprFinalEcyInd</t>
        </is>
      </c>
      <c r="C391" s="3" t="n"/>
      <c r="D391" s="3" t="n"/>
      <c r="E391" s="39">
        <f>IF($C391="",0,MATCH($C391,MTDesc,0))</f>
        <v>0.0</v>
      </c>
      <c r="F391" s="39">
        <f>IF($B391&lt;&gt;"",MATCH($B391,MTName,0),$E391+MATCH($D391,INDEX(MTDesc,$E391+1):MTEnd,0))</f>
        <v>163.0</v>
      </c>
      <c r="G391" s="3" t="str">
        <f>INDEX(MTDesc,$F391)</f>
        <v>Final price increase, Electricity , Industry</v>
      </c>
    </row>
    <row r="392">
      <c r="A392" s="3" t="inlineStr">
        <is>
          <t>fpr.f|gso|all</t>
        </is>
      </c>
      <c r="B392" s="3" t="inlineStr">
        <is>
          <t>FprFinalGsoAll</t>
        </is>
      </c>
      <c r="C392" s="3" t="n"/>
      <c r="D392" s="3" t="n"/>
      <c r="E392" s="39">
        <f>IF($C392="",0,MATCH($C392,MTDesc,0))</f>
        <v>0.0</v>
      </c>
      <c r="F392" s="39">
        <f>IF($B392&lt;&gt;"",MATCH($B392,MTName,0),$E392+MATCH($D392,INDEX(MTDesc,$E392+1):MTEnd,0))</f>
        <v>164.0</v>
      </c>
      <c r="G392" s="3" t="str">
        <f>INDEX(MTDesc,$F392)</f>
        <v>Final price increase, Gasoline , All</v>
      </c>
    </row>
    <row r="393">
      <c r="A393" s="3" t="inlineStr">
        <is>
          <t>fpr.f|die|all</t>
        </is>
      </c>
      <c r="B393" s="3" t="inlineStr">
        <is>
          <t>FprFinalDieAll</t>
        </is>
      </c>
      <c r="C393" s="3" t="n"/>
      <c r="D393" s="3" t="n"/>
      <c r="E393" s="39">
        <f>IF($C393="",0,MATCH($C393,MTDesc,0))</f>
        <v>0.0</v>
      </c>
      <c r="F393" s="39">
        <f>IF($B393&lt;&gt;"",MATCH($B393,MTName,0),$E393+MATCH($D393,INDEX(MTDesc,$E393+1):MTEnd,0))</f>
        <v>165.0</v>
      </c>
      <c r="G393" s="3" t="str">
        <f>INDEX(MTDesc,$F393)</f>
        <v>Final price increase, Diesel  , All</v>
      </c>
    </row>
    <row r="394">
      <c r="A394" s="3" t="inlineStr">
        <is>
          <t>fpr.f|lpg|all</t>
        </is>
      </c>
      <c r="B394" s="3" t="inlineStr">
        <is>
          <t>FprFinalLpgAll</t>
        </is>
      </c>
      <c r="C394" s="3" t="n"/>
      <c r="D394" s="3" t="n"/>
      <c r="E394" s="39">
        <f>IF($C394="",0,MATCH($C394,MTDesc,0))</f>
        <v>0.0</v>
      </c>
      <c r="F394" s="39">
        <f>IF($B394&lt;&gt;"",MATCH($B394,MTName,0),$E394+MATCH($D394,INDEX(MTDesc,$E394+1):MTEnd,0))</f>
        <v>166.0</v>
      </c>
      <c r="G394" s="3" t="str">
        <f>INDEX(MTDesc,$F394)</f>
        <v>Final price increase, LPG , All</v>
      </c>
    </row>
    <row r="395">
      <c r="A395" s="3" t="inlineStr">
        <is>
          <t>fpr.f|ker|all</t>
        </is>
      </c>
      <c r="B395" s="3" t="inlineStr">
        <is>
          <t>FprFinalKerAll</t>
        </is>
      </c>
      <c r="C395" s="3" t="n"/>
      <c r="D395" s="3" t="n"/>
      <c r="E395" s="39">
        <f>IF($C395="",0,MATCH($C395,MTDesc,0))</f>
        <v>0.0</v>
      </c>
      <c r="F395" s="39">
        <f>IF($B395&lt;&gt;"",MATCH($B395,MTName,0),$E395+MATCH($D395,INDEX(MTDesc,$E395+1):MTEnd,0))</f>
        <v>167.0</v>
      </c>
      <c r="G395" s="3" t="str">
        <f>INDEX(MTDesc,$F395)</f>
        <v>Final price increase, Kerosene , All</v>
      </c>
    </row>
    <row r="396">
      <c r="A396" s="3" t="inlineStr">
        <is>
          <t>fpr.f|oop|all</t>
        </is>
      </c>
      <c r="B396" s="3" t="inlineStr">
        <is>
          <t>FprFinalOopAll</t>
        </is>
      </c>
      <c r="C396" s="3" t="n"/>
      <c r="D396" s="3" t="n"/>
      <c r="E396" s="39">
        <f>IF($C396="",0,MATCH($C396,MTDesc,0))</f>
        <v>0.0</v>
      </c>
      <c r="F396" s="39">
        <f>IF($B396&lt;&gt;"",MATCH($B396,MTName,0),$E396+MATCH($D396,INDEX(MTDesc,$E396+1):MTEnd,0))</f>
        <v>168.0</v>
      </c>
      <c r="G396" s="3" t="str">
        <f>INDEX(MTDesc,$F396)</f>
        <v>Final price increase, Other oil products , All</v>
      </c>
    </row>
    <row r="397">
      <c r="A397" s="3" t="inlineStr">
        <is>
          <t>fpr.f|bio|all</t>
        </is>
      </c>
      <c r="B397" s="3" t="inlineStr">
        <is>
          <t>FprFinalBioAll</t>
        </is>
      </c>
      <c r="C397" s="3" t="n"/>
      <c r="D397" s="3" t="n"/>
      <c r="E397" s="39">
        <f>IF($C397="",0,MATCH($C397,MTDesc,0))</f>
        <v>0.0</v>
      </c>
      <c r="F397" s="39">
        <f>IF($B397&lt;&gt;"",MATCH($B397,MTName,0),$E397+MATCH($D397,INDEX(MTDesc,$E397+1):MTEnd,0))</f>
        <v>169.0</v>
      </c>
      <c r="G397" s="3" t="str">
        <f>INDEX(MTDesc,$F397)</f>
        <v>Final price increase, Biomass , All</v>
      </c>
    </row>
    <row r="398">
      <c r="A398" s="3" t="inlineStr">
        <is>
          <t>AddEfficientTaxes||</t>
        </is>
      </c>
      <c r="B398" s="3" t="inlineStr">
        <is>
          <t>AddEfficientTaxes</t>
        </is>
      </c>
      <c r="C398" s="3" t="n"/>
      <c r="D398" s="3" t="n"/>
      <c r="E398" s="39">
        <f>IF($C398="",0,MATCH($C398,MTDesc,0))</f>
        <v>0.0</v>
      </c>
      <c r="F398" s="39">
        <f>IF($B398&lt;&gt;"",MATCH($B398,MTName,0),$E398+MATCH($D398,INDEX(MTDesc,$E398+1):MTEnd,0))</f>
        <v>217.0</v>
      </c>
      <c r="G398" s="3" t="str">
        <f>INDEX(MTDesc,$F398)</f>
        <v>Add Pigouvian tax on top?</v>
      </c>
    </row>
    <row r="399">
      <c r="A399" s="3" t="inlineStr">
        <is>
          <t>ClimateEffTax||</t>
        </is>
      </c>
      <c r="B399" s="3" t="inlineStr">
        <is>
          <t>ClimateEffTax</t>
        </is>
      </c>
      <c r="C399" s="3" t="n"/>
      <c r="D399" s="3" t="n"/>
      <c r="E399" s="39">
        <f>IF($C399="",0,MATCH($C399,MTDesc,0))</f>
        <v>0.0</v>
      </c>
      <c r="F399" s="39">
        <f>IF($B399&lt;&gt;"",MATCH($B399,MTName,0),$E399+MATCH($D399,INDEX(MTDesc,$E399+1):MTEnd,0))</f>
        <v>216.0</v>
      </c>
      <c r="G399" s="3" t="str">
        <f>INDEX(MTDesc,$F399)</f>
        <v>Include climate externality in Pigouvian tax?</v>
      </c>
    </row>
    <row r="400">
      <c r="A400" s="3" t="inlineStr">
        <is>
          <t>AddEfficientTaxesPhaseInYears||</t>
        </is>
      </c>
      <c r="B400" s="3" t="inlineStr">
        <is>
          <t>AddEfficientTaxesPhaseInYears</t>
        </is>
      </c>
      <c r="C400" s="3" t="n"/>
      <c r="D400" s="3" t="n"/>
      <c r="E400" s="39">
        <f>IF($C400="",0,MATCH($C400,MTDesc,0))</f>
        <v>0.0</v>
      </c>
      <c r="F400" s="39">
        <f>IF($B400&lt;&gt;"",MATCH($B400,MTName,0),$E400+MATCH($D400,INDEX(MTDesc,$E400+1):MTEnd,0))</f>
        <v>212.0</v>
      </c>
      <c r="G400" s="3" t="str">
        <f>INDEX(MTDesc,$F400)</f>
        <v>Years to phase in Pigouvian tax?</v>
      </c>
    </row>
    <row r="401">
      <c r="A401" s="3" t="inlineStr">
        <is>
          <t>ExternalityAddVAT||</t>
        </is>
      </c>
      <c r="B401" s="3" t="inlineStr">
        <is>
          <t>ExternalityAddVAT</t>
        </is>
      </c>
      <c r="C401" s="3" t="n"/>
      <c r="D401" s="3" t="n"/>
      <c r="E401" s="39">
        <f>IF($C401="",0,MATCH($C401,MTDesc,0))</f>
        <v>0.0</v>
      </c>
      <c r="F401" s="39">
        <f>IF($B401&lt;&gt;"",MATCH($B401,MTName,0),$E401+MATCH($D401,INDEX(MTDesc,$E401+1):MTEnd,0))</f>
        <v>218.0</v>
      </c>
      <c r="G401" s="3" t="str">
        <f>INDEX(MTDesc,$F401)</f>
        <v>Externalities are part of VAT base for optimal taxes?</v>
      </c>
    </row>
    <row r="402">
      <c r="A402" s="3" t="inlineStr">
        <is>
          <t>NewETS||</t>
        </is>
      </c>
      <c r="B402" s="3" t="inlineStr">
        <is>
          <t>NewETS</t>
        </is>
      </c>
      <c r="C402" s="3" t="n"/>
      <c r="D402" s="3" t="n"/>
      <c r="E402" s="39">
        <f>IF($C402="",0,MATCH($C402,MTDesc,0))</f>
        <v>0.0</v>
      </c>
      <c r="F402" s="39">
        <f>IF($B402&lt;&gt;"",MATCH($B402,MTName,0),$E402+MATCH($D402,INDEX(MTDesc,$E402+1):MTEnd,0))</f>
        <v>84.0</v>
      </c>
      <c r="G402" s="3" t="str">
        <f>INDEX(MTDesc,$F402)</f>
        <v>Apply new ETS?</v>
      </c>
    </row>
    <row r="403">
      <c r="A403" s="3" t="inlineStr">
        <is>
          <t>ETSChangeRelStart||</t>
        </is>
      </c>
      <c r="B403" s="3" t="inlineStr">
        <is>
          <t>ETSChangeRelStart</t>
        </is>
      </c>
      <c r="C403" s="3" t="n"/>
      <c r="D403" s="3" t="n"/>
      <c r="E403" s="39">
        <f>IF($C403="",0,MATCH($C403,MTDesc,0))</f>
        <v>0.0</v>
      </c>
      <c r="F403" s="39">
        <f>IF($B403&lt;&gt;"",MATCH($B403,MTName,0),$E403+MATCH($D403,INDEX(MTDesc,$E403+1):MTEnd,0))</f>
        <v>85.0</v>
      </c>
      <c r="G403" s="3" t="str">
        <f>INDEX(MTDesc,$F403)</f>
        <v>Change Relative to Baseline in Start Year</v>
      </c>
    </row>
    <row r="404">
      <c r="A404" s="3" t="inlineStr">
        <is>
          <t>ETSChangeRelTarget||</t>
        </is>
      </c>
      <c r="B404" s="3" t="inlineStr">
        <is>
          <t>ETSChangeRelTarget</t>
        </is>
      </c>
      <c r="C404" s="3" t="n"/>
      <c r="D404" s="3" t="n"/>
      <c r="E404" s="39">
        <f>IF($C404="",0,MATCH($C404,MTDesc,0))</f>
        <v>0.0</v>
      </c>
      <c r="F404" s="39">
        <f>IF($B404&lt;&gt;"",MATCH($B404,MTName,0),$E404+MATCH($D404,INDEX(MTDesc,$E404+1):MTEnd,0))</f>
        <v>86.0</v>
      </c>
      <c r="G404" s="3" t="str">
        <f>INDEX(MTDesc,$F404)</f>
        <v>Change Relative to Baseline in Target Year</v>
      </c>
    </row>
    <row r="405">
      <c r="A405" s="3" t="inlineStr">
        <is>
          <t>ETSCapCont||</t>
        </is>
      </c>
      <c r="B405" s="3" t="inlineStr">
        <is>
          <t>ETSCapCont</t>
        </is>
      </c>
      <c r="C405" s="3" t="n"/>
      <c r="D405" s="3" t="n"/>
      <c r="E405" s="39">
        <f>IF($C405="",0,MATCH($C405,MTDesc,0))</f>
        <v>0.0</v>
      </c>
      <c r="F405" s="39">
        <f>IF($B405&lt;&gt;"",MATCH($B405,MTName,0),$E405+MATCH($D405,INDEX(MTDesc,$E405+1):MTEnd,0))</f>
        <v>87.0</v>
      </c>
      <c r="G405" s="3" t="str">
        <f>INDEX(MTDesc,$F405)</f>
        <v>Cap continuation after target year?</v>
      </c>
    </row>
    <row r="406">
      <c r="A406" s="3" t="inlineStr">
        <is>
          <t>ETSIntro||</t>
        </is>
      </c>
      <c r="B406" s="3" t="inlineStr">
        <is>
          <t>ETSIntro</t>
        </is>
      </c>
      <c r="C406" s="3" t="n"/>
      <c r="D406" s="3" t="n"/>
      <c r="E406" s="39">
        <f>IF($C406="",0,MATCH($C406,MTDesc,0))</f>
        <v>0.0</v>
      </c>
      <c r="F406" s="39">
        <f>IF($B406&lt;&gt;"",MATCH($B406,MTName,0),$E406+MATCH($D406,INDEX(MTDesc,$E406+1):MTEnd,0))</f>
        <v>88.0</v>
      </c>
      <c r="G406" s="3" t="str">
        <f>INDEX(MTDesc,$F406)</f>
        <v>ETS Start Year</v>
      </c>
    </row>
    <row r="407">
      <c r="A407" s="3" t="inlineStr">
        <is>
          <t>ETSOutro||</t>
        </is>
      </c>
      <c r="B407" s="3" t="inlineStr">
        <is>
          <t>ETSOutro</t>
        </is>
      </c>
      <c r="C407" s="3" t="n"/>
      <c r="D407" s="3" t="n"/>
      <c r="E407" s="39">
        <f>IF($C407="",0,MATCH($C407,MTDesc,0))</f>
        <v>0.0</v>
      </c>
      <c r="F407" s="39">
        <f>IF($B407&lt;&gt;"",MATCH($B407,MTName,0),$E407+MATCH($D407,INDEX(MTDesc,$E407+1):MTEnd,0))</f>
        <v>89.0</v>
      </c>
      <c r="G407" s="3" t="str">
        <f>INDEX(MTDesc,$F407)</f>
        <v>ETS Target Year</v>
      </c>
    </row>
    <row r="408">
      <c r="A408" s="3" t="inlineStr">
        <is>
          <t>ETSAuctStart||</t>
        </is>
      </c>
      <c r="B408" s="3" t="inlineStr">
        <is>
          <t>ETSAuctStart</t>
        </is>
      </c>
      <c r="C408" s="3" t="n"/>
      <c r="D408" s="3" t="n"/>
      <c r="E408" s="39">
        <f>IF($C408="",0,MATCH($C408,MTDesc,0))</f>
        <v>0.0</v>
      </c>
      <c r="F408" s="39">
        <f>IF($B408&lt;&gt;"",MATCH($B408,MTName,0),$E408+MATCH($D408,INDEX(MTDesc,$E408+1):MTEnd,0))</f>
        <v>90.0</v>
      </c>
      <c r="G408" s="3" t="str">
        <f>INDEX(MTDesc,$F408)</f>
        <v>Proportion Auctioned in Starting Year</v>
      </c>
    </row>
    <row r="409">
      <c r="A409" s="3" t="inlineStr">
        <is>
          <t>ETSAuctTarget||</t>
        </is>
      </c>
      <c r="B409" s="3" t="inlineStr">
        <is>
          <t>ETSAuctTarget</t>
        </is>
      </c>
      <c r="C409" s="3" t="n"/>
      <c r="D409" s="3" t="n"/>
      <c r="E409" s="39">
        <f>IF($C409="",0,MATCH($C409,MTDesc,0))</f>
        <v>0.0</v>
      </c>
      <c r="F409" s="39">
        <f>IF($B409&lt;&gt;"",MATCH($B409,MTName,0),$E409+MATCH($D409,INDEX(MTDesc,$E409+1):MTEnd,0))</f>
        <v>91.0</v>
      </c>
      <c r="G409" s="3" t="str">
        <f>INDEX(MTDesc,$F409)</f>
        <v>Proportion Auctioned in Target Year</v>
      </c>
    </row>
    <row r="410">
      <c r="A410" s="3" t="inlineStr">
        <is>
          <t>ETSPriceOverride||</t>
        </is>
      </c>
      <c r="B410" s="3" t="inlineStr">
        <is>
          <t>ETSPriceOverride</t>
        </is>
      </c>
      <c r="C410" s="3" t="n"/>
      <c r="D410" s="3" t="n"/>
      <c r="E410" s="39">
        <f>IF($C410="",0,MATCH($C410,MTDesc,0))</f>
        <v>0.0</v>
      </c>
      <c r="F410" s="39">
        <f>IF($B410&lt;&gt;"",MATCH($B410,MTName,0),$E410+MATCH($D410,INDEX(MTDesc,$E410+1):MTEnd,0))</f>
        <v>93.0</v>
      </c>
      <c r="G410" s="3" t="str">
        <f>INDEX(MTDesc,$F410)</f>
        <v>Override ETS price</v>
      </c>
    </row>
    <row r="411">
      <c r="A411" s="3" t="inlineStr">
        <is>
          <t>ETSVolatility||</t>
        </is>
      </c>
      <c r="B411" s="3" t="inlineStr">
        <is>
          <t>ETSVolatility</t>
        </is>
      </c>
      <c r="C411" s="3" t="n"/>
      <c r="D411" s="3" t="n"/>
      <c r="E411" s="39">
        <f>IF($C411="",0,MATCH($C411,MTDesc,0))</f>
        <v>0.0</v>
      </c>
      <c r="F411" s="39">
        <f>IF($B411&lt;&gt;"",MATCH($B411,MTName,0),$E411+MATCH($D411,INDEX(MTDesc,$E411+1):MTEnd,0))</f>
        <v>95.0</v>
      </c>
      <c r="G411" s="3" t="str">
        <f>INDEX(MTDesc,$F411)</f>
        <v>ETS Volatility</v>
      </c>
    </row>
    <row r="412">
      <c r="A412" s="3" t="inlineStr">
        <is>
          <t>ETSVolImpact||</t>
        </is>
      </c>
      <c r="B412" s="3" t="inlineStr">
        <is>
          <t>ETSVolImpact</t>
        </is>
      </c>
      <c r="C412" s="3" t="n"/>
      <c r="D412" s="3" t="n"/>
      <c r="E412" s="39">
        <f>IF($C412="",0,MATCH($C412,MTDesc,0))</f>
        <v>0.0</v>
      </c>
      <c r="F412" s="39">
        <f>IF($B412&lt;&gt;"",MATCH($B412,MTName,0),$E412+MATCH($D412,INDEX(MTDesc,$E412+1):MTEnd,0))</f>
        <v>96.0</v>
      </c>
      <c r="G412" s="3" t="str">
        <f>INDEX(MTDesc,$F412)</f>
        <v>Impact of Volatility on Abatement Costs</v>
      </c>
    </row>
    <row r="413">
      <c r="A413" s="3" t="inlineStr">
        <is>
          <t>ETSCTRisk||</t>
        </is>
      </c>
      <c r="B413" s="3" t="inlineStr">
        <is>
          <t>ETSCTRisk</t>
        </is>
      </c>
      <c r="C413" s="3" t="n"/>
      <c r="D413" s="3" t="n"/>
      <c r="E413" s="39">
        <f>IF($C413="",0,MATCH($C413,MTDesc,0))</f>
        <v>0.0</v>
      </c>
      <c r="F413" s="39">
        <f>IF($B413&lt;&gt;"",MATCH($B413,MTName,0),$E413+MATCH($D413,INDEX(MTDesc,$E413+1):MTEnd,0))</f>
        <v>97.0</v>
      </c>
      <c r="G413" s="3" t="str">
        <f>INDEX(MTDesc,$F413)</f>
        <v>Carbon Tax Policy Risk</v>
      </c>
    </row>
    <row r="414">
      <c r="A414" s="3" t="inlineStr">
        <is>
          <t>etscov|all|pow</t>
        </is>
      </c>
      <c r="B414" s="3" t="inlineStr">
        <is>
          <t>ETSCovPow</t>
        </is>
      </c>
      <c r="C414" s="3" t="n"/>
      <c r="D414" s="3" t="n"/>
      <c r="E414" s="39">
        <f>IF($C414="",0,MATCH($C414,MTDesc,0))</f>
        <v>0.0</v>
      </c>
      <c r="F414" s="39">
        <f>IF($B414&lt;&gt;"",MATCH($B414,MTName,0),$E414+MATCH($D414,INDEX(MTDesc,$E414+1):MTEnd,0))</f>
        <v>99.0</v>
      </c>
      <c r="G414" s="3" t="str">
        <f>INDEX(MTDesc,$F414)</f>
        <v>power sector</v>
      </c>
    </row>
    <row r="415">
      <c r="A415" s="3" t="inlineStr">
        <is>
          <t>etscov|all|rod</t>
        </is>
      </c>
      <c r="B415" s="3" t="inlineStr">
        <is>
          <t>ETSCovRod</t>
        </is>
      </c>
      <c r="C415" s="3" t="n"/>
      <c r="D415" s="3" t="n"/>
      <c r="E415" s="39">
        <f>IF($C415="",0,MATCH($C415,MTDesc,0))</f>
        <v>0.0</v>
      </c>
      <c r="F415" s="39">
        <f>IF($B415&lt;&gt;"",MATCH($B415,MTName,0),$E415+MATCH($D415,INDEX(MTDesc,$E415+1):MTEnd,0))</f>
        <v>100.0</v>
      </c>
      <c r="G415" s="3" t="str">
        <f>INDEX(MTDesc,$F415)</f>
        <v>road transportation</v>
      </c>
    </row>
    <row r="416">
      <c r="A416" s="3" t="inlineStr">
        <is>
          <t>etscov|all|ral</t>
        </is>
      </c>
      <c r="B416" s="3" t="inlineStr">
        <is>
          <t>ETSCovRal</t>
        </is>
      </c>
      <c r="C416" s="3" t="n"/>
      <c r="D416" s="3" t="n"/>
      <c r="E416" s="39">
        <f>IF($C416="",0,MATCH($C416,MTDesc,0))</f>
        <v>0.0</v>
      </c>
      <c r="F416" s="39">
        <f>IF($B416&lt;&gt;"",MATCH($B416,MTName,0),$E416+MATCH($D416,INDEX(MTDesc,$E416+1):MTEnd,0))</f>
        <v>101.0</v>
      </c>
      <c r="G416" s="3" t="str">
        <f>INDEX(MTDesc,$F416)</f>
        <v>rail transportation</v>
      </c>
    </row>
    <row r="417">
      <c r="A417" s="3" t="inlineStr">
        <is>
          <t>etscov|all|avi</t>
        </is>
      </c>
      <c r="B417" s="3" t="inlineStr">
        <is>
          <t>ETSCovAvi</t>
        </is>
      </c>
      <c r="C417" s="3" t="n"/>
      <c r="D417" s="3" t="n"/>
      <c r="E417" s="39">
        <f>IF($C417="",0,MATCH($C417,MTDesc,0))</f>
        <v>0.0</v>
      </c>
      <c r="F417" s="39">
        <f>IF($B417&lt;&gt;"",MATCH($B417,MTName,0),$E417+MATCH($D417,INDEX(MTDesc,$E417+1):MTEnd,0))</f>
        <v>102.0</v>
      </c>
      <c r="G417" s="3" t="str">
        <f>INDEX(MTDesc,$F417)</f>
        <v>domestic aviation</v>
      </c>
    </row>
    <row r="418">
      <c r="A418" s="3" t="inlineStr">
        <is>
          <t>etscov|all|nav</t>
        </is>
      </c>
      <c r="B418" s="3" t="inlineStr">
        <is>
          <t>ETSCovNav</t>
        </is>
      </c>
      <c r="C418" s="3" t="n"/>
      <c r="D418" s="3" t="n"/>
      <c r="E418" s="39">
        <f>IF($C418="",0,MATCH($C418,MTDesc,0))</f>
        <v>0.0</v>
      </c>
      <c r="F418" s="39">
        <f>IF($B418&lt;&gt;"",MATCH($B418,MTName,0),$E418+MATCH($D418,INDEX(MTDesc,$E418+1):MTEnd,0))</f>
        <v>103.0</v>
      </c>
      <c r="G418" s="3" t="str">
        <f>INDEX(MTDesc,$F418)</f>
        <v>domestic shipping</v>
      </c>
    </row>
    <row r="419">
      <c r="A419" s="3" t="inlineStr">
        <is>
          <t>etscov|all|res</t>
        </is>
      </c>
      <c r="B419" s="3" t="inlineStr">
        <is>
          <t>ETSCovRes</t>
        </is>
      </c>
      <c r="C419" s="3" t="n"/>
      <c r="D419" s="3" t="n"/>
      <c r="E419" s="39">
        <f>IF($C419="",0,MATCH($C419,MTDesc,0))</f>
        <v>0.0</v>
      </c>
      <c r="F419" s="39">
        <f>IF($B419&lt;&gt;"",MATCH($B419,MTName,0),$E419+MATCH($D419,INDEX(MTDesc,$E419+1):MTEnd,0))</f>
        <v>104.0</v>
      </c>
      <c r="G419" s="3" t="str">
        <f>INDEX(MTDesc,$F419)</f>
        <v>residential</v>
      </c>
    </row>
    <row r="420">
      <c r="A420" s="3" t="inlineStr">
        <is>
          <t>etscov|all|foo</t>
        </is>
      </c>
      <c r="B420" s="3" t="inlineStr">
        <is>
          <t>ETSCovFoo</t>
        </is>
      </c>
      <c r="C420" s="3" t="n"/>
      <c r="D420" s="3" t="n"/>
      <c r="E420" s="39">
        <f>IF($C420="",0,MATCH($C420,MTDesc,0))</f>
        <v>0.0</v>
      </c>
      <c r="F420" s="39">
        <f>IF($B420&lt;&gt;"",MATCH($B420,MTName,0),$E420+MATCH($D420,INDEX(MTDesc,$E420+1):MTEnd,0))</f>
        <v>105.0</v>
      </c>
      <c r="G420" s="3" t="str">
        <f>INDEX(MTDesc,$F420)</f>
        <v>food &amp; forestry</v>
      </c>
    </row>
    <row r="421">
      <c r="A421" s="3" t="inlineStr">
        <is>
          <t>etscov|all|srv</t>
        </is>
      </c>
      <c r="B421" s="3" t="inlineStr">
        <is>
          <t>ETSCovSrv</t>
        </is>
      </c>
      <c r="C421" s="3" t="n"/>
      <c r="D421" s="3" t="n"/>
      <c r="E421" s="39">
        <f>IF($C421="",0,MATCH($C421,MTDesc,0))</f>
        <v>0.0</v>
      </c>
      <c r="F421" s="39">
        <f>IF($B421&lt;&gt;"",MATCH($B421,MTName,0),$E421+MATCH($D421,INDEX(MTDesc,$E421+1):MTEnd,0))</f>
        <v>106.0</v>
      </c>
      <c r="G421" s="3" t="str">
        <f>INDEX(MTDesc,$F421)</f>
        <v>services (private / public)</v>
      </c>
    </row>
    <row r="422">
      <c r="A422" s="3" t="inlineStr">
        <is>
          <t>etscov|all|mch</t>
        </is>
      </c>
      <c r="B422" s="3" t="inlineStr">
        <is>
          <t>ETSCovMch</t>
        </is>
      </c>
      <c r="C422" s="3" t="n"/>
      <c r="D422" s="3" t="n"/>
      <c r="E422" s="39">
        <f>IF($C422="",0,MATCH($C422,MTDesc,0))</f>
        <v>0.0</v>
      </c>
      <c r="F422" s="39">
        <f>IF($B422&lt;&gt;"",MATCH($B422,MTName,0),$E422+MATCH($D422,INDEX(MTDesc,$E422+1):MTEnd,0))</f>
        <v>107.0</v>
      </c>
      <c r="G422" s="3" t="str">
        <f>INDEX(MTDesc,$F422)</f>
        <v>mining &amp; chemicals</v>
      </c>
    </row>
    <row r="423">
      <c r="A423" s="3" t="inlineStr">
        <is>
          <t>etscov|all|irn</t>
        </is>
      </c>
      <c r="B423" s="3" t="inlineStr">
        <is>
          <t>ETSCovIrn</t>
        </is>
      </c>
      <c r="C423" s="3" t="n"/>
      <c r="D423" s="3" t="n"/>
      <c r="E423" s="39">
        <f>IF($C423="",0,MATCH($C423,MTDesc,0))</f>
        <v>0.0</v>
      </c>
      <c r="F423" s="39">
        <f>IF($B423&lt;&gt;"",MATCH($B423,MTName,0),$E423+MATCH($D423,INDEX(MTDesc,$E423+1):MTEnd,0))</f>
        <v>108.0</v>
      </c>
      <c r="G423" s="3" t="str">
        <f>INDEX(MTDesc,$F423)</f>
        <v>iron and steel</v>
      </c>
    </row>
    <row r="424">
      <c r="A424" s="3" t="inlineStr">
        <is>
          <t>etscov|all|nfm</t>
        </is>
      </c>
      <c r="B424" s="3" t="inlineStr">
        <is>
          <t>ETSCovNfm</t>
        </is>
      </c>
      <c r="C424" s="3" t="n"/>
      <c r="D424" s="3" t="n"/>
      <c r="E424" s="39">
        <f>IF($C424="",0,MATCH($C424,MTDesc,0))</f>
        <v>0.0</v>
      </c>
      <c r="F424" s="39">
        <f>IF($B424&lt;&gt;"",MATCH($B424,MTName,0),$E424+MATCH($D424,INDEX(MTDesc,$E424+1):MTEnd,0))</f>
        <v>109.0</v>
      </c>
      <c r="G424" s="3" t="str">
        <f>INDEX(MTDesc,$F424)</f>
        <v>non-ferrous metals</v>
      </c>
    </row>
    <row r="425">
      <c r="A425" s="3" t="inlineStr">
        <is>
          <t>etscov|all|mac</t>
        </is>
      </c>
      <c r="B425" s="3" t="inlineStr">
        <is>
          <t>ETSCovMac</t>
        </is>
      </c>
      <c r="C425" s="3" t="n"/>
      <c r="D425" s="3" t="n"/>
      <c r="E425" s="39">
        <f>IF($C425="",0,MATCH($C425,MTDesc,0))</f>
        <v>0.0</v>
      </c>
      <c r="F425" s="39">
        <f>IF($B425&lt;&gt;"",MATCH($B425,MTName,0),$E425+MATCH($D425,INDEX(MTDesc,$E425+1):MTEnd,0))</f>
        <v>110.0</v>
      </c>
      <c r="G425" s="3" t="str">
        <f>INDEX(MTDesc,$F425)</f>
        <v>machinery</v>
      </c>
    </row>
    <row r="426">
      <c r="A426" s="3" t="inlineStr">
        <is>
          <t>etscov|all|cem</t>
        </is>
      </c>
      <c r="B426" s="3" t="inlineStr">
        <is>
          <t>ETSCovCem</t>
        </is>
      </c>
      <c r="C426" s="3" t="n"/>
      <c r="D426" s="3" t="n"/>
      <c r="E426" s="39">
        <f>IF($C426="",0,MATCH($C426,MTDesc,0))</f>
        <v>0.0</v>
      </c>
      <c r="F426" s="39">
        <f>IF($B426&lt;&gt;"",MATCH($B426,MTName,0),$E426+MATCH($D426,INDEX(MTDesc,$E426+1):MTEnd,0))</f>
        <v>111.0</v>
      </c>
      <c r="G426" s="3" t="str">
        <f>INDEX(MTDesc,$F426)</f>
        <v>cement</v>
      </c>
    </row>
    <row r="427">
      <c r="A427" s="3" t="inlineStr">
        <is>
          <t>etscov|all|omn</t>
        </is>
      </c>
      <c r="B427" s="3" t="inlineStr">
        <is>
          <t>ETSCovOmn</t>
        </is>
      </c>
      <c r="C427" s="3" t="n"/>
      <c r="D427" s="3" t="n"/>
      <c r="E427" s="39">
        <f>IF($C427="",0,MATCH($C427,MTDesc,0))</f>
        <v>0.0</v>
      </c>
      <c r="F427" s="39">
        <f>IF($B427&lt;&gt;"",MATCH($B427,MTName,0),$E427+MATCH($D427,INDEX(MTDesc,$E427+1):MTEnd,0))</f>
        <v>112.0</v>
      </c>
      <c r="G427" s="3" t="str">
        <f>INDEX(MTDesc,$F427)</f>
        <v>other manucfacturing</v>
      </c>
    </row>
    <row r="428">
      <c r="A428" s="3" t="inlineStr">
        <is>
          <t>etscov|all|cst</t>
        </is>
      </c>
      <c r="B428" s="3" t="inlineStr">
        <is>
          <t>ETSCovCst</t>
        </is>
      </c>
      <c r="C428" s="3" t="n"/>
      <c r="D428" s="3" t="n"/>
      <c r="E428" s="39">
        <f>IF($C428="",0,MATCH($C428,MTDesc,0))</f>
        <v>0.0</v>
      </c>
      <c r="F428" s="39">
        <f>IF($B428&lt;&gt;"",MATCH($B428,MTName,0),$E428+MATCH($D428,INDEX(MTDesc,$E428+1):MTEnd,0))</f>
        <v>113.0</v>
      </c>
      <c r="G428" s="3" t="str">
        <f>INDEX(MTDesc,$F428)</f>
        <v>construction</v>
      </c>
    </row>
    <row r="429">
      <c r="A429" s="3" t="inlineStr">
        <is>
          <t>etscov|all|ftr</t>
        </is>
      </c>
      <c r="B429" s="3" t="inlineStr">
        <is>
          <t>ETSCovFtr</t>
        </is>
      </c>
      <c r="C429" s="3" t="n"/>
      <c r="D429" s="3" t="n"/>
      <c r="E429" s="39">
        <f>IF($C429="",0,MATCH($C429,MTDesc,0))</f>
        <v>0.0</v>
      </c>
      <c r="F429" s="39">
        <f>IF($B429&lt;&gt;"",MATCH($B429,MTName,0),$E429+MATCH($D429,INDEX(MTDesc,$E429+1):MTEnd,0))</f>
        <v>114.0</v>
      </c>
      <c r="G429" s="3" t="str">
        <f>INDEX(MTDesc,$F429)</f>
        <v>fuel transformation</v>
      </c>
    </row>
    <row r="430">
      <c r="A430" s="3" t="inlineStr">
        <is>
          <t>etscov|all|oen</t>
        </is>
      </c>
      <c r="B430" s="3" t="inlineStr">
        <is>
          <t>ETSCovOen</t>
        </is>
      </c>
      <c r="C430" s="3" t="n"/>
      <c r="D430" s="3" t="n"/>
      <c r="E430" s="39">
        <f>IF($C430="",0,MATCH($C430,MTDesc,0))</f>
        <v>0.0</v>
      </c>
      <c r="F430" s="39">
        <f>IF($B430&lt;&gt;"",MATCH($B430,MTName,0),$E430+MATCH($D430,INDEX(MTDesc,$E430+1):MTEnd,0))</f>
        <v>115.0</v>
      </c>
      <c r="G430" s="3" t="str">
        <f>INDEX(MTDesc,$F430)</f>
        <v>other energy use</v>
      </c>
    </row>
    <row r="431">
      <c r="A431" s="3" t="inlineStr">
        <is>
          <t>fb.yr0||</t>
        </is>
      </c>
      <c r="B431" s="3" t="inlineStr">
        <is>
          <t>FeebateIntro</t>
        </is>
      </c>
      <c r="C431" s="3" t="n"/>
      <c r="D431" s="3" t="n"/>
      <c r="E431" s="39">
        <f>IF($C431="",0,MATCH($C431,MTDesc,0))</f>
        <v>0.0</v>
      </c>
      <c r="F431" s="39">
        <f>IF($B431&lt;&gt;"",MATCH($B431,MTName,0),$E431+MATCH($D431,INDEX(MTDesc,$E431+1):MTEnd,0))</f>
        <v>53.0</v>
      </c>
      <c r="G431" s="3" t="str">
        <f>INDEX(MTDesc,$F431)</f>
        <v>Start date</v>
      </c>
    </row>
    <row r="432">
      <c r="A432" s="3" t="inlineStr">
        <is>
          <t>fb.yr1||</t>
        </is>
      </c>
      <c r="B432" s="3" t="inlineStr">
        <is>
          <t>FeebateOutro</t>
        </is>
      </c>
      <c r="C432" s="3" t="n"/>
      <c r="D432" s="3" t="n"/>
      <c r="E432" s="39">
        <f>IF($C432="",0,MATCH($C432,MTDesc,0))</f>
        <v>0.0</v>
      </c>
      <c r="F432" s="39">
        <f>IF($B432&lt;&gt;"",MATCH($B432,MTName,0),$E432+MATCH($D432,INDEX(MTDesc,$E432+1):MTEnd,0))</f>
        <v>54.0</v>
      </c>
      <c r="G432" s="3" t="str">
        <f>INDEX(MTDesc,$F432)</f>
        <v>Target date</v>
      </c>
    </row>
    <row r="433">
      <c r="A433" s="3" t="inlineStr">
        <is>
          <t>fb.s|all|pow</t>
        </is>
      </c>
      <c r="B433" s="3" t="inlineStr">
        <is>
          <t>Feb_Level_Start_Pow</t>
        </is>
      </c>
      <c r="C433" s="3" t="n"/>
      <c r="D433" s="3" t="n"/>
      <c r="E433" s="39">
        <f>IF($C433="",0,MATCH($C433,MTDesc,0))</f>
        <v>0.0</v>
      </c>
      <c r="F433" s="39">
        <f>IF($B433&lt;&gt;"",MATCH($B433,MTName,0),$E433+MATCH($D433,INDEX(MTDesc,$E433+1):MTEnd,0))</f>
        <v>56.0</v>
      </c>
      <c r="G433" s="3" t="str">
        <f>INDEX(MTDesc,$F433)</f>
        <v>Power sector</v>
      </c>
    </row>
    <row r="434">
      <c r="A434" s="3" t="inlineStr">
        <is>
          <t>fb.s|all|tra</t>
        </is>
      </c>
      <c r="B434" s="3" t="inlineStr">
        <is>
          <t>Feb_Level_Start_Trans</t>
        </is>
      </c>
      <c r="C434" s="3" t="n"/>
      <c r="D434" s="3" t="n"/>
      <c r="E434" s="39">
        <f>IF($C434="",0,MATCH($C434,MTDesc,0))</f>
        <v>0.0</v>
      </c>
      <c r="F434" s="39">
        <f>IF($B434&lt;&gt;"",MATCH($B434,MTName,0),$E434+MATCH($D434,INDEX(MTDesc,$E434+1):MTEnd,0))</f>
        <v>57.0</v>
      </c>
      <c r="G434" s="3" t="str">
        <f>INDEX(MTDesc,$F434)</f>
        <v>Transport</v>
      </c>
    </row>
    <row r="435">
      <c r="A435" s="3" t="inlineStr">
        <is>
          <t>fb.s|all|res</t>
        </is>
      </c>
      <c r="B435" s="3" t="inlineStr">
        <is>
          <t>Feb_Level_Start_Res</t>
        </is>
      </c>
      <c r="C435" s="3" t="n"/>
      <c r="D435" s="3" t="n"/>
      <c r="E435" s="39">
        <f>IF($C435="",0,MATCH($C435,MTDesc,0))</f>
        <v>0.0</v>
      </c>
      <c r="F435" s="39">
        <f>IF($B435&lt;&gt;"",MATCH($B435,MTName,0),$E435+MATCH($D435,INDEX(MTDesc,$E435+1):MTEnd,0))</f>
        <v>58.0</v>
      </c>
      <c r="G435" s="3" t="str">
        <f>INDEX(MTDesc,$F435)</f>
        <v>Residential</v>
      </c>
    </row>
    <row r="436">
      <c r="A436" s="3" t="inlineStr">
        <is>
          <t>fb.s|all|ind</t>
        </is>
      </c>
      <c r="B436" s="3" t="inlineStr">
        <is>
          <t>Feb_Level_Start_Ind</t>
        </is>
      </c>
      <c r="C436" s="3" t="n"/>
      <c r="D436" s="3" t="n"/>
      <c r="E436" s="39">
        <f>IF($C436="",0,MATCH($C436,MTDesc,0))</f>
        <v>0.0</v>
      </c>
      <c r="F436" s="39">
        <f>IF($B436&lt;&gt;"",MATCH($B436,MTName,0),$E436+MATCH($D436,INDEX(MTDesc,$E436+1):MTEnd,0))</f>
        <v>59.0</v>
      </c>
      <c r="G436" s="3" t="str">
        <f>INDEX(MTDesc,$F436)</f>
        <v>Industry</v>
      </c>
    </row>
    <row r="437">
      <c r="A437" s="3" t="inlineStr">
        <is>
          <t>fb.t|all|pow</t>
        </is>
      </c>
      <c r="B437" s="3" t="inlineStr">
        <is>
          <t>Feb_Level_Target_Pow</t>
        </is>
      </c>
      <c r="C437" s="3" t="n"/>
      <c r="D437" s="3" t="n"/>
      <c r="E437" s="39">
        <f>IF($C437="",0,MATCH($C437,MTDesc,0))</f>
        <v>0.0</v>
      </c>
      <c r="F437" s="39">
        <f>IF($B437&lt;&gt;"",MATCH($B437,MTName,0),$E437+MATCH($D437,INDEX(MTDesc,$E437+1):MTEnd,0))</f>
        <v>61.0</v>
      </c>
      <c r="G437" s="3" t="str">
        <f>INDEX(MTDesc,$F437)</f>
        <v>Power sector</v>
      </c>
    </row>
    <row r="438">
      <c r="A438" s="3" t="inlineStr">
        <is>
          <t>fb.t|all|tra</t>
        </is>
      </c>
      <c r="B438" s="3" t="inlineStr">
        <is>
          <t>Feb_Level_Target_Trans</t>
        </is>
      </c>
      <c r="C438" s="3" t="n"/>
      <c r="D438" s="3" t="n"/>
      <c r="E438" s="39">
        <f>IF($C438="",0,MATCH($C438,MTDesc,0))</f>
        <v>0.0</v>
      </c>
      <c r="F438" s="39">
        <f>IF($B438&lt;&gt;"",MATCH($B438,MTName,0),$E438+MATCH($D438,INDEX(MTDesc,$E438+1):MTEnd,0))</f>
        <v>62.0</v>
      </c>
      <c r="G438" s="3" t="str">
        <f>INDEX(MTDesc,$F438)</f>
        <v>Transport</v>
      </c>
    </row>
    <row r="439">
      <c r="A439" s="3" t="inlineStr">
        <is>
          <t>fb.t|all|res</t>
        </is>
      </c>
      <c r="B439" s="3" t="inlineStr">
        <is>
          <t>Feb_Level_Target_Res</t>
        </is>
      </c>
      <c r="C439" s="3" t="n"/>
      <c r="D439" s="3" t="n"/>
      <c r="E439" s="39">
        <f>IF($C439="",0,MATCH($C439,MTDesc,0))</f>
        <v>0.0</v>
      </c>
      <c r="F439" s="39">
        <f>IF($B439&lt;&gt;"",MATCH($B439,MTName,0),$E439+MATCH($D439,INDEX(MTDesc,$E439+1):MTEnd,0))</f>
        <v>63.0</v>
      </c>
      <c r="G439" s="3" t="str">
        <f>INDEX(MTDesc,$F439)</f>
        <v>Residential</v>
      </c>
    </row>
    <row r="440">
      <c r="A440" s="3" t="inlineStr">
        <is>
          <t>fb.t|all|ind</t>
        </is>
      </c>
      <c r="B440" s="3" t="inlineStr">
        <is>
          <t>Feb_Level_Target_Ind</t>
        </is>
      </c>
      <c r="C440" s="3" t="n"/>
      <c r="D440" s="3" t="n"/>
      <c r="E440" s="39">
        <f>IF($C440="",0,MATCH($C440,MTDesc,0))</f>
        <v>0.0</v>
      </c>
      <c r="F440" s="39">
        <f>IF($B440&lt;&gt;"",MATCH($B440,MTName,0),$E440+MATCH($D440,INDEX(MTDesc,$E440+1):MTEnd,0))</f>
        <v>64.0</v>
      </c>
      <c r="G440" s="3" t="str">
        <f>INDEX(MTDesc,$F440)</f>
        <v>Industry</v>
      </c>
    </row>
    <row r="441">
      <c r="A441" s="3" t="inlineStr">
        <is>
          <t>fbcov|all|pow</t>
        </is>
      </c>
      <c r="B441" s="3" t="inlineStr">
        <is>
          <t>FbCovPow</t>
        </is>
      </c>
      <c r="C441" s="3" t="n"/>
      <c r="D441" s="3" t="n"/>
      <c r="E441" s="39">
        <f>IF($C441="",0,MATCH($C441,MTDesc,0))</f>
        <v>0.0</v>
      </c>
      <c r="F441" s="39">
        <f>IF($B441&lt;&gt;"",MATCH($B441,MTName,0),$E441+MATCH($D441,INDEX(MTDesc,$E441+1):MTEnd,0))</f>
        <v>66.0</v>
      </c>
      <c r="G441" s="3" t="str">
        <f>INDEX(MTDesc,$F441)</f>
        <v>Apply tax to power sector?</v>
      </c>
    </row>
    <row r="442">
      <c r="A442" s="3" t="inlineStr">
        <is>
          <t>fbcov|all|rod</t>
        </is>
      </c>
      <c r="B442" s="3" t="inlineStr">
        <is>
          <t>FbCovRod</t>
        </is>
      </c>
      <c r="C442" s="3" t="n"/>
      <c r="D442" s="3" t="n"/>
      <c r="E442" s="39">
        <f>IF($C442="",0,MATCH($C442,MTDesc,0))</f>
        <v>0.0</v>
      </c>
      <c r="F442" s="39">
        <f>IF($B442&lt;&gt;"",MATCH($B442,MTName,0),$E442+MATCH($D442,INDEX(MTDesc,$E442+1):MTEnd,0))</f>
        <v>67.0</v>
      </c>
      <c r="G442" s="3" t="str">
        <f>INDEX(MTDesc,$F442)</f>
        <v>Apply tax to road transportation?</v>
      </c>
    </row>
    <row r="443">
      <c r="A443" s="3" t="inlineStr">
        <is>
          <t>fbcov|all|ral</t>
        </is>
      </c>
      <c r="B443" s="3" t="inlineStr">
        <is>
          <t>FbCovRal</t>
        </is>
      </c>
      <c r="C443" s="3" t="n"/>
      <c r="D443" s="3" t="n"/>
      <c r="E443" s="39">
        <f>IF($C443="",0,MATCH($C443,MTDesc,0))</f>
        <v>0.0</v>
      </c>
      <c r="F443" s="39">
        <f>IF($B443&lt;&gt;"",MATCH($B443,MTName,0),$E443+MATCH($D443,INDEX(MTDesc,$E443+1):MTEnd,0))</f>
        <v>68.0</v>
      </c>
      <c r="G443" s="3" t="str">
        <f>INDEX(MTDesc,$F443)</f>
        <v>Apply tax to rail transportation?</v>
      </c>
    </row>
    <row r="444">
      <c r="A444" s="3" t="inlineStr">
        <is>
          <t>fbcov|all|avi</t>
        </is>
      </c>
      <c r="B444" s="3" t="inlineStr">
        <is>
          <t>FbCovAvi</t>
        </is>
      </c>
      <c r="C444" s="3" t="n"/>
      <c r="D444" s="3" t="n"/>
      <c r="E444" s="39">
        <f>IF($C444="",0,MATCH($C444,MTDesc,0))</f>
        <v>0.0</v>
      </c>
      <c r="F444" s="39">
        <f>IF($B444&lt;&gt;"",MATCH($B444,MTName,0),$E444+MATCH($D444,INDEX(MTDesc,$E444+1):MTEnd,0))</f>
        <v>69.0</v>
      </c>
      <c r="G444" s="3" t="str">
        <f>INDEX(MTDesc,$F444)</f>
        <v>Apply tax to domestic aviation?</v>
      </c>
    </row>
    <row r="445">
      <c r="A445" s="3" t="inlineStr">
        <is>
          <t>fbcov|all|nav</t>
        </is>
      </c>
      <c r="B445" s="3" t="inlineStr">
        <is>
          <t>FbCovNav</t>
        </is>
      </c>
      <c r="C445" s="3" t="n"/>
      <c r="D445" s="3" t="n"/>
      <c r="E445" s="39">
        <f>IF($C445="",0,MATCH($C445,MTDesc,0))</f>
        <v>0.0</v>
      </c>
      <c r="F445" s="39">
        <f>IF($B445&lt;&gt;"",MATCH($B445,MTName,0),$E445+MATCH($D445,INDEX(MTDesc,$E445+1):MTEnd,0))</f>
        <v>70.0</v>
      </c>
      <c r="G445" s="3" t="str">
        <f>INDEX(MTDesc,$F445)</f>
        <v>Apply tax to domestic shipping?</v>
      </c>
    </row>
    <row r="446">
      <c r="A446" s="3" t="inlineStr">
        <is>
          <t>fbcov|all|res</t>
        </is>
      </c>
      <c r="B446" s="3" t="inlineStr">
        <is>
          <t>FbCovRes</t>
        </is>
      </c>
      <c r="C446" s="3" t="n"/>
      <c r="D446" s="3" t="n"/>
      <c r="E446" s="39">
        <f>IF($C446="",0,MATCH($C446,MTDesc,0))</f>
        <v>0.0</v>
      </c>
      <c r="F446" s="39">
        <f>IF($B446&lt;&gt;"",MATCH($B446,MTName,0),$E446+MATCH($D446,INDEX(MTDesc,$E446+1):MTEnd,0))</f>
        <v>71.0</v>
      </c>
      <c r="G446" s="3" t="str">
        <f>INDEX(MTDesc,$F446)</f>
        <v>Apply tax to residential sector?</v>
      </c>
    </row>
    <row r="447">
      <c r="A447" s="3" t="inlineStr">
        <is>
          <t>fbcov|all|foo</t>
        </is>
      </c>
      <c r="B447" s="3" t="inlineStr">
        <is>
          <t>FbCovFoo</t>
        </is>
      </c>
      <c r="C447" s="3" t="n"/>
      <c r="D447" s="3" t="n"/>
      <c r="E447" s="39">
        <f>IF($C447="",0,MATCH($C447,MTDesc,0))</f>
        <v>0.0</v>
      </c>
      <c r="F447" s="39">
        <f>IF($B447&lt;&gt;"",MATCH($B447,MTName,0),$E447+MATCH($D447,INDEX(MTDesc,$E447+1):MTEnd,0))</f>
        <v>72.0</v>
      </c>
      <c r="G447" s="3" t="str">
        <f>INDEX(MTDesc,$F447)</f>
        <v>Apply tax to food &amp; forestry?</v>
      </c>
    </row>
    <row r="448">
      <c r="A448" s="3" t="inlineStr">
        <is>
          <t>fbcov|all|srv</t>
        </is>
      </c>
      <c r="B448" s="3" t="inlineStr">
        <is>
          <t>FbCovSrv</t>
        </is>
      </c>
      <c r="C448" s="3" t="n"/>
      <c r="D448" s="3" t="n"/>
      <c r="E448" s="39">
        <f>IF($C448="",0,MATCH($C448,MTDesc,0))</f>
        <v>0.0</v>
      </c>
      <c r="F448" s="39">
        <f>IF($B448&lt;&gt;"",MATCH($B448,MTName,0),$E448+MATCH($D448,INDEX(MTDesc,$E448+1):MTEnd,0))</f>
        <v>73.0</v>
      </c>
      <c r="G448" s="3" t="str">
        <f>INDEX(MTDesc,$F448)</f>
        <v>Apply tax to services (private / public)?</v>
      </c>
    </row>
    <row r="449">
      <c r="A449" s="3" t="inlineStr">
        <is>
          <t>fbcov|all|mch</t>
        </is>
      </c>
      <c r="B449" s="3" t="inlineStr">
        <is>
          <t>FbCovMch</t>
        </is>
      </c>
      <c r="C449" s="3" t="n"/>
      <c r="D449" s="3" t="n"/>
      <c r="E449" s="39">
        <f>IF($C449="",0,MATCH($C449,MTDesc,0))</f>
        <v>0.0</v>
      </c>
      <c r="F449" s="39">
        <f>IF($B449&lt;&gt;"",MATCH($B449,MTName,0),$E449+MATCH($D449,INDEX(MTDesc,$E449+1):MTEnd,0))</f>
        <v>74.0</v>
      </c>
      <c r="G449" s="3" t="str">
        <f>INDEX(MTDesc,$F449)</f>
        <v>Apply tax to mining &amp; chemicals?</v>
      </c>
    </row>
    <row r="450">
      <c r="A450" s="3" t="inlineStr">
        <is>
          <t>fbcov|all|irn</t>
        </is>
      </c>
      <c r="B450" s="3" t="inlineStr">
        <is>
          <t>FbCovIrn</t>
        </is>
      </c>
      <c r="C450" s="3" t="n"/>
      <c r="D450" s="3" t="n"/>
      <c r="E450" s="39">
        <f>IF($C450="",0,MATCH($C450,MTDesc,0))</f>
        <v>0.0</v>
      </c>
      <c r="F450" s="39">
        <f>IF($B450&lt;&gt;"",MATCH($B450,MTName,0),$E450+MATCH($D450,INDEX(MTDesc,$E450+1):MTEnd,0))</f>
        <v>75.0</v>
      </c>
      <c r="G450" s="3" t="str">
        <f>INDEX(MTDesc,$F450)</f>
        <v>Apply tax to iron and steel?</v>
      </c>
    </row>
    <row r="451">
      <c r="A451" s="3" t="inlineStr">
        <is>
          <t>fbcov|all|nfm</t>
        </is>
      </c>
      <c r="B451" s="3" t="inlineStr">
        <is>
          <t>FbCovNfm</t>
        </is>
      </c>
      <c r="C451" s="3" t="n"/>
      <c r="D451" s="3" t="n"/>
      <c r="E451" s="39">
        <f>IF($C451="",0,MATCH($C451,MTDesc,0))</f>
        <v>0.0</v>
      </c>
      <c r="F451" s="39">
        <f>IF($B451&lt;&gt;"",MATCH($B451,MTName,0),$E451+MATCH($D451,INDEX(MTDesc,$E451+1):MTEnd,0))</f>
        <v>76.0</v>
      </c>
      <c r="G451" s="3" t="str">
        <f>INDEX(MTDesc,$F451)</f>
        <v>Apply tax to non-ferrous metals?</v>
      </c>
    </row>
    <row r="452">
      <c r="A452" s="3" t="inlineStr">
        <is>
          <t>fbcov|all|mac</t>
        </is>
      </c>
      <c r="B452" s="3" t="inlineStr">
        <is>
          <t>FbCovMac</t>
        </is>
      </c>
      <c r="C452" s="3" t="n"/>
      <c r="D452" s="3" t="n"/>
      <c r="E452" s="39">
        <f>IF($C452="",0,MATCH($C452,MTDesc,0))</f>
        <v>0.0</v>
      </c>
      <c r="F452" s="39">
        <f>IF($B452&lt;&gt;"",MATCH($B452,MTName,0),$E452+MATCH($D452,INDEX(MTDesc,$E452+1):MTEnd,0))</f>
        <v>77.0</v>
      </c>
      <c r="G452" s="3" t="str">
        <f>INDEX(MTDesc,$F452)</f>
        <v>Apply tax to machinery?</v>
      </c>
    </row>
    <row r="453">
      <c r="A453" s="3" t="inlineStr">
        <is>
          <t>fbcov|all|cem</t>
        </is>
      </c>
      <c r="B453" s="3" t="inlineStr">
        <is>
          <t>FbCovCem</t>
        </is>
      </c>
      <c r="C453" s="3" t="n"/>
      <c r="D453" s="3" t="n"/>
      <c r="E453" s="39">
        <f>IF($C453="",0,MATCH($C453,MTDesc,0))</f>
        <v>0.0</v>
      </c>
      <c r="F453" s="39">
        <f>IF($B453&lt;&gt;"",MATCH($B453,MTName,0),$E453+MATCH($D453,INDEX(MTDesc,$E453+1):MTEnd,0))</f>
        <v>78.0</v>
      </c>
      <c r="G453" s="3" t="str">
        <f>INDEX(MTDesc,$F453)</f>
        <v>Apply tax to cement?</v>
      </c>
    </row>
    <row r="454">
      <c r="A454" s="3" t="inlineStr">
        <is>
          <t>fbcov|all|omn</t>
        </is>
      </c>
      <c r="B454" s="3" t="inlineStr">
        <is>
          <t>FbCovOmn</t>
        </is>
      </c>
      <c r="C454" s="3" t="n"/>
      <c r="D454" s="3" t="n"/>
      <c r="E454" s="39">
        <f>IF($C454="",0,MATCH($C454,MTDesc,0))</f>
        <v>0.0</v>
      </c>
      <c r="F454" s="39">
        <f>IF($B454&lt;&gt;"",MATCH($B454,MTName,0),$E454+MATCH($D454,INDEX(MTDesc,$E454+1):MTEnd,0))</f>
        <v>79.0</v>
      </c>
      <c r="G454" s="3" t="str">
        <f>INDEX(MTDesc,$F454)</f>
        <v>Apply tax to other manucfacturing?</v>
      </c>
    </row>
    <row r="455">
      <c r="A455" s="3" t="inlineStr">
        <is>
          <t>fbcov|all|cst</t>
        </is>
      </c>
      <c r="B455" s="3" t="inlineStr">
        <is>
          <t>FbCovCst</t>
        </is>
      </c>
      <c r="C455" s="3" t="n"/>
      <c r="D455" s="3" t="n"/>
      <c r="E455" s="39">
        <f>IF($C455="",0,MATCH($C455,MTDesc,0))</f>
        <v>0.0</v>
      </c>
      <c r="F455" s="39">
        <f>IF($B455&lt;&gt;"",MATCH($B455,MTName,0),$E455+MATCH($D455,INDEX(MTDesc,$E455+1):MTEnd,0))</f>
        <v>80.0</v>
      </c>
      <c r="G455" s="3" t="str">
        <f>INDEX(MTDesc,$F455)</f>
        <v>Apply tax to construction?</v>
      </c>
    </row>
    <row r="456">
      <c r="A456" s="3" t="inlineStr">
        <is>
          <t>fbcov|all|ftr</t>
        </is>
      </c>
      <c r="B456" s="3" t="inlineStr">
        <is>
          <t>FbCovFtr</t>
        </is>
      </c>
      <c r="C456" s="3" t="n"/>
      <c r="D456" s="3" t="n"/>
      <c r="E456" s="39">
        <f>IF($C456="",0,MATCH($C456,MTDesc,0))</f>
        <v>0.0</v>
      </c>
      <c r="F456" s="39">
        <f>IF($B456&lt;&gt;"",MATCH($B456,MTName,0),$E456+MATCH($D456,INDEX(MTDesc,$E456+1):MTEnd,0))</f>
        <v>81.0</v>
      </c>
      <c r="G456" s="3" t="str">
        <f>INDEX(MTDesc,$F456)</f>
        <v>Apply tax to fuel transformation?</v>
      </c>
    </row>
    <row r="457">
      <c r="A457" s="3" t="inlineStr">
        <is>
          <t>fbcov|all|oen</t>
        </is>
      </c>
      <c r="B457" s="3" t="inlineStr">
        <is>
          <t>FbCovOen</t>
        </is>
      </c>
      <c r="C457" s="3" t="n"/>
      <c r="D457" s="3" t="n"/>
      <c r="E457" s="39">
        <f>IF($C457="",0,MATCH($C457,MTDesc,0))</f>
        <v>0.0</v>
      </c>
      <c r="F457" s="39">
        <f>IF($B457&lt;&gt;"",MATCH($B457,MTName,0),$E457+MATCH($D457,INDEX(MTDesc,$E457+1):MTEnd,0))</f>
        <v>82.0</v>
      </c>
      <c r="G457" s="3" t="str">
        <f>INDEX(MTDesc,$F457)</f>
        <v>Apply tax to other energy use?</v>
      </c>
    </row>
    <row r="458">
      <c r="A458" s="3" t="inlineStr">
        <is>
          <t>ScenarioSelected||</t>
        </is>
      </c>
      <c r="B458" s="3" t="inlineStr">
        <is>
          <t>ScenarioSelected</t>
        </is>
      </c>
      <c r="C458" s="3" t="n"/>
      <c r="D458" s="3" t="n"/>
      <c r="E458" s="39">
        <f>IF($C458="",0,MATCH($C458,MTDesc,0))</f>
        <v>0.0</v>
      </c>
      <c r="F458" s="39">
        <f>IF($B458&lt;&gt;"",MATCH($B458,MTName,0),$E458+MATCH($D458,INDEX(MTDesc,$E458+1):MTEnd,0))</f>
        <v>13.0</v>
      </c>
      <c r="G458" s="3" t="str">
        <f>INDEX(MTDesc,$F458)</f>
        <v>Chosen policy</v>
      </c>
    </row>
    <row r="459">
      <c r="A459" s="3" t="inlineStr">
        <is>
          <t>SPPEffAdjEnergyEfficiencyRegulations||</t>
        </is>
      </c>
      <c r="B459" s="3" t="inlineStr">
        <is>
          <t>SPPEffAdjEnergyEfficiencyRegulations</t>
        </is>
      </c>
      <c r="C459" s="3" t="n"/>
      <c r="D459" s="3" t="n"/>
      <c r="E459" s="39">
        <f>IF($C459="",0,MATCH($C459,MTDesc,0))</f>
        <v>0.0</v>
      </c>
      <c r="F459" s="39">
        <f>IF($B459&lt;&gt;"",MATCH($B459,MTName,0),$E459+MATCH($D459,INDEX(MTDesc,$E459+1):MTEnd,0))</f>
        <v>247.0</v>
      </c>
      <c r="G459" s="3" t="str">
        <f>INDEX(MTDesc,$F459)</f>
        <v>Energy efficiency regulations</v>
      </c>
    </row>
    <row r="460">
      <c r="A460" s="3" t="inlineStr">
        <is>
          <t>SPPEffAdjVehicleFuelEconomy||</t>
        </is>
      </c>
      <c r="B460" s="3" t="inlineStr">
        <is>
          <t>SPPEffAdjVehicleFuelEconomy</t>
        </is>
      </c>
      <c r="C460" s="3" t="n"/>
      <c r="D460" s="3" t="n"/>
      <c r="E460" s="39">
        <f>IF($C460="",0,MATCH($C460,MTDesc,0))</f>
        <v>0.0</v>
      </c>
      <c r="F460" s="39">
        <f>IF($B460&lt;&gt;"",MATCH($B460,MTName,0),$E460+MATCH($D460,INDEX(MTDesc,$E460+1):MTEnd,0))</f>
        <v>248.0</v>
      </c>
      <c r="G460" s="3" t="str">
        <f>INDEX(MTDesc,$F460)</f>
        <v>Vehicle fuel economy</v>
      </c>
    </row>
    <row r="461">
      <c r="A461" s="3" t="inlineStr">
        <is>
          <t>SPPEffAdjRes||</t>
        </is>
      </c>
      <c r="B461" s="3" t="inlineStr">
        <is>
          <t>SPPEffAdjRes</t>
        </is>
      </c>
      <c r="C461" s="3" t="n"/>
      <c r="D461" s="3" t="n"/>
      <c r="E461" s="39">
        <f>IF($C461="",0,MATCH($C461,MTDesc,0))</f>
        <v>0.0</v>
      </c>
      <c r="F461" s="39">
        <f>IF($B461&lt;&gt;"",MATCH($B461,MTName,0),$E461+MATCH($D461,INDEX(MTDesc,$E461+1):MTEnd,0))</f>
        <v>249.0</v>
      </c>
      <c r="G461" s="3" t="str">
        <f>INDEX(MTDesc,$F461)</f>
        <v>Residential efficiency regulations</v>
      </c>
    </row>
    <row r="462">
      <c r="A462" s="3" t="inlineStr">
        <is>
          <t>SPPEffAdjInd||</t>
        </is>
      </c>
      <c r="B462" s="3" t="inlineStr">
        <is>
          <t>SPPEffAdjInd</t>
        </is>
      </c>
      <c r="C462" s="3" t="n"/>
      <c r="D462" s="3" t="n"/>
      <c r="E462" s="39">
        <f>IF($C462="",0,MATCH($C462,MTDesc,0))</f>
        <v>0.0</v>
      </c>
      <c r="F462" s="39">
        <f>IF($B462&lt;&gt;"",MATCH($B462,MTName,0),$E462+MATCH($D462,INDEX(MTDesc,$E462+1):MTEnd,0))</f>
        <v>250.0</v>
      </c>
      <c r="G462" s="3" t="str">
        <f>INDEX(MTDesc,$F462)</f>
        <v>Industrial efficiency regulations</v>
      </c>
    </row>
    <row r="463">
      <c r="A463" s="3" t="inlineStr">
        <is>
          <t>SPPEffAdjFeebates||</t>
        </is>
      </c>
      <c r="B463" s="3" t="inlineStr">
        <is>
          <t>SPPEffAdjFeebates</t>
        </is>
      </c>
      <c r="C463" s="3" t="n"/>
      <c r="D463" s="3" t="n"/>
      <c r="E463" s="39">
        <f>IF($C463="",0,MATCH($C463,MTDesc,0))</f>
        <v>0.0</v>
      </c>
      <c r="F463" s="39">
        <f>IF($B463&lt;&gt;"",MATCH($B463,MTName,0),$E463+MATCH($D463,INDEX(MTDesc,$E463+1):MTEnd,0))</f>
        <v>251.0</v>
      </c>
      <c r="G463" s="3" t="str">
        <f>INDEX(MTDesc,$F463)</f>
        <v>Feebates</v>
      </c>
    </row>
    <row r="464">
      <c r="A464" s="3" t="inlineStr">
        <is>
          <t>ExistingCTApply||</t>
        </is>
      </c>
      <c r="B464" s="3" t="inlineStr">
        <is>
          <t>ExistingCTApply</t>
        </is>
      </c>
      <c r="C464" s="3" t="n"/>
      <c r="D464" s="3" t="n"/>
      <c r="E464" s="39">
        <f>IF($C464="",0,MATCH($C464,MTDesc,0))</f>
        <v>0.0</v>
      </c>
      <c r="F464" s="39">
        <f>IF($B464&lt;&gt;"",MATCH($B464,MTName,0),$E464+MATCH($D464,INDEX(MTDesc,$E464+1):MTEnd,0))</f>
        <v>213.0</v>
      </c>
      <c r="G464" s="3" t="str">
        <f>INDEX(MTDesc,$F464)</f>
        <v>Apply existing carbon tax (if exists)?</v>
      </c>
    </row>
    <row r="465">
      <c r="A465" s="3" t="inlineStr">
        <is>
          <t>ExistingCTGrowth||</t>
        </is>
      </c>
      <c r="B465" s="3" t="inlineStr">
        <is>
          <t>ExistingCTGrowth</t>
        </is>
      </c>
      <c r="C465" s="3" t="n"/>
      <c r="D465" s="3" t="n"/>
      <c r="E465" s="39">
        <f>IF($C465="",0,MATCH($C465,MTDesc,0))</f>
        <v>0.0</v>
      </c>
      <c r="F465" s="39">
        <f>IF($B465&lt;&gt;"",MATCH($B465,MTName,0),$E465+MATCH($D465,INDEX(MTDesc,$E465+1):MTEnd,0))</f>
        <v>214.0</v>
      </c>
      <c r="G465" s="3" t="str">
        <f>INDEX(MTDesc,$F465)</f>
        <v>Assumed existing carbon tax growth per annum (real terms)</v>
      </c>
    </row>
    <row r="466">
      <c r="A466" s="3" t="inlineStr">
        <is>
          <t>ExistingETSApply||</t>
        </is>
      </c>
      <c r="B466" s="3" t="inlineStr">
        <is>
          <t>ExistingETSApply</t>
        </is>
      </c>
      <c r="C466" s="3" t="n"/>
      <c r="D466" s="3" t="n"/>
      <c r="E466" s="39">
        <f>IF($C466="",0,MATCH($C466,MTDesc,0))</f>
        <v>0.0</v>
      </c>
      <c r="F466" s="39">
        <f>IF($B466&lt;&gt;"",MATCH($B466,MTName,0),$E466+MATCH($D466,INDEX(MTDesc,$E466+1):MTEnd,0))</f>
        <v>208.0</v>
      </c>
      <c r="G466" s="3" t="str">
        <f>INDEX(MTDesc,$F466)</f>
        <v>Apply existing ETS (if exists)?</v>
      </c>
    </row>
    <row r="467">
      <c r="A467" s="3" t="inlineStr">
        <is>
          <t>ExistingETSGrowth||</t>
        </is>
      </c>
      <c r="B467" s="3" t="inlineStr">
        <is>
          <t>ExistingETSGrowth</t>
        </is>
      </c>
      <c r="C467" s="3" t="n"/>
      <c r="D467" s="3" t="n"/>
      <c r="E467" s="39">
        <f>IF($C467="",0,MATCH($C467,MTDesc,0))</f>
        <v>0.0</v>
      </c>
      <c r="F467" s="39">
        <f>IF($B467&lt;&gt;"",MATCH($B467,MTName,0),$E467+MATCH($D467,INDEX(MTDesc,$E467+1):MTEnd,0))</f>
        <v>209.0</v>
      </c>
      <c r="G467" s="3" t="str">
        <f>INDEX(MTDesc,$F467)</f>
        <v>Existing ETS permit price growth per annum (real terms)</v>
      </c>
    </row>
    <row r="468">
      <c r="A468" s="3" t="inlineStr">
        <is>
          <t>CTaxComplimentaryToETS||</t>
        </is>
      </c>
      <c r="B468" s="3" t="inlineStr">
        <is>
          <t>CTaxComplimentaryToETS</t>
        </is>
      </c>
      <c r="C468" s="3" t="n"/>
      <c r="D468" s="3" t="n"/>
      <c r="E468" s="39">
        <f>IF($C468="",0,MATCH($C468,MTDesc,0))</f>
        <v>0.0</v>
      </c>
      <c r="F468" s="39">
        <f>IF($B468&lt;&gt;"",MATCH($B468,MTName,0),$E468+MATCH($D468,INDEX(MTDesc,$E468+1):MTEnd,0))</f>
        <v>210.0</v>
      </c>
      <c r="G468" s="3" t="str">
        <f>INDEX(MTDesc,$F468)</f>
        <v>New carbon tax complementary to existing ETS coverage</v>
      </c>
    </row>
    <row r="469">
      <c r="A469" s="3" t="inlineStr">
        <is>
          <t>ProdSubPh||</t>
        </is>
      </c>
      <c r="B469" s="3" t="inlineStr">
        <is>
          <t>ProdSubPh</t>
        </is>
      </c>
      <c r="C469" s="3" t="n"/>
      <c r="D469" s="3" t="n"/>
      <c r="E469" s="39">
        <f>IF($C469="",0,MATCH($C469,MTDesc,0))</f>
        <v>0.0</v>
      </c>
      <c r="F469" s="39">
        <f>IF($B469&lt;&gt;"",MATCH($B469,MTName,0),$E469+MATCH($D469,INDEX(MTDesc,$E469+1):MTEnd,0))</f>
        <v>123.0</v>
      </c>
      <c r="G469" s="3" t="str">
        <f>INDEX(MTDesc,$F469)</f>
        <v>Apply producer subsidies phaseout in the policy scenario?</v>
      </c>
    </row>
    <row r="470">
      <c r="A470" s="3" t="inlineStr">
        <is>
          <t>YearProdSubPha||</t>
        </is>
      </c>
      <c r="B470" s="3" t="inlineStr">
        <is>
          <t>YearProdSubPha</t>
        </is>
      </c>
      <c r="C470" s="3" t="n"/>
      <c r="D470" s="3" t="n"/>
      <c r="E470" s="39">
        <f>IF($C470="",0,MATCH($C470,MTDesc,0))</f>
        <v>0.0</v>
      </c>
      <c r="F470" s="39">
        <f>IF($B470&lt;&gt;"",MATCH($B470,MTName,0),$E470+MATCH($D470,INDEX(MTDesc,$E470+1):MTEnd,0))</f>
        <v>124.0</v>
      </c>
      <c r="G470" s="3" t="str">
        <f>INDEX(MTDesc,$F470)</f>
        <v>Year to start producer subsidies phaseout (if applicable)</v>
      </c>
    </row>
    <row r="471">
      <c r="A471" s="3" t="inlineStr">
        <is>
          <t>FFSProdPhaseoutPeriod||</t>
        </is>
      </c>
      <c r="B471" s="3" t="inlineStr">
        <is>
          <t>FFSProdPhaseoutPeriod</t>
        </is>
      </c>
      <c r="C471" s="3" t="n"/>
      <c r="D471" s="3" t="n"/>
      <c r="E471" s="39">
        <f>IF($C471="",0,MATCH($C471,MTDesc,0))</f>
        <v>0.0</v>
      </c>
      <c r="F471" s="39">
        <f>IF($B471&lt;&gt;"",MATCH($B471,MTName,0),$E471+MATCH($D471,INDEX(MTDesc,$E471+1):MTEnd,0))</f>
        <v>125.0</v>
      </c>
      <c r="G471" s="3" t="str">
        <f>INDEX(MTDesc,$F471)</f>
        <v>Period to reach full producer subsidies phaseout (if applicable)</v>
      </c>
    </row>
    <row r="472">
      <c r="A472" s="3" t="inlineStr">
        <is>
          <t>ShareofProdSubPha||</t>
        </is>
      </c>
      <c r="B472" s="3" t="inlineStr">
        <is>
          <t>ShareofProdSubPha</t>
        </is>
      </c>
      <c r="C472" s="3" t="n"/>
      <c r="D472" s="3" t="n"/>
      <c r="E472" s="39">
        <f>IF($C472="",0,MATCH($C472,MTDesc,0))</f>
        <v>0.0</v>
      </c>
      <c r="F472" s="39">
        <f>IF($B472&lt;&gt;"",MATCH($B472,MTName,0),$E472+MATCH($D472,INDEX(MTDesc,$E472+1):MTEnd,0))</f>
        <v>126.0</v>
      </c>
      <c r="G472" s="3" t="str">
        <f>INDEX(MTDesc,$F472)</f>
        <v>Share of producer subsidies to phase-out</v>
      </c>
    </row>
    <row r="473">
      <c r="A473" s="3" t="inlineStr">
        <is>
          <t>ProdSubPhaBaseline||</t>
        </is>
      </c>
      <c r="B473" s="3" t="inlineStr">
        <is>
          <t>ProdSubPhaBaseline</t>
        </is>
      </c>
      <c r="C473" s="3" t="n"/>
      <c r="D473" s="3" t="n"/>
      <c r="E473" s="39">
        <f>IF($C473="",0,MATCH($C473,MTDesc,0))</f>
        <v>0.0</v>
      </c>
      <c r="F473" s="39">
        <f>IF($B473&lt;&gt;"",MATCH($B473,MTName,0),$E473+MATCH($D473,INDEX(MTDesc,$E473+1):MTEnd,0))</f>
        <v>127.0</v>
      </c>
      <c r="G473" s="3" t="str">
        <f>INDEX(MTDesc,$F473)</f>
        <v>Apply producer subsidies phaseout in the baseline?</v>
      </c>
    </row>
    <row r="474">
      <c r="A474" s="3" t="inlineStr">
        <is>
          <t>FFSProdPhaseoutPeriodBA||</t>
        </is>
      </c>
      <c r="B474" s="3" t="inlineStr">
        <is>
          <t>FFSProdPhaseoutPeriodBA</t>
        </is>
      </c>
      <c r="C474" s="3" t="n"/>
      <c r="D474" s="3" t="n"/>
      <c r="E474" s="39">
        <f>IF($C474="",0,MATCH($C474,MTDesc,0))</f>
        <v>0.0</v>
      </c>
      <c r="F474" s="39">
        <f>IF($B474&lt;&gt;"",MATCH($B474,MTName,0),$E474+MATCH($D474,INDEX(MTDesc,$E474+1):MTEnd,0))</f>
        <v>128.0</v>
      </c>
      <c r="G474" s="3" t="str">
        <f>INDEX(MTDesc,$F474)</f>
        <v>Period to reach full producer subsidies phaseout (baseline)</v>
      </c>
    </row>
    <row r="475">
      <c r="A475" s="3" t="inlineStr">
        <is>
          <t>ShareOfProdSubPhaBA||</t>
        </is>
      </c>
      <c r="B475" s="3" t="inlineStr">
        <is>
          <t>ShareOfProdSubPhaBA</t>
        </is>
      </c>
      <c r="C475" s="3" t="n"/>
      <c r="D475" s="3" t="n"/>
      <c r="E475" s="39">
        <f>IF($C475="",0,MATCH($C475,MTDesc,0))</f>
        <v>0.0</v>
      </c>
      <c r="F475" s="39">
        <f>IF($B475&lt;&gt;"",MATCH($B475,MTName,0),$E475+MATCH($D475,INDEX(MTDesc,$E475+1):MTEnd,0))</f>
        <v>129.0</v>
      </c>
      <c r="G475" s="3" t="str">
        <f>INDEX(MTDesc,$F475)</f>
        <v>Share of producer subsidies to phase-out in the baseline</v>
      </c>
    </row>
    <row r="476">
      <c r="A476" s="3" t="inlineStr">
        <is>
          <t>ConsSubPha||</t>
        </is>
      </c>
      <c r="B476" s="3" t="inlineStr">
        <is>
          <t>ConsSubPha</t>
        </is>
      </c>
      <c r="C476" s="3" t="n"/>
      <c r="D476" s="3" t="n"/>
      <c r="E476" s="39">
        <f>IF($C476="",0,MATCH($C476,MTDesc,0))</f>
        <v>0.0</v>
      </c>
      <c r="F476" s="39">
        <f>IF($B476&lt;&gt;"",MATCH($B476,MTName,0),$E476+MATCH($D476,INDEX(MTDesc,$E476+1):MTEnd,0))</f>
        <v>131.0</v>
      </c>
      <c r="G476" s="3" t="str">
        <f>INDEX(MTDesc,$F476)</f>
        <v>Apply consumer subsidies phaseout?</v>
      </c>
    </row>
    <row r="477">
      <c r="A477" s="3" t="inlineStr">
        <is>
          <t>YearConsSubPha||</t>
        </is>
      </c>
      <c r="B477" s="3" t="inlineStr">
        <is>
          <t>YearConsSubPha</t>
        </is>
      </c>
      <c r="C477" s="3" t="n"/>
      <c r="D477" s="3" t="n"/>
      <c r="E477" s="39">
        <f>IF($C477="",0,MATCH($C477,MTDesc,0))</f>
        <v>0.0</v>
      </c>
      <c r="F477" s="39">
        <f>IF($B477&lt;&gt;"",MATCH($B477,MTName,0),$E477+MATCH($D477,INDEX(MTDesc,$E477+1):MTEnd,0))</f>
        <v>132.0</v>
      </c>
      <c r="G477" s="3" t="str">
        <f>INDEX(MTDesc,$F477)</f>
        <v>Year to start consumer subsidies phaseout (if applicable)</v>
      </c>
    </row>
    <row r="478">
      <c r="A478" s="3" t="inlineStr">
        <is>
          <t>FFPhaseOut||</t>
        </is>
      </c>
      <c r="B478" s="3" t="inlineStr">
        <is>
          <t>FFPhaseOut</t>
        </is>
      </c>
      <c r="C478" s="3" t="n"/>
      <c r="D478" s="3" t="n"/>
      <c r="E478" s="39">
        <f>IF($C478="",0,MATCH($C478,MTDesc,0))</f>
        <v>0.0</v>
      </c>
      <c r="F478" s="39">
        <f>IF($B478&lt;&gt;"",MATCH($B478,MTName,0),$E478+MATCH($D478,INDEX(MTDesc,$E478+1):MTEnd,0))</f>
        <v>133.0</v>
      </c>
      <c r="G478" s="3" t="str">
        <f>INDEX(MTDesc,$F478)</f>
        <v>Period to reach full consumer subsidies phaseout (if applicable)</v>
      </c>
    </row>
    <row r="479">
      <c r="A479" s="3" t="inlineStr">
        <is>
          <t>ShareOfConsSubPha||</t>
        </is>
      </c>
      <c r="B479" s="3" t="inlineStr">
        <is>
          <t>ShareOfConsSubPha</t>
        </is>
      </c>
      <c r="C479" s="3" t="n"/>
      <c r="D479" s="3" t="n"/>
      <c r="E479" s="39">
        <f>IF($C479="",0,MATCH($C479,MTDesc,0))</f>
        <v>0.0</v>
      </c>
      <c r="F479" s="39">
        <f>IF($B479&lt;&gt;"",MATCH($B479,MTName,0),$E479+MATCH($D479,INDEX(MTDesc,$E479+1):MTEnd,0))</f>
        <v>134.0</v>
      </c>
      <c r="G479" s="3" t="str">
        <f>INDEX(MTDesc,$F479)</f>
        <v>Share of consumer subsidies to phase-out</v>
      </c>
    </row>
    <row r="480">
      <c r="A480" s="3" t="inlineStr">
        <is>
          <t>ConsSubPhaBaseline||</t>
        </is>
      </c>
      <c r="B480" s="3" t="inlineStr">
        <is>
          <t>ConsSubPhaBaseline</t>
        </is>
      </c>
      <c r="C480" s="3" t="n"/>
      <c r="D480" s="3" t="n"/>
      <c r="E480" s="39">
        <f>IF($C480="",0,MATCH($C480,MTDesc,0))</f>
        <v>0.0</v>
      </c>
      <c r="F480" s="39">
        <f>IF($B480&lt;&gt;"",MATCH($B480,MTName,0),$E480+MATCH($D480,INDEX(MTDesc,$E480+1):MTEnd,0))</f>
        <v>135.0</v>
      </c>
      <c r="G480" s="3" t="str">
        <f>INDEX(MTDesc,$F480)</f>
        <v>Apply consumer subsidies phaseout in the baseline?</v>
      </c>
    </row>
    <row r="481">
      <c r="A481" s="3" t="inlineStr">
        <is>
          <t>FFSConsPhaseoutPeriodBA||</t>
        </is>
      </c>
      <c r="B481" s="3" t="inlineStr">
        <is>
          <t>FFSConsPhaseoutPeriodBA</t>
        </is>
      </c>
      <c r="C481" s="3" t="n"/>
      <c r="D481" s="3" t="n"/>
      <c r="E481" s="39">
        <f>IF($C481="",0,MATCH($C481,MTDesc,0))</f>
        <v>0.0</v>
      </c>
      <c r="F481" s="39">
        <f>IF($B481&lt;&gt;"",MATCH($B481,MTName,0),$E481+MATCH($D481,INDEX(MTDesc,$E481+1):MTEnd,0))</f>
        <v>136.0</v>
      </c>
      <c r="G481" s="3" t="str">
        <f>INDEX(MTDesc,$F481)</f>
        <v>Period to reach full consumer subsidies phaseout (baseline)</v>
      </c>
    </row>
    <row r="482">
      <c r="A482" s="3" t="inlineStr">
        <is>
          <t>ShareofConsSubPhaBA||</t>
        </is>
      </c>
      <c r="B482" s="3" t="inlineStr">
        <is>
          <t>ShareofConsSubPhaBA</t>
        </is>
      </c>
      <c r="C482" s="3" t="n"/>
      <c r="D482" s="3" t="n"/>
      <c r="E482" s="39">
        <f>IF($C482="",0,MATCH($C482,MTDesc,0))</f>
        <v>0.0</v>
      </c>
      <c r="F482" s="39">
        <f>IF($B482&lt;&gt;"",MATCH($B482,MTName,0),$E482+MATCH($D482,INDEX(MTDesc,$E482+1):MTEnd,0))</f>
        <v>137.0</v>
      </c>
      <c r="G482" s="3" t="str">
        <f>INDEX(MTDesc,$F482)</f>
        <v>Share of consumer subsidies to phase-out in the baseline</v>
      </c>
    </row>
    <row r="483">
      <c r="A483" s="3" t="inlineStr">
        <is>
          <t>PrcContPha||</t>
        </is>
      </c>
      <c r="B483" s="3" t="inlineStr">
        <is>
          <t>PrcContPha</t>
        </is>
      </c>
      <c r="C483" s="3" t="n"/>
      <c r="D483" s="3" t="n"/>
      <c r="E483" s="39">
        <f>IF($C483="",0,MATCH($C483,MTDesc,0))</f>
        <v>0.0</v>
      </c>
      <c r="F483" s="39">
        <f>IF($B483&lt;&gt;"",MATCH($B483,MTName,0),$E483+MATCH($D483,INDEX(MTDesc,$E483+1):MTEnd,0))</f>
        <v>191.0</v>
      </c>
      <c r="G483" s="3" t="str">
        <f>INDEX(MTDesc,$F483)</f>
        <v>Apply price controls phaseout?</v>
      </c>
    </row>
    <row r="484">
      <c r="A484" s="3" t="inlineStr">
        <is>
          <t>YearPrcContPha||</t>
        </is>
      </c>
      <c r="B484" s="3" t="inlineStr">
        <is>
          <t>YearPrcContPha</t>
        </is>
      </c>
      <c r="C484" s="3" t="n"/>
      <c r="D484" s="3" t="n"/>
      <c r="E484" s="39">
        <f>IF($C484="",0,MATCH($C484,MTDesc,0))</f>
        <v>0.0</v>
      </c>
      <c r="F484" s="39">
        <f>IF($B484&lt;&gt;"",MATCH($B484,MTName,0),$E484+MATCH($D484,INDEX(MTDesc,$E484+1):MTEnd,0))</f>
        <v>192.0</v>
      </c>
      <c r="G484" s="3" t="str">
        <f>INDEX(MTDesc,$F484)</f>
        <v>Year to start price controls phaseout (if applicable)</v>
      </c>
    </row>
    <row r="485">
      <c r="A485" s="3" t="inlineStr">
        <is>
          <t>PrcControlPhaseout||</t>
        </is>
      </c>
      <c r="B485" s="3" t="inlineStr">
        <is>
          <t>PrcControlPhaseout</t>
        </is>
      </c>
      <c r="C485" s="3" t="n"/>
      <c r="D485" s="3" t="n"/>
      <c r="E485" s="39">
        <f>IF($C485="",0,MATCH($C485,MTDesc,0))</f>
        <v>0.0</v>
      </c>
      <c r="F485" s="39">
        <f>IF($B485&lt;&gt;"",MATCH($B485,MTName,0),$E485+MATCH($D485,INDEX(MTDesc,$E485+1):MTEnd,0))</f>
        <v>193.0</v>
      </c>
      <c r="G485" s="3" t="str">
        <f>INDEX(MTDesc,$F485)</f>
        <v>Period to reach full price controls phaseout (if applicable)</v>
      </c>
    </row>
    <row r="486">
      <c r="A486" s="3" t="inlineStr">
        <is>
          <t>PrcContPhaBaseline||</t>
        </is>
      </c>
      <c r="B486" s="3" t="inlineStr">
        <is>
          <t>PrcContPhaBaseline</t>
        </is>
      </c>
      <c r="C486" s="3" t="n"/>
      <c r="D486" s="3" t="n"/>
      <c r="E486" s="39">
        <f>IF($C486="",0,MATCH($C486,MTDesc,0))</f>
        <v>0.0</v>
      </c>
      <c r="F486" s="39">
        <f>IF($B486&lt;&gt;"",MATCH($B486,MTName,0),$E486+MATCH($D486,INDEX(MTDesc,$E486+1):MTEnd,0))</f>
        <v>195.0</v>
      </c>
      <c r="G486" s="3" t="str">
        <f>INDEX(MTDesc,$F486)</f>
        <v>Apply price controls phaseout in the baseline scenario?</v>
      </c>
    </row>
    <row r="487">
      <c r="A487" s="3" t="inlineStr">
        <is>
          <t>csi|coa|pow</t>
        </is>
      </c>
      <c r="B487" s="3" t="inlineStr">
        <is>
          <t>ConsSubPhaseScope_coa_pow</t>
        </is>
      </c>
      <c r="C487" s="3" t="n"/>
      <c r="D487" s="3" t="n"/>
      <c r="E487" s="39">
        <f>IF($C487="",0,MATCH($C487,MTDesc,0))</f>
        <v>0.0</v>
      </c>
      <c r="F487" s="39">
        <f>IF($B487&lt;&gt;"",MATCH($B487,MTName,0),$E487+MATCH($D487,INDEX(MTDesc,$E487+1):MTEnd,0))</f>
        <v>490.0</v>
      </c>
      <c r="G487" s="3" t="str">
        <f>INDEX(MTDesc,$F487)</f>
        <v>Consumer subsidy phase-out applies to Coal, Power (1 = yes; v0.5.6, was Constants csi)</v>
      </c>
    </row>
    <row r="488">
      <c r="A488" s="3" t="inlineStr">
        <is>
          <t>csi|coa|res</t>
        </is>
      </c>
      <c r="B488" s="3" t="inlineStr">
        <is>
          <t>ConsSubPhaseScope_coa_res</t>
        </is>
      </c>
      <c r="C488" s="3" t="n"/>
      <c r="D488" s="3" t="n"/>
      <c r="E488" s="39">
        <f>IF($C488="",0,MATCH($C488,MTDesc,0))</f>
        <v>0.0</v>
      </c>
      <c r="F488" s="39">
        <f>IF($B488&lt;&gt;"",MATCH($B488,MTName,0),$E488+MATCH($D488,INDEX(MTDesc,$E488+1):MTEnd,0))</f>
        <v>491.0</v>
      </c>
      <c r="G488" s="3" t="str">
        <f>INDEX(MTDesc,$F488)</f>
        <v>Consumer subsidy phase-out applies to Coal, Residential (1 = yes; v0.5.6, was Constants csi)</v>
      </c>
    </row>
    <row r="489">
      <c r="A489" s="3" t="inlineStr">
        <is>
          <t>csi|coa|ind</t>
        </is>
      </c>
      <c r="B489" s="3" t="inlineStr">
        <is>
          <t>ConsSubPhaseScope_coa_ind</t>
        </is>
      </c>
      <c r="C489" s="3" t="n"/>
      <c r="D489" s="3" t="n"/>
      <c r="E489" s="39">
        <f>IF($C489="",0,MATCH($C489,MTDesc,0))</f>
        <v>0.0</v>
      </c>
      <c r="F489" s="39">
        <f>IF($B489&lt;&gt;"",MATCH($B489,MTName,0),$E489+MATCH($D489,INDEX(MTDesc,$E489+1):MTEnd,0))</f>
        <v>492.0</v>
      </c>
      <c r="G489" s="3" t="str">
        <f>INDEX(MTDesc,$F489)</f>
        <v>Consumer subsidy phase-out applies to Coal, Industry (1 = yes; v0.5.6, was Constants csi)</v>
      </c>
    </row>
    <row r="490">
      <c r="A490" s="3" t="inlineStr">
        <is>
          <t>csi|nga|pow</t>
        </is>
      </c>
      <c r="B490" s="3" t="inlineStr">
        <is>
          <t>ConsSubPhaseScope_nga_pow</t>
        </is>
      </c>
      <c r="C490" s="3" t="n"/>
      <c r="D490" s="3" t="n"/>
      <c r="E490" s="39">
        <f>IF($C490="",0,MATCH($C490,MTDesc,0))</f>
        <v>0.0</v>
      </c>
      <c r="F490" s="39">
        <f>IF($B490&lt;&gt;"",MATCH($B490,MTName,0),$E490+MATCH($D490,INDEX(MTDesc,$E490+1):MTEnd,0))</f>
        <v>493.0</v>
      </c>
      <c r="G490" s="3" t="str">
        <f>INDEX(MTDesc,$F490)</f>
        <v>Consumer subsidy phase-out applies to Natural gas, Power (1 = yes; v0.5.6, was Constants csi)</v>
      </c>
    </row>
    <row r="491">
      <c r="A491" s="3" t="inlineStr">
        <is>
          <t>csi|nga|res</t>
        </is>
      </c>
      <c r="B491" s="3" t="inlineStr">
        <is>
          <t>ConsSubPhaseScope_nga_res</t>
        </is>
      </c>
      <c r="C491" s="3" t="n"/>
      <c r="D491" s="3" t="n"/>
      <c r="E491" s="39">
        <f>IF($C491="",0,MATCH($C491,MTDesc,0))</f>
        <v>0.0</v>
      </c>
      <c r="F491" s="39">
        <f>IF($B491&lt;&gt;"",MATCH($B491,MTName,0),$E491+MATCH($D491,INDEX(MTDesc,$E491+1):MTEnd,0))</f>
        <v>494.0</v>
      </c>
      <c r="G491" s="3" t="str">
        <f>INDEX(MTDesc,$F491)</f>
        <v>Consumer subsidy phase-out applies to Natural gas, Residential (1 = yes; v0.5.6, was Constants csi)</v>
      </c>
    </row>
    <row r="492">
      <c r="A492" s="3" t="inlineStr">
        <is>
          <t>csi|nga|ind</t>
        </is>
      </c>
      <c r="B492" s="3" t="inlineStr">
        <is>
          <t>ConsSubPhaseScope_nga_ind</t>
        </is>
      </c>
      <c r="C492" s="3" t="n"/>
      <c r="D492" s="3" t="n"/>
      <c r="E492" s="39">
        <f>IF($C492="",0,MATCH($C492,MTDesc,0))</f>
        <v>0.0</v>
      </c>
      <c r="F492" s="39">
        <f>IF($B492&lt;&gt;"",MATCH($B492,MTName,0),$E492+MATCH($D492,INDEX(MTDesc,$E492+1):MTEnd,0))</f>
        <v>495.0</v>
      </c>
      <c r="G492" s="3" t="str">
        <f>INDEX(MTDesc,$F492)</f>
        <v>Consumer subsidy phase-out applies to Natural gas, Industry (1 = yes; v0.5.6, was Constants csi)</v>
      </c>
    </row>
    <row r="493">
      <c r="A493" s="3" t="inlineStr">
        <is>
          <t>csi|gso|all</t>
        </is>
      </c>
      <c r="B493" s="3" t="inlineStr">
        <is>
          <t>ConsSubPhaseScope_gso_all</t>
        </is>
      </c>
      <c r="C493" s="3" t="n"/>
      <c r="D493" s="3" t="n"/>
      <c r="E493" s="39">
        <f>IF($C493="",0,MATCH($C493,MTDesc,0))</f>
        <v>0.0</v>
      </c>
      <c r="F493" s="39">
        <f>IF($B493&lt;&gt;"",MATCH($B493,MTName,0),$E493+MATCH($D493,INDEX(MTDesc,$E493+1):MTEnd,0))</f>
        <v>496.0</v>
      </c>
      <c r="G493" s="3" t="str">
        <f>INDEX(MTDesc,$F493)</f>
        <v>Consumer subsidy phase-out applies to Gasoline, All (1 = yes; v0.5.6, was Constants csi)</v>
      </c>
    </row>
    <row r="494">
      <c r="A494" s="3" t="inlineStr">
        <is>
          <t>csi|die|all</t>
        </is>
      </c>
      <c r="B494" s="3" t="inlineStr">
        <is>
          <t>ConsSubPhaseScope_die_all</t>
        </is>
      </c>
      <c r="C494" s="3" t="n"/>
      <c r="D494" s="3" t="n"/>
      <c r="E494" s="39">
        <f>IF($C494="",0,MATCH($C494,MTDesc,0))</f>
        <v>0.0</v>
      </c>
      <c r="F494" s="39">
        <f>IF($B494&lt;&gt;"",MATCH($B494,MTName,0),$E494+MATCH($D494,INDEX(MTDesc,$E494+1):MTEnd,0))</f>
        <v>497.0</v>
      </c>
      <c r="G494" s="3" t="str">
        <f>INDEX(MTDesc,$F494)</f>
        <v>Consumer subsidy phase-out applies to Diesel, All (1 = yes; v0.5.6, was Constants csi)</v>
      </c>
    </row>
    <row r="495">
      <c r="A495" s="3" t="inlineStr">
        <is>
          <t>csi|lpg|all</t>
        </is>
      </c>
      <c r="B495" s="3" t="inlineStr">
        <is>
          <t>ConsSubPhaseScope_lpg_all</t>
        </is>
      </c>
      <c r="C495" s="3" t="n"/>
      <c r="D495" s="3" t="n"/>
      <c r="E495" s="39">
        <f>IF($C495="",0,MATCH($C495,MTDesc,0))</f>
        <v>0.0</v>
      </c>
      <c r="F495" s="39">
        <f>IF($B495&lt;&gt;"",MATCH($B495,MTName,0),$E495+MATCH($D495,INDEX(MTDesc,$E495+1):MTEnd,0))</f>
        <v>498.0</v>
      </c>
      <c r="G495" s="3" t="str">
        <f>INDEX(MTDesc,$F495)</f>
        <v>Consumer subsidy phase-out applies to LPG, All (1 = yes; v0.5.6, was Constants csi)</v>
      </c>
    </row>
    <row r="496">
      <c r="A496" s="3" t="inlineStr">
        <is>
          <t>csi|ker|all</t>
        </is>
      </c>
      <c r="B496" s="3" t="inlineStr">
        <is>
          <t>ConsSubPhaseScope_ker_all</t>
        </is>
      </c>
      <c r="C496" s="3" t="n"/>
      <c r="D496" s="3" t="n"/>
      <c r="E496" s="39">
        <f>IF($C496="",0,MATCH($C496,MTDesc,0))</f>
        <v>0.0</v>
      </c>
      <c r="F496" s="39">
        <f>IF($B496&lt;&gt;"",MATCH($B496,MTName,0),$E496+MATCH($D496,INDEX(MTDesc,$E496+1):MTEnd,0))</f>
        <v>499.0</v>
      </c>
      <c r="G496" s="3" t="str">
        <f>INDEX(MTDesc,$F496)</f>
        <v>Consumer subsidy phase-out applies to Kerosene, All (1 = yes; v0.5.6, was Constants csi)</v>
      </c>
    </row>
    <row r="497">
      <c r="A497" s="3" t="inlineStr">
        <is>
          <t>csi|oop|all</t>
        </is>
      </c>
      <c r="B497" s="3" t="inlineStr">
        <is>
          <t>ConsSubPhaseScope_oop_all</t>
        </is>
      </c>
      <c r="C497" s="3" t="n"/>
      <c r="D497" s="3" t="n"/>
      <c r="E497" s="39">
        <f>IF($C497="",0,MATCH($C497,MTDesc,0))</f>
        <v>0.0</v>
      </c>
      <c r="F497" s="39">
        <f>IF($B497&lt;&gt;"",MATCH($B497,MTName,0),$E497+MATCH($D497,INDEX(MTDesc,$E497+1):MTEnd,0))</f>
        <v>500.0</v>
      </c>
      <c r="G497" s="3" t="str">
        <f>INDEX(MTDesc,$F497)</f>
        <v>Consumer subsidy phase-out applies to Other oil products, All (1 = yes; v0.5.6, was Constants csi)</v>
      </c>
    </row>
    <row r="498">
      <c r="A498" s="3" t="inlineStr">
        <is>
          <t>csi|bio|all</t>
        </is>
      </c>
      <c r="B498" s="3" t="inlineStr">
        <is>
          <t>ConsSubPhaseScope_bio_all</t>
        </is>
      </c>
      <c r="C498" s="3" t="n"/>
      <c r="D498" s="3" t="n"/>
      <c r="E498" s="39">
        <f>IF($C498="",0,MATCH($C498,MTDesc,0))</f>
        <v>0.0</v>
      </c>
      <c r="F498" s="39">
        <f>IF($B498&lt;&gt;"",MATCH($B498,MTName,0),$E498+MATCH($D498,INDEX(MTDesc,$E498+1):MTEnd,0))</f>
        <v>501.0</v>
      </c>
      <c r="G498" s="3" t="str">
        <f>INDEX(MTDesc,$F498)</f>
        <v>Consumer subsidy phase-out applies to Biomass, All (1 = yes; v0.5.6, was Constants csi)</v>
      </c>
    </row>
    <row r="499">
      <c r="A499" s="3" t="inlineStr">
        <is>
          <t>pci|coa|pow</t>
        </is>
      </c>
      <c r="B499" s="3" t="inlineStr">
        <is>
          <t>PriceCtrlPhaseScope_coa_pow</t>
        </is>
      </c>
      <c r="C499" s="3" t="n"/>
      <c r="D499" s="3" t="n"/>
      <c r="E499" s="39">
        <f>IF($C499="",0,MATCH($C499,MTDesc,0))</f>
        <v>0.0</v>
      </c>
      <c r="F499" s="39">
        <f>IF($B499&lt;&gt;"",MATCH($B499,MTName,0),$E499+MATCH($D499,INDEX(MTDesc,$E499+1):MTEnd,0))</f>
        <v>504.0</v>
      </c>
      <c r="G499" s="3" t="str">
        <f>INDEX(MTDesc,$F499)</f>
        <v>Price-control phase-out applies to Coal, Power (1 = yes; v0.5.6, was Constants pci)</v>
      </c>
    </row>
    <row r="500">
      <c r="A500" s="3" t="inlineStr">
        <is>
          <t>pci|coa|res</t>
        </is>
      </c>
      <c r="B500" s="3" t="inlineStr">
        <is>
          <t>PriceCtrlPhaseScope_coa_res</t>
        </is>
      </c>
      <c r="C500" s="3" t="n"/>
      <c r="D500" s="3" t="n"/>
      <c r="E500" s="39">
        <f>IF($C500="",0,MATCH($C500,MTDesc,0))</f>
        <v>0.0</v>
      </c>
      <c r="F500" s="39">
        <f>IF($B500&lt;&gt;"",MATCH($B500,MTName,0),$E500+MATCH($D500,INDEX(MTDesc,$E500+1):MTEnd,0))</f>
        <v>505.0</v>
      </c>
      <c r="G500" s="3" t="str">
        <f>INDEX(MTDesc,$F500)</f>
        <v>Price-control phase-out applies to Coal, Residential (1 = yes; v0.5.6, was Constants pci)</v>
      </c>
    </row>
    <row r="501">
      <c r="A501" s="3" t="inlineStr">
        <is>
          <t>pci|coa|ind</t>
        </is>
      </c>
      <c r="B501" s="3" t="inlineStr">
        <is>
          <t>PriceCtrlPhaseScope_coa_ind</t>
        </is>
      </c>
      <c r="C501" s="3" t="n"/>
      <c r="D501" s="3" t="n"/>
      <c r="E501" s="39">
        <f>IF($C501="",0,MATCH($C501,MTDesc,0))</f>
        <v>0.0</v>
      </c>
      <c r="F501" s="39">
        <f>IF($B501&lt;&gt;"",MATCH($B501,MTName,0),$E501+MATCH($D501,INDEX(MTDesc,$E501+1):MTEnd,0))</f>
        <v>506.0</v>
      </c>
      <c r="G501" s="3" t="str">
        <f>INDEX(MTDesc,$F501)</f>
        <v>Price-control phase-out applies to Coal, Industry (1 = yes; v0.5.6, was Constants pci)</v>
      </c>
    </row>
    <row r="502">
      <c r="A502" s="3" t="inlineStr">
        <is>
          <t>pci|nga|pow</t>
        </is>
      </c>
      <c r="B502" s="3" t="inlineStr">
        <is>
          <t>PriceCtrlPhaseScope_nga_pow</t>
        </is>
      </c>
      <c r="C502" s="3" t="n"/>
      <c r="D502" s="3" t="n"/>
      <c r="E502" s="39">
        <f>IF($C502="",0,MATCH($C502,MTDesc,0))</f>
        <v>0.0</v>
      </c>
      <c r="F502" s="39">
        <f>IF($B502&lt;&gt;"",MATCH($B502,MTName,0),$E502+MATCH($D502,INDEX(MTDesc,$E502+1):MTEnd,0))</f>
        <v>507.0</v>
      </c>
      <c r="G502" s="3" t="str">
        <f>INDEX(MTDesc,$F502)</f>
        <v>Price-control phase-out applies to Natural gas, Power (1 = yes; v0.5.6, was Constants pci)</v>
      </c>
    </row>
    <row r="503">
      <c r="A503" s="3" t="inlineStr">
        <is>
          <t>pci|nga|res</t>
        </is>
      </c>
      <c r="B503" s="3" t="inlineStr">
        <is>
          <t>PriceCtrlPhaseScope_nga_res</t>
        </is>
      </c>
      <c r="C503" s="3" t="n"/>
      <c r="D503" s="3" t="n"/>
      <c r="E503" s="39">
        <f>IF($C503="",0,MATCH($C503,MTDesc,0))</f>
        <v>0.0</v>
      </c>
      <c r="F503" s="39">
        <f>IF($B503&lt;&gt;"",MATCH($B503,MTName,0),$E503+MATCH($D503,INDEX(MTDesc,$E503+1):MTEnd,0))</f>
        <v>508.0</v>
      </c>
      <c r="G503" s="3" t="str">
        <f>INDEX(MTDesc,$F503)</f>
        <v>Price-control phase-out applies to Natural gas, Residential (1 = yes; v0.5.6, was Constants pci)</v>
      </c>
    </row>
    <row r="504">
      <c r="A504" s="3" t="inlineStr">
        <is>
          <t>pci|nga|ind</t>
        </is>
      </c>
      <c r="B504" s="3" t="inlineStr">
        <is>
          <t>PriceCtrlPhaseScope_nga_ind</t>
        </is>
      </c>
      <c r="C504" s="3" t="n"/>
      <c r="D504" s="3" t="n"/>
      <c r="E504" s="39">
        <f>IF($C504="",0,MATCH($C504,MTDesc,0))</f>
        <v>0.0</v>
      </c>
      <c r="F504" s="39">
        <f>IF($B504&lt;&gt;"",MATCH($B504,MTName,0),$E504+MATCH($D504,INDEX(MTDesc,$E504+1):MTEnd,0))</f>
        <v>509.0</v>
      </c>
      <c r="G504" s="3" t="str">
        <f>INDEX(MTDesc,$F504)</f>
        <v>Price-control phase-out applies to Natural gas, Industry (1 = yes; v0.5.6, was Constants pci)</v>
      </c>
    </row>
    <row r="505">
      <c r="A505" s="3" t="inlineStr">
        <is>
          <t>pci|gso|all</t>
        </is>
      </c>
      <c r="B505" s="3" t="inlineStr">
        <is>
          <t>PriceCtrlPhaseScope_gso_all</t>
        </is>
      </c>
      <c r="C505" s="3" t="n"/>
      <c r="D505" s="3" t="n"/>
      <c r="E505" s="39">
        <f>IF($C505="",0,MATCH($C505,MTDesc,0))</f>
        <v>0.0</v>
      </c>
      <c r="F505" s="39">
        <f>IF($B505&lt;&gt;"",MATCH($B505,MTName,0),$E505+MATCH($D505,INDEX(MTDesc,$E505+1):MTEnd,0))</f>
        <v>510.0</v>
      </c>
      <c r="G505" s="3" t="str">
        <f>INDEX(MTDesc,$F505)</f>
        <v>Price-control phase-out applies to Gasoline, All (1 = yes; v0.5.6, was Constants pci)</v>
      </c>
    </row>
    <row r="506">
      <c r="A506" s="3" t="inlineStr">
        <is>
          <t>pci|die|all</t>
        </is>
      </c>
      <c r="B506" s="3" t="inlineStr">
        <is>
          <t>PriceCtrlPhaseScope_die_all</t>
        </is>
      </c>
      <c r="C506" s="3" t="n"/>
      <c r="D506" s="3" t="n"/>
      <c r="E506" s="39">
        <f>IF($C506="",0,MATCH($C506,MTDesc,0))</f>
        <v>0.0</v>
      </c>
      <c r="F506" s="39">
        <f>IF($B506&lt;&gt;"",MATCH($B506,MTName,0),$E506+MATCH($D506,INDEX(MTDesc,$E506+1):MTEnd,0))</f>
        <v>511.0</v>
      </c>
      <c r="G506" s="3" t="str">
        <f>INDEX(MTDesc,$F506)</f>
        <v>Price-control phase-out applies to Diesel, All (1 = yes; v0.5.6, was Constants pci)</v>
      </c>
    </row>
    <row r="507">
      <c r="A507" s="3" t="inlineStr">
        <is>
          <t>pci|lpg|all</t>
        </is>
      </c>
      <c r="B507" s="3" t="inlineStr">
        <is>
          <t>PriceCtrlPhaseScope_lpg_all</t>
        </is>
      </c>
      <c r="C507" s="3" t="n"/>
      <c r="D507" s="3" t="n"/>
      <c r="E507" s="39">
        <f>IF($C507="",0,MATCH($C507,MTDesc,0))</f>
        <v>0.0</v>
      </c>
      <c r="F507" s="39">
        <f>IF($B507&lt;&gt;"",MATCH($B507,MTName,0),$E507+MATCH($D507,INDEX(MTDesc,$E507+1):MTEnd,0))</f>
        <v>512.0</v>
      </c>
      <c r="G507" s="3" t="str">
        <f>INDEX(MTDesc,$F507)</f>
        <v>Price-control phase-out applies to LPG, All (1 = yes; v0.5.6, was Constants pci)</v>
      </c>
    </row>
    <row r="508">
      <c r="A508" s="3" t="inlineStr">
        <is>
          <t>pci|ker|all</t>
        </is>
      </c>
      <c r="B508" s="3" t="inlineStr">
        <is>
          <t>PriceCtrlPhaseScope_ker_all</t>
        </is>
      </c>
      <c r="C508" s="3" t="n"/>
      <c r="D508" s="3" t="n"/>
      <c r="E508" s="39">
        <f>IF($C508="",0,MATCH($C508,MTDesc,0))</f>
        <v>0.0</v>
      </c>
      <c r="F508" s="39">
        <f>IF($B508&lt;&gt;"",MATCH($B508,MTName,0),$E508+MATCH($D508,INDEX(MTDesc,$E508+1):MTEnd,0))</f>
        <v>513.0</v>
      </c>
      <c r="G508" s="3" t="str">
        <f>INDEX(MTDesc,$F508)</f>
        <v>Price-control phase-out applies to Kerosene, All (1 = yes; v0.5.6, was Constants pci)</v>
      </c>
    </row>
    <row r="509">
      <c r="A509" s="3" t="inlineStr">
        <is>
          <t>pci|oop|all</t>
        </is>
      </c>
      <c r="B509" s="3" t="inlineStr">
        <is>
          <t>PriceCtrlPhaseScope_oop_all</t>
        </is>
      </c>
      <c r="C509" s="3" t="n"/>
      <c r="D509" s="3" t="n"/>
      <c r="E509" s="39">
        <f>IF($C509="",0,MATCH($C509,MTDesc,0))</f>
        <v>0.0</v>
      </c>
      <c r="F509" s="39">
        <f>IF($B509&lt;&gt;"",MATCH($B509,MTName,0),$E509+MATCH($D509,INDEX(MTDesc,$E509+1):MTEnd,0))</f>
        <v>514.0</v>
      </c>
      <c r="G509" s="3" t="str">
        <f>INDEX(MTDesc,$F509)</f>
        <v>Price-control phase-out applies to Other oil products, All (1 = yes; v0.5.6, was Constants pci)</v>
      </c>
    </row>
    <row r="510">
      <c r="A510" s="3" t="inlineStr">
        <is>
          <t>pci|bio|all</t>
        </is>
      </c>
      <c r="B510" s="3" t="inlineStr">
        <is>
          <t>PriceCtrlPhaseScope_bio_all</t>
        </is>
      </c>
      <c r="C510" s="3" t="n"/>
      <c r="D510" s="3" t="n"/>
      <c r="E510" s="39">
        <f>IF($C510="",0,MATCH($C510,MTDesc,0))</f>
        <v>0.0</v>
      </c>
      <c r="F510" s="39">
        <f>IF($B510&lt;&gt;"",MATCH($B510,MTName,0),$E510+MATCH($D510,INDEX(MTDesc,$E510+1):MTEnd,0))</f>
        <v>515.0</v>
      </c>
      <c r="G510" s="3" t="str">
        <f>INDEX(MTDesc,$F510)</f>
        <v>Price-control phase-out applies to Biomass, All (1 = yes; v0.5.6, was Constants pci)</v>
      </c>
    </row>
    <row r="511">
      <c r="A511" s="3" t="inlineStr">
        <is>
          <t>psi|coa|all</t>
        </is>
      </c>
      <c r="B511" s="3" t="inlineStr">
        <is>
          <t>ProdSubPhaseScope_coa</t>
        </is>
      </c>
      <c r="C511" s="3" t="n"/>
      <c r="D511" s="3" t="n"/>
      <c r="E511" s="39">
        <f>IF($C511="",0,MATCH($C511,MTDesc,0))</f>
        <v>0.0</v>
      </c>
      <c r="F511" s="39">
        <f>IF($B511&lt;&gt;"",MATCH($B511,MTName,0),$E511+MATCH($D511,INDEX(MTDesc,$E511+1):MTEnd,0))</f>
        <v>518.0</v>
      </c>
      <c r="G511" s="3" t="str">
        <f>INDEX(MTDesc,$F511)</f>
        <v>Producer subsidy phase-out applies to coal (1 = yes; v0.5.6, was Constants psi)</v>
      </c>
    </row>
    <row r="512">
      <c r="A512" s="3" t="inlineStr">
        <is>
          <t>psi|nga|all</t>
        </is>
      </c>
      <c r="B512" s="3" t="inlineStr">
        <is>
          <t>ProdSubPhaseScope_nga</t>
        </is>
      </c>
      <c r="C512" s="3" t="n"/>
      <c r="D512" s="3" t="n"/>
      <c r="E512" s="39">
        <f>IF($C512="",0,MATCH($C512,MTDesc,0))</f>
        <v>0.0</v>
      </c>
      <c r="F512" s="39">
        <f>IF($B512&lt;&gt;"",MATCH($B512,MTName,0),$E512+MATCH($D512,INDEX(MTDesc,$E512+1):MTEnd,0))</f>
        <v>519.0</v>
      </c>
      <c r="G512" s="3" t="str">
        <f>INDEX(MTDesc,$F512)</f>
        <v>Producer subsidy phase-out applies to natural gas (1 = yes; v0.5.6, was Constants psi)</v>
      </c>
    </row>
    <row r="513">
      <c r="A513" s="3" t="inlineStr">
        <is>
          <t>psi|oil|all</t>
        </is>
      </c>
      <c r="B513" s="3" t="inlineStr">
        <is>
          <t>ProdSubPhaseScope_oil</t>
        </is>
      </c>
      <c r="C513" s="3" t="n"/>
      <c r="D513" s="3" t="n"/>
      <c r="E513" s="39">
        <f>IF($C513="",0,MATCH($C513,MTDesc,0))</f>
        <v>0.0</v>
      </c>
      <c r="F513" s="39">
        <f>IF($B513&lt;&gt;"",MATCH($B513,MTName,0),$E513+MATCH($D513,INDEX(MTDesc,$E513+1):MTEnd,0))</f>
        <v>520.0</v>
      </c>
      <c r="G513" s="3" t="str">
        <f>INDEX(MTDesc,$F513)</f>
        <v>Producer subsidy phase-out applies to oil (1 = yes; v0.5.6, was Constants psi)</v>
      </c>
    </row>
    <row r="514">
      <c r="A514" s="3" t="inlineStr">
        <is>
          <t>psi|bio|all</t>
        </is>
      </c>
      <c r="B514" s="3" t="inlineStr">
        <is>
          <t>ProdSubPhaseScope_bio</t>
        </is>
      </c>
      <c r="C514" s="3" t="n"/>
      <c r="D514" s="3" t="n"/>
      <c r="E514" s="39">
        <f>IF($C514="",0,MATCH($C514,MTDesc,0))</f>
        <v>0.0</v>
      </c>
      <c r="F514" s="39">
        <f>IF($B514&lt;&gt;"",MATCH($B514,MTName,0),$E514+MATCH($D514,INDEX(MTDesc,$E514+1):MTEnd,0))</f>
        <v>521.0</v>
      </c>
      <c r="G514" s="3" t="str">
        <f>INDEX(MTDesc,$F514)</f>
        <v>Producer subsidy phase-out applies to biomass (1 = yes; v0.5.6, was Constants psi)</v>
      </c>
    </row>
    <row r="515">
      <c r="A515" s="3" t="inlineStr">
        <is>
          <t>psi|ecy|all</t>
        </is>
      </c>
      <c r="B515" s="3" t="inlineStr">
        <is>
          <t>ProdSubPhaseScope_ecy</t>
        </is>
      </c>
      <c r="C515" s="3" t="n"/>
      <c r="D515" s="3" t="n"/>
      <c r="E515" s="39">
        <f>IF($C515="",0,MATCH($C515,MTDesc,0))</f>
        <v>0.0</v>
      </c>
      <c r="F515" s="39">
        <f>IF($B515&lt;&gt;"",MATCH($B515,MTName,0),$E515+MATCH($D515,INDEX(MTDesc,$E515+1):MTEnd,0))</f>
        <v>522.0</v>
      </c>
      <c r="G515" s="3" t="str">
        <f>INDEX(MTDesc,$F515)</f>
        <v>Producer subsidy phase-out applies to electricity (1 = yes; v0.5.6, was Constants psi)</v>
      </c>
    </row>
    <row r="516">
      <c r="A516" s="3" t="inlineStr">
        <is>
          <t>AdditionalEfficiencyRoadVehicle||</t>
        </is>
      </c>
      <c r="B516" s="3" t="inlineStr">
        <is>
          <t>AdditionalEfficiencyRoadVehicle</t>
        </is>
      </c>
      <c r="C516" s="3" t="n"/>
      <c r="D516" s="3" t="n"/>
      <c r="E516" s="39">
        <f>IF($C516="",0,MATCH($C516,MTDesc,0))</f>
        <v>0.0</v>
      </c>
      <c r="F516" s="39">
        <f>IF($B516&lt;&gt;"",MATCH($B516,MTName,0),$E516+MATCH($D516,INDEX(MTDesc,$E516+1):MTEnd,0))</f>
        <v>243.0</v>
      </c>
      <c r="G516" s="3" t="str">
        <f>INDEX(MTDesc,$F516)</f>
        <v>Road vehicles</v>
      </c>
    </row>
    <row r="517">
      <c r="A517" s="3" t="inlineStr">
        <is>
          <t>AdditionalEfficiencyResidential||</t>
        </is>
      </c>
      <c r="B517" s="3" t="inlineStr">
        <is>
          <t>AdditionalEfficiencyResidential</t>
        </is>
      </c>
      <c r="C517" s="3" t="n"/>
      <c r="D517" s="3" t="n"/>
      <c r="E517" s="39">
        <f>IF($C517="",0,MATCH($C517,MTDesc,0))</f>
        <v>0.0</v>
      </c>
      <c r="F517" s="39">
        <f>IF($B517&lt;&gt;"",MATCH($B517,MTName,0),$E517+MATCH($D517,INDEX(MTDesc,$E517+1):MTEnd,0))</f>
        <v>244.0</v>
      </c>
      <c r="G517" s="3" t="str">
        <f>INDEX(MTDesc,$F517)</f>
        <v>Residential</v>
      </c>
    </row>
    <row r="518">
      <c r="A518" s="3" t="inlineStr">
        <is>
          <t>AdditionalEfficiencyIndustrial||</t>
        </is>
      </c>
      <c r="B518" s="3" t="inlineStr">
        <is>
          <t>AdditionalEfficiencyIndustrial</t>
        </is>
      </c>
      <c r="C518" s="3" t="n"/>
      <c r="D518" s="3" t="n"/>
      <c r="E518" s="39">
        <f>IF($C518="",0,MATCH($C518,MTDesc,0))</f>
        <v>0.0</v>
      </c>
      <c r="F518" s="39">
        <f>IF($B518&lt;&gt;"",MATCH($B518,MTName,0),$E518+MATCH($D518,INDEX(MTDesc,$E518+1):MTEnd,0))</f>
        <v>245.0</v>
      </c>
      <c r="G518" s="3" t="str">
        <f>INDEX(MTDesc,$F518)</f>
        <v>Industrial</v>
      </c>
    </row>
    <row r="519">
      <c r="A519" s="3" t="inlineStr">
        <is>
          <t>AlwaysExemptResLPGKer||</t>
        </is>
      </c>
      <c r="B519" s="3" t="inlineStr">
        <is>
          <t>AlwaysExemptResLPGKer</t>
        </is>
      </c>
      <c r="C519" s="3" t="n"/>
      <c r="D519" s="3" t="n"/>
      <c r="E519" s="39">
        <f>IF($C519="",0,MATCH($C519,MTDesc,0))</f>
        <v>0.0</v>
      </c>
      <c r="F519" s="39">
        <f>IF($B519&lt;&gt;"",MATCH($B519,MTName,0),$E519+MATCH($D519,INDEX(MTDesc,$E519+1):MTEnd,0))</f>
        <v>268.0</v>
      </c>
      <c r="G519" s="3" t="str">
        <f>INDEX(MTDesc,$F519)</f>
        <v>Residential LPG/kerosene always exempted</v>
      </c>
    </row>
    <row r="520">
      <c r="A520" s="3" t="inlineStr">
        <is>
          <t>CTforMethane||</t>
        </is>
      </c>
      <c r="B520" s="3" t="inlineStr">
        <is>
          <t>CTforMethane</t>
        </is>
      </c>
      <c r="C520" s="3" t="n"/>
      <c r="D520" s="3" t="n"/>
      <c r="E520" s="39">
        <f>IF($C520="",0,MATCH($C520,MTDesc,0))</f>
        <v>0.0</v>
      </c>
      <c r="F520" s="39">
        <f>IF($B520&lt;&gt;"",MATCH($B520,MTName,0),$E520+MATCH($D520,INDEX(MTDesc,$E520+1):MTEnd,0))</f>
        <v>185.0</v>
      </c>
      <c r="G520" s="3" t="str">
        <f>INDEX(MTDesc,$F520)</f>
        <v>Apply carbon tax to methane</v>
      </c>
    </row>
    <row r="521">
      <c r="A521" s="3" t="inlineStr">
        <is>
          <t>MPIntro||</t>
        </is>
      </c>
      <c r="B521" s="3" t="inlineStr">
        <is>
          <t>MPIntro</t>
        </is>
      </c>
      <c r="C521" s="3" t="n"/>
      <c r="D521" s="3" t="n"/>
      <c r="E521" s="39">
        <f>IF($C521="",0,MATCH($C521,MTDesc,0))</f>
        <v>0.0</v>
      </c>
      <c r="F521" s="39">
        <f>IF($B521&lt;&gt;"",MATCH($B521,MTName,0),$E521+MATCH($D521,INDEX(MTDesc,$E521+1):MTEnd,0))</f>
        <v>186.0</v>
      </c>
      <c r="G521" s="3" t="str">
        <f>INDEX(MTDesc,$F521)</f>
        <v>Year of methane fee introduction</v>
      </c>
    </row>
    <row r="522">
      <c r="A522" s="3" t="inlineStr">
        <is>
          <t>MPLevelStart||</t>
        </is>
      </c>
      <c r="B522" s="3" t="inlineStr">
        <is>
          <t>MPLevelStart</t>
        </is>
      </c>
      <c r="C522" s="3" t="n"/>
      <c r="D522" s="3" t="n"/>
      <c r="E522" s="39">
        <f>IF($C522="",0,MATCH($C522,MTDesc,0))</f>
        <v>0.0</v>
      </c>
      <c r="F522" s="39">
        <f>IF($B522&lt;&gt;"",MATCH($B522,MTName,0),$E522+MATCH($D522,INDEX(MTDesc,$E522+1):MTEnd,0))</f>
        <v>187.0</v>
      </c>
      <c r="G522" s="3" t="str">
        <f>INDEX(MTDesc,$F522)</f>
        <v>Starting methane fee (real USD per ton CO2eq)</v>
      </c>
    </row>
    <row r="523">
      <c r="A523" s="3" t="inlineStr">
        <is>
          <t>MPLevelTarget||</t>
        </is>
      </c>
      <c r="B523" s="3" t="inlineStr">
        <is>
          <t>MPLevelTarget</t>
        </is>
      </c>
      <c r="C523" s="3" t="n"/>
      <c r="D523" s="3" t="n"/>
      <c r="E523" s="39">
        <f>IF($C523="",0,MATCH($C523,MTDesc,0))</f>
        <v>0.0</v>
      </c>
      <c r="F523" s="39">
        <f>IF($B523&lt;&gt;"",MATCH($B523,MTName,0),$E523+MATCH($D523,INDEX(MTDesc,$E523+1):MTEnd,0))</f>
        <v>188.0</v>
      </c>
      <c r="G523" s="3" t="str">
        <f>INDEX(MTDesc,$F523)</f>
        <v>Target level of methane fee</v>
      </c>
    </row>
    <row r="524">
      <c r="A524" s="3" t="inlineStr">
        <is>
          <t>MPOutro||</t>
        </is>
      </c>
      <c r="B524" s="3" t="inlineStr">
        <is>
          <t>MPOutro</t>
        </is>
      </c>
      <c r="C524" s="3" t="n"/>
      <c r="D524" s="3" t="n"/>
      <c r="E524" s="39">
        <f>IF($C524="",0,MATCH($C524,MTDesc,0))</f>
        <v>0.0</v>
      </c>
      <c r="F524" s="39">
        <f>IF($B524&lt;&gt;"",MATCH($B524,MTName,0),$E524+MATCH($D524,INDEX(MTDesc,$E524+1):MTEnd,0))</f>
        <v>189.0</v>
      </c>
      <c r="G524" s="3" t="str">
        <f>INDEX(MTDesc,$F524)</f>
        <v>Year to reach target methane fee level</v>
      </c>
    </row>
    <row r="525">
      <c r="A525" s="3" t="inlineStr">
        <is>
          <t>AdditionMitigationPoliciesNonEnergy||</t>
        </is>
      </c>
      <c r="B525" s="3" t="inlineStr">
        <is>
          <t>AdditionMitigationPoliciesNonEnergy</t>
        </is>
      </c>
      <c r="C525" s="3" t="n"/>
      <c r="D525" s="3" t="n"/>
      <c r="E525" s="39">
        <f>IF($C525="",0,MATCH($C525,MTDesc,0))</f>
        <v>0.0</v>
      </c>
      <c r="F525" s="39">
        <f>IF($B525&lt;&gt;"",MATCH($B525,MTName,0),$E525+MATCH($D525,INDEX(MTDesc,$E525+1):MTEnd,0))</f>
        <v>207.0</v>
      </c>
      <c r="G525" s="3" t="str">
        <f>INDEX(MTDesc,$F525)</f>
        <v>Additional mitigation policies in non-energy sectors?</v>
      </c>
    </row>
    <row r="526">
      <c r="A526" s="3" t="inlineStr">
        <is>
          <t>IndustrialProcessEmissionsScaleEner||</t>
        </is>
      </c>
      <c r="B526" s="3" t="inlineStr">
        <is>
          <t>IndustrialProcessEmissionsScaleEner</t>
        </is>
      </c>
      <c r="C526" s="3" t="n"/>
      <c r="D526" s="3" t="n"/>
      <c r="E526" s="39">
        <f>IF($C526="",0,MATCH($C526,MTDesc,0))</f>
        <v>0.0</v>
      </c>
      <c r="F526" s="39">
        <f>IF($B526&lt;&gt;"",MATCH($B526,MTName,0),$E526+MATCH($D526,INDEX(MTDesc,$E526+1):MTEnd,0))</f>
        <v>239.0</v>
      </c>
      <c r="G526" s="3" t="str">
        <f>INDEX(MTDesc,$F526)</f>
        <v>Industrial process emissions scale with industrial CO2 energy emissions?</v>
      </c>
    </row>
    <row r="527">
      <c r="A527" s="3" t="inlineStr">
        <is>
          <t>LULUCFAnnualEmissionsDecline||</t>
        </is>
      </c>
      <c r="B527" s="3" t="inlineStr">
        <is>
          <t>LULUCFAnnualEmissionsDecline</t>
        </is>
      </c>
      <c r="C527" s="3" t="n"/>
      <c r="D527" s="3" t="n"/>
      <c r="E527" s="39">
        <f>IF($C527="",0,MATCH($C527,MTDesc,0))</f>
        <v>0.0</v>
      </c>
      <c r="F527" s="39">
        <f>IF($B527&lt;&gt;"",MATCH($B527,MTName,0),$E527+MATCH($D527,INDEX(MTDesc,$E527+1):MTEnd,0))</f>
        <v>240.0</v>
      </c>
      <c r="G527" s="3" t="str">
        <f>INDEX(MTDesc,$F527)</f>
        <v>LULUCF emissions decline at % pa (in absolute value of start year)?</v>
      </c>
    </row>
    <row r="528">
      <c r="A528" s="3" t="inlineStr">
        <is>
          <t>PowerSubsidyExemptInclude||</t>
        </is>
      </c>
      <c r="B528" s="3" t="inlineStr">
        <is>
          <t>PowerSubsidyExemptInclude</t>
        </is>
      </c>
      <c r="C528" s="3" t="n"/>
      <c r="D528" s="3" t="n"/>
      <c r="E528" s="39">
        <f>IF($C528="",0,MATCH($C528,MTDesc,0))</f>
        <v>0.0</v>
      </c>
      <c r="F528" s="39">
        <f>IF($B528&lt;&gt;"",MATCH($B528,MTName,0),$E528+MATCH($D528,INDEX(MTDesc,$E528+1):MTEnd,0))</f>
        <v>138.0</v>
      </c>
      <c r="G528" s="3" t="str">
        <f>INDEX(MTDesc,$F528)</f>
        <v>Include power subsidies in any phase out?</v>
      </c>
    </row>
    <row r="529">
      <c r="A529" s="3" t="inlineStr">
        <is>
          <t>SupplyCostDeltaSubsidy||</t>
        </is>
      </c>
      <c r="B529" s="3" t="inlineStr">
        <is>
          <t>SupplyCostDeltaSubsidy</t>
        </is>
      </c>
      <c r="C529" s="3" t="n"/>
      <c r="D529" s="3" t="n"/>
      <c r="E529" s="39">
        <f>IF($C529="",0,MATCH($C529,MTDesc,0))</f>
        <v>0.0</v>
      </c>
      <c r="F529" s="39">
        <f>IF($B529&lt;&gt;"",MATCH($B529,MTName,0),$E529+MATCH($D529,INDEX(MTDesc,$E529+1):MTEnd,0))</f>
        <v>351.0</v>
      </c>
      <c r="G529" s="3" t="str">
        <f>INDEX(MTDesc,$F529)</f>
        <v>Treat over/underestimate of supply costs as subsidy/tax</v>
      </c>
    </row>
    <row r="530">
      <c r="A530" s="3" t="inlineStr">
        <is>
          <t>AdditionalEfficiencyPower||</t>
        </is>
      </c>
      <c r="B530" s="3" t="inlineStr">
        <is>
          <t>AdditionalEfficiencyPower</t>
        </is>
      </c>
      <c r="C530" s="3" t="n"/>
      <c r="D530" s="3" t="n"/>
      <c r="E530" s="39">
        <f>IF($C530="",0,MATCH($C530,MTDesc,0))</f>
        <v>0.0</v>
      </c>
      <c r="F530" s="39">
        <f>IF($B530&lt;&gt;"",MATCH($B530,MTName,0),$E530+MATCH($D530,INDEX(MTDesc,$E530+1):MTEnd,0))</f>
        <v>242.0</v>
      </c>
      <c r="G530" s="3" t="str">
        <f>INDEX(MTDesc,$F530)</f>
        <v>Power</v>
      </c>
    </row>
    <row r="531">
      <c r="A531" s="3" t="inlineStr">
        <is>
          <t>IncElAdj||</t>
        </is>
      </c>
      <c r="B531" s="3" t="inlineStr">
        <is>
          <t>IncElAdj</t>
        </is>
      </c>
      <c r="C531" s="3" t="n"/>
      <c r="D531" s="3" t="n"/>
      <c r="E531" s="39">
        <f>IF($C531="",0,MATCH($C531,MTDesc,0))</f>
        <v>0.0</v>
      </c>
      <c r="F531" s="39">
        <f>IF($B531&lt;&gt;"",MATCH($B531,MTName,0),$E531+MATCH($D531,INDEX(MTDesc,$E531+1):MTEnd,0))</f>
        <v>262.0</v>
      </c>
      <c r="G531" s="3" t="str">
        <f>INDEX(MTDesc,$F531)</f>
        <v>Adjust income elasticities for GDP levels?</v>
      </c>
    </row>
    <row r="532">
      <c r="A532" s="3" t="inlineStr">
        <is>
          <t>EngineerModelProportionOfCovidFactor||</t>
        </is>
      </c>
      <c r="B532" s="3" t="inlineStr">
        <is>
          <t>EngineerModelProportionOfCovidFactor</t>
        </is>
      </c>
      <c r="C532" s="3" t="n"/>
      <c r="D532" s="3" t="n"/>
      <c r="E532" s="39">
        <f>IF($C532="",0,MATCH($C532,MTDesc,0))</f>
        <v>0.0</v>
      </c>
      <c r="F532" s="39">
        <f>IF($B532&lt;&gt;"",MATCH($B532,MTName,0),$E532+MATCH($D532,INDEX(MTDesc,$E532+1):MTEnd,0))</f>
        <v>372.0</v>
      </c>
      <c r="G532" s="3" t="str">
        <f>INDEX(MTDesc,$F532)</f>
        <v>Proportion of GHG adjustment passed on to engineer model power demand</v>
      </c>
    </row>
    <row r="533">
      <c r="A533" s="3" t="inlineStr">
        <is>
          <t>PowerRebates||</t>
        </is>
      </c>
      <c r="B533" s="3" t="inlineStr">
        <is>
          <t>PowerRebates</t>
        </is>
      </c>
      <c r="C533" s="3" t="n"/>
      <c r="D533" s="3" t="n"/>
      <c r="E533" s="39">
        <f>IF($C533="",0,MATCH($C533,MTDesc,0))</f>
        <v>0.0</v>
      </c>
      <c r="F533" s="39">
        <f>IF($B533&lt;&gt;"",MATCH($B533,MTName,0),$E533+MATCH($D533,INDEX(MTDesc,$E533+1):MTEnd,0))</f>
        <v>340.0</v>
      </c>
      <c r="G533" s="3" t="str">
        <f>INDEX(MTDesc,$F533)</f>
        <v>Power Rebate</v>
      </c>
    </row>
    <row r="534">
      <c r="A534" s="3" t="inlineStr">
        <is>
          <t>PowerSectorPriceChangePassOn||</t>
        </is>
      </c>
      <c r="B534" s="3" t="inlineStr">
        <is>
          <t>PowerSectorPriceChangePassOn</t>
        </is>
      </c>
      <c r="C534" s="3" t="n"/>
      <c r="D534" s="3" t="n"/>
      <c r="E534" s="39">
        <f>IF($C534="",0,MATCH($C534,MTDesc,0))</f>
        <v>0.0</v>
      </c>
      <c r="F534" s="39">
        <f>IF($B534&lt;&gt;"",MATCH($B534,MTName,0),$E534+MATCH($D534,INDEX(MTDesc,$E534+1):MTEnd,0))</f>
        <v>341.0</v>
      </c>
      <c r="G534" s="3" t="str">
        <f>INDEX(MTDesc,$F534)</f>
        <v>Power price: portion of cost change passed-on:</v>
      </c>
    </row>
    <row r="535">
      <c r="A535" s="3" t="inlineStr">
        <is>
          <t>AdditionalExcise||</t>
        </is>
      </c>
      <c r="B535" s="3" t="inlineStr">
        <is>
          <t>AdditionalExcise</t>
        </is>
      </c>
      <c r="C535" s="3" t="n"/>
      <c r="D535" s="3" t="n"/>
      <c r="E535" s="39">
        <f>IF($C535="",0,MATCH($C535,MTDesc,0))</f>
        <v>0.0</v>
      </c>
      <c r="F535" s="39">
        <f>IF($B535&lt;&gt;"",MATCH($B535,MTName,0),$E535+MATCH($D535,INDEX(MTDesc,$E535+1):MTEnd,0))</f>
        <v>215.0</v>
      </c>
      <c r="G535" s="3" t="str">
        <f>INDEX(MTDesc,$F535)</f>
        <v>Add additional excise tax (see 'Manual inputs' tab)?</v>
      </c>
    </row>
    <row r="536">
      <c r="A536" s="3" t="inlineStr">
        <is>
          <t>kDispatch||</t>
        </is>
      </c>
      <c r="B536" s="3" t="inlineStr">
        <is>
          <t>kDispatch</t>
        </is>
      </c>
      <c r="C536" s="3" t="n"/>
      <c r="D536" s="3" t="n"/>
      <c r="E536" s="39">
        <f>IF($C536="",0,MATCH($C536,MTDesc,0))</f>
        <v>0.0</v>
      </c>
      <c r="F536" s="39">
        <f>IF($B536&lt;&gt;"",MATCH($B536,MTName,0),$E536+MATCH($D536,INDEX(MTDesc,$E536+1):MTEnd,0))</f>
        <v>344.0</v>
      </c>
      <c r="G536" s="3" t="str">
        <f>INDEX(MTDesc,$F536)</f>
        <v>k Parameter dispatch</v>
      </c>
    </row>
    <row r="537">
      <c r="A537" s="3" t="inlineStr">
        <is>
          <t>kInvestment||</t>
        </is>
      </c>
      <c r="B537" s="3" t="inlineStr">
        <is>
          <t>kInvestment</t>
        </is>
      </c>
      <c r="C537" s="3" t="n"/>
      <c r="D537" s="3" t="n"/>
      <c r="E537" s="39">
        <f>IF($C537="",0,MATCH($C537,MTDesc,0))</f>
        <v>0.0</v>
      </c>
      <c r="F537" s="39">
        <f>IF($B537&lt;&gt;"",MATCH($B537,MTName,0),$E537+MATCH($D537,INDEX(MTDesc,$E537+1):MTEnd,0))</f>
        <v>345.0</v>
      </c>
      <c r="G537" s="3" t="str">
        <f>INDEX(MTDesc,$F537)</f>
        <v>k Parameter investment</v>
      </c>
    </row>
    <row r="538">
      <c r="A538" s="3" t="inlineStr">
        <is>
          <t>MinPostSubsidyPowerPrice||</t>
        </is>
      </c>
      <c r="B538" s="3" t="inlineStr">
        <is>
          <t>MinPostSubsidyPowerPrice</t>
        </is>
      </c>
      <c r="C538" s="3" t="n"/>
      <c r="D538" s="3" t="n"/>
      <c r="E538" s="39">
        <f>IF($C538="",0,MATCH($C538,MTDesc,0))</f>
        <v>0.0</v>
      </c>
      <c r="F538" s="39">
        <f>IF($B538&lt;&gt;"",MATCH($B538,MTName,0),$E538+MATCH($D538,INDEX(MTDesc,$E538+1):MTEnd,0))</f>
        <v>349.0</v>
      </c>
      <c r="G538" s="3" t="str">
        <f>INDEX(MTDesc,$F538)</f>
        <v>Minimum (post subsidy) generation cost $/kwh real</v>
      </c>
    </row>
    <row r="539">
      <c r="A539" s="3" t="inlineStr">
        <is>
          <t>MaximumCoalCF||</t>
        </is>
      </c>
      <c r="B539" s="3" t="inlineStr">
        <is>
          <t>MaximumCoalCF</t>
        </is>
      </c>
      <c r="C539" s="3" t="n"/>
      <c r="D539" s="3" t="n"/>
      <c r="E539" s="39">
        <f>IF($C539="",0,MATCH($C539,MTDesc,0))</f>
        <v>0.0</v>
      </c>
      <c r="F539" s="39">
        <f>IF($B539&lt;&gt;"",MATCH($B539,MTName,0),$E539+MATCH($D539,INDEX(MTDesc,$E539+1):MTEnd,0))</f>
        <v>370.0</v>
      </c>
      <c r="G539" s="3" t="str">
        <f>INDEX(MTDesc,$F539)</f>
        <v>Maximum Coal Capacity Factor</v>
      </c>
    </row>
    <row r="540">
      <c r="A540" s="3" t="inlineStr">
        <is>
          <t>MaximumGasCF||</t>
        </is>
      </c>
      <c r="B540" s="3" t="inlineStr">
        <is>
          <t>MaximumGasCF</t>
        </is>
      </c>
      <c r="C540" s="3" t="n"/>
      <c r="D540" s="3" t="n"/>
      <c r="E540" s="39">
        <f>IF($C540="",0,MATCH($C540,MTDesc,0))</f>
        <v>0.0</v>
      </c>
      <c r="F540" s="39">
        <f>IF($B540&lt;&gt;"",MATCH($B540,MTName,0),$E540+MATCH($D540,INDEX(MTDesc,$E540+1):MTEnd,0))</f>
        <v>371.0</v>
      </c>
      <c r="G540" s="3" t="str">
        <f>INDEX(MTDesc,$F540)</f>
        <v>Maximum Gas Capacity Factor</v>
      </c>
    </row>
    <row r="541">
      <c r="A541" s="3" t="inlineStr">
        <is>
          <t>UseSpotFuelPricesInEngineerModel||</t>
        </is>
      </c>
      <c r="B541" s="3" t="inlineStr">
        <is>
          <t>UseSpotFuelPricesInEngineerModel</t>
        </is>
      </c>
      <c r="C541" s="3" t="n"/>
      <c r="D541" s="3" t="n"/>
      <c r="E541" s="39">
        <f>IF($C541="",0,MATCH($C541,MTDesc,0))</f>
        <v>0.0</v>
      </c>
      <c r="F541" s="39">
        <f>IF($B541&lt;&gt;"",MATCH($B541,MTName,0),$E541+MATCH($D541,INDEX(MTDesc,$E541+1):MTEnd,0))</f>
        <v>366.0</v>
      </c>
      <c r="G541" s="3" t="str">
        <f>INDEX(MTDesc,$F541)</f>
        <v>Use Spot Fuel Prices in Engineer Power Model</v>
      </c>
    </row>
    <row r="542">
      <c r="A542" s="3" t="inlineStr">
        <is>
          <t>MinimumThermalEfficiency||</t>
        </is>
      </c>
      <c r="B542" s="3" t="inlineStr">
        <is>
          <t>MinimumThermalEfficiency</t>
        </is>
      </c>
      <c r="C542" s="3" t="n"/>
      <c r="D542" s="3" t="n"/>
      <c r="E542" s="39">
        <f>IF($C542="",0,MATCH($C542,MTDesc,0))</f>
        <v>0.0</v>
      </c>
      <c r="F542" s="39">
        <f>IF($B542&lt;&gt;"",MATCH($B542,MTName,0),$E542+MATCH($D542,INDEX(MTDesc,$E542+1):MTEnd,0))</f>
        <v>378.0</v>
      </c>
      <c r="G542" s="3" t="str">
        <f>INDEX(MTDesc,$F542)</f>
        <v>Minimum Thermal Efficiency</v>
      </c>
    </row>
    <row r="543">
      <c r="A543" s="3" t="inlineStr">
        <is>
          <t>CFOverrideIfBelowWndSol||</t>
        </is>
      </c>
      <c r="B543" s="3" t="inlineStr">
        <is>
          <t>CFOverrideIfBelowWndSol</t>
        </is>
      </c>
      <c r="C543" s="3" t="n"/>
      <c r="D543" s="3" t="n"/>
      <c r="E543" s="39">
        <f>IF($C543="",0,MATCH($C543,MTDesc,0))</f>
        <v>0.0</v>
      </c>
      <c r="F543" s="39">
        <f>IF($B543&lt;&gt;"",MATCH($B543,MTName,0),$E543+MATCH($D543,INDEX(MTDesc,$E543+1):MTEnd,0))</f>
        <v>373.0</v>
      </c>
      <c r="G543" s="3" t="str">
        <f>INDEX(MTDesc,$F543)</f>
        <v>Override Capacity Factor if below (Wind and Solar)</v>
      </c>
    </row>
    <row r="544">
      <c r="A544" s="3" t="inlineStr">
        <is>
          <t>CFOverrideIfBelowFosOth||</t>
        </is>
      </c>
      <c r="B544" s="3" t="inlineStr">
        <is>
          <t>CFOverrideIfBelowFosOth</t>
        </is>
      </c>
      <c r="C544" s="3" t="n"/>
      <c r="D544" s="3" t="n"/>
      <c r="E544" s="39">
        <f>IF($C544="",0,MATCH($C544,MTDesc,0))</f>
        <v>0.0</v>
      </c>
      <c r="F544" s="39">
        <f>IF($B544&lt;&gt;"",MATCH($B544,MTName,0),$E544+MATCH($D544,INDEX(MTDesc,$E544+1):MTEnd,0))</f>
        <v>374.0</v>
      </c>
      <c r="G544" s="3" t="str">
        <f>INDEX(MTDesc,$F544)</f>
        <v>Override Capacity Factor if below (Others)</v>
      </c>
    </row>
    <row r="545">
      <c r="A545" s="3" t="inlineStr">
        <is>
          <t>CFOverrideIfAbove||</t>
        </is>
      </c>
      <c r="B545" s="3" t="inlineStr">
        <is>
          <t>CFOverrideIfAbove</t>
        </is>
      </c>
      <c r="C545" s="3" t="n"/>
      <c r="D545" s="3" t="n"/>
      <c r="E545" s="39">
        <f>IF($C545="",0,MATCH($C545,MTDesc,0))</f>
        <v>0.0</v>
      </c>
      <c r="F545" s="39">
        <f>IF($B545&lt;&gt;"",MATCH($B545,MTName,0),$E545+MATCH($D545,INDEX(MTDesc,$E545+1):MTEnd,0))</f>
        <v>375.0</v>
      </c>
      <c r="G545" s="3" t="str">
        <f>INDEX(MTDesc,$F545)</f>
        <v>Override Capacity Factor if below (All)</v>
      </c>
    </row>
    <row r="546">
      <c r="A546" s="3" t="inlineStr">
        <is>
          <t>WACCSource||</t>
        </is>
      </c>
      <c r="B546" s="3" t="inlineStr">
        <is>
          <t>WACCSource</t>
        </is>
      </c>
      <c r="C546" s="3" t="n"/>
      <c r="D546" s="3" t="n"/>
      <c r="E546" s="39">
        <f>IF($C546="",0,MATCH($C546,MTDesc,0))</f>
        <v>0.0</v>
      </c>
      <c r="F546" s="39">
        <f>IF($B546&lt;&gt;"",MATCH($B546,MTName,0),$E546+MATCH($D546,INDEX(MTDesc,$E546+1):MTEnd,0))</f>
        <v>363.0</v>
      </c>
      <c r="G546" s="3" t="str">
        <f>INDEX(MTDesc,$F546)</f>
        <v>Cost of capital: User-defined, Inc-dep,  or Tech-dep?</v>
      </c>
    </row>
    <row r="547">
      <c r="A547" s="3" t="inlineStr">
        <is>
          <t>WACCUserGlobal||</t>
        </is>
      </c>
      <c r="B547" s="3" t="inlineStr">
        <is>
          <t>WACCUserGlobal</t>
        </is>
      </c>
      <c r="C547" s="3" t="n"/>
      <c r="D547" s="3" t="n"/>
      <c r="E547" s="39">
        <f>IF($C547="",0,MATCH($C547,MTDesc,0))</f>
        <v>0.0</v>
      </c>
      <c r="F547" s="39">
        <f>IF($B547&lt;&gt;"",MATCH($B547,MTName,0),$E547+MATCH($D547,INDEX(MTDesc,$E547+1):MTEnd,0))</f>
        <v>364.0</v>
      </c>
      <c r="G547" s="3" t="str">
        <f>INDEX(MTDesc,$F547)</f>
        <v>If Global, what Value?</v>
      </c>
    </row>
    <row r="548">
      <c r="A548" s="3" t="inlineStr">
        <is>
          <t>MinimumWACC||</t>
        </is>
      </c>
      <c r="B548" s="3" t="inlineStr">
        <is>
          <t>MinimumWACC</t>
        </is>
      </c>
      <c r="C548" s="3" t="n"/>
      <c r="D548" s="3" t="n"/>
      <c r="E548" s="39">
        <f>IF($C548="",0,MATCH($C548,MTDesc,0))</f>
        <v>0.0</v>
      </c>
      <c r="F548" s="39">
        <f>IF($B548&lt;&gt;"",MATCH($B548,MTName,0),$E548+MATCH($D548,INDEX(MTDesc,$E548+1):MTEnd,0))</f>
        <v>346.0</v>
      </c>
      <c r="G548" s="3" t="str">
        <f>INDEX(MTDesc,$F548)</f>
        <v>Minimum WACC</v>
      </c>
    </row>
    <row r="549">
      <c r="A549" s="3" t="inlineStr">
        <is>
          <t>RenewableCostDeclineRate||</t>
        </is>
      </c>
      <c r="B549" s="3" t="inlineStr">
        <is>
          <t>RenewableCostDeclineRate</t>
        </is>
      </c>
      <c r="C549" s="3" t="n"/>
      <c r="D549" s="3" t="n"/>
      <c r="E549" s="39">
        <f>IF($C549="",0,MATCH($C549,MTDesc,0))</f>
        <v>0.0</v>
      </c>
      <c r="F549" s="39">
        <f>IF($B549&lt;&gt;"",MATCH($B549,MTName,0),$E549+MATCH($D549,INDEX(MTDesc,$E549+1):MTEnd,0))</f>
        <v>365.0</v>
      </c>
      <c r="G549" s="3" t="str">
        <f>INDEX(MTDesc,$F549)</f>
        <v>Renewable Cost Declines</v>
      </c>
    </row>
    <row r="550">
      <c r="A550" s="3" t="inlineStr">
        <is>
          <t>HydroDoesntRetire||</t>
        </is>
      </c>
      <c r="B550" s="3" t="inlineStr">
        <is>
          <t>HydroDoesntRetire</t>
        </is>
      </c>
      <c r="C550" s="3" t="n"/>
      <c r="D550" s="3" t="n"/>
      <c r="E550" s="39">
        <f>IF($C550="",0,MATCH($C550,MTDesc,0))</f>
        <v>0.0</v>
      </c>
      <c r="F550" s="39">
        <f>IF($B550&lt;&gt;"",MATCH($B550,MTName,0),$E550+MATCH($D550,INDEX(MTDesc,$E550+1):MTEnd,0))</f>
        <v>348.0</v>
      </c>
      <c r="G550" s="3" t="str">
        <f>INDEX(MTDesc,$F550)</f>
        <v>Hydro retirement rate set to zero</v>
      </c>
    </row>
    <row r="551">
      <c r="A551" s="3" t="inlineStr">
        <is>
          <t>MaxCostBasedEarlyRetirement||</t>
        </is>
      </c>
      <c r="B551" s="3" t="inlineStr">
        <is>
          <t>MaxCostBasedEarlyRetirement</t>
        </is>
      </c>
      <c r="C551" s="3" t="n"/>
      <c r="D551" s="3" t="n"/>
      <c r="E551" s="39">
        <f>IF($C551="",0,MATCH($C551,MTDesc,0))</f>
        <v>0.0</v>
      </c>
      <c r="F551" s="39">
        <f>IF($B551&lt;&gt;"",MATCH($B551,MTName,0),$E551+MATCH($D551,INDEX(MTDesc,$E551+1):MTEnd,0))</f>
        <v>376.0</v>
      </c>
      <c r="G551" s="3" t="str">
        <f>INDEX(MTDesc,$F551)</f>
        <v>Proportion of coal capacity that can be retired</v>
      </c>
    </row>
    <row r="552">
      <c r="A552" s="3" t="inlineStr">
        <is>
          <t>EarlyRetirementInBaseline||</t>
        </is>
      </c>
      <c r="B552" s="3" t="inlineStr">
        <is>
          <t>EarlyRetirementInBaseline</t>
        </is>
      </c>
      <c r="C552" s="3" t="n"/>
      <c r="D552" s="3" t="n"/>
      <c r="E552" s="39">
        <f>IF($C552="",0,MATCH($C552,MTDesc,0))</f>
        <v>0.0</v>
      </c>
      <c r="F552" s="39">
        <f>IF($B552&lt;&gt;"",MATCH($B552,MTName,0),$E552+MATCH($D552,INDEX(MTDesc,$E552+1):MTEnd,0))</f>
        <v>377.0</v>
      </c>
      <c r="G552" s="3" t="str">
        <f>INDEX(MTDesc,$F552)</f>
        <v>Allow cost-based coal phaseout in baseline?</v>
      </c>
    </row>
    <row r="553">
      <c r="A553" s="3" t="inlineStr">
        <is>
          <t>MaxNonVREAsPCOfTotalGen||</t>
        </is>
      </c>
      <c r="B553" s="3" t="inlineStr">
        <is>
          <t>MaxNonVREAsPCOfTotalGen</t>
        </is>
      </c>
      <c r="C553" s="3" t="n"/>
      <c r="D553" s="3" t="n"/>
      <c r="E553" s="39">
        <f>IF($C553="",0,MATCH($C553,MTDesc,0))</f>
        <v>0.0</v>
      </c>
      <c r="F553" s="39">
        <f>IF($B553&lt;&gt;"",MATCH($B553,MTName,0),$E553+MATCH($D553,INDEX(MTDesc,$E553+1):MTEnd,0))</f>
        <v>357.0</v>
      </c>
      <c r="G553" s="3" t="str">
        <f>INDEX(MTDesc,$F553)</f>
        <v>Max new investment in coal/gas/hyd as a percentage of total generation</v>
      </c>
    </row>
    <row r="554">
      <c r="A554" s="3" t="inlineStr">
        <is>
          <t>MaxNonNucOreBioAsPCOfTotalGen||</t>
        </is>
      </c>
      <c r="B554" s="3" t="inlineStr">
        <is>
          <t>MaxNonNucOreBioAsPCOfTotalGen</t>
        </is>
      </c>
      <c r="C554" s="3" t="n"/>
      <c r="D554" s="3" t="n"/>
      <c r="E554" s="39">
        <f>IF($C554="",0,MATCH($C554,MTDesc,0))</f>
        <v>0.0</v>
      </c>
      <c r="F554" s="39">
        <f>IF($B554&lt;&gt;"",MATCH($B554,MTName,0),$E554+MATCH($D554,INDEX(MTDesc,$E554+1):MTEnd,0))</f>
        <v>358.0</v>
      </c>
      <c r="G554" s="3" t="str">
        <f>INDEX(MTDesc,$F554)</f>
        <v>Max new investment oil/nucl/ore/bio as a percentage of total generation</v>
      </c>
    </row>
    <row r="555">
      <c r="A555" s="3" t="inlineStr">
        <is>
          <t>MaxWindSolarScaleup||</t>
        </is>
      </c>
      <c r="B555" s="3" t="inlineStr">
        <is>
          <t>MaxWindSolarScaleup</t>
        </is>
      </c>
      <c r="C555" s="3" t="n"/>
      <c r="D555" s="3" t="n"/>
      <c r="E555" s="39">
        <f>IF($C555="",0,MATCH($C555,MTDesc,0))</f>
        <v>0.0</v>
      </c>
      <c r="F555" s="39">
        <f>IF($B555&lt;&gt;"",MATCH($B555,MTName,0),$E555+MATCH($D555,INDEX(MTDesc,$E555+1):MTEnd,0))</f>
        <v>359.0</v>
      </c>
      <c r="G555" s="3" t="str">
        <f>INDEX(MTDesc,$F555)</f>
        <v>User-Defined Setting for VRE Max-Scale up (if used)</v>
      </c>
    </row>
    <row r="556">
      <c r="A556" s="3" t="inlineStr">
        <is>
          <t>MaxScaleUpRateCategory||</t>
        </is>
      </c>
      <c r="B556" s="3" t="inlineStr">
        <is>
          <t>MaxScaleUpRateCategory</t>
        </is>
      </c>
      <c r="C556" s="3" t="n"/>
      <c r="D556" s="3" t="n"/>
      <c r="E556" s="39">
        <f>IF($C556="",0,MATCH($C556,MTDesc,0))</f>
        <v>0.0</v>
      </c>
      <c r="F556" s="39">
        <f>IF($B556&lt;&gt;"",MATCH($B556,MTName,0),$E556+MATCH($D556,INDEX(MTDesc,$E556+1):MTEnd,0))</f>
        <v>360.0</v>
      </c>
      <c r="G556" s="3" t="str">
        <f>INDEX(MTDesc,$F556)</f>
        <v>Max renewable scaleup rate setting</v>
      </c>
    </row>
    <row r="557">
      <c r="A557" s="3" t="inlineStr">
        <is>
          <t>AllocateSTStorageToVRE||</t>
        </is>
      </c>
      <c r="B557" s="3" t="inlineStr">
        <is>
          <t>AllocateSTStorageToVRE</t>
        </is>
      </c>
      <c r="C557" s="3" t="n"/>
      <c r="D557" s="3" t="n"/>
      <c r="E557" s="39">
        <f>IF($C557="",0,MATCH($C557,MTDesc,0))</f>
        <v>0.0</v>
      </c>
      <c r="F557" s="39">
        <f>IF($B557&lt;&gt;"",MATCH($B557,MTName,0),$E557+MATCH($D557,INDEX(MTDesc,$E557+1):MTEnd,0))</f>
        <v>386.0</v>
      </c>
      <c r="G557" s="3" t="str">
        <f>INDEX(MTDesc,$F557)</f>
        <v>Percent allocation of ST storage costs to VRE</v>
      </c>
    </row>
    <row r="558">
      <c r="A558" s="3" t="inlineStr">
        <is>
          <t>TotalHoursStorageFor100pcVRE||</t>
        </is>
      </c>
      <c r="B558" s="3" t="inlineStr">
        <is>
          <t>TotalHoursStorageFor100pcVRE</t>
        </is>
      </c>
      <c r="C558" s="3" t="n"/>
      <c r="D558" s="3" t="n"/>
      <c r="E558" s="39">
        <f>IF($C558="",0,MATCH($C558,MTDesc,0))</f>
        <v>0.0</v>
      </c>
      <c r="F558" s="39">
        <f>IF($B558&lt;&gt;"",MATCH($B558,MTName,0),$E558+MATCH($D558,INDEX(MTDesc,$E558+1):MTEnd,0))</f>
        <v>387.0</v>
      </c>
      <c r="G558" s="3" t="str">
        <f>INDEX(MTDesc,$F558)</f>
        <v>Total hours short term strorage for 100% VRE</v>
      </c>
    </row>
    <row r="559">
      <c r="A559" s="3" t="inlineStr">
        <is>
          <t>StorageToInterfaceRatioSTStorage||</t>
        </is>
      </c>
      <c r="B559" s="3" t="inlineStr">
        <is>
          <t>StorageToInterfaceRatioSTStorage</t>
        </is>
      </c>
      <c r="C559" s="3" t="n"/>
      <c r="D559" s="3" t="n"/>
      <c r="E559" s="39">
        <f>IF($C559="",0,MATCH($C559,MTDesc,0))</f>
        <v>0.0</v>
      </c>
      <c r="F559" s="39">
        <f>IF($B559&lt;&gt;"",MATCH($B559,MTName,0),$E559+MATCH($D559,INDEX(MTDesc,$E559+1):MTEnd,0))</f>
        <v>388.0</v>
      </c>
      <c r="G559" s="3" t="str">
        <f>INDEX(MTDesc,$F559)</f>
        <v>kwh storage to kw interface ratio (hours)</v>
      </c>
    </row>
    <row r="560">
      <c r="A560" s="3" t="inlineStr">
        <is>
          <t>AllocateLTStorageToVRE||</t>
        </is>
      </c>
      <c r="B560" s="3" t="inlineStr">
        <is>
          <t>AllocateLTStorageToVRE</t>
        </is>
      </c>
      <c r="C560" s="3" t="n"/>
      <c r="D560" s="3" t="n"/>
      <c r="E560" s="39">
        <f>IF($C560="",0,MATCH($C560,MTDesc,0))</f>
        <v>0.0</v>
      </c>
      <c r="F560" s="39">
        <f>IF($B560&lt;&gt;"",MATCH($B560,MTName,0),$E560+MATCH($D560,INDEX(MTDesc,$E560+1):MTEnd,0))</f>
        <v>390.0</v>
      </c>
      <c r="G560" s="3" t="str">
        <f>INDEX(MTDesc,$F560)</f>
        <v>Percent allocation of LT storage costs to VRE</v>
      </c>
    </row>
    <row r="561">
      <c r="A561" s="3" t="inlineStr">
        <is>
          <t>StartingPointWhenLTStorageIsNeeded||</t>
        </is>
      </c>
      <c r="B561" s="3" t="inlineStr">
        <is>
          <t>StartingPointWhenLTStorageIsNeeded</t>
        </is>
      </c>
      <c r="C561" s="3" t="n"/>
      <c r="D561" s="3" t="n"/>
      <c r="E561" s="39">
        <f>IF($C561="",0,MATCH($C561,MTDesc,0))</f>
        <v>0.0</v>
      </c>
      <c r="F561" s="39">
        <f>IF($B561&lt;&gt;"",MATCH($B561,MTName,0),$E561+MATCH($D561,INDEX(MTDesc,$E561+1):MTEnd,0))</f>
        <v>391.0</v>
      </c>
      <c r="G561" s="3" t="str">
        <f>INDEX(MTDesc,$F561)</f>
        <v>Starting point of long term storage requirement (%VRE)</v>
      </c>
    </row>
    <row r="562">
      <c r="A562" s="3" t="inlineStr">
        <is>
          <t>LongTermStorageFor100pcVRE||</t>
        </is>
      </c>
      <c r="B562" s="3" t="inlineStr">
        <is>
          <t>LongTermStorageFor100pcVRE</t>
        </is>
      </c>
      <c r="C562" s="3" t="n"/>
      <c r="D562" s="3" t="n"/>
      <c r="E562" s="39">
        <f>IF($C562="",0,MATCH($C562,MTDesc,0))</f>
        <v>0.0</v>
      </c>
      <c r="F562" s="39">
        <f>IF($B562&lt;&gt;"",MATCH($B562,MTName,0),$E562+MATCH($D562,INDEX(MTDesc,$E562+1):MTEnd,0))</f>
        <v>392.0</v>
      </c>
      <c r="G562" s="3" t="str">
        <f>INDEX(MTDesc,$F562)</f>
        <v>GW electrolyzer per Gwy/y for 100% VRE (%)</v>
      </c>
    </row>
    <row r="563">
      <c r="A563" s="3" t="inlineStr">
        <is>
          <t>StorageHoursForLTStorage||</t>
        </is>
      </c>
      <c r="B563" s="3" t="inlineStr">
        <is>
          <t>StorageHoursForLTStorage</t>
        </is>
      </c>
      <c r="C563" s="3" t="n"/>
      <c r="D563" s="3" t="n"/>
      <c r="E563" s="39">
        <f>IF($C563="",0,MATCH($C563,MTDesc,0))</f>
        <v>0.0</v>
      </c>
      <c r="F563" s="39">
        <f>IF($B563&lt;&gt;"",MATCH($B563,MTName,0),$E563+MATCH($D563,INDEX(MTDesc,$E563+1):MTEnd,0))</f>
        <v>393.0</v>
      </c>
      <c r="G563" s="3" t="str">
        <f>INDEX(MTDesc,$F563)</f>
        <v>Storage hours for LT storage</v>
      </c>
    </row>
    <row r="564">
      <c r="A564" s="3" t="inlineStr">
        <is>
          <t>PPAProportionCoalGas||</t>
        </is>
      </c>
      <c r="B564" s="3" t="inlineStr">
        <is>
          <t>PPAProportionCoalGas</t>
        </is>
      </c>
      <c r="C564" s="3" t="n"/>
      <c r="D564" s="3" t="n"/>
      <c r="E564" s="39">
        <f>IF($C564="",0,MATCH($C564,MTDesc,0))</f>
        <v>0.0</v>
      </c>
      <c r="F564" s="39">
        <f>IF($B564&lt;&gt;"",MATCH($B564,MTName,0),$E564+MATCH($D564,INDEX(MTDesc,$E564+1):MTEnd,0))</f>
        <v>380.0</v>
      </c>
      <c r="G564" s="3" t="str">
        <f>INDEX(MTDesc,$F564)</f>
        <v>Proportion of PPAs in Coal and Gas Generation</v>
      </c>
    </row>
    <row r="565">
      <c r="A565" s="3" t="inlineStr">
        <is>
          <t>PhaseOutCoalAndGasPPAsBaseline||</t>
        </is>
      </c>
      <c r="B565" s="3" t="inlineStr">
        <is>
          <t>PhaseOutCoalAndGasPPAsBaseline</t>
        </is>
      </c>
      <c r="C565" s="3" t="n"/>
      <c r="D565" s="3" t="n"/>
      <c r="E565" s="39">
        <f>IF($C565="",0,MATCH($C565,MTDesc,0))</f>
        <v>0.0</v>
      </c>
      <c r="F565" s="39">
        <f>IF($B565&lt;&gt;"",MATCH($B565,MTName,0),$E565+MATCH($D565,INDEX(MTDesc,$E565+1):MTEnd,0))</f>
        <v>381.0</v>
      </c>
      <c r="G565" s="3" t="str">
        <f>INDEX(MTDesc,$F565)</f>
        <v>Phase out any coal and gas PPAs? (Baseline)</v>
      </c>
    </row>
    <row r="566">
      <c r="A566" s="3" t="inlineStr">
        <is>
          <t>PhaseOutCoalAndGasPPAsPolicy||</t>
        </is>
      </c>
      <c r="B566" s="3" t="inlineStr">
        <is>
          <t>PhaseOutCoalAndGasPPAsPolicy</t>
        </is>
      </c>
      <c r="C566" s="3" t="n"/>
      <c r="D566" s="3" t="n"/>
      <c r="E566" s="39">
        <f>IF($C566="",0,MATCH($C566,MTDesc,0))</f>
        <v>0.0</v>
      </c>
      <c r="F566" s="39">
        <f>IF($B566&lt;&gt;"",MATCH($B566,MTName,0),$E566+MATCH($D566,INDEX(MTDesc,$E566+1):MTEnd,0))</f>
        <v>382.0</v>
      </c>
      <c r="G566" s="3" t="str">
        <f>INDEX(MTDesc,$F566)</f>
        <v>Phase out any coal and gas PPAs? (Policy)</v>
      </c>
    </row>
    <row r="567">
      <c r="A567" s="3" t="inlineStr">
        <is>
          <t>YearPPACoalGas||</t>
        </is>
      </c>
      <c r="B567" s="3" t="inlineStr">
        <is>
          <t>YearPPACoalGas</t>
        </is>
      </c>
      <c r="C567" s="3" t="n"/>
      <c r="D567" s="3" t="n"/>
      <c r="E567" s="39">
        <f>IF($C567="",0,MATCH($C567,MTDesc,0))</f>
        <v>0.0</v>
      </c>
      <c r="F567" s="39">
        <f>IF($B567&lt;&gt;"",MATCH($B567,MTName,0),$E567+MATCH($D567,INDEX(MTDesc,$E567+1):MTEnd,0))</f>
        <v>383.0</v>
      </c>
      <c r="G567" s="3" t="str">
        <f>INDEX(MTDesc,$F567)</f>
        <v>Phase begins when?</v>
      </c>
    </row>
    <row r="568">
      <c r="A568" s="3" t="inlineStr">
        <is>
          <t>YearsToPhaseOutPPAs||</t>
        </is>
      </c>
      <c r="B568" s="3" t="inlineStr">
        <is>
          <t>YearsToPhaseOutPPAs</t>
        </is>
      </c>
      <c r="C568" s="3" t="n"/>
      <c r="D568" s="3" t="n"/>
      <c r="E568" s="39">
        <f>IF($C568="",0,MATCH($C568,MTDesc,0))</f>
        <v>0.0</v>
      </c>
      <c r="F568" s="39">
        <f>IF($B568&lt;&gt;"",MATCH($B568,MTName,0),$E568+MATCH($D568,INDEX(MTDesc,$E568+1):MTEnd,0))</f>
        <v>384.0</v>
      </c>
      <c r="G568" s="3" t="str">
        <f>INDEX(MTDesc,$F568)</f>
        <v>Phase out coal and gas PPAs over n years?</v>
      </c>
    </row>
    <row r="569">
      <c r="A569" s="3" t="inlineStr">
        <is>
          <t>RenewableSubsidyBL||</t>
        </is>
      </c>
      <c r="B569" s="3" t="inlineStr">
        <is>
          <t>RenewableSubsidyBL</t>
        </is>
      </c>
      <c r="C569" s="3" t="n"/>
      <c r="D569" s="3" t="n"/>
      <c r="E569" s="39">
        <f>IF($C569="",0,MATCH($C569,MTDesc,0))</f>
        <v>0.0</v>
      </c>
      <c r="F569" s="39">
        <f>IF($B569&lt;&gt;"",MATCH($B569,MTName,0),$E569+MATCH($D569,INDEX(MTDesc,$E569+1):MTEnd,0))</f>
        <v>352.0</v>
      </c>
      <c r="G569" s="3" t="str">
        <f>INDEX(MTDesc,$F569)</f>
        <v>Baseline renewable energy subsidy, $/kwh nom</v>
      </c>
    </row>
    <row r="570">
      <c r="A570" s="3" t="inlineStr">
        <is>
          <t>RenSubsidyAddUSDkwh||</t>
        </is>
      </c>
      <c r="B570" s="3" t="inlineStr">
        <is>
          <t>RenSubsidyAddUSDkwh</t>
        </is>
      </c>
      <c r="C570" s="3" t="n"/>
      <c r="D570" s="3" t="n"/>
      <c r="E570" s="39">
        <f>IF($C570="",0,MATCH($C570,MTDesc,0))</f>
        <v>0.0</v>
      </c>
      <c r="F570" s="39">
        <f>IF($B570&lt;&gt;"",MATCH($B570,MTName,0),$E570+MATCH($D570,INDEX(MTDesc,$E570+1):MTEnd,0))</f>
        <v>353.0</v>
      </c>
      <c r="G570" s="3" t="str">
        <f>INDEX(MTDesc,$F570)</f>
        <v>New renewable energy subsidy, $/kwh nom</v>
      </c>
    </row>
    <row r="571">
      <c r="A571" s="3" t="inlineStr">
        <is>
          <t>RenSubsidyAddPhaseoutYrs||</t>
        </is>
      </c>
      <c r="B571" s="3" t="inlineStr">
        <is>
          <t>RenSubsidyAddPhaseoutYrs</t>
        </is>
      </c>
      <c r="C571" s="3" t="n"/>
      <c r="D571" s="3" t="n"/>
      <c r="E571" s="39">
        <f>IF($C571="",0,MATCH($C571,MTDesc,0))</f>
        <v>0.0</v>
      </c>
      <c r="F571" s="39">
        <f>IF($B571&lt;&gt;"",MATCH($B571,MTName,0),$E571+MATCH($D571,INDEX(MTDesc,$E571+1):MTEnd,0))</f>
        <v>354.0</v>
      </c>
      <c r="G571" s="3" t="str">
        <f>INDEX(MTDesc,$F571)</f>
        <v>New renewable energy subsidy, phaseout</v>
      </c>
    </row>
    <row r="572">
      <c r="A572" s="3" t="inlineStr">
        <is>
          <t>RenSubsidyAddStartYear||</t>
        </is>
      </c>
      <c r="B572" s="3" t="inlineStr">
        <is>
          <t>RenSubsidyAddStartYear</t>
        </is>
      </c>
      <c r="C572" s="3" t="n"/>
      <c r="D572" s="3" t="n"/>
      <c r="E572" s="39">
        <f>IF($C572="",0,MATCH($C572,MTDesc,0))</f>
        <v>0.0</v>
      </c>
      <c r="F572" s="39">
        <f>IF($B572&lt;&gt;"",MATCH($B572,MTName,0),$E572+MATCH($D572,INDEX(MTDesc,$E572+1):MTEnd,0))</f>
        <v>475.0</v>
      </c>
      <c r="G572" s="3" t="str">
        <f>INDEX(MTDesc,$F572)</f>
        <v>New renewable energy subsidy: year it starts (v0.5.4; legacy reads the consumer subsidy phase-out year YearConsSubPha, bug L107)</v>
      </c>
    </row>
    <row r="573">
      <c r="A573" s="3" t="inlineStr">
        <is>
          <t>RenewableSubsidyHydro||</t>
        </is>
      </c>
      <c r="B573" s="3" t="inlineStr">
        <is>
          <t>RenewableSubsidyHydro</t>
        </is>
      </c>
      <c r="C573" s="3" t="n"/>
      <c r="D573" s="3" t="n"/>
      <c r="E573" s="39">
        <f>IF($C573="",0,MATCH($C573,MTDesc,0))</f>
        <v>0.0</v>
      </c>
      <c r="F573" s="39">
        <f>IF($B573&lt;&gt;"",MATCH($B573,MTName,0),$E573+MATCH($D573,INDEX(MTDesc,$E573+1):MTEnd,0))</f>
        <v>355.0</v>
      </c>
      <c r="G573" s="3" t="str">
        <f>INDEX(MTDesc,$F573)</f>
        <v>Apply additional RE subsidy to hydroelectric power?</v>
      </c>
    </row>
    <row r="574">
      <c r="A574" s="3" t="inlineStr">
        <is>
          <t>AdditionalCoalIntangibleCost||</t>
        </is>
      </c>
      <c r="B574" s="3" t="inlineStr">
        <is>
          <t>AdditionalCoalIntangibleCost</t>
        </is>
      </c>
      <c r="C574" s="3" t="n"/>
      <c r="D574" s="3" t="n"/>
      <c r="E574" s="39">
        <f>IF($C574="",0,MATCH($C574,MTDesc,0))</f>
        <v>0.0</v>
      </c>
      <c r="F574" s="39">
        <f>IF($B574&lt;&gt;"",MATCH($B574,MTName,0),$E574+MATCH($D574,INDEX(MTDesc,$E574+1):MTEnd,0))</f>
        <v>367.0</v>
      </c>
      <c r="G574" s="3" t="str">
        <f>INDEX(MTDesc,$F574)</f>
        <v>Use Additional Coal Intangible Cost</v>
      </c>
    </row>
    <row r="575">
      <c r="A575" s="3" t="inlineStr">
        <is>
          <t>ManualCoalIntangibleCostST||</t>
        </is>
      </c>
      <c r="B575" s="3" t="inlineStr">
        <is>
          <t>ManualCoalIntangibleCostST</t>
        </is>
      </c>
      <c r="C575" s="3" t="n"/>
      <c r="D575" s="3" t="n"/>
      <c r="E575" s="39">
        <f>IF($C575="",0,MATCH($C575,MTDesc,0))</f>
        <v>0.0</v>
      </c>
      <c r="F575" s="39">
        <f>IF($B575&lt;&gt;"",MATCH($B575,MTName,0),$E575+MATCH($D575,INDEX(MTDesc,$E575+1):MTEnd,0))</f>
        <v>368.0</v>
      </c>
      <c r="G575" s="3" t="str">
        <f>INDEX(MTDesc,$F575)</f>
        <v>Manual Coal Intangible Cost (short term)</v>
      </c>
    </row>
    <row r="576">
      <c r="A576" s="3" t="inlineStr">
        <is>
          <t>ManualCoalIntangibleCostLT||</t>
        </is>
      </c>
      <c r="B576" s="3" t="inlineStr">
        <is>
          <t>ManualCoalIntangibleCostLT</t>
        </is>
      </c>
      <c r="C576" s="3" t="n"/>
      <c r="D576" s="3" t="n"/>
      <c r="E576" s="39">
        <f>IF($C576="",0,MATCH($C576,MTDesc,0))</f>
        <v>0.0</v>
      </c>
      <c r="F576" s="39">
        <f>IF($B576&lt;&gt;"",MATCH($B576,MTName,0),$E576+MATCH($D576,INDEX(MTDesc,$E576+1):MTEnd,0))</f>
        <v>369.0</v>
      </c>
      <c r="G576" s="3" t="str">
        <f>INDEX(MTDesc,$F576)</f>
        <v>Manual Coal Intangible Cost (long term)</v>
      </c>
    </row>
    <row r="577">
      <c r="A577" s="3" t="inlineStr">
        <is>
          <t>NewInvCoa||</t>
        </is>
      </c>
      <c r="B577" s="3" t="inlineStr">
        <is>
          <t>NewInvCoa</t>
        </is>
      </c>
      <c r="C577" s="3" t="n"/>
      <c r="D577" s="3" t="n"/>
      <c r="E577" s="39">
        <f>IF($C577="",0,MATCH($C577,MTDesc,0))</f>
        <v>0.0</v>
      </c>
      <c r="F577" s="39">
        <f>IF($B577&lt;&gt;"",MATCH($B577,MTName,0),$E577+MATCH($D577,INDEX(MTDesc,$E577+1):MTEnd,0))</f>
        <v>395.0</v>
      </c>
      <c r="G577" s="3" t="str">
        <f>INDEX(MTDesc,$F577)</f>
        <v>Coal - New Investment Override</v>
      </c>
    </row>
    <row r="578">
      <c r="A578" s="3" t="inlineStr">
        <is>
          <t>NewInvNga||</t>
        </is>
      </c>
      <c r="B578" s="3" t="inlineStr">
        <is>
          <t>NewInvNga</t>
        </is>
      </c>
      <c r="C578" s="3" t="n"/>
      <c r="D578" s="3" t="n"/>
      <c r="E578" s="39">
        <f>IF($C578="",0,MATCH($C578,MTDesc,0))</f>
        <v>0.0</v>
      </c>
      <c r="F578" s="39">
        <f>IF($B578&lt;&gt;"",MATCH($B578,MTName,0),$E578+MATCH($D578,INDEX(MTDesc,$E578+1):MTEnd,0))</f>
        <v>396.0</v>
      </c>
      <c r="G578" s="3" t="str">
        <f>INDEX(MTDesc,$F578)</f>
        <v>Natural gas - New Investment Override</v>
      </c>
    </row>
    <row r="579">
      <c r="A579" s="3" t="inlineStr">
        <is>
          <t>NewInvOil||</t>
        </is>
      </c>
      <c r="B579" s="3" t="inlineStr">
        <is>
          <t>NewInvOil</t>
        </is>
      </c>
      <c r="C579" s="3" t="n"/>
      <c r="D579" s="3" t="n"/>
      <c r="E579" s="39">
        <f>IF($C579="",0,MATCH($C579,MTDesc,0))</f>
        <v>0.0</v>
      </c>
      <c r="F579" s="39">
        <f>IF($B579&lt;&gt;"",MATCH($B579,MTName,0),$E579+MATCH($D579,INDEX(MTDesc,$E579+1):MTEnd,0))</f>
        <v>397.0</v>
      </c>
      <c r="G579" s="3" t="str">
        <f>INDEX(MTDesc,$F579)</f>
        <v>Oil - New Investment Override</v>
      </c>
    </row>
    <row r="580">
      <c r="A580" s="3" t="inlineStr">
        <is>
          <t>NewInvNuc||</t>
        </is>
      </c>
      <c r="B580" s="3" t="inlineStr">
        <is>
          <t>NewInvNuc</t>
        </is>
      </c>
      <c r="C580" s="3" t="n"/>
      <c r="D580" s="3" t="n"/>
      <c r="E580" s="39">
        <f>IF($C580="",0,MATCH($C580,MTDesc,0))</f>
        <v>0.0</v>
      </c>
      <c r="F580" s="39">
        <f>IF($B580&lt;&gt;"",MATCH($B580,MTName,0),$E580+MATCH($D580,INDEX(MTDesc,$E580+1):MTEnd,0))</f>
        <v>398.0</v>
      </c>
      <c r="G580" s="3" t="str">
        <f>INDEX(MTDesc,$F580)</f>
        <v>Nuclear - New Investment Override</v>
      </c>
    </row>
    <row r="581">
      <c r="A581" s="3" t="inlineStr">
        <is>
          <t>NewInvWnd||</t>
        </is>
      </c>
      <c r="B581" s="3" t="inlineStr">
        <is>
          <t>NewInvWnd</t>
        </is>
      </c>
      <c r="C581" s="3" t="n"/>
      <c r="D581" s="3" t="n"/>
      <c r="E581" s="39">
        <f>IF($C581="",0,MATCH($C581,MTDesc,0))</f>
        <v>0.0</v>
      </c>
      <c r="F581" s="39">
        <f>IF($B581&lt;&gt;"",MATCH($B581,MTName,0),$E581+MATCH($D581,INDEX(MTDesc,$E581+1):MTEnd,0))</f>
        <v>399.0</v>
      </c>
      <c r="G581" s="3" t="str">
        <f>INDEX(MTDesc,$F581)</f>
        <v>Wind - New Investment Override</v>
      </c>
    </row>
    <row r="582">
      <c r="A582" s="3" t="inlineStr">
        <is>
          <t>NewInvSol||</t>
        </is>
      </c>
      <c r="B582" s="3" t="inlineStr">
        <is>
          <t>NewInvSol</t>
        </is>
      </c>
      <c r="C582" s="3" t="n"/>
      <c r="D582" s="3" t="n"/>
      <c r="E582" s="39">
        <f>IF($C582="",0,MATCH($C582,MTDesc,0))</f>
        <v>0.0</v>
      </c>
      <c r="F582" s="39">
        <f>IF($B582&lt;&gt;"",MATCH($B582,MTName,0),$E582+MATCH($D582,INDEX(MTDesc,$E582+1):MTEnd,0))</f>
        <v>400.0</v>
      </c>
      <c r="G582" s="3" t="str">
        <f>INDEX(MTDesc,$F582)</f>
        <v>Solar - New Investment Override</v>
      </c>
    </row>
    <row r="583">
      <c r="A583" s="3" t="inlineStr">
        <is>
          <t>NewInvHyd||</t>
        </is>
      </c>
      <c r="B583" s="3" t="inlineStr">
        <is>
          <t>NewInvHyd</t>
        </is>
      </c>
      <c r="C583" s="3" t="n"/>
      <c r="D583" s="3" t="n"/>
      <c r="E583" s="39">
        <f>IF($C583="",0,MATCH($C583,MTDesc,0))</f>
        <v>0.0</v>
      </c>
      <c r="F583" s="39">
        <f>IF($B583&lt;&gt;"",MATCH($B583,MTName,0),$E583+MATCH($D583,INDEX(MTDesc,$E583+1):MTEnd,0))</f>
        <v>401.0</v>
      </c>
      <c r="G583" s="3" t="str">
        <f>INDEX(MTDesc,$F583)</f>
        <v>Hydro - New Investment Override</v>
      </c>
    </row>
    <row r="584">
      <c r="A584" s="3" t="inlineStr">
        <is>
          <t>NewInvOre||</t>
        </is>
      </c>
      <c r="B584" s="3" t="inlineStr">
        <is>
          <t>NewInvOre</t>
        </is>
      </c>
      <c r="C584" s="3" t="n"/>
      <c r="D584" s="3" t="n"/>
      <c r="E584" s="39">
        <f>IF($C584="",0,MATCH($C584,MTDesc,0))</f>
        <v>0.0</v>
      </c>
      <c r="F584" s="39">
        <f>IF($B584&lt;&gt;"",MATCH($B584,MTName,0),$E584+MATCH($D584,INDEX(MTDesc,$E584+1):MTEnd,0))</f>
        <v>402.0</v>
      </c>
      <c r="G584" s="3" t="str">
        <f>INDEX(MTDesc,$F584)</f>
        <v>Other renewables - New Investment Override</v>
      </c>
    </row>
    <row r="585">
      <c r="A585" s="3" t="inlineStr">
        <is>
          <t>NewInvBio||</t>
        </is>
      </c>
      <c r="B585" s="3" t="inlineStr">
        <is>
          <t>NewInvBio</t>
        </is>
      </c>
      <c r="C585" s="3" t="n"/>
      <c r="D585" s="3" t="n"/>
      <c r="E585" s="39">
        <f>IF($C585="",0,MATCH($C585,MTDesc,0))</f>
        <v>0.0</v>
      </c>
      <c r="F585" s="39">
        <f>IF($B585&lt;&gt;"",MATCH($B585,MTName,0),$E585+MATCH($D585,INDEX(MTDesc,$E585+1):MTEnd,0))</f>
        <v>403.0</v>
      </c>
      <c r="G585" s="3" t="str">
        <f>INDEX(MTDesc,$F585)</f>
        <v>Biomass - New Investment Override</v>
      </c>
    </row>
    <row r="586">
      <c r="A586" s="3" t="inlineStr">
        <is>
          <t>NewInvCoaYear||</t>
        </is>
      </c>
      <c r="B586" s="3" t="inlineStr">
        <is>
          <t>NewInvCoaYear</t>
        </is>
      </c>
      <c r="C586" s="3" t="n"/>
      <c r="D586" s="3" t="n"/>
      <c r="E586" s="39">
        <f>IF($C586="",0,MATCH($C586,MTDesc,0))</f>
        <v>0.0</v>
      </c>
      <c r="F586" s="39">
        <f>IF($B586&lt;&gt;"",MATCH($B586,MTName,0),$E586+MATCH($D586,INDEX(MTDesc,$E586+1):MTEnd,0))</f>
        <v>405.0</v>
      </c>
      <c r="G586" s="3" t="str">
        <f>INDEX(MTDesc,$F586)</f>
        <v>Coal</v>
      </c>
    </row>
    <row r="587">
      <c r="A587" s="3" t="inlineStr">
        <is>
          <t>NewInvNgaYear||</t>
        </is>
      </c>
      <c r="B587" s="3" t="inlineStr">
        <is>
          <t>NewInvNgaYear</t>
        </is>
      </c>
      <c r="C587" s="3" t="n"/>
      <c r="D587" s="3" t="n"/>
      <c r="E587" s="39">
        <f>IF($C587="",0,MATCH($C587,MTDesc,0))</f>
        <v>0.0</v>
      </c>
      <c r="F587" s="39">
        <f>IF($B587&lt;&gt;"",MATCH($B587,MTName,0),$E587+MATCH($D587,INDEX(MTDesc,$E587+1):MTEnd,0))</f>
        <v>406.0</v>
      </c>
      <c r="G587" s="3" t="str">
        <f>INDEX(MTDesc,$F587)</f>
        <v>Natural gas</v>
      </c>
    </row>
    <row r="588">
      <c r="A588" s="3" t="inlineStr">
        <is>
          <t>NewInvOilYear||</t>
        </is>
      </c>
      <c r="B588" s="3" t="inlineStr">
        <is>
          <t>NewInvOilYear</t>
        </is>
      </c>
      <c r="C588" s="3" t="n"/>
      <c r="D588" s="3" t="n"/>
      <c r="E588" s="39">
        <f>IF($C588="",0,MATCH($C588,MTDesc,0))</f>
        <v>0.0</v>
      </c>
      <c r="F588" s="39">
        <f>IF($B588&lt;&gt;"",MATCH($B588,MTName,0),$E588+MATCH($D588,INDEX(MTDesc,$E588+1):MTEnd,0))</f>
        <v>407.0</v>
      </c>
      <c r="G588" s="3" t="str">
        <f>INDEX(MTDesc,$F588)</f>
        <v>Oil</v>
      </c>
    </row>
    <row r="589">
      <c r="A589" s="3" t="inlineStr">
        <is>
          <t>NewInvNucYear||</t>
        </is>
      </c>
      <c r="B589" s="3" t="inlineStr">
        <is>
          <t>NewInvNucYear</t>
        </is>
      </c>
      <c r="C589" s="3" t="n"/>
      <c r="D589" s="3" t="n"/>
      <c r="E589" s="39">
        <f>IF($C589="",0,MATCH($C589,MTDesc,0))</f>
        <v>0.0</v>
      </c>
      <c r="F589" s="39">
        <f>IF($B589&lt;&gt;"",MATCH($B589,MTName,0),$E589+MATCH($D589,INDEX(MTDesc,$E589+1):MTEnd,0))</f>
        <v>408.0</v>
      </c>
      <c r="G589" s="3" t="str">
        <f>INDEX(MTDesc,$F589)</f>
        <v>Nuclear</v>
      </c>
    </row>
    <row r="590">
      <c r="A590" s="3" t="inlineStr">
        <is>
          <t>NewInvWndYear||</t>
        </is>
      </c>
      <c r="B590" s="3" t="inlineStr">
        <is>
          <t>NewInvWndYear</t>
        </is>
      </c>
      <c r="C590" s="3" t="n"/>
      <c r="D590" s="3" t="n"/>
      <c r="E590" s="39">
        <f>IF($C590="",0,MATCH($C590,MTDesc,0))</f>
        <v>0.0</v>
      </c>
      <c r="F590" s="39">
        <f>IF($B590&lt;&gt;"",MATCH($B590,MTName,0),$E590+MATCH($D590,INDEX(MTDesc,$E590+1):MTEnd,0))</f>
        <v>409.0</v>
      </c>
      <c r="G590" s="3" t="str">
        <f>INDEX(MTDesc,$F590)</f>
        <v>Wind</v>
      </c>
    </row>
    <row r="591">
      <c r="A591" s="3" t="inlineStr">
        <is>
          <t>NewInvSolYear||</t>
        </is>
      </c>
      <c r="B591" s="3" t="inlineStr">
        <is>
          <t>NewInvSolYear</t>
        </is>
      </c>
      <c r="C591" s="3" t="n"/>
      <c r="D591" s="3" t="n"/>
      <c r="E591" s="39">
        <f>IF($C591="",0,MATCH($C591,MTDesc,0))</f>
        <v>0.0</v>
      </c>
      <c r="F591" s="39">
        <f>IF($B591&lt;&gt;"",MATCH($B591,MTName,0),$E591+MATCH($D591,INDEX(MTDesc,$E591+1):MTEnd,0))</f>
        <v>410.0</v>
      </c>
      <c r="G591" s="3" t="str">
        <f>INDEX(MTDesc,$F591)</f>
        <v>Solar</v>
      </c>
    </row>
    <row r="592">
      <c r="A592" s="3" t="inlineStr">
        <is>
          <t>NewInvHydYear||</t>
        </is>
      </c>
      <c r="B592" s="3" t="inlineStr">
        <is>
          <t>NewInvHydYear</t>
        </is>
      </c>
      <c r="C592" s="3" t="n"/>
      <c r="D592" s="3" t="n"/>
      <c r="E592" s="39">
        <f>IF($C592="",0,MATCH($C592,MTDesc,0))</f>
        <v>0.0</v>
      </c>
      <c r="F592" s="39">
        <f>IF($B592&lt;&gt;"",MATCH($B592,MTName,0),$E592+MATCH($D592,INDEX(MTDesc,$E592+1):MTEnd,0))</f>
        <v>411.0</v>
      </c>
      <c r="G592" s="3" t="str">
        <f>INDEX(MTDesc,$F592)</f>
        <v>Hydro</v>
      </c>
    </row>
    <row r="593">
      <c r="A593" s="3" t="inlineStr">
        <is>
          <t>NewInvOreYear||</t>
        </is>
      </c>
      <c r="B593" s="3" t="inlineStr">
        <is>
          <t>NewInvOreYear</t>
        </is>
      </c>
      <c r="C593" s="3" t="n"/>
      <c r="D593" s="3" t="n"/>
      <c r="E593" s="39">
        <f>IF($C593="",0,MATCH($C593,MTDesc,0))</f>
        <v>0.0</v>
      </c>
      <c r="F593" s="39">
        <f>IF($B593&lt;&gt;"",MATCH($B593,MTName,0),$E593+MATCH($D593,INDEX(MTDesc,$E593+1):MTEnd,0))</f>
        <v>412.0</v>
      </c>
      <c r="G593" s="3" t="str">
        <f>INDEX(MTDesc,$F593)</f>
        <v>Other renewables</v>
      </c>
    </row>
    <row r="594">
      <c r="A594" s="3" t="inlineStr">
        <is>
          <t>NewInvBioYear||</t>
        </is>
      </c>
      <c r="B594" s="3" t="inlineStr">
        <is>
          <t>NewInvBioYear</t>
        </is>
      </c>
      <c r="C594" s="3" t="n"/>
      <c r="D594" s="3" t="n"/>
      <c r="E594" s="39">
        <f>IF($C594="",0,MATCH($C594,MTDesc,0))</f>
        <v>0.0</v>
      </c>
      <c r="F594" s="39">
        <f>IF($B594&lt;&gt;"",MATCH($B594,MTName,0),$E594+MATCH($D594,INDEX(MTDesc,$E594+1):MTEnd,0))</f>
        <v>413.0</v>
      </c>
      <c r="G594" s="3" t="str">
        <f>INDEX(MTDesc,$F594)</f>
        <v>Biomass</v>
      </c>
    </row>
    <row r="595">
      <c r="A595" s="3" t="inlineStr">
        <is>
          <t>IntEnerPricForeSource||</t>
        </is>
      </c>
      <c r="B595" s="3" t="inlineStr">
        <is>
          <t>IntEnerPricForeSource</t>
        </is>
      </c>
      <c r="C595" s="3" t="n"/>
      <c r="D595" s="3" t="n"/>
      <c r="E595" s="39">
        <f>IF($C595="",0,MATCH($C595,MTDesc,0))</f>
        <v>0.0</v>
      </c>
      <c r="F595" s="39">
        <f>IF($B595&lt;&gt;"",MATCH($B595,MTName,0),$E595+MATCH($D595,INDEX(MTDesc,$E595+1):MTEnd,0))</f>
        <v>220.0</v>
      </c>
      <c r="G595" s="3" t="str">
        <f>INDEX(MTDesc,$F595)</f>
        <v>International energy price forecasts</v>
      </c>
    </row>
    <row r="596">
      <c r="A596" s="3" t="inlineStr">
        <is>
          <t>IntEnerPricForecastAdjustment||</t>
        </is>
      </c>
      <c r="B596" s="3" t="inlineStr">
        <is>
          <t>IntEnerPricForecastAdjustment</t>
        </is>
      </c>
      <c r="C596" s="3" t="n"/>
      <c r="D596" s="3" t="n"/>
      <c r="E596" s="39">
        <f>IF($C596="",0,MATCH($C596,MTDesc,0))</f>
        <v>0.0</v>
      </c>
      <c r="F596" s="39">
        <f>IF($B596&lt;&gt;"",MATCH($B596,MTName,0),$E596+MATCH($D596,INDEX(MTDesc,$E596+1):MTEnd,0))</f>
        <v>258.0</v>
      </c>
      <c r="G596" s="3" t="str">
        <f>INDEX(MTDesc,$F596)</f>
        <v>International energy prices adjustment</v>
      </c>
    </row>
    <row r="597">
      <c r="A597" s="3" t="inlineStr">
        <is>
          <t>EXPLabortax|all|all</t>
        </is>
      </c>
      <c r="B597" s="3" t="inlineStr">
        <is>
          <t>EXPLabortax</t>
        </is>
      </c>
      <c r="C597" s="3" t="n"/>
      <c r="D597" s="3" t="n"/>
      <c r="E597" s="39">
        <f>IF($C597="",0,MATCH($C597,MTDesc,0))</f>
        <v>0.0</v>
      </c>
      <c r="F597" s="39">
        <f>IF($B597&lt;&gt;"",MATCH($B597,MTName,0),$E597+MATCH($D597,INDEX(MTDesc,$E597+1):MTEnd,0))</f>
        <v>197.0</v>
      </c>
      <c r="G597" s="3" t="str">
        <f>INDEX(MTDesc,$F597)</f>
        <v>Labor tax reductions</v>
      </c>
    </row>
    <row r="598">
      <c r="A598" s="3" t="inlineStr">
        <is>
          <t>EXPCIT|all|all</t>
        </is>
      </c>
      <c r="B598" s="3" t="inlineStr">
        <is>
          <t>EXPCIT</t>
        </is>
      </c>
      <c r="C598" s="3" t="n"/>
      <c r="D598" s="3" t="n"/>
      <c r="E598" s="39">
        <f>IF($C598="",0,MATCH($C598,MTDesc,0))</f>
        <v>0.0</v>
      </c>
      <c r="F598" s="39">
        <f>IF($B598&lt;&gt;"",MATCH($B598,MTName,0),$E598+MATCH($D598,INDEX(MTDesc,$E598+1):MTEnd,0))</f>
        <v>198.0</v>
      </c>
      <c r="G598" s="3" t="str">
        <f>INDEX(MTDesc,$F598)</f>
        <v>Corporate taxes</v>
      </c>
    </row>
    <row r="599">
      <c r="A599" s="3" t="inlineStr">
        <is>
          <t>EXPCapex|all|all</t>
        </is>
      </c>
      <c r="B599" s="3" t="inlineStr">
        <is>
          <t>EXPCapex</t>
        </is>
      </c>
      <c r="C599" s="3" t="n"/>
      <c r="D599" s="3" t="n"/>
      <c r="E599" s="39">
        <f>IF($C599="",0,MATCH($C599,MTDesc,0))</f>
        <v>0.0</v>
      </c>
      <c r="F599" s="39">
        <f>IF($B599&lt;&gt;"",MATCH($B599,MTName,0),$E599+MATCH($D599,INDEX(MTDesc,$E599+1):MTEnd,0))</f>
        <v>199.0</v>
      </c>
      <c r="G599" s="3" t="str">
        <f>INDEX(MTDesc,$F599)</f>
        <v>Public investment</v>
      </c>
    </row>
    <row r="600">
      <c r="A600" s="3" t="inlineStr">
        <is>
          <t>EXPGoodsandserv|all|all</t>
        </is>
      </c>
      <c r="B600" s="3" t="inlineStr">
        <is>
          <t>EXPGoodsandserv</t>
        </is>
      </c>
      <c r="C600" s="3" t="n"/>
      <c r="D600" s="3" t="n"/>
      <c r="E600" s="39">
        <f>IF($C600="",0,MATCH($C600,MTDesc,0))</f>
        <v>0.0</v>
      </c>
      <c r="F600" s="39">
        <f>IF($B600&lt;&gt;"",MATCH($B600,MTName,0),$E600+MATCH($D600,INDEX(MTDesc,$E600+1):MTEnd,0))</f>
        <v>200.0</v>
      </c>
      <c r="G600" s="3" t="str">
        <f>INDEX(MTDesc,$F600)</f>
        <v>Current spending</v>
      </c>
    </row>
    <row r="601">
      <c r="A601" s="3" t="inlineStr">
        <is>
          <t>EXPTransfers|all|all</t>
        </is>
      </c>
      <c r="B601" s="3" t="inlineStr">
        <is>
          <t>EXPTransfers</t>
        </is>
      </c>
      <c r="C601" s="3" t="n"/>
      <c r="D601" s="3" t="n"/>
      <c r="E601" s="39">
        <f>IF($C601="",0,MATCH($C601,MTDesc,0))</f>
        <v>0.0</v>
      </c>
      <c r="F601" s="39">
        <f>IF($B601&lt;&gt;"",MATCH($B601,MTName,0),$E601+MATCH($D601,INDEX(MTDesc,$E601+1):MTEnd,0))</f>
        <v>201.0</v>
      </c>
      <c r="G601" s="3" t="str">
        <f>INDEX(MTDesc,$F601)</f>
        <v>Targeted transfers</v>
      </c>
    </row>
    <row r="602">
      <c r="A602" s="3" t="inlineStr">
        <is>
          <t>MultipliersSource|all|all</t>
        </is>
      </c>
      <c r="B602" s="3" t="inlineStr">
        <is>
          <t>MultipliersSource</t>
        </is>
      </c>
      <c r="C602" s="3" t="n"/>
      <c r="D602" s="3" t="n"/>
      <c r="E602" s="39">
        <f>IF($C602="",0,MATCH($C602,MTDesc,0))</f>
        <v>0.0</v>
      </c>
      <c r="F602" s="39">
        <f>IF($B602&lt;&gt;"",MATCH($B602,MTName,0),$E602+MATCH($D602,INDEX(MTDesc,$E602+1):MTEnd,0))</f>
        <v>226.0</v>
      </c>
      <c r="G602" s="3" t="str">
        <f>INDEX(MTDesc,$F602)</f>
        <v>Fiscal multipliers</v>
      </c>
    </row>
    <row r="603">
      <c r="A603" s="3" t="inlineStr">
        <is>
          <t>GDPStartYear|all|all</t>
        </is>
      </c>
      <c r="B603" s="3" t="inlineStr">
        <is>
          <t>GDPStartYear</t>
        </is>
      </c>
      <c r="C603" s="3" t="n"/>
      <c r="D603" s="3" t="n"/>
      <c r="E603" s="39">
        <f>IF($C603="",0,MATCH($C603,MTDesc,0))</f>
        <v>0.0</v>
      </c>
      <c r="F603" s="39">
        <f>IF($B603&lt;&gt;"",MATCH($B603,MTName,0),$E603+MATCH($D603,INDEX(MTDesc,$E603+1):MTEnd,0))</f>
        <v>236.0</v>
      </c>
      <c r="G603" s="3" t="str">
        <f>INDEX(MTDesc,$F603)</f>
        <v>Start year for GDP calculations</v>
      </c>
    </row>
    <row r="604">
      <c r="A604" s="3" t="inlineStr">
        <is>
          <t>FmAdj|all|all</t>
        </is>
      </c>
      <c r="B604" s="3" t="inlineStr">
        <is>
          <t>FmAdj</t>
        </is>
      </c>
      <c r="C604" s="3" t="n"/>
      <c r="D604" s="3" t="n"/>
      <c r="E604" s="39">
        <f>IF($C604="",0,MATCH($C604,MTDesc,0))</f>
        <v>0.0</v>
      </c>
      <c r="F604" s="39">
        <f>IF($B604&lt;&gt;"",MATCH($B604,MTName,0),$E604+MATCH($D604,INDEX(MTDesc,$E604+1):MTEnd,0))</f>
        <v>263.0</v>
      </c>
      <c r="G604" s="3" t="str">
        <f>INDEX(MTDesc,$F604)</f>
        <v>Fiscal multipliers adjustment</v>
      </c>
    </row>
    <row r="605">
      <c r="A605" s="3" t="inlineStr">
        <is>
          <t>GDPEndogenous|all|all</t>
        </is>
      </c>
      <c r="B605" s="3" t="inlineStr">
        <is>
          <t>GDPEndogenous</t>
        </is>
      </c>
      <c r="C605" s="3" t="n"/>
      <c r="D605" s="3" t="n"/>
      <c r="E605" s="39">
        <f>IF($C605="",0,MATCH($C605,MTDesc,0))</f>
        <v>0.0</v>
      </c>
      <c r="F605" s="39">
        <f>IF($B605&lt;&gt;"",MATCH($B605,MTName,0),$E605+MATCH($D605,INDEX(MTDesc,$E605+1):MTEnd,0))</f>
        <v>267.0</v>
      </c>
      <c r="G605" s="3" t="str">
        <f>INDEX(MTDesc,$F605)</f>
        <v>Include endogenous GDP effects?</v>
      </c>
    </row>
    <row r="606">
      <c r="A606" s="3" t="inlineStr">
        <is>
          <t>TrModel|all|all</t>
        </is>
      </c>
      <c r="B606" s="3" t="inlineStr">
        <is>
          <t>TrModel</t>
        </is>
      </c>
      <c r="C606" s="3" t="n"/>
      <c r="D606" s="3" t="n"/>
      <c r="E606" s="39">
        <f>IF($C606="",0,MATCH($C606,MTDesc,0))</f>
        <v>0.0</v>
      </c>
      <c r="F606" s="39">
        <f>IF($B606&lt;&gt;"",MATCH($B606,MTName,0),$E606+MATCH($D606,INDEX(MTDesc,$E606+1):MTEnd,0))</f>
        <v>338.0</v>
      </c>
      <c r="G606" s="3" t="str">
        <f>INDEX(MTDesc,$F606)</f>
        <v>Engineering or elasticity model</v>
      </c>
    </row>
    <row r="607">
      <c r="A607" s="3" t="inlineStr">
        <is>
          <t>TrFbYearPas|all|all</t>
        </is>
      </c>
      <c r="B607" s="3" t="inlineStr">
        <is>
          <t>TrFbYearPas</t>
        </is>
      </c>
      <c r="C607" s="3" t="n"/>
      <c r="D607" s="3" t="n"/>
      <c r="E607" s="39">
        <f>IF($C607="",0,MATCH($C607,MTDesc,0))</f>
        <v>0.0</v>
      </c>
      <c r="F607" s="39">
        <f>IF($B607&lt;&gt;"",MATCH($B607,MTName,0),$E607+MATCH($D607,INDEX(MTDesc,$E607+1):MTEnd,0))</f>
        <v>417.0</v>
      </c>
      <c r="G607" s="3" t="str">
        <f>INDEX(MTDesc,$F607)</f>
        <v>Vehicle feebate: year of introduction, passenger</v>
      </c>
    </row>
    <row r="608">
      <c r="A608" s="3" t="inlineStr">
        <is>
          <t>TrFbYearFre|all|all</t>
        </is>
      </c>
      <c r="B608" s="3" t="inlineStr">
        <is>
          <t>TrFbYearFre</t>
        </is>
      </c>
      <c r="C608" s="3" t="n"/>
      <c r="D608" s="3" t="n"/>
      <c r="E608" s="39">
        <f>IF($C608="",0,MATCH($C608,MTDesc,0))</f>
        <v>0.0</v>
      </c>
      <c r="F608" s="39">
        <f>IF($B608&lt;&gt;"",MATCH($B608,MTName,0),$E608+MATCH($D608,INDEX(MTDesc,$E608+1):MTEnd,0))</f>
        <v>418.0</v>
      </c>
      <c r="G608" s="3" t="str">
        <f>INDEX(MTDesc,$F608)</f>
        <v>Vehicle feebate: year of introduction, freight</v>
      </c>
    </row>
    <row r="609">
      <c r="A609" s="3" t="inlineStr">
        <is>
          <t>TrFbYearCyc|all|all</t>
        </is>
      </c>
      <c r="B609" s="3" t="inlineStr">
        <is>
          <t>TrFbYearCyc</t>
        </is>
      </c>
      <c r="C609" s="3" t="n"/>
      <c r="D609" s="3" t="n"/>
      <c r="E609" s="39">
        <f>IF($C609="",0,MATCH($C609,MTDesc,0))</f>
        <v>0.0</v>
      </c>
      <c r="F609" s="39">
        <f>IF($B609&lt;&gt;"",MATCH($B609,MTName,0),$E609+MATCH($D609,INDEX(MTDesc,$E609+1):MTEnd,0))</f>
        <v>419.0</v>
      </c>
      <c r="G609" s="3" t="str">
        <f>INDEX(MTDesc,$F609)</f>
        <v>Vehicle feebate: year of introduction, 2-3 wheeler</v>
      </c>
    </row>
    <row r="610">
      <c r="A610" s="3" t="inlineStr">
        <is>
          <t>TrFbRatePas|all|all</t>
        </is>
      </c>
      <c r="B610" s="3" t="inlineStr">
        <is>
          <t>TrFbRatePas</t>
        </is>
      </c>
      <c r="C610" s="3" t="n"/>
      <c r="D610" s="3" t="n"/>
      <c r="E610" s="39">
        <f>IF($C610="",0,MATCH($C610,MTDesc,0))</f>
        <v>0.0</v>
      </c>
      <c r="F610" s="39">
        <f>IF($B610&lt;&gt;"",MATCH($B610,MTName,0),$E610+MATCH($D610,INDEX(MTDesc,$E610+1):MTEnd,0))</f>
        <v>420.0</v>
      </c>
      <c r="G610" s="3" t="str">
        <f>INDEX(MTDesc,$F610)</f>
        <v>Vehicle feebate: rate, passenger</v>
      </c>
    </row>
    <row r="611">
      <c r="A611" s="3" t="inlineStr">
        <is>
          <t>TrFbRateFre|all|all</t>
        </is>
      </c>
      <c r="B611" s="3" t="inlineStr">
        <is>
          <t>TrFbRateFre</t>
        </is>
      </c>
      <c r="C611" s="3" t="n"/>
      <c r="D611" s="3" t="n"/>
      <c r="E611" s="39">
        <f>IF($C611="",0,MATCH($C611,MTDesc,0))</f>
        <v>0.0</v>
      </c>
      <c r="F611" s="39">
        <f>IF($B611&lt;&gt;"",MATCH($B611,MTName,0),$E611+MATCH($D611,INDEX(MTDesc,$E611+1):MTEnd,0))</f>
        <v>421.0</v>
      </c>
      <c r="G611" s="3" t="str">
        <f>INDEX(MTDesc,$F611)</f>
        <v>Vehicle feebate: rate, freight</v>
      </c>
    </row>
    <row r="612">
      <c r="A612" s="3" t="inlineStr">
        <is>
          <t>TrFbRateCyc|all|all</t>
        </is>
      </c>
      <c r="B612" s="3" t="inlineStr">
        <is>
          <t>TrFbRateCyc</t>
        </is>
      </c>
      <c r="C612" s="3" t="n"/>
      <c r="D612" s="3" t="n"/>
      <c r="E612" s="39">
        <f>IF($C612="",0,MATCH($C612,MTDesc,0))</f>
        <v>0.0</v>
      </c>
      <c r="F612" s="39">
        <f>IF($B612&lt;&gt;"",MATCH($B612,MTName,0),$E612+MATCH($D612,INDEX(MTDesc,$E612+1):MTEnd,0))</f>
        <v>422.0</v>
      </c>
      <c r="G612" s="3" t="str">
        <f>INDEX(MTDesc,$F612)</f>
        <v>Vehicle feebate: rate, 2-3 wheeler</v>
      </c>
    </row>
    <row r="613">
      <c r="A613" s="3" t="inlineStr">
        <is>
          <t>TrFbPivotTypePas|all|all</t>
        </is>
      </c>
      <c r="B613" s="3" t="inlineStr">
        <is>
          <t>TrFbPivotTypePas</t>
        </is>
      </c>
      <c r="C613" s="3" t="n"/>
      <c r="D613" s="3" t="n"/>
      <c r="E613" s="39">
        <f>IF($C613="",0,MATCH($C613,MTDesc,0))</f>
        <v>0.0</v>
      </c>
      <c r="F613" s="39">
        <f>IF($B613&lt;&gt;"",MATCH($B613,MTName,0),$E613+MATCH($D613,INDEX(MTDesc,$E613+1):MTEnd,0))</f>
        <v>423.0</v>
      </c>
      <c r="G613" s="3" t="str">
        <f>INDEX(MTDesc,$F613)</f>
        <v>Vehicle feebate: pivot type (Average / Manual), passenger</v>
      </c>
    </row>
    <row r="614">
      <c r="A614" s="3" t="inlineStr">
        <is>
          <t>TrFbPivotTypeFre|all|all</t>
        </is>
      </c>
      <c r="B614" s="3" t="inlineStr">
        <is>
          <t>TrFbPivotTypeFre</t>
        </is>
      </c>
      <c r="C614" s="3" t="n"/>
      <c r="D614" s="3" t="n"/>
      <c r="E614" s="39">
        <f>IF($C614="",0,MATCH($C614,MTDesc,0))</f>
        <v>0.0</v>
      </c>
      <c r="F614" s="39">
        <f>IF($B614&lt;&gt;"",MATCH($B614,MTName,0),$E614+MATCH($D614,INDEX(MTDesc,$E614+1):MTEnd,0))</f>
        <v>424.0</v>
      </c>
      <c r="G614" s="3" t="str">
        <f>INDEX(MTDesc,$F614)</f>
        <v>Vehicle feebate: pivot type (Average / Manual), freight</v>
      </c>
    </row>
    <row r="615">
      <c r="A615" s="3" t="inlineStr">
        <is>
          <t>TrFbPivotTypeCyc|all|all</t>
        </is>
      </c>
      <c r="B615" s="3" t="inlineStr">
        <is>
          <t>TrFbPivotTypeCyc</t>
        </is>
      </c>
      <c r="C615" s="3" t="n"/>
      <c r="D615" s="3" t="n"/>
      <c r="E615" s="39">
        <f>IF($C615="",0,MATCH($C615,MTDesc,0))</f>
        <v>0.0</v>
      </c>
      <c r="F615" s="39">
        <f>IF($B615&lt;&gt;"",MATCH($B615,MTName,0),$E615+MATCH($D615,INDEX(MTDesc,$E615+1):MTEnd,0))</f>
        <v>425.0</v>
      </c>
      <c r="G615" s="3" t="str">
        <f>INDEX(MTDesc,$F615)</f>
        <v>Vehicle feebate: pivot type (Average / Manual), 2-3 wheeler</v>
      </c>
    </row>
    <row r="616">
      <c r="A616" s="3" t="inlineStr">
        <is>
          <t>TrFbPivotPas|all|all</t>
        </is>
      </c>
      <c r="B616" s="3" t="inlineStr">
        <is>
          <t>TrFbPivotPas</t>
        </is>
      </c>
      <c r="C616" s="3" t="n"/>
      <c r="D616" s="3" t="n"/>
      <c r="E616" s="39">
        <f>IF($C616="",0,MATCH($C616,MTDesc,0))</f>
        <v>0.0</v>
      </c>
      <c r="F616" s="39">
        <f>IF($B616&lt;&gt;"",MATCH($B616,MTName,0),$E616+MATCH($D616,INDEX(MTDesc,$E616+1):MTEnd,0))</f>
        <v>426.0</v>
      </c>
      <c r="G616" s="3" t="str">
        <f>INDEX(MTDesc,$F616)</f>
        <v>Vehicle feebate: manual pivot point, passenger</v>
      </c>
    </row>
    <row r="617">
      <c r="A617" s="3" t="inlineStr">
        <is>
          <t>TrFbPivotFre|all|all</t>
        </is>
      </c>
      <c r="B617" s="3" t="inlineStr">
        <is>
          <t>TrFbPivotFre</t>
        </is>
      </c>
      <c r="C617" s="3" t="n"/>
      <c r="D617" s="3" t="n"/>
      <c r="E617" s="39">
        <f>IF($C617="",0,MATCH($C617,MTDesc,0))</f>
        <v>0.0</v>
      </c>
      <c r="F617" s="39">
        <f>IF($B617&lt;&gt;"",MATCH($B617,MTName,0),$E617+MATCH($D617,INDEX(MTDesc,$E617+1):MTEnd,0))</f>
        <v>427.0</v>
      </c>
      <c r="G617" s="3" t="str">
        <f>INDEX(MTDesc,$F617)</f>
        <v>Vehicle feebate: manual pivot point, freight</v>
      </c>
    </row>
    <row r="618">
      <c r="A618" s="3" t="inlineStr">
        <is>
          <t>TrFbPivotCyc|all|all</t>
        </is>
      </c>
      <c r="B618" s="3" t="inlineStr">
        <is>
          <t>TrFbPivotCyc</t>
        </is>
      </c>
      <c r="C618" s="3" t="n"/>
      <c r="D618" s="3" t="n"/>
      <c r="E618" s="39">
        <f>IF($C618="",0,MATCH($C618,MTDesc,0))</f>
        <v>0.0</v>
      </c>
      <c r="F618" s="39">
        <f>IF($B618&lt;&gt;"",MATCH($B618,MTName,0),$E618+MATCH($D618,INDEX(MTDesc,$E618+1):MTEnd,0))</f>
        <v>428.0</v>
      </c>
      <c r="G618" s="3" t="str">
        <f>INDEX(MTDesc,$F618)</f>
        <v>Vehicle feebate: manual pivot point, 2-3 wheeler</v>
      </c>
    </row>
    <row r="619">
      <c r="A619" s="3" t="inlineStr">
        <is>
          <t>TrFbPivotChgPas|all|all</t>
        </is>
      </c>
      <c r="B619" s="3" t="inlineStr">
        <is>
          <t>TrFbPivotChgPas</t>
        </is>
      </c>
      <c r="C619" s="3" t="n"/>
      <c r="D619" s="3" t="n"/>
      <c r="E619" s="39">
        <f>IF($C619="",0,MATCH($C619,MTDesc,0))</f>
        <v>0.0</v>
      </c>
      <c r="F619" s="39">
        <f>IF($B619&lt;&gt;"",MATCH($B619,MTName,0),$E619+MATCH($D619,INDEX(MTDesc,$E619+1):MTEnd,0))</f>
        <v>429.0</v>
      </c>
      <c r="G619" s="3" t="str">
        <f>INDEX(MTDesc,$F619)</f>
        <v>Vehicle feebate: annual decline of the manual pivot, passenger</v>
      </c>
    </row>
    <row r="620">
      <c r="A620" s="3" t="inlineStr">
        <is>
          <t>TrFbPivotChgFre|all|all</t>
        </is>
      </c>
      <c r="B620" s="3" t="inlineStr">
        <is>
          <t>TrFbPivotChgFre</t>
        </is>
      </c>
      <c r="C620" s="3" t="n"/>
      <c r="D620" s="3" t="n"/>
      <c r="E620" s="39">
        <f>IF($C620="",0,MATCH($C620,MTDesc,0))</f>
        <v>0.0</v>
      </c>
      <c r="F620" s="39">
        <f>IF($B620&lt;&gt;"",MATCH($B620,MTName,0),$E620+MATCH($D620,INDEX(MTDesc,$E620+1):MTEnd,0))</f>
        <v>430.0</v>
      </c>
      <c r="G620" s="3" t="str">
        <f>INDEX(MTDesc,$F620)</f>
        <v>Vehicle feebate: annual decline of the manual pivot, freight</v>
      </c>
    </row>
    <row r="621">
      <c r="A621" s="3" t="inlineStr">
        <is>
          <t>TrFbPivotChgCyc|all|all</t>
        </is>
      </c>
      <c r="B621" s="3" t="inlineStr">
        <is>
          <t>TrFbPivotChgCyc</t>
        </is>
      </c>
      <c r="C621" s="3" t="n"/>
      <c r="D621" s="3" t="n"/>
      <c r="E621" s="39">
        <f>IF($C621="",0,MATCH($C621,MTDesc,0))</f>
        <v>0.0</v>
      </c>
      <c r="F621" s="39">
        <f>IF($B621&lt;&gt;"",MATCH($B621,MTName,0),$E621+MATCH($D621,INDEX(MTDesc,$E621+1):MTEnd,0))</f>
        <v>431.0</v>
      </c>
      <c r="G621" s="3" t="str">
        <f>INDEX(MTDesc,$F621)</f>
        <v>Vehicle feebate: annual decline of the manual pivot, 2-3 wheeler</v>
      </c>
    </row>
    <row r="622">
      <c r="A622" s="3" t="inlineStr">
        <is>
          <t>TrDtYearPas|all|all</t>
        </is>
      </c>
      <c r="B622" s="3" t="inlineStr">
        <is>
          <t>TrDtYearPas</t>
        </is>
      </c>
      <c r="C622" s="3" t="n"/>
      <c r="D622" s="3" t="n"/>
      <c r="E622" s="39">
        <f>IF($C622="",0,MATCH($C622,MTDesc,0))</f>
        <v>0.0</v>
      </c>
      <c r="F622" s="39">
        <f>IF($B622&lt;&gt;"",MATCH($B622,MTName,0),$E622+MATCH($D622,INDEX(MTDesc,$E622+1):MTEnd,0))</f>
        <v>432.0</v>
      </c>
      <c r="G622" s="3" t="str">
        <f>INDEX(MTDesc,$F622)</f>
        <v>Distance tax: year of introduction, passenger</v>
      </c>
    </row>
    <row r="623">
      <c r="A623" s="3" t="inlineStr">
        <is>
          <t>TrDtYearFre|all|all</t>
        </is>
      </c>
      <c r="B623" s="3" t="inlineStr">
        <is>
          <t>TrDtYearFre</t>
        </is>
      </c>
      <c r="C623" s="3" t="n"/>
      <c r="D623" s="3" t="n"/>
      <c r="E623" s="39">
        <f>IF($C623="",0,MATCH($C623,MTDesc,0))</f>
        <v>0.0</v>
      </c>
      <c r="F623" s="39">
        <f>IF($B623&lt;&gt;"",MATCH($B623,MTName,0),$E623+MATCH($D623,INDEX(MTDesc,$E623+1):MTEnd,0))</f>
        <v>433.0</v>
      </c>
      <c r="G623" s="3" t="str">
        <f>INDEX(MTDesc,$F623)</f>
        <v>Distance tax: year of introduction, freight</v>
      </c>
    </row>
    <row r="624">
      <c r="A624" s="3" t="inlineStr">
        <is>
          <t>TrDtYearCyc|all|all</t>
        </is>
      </c>
      <c r="B624" s="3" t="inlineStr">
        <is>
          <t>TrDtYearCyc</t>
        </is>
      </c>
      <c r="C624" s="3" t="n"/>
      <c r="D624" s="3" t="n"/>
      <c r="E624" s="39">
        <f>IF($C624="",0,MATCH($C624,MTDesc,0))</f>
        <v>0.0</v>
      </c>
      <c r="F624" s="39">
        <f>IF($B624&lt;&gt;"",MATCH($B624,MTName,0),$E624+MATCH($D624,INDEX(MTDesc,$E624+1):MTEnd,0))</f>
        <v>434.0</v>
      </c>
      <c r="G624" s="3" t="str">
        <f>INDEX(MTDesc,$F624)</f>
        <v>Distance tax: year of introduction, 2-3 wheeler</v>
      </c>
    </row>
    <row r="625">
      <c r="A625" s="3" t="inlineStr">
        <is>
          <t>TrDtStartPas|all|all</t>
        </is>
      </c>
      <c r="B625" s="3" t="inlineStr">
        <is>
          <t>TrDtStartPas</t>
        </is>
      </c>
      <c r="C625" s="3" t="n"/>
      <c r="D625" s="3" t="n"/>
      <c r="E625" s="39">
        <f>IF($C625="",0,MATCH($C625,MTDesc,0))</f>
        <v>0.0</v>
      </c>
      <c r="F625" s="39">
        <f>IF($B625&lt;&gt;"",MATCH($B625,MTName,0),$E625+MATCH($D625,INDEX(MTDesc,$E625+1):MTEnd,0))</f>
        <v>435.0</v>
      </c>
      <c r="G625" s="3" t="str">
        <f>INDEX(MTDesc,$F625)</f>
        <v>Distance tax: amount in the first year, passenger</v>
      </c>
    </row>
    <row r="626">
      <c r="A626" s="3" t="inlineStr">
        <is>
          <t>TrDtStartFre|all|all</t>
        </is>
      </c>
      <c r="B626" s="3" t="inlineStr">
        <is>
          <t>TrDtStartFre</t>
        </is>
      </c>
      <c r="C626" s="3" t="n"/>
      <c r="D626" s="3" t="n"/>
      <c r="E626" s="39">
        <f>IF($C626="",0,MATCH($C626,MTDesc,0))</f>
        <v>0.0</v>
      </c>
      <c r="F626" s="39">
        <f>IF($B626&lt;&gt;"",MATCH($B626,MTName,0),$E626+MATCH($D626,INDEX(MTDesc,$E626+1):MTEnd,0))</f>
        <v>436.0</v>
      </c>
      <c r="G626" s="3" t="str">
        <f>INDEX(MTDesc,$F626)</f>
        <v>Distance tax: amount in the first year, freight</v>
      </c>
    </row>
    <row r="627">
      <c r="A627" s="3" t="inlineStr">
        <is>
          <t>TrDtStartCyc|all|all</t>
        </is>
      </c>
      <c r="B627" s="3" t="inlineStr">
        <is>
          <t>TrDtStartCyc</t>
        </is>
      </c>
      <c r="C627" s="3" t="n"/>
      <c r="D627" s="3" t="n"/>
      <c r="E627" s="39">
        <f>IF($C627="",0,MATCH($C627,MTDesc,0))</f>
        <v>0.0</v>
      </c>
      <c r="F627" s="39">
        <f>IF($B627&lt;&gt;"",MATCH($B627,MTName,0),$E627+MATCH($D627,INDEX(MTDesc,$E627+1):MTEnd,0))</f>
        <v>437.0</v>
      </c>
      <c r="G627" s="3" t="str">
        <f>INDEX(MTDesc,$F627)</f>
        <v>Distance tax: amount in the first year, 2-3 wheeler</v>
      </c>
    </row>
    <row r="628">
      <c r="A628" s="3" t="inlineStr">
        <is>
          <t>TrDtTargetYearPas|all|all</t>
        </is>
      </c>
      <c r="B628" s="3" t="inlineStr">
        <is>
          <t>TrDtTargetYearPas</t>
        </is>
      </c>
      <c r="C628" s="3" t="n"/>
      <c r="D628" s="3" t="n"/>
      <c r="E628" s="39">
        <f>IF($C628="",0,MATCH($C628,MTDesc,0))</f>
        <v>0.0</v>
      </c>
      <c r="F628" s="39">
        <f>IF($B628&lt;&gt;"",MATCH($B628,MTName,0),$E628+MATCH($D628,INDEX(MTDesc,$E628+1):MTEnd,0))</f>
        <v>438.0</v>
      </c>
      <c r="G628" s="3" t="str">
        <f>INDEX(MTDesc,$F628)</f>
        <v>Distance tax: target year, passenger</v>
      </c>
    </row>
    <row r="629">
      <c r="A629" s="3" t="inlineStr">
        <is>
          <t>TrDtTargetYearFre|all|all</t>
        </is>
      </c>
      <c r="B629" s="3" t="inlineStr">
        <is>
          <t>TrDtTargetYearFre</t>
        </is>
      </c>
      <c r="C629" s="3" t="n"/>
      <c r="D629" s="3" t="n"/>
      <c r="E629" s="39">
        <f>IF($C629="",0,MATCH($C629,MTDesc,0))</f>
        <v>0.0</v>
      </c>
      <c r="F629" s="39">
        <f>IF($B629&lt;&gt;"",MATCH($B629,MTName,0),$E629+MATCH($D629,INDEX(MTDesc,$E629+1):MTEnd,0))</f>
        <v>439.0</v>
      </c>
      <c r="G629" s="3" t="str">
        <f>INDEX(MTDesc,$F629)</f>
        <v>Distance tax: target year, freight</v>
      </c>
    </row>
    <row r="630">
      <c r="A630" s="3" t="inlineStr">
        <is>
          <t>TrDtTargetYearCyc|all|all</t>
        </is>
      </c>
      <c r="B630" s="3" t="inlineStr">
        <is>
          <t>TrDtTargetYearCyc</t>
        </is>
      </c>
      <c r="C630" s="3" t="n"/>
      <c r="D630" s="3" t="n"/>
      <c r="E630" s="39">
        <f>IF($C630="",0,MATCH($C630,MTDesc,0))</f>
        <v>0.0</v>
      </c>
      <c r="F630" s="39">
        <f>IF($B630&lt;&gt;"",MATCH($B630,MTName,0),$E630+MATCH($D630,INDEX(MTDesc,$E630+1):MTEnd,0))</f>
        <v>440.0</v>
      </c>
      <c r="G630" s="3" t="str">
        <f>INDEX(MTDesc,$F630)</f>
        <v>Distance tax: target year, 2-3 wheeler</v>
      </c>
    </row>
    <row r="631">
      <c r="A631" s="3" t="inlineStr">
        <is>
          <t>TrDtTargetPas|all|all</t>
        </is>
      </c>
      <c r="B631" s="3" t="inlineStr">
        <is>
          <t>TrDtTargetPas</t>
        </is>
      </c>
      <c r="C631" s="3" t="n"/>
      <c r="D631" s="3" t="n"/>
      <c r="E631" s="39">
        <f>IF($C631="",0,MATCH($C631,MTDesc,0))</f>
        <v>0.0</v>
      </c>
      <c r="F631" s="39">
        <f>IF($B631&lt;&gt;"",MATCH($B631,MTName,0),$E631+MATCH($D631,INDEX(MTDesc,$E631+1):MTEnd,0))</f>
        <v>441.0</v>
      </c>
      <c r="G631" s="3" t="str">
        <f>INDEX(MTDesc,$F631)</f>
        <v>Distance tax: amount in the target year, passenger</v>
      </c>
    </row>
    <row r="632">
      <c r="A632" s="3" t="inlineStr">
        <is>
          <t>TrDtTargetFre|all|all</t>
        </is>
      </c>
      <c r="B632" s="3" t="inlineStr">
        <is>
          <t>TrDtTargetFre</t>
        </is>
      </c>
      <c r="C632" s="3" t="n"/>
      <c r="D632" s="3" t="n"/>
      <c r="E632" s="39">
        <f>IF($C632="",0,MATCH($C632,MTDesc,0))</f>
        <v>0.0</v>
      </c>
      <c r="F632" s="39">
        <f>IF($B632&lt;&gt;"",MATCH($B632,MTName,0),$E632+MATCH($D632,INDEX(MTDesc,$E632+1):MTEnd,0))</f>
        <v>442.0</v>
      </c>
      <c r="G632" s="3" t="str">
        <f>INDEX(MTDesc,$F632)</f>
        <v>Distance tax: amount in the target year, freight</v>
      </c>
    </row>
    <row r="633">
      <c r="A633" s="3" t="inlineStr">
        <is>
          <t>TrDtTargetCyc|all|all</t>
        </is>
      </c>
      <c r="B633" s="3" t="inlineStr">
        <is>
          <t>TrDtTargetCyc</t>
        </is>
      </c>
      <c r="C633" s="3" t="n"/>
      <c r="D633" s="3" t="n"/>
      <c r="E633" s="39">
        <f>IF($C633="",0,MATCH($C633,MTDesc,0))</f>
        <v>0.0</v>
      </c>
      <c r="F633" s="39">
        <f>IF($B633&lt;&gt;"",MATCH($B633,MTName,0),$E633+MATCH($D633,INDEX(MTDesc,$E633+1):MTEnd,0))</f>
        <v>443.0</v>
      </c>
      <c r="G633" s="3" t="str">
        <f>INDEX(MTDesc,$F633)</f>
        <v>Distance tax: amount in the target year, 2-3 wheeler</v>
      </c>
    </row>
    <row r="634">
      <c r="A634" s="3" t="inlineStr">
        <is>
          <t>TrSubYearPas|all|all</t>
        </is>
      </c>
      <c r="B634" s="3" t="inlineStr">
        <is>
          <t>TrSubYearPas</t>
        </is>
      </c>
      <c r="C634" s="3" t="n"/>
      <c r="D634" s="3" t="n"/>
      <c r="E634" s="39">
        <f>IF($C634="",0,MATCH($C634,MTDesc,0))</f>
        <v>0.0</v>
      </c>
      <c r="F634" s="39">
        <f>IF($B634&lt;&gt;"",MATCH($B634,MTName,0),$E634+MATCH($D634,INDEX(MTDesc,$E634+1):MTEnd,0))</f>
        <v>444.0</v>
      </c>
      <c r="G634" s="3" t="str">
        <f>INDEX(MTDesc,$F634)</f>
        <v>EV purchase subsidy: year of introduction, passenger</v>
      </c>
    </row>
    <row r="635">
      <c r="A635" s="3" t="inlineStr">
        <is>
          <t>TrSubYearFre|all|all</t>
        </is>
      </c>
      <c r="B635" s="3" t="inlineStr">
        <is>
          <t>TrSubYearFre</t>
        </is>
      </c>
      <c r="C635" s="3" t="n"/>
      <c r="D635" s="3" t="n"/>
      <c r="E635" s="39">
        <f>IF($C635="",0,MATCH($C635,MTDesc,0))</f>
        <v>0.0</v>
      </c>
      <c r="F635" s="39">
        <f>IF($B635&lt;&gt;"",MATCH($B635,MTName,0),$E635+MATCH($D635,INDEX(MTDesc,$E635+1):MTEnd,0))</f>
        <v>445.0</v>
      </c>
      <c r="G635" s="3" t="str">
        <f>INDEX(MTDesc,$F635)</f>
        <v>EV purchase subsidy: year of introduction, freight</v>
      </c>
    </row>
    <row r="636">
      <c r="A636" s="3" t="inlineStr">
        <is>
          <t>TrSubYearCyc|all|all</t>
        </is>
      </c>
      <c r="B636" s="3" t="inlineStr">
        <is>
          <t>TrSubYearCyc</t>
        </is>
      </c>
      <c r="C636" s="3" t="n"/>
      <c r="D636" s="3" t="n"/>
      <c r="E636" s="39">
        <f>IF($C636="",0,MATCH($C636,MTDesc,0))</f>
        <v>0.0</v>
      </c>
      <c r="F636" s="39">
        <f>IF($B636&lt;&gt;"",MATCH($B636,MTName,0),$E636+MATCH($D636,INDEX(MTDesc,$E636+1):MTEnd,0))</f>
        <v>446.0</v>
      </c>
      <c r="G636" s="3" t="str">
        <f>INDEX(MTDesc,$F636)</f>
        <v>EV purchase subsidy: year of introduction, 2-3 wheeler</v>
      </c>
    </row>
    <row r="637">
      <c r="A637" s="3" t="inlineStr">
        <is>
          <t>TrSubAmountPas|all|all</t>
        </is>
      </c>
      <c r="B637" s="3" t="inlineStr">
        <is>
          <t>TrSubAmountPas</t>
        </is>
      </c>
      <c r="C637" s="3" t="n"/>
      <c r="D637" s="3" t="n"/>
      <c r="E637" s="39">
        <f>IF($C637="",0,MATCH($C637,MTDesc,0))</f>
        <v>0.0</v>
      </c>
      <c r="F637" s="39">
        <f>IF($B637&lt;&gt;"",MATCH($B637,MTName,0),$E637+MATCH($D637,INDEX(MTDesc,$E637+1):MTEnd,0))</f>
        <v>447.0</v>
      </c>
      <c r="G637" s="3" t="str">
        <f>INDEX(MTDesc,$F637)</f>
        <v>EV purchase subsidy: amount, passenger</v>
      </c>
    </row>
    <row r="638">
      <c r="A638" s="3" t="inlineStr">
        <is>
          <t>TrSubAmountFre|all|all</t>
        </is>
      </c>
      <c r="B638" s="3" t="inlineStr">
        <is>
          <t>TrSubAmountFre</t>
        </is>
      </c>
      <c r="C638" s="3" t="n"/>
      <c r="D638" s="3" t="n"/>
      <c r="E638" s="39">
        <f>IF($C638="",0,MATCH($C638,MTDesc,0))</f>
        <v>0.0</v>
      </c>
      <c r="F638" s="39">
        <f>IF($B638&lt;&gt;"",MATCH($B638,MTName,0),$E638+MATCH($D638,INDEX(MTDesc,$E638+1):MTEnd,0))</f>
        <v>448.0</v>
      </c>
      <c r="G638" s="3" t="str">
        <f>INDEX(MTDesc,$F638)</f>
        <v>EV purchase subsidy: amount, freight</v>
      </c>
    </row>
    <row r="639">
      <c r="A639" s="3" t="inlineStr">
        <is>
          <t>TrSubAmountCyc|all|all</t>
        </is>
      </c>
      <c r="B639" s="3" t="inlineStr">
        <is>
          <t>TrSubAmountCyc</t>
        </is>
      </c>
      <c r="C639" s="3" t="n"/>
      <c r="D639" s="3" t="n"/>
      <c r="E639" s="39">
        <f>IF($C639="",0,MATCH($C639,MTDesc,0))</f>
        <v>0.0</v>
      </c>
      <c r="F639" s="39">
        <f>IF($B639&lt;&gt;"",MATCH($B639,MTName,0),$E639+MATCH($D639,INDEX(MTDesc,$E639+1):MTEnd,0))</f>
        <v>449.0</v>
      </c>
      <c r="G639" s="3" t="str">
        <f>INDEX(MTDesc,$F639)</f>
        <v>EV purchase subsidy: amount, 2-3 wheeler</v>
      </c>
    </row>
    <row r="640">
      <c r="A640" s="3" t="inlineStr">
        <is>
          <t>TrSubChgPas|all|all</t>
        </is>
      </c>
      <c r="B640" s="3" t="inlineStr">
        <is>
          <t>TrSubChgPas</t>
        </is>
      </c>
      <c r="C640" s="3" t="n"/>
      <c r="D640" s="3" t="n"/>
      <c r="E640" s="39">
        <f>IF($C640="",0,MATCH($C640,MTDesc,0))</f>
        <v>0.0</v>
      </c>
      <c r="F640" s="39">
        <f>IF($B640&lt;&gt;"",MATCH($B640,MTName,0),$E640+MATCH($D640,INDEX(MTDesc,$E640+1):MTEnd,0))</f>
        <v>450.0</v>
      </c>
      <c r="G640" s="3" t="str">
        <f>INDEX(MTDesc,$F640)</f>
        <v>EV purchase subsidy: annual change, passenger</v>
      </c>
    </row>
    <row r="641">
      <c r="A641" s="3" t="inlineStr">
        <is>
          <t>TrSubChgFre|all|all</t>
        </is>
      </c>
      <c r="B641" s="3" t="inlineStr">
        <is>
          <t>TrSubChgFre</t>
        </is>
      </c>
      <c r="C641" s="3" t="n"/>
      <c r="D641" s="3" t="n"/>
      <c r="E641" s="39">
        <f>IF($C641="",0,MATCH($C641,MTDesc,0))</f>
        <v>0.0</v>
      </c>
      <c r="F641" s="39">
        <f>IF($B641&lt;&gt;"",MATCH($B641,MTName,0),$E641+MATCH($D641,INDEX(MTDesc,$E641+1):MTEnd,0))</f>
        <v>451.0</v>
      </c>
      <c r="G641" s="3" t="str">
        <f>INDEX(MTDesc,$F641)</f>
        <v>EV purchase subsidy: annual change, freight</v>
      </c>
    </row>
    <row r="642">
      <c r="A642" s="3" t="inlineStr">
        <is>
          <t>TrSubChgCyc|all|all</t>
        </is>
      </c>
      <c r="B642" s="3" t="inlineStr">
        <is>
          <t>TrSubChgCyc</t>
        </is>
      </c>
      <c r="C642" s="3" t="n"/>
      <c r="D642" s="3" t="n"/>
      <c r="E642" s="39">
        <f>IF($C642="",0,MATCH($C642,MTDesc,0))</f>
        <v>0.0</v>
      </c>
      <c r="F642" s="39">
        <f>IF($B642&lt;&gt;"",MATCH($B642,MTName,0),$E642+MATCH($D642,INDEX(MTDesc,$E642+1):MTEnd,0))</f>
        <v>452.0</v>
      </c>
      <c r="G642" s="3" t="str">
        <f>INDEX(MTDesc,$F642)</f>
        <v>EV purchase subsidy: annual change, 2-3 wheeler</v>
      </c>
    </row>
    <row r="643">
      <c r="A643" s="3" t="inlineStr">
        <is>
          <t>TrAdvIceBasePas|all|all</t>
        </is>
      </c>
      <c r="B643" s="3" t="inlineStr">
        <is>
          <t>TrAdvIceBasePas</t>
        </is>
      </c>
      <c r="C643" s="3" t="n"/>
      <c r="D643" s="3" t="n"/>
      <c r="E643" s="39">
        <f>IF($C643="",0,MATCH($C643,MTDesc,0))</f>
        <v>0.0</v>
      </c>
      <c r="F643" s="39">
        <f>IF($B643&lt;&gt;"",MATCH($B643,MTName,0),$E643+MATCH($D643,INDEX(MTDesc,$E643+1):MTEnd,0))</f>
        <v>482.0</v>
      </c>
      <c r="G643" s="3" t="str">
        <f>INDEX(MTDesc,$F643)</f>
        <v>Ad-valorem purchase tax on ICEVs, baseline, passenger</v>
      </c>
    </row>
    <row r="644">
      <c r="A644" s="3" t="inlineStr">
        <is>
          <t>TrAdvIceBaseFre|all|all</t>
        </is>
      </c>
      <c r="B644" s="3" t="inlineStr">
        <is>
          <t>TrAdvIceBaseFre</t>
        </is>
      </c>
      <c r="C644" s="3" t="n"/>
      <c r="D644" s="3" t="n"/>
      <c r="E644" s="39">
        <f>IF($C644="",0,MATCH($C644,MTDesc,0))</f>
        <v>0.0</v>
      </c>
      <c r="F644" s="39">
        <f>IF($B644&lt;&gt;"",MATCH($B644,MTName,0),$E644+MATCH($D644,INDEX(MTDesc,$E644+1):MTEnd,0))</f>
        <v>483.0</v>
      </c>
      <c r="G644" s="3" t="str">
        <f>INDEX(MTDesc,$F644)</f>
        <v>Ad-valorem purchase tax on ICEVs, baseline, freight</v>
      </c>
    </row>
    <row r="645">
      <c r="A645" s="3" t="inlineStr">
        <is>
          <t>TrAdvIceBaseCyc|all|all</t>
        </is>
      </c>
      <c r="B645" s="3" t="inlineStr">
        <is>
          <t>TrAdvIceBaseCyc</t>
        </is>
      </c>
      <c r="C645" s="3" t="n"/>
      <c r="D645" s="3" t="n"/>
      <c r="E645" s="39">
        <f>IF($C645="",0,MATCH($C645,MTDesc,0))</f>
        <v>0.0</v>
      </c>
      <c r="F645" s="39">
        <f>IF($B645&lt;&gt;"",MATCH($B645,MTName,0),$E645+MATCH($D645,INDEX(MTDesc,$E645+1):MTEnd,0))</f>
        <v>484.0</v>
      </c>
      <c r="G645" s="3" t="str">
        <f>INDEX(MTDesc,$F645)</f>
        <v>Ad-valorem purchase tax on ICEVs, baseline, 2-3 wheeler</v>
      </c>
    </row>
    <row r="646">
      <c r="A646" s="3" t="inlineStr">
        <is>
          <t>TrAdvBevBasePas|all|all</t>
        </is>
      </c>
      <c r="B646" s="3" t="inlineStr">
        <is>
          <t>TrAdvBevBasePas</t>
        </is>
      </c>
      <c r="C646" s="3" t="n"/>
      <c r="D646" s="3" t="n"/>
      <c r="E646" s="39">
        <f>IF($C646="",0,MATCH($C646,MTDesc,0))</f>
        <v>0.0</v>
      </c>
      <c r="F646" s="39">
        <f>IF($B646&lt;&gt;"",MATCH($B646,MTName,0),$E646+MATCH($D646,INDEX(MTDesc,$E646+1):MTEnd,0))</f>
        <v>485.0</v>
      </c>
      <c r="G646" s="3" t="str">
        <f>INDEX(MTDesc,$F646)</f>
        <v>Ad-valorem purchase tax on BEVs, baseline, passenger</v>
      </c>
    </row>
    <row r="647">
      <c r="A647" s="3" t="inlineStr">
        <is>
          <t>TrAdvBevBaseFre|all|all</t>
        </is>
      </c>
      <c r="B647" s="3" t="inlineStr">
        <is>
          <t>TrAdvBevBaseFre</t>
        </is>
      </c>
      <c r="C647" s="3" t="n"/>
      <c r="D647" s="3" t="n"/>
      <c r="E647" s="39">
        <f>IF($C647="",0,MATCH($C647,MTDesc,0))</f>
        <v>0.0</v>
      </c>
      <c r="F647" s="39">
        <f>IF($B647&lt;&gt;"",MATCH($B647,MTName,0),$E647+MATCH($D647,INDEX(MTDesc,$E647+1):MTEnd,0))</f>
        <v>486.0</v>
      </c>
      <c r="G647" s="3" t="str">
        <f>INDEX(MTDesc,$F647)</f>
        <v>Ad-valorem purchase tax on BEVs, baseline, freight</v>
      </c>
    </row>
    <row r="648">
      <c r="A648" s="3" t="inlineStr">
        <is>
          <t>TrAdvBevBaseCyc|all|all</t>
        </is>
      </c>
      <c r="B648" s="3" t="inlineStr">
        <is>
          <t>TrAdvBevBaseCyc</t>
        </is>
      </c>
      <c r="C648" s="3" t="n"/>
      <c r="D648" s="3" t="n"/>
      <c r="E648" s="39">
        <f>IF($C648="",0,MATCH($C648,MTDesc,0))</f>
        <v>0.0</v>
      </c>
      <c r="F648" s="39">
        <f>IF($B648&lt;&gt;"",MATCH($B648,MTName,0),$E648+MATCH($D648,INDEX(MTDesc,$E648+1):MTEnd,0))</f>
        <v>487.0</v>
      </c>
      <c r="G648" s="3" t="str">
        <f>INDEX(MTDesc,$F648)</f>
        <v>Ad-valorem purchase tax on BEVs, baseline, 2-3 wheeler</v>
      </c>
    </row>
    <row r="649">
      <c r="A649" s="3" t="inlineStr">
        <is>
          <t>TrAdvIcePolPas|all|all</t>
        </is>
      </c>
      <c r="B649" s="3" t="inlineStr">
        <is>
          <t>TrAdvIcePolPas</t>
        </is>
      </c>
      <c r="C649" s="3" t="n"/>
      <c r="D649" s="3" t="n"/>
      <c r="E649" s="39">
        <f>IF($C649="",0,MATCH($C649,MTDesc,0))</f>
        <v>0.0</v>
      </c>
      <c r="F649" s="39">
        <f>IF($B649&lt;&gt;"",MATCH($B649,MTName,0),$E649+MATCH($D649,INDEX(MTDesc,$E649+1):MTEnd,0))</f>
        <v>453.0</v>
      </c>
      <c r="G649" s="3" t="str">
        <f>INDEX(MTDesc,$F649)</f>
        <v>Ad-valorem purchase tax on ICEVs, policy, passenger</v>
      </c>
    </row>
    <row r="650">
      <c r="A650" s="3" t="inlineStr">
        <is>
          <t>TrAdvIcePolFre|all|all</t>
        </is>
      </c>
      <c r="B650" s="3" t="inlineStr">
        <is>
          <t>TrAdvIcePolFre</t>
        </is>
      </c>
      <c r="C650" s="3" t="n"/>
      <c r="D650" s="3" t="n"/>
      <c r="E650" s="39">
        <f>IF($C650="",0,MATCH($C650,MTDesc,0))</f>
        <v>0.0</v>
      </c>
      <c r="F650" s="39">
        <f>IF($B650&lt;&gt;"",MATCH($B650,MTName,0),$E650+MATCH($D650,INDEX(MTDesc,$E650+1):MTEnd,0))</f>
        <v>454.0</v>
      </c>
      <c r="G650" s="3" t="str">
        <f>INDEX(MTDesc,$F650)</f>
        <v>Ad-valorem purchase tax on ICEVs, policy, freight</v>
      </c>
    </row>
    <row r="651">
      <c r="A651" s="3" t="inlineStr">
        <is>
          <t>TrAdvIcePolCyc|all|all</t>
        </is>
      </c>
      <c r="B651" s="3" t="inlineStr">
        <is>
          <t>TrAdvIcePolCyc</t>
        </is>
      </c>
      <c r="C651" s="3" t="n"/>
      <c r="D651" s="3" t="n"/>
      <c r="E651" s="39">
        <f>IF($C651="",0,MATCH($C651,MTDesc,0))</f>
        <v>0.0</v>
      </c>
      <c r="F651" s="39">
        <f>IF($B651&lt;&gt;"",MATCH($B651,MTName,0),$E651+MATCH($D651,INDEX(MTDesc,$E651+1):MTEnd,0))</f>
        <v>455.0</v>
      </c>
      <c r="G651" s="3" t="str">
        <f>INDEX(MTDesc,$F651)</f>
        <v>Ad-valorem purchase tax on ICEVs, policy, 2-3 wheeler</v>
      </c>
    </row>
    <row r="652">
      <c r="A652" s="3" t="inlineStr">
        <is>
          <t>TrAdvBevPolPas|all|all</t>
        </is>
      </c>
      <c r="B652" s="3" t="inlineStr">
        <is>
          <t>TrAdvBevPolPas</t>
        </is>
      </c>
      <c r="C652" s="3" t="n"/>
      <c r="D652" s="3" t="n"/>
      <c r="E652" s="39">
        <f>IF($C652="",0,MATCH($C652,MTDesc,0))</f>
        <v>0.0</v>
      </c>
      <c r="F652" s="39">
        <f>IF($B652&lt;&gt;"",MATCH($B652,MTName,0),$E652+MATCH($D652,INDEX(MTDesc,$E652+1):MTEnd,0))</f>
        <v>456.0</v>
      </c>
      <c r="G652" s="3" t="str">
        <f>INDEX(MTDesc,$F652)</f>
        <v>Ad-valorem purchase tax on BEVs, policy, passenger</v>
      </c>
    </row>
    <row r="653">
      <c r="A653" s="3" t="inlineStr">
        <is>
          <t>TrAdvBevPolFre|all|all</t>
        </is>
      </c>
      <c r="B653" s="3" t="inlineStr">
        <is>
          <t>TrAdvBevPolFre</t>
        </is>
      </c>
      <c r="C653" s="3" t="n"/>
      <c r="D653" s="3" t="n"/>
      <c r="E653" s="39">
        <f>IF($C653="",0,MATCH($C653,MTDesc,0))</f>
        <v>0.0</v>
      </c>
      <c r="F653" s="39">
        <f>IF($B653&lt;&gt;"",MATCH($B653,MTName,0),$E653+MATCH($D653,INDEX(MTDesc,$E653+1):MTEnd,0))</f>
        <v>457.0</v>
      </c>
      <c r="G653" s="3" t="str">
        <f>INDEX(MTDesc,$F653)</f>
        <v>Ad-valorem purchase tax on BEVs, policy, freight</v>
      </c>
    </row>
    <row r="654">
      <c r="A654" s="3" t="inlineStr">
        <is>
          <t>TrAdvBevPolCyc|all|all</t>
        </is>
      </c>
      <c r="B654" s="3" t="inlineStr">
        <is>
          <t>TrAdvBevPolCyc</t>
        </is>
      </c>
      <c r="C654" s="3" t="n"/>
      <c r="D654" s="3" t="n"/>
      <c r="E654" s="39">
        <f>IF($C654="",0,MATCH($C654,MTDesc,0))</f>
        <v>0.0</v>
      </c>
      <c r="F654" s="39">
        <f>IF($B654&lt;&gt;"",MATCH($B654,MTName,0),$E654+MATCH($D654,INDEX(MTDesc,$E654+1):MTEnd,0))</f>
        <v>458.0</v>
      </c>
      <c r="G654" s="3" t="str">
        <f>INDEX(MTDesc,$F654)</f>
        <v>Ad-valorem purchase tax on BEVs, policy, 2-3 wheeler</v>
      </c>
    </row>
    <row r="655">
      <c r="A655" s="3" t="inlineStr">
        <is>
          <t>TrAdvYearPas|all|all</t>
        </is>
      </c>
      <c r="B655" s="3" t="inlineStr">
        <is>
          <t>TrAdvYearPas</t>
        </is>
      </c>
      <c r="C655" s="3" t="n"/>
      <c r="D655" s="3" t="n"/>
      <c r="E655" s="39">
        <f>IF($C655="",0,MATCH($C655,MTDesc,0))</f>
        <v>0.0</v>
      </c>
      <c r="F655" s="39">
        <f>IF($B655&lt;&gt;"",MATCH($B655,MTName,0),$E655+MATCH($D655,INDEX(MTDesc,$E655+1):MTEnd,0))</f>
        <v>459.0</v>
      </c>
      <c r="G655" s="3" t="str">
        <f>INDEX(MTDesc,$F655)</f>
        <v>Ad-valorem purchase tax: year of the policy rate, passenger</v>
      </c>
    </row>
    <row r="656">
      <c r="A656" s="3" t="inlineStr">
        <is>
          <t>TrAdvYearFre|all|all</t>
        </is>
      </c>
      <c r="B656" s="3" t="inlineStr">
        <is>
          <t>TrAdvYearFre</t>
        </is>
      </c>
      <c r="C656" s="3" t="n"/>
      <c r="D656" s="3" t="n"/>
      <c r="E656" s="39">
        <f>IF($C656="",0,MATCH($C656,MTDesc,0))</f>
        <v>0.0</v>
      </c>
      <c r="F656" s="39">
        <f>IF($B656&lt;&gt;"",MATCH($B656,MTName,0),$E656+MATCH($D656,INDEX(MTDesc,$E656+1):MTEnd,0))</f>
        <v>460.0</v>
      </c>
      <c r="G656" s="3" t="str">
        <f>INDEX(MTDesc,$F656)</f>
        <v>Ad-valorem purchase tax: year of the policy rate, freight</v>
      </c>
    </row>
    <row r="657">
      <c r="A657" s="3" t="inlineStr">
        <is>
          <t>TrAdvYearCyc|all|all</t>
        </is>
      </c>
      <c r="B657" s="3" t="inlineStr">
        <is>
          <t>TrAdvYearCyc</t>
        </is>
      </c>
      <c r="C657" s="3" t="n"/>
      <c r="D657" s="3" t="n"/>
      <c r="E657" s="39">
        <f>IF($C657="",0,MATCH($C657,MTDesc,0))</f>
        <v>0.0</v>
      </c>
      <c r="F657" s="39">
        <f>IF($B657&lt;&gt;"",MATCH($B657,MTName,0),$E657+MATCH($D657,INDEX(MTDesc,$E657+1):MTEnd,0))</f>
        <v>461.0</v>
      </c>
      <c r="G657" s="3" t="str">
        <f>INDEX(MTDesc,$F657)</f>
        <v>Ad-valorem purchase tax: year of the policy rate, 2-3 wheeler</v>
      </c>
    </row>
    <row r="658">
      <c r="A658" s="3" t="inlineStr">
        <is>
          <t>TrCustYearPas|all|all</t>
        </is>
      </c>
      <c r="B658" s="3" t="inlineStr">
        <is>
          <t>TrCustYearPas</t>
        </is>
      </c>
      <c r="C658" s="3" t="n"/>
      <c r="D658" s="3" t="n"/>
      <c r="E658" s="39">
        <f>IF($C658="",0,MATCH($C658,MTDesc,0))</f>
        <v>0.0</v>
      </c>
      <c r="F658" s="39">
        <f>IF($B658&lt;&gt;"",MATCH($B658,MTName,0),$E658+MATCH($D658,INDEX(MTDesc,$E658+1):MTEnd,0))</f>
        <v>462.0</v>
      </c>
      <c r="G658" s="3" t="str">
        <f>INDEX(MTDesc,$F658)</f>
        <v>Customs duty on BEVs: year of the policy rate, passenger</v>
      </c>
    </row>
    <row r="659">
      <c r="A659" s="3" t="inlineStr">
        <is>
          <t>TrCustYearFre|all|all</t>
        </is>
      </c>
      <c r="B659" s="3" t="inlineStr">
        <is>
          <t>TrCustYearFre</t>
        </is>
      </c>
      <c r="C659" s="3" t="n"/>
      <c r="D659" s="3" t="n"/>
      <c r="E659" s="39">
        <f>IF($C659="",0,MATCH($C659,MTDesc,0))</f>
        <v>0.0</v>
      </c>
      <c r="F659" s="39">
        <f>IF($B659&lt;&gt;"",MATCH($B659,MTName,0),$E659+MATCH($D659,INDEX(MTDesc,$E659+1):MTEnd,0))</f>
        <v>463.0</v>
      </c>
      <c r="G659" s="3" t="str">
        <f>INDEX(MTDesc,$F659)</f>
        <v>Customs duty on BEVs: year of the policy rate, freight</v>
      </c>
    </row>
    <row r="660">
      <c r="A660" s="3" t="inlineStr">
        <is>
          <t>TrCustYearCyc|all|all</t>
        </is>
      </c>
      <c r="B660" s="3" t="inlineStr">
        <is>
          <t>TrCustYearCyc</t>
        </is>
      </c>
      <c r="C660" s="3" t="n"/>
      <c r="D660" s="3" t="n"/>
      <c r="E660" s="39">
        <f>IF($C660="",0,MATCH($C660,MTDesc,0))</f>
        <v>0.0</v>
      </c>
      <c r="F660" s="39">
        <f>IF($B660&lt;&gt;"",MATCH($B660,MTName,0),$E660+MATCH($D660,INDEX(MTDesc,$E660+1):MTEnd,0))</f>
        <v>464.0</v>
      </c>
      <c r="G660" s="3" t="str">
        <f>INDEX(MTDesc,$F660)</f>
        <v>Customs duty on BEVs: year of the policy rate, 2-3 wheeler</v>
      </c>
    </row>
    <row r="661">
      <c r="A661" s="3" t="inlineStr">
        <is>
          <t>TrVatYearPas|all|all</t>
        </is>
      </c>
      <c r="B661" s="3" t="inlineStr">
        <is>
          <t>TrVatYearPas</t>
        </is>
      </c>
      <c r="C661" s="3" t="n"/>
      <c r="D661" s="3" t="n"/>
      <c r="E661" s="39">
        <f>IF($C661="",0,MATCH($C661,MTDesc,0))</f>
        <v>0.0</v>
      </c>
      <c r="F661" s="39">
        <f>IF($B661&lt;&gt;"",MATCH($B661,MTName,0),$E661+MATCH($D661,INDEX(MTDesc,$E661+1):MTEnd,0))</f>
        <v>465.0</v>
      </c>
      <c r="G661" s="3" t="str">
        <f>INDEX(MTDesc,$F661)</f>
        <v>VAT on BEVs: year of the policy rate, passenger</v>
      </c>
    </row>
    <row r="662">
      <c r="A662" s="3" t="inlineStr">
        <is>
          <t>TrVatYearCyc|all|all</t>
        </is>
      </c>
      <c r="B662" s="3" t="inlineStr">
        <is>
          <t>TrVatYearCyc</t>
        </is>
      </c>
      <c r="C662" s="3" t="n"/>
      <c r="D662" s="3" t="n"/>
      <c r="E662" s="39">
        <f>IF($C662="",0,MATCH($C662,MTDesc,0))</f>
        <v>0.0</v>
      </c>
      <c r="F662" s="39">
        <f>IF($B662&lt;&gt;"",MATCH($B662,MTName,0),$E662+MATCH($D662,INDEX(MTDesc,$E662+1):MTEnd,0))</f>
        <v>466.0</v>
      </c>
      <c r="G662" s="3" t="str">
        <f>INDEX(MTDesc,$F662)</f>
        <v>VAT on BEVs: year of the policy rate, 2-3 wheeler</v>
      </c>
    </row>
    <row r="663">
      <c r="A663" s="3" t="inlineStr">
        <is>
          <t>TrVatPolFactor|all|all</t>
        </is>
      </c>
      <c r="B663" s="3" t="inlineStr">
        <is>
          <t>TrVatPolFactor</t>
        </is>
      </c>
      <c r="C663" s="3" t="n"/>
      <c r="D663" s="3" t="n"/>
      <c r="E663" s="39">
        <f>IF($C663="",0,MATCH($C663,MTDesc,0))</f>
        <v>0.0</v>
      </c>
      <c r="F663" s="39">
        <f>IF($B663&lt;&gt;"",MATCH($B663,MTName,0),$E663+MATCH($D663,INDEX(MTDesc,$E663+1):MTEnd,0))</f>
        <v>467.0</v>
      </c>
      <c r="G663" s="3" t="str">
        <f>INDEX(MTDesc,$F663)</f>
        <v>VAT on BEVs, policy: factor on the baseline VAT rate</v>
      </c>
    </row>
    <row r="664">
      <c r="A664" s="3" t="inlineStr">
        <is>
          <t>TrCustPolFactor|all|all</t>
        </is>
      </c>
      <c r="B664" s="3" t="inlineStr">
        <is>
          <t>TrCustPolFactor</t>
        </is>
      </c>
      <c r="C664" s="3" t="n"/>
      <c r="D664" s="3" t="n"/>
      <c r="E664" s="39">
        <f>IF($C664="",0,MATCH($C664,MTDesc,0))</f>
        <v>0.0</v>
      </c>
      <c r="F664" s="39">
        <f>IF($B664&lt;&gt;"",MATCH($B664,MTName,0),$E664+MATCH($D664,INDEX(MTDesc,$E664+1):MTEnd,0))</f>
        <v>468.0</v>
      </c>
      <c r="G664" s="3" t="str">
        <f>INDEX(MTDesc,$F664)</f>
        <v>Customs duty on BEVs, policy: factor on the baseline duty</v>
      </c>
    </row>
    <row r="665">
      <c r="A665" s="3" t="inlineStr">
        <is>
          <t>TrCsStartYear|all|all</t>
        </is>
      </c>
      <c r="B665" s="3" t="inlineStr">
        <is>
          <t>TrCsStartYear</t>
        </is>
      </c>
      <c r="C665" s="3" t="n"/>
      <c r="D665" s="3" t="n"/>
      <c r="E665" s="39">
        <f>IF($C665="",0,MATCH($C665,MTDesc,0))</f>
        <v>0.0</v>
      </c>
      <c r="F665" s="39">
        <f>IF($B665&lt;&gt;"",MATCH($B665,MTName,0),$E665+MATCH($D665,INDEX(MTDesc,$E665+1):MTEnd,0))</f>
        <v>469.0</v>
      </c>
      <c r="G665" s="3" t="str">
        <f>INDEX(MTDesc,$F665)</f>
        <v>Charging-station subsidy: start year</v>
      </c>
    </row>
    <row r="666">
      <c r="A666" s="3" t="inlineStr">
        <is>
          <t>TrCsStartLevel|all|all</t>
        </is>
      </c>
      <c r="B666" s="3" t="inlineStr">
        <is>
          <t>TrCsStartLevel</t>
        </is>
      </c>
      <c r="C666" s="3" t="n"/>
      <c r="D666" s="3" t="n"/>
      <c r="E666" s="39">
        <f>IF($C666="",0,MATCH($C666,MTDesc,0))</f>
        <v>0.0</v>
      </c>
      <c r="F666" s="39">
        <f>IF($B666&lt;&gt;"",MATCH($B666,MTName,0),$E666+MATCH($D666,INDEX(MTDesc,$E666+1):MTEnd,0))</f>
        <v>470.0</v>
      </c>
      <c r="G666" s="3" t="str">
        <f>INDEX(MTDesc,$F666)</f>
        <v>Charging-station subsidy: share of the cost in the start year</v>
      </c>
    </row>
    <row r="667">
      <c r="A667" s="3" t="inlineStr">
        <is>
          <t>TrCsTargetYear|all|all</t>
        </is>
      </c>
      <c r="B667" s="3" t="inlineStr">
        <is>
          <t>TrCsTargetYear</t>
        </is>
      </c>
      <c r="C667" s="3" t="n"/>
      <c r="D667" s="3" t="n"/>
      <c r="E667" s="39">
        <f>IF($C667="",0,MATCH($C667,MTDesc,0))</f>
        <v>0.0</v>
      </c>
      <c r="F667" s="39">
        <f>IF($B667&lt;&gt;"",MATCH($B667,MTName,0),$E667+MATCH($D667,INDEX(MTDesc,$E667+1):MTEnd,0))</f>
        <v>471.0</v>
      </c>
      <c r="G667" s="3" t="str">
        <f>INDEX(MTDesc,$F667)</f>
        <v>Charging-station subsidy: target year</v>
      </c>
    </row>
    <row r="668">
      <c r="A668" s="3" t="inlineStr">
        <is>
          <t>TrCsTargetLevel|all|all</t>
        </is>
      </c>
      <c r="B668" s="3" t="inlineStr">
        <is>
          <t>TrCsTargetLevel</t>
        </is>
      </c>
      <c r="C668" s="3" t="n"/>
      <c r="D668" s="3" t="n"/>
      <c r="E668" s="39">
        <f>IF($C668="",0,MATCH($C668,MTDesc,0))</f>
        <v>0.0</v>
      </c>
      <c r="F668" s="39">
        <f>IF($B668&lt;&gt;"",MATCH($B668,MTName,0),$E668+MATCH($D668,INDEX(MTDesc,$E668+1):MTEnd,0))</f>
        <v>472.0</v>
      </c>
      <c r="G668" s="3" t="str">
        <f>INDEX(MTDesc,$F668)</f>
        <v>Charging-station subsidy: share of the cost in the target year</v>
      </c>
    </row>
    <row r="669">
      <c r="A669" s="3" t="inlineStr">
        <is>
          <t>YearDistn||</t>
        </is>
      </c>
      <c r="B669" s="3" t="inlineStr">
        <is>
          <t>YearDistn</t>
        </is>
      </c>
      <c r="C669" s="3" t="n"/>
      <c r="D669" s="3" t="n"/>
      <c r="E669" s="39">
        <f>IF($C669="",0,MATCH($C669,MTDesc,0))</f>
        <v>0.0</v>
      </c>
      <c r="F669" s="39">
        <f>IF($B669&lt;&gt;"",MATCH($B669,MTName,0),$E669+MATCH($D669,INDEX(MTDesc,$E669+1):MTEnd,0))</f>
        <v>304.0</v>
      </c>
      <c r="G669" s="3" t="str">
        <f>INDEX(MTDesc,$F669)</f>
        <v>Analysis year for distributional module</v>
      </c>
    </row>
    <row r="670">
      <c r="A670" s="3" t="inlineStr">
        <is>
          <t>QuantilesStatistic||</t>
        </is>
      </c>
      <c r="B670" s="3" t="inlineStr">
        <is>
          <t>QuantilesStatistic</t>
        </is>
      </c>
      <c r="C670" s="3" t="n"/>
      <c r="D670" s="3" t="n"/>
      <c r="E670" s="39">
        <f>IF($C670="",0,MATCH($C670,MTDesc,0))</f>
        <v>0.0</v>
      </c>
      <c r="F670" s="39">
        <f>IF($B670&lt;&gt;"",MATCH($B670,MTName,0),$E670+MATCH($D670,INDEX(MTDesc,$E670+1):MTEnd,0))</f>
        <v>319.0</v>
      </c>
      <c r="G670" s="3" t="str">
        <f>INDEX(MTDesc,$F670)</f>
        <v>Impacts for average, median, p25, or p75?</v>
      </c>
    </row>
    <row r="671">
      <c r="A671" s="3" t="inlineStr">
        <is>
          <t>PEDs||</t>
        </is>
      </c>
      <c r="B671" s="3" t="inlineStr">
        <is>
          <t>PEDs</t>
        </is>
      </c>
      <c r="C671" s="3" t="n"/>
      <c r="D671" s="3" t="n"/>
      <c r="E671" s="39">
        <f>IF($C671="",0,MATCH($C671,MTDesc,0))</f>
        <v>0.0</v>
      </c>
      <c r="F671" s="39">
        <f>IF($B671&lt;&gt;"",MATCH($B671,MTName,0),$E671+MATCH($D671,INDEX(MTDesc,$E671+1):MTEnd,0))</f>
        <v>315.0</v>
      </c>
      <c r="G671" s="3" t="str">
        <f>INDEX(MTDesc,$F671)</f>
        <v>Include decile-specific price elasticities?</v>
      </c>
    </row>
    <row r="672">
      <c r="A672" s="3" t="inlineStr">
        <is>
          <t>ScaleGTAP||</t>
        </is>
      </c>
      <c r="B672" s="3" t="inlineStr">
        <is>
          <t>ScaleGTAP</t>
        </is>
      </c>
      <c r="C672" s="3" t="n"/>
      <c r="D672" s="3" t="n"/>
      <c r="E672" s="39">
        <f>IF($C672="",0,MATCH($C672,MTDesc,0))</f>
        <v>0.0</v>
      </c>
      <c r="F672" s="39">
        <f>IF($B672&lt;&gt;"",MATCH($B672,MTName,0),$E672+MATCH($D672,INDEX(MTDesc,$E672+1):MTEnd,0))</f>
        <v>316.0</v>
      </c>
      <c r="G672" s="3" t="str">
        <f>INDEX(MTDesc,$F672)</f>
        <v>Adjust GTAP-implied CP revenues to CPAT?</v>
      </c>
    </row>
    <row r="673">
      <c r="A673" s="3" t="inlineStr">
        <is>
          <t>InferredDist||</t>
        </is>
      </c>
      <c r="B673" s="3" t="inlineStr">
        <is>
          <t>InferredDist</t>
        </is>
      </c>
      <c r="C673" s="3" t="n"/>
      <c r="D673" s="3" t="n"/>
      <c r="E673" s="39">
        <f>IF($C673="",0,MATCH($C673,MTDesc,0))</f>
        <v>0.0</v>
      </c>
      <c r="F673" s="39">
        <f>IF($B673&lt;&gt;"",MATCH($B673,MTName,0),$E673+MATCH($D673,INDEX(MTDesc,$E673+1):MTEnd,0))</f>
        <v>314.0</v>
      </c>
      <c r="G673" s="3" t="str">
        <f>INDEX(MTDesc,$F673)</f>
        <v>Adjust for behavioral &amp; structural change?</v>
      </c>
    </row>
    <row r="674">
      <c r="A674" s="3" t="inlineStr">
        <is>
          <t>DWLs||</t>
        </is>
      </c>
      <c r="B674" s="3" t="inlineStr">
        <is>
          <t>DWLs</t>
        </is>
      </c>
      <c r="C674" s="3" t="n"/>
      <c r="D674" s="3" t="n"/>
      <c r="E674" s="39">
        <f>IF($C674="",0,MATCH($C674,MTDesc,0))</f>
        <v>0.0</v>
      </c>
      <c r="F674" s="39">
        <f>IF($B674&lt;&gt;"",MATCH($B674,MTName,0),$E674+MATCH($D674,INDEX(MTDesc,$E674+1):MTEnd,0))</f>
        <v>317.0</v>
      </c>
      <c r="G674" s="3" t="str">
        <f>INDEX(MTDesc,$F674)</f>
        <v>Adjust for deadweight losses?</v>
      </c>
    </row>
    <row r="675">
      <c r="A675" s="3" t="inlineStr">
        <is>
          <t>ExemptMostCook||</t>
        </is>
      </c>
      <c r="B675" s="3" t="inlineStr">
        <is>
          <t>ExemptMostCook</t>
        </is>
      </c>
      <c r="C675" s="3" t="n"/>
      <c r="D675" s="3" t="n"/>
      <c r="E675" s="39">
        <f>IF($C675="",0,MATCH($C675,MTDesc,0))</f>
        <v>0.0</v>
      </c>
      <c r="F675" s="39">
        <f>IF($B675&lt;&gt;"",MATCH($B675,MTName,0),$E675+MATCH($D675,INDEX(MTDesc,$E675+1):MTEnd,0))</f>
        <v>312.0</v>
      </c>
      <c r="G675" s="3" t="str">
        <f>INDEX(MTDesc,$F675)</f>
        <v>Exempt most-used cooking fossil fuel?</v>
      </c>
    </row>
    <row r="676">
      <c r="A676" s="3" t="inlineStr">
        <is>
          <t>ExemptCookDeciles||</t>
        </is>
      </c>
      <c r="B676" s="3" t="inlineStr">
        <is>
          <t>ExemptCookDeciles</t>
        </is>
      </c>
      <c r="C676" s="3" t="n"/>
      <c r="D676" s="3" t="n"/>
      <c r="E676" s="39">
        <f>IF($C676="",0,MATCH($C676,MTDesc,0))</f>
        <v>0.0</v>
      </c>
      <c r="F676" s="39">
        <f>IF($B676&lt;&gt;"",MATCH($B676,MTName,0),$E676+MATCH($D676,INDEX(MTDesc,$E676+1):MTEnd,0))</f>
        <v>313.0</v>
      </c>
      <c r="G676" s="3" t="str">
        <f>INDEX(MTDesc,$F676)</f>
        <v>Exempt cooking fossil fuel for bottom XX deciles:</v>
      </c>
    </row>
    <row r="677">
      <c r="A677" s="3" t="inlineStr">
        <is>
          <t>EXPLabortax||</t>
        </is>
      </c>
      <c r="B677" s="3" t="inlineStr">
        <is>
          <t>EXPLabortax</t>
        </is>
      </c>
      <c r="C677" s="3" t="n"/>
      <c r="D677" s="3" t="n"/>
      <c r="E677" s="39">
        <f>IF($C677="",0,MATCH($C677,MTDesc,0))</f>
        <v>0.0</v>
      </c>
      <c r="F677" s="39">
        <f>IF($B677&lt;&gt;"",MATCH($B677,MTName,0),$E677+MATCH($D677,INDEX(MTDesc,$E677+1):MTEnd,0))</f>
        <v>197.0</v>
      </c>
      <c r="G677" s="3" t="str">
        <f>INDEX(MTDesc,$F677)</f>
        <v>Labor tax reductions</v>
      </c>
    </row>
    <row r="678">
      <c r="A678" s="3" t="inlineStr">
        <is>
          <t>EXPCapex||</t>
        </is>
      </c>
      <c r="B678" s="3" t="inlineStr">
        <is>
          <t>EXPCapex</t>
        </is>
      </c>
      <c r="C678" s="3" t="n"/>
      <c r="D678" s="3" t="n"/>
      <c r="E678" s="39">
        <f>IF($C678="",0,MATCH($C678,MTDesc,0))</f>
        <v>0.0</v>
      </c>
      <c r="F678" s="39">
        <f>IF($B678&lt;&gt;"",MATCH($B678,MTName,0),$E678+MATCH($D678,INDEX(MTDesc,$E678+1):MTEnd,0))</f>
        <v>199.0</v>
      </c>
      <c r="G678" s="3" t="str">
        <f>INDEX(MTDesc,$F678)</f>
        <v>Public investment</v>
      </c>
    </row>
    <row r="679">
      <c r="A679" s="3" t="inlineStr">
        <is>
          <t>EXPGoodsandserv||</t>
        </is>
      </c>
      <c r="B679" s="3" t="inlineStr">
        <is>
          <t>EXPGoodsandserv</t>
        </is>
      </c>
      <c r="C679" s="3" t="n"/>
      <c r="D679" s="3" t="n"/>
      <c r="E679" s="39">
        <f>IF($C679="",0,MATCH($C679,MTDesc,0))</f>
        <v>0.0</v>
      </c>
      <c r="F679" s="39">
        <f>IF($B679&lt;&gt;"",MATCH($B679,MTName,0),$E679+MATCH($D679,INDEX(MTDesc,$E679+1):MTEnd,0))</f>
        <v>200.0</v>
      </c>
      <c r="G679" s="3" t="str">
        <f>INDEX(MTDesc,$F679)</f>
        <v>Current spending</v>
      </c>
    </row>
    <row r="680">
      <c r="A680" s="3" t="inlineStr">
        <is>
          <t>EXPTransfers||</t>
        </is>
      </c>
      <c r="B680" s="3" t="inlineStr">
        <is>
          <t>EXPTransfers</t>
        </is>
      </c>
      <c r="C680" s="3" t="n"/>
      <c r="D680" s="3" t="n"/>
      <c r="E680" s="39">
        <f>IF($C680="",0,MATCH($C680,MTDesc,0))</f>
        <v>0.0</v>
      </c>
      <c r="F680" s="39">
        <f>IF($B680&lt;&gt;"",MATCH($B680,MTName,0),$E680+MATCH($D680,INDEX(MTDesc,$E680+1):MTEnd,0))</f>
        <v>201.0</v>
      </c>
      <c r="G680" s="3" t="str">
        <f>INDEX(MTDesc,$F680)</f>
        <v>Targeted transfers</v>
      </c>
    </row>
    <row r="681">
      <c r="A681" s="3" t="inlineStr">
        <is>
          <t>PITReductionType||</t>
        </is>
      </c>
      <c r="B681" s="3" t="inlineStr">
        <is>
          <t>PITReductionType</t>
        </is>
      </c>
      <c r="C681" s="3" t="n"/>
      <c r="D681" s="3" t="n"/>
      <c r="E681" s="39">
        <f>IF($C681="",0,MATCH($C681,MTDesc,0))</f>
        <v>0.0</v>
      </c>
      <c r="F681" s="39">
        <f>IF($B681&lt;&gt;"",MATCH($B681,MTName,0),$E681+MATCH($D681,INDEX(MTDesc,$E681+1):MTEnd,0))</f>
        <v>309.0</v>
      </c>
      <c r="G681" s="3" t="str">
        <f>INDEX(MTDesc,$F681)</f>
        <v>Personal Income Tax (PIT) reduction type</v>
      </c>
    </row>
    <row r="682">
      <c r="A682" s="3" t="inlineStr">
        <is>
          <t>DistExcCfDec||</t>
        </is>
      </c>
      <c r="B682" s="3" t="inlineStr">
        <is>
          <t>DistExcCfDec</t>
        </is>
      </c>
      <c r="C682" s="3" t="n"/>
      <c r="D682" s="3" t="n"/>
      <c r="E682" s="39">
        <f>IF($C682="",0,MATCH($C682,MTDesc,0))</f>
        <v>0.0</v>
      </c>
      <c r="F682" s="39">
        <f>IF($B682&lt;&gt;"",MATCH($B682,MTName,0),$E682+MATCH($D682,INDEX(MTDesc,$E682+1):MTEnd,0))</f>
        <v>310.0</v>
      </c>
      <c r="G682" s="3" t="str">
        <f>INDEX(MTDesc,$F682)</f>
        <v>"Targeted Exemption" for bottom XX deciles</v>
      </c>
    </row>
    <row r="683">
      <c r="A683" s="3" t="inlineStr">
        <is>
          <t>MissingDataReplacement||</t>
        </is>
      </c>
      <c r="B683" s="3" t="inlineStr">
        <is>
          <t>MissingDataReplacement</t>
        </is>
      </c>
      <c r="C683" s="3" t="n"/>
      <c r="D683" s="3" t="n"/>
      <c r="E683" s="39">
        <f>IF($C683="",0,MATCH($C683,MTDesc,0))</f>
        <v>0.0</v>
      </c>
      <c r="F683" s="39">
        <f>IF($B683&lt;&gt;"",MATCH($B683,MTName,0),$E683+MATCH($D683,INDEX(MTDesc,$E683+1):MTEnd,0))</f>
        <v>311.0</v>
      </c>
      <c r="G683" s="3" t="str">
        <f>INDEX(MTDesc,$F683)</f>
        <v>Replace missing labor tax data, grouping by country</v>
      </c>
    </row>
    <row r="684">
      <c r="A684" s="3" t="inlineStr">
        <is>
          <t>TransferType||</t>
        </is>
      </c>
      <c r="B684" s="3" t="inlineStr">
        <is>
          <t>TransferType</t>
        </is>
      </c>
      <c r="C684" s="3" t="n"/>
      <c r="D684" s="3" t="n"/>
      <c r="E684" s="39">
        <f>IF($C684="",0,MATCH($C684,MTDesc,0))</f>
        <v>0.0</v>
      </c>
      <c r="F684" s="39">
        <f>IF($B684&lt;&gt;"",MATCH($B684,MTName,0),$E684+MATCH($D684,INDEX(MTDesc,$E684+1):MTEnd,0))</f>
        <v>305.0</v>
      </c>
      <c r="G684" s="3" t="str">
        <f>INDEX(MTDesc,$F684)</f>
        <v>Targeted transfer type</v>
      </c>
    </row>
    <row r="685">
      <c r="A685" s="3" t="inlineStr">
        <is>
          <t>TargetBelow||</t>
        </is>
      </c>
      <c r="B685" s="3" t="inlineStr">
        <is>
          <t>TargetBelow</t>
        </is>
      </c>
      <c r="C685" s="3" t="n"/>
      <c r="D685" s="3" t="n"/>
      <c r="E685" s="39">
        <f>IF($C685="",0,MATCH($C685,MTDesc,0))</f>
        <v>0.0</v>
      </c>
      <c r="F685" s="39">
        <f>IF($B685&lt;&gt;"",MATCH($B685,MTName,0),$E685+MATCH($D685,INDEX(MTDesc,$E685+1):MTEnd,0))</f>
        <v>306.0</v>
      </c>
      <c r="G685" s="3" t="str">
        <f>INDEX(MTDesc,$F685)</f>
        <v>Target households below poverty line (2011 PPP$/day)</v>
      </c>
    </row>
    <row r="686">
      <c r="A686" s="3" t="inlineStr">
        <is>
          <t>TargettedPercentile||</t>
        </is>
      </c>
      <c r="B686" s="3" t="inlineStr">
        <is>
          <t>TargettedPercentile</t>
        </is>
      </c>
      <c r="C686" s="3" t="n"/>
      <c r="D686" s="3" t="n"/>
      <c r="E686" s="39">
        <f>IF($C686="",0,MATCH($C686,MTDesc,0))</f>
        <v>0.0</v>
      </c>
      <c r="F686" s="39">
        <f>IF($B686&lt;&gt;"",MATCH($B686,MTName,0),$E686+MATCH($D686,INDEX(MTDesc,$E686+1):MTEnd,0))</f>
        <v>203.0</v>
      </c>
      <c r="G686" s="3" t="str">
        <f>INDEX(MTDesc,$F686)</f>
        <v>targeted percentile</v>
      </c>
    </row>
    <row r="687">
      <c r="A687" s="3" t="inlineStr">
        <is>
          <t>CoverageRate||</t>
        </is>
      </c>
      <c r="B687" s="3" t="inlineStr">
        <is>
          <t>CoverageRate</t>
        </is>
      </c>
      <c r="C687" s="3" t="n"/>
      <c r="D687" s="3" t="n"/>
      <c r="E687" s="39">
        <f>IF($C687="",0,MATCH($C687,MTDesc,0))</f>
        <v>0.0</v>
      </c>
      <c r="F687" s="39">
        <f>IF($B687&lt;&gt;"",MATCH($B687,MTName,0),$E687+MATCH($D687,INDEX(MTDesc,$E687+1):MTEnd,0))</f>
        <v>204.0</v>
      </c>
      <c r="G687" s="3" t="str">
        <f>INDEX(MTDesc,$F687)</f>
        <v>coverage rate</v>
      </c>
    </row>
    <row r="688">
      <c r="A688" s="3" t="inlineStr">
        <is>
          <t>LeakageRate||</t>
        </is>
      </c>
      <c r="B688" s="3" t="inlineStr">
        <is>
          <t>LeakageRate</t>
        </is>
      </c>
      <c r="C688" s="3" t="n"/>
      <c r="D688" s="3" t="n"/>
      <c r="E688" s="39">
        <f>IF($C688="",0,MATCH($C688,MTDesc,0))</f>
        <v>0.0</v>
      </c>
      <c r="F688" s="39">
        <f>IF($B688&lt;&gt;"",MATCH($B688,MTName,0),$E688+MATCH($D688,INDEX(MTDesc,$E688+1):MTEnd,0))</f>
        <v>205.0</v>
      </c>
      <c r="G688" s="3" t="str">
        <f>INDEX(MTDesc,$F688)</f>
        <v>leakage rate</v>
      </c>
    </row>
    <row r="689">
      <c r="A689" s="3" t="inlineStr">
        <is>
          <t>PublicInfrastructureInvType||</t>
        </is>
      </c>
      <c r="B689" s="3" t="inlineStr">
        <is>
          <t>PublicInfrastructureInvType</t>
        </is>
      </c>
      <c r="C689" s="3" t="n"/>
      <c r="D689" s="3" t="n"/>
      <c r="E689" s="39">
        <f>IF($C689="",0,MATCH($C689,MTDesc,0))</f>
        <v>0.0</v>
      </c>
      <c r="F689" s="39">
        <f>IF($B689&lt;&gt;"",MATCH($B689,MTName,0),$E689+MATCH($D689,INDEX(MTDesc,$E689+1):MTEnd,0))</f>
        <v>307.0</v>
      </c>
      <c r="G689" s="3" t="str">
        <f>INDEX(MTDesc,$F689)</f>
        <v>Public/infrastructure investment type</v>
      </c>
    </row>
    <row r="690">
      <c r="A690" s="3" t="inlineStr">
        <is>
          <t>CurrentSpendingType||</t>
        </is>
      </c>
      <c r="B690" s="3" t="inlineStr">
        <is>
          <t>CurrentSpendingType</t>
        </is>
      </c>
      <c r="C690" s="3" t="n"/>
      <c r="D690" s="3" t="n"/>
      <c r="E690" s="39">
        <f>IF($C690="",0,MATCH($C690,MTDesc,0))</f>
        <v>0.0</v>
      </c>
      <c r="F690" s="39">
        <f>IF($B690&lt;&gt;"",MATCH($B690,MTName,0),$E690+MATCH($D690,INDEX(MTDesc,$E690+1):MTEnd,0))</f>
        <v>308.0</v>
      </c>
      <c r="G690" s="3" t="str">
        <f>INDEX(MTDesc,$F690)</f>
        <v>Current spending type</v>
      </c>
    </row>
    <row r="691">
      <c r="A691" s="3" t="inlineStr">
        <is>
          <t>PassthroughDist||</t>
        </is>
      </c>
      <c r="B691" s="3" t="inlineStr">
        <is>
          <t>PassthroughDist</t>
        </is>
      </c>
      <c r="C691" s="3" t="n"/>
      <c r="D691" s="3" t="n"/>
      <c r="E691" s="39">
        <f>IF($C691="",0,MATCH($C691,MTDesc,0))</f>
        <v>0.0</v>
      </c>
      <c r="F691" s="39">
        <f>IF($B691&lt;&gt;"",MATCH($B691,MTName,0),$E691+MATCH($D691,INDEX(MTDesc,$E691+1):MTEnd,0))</f>
        <v>318.0</v>
      </c>
      <c r="G691" s="3" t="str">
        <f>INDEX(MTDesc,$F691)</f>
        <v>Imperfect pass-through?</v>
      </c>
    </row>
    <row r="692">
      <c r="A692" s="3" t="inlineStr">
        <is>
          <t>QuantilesLCU||</t>
        </is>
      </c>
      <c r="B692" s="3" t="inlineStr">
        <is>
          <t>QuantilesLCU</t>
        </is>
      </c>
      <c r="C692" s="3" t="n"/>
      <c r="D692" s="3" t="n"/>
      <c r="E692" s="39">
        <f>IF($C692="",0,MATCH($C692,MTDesc,0))</f>
        <v>0.0</v>
      </c>
      <c r="F692" s="39">
        <f>IF($B692&lt;&gt;"",MATCH($B692,MTName,0),$E692+MATCH($D692,INDEX(MTDesc,$E692+1):MTEnd,0))</f>
        <v>320.0</v>
      </c>
      <c r="G692" s="3" t="str">
        <f>INDEX(MTDesc,$F692)</f>
        <v>Quantiles in LCU?</v>
      </c>
    </row>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c r="A744" s="6" t="inlineStr">
        <is>
          <t>Coverage sectors (MTInputs sector switches): ETS benchmark group, feebate sector and ETS semi-elasticity group (columns of the data tab ETS+LTS, rows 81-256)</t>
        </is>
      </c>
    </row>
    <row r="745">
      <c r="A745" s="6" t="inlineStr">
        <is>
          <t>Code</t>
        </is>
      </c>
      <c r="B745" s="6" t="inlineStr">
        <is>
          <t>Coverage position</t>
        </is>
      </c>
      <c r="C745" s="6" t="inlineStr">
        <is>
          <t>ETS benchmark group</t>
        </is>
      </c>
      <c r="D745" s="6" t="inlineStr">
        <is>
          <t>ETS group position</t>
        </is>
      </c>
      <c r="E745" s="6" t="inlineStr">
        <is>
          <t>Feebate sector</t>
        </is>
      </c>
      <c r="F745" s="6" t="inlineStr">
        <is>
          <t>Feebate position</t>
        </is>
      </c>
      <c r="G745" s="6" t="inlineStr">
        <is>
          <t>Semi-elasticity group</t>
        </is>
      </c>
      <c r="H745" s="6" t="inlineStr">
        <is>
          <t>ETS+LTS column</t>
        </is>
      </c>
    </row>
    <row r="746">
      <c r="A746" s="3" t="inlineStr">
        <is>
          <t>pow</t>
        </is>
      </c>
      <c r="B746" s="39" t="n">
        <v>1</v>
      </c>
      <c r="C746" s="3" t="inlineStr">
        <is>
          <t>pow</t>
        </is>
      </c>
      <c r="D746" s="39">
        <f>MATCH($C746,$A$765:$A$768,0)</f>
        <v>1.0</v>
      </c>
      <c r="E746" s="3" t="inlineStr">
        <is>
          <t>pow</t>
        </is>
      </c>
      <c r="F746" s="39">
        <f>MATCH($E746,$A$317:$A$320,0)</f>
        <v>1.0</v>
      </c>
      <c r="G746" s="3" t="inlineStr">
        <is>
          <t>pow</t>
        </is>
      </c>
      <c r="H746" s="39" t="n">
        <v>1</v>
      </c>
    </row>
    <row r="747">
      <c r="A747" s="3" t="inlineStr">
        <is>
          <t>rod</t>
        </is>
      </c>
      <c r="B747" s="39" t="n">
        <v>2</v>
      </c>
      <c r="C747" s="3" t="inlineStr">
        <is>
          <t>tra</t>
        </is>
      </c>
      <c r="D747" s="39">
        <f>MATCH($C747,$A$765:$A$768,0)</f>
        <v>2.0</v>
      </c>
      <c r="E747" s="3" t="inlineStr">
        <is>
          <t>tra</t>
        </is>
      </c>
      <c r="F747" s="39">
        <f>MATCH($E747,$A$317:$A$320,0)</f>
        <v>2.0</v>
      </c>
      <c r="G747" s="3" t="inlineStr">
        <is>
          <t>tra</t>
        </is>
      </c>
      <c r="H747" s="39" t="n">
        <v>2</v>
      </c>
    </row>
    <row r="748">
      <c r="A748" s="3" t="inlineStr">
        <is>
          <t>ral</t>
        </is>
      </c>
      <c r="B748" s="39" t="n">
        <v>3</v>
      </c>
      <c r="C748" s="3" t="inlineStr">
        <is>
          <t>tra</t>
        </is>
      </c>
      <c r="D748" s="39">
        <f>MATCH($C748,$A$765:$A$768,0)</f>
        <v>2.0</v>
      </c>
      <c r="E748" s="3" t="inlineStr">
        <is>
          <t>tra</t>
        </is>
      </c>
      <c r="F748" s="39">
        <f>MATCH($E748,$A$317:$A$320,0)</f>
        <v>2.0</v>
      </c>
      <c r="G748" s="3" t="inlineStr">
        <is>
          <t>tra</t>
        </is>
      </c>
      <c r="H748" s="39" t="n">
        <v>2</v>
      </c>
    </row>
    <row r="749">
      <c r="A749" s="3" t="inlineStr">
        <is>
          <t>avi</t>
        </is>
      </c>
      <c r="B749" s="39" t="n">
        <v>4</v>
      </c>
      <c r="C749" s="3" t="inlineStr">
        <is>
          <t>tra</t>
        </is>
      </c>
      <c r="D749" s="39">
        <f>MATCH($C749,$A$765:$A$768,0)</f>
        <v>2.0</v>
      </c>
      <c r="E749" s="3" t="inlineStr">
        <is>
          <t>tra</t>
        </is>
      </c>
      <c r="F749" s="39">
        <f>MATCH($E749,$A$317:$A$320,0)</f>
        <v>2.0</v>
      </c>
      <c r="G749" s="3" t="inlineStr">
        <is>
          <t>tra</t>
        </is>
      </c>
      <c r="H749" s="39" t="n">
        <v>2</v>
      </c>
    </row>
    <row r="750">
      <c r="A750" s="3" t="inlineStr">
        <is>
          <t>nav</t>
        </is>
      </c>
      <c r="B750" s="39" t="n">
        <v>5</v>
      </c>
      <c r="C750" s="3" t="inlineStr">
        <is>
          <t>tra</t>
        </is>
      </c>
      <c r="D750" s="39">
        <f>MATCH($C750,$A$765:$A$768,0)</f>
        <v>2.0</v>
      </c>
      <c r="E750" s="3" t="inlineStr">
        <is>
          <t>tra</t>
        </is>
      </c>
      <c r="F750" s="39">
        <f>MATCH($E750,$A$317:$A$320,0)</f>
        <v>2.0</v>
      </c>
      <c r="G750" s="3" t="inlineStr">
        <is>
          <t>tra</t>
        </is>
      </c>
      <c r="H750" s="39" t="n">
        <v>2</v>
      </c>
    </row>
    <row r="751">
      <c r="A751" s="3" t="inlineStr">
        <is>
          <t>res</t>
        </is>
      </c>
      <c r="B751" s="39" t="n">
        <v>6</v>
      </c>
      <c r="C751" s="3" t="inlineStr">
        <is>
          <t>res</t>
        </is>
      </c>
      <c r="D751" s="39">
        <f>MATCH($C751,$A$765:$A$768,0)</f>
        <v>3.0</v>
      </c>
      <c r="E751" s="3" t="inlineStr">
        <is>
          <t>res</t>
        </is>
      </c>
      <c r="F751" s="39">
        <f>MATCH($E751,$A$317:$A$320,0)</f>
        <v>3.0</v>
      </c>
      <c r="G751" s="3" t="inlineStr">
        <is>
          <t>res</t>
        </is>
      </c>
      <c r="H751" s="39" t="n">
        <v>3</v>
      </c>
    </row>
    <row r="752">
      <c r="A752" s="3" t="inlineStr">
        <is>
          <t>foo</t>
        </is>
      </c>
      <c r="B752" s="39" t="n">
        <v>7</v>
      </c>
      <c r="C752" s="3" t="inlineStr">
        <is>
          <t>res</t>
        </is>
      </c>
      <c r="D752" s="39">
        <f>MATCH($C752,$A$765:$A$768,0)</f>
        <v>3.0</v>
      </c>
      <c r="E752" s="3" t="inlineStr">
        <is>
          <t>res</t>
        </is>
      </c>
      <c r="F752" s="39">
        <f>MATCH($E752,$A$317:$A$320,0)</f>
        <v>3.0</v>
      </c>
      <c r="G752" s="3" t="inlineStr">
        <is>
          <t>ind</t>
        </is>
      </c>
      <c r="H752" s="39" t="n">
        <v>4</v>
      </c>
    </row>
    <row r="753">
      <c r="A753" s="3" t="inlineStr">
        <is>
          <t>srv</t>
        </is>
      </c>
      <c r="B753" s="39" t="n">
        <v>8</v>
      </c>
      <c r="C753" s="3" t="inlineStr">
        <is>
          <t>res</t>
        </is>
      </c>
      <c r="D753" s="39">
        <f>MATCH($C753,$A$765:$A$768,0)</f>
        <v>3.0</v>
      </c>
      <c r="E753" s="3" t="inlineStr">
        <is>
          <t>res</t>
        </is>
      </c>
      <c r="F753" s="39">
        <f>MATCH($E753,$A$317:$A$320,0)</f>
        <v>3.0</v>
      </c>
      <c r="G753" s="3" t="inlineStr">
        <is>
          <t>ind</t>
        </is>
      </c>
      <c r="H753" s="39" t="n">
        <v>4</v>
      </c>
    </row>
    <row r="754">
      <c r="A754" s="3" t="inlineStr">
        <is>
          <t>mch</t>
        </is>
      </c>
      <c r="B754" s="39" t="n">
        <v>9</v>
      </c>
      <c r="C754" s="3" t="inlineStr">
        <is>
          <t>ind</t>
        </is>
      </c>
      <c r="D754" s="39">
        <f>MATCH($C754,$A$765:$A$768,0)</f>
        <v>4.0</v>
      </c>
      <c r="E754" s="3" t="inlineStr">
        <is>
          <t>ind</t>
        </is>
      </c>
      <c r="F754" s="39">
        <f>MATCH($E754,$A$317:$A$320,0)</f>
        <v>4.0</v>
      </c>
      <c r="G754" s="3" t="inlineStr">
        <is>
          <t>ind</t>
        </is>
      </c>
      <c r="H754" s="39" t="n">
        <v>4</v>
      </c>
    </row>
    <row r="755">
      <c r="A755" s="3" t="inlineStr">
        <is>
          <t>irn</t>
        </is>
      </c>
      <c r="B755" s="39" t="n">
        <v>10</v>
      </c>
      <c r="C755" s="3" t="inlineStr">
        <is>
          <t>ind</t>
        </is>
      </c>
      <c r="D755" s="39">
        <f>MATCH($C755,$A$765:$A$768,0)</f>
        <v>4.0</v>
      </c>
      <c r="E755" s="3" t="inlineStr">
        <is>
          <t>ind</t>
        </is>
      </c>
      <c r="F755" s="39">
        <f>MATCH($E755,$A$317:$A$320,0)</f>
        <v>4.0</v>
      </c>
      <c r="G755" s="3" t="inlineStr">
        <is>
          <t>ind</t>
        </is>
      </c>
      <c r="H755" s="39" t="n">
        <v>4</v>
      </c>
    </row>
    <row r="756">
      <c r="A756" s="3" t="inlineStr">
        <is>
          <t>nfm</t>
        </is>
      </c>
      <c r="B756" s="39" t="n">
        <v>11</v>
      </c>
      <c r="C756" s="3" t="inlineStr">
        <is>
          <t>ind</t>
        </is>
      </c>
      <c r="D756" s="39">
        <f>MATCH($C756,$A$765:$A$768,0)</f>
        <v>4.0</v>
      </c>
      <c r="E756" s="3" t="inlineStr">
        <is>
          <t>ind</t>
        </is>
      </c>
      <c r="F756" s="39">
        <f>MATCH($E756,$A$317:$A$320,0)</f>
        <v>4.0</v>
      </c>
      <c r="G756" s="3" t="inlineStr">
        <is>
          <t>ind</t>
        </is>
      </c>
      <c r="H756" s="39" t="n">
        <v>4</v>
      </c>
    </row>
    <row r="757">
      <c r="A757" s="3" t="inlineStr">
        <is>
          <t>mac</t>
        </is>
      </c>
      <c r="B757" s="39" t="n">
        <v>12</v>
      </c>
      <c r="C757" s="3" t="inlineStr">
        <is>
          <t>ind</t>
        </is>
      </c>
      <c r="D757" s="39">
        <f>MATCH($C757,$A$765:$A$768,0)</f>
        <v>4.0</v>
      </c>
      <c r="E757" s="3" t="inlineStr">
        <is>
          <t>ind</t>
        </is>
      </c>
      <c r="F757" s="39">
        <f>MATCH($E757,$A$317:$A$320,0)</f>
        <v>4.0</v>
      </c>
      <c r="G757" s="3" t="inlineStr">
        <is>
          <t>ind</t>
        </is>
      </c>
      <c r="H757" s="39" t="n">
        <v>4</v>
      </c>
    </row>
    <row r="758">
      <c r="A758" s="3" t="inlineStr">
        <is>
          <t>cem</t>
        </is>
      </c>
      <c r="B758" s="39" t="n">
        <v>13</v>
      </c>
      <c r="C758" s="3" t="inlineStr">
        <is>
          <t>ind</t>
        </is>
      </c>
      <c r="D758" s="39">
        <f>MATCH($C758,$A$765:$A$768,0)</f>
        <v>4.0</v>
      </c>
      <c r="E758" s="3" t="inlineStr">
        <is>
          <t>ind</t>
        </is>
      </c>
      <c r="F758" s="39">
        <f>MATCH($E758,$A$317:$A$320,0)</f>
        <v>4.0</v>
      </c>
      <c r="G758" s="3" t="inlineStr">
        <is>
          <t>ind</t>
        </is>
      </c>
      <c r="H758" s="39" t="n">
        <v>4</v>
      </c>
    </row>
    <row r="759">
      <c r="A759" s="3" t="inlineStr">
        <is>
          <t>omn</t>
        </is>
      </c>
      <c r="B759" s="39" t="n">
        <v>14</v>
      </c>
      <c r="C759" s="3" t="inlineStr">
        <is>
          <t>ind</t>
        </is>
      </c>
      <c r="D759" s="39">
        <f>MATCH($C759,$A$765:$A$768,0)</f>
        <v>4.0</v>
      </c>
      <c r="E759" s="3" t="inlineStr">
        <is>
          <t>ind</t>
        </is>
      </c>
      <c r="F759" s="39">
        <f>MATCH($E759,$A$317:$A$320,0)</f>
        <v>4.0</v>
      </c>
      <c r="G759" s="3" t="inlineStr">
        <is>
          <t>ind</t>
        </is>
      </c>
      <c r="H759" s="39" t="n">
        <v>4</v>
      </c>
    </row>
    <row r="760">
      <c r="A760" s="3" t="inlineStr">
        <is>
          <t>cst</t>
        </is>
      </c>
      <c r="B760" s="39" t="n">
        <v>15</v>
      </c>
      <c r="C760" s="3" t="inlineStr">
        <is>
          <t>ind</t>
        </is>
      </c>
      <c r="D760" s="39">
        <f>MATCH($C760,$A$765:$A$768,0)</f>
        <v>4.0</v>
      </c>
      <c r="E760" s="3" t="inlineStr">
        <is>
          <t>ind</t>
        </is>
      </c>
      <c r="F760" s="39">
        <f>MATCH($E760,$A$317:$A$320,0)</f>
        <v>4.0</v>
      </c>
      <c r="G760" s="3" t="inlineStr">
        <is>
          <t>ind</t>
        </is>
      </c>
      <c r="H760" s="39" t="n">
        <v>4</v>
      </c>
    </row>
    <row r="761">
      <c r="A761" s="3" t="inlineStr">
        <is>
          <t>ftr</t>
        </is>
      </c>
      <c r="B761" s="39" t="n">
        <v>16</v>
      </c>
      <c r="C761" s="3" t="inlineStr">
        <is>
          <t>ind</t>
        </is>
      </c>
      <c r="D761" s="39">
        <f>MATCH($C761,$A$765:$A$768,0)</f>
        <v>4.0</v>
      </c>
      <c r="E761" s="3" t="inlineStr">
        <is>
          <t>ind</t>
        </is>
      </c>
      <c r="F761" s="39">
        <f>MATCH($E761,$A$317:$A$320,0)</f>
        <v>4.0</v>
      </c>
      <c r="G761" s="3" t="inlineStr">
        <is>
          <t>ind</t>
        </is>
      </c>
      <c r="H761" s="39" t="n">
        <v>4</v>
      </c>
    </row>
    <row r="762">
      <c r="A762" s="3" t="inlineStr">
        <is>
          <t>oen</t>
        </is>
      </c>
      <c r="B762" s="39" t="n">
        <v>17</v>
      </c>
      <c r="C762" s="3" t="inlineStr">
        <is>
          <t>ind</t>
        </is>
      </c>
      <c r="D762" s="39">
        <f>MATCH($C762,$A$765:$A$768,0)</f>
        <v>4.0</v>
      </c>
      <c r="E762" s="3" t="inlineStr">
        <is>
          <t>ind</t>
        </is>
      </c>
      <c r="F762" s="39">
        <f>MATCH($E762,$A$317:$A$320,0)</f>
        <v>4.0</v>
      </c>
      <c r="G762" s="3" t="inlineStr">
        <is>
          <t>ind</t>
        </is>
      </c>
      <c r="H762" s="39" t="n">
        <v>4</v>
      </c>
    </row>
    <row r="763"/>
    <row r="764">
      <c r="A764" s="6" t="inlineStr">
        <is>
          <t>ETS benchmark groups (order of the etsb rows of section 1)</t>
        </is>
      </c>
    </row>
    <row r="765">
      <c r="A765" s="3" t="inlineStr">
        <is>
          <t>pow</t>
        </is>
      </c>
    </row>
    <row r="766">
      <c r="A766" s="3" t="inlineStr">
        <is>
          <t>tra</t>
        </is>
      </c>
    </row>
    <row r="767">
      <c r="A767" s="3" t="inlineStr">
        <is>
          <t>res</t>
        </is>
      </c>
    </row>
    <row r="768">
      <c r="A768" s="3" t="inlineStr">
        <is>
          <t>ind</t>
        </is>
      </c>
    </row>
    <row r="769"/>
    <row r="770">
      <c r="A770" s="6" t="inlineStr">
        <is>
          <t>GHG inventory columns: code of each column of the legacy GHGs table (H:AZ, read by position as legacy key inputs 7; name GHGCol)</t>
        </is>
      </c>
    </row>
    <row r="771">
      <c r="A771" s="6" t="inlineStr">
        <is>
          <t>Code</t>
        </is>
      </c>
      <c r="B771" s="6" t="inlineStr">
        <is>
          <t>Position</t>
        </is>
      </c>
      <c r="C771" s="6" t="inlineStr">
        <is>
          <t>GHGs column</t>
        </is>
      </c>
      <c r="D771" s="6" t="inlineStr">
        <is>
          <t>Legacy header (gas)</t>
        </is>
      </c>
    </row>
    <row r="772">
      <c r="A772" s="3" t="inlineStr">
        <is>
          <t>enr.co2</t>
        </is>
      </c>
      <c r="B772" s="3" t="n">
        <v>1</v>
      </c>
      <c r="C772" s="3" t="inlineStr">
        <is>
          <t>H</t>
        </is>
      </c>
      <c r="D772" s="3" t="inlineStr">
        <is>
          <t>CO2</t>
        </is>
      </c>
    </row>
    <row r="773">
      <c r="A773" s="3" t="inlineStr">
        <is>
          <t>enr.ch4</t>
        </is>
      </c>
      <c r="B773" s="3" t="n">
        <v>2</v>
      </c>
      <c r="C773" s="3" t="inlineStr">
        <is>
          <t>I</t>
        </is>
      </c>
      <c r="D773" s="3" t="inlineStr">
        <is>
          <t>CH4</t>
        </is>
      </c>
    </row>
    <row r="774">
      <c r="A774" s="3" t="inlineStr">
        <is>
          <t>enr.n2o</t>
        </is>
      </c>
      <c r="B774" s="3" t="n">
        <v>3</v>
      </c>
      <c r="C774" s="3" t="inlineStr">
        <is>
          <t>J</t>
        </is>
      </c>
      <c r="D774" s="3" t="inlineStr">
        <is>
          <t>N2O</t>
        </is>
      </c>
    </row>
    <row r="775">
      <c r="A775" s="3" t="inlineStr">
        <is>
          <t>enr.fga</t>
        </is>
      </c>
      <c r="B775" s="3" t="n">
        <v>4</v>
      </c>
      <c r="C775" s="3" t="inlineStr">
        <is>
          <t>K</t>
        </is>
      </c>
      <c r="D775" s="3" t="inlineStr">
        <is>
          <t>F-gas</t>
        </is>
      </c>
    </row>
    <row r="776">
      <c r="A776" s="3" t="inlineStr">
        <is>
          <t>enr.tot</t>
        </is>
      </c>
      <c r="B776" s="3" t="n">
        <v>5</v>
      </c>
      <c r="C776" s="3" t="inlineStr">
        <is>
          <t>L</t>
        </is>
      </c>
      <c r="D776" s="3" t="inlineStr">
        <is>
          <t>Aggregate GHGs</t>
        </is>
      </c>
    </row>
    <row r="777">
      <c r="A777" s="3" t="inlineStr">
        <is>
          <t>ipr.co2</t>
        </is>
      </c>
      <c r="B777" s="3" t="n">
        <v>6</v>
      </c>
      <c r="C777" s="3" t="inlineStr">
        <is>
          <t>M</t>
        </is>
      </c>
      <c r="D777" s="3" t="inlineStr">
        <is>
          <t>CO2</t>
        </is>
      </c>
    </row>
    <row r="778">
      <c r="A778" s="3" t="inlineStr">
        <is>
          <t>ipr.ch4</t>
        </is>
      </c>
      <c r="B778" s="3" t="n">
        <v>7</v>
      </c>
      <c r="C778" s="3" t="inlineStr">
        <is>
          <t>N</t>
        </is>
      </c>
      <c r="D778" s="3" t="inlineStr">
        <is>
          <t>CH4</t>
        </is>
      </c>
    </row>
    <row r="779">
      <c r="A779" s="3" t="inlineStr">
        <is>
          <t>ipr.n2o</t>
        </is>
      </c>
      <c r="B779" s="3" t="n">
        <v>8</v>
      </c>
      <c r="C779" s="3" t="inlineStr">
        <is>
          <t>O</t>
        </is>
      </c>
      <c r="D779" s="3" t="inlineStr">
        <is>
          <t>N2O</t>
        </is>
      </c>
    </row>
    <row r="780">
      <c r="A780" s="3" t="inlineStr">
        <is>
          <t>ipr.fga</t>
        </is>
      </c>
      <c r="B780" s="3" t="n">
        <v>9</v>
      </c>
      <c r="C780" s="3" t="inlineStr">
        <is>
          <t>P</t>
        </is>
      </c>
      <c r="D780" s="3" t="inlineStr">
        <is>
          <t>F-gas</t>
        </is>
      </c>
    </row>
    <row r="781">
      <c r="A781" s="3" t="inlineStr">
        <is>
          <t>ipr.tot</t>
        </is>
      </c>
      <c r="B781" s="3" t="n">
        <v>10</v>
      </c>
      <c r="C781" s="3" t="inlineStr">
        <is>
          <t>Q</t>
        </is>
      </c>
      <c r="D781" s="3" t="inlineStr">
        <is>
          <t>Aggregate GHGs</t>
        </is>
      </c>
    </row>
    <row r="782">
      <c r="A782" s="3" t="inlineStr">
        <is>
          <t>agr.co2</t>
        </is>
      </c>
      <c r="B782" s="3" t="n">
        <v>11</v>
      </c>
      <c r="C782" s="3" t="inlineStr">
        <is>
          <t>R</t>
        </is>
      </c>
      <c r="D782" s="3" t="inlineStr">
        <is>
          <t>CO2</t>
        </is>
      </c>
    </row>
    <row r="783">
      <c r="A783" s="3" t="inlineStr">
        <is>
          <t>agr.ch4</t>
        </is>
      </c>
      <c r="B783" s="3" t="n">
        <v>12</v>
      </c>
      <c r="C783" s="3" t="inlineStr">
        <is>
          <t>S</t>
        </is>
      </c>
      <c r="D783" s="3" t="inlineStr">
        <is>
          <t>CH4</t>
        </is>
      </c>
    </row>
    <row r="784">
      <c r="A784" s="3" t="inlineStr">
        <is>
          <t>agr.n2o</t>
        </is>
      </c>
      <c r="B784" s="3" t="n">
        <v>13</v>
      </c>
      <c r="C784" s="3" t="inlineStr">
        <is>
          <t>T</t>
        </is>
      </c>
      <c r="D784" s="3" t="inlineStr">
        <is>
          <t>N2O</t>
        </is>
      </c>
    </row>
    <row r="785">
      <c r="A785" s="3" t="inlineStr">
        <is>
          <t>agr.fga</t>
        </is>
      </c>
      <c r="B785" s="3" t="n">
        <v>14</v>
      </c>
      <c r="C785" s="3" t="inlineStr">
        <is>
          <t>U</t>
        </is>
      </c>
      <c r="D785" s="3" t="inlineStr">
        <is>
          <t>F-gas</t>
        </is>
      </c>
    </row>
    <row r="786">
      <c r="A786" s="3" t="inlineStr">
        <is>
          <t>agr.tot</t>
        </is>
      </c>
      <c r="B786" s="3" t="n">
        <v>15</v>
      </c>
      <c r="C786" s="3" t="inlineStr">
        <is>
          <t>V</t>
        </is>
      </c>
      <c r="D786" s="3" t="inlineStr">
        <is>
          <t>Aggregate GHGs</t>
        </is>
      </c>
    </row>
    <row r="787">
      <c r="A787" s="3" t="inlineStr">
        <is>
          <t>lucf.co2</t>
        </is>
      </c>
      <c r="B787" s="3" t="n">
        <v>16</v>
      </c>
      <c r="C787" s="3" t="inlineStr">
        <is>
          <t>W</t>
        </is>
      </c>
      <c r="D787" s="3" t="inlineStr">
        <is>
          <t>CO2</t>
        </is>
      </c>
    </row>
    <row r="788">
      <c r="A788" s="3" t="inlineStr">
        <is>
          <t>lucf.ch4</t>
        </is>
      </c>
      <c r="B788" s="3" t="n">
        <v>17</v>
      </c>
      <c r="C788" s="3" t="inlineStr">
        <is>
          <t>X</t>
        </is>
      </c>
      <c r="D788" s="3" t="inlineStr">
        <is>
          <t>CH4</t>
        </is>
      </c>
    </row>
    <row r="789">
      <c r="A789" s="3" t="inlineStr">
        <is>
          <t>lucf.n2o</t>
        </is>
      </c>
      <c r="B789" s="3" t="n">
        <v>18</v>
      </c>
      <c r="C789" s="3" t="inlineStr">
        <is>
          <t>Y</t>
        </is>
      </c>
      <c r="D789" s="3" t="inlineStr">
        <is>
          <t>N2O</t>
        </is>
      </c>
    </row>
    <row r="790">
      <c r="A790" s="3" t="inlineStr">
        <is>
          <t>lucf.fga</t>
        </is>
      </c>
      <c r="B790" s="3" t="n">
        <v>19</v>
      </c>
      <c r="C790" s="3" t="inlineStr">
        <is>
          <t>Z</t>
        </is>
      </c>
      <c r="D790" s="3" t="inlineStr">
        <is>
          <t>F-gas</t>
        </is>
      </c>
    </row>
    <row r="791">
      <c r="A791" s="3" t="inlineStr">
        <is>
          <t>lucf.tot</t>
        </is>
      </c>
      <c r="B791" s="3" t="n">
        <v>20</v>
      </c>
      <c r="C791" s="3" t="inlineStr">
        <is>
          <t>AA</t>
        </is>
      </c>
      <c r="D791" s="3" t="inlineStr">
        <is>
          <t>Aggregate GHGs</t>
        </is>
      </c>
    </row>
    <row r="792">
      <c r="A792" s="3" t="inlineStr">
        <is>
          <t>wst.co2</t>
        </is>
      </c>
      <c r="B792" s="3" t="n">
        <v>21</v>
      </c>
      <c r="C792" s="3" t="inlineStr">
        <is>
          <t>AB</t>
        </is>
      </c>
      <c r="D792" s="3" t="inlineStr">
        <is>
          <t>CO2</t>
        </is>
      </c>
    </row>
    <row r="793">
      <c r="A793" s="3" t="inlineStr">
        <is>
          <t>wst.ch4</t>
        </is>
      </c>
      <c r="B793" s="3" t="n">
        <v>22</v>
      </c>
      <c r="C793" s="3" t="inlineStr">
        <is>
          <t>AC</t>
        </is>
      </c>
      <c r="D793" s="3" t="inlineStr">
        <is>
          <t>CH4</t>
        </is>
      </c>
    </row>
    <row r="794">
      <c r="A794" s="3" t="inlineStr">
        <is>
          <t>wst.n2o</t>
        </is>
      </c>
      <c r="B794" s="3" t="n">
        <v>23</v>
      </c>
      <c r="C794" s="3" t="inlineStr">
        <is>
          <t>AD</t>
        </is>
      </c>
      <c r="D794" s="3" t="inlineStr">
        <is>
          <t>N2O</t>
        </is>
      </c>
    </row>
    <row r="795">
      <c r="A795" s="3" t="inlineStr">
        <is>
          <t>wst.fga</t>
        </is>
      </c>
      <c r="B795" s="3" t="n">
        <v>24</v>
      </c>
      <c r="C795" s="3" t="inlineStr">
        <is>
          <t>AE</t>
        </is>
      </c>
      <c r="D795" s="3" t="inlineStr">
        <is>
          <t>F-gas</t>
        </is>
      </c>
    </row>
    <row r="796">
      <c r="A796" s="3" t="inlineStr">
        <is>
          <t>wst.tot</t>
        </is>
      </c>
      <c r="B796" s="3" t="n">
        <v>25</v>
      </c>
      <c r="C796" s="3" t="inlineStr">
        <is>
          <t>AF</t>
        </is>
      </c>
      <c r="D796" s="3" t="inlineStr">
        <is>
          <t>Aggregate GHGs</t>
        </is>
      </c>
    </row>
    <row r="797">
      <c r="A797" s="3" t="inlineStr">
        <is>
          <t>oth.co2</t>
        </is>
      </c>
      <c r="B797" s="3" t="n">
        <v>26</v>
      </c>
      <c r="C797" s="3" t="inlineStr">
        <is>
          <t>AG</t>
        </is>
      </c>
      <c r="D797" s="3" t="inlineStr">
        <is>
          <t>CO2</t>
        </is>
      </c>
    </row>
    <row r="798">
      <c r="A798" s="3" t="inlineStr">
        <is>
          <t>oth.ch4</t>
        </is>
      </c>
      <c r="B798" s="3" t="n">
        <v>27</v>
      </c>
      <c r="C798" s="3" t="inlineStr">
        <is>
          <t>AH</t>
        </is>
      </c>
      <c r="D798" s="3" t="inlineStr">
        <is>
          <t>CH4</t>
        </is>
      </c>
    </row>
    <row r="799">
      <c r="A799" s="3" t="inlineStr">
        <is>
          <t>oth.n2o</t>
        </is>
      </c>
      <c r="B799" s="3" t="n">
        <v>28</v>
      </c>
      <c r="C799" s="3" t="inlineStr">
        <is>
          <t>AI</t>
        </is>
      </c>
      <c r="D799" s="3" t="inlineStr">
        <is>
          <t>N2O</t>
        </is>
      </c>
    </row>
    <row r="800">
      <c r="A800" s="3" t="inlineStr">
        <is>
          <t>oth.fga</t>
        </is>
      </c>
      <c r="B800" s="3" t="n">
        <v>29</v>
      </c>
      <c r="C800" s="3" t="inlineStr">
        <is>
          <t>AJ</t>
        </is>
      </c>
      <c r="D800" s="3" t="inlineStr">
        <is>
          <t>F-gas</t>
        </is>
      </c>
    </row>
    <row r="801">
      <c r="A801" s="3" t="inlineStr">
        <is>
          <t>oth.tot</t>
        </is>
      </c>
      <c r="B801" s="3" t="n">
        <v>30</v>
      </c>
      <c r="C801" s="3" t="inlineStr">
        <is>
          <t>AK</t>
        </is>
      </c>
      <c r="D801" s="3" t="inlineStr">
        <is>
          <t>Aggregate GHGs</t>
        </is>
      </c>
    </row>
    <row r="802">
      <c r="A802" s="3" t="inlineStr">
        <is>
          <t>tinc.co2</t>
        </is>
      </c>
      <c r="B802" s="3" t="n">
        <v>31</v>
      </c>
      <c r="C802" s="3" t="inlineStr">
        <is>
          <t>AL</t>
        </is>
      </c>
      <c r="D802" s="3" t="inlineStr">
        <is>
          <t>Total CO₂</t>
        </is>
      </c>
    </row>
    <row r="803">
      <c r="A803" s="3" t="inlineStr">
        <is>
          <t>tinc.ch4</t>
        </is>
      </c>
      <c r="B803" s="3" t="n">
        <v>32</v>
      </c>
      <c r="C803" s="3" t="inlineStr">
        <is>
          <t>AM</t>
        </is>
      </c>
      <c r="D803" s="3" t="inlineStr">
        <is>
          <t>Total CH₄</t>
        </is>
      </c>
    </row>
    <row r="804">
      <c r="A804" s="3" t="inlineStr">
        <is>
          <t>tinc.n2o</t>
        </is>
      </c>
      <c r="B804" s="3" t="n">
        <v>33</v>
      </c>
      <c r="C804" s="3" t="inlineStr">
        <is>
          <t>AN</t>
        </is>
      </c>
      <c r="D804" s="3" t="inlineStr">
        <is>
          <t>Total N₂O</t>
        </is>
      </c>
    </row>
    <row r="805">
      <c r="A805" s="3" t="inlineStr">
        <is>
          <t>tinc.fga</t>
        </is>
      </c>
      <c r="B805" s="3" t="n">
        <v>34</v>
      </c>
      <c r="C805" s="3" t="inlineStr">
        <is>
          <t>AO</t>
        </is>
      </c>
      <c r="D805" s="3" t="inlineStr">
        <is>
          <t>Total F-gases</t>
        </is>
      </c>
    </row>
    <row r="806">
      <c r="A806" s="3" t="inlineStr">
        <is>
          <t>tinc.tot</t>
        </is>
      </c>
      <c r="B806" s="3" t="n">
        <v>35</v>
      </c>
      <c r="C806" s="3" t="inlineStr">
        <is>
          <t>AP</t>
        </is>
      </c>
      <c r="D806" s="3" t="inlineStr">
        <is>
          <t>Total Aggregate GHGs</t>
        </is>
      </c>
    </row>
    <row r="807">
      <c r="A807" s="3" t="inlineStr">
        <is>
          <t>texc.co2</t>
        </is>
      </c>
      <c r="B807" s="3" t="n">
        <v>36</v>
      </c>
      <c r="C807" s="3" t="inlineStr">
        <is>
          <t>AQ</t>
        </is>
      </c>
      <c r="D807" s="3" t="inlineStr">
        <is>
          <t>Total CO₂</t>
        </is>
      </c>
    </row>
    <row r="808">
      <c r="A808" s="3" t="inlineStr">
        <is>
          <t>texc.ch4</t>
        </is>
      </c>
      <c r="B808" s="3" t="n">
        <v>37</v>
      </c>
      <c r="C808" s="3" t="inlineStr">
        <is>
          <t>AR</t>
        </is>
      </c>
      <c r="D808" s="3" t="inlineStr">
        <is>
          <t>Total CH₄</t>
        </is>
      </c>
    </row>
    <row r="809">
      <c r="A809" s="3" t="inlineStr">
        <is>
          <t>texc.n2o</t>
        </is>
      </c>
      <c r="B809" s="3" t="n">
        <v>38</v>
      </c>
      <c r="C809" s="3" t="inlineStr">
        <is>
          <t>AS</t>
        </is>
      </c>
      <c r="D809" s="3" t="inlineStr">
        <is>
          <t>Total N₂O</t>
        </is>
      </c>
    </row>
    <row r="810">
      <c r="A810" s="3" t="inlineStr">
        <is>
          <t>texc.fga</t>
        </is>
      </c>
      <c r="B810" s="3" t="n">
        <v>39</v>
      </c>
      <c r="C810" s="3" t="inlineStr">
        <is>
          <t>AT</t>
        </is>
      </c>
      <c r="D810" s="3" t="inlineStr">
        <is>
          <t>Total F-gases</t>
        </is>
      </c>
    </row>
    <row r="811">
      <c r="A811" s="3" t="inlineStr">
        <is>
          <t>texc.tot</t>
        </is>
      </c>
      <c r="B811" s="3" t="n">
        <v>40</v>
      </c>
      <c r="C811" s="3" t="inlineStr">
        <is>
          <t>AU</t>
        </is>
      </c>
      <c r="D811" s="3" t="inlineStr">
        <is>
          <t>Total Aggregate GHGs</t>
        </is>
      </c>
    </row>
    <row r="812">
      <c r="A812" s="3" t="inlineStr">
        <is>
          <t>fug.co2</t>
        </is>
      </c>
      <c r="B812" s="3" t="n">
        <v>41</v>
      </c>
      <c r="C812" s="3" t="inlineStr">
        <is>
          <t>AV</t>
        </is>
      </c>
      <c r="D812" s="3" t="inlineStr">
        <is>
          <t>CO2</t>
        </is>
      </c>
    </row>
    <row r="813">
      <c r="A813" s="3" t="inlineStr">
        <is>
          <t>fug.ch4</t>
        </is>
      </c>
      <c r="B813" s="3" t="n">
        <v>42</v>
      </c>
      <c r="C813" s="3" t="inlineStr">
        <is>
          <t>AW</t>
        </is>
      </c>
      <c r="D813" s="3" t="inlineStr">
        <is>
          <t>CH4</t>
        </is>
      </c>
    </row>
    <row r="814">
      <c r="A814" s="3" t="inlineStr">
        <is>
          <t>fug.n2o</t>
        </is>
      </c>
      <c r="B814" s="3" t="n">
        <v>43</v>
      </c>
      <c r="C814" s="3" t="inlineStr">
        <is>
          <t>AX</t>
        </is>
      </c>
      <c r="D814" s="3" t="inlineStr">
        <is>
          <t>N2O</t>
        </is>
      </c>
    </row>
    <row r="815"/>
    <row r="816"/>
    <row r="817">
      <c r="A817" s="6" t="inlineStr">
        <is>
          <t>Main scenarios (legacy Mitigation rows 222-262, columns N:AC): MTInputs ScenarioSelected (row 13) picks a row; explicit pricing (legacy row 259), efficiency adjustment (position among MTInputs rows 247-251, 0 none) and the sectors covered by a shadow price (rows 240-257)</t>
        </is>
      </c>
    </row>
    <row r="818">
      <c r="A818" s="6" t="inlineStr">
        <is>
          <t>ScenarioSelected</t>
        </is>
      </c>
      <c r="B818" s="6" t="inlineStr">
        <is>
          <t>Name</t>
        </is>
      </c>
      <c r="C818" s="6" t="inlineStr">
        <is>
          <t>Explicit pricing</t>
        </is>
      </c>
      <c r="D818" s="6" t="inlineStr">
        <is>
          <t>Adjustment</t>
        </is>
      </c>
      <c r="E818" s="6" t="inlineStr">
        <is>
          <t>pow</t>
        </is>
      </c>
      <c r="F818" s="6" t="inlineStr">
        <is>
          <t>rod</t>
        </is>
      </c>
      <c r="G818" s="6" t="inlineStr">
        <is>
          <t>ral</t>
        </is>
      </c>
      <c r="H818" s="6" t="inlineStr">
        <is>
          <t>avi</t>
        </is>
      </c>
      <c r="I818" s="6" t="inlineStr">
        <is>
          <t>nav</t>
        </is>
      </c>
      <c r="J818" s="6" t="inlineStr">
        <is>
          <t>res</t>
        </is>
      </c>
      <c r="K818" s="6" t="inlineStr">
        <is>
          <t>foo</t>
        </is>
      </c>
      <c r="L818" s="6" t="inlineStr">
        <is>
          <t>srv</t>
        </is>
      </c>
      <c r="M818" s="6" t="inlineStr">
        <is>
          <t>mch</t>
        </is>
      </c>
      <c r="N818" s="6" t="inlineStr">
        <is>
          <t>irn</t>
        </is>
      </c>
      <c r="O818" s="6" t="inlineStr">
        <is>
          <t>nfm</t>
        </is>
      </c>
      <c r="P818" s="6" t="inlineStr">
        <is>
          <t>mac</t>
        </is>
      </c>
      <c r="Q818" s="6" t="inlineStr">
        <is>
          <t>cem</t>
        </is>
      </c>
      <c r="R818" s="6" t="inlineStr">
        <is>
          <t>omn</t>
        </is>
      </c>
      <c r="S818" s="6" t="inlineStr">
        <is>
          <t>cst</t>
        </is>
      </c>
      <c r="T818" s="6" t="inlineStr">
        <is>
          <t>ftr</t>
        </is>
      </c>
      <c r="U818" s="6" t="inlineStr">
        <is>
          <t>oen</t>
        </is>
      </c>
      <c r="V818" s="6" t="inlineStr">
        <is>
          <t>Power revenues rebated (row 261)</t>
        </is>
      </c>
      <c r="W818" s="6" t="inlineStr">
        <is>
          <t>Electricity excise (row 2190)</t>
        </is>
      </c>
    </row>
    <row r="819">
      <c r="A819" s="3" t="inlineStr">
        <is>
          <t>Baseline</t>
        </is>
      </c>
      <c r="B819" s="3" t="inlineStr">
        <is>
          <t>Baseline</t>
        </is>
      </c>
      <c r="C819" s="3" t="inlineStr">
        <is>
          <t>No</t>
        </is>
      </c>
      <c r="D819" s="39" t="n">
        <v>0</v>
      </c>
      <c r="E819" s="3" t="inlineStr">
        <is>
          <t>No</t>
        </is>
      </c>
      <c r="F819" s="3" t="inlineStr">
        <is>
          <t>No</t>
        </is>
      </c>
      <c r="G819" s="3" t="inlineStr">
        <is>
          <t>No</t>
        </is>
      </c>
      <c r="H819" s="3" t="inlineStr">
        <is>
          <t>No</t>
        </is>
      </c>
      <c r="I819" s="3" t="inlineStr">
        <is>
          <t>No</t>
        </is>
      </c>
      <c r="J819" s="3" t="inlineStr">
        <is>
          <t>No</t>
        </is>
      </c>
      <c r="K819" s="3" t="inlineStr">
        <is>
          <t>No</t>
        </is>
      </c>
      <c r="L819" s="3" t="inlineStr">
        <is>
          <t>No</t>
        </is>
      </c>
      <c r="M819" s="3" t="inlineStr">
        <is>
          <t>No</t>
        </is>
      </c>
      <c r="N819" s="3" t="inlineStr">
        <is>
          <t>No</t>
        </is>
      </c>
      <c r="O819" s="3" t="inlineStr">
        <is>
          <t>No</t>
        </is>
      </c>
      <c r="P819" s="3" t="inlineStr">
        <is>
          <t>No</t>
        </is>
      </c>
      <c r="Q819" s="3" t="inlineStr">
        <is>
          <t>No</t>
        </is>
      </c>
      <c r="R819" s="3" t="inlineStr">
        <is>
          <t>No</t>
        </is>
      </c>
      <c r="S819" s="3" t="inlineStr">
        <is>
          <t>No</t>
        </is>
      </c>
      <c r="T819" s="3" t="inlineStr">
        <is>
          <t>No</t>
        </is>
      </c>
      <c r="U819" s="3" t="inlineStr">
        <is>
          <t>No</t>
        </is>
      </c>
      <c r="V819" s="3" t="inlineStr">
        <is>
          <t>No</t>
        </is>
      </c>
      <c r="W819" s="3" t="inlineStr">
        <is>
          <t>No</t>
        </is>
      </c>
    </row>
    <row r="820">
      <c r="A820" s="3" t="inlineStr">
        <is>
          <t xml:space="preserve"> - Carbon tax</t>
        </is>
      </c>
      <c r="B820" s="3" t="inlineStr">
        <is>
          <t>Carbon tax</t>
        </is>
      </c>
      <c r="C820" s="3" t="inlineStr">
        <is>
          <t>Yes</t>
        </is>
      </c>
      <c r="D820" s="39" t="n">
        <v>0</v>
      </c>
      <c r="E820" s="3" t="inlineStr">
        <is>
          <t>Yes</t>
        </is>
      </c>
      <c r="F820" s="3" t="inlineStr">
        <is>
          <t>Yes</t>
        </is>
      </c>
      <c r="G820" s="3" t="inlineStr">
        <is>
          <t>Yes</t>
        </is>
      </c>
      <c r="H820" s="3" t="inlineStr">
        <is>
          <t>Yes</t>
        </is>
      </c>
      <c r="I820" s="3" t="inlineStr">
        <is>
          <t>Yes</t>
        </is>
      </c>
      <c r="J820" s="3" t="inlineStr">
        <is>
          <t>Yes</t>
        </is>
      </c>
      <c r="K820" s="3" t="inlineStr">
        <is>
          <t>Yes</t>
        </is>
      </c>
      <c r="L820" s="3" t="inlineStr">
        <is>
          <t>Yes</t>
        </is>
      </c>
      <c r="M820" s="3" t="inlineStr">
        <is>
          <t>Yes</t>
        </is>
      </c>
      <c r="N820" s="3" t="inlineStr">
        <is>
          <t>Yes</t>
        </is>
      </c>
      <c r="O820" s="3" t="inlineStr">
        <is>
          <t>Yes</t>
        </is>
      </c>
      <c r="P820" s="3" t="inlineStr">
        <is>
          <t>Yes</t>
        </is>
      </c>
      <c r="Q820" s="3" t="inlineStr">
        <is>
          <t>Yes</t>
        </is>
      </c>
      <c r="R820" s="3" t="inlineStr">
        <is>
          <t>Yes</t>
        </is>
      </c>
      <c r="S820" s="3" t="inlineStr">
        <is>
          <t>Yes</t>
        </is>
      </c>
      <c r="T820" s="3" t="inlineStr">
        <is>
          <t>Yes</t>
        </is>
      </c>
      <c r="U820" s="3" t="inlineStr">
        <is>
          <t>Yes</t>
        </is>
      </c>
      <c r="V820" s="3" t="inlineStr">
        <is>
          <t>No</t>
        </is>
      </c>
      <c r="W820" s="3" t="inlineStr">
        <is>
          <t>No</t>
        </is>
      </c>
    </row>
    <row r="821">
      <c r="A821" s="3" t="inlineStr">
        <is>
          <t xml:space="preserve"> - Feebates</t>
        </is>
      </c>
      <c r="B821" s="3" t="inlineStr">
        <is>
          <t>Feebates</t>
        </is>
      </c>
      <c r="C821" s="3" t="inlineStr">
        <is>
          <t>No</t>
        </is>
      </c>
      <c r="D821" s="39" t="n">
        <v>5</v>
      </c>
      <c r="E821" s="3" t="inlineStr">
        <is>
          <t>Yes</t>
        </is>
      </c>
      <c r="F821" s="3" t="inlineStr">
        <is>
          <t>Yes</t>
        </is>
      </c>
      <c r="G821" s="3" t="inlineStr">
        <is>
          <t>Yes</t>
        </is>
      </c>
      <c r="H821" s="3" t="inlineStr">
        <is>
          <t>Yes</t>
        </is>
      </c>
      <c r="I821" s="3" t="inlineStr">
        <is>
          <t>Yes</t>
        </is>
      </c>
      <c r="J821" s="3" t="inlineStr">
        <is>
          <t>Yes</t>
        </is>
      </c>
      <c r="K821" s="3" t="inlineStr">
        <is>
          <t>Yes</t>
        </is>
      </c>
      <c r="L821" s="3" t="inlineStr">
        <is>
          <t>Yes</t>
        </is>
      </c>
      <c r="M821" s="3" t="inlineStr">
        <is>
          <t>Yes</t>
        </is>
      </c>
      <c r="N821" s="3" t="inlineStr">
        <is>
          <t>Yes</t>
        </is>
      </c>
      <c r="O821" s="3" t="inlineStr">
        <is>
          <t>Yes</t>
        </is>
      </c>
      <c r="P821" s="3" t="inlineStr">
        <is>
          <t>Yes</t>
        </is>
      </c>
      <c r="Q821" s="3" t="inlineStr">
        <is>
          <t>Yes</t>
        </is>
      </c>
      <c r="R821" s="3" t="inlineStr">
        <is>
          <t>Yes</t>
        </is>
      </c>
      <c r="S821" s="3" t="inlineStr">
        <is>
          <t>Yes</t>
        </is>
      </c>
      <c r="T821" s="3" t="inlineStr">
        <is>
          <t>Yes</t>
        </is>
      </c>
      <c r="U821" s="3" t="inlineStr">
        <is>
          <t>Yes</t>
        </is>
      </c>
      <c r="V821" s="3" t="inlineStr">
        <is>
          <t>Yes</t>
        </is>
      </c>
      <c r="W821" s="3" t="inlineStr">
        <is>
          <t>No</t>
        </is>
      </c>
    </row>
    <row r="822">
      <c r="A822" s="3" t="inlineStr">
        <is>
          <t xml:space="preserve"> - Feebates</t>
        </is>
      </c>
      <c r="B822" s="3" t="inlineStr">
        <is>
          <t>Power Supply Feebates</t>
        </is>
      </c>
      <c r="C822" s="3" t="inlineStr">
        <is>
          <t>No</t>
        </is>
      </c>
      <c r="D822" s="39" t="n">
        <v>5</v>
      </c>
      <c r="E822" s="3" t="inlineStr">
        <is>
          <t>Yes</t>
        </is>
      </c>
      <c r="F822" s="3" t="inlineStr">
        <is>
          <t>Yes</t>
        </is>
      </c>
      <c r="G822" s="3" t="inlineStr">
        <is>
          <t>Yes</t>
        </is>
      </c>
      <c r="H822" s="3" t="inlineStr">
        <is>
          <t>Yes</t>
        </is>
      </c>
      <c r="I822" s="3" t="inlineStr">
        <is>
          <t>Yes</t>
        </is>
      </c>
      <c r="J822" s="3" t="inlineStr">
        <is>
          <t>Yes</t>
        </is>
      </c>
      <c r="K822" s="3" t="inlineStr">
        <is>
          <t>Yes</t>
        </is>
      </c>
      <c r="L822" s="3" t="inlineStr">
        <is>
          <t>Yes</t>
        </is>
      </c>
      <c r="M822" s="3" t="inlineStr">
        <is>
          <t>Yes</t>
        </is>
      </c>
      <c r="N822" s="3" t="inlineStr">
        <is>
          <t>Yes</t>
        </is>
      </c>
      <c r="O822" s="3" t="inlineStr">
        <is>
          <t>Yes</t>
        </is>
      </c>
      <c r="P822" s="3" t="inlineStr">
        <is>
          <t>Yes</t>
        </is>
      </c>
      <c r="Q822" s="3" t="inlineStr">
        <is>
          <t>Yes</t>
        </is>
      </c>
      <c r="R822" s="3" t="inlineStr">
        <is>
          <t>Yes</t>
        </is>
      </c>
      <c r="S822" s="3" t="inlineStr">
        <is>
          <t>Yes</t>
        </is>
      </c>
      <c r="T822" s="3" t="inlineStr">
        <is>
          <t>Yes</t>
        </is>
      </c>
      <c r="U822" s="3" t="inlineStr">
        <is>
          <t>Yes</t>
        </is>
      </c>
      <c r="V822" s="3" t="inlineStr">
        <is>
          <t>Yes</t>
        </is>
      </c>
      <c r="W822" s="3" t="inlineStr">
        <is>
          <t>No</t>
        </is>
      </c>
    </row>
    <row r="823">
      <c r="A823" s="3" t="inlineStr">
        <is>
          <t xml:space="preserve"> - Energy efficiency regulations</t>
        </is>
      </c>
      <c r="B823" s="3" t="inlineStr">
        <is>
          <t>Energy efficiency regulations</t>
        </is>
      </c>
      <c r="C823" s="3" t="inlineStr">
        <is>
          <t>No</t>
        </is>
      </c>
      <c r="D823" s="39" t="n">
        <v>1</v>
      </c>
      <c r="E823" s="3" t="inlineStr">
        <is>
          <t>Yes</t>
        </is>
      </c>
      <c r="F823" s="3" t="inlineStr">
        <is>
          <t>Yes</t>
        </is>
      </c>
      <c r="G823" s="3" t="inlineStr">
        <is>
          <t>Yes</t>
        </is>
      </c>
      <c r="H823" s="3" t="inlineStr">
        <is>
          <t>Yes</t>
        </is>
      </c>
      <c r="I823" s="3" t="inlineStr">
        <is>
          <t>Yes</t>
        </is>
      </c>
      <c r="J823" s="3" t="inlineStr">
        <is>
          <t>Yes</t>
        </is>
      </c>
      <c r="K823" s="3" t="inlineStr">
        <is>
          <t>Yes</t>
        </is>
      </c>
      <c r="L823" s="3" t="inlineStr">
        <is>
          <t>Yes</t>
        </is>
      </c>
      <c r="M823" s="3" t="inlineStr">
        <is>
          <t>Yes</t>
        </is>
      </c>
      <c r="N823" s="3" t="inlineStr">
        <is>
          <t>Yes</t>
        </is>
      </c>
      <c r="O823" s="3" t="inlineStr">
        <is>
          <t>Yes</t>
        </is>
      </c>
      <c r="P823" s="3" t="inlineStr">
        <is>
          <t>Yes</t>
        </is>
      </c>
      <c r="Q823" s="3" t="inlineStr">
        <is>
          <t>Yes</t>
        </is>
      </c>
      <c r="R823" s="3" t="inlineStr">
        <is>
          <t>Yes</t>
        </is>
      </c>
      <c r="S823" s="3" t="inlineStr">
        <is>
          <t>Yes</t>
        </is>
      </c>
      <c r="T823" s="3" t="inlineStr">
        <is>
          <t>Yes</t>
        </is>
      </c>
      <c r="U823" s="3" t="inlineStr">
        <is>
          <t>Yes</t>
        </is>
      </c>
      <c r="V823" s="3" t="inlineStr">
        <is>
          <t>No</t>
        </is>
      </c>
      <c r="W823" s="3" t="inlineStr">
        <is>
          <t>No</t>
        </is>
      </c>
    </row>
    <row r="824">
      <c r="A824" s="3" t="inlineStr">
        <is>
          <t xml:space="preserve"> - Total carbon price</t>
        </is>
      </c>
      <c r="B824" s="3" t="inlineStr">
        <is>
          <t>TCP</t>
        </is>
      </c>
      <c r="C824" s="3" t="inlineStr">
        <is>
          <t>Yes</t>
        </is>
      </c>
      <c r="D824" s="39" t="n">
        <v>0</v>
      </c>
      <c r="E824" s="3" t="inlineStr">
        <is>
          <t>Yes</t>
        </is>
      </c>
      <c r="F824" s="3" t="inlineStr">
        <is>
          <t>Yes</t>
        </is>
      </c>
      <c r="G824" s="3" t="inlineStr">
        <is>
          <t>Yes</t>
        </is>
      </c>
      <c r="H824" s="3" t="inlineStr">
        <is>
          <t>Yes</t>
        </is>
      </c>
      <c r="I824" s="3" t="inlineStr">
        <is>
          <t>Yes</t>
        </is>
      </c>
      <c r="J824" s="3" t="inlineStr">
        <is>
          <t>Yes</t>
        </is>
      </c>
      <c r="K824" s="3" t="inlineStr">
        <is>
          <t>Yes</t>
        </is>
      </c>
      <c r="L824" s="3" t="inlineStr">
        <is>
          <t>Yes</t>
        </is>
      </c>
      <c r="M824" s="3" t="inlineStr">
        <is>
          <t>Yes</t>
        </is>
      </c>
      <c r="N824" s="3" t="inlineStr">
        <is>
          <t>Yes</t>
        </is>
      </c>
      <c r="O824" s="3" t="inlineStr">
        <is>
          <t>Yes</t>
        </is>
      </c>
      <c r="P824" s="3" t="inlineStr">
        <is>
          <t>Yes</t>
        </is>
      </c>
      <c r="Q824" s="3" t="inlineStr">
        <is>
          <t>Yes</t>
        </is>
      </c>
      <c r="R824" s="3" t="inlineStr">
        <is>
          <t>Yes</t>
        </is>
      </c>
      <c r="S824" s="3" t="inlineStr">
        <is>
          <t>Yes</t>
        </is>
      </c>
      <c r="T824" s="3" t="inlineStr">
        <is>
          <t>Yes</t>
        </is>
      </c>
      <c r="U824" s="3" t="inlineStr">
        <is>
          <t>Yes</t>
        </is>
      </c>
      <c r="V824" s="3" t="inlineStr">
        <is>
          <t>No</t>
        </is>
      </c>
      <c r="W824" s="3" t="inlineStr">
        <is>
          <t>No</t>
        </is>
      </c>
    </row>
    <row r="825">
      <c r="A825" s="3" t="inlineStr">
        <is>
          <t xml:space="preserve"> - Coal excise</t>
        </is>
      </c>
      <c r="B825" s="3" t="inlineStr">
        <is>
          <t>Coal excise</t>
        </is>
      </c>
      <c r="C825" s="3" t="inlineStr">
        <is>
          <t>Yes</t>
        </is>
      </c>
      <c r="D825" s="39" t="n">
        <v>0</v>
      </c>
      <c r="E825" s="3" t="inlineStr">
        <is>
          <t>Yes</t>
        </is>
      </c>
      <c r="F825" s="3" t="inlineStr">
        <is>
          <t>Yes</t>
        </is>
      </c>
      <c r="G825" s="3" t="inlineStr">
        <is>
          <t>Yes</t>
        </is>
      </c>
      <c r="H825" s="3" t="inlineStr">
        <is>
          <t>Yes</t>
        </is>
      </c>
      <c r="I825" s="3" t="inlineStr">
        <is>
          <t>Yes</t>
        </is>
      </c>
      <c r="J825" s="3" t="inlineStr">
        <is>
          <t>Yes</t>
        </is>
      </c>
      <c r="K825" s="3" t="inlineStr">
        <is>
          <t>Yes</t>
        </is>
      </c>
      <c r="L825" s="3" t="inlineStr">
        <is>
          <t>Yes</t>
        </is>
      </c>
      <c r="M825" s="3" t="inlineStr">
        <is>
          <t>Yes</t>
        </is>
      </c>
      <c r="N825" s="3" t="inlineStr">
        <is>
          <t>Yes</t>
        </is>
      </c>
      <c r="O825" s="3" t="inlineStr">
        <is>
          <t>Yes</t>
        </is>
      </c>
      <c r="P825" s="3" t="inlineStr">
        <is>
          <t>Yes</t>
        </is>
      </c>
      <c r="Q825" s="3" t="inlineStr">
        <is>
          <t>Yes</t>
        </is>
      </c>
      <c r="R825" s="3" t="inlineStr">
        <is>
          <t>Yes</t>
        </is>
      </c>
      <c r="S825" s="3" t="inlineStr">
        <is>
          <t>Yes</t>
        </is>
      </c>
      <c r="T825" s="3" t="inlineStr">
        <is>
          <t>Yes</t>
        </is>
      </c>
      <c r="U825" s="3" t="inlineStr">
        <is>
          <t>Yes</t>
        </is>
      </c>
      <c r="V825" s="3" t="inlineStr">
        <is>
          <t>No</t>
        </is>
      </c>
      <c r="W825" s="3" t="inlineStr">
        <is>
          <t>No</t>
        </is>
      </c>
    </row>
    <row r="826">
      <c r="A826" s="3" t="inlineStr">
        <is>
          <t xml:space="preserve"> - Road fuel tax</t>
        </is>
      </c>
      <c r="B826" s="3" t="inlineStr">
        <is>
          <t>Road fuel tax</t>
        </is>
      </c>
      <c r="C826" s="3" t="inlineStr">
        <is>
          <t>Yes</t>
        </is>
      </c>
      <c r="D826" s="39" t="n">
        <v>0</v>
      </c>
      <c r="E826" s="3" t="inlineStr">
        <is>
          <t>No</t>
        </is>
      </c>
      <c r="F826" s="3" t="inlineStr">
        <is>
          <t>Yes</t>
        </is>
      </c>
      <c r="G826" s="3" t="inlineStr">
        <is>
          <t>No</t>
        </is>
      </c>
      <c r="H826" s="3" t="inlineStr">
        <is>
          <t>No</t>
        </is>
      </c>
      <c r="I826" s="3" t="inlineStr">
        <is>
          <t>No</t>
        </is>
      </c>
      <c r="J826" s="3" t="inlineStr">
        <is>
          <t>No</t>
        </is>
      </c>
      <c r="K826" s="3" t="inlineStr">
        <is>
          <t>No</t>
        </is>
      </c>
      <c r="L826" s="3" t="inlineStr">
        <is>
          <t>No</t>
        </is>
      </c>
      <c r="M826" s="3" t="inlineStr">
        <is>
          <t>No</t>
        </is>
      </c>
      <c r="N826" s="3" t="inlineStr">
        <is>
          <t>No</t>
        </is>
      </c>
      <c r="O826" s="3" t="inlineStr">
        <is>
          <t>No</t>
        </is>
      </c>
      <c r="P826" s="3" t="inlineStr">
        <is>
          <t>No</t>
        </is>
      </c>
      <c r="Q826" s="3" t="inlineStr">
        <is>
          <t>No</t>
        </is>
      </c>
      <c r="R826" s="3" t="inlineStr">
        <is>
          <t>No</t>
        </is>
      </c>
      <c r="S826" s="3" t="inlineStr">
        <is>
          <t>No</t>
        </is>
      </c>
      <c r="T826" s="3" t="inlineStr">
        <is>
          <t>No</t>
        </is>
      </c>
      <c r="U826" s="3" t="inlineStr">
        <is>
          <t>No</t>
        </is>
      </c>
      <c r="V826" s="3" t="inlineStr">
        <is>
          <t>No</t>
        </is>
      </c>
      <c r="W826" s="3" t="inlineStr">
        <is>
          <t>No</t>
        </is>
      </c>
    </row>
    <row r="827">
      <c r="A827" s="3" t="inlineStr">
        <is>
          <t xml:space="preserve"> - Electricity emissions tax</t>
        </is>
      </c>
      <c r="B827" s="3" t="inlineStr">
        <is>
          <t>Electricity emissions tax</t>
        </is>
      </c>
      <c r="C827" s="3" t="inlineStr">
        <is>
          <t>Yes</t>
        </is>
      </c>
      <c r="D827" s="39" t="n">
        <v>0</v>
      </c>
      <c r="E827" s="3" t="inlineStr">
        <is>
          <t>Yes</t>
        </is>
      </c>
      <c r="F827" s="3" t="inlineStr">
        <is>
          <t>No</t>
        </is>
      </c>
      <c r="G827" s="3" t="inlineStr">
        <is>
          <t>No</t>
        </is>
      </c>
      <c r="H827" s="3" t="inlineStr">
        <is>
          <t>No</t>
        </is>
      </c>
      <c r="I827" s="3" t="inlineStr">
        <is>
          <t>No</t>
        </is>
      </c>
      <c r="J827" s="3" t="inlineStr">
        <is>
          <t>No</t>
        </is>
      </c>
      <c r="K827" s="3" t="inlineStr">
        <is>
          <t>No</t>
        </is>
      </c>
      <c r="L827" s="3" t="inlineStr">
        <is>
          <t>No</t>
        </is>
      </c>
      <c r="M827" s="3" t="inlineStr">
        <is>
          <t>No</t>
        </is>
      </c>
      <c r="N827" s="3" t="inlineStr">
        <is>
          <t>No</t>
        </is>
      </c>
      <c r="O827" s="3" t="inlineStr">
        <is>
          <t>No</t>
        </is>
      </c>
      <c r="P827" s="3" t="inlineStr">
        <is>
          <t>No</t>
        </is>
      </c>
      <c r="Q827" s="3" t="inlineStr">
        <is>
          <t>No</t>
        </is>
      </c>
      <c r="R827" s="3" t="inlineStr">
        <is>
          <t>No</t>
        </is>
      </c>
      <c r="S827" s="3" t="inlineStr">
        <is>
          <t>No</t>
        </is>
      </c>
      <c r="T827" s="3" t="inlineStr">
        <is>
          <t>No</t>
        </is>
      </c>
      <c r="U827" s="3" t="inlineStr">
        <is>
          <t>No</t>
        </is>
      </c>
      <c r="V827" s="3" t="inlineStr">
        <is>
          <t>No</t>
        </is>
      </c>
      <c r="W827" s="3" t="inlineStr">
        <is>
          <t>No</t>
        </is>
      </c>
    </row>
    <row r="828">
      <c r="A828" s="3" t="inlineStr">
        <is>
          <t xml:space="preserve"> - Power feebate</t>
        </is>
      </c>
      <c r="B828" s="3" t="inlineStr">
        <is>
          <t>Power feebate</t>
        </is>
      </c>
      <c r="C828" s="3" t="inlineStr">
        <is>
          <t>No</t>
        </is>
      </c>
      <c r="D828" s="39" t="n">
        <v>5</v>
      </c>
      <c r="E828" s="3" t="inlineStr">
        <is>
          <t>Yes</t>
        </is>
      </c>
      <c r="F828" s="3" t="inlineStr">
        <is>
          <t>No</t>
        </is>
      </c>
      <c r="G828" s="3" t="inlineStr">
        <is>
          <t>No</t>
        </is>
      </c>
      <c r="H828" s="3" t="inlineStr">
        <is>
          <t>No</t>
        </is>
      </c>
      <c r="I828" s="3" t="inlineStr">
        <is>
          <t>No</t>
        </is>
      </c>
      <c r="J828" s="3" t="inlineStr">
        <is>
          <t>No</t>
        </is>
      </c>
      <c r="K828" s="3" t="inlineStr">
        <is>
          <t>No</t>
        </is>
      </c>
      <c r="L828" s="3" t="inlineStr">
        <is>
          <t>No</t>
        </is>
      </c>
      <c r="M828" s="3" t="inlineStr">
        <is>
          <t>No</t>
        </is>
      </c>
      <c r="N828" s="3" t="inlineStr">
        <is>
          <t>No</t>
        </is>
      </c>
      <c r="O828" s="3" t="inlineStr">
        <is>
          <t>No</t>
        </is>
      </c>
      <c r="P828" s="3" t="inlineStr">
        <is>
          <t>No</t>
        </is>
      </c>
      <c r="Q828" s="3" t="inlineStr">
        <is>
          <t>No</t>
        </is>
      </c>
      <c r="R828" s="3" t="inlineStr">
        <is>
          <t>No</t>
        </is>
      </c>
      <c r="S828" s="3" t="inlineStr">
        <is>
          <t>No</t>
        </is>
      </c>
      <c r="T828" s="3" t="inlineStr">
        <is>
          <t>No</t>
        </is>
      </c>
      <c r="U828" s="3" t="inlineStr">
        <is>
          <t>No</t>
        </is>
      </c>
      <c r="V828" s="3" t="inlineStr">
        <is>
          <t>Yes</t>
        </is>
      </c>
      <c r="W828" s="3" t="inlineStr">
        <is>
          <t>No</t>
        </is>
      </c>
    </row>
    <row r="829">
      <c r="A829" s="3" t="inlineStr">
        <is>
          <t xml:space="preserve"> - Electricity excise</t>
        </is>
      </c>
      <c r="B829" s="3" t="inlineStr">
        <is>
          <t>Electricity excise</t>
        </is>
      </c>
      <c r="C829" s="3" t="inlineStr">
        <is>
          <t>Yes</t>
        </is>
      </c>
      <c r="D829" s="39" t="n">
        <v>0</v>
      </c>
      <c r="E829" s="3" t="inlineStr">
        <is>
          <t>No</t>
        </is>
      </c>
      <c r="F829" s="3" t="inlineStr">
        <is>
          <t>No</t>
        </is>
      </c>
      <c r="G829" s="3" t="inlineStr">
        <is>
          <t>No</t>
        </is>
      </c>
      <c r="H829" s="3" t="inlineStr">
        <is>
          <t>No</t>
        </is>
      </c>
      <c r="I829" s="3" t="inlineStr">
        <is>
          <t>No</t>
        </is>
      </c>
      <c r="J829" s="3" t="inlineStr">
        <is>
          <t>No</t>
        </is>
      </c>
      <c r="K829" s="3" t="inlineStr">
        <is>
          <t>No</t>
        </is>
      </c>
      <c r="L829" s="3" t="inlineStr">
        <is>
          <t>No</t>
        </is>
      </c>
      <c r="M829" s="3" t="inlineStr">
        <is>
          <t>No</t>
        </is>
      </c>
      <c r="N829" s="3" t="inlineStr">
        <is>
          <t>No</t>
        </is>
      </c>
      <c r="O829" s="3" t="inlineStr">
        <is>
          <t>No</t>
        </is>
      </c>
      <c r="P829" s="3" t="inlineStr">
        <is>
          <t>No</t>
        </is>
      </c>
      <c r="Q829" s="3" t="inlineStr">
        <is>
          <t>No</t>
        </is>
      </c>
      <c r="R829" s="3" t="inlineStr">
        <is>
          <t>No</t>
        </is>
      </c>
      <c r="S829" s="3" t="inlineStr">
        <is>
          <t>No</t>
        </is>
      </c>
      <c r="T829" s="3" t="inlineStr">
        <is>
          <t>No</t>
        </is>
      </c>
      <c r="U829" s="3" t="inlineStr">
        <is>
          <t>No</t>
        </is>
      </c>
      <c r="V829" s="3" t="inlineStr">
        <is>
          <t>No</t>
        </is>
      </c>
      <c r="W829" s="3" t="inlineStr">
        <is>
          <t>Yes</t>
        </is>
      </c>
    </row>
    <row r="830">
      <c r="A830" s="3" t="inlineStr">
        <is>
          <t xml:space="preserve"> - Vehicle fuel economy</t>
        </is>
      </c>
      <c r="B830" s="3" t="inlineStr">
        <is>
          <t>Vehicle fuel economy</t>
        </is>
      </c>
      <c r="C830" s="3" t="inlineStr">
        <is>
          <t>No</t>
        </is>
      </c>
      <c r="D830" s="39" t="n">
        <v>2</v>
      </c>
      <c r="E830" s="3" t="inlineStr">
        <is>
          <t>No</t>
        </is>
      </c>
      <c r="F830" s="3" t="inlineStr">
        <is>
          <t>Yes</t>
        </is>
      </c>
      <c r="G830" s="3" t="inlineStr">
        <is>
          <t>No</t>
        </is>
      </c>
      <c r="H830" s="3" t="inlineStr">
        <is>
          <t>No</t>
        </is>
      </c>
      <c r="I830" s="3" t="inlineStr">
        <is>
          <t>No</t>
        </is>
      </c>
      <c r="J830" s="3" t="inlineStr">
        <is>
          <t>No</t>
        </is>
      </c>
      <c r="K830" s="3" t="inlineStr">
        <is>
          <t>No</t>
        </is>
      </c>
      <c r="L830" s="3" t="inlineStr">
        <is>
          <t>No</t>
        </is>
      </c>
      <c r="M830" s="3" t="inlineStr">
        <is>
          <t>No</t>
        </is>
      </c>
      <c r="N830" s="3" t="inlineStr">
        <is>
          <t>No</t>
        </is>
      </c>
      <c r="O830" s="3" t="inlineStr">
        <is>
          <t>No</t>
        </is>
      </c>
      <c r="P830" s="3" t="inlineStr">
        <is>
          <t>No</t>
        </is>
      </c>
      <c r="Q830" s="3" t="inlineStr">
        <is>
          <t>No</t>
        </is>
      </c>
      <c r="R830" s="3" t="inlineStr">
        <is>
          <t>No</t>
        </is>
      </c>
      <c r="S830" s="3" t="inlineStr">
        <is>
          <t>No</t>
        </is>
      </c>
      <c r="T830" s="3" t="inlineStr">
        <is>
          <t>No</t>
        </is>
      </c>
      <c r="U830" s="3" t="inlineStr">
        <is>
          <t>No</t>
        </is>
      </c>
      <c r="V830" s="3" t="inlineStr">
        <is>
          <t>No</t>
        </is>
      </c>
      <c r="W830" s="3" t="inlineStr">
        <is>
          <t>No</t>
        </is>
      </c>
    </row>
    <row r="831">
      <c r="A831" s="3" t="inlineStr">
        <is>
          <t xml:space="preserve"> - Residential efficiency regulations</t>
        </is>
      </c>
      <c r="B831" s="3" t="inlineStr">
        <is>
          <t>Residential efficiency regulations</t>
        </is>
      </c>
      <c r="C831" s="3" t="inlineStr">
        <is>
          <t>No</t>
        </is>
      </c>
      <c r="D831" s="39" t="n">
        <v>3</v>
      </c>
      <c r="E831" s="3" t="inlineStr">
        <is>
          <t>No</t>
        </is>
      </c>
      <c r="F831" s="3" t="inlineStr">
        <is>
          <t>No</t>
        </is>
      </c>
      <c r="G831" s="3" t="inlineStr">
        <is>
          <t>No</t>
        </is>
      </c>
      <c r="H831" s="3" t="inlineStr">
        <is>
          <t>No</t>
        </is>
      </c>
      <c r="I831" s="3" t="inlineStr">
        <is>
          <t>No</t>
        </is>
      </c>
      <c r="J831" s="3" t="inlineStr">
        <is>
          <t>Yes</t>
        </is>
      </c>
      <c r="K831" s="3" t="inlineStr">
        <is>
          <t>No</t>
        </is>
      </c>
      <c r="L831" s="3" t="inlineStr">
        <is>
          <t>No</t>
        </is>
      </c>
      <c r="M831" s="3" t="inlineStr">
        <is>
          <t>No</t>
        </is>
      </c>
      <c r="N831" s="3" t="inlineStr">
        <is>
          <t>No</t>
        </is>
      </c>
      <c r="O831" s="3" t="inlineStr">
        <is>
          <t>No</t>
        </is>
      </c>
      <c r="P831" s="3" t="inlineStr">
        <is>
          <t>No</t>
        </is>
      </c>
      <c r="Q831" s="3" t="inlineStr">
        <is>
          <t>No</t>
        </is>
      </c>
      <c r="R831" s="3" t="inlineStr">
        <is>
          <t>No</t>
        </is>
      </c>
      <c r="S831" s="3" t="inlineStr">
        <is>
          <t>No</t>
        </is>
      </c>
      <c r="T831" s="3" t="inlineStr">
        <is>
          <t>No</t>
        </is>
      </c>
      <c r="U831" s="3" t="inlineStr">
        <is>
          <t>No</t>
        </is>
      </c>
      <c r="V831" s="3" t="inlineStr">
        <is>
          <t>No</t>
        </is>
      </c>
      <c r="W831" s="3" t="inlineStr">
        <is>
          <t>No</t>
        </is>
      </c>
    </row>
    <row r="832">
      <c r="A832" s="3" t="inlineStr">
        <is>
          <t xml:space="preserve"> - Industrial efficiency regulations</t>
        </is>
      </c>
      <c r="B832" s="3" t="inlineStr">
        <is>
          <t>Industrial efficiency regulations</t>
        </is>
      </c>
      <c r="C832" s="3" t="inlineStr">
        <is>
          <t>No</t>
        </is>
      </c>
      <c r="D832" s="39" t="n">
        <v>4</v>
      </c>
      <c r="E832" s="3" t="inlineStr">
        <is>
          <t>No</t>
        </is>
      </c>
      <c r="F832" s="3" t="inlineStr">
        <is>
          <t>No</t>
        </is>
      </c>
      <c r="G832" s="3" t="inlineStr">
        <is>
          <t>No</t>
        </is>
      </c>
      <c r="H832" s="3" t="inlineStr">
        <is>
          <t>No</t>
        </is>
      </c>
      <c r="I832" s="3" t="inlineStr">
        <is>
          <t>No</t>
        </is>
      </c>
      <c r="J832" s="3" t="inlineStr">
        <is>
          <t>No</t>
        </is>
      </c>
      <c r="K832" s="3" t="inlineStr">
        <is>
          <t>Yes</t>
        </is>
      </c>
      <c r="L832" s="3" t="inlineStr">
        <is>
          <t>Yes</t>
        </is>
      </c>
      <c r="M832" s="3" t="inlineStr">
        <is>
          <t>Yes</t>
        </is>
      </c>
      <c r="N832" s="3" t="inlineStr">
        <is>
          <t>Yes</t>
        </is>
      </c>
      <c r="O832" s="3" t="inlineStr">
        <is>
          <t>Yes</t>
        </is>
      </c>
      <c r="P832" s="3" t="inlineStr">
        <is>
          <t>Yes</t>
        </is>
      </c>
      <c r="Q832" s="3" t="inlineStr">
        <is>
          <t>Yes</t>
        </is>
      </c>
      <c r="R832" s="3" t="inlineStr">
        <is>
          <t>Yes</t>
        </is>
      </c>
      <c r="S832" s="3" t="inlineStr">
        <is>
          <t>Yes</t>
        </is>
      </c>
      <c r="T832" s="3" t="inlineStr">
        <is>
          <t>Yes</t>
        </is>
      </c>
      <c r="U832" s="3" t="inlineStr">
        <is>
          <t>Yes</t>
        </is>
      </c>
      <c r="V832" s="3" t="inlineStr">
        <is>
          <t>No</t>
        </is>
      </c>
      <c r="W832" s="3" t="inlineStr">
        <is>
          <t>No</t>
        </is>
      </c>
    </row>
    <row r="833">
      <c r="A833" s="6" t="inlineStr">
        <is>
          <t>Member labels for Mitigation column H (key sector|fuel; add a row for a new pair)</t>
        </is>
      </c>
    </row>
    <row r="834">
      <c r="A834" s="7" t="inlineStr">
        <is>
          <t>Key</t>
        </is>
      </c>
      <c r="B834" s="7" t="inlineStr">
        <is>
          <t>Sector</t>
        </is>
      </c>
      <c r="C834" s="7" t="inlineStr">
        <is>
          <t>Fuel</t>
        </is>
      </c>
      <c r="D834" s="7" t="inlineStr">
        <is>
          <t>Label</t>
        </is>
      </c>
      <c r="E834" s="7" t="inlineStr">
        <is>
          <t>Sector label</t>
        </is>
      </c>
      <c r="F834" s="7" t="inlineStr">
        <is>
          <t>Fuel label</t>
        </is>
      </c>
      <c r="G834" s="7" t="inlineStr">
        <is>
          <t>Code slots</t>
        </is>
      </c>
      <c r="I834" s="7" t="inlineStr">
        <is>
          <t>Row key</t>
        </is>
      </c>
      <c r="J834" s="7" t="inlineStr">
        <is>
          <t>Row code</t>
        </is>
      </c>
    </row>
    <row r="835">
      <c r="A835" s="3" t="str">
        <f>$B835&amp;"|"&amp;$C835</f>
        <v>|</v>
      </c>
      <c r="B835" s="3" t="inlineStr"/>
      <c r="C835" s="3" t="inlineStr"/>
      <c r="D835" s="3" t="str">
        <f>IF($B835="",""," | "&amp;$E835&amp;" | "&amp;$F835)</f>
        <v/>
      </c>
      <c r="E835" s="3" t="str">
        <f>IFERROR(INDEX(SecLab,MATCH($B835,SecKey,0)),"")</f>
        <v/>
      </c>
      <c r="F835" s="3" t="str">
        <f>IFERROR(INDEX(FuelLab,MATCH($C835,FuelKeyL,0)),"")</f>
        <v/>
      </c>
      <c r="G835" s="3" t="n"/>
      <c r="I835" s="3" t="inlineStr">
        <is>
          <t>pnq|all|gso</t>
        </is>
      </c>
      <c r="J835" s="3" t="inlineStr">
        <is>
          <t>pnq.tot.gso</t>
        </is>
      </c>
    </row>
    <row r="836">
      <c r="A836" s="3" t="str">
        <f>$B836&amp;"|"&amp;$C836</f>
        <v>all|coa</v>
      </c>
      <c r="B836" s="3" t="inlineStr">
        <is>
          <t>all</t>
        </is>
      </c>
      <c r="C836" s="3" t="inlineStr">
        <is>
          <t>coa</t>
        </is>
      </c>
      <c r="D836" s="3" t="str">
        <f>IF($B836="",""," | "&amp;$E836&amp;" | "&amp;$F836)</f>
        <v> | All sectors | Coal</v>
      </c>
      <c r="E836" s="3" t="str">
        <f>IFERROR(INDEX(SecLab,MATCH($B836,SecKey,0)),"")</f>
        <v>All sectors</v>
      </c>
      <c r="F836" s="3" t="str">
        <f>IFERROR(INDEX(FuelLab,MATCH($C836,FuelKeyL,0)),"")</f>
        <v>Coal</v>
      </c>
      <c r="G836" s="3" t="inlineStr">
        <is>
          <t>.all.coa</t>
        </is>
      </c>
      <c r="I836" s="3" t="inlineStr">
        <is>
          <t>pnq|all|die</t>
        </is>
      </c>
      <c r="J836" s="3" t="inlineStr">
        <is>
          <t>pnq.tot.die</t>
        </is>
      </c>
    </row>
    <row r="837">
      <c r="A837" s="3" t="str">
        <f>$B837&amp;"|"&amp;$C837</f>
        <v>all|nga</v>
      </c>
      <c r="B837" s="3" t="inlineStr">
        <is>
          <t>all</t>
        </is>
      </c>
      <c r="C837" s="3" t="inlineStr">
        <is>
          <t>nga</t>
        </is>
      </c>
      <c r="D837" s="3" t="str">
        <f>IF($B837="",""," | "&amp;$E837&amp;" | "&amp;$F837)</f>
        <v> | All sectors | Natural gas</v>
      </c>
      <c r="E837" s="3" t="str">
        <f>IFERROR(INDEX(SecLab,MATCH($B837,SecKey,0)),"")</f>
        <v>All sectors</v>
      </c>
      <c r="F837" s="3" t="str">
        <f>IFERROR(INDEX(FuelLab,MATCH($C837,FuelKeyL,0)),"")</f>
        <v>Natural gas</v>
      </c>
      <c r="G837" s="3" t="inlineStr">
        <is>
          <t>.all.nga</t>
        </is>
      </c>
      <c r="I837" s="3" t="inlineStr">
        <is>
          <t>pnq|all|lpg</t>
        </is>
      </c>
      <c r="J837" s="3" t="inlineStr">
        <is>
          <t>pnq.tot.lpg</t>
        </is>
      </c>
    </row>
    <row r="838">
      <c r="A838" s="3" t="str">
        <f>$B838&amp;"|"&amp;$C838</f>
        <v>all|gso</v>
      </c>
      <c r="B838" s="3" t="inlineStr">
        <is>
          <t>all</t>
        </is>
      </c>
      <c r="C838" s="3" t="inlineStr">
        <is>
          <t>gso</t>
        </is>
      </c>
      <c r="D838" s="3" t="str">
        <f>IF($B838="",""," | "&amp;$E838&amp;" | "&amp;$F838)</f>
        <v> | All sectors | Gasoline</v>
      </c>
      <c r="E838" s="3" t="str">
        <f>IFERROR(INDEX(SecLab,MATCH($B838,SecKey,0)),"")</f>
        <v>All sectors</v>
      </c>
      <c r="F838" s="3" t="str">
        <f>IFERROR(INDEX(FuelLab,MATCH($C838,FuelKeyL,0)),"")</f>
        <v>Gasoline</v>
      </c>
      <c r="G838" s="3" t="inlineStr">
        <is>
          <t>.all.gso</t>
        </is>
      </c>
      <c r="I838" s="3" t="inlineStr">
        <is>
          <t>pnq|all|ker</t>
        </is>
      </c>
      <c r="J838" s="3" t="inlineStr">
        <is>
          <t>pnq.tot.ker</t>
        </is>
      </c>
    </row>
    <row r="839">
      <c r="A839" s="3" t="str">
        <f>$B839&amp;"|"&amp;$C839</f>
        <v>all|die</v>
      </c>
      <c r="B839" s="3" t="inlineStr">
        <is>
          <t>all</t>
        </is>
      </c>
      <c r="C839" s="3" t="inlineStr">
        <is>
          <t>die</t>
        </is>
      </c>
      <c r="D839" s="3" t="str">
        <f>IF($B839="",""," | "&amp;$E839&amp;" | "&amp;$F839)</f>
        <v> | All sectors | Diesel</v>
      </c>
      <c r="E839" s="3" t="str">
        <f>IFERROR(INDEX(SecLab,MATCH($B839,SecKey,0)),"")</f>
        <v>All sectors</v>
      </c>
      <c r="F839" s="3" t="str">
        <f>IFERROR(INDEX(FuelLab,MATCH($C839,FuelKeyL,0)),"")</f>
        <v>Diesel</v>
      </c>
      <c r="G839" s="3" t="inlineStr">
        <is>
          <t>.all.die</t>
        </is>
      </c>
      <c r="I839" s="3" t="inlineStr">
        <is>
          <t>pnq|all|oop</t>
        </is>
      </c>
      <c r="J839" s="3" t="inlineStr">
        <is>
          <t>pnq.tot.oop</t>
        </is>
      </c>
    </row>
    <row r="840">
      <c r="A840" s="3" t="str">
        <f>$B840&amp;"|"&amp;$C840</f>
        <v>all|lpg</v>
      </c>
      <c r="B840" s="3" t="inlineStr">
        <is>
          <t>all</t>
        </is>
      </c>
      <c r="C840" s="3" t="inlineStr">
        <is>
          <t>lpg</t>
        </is>
      </c>
      <c r="D840" s="3" t="str">
        <f>IF($B840="",""," | "&amp;$E840&amp;" | "&amp;$F840)</f>
        <v> | All sectors | LPG</v>
      </c>
      <c r="E840" s="3" t="str">
        <f>IFERROR(INDEX(SecLab,MATCH($B840,SecKey,0)),"")</f>
        <v>All sectors</v>
      </c>
      <c r="F840" s="3" t="str">
        <f>IFERROR(INDEX(FuelLab,MATCH($C840,FuelKeyL,0)),"")</f>
        <v>LPG</v>
      </c>
      <c r="G840" s="3" t="inlineStr">
        <is>
          <t>.all.lpg</t>
        </is>
      </c>
      <c r="I840" s="3" t="inlineStr">
        <is>
          <t>pnq|all|bio</t>
        </is>
      </c>
      <c r="J840" s="3" t="inlineStr">
        <is>
          <t>pnq.tot.bio</t>
        </is>
      </c>
    </row>
    <row r="841">
      <c r="A841" s="3" t="str">
        <f>$B841&amp;"|"&amp;$C841</f>
        <v>all|ker</v>
      </c>
      <c r="B841" s="3" t="inlineStr">
        <is>
          <t>all</t>
        </is>
      </c>
      <c r="C841" s="3" t="inlineStr">
        <is>
          <t>ker</t>
        </is>
      </c>
      <c r="D841" s="3" t="str">
        <f>IF($B841="",""," | "&amp;$E841&amp;" | "&amp;$F841)</f>
        <v> | All sectors | Kerosene</v>
      </c>
      <c r="E841" s="3" t="str">
        <f>IFERROR(INDEX(SecLab,MATCH($B841,SecKey,0)),"")</f>
        <v>All sectors</v>
      </c>
      <c r="F841" s="3" t="str">
        <f>IFERROR(INDEX(FuelLab,MATCH($C841,FuelKeyL,0)),"")</f>
        <v>Kerosene</v>
      </c>
      <c r="G841" s="3" t="inlineStr">
        <is>
          <t>.all.ker</t>
        </is>
      </c>
      <c r="I841" s="3" t="inlineStr">
        <is>
          <t>pav.q|all|coa</t>
        </is>
      </c>
      <c r="J841" s="3" t="inlineStr">
        <is>
          <t>pav.q.tot.coa</t>
        </is>
      </c>
    </row>
    <row r="842">
      <c r="A842" s="3" t="str">
        <f>$B842&amp;"|"&amp;$C842</f>
        <v>all|jfu</v>
      </c>
      <c r="B842" s="3" t="inlineStr">
        <is>
          <t>all</t>
        </is>
      </c>
      <c r="C842" s="3" t="inlineStr">
        <is>
          <t>jfu</t>
        </is>
      </c>
      <c r="D842" s="3" t="str">
        <f>IF($B842="",""," | "&amp;$E842&amp;" | "&amp;$F842)</f>
        <v> | All sectors | Jet fuel</v>
      </c>
      <c r="E842" s="3" t="str">
        <f>IFERROR(INDEX(SecLab,MATCH($B842,SecKey,0)),"")</f>
        <v>All sectors</v>
      </c>
      <c r="F842" s="3" t="str">
        <f>IFERROR(INDEX(FuelLab,MATCH($C842,FuelKeyL,0)),"")</f>
        <v>Jet fuel</v>
      </c>
      <c r="G842" s="3" t="inlineStr">
        <is>
          <t>.all.jfu</t>
        </is>
      </c>
      <c r="I842" s="3" t="inlineStr">
        <is>
          <t>pav.q|all|nga</t>
        </is>
      </c>
      <c r="J842" s="3" t="inlineStr">
        <is>
          <t>pav.q.tot.nga</t>
        </is>
      </c>
    </row>
    <row r="843">
      <c r="A843" s="3" t="str">
        <f>$B843&amp;"|"&amp;$C843</f>
        <v>all|oop</v>
      </c>
      <c r="B843" s="3" t="inlineStr">
        <is>
          <t>all</t>
        </is>
      </c>
      <c r="C843" s="3" t="inlineStr">
        <is>
          <t>oop</t>
        </is>
      </c>
      <c r="D843" s="3" t="str">
        <f>IF($B843="",""," | "&amp;$E843&amp;" | "&amp;$F843)</f>
        <v> | All sectors | Other oil products</v>
      </c>
      <c r="E843" s="3" t="str">
        <f>IFERROR(INDEX(SecLab,MATCH($B843,SecKey,0)),"")</f>
        <v>All sectors</v>
      </c>
      <c r="F843" s="3" t="str">
        <f>IFERROR(INDEX(FuelLab,MATCH($C843,FuelKeyL,0)),"")</f>
        <v>Other oil products</v>
      </c>
      <c r="G843" s="3" t="inlineStr">
        <is>
          <t>.all.oop</t>
        </is>
      </c>
      <c r="I843" s="3" t="inlineStr">
        <is>
          <t>pav.q|all|gso</t>
        </is>
      </c>
      <c r="J843" s="3" t="inlineStr">
        <is>
          <t>pav.q.tot.gso</t>
        </is>
      </c>
    </row>
    <row r="844">
      <c r="A844" s="3" t="str">
        <f>$B844&amp;"|"&amp;$C844</f>
        <v>all|bio</v>
      </c>
      <c r="B844" s="3" t="inlineStr">
        <is>
          <t>all</t>
        </is>
      </c>
      <c r="C844" s="3" t="inlineStr">
        <is>
          <t>bio</t>
        </is>
      </c>
      <c r="D844" s="3" t="str">
        <f>IF($B844="",""," | "&amp;$E844&amp;" | "&amp;$F844)</f>
        <v> | All sectors | Biomass</v>
      </c>
      <c r="E844" s="3" t="str">
        <f>IFERROR(INDEX(SecLab,MATCH($B844,SecKey,0)),"")</f>
        <v>All sectors</v>
      </c>
      <c r="F844" s="3" t="str">
        <f>IFERROR(INDEX(FuelLab,MATCH($C844,FuelKeyL,0)),"")</f>
        <v>Biomass</v>
      </c>
      <c r="G844" s="3" t="inlineStr">
        <is>
          <t>.all.bio</t>
        </is>
      </c>
      <c r="I844" s="3" t="inlineStr">
        <is>
          <t>pav.q|all|die</t>
        </is>
      </c>
      <c r="J844" s="3" t="inlineStr">
        <is>
          <t>pav.q.tot.die</t>
        </is>
      </c>
    </row>
    <row r="845">
      <c r="A845" s="3" t="str">
        <f>$B845&amp;"|"&amp;$C845</f>
        <v>pow|all</v>
      </c>
      <c r="B845" s="3" t="inlineStr">
        <is>
          <t>pow</t>
        </is>
      </c>
      <c r="C845" s="3" t="inlineStr">
        <is>
          <t>all</t>
        </is>
      </c>
      <c r="D845" s="3" t="str">
        <f>IF($B845="",""," | "&amp;$E845&amp;" | "&amp;$F845)</f>
        <v> | Power | All fuels</v>
      </c>
      <c r="E845" s="3" t="str">
        <f>IFERROR(INDEX(SecLab,MATCH($B845,SecKey,0)),"")</f>
        <v>Power</v>
      </c>
      <c r="F845" s="3" t="str">
        <f>IFERROR(INDEX(FuelLab,MATCH($C845,FuelKeyL,0)),"")</f>
        <v>All fuels</v>
      </c>
      <c r="G845" s="3" t="inlineStr">
        <is>
          <t>.pow.all</t>
        </is>
      </c>
      <c r="I845" s="3" t="inlineStr">
        <is>
          <t>pav.q|all|lpg</t>
        </is>
      </c>
      <c r="J845" s="3" t="inlineStr">
        <is>
          <t>pav.q.tot.lpg</t>
        </is>
      </c>
    </row>
    <row r="846">
      <c r="A846" s="3" t="str">
        <f>$B846&amp;"|"&amp;$C846</f>
        <v>rod|all</v>
      </c>
      <c r="B846" s="3" t="inlineStr">
        <is>
          <t>rod</t>
        </is>
      </c>
      <c r="C846" s="3" t="inlineStr">
        <is>
          <t>all</t>
        </is>
      </c>
      <c r="D846" s="3" t="str">
        <f>IF($B846="",""," | "&amp;$E846&amp;" | "&amp;$F846)</f>
        <v> | Road | All fuels</v>
      </c>
      <c r="E846" s="3" t="str">
        <f>IFERROR(INDEX(SecLab,MATCH($B846,SecKey,0)),"")</f>
        <v>Road</v>
      </c>
      <c r="F846" s="3" t="str">
        <f>IFERROR(INDEX(FuelLab,MATCH($C846,FuelKeyL,0)),"")</f>
        <v>All fuels</v>
      </c>
      <c r="G846" s="3" t="inlineStr">
        <is>
          <t>.rod.all</t>
        </is>
      </c>
      <c r="I846" s="3" t="inlineStr">
        <is>
          <t>pav.q|all|ker</t>
        </is>
      </c>
      <c r="J846" s="3" t="inlineStr">
        <is>
          <t>pav.q.tot.ker</t>
        </is>
      </c>
    </row>
    <row r="847">
      <c r="A847" s="3" t="str">
        <f>$B847&amp;"|"&amp;$C847</f>
        <v>ral|all</v>
      </c>
      <c r="B847" s="3" t="inlineStr">
        <is>
          <t>ral</t>
        </is>
      </c>
      <c r="C847" s="3" t="inlineStr">
        <is>
          <t>all</t>
        </is>
      </c>
      <c r="D847" s="3" t="str">
        <f>IF($B847="",""," | "&amp;$E847&amp;" | "&amp;$F847)</f>
        <v> | Rail | All fuels</v>
      </c>
      <c r="E847" s="3" t="str">
        <f>IFERROR(INDEX(SecLab,MATCH($B847,SecKey,0)),"")</f>
        <v>Rail</v>
      </c>
      <c r="F847" s="3" t="str">
        <f>IFERROR(INDEX(FuelLab,MATCH($C847,FuelKeyL,0)),"")</f>
        <v>All fuels</v>
      </c>
      <c r="G847" s="3" t="inlineStr">
        <is>
          <t>.ral.all</t>
        </is>
      </c>
      <c r="I847" s="3" t="inlineStr">
        <is>
          <t>pav.q|all|jfu</t>
        </is>
      </c>
      <c r="J847" s="3" t="inlineStr">
        <is>
          <t>pav.q.tot.jfu</t>
        </is>
      </c>
    </row>
    <row r="848">
      <c r="A848" s="3" t="str">
        <f>$B848&amp;"|"&amp;$C848</f>
        <v>avi|all</v>
      </c>
      <c r="B848" s="3" t="inlineStr">
        <is>
          <t>avi</t>
        </is>
      </c>
      <c r="C848" s="3" t="inlineStr">
        <is>
          <t>all</t>
        </is>
      </c>
      <c r="D848" s="3" t="str">
        <f>IF($B848="",""," | "&amp;$E848&amp;" | "&amp;$F848)</f>
        <v> | Domestic aviation | All fuels</v>
      </c>
      <c r="E848" s="3" t="str">
        <f>IFERROR(INDEX(SecLab,MATCH($B848,SecKey,0)),"")</f>
        <v>Domestic aviation</v>
      </c>
      <c r="F848" s="3" t="str">
        <f>IFERROR(INDEX(FuelLab,MATCH($C848,FuelKeyL,0)),"")</f>
        <v>All fuels</v>
      </c>
      <c r="G848" s="3" t="inlineStr">
        <is>
          <t>.avi.all</t>
        </is>
      </c>
      <c r="I848" s="3" t="inlineStr">
        <is>
          <t>pav.q|all|oop</t>
        </is>
      </c>
      <c r="J848" s="3" t="inlineStr">
        <is>
          <t>pav.q.tot.oop</t>
        </is>
      </c>
    </row>
    <row r="849">
      <c r="A849" s="3" t="str">
        <f>$B849&amp;"|"&amp;$C849</f>
        <v>nav|all</v>
      </c>
      <c r="B849" s="3" t="inlineStr">
        <is>
          <t>nav</t>
        </is>
      </c>
      <c r="C849" s="3" t="inlineStr">
        <is>
          <t>all</t>
        </is>
      </c>
      <c r="D849" s="3" t="str">
        <f>IF($B849="",""," | "&amp;$E849&amp;" | "&amp;$F849)</f>
        <v> | Domestic navigation | All fuels</v>
      </c>
      <c r="E849" s="3" t="str">
        <f>IFERROR(INDEX(SecLab,MATCH($B849,SecKey,0)),"")</f>
        <v>Domestic navigation</v>
      </c>
      <c r="F849" s="3" t="str">
        <f>IFERROR(INDEX(FuelLab,MATCH($C849,FuelKeyL,0)),"")</f>
        <v>All fuels</v>
      </c>
      <c r="G849" s="3" t="inlineStr">
        <is>
          <t>.nav.all</t>
        </is>
      </c>
      <c r="I849" s="3" t="inlineStr">
        <is>
          <t>pav.q|all|bio</t>
        </is>
      </c>
      <c r="J849" s="3" t="inlineStr">
        <is>
          <t>pav.q.tot.bio</t>
        </is>
      </c>
    </row>
    <row r="850">
      <c r="A850" s="3" t="str">
        <f>$B850&amp;"|"&amp;$C850</f>
        <v>res|all</v>
      </c>
      <c r="B850" s="3" t="inlineStr">
        <is>
          <t>res</t>
        </is>
      </c>
      <c r="C850" s="3" t="inlineStr">
        <is>
          <t>all</t>
        </is>
      </c>
      <c r="D850" s="3" t="str">
        <f>IF($B850="",""," | "&amp;$E850&amp;" | "&amp;$F850)</f>
        <v> | Residential | All fuels</v>
      </c>
      <c r="E850" s="3" t="str">
        <f>IFERROR(INDEX(SecLab,MATCH($B850,SecKey,0)),"")</f>
        <v>Residential</v>
      </c>
      <c r="F850" s="3" t="str">
        <f>IFERROR(INDEX(FuelLab,MATCH($C850,FuelKeyL,0)),"")</f>
        <v>All fuels</v>
      </c>
      <c r="G850" s="3" t="inlineStr">
        <is>
          <t>.res.all</t>
        </is>
      </c>
      <c r="I850" s="3" t="inlineStr">
        <is>
          <t>pav.q|all|ecy</t>
        </is>
      </c>
      <c r="J850" s="3" t="inlineStr">
        <is>
          <t>pav.q.tot.ecy</t>
        </is>
      </c>
    </row>
    <row r="851">
      <c r="A851" s="3" t="str">
        <f>$B851&amp;"|"&amp;$C851</f>
        <v>foo|all</v>
      </c>
      <c r="B851" s="3" t="inlineStr">
        <is>
          <t>foo</t>
        </is>
      </c>
      <c r="C851" s="3" t="inlineStr">
        <is>
          <t>all</t>
        </is>
      </c>
      <c r="D851" s="3" t="str">
        <f>IF($B851="",""," | "&amp;$E851&amp;" | "&amp;$F851)</f>
        <v> | Food &amp; forestry | All fuels</v>
      </c>
      <c r="E851" s="3" t="str">
        <f>IFERROR(INDEX(SecLab,MATCH($B851,SecKey,0)),"")</f>
        <v>Food &amp; forestry</v>
      </c>
      <c r="F851" s="3" t="str">
        <f>IFERROR(INDEX(FuelLab,MATCH($C851,FuelKeyL,0)),"")</f>
        <v>All fuels</v>
      </c>
      <c r="G851" s="3" t="inlineStr">
        <is>
          <t>.foo.all</t>
        </is>
      </c>
      <c r="I851" s="3" t="inlineStr">
        <is>
          <t>pav.sp|all|all</t>
        </is>
      </c>
      <c r="J851" s="3" t="inlineStr">
        <is>
          <t>pav.sp.tot.tot</t>
        </is>
      </c>
    </row>
    <row r="852">
      <c r="A852" s="3" t="str">
        <f>$B852&amp;"|"&amp;$C852</f>
        <v>srv|all</v>
      </c>
      <c r="B852" s="3" t="inlineStr">
        <is>
          <t>srv</t>
        </is>
      </c>
      <c r="C852" s="3" t="inlineStr">
        <is>
          <t>all</t>
        </is>
      </c>
      <c r="D852" s="3" t="str">
        <f>IF($B852="",""," | "&amp;$E852&amp;" | "&amp;$F852)</f>
        <v> | Services (public &amp; private) | All fuels</v>
      </c>
      <c r="E852" s="3" t="str">
        <f>IFERROR(INDEX(SecLab,MATCH($B852,SecKey,0)),"")</f>
        <v>Services (public &amp; private)</v>
      </c>
      <c r="F852" s="3" t="str">
        <f>IFERROR(INDEX(FuelLab,MATCH($C852,FuelKeyL,0)),"")</f>
        <v>All fuels</v>
      </c>
      <c r="G852" s="3" t="inlineStr">
        <is>
          <t>.srv.all</t>
        </is>
      </c>
      <c r="I852" s="3" t="inlineStr">
        <is>
          <t>pav.q|all|all</t>
        </is>
      </c>
      <c r="J852" s="3" t="inlineStr">
        <is>
          <t>pav.q.tot.tot</t>
        </is>
      </c>
    </row>
    <row r="853">
      <c r="A853" s="3" t="str">
        <f>$B853&amp;"|"&amp;$C853</f>
        <v>mch|all</v>
      </c>
      <c r="B853" s="3" t="inlineStr">
        <is>
          <t>mch</t>
        </is>
      </c>
      <c r="C853" s="3" t="inlineStr">
        <is>
          <t>all</t>
        </is>
      </c>
      <c r="D853" s="3" t="str">
        <f>IF($B853="",""," | "&amp;$E853&amp;" | "&amp;$F853)</f>
        <v> | Mining &amp; chemicals | All fuels</v>
      </c>
      <c r="E853" s="3" t="str">
        <f>IFERROR(INDEX(SecLab,MATCH($B853,SecKey,0)),"")</f>
        <v>Mining &amp; chemicals</v>
      </c>
      <c r="F853" s="3" t="str">
        <f>IFERROR(INDEX(FuelLab,MATCH($C853,FuelKeyL,0)),"")</f>
        <v>All fuels</v>
      </c>
      <c r="G853" s="3" t="inlineStr">
        <is>
          <t>.mch.all</t>
        </is>
      </c>
      <c r="I853" s="3" t="inlineStr">
        <is>
          <t>pav.spr|all|all</t>
        </is>
      </c>
      <c r="J853" s="3" t="inlineStr">
        <is>
          <t>pav.spr.tot.tot</t>
        </is>
      </c>
    </row>
    <row r="854">
      <c r="A854" s="3" t="str">
        <f>$B854&amp;"|"&amp;$C854</f>
        <v>irn|all</v>
      </c>
      <c r="B854" s="3" t="inlineStr">
        <is>
          <t>irn</t>
        </is>
      </c>
      <c r="C854" s="3" t="inlineStr">
        <is>
          <t>all</t>
        </is>
      </c>
      <c r="D854" s="3" t="str">
        <f>IF($B854="",""," | "&amp;$E854&amp;" | "&amp;$F854)</f>
        <v> | Iron &amp; steel | All fuels</v>
      </c>
      <c r="E854" s="3" t="str">
        <f>IFERROR(INDEX(SecLab,MATCH($B854,SecKey,0)),"")</f>
        <v>Iron &amp; steel</v>
      </c>
      <c r="F854" s="3" t="str">
        <f>IFERROR(INDEX(FuelLab,MATCH($C854,FuelKeyL,0)),"")</f>
        <v>All fuels</v>
      </c>
      <c r="G854" s="3" t="inlineStr">
        <is>
          <t>.irn.all</t>
        </is>
      </c>
      <c r="I854" s="3" t="inlineStr">
        <is>
          <t>pav.sp0|all|all</t>
        </is>
      </c>
      <c r="J854" s="3" t="inlineStr">
        <is>
          <t>pav.sp0.tot.tot</t>
        </is>
      </c>
    </row>
    <row r="855">
      <c r="A855" s="3" t="str">
        <f>$B855&amp;"|"&amp;$C855</f>
        <v>nfm|all</v>
      </c>
      <c r="B855" s="3" t="inlineStr">
        <is>
          <t>nfm</t>
        </is>
      </c>
      <c r="C855" s="3" t="inlineStr">
        <is>
          <t>all</t>
        </is>
      </c>
      <c r="D855" s="3" t="str">
        <f>IF($B855="",""," | "&amp;$E855&amp;" | "&amp;$F855)</f>
        <v> | Other metals | All fuels</v>
      </c>
      <c r="E855" s="3" t="str">
        <f>IFERROR(INDEX(SecLab,MATCH($B855,SecKey,0)),"")</f>
        <v>Other metals</v>
      </c>
      <c r="F855" s="3" t="str">
        <f>IFERROR(INDEX(FuelLab,MATCH($C855,FuelKeyL,0)),"")</f>
        <v>All fuels</v>
      </c>
      <c r="G855" s="3" t="inlineStr">
        <is>
          <t>.nfm.all</t>
        </is>
      </c>
      <c r="I855" s="3" t="inlineStr">
        <is>
          <t>pavl.qr|all|coa</t>
        </is>
      </c>
      <c r="J855" s="3" t="inlineStr">
        <is>
          <t>pavl.qr.tot.coa</t>
        </is>
      </c>
    </row>
    <row r="856">
      <c r="A856" s="3" t="str">
        <f>$B856&amp;"|"&amp;$C856</f>
        <v>mac|all</v>
      </c>
      <c r="B856" s="3" t="inlineStr">
        <is>
          <t>mac</t>
        </is>
      </c>
      <c r="C856" s="3" t="inlineStr">
        <is>
          <t>all</t>
        </is>
      </c>
      <c r="D856" s="3" t="str">
        <f>IF($B856="",""," | "&amp;$E856&amp;" | "&amp;$F856)</f>
        <v> | Machinery | All fuels</v>
      </c>
      <c r="E856" s="3" t="str">
        <f>IFERROR(INDEX(SecLab,MATCH($B856,SecKey,0)),"")</f>
        <v>Machinery</v>
      </c>
      <c r="F856" s="3" t="str">
        <f>IFERROR(INDEX(FuelLab,MATCH($C856,FuelKeyL,0)),"")</f>
        <v>All fuels</v>
      </c>
      <c r="G856" s="3" t="inlineStr">
        <is>
          <t>.mac.all</t>
        </is>
      </c>
      <c r="I856" s="3" t="inlineStr">
        <is>
          <t>pavl.qi|all|coa</t>
        </is>
      </c>
      <c r="J856" s="3" t="inlineStr">
        <is>
          <t>pavl.qi.tot.coa</t>
        </is>
      </c>
    </row>
    <row r="857">
      <c r="A857" s="3" t="str">
        <f>$B857&amp;"|"&amp;$C857</f>
        <v>cem|all</v>
      </c>
      <c r="B857" s="3" t="inlineStr">
        <is>
          <t>cem</t>
        </is>
      </c>
      <c r="C857" s="3" t="inlineStr">
        <is>
          <t>all</t>
        </is>
      </c>
      <c r="D857" s="3" t="str">
        <f>IF($B857="",""," | "&amp;$E857&amp;" | "&amp;$F857)</f>
        <v> | Cement | All fuels</v>
      </c>
      <c r="E857" s="3" t="str">
        <f>IFERROR(INDEX(SecLab,MATCH($B857,SecKey,0)),"")</f>
        <v>Cement</v>
      </c>
      <c r="F857" s="3" t="str">
        <f>IFERROR(INDEX(FuelLab,MATCH($C857,FuelKeyL,0)),"")</f>
        <v>All fuels</v>
      </c>
      <c r="G857" s="3" t="inlineStr">
        <is>
          <t>.cem.all</t>
        </is>
      </c>
      <c r="I857" s="3" t="inlineStr">
        <is>
          <t>pavl.qp|all|coa</t>
        </is>
      </c>
      <c r="J857" s="3" t="inlineStr">
        <is>
          <t>pavl.qp.tot.coa</t>
        </is>
      </c>
    </row>
    <row r="858">
      <c r="A858" s="3" t="str">
        <f>$B858&amp;"|"&amp;$C858</f>
        <v>omn|all</v>
      </c>
      <c r="B858" s="3" t="inlineStr">
        <is>
          <t>omn</t>
        </is>
      </c>
      <c r="C858" s="3" t="inlineStr">
        <is>
          <t>all</t>
        </is>
      </c>
      <c r="D858" s="3" t="str">
        <f>IF($B858="",""," | "&amp;$E858&amp;" | "&amp;$F858)</f>
        <v> | Other manufacturing | All fuels</v>
      </c>
      <c r="E858" s="3" t="str">
        <f>IFERROR(INDEX(SecLab,MATCH($B858,SecKey,0)),"")</f>
        <v>Other manufacturing</v>
      </c>
      <c r="F858" s="3" t="str">
        <f>IFERROR(INDEX(FuelLab,MATCH($C858,FuelKeyL,0)),"")</f>
        <v>All fuels</v>
      </c>
      <c r="G858" s="3" t="inlineStr">
        <is>
          <t>.omn.all</t>
        </is>
      </c>
      <c r="I858" s="3" t="inlineStr">
        <is>
          <t>pavl.qr|all|nga</t>
        </is>
      </c>
      <c r="J858" s="3" t="inlineStr">
        <is>
          <t>pavl.qr.tot.nga</t>
        </is>
      </c>
    </row>
    <row r="859">
      <c r="A859" s="3" t="str">
        <f>$B859&amp;"|"&amp;$C859</f>
        <v>cst|all</v>
      </c>
      <c r="B859" s="3" t="inlineStr">
        <is>
          <t>cst</t>
        </is>
      </c>
      <c r="C859" s="3" t="inlineStr">
        <is>
          <t>all</t>
        </is>
      </c>
      <c r="D859" s="3" t="str">
        <f>IF($B859="",""," | "&amp;$E859&amp;" | "&amp;$F859)</f>
        <v> | Construction | All fuels</v>
      </c>
      <c r="E859" s="3" t="str">
        <f>IFERROR(INDEX(SecLab,MATCH($B859,SecKey,0)),"")</f>
        <v>Construction</v>
      </c>
      <c r="F859" s="3" t="str">
        <f>IFERROR(INDEX(FuelLab,MATCH($C859,FuelKeyL,0)),"")</f>
        <v>All fuels</v>
      </c>
      <c r="G859" s="3" t="inlineStr">
        <is>
          <t>.cst.all</t>
        </is>
      </c>
      <c r="I859" s="3" t="inlineStr">
        <is>
          <t>pavl.qi|all|nga</t>
        </is>
      </c>
      <c r="J859" s="3" t="inlineStr">
        <is>
          <t>pavl.qi.tot.nga</t>
        </is>
      </c>
    </row>
    <row r="860">
      <c r="A860" s="3" t="str">
        <f>$B860&amp;"|"&amp;$C860</f>
        <v>ftr|all</v>
      </c>
      <c r="B860" s="3" t="inlineStr">
        <is>
          <t>ftr</t>
        </is>
      </c>
      <c r="C860" s="3" t="inlineStr">
        <is>
          <t>all</t>
        </is>
      </c>
      <c r="D860" s="3" t="str">
        <f>IF($B860="",""," | "&amp;$E860&amp;" | "&amp;$F860)</f>
        <v> | Fuel transformation | All fuels</v>
      </c>
      <c r="E860" s="3" t="str">
        <f>IFERROR(INDEX(SecLab,MATCH($B860,SecKey,0)),"")</f>
        <v>Fuel transformation</v>
      </c>
      <c r="F860" s="3" t="str">
        <f>IFERROR(INDEX(FuelLab,MATCH($C860,FuelKeyL,0)),"")</f>
        <v>All fuels</v>
      </c>
      <c r="G860" s="3" t="inlineStr">
        <is>
          <t>.ftr.all</t>
        </is>
      </c>
      <c r="I860" s="3" t="inlineStr">
        <is>
          <t>pavl.qp|all|nga</t>
        </is>
      </c>
      <c r="J860" s="3" t="inlineStr">
        <is>
          <t>pavl.qp.tot.nga</t>
        </is>
      </c>
    </row>
    <row r="861">
      <c r="A861" s="3" t="str">
        <f>$B861&amp;"|"&amp;$C861</f>
        <v>oen|all</v>
      </c>
      <c r="B861" s="3" t="inlineStr">
        <is>
          <t>oen</t>
        </is>
      </c>
      <c r="C861" s="3" t="inlineStr">
        <is>
          <t>all</t>
        </is>
      </c>
      <c r="D861" s="3" t="str">
        <f>IF($B861="",""," | "&amp;$E861&amp;" | "&amp;$F861)</f>
        <v> | Other energy use | All fuels</v>
      </c>
      <c r="E861" s="3" t="str">
        <f>IFERROR(INDEX(SecLab,MATCH($B861,SecKey,0)),"")</f>
        <v>Other energy use</v>
      </c>
      <c r="F861" s="3" t="str">
        <f>IFERROR(INDEX(FuelLab,MATCH($C861,FuelKeyL,0)),"")</f>
        <v>All fuels</v>
      </c>
      <c r="G861" s="3" t="inlineStr">
        <is>
          <t>.oen.all</t>
        </is>
      </c>
      <c r="I861" s="3" t="inlineStr">
        <is>
          <t>ener|rod|all</t>
        </is>
      </c>
      <c r="J861" s="3" t="inlineStr">
        <is>
          <t>ener.rod.tot</t>
        </is>
      </c>
    </row>
    <row r="862">
      <c r="A862" s="3" t="str">
        <f>$B862&amp;"|"&amp;$C862</f>
        <v>pow|coa</v>
      </c>
      <c r="B862" s="3" t="inlineStr">
        <is>
          <t>pow</t>
        </is>
      </c>
      <c r="C862" s="3" t="inlineStr">
        <is>
          <t>coa</t>
        </is>
      </c>
      <c r="D862" s="3" t="str">
        <f>IF($B862="",""," | "&amp;$E862&amp;" | "&amp;$F862)</f>
        <v> | Power | Coal</v>
      </c>
      <c r="E862" s="3" t="str">
        <f>IFERROR(INDEX(SecLab,MATCH($B862,SecKey,0)),"")</f>
        <v>Power</v>
      </c>
      <c r="F862" s="3" t="str">
        <f>IFERROR(INDEX(FuelLab,MATCH($C862,FuelKeyL,0)),"")</f>
        <v>Coal</v>
      </c>
      <c r="G862" s="3" t="inlineStr">
        <is>
          <t>.pow.coa</t>
        </is>
      </c>
      <c r="I862" s="3" t="inlineStr">
        <is>
          <t>ch4|rod|coa</t>
        </is>
      </c>
      <c r="J862" s="3" t="inlineStr">
        <is>
          <t>em.rod.coa.ch4</t>
        </is>
      </c>
    </row>
    <row r="863">
      <c r="A863" s="3" t="str">
        <f>$B863&amp;"|"&amp;$C863</f>
        <v>res|coa</v>
      </c>
      <c r="B863" s="3" t="inlineStr">
        <is>
          <t>res</t>
        </is>
      </c>
      <c r="C863" s="3" t="inlineStr">
        <is>
          <t>coa</t>
        </is>
      </c>
      <c r="D863" s="3" t="str">
        <f>IF($B863="",""," | "&amp;$E863&amp;" | "&amp;$F863)</f>
        <v> | Residential | Coal</v>
      </c>
      <c r="E863" s="3" t="str">
        <f>IFERROR(INDEX(SecLab,MATCH($B863,SecKey,0)),"")</f>
        <v>Residential</v>
      </c>
      <c r="F863" s="3" t="str">
        <f>IFERROR(INDEX(FuelLab,MATCH($C863,FuelKeyL,0)),"")</f>
        <v>Coal</v>
      </c>
      <c r="G863" s="3" t="inlineStr">
        <is>
          <t>.res.coa</t>
        </is>
      </c>
      <c r="I863" s="3" t="inlineStr">
        <is>
          <t>ch4|rod|nga</t>
        </is>
      </c>
      <c r="J863" s="3" t="inlineStr">
        <is>
          <t>em.rod.nga.ch4</t>
        </is>
      </c>
    </row>
    <row r="864">
      <c r="A864" s="3" t="str">
        <f>$B864&amp;"|"&amp;$C864</f>
        <v>ind|coa</v>
      </c>
      <c r="B864" s="3" t="inlineStr">
        <is>
          <t>ind</t>
        </is>
      </c>
      <c r="C864" s="3" t="inlineStr">
        <is>
          <t>coa</t>
        </is>
      </c>
      <c r="D864" s="3" t="str">
        <f>IF($B864="",""," | "&amp;$E864&amp;" | "&amp;$F864)</f>
        <v> | Industry | Coal</v>
      </c>
      <c r="E864" s="3" t="str">
        <f>IFERROR(INDEX(SecLab,MATCH($B864,SecKey,0)),"")</f>
        <v>Industry</v>
      </c>
      <c r="F864" s="3" t="str">
        <f>IFERROR(INDEX(FuelLab,MATCH($C864,FuelKeyL,0)),"")</f>
        <v>Coal</v>
      </c>
      <c r="G864" s="3" t="inlineStr">
        <is>
          <t>.ind.coa</t>
        </is>
      </c>
      <c r="I864" s="3" t="inlineStr">
        <is>
          <t>ch4|rod|gso</t>
        </is>
      </c>
      <c r="J864" s="3" t="inlineStr">
        <is>
          <t>em.rod.gso.ch4</t>
        </is>
      </c>
    </row>
    <row r="865">
      <c r="A865" s="3" t="str">
        <f>$B865&amp;"|"&amp;$C865</f>
        <v>pow|nga</v>
      </c>
      <c r="B865" s="3" t="inlineStr">
        <is>
          <t>pow</t>
        </is>
      </c>
      <c r="C865" s="3" t="inlineStr">
        <is>
          <t>nga</t>
        </is>
      </c>
      <c r="D865" s="3" t="str">
        <f>IF($B865="",""," | "&amp;$E865&amp;" | "&amp;$F865)</f>
        <v> | Power | Natural gas</v>
      </c>
      <c r="E865" s="3" t="str">
        <f>IFERROR(INDEX(SecLab,MATCH($B865,SecKey,0)),"")</f>
        <v>Power</v>
      </c>
      <c r="F865" s="3" t="str">
        <f>IFERROR(INDEX(FuelLab,MATCH($C865,FuelKeyL,0)),"")</f>
        <v>Natural gas</v>
      </c>
      <c r="G865" s="3" t="inlineStr">
        <is>
          <t>.pow.nga</t>
        </is>
      </c>
      <c r="I865" s="3" t="inlineStr">
        <is>
          <t>ch4|rod|die</t>
        </is>
      </c>
      <c r="J865" s="3" t="inlineStr">
        <is>
          <t>em.rod.die.ch4</t>
        </is>
      </c>
    </row>
    <row r="866">
      <c r="A866" s="3" t="str">
        <f>$B866&amp;"|"&amp;$C866</f>
        <v>res|nga</v>
      </c>
      <c r="B866" s="3" t="inlineStr">
        <is>
          <t>res</t>
        </is>
      </c>
      <c r="C866" s="3" t="inlineStr">
        <is>
          <t>nga</t>
        </is>
      </c>
      <c r="D866" s="3" t="str">
        <f>IF($B866="",""," | "&amp;$E866&amp;" | "&amp;$F866)</f>
        <v> | Residential | Natural gas</v>
      </c>
      <c r="E866" s="3" t="str">
        <f>IFERROR(INDEX(SecLab,MATCH($B866,SecKey,0)),"")</f>
        <v>Residential</v>
      </c>
      <c r="F866" s="3" t="str">
        <f>IFERROR(INDEX(FuelLab,MATCH($C866,FuelKeyL,0)),"")</f>
        <v>Natural gas</v>
      </c>
      <c r="G866" s="3" t="inlineStr">
        <is>
          <t>.res.nga</t>
        </is>
      </c>
      <c r="I866" s="3" t="inlineStr">
        <is>
          <t>ch4|rod|lpg</t>
        </is>
      </c>
      <c r="J866" s="3" t="inlineStr">
        <is>
          <t>em.rod.lpg.ch4</t>
        </is>
      </c>
    </row>
    <row r="867">
      <c r="A867" s="3" t="str">
        <f>$B867&amp;"|"&amp;$C867</f>
        <v>ind|nga</v>
      </c>
      <c r="B867" s="3" t="inlineStr">
        <is>
          <t>ind</t>
        </is>
      </c>
      <c r="C867" s="3" t="inlineStr">
        <is>
          <t>nga</t>
        </is>
      </c>
      <c r="D867" s="3" t="str">
        <f>IF($B867="",""," | "&amp;$E867&amp;" | "&amp;$F867)</f>
        <v> | Industry | Natural gas</v>
      </c>
      <c r="E867" s="3" t="str">
        <f>IFERROR(INDEX(SecLab,MATCH($B867,SecKey,0)),"")</f>
        <v>Industry</v>
      </c>
      <c r="F867" s="3" t="str">
        <f>IFERROR(INDEX(FuelLab,MATCH($C867,FuelKeyL,0)),"")</f>
        <v>Natural gas</v>
      </c>
      <c r="G867" s="3" t="inlineStr">
        <is>
          <t>.ind.nga</t>
        </is>
      </c>
      <c r="I867" s="3" t="inlineStr">
        <is>
          <t>ch4|rod|ker</t>
        </is>
      </c>
      <c r="J867" s="3" t="inlineStr">
        <is>
          <t>em.rod.ker.ch4</t>
        </is>
      </c>
    </row>
    <row r="868">
      <c r="A868" s="3" t="str">
        <f>$B868&amp;"|"&amp;$C868</f>
        <v>res|ecy</v>
      </c>
      <c r="B868" s="3" t="inlineStr">
        <is>
          <t>res</t>
        </is>
      </c>
      <c r="C868" s="3" t="inlineStr">
        <is>
          <t>ecy</t>
        </is>
      </c>
      <c r="D868" s="3" t="str">
        <f>IF($B868="",""," | "&amp;$E868&amp;" | "&amp;$F868)</f>
        <v> | Residential | Electricity</v>
      </c>
      <c r="E868" s="3" t="str">
        <f>IFERROR(INDEX(SecLab,MATCH($B868,SecKey,0)),"")</f>
        <v>Residential</v>
      </c>
      <c r="F868" s="3" t="str">
        <f>IFERROR(INDEX(FuelLab,MATCH($C868,FuelKeyL,0)),"")</f>
        <v>Electricity</v>
      </c>
      <c r="G868" s="3" t="inlineStr">
        <is>
          <t>.res.ecy</t>
        </is>
      </c>
      <c r="I868" s="3" t="inlineStr">
        <is>
          <t>ch4|rod|jfu</t>
        </is>
      </c>
      <c r="J868" s="3" t="inlineStr">
        <is>
          <t>em.rod.jfu.ch4</t>
        </is>
      </c>
    </row>
    <row r="869">
      <c r="A869" s="3" t="str">
        <f>$B869&amp;"|"&amp;$C869</f>
        <v>ind|ecy</v>
      </c>
      <c r="B869" s="3" t="inlineStr">
        <is>
          <t>ind</t>
        </is>
      </c>
      <c r="C869" s="3" t="inlineStr">
        <is>
          <t>ecy</t>
        </is>
      </c>
      <c r="D869" s="3" t="str">
        <f>IF($B869="",""," | "&amp;$E869&amp;" | "&amp;$F869)</f>
        <v> | Industry | Electricity</v>
      </c>
      <c r="E869" s="3" t="str">
        <f>IFERROR(INDEX(SecLab,MATCH($B869,SecKey,0)),"")</f>
        <v>Industry</v>
      </c>
      <c r="F869" s="3" t="str">
        <f>IFERROR(INDEX(FuelLab,MATCH($C869,FuelKeyL,0)),"")</f>
        <v>Electricity</v>
      </c>
      <c r="G869" s="3" t="inlineStr">
        <is>
          <t>.ind.ecy</t>
        </is>
      </c>
      <c r="I869" s="3" t="inlineStr">
        <is>
          <t>ch4|rod|oop</t>
        </is>
      </c>
      <c r="J869" s="3" t="inlineStr">
        <is>
          <t>em.rod.oop.ch4</t>
        </is>
      </c>
    </row>
    <row r="870">
      <c r="A870" s="3" t="str">
        <f>$B870&amp;"|"&amp;$C870</f>
        <v>all|tgt</v>
      </c>
      <c r="B870" s="3" t="inlineStr">
        <is>
          <t>all</t>
        </is>
      </c>
      <c r="C870" s="3" t="inlineStr">
        <is>
          <t>tgt</t>
        </is>
      </c>
      <c r="D870" s="3" t="str">
        <f>IF($B870="",""," | "&amp;$E870&amp;" | "&amp;$F870)</f>
        <v> | All sectors | </v>
      </c>
      <c r="E870" s="3" t="str">
        <f>IFERROR(INDEX(SecLab,MATCH($B870,SecKey,0)),"")</f>
        <v>All sectors</v>
      </c>
      <c r="F870" s="3" t="str">
        <f>IFERROR(INDEX(FuelLab,MATCH($C870,FuelKeyL,0)),"")</f>
        <v/>
      </c>
      <c r="G870" s="3" t="inlineStr">
        <is>
          <t>.all.tgt</t>
        </is>
      </c>
      <c r="I870" s="3" t="inlineStr">
        <is>
          <t>ch4|rod|bio</t>
        </is>
      </c>
      <c r="J870" s="3" t="inlineStr">
        <is>
          <t>em.rod.bio.ch4</t>
        </is>
      </c>
    </row>
    <row r="871">
      <c r="A871" s="3" t="str">
        <f>$B871&amp;"|"&amp;$C871</f>
        <v>all|rkn</v>
      </c>
      <c r="B871" s="3" t="inlineStr">
        <is>
          <t>all</t>
        </is>
      </c>
      <c r="C871" s="3" t="inlineStr">
        <is>
          <t>rkn</t>
        </is>
      </c>
      <c r="D871" s="3" t="str">
        <f>IF($B871="",""," | "&amp;$E871&amp;" | "&amp;$F871)</f>
        <v> | All sectors | </v>
      </c>
      <c r="E871" s="3" t="str">
        <f>IFERROR(INDEX(SecLab,MATCH($B871,SecKey,0)),"")</f>
        <v>All sectors</v>
      </c>
      <c r="F871" s="3" t="str">
        <f>IFERROR(INDEX(FuelLab,MATCH($C871,FuelKeyL,0)),"")</f>
        <v/>
      </c>
      <c r="G871" s="3" t="inlineStr">
        <is>
          <t>.all.rkn</t>
        </is>
      </c>
      <c r="I871" s="3" t="inlineStr">
        <is>
          <t>ener|ral|all</t>
        </is>
      </c>
      <c r="J871" s="3" t="inlineStr">
        <is>
          <t>ener.ral.tot</t>
        </is>
      </c>
    </row>
    <row r="872">
      <c r="A872" s="3" t="str">
        <f>$B872&amp;"|"&amp;$C872</f>
        <v>all|rkg</v>
      </c>
      <c r="B872" s="3" t="inlineStr">
        <is>
          <t>all</t>
        </is>
      </c>
      <c r="C872" s="3" t="inlineStr">
        <is>
          <t>rkg</t>
        </is>
      </c>
      <c r="D872" s="3" t="str">
        <f>IF($B872="",""," | "&amp;$E872&amp;" | "&amp;$F872)</f>
        <v> | All sectors | </v>
      </c>
      <c r="E872" s="3" t="str">
        <f>IFERROR(INDEX(SecLab,MATCH($B872,SecKey,0)),"")</f>
        <v>All sectors</v>
      </c>
      <c r="F872" s="3" t="str">
        <f>IFERROR(INDEX(FuelLab,MATCH($C872,FuelKeyL,0)),"")</f>
        <v/>
      </c>
      <c r="G872" s="3" t="inlineStr">
        <is>
          <t>.all.rkg</t>
        </is>
      </c>
      <c r="I872" s="3" t="inlineStr">
        <is>
          <t>ch4|ral|coa</t>
        </is>
      </c>
      <c r="J872" s="3" t="inlineStr">
        <is>
          <t>em.ral.coa.ch4</t>
        </is>
      </c>
    </row>
    <row r="873">
      <c r="A873" s="3" t="str">
        <f>$B873&amp;"|"&amp;$C873</f>
        <v>all|man</v>
      </c>
      <c r="B873" s="3" t="inlineStr">
        <is>
          <t>all</t>
        </is>
      </c>
      <c r="C873" s="3" t="inlineStr">
        <is>
          <t>man</t>
        </is>
      </c>
      <c r="D873" s="3" t="str">
        <f>IF($B873="",""," | "&amp;$E873&amp;" | "&amp;$F873)</f>
        <v> | All sectors | </v>
      </c>
      <c r="E873" s="3" t="str">
        <f>IFERROR(INDEX(SecLab,MATCH($B873,SecKey,0)),"")</f>
        <v>All sectors</v>
      </c>
      <c r="F873" s="3" t="str">
        <f>IFERROR(INDEX(FuelLab,MATCH($C873,FuelKeyL,0)),"")</f>
        <v/>
      </c>
      <c r="G873" s="3" t="inlineStr">
        <is>
          <t>.all.man</t>
        </is>
      </c>
      <c r="I873" s="3" t="inlineStr">
        <is>
          <t>ch4|ral|nga</t>
        </is>
      </c>
      <c r="J873" s="3" t="inlineStr">
        <is>
          <t>em.ral.nga.ch4</t>
        </is>
      </c>
    </row>
    <row r="874">
      <c r="A874" s="3" t="str">
        <f>$B874&amp;"|"&amp;$C874</f>
        <v>all|epa</v>
      </c>
      <c r="B874" s="3" t="inlineStr">
        <is>
          <t>all</t>
        </is>
      </c>
      <c r="C874" s="3" t="inlineStr">
        <is>
          <t>epa</t>
        </is>
      </c>
      <c r="D874" s="3" t="str">
        <f>IF($B874="",""," | "&amp;$E874&amp;" | "&amp;$F874)</f>
        <v> | All sectors | </v>
      </c>
      <c r="E874" s="3" t="str">
        <f>IFERROR(INDEX(SecLab,MATCH($B874,SecKey,0)),"")</f>
        <v>All sectors</v>
      </c>
      <c r="F874" s="3" t="str">
        <f>IFERROR(INDEX(FuelLab,MATCH($C874,FuelKeyL,0)),"")</f>
        <v/>
      </c>
      <c r="G874" s="3" t="inlineStr">
        <is>
          <t>.all.epa</t>
        </is>
      </c>
      <c r="I874" s="3" t="inlineStr">
        <is>
          <t>ch4|ral|gso</t>
        </is>
      </c>
      <c r="J874" s="3" t="inlineStr">
        <is>
          <t>em.ral.gso.ch4</t>
        </is>
      </c>
    </row>
    <row r="875">
      <c r="A875" s="3" t="str">
        <f>$B875&amp;"|"&amp;$C875</f>
        <v>all|nat</v>
      </c>
      <c r="B875" s="3" t="inlineStr">
        <is>
          <t>all</t>
        </is>
      </c>
      <c r="C875" s="3" t="inlineStr">
        <is>
          <t>nat</t>
        </is>
      </c>
      <c r="D875" s="3" t="str">
        <f>IF($B875="",""," | "&amp;$E875&amp;" | "&amp;$F875)</f>
        <v> | All sectors | </v>
      </c>
      <c r="E875" s="3" t="str">
        <f>IFERROR(INDEX(SecLab,MATCH($B875,SecKey,0)),"")</f>
        <v>All sectors</v>
      </c>
      <c r="F875" s="3" t="str">
        <f>IFERROR(INDEX(FuelLab,MATCH($C875,FuelKeyL,0)),"")</f>
        <v/>
      </c>
      <c r="G875" s="3" t="inlineStr">
        <is>
          <t>.all.nat</t>
        </is>
      </c>
      <c r="I875" s="3" t="inlineStr">
        <is>
          <t>ch4|ral|die</t>
        </is>
      </c>
      <c r="J875" s="3" t="inlineStr">
        <is>
          <t>em.ral.die.ch4</t>
        </is>
      </c>
    </row>
    <row r="876">
      <c r="A876" s="3" t="str">
        <f>$B876&amp;"|"&amp;$C876</f>
        <v>all|glo</v>
      </c>
      <c r="B876" s="3" t="inlineStr">
        <is>
          <t>all</t>
        </is>
      </c>
      <c r="C876" s="3" t="inlineStr">
        <is>
          <t>glo</t>
        </is>
      </c>
      <c r="D876" s="3" t="str">
        <f>IF($B876="",""," | "&amp;$E876&amp;" | "&amp;$F876)</f>
        <v> | All sectors | </v>
      </c>
      <c r="E876" s="3" t="str">
        <f>IFERROR(INDEX(SecLab,MATCH($B876,SecKey,0)),"")</f>
        <v>All sectors</v>
      </c>
      <c r="F876" s="3" t="str">
        <f>IFERROR(INDEX(FuelLab,MATCH($C876,FuelKeyL,0)),"")</f>
        <v/>
      </c>
      <c r="G876" s="3" t="inlineStr">
        <is>
          <t>.all.glo</t>
        </is>
      </c>
      <c r="I876" s="3" t="inlineStr">
        <is>
          <t>ch4|ral|lpg</t>
        </is>
      </c>
      <c r="J876" s="3" t="inlineStr">
        <is>
          <t>em.ral.lpg.ch4</t>
        </is>
      </c>
    </row>
    <row r="877">
      <c r="A877" s="3" t="str">
        <f>$B877&amp;"|"&amp;$C877</f>
        <v>mch|coa</v>
      </c>
      <c r="B877" s="3" t="inlineStr">
        <is>
          <t>mch</t>
        </is>
      </c>
      <c r="C877" s="3" t="inlineStr">
        <is>
          <t>coa</t>
        </is>
      </c>
      <c r="D877" s="3" t="str">
        <f>IF($B877="",""," | "&amp;$E877&amp;" | "&amp;$F877)</f>
        <v> | Mining &amp; chemicals | Coal</v>
      </c>
      <c r="E877" s="3" t="str">
        <f>IFERROR(INDEX(SecLab,MATCH($B877,SecKey,0)),"")</f>
        <v>Mining &amp; chemicals</v>
      </c>
      <c r="F877" s="3" t="str">
        <f>IFERROR(INDEX(FuelLab,MATCH($C877,FuelKeyL,0)),"")</f>
        <v>Coal</v>
      </c>
      <c r="G877" s="3" t="inlineStr">
        <is>
          <t>.mch.coa</t>
        </is>
      </c>
      <c r="I877" s="3" t="inlineStr">
        <is>
          <t>ch4|ral|ker</t>
        </is>
      </c>
      <c r="J877" s="3" t="inlineStr">
        <is>
          <t>em.ral.ker.ch4</t>
        </is>
      </c>
    </row>
    <row r="878">
      <c r="A878" s="3" t="str">
        <f>$B878&amp;"|"&amp;$C878</f>
        <v>irn|coa</v>
      </c>
      <c r="B878" s="3" t="inlineStr">
        <is>
          <t>irn</t>
        </is>
      </c>
      <c r="C878" s="3" t="inlineStr">
        <is>
          <t>coa</t>
        </is>
      </c>
      <c r="D878" s="3" t="str">
        <f>IF($B878="",""," | "&amp;$E878&amp;" | "&amp;$F878)</f>
        <v> | Iron &amp; steel | Coal</v>
      </c>
      <c r="E878" s="3" t="str">
        <f>IFERROR(INDEX(SecLab,MATCH($B878,SecKey,0)),"")</f>
        <v>Iron &amp; steel</v>
      </c>
      <c r="F878" s="3" t="str">
        <f>IFERROR(INDEX(FuelLab,MATCH($C878,FuelKeyL,0)),"")</f>
        <v>Coal</v>
      </c>
      <c r="G878" s="3" t="inlineStr">
        <is>
          <t>.irn.coa</t>
        </is>
      </c>
      <c r="I878" s="3" t="inlineStr">
        <is>
          <t>ch4|ral|jfu</t>
        </is>
      </c>
      <c r="J878" s="3" t="inlineStr">
        <is>
          <t>em.ral.jfu.ch4</t>
        </is>
      </c>
    </row>
    <row r="879">
      <c r="A879" s="3" t="str">
        <f>$B879&amp;"|"&amp;$C879</f>
        <v>nfm|coa</v>
      </c>
      <c r="B879" s="3" t="inlineStr">
        <is>
          <t>nfm</t>
        </is>
      </c>
      <c r="C879" s="3" t="inlineStr">
        <is>
          <t>coa</t>
        </is>
      </c>
      <c r="D879" s="3" t="str">
        <f>IF($B879="",""," | "&amp;$E879&amp;" | "&amp;$F879)</f>
        <v> | Other metals | Coal</v>
      </c>
      <c r="E879" s="3" t="str">
        <f>IFERROR(INDEX(SecLab,MATCH($B879,SecKey,0)),"")</f>
        <v>Other metals</v>
      </c>
      <c r="F879" s="3" t="str">
        <f>IFERROR(INDEX(FuelLab,MATCH($C879,FuelKeyL,0)),"")</f>
        <v>Coal</v>
      </c>
      <c r="G879" s="3" t="inlineStr">
        <is>
          <t>.nfm.coa</t>
        </is>
      </c>
      <c r="I879" s="3" t="inlineStr">
        <is>
          <t>ch4|ral|oop</t>
        </is>
      </c>
      <c r="J879" s="3" t="inlineStr">
        <is>
          <t>em.ral.oop.ch4</t>
        </is>
      </c>
    </row>
    <row r="880">
      <c r="A880" s="3" t="str">
        <f>$B880&amp;"|"&amp;$C880</f>
        <v>mac|coa</v>
      </c>
      <c r="B880" s="3" t="inlineStr">
        <is>
          <t>mac</t>
        </is>
      </c>
      <c r="C880" s="3" t="inlineStr">
        <is>
          <t>coa</t>
        </is>
      </c>
      <c r="D880" s="3" t="str">
        <f>IF($B880="",""," | "&amp;$E880&amp;" | "&amp;$F880)</f>
        <v> | Machinery | Coal</v>
      </c>
      <c r="E880" s="3" t="str">
        <f>IFERROR(INDEX(SecLab,MATCH($B880,SecKey,0)),"")</f>
        <v>Machinery</v>
      </c>
      <c r="F880" s="3" t="str">
        <f>IFERROR(INDEX(FuelLab,MATCH($C880,FuelKeyL,0)),"")</f>
        <v>Coal</v>
      </c>
      <c r="G880" s="3" t="inlineStr">
        <is>
          <t>.mac.coa</t>
        </is>
      </c>
      <c r="I880" s="3" t="inlineStr">
        <is>
          <t>ch4|ral|bio</t>
        </is>
      </c>
      <c r="J880" s="3" t="inlineStr">
        <is>
          <t>em.ral.bio.ch4</t>
        </is>
      </c>
    </row>
    <row r="881">
      <c r="A881" s="3" t="str">
        <f>$B881&amp;"|"&amp;$C881</f>
        <v>cem|coa</v>
      </c>
      <c r="B881" s="3" t="inlineStr">
        <is>
          <t>cem</t>
        </is>
      </c>
      <c r="C881" s="3" t="inlineStr">
        <is>
          <t>coa</t>
        </is>
      </c>
      <c r="D881" s="3" t="str">
        <f>IF($B881="",""," | "&amp;$E881&amp;" | "&amp;$F881)</f>
        <v> | Cement | Coal</v>
      </c>
      <c r="E881" s="3" t="str">
        <f>IFERROR(INDEX(SecLab,MATCH($B881,SecKey,0)),"")</f>
        <v>Cement</v>
      </c>
      <c r="F881" s="3" t="str">
        <f>IFERROR(INDEX(FuelLab,MATCH($C881,FuelKeyL,0)),"")</f>
        <v>Coal</v>
      </c>
      <c r="G881" s="3" t="inlineStr">
        <is>
          <t>.cem.coa</t>
        </is>
      </c>
      <c r="I881" s="3" t="inlineStr">
        <is>
          <t>ener|avi|all</t>
        </is>
      </c>
      <c r="J881" s="3" t="inlineStr">
        <is>
          <t>ener.avi.tot</t>
        </is>
      </c>
    </row>
    <row r="882">
      <c r="A882" s="3" t="str">
        <f>$B882&amp;"|"&amp;$C882</f>
        <v>omn|coa</v>
      </c>
      <c r="B882" s="3" t="inlineStr">
        <is>
          <t>omn</t>
        </is>
      </c>
      <c r="C882" s="3" t="inlineStr">
        <is>
          <t>coa</t>
        </is>
      </c>
      <c r="D882" s="3" t="str">
        <f>IF($B882="",""," | "&amp;$E882&amp;" | "&amp;$F882)</f>
        <v> | Other manufacturing | Coal</v>
      </c>
      <c r="E882" s="3" t="str">
        <f>IFERROR(INDEX(SecLab,MATCH($B882,SecKey,0)),"")</f>
        <v>Other manufacturing</v>
      </c>
      <c r="F882" s="3" t="str">
        <f>IFERROR(INDEX(FuelLab,MATCH($C882,FuelKeyL,0)),"")</f>
        <v>Coal</v>
      </c>
      <c r="G882" s="3" t="inlineStr">
        <is>
          <t>.omn.coa</t>
        </is>
      </c>
      <c r="I882" s="3" t="inlineStr">
        <is>
          <t>ch4|avi|coa</t>
        </is>
      </c>
      <c r="J882" s="3" t="inlineStr">
        <is>
          <t>em.avi.coa.ch4</t>
        </is>
      </c>
    </row>
    <row r="883">
      <c r="A883" s="3" t="str">
        <f>$B883&amp;"|"&amp;$C883</f>
        <v>cst|coa</v>
      </c>
      <c r="B883" s="3" t="inlineStr">
        <is>
          <t>cst</t>
        </is>
      </c>
      <c r="C883" s="3" t="inlineStr">
        <is>
          <t>coa</t>
        </is>
      </c>
      <c r="D883" s="3" t="str">
        <f>IF($B883="",""," | "&amp;$E883&amp;" | "&amp;$F883)</f>
        <v> | Construction | Coal</v>
      </c>
      <c r="E883" s="3" t="str">
        <f>IFERROR(INDEX(SecLab,MATCH($B883,SecKey,0)),"")</f>
        <v>Construction</v>
      </c>
      <c r="F883" s="3" t="str">
        <f>IFERROR(INDEX(FuelLab,MATCH($C883,FuelKeyL,0)),"")</f>
        <v>Coal</v>
      </c>
      <c r="G883" s="3" t="inlineStr">
        <is>
          <t>.cst.coa</t>
        </is>
      </c>
      <c r="I883" s="3" t="inlineStr">
        <is>
          <t>ch4|avi|nga</t>
        </is>
      </c>
      <c r="J883" s="3" t="inlineStr">
        <is>
          <t>em.avi.nga.ch4</t>
        </is>
      </c>
    </row>
    <row r="884">
      <c r="A884" s="3" t="str">
        <f>$B884&amp;"|"&amp;$C884</f>
        <v>ftr|coa</v>
      </c>
      <c r="B884" s="3" t="inlineStr">
        <is>
          <t>ftr</t>
        </is>
      </c>
      <c r="C884" s="3" t="inlineStr">
        <is>
          <t>coa</t>
        </is>
      </c>
      <c r="D884" s="3" t="str">
        <f>IF($B884="",""," | "&amp;$E884&amp;" | "&amp;$F884)</f>
        <v> | Fuel transformation | Coal</v>
      </c>
      <c r="E884" s="3" t="str">
        <f>IFERROR(INDEX(SecLab,MATCH($B884,SecKey,0)),"")</f>
        <v>Fuel transformation</v>
      </c>
      <c r="F884" s="3" t="str">
        <f>IFERROR(INDEX(FuelLab,MATCH($C884,FuelKeyL,0)),"")</f>
        <v>Coal</v>
      </c>
      <c r="G884" s="3" t="inlineStr">
        <is>
          <t>.ftr.coa</t>
        </is>
      </c>
      <c r="I884" s="3" t="inlineStr">
        <is>
          <t>ch4|avi|gso</t>
        </is>
      </c>
      <c r="J884" s="3" t="inlineStr">
        <is>
          <t>em.avi.gso.ch4</t>
        </is>
      </c>
    </row>
    <row r="885">
      <c r="A885" s="3" t="str">
        <f>$B885&amp;"|"&amp;$C885</f>
        <v>foo|coa</v>
      </c>
      <c r="B885" s="3" t="inlineStr">
        <is>
          <t>foo</t>
        </is>
      </c>
      <c r="C885" s="3" t="inlineStr">
        <is>
          <t>coa</t>
        </is>
      </c>
      <c r="D885" s="3" t="str">
        <f>IF($B885="",""," | "&amp;$E885&amp;" | "&amp;$F885)</f>
        <v> | Food &amp; forestry | Coal</v>
      </c>
      <c r="E885" s="3" t="str">
        <f>IFERROR(INDEX(SecLab,MATCH($B885,SecKey,0)),"")</f>
        <v>Food &amp; forestry</v>
      </c>
      <c r="F885" s="3" t="str">
        <f>IFERROR(INDEX(FuelLab,MATCH($C885,FuelKeyL,0)),"")</f>
        <v>Coal</v>
      </c>
      <c r="G885" s="3" t="inlineStr">
        <is>
          <t>.foo.coa</t>
        </is>
      </c>
      <c r="I885" s="3" t="inlineStr">
        <is>
          <t>ch4|avi|die</t>
        </is>
      </c>
      <c r="J885" s="3" t="inlineStr">
        <is>
          <t>em.avi.die.ch4</t>
        </is>
      </c>
    </row>
    <row r="886">
      <c r="A886" s="3" t="str">
        <f>$B886&amp;"|"&amp;$C886</f>
        <v>srv|coa</v>
      </c>
      <c r="B886" s="3" t="inlineStr">
        <is>
          <t>srv</t>
        </is>
      </c>
      <c r="C886" s="3" t="inlineStr">
        <is>
          <t>coa</t>
        </is>
      </c>
      <c r="D886" s="3" t="str">
        <f>IF($B886="",""," | "&amp;$E886&amp;" | "&amp;$F886)</f>
        <v> | Services (public &amp; private) | Coal</v>
      </c>
      <c r="E886" s="3" t="str">
        <f>IFERROR(INDEX(SecLab,MATCH($B886,SecKey,0)),"")</f>
        <v>Services (public &amp; private)</v>
      </c>
      <c r="F886" s="3" t="str">
        <f>IFERROR(INDEX(FuelLab,MATCH($C886,FuelKeyL,0)),"")</f>
        <v>Coal</v>
      </c>
      <c r="G886" s="3" t="inlineStr">
        <is>
          <t>.srv.coa</t>
        </is>
      </c>
      <c r="I886" s="3" t="inlineStr">
        <is>
          <t>ch4|avi|lpg</t>
        </is>
      </c>
      <c r="J886" s="3" t="inlineStr">
        <is>
          <t>em.avi.lpg.ch4</t>
        </is>
      </c>
    </row>
    <row r="887">
      <c r="A887" s="3" t="str">
        <f>$B887&amp;"|"&amp;$C887</f>
        <v>mch|nga</v>
      </c>
      <c r="B887" s="3" t="inlineStr">
        <is>
          <t>mch</t>
        </is>
      </c>
      <c r="C887" s="3" t="inlineStr">
        <is>
          <t>nga</t>
        </is>
      </c>
      <c r="D887" s="3" t="str">
        <f>IF($B887="",""," | "&amp;$E887&amp;" | "&amp;$F887)</f>
        <v> | Mining &amp; chemicals | Natural gas</v>
      </c>
      <c r="E887" s="3" t="str">
        <f>IFERROR(INDEX(SecLab,MATCH($B887,SecKey,0)),"")</f>
        <v>Mining &amp; chemicals</v>
      </c>
      <c r="F887" s="3" t="str">
        <f>IFERROR(INDEX(FuelLab,MATCH($C887,FuelKeyL,0)),"")</f>
        <v>Natural gas</v>
      </c>
      <c r="G887" s="3" t="inlineStr">
        <is>
          <t>.mch.nga</t>
        </is>
      </c>
      <c r="I887" s="3" t="inlineStr">
        <is>
          <t>ch4|avi|ker</t>
        </is>
      </c>
      <c r="J887" s="3" t="inlineStr">
        <is>
          <t>em.avi.ker.ch4</t>
        </is>
      </c>
    </row>
    <row r="888">
      <c r="A888" s="3" t="str">
        <f>$B888&amp;"|"&amp;$C888</f>
        <v>irn|nga</v>
      </c>
      <c r="B888" s="3" t="inlineStr">
        <is>
          <t>irn</t>
        </is>
      </c>
      <c r="C888" s="3" t="inlineStr">
        <is>
          <t>nga</t>
        </is>
      </c>
      <c r="D888" s="3" t="str">
        <f>IF($B888="",""," | "&amp;$E888&amp;" | "&amp;$F888)</f>
        <v> | Iron &amp; steel | Natural gas</v>
      </c>
      <c r="E888" s="3" t="str">
        <f>IFERROR(INDEX(SecLab,MATCH($B888,SecKey,0)),"")</f>
        <v>Iron &amp; steel</v>
      </c>
      <c r="F888" s="3" t="str">
        <f>IFERROR(INDEX(FuelLab,MATCH($C888,FuelKeyL,0)),"")</f>
        <v>Natural gas</v>
      </c>
      <c r="G888" s="3" t="inlineStr">
        <is>
          <t>.irn.nga</t>
        </is>
      </c>
      <c r="I888" s="3" t="inlineStr">
        <is>
          <t>ch4|avi|jfu</t>
        </is>
      </c>
      <c r="J888" s="3" t="inlineStr">
        <is>
          <t>em.avi.jfu.ch4</t>
        </is>
      </c>
    </row>
    <row r="889">
      <c r="A889" s="3" t="str">
        <f>$B889&amp;"|"&amp;$C889</f>
        <v>nfm|nga</v>
      </c>
      <c r="B889" s="3" t="inlineStr">
        <is>
          <t>nfm</t>
        </is>
      </c>
      <c r="C889" s="3" t="inlineStr">
        <is>
          <t>nga</t>
        </is>
      </c>
      <c r="D889" s="3" t="str">
        <f>IF($B889="",""," | "&amp;$E889&amp;" | "&amp;$F889)</f>
        <v> | Other metals | Natural gas</v>
      </c>
      <c r="E889" s="3" t="str">
        <f>IFERROR(INDEX(SecLab,MATCH($B889,SecKey,0)),"")</f>
        <v>Other metals</v>
      </c>
      <c r="F889" s="3" t="str">
        <f>IFERROR(INDEX(FuelLab,MATCH($C889,FuelKeyL,0)),"")</f>
        <v>Natural gas</v>
      </c>
      <c r="G889" s="3" t="inlineStr">
        <is>
          <t>.nfm.nga</t>
        </is>
      </c>
      <c r="I889" s="3" t="inlineStr">
        <is>
          <t>ch4|avi|oop</t>
        </is>
      </c>
      <c r="J889" s="3" t="inlineStr">
        <is>
          <t>em.avi.oop.ch4</t>
        </is>
      </c>
    </row>
    <row r="890">
      <c r="A890" s="3" t="str">
        <f>$B890&amp;"|"&amp;$C890</f>
        <v>mac|nga</v>
      </c>
      <c r="B890" s="3" t="inlineStr">
        <is>
          <t>mac</t>
        </is>
      </c>
      <c r="C890" s="3" t="inlineStr">
        <is>
          <t>nga</t>
        </is>
      </c>
      <c r="D890" s="3" t="str">
        <f>IF($B890="",""," | "&amp;$E890&amp;" | "&amp;$F890)</f>
        <v> | Machinery | Natural gas</v>
      </c>
      <c r="E890" s="3" t="str">
        <f>IFERROR(INDEX(SecLab,MATCH($B890,SecKey,0)),"")</f>
        <v>Machinery</v>
      </c>
      <c r="F890" s="3" t="str">
        <f>IFERROR(INDEX(FuelLab,MATCH($C890,FuelKeyL,0)),"")</f>
        <v>Natural gas</v>
      </c>
      <c r="G890" s="3" t="inlineStr">
        <is>
          <t>.mac.nga</t>
        </is>
      </c>
      <c r="I890" s="3" t="inlineStr">
        <is>
          <t>ch4|avi|bio</t>
        </is>
      </c>
      <c r="J890" s="3" t="inlineStr">
        <is>
          <t>em.avi.bio.ch4</t>
        </is>
      </c>
    </row>
    <row r="891">
      <c r="A891" s="3" t="str">
        <f>$B891&amp;"|"&amp;$C891</f>
        <v>cem|nga</v>
      </c>
      <c r="B891" s="3" t="inlineStr">
        <is>
          <t>cem</t>
        </is>
      </c>
      <c r="C891" s="3" t="inlineStr">
        <is>
          <t>nga</t>
        </is>
      </c>
      <c r="D891" s="3" t="str">
        <f>IF($B891="",""," | "&amp;$E891&amp;" | "&amp;$F891)</f>
        <v> | Cement | Natural gas</v>
      </c>
      <c r="E891" s="3" t="str">
        <f>IFERROR(INDEX(SecLab,MATCH($B891,SecKey,0)),"")</f>
        <v>Cement</v>
      </c>
      <c r="F891" s="3" t="str">
        <f>IFERROR(INDEX(FuelLab,MATCH($C891,FuelKeyL,0)),"")</f>
        <v>Natural gas</v>
      </c>
      <c r="G891" s="3" t="inlineStr">
        <is>
          <t>.cem.nga</t>
        </is>
      </c>
      <c r="I891" s="3" t="inlineStr">
        <is>
          <t>ener|nav|all</t>
        </is>
      </c>
      <c r="J891" s="3" t="inlineStr">
        <is>
          <t>ener.nav.tot</t>
        </is>
      </c>
    </row>
    <row r="892">
      <c r="A892" s="3" t="str">
        <f>$B892&amp;"|"&amp;$C892</f>
        <v>omn|nga</v>
      </c>
      <c r="B892" s="3" t="inlineStr">
        <is>
          <t>omn</t>
        </is>
      </c>
      <c r="C892" s="3" t="inlineStr">
        <is>
          <t>nga</t>
        </is>
      </c>
      <c r="D892" s="3" t="str">
        <f>IF($B892="",""," | "&amp;$E892&amp;" | "&amp;$F892)</f>
        <v> | Other manufacturing | Natural gas</v>
      </c>
      <c r="E892" s="3" t="str">
        <f>IFERROR(INDEX(SecLab,MATCH($B892,SecKey,0)),"")</f>
        <v>Other manufacturing</v>
      </c>
      <c r="F892" s="3" t="str">
        <f>IFERROR(INDEX(FuelLab,MATCH($C892,FuelKeyL,0)),"")</f>
        <v>Natural gas</v>
      </c>
      <c r="G892" s="3" t="inlineStr">
        <is>
          <t>.omn.nga</t>
        </is>
      </c>
      <c r="I892" s="3" t="inlineStr">
        <is>
          <t>ch4|nav|coa</t>
        </is>
      </c>
      <c r="J892" s="3" t="inlineStr">
        <is>
          <t>em.nav.coa.ch4</t>
        </is>
      </c>
    </row>
    <row r="893">
      <c r="A893" s="3" t="str">
        <f>$B893&amp;"|"&amp;$C893</f>
        <v>cst|nga</v>
      </c>
      <c r="B893" s="3" t="inlineStr">
        <is>
          <t>cst</t>
        </is>
      </c>
      <c r="C893" s="3" t="inlineStr">
        <is>
          <t>nga</t>
        </is>
      </c>
      <c r="D893" s="3" t="str">
        <f>IF($B893="",""," | "&amp;$E893&amp;" | "&amp;$F893)</f>
        <v> | Construction | Natural gas</v>
      </c>
      <c r="E893" s="3" t="str">
        <f>IFERROR(INDEX(SecLab,MATCH($B893,SecKey,0)),"")</f>
        <v>Construction</v>
      </c>
      <c r="F893" s="3" t="str">
        <f>IFERROR(INDEX(FuelLab,MATCH($C893,FuelKeyL,0)),"")</f>
        <v>Natural gas</v>
      </c>
      <c r="G893" s="3" t="inlineStr">
        <is>
          <t>.cst.nga</t>
        </is>
      </c>
      <c r="I893" s="3" t="inlineStr">
        <is>
          <t>ch4|nav|nga</t>
        </is>
      </c>
      <c r="J893" s="3" t="inlineStr">
        <is>
          <t>em.nav.nga.ch4</t>
        </is>
      </c>
    </row>
    <row r="894">
      <c r="A894" s="3" t="str">
        <f>$B894&amp;"|"&amp;$C894</f>
        <v>ftr|nga</v>
      </c>
      <c r="B894" s="3" t="inlineStr">
        <is>
          <t>ftr</t>
        </is>
      </c>
      <c r="C894" s="3" t="inlineStr">
        <is>
          <t>nga</t>
        </is>
      </c>
      <c r="D894" s="3" t="str">
        <f>IF($B894="",""," | "&amp;$E894&amp;" | "&amp;$F894)</f>
        <v> | Fuel transformation | Natural gas</v>
      </c>
      <c r="E894" s="3" t="str">
        <f>IFERROR(INDEX(SecLab,MATCH($B894,SecKey,0)),"")</f>
        <v>Fuel transformation</v>
      </c>
      <c r="F894" s="3" t="str">
        <f>IFERROR(INDEX(FuelLab,MATCH($C894,FuelKeyL,0)),"")</f>
        <v>Natural gas</v>
      </c>
      <c r="G894" s="3" t="inlineStr">
        <is>
          <t>.ftr.nga</t>
        </is>
      </c>
      <c r="I894" s="3" t="inlineStr">
        <is>
          <t>ch4|nav|gso</t>
        </is>
      </c>
      <c r="J894" s="3" t="inlineStr">
        <is>
          <t>em.nav.gso.ch4</t>
        </is>
      </c>
    </row>
    <row r="895">
      <c r="A895" s="3" t="str">
        <f>$B895&amp;"|"&amp;$C895</f>
        <v>foo|nga</v>
      </c>
      <c r="B895" s="3" t="inlineStr">
        <is>
          <t>foo</t>
        </is>
      </c>
      <c r="C895" s="3" t="inlineStr">
        <is>
          <t>nga</t>
        </is>
      </c>
      <c r="D895" s="3" t="str">
        <f>IF($B895="",""," | "&amp;$E895&amp;" | "&amp;$F895)</f>
        <v> | Food &amp; forestry | Natural gas</v>
      </c>
      <c r="E895" s="3" t="str">
        <f>IFERROR(INDEX(SecLab,MATCH($B895,SecKey,0)),"")</f>
        <v>Food &amp; forestry</v>
      </c>
      <c r="F895" s="3" t="str">
        <f>IFERROR(INDEX(FuelLab,MATCH($C895,FuelKeyL,0)),"")</f>
        <v>Natural gas</v>
      </c>
      <c r="G895" s="3" t="inlineStr">
        <is>
          <t>.foo.nga</t>
        </is>
      </c>
      <c r="I895" s="3" t="inlineStr">
        <is>
          <t>ch4|nav|die</t>
        </is>
      </c>
      <c r="J895" s="3" t="inlineStr">
        <is>
          <t>em.nav.die.ch4</t>
        </is>
      </c>
    </row>
    <row r="896">
      <c r="A896" s="3" t="str">
        <f>$B896&amp;"|"&amp;$C896</f>
        <v>srv|nga</v>
      </c>
      <c r="B896" s="3" t="inlineStr">
        <is>
          <t>srv</t>
        </is>
      </c>
      <c r="C896" s="3" t="inlineStr">
        <is>
          <t>nga</t>
        </is>
      </c>
      <c r="D896" s="3" t="str">
        <f>IF($B896="",""," | "&amp;$E896&amp;" | "&amp;$F896)</f>
        <v> | Services (public &amp; private) | Natural gas</v>
      </c>
      <c r="E896" s="3" t="str">
        <f>IFERROR(INDEX(SecLab,MATCH($B896,SecKey,0)),"")</f>
        <v>Services (public &amp; private)</v>
      </c>
      <c r="F896" s="3" t="str">
        <f>IFERROR(INDEX(FuelLab,MATCH($C896,FuelKeyL,0)),"")</f>
        <v>Natural gas</v>
      </c>
      <c r="G896" s="3" t="inlineStr">
        <is>
          <t>.srv.nga</t>
        </is>
      </c>
      <c r="I896" s="3" t="inlineStr">
        <is>
          <t>ch4|nav|lpg</t>
        </is>
      </c>
      <c r="J896" s="3" t="inlineStr">
        <is>
          <t>em.nav.lpg.ch4</t>
        </is>
      </c>
    </row>
    <row r="897">
      <c r="A897" s="3" t="str">
        <f>$B897&amp;"|"&amp;$C897</f>
        <v>rod|gso</v>
      </c>
      <c r="B897" s="3" t="inlineStr">
        <is>
          <t>rod</t>
        </is>
      </c>
      <c r="C897" s="3" t="inlineStr">
        <is>
          <t>gso</t>
        </is>
      </c>
      <c r="D897" s="3" t="str">
        <f>IF($B897="",""," | "&amp;$E897&amp;" | "&amp;$F897)</f>
        <v> | Road | Gasoline</v>
      </c>
      <c r="E897" s="3" t="str">
        <f>IFERROR(INDEX(SecLab,MATCH($B897,SecKey,0)),"")</f>
        <v>Road</v>
      </c>
      <c r="F897" s="3" t="str">
        <f>IFERROR(INDEX(FuelLab,MATCH($C897,FuelKeyL,0)),"")</f>
        <v>Gasoline</v>
      </c>
      <c r="G897" s="3" t="inlineStr">
        <is>
          <t>.rod.gso</t>
        </is>
      </c>
      <c r="I897" s="3" t="inlineStr">
        <is>
          <t>ch4|nav|ker</t>
        </is>
      </c>
      <c r="J897" s="3" t="inlineStr">
        <is>
          <t>em.nav.ker.ch4</t>
        </is>
      </c>
    </row>
    <row r="898">
      <c r="A898" s="3" t="str">
        <f>$B898&amp;"|"&amp;$C898</f>
        <v>ral|gso</v>
      </c>
      <c r="B898" s="3" t="inlineStr">
        <is>
          <t>ral</t>
        </is>
      </c>
      <c r="C898" s="3" t="inlineStr">
        <is>
          <t>gso</t>
        </is>
      </c>
      <c r="D898" s="3" t="str">
        <f>IF($B898="",""," | "&amp;$E898&amp;" | "&amp;$F898)</f>
        <v> | Rail | Gasoline</v>
      </c>
      <c r="E898" s="3" t="str">
        <f>IFERROR(INDEX(SecLab,MATCH($B898,SecKey,0)),"")</f>
        <v>Rail</v>
      </c>
      <c r="F898" s="3" t="str">
        <f>IFERROR(INDEX(FuelLab,MATCH($C898,FuelKeyL,0)),"")</f>
        <v>Gasoline</v>
      </c>
      <c r="G898" s="3" t="inlineStr">
        <is>
          <t>.ral.gso</t>
        </is>
      </c>
      <c r="I898" s="3" t="inlineStr">
        <is>
          <t>ch4|nav|jfu</t>
        </is>
      </c>
      <c r="J898" s="3" t="inlineStr">
        <is>
          <t>em.nav.jfu.ch4</t>
        </is>
      </c>
    </row>
    <row r="899">
      <c r="A899" s="3" t="str">
        <f>$B899&amp;"|"&amp;$C899</f>
        <v>avi|gso</v>
      </c>
      <c r="B899" s="3" t="inlineStr">
        <is>
          <t>avi</t>
        </is>
      </c>
      <c r="C899" s="3" t="inlineStr">
        <is>
          <t>gso</t>
        </is>
      </c>
      <c r="D899" s="3" t="str">
        <f>IF($B899="",""," | "&amp;$E899&amp;" | "&amp;$F899)</f>
        <v> | Domestic aviation | Gasoline</v>
      </c>
      <c r="E899" s="3" t="str">
        <f>IFERROR(INDEX(SecLab,MATCH($B899,SecKey,0)),"")</f>
        <v>Domestic aviation</v>
      </c>
      <c r="F899" s="3" t="str">
        <f>IFERROR(INDEX(FuelLab,MATCH($C899,FuelKeyL,0)),"")</f>
        <v>Gasoline</v>
      </c>
      <c r="G899" s="3" t="inlineStr">
        <is>
          <t>.avi.gso</t>
        </is>
      </c>
      <c r="I899" s="3" t="inlineStr">
        <is>
          <t>ch4|nav|oop</t>
        </is>
      </c>
      <c r="J899" s="3" t="inlineStr">
        <is>
          <t>em.nav.oop.ch4</t>
        </is>
      </c>
    </row>
    <row r="900">
      <c r="A900" s="3" t="str">
        <f>$B900&amp;"|"&amp;$C900</f>
        <v>nav|gso</v>
      </c>
      <c r="B900" s="3" t="inlineStr">
        <is>
          <t>nav</t>
        </is>
      </c>
      <c r="C900" s="3" t="inlineStr">
        <is>
          <t>gso</t>
        </is>
      </c>
      <c r="D900" s="3" t="str">
        <f>IF($B900="",""," | "&amp;$E900&amp;" | "&amp;$F900)</f>
        <v> | Domestic navigation | Gasoline</v>
      </c>
      <c r="E900" s="3" t="str">
        <f>IFERROR(INDEX(SecLab,MATCH($B900,SecKey,0)),"")</f>
        <v>Domestic navigation</v>
      </c>
      <c r="F900" s="3" t="str">
        <f>IFERROR(INDEX(FuelLab,MATCH($C900,FuelKeyL,0)),"")</f>
        <v>Gasoline</v>
      </c>
      <c r="G900" s="3" t="inlineStr">
        <is>
          <t>.nav.gso</t>
        </is>
      </c>
      <c r="I900" s="3" t="inlineStr">
        <is>
          <t>ch4|nav|bio</t>
        </is>
      </c>
      <c r="J900" s="3" t="inlineStr">
        <is>
          <t>em.nav.bio.ch4</t>
        </is>
      </c>
    </row>
    <row r="901">
      <c r="A901" s="3" t="str">
        <f>$B901&amp;"|"&amp;$C901</f>
        <v>res|gso</v>
      </c>
      <c r="B901" s="3" t="inlineStr">
        <is>
          <t>res</t>
        </is>
      </c>
      <c r="C901" s="3" t="inlineStr">
        <is>
          <t>gso</t>
        </is>
      </c>
      <c r="D901" s="3" t="str">
        <f>IF($B901="",""," | "&amp;$E901&amp;" | "&amp;$F901)</f>
        <v> | Residential | Gasoline</v>
      </c>
      <c r="E901" s="3" t="str">
        <f>IFERROR(INDEX(SecLab,MATCH($B901,SecKey,0)),"")</f>
        <v>Residential</v>
      </c>
      <c r="F901" s="3" t="str">
        <f>IFERROR(INDEX(FuelLab,MATCH($C901,FuelKeyL,0)),"")</f>
        <v>Gasoline</v>
      </c>
      <c r="G901" s="3" t="inlineStr">
        <is>
          <t>.res.gso</t>
        </is>
      </c>
      <c r="I901" s="3" t="inlineStr">
        <is>
          <t>ener|tra|all</t>
        </is>
      </c>
      <c r="J901" s="3" t="inlineStr">
        <is>
          <t>ener.tra.tot</t>
        </is>
      </c>
    </row>
    <row r="902">
      <c r="A902" s="3" t="str">
        <f>$B902&amp;"|"&amp;$C902</f>
        <v>foo|gso</v>
      </c>
      <c r="B902" s="3" t="inlineStr">
        <is>
          <t>foo</t>
        </is>
      </c>
      <c r="C902" s="3" t="inlineStr">
        <is>
          <t>gso</t>
        </is>
      </c>
      <c r="D902" s="3" t="str">
        <f>IF($B902="",""," | "&amp;$E902&amp;" | "&amp;$F902)</f>
        <v> | Food &amp; forestry | Gasoline</v>
      </c>
      <c r="E902" s="3" t="str">
        <f>IFERROR(INDEX(SecLab,MATCH($B902,SecKey,0)),"")</f>
        <v>Food &amp; forestry</v>
      </c>
      <c r="F902" s="3" t="str">
        <f>IFERROR(INDEX(FuelLab,MATCH($C902,FuelKeyL,0)),"")</f>
        <v>Gasoline</v>
      </c>
      <c r="G902" s="3" t="inlineStr">
        <is>
          <t>.foo.gso</t>
        </is>
      </c>
      <c r="I902" s="3" t="inlineStr">
        <is>
          <t>trstt|pas|all</t>
        </is>
      </c>
      <c r="J902" s="3" t="inlineStr">
        <is>
          <t>trstt.pas.tot</t>
        </is>
      </c>
    </row>
    <row r="903">
      <c r="A903" s="3" t="str">
        <f>$B903&amp;"|"&amp;$C903</f>
        <v>srv|gso</v>
      </c>
      <c r="B903" s="3" t="inlineStr">
        <is>
          <t>srv</t>
        </is>
      </c>
      <c r="C903" s="3" t="inlineStr">
        <is>
          <t>gso</t>
        </is>
      </c>
      <c r="D903" s="3" t="str">
        <f>IF($B903="",""," | "&amp;$E903&amp;" | "&amp;$F903)</f>
        <v> | Services (public &amp; private) | Gasoline</v>
      </c>
      <c r="E903" s="3" t="str">
        <f>IFERROR(INDEX(SecLab,MATCH($B903,SecKey,0)),"")</f>
        <v>Services (public &amp; private)</v>
      </c>
      <c r="F903" s="3" t="str">
        <f>IFERROR(INDEX(FuelLab,MATCH($C903,FuelKeyL,0)),"")</f>
        <v>Gasoline</v>
      </c>
      <c r="G903" s="3" t="inlineStr">
        <is>
          <t>.srv.gso</t>
        </is>
      </c>
      <c r="I903" s="3" t="inlineStr">
        <is>
          <t>trevst|pas|ev</t>
        </is>
      </c>
      <c r="J903" s="3" t="inlineStr">
        <is>
          <t>stockcalc.ev.pass</t>
        </is>
      </c>
    </row>
    <row r="904">
      <c r="A904" s="3" t="str">
        <f>$B904&amp;"|"&amp;$C904</f>
        <v>mch|gso</v>
      </c>
      <c r="B904" s="3" t="inlineStr">
        <is>
          <t>mch</t>
        </is>
      </c>
      <c r="C904" s="3" t="inlineStr">
        <is>
          <t>gso</t>
        </is>
      </c>
      <c r="D904" s="3" t="str">
        <f>IF($B904="",""," | "&amp;$E904&amp;" | "&amp;$F904)</f>
        <v> | Mining &amp; chemicals | Gasoline</v>
      </c>
      <c r="E904" s="3" t="str">
        <f>IFERROR(INDEX(SecLab,MATCH($B904,SecKey,0)),"")</f>
        <v>Mining &amp; chemicals</v>
      </c>
      <c r="F904" s="3" t="str">
        <f>IFERROR(INDEX(FuelLab,MATCH($C904,FuelKeyL,0)),"")</f>
        <v>Gasoline</v>
      </c>
      <c r="G904" s="3" t="inlineStr">
        <is>
          <t>.mch.gso</t>
        </is>
      </c>
      <c r="I904" s="3" t="inlineStr">
        <is>
          <t>trevsf|fre|bev</t>
        </is>
      </c>
      <c r="J904" s="3" t="inlineStr">
        <is>
          <t>stockcalc.bev.fre</t>
        </is>
      </c>
    </row>
    <row r="905">
      <c r="A905" s="3" t="str">
        <f>$B905&amp;"|"&amp;$C905</f>
        <v>irn|gso</v>
      </c>
      <c r="B905" s="3" t="inlineStr">
        <is>
          <t>irn</t>
        </is>
      </c>
      <c r="C905" s="3" t="inlineStr">
        <is>
          <t>gso</t>
        </is>
      </c>
      <c r="D905" s="3" t="str">
        <f>IF($B905="",""," | "&amp;$E905&amp;" | "&amp;$F905)</f>
        <v> | Iron &amp; steel | Gasoline</v>
      </c>
      <c r="E905" s="3" t="str">
        <f>IFERROR(INDEX(SecLab,MATCH($B905,SecKey,0)),"")</f>
        <v>Iron &amp; steel</v>
      </c>
      <c r="F905" s="3" t="str">
        <f>IFERROR(INDEX(FuelLab,MATCH($C905,FuelKeyL,0)),"")</f>
        <v>Gasoline</v>
      </c>
      <c r="G905" s="3" t="inlineStr">
        <is>
          <t>.irn.gso</t>
        </is>
      </c>
      <c r="I905" s="3" t="inlineStr">
        <is>
          <t>trevsc|cyc|bev</t>
        </is>
      </c>
      <c r="J905" s="3" t="inlineStr">
        <is>
          <t>stockcalc.bev.motor</t>
        </is>
      </c>
    </row>
    <row r="906">
      <c r="A906" s="3" t="str">
        <f>$B906&amp;"|"&amp;$C906</f>
        <v>nfm|gso</v>
      </c>
      <c r="B906" s="3" t="inlineStr">
        <is>
          <t>nfm</t>
        </is>
      </c>
      <c r="C906" s="3" t="inlineStr">
        <is>
          <t>gso</t>
        </is>
      </c>
      <c r="D906" s="3" t="str">
        <f>IF($B906="",""," | "&amp;$E906&amp;" | "&amp;$F906)</f>
        <v> | Other metals | Gasoline</v>
      </c>
      <c r="E906" s="3" t="str">
        <f>IFERROR(INDEX(SecLab,MATCH($B906,SecKey,0)),"")</f>
        <v>Other metals</v>
      </c>
      <c r="F906" s="3" t="str">
        <f>IFERROR(INDEX(FuelLab,MATCH($C906,FuelKeyL,0)),"")</f>
        <v>Gasoline</v>
      </c>
      <c r="G906" s="3" t="inlineStr">
        <is>
          <t>.nfm.gso</t>
        </is>
      </c>
      <c r="I906" s="3" t="inlineStr">
        <is>
          <t>trafts|pas|all</t>
        </is>
      </c>
      <c r="J906" s="3" t="inlineStr">
        <is>
          <t>trafts.pas.tot</t>
        </is>
      </c>
    </row>
    <row r="907">
      <c r="A907" s="3" t="str">
        <f>$B907&amp;"|"&amp;$C907</f>
        <v>mac|gso</v>
      </c>
      <c r="B907" s="3" t="inlineStr">
        <is>
          <t>mac</t>
        </is>
      </c>
      <c r="C907" s="3" t="inlineStr">
        <is>
          <t>gso</t>
        </is>
      </c>
      <c r="D907" s="3" t="str">
        <f>IF($B907="",""," | "&amp;$E907&amp;" | "&amp;$F907)</f>
        <v> | Machinery | Gasoline</v>
      </c>
      <c r="E907" s="3" t="str">
        <f>IFERROR(INDEX(SecLab,MATCH($B907,SecKey,0)),"")</f>
        <v>Machinery</v>
      </c>
      <c r="F907" s="3" t="str">
        <f>IFERROR(INDEX(FuelLab,MATCH($C907,FuelKeyL,0)),"")</f>
        <v>Gasoline</v>
      </c>
      <c r="G907" s="3" t="inlineStr">
        <is>
          <t>.mac.gso</t>
        </is>
      </c>
      <c r="I907" s="3" t="inlineStr">
        <is>
          <t>traftsf|fre|all</t>
        </is>
      </c>
      <c r="J907" s="3" t="inlineStr">
        <is>
          <t>traftsf.fre.tot</t>
        </is>
      </c>
    </row>
    <row r="908">
      <c r="A908" s="3" t="str">
        <f>$B908&amp;"|"&amp;$C908</f>
        <v>cem|gso</v>
      </c>
      <c r="B908" s="3" t="inlineStr">
        <is>
          <t>cem</t>
        </is>
      </c>
      <c r="C908" s="3" t="inlineStr">
        <is>
          <t>gso</t>
        </is>
      </c>
      <c r="D908" s="3" t="str">
        <f>IF($B908="",""," | "&amp;$E908&amp;" | "&amp;$F908)</f>
        <v> | Cement | Gasoline</v>
      </c>
      <c r="E908" s="3" t="str">
        <f>IFERROR(INDEX(SecLab,MATCH($B908,SecKey,0)),"")</f>
        <v>Cement</v>
      </c>
      <c r="F908" s="3" t="str">
        <f>IFERROR(INDEX(FuelLab,MATCH($C908,FuelKeyL,0)),"")</f>
        <v>Gasoline</v>
      </c>
      <c r="G908" s="3" t="inlineStr">
        <is>
          <t>.cem.gso</t>
        </is>
      </c>
      <c r="I908" s="3" t="inlineStr">
        <is>
          <t>traftsc|cyc|all</t>
        </is>
      </c>
      <c r="J908" s="3" t="inlineStr">
        <is>
          <t>traftsc.cyc.tot</t>
        </is>
      </c>
    </row>
    <row r="909">
      <c r="A909" s="3" t="str">
        <f>$B909&amp;"|"&amp;$C909</f>
        <v>omn|gso</v>
      </c>
      <c r="B909" s="3" t="inlineStr">
        <is>
          <t>omn</t>
        </is>
      </c>
      <c r="C909" s="3" t="inlineStr">
        <is>
          <t>gso</t>
        </is>
      </c>
      <c r="D909" s="3" t="str">
        <f>IF($B909="",""," | "&amp;$E909&amp;" | "&amp;$F909)</f>
        <v> | Other manufacturing | Gasoline</v>
      </c>
      <c r="E909" s="3" t="str">
        <f>IFERROR(INDEX(SecLab,MATCH($B909,SecKey,0)),"")</f>
        <v>Other manufacturing</v>
      </c>
      <c r="F909" s="3" t="str">
        <f>IFERROR(INDEX(FuelLab,MATCH($C909,FuelKeyL,0)),"")</f>
        <v>Gasoline</v>
      </c>
      <c r="G909" s="3" t="inlineStr">
        <is>
          <t>.omn.gso</t>
        </is>
      </c>
      <c r="I909" s="3" t="inlineStr">
        <is>
          <t>trevcc|pas|ev</t>
        </is>
      </c>
      <c r="J909" s="3" t="inlineStr">
        <is>
          <t>shrcalc.ev.pass</t>
        </is>
      </c>
    </row>
    <row r="910">
      <c r="A910" s="3" t="str">
        <f>$B910&amp;"|"&amp;$C910</f>
        <v>cst|gso</v>
      </c>
      <c r="B910" s="3" t="inlineStr">
        <is>
          <t>cst</t>
        </is>
      </c>
      <c r="C910" s="3" t="inlineStr">
        <is>
          <t>gso</t>
        </is>
      </c>
      <c r="D910" s="3" t="str">
        <f>IF($B910="",""," | "&amp;$E910&amp;" | "&amp;$F910)</f>
        <v> | Construction | Gasoline</v>
      </c>
      <c r="E910" s="3" t="str">
        <f>IFERROR(INDEX(SecLab,MATCH($B910,SecKey,0)),"")</f>
        <v>Construction</v>
      </c>
      <c r="F910" s="3" t="str">
        <f>IFERROR(INDEX(FuelLab,MATCH($C910,FuelKeyL,0)),"")</f>
        <v>Gasoline</v>
      </c>
      <c r="G910" s="3" t="inlineStr">
        <is>
          <t>.cst.gso</t>
        </is>
      </c>
      <c r="I910" s="3" t="inlineStr">
        <is>
          <t>trevsh|pas|ev</t>
        </is>
      </c>
      <c r="J910" s="3" t="inlineStr">
        <is>
          <t>shract.ev.pass</t>
        </is>
      </c>
    </row>
    <row r="911">
      <c r="A911" s="3" t="str">
        <f>$B911&amp;"|"&amp;$C911</f>
        <v>ftr|gso</v>
      </c>
      <c r="B911" s="3" t="inlineStr">
        <is>
          <t>ftr</t>
        </is>
      </c>
      <c r="C911" s="3" t="inlineStr">
        <is>
          <t>gso</t>
        </is>
      </c>
      <c r="D911" s="3" t="str">
        <f>IF($B911="",""," | "&amp;$E911&amp;" | "&amp;$F911)</f>
        <v> | Fuel transformation | Gasoline</v>
      </c>
      <c r="E911" s="3" t="str">
        <f>IFERROR(INDEX(SecLab,MATCH($B911,SecKey,0)),"")</f>
        <v>Fuel transformation</v>
      </c>
      <c r="F911" s="3" t="str">
        <f>IFERROR(INDEX(FuelLab,MATCH($C911,FuelKeyL,0)),"")</f>
        <v>Gasoline</v>
      </c>
      <c r="G911" s="3" t="inlineStr">
        <is>
          <t>.ftr.gso</t>
        </is>
      </c>
      <c r="I911" s="3" t="inlineStr">
        <is>
          <t>trlgfb|fre|bev</t>
        </is>
      </c>
      <c r="J911" s="3" t="inlineStr">
        <is>
          <t>shrcalc.bev.fre</t>
        </is>
      </c>
    </row>
    <row r="912">
      <c r="A912" s="3" t="str">
        <f>$B912&amp;"|"&amp;$C912</f>
        <v>oen|gso</v>
      </c>
      <c r="B912" s="3" t="inlineStr">
        <is>
          <t>oen</t>
        </is>
      </c>
      <c r="C912" s="3" t="inlineStr">
        <is>
          <t>gso</t>
        </is>
      </c>
      <c r="D912" s="3" t="str">
        <f>IF($B912="",""," | "&amp;$E912&amp;" | "&amp;$F912)</f>
        <v> | Other energy use | Gasoline</v>
      </c>
      <c r="E912" s="3" t="str">
        <f>IFERROR(INDEX(SecLab,MATCH($B912,SecKey,0)),"")</f>
        <v>Other energy use</v>
      </c>
      <c r="F912" s="3" t="str">
        <f>IFERROR(INDEX(FuelLab,MATCH($C912,FuelKeyL,0)),"")</f>
        <v>Gasoline</v>
      </c>
      <c r="G912" s="3" t="inlineStr">
        <is>
          <t>.oen.gso</t>
        </is>
      </c>
      <c r="I912" s="3" t="inlineStr">
        <is>
          <t>trshfb|fre|bev</t>
        </is>
      </c>
      <c r="J912" s="3" t="inlineStr">
        <is>
          <t>shract.bev.fre</t>
        </is>
      </c>
    </row>
    <row r="913">
      <c r="A913" s="3" t="str">
        <f>$B913&amp;"|"&amp;$C913</f>
        <v>rod|die</v>
      </c>
      <c r="B913" s="3" t="inlineStr">
        <is>
          <t>rod</t>
        </is>
      </c>
      <c r="C913" s="3" t="inlineStr">
        <is>
          <t>die</t>
        </is>
      </c>
      <c r="D913" s="3" t="str">
        <f>IF($B913="",""," | "&amp;$E913&amp;" | "&amp;$F913)</f>
        <v> | Road | Diesel</v>
      </c>
      <c r="E913" s="3" t="str">
        <f>IFERROR(INDEX(SecLab,MATCH($B913,SecKey,0)),"")</f>
        <v>Road</v>
      </c>
      <c r="F913" s="3" t="str">
        <f>IFERROR(INDEX(FuelLab,MATCH($C913,FuelKeyL,0)),"")</f>
        <v>Diesel</v>
      </c>
      <c r="G913" s="3" t="inlineStr">
        <is>
          <t>.rod.die</t>
        </is>
      </c>
      <c r="I913" s="3" t="inlineStr">
        <is>
          <t>trlgcb|cyc|bev</t>
        </is>
      </c>
      <c r="J913" s="3" t="inlineStr">
        <is>
          <t>shrcalc.bev.motor</t>
        </is>
      </c>
    </row>
    <row r="914">
      <c r="A914" s="3" t="str">
        <f>$B914&amp;"|"&amp;$C914</f>
        <v>ral|die</v>
      </c>
      <c r="B914" s="3" t="inlineStr">
        <is>
          <t>ral</t>
        </is>
      </c>
      <c r="C914" s="3" t="inlineStr">
        <is>
          <t>die</t>
        </is>
      </c>
      <c r="D914" s="3" t="str">
        <f>IF($B914="",""," | "&amp;$E914&amp;" | "&amp;$F914)</f>
        <v> | Rail | Diesel</v>
      </c>
      <c r="E914" s="3" t="str">
        <f>IFERROR(INDEX(SecLab,MATCH($B914,SecKey,0)),"")</f>
        <v>Rail</v>
      </c>
      <c r="F914" s="3" t="str">
        <f>IFERROR(INDEX(FuelLab,MATCH($C914,FuelKeyL,0)),"")</f>
        <v>Diesel</v>
      </c>
      <c r="G914" s="3" t="inlineStr">
        <is>
          <t>.ral.die</t>
        </is>
      </c>
      <c r="I914" s="3" t="inlineStr">
        <is>
          <t>trshcb|cyc|bev</t>
        </is>
      </c>
      <c r="J914" s="3" t="inlineStr">
        <is>
          <t>shract.bev.motor</t>
        </is>
      </c>
    </row>
    <row r="915">
      <c r="A915" s="3" t="str">
        <f>$B915&amp;"|"&amp;$C915</f>
        <v>avi|die</v>
      </c>
      <c r="B915" s="3" t="inlineStr">
        <is>
          <t>avi</t>
        </is>
      </c>
      <c r="C915" s="3" t="inlineStr">
        <is>
          <t>die</t>
        </is>
      </c>
      <c r="D915" s="3" t="str">
        <f>IF($B915="",""," | "&amp;$E915&amp;" | "&amp;$F915)</f>
        <v> | Domestic aviation | Diesel</v>
      </c>
      <c r="E915" s="3" t="str">
        <f>IFERROR(INDEX(SecLab,MATCH($B915,SecKey,0)),"")</f>
        <v>Domestic aviation</v>
      </c>
      <c r="F915" s="3" t="str">
        <f>IFERROR(INDEX(FuelLab,MATCH($C915,FuelKeyL,0)),"")</f>
        <v>Diesel</v>
      </c>
      <c r="G915" s="3" t="inlineStr">
        <is>
          <t>.avi.die</t>
        </is>
      </c>
      <c r="I915" s="3" t="inlineStr">
        <is>
          <t>trbkmt|pas|all</t>
        </is>
      </c>
      <c r="J915" s="3" t="inlineStr">
        <is>
          <t>trbkmt.pas.tot</t>
        </is>
      </c>
    </row>
    <row r="916">
      <c r="A916" s="3" t="str">
        <f>$B916&amp;"|"&amp;$C916</f>
        <v>nav|die</v>
      </c>
      <c r="B916" s="3" t="inlineStr">
        <is>
          <t>nav</t>
        </is>
      </c>
      <c r="C916" s="3" t="inlineStr">
        <is>
          <t>die</t>
        </is>
      </c>
      <c r="D916" s="3" t="str">
        <f>IF($B916="",""," | "&amp;$E916&amp;" | "&amp;$F916)</f>
        <v> | Domestic navigation | Diesel</v>
      </c>
      <c r="E916" s="3" t="str">
        <f>IFERROR(INDEX(SecLab,MATCH($B916,SecKey,0)),"")</f>
        <v>Domestic navigation</v>
      </c>
      <c r="F916" s="3" t="str">
        <f>IFERROR(INDEX(FuelLab,MATCH($C916,FuelKeyL,0)),"")</f>
        <v>Diesel</v>
      </c>
      <c r="G916" s="3" t="inlineStr">
        <is>
          <t>.nav.die</t>
        </is>
      </c>
      <c r="I916" s="3" t="inlineStr">
        <is>
          <t>trbkmtf|fre|all</t>
        </is>
      </c>
      <c r="J916" s="3" t="inlineStr">
        <is>
          <t>trbkmtf.fre.tot</t>
        </is>
      </c>
    </row>
    <row r="917">
      <c r="A917" s="3" t="str">
        <f>$B917&amp;"|"&amp;$C917</f>
        <v>res|die</v>
      </c>
      <c r="B917" s="3" t="inlineStr">
        <is>
          <t>res</t>
        </is>
      </c>
      <c r="C917" s="3" t="inlineStr">
        <is>
          <t>die</t>
        </is>
      </c>
      <c r="D917" s="3" t="str">
        <f>IF($B917="",""," | "&amp;$E917&amp;" | "&amp;$F917)</f>
        <v> | Residential | Diesel</v>
      </c>
      <c r="E917" s="3" t="str">
        <f>IFERROR(INDEX(SecLab,MATCH($B917,SecKey,0)),"")</f>
        <v>Residential</v>
      </c>
      <c r="F917" s="3" t="str">
        <f>IFERROR(INDEX(FuelLab,MATCH($C917,FuelKeyL,0)),"")</f>
        <v>Diesel</v>
      </c>
      <c r="G917" s="3" t="inlineStr">
        <is>
          <t>.res.die</t>
        </is>
      </c>
      <c r="I917" s="3" t="inlineStr">
        <is>
          <t>trkmp|pas|all</t>
        </is>
      </c>
      <c r="J917" s="3" t="inlineStr">
        <is>
          <t>pass.vkt.all</t>
        </is>
      </c>
    </row>
    <row r="918">
      <c r="A918" s="3" t="str">
        <f>$B918&amp;"|"&amp;$C918</f>
        <v>foo|die</v>
      </c>
      <c r="B918" s="3" t="inlineStr">
        <is>
          <t>foo</t>
        </is>
      </c>
      <c r="C918" s="3" t="inlineStr">
        <is>
          <t>die</t>
        </is>
      </c>
      <c r="D918" s="3" t="str">
        <f>IF($B918="",""," | "&amp;$E918&amp;" | "&amp;$F918)</f>
        <v> | Food &amp; forestry | Diesel</v>
      </c>
      <c r="E918" s="3" t="str">
        <f>IFERROR(INDEX(SecLab,MATCH($B918,SecKey,0)),"")</f>
        <v>Food &amp; forestry</v>
      </c>
      <c r="F918" s="3" t="str">
        <f>IFERROR(INDEX(FuelLab,MATCH($C918,FuelKeyL,0)),"")</f>
        <v>Diesel</v>
      </c>
      <c r="G918" s="3" t="inlineStr">
        <is>
          <t>.foo.die</t>
        </is>
      </c>
      <c r="I918" s="3" t="inlineStr">
        <is>
          <t>trkmf|fre|all</t>
        </is>
      </c>
      <c r="J918" s="3" t="inlineStr">
        <is>
          <t>fre.vkt.all</t>
        </is>
      </c>
    </row>
    <row r="919">
      <c r="A919" s="3" t="str">
        <f>$B919&amp;"|"&amp;$C919</f>
        <v>srv|die</v>
      </c>
      <c r="B919" s="3" t="inlineStr">
        <is>
          <t>srv</t>
        </is>
      </c>
      <c r="C919" s="3" t="inlineStr">
        <is>
          <t>die</t>
        </is>
      </c>
      <c r="D919" s="3" t="str">
        <f>IF($B919="",""," | "&amp;$E919&amp;" | "&amp;$F919)</f>
        <v> | Services (public &amp; private) | Diesel</v>
      </c>
      <c r="E919" s="3" t="str">
        <f>IFERROR(INDEX(SecLab,MATCH($B919,SecKey,0)),"")</f>
        <v>Services (public &amp; private)</v>
      </c>
      <c r="F919" s="3" t="str">
        <f>IFERROR(INDEX(FuelLab,MATCH($C919,FuelKeyL,0)),"")</f>
        <v>Diesel</v>
      </c>
      <c r="G919" s="3" t="inlineStr">
        <is>
          <t>.srv.die</t>
        </is>
      </c>
      <c r="I919" s="3" t="inlineStr">
        <is>
          <t>trkmc|cyc|all</t>
        </is>
      </c>
      <c r="J919" s="3" t="inlineStr">
        <is>
          <t>motor.vkt.all</t>
        </is>
      </c>
    </row>
    <row r="920">
      <c r="A920" s="3" t="str">
        <f>$B920&amp;"|"&amp;$C920</f>
        <v>mch|die</v>
      </c>
      <c r="B920" s="3" t="inlineStr">
        <is>
          <t>mch</t>
        </is>
      </c>
      <c r="C920" s="3" t="inlineStr">
        <is>
          <t>die</t>
        </is>
      </c>
      <c r="D920" s="3" t="str">
        <f>IF($B920="",""," | "&amp;$E920&amp;" | "&amp;$F920)</f>
        <v> | Mining &amp; chemicals | Diesel</v>
      </c>
      <c r="E920" s="3" t="str">
        <f>IFERROR(INDEX(SecLab,MATCH($B920,SecKey,0)),"")</f>
        <v>Mining &amp; chemicals</v>
      </c>
      <c r="F920" s="3" t="str">
        <f>IFERROR(INDEX(FuelLab,MATCH($C920,FuelKeyL,0)),"")</f>
        <v>Diesel</v>
      </c>
      <c r="G920" s="3" t="inlineStr">
        <is>
          <t>.mch.die</t>
        </is>
      </c>
      <c r="I920" s="3" t="inlineStr">
        <is>
          <t>trkmt|all|all</t>
        </is>
      </c>
      <c r="J920" s="3" t="inlineStr">
        <is>
          <t>all.vkt.all</t>
        </is>
      </c>
    </row>
    <row r="921">
      <c r="A921" s="3" t="str">
        <f>$B921&amp;"|"&amp;$C921</f>
        <v>irn|die</v>
      </c>
      <c r="B921" s="3" t="inlineStr">
        <is>
          <t>irn</t>
        </is>
      </c>
      <c r="C921" s="3" t="inlineStr">
        <is>
          <t>die</t>
        </is>
      </c>
      <c r="D921" s="3" t="str">
        <f>IF($B921="",""," | "&amp;$E921&amp;" | "&amp;$F921)</f>
        <v> | Iron &amp; steel | Diesel</v>
      </c>
      <c r="E921" s="3" t="str">
        <f>IFERROR(INDEX(SecLab,MATCH($B921,SecKey,0)),"")</f>
        <v>Iron &amp; steel</v>
      </c>
      <c r="F921" s="3" t="str">
        <f>IFERROR(INDEX(FuelLab,MATCH($C921,FuelKeyL,0)),"")</f>
        <v>Diesel</v>
      </c>
      <c r="G921" s="3" t="inlineStr">
        <is>
          <t>.irn.die</t>
        </is>
      </c>
      <c r="I921" s="3" t="inlineStr">
        <is>
          <t>trvht|pas|all</t>
        </is>
      </c>
      <c r="J921" s="3" t="inlineStr">
        <is>
          <t>pass.own.tot</t>
        </is>
      </c>
    </row>
    <row r="922">
      <c r="A922" s="3" t="str">
        <f>$B922&amp;"|"&amp;$C922</f>
        <v>nfm|die</v>
      </c>
      <c r="B922" s="3" t="inlineStr">
        <is>
          <t>nfm</t>
        </is>
      </c>
      <c r="C922" s="3" t="inlineStr">
        <is>
          <t>die</t>
        </is>
      </c>
      <c r="D922" s="3" t="str">
        <f>IF($B922="",""," | "&amp;$E922&amp;" | "&amp;$F922)</f>
        <v> | Other metals | Diesel</v>
      </c>
      <c r="E922" s="3" t="str">
        <f>IFERROR(INDEX(SecLab,MATCH($B922,SecKey,0)),"")</f>
        <v>Other metals</v>
      </c>
      <c r="F922" s="3" t="str">
        <f>IFERROR(INDEX(FuelLab,MATCH($C922,FuelKeyL,0)),"")</f>
        <v>Diesel</v>
      </c>
      <c r="G922" s="3" t="inlineStr">
        <is>
          <t>.nfm.die</t>
        </is>
      </c>
      <c r="I922" s="3" t="inlineStr">
        <is>
          <t>trvhtf|fre|all</t>
        </is>
      </c>
      <c r="J922" s="3" t="inlineStr">
        <is>
          <t>fre.own.tot</t>
        </is>
      </c>
    </row>
    <row r="923">
      <c r="A923" s="3" t="str">
        <f>$B923&amp;"|"&amp;$C923</f>
        <v>mac|die</v>
      </c>
      <c r="B923" s="3" t="inlineStr">
        <is>
          <t>mac</t>
        </is>
      </c>
      <c r="C923" s="3" t="inlineStr">
        <is>
          <t>die</t>
        </is>
      </c>
      <c r="D923" s="3" t="str">
        <f>IF($B923="",""," | "&amp;$E923&amp;" | "&amp;$F923)</f>
        <v> | Machinery | Diesel</v>
      </c>
      <c r="E923" s="3" t="str">
        <f>IFERROR(INDEX(SecLab,MATCH($B923,SecKey,0)),"")</f>
        <v>Machinery</v>
      </c>
      <c r="F923" s="3" t="str">
        <f>IFERROR(INDEX(FuelLab,MATCH($C923,FuelKeyL,0)),"")</f>
        <v>Diesel</v>
      </c>
      <c r="G923" s="3" t="inlineStr">
        <is>
          <t>.mac.die</t>
        </is>
      </c>
      <c r="I923" s="3" t="inlineStr">
        <is>
          <t>trvhtc|cyc|all</t>
        </is>
      </c>
      <c r="J923" s="3" t="inlineStr">
        <is>
          <t>motor.own.tot</t>
        </is>
      </c>
    </row>
    <row r="924">
      <c r="A924" s="3" t="str">
        <f>$B924&amp;"|"&amp;$C924</f>
        <v>cem|die</v>
      </c>
      <c r="B924" s="3" t="inlineStr">
        <is>
          <t>cem</t>
        </is>
      </c>
      <c r="C924" s="3" t="inlineStr">
        <is>
          <t>die</t>
        </is>
      </c>
      <c r="D924" s="3" t="str">
        <f>IF($B924="",""," | "&amp;$E924&amp;" | "&amp;$F924)</f>
        <v> | Cement | Diesel</v>
      </c>
      <c r="E924" s="3" t="str">
        <f>IFERROR(INDEX(SecLab,MATCH($B924,SecKey,0)),"")</f>
        <v>Cement</v>
      </c>
      <c r="F924" s="3" t="str">
        <f>IFERROR(INDEX(FuelLab,MATCH($C924,FuelKeyL,0)),"")</f>
        <v>Diesel</v>
      </c>
      <c r="G924" s="3" t="inlineStr">
        <is>
          <t>.cem.die</t>
        </is>
      </c>
      <c r="I924" s="3" t="inlineStr">
        <is>
          <t>trvhta|all|all</t>
        </is>
      </c>
      <c r="J924" s="3" t="inlineStr">
        <is>
          <t>tot.own.tot</t>
        </is>
      </c>
    </row>
    <row r="925">
      <c r="A925" s="3" t="str">
        <f>$B925&amp;"|"&amp;$C925</f>
        <v>omn|die</v>
      </c>
      <c r="B925" s="3" t="inlineStr">
        <is>
          <t>omn</t>
        </is>
      </c>
      <c r="C925" s="3" t="inlineStr">
        <is>
          <t>die</t>
        </is>
      </c>
      <c r="D925" s="3" t="str">
        <f>IF($B925="",""," | "&amp;$E925&amp;" | "&amp;$F925)</f>
        <v> | Other manufacturing | Diesel</v>
      </c>
      <c r="E925" s="3" t="str">
        <f>IFERROR(INDEX(SecLab,MATCH($B925,SecKey,0)),"")</f>
        <v>Other manufacturing</v>
      </c>
      <c r="F925" s="3" t="str">
        <f>IFERROR(INDEX(FuelLab,MATCH($C925,FuelKeyL,0)),"")</f>
        <v>Diesel</v>
      </c>
      <c r="G925" s="3" t="inlineStr">
        <is>
          <t>.omn.die</t>
        </is>
      </c>
      <c r="I925" s="3" t="inlineStr">
        <is>
          <t>trsum|rod|all</t>
        </is>
      </c>
      <c r="J925" s="3" t="inlineStr">
        <is>
          <t>trsum.rod.tot</t>
        </is>
      </c>
    </row>
    <row r="926">
      <c r="A926" s="3" t="str">
        <f>$B926&amp;"|"&amp;$C926</f>
        <v>cst|die</v>
      </c>
      <c r="B926" s="3" t="inlineStr">
        <is>
          <t>cst</t>
        </is>
      </c>
      <c r="C926" s="3" t="inlineStr">
        <is>
          <t>die</t>
        </is>
      </c>
      <c r="D926" s="3" t="str">
        <f>IF($B926="",""," | "&amp;$E926&amp;" | "&amp;$F926)</f>
        <v> | Construction | Diesel</v>
      </c>
      <c r="E926" s="3" t="str">
        <f>IFERROR(INDEX(SecLab,MATCH($B926,SecKey,0)),"")</f>
        <v>Construction</v>
      </c>
      <c r="F926" s="3" t="str">
        <f>IFERROR(INDEX(FuelLab,MATCH($C926,FuelKeyL,0)),"")</f>
        <v>Diesel</v>
      </c>
      <c r="G926" s="3" t="inlineStr">
        <is>
          <t>.cst.die</t>
        </is>
      </c>
      <c r="I926" s="3" t="inlineStr">
        <is>
          <t>ener|res|all</t>
        </is>
      </c>
      <c r="J926" s="3" t="inlineStr">
        <is>
          <t>ener.res.tot</t>
        </is>
      </c>
    </row>
    <row r="927">
      <c r="A927" s="3" t="str">
        <f>$B927&amp;"|"&amp;$C927</f>
        <v>ftr|die</v>
      </c>
      <c r="B927" s="3" t="inlineStr">
        <is>
          <t>ftr</t>
        </is>
      </c>
      <c r="C927" s="3" t="inlineStr">
        <is>
          <t>die</t>
        </is>
      </c>
      <c r="D927" s="3" t="str">
        <f>IF($B927="",""," | "&amp;$E927&amp;" | "&amp;$F927)</f>
        <v> | Fuel transformation | Diesel</v>
      </c>
      <c r="E927" s="3" t="str">
        <f>IFERROR(INDEX(SecLab,MATCH($B927,SecKey,0)),"")</f>
        <v>Fuel transformation</v>
      </c>
      <c r="F927" s="3" t="str">
        <f>IFERROR(INDEX(FuelLab,MATCH($C927,FuelKeyL,0)),"")</f>
        <v>Diesel</v>
      </c>
      <c r="G927" s="3" t="inlineStr">
        <is>
          <t>.ftr.die</t>
        </is>
      </c>
      <c r="I927" s="3" t="inlineStr">
        <is>
          <t>ch4|res|coa</t>
        </is>
      </c>
      <c r="J927" s="3" t="inlineStr">
        <is>
          <t>em.res.coa.ch4</t>
        </is>
      </c>
    </row>
    <row r="928">
      <c r="A928" s="3" t="str">
        <f>$B928&amp;"|"&amp;$C928</f>
        <v>oen|die</v>
      </c>
      <c r="B928" s="3" t="inlineStr">
        <is>
          <t>oen</t>
        </is>
      </c>
      <c r="C928" s="3" t="inlineStr">
        <is>
          <t>die</t>
        </is>
      </c>
      <c r="D928" s="3" t="str">
        <f>IF($B928="",""," | "&amp;$E928&amp;" | "&amp;$F928)</f>
        <v> | Other energy use | Diesel</v>
      </c>
      <c r="E928" s="3" t="str">
        <f>IFERROR(INDEX(SecLab,MATCH($B928,SecKey,0)),"")</f>
        <v>Other energy use</v>
      </c>
      <c r="F928" s="3" t="str">
        <f>IFERROR(INDEX(FuelLab,MATCH($C928,FuelKeyL,0)),"")</f>
        <v>Diesel</v>
      </c>
      <c r="G928" s="3" t="inlineStr">
        <is>
          <t>.oen.die</t>
        </is>
      </c>
      <c r="I928" s="3" t="inlineStr">
        <is>
          <t>ch4|res|nga</t>
        </is>
      </c>
      <c r="J928" s="3" t="inlineStr">
        <is>
          <t>em.res.nga.ch4</t>
        </is>
      </c>
    </row>
    <row r="929">
      <c r="A929" s="3" t="str">
        <f>$B929&amp;"|"&amp;$C929</f>
        <v>rod|lpg</v>
      </c>
      <c r="B929" s="3" t="inlineStr">
        <is>
          <t>rod</t>
        </is>
      </c>
      <c r="C929" s="3" t="inlineStr">
        <is>
          <t>lpg</t>
        </is>
      </c>
      <c r="D929" s="3" t="str">
        <f>IF($B929="",""," | "&amp;$E929&amp;" | "&amp;$F929)</f>
        <v> | Road | LPG</v>
      </c>
      <c r="E929" s="3" t="str">
        <f>IFERROR(INDEX(SecLab,MATCH($B929,SecKey,0)),"")</f>
        <v>Road</v>
      </c>
      <c r="F929" s="3" t="str">
        <f>IFERROR(INDEX(FuelLab,MATCH($C929,FuelKeyL,0)),"")</f>
        <v>LPG</v>
      </c>
      <c r="G929" s="3" t="inlineStr">
        <is>
          <t>.rod.lpg</t>
        </is>
      </c>
      <c r="I929" s="3" t="inlineStr">
        <is>
          <t>ch4|res|gso</t>
        </is>
      </c>
      <c r="J929" s="3" t="inlineStr">
        <is>
          <t>em.res.gso.ch4</t>
        </is>
      </c>
    </row>
    <row r="930">
      <c r="A930" s="3" t="str">
        <f>$B930&amp;"|"&amp;$C930</f>
        <v>ral|lpg</v>
      </c>
      <c r="B930" s="3" t="inlineStr">
        <is>
          <t>ral</t>
        </is>
      </c>
      <c r="C930" s="3" t="inlineStr">
        <is>
          <t>lpg</t>
        </is>
      </c>
      <c r="D930" s="3" t="str">
        <f>IF($B930="",""," | "&amp;$E930&amp;" | "&amp;$F930)</f>
        <v> | Rail | LPG</v>
      </c>
      <c r="E930" s="3" t="str">
        <f>IFERROR(INDEX(SecLab,MATCH($B930,SecKey,0)),"")</f>
        <v>Rail</v>
      </c>
      <c r="F930" s="3" t="str">
        <f>IFERROR(INDEX(FuelLab,MATCH($C930,FuelKeyL,0)),"")</f>
        <v>LPG</v>
      </c>
      <c r="G930" s="3" t="inlineStr">
        <is>
          <t>.ral.lpg</t>
        </is>
      </c>
      <c r="I930" s="3" t="inlineStr">
        <is>
          <t>ch4|res|die</t>
        </is>
      </c>
      <c r="J930" s="3" t="inlineStr">
        <is>
          <t>em.res.die.ch4</t>
        </is>
      </c>
    </row>
    <row r="931">
      <c r="A931" s="3" t="str">
        <f>$B931&amp;"|"&amp;$C931</f>
        <v>avi|lpg</v>
      </c>
      <c r="B931" s="3" t="inlineStr">
        <is>
          <t>avi</t>
        </is>
      </c>
      <c r="C931" s="3" t="inlineStr">
        <is>
          <t>lpg</t>
        </is>
      </c>
      <c r="D931" s="3" t="str">
        <f>IF($B931="",""," | "&amp;$E931&amp;" | "&amp;$F931)</f>
        <v> | Domestic aviation | LPG</v>
      </c>
      <c r="E931" s="3" t="str">
        <f>IFERROR(INDEX(SecLab,MATCH($B931,SecKey,0)),"")</f>
        <v>Domestic aviation</v>
      </c>
      <c r="F931" s="3" t="str">
        <f>IFERROR(INDEX(FuelLab,MATCH($C931,FuelKeyL,0)),"")</f>
        <v>LPG</v>
      </c>
      <c r="G931" s="3" t="inlineStr">
        <is>
          <t>.avi.lpg</t>
        </is>
      </c>
      <c r="I931" s="3" t="inlineStr">
        <is>
          <t>ch4|res|lpg</t>
        </is>
      </c>
      <c r="J931" s="3" t="inlineStr">
        <is>
          <t>em.res.lpg.ch4</t>
        </is>
      </c>
    </row>
    <row r="932">
      <c r="A932" s="3" t="str">
        <f>$B932&amp;"|"&amp;$C932</f>
        <v>nav|lpg</v>
      </c>
      <c r="B932" s="3" t="inlineStr">
        <is>
          <t>nav</t>
        </is>
      </c>
      <c r="C932" s="3" t="inlineStr">
        <is>
          <t>lpg</t>
        </is>
      </c>
      <c r="D932" s="3" t="str">
        <f>IF($B932="",""," | "&amp;$E932&amp;" | "&amp;$F932)</f>
        <v> | Domestic navigation | LPG</v>
      </c>
      <c r="E932" s="3" t="str">
        <f>IFERROR(INDEX(SecLab,MATCH($B932,SecKey,0)),"")</f>
        <v>Domestic navigation</v>
      </c>
      <c r="F932" s="3" t="str">
        <f>IFERROR(INDEX(FuelLab,MATCH($C932,FuelKeyL,0)),"")</f>
        <v>LPG</v>
      </c>
      <c r="G932" s="3" t="inlineStr">
        <is>
          <t>.nav.lpg</t>
        </is>
      </c>
      <c r="I932" s="3" t="inlineStr">
        <is>
          <t>ch4|res|ker</t>
        </is>
      </c>
      <c r="J932" s="3" t="inlineStr">
        <is>
          <t>em.res.ker.ch4</t>
        </is>
      </c>
    </row>
    <row r="933">
      <c r="A933" s="3" t="str">
        <f>$B933&amp;"|"&amp;$C933</f>
        <v>res|lpg</v>
      </c>
      <c r="B933" s="3" t="inlineStr">
        <is>
          <t>res</t>
        </is>
      </c>
      <c r="C933" s="3" t="inlineStr">
        <is>
          <t>lpg</t>
        </is>
      </c>
      <c r="D933" s="3" t="str">
        <f>IF($B933="",""," | "&amp;$E933&amp;" | "&amp;$F933)</f>
        <v> | Residential | LPG</v>
      </c>
      <c r="E933" s="3" t="str">
        <f>IFERROR(INDEX(SecLab,MATCH($B933,SecKey,0)),"")</f>
        <v>Residential</v>
      </c>
      <c r="F933" s="3" t="str">
        <f>IFERROR(INDEX(FuelLab,MATCH($C933,FuelKeyL,0)),"")</f>
        <v>LPG</v>
      </c>
      <c r="G933" s="3" t="inlineStr">
        <is>
          <t>.res.lpg</t>
        </is>
      </c>
      <c r="I933" s="3" t="inlineStr">
        <is>
          <t>ch4|res|jfu</t>
        </is>
      </c>
      <c r="J933" s="3" t="inlineStr">
        <is>
          <t>em.res.jfu.ch4</t>
        </is>
      </c>
    </row>
    <row r="934">
      <c r="A934" s="3" t="str">
        <f>$B934&amp;"|"&amp;$C934</f>
        <v>foo|lpg</v>
      </c>
      <c r="B934" s="3" t="inlineStr">
        <is>
          <t>foo</t>
        </is>
      </c>
      <c r="C934" s="3" t="inlineStr">
        <is>
          <t>lpg</t>
        </is>
      </c>
      <c r="D934" s="3" t="str">
        <f>IF($B934="",""," | "&amp;$E934&amp;" | "&amp;$F934)</f>
        <v> | Food &amp; forestry | LPG</v>
      </c>
      <c r="E934" s="3" t="str">
        <f>IFERROR(INDEX(SecLab,MATCH($B934,SecKey,0)),"")</f>
        <v>Food &amp; forestry</v>
      </c>
      <c r="F934" s="3" t="str">
        <f>IFERROR(INDEX(FuelLab,MATCH($C934,FuelKeyL,0)),"")</f>
        <v>LPG</v>
      </c>
      <c r="G934" s="3" t="inlineStr">
        <is>
          <t>.foo.lpg</t>
        </is>
      </c>
      <c r="I934" s="3" t="inlineStr">
        <is>
          <t>ch4|res|oop</t>
        </is>
      </c>
      <c r="J934" s="3" t="inlineStr">
        <is>
          <t>em.res.oop.ch4</t>
        </is>
      </c>
    </row>
    <row r="935">
      <c r="A935" s="3" t="str">
        <f>$B935&amp;"|"&amp;$C935</f>
        <v>srv|lpg</v>
      </c>
      <c r="B935" s="3" t="inlineStr">
        <is>
          <t>srv</t>
        </is>
      </c>
      <c r="C935" s="3" t="inlineStr">
        <is>
          <t>lpg</t>
        </is>
      </c>
      <c r="D935" s="3" t="str">
        <f>IF($B935="",""," | "&amp;$E935&amp;" | "&amp;$F935)</f>
        <v> | Services (public &amp; private) | LPG</v>
      </c>
      <c r="E935" s="3" t="str">
        <f>IFERROR(INDEX(SecLab,MATCH($B935,SecKey,0)),"")</f>
        <v>Services (public &amp; private)</v>
      </c>
      <c r="F935" s="3" t="str">
        <f>IFERROR(INDEX(FuelLab,MATCH($C935,FuelKeyL,0)),"")</f>
        <v>LPG</v>
      </c>
      <c r="G935" s="3" t="inlineStr">
        <is>
          <t>.srv.lpg</t>
        </is>
      </c>
      <c r="I935" s="3" t="inlineStr">
        <is>
          <t>ch4|res|bio</t>
        </is>
      </c>
      <c r="J935" s="3" t="inlineStr">
        <is>
          <t>em.res.bio.ch4</t>
        </is>
      </c>
    </row>
    <row r="936">
      <c r="A936" s="3" t="str">
        <f>$B936&amp;"|"&amp;$C936</f>
        <v>mch|lpg</v>
      </c>
      <c r="B936" s="3" t="inlineStr">
        <is>
          <t>mch</t>
        </is>
      </c>
      <c r="C936" s="3" t="inlineStr">
        <is>
          <t>lpg</t>
        </is>
      </c>
      <c r="D936" s="3" t="str">
        <f>IF($B936="",""," | "&amp;$E936&amp;" | "&amp;$F936)</f>
        <v> | Mining &amp; chemicals | LPG</v>
      </c>
      <c r="E936" s="3" t="str">
        <f>IFERROR(INDEX(SecLab,MATCH($B936,SecKey,0)),"")</f>
        <v>Mining &amp; chemicals</v>
      </c>
      <c r="F936" s="3" t="str">
        <f>IFERROR(INDEX(FuelLab,MATCH($C936,FuelKeyL,0)),"")</f>
        <v>LPG</v>
      </c>
      <c r="G936" s="3" t="inlineStr">
        <is>
          <t>.mch.lpg</t>
        </is>
      </c>
      <c r="I936" s="3" t="inlineStr">
        <is>
          <t>ener|foo|all</t>
        </is>
      </c>
      <c r="J936" s="3" t="inlineStr">
        <is>
          <t>ener.foo.tot</t>
        </is>
      </c>
    </row>
    <row r="937">
      <c r="A937" s="3" t="str">
        <f>$B937&amp;"|"&amp;$C937</f>
        <v>irn|lpg</v>
      </c>
      <c r="B937" s="3" t="inlineStr">
        <is>
          <t>irn</t>
        </is>
      </c>
      <c r="C937" s="3" t="inlineStr">
        <is>
          <t>lpg</t>
        </is>
      </c>
      <c r="D937" s="3" t="str">
        <f>IF($B937="",""," | "&amp;$E937&amp;" | "&amp;$F937)</f>
        <v> | Iron &amp; steel | LPG</v>
      </c>
      <c r="E937" s="3" t="str">
        <f>IFERROR(INDEX(SecLab,MATCH($B937,SecKey,0)),"")</f>
        <v>Iron &amp; steel</v>
      </c>
      <c r="F937" s="3" t="str">
        <f>IFERROR(INDEX(FuelLab,MATCH($C937,FuelKeyL,0)),"")</f>
        <v>LPG</v>
      </c>
      <c r="G937" s="3" t="inlineStr">
        <is>
          <t>.irn.lpg</t>
        </is>
      </c>
      <c r="I937" s="3" t="inlineStr">
        <is>
          <t>ch4|foo|coa</t>
        </is>
      </c>
      <c r="J937" s="3" t="inlineStr">
        <is>
          <t>em.foo.coa.ch4</t>
        </is>
      </c>
    </row>
    <row r="938">
      <c r="A938" s="3" t="str">
        <f>$B938&amp;"|"&amp;$C938</f>
        <v>nfm|lpg</v>
      </c>
      <c r="B938" s="3" t="inlineStr">
        <is>
          <t>nfm</t>
        </is>
      </c>
      <c r="C938" s="3" t="inlineStr">
        <is>
          <t>lpg</t>
        </is>
      </c>
      <c r="D938" s="3" t="str">
        <f>IF($B938="",""," | "&amp;$E938&amp;" | "&amp;$F938)</f>
        <v> | Other metals | LPG</v>
      </c>
      <c r="E938" s="3" t="str">
        <f>IFERROR(INDEX(SecLab,MATCH($B938,SecKey,0)),"")</f>
        <v>Other metals</v>
      </c>
      <c r="F938" s="3" t="str">
        <f>IFERROR(INDEX(FuelLab,MATCH($C938,FuelKeyL,0)),"")</f>
        <v>LPG</v>
      </c>
      <c r="G938" s="3" t="inlineStr">
        <is>
          <t>.nfm.lpg</t>
        </is>
      </c>
      <c r="I938" s="3" t="inlineStr">
        <is>
          <t>ch4|foo|nga</t>
        </is>
      </c>
      <c r="J938" s="3" t="inlineStr">
        <is>
          <t>em.foo.nga.ch4</t>
        </is>
      </c>
    </row>
    <row r="939">
      <c r="A939" s="3" t="str">
        <f>$B939&amp;"|"&amp;$C939</f>
        <v>mac|lpg</v>
      </c>
      <c r="B939" s="3" t="inlineStr">
        <is>
          <t>mac</t>
        </is>
      </c>
      <c r="C939" s="3" t="inlineStr">
        <is>
          <t>lpg</t>
        </is>
      </c>
      <c r="D939" s="3" t="str">
        <f>IF($B939="",""," | "&amp;$E939&amp;" | "&amp;$F939)</f>
        <v> | Machinery | LPG</v>
      </c>
      <c r="E939" s="3" t="str">
        <f>IFERROR(INDEX(SecLab,MATCH($B939,SecKey,0)),"")</f>
        <v>Machinery</v>
      </c>
      <c r="F939" s="3" t="str">
        <f>IFERROR(INDEX(FuelLab,MATCH($C939,FuelKeyL,0)),"")</f>
        <v>LPG</v>
      </c>
      <c r="G939" s="3" t="inlineStr">
        <is>
          <t>.mac.lpg</t>
        </is>
      </c>
      <c r="I939" s="3" t="inlineStr">
        <is>
          <t>ch4|foo|gso</t>
        </is>
      </c>
      <c r="J939" s="3" t="inlineStr">
        <is>
          <t>em.foo.gso.ch4</t>
        </is>
      </c>
    </row>
    <row r="940">
      <c r="A940" s="3" t="str">
        <f>$B940&amp;"|"&amp;$C940</f>
        <v>cem|lpg</v>
      </c>
      <c r="B940" s="3" t="inlineStr">
        <is>
          <t>cem</t>
        </is>
      </c>
      <c r="C940" s="3" t="inlineStr">
        <is>
          <t>lpg</t>
        </is>
      </c>
      <c r="D940" s="3" t="str">
        <f>IF($B940="",""," | "&amp;$E940&amp;" | "&amp;$F940)</f>
        <v> | Cement | LPG</v>
      </c>
      <c r="E940" s="3" t="str">
        <f>IFERROR(INDEX(SecLab,MATCH($B940,SecKey,0)),"")</f>
        <v>Cement</v>
      </c>
      <c r="F940" s="3" t="str">
        <f>IFERROR(INDEX(FuelLab,MATCH($C940,FuelKeyL,0)),"")</f>
        <v>LPG</v>
      </c>
      <c r="G940" s="3" t="inlineStr">
        <is>
          <t>.cem.lpg</t>
        </is>
      </c>
      <c r="I940" s="3" t="inlineStr">
        <is>
          <t>ch4|foo|die</t>
        </is>
      </c>
      <c r="J940" s="3" t="inlineStr">
        <is>
          <t>em.foo.die.ch4</t>
        </is>
      </c>
    </row>
    <row r="941">
      <c r="A941" s="3" t="str">
        <f>$B941&amp;"|"&amp;$C941</f>
        <v>omn|lpg</v>
      </c>
      <c r="B941" s="3" t="inlineStr">
        <is>
          <t>omn</t>
        </is>
      </c>
      <c r="C941" s="3" t="inlineStr">
        <is>
          <t>lpg</t>
        </is>
      </c>
      <c r="D941" s="3" t="str">
        <f>IF($B941="",""," | "&amp;$E941&amp;" | "&amp;$F941)</f>
        <v> | Other manufacturing | LPG</v>
      </c>
      <c r="E941" s="3" t="str">
        <f>IFERROR(INDEX(SecLab,MATCH($B941,SecKey,0)),"")</f>
        <v>Other manufacturing</v>
      </c>
      <c r="F941" s="3" t="str">
        <f>IFERROR(INDEX(FuelLab,MATCH($C941,FuelKeyL,0)),"")</f>
        <v>LPG</v>
      </c>
      <c r="G941" s="3" t="inlineStr">
        <is>
          <t>.omn.lpg</t>
        </is>
      </c>
      <c r="I941" s="3" t="inlineStr">
        <is>
          <t>ch4|foo|lpg</t>
        </is>
      </c>
      <c r="J941" s="3" t="inlineStr">
        <is>
          <t>em.foo.lpg.ch4</t>
        </is>
      </c>
    </row>
    <row r="942">
      <c r="A942" s="3" t="str">
        <f>$B942&amp;"|"&amp;$C942</f>
        <v>cst|lpg</v>
      </c>
      <c r="B942" s="3" t="inlineStr">
        <is>
          <t>cst</t>
        </is>
      </c>
      <c r="C942" s="3" t="inlineStr">
        <is>
          <t>lpg</t>
        </is>
      </c>
      <c r="D942" s="3" t="str">
        <f>IF($B942="",""," | "&amp;$E942&amp;" | "&amp;$F942)</f>
        <v> | Construction | LPG</v>
      </c>
      <c r="E942" s="3" t="str">
        <f>IFERROR(INDEX(SecLab,MATCH($B942,SecKey,0)),"")</f>
        <v>Construction</v>
      </c>
      <c r="F942" s="3" t="str">
        <f>IFERROR(INDEX(FuelLab,MATCH($C942,FuelKeyL,0)),"")</f>
        <v>LPG</v>
      </c>
      <c r="G942" s="3" t="inlineStr">
        <is>
          <t>.cst.lpg</t>
        </is>
      </c>
      <c r="I942" s="3" t="inlineStr">
        <is>
          <t>ch4|foo|ker</t>
        </is>
      </c>
      <c r="J942" s="3" t="inlineStr">
        <is>
          <t>em.foo.ker.ch4</t>
        </is>
      </c>
    </row>
    <row r="943">
      <c r="A943" s="3" t="str">
        <f>$B943&amp;"|"&amp;$C943</f>
        <v>ftr|lpg</v>
      </c>
      <c r="B943" s="3" t="inlineStr">
        <is>
          <t>ftr</t>
        </is>
      </c>
      <c r="C943" s="3" t="inlineStr">
        <is>
          <t>lpg</t>
        </is>
      </c>
      <c r="D943" s="3" t="str">
        <f>IF($B943="",""," | "&amp;$E943&amp;" | "&amp;$F943)</f>
        <v> | Fuel transformation | LPG</v>
      </c>
      <c r="E943" s="3" t="str">
        <f>IFERROR(INDEX(SecLab,MATCH($B943,SecKey,0)),"")</f>
        <v>Fuel transformation</v>
      </c>
      <c r="F943" s="3" t="str">
        <f>IFERROR(INDEX(FuelLab,MATCH($C943,FuelKeyL,0)),"")</f>
        <v>LPG</v>
      </c>
      <c r="G943" s="3" t="inlineStr">
        <is>
          <t>.ftr.lpg</t>
        </is>
      </c>
      <c r="I943" s="3" t="inlineStr">
        <is>
          <t>ch4|foo|jfu</t>
        </is>
      </c>
      <c r="J943" s="3" t="inlineStr">
        <is>
          <t>em.foo.jfu.ch4</t>
        </is>
      </c>
    </row>
    <row r="944">
      <c r="A944" s="3" t="str">
        <f>$B944&amp;"|"&amp;$C944</f>
        <v>oen|lpg</v>
      </c>
      <c r="B944" s="3" t="inlineStr">
        <is>
          <t>oen</t>
        </is>
      </c>
      <c r="C944" s="3" t="inlineStr">
        <is>
          <t>lpg</t>
        </is>
      </c>
      <c r="D944" s="3" t="str">
        <f>IF($B944="",""," | "&amp;$E944&amp;" | "&amp;$F944)</f>
        <v> | Other energy use | LPG</v>
      </c>
      <c r="E944" s="3" t="str">
        <f>IFERROR(INDEX(SecLab,MATCH($B944,SecKey,0)),"")</f>
        <v>Other energy use</v>
      </c>
      <c r="F944" s="3" t="str">
        <f>IFERROR(INDEX(FuelLab,MATCH($C944,FuelKeyL,0)),"")</f>
        <v>LPG</v>
      </c>
      <c r="G944" s="3" t="inlineStr">
        <is>
          <t>.oen.lpg</t>
        </is>
      </c>
      <c r="I944" s="3" t="inlineStr">
        <is>
          <t>ch4|foo|oop</t>
        </is>
      </c>
      <c r="J944" s="3" t="inlineStr">
        <is>
          <t>em.foo.oop.ch4</t>
        </is>
      </c>
    </row>
    <row r="945">
      <c r="A945" s="3" t="str">
        <f>$B945&amp;"|"&amp;$C945</f>
        <v>rod|ker</v>
      </c>
      <c r="B945" s="3" t="inlineStr">
        <is>
          <t>rod</t>
        </is>
      </c>
      <c r="C945" s="3" t="inlineStr">
        <is>
          <t>ker</t>
        </is>
      </c>
      <c r="D945" s="3" t="str">
        <f>IF($B945="",""," | "&amp;$E945&amp;" | "&amp;$F945)</f>
        <v> | Road | Kerosene</v>
      </c>
      <c r="E945" s="3" t="str">
        <f>IFERROR(INDEX(SecLab,MATCH($B945,SecKey,0)),"")</f>
        <v>Road</v>
      </c>
      <c r="F945" s="3" t="str">
        <f>IFERROR(INDEX(FuelLab,MATCH($C945,FuelKeyL,0)),"")</f>
        <v>Kerosene</v>
      </c>
      <c r="G945" s="3" t="inlineStr">
        <is>
          <t>.rod.ker</t>
        </is>
      </c>
      <c r="I945" s="3" t="inlineStr">
        <is>
          <t>ch4|foo|bio</t>
        </is>
      </c>
      <c r="J945" s="3" t="inlineStr">
        <is>
          <t>em.foo.bio.ch4</t>
        </is>
      </c>
    </row>
    <row r="946">
      <c r="A946" s="3" t="str">
        <f>$B946&amp;"|"&amp;$C946</f>
        <v>ral|ker</v>
      </c>
      <c r="B946" s="3" t="inlineStr">
        <is>
          <t>ral</t>
        </is>
      </c>
      <c r="C946" s="3" t="inlineStr">
        <is>
          <t>ker</t>
        </is>
      </c>
      <c r="D946" s="3" t="str">
        <f>IF($B946="",""," | "&amp;$E946&amp;" | "&amp;$F946)</f>
        <v> | Rail | Kerosene</v>
      </c>
      <c r="E946" s="3" t="str">
        <f>IFERROR(INDEX(SecLab,MATCH($B946,SecKey,0)),"")</f>
        <v>Rail</v>
      </c>
      <c r="F946" s="3" t="str">
        <f>IFERROR(INDEX(FuelLab,MATCH($C946,FuelKeyL,0)),"")</f>
        <v>Kerosene</v>
      </c>
      <c r="G946" s="3" t="inlineStr">
        <is>
          <t>.ral.ker</t>
        </is>
      </c>
      <c r="I946" s="3" t="inlineStr">
        <is>
          <t>ener|srv|all</t>
        </is>
      </c>
      <c r="J946" s="3" t="inlineStr">
        <is>
          <t>ener.srv.tot</t>
        </is>
      </c>
    </row>
    <row r="947">
      <c r="A947" s="3" t="str">
        <f>$B947&amp;"|"&amp;$C947</f>
        <v>avi|ker</v>
      </c>
      <c r="B947" s="3" t="inlineStr">
        <is>
          <t>avi</t>
        </is>
      </c>
      <c r="C947" s="3" t="inlineStr">
        <is>
          <t>ker</t>
        </is>
      </c>
      <c r="D947" s="3" t="str">
        <f>IF($B947="",""," | "&amp;$E947&amp;" | "&amp;$F947)</f>
        <v> | Domestic aviation | Kerosene</v>
      </c>
      <c r="E947" s="3" t="str">
        <f>IFERROR(INDEX(SecLab,MATCH($B947,SecKey,0)),"")</f>
        <v>Domestic aviation</v>
      </c>
      <c r="F947" s="3" t="str">
        <f>IFERROR(INDEX(FuelLab,MATCH($C947,FuelKeyL,0)),"")</f>
        <v>Kerosene</v>
      </c>
      <c r="G947" s="3" t="inlineStr">
        <is>
          <t>.avi.ker</t>
        </is>
      </c>
      <c r="I947" s="3" t="inlineStr">
        <is>
          <t>ch4|srv|coa</t>
        </is>
      </c>
      <c r="J947" s="3" t="inlineStr">
        <is>
          <t>em.srv.coa.ch4</t>
        </is>
      </c>
    </row>
    <row r="948">
      <c r="A948" s="3" t="str">
        <f>$B948&amp;"|"&amp;$C948</f>
        <v>nav|ker</v>
      </c>
      <c r="B948" s="3" t="inlineStr">
        <is>
          <t>nav</t>
        </is>
      </c>
      <c r="C948" s="3" t="inlineStr">
        <is>
          <t>ker</t>
        </is>
      </c>
      <c r="D948" s="3" t="str">
        <f>IF($B948="",""," | "&amp;$E948&amp;" | "&amp;$F948)</f>
        <v> | Domestic navigation | Kerosene</v>
      </c>
      <c r="E948" s="3" t="str">
        <f>IFERROR(INDEX(SecLab,MATCH($B948,SecKey,0)),"")</f>
        <v>Domestic navigation</v>
      </c>
      <c r="F948" s="3" t="str">
        <f>IFERROR(INDEX(FuelLab,MATCH($C948,FuelKeyL,0)),"")</f>
        <v>Kerosene</v>
      </c>
      <c r="G948" s="3" t="inlineStr">
        <is>
          <t>.nav.ker</t>
        </is>
      </c>
      <c r="I948" s="3" t="inlineStr">
        <is>
          <t>ch4|srv|nga</t>
        </is>
      </c>
      <c r="J948" s="3" t="inlineStr">
        <is>
          <t>em.srv.nga.ch4</t>
        </is>
      </c>
    </row>
    <row r="949">
      <c r="A949" s="3" t="str">
        <f>$B949&amp;"|"&amp;$C949</f>
        <v>res|ker</v>
      </c>
      <c r="B949" s="3" t="inlineStr">
        <is>
          <t>res</t>
        </is>
      </c>
      <c r="C949" s="3" t="inlineStr">
        <is>
          <t>ker</t>
        </is>
      </c>
      <c r="D949" s="3" t="str">
        <f>IF($B949="",""," | "&amp;$E949&amp;" | "&amp;$F949)</f>
        <v> | Residential | Kerosene</v>
      </c>
      <c r="E949" s="3" t="str">
        <f>IFERROR(INDEX(SecLab,MATCH($B949,SecKey,0)),"")</f>
        <v>Residential</v>
      </c>
      <c r="F949" s="3" t="str">
        <f>IFERROR(INDEX(FuelLab,MATCH($C949,FuelKeyL,0)),"")</f>
        <v>Kerosene</v>
      </c>
      <c r="G949" s="3" t="inlineStr">
        <is>
          <t>.res.ker</t>
        </is>
      </c>
      <c r="I949" s="3" t="inlineStr">
        <is>
          <t>ch4|srv|gso</t>
        </is>
      </c>
      <c r="J949" s="3" t="inlineStr">
        <is>
          <t>em.srv.gso.ch4</t>
        </is>
      </c>
    </row>
    <row r="950">
      <c r="A950" s="3" t="str">
        <f>$B950&amp;"|"&amp;$C950</f>
        <v>foo|ker</v>
      </c>
      <c r="B950" s="3" t="inlineStr">
        <is>
          <t>foo</t>
        </is>
      </c>
      <c r="C950" s="3" t="inlineStr">
        <is>
          <t>ker</t>
        </is>
      </c>
      <c r="D950" s="3" t="str">
        <f>IF($B950="",""," | "&amp;$E950&amp;" | "&amp;$F950)</f>
        <v> | Food &amp; forestry | Kerosene</v>
      </c>
      <c r="E950" s="3" t="str">
        <f>IFERROR(INDEX(SecLab,MATCH($B950,SecKey,0)),"")</f>
        <v>Food &amp; forestry</v>
      </c>
      <c r="F950" s="3" t="str">
        <f>IFERROR(INDEX(FuelLab,MATCH($C950,FuelKeyL,0)),"")</f>
        <v>Kerosene</v>
      </c>
      <c r="G950" s="3" t="inlineStr">
        <is>
          <t>.foo.ker</t>
        </is>
      </c>
      <c r="I950" s="3" t="inlineStr">
        <is>
          <t>ch4|srv|die</t>
        </is>
      </c>
      <c r="J950" s="3" t="inlineStr">
        <is>
          <t>em.srv.die.ch4</t>
        </is>
      </c>
    </row>
    <row r="951">
      <c r="A951" s="3" t="str">
        <f>$B951&amp;"|"&amp;$C951</f>
        <v>srv|ker</v>
      </c>
      <c r="B951" s="3" t="inlineStr">
        <is>
          <t>srv</t>
        </is>
      </c>
      <c r="C951" s="3" t="inlineStr">
        <is>
          <t>ker</t>
        </is>
      </c>
      <c r="D951" s="3" t="str">
        <f>IF($B951="",""," | "&amp;$E951&amp;" | "&amp;$F951)</f>
        <v> | Services (public &amp; private) | Kerosene</v>
      </c>
      <c r="E951" s="3" t="str">
        <f>IFERROR(INDEX(SecLab,MATCH($B951,SecKey,0)),"")</f>
        <v>Services (public &amp; private)</v>
      </c>
      <c r="F951" s="3" t="str">
        <f>IFERROR(INDEX(FuelLab,MATCH($C951,FuelKeyL,0)),"")</f>
        <v>Kerosene</v>
      </c>
      <c r="G951" s="3" t="inlineStr">
        <is>
          <t>.srv.ker</t>
        </is>
      </c>
      <c r="I951" s="3" t="inlineStr">
        <is>
          <t>ch4|srv|lpg</t>
        </is>
      </c>
      <c r="J951" s="3" t="inlineStr">
        <is>
          <t>em.srv.lpg.ch4</t>
        </is>
      </c>
    </row>
    <row r="952">
      <c r="A952" s="3" t="str">
        <f>$B952&amp;"|"&amp;$C952</f>
        <v>mch|ker</v>
      </c>
      <c r="B952" s="3" t="inlineStr">
        <is>
          <t>mch</t>
        </is>
      </c>
      <c r="C952" s="3" t="inlineStr">
        <is>
          <t>ker</t>
        </is>
      </c>
      <c r="D952" s="3" t="str">
        <f>IF($B952="",""," | "&amp;$E952&amp;" | "&amp;$F952)</f>
        <v> | Mining &amp; chemicals | Kerosene</v>
      </c>
      <c r="E952" s="3" t="str">
        <f>IFERROR(INDEX(SecLab,MATCH($B952,SecKey,0)),"")</f>
        <v>Mining &amp; chemicals</v>
      </c>
      <c r="F952" s="3" t="str">
        <f>IFERROR(INDEX(FuelLab,MATCH($C952,FuelKeyL,0)),"")</f>
        <v>Kerosene</v>
      </c>
      <c r="G952" s="3" t="inlineStr">
        <is>
          <t>.mch.ker</t>
        </is>
      </c>
      <c r="I952" s="3" t="inlineStr">
        <is>
          <t>ch4|srv|ker</t>
        </is>
      </c>
      <c r="J952" s="3" t="inlineStr">
        <is>
          <t>em.srv.ker.ch4</t>
        </is>
      </c>
    </row>
    <row r="953">
      <c r="A953" s="3" t="str">
        <f>$B953&amp;"|"&amp;$C953</f>
        <v>irn|ker</v>
      </c>
      <c r="B953" s="3" t="inlineStr">
        <is>
          <t>irn</t>
        </is>
      </c>
      <c r="C953" s="3" t="inlineStr">
        <is>
          <t>ker</t>
        </is>
      </c>
      <c r="D953" s="3" t="str">
        <f>IF($B953="",""," | "&amp;$E953&amp;" | "&amp;$F953)</f>
        <v> | Iron &amp; steel | Kerosene</v>
      </c>
      <c r="E953" s="3" t="str">
        <f>IFERROR(INDEX(SecLab,MATCH($B953,SecKey,0)),"")</f>
        <v>Iron &amp; steel</v>
      </c>
      <c r="F953" s="3" t="str">
        <f>IFERROR(INDEX(FuelLab,MATCH($C953,FuelKeyL,0)),"")</f>
        <v>Kerosene</v>
      </c>
      <c r="G953" s="3" t="inlineStr">
        <is>
          <t>.irn.ker</t>
        </is>
      </c>
      <c r="I953" s="3" t="inlineStr">
        <is>
          <t>ch4|srv|jfu</t>
        </is>
      </c>
      <c r="J953" s="3" t="inlineStr">
        <is>
          <t>em.srv.jfu.ch4</t>
        </is>
      </c>
    </row>
    <row r="954">
      <c r="A954" s="3" t="str">
        <f>$B954&amp;"|"&amp;$C954</f>
        <v>nfm|ker</v>
      </c>
      <c r="B954" s="3" t="inlineStr">
        <is>
          <t>nfm</t>
        </is>
      </c>
      <c r="C954" s="3" t="inlineStr">
        <is>
          <t>ker</t>
        </is>
      </c>
      <c r="D954" s="3" t="str">
        <f>IF($B954="",""," | "&amp;$E954&amp;" | "&amp;$F954)</f>
        <v> | Other metals | Kerosene</v>
      </c>
      <c r="E954" s="3" t="str">
        <f>IFERROR(INDEX(SecLab,MATCH($B954,SecKey,0)),"")</f>
        <v>Other metals</v>
      </c>
      <c r="F954" s="3" t="str">
        <f>IFERROR(INDEX(FuelLab,MATCH($C954,FuelKeyL,0)),"")</f>
        <v>Kerosene</v>
      </c>
      <c r="G954" s="3" t="inlineStr">
        <is>
          <t>.nfm.ker</t>
        </is>
      </c>
      <c r="I954" s="3" t="inlineStr">
        <is>
          <t>ch4|srv|oop</t>
        </is>
      </c>
      <c r="J954" s="3" t="inlineStr">
        <is>
          <t>em.srv.oop.ch4</t>
        </is>
      </c>
    </row>
    <row r="955">
      <c r="A955" s="3" t="str">
        <f>$B955&amp;"|"&amp;$C955</f>
        <v>mac|ker</v>
      </c>
      <c r="B955" s="3" t="inlineStr">
        <is>
          <t>mac</t>
        </is>
      </c>
      <c r="C955" s="3" t="inlineStr">
        <is>
          <t>ker</t>
        </is>
      </c>
      <c r="D955" s="3" t="str">
        <f>IF($B955="",""," | "&amp;$E955&amp;" | "&amp;$F955)</f>
        <v> | Machinery | Kerosene</v>
      </c>
      <c r="E955" s="3" t="str">
        <f>IFERROR(INDEX(SecLab,MATCH($B955,SecKey,0)),"")</f>
        <v>Machinery</v>
      </c>
      <c r="F955" s="3" t="str">
        <f>IFERROR(INDEX(FuelLab,MATCH($C955,FuelKeyL,0)),"")</f>
        <v>Kerosene</v>
      </c>
      <c r="G955" s="3" t="inlineStr">
        <is>
          <t>.mac.ker</t>
        </is>
      </c>
      <c r="I955" s="3" t="inlineStr">
        <is>
          <t>ch4|srv|bio</t>
        </is>
      </c>
      <c r="J955" s="3" t="inlineStr">
        <is>
          <t>em.srv.bio.ch4</t>
        </is>
      </c>
    </row>
    <row r="956">
      <c r="A956" s="3" t="str">
        <f>$B956&amp;"|"&amp;$C956</f>
        <v>cem|ker</v>
      </c>
      <c r="B956" s="3" t="inlineStr">
        <is>
          <t>cem</t>
        </is>
      </c>
      <c r="C956" s="3" t="inlineStr">
        <is>
          <t>ker</t>
        </is>
      </c>
      <c r="D956" s="3" t="str">
        <f>IF($B956="",""," | "&amp;$E956&amp;" | "&amp;$F956)</f>
        <v> | Cement | Kerosene</v>
      </c>
      <c r="E956" s="3" t="str">
        <f>IFERROR(INDEX(SecLab,MATCH($B956,SecKey,0)),"")</f>
        <v>Cement</v>
      </c>
      <c r="F956" s="3" t="str">
        <f>IFERROR(INDEX(FuelLab,MATCH($C956,FuelKeyL,0)),"")</f>
        <v>Kerosene</v>
      </c>
      <c r="G956" s="3" t="inlineStr">
        <is>
          <t>.cem.ker</t>
        </is>
      </c>
      <c r="I956" s="3" t="inlineStr">
        <is>
          <t>ener|bld|all</t>
        </is>
      </c>
      <c r="J956" s="3" t="inlineStr">
        <is>
          <t>ener.bld.tot</t>
        </is>
      </c>
    </row>
    <row r="957">
      <c r="A957" s="3" t="str">
        <f>$B957&amp;"|"&amp;$C957</f>
        <v>omn|ker</v>
      </c>
      <c r="B957" s="3" t="inlineStr">
        <is>
          <t>omn</t>
        </is>
      </c>
      <c r="C957" s="3" t="inlineStr">
        <is>
          <t>ker</t>
        </is>
      </c>
      <c r="D957" s="3" t="str">
        <f>IF($B957="",""," | "&amp;$E957&amp;" | "&amp;$F957)</f>
        <v> | Other manufacturing | Kerosene</v>
      </c>
      <c r="E957" s="3" t="str">
        <f>IFERROR(INDEX(SecLab,MATCH($B957,SecKey,0)),"")</f>
        <v>Other manufacturing</v>
      </c>
      <c r="F957" s="3" t="str">
        <f>IFERROR(INDEX(FuelLab,MATCH($C957,FuelKeyL,0)),"")</f>
        <v>Kerosene</v>
      </c>
      <c r="G957" s="3" t="inlineStr">
        <is>
          <t>.omn.ker</t>
        </is>
      </c>
      <c r="I957" s="3" t="inlineStr">
        <is>
          <t>lks|res|all</t>
        </is>
      </c>
      <c r="J957" s="3" t="inlineStr">
        <is>
          <t>lks.res.tot</t>
        </is>
      </c>
    </row>
    <row r="958">
      <c r="A958" s="3" t="str">
        <f>$B958&amp;"|"&amp;$C958</f>
        <v>cst|ker</v>
      </c>
      <c r="B958" s="3" t="inlineStr">
        <is>
          <t>cst</t>
        </is>
      </c>
      <c r="C958" s="3" t="inlineStr">
        <is>
          <t>ker</t>
        </is>
      </c>
      <c r="D958" s="3" t="str">
        <f>IF($B958="",""," | "&amp;$E958&amp;" | "&amp;$F958)</f>
        <v> | Construction | Kerosene</v>
      </c>
      <c r="E958" s="3" t="str">
        <f>IFERROR(INDEX(SecLab,MATCH($B958,SecKey,0)),"")</f>
        <v>Construction</v>
      </c>
      <c r="F958" s="3" t="str">
        <f>IFERROR(INDEX(FuelLab,MATCH($C958,FuelKeyL,0)),"")</f>
        <v>Kerosene</v>
      </c>
      <c r="G958" s="3" t="inlineStr">
        <is>
          <t>.cst.ker</t>
        </is>
      </c>
      <c r="I958" s="3" t="inlineStr">
        <is>
          <t>ener|mch|all</t>
        </is>
      </c>
      <c r="J958" s="3" t="inlineStr">
        <is>
          <t>ener.mch.tot</t>
        </is>
      </c>
    </row>
    <row r="959">
      <c r="A959" s="3" t="str">
        <f>$B959&amp;"|"&amp;$C959</f>
        <v>ftr|ker</v>
      </c>
      <c r="B959" s="3" t="inlineStr">
        <is>
          <t>ftr</t>
        </is>
      </c>
      <c r="C959" s="3" t="inlineStr">
        <is>
          <t>ker</t>
        </is>
      </c>
      <c r="D959" s="3" t="str">
        <f>IF($B959="",""," | "&amp;$E959&amp;" | "&amp;$F959)</f>
        <v> | Fuel transformation | Kerosene</v>
      </c>
      <c r="E959" s="3" t="str">
        <f>IFERROR(INDEX(SecLab,MATCH($B959,SecKey,0)),"")</f>
        <v>Fuel transformation</v>
      </c>
      <c r="F959" s="3" t="str">
        <f>IFERROR(INDEX(FuelLab,MATCH($C959,FuelKeyL,0)),"")</f>
        <v>Kerosene</v>
      </c>
      <c r="G959" s="3" t="inlineStr">
        <is>
          <t>.ftr.ker</t>
        </is>
      </c>
      <c r="I959" s="3" t="inlineStr">
        <is>
          <t>ch4|mch|coa</t>
        </is>
      </c>
      <c r="J959" s="3" t="inlineStr">
        <is>
          <t>em.mch.coa.ch4</t>
        </is>
      </c>
    </row>
    <row r="960">
      <c r="A960" s="3" t="str">
        <f>$B960&amp;"|"&amp;$C960</f>
        <v>oen|ker</v>
      </c>
      <c r="B960" s="3" t="inlineStr">
        <is>
          <t>oen</t>
        </is>
      </c>
      <c r="C960" s="3" t="inlineStr">
        <is>
          <t>ker</t>
        </is>
      </c>
      <c r="D960" s="3" t="str">
        <f>IF($B960="",""," | "&amp;$E960&amp;" | "&amp;$F960)</f>
        <v> | Other energy use | Kerosene</v>
      </c>
      <c r="E960" s="3" t="str">
        <f>IFERROR(INDEX(SecLab,MATCH($B960,SecKey,0)),"")</f>
        <v>Other energy use</v>
      </c>
      <c r="F960" s="3" t="str">
        <f>IFERROR(INDEX(FuelLab,MATCH($C960,FuelKeyL,0)),"")</f>
        <v>Kerosene</v>
      </c>
      <c r="G960" s="3" t="inlineStr">
        <is>
          <t>.oen.ker</t>
        </is>
      </c>
      <c r="I960" s="3" t="inlineStr">
        <is>
          <t>ch4|mch|nga</t>
        </is>
      </c>
      <c r="J960" s="3" t="inlineStr">
        <is>
          <t>em.mch.nga.ch4</t>
        </is>
      </c>
    </row>
    <row r="961">
      <c r="A961" s="3" t="str">
        <f>$B961&amp;"|"&amp;$C961</f>
        <v>pow|oop</v>
      </c>
      <c r="B961" s="3" t="inlineStr">
        <is>
          <t>pow</t>
        </is>
      </c>
      <c r="C961" s="3" t="inlineStr">
        <is>
          <t>oop</t>
        </is>
      </c>
      <c r="D961" s="3" t="str">
        <f>IF($B961="",""," | "&amp;$E961&amp;" | "&amp;$F961)</f>
        <v> | Power | Other oil products</v>
      </c>
      <c r="E961" s="3" t="str">
        <f>IFERROR(INDEX(SecLab,MATCH($B961,SecKey,0)),"")</f>
        <v>Power</v>
      </c>
      <c r="F961" s="3" t="str">
        <f>IFERROR(INDEX(FuelLab,MATCH($C961,FuelKeyL,0)),"")</f>
        <v>Other oil products</v>
      </c>
      <c r="G961" s="3" t="inlineStr">
        <is>
          <t>.pow.oop</t>
        </is>
      </c>
      <c r="I961" s="3" t="inlineStr">
        <is>
          <t>ch4|mch|gso</t>
        </is>
      </c>
      <c r="J961" s="3" t="inlineStr">
        <is>
          <t>em.mch.gso.ch4</t>
        </is>
      </c>
    </row>
    <row r="962">
      <c r="A962" s="3" t="str">
        <f>$B962&amp;"|"&amp;$C962</f>
        <v>mch|oop</v>
      </c>
      <c r="B962" s="3" t="inlineStr">
        <is>
          <t>mch</t>
        </is>
      </c>
      <c r="C962" s="3" t="inlineStr">
        <is>
          <t>oop</t>
        </is>
      </c>
      <c r="D962" s="3" t="str">
        <f>IF($B962="",""," | "&amp;$E962&amp;" | "&amp;$F962)</f>
        <v> | Mining &amp; chemicals | Other oil products</v>
      </c>
      <c r="E962" s="3" t="str">
        <f>IFERROR(INDEX(SecLab,MATCH($B962,SecKey,0)),"")</f>
        <v>Mining &amp; chemicals</v>
      </c>
      <c r="F962" s="3" t="str">
        <f>IFERROR(INDEX(FuelLab,MATCH($C962,FuelKeyL,0)),"")</f>
        <v>Other oil products</v>
      </c>
      <c r="G962" s="3" t="inlineStr">
        <is>
          <t>.mch.oop</t>
        </is>
      </c>
      <c r="I962" s="3" t="inlineStr">
        <is>
          <t>ch4|mch|die</t>
        </is>
      </c>
      <c r="J962" s="3" t="inlineStr">
        <is>
          <t>em.mch.die.ch4</t>
        </is>
      </c>
    </row>
    <row r="963">
      <c r="A963" s="3" t="str">
        <f>$B963&amp;"|"&amp;$C963</f>
        <v>irn|oop</v>
      </c>
      <c r="B963" s="3" t="inlineStr">
        <is>
          <t>irn</t>
        </is>
      </c>
      <c r="C963" s="3" t="inlineStr">
        <is>
          <t>oop</t>
        </is>
      </c>
      <c r="D963" s="3" t="str">
        <f>IF($B963="",""," | "&amp;$E963&amp;" | "&amp;$F963)</f>
        <v> | Iron &amp; steel | Other oil products</v>
      </c>
      <c r="E963" s="3" t="str">
        <f>IFERROR(INDEX(SecLab,MATCH($B963,SecKey,0)),"")</f>
        <v>Iron &amp; steel</v>
      </c>
      <c r="F963" s="3" t="str">
        <f>IFERROR(INDEX(FuelLab,MATCH($C963,FuelKeyL,0)),"")</f>
        <v>Other oil products</v>
      </c>
      <c r="G963" s="3" t="inlineStr">
        <is>
          <t>.irn.oop</t>
        </is>
      </c>
      <c r="I963" s="3" t="inlineStr">
        <is>
          <t>ch4|mch|lpg</t>
        </is>
      </c>
      <c r="J963" s="3" t="inlineStr">
        <is>
          <t>em.mch.lpg.ch4</t>
        </is>
      </c>
    </row>
    <row r="964">
      <c r="A964" s="3" t="str">
        <f>$B964&amp;"|"&amp;$C964</f>
        <v>nfm|oop</v>
      </c>
      <c r="B964" s="3" t="inlineStr">
        <is>
          <t>nfm</t>
        </is>
      </c>
      <c r="C964" s="3" t="inlineStr">
        <is>
          <t>oop</t>
        </is>
      </c>
      <c r="D964" s="3" t="str">
        <f>IF($B964="",""," | "&amp;$E964&amp;" | "&amp;$F964)</f>
        <v> | Other metals | Other oil products</v>
      </c>
      <c r="E964" s="3" t="str">
        <f>IFERROR(INDEX(SecLab,MATCH($B964,SecKey,0)),"")</f>
        <v>Other metals</v>
      </c>
      <c r="F964" s="3" t="str">
        <f>IFERROR(INDEX(FuelLab,MATCH($C964,FuelKeyL,0)),"")</f>
        <v>Other oil products</v>
      </c>
      <c r="G964" s="3" t="inlineStr">
        <is>
          <t>.nfm.oop</t>
        </is>
      </c>
      <c r="I964" s="3" t="inlineStr">
        <is>
          <t>ch4|mch|ker</t>
        </is>
      </c>
      <c r="J964" s="3" t="inlineStr">
        <is>
          <t>em.mch.ker.ch4</t>
        </is>
      </c>
    </row>
    <row r="965">
      <c r="A965" s="3" t="str">
        <f>$B965&amp;"|"&amp;$C965</f>
        <v>mac|oop</v>
      </c>
      <c r="B965" s="3" t="inlineStr">
        <is>
          <t>mac</t>
        </is>
      </c>
      <c r="C965" s="3" t="inlineStr">
        <is>
          <t>oop</t>
        </is>
      </c>
      <c r="D965" s="3" t="str">
        <f>IF($B965="",""," | "&amp;$E965&amp;" | "&amp;$F965)</f>
        <v> | Machinery | Other oil products</v>
      </c>
      <c r="E965" s="3" t="str">
        <f>IFERROR(INDEX(SecLab,MATCH($B965,SecKey,0)),"")</f>
        <v>Machinery</v>
      </c>
      <c r="F965" s="3" t="str">
        <f>IFERROR(INDEX(FuelLab,MATCH($C965,FuelKeyL,0)),"")</f>
        <v>Other oil products</v>
      </c>
      <c r="G965" s="3" t="inlineStr">
        <is>
          <t>.mac.oop</t>
        </is>
      </c>
      <c r="I965" s="3" t="inlineStr">
        <is>
          <t>ch4|mch|jfu</t>
        </is>
      </c>
      <c r="J965" s="3" t="inlineStr">
        <is>
          <t>em.mch.jfu.ch4</t>
        </is>
      </c>
    </row>
    <row r="966">
      <c r="A966" s="3" t="str">
        <f>$B966&amp;"|"&amp;$C966</f>
        <v>cem|oop</v>
      </c>
      <c r="B966" s="3" t="inlineStr">
        <is>
          <t>cem</t>
        </is>
      </c>
      <c r="C966" s="3" t="inlineStr">
        <is>
          <t>oop</t>
        </is>
      </c>
      <c r="D966" s="3" t="str">
        <f>IF($B966="",""," | "&amp;$E966&amp;" | "&amp;$F966)</f>
        <v> | Cement | Other oil products</v>
      </c>
      <c r="E966" s="3" t="str">
        <f>IFERROR(INDEX(SecLab,MATCH($B966,SecKey,0)),"")</f>
        <v>Cement</v>
      </c>
      <c r="F966" s="3" t="str">
        <f>IFERROR(INDEX(FuelLab,MATCH($C966,FuelKeyL,0)),"")</f>
        <v>Other oil products</v>
      </c>
      <c r="G966" s="3" t="inlineStr">
        <is>
          <t>.cem.oop</t>
        </is>
      </c>
      <c r="I966" s="3" t="inlineStr">
        <is>
          <t>ch4|mch|oop</t>
        </is>
      </c>
      <c r="J966" s="3" t="inlineStr">
        <is>
          <t>em.mch.oop.ch4</t>
        </is>
      </c>
    </row>
    <row r="967">
      <c r="A967" s="3" t="str">
        <f>$B967&amp;"|"&amp;$C967</f>
        <v>omn|oop</v>
      </c>
      <c r="B967" s="3" t="inlineStr">
        <is>
          <t>omn</t>
        </is>
      </c>
      <c r="C967" s="3" t="inlineStr">
        <is>
          <t>oop</t>
        </is>
      </c>
      <c r="D967" s="3" t="str">
        <f>IF($B967="",""," | "&amp;$E967&amp;" | "&amp;$F967)</f>
        <v> | Other manufacturing | Other oil products</v>
      </c>
      <c r="E967" s="3" t="str">
        <f>IFERROR(INDEX(SecLab,MATCH($B967,SecKey,0)),"")</f>
        <v>Other manufacturing</v>
      </c>
      <c r="F967" s="3" t="str">
        <f>IFERROR(INDEX(FuelLab,MATCH($C967,FuelKeyL,0)),"")</f>
        <v>Other oil products</v>
      </c>
      <c r="G967" s="3" t="inlineStr">
        <is>
          <t>.omn.oop</t>
        </is>
      </c>
      <c r="I967" s="3" t="inlineStr">
        <is>
          <t>ch4|mch|bio</t>
        </is>
      </c>
      <c r="J967" s="3" t="inlineStr">
        <is>
          <t>em.mch.bio.ch4</t>
        </is>
      </c>
    </row>
    <row r="968">
      <c r="A968" s="3" t="str">
        <f>$B968&amp;"|"&amp;$C968</f>
        <v>cst|oop</v>
      </c>
      <c r="B968" s="3" t="inlineStr">
        <is>
          <t>cst</t>
        </is>
      </c>
      <c r="C968" s="3" t="inlineStr">
        <is>
          <t>oop</t>
        </is>
      </c>
      <c r="D968" s="3" t="str">
        <f>IF($B968="",""," | "&amp;$E968&amp;" | "&amp;$F968)</f>
        <v> | Construction | Other oil products</v>
      </c>
      <c r="E968" s="3" t="str">
        <f>IFERROR(INDEX(SecLab,MATCH($B968,SecKey,0)),"")</f>
        <v>Construction</v>
      </c>
      <c r="F968" s="3" t="str">
        <f>IFERROR(INDEX(FuelLab,MATCH($C968,FuelKeyL,0)),"")</f>
        <v>Other oil products</v>
      </c>
      <c r="G968" s="3" t="inlineStr">
        <is>
          <t>.cst.oop</t>
        </is>
      </c>
      <c r="I968" s="3" t="inlineStr">
        <is>
          <t>ener|irn|all</t>
        </is>
      </c>
      <c r="J968" s="3" t="inlineStr">
        <is>
          <t>ener.irn.tot</t>
        </is>
      </c>
    </row>
    <row r="969">
      <c r="A969" s="3" t="str">
        <f>$B969&amp;"|"&amp;$C969</f>
        <v>ftr|oop</v>
      </c>
      <c r="B969" s="3" t="inlineStr">
        <is>
          <t>ftr</t>
        </is>
      </c>
      <c r="C969" s="3" t="inlineStr">
        <is>
          <t>oop</t>
        </is>
      </c>
      <c r="D969" s="3" t="str">
        <f>IF($B969="",""," | "&amp;$E969&amp;" | "&amp;$F969)</f>
        <v> | Fuel transformation | Other oil products</v>
      </c>
      <c r="E969" s="3" t="str">
        <f>IFERROR(INDEX(SecLab,MATCH($B969,SecKey,0)),"")</f>
        <v>Fuel transformation</v>
      </c>
      <c r="F969" s="3" t="str">
        <f>IFERROR(INDEX(FuelLab,MATCH($C969,FuelKeyL,0)),"")</f>
        <v>Other oil products</v>
      </c>
      <c r="G969" s="3" t="inlineStr">
        <is>
          <t>.ftr.oop</t>
        </is>
      </c>
      <c r="I969" s="3" t="inlineStr">
        <is>
          <t>ch4|irn|coa</t>
        </is>
      </c>
      <c r="J969" s="3" t="inlineStr">
        <is>
          <t>em.irn.coa.ch4</t>
        </is>
      </c>
    </row>
    <row r="970">
      <c r="A970" s="3" t="str">
        <f>$B970&amp;"|"&amp;$C970</f>
        <v>pas|gso</v>
      </c>
      <c r="B970" s="3" t="inlineStr">
        <is>
          <t>pas</t>
        </is>
      </c>
      <c r="C970" s="3" t="inlineStr">
        <is>
          <t>gso</t>
        </is>
      </c>
      <c r="D970" s="3" t="str">
        <f>IF($B970="",""," | "&amp;$E970&amp;" | "&amp;$F970)</f>
        <v> | Passenger and light vehicles | Gasoline</v>
      </c>
      <c r="E970" s="3" t="str">
        <f>IFERROR(INDEX(SecLab,MATCH($B970,SecKey,0)),"")</f>
        <v>Passenger and light vehicles</v>
      </c>
      <c r="F970" s="3" t="str">
        <f>IFERROR(INDEX(FuelLab,MATCH($C970,FuelKeyL,0)),"")</f>
        <v>Gasoline</v>
      </c>
      <c r="G970" s="3" t="inlineStr">
        <is>
          <t>.pass.gso</t>
        </is>
      </c>
      <c r="I970" s="3" t="inlineStr">
        <is>
          <t>ch4|irn|nga</t>
        </is>
      </c>
      <c r="J970" s="3" t="inlineStr">
        <is>
          <t>em.irn.nga.ch4</t>
        </is>
      </c>
    </row>
    <row r="971">
      <c r="A971" s="3" t="str">
        <f>$B971&amp;"|"&amp;$C971</f>
        <v>pas|die</v>
      </c>
      <c r="B971" s="3" t="inlineStr">
        <is>
          <t>pas</t>
        </is>
      </c>
      <c r="C971" s="3" t="inlineStr">
        <is>
          <t>die</t>
        </is>
      </c>
      <c r="D971" s="3" t="str">
        <f>IF($B971="",""," | "&amp;$E971&amp;" | "&amp;$F971)</f>
        <v> | Passenger and light vehicles | Diesel</v>
      </c>
      <c r="E971" s="3" t="str">
        <f>IFERROR(INDEX(SecLab,MATCH($B971,SecKey,0)),"")</f>
        <v>Passenger and light vehicles</v>
      </c>
      <c r="F971" s="3" t="str">
        <f>IFERROR(INDEX(FuelLab,MATCH($C971,FuelKeyL,0)),"")</f>
        <v>Diesel</v>
      </c>
      <c r="G971" s="3" t="inlineStr">
        <is>
          <t>.pass.die</t>
        </is>
      </c>
      <c r="I971" s="3" t="inlineStr">
        <is>
          <t>ch4|irn|gso</t>
        </is>
      </c>
      <c r="J971" s="3" t="inlineStr">
        <is>
          <t>em.irn.gso.ch4</t>
        </is>
      </c>
    </row>
    <row r="972">
      <c r="A972" s="3" t="str">
        <f>$B972&amp;"|"&amp;$C972</f>
        <v>tra|all</v>
      </c>
      <c r="B972" s="3" t="inlineStr">
        <is>
          <t>tra</t>
        </is>
      </c>
      <c r="C972" s="3" t="inlineStr">
        <is>
          <t>all</t>
        </is>
      </c>
      <c r="D972" s="3" t="str">
        <f>IF($B972="",""," | "&amp;$E972&amp;" | "&amp;$F972)</f>
        <v> | Transport | All fuels</v>
      </c>
      <c r="E972" s="3" t="str">
        <f>IFERROR(INDEX(SecLab,MATCH($B972,SecKey,0)),"")</f>
        <v>Transport</v>
      </c>
      <c r="F972" s="3" t="str">
        <f>IFERROR(INDEX(FuelLab,MATCH($C972,FuelKeyL,0)),"")</f>
        <v>All fuels</v>
      </c>
      <c r="G972" s="3" t="inlineStr">
        <is>
          <t>.tra.all</t>
        </is>
      </c>
      <c r="I972" s="3" t="inlineStr">
        <is>
          <t>ch4|irn|die</t>
        </is>
      </c>
      <c r="J972" s="3" t="inlineStr">
        <is>
          <t>em.irn.die.ch4</t>
        </is>
      </c>
    </row>
    <row r="973">
      <c r="A973" s="3" t="str">
        <f>$B973&amp;"|"&amp;$C973</f>
        <v>ind|all</v>
      </c>
      <c r="B973" s="3" t="inlineStr">
        <is>
          <t>ind</t>
        </is>
      </c>
      <c r="C973" s="3" t="inlineStr">
        <is>
          <t>all</t>
        </is>
      </c>
      <c r="D973" s="3" t="str">
        <f>IF($B973="",""," | "&amp;$E973&amp;" | "&amp;$F973)</f>
        <v> | Industry | All fuels</v>
      </c>
      <c r="E973" s="3" t="str">
        <f>IFERROR(INDEX(SecLab,MATCH($B973,SecKey,0)),"")</f>
        <v>Industry</v>
      </c>
      <c r="F973" s="3" t="str">
        <f>IFERROR(INDEX(FuelLab,MATCH($C973,FuelKeyL,0)),"")</f>
        <v>All fuels</v>
      </c>
      <c r="G973" s="3" t="inlineStr">
        <is>
          <t>.ind.all</t>
        </is>
      </c>
      <c r="I973" s="3" t="inlineStr">
        <is>
          <t>ch4|irn|lpg</t>
        </is>
      </c>
      <c r="J973" s="3" t="inlineStr">
        <is>
          <t>em.irn.lpg.ch4</t>
        </is>
      </c>
    </row>
    <row r="974">
      <c r="A974" s="3" t="str">
        <f>$B974&amp;"|"&amp;$C974</f>
        <v>dg|all</v>
      </c>
      <c r="B974" s="3" t="inlineStr">
        <is>
          <t>dg</t>
        </is>
      </c>
      <c r="C974" s="3" t="inlineStr">
        <is>
          <t>all</t>
        </is>
      </c>
      <c r="D974" s="3" t="str">
        <f>IF($B974="",""," | "&amp;$E974&amp;" | "&amp;$F974)</f>
        <v> |  | All fuels</v>
      </c>
      <c r="E974" s="3" t="str">
        <f>IFERROR(INDEX(SecLab,MATCH($B974,SecKey,0)),"")</f>
        <v/>
      </c>
      <c r="F974" s="3" t="str">
        <f>IFERROR(INDEX(FuelLab,MATCH($C974,FuelKeyL,0)),"")</f>
        <v>All fuels</v>
      </c>
      <c r="G974" s="3" t="inlineStr">
        <is>
          <t>.dg.all</t>
        </is>
      </c>
      <c r="I974" s="3" t="inlineStr">
        <is>
          <t>ch4|irn|ker</t>
        </is>
      </c>
      <c r="J974" s="3" t="inlineStr">
        <is>
          <t>em.irn.ker.ch4</t>
        </is>
      </c>
    </row>
    <row r="975">
      <c r="A975" s="3" t="str">
        <f>$B975&amp;"|"&amp;$C975</f>
        <v>bm|all</v>
      </c>
      <c r="B975" s="3" t="inlineStr">
        <is>
          <t>bm</t>
        </is>
      </c>
      <c r="C975" s="3" t="inlineStr">
        <is>
          <t>all</t>
        </is>
      </c>
      <c r="D975" s="3" t="str">
        <f>IF($B975="",""," | "&amp;$E975&amp;" | "&amp;$F975)</f>
        <v> |  | All fuels</v>
      </c>
      <c r="E975" s="3" t="str">
        <f>IFERROR(INDEX(SecLab,MATCH($B975,SecKey,0)),"")</f>
        <v/>
      </c>
      <c r="F975" s="3" t="str">
        <f>IFERROR(INDEX(FuelLab,MATCH($C975,FuelKeyL,0)),"")</f>
        <v>All fuels</v>
      </c>
      <c r="G975" s="3" t="inlineStr">
        <is>
          <t>.bm.all</t>
        </is>
      </c>
      <c r="I975" s="3" t="inlineStr">
        <is>
          <t>ch4|irn|jfu</t>
        </is>
      </c>
      <c r="J975" s="3" t="inlineStr">
        <is>
          <t>em.irn.jfu.ch4</t>
        </is>
      </c>
    </row>
    <row r="976">
      <c r="A976" s="3" t="str">
        <f>$B976&amp;"|"&amp;$C976</f>
        <v>ps|all</v>
      </c>
      <c r="B976" s="3" t="inlineStr">
        <is>
          <t>ps</t>
        </is>
      </c>
      <c r="C976" s="3" t="inlineStr">
        <is>
          <t>all</t>
        </is>
      </c>
      <c r="D976" s="3" t="str">
        <f>IF($B976="",""," | "&amp;$E976&amp;" | "&amp;$F976)</f>
        <v> |  | All fuels</v>
      </c>
      <c r="E976" s="3" t="str">
        <f>IFERROR(INDEX(SecLab,MATCH($B976,SecKey,0)),"")</f>
        <v/>
      </c>
      <c r="F976" s="3" t="str">
        <f>IFERROR(INDEX(FuelLab,MATCH($C976,FuelKeyL,0)),"")</f>
        <v>All fuels</v>
      </c>
      <c r="G976" s="3" t="inlineStr">
        <is>
          <t>.ps.all</t>
        </is>
      </c>
      <c r="I976" s="3" t="inlineStr">
        <is>
          <t>ch4|irn|oop</t>
        </is>
      </c>
      <c r="J976" s="3" t="inlineStr">
        <is>
          <t>em.irn.oop.ch4</t>
        </is>
      </c>
    </row>
    <row r="977">
      <c r="A977" s="3" t="str">
        <f>$B977&amp;"|"&amp;$C977</f>
        <v>cs|all</v>
      </c>
      <c r="B977" s="3" t="inlineStr">
        <is>
          <t>cs</t>
        </is>
      </c>
      <c r="C977" s="3" t="inlineStr">
        <is>
          <t>all</t>
        </is>
      </c>
      <c r="D977" s="3" t="str">
        <f>IF($B977="",""," | "&amp;$E977&amp;" | "&amp;$F977)</f>
        <v> |  | All fuels</v>
      </c>
      <c r="E977" s="3" t="str">
        <f>IFERROR(INDEX(SecLab,MATCH($B977,SecKey,0)),"")</f>
        <v/>
      </c>
      <c r="F977" s="3" t="str">
        <f>IFERROR(INDEX(FuelLab,MATCH($C977,FuelKeyL,0)),"")</f>
        <v>All fuels</v>
      </c>
      <c r="G977" s="3" t="inlineStr">
        <is>
          <t>.cs.all</t>
        </is>
      </c>
      <c r="I977" s="3" t="inlineStr">
        <is>
          <t>ch4|irn|bio</t>
        </is>
      </c>
      <c r="J977" s="3" t="inlineStr">
        <is>
          <t>em.irn.bio.ch4</t>
        </is>
      </c>
    </row>
    <row r="978">
      <c r="A978" s="3" t="str">
        <f>$B978&amp;"|"&amp;$C978</f>
        <v>pc|all</v>
      </c>
      <c r="B978" s="3" t="inlineStr">
        <is>
          <t>pc</t>
        </is>
      </c>
      <c r="C978" s="3" t="inlineStr">
        <is>
          <t>all</t>
        </is>
      </c>
      <c r="D978" s="3" t="str">
        <f>IF($B978="",""," | "&amp;$E978&amp;" | "&amp;$F978)</f>
        <v> |  | All fuels</v>
      </c>
      <c r="E978" s="3" t="str">
        <f>IFERROR(INDEX(SecLab,MATCH($B978,SecKey,0)),"")</f>
        <v/>
      </c>
      <c r="F978" s="3" t="str">
        <f>IFERROR(INDEX(FuelLab,MATCH($C978,FuelKeyL,0)),"")</f>
        <v>All fuels</v>
      </c>
      <c r="G978" s="3" t="inlineStr">
        <is>
          <t>.pc.all</t>
        </is>
      </c>
      <c r="I978" s="3" t="inlineStr">
        <is>
          <t>ener|nfm|all</t>
        </is>
      </c>
      <c r="J978" s="3" t="inlineStr">
        <is>
          <t>ener.nfm.tot</t>
        </is>
      </c>
    </row>
    <row r="979">
      <c r="A979" s="3" t="str">
        <f>$B979&amp;"|"&amp;$C979</f>
        <v>all|oil</v>
      </c>
      <c r="B979" s="3" t="inlineStr">
        <is>
          <t>all</t>
        </is>
      </c>
      <c r="C979" s="3" t="inlineStr">
        <is>
          <t>oil</t>
        </is>
      </c>
      <c r="D979" s="3" t="str">
        <f>IF($B979="",""," | "&amp;$E979&amp;" | "&amp;$F979)</f>
        <v> | All sectors | Crude oil</v>
      </c>
      <c r="E979" s="3" t="str">
        <f>IFERROR(INDEX(SecLab,MATCH($B979,SecKey,0)),"")</f>
        <v>All sectors</v>
      </c>
      <c r="F979" s="3" t="str">
        <f>IFERROR(INDEX(FuelLab,MATCH($C979,FuelKeyL,0)),"")</f>
        <v>Crude oil</v>
      </c>
      <c r="G979" s="3" t="inlineStr">
        <is>
          <t>.all.oil</t>
        </is>
      </c>
      <c r="I979" s="3" t="inlineStr">
        <is>
          <t>ch4|nfm|coa</t>
        </is>
      </c>
      <c r="J979" s="3" t="inlineStr">
        <is>
          <t>em.nfm.coa.ch4</t>
        </is>
      </c>
    </row>
    <row r="980">
      <c r="A980" s="3" t="str">
        <f>$B980&amp;"|"&amp;$C980</f>
        <v>all|ecy</v>
      </c>
      <c r="B980" s="3" t="inlineStr">
        <is>
          <t>all</t>
        </is>
      </c>
      <c r="C980" s="3" t="inlineStr">
        <is>
          <t>ecy</t>
        </is>
      </c>
      <c r="D980" s="3" t="str">
        <f>IF($B980="",""," | "&amp;$E980&amp;" | "&amp;$F980)</f>
        <v> | All sectors | Electricity</v>
      </c>
      <c r="E980" s="3" t="str">
        <f>IFERROR(INDEX(SecLab,MATCH($B980,SecKey,0)),"")</f>
        <v>All sectors</v>
      </c>
      <c r="F980" s="3" t="str">
        <f>IFERROR(INDEX(FuelLab,MATCH($C980,FuelKeyL,0)),"")</f>
        <v>Electricity</v>
      </c>
      <c r="G980" s="3" t="inlineStr">
        <is>
          <t>.all.ecy</t>
        </is>
      </c>
      <c r="I980" s="3" t="inlineStr">
        <is>
          <t>ch4|nfm|nga</t>
        </is>
      </c>
      <c r="J980" s="3" t="inlineStr">
        <is>
          <t>em.nfm.nga.ch4</t>
        </is>
      </c>
    </row>
    <row r="981">
      <c r="A981" s="3" t="str">
        <f>$B981&amp;"|"&amp;$C981</f>
        <v>all|all</v>
      </c>
      <c r="B981" s="3" t="inlineStr">
        <is>
          <t>all</t>
        </is>
      </c>
      <c r="C981" s="3" t="inlineStr">
        <is>
          <t>all</t>
        </is>
      </c>
      <c r="D981" s="3" t="str">
        <f>IF($B981="",""," | "&amp;$E981&amp;" | "&amp;$F981)</f>
        <v> | All sectors | All fuels</v>
      </c>
      <c r="E981" s="3" t="str">
        <f>IFERROR(INDEX(SecLab,MATCH($B981,SecKey,0)),"")</f>
        <v>All sectors</v>
      </c>
      <c r="F981" s="3" t="str">
        <f>IFERROR(INDEX(FuelLab,MATCH($C981,FuelKeyL,0)),"")</f>
        <v>All fuels</v>
      </c>
      <c r="G981" s="3" t="inlineStr">
        <is>
          <t>.all.all</t>
        </is>
      </c>
      <c r="I981" s="3" t="inlineStr">
        <is>
          <t>ch4|nfm|gso</t>
        </is>
      </c>
      <c r="J981" s="3" t="inlineStr">
        <is>
          <t>em.nfm.gso.ch4</t>
        </is>
      </c>
    </row>
    <row r="982">
      <c r="A982" s="3" t="str">
        <f>$B982&amp;"|"&amp;$C982</f>
        <v>int|oil</v>
      </c>
      <c r="B982" s="3" t="inlineStr">
        <is>
          <t>int</t>
        </is>
      </c>
      <c r="C982" s="3" t="inlineStr">
        <is>
          <t>oil</t>
        </is>
      </c>
      <c r="D982" s="3" t="str">
        <f>IF($B982="",""," | "&amp;$E982&amp;" | "&amp;$F982)</f>
        <v> | International | Crude oil</v>
      </c>
      <c r="E982" s="3" t="str">
        <f>IFERROR(INDEX(SecLab,MATCH($B982,SecKey,0)),"")</f>
        <v>International</v>
      </c>
      <c r="F982" s="3" t="str">
        <f>IFERROR(INDEX(FuelLab,MATCH($C982,FuelKeyL,0)),"")</f>
        <v>Crude oil</v>
      </c>
      <c r="G982" s="3" t="inlineStr">
        <is>
          <t>.int.oil</t>
        </is>
      </c>
      <c r="I982" s="3" t="inlineStr">
        <is>
          <t>ch4|nfm|die</t>
        </is>
      </c>
      <c r="J982" s="3" t="inlineStr">
        <is>
          <t>em.nfm.die.ch4</t>
        </is>
      </c>
    </row>
    <row r="983">
      <c r="A983" s="3" t="str">
        <f>$B983&amp;"|"&amp;$C983</f>
        <v>int|coa</v>
      </c>
      <c r="B983" s="3" t="inlineStr">
        <is>
          <t>int</t>
        </is>
      </c>
      <c r="C983" s="3" t="inlineStr">
        <is>
          <t>coa</t>
        </is>
      </c>
      <c r="D983" s="3" t="str">
        <f>IF($B983="",""," | "&amp;$E983&amp;" | "&amp;$F983)</f>
        <v> | International | Coal</v>
      </c>
      <c r="E983" s="3" t="str">
        <f>IFERROR(INDEX(SecLab,MATCH($B983,SecKey,0)),"")</f>
        <v>International</v>
      </c>
      <c r="F983" s="3" t="str">
        <f>IFERROR(INDEX(FuelLab,MATCH($C983,FuelKeyL,0)),"")</f>
        <v>Coal</v>
      </c>
      <c r="G983" s="3" t="inlineStr">
        <is>
          <t>.int.coa</t>
        </is>
      </c>
      <c r="I983" s="3" t="inlineStr">
        <is>
          <t>ch4|nfm|lpg</t>
        </is>
      </c>
      <c r="J983" s="3" t="inlineStr">
        <is>
          <t>em.nfm.lpg.ch4</t>
        </is>
      </c>
    </row>
    <row r="984">
      <c r="A984" s="3" t="str">
        <f>$B984&amp;"|"&amp;$C984</f>
        <v>int|nga</v>
      </c>
      <c r="B984" s="3" t="inlineStr">
        <is>
          <t>int</t>
        </is>
      </c>
      <c r="C984" s="3" t="inlineStr">
        <is>
          <t>nga</t>
        </is>
      </c>
      <c r="D984" s="3" t="str">
        <f>IF($B984="",""," | "&amp;$E984&amp;" | "&amp;$F984)</f>
        <v> | International | Natural gas</v>
      </c>
      <c r="E984" s="3" t="str">
        <f>IFERROR(INDEX(SecLab,MATCH($B984,SecKey,0)),"")</f>
        <v>International</v>
      </c>
      <c r="F984" s="3" t="str">
        <f>IFERROR(INDEX(FuelLab,MATCH($C984,FuelKeyL,0)),"")</f>
        <v>Natural gas</v>
      </c>
      <c r="G984" s="3" t="inlineStr">
        <is>
          <t>.int.nga</t>
        </is>
      </c>
      <c r="I984" s="3" t="inlineStr">
        <is>
          <t>ch4|nfm|ker</t>
        </is>
      </c>
      <c r="J984" s="3" t="inlineStr">
        <is>
          <t>em.nfm.ker.ch4</t>
        </is>
      </c>
    </row>
    <row r="985">
      <c r="A985" s="3" t="str">
        <f>$B985&amp;"|"&amp;$C985</f>
        <v>int|one</v>
      </c>
      <c r="B985" s="3" t="inlineStr">
        <is>
          <t>int</t>
        </is>
      </c>
      <c r="C985" s="3" t="inlineStr">
        <is>
          <t>one</t>
        </is>
      </c>
      <c r="D985" s="3" t="str">
        <f>IF($B985="",""," | "&amp;$E985&amp;" | "&amp;$F985)</f>
        <v> | International | Flat (no change)</v>
      </c>
      <c r="E985" s="3" t="str">
        <f>IFERROR(INDEX(SecLab,MATCH($B985,SecKey,0)),"")</f>
        <v>International</v>
      </c>
      <c r="F985" s="3" t="str">
        <f>IFERROR(INDEX(FuelLab,MATCH($C985,FuelKeyL,0)),"")</f>
        <v>Flat (no change)</v>
      </c>
      <c r="G985" s="3" t="inlineStr">
        <is>
          <t>.int.one</t>
        </is>
      </c>
      <c r="I985" s="3" t="inlineStr">
        <is>
          <t>ch4|nfm|jfu</t>
        </is>
      </c>
      <c r="J985" s="3" t="inlineStr">
        <is>
          <t>em.nfm.jfu.ch4</t>
        </is>
      </c>
    </row>
    <row r="986">
      <c r="A986" s="3" t="str">
        <f>$B986&amp;"|"&amp;$C986</f>
        <v>pow|nuc</v>
      </c>
      <c r="B986" s="3" t="inlineStr">
        <is>
          <t>pow</t>
        </is>
      </c>
      <c r="C986" s="3" t="inlineStr">
        <is>
          <t>nuc</t>
        </is>
      </c>
      <c r="D986" s="3" t="str">
        <f>IF($B986="",""," | "&amp;$E986&amp;" | "&amp;$F986)</f>
        <v> | Power | Nuclear</v>
      </c>
      <c r="E986" s="3" t="str">
        <f>IFERROR(INDEX(SecLab,MATCH($B986,SecKey,0)),"")</f>
        <v>Power</v>
      </c>
      <c r="F986" s="3" t="str">
        <f>IFERROR(INDEX(FuelLab,MATCH($C986,FuelKeyL,0)),"")</f>
        <v>Nuclear</v>
      </c>
      <c r="G986" s="3" t="inlineStr">
        <is>
          <t>.pow.nuc</t>
        </is>
      </c>
      <c r="I986" s="3" t="inlineStr">
        <is>
          <t>ch4|nfm|oop</t>
        </is>
      </c>
      <c r="J986" s="3" t="inlineStr">
        <is>
          <t>em.nfm.oop.ch4</t>
        </is>
      </c>
    </row>
    <row r="987">
      <c r="A987" s="3" t="str">
        <f>$B987&amp;"|"&amp;$C987</f>
        <v>pow|wnd</v>
      </c>
      <c r="B987" s="3" t="inlineStr">
        <is>
          <t>pow</t>
        </is>
      </c>
      <c r="C987" s="3" t="inlineStr">
        <is>
          <t>wnd</t>
        </is>
      </c>
      <c r="D987" s="3" t="str">
        <f>IF($B987="",""," | "&amp;$E987&amp;" | "&amp;$F987)</f>
        <v> | Power | Wind</v>
      </c>
      <c r="E987" s="3" t="str">
        <f>IFERROR(INDEX(SecLab,MATCH($B987,SecKey,0)),"")</f>
        <v>Power</v>
      </c>
      <c r="F987" s="3" t="str">
        <f>IFERROR(INDEX(FuelLab,MATCH($C987,FuelKeyL,0)),"")</f>
        <v>Wind</v>
      </c>
      <c r="G987" s="3" t="inlineStr">
        <is>
          <t>.pow.wnd</t>
        </is>
      </c>
      <c r="I987" s="3" t="inlineStr">
        <is>
          <t>ch4|nfm|bio</t>
        </is>
      </c>
      <c r="J987" s="3" t="inlineStr">
        <is>
          <t>em.nfm.bio.ch4</t>
        </is>
      </c>
    </row>
    <row r="988">
      <c r="A988" s="3" t="str">
        <f>$B988&amp;"|"&amp;$C988</f>
        <v>pow|sol</v>
      </c>
      <c r="B988" s="3" t="inlineStr">
        <is>
          <t>pow</t>
        </is>
      </c>
      <c r="C988" s="3" t="inlineStr">
        <is>
          <t>sol</t>
        </is>
      </c>
      <c r="D988" s="3" t="str">
        <f>IF($B988="",""," | "&amp;$E988&amp;" | "&amp;$F988)</f>
        <v> | Power | Solar</v>
      </c>
      <c r="E988" s="3" t="str">
        <f>IFERROR(INDEX(SecLab,MATCH($B988,SecKey,0)),"")</f>
        <v>Power</v>
      </c>
      <c r="F988" s="3" t="str">
        <f>IFERROR(INDEX(FuelLab,MATCH($C988,FuelKeyL,0)),"")</f>
        <v>Solar</v>
      </c>
      <c r="G988" s="3" t="inlineStr">
        <is>
          <t>.pow.sol</t>
        </is>
      </c>
      <c r="I988" s="3" t="inlineStr">
        <is>
          <t>ener|mac|all</t>
        </is>
      </c>
      <c r="J988" s="3" t="inlineStr">
        <is>
          <t>ener.mac.tot</t>
        </is>
      </c>
    </row>
    <row r="989">
      <c r="A989" s="3" t="str">
        <f>$B989&amp;"|"&amp;$C989</f>
        <v>pow|hyd</v>
      </c>
      <c r="B989" s="3" t="inlineStr">
        <is>
          <t>pow</t>
        </is>
      </c>
      <c r="C989" s="3" t="inlineStr">
        <is>
          <t>hyd</t>
        </is>
      </c>
      <c r="D989" s="3" t="str">
        <f>IF($B989="",""," | "&amp;$E989&amp;" | "&amp;$F989)</f>
        <v> | Power | Hydro</v>
      </c>
      <c r="E989" s="3" t="str">
        <f>IFERROR(INDEX(SecLab,MATCH($B989,SecKey,0)),"")</f>
        <v>Power</v>
      </c>
      <c r="F989" s="3" t="str">
        <f>IFERROR(INDEX(FuelLab,MATCH($C989,FuelKeyL,0)),"")</f>
        <v>Hydro</v>
      </c>
      <c r="G989" s="3" t="inlineStr">
        <is>
          <t>.pow.hyd</t>
        </is>
      </c>
      <c r="I989" s="3" t="inlineStr">
        <is>
          <t>ch4|mac|coa</t>
        </is>
      </c>
      <c r="J989" s="3" t="inlineStr">
        <is>
          <t>em.mac.coa.ch4</t>
        </is>
      </c>
    </row>
    <row r="990">
      <c r="A990" s="3" t="str">
        <f>$B990&amp;"|"&amp;$C990</f>
        <v>pow|ore</v>
      </c>
      <c r="B990" s="3" t="inlineStr">
        <is>
          <t>pow</t>
        </is>
      </c>
      <c r="C990" s="3" t="inlineStr">
        <is>
          <t>ore</t>
        </is>
      </c>
      <c r="D990" s="3" t="str">
        <f>IF($B990="",""," | "&amp;$E990&amp;" | "&amp;$F990)</f>
        <v> | Power | Other renewables</v>
      </c>
      <c r="E990" s="3" t="str">
        <f>IFERROR(INDEX(SecLab,MATCH($B990,SecKey,0)),"")</f>
        <v>Power</v>
      </c>
      <c r="F990" s="3" t="str">
        <f>IFERROR(INDEX(FuelLab,MATCH($C990,FuelKeyL,0)),"")</f>
        <v>Other renewables</v>
      </c>
      <c r="G990" s="3" t="inlineStr">
        <is>
          <t>.pow.ore</t>
        </is>
      </c>
      <c r="I990" s="3" t="inlineStr">
        <is>
          <t>ch4|mac|nga</t>
        </is>
      </c>
      <c r="J990" s="3" t="inlineStr">
        <is>
          <t>em.mac.nga.ch4</t>
        </is>
      </c>
    </row>
    <row r="991">
      <c r="A991" s="3" t="str">
        <f>$B991&amp;"|"&amp;$C991</f>
        <v>pow|bio</v>
      </c>
      <c r="B991" s="3" t="inlineStr">
        <is>
          <t>pow</t>
        </is>
      </c>
      <c r="C991" s="3" t="inlineStr">
        <is>
          <t>bio</t>
        </is>
      </c>
      <c r="D991" s="3" t="str">
        <f>IF($B991="",""," | "&amp;$E991&amp;" | "&amp;$F991)</f>
        <v> | Power | Biomass</v>
      </c>
      <c r="E991" s="3" t="str">
        <f>IFERROR(INDEX(SecLab,MATCH($B991,SecKey,0)),"")</f>
        <v>Power</v>
      </c>
      <c r="F991" s="3" t="str">
        <f>IFERROR(INDEX(FuelLab,MATCH($C991,FuelKeyL,0)),"")</f>
        <v>Biomass</v>
      </c>
      <c r="G991" s="3" t="inlineStr">
        <is>
          <t>.pow.bio</t>
        </is>
      </c>
      <c r="I991" s="3" t="inlineStr">
        <is>
          <t>ch4|mac|gso</t>
        </is>
      </c>
      <c r="J991" s="3" t="inlineStr">
        <is>
          <t>em.mac.gso.ch4</t>
        </is>
      </c>
    </row>
    <row r="992">
      <c r="A992" s="3" t="str">
        <f>$B992&amp;"|"&amp;$C992</f>
        <v>tra|ecy</v>
      </c>
      <c r="B992" s="3" t="inlineStr">
        <is>
          <t>tra</t>
        </is>
      </c>
      <c r="C992" s="3" t="inlineStr">
        <is>
          <t>ecy</t>
        </is>
      </c>
      <c r="D992" s="3" t="str">
        <f>IF($B992="",""," | "&amp;$E992&amp;" | "&amp;$F992)</f>
        <v> | Transport | Electricity</v>
      </c>
      <c r="E992" s="3" t="str">
        <f>IFERROR(INDEX(SecLab,MATCH($B992,SecKey,0)),"")</f>
        <v>Transport</v>
      </c>
      <c r="F992" s="3" t="str">
        <f>IFERROR(INDEX(FuelLab,MATCH($C992,FuelKeyL,0)),"")</f>
        <v>Electricity</v>
      </c>
      <c r="G992" s="3" t="inlineStr">
        <is>
          <t>.tra.ecy</t>
        </is>
      </c>
      <c r="I992" s="3" t="inlineStr">
        <is>
          <t>ch4|mac|die</t>
        </is>
      </c>
      <c r="J992" s="3" t="inlineStr">
        <is>
          <t>em.mac.die.ch4</t>
        </is>
      </c>
    </row>
    <row r="993">
      <c r="A993" s="3" t="str">
        <f>$B993&amp;"|"&amp;$C993</f>
        <v>srv|ecy</v>
      </c>
      <c r="B993" s="3" t="inlineStr">
        <is>
          <t>srv</t>
        </is>
      </c>
      <c r="C993" s="3" t="inlineStr">
        <is>
          <t>ecy</t>
        </is>
      </c>
      <c r="D993" s="3" t="str">
        <f>IF($B993="",""," | "&amp;$E993&amp;" | "&amp;$F993)</f>
        <v> | Services (public &amp; private) | Electricity</v>
      </c>
      <c r="E993" s="3" t="str">
        <f>IFERROR(INDEX(SecLab,MATCH($B993,SecKey,0)),"")</f>
        <v>Services (public &amp; private)</v>
      </c>
      <c r="F993" s="3" t="str">
        <f>IFERROR(INDEX(FuelLab,MATCH($C993,FuelKeyL,0)),"")</f>
        <v>Electricity</v>
      </c>
      <c r="G993" s="3" t="inlineStr">
        <is>
          <t>.srv.ecy</t>
        </is>
      </c>
      <c r="I993" s="3" t="inlineStr">
        <is>
          <t>ch4|mac|lpg</t>
        </is>
      </c>
      <c r="J993" s="3" t="inlineStr">
        <is>
          <t>em.mac.lpg.ch4</t>
        </is>
      </c>
    </row>
    <row r="994">
      <c r="A994" s="3" t="str">
        <f>$B994&amp;"|"&amp;$C994</f>
        <v>rod|ecy</v>
      </c>
      <c r="B994" s="3" t="inlineStr">
        <is>
          <t>rod</t>
        </is>
      </c>
      <c r="C994" s="3" t="inlineStr">
        <is>
          <t>ecy</t>
        </is>
      </c>
      <c r="D994" s="3" t="str">
        <f>IF($B994="",""," | "&amp;$E994&amp;" | "&amp;$F994)</f>
        <v> | Road | Electricity</v>
      </c>
      <c r="E994" s="3" t="str">
        <f>IFERROR(INDEX(SecLab,MATCH($B994,SecKey,0)),"")</f>
        <v>Road</v>
      </c>
      <c r="F994" s="3" t="str">
        <f>IFERROR(INDEX(FuelLab,MATCH($C994,FuelKeyL,0)),"")</f>
        <v>Electricity</v>
      </c>
      <c r="G994" s="3" t="inlineStr">
        <is>
          <t>.rod.ecy</t>
        </is>
      </c>
      <c r="I994" s="3" t="inlineStr">
        <is>
          <t>ch4|mac|ker</t>
        </is>
      </c>
      <c r="J994" s="3" t="inlineStr">
        <is>
          <t>em.mac.ker.ch4</t>
        </is>
      </c>
    </row>
    <row r="995">
      <c r="A995" s="3" t="str">
        <f>$B995&amp;"|"&amp;$C995</f>
        <v>ral|ecy</v>
      </c>
      <c r="B995" s="3" t="inlineStr">
        <is>
          <t>ral</t>
        </is>
      </c>
      <c r="C995" s="3" t="inlineStr">
        <is>
          <t>ecy</t>
        </is>
      </c>
      <c r="D995" s="3" t="str">
        <f>IF($B995="",""," | "&amp;$E995&amp;" | "&amp;$F995)</f>
        <v> | Rail | Electricity</v>
      </c>
      <c r="E995" s="3" t="str">
        <f>IFERROR(INDEX(SecLab,MATCH($B995,SecKey,0)),"")</f>
        <v>Rail</v>
      </c>
      <c r="F995" s="3" t="str">
        <f>IFERROR(INDEX(FuelLab,MATCH($C995,FuelKeyL,0)),"")</f>
        <v>Electricity</v>
      </c>
      <c r="G995" s="3" t="inlineStr">
        <is>
          <t>.ral.ecy</t>
        </is>
      </c>
      <c r="I995" s="3" t="inlineStr">
        <is>
          <t>ch4|mac|jfu</t>
        </is>
      </c>
      <c r="J995" s="3" t="inlineStr">
        <is>
          <t>em.mac.jfu.ch4</t>
        </is>
      </c>
    </row>
    <row r="996">
      <c r="A996" s="3" t="str">
        <f>$B996&amp;"|"&amp;$C996</f>
        <v>avi|ecy</v>
      </c>
      <c r="B996" s="3" t="inlineStr">
        <is>
          <t>avi</t>
        </is>
      </c>
      <c r="C996" s="3" t="inlineStr">
        <is>
          <t>ecy</t>
        </is>
      </c>
      <c r="D996" s="3" t="str">
        <f>IF($B996="",""," | "&amp;$E996&amp;" | "&amp;$F996)</f>
        <v> | Domestic aviation | Electricity</v>
      </c>
      <c r="E996" s="3" t="str">
        <f>IFERROR(INDEX(SecLab,MATCH($B996,SecKey,0)),"")</f>
        <v>Domestic aviation</v>
      </c>
      <c r="F996" s="3" t="str">
        <f>IFERROR(INDEX(FuelLab,MATCH($C996,FuelKeyL,0)),"")</f>
        <v>Electricity</v>
      </c>
      <c r="G996" s="3" t="inlineStr">
        <is>
          <t>.avi.ecy</t>
        </is>
      </c>
      <c r="I996" s="3" t="inlineStr">
        <is>
          <t>ch4|mac|oop</t>
        </is>
      </c>
      <c r="J996" s="3" t="inlineStr">
        <is>
          <t>em.mac.oop.ch4</t>
        </is>
      </c>
    </row>
    <row r="997">
      <c r="A997" s="3" t="str">
        <f>$B997&amp;"|"&amp;$C997</f>
        <v>nav|ecy</v>
      </c>
      <c r="B997" s="3" t="inlineStr">
        <is>
          <t>nav</t>
        </is>
      </c>
      <c r="C997" s="3" t="inlineStr">
        <is>
          <t>ecy</t>
        </is>
      </c>
      <c r="D997" s="3" t="str">
        <f>IF($B997="",""," | "&amp;$E997&amp;" | "&amp;$F997)</f>
        <v> | Domestic navigation | Electricity</v>
      </c>
      <c r="E997" s="3" t="str">
        <f>IFERROR(INDEX(SecLab,MATCH($B997,SecKey,0)),"")</f>
        <v>Domestic navigation</v>
      </c>
      <c r="F997" s="3" t="str">
        <f>IFERROR(INDEX(FuelLab,MATCH($C997,FuelKeyL,0)),"")</f>
        <v>Electricity</v>
      </c>
      <c r="G997" s="3" t="inlineStr">
        <is>
          <t>.nav.ecy</t>
        </is>
      </c>
      <c r="I997" s="3" t="inlineStr">
        <is>
          <t>ch4|mac|bio</t>
        </is>
      </c>
      <c r="J997" s="3" t="inlineStr">
        <is>
          <t>em.mac.bio.ch4</t>
        </is>
      </c>
    </row>
    <row r="998">
      <c r="A998" s="3" t="str">
        <f>$B998&amp;"|"&amp;$C998</f>
        <v>foo|ecy</v>
      </c>
      <c r="B998" s="3" t="inlineStr">
        <is>
          <t>foo</t>
        </is>
      </c>
      <c r="C998" s="3" t="inlineStr">
        <is>
          <t>ecy</t>
        </is>
      </c>
      <c r="D998" s="3" t="str">
        <f>IF($B998="",""," | "&amp;$E998&amp;" | "&amp;$F998)</f>
        <v> | Food &amp; forestry | Electricity</v>
      </c>
      <c r="E998" s="3" t="str">
        <f>IFERROR(INDEX(SecLab,MATCH($B998,SecKey,0)),"")</f>
        <v>Food &amp; forestry</v>
      </c>
      <c r="F998" s="3" t="str">
        <f>IFERROR(INDEX(FuelLab,MATCH($C998,FuelKeyL,0)),"")</f>
        <v>Electricity</v>
      </c>
      <c r="G998" s="3" t="inlineStr">
        <is>
          <t>.foo.ecy</t>
        </is>
      </c>
      <c r="I998" s="3" t="inlineStr">
        <is>
          <t>ener|cem|all</t>
        </is>
      </c>
      <c r="J998" s="3" t="inlineStr">
        <is>
          <t>ener.cem.tot</t>
        </is>
      </c>
    </row>
    <row r="999">
      <c r="A999" s="3" t="str">
        <f>$B999&amp;"|"&amp;$C999</f>
        <v>mch|ecy</v>
      </c>
      <c r="B999" s="3" t="inlineStr">
        <is>
          <t>mch</t>
        </is>
      </c>
      <c r="C999" s="3" t="inlineStr">
        <is>
          <t>ecy</t>
        </is>
      </c>
      <c r="D999" s="3" t="str">
        <f>IF($B999="",""," | "&amp;$E999&amp;" | "&amp;$F999)</f>
        <v> | Mining &amp; chemicals | Electricity</v>
      </c>
      <c r="E999" s="3" t="str">
        <f>IFERROR(INDEX(SecLab,MATCH($B999,SecKey,0)),"")</f>
        <v>Mining &amp; chemicals</v>
      </c>
      <c r="F999" s="3" t="str">
        <f>IFERROR(INDEX(FuelLab,MATCH($C999,FuelKeyL,0)),"")</f>
        <v>Electricity</v>
      </c>
      <c r="G999" s="3" t="inlineStr">
        <is>
          <t>.mch.ecy</t>
        </is>
      </c>
      <c r="I999" s="3" t="inlineStr">
        <is>
          <t>ch4|cem|coa</t>
        </is>
      </c>
      <c r="J999" s="3" t="inlineStr">
        <is>
          <t>em.cem.coa.ch4</t>
        </is>
      </c>
    </row>
    <row r="1000">
      <c r="A1000" s="3" t="str">
        <f>$B1000&amp;"|"&amp;$C1000</f>
        <v>irn|ecy</v>
      </c>
      <c r="B1000" s="3" t="inlineStr">
        <is>
          <t>irn</t>
        </is>
      </c>
      <c r="C1000" s="3" t="inlineStr">
        <is>
          <t>ecy</t>
        </is>
      </c>
      <c r="D1000" s="3" t="str">
        <f>IF($B1000="",""," | "&amp;$E1000&amp;" | "&amp;$F1000)</f>
        <v> | Iron &amp; steel | Electricity</v>
      </c>
      <c r="E1000" s="3" t="str">
        <f>IFERROR(INDEX(SecLab,MATCH($B1000,SecKey,0)),"")</f>
        <v>Iron &amp; steel</v>
      </c>
      <c r="F1000" s="3" t="str">
        <f>IFERROR(INDEX(FuelLab,MATCH($C1000,FuelKeyL,0)),"")</f>
        <v>Electricity</v>
      </c>
      <c r="G1000" s="3" t="inlineStr">
        <is>
          <t>.irn.ecy</t>
        </is>
      </c>
      <c r="I1000" s="3" t="inlineStr">
        <is>
          <t>ch4|cem|nga</t>
        </is>
      </c>
      <c r="J1000" s="3" t="inlineStr">
        <is>
          <t>em.cem.nga.ch4</t>
        </is>
      </c>
    </row>
    <row r="1001">
      <c r="A1001" s="3" t="str">
        <f>$B1001&amp;"|"&amp;$C1001</f>
        <v>nfm|ecy</v>
      </c>
      <c r="B1001" s="3" t="inlineStr">
        <is>
          <t>nfm</t>
        </is>
      </c>
      <c r="C1001" s="3" t="inlineStr">
        <is>
          <t>ecy</t>
        </is>
      </c>
      <c r="D1001" s="3" t="str">
        <f>IF($B1001="",""," | "&amp;$E1001&amp;" | "&amp;$F1001)</f>
        <v> | Other metals | Electricity</v>
      </c>
      <c r="E1001" s="3" t="str">
        <f>IFERROR(INDEX(SecLab,MATCH($B1001,SecKey,0)),"")</f>
        <v>Other metals</v>
      </c>
      <c r="F1001" s="3" t="str">
        <f>IFERROR(INDEX(FuelLab,MATCH($C1001,FuelKeyL,0)),"")</f>
        <v>Electricity</v>
      </c>
      <c r="G1001" s="3" t="inlineStr">
        <is>
          <t>.nfm.ecy</t>
        </is>
      </c>
      <c r="I1001" s="3" t="inlineStr">
        <is>
          <t>ch4|cem|gso</t>
        </is>
      </c>
      <c r="J1001" s="3" t="inlineStr">
        <is>
          <t>em.cem.gso.ch4</t>
        </is>
      </c>
    </row>
    <row r="1002">
      <c r="A1002" s="3" t="str">
        <f>$B1002&amp;"|"&amp;$C1002</f>
        <v>mac|ecy</v>
      </c>
      <c r="B1002" s="3" t="inlineStr">
        <is>
          <t>mac</t>
        </is>
      </c>
      <c r="C1002" s="3" t="inlineStr">
        <is>
          <t>ecy</t>
        </is>
      </c>
      <c r="D1002" s="3" t="str">
        <f>IF($B1002="",""," | "&amp;$E1002&amp;" | "&amp;$F1002)</f>
        <v> | Machinery | Electricity</v>
      </c>
      <c r="E1002" s="3" t="str">
        <f>IFERROR(INDEX(SecLab,MATCH($B1002,SecKey,0)),"")</f>
        <v>Machinery</v>
      </c>
      <c r="F1002" s="3" t="str">
        <f>IFERROR(INDEX(FuelLab,MATCH($C1002,FuelKeyL,0)),"")</f>
        <v>Electricity</v>
      </c>
      <c r="G1002" s="3" t="inlineStr">
        <is>
          <t>.mac.ecy</t>
        </is>
      </c>
      <c r="I1002" s="3" t="inlineStr">
        <is>
          <t>ch4|cem|die</t>
        </is>
      </c>
      <c r="J1002" s="3" t="inlineStr">
        <is>
          <t>em.cem.die.ch4</t>
        </is>
      </c>
    </row>
    <row r="1003">
      <c r="A1003" s="3" t="str">
        <f>$B1003&amp;"|"&amp;$C1003</f>
        <v>cem|ecy</v>
      </c>
      <c r="B1003" s="3" t="inlineStr">
        <is>
          <t>cem</t>
        </is>
      </c>
      <c r="C1003" s="3" t="inlineStr">
        <is>
          <t>ecy</t>
        </is>
      </c>
      <c r="D1003" s="3" t="str">
        <f>IF($B1003="",""," | "&amp;$E1003&amp;" | "&amp;$F1003)</f>
        <v> | Cement | Electricity</v>
      </c>
      <c r="E1003" s="3" t="str">
        <f>IFERROR(INDEX(SecLab,MATCH($B1003,SecKey,0)),"")</f>
        <v>Cement</v>
      </c>
      <c r="F1003" s="3" t="str">
        <f>IFERROR(INDEX(FuelLab,MATCH($C1003,FuelKeyL,0)),"")</f>
        <v>Electricity</v>
      </c>
      <c r="G1003" s="3" t="inlineStr">
        <is>
          <t>.cem.ecy</t>
        </is>
      </c>
      <c r="I1003" s="3" t="inlineStr">
        <is>
          <t>ch4|cem|lpg</t>
        </is>
      </c>
      <c r="J1003" s="3" t="inlineStr">
        <is>
          <t>em.cem.lpg.ch4</t>
        </is>
      </c>
    </row>
    <row r="1004">
      <c r="A1004" s="3" t="str">
        <f>$B1004&amp;"|"&amp;$C1004</f>
        <v>omn|ecy</v>
      </c>
      <c r="B1004" s="3" t="inlineStr">
        <is>
          <t>omn</t>
        </is>
      </c>
      <c r="C1004" s="3" t="inlineStr">
        <is>
          <t>ecy</t>
        </is>
      </c>
      <c r="D1004" s="3" t="str">
        <f>IF($B1004="",""," | "&amp;$E1004&amp;" | "&amp;$F1004)</f>
        <v> | Other manufacturing | Electricity</v>
      </c>
      <c r="E1004" s="3" t="str">
        <f>IFERROR(INDEX(SecLab,MATCH($B1004,SecKey,0)),"")</f>
        <v>Other manufacturing</v>
      </c>
      <c r="F1004" s="3" t="str">
        <f>IFERROR(INDEX(FuelLab,MATCH($C1004,FuelKeyL,0)),"")</f>
        <v>Electricity</v>
      </c>
      <c r="G1004" s="3" t="inlineStr">
        <is>
          <t>.omn.ecy</t>
        </is>
      </c>
      <c r="I1004" s="3" t="inlineStr">
        <is>
          <t>ch4|cem|ker</t>
        </is>
      </c>
      <c r="J1004" s="3" t="inlineStr">
        <is>
          <t>em.cem.ker.ch4</t>
        </is>
      </c>
    </row>
    <row r="1005">
      <c r="A1005" s="3" t="str">
        <f>$B1005&amp;"|"&amp;$C1005</f>
        <v>cst|ecy</v>
      </c>
      <c r="B1005" s="3" t="inlineStr">
        <is>
          <t>cst</t>
        </is>
      </c>
      <c r="C1005" s="3" t="inlineStr">
        <is>
          <t>ecy</t>
        </is>
      </c>
      <c r="D1005" s="3" t="str">
        <f>IF($B1005="",""," | "&amp;$E1005&amp;" | "&amp;$F1005)</f>
        <v> | Construction | Electricity</v>
      </c>
      <c r="E1005" s="3" t="str">
        <f>IFERROR(INDEX(SecLab,MATCH($B1005,SecKey,0)),"")</f>
        <v>Construction</v>
      </c>
      <c r="F1005" s="3" t="str">
        <f>IFERROR(INDEX(FuelLab,MATCH($C1005,FuelKeyL,0)),"")</f>
        <v>Electricity</v>
      </c>
      <c r="G1005" s="3" t="inlineStr">
        <is>
          <t>.cst.ecy</t>
        </is>
      </c>
      <c r="I1005" s="3" t="inlineStr">
        <is>
          <t>ch4|cem|jfu</t>
        </is>
      </c>
      <c r="J1005" s="3" t="inlineStr">
        <is>
          <t>em.cem.jfu.ch4</t>
        </is>
      </c>
    </row>
    <row r="1006">
      <c r="A1006" s="3" t="str">
        <f>$B1006&amp;"|"&amp;$C1006</f>
        <v>oen|ecy</v>
      </c>
      <c r="B1006" s="3" t="inlineStr">
        <is>
          <t>oen</t>
        </is>
      </c>
      <c r="C1006" s="3" t="inlineStr">
        <is>
          <t>ecy</t>
        </is>
      </c>
      <c r="D1006" s="3" t="str">
        <f>IF($B1006="",""," | "&amp;$E1006&amp;" | "&amp;$F1006)</f>
        <v> | Other energy use | Electricity</v>
      </c>
      <c r="E1006" s="3" t="str">
        <f>IFERROR(INDEX(SecLab,MATCH($B1006,SecKey,0)),"")</f>
        <v>Other energy use</v>
      </c>
      <c r="F1006" s="3" t="str">
        <f>IFERROR(INDEX(FuelLab,MATCH($C1006,FuelKeyL,0)),"")</f>
        <v>Electricity</v>
      </c>
      <c r="G1006" s="3" t="inlineStr">
        <is>
          <t>.oen.ecy</t>
        </is>
      </c>
      <c r="I1006" s="3" t="inlineStr">
        <is>
          <t>ch4|cem|oop</t>
        </is>
      </c>
      <c r="J1006" s="3" t="inlineStr">
        <is>
          <t>em.cem.oop.ch4</t>
        </is>
      </c>
    </row>
    <row r="1007">
      <c r="A1007" s="3" t="str">
        <f>$B1007&amp;"|"&amp;$C1007</f>
        <v>rod|coa</v>
      </c>
      <c r="B1007" s="3" t="inlineStr">
        <is>
          <t>rod</t>
        </is>
      </c>
      <c r="C1007" s="3" t="inlineStr">
        <is>
          <t>coa</t>
        </is>
      </c>
      <c r="D1007" s="3" t="str">
        <f>IF($B1007="",""," | "&amp;$E1007&amp;" | "&amp;$F1007)</f>
        <v> | Road | Coal</v>
      </c>
      <c r="E1007" s="3" t="str">
        <f>IFERROR(INDEX(SecLab,MATCH($B1007,SecKey,0)),"")</f>
        <v>Road</v>
      </c>
      <c r="F1007" s="3" t="str">
        <f>IFERROR(INDEX(FuelLab,MATCH($C1007,FuelKeyL,0)),"")</f>
        <v>Coal</v>
      </c>
      <c r="G1007" s="3" t="inlineStr">
        <is>
          <t>.rod.coa</t>
        </is>
      </c>
      <c r="I1007" s="3" t="inlineStr">
        <is>
          <t>ch4|cem|bio</t>
        </is>
      </c>
      <c r="J1007" s="3" t="inlineStr">
        <is>
          <t>em.cem.bio.ch4</t>
        </is>
      </c>
    </row>
    <row r="1008">
      <c r="A1008" s="3" t="str">
        <f>$B1008&amp;"|"&amp;$C1008</f>
        <v>rod|nga</v>
      </c>
      <c r="B1008" s="3" t="inlineStr">
        <is>
          <t>rod</t>
        </is>
      </c>
      <c r="C1008" s="3" t="inlineStr">
        <is>
          <t>nga</t>
        </is>
      </c>
      <c r="D1008" s="3" t="str">
        <f>IF($B1008="",""," | "&amp;$E1008&amp;" | "&amp;$F1008)</f>
        <v> | Road | Natural gas</v>
      </c>
      <c r="E1008" s="3" t="str">
        <f>IFERROR(INDEX(SecLab,MATCH($B1008,SecKey,0)),"")</f>
        <v>Road</v>
      </c>
      <c r="F1008" s="3" t="str">
        <f>IFERROR(INDEX(FuelLab,MATCH($C1008,FuelKeyL,0)),"")</f>
        <v>Natural gas</v>
      </c>
      <c r="G1008" s="3" t="inlineStr">
        <is>
          <t>.rod.nga</t>
        </is>
      </c>
      <c r="I1008" s="3" t="inlineStr">
        <is>
          <t>ener|omn|all</t>
        </is>
      </c>
      <c r="J1008" s="3" t="inlineStr">
        <is>
          <t>ener.omn.tot</t>
        </is>
      </c>
    </row>
    <row r="1009">
      <c r="A1009" s="3" t="str">
        <f>$B1009&amp;"|"&amp;$C1009</f>
        <v>rod|jfu</v>
      </c>
      <c r="B1009" s="3" t="inlineStr">
        <is>
          <t>rod</t>
        </is>
      </c>
      <c r="C1009" s="3" t="inlineStr">
        <is>
          <t>jfu</t>
        </is>
      </c>
      <c r="D1009" s="3" t="str">
        <f>IF($B1009="",""," | "&amp;$E1009&amp;" | "&amp;$F1009)</f>
        <v> | Road | Jet fuel</v>
      </c>
      <c r="E1009" s="3" t="str">
        <f>IFERROR(INDEX(SecLab,MATCH($B1009,SecKey,0)),"")</f>
        <v>Road</v>
      </c>
      <c r="F1009" s="3" t="str">
        <f>IFERROR(INDEX(FuelLab,MATCH($C1009,FuelKeyL,0)),"")</f>
        <v>Jet fuel</v>
      </c>
      <c r="G1009" s="3" t="inlineStr">
        <is>
          <t>.rod.jfu</t>
        </is>
      </c>
      <c r="I1009" s="3" t="inlineStr">
        <is>
          <t>ch4|omn|coa</t>
        </is>
      </c>
      <c r="J1009" s="3" t="inlineStr">
        <is>
          <t>em.omn.coa.ch4</t>
        </is>
      </c>
    </row>
    <row r="1010">
      <c r="A1010" s="3" t="str">
        <f>$B1010&amp;"|"&amp;$C1010</f>
        <v>rod|oop</v>
      </c>
      <c r="B1010" s="3" t="inlineStr">
        <is>
          <t>rod</t>
        </is>
      </c>
      <c r="C1010" s="3" t="inlineStr">
        <is>
          <t>oop</t>
        </is>
      </c>
      <c r="D1010" s="3" t="str">
        <f>IF($B1010="",""," | "&amp;$E1010&amp;" | "&amp;$F1010)</f>
        <v> | Road | Other oil products</v>
      </c>
      <c r="E1010" s="3" t="str">
        <f>IFERROR(INDEX(SecLab,MATCH($B1010,SecKey,0)),"")</f>
        <v>Road</v>
      </c>
      <c r="F1010" s="3" t="str">
        <f>IFERROR(INDEX(FuelLab,MATCH($C1010,FuelKeyL,0)),"")</f>
        <v>Other oil products</v>
      </c>
      <c r="G1010" s="3" t="inlineStr">
        <is>
          <t>.rod.oop</t>
        </is>
      </c>
      <c r="I1010" s="3" t="inlineStr">
        <is>
          <t>ch4|omn|nga</t>
        </is>
      </c>
      <c r="J1010" s="3" t="inlineStr">
        <is>
          <t>em.omn.nga.ch4</t>
        </is>
      </c>
    </row>
    <row r="1011">
      <c r="A1011" s="3" t="str">
        <f>$B1011&amp;"|"&amp;$C1011</f>
        <v>rod|bio</v>
      </c>
      <c r="B1011" s="3" t="inlineStr">
        <is>
          <t>rod</t>
        </is>
      </c>
      <c r="C1011" s="3" t="inlineStr">
        <is>
          <t>bio</t>
        </is>
      </c>
      <c r="D1011" s="3" t="str">
        <f>IF($B1011="",""," | "&amp;$E1011&amp;" | "&amp;$F1011)</f>
        <v> | Road | Biomass</v>
      </c>
      <c r="E1011" s="3" t="str">
        <f>IFERROR(INDEX(SecLab,MATCH($B1011,SecKey,0)),"")</f>
        <v>Road</v>
      </c>
      <c r="F1011" s="3" t="str">
        <f>IFERROR(INDEX(FuelLab,MATCH($C1011,FuelKeyL,0)),"")</f>
        <v>Biomass</v>
      </c>
      <c r="G1011" s="3" t="inlineStr">
        <is>
          <t>.rod.bio</t>
        </is>
      </c>
      <c r="I1011" s="3" t="inlineStr">
        <is>
          <t>ch4|omn|gso</t>
        </is>
      </c>
      <c r="J1011" s="3" t="inlineStr">
        <is>
          <t>em.omn.gso.ch4</t>
        </is>
      </c>
    </row>
    <row r="1012">
      <c r="A1012" s="3" t="str">
        <f>$B1012&amp;"|"&amp;$C1012</f>
        <v>ral|coa</v>
      </c>
      <c r="B1012" s="3" t="inlineStr">
        <is>
          <t>ral</t>
        </is>
      </c>
      <c r="C1012" s="3" t="inlineStr">
        <is>
          <t>coa</t>
        </is>
      </c>
      <c r="D1012" s="3" t="str">
        <f>IF($B1012="",""," | "&amp;$E1012&amp;" | "&amp;$F1012)</f>
        <v> | Rail | Coal</v>
      </c>
      <c r="E1012" s="3" t="str">
        <f>IFERROR(INDEX(SecLab,MATCH($B1012,SecKey,0)),"")</f>
        <v>Rail</v>
      </c>
      <c r="F1012" s="3" t="str">
        <f>IFERROR(INDEX(FuelLab,MATCH($C1012,FuelKeyL,0)),"")</f>
        <v>Coal</v>
      </c>
      <c r="G1012" s="3" t="inlineStr">
        <is>
          <t>.ral.coa</t>
        </is>
      </c>
      <c r="I1012" s="3" t="inlineStr">
        <is>
          <t>ch4|omn|die</t>
        </is>
      </c>
      <c r="J1012" s="3" t="inlineStr">
        <is>
          <t>em.omn.die.ch4</t>
        </is>
      </c>
    </row>
    <row r="1013">
      <c r="A1013" s="3" t="str">
        <f>$B1013&amp;"|"&amp;$C1013</f>
        <v>ral|nga</v>
      </c>
      <c r="B1013" s="3" t="inlineStr">
        <is>
          <t>ral</t>
        </is>
      </c>
      <c r="C1013" s="3" t="inlineStr">
        <is>
          <t>nga</t>
        </is>
      </c>
      <c r="D1013" s="3" t="str">
        <f>IF($B1013="",""," | "&amp;$E1013&amp;" | "&amp;$F1013)</f>
        <v> | Rail | Natural gas</v>
      </c>
      <c r="E1013" s="3" t="str">
        <f>IFERROR(INDEX(SecLab,MATCH($B1013,SecKey,0)),"")</f>
        <v>Rail</v>
      </c>
      <c r="F1013" s="3" t="str">
        <f>IFERROR(INDEX(FuelLab,MATCH($C1013,FuelKeyL,0)),"")</f>
        <v>Natural gas</v>
      </c>
      <c r="G1013" s="3" t="inlineStr">
        <is>
          <t>.ral.nga</t>
        </is>
      </c>
      <c r="I1013" s="3" t="inlineStr">
        <is>
          <t>ch4|omn|lpg</t>
        </is>
      </c>
      <c r="J1013" s="3" t="inlineStr">
        <is>
          <t>em.omn.lpg.ch4</t>
        </is>
      </c>
    </row>
    <row r="1014">
      <c r="A1014" s="3" t="str">
        <f>$B1014&amp;"|"&amp;$C1014</f>
        <v>ral|jfu</v>
      </c>
      <c r="B1014" s="3" t="inlineStr">
        <is>
          <t>ral</t>
        </is>
      </c>
      <c r="C1014" s="3" t="inlineStr">
        <is>
          <t>jfu</t>
        </is>
      </c>
      <c r="D1014" s="3" t="str">
        <f>IF($B1014="",""," | "&amp;$E1014&amp;" | "&amp;$F1014)</f>
        <v> | Rail | Jet fuel</v>
      </c>
      <c r="E1014" s="3" t="str">
        <f>IFERROR(INDEX(SecLab,MATCH($B1014,SecKey,0)),"")</f>
        <v>Rail</v>
      </c>
      <c r="F1014" s="3" t="str">
        <f>IFERROR(INDEX(FuelLab,MATCH($C1014,FuelKeyL,0)),"")</f>
        <v>Jet fuel</v>
      </c>
      <c r="G1014" s="3" t="inlineStr">
        <is>
          <t>.ral.jfu</t>
        </is>
      </c>
      <c r="I1014" s="3" t="inlineStr">
        <is>
          <t>ch4|omn|ker</t>
        </is>
      </c>
      <c r="J1014" s="3" t="inlineStr">
        <is>
          <t>em.omn.ker.ch4</t>
        </is>
      </c>
    </row>
    <row r="1015">
      <c r="A1015" s="3" t="str">
        <f>$B1015&amp;"|"&amp;$C1015</f>
        <v>ral|oop</v>
      </c>
      <c r="B1015" s="3" t="inlineStr">
        <is>
          <t>ral</t>
        </is>
      </c>
      <c r="C1015" s="3" t="inlineStr">
        <is>
          <t>oop</t>
        </is>
      </c>
      <c r="D1015" s="3" t="str">
        <f>IF($B1015="",""," | "&amp;$E1015&amp;" | "&amp;$F1015)</f>
        <v> | Rail | Other oil products</v>
      </c>
      <c r="E1015" s="3" t="str">
        <f>IFERROR(INDEX(SecLab,MATCH($B1015,SecKey,0)),"")</f>
        <v>Rail</v>
      </c>
      <c r="F1015" s="3" t="str">
        <f>IFERROR(INDEX(FuelLab,MATCH($C1015,FuelKeyL,0)),"")</f>
        <v>Other oil products</v>
      </c>
      <c r="G1015" s="3" t="inlineStr">
        <is>
          <t>.ral.oop</t>
        </is>
      </c>
      <c r="I1015" s="3" t="inlineStr">
        <is>
          <t>ch4|omn|jfu</t>
        </is>
      </c>
      <c r="J1015" s="3" t="inlineStr">
        <is>
          <t>em.omn.jfu.ch4</t>
        </is>
      </c>
    </row>
    <row r="1016">
      <c r="A1016" s="3" t="str">
        <f>$B1016&amp;"|"&amp;$C1016</f>
        <v>ral|bio</v>
      </c>
      <c r="B1016" s="3" t="inlineStr">
        <is>
          <t>ral</t>
        </is>
      </c>
      <c r="C1016" s="3" t="inlineStr">
        <is>
          <t>bio</t>
        </is>
      </c>
      <c r="D1016" s="3" t="str">
        <f>IF($B1016="",""," | "&amp;$E1016&amp;" | "&amp;$F1016)</f>
        <v> | Rail | Biomass</v>
      </c>
      <c r="E1016" s="3" t="str">
        <f>IFERROR(INDEX(SecLab,MATCH($B1016,SecKey,0)),"")</f>
        <v>Rail</v>
      </c>
      <c r="F1016" s="3" t="str">
        <f>IFERROR(INDEX(FuelLab,MATCH($C1016,FuelKeyL,0)),"")</f>
        <v>Biomass</v>
      </c>
      <c r="G1016" s="3" t="inlineStr">
        <is>
          <t>.ral.bio</t>
        </is>
      </c>
      <c r="I1016" s="3" t="inlineStr">
        <is>
          <t>ch4|omn|oop</t>
        </is>
      </c>
      <c r="J1016" s="3" t="inlineStr">
        <is>
          <t>em.omn.oop.ch4</t>
        </is>
      </c>
    </row>
    <row r="1017">
      <c r="A1017" s="3" t="str">
        <f>$B1017&amp;"|"&amp;$C1017</f>
        <v>avi|coa</v>
      </c>
      <c r="B1017" s="3" t="inlineStr">
        <is>
          <t>avi</t>
        </is>
      </c>
      <c r="C1017" s="3" t="inlineStr">
        <is>
          <t>coa</t>
        </is>
      </c>
      <c r="D1017" s="3" t="str">
        <f>IF($B1017="",""," | "&amp;$E1017&amp;" | "&amp;$F1017)</f>
        <v> | Domestic aviation | Coal</v>
      </c>
      <c r="E1017" s="3" t="str">
        <f>IFERROR(INDEX(SecLab,MATCH($B1017,SecKey,0)),"")</f>
        <v>Domestic aviation</v>
      </c>
      <c r="F1017" s="3" t="str">
        <f>IFERROR(INDEX(FuelLab,MATCH($C1017,FuelKeyL,0)),"")</f>
        <v>Coal</v>
      </c>
      <c r="G1017" s="3" t="inlineStr">
        <is>
          <t>.avi.coa</t>
        </is>
      </c>
      <c r="I1017" s="3" t="inlineStr">
        <is>
          <t>ch4|omn|bio</t>
        </is>
      </c>
      <c r="J1017" s="3" t="inlineStr">
        <is>
          <t>em.omn.bio.ch4</t>
        </is>
      </c>
    </row>
    <row r="1018">
      <c r="A1018" s="3" t="str">
        <f>$B1018&amp;"|"&amp;$C1018</f>
        <v>avi|nga</v>
      </c>
      <c r="B1018" s="3" t="inlineStr">
        <is>
          <t>avi</t>
        </is>
      </c>
      <c r="C1018" s="3" t="inlineStr">
        <is>
          <t>nga</t>
        </is>
      </c>
      <c r="D1018" s="3" t="str">
        <f>IF($B1018="",""," | "&amp;$E1018&amp;" | "&amp;$F1018)</f>
        <v> | Domestic aviation | Natural gas</v>
      </c>
      <c r="E1018" s="3" t="str">
        <f>IFERROR(INDEX(SecLab,MATCH($B1018,SecKey,0)),"")</f>
        <v>Domestic aviation</v>
      </c>
      <c r="F1018" s="3" t="str">
        <f>IFERROR(INDEX(FuelLab,MATCH($C1018,FuelKeyL,0)),"")</f>
        <v>Natural gas</v>
      </c>
      <c r="G1018" s="3" t="inlineStr">
        <is>
          <t>.avi.nga</t>
        </is>
      </c>
      <c r="I1018" s="3" t="inlineStr">
        <is>
          <t>ener|cst|all</t>
        </is>
      </c>
      <c r="J1018" s="3" t="inlineStr">
        <is>
          <t>ener.cst.tot</t>
        </is>
      </c>
    </row>
    <row r="1019">
      <c r="A1019" s="3" t="str">
        <f>$B1019&amp;"|"&amp;$C1019</f>
        <v>avi|jfu</v>
      </c>
      <c r="B1019" s="3" t="inlineStr">
        <is>
          <t>avi</t>
        </is>
      </c>
      <c r="C1019" s="3" t="inlineStr">
        <is>
          <t>jfu</t>
        </is>
      </c>
      <c r="D1019" s="3" t="str">
        <f>IF($B1019="",""," | "&amp;$E1019&amp;" | "&amp;$F1019)</f>
        <v> | Domestic aviation | Jet fuel</v>
      </c>
      <c r="E1019" s="3" t="str">
        <f>IFERROR(INDEX(SecLab,MATCH($B1019,SecKey,0)),"")</f>
        <v>Domestic aviation</v>
      </c>
      <c r="F1019" s="3" t="str">
        <f>IFERROR(INDEX(FuelLab,MATCH($C1019,FuelKeyL,0)),"")</f>
        <v>Jet fuel</v>
      </c>
      <c r="G1019" s="3" t="inlineStr">
        <is>
          <t>.avi.jfu</t>
        </is>
      </c>
      <c r="I1019" s="3" t="inlineStr">
        <is>
          <t>ch4|cst|coa</t>
        </is>
      </c>
      <c r="J1019" s="3" t="inlineStr">
        <is>
          <t>em.cst.coa.ch4</t>
        </is>
      </c>
    </row>
    <row r="1020">
      <c r="A1020" s="3" t="str">
        <f>$B1020&amp;"|"&amp;$C1020</f>
        <v>avi|oop</v>
      </c>
      <c r="B1020" s="3" t="inlineStr">
        <is>
          <t>avi</t>
        </is>
      </c>
      <c r="C1020" s="3" t="inlineStr">
        <is>
          <t>oop</t>
        </is>
      </c>
      <c r="D1020" s="3" t="str">
        <f>IF($B1020="",""," | "&amp;$E1020&amp;" | "&amp;$F1020)</f>
        <v> | Domestic aviation | Other oil products</v>
      </c>
      <c r="E1020" s="3" t="str">
        <f>IFERROR(INDEX(SecLab,MATCH($B1020,SecKey,0)),"")</f>
        <v>Domestic aviation</v>
      </c>
      <c r="F1020" s="3" t="str">
        <f>IFERROR(INDEX(FuelLab,MATCH($C1020,FuelKeyL,0)),"")</f>
        <v>Other oil products</v>
      </c>
      <c r="G1020" s="3" t="inlineStr">
        <is>
          <t>.avi.oop</t>
        </is>
      </c>
      <c r="I1020" s="3" t="inlineStr">
        <is>
          <t>ch4|cst|nga</t>
        </is>
      </c>
      <c r="J1020" s="3" t="inlineStr">
        <is>
          <t>em.cst.nga.ch4</t>
        </is>
      </c>
    </row>
    <row r="1021">
      <c r="A1021" s="3" t="str">
        <f>$B1021&amp;"|"&amp;$C1021</f>
        <v>avi|bio</v>
      </c>
      <c r="B1021" s="3" t="inlineStr">
        <is>
          <t>avi</t>
        </is>
      </c>
      <c r="C1021" s="3" t="inlineStr">
        <is>
          <t>bio</t>
        </is>
      </c>
      <c r="D1021" s="3" t="str">
        <f>IF($B1021="",""," | "&amp;$E1021&amp;" | "&amp;$F1021)</f>
        <v> | Domestic aviation | Biomass</v>
      </c>
      <c r="E1021" s="3" t="str">
        <f>IFERROR(INDEX(SecLab,MATCH($B1021,SecKey,0)),"")</f>
        <v>Domestic aviation</v>
      </c>
      <c r="F1021" s="3" t="str">
        <f>IFERROR(INDEX(FuelLab,MATCH($C1021,FuelKeyL,0)),"")</f>
        <v>Biomass</v>
      </c>
      <c r="G1021" s="3" t="inlineStr">
        <is>
          <t>.avi.bio</t>
        </is>
      </c>
      <c r="I1021" s="3" t="inlineStr">
        <is>
          <t>ch4|cst|gso</t>
        </is>
      </c>
      <c r="J1021" s="3" t="inlineStr">
        <is>
          <t>em.cst.gso.ch4</t>
        </is>
      </c>
    </row>
    <row r="1022">
      <c r="A1022" s="3" t="str">
        <f>$B1022&amp;"|"&amp;$C1022</f>
        <v>nav|coa</v>
      </c>
      <c r="B1022" s="3" t="inlineStr">
        <is>
          <t>nav</t>
        </is>
      </c>
      <c r="C1022" s="3" t="inlineStr">
        <is>
          <t>coa</t>
        </is>
      </c>
      <c r="D1022" s="3" t="str">
        <f>IF($B1022="",""," | "&amp;$E1022&amp;" | "&amp;$F1022)</f>
        <v> | Domestic navigation | Coal</v>
      </c>
      <c r="E1022" s="3" t="str">
        <f>IFERROR(INDEX(SecLab,MATCH($B1022,SecKey,0)),"")</f>
        <v>Domestic navigation</v>
      </c>
      <c r="F1022" s="3" t="str">
        <f>IFERROR(INDEX(FuelLab,MATCH($C1022,FuelKeyL,0)),"")</f>
        <v>Coal</v>
      </c>
      <c r="G1022" s="3" t="inlineStr">
        <is>
          <t>.nav.coa</t>
        </is>
      </c>
      <c r="I1022" s="3" t="inlineStr">
        <is>
          <t>ch4|cst|die</t>
        </is>
      </c>
      <c r="J1022" s="3" t="inlineStr">
        <is>
          <t>em.cst.die.ch4</t>
        </is>
      </c>
    </row>
    <row r="1023">
      <c r="A1023" s="3" t="str">
        <f>$B1023&amp;"|"&amp;$C1023</f>
        <v>nav|nga</v>
      </c>
      <c r="B1023" s="3" t="inlineStr">
        <is>
          <t>nav</t>
        </is>
      </c>
      <c r="C1023" s="3" t="inlineStr">
        <is>
          <t>nga</t>
        </is>
      </c>
      <c r="D1023" s="3" t="str">
        <f>IF($B1023="",""," | "&amp;$E1023&amp;" | "&amp;$F1023)</f>
        <v> | Domestic navigation | Natural gas</v>
      </c>
      <c r="E1023" s="3" t="str">
        <f>IFERROR(INDEX(SecLab,MATCH($B1023,SecKey,0)),"")</f>
        <v>Domestic navigation</v>
      </c>
      <c r="F1023" s="3" t="str">
        <f>IFERROR(INDEX(FuelLab,MATCH($C1023,FuelKeyL,0)),"")</f>
        <v>Natural gas</v>
      </c>
      <c r="G1023" s="3" t="inlineStr">
        <is>
          <t>.nav.nga</t>
        </is>
      </c>
      <c r="I1023" s="3" t="inlineStr">
        <is>
          <t>ch4|cst|lpg</t>
        </is>
      </c>
      <c r="J1023" s="3" t="inlineStr">
        <is>
          <t>em.cst.lpg.ch4</t>
        </is>
      </c>
    </row>
    <row r="1024">
      <c r="A1024" s="3" t="str">
        <f>$B1024&amp;"|"&amp;$C1024</f>
        <v>nav|jfu</v>
      </c>
      <c r="B1024" s="3" t="inlineStr">
        <is>
          <t>nav</t>
        </is>
      </c>
      <c r="C1024" s="3" t="inlineStr">
        <is>
          <t>jfu</t>
        </is>
      </c>
      <c r="D1024" s="3" t="str">
        <f>IF($B1024="",""," | "&amp;$E1024&amp;" | "&amp;$F1024)</f>
        <v> | Domestic navigation | Jet fuel</v>
      </c>
      <c r="E1024" s="3" t="str">
        <f>IFERROR(INDEX(SecLab,MATCH($B1024,SecKey,0)),"")</f>
        <v>Domestic navigation</v>
      </c>
      <c r="F1024" s="3" t="str">
        <f>IFERROR(INDEX(FuelLab,MATCH($C1024,FuelKeyL,0)),"")</f>
        <v>Jet fuel</v>
      </c>
      <c r="G1024" s="3" t="inlineStr">
        <is>
          <t>.nav.jfu</t>
        </is>
      </c>
      <c r="I1024" s="3" t="inlineStr">
        <is>
          <t>ch4|cst|ker</t>
        </is>
      </c>
      <c r="J1024" s="3" t="inlineStr">
        <is>
          <t>em.cst.ker.ch4</t>
        </is>
      </c>
    </row>
    <row r="1025">
      <c r="A1025" s="3" t="str">
        <f>$B1025&amp;"|"&amp;$C1025</f>
        <v>nav|oop</v>
      </c>
      <c r="B1025" s="3" t="inlineStr">
        <is>
          <t>nav</t>
        </is>
      </c>
      <c r="C1025" s="3" t="inlineStr">
        <is>
          <t>oop</t>
        </is>
      </c>
      <c r="D1025" s="3" t="str">
        <f>IF($B1025="",""," | "&amp;$E1025&amp;" | "&amp;$F1025)</f>
        <v> | Domestic navigation | Other oil products</v>
      </c>
      <c r="E1025" s="3" t="str">
        <f>IFERROR(INDEX(SecLab,MATCH($B1025,SecKey,0)),"")</f>
        <v>Domestic navigation</v>
      </c>
      <c r="F1025" s="3" t="str">
        <f>IFERROR(INDEX(FuelLab,MATCH($C1025,FuelKeyL,0)),"")</f>
        <v>Other oil products</v>
      </c>
      <c r="G1025" s="3" t="inlineStr">
        <is>
          <t>.nav.oop</t>
        </is>
      </c>
      <c r="I1025" s="3" t="inlineStr">
        <is>
          <t>ch4|cst|jfu</t>
        </is>
      </c>
      <c r="J1025" s="3" t="inlineStr">
        <is>
          <t>em.cst.jfu.ch4</t>
        </is>
      </c>
    </row>
    <row r="1026">
      <c r="A1026" s="3" t="str">
        <f>$B1026&amp;"|"&amp;$C1026</f>
        <v>nav|bio</v>
      </c>
      <c r="B1026" s="3" t="inlineStr">
        <is>
          <t>nav</t>
        </is>
      </c>
      <c r="C1026" s="3" t="inlineStr">
        <is>
          <t>bio</t>
        </is>
      </c>
      <c r="D1026" s="3" t="str">
        <f>IF($B1026="",""," | "&amp;$E1026&amp;" | "&amp;$F1026)</f>
        <v> | Domestic navigation | Biomass</v>
      </c>
      <c r="E1026" s="3" t="str">
        <f>IFERROR(INDEX(SecLab,MATCH($B1026,SecKey,0)),"")</f>
        <v>Domestic navigation</v>
      </c>
      <c r="F1026" s="3" t="str">
        <f>IFERROR(INDEX(FuelLab,MATCH($C1026,FuelKeyL,0)),"")</f>
        <v>Biomass</v>
      </c>
      <c r="G1026" s="3" t="inlineStr">
        <is>
          <t>.nav.bio</t>
        </is>
      </c>
      <c r="I1026" s="3" t="inlineStr">
        <is>
          <t>ch4|cst|oop</t>
        </is>
      </c>
      <c r="J1026" s="3" t="inlineStr">
        <is>
          <t>em.cst.oop.ch4</t>
        </is>
      </c>
    </row>
    <row r="1027">
      <c r="A1027" s="3" t="str">
        <f>$B1027&amp;"|"&amp;$C1027</f>
        <v>cyc|gso</v>
      </c>
      <c r="B1027" s="3" t="inlineStr">
        <is>
          <t>cyc</t>
        </is>
      </c>
      <c r="C1027" s="3" t="inlineStr">
        <is>
          <t>gso</t>
        </is>
      </c>
      <c r="D1027" s="3" t="str">
        <f>IF($B1027="",""," | "&amp;$E1027&amp;" | "&amp;$F1027)</f>
        <v> | 2-3 wheelers | Gasoline</v>
      </c>
      <c r="E1027" s="3" t="str">
        <f>IFERROR(INDEX(SecLab,MATCH($B1027,SecKey,0)),"")</f>
        <v>2-3 wheelers</v>
      </c>
      <c r="F1027" s="3" t="str">
        <f>IFERROR(INDEX(FuelLab,MATCH($C1027,FuelKeyL,0)),"")</f>
        <v>Gasoline</v>
      </c>
      <c r="G1027" s="3" t="inlineStr">
        <is>
          <t>.motor.gso</t>
        </is>
      </c>
      <c r="I1027" s="3" t="inlineStr">
        <is>
          <t>ch4|cst|bio</t>
        </is>
      </c>
      <c r="J1027" s="3" t="inlineStr">
        <is>
          <t>em.cst.bio.ch4</t>
        </is>
      </c>
    </row>
    <row r="1028">
      <c r="A1028" s="3" t="str">
        <f>$B1028&amp;"|"&amp;$C1028</f>
        <v>bus|die</v>
      </c>
      <c r="B1028" s="3" t="inlineStr">
        <is>
          <t>bus</t>
        </is>
      </c>
      <c r="C1028" s="3" t="inlineStr">
        <is>
          <t>die</t>
        </is>
      </c>
      <c r="D1028" s="3" t="str">
        <f>IF($B1028="",""," | "&amp;$E1028&amp;" | "&amp;$F1028)</f>
        <v> | Buses | Diesel</v>
      </c>
      <c r="E1028" s="3" t="str">
        <f>IFERROR(INDEX(SecLab,MATCH($B1028,SecKey,0)),"")</f>
        <v>Buses</v>
      </c>
      <c r="F1028" s="3" t="str">
        <f>IFERROR(INDEX(FuelLab,MATCH($C1028,FuelKeyL,0)),"")</f>
        <v>Diesel</v>
      </c>
      <c r="G1028" s="3" t="inlineStr">
        <is>
          <t>.bus.die</t>
        </is>
      </c>
      <c r="I1028" s="3" t="inlineStr">
        <is>
          <t>ener|ftr|all</t>
        </is>
      </c>
      <c r="J1028" s="3" t="inlineStr">
        <is>
          <t>ener.ftr.tot</t>
        </is>
      </c>
    </row>
    <row r="1029">
      <c r="A1029" s="3" t="str">
        <f>$B1029&amp;"|"&amp;$C1029</f>
        <v>fre|die</v>
      </c>
      <c r="B1029" s="3" t="inlineStr">
        <is>
          <t>fre</t>
        </is>
      </c>
      <c r="C1029" s="3" t="inlineStr">
        <is>
          <t>die</t>
        </is>
      </c>
      <c r="D1029" s="3" t="str">
        <f>IF($B1029="",""," | "&amp;$E1029&amp;" | "&amp;$F1029)</f>
        <v> | Freight vehicles | Diesel</v>
      </c>
      <c r="E1029" s="3" t="str">
        <f>IFERROR(INDEX(SecLab,MATCH($B1029,SecKey,0)),"")</f>
        <v>Freight vehicles</v>
      </c>
      <c r="F1029" s="3" t="str">
        <f>IFERROR(INDEX(FuelLab,MATCH($C1029,FuelKeyL,0)),"")</f>
        <v>Diesel</v>
      </c>
      <c r="G1029" s="3" t="inlineStr">
        <is>
          <t>.fre.die</t>
        </is>
      </c>
      <c r="I1029" s="3" t="inlineStr">
        <is>
          <t>ch4|ftr|coa</t>
        </is>
      </c>
      <c r="J1029" s="3" t="inlineStr">
        <is>
          <t>em.ftr.coa.ch4</t>
        </is>
      </c>
    </row>
    <row r="1030">
      <c r="A1030" s="3" t="str">
        <f>$B1030&amp;"|"&amp;$C1030</f>
        <v>pas|lpg</v>
      </c>
      <c r="B1030" s="3" t="inlineStr">
        <is>
          <t>pas</t>
        </is>
      </c>
      <c r="C1030" s="3" t="inlineStr">
        <is>
          <t>lpg</t>
        </is>
      </c>
      <c r="D1030" s="3" t="str">
        <f>IF($B1030="",""," | "&amp;$E1030&amp;" | "&amp;$F1030)</f>
        <v> | Passenger and light vehicles | LPG</v>
      </c>
      <c r="E1030" s="3" t="str">
        <f>IFERROR(INDEX(SecLab,MATCH($B1030,SecKey,0)),"")</f>
        <v>Passenger and light vehicles</v>
      </c>
      <c r="F1030" s="3" t="str">
        <f>IFERROR(INDEX(FuelLab,MATCH($C1030,FuelKeyL,0)),"")</f>
        <v>LPG</v>
      </c>
      <c r="G1030" s="3" t="inlineStr">
        <is>
          <t>.pass.lpg</t>
        </is>
      </c>
      <c r="I1030" s="3" t="inlineStr">
        <is>
          <t>ch4|ftr|nga</t>
        </is>
      </c>
      <c r="J1030" s="3" t="inlineStr">
        <is>
          <t>em.ftr.nga.ch4</t>
        </is>
      </c>
    </row>
    <row r="1031">
      <c r="A1031" s="3" t="str">
        <f>$B1031&amp;"|"&amp;$C1031</f>
        <v>bus|lpg</v>
      </c>
      <c r="B1031" s="3" t="inlineStr">
        <is>
          <t>bus</t>
        </is>
      </c>
      <c r="C1031" s="3" t="inlineStr">
        <is>
          <t>lpg</t>
        </is>
      </c>
      <c r="D1031" s="3" t="str">
        <f>IF($B1031="",""," | "&amp;$E1031&amp;" | "&amp;$F1031)</f>
        <v> | Buses | LPG</v>
      </c>
      <c r="E1031" s="3" t="str">
        <f>IFERROR(INDEX(SecLab,MATCH($B1031,SecKey,0)),"")</f>
        <v>Buses</v>
      </c>
      <c r="F1031" s="3" t="str">
        <f>IFERROR(INDEX(FuelLab,MATCH($C1031,FuelKeyL,0)),"")</f>
        <v>LPG</v>
      </c>
      <c r="G1031" s="3" t="inlineStr">
        <is>
          <t>.bus.lpg</t>
        </is>
      </c>
      <c r="I1031" s="3" t="inlineStr">
        <is>
          <t>ch4|ftr|gso</t>
        </is>
      </c>
      <c r="J1031" s="3" t="inlineStr">
        <is>
          <t>em.ftr.gso.ch4</t>
        </is>
      </c>
    </row>
    <row r="1032">
      <c r="A1032" s="3" t="str">
        <f>$B1032&amp;"|"&amp;$C1032</f>
        <v>fre|lpg</v>
      </c>
      <c r="B1032" s="3" t="inlineStr">
        <is>
          <t>fre</t>
        </is>
      </c>
      <c r="C1032" s="3" t="inlineStr">
        <is>
          <t>lpg</t>
        </is>
      </c>
      <c r="D1032" s="3" t="str">
        <f>IF($B1032="",""," | "&amp;$E1032&amp;" | "&amp;$F1032)</f>
        <v> | Freight vehicles | LPG</v>
      </c>
      <c r="E1032" s="3" t="str">
        <f>IFERROR(INDEX(SecLab,MATCH($B1032,SecKey,0)),"")</f>
        <v>Freight vehicles</v>
      </c>
      <c r="F1032" s="3" t="str">
        <f>IFERROR(INDEX(FuelLab,MATCH($C1032,FuelKeyL,0)),"")</f>
        <v>LPG</v>
      </c>
      <c r="G1032" s="3" t="inlineStr">
        <is>
          <t>.fre.lpg</t>
        </is>
      </c>
      <c r="I1032" s="3" t="inlineStr">
        <is>
          <t>ch4|ftr|die</t>
        </is>
      </c>
      <c r="J1032" s="3" t="inlineStr">
        <is>
          <t>em.ftr.die.ch4</t>
        </is>
      </c>
    </row>
    <row r="1033">
      <c r="A1033" s="3" t="str">
        <f>$B1033&amp;"|"&amp;$C1033</f>
        <v>pas|nga</v>
      </c>
      <c r="B1033" s="3" t="inlineStr">
        <is>
          <t>pas</t>
        </is>
      </c>
      <c r="C1033" s="3" t="inlineStr">
        <is>
          <t>nga</t>
        </is>
      </c>
      <c r="D1033" s="3" t="str">
        <f>IF($B1033="",""," | "&amp;$E1033&amp;" | "&amp;$F1033)</f>
        <v> | Passenger and light vehicles | Natural gas</v>
      </c>
      <c r="E1033" s="3" t="str">
        <f>IFERROR(INDEX(SecLab,MATCH($B1033,SecKey,0)),"")</f>
        <v>Passenger and light vehicles</v>
      </c>
      <c r="F1033" s="3" t="str">
        <f>IFERROR(INDEX(FuelLab,MATCH($C1033,FuelKeyL,0)),"")</f>
        <v>Natural gas</v>
      </c>
      <c r="G1033" s="3" t="inlineStr">
        <is>
          <t>.pass.nga</t>
        </is>
      </c>
      <c r="I1033" s="3" t="inlineStr">
        <is>
          <t>ch4|ftr|lpg</t>
        </is>
      </c>
      <c r="J1033" s="3" t="inlineStr">
        <is>
          <t>em.ftr.lpg.ch4</t>
        </is>
      </c>
    </row>
    <row r="1034">
      <c r="A1034" s="3" t="str">
        <f>$B1034&amp;"|"&amp;$C1034</f>
        <v>bus|nga</v>
      </c>
      <c r="B1034" s="3" t="inlineStr">
        <is>
          <t>bus</t>
        </is>
      </c>
      <c r="C1034" s="3" t="inlineStr">
        <is>
          <t>nga</t>
        </is>
      </c>
      <c r="D1034" s="3" t="str">
        <f>IF($B1034="",""," | "&amp;$E1034&amp;" | "&amp;$F1034)</f>
        <v> | Buses | Natural gas</v>
      </c>
      <c r="E1034" s="3" t="str">
        <f>IFERROR(INDEX(SecLab,MATCH($B1034,SecKey,0)),"")</f>
        <v>Buses</v>
      </c>
      <c r="F1034" s="3" t="str">
        <f>IFERROR(INDEX(FuelLab,MATCH($C1034,FuelKeyL,0)),"")</f>
        <v>Natural gas</v>
      </c>
      <c r="G1034" s="3" t="inlineStr">
        <is>
          <t>.bus.nga</t>
        </is>
      </c>
      <c r="I1034" s="3" t="inlineStr">
        <is>
          <t>ch4|ftr|ker</t>
        </is>
      </c>
      <c r="J1034" s="3" t="inlineStr">
        <is>
          <t>em.ftr.ker.ch4</t>
        </is>
      </c>
    </row>
    <row r="1035">
      <c r="A1035" s="3" t="str">
        <f>$B1035&amp;"|"&amp;$C1035</f>
        <v>fre|nga</v>
      </c>
      <c r="B1035" s="3" t="inlineStr">
        <is>
          <t>fre</t>
        </is>
      </c>
      <c r="C1035" s="3" t="inlineStr">
        <is>
          <t>nga</t>
        </is>
      </c>
      <c r="D1035" s="3" t="str">
        <f>IF($B1035="",""," | "&amp;$E1035&amp;" | "&amp;$F1035)</f>
        <v> | Freight vehicles | Natural gas</v>
      </c>
      <c r="E1035" s="3" t="str">
        <f>IFERROR(INDEX(SecLab,MATCH($B1035,SecKey,0)),"")</f>
        <v>Freight vehicles</v>
      </c>
      <c r="F1035" s="3" t="str">
        <f>IFERROR(INDEX(FuelLab,MATCH($C1035,FuelKeyL,0)),"")</f>
        <v>Natural gas</v>
      </c>
      <c r="G1035" s="3" t="inlineStr">
        <is>
          <t>.fre.nga</t>
        </is>
      </c>
      <c r="I1035" s="3" t="inlineStr">
        <is>
          <t>ch4|ftr|jfu</t>
        </is>
      </c>
      <c r="J1035" s="3" t="inlineStr">
        <is>
          <t>em.ftr.jfu.ch4</t>
        </is>
      </c>
    </row>
    <row r="1036">
      <c r="A1036" s="3" t="str">
        <f>$B1036&amp;"|"&amp;$C1036</f>
        <v>lgt|ice</v>
      </c>
      <c r="B1036" s="3" t="inlineStr">
        <is>
          <t>lgt</t>
        </is>
      </c>
      <c r="C1036" s="3" t="inlineStr">
        <is>
          <t>ice</t>
        </is>
      </c>
      <c r="D1036" s="3" t="str">
        <f>IF($B1036="",""," | "&amp;$E1036&amp;" | "&amp;$F1036)</f>
        <v> | Light vehicles | Internal combustion</v>
      </c>
      <c r="E1036" s="3" t="str">
        <f>IFERROR(INDEX(SecLab,MATCH($B1036,SecKey,0)),"")</f>
        <v>Light vehicles</v>
      </c>
      <c r="F1036" s="3" t="str">
        <f>IFERROR(INDEX(FuelLab,MATCH($C1036,FuelKeyL,0)),"")</f>
        <v>Internal combustion</v>
      </c>
      <c r="G1036" s="3" t="inlineStr">
        <is>
          <t>.lgt.ice</t>
        </is>
      </c>
      <c r="I1036" s="3" t="inlineStr">
        <is>
          <t>ch4|ftr|oop</t>
        </is>
      </c>
      <c r="J1036" s="3" t="inlineStr">
        <is>
          <t>em.ftr.oop.ch4</t>
        </is>
      </c>
    </row>
    <row r="1037">
      <c r="A1037" s="3" t="str">
        <f>$B1037&amp;"|"&amp;$C1037</f>
        <v>pas|phv</v>
      </c>
      <c r="B1037" s="3" t="inlineStr">
        <is>
          <t>pas</t>
        </is>
      </c>
      <c r="C1037" s="3" t="inlineStr">
        <is>
          <t>phv</t>
        </is>
      </c>
      <c r="D1037" s="3" t="str">
        <f>IF($B1037="",""," | "&amp;$E1037&amp;" | "&amp;$F1037)</f>
        <v> | Passenger and light vehicles | Plug-in hybrid</v>
      </c>
      <c r="E1037" s="3" t="str">
        <f>IFERROR(INDEX(SecLab,MATCH($B1037,SecKey,0)),"")</f>
        <v>Passenger and light vehicles</v>
      </c>
      <c r="F1037" s="3" t="str">
        <f>IFERROR(INDEX(FuelLab,MATCH($C1037,FuelKeyL,0)),"")</f>
        <v>Plug-in hybrid</v>
      </c>
      <c r="G1037" s="3" t="inlineStr">
        <is>
          <t>.pass.phv</t>
        </is>
      </c>
      <c r="I1037" s="3" t="inlineStr">
        <is>
          <t>ch4|ftr|bio</t>
        </is>
      </c>
      <c r="J1037" s="3" t="inlineStr">
        <is>
          <t>em.ftr.bio.ch4</t>
        </is>
      </c>
    </row>
    <row r="1038">
      <c r="A1038" s="3" t="str">
        <f>$B1038&amp;"|"&amp;$C1038</f>
        <v>pas|bev</v>
      </c>
      <c r="B1038" s="3" t="inlineStr">
        <is>
          <t>pas</t>
        </is>
      </c>
      <c r="C1038" s="3" t="inlineStr">
        <is>
          <t>bev</t>
        </is>
      </c>
      <c r="D1038" s="3" t="str">
        <f>IF($B1038="",""," | "&amp;$E1038&amp;" | "&amp;$F1038)</f>
        <v> | Passenger and light vehicles | Battery electric</v>
      </c>
      <c r="E1038" s="3" t="str">
        <f>IFERROR(INDEX(SecLab,MATCH($B1038,SecKey,0)),"")</f>
        <v>Passenger and light vehicles</v>
      </c>
      <c r="F1038" s="3" t="str">
        <f>IFERROR(INDEX(FuelLab,MATCH($C1038,FuelKeyL,0)),"")</f>
        <v>Battery electric</v>
      </c>
      <c r="G1038" s="3" t="inlineStr">
        <is>
          <t>.pass.bev</t>
        </is>
      </c>
      <c r="I1038" s="3" t="inlineStr">
        <is>
          <t>ener|ind|all</t>
        </is>
      </c>
      <c r="J1038" s="3" t="inlineStr">
        <is>
          <t>ener.ind.tot</t>
        </is>
      </c>
    </row>
    <row r="1039">
      <c r="A1039" s="3" t="str">
        <f>$B1039&amp;"|"&amp;$C1039</f>
        <v>pas|all</v>
      </c>
      <c r="B1039" s="3" t="inlineStr">
        <is>
          <t>pas</t>
        </is>
      </c>
      <c r="C1039" s="3" t="inlineStr">
        <is>
          <t>all</t>
        </is>
      </c>
      <c r="D1039" s="3" t="str">
        <f>IF($B1039="",""," | "&amp;$E1039&amp;" | "&amp;$F1039)</f>
        <v> | Passenger and light vehicles | All fuels</v>
      </c>
      <c r="E1039" s="3" t="str">
        <f>IFERROR(INDEX(SecLab,MATCH($B1039,SecKey,0)),"")</f>
        <v>Passenger and light vehicles</v>
      </c>
      <c r="F1039" s="3" t="str">
        <f>IFERROR(INDEX(FuelLab,MATCH($C1039,FuelKeyL,0)),"")</f>
        <v>All fuels</v>
      </c>
      <c r="G1039" s="3" t="inlineStr">
        <is>
          <t>.pass.all</t>
        </is>
      </c>
      <c r="I1039" s="3" t="inlineStr">
        <is>
          <t>ener|oen|all</t>
        </is>
      </c>
      <c r="J1039" s="3" t="inlineStr">
        <is>
          <t>ener.oen.tot</t>
        </is>
      </c>
    </row>
    <row r="1040">
      <c r="A1040" s="3" t="str">
        <f>$B1040&amp;"|"&amp;$C1040</f>
        <v>lgt|all</v>
      </c>
      <c r="B1040" s="3" t="inlineStr">
        <is>
          <t>lgt</t>
        </is>
      </c>
      <c r="C1040" s="3" t="inlineStr">
        <is>
          <t>all</t>
        </is>
      </c>
      <c r="D1040" s="3" t="str">
        <f>IF($B1040="",""," | "&amp;$E1040&amp;" | "&amp;$F1040)</f>
        <v> | Light vehicles | All fuels</v>
      </c>
      <c r="E1040" s="3" t="str">
        <f>IFERROR(INDEX(SecLab,MATCH($B1040,SecKey,0)),"")</f>
        <v>Light vehicles</v>
      </c>
      <c r="F1040" s="3" t="str">
        <f>IFERROR(INDEX(FuelLab,MATCH($C1040,FuelKeyL,0)),"")</f>
        <v>All fuels</v>
      </c>
      <c r="G1040" s="3" t="inlineStr">
        <is>
          <t>.lgt.all</t>
        </is>
      </c>
      <c r="I1040" s="3" t="inlineStr">
        <is>
          <t>ch4|oen|coa</t>
        </is>
      </c>
      <c r="J1040" s="3" t="inlineStr">
        <is>
          <t>em.oen.coa.ch4</t>
        </is>
      </c>
    </row>
    <row r="1041">
      <c r="A1041" s="3" t="str">
        <f>$B1041&amp;"|"&amp;$C1041</f>
        <v>fre|all</v>
      </c>
      <c r="B1041" s="3" t="inlineStr">
        <is>
          <t>fre</t>
        </is>
      </c>
      <c r="C1041" s="3" t="inlineStr">
        <is>
          <t>all</t>
        </is>
      </c>
      <c r="D1041" s="3" t="str">
        <f>IF($B1041="",""," | "&amp;$E1041&amp;" | "&amp;$F1041)</f>
        <v> | Freight vehicles | All fuels</v>
      </c>
      <c r="E1041" s="3" t="str">
        <f>IFERROR(INDEX(SecLab,MATCH($B1041,SecKey,0)),"")</f>
        <v>Freight vehicles</v>
      </c>
      <c r="F1041" s="3" t="str">
        <f>IFERROR(INDEX(FuelLab,MATCH($C1041,FuelKeyL,0)),"")</f>
        <v>All fuels</v>
      </c>
      <c r="G1041" s="3" t="inlineStr">
        <is>
          <t>.fre.all</t>
        </is>
      </c>
      <c r="I1041" s="3" t="inlineStr">
        <is>
          <t>ch4|oen|nga</t>
        </is>
      </c>
      <c r="J1041" s="3" t="inlineStr">
        <is>
          <t>em.oen.nga.ch4</t>
        </is>
      </c>
    </row>
    <row r="1042">
      <c r="A1042" s="3" t="str">
        <f>$B1042&amp;"|"&amp;$C1042</f>
        <v>cyc|all</v>
      </c>
      <c r="B1042" s="3" t="inlineStr">
        <is>
          <t>cyc</t>
        </is>
      </c>
      <c r="C1042" s="3" t="inlineStr">
        <is>
          <t>all</t>
        </is>
      </c>
      <c r="D1042" s="3" t="str">
        <f>IF($B1042="",""," | "&amp;$E1042&amp;" | "&amp;$F1042)</f>
        <v> | 2-3 wheelers | All fuels</v>
      </c>
      <c r="E1042" s="3" t="str">
        <f>IFERROR(INDEX(SecLab,MATCH($B1042,SecKey,0)),"")</f>
        <v>2-3 wheelers</v>
      </c>
      <c r="F1042" s="3" t="str">
        <f>IFERROR(INDEX(FuelLab,MATCH($C1042,FuelKeyL,0)),"")</f>
        <v>All fuels</v>
      </c>
      <c r="G1042" s="3" t="inlineStr">
        <is>
          <t>.motor.all</t>
        </is>
      </c>
      <c r="I1042" s="3" t="inlineStr">
        <is>
          <t>ch4|oen|gso</t>
        </is>
      </c>
      <c r="J1042" s="3" t="inlineStr">
        <is>
          <t>em.oen.gso.ch4</t>
        </is>
      </c>
    </row>
    <row r="1043">
      <c r="A1043" s="3" t="str">
        <f>$B1043&amp;"|"&amp;$C1043</f>
        <v>pas|ev</v>
      </c>
      <c r="B1043" s="3" t="inlineStr">
        <is>
          <t>pas</t>
        </is>
      </c>
      <c r="C1043" s="3" t="inlineStr">
        <is>
          <t>ev</t>
        </is>
      </c>
      <c r="D1043" s="3" t="str">
        <f>IF($B1043="",""," | "&amp;$E1043&amp;" | "&amp;$F1043)</f>
        <v> | Passenger and light vehicles | Electric (BEV and PHEV)</v>
      </c>
      <c r="E1043" s="3" t="str">
        <f>IFERROR(INDEX(SecLab,MATCH($B1043,SecKey,0)),"")</f>
        <v>Passenger and light vehicles</v>
      </c>
      <c r="F1043" s="3" t="str">
        <f>IFERROR(INDEX(FuelLab,MATCH($C1043,FuelKeyL,0)),"")</f>
        <v>Electric (BEV and PHEV)</v>
      </c>
      <c r="G1043" s="3" t="inlineStr">
        <is>
          <t>.pass.ev</t>
        </is>
      </c>
      <c r="I1043" s="3" t="inlineStr">
        <is>
          <t>ch4|oen|die</t>
        </is>
      </c>
      <c r="J1043" s="3" t="inlineStr">
        <is>
          <t>em.oen.die.ch4</t>
        </is>
      </c>
    </row>
    <row r="1044">
      <c r="A1044" s="3" t="str">
        <f>$B1044&amp;"|"&amp;$C1044</f>
        <v>lgt|bev</v>
      </c>
      <c r="B1044" s="3" t="inlineStr">
        <is>
          <t>lgt</t>
        </is>
      </c>
      <c r="C1044" s="3" t="inlineStr">
        <is>
          <t>bev</t>
        </is>
      </c>
      <c r="D1044" s="3" t="str">
        <f>IF($B1044="",""," | "&amp;$E1044&amp;" | "&amp;$F1044)</f>
        <v> | Light vehicles | Battery electric</v>
      </c>
      <c r="E1044" s="3" t="str">
        <f>IFERROR(INDEX(SecLab,MATCH($B1044,SecKey,0)),"")</f>
        <v>Light vehicles</v>
      </c>
      <c r="F1044" s="3" t="str">
        <f>IFERROR(INDEX(FuelLab,MATCH($C1044,FuelKeyL,0)),"")</f>
        <v>Battery electric</v>
      </c>
      <c r="G1044" s="3" t="inlineStr">
        <is>
          <t>.lgt.bev</t>
        </is>
      </c>
      <c r="I1044" s="3" t="inlineStr">
        <is>
          <t>ch4|oen|lpg</t>
        </is>
      </c>
      <c r="J1044" s="3" t="inlineStr">
        <is>
          <t>em.oen.lpg.ch4</t>
        </is>
      </c>
    </row>
    <row r="1045">
      <c r="A1045" s="3" t="str">
        <f>$B1045&amp;"|"&amp;$C1045</f>
        <v>fre|bev</v>
      </c>
      <c r="B1045" s="3" t="inlineStr">
        <is>
          <t>fre</t>
        </is>
      </c>
      <c r="C1045" s="3" t="inlineStr">
        <is>
          <t>bev</t>
        </is>
      </c>
      <c r="D1045" s="3" t="str">
        <f>IF($B1045="",""," | "&amp;$E1045&amp;" | "&amp;$F1045)</f>
        <v> | Freight vehicles | Battery electric</v>
      </c>
      <c r="E1045" s="3" t="str">
        <f>IFERROR(INDEX(SecLab,MATCH($B1045,SecKey,0)),"")</f>
        <v>Freight vehicles</v>
      </c>
      <c r="F1045" s="3" t="str">
        <f>IFERROR(INDEX(FuelLab,MATCH($C1045,FuelKeyL,0)),"")</f>
        <v>Battery electric</v>
      </c>
      <c r="G1045" s="3" t="inlineStr">
        <is>
          <t>.fre.bev</t>
        </is>
      </c>
      <c r="I1045" s="3" t="inlineStr">
        <is>
          <t>ch4|oen|ker</t>
        </is>
      </c>
      <c r="J1045" s="3" t="inlineStr">
        <is>
          <t>em.oen.ker.ch4</t>
        </is>
      </c>
    </row>
    <row r="1046">
      <c r="A1046" s="3" t="str">
        <f>$B1046&amp;"|"&amp;$C1046</f>
        <v>cyc|bev</v>
      </c>
      <c r="B1046" s="3" t="inlineStr">
        <is>
          <t>cyc</t>
        </is>
      </c>
      <c r="C1046" s="3" t="inlineStr">
        <is>
          <t>bev</t>
        </is>
      </c>
      <c r="D1046" s="3" t="str">
        <f>IF($B1046="",""," | "&amp;$E1046&amp;" | "&amp;$F1046)</f>
        <v> | 2-3 wheelers | Battery electric</v>
      </c>
      <c r="E1046" s="3" t="str">
        <f>IFERROR(INDEX(SecLab,MATCH($B1046,SecKey,0)),"")</f>
        <v>2-3 wheelers</v>
      </c>
      <c r="F1046" s="3" t="str">
        <f>IFERROR(INDEX(FuelLab,MATCH($C1046,FuelKeyL,0)),"")</f>
        <v>Battery electric</v>
      </c>
      <c r="G1046" s="3" t="inlineStr">
        <is>
          <t>.motor.bev</t>
        </is>
      </c>
      <c r="I1046" s="3" t="inlineStr">
        <is>
          <t>ch4|oen|jfu</t>
        </is>
      </c>
      <c r="J1046" s="3" t="inlineStr">
        <is>
          <t>em.oen.jfu.ch4</t>
        </is>
      </c>
    </row>
    <row r="1047">
      <c r="A1047" s="3" t="str">
        <f>$B1047&amp;"|"&amp;$C1047</f>
        <v>cyc|ice</v>
      </c>
      <c r="B1047" s="3" t="inlineStr">
        <is>
          <t>cyc</t>
        </is>
      </c>
      <c r="C1047" s="3" t="inlineStr">
        <is>
          <t>ice</t>
        </is>
      </c>
      <c r="D1047" s="3" t="str">
        <f>IF($B1047="",""," | "&amp;$E1047&amp;" | "&amp;$F1047)</f>
        <v> | 2-3 wheelers | Internal combustion</v>
      </c>
      <c r="E1047" s="3" t="str">
        <f>IFERROR(INDEX(SecLab,MATCH($B1047,SecKey,0)),"")</f>
        <v>2-3 wheelers</v>
      </c>
      <c r="F1047" s="3" t="str">
        <f>IFERROR(INDEX(FuelLab,MATCH($C1047,FuelKeyL,0)),"")</f>
        <v>Internal combustion</v>
      </c>
      <c r="G1047" s="3" t="inlineStr">
        <is>
          <t>.motor.ice</t>
        </is>
      </c>
      <c r="I1047" s="3" t="inlineStr">
        <is>
          <t>ch4|oen|oop</t>
        </is>
      </c>
      <c r="J1047" s="3" t="inlineStr">
        <is>
          <t>em.oen.oop.ch4</t>
        </is>
      </c>
    </row>
    <row r="1048">
      <c r="A1048" s="3" t="str">
        <f>$B1048&amp;"|"&amp;$C1048</f>
        <v>fre|ice</v>
      </c>
      <c r="B1048" s="3" t="inlineStr">
        <is>
          <t>fre</t>
        </is>
      </c>
      <c r="C1048" s="3" t="inlineStr">
        <is>
          <t>ice</t>
        </is>
      </c>
      <c r="D1048" s="3" t="str">
        <f>IF($B1048="",""," | "&amp;$E1048&amp;" | "&amp;$F1048)</f>
        <v> | Freight vehicles | Internal combustion</v>
      </c>
      <c r="E1048" s="3" t="str">
        <f>IFERROR(INDEX(SecLab,MATCH($B1048,SecKey,0)),"")</f>
        <v>Freight vehicles</v>
      </c>
      <c r="F1048" s="3" t="str">
        <f>IFERROR(INDEX(FuelLab,MATCH($C1048,FuelKeyL,0)),"")</f>
        <v>Internal combustion</v>
      </c>
      <c r="G1048" s="3" t="inlineStr">
        <is>
          <t>.fre.ice</t>
        </is>
      </c>
      <c r="I1048" s="3" t="inlineStr">
        <is>
          <t>ch4|oen|bio</t>
        </is>
      </c>
      <c r="J1048" s="3" t="inlineStr">
        <is>
          <t>em.oen.bio.ch4</t>
        </is>
      </c>
    </row>
    <row r="1049">
      <c r="A1049" s="3" t="str">
        <f>$B1049&amp;"|"&amp;$C1049</f>
        <v>pas|ice</v>
      </c>
      <c r="B1049" s="3" t="inlineStr">
        <is>
          <t>pas</t>
        </is>
      </c>
      <c r="C1049" s="3" t="inlineStr">
        <is>
          <t>ice</t>
        </is>
      </c>
      <c r="D1049" s="3" t="str">
        <f>IF($B1049="",""," | "&amp;$E1049&amp;" | "&amp;$F1049)</f>
        <v> | Passenger and light vehicles | Internal combustion</v>
      </c>
      <c r="E1049" s="3" t="str">
        <f>IFERROR(INDEX(SecLab,MATCH($B1049,SecKey,0)),"")</f>
        <v>Passenger and light vehicles</v>
      </c>
      <c r="F1049" s="3" t="str">
        <f>IFERROR(INDEX(FuelLab,MATCH($C1049,FuelKeyL,0)),"")</f>
        <v>Internal combustion</v>
      </c>
      <c r="G1049" s="3" t="inlineStr">
        <is>
          <t>.pass.ice</t>
        </is>
      </c>
      <c r="I1049" s="3" t="inlineStr">
        <is>
          <t>ener|all|coa</t>
        </is>
      </c>
      <c r="J1049" s="3" t="inlineStr">
        <is>
          <t>ener.tot.coa</t>
        </is>
      </c>
    </row>
    <row r="1050">
      <c r="A1050" s="3" t="str">
        <f>$B1050&amp;"|"&amp;$C1050</f>
        <v>lgt|gso</v>
      </c>
      <c r="B1050" s="3" t="inlineStr">
        <is>
          <t>lgt</t>
        </is>
      </c>
      <c r="C1050" s="3" t="inlineStr">
        <is>
          <t>gso</t>
        </is>
      </c>
      <c r="D1050" s="3" t="str">
        <f>IF($B1050="",""," | "&amp;$E1050&amp;" | "&amp;$F1050)</f>
        <v> | Light vehicles | Gasoline</v>
      </c>
      <c r="E1050" s="3" t="str">
        <f>IFERROR(INDEX(SecLab,MATCH($B1050,SecKey,0)),"")</f>
        <v>Light vehicles</v>
      </c>
      <c r="F1050" s="3" t="str">
        <f>IFERROR(INDEX(FuelLab,MATCH($C1050,FuelKeyL,0)),"")</f>
        <v>Gasoline</v>
      </c>
      <c r="G1050" s="3" t="inlineStr">
        <is>
          <t>.lgt.gso</t>
        </is>
      </c>
      <c r="I1050" s="3" t="inlineStr">
        <is>
          <t>ener|all|nga</t>
        </is>
      </c>
      <c r="J1050" s="3" t="inlineStr">
        <is>
          <t>ener.tot.nga</t>
        </is>
      </c>
    </row>
    <row r="1051">
      <c r="A1051" s="3" t="str">
        <f>$B1051&amp;"|"&amp;$C1051</f>
        <v>lgt|die</v>
      </c>
      <c r="B1051" s="3" t="inlineStr">
        <is>
          <t>lgt</t>
        </is>
      </c>
      <c r="C1051" s="3" t="inlineStr">
        <is>
          <t>die</t>
        </is>
      </c>
      <c r="D1051" s="3" t="str">
        <f>IF($B1051="",""," | "&amp;$E1051&amp;" | "&amp;$F1051)</f>
        <v> | Light vehicles | Diesel</v>
      </c>
      <c r="E1051" s="3" t="str">
        <f>IFERROR(INDEX(SecLab,MATCH($B1051,SecKey,0)),"")</f>
        <v>Light vehicles</v>
      </c>
      <c r="F1051" s="3" t="str">
        <f>IFERROR(INDEX(FuelLab,MATCH($C1051,FuelKeyL,0)),"")</f>
        <v>Diesel</v>
      </c>
      <c r="G1051" s="3" t="inlineStr">
        <is>
          <t>.lgt.die</t>
        </is>
      </c>
      <c r="I1051" s="3" t="inlineStr">
        <is>
          <t>ener|all|gso</t>
        </is>
      </c>
      <c r="J1051" s="3" t="inlineStr">
        <is>
          <t>ener.tot.gso</t>
        </is>
      </c>
    </row>
    <row r="1052">
      <c r="A1052" s="3" t="str">
        <f>$B1052&amp;"|"&amp;$C1052</f>
        <v>lgt|lpg</v>
      </c>
      <c r="B1052" s="3" t="inlineStr">
        <is>
          <t>lgt</t>
        </is>
      </c>
      <c r="C1052" s="3" t="inlineStr">
        <is>
          <t>lpg</t>
        </is>
      </c>
      <c r="D1052" s="3" t="str">
        <f>IF($B1052="",""," | "&amp;$E1052&amp;" | "&amp;$F1052)</f>
        <v> | Light vehicles | LPG</v>
      </c>
      <c r="E1052" s="3" t="str">
        <f>IFERROR(INDEX(SecLab,MATCH($B1052,SecKey,0)),"")</f>
        <v>Light vehicles</v>
      </c>
      <c r="F1052" s="3" t="str">
        <f>IFERROR(INDEX(FuelLab,MATCH($C1052,FuelKeyL,0)),"")</f>
        <v>LPG</v>
      </c>
      <c r="G1052" s="3" t="inlineStr">
        <is>
          <t>.lgt.lpg</t>
        </is>
      </c>
      <c r="I1052" s="3" t="inlineStr">
        <is>
          <t>ener|all|die</t>
        </is>
      </c>
      <c r="J1052" s="3" t="inlineStr">
        <is>
          <t>ener.tot.die</t>
        </is>
      </c>
    </row>
    <row r="1053">
      <c r="A1053" s="3" t="str">
        <f>$B1053&amp;"|"&amp;$C1053</f>
        <v>lgt|nga</v>
      </c>
      <c r="B1053" s="3" t="inlineStr">
        <is>
          <t>lgt</t>
        </is>
      </c>
      <c r="C1053" s="3" t="inlineStr">
        <is>
          <t>nga</t>
        </is>
      </c>
      <c r="D1053" s="3" t="str">
        <f>IF($B1053="",""," | "&amp;$E1053&amp;" | "&amp;$F1053)</f>
        <v> | Light vehicles | Natural gas</v>
      </c>
      <c r="E1053" s="3" t="str">
        <f>IFERROR(INDEX(SecLab,MATCH($B1053,SecKey,0)),"")</f>
        <v>Light vehicles</v>
      </c>
      <c r="F1053" s="3" t="str">
        <f>IFERROR(INDEX(FuelLab,MATCH($C1053,FuelKeyL,0)),"")</f>
        <v>Natural gas</v>
      </c>
      <c r="G1053" s="3" t="inlineStr">
        <is>
          <t>.lgt.nga</t>
        </is>
      </c>
      <c r="I1053" s="3" t="inlineStr">
        <is>
          <t>ener|all|lpg</t>
        </is>
      </c>
      <c r="J1053" s="3" t="inlineStr">
        <is>
          <t>ener.tot.lpg</t>
        </is>
      </c>
    </row>
    <row r="1054">
      <c r="A1054" s="3" t="str">
        <f>$B1054&amp;"|"&amp;$C1054</f>
        <v>bus|all</v>
      </c>
      <c r="B1054" s="3" t="inlineStr">
        <is>
          <t>bus</t>
        </is>
      </c>
      <c r="C1054" s="3" t="inlineStr">
        <is>
          <t>all</t>
        </is>
      </c>
      <c r="D1054" s="3" t="str">
        <f>IF($B1054="",""," | "&amp;$E1054&amp;" | "&amp;$F1054)</f>
        <v> | Buses | All fuels</v>
      </c>
      <c r="E1054" s="3" t="str">
        <f>IFERROR(INDEX(SecLab,MATCH($B1054,SecKey,0)),"")</f>
        <v>Buses</v>
      </c>
      <c r="F1054" s="3" t="str">
        <f>IFERROR(INDEX(FuelLab,MATCH($C1054,FuelKeyL,0)),"")</f>
        <v>All fuels</v>
      </c>
      <c r="G1054" s="3" t="inlineStr">
        <is>
          <t>.bus.all</t>
        </is>
      </c>
      <c r="I1054" s="3" t="inlineStr">
        <is>
          <t>ener|all|ker</t>
        </is>
      </c>
      <c r="J1054" s="3" t="inlineStr">
        <is>
          <t>ener.tot.ker</t>
        </is>
      </c>
    </row>
    <row r="1055">
      <c r="A1055" s="3" t="str">
        <f>$B1055&amp;"|"&amp;$C1055</f>
        <v>pau|ice</v>
      </c>
      <c r="B1055" s="3" t="inlineStr">
        <is>
          <t>pau</t>
        </is>
      </c>
      <c r="C1055" s="3" t="inlineStr">
        <is>
          <t>ice</t>
        </is>
      </c>
      <c r="D1055" s="3" t="str">
        <f>IF($B1055="",""," | "&amp;$E1055&amp;" | "&amp;$F1055)</f>
        <v> | Used passenger and light vehicles | Internal combustion</v>
      </c>
      <c r="E1055" s="3" t="str">
        <f>IFERROR(INDEX(SecLab,MATCH($B1055,SecKey,0)),"")</f>
        <v>Used passenger and light vehicles</v>
      </c>
      <c r="F1055" s="3" t="str">
        <f>IFERROR(INDEX(FuelLab,MATCH($C1055,FuelKeyL,0)),"")</f>
        <v>Internal combustion</v>
      </c>
      <c r="G1055" s="3" t="inlineStr">
        <is>
          <t>.pau.ice</t>
        </is>
      </c>
      <c r="I1055" s="3" t="inlineStr">
        <is>
          <t>ener|all|jfu</t>
        </is>
      </c>
      <c r="J1055" s="3" t="inlineStr">
        <is>
          <t>ener.tot.jfu</t>
        </is>
      </c>
    </row>
    <row r="1056">
      <c r="A1056" s="3" t="str">
        <f>$B1056&amp;"|"&amp;$C1056</f>
        <v>pau|bev</v>
      </c>
      <c r="B1056" s="3" t="inlineStr">
        <is>
          <t>pau</t>
        </is>
      </c>
      <c r="C1056" s="3" t="inlineStr">
        <is>
          <t>bev</t>
        </is>
      </c>
      <c r="D1056" s="3" t="str">
        <f>IF($B1056="",""," | "&amp;$E1056&amp;" | "&amp;$F1056)</f>
        <v> | Used passenger and light vehicles | Battery electric</v>
      </c>
      <c r="E1056" s="3" t="str">
        <f>IFERROR(INDEX(SecLab,MATCH($B1056,SecKey,0)),"")</f>
        <v>Used passenger and light vehicles</v>
      </c>
      <c r="F1056" s="3" t="str">
        <f>IFERROR(INDEX(FuelLab,MATCH($C1056,FuelKeyL,0)),"")</f>
        <v>Battery electric</v>
      </c>
      <c r="G1056" s="3" t="inlineStr">
        <is>
          <t>.pau.bev</t>
        </is>
      </c>
      <c r="I1056" s="3" t="inlineStr">
        <is>
          <t>ener|all|oop</t>
        </is>
      </c>
      <c r="J1056" s="3" t="inlineStr">
        <is>
          <t>ener.tot.oop</t>
        </is>
      </c>
    </row>
    <row r="1057">
      <c r="A1057" s="3" t="str">
        <f>$B1057&amp;"|"&amp;$C1057</f>
        <v>all|bev</v>
      </c>
      <c r="B1057" s="3" t="inlineStr">
        <is>
          <t>all</t>
        </is>
      </c>
      <c r="C1057" s="3" t="inlineStr">
        <is>
          <t>bev</t>
        </is>
      </c>
      <c r="D1057" s="3" t="str">
        <f>IF($B1057="",""," | "&amp;$E1057&amp;" | "&amp;$F1057)</f>
        <v> | All sectors | Battery electric</v>
      </c>
      <c r="E1057" s="3" t="str">
        <f>IFERROR(INDEX(SecLab,MATCH($B1057,SecKey,0)),"")</f>
        <v>All sectors</v>
      </c>
      <c r="F1057" s="3" t="str">
        <f>IFERROR(INDEX(FuelLab,MATCH($C1057,FuelKeyL,0)),"")</f>
        <v>Battery electric</v>
      </c>
      <c r="G1057" s="3" t="inlineStr">
        <is>
          <t>.all.bev</t>
        </is>
      </c>
      <c r="I1057" s="3" t="inlineStr">
        <is>
          <t>ener|all|bio</t>
        </is>
      </c>
      <c r="J1057" s="3" t="inlineStr">
        <is>
          <t>ener.tot.bio</t>
        </is>
      </c>
    </row>
    <row r="1058">
      <c r="A1058" s="3" t="str">
        <f>$B1058&amp;"|"&amp;$C1058</f>
        <v>pau|all</v>
      </c>
      <c r="B1058" s="3" t="inlineStr">
        <is>
          <t>pau</t>
        </is>
      </c>
      <c r="C1058" s="3" t="inlineStr">
        <is>
          <t>all</t>
        </is>
      </c>
      <c r="D1058" s="3" t="str">
        <f>IF($B1058="",""," | "&amp;$E1058&amp;" | "&amp;$F1058)</f>
        <v> | Used passenger and light vehicles | All fuels</v>
      </c>
      <c r="E1058" s="3" t="str">
        <f>IFERROR(INDEX(SecLab,MATCH($B1058,SecKey,0)),"")</f>
        <v>Used passenger and light vehicles</v>
      </c>
      <c r="F1058" s="3" t="str">
        <f>IFERROR(INDEX(FuelLab,MATCH($C1058,FuelKeyL,0)),"")</f>
        <v>All fuels</v>
      </c>
      <c r="G1058" s="3" t="inlineStr">
        <is>
          <t>.pau.all</t>
        </is>
      </c>
      <c r="I1058" s="3" t="inlineStr">
        <is>
          <t>eldem|all|ecy</t>
        </is>
      </c>
      <c r="J1058" s="3" t="inlineStr">
        <is>
          <t>eldem.tot.ecy</t>
        </is>
      </c>
    </row>
    <row r="1059">
      <c r="A1059" s="3" t="str">
        <f>$B1059&amp;"|"&amp;$C1059</f>
        <v>pas|ecy</v>
      </c>
      <c r="B1059" s="3" t="inlineStr">
        <is>
          <t>pas</t>
        </is>
      </c>
      <c r="C1059" s="3" t="inlineStr">
        <is>
          <t>ecy</t>
        </is>
      </c>
      <c r="D1059" s="3" t="str">
        <f>IF($B1059="",""," | "&amp;$E1059&amp;" | "&amp;$F1059)</f>
        <v> | Passenger and light vehicles | Electricity</v>
      </c>
      <c r="E1059" s="3" t="str">
        <f>IFERROR(INDEX(SecLab,MATCH($B1059,SecKey,0)),"")</f>
        <v>Passenger and light vehicles</v>
      </c>
      <c r="F1059" s="3" t="str">
        <f>IFERROR(INDEX(FuelLab,MATCH($C1059,FuelKeyL,0)),"")</f>
        <v>Electricity</v>
      </c>
      <c r="G1059" s="3" t="inlineStr">
        <is>
          <t>.pass.ecy</t>
        </is>
      </c>
      <c r="I1059" s="3" t="inlineStr">
        <is>
          <t>ener|all|all</t>
        </is>
      </c>
      <c r="J1059" s="3" t="inlineStr">
        <is>
          <t>ener.tot.tot</t>
        </is>
      </c>
    </row>
    <row r="1060">
      <c r="A1060" s="3" t="str">
        <f>$B1060&amp;"|"&amp;$C1060</f>
        <v>fre|ecy</v>
      </c>
      <c r="B1060" s="3" t="inlineStr">
        <is>
          <t>fre</t>
        </is>
      </c>
      <c r="C1060" s="3" t="inlineStr">
        <is>
          <t>ecy</t>
        </is>
      </c>
      <c r="D1060" s="3" t="str">
        <f>IF($B1060="",""," | "&amp;$E1060&amp;" | "&amp;$F1060)</f>
        <v> | Freight vehicles | Electricity</v>
      </c>
      <c r="E1060" s="3" t="str">
        <f>IFERROR(INDEX(SecLab,MATCH($B1060,SecKey,0)),"")</f>
        <v>Freight vehicles</v>
      </c>
      <c r="F1060" s="3" t="str">
        <f>IFERROR(INDEX(FuelLab,MATCH($C1060,FuelKeyL,0)),"")</f>
        <v>Electricity</v>
      </c>
      <c r="G1060" s="3" t="inlineStr">
        <is>
          <t>.fre.ecy</t>
        </is>
      </c>
      <c r="I1060" s="3" t="inlineStr">
        <is>
          <t>rtx|all|all</t>
        </is>
      </c>
      <c r="J1060" s="3" t="inlineStr">
        <is>
          <t>rtx.tot.tot</t>
        </is>
      </c>
    </row>
    <row r="1061">
      <c r="A1061" s="3" t="str">
        <f>$B1061&amp;"|"&amp;$C1061</f>
        <v>cyc|ecy</v>
      </c>
      <c r="B1061" s="3" t="inlineStr">
        <is>
          <t>cyc</t>
        </is>
      </c>
      <c r="C1061" s="3" t="inlineStr">
        <is>
          <t>ecy</t>
        </is>
      </c>
      <c r="D1061" s="3" t="str">
        <f>IF($B1061="",""," | "&amp;$E1061&amp;" | "&amp;$F1061)</f>
        <v> | 2-3 wheelers | Electricity</v>
      </c>
      <c r="E1061" s="3" t="str">
        <f>IFERROR(INDEX(SecLab,MATCH($B1061,SecKey,0)),"")</f>
        <v>2-3 wheelers</v>
      </c>
      <c r="F1061" s="3" t="str">
        <f>IFERROR(INDEX(FuelLab,MATCH($C1061,FuelKeyL,0)),"")</f>
        <v>Electricity</v>
      </c>
      <c r="G1061" s="3" t="inlineStr">
        <is>
          <t>.motor.ecy</t>
        </is>
      </c>
      <c r="I1061" s="3" t="inlineStr">
        <is>
          <t>rtx|tra|all</t>
        </is>
      </c>
      <c r="J1061" s="3" t="inlineStr">
        <is>
          <t>rtx.tra.tot</t>
        </is>
      </c>
    </row>
    <row r="1062">
      <c r="A1062" s="3" t="str">
        <f>$B1062&amp;"|"&amp;$C1062</f>
        <v>bus|ecy</v>
      </c>
      <c r="B1062" s="3" t="inlineStr">
        <is>
          <t>bus</t>
        </is>
      </c>
      <c r="C1062" s="3" t="inlineStr">
        <is>
          <t>ecy</t>
        </is>
      </c>
      <c r="D1062" s="3" t="str">
        <f>IF($B1062="",""," | "&amp;$E1062&amp;" | "&amp;$F1062)</f>
        <v> | Buses | Electricity</v>
      </c>
      <c r="E1062" s="3" t="str">
        <f>IFERROR(INDEX(SecLab,MATCH($B1062,SecKey,0)),"")</f>
        <v>Buses</v>
      </c>
      <c r="F1062" s="3" t="str">
        <f>IFERROR(INDEX(FuelLab,MATCH($C1062,FuelKeyL,0)),"")</f>
        <v>Electricity</v>
      </c>
      <c r="G1062" s="3" t="inlineStr">
        <is>
          <t>.bus.ecy</t>
        </is>
      </c>
      <c r="I1062" s="3" t="inlineStr">
        <is>
          <t>rtx|bld|all</t>
        </is>
      </c>
      <c r="J1062" s="3" t="inlineStr">
        <is>
          <t>rtx.bld.tot</t>
        </is>
      </c>
    </row>
    <row r="1063">
      <c r="A1063" s="3" t="str">
        <f>$B1063&amp;"|"&amp;$C1063</f>
        <v>fre|ev</v>
      </c>
      <c r="B1063" s="3" t="inlineStr">
        <is>
          <t>fre</t>
        </is>
      </c>
      <c r="C1063" s="3" t="inlineStr">
        <is>
          <t>ev</t>
        </is>
      </c>
      <c r="D1063" s="3" t="str">
        <f>IF($B1063="",""," | "&amp;$E1063&amp;" | "&amp;$F1063)</f>
        <v> | Freight vehicles | Electric (BEV and PHEV)</v>
      </c>
      <c r="E1063" s="3" t="str">
        <f>IFERROR(INDEX(SecLab,MATCH($B1063,SecKey,0)),"")</f>
        <v>Freight vehicles</v>
      </c>
      <c r="F1063" s="3" t="str">
        <f>IFERROR(INDEX(FuelLab,MATCH($C1063,FuelKeyL,0)),"")</f>
        <v>Electric (BEV and PHEV)</v>
      </c>
      <c r="G1063" s="3" t="inlineStr">
        <is>
          <t>.fre.ev</t>
        </is>
      </c>
      <c r="I1063" s="3" t="inlineStr">
        <is>
          <t>rtx|ind|all</t>
        </is>
      </c>
      <c r="J1063" s="3" t="inlineStr">
        <is>
          <t>rtx.ind.tot</t>
        </is>
      </c>
    </row>
    <row r="1064">
      <c r="A1064" s="3" t="str">
        <f>$B1064&amp;"|"&amp;$C1064</f>
        <v>cyc|ev</v>
      </c>
      <c r="B1064" s="3" t="inlineStr">
        <is>
          <t>cyc</t>
        </is>
      </c>
      <c r="C1064" s="3" t="inlineStr">
        <is>
          <t>ev</t>
        </is>
      </c>
      <c r="D1064" s="3" t="str">
        <f>IF($B1064="",""," | "&amp;$E1064&amp;" | "&amp;$F1064)</f>
        <v> | 2-3 wheelers | Electric (BEV and PHEV)</v>
      </c>
      <c r="E1064" s="3" t="str">
        <f>IFERROR(INDEX(SecLab,MATCH($B1064,SecKey,0)),"")</f>
        <v>2-3 wheelers</v>
      </c>
      <c r="F1064" s="3" t="str">
        <f>IFERROR(INDEX(FuelLab,MATCH($C1064,FuelKeyL,0)),"")</f>
        <v>Electric (BEV and PHEV)</v>
      </c>
      <c r="G1064" s="3" t="inlineStr">
        <is>
          <t>.motor.ev</t>
        </is>
      </c>
      <c r="I1064" s="3" t="inlineStr">
        <is>
          <t>rtx|oen|all</t>
        </is>
      </c>
      <c r="J1064" s="3" t="inlineStr">
        <is>
          <t>rtx.oen.tot</t>
        </is>
      </c>
    </row>
    <row r="1065">
      <c r="A1065" s="3" t="str">
        <f>$B1065&amp;"|"&amp;$C1065</f>
        <v>rod|bgs</v>
      </c>
      <c r="B1065" s="3" t="inlineStr">
        <is>
          <t>rod</t>
        </is>
      </c>
      <c r="C1065" s="3" t="inlineStr">
        <is>
          <t>bgs</t>
        </is>
      </c>
      <c r="D1065" s="3" t="str">
        <f>IF($B1065="",""," | "&amp;$E1065&amp;" | "&amp;$F1065)</f>
        <v> | Road | </v>
      </c>
      <c r="E1065" s="3" t="str">
        <f>IFERROR(INDEX(SecLab,MATCH($B1065,SecKey,0)),"")</f>
        <v>Road</v>
      </c>
      <c r="F1065" s="3" t="str">
        <f>IFERROR(INDEX(FuelLab,MATCH($C1065,FuelKeyL,0)),"")</f>
        <v/>
      </c>
      <c r="G1065" s="3" t="inlineStr">
        <is>
          <t>.rod.bgs</t>
        </is>
      </c>
      <c r="I1065" s="3" t="inlineStr">
        <is>
          <t>rtx|pow|all</t>
        </is>
      </c>
      <c r="J1065" s="3" t="inlineStr">
        <is>
          <t>rtx.pow.tot</t>
        </is>
      </c>
    </row>
    <row r="1066">
      <c r="A1066" s="3" t="str">
        <f>$B1066&amp;"|"&amp;$C1066</f>
        <v>rod|bdi</v>
      </c>
      <c r="B1066" s="3" t="inlineStr">
        <is>
          <t>rod</t>
        </is>
      </c>
      <c r="C1066" s="3" t="inlineStr">
        <is>
          <t>bdi</t>
        </is>
      </c>
      <c r="D1066" s="3" t="str">
        <f>IF($B1066="",""," | "&amp;$E1066&amp;" | "&amp;$F1066)</f>
        <v> | Road | </v>
      </c>
      <c r="E1066" s="3" t="str">
        <f>IFERROR(INDEX(SecLab,MATCH($B1066,SecKey,0)),"")</f>
        <v>Road</v>
      </c>
      <c r="F1066" s="3" t="str">
        <f>IFERROR(INDEX(FuelLab,MATCH($C1066,FuelKeyL,0)),"")</f>
        <v/>
      </c>
      <c r="G1066" s="3" t="inlineStr">
        <is>
          <t>.rod.bdi</t>
        </is>
      </c>
      <c r="I1066" s="3" t="inlineStr">
        <is>
          <t>rsub|all|all</t>
        </is>
      </c>
      <c r="J1066" s="3" t="inlineStr">
        <is>
          <t>rsub.tot.tot</t>
        </is>
      </c>
    </row>
    <row r="1067">
      <c r="A1067" s="3" t="str">
        <f>$B1067&amp;"|"&amp;$C1067</f>
        <v>rod|obf</v>
      </c>
      <c r="B1067" s="3" t="inlineStr">
        <is>
          <t>rod</t>
        </is>
      </c>
      <c r="C1067" s="3" t="inlineStr">
        <is>
          <t>obf</t>
        </is>
      </c>
      <c r="D1067" s="3" t="str">
        <f>IF($B1067="",""," | "&amp;$E1067&amp;" | "&amp;$F1067)</f>
        <v> | Road | </v>
      </c>
      <c r="E1067" s="3" t="str">
        <f>IFERROR(INDEX(SecLab,MATCH($B1067,SecKey,0)),"")</f>
        <v>Road</v>
      </c>
      <c r="F1067" s="3" t="str">
        <f>IFERROR(INDEX(FuelLab,MATCH($C1067,FuelKeyL,0)),"")</f>
        <v/>
      </c>
      <c r="G1067" s="3" t="inlineStr">
        <is>
          <t>.rod.obf</t>
        </is>
      </c>
      <c r="I1067" s="3" t="inlineStr">
        <is>
          <t>rsub|tra|all</t>
        </is>
      </c>
      <c r="J1067" s="3" t="inlineStr">
        <is>
          <t>rsub.tra.tot</t>
        </is>
      </c>
    </row>
    <row r="1068">
      <c r="A1068" s="3" t="str">
        <f>$B1068&amp;"|"&amp;$C1068</f>
        <v>tra|ren</v>
      </c>
      <c r="B1068" s="3" t="inlineStr">
        <is>
          <t>tra</t>
        </is>
      </c>
      <c r="C1068" s="3" t="inlineStr">
        <is>
          <t>ren</t>
        </is>
      </c>
      <c r="D1068" s="3" t="str">
        <f>IF($B1068="",""," | "&amp;$E1068&amp;" | "&amp;$F1068)</f>
        <v> | Transport | </v>
      </c>
      <c r="E1068" s="3" t="str">
        <f>IFERROR(INDEX(SecLab,MATCH($B1068,SecKey,0)),"")</f>
        <v>Transport</v>
      </c>
      <c r="F1068" s="3" t="str">
        <f>IFERROR(INDEX(FuelLab,MATCH($C1068,FuelKeyL,0)),"")</f>
        <v/>
      </c>
      <c r="G1068" s="3" t="inlineStr">
        <is>
          <t>.tra.ren</t>
        </is>
      </c>
      <c r="I1068" s="3" t="inlineStr">
        <is>
          <t>rsub|bld|all</t>
        </is>
      </c>
      <c r="J1068" s="3" t="inlineStr">
        <is>
          <t>rsub.bld.tot</t>
        </is>
      </c>
    </row>
    <row r="1069">
      <c r="A1069" s="3" t="str">
        <f>$B1069&amp;"|"&amp;$C1069</f>
        <v>avi|ren</v>
      </c>
      <c r="B1069" s="3" t="inlineStr">
        <is>
          <t>avi</t>
        </is>
      </c>
      <c r="C1069" s="3" t="inlineStr">
        <is>
          <t>ren</t>
        </is>
      </c>
      <c r="D1069" s="3" t="str">
        <f>IF($B1069="",""," | "&amp;$E1069&amp;" | "&amp;$F1069)</f>
        <v> | Domestic aviation | </v>
      </c>
      <c r="E1069" s="3" t="str">
        <f>IFERROR(INDEX(SecLab,MATCH($B1069,SecKey,0)),"")</f>
        <v>Domestic aviation</v>
      </c>
      <c r="F1069" s="3" t="str">
        <f>IFERROR(INDEX(FuelLab,MATCH($C1069,FuelKeyL,0)),"")</f>
        <v/>
      </c>
      <c r="G1069" s="3" t="inlineStr">
        <is>
          <t>.avi.ren</t>
        </is>
      </c>
      <c r="I1069" s="3" t="inlineStr">
        <is>
          <t>rsub|ind|all</t>
        </is>
      </c>
      <c r="J1069" s="3" t="inlineStr">
        <is>
          <t>rsub.ind.tot</t>
        </is>
      </c>
    </row>
    <row r="1070">
      <c r="A1070" s="3" t="str">
        <f>$B1070&amp;"|"&amp;$C1070</f>
        <v>nav|ren</v>
      </c>
      <c r="B1070" s="3" t="inlineStr">
        <is>
          <t>nav</t>
        </is>
      </c>
      <c r="C1070" s="3" t="inlineStr">
        <is>
          <t>ren</t>
        </is>
      </c>
      <c r="D1070" s="3" t="str">
        <f>IF($B1070="",""," | "&amp;$E1070&amp;" | "&amp;$F1070)</f>
        <v> | Domestic navigation | </v>
      </c>
      <c r="E1070" s="3" t="str">
        <f>IFERROR(INDEX(SecLab,MATCH($B1070,SecKey,0)),"")</f>
        <v>Domestic navigation</v>
      </c>
      <c r="F1070" s="3" t="str">
        <f>IFERROR(INDEX(FuelLab,MATCH($C1070,FuelKeyL,0)),"")</f>
        <v/>
      </c>
      <c r="G1070" s="3" t="inlineStr">
        <is>
          <t>.nav.ren</t>
        </is>
      </c>
      <c r="I1070" s="3" t="inlineStr">
        <is>
          <t>rsub|oen|all</t>
        </is>
      </c>
      <c r="J1070" s="3" t="inlineStr">
        <is>
          <t>rsub.oen.tot</t>
        </is>
      </c>
    </row>
    <row r="1071">
      <c r="A1071" s="3" t="str">
        <f>$B1071&amp;"|"&amp;$C1071</f>
        <v>res|jfu</v>
      </c>
      <c r="B1071" s="3" t="inlineStr">
        <is>
          <t>res</t>
        </is>
      </c>
      <c r="C1071" s="3" t="inlineStr">
        <is>
          <t>jfu</t>
        </is>
      </c>
      <c r="D1071" s="3" t="str">
        <f>IF($B1071="",""," | "&amp;$E1071&amp;" | "&amp;$F1071)</f>
        <v> | Residential | Jet fuel</v>
      </c>
      <c r="E1071" s="3" t="str">
        <f>IFERROR(INDEX(SecLab,MATCH($B1071,SecKey,0)),"")</f>
        <v>Residential</v>
      </c>
      <c r="F1071" s="3" t="str">
        <f>IFERROR(INDEX(FuelLab,MATCH($C1071,FuelKeyL,0)),"")</f>
        <v>Jet fuel</v>
      </c>
      <c r="G1071" s="3" t="inlineStr">
        <is>
          <t>.res.jfu</t>
        </is>
      </c>
      <c r="I1071" s="3" t="inlineStr">
        <is>
          <t>rsub|pow|all</t>
        </is>
      </c>
      <c r="J1071" s="3" t="inlineStr">
        <is>
          <t>rsub.pow.tot</t>
        </is>
      </c>
    </row>
    <row r="1072">
      <c r="A1072" s="3" t="str">
        <f>$B1072&amp;"|"&amp;$C1072</f>
        <v>res|oop</v>
      </c>
      <c r="B1072" s="3" t="inlineStr">
        <is>
          <t>res</t>
        </is>
      </c>
      <c r="C1072" s="3" t="inlineStr">
        <is>
          <t>oop</t>
        </is>
      </c>
      <c r="D1072" s="3" t="str">
        <f>IF($B1072="",""," | "&amp;$E1072&amp;" | "&amp;$F1072)</f>
        <v> | Residential | Other oil products</v>
      </c>
      <c r="E1072" s="3" t="str">
        <f>IFERROR(INDEX(SecLab,MATCH($B1072,SecKey,0)),"")</f>
        <v>Residential</v>
      </c>
      <c r="F1072" s="3" t="str">
        <f>IFERROR(INDEX(FuelLab,MATCH($C1072,FuelKeyL,0)),"")</f>
        <v>Other oil products</v>
      </c>
      <c r="G1072" s="3" t="inlineStr">
        <is>
          <t>.res.oop</t>
        </is>
      </c>
      <c r="I1072" s="3" t="inlineStr">
        <is>
          <t>rnew|all|all</t>
        </is>
      </c>
      <c r="J1072" s="3" t="inlineStr">
        <is>
          <t>rnew.tot.tot</t>
        </is>
      </c>
    </row>
    <row r="1073">
      <c r="A1073" s="3" t="str">
        <f>$B1073&amp;"|"&amp;$C1073</f>
        <v>res|bio</v>
      </c>
      <c r="B1073" s="3" t="inlineStr">
        <is>
          <t>res</t>
        </is>
      </c>
      <c r="C1073" s="3" t="inlineStr">
        <is>
          <t>bio</t>
        </is>
      </c>
      <c r="D1073" s="3" t="str">
        <f>IF($B1073="",""," | "&amp;$E1073&amp;" | "&amp;$F1073)</f>
        <v> | Residential | Biomass</v>
      </c>
      <c r="E1073" s="3" t="str">
        <f>IFERROR(INDEX(SecLab,MATCH($B1073,SecKey,0)),"")</f>
        <v>Residential</v>
      </c>
      <c r="F1073" s="3" t="str">
        <f>IFERROR(INDEX(FuelLab,MATCH($C1073,FuelKeyL,0)),"")</f>
        <v>Biomass</v>
      </c>
      <c r="G1073" s="3" t="inlineStr">
        <is>
          <t>.res.bio</t>
        </is>
      </c>
      <c r="I1073" s="3" t="inlineStr">
        <is>
          <t>rnew|tra|all</t>
        </is>
      </c>
      <c r="J1073" s="3" t="inlineStr">
        <is>
          <t>rnew.tra.tot</t>
        </is>
      </c>
    </row>
    <row r="1074">
      <c r="A1074" s="3" t="str">
        <f>$B1074&amp;"|"&amp;$C1074</f>
        <v>foo|jfu</v>
      </c>
      <c r="B1074" s="3" t="inlineStr">
        <is>
          <t>foo</t>
        </is>
      </c>
      <c r="C1074" s="3" t="inlineStr">
        <is>
          <t>jfu</t>
        </is>
      </c>
      <c r="D1074" s="3" t="str">
        <f>IF($B1074="",""," | "&amp;$E1074&amp;" | "&amp;$F1074)</f>
        <v> | Food &amp; forestry | Jet fuel</v>
      </c>
      <c r="E1074" s="3" t="str">
        <f>IFERROR(INDEX(SecLab,MATCH($B1074,SecKey,0)),"")</f>
        <v>Food &amp; forestry</v>
      </c>
      <c r="F1074" s="3" t="str">
        <f>IFERROR(INDEX(FuelLab,MATCH($C1074,FuelKeyL,0)),"")</f>
        <v>Jet fuel</v>
      </c>
      <c r="G1074" s="3" t="inlineStr">
        <is>
          <t>.foo.jfu</t>
        </is>
      </c>
      <c r="I1074" s="3" t="inlineStr">
        <is>
          <t>rnew|bld|all</t>
        </is>
      </c>
      <c r="J1074" s="3" t="inlineStr">
        <is>
          <t>rnew.bld.tot</t>
        </is>
      </c>
    </row>
    <row r="1075">
      <c r="A1075" s="3" t="str">
        <f>$B1075&amp;"|"&amp;$C1075</f>
        <v>foo|oop</v>
      </c>
      <c r="B1075" s="3" t="inlineStr">
        <is>
          <t>foo</t>
        </is>
      </c>
      <c r="C1075" s="3" t="inlineStr">
        <is>
          <t>oop</t>
        </is>
      </c>
      <c r="D1075" s="3" t="str">
        <f>IF($B1075="",""," | "&amp;$E1075&amp;" | "&amp;$F1075)</f>
        <v> | Food &amp; forestry | Other oil products</v>
      </c>
      <c r="E1075" s="3" t="str">
        <f>IFERROR(INDEX(SecLab,MATCH($B1075,SecKey,0)),"")</f>
        <v>Food &amp; forestry</v>
      </c>
      <c r="F1075" s="3" t="str">
        <f>IFERROR(INDEX(FuelLab,MATCH($C1075,FuelKeyL,0)),"")</f>
        <v>Other oil products</v>
      </c>
      <c r="G1075" s="3" t="inlineStr">
        <is>
          <t>.foo.oop</t>
        </is>
      </c>
      <c r="I1075" s="3" t="inlineStr">
        <is>
          <t>rnew|ind|all</t>
        </is>
      </c>
      <c r="J1075" s="3" t="inlineStr">
        <is>
          <t>rnew.ind.tot</t>
        </is>
      </c>
    </row>
    <row r="1076">
      <c r="A1076" s="3" t="str">
        <f>$B1076&amp;"|"&amp;$C1076</f>
        <v>foo|bio</v>
      </c>
      <c r="B1076" s="3" t="inlineStr">
        <is>
          <t>foo</t>
        </is>
      </c>
      <c r="C1076" s="3" t="inlineStr">
        <is>
          <t>bio</t>
        </is>
      </c>
      <c r="D1076" s="3" t="str">
        <f>IF($B1076="",""," | "&amp;$E1076&amp;" | "&amp;$F1076)</f>
        <v> | Food &amp; forestry | Biomass</v>
      </c>
      <c r="E1076" s="3" t="str">
        <f>IFERROR(INDEX(SecLab,MATCH($B1076,SecKey,0)),"")</f>
        <v>Food &amp; forestry</v>
      </c>
      <c r="F1076" s="3" t="str">
        <f>IFERROR(INDEX(FuelLab,MATCH($C1076,FuelKeyL,0)),"")</f>
        <v>Biomass</v>
      </c>
      <c r="G1076" s="3" t="inlineStr">
        <is>
          <t>.foo.bio</t>
        </is>
      </c>
      <c r="I1076" s="3" t="inlineStr">
        <is>
          <t>rnew|oen|all</t>
        </is>
      </c>
      <c r="J1076" s="3" t="inlineStr">
        <is>
          <t>rnew.oen.tot</t>
        </is>
      </c>
    </row>
    <row r="1077">
      <c r="A1077" s="3" t="str">
        <f>$B1077&amp;"|"&amp;$C1077</f>
        <v>srv|jfu</v>
      </c>
      <c r="B1077" s="3" t="inlineStr">
        <is>
          <t>srv</t>
        </is>
      </c>
      <c r="C1077" s="3" t="inlineStr">
        <is>
          <t>jfu</t>
        </is>
      </c>
      <c r="D1077" s="3" t="str">
        <f>IF($B1077="",""," | "&amp;$E1077&amp;" | "&amp;$F1077)</f>
        <v> | Services (public &amp; private) | Jet fuel</v>
      </c>
      <c r="E1077" s="3" t="str">
        <f>IFERROR(INDEX(SecLab,MATCH($B1077,SecKey,0)),"")</f>
        <v>Services (public &amp; private)</v>
      </c>
      <c r="F1077" s="3" t="str">
        <f>IFERROR(INDEX(FuelLab,MATCH($C1077,FuelKeyL,0)),"")</f>
        <v>Jet fuel</v>
      </c>
      <c r="G1077" s="3" t="inlineStr">
        <is>
          <t>.srv.jfu</t>
        </is>
      </c>
      <c r="I1077" s="3" t="inlineStr">
        <is>
          <t>rnew|pow|all</t>
        </is>
      </c>
      <c r="J1077" s="3" t="inlineStr">
        <is>
          <t>rnew.pow.tot</t>
        </is>
      </c>
    </row>
    <row r="1078">
      <c r="A1078" s="3" t="str">
        <f>$B1078&amp;"|"&amp;$C1078</f>
        <v>srv|oop</v>
      </c>
      <c r="B1078" s="3" t="inlineStr">
        <is>
          <t>srv</t>
        </is>
      </c>
      <c r="C1078" s="3" t="inlineStr">
        <is>
          <t>oop</t>
        </is>
      </c>
      <c r="D1078" s="3" t="str">
        <f>IF($B1078="",""," | "&amp;$E1078&amp;" | "&amp;$F1078)</f>
        <v> | Services (public &amp; private) | Other oil products</v>
      </c>
      <c r="E1078" s="3" t="str">
        <f>IFERROR(INDEX(SecLab,MATCH($B1078,SecKey,0)),"")</f>
        <v>Services (public &amp; private)</v>
      </c>
      <c r="F1078" s="3" t="str">
        <f>IFERROR(INDEX(FuelLab,MATCH($C1078,FuelKeyL,0)),"")</f>
        <v>Other oil products</v>
      </c>
      <c r="G1078" s="3" t="inlineStr">
        <is>
          <t>.srv.oop</t>
        </is>
      </c>
      <c r="I1078" s="3" t="inlineStr">
        <is>
          <t>rxcp|all|all</t>
        </is>
      </c>
      <c r="J1078" s="3" t="inlineStr">
        <is>
          <t>rxcp.tot.tot</t>
        </is>
      </c>
    </row>
    <row r="1079">
      <c r="A1079" s="3" t="str">
        <f>$B1079&amp;"|"&amp;$C1079</f>
        <v>srv|bio</v>
      </c>
      <c r="B1079" s="3" t="inlineStr">
        <is>
          <t>srv</t>
        </is>
      </c>
      <c r="C1079" s="3" t="inlineStr">
        <is>
          <t>bio</t>
        </is>
      </c>
      <c r="D1079" s="3" t="str">
        <f>IF($B1079="",""," | "&amp;$E1079&amp;" | "&amp;$F1079)</f>
        <v> | Services (public &amp; private) | Biomass</v>
      </c>
      <c r="E1079" s="3" t="str">
        <f>IFERROR(INDEX(SecLab,MATCH($B1079,SecKey,0)),"")</f>
        <v>Services (public &amp; private)</v>
      </c>
      <c r="F1079" s="3" t="str">
        <f>IFERROR(INDEX(FuelLab,MATCH($C1079,FuelKeyL,0)),"")</f>
        <v>Biomass</v>
      </c>
      <c r="G1079" s="3" t="inlineStr">
        <is>
          <t>.srv.bio</t>
        </is>
      </c>
      <c r="I1079" s="3" t="inlineStr">
        <is>
          <t>rxcp|tra|all</t>
        </is>
      </c>
      <c r="J1079" s="3" t="inlineStr">
        <is>
          <t>rxcp.tra.tot</t>
        </is>
      </c>
    </row>
    <row r="1080">
      <c r="A1080" s="3" t="str">
        <f>$B1080&amp;"|"&amp;$C1080</f>
        <v>bld|all</v>
      </c>
      <c r="B1080" s="3" t="inlineStr">
        <is>
          <t>bld</t>
        </is>
      </c>
      <c r="C1080" s="3" t="inlineStr">
        <is>
          <t>all</t>
        </is>
      </c>
      <c r="D1080" s="3" t="str">
        <f>IF($B1080="",""," | "&amp;$E1080&amp;" | "&amp;$F1080)</f>
        <v> | Buildings | All fuels</v>
      </c>
      <c r="E1080" s="3" t="str">
        <f>IFERROR(INDEX(SecLab,MATCH($B1080,SecKey,0)),"")</f>
        <v>Buildings</v>
      </c>
      <c r="F1080" s="3" t="str">
        <f>IFERROR(INDEX(FuelLab,MATCH($C1080,FuelKeyL,0)),"")</f>
        <v>All fuels</v>
      </c>
      <c r="G1080" s="3" t="inlineStr">
        <is>
          <t>.bld.all</t>
        </is>
      </c>
      <c r="I1080" s="3" t="inlineStr">
        <is>
          <t>rxcp|bld|all</t>
        </is>
      </c>
      <c r="J1080" s="3" t="inlineStr">
        <is>
          <t>rxcp.bld.tot</t>
        </is>
      </c>
    </row>
    <row r="1081">
      <c r="A1081" s="3" t="str">
        <f>$B1081&amp;"|"&amp;$C1081</f>
        <v>res|none</v>
      </c>
      <c r="B1081" s="3" t="inlineStr">
        <is>
          <t>res</t>
        </is>
      </c>
      <c r="C1081" s="3" t="inlineStr">
        <is>
          <t>none</t>
        </is>
      </c>
      <c r="D1081" s="3" t="str">
        <f>IF($B1081="",""," | "&amp;$E1081&amp;" | "&amp;$F1081)</f>
        <v> | Residential | None</v>
      </c>
      <c r="E1081" s="3" t="str">
        <f>IFERROR(INDEX(SecLab,MATCH($B1081,SecKey,0)),"")</f>
        <v>Residential</v>
      </c>
      <c r="F1081" s="3" t="str">
        <f>IFERROR(INDEX(FuelLab,MATCH($C1081,FuelKeyL,0)),"")</f>
        <v>None</v>
      </c>
      <c r="G1081" s="3" t="inlineStr">
        <is>
          <t>.res.none</t>
        </is>
      </c>
      <c r="I1081" s="3" t="inlineStr">
        <is>
          <t>rxcp|ind|all</t>
        </is>
      </c>
      <c r="J1081" s="3" t="inlineStr">
        <is>
          <t>rxcp.ind.tot</t>
        </is>
      </c>
    </row>
    <row r="1082">
      <c r="A1082" s="3" t="str">
        <f>$B1082&amp;"|"&amp;$C1082</f>
        <v>mch|jfu</v>
      </c>
      <c r="B1082" s="3" t="inlineStr">
        <is>
          <t>mch</t>
        </is>
      </c>
      <c r="C1082" s="3" t="inlineStr">
        <is>
          <t>jfu</t>
        </is>
      </c>
      <c r="D1082" s="3" t="str">
        <f>IF($B1082="",""," | "&amp;$E1082&amp;" | "&amp;$F1082)</f>
        <v> | Mining &amp; chemicals | Jet fuel</v>
      </c>
      <c r="E1082" s="3" t="str">
        <f>IFERROR(INDEX(SecLab,MATCH($B1082,SecKey,0)),"")</f>
        <v>Mining &amp; chemicals</v>
      </c>
      <c r="F1082" s="3" t="str">
        <f>IFERROR(INDEX(FuelLab,MATCH($C1082,FuelKeyL,0)),"")</f>
        <v>Jet fuel</v>
      </c>
      <c r="G1082" s="3" t="inlineStr">
        <is>
          <t>.mch.jfu</t>
        </is>
      </c>
      <c r="I1082" s="3" t="inlineStr">
        <is>
          <t>rxcp|oen|all</t>
        </is>
      </c>
      <c r="J1082" s="3" t="inlineStr">
        <is>
          <t>rxcp.oen.tot</t>
        </is>
      </c>
    </row>
    <row r="1083">
      <c r="A1083" s="3" t="str">
        <f>$B1083&amp;"|"&amp;$C1083</f>
        <v>mch|bio</v>
      </c>
      <c r="B1083" s="3" t="inlineStr">
        <is>
          <t>mch</t>
        </is>
      </c>
      <c r="C1083" s="3" t="inlineStr">
        <is>
          <t>bio</t>
        </is>
      </c>
      <c r="D1083" s="3" t="str">
        <f>IF($B1083="",""," | "&amp;$E1083&amp;" | "&amp;$F1083)</f>
        <v> | Mining &amp; chemicals | Biomass</v>
      </c>
      <c r="E1083" s="3" t="str">
        <f>IFERROR(INDEX(SecLab,MATCH($B1083,SecKey,0)),"")</f>
        <v>Mining &amp; chemicals</v>
      </c>
      <c r="F1083" s="3" t="str">
        <f>IFERROR(INDEX(FuelLab,MATCH($C1083,FuelKeyL,0)),"")</f>
        <v>Biomass</v>
      </c>
      <c r="G1083" s="3" t="inlineStr">
        <is>
          <t>.mch.bio</t>
        </is>
      </c>
      <c r="I1083" s="3" t="inlineStr">
        <is>
          <t>rxcp|pow|all</t>
        </is>
      </c>
      <c r="J1083" s="3" t="inlineStr">
        <is>
          <t>rxcp.pow.tot</t>
        </is>
      </c>
    </row>
    <row r="1084">
      <c r="A1084" s="3" t="str">
        <f>$B1084&amp;"|"&amp;$C1084</f>
        <v>irn|jfu</v>
      </c>
      <c r="B1084" s="3" t="inlineStr">
        <is>
          <t>irn</t>
        </is>
      </c>
      <c r="C1084" s="3" t="inlineStr">
        <is>
          <t>jfu</t>
        </is>
      </c>
      <c r="D1084" s="3" t="str">
        <f>IF($B1084="",""," | "&amp;$E1084&amp;" | "&amp;$F1084)</f>
        <v> | Iron &amp; steel | Jet fuel</v>
      </c>
      <c r="E1084" s="3" t="str">
        <f>IFERROR(INDEX(SecLab,MATCH($B1084,SecKey,0)),"")</f>
        <v>Iron &amp; steel</v>
      </c>
      <c r="F1084" s="3" t="str">
        <f>IFERROR(INDEX(FuelLab,MATCH($C1084,FuelKeyL,0)),"")</f>
        <v>Jet fuel</v>
      </c>
      <c r="G1084" s="3" t="inlineStr">
        <is>
          <t>.irn.jfu</t>
        </is>
      </c>
      <c r="I1084" s="3" t="inlineStr">
        <is>
          <t>rsr|all|all</t>
        </is>
      </c>
      <c r="J1084" s="3" t="inlineStr">
        <is>
          <t>rev.sr.usd</t>
        </is>
      </c>
    </row>
    <row r="1085">
      <c r="A1085" s="3" t="str">
        <f>$B1085&amp;"|"&amp;$C1085</f>
        <v>irn|bio</v>
      </c>
      <c r="B1085" s="3" t="inlineStr">
        <is>
          <t>irn</t>
        </is>
      </c>
      <c r="C1085" s="3" t="inlineStr">
        <is>
          <t>bio</t>
        </is>
      </c>
      <c r="D1085" s="3" t="str">
        <f>IF($B1085="",""," | "&amp;$E1085&amp;" | "&amp;$F1085)</f>
        <v> | Iron &amp; steel | Biomass</v>
      </c>
      <c r="E1085" s="3" t="str">
        <f>IFERROR(INDEX(SecLab,MATCH($B1085,SecKey,0)),"")</f>
        <v>Iron &amp; steel</v>
      </c>
      <c r="F1085" s="3" t="str">
        <f>IFERROR(INDEX(FuelLab,MATCH($C1085,FuelKeyL,0)),"")</f>
        <v>Biomass</v>
      </c>
      <c r="G1085" s="3" t="inlineStr">
        <is>
          <t>.irn.bio</t>
        </is>
      </c>
      <c r="I1085" s="3" t="inlineStr">
        <is>
          <t>rsr|tra|all</t>
        </is>
      </c>
      <c r="J1085" s="3" t="inlineStr">
        <is>
          <t>rsr.tra.tot</t>
        </is>
      </c>
    </row>
    <row r="1086">
      <c r="A1086" s="3" t="str">
        <f>$B1086&amp;"|"&amp;$C1086</f>
        <v>nfm|jfu</v>
      </c>
      <c r="B1086" s="3" t="inlineStr">
        <is>
          <t>nfm</t>
        </is>
      </c>
      <c r="C1086" s="3" t="inlineStr">
        <is>
          <t>jfu</t>
        </is>
      </c>
      <c r="D1086" s="3" t="str">
        <f>IF($B1086="",""," | "&amp;$E1086&amp;" | "&amp;$F1086)</f>
        <v> | Other metals | Jet fuel</v>
      </c>
      <c r="E1086" s="3" t="str">
        <f>IFERROR(INDEX(SecLab,MATCH($B1086,SecKey,0)),"")</f>
        <v>Other metals</v>
      </c>
      <c r="F1086" s="3" t="str">
        <f>IFERROR(INDEX(FuelLab,MATCH($C1086,FuelKeyL,0)),"")</f>
        <v>Jet fuel</v>
      </c>
      <c r="G1086" s="3" t="inlineStr">
        <is>
          <t>.nfm.jfu</t>
        </is>
      </c>
      <c r="I1086" s="3" t="inlineStr">
        <is>
          <t>rsr|bld|all</t>
        </is>
      </c>
      <c r="J1086" s="3" t="inlineStr">
        <is>
          <t>rsr.bld.tot</t>
        </is>
      </c>
    </row>
    <row r="1087">
      <c r="A1087" s="3" t="str">
        <f>$B1087&amp;"|"&amp;$C1087</f>
        <v>nfm|bio</v>
      </c>
      <c r="B1087" s="3" t="inlineStr">
        <is>
          <t>nfm</t>
        </is>
      </c>
      <c r="C1087" s="3" t="inlineStr">
        <is>
          <t>bio</t>
        </is>
      </c>
      <c r="D1087" s="3" t="str">
        <f>IF($B1087="",""," | "&amp;$E1087&amp;" | "&amp;$F1087)</f>
        <v> | Other metals | Biomass</v>
      </c>
      <c r="E1087" s="3" t="str">
        <f>IFERROR(INDEX(SecLab,MATCH($B1087,SecKey,0)),"")</f>
        <v>Other metals</v>
      </c>
      <c r="F1087" s="3" t="str">
        <f>IFERROR(INDEX(FuelLab,MATCH($C1087,FuelKeyL,0)),"")</f>
        <v>Biomass</v>
      </c>
      <c r="G1087" s="3" t="inlineStr">
        <is>
          <t>.nfm.bio</t>
        </is>
      </c>
      <c r="I1087" s="3" t="inlineStr">
        <is>
          <t>rsr|ind|all</t>
        </is>
      </c>
      <c r="J1087" s="3" t="inlineStr">
        <is>
          <t>rsr.ind.tot</t>
        </is>
      </c>
    </row>
    <row r="1088">
      <c r="A1088" s="3" t="str">
        <f>$B1088&amp;"|"&amp;$C1088</f>
        <v>mac|jfu</v>
      </c>
      <c r="B1088" s="3" t="inlineStr">
        <is>
          <t>mac</t>
        </is>
      </c>
      <c r="C1088" s="3" t="inlineStr">
        <is>
          <t>jfu</t>
        </is>
      </c>
      <c r="D1088" s="3" t="str">
        <f>IF($B1088="",""," | "&amp;$E1088&amp;" | "&amp;$F1088)</f>
        <v> | Machinery | Jet fuel</v>
      </c>
      <c r="E1088" s="3" t="str">
        <f>IFERROR(INDEX(SecLab,MATCH($B1088,SecKey,0)),"")</f>
        <v>Machinery</v>
      </c>
      <c r="F1088" s="3" t="str">
        <f>IFERROR(INDEX(FuelLab,MATCH($C1088,FuelKeyL,0)),"")</f>
        <v>Jet fuel</v>
      </c>
      <c r="G1088" s="3" t="inlineStr">
        <is>
          <t>.mac.jfu</t>
        </is>
      </c>
      <c r="I1088" s="3" t="inlineStr">
        <is>
          <t>rsr|oen|all</t>
        </is>
      </c>
      <c r="J1088" s="3" t="inlineStr">
        <is>
          <t>rsr.oen.tot</t>
        </is>
      </c>
    </row>
    <row r="1089">
      <c r="A1089" s="3" t="str">
        <f>$B1089&amp;"|"&amp;$C1089</f>
        <v>mac|bio</v>
      </c>
      <c r="B1089" s="3" t="inlineStr">
        <is>
          <t>mac</t>
        </is>
      </c>
      <c r="C1089" s="3" t="inlineStr">
        <is>
          <t>bio</t>
        </is>
      </c>
      <c r="D1089" s="3" t="str">
        <f>IF($B1089="",""," | "&amp;$E1089&amp;" | "&amp;$F1089)</f>
        <v> | Machinery | Biomass</v>
      </c>
      <c r="E1089" s="3" t="str">
        <f>IFERROR(INDEX(SecLab,MATCH($B1089,SecKey,0)),"")</f>
        <v>Machinery</v>
      </c>
      <c r="F1089" s="3" t="str">
        <f>IFERROR(INDEX(FuelLab,MATCH($C1089,FuelKeyL,0)),"")</f>
        <v>Biomass</v>
      </c>
      <c r="G1089" s="3" t="inlineStr">
        <is>
          <t>.mac.bio</t>
        </is>
      </c>
      <c r="I1089" s="3" t="inlineStr">
        <is>
          <t>rfu|all|coa</t>
        </is>
      </c>
      <c r="J1089" s="3" t="inlineStr">
        <is>
          <t>rev.usd.tot.coa</t>
        </is>
      </c>
    </row>
    <row r="1090">
      <c r="A1090" s="3" t="str">
        <f>$B1090&amp;"|"&amp;$C1090</f>
        <v>cem|jfu</v>
      </c>
      <c r="B1090" s="3" t="inlineStr">
        <is>
          <t>cem</t>
        </is>
      </c>
      <c r="C1090" s="3" t="inlineStr">
        <is>
          <t>jfu</t>
        </is>
      </c>
      <c r="D1090" s="3" t="str">
        <f>IF($B1090="",""," | "&amp;$E1090&amp;" | "&amp;$F1090)</f>
        <v> | Cement | Jet fuel</v>
      </c>
      <c r="E1090" s="3" t="str">
        <f>IFERROR(INDEX(SecLab,MATCH($B1090,SecKey,0)),"")</f>
        <v>Cement</v>
      </c>
      <c r="F1090" s="3" t="str">
        <f>IFERROR(INDEX(FuelLab,MATCH($C1090,FuelKeyL,0)),"")</f>
        <v>Jet fuel</v>
      </c>
      <c r="G1090" s="3" t="inlineStr">
        <is>
          <t>.cem.jfu</t>
        </is>
      </c>
      <c r="I1090" s="3" t="inlineStr">
        <is>
          <t>rfu|all|nga</t>
        </is>
      </c>
      <c r="J1090" s="3" t="inlineStr">
        <is>
          <t>rev.usd.tot.nga</t>
        </is>
      </c>
    </row>
    <row r="1091">
      <c r="A1091" s="3" t="str">
        <f>$B1091&amp;"|"&amp;$C1091</f>
        <v>cem|bio</v>
      </c>
      <c r="B1091" s="3" t="inlineStr">
        <is>
          <t>cem</t>
        </is>
      </c>
      <c r="C1091" s="3" t="inlineStr">
        <is>
          <t>bio</t>
        </is>
      </c>
      <c r="D1091" s="3" t="str">
        <f>IF($B1091="",""," | "&amp;$E1091&amp;" | "&amp;$F1091)</f>
        <v> | Cement | Biomass</v>
      </c>
      <c r="E1091" s="3" t="str">
        <f>IFERROR(INDEX(SecLab,MATCH($B1091,SecKey,0)),"")</f>
        <v>Cement</v>
      </c>
      <c r="F1091" s="3" t="str">
        <f>IFERROR(INDEX(FuelLab,MATCH($C1091,FuelKeyL,0)),"")</f>
        <v>Biomass</v>
      </c>
      <c r="G1091" s="3" t="inlineStr">
        <is>
          <t>.cem.bio</t>
        </is>
      </c>
      <c r="I1091" s="3" t="inlineStr">
        <is>
          <t>rfu|all|gso</t>
        </is>
      </c>
      <c r="J1091" s="3" t="inlineStr">
        <is>
          <t>rev.usd.tot.gso</t>
        </is>
      </c>
    </row>
    <row r="1092">
      <c r="A1092" s="3" t="str">
        <f>$B1092&amp;"|"&amp;$C1092</f>
        <v>omn|jfu</v>
      </c>
      <c r="B1092" s="3" t="inlineStr">
        <is>
          <t>omn</t>
        </is>
      </c>
      <c r="C1092" s="3" t="inlineStr">
        <is>
          <t>jfu</t>
        </is>
      </c>
      <c r="D1092" s="3" t="str">
        <f>IF($B1092="",""," | "&amp;$E1092&amp;" | "&amp;$F1092)</f>
        <v> | Other manufacturing | Jet fuel</v>
      </c>
      <c r="E1092" s="3" t="str">
        <f>IFERROR(INDEX(SecLab,MATCH($B1092,SecKey,0)),"")</f>
        <v>Other manufacturing</v>
      </c>
      <c r="F1092" s="3" t="str">
        <f>IFERROR(INDEX(FuelLab,MATCH($C1092,FuelKeyL,0)),"")</f>
        <v>Jet fuel</v>
      </c>
      <c r="G1092" s="3" t="inlineStr">
        <is>
          <t>.omn.jfu</t>
        </is>
      </c>
      <c r="I1092" s="3" t="inlineStr">
        <is>
          <t>rfu|all|die</t>
        </is>
      </c>
      <c r="J1092" s="3" t="inlineStr">
        <is>
          <t>rev.usd.tot.die</t>
        </is>
      </c>
    </row>
    <row r="1093">
      <c r="A1093" s="3" t="str">
        <f>$B1093&amp;"|"&amp;$C1093</f>
        <v>omn|bio</v>
      </c>
      <c r="B1093" s="3" t="inlineStr">
        <is>
          <t>omn</t>
        </is>
      </c>
      <c r="C1093" s="3" t="inlineStr">
        <is>
          <t>bio</t>
        </is>
      </c>
      <c r="D1093" s="3" t="str">
        <f>IF($B1093="",""," | "&amp;$E1093&amp;" | "&amp;$F1093)</f>
        <v> | Other manufacturing | Biomass</v>
      </c>
      <c r="E1093" s="3" t="str">
        <f>IFERROR(INDEX(SecLab,MATCH($B1093,SecKey,0)),"")</f>
        <v>Other manufacturing</v>
      </c>
      <c r="F1093" s="3" t="str">
        <f>IFERROR(INDEX(FuelLab,MATCH($C1093,FuelKeyL,0)),"")</f>
        <v>Biomass</v>
      </c>
      <c r="G1093" s="3" t="inlineStr">
        <is>
          <t>.omn.bio</t>
        </is>
      </c>
      <c r="I1093" s="3" t="inlineStr">
        <is>
          <t>rfu|all|lpg</t>
        </is>
      </c>
      <c r="J1093" s="3" t="inlineStr">
        <is>
          <t>rev.usd.tot.lpg</t>
        </is>
      </c>
    </row>
    <row r="1094">
      <c r="A1094" s="3" t="str">
        <f>$B1094&amp;"|"&amp;$C1094</f>
        <v>cst|jfu</v>
      </c>
      <c r="B1094" s="3" t="inlineStr">
        <is>
          <t>cst</t>
        </is>
      </c>
      <c r="C1094" s="3" t="inlineStr">
        <is>
          <t>jfu</t>
        </is>
      </c>
      <c r="D1094" s="3" t="str">
        <f>IF($B1094="",""," | "&amp;$E1094&amp;" | "&amp;$F1094)</f>
        <v> | Construction | Jet fuel</v>
      </c>
      <c r="E1094" s="3" t="str">
        <f>IFERROR(INDEX(SecLab,MATCH($B1094,SecKey,0)),"")</f>
        <v>Construction</v>
      </c>
      <c r="F1094" s="3" t="str">
        <f>IFERROR(INDEX(FuelLab,MATCH($C1094,FuelKeyL,0)),"")</f>
        <v>Jet fuel</v>
      </c>
      <c r="G1094" s="3" t="inlineStr">
        <is>
          <t>.cst.jfu</t>
        </is>
      </c>
      <c r="I1094" s="3" t="inlineStr">
        <is>
          <t>rfu|all|ker</t>
        </is>
      </c>
      <c r="J1094" s="3" t="inlineStr">
        <is>
          <t>rev.usd.tot.ker</t>
        </is>
      </c>
    </row>
    <row r="1095">
      <c r="A1095" s="3" t="str">
        <f>$B1095&amp;"|"&amp;$C1095</f>
        <v>cst|bio</v>
      </c>
      <c r="B1095" s="3" t="inlineStr">
        <is>
          <t>cst</t>
        </is>
      </c>
      <c r="C1095" s="3" t="inlineStr">
        <is>
          <t>bio</t>
        </is>
      </c>
      <c r="D1095" s="3" t="str">
        <f>IF($B1095="",""," | "&amp;$E1095&amp;" | "&amp;$F1095)</f>
        <v> | Construction | Biomass</v>
      </c>
      <c r="E1095" s="3" t="str">
        <f>IFERROR(INDEX(SecLab,MATCH($B1095,SecKey,0)),"")</f>
        <v>Construction</v>
      </c>
      <c r="F1095" s="3" t="str">
        <f>IFERROR(INDEX(FuelLab,MATCH($C1095,FuelKeyL,0)),"")</f>
        <v>Biomass</v>
      </c>
      <c r="G1095" s="3" t="inlineStr">
        <is>
          <t>.cst.bio</t>
        </is>
      </c>
      <c r="I1095" s="3" t="inlineStr">
        <is>
          <t>rfu|all|jfu</t>
        </is>
      </c>
      <c r="J1095" s="3" t="inlineStr">
        <is>
          <t>rev.usd.tot.jfu</t>
        </is>
      </c>
    </row>
    <row r="1096">
      <c r="A1096" s="3" t="str">
        <f>$B1096&amp;"|"&amp;$C1096</f>
        <v>ftr|ecy</v>
      </c>
      <c r="B1096" s="3" t="inlineStr">
        <is>
          <t>ftr</t>
        </is>
      </c>
      <c r="C1096" s="3" t="inlineStr">
        <is>
          <t>ecy</t>
        </is>
      </c>
      <c r="D1096" s="3" t="str">
        <f>IF($B1096="",""," | "&amp;$E1096&amp;" | "&amp;$F1096)</f>
        <v> | Fuel transformation | Electricity</v>
      </c>
      <c r="E1096" s="3" t="str">
        <f>IFERROR(INDEX(SecLab,MATCH($B1096,SecKey,0)),"")</f>
        <v>Fuel transformation</v>
      </c>
      <c r="F1096" s="3" t="str">
        <f>IFERROR(INDEX(FuelLab,MATCH($C1096,FuelKeyL,0)),"")</f>
        <v>Electricity</v>
      </c>
      <c r="G1096" s="3" t="inlineStr">
        <is>
          <t>.ftr.ecy</t>
        </is>
      </c>
      <c r="I1096" s="3" t="inlineStr">
        <is>
          <t>rfu|all|oop</t>
        </is>
      </c>
      <c r="J1096" s="3" t="inlineStr">
        <is>
          <t>rev.usd.tot.oop</t>
        </is>
      </c>
    </row>
    <row r="1097">
      <c r="A1097" s="3" t="str">
        <f>$B1097&amp;"|"&amp;$C1097</f>
        <v>ftr|jfu</v>
      </c>
      <c r="B1097" s="3" t="inlineStr">
        <is>
          <t>ftr</t>
        </is>
      </c>
      <c r="C1097" s="3" t="inlineStr">
        <is>
          <t>jfu</t>
        </is>
      </c>
      <c r="D1097" s="3" t="str">
        <f>IF($B1097="",""," | "&amp;$E1097&amp;" | "&amp;$F1097)</f>
        <v> | Fuel transformation | Jet fuel</v>
      </c>
      <c r="E1097" s="3" t="str">
        <f>IFERROR(INDEX(SecLab,MATCH($B1097,SecKey,0)),"")</f>
        <v>Fuel transformation</v>
      </c>
      <c r="F1097" s="3" t="str">
        <f>IFERROR(INDEX(FuelLab,MATCH($C1097,FuelKeyL,0)),"")</f>
        <v>Jet fuel</v>
      </c>
      <c r="G1097" s="3" t="inlineStr">
        <is>
          <t>.ftr.jfu</t>
        </is>
      </c>
      <c r="I1097" s="3" t="inlineStr">
        <is>
          <t>rfu|all|bio</t>
        </is>
      </c>
      <c r="J1097" s="3" t="inlineStr">
        <is>
          <t>rev.usd.tot.bio</t>
        </is>
      </c>
    </row>
    <row r="1098">
      <c r="A1098" s="3" t="str">
        <f>$B1098&amp;"|"&amp;$C1098</f>
        <v>ftr|bio</v>
      </c>
      <c r="B1098" s="3" t="inlineStr">
        <is>
          <t>ftr</t>
        </is>
      </c>
      <c r="C1098" s="3" t="inlineStr">
        <is>
          <t>bio</t>
        </is>
      </c>
      <c r="D1098" s="3" t="str">
        <f>IF($B1098="",""," | "&amp;$E1098&amp;" | "&amp;$F1098)</f>
        <v> | Fuel transformation | Biomass</v>
      </c>
      <c r="E1098" s="3" t="str">
        <f>IFERROR(INDEX(SecLab,MATCH($B1098,SecKey,0)),"")</f>
        <v>Fuel transformation</v>
      </c>
      <c r="F1098" s="3" t="str">
        <f>IFERROR(INDEX(FuelLab,MATCH($C1098,FuelKeyL,0)),"")</f>
        <v>Biomass</v>
      </c>
      <c r="G1098" s="3" t="inlineStr">
        <is>
          <t>.ftr.bio</t>
        </is>
      </c>
      <c r="I1098" s="3" t="inlineStr">
        <is>
          <t>rpol|all|exc</t>
        </is>
      </c>
      <c r="J1098" s="3" t="inlineStr">
        <is>
          <t>rpol.tot.exc</t>
        </is>
      </c>
    </row>
    <row r="1099">
      <c r="A1099" s="3" t="str">
        <f>$B1099&amp;"|"&amp;$C1099</f>
        <v>oen|coa</v>
      </c>
      <c r="B1099" s="3" t="inlineStr">
        <is>
          <t>oen</t>
        </is>
      </c>
      <c r="C1099" s="3" t="inlineStr">
        <is>
          <t>coa</t>
        </is>
      </c>
      <c r="D1099" s="3" t="str">
        <f>IF($B1099="",""," | "&amp;$E1099&amp;" | "&amp;$F1099)</f>
        <v> | Other energy use | Coal</v>
      </c>
      <c r="E1099" s="3" t="str">
        <f>IFERROR(INDEX(SecLab,MATCH($B1099,SecKey,0)),"")</f>
        <v>Other energy use</v>
      </c>
      <c r="F1099" s="3" t="str">
        <f>IFERROR(INDEX(FuelLab,MATCH($C1099,FuelKeyL,0)),"")</f>
        <v>Coal</v>
      </c>
      <c r="G1099" s="3" t="inlineStr">
        <is>
          <t>.oen.coa</t>
        </is>
      </c>
      <c r="I1099" s="3" t="inlineStr">
        <is>
          <t>rpol|all|vat</t>
        </is>
      </c>
      <c r="J1099" s="3" t="inlineStr">
        <is>
          <t>rpol.tot.vat</t>
        </is>
      </c>
    </row>
    <row r="1100">
      <c r="A1100" s="3" t="str">
        <f>$B1100&amp;"|"&amp;$C1100</f>
        <v>oen|nga</v>
      </c>
      <c r="B1100" s="3" t="inlineStr">
        <is>
          <t>oen</t>
        </is>
      </c>
      <c r="C1100" s="3" t="inlineStr">
        <is>
          <t>nga</t>
        </is>
      </c>
      <c r="D1100" s="3" t="str">
        <f>IF($B1100="",""," | "&amp;$E1100&amp;" | "&amp;$F1100)</f>
        <v> | Other energy use | Natural gas</v>
      </c>
      <c r="E1100" s="3" t="str">
        <f>IFERROR(INDEX(SecLab,MATCH($B1100,SecKey,0)),"")</f>
        <v>Other energy use</v>
      </c>
      <c r="F1100" s="3" t="str">
        <f>IFERROR(INDEX(FuelLab,MATCH($C1100,FuelKeyL,0)),"")</f>
        <v>Natural gas</v>
      </c>
      <c r="G1100" s="3" t="inlineStr">
        <is>
          <t>.oen.nga</t>
        </is>
      </c>
      <c r="I1100" s="3" t="inlineStr">
        <is>
          <t>rpol|all|psu</t>
        </is>
      </c>
      <c r="J1100" s="3" t="inlineStr">
        <is>
          <t>rpol.tot.psu</t>
        </is>
      </c>
    </row>
    <row r="1101">
      <c r="A1101" s="3" t="str">
        <f>$B1101&amp;"|"&amp;$C1101</f>
        <v>oen|jfu</v>
      </c>
      <c r="B1101" s="3" t="inlineStr">
        <is>
          <t>oen</t>
        </is>
      </c>
      <c r="C1101" s="3" t="inlineStr">
        <is>
          <t>jfu</t>
        </is>
      </c>
      <c r="D1101" s="3" t="str">
        <f>IF($B1101="",""," | "&amp;$E1101&amp;" | "&amp;$F1101)</f>
        <v> | Other energy use | Jet fuel</v>
      </c>
      <c r="E1101" s="3" t="str">
        <f>IFERROR(INDEX(SecLab,MATCH($B1101,SecKey,0)),"")</f>
        <v>Other energy use</v>
      </c>
      <c r="F1101" s="3" t="str">
        <f>IFERROR(INDEX(FuelLab,MATCH($C1101,FuelKeyL,0)),"")</f>
        <v>Jet fuel</v>
      </c>
      <c r="G1101" s="3" t="inlineStr">
        <is>
          <t>.oen.jfu</t>
        </is>
      </c>
      <c r="I1101" s="3" t="inlineStr">
        <is>
          <t>rpol|all|ren</t>
        </is>
      </c>
      <c r="J1101" s="3" t="inlineStr">
        <is>
          <t>rpol.tot.ren</t>
        </is>
      </c>
    </row>
    <row r="1102">
      <c r="A1102" s="3" t="str">
        <f>$B1102&amp;"|"&amp;$C1102</f>
        <v>oen|oop</v>
      </c>
      <c r="B1102" s="3" t="inlineStr">
        <is>
          <t>oen</t>
        </is>
      </c>
      <c r="C1102" s="3" t="inlineStr">
        <is>
          <t>oop</t>
        </is>
      </c>
      <c r="D1102" s="3" t="str">
        <f>IF($B1102="",""," | "&amp;$E1102&amp;" | "&amp;$F1102)</f>
        <v> | Other energy use | Other oil products</v>
      </c>
      <c r="E1102" s="3" t="str">
        <f>IFERROR(INDEX(SecLab,MATCH($B1102,SecKey,0)),"")</f>
        <v>Other energy use</v>
      </c>
      <c r="F1102" s="3" t="str">
        <f>IFERROR(INDEX(FuelLab,MATCH($C1102,FuelKeyL,0)),"")</f>
        <v>Other oil products</v>
      </c>
      <c r="G1102" s="3" t="inlineStr">
        <is>
          <t>.oen.oop</t>
        </is>
      </c>
      <c r="I1102" s="3" t="inlineStr">
        <is>
          <t>rpol|all|tot</t>
        </is>
      </c>
      <c r="J1102" s="3" t="inlineStr">
        <is>
          <t>rpol.tot.tot</t>
        </is>
      </c>
    </row>
    <row r="1103">
      <c r="A1103" s="3" t="str">
        <f>$B1103&amp;"|"&amp;$C1103</f>
        <v>oen|bio</v>
      </c>
      <c r="B1103" s="3" t="inlineStr">
        <is>
          <t>oen</t>
        </is>
      </c>
      <c r="C1103" s="3" t="inlineStr">
        <is>
          <t>bio</t>
        </is>
      </c>
      <c r="D1103" s="3" t="str">
        <f>IF($B1103="",""," | "&amp;$E1103&amp;" | "&amp;$F1103)</f>
        <v> | Other energy use | Biomass</v>
      </c>
      <c r="E1103" s="3" t="str">
        <f>IFERROR(INDEX(SecLab,MATCH($B1103,SecKey,0)),"")</f>
        <v>Other energy use</v>
      </c>
      <c r="F1103" s="3" t="str">
        <f>IFERROR(INDEX(FuelLab,MATCH($C1103,FuelKeyL,0)),"")</f>
        <v>Biomass</v>
      </c>
      <c r="G1103" s="3" t="inlineStr">
        <is>
          <t>.oen.bio</t>
        </is>
      </c>
      <c r="I1103" s="3" t="inlineStr">
        <is>
          <t>rtot|all|all</t>
        </is>
      </c>
      <c r="J1103" s="3" t="inlineStr">
        <is>
          <t>rev.usd.tot</t>
        </is>
      </c>
    </row>
    <row r="1104">
      <c r="A1104" s="3" t="str">
        <f>$B1104&amp;"|"&amp;$C1104</f>
        <v>bld|ecy</v>
      </c>
      <c r="B1104" s="3" t="inlineStr">
        <is>
          <t>bld</t>
        </is>
      </c>
      <c r="C1104" s="3" t="inlineStr">
        <is>
          <t>ecy</t>
        </is>
      </c>
      <c r="D1104" s="3" t="str">
        <f>IF($B1104="",""," | "&amp;$E1104&amp;" | "&amp;$F1104)</f>
        <v> | Buildings | Electricity</v>
      </c>
      <c r="E1104" s="3" t="str">
        <f>IFERROR(INDEX(SecLab,MATCH($B1104,SecKey,0)),"")</f>
        <v>Buildings</v>
      </c>
      <c r="F1104" s="3" t="str">
        <f>IFERROR(INDEX(FuelLab,MATCH($C1104,FuelKeyL,0)),"")</f>
        <v>Electricity</v>
      </c>
      <c r="G1104" s="3" t="inlineStr">
        <is>
          <t>.bld.ecy</t>
        </is>
      </c>
      <c r="I1104" s="3" t="inlineStr">
        <is>
          <t>co2|tra|all</t>
        </is>
      </c>
      <c r="J1104" s="3" t="inlineStr">
        <is>
          <t>co2.tra.tot</t>
        </is>
      </c>
    </row>
    <row r="1105">
      <c r="A1105" s="3" t="str">
        <f>$B1105&amp;"|"&amp;$C1105</f>
        <v>pow|ecy</v>
      </c>
      <c r="B1105" s="3" t="inlineStr">
        <is>
          <t>pow</t>
        </is>
      </c>
      <c r="C1105" s="3" t="inlineStr">
        <is>
          <t>ecy</t>
        </is>
      </c>
      <c r="D1105" s="3" t="str">
        <f>IF($B1105="",""," | "&amp;$E1105&amp;" | "&amp;$F1105)</f>
        <v> | Power | Electricity</v>
      </c>
      <c r="E1105" s="3" t="str">
        <f>IFERROR(INDEX(SecLab,MATCH($B1105,SecKey,0)),"")</f>
        <v>Power</v>
      </c>
      <c r="F1105" s="3" t="str">
        <f>IFERROR(INDEX(FuelLab,MATCH($C1105,FuelKeyL,0)),"")</f>
        <v>Electricity</v>
      </c>
      <c r="G1105" s="3" t="inlineStr">
        <is>
          <t>.pow.ecy</t>
        </is>
      </c>
      <c r="I1105" s="3" t="inlineStr">
        <is>
          <t>co2|bld|all</t>
        </is>
      </c>
      <c r="J1105" s="3" t="inlineStr">
        <is>
          <t>co2.bld.tot</t>
        </is>
      </c>
    </row>
    <row r="1106">
      <c r="A1106" s="3" t="str">
        <f>$B1106&amp;"|"&amp;$C1106</f>
        <v>all|tot</v>
      </c>
      <c r="B1106" s="3" t="inlineStr">
        <is>
          <t>all</t>
        </is>
      </c>
      <c r="C1106" s="3" t="inlineStr">
        <is>
          <t>tot</t>
        </is>
      </c>
      <c r="D1106" s="3" t="str">
        <f>IF($B1106="",""," | "&amp;$E1106&amp;" | "&amp;$F1106)</f>
        <v> | All sectors | </v>
      </c>
      <c r="E1106" s="3" t="str">
        <f>IFERROR(INDEX(SecLab,MATCH($B1106,SecKey,0)),"")</f>
        <v>All sectors</v>
      </c>
      <c r="F1106" s="3" t="str">
        <f>IFERROR(INDEX(FuelLab,MATCH($C1106,FuelKeyL,0)),"")</f>
        <v/>
      </c>
      <c r="G1106" s="3" t="inlineStr">
        <is>
          <t>.all.tot</t>
        </is>
      </c>
      <c r="I1106" s="3" t="inlineStr">
        <is>
          <t>co2|ind|all</t>
        </is>
      </c>
      <c r="J1106" s="3" t="inlineStr">
        <is>
          <t>co2.ind.tot</t>
        </is>
      </c>
    </row>
    <row r="1107">
      <c r="A1107" s="3" t="str">
        <f>$B1107&amp;"|"&amp;$C1107</f>
        <v>all|net</v>
      </c>
      <c r="B1107" s="3" t="inlineStr">
        <is>
          <t>all</t>
        </is>
      </c>
      <c r="C1107" s="3" t="inlineStr">
        <is>
          <t>net</t>
        </is>
      </c>
      <c r="D1107" s="3" t="str">
        <f>IF($B1107="",""," | "&amp;$E1107&amp;" | "&amp;$F1107)</f>
        <v> | All sectors | </v>
      </c>
      <c r="E1107" s="3" t="str">
        <f>IFERROR(INDEX(SecLab,MATCH($B1107,SecKey,0)),"")</f>
        <v>All sectors</v>
      </c>
      <c r="F1107" s="3" t="str">
        <f>IFERROR(INDEX(FuelLab,MATCH($C1107,FuelKeyL,0)),"")</f>
        <v/>
      </c>
      <c r="G1107" s="3" t="inlineStr">
        <is>
          <t>.all.net</t>
        </is>
      </c>
      <c r="I1107" s="3" t="inlineStr">
        <is>
          <t>co2|oen|all</t>
        </is>
      </c>
      <c r="J1107" s="3" t="inlineStr">
        <is>
          <t>co2.oen.tot</t>
        </is>
      </c>
    </row>
    <row r="1108">
      <c r="A1108" s="3" t="str">
        <f>$B1108&amp;"|"&amp;$C1108</f>
        <v>all|sub</v>
      </c>
      <c r="B1108" s="3" t="inlineStr">
        <is>
          <t>all</t>
        </is>
      </c>
      <c r="C1108" s="3" t="inlineStr">
        <is>
          <t>sub</t>
        </is>
      </c>
      <c r="D1108" s="3" t="str">
        <f>IF($B1108="",""," | "&amp;$E1108&amp;" | "&amp;$F1108)</f>
        <v> | All sectors | </v>
      </c>
      <c r="E1108" s="3" t="str">
        <f>IFERROR(INDEX(SecLab,MATCH($B1108,SecKey,0)),"")</f>
        <v>All sectors</v>
      </c>
      <c r="F1108" s="3" t="str">
        <f>IFERROR(INDEX(FuelLab,MATCH($C1108,FuelKeyL,0)),"")</f>
        <v/>
      </c>
      <c r="G1108" s="3" t="inlineStr">
        <is>
          <t>.all.sub</t>
        </is>
      </c>
      <c r="I1108" s="3" t="inlineStr">
        <is>
          <t>co2|pow|all</t>
        </is>
      </c>
      <c r="J1108" s="3" t="inlineStr">
        <is>
          <t>co2.pow.tot</t>
        </is>
      </c>
    </row>
    <row r="1109">
      <c r="A1109" s="3" t="str">
        <f>$B1109&amp;"|"&amp;$C1109</f>
        <v>all|new</v>
      </c>
      <c r="B1109" s="3" t="inlineStr">
        <is>
          <t>all</t>
        </is>
      </c>
      <c r="C1109" s="3" t="inlineStr">
        <is>
          <t>new</t>
        </is>
      </c>
      <c r="D1109" s="3" t="str">
        <f>IF($B1109="",""," | "&amp;$E1109&amp;" | "&amp;$F1109)</f>
        <v> | All sectors | </v>
      </c>
      <c r="E1109" s="3" t="str">
        <f>IFERROR(INDEX(SecLab,MATCH($B1109,SecKey,0)),"")</f>
        <v>All sectors</v>
      </c>
      <c r="F1109" s="3" t="str">
        <f>IFERROR(INDEX(FuelLab,MATCH($C1109,FuelKeyL,0)),"")</f>
        <v/>
      </c>
      <c r="G1109" s="3" t="inlineStr">
        <is>
          <t>.all.new</t>
        </is>
      </c>
      <c r="I1109" s="3" t="inlineStr">
        <is>
          <t>co2|all|coa</t>
        </is>
      </c>
      <c r="J1109" s="3" t="inlineStr">
        <is>
          <t>co2.tot.coa</t>
        </is>
      </c>
    </row>
    <row r="1110">
      <c r="A1110" s="3" t="str">
        <f>$B1110&amp;"|"&amp;$C1110</f>
        <v>all|chg</v>
      </c>
      <c r="B1110" s="3" t="inlineStr">
        <is>
          <t>all</t>
        </is>
      </c>
      <c r="C1110" s="3" t="inlineStr">
        <is>
          <t>chg</t>
        </is>
      </c>
      <c r="D1110" s="3" t="str">
        <f>IF($B1110="",""," | "&amp;$E1110&amp;" | "&amp;$F1110)</f>
        <v> | All sectors | </v>
      </c>
      <c r="E1110" s="3" t="str">
        <f>IFERROR(INDEX(SecLab,MATCH($B1110,SecKey,0)),"")</f>
        <v>All sectors</v>
      </c>
      <c r="F1110" s="3" t="str">
        <f>IFERROR(INDEX(FuelLab,MATCH($C1110,FuelKeyL,0)),"")</f>
        <v/>
      </c>
      <c r="G1110" s="3" t="inlineStr">
        <is>
          <t>.all.chg</t>
        </is>
      </c>
      <c r="I1110" s="3" t="inlineStr">
        <is>
          <t>co2|all|nga</t>
        </is>
      </c>
      <c r="J1110" s="3" t="inlineStr">
        <is>
          <t>co2.tot.nga</t>
        </is>
      </c>
    </row>
    <row r="1111">
      <c r="A1111" s="3" t="str">
        <f>$B1111&amp;"|"&amp;$C1111</f>
        <v>all|be</v>
      </c>
      <c r="B1111" s="3" t="inlineStr">
        <is>
          <t>all</t>
        </is>
      </c>
      <c r="C1111" s="3" t="inlineStr">
        <is>
          <t>be</t>
        </is>
      </c>
      <c r="D1111" s="3" t="str">
        <f>IF($B1111="",""," | "&amp;$E1111&amp;" | "&amp;$F1111)</f>
        <v> | All sectors | </v>
      </c>
      <c r="E1111" s="3" t="str">
        <f>IFERROR(INDEX(SecLab,MATCH($B1111,SecKey,0)),"")</f>
        <v>All sectors</v>
      </c>
      <c r="F1111" s="3" t="str">
        <f>IFERROR(INDEX(FuelLab,MATCH($C1111,FuelKeyL,0)),"")</f>
        <v/>
      </c>
      <c r="G1111" s="3" t="inlineStr">
        <is>
          <t>.all.be</t>
        </is>
      </c>
      <c r="I1111" s="3" t="inlineStr">
        <is>
          <t>co2|all|gso</t>
        </is>
      </c>
      <c r="J1111" s="3" t="inlineStr">
        <is>
          <t>co2.tot.gso</t>
        </is>
      </c>
    </row>
    <row r="1112">
      <c r="A1112" s="3" t="str">
        <f>$B1112&amp;"|"&amp;$C1112</f>
        <v>all|lcu</v>
      </c>
      <c r="B1112" s="3" t="inlineStr">
        <is>
          <t>all</t>
        </is>
      </c>
      <c r="C1112" s="3" t="inlineStr">
        <is>
          <t>lcu</t>
        </is>
      </c>
      <c r="D1112" s="3" t="str">
        <f>IF($B1112="",""," | "&amp;$E1112&amp;" | "&amp;$F1112)</f>
        <v> | All sectors | </v>
      </c>
      <c r="E1112" s="3" t="str">
        <f>IFERROR(INDEX(SecLab,MATCH($B1112,SecKey,0)),"")</f>
        <v>All sectors</v>
      </c>
      <c r="F1112" s="3" t="str">
        <f>IFERROR(INDEX(FuelLab,MATCH($C1112,FuelKeyL,0)),"")</f>
        <v/>
      </c>
      <c r="G1112" s="3" t="inlineStr">
        <is>
          <t>.all.lcu</t>
        </is>
      </c>
      <c r="I1112" s="3" t="inlineStr">
        <is>
          <t>co2|all|die</t>
        </is>
      </c>
      <c r="J1112" s="3" t="inlineStr">
        <is>
          <t>co2.tot.die</t>
        </is>
      </c>
    </row>
    <row r="1113">
      <c r="A1113" s="3" t="str">
        <f>$B1113&amp;"|"&amp;$C1113</f>
        <v>all|usd</v>
      </c>
      <c r="B1113" s="3" t="inlineStr">
        <is>
          <t>all</t>
        </is>
      </c>
      <c r="C1113" s="3" t="inlineStr">
        <is>
          <t>usd</t>
        </is>
      </c>
      <c r="D1113" s="3" t="str">
        <f>IF($B1113="",""," | "&amp;$E1113&amp;" | "&amp;$F1113)</f>
        <v> | All sectors | </v>
      </c>
      <c r="E1113" s="3" t="str">
        <f>IFERROR(INDEX(SecLab,MATCH($B1113,SecKey,0)),"")</f>
        <v>All sectors</v>
      </c>
      <c r="F1113" s="3" t="str">
        <f>IFERROR(INDEX(FuelLab,MATCH($C1113,FuelKeyL,0)),"")</f>
        <v/>
      </c>
      <c r="G1113" s="3" t="inlineStr">
        <is>
          <t>.all.usd</t>
        </is>
      </c>
      <c r="I1113" s="3" t="inlineStr">
        <is>
          <t>co2|all|lpg</t>
        </is>
      </c>
      <c r="J1113" s="3" t="inlineStr">
        <is>
          <t>co2.tot.lpg</t>
        </is>
      </c>
    </row>
    <row r="1114">
      <c r="A1114" s="3" t="str">
        <f>$B1114&amp;"|"&amp;$C1114</f>
        <v>all|ct</v>
      </c>
      <c r="B1114" s="3" t="inlineStr">
        <is>
          <t>all</t>
        </is>
      </c>
      <c r="C1114" s="3" t="inlineStr">
        <is>
          <t>ct</t>
        </is>
      </c>
      <c r="D1114" s="3" t="str">
        <f>IF($B1114="",""," | "&amp;$E1114&amp;" | "&amp;$F1114)</f>
        <v> | All sectors | </v>
      </c>
      <c r="E1114" s="3" t="str">
        <f>IFERROR(INDEX(SecLab,MATCH($B1114,SecKey,0)),"")</f>
        <v>All sectors</v>
      </c>
      <c r="F1114" s="3" t="str">
        <f>IFERROR(INDEX(FuelLab,MATCH($C1114,FuelKeyL,0)),"")</f>
        <v/>
      </c>
      <c r="G1114" s="3" t="inlineStr">
        <is>
          <t>.all.ct</t>
        </is>
      </c>
      <c r="I1114" s="3" t="inlineStr">
        <is>
          <t>co2|all|ker</t>
        </is>
      </c>
      <c r="J1114" s="3" t="inlineStr">
        <is>
          <t>co2.tot.ker</t>
        </is>
      </c>
    </row>
    <row r="1115">
      <c r="A1115" s="3" t="str">
        <f>$B1115&amp;"|"&amp;$C1115</f>
        <v>all|exc</v>
      </c>
      <c r="B1115" s="3" t="inlineStr">
        <is>
          <t>all</t>
        </is>
      </c>
      <c r="C1115" s="3" t="inlineStr">
        <is>
          <t>exc</t>
        </is>
      </c>
      <c r="D1115" s="3" t="str">
        <f>IF($B1115="",""," | "&amp;$E1115&amp;" | "&amp;$F1115)</f>
        <v> | All sectors | Revenue (energy tax increase)</v>
      </c>
      <c r="E1115" s="3" t="str">
        <f>IFERROR(INDEX(SecLab,MATCH($B1115,SecKey,0)),"")</f>
        <v>All sectors</v>
      </c>
      <c r="F1115" s="3" t="str">
        <f>IFERROR(INDEX(FuelLab,MATCH($C1115,FuelKeyL,0)),"")</f>
        <v>Revenue (energy tax increase)</v>
      </c>
      <c r="G1115" s="3" t="inlineStr">
        <is>
          <t>.all.exc</t>
        </is>
      </c>
      <c r="I1115" s="3" t="inlineStr">
        <is>
          <t>co2|all|jfu</t>
        </is>
      </c>
      <c r="J1115" s="3" t="inlineStr">
        <is>
          <t>co2.tot.jfu</t>
        </is>
      </c>
    </row>
    <row r="1116">
      <c r="A1116" s="3" t="str">
        <f>$B1116&amp;"|"&amp;$C1116</f>
        <v>all|exi</v>
      </c>
      <c r="B1116" s="3" t="inlineStr">
        <is>
          <t>all</t>
        </is>
      </c>
      <c r="C1116" s="3" t="inlineStr">
        <is>
          <t>exi</t>
        </is>
      </c>
      <c r="D1116" s="3" t="str">
        <f>IF($B1116="",""," | "&amp;$E1116&amp;" | "&amp;$F1116)</f>
        <v> | All sectors | </v>
      </c>
      <c r="E1116" s="3" t="str">
        <f>IFERROR(INDEX(SecLab,MATCH($B1116,SecKey,0)),"")</f>
        <v>All sectors</v>
      </c>
      <c r="F1116" s="3" t="str">
        <f>IFERROR(INDEX(FuelLab,MATCH($C1116,FuelKeyL,0)),"")</f>
        <v/>
      </c>
      <c r="G1116" s="3" t="inlineStr">
        <is>
          <t>.all.exi</t>
        </is>
      </c>
      <c r="I1116" s="3" t="inlineStr">
        <is>
          <t>co2|all|oop</t>
        </is>
      </c>
      <c r="J1116" s="3" t="inlineStr">
        <is>
          <t>co2.tot.oop</t>
        </is>
      </c>
    </row>
    <row r="1117">
      <c r="A1117" s="3" t="str">
        <f>$B1117&amp;"|"&amp;$C1117</f>
        <v>all|vat</v>
      </c>
      <c r="B1117" s="3" t="inlineStr">
        <is>
          <t>all</t>
        </is>
      </c>
      <c r="C1117" s="3" t="inlineStr">
        <is>
          <t>vat</t>
        </is>
      </c>
      <c r="D1117" s="3" t="str">
        <f>IF($B1117="",""," | "&amp;$E1117&amp;" | "&amp;$F1117)</f>
        <v> | All sectors | </v>
      </c>
      <c r="E1117" s="3" t="str">
        <f>IFERROR(INDEX(SecLab,MATCH($B1117,SecKey,0)),"")</f>
        <v>All sectors</v>
      </c>
      <c r="F1117" s="3" t="str">
        <f>IFERROR(INDEX(FuelLab,MATCH($C1117,FuelKeyL,0)),"")</f>
        <v/>
      </c>
      <c r="G1117" s="3" t="inlineStr">
        <is>
          <t>.all.vat</t>
        </is>
      </c>
      <c r="I1117" s="3" t="inlineStr">
        <is>
          <t>co2|all|bio</t>
        </is>
      </c>
      <c r="J1117" s="3" t="inlineStr">
        <is>
          <t>co2.tot.bio</t>
        </is>
      </c>
    </row>
    <row r="1118">
      <c r="A1118" s="3" t="str">
        <f>$B1118&amp;"|"&amp;$C1118</f>
        <v>all|ets</v>
      </c>
      <c r="B1118" s="3" t="inlineStr">
        <is>
          <t>all</t>
        </is>
      </c>
      <c r="C1118" s="3" t="inlineStr">
        <is>
          <t>ets</t>
        </is>
      </c>
      <c r="D1118" s="3" t="str">
        <f>IF($B1118="",""," | "&amp;$E1118&amp;" | "&amp;$F1118)</f>
        <v> | All sectors | </v>
      </c>
      <c r="E1118" s="3" t="str">
        <f>IFERROR(INDEX(SecLab,MATCH($B1118,SecKey,0)),"")</f>
        <v>All sectors</v>
      </c>
      <c r="F1118" s="3" t="str">
        <f>IFERROR(INDEX(FuelLab,MATCH($C1118,FuelKeyL,0)),"")</f>
        <v/>
      </c>
      <c r="G1118" s="3" t="inlineStr">
        <is>
          <t>.all.ets</t>
        </is>
      </c>
      <c r="I1118" s="3" t="inlineStr">
        <is>
          <t>co2.sec|pow|all</t>
        </is>
      </c>
      <c r="J1118" s="3" t="inlineStr">
        <is>
          <t>co2.sec.pow.tot</t>
        </is>
      </c>
    </row>
    <row r="1119">
      <c r="A1119" s="3" t="str">
        <f>$B1119&amp;"|"&amp;$C1119</f>
        <v>all|psu</v>
      </c>
      <c r="B1119" s="3" t="inlineStr">
        <is>
          <t>all</t>
        </is>
      </c>
      <c r="C1119" s="3" t="inlineStr">
        <is>
          <t>psu</t>
        </is>
      </c>
      <c r="D1119" s="3" t="str">
        <f>IF($B1119="",""," | "&amp;$E1119&amp;" | "&amp;$F1119)</f>
        <v> | All sectors | </v>
      </c>
      <c r="E1119" s="3" t="str">
        <f>IFERROR(INDEX(SecLab,MATCH($B1119,SecKey,0)),"")</f>
        <v>All sectors</v>
      </c>
      <c r="F1119" s="3" t="str">
        <f>IFERROR(INDEX(FuelLab,MATCH($C1119,FuelKeyL,0)),"")</f>
        <v/>
      </c>
      <c r="G1119" s="3" t="inlineStr">
        <is>
          <t>.all.psu</t>
        </is>
      </c>
      <c r="I1119" s="3" t="inlineStr">
        <is>
          <t>co2.sec|rod|all</t>
        </is>
      </c>
      <c r="J1119" s="3" t="inlineStr">
        <is>
          <t>co2.sec.rod.tot</t>
        </is>
      </c>
    </row>
    <row r="1120">
      <c r="A1120" s="3" t="str">
        <f>$B1120&amp;"|"&amp;$C1120</f>
        <v>all|ren</v>
      </c>
      <c r="B1120" s="3" t="inlineStr">
        <is>
          <t>all</t>
        </is>
      </c>
      <c r="C1120" s="3" t="inlineStr">
        <is>
          <t>ren</t>
        </is>
      </c>
      <c r="D1120" s="3" t="str">
        <f>IF($B1120="",""," | "&amp;$E1120&amp;" | "&amp;$F1120)</f>
        <v> | All sectors | </v>
      </c>
      <c r="E1120" s="3" t="str">
        <f>IFERROR(INDEX(SecLab,MATCH($B1120,SecKey,0)),"")</f>
        <v>All sectors</v>
      </c>
      <c r="F1120" s="3" t="str">
        <f>IFERROR(INDEX(FuelLab,MATCH($C1120,FuelKeyL,0)),"")</f>
        <v/>
      </c>
      <c r="G1120" s="3" t="inlineStr">
        <is>
          <t>.all.ren</t>
        </is>
      </c>
      <c r="I1120" s="3" t="inlineStr">
        <is>
          <t>co2.sec|ral|all</t>
        </is>
      </c>
      <c r="J1120" s="3" t="inlineStr">
        <is>
          <t>co2.sec.ral.tot</t>
        </is>
      </c>
    </row>
    <row r="1121">
      <c r="A1121" s="3" t="str">
        <f>$B1121&amp;"|"&amp;$C1121</f>
        <v>all|mf</v>
      </c>
      <c r="B1121" s="3" t="inlineStr">
        <is>
          <t>all</t>
        </is>
      </c>
      <c r="C1121" s="3" t="inlineStr">
        <is>
          <t>mf</t>
        </is>
      </c>
      <c r="D1121" s="3" t="str">
        <f>IF($B1121="",""," | "&amp;$E1121&amp;" | "&amp;$F1121)</f>
        <v> | All sectors | </v>
      </c>
      <c r="E1121" s="3" t="str">
        <f>IFERROR(INDEX(SecLab,MATCH($B1121,SecKey,0)),"")</f>
        <v>All sectors</v>
      </c>
      <c r="F1121" s="3" t="str">
        <f>IFERROR(INDEX(FuelLab,MATCH($C1121,FuelKeyL,0)),"")</f>
        <v/>
      </c>
      <c r="G1121" s="3" t="inlineStr">
        <is>
          <t>.all.mf</t>
        </is>
      </c>
      <c r="I1121" s="3" t="inlineStr">
        <is>
          <t>co2.sec|avi|all</t>
        </is>
      </c>
      <c r="J1121" s="3" t="inlineStr">
        <is>
          <t>co2.sec.avi.tot</t>
        </is>
      </c>
    </row>
    <row r="1122">
      <c r="A1122" s="3" t="str">
        <f>$B1122&amp;"|"&amp;$C1122</f>
        <v>all|trs</v>
      </c>
      <c r="B1122" s="3" t="inlineStr">
        <is>
          <t>all</t>
        </is>
      </c>
      <c r="C1122" s="3" t="inlineStr">
        <is>
          <t>trs</t>
        </is>
      </c>
      <c r="D1122" s="3" t="str">
        <f>IF($B1122="",""," | "&amp;$E1122&amp;" | "&amp;$F1122)</f>
        <v> | All sectors | </v>
      </c>
      <c r="E1122" s="3" t="str">
        <f>IFERROR(INDEX(SecLab,MATCH($B1122,SecKey,0)),"")</f>
        <v>All sectors</v>
      </c>
      <c r="F1122" s="3" t="str">
        <f>IFERROR(INDEX(FuelLab,MATCH($C1122,FuelKeyL,0)),"")</f>
        <v/>
      </c>
      <c r="G1122" s="3" t="inlineStr">
        <is>
          <t>.all.trs</t>
        </is>
      </c>
      <c r="I1122" s="3" t="inlineStr">
        <is>
          <t>co2.sec|nav|all</t>
        </is>
      </c>
      <c r="J1122" s="3" t="inlineStr">
        <is>
          <t>co2.sec.nav.tot</t>
        </is>
      </c>
    </row>
    <row r="1123">
      <c r="A1123" s="3" t="str">
        <f>$B1123&amp;"|"&amp;$C1123</f>
        <v>all|ctp</v>
      </c>
      <c r="B1123" s="3" t="inlineStr">
        <is>
          <t>all</t>
        </is>
      </c>
      <c r="C1123" s="3" t="inlineStr">
        <is>
          <t>ctp</t>
        </is>
      </c>
      <c r="D1123" s="3" t="str">
        <f>IF($B1123="",""," | "&amp;$E1123&amp;" | "&amp;$F1123)</f>
        <v> | All sectors | </v>
      </c>
      <c r="E1123" s="3" t="str">
        <f>IFERROR(INDEX(SecLab,MATCH($B1123,SecKey,0)),"")</f>
        <v>All sectors</v>
      </c>
      <c r="F1123" s="3" t="str">
        <f>IFERROR(INDEX(FuelLab,MATCH($C1123,FuelKeyL,0)),"")</f>
        <v/>
      </c>
      <c r="G1123" s="3" t="inlineStr">
        <is>
          <t>.all.ctp</t>
        </is>
      </c>
      <c r="I1123" s="3" t="inlineStr">
        <is>
          <t>co2.sec|res|all</t>
        </is>
      </c>
      <c r="J1123" s="3" t="inlineStr">
        <is>
          <t>co2.sec.res.tot</t>
        </is>
      </c>
    </row>
    <row r="1124">
      <c r="A1124" s="3" t="str">
        <f>$B1124&amp;"|"&amp;$C1124</f>
        <v>all|etp</v>
      </c>
      <c r="B1124" s="3" t="inlineStr">
        <is>
          <t>all</t>
        </is>
      </c>
      <c r="C1124" s="3" t="inlineStr">
        <is>
          <t>etp</t>
        </is>
      </c>
      <c r="D1124" s="3" t="str">
        <f>IF($B1124="",""," | "&amp;$E1124&amp;" | "&amp;$F1124)</f>
        <v> | All sectors | </v>
      </c>
      <c r="E1124" s="3" t="str">
        <f>IFERROR(INDEX(SecLab,MATCH($B1124,SecKey,0)),"")</f>
        <v>All sectors</v>
      </c>
      <c r="F1124" s="3" t="str">
        <f>IFERROR(INDEX(FuelLab,MATCH($C1124,FuelKeyL,0)),"")</f>
        <v/>
      </c>
      <c r="G1124" s="3" t="inlineStr">
        <is>
          <t>.all.etp</t>
        </is>
      </c>
      <c r="I1124" s="3" t="inlineStr">
        <is>
          <t>co2.sec|foo|all</t>
        </is>
      </c>
      <c r="J1124" s="3" t="inlineStr">
        <is>
          <t>co2.sec.foo.tot</t>
        </is>
      </c>
    </row>
    <row r="1125">
      <c r="A1125" s="3" t="str">
        <f>$B1125&amp;"|"&amp;$C1125</f>
        <v>all|pop</v>
      </c>
      <c r="B1125" s="3" t="inlineStr">
        <is>
          <t>all</t>
        </is>
      </c>
      <c r="C1125" s="3" t="inlineStr">
        <is>
          <t>pop</t>
        </is>
      </c>
      <c r="D1125" s="3" t="str">
        <f>IF($B1125="",""," | "&amp;$E1125&amp;" | "&amp;$F1125)</f>
        <v> | All sectors | </v>
      </c>
      <c r="E1125" s="3" t="str">
        <f>IFERROR(INDEX(SecLab,MATCH($B1125,SecKey,0)),"")</f>
        <v>All sectors</v>
      </c>
      <c r="F1125" s="3" t="str">
        <f>IFERROR(INDEX(FuelLab,MATCH($C1125,FuelKeyL,0)),"")</f>
        <v/>
      </c>
      <c r="G1125" s="3" t="inlineStr">
        <is>
          <t>.all.pop</t>
        </is>
      </c>
      <c r="I1125" s="3" t="inlineStr">
        <is>
          <t>co2.sec|srv|all</t>
        </is>
      </c>
      <c r="J1125" s="3" t="inlineStr">
        <is>
          <t>co2.sec.srv.tot</t>
        </is>
      </c>
    </row>
    <row r="1126">
      <c r="A1126" s="3" t="str">
        <f>$B1126&amp;"|"&amp;$C1126</f>
        <v>all|gpc</v>
      </c>
      <c r="B1126" s="3" t="inlineStr">
        <is>
          <t>all</t>
        </is>
      </c>
      <c r="C1126" s="3" t="inlineStr">
        <is>
          <t>gpc</t>
        </is>
      </c>
      <c r="D1126" s="3" t="str">
        <f>IF($B1126="",""," | "&amp;$E1126&amp;" | "&amp;$F1126)</f>
        <v> | All sectors | </v>
      </c>
      <c r="E1126" s="3" t="str">
        <f>IFERROR(INDEX(SecLab,MATCH($B1126,SecKey,0)),"")</f>
        <v>All sectors</v>
      </c>
      <c r="F1126" s="3" t="str">
        <f>IFERROR(INDEX(FuelLab,MATCH($C1126,FuelKeyL,0)),"")</f>
        <v/>
      </c>
      <c r="G1126" s="3" t="inlineStr">
        <is>
          <t>.all.gpc</t>
        </is>
      </c>
      <c r="I1126" s="3" t="inlineStr">
        <is>
          <t>co2.sec|mch|all</t>
        </is>
      </c>
      <c r="J1126" s="3" t="inlineStr">
        <is>
          <t>co2.sec.mch.tot</t>
        </is>
      </c>
    </row>
    <row r="1127">
      <c r="A1127" s="3" t="str">
        <f>$B1127&amp;"|"&amp;$C1127</f>
        <v>all|tpes</v>
      </c>
      <c r="B1127" s="3" t="inlineStr">
        <is>
          <t>all</t>
        </is>
      </c>
      <c r="C1127" s="3" t="inlineStr">
        <is>
          <t>tpes</t>
        </is>
      </c>
      <c r="D1127" s="3" t="str">
        <f>IF($B1127="",""," | "&amp;$E1127&amp;" | "&amp;$F1127)</f>
        <v> | All sectors | </v>
      </c>
      <c r="E1127" s="3" t="str">
        <f>IFERROR(INDEX(SecLab,MATCH($B1127,SecKey,0)),"")</f>
        <v>All sectors</v>
      </c>
      <c r="F1127" s="3" t="str">
        <f>IFERROR(INDEX(FuelLab,MATCH($C1127,FuelKeyL,0)),"")</f>
        <v/>
      </c>
      <c r="G1127" s="3" t="inlineStr">
        <is>
          <t>.all.tpes</t>
        </is>
      </c>
      <c r="I1127" s="3" t="inlineStr">
        <is>
          <t>co2.sec|irn|all</t>
        </is>
      </c>
      <c r="J1127" s="3" t="inlineStr">
        <is>
          <t>co2.sec.irn.tot</t>
        </is>
      </c>
    </row>
    <row r="1128">
      <c r="A1128" s="3" t="str">
        <f>$B1128&amp;"|"&amp;$C1128</f>
        <v>all|ei</v>
      </c>
      <c r="B1128" s="3" t="inlineStr">
        <is>
          <t>all</t>
        </is>
      </c>
      <c r="C1128" s="3" t="inlineStr">
        <is>
          <t>ei</t>
        </is>
      </c>
      <c r="D1128" s="3" t="str">
        <f>IF($B1128="",""," | "&amp;$E1128&amp;" | "&amp;$F1128)</f>
        <v> | All sectors | </v>
      </c>
      <c r="E1128" s="3" t="str">
        <f>IFERROR(INDEX(SecLab,MATCH($B1128,SecKey,0)),"")</f>
        <v>All sectors</v>
      </c>
      <c r="F1128" s="3" t="str">
        <f>IFERROR(INDEX(FuelLab,MATCH($C1128,FuelKeyL,0)),"")</f>
        <v/>
      </c>
      <c r="G1128" s="3" t="inlineStr">
        <is>
          <t>.all.ei</t>
        </is>
      </c>
      <c r="I1128" s="3" t="inlineStr">
        <is>
          <t>co2.sec|nfm|all</t>
        </is>
      </c>
      <c r="J1128" s="3" t="inlineStr">
        <is>
          <t>co2.sec.nfm.tot</t>
        </is>
      </c>
    </row>
    <row r="1129">
      <c r="A1129" s="3" t="str">
        <f>$B1129&amp;"|"&amp;$C1129</f>
        <v>all|ci</v>
      </c>
      <c r="B1129" s="3" t="inlineStr">
        <is>
          <t>all</t>
        </is>
      </c>
      <c r="C1129" s="3" t="inlineStr">
        <is>
          <t>ci</t>
        </is>
      </c>
      <c r="D1129" s="3" t="str">
        <f>IF($B1129="",""," | "&amp;$E1129&amp;" | "&amp;$F1129)</f>
        <v> | All sectors | </v>
      </c>
      <c r="E1129" s="3" t="str">
        <f>IFERROR(INDEX(SecLab,MATCH($B1129,SecKey,0)),"")</f>
        <v>All sectors</v>
      </c>
      <c r="F1129" s="3" t="str">
        <f>IFERROR(INDEX(FuelLab,MATCH($C1129,FuelKeyL,0)),"")</f>
        <v/>
      </c>
      <c r="G1129" s="3" t="inlineStr">
        <is>
          <t>.all.ci</t>
        </is>
      </c>
      <c r="I1129" s="3" t="inlineStr">
        <is>
          <t>co2.sec|mac|all</t>
        </is>
      </c>
      <c r="J1129" s="3" t="inlineStr">
        <is>
          <t>co2.sec.mac.tot</t>
        </is>
      </c>
    </row>
    <row r="1130">
      <c r="A1130" s="3" t="str">
        <f>$B1130&amp;"|"&amp;$C1130</f>
        <v>all|gdp</v>
      </c>
      <c r="B1130" s="3" t="inlineStr">
        <is>
          <t>all</t>
        </is>
      </c>
      <c r="C1130" s="3" t="inlineStr">
        <is>
          <t>gdp</t>
        </is>
      </c>
      <c r="D1130" s="3" t="str">
        <f>IF($B1130="",""," | "&amp;$E1130&amp;" | "&amp;$F1130)</f>
        <v> | All sectors | </v>
      </c>
      <c r="E1130" s="3" t="str">
        <f>IFERROR(INDEX(SecLab,MATCH($B1130,SecKey,0)),"")</f>
        <v>All sectors</v>
      </c>
      <c r="F1130" s="3" t="str">
        <f>IFERROR(INDEX(FuelLab,MATCH($C1130,FuelKeyL,0)),"")</f>
        <v/>
      </c>
      <c r="G1130" s="3" t="inlineStr">
        <is>
          <t>.all.gdp</t>
        </is>
      </c>
      <c r="I1130" s="3" t="inlineStr">
        <is>
          <t>co2.sec|cem|all</t>
        </is>
      </c>
      <c r="J1130" s="3" t="inlineStr">
        <is>
          <t>co2.sec.cem.tot</t>
        </is>
      </c>
    </row>
    <row r="1131">
      <c r="A1131" s="3" t="str">
        <f>$B1131&amp;"|"&amp;$C1131</f>
        <v>all|co2</v>
      </c>
      <c r="B1131" s="3" t="inlineStr">
        <is>
          <t>all</t>
        </is>
      </c>
      <c r="C1131" s="3" t="inlineStr">
        <is>
          <t>co2</t>
        </is>
      </c>
      <c r="D1131" s="3" t="str">
        <f>IF($B1131="",""," | "&amp;$E1131&amp;" | "&amp;$F1131)</f>
        <v> | All sectors | CO2</v>
      </c>
      <c r="E1131" s="3" t="str">
        <f>IFERROR(INDEX(SecLab,MATCH($B1131,SecKey,0)),"")</f>
        <v>All sectors</v>
      </c>
      <c r="F1131" s="3" t="str">
        <f>IFERROR(INDEX(FuelLab,MATCH($C1131,FuelKeyL,0)),"")</f>
        <v>CO2</v>
      </c>
      <c r="G1131" s="3" t="inlineStr">
        <is>
          <t>.all.co2</t>
        </is>
      </c>
      <c r="I1131" s="3" t="inlineStr">
        <is>
          <t>co2.sec|omn|all</t>
        </is>
      </c>
      <c r="J1131" s="3" t="inlineStr">
        <is>
          <t>co2.sec.omn.tot</t>
        </is>
      </c>
    </row>
    <row r="1132">
      <c r="A1132" s="3" t="str">
        <f>$B1132&amp;"|"&amp;$C1132</f>
        <v>all|chk</v>
      </c>
      <c r="B1132" s="3" t="inlineStr">
        <is>
          <t>all</t>
        </is>
      </c>
      <c r="C1132" s="3" t="inlineStr">
        <is>
          <t>chk</t>
        </is>
      </c>
      <c r="D1132" s="3" t="str">
        <f>IF($B1132="",""," | "&amp;$E1132&amp;" | "&amp;$F1132)</f>
        <v> | All sectors | </v>
      </c>
      <c r="E1132" s="3" t="str">
        <f>IFERROR(INDEX(SecLab,MATCH($B1132,SecKey,0)),"")</f>
        <v>All sectors</v>
      </c>
      <c r="F1132" s="3" t="str">
        <f>IFERROR(INDEX(FuelLab,MATCH($C1132,FuelKeyL,0)),"")</f>
        <v/>
      </c>
      <c r="G1132" s="3" t="inlineStr">
        <is>
          <t>.all.chk</t>
        </is>
      </c>
      <c r="I1132" s="3" t="inlineStr">
        <is>
          <t>co2.sec|cst|all</t>
        </is>
      </c>
      <c r="J1132" s="3" t="inlineStr">
        <is>
          <t>co2.sec.cst.tot</t>
        </is>
      </c>
    </row>
    <row r="1133">
      <c r="A1133" s="3" t="str">
        <f>$B1133&amp;"|"&amp;$C1133</f>
        <v>agr|all</v>
      </c>
      <c r="B1133" s="3" t="inlineStr">
        <is>
          <t>agr</t>
        </is>
      </c>
      <c r="C1133" s="3" t="inlineStr">
        <is>
          <t>all</t>
        </is>
      </c>
      <c r="D1133" s="3" t="str">
        <f>IF($B1133="",""," | "&amp;$E1133&amp;" | "&amp;$F1133)</f>
        <v> | Agriculture | All fuels</v>
      </c>
      <c r="E1133" s="3" t="str">
        <f>IFERROR(INDEX(SecLab,MATCH($B1133,SecKey,0)),"")</f>
        <v>Agriculture</v>
      </c>
      <c r="F1133" s="3" t="str">
        <f>IFERROR(INDEX(FuelLab,MATCH($C1133,FuelKeyL,0)),"")</f>
        <v>All fuels</v>
      </c>
      <c r="G1133" s="3" t="inlineStr">
        <is>
          <t>.agr.all</t>
        </is>
      </c>
      <c r="I1133" s="3" t="inlineStr">
        <is>
          <t>co2.sec|ftr|all</t>
        </is>
      </c>
      <c r="J1133" s="3" t="inlineStr">
        <is>
          <t>co2.sec.ftr.tot</t>
        </is>
      </c>
    </row>
    <row r="1134">
      <c r="A1134" s="3" t="str">
        <f>$B1134&amp;"|"&amp;$C1134</f>
        <v>wst|all</v>
      </c>
      <c r="B1134" s="3" t="inlineStr">
        <is>
          <t>wst</t>
        </is>
      </c>
      <c r="C1134" s="3" t="inlineStr">
        <is>
          <t>all</t>
        </is>
      </c>
      <c r="D1134" s="3" t="str">
        <f>IF($B1134="",""," | "&amp;$E1134&amp;" | "&amp;$F1134)</f>
        <v> | Waste | All fuels</v>
      </c>
      <c r="E1134" s="3" t="str">
        <f>IFERROR(INDEX(SecLab,MATCH($B1134,SecKey,0)),"")</f>
        <v>Waste</v>
      </c>
      <c r="F1134" s="3" t="str">
        <f>IFERROR(INDEX(FuelLab,MATCH($C1134,FuelKeyL,0)),"")</f>
        <v>All fuels</v>
      </c>
      <c r="G1134" s="3" t="inlineStr">
        <is>
          <t>.wst.all</t>
        </is>
      </c>
      <c r="I1134" s="3" t="inlineStr">
        <is>
          <t>co2.sec|oen|all</t>
        </is>
      </c>
      <c r="J1134" s="3" t="inlineStr">
        <is>
          <t>co2.sec.oen.tot</t>
        </is>
      </c>
    </row>
    <row r="1135">
      <c r="A1135" s="3" t="str">
        <f>$B1135&amp;"|"&amp;$C1135</f>
        <v>oth|all</v>
      </c>
      <c r="B1135" s="3" t="inlineStr">
        <is>
          <t>oth</t>
        </is>
      </c>
      <c r="C1135" s="3" t="inlineStr">
        <is>
          <t>all</t>
        </is>
      </c>
      <c r="D1135" s="3" t="str">
        <f>IF($B1135="",""," | "&amp;$E1135&amp;" | "&amp;$F1135)</f>
        <v> | Other | All fuels</v>
      </c>
      <c r="E1135" s="3" t="str">
        <f>IFERROR(INDEX(SecLab,MATCH($B1135,SecKey,0)),"")</f>
        <v>Other</v>
      </c>
      <c r="F1135" s="3" t="str">
        <f>IFERROR(INDEX(FuelLab,MATCH($C1135,FuelKeyL,0)),"")</f>
        <v>All fuels</v>
      </c>
      <c r="G1135" s="3" t="inlineStr">
        <is>
          <t>.oth.all</t>
        </is>
      </c>
      <c r="I1135" s="3" t="inlineStr">
        <is>
          <t>bco2.chk|all|all</t>
        </is>
      </c>
      <c r="J1135" s="3" t="inlineStr">
        <is>
          <t>bco2.chk.tot.tot</t>
        </is>
      </c>
    </row>
    <row r="1136">
      <c r="A1136" s="3" t="str">
        <f>$B1136&amp;"|"&amp;$C1136</f>
        <v>all|og</v>
      </c>
      <c r="B1136" s="3" t="inlineStr">
        <is>
          <t>all</t>
        </is>
      </c>
      <c r="C1136" s="3" t="inlineStr">
        <is>
          <t>og</t>
        </is>
      </c>
      <c r="D1136" s="3" t="str">
        <f>IF($B1136="",""," | "&amp;$E1136&amp;" | "&amp;$F1136)</f>
        <v> | All sectors | Oil and gas extraction</v>
      </c>
      <c r="E1136" s="3" t="str">
        <f>IFERROR(INDEX(SecLab,MATCH($B1136,SecKey,0)),"")</f>
        <v>All sectors</v>
      </c>
      <c r="F1136" s="3" t="str">
        <f>IFERROR(INDEX(FuelLab,MATCH($C1136,FuelKeyL,0)),"")</f>
        <v>Oil and gas extraction</v>
      </c>
      <c r="G1136" s="3" t="inlineStr">
        <is>
          <t>.all.og</t>
        </is>
      </c>
      <c r="I1136" s="3" t="inlineStr">
        <is>
          <t>co2|all|all</t>
        </is>
      </c>
      <c r="J1136" s="3" t="inlineStr">
        <is>
          <t>co2.tot.tot</t>
        </is>
      </c>
    </row>
    <row r="1137">
      <c r="A1137" s="3" t="str">
        <f>$B1137&amp;"|"&amp;$C1137</f>
        <v>all|dg</v>
      </c>
      <c r="B1137" s="3" t="inlineStr">
        <is>
          <t>all</t>
        </is>
      </c>
      <c r="C1137" s="3" t="inlineStr">
        <is>
          <t>dg</t>
        </is>
      </c>
      <c r="D1137" s="3" t="str">
        <f>IF($B1137="",""," | "&amp;$E1137&amp;" | "&amp;$F1137)</f>
        <v> | All sectors | Downstream gas</v>
      </c>
      <c r="E1137" s="3" t="str">
        <f>IFERROR(INDEX(SecLab,MATCH($B1137,SecKey,0)),"")</f>
        <v>All sectors</v>
      </c>
      <c r="F1137" s="3" t="str">
        <f>IFERROR(INDEX(FuelLab,MATCH($C1137,FuelKeyL,0)),"")</f>
        <v>Downstream gas</v>
      </c>
      <c r="G1137" s="3" t="inlineStr">
        <is>
          <t>.all.dg</t>
        </is>
      </c>
      <c r="I1137" s="3" t="inlineStr">
        <is>
          <t>ch4|pow|coa</t>
        </is>
      </c>
      <c r="J1137" s="3" t="inlineStr">
        <is>
          <t>em.pow.coa.ch4</t>
        </is>
      </c>
    </row>
    <row r="1138">
      <c r="A1138" s="3" t="str">
        <f>$B1138&amp;"|"&amp;$C1138</f>
        <v>all|cm</v>
      </c>
      <c r="B1138" s="3" t="inlineStr">
        <is>
          <t>all</t>
        </is>
      </c>
      <c r="C1138" s="3" t="inlineStr">
        <is>
          <t>cm</t>
        </is>
      </c>
      <c r="D1138" s="3" t="str">
        <f>IF($B1138="",""," | "&amp;$E1138&amp;" | "&amp;$F1138)</f>
        <v> | All sectors | Coal mining</v>
      </c>
      <c r="E1138" s="3" t="str">
        <f>IFERROR(INDEX(SecLab,MATCH($B1138,SecKey,0)),"")</f>
        <v>All sectors</v>
      </c>
      <c r="F1138" s="3" t="str">
        <f>IFERROR(INDEX(FuelLab,MATCH($C1138,FuelKeyL,0)),"")</f>
        <v>Coal mining</v>
      </c>
      <c r="G1138" s="3" t="inlineStr">
        <is>
          <t>.all.cm</t>
        </is>
      </c>
      <c r="I1138" s="3" t="inlineStr">
        <is>
          <t>ch4|pow|nga</t>
        </is>
      </c>
      <c r="J1138" s="3" t="inlineStr">
        <is>
          <t>em.pow.nga.ch4</t>
        </is>
      </c>
    </row>
    <row r="1139">
      <c r="A1139" s="3" t="str">
        <f>$B1139&amp;"|"&amp;$C1139</f>
        <v>all|bm</v>
      </c>
      <c r="B1139" s="3" t="inlineStr">
        <is>
          <t>all</t>
        </is>
      </c>
      <c r="C1139" s="3" t="inlineStr">
        <is>
          <t>bm</t>
        </is>
      </c>
      <c r="D1139" s="3" t="str">
        <f>IF($B1139="",""," | "&amp;$E1139&amp;" | "&amp;$F1139)</f>
        <v> | All sectors | Biomass use</v>
      </c>
      <c r="E1139" s="3" t="str">
        <f>IFERROR(INDEX(SecLab,MATCH($B1139,SecKey,0)),"")</f>
        <v>All sectors</v>
      </c>
      <c r="F1139" s="3" t="str">
        <f>IFERROR(INDEX(FuelLab,MATCH($C1139,FuelKeyL,0)),"")</f>
        <v>Biomass use</v>
      </c>
      <c r="G1139" s="3" t="inlineStr">
        <is>
          <t>.all.bm</t>
        </is>
      </c>
      <c r="I1139" s="3" t="inlineStr">
        <is>
          <t>ch4|pow|oop</t>
        </is>
      </c>
      <c r="J1139" s="3" t="inlineStr">
        <is>
          <t>em.pow.oop.ch4</t>
        </is>
      </c>
    </row>
    <row r="1140">
      <c r="A1140" s="3" t="str">
        <f>$B1140&amp;"|"&amp;$C1140</f>
        <v>all|liv</v>
      </c>
      <c r="B1140" s="3" t="inlineStr">
        <is>
          <t>all</t>
        </is>
      </c>
      <c r="C1140" s="3" t="inlineStr">
        <is>
          <t>liv</t>
        </is>
      </c>
      <c r="D1140" s="3" t="str">
        <f>IF($B1140="",""," | "&amp;$E1140&amp;" | "&amp;$F1140)</f>
        <v> | All sectors | Livestock</v>
      </c>
      <c r="E1140" s="3" t="str">
        <f>IFERROR(INDEX(SecLab,MATCH($B1140,SecKey,0)),"")</f>
        <v>All sectors</v>
      </c>
      <c r="F1140" s="3" t="str">
        <f>IFERROR(INDEX(FuelLab,MATCH($C1140,FuelKeyL,0)),"")</f>
        <v>Livestock</v>
      </c>
      <c r="G1140" s="3" t="inlineStr">
        <is>
          <t>.all.liv</t>
        </is>
      </c>
      <c r="I1140" s="3" t="inlineStr">
        <is>
          <t>ch4|pow|bio</t>
        </is>
      </c>
      <c r="J1140" s="3" t="inlineStr">
        <is>
          <t>em.pow.bio.ch4</t>
        </is>
      </c>
    </row>
    <row r="1141">
      <c r="A1141" s="3" t="str">
        <f>$B1141&amp;"|"&amp;$C1141</f>
        <v>all|ric</v>
      </c>
      <c r="B1141" s="3" t="inlineStr">
        <is>
          <t>all</t>
        </is>
      </c>
      <c r="C1141" s="3" t="inlineStr">
        <is>
          <t>ric</t>
        </is>
      </c>
      <c r="D1141" s="3" t="str">
        <f>IF($B1141="",""," | "&amp;$E1141&amp;" | "&amp;$F1141)</f>
        <v> | All sectors | Rice</v>
      </c>
      <c r="E1141" s="3" t="str">
        <f>IFERROR(INDEX(SecLab,MATCH($B1141,SecKey,0)),"")</f>
        <v>All sectors</v>
      </c>
      <c r="F1141" s="3" t="str">
        <f>IFERROR(INDEX(FuelLab,MATCH($C1141,FuelKeyL,0)),"")</f>
        <v>Rice</v>
      </c>
      <c r="G1141" s="3" t="inlineStr">
        <is>
          <t>.all.ric</t>
        </is>
      </c>
      <c r="I1141" s="3" t="inlineStr">
        <is>
          <t>ch4.c|tra|all</t>
        </is>
      </c>
      <c r="J1141" s="3" t="inlineStr">
        <is>
          <t>ch4.c.tra.tot</t>
        </is>
      </c>
    </row>
    <row r="1142">
      <c r="A1142" s="3" t="str">
        <f>$B1142&amp;"|"&amp;$C1142</f>
        <v>all|wst</v>
      </c>
      <c r="B1142" s="3" t="inlineStr">
        <is>
          <t>all</t>
        </is>
      </c>
      <c r="C1142" s="3" t="inlineStr">
        <is>
          <t>wst</t>
        </is>
      </c>
      <c r="D1142" s="3" t="str">
        <f>IF($B1142="",""," | "&amp;$E1142&amp;" | "&amp;$F1142)</f>
        <v> | All sectors | Waste</v>
      </c>
      <c r="E1142" s="3" t="str">
        <f>IFERROR(INDEX(SecLab,MATCH($B1142,SecKey,0)),"")</f>
        <v>All sectors</v>
      </c>
      <c r="F1142" s="3" t="str">
        <f>IFERROR(INDEX(FuelLab,MATCH($C1142,FuelKeyL,0)),"")</f>
        <v>Waste</v>
      </c>
      <c r="G1142" s="3" t="inlineStr">
        <is>
          <t>.all.wst</t>
        </is>
      </c>
      <c r="I1142" s="3" t="inlineStr">
        <is>
          <t>ch4.c|bld|all</t>
        </is>
      </c>
      <c r="J1142" s="3" t="inlineStr">
        <is>
          <t>ch4.c.bld.tot</t>
        </is>
      </c>
    </row>
    <row r="1143">
      <c r="A1143" s="3" t="str">
        <f>$B1143&amp;"|"&amp;$C1143</f>
        <v>enr|ch4</v>
      </c>
      <c r="B1143" s="3" t="inlineStr">
        <is>
          <t>enr</t>
        </is>
      </c>
      <c r="C1143" s="3" t="inlineStr">
        <is>
          <t>ch4</t>
        </is>
      </c>
      <c r="D1143" s="3" t="str">
        <f>IF($B1143="",""," | "&amp;$E1143&amp;" | "&amp;$F1143)</f>
        <v> | Energy | CH4</v>
      </c>
      <c r="E1143" s="3" t="str">
        <f>IFERROR(INDEX(SecLab,MATCH($B1143,SecKey,0)),"")</f>
        <v>Energy</v>
      </c>
      <c r="F1143" s="3" t="str">
        <f>IFERROR(INDEX(FuelLab,MATCH($C1143,FuelKeyL,0)),"")</f>
        <v>CH4</v>
      </c>
      <c r="G1143" s="3" t="inlineStr">
        <is>
          <t>.enr.ch4</t>
        </is>
      </c>
      <c r="I1143" s="3" t="inlineStr">
        <is>
          <t>ch4.c|ind|all</t>
        </is>
      </c>
      <c r="J1143" s="3" t="inlineStr">
        <is>
          <t>ch4.c.ind.tot</t>
        </is>
      </c>
    </row>
    <row r="1144">
      <c r="A1144" s="3" t="str">
        <f>$B1144&amp;"|"&amp;$C1144</f>
        <v>enr|co2</v>
      </c>
      <c r="B1144" s="3" t="inlineStr">
        <is>
          <t>enr</t>
        </is>
      </c>
      <c r="C1144" s="3" t="inlineStr">
        <is>
          <t>co2</t>
        </is>
      </c>
      <c r="D1144" s="3" t="str">
        <f>IF($B1144="",""," | "&amp;$E1144&amp;" | "&amp;$F1144)</f>
        <v> | Energy | CO2</v>
      </c>
      <c r="E1144" s="3" t="str">
        <f>IFERROR(INDEX(SecLab,MATCH($B1144,SecKey,0)),"")</f>
        <v>Energy</v>
      </c>
      <c r="F1144" s="3" t="str">
        <f>IFERROR(INDEX(FuelLab,MATCH($C1144,FuelKeyL,0)),"")</f>
        <v>CO2</v>
      </c>
      <c r="G1144" s="3" t="inlineStr">
        <is>
          <t>.enr.co2</t>
        </is>
      </c>
      <c r="I1144" s="3" t="inlineStr">
        <is>
          <t>ch4.c|oen|all</t>
        </is>
      </c>
      <c r="J1144" s="3" t="inlineStr">
        <is>
          <t>ch4.c.oen.tot</t>
        </is>
      </c>
    </row>
    <row r="1145">
      <c r="A1145" s="3" t="str">
        <f>$B1145&amp;"|"&amp;$C1145</f>
        <v>enr|n2o</v>
      </c>
      <c r="B1145" s="3" t="inlineStr">
        <is>
          <t>enr</t>
        </is>
      </c>
      <c r="C1145" s="3" t="inlineStr">
        <is>
          <t>n2o</t>
        </is>
      </c>
      <c r="D1145" s="3" t="str">
        <f>IF($B1145="",""," | "&amp;$E1145&amp;" | "&amp;$F1145)</f>
        <v> | Energy | N2O</v>
      </c>
      <c r="E1145" s="3" t="str">
        <f>IFERROR(INDEX(SecLab,MATCH($B1145,SecKey,0)),"")</f>
        <v>Energy</v>
      </c>
      <c r="F1145" s="3" t="str">
        <f>IFERROR(INDEX(FuelLab,MATCH($C1145,FuelKeyL,0)),"")</f>
        <v>N2O</v>
      </c>
      <c r="G1145" s="3" t="inlineStr">
        <is>
          <t>.enr.n2o</t>
        </is>
      </c>
      <c r="I1145" s="3" t="inlineStr">
        <is>
          <t>ch4.c|pow|all</t>
        </is>
      </c>
      <c r="J1145" s="3" t="inlineStr">
        <is>
          <t>ch4.c.pow.tot</t>
        </is>
      </c>
    </row>
    <row r="1146">
      <c r="A1146" s="3" t="str">
        <f>$B1146&amp;"|"&amp;$C1146</f>
        <v>enr|fga</v>
      </c>
      <c r="B1146" s="3" t="inlineStr">
        <is>
          <t>enr</t>
        </is>
      </c>
      <c r="C1146" s="3" t="inlineStr">
        <is>
          <t>fga</t>
        </is>
      </c>
      <c r="D1146" s="3" t="str">
        <f>IF($B1146="",""," | "&amp;$E1146&amp;" | "&amp;$F1146)</f>
        <v> | Energy | F-gases</v>
      </c>
      <c r="E1146" s="3" t="str">
        <f>IFERROR(INDEX(SecLab,MATCH($B1146,SecKey,0)),"")</f>
        <v>Energy</v>
      </c>
      <c r="F1146" s="3" t="str">
        <f>IFERROR(INDEX(FuelLab,MATCH($C1146,FuelKeyL,0)),"")</f>
        <v>F-gases</v>
      </c>
      <c r="G1146" s="3" t="inlineStr">
        <is>
          <t>.enr.fga</t>
        </is>
      </c>
      <c r="I1146" s="3" t="inlineStr">
        <is>
          <t>ch4.c|all|all</t>
        </is>
      </c>
      <c r="J1146" s="3" t="inlineStr">
        <is>
          <t>ch4.c.tot.tot</t>
        </is>
      </c>
    </row>
    <row r="1147">
      <c r="A1147" s="3" t="str">
        <f>$B1147&amp;"|"&amp;$C1147</f>
        <v>ipr|co2</v>
      </c>
      <c r="B1147" s="3" t="inlineStr">
        <is>
          <t>ipr</t>
        </is>
      </c>
      <c r="C1147" s="3" t="inlineStr">
        <is>
          <t>co2</t>
        </is>
      </c>
      <c r="D1147" s="3" t="str">
        <f>IF($B1147="",""," | "&amp;$E1147&amp;" | "&amp;$F1147)</f>
        <v> | Industrial processes | CO2</v>
      </c>
      <c r="E1147" s="3" t="str">
        <f>IFERROR(INDEX(SecLab,MATCH($B1147,SecKey,0)),"")</f>
        <v>Industrial processes</v>
      </c>
      <c r="F1147" s="3" t="str">
        <f>IFERROR(INDEX(FuelLab,MATCH($C1147,FuelKeyL,0)),"")</f>
        <v>CO2</v>
      </c>
      <c r="G1147" s="3" t="inlineStr">
        <is>
          <t>.ipr.co2</t>
        </is>
      </c>
      <c r="I1147" s="3" t="inlineStr">
        <is>
          <t>ch4.sup|all|all</t>
        </is>
      </c>
      <c r="J1147" s="3" t="inlineStr">
        <is>
          <t>ch4.sup.tot.tot</t>
        </is>
      </c>
    </row>
    <row r="1148">
      <c r="A1148" s="3" t="str">
        <f>$B1148&amp;"|"&amp;$C1148</f>
        <v>ipr|ch4</v>
      </c>
      <c r="B1148" s="3" t="inlineStr">
        <is>
          <t>ipr</t>
        </is>
      </c>
      <c r="C1148" s="3" t="inlineStr">
        <is>
          <t>ch4</t>
        </is>
      </c>
      <c r="D1148" s="3" t="str">
        <f>IF($B1148="",""," | "&amp;$E1148&amp;" | "&amp;$F1148)</f>
        <v> | Industrial processes | CH4</v>
      </c>
      <c r="E1148" s="3" t="str">
        <f>IFERROR(INDEX(SecLab,MATCH($B1148,SecKey,0)),"")</f>
        <v>Industrial processes</v>
      </c>
      <c r="F1148" s="3" t="str">
        <f>IFERROR(INDEX(FuelLab,MATCH($C1148,FuelKeyL,0)),"")</f>
        <v>CH4</v>
      </c>
      <c r="G1148" s="3" t="inlineStr">
        <is>
          <t>.ipr.ch4</t>
        </is>
      </c>
      <c r="I1148" s="3" t="inlineStr">
        <is>
          <t>ghg|all|co2</t>
        </is>
      </c>
      <c r="J1148" s="3" t="inlineStr">
        <is>
          <t>co2.tot</t>
        </is>
      </c>
    </row>
    <row r="1149">
      <c r="A1149" s="3" t="str">
        <f>$B1149&amp;"|"&amp;$C1149</f>
        <v>ipr|n2o</v>
      </c>
      <c r="B1149" s="3" t="inlineStr">
        <is>
          <t>ipr</t>
        </is>
      </c>
      <c r="C1149" s="3" t="inlineStr">
        <is>
          <t>n2o</t>
        </is>
      </c>
      <c r="D1149" s="3" t="str">
        <f>IF($B1149="",""," | "&amp;$E1149&amp;" | "&amp;$F1149)</f>
        <v> | Industrial processes | N2O</v>
      </c>
      <c r="E1149" s="3" t="str">
        <f>IFERROR(INDEX(SecLab,MATCH($B1149,SecKey,0)),"")</f>
        <v>Industrial processes</v>
      </c>
      <c r="F1149" s="3" t="str">
        <f>IFERROR(INDEX(FuelLab,MATCH($C1149,FuelKeyL,0)),"")</f>
        <v>N2O</v>
      </c>
      <c r="G1149" s="3" t="inlineStr">
        <is>
          <t>.ipr.n2o</t>
        </is>
      </c>
      <c r="I1149" s="3" t="inlineStr">
        <is>
          <t>ghg|all|ch4</t>
        </is>
      </c>
      <c r="J1149" s="3" t="inlineStr">
        <is>
          <t>ch4.tot</t>
        </is>
      </c>
    </row>
    <row r="1150">
      <c r="A1150" s="3" t="str">
        <f>$B1150&amp;"|"&amp;$C1150</f>
        <v>ipr|fga</v>
      </c>
      <c r="B1150" s="3" t="inlineStr">
        <is>
          <t>ipr</t>
        </is>
      </c>
      <c r="C1150" s="3" t="inlineStr">
        <is>
          <t>fga</t>
        </is>
      </c>
      <c r="D1150" s="3" t="str">
        <f>IF($B1150="",""," | "&amp;$E1150&amp;" | "&amp;$F1150)</f>
        <v> | Industrial processes | F-gases</v>
      </c>
      <c r="E1150" s="3" t="str">
        <f>IFERROR(INDEX(SecLab,MATCH($B1150,SecKey,0)),"")</f>
        <v>Industrial processes</v>
      </c>
      <c r="F1150" s="3" t="str">
        <f>IFERROR(INDEX(FuelLab,MATCH($C1150,FuelKeyL,0)),"")</f>
        <v>F-gases</v>
      </c>
      <c r="G1150" s="3" t="inlineStr">
        <is>
          <t>.ipr.fga</t>
        </is>
      </c>
      <c r="I1150" s="3" t="inlineStr">
        <is>
          <t>ghg|all|n2o</t>
        </is>
      </c>
      <c r="J1150" s="3" t="inlineStr">
        <is>
          <t>n2o.tot</t>
        </is>
      </c>
    </row>
    <row r="1151">
      <c r="A1151" s="3" t="str">
        <f>$B1151&amp;"|"&amp;$C1151</f>
        <v>agr|co2</v>
      </c>
      <c r="B1151" s="3" t="inlineStr">
        <is>
          <t>agr</t>
        </is>
      </c>
      <c r="C1151" s="3" t="inlineStr">
        <is>
          <t>co2</t>
        </is>
      </c>
      <c r="D1151" s="3" t="str">
        <f>IF($B1151="",""," | "&amp;$E1151&amp;" | "&amp;$F1151)</f>
        <v> | Agriculture | CO2</v>
      </c>
      <c r="E1151" s="3" t="str">
        <f>IFERROR(INDEX(SecLab,MATCH($B1151,SecKey,0)),"")</f>
        <v>Agriculture</v>
      </c>
      <c r="F1151" s="3" t="str">
        <f>IFERROR(INDEX(FuelLab,MATCH($C1151,FuelKeyL,0)),"")</f>
        <v>CO2</v>
      </c>
      <c r="G1151" s="3" t="inlineStr">
        <is>
          <t>.agr.co2</t>
        </is>
      </c>
      <c r="I1151" s="3" t="inlineStr">
        <is>
          <t>ghg|all|fga</t>
        </is>
      </c>
      <c r="J1151" s="3" t="inlineStr">
        <is>
          <t>fga.tot</t>
        </is>
      </c>
    </row>
    <row r="1152">
      <c r="A1152" s="3" t="str">
        <f>$B1152&amp;"|"&amp;$C1152</f>
        <v>agr|ch4</v>
      </c>
      <c r="B1152" s="3" t="inlineStr">
        <is>
          <t>agr</t>
        </is>
      </c>
      <c r="C1152" s="3" t="inlineStr">
        <is>
          <t>ch4</t>
        </is>
      </c>
      <c r="D1152" s="3" t="str">
        <f>IF($B1152="",""," | "&amp;$E1152&amp;" | "&amp;$F1152)</f>
        <v> | Agriculture | CH4</v>
      </c>
      <c r="E1152" s="3" t="str">
        <f>IFERROR(INDEX(SecLab,MATCH($B1152,SecKey,0)),"")</f>
        <v>Agriculture</v>
      </c>
      <c r="F1152" s="3" t="str">
        <f>IFERROR(INDEX(FuelLab,MATCH($C1152,FuelKeyL,0)),"")</f>
        <v>CH4</v>
      </c>
      <c r="G1152" s="3" t="inlineStr">
        <is>
          <t>.agr.ch4</t>
        </is>
      </c>
      <c r="I1152" s="3" t="inlineStr">
        <is>
          <t>ghg|enr|all</t>
        </is>
      </c>
      <c r="J1152" s="3" t="inlineStr">
        <is>
          <t>ghg.enr.tot</t>
        </is>
      </c>
    </row>
    <row r="1153">
      <c r="A1153" s="3" t="str">
        <f>$B1153&amp;"|"&amp;$C1153</f>
        <v>agr|n2o</v>
      </c>
      <c r="B1153" s="3" t="inlineStr">
        <is>
          <t>agr</t>
        </is>
      </c>
      <c r="C1153" s="3" t="inlineStr">
        <is>
          <t>n2o</t>
        </is>
      </c>
      <c r="D1153" s="3" t="str">
        <f>IF($B1153="",""," | "&amp;$E1153&amp;" | "&amp;$F1153)</f>
        <v> | Agriculture | N2O</v>
      </c>
      <c r="E1153" s="3" t="str">
        <f>IFERROR(INDEX(SecLab,MATCH($B1153,SecKey,0)),"")</f>
        <v>Agriculture</v>
      </c>
      <c r="F1153" s="3" t="str">
        <f>IFERROR(INDEX(FuelLab,MATCH($C1153,FuelKeyL,0)),"")</f>
        <v>N2O</v>
      </c>
      <c r="G1153" s="3" t="inlineStr">
        <is>
          <t>.agr.n2o</t>
        </is>
      </c>
      <c r="I1153" s="3" t="inlineStr">
        <is>
          <t>ghg|ipr|all</t>
        </is>
      </c>
      <c r="J1153" s="3" t="inlineStr">
        <is>
          <t>ghg.ipr.tot</t>
        </is>
      </c>
    </row>
    <row r="1154">
      <c r="A1154" s="3" t="str">
        <f>$B1154&amp;"|"&amp;$C1154</f>
        <v>agr|fga</v>
      </c>
      <c r="B1154" s="3" t="inlineStr">
        <is>
          <t>agr</t>
        </is>
      </c>
      <c r="C1154" s="3" t="inlineStr">
        <is>
          <t>fga</t>
        </is>
      </c>
      <c r="D1154" s="3" t="str">
        <f>IF($B1154="",""," | "&amp;$E1154&amp;" | "&amp;$F1154)</f>
        <v> | Agriculture | F-gases</v>
      </c>
      <c r="E1154" s="3" t="str">
        <f>IFERROR(INDEX(SecLab,MATCH($B1154,SecKey,0)),"")</f>
        <v>Agriculture</v>
      </c>
      <c r="F1154" s="3" t="str">
        <f>IFERROR(INDEX(FuelLab,MATCH($C1154,FuelKeyL,0)),"")</f>
        <v>F-gases</v>
      </c>
      <c r="G1154" s="3" t="inlineStr">
        <is>
          <t>.agr.fga</t>
        </is>
      </c>
      <c r="I1154" s="3" t="inlineStr">
        <is>
          <t>ghg|agr|all</t>
        </is>
      </c>
      <c r="J1154" s="3" t="inlineStr">
        <is>
          <t>ghg.agr.tot</t>
        </is>
      </c>
    </row>
    <row r="1155">
      <c r="A1155" s="3" t="str">
        <f>$B1155&amp;"|"&amp;$C1155</f>
        <v>lucf|co2</v>
      </c>
      <c r="B1155" s="3" t="inlineStr">
        <is>
          <t>lucf</t>
        </is>
      </c>
      <c r="C1155" s="3" t="inlineStr">
        <is>
          <t>co2</t>
        </is>
      </c>
      <c r="D1155" s="3" t="str">
        <f>IF($B1155="",""," | "&amp;$E1155&amp;" | "&amp;$F1155)</f>
        <v> | LULUCF | CO2</v>
      </c>
      <c r="E1155" s="3" t="str">
        <f>IFERROR(INDEX(SecLab,MATCH($B1155,SecKey,0)),"")</f>
        <v>LULUCF</v>
      </c>
      <c r="F1155" s="3" t="str">
        <f>IFERROR(INDEX(FuelLab,MATCH($C1155,FuelKeyL,0)),"")</f>
        <v>CO2</v>
      </c>
      <c r="G1155" s="3" t="inlineStr">
        <is>
          <t>.lucf.co2</t>
        </is>
      </c>
      <c r="I1155" s="3" t="inlineStr">
        <is>
          <t>ghg|lucf|all</t>
        </is>
      </c>
      <c r="J1155" s="3" t="inlineStr">
        <is>
          <t>ghg.lucf.tot</t>
        </is>
      </c>
    </row>
    <row r="1156">
      <c r="A1156" s="3" t="str">
        <f>$B1156&amp;"|"&amp;$C1156</f>
        <v>lucf|ch4</v>
      </c>
      <c r="B1156" s="3" t="inlineStr">
        <is>
          <t>lucf</t>
        </is>
      </c>
      <c r="C1156" s="3" t="inlineStr">
        <is>
          <t>ch4</t>
        </is>
      </c>
      <c r="D1156" s="3" t="str">
        <f>IF($B1156="",""," | "&amp;$E1156&amp;" | "&amp;$F1156)</f>
        <v> | LULUCF | CH4</v>
      </c>
      <c r="E1156" s="3" t="str">
        <f>IFERROR(INDEX(SecLab,MATCH($B1156,SecKey,0)),"")</f>
        <v>LULUCF</v>
      </c>
      <c r="F1156" s="3" t="str">
        <f>IFERROR(INDEX(FuelLab,MATCH($C1156,FuelKeyL,0)),"")</f>
        <v>CH4</v>
      </c>
      <c r="G1156" s="3" t="inlineStr">
        <is>
          <t>.lucf.ch4</t>
        </is>
      </c>
      <c r="I1156" s="3" t="inlineStr">
        <is>
          <t>ghg|wst|all</t>
        </is>
      </c>
      <c r="J1156" s="3" t="inlineStr">
        <is>
          <t>ghg.wst.tot</t>
        </is>
      </c>
    </row>
    <row r="1157">
      <c r="A1157" s="3" t="str">
        <f>$B1157&amp;"|"&amp;$C1157</f>
        <v>lucf|n2o</v>
      </c>
      <c r="B1157" s="3" t="inlineStr">
        <is>
          <t>lucf</t>
        </is>
      </c>
      <c r="C1157" s="3" t="inlineStr">
        <is>
          <t>n2o</t>
        </is>
      </c>
      <c r="D1157" s="3" t="str">
        <f>IF($B1157="",""," | "&amp;$E1157&amp;" | "&amp;$F1157)</f>
        <v> | LULUCF | N2O</v>
      </c>
      <c r="E1157" s="3" t="str">
        <f>IFERROR(INDEX(SecLab,MATCH($B1157,SecKey,0)),"")</f>
        <v>LULUCF</v>
      </c>
      <c r="F1157" s="3" t="str">
        <f>IFERROR(INDEX(FuelLab,MATCH($C1157,FuelKeyL,0)),"")</f>
        <v>N2O</v>
      </c>
      <c r="G1157" s="3" t="inlineStr">
        <is>
          <t>.lucf.n2o</t>
        </is>
      </c>
      <c r="I1157" s="3" t="inlineStr">
        <is>
          <t>ghg|oth|all</t>
        </is>
      </c>
      <c r="J1157" s="3" t="inlineStr">
        <is>
          <t>ghg.oth.tot</t>
        </is>
      </c>
    </row>
    <row r="1158">
      <c r="A1158" s="3" t="str">
        <f>$B1158&amp;"|"&amp;$C1158</f>
        <v>lucf|fga</v>
      </c>
      <c r="B1158" s="3" t="inlineStr">
        <is>
          <t>lucf</t>
        </is>
      </c>
      <c r="C1158" s="3" t="inlineStr">
        <is>
          <t>fga</t>
        </is>
      </c>
      <c r="D1158" s="3" t="str">
        <f>IF($B1158="",""," | "&amp;$E1158&amp;" | "&amp;$F1158)</f>
        <v> | LULUCF | F-gases</v>
      </c>
      <c r="E1158" s="3" t="str">
        <f>IFERROR(INDEX(SecLab,MATCH($B1158,SecKey,0)),"")</f>
        <v>LULUCF</v>
      </c>
      <c r="F1158" s="3" t="str">
        <f>IFERROR(INDEX(FuelLab,MATCH($C1158,FuelKeyL,0)),"")</f>
        <v>F-gases</v>
      </c>
      <c r="G1158" s="3" t="inlineStr">
        <is>
          <t>.lucf.fga</t>
        </is>
      </c>
      <c r="I1158" s="3" t="inlineStr">
        <is>
          <t>ghg|all|all</t>
        </is>
      </c>
      <c r="J1158" s="3" t="inlineStr">
        <is>
          <t>ghg.tot.tot</t>
        </is>
      </c>
    </row>
    <row r="1159">
      <c r="A1159" s="3" t="str">
        <f>$B1159&amp;"|"&amp;$C1159</f>
        <v>wst|co2</v>
      </c>
      <c r="B1159" s="3" t="inlineStr">
        <is>
          <t>wst</t>
        </is>
      </c>
      <c r="C1159" s="3" t="inlineStr">
        <is>
          <t>co2</t>
        </is>
      </c>
      <c r="D1159" s="3" t="str">
        <f>IF($B1159="",""," | "&amp;$E1159&amp;" | "&amp;$F1159)</f>
        <v> | Waste | CO2</v>
      </c>
      <c r="E1159" s="3" t="str">
        <f>IFERROR(INDEX(SecLab,MATCH($B1159,SecKey,0)),"")</f>
        <v>Waste</v>
      </c>
      <c r="F1159" s="3" t="str">
        <f>IFERROR(INDEX(FuelLab,MATCH($C1159,FuelKeyL,0)),"")</f>
        <v>CO2</v>
      </c>
      <c r="G1159" s="3" t="inlineStr">
        <is>
          <t>.wst.co2</t>
        </is>
      </c>
      <c r="I1159" s="3" t="inlineStr">
        <is>
          <t>gdpg|all|all</t>
        </is>
      </c>
      <c r="J1159" s="3" t="inlineStr">
        <is>
          <t>gdp.pct.tot</t>
        </is>
      </c>
    </row>
    <row r="1160">
      <c r="A1160" s="3" t="str">
        <f>$B1160&amp;"|"&amp;$C1160</f>
        <v>wst|ch4</v>
      </c>
      <c r="B1160" s="3" t="inlineStr">
        <is>
          <t>wst</t>
        </is>
      </c>
      <c r="C1160" s="3" t="inlineStr">
        <is>
          <t>ch4</t>
        </is>
      </c>
      <c r="D1160" s="3" t="str">
        <f>IF($B1160="",""," | "&amp;$E1160&amp;" | "&amp;$F1160)</f>
        <v> | Waste | CH4</v>
      </c>
      <c r="E1160" s="3" t="str">
        <f>IFERROR(INDEX(SecLab,MATCH($B1160,SecKey,0)),"")</f>
        <v>Waste</v>
      </c>
      <c r="F1160" s="3" t="str">
        <f>IFERROR(INDEX(FuelLab,MATCH($C1160,FuelKeyL,0)),"")</f>
        <v>CH4</v>
      </c>
      <c r="G1160" s="3" t="inlineStr">
        <is>
          <t>.wst.ch4</t>
        </is>
      </c>
      <c r="I1160" s="3" t="inlineStr">
        <is>
          <t>xnim|all|all</t>
        </is>
      </c>
      <c r="J1160" s="3" t="inlineStr">
        <is>
          <t>xnim.tot.tot</t>
        </is>
      </c>
    </row>
    <row r="1161">
      <c r="A1161" s="3" t="str">
        <f>$B1161&amp;"|"&amp;$C1161</f>
        <v>wst|n2o</v>
      </c>
      <c r="B1161" s="3" t="inlineStr">
        <is>
          <t>wst</t>
        </is>
      </c>
      <c r="C1161" s="3" t="inlineStr">
        <is>
          <t>n2o</t>
        </is>
      </c>
      <c r="D1161" s="3" t="str">
        <f>IF($B1161="",""," | "&amp;$E1161&amp;" | "&amp;$F1161)</f>
        <v> | Waste | N2O</v>
      </c>
      <c r="E1161" s="3" t="str">
        <f>IFERROR(INDEX(SecLab,MATCH($B1161,SecKey,0)),"")</f>
        <v>Waste</v>
      </c>
      <c r="F1161" s="3" t="str">
        <f>IFERROR(INDEX(FuelLab,MATCH($C1161,FuelKeyL,0)),"")</f>
        <v>N2O</v>
      </c>
      <c r="G1161" s="3" t="inlineStr">
        <is>
          <t>.wst.n2o</t>
        </is>
      </c>
      <c r="I1161" s="3" t="inlineStr">
        <is>
          <t>xtb|all|all</t>
        </is>
      </c>
      <c r="J1161" s="3" t="inlineStr">
        <is>
          <t>xtb.tot.tot</t>
        </is>
      </c>
    </row>
    <row r="1162">
      <c r="A1162" s="3" t="str">
        <f>$B1162&amp;"|"&amp;$C1162</f>
        <v>wst|fga</v>
      </c>
      <c r="B1162" s="3" t="inlineStr">
        <is>
          <t>wst</t>
        </is>
      </c>
      <c r="C1162" s="3" t="inlineStr">
        <is>
          <t>fga</t>
        </is>
      </c>
      <c r="D1162" s="3" t="str">
        <f>IF($B1162="",""," | "&amp;$E1162&amp;" | "&amp;$F1162)</f>
        <v> | Waste | F-gases</v>
      </c>
      <c r="E1162" s="3" t="str">
        <f>IFERROR(INDEX(SecLab,MATCH($B1162,SecKey,0)),"")</f>
        <v>Waste</v>
      </c>
      <c r="F1162" s="3" t="str">
        <f>IFERROR(INDEX(FuelLab,MATCH($C1162,FuelKeyL,0)),"")</f>
        <v>F-gases</v>
      </c>
      <c r="G1162" s="3" t="inlineStr">
        <is>
          <t>.wst.fga</t>
        </is>
      </c>
      <c r="I1162" s="3" t="inlineStr">
        <is>
          <t>gdp.eff|all|all</t>
        </is>
      </c>
      <c r="J1162" s="3" t="inlineStr">
        <is>
          <t>gdp.eff.tot.tot</t>
        </is>
      </c>
    </row>
    <row r="1163">
      <c r="A1163" s="3" t="str">
        <f>$B1163&amp;"|"&amp;$C1163</f>
        <v>oth|co2</v>
      </c>
      <c r="B1163" s="3" t="inlineStr">
        <is>
          <t>oth</t>
        </is>
      </c>
      <c r="C1163" s="3" t="inlineStr">
        <is>
          <t>co2</t>
        </is>
      </c>
      <c r="D1163" s="3" t="str">
        <f>IF($B1163="",""," | "&amp;$E1163&amp;" | "&amp;$F1163)</f>
        <v> | Other | CO2</v>
      </c>
      <c r="E1163" s="3" t="str">
        <f>IFERROR(INDEX(SecLab,MATCH($B1163,SecKey,0)),"")</f>
        <v>Other</v>
      </c>
      <c r="F1163" s="3" t="str">
        <f>IFERROR(INDEX(FuelLab,MATCH($C1163,FuelKeyL,0)),"")</f>
        <v>CO2</v>
      </c>
      <c r="G1163" s="3" t="inlineStr">
        <is>
          <t>.oth.co2</t>
        </is>
      </c>
      <c r="I1163" s="3" t="inlineStr">
        <is>
          <t>eff|all|all</t>
        </is>
      </c>
      <c r="J1163" s="3" t="inlineStr">
        <is>
          <t>eff.tot.tot</t>
        </is>
      </c>
    </row>
    <row r="1164">
      <c r="A1164" s="3" t="str">
        <f>$B1164&amp;"|"&amp;$C1164</f>
        <v>oth|ch4</v>
      </c>
      <c r="B1164" s="3" t="inlineStr">
        <is>
          <t>oth</t>
        </is>
      </c>
      <c r="C1164" s="3" t="inlineStr">
        <is>
          <t>ch4</t>
        </is>
      </c>
      <c r="D1164" s="3" t="str">
        <f>IF($B1164="",""," | "&amp;$E1164&amp;" | "&amp;$F1164)</f>
        <v> | Other | CH4</v>
      </c>
      <c r="E1164" s="3" t="str">
        <f>IFERROR(INDEX(SecLab,MATCH($B1164,SecKey,0)),"")</f>
        <v>Other</v>
      </c>
      <c r="F1164" s="3" t="str">
        <f>IFERROR(INDEX(FuelLab,MATCH($C1164,FuelKeyL,0)),"")</f>
        <v>CH4</v>
      </c>
      <c r="G1164" s="3" t="inlineStr">
        <is>
          <t>.oth.ch4</t>
        </is>
      </c>
      <c r="I1164" s="3" t="inlineStr">
        <is>
          <t>mfc|all|all</t>
        </is>
      </c>
      <c r="J1164" s="3" t="inlineStr">
        <is>
          <t>mfc.tot.tot</t>
        </is>
      </c>
    </row>
    <row r="1165">
      <c r="A1165" s="3" t="str">
        <f>$B1165&amp;"|"&amp;$C1165</f>
        <v>oth|n2o</v>
      </c>
      <c r="B1165" s="3" t="inlineStr">
        <is>
          <t>oth</t>
        </is>
      </c>
      <c r="C1165" s="3" t="inlineStr">
        <is>
          <t>n2o</t>
        </is>
      </c>
      <c r="D1165" s="3" t="str">
        <f>IF($B1165="",""," | "&amp;$E1165&amp;" | "&amp;$F1165)</f>
        <v> | Other | N2O</v>
      </c>
      <c r="E1165" s="3" t="str">
        <f>IFERROR(INDEX(SecLab,MATCH($B1165,SecKey,0)),"")</f>
        <v>Other</v>
      </c>
      <c r="F1165" s="3" t="str">
        <f>IFERROR(INDEX(FuelLab,MATCH($C1165,FuelKeyL,0)),"")</f>
        <v>N2O</v>
      </c>
      <c r="G1165" s="3" t="inlineStr">
        <is>
          <t>.oth.n2o</t>
        </is>
      </c>
      <c r="I1165" s="3" t="inlineStr">
        <is>
          <t>wel|all|pct</t>
        </is>
      </c>
      <c r="J1165" s="3" t="inlineStr">
        <is>
          <t>wel.pct.tot</t>
        </is>
      </c>
    </row>
    <row r="1166">
      <c r="A1166" s="3" t="str">
        <f>$B1166&amp;"|"&amp;$C1166</f>
        <v>oth|fga</v>
      </c>
      <c r="B1166" s="3" t="inlineStr">
        <is>
          <t>oth</t>
        </is>
      </c>
      <c r="C1166" s="3" t="inlineStr">
        <is>
          <t>fga</t>
        </is>
      </c>
      <c r="D1166" s="3" t="str">
        <f>IF($B1166="",""," | "&amp;$E1166&amp;" | "&amp;$F1166)</f>
        <v> | Other | F-gases</v>
      </c>
      <c r="E1166" s="3" t="str">
        <f>IFERROR(INDEX(SecLab,MATCH($B1166,SecKey,0)),"")</f>
        <v>Other</v>
      </c>
      <c r="F1166" s="3" t="str">
        <f>IFERROR(INDEX(FuelLab,MATCH($C1166,FuelKeyL,0)),"")</f>
        <v>F-gases</v>
      </c>
      <c r="G1166" s="3" t="inlineStr">
        <is>
          <t>.oth.fga</t>
        </is>
      </c>
      <c r="I1166" s="3" t="inlineStr">
        <is>
          <t>wel|all|cli</t>
        </is>
      </c>
      <c r="J1166" s="3" t="inlineStr">
        <is>
          <t>wel.cli.pct</t>
        </is>
      </c>
    </row>
    <row r="1167">
      <c r="A1167" s="3" t="str">
        <f>$B1167&amp;"|"&amp;$C1167</f>
        <v>all|ch4</v>
      </c>
      <c r="B1167" s="3" t="inlineStr">
        <is>
          <t>all</t>
        </is>
      </c>
      <c r="C1167" s="3" t="inlineStr">
        <is>
          <t>ch4</t>
        </is>
      </c>
      <c r="D1167" s="3" t="str">
        <f>IF($B1167="",""," | "&amp;$E1167&amp;" | "&amp;$F1167)</f>
        <v> | All sectors | CH4</v>
      </c>
      <c r="E1167" s="3" t="str">
        <f>IFERROR(INDEX(SecLab,MATCH($B1167,SecKey,0)),"")</f>
        <v>All sectors</v>
      </c>
      <c r="F1167" s="3" t="str">
        <f>IFERROR(INDEX(FuelLab,MATCH($C1167,FuelKeyL,0)),"")</f>
        <v>CH4</v>
      </c>
      <c r="G1167" s="3" t="inlineStr">
        <is>
          <t>.all.ch4</t>
        </is>
      </c>
      <c r="I1167" s="3" t="inlineStr">
        <is>
          <t>wel|all|eff</t>
        </is>
      </c>
      <c r="J1167" s="3" t="inlineStr">
        <is>
          <t>wel.eco.dwl.pct</t>
        </is>
      </c>
    </row>
    <row r="1168">
      <c r="A1168" s="3" t="str">
        <f>$B1168&amp;"|"&amp;$C1168</f>
        <v>all|n2o</v>
      </c>
      <c r="B1168" s="3" t="inlineStr">
        <is>
          <t>all</t>
        </is>
      </c>
      <c r="C1168" s="3" t="inlineStr">
        <is>
          <t>n2o</t>
        </is>
      </c>
      <c r="D1168" s="3" t="str">
        <f>IF($B1168="",""," | "&amp;$E1168&amp;" | "&amp;$F1168)</f>
        <v> | All sectors | N2O</v>
      </c>
      <c r="E1168" s="3" t="str">
        <f>IFERROR(INDEX(SecLab,MATCH($B1168,SecKey,0)),"")</f>
        <v>All sectors</v>
      </c>
      <c r="F1168" s="3" t="str">
        <f>IFERROR(INDEX(FuelLab,MATCH($C1168,FuelKeyL,0)),"")</f>
        <v>N2O</v>
      </c>
      <c r="G1168" s="3" t="inlineStr">
        <is>
          <t>.all.n2o</t>
        </is>
      </c>
      <c r="I1168" s="3" t="inlineStr">
        <is>
          <t>wel|all|usd</t>
        </is>
      </c>
      <c r="J1168" s="3" t="inlineStr">
        <is>
          <t>wel.tot</t>
        </is>
      </c>
    </row>
    <row r="1169">
      <c r="A1169" s="3" t="str">
        <f>$B1169&amp;"|"&amp;$C1169</f>
        <v>all|fga</v>
      </c>
      <c r="B1169" s="3" t="inlineStr">
        <is>
          <t>all</t>
        </is>
      </c>
      <c r="C1169" s="3" t="inlineStr">
        <is>
          <t>fga</t>
        </is>
      </c>
      <c r="D1169" s="3" t="str">
        <f>IF($B1169="",""," | "&amp;$E1169&amp;" | "&amp;$F1169)</f>
        <v> | All sectors | F-gases</v>
      </c>
      <c r="E1169" s="3" t="str">
        <f>IFERROR(INDEX(SecLab,MATCH($B1169,SecKey,0)),"")</f>
        <v>All sectors</v>
      </c>
      <c r="F1169" s="3" t="str">
        <f>IFERROR(INDEX(FuelLab,MATCH($C1169,FuelKeyL,0)),"")</f>
        <v>F-gases</v>
      </c>
      <c r="G1169" s="3" t="inlineStr">
        <is>
          <t>.all.fga</t>
        </is>
      </c>
      <c r="I1169" s="3" t="inlineStr">
        <is>
          <t>ap|rod|pm2</t>
        </is>
      </c>
      <c r="J1169" s="3" t="inlineStr">
        <is>
          <t>em.rod.all.pm2</t>
        </is>
      </c>
    </row>
    <row r="1170">
      <c r="A1170" s="3" t="str">
        <f>$B1170&amp;"|"&amp;$C1170</f>
        <v>enr|all</v>
      </c>
      <c r="B1170" s="3" t="inlineStr">
        <is>
          <t>enr</t>
        </is>
      </c>
      <c r="C1170" s="3" t="inlineStr">
        <is>
          <t>all</t>
        </is>
      </c>
      <c r="D1170" s="3" t="str">
        <f>IF($B1170="",""," | "&amp;$E1170&amp;" | "&amp;$F1170)</f>
        <v> | Energy | All fuels</v>
      </c>
      <c r="E1170" s="3" t="str">
        <f>IFERROR(INDEX(SecLab,MATCH($B1170,SecKey,0)),"")</f>
        <v>Energy</v>
      </c>
      <c r="F1170" s="3" t="str">
        <f>IFERROR(INDEX(FuelLab,MATCH($C1170,FuelKeyL,0)),"")</f>
        <v>All fuels</v>
      </c>
      <c r="G1170" s="3" t="inlineStr">
        <is>
          <t>.enr.all</t>
        </is>
      </c>
      <c r="I1170" s="3" t="inlineStr">
        <is>
          <t>ap|ral|pm2</t>
        </is>
      </c>
      <c r="J1170" s="3" t="inlineStr">
        <is>
          <t>em.ral.all.pm2</t>
        </is>
      </c>
    </row>
    <row r="1171">
      <c r="A1171" s="3" t="str">
        <f>$B1171&amp;"|"&amp;$C1171</f>
        <v>ipr|all</v>
      </c>
      <c r="B1171" s="3" t="inlineStr">
        <is>
          <t>ipr</t>
        </is>
      </c>
      <c r="C1171" s="3" t="inlineStr">
        <is>
          <t>all</t>
        </is>
      </c>
      <c r="D1171" s="3" t="str">
        <f>IF($B1171="",""," | "&amp;$E1171&amp;" | "&amp;$F1171)</f>
        <v> | Industrial processes | All fuels</v>
      </c>
      <c r="E1171" s="3" t="str">
        <f>IFERROR(INDEX(SecLab,MATCH($B1171,SecKey,0)),"")</f>
        <v>Industrial processes</v>
      </c>
      <c r="F1171" s="3" t="str">
        <f>IFERROR(INDEX(FuelLab,MATCH($C1171,FuelKeyL,0)),"")</f>
        <v>All fuels</v>
      </c>
      <c r="G1171" s="3" t="inlineStr">
        <is>
          <t>.ipr.all</t>
        </is>
      </c>
      <c r="I1171" s="3" t="inlineStr">
        <is>
          <t>ap|avi|pm2</t>
        </is>
      </c>
      <c r="J1171" s="3" t="inlineStr">
        <is>
          <t>em.avi.all.pm2</t>
        </is>
      </c>
    </row>
    <row r="1172">
      <c r="A1172" s="3" t="str">
        <f>$B1172&amp;"|"&amp;$C1172</f>
        <v>lucf|all</v>
      </c>
      <c r="B1172" s="3" t="inlineStr">
        <is>
          <t>lucf</t>
        </is>
      </c>
      <c r="C1172" s="3" t="inlineStr">
        <is>
          <t>all</t>
        </is>
      </c>
      <c r="D1172" s="3" t="str">
        <f>IF($B1172="",""," | "&amp;$E1172&amp;" | "&amp;$F1172)</f>
        <v> | LULUCF | All fuels</v>
      </c>
      <c r="E1172" s="3" t="str">
        <f>IFERROR(INDEX(SecLab,MATCH($B1172,SecKey,0)),"")</f>
        <v>LULUCF</v>
      </c>
      <c r="F1172" s="3" t="str">
        <f>IFERROR(INDEX(FuelLab,MATCH($C1172,FuelKeyL,0)),"")</f>
        <v>All fuels</v>
      </c>
      <c r="G1172" s="3" t="inlineStr">
        <is>
          <t>.lucf.all</t>
        </is>
      </c>
      <c r="I1172" s="3" t="inlineStr">
        <is>
          <t>ap|nav|pm2</t>
        </is>
      </c>
      <c r="J1172" s="3" t="inlineStr">
        <is>
          <t>em.nav.all.pm2</t>
        </is>
      </c>
    </row>
    <row r="1173">
      <c r="A1173" s="3" t="str">
        <f>$B1173&amp;"|"&amp;$C1173</f>
        <v>all|ty1</v>
      </c>
      <c r="B1173" s="3" t="inlineStr">
        <is>
          <t>all</t>
        </is>
      </c>
      <c r="C1173" s="3" t="inlineStr">
        <is>
          <t>ty1</t>
        </is>
      </c>
      <c r="D1173" s="3" t="str">
        <f>IF($B1173="",""," | "&amp;$E1173&amp;" | "&amp;$F1173)</f>
        <v> | All sectors | </v>
      </c>
      <c r="E1173" s="3" t="str">
        <f>IFERROR(INDEX(SecLab,MATCH($B1173,SecKey,0)),"")</f>
        <v>All sectors</v>
      </c>
      <c r="F1173" s="3" t="str">
        <f>IFERROR(INDEX(FuelLab,MATCH($C1173,FuelKeyL,0)),"")</f>
        <v/>
      </c>
      <c r="G1173" s="3" t="inlineStr">
        <is>
          <t>.all.ty1</t>
        </is>
      </c>
      <c r="I1173" s="3" t="inlineStr">
        <is>
          <t>ap|res|pm2</t>
        </is>
      </c>
      <c r="J1173" s="3" t="inlineStr">
        <is>
          <t>em.res.all.pm2</t>
        </is>
      </c>
    </row>
    <row r="1174">
      <c r="A1174" s="3" t="str">
        <f>$B1174&amp;"|"&amp;$C1174</f>
        <v>all|ty2</v>
      </c>
      <c r="B1174" s="3" t="inlineStr">
        <is>
          <t>all</t>
        </is>
      </c>
      <c r="C1174" s="3" t="inlineStr">
        <is>
          <t>ty2</t>
        </is>
      </c>
      <c r="D1174" s="3" t="str">
        <f>IF($B1174="",""," | "&amp;$E1174&amp;" | "&amp;$F1174)</f>
        <v> | All sectors | </v>
      </c>
      <c r="E1174" s="3" t="str">
        <f>IFERROR(INDEX(SecLab,MATCH($B1174,SecKey,0)),"")</f>
        <v>All sectors</v>
      </c>
      <c r="F1174" s="3" t="str">
        <f>IFERROR(INDEX(FuelLab,MATCH($C1174,FuelKeyL,0)),"")</f>
        <v/>
      </c>
      <c r="G1174" s="3" t="inlineStr">
        <is>
          <t>.all.ty2</t>
        </is>
      </c>
      <c r="I1174" s="3" t="inlineStr">
        <is>
          <t>ap|foo|pm2</t>
        </is>
      </c>
      <c r="J1174" s="3" t="inlineStr">
        <is>
          <t>em.foo.all.pm2</t>
        </is>
      </c>
    </row>
    <row r="1175">
      <c r="A1175" s="3" t="str">
        <f>$B1175&amp;"|"&amp;$C1175</f>
        <v>all|u</v>
      </c>
      <c r="B1175" s="3" t="inlineStr">
        <is>
          <t>all</t>
        </is>
      </c>
      <c r="C1175" s="3" t="inlineStr">
        <is>
          <t>u</t>
        </is>
      </c>
      <c r="D1175" s="3" t="str">
        <f>IF($B1175="",""," | "&amp;$E1175&amp;" | "&amp;$F1175)</f>
        <v> | All sectors | </v>
      </c>
      <c r="E1175" s="3" t="str">
        <f>IFERROR(INDEX(SecLab,MATCH($B1175,SecKey,0)),"")</f>
        <v>All sectors</v>
      </c>
      <c r="F1175" s="3" t="str">
        <f>IFERROR(INDEX(FuelLab,MATCH($C1175,FuelKeyL,0)),"")</f>
        <v/>
      </c>
      <c r="G1175" s="3" t="inlineStr">
        <is>
          <t>.all.u</t>
        </is>
      </c>
      <c r="I1175" s="3" t="inlineStr">
        <is>
          <t>ap|srv|pm2</t>
        </is>
      </c>
      <c r="J1175" s="3" t="inlineStr">
        <is>
          <t>em.srv.all.pm2</t>
        </is>
      </c>
    </row>
    <row r="1176">
      <c r="A1176" s="3" t="str">
        <f>$B1176&amp;"|"&amp;$C1176</f>
        <v>all|c</v>
      </c>
      <c r="B1176" s="3" t="inlineStr">
        <is>
          <t>all</t>
        </is>
      </c>
      <c r="C1176" s="3" t="inlineStr">
        <is>
          <t>c</t>
        </is>
      </c>
      <c r="D1176" s="3" t="str">
        <f>IF($B1176="",""," | "&amp;$E1176&amp;" | "&amp;$F1176)</f>
        <v> | All sectors | </v>
      </c>
      <c r="E1176" s="3" t="str">
        <f>IFERROR(INDEX(SecLab,MATCH($B1176,SecKey,0)),"")</f>
        <v>All sectors</v>
      </c>
      <c r="F1176" s="3" t="str">
        <f>IFERROR(INDEX(FuelLab,MATCH($C1176,FuelKeyL,0)),"")</f>
        <v/>
      </c>
      <c r="G1176" s="3" t="inlineStr">
        <is>
          <t>.all.c</t>
        </is>
      </c>
      <c r="I1176" s="3" t="inlineStr">
        <is>
          <t>ap|mch|pm2</t>
        </is>
      </c>
      <c r="J1176" s="3" t="inlineStr">
        <is>
          <t>em.mch.all.pm2</t>
        </is>
      </c>
    </row>
    <row r="1177">
      <c r="A1177" s="3" t="str">
        <f>$B1177&amp;"|"&amp;$C1177</f>
        <v>all|ref</v>
      </c>
      <c r="B1177" s="3" t="inlineStr">
        <is>
          <t>all</t>
        </is>
      </c>
      <c r="C1177" s="3" t="inlineStr">
        <is>
          <t>ref</t>
        </is>
      </c>
      <c r="D1177" s="3" t="str">
        <f>IF($B1177="",""," | "&amp;$E1177&amp;" | "&amp;$F1177)</f>
        <v> | All sectors | </v>
      </c>
      <c r="E1177" s="3" t="str">
        <f>IFERROR(INDEX(SecLab,MATCH($B1177,SecKey,0)),"")</f>
        <v>All sectors</v>
      </c>
      <c r="F1177" s="3" t="str">
        <f>IFERROR(INDEX(FuelLab,MATCH($C1177,FuelKeyL,0)),"")</f>
        <v/>
      </c>
      <c r="G1177" s="3" t="inlineStr">
        <is>
          <t>.all.ref</t>
        </is>
      </c>
      <c r="I1177" s="3" t="inlineStr">
        <is>
          <t>ap|irn|pm2</t>
        </is>
      </c>
      <c r="J1177" s="3" t="inlineStr">
        <is>
          <t>em.irn.all.pm2</t>
        </is>
      </c>
    </row>
    <row r="1178">
      <c r="A1178" s="3" t="str">
        <f>$B1178&amp;"|"&amp;$C1178</f>
        <v>all|ty</v>
      </c>
      <c r="B1178" s="3" t="inlineStr">
        <is>
          <t>all</t>
        </is>
      </c>
      <c r="C1178" s="3" t="inlineStr">
        <is>
          <t>ty</t>
        </is>
      </c>
      <c r="D1178" s="3" t="str">
        <f>IF($B1178="",""," | "&amp;$E1178&amp;" | "&amp;$F1178)</f>
        <v> | All sectors | </v>
      </c>
      <c r="E1178" s="3" t="str">
        <f>IFERROR(INDEX(SecLab,MATCH($B1178,SecKey,0)),"")</f>
        <v>All sectors</v>
      </c>
      <c r="F1178" s="3" t="str">
        <f>IFERROR(INDEX(FuelLab,MATCH($C1178,FuelKeyL,0)),"")</f>
        <v/>
      </c>
      <c r="G1178" s="3" t="inlineStr">
        <is>
          <t>.all.ty</t>
        </is>
      </c>
      <c r="I1178" s="3" t="inlineStr">
        <is>
          <t>ap|nfm|pm2</t>
        </is>
      </c>
      <c r="J1178" s="3" t="inlineStr">
        <is>
          <t>em.nfm.all.pm2</t>
        </is>
      </c>
    </row>
    <row r="1179">
      <c r="A1179" s="3" t="str">
        <f>$B1179&amp;"|"&amp;$C1179</f>
        <v>all|a</v>
      </c>
      <c r="B1179" s="3" t="inlineStr">
        <is>
          <t>all</t>
        </is>
      </c>
      <c r="C1179" s="3" t="inlineStr">
        <is>
          <t>a</t>
        </is>
      </c>
      <c r="D1179" s="3" t="str">
        <f>IF($B1179="",""," | "&amp;$E1179&amp;" | "&amp;$F1179)</f>
        <v> | All sectors | </v>
      </c>
      <c r="E1179" s="3" t="str">
        <f>IFERROR(INDEX(SecLab,MATCH($B1179,SecKey,0)),"")</f>
        <v>All sectors</v>
      </c>
      <c r="F1179" s="3" t="str">
        <f>IFERROR(INDEX(FuelLab,MATCH($C1179,FuelKeyL,0)),"")</f>
        <v/>
      </c>
      <c r="G1179" s="3" t="inlineStr">
        <is>
          <t>.all.a</t>
        </is>
      </c>
      <c r="I1179" s="3" t="inlineStr">
        <is>
          <t>ap|mac|pm2</t>
        </is>
      </c>
      <c r="J1179" s="3" t="inlineStr">
        <is>
          <t>em.mac.all.pm2</t>
        </is>
      </c>
    </row>
    <row r="1180">
      <c r="A1180" s="3" t="str">
        <f>$B1180&amp;"|"&amp;$C1180</f>
        <v>all|sel</v>
      </c>
      <c r="B1180" s="3" t="inlineStr">
        <is>
          <t>all</t>
        </is>
      </c>
      <c r="C1180" s="3" t="inlineStr">
        <is>
          <t>sel</t>
        </is>
      </c>
      <c r="D1180" s="3" t="str">
        <f>IF($B1180="",""," | "&amp;$E1180&amp;" | "&amp;$F1180)</f>
        <v> | All sectors | </v>
      </c>
      <c r="E1180" s="3" t="str">
        <f>IFERROR(INDEX(SecLab,MATCH($B1180,SecKey,0)),"")</f>
        <v>All sectors</v>
      </c>
      <c r="F1180" s="3" t="str">
        <f>IFERROR(INDEX(FuelLab,MATCH($C1180,FuelKeyL,0)),"")</f>
        <v/>
      </c>
      <c r="G1180" s="3" t="inlineStr">
        <is>
          <t>.all.sel</t>
        </is>
      </c>
      <c r="I1180" s="3" t="inlineStr">
        <is>
          <t>ap|cem|pm2</t>
        </is>
      </c>
      <c r="J1180" s="3" t="inlineStr">
        <is>
          <t>em.cem.all.pm2</t>
        </is>
      </c>
    </row>
    <row r="1181">
      <c r="A1181" s="3" t="str">
        <f>$B1181&amp;"|"&amp;$C1181</f>
        <v>all|l1</v>
      </c>
      <c r="B1181" s="3" t="inlineStr">
        <is>
          <t>all</t>
        </is>
      </c>
      <c r="C1181" s="3" t="inlineStr">
        <is>
          <t>l1</t>
        </is>
      </c>
      <c r="D1181" s="3" t="str">
        <f>IF($B1181="",""," | "&amp;$E1181&amp;" | "&amp;$F1181)</f>
        <v> | All sectors | 1 years back</v>
      </c>
      <c r="E1181" s="3" t="str">
        <f>IFERROR(INDEX(SecLab,MATCH($B1181,SecKey,0)),"")</f>
        <v>All sectors</v>
      </c>
      <c r="F1181" s="3" t="str">
        <f>IFERROR(INDEX(FuelLab,MATCH($C1181,FuelKeyL,0)),"")</f>
        <v>1 years back</v>
      </c>
      <c r="G1181" s="3" t="inlineStr">
        <is>
          <t>.all.l1</t>
        </is>
      </c>
      <c r="I1181" s="3" t="inlineStr">
        <is>
          <t>ap|omn|pm2</t>
        </is>
      </c>
      <c r="J1181" s="3" t="inlineStr">
        <is>
          <t>em.omn.all.pm2</t>
        </is>
      </c>
    </row>
    <row r="1182">
      <c r="A1182" s="3" t="str">
        <f>$B1182&amp;"|"&amp;$C1182</f>
        <v>all|l2</v>
      </c>
      <c r="B1182" s="3" t="inlineStr">
        <is>
          <t>all</t>
        </is>
      </c>
      <c r="C1182" s="3" t="inlineStr">
        <is>
          <t>l2</t>
        </is>
      </c>
      <c r="D1182" s="3" t="str">
        <f>IF($B1182="",""," | "&amp;$E1182&amp;" | "&amp;$F1182)</f>
        <v> | All sectors | 2 years back</v>
      </c>
      <c r="E1182" s="3" t="str">
        <f>IFERROR(INDEX(SecLab,MATCH($B1182,SecKey,0)),"")</f>
        <v>All sectors</v>
      </c>
      <c r="F1182" s="3" t="str">
        <f>IFERROR(INDEX(FuelLab,MATCH($C1182,FuelKeyL,0)),"")</f>
        <v>2 years back</v>
      </c>
      <c r="G1182" s="3" t="inlineStr">
        <is>
          <t>.all.l2</t>
        </is>
      </c>
      <c r="I1182" s="3" t="inlineStr">
        <is>
          <t>ap|cst|pm2</t>
        </is>
      </c>
      <c r="J1182" s="3" t="inlineStr">
        <is>
          <t>em.cst.all.pm2</t>
        </is>
      </c>
    </row>
    <row r="1183">
      <c r="A1183" s="3" t="str">
        <f>$B1183&amp;"|"&amp;$C1183</f>
        <v>all|l3</v>
      </c>
      <c r="B1183" s="3" t="inlineStr">
        <is>
          <t>all</t>
        </is>
      </c>
      <c r="C1183" s="3" t="inlineStr">
        <is>
          <t>l3</t>
        </is>
      </c>
      <c r="D1183" s="3" t="str">
        <f>IF($B1183="",""," | "&amp;$E1183&amp;" | "&amp;$F1183)</f>
        <v> | All sectors | 3 years back</v>
      </c>
      <c r="E1183" s="3" t="str">
        <f>IFERROR(INDEX(SecLab,MATCH($B1183,SecKey,0)),"")</f>
        <v>All sectors</v>
      </c>
      <c r="F1183" s="3" t="str">
        <f>IFERROR(INDEX(FuelLab,MATCH($C1183,FuelKeyL,0)),"")</f>
        <v>3 years back</v>
      </c>
      <c r="G1183" s="3" t="inlineStr">
        <is>
          <t>.all.l3</t>
        </is>
      </c>
      <c r="I1183" s="3" t="inlineStr">
        <is>
          <t>ap|ftr|pm2</t>
        </is>
      </c>
      <c r="J1183" s="3" t="inlineStr">
        <is>
          <t>em.ftr.all.pm2</t>
        </is>
      </c>
    </row>
    <row r="1184">
      <c r="A1184" s="3" t="str">
        <f>$B1184&amp;"|"&amp;$C1184</f>
        <v>all|l4</v>
      </c>
      <c r="B1184" s="3" t="inlineStr">
        <is>
          <t>all</t>
        </is>
      </c>
      <c r="C1184" s="3" t="inlineStr">
        <is>
          <t>l4</t>
        </is>
      </c>
      <c r="D1184" s="3" t="str">
        <f>IF($B1184="",""," | "&amp;$E1184&amp;" | "&amp;$F1184)</f>
        <v> | All sectors | 4 years back</v>
      </c>
      <c r="E1184" s="3" t="str">
        <f>IFERROR(INDEX(SecLab,MATCH($B1184,SecKey,0)),"")</f>
        <v>All sectors</v>
      </c>
      <c r="F1184" s="3" t="str">
        <f>IFERROR(INDEX(FuelLab,MATCH($C1184,FuelKeyL,0)),"")</f>
        <v>4 years back</v>
      </c>
      <c r="G1184" s="3" t="inlineStr">
        <is>
          <t>.all.l4</t>
        </is>
      </c>
      <c r="I1184" s="3" t="inlineStr">
        <is>
          <t>ap|oen|pm2</t>
        </is>
      </c>
      <c r="J1184" s="3" t="inlineStr">
        <is>
          <t>em.oen.all.pm2</t>
        </is>
      </c>
    </row>
    <row r="1185">
      <c r="A1185" s="3" t="str">
        <f>$B1185&amp;"|"&amp;$C1185</f>
        <v>all|l5</v>
      </c>
      <c r="B1185" s="3" t="inlineStr">
        <is>
          <t>all</t>
        </is>
      </c>
      <c r="C1185" s="3" t="inlineStr">
        <is>
          <t>l5</t>
        </is>
      </c>
      <c r="D1185" s="3" t="str">
        <f>IF($B1185="",""," | "&amp;$E1185&amp;" | "&amp;$F1185)</f>
        <v> | All sectors | 5 years back</v>
      </c>
      <c r="E1185" s="3" t="str">
        <f>IFERROR(INDEX(SecLab,MATCH($B1185,SecKey,0)),"")</f>
        <v>All sectors</v>
      </c>
      <c r="F1185" s="3" t="str">
        <f>IFERROR(INDEX(FuelLab,MATCH($C1185,FuelKeyL,0)),"")</f>
        <v>5 years back</v>
      </c>
      <c r="G1185" s="3" t="inlineStr">
        <is>
          <t>.all.l5</t>
        </is>
      </c>
      <c r="I1185" s="3" t="inlineStr">
        <is>
          <t>ap|pow|pm2</t>
        </is>
      </c>
      <c r="J1185" s="3" t="inlineStr">
        <is>
          <t>em.pow.all.pm2</t>
        </is>
      </c>
    </row>
    <row r="1186">
      <c r="A1186" s="3" t="str">
        <f>$B1186&amp;"|"&amp;$C1186</f>
        <v>all|l6</v>
      </c>
      <c r="B1186" s="3" t="inlineStr">
        <is>
          <t>all</t>
        </is>
      </c>
      <c r="C1186" s="3" t="inlineStr">
        <is>
          <t>l6</t>
        </is>
      </c>
      <c r="D1186" s="3" t="str">
        <f>IF($B1186="",""," | "&amp;$E1186&amp;" | "&amp;$F1186)</f>
        <v> | All sectors | 6 years back</v>
      </c>
      <c r="E1186" s="3" t="str">
        <f>IFERROR(INDEX(SecLab,MATCH($B1186,SecKey,0)),"")</f>
        <v>All sectors</v>
      </c>
      <c r="F1186" s="3" t="str">
        <f>IFERROR(INDEX(FuelLab,MATCH($C1186,FuelKeyL,0)),"")</f>
        <v>6 years back</v>
      </c>
      <c r="G1186" s="3" t="inlineStr">
        <is>
          <t>.all.l6</t>
        </is>
      </c>
      <c r="I1186" s="3" t="inlineStr">
        <is>
          <t>ap|tra|pm2</t>
        </is>
      </c>
      <c r="J1186" s="3" t="inlineStr">
        <is>
          <t>em.tra.all.pm2</t>
        </is>
      </c>
    </row>
    <row r="1187">
      <c r="A1187" s="3" t="str">
        <f>$B1187&amp;"|"&amp;$C1187</f>
        <v>all|l7</v>
      </c>
      <c r="B1187" s="3" t="inlineStr">
        <is>
          <t>all</t>
        </is>
      </c>
      <c r="C1187" s="3" t="inlineStr">
        <is>
          <t>l7</t>
        </is>
      </c>
      <c r="D1187" s="3" t="str">
        <f>IF($B1187="",""," | "&amp;$E1187&amp;" | "&amp;$F1187)</f>
        <v> | All sectors | 7 years back</v>
      </c>
      <c r="E1187" s="3" t="str">
        <f>IFERROR(INDEX(SecLab,MATCH($B1187,SecKey,0)),"")</f>
        <v>All sectors</v>
      </c>
      <c r="F1187" s="3" t="str">
        <f>IFERROR(INDEX(FuelLab,MATCH($C1187,FuelKeyL,0)),"")</f>
        <v>7 years back</v>
      </c>
      <c r="G1187" s="3" t="inlineStr">
        <is>
          <t>.all.l7</t>
        </is>
      </c>
      <c r="I1187" s="3" t="inlineStr">
        <is>
          <t>ap|bld|pm2</t>
        </is>
      </c>
      <c r="J1187" s="3" t="inlineStr">
        <is>
          <t>em.bld.all.pm2</t>
        </is>
      </c>
    </row>
    <row r="1188">
      <c r="A1188" s="3" t="str">
        <f>$B1188&amp;"|"&amp;$C1188</f>
        <v>all|l8</v>
      </c>
      <c r="B1188" s="3" t="inlineStr">
        <is>
          <t>all</t>
        </is>
      </c>
      <c r="C1188" s="3" t="inlineStr">
        <is>
          <t>l8</t>
        </is>
      </c>
      <c r="D1188" s="3" t="str">
        <f>IF($B1188="",""," | "&amp;$E1188&amp;" | "&amp;$F1188)</f>
        <v> | All sectors | 8 years back</v>
      </c>
      <c r="E1188" s="3" t="str">
        <f>IFERROR(INDEX(SecLab,MATCH($B1188,SecKey,0)),"")</f>
        <v>All sectors</v>
      </c>
      <c r="F1188" s="3" t="str">
        <f>IFERROR(INDEX(FuelLab,MATCH($C1188,FuelKeyL,0)),"")</f>
        <v>8 years back</v>
      </c>
      <c r="G1188" s="3" t="inlineStr">
        <is>
          <t>.all.l8</t>
        </is>
      </c>
      <c r="I1188" s="3" t="inlineStr">
        <is>
          <t>ap|ind|pm2</t>
        </is>
      </c>
      <c r="J1188" s="3" t="inlineStr">
        <is>
          <t>em.ind.all.pm2</t>
        </is>
      </c>
    </row>
    <row r="1189">
      <c r="A1189" s="3" t="str">
        <f>$B1189&amp;"|"&amp;$C1189</f>
        <v>all|l9</v>
      </c>
      <c r="B1189" s="3" t="inlineStr">
        <is>
          <t>all</t>
        </is>
      </c>
      <c r="C1189" s="3" t="inlineStr">
        <is>
          <t>l9</t>
        </is>
      </c>
      <c r="D1189" s="3" t="str">
        <f>IF($B1189="",""," | "&amp;$E1189&amp;" | "&amp;$F1189)</f>
        <v> | All sectors | 9 years back</v>
      </c>
      <c r="E1189" s="3" t="str">
        <f>IFERROR(INDEX(SecLab,MATCH($B1189,SecKey,0)),"")</f>
        <v>All sectors</v>
      </c>
      <c r="F1189" s="3" t="str">
        <f>IFERROR(INDEX(FuelLab,MATCH($C1189,FuelKeyL,0)),"")</f>
        <v>9 years back</v>
      </c>
      <c r="G1189" s="3" t="inlineStr">
        <is>
          <t>.all.l9</t>
        </is>
      </c>
      <c r="I1189" s="3" t="inlineStr">
        <is>
          <t>ap|fod|pm2</t>
        </is>
      </c>
      <c r="J1189" s="3" t="inlineStr">
        <is>
          <t>em.fod.all.pm2</t>
        </is>
      </c>
    </row>
    <row r="1190">
      <c r="A1190" s="3" t="str">
        <f>$B1190&amp;"|"&amp;$C1190</f>
        <v>all|l10</v>
      </c>
      <c r="B1190" s="3" t="inlineStr">
        <is>
          <t>all</t>
        </is>
      </c>
      <c r="C1190" s="3" t="inlineStr">
        <is>
          <t>l10</t>
        </is>
      </c>
      <c r="D1190" s="3" t="str">
        <f>IF($B1190="",""," | "&amp;$E1190&amp;" | "&amp;$F1190)</f>
        <v> | All sectors | 10 years back</v>
      </c>
      <c r="E1190" s="3" t="str">
        <f>IFERROR(INDEX(SecLab,MATCH($B1190,SecKey,0)),"")</f>
        <v>All sectors</v>
      </c>
      <c r="F1190" s="3" t="str">
        <f>IFERROR(INDEX(FuelLab,MATCH($C1190,FuelKeyL,0)),"")</f>
        <v>10 years back</v>
      </c>
      <c r="G1190" s="3" t="inlineStr">
        <is>
          <t>.all.l10</t>
        </is>
      </c>
      <c r="I1190" s="3" t="inlineStr">
        <is>
          <t>ap|fag|pm2</t>
        </is>
      </c>
      <c r="J1190" s="3" t="inlineStr">
        <is>
          <t>em.fag.all.pm2</t>
        </is>
      </c>
    </row>
    <row r="1191">
      <c r="A1191" s="3" t="str">
        <f>$B1191&amp;"|"&amp;$C1191</f>
        <v>all|l11</v>
      </c>
      <c r="B1191" s="3" t="inlineStr">
        <is>
          <t>all</t>
        </is>
      </c>
      <c r="C1191" s="3" t="inlineStr">
        <is>
          <t>l11</t>
        </is>
      </c>
      <c r="D1191" s="3" t="str">
        <f>IF($B1191="",""," | "&amp;$E1191&amp;" | "&amp;$F1191)</f>
        <v> | All sectors | 11 years back</v>
      </c>
      <c r="E1191" s="3" t="str">
        <f>IFERROR(INDEX(SecLab,MATCH($B1191,SecKey,0)),"")</f>
        <v>All sectors</v>
      </c>
      <c r="F1191" s="3" t="str">
        <f>IFERROR(INDEX(FuelLab,MATCH($C1191,FuelKeyL,0)),"")</f>
        <v>11 years back</v>
      </c>
      <c r="G1191" s="3" t="inlineStr">
        <is>
          <t>.all.l11</t>
        </is>
      </c>
      <c r="I1191" s="3" t="inlineStr">
        <is>
          <t>ap|rod|nox</t>
        </is>
      </c>
      <c r="J1191" s="3" t="inlineStr">
        <is>
          <t>em.rod.all.nox</t>
        </is>
      </c>
    </row>
    <row r="1192">
      <c r="A1192" s="3" t="str">
        <f>$B1192&amp;"|"&amp;$C1192</f>
        <v>all|l12</v>
      </c>
      <c r="B1192" s="3" t="inlineStr">
        <is>
          <t>all</t>
        </is>
      </c>
      <c r="C1192" s="3" t="inlineStr">
        <is>
          <t>l12</t>
        </is>
      </c>
      <c r="D1192" s="3" t="str">
        <f>IF($B1192="",""," | "&amp;$E1192&amp;" | "&amp;$F1192)</f>
        <v> | All sectors | 12 years back</v>
      </c>
      <c r="E1192" s="3" t="str">
        <f>IFERROR(INDEX(SecLab,MATCH($B1192,SecKey,0)),"")</f>
        <v>All sectors</v>
      </c>
      <c r="F1192" s="3" t="str">
        <f>IFERROR(INDEX(FuelLab,MATCH($C1192,FuelKeyL,0)),"")</f>
        <v>12 years back</v>
      </c>
      <c r="G1192" s="3" t="inlineStr">
        <is>
          <t>.all.l12</t>
        </is>
      </c>
      <c r="I1192" s="3" t="inlineStr">
        <is>
          <t>ap|ral|nox</t>
        </is>
      </c>
      <c r="J1192" s="3" t="inlineStr">
        <is>
          <t>em.ral.all.nox</t>
        </is>
      </c>
    </row>
    <row r="1193">
      <c r="A1193" s="3" t="str">
        <f>$B1193&amp;"|"&amp;$C1193</f>
        <v>all|l13</v>
      </c>
      <c r="B1193" s="3" t="inlineStr">
        <is>
          <t>all</t>
        </is>
      </c>
      <c r="C1193" s="3" t="inlineStr">
        <is>
          <t>l13</t>
        </is>
      </c>
      <c r="D1193" s="3" t="str">
        <f>IF($B1193="",""," | "&amp;$E1193&amp;" | "&amp;$F1193)</f>
        <v> | All sectors | 13 years back</v>
      </c>
      <c r="E1193" s="3" t="str">
        <f>IFERROR(INDEX(SecLab,MATCH($B1193,SecKey,0)),"")</f>
        <v>All sectors</v>
      </c>
      <c r="F1193" s="3" t="str">
        <f>IFERROR(INDEX(FuelLab,MATCH($C1193,FuelKeyL,0)),"")</f>
        <v>13 years back</v>
      </c>
      <c r="G1193" s="3" t="inlineStr">
        <is>
          <t>.all.l13</t>
        </is>
      </c>
      <c r="I1193" s="3" t="inlineStr">
        <is>
          <t>ap|avi|nox</t>
        </is>
      </c>
      <c r="J1193" s="3" t="inlineStr">
        <is>
          <t>em.avi.all.nox</t>
        </is>
      </c>
    </row>
    <row r="1194">
      <c r="A1194" s="3" t="str">
        <f>$B1194&amp;"|"&amp;$C1194</f>
        <v>all|l14</v>
      </c>
      <c r="B1194" s="3" t="inlineStr">
        <is>
          <t>all</t>
        </is>
      </c>
      <c r="C1194" s="3" t="inlineStr">
        <is>
          <t>l14</t>
        </is>
      </c>
      <c r="D1194" s="3" t="str">
        <f>IF($B1194="",""," | "&amp;$E1194&amp;" | "&amp;$F1194)</f>
        <v> | All sectors | 14 years back</v>
      </c>
      <c r="E1194" s="3" t="str">
        <f>IFERROR(INDEX(SecLab,MATCH($B1194,SecKey,0)),"")</f>
        <v>All sectors</v>
      </c>
      <c r="F1194" s="3" t="str">
        <f>IFERROR(INDEX(FuelLab,MATCH($C1194,FuelKeyL,0)),"")</f>
        <v>14 years back</v>
      </c>
      <c r="G1194" s="3" t="inlineStr">
        <is>
          <t>.all.l14</t>
        </is>
      </c>
      <c r="I1194" s="3" t="inlineStr">
        <is>
          <t>ap|nav|nox</t>
        </is>
      </c>
      <c r="J1194" s="3" t="inlineStr">
        <is>
          <t>em.nav.all.nox</t>
        </is>
      </c>
    </row>
    <row r="1195">
      <c r="A1195" s="3" t="str">
        <f>$B1195&amp;"|"&amp;$C1195</f>
        <v>all|l15</v>
      </c>
      <c r="B1195" s="3" t="inlineStr">
        <is>
          <t>all</t>
        </is>
      </c>
      <c r="C1195" s="3" t="inlineStr">
        <is>
          <t>l15</t>
        </is>
      </c>
      <c r="D1195" s="3" t="str">
        <f>IF($B1195="",""," | "&amp;$E1195&amp;" | "&amp;$F1195)</f>
        <v> | All sectors | 15 years back</v>
      </c>
      <c r="E1195" s="3" t="str">
        <f>IFERROR(INDEX(SecLab,MATCH($B1195,SecKey,0)),"")</f>
        <v>All sectors</v>
      </c>
      <c r="F1195" s="3" t="str">
        <f>IFERROR(INDEX(FuelLab,MATCH($C1195,FuelKeyL,0)),"")</f>
        <v>15 years back</v>
      </c>
      <c r="G1195" s="3" t="inlineStr">
        <is>
          <t>.all.l15</t>
        </is>
      </c>
      <c r="I1195" s="3" t="inlineStr">
        <is>
          <t>ap|res|nox</t>
        </is>
      </c>
      <c r="J1195" s="3" t="inlineStr">
        <is>
          <t>em.res.all.nox</t>
        </is>
      </c>
    </row>
    <row r="1196">
      <c r="A1196" s="3" t="str">
        <f>$B1196&amp;"|"&amp;$C1196</f>
        <v>all|l16</v>
      </c>
      <c r="B1196" s="3" t="inlineStr">
        <is>
          <t>all</t>
        </is>
      </c>
      <c r="C1196" s="3" t="inlineStr">
        <is>
          <t>l16</t>
        </is>
      </c>
      <c r="D1196" s="3" t="str">
        <f>IF($B1196="",""," | "&amp;$E1196&amp;" | "&amp;$F1196)</f>
        <v> | All sectors | 16 years back</v>
      </c>
      <c r="E1196" s="3" t="str">
        <f>IFERROR(INDEX(SecLab,MATCH($B1196,SecKey,0)),"")</f>
        <v>All sectors</v>
      </c>
      <c r="F1196" s="3" t="str">
        <f>IFERROR(INDEX(FuelLab,MATCH($C1196,FuelKeyL,0)),"")</f>
        <v>16 years back</v>
      </c>
      <c r="G1196" s="3" t="inlineStr">
        <is>
          <t>.all.l16</t>
        </is>
      </c>
      <c r="I1196" s="3" t="inlineStr">
        <is>
          <t>ap|foo|nox</t>
        </is>
      </c>
      <c r="J1196" s="3" t="inlineStr">
        <is>
          <t>em.foo.all.nox</t>
        </is>
      </c>
    </row>
    <row r="1197">
      <c r="A1197" s="3" t="str">
        <f>$B1197&amp;"|"&amp;$C1197</f>
        <v>all|l17</v>
      </c>
      <c r="B1197" s="3" t="inlineStr">
        <is>
          <t>all</t>
        </is>
      </c>
      <c r="C1197" s="3" t="inlineStr">
        <is>
          <t>l17</t>
        </is>
      </c>
      <c r="D1197" s="3" t="str">
        <f>IF($B1197="",""," | "&amp;$E1197&amp;" | "&amp;$F1197)</f>
        <v> | All sectors | 17 years back</v>
      </c>
      <c r="E1197" s="3" t="str">
        <f>IFERROR(INDEX(SecLab,MATCH($B1197,SecKey,0)),"")</f>
        <v>All sectors</v>
      </c>
      <c r="F1197" s="3" t="str">
        <f>IFERROR(INDEX(FuelLab,MATCH($C1197,FuelKeyL,0)),"")</f>
        <v>17 years back</v>
      </c>
      <c r="G1197" s="3" t="inlineStr">
        <is>
          <t>.all.l17</t>
        </is>
      </c>
      <c r="I1197" s="3" t="inlineStr">
        <is>
          <t>ap|srv|nox</t>
        </is>
      </c>
      <c r="J1197" s="3" t="inlineStr">
        <is>
          <t>em.srv.all.nox</t>
        </is>
      </c>
    </row>
    <row r="1198">
      <c r="A1198" s="3" t="str">
        <f>$B1198&amp;"|"&amp;$C1198</f>
        <v>all|l18</v>
      </c>
      <c r="B1198" s="3" t="inlineStr">
        <is>
          <t>all</t>
        </is>
      </c>
      <c r="C1198" s="3" t="inlineStr">
        <is>
          <t>l18</t>
        </is>
      </c>
      <c r="D1198" s="3" t="str">
        <f>IF($B1198="",""," | "&amp;$E1198&amp;" | "&amp;$F1198)</f>
        <v> | All sectors | 18 years back</v>
      </c>
      <c r="E1198" s="3" t="str">
        <f>IFERROR(INDEX(SecLab,MATCH($B1198,SecKey,0)),"")</f>
        <v>All sectors</v>
      </c>
      <c r="F1198" s="3" t="str">
        <f>IFERROR(INDEX(FuelLab,MATCH($C1198,FuelKeyL,0)),"")</f>
        <v>18 years back</v>
      </c>
      <c r="G1198" s="3" t="inlineStr">
        <is>
          <t>.all.l18</t>
        </is>
      </c>
      <c r="I1198" s="3" t="inlineStr">
        <is>
          <t>ap|mch|nox</t>
        </is>
      </c>
      <c r="J1198" s="3" t="inlineStr">
        <is>
          <t>em.mch.all.nox</t>
        </is>
      </c>
    </row>
    <row r="1199">
      <c r="A1199" s="3" t="str">
        <f>$B1199&amp;"|"&amp;$C1199</f>
        <v>all|l19</v>
      </c>
      <c r="B1199" s="3" t="inlineStr">
        <is>
          <t>all</t>
        </is>
      </c>
      <c r="C1199" s="3" t="inlineStr">
        <is>
          <t>l19</t>
        </is>
      </c>
      <c r="D1199" s="3" t="str">
        <f>IF($B1199="",""," | "&amp;$E1199&amp;" | "&amp;$F1199)</f>
        <v> | All sectors | 19 years back</v>
      </c>
      <c r="E1199" s="3" t="str">
        <f>IFERROR(INDEX(SecLab,MATCH($B1199,SecKey,0)),"")</f>
        <v>All sectors</v>
      </c>
      <c r="F1199" s="3" t="str">
        <f>IFERROR(INDEX(FuelLab,MATCH($C1199,FuelKeyL,0)),"")</f>
        <v>19 years back</v>
      </c>
      <c r="G1199" s="3" t="inlineStr">
        <is>
          <t>.all.l19</t>
        </is>
      </c>
      <c r="I1199" s="3" t="inlineStr">
        <is>
          <t>ap|irn|nox</t>
        </is>
      </c>
      <c r="J1199" s="3" t="inlineStr">
        <is>
          <t>em.irn.all.nox</t>
        </is>
      </c>
    </row>
    <row r="1200">
      <c r="A1200" s="3" t="str">
        <f>$B1200&amp;"|"&amp;$C1200</f>
        <v>all|pit</v>
      </c>
      <c r="B1200" s="3" t="inlineStr">
        <is>
          <t>all</t>
        </is>
      </c>
      <c r="C1200" s="3" t="inlineStr">
        <is>
          <t>pit</t>
        </is>
      </c>
      <c r="D1200" s="3" t="str">
        <f>IF($B1200="",""," | "&amp;$E1200&amp;" | "&amp;$F1200)</f>
        <v> | All sectors | Labour tax cuts</v>
      </c>
      <c r="E1200" s="3" t="str">
        <f>IFERROR(INDEX(SecLab,MATCH($B1200,SecKey,0)),"")</f>
        <v>All sectors</v>
      </c>
      <c r="F1200" s="3" t="str">
        <f>IFERROR(INDEX(FuelLab,MATCH($C1200,FuelKeyL,0)),"")</f>
        <v>Labour tax cuts</v>
      </c>
      <c r="G1200" s="3" t="inlineStr">
        <is>
          <t>.all.pit</t>
        </is>
      </c>
      <c r="I1200" s="3" t="inlineStr">
        <is>
          <t>ap|nfm|nox</t>
        </is>
      </c>
      <c r="J1200" s="3" t="inlineStr">
        <is>
          <t>em.nfm.all.nox</t>
        </is>
      </c>
    </row>
    <row r="1201">
      <c r="A1201" s="3" t="str">
        <f>$B1201&amp;"|"&amp;$C1201</f>
        <v>all|cit</v>
      </c>
      <c r="B1201" s="3" t="inlineStr">
        <is>
          <t>all</t>
        </is>
      </c>
      <c r="C1201" s="3" t="inlineStr">
        <is>
          <t>cit</t>
        </is>
      </c>
      <c r="D1201" s="3" t="str">
        <f>IF($B1201="",""," | "&amp;$E1201&amp;" | "&amp;$F1201)</f>
        <v> | All sectors | Corporate tax cuts</v>
      </c>
      <c r="E1201" s="3" t="str">
        <f>IFERROR(INDEX(SecLab,MATCH($B1201,SecKey,0)),"")</f>
        <v>All sectors</v>
      </c>
      <c r="F1201" s="3" t="str">
        <f>IFERROR(INDEX(FuelLab,MATCH($C1201,FuelKeyL,0)),"")</f>
        <v>Corporate tax cuts</v>
      </c>
      <c r="G1201" s="3" t="inlineStr">
        <is>
          <t>.all.cit</t>
        </is>
      </c>
      <c r="I1201" s="3" t="inlineStr">
        <is>
          <t>ap|mac|nox</t>
        </is>
      </c>
      <c r="J1201" s="3" t="inlineStr">
        <is>
          <t>em.mac.all.nox</t>
        </is>
      </c>
    </row>
    <row r="1202">
      <c r="A1202" s="3" t="str">
        <f>$B1202&amp;"|"&amp;$C1202</f>
        <v>all|capt</v>
      </c>
      <c r="B1202" s="3" t="inlineStr">
        <is>
          <t>all</t>
        </is>
      </c>
      <c r="C1202" s="3" t="inlineStr">
        <is>
          <t>capt</t>
        </is>
      </c>
      <c r="D1202" s="3" t="str">
        <f>IF($B1202="",""," | "&amp;$E1202&amp;" | "&amp;$F1202)</f>
        <v> | All sectors | Public investment</v>
      </c>
      <c r="E1202" s="3" t="str">
        <f>IFERROR(INDEX(SecLab,MATCH($B1202,SecKey,0)),"")</f>
        <v>All sectors</v>
      </c>
      <c r="F1202" s="3" t="str">
        <f>IFERROR(INDEX(FuelLab,MATCH($C1202,FuelKeyL,0)),"")</f>
        <v>Public investment</v>
      </c>
      <c r="G1202" s="3" t="inlineStr">
        <is>
          <t>.all.capt</t>
        </is>
      </c>
      <c r="I1202" s="3" t="inlineStr">
        <is>
          <t>ap|cem|nox</t>
        </is>
      </c>
      <c r="J1202" s="3" t="inlineStr">
        <is>
          <t>em.cem.all.nox</t>
        </is>
      </c>
    </row>
    <row r="1203">
      <c r="A1203" s="3" t="str">
        <f>$B1203&amp;"|"&amp;$C1203</f>
        <v>all|gnfs</v>
      </c>
      <c r="B1203" s="3" t="inlineStr">
        <is>
          <t>all</t>
        </is>
      </c>
      <c r="C1203" s="3" t="inlineStr">
        <is>
          <t>gnfs</t>
        </is>
      </c>
      <c r="D1203" s="3" t="str">
        <f>IF($B1203="",""," | "&amp;$E1203&amp;" | "&amp;$F1203)</f>
        <v> | All sectors | Current spending</v>
      </c>
      <c r="E1203" s="3" t="str">
        <f>IFERROR(INDEX(SecLab,MATCH($B1203,SecKey,0)),"")</f>
        <v>All sectors</v>
      </c>
      <c r="F1203" s="3" t="str">
        <f>IFERROR(INDEX(FuelLab,MATCH($C1203,FuelKeyL,0)),"")</f>
        <v>Current spending</v>
      </c>
      <c r="G1203" s="3" t="inlineStr">
        <is>
          <t>.all.gnfs</t>
        </is>
      </c>
      <c r="I1203" s="3" t="inlineStr">
        <is>
          <t>ap|omn|nox</t>
        </is>
      </c>
      <c r="J1203" s="3" t="inlineStr">
        <is>
          <t>em.omn.all.nox</t>
        </is>
      </c>
    </row>
    <row r="1204">
      <c r="A1204" s="3" t="str">
        <f>$B1204&amp;"|"&amp;$C1204</f>
        <v>all|trns</v>
      </c>
      <c r="B1204" s="3" t="inlineStr">
        <is>
          <t>all</t>
        </is>
      </c>
      <c r="C1204" s="3" t="inlineStr">
        <is>
          <t>trns</t>
        </is>
      </c>
      <c r="D1204" s="3" t="str">
        <f>IF($B1204="",""," | "&amp;$E1204&amp;" | "&amp;$F1204)</f>
        <v> | All sectors | Targeted transfers</v>
      </c>
      <c r="E1204" s="3" t="str">
        <f>IFERROR(INDEX(SecLab,MATCH($B1204,SecKey,0)),"")</f>
        <v>All sectors</v>
      </c>
      <c r="F1204" s="3" t="str">
        <f>IFERROR(INDEX(FuelLab,MATCH($C1204,FuelKeyL,0)),"")</f>
        <v>Targeted transfers</v>
      </c>
      <c r="G1204" s="3" t="inlineStr">
        <is>
          <t>.all.trns</t>
        </is>
      </c>
      <c r="I1204" s="3" t="inlineStr">
        <is>
          <t>ap|cst|nox</t>
        </is>
      </c>
      <c r="J1204" s="3" t="inlineStr">
        <is>
          <t>em.cst.all.nox</t>
        </is>
      </c>
    </row>
    <row r="1205">
      <c r="A1205" s="3" t="str">
        <f>$B1205&amp;"|"&amp;$C1205</f>
        <v>grp|oil</v>
      </c>
      <c r="B1205" s="3" t="inlineStr">
        <is>
          <t>grp</t>
        </is>
      </c>
      <c r="C1205" s="3" t="inlineStr">
        <is>
          <t>oil</t>
        </is>
      </c>
      <c r="D1205" s="3" t="str">
        <f>IF($B1205="",""," | "&amp;$E1205&amp;" | "&amp;$F1205)</f>
        <v> |  | Crude oil</v>
      </c>
      <c r="E1205" s="3" t="str">
        <f>IFERROR(INDEX(SecLab,MATCH($B1205,SecKey,0)),"")</f>
        <v/>
      </c>
      <c r="F1205" s="3" t="str">
        <f>IFERROR(INDEX(FuelLab,MATCH($C1205,FuelKeyL,0)),"")</f>
        <v>Crude oil</v>
      </c>
      <c r="G1205" s="3" t="inlineStr">
        <is>
          <t>.grp.oil</t>
        </is>
      </c>
      <c r="I1205" s="3" t="inlineStr">
        <is>
          <t>ap|ftr|nox</t>
        </is>
      </c>
      <c r="J1205" s="3" t="inlineStr">
        <is>
          <t>em.ftr.all.nox</t>
        </is>
      </c>
    </row>
    <row r="1206">
      <c r="A1206" s="3" t="str">
        <f>$B1206&amp;"|"&amp;$C1206</f>
        <v>grp|nga</v>
      </c>
      <c r="B1206" s="3" t="inlineStr">
        <is>
          <t>grp</t>
        </is>
      </c>
      <c r="C1206" s="3" t="inlineStr">
        <is>
          <t>nga</t>
        </is>
      </c>
      <c r="D1206" s="3" t="str">
        <f>IF($B1206="",""," | "&amp;$E1206&amp;" | "&amp;$F1206)</f>
        <v> |  | Natural gas</v>
      </c>
      <c r="E1206" s="3" t="str">
        <f>IFERROR(INDEX(SecLab,MATCH($B1206,SecKey,0)),"")</f>
        <v/>
      </c>
      <c r="F1206" s="3" t="str">
        <f>IFERROR(INDEX(FuelLab,MATCH($C1206,FuelKeyL,0)),"")</f>
        <v>Natural gas</v>
      </c>
      <c r="G1206" s="3" t="inlineStr">
        <is>
          <t>.grp.nga</t>
        </is>
      </c>
      <c r="I1206" s="3" t="inlineStr">
        <is>
          <t>ap|oen|nox</t>
        </is>
      </c>
      <c r="J1206" s="3" t="inlineStr">
        <is>
          <t>em.oen.all.nox</t>
        </is>
      </c>
    </row>
    <row r="1207">
      <c r="A1207" s="3" t="str">
        <f>$B1207&amp;"|"&amp;$C1207</f>
        <v>grp|coa</v>
      </c>
      <c r="B1207" s="3" t="inlineStr">
        <is>
          <t>grp</t>
        </is>
      </c>
      <c r="C1207" s="3" t="inlineStr">
        <is>
          <t>coa</t>
        </is>
      </c>
      <c r="D1207" s="3" t="str">
        <f>IF($B1207="",""," | "&amp;$E1207&amp;" | "&amp;$F1207)</f>
        <v> |  | Coal</v>
      </c>
      <c r="E1207" s="3" t="str">
        <f>IFERROR(INDEX(SecLab,MATCH($B1207,SecKey,0)),"")</f>
        <v/>
      </c>
      <c r="F1207" s="3" t="str">
        <f>IFERROR(INDEX(FuelLab,MATCH($C1207,FuelKeyL,0)),"")</f>
        <v>Coal</v>
      </c>
      <c r="G1207" s="3" t="inlineStr">
        <is>
          <t>.grp.coa</t>
        </is>
      </c>
      <c r="I1207" s="3" t="inlineStr">
        <is>
          <t>ap|pow|nox</t>
        </is>
      </c>
      <c r="J1207" s="3" t="inlineStr">
        <is>
          <t>em.pow.all.nox</t>
        </is>
      </c>
    </row>
    <row r="1208">
      <c r="A1208" s="3" t="str">
        <f>$B1208&amp;"|"&amp;$C1208</f>
        <v>ind|oop</v>
      </c>
      <c r="B1208" s="3" t="inlineStr">
        <is>
          <t>ind</t>
        </is>
      </c>
      <c r="C1208" s="3" t="inlineStr">
        <is>
          <t>oop</t>
        </is>
      </c>
      <c r="D1208" s="3" t="str">
        <f>IF($B1208="",""," | "&amp;$E1208&amp;" | "&amp;$F1208)</f>
        <v> | Industry | Other oil products</v>
      </c>
      <c r="E1208" s="3" t="str">
        <f>IFERROR(INDEX(SecLab,MATCH($B1208,SecKey,0)),"")</f>
        <v>Industry</v>
      </c>
      <c r="F1208" s="3" t="str">
        <f>IFERROR(INDEX(FuelLab,MATCH($C1208,FuelKeyL,0)),"")</f>
        <v>Other oil products</v>
      </c>
      <c r="G1208" s="3" t="inlineStr">
        <is>
          <t>.ind.oop</t>
        </is>
      </c>
      <c r="I1208" s="3" t="inlineStr">
        <is>
          <t>ap|tra|nox</t>
        </is>
      </c>
      <c r="J1208" s="3" t="inlineStr">
        <is>
          <t>em.tra.all.nox</t>
        </is>
      </c>
    </row>
    <row r="1209">
      <c r="A1209" s="3" t="str">
        <f>$B1209&amp;"|"&amp;$C1209</f>
        <v>tra|coa</v>
      </c>
      <c r="B1209" s="3" t="inlineStr">
        <is>
          <t>tra</t>
        </is>
      </c>
      <c r="C1209" s="3" t="inlineStr">
        <is>
          <t>coa</t>
        </is>
      </c>
      <c r="D1209" s="3" t="str">
        <f>IF($B1209="",""," | "&amp;$E1209&amp;" | "&amp;$F1209)</f>
        <v> | Transport | Coal</v>
      </c>
      <c r="E1209" s="3" t="str">
        <f>IFERROR(INDEX(SecLab,MATCH($B1209,SecKey,0)),"")</f>
        <v>Transport</v>
      </c>
      <c r="F1209" s="3" t="str">
        <f>IFERROR(INDEX(FuelLab,MATCH($C1209,FuelKeyL,0)),"")</f>
        <v>Coal</v>
      </c>
      <c r="G1209" s="3" t="inlineStr">
        <is>
          <t>.tra.coa</t>
        </is>
      </c>
      <c r="I1209" s="3" t="inlineStr">
        <is>
          <t>ap|bld|nox</t>
        </is>
      </c>
      <c r="J1209" s="3" t="inlineStr">
        <is>
          <t>em.bld.all.nox</t>
        </is>
      </c>
    </row>
    <row r="1210">
      <c r="A1210" s="3" t="str">
        <f>$B1210&amp;"|"&amp;$C1210</f>
        <v>tra|nga</v>
      </c>
      <c r="B1210" s="3" t="inlineStr">
        <is>
          <t>tra</t>
        </is>
      </c>
      <c r="C1210" s="3" t="inlineStr">
        <is>
          <t>nga</t>
        </is>
      </c>
      <c r="D1210" s="3" t="str">
        <f>IF($B1210="",""," | "&amp;$E1210&amp;" | "&amp;$F1210)</f>
        <v> | Transport | Natural gas</v>
      </c>
      <c r="E1210" s="3" t="str">
        <f>IFERROR(INDEX(SecLab,MATCH($B1210,SecKey,0)),"")</f>
        <v>Transport</v>
      </c>
      <c r="F1210" s="3" t="str">
        <f>IFERROR(INDEX(FuelLab,MATCH($C1210,FuelKeyL,0)),"")</f>
        <v>Natural gas</v>
      </c>
      <c r="G1210" s="3" t="inlineStr">
        <is>
          <t>.tra.nga</t>
        </is>
      </c>
      <c r="I1210" s="3" t="inlineStr">
        <is>
          <t>ap|ind|nox</t>
        </is>
      </c>
      <c r="J1210" s="3" t="inlineStr">
        <is>
          <t>em.ind.all.nox</t>
        </is>
      </c>
    </row>
    <row r="1211">
      <c r="A1211" s="3" t="str">
        <f>$B1211&amp;"|"&amp;$C1211</f>
        <v>tra|gso</v>
      </c>
      <c r="B1211" s="3" t="inlineStr">
        <is>
          <t>tra</t>
        </is>
      </c>
      <c r="C1211" s="3" t="inlineStr">
        <is>
          <t>gso</t>
        </is>
      </c>
      <c r="D1211" s="3" t="str">
        <f>IF($B1211="",""," | "&amp;$E1211&amp;" | "&amp;$F1211)</f>
        <v> | Transport | Gasoline</v>
      </c>
      <c r="E1211" s="3" t="str">
        <f>IFERROR(INDEX(SecLab,MATCH($B1211,SecKey,0)),"")</f>
        <v>Transport</v>
      </c>
      <c r="F1211" s="3" t="str">
        <f>IFERROR(INDEX(FuelLab,MATCH($C1211,FuelKeyL,0)),"")</f>
        <v>Gasoline</v>
      </c>
      <c r="G1211" s="3" t="inlineStr">
        <is>
          <t>.tra.gso</t>
        </is>
      </c>
      <c r="I1211" s="3" t="inlineStr">
        <is>
          <t>ap|fod|nox</t>
        </is>
      </c>
      <c r="J1211" s="3" t="inlineStr">
        <is>
          <t>em.fod.all.nox</t>
        </is>
      </c>
    </row>
    <row r="1212">
      <c r="A1212" s="3" t="str">
        <f>$B1212&amp;"|"&amp;$C1212</f>
        <v>tra|die</v>
      </c>
      <c r="B1212" s="3" t="inlineStr">
        <is>
          <t>tra</t>
        </is>
      </c>
      <c r="C1212" s="3" t="inlineStr">
        <is>
          <t>die</t>
        </is>
      </c>
      <c r="D1212" s="3" t="str">
        <f>IF($B1212="",""," | "&amp;$E1212&amp;" | "&amp;$F1212)</f>
        <v> | Transport | Diesel</v>
      </c>
      <c r="E1212" s="3" t="str">
        <f>IFERROR(INDEX(SecLab,MATCH($B1212,SecKey,0)),"")</f>
        <v>Transport</v>
      </c>
      <c r="F1212" s="3" t="str">
        <f>IFERROR(INDEX(FuelLab,MATCH($C1212,FuelKeyL,0)),"")</f>
        <v>Diesel</v>
      </c>
      <c r="G1212" s="3" t="inlineStr">
        <is>
          <t>.tra.die</t>
        </is>
      </c>
      <c r="I1212" s="3" t="inlineStr">
        <is>
          <t>ap|fag|nox</t>
        </is>
      </c>
      <c r="J1212" s="3" t="inlineStr">
        <is>
          <t>em.fag.all.nox</t>
        </is>
      </c>
    </row>
    <row r="1213">
      <c r="A1213" s="3" t="str">
        <f>$B1213&amp;"|"&amp;$C1213</f>
        <v>tra|lpg</v>
      </c>
      <c r="B1213" s="3" t="inlineStr">
        <is>
          <t>tra</t>
        </is>
      </c>
      <c r="C1213" s="3" t="inlineStr">
        <is>
          <t>lpg</t>
        </is>
      </c>
      <c r="D1213" s="3" t="str">
        <f>IF($B1213="",""," | "&amp;$E1213&amp;" | "&amp;$F1213)</f>
        <v> | Transport | LPG</v>
      </c>
      <c r="E1213" s="3" t="str">
        <f>IFERROR(INDEX(SecLab,MATCH($B1213,SecKey,0)),"")</f>
        <v>Transport</v>
      </c>
      <c r="F1213" s="3" t="str">
        <f>IFERROR(INDEX(FuelLab,MATCH($C1213,FuelKeyL,0)),"")</f>
        <v>LPG</v>
      </c>
      <c r="G1213" s="3" t="inlineStr">
        <is>
          <t>.tra.lpg</t>
        </is>
      </c>
      <c r="I1213" s="3" t="inlineStr">
        <is>
          <t>ap|rod|so2</t>
        </is>
      </c>
      <c r="J1213" s="3" t="inlineStr">
        <is>
          <t>em.rod.all.so2</t>
        </is>
      </c>
    </row>
    <row r="1214">
      <c r="A1214" s="3" t="str">
        <f>$B1214&amp;"|"&amp;$C1214</f>
        <v>tra|ker</v>
      </c>
      <c r="B1214" s="3" t="inlineStr">
        <is>
          <t>tra</t>
        </is>
      </c>
      <c r="C1214" s="3" t="inlineStr">
        <is>
          <t>ker</t>
        </is>
      </c>
      <c r="D1214" s="3" t="str">
        <f>IF($B1214="",""," | "&amp;$E1214&amp;" | "&amp;$F1214)</f>
        <v> | Transport | Kerosene</v>
      </c>
      <c r="E1214" s="3" t="str">
        <f>IFERROR(INDEX(SecLab,MATCH($B1214,SecKey,0)),"")</f>
        <v>Transport</v>
      </c>
      <c r="F1214" s="3" t="str">
        <f>IFERROR(INDEX(FuelLab,MATCH($C1214,FuelKeyL,0)),"")</f>
        <v>Kerosene</v>
      </c>
      <c r="G1214" s="3" t="inlineStr">
        <is>
          <t>.tra.ker</t>
        </is>
      </c>
      <c r="I1214" s="3" t="inlineStr">
        <is>
          <t>ap|ral|so2</t>
        </is>
      </c>
      <c r="J1214" s="3" t="inlineStr">
        <is>
          <t>em.ral.all.so2</t>
        </is>
      </c>
    </row>
    <row r="1215">
      <c r="A1215" s="3" t="str">
        <f>$B1215&amp;"|"&amp;$C1215</f>
        <v>tra|oop</v>
      </c>
      <c r="B1215" s="3" t="inlineStr">
        <is>
          <t>tra</t>
        </is>
      </c>
      <c r="C1215" s="3" t="inlineStr">
        <is>
          <t>oop</t>
        </is>
      </c>
      <c r="D1215" s="3" t="str">
        <f>IF($B1215="",""," | "&amp;$E1215&amp;" | "&amp;$F1215)</f>
        <v> | Transport | Other oil products</v>
      </c>
      <c r="E1215" s="3" t="str">
        <f>IFERROR(INDEX(SecLab,MATCH($B1215,SecKey,0)),"")</f>
        <v>Transport</v>
      </c>
      <c r="F1215" s="3" t="str">
        <f>IFERROR(INDEX(FuelLab,MATCH($C1215,FuelKeyL,0)),"")</f>
        <v>Other oil products</v>
      </c>
      <c r="G1215" s="3" t="inlineStr">
        <is>
          <t>.tra.oop</t>
        </is>
      </c>
      <c r="I1215" s="3" t="inlineStr">
        <is>
          <t>ap|avi|so2</t>
        </is>
      </c>
      <c r="J1215" s="3" t="inlineStr">
        <is>
          <t>em.avi.all.so2</t>
        </is>
      </c>
    </row>
    <row r="1216">
      <c r="A1216" s="3" t="str">
        <f>$B1216&amp;"|"&amp;$C1216</f>
        <v>bld|coa</v>
      </c>
      <c r="B1216" s="3" t="inlineStr">
        <is>
          <t>bld</t>
        </is>
      </c>
      <c r="C1216" s="3" t="inlineStr">
        <is>
          <t>coa</t>
        </is>
      </c>
      <c r="D1216" s="3" t="str">
        <f>IF($B1216="",""," | "&amp;$E1216&amp;" | "&amp;$F1216)</f>
        <v> | Buildings | Coal</v>
      </c>
      <c r="E1216" s="3" t="str">
        <f>IFERROR(INDEX(SecLab,MATCH($B1216,SecKey,0)),"")</f>
        <v>Buildings</v>
      </c>
      <c r="F1216" s="3" t="str">
        <f>IFERROR(INDEX(FuelLab,MATCH($C1216,FuelKeyL,0)),"")</f>
        <v>Coal</v>
      </c>
      <c r="G1216" s="3" t="inlineStr">
        <is>
          <t>.bld.coa</t>
        </is>
      </c>
      <c r="I1216" s="3" t="inlineStr">
        <is>
          <t>ap|nav|so2</t>
        </is>
      </c>
      <c r="J1216" s="3" t="inlineStr">
        <is>
          <t>em.nav.all.so2</t>
        </is>
      </c>
    </row>
    <row r="1217">
      <c r="A1217" s="3" t="str">
        <f>$B1217&amp;"|"&amp;$C1217</f>
        <v>bld|nga</v>
      </c>
      <c r="B1217" s="3" t="inlineStr">
        <is>
          <t>bld</t>
        </is>
      </c>
      <c r="C1217" s="3" t="inlineStr">
        <is>
          <t>nga</t>
        </is>
      </c>
      <c r="D1217" s="3" t="str">
        <f>IF($B1217="",""," | "&amp;$E1217&amp;" | "&amp;$F1217)</f>
        <v> | Buildings | Natural gas</v>
      </c>
      <c r="E1217" s="3" t="str">
        <f>IFERROR(INDEX(SecLab,MATCH($B1217,SecKey,0)),"")</f>
        <v>Buildings</v>
      </c>
      <c r="F1217" s="3" t="str">
        <f>IFERROR(INDEX(FuelLab,MATCH($C1217,FuelKeyL,0)),"")</f>
        <v>Natural gas</v>
      </c>
      <c r="G1217" s="3" t="inlineStr">
        <is>
          <t>.bld.nga</t>
        </is>
      </c>
      <c r="I1217" s="3" t="inlineStr">
        <is>
          <t>ap|res|so2</t>
        </is>
      </c>
      <c r="J1217" s="3" t="inlineStr">
        <is>
          <t>em.res.all.so2</t>
        </is>
      </c>
    </row>
    <row r="1218">
      <c r="A1218" s="3" t="str">
        <f>$B1218&amp;"|"&amp;$C1218</f>
        <v>bld|gso</v>
      </c>
      <c r="B1218" s="3" t="inlineStr">
        <is>
          <t>bld</t>
        </is>
      </c>
      <c r="C1218" s="3" t="inlineStr">
        <is>
          <t>gso</t>
        </is>
      </c>
      <c r="D1218" s="3" t="str">
        <f>IF($B1218="",""," | "&amp;$E1218&amp;" | "&amp;$F1218)</f>
        <v> | Buildings | Gasoline</v>
      </c>
      <c r="E1218" s="3" t="str">
        <f>IFERROR(INDEX(SecLab,MATCH($B1218,SecKey,0)),"")</f>
        <v>Buildings</v>
      </c>
      <c r="F1218" s="3" t="str">
        <f>IFERROR(INDEX(FuelLab,MATCH($C1218,FuelKeyL,0)),"")</f>
        <v>Gasoline</v>
      </c>
      <c r="G1218" s="3" t="inlineStr">
        <is>
          <t>.bld.gso</t>
        </is>
      </c>
      <c r="I1218" s="3" t="inlineStr">
        <is>
          <t>ap|foo|so2</t>
        </is>
      </c>
      <c r="J1218" s="3" t="inlineStr">
        <is>
          <t>em.foo.all.so2</t>
        </is>
      </c>
    </row>
    <row r="1219">
      <c r="A1219" s="3" t="str">
        <f>$B1219&amp;"|"&amp;$C1219</f>
        <v>bld|die</v>
      </c>
      <c r="B1219" s="3" t="inlineStr">
        <is>
          <t>bld</t>
        </is>
      </c>
      <c r="C1219" s="3" t="inlineStr">
        <is>
          <t>die</t>
        </is>
      </c>
      <c r="D1219" s="3" t="str">
        <f>IF($B1219="",""," | "&amp;$E1219&amp;" | "&amp;$F1219)</f>
        <v> | Buildings | Diesel</v>
      </c>
      <c r="E1219" s="3" t="str">
        <f>IFERROR(INDEX(SecLab,MATCH($B1219,SecKey,0)),"")</f>
        <v>Buildings</v>
      </c>
      <c r="F1219" s="3" t="str">
        <f>IFERROR(INDEX(FuelLab,MATCH($C1219,FuelKeyL,0)),"")</f>
        <v>Diesel</v>
      </c>
      <c r="G1219" s="3" t="inlineStr">
        <is>
          <t>.bld.die</t>
        </is>
      </c>
      <c r="I1219" s="3" t="inlineStr">
        <is>
          <t>ap|srv|so2</t>
        </is>
      </c>
      <c r="J1219" s="3" t="inlineStr">
        <is>
          <t>em.srv.all.so2</t>
        </is>
      </c>
    </row>
    <row r="1220">
      <c r="A1220" s="3" t="str">
        <f>$B1220&amp;"|"&amp;$C1220</f>
        <v>bld|lpg</v>
      </c>
      <c r="B1220" s="3" t="inlineStr">
        <is>
          <t>bld</t>
        </is>
      </c>
      <c r="C1220" s="3" t="inlineStr">
        <is>
          <t>lpg</t>
        </is>
      </c>
      <c r="D1220" s="3" t="str">
        <f>IF($B1220="",""," | "&amp;$E1220&amp;" | "&amp;$F1220)</f>
        <v> | Buildings | LPG</v>
      </c>
      <c r="E1220" s="3" t="str">
        <f>IFERROR(INDEX(SecLab,MATCH($B1220,SecKey,0)),"")</f>
        <v>Buildings</v>
      </c>
      <c r="F1220" s="3" t="str">
        <f>IFERROR(INDEX(FuelLab,MATCH($C1220,FuelKeyL,0)),"")</f>
        <v>LPG</v>
      </c>
      <c r="G1220" s="3" t="inlineStr">
        <is>
          <t>.bld.lpg</t>
        </is>
      </c>
      <c r="I1220" s="3" t="inlineStr">
        <is>
          <t>ap|mch|so2</t>
        </is>
      </c>
      <c r="J1220" s="3" t="inlineStr">
        <is>
          <t>em.mch.all.so2</t>
        </is>
      </c>
    </row>
    <row r="1221">
      <c r="A1221" s="3" t="str">
        <f>$B1221&amp;"|"&amp;$C1221</f>
        <v>bld|ker</v>
      </c>
      <c r="B1221" s="3" t="inlineStr">
        <is>
          <t>bld</t>
        </is>
      </c>
      <c r="C1221" s="3" t="inlineStr">
        <is>
          <t>ker</t>
        </is>
      </c>
      <c r="D1221" s="3" t="str">
        <f>IF($B1221="",""," | "&amp;$E1221&amp;" | "&amp;$F1221)</f>
        <v> | Buildings | Kerosene</v>
      </c>
      <c r="E1221" s="3" t="str">
        <f>IFERROR(INDEX(SecLab,MATCH($B1221,SecKey,0)),"")</f>
        <v>Buildings</v>
      </c>
      <c r="F1221" s="3" t="str">
        <f>IFERROR(INDEX(FuelLab,MATCH($C1221,FuelKeyL,0)),"")</f>
        <v>Kerosene</v>
      </c>
      <c r="G1221" s="3" t="inlineStr">
        <is>
          <t>.bld.ker</t>
        </is>
      </c>
      <c r="I1221" s="3" t="inlineStr">
        <is>
          <t>ap|irn|so2</t>
        </is>
      </c>
      <c r="J1221" s="3" t="inlineStr">
        <is>
          <t>em.irn.all.so2</t>
        </is>
      </c>
    </row>
    <row r="1222">
      <c r="A1222" s="3" t="str">
        <f>$B1222&amp;"|"&amp;$C1222</f>
        <v>bld|oop</v>
      </c>
      <c r="B1222" s="3" t="inlineStr">
        <is>
          <t>bld</t>
        </is>
      </c>
      <c r="C1222" s="3" t="inlineStr">
        <is>
          <t>oop</t>
        </is>
      </c>
      <c r="D1222" s="3" t="str">
        <f>IF($B1222="",""," | "&amp;$E1222&amp;" | "&amp;$F1222)</f>
        <v> | Buildings | Other oil products</v>
      </c>
      <c r="E1222" s="3" t="str">
        <f>IFERROR(INDEX(SecLab,MATCH($B1222,SecKey,0)),"")</f>
        <v>Buildings</v>
      </c>
      <c r="F1222" s="3" t="str">
        <f>IFERROR(INDEX(FuelLab,MATCH($C1222,FuelKeyL,0)),"")</f>
        <v>Other oil products</v>
      </c>
      <c r="G1222" s="3" t="inlineStr">
        <is>
          <t>.bld.oop</t>
        </is>
      </c>
      <c r="I1222" s="3" t="inlineStr">
        <is>
          <t>ap|nfm|so2</t>
        </is>
      </c>
      <c r="J1222" s="3" t="inlineStr">
        <is>
          <t>em.nfm.all.so2</t>
        </is>
      </c>
    </row>
    <row r="1223">
      <c r="A1223" s="3" t="str">
        <f>$B1223&amp;"|"&amp;$C1223</f>
        <v>ind|gso</v>
      </c>
      <c r="B1223" s="3" t="inlineStr">
        <is>
          <t>ind</t>
        </is>
      </c>
      <c r="C1223" s="3" t="inlineStr">
        <is>
          <t>gso</t>
        </is>
      </c>
      <c r="D1223" s="3" t="str">
        <f>IF($B1223="",""," | "&amp;$E1223&amp;" | "&amp;$F1223)</f>
        <v> | Industry | Gasoline</v>
      </c>
      <c r="E1223" s="3" t="str">
        <f>IFERROR(INDEX(SecLab,MATCH($B1223,SecKey,0)),"")</f>
        <v>Industry</v>
      </c>
      <c r="F1223" s="3" t="str">
        <f>IFERROR(INDEX(FuelLab,MATCH($C1223,FuelKeyL,0)),"")</f>
        <v>Gasoline</v>
      </c>
      <c r="G1223" s="3" t="inlineStr">
        <is>
          <t>.ind.gso</t>
        </is>
      </c>
      <c r="I1223" s="3" t="inlineStr">
        <is>
          <t>ap|mac|so2</t>
        </is>
      </c>
      <c r="J1223" s="3" t="inlineStr">
        <is>
          <t>em.mac.all.so2</t>
        </is>
      </c>
    </row>
    <row r="1224">
      <c r="A1224" s="3" t="str">
        <f>$B1224&amp;"|"&amp;$C1224</f>
        <v>ind|die</v>
      </c>
      <c r="B1224" s="3" t="inlineStr">
        <is>
          <t>ind</t>
        </is>
      </c>
      <c r="C1224" s="3" t="inlineStr">
        <is>
          <t>die</t>
        </is>
      </c>
      <c r="D1224" s="3" t="str">
        <f>IF($B1224="",""," | "&amp;$E1224&amp;" | "&amp;$F1224)</f>
        <v> | Industry | Diesel</v>
      </c>
      <c r="E1224" s="3" t="str">
        <f>IFERROR(INDEX(SecLab,MATCH($B1224,SecKey,0)),"")</f>
        <v>Industry</v>
      </c>
      <c r="F1224" s="3" t="str">
        <f>IFERROR(INDEX(FuelLab,MATCH($C1224,FuelKeyL,0)),"")</f>
        <v>Diesel</v>
      </c>
      <c r="G1224" s="3" t="inlineStr">
        <is>
          <t>.ind.die</t>
        </is>
      </c>
      <c r="I1224" s="3" t="inlineStr">
        <is>
          <t>ap|cem|so2</t>
        </is>
      </c>
      <c r="J1224" s="3" t="inlineStr">
        <is>
          <t>em.cem.all.so2</t>
        </is>
      </c>
    </row>
    <row r="1225">
      <c r="A1225" s="3" t="str">
        <f>$B1225&amp;"|"&amp;$C1225</f>
        <v>ind|lpg</v>
      </c>
      <c r="B1225" s="3" t="inlineStr">
        <is>
          <t>ind</t>
        </is>
      </c>
      <c r="C1225" s="3" t="inlineStr">
        <is>
          <t>lpg</t>
        </is>
      </c>
      <c r="D1225" s="3" t="str">
        <f>IF($B1225="",""," | "&amp;$E1225&amp;" | "&amp;$F1225)</f>
        <v> | Industry | LPG</v>
      </c>
      <c r="E1225" s="3" t="str">
        <f>IFERROR(INDEX(SecLab,MATCH($B1225,SecKey,0)),"")</f>
        <v>Industry</v>
      </c>
      <c r="F1225" s="3" t="str">
        <f>IFERROR(INDEX(FuelLab,MATCH($C1225,FuelKeyL,0)),"")</f>
        <v>LPG</v>
      </c>
      <c r="G1225" s="3" t="inlineStr">
        <is>
          <t>.ind.lpg</t>
        </is>
      </c>
      <c r="I1225" s="3" t="inlineStr">
        <is>
          <t>ap|omn|so2</t>
        </is>
      </c>
      <c r="J1225" s="3" t="inlineStr">
        <is>
          <t>em.omn.all.so2</t>
        </is>
      </c>
    </row>
    <row r="1226">
      <c r="A1226" s="3" t="str">
        <f>$B1226&amp;"|"&amp;$C1226</f>
        <v>ind|ker</v>
      </c>
      <c r="B1226" s="3" t="inlineStr">
        <is>
          <t>ind</t>
        </is>
      </c>
      <c r="C1226" s="3" t="inlineStr">
        <is>
          <t>ker</t>
        </is>
      </c>
      <c r="D1226" s="3" t="str">
        <f>IF($B1226="",""," | "&amp;$E1226&amp;" | "&amp;$F1226)</f>
        <v> | Industry | Kerosene</v>
      </c>
      <c r="E1226" s="3" t="str">
        <f>IFERROR(INDEX(SecLab,MATCH($B1226,SecKey,0)),"")</f>
        <v>Industry</v>
      </c>
      <c r="F1226" s="3" t="str">
        <f>IFERROR(INDEX(FuelLab,MATCH($C1226,FuelKeyL,0)),"")</f>
        <v>Kerosene</v>
      </c>
      <c r="G1226" s="3" t="inlineStr">
        <is>
          <t>.ind.ker</t>
        </is>
      </c>
      <c r="I1226" s="3" t="inlineStr">
        <is>
          <t>ap|cst|so2</t>
        </is>
      </c>
      <c r="J1226" s="3" t="inlineStr">
        <is>
          <t>em.cst.all.so2</t>
        </is>
      </c>
    </row>
    <row r="1227">
      <c r="A1227" s="3" t="str">
        <f>$B1227&amp;"|"&amp;$C1227</f>
        <v>cpp|</v>
      </c>
      <c r="B1227" s="3" t="inlineStr">
        <is>
          <t>cpp</t>
        </is>
      </c>
      <c r="C1227" s="3" t="inlineStr"/>
      <c r="D1227" s="3" t="str">
        <f>IF($B1227="",""," | "&amp;$E1227&amp;" | "&amp;$F1227)</f>
        <v> | Coal power plants | </v>
      </c>
      <c r="E1227" s="3" t="str">
        <f>IFERROR(INDEX(SecLab,MATCH($B1227,SecKey,0)),"")</f>
        <v>Coal power plants</v>
      </c>
      <c r="F1227" s="3" t="str">
        <f>IFERROR(INDEX(FuelLab,MATCH($C1227,FuelKeyL,0)),"")</f>
        <v/>
      </c>
      <c r="G1227" s="3" t="inlineStr">
        <is>
          <t>.cpp</t>
        </is>
      </c>
      <c r="I1227" s="3" t="inlineStr">
        <is>
          <t>ap|ftr|so2</t>
        </is>
      </c>
      <c r="J1227" s="3" t="inlineStr">
        <is>
          <t>em.ftr.all.so2</t>
        </is>
      </c>
    </row>
    <row r="1228">
      <c r="A1228" s="3" t="str">
        <f>$B1228&amp;"|"&amp;$C1228</f>
        <v>gpp|</v>
      </c>
      <c r="B1228" s="3" t="inlineStr">
        <is>
          <t>gpp</t>
        </is>
      </c>
      <c r="C1228" s="3" t="inlineStr"/>
      <c r="D1228" s="3" t="str">
        <f>IF($B1228="",""," | "&amp;$E1228&amp;" | "&amp;$F1228)</f>
        <v> | Gas power plants | </v>
      </c>
      <c r="E1228" s="3" t="str">
        <f>IFERROR(INDEX(SecLab,MATCH($B1228,SecKey,0)),"")</f>
        <v>Gas power plants</v>
      </c>
      <c r="F1228" s="3" t="str">
        <f>IFERROR(INDEX(FuelLab,MATCH($C1228,FuelKeyL,0)),"")</f>
        <v/>
      </c>
      <c r="G1228" s="3" t="inlineStr">
        <is>
          <t>.gpp</t>
        </is>
      </c>
      <c r="I1228" s="3" t="inlineStr">
        <is>
          <t>ap|oen|so2</t>
        </is>
      </c>
      <c r="J1228" s="3" t="inlineStr">
        <is>
          <t>em.oen.all.so2</t>
        </is>
      </c>
    </row>
    <row r="1229">
      <c r="A1229" s="3" t="str">
        <f>$B1229&amp;"|"&amp;$C1229</f>
        <v>opp|</v>
      </c>
      <c r="B1229" s="3" t="inlineStr">
        <is>
          <t>opp</t>
        </is>
      </c>
      <c r="C1229" s="3" t="inlineStr"/>
      <c r="D1229" s="3" t="str">
        <f>IF($B1229="",""," | "&amp;$E1229&amp;" | "&amp;$F1229)</f>
        <v> | Other power plants | </v>
      </c>
      <c r="E1229" s="3" t="str">
        <f>IFERROR(INDEX(SecLab,MATCH($B1229,SecKey,0)),"")</f>
        <v>Other power plants</v>
      </c>
      <c r="F1229" s="3" t="str">
        <f>IFERROR(INDEX(FuelLab,MATCH($C1229,FuelKeyL,0)),"")</f>
        <v/>
      </c>
      <c r="G1229" s="3" t="inlineStr">
        <is>
          <t>.opp</t>
        </is>
      </c>
      <c r="I1229" s="3" t="inlineStr">
        <is>
          <t>ap|pow|so2</t>
        </is>
      </c>
      <c r="J1229" s="3" t="inlineStr">
        <is>
          <t>em.pow.all.so2</t>
        </is>
      </c>
    </row>
    <row r="1230">
      <c r="A1230" s="3" t="str">
        <f>$B1230&amp;"|"&amp;$C1230</f>
        <v>rod|</v>
      </c>
      <c r="B1230" s="3" t="inlineStr">
        <is>
          <t>rod</t>
        </is>
      </c>
      <c r="C1230" s="3" t="inlineStr"/>
      <c r="D1230" s="3" t="str">
        <f>IF($B1230="",""," | "&amp;$E1230&amp;" | "&amp;$F1230)</f>
        <v> | Road | </v>
      </c>
      <c r="E1230" s="3" t="str">
        <f>IFERROR(INDEX(SecLab,MATCH($B1230,SecKey,0)),"")</f>
        <v>Road</v>
      </c>
      <c r="F1230" s="3" t="str">
        <f>IFERROR(INDEX(FuelLab,MATCH($C1230,FuelKeyL,0)),"")</f>
        <v/>
      </c>
      <c r="G1230" s="3" t="inlineStr">
        <is>
          <t>.rod</t>
        </is>
      </c>
      <c r="I1230" s="3" t="inlineStr">
        <is>
          <t>ap|tra|so2</t>
        </is>
      </c>
      <c r="J1230" s="3" t="inlineStr">
        <is>
          <t>em.tra.all.so2</t>
        </is>
      </c>
    </row>
    <row r="1231">
      <c r="A1231" s="3" t="str">
        <f>$B1231&amp;"|"&amp;$C1231</f>
        <v>gro|</v>
      </c>
      <c r="B1231" s="3" t="inlineStr">
        <is>
          <t>gro</t>
        </is>
      </c>
      <c r="C1231" s="3" t="inlineStr"/>
      <c r="D1231" s="3" t="str">
        <f>IF($B1231="",""," | "&amp;$E1231&amp;" | "&amp;$F1231)</f>
        <v> | Ground level other | </v>
      </c>
      <c r="E1231" s="3" t="str">
        <f>IFERROR(INDEX(SecLab,MATCH($B1231,SecKey,0)),"")</f>
        <v>Ground level other</v>
      </c>
      <c r="F1231" s="3" t="str">
        <f>IFERROR(INDEX(FuelLab,MATCH($C1231,FuelKeyL,0)),"")</f>
        <v/>
      </c>
      <c r="G1231" s="3" t="inlineStr">
        <is>
          <t>.gro</t>
        </is>
      </c>
      <c r="I1231" s="3" t="inlineStr">
        <is>
          <t>ap|bld|so2</t>
        </is>
      </c>
      <c r="J1231" s="3" t="inlineStr">
        <is>
          <t>em.bld.all.so2</t>
        </is>
      </c>
    </row>
    <row r="1232">
      <c r="A1232" s="3" t="str">
        <f>$B1232&amp;"|"&amp;$C1232</f>
        <v>oth|</v>
      </c>
      <c r="B1232" s="3" t="inlineStr">
        <is>
          <t>oth</t>
        </is>
      </c>
      <c r="C1232" s="3" t="inlineStr"/>
      <c r="D1232" s="3" t="str">
        <f>IF($B1232="",""," | "&amp;$E1232&amp;" | "&amp;$F1232)</f>
        <v> | Other | </v>
      </c>
      <c r="E1232" s="3" t="str">
        <f>IFERROR(INDEX(SecLab,MATCH($B1232,SecKey,0)),"")</f>
        <v>Other</v>
      </c>
      <c r="F1232" s="3" t="str">
        <f>IFERROR(INDEX(FuelLab,MATCH($C1232,FuelKeyL,0)),"")</f>
        <v/>
      </c>
      <c r="G1232" s="3" t="inlineStr">
        <is>
          <t>.oth</t>
        </is>
      </c>
      <c r="I1232" s="3" t="inlineStr">
        <is>
          <t>ap|ind|so2</t>
        </is>
      </c>
      <c r="J1232" s="3" t="inlineStr">
        <is>
          <t>em.ind.all.so2</t>
        </is>
      </c>
    </row>
    <row r="1233">
      <c r="A1233" s="3" t="str">
        <f>$B1233&amp;"|"&amp;$C1233</f>
        <v>foo|</v>
      </c>
      <c r="B1233" s="3" t="inlineStr">
        <is>
          <t>foo</t>
        </is>
      </c>
      <c r="C1233" s="3" t="inlineStr"/>
      <c r="D1233" s="3" t="str">
        <f>IF($B1233="",""," | "&amp;$E1233&amp;" | "&amp;$F1233)</f>
        <v> | Food &amp; forestry | </v>
      </c>
      <c r="E1233" s="3" t="str">
        <f>IFERROR(INDEX(SecLab,MATCH($B1233,SecKey,0)),"")</f>
        <v>Food &amp; forestry</v>
      </c>
      <c r="F1233" s="3" t="str">
        <f>IFERROR(INDEX(FuelLab,MATCH($C1233,FuelKeyL,0)),"")</f>
        <v/>
      </c>
      <c r="G1233" s="3" t="inlineStr">
        <is>
          <t>.foo</t>
        </is>
      </c>
      <c r="I1233" s="3" t="inlineStr">
        <is>
          <t>ap|fod|so2</t>
        </is>
      </c>
      <c r="J1233" s="3" t="inlineStr">
        <is>
          <t>em.fod.all.so2</t>
        </is>
      </c>
    </row>
    <row r="1234">
      <c r="A1234" s="3" t="str">
        <f>$B1234&amp;"|"&amp;$C1234</f>
        <v>mod|</v>
      </c>
      <c r="B1234" s="3" t="inlineStr">
        <is>
          <t>mod</t>
        </is>
      </c>
      <c r="C1234" s="3" t="inlineStr"/>
      <c r="D1234" s="3" t="str">
        <f>IF($B1234="",""," | "&amp;$E1234&amp;" | "&amp;$F1234)</f>
        <v> |  | </v>
      </c>
      <c r="E1234" s="3" t="str">
        <f>IFERROR(INDEX(SecLab,MATCH($B1234,SecKey,0)),"")</f>
        <v/>
      </c>
      <c r="F1234" s="3" t="str">
        <f>IFERROR(INDEX(FuelLab,MATCH($C1234,FuelKeyL,0)),"")</f>
        <v/>
      </c>
      <c r="G1234" s="3" t="inlineStr">
        <is>
          <t>.mod</t>
        </is>
      </c>
      <c r="I1234" s="3" t="inlineStr">
        <is>
          <t>ap|fag|so2</t>
        </is>
      </c>
      <c r="J1234" s="3" t="inlineStr">
        <is>
          <t>em.fag.all.so2</t>
        </is>
      </c>
    </row>
    <row r="1235">
      <c r="A1235" s="3" t="str">
        <f>$B1235&amp;"|"&amp;$C1235</f>
        <v>oth|coa</v>
      </c>
      <c r="B1235" s="3" t="inlineStr">
        <is>
          <t>oth</t>
        </is>
      </c>
      <c r="C1235" s="3" t="inlineStr">
        <is>
          <t>coa</t>
        </is>
      </c>
      <c r="D1235" s="3" t="str">
        <f>IF($B1235="",""," | "&amp;$E1235&amp;" | "&amp;$F1235)</f>
        <v> | Other | Coal</v>
      </c>
      <c r="E1235" s="3" t="str">
        <f>IFERROR(INDEX(SecLab,MATCH($B1235,SecKey,0)),"")</f>
        <v>Other</v>
      </c>
      <c r="F1235" s="3" t="str">
        <f>IFERROR(INDEX(FuelLab,MATCH($C1235,FuelKeyL,0)),"")</f>
        <v>Coal</v>
      </c>
      <c r="G1235" s="3" t="inlineStr">
        <is>
          <t>.oth.coa</t>
        </is>
      </c>
      <c r="I1235" s="3" t="inlineStr">
        <is>
          <t>ap|rod|voc</t>
        </is>
      </c>
      <c r="J1235" s="3" t="inlineStr">
        <is>
          <t>em.rod.all.voc</t>
        </is>
      </c>
    </row>
    <row r="1236">
      <c r="A1236" s="3" t="str">
        <f>$B1236&amp;"|"&amp;$C1236</f>
        <v>oth|nga</v>
      </c>
      <c r="B1236" s="3" t="inlineStr">
        <is>
          <t>oth</t>
        </is>
      </c>
      <c r="C1236" s="3" t="inlineStr">
        <is>
          <t>nga</t>
        </is>
      </c>
      <c r="D1236" s="3" t="str">
        <f>IF($B1236="",""," | "&amp;$E1236&amp;" | "&amp;$F1236)</f>
        <v> | Other | Natural gas</v>
      </c>
      <c r="E1236" s="3" t="str">
        <f>IFERROR(INDEX(SecLab,MATCH($B1236,SecKey,0)),"")</f>
        <v>Other</v>
      </c>
      <c r="F1236" s="3" t="str">
        <f>IFERROR(INDEX(FuelLab,MATCH($C1236,FuelKeyL,0)),"")</f>
        <v>Natural gas</v>
      </c>
      <c r="G1236" s="3" t="inlineStr">
        <is>
          <t>.oth.nga</t>
        </is>
      </c>
      <c r="I1236" s="3" t="inlineStr">
        <is>
          <t>ap|ral|voc</t>
        </is>
      </c>
      <c r="J1236" s="3" t="inlineStr">
        <is>
          <t>em.ral.all.voc</t>
        </is>
      </c>
    </row>
    <row r="1237">
      <c r="A1237" s="3" t="str">
        <f>$B1237&amp;"|"&amp;$C1237</f>
        <v>oth|odo</v>
      </c>
      <c r="B1237" s="3" t="inlineStr">
        <is>
          <t>oth</t>
        </is>
      </c>
      <c r="C1237" s="3" t="inlineStr">
        <is>
          <t>odo</t>
        </is>
      </c>
      <c r="D1237" s="3" t="str">
        <f>IF($B1237="",""," | "&amp;$E1237&amp;" | "&amp;$F1237)</f>
        <v> | Other | </v>
      </c>
      <c r="E1237" s="3" t="str">
        <f>IFERROR(INDEX(SecLab,MATCH($B1237,SecKey,0)),"")</f>
        <v>Other</v>
      </c>
      <c r="F1237" s="3" t="str">
        <f>IFERROR(INDEX(FuelLab,MATCH($C1237,FuelKeyL,0)),"")</f>
        <v/>
      </c>
      <c r="G1237" s="3" t="inlineStr">
        <is>
          <t>.oth.odo</t>
        </is>
      </c>
      <c r="I1237" s="3" t="inlineStr">
        <is>
          <t>ap|avi|voc</t>
        </is>
      </c>
      <c r="J1237" s="3" t="inlineStr">
        <is>
          <t>em.avi.all.voc</t>
        </is>
      </c>
    </row>
    <row r="1238">
      <c r="A1238" s="3" t="str">
        <f>$B1238&amp;"|"&amp;$C1238</f>
        <v>avg|oop</v>
      </c>
      <c r="B1238" s="3" t="inlineStr">
        <is>
          <t>avg</t>
        </is>
      </c>
      <c r="C1238" s="3" t="inlineStr">
        <is>
          <t>oop</t>
        </is>
      </c>
      <c r="D1238" s="3" t="str">
        <f>IF($B1238="",""," | "&amp;$E1238&amp;" | "&amp;$F1238)</f>
        <v> |  | Other oil products</v>
      </c>
      <c r="E1238" s="3" t="str">
        <f>IFERROR(INDEX(SecLab,MATCH($B1238,SecKey,0)),"")</f>
        <v/>
      </c>
      <c r="F1238" s="3" t="str">
        <f>IFERROR(INDEX(FuelLab,MATCH($C1238,FuelKeyL,0)),"")</f>
        <v>Other oil products</v>
      </c>
      <c r="G1238" s="3" t="inlineStr">
        <is>
          <t>.avg.oop</t>
        </is>
      </c>
      <c r="I1238" s="3" t="inlineStr">
        <is>
          <t>ap|nav|voc</t>
        </is>
      </c>
      <c r="J1238" s="3" t="inlineStr">
        <is>
          <t>em.nav.all.voc</t>
        </is>
      </c>
    </row>
    <row r="1239">
      <c r="A1239" s="3" t="str">
        <f>$B1239&amp;"|"&amp;$C1239</f>
        <v>air|usd</v>
      </c>
      <c r="B1239" s="3" t="inlineStr">
        <is>
          <t>air</t>
        </is>
      </c>
      <c r="C1239" s="3" t="inlineStr">
        <is>
          <t>usd</t>
        </is>
      </c>
      <c r="D1239" s="3" t="str">
        <f>IF($B1239="",""," | "&amp;$E1239&amp;" | "&amp;$F1239)</f>
        <v> |  | </v>
      </c>
      <c r="E1239" s="3" t="str">
        <f>IFERROR(INDEX(SecLab,MATCH($B1239,SecKey,0)),"")</f>
        <v/>
      </c>
      <c r="F1239" s="3" t="str">
        <f>IFERROR(INDEX(FuelLab,MATCH($C1239,FuelKeyL,0)),"")</f>
        <v/>
      </c>
      <c r="G1239" s="3" t="inlineStr">
        <is>
          <t>.air.usd</t>
        </is>
      </c>
      <c r="I1239" s="3" t="inlineStr">
        <is>
          <t>ap|res|voc</t>
        </is>
      </c>
      <c r="J1239" s="3" t="inlineStr">
        <is>
          <t>em.res.all.voc</t>
        </is>
      </c>
    </row>
    <row r="1240">
      <c r="A1240" s="3" t="str">
        <f>$B1240&amp;"|"&amp;$C1240</f>
        <v>aci|usd</v>
      </c>
      <c r="B1240" s="3" t="inlineStr">
        <is>
          <t>aci</t>
        </is>
      </c>
      <c r="C1240" s="3" t="inlineStr">
        <is>
          <t>usd</t>
        </is>
      </c>
      <c r="D1240" s="3" t="str">
        <f>IF($B1240="",""," | "&amp;$E1240&amp;" | "&amp;$F1240)</f>
        <v> |  | </v>
      </c>
      <c r="E1240" s="3" t="str">
        <f>IFERROR(INDEX(SecLab,MATCH($B1240,SecKey,0)),"")</f>
        <v/>
      </c>
      <c r="F1240" s="3" t="str">
        <f>IFERROR(INDEX(FuelLab,MATCH($C1240,FuelKeyL,0)),"")</f>
        <v/>
      </c>
      <c r="G1240" s="3" t="inlineStr">
        <is>
          <t>.aci.usd</t>
        </is>
      </c>
      <c r="I1240" s="3" t="inlineStr">
        <is>
          <t>ap|foo|voc</t>
        </is>
      </c>
      <c r="J1240" s="3" t="inlineStr">
        <is>
          <t>em.foo.all.voc</t>
        </is>
      </c>
    </row>
    <row r="1241">
      <c r="A1241" s="3" t="str">
        <f>$B1241&amp;"|"&amp;$C1241</f>
        <v>con|usd</v>
      </c>
      <c r="B1241" s="3" t="inlineStr">
        <is>
          <t>con</t>
        </is>
      </c>
      <c r="C1241" s="3" t="inlineStr">
        <is>
          <t>usd</t>
        </is>
      </c>
      <c r="D1241" s="3" t="str">
        <f>IF($B1241="",""," | "&amp;$E1241&amp;" | "&amp;$F1241)</f>
        <v> |  | </v>
      </c>
      <c r="E1241" s="3" t="str">
        <f>IFERROR(INDEX(SecLab,MATCH($B1241,SecKey,0)),"")</f>
        <v/>
      </c>
      <c r="F1241" s="3" t="str">
        <f>IFERROR(INDEX(FuelLab,MATCH($C1241,FuelKeyL,0)),"")</f>
        <v/>
      </c>
      <c r="G1241" s="3" t="inlineStr">
        <is>
          <t>.con.usd</t>
        </is>
      </c>
      <c r="I1241" s="3" t="inlineStr">
        <is>
          <t>ap|srv|voc</t>
        </is>
      </c>
      <c r="J1241" s="3" t="inlineStr">
        <is>
          <t>em.srv.all.voc</t>
        </is>
      </c>
    </row>
    <row r="1242">
      <c r="A1242" s="3" t="str">
        <f>$B1242&amp;"|"&amp;$C1242</f>
        <v>dmg|usd</v>
      </c>
      <c r="B1242" s="3" t="inlineStr">
        <is>
          <t>dmg</t>
        </is>
      </c>
      <c r="C1242" s="3" t="inlineStr">
        <is>
          <t>usd</t>
        </is>
      </c>
      <c r="D1242" s="3" t="str">
        <f>IF($B1242="",""," | "&amp;$E1242&amp;" | "&amp;$F1242)</f>
        <v> |  | </v>
      </c>
      <c r="E1242" s="3" t="str">
        <f>IFERROR(INDEX(SecLab,MATCH($B1242,SecKey,0)),"")</f>
        <v/>
      </c>
      <c r="F1242" s="3" t="str">
        <f>IFERROR(INDEX(FuelLab,MATCH($C1242,FuelKeyL,0)),"")</f>
        <v/>
      </c>
      <c r="G1242" s="3" t="inlineStr">
        <is>
          <t>.dmg.usd</t>
        </is>
      </c>
      <c r="I1242" s="3" t="inlineStr">
        <is>
          <t>ap|mch|voc</t>
        </is>
      </c>
      <c r="J1242" s="3" t="inlineStr">
        <is>
          <t>em.mch.all.voc</t>
        </is>
      </c>
    </row>
    <row r="1243">
      <c r="A1243" s="3" t="str">
        <f>$B1243&amp;"|"&amp;$C1243</f>
        <v>all|pct</v>
      </c>
      <c r="B1243" s="3" t="inlineStr">
        <is>
          <t>all</t>
        </is>
      </c>
      <c r="C1243" s="3" t="inlineStr">
        <is>
          <t>pct</t>
        </is>
      </c>
      <c r="D1243" s="3" t="str">
        <f>IF($B1243="",""," | "&amp;$E1243&amp;" | "&amp;$F1243)</f>
        <v> | All sectors | </v>
      </c>
      <c r="E1243" s="3" t="str">
        <f>IFERROR(INDEX(SecLab,MATCH($B1243,SecKey,0)),"")</f>
        <v>All sectors</v>
      </c>
      <c r="F1243" s="3" t="str">
        <f>IFERROR(INDEX(FuelLab,MATCH($C1243,FuelKeyL,0)),"")</f>
        <v/>
      </c>
      <c r="G1243" s="3" t="inlineStr">
        <is>
          <t>.all.pct</t>
        </is>
      </c>
      <c r="I1243" s="3" t="inlineStr">
        <is>
          <t>ap|irn|voc</t>
        </is>
      </c>
      <c r="J1243" s="3" t="inlineStr">
        <is>
          <t>em.irn.all.voc</t>
        </is>
      </c>
    </row>
    <row r="1244">
      <c r="A1244" s="3" t="str">
        <f>$B1244&amp;"|"&amp;$C1244</f>
        <v>all|cli</v>
      </c>
      <c r="B1244" s="3" t="inlineStr">
        <is>
          <t>all</t>
        </is>
      </c>
      <c r="C1244" s="3" t="inlineStr">
        <is>
          <t>cli</t>
        </is>
      </c>
      <c r="D1244" s="3" t="str">
        <f>IF($B1244="",""," | "&amp;$E1244&amp;" | "&amp;$F1244)</f>
        <v> | All sectors | </v>
      </c>
      <c r="E1244" s="3" t="str">
        <f>IFERROR(INDEX(SecLab,MATCH($B1244,SecKey,0)),"")</f>
        <v>All sectors</v>
      </c>
      <c r="F1244" s="3" t="str">
        <f>IFERROR(INDEX(FuelLab,MATCH($C1244,FuelKeyL,0)),"")</f>
        <v/>
      </c>
      <c r="G1244" s="3" t="inlineStr">
        <is>
          <t>.all.cli</t>
        </is>
      </c>
      <c r="I1244" s="3" t="inlineStr">
        <is>
          <t>ap|nfm|voc</t>
        </is>
      </c>
      <c r="J1244" s="3" t="inlineStr">
        <is>
          <t>em.nfm.all.voc</t>
        </is>
      </c>
    </row>
    <row r="1245">
      <c r="A1245" s="3" t="str">
        <f>$B1245&amp;"|"&amp;$C1245</f>
        <v>air|pct</v>
      </c>
      <c r="B1245" s="3" t="inlineStr">
        <is>
          <t>air</t>
        </is>
      </c>
      <c r="C1245" s="3" t="inlineStr">
        <is>
          <t>pct</t>
        </is>
      </c>
      <c r="D1245" s="3" t="str">
        <f>IF($B1245="",""," | "&amp;$E1245&amp;" | "&amp;$F1245)</f>
        <v> |  | </v>
      </c>
      <c r="E1245" s="3" t="str">
        <f>IFERROR(INDEX(SecLab,MATCH($B1245,SecKey,0)),"")</f>
        <v/>
      </c>
      <c r="F1245" s="3" t="str">
        <f>IFERROR(INDEX(FuelLab,MATCH($C1245,FuelKeyL,0)),"")</f>
        <v/>
      </c>
      <c r="G1245" s="3" t="inlineStr">
        <is>
          <t>.air.pct</t>
        </is>
      </c>
      <c r="I1245" s="3" t="inlineStr">
        <is>
          <t>ap|mac|voc</t>
        </is>
      </c>
      <c r="J1245" s="3" t="inlineStr">
        <is>
          <t>em.mac.all.voc</t>
        </is>
      </c>
    </row>
    <row r="1246">
      <c r="A1246" s="3" t="str">
        <f>$B1246&amp;"|"&amp;$C1246</f>
        <v>rod|pct</v>
      </c>
      <c r="B1246" s="3" t="inlineStr">
        <is>
          <t>rod</t>
        </is>
      </c>
      <c r="C1246" s="3" t="inlineStr">
        <is>
          <t>pct</t>
        </is>
      </c>
      <c r="D1246" s="3" t="str">
        <f>IF($B1246="",""," | "&amp;$E1246&amp;" | "&amp;$F1246)</f>
        <v> | Road | </v>
      </c>
      <c r="E1246" s="3" t="str">
        <f>IFERROR(INDEX(SecLab,MATCH($B1246,SecKey,0)),"")</f>
        <v>Road</v>
      </c>
      <c r="F1246" s="3" t="str">
        <f>IFERROR(INDEX(FuelLab,MATCH($C1246,FuelKeyL,0)),"")</f>
        <v/>
      </c>
      <c r="G1246" s="3" t="inlineStr">
        <is>
          <t>.rod.pct</t>
        </is>
      </c>
      <c r="I1246" s="3" t="inlineStr">
        <is>
          <t>ap|cem|voc</t>
        </is>
      </c>
      <c r="J1246" s="3" t="inlineStr">
        <is>
          <t>em.cem.all.voc</t>
        </is>
      </c>
    </row>
    <row r="1247">
      <c r="A1247" s="3" t="str">
        <f>$B1247&amp;"|"&amp;$C1247</f>
        <v>all|eff</v>
      </c>
      <c r="B1247" s="3" t="inlineStr">
        <is>
          <t>all</t>
        </is>
      </c>
      <c r="C1247" s="3" t="inlineStr">
        <is>
          <t>eff</t>
        </is>
      </c>
      <c r="D1247" s="3" t="str">
        <f>IF($B1247="",""," | "&amp;$E1247&amp;" | "&amp;$F1247)</f>
        <v> | All sectors | </v>
      </c>
      <c r="E1247" s="3" t="str">
        <f>IFERROR(INDEX(SecLab,MATCH($B1247,SecKey,0)),"")</f>
        <v>All sectors</v>
      </c>
      <c r="F1247" s="3" t="str">
        <f>IFERROR(INDEX(FuelLab,MATCH($C1247,FuelKeyL,0)),"")</f>
        <v/>
      </c>
      <c r="G1247" s="3" t="inlineStr">
        <is>
          <t>.all.eff</t>
        </is>
      </c>
      <c r="I1247" s="3" t="inlineStr">
        <is>
          <t>ap|omn|voc</t>
        </is>
      </c>
      <c r="J1247" s="3" t="inlineStr">
        <is>
          <t>em.omn.all.voc</t>
        </is>
      </c>
    </row>
    <row r="1248">
      <c r="A1248" s="3" t="str">
        <f>$B1248&amp;"|"&amp;$C1248</f>
        <v>rd|gso</v>
      </c>
      <c r="B1248" s="3" t="inlineStr">
        <is>
          <t>rd</t>
        </is>
      </c>
      <c r="C1248" s="3" t="inlineStr">
        <is>
          <t>gso</t>
        </is>
      </c>
      <c r="D1248" s="3" t="str">
        <f>IF($B1248="",""," | "&amp;$E1248&amp;" | "&amp;$F1248)</f>
        <v> |  | Gasoline</v>
      </c>
      <c r="E1248" s="3" t="str">
        <f>IFERROR(INDEX(SecLab,MATCH($B1248,SecKey,0)),"")</f>
        <v/>
      </c>
      <c r="F1248" s="3" t="str">
        <f>IFERROR(INDEX(FuelLab,MATCH($C1248,FuelKeyL,0)),"")</f>
        <v>Gasoline</v>
      </c>
      <c r="G1248" s="3" t="inlineStr">
        <is>
          <t>.rd.gso</t>
        </is>
      </c>
      <c r="I1248" s="3" t="inlineStr">
        <is>
          <t>ap|cst|voc</t>
        </is>
      </c>
      <c r="J1248" s="3" t="inlineStr">
        <is>
          <t>em.cst.all.voc</t>
        </is>
      </c>
    </row>
    <row r="1249">
      <c r="A1249" s="3" t="str">
        <f>$B1249&amp;"|"&amp;$C1249</f>
        <v>rd|die</v>
      </c>
      <c r="B1249" s="3" t="inlineStr">
        <is>
          <t>rd</t>
        </is>
      </c>
      <c r="C1249" s="3" t="inlineStr">
        <is>
          <t>die</t>
        </is>
      </c>
      <c r="D1249" s="3" t="str">
        <f>IF($B1249="",""," | "&amp;$E1249&amp;" | "&amp;$F1249)</f>
        <v> |  | Diesel</v>
      </c>
      <c r="E1249" s="3" t="str">
        <f>IFERROR(INDEX(SecLab,MATCH($B1249,SecKey,0)),"")</f>
        <v/>
      </c>
      <c r="F1249" s="3" t="str">
        <f>IFERROR(INDEX(FuelLab,MATCH($C1249,FuelKeyL,0)),"")</f>
        <v>Diesel</v>
      </c>
      <c r="G1249" s="3" t="inlineStr">
        <is>
          <t>.rd.die</t>
        </is>
      </c>
      <c r="I1249" s="3" t="inlineStr">
        <is>
          <t>ap|ftr|voc</t>
        </is>
      </c>
      <c r="J1249" s="3" t="inlineStr">
        <is>
          <t>em.ftr.all.voc</t>
        </is>
      </c>
    </row>
    <row r="1250">
      <c r="A1250" s="3" t="str">
        <f>$B1250&amp;"|"&amp;$C1250</f>
        <v>oth|gso</v>
      </c>
      <c r="B1250" s="3" t="inlineStr">
        <is>
          <t>oth</t>
        </is>
      </c>
      <c r="C1250" s="3" t="inlineStr">
        <is>
          <t>gso</t>
        </is>
      </c>
      <c r="D1250" s="3" t="str">
        <f>IF($B1250="",""," | "&amp;$E1250&amp;" | "&amp;$F1250)</f>
        <v> | Other | Gasoline</v>
      </c>
      <c r="E1250" s="3" t="str">
        <f>IFERROR(INDEX(SecLab,MATCH($B1250,SecKey,0)),"")</f>
        <v>Other</v>
      </c>
      <c r="F1250" s="3" t="str">
        <f>IFERROR(INDEX(FuelLab,MATCH($C1250,FuelKeyL,0)),"")</f>
        <v>Gasoline</v>
      </c>
      <c r="G1250" s="3" t="inlineStr">
        <is>
          <t>.oth.gso</t>
        </is>
      </c>
      <c r="I1250" s="3" t="inlineStr">
        <is>
          <t>ap|oen|voc</t>
        </is>
      </c>
      <c r="J1250" s="3" t="inlineStr">
        <is>
          <t>em.oen.all.voc</t>
        </is>
      </c>
    </row>
    <row r="1251">
      <c r="A1251" s="3" t="str">
        <f>$B1251&amp;"|"&amp;$C1251</f>
        <v>oth|die</v>
      </c>
      <c r="B1251" s="3" t="inlineStr">
        <is>
          <t>oth</t>
        </is>
      </c>
      <c r="C1251" s="3" t="inlineStr">
        <is>
          <t>die</t>
        </is>
      </c>
      <c r="D1251" s="3" t="str">
        <f>IF($B1251="",""," | "&amp;$E1251&amp;" | "&amp;$F1251)</f>
        <v> | Other | Diesel</v>
      </c>
      <c r="E1251" s="3" t="str">
        <f>IFERROR(INDEX(SecLab,MATCH($B1251,SecKey,0)),"")</f>
        <v>Other</v>
      </c>
      <c r="F1251" s="3" t="str">
        <f>IFERROR(INDEX(FuelLab,MATCH($C1251,FuelKeyL,0)),"")</f>
        <v>Diesel</v>
      </c>
      <c r="G1251" s="3" t="inlineStr">
        <is>
          <t>.oth.die</t>
        </is>
      </c>
      <c r="I1251" s="3" t="inlineStr">
        <is>
          <t>ap|pow|voc</t>
        </is>
      </c>
      <c r="J1251" s="3" t="inlineStr">
        <is>
          <t>em.pow.all.voc</t>
        </is>
      </c>
    </row>
    <row r="1252">
      <c r="A1252" s="3" t="str">
        <f>$B1252&amp;"|"&amp;$C1252</f>
        <v>tot|</v>
      </c>
      <c r="B1252" s="3" t="inlineStr">
        <is>
          <t>tot</t>
        </is>
      </c>
      <c r="C1252" s="3" t="inlineStr"/>
      <c r="D1252" s="3" t="str">
        <f>IF($B1252="",""," | "&amp;$E1252&amp;" | "&amp;$F1252)</f>
        <v> |  | </v>
      </c>
      <c r="E1252" s="3" t="str">
        <f>IFERROR(INDEX(SecLab,MATCH($B1252,SecKey,0)),"")</f>
        <v/>
      </c>
      <c r="F1252" s="3" t="str">
        <f>IFERROR(INDEX(FuelLab,MATCH($C1252,FuelKeyL,0)),"")</f>
        <v/>
      </c>
      <c r="G1252" s="3" t="inlineStr">
        <is>
          <t>.tot</t>
        </is>
      </c>
      <c r="I1252" s="3" t="inlineStr">
        <is>
          <t>ap|tra|voc</t>
        </is>
      </c>
      <c r="J1252" s="3" t="inlineStr">
        <is>
          <t>em.tra.all.voc</t>
        </is>
      </c>
    </row>
    <row r="1253">
      <c r="A1253" s="3" t="str">
        <f>$B1253&amp;"|"&amp;$C1253</f>
        <v>oth|ecy</v>
      </c>
      <c r="B1253" s="3" t="inlineStr">
        <is>
          <t>oth</t>
        </is>
      </c>
      <c r="C1253" s="3" t="inlineStr">
        <is>
          <t>ecy</t>
        </is>
      </c>
      <c r="D1253" s="3" t="str">
        <f>IF($B1253="",""," | "&amp;$E1253&amp;" | "&amp;$F1253)</f>
        <v> | Other | Electricity</v>
      </c>
      <c r="E1253" s="3" t="str">
        <f>IFERROR(INDEX(SecLab,MATCH($B1253,SecKey,0)),"")</f>
        <v>Other</v>
      </c>
      <c r="F1253" s="3" t="str">
        <f>IFERROR(INDEX(FuelLab,MATCH($C1253,FuelKeyL,0)),"")</f>
        <v>Electricity</v>
      </c>
      <c r="G1253" s="3" t="inlineStr">
        <is>
          <t>.oth.ecy</t>
        </is>
      </c>
      <c r="I1253" s="3" t="inlineStr">
        <is>
          <t>ap|bld|voc</t>
        </is>
      </c>
      <c r="J1253" s="3" t="inlineStr">
        <is>
          <t>em.bld.all.voc</t>
        </is>
      </c>
    </row>
    <row r="1254">
      <c r="A1254" s="3" t="str">
        <f>$B1254&amp;"|"&amp;$C1254</f>
        <v>avg|</v>
      </c>
      <c r="B1254" s="3" t="inlineStr">
        <is>
          <t>avg</t>
        </is>
      </c>
      <c r="C1254" s="3" t="inlineStr"/>
      <c r="D1254" s="3" t="str">
        <f>IF($B1254="",""," | "&amp;$E1254&amp;" | "&amp;$F1254)</f>
        <v> |  | </v>
      </c>
      <c r="E1254" s="3" t="str">
        <f>IFERROR(INDEX(SecLab,MATCH($B1254,SecKey,0)),"")</f>
        <v/>
      </c>
      <c r="F1254" s="3" t="str">
        <f>IFERROR(INDEX(FuelLab,MATCH($C1254,FuelKeyL,0)),"")</f>
        <v/>
      </c>
      <c r="G1254" s="3" t="inlineStr">
        <is>
          <t>.avg</t>
        </is>
      </c>
      <c r="I1254" s="3" t="inlineStr">
        <is>
          <t>ap|ind|voc</t>
        </is>
      </c>
      <c r="J1254" s="3" t="inlineStr">
        <is>
          <t>em.ind.all.voc</t>
        </is>
      </c>
    </row>
    <row r="1255">
      <c r="A1255" s="3" t="str">
        <f>$B1255&amp;"|"&amp;$C1255</f>
        <v>rod|pm2</v>
      </c>
      <c r="B1255" s="3" t="inlineStr">
        <is>
          <t>rod</t>
        </is>
      </c>
      <c r="C1255" s="3" t="inlineStr">
        <is>
          <t>pm2</t>
        </is>
      </c>
      <c r="D1255" s="3" t="str">
        <f>IF($B1255="",""," | "&amp;$E1255&amp;" | "&amp;$F1255)</f>
        <v> | Road | PM2.5</v>
      </c>
      <c r="E1255" s="3" t="str">
        <f>IFERROR(INDEX(SecLab,MATCH($B1255,SecKey,0)),"")</f>
        <v>Road</v>
      </c>
      <c r="F1255" s="3" t="str">
        <f>IFERROR(INDEX(FuelLab,MATCH($C1255,FuelKeyL,0)),"")</f>
        <v>PM2.5</v>
      </c>
      <c r="G1255" s="3" t="inlineStr">
        <is>
          <t>.rod.pm2</t>
        </is>
      </c>
      <c r="I1255" s="3" t="inlineStr">
        <is>
          <t>ap|fod|voc</t>
        </is>
      </c>
      <c r="J1255" s="3" t="inlineStr">
        <is>
          <t>em.fod.all.voc</t>
        </is>
      </c>
    </row>
    <row r="1256">
      <c r="A1256" s="3" t="str">
        <f>$B1256&amp;"|"&amp;$C1256</f>
        <v>ral|pm2</v>
      </c>
      <c r="B1256" s="3" t="inlineStr">
        <is>
          <t>ral</t>
        </is>
      </c>
      <c r="C1256" s="3" t="inlineStr">
        <is>
          <t>pm2</t>
        </is>
      </c>
      <c r="D1256" s="3" t="str">
        <f>IF($B1256="",""," | "&amp;$E1256&amp;" | "&amp;$F1256)</f>
        <v> | Rail | PM2.5</v>
      </c>
      <c r="E1256" s="3" t="str">
        <f>IFERROR(INDEX(SecLab,MATCH($B1256,SecKey,0)),"")</f>
        <v>Rail</v>
      </c>
      <c r="F1256" s="3" t="str">
        <f>IFERROR(INDEX(FuelLab,MATCH($C1256,FuelKeyL,0)),"")</f>
        <v>PM2.5</v>
      </c>
      <c r="G1256" s="3" t="inlineStr">
        <is>
          <t>.ral.pm2</t>
        </is>
      </c>
      <c r="I1256" s="3" t="inlineStr">
        <is>
          <t>ap|fag|voc</t>
        </is>
      </c>
      <c r="J1256" s="3" t="inlineStr">
        <is>
          <t>em.fag.all.voc</t>
        </is>
      </c>
    </row>
    <row r="1257">
      <c r="A1257" s="3" t="str">
        <f>$B1257&amp;"|"&amp;$C1257</f>
        <v>avi|pm2</v>
      </c>
      <c r="B1257" s="3" t="inlineStr">
        <is>
          <t>avi</t>
        </is>
      </c>
      <c r="C1257" s="3" t="inlineStr">
        <is>
          <t>pm2</t>
        </is>
      </c>
      <c r="D1257" s="3" t="str">
        <f>IF($B1257="",""," | "&amp;$E1257&amp;" | "&amp;$F1257)</f>
        <v> | Domestic aviation | PM2.5</v>
      </c>
      <c r="E1257" s="3" t="str">
        <f>IFERROR(INDEX(SecLab,MATCH($B1257,SecKey,0)),"")</f>
        <v>Domestic aviation</v>
      </c>
      <c r="F1257" s="3" t="str">
        <f>IFERROR(INDEX(FuelLab,MATCH($C1257,FuelKeyL,0)),"")</f>
        <v>PM2.5</v>
      </c>
      <c r="G1257" s="3" t="inlineStr">
        <is>
          <t>.avi.pm2</t>
        </is>
      </c>
      <c r="I1257" s="3" t="inlineStr">
        <is>
          <t>ap|rod|bc</t>
        </is>
      </c>
      <c r="J1257" s="3" t="inlineStr">
        <is>
          <t>em.rod.all.bc</t>
        </is>
      </c>
    </row>
    <row r="1258">
      <c r="A1258" s="3" t="str">
        <f>$B1258&amp;"|"&amp;$C1258</f>
        <v>nav|pm2</v>
      </c>
      <c r="B1258" s="3" t="inlineStr">
        <is>
          <t>nav</t>
        </is>
      </c>
      <c r="C1258" s="3" t="inlineStr">
        <is>
          <t>pm2</t>
        </is>
      </c>
      <c r="D1258" s="3" t="str">
        <f>IF($B1258="",""," | "&amp;$E1258&amp;" | "&amp;$F1258)</f>
        <v> | Domestic navigation | PM2.5</v>
      </c>
      <c r="E1258" s="3" t="str">
        <f>IFERROR(INDEX(SecLab,MATCH($B1258,SecKey,0)),"")</f>
        <v>Domestic navigation</v>
      </c>
      <c r="F1258" s="3" t="str">
        <f>IFERROR(INDEX(FuelLab,MATCH($C1258,FuelKeyL,0)),"")</f>
        <v>PM2.5</v>
      </c>
      <c r="G1258" s="3" t="inlineStr">
        <is>
          <t>.nav.pm2</t>
        </is>
      </c>
      <c r="I1258" s="3" t="inlineStr">
        <is>
          <t>ap|ral|bc</t>
        </is>
      </c>
      <c r="J1258" s="3" t="inlineStr">
        <is>
          <t>em.ral.all.bc</t>
        </is>
      </c>
    </row>
    <row r="1259">
      <c r="A1259" s="3" t="str">
        <f>$B1259&amp;"|"&amp;$C1259</f>
        <v>res|pm2</v>
      </c>
      <c r="B1259" s="3" t="inlineStr">
        <is>
          <t>res</t>
        </is>
      </c>
      <c r="C1259" s="3" t="inlineStr">
        <is>
          <t>pm2</t>
        </is>
      </c>
      <c r="D1259" s="3" t="str">
        <f>IF($B1259="",""," | "&amp;$E1259&amp;" | "&amp;$F1259)</f>
        <v> | Residential | PM2.5</v>
      </c>
      <c r="E1259" s="3" t="str">
        <f>IFERROR(INDEX(SecLab,MATCH($B1259,SecKey,0)),"")</f>
        <v>Residential</v>
      </c>
      <c r="F1259" s="3" t="str">
        <f>IFERROR(INDEX(FuelLab,MATCH($C1259,FuelKeyL,0)),"")</f>
        <v>PM2.5</v>
      </c>
      <c r="G1259" s="3" t="inlineStr">
        <is>
          <t>.res.pm2</t>
        </is>
      </c>
      <c r="I1259" s="3" t="inlineStr">
        <is>
          <t>ap|avi|bc</t>
        </is>
      </c>
      <c r="J1259" s="3" t="inlineStr">
        <is>
          <t>em.avi.all.bc</t>
        </is>
      </c>
    </row>
    <row r="1260">
      <c r="A1260" s="3" t="str">
        <f>$B1260&amp;"|"&amp;$C1260</f>
        <v>foo|pm2</v>
      </c>
      <c r="B1260" s="3" t="inlineStr">
        <is>
          <t>foo</t>
        </is>
      </c>
      <c r="C1260" s="3" t="inlineStr">
        <is>
          <t>pm2</t>
        </is>
      </c>
      <c r="D1260" s="3" t="str">
        <f>IF($B1260="",""," | "&amp;$E1260&amp;" | "&amp;$F1260)</f>
        <v> | Food &amp; forestry | PM2.5</v>
      </c>
      <c r="E1260" s="3" t="str">
        <f>IFERROR(INDEX(SecLab,MATCH($B1260,SecKey,0)),"")</f>
        <v>Food &amp; forestry</v>
      </c>
      <c r="F1260" s="3" t="str">
        <f>IFERROR(INDEX(FuelLab,MATCH($C1260,FuelKeyL,0)),"")</f>
        <v>PM2.5</v>
      </c>
      <c r="G1260" s="3" t="inlineStr">
        <is>
          <t>.foo.pm2</t>
        </is>
      </c>
      <c r="I1260" s="3" t="inlineStr">
        <is>
          <t>ap|nav|bc</t>
        </is>
      </c>
      <c r="J1260" s="3" t="inlineStr">
        <is>
          <t>em.nav.all.bc</t>
        </is>
      </c>
    </row>
    <row r="1261">
      <c r="A1261" s="3" t="str">
        <f>$B1261&amp;"|"&amp;$C1261</f>
        <v>srv|pm2</v>
      </c>
      <c r="B1261" s="3" t="inlineStr">
        <is>
          <t>srv</t>
        </is>
      </c>
      <c r="C1261" s="3" t="inlineStr">
        <is>
          <t>pm2</t>
        </is>
      </c>
      <c r="D1261" s="3" t="str">
        <f>IF($B1261="",""," | "&amp;$E1261&amp;" | "&amp;$F1261)</f>
        <v> | Services (public &amp; private) | PM2.5</v>
      </c>
      <c r="E1261" s="3" t="str">
        <f>IFERROR(INDEX(SecLab,MATCH($B1261,SecKey,0)),"")</f>
        <v>Services (public &amp; private)</v>
      </c>
      <c r="F1261" s="3" t="str">
        <f>IFERROR(INDEX(FuelLab,MATCH($C1261,FuelKeyL,0)),"")</f>
        <v>PM2.5</v>
      </c>
      <c r="G1261" s="3" t="inlineStr">
        <is>
          <t>.srv.pm2</t>
        </is>
      </c>
      <c r="I1261" s="3" t="inlineStr">
        <is>
          <t>ap|res|bc</t>
        </is>
      </c>
      <c r="J1261" s="3" t="inlineStr">
        <is>
          <t>em.res.all.bc</t>
        </is>
      </c>
    </row>
    <row r="1262">
      <c r="A1262" s="3" t="str">
        <f>$B1262&amp;"|"&amp;$C1262</f>
        <v>mch|pm2</v>
      </c>
      <c r="B1262" s="3" t="inlineStr">
        <is>
          <t>mch</t>
        </is>
      </c>
      <c r="C1262" s="3" t="inlineStr">
        <is>
          <t>pm2</t>
        </is>
      </c>
      <c r="D1262" s="3" t="str">
        <f>IF($B1262="",""," | "&amp;$E1262&amp;" | "&amp;$F1262)</f>
        <v> | Mining &amp; chemicals | PM2.5</v>
      </c>
      <c r="E1262" s="3" t="str">
        <f>IFERROR(INDEX(SecLab,MATCH($B1262,SecKey,0)),"")</f>
        <v>Mining &amp; chemicals</v>
      </c>
      <c r="F1262" s="3" t="str">
        <f>IFERROR(INDEX(FuelLab,MATCH($C1262,FuelKeyL,0)),"")</f>
        <v>PM2.5</v>
      </c>
      <c r="G1262" s="3" t="inlineStr">
        <is>
          <t>.mch.pm2</t>
        </is>
      </c>
      <c r="I1262" s="3" t="inlineStr">
        <is>
          <t>ap|foo|bc</t>
        </is>
      </c>
      <c r="J1262" s="3" t="inlineStr">
        <is>
          <t>em.foo.all.bc</t>
        </is>
      </c>
    </row>
    <row r="1263">
      <c r="A1263" s="3" t="str">
        <f>$B1263&amp;"|"&amp;$C1263</f>
        <v>irn|pm2</v>
      </c>
      <c r="B1263" s="3" t="inlineStr">
        <is>
          <t>irn</t>
        </is>
      </c>
      <c r="C1263" s="3" t="inlineStr">
        <is>
          <t>pm2</t>
        </is>
      </c>
      <c r="D1263" s="3" t="str">
        <f>IF($B1263="",""," | "&amp;$E1263&amp;" | "&amp;$F1263)</f>
        <v> | Iron &amp; steel | PM2.5</v>
      </c>
      <c r="E1263" s="3" t="str">
        <f>IFERROR(INDEX(SecLab,MATCH($B1263,SecKey,0)),"")</f>
        <v>Iron &amp; steel</v>
      </c>
      <c r="F1263" s="3" t="str">
        <f>IFERROR(INDEX(FuelLab,MATCH($C1263,FuelKeyL,0)),"")</f>
        <v>PM2.5</v>
      </c>
      <c r="G1263" s="3" t="inlineStr">
        <is>
          <t>.irn.pm2</t>
        </is>
      </c>
      <c r="I1263" s="3" t="inlineStr">
        <is>
          <t>ap|srv|bc</t>
        </is>
      </c>
      <c r="J1263" s="3" t="inlineStr">
        <is>
          <t>em.srv.all.bc</t>
        </is>
      </c>
    </row>
    <row r="1264">
      <c r="A1264" s="3" t="str">
        <f>$B1264&amp;"|"&amp;$C1264</f>
        <v>nfm|pm2</v>
      </c>
      <c r="B1264" s="3" t="inlineStr">
        <is>
          <t>nfm</t>
        </is>
      </c>
      <c r="C1264" s="3" t="inlineStr">
        <is>
          <t>pm2</t>
        </is>
      </c>
      <c r="D1264" s="3" t="str">
        <f>IF($B1264="",""," | "&amp;$E1264&amp;" | "&amp;$F1264)</f>
        <v> | Other metals | PM2.5</v>
      </c>
      <c r="E1264" s="3" t="str">
        <f>IFERROR(INDEX(SecLab,MATCH($B1264,SecKey,0)),"")</f>
        <v>Other metals</v>
      </c>
      <c r="F1264" s="3" t="str">
        <f>IFERROR(INDEX(FuelLab,MATCH($C1264,FuelKeyL,0)),"")</f>
        <v>PM2.5</v>
      </c>
      <c r="G1264" s="3" t="inlineStr">
        <is>
          <t>.nfm.pm2</t>
        </is>
      </c>
      <c r="I1264" s="3" t="inlineStr">
        <is>
          <t>ap|mch|bc</t>
        </is>
      </c>
      <c r="J1264" s="3" t="inlineStr">
        <is>
          <t>em.mch.all.bc</t>
        </is>
      </c>
    </row>
    <row r="1265">
      <c r="A1265" s="3" t="str">
        <f>$B1265&amp;"|"&amp;$C1265</f>
        <v>mac|pm2</v>
      </c>
      <c r="B1265" s="3" t="inlineStr">
        <is>
          <t>mac</t>
        </is>
      </c>
      <c r="C1265" s="3" t="inlineStr">
        <is>
          <t>pm2</t>
        </is>
      </c>
      <c r="D1265" s="3" t="str">
        <f>IF($B1265="",""," | "&amp;$E1265&amp;" | "&amp;$F1265)</f>
        <v> | Machinery | PM2.5</v>
      </c>
      <c r="E1265" s="3" t="str">
        <f>IFERROR(INDEX(SecLab,MATCH($B1265,SecKey,0)),"")</f>
        <v>Machinery</v>
      </c>
      <c r="F1265" s="3" t="str">
        <f>IFERROR(INDEX(FuelLab,MATCH($C1265,FuelKeyL,0)),"")</f>
        <v>PM2.5</v>
      </c>
      <c r="G1265" s="3" t="inlineStr">
        <is>
          <t>.mac.pm2</t>
        </is>
      </c>
      <c r="I1265" s="3" t="inlineStr">
        <is>
          <t>ap|irn|bc</t>
        </is>
      </c>
      <c r="J1265" s="3" t="inlineStr">
        <is>
          <t>em.irn.all.bc</t>
        </is>
      </c>
    </row>
    <row r="1266">
      <c r="A1266" s="3" t="str">
        <f>$B1266&amp;"|"&amp;$C1266</f>
        <v>cem|pm2</v>
      </c>
      <c r="B1266" s="3" t="inlineStr">
        <is>
          <t>cem</t>
        </is>
      </c>
      <c r="C1266" s="3" t="inlineStr">
        <is>
          <t>pm2</t>
        </is>
      </c>
      <c r="D1266" s="3" t="str">
        <f>IF($B1266="",""," | "&amp;$E1266&amp;" | "&amp;$F1266)</f>
        <v> | Cement | PM2.5</v>
      </c>
      <c r="E1266" s="3" t="str">
        <f>IFERROR(INDEX(SecLab,MATCH($B1266,SecKey,0)),"")</f>
        <v>Cement</v>
      </c>
      <c r="F1266" s="3" t="str">
        <f>IFERROR(INDEX(FuelLab,MATCH($C1266,FuelKeyL,0)),"")</f>
        <v>PM2.5</v>
      </c>
      <c r="G1266" s="3" t="inlineStr">
        <is>
          <t>.cem.pm2</t>
        </is>
      </c>
      <c r="I1266" s="3" t="inlineStr">
        <is>
          <t>ap|nfm|bc</t>
        </is>
      </c>
      <c r="J1266" s="3" t="inlineStr">
        <is>
          <t>em.nfm.all.bc</t>
        </is>
      </c>
    </row>
    <row r="1267">
      <c r="A1267" s="3" t="str">
        <f>$B1267&amp;"|"&amp;$C1267</f>
        <v>omn|pm2</v>
      </c>
      <c r="B1267" s="3" t="inlineStr">
        <is>
          <t>omn</t>
        </is>
      </c>
      <c r="C1267" s="3" t="inlineStr">
        <is>
          <t>pm2</t>
        </is>
      </c>
      <c r="D1267" s="3" t="str">
        <f>IF($B1267="",""," | "&amp;$E1267&amp;" | "&amp;$F1267)</f>
        <v> | Other manufacturing | PM2.5</v>
      </c>
      <c r="E1267" s="3" t="str">
        <f>IFERROR(INDEX(SecLab,MATCH($B1267,SecKey,0)),"")</f>
        <v>Other manufacturing</v>
      </c>
      <c r="F1267" s="3" t="str">
        <f>IFERROR(INDEX(FuelLab,MATCH($C1267,FuelKeyL,0)),"")</f>
        <v>PM2.5</v>
      </c>
      <c r="G1267" s="3" t="inlineStr">
        <is>
          <t>.omn.pm2</t>
        </is>
      </c>
      <c r="I1267" s="3" t="inlineStr">
        <is>
          <t>ap|mac|bc</t>
        </is>
      </c>
      <c r="J1267" s="3" t="inlineStr">
        <is>
          <t>em.mac.all.bc</t>
        </is>
      </c>
    </row>
    <row r="1268">
      <c r="A1268" s="3" t="str">
        <f>$B1268&amp;"|"&amp;$C1268</f>
        <v>cst|pm2</v>
      </c>
      <c r="B1268" s="3" t="inlineStr">
        <is>
          <t>cst</t>
        </is>
      </c>
      <c r="C1268" s="3" t="inlineStr">
        <is>
          <t>pm2</t>
        </is>
      </c>
      <c r="D1268" s="3" t="str">
        <f>IF($B1268="",""," | "&amp;$E1268&amp;" | "&amp;$F1268)</f>
        <v> | Construction | PM2.5</v>
      </c>
      <c r="E1268" s="3" t="str">
        <f>IFERROR(INDEX(SecLab,MATCH($B1268,SecKey,0)),"")</f>
        <v>Construction</v>
      </c>
      <c r="F1268" s="3" t="str">
        <f>IFERROR(INDEX(FuelLab,MATCH($C1268,FuelKeyL,0)),"")</f>
        <v>PM2.5</v>
      </c>
      <c r="G1268" s="3" t="inlineStr">
        <is>
          <t>.cst.pm2</t>
        </is>
      </c>
      <c r="I1268" s="3" t="inlineStr">
        <is>
          <t>ap|cem|bc</t>
        </is>
      </c>
      <c r="J1268" s="3" t="inlineStr">
        <is>
          <t>em.cem.all.bc</t>
        </is>
      </c>
    </row>
    <row r="1269">
      <c r="A1269" s="3" t="str">
        <f>$B1269&amp;"|"&amp;$C1269</f>
        <v>ftr|pm2</v>
      </c>
      <c r="B1269" s="3" t="inlineStr">
        <is>
          <t>ftr</t>
        </is>
      </c>
      <c r="C1269" s="3" t="inlineStr">
        <is>
          <t>pm2</t>
        </is>
      </c>
      <c r="D1269" s="3" t="str">
        <f>IF($B1269="",""," | "&amp;$E1269&amp;" | "&amp;$F1269)</f>
        <v> | Fuel transformation | PM2.5</v>
      </c>
      <c r="E1269" s="3" t="str">
        <f>IFERROR(INDEX(SecLab,MATCH($B1269,SecKey,0)),"")</f>
        <v>Fuel transformation</v>
      </c>
      <c r="F1269" s="3" t="str">
        <f>IFERROR(INDEX(FuelLab,MATCH($C1269,FuelKeyL,0)),"")</f>
        <v>PM2.5</v>
      </c>
      <c r="G1269" s="3" t="inlineStr">
        <is>
          <t>.ftr.pm2</t>
        </is>
      </c>
      <c r="I1269" s="3" t="inlineStr">
        <is>
          <t>ap|omn|bc</t>
        </is>
      </c>
      <c r="J1269" s="3" t="inlineStr">
        <is>
          <t>em.omn.all.bc</t>
        </is>
      </c>
    </row>
    <row r="1270">
      <c r="A1270" s="3" t="str">
        <f>$B1270&amp;"|"&amp;$C1270</f>
        <v>oen|pm2</v>
      </c>
      <c r="B1270" s="3" t="inlineStr">
        <is>
          <t>oen</t>
        </is>
      </c>
      <c r="C1270" s="3" t="inlineStr">
        <is>
          <t>pm2</t>
        </is>
      </c>
      <c r="D1270" s="3" t="str">
        <f>IF($B1270="",""," | "&amp;$E1270&amp;" | "&amp;$F1270)</f>
        <v> | Other energy use | PM2.5</v>
      </c>
      <c r="E1270" s="3" t="str">
        <f>IFERROR(INDEX(SecLab,MATCH($B1270,SecKey,0)),"")</f>
        <v>Other energy use</v>
      </c>
      <c r="F1270" s="3" t="str">
        <f>IFERROR(INDEX(FuelLab,MATCH($C1270,FuelKeyL,0)),"")</f>
        <v>PM2.5</v>
      </c>
      <c r="G1270" s="3" t="inlineStr">
        <is>
          <t>.oen.pm2</t>
        </is>
      </c>
      <c r="I1270" s="3" t="inlineStr">
        <is>
          <t>ap|cst|bc</t>
        </is>
      </c>
      <c r="J1270" s="3" t="inlineStr">
        <is>
          <t>em.cst.all.bc</t>
        </is>
      </c>
    </row>
    <row r="1271">
      <c r="A1271" s="3" t="str">
        <f>$B1271&amp;"|"&amp;$C1271</f>
        <v>pow|pm2</v>
      </c>
      <c r="B1271" s="3" t="inlineStr">
        <is>
          <t>pow</t>
        </is>
      </c>
      <c r="C1271" s="3" t="inlineStr">
        <is>
          <t>pm2</t>
        </is>
      </c>
      <c r="D1271" s="3" t="str">
        <f>IF($B1271="",""," | "&amp;$E1271&amp;" | "&amp;$F1271)</f>
        <v> | Power | PM2.5</v>
      </c>
      <c r="E1271" s="3" t="str">
        <f>IFERROR(INDEX(SecLab,MATCH($B1271,SecKey,0)),"")</f>
        <v>Power</v>
      </c>
      <c r="F1271" s="3" t="str">
        <f>IFERROR(INDEX(FuelLab,MATCH($C1271,FuelKeyL,0)),"")</f>
        <v>PM2.5</v>
      </c>
      <c r="G1271" s="3" t="inlineStr">
        <is>
          <t>.pow.pm2</t>
        </is>
      </c>
      <c r="I1271" s="3" t="inlineStr">
        <is>
          <t>ap|ftr|bc</t>
        </is>
      </c>
      <c r="J1271" s="3" t="inlineStr">
        <is>
          <t>em.ftr.all.bc</t>
        </is>
      </c>
    </row>
    <row r="1272">
      <c r="A1272" s="3" t="str">
        <f>$B1272&amp;"|"&amp;$C1272</f>
        <v>tra|pm2</v>
      </c>
      <c r="B1272" s="3" t="inlineStr">
        <is>
          <t>tra</t>
        </is>
      </c>
      <c r="C1272" s="3" t="inlineStr">
        <is>
          <t>pm2</t>
        </is>
      </c>
      <c r="D1272" s="3" t="str">
        <f>IF($B1272="",""," | "&amp;$E1272&amp;" | "&amp;$F1272)</f>
        <v> | Transport | PM2.5</v>
      </c>
      <c r="E1272" s="3" t="str">
        <f>IFERROR(INDEX(SecLab,MATCH($B1272,SecKey,0)),"")</f>
        <v>Transport</v>
      </c>
      <c r="F1272" s="3" t="str">
        <f>IFERROR(INDEX(FuelLab,MATCH($C1272,FuelKeyL,0)),"")</f>
        <v>PM2.5</v>
      </c>
      <c r="G1272" s="3" t="inlineStr">
        <is>
          <t>.tra.pm2</t>
        </is>
      </c>
      <c r="I1272" s="3" t="inlineStr">
        <is>
          <t>ap|oen|bc</t>
        </is>
      </c>
      <c r="J1272" s="3" t="inlineStr">
        <is>
          <t>em.oen.all.bc</t>
        </is>
      </c>
    </row>
    <row r="1273">
      <c r="A1273" s="3" t="str">
        <f>$B1273&amp;"|"&amp;$C1273</f>
        <v>bld|pm2</v>
      </c>
      <c r="B1273" s="3" t="inlineStr">
        <is>
          <t>bld</t>
        </is>
      </c>
      <c r="C1273" s="3" t="inlineStr">
        <is>
          <t>pm2</t>
        </is>
      </c>
      <c r="D1273" s="3" t="str">
        <f>IF($B1273="",""," | "&amp;$E1273&amp;" | "&amp;$F1273)</f>
        <v> | Buildings | PM2.5</v>
      </c>
      <c r="E1273" s="3" t="str">
        <f>IFERROR(INDEX(SecLab,MATCH($B1273,SecKey,0)),"")</f>
        <v>Buildings</v>
      </c>
      <c r="F1273" s="3" t="str">
        <f>IFERROR(INDEX(FuelLab,MATCH($C1273,FuelKeyL,0)),"")</f>
        <v>PM2.5</v>
      </c>
      <c r="G1273" s="3" t="inlineStr">
        <is>
          <t>.bld.pm2</t>
        </is>
      </c>
      <c r="I1273" s="3" t="inlineStr">
        <is>
          <t>ap|pow|bc</t>
        </is>
      </c>
      <c r="J1273" s="3" t="inlineStr">
        <is>
          <t>em.pow.all.bc</t>
        </is>
      </c>
    </row>
    <row r="1274">
      <c r="A1274" s="3" t="str">
        <f>$B1274&amp;"|"&amp;$C1274</f>
        <v>ind|pm2</v>
      </c>
      <c r="B1274" s="3" t="inlineStr">
        <is>
          <t>ind</t>
        </is>
      </c>
      <c r="C1274" s="3" t="inlineStr">
        <is>
          <t>pm2</t>
        </is>
      </c>
      <c r="D1274" s="3" t="str">
        <f>IF($B1274="",""," | "&amp;$E1274&amp;" | "&amp;$F1274)</f>
        <v> | Industry | PM2.5</v>
      </c>
      <c r="E1274" s="3" t="str">
        <f>IFERROR(INDEX(SecLab,MATCH($B1274,SecKey,0)),"")</f>
        <v>Industry</v>
      </c>
      <c r="F1274" s="3" t="str">
        <f>IFERROR(INDEX(FuelLab,MATCH($C1274,FuelKeyL,0)),"")</f>
        <v>PM2.5</v>
      </c>
      <c r="G1274" s="3" t="inlineStr">
        <is>
          <t>.ind.pm2</t>
        </is>
      </c>
      <c r="I1274" s="3" t="inlineStr">
        <is>
          <t>ap|tra|bc</t>
        </is>
      </c>
      <c r="J1274" s="3" t="inlineStr">
        <is>
          <t>em.tra.all.bc</t>
        </is>
      </c>
    </row>
    <row r="1275">
      <c r="A1275" s="3" t="str">
        <f>$B1275&amp;"|"&amp;$C1275</f>
        <v>fod|pm2</v>
      </c>
      <c r="B1275" s="3" t="inlineStr">
        <is>
          <t>fod</t>
        </is>
      </c>
      <c r="C1275" s="3" t="inlineStr">
        <is>
          <t>pm2</t>
        </is>
      </c>
      <c r="D1275" s="3" t="str">
        <f>IF($B1275="",""," | "&amp;$E1275&amp;" | "&amp;$F1275)</f>
        <v> | of which food | PM2.5</v>
      </c>
      <c r="E1275" s="3" t="str">
        <f>IFERROR(INDEX(SecLab,MATCH($B1275,SecKey,0)),"")</f>
        <v>of which food</v>
      </c>
      <c r="F1275" s="3" t="str">
        <f>IFERROR(INDEX(FuelLab,MATCH($C1275,FuelKeyL,0)),"")</f>
        <v>PM2.5</v>
      </c>
      <c r="G1275" s="3" t="inlineStr">
        <is>
          <t>.fod.pm2</t>
        </is>
      </c>
      <c r="I1275" s="3" t="inlineStr">
        <is>
          <t>ap|bld|bc</t>
        </is>
      </c>
      <c r="J1275" s="3" t="inlineStr">
        <is>
          <t>em.bld.all.bc</t>
        </is>
      </c>
    </row>
    <row r="1276">
      <c r="A1276" s="3" t="str">
        <f>$B1276&amp;"|"&amp;$C1276</f>
        <v>fag|pm2</v>
      </c>
      <c r="B1276" s="3" t="inlineStr">
        <is>
          <t>fag</t>
        </is>
      </c>
      <c r="C1276" s="3" t="inlineStr">
        <is>
          <t>pm2</t>
        </is>
      </c>
      <c r="D1276" s="3" t="str">
        <f>IF($B1276="",""," | "&amp;$E1276&amp;" | "&amp;$F1276)</f>
        <v> | of which forestry and agriculture | PM2.5</v>
      </c>
      <c r="E1276" s="3" t="str">
        <f>IFERROR(INDEX(SecLab,MATCH($B1276,SecKey,0)),"")</f>
        <v>of which forestry and agriculture</v>
      </c>
      <c r="F1276" s="3" t="str">
        <f>IFERROR(INDEX(FuelLab,MATCH($C1276,FuelKeyL,0)),"")</f>
        <v>PM2.5</v>
      </c>
      <c r="G1276" s="3" t="inlineStr">
        <is>
          <t>.fag.pm2</t>
        </is>
      </c>
      <c r="I1276" s="3" t="inlineStr">
        <is>
          <t>ap|ind|bc</t>
        </is>
      </c>
      <c r="J1276" s="3" t="inlineStr">
        <is>
          <t>em.ind.all.bc</t>
        </is>
      </c>
    </row>
    <row r="1277">
      <c r="A1277" s="3" t="str">
        <f>$B1277&amp;"|"&amp;$C1277</f>
        <v>rod|nox</v>
      </c>
      <c r="B1277" s="3" t="inlineStr">
        <is>
          <t>rod</t>
        </is>
      </c>
      <c r="C1277" s="3" t="inlineStr">
        <is>
          <t>nox</t>
        </is>
      </c>
      <c r="D1277" s="3" t="str">
        <f>IF($B1277="",""," | "&amp;$E1277&amp;" | "&amp;$F1277)</f>
        <v> | Road | NOx</v>
      </c>
      <c r="E1277" s="3" t="str">
        <f>IFERROR(INDEX(SecLab,MATCH($B1277,SecKey,0)),"")</f>
        <v>Road</v>
      </c>
      <c r="F1277" s="3" t="str">
        <f>IFERROR(INDEX(FuelLab,MATCH($C1277,FuelKeyL,0)),"")</f>
        <v>NOx</v>
      </c>
      <c r="G1277" s="3" t="inlineStr">
        <is>
          <t>.rod.nox</t>
        </is>
      </c>
      <c r="I1277" s="3" t="inlineStr">
        <is>
          <t>ap|fod|bc</t>
        </is>
      </c>
      <c r="J1277" s="3" t="inlineStr">
        <is>
          <t>em.fod.all.bc</t>
        </is>
      </c>
    </row>
    <row r="1278">
      <c r="A1278" s="3" t="str">
        <f>$B1278&amp;"|"&amp;$C1278</f>
        <v>ral|nox</v>
      </c>
      <c r="B1278" s="3" t="inlineStr">
        <is>
          <t>ral</t>
        </is>
      </c>
      <c r="C1278" s="3" t="inlineStr">
        <is>
          <t>nox</t>
        </is>
      </c>
      <c r="D1278" s="3" t="str">
        <f>IF($B1278="",""," | "&amp;$E1278&amp;" | "&amp;$F1278)</f>
        <v> | Rail | NOx</v>
      </c>
      <c r="E1278" s="3" t="str">
        <f>IFERROR(INDEX(SecLab,MATCH($B1278,SecKey,0)),"")</f>
        <v>Rail</v>
      </c>
      <c r="F1278" s="3" t="str">
        <f>IFERROR(INDEX(FuelLab,MATCH($C1278,FuelKeyL,0)),"")</f>
        <v>NOx</v>
      </c>
      <c r="G1278" s="3" t="inlineStr">
        <is>
          <t>.ral.nox</t>
        </is>
      </c>
      <c r="I1278" s="3" t="inlineStr">
        <is>
          <t>ap|fag|bc</t>
        </is>
      </c>
      <c r="J1278" s="3" t="inlineStr">
        <is>
          <t>em.fag.all.bc</t>
        </is>
      </c>
    </row>
    <row r="1279">
      <c r="A1279" s="3" t="str">
        <f>$B1279&amp;"|"&amp;$C1279</f>
        <v>avi|nox</v>
      </c>
      <c r="B1279" s="3" t="inlineStr">
        <is>
          <t>avi</t>
        </is>
      </c>
      <c r="C1279" s="3" t="inlineStr">
        <is>
          <t>nox</t>
        </is>
      </c>
      <c r="D1279" s="3" t="str">
        <f>IF($B1279="",""," | "&amp;$E1279&amp;" | "&amp;$F1279)</f>
        <v> | Domestic aviation | NOx</v>
      </c>
      <c r="E1279" s="3" t="str">
        <f>IFERROR(INDEX(SecLab,MATCH($B1279,SecKey,0)),"")</f>
        <v>Domestic aviation</v>
      </c>
      <c r="F1279" s="3" t="str">
        <f>IFERROR(INDEX(FuelLab,MATCH($C1279,FuelKeyL,0)),"")</f>
        <v>NOx</v>
      </c>
      <c r="G1279" s="3" t="inlineStr">
        <is>
          <t>.avi.nox</t>
        </is>
      </c>
      <c r="I1279" s="3" t="inlineStr">
        <is>
          <t>ap|rod|oc</t>
        </is>
      </c>
      <c r="J1279" s="3" t="inlineStr">
        <is>
          <t>em.rod.all.oc</t>
        </is>
      </c>
    </row>
    <row r="1280">
      <c r="A1280" s="3" t="str">
        <f>$B1280&amp;"|"&amp;$C1280</f>
        <v>nav|nox</v>
      </c>
      <c r="B1280" s="3" t="inlineStr">
        <is>
          <t>nav</t>
        </is>
      </c>
      <c r="C1280" s="3" t="inlineStr">
        <is>
          <t>nox</t>
        </is>
      </c>
      <c r="D1280" s="3" t="str">
        <f>IF($B1280="",""," | "&amp;$E1280&amp;" | "&amp;$F1280)</f>
        <v> | Domestic navigation | NOx</v>
      </c>
      <c r="E1280" s="3" t="str">
        <f>IFERROR(INDEX(SecLab,MATCH($B1280,SecKey,0)),"")</f>
        <v>Domestic navigation</v>
      </c>
      <c r="F1280" s="3" t="str">
        <f>IFERROR(INDEX(FuelLab,MATCH($C1280,FuelKeyL,0)),"")</f>
        <v>NOx</v>
      </c>
      <c r="G1280" s="3" t="inlineStr">
        <is>
          <t>.nav.nox</t>
        </is>
      </c>
      <c r="I1280" s="3" t="inlineStr">
        <is>
          <t>ap|ral|oc</t>
        </is>
      </c>
      <c r="J1280" s="3" t="inlineStr">
        <is>
          <t>em.ral.all.oc</t>
        </is>
      </c>
    </row>
    <row r="1281">
      <c r="A1281" s="3" t="str">
        <f>$B1281&amp;"|"&amp;$C1281</f>
        <v>res|nox</v>
      </c>
      <c r="B1281" s="3" t="inlineStr">
        <is>
          <t>res</t>
        </is>
      </c>
      <c r="C1281" s="3" t="inlineStr">
        <is>
          <t>nox</t>
        </is>
      </c>
      <c r="D1281" s="3" t="str">
        <f>IF($B1281="",""," | "&amp;$E1281&amp;" | "&amp;$F1281)</f>
        <v> | Residential | NOx</v>
      </c>
      <c r="E1281" s="3" t="str">
        <f>IFERROR(INDEX(SecLab,MATCH($B1281,SecKey,0)),"")</f>
        <v>Residential</v>
      </c>
      <c r="F1281" s="3" t="str">
        <f>IFERROR(INDEX(FuelLab,MATCH($C1281,FuelKeyL,0)),"")</f>
        <v>NOx</v>
      </c>
      <c r="G1281" s="3" t="inlineStr">
        <is>
          <t>.res.nox</t>
        </is>
      </c>
      <c r="I1281" s="3" t="inlineStr">
        <is>
          <t>ap|avi|oc</t>
        </is>
      </c>
      <c r="J1281" s="3" t="inlineStr">
        <is>
          <t>em.avi.all.oc</t>
        </is>
      </c>
    </row>
    <row r="1282">
      <c r="A1282" s="3" t="str">
        <f>$B1282&amp;"|"&amp;$C1282</f>
        <v>foo|nox</v>
      </c>
      <c r="B1282" s="3" t="inlineStr">
        <is>
          <t>foo</t>
        </is>
      </c>
      <c r="C1282" s="3" t="inlineStr">
        <is>
          <t>nox</t>
        </is>
      </c>
      <c r="D1282" s="3" t="str">
        <f>IF($B1282="",""," | "&amp;$E1282&amp;" | "&amp;$F1282)</f>
        <v> | Food &amp; forestry | NOx</v>
      </c>
      <c r="E1282" s="3" t="str">
        <f>IFERROR(INDEX(SecLab,MATCH($B1282,SecKey,0)),"")</f>
        <v>Food &amp; forestry</v>
      </c>
      <c r="F1282" s="3" t="str">
        <f>IFERROR(INDEX(FuelLab,MATCH($C1282,FuelKeyL,0)),"")</f>
        <v>NOx</v>
      </c>
      <c r="G1282" s="3" t="inlineStr">
        <is>
          <t>.foo.nox</t>
        </is>
      </c>
      <c r="I1282" s="3" t="inlineStr">
        <is>
          <t>ap|nav|oc</t>
        </is>
      </c>
      <c r="J1282" s="3" t="inlineStr">
        <is>
          <t>em.nav.all.oc</t>
        </is>
      </c>
    </row>
    <row r="1283">
      <c r="A1283" s="3" t="str">
        <f>$B1283&amp;"|"&amp;$C1283</f>
        <v>srv|nox</v>
      </c>
      <c r="B1283" s="3" t="inlineStr">
        <is>
          <t>srv</t>
        </is>
      </c>
      <c r="C1283" s="3" t="inlineStr">
        <is>
          <t>nox</t>
        </is>
      </c>
      <c r="D1283" s="3" t="str">
        <f>IF($B1283="",""," | "&amp;$E1283&amp;" | "&amp;$F1283)</f>
        <v> | Services (public &amp; private) | NOx</v>
      </c>
      <c r="E1283" s="3" t="str">
        <f>IFERROR(INDEX(SecLab,MATCH($B1283,SecKey,0)),"")</f>
        <v>Services (public &amp; private)</v>
      </c>
      <c r="F1283" s="3" t="str">
        <f>IFERROR(INDEX(FuelLab,MATCH($C1283,FuelKeyL,0)),"")</f>
        <v>NOx</v>
      </c>
      <c r="G1283" s="3" t="inlineStr">
        <is>
          <t>.srv.nox</t>
        </is>
      </c>
      <c r="I1283" s="3" t="inlineStr">
        <is>
          <t>ap|res|oc</t>
        </is>
      </c>
      <c r="J1283" s="3" t="inlineStr">
        <is>
          <t>em.res.all.oc</t>
        </is>
      </c>
    </row>
    <row r="1284">
      <c r="A1284" s="3" t="str">
        <f>$B1284&amp;"|"&amp;$C1284</f>
        <v>mch|nox</v>
      </c>
      <c r="B1284" s="3" t="inlineStr">
        <is>
          <t>mch</t>
        </is>
      </c>
      <c r="C1284" s="3" t="inlineStr">
        <is>
          <t>nox</t>
        </is>
      </c>
      <c r="D1284" s="3" t="str">
        <f>IF($B1284="",""," | "&amp;$E1284&amp;" | "&amp;$F1284)</f>
        <v> | Mining &amp; chemicals | NOx</v>
      </c>
      <c r="E1284" s="3" t="str">
        <f>IFERROR(INDEX(SecLab,MATCH($B1284,SecKey,0)),"")</f>
        <v>Mining &amp; chemicals</v>
      </c>
      <c r="F1284" s="3" t="str">
        <f>IFERROR(INDEX(FuelLab,MATCH($C1284,FuelKeyL,0)),"")</f>
        <v>NOx</v>
      </c>
      <c r="G1284" s="3" t="inlineStr">
        <is>
          <t>.mch.nox</t>
        </is>
      </c>
      <c r="I1284" s="3" t="inlineStr">
        <is>
          <t>ap|foo|oc</t>
        </is>
      </c>
      <c r="J1284" s="3" t="inlineStr">
        <is>
          <t>em.foo.all.oc</t>
        </is>
      </c>
    </row>
    <row r="1285">
      <c r="A1285" s="3" t="str">
        <f>$B1285&amp;"|"&amp;$C1285</f>
        <v>irn|nox</v>
      </c>
      <c r="B1285" s="3" t="inlineStr">
        <is>
          <t>irn</t>
        </is>
      </c>
      <c r="C1285" s="3" t="inlineStr">
        <is>
          <t>nox</t>
        </is>
      </c>
      <c r="D1285" s="3" t="str">
        <f>IF($B1285="",""," | "&amp;$E1285&amp;" | "&amp;$F1285)</f>
        <v> | Iron &amp; steel | NOx</v>
      </c>
      <c r="E1285" s="3" t="str">
        <f>IFERROR(INDEX(SecLab,MATCH($B1285,SecKey,0)),"")</f>
        <v>Iron &amp; steel</v>
      </c>
      <c r="F1285" s="3" t="str">
        <f>IFERROR(INDEX(FuelLab,MATCH($C1285,FuelKeyL,0)),"")</f>
        <v>NOx</v>
      </c>
      <c r="G1285" s="3" t="inlineStr">
        <is>
          <t>.irn.nox</t>
        </is>
      </c>
      <c r="I1285" s="3" t="inlineStr">
        <is>
          <t>ap|srv|oc</t>
        </is>
      </c>
      <c r="J1285" s="3" t="inlineStr">
        <is>
          <t>em.srv.all.oc</t>
        </is>
      </c>
    </row>
    <row r="1286">
      <c r="A1286" s="3" t="str">
        <f>$B1286&amp;"|"&amp;$C1286</f>
        <v>nfm|nox</v>
      </c>
      <c r="B1286" s="3" t="inlineStr">
        <is>
          <t>nfm</t>
        </is>
      </c>
      <c r="C1286" s="3" t="inlineStr">
        <is>
          <t>nox</t>
        </is>
      </c>
      <c r="D1286" s="3" t="str">
        <f>IF($B1286="",""," | "&amp;$E1286&amp;" | "&amp;$F1286)</f>
        <v> | Other metals | NOx</v>
      </c>
      <c r="E1286" s="3" t="str">
        <f>IFERROR(INDEX(SecLab,MATCH($B1286,SecKey,0)),"")</f>
        <v>Other metals</v>
      </c>
      <c r="F1286" s="3" t="str">
        <f>IFERROR(INDEX(FuelLab,MATCH($C1286,FuelKeyL,0)),"")</f>
        <v>NOx</v>
      </c>
      <c r="G1286" s="3" t="inlineStr">
        <is>
          <t>.nfm.nox</t>
        </is>
      </c>
      <c r="I1286" s="3" t="inlineStr">
        <is>
          <t>ap|mch|oc</t>
        </is>
      </c>
      <c r="J1286" s="3" t="inlineStr">
        <is>
          <t>em.mch.all.oc</t>
        </is>
      </c>
    </row>
    <row r="1287">
      <c r="A1287" s="3" t="str">
        <f>$B1287&amp;"|"&amp;$C1287</f>
        <v>mac|nox</v>
      </c>
      <c r="B1287" s="3" t="inlineStr">
        <is>
          <t>mac</t>
        </is>
      </c>
      <c r="C1287" s="3" t="inlineStr">
        <is>
          <t>nox</t>
        </is>
      </c>
      <c r="D1287" s="3" t="str">
        <f>IF($B1287="",""," | "&amp;$E1287&amp;" | "&amp;$F1287)</f>
        <v> | Machinery | NOx</v>
      </c>
      <c r="E1287" s="3" t="str">
        <f>IFERROR(INDEX(SecLab,MATCH($B1287,SecKey,0)),"")</f>
        <v>Machinery</v>
      </c>
      <c r="F1287" s="3" t="str">
        <f>IFERROR(INDEX(FuelLab,MATCH($C1287,FuelKeyL,0)),"")</f>
        <v>NOx</v>
      </c>
      <c r="G1287" s="3" t="inlineStr">
        <is>
          <t>.mac.nox</t>
        </is>
      </c>
      <c r="I1287" s="3" t="inlineStr">
        <is>
          <t>ap|irn|oc</t>
        </is>
      </c>
      <c r="J1287" s="3" t="inlineStr">
        <is>
          <t>em.irn.all.oc</t>
        </is>
      </c>
    </row>
    <row r="1288">
      <c r="A1288" s="3" t="str">
        <f>$B1288&amp;"|"&amp;$C1288</f>
        <v>cem|nox</v>
      </c>
      <c r="B1288" s="3" t="inlineStr">
        <is>
          <t>cem</t>
        </is>
      </c>
      <c r="C1288" s="3" t="inlineStr">
        <is>
          <t>nox</t>
        </is>
      </c>
      <c r="D1288" s="3" t="str">
        <f>IF($B1288="",""," | "&amp;$E1288&amp;" | "&amp;$F1288)</f>
        <v> | Cement | NOx</v>
      </c>
      <c r="E1288" s="3" t="str">
        <f>IFERROR(INDEX(SecLab,MATCH($B1288,SecKey,0)),"")</f>
        <v>Cement</v>
      </c>
      <c r="F1288" s="3" t="str">
        <f>IFERROR(INDEX(FuelLab,MATCH($C1288,FuelKeyL,0)),"")</f>
        <v>NOx</v>
      </c>
      <c r="G1288" s="3" t="inlineStr">
        <is>
          <t>.cem.nox</t>
        </is>
      </c>
      <c r="I1288" s="3" t="inlineStr">
        <is>
          <t>ap|nfm|oc</t>
        </is>
      </c>
      <c r="J1288" s="3" t="inlineStr">
        <is>
          <t>em.nfm.all.oc</t>
        </is>
      </c>
    </row>
    <row r="1289">
      <c r="A1289" s="3" t="str">
        <f>$B1289&amp;"|"&amp;$C1289</f>
        <v>omn|nox</v>
      </c>
      <c r="B1289" s="3" t="inlineStr">
        <is>
          <t>omn</t>
        </is>
      </c>
      <c r="C1289" s="3" t="inlineStr">
        <is>
          <t>nox</t>
        </is>
      </c>
      <c r="D1289" s="3" t="str">
        <f>IF($B1289="",""," | "&amp;$E1289&amp;" | "&amp;$F1289)</f>
        <v> | Other manufacturing | NOx</v>
      </c>
      <c r="E1289" s="3" t="str">
        <f>IFERROR(INDEX(SecLab,MATCH($B1289,SecKey,0)),"")</f>
        <v>Other manufacturing</v>
      </c>
      <c r="F1289" s="3" t="str">
        <f>IFERROR(INDEX(FuelLab,MATCH($C1289,FuelKeyL,0)),"")</f>
        <v>NOx</v>
      </c>
      <c r="G1289" s="3" t="inlineStr">
        <is>
          <t>.omn.nox</t>
        </is>
      </c>
      <c r="I1289" s="3" t="inlineStr">
        <is>
          <t>ap|mac|oc</t>
        </is>
      </c>
      <c r="J1289" s="3" t="inlineStr">
        <is>
          <t>em.mac.all.oc</t>
        </is>
      </c>
    </row>
    <row r="1290">
      <c r="A1290" s="3" t="str">
        <f>$B1290&amp;"|"&amp;$C1290</f>
        <v>cst|nox</v>
      </c>
      <c r="B1290" s="3" t="inlineStr">
        <is>
          <t>cst</t>
        </is>
      </c>
      <c r="C1290" s="3" t="inlineStr">
        <is>
          <t>nox</t>
        </is>
      </c>
      <c r="D1290" s="3" t="str">
        <f>IF($B1290="",""," | "&amp;$E1290&amp;" | "&amp;$F1290)</f>
        <v> | Construction | NOx</v>
      </c>
      <c r="E1290" s="3" t="str">
        <f>IFERROR(INDEX(SecLab,MATCH($B1290,SecKey,0)),"")</f>
        <v>Construction</v>
      </c>
      <c r="F1290" s="3" t="str">
        <f>IFERROR(INDEX(FuelLab,MATCH($C1290,FuelKeyL,0)),"")</f>
        <v>NOx</v>
      </c>
      <c r="G1290" s="3" t="inlineStr">
        <is>
          <t>.cst.nox</t>
        </is>
      </c>
      <c r="I1290" s="3" t="inlineStr">
        <is>
          <t>ap|cem|oc</t>
        </is>
      </c>
      <c r="J1290" s="3" t="inlineStr">
        <is>
          <t>em.cem.all.oc</t>
        </is>
      </c>
    </row>
    <row r="1291">
      <c r="A1291" s="3" t="str">
        <f>$B1291&amp;"|"&amp;$C1291</f>
        <v>ftr|nox</v>
      </c>
      <c r="B1291" s="3" t="inlineStr">
        <is>
          <t>ftr</t>
        </is>
      </c>
      <c r="C1291" s="3" t="inlineStr">
        <is>
          <t>nox</t>
        </is>
      </c>
      <c r="D1291" s="3" t="str">
        <f>IF($B1291="",""," | "&amp;$E1291&amp;" | "&amp;$F1291)</f>
        <v> | Fuel transformation | NOx</v>
      </c>
      <c r="E1291" s="3" t="str">
        <f>IFERROR(INDEX(SecLab,MATCH($B1291,SecKey,0)),"")</f>
        <v>Fuel transformation</v>
      </c>
      <c r="F1291" s="3" t="str">
        <f>IFERROR(INDEX(FuelLab,MATCH($C1291,FuelKeyL,0)),"")</f>
        <v>NOx</v>
      </c>
      <c r="G1291" s="3" t="inlineStr">
        <is>
          <t>.ftr.nox</t>
        </is>
      </c>
      <c r="I1291" s="3" t="inlineStr">
        <is>
          <t>ap|omn|oc</t>
        </is>
      </c>
      <c r="J1291" s="3" t="inlineStr">
        <is>
          <t>em.omn.all.oc</t>
        </is>
      </c>
    </row>
    <row r="1292">
      <c r="A1292" s="3" t="str">
        <f>$B1292&amp;"|"&amp;$C1292</f>
        <v>oen|nox</v>
      </c>
      <c r="B1292" s="3" t="inlineStr">
        <is>
          <t>oen</t>
        </is>
      </c>
      <c r="C1292" s="3" t="inlineStr">
        <is>
          <t>nox</t>
        </is>
      </c>
      <c r="D1292" s="3" t="str">
        <f>IF($B1292="",""," | "&amp;$E1292&amp;" | "&amp;$F1292)</f>
        <v> | Other energy use | NOx</v>
      </c>
      <c r="E1292" s="3" t="str">
        <f>IFERROR(INDEX(SecLab,MATCH($B1292,SecKey,0)),"")</f>
        <v>Other energy use</v>
      </c>
      <c r="F1292" s="3" t="str">
        <f>IFERROR(INDEX(FuelLab,MATCH($C1292,FuelKeyL,0)),"")</f>
        <v>NOx</v>
      </c>
      <c r="G1292" s="3" t="inlineStr">
        <is>
          <t>.oen.nox</t>
        </is>
      </c>
      <c r="I1292" s="3" t="inlineStr">
        <is>
          <t>ap|cst|oc</t>
        </is>
      </c>
      <c r="J1292" s="3" t="inlineStr">
        <is>
          <t>em.cst.all.oc</t>
        </is>
      </c>
    </row>
    <row r="1293">
      <c r="A1293" s="3" t="str">
        <f>$B1293&amp;"|"&amp;$C1293</f>
        <v>pow|nox</v>
      </c>
      <c r="B1293" s="3" t="inlineStr">
        <is>
          <t>pow</t>
        </is>
      </c>
      <c r="C1293" s="3" t="inlineStr">
        <is>
          <t>nox</t>
        </is>
      </c>
      <c r="D1293" s="3" t="str">
        <f>IF($B1293="",""," | "&amp;$E1293&amp;" | "&amp;$F1293)</f>
        <v> | Power | NOx</v>
      </c>
      <c r="E1293" s="3" t="str">
        <f>IFERROR(INDEX(SecLab,MATCH($B1293,SecKey,0)),"")</f>
        <v>Power</v>
      </c>
      <c r="F1293" s="3" t="str">
        <f>IFERROR(INDEX(FuelLab,MATCH($C1293,FuelKeyL,0)),"")</f>
        <v>NOx</v>
      </c>
      <c r="G1293" s="3" t="inlineStr">
        <is>
          <t>.pow.nox</t>
        </is>
      </c>
      <c r="I1293" s="3" t="inlineStr">
        <is>
          <t>ap|ftr|oc</t>
        </is>
      </c>
      <c r="J1293" s="3" t="inlineStr">
        <is>
          <t>em.ftr.all.oc</t>
        </is>
      </c>
    </row>
    <row r="1294">
      <c r="A1294" s="3" t="str">
        <f>$B1294&amp;"|"&amp;$C1294</f>
        <v>tra|nox</v>
      </c>
      <c r="B1294" s="3" t="inlineStr">
        <is>
          <t>tra</t>
        </is>
      </c>
      <c r="C1294" s="3" t="inlineStr">
        <is>
          <t>nox</t>
        </is>
      </c>
      <c r="D1294" s="3" t="str">
        <f>IF($B1294="",""," | "&amp;$E1294&amp;" | "&amp;$F1294)</f>
        <v> | Transport | NOx</v>
      </c>
      <c r="E1294" s="3" t="str">
        <f>IFERROR(INDEX(SecLab,MATCH($B1294,SecKey,0)),"")</f>
        <v>Transport</v>
      </c>
      <c r="F1294" s="3" t="str">
        <f>IFERROR(INDEX(FuelLab,MATCH($C1294,FuelKeyL,0)),"")</f>
        <v>NOx</v>
      </c>
      <c r="G1294" s="3" t="inlineStr">
        <is>
          <t>.tra.nox</t>
        </is>
      </c>
      <c r="I1294" s="3" t="inlineStr">
        <is>
          <t>ap|oen|oc</t>
        </is>
      </c>
      <c r="J1294" s="3" t="inlineStr">
        <is>
          <t>em.oen.all.oc</t>
        </is>
      </c>
    </row>
    <row r="1295">
      <c r="A1295" s="3" t="str">
        <f>$B1295&amp;"|"&amp;$C1295</f>
        <v>bld|nox</v>
      </c>
      <c r="B1295" s="3" t="inlineStr">
        <is>
          <t>bld</t>
        </is>
      </c>
      <c r="C1295" s="3" t="inlineStr">
        <is>
          <t>nox</t>
        </is>
      </c>
      <c r="D1295" s="3" t="str">
        <f>IF($B1295="",""," | "&amp;$E1295&amp;" | "&amp;$F1295)</f>
        <v> | Buildings | NOx</v>
      </c>
      <c r="E1295" s="3" t="str">
        <f>IFERROR(INDEX(SecLab,MATCH($B1295,SecKey,0)),"")</f>
        <v>Buildings</v>
      </c>
      <c r="F1295" s="3" t="str">
        <f>IFERROR(INDEX(FuelLab,MATCH($C1295,FuelKeyL,0)),"")</f>
        <v>NOx</v>
      </c>
      <c r="G1295" s="3" t="inlineStr">
        <is>
          <t>.bld.nox</t>
        </is>
      </c>
      <c r="I1295" s="3" t="inlineStr">
        <is>
          <t>ap|pow|oc</t>
        </is>
      </c>
      <c r="J1295" s="3" t="inlineStr">
        <is>
          <t>em.pow.all.oc</t>
        </is>
      </c>
    </row>
    <row r="1296">
      <c r="A1296" s="3" t="str">
        <f>$B1296&amp;"|"&amp;$C1296</f>
        <v>ind|nox</v>
      </c>
      <c r="B1296" s="3" t="inlineStr">
        <is>
          <t>ind</t>
        </is>
      </c>
      <c r="C1296" s="3" t="inlineStr">
        <is>
          <t>nox</t>
        </is>
      </c>
      <c r="D1296" s="3" t="str">
        <f>IF($B1296="",""," | "&amp;$E1296&amp;" | "&amp;$F1296)</f>
        <v> | Industry | NOx</v>
      </c>
      <c r="E1296" s="3" t="str">
        <f>IFERROR(INDEX(SecLab,MATCH($B1296,SecKey,0)),"")</f>
        <v>Industry</v>
      </c>
      <c r="F1296" s="3" t="str">
        <f>IFERROR(INDEX(FuelLab,MATCH($C1296,FuelKeyL,0)),"")</f>
        <v>NOx</v>
      </c>
      <c r="G1296" s="3" t="inlineStr">
        <is>
          <t>.ind.nox</t>
        </is>
      </c>
      <c r="I1296" s="3" t="inlineStr">
        <is>
          <t>ap|tra|oc</t>
        </is>
      </c>
      <c r="J1296" s="3" t="inlineStr">
        <is>
          <t>em.tra.all.oc</t>
        </is>
      </c>
    </row>
    <row r="1297">
      <c r="A1297" s="3" t="str">
        <f>$B1297&amp;"|"&amp;$C1297</f>
        <v>fod|nox</v>
      </c>
      <c r="B1297" s="3" t="inlineStr">
        <is>
          <t>fod</t>
        </is>
      </c>
      <c r="C1297" s="3" t="inlineStr">
        <is>
          <t>nox</t>
        </is>
      </c>
      <c r="D1297" s="3" t="str">
        <f>IF($B1297="",""," | "&amp;$E1297&amp;" | "&amp;$F1297)</f>
        <v> | of which food | NOx</v>
      </c>
      <c r="E1297" s="3" t="str">
        <f>IFERROR(INDEX(SecLab,MATCH($B1297,SecKey,0)),"")</f>
        <v>of which food</v>
      </c>
      <c r="F1297" s="3" t="str">
        <f>IFERROR(INDEX(FuelLab,MATCH($C1297,FuelKeyL,0)),"")</f>
        <v>NOx</v>
      </c>
      <c r="G1297" s="3" t="inlineStr">
        <is>
          <t>.fod.nox</t>
        </is>
      </c>
      <c r="I1297" s="3" t="inlineStr">
        <is>
          <t>ap|bld|oc</t>
        </is>
      </c>
      <c r="J1297" s="3" t="inlineStr">
        <is>
          <t>em.bld.all.oc</t>
        </is>
      </c>
    </row>
    <row r="1298">
      <c r="A1298" s="3" t="str">
        <f>$B1298&amp;"|"&amp;$C1298</f>
        <v>fag|nox</v>
      </c>
      <c r="B1298" s="3" t="inlineStr">
        <is>
          <t>fag</t>
        </is>
      </c>
      <c r="C1298" s="3" t="inlineStr">
        <is>
          <t>nox</t>
        </is>
      </c>
      <c r="D1298" s="3" t="str">
        <f>IF($B1298="",""," | "&amp;$E1298&amp;" | "&amp;$F1298)</f>
        <v> | of which forestry and agriculture | NOx</v>
      </c>
      <c r="E1298" s="3" t="str">
        <f>IFERROR(INDEX(SecLab,MATCH($B1298,SecKey,0)),"")</f>
        <v>of which forestry and agriculture</v>
      </c>
      <c r="F1298" s="3" t="str">
        <f>IFERROR(INDEX(FuelLab,MATCH($C1298,FuelKeyL,0)),"")</f>
        <v>NOx</v>
      </c>
      <c r="G1298" s="3" t="inlineStr">
        <is>
          <t>.fag.nox</t>
        </is>
      </c>
      <c r="I1298" s="3" t="inlineStr">
        <is>
          <t>ap|ind|oc</t>
        </is>
      </c>
      <c r="J1298" s="3" t="inlineStr">
        <is>
          <t>em.ind.all.oc</t>
        </is>
      </c>
    </row>
    <row r="1299">
      <c r="A1299" s="3" t="str">
        <f>$B1299&amp;"|"&amp;$C1299</f>
        <v>rod|so2</v>
      </c>
      <c r="B1299" s="3" t="inlineStr">
        <is>
          <t>rod</t>
        </is>
      </c>
      <c r="C1299" s="3" t="inlineStr">
        <is>
          <t>so2</t>
        </is>
      </c>
      <c r="D1299" s="3" t="str">
        <f>IF($B1299="",""," | "&amp;$E1299&amp;" | "&amp;$F1299)</f>
        <v> | Road | SO2</v>
      </c>
      <c r="E1299" s="3" t="str">
        <f>IFERROR(INDEX(SecLab,MATCH($B1299,SecKey,0)),"")</f>
        <v>Road</v>
      </c>
      <c r="F1299" s="3" t="str">
        <f>IFERROR(INDEX(FuelLab,MATCH($C1299,FuelKeyL,0)),"")</f>
        <v>SO2</v>
      </c>
      <c r="G1299" s="3" t="inlineStr">
        <is>
          <t>.rod.so2</t>
        </is>
      </c>
      <c r="I1299" s="3" t="inlineStr">
        <is>
          <t>ap|fod|oc</t>
        </is>
      </c>
      <c r="J1299" s="3" t="inlineStr">
        <is>
          <t>em.fod.all.oc</t>
        </is>
      </c>
    </row>
    <row r="1300">
      <c r="A1300" s="3" t="str">
        <f>$B1300&amp;"|"&amp;$C1300</f>
        <v>ral|so2</v>
      </c>
      <c r="B1300" s="3" t="inlineStr">
        <is>
          <t>ral</t>
        </is>
      </c>
      <c r="C1300" s="3" t="inlineStr">
        <is>
          <t>so2</t>
        </is>
      </c>
      <c r="D1300" s="3" t="str">
        <f>IF($B1300="",""," | "&amp;$E1300&amp;" | "&amp;$F1300)</f>
        <v> | Rail | SO2</v>
      </c>
      <c r="E1300" s="3" t="str">
        <f>IFERROR(INDEX(SecLab,MATCH($B1300,SecKey,0)),"")</f>
        <v>Rail</v>
      </c>
      <c r="F1300" s="3" t="str">
        <f>IFERROR(INDEX(FuelLab,MATCH($C1300,FuelKeyL,0)),"")</f>
        <v>SO2</v>
      </c>
      <c r="G1300" s="3" t="inlineStr">
        <is>
          <t>.ral.so2</t>
        </is>
      </c>
      <c r="I1300" s="3" t="inlineStr">
        <is>
          <t>ap|fag|oc</t>
        </is>
      </c>
      <c r="J1300" s="3" t="inlineStr">
        <is>
          <t>em.fag.all.oc</t>
        </is>
      </c>
    </row>
    <row r="1301">
      <c r="A1301" s="3" t="str">
        <f>$B1301&amp;"|"&amp;$C1301</f>
        <v>avi|so2</v>
      </c>
      <c r="B1301" s="3" t="inlineStr">
        <is>
          <t>avi</t>
        </is>
      </c>
      <c r="C1301" s="3" t="inlineStr">
        <is>
          <t>so2</t>
        </is>
      </c>
      <c r="D1301" s="3" t="str">
        <f>IF($B1301="",""," | "&amp;$E1301&amp;" | "&amp;$F1301)</f>
        <v> | Domestic aviation | SO2</v>
      </c>
      <c r="E1301" s="3" t="str">
        <f>IFERROR(INDEX(SecLab,MATCH($B1301,SecKey,0)),"")</f>
        <v>Domestic aviation</v>
      </c>
      <c r="F1301" s="3" t="str">
        <f>IFERROR(INDEX(FuelLab,MATCH($C1301,FuelKeyL,0)),"")</f>
        <v>SO2</v>
      </c>
      <c r="G1301" s="3" t="inlineStr">
        <is>
          <t>.avi.so2</t>
        </is>
      </c>
      <c r="I1301" s="3" t="inlineStr">
        <is>
          <t>ap|rod|co</t>
        </is>
      </c>
      <c r="J1301" s="3" t="inlineStr">
        <is>
          <t>em.rod.all.co</t>
        </is>
      </c>
    </row>
    <row r="1302">
      <c r="A1302" s="3" t="str">
        <f>$B1302&amp;"|"&amp;$C1302</f>
        <v>nav|so2</v>
      </c>
      <c r="B1302" s="3" t="inlineStr">
        <is>
          <t>nav</t>
        </is>
      </c>
      <c r="C1302" s="3" t="inlineStr">
        <is>
          <t>so2</t>
        </is>
      </c>
      <c r="D1302" s="3" t="str">
        <f>IF($B1302="",""," | "&amp;$E1302&amp;" | "&amp;$F1302)</f>
        <v> | Domestic navigation | SO2</v>
      </c>
      <c r="E1302" s="3" t="str">
        <f>IFERROR(INDEX(SecLab,MATCH($B1302,SecKey,0)),"")</f>
        <v>Domestic navigation</v>
      </c>
      <c r="F1302" s="3" t="str">
        <f>IFERROR(INDEX(FuelLab,MATCH($C1302,FuelKeyL,0)),"")</f>
        <v>SO2</v>
      </c>
      <c r="G1302" s="3" t="inlineStr">
        <is>
          <t>.nav.so2</t>
        </is>
      </c>
      <c r="I1302" s="3" t="inlineStr">
        <is>
          <t>ap|ral|co</t>
        </is>
      </c>
      <c r="J1302" s="3" t="inlineStr">
        <is>
          <t>em.ral.all.co</t>
        </is>
      </c>
    </row>
    <row r="1303">
      <c r="A1303" s="3" t="str">
        <f>$B1303&amp;"|"&amp;$C1303</f>
        <v>res|so2</v>
      </c>
      <c r="B1303" s="3" t="inlineStr">
        <is>
          <t>res</t>
        </is>
      </c>
      <c r="C1303" s="3" t="inlineStr">
        <is>
          <t>so2</t>
        </is>
      </c>
      <c r="D1303" s="3" t="str">
        <f>IF($B1303="",""," | "&amp;$E1303&amp;" | "&amp;$F1303)</f>
        <v> | Residential | SO2</v>
      </c>
      <c r="E1303" s="3" t="str">
        <f>IFERROR(INDEX(SecLab,MATCH($B1303,SecKey,0)),"")</f>
        <v>Residential</v>
      </c>
      <c r="F1303" s="3" t="str">
        <f>IFERROR(INDEX(FuelLab,MATCH($C1303,FuelKeyL,0)),"")</f>
        <v>SO2</v>
      </c>
      <c r="G1303" s="3" t="inlineStr">
        <is>
          <t>.res.so2</t>
        </is>
      </c>
      <c r="I1303" s="3" t="inlineStr">
        <is>
          <t>ap|avi|co</t>
        </is>
      </c>
      <c r="J1303" s="3" t="inlineStr">
        <is>
          <t>em.avi.all.co</t>
        </is>
      </c>
    </row>
    <row r="1304">
      <c r="A1304" s="3" t="str">
        <f>$B1304&amp;"|"&amp;$C1304</f>
        <v>foo|so2</v>
      </c>
      <c r="B1304" s="3" t="inlineStr">
        <is>
          <t>foo</t>
        </is>
      </c>
      <c r="C1304" s="3" t="inlineStr">
        <is>
          <t>so2</t>
        </is>
      </c>
      <c r="D1304" s="3" t="str">
        <f>IF($B1304="",""," | "&amp;$E1304&amp;" | "&amp;$F1304)</f>
        <v> | Food &amp; forestry | SO2</v>
      </c>
      <c r="E1304" s="3" t="str">
        <f>IFERROR(INDEX(SecLab,MATCH($B1304,SecKey,0)),"")</f>
        <v>Food &amp; forestry</v>
      </c>
      <c r="F1304" s="3" t="str">
        <f>IFERROR(INDEX(FuelLab,MATCH($C1304,FuelKeyL,0)),"")</f>
        <v>SO2</v>
      </c>
      <c r="G1304" s="3" t="inlineStr">
        <is>
          <t>.foo.so2</t>
        </is>
      </c>
      <c r="I1304" s="3" t="inlineStr">
        <is>
          <t>ap|nav|co</t>
        </is>
      </c>
      <c r="J1304" s="3" t="inlineStr">
        <is>
          <t>em.nav.all.co</t>
        </is>
      </c>
    </row>
    <row r="1305">
      <c r="A1305" s="3" t="str">
        <f>$B1305&amp;"|"&amp;$C1305</f>
        <v>srv|so2</v>
      </c>
      <c r="B1305" s="3" t="inlineStr">
        <is>
          <t>srv</t>
        </is>
      </c>
      <c r="C1305" s="3" t="inlineStr">
        <is>
          <t>so2</t>
        </is>
      </c>
      <c r="D1305" s="3" t="str">
        <f>IF($B1305="",""," | "&amp;$E1305&amp;" | "&amp;$F1305)</f>
        <v> | Services (public &amp; private) | SO2</v>
      </c>
      <c r="E1305" s="3" t="str">
        <f>IFERROR(INDEX(SecLab,MATCH($B1305,SecKey,0)),"")</f>
        <v>Services (public &amp; private)</v>
      </c>
      <c r="F1305" s="3" t="str">
        <f>IFERROR(INDEX(FuelLab,MATCH($C1305,FuelKeyL,0)),"")</f>
        <v>SO2</v>
      </c>
      <c r="G1305" s="3" t="inlineStr">
        <is>
          <t>.srv.so2</t>
        </is>
      </c>
      <c r="I1305" s="3" t="inlineStr">
        <is>
          <t>ap|res|co</t>
        </is>
      </c>
      <c r="J1305" s="3" t="inlineStr">
        <is>
          <t>em.res.all.co</t>
        </is>
      </c>
    </row>
    <row r="1306">
      <c r="A1306" s="3" t="str">
        <f>$B1306&amp;"|"&amp;$C1306</f>
        <v>mch|so2</v>
      </c>
      <c r="B1306" s="3" t="inlineStr">
        <is>
          <t>mch</t>
        </is>
      </c>
      <c r="C1306" s="3" t="inlineStr">
        <is>
          <t>so2</t>
        </is>
      </c>
      <c r="D1306" s="3" t="str">
        <f>IF($B1306="",""," | "&amp;$E1306&amp;" | "&amp;$F1306)</f>
        <v> | Mining &amp; chemicals | SO2</v>
      </c>
      <c r="E1306" s="3" t="str">
        <f>IFERROR(INDEX(SecLab,MATCH($B1306,SecKey,0)),"")</f>
        <v>Mining &amp; chemicals</v>
      </c>
      <c r="F1306" s="3" t="str">
        <f>IFERROR(INDEX(FuelLab,MATCH($C1306,FuelKeyL,0)),"")</f>
        <v>SO2</v>
      </c>
      <c r="G1306" s="3" t="inlineStr">
        <is>
          <t>.mch.so2</t>
        </is>
      </c>
      <c r="I1306" s="3" t="inlineStr">
        <is>
          <t>ap|foo|co</t>
        </is>
      </c>
      <c r="J1306" s="3" t="inlineStr">
        <is>
          <t>em.foo.all.co</t>
        </is>
      </c>
    </row>
    <row r="1307">
      <c r="A1307" s="3" t="str">
        <f>$B1307&amp;"|"&amp;$C1307</f>
        <v>irn|so2</v>
      </c>
      <c r="B1307" s="3" t="inlineStr">
        <is>
          <t>irn</t>
        </is>
      </c>
      <c r="C1307" s="3" t="inlineStr">
        <is>
          <t>so2</t>
        </is>
      </c>
      <c r="D1307" s="3" t="str">
        <f>IF($B1307="",""," | "&amp;$E1307&amp;" | "&amp;$F1307)</f>
        <v> | Iron &amp; steel | SO2</v>
      </c>
      <c r="E1307" s="3" t="str">
        <f>IFERROR(INDEX(SecLab,MATCH($B1307,SecKey,0)),"")</f>
        <v>Iron &amp; steel</v>
      </c>
      <c r="F1307" s="3" t="str">
        <f>IFERROR(INDEX(FuelLab,MATCH($C1307,FuelKeyL,0)),"")</f>
        <v>SO2</v>
      </c>
      <c r="G1307" s="3" t="inlineStr">
        <is>
          <t>.irn.so2</t>
        </is>
      </c>
      <c r="I1307" s="3" t="inlineStr">
        <is>
          <t>ap|srv|co</t>
        </is>
      </c>
      <c r="J1307" s="3" t="inlineStr">
        <is>
          <t>em.srv.all.co</t>
        </is>
      </c>
    </row>
    <row r="1308">
      <c r="A1308" s="3" t="str">
        <f>$B1308&amp;"|"&amp;$C1308</f>
        <v>nfm|so2</v>
      </c>
      <c r="B1308" s="3" t="inlineStr">
        <is>
          <t>nfm</t>
        </is>
      </c>
      <c r="C1308" s="3" t="inlineStr">
        <is>
          <t>so2</t>
        </is>
      </c>
      <c r="D1308" s="3" t="str">
        <f>IF($B1308="",""," | "&amp;$E1308&amp;" | "&amp;$F1308)</f>
        <v> | Other metals | SO2</v>
      </c>
      <c r="E1308" s="3" t="str">
        <f>IFERROR(INDEX(SecLab,MATCH($B1308,SecKey,0)),"")</f>
        <v>Other metals</v>
      </c>
      <c r="F1308" s="3" t="str">
        <f>IFERROR(INDEX(FuelLab,MATCH($C1308,FuelKeyL,0)),"")</f>
        <v>SO2</v>
      </c>
      <c r="G1308" s="3" t="inlineStr">
        <is>
          <t>.nfm.so2</t>
        </is>
      </c>
      <c r="I1308" s="3" t="inlineStr">
        <is>
          <t>ap|mch|co</t>
        </is>
      </c>
      <c r="J1308" s="3" t="inlineStr">
        <is>
          <t>em.mch.all.co</t>
        </is>
      </c>
    </row>
    <row r="1309">
      <c r="A1309" s="3" t="str">
        <f>$B1309&amp;"|"&amp;$C1309</f>
        <v>mac|so2</v>
      </c>
      <c r="B1309" s="3" t="inlineStr">
        <is>
          <t>mac</t>
        </is>
      </c>
      <c r="C1309" s="3" t="inlineStr">
        <is>
          <t>so2</t>
        </is>
      </c>
      <c r="D1309" s="3" t="str">
        <f>IF($B1309="",""," | "&amp;$E1309&amp;" | "&amp;$F1309)</f>
        <v> | Machinery | SO2</v>
      </c>
      <c r="E1309" s="3" t="str">
        <f>IFERROR(INDEX(SecLab,MATCH($B1309,SecKey,0)),"")</f>
        <v>Machinery</v>
      </c>
      <c r="F1309" s="3" t="str">
        <f>IFERROR(INDEX(FuelLab,MATCH($C1309,FuelKeyL,0)),"")</f>
        <v>SO2</v>
      </c>
      <c r="G1309" s="3" t="inlineStr">
        <is>
          <t>.mac.so2</t>
        </is>
      </c>
      <c r="I1309" s="3" t="inlineStr">
        <is>
          <t>ap|irn|co</t>
        </is>
      </c>
      <c r="J1309" s="3" t="inlineStr">
        <is>
          <t>em.irn.all.co</t>
        </is>
      </c>
    </row>
    <row r="1310">
      <c r="A1310" s="3" t="str">
        <f>$B1310&amp;"|"&amp;$C1310</f>
        <v>cem|so2</v>
      </c>
      <c r="B1310" s="3" t="inlineStr">
        <is>
          <t>cem</t>
        </is>
      </c>
      <c r="C1310" s="3" t="inlineStr">
        <is>
          <t>so2</t>
        </is>
      </c>
      <c r="D1310" s="3" t="str">
        <f>IF($B1310="",""," | "&amp;$E1310&amp;" | "&amp;$F1310)</f>
        <v> | Cement | SO2</v>
      </c>
      <c r="E1310" s="3" t="str">
        <f>IFERROR(INDEX(SecLab,MATCH($B1310,SecKey,0)),"")</f>
        <v>Cement</v>
      </c>
      <c r="F1310" s="3" t="str">
        <f>IFERROR(INDEX(FuelLab,MATCH($C1310,FuelKeyL,0)),"")</f>
        <v>SO2</v>
      </c>
      <c r="G1310" s="3" t="inlineStr">
        <is>
          <t>.cem.so2</t>
        </is>
      </c>
      <c r="I1310" s="3" t="inlineStr">
        <is>
          <t>ap|nfm|co</t>
        </is>
      </c>
      <c r="J1310" s="3" t="inlineStr">
        <is>
          <t>em.nfm.all.co</t>
        </is>
      </c>
    </row>
    <row r="1311">
      <c r="A1311" s="3" t="str">
        <f>$B1311&amp;"|"&amp;$C1311</f>
        <v>omn|so2</v>
      </c>
      <c r="B1311" s="3" t="inlineStr">
        <is>
          <t>omn</t>
        </is>
      </c>
      <c r="C1311" s="3" t="inlineStr">
        <is>
          <t>so2</t>
        </is>
      </c>
      <c r="D1311" s="3" t="str">
        <f>IF($B1311="",""," | "&amp;$E1311&amp;" | "&amp;$F1311)</f>
        <v> | Other manufacturing | SO2</v>
      </c>
      <c r="E1311" s="3" t="str">
        <f>IFERROR(INDEX(SecLab,MATCH($B1311,SecKey,0)),"")</f>
        <v>Other manufacturing</v>
      </c>
      <c r="F1311" s="3" t="str">
        <f>IFERROR(INDEX(FuelLab,MATCH($C1311,FuelKeyL,0)),"")</f>
        <v>SO2</v>
      </c>
      <c r="G1311" s="3" t="inlineStr">
        <is>
          <t>.omn.so2</t>
        </is>
      </c>
      <c r="I1311" s="3" t="inlineStr">
        <is>
          <t>ap|mac|co</t>
        </is>
      </c>
      <c r="J1311" s="3" t="inlineStr">
        <is>
          <t>em.mac.all.co</t>
        </is>
      </c>
    </row>
    <row r="1312">
      <c r="A1312" s="3" t="str">
        <f>$B1312&amp;"|"&amp;$C1312</f>
        <v>cst|so2</v>
      </c>
      <c r="B1312" s="3" t="inlineStr">
        <is>
          <t>cst</t>
        </is>
      </c>
      <c r="C1312" s="3" t="inlineStr">
        <is>
          <t>so2</t>
        </is>
      </c>
      <c r="D1312" s="3" t="str">
        <f>IF($B1312="",""," | "&amp;$E1312&amp;" | "&amp;$F1312)</f>
        <v> | Construction | SO2</v>
      </c>
      <c r="E1312" s="3" t="str">
        <f>IFERROR(INDEX(SecLab,MATCH($B1312,SecKey,0)),"")</f>
        <v>Construction</v>
      </c>
      <c r="F1312" s="3" t="str">
        <f>IFERROR(INDEX(FuelLab,MATCH($C1312,FuelKeyL,0)),"")</f>
        <v>SO2</v>
      </c>
      <c r="G1312" s="3" t="inlineStr">
        <is>
          <t>.cst.so2</t>
        </is>
      </c>
      <c r="I1312" s="3" t="inlineStr">
        <is>
          <t>ap|cem|co</t>
        </is>
      </c>
      <c r="J1312" s="3" t="inlineStr">
        <is>
          <t>em.cem.all.co</t>
        </is>
      </c>
    </row>
    <row r="1313">
      <c r="A1313" s="3" t="str">
        <f>$B1313&amp;"|"&amp;$C1313</f>
        <v>ftr|so2</v>
      </c>
      <c r="B1313" s="3" t="inlineStr">
        <is>
          <t>ftr</t>
        </is>
      </c>
      <c r="C1313" s="3" t="inlineStr">
        <is>
          <t>so2</t>
        </is>
      </c>
      <c r="D1313" s="3" t="str">
        <f>IF($B1313="",""," | "&amp;$E1313&amp;" | "&amp;$F1313)</f>
        <v> | Fuel transformation | SO2</v>
      </c>
      <c r="E1313" s="3" t="str">
        <f>IFERROR(INDEX(SecLab,MATCH($B1313,SecKey,0)),"")</f>
        <v>Fuel transformation</v>
      </c>
      <c r="F1313" s="3" t="str">
        <f>IFERROR(INDEX(FuelLab,MATCH($C1313,FuelKeyL,0)),"")</f>
        <v>SO2</v>
      </c>
      <c r="G1313" s="3" t="inlineStr">
        <is>
          <t>.ftr.so2</t>
        </is>
      </c>
      <c r="I1313" s="3" t="inlineStr">
        <is>
          <t>ap|omn|co</t>
        </is>
      </c>
      <c r="J1313" s="3" t="inlineStr">
        <is>
          <t>em.omn.all.co</t>
        </is>
      </c>
    </row>
    <row r="1314">
      <c r="A1314" s="3" t="str">
        <f>$B1314&amp;"|"&amp;$C1314</f>
        <v>oen|so2</v>
      </c>
      <c r="B1314" s="3" t="inlineStr">
        <is>
          <t>oen</t>
        </is>
      </c>
      <c r="C1314" s="3" t="inlineStr">
        <is>
          <t>so2</t>
        </is>
      </c>
      <c r="D1314" s="3" t="str">
        <f>IF($B1314="",""," | "&amp;$E1314&amp;" | "&amp;$F1314)</f>
        <v> | Other energy use | SO2</v>
      </c>
      <c r="E1314" s="3" t="str">
        <f>IFERROR(INDEX(SecLab,MATCH($B1314,SecKey,0)),"")</f>
        <v>Other energy use</v>
      </c>
      <c r="F1314" s="3" t="str">
        <f>IFERROR(INDEX(FuelLab,MATCH($C1314,FuelKeyL,0)),"")</f>
        <v>SO2</v>
      </c>
      <c r="G1314" s="3" t="inlineStr">
        <is>
          <t>.oen.so2</t>
        </is>
      </c>
      <c r="I1314" s="3" t="inlineStr">
        <is>
          <t>ap|cst|co</t>
        </is>
      </c>
      <c r="J1314" s="3" t="inlineStr">
        <is>
          <t>em.cst.all.co</t>
        </is>
      </c>
    </row>
    <row r="1315">
      <c r="A1315" s="3" t="str">
        <f>$B1315&amp;"|"&amp;$C1315</f>
        <v>pow|so2</v>
      </c>
      <c r="B1315" s="3" t="inlineStr">
        <is>
          <t>pow</t>
        </is>
      </c>
      <c r="C1315" s="3" t="inlineStr">
        <is>
          <t>so2</t>
        </is>
      </c>
      <c r="D1315" s="3" t="str">
        <f>IF($B1315="",""," | "&amp;$E1315&amp;" | "&amp;$F1315)</f>
        <v> | Power | SO2</v>
      </c>
      <c r="E1315" s="3" t="str">
        <f>IFERROR(INDEX(SecLab,MATCH($B1315,SecKey,0)),"")</f>
        <v>Power</v>
      </c>
      <c r="F1315" s="3" t="str">
        <f>IFERROR(INDEX(FuelLab,MATCH($C1315,FuelKeyL,0)),"")</f>
        <v>SO2</v>
      </c>
      <c r="G1315" s="3" t="inlineStr">
        <is>
          <t>.pow.so2</t>
        </is>
      </c>
      <c r="I1315" s="3" t="inlineStr">
        <is>
          <t>ap|ftr|co</t>
        </is>
      </c>
      <c r="J1315" s="3" t="inlineStr">
        <is>
          <t>em.ftr.all.co</t>
        </is>
      </c>
    </row>
    <row r="1316">
      <c r="A1316" s="3" t="str">
        <f>$B1316&amp;"|"&amp;$C1316</f>
        <v>tra|so2</v>
      </c>
      <c r="B1316" s="3" t="inlineStr">
        <is>
          <t>tra</t>
        </is>
      </c>
      <c r="C1316" s="3" t="inlineStr">
        <is>
          <t>so2</t>
        </is>
      </c>
      <c r="D1316" s="3" t="str">
        <f>IF($B1316="",""," | "&amp;$E1316&amp;" | "&amp;$F1316)</f>
        <v> | Transport | SO2</v>
      </c>
      <c r="E1316" s="3" t="str">
        <f>IFERROR(INDEX(SecLab,MATCH($B1316,SecKey,0)),"")</f>
        <v>Transport</v>
      </c>
      <c r="F1316" s="3" t="str">
        <f>IFERROR(INDEX(FuelLab,MATCH($C1316,FuelKeyL,0)),"")</f>
        <v>SO2</v>
      </c>
      <c r="G1316" s="3" t="inlineStr">
        <is>
          <t>.tra.so2</t>
        </is>
      </c>
      <c r="I1316" s="3" t="inlineStr">
        <is>
          <t>ap|oen|co</t>
        </is>
      </c>
      <c r="J1316" s="3" t="inlineStr">
        <is>
          <t>em.oen.all.co</t>
        </is>
      </c>
    </row>
    <row r="1317">
      <c r="A1317" s="3" t="str">
        <f>$B1317&amp;"|"&amp;$C1317</f>
        <v>bld|so2</v>
      </c>
      <c r="B1317" s="3" t="inlineStr">
        <is>
          <t>bld</t>
        </is>
      </c>
      <c r="C1317" s="3" t="inlineStr">
        <is>
          <t>so2</t>
        </is>
      </c>
      <c r="D1317" s="3" t="str">
        <f>IF($B1317="",""," | "&amp;$E1317&amp;" | "&amp;$F1317)</f>
        <v> | Buildings | SO2</v>
      </c>
      <c r="E1317" s="3" t="str">
        <f>IFERROR(INDEX(SecLab,MATCH($B1317,SecKey,0)),"")</f>
        <v>Buildings</v>
      </c>
      <c r="F1317" s="3" t="str">
        <f>IFERROR(INDEX(FuelLab,MATCH($C1317,FuelKeyL,0)),"")</f>
        <v>SO2</v>
      </c>
      <c r="G1317" s="3" t="inlineStr">
        <is>
          <t>.bld.so2</t>
        </is>
      </c>
      <c r="I1317" s="3" t="inlineStr">
        <is>
          <t>ap|pow|co</t>
        </is>
      </c>
      <c r="J1317" s="3" t="inlineStr">
        <is>
          <t>em.pow.all.co</t>
        </is>
      </c>
    </row>
    <row r="1318">
      <c r="A1318" s="3" t="str">
        <f>$B1318&amp;"|"&amp;$C1318</f>
        <v>ind|so2</v>
      </c>
      <c r="B1318" s="3" t="inlineStr">
        <is>
          <t>ind</t>
        </is>
      </c>
      <c r="C1318" s="3" t="inlineStr">
        <is>
          <t>so2</t>
        </is>
      </c>
      <c r="D1318" s="3" t="str">
        <f>IF($B1318="",""," | "&amp;$E1318&amp;" | "&amp;$F1318)</f>
        <v> | Industry | SO2</v>
      </c>
      <c r="E1318" s="3" t="str">
        <f>IFERROR(INDEX(SecLab,MATCH($B1318,SecKey,0)),"")</f>
        <v>Industry</v>
      </c>
      <c r="F1318" s="3" t="str">
        <f>IFERROR(INDEX(FuelLab,MATCH($C1318,FuelKeyL,0)),"")</f>
        <v>SO2</v>
      </c>
      <c r="G1318" s="3" t="inlineStr">
        <is>
          <t>.ind.so2</t>
        </is>
      </c>
      <c r="I1318" s="3" t="inlineStr">
        <is>
          <t>ap|tra|co</t>
        </is>
      </c>
      <c r="J1318" s="3" t="inlineStr">
        <is>
          <t>em.tra.all.co</t>
        </is>
      </c>
    </row>
    <row r="1319">
      <c r="A1319" s="3" t="str">
        <f>$B1319&amp;"|"&amp;$C1319</f>
        <v>fod|so2</v>
      </c>
      <c r="B1319" s="3" t="inlineStr">
        <is>
          <t>fod</t>
        </is>
      </c>
      <c r="C1319" s="3" t="inlineStr">
        <is>
          <t>so2</t>
        </is>
      </c>
      <c r="D1319" s="3" t="str">
        <f>IF($B1319="",""," | "&amp;$E1319&amp;" | "&amp;$F1319)</f>
        <v> | of which food | SO2</v>
      </c>
      <c r="E1319" s="3" t="str">
        <f>IFERROR(INDEX(SecLab,MATCH($B1319,SecKey,0)),"")</f>
        <v>of which food</v>
      </c>
      <c r="F1319" s="3" t="str">
        <f>IFERROR(INDEX(FuelLab,MATCH($C1319,FuelKeyL,0)),"")</f>
        <v>SO2</v>
      </c>
      <c r="G1319" s="3" t="inlineStr">
        <is>
          <t>.fod.so2</t>
        </is>
      </c>
      <c r="I1319" s="3" t="inlineStr">
        <is>
          <t>ap|bld|co</t>
        </is>
      </c>
      <c r="J1319" s="3" t="inlineStr">
        <is>
          <t>em.bld.all.co</t>
        </is>
      </c>
    </row>
    <row r="1320">
      <c r="A1320" s="3" t="str">
        <f>$B1320&amp;"|"&amp;$C1320</f>
        <v>fag|so2</v>
      </c>
      <c r="B1320" s="3" t="inlineStr">
        <is>
          <t>fag</t>
        </is>
      </c>
      <c r="C1320" s="3" t="inlineStr">
        <is>
          <t>so2</t>
        </is>
      </c>
      <c r="D1320" s="3" t="str">
        <f>IF($B1320="",""," | "&amp;$E1320&amp;" | "&amp;$F1320)</f>
        <v> | of which forestry and agriculture | SO2</v>
      </c>
      <c r="E1320" s="3" t="str">
        <f>IFERROR(INDEX(SecLab,MATCH($B1320,SecKey,0)),"")</f>
        <v>of which forestry and agriculture</v>
      </c>
      <c r="F1320" s="3" t="str">
        <f>IFERROR(INDEX(FuelLab,MATCH($C1320,FuelKeyL,0)),"")</f>
        <v>SO2</v>
      </c>
      <c r="G1320" s="3" t="inlineStr">
        <is>
          <t>.fag.so2</t>
        </is>
      </c>
      <c r="I1320" s="3" t="inlineStr">
        <is>
          <t>ap|ind|co</t>
        </is>
      </c>
      <c r="J1320" s="3" t="inlineStr">
        <is>
          <t>em.ind.all.co</t>
        </is>
      </c>
    </row>
    <row r="1321">
      <c r="A1321" s="3" t="str">
        <f>$B1321&amp;"|"&amp;$C1321</f>
        <v>rod|voc</v>
      </c>
      <c r="B1321" s="3" t="inlineStr">
        <is>
          <t>rod</t>
        </is>
      </c>
      <c r="C1321" s="3" t="inlineStr">
        <is>
          <t>voc</t>
        </is>
      </c>
      <c r="D1321" s="3" t="str">
        <f>IF($B1321="",""," | "&amp;$E1321&amp;" | "&amp;$F1321)</f>
        <v> | Road | VOC</v>
      </c>
      <c r="E1321" s="3" t="str">
        <f>IFERROR(INDEX(SecLab,MATCH($B1321,SecKey,0)),"")</f>
        <v>Road</v>
      </c>
      <c r="F1321" s="3" t="str">
        <f>IFERROR(INDEX(FuelLab,MATCH($C1321,FuelKeyL,0)),"")</f>
        <v>VOC</v>
      </c>
      <c r="G1321" s="3" t="inlineStr">
        <is>
          <t>.rod.voc</t>
        </is>
      </c>
      <c r="I1321" s="3" t="inlineStr">
        <is>
          <t>ap|fod|co</t>
        </is>
      </c>
      <c r="J1321" s="3" t="inlineStr">
        <is>
          <t>em.fod.all.co</t>
        </is>
      </c>
    </row>
    <row r="1322">
      <c r="A1322" s="3" t="str">
        <f>$B1322&amp;"|"&amp;$C1322</f>
        <v>ral|voc</v>
      </c>
      <c r="B1322" s="3" t="inlineStr">
        <is>
          <t>ral</t>
        </is>
      </c>
      <c r="C1322" s="3" t="inlineStr">
        <is>
          <t>voc</t>
        </is>
      </c>
      <c r="D1322" s="3" t="str">
        <f>IF($B1322="",""," | "&amp;$E1322&amp;" | "&amp;$F1322)</f>
        <v> | Rail | VOC</v>
      </c>
      <c r="E1322" s="3" t="str">
        <f>IFERROR(INDEX(SecLab,MATCH($B1322,SecKey,0)),"")</f>
        <v>Rail</v>
      </c>
      <c r="F1322" s="3" t="str">
        <f>IFERROR(INDEX(FuelLab,MATCH($C1322,FuelKeyL,0)),"")</f>
        <v>VOC</v>
      </c>
      <c r="G1322" s="3" t="inlineStr">
        <is>
          <t>.ral.voc</t>
        </is>
      </c>
      <c r="I1322" s="3" t="inlineStr">
        <is>
          <t>ap|fag|co</t>
        </is>
      </c>
      <c r="J1322" s="3" t="inlineStr">
        <is>
          <t>em.fag.all.co</t>
        </is>
      </c>
    </row>
    <row r="1323">
      <c r="A1323" s="3" t="str">
        <f>$B1323&amp;"|"&amp;$C1323</f>
        <v>avi|voc</v>
      </c>
      <c r="B1323" s="3" t="inlineStr">
        <is>
          <t>avi</t>
        </is>
      </c>
      <c r="C1323" s="3" t="inlineStr">
        <is>
          <t>voc</t>
        </is>
      </c>
      <c r="D1323" s="3" t="str">
        <f>IF($B1323="",""," | "&amp;$E1323&amp;" | "&amp;$F1323)</f>
        <v> | Domestic aviation | VOC</v>
      </c>
      <c r="E1323" s="3" t="str">
        <f>IFERROR(INDEX(SecLab,MATCH($B1323,SecKey,0)),"")</f>
        <v>Domestic aviation</v>
      </c>
      <c r="F1323" s="3" t="str">
        <f>IFERROR(INDEX(FuelLab,MATCH($C1323,FuelKeyL,0)),"")</f>
        <v>VOC</v>
      </c>
      <c r="G1323" s="3" t="inlineStr">
        <is>
          <t>.avi.voc</t>
        </is>
      </c>
      <c r="I1323" s="3" t="inlineStr">
        <is>
          <t>ap|all|nox</t>
        </is>
      </c>
      <c r="J1323" s="3" t="inlineStr">
        <is>
          <t>em.tot.nox</t>
        </is>
      </c>
    </row>
    <row r="1324">
      <c r="A1324" s="3" t="str">
        <f>$B1324&amp;"|"&amp;$C1324</f>
        <v>nav|voc</v>
      </c>
      <c r="B1324" s="3" t="inlineStr">
        <is>
          <t>nav</t>
        </is>
      </c>
      <c r="C1324" s="3" t="inlineStr">
        <is>
          <t>voc</t>
        </is>
      </c>
      <c r="D1324" s="3" t="str">
        <f>IF($B1324="",""," | "&amp;$E1324&amp;" | "&amp;$F1324)</f>
        <v> | Domestic navigation | VOC</v>
      </c>
      <c r="E1324" s="3" t="str">
        <f>IFERROR(INDEX(SecLab,MATCH($B1324,SecKey,0)),"")</f>
        <v>Domestic navigation</v>
      </c>
      <c r="F1324" s="3" t="str">
        <f>IFERROR(INDEX(FuelLab,MATCH($C1324,FuelKeyL,0)),"")</f>
        <v>VOC</v>
      </c>
      <c r="G1324" s="3" t="inlineStr">
        <is>
          <t>.nav.voc</t>
        </is>
      </c>
      <c r="I1324" s="3" t="inlineStr">
        <is>
          <t>ap|all|so2</t>
        </is>
      </c>
      <c r="J1324" s="3" t="inlineStr">
        <is>
          <t>em.tot.so2</t>
        </is>
      </c>
    </row>
    <row r="1325">
      <c r="A1325" s="3" t="str">
        <f>$B1325&amp;"|"&amp;$C1325</f>
        <v>res|voc</v>
      </c>
      <c r="B1325" s="3" t="inlineStr">
        <is>
          <t>res</t>
        </is>
      </c>
      <c r="C1325" s="3" t="inlineStr">
        <is>
          <t>voc</t>
        </is>
      </c>
      <c r="D1325" s="3" t="str">
        <f>IF($B1325="",""," | "&amp;$E1325&amp;" | "&amp;$F1325)</f>
        <v> | Residential | VOC</v>
      </c>
      <c r="E1325" s="3" t="str">
        <f>IFERROR(INDEX(SecLab,MATCH($B1325,SecKey,0)),"")</f>
        <v>Residential</v>
      </c>
      <c r="F1325" s="3" t="str">
        <f>IFERROR(INDEX(FuelLab,MATCH($C1325,FuelKeyL,0)),"")</f>
        <v>VOC</v>
      </c>
      <c r="G1325" s="3" t="inlineStr">
        <is>
          <t>.res.voc</t>
        </is>
      </c>
      <c r="I1325" s="3" t="inlineStr">
        <is>
          <t>ap|all|voc</t>
        </is>
      </c>
      <c r="J1325" s="3" t="inlineStr">
        <is>
          <t>em.tot.voc</t>
        </is>
      </c>
    </row>
    <row r="1326">
      <c r="A1326" s="3" t="str">
        <f>$B1326&amp;"|"&amp;$C1326</f>
        <v>foo|voc</v>
      </c>
      <c r="B1326" s="3" t="inlineStr">
        <is>
          <t>foo</t>
        </is>
      </c>
      <c r="C1326" s="3" t="inlineStr">
        <is>
          <t>voc</t>
        </is>
      </c>
      <c r="D1326" s="3" t="str">
        <f>IF($B1326="",""," | "&amp;$E1326&amp;" | "&amp;$F1326)</f>
        <v> | Food &amp; forestry | VOC</v>
      </c>
      <c r="E1326" s="3" t="str">
        <f>IFERROR(INDEX(SecLab,MATCH($B1326,SecKey,0)),"")</f>
        <v>Food &amp; forestry</v>
      </c>
      <c r="F1326" s="3" t="str">
        <f>IFERROR(INDEX(FuelLab,MATCH($C1326,FuelKeyL,0)),"")</f>
        <v>VOC</v>
      </c>
      <c r="G1326" s="3" t="inlineStr">
        <is>
          <t>.foo.voc</t>
        </is>
      </c>
      <c r="I1326" s="3" t="inlineStr">
        <is>
          <t>ap|all|bc</t>
        </is>
      </c>
      <c r="J1326" s="3" t="inlineStr">
        <is>
          <t>em.tot.bc</t>
        </is>
      </c>
    </row>
    <row r="1327">
      <c r="A1327" s="3" t="str">
        <f>$B1327&amp;"|"&amp;$C1327</f>
        <v>srv|voc</v>
      </c>
      <c r="B1327" s="3" t="inlineStr">
        <is>
          <t>srv</t>
        </is>
      </c>
      <c r="C1327" s="3" t="inlineStr">
        <is>
          <t>voc</t>
        </is>
      </c>
      <c r="D1327" s="3" t="str">
        <f>IF($B1327="",""," | "&amp;$E1327&amp;" | "&amp;$F1327)</f>
        <v> | Services (public &amp; private) | VOC</v>
      </c>
      <c r="E1327" s="3" t="str">
        <f>IFERROR(INDEX(SecLab,MATCH($B1327,SecKey,0)),"")</f>
        <v>Services (public &amp; private)</v>
      </c>
      <c r="F1327" s="3" t="str">
        <f>IFERROR(INDEX(FuelLab,MATCH($C1327,FuelKeyL,0)),"")</f>
        <v>VOC</v>
      </c>
      <c r="G1327" s="3" t="inlineStr">
        <is>
          <t>.srv.voc</t>
        </is>
      </c>
      <c r="I1327" s="3" t="inlineStr">
        <is>
          <t>ap|all|oc</t>
        </is>
      </c>
      <c r="J1327" s="3" t="inlineStr">
        <is>
          <t>em.tot.oc</t>
        </is>
      </c>
    </row>
    <row r="1328">
      <c r="A1328" s="3" t="str">
        <f>$B1328&amp;"|"&amp;$C1328</f>
        <v>mch|voc</v>
      </c>
      <c r="B1328" s="3" t="inlineStr">
        <is>
          <t>mch</t>
        </is>
      </c>
      <c r="C1328" s="3" t="inlineStr">
        <is>
          <t>voc</t>
        </is>
      </c>
      <c r="D1328" s="3" t="str">
        <f>IF($B1328="",""," | "&amp;$E1328&amp;" | "&amp;$F1328)</f>
        <v> | Mining &amp; chemicals | VOC</v>
      </c>
      <c r="E1328" s="3" t="str">
        <f>IFERROR(INDEX(SecLab,MATCH($B1328,SecKey,0)),"")</f>
        <v>Mining &amp; chemicals</v>
      </c>
      <c r="F1328" s="3" t="str">
        <f>IFERROR(INDEX(FuelLab,MATCH($C1328,FuelKeyL,0)),"")</f>
        <v>VOC</v>
      </c>
      <c r="G1328" s="3" t="inlineStr">
        <is>
          <t>.mch.voc</t>
        </is>
      </c>
      <c r="I1328" s="3" t="inlineStr">
        <is>
          <t>ap|all|co</t>
        </is>
      </c>
      <c r="J1328" s="3" t="inlineStr">
        <is>
          <t>em.tot.co</t>
        </is>
      </c>
    </row>
    <row r="1329">
      <c r="A1329" s="3" t="str">
        <f>$B1329&amp;"|"&amp;$C1329</f>
        <v>irn|voc</v>
      </c>
      <c r="B1329" s="3" t="inlineStr">
        <is>
          <t>irn</t>
        </is>
      </c>
      <c r="C1329" s="3" t="inlineStr">
        <is>
          <t>voc</t>
        </is>
      </c>
      <c r="D1329" s="3" t="str">
        <f>IF($B1329="",""," | "&amp;$E1329&amp;" | "&amp;$F1329)</f>
        <v> | Iron &amp; steel | VOC</v>
      </c>
      <c r="E1329" s="3" t="str">
        <f>IFERROR(INDEX(SecLab,MATCH($B1329,SecKey,0)),"")</f>
        <v>Iron &amp; steel</v>
      </c>
      <c r="F1329" s="3" t="str">
        <f>IFERROR(INDEX(FuelLab,MATCH($C1329,FuelKeyL,0)),"")</f>
        <v>VOC</v>
      </c>
      <c r="G1329" s="3" t="inlineStr">
        <is>
          <t>.irn.voc</t>
        </is>
      </c>
      <c r="I1329" s="3" t="inlineStr">
        <is>
          <t>apf|all|bc</t>
        </is>
      </c>
      <c r="J1329" s="3" t="inlineStr">
        <is>
          <t>bc.tot</t>
        </is>
      </c>
    </row>
    <row r="1330">
      <c r="A1330" s="3" t="str">
        <f>$B1330&amp;"|"&amp;$C1330</f>
        <v>nfm|voc</v>
      </c>
      <c r="B1330" s="3" t="inlineStr">
        <is>
          <t>nfm</t>
        </is>
      </c>
      <c r="C1330" s="3" t="inlineStr">
        <is>
          <t>voc</t>
        </is>
      </c>
      <c r="D1330" s="3" t="str">
        <f>IF($B1330="",""," | "&amp;$E1330&amp;" | "&amp;$F1330)</f>
        <v> | Other metals | VOC</v>
      </c>
      <c r="E1330" s="3" t="str">
        <f>IFERROR(INDEX(SecLab,MATCH($B1330,SecKey,0)),"")</f>
        <v>Other metals</v>
      </c>
      <c r="F1330" s="3" t="str">
        <f>IFERROR(INDEX(FuelLab,MATCH($C1330,FuelKeyL,0)),"")</f>
        <v>VOC</v>
      </c>
      <c r="G1330" s="3" t="inlineStr">
        <is>
          <t>.nfm.voc</t>
        </is>
      </c>
      <c r="I1330" s="3" t="inlineStr">
        <is>
          <t>apf|all|oc</t>
        </is>
      </c>
      <c r="J1330" s="3" t="inlineStr">
        <is>
          <t>oc.tot</t>
        </is>
      </c>
    </row>
    <row r="1331">
      <c r="A1331" s="3" t="str">
        <f>$B1331&amp;"|"&amp;$C1331</f>
        <v>mac|voc</v>
      </c>
      <c r="B1331" s="3" t="inlineStr">
        <is>
          <t>mac</t>
        </is>
      </c>
      <c r="C1331" s="3" t="inlineStr">
        <is>
          <t>voc</t>
        </is>
      </c>
      <c r="D1331" s="3" t="str">
        <f>IF($B1331="",""," | "&amp;$E1331&amp;" | "&amp;$F1331)</f>
        <v> | Machinery | VOC</v>
      </c>
      <c r="E1331" s="3" t="str">
        <f>IFERROR(INDEX(SecLab,MATCH($B1331,SecKey,0)),"")</f>
        <v>Machinery</v>
      </c>
      <c r="F1331" s="3" t="str">
        <f>IFERROR(INDEX(FuelLab,MATCH($C1331,FuelKeyL,0)),"")</f>
        <v>VOC</v>
      </c>
      <c r="G1331" s="3" t="inlineStr">
        <is>
          <t>.mac.voc</t>
        </is>
      </c>
      <c r="I1331" s="3" t="inlineStr">
        <is>
          <t>apf|all|nox</t>
        </is>
      </c>
      <c r="J1331" s="3" t="inlineStr">
        <is>
          <t>nox.tot</t>
        </is>
      </c>
    </row>
    <row r="1332">
      <c r="A1332" s="3" t="str">
        <f>$B1332&amp;"|"&amp;$C1332</f>
        <v>cem|voc</v>
      </c>
      <c r="B1332" s="3" t="inlineStr">
        <is>
          <t>cem</t>
        </is>
      </c>
      <c r="C1332" s="3" t="inlineStr">
        <is>
          <t>voc</t>
        </is>
      </c>
      <c r="D1332" s="3" t="str">
        <f>IF($B1332="",""," | "&amp;$E1332&amp;" | "&amp;$F1332)</f>
        <v> | Cement | VOC</v>
      </c>
      <c r="E1332" s="3" t="str">
        <f>IFERROR(INDEX(SecLab,MATCH($B1332,SecKey,0)),"")</f>
        <v>Cement</v>
      </c>
      <c r="F1332" s="3" t="str">
        <f>IFERROR(INDEX(FuelLab,MATCH($C1332,FuelKeyL,0)),"")</f>
        <v>VOC</v>
      </c>
      <c r="G1332" s="3" t="inlineStr">
        <is>
          <t>.cem.voc</t>
        </is>
      </c>
      <c r="I1332" s="3" t="inlineStr">
        <is>
          <t>apf|all|so2</t>
        </is>
      </c>
      <c r="J1332" s="3" t="inlineStr">
        <is>
          <t>so2.tot</t>
        </is>
      </c>
    </row>
    <row r="1333">
      <c r="A1333" s="3" t="str">
        <f>$B1333&amp;"|"&amp;$C1333</f>
        <v>omn|voc</v>
      </c>
      <c r="B1333" s="3" t="inlineStr">
        <is>
          <t>omn</t>
        </is>
      </c>
      <c r="C1333" s="3" t="inlineStr">
        <is>
          <t>voc</t>
        </is>
      </c>
      <c r="D1333" s="3" t="str">
        <f>IF($B1333="",""," | "&amp;$E1333&amp;" | "&amp;$F1333)</f>
        <v> | Other manufacturing | VOC</v>
      </c>
      <c r="E1333" s="3" t="str">
        <f>IFERROR(INDEX(SecLab,MATCH($B1333,SecKey,0)),"")</f>
        <v>Other manufacturing</v>
      </c>
      <c r="F1333" s="3" t="str">
        <f>IFERROR(INDEX(FuelLab,MATCH($C1333,FuelKeyL,0)),"")</f>
        <v>VOC</v>
      </c>
      <c r="G1333" s="3" t="inlineStr">
        <is>
          <t>.omn.voc</t>
        </is>
      </c>
      <c r="I1333" s="3" t="inlineStr">
        <is>
          <t>apf|all|voc</t>
        </is>
      </c>
      <c r="J1333" s="3" t="inlineStr">
        <is>
          <t>voc.tot</t>
        </is>
      </c>
    </row>
    <row r="1334">
      <c r="A1334" s="3" t="str">
        <f>$B1334&amp;"|"&amp;$C1334</f>
        <v>cst|voc</v>
      </c>
      <c r="B1334" s="3" t="inlineStr">
        <is>
          <t>cst</t>
        </is>
      </c>
      <c r="C1334" s="3" t="inlineStr">
        <is>
          <t>voc</t>
        </is>
      </c>
      <c r="D1334" s="3" t="str">
        <f>IF($B1334="",""," | "&amp;$E1334&amp;" | "&amp;$F1334)</f>
        <v> | Construction | VOC</v>
      </c>
      <c r="E1334" s="3" t="str">
        <f>IFERROR(INDEX(SecLab,MATCH($B1334,SecKey,0)),"")</f>
        <v>Construction</v>
      </c>
      <c r="F1334" s="3" t="str">
        <f>IFERROR(INDEX(FuelLab,MATCH($C1334,FuelKeyL,0)),"")</f>
        <v>VOC</v>
      </c>
      <c r="G1334" s="3" t="inlineStr">
        <is>
          <t>.cst.voc</t>
        </is>
      </c>
      <c r="I1334" s="3" t="inlineStr">
        <is>
          <t>apf|all|co</t>
        </is>
      </c>
      <c r="J1334" s="3" t="inlineStr">
        <is>
          <t>co.tot</t>
        </is>
      </c>
    </row>
    <row r="1335">
      <c r="A1335" s="3" t="str">
        <f>$B1335&amp;"|"&amp;$C1335</f>
        <v>ftr|voc</v>
      </c>
      <c r="B1335" s="3" t="inlineStr">
        <is>
          <t>ftr</t>
        </is>
      </c>
      <c r="C1335" s="3" t="inlineStr">
        <is>
          <t>voc</t>
        </is>
      </c>
      <c r="D1335" s="3" t="str">
        <f>IF($B1335="",""," | "&amp;$E1335&amp;" | "&amp;$F1335)</f>
        <v> | Fuel transformation | VOC</v>
      </c>
      <c r="E1335" s="3" t="str">
        <f>IFERROR(INDEX(SecLab,MATCH($B1335,SecKey,0)),"")</f>
        <v>Fuel transformation</v>
      </c>
      <c r="F1335" s="3" t="str">
        <f>IFERROR(INDEX(FuelLab,MATCH($C1335,FuelKeyL,0)),"")</f>
        <v>VOC</v>
      </c>
      <c r="G1335" s="3" t="inlineStr">
        <is>
          <t>.ftr.voc</t>
        </is>
      </c>
      <c r="I1335" s="3" t="inlineStr">
        <is>
          <t>apf|all|all</t>
        </is>
      </c>
      <c r="J1335" s="3" t="inlineStr">
        <is>
          <t>apf.tot.tot</t>
        </is>
      </c>
    </row>
    <row r="1336">
      <c r="A1336" s="3" t="str">
        <f>$B1336&amp;"|"&amp;$C1336</f>
        <v>oen|voc</v>
      </c>
      <c r="B1336" s="3" t="inlineStr">
        <is>
          <t>oen</t>
        </is>
      </c>
      <c r="C1336" s="3" t="inlineStr">
        <is>
          <t>voc</t>
        </is>
      </c>
      <c r="D1336" s="3" t="str">
        <f>IF($B1336="",""," | "&amp;$E1336&amp;" | "&amp;$F1336)</f>
        <v> | Other energy use | VOC</v>
      </c>
      <c r="E1336" s="3" t="str">
        <f>IFERROR(INDEX(SecLab,MATCH($B1336,SecKey,0)),"")</f>
        <v>Other energy use</v>
      </c>
      <c r="F1336" s="3" t="str">
        <f>IFERROR(INDEX(FuelLab,MATCH($C1336,FuelKeyL,0)),"")</f>
        <v>VOC</v>
      </c>
      <c r="G1336" s="3" t="inlineStr">
        <is>
          <t>.oen.voc</t>
        </is>
      </c>
      <c r="I1336" s="3" t="inlineStr">
        <is>
          <t>aps|all|nox</t>
        </is>
      </c>
      <c r="J1336" s="3" t="inlineStr">
        <is>
          <t>aps.all.nox</t>
        </is>
      </c>
    </row>
    <row r="1337">
      <c r="A1337" s="3" t="str">
        <f>$B1337&amp;"|"&amp;$C1337</f>
        <v>pow|voc</v>
      </c>
      <c r="B1337" s="3" t="inlineStr">
        <is>
          <t>pow</t>
        </is>
      </c>
      <c r="C1337" s="3" t="inlineStr">
        <is>
          <t>voc</t>
        </is>
      </c>
      <c r="D1337" s="3" t="str">
        <f>IF($B1337="",""," | "&amp;$E1337&amp;" | "&amp;$F1337)</f>
        <v> | Power | VOC</v>
      </c>
      <c r="E1337" s="3" t="str">
        <f>IFERROR(INDEX(SecLab,MATCH($B1337,SecKey,0)),"")</f>
        <v>Power</v>
      </c>
      <c r="F1337" s="3" t="str">
        <f>IFERROR(INDEX(FuelLab,MATCH($C1337,FuelKeyL,0)),"")</f>
        <v>VOC</v>
      </c>
      <c r="G1337" s="3" t="inlineStr">
        <is>
          <t>.pow.voc</t>
        </is>
      </c>
      <c r="I1337" s="3" t="inlineStr">
        <is>
          <t>aps|all|so2</t>
        </is>
      </c>
      <c r="J1337" s="3" t="inlineStr">
        <is>
          <t>aps.all.so2</t>
        </is>
      </c>
    </row>
    <row r="1338">
      <c r="A1338" s="3" t="str">
        <f>$B1338&amp;"|"&amp;$C1338</f>
        <v>tra|voc</v>
      </c>
      <c r="B1338" s="3" t="inlineStr">
        <is>
          <t>tra</t>
        </is>
      </c>
      <c r="C1338" s="3" t="inlineStr">
        <is>
          <t>voc</t>
        </is>
      </c>
      <c r="D1338" s="3" t="str">
        <f>IF($B1338="",""," | "&amp;$E1338&amp;" | "&amp;$F1338)</f>
        <v> | Transport | VOC</v>
      </c>
      <c r="E1338" s="3" t="str">
        <f>IFERROR(INDEX(SecLab,MATCH($B1338,SecKey,0)),"")</f>
        <v>Transport</v>
      </c>
      <c r="F1338" s="3" t="str">
        <f>IFERROR(INDEX(FuelLab,MATCH($C1338,FuelKeyL,0)),"")</f>
        <v>VOC</v>
      </c>
      <c r="G1338" s="3" t="inlineStr">
        <is>
          <t>.tra.voc</t>
        </is>
      </c>
      <c r="I1338" s="3" t="inlineStr">
        <is>
          <t>aps|all|bc</t>
        </is>
      </c>
      <c r="J1338" s="3" t="inlineStr">
        <is>
          <t>aps.all.bc</t>
        </is>
      </c>
    </row>
    <row r="1339">
      <c r="A1339" s="3" t="str">
        <f>$B1339&amp;"|"&amp;$C1339</f>
        <v>bld|voc</v>
      </c>
      <c r="B1339" s="3" t="inlineStr">
        <is>
          <t>bld</t>
        </is>
      </c>
      <c r="C1339" s="3" t="inlineStr">
        <is>
          <t>voc</t>
        </is>
      </c>
      <c r="D1339" s="3" t="str">
        <f>IF($B1339="",""," | "&amp;$E1339&amp;" | "&amp;$F1339)</f>
        <v> | Buildings | VOC</v>
      </c>
      <c r="E1339" s="3" t="str">
        <f>IFERROR(INDEX(SecLab,MATCH($B1339,SecKey,0)),"")</f>
        <v>Buildings</v>
      </c>
      <c r="F1339" s="3" t="str">
        <f>IFERROR(INDEX(FuelLab,MATCH($C1339,FuelKeyL,0)),"")</f>
        <v>VOC</v>
      </c>
      <c r="G1339" s="3" t="inlineStr">
        <is>
          <t>.bld.voc</t>
        </is>
      </c>
      <c r="I1339" s="3" t="inlineStr">
        <is>
          <t>aps|all|pom</t>
        </is>
      </c>
      <c r="J1339" s="3" t="inlineStr">
        <is>
          <t>aps.all.pom</t>
        </is>
      </c>
    </row>
    <row r="1340">
      <c r="A1340" s="3" t="str">
        <f>$B1340&amp;"|"&amp;$C1340</f>
        <v>ind|voc</v>
      </c>
      <c r="B1340" s="3" t="inlineStr">
        <is>
          <t>ind</t>
        </is>
      </c>
      <c r="C1340" s="3" t="inlineStr">
        <is>
          <t>voc</t>
        </is>
      </c>
      <c r="D1340" s="3" t="str">
        <f>IF($B1340="",""," | "&amp;$E1340&amp;" | "&amp;$F1340)</f>
        <v> | Industry | VOC</v>
      </c>
      <c r="E1340" s="3" t="str">
        <f>IFERROR(INDEX(SecLab,MATCH($B1340,SecKey,0)),"")</f>
        <v>Industry</v>
      </c>
      <c r="F1340" s="3" t="str">
        <f>IFERROR(INDEX(FuelLab,MATCH($C1340,FuelKeyL,0)),"")</f>
        <v>VOC</v>
      </c>
      <c r="G1340" s="3" t="inlineStr">
        <is>
          <t>.ind.voc</t>
        </is>
      </c>
      <c r="I1340" s="3" t="inlineStr">
        <is>
          <t>aps|all|opm</t>
        </is>
      </c>
      <c r="J1340" s="3" t="inlineStr">
        <is>
          <t>aps.all.opm</t>
        </is>
      </c>
    </row>
    <row r="1341">
      <c r="A1341" s="3" t="str">
        <f>$B1341&amp;"|"&amp;$C1341</f>
        <v>fod|voc</v>
      </c>
      <c r="B1341" s="3" t="inlineStr">
        <is>
          <t>fod</t>
        </is>
      </c>
      <c r="C1341" s="3" t="inlineStr">
        <is>
          <t>voc</t>
        </is>
      </c>
      <c r="D1341" s="3" t="str">
        <f>IF($B1341="",""," | "&amp;$E1341&amp;" | "&amp;$F1341)</f>
        <v> | of which food | VOC</v>
      </c>
      <c r="E1341" s="3" t="str">
        <f>IFERROR(INDEX(SecLab,MATCH($B1341,SecKey,0)),"")</f>
        <v>of which food</v>
      </c>
      <c r="F1341" s="3" t="str">
        <f>IFERROR(INDEX(FuelLab,MATCH($C1341,FuelKeyL,0)),"")</f>
        <v>VOC</v>
      </c>
      <c r="G1341" s="3" t="inlineStr">
        <is>
          <t>.fod.voc</t>
        </is>
      </c>
      <c r="I1341" s="3" t="inlineStr">
        <is>
          <t>aps|all|voc</t>
        </is>
      </c>
      <c r="J1341" s="3" t="inlineStr">
        <is>
          <t>aps.all.voc</t>
        </is>
      </c>
    </row>
    <row r="1342">
      <c r="A1342" s="3" t="str">
        <f>$B1342&amp;"|"&amp;$C1342</f>
        <v>fag|voc</v>
      </c>
      <c r="B1342" s="3" t="inlineStr">
        <is>
          <t>fag</t>
        </is>
      </c>
      <c r="C1342" s="3" t="inlineStr">
        <is>
          <t>voc</t>
        </is>
      </c>
      <c r="D1342" s="3" t="str">
        <f>IF($B1342="",""," | "&amp;$E1342&amp;" | "&amp;$F1342)</f>
        <v> | of which forestry and agriculture | VOC</v>
      </c>
      <c r="E1342" s="3" t="str">
        <f>IFERROR(INDEX(SecLab,MATCH($B1342,SecKey,0)),"")</f>
        <v>of which forestry and agriculture</v>
      </c>
      <c r="F1342" s="3" t="str">
        <f>IFERROR(INDEX(FuelLab,MATCH($C1342,FuelKeyL,0)),"")</f>
        <v>VOC</v>
      </c>
      <c r="G1342" s="3" t="inlineStr">
        <is>
          <t>.fag.voc</t>
        </is>
      </c>
      <c r="I1342" s="3" t="inlineStr">
        <is>
          <t>aps|all|ch4</t>
        </is>
      </c>
      <c r="J1342" s="3" t="inlineStr">
        <is>
          <t>aps.all.ch4</t>
        </is>
      </c>
    </row>
    <row r="1343">
      <c r="A1343" s="3" t="str">
        <f>$B1343&amp;"|"&amp;$C1343</f>
        <v>rod|bc</v>
      </c>
      <c r="B1343" s="3" t="inlineStr">
        <is>
          <t>rod</t>
        </is>
      </c>
      <c r="C1343" s="3" t="inlineStr">
        <is>
          <t>bc</t>
        </is>
      </c>
      <c r="D1343" s="3" t="str">
        <f>IF($B1343="",""," | "&amp;$E1343&amp;" | "&amp;$F1343)</f>
        <v> | Road | Black carbon</v>
      </c>
      <c r="E1343" s="3" t="str">
        <f>IFERROR(INDEX(SecLab,MATCH($B1343,SecKey,0)),"")</f>
        <v>Road</v>
      </c>
      <c r="F1343" s="3" t="str">
        <f>IFERROR(INDEX(FuelLab,MATCH($C1343,FuelKeyL,0)),"")</f>
        <v>Black carbon</v>
      </c>
      <c r="G1343" s="3" t="inlineStr">
        <is>
          <t>.rod.bc</t>
        </is>
      </c>
      <c r="I1343" s="3" t="inlineStr">
        <is>
          <t>aps|all|co</t>
        </is>
      </c>
      <c r="J1343" s="3" t="inlineStr">
        <is>
          <t>aps.all.co</t>
        </is>
      </c>
    </row>
    <row r="1344">
      <c r="A1344" s="3" t="str">
        <f>$B1344&amp;"|"&amp;$C1344</f>
        <v>ral|bc</v>
      </c>
      <c r="B1344" s="3" t="inlineStr">
        <is>
          <t>ral</t>
        </is>
      </c>
      <c r="C1344" s="3" t="inlineStr">
        <is>
          <t>bc</t>
        </is>
      </c>
      <c r="D1344" s="3" t="str">
        <f>IF($B1344="",""," | "&amp;$E1344&amp;" | "&amp;$F1344)</f>
        <v> | Rail | Black carbon</v>
      </c>
      <c r="E1344" s="3" t="str">
        <f>IFERROR(INDEX(SecLab,MATCH($B1344,SecKey,0)),"")</f>
        <v>Rail</v>
      </c>
      <c r="F1344" s="3" t="str">
        <f>IFERROR(INDEX(FuelLab,MATCH($C1344,FuelKeyL,0)),"")</f>
        <v>Black carbon</v>
      </c>
      <c r="G1344" s="3" t="inlineStr">
        <is>
          <t>.ral.bc</t>
        </is>
      </c>
      <c r="I1344" s="3" t="inlineStr">
        <is>
          <t>aps|all|pm2</t>
        </is>
      </c>
      <c r="J1344" s="3" t="inlineStr">
        <is>
          <t>aps.all.pm2</t>
        </is>
      </c>
    </row>
    <row r="1345">
      <c r="A1345" s="3" t="str">
        <f>$B1345&amp;"|"&amp;$C1345</f>
        <v>avi|bc</v>
      </c>
      <c r="B1345" s="3" t="inlineStr">
        <is>
          <t>avi</t>
        </is>
      </c>
      <c r="C1345" s="3" t="inlineStr">
        <is>
          <t>bc</t>
        </is>
      </c>
      <c r="D1345" s="3" t="str">
        <f>IF($B1345="",""," | "&amp;$E1345&amp;" | "&amp;$F1345)</f>
        <v> | Domestic aviation | Black carbon</v>
      </c>
      <c r="E1345" s="3" t="str">
        <f>IFERROR(INDEX(SecLab,MATCH($B1345,SecKey,0)),"")</f>
        <v>Domestic aviation</v>
      </c>
      <c r="F1345" s="3" t="str">
        <f>IFERROR(INDEX(FuelLab,MATCH($C1345,FuelKeyL,0)),"")</f>
        <v>Black carbon</v>
      </c>
      <c r="G1345" s="3" t="inlineStr">
        <is>
          <t>.avi.bc</t>
        </is>
      </c>
      <c r="I1345" s="3" t="inlineStr">
        <is>
          <t>aps|all|oc</t>
        </is>
      </c>
      <c r="J1345" s="3" t="inlineStr">
        <is>
          <t>aps.all.oc</t>
        </is>
      </c>
    </row>
    <row r="1346">
      <c r="A1346" s="3" t="str">
        <f>$B1346&amp;"|"&amp;$C1346</f>
        <v>nav|bc</v>
      </c>
      <c r="B1346" s="3" t="inlineStr">
        <is>
          <t>nav</t>
        </is>
      </c>
      <c r="C1346" s="3" t="inlineStr">
        <is>
          <t>bc</t>
        </is>
      </c>
      <c r="D1346" s="3" t="str">
        <f>IF($B1346="",""," | "&amp;$E1346&amp;" | "&amp;$F1346)</f>
        <v> | Domestic navigation | Black carbon</v>
      </c>
      <c r="E1346" s="3" t="str">
        <f>IFERROR(INDEX(SecLab,MATCH($B1346,SecKey,0)),"")</f>
        <v>Domestic navigation</v>
      </c>
      <c r="F1346" s="3" t="str">
        <f>IFERROR(INDEX(FuelLab,MATCH($C1346,FuelKeyL,0)),"")</f>
        <v>Black carbon</v>
      </c>
      <c r="G1346" s="3" t="inlineStr">
        <is>
          <t>.nav.bc</t>
        </is>
      </c>
      <c r="I1346" s="3" t="inlineStr">
        <is>
          <t>ap|all|pm2</t>
        </is>
      </c>
      <c r="J1346" s="3" t="inlineStr">
        <is>
          <t>em.tot.pm2</t>
        </is>
      </c>
    </row>
    <row r="1347">
      <c r="A1347" s="3" t="str">
        <f>$B1347&amp;"|"&amp;$C1347</f>
        <v>res|bc</v>
      </c>
      <c r="B1347" s="3" t="inlineStr">
        <is>
          <t>res</t>
        </is>
      </c>
      <c r="C1347" s="3" t="inlineStr">
        <is>
          <t>bc</t>
        </is>
      </c>
      <c r="D1347" s="3" t="str">
        <f>IF($B1347="",""," | "&amp;$E1347&amp;" | "&amp;$F1347)</f>
        <v> | Residential | Black carbon</v>
      </c>
      <c r="E1347" s="3" t="str">
        <f>IFERROR(INDEX(SecLab,MATCH($B1347,SecKey,0)),"")</f>
        <v>Residential</v>
      </c>
      <c r="F1347" s="3" t="str">
        <f>IFERROR(INDEX(FuelLab,MATCH($C1347,FuelKeyL,0)),"")</f>
        <v>Black carbon</v>
      </c>
      <c r="G1347" s="3" t="inlineStr">
        <is>
          <t>.res.bc</t>
        </is>
      </c>
    </row>
    <row r="1348">
      <c r="A1348" s="3" t="str">
        <f>$B1348&amp;"|"&amp;$C1348</f>
        <v>foo|bc</v>
      </c>
      <c r="B1348" s="3" t="inlineStr">
        <is>
          <t>foo</t>
        </is>
      </c>
      <c r="C1348" s="3" t="inlineStr">
        <is>
          <t>bc</t>
        </is>
      </c>
      <c r="D1348" s="3" t="str">
        <f>IF($B1348="",""," | "&amp;$E1348&amp;" | "&amp;$F1348)</f>
        <v> | Food &amp; forestry | Black carbon</v>
      </c>
      <c r="E1348" s="3" t="str">
        <f>IFERROR(INDEX(SecLab,MATCH($B1348,SecKey,0)),"")</f>
        <v>Food &amp; forestry</v>
      </c>
      <c r="F1348" s="3" t="str">
        <f>IFERROR(INDEX(FuelLab,MATCH($C1348,FuelKeyL,0)),"")</f>
        <v>Black carbon</v>
      </c>
      <c r="G1348" s="3" t="inlineStr">
        <is>
          <t>.foo.bc</t>
        </is>
      </c>
    </row>
    <row r="1349">
      <c r="A1349" s="3" t="str">
        <f>$B1349&amp;"|"&amp;$C1349</f>
        <v>srv|bc</v>
      </c>
      <c r="B1349" s="3" t="inlineStr">
        <is>
          <t>srv</t>
        </is>
      </c>
      <c r="C1349" s="3" t="inlineStr">
        <is>
          <t>bc</t>
        </is>
      </c>
      <c r="D1349" s="3" t="str">
        <f>IF($B1349="",""," | "&amp;$E1349&amp;" | "&amp;$F1349)</f>
        <v> | Services (public &amp; private) | Black carbon</v>
      </c>
      <c r="E1349" s="3" t="str">
        <f>IFERROR(INDEX(SecLab,MATCH($B1349,SecKey,0)),"")</f>
        <v>Services (public &amp; private)</v>
      </c>
      <c r="F1349" s="3" t="str">
        <f>IFERROR(INDEX(FuelLab,MATCH($C1349,FuelKeyL,0)),"")</f>
        <v>Black carbon</v>
      </c>
      <c r="G1349" s="3" t="inlineStr">
        <is>
          <t>.srv.bc</t>
        </is>
      </c>
    </row>
    <row r="1350">
      <c r="A1350" s="3" t="str">
        <f>$B1350&amp;"|"&amp;$C1350</f>
        <v>mch|bc</v>
      </c>
      <c r="B1350" s="3" t="inlineStr">
        <is>
          <t>mch</t>
        </is>
      </c>
      <c r="C1350" s="3" t="inlineStr">
        <is>
          <t>bc</t>
        </is>
      </c>
      <c r="D1350" s="3" t="str">
        <f>IF($B1350="",""," | "&amp;$E1350&amp;" | "&amp;$F1350)</f>
        <v> | Mining &amp; chemicals | Black carbon</v>
      </c>
      <c r="E1350" s="3" t="str">
        <f>IFERROR(INDEX(SecLab,MATCH($B1350,SecKey,0)),"")</f>
        <v>Mining &amp; chemicals</v>
      </c>
      <c r="F1350" s="3" t="str">
        <f>IFERROR(INDEX(FuelLab,MATCH($C1350,FuelKeyL,0)),"")</f>
        <v>Black carbon</v>
      </c>
      <c r="G1350" s="3" t="inlineStr">
        <is>
          <t>.mch.bc</t>
        </is>
      </c>
    </row>
    <row r="1351">
      <c r="A1351" s="3" t="str">
        <f>$B1351&amp;"|"&amp;$C1351</f>
        <v>irn|bc</v>
      </c>
      <c r="B1351" s="3" t="inlineStr">
        <is>
          <t>irn</t>
        </is>
      </c>
      <c r="C1351" s="3" t="inlineStr">
        <is>
          <t>bc</t>
        </is>
      </c>
      <c r="D1351" s="3" t="str">
        <f>IF($B1351="",""," | "&amp;$E1351&amp;" | "&amp;$F1351)</f>
        <v> | Iron &amp; steel | Black carbon</v>
      </c>
      <c r="E1351" s="3" t="str">
        <f>IFERROR(INDEX(SecLab,MATCH($B1351,SecKey,0)),"")</f>
        <v>Iron &amp; steel</v>
      </c>
      <c r="F1351" s="3" t="str">
        <f>IFERROR(INDEX(FuelLab,MATCH($C1351,FuelKeyL,0)),"")</f>
        <v>Black carbon</v>
      </c>
      <c r="G1351" s="3" t="inlineStr">
        <is>
          <t>.irn.bc</t>
        </is>
      </c>
    </row>
    <row r="1352">
      <c r="A1352" s="3" t="str">
        <f>$B1352&amp;"|"&amp;$C1352</f>
        <v>nfm|bc</v>
      </c>
      <c r="B1352" s="3" t="inlineStr">
        <is>
          <t>nfm</t>
        </is>
      </c>
      <c r="C1352" s="3" t="inlineStr">
        <is>
          <t>bc</t>
        </is>
      </c>
      <c r="D1352" s="3" t="str">
        <f>IF($B1352="",""," | "&amp;$E1352&amp;" | "&amp;$F1352)</f>
        <v> | Other metals | Black carbon</v>
      </c>
      <c r="E1352" s="3" t="str">
        <f>IFERROR(INDEX(SecLab,MATCH($B1352,SecKey,0)),"")</f>
        <v>Other metals</v>
      </c>
      <c r="F1352" s="3" t="str">
        <f>IFERROR(INDEX(FuelLab,MATCH($C1352,FuelKeyL,0)),"")</f>
        <v>Black carbon</v>
      </c>
      <c r="G1352" s="3" t="inlineStr">
        <is>
          <t>.nfm.bc</t>
        </is>
      </c>
    </row>
    <row r="1353">
      <c r="A1353" s="3" t="str">
        <f>$B1353&amp;"|"&amp;$C1353</f>
        <v>mac|bc</v>
      </c>
      <c r="B1353" s="3" t="inlineStr">
        <is>
          <t>mac</t>
        </is>
      </c>
      <c r="C1353" s="3" t="inlineStr">
        <is>
          <t>bc</t>
        </is>
      </c>
      <c r="D1353" s="3" t="str">
        <f>IF($B1353="",""," | "&amp;$E1353&amp;" | "&amp;$F1353)</f>
        <v> | Machinery | Black carbon</v>
      </c>
      <c r="E1353" s="3" t="str">
        <f>IFERROR(INDEX(SecLab,MATCH($B1353,SecKey,0)),"")</f>
        <v>Machinery</v>
      </c>
      <c r="F1353" s="3" t="str">
        <f>IFERROR(INDEX(FuelLab,MATCH($C1353,FuelKeyL,0)),"")</f>
        <v>Black carbon</v>
      </c>
      <c r="G1353" s="3" t="inlineStr">
        <is>
          <t>.mac.bc</t>
        </is>
      </c>
    </row>
    <row r="1354">
      <c r="A1354" s="3" t="str">
        <f>$B1354&amp;"|"&amp;$C1354</f>
        <v>cem|bc</v>
      </c>
      <c r="B1354" s="3" t="inlineStr">
        <is>
          <t>cem</t>
        </is>
      </c>
      <c r="C1354" s="3" t="inlineStr">
        <is>
          <t>bc</t>
        </is>
      </c>
      <c r="D1354" s="3" t="str">
        <f>IF($B1354="",""," | "&amp;$E1354&amp;" | "&amp;$F1354)</f>
        <v> | Cement | Black carbon</v>
      </c>
      <c r="E1354" s="3" t="str">
        <f>IFERROR(INDEX(SecLab,MATCH($B1354,SecKey,0)),"")</f>
        <v>Cement</v>
      </c>
      <c r="F1354" s="3" t="str">
        <f>IFERROR(INDEX(FuelLab,MATCH($C1354,FuelKeyL,0)),"")</f>
        <v>Black carbon</v>
      </c>
      <c r="G1354" s="3" t="inlineStr">
        <is>
          <t>.cem.bc</t>
        </is>
      </c>
    </row>
    <row r="1355">
      <c r="A1355" s="3" t="str">
        <f>$B1355&amp;"|"&amp;$C1355</f>
        <v>omn|bc</v>
      </c>
      <c r="B1355" s="3" t="inlineStr">
        <is>
          <t>omn</t>
        </is>
      </c>
      <c r="C1355" s="3" t="inlineStr">
        <is>
          <t>bc</t>
        </is>
      </c>
      <c r="D1355" s="3" t="str">
        <f>IF($B1355="",""," | "&amp;$E1355&amp;" | "&amp;$F1355)</f>
        <v> | Other manufacturing | Black carbon</v>
      </c>
      <c r="E1355" s="3" t="str">
        <f>IFERROR(INDEX(SecLab,MATCH($B1355,SecKey,0)),"")</f>
        <v>Other manufacturing</v>
      </c>
      <c r="F1355" s="3" t="str">
        <f>IFERROR(INDEX(FuelLab,MATCH($C1355,FuelKeyL,0)),"")</f>
        <v>Black carbon</v>
      </c>
      <c r="G1355" s="3" t="inlineStr">
        <is>
          <t>.omn.bc</t>
        </is>
      </c>
    </row>
    <row r="1356">
      <c r="A1356" s="3" t="str">
        <f>$B1356&amp;"|"&amp;$C1356</f>
        <v>cst|bc</v>
      </c>
      <c r="B1356" s="3" t="inlineStr">
        <is>
          <t>cst</t>
        </is>
      </c>
      <c r="C1356" s="3" t="inlineStr">
        <is>
          <t>bc</t>
        </is>
      </c>
      <c r="D1356" s="3" t="str">
        <f>IF($B1356="",""," | "&amp;$E1356&amp;" | "&amp;$F1356)</f>
        <v> | Construction | Black carbon</v>
      </c>
      <c r="E1356" s="3" t="str">
        <f>IFERROR(INDEX(SecLab,MATCH($B1356,SecKey,0)),"")</f>
        <v>Construction</v>
      </c>
      <c r="F1356" s="3" t="str">
        <f>IFERROR(INDEX(FuelLab,MATCH($C1356,FuelKeyL,0)),"")</f>
        <v>Black carbon</v>
      </c>
      <c r="G1356" s="3" t="inlineStr">
        <is>
          <t>.cst.bc</t>
        </is>
      </c>
    </row>
    <row r="1357">
      <c r="A1357" s="3" t="str">
        <f>$B1357&amp;"|"&amp;$C1357</f>
        <v>ftr|bc</v>
      </c>
      <c r="B1357" s="3" t="inlineStr">
        <is>
          <t>ftr</t>
        </is>
      </c>
      <c r="C1357" s="3" t="inlineStr">
        <is>
          <t>bc</t>
        </is>
      </c>
      <c r="D1357" s="3" t="str">
        <f>IF($B1357="",""," | "&amp;$E1357&amp;" | "&amp;$F1357)</f>
        <v> | Fuel transformation | Black carbon</v>
      </c>
      <c r="E1357" s="3" t="str">
        <f>IFERROR(INDEX(SecLab,MATCH($B1357,SecKey,0)),"")</f>
        <v>Fuel transformation</v>
      </c>
      <c r="F1357" s="3" t="str">
        <f>IFERROR(INDEX(FuelLab,MATCH($C1357,FuelKeyL,0)),"")</f>
        <v>Black carbon</v>
      </c>
      <c r="G1357" s="3" t="inlineStr">
        <is>
          <t>.ftr.bc</t>
        </is>
      </c>
    </row>
    <row r="1358">
      <c r="A1358" s="3" t="str">
        <f>$B1358&amp;"|"&amp;$C1358</f>
        <v>oen|bc</v>
      </c>
      <c r="B1358" s="3" t="inlineStr">
        <is>
          <t>oen</t>
        </is>
      </c>
      <c r="C1358" s="3" t="inlineStr">
        <is>
          <t>bc</t>
        </is>
      </c>
      <c r="D1358" s="3" t="str">
        <f>IF($B1358="",""," | "&amp;$E1358&amp;" | "&amp;$F1358)</f>
        <v> | Other energy use | Black carbon</v>
      </c>
      <c r="E1358" s="3" t="str">
        <f>IFERROR(INDEX(SecLab,MATCH($B1358,SecKey,0)),"")</f>
        <v>Other energy use</v>
      </c>
      <c r="F1358" s="3" t="str">
        <f>IFERROR(INDEX(FuelLab,MATCH($C1358,FuelKeyL,0)),"")</f>
        <v>Black carbon</v>
      </c>
      <c r="G1358" s="3" t="inlineStr">
        <is>
          <t>.oen.bc</t>
        </is>
      </c>
    </row>
    <row r="1359">
      <c r="A1359" s="3" t="str">
        <f>$B1359&amp;"|"&amp;$C1359</f>
        <v>pow|bc</v>
      </c>
      <c r="B1359" s="3" t="inlineStr">
        <is>
          <t>pow</t>
        </is>
      </c>
      <c r="C1359" s="3" t="inlineStr">
        <is>
          <t>bc</t>
        </is>
      </c>
      <c r="D1359" s="3" t="str">
        <f>IF($B1359="",""," | "&amp;$E1359&amp;" | "&amp;$F1359)</f>
        <v> | Power | Black carbon</v>
      </c>
      <c r="E1359" s="3" t="str">
        <f>IFERROR(INDEX(SecLab,MATCH($B1359,SecKey,0)),"")</f>
        <v>Power</v>
      </c>
      <c r="F1359" s="3" t="str">
        <f>IFERROR(INDEX(FuelLab,MATCH($C1359,FuelKeyL,0)),"")</f>
        <v>Black carbon</v>
      </c>
      <c r="G1359" s="3" t="inlineStr">
        <is>
          <t>.pow.bc</t>
        </is>
      </c>
    </row>
    <row r="1360">
      <c r="A1360" s="3" t="str">
        <f>$B1360&amp;"|"&amp;$C1360</f>
        <v>tra|bc</v>
      </c>
      <c r="B1360" s="3" t="inlineStr">
        <is>
          <t>tra</t>
        </is>
      </c>
      <c r="C1360" s="3" t="inlineStr">
        <is>
          <t>bc</t>
        </is>
      </c>
      <c r="D1360" s="3" t="str">
        <f>IF($B1360="",""," | "&amp;$E1360&amp;" | "&amp;$F1360)</f>
        <v> | Transport | Black carbon</v>
      </c>
      <c r="E1360" s="3" t="str">
        <f>IFERROR(INDEX(SecLab,MATCH($B1360,SecKey,0)),"")</f>
        <v>Transport</v>
      </c>
      <c r="F1360" s="3" t="str">
        <f>IFERROR(INDEX(FuelLab,MATCH($C1360,FuelKeyL,0)),"")</f>
        <v>Black carbon</v>
      </c>
      <c r="G1360" s="3" t="inlineStr">
        <is>
          <t>.tra.bc</t>
        </is>
      </c>
    </row>
    <row r="1361">
      <c r="A1361" s="3" t="str">
        <f>$B1361&amp;"|"&amp;$C1361</f>
        <v>bld|bc</v>
      </c>
      <c r="B1361" s="3" t="inlineStr">
        <is>
          <t>bld</t>
        </is>
      </c>
      <c r="C1361" s="3" t="inlineStr">
        <is>
          <t>bc</t>
        </is>
      </c>
      <c r="D1361" s="3" t="str">
        <f>IF($B1361="",""," | "&amp;$E1361&amp;" | "&amp;$F1361)</f>
        <v> | Buildings | Black carbon</v>
      </c>
      <c r="E1361" s="3" t="str">
        <f>IFERROR(INDEX(SecLab,MATCH($B1361,SecKey,0)),"")</f>
        <v>Buildings</v>
      </c>
      <c r="F1361" s="3" t="str">
        <f>IFERROR(INDEX(FuelLab,MATCH($C1361,FuelKeyL,0)),"")</f>
        <v>Black carbon</v>
      </c>
      <c r="G1361" s="3" t="inlineStr">
        <is>
          <t>.bld.bc</t>
        </is>
      </c>
    </row>
    <row r="1362">
      <c r="A1362" s="3" t="str">
        <f>$B1362&amp;"|"&amp;$C1362</f>
        <v>ind|bc</v>
      </c>
      <c r="B1362" s="3" t="inlineStr">
        <is>
          <t>ind</t>
        </is>
      </c>
      <c r="C1362" s="3" t="inlineStr">
        <is>
          <t>bc</t>
        </is>
      </c>
      <c r="D1362" s="3" t="str">
        <f>IF($B1362="",""," | "&amp;$E1362&amp;" | "&amp;$F1362)</f>
        <v> | Industry | Black carbon</v>
      </c>
      <c r="E1362" s="3" t="str">
        <f>IFERROR(INDEX(SecLab,MATCH($B1362,SecKey,0)),"")</f>
        <v>Industry</v>
      </c>
      <c r="F1362" s="3" t="str">
        <f>IFERROR(INDEX(FuelLab,MATCH($C1362,FuelKeyL,0)),"")</f>
        <v>Black carbon</v>
      </c>
      <c r="G1362" s="3" t="inlineStr">
        <is>
          <t>.ind.bc</t>
        </is>
      </c>
    </row>
    <row r="1363">
      <c r="A1363" s="3" t="str">
        <f>$B1363&amp;"|"&amp;$C1363</f>
        <v>fod|bc</v>
      </c>
      <c r="B1363" s="3" t="inlineStr">
        <is>
          <t>fod</t>
        </is>
      </c>
      <c r="C1363" s="3" t="inlineStr">
        <is>
          <t>bc</t>
        </is>
      </c>
      <c r="D1363" s="3" t="str">
        <f>IF($B1363="",""," | "&amp;$E1363&amp;" | "&amp;$F1363)</f>
        <v> | of which food | Black carbon</v>
      </c>
      <c r="E1363" s="3" t="str">
        <f>IFERROR(INDEX(SecLab,MATCH($B1363,SecKey,0)),"")</f>
        <v>of which food</v>
      </c>
      <c r="F1363" s="3" t="str">
        <f>IFERROR(INDEX(FuelLab,MATCH($C1363,FuelKeyL,0)),"")</f>
        <v>Black carbon</v>
      </c>
      <c r="G1363" s="3" t="inlineStr">
        <is>
          <t>.fod.bc</t>
        </is>
      </c>
    </row>
    <row r="1364">
      <c r="A1364" s="3" t="str">
        <f>$B1364&amp;"|"&amp;$C1364</f>
        <v>fag|bc</v>
      </c>
      <c r="B1364" s="3" t="inlineStr">
        <is>
          <t>fag</t>
        </is>
      </c>
      <c r="C1364" s="3" t="inlineStr">
        <is>
          <t>bc</t>
        </is>
      </c>
      <c r="D1364" s="3" t="str">
        <f>IF($B1364="",""," | "&amp;$E1364&amp;" | "&amp;$F1364)</f>
        <v> | of which forestry and agriculture | Black carbon</v>
      </c>
      <c r="E1364" s="3" t="str">
        <f>IFERROR(INDEX(SecLab,MATCH($B1364,SecKey,0)),"")</f>
        <v>of which forestry and agriculture</v>
      </c>
      <c r="F1364" s="3" t="str">
        <f>IFERROR(INDEX(FuelLab,MATCH($C1364,FuelKeyL,0)),"")</f>
        <v>Black carbon</v>
      </c>
      <c r="G1364" s="3" t="inlineStr">
        <is>
          <t>.fag.bc</t>
        </is>
      </c>
    </row>
    <row r="1365">
      <c r="A1365" s="3" t="str">
        <f>$B1365&amp;"|"&amp;$C1365</f>
        <v>rod|oc</v>
      </c>
      <c r="B1365" s="3" t="inlineStr">
        <is>
          <t>rod</t>
        </is>
      </c>
      <c r="C1365" s="3" t="inlineStr">
        <is>
          <t>oc</t>
        </is>
      </c>
      <c r="D1365" s="3" t="str">
        <f>IF($B1365="",""," | "&amp;$E1365&amp;" | "&amp;$F1365)</f>
        <v> | Road | Organic carbon</v>
      </c>
      <c r="E1365" s="3" t="str">
        <f>IFERROR(INDEX(SecLab,MATCH($B1365,SecKey,0)),"")</f>
        <v>Road</v>
      </c>
      <c r="F1365" s="3" t="str">
        <f>IFERROR(INDEX(FuelLab,MATCH($C1365,FuelKeyL,0)),"")</f>
        <v>Organic carbon</v>
      </c>
      <c r="G1365" s="3" t="inlineStr">
        <is>
          <t>.rod.oc</t>
        </is>
      </c>
    </row>
    <row r="1366">
      <c r="A1366" s="3" t="str">
        <f>$B1366&amp;"|"&amp;$C1366</f>
        <v>ral|oc</v>
      </c>
      <c r="B1366" s="3" t="inlineStr">
        <is>
          <t>ral</t>
        </is>
      </c>
      <c r="C1366" s="3" t="inlineStr">
        <is>
          <t>oc</t>
        </is>
      </c>
      <c r="D1366" s="3" t="str">
        <f>IF($B1366="",""," | "&amp;$E1366&amp;" | "&amp;$F1366)</f>
        <v> | Rail | Organic carbon</v>
      </c>
      <c r="E1366" s="3" t="str">
        <f>IFERROR(INDEX(SecLab,MATCH($B1366,SecKey,0)),"")</f>
        <v>Rail</v>
      </c>
      <c r="F1366" s="3" t="str">
        <f>IFERROR(INDEX(FuelLab,MATCH($C1366,FuelKeyL,0)),"")</f>
        <v>Organic carbon</v>
      </c>
      <c r="G1366" s="3" t="inlineStr">
        <is>
          <t>.ral.oc</t>
        </is>
      </c>
    </row>
    <row r="1367">
      <c r="A1367" s="3" t="str">
        <f>$B1367&amp;"|"&amp;$C1367</f>
        <v>avi|oc</v>
      </c>
      <c r="B1367" s="3" t="inlineStr">
        <is>
          <t>avi</t>
        </is>
      </c>
      <c r="C1367" s="3" t="inlineStr">
        <is>
          <t>oc</t>
        </is>
      </c>
      <c r="D1367" s="3" t="str">
        <f>IF($B1367="",""," | "&amp;$E1367&amp;" | "&amp;$F1367)</f>
        <v> | Domestic aviation | Organic carbon</v>
      </c>
      <c r="E1367" s="3" t="str">
        <f>IFERROR(INDEX(SecLab,MATCH($B1367,SecKey,0)),"")</f>
        <v>Domestic aviation</v>
      </c>
      <c r="F1367" s="3" t="str">
        <f>IFERROR(INDEX(FuelLab,MATCH($C1367,FuelKeyL,0)),"")</f>
        <v>Organic carbon</v>
      </c>
      <c r="G1367" s="3" t="inlineStr">
        <is>
          <t>.avi.oc</t>
        </is>
      </c>
    </row>
    <row r="1368">
      <c r="A1368" s="3" t="str">
        <f>$B1368&amp;"|"&amp;$C1368</f>
        <v>nav|oc</v>
      </c>
      <c r="B1368" s="3" t="inlineStr">
        <is>
          <t>nav</t>
        </is>
      </c>
      <c r="C1368" s="3" t="inlineStr">
        <is>
          <t>oc</t>
        </is>
      </c>
      <c r="D1368" s="3" t="str">
        <f>IF($B1368="",""," | "&amp;$E1368&amp;" | "&amp;$F1368)</f>
        <v> | Domestic navigation | Organic carbon</v>
      </c>
      <c r="E1368" s="3" t="str">
        <f>IFERROR(INDEX(SecLab,MATCH($B1368,SecKey,0)),"")</f>
        <v>Domestic navigation</v>
      </c>
      <c r="F1368" s="3" t="str">
        <f>IFERROR(INDEX(FuelLab,MATCH($C1368,FuelKeyL,0)),"")</f>
        <v>Organic carbon</v>
      </c>
      <c r="G1368" s="3" t="inlineStr">
        <is>
          <t>.nav.oc</t>
        </is>
      </c>
    </row>
    <row r="1369">
      <c r="A1369" s="3" t="str">
        <f>$B1369&amp;"|"&amp;$C1369</f>
        <v>res|oc</v>
      </c>
      <c r="B1369" s="3" t="inlineStr">
        <is>
          <t>res</t>
        </is>
      </c>
      <c r="C1369" s="3" t="inlineStr">
        <is>
          <t>oc</t>
        </is>
      </c>
      <c r="D1369" s="3" t="str">
        <f>IF($B1369="",""," | "&amp;$E1369&amp;" | "&amp;$F1369)</f>
        <v> | Residential | Organic carbon</v>
      </c>
      <c r="E1369" s="3" t="str">
        <f>IFERROR(INDEX(SecLab,MATCH($B1369,SecKey,0)),"")</f>
        <v>Residential</v>
      </c>
      <c r="F1369" s="3" t="str">
        <f>IFERROR(INDEX(FuelLab,MATCH($C1369,FuelKeyL,0)),"")</f>
        <v>Organic carbon</v>
      </c>
      <c r="G1369" s="3" t="inlineStr">
        <is>
          <t>.res.oc</t>
        </is>
      </c>
    </row>
    <row r="1370">
      <c r="A1370" s="3" t="str">
        <f>$B1370&amp;"|"&amp;$C1370</f>
        <v>foo|oc</v>
      </c>
      <c r="B1370" s="3" t="inlineStr">
        <is>
          <t>foo</t>
        </is>
      </c>
      <c r="C1370" s="3" t="inlineStr">
        <is>
          <t>oc</t>
        </is>
      </c>
      <c r="D1370" s="3" t="str">
        <f>IF($B1370="",""," | "&amp;$E1370&amp;" | "&amp;$F1370)</f>
        <v> | Food &amp; forestry | Organic carbon</v>
      </c>
      <c r="E1370" s="3" t="str">
        <f>IFERROR(INDEX(SecLab,MATCH($B1370,SecKey,0)),"")</f>
        <v>Food &amp; forestry</v>
      </c>
      <c r="F1370" s="3" t="str">
        <f>IFERROR(INDEX(FuelLab,MATCH($C1370,FuelKeyL,0)),"")</f>
        <v>Organic carbon</v>
      </c>
      <c r="G1370" s="3" t="inlineStr">
        <is>
          <t>.foo.oc</t>
        </is>
      </c>
    </row>
    <row r="1371">
      <c r="A1371" s="3" t="str">
        <f>$B1371&amp;"|"&amp;$C1371</f>
        <v>srv|oc</v>
      </c>
      <c r="B1371" s="3" t="inlineStr">
        <is>
          <t>srv</t>
        </is>
      </c>
      <c r="C1371" s="3" t="inlineStr">
        <is>
          <t>oc</t>
        </is>
      </c>
      <c r="D1371" s="3" t="str">
        <f>IF($B1371="",""," | "&amp;$E1371&amp;" | "&amp;$F1371)</f>
        <v> | Services (public &amp; private) | Organic carbon</v>
      </c>
      <c r="E1371" s="3" t="str">
        <f>IFERROR(INDEX(SecLab,MATCH($B1371,SecKey,0)),"")</f>
        <v>Services (public &amp; private)</v>
      </c>
      <c r="F1371" s="3" t="str">
        <f>IFERROR(INDEX(FuelLab,MATCH($C1371,FuelKeyL,0)),"")</f>
        <v>Organic carbon</v>
      </c>
      <c r="G1371" s="3" t="inlineStr">
        <is>
          <t>.srv.oc</t>
        </is>
      </c>
    </row>
    <row r="1372">
      <c r="A1372" s="3" t="str">
        <f>$B1372&amp;"|"&amp;$C1372</f>
        <v>mch|oc</v>
      </c>
      <c r="B1372" s="3" t="inlineStr">
        <is>
          <t>mch</t>
        </is>
      </c>
      <c r="C1372" s="3" t="inlineStr">
        <is>
          <t>oc</t>
        </is>
      </c>
      <c r="D1372" s="3" t="str">
        <f>IF($B1372="",""," | "&amp;$E1372&amp;" | "&amp;$F1372)</f>
        <v> | Mining &amp; chemicals | Organic carbon</v>
      </c>
      <c r="E1372" s="3" t="str">
        <f>IFERROR(INDEX(SecLab,MATCH($B1372,SecKey,0)),"")</f>
        <v>Mining &amp; chemicals</v>
      </c>
      <c r="F1372" s="3" t="str">
        <f>IFERROR(INDEX(FuelLab,MATCH($C1372,FuelKeyL,0)),"")</f>
        <v>Organic carbon</v>
      </c>
      <c r="G1372" s="3" t="inlineStr">
        <is>
          <t>.mch.oc</t>
        </is>
      </c>
    </row>
    <row r="1373">
      <c r="A1373" s="3" t="str">
        <f>$B1373&amp;"|"&amp;$C1373</f>
        <v>irn|oc</v>
      </c>
      <c r="B1373" s="3" t="inlineStr">
        <is>
          <t>irn</t>
        </is>
      </c>
      <c r="C1373" s="3" t="inlineStr">
        <is>
          <t>oc</t>
        </is>
      </c>
      <c r="D1373" s="3" t="str">
        <f>IF($B1373="",""," | "&amp;$E1373&amp;" | "&amp;$F1373)</f>
        <v> | Iron &amp; steel | Organic carbon</v>
      </c>
      <c r="E1373" s="3" t="str">
        <f>IFERROR(INDEX(SecLab,MATCH($B1373,SecKey,0)),"")</f>
        <v>Iron &amp; steel</v>
      </c>
      <c r="F1373" s="3" t="str">
        <f>IFERROR(INDEX(FuelLab,MATCH($C1373,FuelKeyL,0)),"")</f>
        <v>Organic carbon</v>
      </c>
      <c r="G1373" s="3" t="inlineStr">
        <is>
          <t>.irn.oc</t>
        </is>
      </c>
    </row>
    <row r="1374">
      <c r="A1374" s="3" t="str">
        <f>$B1374&amp;"|"&amp;$C1374</f>
        <v>nfm|oc</v>
      </c>
      <c r="B1374" s="3" t="inlineStr">
        <is>
          <t>nfm</t>
        </is>
      </c>
      <c r="C1374" s="3" t="inlineStr">
        <is>
          <t>oc</t>
        </is>
      </c>
      <c r="D1374" s="3" t="str">
        <f>IF($B1374="",""," | "&amp;$E1374&amp;" | "&amp;$F1374)</f>
        <v> | Other metals | Organic carbon</v>
      </c>
      <c r="E1374" s="3" t="str">
        <f>IFERROR(INDEX(SecLab,MATCH($B1374,SecKey,0)),"")</f>
        <v>Other metals</v>
      </c>
      <c r="F1374" s="3" t="str">
        <f>IFERROR(INDEX(FuelLab,MATCH($C1374,FuelKeyL,0)),"")</f>
        <v>Organic carbon</v>
      </c>
      <c r="G1374" s="3" t="inlineStr">
        <is>
          <t>.nfm.oc</t>
        </is>
      </c>
    </row>
    <row r="1375">
      <c r="A1375" s="3" t="str">
        <f>$B1375&amp;"|"&amp;$C1375</f>
        <v>mac|oc</v>
      </c>
      <c r="B1375" s="3" t="inlineStr">
        <is>
          <t>mac</t>
        </is>
      </c>
      <c r="C1375" s="3" t="inlineStr">
        <is>
          <t>oc</t>
        </is>
      </c>
      <c r="D1375" s="3" t="str">
        <f>IF($B1375="",""," | "&amp;$E1375&amp;" | "&amp;$F1375)</f>
        <v> | Machinery | Organic carbon</v>
      </c>
      <c r="E1375" s="3" t="str">
        <f>IFERROR(INDEX(SecLab,MATCH($B1375,SecKey,0)),"")</f>
        <v>Machinery</v>
      </c>
      <c r="F1375" s="3" t="str">
        <f>IFERROR(INDEX(FuelLab,MATCH($C1375,FuelKeyL,0)),"")</f>
        <v>Organic carbon</v>
      </c>
      <c r="G1375" s="3" t="inlineStr">
        <is>
          <t>.mac.oc</t>
        </is>
      </c>
    </row>
    <row r="1376">
      <c r="A1376" s="3" t="str">
        <f>$B1376&amp;"|"&amp;$C1376</f>
        <v>cem|oc</v>
      </c>
      <c r="B1376" s="3" t="inlineStr">
        <is>
          <t>cem</t>
        </is>
      </c>
      <c r="C1376" s="3" t="inlineStr">
        <is>
          <t>oc</t>
        </is>
      </c>
      <c r="D1376" s="3" t="str">
        <f>IF($B1376="",""," | "&amp;$E1376&amp;" | "&amp;$F1376)</f>
        <v> | Cement | Organic carbon</v>
      </c>
      <c r="E1376" s="3" t="str">
        <f>IFERROR(INDEX(SecLab,MATCH($B1376,SecKey,0)),"")</f>
        <v>Cement</v>
      </c>
      <c r="F1376" s="3" t="str">
        <f>IFERROR(INDEX(FuelLab,MATCH($C1376,FuelKeyL,0)),"")</f>
        <v>Organic carbon</v>
      </c>
      <c r="G1376" s="3" t="inlineStr">
        <is>
          <t>.cem.oc</t>
        </is>
      </c>
    </row>
    <row r="1377">
      <c r="A1377" s="3" t="str">
        <f>$B1377&amp;"|"&amp;$C1377</f>
        <v>omn|oc</v>
      </c>
      <c r="B1377" s="3" t="inlineStr">
        <is>
          <t>omn</t>
        </is>
      </c>
      <c r="C1377" s="3" t="inlineStr">
        <is>
          <t>oc</t>
        </is>
      </c>
      <c r="D1377" s="3" t="str">
        <f>IF($B1377="",""," | "&amp;$E1377&amp;" | "&amp;$F1377)</f>
        <v> | Other manufacturing | Organic carbon</v>
      </c>
      <c r="E1377" s="3" t="str">
        <f>IFERROR(INDEX(SecLab,MATCH($B1377,SecKey,0)),"")</f>
        <v>Other manufacturing</v>
      </c>
      <c r="F1377" s="3" t="str">
        <f>IFERROR(INDEX(FuelLab,MATCH($C1377,FuelKeyL,0)),"")</f>
        <v>Organic carbon</v>
      </c>
      <c r="G1377" s="3" t="inlineStr">
        <is>
          <t>.omn.oc</t>
        </is>
      </c>
    </row>
    <row r="1378">
      <c r="A1378" s="3" t="str">
        <f>$B1378&amp;"|"&amp;$C1378</f>
        <v>cst|oc</v>
      </c>
      <c r="B1378" s="3" t="inlineStr">
        <is>
          <t>cst</t>
        </is>
      </c>
      <c r="C1378" s="3" t="inlineStr">
        <is>
          <t>oc</t>
        </is>
      </c>
      <c r="D1378" s="3" t="str">
        <f>IF($B1378="",""," | "&amp;$E1378&amp;" | "&amp;$F1378)</f>
        <v> | Construction | Organic carbon</v>
      </c>
      <c r="E1378" s="3" t="str">
        <f>IFERROR(INDEX(SecLab,MATCH($B1378,SecKey,0)),"")</f>
        <v>Construction</v>
      </c>
      <c r="F1378" s="3" t="str">
        <f>IFERROR(INDEX(FuelLab,MATCH($C1378,FuelKeyL,0)),"")</f>
        <v>Organic carbon</v>
      </c>
      <c r="G1378" s="3" t="inlineStr">
        <is>
          <t>.cst.oc</t>
        </is>
      </c>
    </row>
    <row r="1379">
      <c r="A1379" s="3" t="str">
        <f>$B1379&amp;"|"&amp;$C1379</f>
        <v>ftr|oc</v>
      </c>
      <c r="B1379" s="3" t="inlineStr">
        <is>
          <t>ftr</t>
        </is>
      </c>
      <c r="C1379" s="3" t="inlineStr">
        <is>
          <t>oc</t>
        </is>
      </c>
      <c r="D1379" s="3" t="str">
        <f>IF($B1379="",""," | "&amp;$E1379&amp;" | "&amp;$F1379)</f>
        <v> | Fuel transformation | Organic carbon</v>
      </c>
      <c r="E1379" s="3" t="str">
        <f>IFERROR(INDEX(SecLab,MATCH($B1379,SecKey,0)),"")</f>
        <v>Fuel transformation</v>
      </c>
      <c r="F1379" s="3" t="str">
        <f>IFERROR(INDEX(FuelLab,MATCH($C1379,FuelKeyL,0)),"")</f>
        <v>Organic carbon</v>
      </c>
      <c r="G1379" s="3" t="inlineStr">
        <is>
          <t>.ftr.oc</t>
        </is>
      </c>
    </row>
    <row r="1380">
      <c r="A1380" s="3" t="str">
        <f>$B1380&amp;"|"&amp;$C1380</f>
        <v>oen|oc</v>
      </c>
      <c r="B1380" s="3" t="inlineStr">
        <is>
          <t>oen</t>
        </is>
      </c>
      <c r="C1380" s="3" t="inlineStr">
        <is>
          <t>oc</t>
        </is>
      </c>
      <c r="D1380" s="3" t="str">
        <f>IF($B1380="",""," | "&amp;$E1380&amp;" | "&amp;$F1380)</f>
        <v> | Other energy use | Organic carbon</v>
      </c>
      <c r="E1380" s="3" t="str">
        <f>IFERROR(INDEX(SecLab,MATCH($B1380,SecKey,0)),"")</f>
        <v>Other energy use</v>
      </c>
      <c r="F1380" s="3" t="str">
        <f>IFERROR(INDEX(FuelLab,MATCH($C1380,FuelKeyL,0)),"")</f>
        <v>Organic carbon</v>
      </c>
      <c r="G1380" s="3" t="inlineStr">
        <is>
          <t>.oen.oc</t>
        </is>
      </c>
    </row>
    <row r="1381">
      <c r="A1381" s="3" t="str">
        <f>$B1381&amp;"|"&amp;$C1381</f>
        <v>pow|oc</v>
      </c>
      <c r="B1381" s="3" t="inlineStr">
        <is>
          <t>pow</t>
        </is>
      </c>
      <c r="C1381" s="3" t="inlineStr">
        <is>
          <t>oc</t>
        </is>
      </c>
      <c r="D1381" s="3" t="str">
        <f>IF($B1381="",""," | "&amp;$E1381&amp;" | "&amp;$F1381)</f>
        <v> | Power | Organic carbon</v>
      </c>
      <c r="E1381" s="3" t="str">
        <f>IFERROR(INDEX(SecLab,MATCH($B1381,SecKey,0)),"")</f>
        <v>Power</v>
      </c>
      <c r="F1381" s="3" t="str">
        <f>IFERROR(INDEX(FuelLab,MATCH($C1381,FuelKeyL,0)),"")</f>
        <v>Organic carbon</v>
      </c>
      <c r="G1381" s="3" t="inlineStr">
        <is>
          <t>.pow.oc</t>
        </is>
      </c>
    </row>
    <row r="1382">
      <c r="A1382" s="3" t="str">
        <f>$B1382&amp;"|"&amp;$C1382</f>
        <v>tra|oc</v>
      </c>
      <c r="B1382" s="3" t="inlineStr">
        <is>
          <t>tra</t>
        </is>
      </c>
      <c r="C1382" s="3" t="inlineStr">
        <is>
          <t>oc</t>
        </is>
      </c>
      <c r="D1382" s="3" t="str">
        <f>IF($B1382="",""," | "&amp;$E1382&amp;" | "&amp;$F1382)</f>
        <v> | Transport | Organic carbon</v>
      </c>
      <c r="E1382" s="3" t="str">
        <f>IFERROR(INDEX(SecLab,MATCH($B1382,SecKey,0)),"")</f>
        <v>Transport</v>
      </c>
      <c r="F1382" s="3" t="str">
        <f>IFERROR(INDEX(FuelLab,MATCH($C1382,FuelKeyL,0)),"")</f>
        <v>Organic carbon</v>
      </c>
      <c r="G1382" s="3" t="inlineStr">
        <is>
          <t>.tra.oc</t>
        </is>
      </c>
    </row>
    <row r="1383">
      <c r="A1383" s="3" t="str">
        <f>$B1383&amp;"|"&amp;$C1383</f>
        <v>bld|oc</v>
      </c>
      <c r="B1383" s="3" t="inlineStr">
        <is>
          <t>bld</t>
        </is>
      </c>
      <c r="C1383" s="3" t="inlineStr">
        <is>
          <t>oc</t>
        </is>
      </c>
      <c r="D1383" s="3" t="str">
        <f>IF($B1383="",""," | "&amp;$E1383&amp;" | "&amp;$F1383)</f>
        <v> | Buildings | Organic carbon</v>
      </c>
      <c r="E1383" s="3" t="str">
        <f>IFERROR(INDEX(SecLab,MATCH($B1383,SecKey,0)),"")</f>
        <v>Buildings</v>
      </c>
      <c r="F1383" s="3" t="str">
        <f>IFERROR(INDEX(FuelLab,MATCH($C1383,FuelKeyL,0)),"")</f>
        <v>Organic carbon</v>
      </c>
      <c r="G1383" s="3" t="inlineStr">
        <is>
          <t>.bld.oc</t>
        </is>
      </c>
    </row>
    <row r="1384">
      <c r="A1384" s="3" t="str">
        <f>$B1384&amp;"|"&amp;$C1384</f>
        <v>ind|oc</v>
      </c>
      <c r="B1384" s="3" t="inlineStr">
        <is>
          <t>ind</t>
        </is>
      </c>
      <c r="C1384" s="3" t="inlineStr">
        <is>
          <t>oc</t>
        </is>
      </c>
      <c r="D1384" s="3" t="str">
        <f>IF($B1384="",""," | "&amp;$E1384&amp;" | "&amp;$F1384)</f>
        <v> | Industry | Organic carbon</v>
      </c>
      <c r="E1384" s="3" t="str">
        <f>IFERROR(INDEX(SecLab,MATCH($B1384,SecKey,0)),"")</f>
        <v>Industry</v>
      </c>
      <c r="F1384" s="3" t="str">
        <f>IFERROR(INDEX(FuelLab,MATCH($C1384,FuelKeyL,0)),"")</f>
        <v>Organic carbon</v>
      </c>
      <c r="G1384" s="3" t="inlineStr">
        <is>
          <t>.ind.oc</t>
        </is>
      </c>
    </row>
    <row r="1385">
      <c r="A1385" s="3" t="str">
        <f>$B1385&amp;"|"&amp;$C1385</f>
        <v>fod|oc</v>
      </c>
      <c r="B1385" s="3" t="inlineStr">
        <is>
          <t>fod</t>
        </is>
      </c>
      <c r="C1385" s="3" t="inlineStr">
        <is>
          <t>oc</t>
        </is>
      </c>
      <c r="D1385" s="3" t="str">
        <f>IF($B1385="",""," | "&amp;$E1385&amp;" | "&amp;$F1385)</f>
        <v> | of which food | Organic carbon</v>
      </c>
      <c r="E1385" s="3" t="str">
        <f>IFERROR(INDEX(SecLab,MATCH($B1385,SecKey,0)),"")</f>
        <v>of which food</v>
      </c>
      <c r="F1385" s="3" t="str">
        <f>IFERROR(INDEX(FuelLab,MATCH($C1385,FuelKeyL,0)),"")</f>
        <v>Organic carbon</v>
      </c>
      <c r="G1385" s="3" t="inlineStr">
        <is>
          <t>.fod.oc</t>
        </is>
      </c>
    </row>
    <row r="1386">
      <c r="A1386" s="3" t="str">
        <f>$B1386&amp;"|"&amp;$C1386</f>
        <v>fag|oc</v>
      </c>
      <c r="B1386" s="3" t="inlineStr">
        <is>
          <t>fag</t>
        </is>
      </c>
      <c r="C1386" s="3" t="inlineStr">
        <is>
          <t>oc</t>
        </is>
      </c>
      <c r="D1386" s="3" t="str">
        <f>IF($B1386="",""," | "&amp;$E1386&amp;" | "&amp;$F1386)</f>
        <v> | of which forestry and agriculture | Organic carbon</v>
      </c>
      <c r="E1386" s="3" t="str">
        <f>IFERROR(INDEX(SecLab,MATCH($B1386,SecKey,0)),"")</f>
        <v>of which forestry and agriculture</v>
      </c>
      <c r="F1386" s="3" t="str">
        <f>IFERROR(INDEX(FuelLab,MATCH($C1386,FuelKeyL,0)),"")</f>
        <v>Organic carbon</v>
      </c>
      <c r="G1386" s="3" t="inlineStr">
        <is>
          <t>.fag.oc</t>
        </is>
      </c>
    </row>
    <row r="1387">
      <c r="A1387" s="3" t="str">
        <f>$B1387&amp;"|"&amp;$C1387</f>
        <v>rod|co</v>
      </c>
      <c r="B1387" s="3" t="inlineStr">
        <is>
          <t>rod</t>
        </is>
      </c>
      <c r="C1387" s="3" t="inlineStr">
        <is>
          <t>co</t>
        </is>
      </c>
      <c r="D1387" s="3" t="str">
        <f>IF($B1387="",""," | "&amp;$E1387&amp;" | "&amp;$F1387)</f>
        <v> | Road | CO</v>
      </c>
      <c r="E1387" s="3" t="str">
        <f>IFERROR(INDEX(SecLab,MATCH($B1387,SecKey,0)),"")</f>
        <v>Road</v>
      </c>
      <c r="F1387" s="3" t="str">
        <f>IFERROR(INDEX(FuelLab,MATCH($C1387,FuelKeyL,0)),"")</f>
        <v>CO</v>
      </c>
      <c r="G1387" s="3" t="inlineStr">
        <is>
          <t>.rod.co</t>
        </is>
      </c>
    </row>
    <row r="1388">
      <c r="A1388" s="3" t="str">
        <f>$B1388&amp;"|"&amp;$C1388</f>
        <v>ral|co</v>
      </c>
      <c r="B1388" s="3" t="inlineStr">
        <is>
          <t>ral</t>
        </is>
      </c>
      <c r="C1388" s="3" t="inlineStr">
        <is>
          <t>co</t>
        </is>
      </c>
      <c r="D1388" s="3" t="str">
        <f>IF($B1388="",""," | "&amp;$E1388&amp;" | "&amp;$F1388)</f>
        <v> | Rail | CO</v>
      </c>
      <c r="E1388" s="3" t="str">
        <f>IFERROR(INDEX(SecLab,MATCH($B1388,SecKey,0)),"")</f>
        <v>Rail</v>
      </c>
      <c r="F1388" s="3" t="str">
        <f>IFERROR(INDEX(FuelLab,MATCH($C1388,FuelKeyL,0)),"")</f>
        <v>CO</v>
      </c>
      <c r="G1388" s="3" t="inlineStr">
        <is>
          <t>.ral.co</t>
        </is>
      </c>
    </row>
    <row r="1389">
      <c r="A1389" s="3" t="str">
        <f>$B1389&amp;"|"&amp;$C1389</f>
        <v>avi|co</v>
      </c>
      <c r="B1389" s="3" t="inlineStr">
        <is>
          <t>avi</t>
        </is>
      </c>
      <c r="C1389" s="3" t="inlineStr">
        <is>
          <t>co</t>
        </is>
      </c>
      <c r="D1389" s="3" t="str">
        <f>IF($B1389="",""," | "&amp;$E1389&amp;" | "&amp;$F1389)</f>
        <v> | Domestic aviation | CO</v>
      </c>
      <c r="E1389" s="3" t="str">
        <f>IFERROR(INDEX(SecLab,MATCH($B1389,SecKey,0)),"")</f>
        <v>Domestic aviation</v>
      </c>
      <c r="F1389" s="3" t="str">
        <f>IFERROR(INDEX(FuelLab,MATCH($C1389,FuelKeyL,0)),"")</f>
        <v>CO</v>
      </c>
      <c r="G1389" s="3" t="inlineStr">
        <is>
          <t>.avi.co</t>
        </is>
      </c>
    </row>
    <row r="1390">
      <c r="A1390" s="3" t="str">
        <f>$B1390&amp;"|"&amp;$C1390</f>
        <v>nav|co</v>
      </c>
      <c r="B1390" s="3" t="inlineStr">
        <is>
          <t>nav</t>
        </is>
      </c>
      <c r="C1390" s="3" t="inlineStr">
        <is>
          <t>co</t>
        </is>
      </c>
      <c r="D1390" s="3" t="str">
        <f>IF($B1390="",""," | "&amp;$E1390&amp;" | "&amp;$F1390)</f>
        <v> | Domestic navigation | CO</v>
      </c>
      <c r="E1390" s="3" t="str">
        <f>IFERROR(INDEX(SecLab,MATCH($B1390,SecKey,0)),"")</f>
        <v>Domestic navigation</v>
      </c>
      <c r="F1390" s="3" t="str">
        <f>IFERROR(INDEX(FuelLab,MATCH($C1390,FuelKeyL,0)),"")</f>
        <v>CO</v>
      </c>
      <c r="G1390" s="3" t="inlineStr">
        <is>
          <t>.nav.co</t>
        </is>
      </c>
    </row>
    <row r="1391">
      <c r="A1391" s="3" t="str">
        <f>$B1391&amp;"|"&amp;$C1391</f>
        <v>res|co</v>
      </c>
      <c r="B1391" s="3" t="inlineStr">
        <is>
          <t>res</t>
        </is>
      </c>
      <c r="C1391" s="3" t="inlineStr">
        <is>
          <t>co</t>
        </is>
      </c>
      <c r="D1391" s="3" t="str">
        <f>IF($B1391="",""," | "&amp;$E1391&amp;" | "&amp;$F1391)</f>
        <v> | Residential | CO</v>
      </c>
      <c r="E1391" s="3" t="str">
        <f>IFERROR(INDEX(SecLab,MATCH($B1391,SecKey,0)),"")</f>
        <v>Residential</v>
      </c>
      <c r="F1391" s="3" t="str">
        <f>IFERROR(INDEX(FuelLab,MATCH($C1391,FuelKeyL,0)),"")</f>
        <v>CO</v>
      </c>
      <c r="G1391" s="3" t="inlineStr">
        <is>
          <t>.res.co</t>
        </is>
      </c>
    </row>
    <row r="1392">
      <c r="A1392" s="3" t="str">
        <f>$B1392&amp;"|"&amp;$C1392</f>
        <v>foo|co</v>
      </c>
      <c r="B1392" s="3" t="inlineStr">
        <is>
          <t>foo</t>
        </is>
      </c>
      <c r="C1392" s="3" t="inlineStr">
        <is>
          <t>co</t>
        </is>
      </c>
      <c r="D1392" s="3" t="str">
        <f>IF($B1392="",""," | "&amp;$E1392&amp;" | "&amp;$F1392)</f>
        <v> | Food &amp; forestry | CO</v>
      </c>
      <c r="E1392" s="3" t="str">
        <f>IFERROR(INDEX(SecLab,MATCH($B1392,SecKey,0)),"")</f>
        <v>Food &amp; forestry</v>
      </c>
      <c r="F1392" s="3" t="str">
        <f>IFERROR(INDEX(FuelLab,MATCH($C1392,FuelKeyL,0)),"")</f>
        <v>CO</v>
      </c>
      <c r="G1392" s="3" t="inlineStr">
        <is>
          <t>.foo.co</t>
        </is>
      </c>
    </row>
    <row r="1393">
      <c r="A1393" s="3" t="str">
        <f>$B1393&amp;"|"&amp;$C1393</f>
        <v>srv|co</v>
      </c>
      <c r="B1393" s="3" t="inlineStr">
        <is>
          <t>srv</t>
        </is>
      </c>
      <c r="C1393" s="3" t="inlineStr">
        <is>
          <t>co</t>
        </is>
      </c>
      <c r="D1393" s="3" t="str">
        <f>IF($B1393="",""," | "&amp;$E1393&amp;" | "&amp;$F1393)</f>
        <v> | Services (public &amp; private) | CO</v>
      </c>
      <c r="E1393" s="3" t="str">
        <f>IFERROR(INDEX(SecLab,MATCH($B1393,SecKey,0)),"")</f>
        <v>Services (public &amp; private)</v>
      </c>
      <c r="F1393" s="3" t="str">
        <f>IFERROR(INDEX(FuelLab,MATCH($C1393,FuelKeyL,0)),"")</f>
        <v>CO</v>
      </c>
      <c r="G1393" s="3" t="inlineStr">
        <is>
          <t>.srv.co</t>
        </is>
      </c>
    </row>
    <row r="1394">
      <c r="A1394" s="3" t="str">
        <f>$B1394&amp;"|"&amp;$C1394</f>
        <v>mch|co</v>
      </c>
      <c r="B1394" s="3" t="inlineStr">
        <is>
          <t>mch</t>
        </is>
      </c>
      <c r="C1394" s="3" t="inlineStr">
        <is>
          <t>co</t>
        </is>
      </c>
      <c r="D1394" s="3" t="str">
        <f>IF($B1394="",""," | "&amp;$E1394&amp;" | "&amp;$F1394)</f>
        <v> | Mining &amp; chemicals | CO</v>
      </c>
      <c r="E1394" s="3" t="str">
        <f>IFERROR(INDEX(SecLab,MATCH($B1394,SecKey,0)),"")</f>
        <v>Mining &amp; chemicals</v>
      </c>
      <c r="F1394" s="3" t="str">
        <f>IFERROR(INDEX(FuelLab,MATCH($C1394,FuelKeyL,0)),"")</f>
        <v>CO</v>
      </c>
      <c r="G1394" s="3" t="inlineStr">
        <is>
          <t>.mch.co</t>
        </is>
      </c>
    </row>
    <row r="1395">
      <c r="A1395" s="3" t="str">
        <f>$B1395&amp;"|"&amp;$C1395</f>
        <v>irn|co</v>
      </c>
      <c r="B1395" s="3" t="inlineStr">
        <is>
          <t>irn</t>
        </is>
      </c>
      <c r="C1395" s="3" t="inlineStr">
        <is>
          <t>co</t>
        </is>
      </c>
      <c r="D1395" s="3" t="str">
        <f>IF($B1395="",""," | "&amp;$E1395&amp;" | "&amp;$F1395)</f>
        <v> | Iron &amp; steel | CO</v>
      </c>
      <c r="E1395" s="3" t="str">
        <f>IFERROR(INDEX(SecLab,MATCH($B1395,SecKey,0)),"")</f>
        <v>Iron &amp; steel</v>
      </c>
      <c r="F1395" s="3" t="str">
        <f>IFERROR(INDEX(FuelLab,MATCH($C1395,FuelKeyL,0)),"")</f>
        <v>CO</v>
      </c>
      <c r="G1395" s="3" t="inlineStr">
        <is>
          <t>.irn.co</t>
        </is>
      </c>
    </row>
    <row r="1396">
      <c r="A1396" s="3" t="str">
        <f>$B1396&amp;"|"&amp;$C1396</f>
        <v>nfm|co</v>
      </c>
      <c r="B1396" s="3" t="inlineStr">
        <is>
          <t>nfm</t>
        </is>
      </c>
      <c r="C1396" s="3" t="inlineStr">
        <is>
          <t>co</t>
        </is>
      </c>
      <c r="D1396" s="3" t="str">
        <f>IF($B1396="",""," | "&amp;$E1396&amp;" | "&amp;$F1396)</f>
        <v> | Other metals | CO</v>
      </c>
      <c r="E1396" s="3" t="str">
        <f>IFERROR(INDEX(SecLab,MATCH($B1396,SecKey,0)),"")</f>
        <v>Other metals</v>
      </c>
      <c r="F1396" s="3" t="str">
        <f>IFERROR(INDEX(FuelLab,MATCH($C1396,FuelKeyL,0)),"")</f>
        <v>CO</v>
      </c>
      <c r="G1396" s="3" t="inlineStr">
        <is>
          <t>.nfm.co</t>
        </is>
      </c>
    </row>
    <row r="1397">
      <c r="A1397" s="3" t="str">
        <f>$B1397&amp;"|"&amp;$C1397</f>
        <v>mac|co</v>
      </c>
      <c r="B1397" s="3" t="inlineStr">
        <is>
          <t>mac</t>
        </is>
      </c>
      <c r="C1397" s="3" t="inlineStr">
        <is>
          <t>co</t>
        </is>
      </c>
      <c r="D1397" s="3" t="str">
        <f>IF($B1397="",""," | "&amp;$E1397&amp;" | "&amp;$F1397)</f>
        <v> | Machinery | CO</v>
      </c>
      <c r="E1397" s="3" t="str">
        <f>IFERROR(INDEX(SecLab,MATCH($B1397,SecKey,0)),"")</f>
        <v>Machinery</v>
      </c>
      <c r="F1397" s="3" t="str">
        <f>IFERROR(INDEX(FuelLab,MATCH($C1397,FuelKeyL,0)),"")</f>
        <v>CO</v>
      </c>
      <c r="G1397" s="3" t="inlineStr">
        <is>
          <t>.mac.co</t>
        </is>
      </c>
    </row>
    <row r="1398">
      <c r="A1398" s="3" t="str">
        <f>$B1398&amp;"|"&amp;$C1398</f>
        <v>cem|co</v>
      </c>
      <c r="B1398" s="3" t="inlineStr">
        <is>
          <t>cem</t>
        </is>
      </c>
      <c r="C1398" s="3" t="inlineStr">
        <is>
          <t>co</t>
        </is>
      </c>
      <c r="D1398" s="3" t="str">
        <f>IF($B1398="",""," | "&amp;$E1398&amp;" | "&amp;$F1398)</f>
        <v> | Cement | CO</v>
      </c>
      <c r="E1398" s="3" t="str">
        <f>IFERROR(INDEX(SecLab,MATCH($B1398,SecKey,0)),"")</f>
        <v>Cement</v>
      </c>
      <c r="F1398" s="3" t="str">
        <f>IFERROR(INDEX(FuelLab,MATCH($C1398,FuelKeyL,0)),"")</f>
        <v>CO</v>
      </c>
      <c r="G1398" s="3" t="inlineStr">
        <is>
          <t>.cem.co</t>
        </is>
      </c>
    </row>
    <row r="1399">
      <c r="A1399" s="3" t="str">
        <f>$B1399&amp;"|"&amp;$C1399</f>
        <v>omn|co</v>
      </c>
      <c r="B1399" s="3" t="inlineStr">
        <is>
          <t>omn</t>
        </is>
      </c>
      <c r="C1399" s="3" t="inlineStr">
        <is>
          <t>co</t>
        </is>
      </c>
      <c r="D1399" s="3" t="str">
        <f>IF($B1399="",""," | "&amp;$E1399&amp;" | "&amp;$F1399)</f>
        <v> | Other manufacturing | CO</v>
      </c>
      <c r="E1399" s="3" t="str">
        <f>IFERROR(INDEX(SecLab,MATCH($B1399,SecKey,0)),"")</f>
        <v>Other manufacturing</v>
      </c>
      <c r="F1399" s="3" t="str">
        <f>IFERROR(INDEX(FuelLab,MATCH($C1399,FuelKeyL,0)),"")</f>
        <v>CO</v>
      </c>
      <c r="G1399" s="3" t="inlineStr">
        <is>
          <t>.omn.co</t>
        </is>
      </c>
    </row>
    <row r="1400">
      <c r="A1400" s="3" t="str">
        <f>$B1400&amp;"|"&amp;$C1400</f>
        <v>cst|co</v>
      </c>
      <c r="B1400" s="3" t="inlineStr">
        <is>
          <t>cst</t>
        </is>
      </c>
      <c r="C1400" s="3" t="inlineStr">
        <is>
          <t>co</t>
        </is>
      </c>
      <c r="D1400" s="3" t="str">
        <f>IF($B1400="",""," | "&amp;$E1400&amp;" | "&amp;$F1400)</f>
        <v> | Construction | CO</v>
      </c>
      <c r="E1400" s="3" t="str">
        <f>IFERROR(INDEX(SecLab,MATCH($B1400,SecKey,0)),"")</f>
        <v>Construction</v>
      </c>
      <c r="F1400" s="3" t="str">
        <f>IFERROR(INDEX(FuelLab,MATCH($C1400,FuelKeyL,0)),"")</f>
        <v>CO</v>
      </c>
      <c r="G1400" s="3" t="inlineStr">
        <is>
          <t>.cst.co</t>
        </is>
      </c>
    </row>
    <row r="1401">
      <c r="A1401" s="3" t="str">
        <f>$B1401&amp;"|"&amp;$C1401</f>
        <v>ftr|co</v>
      </c>
      <c r="B1401" s="3" t="inlineStr">
        <is>
          <t>ftr</t>
        </is>
      </c>
      <c r="C1401" s="3" t="inlineStr">
        <is>
          <t>co</t>
        </is>
      </c>
      <c r="D1401" s="3" t="str">
        <f>IF($B1401="",""," | "&amp;$E1401&amp;" | "&amp;$F1401)</f>
        <v> | Fuel transformation | CO</v>
      </c>
      <c r="E1401" s="3" t="str">
        <f>IFERROR(INDEX(SecLab,MATCH($B1401,SecKey,0)),"")</f>
        <v>Fuel transformation</v>
      </c>
      <c r="F1401" s="3" t="str">
        <f>IFERROR(INDEX(FuelLab,MATCH($C1401,FuelKeyL,0)),"")</f>
        <v>CO</v>
      </c>
      <c r="G1401" s="3" t="inlineStr">
        <is>
          <t>.ftr.co</t>
        </is>
      </c>
    </row>
    <row r="1402">
      <c r="A1402" s="3" t="str">
        <f>$B1402&amp;"|"&amp;$C1402</f>
        <v>oen|co</v>
      </c>
      <c r="B1402" s="3" t="inlineStr">
        <is>
          <t>oen</t>
        </is>
      </c>
      <c r="C1402" s="3" t="inlineStr">
        <is>
          <t>co</t>
        </is>
      </c>
      <c r="D1402" s="3" t="str">
        <f>IF($B1402="",""," | "&amp;$E1402&amp;" | "&amp;$F1402)</f>
        <v> | Other energy use | CO</v>
      </c>
      <c r="E1402" s="3" t="str">
        <f>IFERROR(INDEX(SecLab,MATCH($B1402,SecKey,0)),"")</f>
        <v>Other energy use</v>
      </c>
      <c r="F1402" s="3" t="str">
        <f>IFERROR(INDEX(FuelLab,MATCH($C1402,FuelKeyL,0)),"")</f>
        <v>CO</v>
      </c>
      <c r="G1402" s="3" t="inlineStr">
        <is>
          <t>.oen.co</t>
        </is>
      </c>
    </row>
    <row r="1403">
      <c r="A1403" s="3" t="str">
        <f>$B1403&amp;"|"&amp;$C1403</f>
        <v>pow|co</v>
      </c>
      <c r="B1403" s="3" t="inlineStr">
        <is>
          <t>pow</t>
        </is>
      </c>
      <c r="C1403" s="3" t="inlineStr">
        <is>
          <t>co</t>
        </is>
      </c>
      <c r="D1403" s="3" t="str">
        <f>IF($B1403="",""," | "&amp;$E1403&amp;" | "&amp;$F1403)</f>
        <v> | Power | CO</v>
      </c>
      <c r="E1403" s="3" t="str">
        <f>IFERROR(INDEX(SecLab,MATCH($B1403,SecKey,0)),"")</f>
        <v>Power</v>
      </c>
      <c r="F1403" s="3" t="str">
        <f>IFERROR(INDEX(FuelLab,MATCH($C1403,FuelKeyL,0)),"")</f>
        <v>CO</v>
      </c>
      <c r="G1403" s="3" t="inlineStr">
        <is>
          <t>.pow.co</t>
        </is>
      </c>
    </row>
    <row r="1404">
      <c r="A1404" s="3" t="str">
        <f>$B1404&amp;"|"&amp;$C1404</f>
        <v>tra|co</v>
      </c>
      <c r="B1404" s="3" t="inlineStr">
        <is>
          <t>tra</t>
        </is>
      </c>
      <c r="C1404" s="3" t="inlineStr">
        <is>
          <t>co</t>
        </is>
      </c>
      <c r="D1404" s="3" t="str">
        <f>IF($B1404="",""," | "&amp;$E1404&amp;" | "&amp;$F1404)</f>
        <v> | Transport | CO</v>
      </c>
      <c r="E1404" s="3" t="str">
        <f>IFERROR(INDEX(SecLab,MATCH($B1404,SecKey,0)),"")</f>
        <v>Transport</v>
      </c>
      <c r="F1404" s="3" t="str">
        <f>IFERROR(INDEX(FuelLab,MATCH($C1404,FuelKeyL,0)),"")</f>
        <v>CO</v>
      </c>
      <c r="G1404" s="3" t="inlineStr">
        <is>
          <t>.tra.co</t>
        </is>
      </c>
    </row>
    <row r="1405">
      <c r="A1405" s="3" t="str">
        <f>$B1405&amp;"|"&amp;$C1405</f>
        <v>bld|co</v>
      </c>
      <c r="B1405" s="3" t="inlineStr">
        <is>
          <t>bld</t>
        </is>
      </c>
      <c r="C1405" s="3" t="inlineStr">
        <is>
          <t>co</t>
        </is>
      </c>
      <c r="D1405" s="3" t="str">
        <f>IF($B1405="",""," | "&amp;$E1405&amp;" | "&amp;$F1405)</f>
        <v> | Buildings | CO</v>
      </c>
      <c r="E1405" s="3" t="str">
        <f>IFERROR(INDEX(SecLab,MATCH($B1405,SecKey,0)),"")</f>
        <v>Buildings</v>
      </c>
      <c r="F1405" s="3" t="str">
        <f>IFERROR(INDEX(FuelLab,MATCH($C1405,FuelKeyL,0)),"")</f>
        <v>CO</v>
      </c>
      <c r="G1405" s="3" t="inlineStr">
        <is>
          <t>.bld.co</t>
        </is>
      </c>
    </row>
    <row r="1406">
      <c r="A1406" s="3" t="str">
        <f>$B1406&amp;"|"&amp;$C1406</f>
        <v>ind|co</v>
      </c>
      <c r="B1406" s="3" t="inlineStr">
        <is>
          <t>ind</t>
        </is>
      </c>
      <c r="C1406" s="3" t="inlineStr">
        <is>
          <t>co</t>
        </is>
      </c>
      <c r="D1406" s="3" t="str">
        <f>IF($B1406="",""," | "&amp;$E1406&amp;" | "&amp;$F1406)</f>
        <v> | Industry | CO</v>
      </c>
      <c r="E1406" s="3" t="str">
        <f>IFERROR(INDEX(SecLab,MATCH($B1406,SecKey,0)),"")</f>
        <v>Industry</v>
      </c>
      <c r="F1406" s="3" t="str">
        <f>IFERROR(INDEX(FuelLab,MATCH($C1406,FuelKeyL,0)),"")</f>
        <v>CO</v>
      </c>
      <c r="G1406" s="3" t="inlineStr">
        <is>
          <t>.ind.co</t>
        </is>
      </c>
    </row>
    <row r="1407">
      <c r="A1407" s="3" t="str">
        <f>$B1407&amp;"|"&amp;$C1407</f>
        <v>fod|co</v>
      </c>
      <c r="B1407" s="3" t="inlineStr">
        <is>
          <t>fod</t>
        </is>
      </c>
      <c r="C1407" s="3" t="inlineStr">
        <is>
          <t>co</t>
        </is>
      </c>
      <c r="D1407" s="3" t="str">
        <f>IF($B1407="",""," | "&amp;$E1407&amp;" | "&amp;$F1407)</f>
        <v> | of which food | CO</v>
      </c>
      <c r="E1407" s="3" t="str">
        <f>IFERROR(INDEX(SecLab,MATCH($B1407,SecKey,0)),"")</f>
        <v>of which food</v>
      </c>
      <c r="F1407" s="3" t="str">
        <f>IFERROR(INDEX(FuelLab,MATCH($C1407,FuelKeyL,0)),"")</f>
        <v>CO</v>
      </c>
      <c r="G1407" s="3" t="inlineStr">
        <is>
          <t>.fod.co</t>
        </is>
      </c>
    </row>
    <row r="1408">
      <c r="A1408" s="3" t="str">
        <f>$B1408&amp;"|"&amp;$C1408</f>
        <v>fag|co</v>
      </c>
      <c r="B1408" s="3" t="inlineStr">
        <is>
          <t>fag</t>
        </is>
      </c>
      <c r="C1408" s="3" t="inlineStr">
        <is>
          <t>co</t>
        </is>
      </c>
      <c r="D1408" s="3" t="str">
        <f>IF($B1408="",""," | "&amp;$E1408&amp;" | "&amp;$F1408)</f>
        <v> | of which forestry and agriculture | CO</v>
      </c>
      <c r="E1408" s="3" t="str">
        <f>IFERROR(INDEX(SecLab,MATCH($B1408,SecKey,0)),"")</f>
        <v>of which forestry and agriculture</v>
      </c>
      <c r="F1408" s="3" t="str">
        <f>IFERROR(INDEX(FuelLab,MATCH($C1408,FuelKeyL,0)),"")</f>
        <v>CO</v>
      </c>
      <c r="G1408" s="3" t="inlineStr">
        <is>
          <t>.fag.co</t>
        </is>
      </c>
    </row>
    <row r="1409">
      <c r="A1409" s="3" t="str">
        <f>$B1409&amp;"|"&amp;$C1409</f>
        <v>all|nox</v>
      </c>
      <c r="B1409" s="3" t="inlineStr">
        <is>
          <t>all</t>
        </is>
      </c>
      <c r="C1409" s="3" t="inlineStr">
        <is>
          <t>nox</t>
        </is>
      </c>
      <c r="D1409" s="3" t="str">
        <f>IF($B1409="",""," | "&amp;$E1409&amp;" | "&amp;$F1409)</f>
        <v> | All sectors | NOx</v>
      </c>
      <c r="E1409" s="3" t="str">
        <f>IFERROR(INDEX(SecLab,MATCH($B1409,SecKey,0)),"")</f>
        <v>All sectors</v>
      </c>
      <c r="F1409" s="3" t="str">
        <f>IFERROR(INDEX(FuelLab,MATCH($C1409,FuelKeyL,0)),"")</f>
        <v>NOx</v>
      </c>
      <c r="G1409" s="3" t="inlineStr">
        <is>
          <t>.all.nox</t>
        </is>
      </c>
    </row>
    <row r="1410">
      <c r="A1410" s="3" t="str">
        <f>$B1410&amp;"|"&amp;$C1410</f>
        <v>all|so2</v>
      </c>
      <c r="B1410" s="3" t="inlineStr">
        <is>
          <t>all</t>
        </is>
      </c>
      <c r="C1410" s="3" t="inlineStr">
        <is>
          <t>so2</t>
        </is>
      </c>
      <c r="D1410" s="3" t="str">
        <f>IF($B1410="",""," | "&amp;$E1410&amp;" | "&amp;$F1410)</f>
        <v> | All sectors | SO2</v>
      </c>
      <c r="E1410" s="3" t="str">
        <f>IFERROR(INDEX(SecLab,MATCH($B1410,SecKey,0)),"")</f>
        <v>All sectors</v>
      </c>
      <c r="F1410" s="3" t="str">
        <f>IFERROR(INDEX(FuelLab,MATCH($C1410,FuelKeyL,0)),"")</f>
        <v>SO2</v>
      </c>
      <c r="G1410" s="3" t="inlineStr">
        <is>
          <t>.all.so2</t>
        </is>
      </c>
    </row>
    <row r="1411">
      <c r="A1411" s="3" t="str">
        <f>$B1411&amp;"|"&amp;$C1411</f>
        <v>all|voc</v>
      </c>
      <c r="B1411" s="3" t="inlineStr">
        <is>
          <t>all</t>
        </is>
      </c>
      <c r="C1411" s="3" t="inlineStr">
        <is>
          <t>voc</t>
        </is>
      </c>
      <c r="D1411" s="3" t="str">
        <f>IF($B1411="",""," | "&amp;$E1411&amp;" | "&amp;$F1411)</f>
        <v> | All sectors | VOC</v>
      </c>
      <c r="E1411" s="3" t="str">
        <f>IFERROR(INDEX(SecLab,MATCH($B1411,SecKey,0)),"")</f>
        <v>All sectors</v>
      </c>
      <c r="F1411" s="3" t="str">
        <f>IFERROR(INDEX(FuelLab,MATCH($C1411,FuelKeyL,0)),"")</f>
        <v>VOC</v>
      </c>
      <c r="G1411" s="3" t="inlineStr">
        <is>
          <t>.all.voc</t>
        </is>
      </c>
    </row>
    <row r="1412">
      <c r="A1412" s="3" t="str">
        <f>$B1412&amp;"|"&amp;$C1412</f>
        <v>all|bc</v>
      </c>
      <c r="B1412" s="3" t="inlineStr">
        <is>
          <t>all</t>
        </is>
      </c>
      <c r="C1412" s="3" t="inlineStr">
        <is>
          <t>bc</t>
        </is>
      </c>
      <c r="D1412" s="3" t="str">
        <f>IF($B1412="",""," | "&amp;$E1412&amp;" | "&amp;$F1412)</f>
        <v> | All sectors | Black carbon</v>
      </c>
      <c r="E1412" s="3" t="str">
        <f>IFERROR(INDEX(SecLab,MATCH($B1412,SecKey,0)),"")</f>
        <v>All sectors</v>
      </c>
      <c r="F1412" s="3" t="str">
        <f>IFERROR(INDEX(FuelLab,MATCH($C1412,FuelKeyL,0)),"")</f>
        <v>Black carbon</v>
      </c>
      <c r="G1412" s="3" t="inlineStr">
        <is>
          <t>.all.bc</t>
        </is>
      </c>
    </row>
    <row r="1413">
      <c r="A1413" s="3" t="str">
        <f>$B1413&amp;"|"&amp;$C1413</f>
        <v>all|oc</v>
      </c>
      <c r="B1413" s="3" t="inlineStr">
        <is>
          <t>all</t>
        </is>
      </c>
      <c r="C1413" s="3" t="inlineStr">
        <is>
          <t>oc</t>
        </is>
      </c>
      <c r="D1413" s="3" t="str">
        <f>IF($B1413="",""," | "&amp;$E1413&amp;" | "&amp;$F1413)</f>
        <v> | All sectors | Organic carbon</v>
      </c>
      <c r="E1413" s="3" t="str">
        <f>IFERROR(INDEX(SecLab,MATCH($B1413,SecKey,0)),"")</f>
        <v>All sectors</v>
      </c>
      <c r="F1413" s="3" t="str">
        <f>IFERROR(INDEX(FuelLab,MATCH($C1413,FuelKeyL,0)),"")</f>
        <v>Organic carbon</v>
      </c>
      <c r="G1413" s="3" t="inlineStr">
        <is>
          <t>.all.oc</t>
        </is>
      </c>
    </row>
    <row r="1414">
      <c r="A1414" s="3" t="str">
        <f>$B1414&amp;"|"&amp;$C1414</f>
        <v>all|co</v>
      </c>
      <c r="B1414" s="3" t="inlineStr">
        <is>
          <t>all</t>
        </is>
      </c>
      <c r="C1414" s="3" t="inlineStr">
        <is>
          <t>co</t>
        </is>
      </c>
      <c r="D1414" s="3" t="str">
        <f>IF($B1414="",""," | "&amp;$E1414&amp;" | "&amp;$F1414)</f>
        <v> | All sectors | CO</v>
      </c>
      <c r="E1414" s="3" t="str">
        <f>IFERROR(INDEX(SecLab,MATCH($B1414,SecKey,0)),"")</f>
        <v>All sectors</v>
      </c>
      <c r="F1414" s="3" t="str">
        <f>IFERROR(INDEX(FuelLab,MATCH($C1414,FuelKeyL,0)),"")</f>
        <v>CO</v>
      </c>
      <c r="G1414" s="3" t="inlineStr">
        <is>
          <t>.all.co</t>
        </is>
      </c>
    </row>
    <row r="1415">
      <c r="A1415" s="3" t="str">
        <f>$B1415&amp;"|"&amp;$C1415</f>
        <v>cpp|nox</v>
      </c>
      <c r="B1415" s="3" t="inlineStr">
        <is>
          <t>cpp</t>
        </is>
      </c>
      <c r="C1415" s="3" t="inlineStr">
        <is>
          <t>nox</t>
        </is>
      </c>
      <c r="D1415" s="3" t="str">
        <f>IF($B1415="",""," | "&amp;$E1415&amp;" | "&amp;$F1415)</f>
        <v> | Coal power plants | NOx</v>
      </c>
      <c r="E1415" s="3" t="str">
        <f>IFERROR(INDEX(SecLab,MATCH($B1415,SecKey,0)),"")</f>
        <v>Coal power plants</v>
      </c>
      <c r="F1415" s="3" t="str">
        <f>IFERROR(INDEX(FuelLab,MATCH($C1415,FuelKeyL,0)),"")</f>
        <v>NOx</v>
      </c>
      <c r="G1415" s="3" t="inlineStr">
        <is>
          <t>.cpp.nox</t>
        </is>
      </c>
    </row>
    <row r="1416">
      <c r="A1416" s="3" t="str">
        <f>$B1416&amp;"|"&amp;$C1416</f>
        <v>cpp|so2</v>
      </c>
      <c r="B1416" s="3" t="inlineStr">
        <is>
          <t>cpp</t>
        </is>
      </c>
      <c r="C1416" s="3" t="inlineStr">
        <is>
          <t>so2</t>
        </is>
      </c>
      <c r="D1416" s="3" t="str">
        <f>IF($B1416="",""," | "&amp;$E1416&amp;" | "&amp;$F1416)</f>
        <v> | Coal power plants | SO2</v>
      </c>
      <c r="E1416" s="3" t="str">
        <f>IFERROR(INDEX(SecLab,MATCH($B1416,SecKey,0)),"")</f>
        <v>Coal power plants</v>
      </c>
      <c r="F1416" s="3" t="str">
        <f>IFERROR(INDEX(FuelLab,MATCH($C1416,FuelKeyL,0)),"")</f>
        <v>SO2</v>
      </c>
      <c r="G1416" s="3" t="inlineStr">
        <is>
          <t>.cpp.so2</t>
        </is>
      </c>
    </row>
    <row r="1417">
      <c r="A1417" s="3" t="str">
        <f>$B1417&amp;"|"&amp;$C1417</f>
        <v>cpp|bc</v>
      </c>
      <c r="B1417" s="3" t="inlineStr">
        <is>
          <t>cpp</t>
        </is>
      </c>
      <c r="C1417" s="3" t="inlineStr">
        <is>
          <t>bc</t>
        </is>
      </c>
      <c r="D1417" s="3" t="str">
        <f>IF($B1417="",""," | "&amp;$E1417&amp;" | "&amp;$F1417)</f>
        <v> | Coal power plants | Black carbon</v>
      </c>
      <c r="E1417" s="3" t="str">
        <f>IFERROR(INDEX(SecLab,MATCH($B1417,SecKey,0)),"")</f>
        <v>Coal power plants</v>
      </c>
      <c r="F1417" s="3" t="str">
        <f>IFERROR(INDEX(FuelLab,MATCH($C1417,FuelKeyL,0)),"")</f>
        <v>Black carbon</v>
      </c>
      <c r="G1417" s="3" t="inlineStr">
        <is>
          <t>.cpp.bc</t>
        </is>
      </c>
    </row>
    <row r="1418">
      <c r="A1418" s="3" t="str">
        <f>$B1418&amp;"|"&amp;$C1418</f>
        <v>cpp|pom</v>
      </c>
      <c r="B1418" s="3" t="inlineStr">
        <is>
          <t>cpp</t>
        </is>
      </c>
      <c r="C1418" s="3" t="inlineStr">
        <is>
          <t>pom</t>
        </is>
      </c>
      <c r="D1418" s="3" t="str">
        <f>IF($B1418="",""," | "&amp;$E1418&amp;" | "&amp;$F1418)</f>
        <v> | Coal power plants | Primary organic matter</v>
      </c>
      <c r="E1418" s="3" t="str">
        <f>IFERROR(INDEX(SecLab,MATCH($B1418,SecKey,0)),"")</f>
        <v>Coal power plants</v>
      </c>
      <c r="F1418" s="3" t="str">
        <f>IFERROR(INDEX(FuelLab,MATCH($C1418,FuelKeyL,0)),"")</f>
        <v>Primary organic matter</v>
      </c>
      <c r="G1418" s="3" t="inlineStr">
        <is>
          <t>.cpp.pom</t>
        </is>
      </c>
    </row>
    <row r="1419">
      <c r="A1419" s="3" t="str">
        <f>$B1419&amp;"|"&amp;$C1419</f>
        <v>cpp|opm</v>
      </c>
      <c r="B1419" s="3" t="inlineStr">
        <is>
          <t>cpp</t>
        </is>
      </c>
      <c r="C1419" s="3" t="inlineStr">
        <is>
          <t>opm</t>
        </is>
      </c>
      <c r="D1419" s="3" t="str">
        <f>IF($B1419="",""," | "&amp;$E1419&amp;" | "&amp;$F1419)</f>
        <v> | Coal power plants | Other PM2.5</v>
      </c>
      <c r="E1419" s="3" t="str">
        <f>IFERROR(INDEX(SecLab,MATCH($B1419,SecKey,0)),"")</f>
        <v>Coal power plants</v>
      </c>
      <c r="F1419" s="3" t="str">
        <f>IFERROR(INDEX(FuelLab,MATCH($C1419,FuelKeyL,0)),"")</f>
        <v>Other PM2.5</v>
      </c>
      <c r="G1419" s="3" t="inlineStr">
        <is>
          <t>.cpp.opm</t>
        </is>
      </c>
    </row>
    <row r="1420">
      <c r="A1420" s="3" t="str">
        <f>$B1420&amp;"|"&amp;$C1420</f>
        <v>cpp|voc</v>
      </c>
      <c r="B1420" s="3" t="inlineStr">
        <is>
          <t>cpp</t>
        </is>
      </c>
      <c r="C1420" s="3" t="inlineStr">
        <is>
          <t>voc</t>
        </is>
      </c>
      <c r="D1420" s="3" t="str">
        <f>IF($B1420="",""," | "&amp;$E1420&amp;" | "&amp;$F1420)</f>
        <v> | Coal power plants | VOC</v>
      </c>
      <c r="E1420" s="3" t="str">
        <f>IFERROR(INDEX(SecLab,MATCH($B1420,SecKey,0)),"")</f>
        <v>Coal power plants</v>
      </c>
      <c r="F1420" s="3" t="str">
        <f>IFERROR(INDEX(FuelLab,MATCH($C1420,FuelKeyL,0)),"")</f>
        <v>VOC</v>
      </c>
      <c r="G1420" s="3" t="inlineStr">
        <is>
          <t>.cpp.voc</t>
        </is>
      </c>
    </row>
    <row r="1421">
      <c r="A1421" s="3" t="str">
        <f>$B1421&amp;"|"&amp;$C1421</f>
        <v>cpp|ch4</v>
      </c>
      <c r="B1421" s="3" t="inlineStr">
        <is>
          <t>cpp</t>
        </is>
      </c>
      <c r="C1421" s="3" t="inlineStr">
        <is>
          <t>ch4</t>
        </is>
      </c>
      <c r="D1421" s="3" t="str">
        <f>IF($B1421="",""," | "&amp;$E1421&amp;" | "&amp;$F1421)</f>
        <v> | Coal power plants | CH4</v>
      </c>
      <c r="E1421" s="3" t="str">
        <f>IFERROR(INDEX(SecLab,MATCH($B1421,SecKey,0)),"")</f>
        <v>Coal power plants</v>
      </c>
      <c r="F1421" s="3" t="str">
        <f>IFERROR(INDEX(FuelLab,MATCH($C1421,FuelKeyL,0)),"")</f>
        <v>CH4</v>
      </c>
      <c r="G1421" s="3" t="inlineStr">
        <is>
          <t>.cpp.ch4</t>
        </is>
      </c>
    </row>
    <row r="1422">
      <c r="A1422" s="3" t="str">
        <f>$B1422&amp;"|"&amp;$C1422</f>
        <v>cpp|co</v>
      </c>
      <c r="B1422" s="3" t="inlineStr">
        <is>
          <t>cpp</t>
        </is>
      </c>
      <c r="C1422" s="3" t="inlineStr">
        <is>
          <t>co</t>
        </is>
      </c>
      <c r="D1422" s="3" t="str">
        <f>IF($B1422="",""," | "&amp;$E1422&amp;" | "&amp;$F1422)</f>
        <v> | Coal power plants | CO</v>
      </c>
      <c r="E1422" s="3" t="str">
        <f>IFERROR(INDEX(SecLab,MATCH($B1422,SecKey,0)),"")</f>
        <v>Coal power plants</v>
      </c>
      <c r="F1422" s="3" t="str">
        <f>IFERROR(INDEX(FuelLab,MATCH($C1422,FuelKeyL,0)),"")</f>
        <v>CO</v>
      </c>
      <c r="G1422" s="3" t="inlineStr">
        <is>
          <t>.cpp.co</t>
        </is>
      </c>
    </row>
    <row r="1423">
      <c r="A1423" s="3" t="str">
        <f>$B1423&amp;"|"&amp;$C1423</f>
        <v>cpp|pm2</v>
      </c>
      <c r="B1423" s="3" t="inlineStr">
        <is>
          <t>cpp</t>
        </is>
      </c>
      <c r="C1423" s="3" t="inlineStr">
        <is>
          <t>pm2</t>
        </is>
      </c>
      <c r="D1423" s="3" t="str">
        <f>IF($B1423="",""," | "&amp;$E1423&amp;" | "&amp;$F1423)</f>
        <v> | Coal power plants | PM2.5</v>
      </c>
      <c r="E1423" s="3" t="str">
        <f>IFERROR(INDEX(SecLab,MATCH($B1423,SecKey,0)),"")</f>
        <v>Coal power plants</v>
      </c>
      <c r="F1423" s="3" t="str">
        <f>IFERROR(INDEX(FuelLab,MATCH($C1423,FuelKeyL,0)),"")</f>
        <v>PM2.5</v>
      </c>
      <c r="G1423" s="3" t="inlineStr">
        <is>
          <t>.cpp.pm2</t>
        </is>
      </c>
    </row>
    <row r="1424">
      <c r="A1424" s="3" t="str">
        <f>$B1424&amp;"|"&amp;$C1424</f>
        <v>cpp|oc</v>
      </c>
      <c r="B1424" s="3" t="inlineStr">
        <is>
          <t>cpp</t>
        </is>
      </c>
      <c r="C1424" s="3" t="inlineStr">
        <is>
          <t>oc</t>
        </is>
      </c>
      <c r="D1424" s="3" t="str">
        <f>IF($B1424="",""," | "&amp;$E1424&amp;" | "&amp;$F1424)</f>
        <v> | Coal power plants | Organic carbon</v>
      </c>
      <c r="E1424" s="3" t="str">
        <f>IFERROR(INDEX(SecLab,MATCH($B1424,SecKey,0)),"")</f>
        <v>Coal power plants</v>
      </c>
      <c r="F1424" s="3" t="str">
        <f>IFERROR(INDEX(FuelLab,MATCH($C1424,FuelKeyL,0)),"")</f>
        <v>Organic carbon</v>
      </c>
      <c r="G1424" s="3" t="inlineStr">
        <is>
          <t>.cpp.oc</t>
        </is>
      </c>
    </row>
    <row r="1425">
      <c r="A1425" s="3" t="str">
        <f>$B1425&amp;"|"&amp;$C1425</f>
        <v>gpp|nox</v>
      </c>
      <c r="B1425" s="3" t="inlineStr">
        <is>
          <t>gpp</t>
        </is>
      </c>
      <c r="C1425" s="3" t="inlineStr">
        <is>
          <t>nox</t>
        </is>
      </c>
      <c r="D1425" s="3" t="str">
        <f>IF($B1425="",""," | "&amp;$E1425&amp;" | "&amp;$F1425)</f>
        <v> | Gas power plants | NOx</v>
      </c>
      <c r="E1425" s="3" t="str">
        <f>IFERROR(INDEX(SecLab,MATCH($B1425,SecKey,0)),"")</f>
        <v>Gas power plants</v>
      </c>
      <c r="F1425" s="3" t="str">
        <f>IFERROR(INDEX(FuelLab,MATCH($C1425,FuelKeyL,0)),"")</f>
        <v>NOx</v>
      </c>
      <c r="G1425" s="3" t="inlineStr">
        <is>
          <t>.gpp.nox</t>
        </is>
      </c>
    </row>
    <row r="1426">
      <c r="A1426" s="3" t="str">
        <f>$B1426&amp;"|"&amp;$C1426</f>
        <v>gpp|so2</v>
      </c>
      <c r="B1426" s="3" t="inlineStr">
        <is>
          <t>gpp</t>
        </is>
      </c>
      <c r="C1426" s="3" t="inlineStr">
        <is>
          <t>so2</t>
        </is>
      </c>
      <c r="D1426" s="3" t="str">
        <f>IF($B1426="",""," | "&amp;$E1426&amp;" | "&amp;$F1426)</f>
        <v> | Gas power plants | SO2</v>
      </c>
      <c r="E1426" s="3" t="str">
        <f>IFERROR(INDEX(SecLab,MATCH($B1426,SecKey,0)),"")</f>
        <v>Gas power plants</v>
      </c>
      <c r="F1426" s="3" t="str">
        <f>IFERROR(INDEX(FuelLab,MATCH($C1426,FuelKeyL,0)),"")</f>
        <v>SO2</v>
      </c>
      <c r="G1426" s="3" t="inlineStr">
        <is>
          <t>.gpp.so2</t>
        </is>
      </c>
    </row>
    <row r="1427">
      <c r="A1427" s="3" t="str">
        <f>$B1427&amp;"|"&amp;$C1427</f>
        <v>gpp|bc</v>
      </c>
      <c r="B1427" s="3" t="inlineStr">
        <is>
          <t>gpp</t>
        </is>
      </c>
      <c r="C1427" s="3" t="inlineStr">
        <is>
          <t>bc</t>
        </is>
      </c>
      <c r="D1427" s="3" t="str">
        <f>IF($B1427="",""," | "&amp;$E1427&amp;" | "&amp;$F1427)</f>
        <v> | Gas power plants | Black carbon</v>
      </c>
      <c r="E1427" s="3" t="str">
        <f>IFERROR(INDEX(SecLab,MATCH($B1427,SecKey,0)),"")</f>
        <v>Gas power plants</v>
      </c>
      <c r="F1427" s="3" t="str">
        <f>IFERROR(INDEX(FuelLab,MATCH($C1427,FuelKeyL,0)),"")</f>
        <v>Black carbon</v>
      </c>
      <c r="G1427" s="3" t="inlineStr">
        <is>
          <t>.gpp.bc</t>
        </is>
      </c>
    </row>
    <row r="1428">
      <c r="A1428" s="3" t="str">
        <f>$B1428&amp;"|"&amp;$C1428</f>
        <v>gpp|pom</v>
      </c>
      <c r="B1428" s="3" t="inlineStr">
        <is>
          <t>gpp</t>
        </is>
      </c>
      <c r="C1428" s="3" t="inlineStr">
        <is>
          <t>pom</t>
        </is>
      </c>
      <c r="D1428" s="3" t="str">
        <f>IF($B1428="",""," | "&amp;$E1428&amp;" | "&amp;$F1428)</f>
        <v> | Gas power plants | Primary organic matter</v>
      </c>
      <c r="E1428" s="3" t="str">
        <f>IFERROR(INDEX(SecLab,MATCH($B1428,SecKey,0)),"")</f>
        <v>Gas power plants</v>
      </c>
      <c r="F1428" s="3" t="str">
        <f>IFERROR(INDEX(FuelLab,MATCH($C1428,FuelKeyL,0)),"")</f>
        <v>Primary organic matter</v>
      </c>
      <c r="G1428" s="3" t="inlineStr">
        <is>
          <t>.gpp.pom</t>
        </is>
      </c>
    </row>
    <row r="1429">
      <c r="A1429" s="3" t="str">
        <f>$B1429&amp;"|"&amp;$C1429</f>
        <v>gpp|opm</v>
      </c>
      <c r="B1429" s="3" t="inlineStr">
        <is>
          <t>gpp</t>
        </is>
      </c>
      <c r="C1429" s="3" t="inlineStr">
        <is>
          <t>opm</t>
        </is>
      </c>
      <c r="D1429" s="3" t="str">
        <f>IF($B1429="",""," | "&amp;$E1429&amp;" | "&amp;$F1429)</f>
        <v> | Gas power plants | Other PM2.5</v>
      </c>
      <c r="E1429" s="3" t="str">
        <f>IFERROR(INDEX(SecLab,MATCH($B1429,SecKey,0)),"")</f>
        <v>Gas power plants</v>
      </c>
      <c r="F1429" s="3" t="str">
        <f>IFERROR(INDEX(FuelLab,MATCH($C1429,FuelKeyL,0)),"")</f>
        <v>Other PM2.5</v>
      </c>
      <c r="G1429" s="3" t="inlineStr">
        <is>
          <t>.gpp.opm</t>
        </is>
      </c>
    </row>
    <row r="1430">
      <c r="A1430" s="3" t="str">
        <f>$B1430&amp;"|"&amp;$C1430</f>
        <v>gpp|voc</v>
      </c>
      <c r="B1430" s="3" t="inlineStr">
        <is>
          <t>gpp</t>
        </is>
      </c>
      <c r="C1430" s="3" t="inlineStr">
        <is>
          <t>voc</t>
        </is>
      </c>
      <c r="D1430" s="3" t="str">
        <f>IF($B1430="",""," | "&amp;$E1430&amp;" | "&amp;$F1430)</f>
        <v> | Gas power plants | VOC</v>
      </c>
      <c r="E1430" s="3" t="str">
        <f>IFERROR(INDEX(SecLab,MATCH($B1430,SecKey,0)),"")</f>
        <v>Gas power plants</v>
      </c>
      <c r="F1430" s="3" t="str">
        <f>IFERROR(INDEX(FuelLab,MATCH($C1430,FuelKeyL,0)),"")</f>
        <v>VOC</v>
      </c>
      <c r="G1430" s="3" t="inlineStr">
        <is>
          <t>.gpp.voc</t>
        </is>
      </c>
    </row>
    <row r="1431">
      <c r="A1431" s="3" t="str">
        <f>$B1431&amp;"|"&amp;$C1431</f>
        <v>gpp|ch4</v>
      </c>
      <c r="B1431" s="3" t="inlineStr">
        <is>
          <t>gpp</t>
        </is>
      </c>
      <c r="C1431" s="3" t="inlineStr">
        <is>
          <t>ch4</t>
        </is>
      </c>
      <c r="D1431" s="3" t="str">
        <f>IF($B1431="",""," | "&amp;$E1431&amp;" | "&amp;$F1431)</f>
        <v> | Gas power plants | CH4</v>
      </c>
      <c r="E1431" s="3" t="str">
        <f>IFERROR(INDEX(SecLab,MATCH($B1431,SecKey,0)),"")</f>
        <v>Gas power plants</v>
      </c>
      <c r="F1431" s="3" t="str">
        <f>IFERROR(INDEX(FuelLab,MATCH($C1431,FuelKeyL,0)),"")</f>
        <v>CH4</v>
      </c>
      <c r="G1431" s="3" t="inlineStr">
        <is>
          <t>.gpp.ch4</t>
        </is>
      </c>
    </row>
    <row r="1432">
      <c r="A1432" s="3" t="str">
        <f>$B1432&amp;"|"&amp;$C1432</f>
        <v>gpp|co</v>
      </c>
      <c r="B1432" s="3" t="inlineStr">
        <is>
          <t>gpp</t>
        </is>
      </c>
      <c r="C1432" s="3" t="inlineStr">
        <is>
          <t>co</t>
        </is>
      </c>
      <c r="D1432" s="3" t="str">
        <f>IF($B1432="",""," | "&amp;$E1432&amp;" | "&amp;$F1432)</f>
        <v> | Gas power plants | CO</v>
      </c>
      <c r="E1432" s="3" t="str">
        <f>IFERROR(INDEX(SecLab,MATCH($B1432,SecKey,0)),"")</f>
        <v>Gas power plants</v>
      </c>
      <c r="F1432" s="3" t="str">
        <f>IFERROR(INDEX(FuelLab,MATCH($C1432,FuelKeyL,0)),"")</f>
        <v>CO</v>
      </c>
      <c r="G1432" s="3" t="inlineStr">
        <is>
          <t>.gpp.co</t>
        </is>
      </c>
    </row>
    <row r="1433">
      <c r="A1433" s="3" t="str">
        <f>$B1433&amp;"|"&amp;$C1433</f>
        <v>gpp|pm2</v>
      </c>
      <c r="B1433" s="3" t="inlineStr">
        <is>
          <t>gpp</t>
        </is>
      </c>
      <c r="C1433" s="3" t="inlineStr">
        <is>
          <t>pm2</t>
        </is>
      </c>
      <c r="D1433" s="3" t="str">
        <f>IF($B1433="",""," | "&amp;$E1433&amp;" | "&amp;$F1433)</f>
        <v> | Gas power plants | PM2.5</v>
      </c>
      <c r="E1433" s="3" t="str">
        <f>IFERROR(INDEX(SecLab,MATCH($B1433,SecKey,0)),"")</f>
        <v>Gas power plants</v>
      </c>
      <c r="F1433" s="3" t="str">
        <f>IFERROR(INDEX(FuelLab,MATCH($C1433,FuelKeyL,0)),"")</f>
        <v>PM2.5</v>
      </c>
      <c r="G1433" s="3" t="inlineStr">
        <is>
          <t>.gpp.pm2</t>
        </is>
      </c>
    </row>
    <row r="1434">
      <c r="A1434" s="3" t="str">
        <f>$B1434&amp;"|"&amp;$C1434</f>
        <v>gpp|oc</v>
      </c>
      <c r="B1434" s="3" t="inlineStr">
        <is>
          <t>gpp</t>
        </is>
      </c>
      <c r="C1434" s="3" t="inlineStr">
        <is>
          <t>oc</t>
        </is>
      </c>
      <c r="D1434" s="3" t="str">
        <f>IF($B1434="",""," | "&amp;$E1434&amp;" | "&amp;$F1434)</f>
        <v> | Gas power plants | Organic carbon</v>
      </c>
      <c r="E1434" s="3" t="str">
        <f>IFERROR(INDEX(SecLab,MATCH($B1434,SecKey,0)),"")</f>
        <v>Gas power plants</v>
      </c>
      <c r="F1434" s="3" t="str">
        <f>IFERROR(INDEX(FuelLab,MATCH($C1434,FuelKeyL,0)),"")</f>
        <v>Organic carbon</v>
      </c>
      <c r="G1434" s="3" t="inlineStr">
        <is>
          <t>.gpp.oc</t>
        </is>
      </c>
    </row>
    <row r="1435">
      <c r="A1435" s="3" t="str">
        <f>$B1435&amp;"|"&amp;$C1435</f>
        <v>opp|nox</v>
      </c>
      <c r="B1435" s="3" t="inlineStr">
        <is>
          <t>opp</t>
        </is>
      </c>
      <c r="C1435" s="3" t="inlineStr">
        <is>
          <t>nox</t>
        </is>
      </c>
      <c r="D1435" s="3" t="str">
        <f>IF($B1435="",""," | "&amp;$E1435&amp;" | "&amp;$F1435)</f>
        <v> | Other power plants | NOx</v>
      </c>
      <c r="E1435" s="3" t="str">
        <f>IFERROR(INDEX(SecLab,MATCH($B1435,SecKey,0)),"")</f>
        <v>Other power plants</v>
      </c>
      <c r="F1435" s="3" t="str">
        <f>IFERROR(INDEX(FuelLab,MATCH($C1435,FuelKeyL,0)),"")</f>
        <v>NOx</v>
      </c>
      <c r="G1435" s="3" t="inlineStr">
        <is>
          <t>.opp.nox</t>
        </is>
      </c>
    </row>
    <row r="1436">
      <c r="A1436" s="3" t="str">
        <f>$B1436&amp;"|"&amp;$C1436</f>
        <v>opp|so2</v>
      </c>
      <c r="B1436" s="3" t="inlineStr">
        <is>
          <t>opp</t>
        </is>
      </c>
      <c r="C1436" s="3" t="inlineStr">
        <is>
          <t>so2</t>
        </is>
      </c>
      <c r="D1436" s="3" t="str">
        <f>IF($B1436="",""," | "&amp;$E1436&amp;" | "&amp;$F1436)</f>
        <v> | Other power plants | SO2</v>
      </c>
      <c r="E1436" s="3" t="str">
        <f>IFERROR(INDEX(SecLab,MATCH($B1436,SecKey,0)),"")</f>
        <v>Other power plants</v>
      </c>
      <c r="F1436" s="3" t="str">
        <f>IFERROR(INDEX(FuelLab,MATCH($C1436,FuelKeyL,0)),"")</f>
        <v>SO2</v>
      </c>
      <c r="G1436" s="3" t="inlineStr">
        <is>
          <t>.opp.so2</t>
        </is>
      </c>
    </row>
    <row r="1437">
      <c r="A1437" s="3" t="str">
        <f>$B1437&amp;"|"&amp;$C1437</f>
        <v>opp|bc</v>
      </c>
      <c r="B1437" s="3" t="inlineStr">
        <is>
          <t>opp</t>
        </is>
      </c>
      <c r="C1437" s="3" t="inlineStr">
        <is>
          <t>bc</t>
        </is>
      </c>
      <c r="D1437" s="3" t="str">
        <f>IF($B1437="",""," | "&amp;$E1437&amp;" | "&amp;$F1437)</f>
        <v> | Other power plants | Black carbon</v>
      </c>
      <c r="E1437" s="3" t="str">
        <f>IFERROR(INDEX(SecLab,MATCH($B1437,SecKey,0)),"")</f>
        <v>Other power plants</v>
      </c>
      <c r="F1437" s="3" t="str">
        <f>IFERROR(INDEX(FuelLab,MATCH($C1437,FuelKeyL,0)),"")</f>
        <v>Black carbon</v>
      </c>
      <c r="G1437" s="3" t="inlineStr">
        <is>
          <t>.opp.bc</t>
        </is>
      </c>
    </row>
    <row r="1438">
      <c r="A1438" s="3" t="str">
        <f>$B1438&amp;"|"&amp;$C1438</f>
        <v>opp|pom</v>
      </c>
      <c r="B1438" s="3" t="inlineStr">
        <is>
          <t>opp</t>
        </is>
      </c>
      <c r="C1438" s="3" t="inlineStr">
        <is>
          <t>pom</t>
        </is>
      </c>
      <c r="D1438" s="3" t="str">
        <f>IF($B1438="",""," | "&amp;$E1438&amp;" | "&amp;$F1438)</f>
        <v> | Other power plants | Primary organic matter</v>
      </c>
      <c r="E1438" s="3" t="str">
        <f>IFERROR(INDEX(SecLab,MATCH($B1438,SecKey,0)),"")</f>
        <v>Other power plants</v>
      </c>
      <c r="F1438" s="3" t="str">
        <f>IFERROR(INDEX(FuelLab,MATCH($C1438,FuelKeyL,0)),"")</f>
        <v>Primary organic matter</v>
      </c>
      <c r="G1438" s="3" t="inlineStr">
        <is>
          <t>.opp.pom</t>
        </is>
      </c>
    </row>
    <row r="1439">
      <c r="A1439" s="3" t="str">
        <f>$B1439&amp;"|"&amp;$C1439</f>
        <v>opp|opm</v>
      </c>
      <c r="B1439" s="3" t="inlineStr">
        <is>
          <t>opp</t>
        </is>
      </c>
      <c r="C1439" s="3" t="inlineStr">
        <is>
          <t>opm</t>
        </is>
      </c>
      <c r="D1439" s="3" t="str">
        <f>IF($B1439="",""," | "&amp;$E1439&amp;" | "&amp;$F1439)</f>
        <v> | Other power plants | Other PM2.5</v>
      </c>
      <c r="E1439" s="3" t="str">
        <f>IFERROR(INDEX(SecLab,MATCH($B1439,SecKey,0)),"")</f>
        <v>Other power plants</v>
      </c>
      <c r="F1439" s="3" t="str">
        <f>IFERROR(INDEX(FuelLab,MATCH($C1439,FuelKeyL,0)),"")</f>
        <v>Other PM2.5</v>
      </c>
      <c r="G1439" s="3" t="inlineStr">
        <is>
          <t>.opp.opm</t>
        </is>
      </c>
    </row>
    <row r="1440">
      <c r="A1440" s="3" t="str">
        <f>$B1440&amp;"|"&amp;$C1440</f>
        <v>opp|voc</v>
      </c>
      <c r="B1440" s="3" t="inlineStr">
        <is>
          <t>opp</t>
        </is>
      </c>
      <c r="C1440" s="3" t="inlineStr">
        <is>
          <t>voc</t>
        </is>
      </c>
      <c r="D1440" s="3" t="str">
        <f>IF($B1440="",""," | "&amp;$E1440&amp;" | "&amp;$F1440)</f>
        <v> | Other power plants | VOC</v>
      </c>
      <c r="E1440" s="3" t="str">
        <f>IFERROR(INDEX(SecLab,MATCH($B1440,SecKey,0)),"")</f>
        <v>Other power plants</v>
      </c>
      <c r="F1440" s="3" t="str">
        <f>IFERROR(INDEX(FuelLab,MATCH($C1440,FuelKeyL,0)),"")</f>
        <v>VOC</v>
      </c>
      <c r="G1440" s="3" t="inlineStr">
        <is>
          <t>.opp.voc</t>
        </is>
      </c>
    </row>
    <row r="1441">
      <c r="A1441" s="3" t="str">
        <f>$B1441&amp;"|"&amp;$C1441</f>
        <v>opp|ch4</v>
      </c>
      <c r="B1441" s="3" t="inlineStr">
        <is>
          <t>opp</t>
        </is>
      </c>
      <c r="C1441" s="3" t="inlineStr">
        <is>
          <t>ch4</t>
        </is>
      </c>
      <c r="D1441" s="3" t="str">
        <f>IF($B1441="",""," | "&amp;$E1441&amp;" | "&amp;$F1441)</f>
        <v> | Other power plants | CH4</v>
      </c>
      <c r="E1441" s="3" t="str">
        <f>IFERROR(INDEX(SecLab,MATCH($B1441,SecKey,0)),"")</f>
        <v>Other power plants</v>
      </c>
      <c r="F1441" s="3" t="str">
        <f>IFERROR(INDEX(FuelLab,MATCH($C1441,FuelKeyL,0)),"")</f>
        <v>CH4</v>
      </c>
      <c r="G1441" s="3" t="inlineStr">
        <is>
          <t>.opp.ch4</t>
        </is>
      </c>
    </row>
    <row r="1442">
      <c r="A1442" s="3" t="str">
        <f>$B1442&amp;"|"&amp;$C1442</f>
        <v>opp|co</v>
      </c>
      <c r="B1442" s="3" t="inlineStr">
        <is>
          <t>opp</t>
        </is>
      </c>
      <c r="C1442" s="3" t="inlineStr">
        <is>
          <t>co</t>
        </is>
      </c>
      <c r="D1442" s="3" t="str">
        <f>IF($B1442="",""," | "&amp;$E1442&amp;" | "&amp;$F1442)</f>
        <v> | Other power plants | CO</v>
      </c>
      <c r="E1442" s="3" t="str">
        <f>IFERROR(INDEX(SecLab,MATCH($B1442,SecKey,0)),"")</f>
        <v>Other power plants</v>
      </c>
      <c r="F1442" s="3" t="str">
        <f>IFERROR(INDEX(FuelLab,MATCH($C1442,FuelKeyL,0)),"")</f>
        <v>CO</v>
      </c>
      <c r="G1442" s="3" t="inlineStr">
        <is>
          <t>.opp.co</t>
        </is>
      </c>
    </row>
    <row r="1443">
      <c r="A1443" s="3" t="str">
        <f>$B1443&amp;"|"&amp;$C1443</f>
        <v>opp|pm2</v>
      </c>
      <c r="B1443" s="3" t="inlineStr">
        <is>
          <t>opp</t>
        </is>
      </c>
      <c r="C1443" s="3" t="inlineStr">
        <is>
          <t>pm2</t>
        </is>
      </c>
      <c r="D1443" s="3" t="str">
        <f>IF($B1443="",""," | "&amp;$E1443&amp;" | "&amp;$F1443)</f>
        <v> | Other power plants | PM2.5</v>
      </c>
      <c r="E1443" s="3" t="str">
        <f>IFERROR(INDEX(SecLab,MATCH($B1443,SecKey,0)),"")</f>
        <v>Other power plants</v>
      </c>
      <c r="F1443" s="3" t="str">
        <f>IFERROR(INDEX(FuelLab,MATCH($C1443,FuelKeyL,0)),"")</f>
        <v>PM2.5</v>
      </c>
      <c r="G1443" s="3" t="inlineStr">
        <is>
          <t>.opp.pm2</t>
        </is>
      </c>
    </row>
    <row r="1444">
      <c r="A1444" s="3" t="str">
        <f>$B1444&amp;"|"&amp;$C1444</f>
        <v>opp|oc</v>
      </c>
      <c r="B1444" s="3" t="inlineStr">
        <is>
          <t>opp</t>
        </is>
      </c>
      <c r="C1444" s="3" t="inlineStr">
        <is>
          <t>oc</t>
        </is>
      </c>
      <c r="D1444" s="3" t="str">
        <f>IF($B1444="",""," | "&amp;$E1444&amp;" | "&amp;$F1444)</f>
        <v> | Other power plants | Organic carbon</v>
      </c>
      <c r="E1444" s="3" t="str">
        <f>IFERROR(INDEX(SecLab,MATCH($B1444,SecKey,0)),"")</f>
        <v>Other power plants</v>
      </c>
      <c r="F1444" s="3" t="str">
        <f>IFERROR(INDEX(FuelLab,MATCH($C1444,FuelKeyL,0)),"")</f>
        <v>Organic carbon</v>
      </c>
      <c r="G1444" s="3" t="inlineStr">
        <is>
          <t>.opp.oc</t>
        </is>
      </c>
    </row>
    <row r="1445">
      <c r="A1445" s="3" t="str">
        <f>$B1445&amp;"|"&amp;$C1445</f>
        <v>rod|pom</v>
      </c>
      <c r="B1445" s="3" t="inlineStr">
        <is>
          <t>rod</t>
        </is>
      </c>
      <c r="C1445" s="3" t="inlineStr">
        <is>
          <t>pom</t>
        </is>
      </c>
      <c r="D1445" s="3" t="str">
        <f>IF($B1445="",""," | "&amp;$E1445&amp;" | "&amp;$F1445)</f>
        <v> | Road | Primary organic matter</v>
      </c>
      <c r="E1445" s="3" t="str">
        <f>IFERROR(INDEX(SecLab,MATCH($B1445,SecKey,0)),"")</f>
        <v>Road</v>
      </c>
      <c r="F1445" s="3" t="str">
        <f>IFERROR(INDEX(FuelLab,MATCH($C1445,FuelKeyL,0)),"")</f>
        <v>Primary organic matter</v>
      </c>
      <c r="G1445" s="3" t="inlineStr">
        <is>
          <t>.rod.pom</t>
        </is>
      </c>
    </row>
    <row r="1446">
      <c r="A1446" s="3" t="str">
        <f>$B1446&amp;"|"&amp;$C1446</f>
        <v>rod|opm</v>
      </c>
      <c r="B1446" s="3" t="inlineStr">
        <is>
          <t>rod</t>
        </is>
      </c>
      <c r="C1446" s="3" t="inlineStr">
        <is>
          <t>opm</t>
        </is>
      </c>
      <c r="D1446" s="3" t="str">
        <f>IF($B1446="",""," | "&amp;$E1446&amp;" | "&amp;$F1446)</f>
        <v> | Road | Other PM2.5</v>
      </c>
      <c r="E1446" s="3" t="str">
        <f>IFERROR(INDEX(SecLab,MATCH($B1446,SecKey,0)),"")</f>
        <v>Road</v>
      </c>
      <c r="F1446" s="3" t="str">
        <f>IFERROR(INDEX(FuelLab,MATCH($C1446,FuelKeyL,0)),"")</f>
        <v>Other PM2.5</v>
      </c>
      <c r="G1446" s="3" t="inlineStr">
        <is>
          <t>.rod.opm</t>
        </is>
      </c>
    </row>
    <row r="1447">
      <c r="A1447" s="3" t="str">
        <f>$B1447&amp;"|"&amp;$C1447</f>
        <v>rod|ch4</v>
      </c>
      <c r="B1447" s="3" t="inlineStr">
        <is>
          <t>rod</t>
        </is>
      </c>
      <c r="C1447" s="3" t="inlineStr">
        <is>
          <t>ch4</t>
        </is>
      </c>
      <c r="D1447" s="3" t="str">
        <f>IF($B1447="",""," | "&amp;$E1447&amp;" | "&amp;$F1447)</f>
        <v> | Road | CH4</v>
      </c>
      <c r="E1447" s="3" t="str">
        <f>IFERROR(INDEX(SecLab,MATCH($B1447,SecKey,0)),"")</f>
        <v>Road</v>
      </c>
      <c r="F1447" s="3" t="str">
        <f>IFERROR(INDEX(FuelLab,MATCH($C1447,FuelKeyL,0)),"")</f>
        <v>CH4</v>
      </c>
      <c r="G1447" s="3" t="inlineStr">
        <is>
          <t>.rod.ch4</t>
        </is>
      </c>
    </row>
    <row r="1448">
      <c r="A1448" s="3" t="str">
        <f>$B1448&amp;"|"&amp;$C1448</f>
        <v>gro|nox</v>
      </c>
      <c r="B1448" s="3" t="inlineStr">
        <is>
          <t>gro</t>
        </is>
      </c>
      <c r="C1448" s="3" t="inlineStr">
        <is>
          <t>nox</t>
        </is>
      </c>
      <c r="D1448" s="3" t="str">
        <f>IF($B1448="",""," | "&amp;$E1448&amp;" | "&amp;$F1448)</f>
        <v> | Ground level other | NOx</v>
      </c>
      <c r="E1448" s="3" t="str">
        <f>IFERROR(INDEX(SecLab,MATCH($B1448,SecKey,0)),"")</f>
        <v>Ground level other</v>
      </c>
      <c r="F1448" s="3" t="str">
        <f>IFERROR(INDEX(FuelLab,MATCH($C1448,FuelKeyL,0)),"")</f>
        <v>NOx</v>
      </c>
      <c r="G1448" s="3" t="inlineStr">
        <is>
          <t>.gro.nox</t>
        </is>
      </c>
    </row>
    <row r="1449">
      <c r="A1449" s="3" t="str">
        <f>$B1449&amp;"|"&amp;$C1449</f>
        <v>gro|so2</v>
      </c>
      <c r="B1449" s="3" t="inlineStr">
        <is>
          <t>gro</t>
        </is>
      </c>
      <c r="C1449" s="3" t="inlineStr">
        <is>
          <t>so2</t>
        </is>
      </c>
      <c r="D1449" s="3" t="str">
        <f>IF($B1449="",""," | "&amp;$E1449&amp;" | "&amp;$F1449)</f>
        <v> | Ground level other | SO2</v>
      </c>
      <c r="E1449" s="3" t="str">
        <f>IFERROR(INDEX(SecLab,MATCH($B1449,SecKey,0)),"")</f>
        <v>Ground level other</v>
      </c>
      <c r="F1449" s="3" t="str">
        <f>IFERROR(INDEX(FuelLab,MATCH($C1449,FuelKeyL,0)),"")</f>
        <v>SO2</v>
      </c>
      <c r="G1449" s="3" t="inlineStr">
        <is>
          <t>.gro.so2</t>
        </is>
      </c>
    </row>
    <row r="1450">
      <c r="A1450" s="3" t="str">
        <f>$B1450&amp;"|"&amp;$C1450</f>
        <v>gro|bc</v>
      </c>
      <c r="B1450" s="3" t="inlineStr">
        <is>
          <t>gro</t>
        </is>
      </c>
      <c r="C1450" s="3" t="inlineStr">
        <is>
          <t>bc</t>
        </is>
      </c>
      <c r="D1450" s="3" t="str">
        <f>IF($B1450="",""," | "&amp;$E1450&amp;" | "&amp;$F1450)</f>
        <v> | Ground level other | Black carbon</v>
      </c>
      <c r="E1450" s="3" t="str">
        <f>IFERROR(INDEX(SecLab,MATCH($B1450,SecKey,0)),"")</f>
        <v>Ground level other</v>
      </c>
      <c r="F1450" s="3" t="str">
        <f>IFERROR(INDEX(FuelLab,MATCH($C1450,FuelKeyL,0)),"")</f>
        <v>Black carbon</v>
      </c>
      <c r="G1450" s="3" t="inlineStr">
        <is>
          <t>.gro.bc</t>
        </is>
      </c>
    </row>
    <row r="1451">
      <c r="A1451" s="3" t="str">
        <f>$B1451&amp;"|"&amp;$C1451</f>
        <v>gro|pom</v>
      </c>
      <c r="B1451" s="3" t="inlineStr">
        <is>
          <t>gro</t>
        </is>
      </c>
      <c r="C1451" s="3" t="inlineStr">
        <is>
          <t>pom</t>
        </is>
      </c>
      <c r="D1451" s="3" t="str">
        <f>IF($B1451="",""," | "&amp;$E1451&amp;" | "&amp;$F1451)</f>
        <v> | Ground level other | Primary organic matter</v>
      </c>
      <c r="E1451" s="3" t="str">
        <f>IFERROR(INDEX(SecLab,MATCH($B1451,SecKey,0)),"")</f>
        <v>Ground level other</v>
      </c>
      <c r="F1451" s="3" t="str">
        <f>IFERROR(INDEX(FuelLab,MATCH($C1451,FuelKeyL,0)),"")</f>
        <v>Primary organic matter</v>
      </c>
      <c r="G1451" s="3" t="inlineStr">
        <is>
          <t>.gro.pom</t>
        </is>
      </c>
    </row>
    <row r="1452">
      <c r="A1452" s="3" t="str">
        <f>$B1452&amp;"|"&amp;$C1452</f>
        <v>gro|opm</v>
      </c>
      <c r="B1452" s="3" t="inlineStr">
        <is>
          <t>gro</t>
        </is>
      </c>
      <c r="C1452" s="3" t="inlineStr">
        <is>
          <t>opm</t>
        </is>
      </c>
      <c r="D1452" s="3" t="str">
        <f>IF($B1452="",""," | "&amp;$E1452&amp;" | "&amp;$F1452)</f>
        <v> | Ground level other | Other PM2.5</v>
      </c>
      <c r="E1452" s="3" t="str">
        <f>IFERROR(INDEX(SecLab,MATCH($B1452,SecKey,0)),"")</f>
        <v>Ground level other</v>
      </c>
      <c r="F1452" s="3" t="str">
        <f>IFERROR(INDEX(FuelLab,MATCH($C1452,FuelKeyL,0)),"")</f>
        <v>Other PM2.5</v>
      </c>
      <c r="G1452" s="3" t="inlineStr">
        <is>
          <t>.gro.opm</t>
        </is>
      </c>
    </row>
    <row r="1453">
      <c r="A1453" s="3" t="str">
        <f>$B1453&amp;"|"&amp;$C1453</f>
        <v>gro|voc</v>
      </c>
      <c r="B1453" s="3" t="inlineStr">
        <is>
          <t>gro</t>
        </is>
      </c>
      <c r="C1453" s="3" t="inlineStr">
        <is>
          <t>voc</t>
        </is>
      </c>
      <c r="D1453" s="3" t="str">
        <f>IF($B1453="",""," | "&amp;$E1453&amp;" | "&amp;$F1453)</f>
        <v> | Ground level other | VOC</v>
      </c>
      <c r="E1453" s="3" t="str">
        <f>IFERROR(INDEX(SecLab,MATCH($B1453,SecKey,0)),"")</f>
        <v>Ground level other</v>
      </c>
      <c r="F1453" s="3" t="str">
        <f>IFERROR(INDEX(FuelLab,MATCH($C1453,FuelKeyL,0)),"")</f>
        <v>VOC</v>
      </c>
      <c r="G1453" s="3" t="inlineStr">
        <is>
          <t>.gro.voc</t>
        </is>
      </c>
    </row>
    <row r="1454">
      <c r="A1454" s="3" t="str">
        <f>$B1454&amp;"|"&amp;$C1454</f>
        <v>gro|ch4</v>
      </c>
      <c r="B1454" s="3" t="inlineStr">
        <is>
          <t>gro</t>
        </is>
      </c>
      <c r="C1454" s="3" t="inlineStr">
        <is>
          <t>ch4</t>
        </is>
      </c>
      <c r="D1454" s="3" t="str">
        <f>IF($B1454="",""," | "&amp;$E1454&amp;" | "&amp;$F1454)</f>
        <v> | Ground level other | CH4</v>
      </c>
      <c r="E1454" s="3" t="str">
        <f>IFERROR(INDEX(SecLab,MATCH($B1454,SecKey,0)),"")</f>
        <v>Ground level other</v>
      </c>
      <c r="F1454" s="3" t="str">
        <f>IFERROR(INDEX(FuelLab,MATCH($C1454,FuelKeyL,0)),"")</f>
        <v>CH4</v>
      </c>
      <c r="G1454" s="3" t="inlineStr">
        <is>
          <t>.gro.ch4</t>
        </is>
      </c>
    </row>
    <row r="1455">
      <c r="A1455" s="3" t="str">
        <f>$B1455&amp;"|"&amp;$C1455</f>
        <v>gro|co</v>
      </c>
      <c r="B1455" s="3" t="inlineStr">
        <is>
          <t>gro</t>
        </is>
      </c>
      <c r="C1455" s="3" t="inlineStr">
        <is>
          <t>co</t>
        </is>
      </c>
      <c r="D1455" s="3" t="str">
        <f>IF($B1455="",""," | "&amp;$E1455&amp;" | "&amp;$F1455)</f>
        <v> | Ground level other | CO</v>
      </c>
      <c r="E1455" s="3" t="str">
        <f>IFERROR(INDEX(SecLab,MATCH($B1455,SecKey,0)),"")</f>
        <v>Ground level other</v>
      </c>
      <c r="F1455" s="3" t="str">
        <f>IFERROR(INDEX(FuelLab,MATCH($C1455,FuelKeyL,0)),"")</f>
        <v>CO</v>
      </c>
      <c r="G1455" s="3" t="inlineStr">
        <is>
          <t>.gro.co</t>
        </is>
      </c>
    </row>
    <row r="1456">
      <c r="A1456" s="3" t="str">
        <f>$B1456&amp;"|"&amp;$C1456</f>
        <v>gro|pm2</v>
      </c>
      <c r="B1456" s="3" t="inlineStr">
        <is>
          <t>gro</t>
        </is>
      </c>
      <c r="C1456" s="3" t="inlineStr">
        <is>
          <t>pm2</t>
        </is>
      </c>
      <c r="D1456" s="3" t="str">
        <f>IF($B1456="",""," | "&amp;$E1456&amp;" | "&amp;$F1456)</f>
        <v> | Ground level other | PM2.5</v>
      </c>
      <c r="E1456" s="3" t="str">
        <f>IFERROR(INDEX(SecLab,MATCH($B1456,SecKey,0)),"")</f>
        <v>Ground level other</v>
      </c>
      <c r="F1456" s="3" t="str">
        <f>IFERROR(INDEX(FuelLab,MATCH($C1456,FuelKeyL,0)),"")</f>
        <v>PM2.5</v>
      </c>
      <c r="G1456" s="3" t="inlineStr">
        <is>
          <t>.gro.pm2</t>
        </is>
      </c>
    </row>
    <row r="1457">
      <c r="A1457" s="3" t="str">
        <f>$B1457&amp;"|"&amp;$C1457</f>
        <v>gro|oc</v>
      </c>
      <c r="B1457" s="3" t="inlineStr">
        <is>
          <t>gro</t>
        </is>
      </c>
      <c r="C1457" s="3" t="inlineStr">
        <is>
          <t>oc</t>
        </is>
      </c>
      <c r="D1457" s="3" t="str">
        <f>IF($B1457="",""," | "&amp;$E1457&amp;" | "&amp;$F1457)</f>
        <v> | Ground level other | Organic carbon</v>
      </c>
      <c r="E1457" s="3" t="str">
        <f>IFERROR(INDEX(SecLab,MATCH($B1457,SecKey,0)),"")</f>
        <v>Ground level other</v>
      </c>
      <c r="F1457" s="3" t="str">
        <f>IFERROR(INDEX(FuelLab,MATCH($C1457,FuelKeyL,0)),"")</f>
        <v>Organic carbon</v>
      </c>
      <c r="G1457" s="3" t="inlineStr">
        <is>
          <t>.gro.oc</t>
        </is>
      </c>
    </row>
    <row r="1458">
      <c r="A1458" s="3" t="str">
        <f>$B1458&amp;"|"&amp;$C1458</f>
        <v>oth|nox</v>
      </c>
      <c r="B1458" s="3" t="inlineStr">
        <is>
          <t>oth</t>
        </is>
      </c>
      <c r="C1458" s="3" t="inlineStr">
        <is>
          <t>nox</t>
        </is>
      </c>
      <c r="D1458" s="3" t="str">
        <f>IF($B1458="",""," | "&amp;$E1458&amp;" | "&amp;$F1458)</f>
        <v> | Other | NOx</v>
      </c>
      <c r="E1458" s="3" t="str">
        <f>IFERROR(INDEX(SecLab,MATCH($B1458,SecKey,0)),"")</f>
        <v>Other</v>
      </c>
      <c r="F1458" s="3" t="str">
        <f>IFERROR(INDEX(FuelLab,MATCH($C1458,FuelKeyL,0)),"")</f>
        <v>NOx</v>
      </c>
      <c r="G1458" s="3" t="inlineStr">
        <is>
          <t>.oth.nox</t>
        </is>
      </c>
    </row>
    <row r="1459">
      <c r="A1459" s="3" t="str">
        <f>$B1459&amp;"|"&amp;$C1459</f>
        <v>oth|so2</v>
      </c>
      <c r="B1459" s="3" t="inlineStr">
        <is>
          <t>oth</t>
        </is>
      </c>
      <c r="C1459" s="3" t="inlineStr">
        <is>
          <t>so2</t>
        </is>
      </c>
      <c r="D1459" s="3" t="str">
        <f>IF($B1459="",""," | "&amp;$E1459&amp;" | "&amp;$F1459)</f>
        <v> | Other | SO2</v>
      </c>
      <c r="E1459" s="3" t="str">
        <f>IFERROR(INDEX(SecLab,MATCH($B1459,SecKey,0)),"")</f>
        <v>Other</v>
      </c>
      <c r="F1459" s="3" t="str">
        <f>IFERROR(INDEX(FuelLab,MATCH($C1459,FuelKeyL,0)),"")</f>
        <v>SO2</v>
      </c>
      <c r="G1459" s="3" t="inlineStr">
        <is>
          <t>.oth.so2</t>
        </is>
      </c>
    </row>
    <row r="1460">
      <c r="A1460" s="3" t="str">
        <f>$B1460&amp;"|"&amp;$C1460</f>
        <v>oth|bc</v>
      </c>
      <c r="B1460" s="3" t="inlineStr">
        <is>
          <t>oth</t>
        </is>
      </c>
      <c r="C1460" s="3" t="inlineStr">
        <is>
          <t>bc</t>
        </is>
      </c>
      <c r="D1460" s="3" t="str">
        <f>IF($B1460="",""," | "&amp;$E1460&amp;" | "&amp;$F1460)</f>
        <v> | Other | Black carbon</v>
      </c>
      <c r="E1460" s="3" t="str">
        <f>IFERROR(INDEX(SecLab,MATCH($B1460,SecKey,0)),"")</f>
        <v>Other</v>
      </c>
      <c r="F1460" s="3" t="str">
        <f>IFERROR(INDEX(FuelLab,MATCH($C1460,FuelKeyL,0)),"")</f>
        <v>Black carbon</v>
      </c>
      <c r="G1460" s="3" t="inlineStr">
        <is>
          <t>.oth.bc</t>
        </is>
      </c>
    </row>
    <row r="1461">
      <c r="A1461" s="3" t="str">
        <f>$B1461&amp;"|"&amp;$C1461</f>
        <v>oth|pom</v>
      </c>
      <c r="B1461" s="3" t="inlineStr">
        <is>
          <t>oth</t>
        </is>
      </c>
      <c r="C1461" s="3" t="inlineStr">
        <is>
          <t>pom</t>
        </is>
      </c>
      <c r="D1461" s="3" t="str">
        <f>IF($B1461="",""," | "&amp;$E1461&amp;" | "&amp;$F1461)</f>
        <v> | Other | Primary organic matter</v>
      </c>
      <c r="E1461" s="3" t="str">
        <f>IFERROR(INDEX(SecLab,MATCH($B1461,SecKey,0)),"")</f>
        <v>Other</v>
      </c>
      <c r="F1461" s="3" t="str">
        <f>IFERROR(INDEX(FuelLab,MATCH($C1461,FuelKeyL,0)),"")</f>
        <v>Primary organic matter</v>
      </c>
      <c r="G1461" s="3" t="inlineStr">
        <is>
          <t>.oth.pom</t>
        </is>
      </c>
    </row>
    <row r="1462">
      <c r="A1462" s="3" t="str">
        <f>$B1462&amp;"|"&amp;$C1462</f>
        <v>oth|opm</v>
      </c>
      <c r="B1462" s="3" t="inlineStr">
        <is>
          <t>oth</t>
        </is>
      </c>
      <c r="C1462" s="3" t="inlineStr">
        <is>
          <t>opm</t>
        </is>
      </c>
      <c r="D1462" s="3" t="str">
        <f>IF($B1462="",""," | "&amp;$E1462&amp;" | "&amp;$F1462)</f>
        <v> | Other | Other PM2.5</v>
      </c>
      <c r="E1462" s="3" t="str">
        <f>IFERROR(INDEX(SecLab,MATCH($B1462,SecKey,0)),"")</f>
        <v>Other</v>
      </c>
      <c r="F1462" s="3" t="str">
        <f>IFERROR(INDEX(FuelLab,MATCH($C1462,FuelKeyL,0)),"")</f>
        <v>Other PM2.5</v>
      </c>
      <c r="G1462" s="3" t="inlineStr">
        <is>
          <t>.oth.opm</t>
        </is>
      </c>
    </row>
    <row r="1463">
      <c r="A1463" s="3" t="str">
        <f>$B1463&amp;"|"&amp;$C1463</f>
        <v>oth|voc</v>
      </c>
      <c r="B1463" s="3" t="inlineStr">
        <is>
          <t>oth</t>
        </is>
      </c>
      <c r="C1463" s="3" t="inlineStr">
        <is>
          <t>voc</t>
        </is>
      </c>
      <c r="D1463" s="3" t="str">
        <f>IF($B1463="",""," | "&amp;$E1463&amp;" | "&amp;$F1463)</f>
        <v> | Other | VOC</v>
      </c>
      <c r="E1463" s="3" t="str">
        <f>IFERROR(INDEX(SecLab,MATCH($B1463,SecKey,0)),"")</f>
        <v>Other</v>
      </c>
      <c r="F1463" s="3" t="str">
        <f>IFERROR(INDEX(FuelLab,MATCH($C1463,FuelKeyL,0)),"")</f>
        <v>VOC</v>
      </c>
      <c r="G1463" s="3" t="inlineStr">
        <is>
          <t>.oth.voc</t>
        </is>
      </c>
    </row>
    <row r="1464">
      <c r="A1464" s="3" t="str">
        <f>$B1464&amp;"|"&amp;$C1464</f>
        <v>oth|co</v>
      </c>
      <c r="B1464" s="3" t="inlineStr">
        <is>
          <t>oth</t>
        </is>
      </c>
      <c r="C1464" s="3" t="inlineStr">
        <is>
          <t>co</t>
        </is>
      </c>
      <c r="D1464" s="3" t="str">
        <f>IF($B1464="",""," | "&amp;$E1464&amp;" | "&amp;$F1464)</f>
        <v> | Other | CO</v>
      </c>
      <c r="E1464" s="3" t="str">
        <f>IFERROR(INDEX(SecLab,MATCH($B1464,SecKey,0)),"")</f>
        <v>Other</v>
      </c>
      <c r="F1464" s="3" t="str">
        <f>IFERROR(INDEX(FuelLab,MATCH($C1464,FuelKeyL,0)),"")</f>
        <v>CO</v>
      </c>
      <c r="G1464" s="3" t="inlineStr">
        <is>
          <t>.oth.co</t>
        </is>
      </c>
    </row>
    <row r="1465">
      <c r="A1465" s="3" t="str">
        <f>$B1465&amp;"|"&amp;$C1465</f>
        <v>oth|pm2</v>
      </c>
      <c r="B1465" s="3" t="inlineStr">
        <is>
          <t>oth</t>
        </is>
      </c>
      <c r="C1465" s="3" t="inlineStr">
        <is>
          <t>pm2</t>
        </is>
      </c>
      <c r="D1465" s="3" t="str">
        <f>IF($B1465="",""," | "&amp;$E1465&amp;" | "&amp;$F1465)</f>
        <v> | Other | PM2.5</v>
      </c>
      <c r="E1465" s="3" t="str">
        <f>IFERROR(INDEX(SecLab,MATCH($B1465,SecKey,0)),"")</f>
        <v>Other</v>
      </c>
      <c r="F1465" s="3" t="str">
        <f>IFERROR(INDEX(FuelLab,MATCH($C1465,FuelKeyL,0)),"")</f>
        <v>PM2.5</v>
      </c>
      <c r="G1465" s="3" t="inlineStr">
        <is>
          <t>.oth.pm2</t>
        </is>
      </c>
    </row>
    <row r="1466">
      <c r="A1466" s="3" t="str">
        <f>$B1466&amp;"|"&amp;$C1466</f>
        <v>oth|oc</v>
      </c>
      <c r="B1466" s="3" t="inlineStr">
        <is>
          <t>oth</t>
        </is>
      </c>
      <c r="C1466" s="3" t="inlineStr">
        <is>
          <t>oc</t>
        </is>
      </c>
      <c r="D1466" s="3" t="str">
        <f>IF($B1466="",""," | "&amp;$E1466&amp;" | "&amp;$F1466)</f>
        <v> | Other | Organic carbon</v>
      </c>
      <c r="E1466" s="3" t="str">
        <f>IFERROR(INDEX(SecLab,MATCH($B1466,SecKey,0)),"")</f>
        <v>Other</v>
      </c>
      <c r="F1466" s="3" t="str">
        <f>IFERROR(INDEX(FuelLab,MATCH($C1466,FuelKeyL,0)),"")</f>
        <v>Organic carbon</v>
      </c>
      <c r="G1466" s="3" t="inlineStr">
        <is>
          <t>.oth.oc</t>
        </is>
      </c>
    </row>
    <row r="1467">
      <c r="A1467" s="3" t="str">
        <f>$B1467&amp;"|"&amp;$C1467</f>
        <v>foo|pom</v>
      </c>
      <c r="B1467" s="3" t="inlineStr">
        <is>
          <t>foo</t>
        </is>
      </c>
      <c r="C1467" s="3" t="inlineStr">
        <is>
          <t>pom</t>
        </is>
      </c>
      <c r="D1467" s="3" t="str">
        <f>IF($B1467="",""," | "&amp;$E1467&amp;" | "&amp;$F1467)</f>
        <v> | Food &amp; forestry | Primary organic matter</v>
      </c>
      <c r="E1467" s="3" t="str">
        <f>IFERROR(INDEX(SecLab,MATCH($B1467,SecKey,0)),"")</f>
        <v>Food &amp; forestry</v>
      </c>
      <c r="F1467" s="3" t="str">
        <f>IFERROR(INDEX(FuelLab,MATCH($C1467,FuelKeyL,0)),"")</f>
        <v>Primary organic matter</v>
      </c>
      <c r="G1467" s="3" t="inlineStr">
        <is>
          <t>.foo.pom</t>
        </is>
      </c>
    </row>
    <row r="1468">
      <c r="A1468" s="3" t="str">
        <f>$B1468&amp;"|"&amp;$C1468</f>
        <v>foo|opm</v>
      </c>
      <c r="B1468" s="3" t="inlineStr">
        <is>
          <t>foo</t>
        </is>
      </c>
      <c r="C1468" s="3" t="inlineStr">
        <is>
          <t>opm</t>
        </is>
      </c>
      <c r="D1468" s="3" t="str">
        <f>IF($B1468="",""," | "&amp;$E1468&amp;" | "&amp;$F1468)</f>
        <v> | Food &amp; forestry | Other PM2.5</v>
      </c>
      <c r="E1468" s="3" t="str">
        <f>IFERROR(INDEX(SecLab,MATCH($B1468,SecKey,0)),"")</f>
        <v>Food &amp; forestry</v>
      </c>
      <c r="F1468" s="3" t="str">
        <f>IFERROR(INDEX(FuelLab,MATCH($C1468,FuelKeyL,0)),"")</f>
        <v>Other PM2.5</v>
      </c>
      <c r="G1468" s="3" t="inlineStr">
        <is>
          <t>.foo.opm</t>
        </is>
      </c>
    </row>
    <row r="1469">
      <c r="A1469" s="3" t="str">
        <f>$B1469&amp;"|"&amp;$C1469</f>
        <v>foo|ch4</v>
      </c>
      <c r="B1469" s="3" t="inlineStr">
        <is>
          <t>foo</t>
        </is>
      </c>
      <c r="C1469" s="3" t="inlineStr">
        <is>
          <t>ch4</t>
        </is>
      </c>
      <c r="D1469" s="3" t="str">
        <f>IF($B1469="",""," | "&amp;$E1469&amp;" | "&amp;$F1469)</f>
        <v> | Food &amp; forestry | CH4</v>
      </c>
      <c r="E1469" s="3" t="str">
        <f>IFERROR(INDEX(SecLab,MATCH($B1469,SecKey,0)),"")</f>
        <v>Food &amp; forestry</v>
      </c>
      <c r="F1469" s="3" t="str">
        <f>IFERROR(INDEX(FuelLab,MATCH($C1469,FuelKeyL,0)),"")</f>
        <v>CH4</v>
      </c>
      <c r="G1469" s="3" t="inlineStr">
        <is>
          <t>.foo.ch4</t>
        </is>
      </c>
    </row>
    <row r="1470">
      <c r="A1470" s="3" t="str">
        <f>$B1470&amp;"|"&amp;$C1470</f>
        <v>all|pom</v>
      </c>
      <c r="B1470" s="3" t="inlineStr">
        <is>
          <t>all</t>
        </is>
      </c>
      <c r="C1470" s="3" t="inlineStr">
        <is>
          <t>pom</t>
        </is>
      </c>
      <c r="D1470" s="3" t="str">
        <f>IF($B1470="",""," | "&amp;$E1470&amp;" | "&amp;$F1470)</f>
        <v> | All sectors | Primary organic matter</v>
      </c>
      <c r="E1470" s="3" t="str">
        <f>IFERROR(INDEX(SecLab,MATCH($B1470,SecKey,0)),"")</f>
        <v>All sectors</v>
      </c>
      <c r="F1470" s="3" t="str">
        <f>IFERROR(INDEX(FuelLab,MATCH($C1470,FuelKeyL,0)),"")</f>
        <v>Primary organic matter</v>
      </c>
      <c r="G1470" s="3" t="inlineStr">
        <is>
          <t>.all.pom</t>
        </is>
      </c>
    </row>
    <row r="1471">
      <c r="A1471" s="3" t="str">
        <f>$B1471&amp;"|"&amp;$C1471</f>
        <v>all|opm</v>
      </c>
      <c r="B1471" s="3" t="inlineStr">
        <is>
          <t>all</t>
        </is>
      </c>
      <c r="C1471" s="3" t="inlineStr">
        <is>
          <t>opm</t>
        </is>
      </c>
      <c r="D1471" s="3" t="str">
        <f>IF($B1471="",""," | "&amp;$E1471&amp;" | "&amp;$F1471)</f>
        <v> | All sectors | Other PM2.5</v>
      </c>
      <c r="E1471" s="3" t="str">
        <f>IFERROR(INDEX(SecLab,MATCH($B1471,SecKey,0)),"")</f>
        <v>All sectors</v>
      </c>
      <c r="F1471" s="3" t="str">
        <f>IFERROR(INDEX(FuelLab,MATCH($C1471,FuelKeyL,0)),"")</f>
        <v>Other PM2.5</v>
      </c>
      <c r="G1471" s="3" t="inlineStr">
        <is>
          <t>.all.opm</t>
        </is>
      </c>
    </row>
    <row r="1472">
      <c r="A1472" s="3" t="str">
        <f>$B1472&amp;"|"&amp;$C1472</f>
        <v>all|pm2</v>
      </c>
      <c r="B1472" s="3" t="inlineStr">
        <is>
          <t>all</t>
        </is>
      </c>
      <c r="C1472" s="3" t="inlineStr">
        <is>
          <t>pm2</t>
        </is>
      </c>
      <c r="D1472" s="3" t="str">
        <f>IF($B1472="",""," | "&amp;$E1472&amp;" | "&amp;$F1472)</f>
        <v> | All sectors | PM2.5</v>
      </c>
      <c r="E1472" s="3" t="str">
        <f>IFERROR(INDEX(SecLab,MATCH($B1472,SecKey,0)),"")</f>
        <v>All sectors</v>
      </c>
      <c r="F1472" s="3" t="str">
        <f>IFERROR(INDEX(FuelLab,MATCH($C1472,FuelKeyL,0)),"")</f>
        <v>PM2.5</v>
      </c>
      <c r="G1472" s="3" t="inlineStr">
        <is>
          <t>.all.pm2</t>
        </is>
      </c>
    </row>
    <row r="1473"/>
    <row r="1474"/>
    <row r="1475"/>
    <row r="1476"/>
    <row r="1477">
      <c r="A1477" s="4" t="inlineStr">
        <is>
          <t>Inputs by fuel | subsector: every lookup used by Mitigation (data step, no calculations)</t>
        </is>
      </c>
      <c r="B1477" s="5" t="n"/>
      <c r="C1477" s="5" t="n"/>
      <c r="D1477" s="5" t="n"/>
      <c r="E1477" s="5" t="n"/>
      <c r="F1477" s="5" t="n"/>
      <c r="G1477" s="5" t="n"/>
      <c r="H1477" s="5" t="n"/>
      <c r="I1477" s="5" t="n"/>
      <c r="J1477" s="5" t="n"/>
      <c r="K1477" s="5" t="n"/>
      <c r="L1477" s="5" t="n"/>
      <c r="M1477" s="5" t="n"/>
      <c r="N1477" s="5" t="n"/>
      <c r="O1477" s="5" t="n"/>
      <c r="P1477" s="5" t="n"/>
      <c r="Q1477" s="5" t="n"/>
      <c r="R1477" s="5" t="n"/>
      <c r="S1477" s="5" t="n"/>
      <c r="T1477" s="5" t="n"/>
      <c r="U1477" s="5" t="n"/>
      <c r="V1477" s="5" t="n"/>
      <c r="W1477" s="5" t="n"/>
      <c r="X1477" s="5" t="n"/>
      <c r="Y1477" s="5" t="n"/>
      <c r="Z1477" s="5" t="n"/>
      <c r="AA1477" s="5" t="n"/>
      <c r="AB1477" s="5" t="n"/>
      <c r="AC1477" s="5" t="n"/>
      <c r="AD1477" s="5" t="n"/>
      <c r="AE1477" s="5" t="n"/>
      <c r="AF1477" s="5" t="n"/>
      <c r="AG1477" s="5" t="n"/>
      <c r="AH1477" s="5" t="n"/>
      <c r="AI1477" s="5" t="n"/>
      <c r="AJ1477" s="5" t="n"/>
      <c r="AK1477" s="5" t="n"/>
      <c r="AL1477" s="5" t="n"/>
      <c r="AM1477" s="5" t="n"/>
      <c r="AN1477" s="5" t="n"/>
      <c r="AO1477" s="5" t="n"/>
      <c r="AP1477" s="5" t="n"/>
      <c r="AQ1477" s="5" t="n"/>
      <c r="AR1477" s="5" t="n"/>
      <c r="AS1477" s="5" t="n"/>
      <c r="AT1477" s="5" t="n"/>
      <c r="AU1477" s="5" t="n"/>
      <c r="AV1477" s="5" t="n"/>
      <c r="AW1477" s="5" t="n"/>
      <c r="AX1477" s="5" t="n"/>
      <c r="AY1477" s="5" t="n"/>
      <c r="AZ1477" s="5" t="n"/>
      <c r="BA1477" s="5" t="n"/>
      <c r="BB1477" s="5" t="n"/>
      <c r="BC1477" s="5" t="n"/>
      <c r="BD1477" s="5" t="n"/>
      <c r="BE1477" s="5" t="n"/>
      <c r="BF1477" s="5" t="n"/>
      <c r="BG1477" s="5" t="n"/>
      <c r="BH1477" s="5" t="n"/>
      <c r="BI1477" s="5" t="n"/>
      <c r="BJ1477" s="5" t="n"/>
      <c r="BK1477" s="5" t="n"/>
      <c r="BL1477" s="5" t="n"/>
      <c r="BM1477" s="5" t="n"/>
      <c r="BN1477" s="5" t="n"/>
      <c r="BO1477" s="5" t="n"/>
      <c r="BP1477" s="5" t="n"/>
      <c r="BQ1477" s="5" t="n"/>
      <c r="BR1477" s="5" t="n"/>
      <c r="BS1477" s="5" t="n"/>
      <c r="BT1477" s="5" t="n"/>
      <c r="BU1477" s="5" t="n"/>
      <c r="BV1477" s="5" t="n"/>
      <c r="BW1477" s="5" t="n"/>
      <c r="BX1477" s="5" t="n"/>
      <c r="BY1477" s="5" t="n"/>
      <c r="BZ1477" s="5" t="n"/>
      <c r="CA1477" s="5" t="n"/>
      <c r="CB1477" s="5" t="n"/>
      <c r="CC1477" s="5" t="n"/>
      <c r="CD1477" s="5" t="n"/>
      <c r="CE1477" s="5" t="n"/>
      <c r="CF1477" s="5" t="n"/>
      <c r="CG1477" s="5" t="n"/>
      <c r="CH1477" s="5" t="n"/>
      <c r="CI1477" s="5" t="n"/>
      <c r="CJ1477" s="5" t="n"/>
      <c r="CK1477" s="5" t="n"/>
      <c r="CL1477" s="5" t="n"/>
      <c r="CM1477" s="5" t="n"/>
      <c r="CN1477" s="5" t="n"/>
      <c r="CO1477" s="5" t="n"/>
      <c r="CP1477" s="5" t="n"/>
      <c r="CQ1477" s="5" t="n"/>
      <c r="CR1477" s="5" t="n"/>
      <c r="CS1477" s="5" t="n"/>
      <c r="CT1477" s="5" t="n"/>
      <c r="CU1477" s="5" t="n"/>
      <c r="CV1477" s="5" t="n"/>
      <c r="CW1477" s="5" t="n"/>
      <c r="CX1477" s="5" t="n"/>
      <c r="CY1477" s="5" t="n"/>
      <c r="CZ1477" s="5" t="n"/>
      <c r="DA1477" s="5" t="n"/>
      <c r="DB1477" s="5" t="n"/>
      <c r="DC1477" s="5" t="n"/>
      <c r="DD1477" s="5" t="n"/>
      <c r="DE1477" s="5" t="n"/>
      <c r="DF1477" s="5" t="n"/>
      <c r="DG1477" s="5" t="n"/>
      <c r="DH1477" s="5" t="n"/>
      <c r="DI1477" s="5" t="n"/>
      <c r="DJ1477" s="5" t="n"/>
      <c r="DK1477" s="5" t="n"/>
      <c r="DL1477" s="5" t="n"/>
      <c r="DM1477" s="5" t="n"/>
      <c r="DN1477" s="5" t="n"/>
      <c r="DO1477" s="5" t="n"/>
      <c r="DP1477" s="5" t="n"/>
      <c r="DQ1477" s="5" t="n"/>
      <c r="DR1477" s="5" t="n"/>
      <c r="DS1477" s="5" t="n"/>
      <c r="DT1477" s="5" t="n"/>
      <c r="DU1477" s="5" t="n"/>
      <c r="DV1477" s="5" t="n"/>
      <c r="DW1477" s="5" t="n"/>
      <c r="DX1477" s="5" t="n"/>
      <c r="DY1477" s="5" t="n"/>
      <c r="DZ1477" s="5" t="n"/>
      <c r="EA1477" s="5" t="n"/>
      <c r="EB1477" s="5" t="n"/>
      <c r="EC1477" s="5" t="n"/>
      <c r="ED1477" s="5" t="n"/>
      <c r="EE1477" s="5" t="n"/>
      <c r="EF1477" s="5" t="n"/>
      <c r="EG1477" s="5" t="n"/>
      <c r="EH1477" s="5" t="n"/>
      <c r="EI1477" s="5" t="n"/>
      <c r="EJ1477" s="5" t="n"/>
      <c r="EK1477" s="5" t="n"/>
      <c r="EL1477" s="5" t="n"/>
      <c r="EM1477" s="5" t="n"/>
      <c r="EN1477" s="5" t="n"/>
      <c r="EO1477" s="5" t="n"/>
      <c r="EP1477" s="5" t="n"/>
      <c r="EQ1477" s="5" t="n"/>
      <c r="ER1477" s="5" t="n"/>
      <c r="ES1477" s="5" t="n"/>
      <c r="ET1477" s="5" t="n"/>
      <c r="EU1477" s="5" t="n"/>
      <c r="EV1477" s="5" t="n"/>
      <c r="EW1477" s="5" t="n"/>
      <c r="EX1477" s="5" t="n"/>
      <c r="EY1477" s="5" t="n"/>
      <c r="EZ1477" s="5" t="n"/>
      <c r="FA1477" s="5" t="n"/>
      <c r="FB1477" s="5" t="n"/>
      <c r="FC1477" s="5" t="n"/>
      <c r="FD1477" s="5" t="n"/>
      <c r="FE1477" s="5" t="n"/>
      <c r="FF1477" s="5" t="n"/>
      <c r="FG1477" s="5" t="n"/>
      <c r="FH1477" s="5" t="n"/>
      <c r="FI1477" s="5" t="n"/>
      <c r="FJ1477" s="5" t="n"/>
      <c r="FK1477" s="5" t="n"/>
      <c r="FL1477" s="5" t="n"/>
      <c r="FM1477" s="5" t="n"/>
      <c r="FN1477" s="5" t="n"/>
      <c r="FO1477" s="5" t="n"/>
    </row>
    <row r="1478">
      <c r="A1478" s="3" t="inlineStr">
        <is>
          <t>One row per fuel | subsector (same taxonomy as Mitigation columns B:C). Mitigation reads these columns with INDEX/MATCH on the key. Green = input.</t>
        </is>
      </c>
    </row>
    <row r="1479" ht="48" customHeight="1">
      <c r="A1479" s="175" t="inlineStr">
        <is>
          <t>Key (fuel|subsector)</t>
        </is>
      </c>
      <c r="B1479" s="175" t="inlineStr">
        <is>
          <t>Fuel</t>
        </is>
      </c>
      <c r="C1479" s="175" t="inlineStr">
        <is>
          <t>Subsector</t>
        </is>
      </c>
      <c r="D1479" s="175" t="inlineStr">
        <is>
          <t>Elasticity sector</t>
        </is>
      </c>
      <c r="E1479" s="175" t="inlineStr">
        <is>
          <t>Elasticity fuel</t>
        </is>
      </c>
      <c r="F1479" s="175" t="inlineStr">
        <is>
          <t>AEEI fuel</t>
        </is>
      </c>
      <c r="G1479" s="175" t="inlineStr">
        <is>
          <t>Price sector rule of the fuel (sub / all)</t>
        </is>
      </c>
      <c r="H1479" s="175" t="inlineStr">
        <is>
          <t>Coal/gas price sector of the subsector</t>
        </is>
      </c>
      <c r="I1479" s="175" t="inlineStr">
        <is>
          <t>Price code</t>
        </is>
      </c>
      <c r="J1479" s="175" t="inlineStr">
        <is>
          <t>EF sector</t>
        </is>
      </c>
      <c r="K1479" s="175" t="inlineStr">
        <is>
          <t>GJ per price unit</t>
        </is>
      </c>
      <c r="L1479" s="175" t="inlineStr">
        <is>
          <t>Fuel position (coverage)</t>
        </is>
      </c>
      <c r="M1479" s="175" t="inlineStr">
        <is>
          <t>Sector position (coverage)</t>
        </is>
      </c>
      <c r="N1479" s="175" t="inlineStr">
        <is>
          <t>Price-fuel position (fuel price reform)</t>
        </is>
      </c>
      <c r="O1479" s="175" t="inlineStr">
        <is>
          <t>eps_Y GDP</t>
        </is>
      </c>
      <c r="P1479" s="175" t="inlineStr">
        <is>
          <t>eps_U usage</t>
        </is>
      </c>
      <c r="Q1479" s="175" t="inlineStr">
        <is>
          <t>eps_F efficiency</t>
        </is>
      </c>
      <c r="R1479" s="175" t="inlineStr">
        <is>
          <t>alpha AEEI</t>
        </is>
      </c>
      <c r="S1479" s="175" t="inlineStr">
        <is>
          <t>Additional efficiency group (1 road vehicles, 2 residential, 3 industrial; legacy rows 2199-2201)</t>
        </is>
      </c>
      <c r="T1479" s="175" t="inlineStr">
        <is>
          <t>Efficiency exponent eps_F x (1+eps_U)</t>
        </is>
      </c>
      <c r="U1479" s="175" t="inlineStr">
        <is>
          <t>Price position (section 2)</t>
        </is>
      </c>
      <c r="V1479" s="175" t="inlineStr">
        <is>
          <t>VAT rate</t>
        </is>
      </c>
      <c r="W1479" s="175" t="inlineStr">
        <is>
          <t>EF (tCO2/GJ, x EFCalib)</t>
        </is>
      </c>
      <c r="X1479" s="175" t="inlineStr">
        <is>
          <t>Base-year fuel use (ktoe)</t>
        </is>
      </c>
      <c r="Y1479" s="175" t="inlineStr">
        <is>
          <t>ECP sector of the subsector (legacy: pow, trs, res, ind)</t>
        </is>
      </c>
      <c r="Z1479" s="175" t="inlineStr">
        <is>
          <t>Row of ECP sector | fuel in the existing carbon pricing tables (Inputs_ecp; v0.4.12)</t>
        </is>
      </c>
      <c r="AA1479" s="175" t="inlineStr">
        <is>
          <t>Existing carbon pricing embedded in the price data: carbon tax + ETS of the last historical price year ($/tCO2 real; v0.4.12)</t>
        </is>
      </c>
      <c r="AB1479" s="175" t="inlineStr">
        <is>
          <t>Non-CO2 EF subsector: legacy EF code of the subsector (Inputs_ef table NCEf; legacy rows 6336-6413: mnf = mch, irn, nfm, mac, cem, ftr)</t>
        </is>
      </c>
      <c r="AC1479" s="175" t="inlineStr">
        <is>
          <t>Non-CO2 EF fuel (Inputs_ef table NCEf)</t>
        </is>
      </c>
      <c r="AD1479" s="175" t="inlineStr">
        <is>
          <t>CH4 EF, base year (t CH4/ktoe)</t>
        </is>
      </c>
      <c r="AE1479" s="175" t="inlineStr">
        <is>
          <t>CH4 EF, EFEndYear (t CH4/ktoe)</t>
        </is>
      </c>
      <c r="AF1479" s="175" t="inlineStr">
        <is>
          <t>Engineer road model: position of the fuel in the result rows of section 5b (0 = elasticity model)</t>
        </is>
      </c>
      <c r="AG1479" s="175" t="inlineStr">
        <is>
          <t>PM2.5 EF, base year (t/ktoe)</t>
        </is>
      </c>
      <c r="AH1479" s="175" t="inlineStr">
        <is>
          <t>PM2.5 EF, EFEndYear (t/ktoe)</t>
        </is>
      </c>
      <c r="AI1479" s="175" t="inlineStr">
        <is>
          <t>NOx EF, base year (t/ktoe)</t>
        </is>
      </c>
      <c r="AJ1479" s="175" t="inlineStr">
        <is>
          <t>NOx EF, EFEndYear (t/ktoe)</t>
        </is>
      </c>
      <c r="AK1479" s="175" t="inlineStr">
        <is>
          <t>SO2 EF, base year (t/ktoe)</t>
        </is>
      </c>
      <c r="AL1479" s="175" t="inlineStr">
        <is>
          <t>SO2 EF, EFEndYear (t/ktoe)</t>
        </is>
      </c>
      <c r="AM1479" s="175" t="inlineStr">
        <is>
          <t>VOC EF, base year (t/ktoe)</t>
        </is>
      </c>
      <c r="AN1479" s="175" t="inlineStr">
        <is>
          <t>VOC EF, EFEndYear (t/ktoe)</t>
        </is>
      </c>
      <c r="AO1479" s="175" t="inlineStr">
        <is>
          <t>Black carbon EF, base year (t/ktoe)</t>
        </is>
      </c>
      <c r="AP1479" s="175" t="inlineStr">
        <is>
          <t>Black carbon EF, EFEndYear (t/ktoe)</t>
        </is>
      </c>
      <c r="AQ1479" s="175" t="inlineStr">
        <is>
          <t>Organic carbon EF, base year (t/ktoe)</t>
        </is>
      </c>
      <c r="AR1479" s="175" t="inlineStr">
        <is>
          <t>Organic carbon EF, EFEndYear (t/ktoe)</t>
        </is>
      </c>
      <c r="AS1479" s="175" t="inlineStr">
        <is>
          <t>CO EF, base year (t/ktoe)</t>
        </is>
      </c>
      <c r="AT1479" s="175" t="inlineStr">
        <is>
          <t>CO EF, EFEndYear (t/ktoe)</t>
        </is>
      </c>
      <c r="AU1479" s="175" t="inlineStr">
        <is>
          <t>Balances flow 1 of the subsector (Mapping)</t>
        </is>
      </c>
      <c r="AV1479" s="175" t="inlineStr">
        <is>
          <t>Sign of flow 1</t>
        </is>
      </c>
      <c r="AW1479" s="175" t="inlineStr">
        <is>
          <t>Balances flow 2 of the subsector</t>
        </is>
      </c>
      <c r="AX1479" s="175" t="inlineStr">
        <is>
          <t>Sign of flow 2</t>
        </is>
      </c>
      <c r="AY1479" s="175" t="inlineStr">
        <is>
          <t>Fuel use from Balances, flow 1 (ktoe)</t>
        </is>
      </c>
      <c r="AZ1479" s="175" t="inlineStr">
        <is>
          <t>Fuel use from Balances, flow 2 (ktoe)</t>
        </is>
      </c>
      <c r="BA1479" s="175" t="inlineStr">
        <is>
          <t>Fuel use from EnergyCons (ktoe; MTInputs BalancesOrConsumption not Balances)</t>
        </is>
      </c>
      <c r="BB1479" s="175" t="inlineStr">
        <is>
          <t>Food use (ktoe; Balances info_food, legacy row 504 Y)</t>
        </is>
      </c>
      <c r="BC1479" s="175" t="inlineStr">
        <is>
          <t>Food, forestry and agriculture use (ktoe; the four info_ flows, legacy row 504 W:Z)</t>
        </is>
      </c>
      <c r="BD1479" s="175" t="inlineStr">
        <is>
          <t>Food share of food, forestry and agriculture (legacy rows 1666-1673 M)</t>
        </is>
      </c>
      <c r="BE1479" s="175" t="inlineStr">
        <is>
          <t>Exemption group of the new policies: position in the Mitigation rows exf (1 none, 2 residential LPG and kerosene, AlwaysExemptResLPGKer; legacy rows 5546-5547; v0.5.1)</t>
        </is>
      </c>
      <c r="BF1479" s="175" t="inlineStr">
        <is>
          <t>Leakage to biomass: position of the fuel in the cumulative leakage rows of section 6b added to fuel use (1 = none; v0.5.1, legacy rows 5554-5560)</t>
        </is>
      </c>
    </row>
    <row r="1480">
      <c r="A1480" s="3" t="str">
        <f>$B1480&amp;"|"&amp;$C1480</f>
        <v>coa|rod</v>
      </c>
      <c r="B1480" s="8" t="inlineStr">
        <is>
          <t>coa</t>
        </is>
      </c>
      <c r="C1480" s="8" t="inlineStr">
        <is>
          <t>rod</t>
        </is>
      </c>
      <c r="D1480" s="3" t="str">
        <f>INDEX('Constants and Mappings'!$D$186:$D$201,MATCH($C1480,SubKey,0))</f>
        <v>tra</v>
      </c>
      <c r="E1480" s="3" t="str">
        <f>INDEX('Constants and Mappings'!$C$229:$C$237,MATCH($B1480,FuelKey,0))</f>
        <v>coa</v>
      </c>
      <c r="F1480" s="3" t="str">
        <f>INDEX('Constants and Mappings'!$D$229:$D$237,MATCH($B1480,FuelKey,0))</f>
        <v>coa</v>
      </c>
      <c r="G1480" s="3" t="str">
        <f>INDEX('Constants and Mappings'!$E$229:$E$237,MATCH($B1480,FuelKey,0))</f>
        <v>sub</v>
      </c>
      <c r="H1480" s="3" t="str">
        <f>INDEX('Constants and Mappings'!$F$186:$F$201,MATCH($C1480,SubKey,0))</f>
        <v>res</v>
      </c>
      <c r="I1480" s="3" t="str">
        <f>INDEX('Constants and Mappings'!$I$229:$I$237,MATCH($B1480,FuelKey,0))&amp;"."&amp;IF($G1480="sub",$H1480,"all")</f>
        <v>coa.res</v>
      </c>
      <c r="J1480" s="3" t="str">
        <f>INDEX('Constants and Mappings'!$E$186:$E$201,MATCH($C1480,SubKey,0))</f>
        <v>rod</v>
      </c>
      <c r="K1480" s="3">
        <f>INDEX('Constants and Mappings'!$G$229:$G$237,MATCH($B1480,FuelKey,0))</f>
        <v>1.0</v>
      </c>
      <c r="L1480" s="3">
        <f>INDEX('Constants and Mappings'!$H$229:$H$237,MATCH($B1480,FuelKey,0))</f>
        <v>1.0</v>
      </c>
      <c r="M1480" s="3">
        <f>INDEX('Constants and Mappings'!$H$186:$H$201,MATCH($C1480,SubKey,0))</f>
        <v>2.0</v>
      </c>
      <c r="N1480" s="3">
        <f>INDEX('Constants and Mappings'!$E$300:$E$313,MATCH($I1480,'Constants and Mappings'!$A$300:$A$313,0))</f>
        <v>2.0</v>
      </c>
      <c r="O1480" s="48">
        <f>INDEX(ElaSel,MATCH("inc|"&amp;$E1480&amp;"|"&amp;$D1480,ElaSelKey,0))</f>
        <v>0.0</v>
      </c>
      <c r="P1480" s="48">
        <f>INDEX(ElaSel,MATCH("usg|"&amp;$E1480&amp;"|"&amp;$D1480,ElaSelKey,0))</f>
        <v>-0.3</v>
      </c>
      <c r="Q1480" s="48">
        <f>INDEX(ElaSel,MATCH("eff|"&amp;$E1480&amp;"|"&amp;$D1480,ElaSelKey,0))</f>
        <v>-0.4</v>
      </c>
      <c r="R1480" s="225">
        <f>INDEX(ElaSel,MATCH("aei|"&amp;$F1480&amp;"|"&amp;$D1480,ElaSelKey,0))</f>
        <v>0.01</v>
      </c>
      <c r="S1480" s="133" t="n">
        <v>1</v>
      </c>
      <c r="T1480" s="48">
        <f>$Q1480*(1+$P1480)</f>
        <v>-0.27999999999999997</v>
      </c>
      <c r="U1480" s="3">
        <f>INDEX('Constants and Mappings'!$E$1633:$E$1644,MATCH($I1480,'Constants and Mappings'!$A$1633:$A$1644,0))</f>
        <v>28.0</v>
      </c>
      <c r="V1480" s="225">
        <f>INDEX('Constants and Mappings'!$V$1633:$V$1644,MATCH($I1480,'Constants and Mappings'!$A$1633:$A$1644,0))</f>
        <v>0.14</v>
      </c>
      <c r="W1480" s="197">
        <f>INDEX(EFSel,MATCH($B1480&amp;"|"&amp;$J1480,EFSelKey,0))*EFCalib</f>
        <v>0.09388742715307763</v>
      </c>
      <c r="X1480" s="195">
        <f>IF(LEFT(BalOpt,3)="Bal",$AY1480*$AV1480+$AZ1480*$AX1480,$BA1480)</f>
        <v>0.0</v>
      </c>
      <c r="Y1480" s="3" t="str">
        <f>IF($G1480="sub",$H1480,IF($B1480="oop","ind","trs"))</f>
        <v>res</v>
      </c>
      <c r="Z1480" s="39">
        <f>IFERROR(MATCH($Y1480&amp;"|"&amp;$B1480,XKey,0),1)</f>
        <v>20.0</v>
      </c>
      <c r="AA1480" s="48">
        <f>INDEX(XCTVal,$Z1480,ECPEmb)+INDEX(XETSVal,$Z1480,ECPEmb)</f>
        <v>0.0</v>
      </c>
      <c r="AB1480" s="8" t="inlineStr">
        <is>
          <t>rod</t>
        </is>
      </c>
      <c r="AC1480" s="8" t="inlineStr">
        <is>
          <t>coa</t>
        </is>
      </c>
      <c r="AD1480" s="197">
        <f>IFERROR(INDEX(NCEfIn,MATCH($AB1480&amp;"."&amp;$AC1480&amp;".ch4",NCEfKey,0)),0)</f>
        <v>0.0</v>
      </c>
      <c r="AE1480" s="197">
        <f>IFERROR(INDEX(NCEfFin,MATCH($AB1480&amp;"."&amp;$AC1480&amp;".ch4",NCEfKey,0)),0)</f>
        <v>0.0</v>
      </c>
      <c r="AF1480" s="3" t="n">
        <v>0</v>
      </c>
      <c r="AG1480" s="197">
        <f>IFERROR(INDEX(NCEfIn,MATCH($AB1480&amp;"."&amp;$AC1480&amp;".pm2",NCEfKey,0)),0)</f>
        <v>0.0</v>
      </c>
      <c r="AH1480" s="197">
        <f>IFERROR(INDEX(NCEfFin,MATCH($AB1480&amp;"."&amp;$AC1480&amp;".pm2",NCEfKey,0)),0)</f>
        <v>0.0</v>
      </c>
      <c r="AI1480" s="197">
        <f>IFERROR(INDEX(NCEfIn,MATCH($AB1480&amp;"."&amp;$AC1480&amp;".nox",NCEfKey,0)),0)</f>
        <v>0.0</v>
      </c>
      <c r="AJ1480" s="197">
        <f>IFERROR(INDEX(NCEfFin,MATCH($AB1480&amp;"."&amp;$AC1480&amp;".nox",NCEfKey,0)),0)</f>
        <v>0.0</v>
      </c>
      <c r="AK1480" s="197">
        <f>IFERROR(INDEX(NCEfIn,MATCH($AB1480&amp;"."&amp;$AC1480&amp;".so2",NCEfKey,0)),0)</f>
        <v>0.0</v>
      </c>
      <c r="AL1480" s="197">
        <f>IFERROR(INDEX(NCEfFin,MATCH($AB1480&amp;"."&amp;$AC1480&amp;".so2",NCEfKey,0)),0)</f>
        <v>0.0</v>
      </c>
      <c r="AM1480" s="197">
        <f>IFERROR(INDEX(NCEfIn,MATCH($AB1480&amp;"."&amp;$AC1480&amp;".voc",NCEfKey,0)),0)</f>
        <v>0.0</v>
      </c>
      <c r="AN1480" s="197">
        <f>IFERROR(INDEX(NCEfFin,MATCH($AB1480&amp;"."&amp;$AC1480&amp;".voc",NCEfKey,0)),0)</f>
        <v>0.0</v>
      </c>
      <c r="AO1480" s="197">
        <f>IFERROR(INDEX(NCEfIn,MATCH($AB1480&amp;"."&amp;$AC1480&amp;".bc",NCEfKey,0)),0)</f>
        <v>0.0</v>
      </c>
      <c r="AP1480" s="197">
        <f>IFERROR(INDEX(NCEfFin,MATCH($AB1480&amp;"."&amp;$AC1480&amp;".bc",NCEfKey,0)),0)</f>
        <v>0.0</v>
      </c>
      <c r="AQ1480" s="197">
        <f>IFERROR(INDEX(NCEfIn,MATCH($AB1480&amp;"."&amp;$AC1480&amp;".oc",NCEfKey,0)),0)</f>
        <v>0.0</v>
      </c>
      <c r="AR1480" s="197">
        <f>IFERROR(INDEX(NCEfFin,MATCH($AB1480&amp;"."&amp;$AC1480&amp;".oc",NCEfKey,0)),0)</f>
        <v>0.0</v>
      </c>
      <c r="AS1480" s="197">
        <f>IFERROR(INDEX(NCEfIn,MATCH($AB1480&amp;"."&amp;$AC1480&amp;".co",NCEfKey,0)),0)</f>
        <v>0.0</v>
      </c>
      <c r="AT1480" s="197">
        <f>IFERROR(INDEX(NCEfFin,MATCH($AB1480&amp;"."&amp;$AC1480&amp;".co",NCEfKey,0)),0)</f>
        <v>0.0</v>
      </c>
      <c r="AU1480" s="3" t="str">
        <f>INDEX('Constants and Mappings'!$J$186:$J$201,MATCH($C1480,SubKey,0))</f>
        <v>road</v>
      </c>
      <c r="AV1480" s="3">
        <f>INDEX('Constants and Mappings'!$K$186:$K$201,MATCH($C1480,SubKey,0))</f>
        <v>1.0</v>
      </c>
      <c r="AW1480" s="3" t="str">
        <f>INDEX('Constants and Mappings'!$L$186:$L$201,MATCH($C1480,SubKey,0))&amp;""</f>
        <v/>
      </c>
      <c r="AX1480" s="3">
        <f>INDEX('Constants and Mappings'!$M$186:$M$201,MATCH($C1480,SubKey,0))</f>
        <v>0.0</v>
      </c>
      <c r="AY1480" s="3" t="n">
        <v>0</v>
      </c>
      <c r="AZ1480" s="3" t="n">
        <v>0</v>
      </c>
      <c r="BA1480" s="3" t="n">
        <v>0</v>
      </c>
      <c r="BB1480" s="3" t="n">
        <v>0</v>
      </c>
      <c r="BC1480" s="3" t="n">
        <v>0</v>
      </c>
      <c r="BD1480" s="3">
        <f>IFERROR($BB1480/$BC1480,0)</f>
        <v>0.0</v>
      </c>
      <c r="BE1480" s="133" t="n">
        <v>1</v>
      </c>
      <c r="BF1480" s="39" t="n">
        <v>1</v>
      </c>
    </row>
    <row r="1481">
      <c r="A1481" s="3" t="str">
        <f>$B1481&amp;"|"&amp;$C1481</f>
        <v>nga|rod</v>
      </c>
      <c r="B1481" s="8" t="inlineStr">
        <is>
          <t>nga</t>
        </is>
      </c>
      <c r="C1481" s="8" t="inlineStr">
        <is>
          <t>rod</t>
        </is>
      </c>
      <c r="D1481" s="3" t="str">
        <f>INDEX('Constants and Mappings'!$D$186:$D$201,MATCH($C1481,SubKey,0))</f>
        <v>tra</v>
      </c>
      <c r="E1481" s="3" t="str">
        <f>INDEX('Constants and Mappings'!$C$229:$C$237,MATCH($B1481,FuelKey,0))</f>
        <v>nga</v>
      </c>
      <c r="F1481" s="3" t="str">
        <f>INDEX('Constants and Mappings'!$D$229:$D$237,MATCH($B1481,FuelKey,0))</f>
        <v>nga</v>
      </c>
      <c r="G1481" s="3" t="str">
        <f>INDEX('Constants and Mappings'!$E$229:$E$237,MATCH($B1481,FuelKey,0))</f>
        <v>sub</v>
      </c>
      <c r="H1481" s="3" t="str">
        <f>INDEX('Constants and Mappings'!$F$186:$F$201,MATCH($C1481,SubKey,0))</f>
        <v>res</v>
      </c>
      <c r="I1481" s="3" t="str">
        <f>INDEX('Constants and Mappings'!$I$229:$I$237,MATCH($B1481,FuelKey,0))&amp;"."&amp;IF($G1481="sub",$H1481,"all")</f>
        <v>nga.res</v>
      </c>
      <c r="J1481" s="3" t="str">
        <f>INDEX('Constants and Mappings'!$E$186:$E$201,MATCH($C1481,SubKey,0))</f>
        <v>rod</v>
      </c>
      <c r="K1481" s="3">
        <f>INDEX('Constants and Mappings'!$G$229:$G$237,MATCH($B1481,FuelKey,0))</f>
        <v>1.0</v>
      </c>
      <c r="L1481" s="3">
        <f>INDEX('Constants and Mappings'!$H$229:$H$237,MATCH($B1481,FuelKey,0))</f>
        <v>2.0</v>
      </c>
      <c r="M1481" s="3">
        <f>INDEX('Constants and Mappings'!$H$186:$H$201,MATCH($C1481,SubKey,0))</f>
        <v>2.0</v>
      </c>
      <c r="N1481" s="3">
        <f>INDEX('Constants and Mappings'!$E$300:$E$313,MATCH($I1481,'Constants and Mappings'!$A$300:$A$313,0))</f>
        <v>5.0</v>
      </c>
      <c r="O1481" s="48">
        <f>INDEX(ElaSel,MATCH("inc|"&amp;$E1481&amp;"|"&amp;$D1481,ElaSelKey,0))</f>
        <v>0.5</v>
      </c>
      <c r="P1481" s="48">
        <f>INDEX(ElaSel,MATCH("usg|"&amp;$E1481&amp;"|"&amp;$D1481,ElaSelKey,0))</f>
        <v>-0.5</v>
      </c>
      <c r="Q1481" s="48">
        <f>INDEX(ElaSel,MATCH("eff|"&amp;$E1481&amp;"|"&amp;$D1481,ElaSelKey,0))</f>
        <v>-0.4</v>
      </c>
      <c r="R1481" s="225">
        <f>INDEX(ElaSel,MATCH("aei|"&amp;$F1481&amp;"|"&amp;$D1481,ElaSelKey,0))</f>
        <v>0.01</v>
      </c>
      <c r="S1481" s="133" t="n">
        <v>1</v>
      </c>
      <c r="T1481" s="48">
        <f>$Q1481*(1+$P1481)</f>
        <v>-0.2</v>
      </c>
      <c r="U1481" s="3">
        <f>INDEX('Constants and Mappings'!$E$1633:$E$1644,MATCH($I1481,'Constants and Mappings'!$A$1633:$A$1644,0))</f>
        <v>111.0</v>
      </c>
      <c r="V1481" s="225">
        <f>INDEX('Constants and Mappings'!$V$1633:$V$1644,MATCH($I1481,'Constants and Mappings'!$A$1633:$A$1644,0))</f>
        <v>0.0</v>
      </c>
      <c r="W1481" s="197">
        <f>INDEX(EFSel,MATCH($B1481&amp;"|"&amp;$J1481,EFSelKey,0))*EFCalib</f>
        <v>0.05555115616004721</v>
      </c>
      <c r="X1481" s="195">
        <f>IF(LEFT(BalOpt,3)="Bal",$AY1481*$AV1481+$AZ1481*$AX1481,$BA1481)</f>
        <v>482.8457966168376</v>
      </c>
      <c r="Y1481" s="3" t="str">
        <f>IF($G1481="sub",$H1481,IF($B1481="oop","ind","trs"))</f>
        <v>res</v>
      </c>
      <c r="Z1481" s="39">
        <f>IFERROR(MATCH($Y1481&amp;"|"&amp;$B1481,XKey,0),1)</f>
        <v>21.0</v>
      </c>
      <c r="AA1481" s="48">
        <f>INDEX(XCTVal,$Z1481,ECPEmb)+INDEX(XETSVal,$Z1481,ECPEmb)</f>
        <v>0.0</v>
      </c>
      <c r="AB1481" s="8" t="inlineStr">
        <is>
          <t>rod</t>
        </is>
      </c>
      <c r="AC1481" s="8" t="inlineStr">
        <is>
          <t>nga</t>
        </is>
      </c>
      <c r="AD1481" s="197">
        <f>IFERROR(INDEX(NCEfIn,MATCH($AB1481&amp;"."&amp;$AC1481&amp;".ch4",NCEfKey,0)),0)</f>
        <v>15.0485189436</v>
      </c>
      <c r="AE1481" s="197">
        <f>IFERROR(INDEX(NCEfFin,MATCH($AB1481&amp;"."&amp;$AC1481&amp;".ch4",NCEfKey,0)),0)</f>
        <v>8.8725367692</v>
      </c>
      <c r="AF1481" s="3" t="n">
        <v>4</v>
      </c>
      <c r="AG1481" s="197">
        <f>IFERROR(INDEX(NCEfIn,MATCH($AB1481&amp;"."&amp;$AC1481&amp;".pm2",NCEfKey,0)),0)</f>
        <v>0.0555002208</v>
      </c>
      <c r="AH1481" s="197">
        <f>IFERROR(INDEX(NCEfFin,MATCH($AB1481&amp;"."&amp;$AC1481&amp;".pm2",NCEfKey,0)),0)</f>
        <v>0.0465237216</v>
      </c>
      <c r="AI1481" s="197">
        <f>IFERROR(INDEX(NCEfIn,MATCH($AB1481&amp;"."&amp;$AC1481&amp;".nox",NCEfKey,0)),0)</f>
        <v>15.2091538992</v>
      </c>
      <c r="AJ1481" s="197">
        <f>IFERROR(INDEX(NCEfFin,MATCH($AB1481&amp;"."&amp;$AC1481&amp;".nox",NCEfKey,0)),0)</f>
        <v>10.9600878096</v>
      </c>
      <c r="AK1481" s="197">
        <f>IFERROR(INDEX(NCEfIn,MATCH($AB1481&amp;"."&amp;$AC1481&amp;".so2",NCEfKey,0)),0)</f>
        <v>0.0348886044</v>
      </c>
      <c r="AL1481" s="197">
        <f>IFERROR(INDEX(NCEfFin,MATCH($AB1481&amp;"."&amp;$AC1481&amp;".so2",NCEfKey,0)),0)</f>
        <v>0.0348886044</v>
      </c>
      <c r="AM1481" s="197">
        <f>IFERROR(INDEX(NCEfIn,MATCH($AB1481&amp;"."&amp;$AC1481&amp;".voc",NCEfKey,0)),0)</f>
        <v>15.2091538992</v>
      </c>
      <c r="AN1481" s="197">
        <f>IFERROR(INDEX(NCEfFin,MATCH($AB1481&amp;"."&amp;$AC1481&amp;".voc",NCEfKey,0)),0)</f>
        <v>9.75597669</v>
      </c>
      <c r="AO1481" s="197">
        <f>IFERROR(INDEX(NCEfIn,MATCH($AB1481&amp;"."&amp;$AC1481&amp;".bc",NCEfKey,0)),0)</f>
        <v>0.011911446</v>
      </c>
      <c r="AP1481" s="197">
        <f>IFERROR(INDEX(NCEfFin,MATCH($AB1481&amp;"."&amp;$AC1481&amp;".bc",NCEfKey,0)),0)</f>
        <v>0.011639304</v>
      </c>
      <c r="AQ1481" s="197">
        <f>IFERROR(INDEX(NCEfIn,MATCH($AB1481&amp;"."&amp;$AC1481&amp;".oc",NCEfKey,0)),0)</f>
        <v>0.0285874704</v>
      </c>
      <c r="AR1481" s="197">
        <f>IFERROR(INDEX(NCEfFin,MATCH($AB1481&amp;"."&amp;$AC1481&amp;".oc",NCEfKey,0)),0)</f>
        <v>0.0230567076</v>
      </c>
      <c r="AS1481" s="197">
        <f>IFERROR(INDEX(NCEfIn,MATCH($AB1481&amp;"."&amp;$AC1481&amp;".co",NCEfKey,0)),0)</f>
        <v>18.9072999108</v>
      </c>
      <c r="AT1481" s="197">
        <f>IFERROR(INDEX(NCEfFin,MATCH($AB1481&amp;"."&amp;$AC1481&amp;".co",NCEfKey,0)),0)</f>
        <v>14.325722352</v>
      </c>
      <c r="AU1481" s="3" t="str">
        <f>INDEX('Constants and Mappings'!$J$186:$J$201,MATCH($C1481,SubKey,0))</f>
        <v>road</v>
      </c>
      <c r="AV1481" s="3">
        <f>INDEX('Constants and Mappings'!$K$186:$K$201,MATCH($C1481,SubKey,0))</f>
        <v>1.0</v>
      </c>
      <c r="AW1481" s="3" t="str">
        <f>INDEX('Constants and Mappings'!$L$186:$L$201,MATCH($C1481,SubKey,0))&amp;""</f>
        <v/>
      </c>
      <c r="AX1481" s="3">
        <f>INDEX('Constants and Mappings'!$M$186:$M$201,MATCH($C1481,SubKey,0))</f>
        <v>0.0</v>
      </c>
      <c r="AY1481" s="3" t="n">
        <v>482.8457966168376</v>
      </c>
      <c r="AZ1481" s="3" t="n">
        <v>0</v>
      </c>
      <c r="BA1481" s="3" t="n">
        <v>482.8457966168376</v>
      </c>
      <c r="BB1481" s="3" t="n">
        <v>0</v>
      </c>
      <c r="BC1481" s="3" t="n">
        <v>0</v>
      </c>
      <c r="BD1481" s="3">
        <f>IFERROR($BB1481/$BC1481,0)</f>
        <v>0.0</v>
      </c>
      <c r="BE1481" s="133" t="n">
        <v>1</v>
      </c>
      <c r="BF1481" s="39" t="n">
        <v>1</v>
      </c>
    </row>
    <row r="1482">
      <c r="A1482" s="3" t="str">
        <f>$B1482&amp;"|"&amp;$C1482</f>
        <v>gso|rod</v>
      </c>
      <c r="B1482" s="8" t="inlineStr">
        <is>
          <t>gso</t>
        </is>
      </c>
      <c r="C1482" s="8" t="inlineStr">
        <is>
          <t>rod</t>
        </is>
      </c>
      <c r="D1482" s="3" t="str">
        <f>INDEX('Constants and Mappings'!$D$186:$D$201,MATCH($C1482,SubKey,0))</f>
        <v>tra</v>
      </c>
      <c r="E1482" s="3" t="str">
        <f>INDEX('Constants and Mappings'!$C$229:$C$237,MATCH($B1482,FuelKey,0))</f>
        <v>gso</v>
      </c>
      <c r="F1482" s="3" t="str">
        <f>INDEX('Constants and Mappings'!$D$229:$D$237,MATCH($B1482,FuelKey,0))</f>
        <v>oil</v>
      </c>
      <c r="G1482" s="3" t="str">
        <f>INDEX('Constants and Mappings'!$E$229:$E$237,MATCH($B1482,FuelKey,0))</f>
        <v>all</v>
      </c>
      <c r="H1482" s="3" t="str">
        <f>INDEX('Constants and Mappings'!$F$186:$F$201,MATCH($C1482,SubKey,0))</f>
        <v>res</v>
      </c>
      <c r="I1482" s="3" t="str">
        <f>INDEX('Constants and Mappings'!$I$229:$I$237,MATCH($B1482,FuelKey,0))&amp;"."&amp;IF($G1482="sub",$H1482,"all")</f>
        <v>gso.all</v>
      </c>
      <c r="J1482" s="3" t="str">
        <f>INDEX('Constants and Mappings'!$E$186:$E$201,MATCH($C1482,SubKey,0))</f>
        <v>rod</v>
      </c>
      <c r="K1482" s="3">
        <f>INDEX('Constants and Mappings'!$G$229:$G$237,MATCH($B1482,FuelKey,0))</f>
        <v>0.03496974000000001</v>
      </c>
      <c r="L1482" s="3">
        <f>INDEX('Constants and Mappings'!$H$229:$H$237,MATCH($B1482,FuelKey,0))</f>
        <v>3.0</v>
      </c>
      <c r="M1482" s="3">
        <f>INDEX('Constants and Mappings'!$H$186:$H$201,MATCH($C1482,SubKey,0))</f>
        <v>2.0</v>
      </c>
      <c r="N1482" s="3">
        <f>INDEX('Constants and Mappings'!$E$300:$E$313,MATCH($I1482,'Constants and Mappings'!$A$300:$A$313,0))</f>
        <v>9.0</v>
      </c>
      <c r="O1482" s="48">
        <f>INDEX(ElaSel,MATCH("inc|"&amp;$E1482&amp;"|"&amp;$D1482,ElaSelKey,0))</f>
        <v>0.7</v>
      </c>
      <c r="P1482" s="48">
        <f>INDEX(ElaSel,MATCH("usg|"&amp;$E1482&amp;"|"&amp;$D1482,ElaSelKey,0))</f>
        <v>-0.4</v>
      </c>
      <c r="Q1482" s="48">
        <f>INDEX(ElaSel,MATCH("eff|"&amp;$E1482&amp;"|"&amp;$D1482,ElaSelKey,0))</f>
        <v>-0.4</v>
      </c>
      <c r="R1482" s="225">
        <f>INDEX(ElaSel,MATCH("aei|"&amp;$F1482&amp;"|"&amp;$D1482,ElaSelKey,0))</f>
        <v>0.01</v>
      </c>
      <c r="S1482" s="133" t="n">
        <v>1</v>
      </c>
      <c r="T1482" s="48">
        <f>$Q1482*(1+$P1482)</f>
        <v>-0.24</v>
      </c>
      <c r="U1482" s="3">
        <f>INDEX('Constants and Mappings'!$E$1633:$E$1644,MATCH($I1482,'Constants and Mappings'!$A$1633:$A$1644,0))</f>
        <v>167.0</v>
      </c>
      <c r="V1482" s="225">
        <f>INDEX('Constants and Mappings'!$V$1633:$V$1644,MATCH($I1482,'Constants and Mappings'!$A$1633:$A$1644,0))</f>
        <v>0.0</v>
      </c>
      <c r="W1482" s="197">
        <f>INDEX(EFSel,MATCH($B1482&amp;"|"&amp;$J1482,EFSelKey,0))*EFCalib</f>
        <v>0.0658828747734696</v>
      </c>
      <c r="X1482" s="195">
        <f>IF(LEFT(BalOpt,3)="Bal",$AY1482*$AV1482+$AZ1482*$AX1482,$BA1482)</f>
        <v>7328.942890599129</v>
      </c>
      <c r="Y1482" s="3" t="str">
        <f>IF($G1482="sub",$H1482,IF($B1482="oop","ind","trs"))</f>
        <v>trs</v>
      </c>
      <c r="Z1482" s="39">
        <f>IFERROR(MATCH($Y1482&amp;"|"&amp;$B1482,XKey,0),1)</f>
        <v>13.0</v>
      </c>
      <c r="AA1482" s="48">
        <f>INDEX(XCTVal,$Z1482,ECPEmb)+INDEX(XETSVal,$Z1482,ECPEmb)</f>
        <v>0.0</v>
      </c>
      <c r="AB1482" s="8" t="inlineStr">
        <is>
          <t>rod</t>
        </is>
      </c>
      <c r="AC1482" s="8" t="inlineStr">
        <is>
          <t>gso</t>
        </is>
      </c>
      <c r="AD1482" s="197">
        <f>IFERROR(INDEX(NCEfIn,MATCH($AB1482&amp;"."&amp;$AC1482&amp;".ch4",NCEfKey,0)),0)</f>
        <v>2.00432583</v>
      </c>
      <c r="AE1482" s="197">
        <f>IFERROR(INDEX(NCEfFin,MATCH($AB1482&amp;"."&amp;$AC1482&amp;".ch4",NCEfKey,0)),0)</f>
        <v>0.6985633932</v>
      </c>
      <c r="AF1482" s="3" t="n">
        <v>1</v>
      </c>
      <c r="AG1482" s="197">
        <f>IFERROR(INDEX(NCEfIn,MATCH($AB1482&amp;"."&amp;$AC1482&amp;".pm2",NCEfKey,0)),0)</f>
        <v>1.2722722236</v>
      </c>
      <c r="AH1482" s="197">
        <f>IFERROR(INDEX(NCEfFin,MATCH($AB1482&amp;"."&amp;$AC1482&amp;".pm2",NCEfKey,0)),0)</f>
        <v>0.8307490428000001</v>
      </c>
      <c r="AI1482" s="197">
        <f>IFERROR(INDEX(NCEfIn,MATCH($AB1482&amp;"."&amp;$AC1482&amp;".nox",NCEfKey,0)),0)</f>
        <v>20.5277171148</v>
      </c>
      <c r="AJ1482" s="197">
        <f>IFERROR(INDEX(NCEfFin,MATCH($AB1482&amp;"."&amp;$AC1482&amp;".nox",NCEfKey,0)),0)</f>
        <v>9.1888788168</v>
      </c>
      <c r="AK1482" s="197">
        <f>IFERROR(INDEX(NCEfIn,MATCH($AB1482&amp;"."&amp;$AC1482&amp;".so2",NCEfKey,0)),0)</f>
        <v>0.9101726388000001</v>
      </c>
      <c r="AL1482" s="197">
        <f>IFERROR(INDEX(NCEfFin,MATCH($AB1482&amp;"."&amp;$AC1482&amp;".so2",NCEfKey,0)),0)</f>
        <v>0.9101726388000001</v>
      </c>
      <c r="AM1482" s="197">
        <f>IFERROR(INDEX(NCEfIn,MATCH($AB1482&amp;"."&amp;$AC1482&amp;".voc",NCEfKey,0)),0)</f>
        <v>23.2692253812</v>
      </c>
      <c r="AN1482" s="197">
        <f>IFERROR(INDEX(NCEfFin,MATCH($AB1482&amp;"."&amp;$AC1482&amp;".voc",NCEfKey,0)),0)</f>
        <v>9.7249190076</v>
      </c>
      <c r="AO1482" s="197">
        <f>IFERROR(INDEX(NCEfIn,MATCH($AB1482&amp;"."&amp;$AC1482&amp;".bc",NCEfKey,0)),0)</f>
        <v>0.2401464744</v>
      </c>
      <c r="AP1482" s="197">
        <f>IFERROR(INDEX(NCEfFin,MATCH($AB1482&amp;"."&amp;$AC1482&amp;".bc",NCEfKey,0)),0)</f>
        <v>0.2285448516</v>
      </c>
      <c r="AQ1482" s="197">
        <f>IFERROR(INDEX(NCEfIn,MATCH($AB1482&amp;"."&amp;$AC1482&amp;".oc",NCEfKey,0)),0)</f>
        <v>0.7007070348000001</v>
      </c>
      <c r="AR1482" s="197">
        <f>IFERROR(INDEX(NCEfFin,MATCH($AB1482&amp;"."&amp;$AC1482&amp;".oc",NCEfKey,0)),0)</f>
        <v>0.4100677524</v>
      </c>
      <c r="AS1482" s="197">
        <f>IFERROR(INDEX(NCEfIn,MATCH($AB1482&amp;"."&amp;$AC1482&amp;".co",NCEfKey,0)),0)</f>
        <v>217.7039954808</v>
      </c>
      <c r="AT1482" s="197">
        <f>IFERROR(INDEX(NCEfFin,MATCH($AB1482&amp;"."&amp;$AC1482&amp;".co",NCEfKey,0)),0)</f>
        <v>119.5699377852</v>
      </c>
      <c r="AU1482" s="3" t="str">
        <f>INDEX('Constants and Mappings'!$J$186:$J$201,MATCH($C1482,SubKey,0))</f>
        <v>road</v>
      </c>
      <c r="AV1482" s="3">
        <f>INDEX('Constants and Mappings'!$K$186:$K$201,MATCH($C1482,SubKey,0))</f>
        <v>1.0</v>
      </c>
      <c r="AW1482" s="3" t="str">
        <f>INDEX('Constants and Mappings'!$L$186:$L$201,MATCH($C1482,SubKey,0))&amp;""</f>
        <v/>
      </c>
      <c r="AX1482" s="3">
        <f>INDEX('Constants and Mappings'!$M$186:$M$201,MATCH($C1482,SubKey,0))</f>
        <v>0.0</v>
      </c>
      <c r="AY1482" s="3" t="n">
        <v>7328.942890599129</v>
      </c>
      <c r="AZ1482" s="3" t="n">
        <v>0</v>
      </c>
      <c r="BA1482" s="3" t="n">
        <v>7328.942890599129</v>
      </c>
      <c r="BB1482" s="3" t="n">
        <v>0</v>
      </c>
      <c r="BC1482" s="3" t="n">
        <v>0</v>
      </c>
      <c r="BD1482" s="3">
        <f>IFERROR($BB1482/$BC1482,0)</f>
        <v>0.0</v>
      </c>
      <c r="BE1482" s="133" t="n">
        <v>1</v>
      </c>
      <c r="BF1482" s="39" t="n">
        <v>1</v>
      </c>
    </row>
    <row r="1483">
      <c r="A1483" s="3" t="str">
        <f>$B1483&amp;"|"&amp;$C1483</f>
        <v>die|rod</v>
      </c>
      <c r="B1483" s="8" t="inlineStr">
        <is>
          <t>die</t>
        </is>
      </c>
      <c r="C1483" s="8" t="inlineStr">
        <is>
          <t>rod</t>
        </is>
      </c>
      <c r="D1483" s="3" t="str">
        <f>INDEX('Constants and Mappings'!$D$186:$D$201,MATCH($C1483,SubKey,0))</f>
        <v>tra</v>
      </c>
      <c r="E1483" s="3" t="str">
        <f>INDEX('Constants and Mappings'!$C$229:$C$237,MATCH($B1483,FuelKey,0))</f>
        <v>die</v>
      </c>
      <c r="F1483" s="3" t="str">
        <f>INDEX('Constants and Mappings'!$D$229:$D$237,MATCH($B1483,FuelKey,0))</f>
        <v>oil</v>
      </c>
      <c r="G1483" s="3" t="str">
        <f>INDEX('Constants and Mappings'!$E$229:$E$237,MATCH($B1483,FuelKey,0))</f>
        <v>all</v>
      </c>
      <c r="H1483" s="3" t="str">
        <f>INDEX('Constants and Mappings'!$F$186:$F$201,MATCH($C1483,SubKey,0))</f>
        <v>res</v>
      </c>
      <c r="I1483" s="3" t="str">
        <f>INDEX('Constants and Mappings'!$I$229:$I$237,MATCH($B1483,FuelKey,0))&amp;"."&amp;IF($G1483="sub",$H1483,"all")</f>
        <v>die.all</v>
      </c>
      <c r="J1483" s="3" t="str">
        <f>INDEX('Constants and Mappings'!$E$186:$E$201,MATCH($C1483,SubKey,0))</f>
        <v>rod</v>
      </c>
      <c r="K1483" s="3">
        <f>INDEX('Constants and Mappings'!$G$229:$G$237,MATCH($B1483,FuelKey,0))</f>
        <v>0.03729519000000001</v>
      </c>
      <c r="L1483" s="3">
        <f>INDEX('Constants and Mappings'!$H$229:$H$237,MATCH($B1483,FuelKey,0))</f>
        <v>4.0</v>
      </c>
      <c r="M1483" s="3">
        <f>INDEX('Constants and Mappings'!$H$186:$H$201,MATCH($C1483,SubKey,0))</f>
        <v>2.0</v>
      </c>
      <c r="N1483" s="3">
        <f>INDEX('Constants and Mappings'!$E$300:$E$313,MATCH($I1483,'Constants and Mappings'!$A$300:$A$313,0))</f>
        <v>10.0</v>
      </c>
      <c r="O1483" s="48">
        <f>INDEX(ElaSel,MATCH("inc|"&amp;$E1483&amp;"|"&amp;$D1483,ElaSelKey,0))</f>
        <v>0.6</v>
      </c>
      <c r="P1483" s="48">
        <f>INDEX(ElaSel,MATCH("usg|"&amp;$E1483&amp;"|"&amp;$D1483,ElaSelKey,0))</f>
        <v>-0.3</v>
      </c>
      <c r="Q1483" s="48">
        <f>INDEX(ElaSel,MATCH("eff|"&amp;$E1483&amp;"|"&amp;$D1483,ElaSelKey,0))</f>
        <v>-0.3</v>
      </c>
      <c r="R1483" s="225">
        <f>INDEX(ElaSel,MATCH("aei|"&amp;$F1483&amp;"|"&amp;$D1483,ElaSelKey,0))</f>
        <v>0.01</v>
      </c>
      <c r="S1483" s="133" t="n">
        <v>1</v>
      </c>
      <c r="T1483" s="48">
        <f>$Q1483*(1+$P1483)</f>
        <v>-0.21</v>
      </c>
      <c r="U1483" s="3">
        <f>INDEX('Constants and Mappings'!$E$1633:$E$1644,MATCH($I1483,'Constants and Mappings'!$A$1633:$A$1644,0))</f>
        <v>196.0</v>
      </c>
      <c r="V1483" s="225">
        <f>INDEX('Constants and Mappings'!$V$1633:$V$1644,MATCH($I1483,'Constants and Mappings'!$A$1633:$A$1644,0))</f>
        <v>0.0</v>
      </c>
      <c r="W1483" s="197">
        <f>INDEX(EFSel,MATCH($B1483&amp;"|"&amp;$J1483,EFSelKey,0))*EFCalib</f>
        <v>0.07049322251858033</v>
      </c>
      <c r="X1483" s="195">
        <f>IF(LEFT(BalOpt,3)="Bal",$AY1483*$AV1483+$AZ1483*$AX1483,$BA1483)</f>
        <v>10089.05169337568</v>
      </c>
      <c r="Y1483" s="3" t="str">
        <f>IF($G1483="sub",$H1483,IF($B1483="oop","ind","trs"))</f>
        <v>trs</v>
      </c>
      <c r="Z1483" s="39">
        <f>IFERROR(MATCH($Y1483&amp;"|"&amp;$B1483,XKey,0),1)</f>
        <v>14.0</v>
      </c>
      <c r="AA1483" s="48">
        <f>INDEX(XCTVal,$Z1483,ECPEmb)+INDEX(XETSVal,$Z1483,ECPEmb)</f>
        <v>0.0</v>
      </c>
      <c r="AB1483" s="8" t="inlineStr">
        <is>
          <t>rod</t>
        </is>
      </c>
      <c r="AC1483" s="8" t="inlineStr">
        <is>
          <t>die</t>
        </is>
      </c>
      <c r="AD1483" s="197">
        <f>IFERROR(INDEX(NCEfIn,MATCH($AB1483&amp;"."&amp;$AC1483&amp;".ch4",NCEfKey,0)),0)</f>
        <v>0.6458557680000001</v>
      </c>
      <c r="AE1483" s="197">
        <f>IFERROR(INDEX(NCEfFin,MATCH($AB1483&amp;"."&amp;$AC1483&amp;".ch4",NCEfKey,0)),0)</f>
        <v>0.6134541228</v>
      </c>
      <c r="AF1483" s="3" t="n">
        <v>2</v>
      </c>
      <c r="AG1483" s="197">
        <f>IFERROR(INDEX(NCEfIn,MATCH($AB1483&amp;"."&amp;$AC1483&amp;".pm2",NCEfKey,0)),0)</f>
        <v>4.446134578800001</v>
      </c>
      <c r="AH1483" s="197">
        <f>IFERROR(INDEX(NCEfFin,MATCH($AB1483&amp;"."&amp;$AC1483&amp;".pm2",NCEfKey,0)),0)</f>
        <v>4.441943592</v>
      </c>
      <c r="AI1483" s="197">
        <f>IFERROR(INDEX(NCEfIn,MATCH($AB1483&amp;"."&amp;$AC1483&amp;".nox",NCEfKey,0)),0)</f>
        <v>39.75231366360001</v>
      </c>
      <c r="AJ1483" s="197">
        <f>IFERROR(INDEX(NCEfFin,MATCH($AB1483&amp;"."&amp;$AC1483&amp;".nox",NCEfKey,0)),0)</f>
        <v>38.19025626480001</v>
      </c>
      <c r="AK1483" s="197">
        <f>IFERROR(INDEX(NCEfIn,MATCH($AB1483&amp;"."&amp;$AC1483&amp;".so2",NCEfKey,0)),0)</f>
        <v>0.8866177020000001</v>
      </c>
      <c r="AL1483" s="197">
        <f>IFERROR(INDEX(NCEfFin,MATCH($AB1483&amp;"."&amp;$AC1483&amp;".so2",NCEfKey,0)),0)</f>
        <v>0.0630490212</v>
      </c>
      <c r="AM1483" s="197">
        <f>IFERROR(INDEX(NCEfIn,MATCH($AB1483&amp;"."&amp;$AC1483&amp;".voc",NCEfKey,0)),0)</f>
        <v>4.427126506800001</v>
      </c>
      <c r="AN1483" s="197">
        <f>IFERROR(INDEX(NCEfFin,MATCH($AB1483&amp;"."&amp;$AC1483&amp;".voc",NCEfKey,0)),0)</f>
        <v>4.226901170400001</v>
      </c>
      <c r="AO1483" s="197">
        <f>IFERROR(INDEX(NCEfIn,MATCH($AB1483&amp;"."&amp;$AC1483&amp;".bc",NCEfKey,0)),0)</f>
        <v>2.27667717</v>
      </c>
      <c r="AP1483" s="197">
        <f>IFERROR(INDEX(NCEfFin,MATCH($AB1483&amp;"."&amp;$AC1483&amp;".bc",NCEfKey,0)),0)</f>
        <v>2.2675248252</v>
      </c>
      <c r="AQ1483" s="197">
        <f>IFERROR(INDEX(NCEfIn,MATCH($AB1483&amp;"."&amp;$AC1483&amp;".oc",NCEfKey,0)),0)</f>
        <v>1.5881034816</v>
      </c>
      <c r="AR1483" s="197">
        <f>IFERROR(INDEX(NCEfFin,MATCH($AB1483&amp;"."&amp;$AC1483&amp;".oc",NCEfKey,0)),0)</f>
        <v>1.5828239268</v>
      </c>
      <c r="AS1483" s="197">
        <f>IFERROR(INDEX(NCEfIn,MATCH($AB1483&amp;"."&amp;$AC1483&amp;".co",NCEfKey,0)),0)</f>
        <v>32.454964098</v>
      </c>
      <c r="AT1483" s="197">
        <f>IFERROR(INDEX(NCEfFin,MATCH($AB1483&amp;"."&amp;$AC1483&amp;".co",NCEfKey,0)),0)</f>
        <v>31.0344163524</v>
      </c>
      <c r="AU1483" s="3" t="str">
        <f>INDEX('Constants and Mappings'!$J$186:$J$201,MATCH($C1483,SubKey,0))</f>
        <v>road</v>
      </c>
      <c r="AV1483" s="3">
        <f>INDEX('Constants and Mappings'!$K$186:$K$201,MATCH($C1483,SubKey,0))</f>
        <v>1.0</v>
      </c>
      <c r="AW1483" s="3" t="str">
        <f>INDEX('Constants and Mappings'!$L$186:$L$201,MATCH($C1483,SubKey,0))&amp;""</f>
        <v/>
      </c>
      <c r="AX1483" s="3">
        <f>INDEX('Constants and Mappings'!$M$186:$M$201,MATCH($C1483,SubKey,0))</f>
        <v>0.0</v>
      </c>
      <c r="AY1483" s="3" t="n">
        <v>10089.05169337568</v>
      </c>
      <c r="AZ1483" s="3" t="n">
        <v>0</v>
      </c>
      <c r="BA1483" s="3" t="n">
        <v>10089.05169337568</v>
      </c>
      <c r="BB1483" s="3" t="n">
        <v>0</v>
      </c>
      <c r="BC1483" s="3" t="n">
        <v>0</v>
      </c>
      <c r="BD1483" s="3">
        <f>IFERROR($BB1483/$BC1483,0)</f>
        <v>0.0</v>
      </c>
      <c r="BE1483" s="133" t="n">
        <v>1</v>
      </c>
      <c r="BF1483" s="39" t="n">
        <v>1</v>
      </c>
    </row>
    <row r="1484">
      <c r="A1484" s="3" t="str">
        <f>$B1484&amp;"|"&amp;$C1484</f>
        <v>lpg|rod</v>
      </c>
      <c r="B1484" s="8" t="inlineStr">
        <is>
          <t>lpg</t>
        </is>
      </c>
      <c r="C1484" s="8" t="inlineStr">
        <is>
          <t>rod</t>
        </is>
      </c>
      <c r="D1484" s="3" t="str">
        <f>INDEX('Constants and Mappings'!$D$186:$D$201,MATCH($C1484,SubKey,0))</f>
        <v>tra</v>
      </c>
      <c r="E1484" s="3" t="str">
        <f>INDEX('Constants and Mappings'!$C$229:$C$237,MATCH($B1484,FuelKey,0))</f>
        <v>oil</v>
      </c>
      <c r="F1484" s="3" t="str">
        <f>INDEX('Constants and Mappings'!$D$229:$D$237,MATCH($B1484,FuelKey,0))</f>
        <v>oil</v>
      </c>
      <c r="G1484" s="3" t="str">
        <f>INDEX('Constants and Mappings'!$E$229:$E$237,MATCH($B1484,FuelKey,0))</f>
        <v>all</v>
      </c>
      <c r="H1484" s="3" t="str">
        <f>INDEX('Constants and Mappings'!$F$186:$F$201,MATCH($C1484,SubKey,0))</f>
        <v>res</v>
      </c>
      <c r="I1484" s="3" t="str">
        <f>INDEX('Constants and Mappings'!$I$229:$I$237,MATCH($B1484,FuelKey,0))&amp;"."&amp;IF($G1484="sub",$H1484,"all")</f>
        <v>lpg.all</v>
      </c>
      <c r="J1484" s="3" t="str">
        <f>INDEX('Constants and Mappings'!$E$186:$E$201,MATCH($C1484,SubKey,0))</f>
        <v>rod</v>
      </c>
      <c r="K1484" s="3">
        <f>INDEX('Constants and Mappings'!$G$229:$G$237,MATCH($B1484,FuelKey,0))</f>
        <v>0.02577968854495125</v>
      </c>
      <c r="L1484" s="3">
        <f>INDEX('Constants and Mappings'!$H$229:$H$237,MATCH($B1484,FuelKey,0))</f>
        <v>5.0</v>
      </c>
      <c r="M1484" s="3">
        <f>INDEX('Constants and Mappings'!$H$186:$H$201,MATCH($C1484,SubKey,0))</f>
        <v>2.0</v>
      </c>
      <c r="N1484" s="3">
        <f>INDEX('Constants and Mappings'!$E$300:$E$313,MATCH($I1484,'Constants and Mappings'!$A$300:$A$313,0))</f>
        <v>11.0</v>
      </c>
      <c r="O1484" s="48">
        <f>INDEX(ElaSel,MATCH("inc|"&amp;$E1484&amp;"|"&amp;$D1484,ElaSelKey,0))</f>
        <v>0.8</v>
      </c>
      <c r="P1484" s="48">
        <f>INDEX(ElaSel,MATCH("usg|"&amp;$E1484&amp;"|"&amp;$D1484,ElaSelKey,0))</f>
        <v>-0.3</v>
      </c>
      <c r="Q1484" s="48">
        <f>INDEX(ElaSel,MATCH("eff|"&amp;$E1484&amp;"|"&amp;$D1484,ElaSelKey,0))</f>
        <v>-0.4</v>
      </c>
      <c r="R1484" s="225">
        <f>INDEX(ElaSel,MATCH("aei|"&amp;$F1484&amp;"|"&amp;$D1484,ElaSelKey,0))</f>
        <v>0.01</v>
      </c>
      <c r="S1484" s="133" t="n">
        <v>1</v>
      </c>
      <c r="T1484" s="48">
        <f>$Q1484*(1+$P1484)</f>
        <v>-0.27999999999999997</v>
      </c>
      <c r="U1484" s="3">
        <f>INDEX('Constants and Mappings'!$E$1633:$E$1644,MATCH($I1484,'Constants and Mappings'!$A$1633:$A$1644,0))</f>
        <v>225.0</v>
      </c>
      <c r="V1484" s="225">
        <f>INDEX('Constants and Mappings'!$V$1633:$V$1644,MATCH($I1484,'Constants and Mappings'!$A$1633:$A$1644,0))</f>
        <v>0.0</v>
      </c>
      <c r="W1484" s="197">
        <f>INDEX(EFSel,MATCH($B1484&amp;"|"&amp;$J1484,EFSelKey,0))*EFCalib</f>
        <v>0.06829407370213687</v>
      </c>
      <c r="X1484" s="195">
        <f>IF(LEFT(BalOpt,3)="Bal",$AY1484*$AV1484+$AZ1484*$AX1484,$BA1484)</f>
        <v>0.0</v>
      </c>
      <c r="Y1484" s="3" t="str">
        <f>IF($G1484="sub",$H1484,IF($B1484="oop","ind","trs"))</f>
        <v>trs</v>
      </c>
      <c r="Z1484" s="39">
        <f>IFERROR(MATCH($Y1484&amp;"|"&amp;$B1484,XKey,0),1)</f>
        <v>15.0</v>
      </c>
      <c r="AA1484" s="48">
        <f>INDEX(XCTVal,$Z1484,ECPEmb)+INDEX(XETSVal,$Z1484,ECPEmb)</f>
        <v>0.0</v>
      </c>
      <c r="AB1484" s="8" t="inlineStr">
        <is>
          <t>rod</t>
        </is>
      </c>
      <c r="AC1484" s="8" t="inlineStr">
        <is>
          <t>lpg</t>
        </is>
      </c>
      <c r="AD1484" s="197">
        <f>IFERROR(INDEX(NCEfIn,MATCH($AB1484&amp;"."&amp;$AC1484&amp;".ch4",NCEfKey,0)),0)</f>
        <v>1.1160292212</v>
      </c>
      <c r="AE1484" s="197">
        <f>IFERROR(INDEX(NCEfFin,MATCH($AB1484&amp;"."&amp;$AC1484&amp;".ch4",NCEfKey,0)),0)</f>
        <v>1.027985004</v>
      </c>
      <c r="AF1484" s="3" t="n">
        <v>3</v>
      </c>
      <c r="AG1484" s="197">
        <f>IFERROR(INDEX(NCEfIn,MATCH($AB1484&amp;"."&amp;$AC1484&amp;".pm2",NCEfKey,0)),0)</f>
        <v>0.041868</v>
      </c>
      <c r="AH1484" s="197">
        <f>IFERROR(INDEX(NCEfFin,MATCH($AB1484&amp;"."&amp;$AC1484&amp;".pm2",NCEfKey,0)),0)</f>
        <v>0.0194769936</v>
      </c>
      <c r="AI1484" s="197">
        <f>IFERROR(INDEX(NCEfIn,MATCH($AB1484&amp;"."&amp;$AC1484&amp;".nox",NCEfKey,0)),0)</f>
        <v>10.1736351108</v>
      </c>
      <c r="AJ1484" s="197">
        <f>IFERROR(INDEX(NCEfFin,MATCH($AB1484&amp;"."&amp;$AC1484&amp;".nox",NCEfKey,0)),0)</f>
        <v>3.7666085652</v>
      </c>
      <c r="AK1484" s="197">
        <f>IFERROR(INDEX(NCEfIn,MATCH($AB1484&amp;"."&amp;$AC1484&amp;".so2",NCEfKey,0)),0)</f>
        <v>0.0</v>
      </c>
      <c r="AL1484" s="197">
        <f>IFERROR(INDEX(NCEfFin,MATCH($AB1484&amp;"."&amp;$AC1484&amp;".so2",NCEfKey,0)),0)</f>
        <v>0.0</v>
      </c>
      <c r="AM1484" s="197">
        <f>IFERROR(INDEX(NCEfIn,MATCH($AB1484&amp;"."&amp;$AC1484&amp;".voc",NCEfKey,0)),0)</f>
        <v>8.560582488000001</v>
      </c>
      <c r="AN1484" s="197">
        <f>IFERROR(INDEX(NCEfFin,MATCH($AB1484&amp;"."&amp;$AC1484&amp;".voc",NCEfKey,0)),0)</f>
        <v>3.2021148816</v>
      </c>
      <c r="AO1484" s="197">
        <f>IFERROR(INDEX(NCEfIn,MATCH($AB1484&amp;"."&amp;$AC1484&amp;".bc",NCEfKey,0)),0)</f>
        <v>0.0105004944</v>
      </c>
      <c r="AP1484" s="197">
        <f>IFERROR(INDEX(NCEfFin,MATCH($AB1484&amp;"."&amp;$AC1484&amp;".bc",NCEfKey,0)),0)</f>
        <v>0.007565547600000001</v>
      </c>
      <c r="AQ1484" s="197">
        <f>IFERROR(INDEX(NCEfIn,MATCH($AB1484&amp;"."&amp;$AC1484&amp;".oc",NCEfKey,0)),0)</f>
        <v>0.0205823088</v>
      </c>
      <c r="AR1484" s="197">
        <f>IFERROR(INDEX(NCEfFin,MATCH($AB1484&amp;"."&amp;$AC1484&amp;".oc",NCEfKey,0)),0)</f>
        <v>0.0076869648</v>
      </c>
      <c r="AS1484" s="197">
        <f>IFERROR(INDEX(NCEfIn,MATCH($AB1484&amp;"."&amp;$AC1484&amp;".co",NCEfKey,0)),0)</f>
        <v>21.6075221424</v>
      </c>
      <c r="AT1484" s="197">
        <f>IFERROR(INDEX(NCEfFin,MATCH($AB1484&amp;"."&amp;$AC1484&amp;".co",NCEfKey,0)),0)</f>
        <v>10.4833368936</v>
      </c>
      <c r="AU1484" s="3" t="str">
        <f>INDEX('Constants and Mappings'!$J$186:$J$201,MATCH($C1484,SubKey,0))</f>
        <v>road</v>
      </c>
      <c r="AV1484" s="3">
        <f>INDEX('Constants and Mappings'!$K$186:$K$201,MATCH($C1484,SubKey,0))</f>
        <v>1.0</v>
      </c>
      <c r="AW1484" s="3" t="str">
        <f>INDEX('Constants and Mappings'!$L$186:$L$201,MATCH($C1484,SubKey,0))&amp;""</f>
        <v/>
      </c>
      <c r="AX1484" s="3">
        <f>INDEX('Constants and Mappings'!$M$186:$M$201,MATCH($C1484,SubKey,0))</f>
        <v>0.0</v>
      </c>
      <c r="AY1484" s="3" t="n">
        <v>0</v>
      </c>
      <c r="AZ1484" s="3" t="n">
        <v>0</v>
      </c>
      <c r="BA1484" s="3" t="n">
        <v>0</v>
      </c>
      <c r="BB1484" s="3" t="n">
        <v>0</v>
      </c>
      <c r="BC1484" s="3" t="n">
        <v>0</v>
      </c>
      <c r="BD1484" s="3">
        <f>IFERROR($BB1484/$BC1484,0)</f>
        <v>0.0</v>
      </c>
      <c r="BE1484" s="133" t="n">
        <v>1</v>
      </c>
      <c r="BF1484" s="39" t="n">
        <v>1</v>
      </c>
    </row>
    <row r="1485">
      <c r="A1485" s="3" t="str">
        <f>$B1485&amp;"|"&amp;$C1485</f>
        <v>ker|rod</v>
      </c>
      <c r="B1485" s="8" t="inlineStr">
        <is>
          <t>ker</t>
        </is>
      </c>
      <c r="C1485" s="8" t="inlineStr">
        <is>
          <t>rod</t>
        </is>
      </c>
      <c r="D1485" s="3" t="str">
        <f>INDEX('Constants and Mappings'!$D$186:$D$201,MATCH($C1485,SubKey,0))</f>
        <v>tra</v>
      </c>
      <c r="E1485" s="3" t="str">
        <f>INDEX('Constants and Mappings'!$C$229:$C$237,MATCH($B1485,FuelKey,0))</f>
        <v>oil</v>
      </c>
      <c r="F1485" s="3" t="str">
        <f>INDEX('Constants and Mappings'!$D$229:$D$237,MATCH($B1485,FuelKey,0))</f>
        <v>oil</v>
      </c>
      <c r="G1485" s="3" t="str">
        <f>INDEX('Constants and Mappings'!$E$229:$E$237,MATCH($B1485,FuelKey,0))</f>
        <v>all</v>
      </c>
      <c r="H1485" s="3" t="str">
        <f>INDEX('Constants and Mappings'!$F$186:$F$201,MATCH($C1485,SubKey,0))</f>
        <v>res</v>
      </c>
      <c r="I1485" s="3" t="str">
        <f>INDEX('Constants and Mappings'!$I$229:$I$237,MATCH($B1485,FuelKey,0))&amp;"."&amp;IF($G1485="sub",$H1485,"all")</f>
        <v>ker.all</v>
      </c>
      <c r="J1485" s="3" t="str">
        <f>INDEX('Constants and Mappings'!$E$186:$E$201,MATCH($C1485,SubKey,0))</f>
        <v>rod</v>
      </c>
      <c r="K1485" s="3">
        <f>INDEX('Constants and Mappings'!$G$229:$G$237,MATCH($B1485,FuelKey,0))</f>
        <v>0.03774882965510715</v>
      </c>
      <c r="L1485" s="3">
        <f>INDEX('Constants and Mappings'!$H$229:$H$237,MATCH($B1485,FuelKey,0))</f>
        <v>6.0</v>
      </c>
      <c r="M1485" s="3">
        <f>INDEX('Constants and Mappings'!$H$186:$H$201,MATCH($C1485,SubKey,0))</f>
        <v>2.0</v>
      </c>
      <c r="N1485" s="3">
        <f>INDEX('Constants and Mappings'!$E$300:$E$313,MATCH($I1485,'Constants and Mappings'!$A$300:$A$313,0))</f>
        <v>12.0</v>
      </c>
      <c r="O1485" s="48">
        <f>INDEX(ElaSel,MATCH("inc|"&amp;$E1485&amp;"|"&amp;$D1485,ElaSelKey,0))</f>
        <v>0.8</v>
      </c>
      <c r="P1485" s="48">
        <f>INDEX(ElaSel,MATCH("usg|"&amp;$E1485&amp;"|"&amp;$D1485,ElaSelKey,0))</f>
        <v>-0.3</v>
      </c>
      <c r="Q1485" s="48">
        <f>INDEX(ElaSel,MATCH("eff|"&amp;$E1485&amp;"|"&amp;$D1485,ElaSelKey,0))</f>
        <v>-0.4</v>
      </c>
      <c r="R1485" s="225">
        <f>INDEX(ElaSel,MATCH("aei|"&amp;$F1485&amp;"|"&amp;$D1485,ElaSelKey,0))</f>
        <v>0.01</v>
      </c>
      <c r="S1485" s="133" t="n">
        <v>1</v>
      </c>
      <c r="T1485" s="48">
        <f>$Q1485*(1+$P1485)</f>
        <v>-0.27999999999999997</v>
      </c>
      <c r="U1485" s="3">
        <f>INDEX('Constants and Mappings'!$E$1633:$E$1644,MATCH($I1485,'Constants and Mappings'!$A$1633:$A$1644,0))</f>
        <v>254.0</v>
      </c>
      <c r="V1485" s="225">
        <f>INDEX('Constants and Mappings'!$V$1633:$V$1644,MATCH($I1485,'Constants and Mappings'!$A$1633:$A$1644,0))</f>
        <v>0.0</v>
      </c>
      <c r="W1485" s="197">
        <f>INDEX(EFSel,MATCH($B1485&amp;"|"&amp;$J1485,EFSelKey,0))*EFCalib</f>
        <v>0.06824927438265298</v>
      </c>
      <c r="X1485" s="195">
        <f>IF(LEFT(BalOpt,3)="Bal",$AY1485*$AV1485+$AZ1485*$AX1485,$BA1485)</f>
        <v>0.0</v>
      </c>
      <c r="Y1485" s="3" t="str">
        <f>IF($G1485="sub",$H1485,IF($B1485="oop","ind","trs"))</f>
        <v>trs</v>
      </c>
      <c r="Z1485" s="39">
        <f>IFERROR(MATCH($Y1485&amp;"|"&amp;$B1485,XKey,0),1)</f>
        <v>16.0</v>
      </c>
      <c r="AA1485" s="48">
        <f>INDEX(XCTVal,$Z1485,ECPEmb)+INDEX(XETSVal,$Z1485,ECPEmb)</f>
        <v>0.0</v>
      </c>
      <c r="AB1485" s="8" t="inlineStr">
        <is>
          <t>rod</t>
        </is>
      </c>
      <c r="AC1485" s="8" t="inlineStr">
        <is>
          <t>ker</t>
        </is>
      </c>
      <c r="AD1485" s="197">
        <f>IFERROR(INDEX(NCEfIn,MATCH($AB1485&amp;"."&amp;$AC1485&amp;".ch4",NCEfKey,0)),0)</f>
        <v>0.0</v>
      </c>
      <c r="AE1485" s="197">
        <f>IFERROR(INDEX(NCEfFin,MATCH($AB1485&amp;"."&amp;$AC1485&amp;".ch4",NCEfKey,0)),0)</f>
        <v>0.0</v>
      </c>
      <c r="AF1485" s="3" t="n">
        <v>0</v>
      </c>
      <c r="AG1485" s="197">
        <f>IFERROR(INDEX(NCEfIn,MATCH($AB1485&amp;"."&amp;$AC1485&amp;".pm2",NCEfKey,0)),0)</f>
        <v>0.0</v>
      </c>
      <c r="AH1485" s="197">
        <f>IFERROR(INDEX(NCEfFin,MATCH($AB1485&amp;"."&amp;$AC1485&amp;".pm2",NCEfKey,0)),0)</f>
        <v>0.0</v>
      </c>
      <c r="AI1485" s="197">
        <f>IFERROR(INDEX(NCEfIn,MATCH($AB1485&amp;"."&amp;$AC1485&amp;".nox",NCEfKey,0)),0)</f>
        <v>0.0</v>
      </c>
      <c r="AJ1485" s="197">
        <f>IFERROR(INDEX(NCEfFin,MATCH($AB1485&amp;"."&amp;$AC1485&amp;".nox",NCEfKey,0)),0)</f>
        <v>0.0</v>
      </c>
      <c r="AK1485" s="197">
        <f>IFERROR(INDEX(NCEfIn,MATCH($AB1485&amp;"."&amp;$AC1485&amp;".so2",NCEfKey,0)),0)</f>
        <v>0.0</v>
      </c>
      <c r="AL1485" s="197">
        <f>IFERROR(INDEX(NCEfFin,MATCH($AB1485&amp;"."&amp;$AC1485&amp;".so2",NCEfKey,0)),0)</f>
        <v>0.0</v>
      </c>
      <c r="AM1485" s="197">
        <f>IFERROR(INDEX(NCEfIn,MATCH($AB1485&amp;"."&amp;$AC1485&amp;".voc",NCEfKey,0)),0)</f>
        <v>0.0</v>
      </c>
      <c r="AN1485" s="197">
        <f>IFERROR(INDEX(NCEfFin,MATCH($AB1485&amp;"."&amp;$AC1485&amp;".voc",NCEfKey,0)),0)</f>
        <v>0.0</v>
      </c>
      <c r="AO1485" s="197">
        <f>IFERROR(INDEX(NCEfIn,MATCH($AB1485&amp;"."&amp;$AC1485&amp;".bc",NCEfKey,0)),0)</f>
        <v>0.0</v>
      </c>
      <c r="AP1485" s="197">
        <f>IFERROR(INDEX(NCEfFin,MATCH($AB1485&amp;"."&amp;$AC1485&amp;".bc",NCEfKey,0)),0)</f>
        <v>0.0</v>
      </c>
      <c r="AQ1485" s="197">
        <f>IFERROR(INDEX(NCEfIn,MATCH($AB1485&amp;"."&amp;$AC1485&amp;".oc",NCEfKey,0)),0)</f>
        <v>0.0</v>
      </c>
      <c r="AR1485" s="197">
        <f>IFERROR(INDEX(NCEfFin,MATCH($AB1485&amp;"."&amp;$AC1485&amp;".oc",NCEfKey,0)),0)</f>
        <v>0.0</v>
      </c>
      <c r="AS1485" s="197">
        <f>IFERROR(INDEX(NCEfIn,MATCH($AB1485&amp;"."&amp;$AC1485&amp;".co",NCEfKey,0)),0)</f>
        <v>0.0</v>
      </c>
      <c r="AT1485" s="197">
        <f>IFERROR(INDEX(NCEfFin,MATCH($AB1485&amp;"."&amp;$AC1485&amp;".co",NCEfKey,0)),0)</f>
        <v>0.0</v>
      </c>
      <c r="AU1485" s="3" t="str">
        <f>INDEX('Constants and Mappings'!$J$186:$J$201,MATCH($C1485,SubKey,0))</f>
        <v>road</v>
      </c>
      <c r="AV1485" s="3">
        <f>INDEX('Constants and Mappings'!$K$186:$K$201,MATCH($C1485,SubKey,0))</f>
        <v>1.0</v>
      </c>
      <c r="AW1485" s="3" t="str">
        <f>INDEX('Constants and Mappings'!$L$186:$L$201,MATCH($C1485,SubKey,0))&amp;""</f>
        <v/>
      </c>
      <c r="AX1485" s="3">
        <f>INDEX('Constants and Mappings'!$M$186:$M$201,MATCH($C1485,SubKey,0))</f>
        <v>0.0</v>
      </c>
      <c r="AY1485" s="3" t="n">
        <v>0</v>
      </c>
      <c r="AZ1485" s="3" t="n">
        <v>0</v>
      </c>
      <c r="BA1485" s="3" t="n">
        <v>0</v>
      </c>
      <c r="BB1485" s="3" t="n">
        <v>0</v>
      </c>
      <c r="BC1485" s="3" t="n">
        <v>0</v>
      </c>
      <c r="BD1485" s="3">
        <f>IFERROR($BB1485/$BC1485,0)</f>
        <v>0.0</v>
      </c>
      <c r="BE1485" s="133" t="n">
        <v>1</v>
      </c>
      <c r="BF1485" s="39" t="n">
        <v>1</v>
      </c>
    </row>
    <row r="1486">
      <c r="A1486" s="3" t="str">
        <f>$B1486&amp;"|"&amp;$C1486</f>
        <v>jfu|rod</v>
      </c>
      <c r="B1486" s="8" t="inlineStr">
        <is>
          <t>jfu</t>
        </is>
      </c>
      <c r="C1486" s="8" t="inlineStr">
        <is>
          <t>rod</t>
        </is>
      </c>
      <c r="D1486" s="3" t="str">
        <f>INDEX('Constants and Mappings'!$D$186:$D$201,MATCH($C1486,SubKey,0))</f>
        <v>tra</v>
      </c>
      <c r="E1486" s="3" t="str">
        <f>INDEX('Constants and Mappings'!$C$229:$C$237,MATCH($B1486,FuelKey,0))</f>
        <v>oil</v>
      </c>
      <c r="F1486" s="3" t="str">
        <f>INDEX('Constants and Mappings'!$D$229:$D$237,MATCH($B1486,FuelKey,0))</f>
        <v>oil</v>
      </c>
      <c r="G1486" s="3" t="str">
        <f>INDEX('Constants and Mappings'!$E$229:$E$237,MATCH($B1486,FuelKey,0))</f>
        <v>all</v>
      </c>
      <c r="H1486" s="3" t="str">
        <f>INDEX('Constants and Mappings'!$F$186:$F$201,MATCH($C1486,SubKey,0))</f>
        <v>res</v>
      </c>
      <c r="I1486" s="3" t="str">
        <f>INDEX('Constants and Mappings'!$I$229:$I$237,MATCH($B1486,FuelKey,0))&amp;"."&amp;IF($G1486="sub",$H1486,"all")</f>
        <v>ker.all</v>
      </c>
      <c r="J1486" s="3" t="str">
        <f>INDEX('Constants and Mappings'!$E$186:$E$201,MATCH($C1486,SubKey,0))</f>
        <v>rod</v>
      </c>
      <c r="K1486" s="3">
        <f>INDEX('Constants and Mappings'!$G$229:$G$237,MATCH($B1486,FuelKey,0))</f>
        <v>0.0348608</v>
      </c>
      <c r="L1486" s="3">
        <f>INDEX('Constants and Mappings'!$H$229:$H$237,MATCH($B1486,FuelKey,0))</f>
        <v>7.0</v>
      </c>
      <c r="M1486" s="3">
        <f>INDEX('Constants and Mappings'!$H$186:$H$201,MATCH($C1486,SubKey,0))</f>
        <v>2.0</v>
      </c>
      <c r="N1486" s="3">
        <f>INDEX('Constants and Mappings'!$E$300:$E$313,MATCH($I1486,'Constants and Mappings'!$A$300:$A$313,0))</f>
        <v>12.0</v>
      </c>
      <c r="O1486" s="48">
        <f>INDEX(ElaSel,MATCH("inc|"&amp;$E1486&amp;"|"&amp;$D1486,ElaSelKey,0))</f>
        <v>0.8</v>
      </c>
      <c r="P1486" s="48">
        <f>INDEX(ElaSel,MATCH("usg|"&amp;$E1486&amp;"|"&amp;$D1486,ElaSelKey,0))</f>
        <v>-0.3</v>
      </c>
      <c r="Q1486" s="48">
        <f>INDEX(ElaSel,MATCH("eff|"&amp;$E1486&amp;"|"&amp;$D1486,ElaSelKey,0))</f>
        <v>-0.4</v>
      </c>
      <c r="R1486" s="225">
        <f>INDEX(ElaSel,MATCH("aei|"&amp;$F1486&amp;"|"&amp;$D1486,ElaSelKey,0))</f>
        <v>0.01</v>
      </c>
      <c r="S1486" s="133" t="n">
        <v>1</v>
      </c>
      <c r="T1486" s="48">
        <f>$Q1486*(1+$P1486)</f>
        <v>-0.27999999999999997</v>
      </c>
      <c r="U1486" s="3">
        <f>INDEX('Constants and Mappings'!$E$1633:$E$1644,MATCH($I1486,'Constants and Mappings'!$A$1633:$A$1644,0))</f>
        <v>254.0</v>
      </c>
      <c r="V1486" s="225">
        <f>INDEX('Constants and Mappings'!$V$1633:$V$1644,MATCH($I1486,'Constants and Mappings'!$A$1633:$A$1644,0))</f>
        <v>0.0</v>
      </c>
      <c r="W1486" s="197">
        <f>INDEX(EFSel,MATCH($B1486&amp;"|"&amp;$J1486,EFSelKey,0))*EFCalib</f>
        <v>0.07118114095776658</v>
      </c>
      <c r="X1486" s="195">
        <f>IF(LEFT(BalOpt,3)="Bal",$AY1486*$AV1486+$AZ1486*$AX1486,$BA1486)</f>
        <v>0.0</v>
      </c>
      <c r="Y1486" s="3" t="str">
        <f>IF($G1486="sub",$H1486,IF($B1486="oop","ind","trs"))</f>
        <v>trs</v>
      </c>
      <c r="Z1486" s="39">
        <f>IFERROR(MATCH($Y1486&amp;"|"&amp;$B1486,XKey,0),1)</f>
        <v>17.0</v>
      </c>
      <c r="AA1486" s="48">
        <f>INDEX(XCTVal,$Z1486,ECPEmb)+INDEX(XETSVal,$Z1486,ECPEmb)</f>
        <v>0.0</v>
      </c>
      <c r="AB1486" s="8" t="inlineStr">
        <is>
          <t>rod</t>
        </is>
      </c>
      <c r="AC1486" s="8" t="inlineStr">
        <is>
          <t>jfu</t>
        </is>
      </c>
      <c r="AD1486" s="197">
        <f>IFERROR(INDEX(NCEfIn,MATCH($AB1486&amp;"."&amp;$AC1486&amp;".ch4",NCEfKey,0)),0)</f>
        <v>0.0</v>
      </c>
      <c r="AE1486" s="197">
        <f>IFERROR(INDEX(NCEfFin,MATCH($AB1486&amp;"."&amp;$AC1486&amp;".ch4",NCEfKey,0)),0)</f>
        <v>0.0</v>
      </c>
      <c r="AF1486" s="3" t="n">
        <v>0</v>
      </c>
      <c r="AG1486" s="197">
        <f>IFERROR(INDEX(NCEfIn,MATCH($AB1486&amp;"."&amp;$AC1486&amp;".pm2",NCEfKey,0)),0)</f>
        <v>0.0</v>
      </c>
      <c r="AH1486" s="197">
        <f>IFERROR(INDEX(NCEfFin,MATCH($AB1486&amp;"."&amp;$AC1486&amp;".pm2",NCEfKey,0)),0)</f>
        <v>0.0</v>
      </c>
      <c r="AI1486" s="197">
        <f>IFERROR(INDEX(NCEfIn,MATCH($AB1486&amp;"."&amp;$AC1486&amp;".nox",NCEfKey,0)),0)</f>
        <v>0.0</v>
      </c>
      <c r="AJ1486" s="197">
        <f>IFERROR(INDEX(NCEfFin,MATCH($AB1486&amp;"."&amp;$AC1486&amp;".nox",NCEfKey,0)),0)</f>
        <v>0.0</v>
      </c>
      <c r="AK1486" s="197">
        <f>IFERROR(INDEX(NCEfIn,MATCH($AB1486&amp;"."&amp;$AC1486&amp;".so2",NCEfKey,0)),0)</f>
        <v>0.0</v>
      </c>
      <c r="AL1486" s="197">
        <f>IFERROR(INDEX(NCEfFin,MATCH($AB1486&amp;"."&amp;$AC1486&amp;".so2",NCEfKey,0)),0)</f>
        <v>0.0</v>
      </c>
      <c r="AM1486" s="197">
        <f>IFERROR(INDEX(NCEfIn,MATCH($AB1486&amp;"."&amp;$AC1486&amp;".voc",NCEfKey,0)),0)</f>
        <v>0.0</v>
      </c>
      <c r="AN1486" s="197">
        <f>IFERROR(INDEX(NCEfFin,MATCH($AB1486&amp;"."&amp;$AC1486&amp;".voc",NCEfKey,0)),0)</f>
        <v>0.0</v>
      </c>
      <c r="AO1486" s="197">
        <f>IFERROR(INDEX(NCEfIn,MATCH($AB1486&amp;"."&amp;$AC1486&amp;".bc",NCEfKey,0)),0)</f>
        <v>0.0</v>
      </c>
      <c r="AP1486" s="197">
        <f>IFERROR(INDEX(NCEfFin,MATCH($AB1486&amp;"."&amp;$AC1486&amp;".bc",NCEfKey,0)),0)</f>
        <v>0.0</v>
      </c>
      <c r="AQ1486" s="197">
        <f>IFERROR(INDEX(NCEfIn,MATCH($AB1486&amp;"."&amp;$AC1486&amp;".oc",NCEfKey,0)),0)</f>
        <v>0.0</v>
      </c>
      <c r="AR1486" s="197">
        <f>IFERROR(INDEX(NCEfFin,MATCH($AB1486&amp;"."&amp;$AC1486&amp;".oc",NCEfKey,0)),0)</f>
        <v>0.0</v>
      </c>
      <c r="AS1486" s="197">
        <f>IFERROR(INDEX(NCEfIn,MATCH($AB1486&amp;"."&amp;$AC1486&amp;".co",NCEfKey,0)),0)</f>
        <v>0.0</v>
      </c>
      <c r="AT1486" s="197">
        <f>IFERROR(INDEX(NCEfFin,MATCH($AB1486&amp;"."&amp;$AC1486&amp;".co",NCEfKey,0)),0)</f>
        <v>0.0</v>
      </c>
      <c r="AU1486" s="3" t="str">
        <f>INDEX('Constants and Mappings'!$J$186:$J$201,MATCH($C1486,SubKey,0))</f>
        <v>road</v>
      </c>
      <c r="AV1486" s="3">
        <f>INDEX('Constants and Mappings'!$K$186:$K$201,MATCH($C1486,SubKey,0))</f>
        <v>1.0</v>
      </c>
      <c r="AW1486" s="3" t="str">
        <f>INDEX('Constants and Mappings'!$L$186:$L$201,MATCH($C1486,SubKey,0))&amp;""</f>
        <v/>
      </c>
      <c r="AX1486" s="3">
        <f>INDEX('Constants and Mappings'!$M$186:$M$201,MATCH($C1486,SubKey,0))</f>
        <v>0.0</v>
      </c>
      <c r="AY1486" s="3" t="n">
        <v>0</v>
      </c>
      <c r="AZ1486" s="3" t="n">
        <v>0</v>
      </c>
      <c r="BA1486" s="3" t="n">
        <v>0</v>
      </c>
      <c r="BB1486" s="3" t="n">
        <v>0</v>
      </c>
      <c r="BC1486" s="3" t="n">
        <v>0</v>
      </c>
      <c r="BD1486" s="3">
        <f>IFERROR($BB1486/$BC1486,0)</f>
        <v>0.0</v>
      </c>
      <c r="BE1486" s="133" t="n">
        <v>1</v>
      </c>
      <c r="BF1486" s="39" t="n">
        <v>1</v>
      </c>
    </row>
    <row r="1487">
      <c r="A1487" s="3" t="str">
        <f>$B1487&amp;"|"&amp;$C1487</f>
        <v>oop|rod</v>
      </c>
      <c r="B1487" s="8" t="inlineStr">
        <is>
          <t>oop</t>
        </is>
      </c>
      <c r="C1487" s="8" t="inlineStr">
        <is>
          <t>rod</t>
        </is>
      </c>
      <c r="D1487" s="3" t="str">
        <f>INDEX('Constants and Mappings'!$D$186:$D$201,MATCH($C1487,SubKey,0))</f>
        <v>tra</v>
      </c>
      <c r="E1487" s="3" t="str">
        <f>INDEX('Constants and Mappings'!$C$229:$C$237,MATCH($B1487,FuelKey,0))</f>
        <v>oil</v>
      </c>
      <c r="F1487" s="3" t="str">
        <f>INDEX('Constants and Mappings'!$D$229:$D$237,MATCH($B1487,FuelKey,0))</f>
        <v>oil</v>
      </c>
      <c r="G1487" s="3" t="str">
        <f>INDEX('Constants and Mappings'!$E$229:$E$237,MATCH($B1487,FuelKey,0))</f>
        <v>all</v>
      </c>
      <c r="H1487" s="3" t="str">
        <f>INDEX('Constants and Mappings'!$F$186:$F$201,MATCH($C1487,SubKey,0))</f>
        <v>res</v>
      </c>
      <c r="I1487" s="3" t="str">
        <f>INDEX('Constants and Mappings'!$I$229:$I$237,MATCH($B1487,FuelKey,0))&amp;"."&amp;IF($G1487="sub",$H1487,"all")</f>
        <v>oop.all</v>
      </c>
      <c r="J1487" s="3" t="str">
        <f>INDEX('Constants and Mappings'!$E$186:$E$201,MATCH($C1487,SubKey,0))</f>
        <v>rod</v>
      </c>
      <c r="K1487" s="3">
        <f>INDEX('Constants and Mappings'!$G$229:$G$237,MATCH($B1487,FuelKey,0))</f>
        <v>6.12</v>
      </c>
      <c r="L1487" s="3">
        <f>INDEX('Constants and Mappings'!$H$229:$H$237,MATCH($B1487,FuelKey,0))</f>
        <v>8.0</v>
      </c>
      <c r="M1487" s="3">
        <f>INDEX('Constants and Mappings'!$H$186:$H$201,MATCH($C1487,SubKey,0))</f>
        <v>2.0</v>
      </c>
      <c r="N1487" s="3">
        <f>INDEX('Constants and Mappings'!$E$300:$E$313,MATCH($I1487,'Constants and Mappings'!$A$300:$A$313,0))</f>
        <v>13.0</v>
      </c>
      <c r="O1487" s="48">
        <f>INDEX(ElaSel,MATCH("inc|"&amp;$E1487&amp;"|"&amp;$D1487,ElaSelKey,0))</f>
        <v>0.8</v>
      </c>
      <c r="P1487" s="48">
        <f>INDEX(ElaSel,MATCH("usg|"&amp;$E1487&amp;"|"&amp;$D1487,ElaSelKey,0))</f>
        <v>-0.3</v>
      </c>
      <c r="Q1487" s="48">
        <f>INDEX(ElaSel,MATCH("eff|"&amp;$E1487&amp;"|"&amp;$D1487,ElaSelKey,0))</f>
        <v>-0.4</v>
      </c>
      <c r="R1487" s="225">
        <f>INDEX(ElaSel,MATCH("aei|"&amp;$F1487&amp;"|"&amp;$D1487,ElaSelKey,0))</f>
        <v>0.01</v>
      </c>
      <c r="S1487" s="133" t="n">
        <v>1</v>
      </c>
      <c r="T1487" s="48">
        <f>$Q1487*(1+$P1487)</f>
        <v>-0.27999999999999997</v>
      </c>
      <c r="U1487" s="3">
        <f>INDEX('Constants and Mappings'!$E$1633:$E$1644,MATCH($I1487,'Constants and Mappings'!$A$1633:$A$1644,0))</f>
        <v>283.0</v>
      </c>
      <c r="V1487" s="225">
        <f>INDEX('Constants and Mappings'!$V$1633:$V$1644,MATCH($I1487,'Constants and Mappings'!$A$1633:$A$1644,0))</f>
        <v>0.0</v>
      </c>
      <c r="W1487" s="197">
        <f>INDEX(EFSel,MATCH($B1487&amp;"|"&amp;$J1487,EFSelKey,0))*EFCalib</f>
        <v>0.07049322251858033</v>
      </c>
      <c r="X1487" s="195">
        <f>IF(LEFT(BalOpt,3)="Bal",$AY1487*$AV1487+$AZ1487*$AX1487,$BA1487)</f>
        <v>0.0</v>
      </c>
      <c r="Y1487" s="3" t="str">
        <f>IF($G1487="sub",$H1487,IF($B1487="oop","ind","trs"))</f>
        <v>ind</v>
      </c>
      <c r="Z1487" s="39">
        <f>IFERROR(MATCH($Y1487&amp;"|"&amp;$B1487,XKey,0),1)</f>
        <v>36.0</v>
      </c>
      <c r="AA1487" s="48">
        <f>INDEX(XCTVal,$Z1487,ECPEmb)+INDEX(XETSVal,$Z1487,ECPEmb)</f>
        <v>0.0</v>
      </c>
      <c r="AB1487" s="8" t="inlineStr">
        <is>
          <t>rod</t>
        </is>
      </c>
      <c r="AC1487" s="8" t="inlineStr">
        <is>
          <t>oop</t>
        </is>
      </c>
      <c r="AD1487" s="197">
        <f>IFERROR(INDEX(NCEfIn,MATCH($AB1487&amp;"."&amp;$AC1487&amp;".ch4",NCEfKey,0)),0)</f>
        <v>0.0</v>
      </c>
      <c r="AE1487" s="197">
        <f>IFERROR(INDEX(NCEfFin,MATCH($AB1487&amp;"."&amp;$AC1487&amp;".ch4",NCEfKey,0)),0)</f>
        <v>0.0</v>
      </c>
      <c r="AF1487" s="3" t="n">
        <v>0</v>
      </c>
      <c r="AG1487" s="197">
        <f>IFERROR(INDEX(NCEfIn,MATCH($AB1487&amp;"."&amp;$AC1487&amp;".pm2",NCEfKey,0)),0)</f>
        <v>0.0</v>
      </c>
      <c r="AH1487" s="197">
        <f>IFERROR(INDEX(NCEfFin,MATCH($AB1487&amp;"."&amp;$AC1487&amp;".pm2",NCEfKey,0)),0)</f>
        <v>0.0</v>
      </c>
      <c r="AI1487" s="197">
        <f>IFERROR(INDEX(NCEfIn,MATCH($AB1487&amp;"."&amp;$AC1487&amp;".nox",NCEfKey,0)),0)</f>
        <v>0.0</v>
      </c>
      <c r="AJ1487" s="197">
        <f>IFERROR(INDEX(NCEfFin,MATCH($AB1487&amp;"."&amp;$AC1487&amp;".nox",NCEfKey,0)),0)</f>
        <v>0.0</v>
      </c>
      <c r="AK1487" s="197">
        <f>IFERROR(INDEX(NCEfIn,MATCH($AB1487&amp;"."&amp;$AC1487&amp;".so2",NCEfKey,0)),0)</f>
        <v>0.0</v>
      </c>
      <c r="AL1487" s="197">
        <f>IFERROR(INDEX(NCEfFin,MATCH($AB1487&amp;"."&amp;$AC1487&amp;".so2",NCEfKey,0)),0)</f>
        <v>0.0</v>
      </c>
      <c r="AM1487" s="197">
        <f>IFERROR(INDEX(NCEfIn,MATCH($AB1487&amp;"."&amp;$AC1487&amp;".voc",NCEfKey,0)),0)</f>
        <v>0.0</v>
      </c>
      <c r="AN1487" s="197">
        <f>IFERROR(INDEX(NCEfFin,MATCH($AB1487&amp;"."&amp;$AC1487&amp;".voc",NCEfKey,0)),0)</f>
        <v>0.0</v>
      </c>
      <c r="AO1487" s="197">
        <f>IFERROR(INDEX(NCEfIn,MATCH($AB1487&amp;"."&amp;$AC1487&amp;".bc",NCEfKey,0)),0)</f>
        <v>0.0</v>
      </c>
      <c r="AP1487" s="197">
        <f>IFERROR(INDEX(NCEfFin,MATCH($AB1487&amp;"."&amp;$AC1487&amp;".bc",NCEfKey,0)),0)</f>
        <v>0.0</v>
      </c>
      <c r="AQ1487" s="197">
        <f>IFERROR(INDEX(NCEfIn,MATCH($AB1487&amp;"."&amp;$AC1487&amp;".oc",NCEfKey,0)),0)</f>
        <v>0.0</v>
      </c>
      <c r="AR1487" s="197">
        <f>IFERROR(INDEX(NCEfFin,MATCH($AB1487&amp;"."&amp;$AC1487&amp;".oc",NCEfKey,0)),0)</f>
        <v>0.0</v>
      </c>
      <c r="AS1487" s="197">
        <f>IFERROR(INDEX(NCEfIn,MATCH($AB1487&amp;"."&amp;$AC1487&amp;".co",NCEfKey,0)),0)</f>
        <v>0.0</v>
      </c>
      <c r="AT1487" s="197">
        <f>IFERROR(INDEX(NCEfFin,MATCH($AB1487&amp;"."&amp;$AC1487&amp;".co",NCEfKey,0)),0)</f>
        <v>0.0</v>
      </c>
      <c r="AU1487" s="3" t="str">
        <f>INDEX('Constants and Mappings'!$J$186:$J$201,MATCH($C1487,SubKey,0))</f>
        <v>road</v>
      </c>
      <c r="AV1487" s="3">
        <f>INDEX('Constants and Mappings'!$K$186:$K$201,MATCH($C1487,SubKey,0))</f>
        <v>1.0</v>
      </c>
      <c r="AW1487" s="3" t="str">
        <f>INDEX('Constants and Mappings'!$L$186:$L$201,MATCH($C1487,SubKey,0))&amp;""</f>
        <v/>
      </c>
      <c r="AX1487" s="3">
        <f>INDEX('Constants and Mappings'!$M$186:$M$201,MATCH($C1487,SubKey,0))</f>
        <v>0.0</v>
      </c>
      <c r="AY1487" s="3" t="n">
        <v>0</v>
      </c>
      <c r="AZ1487" s="3" t="n">
        <v>0</v>
      </c>
      <c r="BA1487" s="3" t="n">
        <v>0</v>
      </c>
      <c r="BB1487" s="3" t="n">
        <v>0</v>
      </c>
      <c r="BC1487" s="3" t="n">
        <v>0</v>
      </c>
      <c r="BD1487" s="3">
        <f>IFERROR($BB1487/$BC1487,0)</f>
        <v>0.0</v>
      </c>
      <c r="BE1487" s="133" t="n">
        <v>1</v>
      </c>
      <c r="BF1487" s="39" t="n">
        <v>1</v>
      </c>
    </row>
    <row r="1488">
      <c r="A1488" s="3" t="str">
        <f>$B1488&amp;"|"&amp;$C1488</f>
        <v>bio|rod</v>
      </c>
      <c r="B1488" s="8" t="inlineStr">
        <is>
          <t>bio</t>
        </is>
      </c>
      <c r="C1488" s="8" t="inlineStr">
        <is>
          <t>rod</t>
        </is>
      </c>
      <c r="D1488" s="3" t="str">
        <f>INDEX('Constants and Mappings'!$D$186:$D$201,MATCH($C1488,SubKey,0))</f>
        <v>tra</v>
      </c>
      <c r="E1488" s="3" t="str">
        <f>INDEX('Constants and Mappings'!$C$229:$C$237,MATCH($B1488,FuelKey,0))</f>
        <v>bio</v>
      </c>
      <c r="F1488" s="3" t="str">
        <f>INDEX('Constants and Mappings'!$D$229:$D$237,MATCH($B1488,FuelKey,0))</f>
        <v>bio</v>
      </c>
      <c r="G1488" s="3" t="str">
        <f>INDEX('Constants and Mappings'!$E$229:$E$237,MATCH($B1488,FuelKey,0))</f>
        <v>all</v>
      </c>
      <c r="H1488" s="3" t="str">
        <f>INDEX('Constants and Mappings'!$F$186:$F$201,MATCH($C1488,SubKey,0))</f>
        <v>res</v>
      </c>
      <c r="I1488" s="3" t="str">
        <f>INDEX('Constants and Mappings'!$I$229:$I$237,MATCH($B1488,FuelKey,0))&amp;"."&amp;IF($G1488="sub",$H1488,"all")</f>
        <v>bio.all</v>
      </c>
      <c r="J1488" s="3" t="str">
        <f>INDEX('Constants and Mappings'!$E$186:$E$201,MATCH($C1488,SubKey,0))</f>
        <v>rod</v>
      </c>
      <c r="K1488" s="3">
        <f>INDEX('Constants and Mappings'!$G$229:$G$237,MATCH($B1488,FuelKey,0))</f>
        <v>1.0</v>
      </c>
      <c r="L1488" s="3">
        <f>INDEX('Constants and Mappings'!$H$229:$H$237,MATCH($B1488,FuelKey,0))</f>
        <v>9.0</v>
      </c>
      <c r="M1488" s="3">
        <f>INDEX('Constants and Mappings'!$H$186:$H$201,MATCH($C1488,SubKey,0))</f>
        <v>2.0</v>
      </c>
      <c r="N1488" s="3">
        <f>INDEX('Constants and Mappings'!$E$300:$E$313,MATCH($I1488,'Constants and Mappings'!$A$300:$A$313,0))</f>
        <v>14.0</v>
      </c>
      <c r="O1488" s="48">
        <f>INDEX(ElaSel,MATCH("inc|"&amp;$E1488&amp;"|"&amp;$D1488,ElaSelKey,0))</f>
        <v>0.0</v>
      </c>
      <c r="P1488" s="48">
        <f>INDEX(ElaSel,MATCH("usg|"&amp;$E1488&amp;"|"&amp;$D1488,ElaSelKey,0))</f>
        <v>-0.3</v>
      </c>
      <c r="Q1488" s="48">
        <f>INDEX(ElaSel,MATCH("eff|"&amp;$E1488&amp;"|"&amp;$D1488,ElaSelKey,0))</f>
        <v>-0.2</v>
      </c>
      <c r="R1488" s="225">
        <f>INDEX(ElaSel,MATCH("aei|"&amp;$F1488&amp;"|"&amp;$D1488,ElaSelKey,0))</f>
        <v>0.01</v>
      </c>
      <c r="S1488" s="133" t="n">
        <v>1</v>
      </c>
      <c r="T1488" s="48">
        <f>$Q1488*(1+$P1488)</f>
        <v>-0.13999999999999999</v>
      </c>
      <c r="U1488" s="3">
        <f>INDEX('Constants and Mappings'!$E$1633:$E$1644,MATCH($I1488,'Constants and Mappings'!$A$1633:$A$1644,0))</f>
        <v>312.0</v>
      </c>
      <c r="V1488" s="225">
        <f>INDEX('Constants and Mappings'!$V$1633:$V$1644,MATCH($I1488,'Constants and Mappings'!$A$1633:$A$1644,0))</f>
        <v>0.0</v>
      </c>
      <c r="W1488" s="197">
        <f>INDEX(EFSel,MATCH($B1488&amp;"|"&amp;$J1488,EFSelKey,0))*EFCalib</f>
        <v>0.0</v>
      </c>
      <c r="X1488" s="195">
        <f>IF(LEFT(BalOpt,3)="Bal",$AY1488*$AV1488+$AZ1488*$AX1488,$BA1488)</f>
        <v>0.0</v>
      </c>
      <c r="Y1488" s="3" t="str">
        <f>IF($G1488="sub",$H1488,IF($B1488="oop","ind","trs"))</f>
        <v>trs</v>
      </c>
      <c r="Z1488" s="39">
        <f>IFERROR(MATCH($Y1488&amp;"|"&amp;$B1488,XKey,0),1)</f>
        <v>19.0</v>
      </c>
      <c r="AA1488" s="48">
        <f>INDEX(XCTVal,$Z1488,ECPEmb)+INDEX(XETSVal,$Z1488,ECPEmb)</f>
        <v>0.0</v>
      </c>
      <c r="AB1488" s="8" t="inlineStr">
        <is>
          <t>rod</t>
        </is>
      </c>
      <c r="AC1488" s="8" t="inlineStr">
        <is>
          <t>bio</t>
        </is>
      </c>
      <c r="AD1488" s="197">
        <f>IFERROR(INDEX(NCEfIn,MATCH($AB1488&amp;"."&amp;$AC1488&amp;".ch4",NCEfKey,0)),0)</f>
        <v>0.0</v>
      </c>
      <c r="AE1488" s="197">
        <f>IFERROR(INDEX(NCEfFin,MATCH($AB1488&amp;"."&amp;$AC1488&amp;".ch4",NCEfKey,0)),0)</f>
        <v>0.0</v>
      </c>
      <c r="AF1488" s="3" t="n">
        <v>7</v>
      </c>
      <c r="AG1488" s="197">
        <f>IFERROR(INDEX(NCEfIn,MATCH($AB1488&amp;"."&amp;$AC1488&amp;".pm2",NCEfKey,0)),0)</f>
        <v>0.0</v>
      </c>
      <c r="AH1488" s="197">
        <f>IFERROR(INDEX(NCEfFin,MATCH($AB1488&amp;"."&amp;$AC1488&amp;".pm2",NCEfKey,0)),0)</f>
        <v>0.0</v>
      </c>
      <c r="AI1488" s="197">
        <f>IFERROR(INDEX(NCEfIn,MATCH($AB1488&amp;"."&amp;$AC1488&amp;".nox",NCEfKey,0)),0)</f>
        <v>0.0</v>
      </c>
      <c r="AJ1488" s="197">
        <f>IFERROR(INDEX(NCEfFin,MATCH($AB1488&amp;"."&amp;$AC1488&amp;".nox",NCEfKey,0)),0)</f>
        <v>0.0</v>
      </c>
      <c r="AK1488" s="197">
        <f>IFERROR(INDEX(NCEfIn,MATCH($AB1488&amp;"."&amp;$AC1488&amp;".so2",NCEfKey,0)),0)</f>
        <v>0.0</v>
      </c>
      <c r="AL1488" s="197">
        <f>IFERROR(INDEX(NCEfFin,MATCH($AB1488&amp;"."&amp;$AC1488&amp;".so2",NCEfKey,0)),0)</f>
        <v>0.0</v>
      </c>
      <c r="AM1488" s="197">
        <f>IFERROR(INDEX(NCEfIn,MATCH($AB1488&amp;"."&amp;$AC1488&amp;".voc",NCEfKey,0)),0)</f>
        <v>0.0</v>
      </c>
      <c r="AN1488" s="197">
        <f>IFERROR(INDEX(NCEfFin,MATCH($AB1488&amp;"."&amp;$AC1488&amp;".voc",NCEfKey,0)),0)</f>
        <v>0.0</v>
      </c>
      <c r="AO1488" s="197">
        <f>IFERROR(INDEX(NCEfIn,MATCH($AB1488&amp;"."&amp;$AC1488&amp;".bc",NCEfKey,0)),0)</f>
        <v>0.0</v>
      </c>
      <c r="AP1488" s="197">
        <f>IFERROR(INDEX(NCEfFin,MATCH($AB1488&amp;"."&amp;$AC1488&amp;".bc",NCEfKey,0)),0)</f>
        <v>0.0</v>
      </c>
      <c r="AQ1488" s="197">
        <f>IFERROR(INDEX(NCEfIn,MATCH($AB1488&amp;"."&amp;$AC1488&amp;".oc",NCEfKey,0)),0)</f>
        <v>0.0</v>
      </c>
      <c r="AR1488" s="197">
        <f>IFERROR(INDEX(NCEfFin,MATCH($AB1488&amp;"."&amp;$AC1488&amp;".oc",NCEfKey,0)),0)</f>
        <v>0.0</v>
      </c>
      <c r="AS1488" s="197">
        <f>IFERROR(INDEX(NCEfIn,MATCH($AB1488&amp;"."&amp;$AC1488&amp;".co",NCEfKey,0)),0)</f>
        <v>0.0</v>
      </c>
      <c r="AT1488" s="197">
        <f>IFERROR(INDEX(NCEfFin,MATCH($AB1488&amp;"."&amp;$AC1488&amp;".co",NCEfKey,0)),0)</f>
        <v>0.0</v>
      </c>
      <c r="AU1488" s="3" t="str">
        <f>INDEX('Constants and Mappings'!$J$186:$J$201,MATCH($C1488,SubKey,0))</f>
        <v>road</v>
      </c>
      <c r="AV1488" s="3">
        <f>INDEX('Constants and Mappings'!$K$186:$K$201,MATCH($C1488,SubKey,0))</f>
        <v>1.0</v>
      </c>
      <c r="AW1488" s="3" t="str">
        <f>INDEX('Constants and Mappings'!$L$186:$L$201,MATCH($C1488,SubKey,0))&amp;""</f>
        <v/>
      </c>
      <c r="AX1488" s="3">
        <f>INDEX('Constants and Mappings'!$M$186:$M$201,MATCH($C1488,SubKey,0))</f>
        <v>0.0</v>
      </c>
      <c r="AY1488" s="3" t="n">
        <v>0</v>
      </c>
      <c r="AZ1488" s="3" t="n">
        <v>0</v>
      </c>
      <c r="BA1488" s="3" t="n">
        <v>0</v>
      </c>
      <c r="BB1488" s="3" t="n">
        <v>0</v>
      </c>
      <c r="BC1488" s="3" t="n">
        <v>0</v>
      </c>
      <c r="BD1488" s="3">
        <f>IFERROR($BB1488/$BC1488,0)</f>
        <v>0.0</v>
      </c>
      <c r="BE1488" s="133" t="n">
        <v>1</v>
      </c>
      <c r="BF1488" s="39" t="n">
        <v>1</v>
      </c>
    </row>
    <row r="1489">
      <c r="A1489" s="3" t="str">
        <f>$B1489&amp;"|"&amp;$C1489</f>
        <v>coa|ral</v>
      </c>
      <c r="B1489" s="8" t="inlineStr">
        <is>
          <t>coa</t>
        </is>
      </c>
      <c r="C1489" s="8" t="inlineStr">
        <is>
          <t>ral</t>
        </is>
      </c>
      <c r="D1489" s="3" t="str">
        <f>INDEX('Constants and Mappings'!$D$186:$D$201,MATCH($C1489,SubKey,0))</f>
        <v>tra</v>
      </c>
      <c r="E1489" s="3" t="str">
        <f>INDEX('Constants and Mappings'!$C$229:$C$237,MATCH($B1489,FuelKey,0))</f>
        <v>coa</v>
      </c>
      <c r="F1489" s="3" t="str">
        <f>INDEX('Constants and Mappings'!$D$229:$D$237,MATCH($B1489,FuelKey,0))</f>
        <v>coa</v>
      </c>
      <c r="G1489" s="3" t="str">
        <f>INDEX('Constants and Mappings'!$E$229:$E$237,MATCH($B1489,FuelKey,0))</f>
        <v>sub</v>
      </c>
      <c r="H1489" s="3" t="str">
        <f>INDEX('Constants and Mappings'!$F$186:$F$201,MATCH($C1489,SubKey,0))</f>
        <v>ind</v>
      </c>
      <c r="I1489" s="3" t="str">
        <f>INDEX('Constants and Mappings'!$I$229:$I$237,MATCH($B1489,FuelKey,0))&amp;"."&amp;IF($G1489="sub",$H1489,"all")</f>
        <v>coa.ind</v>
      </c>
      <c r="J1489" s="3" t="str">
        <f>INDEX('Constants and Mappings'!$E$186:$E$201,MATCH($C1489,SubKey,0))</f>
        <v>rod</v>
      </c>
      <c r="K1489" s="3">
        <f>INDEX('Constants and Mappings'!$G$229:$G$237,MATCH($B1489,FuelKey,0))</f>
        <v>1.0</v>
      </c>
      <c r="L1489" s="3">
        <f>INDEX('Constants and Mappings'!$H$229:$H$237,MATCH($B1489,FuelKey,0))</f>
        <v>1.0</v>
      </c>
      <c r="M1489" s="3">
        <f>INDEX('Constants and Mappings'!$H$186:$H$201,MATCH($C1489,SubKey,0))</f>
        <v>3.0</v>
      </c>
      <c r="N1489" s="3">
        <f>INDEX('Constants and Mappings'!$E$300:$E$313,MATCH($I1489,'Constants and Mappings'!$A$300:$A$313,0))</f>
        <v>3.0</v>
      </c>
      <c r="O1489" s="48">
        <f>INDEX(ElaSel,MATCH("inc|"&amp;$E1489&amp;"|"&amp;$D1489,ElaSelKey,0))</f>
        <v>0.0</v>
      </c>
      <c r="P1489" s="48">
        <f>INDEX(ElaSel,MATCH("usg|"&amp;$E1489&amp;"|"&amp;$D1489,ElaSelKey,0))</f>
        <v>-0.3</v>
      </c>
      <c r="Q1489" s="48">
        <f>INDEX(ElaSel,MATCH("eff|"&amp;$E1489&amp;"|"&amp;$D1489,ElaSelKey,0))</f>
        <v>-0.4</v>
      </c>
      <c r="R1489" s="225">
        <f>INDEX(ElaSel,MATCH("aei|"&amp;$F1489&amp;"|"&amp;$D1489,ElaSelKey,0))</f>
        <v>0.01</v>
      </c>
      <c r="S1489" s="133" t="n">
        <v>1</v>
      </c>
      <c r="T1489" s="48">
        <f>$Q1489*(1+$P1489)</f>
        <v>-0.27999999999999997</v>
      </c>
      <c r="U1489" s="3">
        <f>INDEX('Constants and Mappings'!$E$1633:$E$1644,MATCH($I1489,'Constants and Mappings'!$A$1633:$A$1644,0))</f>
        <v>55.0</v>
      </c>
      <c r="V1489" s="225">
        <f>INDEX('Constants and Mappings'!$V$1633:$V$1644,MATCH($I1489,'Constants and Mappings'!$A$1633:$A$1644,0))</f>
        <v>0.0</v>
      </c>
      <c r="W1489" s="197">
        <f>INDEX(EFSel,MATCH($B1489&amp;"|"&amp;$J1489,EFSelKey,0))*EFCalib</f>
        <v>0.09388742715307763</v>
      </c>
      <c r="X1489" s="195">
        <f>IF(LEFT(BalOpt,3)="Bal",$AY1489*$AV1489+$AZ1489*$AX1489,$BA1489)</f>
        <v>0.0</v>
      </c>
      <c r="Y1489" s="3" t="str">
        <f>IF($G1489="sub",$H1489,IF($B1489="oop","ind","trs"))</f>
        <v>ind</v>
      </c>
      <c r="Z1489" s="39">
        <f>IFERROR(MATCH($Y1489&amp;"|"&amp;$B1489,XKey,0),1)</f>
        <v>29.0</v>
      </c>
      <c r="AA1489" s="48">
        <f>INDEX(XCTVal,$Z1489,ECPEmb)+INDEX(XETSVal,$Z1489,ECPEmb)</f>
        <v>0.0</v>
      </c>
      <c r="AB1489" s="8" t="inlineStr">
        <is>
          <t>ral</t>
        </is>
      </c>
      <c r="AC1489" s="8" t="inlineStr">
        <is>
          <t>coa</t>
        </is>
      </c>
      <c r="AD1489" s="197">
        <f>IFERROR(INDEX(NCEfIn,MATCH($AB1489&amp;"."&amp;$AC1489&amp;".ch4",NCEfKey,0)),0)</f>
        <v>0.0</v>
      </c>
      <c r="AE1489" s="197">
        <f>IFERROR(INDEX(NCEfFin,MATCH($AB1489&amp;"."&amp;$AC1489&amp;".ch4",NCEfKey,0)),0)</f>
        <v>0.0</v>
      </c>
      <c r="AF1489" s="3" t="n">
        <v>0</v>
      </c>
      <c r="AG1489" s="197">
        <f>IFERROR(INDEX(NCEfIn,MATCH($AB1489&amp;"."&amp;$AC1489&amp;".pm2",NCEfKey,0)),0)</f>
        <v>0.0</v>
      </c>
      <c r="AH1489" s="197">
        <f>IFERROR(INDEX(NCEfFin,MATCH($AB1489&amp;"."&amp;$AC1489&amp;".pm2",NCEfKey,0)),0)</f>
        <v>0.0</v>
      </c>
      <c r="AI1489" s="197">
        <f>IFERROR(INDEX(NCEfIn,MATCH($AB1489&amp;"."&amp;$AC1489&amp;".nox",NCEfKey,0)),0)</f>
        <v>0.0</v>
      </c>
      <c r="AJ1489" s="197">
        <f>IFERROR(INDEX(NCEfFin,MATCH($AB1489&amp;"."&amp;$AC1489&amp;".nox",NCEfKey,0)),0)</f>
        <v>0.0</v>
      </c>
      <c r="AK1489" s="197">
        <f>IFERROR(INDEX(NCEfIn,MATCH($AB1489&amp;"."&amp;$AC1489&amp;".so2",NCEfKey,0)),0)</f>
        <v>0.0</v>
      </c>
      <c r="AL1489" s="197">
        <f>IFERROR(INDEX(NCEfFin,MATCH($AB1489&amp;"."&amp;$AC1489&amp;".so2",NCEfKey,0)),0)</f>
        <v>0.0</v>
      </c>
      <c r="AM1489" s="197">
        <f>IFERROR(INDEX(NCEfIn,MATCH($AB1489&amp;"."&amp;$AC1489&amp;".voc",NCEfKey,0)),0)</f>
        <v>0.0</v>
      </c>
      <c r="AN1489" s="197">
        <f>IFERROR(INDEX(NCEfFin,MATCH($AB1489&amp;"."&amp;$AC1489&amp;".voc",NCEfKey,0)),0)</f>
        <v>0.0</v>
      </c>
      <c r="AO1489" s="197">
        <f>IFERROR(INDEX(NCEfIn,MATCH($AB1489&amp;"."&amp;$AC1489&amp;".bc",NCEfKey,0)),0)</f>
        <v>0.0</v>
      </c>
      <c r="AP1489" s="197">
        <f>IFERROR(INDEX(NCEfFin,MATCH($AB1489&amp;"."&amp;$AC1489&amp;".bc",NCEfKey,0)),0)</f>
        <v>0.0</v>
      </c>
      <c r="AQ1489" s="197">
        <f>IFERROR(INDEX(NCEfIn,MATCH($AB1489&amp;"."&amp;$AC1489&amp;".oc",NCEfKey,0)),0)</f>
        <v>0.0</v>
      </c>
      <c r="AR1489" s="197">
        <f>IFERROR(INDEX(NCEfFin,MATCH($AB1489&amp;"."&amp;$AC1489&amp;".oc",NCEfKey,0)),0)</f>
        <v>0.0</v>
      </c>
      <c r="AS1489" s="197">
        <f>IFERROR(INDEX(NCEfIn,MATCH($AB1489&amp;"."&amp;$AC1489&amp;".co",NCEfKey,0)),0)</f>
        <v>0.0</v>
      </c>
      <c r="AT1489" s="197">
        <f>IFERROR(INDEX(NCEfFin,MATCH($AB1489&amp;"."&amp;$AC1489&amp;".co",NCEfKey,0)),0)</f>
        <v>0.0</v>
      </c>
      <c r="AU1489" s="3" t="str">
        <f>INDEX('Constants and Mappings'!$J$186:$J$201,MATCH($C1489,SubKey,0))</f>
        <v>rail</v>
      </c>
      <c r="AV1489" s="3">
        <f>INDEX('Constants and Mappings'!$K$186:$K$201,MATCH($C1489,SubKey,0))</f>
        <v>1.0</v>
      </c>
      <c r="AW1489" s="3" t="str">
        <f>INDEX('Constants and Mappings'!$L$186:$L$201,MATCH($C1489,SubKey,0))&amp;""</f>
        <v/>
      </c>
      <c r="AX1489" s="3">
        <f>INDEX('Constants and Mappings'!$M$186:$M$201,MATCH($C1489,SubKey,0))</f>
        <v>0.0</v>
      </c>
      <c r="AY1489" s="3" t="n">
        <v>0</v>
      </c>
      <c r="AZ1489" s="3" t="n">
        <v>0</v>
      </c>
      <c r="BA1489" s="3" t="n">
        <v>0</v>
      </c>
      <c r="BB1489" s="3" t="n">
        <v>0</v>
      </c>
      <c r="BC1489" s="3" t="n">
        <v>0</v>
      </c>
      <c r="BD1489" s="3">
        <f>IFERROR($BB1489/$BC1489,0)</f>
        <v>0.0</v>
      </c>
      <c r="BE1489" s="133" t="n">
        <v>1</v>
      </c>
      <c r="BF1489" s="39" t="n">
        <v>1</v>
      </c>
    </row>
    <row r="1490">
      <c r="A1490" s="3" t="str">
        <f>$B1490&amp;"|"&amp;$C1490</f>
        <v>nga|ral</v>
      </c>
      <c r="B1490" s="8" t="inlineStr">
        <is>
          <t>nga</t>
        </is>
      </c>
      <c r="C1490" s="8" t="inlineStr">
        <is>
          <t>ral</t>
        </is>
      </c>
      <c r="D1490" s="3" t="str">
        <f>INDEX('Constants and Mappings'!$D$186:$D$201,MATCH($C1490,SubKey,0))</f>
        <v>tra</v>
      </c>
      <c r="E1490" s="3" t="str">
        <f>INDEX('Constants and Mappings'!$C$229:$C$237,MATCH($B1490,FuelKey,0))</f>
        <v>nga</v>
      </c>
      <c r="F1490" s="3" t="str">
        <f>INDEX('Constants and Mappings'!$D$229:$D$237,MATCH($B1490,FuelKey,0))</f>
        <v>nga</v>
      </c>
      <c r="G1490" s="3" t="str">
        <f>INDEX('Constants and Mappings'!$E$229:$E$237,MATCH($B1490,FuelKey,0))</f>
        <v>sub</v>
      </c>
      <c r="H1490" s="3" t="str">
        <f>INDEX('Constants and Mappings'!$F$186:$F$201,MATCH($C1490,SubKey,0))</f>
        <v>ind</v>
      </c>
      <c r="I1490" s="3" t="str">
        <f>INDEX('Constants and Mappings'!$I$229:$I$237,MATCH($B1490,FuelKey,0))&amp;"."&amp;IF($G1490="sub",$H1490,"all")</f>
        <v>nga.ind</v>
      </c>
      <c r="J1490" s="3" t="str">
        <f>INDEX('Constants and Mappings'!$E$186:$E$201,MATCH($C1490,SubKey,0))</f>
        <v>rod</v>
      </c>
      <c r="K1490" s="3">
        <f>INDEX('Constants and Mappings'!$G$229:$G$237,MATCH($B1490,FuelKey,0))</f>
        <v>1.0</v>
      </c>
      <c r="L1490" s="3">
        <f>INDEX('Constants and Mappings'!$H$229:$H$237,MATCH($B1490,FuelKey,0))</f>
        <v>2.0</v>
      </c>
      <c r="M1490" s="3">
        <f>INDEX('Constants and Mappings'!$H$186:$H$201,MATCH($C1490,SubKey,0))</f>
        <v>3.0</v>
      </c>
      <c r="N1490" s="3">
        <f>INDEX('Constants and Mappings'!$E$300:$E$313,MATCH($I1490,'Constants and Mappings'!$A$300:$A$313,0))</f>
        <v>6.0</v>
      </c>
      <c r="O1490" s="48">
        <f>INDEX(ElaSel,MATCH("inc|"&amp;$E1490&amp;"|"&amp;$D1490,ElaSelKey,0))</f>
        <v>0.5</v>
      </c>
      <c r="P1490" s="48">
        <f>INDEX(ElaSel,MATCH("usg|"&amp;$E1490&amp;"|"&amp;$D1490,ElaSelKey,0))</f>
        <v>-0.5</v>
      </c>
      <c r="Q1490" s="48">
        <f>INDEX(ElaSel,MATCH("eff|"&amp;$E1490&amp;"|"&amp;$D1490,ElaSelKey,0))</f>
        <v>-0.4</v>
      </c>
      <c r="R1490" s="225">
        <f>INDEX(ElaSel,MATCH("aei|"&amp;$F1490&amp;"|"&amp;$D1490,ElaSelKey,0))</f>
        <v>0.01</v>
      </c>
      <c r="S1490" s="133" t="n">
        <v>1</v>
      </c>
      <c r="T1490" s="48">
        <f>$Q1490*(1+$P1490)</f>
        <v>-0.2</v>
      </c>
      <c r="U1490" s="3">
        <f>INDEX('Constants and Mappings'!$E$1633:$E$1644,MATCH($I1490,'Constants and Mappings'!$A$1633:$A$1644,0))</f>
        <v>138.0</v>
      </c>
      <c r="V1490" s="225">
        <f>INDEX('Constants and Mappings'!$V$1633:$V$1644,MATCH($I1490,'Constants and Mappings'!$A$1633:$A$1644,0))</f>
        <v>0.0</v>
      </c>
      <c r="W1490" s="197">
        <f>INDEX(EFSel,MATCH($B1490&amp;"|"&amp;$J1490,EFSelKey,0))*EFCalib</f>
        <v>0.05555115616004721</v>
      </c>
      <c r="X1490" s="195">
        <f>IF(LEFT(BalOpt,3)="Bal",$AY1490*$AV1490+$AZ1490*$AX1490,$BA1490)</f>
        <v>0.0</v>
      </c>
      <c r="Y1490" s="3" t="str">
        <f>IF($G1490="sub",$H1490,IF($B1490="oop","ind","trs"))</f>
        <v>ind</v>
      </c>
      <c r="Z1490" s="39">
        <f>IFERROR(MATCH($Y1490&amp;"|"&amp;$B1490,XKey,0),1)</f>
        <v>30.0</v>
      </c>
      <c r="AA1490" s="48">
        <f>INDEX(XCTVal,$Z1490,ECPEmb)+INDEX(XETSVal,$Z1490,ECPEmb)</f>
        <v>0.0</v>
      </c>
      <c r="AB1490" s="8" t="inlineStr">
        <is>
          <t>ral</t>
        </is>
      </c>
      <c r="AC1490" s="8" t="inlineStr">
        <is>
          <t>nga</t>
        </is>
      </c>
      <c r="AD1490" s="197">
        <f>IFERROR(INDEX(NCEfIn,MATCH($AB1490&amp;"."&amp;$AC1490&amp;".ch4",NCEfKey,0)),0)</f>
        <v>0.0</v>
      </c>
      <c r="AE1490" s="197">
        <f>IFERROR(INDEX(NCEfFin,MATCH($AB1490&amp;"."&amp;$AC1490&amp;".ch4",NCEfKey,0)),0)</f>
        <v>0.0</v>
      </c>
      <c r="AF1490" s="3" t="n">
        <v>0</v>
      </c>
      <c r="AG1490" s="197">
        <f>IFERROR(INDEX(NCEfIn,MATCH($AB1490&amp;"."&amp;$AC1490&amp;".pm2",NCEfKey,0)),0)</f>
        <v>0.0</v>
      </c>
      <c r="AH1490" s="197">
        <f>IFERROR(INDEX(NCEfFin,MATCH($AB1490&amp;"."&amp;$AC1490&amp;".pm2",NCEfKey,0)),0)</f>
        <v>0.0</v>
      </c>
      <c r="AI1490" s="197">
        <f>IFERROR(INDEX(NCEfIn,MATCH($AB1490&amp;"."&amp;$AC1490&amp;".nox",NCEfKey,0)),0)</f>
        <v>0.0</v>
      </c>
      <c r="AJ1490" s="197">
        <f>IFERROR(INDEX(NCEfFin,MATCH($AB1490&amp;"."&amp;$AC1490&amp;".nox",NCEfKey,0)),0)</f>
        <v>0.0</v>
      </c>
      <c r="AK1490" s="197">
        <f>IFERROR(INDEX(NCEfIn,MATCH($AB1490&amp;"."&amp;$AC1490&amp;".so2",NCEfKey,0)),0)</f>
        <v>0.0</v>
      </c>
      <c r="AL1490" s="197">
        <f>IFERROR(INDEX(NCEfFin,MATCH($AB1490&amp;"."&amp;$AC1490&amp;".so2",NCEfKey,0)),0)</f>
        <v>0.0</v>
      </c>
      <c r="AM1490" s="197">
        <f>IFERROR(INDEX(NCEfIn,MATCH($AB1490&amp;"."&amp;$AC1490&amp;".voc",NCEfKey,0)),0)</f>
        <v>0.0</v>
      </c>
      <c r="AN1490" s="197">
        <f>IFERROR(INDEX(NCEfFin,MATCH($AB1490&amp;"."&amp;$AC1490&amp;".voc",NCEfKey,0)),0)</f>
        <v>0.0</v>
      </c>
      <c r="AO1490" s="197">
        <f>IFERROR(INDEX(NCEfIn,MATCH($AB1490&amp;"."&amp;$AC1490&amp;".bc",NCEfKey,0)),0)</f>
        <v>0.0</v>
      </c>
      <c r="AP1490" s="197">
        <f>IFERROR(INDEX(NCEfFin,MATCH($AB1490&amp;"."&amp;$AC1490&amp;".bc",NCEfKey,0)),0)</f>
        <v>0.0</v>
      </c>
      <c r="AQ1490" s="197">
        <f>IFERROR(INDEX(NCEfIn,MATCH($AB1490&amp;"."&amp;$AC1490&amp;".oc",NCEfKey,0)),0)</f>
        <v>0.0</v>
      </c>
      <c r="AR1490" s="197">
        <f>IFERROR(INDEX(NCEfFin,MATCH($AB1490&amp;"."&amp;$AC1490&amp;".oc",NCEfKey,0)),0)</f>
        <v>0.0</v>
      </c>
      <c r="AS1490" s="197">
        <f>IFERROR(INDEX(NCEfIn,MATCH($AB1490&amp;"."&amp;$AC1490&amp;".co",NCEfKey,0)),0)</f>
        <v>0.0</v>
      </c>
      <c r="AT1490" s="197">
        <f>IFERROR(INDEX(NCEfFin,MATCH($AB1490&amp;"."&amp;$AC1490&amp;".co",NCEfKey,0)),0)</f>
        <v>0.0</v>
      </c>
      <c r="AU1490" s="3" t="str">
        <f>INDEX('Constants and Mappings'!$J$186:$J$201,MATCH($C1490,SubKey,0))</f>
        <v>rail</v>
      </c>
      <c r="AV1490" s="3">
        <f>INDEX('Constants and Mappings'!$K$186:$K$201,MATCH($C1490,SubKey,0))</f>
        <v>1.0</v>
      </c>
      <c r="AW1490" s="3" t="str">
        <f>INDEX('Constants and Mappings'!$L$186:$L$201,MATCH($C1490,SubKey,0))&amp;""</f>
        <v/>
      </c>
      <c r="AX1490" s="3">
        <f>INDEX('Constants and Mappings'!$M$186:$M$201,MATCH($C1490,SubKey,0))</f>
        <v>0.0</v>
      </c>
      <c r="AY1490" s="3" t="n">
        <v>0</v>
      </c>
      <c r="AZ1490" s="3" t="n">
        <v>0</v>
      </c>
      <c r="BA1490" s="3" t="n">
        <v>0</v>
      </c>
      <c r="BB1490" s="3" t="n">
        <v>0</v>
      </c>
      <c r="BC1490" s="3" t="n">
        <v>0</v>
      </c>
      <c r="BD1490" s="3">
        <f>IFERROR($BB1490/$BC1490,0)</f>
        <v>0.0</v>
      </c>
      <c r="BE1490" s="133" t="n">
        <v>1</v>
      </c>
      <c r="BF1490" s="39" t="n">
        <v>1</v>
      </c>
    </row>
    <row r="1491">
      <c r="A1491" s="3" t="str">
        <f>$B1491&amp;"|"&amp;$C1491</f>
        <v>gso|ral</v>
      </c>
      <c r="B1491" s="8" t="inlineStr">
        <is>
          <t>gso</t>
        </is>
      </c>
      <c r="C1491" s="8" t="inlineStr">
        <is>
          <t>ral</t>
        </is>
      </c>
      <c r="D1491" s="3" t="str">
        <f>INDEX('Constants and Mappings'!$D$186:$D$201,MATCH($C1491,SubKey,0))</f>
        <v>tra</v>
      </c>
      <c r="E1491" s="3" t="str">
        <f>INDEX('Constants and Mappings'!$C$229:$C$237,MATCH($B1491,FuelKey,0))</f>
        <v>gso</v>
      </c>
      <c r="F1491" s="3" t="str">
        <f>INDEX('Constants and Mappings'!$D$229:$D$237,MATCH($B1491,FuelKey,0))</f>
        <v>oil</v>
      </c>
      <c r="G1491" s="3" t="str">
        <f>INDEX('Constants and Mappings'!$E$229:$E$237,MATCH($B1491,FuelKey,0))</f>
        <v>all</v>
      </c>
      <c r="H1491" s="3" t="str">
        <f>INDEX('Constants and Mappings'!$F$186:$F$201,MATCH($C1491,SubKey,0))</f>
        <v>ind</v>
      </c>
      <c r="I1491" s="3" t="str">
        <f>INDEX('Constants and Mappings'!$I$229:$I$237,MATCH($B1491,FuelKey,0))&amp;"."&amp;IF($G1491="sub",$H1491,"all")</f>
        <v>gso.all</v>
      </c>
      <c r="J1491" s="3" t="str">
        <f>INDEX('Constants and Mappings'!$E$186:$E$201,MATCH($C1491,SubKey,0))</f>
        <v>rod</v>
      </c>
      <c r="K1491" s="3">
        <f>INDEX('Constants and Mappings'!$G$229:$G$237,MATCH($B1491,FuelKey,0))</f>
        <v>0.03496974000000001</v>
      </c>
      <c r="L1491" s="3">
        <f>INDEX('Constants and Mappings'!$H$229:$H$237,MATCH($B1491,FuelKey,0))</f>
        <v>3.0</v>
      </c>
      <c r="M1491" s="3">
        <f>INDEX('Constants and Mappings'!$H$186:$H$201,MATCH($C1491,SubKey,0))</f>
        <v>3.0</v>
      </c>
      <c r="N1491" s="3">
        <f>INDEX('Constants and Mappings'!$E$300:$E$313,MATCH($I1491,'Constants and Mappings'!$A$300:$A$313,0))</f>
        <v>9.0</v>
      </c>
      <c r="O1491" s="48">
        <f>INDEX(ElaSel,MATCH("inc|"&amp;$E1491&amp;"|"&amp;$D1491,ElaSelKey,0))</f>
        <v>0.7</v>
      </c>
      <c r="P1491" s="48">
        <f>INDEX(ElaSel,MATCH("usg|"&amp;$E1491&amp;"|"&amp;$D1491,ElaSelKey,0))</f>
        <v>-0.4</v>
      </c>
      <c r="Q1491" s="48">
        <f>INDEX(ElaSel,MATCH("eff|"&amp;$E1491&amp;"|"&amp;$D1491,ElaSelKey,0))</f>
        <v>-0.4</v>
      </c>
      <c r="R1491" s="225">
        <f>INDEX(ElaSel,MATCH("aei|"&amp;$F1491&amp;"|"&amp;$D1491,ElaSelKey,0))</f>
        <v>0.01</v>
      </c>
      <c r="S1491" s="133" t="n">
        <v>1</v>
      </c>
      <c r="T1491" s="48">
        <f>$Q1491*(1+$P1491)</f>
        <v>-0.24</v>
      </c>
      <c r="U1491" s="3">
        <f>INDEX('Constants and Mappings'!$E$1633:$E$1644,MATCH($I1491,'Constants and Mappings'!$A$1633:$A$1644,0))</f>
        <v>167.0</v>
      </c>
      <c r="V1491" s="225">
        <f>INDEX('Constants and Mappings'!$V$1633:$V$1644,MATCH($I1491,'Constants and Mappings'!$A$1633:$A$1644,0))</f>
        <v>0.0</v>
      </c>
      <c r="W1491" s="197">
        <f>INDEX(EFSel,MATCH($B1491&amp;"|"&amp;$J1491,EFSelKey,0))*EFCalib</f>
        <v>0.0658828747734696</v>
      </c>
      <c r="X1491" s="195">
        <f>IF(LEFT(BalOpt,3)="Bal",$AY1491*$AV1491+$AZ1491*$AX1491,$BA1491)</f>
        <v>0.0</v>
      </c>
      <c r="Y1491" s="3" t="str">
        <f>IF($G1491="sub",$H1491,IF($B1491="oop","ind","trs"))</f>
        <v>trs</v>
      </c>
      <c r="Z1491" s="39">
        <f>IFERROR(MATCH($Y1491&amp;"|"&amp;$B1491,XKey,0),1)</f>
        <v>13.0</v>
      </c>
      <c r="AA1491" s="48">
        <f>INDEX(XCTVal,$Z1491,ECPEmb)+INDEX(XETSVal,$Z1491,ECPEmb)</f>
        <v>0.0</v>
      </c>
      <c r="AB1491" s="8" t="inlineStr">
        <is>
          <t>ral</t>
        </is>
      </c>
      <c r="AC1491" s="8" t="inlineStr">
        <is>
          <t>gso</t>
        </is>
      </c>
      <c r="AD1491" s="197">
        <f>IFERROR(INDEX(NCEfIn,MATCH($AB1491&amp;"."&amp;$AC1491&amp;".ch4",NCEfKey,0)),0)</f>
        <v>0.0</v>
      </c>
      <c r="AE1491" s="197">
        <f>IFERROR(INDEX(NCEfFin,MATCH($AB1491&amp;"."&amp;$AC1491&amp;".ch4",NCEfKey,0)),0)</f>
        <v>0.0</v>
      </c>
      <c r="AF1491" s="3" t="n">
        <v>0</v>
      </c>
      <c r="AG1491" s="197">
        <f>IFERROR(INDEX(NCEfIn,MATCH($AB1491&amp;"."&amp;$AC1491&amp;".pm2",NCEfKey,0)),0)</f>
        <v>0.0</v>
      </c>
      <c r="AH1491" s="197">
        <f>IFERROR(INDEX(NCEfFin,MATCH($AB1491&amp;"."&amp;$AC1491&amp;".pm2",NCEfKey,0)),0)</f>
        <v>0.0</v>
      </c>
      <c r="AI1491" s="197">
        <f>IFERROR(INDEX(NCEfIn,MATCH($AB1491&amp;"."&amp;$AC1491&amp;".nox",NCEfKey,0)),0)</f>
        <v>0.0</v>
      </c>
      <c r="AJ1491" s="197">
        <f>IFERROR(INDEX(NCEfFin,MATCH($AB1491&amp;"."&amp;$AC1491&amp;".nox",NCEfKey,0)),0)</f>
        <v>0.0</v>
      </c>
      <c r="AK1491" s="197">
        <f>IFERROR(INDEX(NCEfIn,MATCH($AB1491&amp;"."&amp;$AC1491&amp;".so2",NCEfKey,0)),0)</f>
        <v>0.0</v>
      </c>
      <c r="AL1491" s="197">
        <f>IFERROR(INDEX(NCEfFin,MATCH($AB1491&amp;"."&amp;$AC1491&amp;".so2",NCEfKey,0)),0)</f>
        <v>0.0</v>
      </c>
      <c r="AM1491" s="197">
        <f>IFERROR(INDEX(NCEfIn,MATCH($AB1491&amp;"."&amp;$AC1491&amp;".voc",NCEfKey,0)),0)</f>
        <v>0.0</v>
      </c>
      <c r="AN1491" s="197">
        <f>IFERROR(INDEX(NCEfFin,MATCH($AB1491&amp;"."&amp;$AC1491&amp;".voc",NCEfKey,0)),0)</f>
        <v>0.0</v>
      </c>
      <c r="AO1491" s="197">
        <f>IFERROR(INDEX(NCEfIn,MATCH($AB1491&amp;"."&amp;$AC1491&amp;".bc",NCEfKey,0)),0)</f>
        <v>0.0</v>
      </c>
      <c r="AP1491" s="197">
        <f>IFERROR(INDEX(NCEfFin,MATCH($AB1491&amp;"."&amp;$AC1491&amp;".bc",NCEfKey,0)),0)</f>
        <v>0.0</v>
      </c>
      <c r="AQ1491" s="197">
        <f>IFERROR(INDEX(NCEfIn,MATCH($AB1491&amp;"."&amp;$AC1491&amp;".oc",NCEfKey,0)),0)</f>
        <v>0.0</v>
      </c>
      <c r="AR1491" s="197">
        <f>IFERROR(INDEX(NCEfFin,MATCH($AB1491&amp;"."&amp;$AC1491&amp;".oc",NCEfKey,0)),0)</f>
        <v>0.0</v>
      </c>
      <c r="AS1491" s="197">
        <f>IFERROR(INDEX(NCEfIn,MATCH($AB1491&amp;"."&amp;$AC1491&amp;".co",NCEfKey,0)),0)</f>
        <v>0.0</v>
      </c>
      <c r="AT1491" s="197">
        <f>IFERROR(INDEX(NCEfFin,MATCH($AB1491&amp;"."&amp;$AC1491&amp;".co",NCEfKey,0)),0)</f>
        <v>0.0</v>
      </c>
      <c r="AU1491" s="3" t="str">
        <f>INDEX('Constants and Mappings'!$J$186:$J$201,MATCH($C1491,SubKey,0))</f>
        <v>rail</v>
      </c>
      <c r="AV1491" s="3">
        <f>INDEX('Constants and Mappings'!$K$186:$K$201,MATCH($C1491,SubKey,0))</f>
        <v>1.0</v>
      </c>
      <c r="AW1491" s="3" t="str">
        <f>INDEX('Constants and Mappings'!$L$186:$L$201,MATCH($C1491,SubKey,0))&amp;""</f>
        <v/>
      </c>
      <c r="AX1491" s="3">
        <f>INDEX('Constants and Mappings'!$M$186:$M$201,MATCH($C1491,SubKey,0))</f>
        <v>0.0</v>
      </c>
      <c r="AY1491" s="3" t="n">
        <v>0</v>
      </c>
      <c r="AZ1491" s="3" t="n">
        <v>0</v>
      </c>
      <c r="BA1491" s="3" t="n">
        <v>0</v>
      </c>
      <c r="BB1491" s="3" t="n">
        <v>0</v>
      </c>
      <c r="BC1491" s="3" t="n">
        <v>0</v>
      </c>
      <c r="BD1491" s="3">
        <f>IFERROR($BB1491/$BC1491,0)</f>
        <v>0.0</v>
      </c>
      <c r="BE1491" s="133" t="n">
        <v>1</v>
      </c>
      <c r="BF1491" s="39" t="n">
        <v>1</v>
      </c>
    </row>
    <row r="1492">
      <c r="A1492" s="3" t="str">
        <f>$B1492&amp;"|"&amp;$C1492</f>
        <v>die|ral</v>
      </c>
      <c r="B1492" s="8" t="inlineStr">
        <is>
          <t>die</t>
        </is>
      </c>
      <c r="C1492" s="8" t="inlineStr">
        <is>
          <t>ral</t>
        </is>
      </c>
      <c r="D1492" s="3" t="str">
        <f>INDEX('Constants and Mappings'!$D$186:$D$201,MATCH($C1492,SubKey,0))</f>
        <v>tra</v>
      </c>
      <c r="E1492" s="3" t="str">
        <f>INDEX('Constants and Mappings'!$C$229:$C$237,MATCH($B1492,FuelKey,0))</f>
        <v>die</v>
      </c>
      <c r="F1492" s="3" t="str">
        <f>INDEX('Constants and Mappings'!$D$229:$D$237,MATCH($B1492,FuelKey,0))</f>
        <v>oil</v>
      </c>
      <c r="G1492" s="3" t="str">
        <f>INDEX('Constants and Mappings'!$E$229:$E$237,MATCH($B1492,FuelKey,0))</f>
        <v>all</v>
      </c>
      <c r="H1492" s="3" t="str">
        <f>INDEX('Constants and Mappings'!$F$186:$F$201,MATCH($C1492,SubKey,0))</f>
        <v>ind</v>
      </c>
      <c r="I1492" s="3" t="str">
        <f>INDEX('Constants and Mappings'!$I$229:$I$237,MATCH($B1492,FuelKey,0))&amp;"."&amp;IF($G1492="sub",$H1492,"all")</f>
        <v>die.all</v>
      </c>
      <c r="J1492" s="3" t="str">
        <f>INDEX('Constants and Mappings'!$E$186:$E$201,MATCH($C1492,SubKey,0))</f>
        <v>rod</v>
      </c>
      <c r="K1492" s="3">
        <f>INDEX('Constants and Mappings'!$G$229:$G$237,MATCH($B1492,FuelKey,0))</f>
        <v>0.03729519000000001</v>
      </c>
      <c r="L1492" s="3">
        <f>INDEX('Constants and Mappings'!$H$229:$H$237,MATCH($B1492,FuelKey,0))</f>
        <v>4.0</v>
      </c>
      <c r="M1492" s="3">
        <f>INDEX('Constants and Mappings'!$H$186:$H$201,MATCH($C1492,SubKey,0))</f>
        <v>3.0</v>
      </c>
      <c r="N1492" s="3">
        <f>INDEX('Constants and Mappings'!$E$300:$E$313,MATCH($I1492,'Constants and Mappings'!$A$300:$A$313,0))</f>
        <v>10.0</v>
      </c>
      <c r="O1492" s="48">
        <f>INDEX(ElaSel,MATCH("inc|"&amp;$E1492&amp;"|"&amp;$D1492,ElaSelKey,0))</f>
        <v>0.6</v>
      </c>
      <c r="P1492" s="48">
        <f>INDEX(ElaSel,MATCH("usg|"&amp;$E1492&amp;"|"&amp;$D1492,ElaSelKey,0))</f>
        <v>-0.3</v>
      </c>
      <c r="Q1492" s="48">
        <f>INDEX(ElaSel,MATCH("eff|"&amp;$E1492&amp;"|"&amp;$D1492,ElaSelKey,0))</f>
        <v>-0.3</v>
      </c>
      <c r="R1492" s="225">
        <f>INDEX(ElaSel,MATCH("aei|"&amp;$F1492&amp;"|"&amp;$D1492,ElaSelKey,0))</f>
        <v>0.01</v>
      </c>
      <c r="S1492" s="133" t="n">
        <v>1</v>
      </c>
      <c r="T1492" s="48">
        <f>$Q1492*(1+$P1492)</f>
        <v>-0.21</v>
      </c>
      <c r="U1492" s="3">
        <f>INDEX('Constants and Mappings'!$E$1633:$E$1644,MATCH($I1492,'Constants and Mappings'!$A$1633:$A$1644,0))</f>
        <v>196.0</v>
      </c>
      <c r="V1492" s="225">
        <f>INDEX('Constants and Mappings'!$V$1633:$V$1644,MATCH($I1492,'Constants and Mappings'!$A$1633:$A$1644,0))</f>
        <v>0.0</v>
      </c>
      <c r="W1492" s="197">
        <f>INDEX(EFSel,MATCH($B1492&amp;"|"&amp;$J1492,EFSelKey,0))*EFCalib</f>
        <v>0.07049322251858033</v>
      </c>
      <c r="X1492" s="195">
        <f>IF(LEFT(BalOpt,3)="Bal",$AY1492*$AV1492+$AZ1492*$AX1492,$BA1492)</f>
        <v>0.0</v>
      </c>
      <c r="Y1492" s="3" t="str">
        <f>IF($G1492="sub",$H1492,IF($B1492="oop","ind","trs"))</f>
        <v>trs</v>
      </c>
      <c r="Z1492" s="39">
        <f>IFERROR(MATCH($Y1492&amp;"|"&amp;$B1492,XKey,0),1)</f>
        <v>14.0</v>
      </c>
      <c r="AA1492" s="48">
        <f>INDEX(XCTVal,$Z1492,ECPEmb)+INDEX(XETSVal,$Z1492,ECPEmb)</f>
        <v>0.0</v>
      </c>
      <c r="AB1492" s="8" t="inlineStr">
        <is>
          <t>ral</t>
        </is>
      </c>
      <c r="AC1492" s="8" t="inlineStr">
        <is>
          <t>die</t>
        </is>
      </c>
      <c r="AD1492" s="197">
        <f>IFERROR(INDEX(NCEfIn,MATCH($AB1492&amp;"."&amp;$AC1492&amp;".ch4",NCEfKey,0)),0)</f>
        <v>0.1737522</v>
      </c>
      <c r="AE1492" s="197">
        <f>IFERROR(INDEX(NCEfFin,MATCH($AB1492&amp;"."&amp;$AC1492&amp;".ch4",NCEfKey,0)),0)</f>
        <v>0.1737522</v>
      </c>
      <c r="AF1492" s="3" t="n">
        <v>0</v>
      </c>
      <c r="AG1492" s="197">
        <f>IFERROR(INDEX(NCEfIn,MATCH($AB1492&amp;"."&amp;$AC1492&amp;".pm2",NCEfKey,0)),0)</f>
        <v>4.1072508</v>
      </c>
      <c r="AH1492" s="197">
        <f>IFERROR(INDEX(NCEfFin,MATCH($AB1492&amp;"."&amp;$AC1492&amp;".pm2",NCEfKey,0)),0)</f>
        <v>4.1072508</v>
      </c>
      <c r="AI1492" s="197">
        <f>IFERROR(INDEX(NCEfIn,MATCH($AB1492&amp;"."&amp;$AC1492&amp;".nox",NCEfKey,0)),0)</f>
        <v>46.05480000000001</v>
      </c>
      <c r="AJ1492" s="197">
        <f>IFERROR(INDEX(NCEfFin,MATCH($AB1492&amp;"."&amp;$AC1492&amp;".nox",NCEfKey,0)),0)</f>
        <v>46.05480000000001</v>
      </c>
      <c r="AK1492" s="197">
        <f>IFERROR(INDEX(NCEfIn,MATCH($AB1492&amp;"."&amp;$AC1492&amp;".so2",NCEfKey,0)),0)</f>
        <v>0.8866177020000001</v>
      </c>
      <c r="AL1492" s="197">
        <f>IFERROR(INDEX(NCEfFin,MATCH($AB1492&amp;"."&amp;$AC1492&amp;".so2",NCEfKey,0)),0)</f>
        <v>0.8866177020000001</v>
      </c>
      <c r="AM1492" s="197">
        <f>IFERROR(INDEX(NCEfIn,MATCH($AB1492&amp;"."&amp;$AC1492&amp;".voc",NCEfKey,0)),0)</f>
        <v>7.95492</v>
      </c>
      <c r="AN1492" s="197">
        <f>IFERROR(INDEX(NCEfFin,MATCH($AB1492&amp;"."&amp;$AC1492&amp;".voc",NCEfKey,0)),0)</f>
        <v>7.95492</v>
      </c>
      <c r="AO1492" s="197">
        <f>IFERROR(INDEX(NCEfIn,MATCH($AB1492&amp;"."&amp;$AC1492&amp;".bc",NCEfKey,0)),0)</f>
        <v>1.87108092</v>
      </c>
      <c r="AP1492" s="197">
        <f>IFERROR(INDEX(NCEfFin,MATCH($AB1492&amp;"."&amp;$AC1492&amp;".bc",NCEfKey,0)),0)</f>
        <v>1.87108092</v>
      </c>
      <c r="AQ1492" s="197">
        <f>IFERROR(INDEX(NCEfIn,MATCH($AB1492&amp;"."&amp;$AC1492&amp;".oc",NCEfKey,0)),0)</f>
        <v>1.04963076</v>
      </c>
      <c r="AR1492" s="197">
        <f>IFERROR(INDEX(NCEfFin,MATCH($AB1492&amp;"."&amp;$AC1492&amp;".oc",NCEfKey,0)),0)</f>
        <v>1.04963076</v>
      </c>
      <c r="AS1492" s="197">
        <f>IFERROR(INDEX(NCEfIn,MATCH($AB1492&amp;"."&amp;$AC1492&amp;".co",NCEfKey,0)),0)</f>
        <v>10.467</v>
      </c>
      <c r="AT1492" s="197">
        <f>IFERROR(INDEX(NCEfFin,MATCH($AB1492&amp;"."&amp;$AC1492&amp;".co",NCEfKey,0)),0)</f>
        <v>10.467</v>
      </c>
      <c r="AU1492" s="3" t="str">
        <f>INDEX('Constants and Mappings'!$J$186:$J$201,MATCH($C1492,SubKey,0))</f>
        <v>rail</v>
      </c>
      <c r="AV1492" s="3">
        <f>INDEX('Constants and Mappings'!$K$186:$K$201,MATCH($C1492,SubKey,0))</f>
        <v>1.0</v>
      </c>
      <c r="AW1492" s="3" t="str">
        <f>INDEX('Constants and Mappings'!$L$186:$L$201,MATCH($C1492,SubKey,0))&amp;""</f>
        <v/>
      </c>
      <c r="AX1492" s="3">
        <f>INDEX('Constants and Mappings'!$M$186:$M$201,MATCH($C1492,SubKey,0))</f>
        <v>0.0</v>
      </c>
      <c r="AY1492" s="3" t="n">
        <v>0</v>
      </c>
      <c r="AZ1492" s="3" t="n">
        <v>0</v>
      </c>
      <c r="BA1492" s="3" t="n">
        <v>0</v>
      </c>
      <c r="BB1492" s="3" t="n">
        <v>0</v>
      </c>
      <c r="BC1492" s="3" t="n">
        <v>0</v>
      </c>
      <c r="BD1492" s="3">
        <f>IFERROR($BB1492/$BC1492,0)</f>
        <v>0.0</v>
      </c>
      <c r="BE1492" s="133" t="n">
        <v>1</v>
      </c>
      <c r="BF1492" s="39" t="n">
        <v>1</v>
      </c>
    </row>
    <row r="1493">
      <c r="A1493" s="3" t="str">
        <f>$B1493&amp;"|"&amp;$C1493</f>
        <v>lpg|ral</v>
      </c>
      <c r="B1493" s="8" t="inlineStr">
        <is>
          <t>lpg</t>
        </is>
      </c>
      <c r="C1493" s="8" t="inlineStr">
        <is>
          <t>ral</t>
        </is>
      </c>
      <c r="D1493" s="3" t="str">
        <f>INDEX('Constants and Mappings'!$D$186:$D$201,MATCH($C1493,SubKey,0))</f>
        <v>tra</v>
      </c>
      <c r="E1493" s="3" t="str">
        <f>INDEX('Constants and Mappings'!$C$229:$C$237,MATCH($B1493,FuelKey,0))</f>
        <v>oil</v>
      </c>
      <c r="F1493" s="3" t="str">
        <f>INDEX('Constants and Mappings'!$D$229:$D$237,MATCH($B1493,FuelKey,0))</f>
        <v>oil</v>
      </c>
      <c r="G1493" s="3" t="str">
        <f>INDEX('Constants and Mappings'!$E$229:$E$237,MATCH($B1493,FuelKey,0))</f>
        <v>all</v>
      </c>
      <c r="H1493" s="3" t="str">
        <f>INDEX('Constants and Mappings'!$F$186:$F$201,MATCH($C1493,SubKey,0))</f>
        <v>ind</v>
      </c>
      <c r="I1493" s="3" t="str">
        <f>INDEX('Constants and Mappings'!$I$229:$I$237,MATCH($B1493,FuelKey,0))&amp;"."&amp;IF($G1493="sub",$H1493,"all")</f>
        <v>lpg.all</v>
      </c>
      <c r="J1493" s="3" t="str">
        <f>INDEX('Constants and Mappings'!$E$186:$E$201,MATCH($C1493,SubKey,0))</f>
        <v>rod</v>
      </c>
      <c r="K1493" s="3">
        <f>INDEX('Constants and Mappings'!$G$229:$G$237,MATCH($B1493,FuelKey,0))</f>
        <v>0.02577968854495125</v>
      </c>
      <c r="L1493" s="3">
        <f>INDEX('Constants and Mappings'!$H$229:$H$237,MATCH($B1493,FuelKey,0))</f>
        <v>5.0</v>
      </c>
      <c r="M1493" s="3">
        <f>INDEX('Constants and Mappings'!$H$186:$H$201,MATCH($C1493,SubKey,0))</f>
        <v>3.0</v>
      </c>
      <c r="N1493" s="3">
        <f>INDEX('Constants and Mappings'!$E$300:$E$313,MATCH($I1493,'Constants and Mappings'!$A$300:$A$313,0))</f>
        <v>11.0</v>
      </c>
      <c r="O1493" s="48">
        <f>INDEX(ElaSel,MATCH("inc|"&amp;$E1493&amp;"|"&amp;$D1493,ElaSelKey,0))</f>
        <v>0.8</v>
      </c>
      <c r="P1493" s="48">
        <f>INDEX(ElaSel,MATCH("usg|"&amp;$E1493&amp;"|"&amp;$D1493,ElaSelKey,0))</f>
        <v>-0.3</v>
      </c>
      <c r="Q1493" s="48">
        <f>INDEX(ElaSel,MATCH("eff|"&amp;$E1493&amp;"|"&amp;$D1493,ElaSelKey,0))</f>
        <v>-0.4</v>
      </c>
      <c r="R1493" s="225">
        <f>INDEX(ElaSel,MATCH("aei|"&amp;$F1493&amp;"|"&amp;$D1493,ElaSelKey,0))</f>
        <v>0.01</v>
      </c>
      <c r="S1493" s="133" t="n">
        <v>1</v>
      </c>
      <c r="T1493" s="48">
        <f>$Q1493*(1+$P1493)</f>
        <v>-0.27999999999999997</v>
      </c>
      <c r="U1493" s="3">
        <f>INDEX('Constants and Mappings'!$E$1633:$E$1644,MATCH($I1493,'Constants and Mappings'!$A$1633:$A$1644,0))</f>
        <v>225.0</v>
      </c>
      <c r="V1493" s="225">
        <f>INDEX('Constants and Mappings'!$V$1633:$V$1644,MATCH($I1493,'Constants and Mappings'!$A$1633:$A$1644,0))</f>
        <v>0.0</v>
      </c>
      <c r="W1493" s="197">
        <f>INDEX(EFSel,MATCH($B1493&amp;"|"&amp;$J1493,EFSelKey,0))*EFCalib</f>
        <v>0.06829407370213687</v>
      </c>
      <c r="X1493" s="195">
        <f>IF(LEFT(BalOpt,3)="Bal",$AY1493*$AV1493+$AZ1493*$AX1493,$BA1493)</f>
        <v>0.0</v>
      </c>
      <c r="Y1493" s="3" t="str">
        <f>IF($G1493="sub",$H1493,IF($B1493="oop","ind","trs"))</f>
        <v>trs</v>
      </c>
      <c r="Z1493" s="39">
        <f>IFERROR(MATCH($Y1493&amp;"|"&amp;$B1493,XKey,0),1)</f>
        <v>15.0</v>
      </c>
      <c r="AA1493" s="48">
        <f>INDEX(XCTVal,$Z1493,ECPEmb)+INDEX(XETSVal,$Z1493,ECPEmb)</f>
        <v>0.0</v>
      </c>
      <c r="AB1493" s="8" t="inlineStr">
        <is>
          <t>ral</t>
        </is>
      </c>
      <c r="AC1493" s="8" t="inlineStr">
        <is>
          <t>lpg</t>
        </is>
      </c>
      <c r="AD1493" s="197">
        <f>IFERROR(INDEX(NCEfIn,MATCH($AB1493&amp;"."&amp;$AC1493&amp;".ch4",NCEfKey,0)),0)</f>
        <v>0.0</v>
      </c>
      <c r="AE1493" s="197">
        <f>IFERROR(INDEX(NCEfFin,MATCH($AB1493&amp;"."&amp;$AC1493&amp;".ch4",NCEfKey,0)),0)</f>
        <v>0.0</v>
      </c>
      <c r="AF1493" s="3" t="n">
        <v>0</v>
      </c>
      <c r="AG1493" s="197">
        <f>IFERROR(INDEX(NCEfIn,MATCH($AB1493&amp;"."&amp;$AC1493&amp;".pm2",NCEfKey,0)),0)</f>
        <v>0.0</v>
      </c>
      <c r="AH1493" s="197">
        <f>IFERROR(INDEX(NCEfFin,MATCH($AB1493&amp;"."&amp;$AC1493&amp;".pm2",NCEfKey,0)),0)</f>
        <v>0.0</v>
      </c>
      <c r="AI1493" s="197">
        <f>IFERROR(INDEX(NCEfIn,MATCH($AB1493&amp;"."&amp;$AC1493&amp;".nox",NCEfKey,0)),0)</f>
        <v>0.0</v>
      </c>
      <c r="AJ1493" s="197">
        <f>IFERROR(INDEX(NCEfFin,MATCH($AB1493&amp;"."&amp;$AC1493&amp;".nox",NCEfKey,0)),0)</f>
        <v>0.0</v>
      </c>
      <c r="AK1493" s="197">
        <f>IFERROR(INDEX(NCEfIn,MATCH($AB1493&amp;"."&amp;$AC1493&amp;".so2",NCEfKey,0)),0)</f>
        <v>0.0</v>
      </c>
      <c r="AL1493" s="197">
        <f>IFERROR(INDEX(NCEfFin,MATCH($AB1493&amp;"."&amp;$AC1493&amp;".so2",NCEfKey,0)),0)</f>
        <v>0.0</v>
      </c>
      <c r="AM1493" s="197">
        <f>IFERROR(INDEX(NCEfIn,MATCH($AB1493&amp;"."&amp;$AC1493&amp;".voc",NCEfKey,0)),0)</f>
        <v>0.0</v>
      </c>
      <c r="AN1493" s="197">
        <f>IFERROR(INDEX(NCEfFin,MATCH($AB1493&amp;"."&amp;$AC1493&amp;".voc",NCEfKey,0)),0)</f>
        <v>0.0</v>
      </c>
      <c r="AO1493" s="197">
        <f>IFERROR(INDEX(NCEfIn,MATCH($AB1493&amp;"."&amp;$AC1493&amp;".bc",NCEfKey,0)),0)</f>
        <v>0.0</v>
      </c>
      <c r="AP1493" s="197">
        <f>IFERROR(INDEX(NCEfFin,MATCH($AB1493&amp;"."&amp;$AC1493&amp;".bc",NCEfKey,0)),0)</f>
        <v>0.0</v>
      </c>
      <c r="AQ1493" s="197">
        <f>IFERROR(INDEX(NCEfIn,MATCH($AB1493&amp;"."&amp;$AC1493&amp;".oc",NCEfKey,0)),0)</f>
        <v>0.0</v>
      </c>
      <c r="AR1493" s="197">
        <f>IFERROR(INDEX(NCEfFin,MATCH($AB1493&amp;"."&amp;$AC1493&amp;".oc",NCEfKey,0)),0)</f>
        <v>0.0</v>
      </c>
      <c r="AS1493" s="197">
        <f>IFERROR(INDEX(NCEfIn,MATCH($AB1493&amp;"."&amp;$AC1493&amp;".co",NCEfKey,0)),0)</f>
        <v>0.0</v>
      </c>
      <c r="AT1493" s="197">
        <f>IFERROR(INDEX(NCEfFin,MATCH($AB1493&amp;"."&amp;$AC1493&amp;".co",NCEfKey,0)),0)</f>
        <v>0.0</v>
      </c>
      <c r="AU1493" s="3" t="str">
        <f>INDEX('Constants and Mappings'!$J$186:$J$201,MATCH($C1493,SubKey,0))</f>
        <v>rail</v>
      </c>
      <c r="AV1493" s="3">
        <f>INDEX('Constants and Mappings'!$K$186:$K$201,MATCH($C1493,SubKey,0))</f>
        <v>1.0</v>
      </c>
      <c r="AW1493" s="3" t="str">
        <f>INDEX('Constants and Mappings'!$L$186:$L$201,MATCH($C1493,SubKey,0))&amp;""</f>
        <v/>
      </c>
      <c r="AX1493" s="3">
        <f>INDEX('Constants and Mappings'!$M$186:$M$201,MATCH($C1493,SubKey,0))</f>
        <v>0.0</v>
      </c>
      <c r="AY1493" s="3" t="n">
        <v>0</v>
      </c>
      <c r="AZ1493" s="3" t="n">
        <v>0</v>
      </c>
      <c r="BA1493" s="3" t="n">
        <v>0</v>
      </c>
      <c r="BB1493" s="3" t="n">
        <v>0</v>
      </c>
      <c r="BC1493" s="3" t="n">
        <v>0</v>
      </c>
      <c r="BD1493" s="3">
        <f>IFERROR($BB1493/$BC1493,0)</f>
        <v>0.0</v>
      </c>
      <c r="BE1493" s="133" t="n">
        <v>1</v>
      </c>
      <c r="BF1493" s="39" t="n">
        <v>1</v>
      </c>
    </row>
    <row r="1494">
      <c r="A1494" s="3" t="str">
        <f>$B1494&amp;"|"&amp;$C1494</f>
        <v>ker|ral</v>
      </c>
      <c r="B1494" s="8" t="inlineStr">
        <is>
          <t>ker</t>
        </is>
      </c>
      <c r="C1494" s="8" t="inlineStr">
        <is>
          <t>ral</t>
        </is>
      </c>
      <c r="D1494" s="3" t="str">
        <f>INDEX('Constants and Mappings'!$D$186:$D$201,MATCH($C1494,SubKey,0))</f>
        <v>tra</v>
      </c>
      <c r="E1494" s="3" t="str">
        <f>INDEX('Constants and Mappings'!$C$229:$C$237,MATCH($B1494,FuelKey,0))</f>
        <v>oil</v>
      </c>
      <c r="F1494" s="3" t="str">
        <f>INDEX('Constants and Mappings'!$D$229:$D$237,MATCH($B1494,FuelKey,0))</f>
        <v>oil</v>
      </c>
      <c r="G1494" s="3" t="str">
        <f>INDEX('Constants and Mappings'!$E$229:$E$237,MATCH($B1494,FuelKey,0))</f>
        <v>all</v>
      </c>
      <c r="H1494" s="3" t="str">
        <f>INDEX('Constants and Mappings'!$F$186:$F$201,MATCH($C1494,SubKey,0))</f>
        <v>ind</v>
      </c>
      <c r="I1494" s="3" t="str">
        <f>INDEX('Constants and Mappings'!$I$229:$I$237,MATCH($B1494,FuelKey,0))&amp;"."&amp;IF($G1494="sub",$H1494,"all")</f>
        <v>ker.all</v>
      </c>
      <c r="J1494" s="3" t="str">
        <f>INDEX('Constants and Mappings'!$E$186:$E$201,MATCH($C1494,SubKey,0))</f>
        <v>rod</v>
      </c>
      <c r="K1494" s="3">
        <f>INDEX('Constants and Mappings'!$G$229:$G$237,MATCH($B1494,FuelKey,0))</f>
        <v>0.03774882965510715</v>
      </c>
      <c r="L1494" s="3">
        <f>INDEX('Constants and Mappings'!$H$229:$H$237,MATCH($B1494,FuelKey,0))</f>
        <v>6.0</v>
      </c>
      <c r="M1494" s="3">
        <f>INDEX('Constants and Mappings'!$H$186:$H$201,MATCH($C1494,SubKey,0))</f>
        <v>3.0</v>
      </c>
      <c r="N1494" s="3">
        <f>INDEX('Constants and Mappings'!$E$300:$E$313,MATCH($I1494,'Constants and Mappings'!$A$300:$A$313,0))</f>
        <v>12.0</v>
      </c>
      <c r="O1494" s="48">
        <f>INDEX(ElaSel,MATCH("inc|"&amp;$E1494&amp;"|"&amp;$D1494,ElaSelKey,0))</f>
        <v>0.8</v>
      </c>
      <c r="P1494" s="48">
        <f>INDEX(ElaSel,MATCH("usg|"&amp;$E1494&amp;"|"&amp;$D1494,ElaSelKey,0))</f>
        <v>-0.3</v>
      </c>
      <c r="Q1494" s="48">
        <f>INDEX(ElaSel,MATCH("eff|"&amp;$E1494&amp;"|"&amp;$D1494,ElaSelKey,0))</f>
        <v>-0.4</v>
      </c>
      <c r="R1494" s="225">
        <f>INDEX(ElaSel,MATCH("aei|"&amp;$F1494&amp;"|"&amp;$D1494,ElaSelKey,0))</f>
        <v>0.01</v>
      </c>
      <c r="S1494" s="133" t="n">
        <v>1</v>
      </c>
      <c r="T1494" s="48">
        <f>$Q1494*(1+$P1494)</f>
        <v>-0.27999999999999997</v>
      </c>
      <c r="U1494" s="3">
        <f>INDEX('Constants and Mappings'!$E$1633:$E$1644,MATCH($I1494,'Constants and Mappings'!$A$1633:$A$1644,0))</f>
        <v>254.0</v>
      </c>
      <c r="V1494" s="225">
        <f>INDEX('Constants and Mappings'!$V$1633:$V$1644,MATCH($I1494,'Constants and Mappings'!$A$1633:$A$1644,0))</f>
        <v>0.0</v>
      </c>
      <c r="W1494" s="197">
        <f>INDEX(EFSel,MATCH($B1494&amp;"|"&amp;$J1494,EFSelKey,0))*EFCalib</f>
        <v>0.06824927438265298</v>
      </c>
      <c r="X1494" s="195">
        <f>IF(LEFT(BalOpt,3)="Bal",$AY1494*$AV1494+$AZ1494*$AX1494,$BA1494)</f>
        <v>0.0</v>
      </c>
      <c r="Y1494" s="3" t="str">
        <f>IF($G1494="sub",$H1494,IF($B1494="oop","ind","trs"))</f>
        <v>trs</v>
      </c>
      <c r="Z1494" s="39">
        <f>IFERROR(MATCH($Y1494&amp;"|"&amp;$B1494,XKey,0),1)</f>
        <v>16.0</v>
      </c>
      <c r="AA1494" s="48">
        <f>INDEX(XCTVal,$Z1494,ECPEmb)+INDEX(XETSVal,$Z1494,ECPEmb)</f>
        <v>0.0</v>
      </c>
      <c r="AB1494" s="8" t="inlineStr">
        <is>
          <t>ral</t>
        </is>
      </c>
      <c r="AC1494" s="8" t="inlineStr">
        <is>
          <t>ker</t>
        </is>
      </c>
      <c r="AD1494" s="197">
        <f>IFERROR(INDEX(NCEfIn,MATCH($AB1494&amp;"."&amp;$AC1494&amp;".ch4",NCEfKey,0)),0)</f>
        <v>0.0</v>
      </c>
      <c r="AE1494" s="197">
        <f>IFERROR(INDEX(NCEfFin,MATCH($AB1494&amp;"."&amp;$AC1494&amp;".ch4",NCEfKey,0)),0)</f>
        <v>0.0</v>
      </c>
      <c r="AF1494" s="3" t="n">
        <v>0</v>
      </c>
      <c r="AG1494" s="197">
        <f>IFERROR(INDEX(NCEfIn,MATCH($AB1494&amp;"."&amp;$AC1494&amp;".pm2",NCEfKey,0)),0)</f>
        <v>0.0</v>
      </c>
      <c r="AH1494" s="197">
        <f>IFERROR(INDEX(NCEfFin,MATCH($AB1494&amp;"."&amp;$AC1494&amp;".pm2",NCEfKey,0)),0)</f>
        <v>0.0</v>
      </c>
      <c r="AI1494" s="197">
        <f>IFERROR(INDEX(NCEfIn,MATCH($AB1494&amp;"."&amp;$AC1494&amp;".nox",NCEfKey,0)),0)</f>
        <v>0.0</v>
      </c>
      <c r="AJ1494" s="197">
        <f>IFERROR(INDEX(NCEfFin,MATCH($AB1494&amp;"."&amp;$AC1494&amp;".nox",NCEfKey,0)),0)</f>
        <v>0.0</v>
      </c>
      <c r="AK1494" s="197">
        <f>IFERROR(INDEX(NCEfIn,MATCH($AB1494&amp;"."&amp;$AC1494&amp;".so2",NCEfKey,0)),0)</f>
        <v>0.0</v>
      </c>
      <c r="AL1494" s="197">
        <f>IFERROR(INDEX(NCEfFin,MATCH($AB1494&amp;"."&amp;$AC1494&amp;".so2",NCEfKey,0)),0)</f>
        <v>0.0</v>
      </c>
      <c r="AM1494" s="197">
        <f>IFERROR(INDEX(NCEfIn,MATCH($AB1494&amp;"."&amp;$AC1494&amp;".voc",NCEfKey,0)),0)</f>
        <v>0.0</v>
      </c>
      <c r="AN1494" s="197">
        <f>IFERROR(INDEX(NCEfFin,MATCH($AB1494&amp;"."&amp;$AC1494&amp;".voc",NCEfKey,0)),0)</f>
        <v>0.0</v>
      </c>
      <c r="AO1494" s="197">
        <f>IFERROR(INDEX(NCEfIn,MATCH($AB1494&amp;"."&amp;$AC1494&amp;".bc",NCEfKey,0)),0)</f>
        <v>0.0</v>
      </c>
      <c r="AP1494" s="197">
        <f>IFERROR(INDEX(NCEfFin,MATCH($AB1494&amp;"."&amp;$AC1494&amp;".bc",NCEfKey,0)),0)</f>
        <v>0.0</v>
      </c>
      <c r="AQ1494" s="197">
        <f>IFERROR(INDEX(NCEfIn,MATCH($AB1494&amp;"."&amp;$AC1494&amp;".oc",NCEfKey,0)),0)</f>
        <v>0.0</v>
      </c>
      <c r="AR1494" s="197">
        <f>IFERROR(INDEX(NCEfFin,MATCH($AB1494&amp;"."&amp;$AC1494&amp;".oc",NCEfKey,0)),0)</f>
        <v>0.0</v>
      </c>
      <c r="AS1494" s="197">
        <f>IFERROR(INDEX(NCEfIn,MATCH($AB1494&amp;"."&amp;$AC1494&amp;".co",NCEfKey,0)),0)</f>
        <v>0.0</v>
      </c>
      <c r="AT1494" s="197">
        <f>IFERROR(INDEX(NCEfFin,MATCH($AB1494&amp;"."&amp;$AC1494&amp;".co",NCEfKey,0)),0)</f>
        <v>0.0</v>
      </c>
      <c r="AU1494" s="3" t="str">
        <f>INDEX('Constants and Mappings'!$J$186:$J$201,MATCH($C1494,SubKey,0))</f>
        <v>rail</v>
      </c>
      <c r="AV1494" s="3">
        <f>INDEX('Constants and Mappings'!$K$186:$K$201,MATCH($C1494,SubKey,0))</f>
        <v>1.0</v>
      </c>
      <c r="AW1494" s="3" t="str">
        <f>INDEX('Constants and Mappings'!$L$186:$L$201,MATCH($C1494,SubKey,0))&amp;""</f>
        <v/>
      </c>
      <c r="AX1494" s="3">
        <f>INDEX('Constants and Mappings'!$M$186:$M$201,MATCH($C1494,SubKey,0))</f>
        <v>0.0</v>
      </c>
      <c r="AY1494" s="3" t="n">
        <v>0</v>
      </c>
      <c r="AZ1494" s="3" t="n">
        <v>0</v>
      </c>
      <c r="BA1494" s="3" t="n">
        <v>0</v>
      </c>
      <c r="BB1494" s="3" t="n">
        <v>0</v>
      </c>
      <c r="BC1494" s="3" t="n">
        <v>0</v>
      </c>
      <c r="BD1494" s="3">
        <f>IFERROR($BB1494/$BC1494,0)</f>
        <v>0.0</v>
      </c>
      <c r="BE1494" s="133" t="n">
        <v>1</v>
      </c>
      <c r="BF1494" s="39" t="n">
        <v>1</v>
      </c>
    </row>
    <row r="1495">
      <c r="A1495" s="3" t="str">
        <f>$B1495&amp;"|"&amp;$C1495</f>
        <v>jfu|ral</v>
      </c>
      <c r="B1495" s="8" t="inlineStr">
        <is>
          <t>jfu</t>
        </is>
      </c>
      <c r="C1495" s="8" t="inlineStr">
        <is>
          <t>ral</t>
        </is>
      </c>
      <c r="D1495" s="3" t="str">
        <f>INDEX('Constants and Mappings'!$D$186:$D$201,MATCH($C1495,SubKey,0))</f>
        <v>tra</v>
      </c>
      <c r="E1495" s="3" t="str">
        <f>INDEX('Constants and Mappings'!$C$229:$C$237,MATCH($B1495,FuelKey,0))</f>
        <v>oil</v>
      </c>
      <c r="F1495" s="3" t="str">
        <f>INDEX('Constants and Mappings'!$D$229:$D$237,MATCH($B1495,FuelKey,0))</f>
        <v>oil</v>
      </c>
      <c r="G1495" s="3" t="str">
        <f>INDEX('Constants and Mappings'!$E$229:$E$237,MATCH($B1495,FuelKey,0))</f>
        <v>all</v>
      </c>
      <c r="H1495" s="3" t="str">
        <f>INDEX('Constants and Mappings'!$F$186:$F$201,MATCH($C1495,SubKey,0))</f>
        <v>ind</v>
      </c>
      <c r="I1495" s="3" t="str">
        <f>INDEX('Constants and Mappings'!$I$229:$I$237,MATCH($B1495,FuelKey,0))&amp;"."&amp;IF($G1495="sub",$H1495,"all")</f>
        <v>ker.all</v>
      </c>
      <c r="J1495" s="3" t="str">
        <f>INDEX('Constants and Mappings'!$E$186:$E$201,MATCH($C1495,SubKey,0))</f>
        <v>rod</v>
      </c>
      <c r="K1495" s="3">
        <f>INDEX('Constants and Mappings'!$G$229:$G$237,MATCH($B1495,FuelKey,0))</f>
        <v>0.0348608</v>
      </c>
      <c r="L1495" s="3">
        <f>INDEX('Constants and Mappings'!$H$229:$H$237,MATCH($B1495,FuelKey,0))</f>
        <v>7.0</v>
      </c>
      <c r="M1495" s="3">
        <f>INDEX('Constants and Mappings'!$H$186:$H$201,MATCH($C1495,SubKey,0))</f>
        <v>3.0</v>
      </c>
      <c r="N1495" s="3">
        <f>INDEX('Constants and Mappings'!$E$300:$E$313,MATCH($I1495,'Constants and Mappings'!$A$300:$A$313,0))</f>
        <v>12.0</v>
      </c>
      <c r="O1495" s="48">
        <f>INDEX(ElaSel,MATCH("inc|"&amp;$E1495&amp;"|"&amp;$D1495,ElaSelKey,0))</f>
        <v>0.8</v>
      </c>
      <c r="P1495" s="48">
        <f>INDEX(ElaSel,MATCH("usg|"&amp;$E1495&amp;"|"&amp;$D1495,ElaSelKey,0))</f>
        <v>-0.3</v>
      </c>
      <c r="Q1495" s="48">
        <f>INDEX(ElaSel,MATCH("eff|"&amp;$E1495&amp;"|"&amp;$D1495,ElaSelKey,0))</f>
        <v>-0.4</v>
      </c>
      <c r="R1495" s="225">
        <f>INDEX(ElaSel,MATCH("aei|"&amp;$F1495&amp;"|"&amp;$D1495,ElaSelKey,0))</f>
        <v>0.01</v>
      </c>
      <c r="S1495" s="133" t="n">
        <v>1</v>
      </c>
      <c r="T1495" s="48">
        <f>$Q1495*(1+$P1495)</f>
        <v>-0.27999999999999997</v>
      </c>
      <c r="U1495" s="3">
        <f>INDEX('Constants and Mappings'!$E$1633:$E$1644,MATCH($I1495,'Constants and Mappings'!$A$1633:$A$1644,0))</f>
        <v>254.0</v>
      </c>
      <c r="V1495" s="225">
        <f>INDEX('Constants and Mappings'!$V$1633:$V$1644,MATCH($I1495,'Constants and Mappings'!$A$1633:$A$1644,0))</f>
        <v>0.0</v>
      </c>
      <c r="W1495" s="197">
        <f>INDEX(EFSel,MATCH($B1495&amp;"|"&amp;$J1495,EFSelKey,0))*EFCalib</f>
        <v>0.07118114095776658</v>
      </c>
      <c r="X1495" s="195">
        <f>IF(LEFT(BalOpt,3)="Bal",$AY1495*$AV1495+$AZ1495*$AX1495,$BA1495)</f>
        <v>0.0</v>
      </c>
      <c r="Y1495" s="3" t="str">
        <f>IF($G1495="sub",$H1495,IF($B1495="oop","ind","trs"))</f>
        <v>trs</v>
      </c>
      <c r="Z1495" s="39">
        <f>IFERROR(MATCH($Y1495&amp;"|"&amp;$B1495,XKey,0),1)</f>
        <v>17.0</v>
      </c>
      <c r="AA1495" s="48">
        <f>INDEX(XCTVal,$Z1495,ECPEmb)+INDEX(XETSVal,$Z1495,ECPEmb)</f>
        <v>0.0</v>
      </c>
      <c r="AB1495" s="8" t="inlineStr">
        <is>
          <t>ral</t>
        </is>
      </c>
      <c r="AC1495" s="8" t="inlineStr">
        <is>
          <t>jfu</t>
        </is>
      </c>
      <c r="AD1495" s="197">
        <f>IFERROR(INDEX(NCEfIn,MATCH($AB1495&amp;"."&amp;$AC1495&amp;".ch4",NCEfKey,0)),0)</f>
        <v>0.0</v>
      </c>
      <c r="AE1495" s="197">
        <f>IFERROR(INDEX(NCEfFin,MATCH($AB1495&amp;"."&amp;$AC1495&amp;".ch4",NCEfKey,0)),0)</f>
        <v>0.0</v>
      </c>
      <c r="AF1495" s="3" t="n">
        <v>0</v>
      </c>
      <c r="AG1495" s="197">
        <f>IFERROR(INDEX(NCEfIn,MATCH($AB1495&amp;"."&amp;$AC1495&amp;".pm2",NCEfKey,0)),0)</f>
        <v>0.0</v>
      </c>
      <c r="AH1495" s="197">
        <f>IFERROR(INDEX(NCEfFin,MATCH($AB1495&amp;"."&amp;$AC1495&amp;".pm2",NCEfKey,0)),0)</f>
        <v>0.0</v>
      </c>
      <c r="AI1495" s="197">
        <f>IFERROR(INDEX(NCEfIn,MATCH($AB1495&amp;"."&amp;$AC1495&amp;".nox",NCEfKey,0)),0)</f>
        <v>0.0</v>
      </c>
      <c r="AJ1495" s="197">
        <f>IFERROR(INDEX(NCEfFin,MATCH($AB1495&amp;"."&amp;$AC1495&amp;".nox",NCEfKey,0)),0)</f>
        <v>0.0</v>
      </c>
      <c r="AK1495" s="197">
        <f>IFERROR(INDEX(NCEfIn,MATCH($AB1495&amp;"."&amp;$AC1495&amp;".so2",NCEfKey,0)),0)</f>
        <v>0.0</v>
      </c>
      <c r="AL1495" s="197">
        <f>IFERROR(INDEX(NCEfFin,MATCH($AB1495&amp;"."&amp;$AC1495&amp;".so2",NCEfKey,0)),0)</f>
        <v>0.0</v>
      </c>
      <c r="AM1495" s="197">
        <f>IFERROR(INDEX(NCEfIn,MATCH($AB1495&amp;"."&amp;$AC1495&amp;".voc",NCEfKey,0)),0)</f>
        <v>0.0</v>
      </c>
      <c r="AN1495" s="197">
        <f>IFERROR(INDEX(NCEfFin,MATCH($AB1495&amp;"."&amp;$AC1495&amp;".voc",NCEfKey,0)),0)</f>
        <v>0.0</v>
      </c>
      <c r="AO1495" s="197">
        <f>IFERROR(INDEX(NCEfIn,MATCH($AB1495&amp;"."&amp;$AC1495&amp;".bc",NCEfKey,0)),0)</f>
        <v>0.0</v>
      </c>
      <c r="AP1495" s="197">
        <f>IFERROR(INDEX(NCEfFin,MATCH($AB1495&amp;"."&amp;$AC1495&amp;".bc",NCEfKey,0)),0)</f>
        <v>0.0</v>
      </c>
      <c r="AQ1495" s="197">
        <f>IFERROR(INDEX(NCEfIn,MATCH($AB1495&amp;"."&amp;$AC1495&amp;".oc",NCEfKey,0)),0)</f>
        <v>0.0</v>
      </c>
      <c r="AR1495" s="197">
        <f>IFERROR(INDEX(NCEfFin,MATCH($AB1495&amp;"."&amp;$AC1495&amp;".oc",NCEfKey,0)),0)</f>
        <v>0.0</v>
      </c>
      <c r="AS1495" s="197">
        <f>IFERROR(INDEX(NCEfIn,MATCH($AB1495&amp;"."&amp;$AC1495&amp;".co",NCEfKey,0)),0)</f>
        <v>0.0</v>
      </c>
      <c r="AT1495" s="197">
        <f>IFERROR(INDEX(NCEfFin,MATCH($AB1495&amp;"."&amp;$AC1495&amp;".co",NCEfKey,0)),0)</f>
        <v>0.0</v>
      </c>
      <c r="AU1495" s="3" t="str">
        <f>INDEX('Constants and Mappings'!$J$186:$J$201,MATCH($C1495,SubKey,0))</f>
        <v>rail</v>
      </c>
      <c r="AV1495" s="3">
        <f>INDEX('Constants and Mappings'!$K$186:$K$201,MATCH($C1495,SubKey,0))</f>
        <v>1.0</v>
      </c>
      <c r="AW1495" s="3" t="str">
        <f>INDEX('Constants and Mappings'!$L$186:$L$201,MATCH($C1495,SubKey,0))&amp;""</f>
        <v/>
      </c>
      <c r="AX1495" s="3">
        <f>INDEX('Constants and Mappings'!$M$186:$M$201,MATCH($C1495,SubKey,0))</f>
        <v>0.0</v>
      </c>
      <c r="AY1495" s="3" t="n">
        <v>0</v>
      </c>
      <c r="AZ1495" s="3" t="n">
        <v>0</v>
      </c>
      <c r="BA1495" s="3" t="n">
        <v>0</v>
      </c>
      <c r="BB1495" s="3" t="n">
        <v>0</v>
      </c>
      <c r="BC1495" s="3" t="n">
        <v>0</v>
      </c>
      <c r="BD1495" s="3">
        <f>IFERROR($BB1495/$BC1495,0)</f>
        <v>0.0</v>
      </c>
      <c r="BE1495" s="133" t="n">
        <v>1</v>
      </c>
      <c r="BF1495" s="39" t="n">
        <v>1</v>
      </c>
    </row>
    <row r="1496">
      <c r="A1496" s="3" t="str">
        <f>$B1496&amp;"|"&amp;$C1496</f>
        <v>oop|ral</v>
      </c>
      <c r="B1496" s="8" t="inlineStr">
        <is>
          <t>oop</t>
        </is>
      </c>
      <c r="C1496" s="8" t="inlineStr">
        <is>
          <t>ral</t>
        </is>
      </c>
      <c r="D1496" s="3" t="str">
        <f>INDEX('Constants and Mappings'!$D$186:$D$201,MATCH($C1496,SubKey,0))</f>
        <v>tra</v>
      </c>
      <c r="E1496" s="3" t="str">
        <f>INDEX('Constants and Mappings'!$C$229:$C$237,MATCH($B1496,FuelKey,0))</f>
        <v>oil</v>
      </c>
      <c r="F1496" s="3" t="str">
        <f>INDEX('Constants and Mappings'!$D$229:$D$237,MATCH($B1496,FuelKey,0))</f>
        <v>oil</v>
      </c>
      <c r="G1496" s="3" t="str">
        <f>INDEX('Constants and Mappings'!$E$229:$E$237,MATCH($B1496,FuelKey,0))</f>
        <v>all</v>
      </c>
      <c r="H1496" s="3" t="str">
        <f>INDEX('Constants and Mappings'!$F$186:$F$201,MATCH($C1496,SubKey,0))</f>
        <v>ind</v>
      </c>
      <c r="I1496" s="3" t="str">
        <f>INDEX('Constants and Mappings'!$I$229:$I$237,MATCH($B1496,FuelKey,0))&amp;"."&amp;IF($G1496="sub",$H1496,"all")</f>
        <v>oop.all</v>
      </c>
      <c r="J1496" s="3" t="str">
        <f>INDEX('Constants and Mappings'!$E$186:$E$201,MATCH($C1496,SubKey,0))</f>
        <v>rod</v>
      </c>
      <c r="K1496" s="3">
        <f>INDEX('Constants and Mappings'!$G$229:$G$237,MATCH($B1496,FuelKey,0))</f>
        <v>6.12</v>
      </c>
      <c r="L1496" s="3">
        <f>INDEX('Constants and Mappings'!$H$229:$H$237,MATCH($B1496,FuelKey,0))</f>
        <v>8.0</v>
      </c>
      <c r="M1496" s="3">
        <f>INDEX('Constants and Mappings'!$H$186:$H$201,MATCH($C1496,SubKey,0))</f>
        <v>3.0</v>
      </c>
      <c r="N1496" s="3">
        <f>INDEX('Constants and Mappings'!$E$300:$E$313,MATCH($I1496,'Constants and Mappings'!$A$300:$A$313,0))</f>
        <v>13.0</v>
      </c>
      <c r="O1496" s="48">
        <f>INDEX(ElaSel,MATCH("inc|"&amp;$E1496&amp;"|"&amp;$D1496,ElaSelKey,0))</f>
        <v>0.8</v>
      </c>
      <c r="P1496" s="48">
        <f>INDEX(ElaSel,MATCH("usg|"&amp;$E1496&amp;"|"&amp;$D1496,ElaSelKey,0))</f>
        <v>-0.3</v>
      </c>
      <c r="Q1496" s="48">
        <f>INDEX(ElaSel,MATCH("eff|"&amp;$E1496&amp;"|"&amp;$D1496,ElaSelKey,0))</f>
        <v>-0.4</v>
      </c>
      <c r="R1496" s="225">
        <f>INDEX(ElaSel,MATCH("aei|"&amp;$F1496&amp;"|"&amp;$D1496,ElaSelKey,0))</f>
        <v>0.01</v>
      </c>
      <c r="S1496" s="133" t="n">
        <v>1</v>
      </c>
      <c r="T1496" s="48">
        <f>$Q1496*(1+$P1496)</f>
        <v>-0.27999999999999997</v>
      </c>
      <c r="U1496" s="3">
        <f>INDEX('Constants and Mappings'!$E$1633:$E$1644,MATCH($I1496,'Constants and Mappings'!$A$1633:$A$1644,0))</f>
        <v>283.0</v>
      </c>
      <c r="V1496" s="225">
        <f>INDEX('Constants and Mappings'!$V$1633:$V$1644,MATCH($I1496,'Constants and Mappings'!$A$1633:$A$1644,0))</f>
        <v>0.0</v>
      </c>
      <c r="W1496" s="197">
        <f>INDEX(EFSel,MATCH($B1496&amp;"|"&amp;$J1496,EFSelKey,0))*EFCalib</f>
        <v>0.07049322251858033</v>
      </c>
      <c r="X1496" s="195">
        <f>IF(LEFT(BalOpt,3)="Bal",$AY1496*$AV1496+$AZ1496*$AX1496,$BA1496)</f>
        <v>0.0</v>
      </c>
      <c r="Y1496" s="3" t="str">
        <f>IF($G1496="sub",$H1496,IF($B1496="oop","ind","trs"))</f>
        <v>ind</v>
      </c>
      <c r="Z1496" s="39">
        <f>IFERROR(MATCH($Y1496&amp;"|"&amp;$B1496,XKey,0),1)</f>
        <v>36.0</v>
      </c>
      <c r="AA1496" s="48">
        <f>INDEX(XCTVal,$Z1496,ECPEmb)+INDEX(XETSVal,$Z1496,ECPEmb)</f>
        <v>0.0</v>
      </c>
      <c r="AB1496" s="8" t="inlineStr">
        <is>
          <t>ral</t>
        </is>
      </c>
      <c r="AC1496" s="8" t="inlineStr">
        <is>
          <t>oop</t>
        </is>
      </c>
      <c r="AD1496" s="197">
        <f>IFERROR(INDEX(NCEfIn,MATCH($AB1496&amp;"."&amp;$AC1496&amp;".ch4",NCEfKey,0)),0)</f>
        <v>0.0</v>
      </c>
      <c r="AE1496" s="197">
        <f>IFERROR(INDEX(NCEfFin,MATCH($AB1496&amp;"."&amp;$AC1496&amp;".ch4",NCEfKey,0)),0)</f>
        <v>0.0</v>
      </c>
      <c r="AF1496" s="3" t="n">
        <v>0</v>
      </c>
      <c r="AG1496" s="197">
        <f>IFERROR(INDEX(NCEfIn,MATCH($AB1496&amp;"."&amp;$AC1496&amp;".pm2",NCEfKey,0)),0)</f>
        <v>0.0</v>
      </c>
      <c r="AH1496" s="197">
        <f>IFERROR(INDEX(NCEfFin,MATCH($AB1496&amp;"."&amp;$AC1496&amp;".pm2",NCEfKey,0)),0)</f>
        <v>0.0</v>
      </c>
      <c r="AI1496" s="197">
        <f>IFERROR(INDEX(NCEfIn,MATCH($AB1496&amp;"."&amp;$AC1496&amp;".nox",NCEfKey,0)),0)</f>
        <v>0.0</v>
      </c>
      <c r="AJ1496" s="197">
        <f>IFERROR(INDEX(NCEfFin,MATCH($AB1496&amp;"."&amp;$AC1496&amp;".nox",NCEfKey,0)),0)</f>
        <v>0.0</v>
      </c>
      <c r="AK1496" s="197">
        <f>IFERROR(INDEX(NCEfIn,MATCH($AB1496&amp;"."&amp;$AC1496&amp;".so2",NCEfKey,0)),0)</f>
        <v>0.0</v>
      </c>
      <c r="AL1496" s="197">
        <f>IFERROR(INDEX(NCEfFin,MATCH($AB1496&amp;"."&amp;$AC1496&amp;".so2",NCEfKey,0)),0)</f>
        <v>0.0</v>
      </c>
      <c r="AM1496" s="197">
        <f>IFERROR(INDEX(NCEfIn,MATCH($AB1496&amp;"."&amp;$AC1496&amp;".voc",NCEfKey,0)),0)</f>
        <v>0.0</v>
      </c>
      <c r="AN1496" s="197">
        <f>IFERROR(INDEX(NCEfFin,MATCH($AB1496&amp;"."&amp;$AC1496&amp;".voc",NCEfKey,0)),0)</f>
        <v>0.0</v>
      </c>
      <c r="AO1496" s="197">
        <f>IFERROR(INDEX(NCEfIn,MATCH($AB1496&amp;"."&amp;$AC1496&amp;".bc",NCEfKey,0)),0)</f>
        <v>0.0</v>
      </c>
      <c r="AP1496" s="197">
        <f>IFERROR(INDEX(NCEfFin,MATCH($AB1496&amp;"."&amp;$AC1496&amp;".bc",NCEfKey,0)),0)</f>
        <v>0.0</v>
      </c>
      <c r="AQ1496" s="197">
        <f>IFERROR(INDEX(NCEfIn,MATCH($AB1496&amp;"."&amp;$AC1496&amp;".oc",NCEfKey,0)),0)</f>
        <v>0.0</v>
      </c>
      <c r="AR1496" s="197">
        <f>IFERROR(INDEX(NCEfFin,MATCH($AB1496&amp;"."&amp;$AC1496&amp;".oc",NCEfKey,0)),0)</f>
        <v>0.0</v>
      </c>
      <c r="AS1496" s="197">
        <f>IFERROR(INDEX(NCEfIn,MATCH($AB1496&amp;"."&amp;$AC1496&amp;".co",NCEfKey,0)),0)</f>
        <v>0.0</v>
      </c>
      <c r="AT1496" s="197">
        <f>IFERROR(INDEX(NCEfFin,MATCH($AB1496&amp;"."&amp;$AC1496&amp;".co",NCEfKey,0)),0)</f>
        <v>0.0</v>
      </c>
      <c r="AU1496" s="3" t="str">
        <f>INDEX('Constants and Mappings'!$J$186:$J$201,MATCH($C1496,SubKey,0))</f>
        <v>rail</v>
      </c>
      <c r="AV1496" s="3">
        <f>INDEX('Constants and Mappings'!$K$186:$K$201,MATCH($C1496,SubKey,0))</f>
        <v>1.0</v>
      </c>
      <c r="AW1496" s="3" t="str">
        <f>INDEX('Constants and Mappings'!$L$186:$L$201,MATCH($C1496,SubKey,0))&amp;""</f>
        <v/>
      </c>
      <c r="AX1496" s="3">
        <f>INDEX('Constants and Mappings'!$M$186:$M$201,MATCH($C1496,SubKey,0))</f>
        <v>0.0</v>
      </c>
      <c r="AY1496" s="3" t="n">
        <v>0</v>
      </c>
      <c r="AZ1496" s="3" t="n">
        <v>0</v>
      </c>
      <c r="BA1496" s="3" t="n">
        <v>0</v>
      </c>
      <c r="BB1496" s="3" t="n">
        <v>0</v>
      </c>
      <c r="BC1496" s="3" t="n">
        <v>0</v>
      </c>
      <c r="BD1496" s="3">
        <f>IFERROR($BB1496/$BC1496,0)</f>
        <v>0.0</v>
      </c>
      <c r="BE1496" s="133" t="n">
        <v>1</v>
      </c>
      <c r="BF1496" s="39" t="n">
        <v>1</v>
      </c>
    </row>
    <row r="1497">
      <c r="A1497" s="3" t="str">
        <f>$B1497&amp;"|"&amp;$C1497</f>
        <v>bio|ral</v>
      </c>
      <c r="B1497" s="8" t="inlineStr">
        <is>
          <t>bio</t>
        </is>
      </c>
      <c r="C1497" s="8" t="inlineStr">
        <is>
          <t>ral</t>
        </is>
      </c>
      <c r="D1497" s="3" t="str">
        <f>INDEX('Constants and Mappings'!$D$186:$D$201,MATCH($C1497,SubKey,0))</f>
        <v>tra</v>
      </c>
      <c r="E1497" s="3" t="str">
        <f>INDEX('Constants and Mappings'!$C$229:$C$237,MATCH($B1497,FuelKey,0))</f>
        <v>bio</v>
      </c>
      <c r="F1497" s="3" t="str">
        <f>INDEX('Constants and Mappings'!$D$229:$D$237,MATCH($B1497,FuelKey,0))</f>
        <v>bio</v>
      </c>
      <c r="G1497" s="3" t="str">
        <f>INDEX('Constants and Mappings'!$E$229:$E$237,MATCH($B1497,FuelKey,0))</f>
        <v>all</v>
      </c>
      <c r="H1497" s="3" t="str">
        <f>INDEX('Constants and Mappings'!$F$186:$F$201,MATCH($C1497,SubKey,0))</f>
        <v>ind</v>
      </c>
      <c r="I1497" s="3" t="str">
        <f>INDEX('Constants and Mappings'!$I$229:$I$237,MATCH($B1497,FuelKey,0))&amp;"."&amp;IF($G1497="sub",$H1497,"all")</f>
        <v>bio.all</v>
      </c>
      <c r="J1497" s="3" t="str">
        <f>INDEX('Constants and Mappings'!$E$186:$E$201,MATCH($C1497,SubKey,0))</f>
        <v>rod</v>
      </c>
      <c r="K1497" s="3">
        <f>INDEX('Constants and Mappings'!$G$229:$G$237,MATCH($B1497,FuelKey,0))</f>
        <v>1.0</v>
      </c>
      <c r="L1497" s="3">
        <f>INDEX('Constants and Mappings'!$H$229:$H$237,MATCH($B1497,FuelKey,0))</f>
        <v>9.0</v>
      </c>
      <c r="M1497" s="3">
        <f>INDEX('Constants and Mappings'!$H$186:$H$201,MATCH($C1497,SubKey,0))</f>
        <v>3.0</v>
      </c>
      <c r="N1497" s="3">
        <f>INDEX('Constants and Mappings'!$E$300:$E$313,MATCH($I1497,'Constants and Mappings'!$A$300:$A$313,0))</f>
        <v>14.0</v>
      </c>
      <c r="O1497" s="48">
        <f>INDEX(ElaSel,MATCH("inc|"&amp;$E1497&amp;"|"&amp;$D1497,ElaSelKey,0))</f>
        <v>0.0</v>
      </c>
      <c r="P1497" s="48">
        <f>INDEX(ElaSel,MATCH("usg|"&amp;$E1497&amp;"|"&amp;$D1497,ElaSelKey,0))</f>
        <v>-0.3</v>
      </c>
      <c r="Q1497" s="48">
        <f>INDEX(ElaSel,MATCH("eff|"&amp;$E1497&amp;"|"&amp;$D1497,ElaSelKey,0))</f>
        <v>-0.2</v>
      </c>
      <c r="R1497" s="225">
        <f>INDEX(ElaSel,MATCH("aei|"&amp;$F1497&amp;"|"&amp;$D1497,ElaSelKey,0))</f>
        <v>0.01</v>
      </c>
      <c r="S1497" s="133" t="n">
        <v>1</v>
      </c>
      <c r="T1497" s="48">
        <f>$Q1497*(1+$P1497)</f>
        <v>-0.13999999999999999</v>
      </c>
      <c r="U1497" s="3">
        <f>INDEX('Constants and Mappings'!$E$1633:$E$1644,MATCH($I1497,'Constants and Mappings'!$A$1633:$A$1644,0))</f>
        <v>312.0</v>
      </c>
      <c r="V1497" s="225">
        <f>INDEX('Constants and Mappings'!$V$1633:$V$1644,MATCH($I1497,'Constants and Mappings'!$A$1633:$A$1644,0))</f>
        <v>0.0</v>
      </c>
      <c r="W1497" s="197">
        <f>INDEX(EFSel,MATCH($B1497&amp;"|"&amp;$J1497,EFSelKey,0))*EFCalib</f>
        <v>0.0</v>
      </c>
      <c r="X1497" s="195">
        <f>IF(LEFT(BalOpt,3)="Bal",$AY1497*$AV1497+$AZ1497*$AX1497,$BA1497)</f>
        <v>0.0</v>
      </c>
      <c r="Y1497" s="3" t="str">
        <f>IF($G1497="sub",$H1497,IF($B1497="oop","ind","trs"))</f>
        <v>trs</v>
      </c>
      <c r="Z1497" s="39">
        <f>IFERROR(MATCH($Y1497&amp;"|"&amp;$B1497,XKey,0),1)</f>
        <v>19.0</v>
      </c>
      <c r="AA1497" s="48">
        <f>INDEX(XCTVal,$Z1497,ECPEmb)+INDEX(XETSVal,$Z1497,ECPEmb)</f>
        <v>0.0</v>
      </c>
      <c r="AB1497" s="8" t="inlineStr">
        <is>
          <t>ral</t>
        </is>
      </c>
      <c r="AC1497" s="8" t="inlineStr">
        <is>
          <t>bio</t>
        </is>
      </c>
      <c r="AD1497" s="197">
        <f>IFERROR(INDEX(NCEfIn,MATCH($AB1497&amp;"."&amp;$AC1497&amp;".ch4",NCEfKey,0)),0)</f>
        <v>0.0</v>
      </c>
      <c r="AE1497" s="197">
        <f>IFERROR(INDEX(NCEfFin,MATCH($AB1497&amp;"."&amp;$AC1497&amp;".ch4",NCEfKey,0)),0)</f>
        <v>0.0</v>
      </c>
      <c r="AF1497" s="3" t="n">
        <v>0</v>
      </c>
      <c r="AG1497" s="197">
        <f>IFERROR(INDEX(NCEfIn,MATCH($AB1497&amp;"."&amp;$AC1497&amp;".pm2",NCEfKey,0)),0)</f>
        <v>0.0</v>
      </c>
      <c r="AH1497" s="197">
        <f>IFERROR(INDEX(NCEfFin,MATCH($AB1497&amp;"."&amp;$AC1497&amp;".pm2",NCEfKey,0)),0)</f>
        <v>0.0</v>
      </c>
      <c r="AI1497" s="197">
        <f>IFERROR(INDEX(NCEfIn,MATCH($AB1497&amp;"."&amp;$AC1497&amp;".nox",NCEfKey,0)),0)</f>
        <v>0.0</v>
      </c>
      <c r="AJ1497" s="197">
        <f>IFERROR(INDEX(NCEfFin,MATCH($AB1497&amp;"."&amp;$AC1497&amp;".nox",NCEfKey,0)),0)</f>
        <v>0.0</v>
      </c>
      <c r="AK1497" s="197">
        <f>IFERROR(INDEX(NCEfIn,MATCH($AB1497&amp;"."&amp;$AC1497&amp;".so2",NCEfKey,0)),0)</f>
        <v>0.0</v>
      </c>
      <c r="AL1497" s="197">
        <f>IFERROR(INDEX(NCEfFin,MATCH($AB1497&amp;"."&amp;$AC1497&amp;".so2",NCEfKey,0)),0)</f>
        <v>0.0</v>
      </c>
      <c r="AM1497" s="197">
        <f>IFERROR(INDEX(NCEfIn,MATCH($AB1497&amp;"."&amp;$AC1497&amp;".voc",NCEfKey,0)),0)</f>
        <v>0.0</v>
      </c>
      <c r="AN1497" s="197">
        <f>IFERROR(INDEX(NCEfFin,MATCH($AB1497&amp;"."&amp;$AC1497&amp;".voc",NCEfKey,0)),0)</f>
        <v>0.0</v>
      </c>
      <c r="AO1497" s="197">
        <f>IFERROR(INDEX(NCEfIn,MATCH($AB1497&amp;"."&amp;$AC1497&amp;".bc",NCEfKey,0)),0)</f>
        <v>0.0</v>
      </c>
      <c r="AP1497" s="197">
        <f>IFERROR(INDEX(NCEfFin,MATCH($AB1497&amp;"."&amp;$AC1497&amp;".bc",NCEfKey,0)),0)</f>
        <v>0.0</v>
      </c>
      <c r="AQ1497" s="197">
        <f>IFERROR(INDEX(NCEfIn,MATCH($AB1497&amp;"."&amp;$AC1497&amp;".oc",NCEfKey,0)),0)</f>
        <v>0.0</v>
      </c>
      <c r="AR1497" s="197">
        <f>IFERROR(INDEX(NCEfFin,MATCH($AB1497&amp;"."&amp;$AC1497&amp;".oc",NCEfKey,0)),0)</f>
        <v>0.0</v>
      </c>
      <c r="AS1497" s="197">
        <f>IFERROR(INDEX(NCEfIn,MATCH($AB1497&amp;"."&amp;$AC1497&amp;".co",NCEfKey,0)),0)</f>
        <v>0.0</v>
      </c>
      <c r="AT1497" s="197">
        <f>IFERROR(INDEX(NCEfFin,MATCH($AB1497&amp;"."&amp;$AC1497&amp;".co",NCEfKey,0)),0)</f>
        <v>0.0</v>
      </c>
      <c r="AU1497" s="3" t="str">
        <f>INDEX('Constants and Mappings'!$J$186:$J$201,MATCH($C1497,SubKey,0))</f>
        <v>rail</v>
      </c>
      <c r="AV1497" s="3">
        <f>INDEX('Constants and Mappings'!$K$186:$K$201,MATCH($C1497,SubKey,0))</f>
        <v>1.0</v>
      </c>
      <c r="AW1497" s="3" t="str">
        <f>INDEX('Constants and Mappings'!$L$186:$L$201,MATCH($C1497,SubKey,0))&amp;""</f>
        <v/>
      </c>
      <c r="AX1497" s="3">
        <f>INDEX('Constants and Mappings'!$M$186:$M$201,MATCH($C1497,SubKey,0))</f>
        <v>0.0</v>
      </c>
      <c r="AY1497" s="3" t="n">
        <v>0</v>
      </c>
      <c r="AZ1497" s="3" t="n">
        <v>0</v>
      </c>
      <c r="BA1497" s="3" t="n">
        <v>0</v>
      </c>
      <c r="BB1497" s="3" t="n">
        <v>0</v>
      </c>
      <c r="BC1497" s="3" t="n">
        <v>0</v>
      </c>
      <c r="BD1497" s="3">
        <f>IFERROR($BB1497/$BC1497,0)</f>
        <v>0.0</v>
      </c>
      <c r="BE1497" s="133" t="n">
        <v>1</v>
      </c>
      <c r="BF1497" s="39" t="n">
        <v>1</v>
      </c>
    </row>
    <row r="1498">
      <c r="A1498" s="3" t="str">
        <f>$B1498&amp;"|"&amp;$C1498</f>
        <v>coa|avi</v>
      </c>
      <c r="B1498" s="8" t="inlineStr">
        <is>
          <t>coa</t>
        </is>
      </c>
      <c r="C1498" s="8" t="inlineStr">
        <is>
          <t>avi</t>
        </is>
      </c>
      <c r="D1498" s="3" t="str">
        <f>INDEX('Constants and Mappings'!$D$186:$D$201,MATCH($C1498,SubKey,0))</f>
        <v>tra</v>
      </c>
      <c r="E1498" s="3" t="str">
        <f>INDEX('Constants and Mappings'!$C$229:$C$237,MATCH($B1498,FuelKey,0))</f>
        <v>coa</v>
      </c>
      <c r="F1498" s="3" t="str">
        <f>INDEX('Constants and Mappings'!$D$229:$D$237,MATCH($B1498,FuelKey,0))</f>
        <v>coa</v>
      </c>
      <c r="G1498" s="3" t="str">
        <f>INDEX('Constants and Mappings'!$E$229:$E$237,MATCH($B1498,FuelKey,0))</f>
        <v>sub</v>
      </c>
      <c r="H1498" s="3" t="str">
        <f>INDEX('Constants and Mappings'!$F$186:$F$201,MATCH($C1498,SubKey,0))</f>
        <v>ind</v>
      </c>
      <c r="I1498" s="3" t="str">
        <f>INDEX('Constants and Mappings'!$I$229:$I$237,MATCH($B1498,FuelKey,0))&amp;"."&amp;IF($G1498="sub",$H1498,"all")</f>
        <v>coa.ind</v>
      </c>
      <c r="J1498" s="3" t="str">
        <f>INDEX('Constants and Mappings'!$E$186:$E$201,MATCH($C1498,SubKey,0))</f>
        <v>rod</v>
      </c>
      <c r="K1498" s="3">
        <f>INDEX('Constants and Mappings'!$G$229:$G$237,MATCH($B1498,FuelKey,0))</f>
        <v>1.0</v>
      </c>
      <c r="L1498" s="3">
        <f>INDEX('Constants and Mappings'!$H$229:$H$237,MATCH($B1498,FuelKey,0))</f>
        <v>1.0</v>
      </c>
      <c r="M1498" s="3">
        <f>INDEX('Constants and Mappings'!$H$186:$H$201,MATCH($C1498,SubKey,0))</f>
        <v>4.0</v>
      </c>
      <c r="N1498" s="3">
        <f>INDEX('Constants and Mappings'!$E$300:$E$313,MATCH($I1498,'Constants and Mappings'!$A$300:$A$313,0))</f>
        <v>3.0</v>
      </c>
      <c r="O1498" s="48">
        <f>INDEX(ElaSel,MATCH("inc|"&amp;$E1498&amp;"|"&amp;$D1498,ElaSelKey,0))</f>
        <v>0.0</v>
      </c>
      <c r="P1498" s="48">
        <f>INDEX(ElaSel,MATCH("usg|"&amp;$E1498&amp;"|"&amp;$D1498,ElaSelKey,0))</f>
        <v>-0.3</v>
      </c>
      <c r="Q1498" s="48">
        <f>INDEX(ElaSel,MATCH("eff|"&amp;$E1498&amp;"|"&amp;$D1498,ElaSelKey,0))</f>
        <v>-0.4</v>
      </c>
      <c r="R1498" s="225">
        <f>INDEX(ElaSel,MATCH("aei|"&amp;$F1498&amp;"|"&amp;$D1498,ElaSelKey,0))</f>
        <v>0.01</v>
      </c>
      <c r="S1498" s="133" t="n">
        <v>1</v>
      </c>
      <c r="T1498" s="48">
        <f>$Q1498*(1+$P1498)</f>
        <v>-0.27999999999999997</v>
      </c>
      <c r="U1498" s="3">
        <f>INDEX('Constants and Mappings'!$E$1633:$E$1644,MATCH($I1498,'Constants and Mappings'!$A$1633:$A$1644,0))</f>
        <v>55.0</v>
      </c>
      <c r="V1498" s="225">
        <f>INDEX('Constants and Mappings'!$V$1633:$V$1644,MATCH($I1498,'Constants and Mappings'!$A$1633:$A$1644,0))</f>
        <v>0.0</v>
      </c>
      <c r="W1498" s="197">
        <f>INDEX(EFSel,MATCH($B1498&amp;"|"&amp;$J1498,EFSelKey,0))*EFCalib</f>
        <v>0.09388742715307763</v>
      </c>
      <c r="X1498" s="195">
        <f>IF(LEFT(BalOpt,3)="Bal",$AY1498*$AV1498+$AZ1498*$AX1498,$BA1498)</f>
        <v>0.0</v>
      </c>
      <c r="Y1498" s="3" t="str">
        <f>IF($G1498="sub",$H1498,IF($B1498="oop","ind","trs"))</f>
        <v>ind</v>
      </c>
      <c r="Z1498" s="39">
        <f>IFERROR(MATCH($Y1498&amp;"|"&amp;$B1498,XKey,0),1)</f>
        <v>29.0</v>
      </c>
      <c r="AA1498" s="48">
        <f>INDEX(XCTVal,$Z1498,ECPEmb)+INDEX(XETSVal,$Z1498,ECPEmb)</f>
        <v>0.0</v>
      </c>
      <c r="AB1498" s="8" t="inlineStr">
        <is>
          <t>avi</t>
        </is>
      </c>
      <c r="AC1498" s="8" t="inlineStr">
        <is>
          <t>coa</t>
        </is>
      </c>
      <c r="AD1498" s="197">
        <f>IFERROR(INDEX(NCEfIn,MATCH($AB1498&amp;"."&amp;$AC1498&amp;".ch4",NCEfKey,0)),0)</f>
        <v>0.0</v>
      </c>
      <c r="AE1498" s="197">
        <f>IFERROR(INDEX(NCEfFin,MATCH($AB1498&amp;"."&amp;$AC1498&amp;".ch4",NCEfKey,0)),0)</f>
        <v>0.0</v>
      </c>
      <c r="AF1498" s="3" t="n">
        <v>0</v>
      </c>
      <c r="AG1498" s="197">
        <f>IFERROR(INDEX(NCEfIn,MATCH($AB1498&amp;"."&amp;$AC1498&amp;".pm2",NCEfKey,0)),0)</f>
        <v>0.0</v>
      </c>
      <c r="AH1498" s="197">
        <f>IFERROR(INDEX(NCEfFin,MATCH($AB1498&amp;"."&amp;$AC1498&amp;".pm2",NCEfKey,0)),0)</f>
        <v>0.0</v>
      </c>
      <c r="AI1498" s="197">
        <f>IFERROR(INDEX(NCEfIn,MATCH($AB1498&amp;"."&amp;$AC1498&amp;".nox",NCEfKey,0)),0)</f>
        <v>0.0</v>
      </c>
      <c r="AJ1498" s="197">
        <f>IFERROR(INDEX(NCEfFin,MATCH($AB1498&amp;"."&amp;$AC1498&amp;".nox",NCEfKey,0)),0)</f>
        <v>0.0</v>
      </c>
      <c r="AK1498" s="197">
        <f>IFERROR(INDEX(NCEfIn,MATCH($AB1498&amp;"."&amp;$AC1498&amp;".so2",NCEfKey,0)),0)</f>
        <v>0.0</v>
      </c>
      <c r="AL1498" s="197">
        <f>IFERROR(INDEX(NCEfFin,MATCH($AB1498&amp;"."&amp;$AC1498&amp;".so2",NCEfKey,0)),0)</f>
        <v>0.0</v>
      </c>
      <c r="AM1498" s="197">
        <f>IFERROR(INDEX(NCEfIn,MATCH($AB1498&amp;"."&amp;$AC1498&amp;".voc",NCEfKey,0)),0)</f>
        <v>0.0</v>
      </c>
      <c r="AN1498" s="197">
        <f>IFERROR(INDEX(NCEfFin,MATCH($AB1498&amp;"."&amp;$AC1498&amp;".voc",NCEfKey,0)),0)</f>
        <v>0.0</v>
      </c>
      <c r="AO1498" s="197">
        <f>IFERROR(INDEX(NCEfIn,MATCH($AB1498&amp;"."&amp;$AC1498&amp;".bc",NCEfKey,0)),0)</f>
        <v>0.0</v>
      </c>
      <c r="AP1498" s="197">
        <f>IFERROR(INDEX(NCEfFin,MATCH($AB1498&amp;"."&amp;$AC1498&amp;".bc",NCEfKey,0)),0)</f>
        <v>0.0</v>
      </c>
      <c r="AQ1498" s="197">
        <f>IFERROR(INDEX(NCEfIn,MATCH($AB1498&amp;"."&amp;$AC1498&amp;".oc",NCEfKey,0)),0)</f>
        <v>0.0</v>
      </c>
      <c r="AR1498" s="197">
        <f>IFERROR(INDEX(NCEfFin,MATCH($AB1498&amp;"."&amp;$AC1498&amp;".oc",NCEfKey,0)),0)</f>
        <v>0.0</v>
      </c>
      <c r="AS1498" s="197">
        <f>IFERROR(INDEX(NCEfIn,MATCH($AB1498&amp;"."&amp;$AC1498&amp;".co",NCEfKey,0)),0)</f>
        <v>0.0</v>
      </c>
      <c r="AT1498" s="197">
        <f>IFERROR(INDEX(NCEfFin,MATCH($AB1498&amp;"."&amp;$AC1498&amp;".co",NCEfKey,0)),0)</f>
        <v>0.0</v>
      </c>
      <c r="AU1498" s="3" t="str">
        <f>INDEX('Constants and Mappings'!$J$186:$J$201,MATCH($C1498,SubKey,0))</f>
        <v>domesair</v>
      </c>
      <c r="AV1498" s="3">
        <f>INDEX('Constants and Mappings'!$K$186:$K$201,MATCH($C1498,SubKey,0))</f>
        <v>1.0</v>
      </c>
      <c r="AW1498" s="3" t="str">
        <f>INDEX('Constants and Mappings'!$L$186:$L$201,MATCH($C1498,SubKey,0))&amp;""</f>
        <v/>
      </c>
      <c r="AX1498" s="3">
        <f>INDEX('Constants and Mappings'!$M$186:$M$201,MATCH($C1498,SubKey,0))</f>
        <v>0.0</v>
      </c>
      <c r="AY1498" s="3" t="n">
        <v>0</v>
      </c>
      <c r="AZ1498" s="3" t="n">
        <v>0</v>
      </c>
      <c r="BA1498" s="3" t="n">
        <v>0</v>
      </c>
      <c r="BB1498" s="3" t="n">
        <v>0</v>
      </c>
      <c r="BC1498" s="3" t="n">
        <v>0</v>
      </c>
      <c r="BD1498" s="3">
        <f>IFERROR($BB1498/$BC1498,0)</f>
        <v>0.0</v>
      </c>
      <c r="BE1498" s="133" t="n">
        <v>1</v>
      </c>
      <c r="BF1498" s="39" t="n">
        <v>1</v>
      </c>
    </row>
    <row r="1499">
      <c r="A1499" s="3" t="str">
        <f>$B1499&amp;"|"&amp;$C1499</f>
        <v>nga|avi</v>
      </c>
      <c r="B1499" s="8" t="inlineStr">
        <is>
          <t>nga</t>
        </is>
      </c>
      <c r="C1499" s="8" t="inlineStr">
        <is>
          <t>avi</t>
        </is>
      </c>
      <c r="D1499" s="3" t="str">
        <f>INDEX('Constants and Mappings'!$D$186:$D$201,MATCH($C1499,SubKey,0))</f>
        <v>tra</v>
      </c>
      <c r="E1499" s="3" t="str">
        <f>INDEX('Constants and Mappings'!$C$229:$C$237,MATCH($B1499,FuelKey,0))</f>
        <v>nga</v>
      </c>
      <c r="F1499" s="3" t="str">
        <f>INDEX('Constants and Mappings'!$D$229:$D$237,MATCH($B1499,FuelKey,0))</f>
        <v>nga</v>
      </c>
      <c r="G1499" s="3" t="str">
        <f>INDEX('Constants and Mappings'!$E$229:$E$237,MATCH($B1499,FuelKey,0))</f>
        <v>sub</v>
      </c>
      <c r="H1499" s="3" t="str">
        <f>INDEX('Constants and Mappings'!$F$186:$F$201,MATCH($C1499,SubKey,0))</f>
        <v>ind</v>
      </c>
      <c r="I1499" s="3" t="str">
        <f>INDEX('Constants and Mappings'!$I$229:$I$237,MATCH($B1499,FuelKey,0))&amp;"."&amp;IF($G1499="sub",$H1499,"all")</f>
        <v>nga.ind</v>
      </c>
      <c r="J1499" s="3" t="str">
        <f>INDEX('Constants and Mappings'!$E$186:$E$201,MATCH($C1499,SubKey,0))</f>
        <v>rod</v>
      </c>
      <c r="K1499" s="3">
        <f>INDEX('Constants and Mappings'!$G$229:$G$237,MATCH($B1499,FuelKey,0))</f>
        <v>1.0</v>
      </c>
      <c r="L1499" s="3">
        <f>INDEX('Constants and Mappings'!$H$229:$H$237,MATCH($B1499,FuelKey,0))</f>
        <v>2.0</v>
      </c>
      <c r="M1499" s="3">
        <f>INDEX('Constants and Mappings'!$H$186:$H$201,MATCH($C1499,SubKey,0))</f>
        <v>4.0</v>
      </c>
      <c r="N1499" s="3">
        <f>INDEX('Constants and Mappings'!$E$300:$E$313,MATCH($I1499,'Constants and Mappings'!$A$300:$A$313,0))</f>
        <v>6.0</v>
      </c>
      <c r="O1499" s="48">
        <f>INDEX(ElaSel,MATCH("inc|"&amp;$E1499&amp;"|"&amp;$D1499,ElaSelKey,0))</f>
        <v>0.5</v>
      </c>
      <c r="P1499" s="48">
        <f>INDEX(ElaSel,MATCH("usg|"&amp;$E1499&amp;"|"&amp;$D1499,ElaSelKey,0))</f>
        <v>-0.5</v>
      </c>
      <c r="Q1499" s="48">
        <f>INDEX(ElaSel,MATCH("eff|"&amp;$E1499&amp;"|"&amp;$D1499,ElaSelKey,0))</f>
        <v>-0.4</v>
      </c>
      <c r="R1499" s="225">
        <f>INDEX(ElaSel,MATCH("aei|"&amp;$F1499&amp;"|"&amp;$D1499,ElaSelKey,0))</f>
        <v>0.01</v>
      </c>
      <c r="S1499" s="133" t="n">
        <v>1</v>
      </c>
      <c r="T1499" s="48">
        <f>$Q1499*(1+$P1499)</f>
        <v>-0.2</v>
      </c>
      <c r="U1499" s="3">
        <f>INDEX('Constants and Mappings'!$E$1633:$E$1644,MATCH($I1499,'Constants and Mappings'!$A$1633:$A$1644,0))</f>
        <v>138.0</v>
      </c>
      <c r="V1499" s="225">
        <f>INDEX('Constants and Mappings'!$V$1633:$V$1644,MATCH($I1499,'Constants and Mappings'!$A$1633:$A$1644,0))</f>
        <v>0.0</v>
      </c>
      <c r="W1499" s="197">
        <f>INDEX(EFSel,MATCH($B1499&amp;"|"&amp;$J1499,EFSelKey,0))*EFCalib</f>
        <v>0.05555115616004721</v>
      </c>
      <c r="X1499" s="195">
        <f>IF(LEFT(BalOpt,3)="Bal",$AY1499*$AV1499+$AZ1499*$AX1499,$BA1499)</f>
        <v>0.0</v>
      </c>
      <c r="Y1499" s="3" t="str">
        <f>IF($G1499="sub",$H1499,IF($B1499="oop","ind","trs"))</f>
        <v>ind</v>
      </c>
      <c r="Z1499" s="39">
        <f>IFERROR(MATCH($Y1499&amp;"|"&amp;$B1499,XKey,0),1)</f>
        <v>30.0</v>
      </c>
      <c r="AA1499" s="48">
        <f>INDEX(XCTVal,$Z1499,ECPEmb)+INDEX(XETSVal,$Z1499,ECPEmb)</f>
        <v>0.0</v>
      </c>
      <c r="AB1499" s="8" t="inlineStr">
        <is>
          <t>avi</t>
        </is>
      </c>
      <c r="AC1499" s="8" t="inlineStr">
        <is>
          <t>nga</t>
        </is>
      </c>
      <c r="AD1499" s="197">
        <f>IFERROR(INDEX(NCEfIn,MATCH($AB1499&amp;"."&amp;$AC1499&amp;".ch4",NCEfKey,0)),0)</f>
        <v>0.0</v>
      </c>
      <c r="AE1499" s="197">
        <f>IFERROR(INDEX(NCEfFin,MATCH($AB1499&amp;"."&amp;$AC1499&amp;".ch4",NCEfKey,0)),0)</f>
        <v>0.0</v>
      </c>
      <c r="AF1499" s="3" t="n">
        <v>0</v>
      </c>
      <c r="AG1499" s="197">
        <f>IFERROR(INDEX(NCEfIn,MATCH($AB1499&amp;"."&amp;$AC1499&amp;".pm2",NCEfKey,0)),0)</f>
        <v>0.0</v>
      </c>
      <c r="AH1499" s="197">
        <f>IFERROR(INDEX(NCEfFin,MATCH($AB1499&amp;"."&amp;$AC1499&amp;".pm2",NCEfKey,0)),0)</f>
        <v>0.0</v>
      </c>
      <c r="AI1499" s="197">
        <f>IFERROR(INDEX(NCEfIn,MATCH($AB1499&amp;"."&amp;$AC1499&amp;".nox",NCEfKey,0)),0)</f>
        <v>0.0</v>
      </c>
      <c r="AJ1499" s="197">
        <f>IFERROR(INDEX(NCEfFin,MATCH($AB1499&amp;"."&amp;$AC1499&amp;".nox",NCEfKey,0)),0)</f>
        <v>0.0</v>
      </c>
      <c r="AK1499" s="197">
        <f>IFERROR(INDEX(NCEfIn,MATCH($AB1499&amp;"."&amp;$AC1499&amp;".so2",NCEfKey,0)),0)</f>
        <v>0.0</v>
      </c>
      <c r="AL1499" s="197">
        <f>IFERROR(INDEX(NCEfFin,MATCH($AB1499&amp;"."&amp;$AC1499&amp;".so2",NCEfKey,0)),0)</f>
        <v>0.0</v>
      </c>
      <c r="AM1499" s="197">
        <f>IFERROR(INDEX(NCEfIn,MATCH($AB1499&amp;"."&amp;$AC1499&amp;".voc",NCEfKey,0)),0)</f>
        <v>0.0</v>
      </c>
      <c r="AN1499" s="197">
        <f>IFERROR(INDEX(NCEfFin,MATCH($AB1499&amp;"."&amp;$AC1499&amp;".voc",NCEfKey,0)),0)</f>
        <v>0.0</v>
      </c>
      <c r="AO1499" s="197">
        <f>IFERROR(INDEX(NCEfIn,MATCH($AB1499&amp;"."&amp;$AC1499&amp;".bc",NCEfKey,0)),0)</f>
        <v>0.0</v>
      </c>
      <c r="AP1499" s="197">
        <f>IFERROR(INDEX(NCEfFin,MATCH($AB1499&amp;"."&amp;$AC1499&amp;".bc",NCEfKey,0)),0)</f>
        <v>0.0</v>
      </c>
      <c r="AQ1499" s="197">
        <f>IFERROR(INDEX(NCEfIn,MATCH($AB1499&amp;"."&amp;$AC1499&amp;".oc",NCEfKey,0)),0)</f>
        <v>0.0</v>
      </c>
      <c r="AR1499" s="197">
        <f>IFERROR(INDEX(NCEfFin,MATCH($AB1499&amp;"."&amp;$AC1499&amp;".oc",NCEfKey,0)),0)</f>
        <v>0.0</v>
      </c>
      <c r="AS1499" s="197">
        <f>IFERROR(INDEX(NCEfIn,MATCH($AB1499&amp;"."&amp;$AC1499&amp;".co",NCEfKey,0)),0)</f>
        <v>0.0</v>
      </c>
      <c r="AT1499" s="197">
        <f>IFERROR(INDEX(NCEfFin,MATCH($AB1499&amp;"."&amp;$AC1499&amp;".co",NCEfKey,0)),0)</f>
        <v>0.0</v>
      </c>
      <c r="AU1499" s="3" t="str">
        <f>INDEX('Constants and Mappings'!$J$186:$J$201,MATCH($C1499,SubKey,0))</f>
        <v>domesair</v>
      </c>
      <c r="AV1499" s="3">
        <f>INDEX('Constants and Mappings'!$K$186:$K$201,MATCH($C1499,SubKey,0))</f>
        <v>1.0</v>
      </c>
      <c r="AW1499" s="3" t="str">
        <f>INDEX('Constants and Mappings'!$L$186:$L$201,MATCH($C1499,SubKey,0))&amp;""</f>
        <v/>
      </c>
      <c r="AX1499" s="3">
        <f>INDEX('Constants and Mappings'!$M$186:$M$201,MATCH($C1499,SubKey,0))</f>
        <v>0.0</v>
      </c>
      <c r="AY1499" s="3" t="n">
        <v>0</v>
      </c>
      <c r="AZ1499" s="3" t="n">
        <v>0</v>
      </c>
      <c r="BA1499" s="3" t="n">
        <v>0</v>
      </c>
      <c r="BB1499" s="3" t="n">
        <v>0</v>
      </c>
      <c r="BC1499" s="3" t="n">
        <v>0</v>
      </c>
      <c r="BD1499" s="3">
        <f>IFERROR($BB1499/$BC1499,0)</f>
        <v>0.0</v>
      </c>
      <c r="BE1499" s="133" t="n">
        <v>1</v>
      </c>
      <c r="BF1499" s="39" t="n">
        <v>1</v>
      </c>
    </row>
    <row r="1500">
      <c r="A1500" s="3" t="str">
        <f>$B1500&amp;"|"&amp;$C1500</f>
        <v>gso|avi</v>
      </c>
      <c r="B1500" s="8" t="inlineStr">
        <is>
          <t>gso</t>
        </is>
      </c>
      <c r="C1500" s="8" t="inlineStr">
        <is>
          <t>avi</t>
        </is>
      </c>
      <c r="D1500" s="3" t="str">
        <f>INDEX('Constants and Mappings'!$D$186:$D$201,MATCH($C1500,SubKey,0))</f>
        <v>tra</v>
      </c>
      <c r="E1500" s="3" t="str">
        <f>INDEX('Constants and Mappings'!$C$229:$C$237,MATCH($B1500,FuelKey,0))</f>
        <v>gso</v>
      </c>
      <c r="F1500" s="3" t="str">
        <f>INDEX('Constants and Mappings'!$D$229:$D$237,MATCH($B1500,FuelKey,0))</f>
        <v>oil</v>
      </c>
      <c r="G1500" s="3" t="str">
        <f>INDEX('Constants and Mappings'!$E$229:$E$237,MATCH($B1500,FuelKey,0))</f>
        <v>all</v>
      </c>
      <c r="H1500" s="3" t="str">
        <f>INDEX('Constants and Mappings'!$F$186:$F$201,MATCH($C1500,SubKey,0))</f>
        <v>ind</v>
      </c>
      <c r="I1500" s="3" t="str">
        <f>INDEX('Constants and Mappings'!$I$229:$I$237,MATCH($B1500,FuelKey,0))&amp;"."&amp;IF($G1500="sub",$H1500,"all")</f>
        <v>gso.all</v>
      </c>
      <c r="J1500" s="3" t="str">
        <f>INDEX('Constants and Mappings'!$E$186:$E$201,MATCH($C1500,SubKey,0))</f>
        <v>rod</v>
      </c>
      <c r="K1500" s="3">
        <f>INDEX('Constants and Mappings'!$G$229:$G$237,MATCH($B1500,FuelKey,0))</f>
        <v>0.03496974000000001</v>
      </c>
      <c r="L1500" s="3">
        <f>INDEX('Constants and Mappings'!$H$229:$H$237,MATCH($B1500,FuelKey,0))</f>
        <v>3.0</v>
      </c>
      <c r="M1500" s="3">
        <f>INDEX('Constants and Mappings'!$H$186:$H$201,MATCH($C1500,SubKey,0))</f>
        <v>4.0</v>
      </c>
      <c r="N1500" s="3">
        <f>INDEX('Constants and Mappings'!$E$300:$E$313,MATCH($I1500,'Constants and Mappings'!$A$300:$A$313,0))</f>
        <v>9.0</v>
      </c>
      <c r="O1500" s="48">
        <f>INDEX(ElaSel,MATCH("inc|"&amp;$E1500&amp;"|"&amp;$D1500,ElaSelKey,0))</f>
        <v>0.7</v>
      </c>
      <c r="P1500" s="48">
        <f>INDEX(ElaSel,MATCH("usg|"&amp;$E1500&amp;"|"&amp;$D1500,ElaSelKey,0))</f>
        <v>-0.4</v>
      </c>
      <c r="Q1500" s="48">
        <f>INDEX(ElaSel,MATCH("eff|"&amp;$E1500&amp;"|"&amp;$D1500,ElaSelKey,0))</f>
        <v>-0.4</v>
      </c>
      <c r="R1500" s="225">
        <f>INDEX(ElaSel,MATCH("aei|"&amp;$F1500&amp;"|"&amp;$D1500,ElaSelKey,0))</f>
        <v>0.01</v>
      </c>
      <c r="S1500" s="133" t="n">
        <v>1</v>
      </c>
      <c r="T1500" s="48">
        <f>$Q1500*(1+$P1500)</f>
        <v>-0.24</v>
      </c>
      <c r="U1500" s="3">
        <f>INDEX('Constants and Mappings'!$E$1633:$E$1644,MATCH($I1500,'Constants and Mappings'!$A$1633:$A$1644,0))</f>
        <v>167.0</v>
      </c>
      <c r="V1500" s="225">
        <f>INDEX('Constants and Mappings'!$V$1633:$V$1644,MATCH($I1500,'Constants and Mappings'!$A$1633:$A$1644,0))</f>
        <v>0.0</v>
      </c>
      <c r="W1500" s="197">
        <f>INDEX(EFSel,MATCH($B1500&amp;"|"&amp;$J1500,EFSelKey,0))*EFCalib</f>
        <v>0.0658828747734696</v>
      </c>
      <c r="X1500" s="195">
        <f>IF(LEFT(BalOpt,3)="Bal",$AY1500*$AV1500+$AZ1500*$AX1500,$BA1500)</f>
        <v>0.0</v>
      </c>
      <c r="Y1500" s="3" t="str">
        <f>IF($G1500="sub",$H1500,IF($B1500="oop","ind","trs"))</f>
        <v>trs</v>
      </c>
      <c r="Z1500" s="39">
        <f>IFERROR(MATCH($Y1500&amp;"|"&amp;$B1500,XKey,0),1)</f>
        <v>13.0</v>
      </c>
      <c r="AA1500" s="48">
        <f>INDEX(XCTVal,$Z1500,ECPEmb)+INDEX(XETSVal,$Z1500,ECPEmb)</f>
        <v>0.0</v>
      </c>
      <c r="AB1500" s="8" t="inlineStr">
        <is>
          <t>avi</t>
        </is>
      </c>
      <c r="AC1500" s="8" t="inlineStr">
        <is>
          <t>gso</t>
        </is>
      </c>
      <c r="AD1500" s="197">
        <f>IFERROR(INDEX(NCEfIn,MATCH($AB1500&amp;"."&amp;$AC1500&amp;".ch4",NCEfKey,0)),0)</f>
        <v>0.0</v>
      </c>
      <c r="AE1500" s="197">
        <f>IFERROR(INDEX(NCEfFin,MATCH($AB1500&amp;"."&amp;$AC1500&amp;".ch4",NCEfKey,0)),0)</f>
        <v>0.0</v>
      </c>
      <c r="AF1500" s="3" t="n">
        <v>0</v>
      </c>
      <c r="AG1500" s="197">
        <f>IFERROR(INDEX(NCEfIn,MATCH($AB1500&amp;"."&amp;$AC1500&amp;".pm2",NCEfKey,0)),0)</f>
        <v>0.0</v>
      </c>
      <c r="AH1500" s="197">
        <f>IFERROR(INDEX(NCEfFin,MATCH($AB1500&amp;"."&amp;$AC1500&amp;".pm2",NCEfKey,0)),0)</f>
        <v>0.0</v>
      </c>
      <c r="AI1500" s="197">
        <f>IFERROR(INDEX(NCEfIn,MATCH($AB1500&amp;"."&amp;$AC1500&amp;".nox",NCEfKey,0)),0)</f>
        <v>0.0</v>
      </c>
      <c r="AJ1500" s="197">
        <f>IFERROR(INDEX(NCEfFin,MATCH($AB1500&amp;"."&amp;$AC1500&amp;".nox",NCEfKey,0)),0)</f>
        <v>0.0</v>
      </c>
      <c r="AK1500" s="197">
        <f>IFERROR(INDEX(NCEfIn,MATCH($AB1500&amp;"."&amp;$AC1500&amp;".so2",NCEfKey,0)),0)</f>
        <v>0.0</v>
      </c>
      <c r="AL1500" s="197">
        <f>IFERROR(INDEX(NCEfFin,MATCH($AB1500&amp;"."&amp;$AC1500&amp;".so2",NCEfKey,0)),0)</f>
        <v>0.0</v>
      </c>
      <c r="AM1500" s="197">
        <f>IFERROR(INDEX(NCEfIn,MATCH($AB1500&amp;"."&amp;$AC1500&amp;".voc",NCEfKey,0)),0)</f>
        <v>0.0</v>
      </c>
      <c r="AN1500" s="197">
        <f>IFERROR(INDEX(NCEfFin,MATCH($AB1500&amp;"."&amp;$AC1500&amp;".voc",NCEfKey,0)),0)</f>
        <v>0.0</v>
      </c>
      <c r="AO1500" s="197">
        <f>IFERROR(INDEX(NCEfIn,MATCH($AB1500&amp;"."&amp;$AC1500&amp;".bc",NCEfKey,0)),0)</f>
        <v>0.0</v>
      </c>
      <c r="AP1500" s="197">
        <f>IFERROR(INDEX(NCEfFin,MATCH($AB1500&amp;"."&amp;$AC1500&amp;".bc",NCEfKey,0)),0)</f>
        <v>0.0</v>
      </c>
      <c r="AQ1500" s="197">
        <f>IFERROR(INDEX(NCEfIn,MATCH($AB1500&amp;"."&amp;$AC1500&amp;".oc",NCEfKey,0)),0)</f>
        <v>0.0</v>
      </c>
      <c r="AR1500" s="197">
        <f>IFERROR(INDEX(NCEfFin,MATCH($AB1500&amp;"."&amp;$AC1500&amp;".oc",NCEfKey,0)),0)</f>
        <v>0.0</v>
      </c>
      <c r="AS1500" s="197">
        <f>IFERROR(INDEX(NCEfIn,MATCH($AB1500&amp;"."&amp;$AC1500&amp;".co",NCEfKey,0)),0)</f>
        <v>0.0</v>
      </c>
      <c r="AT1500" s="197">
        <f>IFERROR(INDEX(NCEfFin,MATCH($AB1500&amp;"."&amp;$AC1500&amp;".co",NCEfKey,0)),0)</f>
        <v>0.0</v>
      </c>
      <c r="AU1500" s="3" t="str">
        <f>INDEX('Constants and Mappings'!$J$186:$J$201,MATCH($C1500,SubKey,0))</f>
        <v>domesair</v>
      </c>
      <c r="AV1500" s="3">
        <f>INDEX('Constants and Mappings'!$K$186:$K$201,MATCH($C1500,SubKey,0))</f>
        <v>1.0</v>
      </c>
      <c r="AW1500" s="3" t="str">
        <f>INDEX('Constants and Mappings'!$L$186:$L$201,MATCH($C1500,SubKey,0))&amp;""</f>
        <v/>
      </c>
      <c r="AX1500" s="3">
        <f>INDEX('Constants and Mappings'!$M$186:$M$201,MATCH($C1500,SubKey,0))</f>
        <v>0.0</v>
      </c>
      <c r="AY1500" s="3" t="n">
        <v>0</v>
      </c>
      <c r="AZ1500" s="3" t="n">
        <v>0</v>
      </c>
      <c r="BA1500" s="3" t="n">
        <v>0</v>
      </c>
      <c r="BB1500" s="3" t="n">
        <v>0</v>
      </c>
      <c r="BC1500" s="3" t="n">
        <v>0</v>
      </c>
      <c r="BD1500" s="3">
        <f>IFERROR($BB1500/$BC1500,0)</f>
        <v>0.0</v>
      </c>
      <c r="BE1500" s="133" t="n">
        <v>1</v>
      </c>
      <c r="BF1500" s="39" t="n">
        <v>1</v>
      </c>
    </row>
    <row r="1501">
      <c r="A1501" s="3" t="str">
        <f>$B1501&amp;"|"&amp;$C1501</f>
        <v>die|avi</v>
      </c>
      <c r="B1501" s="8" t="inlineStr">
        <is>
          <t>die</t>
        </is>
      </c>
      <c r="C1501" s="8" t="inlineStr">
        <is>
          <t>avi</t>
        </is>
      </c>
      <c r="D1501" s="3" t="str">
        <f>INDEX('Constants and Mappings'!$D$186:$D$201,MATCH($C1501,SubKey,0))</f>
        <v>tra</v>
      </c>
      <c r="E1501" s="3" t="str">
        <f>INDEX('Constants and Mappings'!$C$229:$C$237,MATCH($B1501,FuelKey,0))</f>
        <v>die</v>
      </c>
      <c r="F1501" s="3" t="str">
        <f>INDEX('Constants and Mappings'!$D$229:$D$237,MATCH($B1501,FuelKey,0))</f>
        <v>oil</v>
      </c>
      <c r="G1501" s="3" t="str">
        <f>INDEX('Constants and Mappings'!$E$229:$E$237,MATCH($B1501,FuelKey,0))</f>
        <v>all</v>
      </c>
      <c r="H1501" s="3" t="str">
        <f>INDEX('Constants and Mappings'!$F$186:$F$201,MATCH($C1501,SubKey,0))</f>
        <v>ind</v>
      </c>
      <c r="I1501" s="3" t="str">
        <f>INDEX('Constants and Mappings'!$I$229:$I$237,MATCH($B1501,FuelKey,0))&amp;"."&amp;IF($G1501="sub",$H1501,"all")</f>
        <v>die.all</v>
      </c>
      <c r="J1501" s="3" t="str">
        <f>INDEX('Constants and Mappings'!$E$186:$E$201,MATCH($C1501,SubKey,0))</f>
        <v>rod</v>
      </c>
      <c r="K1501" s="3">
        <f>INDEX('Constants and Mappings'!$G$229:$G$237,MATCH($B1501,FuelKey,0))</f>
        <v>0.03729519000000001</v>
      </c>
      <c r="L1501" s="3">
        <f>INDEX('Constants and Mappings'!$H$229:$H$237,MATCH($B1501,FuelKey,0))</f>
        <v>4.0</v>
      </c>
      <c r="M1501" s="3">
        <f>INDEX('Constants and Mappings'!$H$186:$H$201,MATCH($C1501,SubKey,0))</f>
        <v>4.0</v>
      </c>
      <c r="N1501" s="3">
        <f>INDEX('Constants and Mappings'!$E$300:$E$313,MATCH($I1501,'Constants and Mappings'!$A$300:$A$313,0))</f>
        <v>10.0</v>
      </c>
      <c r="O1501" s="48">
        <f>INDEX(ElaSel,MATCH("inc|"&amp;$E1501&amp;"|"&amp;$D1501,ElaSelKey,0))</f>
        <v>0.6</v>
      </c>
      <c r="P1501" s="48">
        <f>INDEX(ElaSel,MATCH("usg|"&amp;$E1501&amp;"|"&amp;$D1501,ElaSelKey,0))</f>
        <v>-0.3</v>
      </c>
      <c r="Q1501" s="48">
        <f>INDEX(ElaSel,MATCH("eff|"&amp;$E1501&amp;"|"&amp;$D1501,ElaSelKey,0))</f>
        <v>-0.3</v>
      </c>
      <c r="R1501" s="225">
        <f>INDEX(ElaSel,MATCH("aei|"&amp;$F1501&amp;"|"&amp;$D1501,ElaSelKey,0))</f>
        <v>0.01</v>
      </c>
      <c r="S1501" s="133" t="n">
        <v>1</v>
      </c>
      <c r="T1501" s="48">
        <f>$Q1501*(1+$P1501)</f>
        <v>-0.21</v>
      </c>
      <c r="U1501" s="3">
        <f>INDEX('Constants and Mappings'!$E$1633:$E$1644,MATCH($I1501,'Constants and Mappings'!$A$1633:$A$1644,0))</f>
        <v>196.0</v>
      </c>
      <c r="V1501" s="225">
        <f>INDEX('Constants and Mappings'!$V$1633:$V$1644,MATCH($I1501,'Constants and Mappings'!$A$1633:$A$1644,0))</f>
        <v>0.0</v>
      </c>
      <c r="W1501" s="197">
        <f>INDEX(EFSel,MATCH($B1501&amp;"|"&amp;$J1501,EFSelKey,0))*EFCalib</f>
        <v>0.07049322251858033</v>
      </c>
      <c r="X1501" s="195">
        <f>IF(LEFT(BalOpt,3)="Bal",$AY1501*$AV1501+$AZ1501*$AX1501,$BA1501)</f>
        <v>0.0</v>
      </c>
      <c r="Y1501" s="3" t="str">
        <f>IF($G1501="sub",$H1501,IF($B1501="oop","ind","trs"))</f>
        <v>trs</v>
      </c>
      <c r="Z1501" s="39">
        <f>IFERROR(MATCH($Y1501&amp;"|"&amp;$B1501,XKey,0),1)</f>
        <v>14.0</v>
      </c>
      <c r="AA1501" s="48">
        <f>INDEX(XCTVal,$Z1501,ECPEmb)+INDEX(XETSVal,$Z1501,ECPEmb)</f>
        <v>0.0</v>
      </c>
      <c r="AB1501" s="8" t="inlineStr">
        <is>
          <t>avi</t>
        </is>
      </c>
      <c r="AC1501" s="8" t="inlineStr">
        <is>
          <t>die</t>
        </is>
      </c>
      <c r="AD1501" s="197">
        <f>IFERROR(INDEX(NCEfIn,MATCH($AB1501&amp;"."&amp;$AC1501&amp;".ch4",NCEfKey,0)),0)</f>
        <v>0.0</v>
      </c>
      <c r="AE1501" s="197">
        <f>IFERROR(INDEX(NCEfFin,MATCH($AB1501&amp;"."&amp;$AC1501&amp;".ch4",NCEfKey,0)),0)</f>
        <v>0.0</v>
      </c>
      <c r="AF1501" s="3" t="n">
        <v>0</v>
      </c>
      <c r="AG1501" s="197">
        <f>IFERROR(INDEX(NCEfIn,MATCH($AB1501&amp;"."&amp;$AC1501&amp;".pm2",NCEfKey,0)),0)</f>
        <v>0.0</v>
      </c>
      <c r="AH1501" s="197">
        <f>IFERROR(INDEX(NCEfFin,MATCH($AB1501&amp;"."&amp;$AC1501&amp;".pm2",NCEfKey,0)),0)</f>
        <v>0.0</v>
      </c>
      <c r="AI1501" s="197">
        <f>IFERROR(INDEX(NCEfIn,MATCH($AB1501&amp;"."&amp;$AC1501&amp;".nox",NCEfKey,0)),0)</f>
        <v>0.0</v>
      </c>
      <c r="AJ1501" s="197">
        <f>IFERROR(INDEX(NCEfFin,MATCH($AB1501&amp;"."&amp;$AC1501&amp;".nox",NCEfKey,0)),0)</f>
        <v>0.0</v>
      </c>
      <c r="AK1501" s="197">
        <f>IFERROR(INDEX(NCEfIn,MATCH($AB1501&amp;"."&amp;$AC1501&amp;".so2",NCEfKey,0)),0)</f>
        <v>0.0</v>
      </c>
      <c r="AL1501" s="197">
        <f>IFERROR(INDEX(NCEfFin,MATCH($AB1501&amp;"."&amp;$AC1501&amp;".so2",NCEfKey,0)),0)</f>
        <v>0.0</v>
      </c>
      <c r="AM1501" s="197">
        <f>IFERROR(INDEX(NCEfIn,MATCH($AB1501&amp;"."&amp;$AC1501&amp;".voc",NCEfKey,0)),0)</f>
        <v>0.0</v>
      </c>
      <c r="AN1501" s="197">
        <f>IFERROR(INDEX(NCEfFin,MATCH($AB1501&amp;"."&amp;$AC1501&amp;".voc",NCEfKey,0)),0)</f>
        <v>0.0</v>
      </c>
      <c r="AO1501" s="197">
        <f>IFERROR(INDEX(NCEfIn,MATCH($AB1501&amp;"."&amp;$AC1501&amp;".bc",NCEfKey,0)),0)</f>
        <v>0.0</v>
      </c>
      <c r="AP1501" s="197">
        <f>IFERROR(INDEX(NCEfFin,MATCH($AB1501&amp;"."&amp;$AC1501&amp;".bc",NCEfKey,0)),0)</f>
        <v>0.0</v>
      </c>
      <c r="AQ1501" s="197">
        <f>IFERROR(INDEX(NCEfIn,MATCH($AB1501&amp;"."&amp;$AC1501&amp;".oc",NCEfKey,0)),0)</f>
        <v>0.0</v>
      </c>
      <c r="AR1501" s="197">
        <f>IFERROR(INDEX(NCEfFin,MATCH($AB1501&amp;"."&amp;$AC1501&amp;".oc",NCEfKey,0)),0)</f>
        <v>0.0</v>
      </c>
      <c r="AS1501" s="197">
        <f>IFERROR(INDEX(NCEfIn,MATCH($AB1501&amp;"."&amp;$AC1501&amp;".co",NCEfKey,0)),0)</f>
        <v>0.0</v>
      </c>
      <c r="AT1501" s="197">
        <f>IFERROR(INDEX(NCEfFin,MATCH($AB1501&amp;"."&amp;$AC1501&amp;".co",NCEfKey,0)),0)</f>
        <v>0.0</v>
      </c>
      <c r="AU1501" s="3" t="str">
        <f>INDEX('Constants and Mappings'!$J$186:$J$201,MATCH($C1501,SubKey,0))</f>
        <v>domesair</v>
      </c>
      <c r="AV1501" s="3">
        <f>INDEX('Constants and Mappings'!$K$186:$K$201,MATCH($C1501,SubKey,0))</f>
        <v>1.0</v>
      </c>
      <c r="AW1501" s="3" t="str">
        <f>INDEX('Constants and Mappings'!$L$186:$L$201,MATCH($C1501,SubKey,0))&amp;""</f>
        <v/>
      </c>
      <c r="AX1501" s="3">
        <f>INDEX('Constants and Mappings'!$M$186:$M$201,MATCH($C1501,SubKey,0))</f>
        <v>0.0</v>
      </c>
      <c r="AY1501" s="3" t="n">
        <v>0</v>
      </c>
      <c r="AZ1501" s="3" t="n">
        <v>0</v>
      </c>
      <c r="BA1501" s="3" t="n">
        <v>0</v>
      </c>
      <c r="BB1501" s="3" t="n">
        <v>0</v>
      </c>
      <c r="BC1501" s="3" t="n">
        <v>0</v>
      </c>
      <c r="BD1501" s="3">
        <f>IFERROR($BB1501/$BC1501,0)</f>
        <v>0.0</v>
      </c>
      <c r="BE1501" s="133" t="n">
        <v>1</v>
      </c>
      <c r="BF1501" s="39" t="n">
        <v>1</v>
      </c>
    </row>
    <row r="1502">
      <c r="A1502" s="3" t="str">
        <f>$B1502&amp;"|"&amp;$C1502</f>
        <v>lpg|avi</v>
      </c>
      <c r="B1502" s="8" t="inlineStr">
        <is>
          <t>lpg</t>
        </is>
      </c>
      <c r="C1502" s="8" t="inlineStr">
        <is>
          <t>avi</t>
        </is>
      </c>
      <c r="D1502" s="3" t="str">
        <f>INDEX('Constants and Mappings'!$D$186:$D$201,MATCH($C1502,SubKey,0))</f>
        <v>tra</v>
      </c>
      <c r="E1502" s="3" t="str">
        <f>INDEX('Constants and Mappings'!$C$229:$C$237,MATCH($B1502,FuelKey,0))</f>
        <v>oil</v>
      </c>
      <c r="F1502" s="3" t="str">
        <f>INDEX('Constants and Mappings'!$D$229:$D$237,MATCH($B1502,FuelKey,0))</f>
        <v>oil</v>
      </c>
      <c r="G1502" s="3" t="str">
        <f>INDEX('Constants and Mappings'!$E$229:$E$237,MATCH($B1502,FuelKey,0))</f>
        <v>all</v>
      </c>
      <c r="H1502" s="3" t="str">
        <f>INDEX('Constants and Mappings'!$F$186:$F$201,MATCH($C1502,SubKey,0))</f>
        <v>ind</v>
      </c>
      <c r="I1502" s="3" t="str">
        <f>INDEX('Constants and Mappings'!$I$229:$I$237,MATCH($B1502,FuelKey,0))&amp;"."&amp;IF($G1502="sub",$H1502,"all")</f>
        <v>lpg.all</v>
      </c>
      <c r="J1502" s="3" t="str">
        <f>INDEX('Constants and Mappings'!$E$186:$E$201,MATCH($C1502,SubKey,0))</f>
        <v>rod</v>
      </c>
      <c r="K1502" s="3">
        <f>INDEX('Constants and Mappings'!$G$229:$G$237,MATCH($B1502,FuelKey,0))</f>
        <v>0.02577968854495125</v>
      </c>
      <c r="L1502" s="3">
        <f>INDEX('Constants and Mappings'!$H$229:$H$237,MATCH($B1502,FuelKey,0))</f>
        <v>5.0</v>
      </c>
      <c r="M1502" s="3">
        <f>INDEX('Constants and Mappings'!$H$186:$H$201,MATCH($C1502,SubKey,0))</f>
        <v>4.0</v>
      </c>
      <c r="N1502" s="3">
        <f>INDEX('Constants and Mappings'!$E$300:$E$313,MATCH($I1502,'Constants and Mappings'!$A$300:$A$313,0))</f>
        <v>11.0</v>
      </c>
      <c r="O1502" s="48">
        <f>INDEX(ElaSel,MATCH("inc|"&amp;$E1502&amp;"|"&amp;$D1502,ElaSelKey,0))</f>
        <v>0.8</v>
      </c>
      <c r="P1502" s="48">
        <f>INDEX(ElaSel,MATCH("usg|"&amp;$E1502&amp;"|"&amp;$D1502,ElaSelKey,0))</f>
        <v>-0.3</v>
      </c>
      <c r="Q1502" s="48">
        <f>INDEX(ElaSel,MATCH("eff|"&amp;$E1502&amp;"|"&amp;$D1502,ElaSelKey,0))</f>
        <v>-0.4</v>
      </c>
      <c r="R1502" s="225">
        <f>INDEX(ElaSel,MATCH("aei|"&amp;$F1502&amp;"|"&amp;$D1502,ElaSelKey,0))</f>
        <v>0.01</v>
      </c>
      <c r="S1502" s="133" t="n">
        <v>1</v>
      </c>
      <c r="T1502" s="48">
        <f>$Q1502*(1+$P1502)</f>
        <v>-0.27999999999999997</v>
      </c>
      <c r="U1502" s="3">
        <f>INDEX('Constants and Mappings'!$E$1633:$E$1644,MATCH($I1502,'Constants and Mappings'!$A$1633:$A$1644,0))</f>
        <v>225.0</v>
      </c>
      <c r="V1502" s="225">
        <f>INDEX('Constants and Mappings'!$V$1633:$V$1644,MATCH($I1502,'Constants and Mappings'!$A$1633:$A$1644,0))</f>
        <v>0.0</v>
      </c>
      <c r="W1502" s="197">
        <f>INDEX(EFSel,MATCH($B1502&amp;"|"&amp;$J1502,EFSelKey,0))*EFCalib</f>
        <v>0.06829407370213687</v>
      </c>
      <c r="X1502" s="195">
        <f>IF(LEFT(BalOpt,3)="Bal",$AY1502*$AV1502+$AZ1502*$AX1502,$BA1502)</f>
        <v>0.0</v>
      </c>
      <c r="Y1502" s="3" t="str">
        <f>IF($G1502="sub",$H1502,IF($B1502="oop","ind","trs"))</f>
        <v>trs</v>
      </c>
      <c r="Z1502" s="39">
        <f>IFERROR(MATCH($Y1502&amp;"|"&amp;$B1502,XKey,0),1)</f>
        <v>15.0</v>
      </c>
      <c r="AA1502" s="48">
        <f>INDEX(XCTVal,$Z1502,ECPEmb)+INDEX(XETSVal,$Z1502,ECPEmb)</f>
        <v>0.0</v>
      </c>
      <c r="AB1502" s="8" t="inlineStr">
        <is>
          <t>avi</t>
        </is>
      </c>
      <c r="AC1502" s="8" t="inlineStr">
        <is>
          <t>lpg</t>
        </is>
      </c>
      <c r="AD1502" s="197">
        <f>IFERROR(INDEX(NCEfIn,MATCH($AB1502&amp;"."&amp;$AC1502&amp;".ch4",NCEfKey,0)),0)</f>
        <v>0.0</v>
      </c>
      <c r="AE1502" s="197">
        <f>IFERROR(INDEX(NCEfFin,MATCH($AB1502&amp;"."&amp;$AC1502&amp;".ch4",NCEfKey,0)),0)</f>
        <v>0.0</v>
      </c>
      <c r="AF1502" s="3" t="n">
        <v>0</v>
      </c>
      <c r="AG1502" s="197">
        <f>IFERROR(INDEX(NCEfIn,MATCH($AB1502&amp;"."&amp;$AC1502&amp;".pm2",NCEfKey,0)),0)</f>
        <v>0.0</v>
      </c>
      <c r="AH1502" s="197">
        <f>IFERROR(INDEX(NCEfFin,MATCH($AB1502&amp;"."&amp;$AC1502&amp;".pm2",NCEfKey,0)),0)</f>
        <v>0.0</v>
      </c>
      <c r="AI1502" s="197">
        <f>IFERROR(INDEX(NCEfIn,MATCH($AB1502&amp;"."&amp;$AC1502&amp;".nox",NCEfKey,0)),0)</f>
        <v>0.0</v>
      </c>
      <c r="AJ1502" s="197">
        <f>IFERROR(INDEX(NCEfFin,MATCH($AB1502&amp;"."&amp;$AC1502&amp;".nox",NCEfKey,0)),0)</f>
        <v>0.0</v>
      </c>
      <c r="AK1502" s="197">
        <f>IFERROR(INDEX(NCEfIn,MATCH($AB1502&amp;"."&amp;$AC1502&amp;".so2",NCEfKey,0)),0)</f>
        <v>0.0</v>
      </c>
      <c r="AL1502" s="197">
        <f>IFERROR(INDEX(NCEfFin,MATCH($AB1502&amp;"."&amp;$AC1502&amp;".so2",NCEfKey,0)),0)</f>
        <v>0.0</v>
      </c>
      <c r="AM1502" s="197">
        <f>IFERROR(INDEX(NCEfIn,MATCH($AB1502&amp;"."&amp;$AC1502&amp;".voc",NCEfKey,0)),0)</f>
        <v>0.0</v>
      </c>
      <c r="AN1502" s="197">
        <f>IFERROR(INDEX(NCEfFin,MATCH($AB1502&amp;"."&amp;$AC1502&amp;".voc",NCEfKey,0)),0)</f>
        <v>0.0</v>
      </c>
      <c r="AO1502" s="197">
        <f>IFERROR(INDEX(NCEfIn,MATCH($AB1502&amp;"."&amp;$AC1502&amp;".bc",NCEfKey,0)),0)</f>
        <v>0.0</v>
      </c>
      <c r="AP1502" s="197">
        <f>IFERROR(INDEX(NCEfFin,MATCH($AB1502&amp;"."&amp;$AC1502&amp;".bc",NCEfKey,0)),0)</f>
        <v>0.0</v>
      </c>
      <c r="AQ1502" s="197">
        <f>IFERROR(INDEX(NCEfIn,MATCH($AB1502&amp;"."&amp;$AC1502&amp;".oc",NCEfKey,0)),0)</f>
        <v>0.0</v>
      </c>
      <c r="AR1502" s="197">
        <f>IFERROR(INDEX(NCEfFin,MATCH($AB1502&amp;"."&amp;$AC1502&amp;".oc",NCEfKey,0)),0)</f>
        <v>0.0</v>
      </c>
      <c r="AS1502" s="197">
        <f>IFERROR(INDEX(NCEfIn,MATCH($AB1502&amp;"."&amp;$AC1502&amp;".co",NCEfKey,0)),0)</f>
        <v>0.0</v>
      </c>
      <c r="AT1502" s="197">
        <f>IFERROR(INDEX(NCEfFin,MATCH($AB1502&amp;"."&amp;$AC1502&amp;".co",NCEfKey,0)),0)</f>
        <v>0.0</v>
      </c>
      <c r="AU1502" s="3" t="str">
        <f>INDEX('Constants and Mappings'!$J$186:$J$201,MATCH($C1502,SubKey,0))</f>
        <v>domesair</v>
      </c>
      <c r="AV1502" s="3">
        <f>INDEX('Constants and Mappings'!$K$186:$K$201,MATCH($C1502,SubKey,0))</f>
        <v>1.0</v>
      </c>
      <c r="AW1502" s="3" t="str">
        <f>INDEX('Constants and Mappings'!$L$186:$L$201,MATCH($C1502,SubKey,0))&amp;""</f>
        <v/>
      </c>
      <c r="AX1502" s="3">
        <f>INDEX('Constants and Mappings'!$M$186:$M$201,MATCH($C1502,SubKey,0))</f>
        <v>0.0</v>
      </c>
      <c r="AY1502" s="3" t="n">
        <v>0</v>
      </c>
      <c r="AZ1502" s="3" t="n">
        <v>0</v>
      </c>
      <c r="BA1502" s="3" t="n">
        <v>0</v>
      </c>
      <c r="BB1502" s="3" t="n">
        <v>0</v>
      </c>
      <c r="BC1502" s="3" t="n">
        <v>0</v>
      </c>
      <c r="BD1502" s="3">
        <f>IFERROR($BB1502/$BC1502,0)</f>
        <v>0.0</v>
      </c>
      <c r="BE1502" s="133" t="n">
        <v>1</v>
      </c>
      <c r="BF1502" s="39" t="n">
        <v>1</v>
      </c>
    </row>
    <row r="1503">
      <c r="A1503" s="3" t="str">
        <f>$B1503&amp;"|"&amp;$C1503</f>
        <v>ker|avi</v>
      </c>
      <c r="B1503" s="8" t="inlineStr">
        <is>
          <t>ker</t>
        </is>
      </c>
      <c r="C1503" s="8" t="inlineStr">
        <is>
          <t>avi</t>
        </is>
      </c>
      <c r="D1503" s="3" t="str">
        <f>INDEX('Constants and Mappings'!$D$186:$D$201,MATCH($C1503,SubKey,0))</f>
        <v>tra</v>
      </c>
      <c r="E1503" s="3" t="str">
        <f>INDEX('Constants and Mappings'!$C$229:$C$237,MATCH($B1503,FuelKey,0))</f>
        <v>oil</v>
      </c>
      <c r="F1503" s="3" t="str">
        <f>INDEX('Constants and Mappings'!$D$229:$D$237,MATCH($B1503,FuelKey,0))</f>
        <v>oil</v>
      </c>
      <c r="G1503" s="3" t="str">
        <f>INDEX('Constants and Mappings'!$E$229:$E$237,MATCH($B1503,FuelKey,0))</f>
        <v>all</v>
      </c>
      <c r="H1503" s="3" t="str">
        <f>INDEX('Constants and Mappings'!$F$186:$F$201,MATCH($C1503,SubKey,0))</f>
        <v>ind</v>
      </c>
      <c r="I1503" s="3" t="str">
        <f>INDEX('Constants and Mappings'!$I$229:$I$237,MATCH($B1503,FuelKey,0))&amp;"."&amp;IF($G1503="sub",$H1503,"all")</f>
        <v>ker.all</v>
      </c>
      <c r="J1503" s="3" t="str">
        <f>INDEX('Constants and Mappings'!$E$186:$E$201,MATCH($C1503,SubKey,0))</f>
        <v>rod</v>
      </c>
      <c r="K1503" s="3">
        <f>INDEX('Constants and Mappings'!$G$229:$G$237,MATCH($B1503,FuelKey,0))</f>
        <v>0.03774882965510715</v>
      </c>
      <c r="L1503" s="3">
        <f>INDEX('Constants and Mappings'!$H$229:$H$237,MATCH($B1503,FuelKey,0))</f>
        <v>6.0</v>
      </c>
      <c r="M1503" s="3">
        <f>INDEX('Constants and Mappings'!$H$186:$H$201,MATCH($C1503,SubKey,0))</f>
        <v>4.0</v>
      </c>
      <c r="N1503" s="3">
        <f>INDEX('Constants and Mappings'!$E$300:$E$313,MATCH($I1503,'Constants and Mappings'!$A$300:$A$313,0))</f>
        <v>12.0</v>
      </c>
      <c r="O1503" s="48">
        <f>INDEX(ElaSel,MATCH("inc|"&amp;$E1503&amp;"|"&amp;$D1503,ElaSelKey,0))</f>
        <v>0.8</v>
      </c>
      <c r="P1503" s="48">
        <f>INDEX(ElaSel,MATCH("usg|"&amp;$E1503&amp;"|"&amp;$D1503,ElaSelKey,0))</f>
        <v>-0.3</v>
      </c>
      <c r="Q1503" s="48">
        <f>INDEX(ElaSel,MATCH("eff|"&amp;$E1503&amp;"|"&amp;$D1503,ElaSelKey,0))</f>
        <v>-0.4</v>
      </c>
      <c r="R1503" s="225">
        <f>INDEX(ElaSel,MATCH("aei|"&amp;$F1503&amp;"|"&amp;$D1503,ElaSelKey,0))</f>
        <v>0.01</v>
      </c>
      <c r="S1503" s="133" t="n">
        <v>1</v>
      </c>
      <c r="T1503" s="48">
        <f>$Q1503*(1+$P1503)</f>
        <v>-0.27999999999999997</v>
      </c>
      <c r="U1503" s="3">
        <f>INDEX('Constants and Mappings'!$E$1633:$E$1644,MATCH($I1503,'Constants and Mappings'!$A$1633:$A$1644,0))</f>
        <v>254.0</v>
      </c>
      <c r="V1503" s="225">
        <f>INDEX('Constants and Mappings'!$V$1633:$V$1644,MATCH($I1503,'Constants and Mappings'!$A$1633:$A$1644,0))</f>
        <v>0.0</v>
      </c>
      <c r="W1503" s="197">
        <f>INDEX(EFSel,MATCH($B1503&amp;"|"&amp;$J1503,EFSelKey,0))*EFCalib</f>
        <v>0.06824927438265298</v>
      </c>
      <c r="X1503" s="195">
        <f>IF(LEFT(BalOpt,3)="Bal",$AY1503*$AV1503+$AZ1503*$AX1503,$BA1503)</f>
        <v>0.0</v>
      </c>
      <c r="Y1503" s="3" t="str">
        <f>IF($G1503="sub",$H1503,IF($B1503="oop","ind","trs"))</f>
        <v>trs</v>
      </c>
      <c r="Z1503" s="39">
        <f>IFERROR(MATCH($Y1503&amp;"|"&amp;$B1503,XKey,0),1)</f>
        <v>16.0</v>
      </c>
      <c r="AA1503" s="48">
        <f>INDEX(XCTVal,$Z1503,ECPEmb)+INDEX(XETSVal,$Z1503,ECPEmb)</f>
        <v>0.0</v>
      </c>
      <c r="AB1503" s="8" t="inlineStr">
        <is>
          <t>avi</t>
        </is>
      </c>
      <c r="AC1503" s="8" t="inlineStr">
        <is>
          <t>jfu</t>
        </is>
      </c>
      <c r="AD1503" s="197">
        <f>IFERROR(INDEX(NCEfIn,MATCH($AB1503&amp;"."&amp;$AC1503&amp;".ch4",NCEfKey,0)),0)</f>
        <v>0.020934</v>
      </c>
      <c r="AE1503" s="197">
        <f>IFERROR(INDEX(NCEfFin,MATCH($AB1503&amp;"."&amp;$AC1503&amp;".ch4",NCEfKey,0)),0)</f>
        <v>0.020934</v>
      </c>
      <c r="AF1503" s="3" t="n">
        <v>0</v>
      </c>
      <c r="AG1503" s="197">
        <f>IFERROR(INDEX(NCEfIn,MATCH($AB1503&amp;"."&amp;$AC1503&amp;".pm2",NCEfKey,0)),0)</f>
        <v>0.014905008</v>
      </c>
      <c r="AH1503" s="197">
        <f>IFERROR(INDEX(NCEfFin,MATCH($AB1503&amp;"."&amp;$AC1503&amp;".pm2",NCEfKey,0)),0)</f>
        <v>0.014905008</v>
      </c>
      <c r="AI1503" s="197">
        <f>IFERROR(INDEX(NCEfIn,MATCH($AB1503&amp;"."&amp;$AC1503&amp;".nox",NCEfKey,0)),0)</f>
        <v>1.25604</v>
      </c>
      <c r="AJ1503" s="197">
        <f>IFERROR(INDEX(NCEfFin,MATCH($AB1503&amp;"."&amp;$AC1503&amp;".nox",NCEfKey,0)),0)</f>
        <v>1.25604</v>
      </c>
      <c r="AK1503" s="197">
        <f>IFERROR(INDEX(NCEfIn,MATCH($AB1503&amp;"."&amp;$AC1503&amp;".so2",NCEfKey,0)),0)</f>
        <v>0.09504036</v>
      </c>
      <c r="AL1503" s="197">
        <f>IFERROR(INDEX(NCEfFin,MATCH($AB1503&amp;"."&amp;$AC1503&amp;".so2",NCEfKey,0)),0)</f>
        <v>0.09504036</v>
      </c>
      <c r="AM1503" s="197">
        <f>IFERROR(INDEX(NCEfIn,MATCH($AB1503&amp;"."&amp;$AC1503&amp;".voc",NCEfKey,0)),0)</f>
        <v>1.67472</v>
      </c>
      <c r="AN1503" s="197">
        <f>IFERROR(INDEX(NCEfFin,MATCH($AB1503&amp;"."&amp;$AC1503&amp;".voc",NCEfKey,0)),0)</f>
        <v>1.67472</v>
      </c>
      <c r="AO1503" s="197">
        <f>IFERROR(INDEX(NCEfIn,MATCH($AB1503&amp;"."&amp;$AC1503&amp;".bc",NCEfKey,0)),0)</f>
        <v>0.002700486</v>
      </c>
      <c r="AP1503" s="197">
        <f>IFERROR(INDEX(NCEfFin,MATCH($AB1503&amp;"."&amp;$AC1503&amp;".bc",NCEfKey,0)),0)</f>
        <v>0.002700486</v>
      </c>
      <c r="AQ1503" s="197">
        <f>IFERROR(INDEX(NCEfIn,MATCH($AB1503&amp;"."&amp;$AC1503&amp;".oc",NCEfKey,0)),0)</f>
        <v>0.00900162</v>
      </c>
      <c r="AR1503" s="197">
        <f>IFERROR(INDEX(NCEfFin,MATCH($AB1503&amp;"."&amp;$AC1503&amp;".oc",NCEfKey,0)),0)</f>
        <v>0.00900162</v>
      </c>
      <c r="AS1503" s="197">
        <f>IFERROR(INDEX(NCEfIn,MATCH($AB1503&amp;"."&amp;$AC1503&amp;".co",NCEfKey,0)),0)</f>
        <v>0.0</v>
      </c>
      <c r="AT1503" s="197">
        <f>IFERROR(INDEX(NCEfFin,MATCH($AB1503&amp;"."&amp;$AC1503&amp;".co",NCEfKey,0)),0)</f>
        <v>0.0</v>
      </c>
      <c r="AU1503" s="3" t="str">
        <f>INDEX('Constants and Mappings'!$J$186:$J$201,MATCH($C1503,SubKey,0))</f>
        <v>domesair</v>
      </c>
      <c r="AV1503" s="3">
        <f>INDEX('Constants and Mappings'!$K$186:$K$201,MATCH($C1503,SubKey,0))</f>
        <v>1.0</v>
      </c>
      <c r="AW1503" s="3" t="str">
        <f>INDEX('Constants and Mappings'!$L$186:$L$201,MATCH($C1503,SubKey,0))&amp;""</f>
        <v/>
      </c>
      <c r="AX1503" s="3">
        <f>INDEX('Constants and Mappings'!$M$186:$M$201,MATCH($C1503,SubKey,0))</f>
        <v>0.0</v>
      </c>
      <c r="AY1503" s="3" t="n">
        <v>0</v>
      </c>
      <c r="AZ1503" s="3" t="n">
        <v>0</v>
      </c>
      <c r="BA1503" s="3" t="n">
        <v>0</v>
      </c>
      <c r="BB1503" s="3" t="n">
        <v>0</v>
      </c>
      <c r="BC1503" s="3" t="n">
        <v>0</v>
      </c>
      <c r="BD1503" s="3">
        <f>IFERROR($BB1503/$BC1503,0)</f>
        <v>0.0</v>
      </c>
      <c r="BE1503" s="133" t="n">
        <v>1</v>
      </c>
      <c r="BF1503" s="39" t="n">
        <v>1</v>
      </c>
    </row>
    <row r="1504">
      <c r="A1504" s="3" t="str">
        <f>$B1504&amp;"|"&amp;$C1504</f>
        <v>jfu|avi</v>
      </c>
      <c r="B1504" s="8" t="inlineStr">
        <is>
          <t>jfu</t>
        </is>
      </c>
      <c r="C1504" s="8" t="inlineStr">
        <is>
          <t>avi</t>
        </is>
      </c>
      <c r="D1504" s="3" t="str">
        <f>INDEX('Constants and Mappings'!$D$186:$D$201,MATCH($C1504,SubKey,0))</f>
        <v>tra</v>
      </c>
      <c r="E1504" s="3" t="str">
        <f>INDEX('Constants and Mappings'!$C$229:$C$237,MATCH($B1504,FuelKey,0))</f>
        <v>oil</v>
      </c>
      <c r="F1504" s="3" t="str">
        <f>INDEX('Constants and Mappings'!$D$229:$D$237,MATCH($B1504,FuelKey,0))</f>
        <v>oil</v>
      </c>
      <c r="G1504" s="3" t="str">
        <f>INDEX('Constants and Mappings'!$E$229:$E$237,MATCH($B1504,FuelKey,0))</f>
        <v>all</v>
      </c>
      <c r="H1504" s="3" t="str">
        <f>INDEX('Constants and Mappings'!$F$186:$F$201,MATCH($C1504,SubKey,0))</f>
        <v>ind</v>
      </c>
      <c r="I1504" s="3" t="str">
        <f>INDEX('Constants and Mappings'!$I$229:$I$237,MATCH($B1504,FuelKey,0))&amp;"."&amp;IF($G1504="sub",$H1504,"all")</f>
        <v>ker.all</v>
      </c>
      <c r="J1504" s="3" t="str">
        <f>INDEX('Constants and Mappings'!$E$186:$E$201,MATCH($C1504,SubKey,0))</f>
        <v>rod</v>
      </c>
      <c r="K1504" s="3">
        <f>INDEX('Constants and Mappings'!$G$229:$G$237,MATCH($B1504,FuelKey,0))</f>
        <v>0.0348608</v>
      </c>
      <c r="L1504" s="3">
        <f>INDEX('Constants and Mappings'!$H$229:$H$237,MATCH($B1504,FuelKey,0))</f>
        <v>7.0</v>
      </c>
      <c r="M1504" s="3">
        <f>INDEX('Constants and Mappings'!$H$186:$H$201,MATCH($C1504,SubKey,0))</f>
        <v>4.0</v>
      </c>
      <c r="N1504" s="3">
        <f>INDEX('Constants and Mappings'!$E$300:$E$313,MATCH($I1504,'Constants and Mappings'!$A$300:$A$313,0))</f>
        <v>12.0</v>
      </c>
      <c r="O1504" s="48">
        <f>INDEX(ElaSel,MATCH("inc|"&amp;$E1504&amp;"|"&amp;$D1504,ElaSelKey,0))</f>
        <v>0.8</v>
      </c>
      <c r="P1504" s="48">
        <f>INDEX(ElaSel,MATCH("usg|"&amp;$E1504&amp;"|"&amp;$D1504,ElaSelKey,0))</f>
        <v>-0.3</v>
      </c>
      <c r="Q1504" s="48">
        <f>INDEX(ElaSel,MATCH("eff|"&amp;$E1504&amp;"|"&amp;$D1504,ElaSelKey,0))</f>
        <v>-0.4</v>
      </c>
      <c r="R1504" s="225">
        <f>INDEX(ElaSel,MATCH("aei|"&amp;$F1504&amp;"|"&amp;$D1504,ElaSelKey,0))</f>
        <v>0.01</v>
      </c>
      <c r="S1504" s="133" t="n">
        <v>1</v>
      </c>
      <c r="T1504" s="48">
        <f>$Q1504*(1+$P1504)</f>
        <v>-0.27999999999999997</v>
      </c>
      <c r="U1504" s="3">
        <f>INDEX('Constants and Mappings'!$E$1633:$E$1644,MATCH($I1504,'Constants and Mappings'!$A$1633:$A$1644,0))</f>
        <v>254.0</v>
      </c>
      <c r="V1504" s="225">
        <f>INDEX('Constants and Mappings'!$V$1633:$V$1644,MATCH($I1504,'Constants and Mappings'!$A$1633:$A$1644,0))</f>
        <v>0.0</v>
      </c>
      <c r="W1504" s="197">
        <f>INDEX(EFSel,MATCH($B1504&amp;"|"&amp;$J1504,EFSelKey,0))*EFCalib</f>
        <v>0.07118114095776658</v>
      </c>
      <c r="X1504" s="195">
        <f>IF(LEFT(BalOpt,3)="Bal",$AY1504*$AV1504+$AZ1504*$AX1504,$BA1504)</f>
        <v>634.7443659753001</v>
      </c>
      <c r="Y1504" s="3" t="str">
        <f>IF($G1504="sub",$H1504,IF($B1504="oop","ind","trs"))</f>
        <v>trs</v>
      </c>
      <c r="Z1504" s="39">
        <f>IFERROR(MATCH($Y1504&amp;"|"&amp;$B1504,XKey,0),1)</f>
        <v>17.0</v>
      </c>
      <c r="AA1504" s="48">
        <f>INDEX(XCTVal,$Z1504,ECPEmb)+INDEX(XETSVal,$Z1504,ECPEmb)</f>
        <v>0.0</v>
      </c>
      <c r="AB1504" s="8" t="inlineStr">
        <is>
          <t>avi</t>
        </is>
      </c>
      <c r="AC1504" s="8" t="inlineStr">
        <is>
          <t>jfu</t>
        </is>
      </c>
      <c r="AD1504" s="197">
        <f>IFERROR(INDEX(NCEfIn,MATCH($AB1504&amp;"."&amp;$AC1504&amp;".ch4",NCEfKey,0)),0)</f>
        <v>0.020934</v>
      </c>
      <c r="AE1504" s="197">
        <f>IFERROR(INDEX(NCEfFin,MATCH($AB1504&amp;"."&amp;$AC1504&amp;".ch4",NCEfKey,0)),0)</f>
        <v>0.020934</v>
      </c>
      <c r="AF1504" s="3" t="n">
        <v>0</v>
      </c>
      <c r="AG1504" s="197">
        <f>IFERROR(INDEX(NCEfIn,MATCH($AB1504&amp;"."&amp;$AC1504&amp;".pm2",NCEfKey,0)),0)</f>
        <v>0.014905008</v>
      </c>
      <c r="AH1504" s="197">
        <f>IFERROR(INDEX(NCEfFin,MATCH($AB1504&amp;"."&amp;$AC1504&amp;".pm2",NCEfKey,0)),0)</f>
        <v>0.014905008</v>
      </c>
      <c r="AI1504" s="197">
        <f>IFERROR(INDEX(NCEfIn,MATCH($AB1504&amp;"."&amp;$AC1504&amp;".nox",NCEfKey,0)),0)</f>
        <v>1.25604</v>
      </c>
      <c r="AJ1504" s="197">
        <f>IFERROR(INDEX(NCEfFin,MATCH($AB1504&amp;"."&amp;$AC1504&amp;".nox",NCEfKey,0)),0)</f>
        <v>1.25604</v>
      </c>
      <c r="AK1504" s="197">
        <f>IFERROR(INDEX(NCEfIn,MATCH($AB1504&amp;"."&amp;$AC1504&amp;".so2",NCEfKey,0)),0)</f>
        <v>0.09504036</v>
      </c>
      <c r="AL1504" s="197">
        <f>IFERROR(INDEX(NCEfFin,MATCH($AB1504&amp;"."&amp;$AC1504&amp;".so2",NCEfKey,0)),0)</f>
        <v>0.09504036</v>
      </c>
      <c r="AM1504" s="197">
        <f>IFERROR(INDEX(NCEfIn,MATCH($AB1504&amp;"."&amp;$AC1504&amp;".voc",NCEfKey,0)),0)</f>
        <v>1.67472</v>
      </c>
      <c r="AN1504" s="197">
        <f>IFERROR(INDEX(NCEfFin,MATCH($AB1504&amp;"."&amp;$AC1504&amp;".voc",NCEfKey,0)),0)</f>
        <v>1.67472</v>
      </c>
      <c r="AO1504" s="197">
        <f>IFERROR(INDEX(NCEfIn,MATCH($AB1504&amp;"."&amp;$AC1504&amp;".bc",NCEfKey,0)),0)</f>
        <v>0.002700486</v>
      </c>
      <c r="AP1504" s="197">
        <f>IFERROR(INDEX(NCEfFin,MATCH($AB1504&amp;"."&amp;$AC1504&amp;".bc",NCEfKey,0)),0)</f>
        <v>0.002700486</v>
      </c>
      <c r="AQ1504" s="197">
        <f>IFERROR(INDEX(NCEfIn,MATCH($AB1504&amp;"."&amp;$AC1504&amp;".oc",NCEfKey,0)),0)</f>
        <v>0.00900162</v>
      </c>
      <c r="AR1504" s="197">
        <f>IFERROR(INDEX(NCEfFin,MATCH($AB1504&amp;"."&amp;$AC1504&amp;".oc",NCEfKey,0)),0)</f>
        <v>0.00900162</v>
      </c>
      <c r="AS1504" s="197">
        <f>IFERROR(INDEX(NCEfIn,MATCH($AB1504&amp;"."&amp;$AC1504&amp;".co",NCEfKey,0)),0)</f>
        <v>0.0</v>
      </c>
      <c r="AT1504" s="197">
        <f>IFERROR(INDEX(NCEfFin,MATCH($AB1504&amp;"."&amp;$AC1504&amp;".co",NCEfKey,0)),0)</f>
        <v>0.0</v>
      </c>
      <c r="AU1504" s="3" t="str">
        <f>INDEX('Constants and Mappings'!$J$186:$J$201,MATCH($C1504,SubKey,0))</f>
        <v>domesair</v>
      </c>
      <c r="AV1504" s="3">
        <f>INDEX('Constants and Mappings'!$K$186:$K$201,MATCH($C1504,SubKey,0))</f>
        <v>1.0</v>
      </c>
      <c r="AW1504" s="3" t="str">
        <f>INDEX('Constants and Mappings'!$L$186:$L$201,MATCH($C1504,SubKey,0))&amp;""</f>
        <v/>
      </c>
      <c r="AX1504" s="3">
        <f>INDEX('Constants and Mappings'!$M$186:$M$201,MATCH($C1504,SubKey,0))</f>
        <v>0.0</v>
      </c>
      <c r="AY1504" s="3" t="n">
        <v>634.7443659753001</v>
      </c>
      <c r="AZ1504" s="3" t="n">
        <v>0</v>
      </c>
      <c r="BA1504" s="3" t="n">
        <v>634.7443659753001</v>
      </c>
      <c r="BB1504" s="3" t="n">
        <v>0</v>
      </c>
      <c r="BC1504" s="3" t="n">
        <v>0</v>
      </c>
      <c r="BD1504" s="3">
        <f>IFERROR($BB1504/$BC1504,0)</f>
        <v>0.0</v>
      </c>
      <c r="BE1504" s="133" t="n">
        <v>1</v>
      </c>
      <c r="BF1504" s="39" t="n">
        <v>1</v>
      </c>
    </row>
    <row r="1505">
      <c r="A1505" s="3" t="str">
        <f>$B1505&amp;"|"&amp;$C1505</f>
        <v>oop|avi</v>
      </c>
      <c r="B1505" s="8" t="inlineStr">
        <is>
          <t>oop</t>
        </is>
      </c>
      <c r="C1505" s="8" t="inlineStr">
        <is>
          <t>avi</t>
        </is>
      </c>
      <c r="D1505" s="3" t="str">
        <f>INDEX('Constants and Mappings'!$D$186:$D$201,MATCH($C1505,SubKey,0))</f>
        <v>tra</v>
      </c>
      <c r="E1505" s="3" t="str">
        <f>INDEX('Constants and Mappings'!$C$229:$C$237,MATCH($B1505,FuelKey,0))</f>
        <v>oil</v>
      </c>
      <c r="F1505" s="3" t="str">
        <f>INDEX('Constants and Mappings'!$D$229:$D$237,MATCH($B1505,FuelKey,0))</f>
        <v>oil</v>
      </c>
      <c r="G1505" s="3" t="str">
        <f>INDEX('Constants and Mappings'!$E$229:$E$237,MATCH($B1505,FuelKey,0))</f>
        <v>all</v>
      </c>
      <c r="H1505" s="3" t="str">
        <f>INDEX('Constants and Mappings'!$F$186:$F$201,MATCH($C1505,SubKey,0))</f>
        <v>ind</v>
      </c>
      <c r="I1505" s="3" t="str">
        <f>INDEX('Constants and Mappings'!$I$229:$I$237,MATCH($B1505,FuelKey,0))&amp;"."&amp;IF($G1505="sub",$H1505,"all")</f>
        <v>oop.all</v>
      </c>
      <c r="J1505" s="3" t="str">
        <f>INDEX('Constants and Mappings'!$E$186:$E$201,MATCH($C1505,SubKey,0))</f>
        <v>rod</v>
      </c>
      <c r="K1505" s="3">
        <f>INDEX('Constants and Mappings'!$G$229:$G$237,MATCH($B1505,FuelKey,0))</f>
        <v>6.12</v>
      </c>
      <c r="L1505" s="3">
        <f>INDEX('Constants and Mappings'!$H$229:$H$237,MATCH($B1505,FuelKey,0))</f>
        <v>8.0</v>
      </c>
      <c r="M1505" s="3">
        <f>INDEX('Constants and Mappings'!$H$186:$H$201,MATCH($C1505,SubKey,0))</f>
        <v>4.0</v>
      </c>
      <c r="N1505" s="3">
        <f>INDEX('Constants and Mappings'!$E$300:$E$313,MATCH($I1505,'Constants and Mappings'!$A$300:$A$313,0))</f>
        <v>13.0</v>
      </c>
      <c r="O1505" s="48">
        <f>INDEX(ElaSel,MATCH("inc|"&amp;$E1505&amp;"|"&amp;$D1505,ElaSelKey,0))</f>
        <v>0.8</v>
      </c>
      <c r="P1505" s="48">
        <f>INDEX(ElaSel,MATCH("usg|"&amp;$E1505&amp;"|"&amp;$D1505,ElaSelKey,0))</f>
        <v>-0.3</v>
      </c>
      <c r="Q1505" s="48">
        <f>INDEX(ElaSel,MATCH("eff|"&amp;$E1505&amp;"|"&amp;$D1505,ElaSelKey,0))</f>
        <v>-0.4</v>
      </c>
      <c r="R1505" s="225">
        <f>INDEX(ElaSel,MATCH("aei|"&amp;$F1505&amp;"|"&amp;$D1505,ElaSelKey,0))</f>
        <v>0.01</v>
      </c>
      <c r="S1505" s="133" t="n">
        <v>1</v>
      </c>
      <c r="T1505" s="48">
        <f>$Q1505*(1+$P1505)</f>
        <v>-0.27999999999999997</v>
      </c>
      <c r="U1505" s="3">
        <f>INDEX('Constants and Mappings'!$E$1633:$E$1644,MATCH($I1505,'Constants and Mappings'!$A$1633:$A$1644,0))</f>
        <v>283.0</v>
      </c>
      <c r="V1505" s="225">
        <f>INDEX('Constants and Mappings'!$V$1633:$V$1644,MATCH($I1505,'Constants and Mappings'!$A$1633:$A$1644,0))</f>
        <v>0.0</v>
      </c>
      <c r="W1505" s="197">
        <f>INDEX(EFSel,MATCH($B1505&amp;"|"&amp;$J1505,EFSelKey,0))*EFCalib</f>
        <v>0.07049322251858033</v>
      </c>
      <c r="X1505" s="195">
        <f>IF(LEFT(BalOpt,3)="Bal",$AY1505*$AV1505+$AZ1505*$AX1505,$BA1505)</f>
        <v>0.0</v>
      </c>
      <c r="Y1505" s="3" t="str">
        <f>IF($G1505="sub",$H1505,IF($B1505="oop","ind","trs"))</f>
        <v>ind</v>
      </c>
      <c r="Z1505" s="39">
        <f>IFERROR(MATCH($Y1505&amp;"|"&amp;$B1505,XKey,0),1)</f>
        <v>36.0</v>
      </c>
      <c r="AA1505" s="48">
        <f>INDEX(XCTVal,$Z1505,ECPEmb)+INDEX(XETSVal,$Z1505,ECPEmb)</f>
        <v>0.0</v>
      </c>
      <c r="AB1505" s="8" t="inlineStr">
        <is>
          <t>avi</t>
        </is>
      </c>
      <c r="AC1505" s="8" t="inlineStr">
        <is>
          <t>oop</t>
        </is>
      </c>
      <c r="AD1505" s="197">
        <f>IFERROR(INDEX(NCEfIn,MATCH($AB1505&amp;"."&amp;$AC1505&amp;".ch4",NCEfKey,0)),0)</f>
        <v>0.0</v>
      </c>
      <c r="AE1505" s="197">
        <f>IFERROR(INDEX(NCEfFin,MATCH($AB1505&amp;"."&amp;$AC1505&amp;".ch4",NCEfKey,0)),0)</f>
        <v>0.0</v>
      </c>
      <c r="AF1505" s="3" t="n">
        <v>0</v>
      </c>
      <c r="AG1505" s="197">
        <f>IFERROR(INDEX(NCEfIn,MATCH($AB1505&amp;"."&amp;$AC1505&amp;".pm2",NCEfKey,0)),0)</f>
        <v>0.0</v>
      </c>
      <c r="AH1505" s="197">
        <f>IFERROR(INDEX(NCEfFin,MATCH($AB1505&amp;"."&amp;$AC1505&amp;".pm2",NCEfKey,0)),0)</f>
        <v>0.0</v>
      </c>
      <c r="AI1505" s="197">
        <f>IFERROR(INDEX(NCEfIn,MATCH($AB1505&amp;"."&amp;$AC1505&amp;".nox",NCEfKey,0)),0)</f>
        <v>0.0</v>
      </c>
      <c r="AJ1505" s="197">
        <f>IFERROR(INDEX(NCEfFin,MATCH($AB1505&amp;"."&amp;$AC1505&amp;".nox",NCEfKey,0)),0)</f>
        <v>0.0</v>
      </c>
      <c r="AK1505" s="197">
        <f>IFERROR(INDEX(NCEfIn,MATCH($AB1505&amp;"."&amp;$AC1505&amp;".so2",NCEfKey,0)),0)</f>
        <v>0.0</v>
      </c>
      <c r="AL1505" s="197">
        <f>IFERROR(INDEX(NCEfFin,MATCH($AB1505&amp;"."&amp;$AC1505&amp;".so2",NCEfKey,0)),0)</f>
        <v>0.0</v>
      </c>
      <c r="AM1505" s="197">
        <f>IFERROR(INDEX(NCEfIn,MATCH($AB1505&amp;"."&amp;$AC1505&amp;".voc",NCEfKey,0)),0)</f>
        <v>0.0</v>
      </c>
      <c r="AN1505" s="197">
        <f>IFERROR(INDEX(NCEfFin,MATCH($AB1505&amp;"."&amp;$AC1505&amp;".voc",NCEfKey,0)),0)</f>
        <v>0.0</v>
      </c>
      <c r="AO1505" s="197">
        <f>IFERROR(INDEX(NCEfIn,MATCH($AB1505&amp;"."&amp;$AC1505&amp;".bc",NCEfKey,0)),0)</f>
        <v>0.0</v>
      </c>
      <c r="AP1505" s="197">
        <f>IFERROR(INDEX(NCEfFin,MATCH($AB1505&amp;"."&amp;$AC1505&amp;".bc",NCEfKey,0)),0)</f>
        <v>0.0</v>
      </c>
      <c r="AQ1505" s="197">
        <f>IFERROR(INDEX(NCEfIn,MATCH($AB1505&amp;"."&amp;$AC1505&amp;".oc",NCEfKey,0)),0)</f>
        <v>0.0</v>
      </c>
      <c r="AR1505" s="197">
        <f>IFERROR(INDEX(NCEfFin,MATCH($AB1505&amp;"."&amp;$AC1505&amp;".oc",NCEfKey,0)),0)</f>
        <v>0.0</v>
      </c>
      <c r="AS1505" s="197">
        <f>IFERROR(INDEX(NCEfIn,MATCH($AB1505&amp;"."&amp;$AC1505&amp;".co",NCEfKey,0)),0)</f>
        <v>0.0</v>
      </c>
      <c r="AT1505" s="197">
        <f>IFERROR(INDEX(NCEfFin,MATCH($AB1505&amp;"."&amp;$AC1505&amp;".co",NCEfKey,0)),0)</f>
        <v>0.0</v>
      </c>
      <c r="AU1505" s="3" t="str">
        <f>INDEX('Constants and Mappings'!$J$186:$J$201,MATCH($C1505,SubKey,0))</f>
        <v>domesair</v>
      </c>
      <c r="AV1505" s="3">
        <f>INDEX('Constants and Mappings'!$K$186:$K$201,MATCH($C1505,SubKey,0))</f>
        <v>1.0</v>
      </c>
      <c r="AW1505" s="3" t="str">
        <f>INDEX('Constants and Mappings'!$L$186:$L$201,MATCH($C1505,SubKey,0))&amp;""</f>
        <v/>
      </c>
      <c r="AX1505" s="3">
        <f>INDEX('Constants and Mappings'!$M$186:$M$201,MATCH($C1505,SubKey,0))</f>
        <v>0.0</v>
      </c>
      <c r="AY1505" s="3" t="n">
        <v>0</v>
      </c>
      <c r="AZ1505" s="3" t="n">
        <v>0</v>
      </c>
      <c r="BA1505" s="3" t="n">
        <v>0</v>
      </c>
      <c r="BB1505" s="3" t="n">
        <v>0</v>
      </c>
      <c r="BC1505" s="3" t="n">
        <v>0</v>
      </c>
      <c r="BD1505" s="3">
        <f>IFERROR($BB1505/$BC1505,0)</f>
        <v>0.0</v>
      </c>
      <c r="BE1505" s="133" t="n">
        <v>1</v>
      </c>
      <c r="BF1505" s="39" t="n">
        <v>1</v>
      </c>
    </row>
    <row r="1506">
      <c r="A1506" s="3" t="str">
        <f>$B1506&amp;"|"&amp;$C1506</f>
        <v>bio|avi</v>
      </c>
      <c r="B1506" s="8" t="inlineStr">
        <is>
          <t>bio</t>
        </is>
      </c>
      <c r="C1506" s="8" t="inlineStr">
        <is>
          <t>avi</t>
        </is>
      </c>
      <c r="D1506" s="3" t="str">
        <f>INDEX('Constants and Mappings'!$D$186:$D$201,MATCH($C1506,SubKey,0))</f>
        <v>tra</v>
      </c>
      <c r="E1506" s="3" t="str">
        <f>INDEX('Constants and Mappings'!$C$229:$C$237,MATCH($B1506,FuelKey,0))</f>
        <v>bio</v>
      </c>
      <c r="F1506" s="3" t="str">
        <f>INDEX('Constants and Mappings'!$D$229:$D$237,MATCH($B1506,FuelKey,0))</f>
        <v>bio</v>
      </c>
      <c r="G1506" s="3" t="str">
        <f>INDEX('Constants and Mappings'!$E$229:$E$237,MATCH($B1506,FuelKey,0))</f>
        <v>all</v>
      </c>
      <c r="H1506" s="3" t="str">
        <f>INDEX('Constants and Mappings'!$F$186:$F$201,MATCH($C1506,SubKey,0))</f>
        <v>ind</v>
      </c>
      <c r="I1506" s="3" t="str">
        <f>INDEX('Constants and Mappings'!$I$229:$I$237,MATCH($B1506,FuelKey,0))&amp;"."&amp;IF($G1506="sub",$H1506,"all")</f>
        <v>bio.all</v>
      </c>
      <c r="J1506" s="3" t="str">
        <f>INDEX('Constants and Mappings'!$E$186:$E$201,MATCH($C1506,SubKey,0))</f>
        <v>rod</v>
      </c>
      <c r="K1506" s="3">
        <f>INDEX('Constants and Mappings'!$G$229:$G$237,MATCH($B1506,FuelKey,0))</f>
        <v>1.0</v>
      </c>
      <c r="L1506" s="3">
        <f>INDEX('Constants and Mappings'!$H$229:$H$237,MATCH($B1506,FuelKey,0))</f>
        <v>9.0</v>
      </c>
      <c r="M1506" s="3">
        <f>INDEX('Constants and Mappings'!$H$186:$H$201,MATCH($C1506,SubKey,0))</f>
        <v>4.0</v>
      </c>
      <c r="N1506" s="3">
        <f>INDEX('Constants and Mappings'!$E$300:$E$313,MATCH($I1506,'Constants and Mappings'!$A$300:$A$313,0))</f>
        <v>14.0</v>
      </c>
      <c r="O1506" s="48">
        <f>INDEX(ElaSel,MATCH("inc|"&amp;$E1506&amp;"|"&amp;$D1506,ElaSelKey,0))</f>
        <v>0.0</v>
      </c>
      <c r="P1506" s="48">
        <f>INDEX(ElaSel,MATCH("usg|"&amp;$E1506&amp;"|"&amp;$D1506,ElaSelKey,0))</f>
        <v>-0.3</v>
      </c>
      <c r="Q1506" s="48">
        <f>INDEX(ElaSel,MATCH("eff|"&amp;$E1506&amp;"|"&amp;$D1506,ElaSelKey,0))</f>
        <v>-0.2</v>
      </c>
      <c r="R1506" s="225">
        <f>INDEX(ElaSel,MATCH("aei|"&amp;$F1506&amp;"|"&amp;$D1506,ElaSelKey,0))</f>
        <v>0.01</v>
      </c>
      <c r="S1506" s="133" t="n">
        <v>1</v>
      </c>
      <c r="T1506" s="48">
        <f>$Q1506*(1+$P1506)</f>
        <v>-0.13999999999999999</v>
      </c>
      <c r="U1506" s="3">
        <f>INDEX('Constants and Mappings'!$E$1633:$E$1644,MATCH($I1506,'Constants and Mappings'!$A$1633:$A$1644,0))</f>
        <v>312.0</v>
      </c>
      <c r="V1506" s="225">
        <f>INDEX('Constants and Mappings'!$V$1633:$V$1644,MATCH($I1506,'Constants and Mappings'!$A$1633:$A$1644,0))</f>
        <v>0.0</v>
      </c>
      <c r="W1506" s="197">
        <f>INDEX(EFSel,MATCH($B1506&amp;"|"&amp;$J1506,EFSelKey,0))*EFCalib</f>
        <v>0.0</v>
      </c>
      <c r="X1506" s="195">
        <f>IF(LEFT(BalOpt,3)="Bal",$AY1506*$AV1506+$AZ1506*$AX1506,$BA1506)</f>
        <v>0.0</v>
      </c>
      <c r="Y1506" s="3" t="str">
        <f>IF($G1506="sub",$H1506,IF($B1506="oop","ind","trs"))</f>
        <v>trs</v>
      </c>
      <c r="Z1506" s="39">
        <f>IFERROR(MATCH($Y1506&amp;"|"&amp;$B1506,XKey,0),1)</f>
        <v>19.0</v>
      </c>
      <c r="AA1506" s="48">
        <f>INDEX(XCTVal,$Z1506,ECPEmb)+INDEX(XETSVal,$Z1506,ECPEmb)</f>
        <v>0.0</v>
      </c>
      <c r="AB1506" s="8" t="inlineStr">
        <is>
          <t>avi</t>
        </is>
      </c>
      <c r="AC1506" s="8" t="inlineStr">
        <is>
          <t>bio</t>
        </is>
      </c>
      <c r="AD1506" s="197">
        <f>IFERROR(INDEX(NCEfIn,MATCH($AB1506&amp;"."&amp;$AC1506&amp;".ch4",NCEfKey,0)),0)</f>
        <v>0.0</v>
      </c>
      <c r="AE1506" s="197">
        <f>IFERROR(INDEX(NCEfFin,MATCH($AB1506&amp;"."&amp;$AC1506&amp;".ch4",NCEfKey,0)),0)</f>
        <v>0.0</v>
      </c>
      <c r="AF1506" s="3" t="n">
        <v>0</v>
      </c>
      <c r="AG1506" s="197">
        <f>IFERROR(INDEX(NCEfIn,MATCH($AB1506&amp;"."&amp;$AC1506&amp;".pm2",NCEfKey,0)),0)</f>
        <v>0.0</v>
      </c>
      <c r="AH1506" s="197">
        <f>IFERROR(INDEX(NCEfFin,MATCH($AB1506&amp;"."&amp;$AC1506&amp;".pm2",NCEfKey,0)),0)</f>
        <v>0.0</v>
      </c>
      <c r="AI1506" s="197">
        <f>IFERROR(INDEX(NCEfIn,MATCH($AB1506&amp;"."&amp;$AC1506&amp;".nox",NCEfKey,0)),0)</f>
        <v>0.0</v>
      </c>
      <c r="AJ1506" s="197">
        <f>IFERROR(INDEX(NCEfFin,MATCH($AB1506&amp;"."&amp;$AC1506&amp;".nox",NCEfKey,0)),0)</f>
        <v>0.0</v>
      </c>
      <c r="AK1506" s="197">
        <f>IFERROR(INDEX(NCEfIn,MATCH($AB1506&amp;"."&amp;$AC1506&amp;".so2",NCEfKey,0)),0)</f>
        <v>0.0</v>
      </c>
      <c r="AL1506" s="197">
        <f>IFERROR(INDEX(NCEfFin,MATCH($AB1506&amp;"."&amp;$AC1506&amp;".so2",NCEfKey,0)),0)</f>
        <v>0.0</v>
      </c>
      <c r="AM1506" s="197">
        <f>IFERROR(INDEX(NCEfIn,MATCH($AB1506&amp;"."&amp;$AC1506&amp;".voc",NCEfKey,0)),0)</f>
        <v>0.0</v>
      </c>
      <c r="AN1506" s="197">
        <f>IFERROR(INDEX(NCEfFin,MATCH($AB1506&amp;"."&amp;$AC1506&amp;".voc",NCEfKey,0)),0)</f>
        <v>0.0</v>
      </c>
      <c r="AO1506" s="197">
        <f>IFERROR(INDEX(NCEfIn,MATCH($AB1506&amp;"."&amp;$AC1506&amp;".bc",NCEfKey,0)),0)</f>
        <v>0.0</v>
      </c>
      <c r="AP1506" s="197">
        <f>IFERROR(INDEX(NCEfFin,MATCH($AB1506&amp;"."&amp;$AC1506&amp;".bc",NCEfKey,0)),0)</f>
        <v>0.0</v>
      </c>
      <c r="AQ1506" s="197">
        <f>IFERROR(INDEX(NCEfIn,MATCH($AB1506&amp;"."&amp;$AC1506&amp;".oc",NCEfKey,0)),0)</f>
        <v>0.0</v>
      </c>
      <c r="AR1506" s="197">
        <f>IFERROR(INDEX(NCEfFin,MATCH($AB1506&amp;"."&amp;$AC1506&amp;".oc",NCEfKey,0)),0)</f>
        <v>0.0</v>
      </c>
      <c r="AS1506" s="197">
        <f>IFERROR(INDEX(NCEfIn,MATCH($AB1506&amp;"."&amp;$AC1506&amp;".co",NCEfKey,0)),0)</f>
        <v>0.0</v>
      </c>
      <c r="AT1506" s="197">
        <f>IFERROR(INDEX(NCEfFin,MATCH($AB1506&amp;"."&amp;$AC1506&amp;".co",NCEfKey,0)),0)</f>
        <v>0.0</v>
      </c>
      <c r="AU1506" s="3" t="str">
        <f>INDEX('Constants and Mappings'!$J$186:$J$201,MATCH($C1506,SubKey,0))</f>
        <v>domesair</v>
      </c>
      <c r="AV1506" s="3">
        <f>INDEX('Constants and Mappings'!$K$186:$K$201,MATCH($C1506,SubKey,0))</f>
        <v>1.0</v>
      </c>
      <c r="AW1506" s="3" t="str">
        <f>INDEX('Constants and Mappings'!$L$186:$L$201,MATCH($C1506,SubKey,0))&amp;""</f>
        <v/>
      </c>
      <c r="AX1506" s="3">
        <f>INDEX('Constants and Mappings'!$M$186:$M$201,MATCH($C1506,SubKey,0))</f>
        <v>0.0</v>
      </c>
      <c r="AY1506" s="3" t="n">
        <v>0</v>
      </c>
      <c r="AZ1506" s="3" t="n">
        <v>0</v>
      </c>
      <c r="BA1506" s="3" t="n">
        <v>0</v>
      </c>
      <c r="BB1506" s="3" t="n">
        <v>0</v>
      </c>
      <c r="BC1506" s="3" t="n">
        <v>0</v>
      </c>
      <c r="BD1506" s="3">
        <f>IFERROR($BB1506/$BC1506,0)</f>
        <v>0.0</v>
      </c>
      <c r="BE1506" s="133" t="n">
        <v>1</v>
      </c>
      <c r="BF1506" s="39" t="n">
        <v>1</v>
      </c>
    </row>
    <row r="1507">
      <c r="A1507" s="3" t="str">
        <f>$B1507&amp;"|"&amp;$C1507</f>
        <v>coa|nav</v>
      </c>
      <c r="B1507" s="8" t="inlineStr">
        <is>
          <t>coa</t>
        </is>
      </c>
      <c r="C1507" s="8" t="inlineStr">
        <is>
          <t>nav</t>
        </is>
      </c>
      <c r="D1507" s="3" t="str">
        <f>INDEX('Constants and Mappings'!$D$186:$D$201,MATCH($C1507,SubKey,0))</f>
        <v>tra</v>
      </c>
      <c r="E1507" s="3" t="str">
        <f>INDEX('Constants and Mappings'!$C$229:$C$237,MATCH($B1507,FuelKey,0))</f>
        <v>coa</v>
      </c>
      <c r="F1507" s="3" t="str">
        <f>INDEX('Constants and Mappings'!$D$229:$D$237,MATCH($B1507,FuelKey,0))</f>
        <v>coa</v>
      </c>
      <c r="G1507" s="3" t="str">
        <f>INDEX('Constants and Mappings'!$E$229:$E$237,MATCH($B1507,FuelKey,0))</f>
        <v>sub</v>
      </c>
      <c r="H1507" s="3" t="str">
        <f>INDEX('Constants and Mappings'!$F$186:$F$201,MATCH($C1507,SubKey,0))</f>
        <v>ind</v>
      </c>
      <c r="I1507" s="3" t="str">
        <f>INDEX('Constants and Mappings'!$I$229:$I$237,MATCH($B1507,FuelKey,0))&amp;"."&amp;IF($G1507="sub",$H1507,"all")</f>
        <v>coa.ind</v>
      </c>
      <c r="J1507" s="3" t="str">
        <f>INDEX('Constants and Mappings'!$E$186:$E$201,MATCH($C1507,SubKey,0))</f>
        <v>rod</v>
      </c>
      <c r="K1507" s="3">
        <f>INDEX('Constants and Mappings'!$G$229:$G$237,MATCH($B1507,FuelKey,0))</f>
        <v>1.0</v>
      </c>
      <c r="L1507" s="3">
        <f>INDEX('Constants and Mappings'!$H$229:$H$237,MATCH($B1507,FuelKey,0))</f>
        <v>1.0</v>
      </c>
      <c r="M1507" s="3">
        <f>INDEX('Constants and Mappings'!$H$186:$H$201,MATCH($C1507,SubKey,0))</f>
        <v>5.0</v>
      </c>
      <c r="N1507" s="3">
        <f>INDEX('Constants and Mappings'!$E$300:$E$313,MATCH($I1507,'Constants and Mappings'!$A$300:$A$313,0))</f>
        <v>3.0</v>
      </c>
      <c r="O1507" s="48">
        <f>INDEX(ElaSel,MATCH("inc|"&amp;$E1507&amp;"|"&amp;$D1507,ElaSelKey,0))</f>
        <v>0.0</v>
      </c>
      <c r="P1507" s="48">
        <f>INDEX(ElaSel,MATCH("usg|"&amp;$E1507&amp;"|"&amp;$D1507,ElaSelKey,0))</f>
        <v>-0.3</v>
      </c>
      <c r="Q1507" s="48">
        <f>INDEX(ElaSel,MATCH("eff|"&amp;$E1507&amp;"|"&amp;$D1507,ElaSelKey,0))</f>
        <v>-0.4</v>
      </c>
      <c r="R1507" s="225">
        <f>INDEX(ElaSel,MATCH("aei|"&amp;$F1507&amp;"|"&amp;$D1507,ElaSelKey,0))</f>
        <v>0.01</v>
      </c>
      <c r="S1507" s="133" t="n">
        <v>1</v>
      </c>
      <c r="T1507" s="48">
        <f>$Q1507*(1+$P1507)</f>
        <v>-0.27999999999999997</v>
      </c>
      <c r="U1507" s="3">
        <f>INDEX('Constants and Mappings'!$E$1633:$E$1644,MATCH($I1507,'Constants and Mappings'!$A$1633:$A$1644,0))</f>
        <v>55.0</v>
      </c>
      <c r="V1507" s="225">
        <f>INDEX('Constants and Mappings'!$V$1633:$V$1644,MATCH($I1507,'Constants and Mappings'!$A$1633:$A$1644,0))</f>
        <v>0.0</v>
      </c>
      <c r="W1507" s="197">
        <f>INDEX(EFSel,MATCH($B1507&amp;"|"&amp;$J1507,EFSelKey,0))*EFCalib</f>
        <v>0.09388742715307763</v>
      </c>
      <c r="X1507" s="195">
        <f>IF(LEFT(BalOpt,3)="Bal",$AY1507*$AV1507+$AZ1507*$AX1507,$BA1507)</f>
        <v>0.0</v>
      </c>
      <c r="Y1507" s="3" t="str">
        <f>IF($G1507="sub",$H1507,IF($B1507="oop","ind","trs"))</f>
        <v>ind</v>
      </c>
      <c r="Z1507" s="39">
        <f>IFERROR(MATCH($Y1507&amp;"|"&amp;$B1507,XKey,0),1)</f>
        <v>29.0</v>
      </c>
      <c r="AA1507" s="48">
        <f>INDEX(XCTVal,$Z1507,ECPEmb)+INDEX(XETSVal,$Z1507,ECPEmb)</f>
        <v>0.0</v>
      </c>
      <c r="AB1507" s="8" t="inlineStr">
        <is>
          <t>nav</t>
        </is>
      </c>
      <c r="AC1507" s="8" t="inlineStr">
        <is>
          <t>coa</t>
        </is>
      </c>
      <c r="AD1507" s="197">
        <f>IFERROR(INDEX(NCEfIn,MATCH($AB1507&amp;"."&amp;$AC1507&amp;".ch4",NCEfKey,0)),0)</f>
        <v>0.0</v>
      </c>
      <c r="AE1507" s="197">
        <f>IFERROR(INDEX(NCEfFin,MATCH($AB1507&amp;"."&amp;$AC1507&amp;".ch4",NCEfKey,0)),0)</f>
        <v>0.0</v>
      </c>
      <c r="AF1507" s="3" t="n">
        <v>0</v>
      </c>
      <c r="AG1507" s="197">
        <f>IFERROR(INDEX(NCEfIn,MATCH($AB1507&amp;"."&amp;$AC1507&amp;".pm2",NCEfKey,0)),0)</f>
        <v>0.0</v>
      </c>
      <c r="AH1507" s="197">
        <f>IFERROR(INDEX(NCEfFin,MATCH($AB1507&amp;"."&amp;$AC1507&amp;".pm2",NCEfKey,0)),0)</f>
        <v>0.0</v>
      </c>
      <c r="AI1507" s="197">
        <f>IFERROR(INDEX(NCEfIn,MATCH($AB1507&amp;"."&amp;$AC1507&amp;".nox",NCEfKey,0)),0)</f>
        <v>0.0</v>
      </c>
      <c r="AJ1507" s="197">
        <f>IFERROR(INDEX(NCEfFin,MATCH($AB1507&amp;"."&amp;$AC1507&amp;".nox",NCEfKey,0)),0)</f>
        <v>0.0</v>
      </c>
      <c r="AK1507" s="197">
        <f>IFERROR(INDEX(NCEfIn,MATCH($AB1507&amp;"."&amp;$AC1507&amp;".so2",NCEfKey,0)),0)</f>
        <v>0.0</v>
      </c>
      <c r="AL1507" s="197">
        <f>IFERROR(INDEX(NCEfFin,MATCH($AB1507&amp;"."&amp;$AC1507&amp;".so2",NCEfKey,0)),0)</f>
        <v>0.0</v>
      </c>
      <c r="AM1507" s="197">
        <f>IFERROR(INDEX(NCEfIn,MATCH($AB1507&amp;"."&amp;$AC1507&amp;".voc",NCEfKey,0)),0)</f>
        <v>0.0</v>
      </c>
      <c r="AN1507" s="197">
        <f>IFERROR(INDEX(NCEfFin,MATCH($AB1507&amp;"."&amp;$AC1507&amp;".voc",NCEfKey,0)),0)</f>
        <v>0.0</v>
      </c>
      <c r="AO1507" s="197">
        <f>IFERROR(INDEX(NCEfIn,MATCH($AB1507&amp;"."&amp;$AC1507&amp;".bc",NCEfKey,0)),0)</f>
        <v>0.0</v>
      </c>
      <c r="AP1507" s="197">
        <f>IFERROR(INDEX(NCEfFin,MATCH($AB1507&amp;"."&amp;$AC1507&amp;".bc",NCEfKey,0)),0)</f>
        <v>0.0</v>
      </c>
      <c r="AQ1507" s="197">
        <f>IFERROR(INDEX(NCEfIn,MATCH($AB1507&amp;"."&amp;$AC1507&amp;".oc",NCEfKey,0)),0)</f>
        <v>0.0</v>
      </c>
      <c r="AR1507" s="197">
        <f>IFERROR(INDEX(NCEfFin,MATCH($AB1507&amp;"."&amp;$AC1507&amp;".oc",NCEfKey,0)),0)</f>
        <v>0.0</v>
      </c>
      <c r="AS1507" s="197">
        <f>IFERROR(INDEX(NCEfIn,MATCH($AB1507&amp;"."&amp;$AC1507&amp;".co",NCEfKey,0)),0)</f>
        <v>0.0</v>
      </c>
      <c r="AT1507" s="197">
        <f>IFERROR(INDEX(NCEfFin,MATCH($AB1507&amp;"."&amp;$AC1507&amp;".co",NCEfKey,0)),0)</f>
        <v>0.0</v>
      </c>
      <c r="AU1507" s="3" t="str">
        <f>INDEX('Constants and Mappings'!$J$186:$J$201,MATCH($C1507,SubKey,0))</f>
        <v>domesnav</v>
      </c>
      <c r="AV1507" s="3">
        <f>INDEX('Constants and Mappings'!$K$186:$K$201,MATCH($C1507,SubKey,0))</f>
        <v>1.0</v>
      </c>
      <c r="AW1507" s="3" t="str">
        <f>INDEX('Constants and Mappings'!$L$186:$L$201,MATCH($C1507,SubKey,0))&amp;""</f>
        <v/>
      </c>
      <c r="AX1507" s="3">
        <f>INDEX('Constants and Mappings'!$M$186:$M$201,MATCH($C1507,SubKey,0))</f>
        <v>0.0</v>
      </c>
      <c r="AY1507" s="3" t="n">
        <v>0</v>
      </c>
      <c r="AZ1507" s="3" t="n">
        <v>0</v>
      </c>
      <c r="BA1507" s="3" t="n">
        <v>0</v>
      </c>
      <c r="BB1507" s="3" t="n">
        <v>0</v>
      </c>
      <c r="BC1507" s="3" t="n">
        <v>0</v>
      </c>
      <c r="BD1507" s="3">
        <f>IFERROR($BB1507/$BC1507,0)</f>
        <v>0.0</v>
      </c>
      <c r="BE1507" s="133" t="n">
        <v>1</v>
      </c>
      <c r="BF1507" s="39" t="n">
        <v>1</v>
      </c>
    </row>
    <row r="1508">
      <c r="A1508" s="3" t="str">
        <f>$B1508&amp;"|"&amp;$C1508</f>
        <v>nga|nav</v>
      </c>
      <c r="B1508" s="8" t="inlineStr">
        <is>
          <t>nga</t>
        </is>
      </c>
      <c r="C1508" s="8" t="inlineStr">
        <is>
          <t>nav</t>
        </is>
      </c>
      <c r="D1508" s="3" t="str">
        <f>INDEX('Constants and Mappings'!$D$186:$D$201,MATCH($C1508,SubKey,0))</f>
        <v>tra</v>
      </c>
      <c r="E1508" s="3" t="str">
        <f>INDEX('Constants and Mappings'!$C$229:$C$237,MATCH($B1508,FuelKey,0))</f>
        <v>nga</v>
      </c>
      <c r="F1508" s="3" t="str">
        <f>INDEX('Constants and Mappings'!$D$229:$D$237,MATCH($B1508,FuelKey,0))</f>
        <v>nga</v>
      </c>
      <c r="G1508" s="3" t="str">
        <f>INDEX('Constants and Mappings'!$E$229:$E$237,MATCH($B1508,FuelKey,0))</f>
        <v>sub</v>
      </c>
      <c r="H1508" s="3" t="str">
        <f>INDEX('Constants and Mappings'!$F$186:$F$201,MATCH($C1508,SubKey,0))</f>
        <v>ind</v>
      </c>
      <c r="I1508" s="3" t="str">
        <f>INDEX('Constants and Mappings'!$I$229:$I$237,MATCH($B1508,FuelKey,0))&amp;"."&amp;IF($G1508="sub",$H1508,"all")</f>
        <v>nga.ind</v>
      </c>
      <c r="J1508" s="3" t="str">
        <f>INDEX('Constants and Mappings'!$E$186:$E$201,MATCH($C1508,SubKey,0))</f>
        <v>rod</v>
      </c>
      <c r="K1508" s="3">
        <f>INDEX('Constants and Mappings'!$G$229:$G$237,MATCH($B1508,FuelKey,0))</f>
        <v>1.0</v>
      </c>
      <c r="L1508" s="3">
        <f>INDEX('Constants and Mappings'!$H$229:$H$237,MATCH($B1508,FuelKey,0))</f>
        <v>2.0</v>
      </c>
      <c r="M1508" s="3">
        <f>INDEX('Constants and Mappings'!$H$186:$H$201,MATCH($C1508,SubKey,0))</f>
        <v>5.0</v>
      </c>
      <c r="N1508" s="3">
        <f>INDEX('Constants and Mappings'!$E$300:$E$313,MATCH($I1508,'Constants and Mappings'!$A$300:$A$313,0))</f>
        <v>6.0</v>
      </c>
      <c r="O1508" s="48">
        <f>INDEX(ElaSel,MATCH("inc|"&amp;$E1508&amp;"|"&amp;$D1508,ElaSelKey,0))</f>
        <v>0.5</v>
      </c>
      <c r="P1508" s="48">
        <f>INDEX(ElaSel,MATCH("usg|"&amp;$E1508&amp;"|"&amp;$D1508,ElaSelKey,0))</f>
        <v>-0.5</v>
      </c>
      <c r="Q1508" s="48">
        <f>INDEX(ElaSel,MATCH("eff|"&amp;$E1508&amp;"|"&amp;$D1508,ElaSelKey,0))</f>
        <v>-0.4</v>
      </c>
      <c r="R1508" s="225">
        <f>INDEX(ElaSel,MATCH("aei|"&amp;$F1508&amp;"|"&amp;$D1508,ElaSelKey,0))</f>
        <v>0.01</v>
      </c>
      <c r="S1508" s="133" t="n">
        <v>1</v>
      </c>
      <c r="T1508" s="48">
        <f>$Q1508*(1+$P1508)</f>
        <v>-0.2</v>
      </c>
      <c r="U1508" s="3">
        <f>INDEX('Constants and Mappings'!$E$1633:$E$1644,MATCH($I1508,'Constants and Mappings'!$A$1633:$A$1644,0))</f>
        <v>138.0</v>
      </c>
      <c r="V1508" s="225">
        <f>INDEX('Constants and Mappings'!$V$1633:$V$1644,MATCH($I1508,'Constants and Mappings'!$A$1633:$A$1644,0))</f>
        <v>0.0</v>
      </c>
      <c r="W1508" s="197">
        <f>INDEX(EFSel,MATCH($B1508&amp;"|"&amp;$J1508,EFSelKey,0))*EFCalib</f>
        <v>0.05555115616004721</v>
      </c>
      <c r="X1508" s="195">
        <f>IF(LEFT(BalOpt,3)="Bal",$AY1508*$AV1508+$AZ1508*$AX1508,$BA1508)</f>
        <v>0.0</v>
      </c>
      <c r="Y1508" s="3" t="str">
        <f>IF($G1508="sub",$H1508,IF($B1508="oop","ind","trs"))</f>
        <v>ind</v>
      </c>
      <c r="Z1508" s="39">
        <f>IFERROR(MATCH($Y1508&amp;"|"&amp;$B1508,XKey,0),1)</f>
        <v>30.0</v>
      </c>
      <c r="AA1508" s="48">
        <f>INDEX(XCTVal,$Z1508,ECPEmb)+INDEX(XETSVal,$Z1508,ECPEmb)</f>
        <v>0.0</v>
      </c>
      <c r="AB1508" s="8" t="inlineStr">
        <is>
          <t>nav</t>
        </is>
      </c>
      <c r="AC1508" s="8" t="inlineStr">
        <is>
          <t>nga</t>
        </is>
      </c>
      <c r="AD1508" s="197">
        <f>IFERROR(INDEX(NCEfIn,MATCH($AB1508&amp;"."&amp;$AC1508&amp;".ch4",NCEfKey,0)),0)</f>
        <v>0.0</v>
      </c>
      <c r="AE1508" s="197">
        <f>IFERROR(INDEX(NCEfFin,MATCH($AB1508&amp;"."&amp;$AC1508&amp;".ch4",NCEfKey,0)),0)</f>
        <v>0.0</v>
      </c>
      <c r="AF1508" s="3" t="n">
        <v>0</v>
      </c>
      <c r="AG1508" s="197">
        <f>IFERROR(INDEX(NCEfIn,MATCH($AB1508&amp;"."&amp;$AC1508&amp;".pm2",NCEfKey,0)),0)</f>
        <v>0.0</v>
      </c>
      <c r="AH1508" s="197">
        <f>IFERROR(INDEX(NCEfFin,MATCH($AB1508&amp;"."&amp;$AC1508&amp;".pm2",NCEfKey,0)),0)</f>
        <v>0.0</v>
      </c>
      <c r="AI1508" s="197">
        <f>IFERROR(INDEX(NCEfIn,MATCH($AB1508&amp;"."&amp;$AC1508&amp;".nox",NCEfKey,0)),0)</f>
        <v>0.0</v>
      </c>
      <c r="AJ1508" s="197">
        <f>IFERROR(INDEX(NCEfFin,MATCH($AB1508&amp;"."&amp;$AC1508&amp;".nox",NCEfKey,0)),0)</f>
        <v>0.0</v>
      </c>
      <c r="AK1508" s="197">
        <f>IFERROR(INDEX(NCEfIn,MATCH($AB1508&amp;"."&amp;$AC1508&amp;".so2",NCEfKey,0)),0)</f>
        <v>0.0</v>
      </c>
      <c r="AL1508" s="197">
        <f>IFERROR(INDEX(NCEfFin,MATCH($AB1508&amp;"."&amp;$AC1508&amp;".so2",NCEfKey,0)),0)</f>
        <v>0.0</v>
      </c>
      <c r="AM1508" s="197">
        <f>IFERROR(INDEX(NCEfIn,MATCH($AB1508&amp;"."&amp;$AC1508&amp;".voc",NCEfKey,0)),0)</f>
        <v>0.0</v>
      </c>
      <c r="AN1508" s="197">
        <f>IFERROR(INDEX(NCEfFin,MATCH($AB1508&amp;"."&amp;$AC1508&amp;".voc",NCEfKey,0)),0)</f>
        <v>0.0</v>
      </c>
      <c r="AO1508" s="197">
        <f>IFERROR(INDEX(NCEfIn,MATCH($AB1508&amp;"."&amp;$AC1508&amp;".bc",NCEfKey,0)),0)</f>
        <v>0.0</v>
      </c>
      <c r="AP1508" s="197">
        <f>IFERROR(INDEX(NCEfFin,MATCH($AB1508&amp;"."&amp;$AC1508&amp;".bc",NCEfKey,0)),0)</f>
        <v>0.0</v>
      </c>
      <c r="AQ1508" s="197">
        <f>IFERROR(INDEX(NCEfIn,MATCH($AB1508&amp;"."&amp;$AC1508&amp;".oc",NCEfKey,0)),0)</f>
        <v>0.0</v>
      </c>
      <c r="AR1508" s="197">
        <f>IFERROR(INDEX(NCEfFin,MATCH($AB1508&amp;"."&amp;$AC1508&amp;".oc",NCEfKey,0)),0)</f>
        <v>0.0</v>
      </c>
      <c r="AS1508" s="197">
        <f>IFERROR(INDEX(NCEfIn,MATCH($AB1508&amp;"."&amp;$AC1508&amp;".co",NCEfKey,0)),0)</f>
        <v>0.0</v>
      </c>
      <c r="AT1508" s="197">
        <f>IFERROR(INDEX(NCEfFin,MATCH($AB1508&amp;"."&amp;$AC1508&amp;".co",NCEfKey,0)),0)</f>
        <v>0.0</v>
      </c>
      <c r="AU1508" s="3" t="str">
        <f>INDEX('Constants and Mappings'!$J$186:$J$201,MATCH($C1508,SubKey,0))</f>
        <v>domesnav</v>
      </c>
      <c r="AV1508" s="3">
        <f>INDEX('Constants and Mappings'!$K$186:$K$201,MATCH($C1508,SubKey,0))</f>
        <v>1.0</v>
      </c>
      <c r="AW1508" s="3" t="str">
        <f>INDEX('Constants and Mappings'!$L$186:$L$201,MATCH($C1508,SubKey,0))&amp;""</f>
        <v/>
      </c>
      <c r="AX1508" s="3">
        <f>INDEX('Constants and Mappings'!$M$186:$M$201,MATCH($C1508,SubKey,0))</f>
        <v>0.0</v>
      </c>
      <c r="AY1508" s="3" t="n">
        <v>0</v>
      </c>
      <c r="AZ1508" s="3" t="n">
        <v>0</v>
      </c>
      <c r="BA1508" s="3" t="n">
        <v>0</v>
      </c>
      <c r="BB1508" s="3" t="n">
        <v>0</v>
      </c>
      <c r="BC1508" s="3" t="n">
        <v>0</v>
      </c>
      <c r="BD1508" s="3">
        <f>IFERROR($BB1508/$BC1508,0)</f>
        <v>0.0</v>
      </c>
      <c r="BE1508" s="133" t="n">
        <v>1</v>
      </c>
      <c r="BF1508" s="39" t="n">
        <v>1</v>
      </c>
    </row>
    <row r="1509">
      <c r="A1509" s="3" t="str">
        <f>$B1509&amp;"|"&amp;$C1509</f>
        <v>gso|nav</v>
      </c>
      <c r="B1509" s="8" t="inlineStr">
        <is>
          <t>gso</t>
        </is>
      </c>
      <c r="C1509" s="8" t="inlineStr">
        <is>
          <t>nav</t>
        </is>
      </c>
      <c r="D1509" s="3" t="str">
        <f>INDEX('Constants and Mappings'!$D$186:$D$201,MATCH($C1509,SubKey,0))</f>
        <v>tra</v>
      </c>
      <c r="E1509" s="3" t="str">
        <f>INDEX('Constants and Mappings'!$C$229:$C$237,MATCH($B1509,FuelKey,0))</f>
        <v>gso</v>
      </c>
      <c r="F1509" s="3" t="str">
        <f>INDEX('Constants and Mappings'!$D$229:$D$237,MATCH($B1509,FuelKey,0))</f>
        <v>oil</v>
      </c>
      <c r="G1509" s="3" t="str">
        <f>INDEX('Constants and Mappings'!$E$229:$E$237,MATCH($B1509,FuelKey,0))</f>
        <v>all</v>
      </c>
      <c r="H1509" s="3" t="str">
        <f>INDEX('Constants and Mappings'!$F$186:$F$201,MATCH($C1509,SubKey,0))</f>
        <v>ind</v>
      </c>
      <c r="I1509" s="3" t="str">
        <f>INDEX('Constants and Mappings'!$I$229:$I$237,MATCH($B1509,FuelKey,0))&amp;"."&amp;IF($G1509="sub",$H1509,"all")</f>
        <v>gso.all</v>
      </c>
      <c r="J1509" s="3" t="str">
        <f>INDEX('Constants and Mappings'!$E$186:$E$201,MATCH($C1509,SubKey,0))</f>
        <v>rod</v>
      </c>
      <c r="K1509" s="3">
        <f>INDEX('Constants and Mappings'!$G$229:$G$237,MATCH($B1509,FuelKey,0))</f>
        <v>0.03496974000000001</v>
      </c>
      <c r="L1509" s="3">
        <f>INDEX('Constants and Mappings'!$H$229:$H$237,MATCH($B1509,FuelKey,0))</f>
        <v>3.0</v>
      </c>
      <c r="M1509" s="3">
        <f>INDEX('Constants and Mappings'!$H$186:$H$201,MATCH($C1509,SubKey,0))</f>
        <v>5.0</v>
      </c>
      <c r="N1509" s="3">
        <f>INDEX('Constants and Mappings'!$E$300:$E$313,MATCH($I1509,'Constants and Mappings'!$A$300:$A$313,0))</f>
        <v>9.0</v>
      </c>
      <c r="O1509" s="48">
        <f>INDEX(ElaSel,MATCH("inc|"&amp;$E1509&amp;"|"&amp;$D1509,ElaSelKey,0))</f>
        <v>0.7</v>
      </c>
      <c r="P1509" s="48">
        <f>INDEX(ElaSel,MATCH("usg|"&amp;$E1509&amp;"|"&amp;$D1509,ElaSelKey,0))</f>
        <v>-0.4</v>
      </c>
      <c r="Q1509" s="48">
        <f>INDEX(ElaSel,MATCH("eff|"&amp;$E1509&amp;"|"&amp;$D1509,ElaSelKey,0))</f>
        <v>-0.4</v>
      </c>
      <c r="R1509" s="225">
        <f>INDEX(ElaSel,MATCH("aei|"&amp;$F1509&amp;"|"&amp;$D1509,ElaSelKey,0))</f>
        <v>0.01</v>
      </c>
      <c r="S1509" s="133" t="n">
        <v>1</v>
      </c>
      <c r="T1509" s="48">
        <f>$Q1509*(1+$P1509)</f>
        <v>-0.24</v>
      </c>
      <c r="U1509" s="3">
        <f>INDEX('Constants and Mappings'!$E$1633:$E$1644,MATCH($I1509,'Constants and Mappings'!$A$1633:$A$1644,0))</f>
        <v>167.0</v>
      </c>
      <c r="V1509" s="225">
        <f>INDEX('Constants and Mappings'!$V$1633:$V$1644,MATCH($I1509,'Constants and Mappings'!$A$1633:$A$1644,0))</f>
        <v>0.0</v>
      </c>
      <c r="W1509" s="197">
        <f>INDEX(EFSel,MATCH($B1509&amp;"|"&amp;$J1509,EFSelKey,0))*EFCalib</f>
        <v>0.0658828747734696</v>
      </c>
      <c r="X1509" s="195">
        <f>IF(LEFT(BalOpt,3)="Bal",$AY1509*$AV1509+$AZ1509*$AX1509,$BA1509)</f>
        <v>0.0</v>
      </c>
      <c r="Y1509" s="3" t="str">
        <f>IF($G1509="sub",$H1509,IF($B1509="oop","ind","trs"))</f>
        <v>trs</v>
      </c>
      <c r="Z1509" s="39">
        <f>IFERROR(MATCH($Y1509&amp;"|"&amp;$B1509,XKey,0),1)</f>
        <v>13.0</v>
      </c>
      <c r="AA1509" s="48">
        <f>INDEX(XCTVal,$Z1509,ECPEmb)+INDEX(XETSVal,$Z1509,ECPEmb)</f>
        <v>0.0</v>
      </c>
      <c r="AB1509" s="8" t="inlineStr">
        <is>
          <t>nav</t>
        </is>
      </c>
      <c r="AC1509" s="8" t="inlineStr">
        <is>
          <t>gso</t>
        </is>
      </c>
      <c r="AD1509" s="197">
        <f>IFERROR(INDEX(NCEfIn,MATCH($AB1509&amp;"."&amp;$AC1509&amp;".ch4",NCEfKey,0)),0)</f>
        <v>0.0</v>
      </c>
      <c r="AE1509" s="197">
        <f>IFERROR(INDEX(NCEfFin,MATCH($AB1509&amp;"."&amp;$AC1509&amp;".ch4",NCEfKey,0)),0)</f>
        <v>0.0</v>
      </c>
      <c r="AF1509" s="3" t="n">
        <v>0</v>
      </c>
      <c r="AG1509" s="197">
        <f>IFERROR(INDEX(NCEfIn,MATCH($AB1509&amp;"."&amp;$AC1509&amp;".pm2",NCEfKey,0)),0)</f>
        <v>0.0</v>
      </c>
      <c r="AH1509" s="197">
        <f>IFERROR(INDEX(NCEfFin,MATCH($AB1509&amp;"."&amp;$AC1509&amp;".pm2",NCEfKey,0)),0)</f>
        <v>0.0</v>
      </c>
      <c r="AI1509" s="197">
        <f>IFERROR(INDEX(NCEfIn,MATCH($AB1509&amp;"."&amp;$AC1509&amp;".nox",NCEfKey,0)),0)</f>
        <v>0.0</v>
      </c>
      <c r="AJ1509" s="197">
        <f>IFERROR(INDEX(NCEfFin,MATCH($AB1509&amp;"."&amp;$AC1509&amp;".nox",NCEfKey,0)),0)</f>
        <v>0.0</v>
      </c>
      <c r="AK1509" s="197">
        <f>IFERROR(INDEX(NCEfIn,MATCH($AB1509&amp;"."&amp;$AC1509&amp;".so2",NCEfKey,0)),0)</f>
        <v>0.0</v>
      </c>
      <c r="AL1509" s="197">
        <f>IFERROR(INDEX(NCEfFin,MATCH($AB1509&amp;"."&amp;$AC1509&amp;".so2",NCEfKey,0)),0)</f>
        <v>0.0</v>
      </c>
      <c r="AM1509" s="197">
        <f>IFERROR(INDEX(NCEfIn,MATCH($AB1509&amp;"."&amp;$AC1509&amp;".voc",NCEfKey,0)),0)</f>
        <v>0.0</v>
      </c>
      <c r="AN1509" s="197">
        <f>IFERROR(INDEX(NCEfFin,MATCH($AB1509&amp;"."&amp;$AC1509&amp;".voc",NCEfKey,0)),0)</f>
        <v>0.0</v>
      </c>
      <c r="AO1509" s="197">
        <f>IFERROR(INDEX(NCEfIn,MATCH($AB1509&amp;"."&amp;$AC1509&amp;".bc",NCEfKey,0)),0)</f>
        <v>0.0</v>
      </c>
      <c r="AP1509" s="197">
        <f>IFERROR(INDEX(NCEfFin,MATCH($AB1509&amp;"."&amp;$AC1509&amp;".bc",NCEfKey,0)),0)</f>
        <v>0.0</v>
      </c>
      <c r="AQ1509" s="197">
        <f>IFERROR(INDEX(NCEfIn,MATCH($AB1509&amp;"."&amp;$AC1509&amp;".oc",NCEfKey,0)),0)</f>
        <v>0.0</v>
      </c>
      <c r="AR1509" s="197">
        <f>IFERROR(INDEX(NCEfFin,MATCH($AB1509&amp;"."&amp;$AC1509&amp;".oc",NCEfKey,0)),0)</f>
        <v>0.0</v>
      </c>
      <c r="AS1509" s="197">
        <f>IFERROR(INDEX(NCEfIn,MATCH($AB1509&amp;"."&amp;$AC1509&amp;".co",NCEfKey,0)),0)</f>
        <v>0.0</v>
      </c>
      <c r="AT1509" s="197">
        <f>IFERROR(INDEX(NCEfFin,MATCH($AB1509&amp;"."&amp;$AC1509&amp;".co",NCEfKey,0)),0)</f>
        <v>0.0</v>
      </c>
      <c r="AU1509" s="3" t="str">
        <f>INDEX('Constants and Mappings'!$J$186:$J$201,MATCH($C1509,SubKey,0))</f>
        <v>domesnav</v>
      </c>
      <c r="AV1509" s="3">
        <f>INDEX('Constants and Mappings'!$K$186:$K$201,MATCH($C1509,SubKey,0))</f>
        <v>1.0</v>
      </c>
      <c r="AW1509" s="3" t="str">
        <f>INDEX('Constants and Mappings'!$L$186:$L$201,MATCH($C1509,SubKey,0))&amp;""</f>
        <v/>
      </c>
      <c r="AX1509" s="3">
        <f>INDEX('Constants and Mappings'!$M$186:$M$201,MATCH($C1509,SubKey,0))</f>
        <v>0.0</v>
      </c>
      <c r="AY1509" s="3" t="n">
        <v>0</v>
      </c>
      <c r="AZ1509" s="3" t="n">
        <v>0</v>
      </c>
      <c r="BA1509" s="3" t="n">
        <v>0</v>
      </c>
      <c r="BB1509" s="3" t="n">
        <v>0</v>
      </c>
      <c r="BC1509" s="3" t="n">
        <v>0</v>
      </c>
      <c r="BD1509" s="3">
        <f>IFERROR($BB1509/$BC1509,0)</f>
        <v>0.0</v>
      </c>
      <c r="BE1509" s="133" t="n">
        <v>1</v>
      </c>
      <c r="BF1509" s="39" t="n">
        <v>1</v>
      </c>
    </row>
    <row r="1510">
      <c r="A1510" s="3" t="str">
        <f>$B1510&amp;"|"&amp;$C1510</f>
        <v>die|nav</v>
      </c>
      <c r="B1510" s="8" t="inlineStr">
        <is>
          <t>die</t>
        </is>
      </c>
      <c r="C1510" s="8" t="inlineStr">
        <is>
          <t>nav</t>
        </is>
      </c>
      <c r="D1510" s="3" t="str">
        <f>INDEX('Constants and Mappings'!$D$186:$D$201,MATCH($C1510,SubKey,0))</f>
        <v>tra</v>
      </c>
      <c r="E1510" s="3" t="str">
        <f>INDEX('Constants and Mappings'!$C$229:$C$237,MATCH($B1510,FuelKey,0))</f>
        <v>die</v>
      </c>
      <c r="F1510" s="3" t="str">
        <f>INDEX('Constants and Mappings'!$D$229:$D$237,MATCH($B1510,FuelKey,0))</f>
        <v>oil</v>
      </c>
      <c r="G1510" s="3" t="str">
        <f>INDEX('Constants and Mappings'!$E$229:$E$237,MATCH($B1510,FuelKey,0))</f>
        <v>all</v>
      </c>
      <c r="H1510" s="3" t="str">
        <f>INDEX('Constants and Mappings'!$F$186:$F$201,MATCH($C1510,SubKey,0))</f>
        <v>ind</v>
      </c>
      <c r="I1510" s="3" t="str">
        <f>INDEX('Constants and Mappings'!$I$229:$I$237,MATCH($B1510,FuelKey,0))&amp;"."&amp;IF($G1510="sub",$H1510,"all")</f>
        <v>die.all</v>
      </c>
      <c r="J1510" s="3" t="str">
        <f>INDEX('Constants and Mappings'!$E$186:$E$201,MATCH($C1510,SubKey,0))</f>
        <v>rod</v>
      </c>
      <c r="K1510" s="3">
        <f>INDEX('Constants and Mappings'!$G$229:$G$237,MATCH($B1510,FuelKey,0))</f>
        <v>0.03729519000000001</v>
      </c>
      <c r="L1510" s="3">
        <f>INDEX('Constants and Mappings'!$H$229:$H$237,MATCH($B1510,FuelKey,0))</f>
        <v>4.0</v>
      </c>
      <c r="M1510" s="3">
        <f>INDEX('Constants and Mappings'!$H$186:$H$201,MATCH($C1510,SubKey,0))</f>
        <v>5.0</v>
      </c>
      <c r="N1510" s="3">
        <f>INDEX('Constants and Mappings'!$E$300:$E$313,MATCH($I1510,'Constants and Mappings'!$A$300:$A$313,0))</f>
        <v>10.0</v>
      </c>
      <c r="O1510" s="48">
        <f>INDEX(ElaSel,MATCH("inc|"&amp;$E1510&amp;"|"&amp;$D1510,ElaSelKey,0))</f>
        <v>0.6</v>
      </c>
      <c r="P1510" s="48">
        <f>INDEX(ElaSel,MATCH("usg|"&amp;$E1510&amp;"|"&amp;$D1510,ElaSelKey,0))</f>
        <v>-0.3</v>
      </c>
      <c r="Q1510" s="48">
        <f>INDEX(ElaSel,MATCH("eff|"&amp;$E1510&amp;"|"&amp;$D1510,ElaSelKey,0))</f>
        <v>-0.3</v>
      </c>
      <c r="R1510" s="225">
        <f>INDEX(ElaSel,MATCH("aei|"&amp;$F1510&amp;"|"&amp;$D1510,ElaSelKey,0))</f>
        <v>0.01</v>
      </c>
      <c r="S1510" s="133" t="n">
        <v>1</v>
      </c>
      <c r="T1510" s="48">
        <f>$Q1510*(1+$P1510)</f>
        <v>-0.21</v>
      </c>
      <c r="U1510" s="3">
        <f>INDEX('Constants and Mappings'!$E$1633:$E$1644,MATCH($I1510,'Constants and Mappings'!$A$1633:$A$1644,0))</f>
        <v>196.0</v>
      </c>
      <c r="V1510" s="225">
        <f>INDEX('Constants and Mappings'!$V$1633:$V$1644,MATCH($I1510,'Constants and Mappings'!$A$1633:$A$1644,0))</f>
        <v>0.0</v>
      </c>
      <c r="W1510" s="197">
        <f>INDEX(EFSel,MATCH($B1510&amp;"|"&amp;$J1510,EFSelKey,0))*EFCalib</f>
        <v>0.07049322251858033</v>
      </c>
      <c r="X1510" s="195">
        <f>IF(LEFT(BalOpt,3)="Bal",$AY1510*$AV1510+$AZ1510*$AX1510,$BA1510)</f>
        <v>0.0</v>
      </c>
      <c r="Y1510" s="3" t="str">
        <f>IF($G1510="sub",$H1510,IF($B1510="oop","ind","trs"))</f>
        <v>trs</v>
      </c>
      <c r="Z1510" s="39">
        <f>IFERROR(MATCH($Y1510&amp;"|"&amp;$B1510,XKey,0),1)</f>
        <v>14.0</v>
      </c>
      <c r="AA1510" s="48">
        <f>INDEX(XCTVal,$Z1510,ECPEmb)+INDEX(XETSVal,$Z1510,ECPEmb)</f>
        <v>0.0</v>
      </c>
      <c r="AB1510" s="8" t="inlineStr">
        <is>
          <t>nav</t>
        </is>
      </c>
      <c r="AC1510" s="8" t="inlineStr">
        <is>
          <t>die</t>
        </is>
      </c>
      <c r="AD1510" s="197">
        <f>IFERROR(INDEX(NCEfIn,MATCH($AB1510&amp;"."&amp;$AC1510&amp;".ch4",NCEfKey,0)),0)</f>
        <v>0.293076</v>
      </c>
      <c r="AE1510" s="197">
        <f>IFERROR(INDEX(NCEfFin,MATCH($AB1510&amp;"."&amp;$AC1510&amp;".ch4",NCEfKey,0)),0)</f>
        <v>0.293076</v>
      </c>
      <c r="AF1510" s="3" t="n">
        <v>0</v>
      </c>
      <c r="AG1510" s="197">
        <f>IFERROR(INDEX(NCEfIn,MATCH($AB1510&amp;"."&amp;$AC1510&amp;".pm2",NCEfKey,0)),0)</f>
        <v>4.0318884</v>
      </c>
      <c r="AH1510" s="197">
        <f>IFERROR(INDEX(NCEfFin,MATCH($AB1510&amp;"."&amp;$AC1510&amp;".pm2",NCEfKey,0)),0)</f>
        <v>4.0318884</v>
      </c>
      <c r="AI1510" s="197">
        <f>IFERROR(INDEX(NCEfIn,MATCH($AB1510&amp;"."&amp;$AC1510&amp;".nox",NCEfKey,0)),0)</f>
        <v>46.05480000000001</v>
      </c>
      <c r="AJ1510" s="197">
        <f>IFERROR(INDEX(NCEfFin,MATCH($AB1510&amp;"."&amp;$AC1510&amp;".nox",NCEfKey,0)),0)</f>
        <v>46.05480000000001</v>
      </c>
      <c r="AK1510" s="197">
        <f>IFERROR(INDEX(NCEfIn,MATCH($AB1510&amp;"."&amp;$AC1510&amp;".so2",NCEfKey,0)),0)</f>
        <v>0.8866177020000001</v>
      </c>
      <c r="AL1510" s="197">
        <f>IFERROR(INDEX(NCEfFin,MATCH($AB1510&amp;"."&amp;$AC1510&amp;".so2",NCEfKey,0)),0)</f>
        <v>0.8866177020000001</v>
      </c>
      <c r="AM1510" s="197">
        <f>IFERROR(INDEX(NCEfIn,MATCH($AB1510&amp;"."&amp;$AC1510&amp;".voc",NCEfKey,0)),0)</f>
        <v>7.95492</v>
      </c>
      <c r="AN1510" s="197">
        <f>IFERROR(INDEX(NCEfFin,MATCH($AB1510&amp;"."&amp;$AC1510&amp;".voc",NCEfKey,0)),0)</f>
        <v>7.95492</v>
      </c>
      <c r="AO1510" s="197">
        <f>IFERROR(INDEX(NCEfIn,MATCH($AB1510&amp;"."&amp;$AC1510&amp;".bc",NCEfKey,0)),0)</f>
        <v>1.65755412</v>
      </c>
      <c r="AP1510" s="197">
        <f>IFERROR(INDEX(NCEfFin,MATCH($AB1510&amp;"."&amp;$AC1510&amp;".bc",NCEfKey,0)),0)</f>
        <v>1.65755412</v>
      </c>
      <c r="AQ1510" s="197">
        <f>IFERROR(INDEX(NCEfIn,MATCH($AB1510&amp;"."&amp;$AC1510&amp;".oc",NCEfKey,0)),0)</f>
        <v>1.16476776</v>
      </c>
      <c r="AR1510" s="197">
        <f>IFERROR(INDEX(NCEfFin,MATCH($AB1510&amp;"."&amp;$AC1510&amp;".oc",NCEfKey,0)),0)</f>
        <v>1.16476776</v>
      </c>
      <c r="AS1510" s="197">
        <f>IFERROR(INDEX(NCEfIn,MATCH($AB1510&amp;"."&amp;$AC1510&amp;".co",NCEfKey,0)),0)</f>
        <v>10.467</v>
      </c>
      <c r="AT1510" s="197">
        <f>IFERROR(INDEX(NCEfFin,MATCH($AB1510&amp;"."&amp;$AC1510&amp;".co",NCEfKey,0)),0)</f>
        <v>10.467</v>
      </c>
      <c r="AU1510" s="3" t="str">
        <f>INDEX('Constants and Mappings'!$J$186:$J$201,MATCH($C1510,SubKey,0))</f>
        <v>domesnav</v>
      </c>
      <c r="AV1510" s="3">
        <f>INDEX('Constants and Mappings'!$K$186:$K$201,MATCH($C1510,SubKey,0))</f>
        <v>1.0</v>
      </c>
      <c r="AW1510" s="3" t="str">
        <f>INDEX('Constants and Mappings'!$L$186:$L$201,MATCH($C1510,SubKey,0))&amp;""</f>
        <v/>
      </c>
      <c r="AX1510" s="3">
        <f>INDEX('Constants and Mappings'!$M$186:$M$201,MATCH($C1510,SubKey,0))</f>
        <v>0.0</v>
      </c>
      <c r="AY1510" s="3" t="n">
        <v>0</v>
      </c>
      <c r="AZ1510" s="3" t="n">
        <v>0</v>
      </c>
      <c r="BA1510" s="3" t="n">
        <v>0</v>
      </c>
      <c r="BB1510" s="3" t="n">
        <v>0</v>
      </c>
      <c r="BC1510" s="3" t="n">
        <v>0</v>
      </c>
      <c r="BD1510" s="3">
        <f>IFERROR($BB1510/$BC1510,0)</f>
        <v>0.0</v>
      </c>
      <c r="BE1510" s="133" t="n">
        <v>1</v>
      </c>
      <c r="BF1510" s="39" t="n">
        <v>1</v>
      </c>
    </row>
    <row r="1511">
      <c r="A1511" s="3" t="str">
        <f>$B1511&amp;"|"&amp;$C1511</f>
        <v>lpg|nav</v>
      </c>
      <c r="B1511" s="8" t="inlineStr">
        <is>
          <t>lpg</t>
        </is>
      </c>
      <c r="C1511" s="8" t="inlineStr">
        <is>
          <t>nav</t>
        </is>
      </c>
      <c r="D1511" s="3" t="str">
        <f>INDEX('Constants and Mappings'!$D$186:$D$201,MATCH($C1511,SubKey,0))</f>
        <v>tra</v>
      </c>
      <c r="E1511" s="3" t="str">
        <f>INDEX('Constants and Mappings'!$C$229:$C$237,MATCH($B1511,FuelKey,0))</f>
        <v>oil</v>
      </c>
      <c r="F1511" s="3" t="str">
        <f>INDEX('Constants and Mappings'!$D$229:$D$237,MATCH($B1511,FuelKey,0))</f>
        <v>oil</v>
      </c>
      <c r="G1511" s="3" t="str">
        <f>INDEX('Constants and Mappings'!$E$229:$E$237,MATCH($B1511,FuelKey,0))</f>
        <v>all</v>
      </c>
      <c r="H1511" s="3" t="str">
        <f>INDEX('Constants and Mappings'!$F$186:$F$201,MATCH($C1511,SubKey,0))</f>
        <v>ind</v>
      </c>
      <c r="I1511" s="3" t="str">
        <f>INDEX('Constants and Mappings'!$I$229:$I$237,MATCH($B1511,FuelKey,0))&amp;"."&amp;IF($G1511="sub",$H1511,"all")</f>
        <v>lpg.all</v>
      </c>
      <c r="J1511" s="3" t="str">
        <f>INDEX('Constants and Mappings'!$E$186:$E$201,MATCH($C1511,SubKey,0))</f>
        <v>rod</v>
      </c>
      <c r="K1511" s="3">
        <f>INDEX('Constants and Mappings'!$G$229:$G$237,MATCH($B1511,FuelKey,0))</f>
        <v>0.02577968854495125</v>
      </c>
      <c r="L1511" s="3">
        <f>INDEX('Constants and Mappings'!$H$229:$H$237,MATCH($B1511,FuelKey,0))</f>
        <v>5.0</v>
      </c>
      <c r="M1511" s="3">
        <f>INDEX('Constants and Mappings'!$H$186:$H$201,MATCH($C1511,SubKey,0))</f>
        <v>5.0</v>
      </c>
      <c r="N1511" s="3">
        <f>INDEX('Constants and Mappings'!$E$300:$E$313,MATCH($I1511,'Constants and Mappings'!$A$300:$A$313,0))</f>
        <v>11.0</v>
      </c>
      <c r="O1511" s="48">
        <f>INDEX(ElaSel,MATCH("inc|"&amp;$E1511&amp;"|"&amp;$D1511,ElaSelKey,0))</f>
        <v>0.8</v>
      </c>
      <c r="P1511" s="48">
        <f>INDEX(ElaSel,MATCH("usg|"&amp;$E1511&amp;"|"&amp;$D1511,ElaSelKey,0))</f>
        <v>-0.3</v>
      </c>
      <c r="Q1511" s="48">
        <f>INDEX(ElaSel,MATCH("eff|"&amp;$E1511&amp;"|"&amp;$D1511,ElaSelKey,0))</f>
        <v>-0.4</v>
      </c>
      <c r="R1511" s="225">
        <f>INDEX(ElaSel,MATCH("aei|"&amp;$F1511&amp;"|"&amp;$D1511,ElaSelKey,0))</f>
        <v>0.01</v>
      </c>
      <c r="S1511" s="133" t="n">
        <v>1</v>
      </c>
      <c r="T1511" s="48">
        <f>$Q1511*(1+$P1511)</f>
        <v>-0.27999999999999997</v>
      </c>
      <c r="U1511" s="3">
        <f>INDEX('Constants and Mappings'!$E$1633:$E$1644,MATCH($I1511,'Constants and Mappings'!$A$1633:$A$1644,0))</f>
        <v>225.0</v>
      </c>
      <c r="V1511" s="225">
        <f>INDEX('Constants and Mappings'!$V$1633:$V$1644,MATCH($I1511,'Constants and Mappings'!$A$1633:$A$1644,0))</f>
        <v>0.0</v>
      </c>
      <c r="W1511" s="197">
        <f>INDEX(EFSel,MATCH($B1511&amp;"|"&amp;$J1511,EFSelKey,0))*EFCalib</f>
        <v>0.06829407370213687</v>
      </c>
      <c r="X1511" s="195">
        <f>IF(LEFT(BalOpt,3)="Bal",$AY1511*$AV1511+$AZ1511*$AX1511,$BA1511)</f>
        <v>0.0</v>
      </c>
      <c r="Y1511" s="3" t="str">
        <f>IF($G1511="sub",$H1511,IF($B1511="oop","ind","trs"))</f>
        <v>trs</v>
      </c>
      <c r="Z1511" s="39">
        <f>IFERROR(MATCH($Y1511&amp;"|"&amp;$B1511,XKey,0),1)</f>
        <v>15.0</v>
      </c>
      <c r="AA1511" s="48">
        <f>INDEX(XCTVal,$Z1511,ECPEmb)+INDEX(XETSVal,$Z1511,ECPEmb)</f>
        <v>0.0</v>
      </c>
      <c r="AB1511" s="8" t="inlineStr">
        <is>
          <t>nav</t>
        </is>
      </c>
      <c r="AC1511" s="8" t="inlineStr">
        <is>
          <t>lpg</t>
        </is>
      </c>
      <c r="AD1511" s="197">
        <f>IFERROR(INDEX(NCEfIn,MATCH($AB1511&amp;"."&amp;$AC1511&amp;".ch4",NCEfKey,0)),0)</f>
        <v>0.0</v>
      </c>
      <c r="AE1511" s="197">
        <f>IFERROR(INDEX(NCEfFin,MATCH($AB1511&amp;"."&amp;$AC1511&amp;".ch4",NCEfKey,0)),0)</f>
        <v>0.0</v>
      </c>
      <c r="AF1511" s="3" t="n">
        <v>0</v>
      </c>
      <c r="AG1511" s="197">
        <f>IFERROR(INDEX(NCEfIn,MATCH($AB1511&amp;"."&amp;$AC1511&amp;".pm2",NCEfKey,0)),0)</f>
        <v>0.0</v>
      </c>
      <c r="AH1511" s="197">
        <f>IFERROR(INDEX(NCEfFin,MATCH($AB1511&amp;"."&amp;$AC1511&amp;".pm2",NCEfKey,0)),0)</f>
        <v>0.0</v>
      </c>
      <c r="AI1511" s="197">
        <f>IFERROR(INDEX(NCEfIn,MATCH($AB1511&amp;"."&amp;$AC1511&amp;".nox",NCEfKey,0)),0)</f>
        <v>0.0</v>
      </c>
      <c r="AJ1511" s="197">
        <f>IFERROR(INDEX(NCEfFin,MATCH($AB1511&amp;"."&amp;$AC1511&amp;".nox",NCEfKey,0)),0)</f>
        <v>0.0</v>
      </c>
      <c r="AK1511" s="197">
        <f>IFERROR(INDEX(NCEfIn,MATCH($AB1511&amp;"."&amp;$AC1511&amp;".so2",NCEfKey,0)),0)</f>
        <v>0.0</v>
      </c>
      <c r="AL1511" s="197">
        <f>IFERROR(INDEX(NCEfFin,MATCH($AB1511&amp;"."&amp;$AC1511&amp;".so2",NCEfKey,0)),0)</f>
        <v>0.0</v>
      </c>
      <c r="AM1511" s="197">
        <f>IFERROR(INDEX(NCEfIn,MATCH($AB1511&amp;"."&amp;$AC1511&amp;".voc",NCEfKey,0)),0)</f>
        <v>0.0</v>
      </c>
      <c r="AN1511" s="197">
        <f>IFERROR(INDEX(NCEfFin,MATCH($AB1511&amp;"."&amp;$AC1511&amp;".voc",NCEfKey,0)),0)</f>
        <v>0.0</v>
      </c>
      <c r="AO1511" s="197">
        <f>IFERROR(INDEX(NCEfIn,MATCH($AB1511&amp;"."&amp;$AC1511&amp;".bc",NCEfKey,0)),0)</f>
        <v>0.0</v>
      </c>
      <c r="AP1511" s="197">
        <f>IFERROR(INDEX(NCEfFin,MATCH($AB1511&amp;"."&amp;$AC1511&amp;".bc",NCEfKey,0)),0)</f>
        <v>0.0</v>
      </c>
      <c r="AQ1511" s="197">
        <f>IFERROR(INDEX(NCEfIn,MATCH($AB1511&amp;"."&amp;$AC1511&amp;".oc",NCEfKey,0)),0)</f>
        <v>0.0</v>
      </c>
      <c r="AR1511" s="197">
        <f>IFERROR(INDEX(NCEfFin,MATCH($AB1511&amp;"."&amp;$AC1511&amp;".oc",NCEfKey,0)),0)</f>
        <v>0.0</v>
      </c>
      <c r="AS1511" s="197">
        <f>IFERROR(INDEX(NCEfIn,MATCH($AB1511&amp;"."&amp;$AC1511&amp;".co",NCEfKey,0)),0)</f>
        <v>0.0</v>
      </c>
      <c r="AT1511" s="197">
        <f>IFERROR(INDEX(NCEfFin,MATCH($AB1511&amp;"."&amp;$AC1511&amp;".co",NCEfKey,0)),0)</f>
        <v>0.0</v>
      </c>
      <c r="AU1511" s="3" t="str">
        <f>INDEX('Constants and Mappings'!$J$186:$J$201,MATCH($C1511,SubKey,0))</f>
        <v>domesnav</v>
      </c>
      <c r="AV1511" s="3">
        <f>INDEX('Constants and Mappings'!$K$186:$K$201,MATCH($C1511,SubKey,0))</f>
        <v>1.0</v>
      </c>
      <c r="AW1511" s="3" t="str">
        <f>INDEX('Constants and Mappings'!$L$186:$L$201,MATCH($C1511,SubKey,0))&amp;""</f>
        <v/>
      </c>
      <c r="AX1511" s="3">
        <f>INDEX('Constants and Mappings'!$M$186:$M$201,MATCH($C1511,SubKey,0))</f>
        <v>0.0</v>
      </c>
      <c r="AY1511" s="3" t="n">
        <v>0</v>
      </c>
      <c r="AZ1511" s="3" t="n">
        <v>0</v>
      </c>
      <c r="BA1511" s="3" t="n">
        <v>0</v>
      </c>
      <c r="BB1511" s="3" t="n">
        <v>0</v>
      </c>
      <c r="BC1511" s="3" t="n">
        <v>0</v>
      </c>
      <c r="BD1511" s="3">
        <f>IFERROR($BB1511/$BC1511,0)</f>
        <v>0.0</v>
      </c>
      <c r="BE1511" s="133" t="n">
        <v>1</v>
      </c>
      <c r="BF1511" s="39" t="n">
        <v>1</v>
      </c>
    </row>
    <row r="1512">
      <c r="A1512" s="3" t="str">
        <f>$B1512&amp;"|"&amp;$C1512</f>
        <v>ker|nav</v>
      </c>
      <c r="B1512" s="8" t="inlineStr">
        <is>
          <t>ker</t>
        </is>
      </c>
      <c r="C1512" s="8" t="inlineStr">
        <is>
          <t>nav</t>
        </is>
      </c>
      <c r="D1512" s="3" t="str">
        <f>INDEX('Constants and Mappings'!$D$186:$D$201,MATCH($C1512,SubKey,0))</f>
        <v>tra</v>
      </c>
      <c r="E1512" s="3" t="str">
        <f>INDEX('Constants and Mappings'!$C$229:$C$237,MATCH($B1512,FuelKey,0))</f>
        <v>oil</v>
      </c>
      <c r="F1512" s="3" t="str">
        <f>INDEX('Constants and Mappings'!$D$229:$D$237,MATCH($B1512,FuelKey,0))</f>
        <v>oil</v>
      </c>
      <c r="G1512" s="3" t="str">
        <f>INDEX('Constants and Mappings'!$E$229:$E$237,MATCH($B1512,FuelKey,0))</f>
        <v>all</v>
      </c>
      <c r="H1512" s="3" t="str">
        <f>INDEX('Constants and Mappings'!$F$186:$F$201,MATCH($C1512,SubKey,0))</f>
        <v>ind</v>
      </c>
      <c r="I1512" s="3" t="str">
        <f>INDEX('Constants and Mappings'!$I$229:$I$237,MATCH($B1512,FuelKey,0))&amp;"."&amp;IF($G1512="sub",$H1512,"all")</f>
        <v>ker.all</v>
      </c>
      <c r="J1512" s="3" t="str">
        <f>INDEX('Constants and Mappings'!$E$186:$E$201,MATCH($C1512,SubKey,0))</f>
        <v>rod</v>
      </c>
      <c r="K1512" s="3">
        <f>INDEX('Constants and Mappings'!$G$229:$G$237,MATCH($B1512,FuelKey,0))</f>
        <v>0.03774882965510715</v>
      </c>
      <c r="L1512" s="3">
        <f>INDEX('Constants and Mappings'!$H$229:$H$237,MATCH($B1512,FuelKey,0))</f>
        <v>6.0</v>
      </c>
      <c r="M1512" s="3">
        <f>INDEX('Constants and Mappings'!$H$186:$H$201,MATCH($C1512,SubKey,0))</f>
        <v>5.0</v>
      </c>
      <c r="N1512" s="3">
        <f>INDEX('Constants and Mappings'!$E$300:$E$313,MATCH($I1512,'Constants and Mappings'!$A$300:$A$313,0))</f>
        <v>12.0</v>
      </c>
      <c r="O1512" s="48">
        <f>INDEX(ElaSel,MATCH("inc|"&amp;$E1512&amp;"|"&amp;$D1512,ElaSelKey,0))</f>
        <v>0.8</v>
      </c>
      <c r="P1512" s="48">
        <f>INDEX(ElaSel,MATCH("usg|"&amp;$E1512&amp;"|"&amp;$D1512,ElaSelKey,0))</f>
        <v>-0.3</v>
      </c>
      <c r="Q1512" s="48">
        <f>INDEX(ElaSel,MATCH("eff|"&amp;$E1512&amp;"|"&amp;$D1512,ElaSelKey,0))</f>
        <v>-0.4</v>
      </c>
      <c r="R1512" s="225">
        <f>INDEX(ElaSel,MATCH("aei|"&amp;$F1512&amp;"|"&amp;$D1512,ElaSelKey,0))</f>
        <v>0.01</v>
      </c>
      <c r="S1512" s="133" t="n">
        <v>1</v>
      </c>
      <c r="T1512" s="48">
        <f>$Q1512*(1+$P1512)</f>
        <v>-0.27999999999999997</v>
      </c>
      <c r="U1512" s="3">
        <f>INDEX('Constants and Mappings'!$E$1633:$E$1644,MATCH($I1512,'Constants and Mappings'!$A$1633:$A$1644,0))</f>
        <v>254.0</v>
      </c>
      <c r="V1512" s="225">
        <f>INDEX('Constants and Mappings'!$V$1633:$V$1644,MATCH($I1512,'Constants and Mappings'!$A$1633:$A$1644,0))</f>
        <v>0.0</v>
      </c>
      <c r="W1512" s="197">
        <f>INDEX(EFSel,MATCH($B1512&amp;"|"&amp;$J1512,EFSelKey,0))*EFCalib</f>
        <v>0.06824927438265298</v>
      </c>
      <c r="X1512" s="195">
        <f>IF(LEFT(BalOpt,3)="Bal",$AY1512*$AV1512+$AZ1512*$AX1512,$BA1512)</f>
        <v>0.0</v>
      </c>
      <c r="Y1512" s="3" t="str">
        <f>IF($G1512="sub",$H1512,IF($B1512="oop","ind","trs"))</f>
        <v>trs</v>
      </c>
      <c r="Z1512" s="39">
        <f>IFERROR(MATCH($Y1512&amp;"|"&amp;$B1512,XKey,0),1)</f>
        <v>16.0</v>
      </c>
      <c r="AA1512" s="48">
        <f>INDEX(XCTVal,$Z1512,ECPEmb)+INDEX(XETSVal,$Z1512,ECPEmb)</f>
        <v>0.0</v>
      </c>
      <c r="AB1512" s="8" t="inlineStr">
        <is>
          <t>nav</t>
        </is>
      </c>
      <c r="AC1512" s="8" t="inlineStr">
        <is>
          <t>ker</t>
        </is>
      </c>
      <c r="AD1512" s="197">
        <f>IFERROR(INDEX(NCEfIn,MATCH($AB1512&amp;"."&amp;$AC1512&amp;".ch4",NCEfKey,0)),0)</f>
        <v>0.0</v>
      </c>
      <c r="AE1512" s="197">
        <f>IFERROR(INDEX(NCEfFin,MATCH($AB1512&amp;"."&amp;$AC1512&amp;".ch4",NCEfKey,0)),0)</f>
        <v>0.0</v>
      </c>
      <c r="AF1512" s="3" t="n">
        <v>0</v>
      </c>
      <c r="AG1512" s="197">
        <f>IFERROR(INDEX(NCEfIn,MATCH($AB1512&amp;"."&amp;$AC1512&amp;".pm2",NCEfKey,0)),0)</f>
        <v>0.0</v>
      </c>
      <c r="AH1512" s="197">
        <f>IFERROR(INDEX(NCEfFin,MATCH($AB1512&amp;"."&amp;$AC1512&amp;".pm2",NCEfKey,0)),0)</f>
        <v>0.0</v>
      </c>
      <c r="AI1512" s="197">
        <f>IFERROR(INDEX(NCEfIn,MATCH($AB1512&amp;"."&amp;$AC1512&amp;".nox",NCEfKey,0)),0)</f>
        <v>0.0</v>
      </c>
      <c r="AJ1512" s="197">
        <f>IFERROR(INDEX(NCEfFin,MATCH($AB1512&amp;"."&amp;$AC1512&amp;".nox",NCEfKey,0)),0)</f>
        <v>0.0</v>
      </c>
      <c r="AK1512" s="197">
        <f>IFERROR(INDEX(NCEfIn,MATCH($AB1512&amp;"."&amp;$AC1512&amp;".so2",NCEfKey,0)),0)</f>
        <v>0.0</v>
      </c>
      <c r="AL1512" s="197">
        <f>IFERROR(INDEX(NCEfFin,MATCH($AB1512&amp;"."&amp;$AC1512&amp;".so2",NCEfKey,0)),0)</f>
        <v>0.0</v>
      </c>
      <c r="AM1512" s="197">
        <f>IFERROR(INDEX(NCEfIn,MATCH($AB1512&amp;"."&amp;$AC1512&amp;".voc",NCEfKey,0)),0)</f>
        <v>0.0</v>
      </c>
      <c r="AN1512" s="197">
        <f>IFERROR(INDEX(NCEfFin,MATCH($AB1512&amp;"."&amp;$AC1512&amp;".voc",NCEfKey,0)),0)</f>
        <v>0.0</v>
      </c>
      <c r="AO1512" s="197">
        <f>IFERROR(INDEX(NCEfIn,MATCH($AB1512&amp;"."&amp;$AC1512&amp;".bc",NCEfKey,0)),0)</f>
        <v>0.0</v>
      </c>
      <c r="AP1512" s="197">
        <f>IFERROR(INDEX(NCEfFin,MATCH($AB1512&amp;"."&amp;$AC1512&amp;".bc",NCEfKey,0)),0)</f>
        <v>0.0</v>
      </c>
      <c r="AQ1512" s="197">
        <f>IFERROR(INDEX(NCEfIn,MATCH($AB1512&amp;"."&amp;$AC1512&amp;".oc",NCEfKey,0)),0)</f>
        <v>0.0</v>
      </c>
      <c r="AR1512" s="197">
        <f>IFERROR(INDEX(NCEfFin,MATCH($AB1512&amp;"."&amp;$AC1512&amp;".oc",NCEfKey,0)),0)</f>
        <v>0.0</v>
      </c>
      <c r="AS1512" s="197">
        <f>IFERROR(INDEX(NCEfIn,MATCH($AB1512&amp;"."&amp;$AC1512&amp;".co",NCEfKey,0)),0)</f>
        <v>0.0</v>
      </c>
      <c r="AT1512" s="197">
        <f>IFERROR(INDEX(NCEfFin,MATCH($AB1512&amp;"."&amp;$AC1512&amp;".co",NCEfKey,0)),0)</f>
        <v>0.0</v>
      </c>
      <c r="AU1512" s="3" t="str">
        <f>INDEX('Constants and Mappings'!$J$186:$J$201,MATCH($C1512,SubKey,0))</f>
        <v>domesnav</v>
      </c>
      <c r="AV1512" s="3">
        <f>INDEX('Constants and Mappings'!$K$186:$K$201,MATCH($C1512,SubKey,0))</f>
        <v>1.0</v>
      </c>
      <c r="AW1512" s="3" t="str">
        <f>INDEX('Constants and Mappings'!$L$186:$L$201,MATCH($C1512,SubKey,0))&amp;""</f>
        <v/>
      </c>
      <c r="AX1512" s="3">
        <f>INDEX('Constants and Mappings'!$M$186:$M$201,MATCH($C1512,SubKey,0))</f>
        <v>0.0</v>
      </c>
      <c r="AY1512" s="3" t="n">
        <v>0</v>
      </c>
      <c r="AZ1512" s="3" t="n">
        <v>0</v>
      </c>
      <c r="BA1512" s="3" t="n">
        <v>0</v>
      </c>
      <c r="BB1512" s="3" t="n">
        <v>0</v>
      </c>
      <c r="BC1512" s="3" t="n">
        <v>0</v>
      </c>
      <c r="BD1512" s="3">
        <f>IFERROR($BB1512/$BC1512,0)</f>
        <v>0.0</v>
      </c>
      <c r="BE1512" s="133" t="n">
        <v>1</v>
      </c>
      <c r="BF1512" s="39" t="n">
        <v>1</v>
      </c>
    </row>
    <row r="1513">
      <c r="A1513" s="3" t="str">
        <f>$B1513&amp;"|"&amp;$C1513</f>
        <v>jfu|nav</v>
      </c>
      <c r="B1513" s="8" t="inlineStr">
        <is>
          <t>jfu</t>
        </is>
      </c>
      <c r="C1513" s="8" t="inlineStr">
        <is>
          <t>nav</t>
        </is>
      </c>
      <c r="D1513" s="3" t="str">
        <f>INDEX('Constants and Mappings'!$D$186:$D$201,MATCH($C1513,SubKey,0))</f>
        <v>tra</v>
      </c>
      <c r="E1513" s="3" t="str">
        <f>INDEX('Constants and Mappings'!$C$229:$C$237,MATCH($B1513,FuelKey,0))</f>
        <v>oil</v>
      </c>
      <c r="F1513" s="3" t="str">
        <f>INDEX('Constants and Mappings'!$D$229:$D$237,MATCH($B1513,FuelKey,0))</f>
        <v>oil</v>
      </c>
      <c r="G1513" s="3" t="str">
        <f>INDEX('Constants and Mappings'!$E$229:$E$237,MATCH($B1513,FuelKey,0))</f>
        <v>all</v>
      </c>
      <c r="H1513" s="3" t="str">
        <f>INDEX('Constants and Mappings'!$F$186:$F$201,MATCH($C1513,SubKey,0))</f>
        <v>ind</v>
      </c>
      <c r="I1513" s="3" t="str">
        <f>INDEX('Constants and Mappings'!$I$229:$I$237,MATCH($B1513,FuelKey,0))&amp;"."&amp;IF($G1513="sub",$H1513,"all")</f>
        <v>ker.all</v>
      </c>
      <c r="J1513" s="3" t="str">
        <f>INDEX('Constants and Mappings'!$E$186:$E$201,MATCH($C1513,SubKey,0))</f>
        <v>rod</v>
      </c>
      <c r="K1513" s="3">
        <f>INDEX('Constants and Mappings'!$G$229:$G$237,MATCH($B1513,FuelKey,0))</f>
        <v>0.0348608</v>
      </c>
      <c r="L1513" s="3">
        <f>INDEX('Constants and Mappings'!$H$229:$H$237,MATCH($B1513,FuelKey,0))</f>
        <v>7.0</v>
      </c>
      <c r="M1513" s="3">
        <f>INDEX('Constants and Mappings'!$H$186:$H$201,MATCH($C1513,SubKey,0))</f>
        <v>5.0</v>
      </c>
      <c r="N1513" s="3">
        <f>INDEX('Constants and Mappings'!$E$300:$E$313,MATCH($I1513,'Constants and Mappings'!$A$300:$A$313,0))</f>
        <v>12.0</v>
      </c>
      <c r="O1513" s="48">
        <f>INDEX(ElaSel,MATCH("inc|"&amp;$E1513&amp;"|"&amp;$D1513,ElaSelKey,0))</f>
        <v>0.8</v>
      </c>
      <c r="P1513" s="48">
        <f>INDEX(ElaSel,MATCH("usg|"&amp;$E1513&amp;"|"&amp;$D1513,ElaSelKey,0))</f>
        <v>-0.3</v>
      </c>
      <c r="Q1513" s="48">
        <f>INDEX(ElaSel,MATCH("eff|"&amp;$E1513&amp;"|"&amp;$D1513,ElaSelKey,0))</f>
        <v>-0.4</v>
      </c>
      <c r="R1513" s="225">
        <f>INDEX(ElaSel,MATCH("aei|"&amp;$F1513&amp;"|"&amp;$D1513,ElaSelKey,0))</f>
        <v>0.01</v>
      </c>
      <c r="S1513" s="133" t="n">
        <v>1</v>
      </c>
      <c r="T1513" s="48">
        <f>$Q1513*(1+$P1513)</f>
        <v>-0.27999999999999997</v>
      </c>
      <c r="U1513" s="3">
        <f>INDEX('Constants and Mappings'!$E$1633:$E$1644,MATCH($I1513,'Constants and Mappings'!$A$1633:$A$1644,0))</f>
        <v>254.0</v>
      </c>
      <c r="V1513" s="225">
        <f>INDEX('Constants and Mappings'!$V$1633:$V$1644,MATCH($I1513,'Constants and Mappings'!$A$1633:$A$1644,0))</f>
        <v>0.0</v>
      </c>
      <c r="W1513" s="197">
        <f>INDEX(EFSel,MATCH($B1513&amp;"|"&amp;$J1513,EFSelKey,0))*EFCalib</f>
        <v>0.07118114095776658</v>
      </c>
      <c r="X1513" s="195">
        <f>IF(LEFT(BalOpt,3)="Bal",$AY1513*$AV1513+$AZ1513*$AX1513,$BA1513)</f>
        <v>0.0</v>
      </c>
      <c r="Y1513" s="3" t="str">
        <f>IF($G1513="sub",$H1513,IF($B1513="oop","ind","trs"))</f>
        <v>trs</v>
      </c>
      <c r="Z1513" s="39">
        <f>IFERROR(MATCH($Y1513&amp;"|"&amp;$B1513,XKey,0),1)</f>
        <v>17.0</v>
      </c>
      <c r="AA1513" s="48">
        <f>INDEX(XCTVal,$Z1513,ECPEmb)+INDEX(XETSVal,$Z1513,ECPEmb)</f>
        <v>0.0</v>
      </c>
      <c r="AB1513" s="8" t="inlineStr">
        <is>
          <t>nav</t>
        </is>
      </c>
      <c r="AC1513" s="8" t="inlineStr">
        <is>
          <t>jfu</t>
        </is>
      </c>
      <c r="AD1513" s="197">
        <f>IFERROR(INDEX(NCEfIn,MATCH($AB1513&amp;"."&amp;$AC1513&amp;".ch4",NCEfKey,0)),0)</f>
        <v>0.0</v>
      </c>
      <c r="AE1513" s="197">
        <f>IFERROR(INDEX(NCEfFin,MATCH($AB1513&amp;"."&amp;$AC1513&amp;".ch4",NCEfKey,0)),0)</f>
        <v>0.0</v>
      </c>
      <c r="AF1513" s="3" t="n">
        <v>0</v>
      </c>
      <c r="AG1513" s="197">
        <f>IFERROR(INDEX(NCEfIn,MATCH($AB1513&amp;"."&amp;$AC1513&amp;".pm2",NCEfKey,0)),0)</f>
        <v>0.0</v>
      </c>
      <c r="AH1513" s="197">
        <f>IFERROR(INDEX(NCEfFin,MATCH($AB1513&amp;"."&amp;$AC1513&amp;".pm2",NCEfKey,0)),0)</f>
        <v>0.0</v>
      </c>
      <c r="AI1513" s="197">
        <f>IFERROR(INDEX(NCEfIn,MATCH($AB1513&amp;"."&amp;$AC1513&amp;".nox",NCEfKey,0)),0)</f>
        <v>0.0</v>
      </c>
      <c r="AJ1513" s="197">
        <f>IFERROR(INDEX(NCEfFin,MATCH($AB1513&amp;"."&amp;$AC1513&amp;".nox",NCEfKey,0)),0)</f>
        <v>0.0</v>
      </c>
      <c r="AK1513" s="197">
        <f>IFERROR(INDEX(NCEfIn,MATCH($AB1513&amp;"."&amp;$AC1513&amp;".so2",NCEfKey,0)),0)</f>
        <v>0.0</v>
      </c>
      <c r="AL1513" s="197">
        <f>IFERROR(INDEX(NCEfFin,MATCH($AB1513&amp;"."&amp;$AC1513&amp;".so2",NCEfKey,0)),0)</f>
        <v>0.0</v>
      </c>
      <c r="AM1513" s="197">
        <f>IFERROR(INDEX(NCEfIn,MATCH($AB1513&amp;"."&amp;$AC1513&amp;".voc",NCEfKey,0)),0)</f>
        <v>0.0</v>
      </c>
      <c r="AN1513" s="197">
        <f>IFERROR(INDEX(NCEfFin,MATCH($AB1513&amp;"."&amp;$AC1513&amp;".voc",NCEfKey,0)),0)</f>
        <v>0.0</v>
      </c>
      <c r="AO1513" s="197">
        <f>IFERROR(INDEX(NCEfIn,MATCH($AB1513&amp;"."&amp;$AC1513&amp;".bc",NCEfKey,0)),0)</f>
        <v>0.0</v>
      </c>
      <c r="AP1513" s="197">
        <f>IFERROR(INDEX(NCEfFin,MATCH($AB1513&amp;"."&amp;$AC1513&amp;".bc",NCEfKey,0)),0)</f>
        <v>0.0</v>
      </c>
      <c r="AQ1513" s="197">
        <f>IFERROR(INDEX(NCEfIn,MATCH($AB1513&amp;"."&amp;$AC1513&amp;".oc",NCEfKey,0)),0)</f>
        <v>0.0</v>
      </c>
      <c r="AR1513" s="197">
        <f>IFERROR(INDEX(NCEfFin,MATCH($AB1513&amp;"."&amp;$AC1513&amp;".oc",NCEfKey,0)),0)</f>
        <v>0.0</v>
      </c>
      <c r="AS1513" s="197">
        <f>IFERROR(INDEX(NCEfIn,MATCH($AB1513&amp;"."&amp;$AC1513&amp;".co",NCEfKey,0)),0)</f>
        <v>0.0</v>
      </c>
      <c r="AT1513" s="197">
        <f>IFERROR(INDEX(NCEfFin,MATCH($AB1513&amp;"."&amp;$AC1513&amp;".co",NCEfKey,0)),0)</f>
        <v>0.0</v>
      </c>
      <c r="AU1513" s="3" t="str">
        <f>INDEX('Constants and Mappings'!$J$186:$J$201,MATCH($C1513,SubKey,0))</f>
        <v>domesnav</v>
      </c>
      <c r="AV1513" s="3">
        <f>INDEX('Constants and Mappings'!$K$186:$K$201,MATCH($C1513,SubKey,0))</f>
        <v>1.0</v>
      </c>
      <c r="AW1513" s="3" t="str">
        <f>INDEX('Constants and Mappings'!$L$186:$L$201,MATCH($C1513,SubKey,0))&amp;""</f>
        <v/>
      </c>
      <c r="AX1513" s="3">
        <f>INDEX('Constants and Mappings'!$M$186:$M$201,MATCH($C1513,SubKey,0))</f>
        <v>0.0</v>
      </c>
      <c r="AY1513" s="3" t="n">
        <v>0</v>
      </c>
      <c r="AZ1513" s="3" t="n">
        <v>0</v>
      </c>
      <c r="BA1513" s="3" t="n">
        <v>0</v>
      </c>
      <c r="BB1513" s="3" t="n">
        <v>0</v>
      </c>
      <c r="BC1513" s="3" t="n">
        <v>0</v>
      </c>
      <c r="BD1513" s="3">
        <f>IFERROR($BB1513/$BC1513,0)</f>
        <v>0.0</v>
      </c>
      <c r="BE1513" s="133" t="n">
        <v>1</v>
      </c>
      <c r="BF1513" s="39" t="n">
        <v>1</v>
      </c>
    </row>
    <row r="1514">
      <c r="A1514" s="3" t="str">
        <f>$B1514&amp;"|"&amp;$C1514</f>
        <v>oop|nav</v>
      </c>
      <c r="B1514" s="8" t="inlineStr">
        <is>
          <t>oop</t>
        </is>
      </c>
      <c r="C1514" s="8" t="inlineStr">
        <is>
          <t>nav</t>
        </is>
      </c>
      <c r="D1514" s="3" t="str">
        <f>INDEX('Constants and Mappings'!$D$186:$D$201,MATCH($C1514,SubKey,0))</f>
        <v>tra</v>
      </c>
      <c r="E1514" s="3" t="str">
        <f>INDEX('Constants and Mappings'!$C$229:$C$237,MATCH($B1514,FuelKey,0))</f>
        <v>oil</v>
      </c>
      <c r="F1514" s="3" t="str">
        <f>INDEX('Constants and Mappings'!$D$229:$D$237,MATCH($B1514,FuelKey,0))</f>
        <v>oil</v>
      </c>
      <c r="G1514" s="3" t="str">
        <f>INDEX('Constants and Mappings'!$E$229:$E$237,MATCH($B1514,FuelKey,0))</f>
        <v>all</v>
      </c>
      <c r="H1514" s="3" t="str">
        <f>INDEX('Constants and Mappings'!$F$186:$F$201,MATCH($C1514,SubKey,0))</f>
        <v>ind</v>
      </c>
      <c r="I1514" s="3" t="str">
        <f>INDEX('Constants and Mappings'!$I$229:$I$237,MATCH($B1514,FuelKey,0))&amp;"."&amp;IF($G1514="sub",$H1514,"all")</f>
        <v>oop.all</v>
      </c>
      <c r="J1514" s="3" t="str">
        <f>INDEX('Constants and Mappings'!$E$186:$E$201,MATCH($C1514,SubKey,0))</f>
        <v>rod</v>
      </c>
      <c r="K1514" s="3">
        <f>INDEX('Constants and Mappings'!$G$229:$G$237,MATCH($B1514,FuelKey,0))</f>
        <v>6.12</v>
      </c>
      <c r="L1514" s="3">
        <f>INDEX('Constants and Mappings'!$H$229:$H$237,MATCH($B1514,FuelKey,0))</f>
        <v>8.0</v>
      </c>
      <c r="M1514" s="3">
        <f>INDEX('Constants and Mappings'!$H$186:$H$201,MATCH($C1514,SubKey,0))</f>
        <v>5.0</v>
      </c>
      <c r="N1514" s="3">
        <f>INDEX('Constants and Mappings'!$E$300:$E$313,MATCH($I1514,'Constants and Mappings'!$A$300:$A$313,0))</f>
        <v>13.0</v>
      </c>
      <c r="O1514" s="48">
        <f>INDEX(ElaSel,MATCH("inc|"&amp;$E1514&amp;"|"&amp;$D1514,ElaSelKey,0))</f>
        <v>0.8</v>
      </c>
      <c r="P1514" s="48">
        <f>INDEX(ElaSel,MATCH("usg|"&amp;$E1514&amp;"|"&amp;$D1514,ElaSelKey,0))</f>
        <v>-0.3</v>
      </c>
      <c r="Q1514" s="48">
        <f>INDEX(ElaSel,MATCH("eff|"&amp;$E1514&amp;"|"&amp;$D1514,ElaSelKey,0))</f>
        <v>-0.4</v>
      </c>
      <c r="R1514" s="225">
        <f>INDEX(ElaSel,MATCH("aei|"&amp;$F1514&amp;"|"&amp;$D1514,ElaSelKey,0))</f>
        <v>0.01</v>
      </c>
      <c r="S1514" s="133" t="n">
        <v>1</v>
      </c>
      <c r="T1514" s="48">
        <f>$Q1514*(1+$P1514)</f>
        <v>-0.27999999999999997</v>
      </c>
      <c r="U1514" s="3">
        <f>INDEX('Constants and Mappings'!$E$1633:$E$1644,MATCH($I1514,'Constants and Mappings'!$A$1633:$A$1644,0))</f>
        <v>283.0</v>
      </c>
      <c r="V1514" s="225">
        <f>INDEX('Constants and Mappings'!$V$1633:$V$1644,MATCH($I1514,'Constants and Mappings'!$A$1633:$A$1644,0))</f>
        <v>0.0</v>
      </c>
      <c r="W1514" s="197">
        <f>INDEX(EFSel,MATCH($B1514&amp;"|"&amp;$J1514,EFSelKey,0))*EFCalib</f>
        <v>0.07049322251858033</v>
      </c>
      <c r="X1514" s="195">
        <f>IF(LEFT(BalOpt,3)="Bal",$AY1514*$AV1514+$AZ1514*$AX1514,$BA1514)</f>
        <v>263.8514166917642</v>
      </c>
      <c r="Y1514" s="3" t="str">
        <f>IF($G1514="sub",$H1514,IF($B1514="oop","ind","trs"))</f>
        <v>ind</v>
      </c>
      <c r="Z1514" s="39">
        <f>IFERROR(MATCH($Y1514&amp;"|"&amp;$B1514,XKey,0),1)</f>
        <v>36.0</v>
      </c>
      <c r="AA1514" s="48">
        <f>INDEX(XCTVal,$Z1514,ECPEmb)+INDEX(XETSVal,$Z1514,ECPEmb)</f>
        <v>0.0</v>
      </c>
      <c r="AB1514" s="8" t="inlineStr">
        <is>
          <t>nav</t>
        </is>
      </c>
      <c r="AC1514" s="8" t="inlineStr">
        <is>
          <t>oop</t>
        </is>
      </c>
      <c r="AD1514" s="197">
        <f>IFERROR(INDEX(NCEfIn,MATCH($AB1514&amp;"."&amp;$AC1514&amp;".ch4",NCEfKey,0)),0)</f>
        <v>0.293076</v>
      </c>
      <c r="AE1514" s="197">
        <f>IFERROR(INDEX(NCEfFin,MATCH($AB1514&amp;"."&amp;$AC1514&amp;".ch4",NCEfKey,0)),0)</f>
        <v>0.293076</v>
      </c>
      <c r="AF1514" s="3" t="n">
        <v>0</v>
      </c>
      <c r="AG1514" s="197">
        <f>IFERROR(INDEX(NCEfIn,MATCH($AB1514&amp;"."&amp;$AC1514&amp;".pm2",NCEfKey,0)),0)</f>
        <v>5.49768708</v>
      </c>
      <c r="AH1514" s="197">
        <f>IFERROR(INDEX(NCEfFin,MATCH($AB1514&amp;"."&amp;$AC1514&amp;".pm2",NCEfKey,0)),0)</f>
        <v>5.49768708</v>
      </c>
      <c r="AI1514" s="197">
        <f>IFERROR(INDEX(NCEfIn,MATCH($AB1514&amp;"."&amp;$AC1514&amp;".nox",NCEfKey,0)),0)</f>
        <v>54.42128244000001</v>
      </c>
      <c r="AJ1514" s="197">
        <f>IFERROR(INDEX(NCEfFin,MATCH($AB1514&amp;"."&amp;$AC1514&amp;".nox",NCEfKey,0)),0)</f>
        <v>47.17937448</v>
      </c>
      <c r="AK1514" s="197">
        <f>IFERROR(INDEX(NCEfIn,MATCH($AB1514&amp;"."&amp;$AC1514&amp;".so2",NCEfKey,0)),0)</f>
        <v>50.44337445240001</v>
      </c>
      <c r="AL1514" s="197">
        <f>IFERROR(INDEX(NCEfFin,MATCH($AB1514&amp;"."&amp;$AC1514&amp;".so2",NCEfKey,0)),0)</f>
        <v>10.0886765652</v>
      </c>
      <c r="AM1514" s="197">
        <f>IFERROR(INDEX(NCEfIn,MATCH($AB1514&amp;"."&amp;$AC1514&amp;".voc",NCEfKey,0)),0)</f>
        <v>1.25604</v>
      </c>
      <c r="AN1514" s="197">
        <f>IFERROR(INDEX(NCEfFin,MATCH($AB1514&amp;"."&amp;$AC1514&amp;".voc",NCEfKey,0)),0)</f>
        <v>1.25604</v>
      </c>
      <c r="AO1514" s="197">
        <f>IFERROR(INDEX(NCEfIn,MATCH($AB1514&amp;"."&amp;$AC1514&amp;".bc",NCEfKey,0)),0)</f>
        <v>2.3036485356</v>
      </c>
      <c r="AP1514" s="197">
        <f>IFERROR(INDEX(NCEfFin,MATCH($AB1514&amp;"."&amp;$AC1514&amp;".bc",NCEfKey,0)),0)</f>
        <v>2.1677826888</v>
      </c>
      <c r="AQ1514" s="197">
        <f>IFERROR(INDEX(NCEfIn,MATCH($AB1514&amp;"."&amp;$AC1514&amp;".oc",NCEfKey,0)),0)</f>
        <v>1.4658321744</v>
      </c>
      <c r="AR1514" s="197">
        <f>IFERROR(INDEX(NCEfFin,MATCH($AB1514&amp;"."&amp;$AC1514&amp;".oc",NCEfKey,0)),0)</f>
        <v>1.2544992576</v>
      </c>
      <c r="AS1514" s="197">
        <f>IFERROR(INDEX(NCEfIn,MATCH($AB1514&amp;"."&amp;$AC1514&amp;".co",NCEfKey,0)),0)</f>
        <v>10.467</v>
      </c>
      <c r="AT1514" s="197">
        <f>IFERROR(INDEX(NCEfFin,MATCH($AB1514&amp;"."&amp;$AC1514&amp;".co",NCEfKey,0)),0)</f>
        <v>10.467</v>
      </c>
      <c r="AU1514" s="3" t="str">
        <f>INDEX('Constants and Mappings'!$J$186:$J$201,MATCH($C1514,SubKey,0))</f>
        <v>domesnav</v>
      </c>
      <c r="AV1514" s="3">
        <f>INDEX('Constants and Mappings'!$K$186:$K$201,MATCH($C1514,SubKey,0))</f>
        <v>1.0</v>
      </c>
      <c r="AW1514" s="3" t="str">
        <f>INDEX('Constants and Mappings'!$L$186:$L$201,MATCH($C1514,SubKey,0))&amp;""</f>
        <v/>
      </c>
      <c r="AX1514" s="3">
        <f>INDEX('Constants and Mappings'!$M$186:$M$201,MATCH($C1514,SubKey,0))</f>
        <v>0.0</v>
      </c>
      <c r="AY1514" s="3" t="n">
        <v>263.8514166917642</v>
      </c>
      <c r="AZ1514" s="3" t="n">
        <v>0</v>
      </c>
      <c r="BA1514" s="3" t="n">
        <v>263.8514166917642</v>
      </c>
      <c r="BB1514" s="3" t="n">
        <v>0</v>
      </c>
      <c r="BC1514" s="3" t="n">
        <v>0</v>
      </c>
      <c r="BD1514" s="3">
        <f>IFERROR($BB1514/$BC1514,0)</f>
        <v>0.0</v>
      </c>
      <c r="BE1514" s="133" t="n">
        <v>1</v>
      </c>
      <c r="BF1514" s="39" t="n">
        <v>1</v>
      </c>
    </row>
    <row r="1515">
      <c r="A1515" s="3" t="str">
        <f>$B1515&amp;"|"&amp;$C1515</f>
        <v>bio|nav</v>
      </c>
      <c r="B1515" s="8" t="inlineStr">
        <is>
          <t>bio</t>
        </is>
      </c>
      <c r="C1515" s="8" t="inlineStr">
        <is>
          <t>nav</t>
        </is>
      </c>
      <c r="D1515" s="3" t="str">
        <f>INDEX('Constants and Mappings'!$D$186:$D$201,MATCH($C1515,SubKey,0))</f>
        <v>tra</v>
      </c>
      <c r="E1515" s="3" t="str">
        <f>INDEX('Constants and Mappings'!$C$229:$C$237,MATCH($B1515,FuelKey,0))</f>
        <v>bio</v>
      </c>
      <c r="F1515" s="3" t="str">
        <f>INDEX('Constants and Mappings'!$D$229:$D$237,MATCH($B1515,FuelKey,0))</f>
        <v>bio</v>
      </c>
      <c r="G1515" s="3" t="str">
        <f>INDEX('Constants and Mappings'!$E$229:$E$237,MATCH($B1515,FuelKey,0))</f>
        <v>all</v>
      </c>
      <c r="H1515" s="3" t="str">
        <f>INDEX('Constants and Mappings'!$F$186:$F$201,MATCH($C1515,SubKey,0))</f>
        <v>ind</v>
      </c>
      <c r="I1515" s="3" t="str">
        <f>INDEX('Constants and Mappings'!$I$229:$I$237,MATCH($B1515,FuelKey,0))&amp;"."&amp;IF($G1515="sub",$H1515,"all")</f>
        <v>bio.all</v>
      </c>
      <c r="J1515" s="3" t="str">
        <f>INDEX('Constants and Mappings'!$E$186:$E$201,MATCH($C1515,SubKey,0))</f>
        <v>rod</v>
      </c>
      <c r="K1515" s="3">
        <f>INDEX('Constants and Mappings'!$G$229:$G$237,MATCH($B1515,FuelKey,0))</f>
        <v>1.0</v>
      </c>
      <c r="L1515" s="3">
        <f>INDEX('Constants and Mappings'!$H$229:$H$237,MATCH($B1515,FuelKey,0))</f>
        <v>9.0</v>
      </c>
      <c r="M1515" s="3">
        <f>INDEX('Constants and Mappings'!$H$186:$H$201,MATCH($C1515,SubKey,0))</f>
        <v>5.0</v>
      </c>
      <c r="N1515" s="3">
        <f>INDEX('Constants and Mappings'!$E$300:$E$313,MATCH($I1515,'Constants and Mappings'!$A$300:$A$313,0))</f>
        <v>14.0</v>
      </c>
      <c r="O1515" s="48">
        <f>INDEX(ElaSel,MATCH("inc|"&amp;$E1515&amp;"|"&amp;$D1515,ElaSelKey,0))</f>
        <v>0.0</v>
      </c>
      <c r="P1515" s="48">
        <f>INDEX(ElaSel,MATCH("usg|"&amp;$E1515&amp;"|"&amp;$D1515,ElaSelKey,0))</f>
        <v>-0.3</v>
      </c>
      <c r="Q1515" s="48">
        <f>INDEX(ElaSel,MATCH("eff|"&amp;$E1515&amp;"|"&amp;$D1515,ElaSelKey,0))</f>
        <v>-0.2</v>
      </c>
      <c r="R1515" s="225">
        <f>INDEX(ElaSel,MATCH("aei|"&amp;$F1515&amp;"|"&amp;$D1515,ElaSelKey,0))</f>
        <v>0.01</v>
      </c>
      <c r="S1515" s="133" t="n">
        <v>1</v>
      </c>
      <c r="T1515" s="48">
        <f>$Q1515*(1+$P1515)</f>
        <v>-0.13999999999999999</v>
      </c>
      <c r="U1515" s="3">
        <f>INDEX('Constants and Mappings'!$E$1633:$E$1644,MATCH($I1515,'Constants and Mappings'!$A$1633:$A$1644,0))</f>
        <v>312.0</v>
      </c>
      <c r="V1515" s="225">
        <f>INDEX('Constants and Mappings'!$V$1633:$V$1644,MATCH($I1515,'Constants and Mappings'!$A$1633:$A$1644,0))</f>
        <v>0.0</v>
      </c>
      <c r="W1515" s="197">
        <f>INDEX(EFSel,MATCH($B1515&amp;"|"&amp;$J1515,EFSelKey,0))*EFCalib</f>
        <v>0.0</v>
      </c>
      <c r="X1515" s="195">
        <f>IF(LEFT(BalOpt,3)="Bal",$AY1515*$AV1515+$AZ1515*$AX1515,$BA1515)</f>
        <v>0.0</v>
      </c>
      <c r="Y1515" s="3" t="str">
        <f>IF($G1515="sub",$H1515,IF($B1515="oop","ind","trs"))</f>
        <v>trs</v>
      </c>
      <c r="Z1515" s="39">
        <f>IFERROR(MATCH($Y1515&amp;"|"&amp;$B1515,XKey,0),1)</f>
        <v>19.0</v>
      </c>
      <c r="AA1515" s="48">
        <f>INDEX(XCTVal,$Z1515,ECPEmb)+INDEX(XETSVal,$Z1515,ECPEmb)</f>
        <v>0.0</v>
      </c>
      <c r="AB1515" s="8" t="inlineStr">
        <is>
          <t>nav</t>
        </is>
      </c>
      <c r="AC1515" s="8" t="inlineStr">
        <is>
          <t>bio</t>
        </is>
      </c>
      <c r="AD1515" s="197">
        <f>IFERROR(INDEX(NCEfIn,MATCH($AB1515&amp;"."&amp;$AC1515&amp;".ch4",NCEfKey,0)),0)</f>
        <v>0.0</v>
      </c>
      <c r="AE1515" s="197">
        <f>IFERROR(INDEX(NCEfFin,MATCH($AB1515&amp;"."&amp;$AC1515&amp;".ch4",NCEfKey,0)),0)</f>
        <v>0.0</v>
      </c>
      <c r="AF1515" s="3" t="n">
        <v>0</v>
      </c>
      <c r="AG1515" s="197">
        <f>IFERROR(INDEX(NCEfIn,MATCH($AB1515&amp;"."&amp;$AC1515&amp;".pm2",NCEfKey,0)),0)</f>
        <v>0.0</v>
      </c>
      <c r="AH1515" s="197">
        <f>IFERROR(INDEX(NCEfFin,MATCH($AB1515&amp;"."&amp;$AC1515&amp;".pm2",NCEfKey,0)),0)</f>
        <v>0.0</v>
      </c>
      <c r="AI1515" s="197">
        <f>IFERROR(INDEX(NCEfIn,MATCH($AB1515&amp;"."&amp;$AC1515&amp;".nox",NCEfKey,0)),0)</f>
        <v>0.0</v>
      </c>
      <c r="AJ1515" s="197">
        <f>IFERROR(INDEX(NCEfFin,MATCH($AB1515&amp;"."&amp;$AC1515&amp;".nox",NCEfKey,0)),0)</f>
        <v>0.0</v>
      </c>
      <c r="AK1515" s="197">
        <f>IFERROR(INDEX(NCEfIn,MATCH($AB1515&amp;"."&amp;$AC1515&amp;".so2",NCEfKey,0)),0)</f>
        <v>0.0</v>
      </c>
      <c r="AL1515" s="197">
        <f>IFERROR(INDEX(NCEfFin,MATCH($AB1515&amp;"."&amp;$AC1515&amp;".so2",NCEfKey,0)),0)</f>
        <v>0.0</v>
      </c>
      <c r="AM1515" s="197">
        <f>IFERROR(INDEX(NCEfIn,MATCH($AB1515&amp;"."&amp;$AC1515&amp;".voc",NCEfKey,0)),0)</f>
        <v>0.0</v>
      </c>
      <c r="AN1515" s="197">
        <f>IFERROR(INDEX(NCEfFin,MATCH($AB1515&amp;"."&amp;$AC1515&amp;".voc",NCEfKey,0)),0)</f>
        <v>0.0</v>
      </c>
      <c r="AO1515" s="197">
        <f>IFERROR(INDEX(NCEfIn,MATCH($AB1515&amp;"."&amp;$AC1515&amp;".bc",NCEfKey,0)),0)</f>
        <v>0.0</v>
      </c>
      <c r="AP1515" s="197">
        <f>IFERROR(INDEX(NCEfFin,MATCH($AB1515&amp;"."&amp;$AC1515&amp;".bc",NCEfKey,0)),0)</f>
        <v>0.0</v>
      </c>
      <c r="AQ1515" s="197">
        <f>IFERROR(INDEX(NCEfIn,MATCH($AB1515&amp;"."&amp;$AC1515&amp;".oc",NCEfKey,0)),0)</f>
        <v>0.0</v>
      </c>
      <c r="AR1515" s="197">
        <f>IFERROR(INDEX(NCEfFin,MATCH($AB1515&amp;"."&amp;$AC1515&amp;".oc",NCEfKey,0)),0)</f>
        <v>0.0</v>
      </c>
      <c r="AS1515" s="197">
        <f>IFERROR(INDEX(NCEfIn,MATCH($AB1515&amp;"."&amp;$AC1515&amp;".co",NCEfKey,0)),0)</f>
        <v>0.0</v>
      </c>
      <c r="AT1515" s="197">
        <f>IFERROR(INDEX(NCEfFin,MATCH($AB1515&amp;"."&amp;$AC1515&amp;".co",NCEfKey,0)),0)</f>
        <v>0.0</v>
      </c>
      <c r="AU1515" s="3" t="str">
        <f>INDEX('Constants and Mappings'!$J$186:$J$201,MATCH($C1515,SubKey,0))</f>
        <v>domesnav</v>
      </c>
      <c r="AV1515" s="3">
        <f>INDEX('Constants and Mappings'!$K$186:$K$201,MATCH($C1515,SubKey,0))</f>
        <v>1.0</v>
      </c>
      <c r="AW1515" s="3" t="str">
        <f>INDEX('Constants and Mappings'!$L$186:$L$201,MATCH($C1515,SubKey,0))&amp;""</f>
        <v/>
      </c>
      <c r="AX1515" s="3">
        <f>INDEX('Constants and Mappings'!$M$186:$M$201,MATCH($C1515,SubKey,0))</f>
        <v>0.0</v>
      </c>
      <c r="AY1515" s="3" t="n">
        <v>0</v>
      </c>
      <c r="AZ1515" s="3" t="n">
        <v>0</v>
      </c>
      <c r="BA1515" s="3" t="n">
        <v>0</v>
      </c>
      <c r="BB1515" s="3" t="n">
        <v>0</v>
      </c>
      <c r="BC1515" s="3" t="n">
        <v>0</v>
      </c>
      <c r="BD1515" s="3">
        <f>IFERROR($BB1515/$BC1515,0)</f>
        <v>0.0</v>
      </c>
      <c r="BE1515" s="133" t="n">
        <v>1</v>
      </c>
      <c r="BF1515" s="39" t="n">
        <v>1</v>
      </c>
    </row>
    <row r="1516">
      <c r="A1516" s="3" t="str">
        <f>$B1516&amp;"|"&amp;$C1516</f>
        <v>coa|res</v>
      </c>
      <c r="B1516" s="8" t="inlineStr">
        <is>
          <t>coa</t>
        </is>
      </c>
      <c r="C1516" s="8" t="inlineStr">
        <is>
          <t>res</t>
        </is>
      </c>
      <c r="D1516" s="3" t="str">
        <f>INDEX('Constants and Mappings'!$D$186:$D$201,MATCH($C1516,SubKey,0))</f>
        <v>res</v>
      </c>
      <c r="E1516" s="3" t="str">
        <f>INDEX('Constants and Mappings'!$C$229:$C$237,MATCH($B1516,FuelKey,0))</f>
        <v>coa</v>
      </c>
      <c r="F1516" s="3" t="str">
        <f>INDEX('Constants and Mappings'!$D$229:$D$237,MATCH($B1516,FuelKey,0))</f>
        <v>coa</v>
      </c>
      <c r="G1516" s="3" t="str">
        <f>INDEX('Constants and Mappings'!$E$229:$E$237,MATCH($B1516,FuelKey,0))</f>
        <v>sub</v>
      </c>
      <c r="H1516" s="3" t="str">
        <f>INDEX('Constants and Mappings'!$F$186:$F$201,MATCH($C1516,SubKey,0))</f>
        <v>res</v>
      </c>
      <c r="I1516" s="3" t="str">
        <f>INDEX('Constants and Mappings'!$I$229:$I$237,MATCH($B1516,FuelKey,0))&amp;"."&amp;IF($G1516="sub",$H1516,"all")</f>
        <v>coa.res</v>
      </c>
      <c r="J1516" s="3" t="str">
        <f>INDEX('Constants and Mappings'!$E$186:$E$201,MATCH($C1516,SubKey,0))</f>
        <v>res</v>
      </c>
      <c r="K1516" s="3">
        <f>INDEX('Constants and Mappings'!$G$229:$G$237,MATCH($B1516,FuelKey,0))</f>
        <v>1.0</v>
      </c>
      <c r="L1516" s="3">
        <f>INDEX('Constants and Mappings'!$H$229:$H$237,MATCH($B1516,FuelKey,0))</f>
        <v>1.0</v>
      </c>
      <c r="M1516" s="3">
        <f>INDEX('Constants and Mappings'!$H$186:$H$201,MATCH($C1516,SubKey,0))</f>
        <v>6.0</v>
      </c>
      <c r="N1516" s="3">
        <f>INDEX('Constants and Mappings'!$E$300:$E$313,MATCH($I1516,'Constants and Mappings'!$A$300:$A$313,0))</f>
        <v>2.0</v>
      </c>
      <c r="O1516" s="48">
        <f>INDEX(ElaSel,MATCH("inc|"&amp;$E1516&amp;"|"&amp;$D1516,ElaSelKey,0))</f>
        <v>0.3</v>
      </c>
      <c r="P1516" s="48">
        <f>INDEX(ElaSel,MATCH("usg|"&amp;$E1516&amp;"|"&amp;$D1516,ElaSelKey,0))</f>
        <v>-0.3</v>
      </c>
      <c r="Q1516" s="48">
        <f>INDEX(ElaSel,MATCH("eff|"&amp;$E1516&amp;"|"&amp;$D1516,ElaSelKey,0))</f>
        <v>-0.4</v>
      </c>
      <c r="R1516" s="225">
        <f>INDEX(ElaSel,MATCH("aei|"&amp;$F1516&amp;"|"&amp;$D1516,ElaSelKey,0))</f>
        <v>0.005</v>
      </c>
      <c r="S1516" s="133" t="n">
        <v>2</v>
      </c>
      <c r="T1516" s="48">
        <f>$Q1516*(1+$P1516)</f>
        <v>-0.27999999999999997</v>
      </c>
      <c r="U1516" s="3">
        <f>INDEX('Constants and Mappings'!$E$1633:$E$1644,MATCH($I1516,'Constants and Mappings'!$A$1633:$A$1644,0))</f>
        <v>28.0</v>
      </c>
      <c r="V1516" s="225">
        <f>INDEX('Constants and Mappings'!$V$1633:$V$1644,MATCH($I1516,'Constants and Mappings'!$A$1633:$A$1644,0))</f>
        <v>0.14</v>
      </c>
      <c r="W1516" s="197">
        <f>INDEX(EFSel,MATCH($B1516&amp;"|"&amp;$J1516,EFSelKey,0))*EFCalib</f>
        <v>0.09387946282961382</v>
      </c>
      <c r="X1516" s="195">
        <f>IF(LEFT(BalOpt,3)="Bal",$AY1516*$AV1516+$AZ1516*$AX1516,$BA1516)</f>
        <v>1.644886914655364</v>
      </c>
      <c r="Y1516" s="3" t="str">
        <f>IF($G1516="sub",$H1516,IF($B1516="oop","ind","trs"))</f>
        <v>res</v>
      </c>
      <c r="Z1516" s="39">
        <f>IFERROR(MATCH($Y1516&amp;"|"&amp;$B1516,XKey,0),1)</f>
        <v>20.0</v>
      </c>
      <c r="AA1516" s="48">
        <f>INDEX(XCTVal,$Z1516,ECPEmb)+INDEX(XETSVal,$Z1516,ECPEmb)</f>
        <v>0.0</v>
      </c>
      <c r="AB1516" s="8" t="inlineStr">
        <is>
          <t>res</t>
        </is>
      </c>
      <c r="AC1516" s="8" t="inlineStr">
        <is>
          <t>coa</t>
        </is>
      </c>
      <c r="AD1516" s="197">
        <f>IFERROR(INDEX(NCEfIn,MATCH($AB1516&amp;"."&amp;$AC1516&amp;".ch4",NCEfKey,0)),0)</f>
        <v>1.03686102</v>
      </c>
      <c r="AE1516" s="197">
        <f>IFERROR(INDEX(NCEfFin,MATCH($AB1516&amp;"."&amp;$AC1516&amp;".ch4",NCEfKey,0)),0)</f>
        <v>1.03686102</v>
      </c>
      <c r="AF1516" s="3" t="n">
        <v>0</v>
      </c>
      <c r="AG1516" s="197">
        <f>IFERROR(INDEX(NCEfIn,MATCH($AB1516&amp;"."&amp;$AC1516&amp;".pm2",NCEfKey,0)),0)</f>
        <v>17.25767559</v>
      </c>
      <c r="AH1516" s="197">
        <f>IFERROR(INDEX(NCEfFin,MATCH($AB1516&amp;"."&amp;$AC1516&amp;".pm2",NCEfKey,0)),0)</f>
        <v>17.25767559</v>
      </c>
      <c r="AI1516" s="197">
        <f>IFERROR(INDEX(NCEfIn,MATCH($AB1516&amp;"."&amp;$AC1516&amp;".nox",NCEfKey,0)),0)</f>
        <v>3.34944</v>
      </c>
      <c r="AJ1516" s="197">
        <f>IFERROR(INDEX(NCEfFin,MATCH($AB1516&amp;"."&amp;$AC1516&amp;".nox",NCEfKey,0)),0)</f>
        <v>3.34944</v>
      </c>
      <c r="AK1516" s="197">
        <f>IFERROR(INDEX(NCEfIn,MATCH($AB1516&amp;"."&amp;$AC1516&amp;".so2",NCEfKey,0)),0)</f>
        <v>27.206642826</v>
      </c>
      <c r="AL1516" s="197">
        <f>IFERROR(INDEX(NCEfFin,MATCH($AB1516&amp;"."&amp;$AC1516&amp;".so2",NCEfKey,0)),0)</f>
        <v>27.206642826</v>
      </c>
      <c r="AM1516" s="197">
        <f>IFERROR(INDEX(NCEfIn,MATCH($AB1516&amp;"."&amp;$AC1516&amp;".voc",NCEfKey,0)),0)</f>
        <v>7.226416800000001</v>
      </c>
      <c r="AN1516" s="197">
        <f>IFERROR(INDEX(NCEfFin,MATCH($AB1516&amp;"."&amp;$AC1516&amp;".voc",NCEfKey,0)),0)</f>
        <v>7.226416800000001</v>
      </c>
      <c r="AO1516" s="197">
        <f>IFERROR(INDEX(NCEfIn,MATCH($AB1516&amp;"."&amp;$AC1516&amp;".bc",NCEfKey,0)),0)</f>
        <v>7.345573128</v>
      </c>
      <c r="AP1516" s="197">
        <f>IFERROR(INDEX(NCEfFin,MATCH($AB1516&amp;"."&amp;$AC1516&amp;".bc",NCEfKey,0)),0)</f>
        <v>7.345573128</v>
      </c>
      <c r="AQ1516" s="197">
        <f>IFERROR(INDEX(NCEfIn,MATCH($AB1516&amp;"."&amp;$AC1516&amp;".oc",NCEfKey,0)),0)</f>
        <v>6.436283904000001</v>
      </c>
      <c r="AR1516" s="197">
        <f>IFERROR(INDEX(NCEfFin,MATCH($AB1516&amp;"."&amp;$AC1516&amp;".oc",NCEfKey,0)),0)</f>
        <v>6.436283904000001</v>
      </c>
      <c r="AS1516" s="197">
        <f>IFERROR(INDEX(NCEfIn,MATCH($AB1516&amp;"."&amp;$AC1516&amp;".co",NCEfKey,0)),0)</f>
        <v>187.422102</v>
      </c>
      <c r="AT1516" s="197">
        <f>IFERROR(INDEX(NCEfFin,MATCH($AB1516&amp;"."&amp;$AC1516&amp;".co",NCEfKey,0)),0)</f>
        <v>187.422102</v>
      </c>
      <c r="AU1516" s="3" t="str">
        <f>INDEX('Constants and Mappings'!$J$186:$J$201,MATCH($C1516,SubKey,0))</f>
        <v>resident</v>
      </c>
      <c r="AV1516" s="3">
        <f>INDEX('Constants and Mappings'!$K$186:$K$201,MATCH($C1516,SubKey,0))</f>
        <v>1.0</v>
      </c>
      <c r="AW1516" s="3" t="str">
        <f>INDEX('Constants and Mappings'!$L$186:$L$201,MATCH($C1516,SubKey,0))&amp;""</f>
        <v/>
      </c>
      <c r="AX1516" s="3">
        <f>INDEX('Constants and Mappings'!$M$186:$M$201,MATCH($C1516,SubKey,0))</f>
        <v>0.0</v>
      </c>
      <c r="AY1516" s="3" t="n">
        <v>1.644886914655364</v>
      </c>
      <c r="AZ1516" s="3" t="n">
        <v>0</v>
      </c>
      <c r="BA1516" s="3" t="n">
        <v>1.644886914655364</v>
      </c>
      <c r="BB1516" s="3" t="n">
        <v>0</v>
      </c>
      <c r="BC1516" s="3" t="n">
        <v>0</v>
      </c>
      <c r="BD1516" s="3">
        <f>IFERROR($BB1516/$BC1516,0)</f>
        <v>0.0</v>
      </c>
      <c r="BE1516" s="133" t="n">
        <v>1</v>
      </c>
      <c r="BF1516" s="39" t="n">
        <v>1</v>
      </c>
    </row>
    <row r="1517">
      <c r="A1517" s="3" t="str">
        <f>$B1517&amp;"|"&amp;$C1517</f>
        <v>nga|res</v>
      </c>
      <c r="B1517" s="8" t="inlineStr">
        <is>
          <t>nga</t>
        </is>
      </c>
      <c r="C1517" s="8" t="inlineStr">
        <is>
          <t>res</t>
        </is>
      </c>
      <c r="D1517" s="3" t="str">
        <f>INDEX('Constants and Mappings'!$D$186:$D$201,MATCH($C1517,SubKey,0))</f>
        <v>res</v>
      </c>
      <c r="E1517" s="3" t="str">
        <f>INDEX('Constants and Mappings'!$C$229:$C$237,MATCH($B1517,FuelKey,0))</f>
        <v>nga</v>
      </c>
      <c r="F1517" s="3" t="str">
        <f>INDEX('Constants and Mappings'!$D$229:$D$237,MATCH($B1517,FuelKey,0))</f>
        <v>nga</v>
      </c>
      <c r="G1517" s="3" t="str">
        <f>INDEX('Constants and Mappings'!$E$229:$E$237,MATCH($B1517,FuelKey,0))</f>
        <v>sub</v>
      </c>
      <c r="H1517" s="3" t="str">
        <f>INDEX('Constants and Mappings'!$F$186:$F$201,MATCH($C1517,SubKey,0))</f>
        <v>res</v>
      </c>
      <c r="I1517" s="3" t="str">
        <f>INDEX('Constants and Mappings'!$I$229:$I$237,MATCH($B1517,FuelKey,0))&amp;"."&amp;IF($G1517="sub",$H1517,"all")</f>
        <v>nga.res</v>
      </c>
      <c r="J1517" s="3" t="str">
        <f>INDEX('Constants and Mappings'!$E$186:$E$201,MATCH($C1517,SubKey,0))</f>
        <v>res</v>
      </c>
      <c r="K1517" s="3">
        <f>INDEX('Constants and Mappings'!$G$229:$G$237,MATCH($B1517,FuelKey,0))</f>
        <v>1.0</v>
      </c>
      <c r="L1517" s="3">
        <f>INDEX('Constants and Mappings'!$H$229:$H$237,MATCH($B1517,FuelKey,0))</f>
        <v>2.0</v>
      </c>
      <c r="M1517" s="3">
        <f>INDEX('Constants and Mappings'!$H$186:$H$201,MATCH($C1517,SubKey,0))</f>
        <v>6.0</v>
      </c>
      <c r="N1517" s="3">
        <f>INDEX('Constants and Mappings'!$E$300:$E$313,MATCH($I1517,'Constants and Mappings'!$A$300:$A$313,0))</f>
        <v>5.0</v>
      </c>
      <c r="O1517" s="48">
        <f>INDEX(ElaSel,MATCH("inc|"&amp;$E1517&amp;"|"&amp;$D1517,ElaSelKey,0))</f>
        <v>0.3</v>
      </c>
      <c r="P1517" s="48">
        <f>INDEX(ElaSel,MATCH("usg|"&amp;$E1517&amp;"|"&amp;$D1517,ElaSelKey,0))</f>
        <v>-0.4</v>
      </c>
      <c r="Q1517" s="48">
        <f>INDEX(ElaSel,MATCH("eff|"&amp;$E1517&amp;"|"&amp;$D1517,ElaSelKey,0))</f>
        <v>-0.5</v>
      </c>
      <c r="R1517" s="225">
        <f>INDEX(ElaSel,MATCH("aei|"&amp;$F1517&amp;"|"&amp;$D1517,ElaSelKey,0))</f>
        <v>0.01</v>
      </c>
      <c r="S1517" s="133" t="n">
        <v>2</v>
      </c>
      <c r="T1517" s="48">
        <f>$Q1517*(1+$P1517)</f>
        <v>-0.3</v>
      </c>
      <c r="U1517" s="3">
        <f>INDEX('Constants and Mappings'!$E$1633:$E$1644,MATCH($I1517,'Constants and Mappings'!$A$1633:$A$1644,0))</f>
        <v>111.0</v>
      </c>
      <c r="V1517" s="225">
        <f>INDEX('Constants and Mappings'!$V$1633:$V$1644,MATCH($I1517,'Constants and Mappings'!$A$1633:$A$1644,0))</f>
        <v>0.0</v>
      </c>
      <c r="W1517" s="197">
        <f>INDEX(EFSel,MATCH($B1517&amp;"|"&amp;$J1517,EFSelKey,0))*EFCalib</f>
        <v>0.05555115616004721</v>
      </c>
      <c r="X1517" s="195">
        <f>IF(LEFT(BalOpt,3)="Bal",$AY1517*$AV1517+$AZ1517*$AX1517,$BA1517)</f>
        <v>1870.269872568074</v>
      </c>
      <c r="Y1517" s="3" t="str">
        <f>IF($G1517="sub",$H1517,IF($B1517="oop","ind","trs"))</f>
        <v>res</v>
      </c>
      <c r="Z1517" s="39">
        <f>IFERROR(MATCH($Y1517&amp;"|"&amp;$B1517,XKey,0),1)</f>
        <v>21.0</v>
      </c>
      <c r="AA1517" s="48">
        <f>INDEX(XCTVal,$Z1517,ECPEmb)+INDEX(XETSVal,$Z1517,ECPEmb)</f>
        <v>0.0</v>
      </c>
      <c r="AB1517" s="8" t="inlineStr">
        <is>
          <t>res</t>
        </is>
      </c>
      <c r="AC1517" s="8" t="inlineStr">
        <is>
          <t>nga</t>
        </is>
      </c>
      <c r="AD1517" s="197">
        <f>IFERROR(INDEX(NCEfIn,MATCH($AB1517&amp;"."&amp;$AC1517&amp;".ch4",NCEfKey,0)),0)</f>
        <v>8.373600000000001</v>
      </c>
      <c r="AE1517" s="197">
        <f>IFERROR(INDEX(NCEfFin,MATCH($AB1517&amp;"."&amp;$AC1517&amp;".ch4",NCEfKey,0)),0)</f>
        <v>8.373600000000001</v>
      </c>
      <c r="AF1517" s="3" t="n">
        <v>0</v>
      </c>
      <c r="AG1517" s="197">
        <f>IFERROR(INDEX(NCEfIn,MATCH($AB1517&amp;"."&amp;$AC1517&amp;".pm2",NCEfKey,0)),0)</f>
        <v>0.0041868</v>
      </c>
      <c r="AH1517" s="197">
        <f>IFERROR(INDEX(NCEfFin,MATCH($AB1517&amp;"."&amp;$AC1517&amp;".pm2",NCEfKey,0)),0)</f>
        <v>0.0041868</v>
      </c>
      <c r="AI1517" s="197">
        <f>IFERROR(INDEX(NCEfIn,MATCH($AB1517&amp;"."&amp;$AC1517&amp;".nox",NCEfKey,0)),0)</f>
        <v>2.51208</v>
      </c>
      <c r="AJ1517" s="197">
        <f>IFERROR(INDEX(NCEfFin,MATCH($AB1517&amp;"."&amp;$AC1517&amp;".nox",NCEfKey,0)),0)</f>
        <v>2.51208</v>
      </c>
      <c r="AK1517" s="197">
        <f>IFERROR(INDEX(NCEfIn,MATCH($AB1517&amp;"."&amp;$AC1517&amp;".so2",NCEfKey,0)),0)</f>
        <v>0.0348886044</v>
      </c>
      <c r="AL1517" s="197">
        <f>IFERROR(INDEX(NCEfFin,MATCH($AB1517&amp;"."&amp;$AC1517&amp;".so2",NCEfKey,0)),0)</f>
        <v>0.0348886044</v>
      </c>
      <c r="AM1517" s="197">
        <f>IFERROR(INDEX(NCEfIn,MATCH($AB1517&amp;"."&amp;$AC1517&amp;".voc",NCEfKey,0)),0)</f>
        <v>0.083736</v>
      </c>
      <c r="AN1517" s="197">
        <f>IFERROR(INDEX(NCEfFin,MATCH($AB1517&amp;"."&amp;$AC1517&amp;".voc",NCEfKey,0)),0)</f>
        <v>0.083736</v>
      </c>
      <c r="AO1517" s="197">
        <f>IFERROR(INDEX(NCEfIn,MATCH($AB1517&amp;"."&amp;$AC1517&amp;".bc",NCEfKey,0)),0)</f>
        <v>0.0002805156</v>
      </c>
      <c r="AP1517" s="197">
        <f>IFERROR(INDEX(NCEfFin,MATCH($AB1517&amp;"."&amp;$AC1517&amp;".bc",NCEfKey,0)),0)</f>
        <v>0.0002805156</v>
      </c>
      <c r="AQ1517" s="197">
        <f>IFERROR(INDEX(NCEfIn,MATCH($AB1517&amp;"."&amp;$AC1517&amp;".oc",NCEfKey,0)),0)</f>
        <v>0.0031401</v>
      </c>
      <c r="AR1517" s="197">
        <f>IFERROR(INDEX(NCEfFin,MATCH($AB1517&amp;"."&amp;$AC1517&amp;".oc",NCEfKey,0)),0)</f>
        <v>0.0031401</v>
      </c>
      <c r="AS1517" s="197">
        <f>IFERROR(INDEX(NCEfIn,MATCH($AB1517&amp;"."&amp;$AC1517&amp;".co",NCEfKey,0)),0)</f>
        <v>1.297908</v>
      </c>
      <c r="AT1517" s="197">
        <f>IFERROR(INDEX(NCEfFin,MATCH($AB1517&amp;"."&amp;$AC1517&amp;".co",NCEfKey,0)),0)</f>
        <v>1.297908</v>
      </c>
      <c r="AU1517" s="3" t="str">
        <f>INDEX('Constants and Mappings'!$J$186:$J$201,MATCH($C1517,SubKey,0))</f>
        <v>resident</v>
      </c>
      <c r="AV1517" s="3">
        <f>INDEX('Constants and Mappings'!$K$186:$K$201,MATCH($C1517,SubKey,0))</f>
        <v>1.0</v>
      </c>
      <c r="AW1517" s="3" t="str">
        <f>INDEX('Constants and Mappings'!$L$186:$L$201,MATCH($C1517,SubKey,0))&amp;""</f>
        <v/>
      </c>
      <c r="AX1517" s="3">
        <f>INDEX('Constants and Mappings'!$M$186:$M$201,MATCH($C1517,SubKey,0))</f>
        <v>0.0</v>
      </c>
      <c r="AY1517" s="3" t="n">
        <v>1870.269872568074</v>
      </c>
      <c r="AZ1517" s="3" t="n">
        <v>0</v>
      </c>
      <c r="BA1517" s="3" t="n">
        <v>1870.269872568074</v>
      </c>
      <c r="BB1517" s="3" t="n">
        <v>0</v>
      </c>
      <c r="BC1517" s="3" t="n">
        <v>0</v>
      </c>
      <c r="BD1517" s="3">
        <f>IFERROR($BB1517/$BC1517,0)</f>
        <v>0.0</v>
      </c>
      <c r="BE1517" s="133" t="n">
        <v>1</v>
      </c>
      <c r="BF1517" s="39" t="n">
        <v>2</v>
      </c>
    </row>
    <row r="1518">
      <c r="A1518" s="3" t="str">
        <f>$B1518&amp;"|"&amp;$C1518</f>
        <v>gso|res</v>
      </c>
      <c r="B1518" s="8" t="inlineStr">
        <is>
          <t>gso</t>
        </is>
      </c>
      <c r="C1518" s="8" t="inlineStr">
        <is>
          <t>res</t>
        </is>
      </c>
      <c r="D1518" s="3" t="str">
        <f>INDEX('Constants and Mappings'!$D$186:$D$201,MATCH($C1518,SubKey,0))</f>
        <v>res</v>
      </c>
      <c r="E1518" s="3" t="str">
        <f>INDEX('Constants and Mappings'!$C$229:$C$237,MATCH($B1518,FuelKey,0))</f>
        <v>gso</v>
      </c>
      <c r="F1518" s="3" t="str">
        <f>INDEX('Constants and Mappings'!$D$229:$D$237,MATCH($B1518,FuelKey,0))</f>
        <v>oil</v>
      </c>
      <c r="G1518" s="3" t="str">
        <f>INDEX('Constants and Mappings'!$E$229:$E$237,MATCH($B1518,FuelKey,0))</f>
        <v>all</v>
      </c>
      <c r="H1518" s="3" t="str">
        <f>INDEX('Constants and Mappings'!$F$186:$F$201,MATCH($C1518,SubKey,0))</f>
        <v>res</v>
      </c>
      <c r="I1518" s="3" t="str">
        <f>INDEX('Constants and Mappings'!$I$229:$I$237,MATCH($B1518,FuelKey,0))&amp;"."&amp;IF($G1518="sub",$H1518,"all")</f>
        <v>gso.all</v>
      </c>
      <c r="J1518" s="3" t="str">
        <f>INDEX('Constants and Mappings'!$E$186:$E$201,MATCH($C1518,SubKey,0))</f>
        <v>res</v>
      </c>
      <c r="K1518" s="3">
        <f>INDEX('Constants and Mappings'!$G$229:$G$237,MATCH($B1518,FuelKey,0))</f>
        <v>0.03496974000000001</v>
      </c>
      <c r="L1518" s="3">
        <f>INDEX('Constants and Mappings'!$H$229:$H$237,MATCH($B1518,FuelKey,0))</f>
        <v>3.0</v>
      </c>
      <c r="M1518" s="3">
        <f>INDEX('Constants and Mappings'!$H$186:$H$201,MATCH($C1518,SubKey,0))</f>
        <v>6.0</v>
      </c>
      <c r="N1518" s="3">
        <f>INDEX('Constants and Mappings'!$E$300:$E$313,MATCH($I1518,'Constants and Mappings'!$A$300:$A$313,0))</f>
        <v>9.0</v>
      </c>
      <c r="O1518" s="48">
        <f>INDEX(ElaSel,MATCH("inc|"&amp;$E1518&amp;"|"&amp;$D1518,ElaSelKey,0))</f>
        <v>0.5</v>
      </c>
      <c r="P1518" s="48">
        <f>INDEX(ElaSel,MATCH("usg|"&amp;$E1518&amp;"|"&amp;$D1518,ElaSelKey,0))</f>
        <v>-0.5</v>
      </c>
      <c r="Q1518" s="48">
        <f>INDEX(ElaSel,MATCH("eff|"&amp;$E1518&amp;"|"&amp;$D1518,ElaSelKey,0))</f>
        <v>-0.6</v>
      </c>
      <c r="R1518" s="225">
        <f>INDEX(ElaSel,MATCH("aei|"&amp;$F1518&amp;"|"&amp;$D1518,ElaSelKey,0))</f>
        <v>0.005</v>
      </c>
      <c r="S1518" s="133" t="n">
        <v>2</v>
      </c>
      <c r="T1518" s="48">
        <f>$Q1518*(1+$P1518)</f>
        <v>-0.3</v>
      </c>
      <c r="U1518" s="3">
        <f>INDEX('Constants and Mappings'!$E$1633:$E$1644,MATCH($I1518,'Constants and Mappings'!$A$1633:$A$1644,0))</f>
        <v>167.0</v>
      </c>
      <c r="V1518" s="225">
        <f>INDEX('Constants and Mappings'!$V$1633:$V$1644,MATCH($I1518,'Constants and Mappings'!$A$1633:$A$1644,0))</f>
        <v>0.0</v>
      </c>
      <c r="W1518" s="197">
        <f>INDEX(EFSel,MATCH($B1518&amp;"|"&amp;$J1518,EFSelKey,0))*EFCalib</f>
        <v>0.06824927438265298</v>
      </c>
      <c r="X1518" s="195">
        <f>IF(LEFT(BalOpt,3)="Bal",$AY1518*$AV1518+$AZ1518*$AX1518,$BA1518)</f>
        <v>0.0</v>
      </c>
      <c r="Y1518" s="3" t="str">
        <f>IF($G1518="sub",$H1518,IF($B1518="oop","ind","trs"))</f>
        <v>trs</v>
      </c>
      <c r="Z1518" s="39">
        <f>IFERROR(MATCH($Y1518&amp;"|"&amp;$B1518,XKey,0),1)</f>
        <v>13.0</v>
      </c>
      <c r="AA1518" s="48">
        <f>INDEX(XCTVal,$Z1518,ECPEmb)+INDEX(XETSVal,$Z1518,ECPEmb)</f>
        <v>0.0</v>
      </c>
      <c r="AB1518" s="8" t="inlineStr">
        <is>
          <t>res</t>
        </is>
      </c>
      <c r="AC1518" s="8" t="inlineStr">
        <is>
          <t>gso</t>
        </is>
      </c>
      <c r="AD1518" s="197">
        <f>IFERROR(INDEX(NCEfIn,MATCH($AB1518&amp;"."&amp;$AC1518&amp;".ch4",NCEfKey,0)),0)</f>
        <v>0.0</v>
      </c>
      <c r="AE1518" s="197">
        <f>IFERROR(INDEX(NCEfFin,MATCH($AB1518&amp;"."&amp;$AC1518&amp;".ch4",NCEfKey,0)),0)</f>
        <v>0.0</v>
      </c>
      <c r="AF1518" s="3" t="n">
        <v>0</v>
      </c>
      <c r="AG1518" s="197">
        <f>IFERROR(INDEX(NCEfIn,MATCH($AB1518&amp;"."&amp;$AC1518&amp;".pm2",NCEfKey,0)),0)</f>
        <v>0.0</v>
      </c>
      <c r="AH1518" s="197">
        <f>IFERROR(INDEX(NCEfFin,MATCH($AB1518&amp;"."&amp;$AC1518&amp;".pm2",NCEfKey,0)),0)</f>
        <v>0.0</v>
      </c>
      <c r="AI1518" s="197">
        <f>IFERROR(INDEX(NCEfIn,MATCH($AB1518&amp;"."&amp;$AC1518&amp;".nox",NCEfKey,0)),0)</f>
        <v>0.0</v>
      </c>
      <c r="AJ1518" s="197">
        <f>IFERROR(INDEX(NCEfFin,MATCH($AB1518&amp;"."&amp;$AC1518&amp;".nox",NCEfKey,0)),0)</f>
        <v>0.0</v>
      </c>
      <c r="AK1518" s="197">
        <f>IFERROR(INDEX(NCEfIn,MATCH($AB1518&amp;"."&amp;$AC1518&amp;".so2",NCEfKey,0)),0)</f>
        <v>0.0</v>
      </c>
      <c r="AL1518" s="197">
        <f>IFERROR(INDEX(NCEfFin,MATCH($AB1518&amp;"."&amp;$AC1518&amp;".so2",NCEfKey,0)),0)</f>
        <v>0.0</v>
      </c>
      <c r="AM1518" s="197">
        <f>IFERROR(INDEX(NCEfIn,MATCH($AB1518&amp;"."&amp;$AC1518&amp;".voc",NCEfKey,0)),0)</f>
        <v>0.0</v>
      </c>
      <c r="AN1518" s="197">
        <f>IFERROR(INDEX(NCEfFin,MATCH($AB1518&amp;"."&amp;$AC1518&amp;".voc",NCEfKey,0)),0)</f>
        <v>0.0</v>
      </c>
      <c r="AO1518" s="197">
        <f>IFERROR(INDEX(NCEfIn,MATCH($AB1518&amp;"."&amp;$AC1518&amp;".bc",NCEfKey,0)),0)</f>
        <v>0.0</v>
      </c>
      <c r="AP1518" s="197">
        <f>IFERROR(INDEX(NCEfFin,MATCH($AB1518&amp;"."&amp;$AC1518&amp;".bc",NCEfKey,0)),0)</f>
        <v>0.0</v>
      </c>
      <c r="AQ1518" s="197">
        <f>IFERROR(INDEX(NCEfIn,MATCH($AB1518&amp;"."&amp;$AC1518&amp;".oc",NCEfKey,0)),0)</f>
        <v>0.0</v>
      </c>
      <c r="AR1518" s="197">
        <f>IFERROR(INDEX(NCEfFin,MATCH($AB1518&amp;"."&amp;$AC1518&amp;".oc",NCEfKey,0)),0)</f>
        <v>0.0</v>
      </c>
      <c r="AS1518" s="197">
        <f>IFERROR(INDEX(NCEfIn,MATCH($AB1518&amp;"."&amp;$AC1518&amp;".co",NCEfKey,0)),0)</f>
        <v>0.0</v>
      </c>
      <c r="AT1518" s="197">
        <f>IFERROR(INDEX(NCEfFin,MATCH($AB1518&amp;"."&amp;$AC1518&amp;".co",NCEfKey,0)),0)</f>
        <v>0.0</v>
      </c>
      <c r="AU1518" s="3" t="str">
        <f>INDEX('Constants and Mappings'!$J$186:$J$201,MATCH($C1518,SubKey,0))</f>
        <v>resident</v>
      </c>
      <c r="AV1518" s="3">
        <f>INDEX('Constants and Mappings'!$K$186:$K$201,MATCH($C1518,SubKey,0))</f>
        <v>1.0</v>
      </c>
      <c r="AW1518" s="3" t="str">
        <f>INDEX('Constants and Mappings'!$L$186:$L$201,MATCH($C1518,SubKey,0))&amp;""</f>
        <v/>
      </c>
      <c r="AX1518" s="3">
        <f>INDEX('Constants and Mappings'!$M$186:$M$201,MATCH($C1518,SubKey,0))</f>
        <v>0.0</v>
      </c>
      <c r="AY1518" s="3" t="n">
        <v>0</v>
      </c>
      <c r="AZ1518" s="3" t="n">
        <v>0</v>
      </c>
      <c r="BA1518" s="3" t="n">
        <v>0</v>
      </c>
      <c r="BB1518" s="3" t="n">
        <v>0</v>
      </c>
      <c r="BC1518" s="3" t="n">
        <v>0</v>
      </c>
      <c r="BD1518" s="3">
        <f>IFERROR($BB1518/$BC1518,0)</f>
        <v>0.0</v>
      </c>
      <c r="BE1518" s="133" t="n">
        <v>1</v>
      </c>
      <c r="BF1518" s="39" t="n">
        <v>1</v>
      </c>
    </row>
    <row r="1519">
      <c r="A1519" s="3" t="str">
        <f>$B1519&amp;"|"&amp;$C1519</f>
        <v>die|res</v>
      </c>
      <c r="B1519" s="8" t="inlineStr">
        <is>
          <t>die</t>
        </is>
      </c>
      <c r="C1519" s="8" t="inlineStr">
        <is>
          <t>res</t>
        </is>
      </c>
      <c r="D1519" s="3" t="str">
        <f>INDEX('Constants and Mappings'!$D$186:$D$201,MATCH($C1519,SubKey,0))</f>
        <v>res</v>
      </c>
      <c r="E1519" s="3" t="str">
        <f>INDEX('Constants and Mappings'!$C$229:$C$237,MATCH($B1519,FuelKey,0))</f>
        <v>die</v>
      </c>
      <c r="F1519" s="3" t="str">
        <f>INDEX('Constants and Mappings'!$D$229:$D$237,MATCH($B1519,FuelKey,0))</f>
        <v>oil</v>
      </c>
      <c r="G1519" s="3" t="str">
        <f>INDEX('Constants and Mappings'!$E$229:$E$237,MATCH($B1519,FuelKey,0))</f>
        <v>all</v>
      </c>
      <c r="H1519" s="3" t="str">
        <f>INDEX('Constants and Mappings'!$F$186:$F$201,MATCH($C1519,SubKey,0))</f>
        <v>res</v>
      </c>
      <c r="I1519" s="3" t="str">
        <f>INDEX('Constants and Mappings'!$I$229:$I$237,MATCH($B1519,FuelKey,0))&amp;"."&amp;IF($G1519="sub",$H1519,"all")</f>
        <v>die.all</v>
      </c>
      <c r="J1519" s="3" t="str">
        <f>INDEX('Constants and Mappings'!$E$186:$E$201,MATCH($C1519,SubKey,0))</f>
        <v>res</v>
      </c>
      <c r="K1519" s="3">
        <f>INDEX('Constants and Mappings'!$G$229:$G$237,MATCH($B1519,FuelKey,0))</f>
        <v>0.03729519000000001</v>
      </c>
      <c r="L1519" s="3">
        <f>INDEX('Constants and Mappings'!$H$229:$H$237,MATCH($B1519,FuelKey,0))</f>
        <v>4.0</v>
      </c>
      <c r="M1519" s="3">
        <f>INDEX('Constants and Mappings'!$H$186:$H$201,MATCH($C1519,SubKey,0))</f>
        <v>6.0</v>
      </c>
      <c r="N1519" s="3">
        <f>INDEX('Constants and Mappings'!$E$300:$E$313,MATCH($I1519,'Constants and Mappings'!$A$300:$A$313,0))</f>
        <v>10.0</v>
      </c>
      <c r="O1519" s="48">
        <f>INDEX(ElaSel,MATCH("inc|"&amp;$E1519&amp;"|"&amp;$D1519,ElaSelKey,0))</f>
        <v>0.5</v>
      </c>
      <c r="P1519" s="48">
        <f>INDEX(ElaSel,MATCH("usg|"&amp;$E1519&amp;"|"&amp;$D1519,ElaSelKey,0))</f>
        <v>-0.3</v>
      </c>
      <c r="Q1519" s="48">
        <f>INDEX(ElaSel,MATCH("eff|"&amp;$E1519&amp;"|"&amp;$D1519,ElaSelKey,0))</f>
        <v>-0.3</v>
      </c>
      <c r="R1519" s="225">
        <f>INDEX(ElaSel,MATCH("aei|"&amp;$F1519&amp;"|"&amp;$D1519,ElaSelKey,0))</f>
        <v>0.005</v>
      </c>
      <c r="S1519" s="133" t="n">
        <v>2</v>
      </c>
      <c r="T1519" s="48">
        <f>$Q1519*(1+$P1519)</f>
        <v>-0.21</v>
      </c>
      <c r="U1519" s="3">
        <f>INDEX('Constants and Mappings'!$E$1633:$E$1644,MATCH($I1519,'Constants and Mappings'!$A$1633:$A$1644,0))</f>
        <v>196.0</v>
      </c>
      <c r="V1519" s="225">
        <f>INDEX('Constants and Mappings'!$V$1633:$V$1644,MATCH($I1519,'Constants and Mappings'!$A$1633:$A$1644,0))</f>
        <v>0.0</v>
      </c>
      <c r="W1519" s="197">
        <f>INDEX(EFSel,MATCH($B1519&amp;"|"&amp;$J1519,EFSelKey,0))*EFCalib</f>
        <v>0.07307266778042053</v>
      </c>
      <c r="X1519" s="195">
        <f>IF(LEFT(BalOpt,3)="Bal",$AY1519*$AV1519+$AZ1519*$AX1519,$BA1519)</f>
        <v>0.0</v>
      </c>
      <c r="Y1519" s="3" t="str">
        <f>IF($G1519="sub",$H1519,IF($B1519="oop","ind","trs"))</f>
        <v>trs</v>
      </c>
      <c r="Z1519" s="39">
        <f>IFERROR(MATCH($Y1519&amp;"|"&amp;$B1519,XKey,0),1)</f>
        <v>14.0</v>
      </c>
      <c r="AA1519" s="48">
        <f>INDEX(XCTVal,$Z1519,ECPEmb)+INDEX(XETSVal,$Z1519,ECPEmb)</f>
        <v>0.0</v>
      </c>
      <c r="AB1519" s="8" t="inlineStr">
        <is>
          <t>res</t>
        </is>
      </c>
      <c r="AC1519" s="8" t="inlineStr">
        <is>
          <t>die</t>
        </is>
      </c>
      <c r="AD1519" s="197">
        <f>IFERROR(INDEX(NCEfIn,MATCH($AB1519&amp;"."&amp;$AC1519&amp;".ch4",NCEfKey,0)),0)</f>
        <v>0.0</v>
      </c>
      <c r="AE1519" s="197">
        <f>IFERROR(INDEX(NCEfFin,MATCH($AB1519&amp;"."&amp;$AC1519&amp;".ch4",NCEfKey,0)),0)</f>
        <v>0.0</v>
      </c>
      <c r="AF1519" s="3" t="n">
        <v>0</v>
      </c>
      <c r="AG1519" s="197">
        <f>IFERROR(INDEX(NCEfIn,MATCH($AB1519&amp;"."&amp;$AC1519&amp;".pm2",NCEfKey,0)),0)</f>
        <v>0.0</v>
      </c>
      <c r="AH1519" s="197">
        <f>IFERROR(INDEX(NCEfFin,MATCH($AB1519&amp;"."&amp;$AC1519&amp;".pm2",NCEfKey,0)),0)</f>
        <v>0.0</v>
      </c>
      <c r="AI1519" s="197">
        <f>IFERROR(INDEX(NCEfIn,MATCH($AB1519&amp;"."&amp;$AC1519&amp;".nox",NCEfKey,0)),0)</f>
        <v>0.0</v>
      </c>
      <c r="AJ1519" s="197">
        <f>IFERROR(INDEX(NCEfFin,MATCH($AB1519&amp;"."&amp;$AC1519&amp;".nox",NCEfKey,0)),0)</f>
        <v>0.0</v>
      </c>
      <c r="AK1519" s="197">
        <f>IFERROR(INDEX(NCEfIn,MATCH($AB1519&amp;"."&amp;$AC1519&amp;".so2",NCEfKey,0)),0)</f>
        <v>0.0</v>
      </c>
      <c r="AL1519" s="197">
        <f>IFERROR(INDEX(NCEfFin,MATCH($AB1519&amp;"."&amp;$AC1519&amp;".so2",NCEfKey,0)),0)</f>
        <v>0.0</v>
      </c>
      <c r="AM1519" s="197">
        <f>IFERROR(INDEX(NCEfIn,MATCH($AB1519&amp;"."&amp;$AC1519&amp;".voc",NCEfKey,0)),0)</f>
        <v>0.0</v>
      </c>
      <c r="AN1519" s="197">
        <f>IFERROR(INDEX(NCEfFin,MATCH($AB1519&amp;"."&amp;$AC1519&amp;".voc",NCEfKey,0)),0)</f>
        <v>0.0</v>
      </c>
      <c r="AO1519" s="197">
        <f>IFERROR(INDEX(NCEfIn,MATCH($AB1519&amp;"."&amp;$AC1519&amp;".bc",NCEfKey,0)),0)</f>
        <v>0.0</v>
      </c>
      <c r="AP1519" s="197">
        <f>IFERROR(INDEX(NCEfFin,MATCH($AB1519&amp;"."&amp;$AC1519&amp;".bc",NCEfKey,0)),0)</f>
        <v>0.0</v>
      </c>
      <c r="AQ1519" s="197">
        <f>IFERROR(INDEX(NCEfIn,MATCH($AB1519&amp;"."&amp;$AC1519&amp;".oc",NCEfKey,0)),0)</f>
        <v>0.0</v>
      </c>
      <c r="AR1519" s="197">
        <f>IFERROR(INDEX(NCEfFin,MATCH($AB1519&amp;"."&amp;$AC1519&amp;".oc",NCEfKey,0)),0)</f>
        <v>0.0</v>
      </c>
      <c r="AS1519" s="197">
        <f>IFERROR(INDEX(NCEfIn,MATCH($AB1519&amp;"."&amp;$AC1519&amp;".co",NCEfKey,0)),0)</f>
        <v>0.0</v>
      </c>
      <c r="AT1519" s="197">
        <f>IFERROR(INDEX(NCEfFin,MATCH($AB1519&amp;"."&amp;$AC1519&amp;".co",NCEfKey,0)),0)</f>
        <v>0.0</v>
      </c>
      <c r="AU1519" s="3" t="str">
        <f>INDEX('Constants and Mappings'!$J$186:$J$201,MATCH($C1519,SubKey,0))</f>
        <v>resident</v>
      </c>
      <c r="AV1519" s="3">
        <f>INDEX('Constants and Mappings'!$K$186:$K$201,MATCH($C1519,SubKey,0))</f>
        <v>1.0</v>
      </c>
      <c r="AW1519" s="3" t="str">
        <f>INDEX('Constants and Mappings'!$L$186:$L$201,MATCH($C1519,SubKey,0))&amp;""</f>
        <v/>
      </c>
      <c r="AX1519" s="3">
        <f>INDEX('Constants and Mappings'!$M$186:$M$201,MATCH($C1519,SubKey,0))</f>
        <v>0.0</v>
      </c>
      <c r="AY1519" s="3" t="n">
        <v>0</v>
      </c>
      <c r="AZ1519" s="3" t="n">
        <v>0</v>
      </c>
      <c r="BA1519" s="3" t="n">
        <v>0</v>
      </c>
      <c r="BB1519" s="3" t="n">
        <v>0</v>
      </c>
      <c r="BC1519" s="3" t="n">
        <v>0</v>
      </c>
      <c r="BD1519" s="3">
        <f>IFERROR($BB1519/$BC1519,0)</f>
        <v>0.0</v>
      </c>
      <c r="BE1519" s="133" t="n">
        <v>1</v>
      </c>
      <c r="BF1519" s="39" t="n">
        <v>1</v>
      </c>
    </row>
    <row r="1520">
      <c r="A1520" s="3" t="str">
        <f>$B1520&amp;"|"&amp;$C1520</f>
        <v>lpg|res</v>
      </c>
      <c r="B1520" s="8" t="inlineStr">
        <is>
          <t>lpg</t>
        </is>
      </c>
      <c r="C1520" s="8" t="inlineStr">
        <is>
          <t>res</t>
        </is>
      </c>
      <c r="D1520" s="3" t="str">
        <f>INDEX('Constants and Mappings'!$D$186:$D$201,MATCH($C1520,SubKey,0))</f>
        <v>res</v>
      </c>
      <c r="E1520" s="3" t="str">
        <f>INDEX('Constants and Mappings'!$C$229:$C$237,MATCH($B1520,FuelKey,0))</f>
        <v>oil</v>
      </c>
      <c r="F1520" s="3" t="str">
        <f>INDEX('Constants and Mappings'!$D$229:$D$237,MATCH($B1520,FuelKey,0))</f>
        <v>oil</v>
      </c>
      <c r="G1520" s="3" t="str">
        <f>INDEX('Constants and Mappings'!$E$229:$E$237,MATCH($B1520,FuelKey,0))</f>
        <v>all</v>
      </c>
      <c r="H1520" s="3" t="str">
        <f>INDEX('Constants and Mappings'!$F$186:$F$201,MATCH($C1520,SubKey,0))</f>
        <v>res</v>
      </c>
      <c r="I1520" s="3" t="str">
        <f>INDEX('Constants and Mappings'!$I$229:$I$237,MATCH($B1520,FuelKey,0))&amp;"."&amp;IF($G1520="sub",$H1520,"all")</f>
        <v>lpg.all</v>
      </c>
      <c r="J1520" s="3" t="str">
        <f>INDEX('Constants and Mappings'!$E$186:$E$201,MATCH($C1520,SubKey,0))</f>
        <v>res</v>
      </c>
      <c r="K1520" s="3">
        <f>INDEX('Constants and Mappings'!$G$229:$G$237,MATCH($B1520,FuelKey,0))</f>
        <v>0.02577968854495125</v>
      </c>
      <c r="L1520" s="3">
        <f>INDEX('Constants and Mappings'!$H$229:$H$237,MATCH($B1520,FuelKey,0))</f>
        <v>5.0</v>
      </c>
      <c r="M1520" s="3">
        <f>INDEX('Constants and Mappings'!$H$186:$H$201,MATCH($C1520,SubKey,0))</f>
        <v>6.0</v>
      </c>
      <c r="N1520" s="3">
        <f>INDEX('Constants and Mappings'!$E$300:$E$313,MATCH($I1520,'Constants and Mappings'!$A$300:$A$313,0))</f>
        <v>11.0</v>
      </c>
      <c r="O1520" s="48">
        <f>INDEX(ElaSel,MATCH("inc|"&amp;$E1520&amp;"|"&amp;$D1520,ElaSelKey,0))</f>
        <v>0.5</v>
      </c>
      <c r="P1520" s="48">
        <f>INDEX(ElaSel,MATCH("usg|"&amp;$E1520&amp;"|"&amp;$D1520,ElaSelKey,0))</f>
        <v>-0.3</v>
      </c>
      <c r="Q1520" s="48">
        <f>INDEX(ElaSel,MATCH("eff|"&amp;$E1520&amp;"|"&amp;$D1520,ElaSelKey,0))</f>
        <v>-0.4</v>
      </c>
      <c r="R1520" s="225">
        <f>INDEX(ElaSel,MATCH("aei|"&amp;$F1520&amp;"|"&amp;$D1520,ElaSelKey,0))</f>
        <v>0.005</v>
      </c>
      <c r="S1520" s="133" t="n">
        <v>2</v>
      </c>
      <c r="T1520" s="48">
        <f>$Q1520*(1+$P1520)</f>
        <v>-0.27999999999999997</v>
      </c>
      <c r="U1520" s="3">
        <f>INDEX('Constants and Mappings'!$E$1633:$E$1644,MATCH($I1520,'Constants and Mappings'!$A$1633:$A$1644,0))</f>
        <v>225.0</v>
      </c>
      <c r="V1520" s="225">
        <f>INDEX('Constants and Mappings'!$V$1633:$V$1644,MATCH($I1520,'Constants and Mappings'!$A$1633:$A$1644,0))</f>
        <v>0.0</v>
      </c>
      <c r="W1520" s="197">
        <f>INDEX(EFSel,MATCH($B1520&amp;"|"&amp;$J1520,EFSelKey,0))*EFCalib</f>
        <v>0.06829407370213687</v>
      </c>
      <c r="X1520" s="195">
        <f>IF(LEFT(BalOpt,3)="Bal",$AY1520*$AV1520+$AZ1520*$AX1520,$BA1520)</f>
        <v>3039.04374235591</v>
      </c>
      <c r="Y1520" s="3" t="str">
        <f>IF($G1520="sub",$H1520,IF($B1520="oop","ind","trs"))</f>
        <v>trs</v>
      </c>
      <c r="Z1520" s="39">
        <f>IFERROR(MATCH($Y1520&amp;"|"&amp;$B1520,XKey,0),1)</f>
        <v>15.0</v>
      </c>
      <c r="AA1520" s="48">
        <f>INDEX(XCTVal,$Z1520,ECPEmb)+INDEX(XETSVal,$Z1520,ECPEmb)</f>
        <v>0.0</v>
      </c>
      <c r="AB1520" s="8" t="inlineStr">
        <is>
          <t>res</t>
        </is>
      </c>
      <c r="AC1520" s="8" t="inlineStr">
        <is>
          <t>lpg</t>
        </is>
      </c>
      <c r="AD1520" s="197">
        <f>IFERROR(INDEX(NCEfIn,MATCH($AB1520&amp;"."&amp;$AC1520&amp;".ch4",NCEfKey,0)),0)</f>
        <v>0.041868</v>
      </c>
      <c r="AE1520" s="197">
        <f>IFERROR(INDEX(NCEfFin,MATCH($AB1520&amp;"."&amp;$AC1520&amp;".ch4",NCEfKey,0)),0)</f>
        <v>0.041868</v>
      </c>
      <c r="AF1520" s="3" t="n">
        <v>0</v>
      </c>
      <c r="AG1520" s="197">
        <f>IFERROR(INDEX(NCEfIn,MATCH($AB1520&amp;"."&amp;$AC1520&amp;".pm2",NCEfKey,0)),0)</f>
        <v>0.0125604</v>
      </c>
      <c r="AH1520" s="197">
        <f>IFERROR(INDEX(NCEfFin,MATCH($AB1520&amp;"."&amp;$AC1520&amp;".pm2",NCEfKey,0)),0)</f>
        <v>0.0125604</v>
      </c>
      <c r="AI1520" s="197">
        <f>IFERROR(INDEX(NCEfIn,MATCH($AB1520&amp;"."&amp;$AC1520&amp;".nox",NCEfKey,0)),0)</f>
        <v>2.51208</v>
      </c>
      <c r="AJ1520" s="197">
        <f>IFERROR(INDEX(NCEfFin,MATCH($AB1520&amp;"."&amp;$AC1520&amp;".nox",NCEfKey,0)),0)</f>
        <v>2.51208</v>
      </c>
      <c r="AK1520" s="197">
        <f>IFERROR(INDEX(NCEfIn,MATCH($AB1520&amp;"."&amp;$AC1520&amp;".so2",NCEfKey,0)),0)</f>
        <v>0.0</v>
      </c>
      <c r="AL1520" s="197">
        <f>IFERROR(INDEX(NCEfFin,MATCH($AB1520&amp;"."&amp;$AC1520&amp;".so2",NCEfKey,0)),0)</f>
        <v>0.0</v>
      </c>
      <c r="AM1520" s="197">
        <f>IFERROR(INDEX(NCEfIn,MATCH($AB1520&amp;"."&amp;$AC1520&amp;".voc",NCEfKey,0)),0)</f>
        <v>0.125604</v>
      </c>
      <c r="AN1520" s="197">
        <f>IFERROR(INDEX(NCEfFin,MATCH($AB1520&amp;"."&amp;$AC1520&amp;".voc",NCEfKey,0)),0)</f>
        <v>0.125604</v>
      </c>
      <c r="AO1520" s="197">
        <f>IFERROR(INDEX(NCEfIn,MATCH($AB1520&amp;"."&amp;$AC1520&amp;".bc",NCEfKey,0)),0)</f>
        <v>0.0008415468</v>
      </c>
      <c r="AP1520" s="197">
        <f>IFERROR(INDEX(NCEfFin,MATCH($AB1520&amp;"."&amp;$AC1520&amp;".bc",NCEfKey,0)),0)</f>
        <v>0.0008415468</v>
      </c>
      <c r="AQ1520" s="197">
        <f>IFERROR(INDEX(NCEfIn,MATCH($AB1520&amp;"."&amp;$AC1520&amp;".oc",NCEfKey,0)),0)</f>
        <v>0.0</v>
      </c>
      <c r="AR1520" s="197">
        <f>IFERROR(INDEX(NCEfFin,MATCH($AB1520&amp;"."&amp;$AC1520&amp;".oc",NCEfKey,0)),0)</f>
        <v>0.0</v>
      </c>
      <c r="AS1520" s="197">
        <f>IFERROR(INDEX(NCEfIn,MATCH($AB1520&amp;"."&amp;$AC1520&amp;".co",NCEfKey,0)),0)</f>
        <v>1.67472</v>
      </c>
      <c r="AT1520" s="197">
        <f>IFERROR(INDEX(NCEfFin,MATCH($AB1520&amp;"."&amp;$AC1520&amp;".co",NCEfKey,0)),0)</f>
        <v>1.67472</v>
      </c>
      <c r="AU1520" s="3" t="str">
        <f>INDEX('Constants and Mappings'!$J$186:$J$201,MATCH($C1520,SubKey,0))</f>
        <v>resident</v>
      </c>
      <c r="AV1520" s="3">
        <f>INDEX('Constants and Mappings'!$K$186:$K$201,MATCH($C1520,SubKey,0))</f>
        <v>1.0</v>
      </c>
      <c r="AW1520" s="3" t="str">
        <f>INDEX('Constants and Mappings'!$L$186:$L$201,MATCH($C1520,SubKey,0))&amp;""</f>
        <v/>
      </c>
      <c r="AX1520" s="3">
        <f>INDEX('Constants and Mappings'!$M$186:$M$201,MATCH($C1520,SubKey,0))</f>
        <v>0.0</v>
      </c>
      <c r="AY1520" s="3" t="n">
        <v>3039.04374235591</v>
      </c>
      <c r="AZ1520" s="3" t="n">
        <v>0</v>
      </c>
      <c r="BA1520" s="3" t="n">
        <v>3039.04374235591</v>
      </c>
      <c r="BB1520" s="3" t="n">
        <v>0</v>
      </c>
      <c r="BC1520" s="3" t="n">
        <v>0</v>
      </c>
      <c r="BD1520" s="3">
        <f>IFERROR($BB1520/$BC1520,0)</f>
        <v>0.0</v>
      </c>
      <c r="BE1520" s="133" t="n">
        <v>2</v>
      </c>
      <c r="BF1520" s="39" t="n">
        <v>3</v>
      </c>
    </row>
    <row r="1521">
      <c r="A1521" s="3" t="str">
        <f>$B1521&amp;"|"&amp;$C1521</f>
        <v>ker|res</v>
      </c>
      <c r="B1521" s="8" t="inlineStr">
        <is>
          <t>ker</t>
        </is>
      </c>
      <c r="C1521" s="8" t="inlineStr">
        <is>
          <t>res</t>
        </is>
      </c>
      <c r="D1521" s="3" t="str">
        <f>INDEX('Constants and Mappings'!$D$186:$D$201,MATCH($C1521,SubKey,0))</f>
        <v>res</v>
      </c>
      <c r="E1521" s="3" t="str">
        <f>INDEX('Constants and Mappings'!$C$229:$C$237,MATCH($B1521,FuelKey,0))</f>
        <v>oil</v>
      </c>
      <c r="F1521" s="3" t="str">
        <f>INDEX('Constants and Mappings'!$D$229:$D$237,MATCH($B1521,FuelKey,0))</f>
        <v>oil</v>
      </c>
      <c r="G1521" s="3" t="str">
        <f>INDEX('Constants and Mappings'!$E$229:$E$237,MATCH($B1521,FuelKey,0))</f>
        <v>all</v>
      </c>
      <c r="H1521" s="3" t="str">
        <f>INDEX('Constants and Mappings'!$F$186:$F$201,MATCH($C1521,SubKey,0))</f>
        <v>res</v>
      </c>
      <c r="I1521" s="3" t="str">
        <f>INDEX('Constants and Mappings'!$I$229:$I$237,MATCH($B1521,FuelKey,0))&amp;"."&amp;IF($G1521="sub",$H1521,"all")</f>
        <v>ker.all</v>
      </c>
      <c r="J1521" s="3" t="str">
        <f>INDEX('Constants and Mappings'!$E$186:$E$201,MATCH($C1521,SubKey,0))</f>
        <v>res</v>
      </c>
      <c r="K1521" s="3">
        <f>INDEX('Constants and Mappings'!$G$229:$G$237,MATCH($B1521,FuelKey,0))</f>
        <v>0.03774882965510715</v>
      </c>
      <c r="L1521" s="3">
        <f>INDEX('Constants and Mappings'!$H$229:$H$237,MATCH($B1521,FuelKey,0))</f>
        <v>6.0</v>
      </c>
      <c r="M1521" s="3">
        <f>INDEX('Constants and Mappings'!$H$186:$H$201,MATCH($C1521,SubKey,0))</f>
        <v>6.0</v>
      </c>
      <c r="N1521" s="3">
        <f>INDEX('Constants and Mappings'!$E$300:$E$313,MATCH($I1521,'Constants and Mappings'!$A$300:$A$313,0))</f>
        <v>12.0</v>
      </c>
      <c r="O1521" s="48">
        <f>INDEX(ElaSel,MATCH("inc|"&amp;$E1521&amp;"|"&amp;$D1521,ElaSelKey,0))</f>
        <v>0.5</v>
      </c>
      <c r="P1521" s="48">
        <f>INDEX(ElaSel,MATCH("usg|"&amp;$E1521&amp;"|"&amp;$D1521,ElaSelKey,0))</f>
        <v>-0.3</v>
      </c>
      <c r="Q1521" s="48">
        <f>INDEX(ElaSel,MATCH("eff|"&amp;$E1521&amp;"|"&amp;$D1521,ElaSelKey,0))</f>
        <v>-0.4</v>
      </c>
      <c r="R1521" s="225">
        <f>INDEX(ElaSel,MATCH("aei|"&amp;$F1521&amp;"|"&amp;$D1521,ElaSelKey,0))</f>
        <v>0.005</v>
      </c>
      <c r="S1521" s="133" t="n">
        <v>2</v>
      </c>
      <c r="T1521" s="48">
        <f>$Q1521*(1+$P1521)</f>
        <v>-0.27999999999999997</v>
      </c>
      <c r="U1521" s="3">
        <f>INDEX('Constants and Mappings'!$E$1633:$E$1644,MATCH($I1521,'Constants and Mappings'!$A$1633:$A$1644,0))</f>
        <v>254.0</v>
      </c>
      <c r="V1521" s="225">
        <f>INDEX('Constants and Mappings'!$V$1633:$V$1644,MATCH($I1521,'Constants and Mappings'!$A$1633:$A$1644,0))</f>
        <v>0.0</v>
      </c>
      <c r="W1521" s="197">
        <f>INDEX(EFSel,MATCH($B1521&amp;"|"&amp;$J1521,EFSelKey,0))*EFCalib</f>
        <v>0.06824927438265298</v>
      </c>
      <c r="X1521" s="195">
        <f>IF(LEFT(BalOpt,3)="Bal",$AY1521*$AV1521+$AZ1521*$AX1521,$BA1521)</f>
        <v>2.649308102035475</v>
      </c>
      <c r="Y1521" s="3" t="str">
        <f>IF($G1521="sub",$H1521,IF($B1521="oop","ind","trs"))</f>
        <v>trs</v>
      </c>
      <c r="Z1521" s="39">
        <f>IFERROR(MATCH($Y1521&amp;"|"&amp;$B1521,XKey,0),1)</f>
        <v>16.0</v>
      </c>
      <c r="AA1521" s="48">
        <f>INDEX(XCTVal,$Z1521,ECPEmb)+INDEX(XETSVal,$Z1521,ECPEmb)</f>
        <v>0.0</v>
      </c>
      <c r="AB1521" s="8" t="inlineStr">
        <is>
          <t>res</t>
        </is>
      </c>
      <c r="AC1521" s="8" t="inlineStr">
        <is>
          <t>ker</t>
        </is>
      </c>
      <c r="AD1521" s="197">
        <f>IFERROR(INDEX(NCEfIn,MATCH($AB1521&amp;"."&amp;$AC1521&amp;".ch4",NCEfKey,0)),0)</f>
        <v>0.1259012628</v>
      </c>
      <c r="AE1521" s="197">
        <f>IFERROR(INDEX(NCEfFin,MATCH($AB1521&amp;"."&amp;$AC1521&amp;".ch4",NCEfKey,0)),0)</f>
        <v>0.125604</v>
      </c>
      <c r="AF1521" s="3" t="n">
        <v>0</v>
      </c>
      <c r="AG1521" s="197">
        <f>IFERROR(INDEX(NCEfIn,MATCH($AB1521&amp;"."&amp;$AC1521&amp;".pm2",NCEfKey,0)),0)</f>
        <v>1.4763326688</v>
      </c>
      <c r="AH1521" s="197">
        <f>IFERROR(INDEX(NCEfFin,MATCH($AB1521&amp;"."&amp;$AC1521&amp;".pm2",NCEfKey,0)),0)</f>
        <v>1.1945484684</v>
      </c>
      <c r="AI1521" s="197">
        <f>IFERROR(INDEX(NCEfIn,MATCH($AB1521&amp;"."&amp;$AC1521&amp;".nox",NCEfKey,0)),0)</f>
        <v>2.51208</v>
      </c>
      <c r="AJ1521" s="197">
        <f>IFERROR(INDEX(NCEfFin,MATCH($AB1521&amp;"."&amp;$AC1521&amp;".nox",NCEfKey,0)),0)</f>
        <v>2.4853975236</v>
      </c>
      <c r="AK1521" s="197">
        <f>IFERROR(INDEX(NCEfIn,MATCH($AB1521&amp;"."&amp;$AC1521&amp;".so2",NCEfKey,0)),0)</f>
        <v>0.397725066</v>
      </c>
      <c r="AL1521" s="197">
        <f>IFERROR(INDEX(NCEfFin,MATCH($AB1521&amp;"."&amp;$AC1521&amp;".so2",NCEfKey,0)),0)</f>
        <v>0.3225217644</v>
      </c>
      <c r="AM1521" s="197">
        <f>IFERROR(INDEX(NCEfIn,MATCH($AB1521&amp;"."&amp;$AC1521&amp;".voc",NCEfKey,0)),0)</f>
        <v>0.08878528079999999</v>
      </c>
      <c r="AN1521" s="197">
        <f>IFERROR(INDEX(NCEfFin,MATCH($AB1521&amp;"."&amp;$AC1521&amp;".voc",NCEfKey,0)),0)</f>
        <v>0.083736</v>
      </c>
      <c r="AO1521" s="197">
        <f>IFERROR(INDEX(NCEfIn,MATCH($AB1521&amp;"."&amp;$AC1521&amp;".bc",NCEfKey,0)),0)</f>
        <v>1.2161272356</v>
      </c>
      <c r="AP1521" s="197">
        <f>IFERROR(INDEX(NCEfFin,MATCH($AB1521&amp;"."&amp;$AC1521&amp;".bc",NCEfKey,0)),0)</f>
        <v>0.9556371000000001</v>
      </c>
      <c r="AQ1521" s="197">
        <f>IFERROR(INDEX(NCEfIn,MATCH($AB1521&amp;"."&amp;$AC1521&amp;".oc",NCEfKey,0)),0)</f>
        <v>0.1791824796</v>
      </c>
      <c r="AR1521" s="197">
        <f>IFERROR(INDEX(NCEfFin,MATCH($AB1521&amp;"."&amp;$AC1521&amp;".oc",NCEfKey,0)),0)</f>
        <v>0.1733083992</v>
      </c>
      <c r="AS1521" s="197">
        <f>IFERROR(INDEX(NCEfIn,MATCH($AB1521&amp;"."&amp;$AC1521&amp;".co",NCEfKey,0)),0)</f>
        <v>1.7138623932</v>
      </c>
      <c r="AT1521" s="197">
        <f>IFERROR(INDEX(NCEfFin,MATCH($AB1521&amp;"."&amp;$AC1521&amp;".co",NCEfKey,0)),0)</f>
        <v>1.67472</v>
      </c>
      <c r="AU1521" s="3" t="str">
        <f>INDEX('Constants and Mappings'!$J$186:$J$201,MATCH($C1521,SubKey,0))</f>
        <v>resident</v>
      </c>
      <c r="AV1521" s="3">
        <f>INDEX('Constants and Mappings'!$K$186:$K$201,MATCH($C1521,SubKey,0))</f>
        <v>1.0</v>
      </c>
      <c r="AW1521" s="3" t="str">
        <f>INDEX('Constants and Mappings'!$L$186:$L$201,MATCH($C1521,SubKey,0))&amp;""</f>
        <v/>
      </c>
      <c r="AX1521" s="3">
        <f>INDEX('Constants and Mappings'!$M$186:$M$201,MATCH($C1521,SubKey,0))</f>
        <v>0.0</v>
      </c>
      <c r="AY1521" s="3" t="n">
        <v>2.649308102035475</v>
      </c>
      <c r="AZ1521" s="3" t="n">
        <v>0</v>
      </c>
      <c r="BA1521" s="3" t="n">
        <v>2.649308102035475</v>
      </c>
      <c r="BB1521" s="3" t="n">
        <v>0</v>
      </c>
      <c r="BC1521" s="3" t="n">
        <v>0</v>
      </c>
      <c r="BD1521" s="3">
        <f>IFERROR($BB1521/$BC1521,0)</f>
        <v>0.0</v>
      </c>
      <c r="BE1521" s="133" t="n">
        <v>2</v>
      </c>
      <c r="BF1521" s="39" t="n">
        <v>4</v>
      </c>
    </row>
    <row r="1522">
      <c r="A1522" s="3" t="str">
        <f>$B1522&amp;"|"&amp;$C1522</f>
        <v>jfu|res</v>
      </c>
      <c r="B1522" s="8" t="inlineStr">
        <is>
          <t>jfu</t>
        </is>
      </c>
      <c r="C1522" s="8" t="inlineStr">
        <is>
          <t>res</t>
        </is>
      </c>
      <c r="D1522" s="3" t="str">
        <f>INDEX('Constants and Mappings'!$D$186:$D$201,MATCH($C1522,SubKey,0))</f>
        <v>res</v>
      </c>
      <c r="E1522" s="3" t="str">
        <f>INDEX('Constants and Mappings'!$C$229:$C$237,MATCH($B1522,FuelKey,0))</f>
        <v>oil</v>
      </c>
      <c r="F1522" s="3" t="str">
        <f>INDEX('Constants and Mappings'!$D$229:$D$237,MATCH($B1522,FuelKey,0))</f>
        <v>oil</v>
      </c>
      <c r="G1522" s="3" t="str">
        <f>INDEX('Constants and Mappings'!$E$229:$E$237,MATCH($B1522,FuelKey,0))</f>
        <v>all</v>
      </c>
      <c r="H1522" s="3" t="str">
        <f>INDEX('Constants and Mappings'!$F$186:$F$201,MATCH($C1522,SubKey,0))</f>
        <v>res</v>
      </c>
      <c r="I1522" s="3" t="str">
        <f>INDEX('Constants and Mappings'!$I$229:$I$237,MATCH($B1522,FuelKey,0))&amp;"."&amp;IF($G1522="sub",$H1522,"all")</f>
        <v>ker.all</v>
      </c>
      <c r="J1522" s="3" t="str">
        <f>INDEX('Constants and Mappings'!$E$186:$E$201,MATCH($C1522,SubKey,0))</f>
        <v>res</v>
      </c>
      <c r="K1522" s="3">
        <f>INDEX('Constants and Mappings'!$G$229:$G$237,MATCH($B1522,FuelKey,0))</f>
        <v>0.0348608</v>
      </c>
      <c r="L1522" s="3">
        <f>INDEX('Constants and Mappings'!$H$229:$H$237,MATCH($B1522,FuelKey,0))</f>
        <v>7.0</v>
      </c>
      <c r="M1522" s="3">
        <f>INDEX('Constants and Mappings'!$H$186:$H$201,MATCH($C1522,SubKey,0))</f>
        <v>6.0</v>
      </c>
      <c r="N1522" s="3">
        <f>INDEX('Constants and Mappings'!$E$300:$E$313,MATCH($I1522,'Constants and Mappings'!$A$300:$A$313,0))</f>
        <v>12.0</v>
      </c>
      <c r="O1522" s="48">
        <f>INDEX(ElaSel,MATCH("inc|"&amp;$E1522&amp;"|"&amp;$D1522,ElaSelKey,0))</f>
        <v>0.5</v>
      </c>
      <c r="P1522" s="48">
        <f>INDEX(ElaSel,MATCH("usg|"&amp;$E1522&amp;"|"&amp;$D1522,ElaSelKey,0))</f>
        <v>-0.3</v>
      </c>
      <c r="Q1522" s="48">
        <f>INDEX(ElaSel,MATCH("eff|"&amp;$E1522&amp;"|"&amp;$D1522,ElaSelKey,0))</f>
        <v>-0.4</v>
      </c>
      <c r="R1522" s="225">
        <f>INDEX(ElaSel,MATCH("aei|"&amp;$F1522&amp;"|"&amp;$D1522,ElaSelKey,0))</f>
        <v>0.005</v>
      </c>
      <c r="S1522" s="133" t="n">
        <v>2</v>
      </c>
      <c r="T1522" s="48">
        <f>$Q1522*(1+$P1522)</f>
        <v>-0.27999999999999997</v>
      </c>
      <c r="U1522" s="3">
        <f>INDEX('Constants and Mappings'!$E$1633:$E$1644,MATCH($I1522,'Constants and Mappings'!$A$1633:$A$1644,0))</f>
        <v>254.0</v>
      </c>
      <c r="V1522" s="225">
        <f>INDEX('Constants and Mappings'!$V$1633:$V$1644,MATCH($I1522,'Constants and Mappings'!$A$1633:$A$1644,0))</f>
        <v>0.0</v>
      </c>
      <c r="W1522" s="197">
        <f>INDEX(EFSel,MATCH($B1522&amp;"|"&amp;$J1522,EFSelKey,0))*EFCalib</f>
        <v>0.07118114095776658</v>
      </c>
      <c r="X1522" s="195">
        <f>IF(LEFT(BalOpt,3)="Bal",$AY1522*$AV1522+$AZ1522*$AX1522,$BA1522)</f>
        <v>0.0</v>
      </c>
      <c r="Y1522" s="3" t="str">
        <f>IF($G1522="sub",$H1522,IF($B1522="oop","ind","trs"))</f>
        <v>trs</v>
      </c>
      <c r="Z1522" s="39">
        <f>IFERROR(MATCH($Y1522&amp;"|"&amp;$B1522,XKey,0),1)</f>
        <v>17.0</v>
      </c>
      <c r="AA1522" s="48">
        <f>INDEX(XCTVal,$Z1522,ECPEmb)+INDEX(XETSVal,$Z1522,ECPEmb)</f>
        <v>0.0</v>
      </c>
      <c r="AB1522" s="8" t="inlineStr">
        <is>
          <t>res</t>
        </is>
      </c>
      <c r="AC1522" s="8" t="inlineStr">
        <is>
          <t>jfu</t>
        </is>
      </c>
      <c r="AD1522" s="197">
        <f>IFERROR(INDEX(NCEfIn,MATCH($AB1522&amp;"."&amp;$AC1522&amp;".ch4",NCEfKey,0)),0)</f>
        <v>0.0</v>
      </c>
      <c r="AE1522" s="197">
        <f>IFERROR(INDEX(NCEfFin,MATCH($AB1522&amp;"."&amp;$AC1522&amp;".ch4",NCEfKey,0)),0)</f>
        <v>0.0</v>
      </c>
      <c r="AF1522" s="3" t="n">
        <v>0</v>
      </c>
      <c r="AG1522" s="197">
        <f>IFERROR(INDEX(NCEfIn,MATCH($AB1522&amp;"."&amp;$AC1522&amp;".pm2",NCEfKey,0)),0)</f>
        <v>0.0</v>
      </c>
      <c r="AH1522" s="197">
        <f>IFERROR(INDEX(NCEfFin,MATCH($AB1522&amp;"."&amp;$AC1522&amp;".pm2",NCEfKey,0)),0)</f>
        <v>0.0</v>
      </c>
      <c r="AI1522" s="197">
        <f>IFERROR(INDEX(NCEfIn,MATCH($AB1522&amp;"."&amp;$AC1522&amp;".nox",NCEfKey,0)),0)</f>
        <v>0.0</v>
      </c>
      <c r="AJ1522" s="197">
        <f>IFERROR(INDEX(NCEfFin,MATCH($AB1522&amp;"."&amp;$AC1522&amp;".nox",NCEfKey,0)),0)</f>
        <v>0.0</v>
      </c>
      <c r="AK1522" s="197">
        <f>IFERROR(INDEX(NCEfIn,MATCH($AB1522&amp;"."&amp;$AC1522&amp;".so2",NCEfKey,0)),0)</f>
        <v>0.0</v>
      </c>
      <c r="AL1522" s="197">
        <f>IFERROR(INDEX(NCEfFin,MATCH($AB1522&amp;"."&amp;$AC1522&amp;".so2",NCEfKey,0)),0)</f>
        <v>0.0</v>
      </c>
      <c r="AM1522" s="197">
        <f>IFERROR(INDEX(NCEfIn,MATCH($AB1522&amp;"."&amp;$AC1522&amp;".voc",NCEfKey,0)),0)</f>
        <v>0.0</v>
      </c>
      <c r="AN1522" s="197">
        <f>IFERROR(INDEX(NCEfFin,MATCH($AB1522&amp;"."&amp;$AC1522&amp;".voc",NCEfKey,0)),0)</f>
        <v>0.0</v>
      </c>
      <c r="AO1522" s="197">
        <f>IFERROR(INDEX(NCEfIn,MATCH($AB1522&amp;"."&amp;$AC1522&amp;".bc",NCEfKey,0)),0)</f>
        <v>0.0</v>
      </c>
      <c r="AP1522" s="197">
        <f>IFERROR(INDEX(NCEfFin,MATCH($AB1522&amp;"."&amp;$AC1522&amp;".bc",NCEfKey,0)),0)</f>
        <v>0.0</v>
      </c>
      <c r="AQ1522" s="197">
        <f>IFERROR(INDEX(NCEfIn,MATCH($AB1522&amp;"."&amp;$AC1522&amp;".oc",NCEfKey,0)),0)</f>
        <v>0.0</v>
      </c>
      <c r="AR1522" s="197">
        <f>IFERROR(INDEX(NCEfFin,MATCH($AB1522&amp;"."&amp;$AC1522&amp;".oc",NCEfKey,0)),0)</f>
        <v>0.0</v>
      </c>
      <c r="AS1522" s="197">
        <f>IFERROR(INDEX(NCEfIn,MATCH($AB1522&amp;"."&amp;$AC1522&amp;".co",NCEfKey,0)),0)</f>
        <v>0.0</v>
      </c>
      <c r="AT1522" s="197">
        <f>IFERROR(INDEX(NCEfFin,MATCH($AB1522&amp;"."&amp;$AC1522&amp;".co",NCEfKey,0)),0)</f>
        <v>0.0</v>
      </c>
      <c r="AU1522" s="3" t="str">
        <f>INDEX('Constants and Mappings'!$J$186:$J$201,MATCH($C1522,SubKey,0))</f>
        <v>resident</v>
      </c>
      <c r="AV1522" s="3">
        <f>INDEX('Constants and Mappings'!$K$186:$K$201,MATCH($C1522,SubKey,0))</f>
        <v>1.0</v>
      </c>
      <c r="AW1522" s="3" t="str">
        <f>INDEX('Constants and Mappings'!$L$186:$L$201,MATCH($C1522,SubKey,0))&amp;""</f>
        <v/>
      </c>
      <c r="AX1522" s="3">
        <f>INDEX('Constants and Mappings'!$M$186:$M$201,MATCH($C1522,SubKey,0))</f>
        <v>0.0</v>
      </c>
      <c r="AY1522" s="3" t="n">
        <v>0</v>
      </c>
      <c r="AZ1522" s="3" t="n">
        <v>0</v>
      </c>
      <c r="BA1522" s="3" t="n">
        <v>0</v>
      </c>
      <c r="BB1522" s="3" t="n">
        <v>0</v>
      </c>
      <c r="BC1522" s="3" t="n">
        <v>0</v>
      </c>
      <c r="BD1522" s="3">
        <f>IFERROR($BB1522/$BC1522,0)</f>
        <v>0.0</v>
      </c>
      <c r="BE1522" s="133" t="n">
        <v>1</v>
      </c>
      <c r="BF1522" s="39" t="n">
        <v>1</v>
      </c>
    </row>
    <row r="1523">
      <c r="A1523" s="3" t="str">
        <f>$B1523&amp;"|"&amp;$C1523</f>
        <v>oop|res</v>
      </c>
      <c r="B1523" s="8" t="inlineStr">
        <is>
          <t>oop</t>
        </is>
      </c>
      <c r="C1523" s="8" t="inlineStr">
        <is>
          <t>res</t>
        </is>
      </c>
      <c r="D1523" s="3" t="str">
        <f>INDEX('Constants and Mappings'!$D$186:$D$201,MATCH($C1523,SubKey,0))</f>
        <v>res</v>
      </c>
      <c r="E1523" s="3" t="str">
        <f>INDEX('Constants and Mappings'!$C$229:$C$237,MATCH($B1523,FuelKey,0))</f>
        <v>oil</v>
      </c>
      <c r="F1523" s="3" t="str">
        <f>INDEX('Constants and Mappings'!$D$229:$D$237,MATCH($B1523,FuelKey,0))</f>
        <v>oil</v>
      </c>
      <c r="G1523" s="3" t="str">
        <f>INDEX('Constants and Mappings'!$E$229:$E$237,MATCH($B1523,FuelKey,0))</f>
        <v>all</v>
      </c>
      <c r="H1523" s="3" t="str">
        <f>INDEX('Constants and Mappings'!$F$186:$F$201,MATCH($C1523,SubKey,0))</f>
        <v>res</v>
      </c>
      <c r="I1523" s="3" t="str">
        <f>INDEX('Constants and Mappings'!$I$229:$I$237,MATCH($B1523,FuelKey,0))&amp;"."&amp;IF($G1523="sub",$H1523,"all")</f>
        <v>oop.all</v>
      </c>
      <c r="J1523" s="3" t="str">
        <f>INDEX('Constants and Mappings'!$E$186:$E$201,MATCH($C1523,SubKey,0))</f>
        <v>res</v>
      </c>
      <c r="K1523" s="3">
        <f>INDEX('Constants and Mappings'!$G$229:$G$237,MATCH($B1523,FuelKey,0))</f>
        <v>6.12</v>
      </c>
      <c r="L1523" s="3">
        <f>INDEX('Constants and Mappings'!$H$229:$H$237,MATCH($B1523,FuelKey,0))</f>
        <v>8.0</v>
      </c>
      <c r="M1523" s="3">
        <f>INDEX('Constants and Mappings'!$H$186:$H$201,MATCH($C1523,SubKey,0))</f>
        <v>6.0</v>
      </c>
      <c r="N1523" s="3">
        <f>INDEX('Constants and Mappings'!$E$300:$E$313,MATCH($I1523,'Constants and Mappings'!$A$300:$A$313,0))</f>
        <v>13.0</v>
      </c>
      <c r="O1523" s="48">
        <f>INDEX(ElaSel,MATCH("inc|"&amp;$E1523&amp;"|"&amp;$D1523,ElaSelKey,0))</f>
        <v>0.5</v>
      </c>
      <c r="P1523" s="48">
        <f>INDEX(ElaSel,MATCH("usg|"&amp;$E1523&amp;"|"&amp;$D1523,ElaSelKey,0))</f>
        <v>-0.3</v>
      </c>
      <c r="Q1523" s="48">
        <f>INDEX(ElaSel,MATCH("eff|"&amp;$E1523&amp;"|"&amp;$D1523,ElaSelKey,0))</f>
        <v>-0.4</v>
      </c>
      <c r="R1523" s="225">
        <f>INDEX(ElaSel,MATCH("aei|"&amp;$F1523&amp;"|"&amp;$D1523,ElaSelKey,0))</f>
        <v>0.005</v>
      </c>
      <c r="S1523" s="133" t="n">
        <v>2</v>
      </c>
      <c r="T1523" s="48">
        <f>$Q1523*(1+$P1523)</f>
        <v>-0.27999999999999997</v>
      </c>
      <c r="U1523" s="3">
        <f>INDEX('Constants and Mappings'!$E$1633:$E$1644,MATCH($I1523,'Constants and Mappings'!$A$1633:$A$1644,0))</f>
        <v>283.0</v>
      </c>
      <c r="V1523" s="225">
        <f>INDEX('Constants and Mappings'!$V$1633:$V$1644,MATCH($I1523,'Constants and Mappings'!$A$1633:$A$1644,0))</f>
        <v>0.0</v>
      </c>
      <c r="W1523" s="197">
        <f>INDEX(EFSel,MATCH($B1523&amp;"|"&amp;$J1523,EFSelKey,0))*EFCalib</f>
        <v>0.07635795120924052</v>
      </c>
      <c r="X1523" s="195">
        <f>IF(LEFT(BalOpt,3)="Bal",$AY1523*$AV1523+$AZ1523*$AX1523,$BA1523)</f>
        <v>0.0</v>
      </c>
      <c r="Y1523" s="3" t="str">
        <f>IF($G1523="sub",$H1523,IF($B1523="oop","ind","trs"))</f>
        <v>ind</v>
      </c>
      <c r="Z1523" s="39">
        <f>IFERROR(MATCH($Y1523&amp;"|"&amp;$B1523,XKey,0),1)</f>
        <v>36.0</v>
      </c>
      <c r="AA1523" s="48">
        <f>INDEX(XCTVal,$Z1523,ECPEmb)+INDEX(XETSVal,$Z1523,ECPEmb)</f>
        <v>0.0</v>
      </c>
      <c r="AB1523" s="8" t="inlineStr">
        <is>
          <t>res</t>
        </is>
      </c>
      <c r="AC1523" s="8" t="inlineStr">
        <is>
          <t>oop</t>
        </is>
      </c>
      <c r="AD1523" s="197">
        <f>IFERROR(INDEX(NCEfIn,MATCH($AB1523&amp;"."&amp;$AC1523&amp;".ch4",NCEfKey,0)),0)</f>
        <v>0.0</v>
      </c>
      <c r="AE1523" s="197">
        <f>IFERROR(INDEX(NCEfFin,MATCH($AB1523&amp;"."&amp;$AC1523&amp;".ch4",NCEfKey,0)),0)</f>
        <v>0.0</v>
      </c>
      <c r="AF1523" s="3" t="n">
        <v>0</v>
      </c>
      <c r="AG1523" s="197">
        <f>IFERROR(INDEX(NCEfIn,MATCH($AB1523&amp;"."&amp;$AC1523&amp;".pm2",NCEfKey,0)),0)</f>
        <v>0.0</v>
      </c>
      <c r="AH1523" s="197">
        <f>IFERROR(INDEX(NCEfFin,MATCH($AB1523&amp;"."&amp;$AC1523&amp;".pm2",NCEfKey,0)),0)</f>
        <v>0.0</v>
      </c>
      <c r="AI1523" s="197">
        <f>IFERROR(INDEX(NCEfIn,MATCH($AB1523&amp;"."&amp;$AC1523&amp;".nox",NCEfKey,0)),0)</f>
        <v>0.0</v>
      </c>
      <c r="AJ1523" s="197">
        <f>IFERROR(INDEX(NCEfFin,MATCH($AB1523&amp;"."&amp;$AC1523&amp;".nox",NCEfKey,0)),0)</f>
        <v>0.0</v>
      </c>
      <c r="AK1523" s="197">
        <f>IFERROR(INDEX(NCEfIn,MATCH($AB1523&amp;"."&amp;$AC1523&amp;".so2",NCEfKey,0)),0)</f>
        <v>0.0</v>
      </c>
      <c r="AL1523" s="197">
        <f>IFERROR(INDEX(NCEfFin,MATCH($AB1523&amp;"."&amp;$AC1523&amp;".so2",NCEfKey,0)),0)</f>
        <v>0.0</v>
      </c>
      <c r="AM1523" s="197">
        <f>IFERROR(INDEX(NCEfIn,MATCH($AB1523&amp;"."&amp;$AC1523&amp;".voc",NCEfKey,0)),0)</f>
        <v>0.0</v>
      </c>
      <c r="AN1523" s="197">
        <f>IFERROR(INDEX(NCEfFin,MATCH($AB1523&amp;"."&amp;$AC1523&amp;".voc",NCEfKey,0)),0)</f>
        <v>0.0</v>
      </c>
      <c r="AO1523" s="197">
        <f>IFERROR(INDEX(NCEfIn,MATCH($AB1523&amp;"."&amp;$AC1523&amp;".bc",NCEfKey,0)),0)</f>
        <v>0.0</v>
      </c>
      <c r="AP1523" s="197">
        <f>IFERROR(INDEX(NCEfFin,MATCH($AB1523&amp;"."&amp;$AC1523&amp;".bc",NCEfKey,0)),0)</f>
        <v>0.0</v>
      </c>
      <c r="AQ1523" s="197">
        <f>IFERROR(INDEX(NCEfIn,MATCH($AB1523&amp;"."&amp;$AC1523&amp;".oc",NCEfKey,0)),0)</f>
        <v>0.0</v>
      </c>
      <c r="AR1523" s="197">
        <f>IFERROR(INDEX(NCEfFin,MATCH($AB1523&amp;"."&amp;$AC1523&amp;".oc",NCEfKey,0)),0)</f>
        <v>0.0</v>
      </c>
      <c r="AS1523" s="197">
        <f>IFERROR(INDEX(NCEfIn,MATCH($AB1523&amp;"."&amp;$AC1523&amp;".co",NCEfKey,0)),0)</f>
        <v>0.0</v>
      </c>
      <c r="AT1523" s="197">
        <f>IFERROR(INDEX(NCEfFin,MATCH($AB1523&amp;"."&amp;$AC1523&amp;".co",NCEfKey,0)),0)</f>
        <v>0.0</v>
      </c>
      <c r="AU1523" s="3" t="str">
        <f>INDEX('Constants and Mappings'!$J$186:$J$201,MATCH($C1523,SubKey,0))</f>
        <v>resident</v>
      </c>
      <c r="AV1523" s="3">
        <f>INDEX('Constants and Mappings'!$K$186:$K$201,MATCH($C1523,SubKey,0))</f>
        <v>1.0</v>
      </c>
      <c r="AW1523" s="3" t="str">
        <f>INDEX('Constants and Mappings'!$L$186:$L$201,MATCH($C1523,SubKey,0))&amp;""</f>
        <v/>
      </c>
      <c r="AX1523" s="3">
        <f>INDEX('Constants and Mappings'!$M$186:$M$201,MATCH($C1523,SubKey,0))</f>
        <v>0.0</v>
      </c>
      <c r="AY1523" s="3" t="n">
        <v>0</v>
      </c>
      <c r="AZ1523" s="3" t="n">
        <v>0</v>
      </c>
      <c r="BA1523" s="3" t="n">
        <v>0</v>
      </c>
      <c r="BB1523" s="3" t="n">
        <v>0</v>
      </c>
      <c r="BC1523" s="3" t="n">
        <v>0</v>
      </c>
      <c r="BD1523" s="3">
        <f>IFERROR($BB1523/$BC1523,0)</f>
        <v>0.0</v>
      </c>
      <c r="BE1523" s="133" t="n">
        <v>1</v>
      </c>
      <c r="BF1523" s="39" t="n">
        <v>1</v>
      </c>
    </row>
    <row r="1524">
      <c r="A1524" s="3" t="str">
        <f>$B1524&amp;"|"&amp;$C1524</f>
        <v>bio|res</v>
      </c>
      <c r="B1524" s="8" t="inlineStr">
        <is>
          <t>bio</t>
        </is>
      </c>
      <c r="C1524" s="8" t="inlineStr">
        <is>
          <t>res</t>
        </is>
      </c>
      <c r="D1524" s="3" t="str">
        <f>INDEX('Constants and Mappings'!$D$186:$D$201,MATCH($C1524,SubKey,0))</f>
        <v>res</v>
      </c>
      <c r="E1524" s="3" t="str">
        <f>INDEX('Constants and Mappings'!$C$229:$C$237,MATCH($B1524,FuelKey,0))</f>
        <v>bio</v>
      </c>
      <c r="F1524" s="3" t="str">
        <f>INDEX('Constants and Mappings'!$D$229:$D$237,MATCH($B1524,FuelKey,0))</f>
        <v>bio</v>
      </c>
      <c r="G1524" s="3" t="str">
        <f>INDEX('Constants and Mappings'!$E$229:$E$237,MATCH($B1524,FuelKey,0))</f>
        <v>all</v>
      </c>
      <c r="H1524" s="3" t="str">
        <f>INDEX('Constants and Mappings'!$F$186:$F$201,MATCH($C1524,SubKey,0))</f>
        <v>res</v>
      </c>
      <c r="I1524" s="3" t="str">
        <f>INDEX('Constants and Mappings'!$I$229:$I$237,MATCH($B1524,FuelKey,0))&amp;"."&amp;IF($G1524="sub",$H1524,"all")</f>
        <v>bio.all</v>
      </c>
      <c r="J1524" s="3" t="str">
        <f>INDEX('Constants and Mappings'!$E$186:$E$201,MATCH($C1524,SubKey,0))</f>
        <v>res</v>
      </c>
      <c r="K1524" s="3">
        <f>INDEX('Constants and Mappings'!$G$229:$G$237,MATCH($B1524,FuelKey,0))</f>
        <v>1.0</v>
      </c>
      <c r="L1524" s="3">
        <f>INDEX('Constants and Mappings'!$H$229:$H$237,MATCH($B1524,FuelKey,0))</f>
        <v>9.0</v>
      </c>
      <c r="M1524" s="3">
        <f>INDEX('Constants and Mappings'!$H$186:$H$201,MATCH($C1524,SubKey,0))</f>
        <v>6.0</v>
      </c>
      <c r="N1524" s="3">
        <f>INDEX('Constants and Mappings'!$E$300:$E$313,MATCH($I1524,'Constants and Mappings'!$A$300:$A$313,0))</f>
        <v>14.0</v>
      </c>
      <c r="O1524" s="48">
        <f>INDEX(ElaSel,MATCH("inc|"&amp;$E1524&amp;"|"&amp;$D1524,ElaSelKey,0))*IF(LEFT(BioNormal,3)="Yes",1,0)</f>
        <v>0.0</v>
      </c>
      <c r="P1524" s="48">
        <f>INDEX(ElaSel,MATCH("usg|"&amp;$E1524&amp;"|"&amp;$D1524,ElaSelKey,0))</f>
        <v>-0.3</v>
      </c>
      <c r="Q1524" s="48">
        <f>INDEX(ElaSel,MATCH("eff|"&amp;$E1524&amp;"|"&amp;$D1524,ElaSelKey,0))</f>
        <v>-0.2</v>
      </c>
      <c r="R1524" s="225">
        <f>INDEX(ElaSel,MATCH("aei|"&amp;$F1524&amp;"|"&amp;$D1524,ElaSelKey,0))</f>
        <v>0.005</v>
      </c>
      <c r="S1524" s="133" t="n">
        <v>2</v>
      </c>
      <c r="T1524" s="48">
        <f>$Q1524*(1+$P1524)</f>
        <v>-0.13999999999999999</v>
      </c>
      <c r="U1524" s="3">
        <f>INDEX('Constants and Mappings'!$E$1633:$E$1644,MATCH($I1524,'Constants and Mappings'!$A$1633:$A$1644,0))</f>
        <v>312.0</v>
      </c>
      <c r="V1524" s="225">
        <f>INDEX('Constants and Mappings'!$V$1633:$V$1644,MATCH($I1524,'Constants and Mappings'!$A$1633:$A$1644,0))</f>
        <v>0.0</v>
      </c>
      <c r="W1524" s="197">
        <f>INDEX(EFSel,MATCH($B1524&amp;"|"&amp;$J1524,EFSelKey,0))*EFCalib</f>
        <v>0.0</v>
      </c>
      <c r="X1524" s="195">
        <f>IF(LEFT(BalOpt,3)="Bal",$AY1524*$AV1524+$AZ1524*$AX1524,$BA1524)</f>
        <v>1494.644271668726</v>
      </c>
      <c r="Y1524" s="3" t="str">
        <f>IF($G1524="sub",$H1524,IF($B1524="oop","ind","trs"))</f>
        <v>trs</v>
      </c>
      <c r="Z1524" s="39">
        <f>IFERROR(MATCH($Y1524&amp;"|"&amp;$B1524,XKey,0),1)</f>
        <v>19.0</v>
      </c>
      <c r="AA1524" s="48">
        <f>INDEX(XCTVal,$Z1524,ECPEmb)+INDEX(XETSVal,$Z1524,ECPEmb)</f>
        <v>0.0</v>
      </c>
      <c r="AB1524" s="8" t="inlineStr">
        <is>
          <t>res</t>
        </is>
      </c>
      <c r="AC1524" s="8" t="inlineStr">
        <is>
          <t>bio</t>
        </is>
      </c>
      <c r="AD1524" s="197">
        <f>IFERROR(INDEX(NCEfIn,MATCH($AB1524&amp;"."&amp;$AC1524&amp;".ch4",NCEfKey,0)),0)</f>
        <v>16.7472</v>
      </c>
      <c r="AE1524" s="197">
        <f>IFERROR(INDEX(NCEfFin,MATCH($AB1524&amp;"."&amp;$AC1524&amp;".ch4",NCEfKey,0)),0)</f>
        <v>10.7454222</v>
      </c>
      <c r="AF1524" s="3" t="n">
        <v>0</v>
      </c>
      <c r="AG1524" s="197">
        <f>IFERROR(INDEX(NCEfIn,MATCH($AB1524&amp;"."&amp;$AC1524&amp;".pm2",NCEfKey,0)),0)</f>
        <v>20.002060188</v>
      </c>
      <c r="AH1524" s="197">
        <f>IFERROR(INDEX(NCEfFin,MATCH($AB1524&amp;"."&amp;$AC1524&amp;".pm2",NCEfKey,0)),0)</f>
        <v>14.7961512</v>
      </c>
      <c r="AI1524" s="197">
        <f>IFERROR(INDEX(NCEfIn,MATCH($AB1524&amp;"."&amp;$AC1524&amp;".nox",NCEfKey,0)),0)</f>
        <v>2.51208</v>
      </c>
      <c r="AJ1524" s="197">
        <f>IFERROR(INDEX(NCEfFin,MATCH($AB1524&amp;"."&amp;$AC1524&amp;".nox",NCEfKey,0)),0)</f>
        <v>2.51208</v>
      </c>
      <c r="AK1524" s="197">
        <f>IFERROR(INDEX(NCEfIn,MATCH($AB1524&amp;"."&amp;$AC1524&amp;".so2",NCEfKey,0)),0)</f>
        <v>1.0467</v>
      </c>
      <c r="AL1524" s="197">
        <f>IFERROR(INDEX(NCEfFin,MATCH($AB1524&amp;"."&amp;$AC1524&amp;".so2",NCEfKey,0)),0)</f>
        <v>1.0467</v>
      </c>
      <c r="AM1524" s="197">
        <f>IFERROR(INDEX(NCEfIn,MATCH($AB1524&amp;"."&amp;$AC1524&amp;".voc",NCEfKey,0)),0)</f>
        <v>83.736</v>
      </c>
      <c r="AN1524" s="197">
        <f>IFERROR(INDEX(NCEfFin,MATCH($AB1524&amp;"."&amp;$AC1524&amp;".voc",NCEfKey,0)),0)</f>
        <v>29.5085664</v>
      </c>
      <c r="AO1524" s="197">
        <f>IFERROR(INDEX(NCEfIn,MATCH($AB1524&amp;"."&amp;$AC1524&amp;".bc",NCEfKey,0)),0)</f>
        <v>3.12282945</v>
      </c>
      <c r="AP1524" s="197">
        <f>IFERROR(INDEX(NCEfFin,MATCH($AB1524&amp;"."&amp;$AC1524&amp;".bc",NCEfKey,0)),0)</f>
        <v>1.25604</v>
      </c>
      <c r="AQ1524" s="197">
        <f>IFERROR(INDEX(NCEfIn,MATCH($AB1524&amp;"."&amp;$AC1524&amp;".oc",NCEfKey,0)),0)</f>
        <v>8.7955624512</v>
      </c>
      <c r="AR1524" s="197">
        <f>IFERROR(INDEX(NCEfFin,MATCH($AB1524&amp;"."&amp;$AC1524&amp;".oc",NCEfKey,0)),0)</f>
        <v>7.1112798</v>
      </c>
      <c r="AS1524" s="197">
        <f>IFERROR(INDEX(NCEfIn,MATCH($AB1524&amp;"."&amp;$AC1524&amp;".co",NCEfKey,0)),0)</f>
        <v>251.208</v>
      </c>
      <c r="AT1524" s="197">
        <f>IFERROR(INDEX(NCEfFin,MATCH($AB1524&amp;"."&amp;$AC1524&amp;".co",NCEfKey,0)),0)</f>
        <v>251.208</v>
      </c>
      <c r="AU1524" s="3" t="str">
        <f>INDEX('Constants and Mappings'!$J$186:$J$201,MATCH($C1524,SubKey,0))</f>
        <v>resident</v>
      </c>
      <c r="AV1524" s="3">
        <f>INDEX('Constants and Mappings'!$K$186:$K$201,MATCH($C1524,SubKey,0))</f>
        <v>1.0</v>
      </c>
      <c r="AW1524" s="3" t="str">
        <f>INDEX('Constants and Mappings'!$L$186:$L$201,MATCH($C1524,SubKey,0))&amp;""</f>
        <v/>
      </c>
      <c r="AX1524" s="3">
        <f>INDEX('Constants and Mappings'!$M$186:$M$201,MATCH($C1524,SubKey,0))</f>
        <v>0.0</v>
      </c>
      <c r="AY1524" s="3" t="n">
        <v>1494.644271668726</v>
      </c>
      <c r="AZ1524" s="3" t="n">
        <v>0</v>
      </c>
      <c r="BA1524" s="3" t="n">
        <v>1494.644271668726</v>
      </c>
      <c r="BB1524" s="3" t="n">
        <v>0</v>
      </c>
      <c r="BC1524" s="3" t="n">
        <v>0</v>
      </c>
      <c r="BD1524" s="3">
        <f>IFERROR($BB1524/$BC1524,0)</f>
        <v>0.0</v>
      </c>
      <c r="BE1524" s="133" t="n">
        <v>1</v>
      </c>
      <c r="BF1524" s="39" t="n">
        <v>5</v>
      </c>
    </row>
    <row r="1525">
      <c r="A1525" s="3" t="str">
        <f>$B1525&amp;"|"&amp;$C1525</f>
        <v>coa|foo</v>
      </c>
      <c r="B1525" s="8" t="inlineStr">
        <is>
          <t>coa</t>
        </is>
      </c>
      <c r="C1525" s="8" t="inlineStr">
        <is>
          <t>foo</t>
        </is>
      </c>
      <c r="D1525" s="3" t="str">
        <f>INDEX('Constants and Mappings'!$D$186:$D$201,MATCH($C1525,SubKey,0))</f>
        <v>ind</v>
      </c>
      <c r="E1525" s="3" t="str">
        <f>INDEX('Constants and Mappings'!$C$229:$C$237,MATCH($B1525,FuelKey,0))</f>
        <v>coa</v>
      </c>
      <c r="F1525" s="3" t="str">
        <f>INDEX('Constants and Mappings'!$D$229:$D$237,MATCH($B1525,FuelKey,0))</f>
        <v>coa</v>
      </c>
      <c r="G1525" s="3" t="str">
        <f>INDEX('Constants and Mappings'!$E$229:$E$237,MATCH($B1525,FuelKey,0))</f>
        <v>sub</v>
      </c>
      <c r="H1525" s="3" t="str">
        <f>INDEX('Constants and Mappings'!$F$186:$F$201,MATCH($C1525,SubKey,0))</f>
        <v>ind</v>
      </c>
      <c r="I1525" s="3" t="str">
        <f>INDEX('Constants and Mappings'!$I$229:$I$237,MATCH($B1525,FuelKey,0))&amp;"."&amp;IF($G1525="sub",$H1525,"all")</f>
        <v>coa.ind</v>
      </c>
      <c r="J1525" s="3" t="str">
        <f>INDEX('Constants and Mappings'!$E$186:$E$201,MATCH($C1525,SubKey,0))</f>
        <v>res</v>
      </c>
      <c r="K1525" s="3">
        <f>INDEX('Constants and Mappings'!$G$229:$G$237,MATCH($B1525,FuelKey,0))</f>
        <v>1.0</v>
      </c>
      <c r="L1525" s="3">
        <f>INDEX('Constants and Mappings'!$H$229:$H$237,MATCH($B1525,FuelKey,0))</f>
        <v>1.0</v>
      </c>
      <c r="M1525" s="3">
        <f>INDEX('Constants and Mappings'!$H$186:$H$201,MATCH($C1525,SubKey,0))</f>
        <v>7.0</v>
      </c>
      <c r="N1525" s="3">
        <f>INDEX('Constants and Mappings'!$E$300:$E$313,MATCH($I1525,'Constants and Mappings'!$A$300:$A$313,0))</f>
        <v>3.0</v>
      </c>
      <c r="O1525" s="48">
        <f>INDEX(ElaSel,MATCH("inc|"&amp;$E1525&amp;"|"&amp;$D1525,ElaSelKey,0))</f>
        <v>0.5</v>
      </c>
      <c r="P1525" s="48">
        <f>INDEX(ElaSel,MATCH("usg|"&amp;$E1525&amp;"|"&amp;$D1525,ElaSelKey,0))</f>
        <v>-0.3</v>
      </c>
      <c r="Q1525" s="48">
        <f>INDEX(ElaSel,MATCH("eff|"&amp;$E1525&amp;"|"&amp;$D1525,ElaSelKey,0))</f>
        <v>-0.4</v>
      </c>
      <c r="R1525" s="225">
        <f>INDEX(ElaSel,MATCH("aei|"&amp;$F1525&amp;"|"&amp;$D1525,ElaSelKey,0))</f>
        <v>0.005</v>
      </c>
      <c r="S1525" s="133" t="n">
        <v>3</v>
      </c>
      <c r="T1525" s="48">
        <f>$Q1525*(1+$P1525)</f>
        <v>-0.27999999999999997</v>
      </c>
      <c r="U1525" s="3">
        <f>INDEX('Constants and Mappings'!$E$1633:$E$1644,MATCH($I1525,'Constants and Mappings'!$A$1633:$A$1644,0))</f>
        <v>55.0</v>
      </c>
      <c r="V1525" s="225">
        <f>INDEX('Constants and Mappings'!$V$1633:$V$1644,MATCH($I1525,'Constants and Mappings'!$A$1633:$A$1644,0))</f>
        <v>0.0</v>
      </c>
      <c r="W1525" s="197">
        <f>INDEX(EFSel,MATCH($B1525&amp;"|"&amp;$J1525,EFSelKey,0))*EFCalib</f>
        <v>0.09387946282961382</v>
      </c>
      <c r="X1525" s="195">
        <f>IF(LEFT(BalOpt,3)="Bal",$AY1525*$AV1525+$AZ1525*$AX1525,$BA1525)</f>
        <v>0.0</v>
      </c>
      <c r="Y1525" s="3" t="str">
        <f>IF($G1525="sub",$H1525,IF($B1525="oop","ind","trs"))</f>
        <v>ind</v>
      </c>
      <c r="Z1525" s="39">
        <f>IFERROR(MATCH($Y1525&amp;"|"&amp;$B1525,XKey,0),1)</f>
        <v>29.0</v>
      </c>
      <c r="AA1525" s="48">
        <f>INDEX(XCTVal,$Z1525,ECPEmb)+INDEX(XETSVal,$Z1525,ECPEmb)</f>
        <v>0.0</v>
      </c>
      <c r="AB1525" s="8" t="inlineStr">
        <is>
          <t>foo</t>
        </is>
      </c>
      <c r="AC1525" s="8" t="inlineStr">
        <is>
          <t>coa</t>
        </is>
      </c>
      <c r="AD1525" s="197">
        <f>IFERROR(INDEX(NCEfIn,MATCH($AB1525&amp;"."&amp;$AC1525&amp;".ch4",NCEfKey,0)),0)</f>
        <v>0.0</v>
      </c>
      <c r="AE1525" s="197">
        <f>IFERROR(INDEX(NCEfFin,MATCH($AB1525&amp;"."&amp;$AC1525&amp;".ch4",NCEfKey,0)),0)</f>
        <v>0.0</v>
      </c>
      <c r="AF1525" s="3" t="n">
        <v>0</v>
      </c>
      <c r="AG1525" s="197">
        <f>IFERROR(INDEX(NCEfIn,MATCH($AB1525&amp;"."&amp;$AC1525&amp;".pm2",NCEfKey,0)),0)</f>
        <v>0.0</v>
      </c>
      <c r="AH1525" s="197">
        <f>IFERROR(INDEX(NCEfFin,MATCH($AB1525&amp;"."&amp;$AC1525&amp;".pm2",NCEfKey,0)),0)</f>
        <v>0.0</v>
      </c>
      <c r="AI1525" s="197">
        <f>IFERROR(INDEX(NCEfIn,MATCH($AB1525&amp;"."&amp;$AC1525&amp;".nox",NCEfKey,0)),0)</f>
        <v>0.0</v>
      </c>
      <c r="AJ1525" s="197">
        <f>IFERROR(INDEX(NCEfFin,MATCH($AB1525&amp;"."&amp;$AC1525&amp;".nox",NCEfKey,0)),0)</f>
        <v>0.0</v>
      </c>
      <c r="AK1525" s="197">
        <f>IFERROR(INDEX(NCEfIn,MATCH($AB1525&amp;"."&amp;$AC1525&amp;".so2",NCEfKey,0)),0)</f>
        <v>0.0</v>
      </c>
      <c r="AL1525" s="197">
        <f>IFERROR(INDEX(NCEfFin,MATCH($AB1525&amp;"."&amp;$AC1525&amp;".so2",NCEfKey,0)),0)</f>
        <v>0.0</v>
      </c>
      <c r="AM1525" s="197">
        <f>IFERROR(INDEX(NCEfIn,MATCH($AB1525&amp;"."&amp;$AC1525&amp;".voc",NCEfKey,0)),0)</f>
        <v>0.0</v>
      </c>
      <c r="AN1525" s="197">
        <f>IFERROR(INDEX(NCEfFin,MATCH($AB1525&amp;"."&amp;$AC1525&amp;".voc",NCEfKey,0)),0)</f>
        <v>0.0</v>
      </c>
      <c r="AO1525" s="197">
        <f>IFERROR(INDEX(NCEfIn,MATCH($AB1525&amp;"."&amp;$AC1525&amp;".bc",NCEfKey,0)),0)</f>
        <v>0.0</v>
      </c>
      <c r="AP1525" s="197">
        <f>IFERROR(INDEX(NCEfFin,MATCH($AB1525&amp;"."&amp;$AC1525&amp;".bc",NCEfKey,0)),0)</f>
        <v>0.0</v>
      </c>
      <c r="AQ1525" s="197">
        <f>IFERROR(INDEX(NCEfIn,MATCH($AB1525&amp;"."&amp;$AC1525&amp;".oc",NCEfKey,0)),0)</f>
        <v>0.0</v>
      </c>
      <c r="AR1525" s="197">
        <f>IFERROR(INDEX(NCEfFin,MATCH($AB1525&amp;"."&amp;$AC1525&amp;".oc",NCEfKey,0)),0)</f>
        <v>0.0</v>
      </c>
      <c r="AS1525" s="197">
        <f>IFERROR(INDEX(NCEfIn,MATCH($AB1525&amp;"."&amp;$AC1525&amp;".co",NCEfKey,0)),0)</f>
        <v>0.0</v>
      </c>
      <c r="AT1525" s="197">
        <f>IFERROR(INDEX(NCEfFin,MATCH($AB1525&amp;"."&amp;$AC1525&amp;".co",NCEfKey,0)),0)</f>
        <v>0.0</v>
      </c>
      <c r="AU1525" s="3" t="str">
        <f>INDEX('Constants and Mappings'!$J$186:$J$201,MATCH($C1525,SubKey,0))</f>
        <v>food_forest</v>
      </c>
      <c r="AV1525" s="3">
        <f>INDEX('Constants and Mappings'!$K$186:$K$201,MATCH($C1525,SubKey,0))</f>
        <v>1.0</v>
      </c>
      <c r="AW1525" s="3" t="str">
        <f>INDEX('Constants and Mappings'!$L$186:$L$201,MATCH($C1525,SubKey,0))&amp;""</f>
        <v/>
      </c>
      <c r="AX1525" s="3">
        <f>INDEX('Constants and Mappings'!$M$186:$M$201,MATCH($C1525,SubKey,0))</f>
        <v>0.0</v>
      </c>
      <c r="AY1525" s="3" t="n">
        <v>0</v>
      </c>
      <c r="AZ1525" s="3" t="n">
        <v>0</v>
      </c>
      <c r="BA1525" s="3" t="n">
        <v>0</v>
      </c>
      <c r="BB1525" s="3" t="n">
        <v>0</v>
      </c>
      <c r="BC1525" s="3" t="n">
        <v>0</v>
      </c>
      <c r="BD1525" s="3">
        <f>IFERROR($BB1525/$BC1525,0)</f>
        <v>0.0</v>
      </c>
      <c r="BE1525" s="133" t="n">
        <v>1</v>
      </c>
      <c r="BF1525" s="39" t="n">
        <v>1</v>
      </c>
    </row>
    <row r="1526">
      <c r="A1526" s="3" t="str">
        <f>$B1526&amp;"|"&amp;$C1526</f>
        <v>nga|foo</v>
      </c>
      <c r="B1526" s="8" t="inlineStr">
        <is>
          <t>nga</t>
        </is>
      </c>
      <c r="C1526" s="8" t="inlineStr">
        <is>
          <t>foo</t>
        </is>
      </c>
      <c r="D1526" s="3" t="str">
        <f>INDEX('Constants and Mappings'!$D$186:$D$201,MATCH($C1526,SubKey,0))</f>
        <v>ind</v>
      </c>
      <c r="E1526" s="3" t="str">
        <f>INDEX('Constants and Mappings'!$C$229:$C$237,MATCH($B1526,FuelKey,0))</f>
        <v>nga</v>
      </c>
      <c r="F1526" s="3" t="str">
        <f>INDEX('Constants and Mappings'!$D$229:$D$237,MATCH($B1526,FuelKey,0))</f>
        <v>nga</v>
      </c>
      <c r="G1526" s="3" t="str">
        <f>INDEX('Constants and Mappings'!$E$229:$E$237,MATCH($B1526,FuelKey,0))</f>
        <v>sub</v>
      </c>
      <c r="H1526" s="3" t="str">
        <f>INDEX('Constants and Mappings'!$F$186:$F$201,MATCH($C1526,SubKey,0))</f>
        <v>ind</v>
      </c>
      <c r="I1526" s="3" t="str">
        <f>INDEX('Constants and Mappings'!$I$229:$I$237,MATCH($B1526,FuelKey,0))&amp;"."&amp;IF($G1526="sub",$H1526,"all")</f>
        <v>nga.ind</v>
      </c>
      <c r="J1526" s="3" t="str">
        <f>INDEX('Constants and Mappings'!$E$186:$E$201,MATCH($C1526,SubKey,0))</f>
        <v>res</v>
      </c>
      <c r="K1526" s="3">
        <f>INDEX('Constants and Mappings'!$G$229:$G$237,MATCH($B1526,FuelKey,0))</f>
        <v>1.0</v>
      </c>
      <c r="L1526" s="3">
        <f>INDEX('Constants and Mappings'!$H$229:$H$237,MATCH($B1526,FuelKey,0))</f>
        <v>2.0</v>
      </c>
      <c r="M1526" s="3">
        <f>INDEX('Constants and Mappings'!$H$186:$H$201,MATCH($C1526,SubKey,0))</f>
        <v>7.0</v>
      </c>
      <c r="N1526" s="3">
        <f>INDEX('Constants and Mappings'!$E$300:$E$313,MATCH($I1526,'Constants and Mappings'!$A$300:$A$313,0))</f>
        <v>6.0</v>
      </c>
      <c r="O1526" s="48">
        <f>INDEX(ElaSel,MATCH("inc|"&amp;$E1526&amp;"|"&amp;$D1526,ElaSelKey,0))</f>
        <v>1.0</v>
      </c>
      <c r="P1526" s="48">
        <f>INDEX(ElaSel,MATCH("usg|"&amp;$E1526&amp;"|"&amp;$D1526,ElaSelKey,0))</f>
        <v>-0.5</v>
      </c>
      <c r="Q1526" s="48">
        <f>INDEX(ElaSel,MATCH("eff|"&amp;$E1526&amp;"|"&amp;$D1526,ElaSelKey,0))</f>
        <v>-0.5</v>
      </c>
      <c r="R1526" s="225">
        <f>INDEX(ElaSel,MATCH("aei|"&amp;$F1526&amp;"|"&amp;$D1526,ElaSelKey,0))</f>
        <v>0.01</v>
      </c>
      <c r="S1526" s="133" t="n">
        <v>3</v>
      </c>
      <c r="T1526" s="48">
        <f>$Q1526*(1+$P1526)</f>
        <v>-0.25</v>
      </c>
      <c r="U1526" s="3">
        <f>INDEX('Constants and Mappings'!$E$1633:$E$1644,MATCH($I1526,'Constants and Mappings'!$A$1633:$A$1644,0))</f>
        <v>138.0</v>
      </c>
      <c r="V1526" s="225">
        <f>INDEX('Constants and Mappings'!$V$1633:$V$1644,MATCH($I1526,'Constants and Mappings'!$A$1633:$A$1644,0))</f>
        <v>0.0</v>
      </c>
      <c r="W1526" s="197">
        <f>INDEX(EFSel,MATCH($B1526&amp;"|"&amp;$J1526,EFSelKey,0))*EFCalib</f>
        <v>0.05555115616004721</v>
      </c>
      <c r="X1526" s="195">
        <f>IF(LEFT(BalOpt,3)="Bal",$AY1526*$AV1526+$AZ1526*$AX1526,$BA1526)</f>
        <v>0.0</v>
      </c>
      <c r="Y1526" s="3" t="str">
        <f>IF($G1526="sub",$H1526,IF($B1526="oop","ind","trs"))</f>
        <v>ind</v>
      </c>
      <c r="Z1526" s="39">
        <f>IFERROR(MATCH($Y1526&amp;"|"&amp;$B1526,XKey,0),1)</f>
        <v>30.0</v>
      </c>
      <c r="AA1526" s="48">
        <f>INDEX(XCTVal,$Z1526,ECPEmb)+INDEX(XETSVal,$Z1526,ECPEmb)</f>
        <v>0.0</v>
      </c>
      <c r="AB1526" s="8" t="inlineStr">
        <is>
          <t>foo</t>
        </is>
      </c>
      <c r="AC1526" s="8" t="inlineStr">
        <is>
          <t>nga</t>
        </is>
      </c>
      <c r="AD1526" s="197">
        <f>IFERROR(INDEX(NCEfIn,MATCH($AB1526&amp;"."&amp;$AC1526&amp;".ch4",NCEfKey,0)),0)</f>
        <v>1.9703792556</v>
      </c>
      <c r="AE1526" s="197">
        <f>IFERROR(INDEX(NCEfFin,MATCH($AB1526&amp;"."&amp;$AC1526&amp;".ch4",NCEfKey,0)),0)</f>
        <v>1.925928</v>
      </c>
      <c r="AF1526" s="3" t="n">
        <v>0</v>
      </c>
      <c r="AG1526" s="197">
        <f>IFERROR(INDEX(NCEfIn,MATCH($AB1526&amp;"."&amp;$AC1526&amp;".pm2",NCEfKey,0)),0)</f>
        <v>0.0041868</v>
      </c>
      <c r="AH1526" s="197">
        <f>IFERROR(INDEX(NCEfFin,MATCH($AB1526&amp;"."&amp;$AC1526&amp;".pm2",NCEfKey,0)),0)</f>
        <v>0.0041868</v>
      </c>
      <c r="AI1526" s="197">
        <f>IFERROR(INDEX(NCEfIn,MATCH($AB1526&amp;"."&amp;$AC1526&amp;".nox",NCEfKey,0)),0)</f>
        <v>4.186800000000001</v>
      </c>
      <c r="AJ1526" s="197">
        <f>IFERROR(INDEX(NCEfFin,MATCH($AB1526&amp;"."&amp;$AC1526&amp;".nox",NCEfKey,0)),0)</f>
        <v>4.186800000000001</v>
      </c>
      <c r="AK1526" s="197">
        <f>IFERROR(INDEX(NCEfIn,MATCH($AB1526&amp;"."&amp;$AC1526&amp;".so2",NCEfKey,0)),0)</f>
        <v>0.0348886044</v>
      </c>
      <c r="AL1526" s="197">
        <f>IFERROR(INDEX(NCEfFin,MATCH($AB1526&amp;"."&amp;$AC1526&amp;".so2",NCEfKey,0)),0)</f>
        <v>0.0348886044</v>
      </c>
      <c r="AM1526" s="197">
        <f>IFERROR(INDEX(NCEfIn,MATCH($AB1526&amp;"."&amp;$AC1526&amp;".voc",NCEfKey,0)),0)</f>
        <v>0.083736</v>
      </c>
      <c r="AN1526" s="197">
        <f>IFERROR(INDEX(NCEfFin,MATCH($AB1526&amp;"."&amp;$AC1526&amp;".voc",NCEfKey,0)),0)</f>
        <v>0.083736</v>
      </c>
      <c r="AO1526" s="197">
        <f>IFERROR(INDEX(NCEfIn,MATCH($AB1526&amp;"."&amp;$AC1526&amp;".bc",NCEfKey,0)),0)</f>
        <v>0.0002805156</v>
      </c>
      <c r="AP1526" s="197">
        <f>IFERROR(INDEX(NCEfFin,MATCH($AB1526&amp;"."&amp;$AC1526&amp;".bc",NCEfKey,0)),0)</f>
        <v>0.0002805156</v>
      </c>
      <c r="AQ1526" s="197">
        <f>IFERROR(INDEX(NCEfIn,MATCH($AB1526&amp;"."&amp;$AC1526&amp;".oc",NCEfKey,0)),0)</f>
        <v>0.0031401</v>
      </c>
      <c r="AR1526" s="197">
        <f>IFERROR(INDEX(NCEfFin,MATCH($AB1526&amp;"."&amp;$AC1526&amp;".oc",NCEfKey,0)),0)</f>
        <v>0.0031401</v>
      </c>
      <c r="AS1526" s="197">
        <f>IFERROR(INDEX(NCEfIn,MATCH($AB1526&amp;"."&amp;$AC1526&amp;".co",NCEfKey,0)),0)</f>
        <v>1.46538</v>
      </c>
      <c r="AT1526" s="197">
        <f>IFERROR(INDEX(NCEfFin,MATCH($AB1526&amp;"."&amp;$AC1526&amp;".co",NCEfKey,0)),0)</f>
        <v>1.46538</v>
      </c>
      <c r="AU1526" s="3" t="str">
        <f>INDEX('Constants and Mappings'!$J$186:$J$201,MATCH($C1526,SubKey,0))</f>
        <v>food_forest</v>
      </c>
      <c r="AV1526" s="3">
        <f>INDEX('Constants and Mappings'!$K$186:$K$201,MATCH($C1526,SubKey,0))</f>
        <v>1.0</v>
      </c>
      <c r="AW1526" s="3" t="str">
        <f>INDEX('Constants and Mappings'!$L$186:$L$201,MATCH($C1526,SubKey,0))&amp;""</f>
        <v/>
      </c>
      <c r="AX1526" s="3">
        <f>INDEX('Constants and Mappings'!$M$186:$M$201,MATCH($C1526,SubKey,0))</f>
        <v>0.0</v>
      </c>
      <c r="AY1526" s="3" t="n">
        <v>0</v>
      </c>
      <c r="AZ1526" s="3" t="n">
        <v>0</v>
      </c>
      <c r="BA1526" s="3" t="n">
        <v>0</v>
      </c>
      <c r="BB1526" s="3" t="n">
        <v>0</v>
      </c>
      <c r="BC1526" s="3" t="n">
        <v>0</v>
      </c>
      <c r="BD1526" s="3">
        <f>IFERROR($BB1526/$BC1526,0)</f>
        <v>0.0</v>
      </c>
      <c r="BE1526" s="133" t="n">
        <v>1</v>
      </c>
      <c r="BF1526" s="39" t="n">
        <v>1</v>
      </c>
    </row>
    <row r="1527">
      <c r="A1527" s="3" t="str">
        <f>$B1527&amp;"|"&amp;$C1527</f>
        <v>gso|foo</v>
      </c>
      <c r="B1527" s="8" t="inlineStr">
        <is>
          <t>gso</t>
        </is>
      </c>
      <c r="C1527" s="8" t="inlineStr">
        <is>
          <t>foo</t>
        </is>
      </c>
      <c r="D1527" s="3" t="str">
        <f>INDEX('Constants and Mappings'!$D$186:$D$201,MATCH($C1527,SubKey,0))</f>
        <v>ind</v>
      </c>
      <c r="E1527" s="3" t="str">
        <f>INDEX('Constants and Mappings'!$C$229:$C$237,MATCH($B1527,FuelKey,0))</f>
        <v>gso</v>
      </c>
      <c r="F1527" s="3" t="str">
        <f>INDEX('Constants and Mappings'!$D$229:$D$237,MATCH($B1527,FuelKey,0))</f>
        <v>oil</v>
      </c>
      <c r="G1527" s="3" t="str">
        <f>INDEX('Constants and Mappings'!$E$229:$E$237,MATCH($B1527,FuelKey,0))</f>
        <v>all</v>
      </c>
      <c r="H1527" s="3" t="str">
        <f>INDEX('Constants and Mappings'!$F$186:$F$201,MATCH($C1527,SubKey,0))</f>
        <v>ind</v>
      </c>
      <c r="I1527" s="3" t="str">
        <f>INDEX('Constants and Mappings'!$I$229:$I$237,MATCH($B1527,FuelKey,0))&amp;"."&amp;IF($G1527="sub",$H1527,"all")</f>
        <v>gso.all</v>
      </c>
      <c r="J1527" s="3" t="str">
        <f>INDEX('Constants and Mappings'!$E$186:$E$201,MATCH($C1527,SubKey,0))</f>
        <v>res</v>
      </c>
      <c r="K1527" s="3">
        <f>INDEX('Constants and Mappings'!$G$229:$G$237,MATCH($B1527,FuelKey,0))</f>
        <v>0.03496974000000001</v>
      </c>
      <c r="L1527" s="3">
        <f>INDEX('Constants and Mappings'!$H$229:$H$237,MATCH($B1527,FuelKey,0))</f>
        <v>3.0</v>
      </c>
      <c r="M1527" s="3">
        <f>INDEX('Constants and Mappings'!$H$186:$H$201,MATCH($C1527,SubKey,0))</f>
        <v>7.0</v>
      </c>
      <c r="N1527" s="3">
        <f>INDEX('Constants and Mappings'!$E$300:$E$313,MATCH($I1527,'Constants and Mappings'!$A$300:$A$313,0))</f>
        <v>9.0</v>
      </c>
      <c r="O1527" s="48">
        <f>INDEX(ElaSel,MATCH("inc|"&amp;$E1527&amp;"|"&amp;$D1527,ElaSelKey,0))</f>
        <v>0.5</v>
      </c>
      <c r="P1527" s="48">
        <f>INDEX(ElaSel,MATCH("usg|"&amp;$E1527&amp;"|"&amp;$D1527,ElaSelKey,0))</f>
        <v>-0.4</v>
      </c>
      <c r="Q1527" s="48">
        <f>INDEX(ElaSel,MATCH("eff|"&amp;$E1527&amp;"|"&amp;$D1527,ElaSelKey,0))</f>
        <v>-0.7</v>
      </c>
      <c r="R1527" s="225">
        <f>INDEX(ElaSel,MATCH("aei|"&amp;$F1527&amp;"|"&amp;$D1527,ElaSelKey,0))</f>
        <v>0.005</v>
      </c>
      <c r="S1527" s="133" t="n">
        <v>3</v>
      </c>
      <c r="T1527" s="48">
        <f>$Q1527*(1+$P1527)</f>
        <v>-0.42</v>
      </c>
      <c r="U1527" s="3">
        <f>INDEX('Constants and Mappings'!$E$1633:$E$1644,MATCH($I1527,'Constants and Mappings'!$A$1633:$A$1644,0))</f>
        <v>167.0</v>
      </c>
      <c r="V1527" s="225">
        <f>INDEX('Constants and Mappings'!$V$1633:$V$1644,MATCH($I1527,'Constants and Mappings'!$A$1633:$A$1644,0))</f>
        <v>0.0</v>
      </c>
      <c r="W1527" s="197">
        <f>INDEX(EFSel,MATCH($B1527&amp;"|"&amp;$J1527,EFSelKey,0))*EFCalib</f>
        <v>0.06824927438265298</v>
      </c>
      <c r="X1527" s="195">
        <f>IF(LEFT(BalOpt,3)="Bal",$AY1527*$AV1527+$AZ1527*$AX1527,$BA1527)</f>
        <v>0.0</v>
      </c>
      <c r="Y1527" s="3" t="str">
        <f>IF($G1527="sub",$H1527,IF($B1527="oop","ind","trs"))</f>
        <v>trs</v>
      </c>
      <c r="Z1527" s="39">
        <f>IFERROR(MATCH($Y1527&amp;"|"&amp;$B1527,XKey,0),1)</f>
        <v>13.0</v>
      </c>
      <c r="AA1527" s="48">
        <f>INDEX(XCTVal,$Z1527,ECPEmb)+INDEX(XETSVal,$Z1527,ECPEmb)</f>
        <v>0.0</v>
      </c>
      <c r="AB1527" s="8" t="inlineStr">
        <is>
          <t>foo</t>
        </is>
      </c>
      <c r="AC1527" s="8" t="inlineStr">
        <is>
          <t>gso</t>
        </is>
      </c>
      <c r="AD1527" s="197">
        <f>IFERROR(INDEX(NCEfIn,MATCH($AB1527&amp;"."&amp;$AC1527&amp;".ch4",NCEfKey,0)),0)</f>
        <v>0.125604</v>
      </c>
      <c r="AE1527" s="197">
        <f>IFERROR(INDEX(NCEfFin,MATCH($AB1527&amp;"."&amp;$AC1527&amp;".ch4",NCEfKey,0)),0)</f>
        <v>0.125604</v>
      </c>
      <c r="AF1527" s="3" t="n">
        <v>0</v>
      </c>
      <c r="AG1527" s="197">
        <f>IFERROR(INDEX(NCEfIn,MATCH($AB1527&amp;"."&amp;$AC1527&amp;".pm2",NCEfKey,0)),0)</f>
        <v>0.020934</v>
      </c>
      <c r="AH1527" s="197">
        <f>IFERROR(INDEX(NCEfFin,MATCH($AB1527&amp;"."&amp;$AC1527&amp;".pm2",NCEfKey,0)),0)</f>
        <v>0.020934</v>
      </c>
      <c r="AI1527" s="197">
        <f>IFERROR(INDEX(NCEfIn,MATCH($AB1527&amp;"."&amp;$AC1527&amp;".nox",NCEfKey,0)),0)</f>
        <v>2.93076</v>
      </c>
      <c r="AJ1527" s="197">
        <f>IFERROR(INDEX(NCEfFin,MATCH($AB1527&amp;"."&amp;$AC1527&amp;".nox",NCEfKey,0)),0)</f>
        <v>2.93076</v>
      </c>
      <c r="AK1527" s="197">
        <f>IFERROR(INDEX(NCEfIn,MATCH($AB1527&amp;"."&amp;$AC1527&amp;".so2",NCEfKey,0)),0)</f>
        <v>0.9101726388000001</v>
      </c>
      <c r="AL1527" s="197">
        <f>IFERROR(INDEX(NCEfFin,MATCH($AB1527&amp;"."&amp;$AC1527&amp;".so2",NCEfKey,0)),0)</f>
        <v>0.9101726388000001</v>
      </c>
      <c r="AM1527" s="197">
        <f>IFERROR(INDEX(NCEfIn,MATCH($AB1527&amp;"."&amp;$AC1527&amp;".voc",NCEfKey,0)),0)</f>
        <v>0.10467</v>
      </c>
      <c r="AN1527" s="197">
        <f>IFERROR(INDEX(NCEfFin,MATCH($AB1527&amp;"."&amp;$AC1527&amp;".voc",NCEfKey,0)),0)</f>
        <v>0.10467</v>
      </c>
      <c r="AO1527" s="197">
        <f>IFERROR(INDEX(NCEfIn,MATCH($AB1527&amp;"."&amp;$AC1527&amp;".bc",NCEfKey,0)),0)</f>
        <v>0.001402578</v>
      </c>
      <c r="AP1527" s="197">
        <f>IFERROR(INDEX(NCEfFin,MATCH($AB1527&amp;"."&amp;$AC1527&amp;".bc",NCEfKey,0)),0)</f>
        <v>0.001402578</v>
      </c>
      <c r="AQ1527" s="197">
        <f>IFERROR(INDEX(NCEfIn,MATCH($AB1527&amp;"."&amp;$AC1527&amp;".oc",NCEfKey,0)),0)</f>
        <v>0.0157005</v>
      </c>
      <c r="AR1527" s="197">
        <f>IFERROR(INDEX(NCEfFin,MATCH($AB1527&amp;"."&amp;$AC1527&amp;".oc",NCEfKey,0)),0)</f>
        <v>0.0157005</v>
      </c>
      <c r="AS1527" s="197">
        <f>IFERROR(INDEX(NCEfIn,MATCH($AB1527&amp;"."&amp;$AC1527&amp;".co",NCEfKey,0)),0)</f>
        <v>1.67472</v>
      </c>
      <c r="AT1527" s="197">
        <f>IFERROR(INDEX(NCEfFin,MATCH($AB1527&amp;"."&amp;$AC1527&amp;".co",NCEfKey,0)),0)</f>
        <v>1.67472</v>
      </c>
      <c r="AU1527" s="3" t="str">
        <f>INDEX('Constants and Mappings'!$J$186:$J$201,MATCH($C1527,SubKey,0))</f>
        <v>food_forest</v>
      </c>
      <c r="AV1527" s="3">
        <f>INDEX('Constants and Mappings'!$K$186:$K$201,MATCH($C1527,SubKey,0))</f>
        <v>1.0</v>
      </c>
      <c r="AW1527" s="3" t="str">
        <f>INDEX('Constants and Mappings'!$L$186:$L$201,MATCH($C1527,SubKey,0))&amp;""</f>
        <v/>
      </c>
      <c r="AX1527" s="3">
        <f>INDEX('Constants and Mappings'!$M$186:$M$201,MATCH($C1527,SubKey,0))</f>
        <v>0.0</v>
      </c>
      <c r="AY1527" s="3" t="n">
        <v>0</v>
      </c>
      <c r="AZ1527" s="3" t="n">
        <v>0</v>
      </c>
      <c r="BA1527" s="3" t="n">
        <v>0</v>
      </c>
      <c r="BB1527" s="3" t="n">
        <v>0</v>
      </c>
      <c r="BC1527" s="3" t="n">
        <v>0</v>
      </c>
      <c r="BD1527" s="3">
        <f>IFERROR($BB1527/$BC1527,0)</f>
        <v>0.0</v>
      </c>
      <c r="BE1527" s="133" t="n">
        <v>1</v>
      </c>
      <c r="BF1527" s="39" t="n">
        <v>1</v>
      </c>
    </row>
    <row r="1528">
      <c r="A1528" s="3" t="str">
        <f>$B1528&amp;"|"&amp;$C1528</f>
        <v>die|foo</v>
      </c>
      <c r="B1528" s="8" t="inlineStr">
        <is>
          <t>die</t>
        </is>
      </c>
      <c r="C1528" s="8" t="inlineStr">
        <is>
          <t>foo</t>
        </is>
      </c>
      <c r="D1528" s="3" t="str">
        <f>INDEX('Constants and Mappings'!$D$186:$D$201,MATCH($C1528,SubKey,0))</f>
        <v>ind</v>
      </c>
      <c r="E1528" s="3" t="str">
        <f>INDEX('Constants and Mappings'!$C$229:$C$237,MATCH($B1528,FuelKey,0))</f>
        <v>die</v>
      </c>
      <c r="F1528" s="3" t="str">
        <f>INDEX('Constants and Mappings'!$D$229:$D$237,MATCH($B1528,FuelKey,0))</f>
        <v>oil</v>
      </c>
      <c r="G1528" s="3" t="str">
        <f>INDEX('Constants and Mappings'!$E$229:$E$237,MATCH($B1528,FuelKey,0))</f>
        <v>all</v>
      </c>
      <c r="H1528" s="3" t="str">
        <f>INDEX('Constants and Mappings'!$F$186:$F$201,MATCH($C1528,SubKey,0))</f>
        <v>ind</v>
      </c>
      <c r="I1528" s="3" t="str">
        <f>INDEX('Constants and Mappings'!$I$229:$I$237,MATCH($B1528,FuelKey,0))&amp;"."&amp;IF($G1528="sub",$H1528,"all")</f>
        <v>die.all</v>
      </c>
      <c r="J1528" s="3" t="str">
        <f>INDEX('Constants and Mappings'!$E$186:$E$201,MATCH($C1528,SubKey,0))</f>
        <v>res</v>
      </c>
      <c r="K1528" s="3">
        <f>INDEX('Constants and Mappings'!$G$229:$G$237,MATCH($B1528,FuelKey,0))</f>
        <v>0.03729519000000001</v>
      </c>
      <c r="L1528" s="3">
        <f>INDEX('Constants and Mappings'!$H$229:$H$237,MATCH($B1528,FuelKey,0))</f>
        <v>4.0</v>
      </c>
      <c r="M1528" s="3">
        <f>INDEX('Constants and Mappings'!$H$186:$H$201,MATCH($C1528,SubKey,0))</f>
        <v>7.0</v>
      </c>
      <c r="N1528" s="3">
        <f>INDEX('Constants and Mappings'!$E$300:$E$313,MATCH($I1528,'Constants and Mappings'!$A$300:$A$313,0))</f>
        <v>10.0</v>
      </c>
      <c r="O1528" s="48">
        <f>INDEX(ElaSel,MATCH("inc|"&amp;$E1528&amp;"|"&amp;$D1528,ElaSelKey,0))</f>
        <v>0.5</v>
      </c>
      <c r="P1528" s="48">
        <f>INDEX(ElaSel,MATCH("usg|"&amp;$E1528&amp;"|"&amp;$D1528,ElaSelKey,0))</f>
        <v>-0.7</v>
      </c>
      <c r="Q1528" s="48">
        <f>INDEX(ElaSel,MATCH("eff|"&amp;$E1528&amp;"|"&amp;$D1528,ElaSelKey,0))</f>
        <v>-1.2</v>
      </c>
      <c r="R1528" s="225">
        <f>INDEX(ElaSel,MATCH("aei|"&amp;$F1528&amp;"|"&amp;$D1528,ElaSelKey,0))</f>
        <v>0.005</v>
      </c>
      <c r="S1528" s="133" t="n">
        <v>3</v>
      </c>
      <c r="T1528" s="48">
        <f>$Q1528*(1+$P1528)</f>
        <v>-0.36000000000000004</v>
      </c>
      <c r="U1528" s="3">
        <f>INDEX('Constants and Mappings'!$E$1633:$E$1644,MATCH($I1528,'Constants and Mappings'!$A$1633:$A$1644,0))</f>
        <v>196.0</v>
      </c>
      <c r="V1528" s="225">
        <f>INDEX('Constants and Mappings'!$V$1633:$V$1644,MATCH($I1528,'Constants and Mappings'!$A$1633:$A$1644,0))</f>
        <v>0.0</v>
      </c>
      <c r="W1528" s="197">
        <f>INDEX(EFSel,MATCH($B1528&amp;"|"&amp;$J1528,EFSelKey,0))*EFCalib</f>
        <v>0.07307266778042053</v>
      </c>
      <c r="X1528" s="195">
        <f>IF(LEFT(BalOpt,3)="Bal",$AY1528*$AV1528+$AZ1528*$AX1528,$BA1528)</f>
        <v>874.1246972853596</v>
      </c>
      <c r="Y1528" s="3" t="str">
        <f>IF($G1528="sub",$H1528,IF($B1528="oop","ind","trs"))</f>
        <v>trs</v>
      </c>
      <c r="Z1528" s="39">
        <f>IFERROR(MATCH($Y1528&amp;"|"&amp;$B1528,XKey,0),1)</f>
        <v>14.0</v>
      </c>
      <c r="AA1528" s="48">
        <f>INDEX(XCTVal,$Z1528,ECPEmb)+INDEX(XETSVal,$Z1528,ECPEmb)</f>
        <v>0.0</v>
      </c>
      <c r="AB1528" s="8" t="inlineStr">
        <is>
          <t>foo</t>
        </is>
      </c>
      <c r="AC1528" s="8" t="inlineStr">
        <is>
          <t>die</t>
        </is>
      </c>
      <c r="AD1528" s="197">
        <f>IFERROR(INDEX(NCEfIn,MATCH($AB1528&amp;"."&amp;$AC1528&amp;".ch4",NCEfKey,0)),0)</f>
        <v>0.125604</v>
      </c>
      <c r="AE1528" s="197">
        <f>IFERROR(INDEX(NCEfFin,MATCH($AB1528&amp;"."&amp;$AC1528&amp;".ch4",NCEfKey,0)),0)</f>
        <v>0.125604</v>
      </c>
      <c r="AF1528" s="3" t="n">
        <v>0</v>
      </c>
      <c r="AG1528" s="197">
        <f>IFERROR(INDEX(NCEfIn,MATCH($AB1528&amp;"."&amp;$AC1528&amp;".pm2",NCEfKey,0)),0)</f>
        <v>0.0078335028</v>
      </c>
      <c r="AH1528" s="197">
        <f>IFERROR(INDEX(NCEfFin,MATCH($AB1528&amp;"."&amp;$AC1528&amp;".pm2",NCEfKey,0)),0)</f>
        <v>0.0078335028</v>
      </c>
      <c r="AI1528" s="197">
        <f>IFERROR(INDEX(NCEfIn,MATCH($AB1528&amp;"."&amp;$AC1528&amp;".nox",NCEfKey,0)),0)</f>
        <v>6.2802</v>
      </c>
      <c r="AJ1528" s="197">
        <f>IFERROR(INDEX(NCEfFin,MATCH($AB1528&amp;"."&amp;$AC1528&amp;".nox",NCEfKey,0)),0)</f>
        <v>6.2802</v>
      </c>
      <c r="AK1528" s="197">
        <f>IFERROR(INDEX(NCEfIn,MATCH($AB1528&amp;"."&amp;$AC1528&amp;".so2",NCEfKey,0)),0)</f>
        <v>3.7691541396</v>
      </c>
      <c r="AL1528" s="197">
        <f>IFERROR(INDEX(NCEfFin,MATCH($AB1528&amp;"."&amp;$AC1528&amp;".so2",NCEfKey,0)),0)</f>
        <v>3.7691541396</v>
      </c>
      <c r="AM1528" s="197">
        <f>IFERROR(INDEX(NCEfIn,MATCH($AB1528&amp;"."&amp;$AC1528&amp;".voc",NCEfKey,0)),0)</f>
        <v>0.167472</v>
      </c>
      <c r="AN1528" s="197">
        <f>IFERROR(INDEX(NCEfFin,MATCH($AB1528&amp;"."&amp;$AC1528&amp;".voc",NCEfKey,0)),0)</f>
        <v>0.167472</v>
      </c>
      <c r="AO1528" s="197">
        <f>IFERROR(INDEX(NCEfIn,MATCH($AB1528&amp;"."&amp;$AC1528&amp;".bc",NCEfKey,0)),0)</f>
        <v>0.0043835796</v>
      </c>
      <c r="AP1528" s="197">
        <f>IFERROR(INDEX(NCEfFin,MATCH($AB1528&amp;"."&amp;$AC1528&amp;".bc",NCEfKey,0)),0)</f>
        <v>0.0043835796</v>
      </c>
      <c r="AQ1528" s="197">
        <f>IFERROR(INDEX(NCEfIn,MATCH($AB1528&amp;"."&amp;$AC1528&amp;".oc",NCEfKey,0)),0)</f>
        <v>0.0006657012000000001</v>
      </c>
      <c r="AR1528" s="197">
        <f>IFERROR(INDEX(NCEfFin,MATCH($AB1528&amp;"."&amp;$AC1528&amp;".oc",NCEfKey,0)),0)</f>
        <v>0.0006657012000000001</v>
      </c>
      <c r="AS1528" s="197">
        <f>IFERROR(INDEX(NCEfIn,MATCH($AB1528&amp;"."&amp;$AC1528&amp;".co",NCEfKey,0)),0)</f>
        <v>1.67472</v>
      </c>
      <c r="AT1528" s="197">
        <f>IFERROR(INDEX(NCEfFin,MATCH($AB1528&amp;"."&amp;$AC1528&amp;".co",NCEfKey,0)),0)</f>
        <v>1.67472</v>
      </c>
      <c r="AU1528" s="3" t="str">
        <f>INDEX('Constants and Mappings'!$J$186:$J$201,MATCH($C1528,SubKey,0))</f>
        <v>food_forest</v>
      </c>
      <c r="AV1528" s="3">
        <f>INDEX('Constants and Mappings'!$K$186:$K$201,MATCH($C1528,SubKey,0))</f>
        <v>1.0</v>
      </c>
      <c r="AW1528" s="3" t="str">
        <f>INDEX('Constants and Mappings'!$L$186:$L$201,MATCH($C1528,SubKey,0))&amp;""</f>
        <v/>
      </c>
      <c r="AX1528" s="3">
        <f>INDEX('Constants and Mappings'!$M$186:$M$201,MATCH($C1528,SubKey,0))</f>
        <v>0.0</v>
      </c>
      <c r="AY1528" s="3" t="n">
        <v>874.1246972853596</v>
      </c>
      <c r="AZ1528" s="3" t="n">
        <v>0</v>
      </c>
      <c r="BA1528" s="3" t="n">
        <v>874.1246972853596</v>
      </c>
      <c r="BB1528" s="3" t="n">
        <v>0</v>
      </c>
      <c r="BC1528" s="3" t="n">
        <v>0</v>
      </c>
      <c r="BD1528" s="3">
        <f>IFERROR($BB1528/$BC1528,0)</f>
        <v>0.0</v>
      </c>
      <c r="BE1528" s="133" t="n">
        <v>1</v>
      </c>
      <c r="BF1528" s="39" t="n">
        <v>1</v>
      </c>
    </row>
    <row r="1529">
      <c r="A1529" s="3" t="str">
        <f>$B1529&amp;"|"&amp;$C1529</f>
        <v>lpg|foo</v>
      </c>
      <c r="B1529" s="8" t="inlineStr">
        <is>
          <t>lpg</t>
        </is>
      </c>
      <c r="C1529" s="8" t="inlineStr">
        <is>
          <t>foo</t>
        </is>
      </c>
      <c r="D1529" s="3" t="str">
        <f>INDEX('Constants and Mappings'!$D$186:$D$201,MATCH($C1529,SubKey,0))</f>
        <v>ind</v>
      </c>
      <c r="E1529" s="3" t="str">
        <f>INDEX('Constants and Mappings'!$C$229:$C$237,MATCH($B1529,FuelKey,0))</f>
        <v>oil</v>
      </c>
      <c r="F1529" s="3" t="str">
        <f>INDEX('Constants and Mappings'!$D$229:$D$237,MATCH($B1529,FuelKey,0))</f>
        <v>oil</v>
      </c>
      <c r="G1529" s="3" t="str">
        <f>INDEX('Constants and Mappings'!$E$229:$E$237,MATCH($B1529,FuelKey,0))</f>
        <v>all</v>
      </c>
      <c r="H1529" s="3" t="str">
        <f>INDEX('Constants and Mappings'!$F$186:$F$201,MATCH($C1529,SubKey,0))</f>
        <v>ind</v>
      </c>
      <c r="I1529" s="3" t="str">
        <f>INDEX('Constants and Mappings'!$I$229:$I$237,MATCH($B1529,FuelKey,0))&amp;"."&amp;IF($G1529="sub",$H1529,"all")</f>
        <v>lpg.all</v>
      </c>
      <c r="J1529" s="3" t="str">
        <f>INDEX('Constants and Mappings'!$E$186:$E$201,MATCH($C1529,SubKey,0))</f>
        <v>res</v>
      </c>
      <c r="K1529" s="3">
        <f>INDEX('Constants and Mappings'!$G$229:$G$237,MATCH($B1529,FuelKey,0))</f>
        <v>0.02577968854495125</v>
      </c>
      <c r="L1529" s="3">
        <f>INDEX('Constants and Mappings'!$H$229:$H$237,MATCH($B1529,FuelKey,0))</f>
        <v>5.0</v>
      </c>
      <c r="M1529" s="3">
        <f>INDEX('Constants and Mappings'!$H$186:$H$201,MATCH($C1529,SubKey,0))</f>
        <v>7.0</v>
      </c>
      <c r="N1529" s="3">
        <f>INDEX('Constants and Mappings'!$E$300:$E$313,MATCH($I1529,'Constants and Mappings'!$A$300:$A$313,0))</f>
        <v>11.0</v>
      </c>
      <c r="O1529" s="48">
        <f>INDEX(ElaSel,MATCH("inc|"&amp;$E1529&amp;"|"&amp;$D1529,ElaSelKey,0))</f>
        <v>0.8</v>
      </c>
      <c r="P1529" s="48">
        <f>INDEX(ElaSel,MATCH("usg|"&amp;$E1529&amp;"|"&amp;$D1529,ElaSelKey,0))</f>
        <v>-0.4</v>
      </c>
      <c r="Q1529" s="48">
        <f>INDEX(ElaSel,MATCH("eff|"&amp;$E1529&amp;"|"&amp;$D1529,ElaSelKey,0))</f>
        <v>-0.4</v>
      </c>
      <c r="R1529" s="225">
        <f>INDEX(ElaSel,MATCH("aei|"&amp;$F1529&amp;"|"&amp;$D1529,ElaSelKey,0))</f>
        <v>0.005</v>
      </c>
      <c r="S1529" s="133" t="n">
        <v>3</v>
      </c>
      <c r="T1529" s="48">
        <f>$Q1529*(1+$P1529)</f>
        <v>-0.24</v>
      </c>
      <c r="U1529" s="3">
        <f>INDEX('Constants and Mappings'!$E$1633:$E$1644,MATCH($I1529,'Constants and Mappings'!$A$1633:$A$1644,0))</f>
        <v>225.0</v>
      </c>
      <c r="V1529" s="225">
        <f>INDEX('Constants and Mappings'!$V$1633:$V$1644,MATCH($I1529,'Constants and Mappings'!$A$1633:$A$1644,0))</f>
        <v>0.0</v>
      </c>
      <c r="W1529" s="197">
        <f>INDEX(EFSel,MATCH($B1529&amp;"|"&amp;$J1529,EFSelKey,0))*EFCalib</f>
        <v>0.06829407370213687</v>
      </c>
      <c r="X1529" s="195">
        <f>IF(LEFT(BalOpt,3)="Bal",$AY1529*$AV1529+$AZ1529*$AX1529,$BA1529)</f>
        <v>0.0</v>
      </c>
      <c r="Y1529" s="3" t="str">
        <f>IF($G1529="sub",$H1529,IF($B1529="oop","ind","trs"))</f>
        <v>trs</v>
      </c>
      <c r="Z1529" s="39">
        <f>IFERROR(MATCH($Y1529&amp;"|"&amp;$B1529,XKey,0),1)</f>
        <v>15.0</v>
      </c>
      <c r="AA1529" s="48">
        <f>INDEX(XCTVal,$Z1529,ECPEmb)+INDEX(XETSVal,$Z1529,ECPEmb)</f>
        <v>0.0</v>
      </c>
      <c r="AB1529" s="8" t="inlineStr">
        <is>
          <t>foo</t>
        </is>
      </c>
      <c r="AC1529" s="8" t="inlineStr">
        <is>
          <t>lpg</t>
        </is>
      </c>
      <c r="AD1529" s="197">
        <f>IFERROR(INDEX(NCEfIn,MATCH($AB1529&amp;"."&amp;$AC1529&amp;".ch4",NCEfKey,0)),0)</f>
        <v>0.041868</v>
      </c>
      <c r="AE1529" s="197">
        <f>IFERROR(INDEX(NCEfFin,MATCH($AB1529&amp;"."&amp;$AC1529&amp;".ch4",NCEfKey,0)),0)</f>
        <v>0.041868</v>
      </c>
      <c r="AF1529" s="3" t="n">
        <v>0</v>
      </c>
      <c r="AG1529" s="197">
        <f>IFERROR(INDEX(NCEfIn,MATCH($AB1529&amp;"."&amp;$AC1529&amp;".pm2",NCEfKey,0)),0)</f>
        <v>0.0083736</v>
      </c>
      <c r="AH1529" s="197">
        <f>IFERROR(INDEX(NCEfFin,MATCH($AB1529&amp;"."&amp;$AC1529&amp;".pm2",NCEfKey,0)),0)</f>
        <v>0.0083736</v>
      </c>
      <c r="AI1529" s="197">
        <f>IFERROR(INDEX(NCEfIn,MATCH($AB1529&amp;"."&amp;$AC1529&amp;".nox",NCEfKey,0)),0)</f>
        <v>2.93076</v>
      </c>
      <c r="AJ1529" s="197">
        <f>IFERROR(INDEX(NCEfFin,MATCH($AB1529&amp;"."&amp;$AC1529&amp;".nox",NCEfKey,0)),0)</f>
        <v>2.93076</v>
      </c>
      <c r="AK1529" s="197">
        <f>IFERROR(INDEX(NCEfIn,MATCH($AB1529&amp;"."&amp;$AC1529&amp;".so2",NCEfKey,0)),0)</f>
        <v>0.0</v>
      </c>
      <c r="AL1529" s="197">
        <f>IFERROR(INDEX(NCEfFin,MATCH($AB1529&amp;"."&amp;$AC1529&amp;".so2",NCEfKey,0)),0)</f>
        <v>0.0</v>
      </c>
      <c r="AM1529" s="197">
        <f>IFERROR(INDEX(NCEfIn,MATCH($AB1529&amp;"."&amp;$AC1529&amp;".voc",NCEfKey,0)),0)</f>
        <v>0.0</v>
      </c>
      <c r="AN1529" s="197">
        <f>IFERROR(INDEX(NCEfFin,MATCH($AB1529&amp;"."&amp;$AC1529&amp;".voc",NCEfKey,0)),0)</f>
        <v>0.0</v>
      </c>
      <c r="AO1529" s="197">
        <f>IFERROR(INDEX(NCEfIn,MATCH($AB1529&amp;"."&amp;$AC1529&amp;".bc",NCEfKey,0)),0)</f>
        <v>0.0005610312000000001</v>
      </c>
      <c r="AP1529" s="197">
        <f>IFERROR(INDEX(NCEfFin,MATCH($AB1529&amp;"."&amp;$AC1529&amp;".bc",NCEfKey,0)),0)</f>
        <v>0.0005610312000000001</v>
      </c>
      <c r="AQ1529" s="197">
        <f>IFERROR(INDEX(NCEfIn,MATCH($AB1529&amp;"."&amp;$AC1529&amp;".oc",NCEfKey,0)),0)</f>
        <v>0.0</v>
      </c>
      <c r="AR1529" s="197">
        <f>IFERROR(INDEX(NCEfFin,MATCH($AB1529&amp;"."&amp;$AC1529&amp;".oc",NCEfKey,0)),0)</f>
        <v>0.0</v>
      </c>
      <c r="AS1529" s="197">
        <f>IFERROR(INDEX(NCEfIn,MATCH($AB1529&amp;"."&amp;$AC1529&amp;".co",NCEfKey,0)),0)</f>
        <v>0.62802</v>
      </c>
      <c r="AT1529" s="197">
        <f>IFERROR(INDEX(NCEfFin,MATCH($AB1529&amp;"."&amp;$AC1529&amp;".co",NCEfKey,0)),0)</f>
        <v>0.62802</v>
      </c>
      <c r="AU1529" s="3" t="str">
        <f>INDEX('Constants and Mappings'!$J$186:$J$201,MATCH($C1529,SubKey,0))</f>
        <v>food_forest</v>
      </c>
      <c r="AV1529" s="3">
        <f>INDEX('Constants and Mappings'!$K$186:$K$201,MATCH($C1529,SubKey,0))</f>
        <v>1.0</v>
      </c>
      <c r="AW1529" s="3" t="str">
        <f>INDEX('Constants and Mappings'!$L$186:$L$201,MATCH($C1529,SubKey,0))&amp;""</f>
        <v/>
      </c>
      <c r="AX1529" s="3">
        <f>INDEX('Constants and Mappings'!$M$186:$M$201,MATCH($C1529,SubKey,0))</f>
        <v>0.0</v>
      </c>
      <c r="AY1529" s="3" t="n">
        <v>0</v>
      </c>
      <c r="AZ1529" s="3" t="n">
        <v>0</v>
      </c>
      <c r="BA1529" s="3" t="n">
        <v>0</v>
      </c>
      <c r="BB1529" s="3" t="n">
        <v>0</v>
      </c>
      <c r="BC1529" s="3" t="n">
        <v>0</v>
      </c>
      <c r="BD1529" s="3">
        <f>IFERROR($BB1529/$BC1529,0)</f>
        <v>0.0</v>
      </c>
      <c r="BE1529" s="133" t="n">
        <v>1</v>
      </c>
      <c r="BF1529" s="39" t="n">
        <v>1</v>
      </c>
    </row>
    <row r="1530">
      <c r="A1530" s="3" t="str">
        <f>$B1530&amp;"|"&amp;$C1530</f>
        <v>ker|foo</v>
      </c>
      <c r="B1530" s="8" t="inlineStr">
        <is>
          <t>ker</t>
        </is>
      </c>
      <c r="C1530" s="8" t="inlineStr">
        <is>
          <t>foo</t>
        </is>
      </c>
      <c r="D1530" s="3" t="str">
        <f>INDEX('Constants and Mappings'!$D$186:$D$201,MATCH($C1530,SubKey,0))</f>
        <v>ind</v>
      </c>
      <c r="E1530" s="3" t="str">
        <f>INDEX('Constants and Mappings'!$C$229:$C$237,MATCH($B1530,FuelKey,0))</f>
        <v>oil</v>
      </c>
      <c r="F1530" s="3" t="str">
        <f>INDEX('Constants and Mappings'!$D$229:$D$237,MATCH($B1530,FuelKey,0))</f>
        <v>oil</v>
      </c>
      <c r="G1530" s="3" t="str">
        <f>INDEX('Constants and Mappings'!$E$229:$E$237,MATCH($B1530,FuelKey,0))</f>
        <v>all</v>
      </c>
      <c r="H1530" s="3" t="str">
        <f>INDEX('Constants and Mappings'!$F$186:$F$201,MATCH($C1530,SubKey,0))</f>
        <v>ind</v>
      </c>
      <c r="I1530" s="3" t="str">
        <f>INDEX('Constants and Mappings'!$I$229:$I$237,MATCH($B1530,FuelKey,0))&amp;"."&amp;IF($G1530="sub",$H1530,"all")</f>
        <v>ker.all</v>
      </c>
      <c r="J1530" s="3" t="str">
        <f>INDEX('Constants and Mappings'!$E$186:$E$201,MATCH($C1530,SubKey,0))</f>
        <v>res</v>
      </c>
      <c r="K1530" s="3">
        <f>INDEX('Constants and Mappings'!$G$229:$G$237,MATCH($B1530,FuelKey,0))</f>
        <v>0.03774882965510715</v>
      </c>
      <c r="L1530" s="3">
        <f>INDEX('Constants and Mappings'!$H$229:$H$237,MATCH($B1530,FuelKey,0))</f>
        <v>6.0</v>
      </c>
      <c r="M1530" s="3">
        <f>INDEX('Constants and Mappings'!$H$186:$H$201,MATCH($C1530,SubKey,0))</f>
        <v>7.0</v>
      </c>
      <c r="N1530" s="3">
        <f>INDEX('Constants and Mappings'!$E$300:$E$313,MATCH($I1530,'Constants and Mappings'!$A$300:$A$313,0))</f>
        <v>12.0</v>
      </c>
      <c r="O1530" s="48">
        <f>INDEX(ElaSel,MATCH("inc|"&amp;$E1530&amp;"|"&amp;$D1530,ElaSelKey,0))</f>
        <v>0.8</v>
      </c>
      <c r="P1530" s="48">
        <f>INDEX(ElaSel,MATCH("usg|"&amp;$E1530&amp;"|"&amp;$D1530,ElaSelKey,0))</f>
        <v>-0.4</v>
      </c>
      <c r="Q1530" s="48">
        <f>INDEX(ElaSel,MATCH("eff|"&amp;$E1530&amp;"|"&amp;$D1530,ElaSelKey,0))</f>
        <v>-0.4</v>
      </c>
      <c r="R1530" s="225">
        <f>INDEX(ElaSel,MATCH("aei|"&amp;$F1530&amp;"|"&amp;$D1530,ElaSelKey,0))</f>
        <v>0.005</v>
      </c>
      <c r="S1530" s="133" t="n">
        <v>3</v>
      </c>
      <c r="T1530" s="48">
        <f>$Q1530*(1+$P1530)</f>
        <v>-0.24</v>
      </c>
      <c r="U1530" s="3">
        <f>INDEX('Constants and Mappings'!$E$1633:$E$1644,MATCH($I1530,'Constants and Mappings'!$A$1633:$A$1644,0))</f>
        <v>254.0</v>
      </c>
      <c r="V1530" s="225">
        <f>INDEX('Constants and Mappings'!$V$1633:$V$1644,MATCH($I1530,'Constants and Mappings'!$A$1633:$A$1644,0))</f>
        <v>0.0</v>
      </c>
      <c r="W1530" s="197">
        <f>INDEX(EFSel,MATCH($B1530&amp;"|"&amp;$J1530,EFSelKey,0))*EFCalib</f>
        <v>0.06824927438265298</v>
      </c>
      <c r="X1530" s="195">
        <f>IF(LEFT(BalOpt,3)="Bal",$AY1530*$AV1530+$AZ1530*$AX1530,$BA1530)</f>
        <v>0.3188951440504167</v>
      </c>
      <c r="Y1530" s="3" t="str">
        <f>IF($G1530="sub",$H1530,IF($B1530="oop","ind","trs"))</f>
        <v>trs</v>
      </c>
      <c r="Z1530" s="39">
        <f>IFERROR(MATCH($Y1530&amp;"|"&amp;$B1530,XKey,0),1)</f>
        <v>16.0</v>
      </c>
      <c r="AA1530" s="48">
        <f>INDEX(XCTVal,$Z1530,ECPEmb)+INDEX(XETSVal,$Z1530,ECPEmb)</f>
        <v>0.0</v>
      </c>
      <c r="AB1530" s="8" t="inlineStr">
        <is>
          <t>foo</t>
        </is>
      </c>
      <c r="AC1530" s="8" t="inlineStr">
        <is>
          <t>ker</t>
        </is>
      </c>
      <c r="AD1530" s="197">
        <f>IFERROR(INDEX(NCEfIn,MATCH($AB1530&amp;"."&amp;$AC1530&amp;".ch4",NCEfKey,0)),0)</f>
        <v>0.125604</v>
      </c>
      <c r="AE1530" s="197">
        <f>IFERROR(INDEX(NCEfFin,MATCH($AB1530&amp;"."&amp;$AC1530&amp;".ch4",NCEfKey,0)),0)</f>
        <v>0.125604</v>
      </c>
      <c r="AF1530" s="3" t="n">
        <v>0</v>
      </c>
      <c r="AG1530" s="197">
        <f>IFERROR(INDEX(NCEfIn,MATCH($AB1530&amp;"."&amp;$AC1530&amp;".pm2",NCEfKey,0)),0)</f>
        <v>0.020934</v>
      </c>
      <c r="AH1530" s="197">
        <f>IFERROR(INDEX(NCEfFin,MATCH($AB1530&amp;"."&amp;$AC1530&amp;".pm2",NCEfKey,0)),0)</f>
        <v>0.020934</v>
      </c>
      <c r="AI1530" s="197">
        <f>IFERROR(INDEX(NCEfIn,MATCH($AB1530&amp;"."&amp;$AC1530&amp;".nox",NCEfKey,0)),0)</f>
        <v>2.93076</v>
      </c>
      <c r="AJ1530" s="197">
        <f>IFERROR(INDEX(NCEfFin,MATCH($AB1530&amp;"."&amp;$AC1530&amp;".nox",NCEfKey,0)),0)</f>
        <v>2.93076</v>
      </c>
      <c r="AK1530" s="197">
        <f>IFERROR(INDEX(NCEfIn,MATCH($AB1530&amp;"."&amp;$AC1530&amp;".so2",NCEfKey,0)),0)</f>
        <v>0.9101726388000001</v>
      </c>
      <c r="AL1530" s="197">
        <f>IFERROR(INDEX(NCEfFin,MATCH($AB1530&amp;"."&amp;$AC1530&amp;".so2",NCEfKey,0)),0)</f>
        <v>0.9101726388000001</v>
      </c>
      <c r="AM1530" s="197">
        <f>IFERROR(INDEX(NCEfIn,MATCH($AB1530&amp;"."&amp;$AC1530&amp;".voc",NCEfKey,0)),0)</f>
        <v>0.10467</v>
      </c>
      <c r="AN1530" s="197">
        <f>IFERROR(INDEX(NCEfFin,MATCH($AB1530&amp;"."&amp;$AC1530&amp;".voc",NCEfKey,0)),0)</f>
        <v>0.10467</v>
      </c>
      <c r="AO1530" s="197">
        <f>IFERROR(INDEX(NCEfIn,MATCH($AB1530&amp;"."&amp;$AC1530&amp;".bc",NCEfKey,0)),0)</f>
        <v>0.001402578</v>
      </c>
      <c r="AP1530" s="197">
        <f>IFERROR(INDEX(NCEfFin,MATCH($AB1530&amp;"."&amp;$AC1530&amp;".bc",NCEfKey,0)),0)</f>
        <v>0.001402578</v>
      </c>
      <c r="AQ1530" s="197">
        <f>IFERROR(INDEX(NCEfIn,MATCH($AB1530&amp;"."&amp;$AC1530&amp;".oc",NCEfKey,0)),0)</f>
        <v>0.0157005</v>
      </c>
      <c r="AR1530" s="197">
        <f>IFERROR(INDEX(NCEfFin,MATCH($AB1530&amp;"."&amp;$AC1530&amp;".oc",NCEfKey,0)),0)</f>
        <v>0.0157005</v>
      </c>
      <c r="AS1530" s="197">
        <f>IFERROR(INDEX(NCEfIn,MATCH($AB1530&amp;"."&amp;$AC1530&amp;".co",NCEfKey,0)),0)</f>
        <v>1.67472</v>
      </c>
      <c r="AT1530" s="197">
        <f>IFERROR(INDEX(NCEfFin,MATCH($AB1530&amp;"."&amp;$AC1530&amp;".co",NCEfKey,0)),0)</f>
        <v>1.67472</v>
      </c>
      <c r="AU1530" s="3" t="str">
        <f>INDEX('Constants and Mappings'!$J$186:$J$201,MATCH($C1530,SubKey,0))</f>
        <v>food_forest</v>
      </c>
      <c r="AV1530" s="3">
        <f>INDEX('Constants and Mappings'!$K$186:$K$201,MATCH($C1530,SubKey,0))</f>
        <v>1.0</v>
      </c>
      <c r="AW1530" s="3" t="str">
        <f>INDEX('Constants and Mappings'!$L$186:$L$201,MATCH($C1530,SubKey,0))&amp;""</f>
        <v/>
      </c>
      <c r="AX1530" s="3">
        <f>INDEX('Constants and Mappings'!$M$186:$M$201,MATCH($C1530,SubKey,0))</f>
        <v>0.0</v>
      </c>
      <c r="AY1530" s="3" t="n">
        <v>0.3188951440504167</v>
      </c>
      <c r="AZ1530" s="3" t="n">
        <v>0</v>
      </c>
      <c r="BA1530" s="3" t="n">
        <v>0.3188951440504167</v>
      </c>
      <c r="BB1530" s="3" t="n">
        <v>0</v>
      </c>
      <c r="BC1530" s="3" t="n">
        <v>0</v>
      </c>
      <c r="BD1530" s="3">
        <f>IFERROR($BB1530/$BC1530,0)</f>
        <v>0.0</v>
      </c>
      <c r="BE1530" s="133" t="n">
        <v>1</v>
      </c>
      <c r="BF1530" s="39" t="n">
        <v>1</v>
      </c>
    </row>
    <row r="1531">
      <c r="A1531" s="3" t="str">
        <f>$B1531&amp;"|"&amp;$C1531</f>
        <v>jfu|foo</v>
      </c>
      <c r="B1531" s="8" t="inlineStr">
        <is>
          <t>jfu</t>
        </is>
      </c>
      <c r="C1531" s="8" t="inlineStr">
        <is>
          <t>foo</t>
        </is>
      </c>
      <c r="D1531" s="3" t="str">
        <f>INDEX('Constants and Mappings'!$D$186:$D$201,MATCH($C1531,SubKey,0))</f>
        <v>ind</v>
      </c>
      <c r="E1531" s="3" t="str">
        <f>INDEX('Constants and Mappings'!$C$229:$C$237,MATCH($B1531,FuelKey,0))</f>
        <v>oil</v>
      </c>
      <c r="F1531" s="3" t="str">
        <f>INDEX('Constants and Mappings'!$D$229:$D$237,MATCH($B1531,FuelKey,0))</f>
        <v>oil</v>
      </c>
      <c r="G1531" s="3" t="str">
        <f>INDEX('Constants and Mappings'!$E$229:$E$237,MATCH($B1531,FuelKey,0))</f>
        <v>all</v>
      </c>
      <c r="H1531" s="3" t="str">
        <f>INDEX('Constants and Mappings'!$F$186:$F$201,MATCH($C1531,SubKey,0))</f>
        <v>ind</v>
      </c>
      <c r="I1531" s="3" t="str">
        <f>INDEX('Constants and Mappings'!$I$229:$I$237,MATCH($B1531,FuelKey,0))&amp;"."&amp;IF($G1531="sub",$H1531,"all")</f>
        <v>ker.all</v>
      </c>
      <c r="J1531" s="3" t="str">
        <f>INDEX('Constants and Mappings'!$E$186:$E$201,MATCH($C1531,SubKey,0))</f>
        <v>res</v>
      </c>
      <c r="K1531" s="3">
        <f>INDEX('Constants and Mappings'!$G$229:$G$237,MATCH($B1531,FuelKey,0))</f>
        <v>0.0348608</v>
      </c>
      <c r="L1531" s="3">
        <f>INDEX('Constants and Mappings'!$H$229:$H$237,MATCH($B1531,FuelKey,0))</f>
        <v>7.0</v>
      </c>
      <c r="M1531" s="3">
        <f>INDEX('Constants and Mappings'!$H$186:$H$201,MATCH($C1531,SubKey,0))</f>
        <v>7.0</v>
      </c>
      <c r="N1531" s="3">
        <f>INDEX('Constants and Mappings'!$E$300:$E$313,MATCH($I1531,'Constants and Mappings'!$A$300:$A$313,0))</f>
        <v>12.0</v>
      </c>
      <c r="O1531" s="48">
        <f>INDEX(ElaSel,MATCH("inc|"&amp;$E1531&amp;"|"&amp;$D1531,ElaSelKey,0))</f>
        <v>0.8</v>
      </c>
      <c r="P1531" s="48">
        <f>INDEX(ElaSel,MATCH("usg|"&amp;$E1531&amp;"|"&amp;$D1531,ElaSelKey,0))</f>
        <v>-0.4</v>
      </c>
      <c r="Q1531" s="48">
        <f>INDEX(ElaSel,MATCH("eff|"&amp;$E1531&amp;"|"&amp;$D1531,ElaSelKey,0))</f>
        <v>-0.4</v>
      </c>
      <c r="R1531" s="225">
        <f>INDEX(ElaSel,MATCH("aei|"&amp;$F1531&amp;"|"&amp;$D1531,ElaSelKey,0))</f>
        <v>0.005</v>
      </c>
      <c r="S1531" s="133" t="n">
        <v>3</v>
      </c>
      <c r="T1531" s="48">
        <f>$Q1531*(1+$P1531)</f>
        <v>-0.24</v>
      </c>
      <c r="U1531" s="3">
        <f>INDEX('Constants and Mappings'!$E$1633:$E$1644,MATCH($I1531,'Constants and Mappings'!$A$1633:$A$1644,0))</f>
        <v>254.0</v>
      </c>
      <c r="V1531" s="225">
        <f>INDEX('Constants and Mappings'!$V$1633:$V$1644,MATCH($I1531,'Constants and Mappings'!$A$1633:$A$1644,0))</f>
        <v>0.0</v>
      </c>
      <c r="W1531" s="197">
        <f>INDEX(EFSel,MATCH($B1531&amp;"|"&amp;$J1531,EFSelKey,0))*EFCalib</f>
        <v>0.07118114095776658</v>
      </c>
      <c r="X1531" s="195">
        <f>IF(LEFT(BalOpt,3)="Bal",$AY1531*$AV1531+$AZ1531*$AX1531,$BA1531)</f>
        <v>0.0</v>
      </c>
      <c r="Y1531" s="3" t="str">
        <f>IF($G1531="sub",$H1531,IF($B1531="oop","ind","trs"))</f>
        <v>trs</v>
      </c>
      <c r="Z1531" s="39">
        <f>IFERROR(MATCH($Y1531&amp;"|"&amp;$B1531,XKey,0),1)</f>
        <v>17.0</v>
      </c>
      <c r="AA1531" s="48">
        <f>INDEX(XCTVal,$Z1531,ECPEmb)+INDEX(XETSVal,$Z1531,ECPEmb)</f>
        <v>0.0</v>
      </c>
      <c r="AB1531" s="8" t="inlineStr">
        <is>
          <t>foo</t>
        </is>
      </c>
      <c r="AC1531" s="8" t="inlineStr">
        <is>
          <t>jfu</t>
        </is>
      </c>
      <c r="AD1531" s="197">
        <f>IFERROR(INDEX(NCEfIn,MATCH($AB1531&amp;"."&amp;$AC1531&amp;".ch4",NCEfKey,0)),0)</f>
        <v>0.0</v>
      </c>
      <c r="AE1531" s="197">
        <f>IFERROR(INDEX(NCEfFin,MATCH($AB1531&amp;"."&amp;$AC1531&amp;".ch4",NCEfKey,0)),0)</f>
        <v>0.0</v>
      </c>
      <c r="AF1531" s="3" t="n">
        <v>0</v>
      </c>
      <c r="AG1531" s="197">
        <f>IFERROR(INDEX(NCEfIn,MATCH($AB1531&amp;"."&amp;$AC1531&amp;".pm2",NCEfKey,0)),0)</f>
        <v>0.0</v>
      </c>
      <c r="AH1531" s="197">
        <f>IFERROR(INDEX(NCEfFin,MATCH($AB1531&amp;"."&amp;$AC1531&amp;".pm2",NCEfKey,0)),0)</f>
        <v>0.0</v>
      </c>
      <c r="AI1531" s="197">
        <f>IFERROR(INDEX(NCEfIn,MATCH($AB1531&amp;"."&amp;$AC1531&amp;".nox",NCEfKey,0)),0)</f>
        <v>0.0</v>
      </c>
      <c r="AJ1531" s="197">
        <f>IFERROR(INDEX(NCEfFin,MATCH($AB1531&amp;"."&amp;$AC1531&amp;".nox",NCEfKey,0)),0)</f>
        <v>0.0</v>
      </c>
      <c r="AK1531" s="197">
        <f>IFERROR(INDEX(NCEfIn,MATCH($AB1531&amp;"."&amp;$AC1531&amp;".so2",NCEfKey,0)),0)</f>
        <v>0.0</v>
      </c>
      <c r="AL1531" s="197">
        <f>IFERROR(INDEX(NCEfFin,MATCH($AB1531&amp;"."&amp;$AC1531&amp;".so2",NCEfKey,0)),0)</f>
        <v>0.0</v>
      </c>
      <c r="AM1531" s="197">
        <f>IFERROR(INDEX(NCEfIn,MATCH($AB1531&amp;"."&amp;$AC1531&amp;".voc",NCEfKey,0)),0)</f>
        <v>0.0</v>
      </c>
      <c r="AN1531" s="197">
        <f>IFERROR(INDEX(NCEfFin,MATCH($AB1531&amp;"."&amp;$AC1531&amp;".voc",NCEfKey,0)),0)</f>
        <v>0.0</v>
      </c>
      <c r="AO1531" s="197">
        <f>IFERROR(INDEX(NCEfIn,MATCH($AB1531&amp;"."&amp;$AC1531&amp;".bc",NCEfKey,0)),0)</f>
        <v>0.0</v>
      </c>
      <c r="AP1531" s="197">
        <f>IFERROR(INDEX(NCEfFin,MATCH($AB1531&amp;"."&amp;$AC1531&amp;".bc",NCEfKey,0)),0)</f>
        <v>0.0</v>
      </c>
      <c r="AQ1531" s="197">
        <f>IFERROR(INDEX(NCEfIn,MATCH($AB1531&amp;"."&amp;$AC1531&amp;".oc",NCEfKey,0)),0)</f>
        <v>0.0</v>
      </c>
      <c r="AR1531" s="197">
        <f>IFERROR(INDEX(NCEfFin,MATCH($AB1531&amp;"."&amp;$AC1531&amp;".oc",NCEfKey,0)),0)</f>
        <v>0.0</v>
      </c>
      <c r="AS1531" s="197">
        <f>IFERROR(INDEX(NCEfIn,MATCH($AB1531&amp;"."&amp;$AC1531&amp;".co",NCEfKey,0)),0)</f>
        <v>0.0</v>
      </c>
      <c r="AT1531" s="197">
        <f>IFERROR(INDEX(NCEfFin,MATCH($AB1531&amp;"."&amp;$AC1531&amp;".co",NCEfKey,0)),0)</f>
        <v>0.0</v>
      </c>
      <c r="AU1531" s="3" t="str">
        <f>INDEX('Constants and Mappings'!$J$186:$J$201,MATCH($C1531,SubKey,0))</f>
        <v>food_forest</v>
      </c>
      <c r="AV1531" s="3">
        <f>INDEX('Constants and Mappings'!$K$186:$K$201,MATCH($C1531,SubKey,0))</f>
        <v>1.0</v>
      </c>
      <c r="AW1531" s="3" t="str">
        <f>INDEX('Constants and Mappings'!$L$186:$L$201,MATCH($C1531,SubKey,0))&amp;""</f>
        <v/>
      </c>
      <c r="AX1531" s="3">
        <f>INDEX('Constants and Mappings'!$M$186:$M$201,MATCH($C1531,SubKey,0))</f>
        <v>0.0</v>
      </c>
      <c r="AY1531" s="3" t="n">
        <v>0</v>
      </c>
      <c r="AZ1531" s="3" t="n">
        <v>0</v>
      </c>
      <c r="BA1531" s="3" t="n">
        <v>0</v>
      </c>
      <c r="BB1531" s="3" t="n">
        <v>0</v>
      </c>
      <c r="BC1531" s="3" t="n">
        <v>0</v>
      </c>
      <c r="BD1531" s="3">
        <f>IFERROR($BB1531/$BC1531,0)</f>
        <v>0.0</v>
      </c>
      <c r="BE1531" s="133" t="n">
        <v>1</v>
      </c>
      <c r="BF1531" s="39" t="n">
        <v>1</v>
      </c>
    </row>
    <row r="1532">
      <c r="A1532" s="3" t="str">
        <f>$B1532&amp;"|"&amp;$C1532</f>
        <v>oop|foo</v>
      </c>
      <c r="B1532" s="8" t="inlineStr">
        <is>
          <t>oop</t>
        </is>
      </c>
      <c r="C1532" s="8" t="inlineStr">
        <is>
          <t>foo</t>
        </is>
      </c>
      <c r="D1532" s="3" t="str">
        <f>INDEX('Constants and Mappings'!$D$186:$D$201,MATCH($C1532,SubKey,0))</f>
        <v>ind</v>
      </c>
      <c r="E1532" s="3" t="str">
        <f>INDEX('Constants and Mappings'!$C$229:$C$237,MATCH($B1532,FuelKey,0))</f>
        <v>oil</v>
      </c>
      <c r="F1532" s="3" t="str">
        <f>INDEX('Constants and Mappings'!$D$229:$D$237,MATCH($B1532,FuelKey,0))</f>
        <v>oil</v>
      </c>
      <c r="G1532" s="3" t="str">
        <f>INDEX('Constants and Mappings'!$E$229:$E$237,MATCH($B1532,FuelKey,0))</f>
        <v>all</v>
      </c>
      <c r="H1532" s="3" t="str">
        <f>INDEX('Constants and Mappings'!$F$186:$F$201,MATCH($C1532,SubKey,0))</f>
        <v>ind</v>
      </c>
      <c r="I1532" s="3" t="str">
        <f>INDEX('Constants and Mappings'!$I$229:$I$237,MATCH($B1532,FuelKey,0))&amp;"."&amp;IF($G1532="sub",$H1532,"all")</f>
        <v>oop.all</v>
      </c>
      <c r="J1532" s="3" t="str">
        <f>INDEX('Constants and Mappings'!$E$186:$E$201,MATCH($C1532,SubKey,0))</f>
        <v>res</v>
      </c>
      <c r="K1532" s="3">
        <f>INDEX('Constants and Mappings'!$G$229:$G$237,MATCH($B1532,FuelKey,0))</f>
        <v>6.12</v>
      </c>
      <c r="L1532" s="3">
        <f>INDEX('Constants and Mappings'!$H$229:$H$237,MATCH($B1532,FuelKey,0))</f>
        <v>8.0</v>
      </c>
      <c r="M1532" s="3">
        <f>INDEX('Constants and Mappings'!$H$186:$H$201,MATCH($C1532,SubKey,0))</f>
        <v>7.0</v>
      </c>
      <c r="N1532" s="3">
        <f>INDEX('Constants and Mappings'!$E$300:$E$313,MATCH($I1532,'Constants and Mappings'!$A$300:$A$313,0))</f>
        <v>13.0</v>
      </c>
      <c r="O1532" s="48">
        <f>INDEX(ElaSel,MATCH("inc|"&amp;$E1532&amp;"|"&amp;$D1532,ElaSelKey,0))</f>
        <v>0.8</v>
      </c>
      <c r="P1532" s="48">
        <f>INDEX(ElaSel,MATCH("usg|"&amp;$E1532&amp;"|"&amp;$D1532,ElaSelKey,0))</f>
        <v>-0.4</v>
      </c>
      <c r="Q1532" s="48">
        <f>INDEX(ElaSel,MATCH("eff|"&amp;$E1532&amp;"|"&amp;$D1532,ElaSelKey,0))</f>
        <v>-0.4</v>
      </c>
      <c r="R1532" s="225">
        <f>INDEX(ElaSel,MATCH("aei|"&amp;$F1532&amp;"|"&amp;$D1532,ElaSelKey,0))</f>
        <v>0.005</v>
      </c>
      <c r="S1532" s="133" t="n">
        <v>3</v>
      </c>
      <c r="T1532" s="48">
        <f>$Q1532*(1+$P1532)</f>
        <v>-0.24</v>
      </c>
      <c r="U1532" s="3">
        <f>INDEX('Constants and Mappings'!$E$1633:$E$1644,MATCH($I1532,'Constants and Mappings'!$A$1633:$A$1644,0))</f>
        <v>283.0</v>
      </c>
      <c r="V1532" s="225">
        <f>INDEX('Constants and Mappings'!$V$1633:$V$1644,MATCH($I1532,'Constants and Mappings'!$A$1633:$A$1644,0))</f>
        <v>0.0</v>
      </c>
      <c r="W1532" s="197">
        <f>INDEX(EFSel,MATCH($B1532&amp;"|"&amp;$J1532,EFSelKey,0))*EFCalib</f>
        <v>0.07635795120924052</v>
      </c>
      <c r="X1532" s="195">
        <f>IF(LEFT(BalOpt,3)="Bal",$AY1532*$AV1532+$AZ1532*$AX1532,$BA1532)</f>
        <v>0.0</v>
      </c>
      <c r="Y1532" s="3" t="str">
        <f>IF($G1532="sub",$H1532,IF($B1532="oop","ind","trs"))</f>
        <v>ind</v>
      </c>
      <c r="Z1532" s="39">
        <f>IFERROR(MATCH($Y1532&amp;"|"&amp;$B1532,XKey,0),1)</f>
        <v>36.0</v>
      </c>
      <c r="AA1532" s="48">
        <f>INDEX(XCTVal,$Z1532,ECPEmb)+INDEX(XETSVal,$Z1532,ECPEmb)</f>
        <v>0.0</v>
      </c>
      <c r="AB1532" s="8" t="inlineStr">
        <is>
          <t>foo</t>
        </is>
      </c>
      <c r="AC1532" s="8" t="inlineStr">
        <is>
          <t>oop</t>
        </is>
      </c>
      <c r="AD1532" s="197">
        <f>IFERROR(INDEX(NCEfIn,MATCH($AB1532&amp;"."&amp;$AC1532&amp;".ch4",NCEfKey,0)),0)</f>
        <v>0.125604</v>
      </c>
      <c r="AE1532" s="197">
        <f>IFERROR(INDEX(NCEfFin,MATCH($AB1532&amp;"."&amp;$AC1532&amp;".ch4",NCEfKey,0)),0)</f>
        <v>0.125604</v>
      </c>
      <c r="AF1532" s="3" t="n">
        <v>0</v>
      </c>
      <c r="AG1532" s="197">
        <f>IFERROR(INDEX(NCEfIn,MATCH($AB1532&amp;"."&amp;$AC1532&amp;".pm2",NCEfKey,0)),0)</f>
        <v>0.304212888</v>
      </c>
      <c r="AH1532" s="197">
        <f>IFERROR(INDEX(NCEfFin,MATCH($AB1532&amp;"."&amp;$AC1532&amp;".pm2",NCEfKey,0)),0)</f>
        <v>0.304212888</v>
      </c>
      <c r="AI1532" s="197">
        <f>IFERROR(INDEX(NCEfIn,MATCH($AB1532&amp;"."&amp;$AC1532&amp;".nox",NCEfKey,0)),0)</f>
        <v>7.95492</v>
      </c>
      <c r="AJ1532" s="197">
        <f>IFERROR(INDEX(NCEfFin,MATCH($AB1532&amp;"."&amp;$AC1532&amp;".nox",NCEfKey,0)),0)</f>
        <v>4.772952</v>
      </c>
      <c r="AK1532" s="197">
        <f>IFERROR(INDEX(NCEfIn,MATCH($AB1532&amp;"."&amp;$AC1532&amp;".so2",NCEfKey,0)),0)</f>
        <v>35.5878</v>
      </c>
      <c r="AL1532" s="197">
        <f>IFERROR(INDEX(NCEfFin,MATCH($AB1532&amp;"."&amp;$AC1532&amp;".so2",NCEfKey,0)),0)</f>
        <v>27.2142</v>
      </c>
      <c r="AM1532" s="197">
        <f>IFERROR(INDEX(NCEfIn,MATCH($AB1532&amp;"."&amp;$AC1532&amp;".voc",NCEfKey,0)),0)</f>
        <v>0.20934</v>
      </c>
      <c r="AN1532" s="197">
        <f>IFERROR(INDEX(NCEfFin,MATCH($AB1532&amp;"."&amp;$AC1532&amp;".voc",NCEfKey,0)),0)</f>
        <v>0.20934</v>
      </c>
      <c r="AO1532" s="197">
        <f>IFERROR(INDEX(NCEfIn,MATCH($AB1532&amp;"."&amp;$AC1532&amp;".bc",NCEfKey,0)),0)</f>
        <v>0.0295881156</v>
      </c>
      <c r="AP1532" s="197">
        <f>IFERROR(INDEX(NCEfFin,MATCH($AB1532&amp;"."&amp;$AC1532&amp;".bc",NCEfKey,0)),0)</f>
        <v>0.0295881156</v>
      </c>
      <c r="AQ1532" s="197">
        <f>IFERROR(INDEX(NCEfIn,MATCH($AB1532&amp;"."&amp;$AC1532&amp;".oc",NCEfKey,0)),0)</f>
        <v>0.0123845544</v>
      </c>
      <c r="AR1532" s="197">
        <f>IFERROR(INDEX(NCEfFin,MATCH($AB1532&amp;"."&amp;$AC1532&amp;".oc",NCEfKey,0)),0)</f>
        <v>0.0123845544</v>
      </c>
      <c r="AS1532" s="197">
        <f>IFERROR(INDEX(NCEfIn,MATCH($AB1532&amp;"."&amp;$AC1532&amp;".co",NCEfKey,0)),0)</f>
        <v>1.67472</v>
      </c>
      <c r="AT1532" s="197">
        <f>IFERROR(INDEX(NCEfFin,MATCH($AB1532&amp;"."&amp;$AC1532&amp;".co",NCEfKey,0)),0)</f>
        <v>1.67472</v>
      </c>
      <c r="AU1532" s="3" t="str">
        <f>INDEX('Constants and Mappings'!$J$186:$J$201,MATCH($C1532,SubKey,0))</f>
        <v>food_forest</v>
      </c>
      <c r="AV1532" s="3">
        <f>INDEX('Constants and Mappings'!$K$186:$K$201,MATCH($C1532,SubKey,0))</f>
        <v>1.0</v>
      </c>
      <c r="AW1532" s="3" t="str">
        <f>INDEX('Constants and Mappings'!$L$186:$L$201,MATCH($C1532,SubKey,0))&amp;""</f>
        <v/>
      </c>
      <c r="AX1532" s="3">
        <f>INDEX('Constants and Mappings'!$M$186:$M$201,MATCH($C1532,SubKey,0))</f>
        <v>0.0</v>
      </c>
      <c r="AY1532" s="3" t="n">
        <v>0</v>
      </c>
      <c r="AZ1532" s="3" t="n">
        <v>0</v>
      </c>
      <c r="BA1532" s="3" t="n">
        <v>0</v>
      </c>
      <c r="BB1532" s="3" t="n">
        <v>0</v>
      </c>
      <c r="BC1532" s="3" t="n">
        <v>0</v>
      </c>
      <c r="BD1532" s="3">
        <f>IFERROR($BB1532/$BC1532,0)</f>
        <v>0.0</v>
      </c>
      <c r="BE1532" s="133" t="n">
        <v>1</v>
      </c>
      <c r="BF1532" s="39" t="n">
        <v>1</v>
      </c>
    </row>
    <row r="1533">
      <c r="A1533" s="3" t="str">
        <f>$B1533&amp;"|"&amp;$C1533</f>
        <v>bio|foo</v>
      </c>
      <c r="B1533" s="8" t="inlineStr">
        <is>
          <t>bio</t>
        </is>
      </c>
      <c r="C1533" s="8" t="inlineStr">
        <is>
          <t>foo</t>
        </is>
      </c>
      <c r="D1533" s="3" t="str">
        <f>INDEX('Constants and Mappings'!$D$186:$D$201,MATCH($C1533,SubKey,0))</f>
        <v>ind</v>
      </c>
      <c r="E1533" s="3" t="str">
        <f>INDEX('Constants and Mappings'!$C$229:$C$237,MATCH($B1533,FuelKey,0))</f>
        <v>bio</v>
      </c>
      <c r="F1533" s="3" t="str">
        <f>INDEX('Constants and Mappings'!$D$229:$D$237,MATCH($B1533,FuelKey,0))</f>
        <v>bio</v>
      </c>
      <c r="G1533" s="3" t="str">
        <f>INDEX('Constants and Mappings'!$E$229:$E$237,MATCH($B1533,FuelKey,0))</f>
        <v>all</v>
      </c>
      <c r="H1533" s="3" t="str">
        <f>INDEX('Constants and Mappings'!$F$186:$F$201,MATCH($C1533,SubKey,0))</f>
        <v>ind</v>
      </c>
      <c r="I1533" s="3" t="str">
        <f>INDEX('Constants and Mappings'!$I$229:$I$237,MATCH($B1533,FuelKey,0))&amp;"."&amp;IF($G1533="sub",$H1533,"all")</f>
        <v>bio.all</v>
      </c>
      <c r="J1533" s="3" t="str">
        <f>INDEX('Constants and Mappings'!$E$186:$E$201,MATCH($C1533,SubKey,0))</f>
        <v>res</v>
      </c>
      <c r="K1533" s="3">
        <f>INDEX('Constants and Mappings'!$G$229:$G$237,MATCH($B1533,FuelKey,0))</f>
        <v>1.0</v>
      </c>
      <c r="L1533" s="3">
        <f>INDEX('Constants and Mappings'!$H$229:$H$237,MATCH($B1533,FuelKey,0))</f>
        <v>9.0</v>
      </c>
      <c r="M1533" s="3">
        <f>INDEX('Constants and Mappings'!$H$186:$H$201,MATCH($C1533,SubKey,0))</f>
        <v>7.0</v>
      </c>
      <c r="N1533" s="3">
        <f>INDEX('Constants and Mappings'!$E$300:$E$313,MATCH($I1533,'Constants and Mappings'!$A$300:$A$313,0))</f>
        <v>14.0</v>
      </c>
      <c r="O1533" s="48">
        <f>INDEX(ElaSel,MATCH("inc|"&amp;$E1533&amp;"|"&amp;$D1533,ElaSelKey,0))</f>
        <v>0.1</v>
      </c>
      <c r="P1533" s="48">
        <f>INDEX(ElaSel,MATCH("usg|"&amp;$E1533&amp;"|"&amp;$D1533,ElaSelKey,0))</f>
        <v>-0.3</v>
      </c>
      <c r="Q1533" s="48">
        <f>INDEX(ElaSel,MATCH("eff|"&amp;$E1533&amp;"|"&amp;$D1533,ElaSelKey,0))</f>
        <v>-0.2</v>
      </c>
      <c r="R1533" s="225">
        <f>INDEX(ElaSel,MATCH("aei|"&amp;$F1533&amp;"|"&amp;$D1533,ElaSelKey,0))</f>
        <v>0.005</v>
      </c>
      <c r="S1533" s="133" t="n">
        <v>3</v>
      </c>
      <c r="T1533" s="48">
        <f>$Q1533*(1+$P1533)</f>
        <v>-0.13999999999999999</v>
      </c>
      <c r="U1533" s="3">
        <f>INDEX('Constants and Mappings'!$E$1633:$E$1644,MATCH($I1533,'Constants and Mappings'!$A$1633:$A$1644,0))</f>
        <v>312.0</v>
      </c>
      <c r="V1533" s="225">
        <f>INDEX('Constants and Mappings'!$V$1633:$V$1644,MATCH($I1533,'Constants and Mappings'!$A$1633:$A$1644,0))</f>
        <v>0.0</v>
      </c>
      <c r="W1533" s="197">
        <f>INDEX(EFSel,MATCH($B1533&amp;"|"&amp;$J1533,EFSelKey,0))*EFCalib</f>
        <v>0.0</v>
      </c>
      <c r="X1533" s="195">
        <f>IF(LEFT(BalOpt,3)="Bal",$AY1533*$AV1533+$AZ1533*$AX1533,$BA1533)</f>
        <v>0.0</v>
      </c>
      <c r="Y1533" s="3" t="str">
        <f>IF($G1533="sub",$H1533,IF($B1533="oop","ind","trs"))</f>
        <v>trs</v>
      </c>
      <c r="Z1533" s="39">
        <f>IFERROR(MATCH($Y1533&amp;"|"&amp;$B1533,XKey,0),1)</f>
        <v>19.0</v>
      </c>
      <c r="AA1533" s="48">
        <f>INDEX(XCTVal,$Z1533,ECPEmb)+INDEX(XETSVal,$Z1533,ECPEmb)</f>
        <v>0.0</v>
      </c>
      <c r="AB1533" s="8" t="inlineStr">
        <is>
          <t>foo</t>
        </is>
      </c>
      <c r="AC1533" s="8" t="inlineStr">
        <is>
          <t>bio</t>
        </is>
      </c>
      <c r="AD1533" s="197">
        <f>IFERROR(INDEX(NCEfIn,MATCH($AB1533&amp;"."&amp;$AC1533&amp;".ch4",NCEfKey,0)),0)</f>
        <v>11.92212234</v>
      </c>
      <c r="AE1533" s="197">
        <f>IFERROR(INDEX(NCEfFin,MATCH($AB1533&amp;"."&amp;$AC1533&amp;".ch4",NCEfKey,0)),0)</f>
        <v>10.1028237624</v>
      </c>
      <c r="AF1533" s="3" t="n">
        <v>0</v>
      </c>
      <c r="AG1533" s="197">
        <f>IFERROR(INDEX(NCEfIn,MATCH($AB1533&amp;"."&amp;$AC1533&amp;".pm2",NCEfKey,0)),0)</f>
        <v>19.4814692892</v>
      </c>
      <c r="AH1533" s="197">
        <f>IFERROR(INDEX(NCEfFin,MATCH($AB1533&amp;"."&amp;$AC1533&amp;".pm2",NCEfKey,0)),0)</f>
        <v>17.1151820388</v>
      </c>
      <c r="AI1533" s="197">
        <f>IFERROR(INDEX(NCEfIn,MATCH($AB1533&amp;"."&amp;$AC1533&amp;".nox",NCEfKey,0)),0)</f>
        <v>2.8826997228</v>
      </c>
      <c r="AJ1533" s="197">
        <f>IFERROR(INDEX(NCEfFin,MATCH($AB1533&amp;"."&amp;$AC1533&amp;".nox",NCEfKey,0)),0)</f>
        <v>2.51208</v>
      </c>
      <c r="AK1533" s="197">
        <f>IFERROR(INDEX(NCEfIn,MATCH($AB1533&amp;"."&amp;$AC1533&amp;".so2",NCEfKey,0)),0)</f>
        <v>1.0467</v>
      </c>
      <c r="AL1533" s="197">
        <f>IFERROR(INDEX(NCEfFin,MATCH($AB1533&amp;"."&amp;$AC1533&amp;".so2",NCEfKey,0)),0)</f>
        <v>1.0467</v>
      </c>
      <c r="AM1533" s="197">
        <f>IFERROR(INDEX(NCEfIn,MATCH($AB1533&amp;"."&amp;$AC1533&amp;".voc",NCEfKey,0)),0)</f>
        <v>36.19739808</v>
      </c>
      <c r="AN1533" s="197">
        <f>IFERROR(INDEX(NCEfFin,MATCH($AB1533&amp;"."&amp;$AC1533&amp;".voc",NCEfKey,0)),0)</f>
        <v>31.2059076804</v>
      </c>
      <c r="AO1533" s="197">
        <f>IFERROR(INDEX(NCEfIn,MATCH($AB1533&amp;"."&amp;$AC1533&amp;".bc",NCEfKey,0)),0)</f>
        <v>2.936152598400001</v>
      </c>
      <c r="AP1533" s="197">
        <f>IFERROR(INDEX(NCEfFin,MATCH($AB1533&amp;"."&amp;$AC1533&amp;".bc",NCEfKey,0)),0)</f>
        <v>2.6007061824</v>
      </c>
      <c r="AQ1533" s="197">
        <f>IFERROR(INDEX(NCEfIn,MATCH($AB1533&amp;"."&amp;$AC1533&amp;".oc",NCEfKey,0)),0)</f>
        <v>8.627135860800001</v>
      </c>
      <c r="AR1533" s="197">
        <f>IFERROR(INDEX(NCEfFin,MATCH($AB1533&amp;"."&amp;$AC1533&amp;".oc",NCEfKey,0)),0)</f>
        <v>7.3463393124</v>
      </c>
      <c r="AS1533" s="197">
        <f>IFERROR(INDEX(NCEfIn,MATCH($AB1533&amp;"."&amp;$AC1533&amp;".co",NCEfKey,0)),0)</f>
        <v>238.773204</v>
      </c>
      <c r="AT1533" s="197">
        <f>IFERROR(INDEX(NCEfFin,MATCH($AB1533&amp;"."&amp;$AC1533&amp;".co",NCEfKey,0)),0)</f>
        <v>206.9376099732</v>
      </c>
      <c r="AU1533" s="3" t="str">
        <f>INDEX('Constants and Mappings'!$J$186:$J$201,MATCH($C1533,SubKey,0))</f>
        <v>food_forest</v>
      </c>
      <c r="AV1533" s="3">
        <f>INDEX('Constants and Mappings'!$K$186:$K$201,MATCH($C1533,SubKey,0))</f>
        <v>1.0</v>
      </c>
      <c r="AW1533" s="3" t="str">
        <f>INDEX('Constants and Mappings'!$L$186:$L$201,MATCH($C1533,SubKey,0))&amp;""</f>
        <v/>
      </c>
      <c r="AX1533" s="3">
        <f>INDEX('Constants and Mappings'!$M$186:$M$201,MATCH($C1533,SubKey,0))</f>
        <v>0.0</v>
      </c>
      <c r="AY1533" s="3" t="n">
        <v>0</v>
      </c>
      <c r="AZ1533" s="3" t="n">
        <v>0</v>
      </c>
      <c r="BA1533" s="3" t="n">
        <v>0</v>
      </c>
      <c r="BB1533" s="3" t="n">
        <v>0</v>
      </c>
      <c r="BC1533" s="3" t="n">
        <v>0</v>
      </c>
      <c r="BD1533" s="3">
        <f>IFERROR($BB1533/$BC1533,0)</f>
        <v>0.0</v>
      </c>
      <c r="BE1533" s="133" t="n">
        <v>1</v>
      </c>
      <c r="BF1533" s="39" t="n">
        <v>1</v>
      </c>
    </row>
    <row r="1534">
      <c r="A1534" s="3" t="str">
        <f>$B1534&amp;"|"&amp;$C1534</f>
        <v>coa|srv</v>
      </c>
      <c r="B1534" s="8" t="inlineStr">
        <is>
          <t>coa</t>
        </is>
      </c>
      <c r="C1534" s="8" t="inlineStr">
        <is>
          <t>srv</t>
        </is>
      </c>
      <c r="D1534" s="3" t="str">
        <f>INDEX('Constants and Mappings'!$D$186:$D$201,MATCH($C1534,SubKey,0))</f>
        <v>srv</v>
      </c>
      <c r="E1534" s="3" t="str">
        <f>INDEX('Constants and Mappings'!$C$229:$C$237,MATCH($B1534,FuelKey,0))</f>
        <v>coa</v>
      </c>
      <c r="F1534" s="3" t="str">
        <f>INDEX('Constants and Mappings'!$D$229:$D$237,MATCH($B1534,FuelKey,0))</f>
        <v>coa</v>
      </c>
      <c r="G1534" s="3" t="str">
        <f>INDEX('Constants and Mappings'!$E$229:$E$237,MATCH($B1534,FuelKey,0))</f>
        <v>sub</v>
      </c>
      <c r="H1534" s="3" t="str">
        <f>INDEX('Constants and Mappings'!$F$186:$F$201,MATCH($C1534,SubKey,0))</f>
        <v>ind</v>
      </c>
      <c r="I1534" s="3" t="str">
        <f>INDEX('Constants and Mappings'!$I$229:$I$237,MATCH($B1534,FuelKey,0))&amp;"."&amp;IF($G1534="sub",$H1534,"all")</f>
        <v>coa.ind</v>
      </c>
      <c r="J1534" s="3" t="str">
        <f>INDEX('Constants and Mappings'!$E$186:$E$201,MATCH($C1534,SubKey,0))</f>
        <v>res</v>
      </c>
      <c r="K1534" s="3">
        <f>INDEX('Constants and Mappings'!$G$229:$G$237,MATCH($B1534,FuelKey,0))</f>
        <v>1.0</v>
      </c>
      <c r="L1534" s="3">
        <f>INDEX('Constants and Mappings'!$H$229:$H$237,MATCH($B1534,FuelKey,0))</f>
        <v>1.0</v>
      </c>
      <c r="M1534" s="3">
        <f>INDEX('Constants and Mappings'!$H$186:$H$201,MATCH($C1534,SubKey,0))</f>
        <v>8.0</v>
      </c>
      <c r="N1534" s="3">
        <f>INDEX('Constants and Mappings'!$E$300:$E$313,MATCH($I1534,'Constants and Mappings'!$A$300:$A$313,0))</f>
        <v>3.0</v>
      </c>
      <c r="O1534" s="48">
        <f>INDEX(ElaSel,MATCH("inc|"&amp;$E1534&amp;"|"&amp;$D1534,ElaSelKey,0))</f>
        <v>0.7</v>
      </c>
      <c r="P1534" s="48">
        <f>INDEX(ElaSel,MATCH("usg|"&amp;$E1534&amp;"|"&amp;$D1534,ElaSelKey,0))</f>
        <v>-0.4</v>
      </c>
      <c r="Q1534" s="48">
        <f>INDEX(ElaSel,MATCH("eff|"&amp;$E1534&amp;"|"&amp;$D1534,ElaSelKey,0))</f>
        <v>-0.6</v>
      </c>
      <c r="R1534" s="225">
        <f>INDEX(ElaSel,MATCH("aei|"&amp;$F1534&amp;"|"&amp;$D1534,ElaSelKey,0))</f>
        <v>0.005</v>
      </c>
      <c r="S1534" s="133" t="n">
        <v>3</v>
      </c>
      <c r="T1534" s="48">
        <f>$Q1534*(1+$P1534)</f>
        <v>-0.36</v>
      </c>
      <c r="U1534" s="3">
        <f>INDEX('Constants and Mappings'!$E$1633:$E$1644,MATCH($I1534,'Constants and Mappings'!$A$1633:$A$1644,0))</f>
        <v>55.0</v>
      </c>
      <c r="V1534" s="225">
        <f>INDEX('Constants and Mappings'!$V$1633:$V$1644,MATCH($I1534,'Constants and Mappings'!$A$1633:$A$1644,0))</f>
        <v>0.0</v>
      </c>
      <c r="W1534" s="197">
        <f>INDEX(EFSel,MATCH($B1534&amp;"|"&amp;$J1534,EFSelKey,0))*EFCalib</f>
        <v>0.09387946282961382</v>
      </c>
      <c r="X1534" s="195">
        <f>IF(LEFT(BalOpt,3)="Bal",$AY1534*$AV1534+$AZ1534*$AX1534,$BA1534)</f>
        <v>0.0</v>
      </c>
      <c r="Y1534" s="3" t="str">
        <f>IF($G1534="sub",$H1534,IF($B1534="oop","ind","trs"))</f>
        <v>ind</v>
      </c>
      <c r="Z1534" s="39">
        <f>IFERROR(MATCH($Y1534&amp;"|"&amp;$B1534,XKey,0),1)</f>
        <v>29.0</v>
      </c>
      <c r="AA1534" s="48">
        <f>INDEX(XCTVal,$Z1534,ECPEmb)+INDEX(XETSVal,$Z1534,ECPEmb)</f>
        <v>0.0</v>
      </c>
      <c r="AB1534" s="8" t="inlineStr">
        <is>
          <t>srv</t>
        </is>
      </c>
      <c r="AC1534" s="8" t="inlineStr">
        <is>
          <t>coa</t>
        </is>
      </c>
      <c r="AD1534" s="197">
        <f>IFERROR(INDEX(NCEfIn,MATCH($AB1534&amp;"."&amp;$AC1534&amp;".ch4",NCEfKey,0)),0)</f>
        <v>0.0</v>
      </c>
      <c r="AE1534" s="197">
        <f>IFERROR(INDEX(NCEfFin,MATCH($AB1534&amp;"."&amp;$AC1534&amp;".ch4",NCEfKey,0)),0)</f>
        <v>0.0</v>
      </c>
      <c r="AF1534" s="3" t="n">
        <v>0</v>
      </c>
      <c r="AG1534" s="197">
        <f>IFERROR(INDEX(NCEfIn,MATCH($AB1534&amp;"."&amp;$AC1534&amp;".pm2",NCEfKey,0)),0)</f>
        <v>0.0</v>
      </c>
      <c r="AH1534" s="197">
        <f>IFERROR(INDEX(NCEfFin,MATCH($AB1534&amp;"."&amp;$AC1534&amp;".pm2",NCEfKey,0)),0)</f>
        <v>0.0</v>
      </c>
      <c r="AI1534" s="197">
        <f>IFERROR(INDEX(NCEfIn,MATCH($AB1534&amp;"."&amp;$AC1534&amp;".nox",NCEfKey,0)),0)</f>
        <v>0.0</v>
      </c>
      <c r="AJ1534" s="197">
        <f>IFERROR(INDEX(NCEfFin,MATCH($AB1534&amp;"."&amp;$AC1534&amp;".nox",NCEfKey,0)),0)</f>
        <v>0.0</v>
      </c>
      <c r="AK1534" s="197">
        <f>IFERROR(INDEX(NCEfIn,MATCH($AB1534&amp;"."&amp;$AC1534&amp;".so2",NCEfKey,0)),0)</f>
        <v>0.0</v>
      </c>
      <c r="AL1534" s="197">
        <f>IFERROR(INDEX(NCEfFin,MATCH($AB1534&amp;"."&amp;$AC1534&amp;".so2",NCEfKey,0)),0)</f>
        <v>0.0</v>
      </c>
      <c r="AM1534" s="197">
        <f>IFERROR(INDEX(NCEfIn,MATCH($AB1534&amp;"."&amp;$AC1534&amp;".voc",NCEfKey,0)),0)</f>
        <v>0.0</v>
      </c>
      <c r="AN1534" s="197">
        <f>IFERROR(INDEX(NCEfFin,MATCH($AB1534&amp;"."&amp;$AC1534&amp;".voc",NCEfKey,0)),0)</f>
        <v>0.0</v>
      </c>
      <c r="AO1534" s="197">
        <f>IFERROR(INDEX(NCEfIn,MATCH($AB1534&amp;"."&amp;$AC1534&amp;".bc",NCEfKey,0)),0)</f>
        <v>0.0</v>
      </c>
      <c r="AP1534" s="197">
        <f>IFERROR(INDEX(NCEfFin,MATCH($AB1534&amp;"."&amp;$AC1534&amp;".bc",NCEfKey,0)),0)</f>
        <v>0.0</v>
      </c>
      <c r="AQ1534" s="197">
        <f>IFERROR(INDEX(NCEfIn,MATCH($AB1534&amp;"."&amp;$AC1534&amp;".oc",NCEfKey,0)),0)</f>
        <v>0.0</v>
      </c>
      <c r="AR1534" s="197">
        <f>IFERROR(INDEX(NCEfFin,MATCH($AB1534&amp;"."&amp;$AC1534&amp;".oc",NCEfKey,0)),0)</f>
        <v>0.0</v>
      </c>
      <c r="AS1534" s="197">
        <f>IFERROR(INDEX(NCEfIn,MATCH($AB1534&amp;"."&amp;$AC1534&amp;".co",NCEfKey,0)),0)</f>
        <v>0.0</v>
      </c>
      <c r="AT1534" s="197">
        <f>IFERROR(INDEX(NCEfFin,MATCH($AB1534&amp;"."&amp;$AC1534&amp;".co",NCEfKey,0)),0)</f>
        <v>0.0</v>
      </c>
      <c r="AU1534" s="3" t="str">
        <f>INDEX('Constants and Mappings'!$J$186:$J$201,MATCH($C1534,SubKey,0))</f>
        <v>services</v>
      </c>
      <c r="AV1534" s="3">
        <f>INDEX('Constants and Mappings'!$K$186:$K$201,MATCH($C1534,SubKey,0))</f>
        <v>1.0</v>
      </c>
      <c r="AW1534" s="3" t="str">
        <f>INDEX('Constants and Mappings'!$L$186:$L$201,MATCH($C1534,SubKey,0))&amp;""</f>
        <v/>
      </c>
      <c r="AX1534" s="3">
        <f>INDEX('Constants and Mappings'!$M$186:$M$201,MATCH($C1534,SubKey,0))</f>
        <v>0.0</v>
      </c>
      <c r="AY1534" s="3" t="n">
        <v>0</v>
      </c>
      <c r="AZ1534" s="3" t="n">
        <v>0</v>
      </c>
      <c r="BA1534" s="3" t="n">
        <v>0</v>
      </c>
      <c r="BB1534" s="3" t="n">
        <v>0</v>
      </c>
      <c r="BC1534" s="3" t="n">
        <v>0</v>
      </c>
      <c r="BD1534" s="3">
        <f>IFERROR($BB1534/$BC1534,0)</f>
        <v>0.0</v>
      </c>
      <c r="BE1534" s="133" t="n">
        <v>1</v>
      </c>
      <c r="BF1534" s="39" t="n">
        <v>1</v>
      </c>
    </row>
    <row r="1535">
      <c r="A1535" s="3" t="str">
        <f>$B1535&amp;"|"&amp;$C1535</f>
        <v>nga|srv</v>
      </c>
      <c r="B1535" s="8" t="inlineStr">
        <is>
          <t>nga</t>
        </is>
      </c>
      <c r="C1535" s="8" t="inlineStr">
        <is>
          <t>srv</t>
        </is>
      </c>
      <c r="D1535" s="3" t="str">
        <f>INDEX('Constants and Mappings'!$D$186:$D$201,MATCH($C1535,SubKey,0))</f>
        <v>srv</v>
      </c>
      <c r="E1535" s="3" t="str">
        <f>INDEX('Constants and Mappings'!$C$229:$C$237,MATCH($B1535,FuelKey,0))</f>
        <v>nga</v>
      </c>
      <c r="F1535" s="3" t="str">
        <f>INDEX('Constants and Mappings'!$D$229:$D$237,MATCH($B1535,FuelKey,0))</f>
        <v>nga</v>
      </c>
      <c r="G1535" s="3" t="str">
        <f>INDEX('Constants and Mappings'!$E$229:$E$237,MATCH($B1535,FuelKey,0))</f>
        <v>sub</v>
      </c>
      <c r="H1535" s="3" t="str">
        <f>INDEX('Constants and Mappings'!$F$186:$F$201,MATCH($C1535,SubKey,0))</f>
        <v>ind</v>
      </c>
      <c r="I1535" s="3" t="str">
        <f>INDEX('Constants and Mappings'!$I$229:$I$237,MATCH($B1535,FuelKey,0))&amp;"."&amp;IF($G1535="sub",$H1535,"all")</f>
        <v>nga.ind</v>
      </c>
      <c r="J1535" s="3" t="str">
        <f>INDEX('Constants and Mappings'!$E$186:$E$201,MATCH($C1535,SubKey,0))</f>
        <v>res</v>
      </c>
      <c r="K1535" s="3">
        <f>INDEX('Constants and Mappings'!$G$229:$G$237,MATCH($B1535,FuelKey,0))</f>
        <v>1.0</v>
      </c>
      <c r="L1535" s="3">
        <f>INDEX('Constants and Mappings'!$H$229:$H$237,MATCH($B1535,FuelKey,0))</f>
        <v>2.0</v>
      </c>
      <c r="M1535" s="3">
        <f>INDEX('Constants and Mappings'!$H$186:$H$201,MATCH($C1535,SubKey,0))</f>
        <v>8.0</v>
      </c>
      <c r="N1535" s="3">
        <f>INDEX('Constants and Mappings'!$E$300:$E$313,MATCH($I1535,'Constants and Mappings'!$A$300:$A$313,0))</f>
        <v>6.0</v>
      </c>
      <c r="O1535" s="48">
        <f>INDEX(ElaSel,MATCH("inc|"&amp;$E1535&amp;"|"&amp;$D1535,ElaSelKey,0))</f>
        <v>1.0</v>
      </c>
      <c r="P1535" s="48">
        <f>INDEX(ElaSel,MATCH("usg|"&amp;$E1535&amp;"|"&amp;$D1535,ElaSelKey,0))</f>
        <v>-0.6</v>
      </c>
      <c r="Q1535" s="48">
        <f>INDEX(ElaSel,MATCH("eff|"&amp;$E1535&amp;"|"&amp;$D1535,ElaSelKey,0))</f>
        <v>-1.0</v>
      </c>
      <c r="R1535" s="225">
        <f>INDEX(ElaSel,MATCH("aei|"&amp;$F1535&amp;"|"&amp;$D1535,ElaSelKey,0))</f>
        <v>0.01</v>
      </c>
      <c r="S1535" s="133" t="n">
        <v>3</v>
      </c>
      <c r="T1535" s="48">
        <f>$Q1535*(1+$P1535)</f>
        <v>-0.4</v>
      </c>
      <c r="U1535" s="3">
        <f>INDEX('Constants and Mappings'!$E$1633:$E$1644,MATCH($I1535,'Constants and Mappings'!$A$1633:$A$1644,0))</f>
        <v>138.0</v>
      </c>
      <c r="V1535" s="225">
        <f>INDEX('Constants and Mappings'!$V$1633:$V$1644,MATCH($I1535,'Constants and Mappings'!$A$1633:$A$1644,0))</f>
        <v>0.0</v>
      </c>
      <c r="W1535" s="197">
        <f>INDEX(EFSel,MATCH($B1535&amp;"|"&amp;$J1535,EFSelKey,0))*EFCalib</f>
        <v>0.05555115616004721</v>
      </c>
      <c r="X1535" s="195">
        <f>IF(LEFT(BalOpt,3)="Bal",$AY1535*$AV1535+$AZ1535*$AX1535,$BA1535)</f>
        <v>0.0</v>
      </c>
      <c r="Y1535" s="3" t="str">
        <f>IF($G1535="sub",$H1535,IF($B1535="oop","ind","trs"))</f>
        <v>ind</v>
      </c>
      <c r="Z1535" s="39">
        <f>IFERROR(MATCH($Y1535&amp;"|"&amp;$B1535,XKey,0),1)</f>
        <v>30.0</v>
      </c>
      <c r="AA1535" s="48">
        <f>INDEX(XCTVal,$Z1535,ECPEmb)+INDEX(XETSVal,$Z1535,ECPEmb)</f>
        <v>0.0</v>
      </c>
      <c r="AB1535" s="8" t="inlineStr">
        <is>
          <t>srv</t>
        </is>
      </c>
      <c r="AC1535" s="8" t="inlineStr">
        <is>
          <t>nga</t>
        </is>
      </c>
      <c r="AD1535" s="197">
        <f>IFERROR(INDEX(NCEfIn,MATCH($AB1535&amp;"."&amp;$AC1535&amp;".ch4",NCEfKey,0)),0)</f>
        <v>8.373600000000001</v>
      </c>
      <c r="AE1535" s="197">
        <f>IFERROR(INDEX(NCEfFin,MATCH($AB1535&amp;"."&amp;$AC1535&amp;".ch4",NCEfKey,0)),0)</f>
        <v>8.373600000000001</v>
      </c>
      <c r="AF1535" s="3" t="n">
        <v>0</v>
      </c>
      <c r="AG1535" s="197">
        <f>IFERROR(INDEX(NCEfIn,MATCH($AB1535&amp;"."&amp;$AC1535&amp;".pm2",NCEfKey,0)),0)</f>
        <v>0.0041868</v>
      </c>
      <c r="AH1535" s="197">
        <f>IFERROR(INDEX(NCEfFin,MATCH($AB1535&amp;"."&amp;$AC1535&amp;".pm2",NCEfKey,0)),0)</f>
        <v>0.0041868</v>
      </c>
      <c r="AI1535" s="197">
        <f>IFERROR(INDEX(NCEfIn,MATCH($AB1535&amp;"."&amp;$AC1535&amp;".nox",NCEfKey,0)),0)</f>
        <v>2.51208</v>
      </c>
      <c r="AJ1535" s="197">
        <f>IFERROR(INDEX(NCEfFin,MATCH($AB1535&amp;"."&amp;$AC1535&amp;".nox",NCEfKey,0)),0)</f>
        <v>2.51208</v>
      </c>
      <c r="AK1535" s="197">
        <f>IFERROR(INDEX(NCEfIn,MATCH($AB1535&amp;"."&amp;$AC1535&amp;".so2",NCEfKey,0)),0)</f>
        <v>0.0348886044</v>
      </c>
      <c r="AL1535" s="197">
        <f>IFERROR(INDEX(NCEfFin,MATCH($AB1535&amp;"."&amp;$AC1535&amp;".so2",NCEfKey,0)),0)</f>
        <v>0.0348886044</v>
      </c>
      <c r="AM1535" s="197">
        <f>IFERROR(INDEX(NCEfIn,MATCH($AB1535&amp;"."&amp;$AC1535&amp;".voc",NCEfKey,0)),0)</f>
        <v>0.083736</v>
      </c>
      <c r="AN1535" s="197">
        <f>IFERROR(INDEX(NCEfFin,MATCH($AB1535&amp;"."&amp;$AC1535&amp;".voc",NCEfKey,0)),0)</f>
        <v>0.083736</v>
      </c>
      <c r="AO1535" s="197">
        <f>IFERROR(INDEX(NCEfIn,MATCH($AB1535&amp;"."&amp;$AC1535&amp;".bc",NCEfKey,0)),0)</f>
        <v>0.0002805156</v>
      </c>
      <c r="AP1535" s="197">
        <f>IFERROR(INDEX(NCEfFin,MATCH($AB1535&amp;"."&amp;$AC1535&amp;".bc",NCEfKey,0)),0)</f>
        <v>0.0002805156</v>
      </c>
      <c r="AQ1535" s="197">
        <f>IFERROR(INDEX(NCEfIn,MATCH($AB1535&amp;"."&amp;$AC1535&amp;".oc",NCEfKey,0)),0)</f>
        <v>0.0031401</v>
      </c>
      <c r="AR1535" s="197">
        <f>IFERROR(INDEX(NCEfFin,MATCH($AB1535&amp;"."&amp;$AC1535&amp;".oc",NCEfKey,0)),0)</f>
        <v>0.0031401</v>
      </c>
      <c r="AS1535" s="197">
        <f>IFERROR(INDEX(NCEfIn,MATCH($AB1535&amp;"."&amp;$AC1535&amp;".co",NCEfKey,0)),0)</f>
        <v>1.297908</v>
      </c>
      <c r="AT1535" s="197">
        <f>IFERROR(INDEX(NCEfFin,MATCH($AB1535&amp;"."&amp;$AC1535&amp;".co",NCEfKey,0)),0)</f>
        <v>1.297908</v>
      </c>
      <c r="AU1535" s="3" t="str">
        <f>INDEX('Constants and Mappings'!$J$186:$J$201,MATCH($C1535,SubKey,0))</f>
        <v>services</v>
      </c>
      <c r="AV1535" s="3">
        <f>INDEX('Constants and Mappings'!$K$186:$K$201,MATCH($C1535,SubKey,0))</f>
        <v>1.0</v>
      </c>
      <c r="AW1535" s="3" t="str">
        <f>INDEX('Constants and Mappings'!$L$186:$L$201,MATCH($C1535,SubKey,0))&amp;""</f>
        <v/>
      </c>
      <c r="AX1535" s="3">
        <f>INDEX('Constants and Mappings'!$M$186:$M$201,MATCH($C1535,SubKey,0))</f>
        <v>0.0</v>
      </c>
      <c r="AY1535" s="3" t="n">
        <v>0</v>
      </c>
      <c r="AZ1535" s="3" t="n">
        <v>0</v>
      </c>
      <c r="BA1535" s="3" t="n">
        <v>0</v>
      </c>
      <c r="BB1535" s="3" t="n">
        <v>0</v>
      </c>
      <c r="BC1535" s="3" t="n">
        <v>0</v>
      </c>
      <c r="BD1535" s="3">
        <f>IFERROR($BB1535/$BC1535,0)</f>
        <v>0.0</v>
      </c>
      <c r="BE1535" s="133" t="n">
        <v>1</v>
      </c>
      <c r="BF1535" s="39" t="n">
        <v>1</v>
      </c>
    </row>
    <row r="1536">
      <c r="A1536" s="3" t="str">
        <f>$B1536&amp;"|"&amp;$C1536</f>
        <v>gso|srv</v>
      </c>
      <c r="B1536" s="8" t="inlineStr">
        <is>
          <t>gso</t>
        </is>
      </c>
      <c r="C1536" s="8" t="inlineStr">
        <is>
          <t>srv</t>
        </is>
      </c>
      <c r="D1536" s="3" t="str">
        <f>INDEX('Constants and Mappings'!$D$186:$D$201,MATCH($C1536,SubKey,0))</f>
        <v>srv</v>
      </c>
      <c r="E1536" s="3" t="str">
        <f>INDEX('Constants and Mappings'!$C$229:$C$237,MATCH($B1536,FuelKey,0))</f>
        <v>gso</v>
      </c>
      <c r="F1536" s="3" t="str">
        <f>INDEX('Constants and Mappings'!$D$229:$D$237,MATCH($B1536,FuelKey,0))</f>
        <v>oil</v>
      </c>
      <c r="G1536" s="3" t="str">
        <f>INDEX('Constants and Mappings'!$E$229:$E$237,MATCH($B1536,FuelKey,0))</f>
        <v>all</v>
      </c>
      <c r="H1536" s="3" t="str">
        <f>INDEX('Constants and Mappings'!$F$186:$F$201,MATCH($C1536,SubKey,0))</f>
        <v>ind</v>
      </c>
      <c r="I1536" s="3" t="str">
        <f>INDEX('Constants and Mappings'!$I$229:$I$237,MATCH($B1536,FuelKey,0))&amp;"."&amp;IF($G1536="sub",$H1536,"all")</f>
        <v>gso.all</v>
      </c>
      <c r="J1536" s="3" t="str">
        <f>INDEX('Constants and Mappings'!$E$186:$E$201,MATCH($C1536,SubKey,0))</f>
        <v>res</v>
      </c>
      <c r="K1536" s="3">
        <f>INDEX('Constants and Mappings'!$G$229:$G$237,MATCH($B1536,FuelKey,0))</f>
        <v>0.03496974000000001</v>
      </c>
      <c r="L1536" s="3">
        <f>INDEX('Constants and Mappings'!$H$229:$H$237,MATCH($B1536,FuelKey,0))</f>
        <v>3.0</v>
      </c>
      <c r="M1536" s="3">
        <f>INDEX('Constants and Mappings'!$H$186:$H$201,MATCH($C1536,SubKey,0))</f>
        <v>8.0</v>
      </c>
      <c r="N1536" s="3">
        <f>INDEX('Constants and Mappings'!$E$300:$E$313,MATCH($I1536,'Constants and Mappings'!$A$300:$A$313,0))</f>
        <v>9.0</v>
      </c>
      <c r="O1536" s="48">
        <f>INDEX(ElaSel,MATCH("inc|"&amp;$E1536&amp;"|"&amp;$D1536,ElaSelKey,0))</f>
        <v>0.5</v>
      </c>
      <c r="P1536" s="48">
        <f>INDEX(ElaSel,MATCH("usg|"&amp;$E1536&amp;"|"&amp;$D1536,ElaSelKey,0))</f>
        <v>-0.6</v>
      </c>
      <c r="Q1536" s="48">
        <f>INDEX(ElaSel,MATCH("eff|"&amp;$E1536&amp;"|"&amp;$D1536,ElaSelKey,0))</f>
        <v>-1.1</v>
      </c>
      <c r="R1536" s="225">
        <f>INDEX(ElaSel,MATCH("aei|"&amp;$F1536&amp;"|"&amp;$D1536,ElaSelKey,0))</f>
        <v>0.005</v>
      </c>
      <c r="S1536" s="133" t="n">
        <v>3</v>
      </c>
      <c r="T1536" s="48">
        <f>$Q1536*(1+$P1536)</f>
        <v>-0.44000000000000006</v>
      </c>
      <c r="U1536" s="3">
        <f>INDEX('Constants and Mappings'!$E$1633:$E$1644,MATCH($I1536,'Constants and Mappings'!$A$1633:$A$1644,0))</f>
        <v>167.0</v>
      </c>
      <c r="V1536" s="225">
        <f>INDEX('Constants and Mappings'!$V$1633:$V$1644,MATCH($I1536,'Constants and Mappings'!$A$1633:$A$1644,0))</f>
        <v>0.0</v>
      </c>
      <c r="W1536" s="197">
        <f>INDEX(EFSel,MATCH($B1536&amp;"|"&amp;$J1536,EFSelKey,0))*EFCalib</f>
        <v>0.06824927438265298</v>
      </c>
      <c r="X1536" s="195">
        <f>IF(LEFT(BalOpt,3)="Bal",$AY1536*$AV1536+$AZ1536*$AX1536,$BA1536)</f>
        <v>0.0</v>
      </c>
      <c r="Y1536" s="3" t="str">
        <f>IF($G1536="sub",$H1536,IF($B1536="oop","ind","trs"))</f>
        <v>trs</v>
      </c>
      <c r="Z1536" s="39">
        <f>IFERROR(MATCH($Y1536&amp;"|"&amp;$B1536,XKey,0),1)</f>
        <v>13.0</v>
      </c>
      <c r="AA1536" s="48">
        <f>INDEX(XCTVal,$Z1536,ECPEmb)+INDEX(XETSVal,$Z1536,ECPEmb)</f>
        <v>0.0</v>
      </c>
      <c r="AB1536" s="8" t="inlineStr">
        <is>
          <t>srv</t>
        </is>
      </c>
      <c r="AC1536" s="8" t="inlineStr">
        <is>
          <t>gso</t>
        </is>
      </c>
      <c r="AD1536" s="197">
        <f>IFERROR(INDEX(NCEfIn,MATCH($AB1536&amp;"."&amp;$AC1536&amp;".ch4",NCEfKey,0)),0)</f>
        <v>0.125604</v>
      </c>
      <c r="AE1536" s="197">
        <f>IFERROR(INDEX(NCEfFin,MATCH($AB1536&amp;"."&amp;$AC1536&amp;".ch4",NCEfKey,0)),0)</f>
        <v>0.125604</v>
      </c>
      <c r="AF1536" s="3" t="n">
        <v>0</v>
      </c>
      <c r="AG1536" s="197">
        <f>IFERROR(INDEX(NCEfIn,MATCH($AB1536&amp;"."&amp;$AC1536&amp;".pm2",NCEfKey,0)),0)</f>
        <v>0.020934</v>
      </c>
      <c r="AH1536" s="197">
        <f>IFERROR(INDEX(NCEfFin,MATCH($AB1536&amp;"."&amp;$AC1536&amp;".pm2",NCEfKey,0)),0)</f>
        <v>0.020934</v>
      </c>
      <c r="AI1536" s="197">
        <f>IFERROR(INDEX(NCEfIn,MATCH($AB1536&amp;"."&amp;$AC1536&amp;".nox",NCEfKey,0)),0)</f>
        <v>2.51208</v>
      </c>
      <c r="AJ1536" s="197">
        <f>IFERROR(INDEX(NCEfFin,MATCH($AB1536&amp;"."&amp;$AC1536&amp;".nox",NCEfKey,0)),0)</f>
        <v>2.51208</v>
      </c>
      <c r="AK1536" s="197">
        <f>IFERROR(INDEX(NCEfIn,MATCH($AB1536&amp;"."&amp;$AC1536&amp;".so2",NCEfKey,0)),0)</f>
        <v>0.1869113124</v>
      </c>
      <c r="AL1536" s="197">
        <f>IFERROR(INDEX(NCEfFin,MATCH($AB1536&amp;"."&amp;$AC1536&amp;".so2",NCEfKey,0)),0)</f>
        <v>0.1869113124</v>
      </c>
      <c r="AM1536" s="197">
        <f>IFERROR(INDEX(NCEfIn,MATCH($AB1536&amp;"."&amp;$AC1536&amp;".voc",NCEfKey,0)),0)</f>
        <v>0.083736</v>
      </c>
      <c r="AN1536" s="197">
        <f>IFERROR(INDEX(NCEfFin,MATCH($AB1536&amp;"."&amp;$AC1536&amp;".voc",NCEfKey,0)),0)</f>
        <v>0.083736</v>
      </c>
      <c r="AO1536" s="197">
        <f>IFERROR(INDEX(NCEfIn,MATCH($AB1536&amp;"."&amp;$AC1536&amp;".bc",NCEfKey,0)),0)</f>
        <v>0.0167472</v>
      </c>
      <c r="AP1536" s="197">
        <f>IFERROR(INDEX(NCEfFin,MATCH($AB1536&amp;"."&amp;$AC1536&amp;".bc",NCEfKey,0)),0)</f>
        <v>0.0167472</v>
      </c>
      <c r="AQ1536" s="197">
        <f>IFERROR(INDEX(NCEfIn,MATCH($AB1536&amp;"."&amp;$AC1536&amp;".oc",NCEfKey,0)),0)</f>
        <v>0.0031401</v>
      </c>
      <c r="AR1536" s="197">
        <f>IFERROR(INDEX(NCEfFin,MATCH($AB1536&amp;"."&amp;$AC1536&amp;".oc",NCEfKey,0)),0)</f>
        <v>0.0031401</v>
      </c>
      <c r="AS1536" s="197">
        <f>IFERROR(INDEX(NCEfIn,MATCH($AB1536&amp;"."&amp;$AC1536&amp;".co",NCEfKey,0)),0)</f>
        <v>1.67472</v>
      </c>
      <c r="AT1536" s="197">
        <f>IFERROR(INDEX(NCEfFin,MATCH($AB1536&amp;"."&amp;$AC1536&amp;".co",NCEfKey,0)),0)</f>
        <v>1.67472</v>
      </c>
      <c r="AU1536" s="3" t="str">
        <f>INDEX('Constants and Mappings'!$J$186:$J$201,MATCH($C1536,SubKey,0))</f>
        <v>services</v>
      </c>
      <c r="AV1536" s="3">
        <f>INDEX('Constants and Mappings'!$K$186:$K$201,MATCH($C1536,SubKey,0))</f>
        <v>1.0</v>
      </c>
      <c r="AW1536" s="3" t="str">
        <f>INDEX('Constants and Mappings'!$L$186:$L$201,MATCH($C1536,SubKey,0))&amp;""</f>
        <v/>
      </c>
      <c r="AX1536" s="3">
        <f>INDEX('Constants and Mappings'!$M$186:$M$201,MATCH($C1536,SubKey,0))</f>
        <v>0.0</v>
      </c>
      <c r="AY1536" s="3" t="n">
        <v>0</v>
      </c>
      <c r="AZ1536" s="3" t="n">
        <v>0</v>
      </c>
      <c r="BA1536" s="3" t="n">
        <v>0</v>
      </c>
      <c r="BB1536" s="3" t="n">
        <v>0</v>
      </c>
      <c r="BC1536" s="3" t="n">
        <v>0</v>
      </c>
      <c r="BD1536" s="3">
        <f>IFERROR($BB1536/$BC1536,0)</f>
        <v>0.0</v>
      </c>
      <c r="BE1536" s="133" t="n">
        <v>1</v>
      </c>
      <c r="BF1536" s="39" t="n">
        <v>1</v>
      </c>
    </row>
    <row r="1537">
      <c r="A1537" s="3" t="str">
        <f>$B1537&amp;"|"&amp;$C1537</f>
        <v>die|srv</v>
      </c>
      <c r="B1537" s="8" t="inlineStr">
        <is>
          <t>die</t>
        </is>
      </c>
      <c r="C1537" s="8" t="inlineStr">
        <is>
          <t>srv</t>
        </is>
      </c>
      <c r="D1537" s="3" t="str">
        <f>INDEX('Constants and Mappings'!$D$186:$D$201,MATCH($C1537,SubKey,0))</f>
        <v>srv</v>
      </c>
      <c r="E1537" s="3" t="str">
        <f>INDEX('Constants and Mappings'!$C$229:$C$237,MATCH($B1537,FuelKey,0))</f>
        <v>die</v>
      </c>
      <c r="F1537" s="3" t="str">
        <f>INDEX('Constants and Mappings'!$D$229:$D$237,MATCH($B1537,FuelKey,0))</f>
        <v>oil</v>
      </c>
      <c r="G1537" s="3" t="str">
        <f>INDEX('Constants and Mappings'!$E$229:$E$237,MATCH($B1537,FuelKey,0))</f>
        <v>all</v>
      </c>
      <c r="H1537" s="3" t="str">
        <f>INDEX('Constants and Mappings'!$F$186:$F$201,MATCH($C1537,SubKey,0))</f>
        <v>ind</v>
      </c>
      <c r="I1537" s="3" t="str">
        <f>INDEX('Constants and Mappings'!$I$229:$I$237,MATCH($B1537,FuelKey,0))&amp;"."&amp;IF($G1537="sub",$H1537,"all")</f>
        <v>die.all</v>
      </c>
      <c r="J1537" s="3" t="str">
        <f>INDEX('Constants and Mappings'!$E$186:$E$201,MATCH($C1537,SubKey,0))</f>
        <v>res</v>
      </c>
      <c r="K1537" s="3">
        <f>INDEX('Constants and Mappings'!$G$229:$G$237,MATCH($B1537,FuelKey,0))</f>
        <v>0.03729519000000001</v>
      </c>
      <c r="L1537" s="3">
        <f>INDEX('Constants and Mappings'!$H$229:$H$237,MATCH($B1537,FuelKey,0))</f>
        <v>4.0</v>
      </c>
      <c r="M1537" s="3">
        <f>INDEX('Constants and Mappings'!$H$186:$H$201,MATCH($C1537,SubKey,0))</f>
        <v>8.0</v>
      </c>
      <c r="N1537" s="3">
        <f>INDEX('Constants and Mappings'!$E$300:$E$313,MATCH($I1537,'Constants and Mappings'!$A$300:$A$313,0))</f>
        <v>10.0</v>
      </c>
      <c r="O1537" s="48">
        <f>INDEX(ElaSel,MATCH("inc|"&amp;$E1537&amp;"|"&amp;$D1537,ElaSelKey,0))</f>
        <v>0.5</v>
      </c>
      <c r="P1537" s="48">
        <f>INDEX(ElaSel,MATCH("usg|"&amp;$E1537&amp;"|"&amp;$D1537,ElaSelKey,0))</f>
        <v>-0.5</v>
      </c>
      <c r="Q1537" s="48">
        <f>INDEX(ElaSel,MATCH("eff|"&amp;$E1537&amp;"|"&amp;$D1537,ElaSelKey,0))</f>
        <v>-0.4</v>
      </c>
      <c r="R1537" s="225">
        <f>INDEX(ElaSel,MATCH("aei|"&amp;$F1537&amp;"|"&amp;$D1537,ElaSelKey,0))</f>
        <v>0.005</v>
      </c>
      <c r="S1537" s="133" t="n">
        <v>3</v>
      </c>
      <c r="T1537" s="48">
        <f>$Q1537*(1+$P1537)</f>
        <v>-0.2</v>
      </c>
      <c r="U1537" s="3">
        <f>INDEX('Constants and Mappings'!$E$1633:$E$1644,MATCH($I1537,'Constants and Mappings'!$A$1633:$A$1644,0))</f>
        <v>196.0</v>
      </c>
      <c r="V1537" s="225">
        <f>INDEX('Constants and Mappings'!$V$1633:$V$1644,MATCH($I1537,'Constants and Mappings'!$A$1633:$A$1644,0))</f>
        <v>0.0</v>
      </c>
      <c r="W1537" s="197">
        <f>INDEX(EFSel,MATCH($B1537&amp;"|"&amp;$J1537,EFSelKey,0))*EFCalib</f>
        <v>0.07307266778042053</v>
      </c>
      <c r="X1537" s="195">
        <f>IF(LEFT(BalOpt,3)="Bal",$AY1537*$AV1537+$AZ1537*$AX1537,$BA1537)</f>
        <v>0.0</v>
      </c>
      <c r="Y1537" s="3" t="str">
        <f>IF($G1537="sub",$H1537,IF($B1537="oop","ind","trs"))</f>
        <v>trs</v>
      </c>
      <c r="Z1537" s="39">
        <f>IFERROR(MATCH($Y1537&amp;"|"&amp;$B1537,XKey,0),1)</f>
        <v>14.0</v>
      </c>
      <c r="AA1537" s="48">
        <f>INDEX(XCTVal,$Z1537,ECPEmb)+INDEX(XETSVal,$Z1537,ECPEmb)</f>
        <v>0.0</v>
      </c>
      <c r="AB1537" s="8" t="inlineStr">
        <is>
          <t>srv</t>
        </is>
      </c>
      <c r="AC1537" s="8" t="inlineStr">
        <is>
          <t>die</t>
        </is>
      </c>
      <c r="AD1537" s="197">
        <f>IFERROR(INDEX(NCEfIn,MATCH($AB1537&amp;"."&amp;$AC1537&amp;".ch4",NCEfKey,0)),0)</f>
        <v>0.125604</v>
      </c>
      <c r="AE1537" s="197">
        <f>IFERROR(INDEX(NCEfFin,MATCH($AB1537&amp;"."&amp;$AC1537&amp;".ch4",NCEfKey,0)),0)</f>
        <v>0.125604</v>
      </c>
      <c r="AF1537" s="3" t="n">
        <v>0</v>
      </c>
      <c r="AG1537" s="197">
        <f>IFERROR(INDEX(NCEfIn,MATCH($AB1537&amp;"."&amp;$AC1537&amp;".pm2",NCEfKey,0)),0)</f>
        <v>0.0287549424</v>
      </c>
      <c r="AH1537" s="197">
        <f>IFERROR(INDEX(NCEfFin,MATCH($AB1537&amp;"."&amp;$AC1537&amp;".pm2",NCEfKey,0)),0)</f>
        <v>0.0264228948</v>
      </c>
      <c r="AI1537" s="197">
        <f>IFERROR(INDEX(NCEfIn,MATCH($AB1537&amp;"."&amp;$AC1537&amp;".nox",NCEfKey,0)),0)</f>
        <v>2.51208</v>
      </c>
      <c r="AJ1537" s="197">
        <f>IFERROR(INDEX(NCEfFin,MATCH($AB1537&amp;"."&amp;$AC1537&amp;".nox",NCEfKey,0)),0)</f>
        <v>2.51208</v>
      </c>
      <c r="AK1537" s="197">
        <f>IFERROR(INDEX(NCEfIn,MATCH($AB1537&amp;"."&amp;$AC1537&amp;".so2",NCEfKey,0)),0)</f>
        <v>3.9223156572</v>
      </c>
      <c r="AL1537" s="197">
        <f>IFERROR(INDEX(NCEfFin,MATCH($AB1537&amp;"."&amp;$AC1537&amp;".so2",NCEfKey,0)),0)</f>
        <v>3.9223156572</v>
      </c>
      <c r="AM1537" s="197">
        <f>IFERROR(INDEX(NCEfIn,MATCH($AB1537&amp;"."&amp;$AC1537&amp;".voc",NCEfKey,0)),0)</f>
        <v>0.125604</v>
      </c>
      <c r="AN1537" s="197">
        <f>IFERROR(INDEX(NCEfFin,MATCH($AB1537&amp;"."&amp;$AC1537&amp;".voc",NCEfKey,0)),0)</f>
        <v>0.125604</v>
      </c>
      <c r="AO1537" s="197">
        <f>IFERROR(INDEX(NCEfIn,MATCH($AB1537&amp;"."&amp;$AC1537&amp;".bc",NCEfKey,0)),0)</f>
        <v>0.0221021172</v>
      </c>
      <c r="AP1537" s="197">
        <f>IFERROR(INDEX(NCEfFin,MATCH($AB1537&amp;"."&amp;$AC1537&amp;".bc",NCEfKey,0)),0)</f>
        <v>0.0218216016</v>
      </c>
      <c r="AQ1537" s="197">
        <f>IFERROR(INDEX(NCEfIn,MATCH($AB1537&amp;"."&amp;$AC1537&amp;".oc",NCEfKey,0)),0)</f>
        <v>0.0054554004</v>
      </c>
      <c r="AR1537" s="197">
        <f>IFERROR(INDEX(NCEfFin,MATCH($AB1537&amp;"."&amp;$AC1537&amp;".oc",NCEfKey,0)),0)</f>
        <v>0.005317236</v>
      </c>
      <c r="AS1537" s="197">
        <f>IFERROR(INDEX(NCEfIn,MATCH($AB1537&amp;"."&amp;$AC1537&amp;".co",NCEfKey,0)),0)</f>
        <v>1.73281185</v>
      </c>
      <c r="AT1537" s="197">
        <f>IFERROR(INDEX(NCEfFin,MATCH($AB1537&amp;"."&amp;$AC1537&amp;".co",NCEfKey,0)),0)</f>
        <v>1.6652997</v>
      </c>
      <c r="AU1537" s="3" t="str">
        <f>INDEX('Constants and Mappings'!$J$186:$J$201,MATCH($C1537,SubKey,0))</f>
        <v>services</v>
      </c>
      <c r="AV1537" s="3">
        <f>INDEX('Constants and Mappings'!$K$186:$K$201,MATCH($C1537,SubKey,0))</f>
        <v>1.0</v>
      </c>
      <c r="AW1537" s="3" t="str">
        <f>INDEX('Constants and Mappings'!$L$186:$L$201,MATCH($C1537,SubKey,0))&amp;""</f>
        <v/>
      </c>
      <c r="AX1537" s="3">
        <f>INDEX('Constants and Mappings'!$M$186:$M$201,MATCH($C1537,SubKey,0))</f>
        <v>0.0</v>
      </c>
      <c r="AY1537" s="3" t="n">
        <v>0</v>
      </c>
      <c r="AZ1537" s="3" t="n">
        <v>0</v>
      </c>
      <c r="BA1537" s="3" t="n">
        <v>0</v>
      </c>
      <c r="BB1537" s="3" t="n">
        <v>0</v>
      </c>
      <c r="BC1537" s="3" t="n">
        <v>0</v>
      </c>
      <c r="BD1537" s="3">
        <f>IFERROR($BB1537/$BC1537,0)</f>
        <v>0.0</v>
      </c>
      <c r="BE1537" s="133" t="n">
        <v>1</v>
      </c>
      <c r="BF1537" s="39" t="n">
        <v>1</v>
      </c>
    </row>
    <row r="1538">
      <c r="A1538" s="3" t="str">
        <f>$B1538&amp;"|"&amp;$C1538</f>
        <v>lpg|srv</v>
      </c>
      <c r="B1538" s="8" t="inlineStr">
        <is>
          <t>lpg</t>
        </is>
      </c>
      <c r="C1538" s="8" t="inlineStr">
        <is>
          <t>srv</t>
        </is>
      </c>
      <c r="D1538" s="3" t="str">
        <f>INDEX('Constants and Mappings'!$D$186:$D$201,MATCH($C1538,SubKey,0))</f>
        <v>srv</v>
      </c>
      <c r="E1538" s="3" t="str">
        <f>INDEX('Constants and Mappings'!$C$229:$C$237,MATCH($B1538,FuelKey,0))</f>
        <v>oil</v>
      </c>
      <c r="F1538" s="3" t="str">
        <f>INDEX('Constants and Mappings'!$D$229:$D$237,MATCH($B1538,FuelKey,0))</f>
        <v>oil</v>
      </c>
      <c r="G1538" s="3" t="str">
        <f>INDEX('Constants and Mappings'!$E$229:$E$237,MATCH($B1538,FuelKey,0))</f>
        <v>all</v>
      </c>
      <c r="H1538" s="3" t="str">
        <f>INDEX('Constants and Mappings'!$F$186:$F$201,MATCH($C1538,SubKey,0))</f>
        <v>ind</v>
      </c>
      <c r="I1538" s="3" t="str">
        <f>INDEX('Constants and Mappings'!$I$229:$I$237,MATCH($B1538,FuelKey,0))&amp;"."&amp;IF($G1538="sub",$H1538,"all")</f>
        <v>lpg.all</v>
      </c>
      <c r="J1538" s="3" t="str">
        <f>INDEX('Constants and Mappings'!$E$186:$E$201,MATCH($C1538,SubKey,0))</f>
        <v>res</v>
      </c>
      <c r="K1538" s="3">
        <f>INDEX('Constants and Mappings'!$G$229:$G$237,MATCH($B1538,FuelKey,0))</f>
        <v>0.02577968854495125</v>
      </c>
      <c r="L1538" s="3">
        <f>INDEX('Constants and Mappings'!$H$229:$H$237,MATCH($B1538,FuelKey,0))</f>
        <v>5.0</v>
      </c>
      <c r="M1538" s="3">
        <f>INDEX('Constants and Mappings'!$H$186:$H$201,MATCH($C1538,SubKey,0))</f>
        <v>8.0</v>
      </c>
      <c r="N1538" s="3">
        <f>INDEX('Constants and Mappings'!$E$300:$E$313,MATCH($I1538,'Constants and Mappings'!$A$300:$A$313,0))</f>
        <v>11.0</v>
      </c>
      <c r="O1538" s="48">
        <f>INDEX(ElaSel,MATCH("inc|"&amp;$E1538&amp;"|"&amp;$D1538,ElaSelKey,0))</f>
        <v>1.2</v>
      </c>
      <c r="P1538" s="48">
        <f>INDEX(ElaSel,MATCH("usg|"&amp;$E1538&amp;"|"&amp;$D1538,ElaSelKey,0))</f>
        <v>-0.5</v>
      </c>
      <c r="Q1538" s="48">
        <f>INDEX(ElaSel,MATCH("eff|"&amp;$E1538&amp;"|"&amp;$D1538,ElaSelKey,0))</f>
        <v>-0.6</v>
      </c>
      <c r="R1538" s="225">
        <f>INDEX(ElaSel,MATCH("aei|"&amp;$F1538&amp;"|"&amp;$D1538,ElaSelKey,0))</f>
        <v>0.005</v>
      </c>
      <c r="S1538" s="133" t="n">
        <v>3</v>
      </c>
      <c r="T1538" s="48">
        <f>$Q1538*(1+$P1538)</f>
        <v>-0.3</v>
      </c>
      <c r="U1538" s="3">
        <f>INDEX('Constants and Mappings'!$E$1633:$E$1644,MATCH($I1538,'Constants and Mappings'!$A$1633:$A$1644,0))</f>
        <v>225.0</v>
      </c>
      <c r="V1538" s="225">
        <f>INDEX('Constants and Mappings'!$V$1633:$V$1644,MATCH($I1538,'Constants and Mappings'!$A$1633:$A$1644,0))</f>
        <v>0.0</v>
      </c>
      <c r="W1538" s="197">
        <f>INDEX(EFSel,MATCH($B1538&amp;"|"&amp;$J1538,EFSelKey,0))*EFCalib</f>
        <v>0.06829407370213687</v>
      </c>
      <c r="X1538" s="195">
        <f>IF(LEFT(BalOpt,3)="Bal",$AY1538*$AV1538+$AZ1538*$AX1538,$BA1538)</f>
        <v>0.0</v>
      </c>
      <c r="Y1538" s="3" t="str">
        <f>IF($G1538="sub",$H1538,IF($B1538="oop","ind","trs"))</f>
        <v>trs</v>
      </c>
      <c r="Z1538" s="39">
        <f>IFERROR(MATCH($Y1538&amp;"|"&amp;$B1538,XKey,0),1)</f>
        <v>15.0</v>
      </c>
      <c r="AA1538" s="48">
        <f>INDEX(XCTVal,$Z1538,ECPEmb)+INDEX(XETSVal,$Z1538,ECPEmb)</f>
        <v>0.0</v>
      </c>
      <c r="AB1538" s="8" t="inlineStr">
        <is>
          <t>srv</t>
        </is>
      </c>
      <c r="AC1538" s="8" t="inlineStr">
        <is>
          <t>lpg</t>
        </is>
      </c>
      <c r="AD1538" s="197">
        <f>IFERROR(INDEX(NCEfIn,MATCH($AB1538&amp;"."&amp;$AC1538&amp;".ch4",NCEfKey,0)),0)</f>
        <v>0.041868</v>
      </c>
      <c r="AE1538" s="197">
        <f>IFERROR(INDEX(NCEfFin,MATCH($AB1538&amp;"."&amp;$AC1538&amp;".ch4",NCEfKey,0)),0)</f>
        <v>0.041868</v>
      </c>
      <c r="AF1538" s="3" t="n">
        <v>0</v>
      </c>
      <c r="AG1538" s="197">
        <f>IFERROR(INDEX(NCEfIn,MATCH($AB1538&amp;"."&amp;$AC1538&amp;".pm2",NCEfKey,0)),0)</f>
        <v>0.0125604</v>
      </c>
      <c r="AH1538" s="197">
        <f>IFERROR(INDEX(NCEfFin,MATCH($AB1538&amp;"."&amp;$AC1538&amp;".pm2",NCEfKey,0)),0)</f>
        <v>0.0125604</v>
      </c>
      <c r="AI1538" s="197">
        <f>IFERROR(INDEX(NCEfIn,MATCH($AB1538&amp;"."&amp;$AC1538&amp;".nox",NCEfKey,0)),0)</f>
        <v>2.51208</v>
      </c>
      <c r="AJ1538" s="197">
        <f>IFERROR(INDEX(NCEfFin,MATCH($AB1538&amp;"."&amp;$AC1538&amp;".nox",NCEfKey,0)),0)</f>
        <v>2.51208</v>
      </c>
      <c r="AK1538" s="197">
        <f>IFERROR(INDEX(NCEfIn,MATCH($AB1538&amp;"."&amp;$AC1538&amp;".so2",NCEfKey,0)),0)</f>
        <v>0.0</v>
      </c>
      <c r="AL1538" s="197">
        <f>IFERROR(INDEX(NCEfFin,MATCH($AB1538&amp;"."&amp;$AC1538&amp;".so2",NCEfKey,0)),0)</f>
        <v>0.0</v>
      </c>
      <c r="AM1538" s="197">
        <f>IFERROR(INDEX(NCEfIn,MATCH($AB1538&amp;"."&amp;$AC1538&amp;".voc",NCEfKey,0)),0)</f>
        <v>0.125604</v>
      </c>
      <c r="AN1538" s="197">
        <f>IFERROR(INDEX(NCEfFin,MATCH($AB1538&amp;"."&amp;$AC1538&amp;".voc",NCEfKey,0)),0)</f>
        <v>0.125604</v>
      </c>
      <c r="AO1538" s="197">
        <f>IFERROR(INDEX(NCEfIn,MATCH($AB1538&amp;"."&amp;$AC1538&amp;".bc",NCEfKey,0)),0)</f>
        <v>0.0008415468</v>
      </c>
      <c r="AP1538" s="197">
        <f>IFERROR(INDEX(NCEfFin,MATCH($AB1538&amp;"."&amp;$AC1538&amp;".bc",NCEfKey,0)),0)</f>
        <v>0.0008415468</v>
      </c>
      <c r="AQ1538" s="197">
        <f>IFERROR(INDEX(NCEfIn,MATCH($AB1538&amp;"."&amp;$AC1538&amp;".oc",NCEfKey,0)),0)</f>
        <v>0.0</v>
      </c>
      <c r="AR1538" s="197">
        <f>IFERROR(INDEX(NCEfFin,MATCH($AB1538&amp;"."&amp;$AC1538&amp;".oc",NCEfKey,0)),0)</f>
        <v>0.0</v>
      </c>
      <c r="AS1538" s="197">
        <f>IFERROR(INDEX(NCEfIn,MATCH($AB1538&amp;"."&amp;$AC1538&amp;".co",NCEfKey,0)),0)</f>
        <v>1.67472</v>
      </c>
      <c r="AT1538" s="197">
        <f>IFERROR(INDEX(NCEfFin,MATCH($AB1538&amp;"."&amp;$AC1538&amp;".co",NCEfKey,0)),0)</f>
        <v>1.67472</v>
      </c>
      <c r="AU1538" s="3" t="str">
        <f>INDEX('Constants and Mappings'!$J$186:$J$201,MATCH($C1538,SubKey,0))</f>
        <v>services</v>
      </c>
      <c r="AV1538" s="3">
        <f>INDEX('Constants and Mappings'!$K$186:$K$201,MATCH($C1538,SubKey,0))</f>
        <v>1.0</v>
      </c>
      <c r="AW1538" s="3" t="str">
        <f>INDEX('Constants and Mappings'!$L$186:$L$201,MATCH($C1538,SubKey,0))&amp;""</f>
        <v/>
      </c>
      <c r="AX1538" s="3">
        <f>INDEX('Constants and Mappings'!$M$186:$M$201,MATCH($C1538,SubKey,0))</f>
        <v>0.0</v>
      </c>
      <c r="AY1538" s="3" t="n">
        <v>0</v>
      </c>
      <c r="AZ1538" s="3" t="n">
        <v>0</v>
      </c>
      <c r="BA1538" s="3" t="n">
        <v>0</v>
      </c>
      <c r="BB1538" s="3" t="n">
        <v>0</v>
      </c>
      <c r="BC1538" s="3" t="n">
        <v>0</v>
      </c>
      <c r="BD1538" s="3">
        <f>IFERROR($BB1538/$BC1538,0)</f>
        <v>0.0</v>
      </c>
      <c r="BE1538" s="133" t="n">
        <v>1</v>
      </c>
      <c r="BF1538" s="39" t="n">
        <v>1</v>
      </c>
    </row>
    <row r="1539">
      <c r="A1539" s="3" t="str">
        <f>$B1539&amp;"|"&amp;$C1539</f>
        <v>ker|srv</v>
      </c>
      <c r="B1539" s="8" t="inlineStr">
        <is>
          <t>ker</t>
        </is>
      </c>
      <c r="C1539" s="8" t="inlineStr">
        <is>
          <t>srv</t>
        </is>
      </c>
      <c r="D1539" s="3" t="str">
        <f>INDEX('Constants and Mappings'!$D$186:$D$201,MATCH($C1539,SubKey,0))</f>
        <v>srv</v>
      </c>
      <c r="E1539" s="3" t="str">
        <f>INDEX('Constants and Mappings'!$C$229:$C$237,MATCH($B1539,FuelKey,0))</f>
        <v>oil</v>
      </c>
      <c r="F1539" s="3" t="str">
        <f>INDEX('Constants and Mappings'!$D$229:$D$237,MATCH($B1539,FuelKey,0))</f>
        <v>oil</v>
      </c>
      <c r="G1539" s="3" t="str">
        <f>INDEX('Constants and Mappings'!$E$229:$E$237,MATCH($B1539,FuelKey,0))</f>
        <v>all</v>
      </c>
      <c r="H1539" s="3" t="str">
        <f>INDEX('Constants and Mappings'!$F$186:$F$201,MATCH($C1539,SubKey,0))</f>
        <v>ind</v>
      </c>
      <c r="I1539" s="3" t="str">
        <f>INDEX('Constants and Mappings'!$I$229:$I$237,MATCH($B1539,FuelKey,0))&amp;"."&amp;IF($G1539="sub",$H1539,"all")</f>
        <v>ker.all</v>
      </c>
      <c r="J1539" s="3" t="str">
        <f>INDEX('Constants and Mappings'!$E$186:$E$201,MATCH($C1539,SubKey,0))</f>
        <v>res</v>
      </c>
      <c r="K1539" s="3">
        <f>INDEX('Constants and Mappings'!$G$229:$G$237,MATCH($B1539,FuelKey,0))</f>
        <v>0.03774882965510715</v>
      </c>
      <c r="L1539" s="3">
        <f>INDEX('Constants and Mappings'!$H$229:$H$237,MATCH($B1539,FuelKey,0))</f>
        <v>6.0</v>
      </c>
      <c r="M1539" s="3">
        <f>INDEX('Constants and Mappings'!$H$186:$H$201,MATCH($C1539,SubKey,0))</f>
        <v>8.0</v>
      </c>
      <c r="N1539" s="3">
        <f>INDEX('Constants and Mappings'!$E$300:$E$313,MATCH($I1539,'Constants and Mappings'!$A$300:$A$313,0))</f>
        <v>12.0</v>
      </c>
      <c r="O1539" s="48">
        <f>INDEX(ElaSel,MATCH("inc|"&amp;$E1539&amp;"|"&amp;$D1539,ElaSelKey,0))</f>
        <v>1.2</v>
      </c>
      <c r="P1539" s="48">
        <f>INDEX(ElaSel,MATCH("usg|"&amp;$E1539&amp;"|"&amp;$D1539,ElaSelKey,0))</f>
        <v>-0.5</v>
      </c>
      <c r="Q1539" s="48">
        <f>INDEX(ElaSel,MATCH("eff|"&amp;$E1539&amp;"|"&amp;$D1539,ElaSelKey,0))</f>
        <v>-0.6</v>
      </c>
      <c r="R1539" s="225">
        <f>INDEX(ElaSel,MATCH("aei|"&amp;$F1539&amp;"|"&amp;$D1539,ElaSelKey,0))</f>
        <v>0.005</v>
      </c>
      <c r="S1539" s="133" t="n">
        <v>3</v>
      </c>
      <c r="T1539" s="48">
        <f>$Q1539*(1+$P1539)</f>
        <v>-0.3</v>
      </c>
      <c r="U1539" s="3">
        <f>INDEX('Constants and Mappings'!$E$1633:$E$1644,MATCH($I1539,'Constants and Mappings'!$A$1633:$A$1644,0))</f>
        <v>254.0</v>
      </c>
      <c r="V1539" s="225">
        <f>INDEX('Constants and Mappings'!$V$1633:$V$1644,MATCH($I1539,'Constants and Mappings'!$A$1633:$A$1644,0))</f>
        <v>0.0</v>
      </c>
      <c r="W1539" s="197">
        <f>INDEX(EFSel,MATCH($B1539&amp;"|"&amp;$J1539,EFSelKey,0))*EFCalib</f>
        <v>0.06824927438265298</v>
      </c>
      <c r="X1539" s="195">
        <f>IF(LEFT(BalOpt,3)="Bal",$AY1539*$AV1539+$AZ1539*$AX1539,$BA1539)</f>
        <v>0.0</v>
      </c>
      <c r="Y1539" s="3" t="str">
        <f>IF($G1539="sub",$H1539,IF($B1539="oop","ind","trs"))</f>
        <v>trs</v>
      </c>
      <c r="Z1539" s="39">
        <f>IFERROR(MATCH($Y1539&amp;"|"&amp;$B1539,XKey,0),1)</f>
        <v>16.0</v>
      </c>
      <c r="AA1539" s="48">
        <f>INDEX(XCTVal,$Z1539,ECPEmb)+INDEX(XETSVal,$Z1539,ECPEmb)</f>
        <v>0.0</v>
      </c>
      <c r="AB1539" s="8" t="inlineStr">
        <is>
          <t>srv</t>
        </is>
      </c>
      <c r="AC1539" s="8" t="inlineStr">
        <is>
          <t>ker</t>
        </is>
      </c>
      <c r="AD1539" s="197">
        <f>IFERROR(INDEX(NCEfIn,MATCH($AB1539&amp;"."&amp;$AC1539&amp;".ch4",NCEfKey,0)),0)</f>
        <v>0.125604</v>
      </c>
      <c r="AE1539" s="197">
        <f>IFERROR(INDEX(NCEfFin,MATCH($AB1539&amp;"."&amp;$AC1539&amp;".ch4",NCEfKey,0)),0)</f>
        <v>0.125604</v>
      </c>
      <c r="AF1539" s="3" t="n">
        <v>0</v>
      </c>
      <c r="AG1539" s="197">
        <f>IFERROR(INDEX(NCEfIn,MATCH($AB1539&amp;"."&amp;$AC1539&amp;".pm2",NCEfKey,0)),0)</f>
        <v>0.020934</v>
      </c>
      <c r="AH1539" s="197">
        <f>IFERROR(INDEX(NCEfFin,MATCH($AB1539&amp;"."&amp;$AC1539&amp;".pm2",NCEfKey,0)),0)</f>
        <v>0.020934</v>
      </c>
      <c r="AI1539" s="197">
        <f>IFERROR(INDEX(NCEfIn,MATCH($AB1539&amp;"."&amp;$AC1539&amp;".nox",NCEfKey,0)),0)</f>
        <v>2.51208</v>
      </c>
      <c r="AJ1539" s="197">
        <f>IFERROR(INDEX(NCEfFin,MATCH($AB1539&amp;"."&amp;$AC1539&amp;".nox",NCEfKey,0)),0)</f>
        <v>2.51208</v>
      </c>
      <c r="AK1539" s="197">
        <f>IFERROR(INDEX(NCEfIn,MATCH($AB1539&amp;"."&amp;$AC1539&amp;".so2",NCEfKey,0)),0)</f>
        <v>0.1869113124</v>
      </c>
      <c r="AL1539" s="197">
        <f>IFERROR(INDEX(NCEfFin,MATCH($AB1539&amp;"."&amp;$AC1539&amp;".so2",NCEfKey,0)),0)</f>
        <v>0.1869113124</v>
      </c>
      <c r="AM1539" s="197">
        <f>IFERROR(INDEX(NCEfIn,MATCH($AB1539&amp;"."&amp;$AC1539&amp;".voc",NCEfKey,0)),0)</f>
        <v>0.083736</v>
      </c>
      <c r="AN1539" s="197">
        <f>IFERROR(INDEX(NCEfFin,MATCH($AB1539&amp;"."&amp;$AC1539&amp;".voc",NCEfKey,0)),0)</f>
        <v>0.083736</v>
      </c>
      <c r="AO1539" s="197">
        <f>IFERROR(INDEX(NCEfIn,MATCH($AB1539&amp;"."&amp;$AC1539&amp;".bc",NCEfKey,0)),0)</f>
        <v>0.0167472</v>
      </c>
      <c r="AP1539" s="197">
        <f>IFERROR(INDEX(NCEfFin,MATCH($AB1539&amp;"."&amp;$AC1539&amp;".bc",NCEfKey,0)),0)</f>
        <v>0.0167472</v>
      </c>
      <c r="AQ1539" s="197">
        <f>IFERROR(INDEX(NCEfIn,MATCH($AB1539&amp;"."&amp;$AC1539&amp;".oc",NCEfKey,0)),0)</f>
        <v>0.0031401</v>
      </c>
      <c r="AR1539" s="197">
        <f>IFERROR(INDEX(NCEfFin,MATCH($AB1539&amp;"."&amp;$AC1539&amp;".oc",NCEfKey,0)),0)</f>
        <v>0.0031401</v>
      </c>
      <c r="AS1539" s="197">
        <f>IFERROR(INDEX(NCEfIn,MATCH($AB1539&amp;"."&amp;$AC1539&amp;".co",NCEfKey,0)),0)</f>
        <v>1.67472</v>
      </c>
      <c r="AT1539" s="197">
        <f>IFERROR(INDEX(NCEfFin,MATCH($AB1539&amp;"."&amp;$AC1539&amp;".co",NCEfKey,0)),0)</f>
        <v>1.67472</v>
      </c>
      <c r="AU1539" s="3" t="str">
        <f>INDEX('Constants and Mappings'!$J$186:$J$201,MATCH($C1539,SubKey,0))</f>
        <v>services</v>
      </c>
      <c r="AV1539" s="3">
        <f>INDEX('Constants and Mappings'!$K$186:$K$201,MATCH($C1539,SubKey,0))</f>
        <v>1.0</v>
      </c>
      <c r="AW1539" s="3" t="str">
        <f>INDEX('Constants and Mappings'!$L$186:$L$201,MATCH($C1539,SubKey,0))&amp;""</f>
        <v/>
      </c>
      <c r="AX1539" s="3">
        <f>INDEX('Constants and Mappings'!$M$186:$M$201,MATCH($C1539,SubKey,0))</f>
        <v>0.0</v>
      </c>
      <c r="AY1539" s="3" t="n">
        <v>0</v>
      </c>
      <c r="AZ1539" s="3" t="n">
        <v>0</v>
      </c>
      <c r="BA1539" s="3" t="n">
        <v>0</v>
      </c>
      <c r="BB1539" s="3" t="n">
        <v>0</v>
      </c>
      <c r="BC1539" s="3" t="n">
        <v>0</v>
      </c>
      <c r="BD1539" s="3">
        <f>IFERROR($BB1539/$BC1539,0)</f>
        <v>0.0</v>
      </c>
      <c r="BE1539" s="133" t="n">
        <v>1</v>
      </c>
      <c r="BF1539" s="39" t="n">
        <v>1</v>
      </c>
    </row>
    <row r="1540">
      <c r="A1540" s="3" t="str">
        <f>$B1540&amp;"|"&amp;$C1540</f>
        <v>jfu|srv</v>
      </c>
      <c r="B1540" s="8" t="inlineStr">
        <is>
          <t>jfu</t>
        </is>
      </c>
      <c r="C1540" s="8" t="inlineStr">
        <is>
          <t>srv</t>
        </is>
      </c>
      <c r="D1540" s="3" t="str">
        <f>INDEX('Constants and Mappings'!$D$186:$D$201,MATCH($C1540,SubKey,0))</f>
        <v>srv</v>
      </c>
      <c r="E1540" s="3" t="str">
        <f>INDEX('Constants and Mappings'!$C$229:$C$237,MATCH($B1540,FuelKey,0))</f>
        <v>oil</v>
      </c>
      <c r="F1540" s="3" t="str">
        <f>INDEX('Constants and Mappings'!$D$229:$D$237,MATCH($B1540,FuelKey,0))</f>
        <v>oil</v>
      </c>
      <c r="G1540" s="3" t="str">
        <f>INDEX('Constants and Mappings'!$E$229:$E$237,MATCH($B1540,FuelKey,0))</f>
        <v>all</v>
      </c>
      <c r="H1540" s="3" t="str">
        <f>INDEX('Constants and Mappings'!$F$186:$F$201,MATCH($C1540,SubKey,0))</f>
        <v>ind</v>
      </c>
      <c r="I1540" s="3" t="str">
        <f>INDEX('Constants and Mappings'!$I$229:$I$237,MATCH($B1540,FuelKey,0))&amp;"."&amp;IF($G1540="sub",$H1540,"all")</f>
        <v>ker.all</v>
      </c>
      <c r="J1540" s="3" t="str">
        <f>INDEX('Constants and Mappings'!$E$186:$E$201,MATCH($C1540,SubKey,0))</f>
        <v>res</v>
      </c>
      <c r="K1540" s="3">
        <f>INDEX('Constants and Mappings'!$G$229:$G$237,MATCH($B1540,FuelKey,0))</f>
        <v>0.0348608</v>
      </c>
      <c r="L1540" s="3">
        <f>INDEX('Constants and Mappings'!$H$229:$H$237,MATCH($B1540,FuelKey,0))</f>
        <v>7.0</v>
      </c>
      <c r="M1540" s="3">
        <f>INDEX('Constants and Mappings'!$H$186:$H$201,MATCH($C1540,SubKey,0))</f>
        <v>8.0</v>
      </c>
      <c r="N1540" s="3">
        <f>INDEX('Constants and Mappings'!$E$300:$E$313,MATCH($I1540,'Constants and Mappings'!$A$300:$A$313,0))</f>
        <v>12.0</v>
      </c>
      <c r="O1540" s="48">
        <f>INDEX(ElaSel,MATCH("inc|"&amp;$E1540&amp;"|"&amp;$D1540,ElaSelKey,0))</f>
        <v>1.2</v>
      </c>
      <c r="P1540" s="48">
        <f>INDEX(ElaSel,MATCH("usg|"&amp;$E1540&amp;"|"&amp;$D1540,ElaSelKey,0))</f>
        <v>-0.5</v>
      </c>
      <c r="Q1540" s="48">
        <f>INDEX(ElaSel,MATCH("eff|"&amp;$E1540&amp;"|"&amp;$D1540,ElaSelKey,0))</f>
        <v>-0.6</v>
      </c>
      <c r="R1540" s="225">
        <f>INDEX(ElaSel,MATCH("aei|"&amp;$F1540&amp;"|"&amp;$D1540,ElaSelKey,0))</f>
        <v>0.005</v>
      </c>
      <c r="S1540" s="133" t="n">
        <v>3</v>
      </c>
      <c r="T1540" s="48">
        <f>$Q1540*(1+$P1540)</f>
        <v>-0.3</v>
      </c>
      <c r="U1540" s="3">
        <f>INDEX('Constants and Mappings'!$E$1633:$E$1644,MATCH($I1540,'Constants and Mappings'!$A$1633:$A$1644,0))</f>
        <v>254.0</v>
      </c>
      <c r="V1540" s="225">
        <f>INDEX('Constants and Mappings'!$V$1633:$V$1644,MATCH($I1540,'Constants and Mappings'!$A$1633:$A$1644,0))</f>
        <v>0.0</v>
      </c>
      <c r="W1540" s="197">
        <f>INDEX(EFSel,MATCH($B1540&amp;"|"&amp;$J1540,EFSelKey,0))*EFCalib</f>
        <v>0.07118114095776658</v>
      </c>
      <c r="X1540" s="195">
        <f>IF(LEFT(BalOpt,3)="Bal",$AY1540*$AV1540+$AZ1540*$AX1540,$BA1540)</f>
        <v>0.0</v>
      </c>
      <c r="Y1540" s="3" t="str">
        <f>IF($G1540="sub",$H1540,IF($B1540="oop","ind","trs"))</f>
        <v>trs</v>
      </c>
      <c r="Z1540" s="39">
        <f>IFERROR(MATCH($Y1540&amp;"|"&amp;$B1540,XKey,0),1)</f>
        <v>17.0</v>
      </c>
      <c r="AA1540" s="48">
        <f>INDEX(XCTVal,$Z1540,ECPEmb)+INDEX(XETSVal,$Z1540,ECPEmb)</f>
        <v>0.0</v>
      </c>
      <c r="AB1540" s="8" t="inlineStr">
        <is>
          <t>srv</t>
        </is>
      </c>
      <c r="AC1540" s="8" t="inlineStr">
        <is>
          <t>jfu</t>
        </is>
      </c>
      <c r="AD1540" s="197">
        <f>IFERROR(INDEX(NCEfIn,MATCH($AB1540&amp;"."&amp;$AC1540&amp;".ch4",NCEfKey,0)),0)</f>
        <v>0.0</v>
      </c>
      <c r="AE1540" s="197">
        <f>IFERROR(INDEX(NCEfFin,MATCH($AB1540&amp;"."&amp;$AC1540&amp;".ch4",NCEfKey,0)),0)</f>
        <v>0.0</v>
      </c>
      <c r="AF1540" s="3" t="n">
        <v>0</v>
      </c>
      <c r="AG1540" s="197">
        <f>IFERROR(INDEX(NCEfIn,MATCH($AB1540&amp;"."&amp;$AC1540&amp;".pm2",NCEfKey,0)),0)</f>
        <v>0.0</v>
      </c>
      <c r="AH1540" s="197">
        <f>IFERROR(INDEX(NCEfFin,MATCH($AB1540&amp;"."&amp;$AC1540&amp;".pm2",NCEfKey,0)),0)</f>
        <v>0.0</v>
      </c>
      <c r="AI1540" s="197">
        <f>IFERROR(INDEX(NCEfIn,MATCH($AB1540&amp;"."&amp;$AC1540&amp;".nox",NCEfKey,0)),0)</f>
        <v>0.0</v>
      </c>
      <c r="AJ1540" s="197">
        <f>IFERROR(INDEX(NCEfFin,MATCH($AB1540&amp;"."&amp;$AC1540&amp;".nox",NCEfKey,0)),0)</f>
        <v>0.0</v>
      </c>
      <c r="AK1540" s="197">
        <f>IFERROR(INDEX(NCEfIn,MATCH($AB1540&amp;"."&amp;$AC1540&amp;".so2",NCEfKey,0)),0)</f>
        <v>0.0</v>
      </c>
      <c r="AL1540" s="197">
        <f>IFERROR(INDEX(NCEfFin,MATCH($AB1540&amp;"."&amp;$AC1540&amp;".so2",NCEfKey,0)),0)</f>
        <v>0.0</v>
      </c>
      <c r="AM1540" s="197">
        <f>IFERROR(INDEX(NCEfIn,MATCH($AB1540&amp;"."&amp;$AC1540&amp;".voc",NCEfKey,0)),0)</f>
        <v>0.0</v>
      </c>
      <c r="AN1540" s="197">
        <f>IFERROR(INDEX(NCEfFin,MATCH($AB1540&amp;"."&amp;$AC1540&amp;".voc",NCEfKey,0)),0)</f>
        <v>0.0</v>
      </c>
      <c r="AO1540" s="197">
        <f>IFERROR(INDEX(NCEfIn,MATCH($AB1540&amp;"."&amp;$AC1540&amp;".bc",NCEfKey,0)),0)</f>
        <v>0.0</v>
      </c>
      <c r="AP1540" s="197">
        <f>IFERROR(INDEX(NCEfFin,MATCH($AB1540&amp;"."&amp;$AC1540&amp;".bc",NCEfKey,0)),0)</f>
        <v>0.0</v>
      </c>
      <c r="AQ1540" s="197">
        <f>IFERROR(INDEX(NCEfIn,MATCH($AB1540&amp;"."&amp;$AC1540&amp;".oc",NCEfKey,0)),0)</f>
        <v>0.0</v>
      </c>
      <c r="AR1540" s="197">
        <f>IFERROR(INDEX(NCEfFin,MATCH($AB1540&amp;"."&amp;$AC1540&amp;".oc",NCEfKey,0)),0)</f>
        <v>0.0</v>
      </c>
      <c r="AS1540" s="197">
        <f>IFERROR(INDEX(NCEfIn,MATCH($AB1540&amp;"."&amp;$AC1540&amp;".co",NCEfKey,0)),0)</f>
        <v>0.0</v>
      </c>
      <c r="AT1540" s="197">
        <f>IFERROR(INDEX(NCEfFin,MATCH($AB1540&amp;"."&amp;$AC1540&amp;".co",NCEfKey,0)),0)</f>
        <v>0.0</v>
      </c>
      <c r="AU1540" s="3" t="str">
        <f>INDEX('Constants and Mappings'!$J$186:$J$201,MATCH($C1540,SubKey,0))</f>
        <v>services</v>
      </c>
      <c r="AV1540" s="3">
        <f>INDEX('Constants and Mappings'!$K$186:$K$201,MATCH($C1540,SubKey,0))</f>
        <v>1.0</v>
      </c>
      <c r="AW1540" s="3" t="str">
        <f>INDEX('Constants and Mappings'!$L$186:$L$201,MATCH($C1540,SubKey,0))&amp;""</f>
        <v/>
      </c>
      <c r="AX1540" s="3">
        <f>INDEX('Constants and Mappings'!$M$186:$M$201,MATCH($C1540,SubKey,0))</f>
        <v>0.0</v>
      </c>
      <c r="AY1540" s="3" t="n">
        <v>0</v>
      </c>
      <c r="AZ1540" s="3" t="n">
        <v>0</v>
      </c>
      <c r="BA1540" s="3" t="n">
        <v>0</v>
      </c>
      <c r="BB1540" s="3" t="n">
        <v>0</v>
      </c>
      <c r="BC1540" s="3" t="n">
        <v>0</v>
      </c>
      <c r="BD1540" s="3">
        <f>IFERROR($BB1540/$BC1540,0)</f>
        <v>0.0</v>
      </c>
      <c r="BE1540" s="133" t="n">
        <v>1</v>
      </c>
      <c r="BF1540" s="39" t="n">
        <v>1</v>
      </c>
    </row>
    <row r="1541">
      <c r="A1541" s="3" t="str">
        <f>$B1541&amp;"|"&amp;$C1541</f>
        <v>oop|srv</v>
      </c>
      <c r="B1541" s="8" t="inlineStr">
        <is>
          <t>oop</t>
        </is>
      </c>
      <c r="C1541" s="8" t="inlineStr">
        <is>
          <t>srv</t>
        </is>
      </c>
      <c r="D1541" s="3" t="str">
        <f>INDEX('Constants and Mappings'!$D$186:$D$201,MATCH($C1541,SubKey,0))</f>
        <v>srv</v>
      </c>
      <c r="E1541" s="3" t="str">
        <f>INDEX('Constants and Mappings'!$C$229:$C$237,MATCH($B1541,FuelKey,0))</f>
        <v>oil</v>
      </c>
      <c r="F1541" s="3" t="str">
        <f>INDEX('Constants and Mappings'!$D$229:$D$237,MATCH($B1541,FuelKey,0))</f>
        <v>oil</v>
      </c>
      <c r="G1541" s="3" t="str">
        <f>INDEX('Constants and Mappings'!$E$229:$E$237,MATCH($B1541,FuelKey,0))</f>
        <v>all</v>
      </c>
      <c r="H1541" s="3" t="str">
        <f>INDEX('Constants and Mappings'!$F$186:$F$201,MATCH($C1541,SubKey,0))</f>
        <v>ind</v>
      </c>
      <c r="I1541" s="3" t="str">
        <f>INDEX('Constants and Mappings'!$I$229:$I$237,MATCH($B1541,FuelKey,0))&amp;"."&amp;IF($G1541="sub",$H1541,"all")</f>
        <v>oop.all</v>
      </c>
      <c r="J1541" s="3" t="str">
        <f>INDEX('Constants and Mappings'!$E$186:$E$201,MATCH($C1541,SubKey,0))</f>
        <v>res</v>
      </c>
      <c r="K1541" s="3">
        <f>INDEX('Constants and Mappings'!$G$229:$G$237,MATCH($B1541,FuelKey,0))</f>
        <v>6.12</v>
      </c>
      <c r="L1541" s="3">
        <f>INDEX('Constants and Mappings'!$H$229:$H$237,MATCH($B1541,FuelKey,0))</f>
        <v>8.0</v>
      </c>
      <c r="M1541" s="3">
        <f>INDEX('Constants and Mappings'!$H$186:$H$201,MATCH($C1541,SubKey,0))</f>
        <v>8.0</v>
      </c>
      <c r="N1541" s="3">
        <f>INDEX('Constants and Mappings'!$E$300:$E$313,MATCH($I1541,'Constants and Mappings'!$A$300:$A$313,0))</f>
        <v>13.0</v>
      </c>
      <c r="O1541" s="48">
        <f>INDEX(ElaSel,MATCH("inc|"&amp;$E1541&amp;"|"&amp;$D1541,ElaSelKey,0))</f>
        <v>1.2</v>
      </c>
      <c r="P1541" s="48">
        <f>INDEX(ElaSel,MATCH("usg|"&amp;$E1541&amp;"|"&amp;$D1541,ElaSelKey,0))</f>
        <v>-0.5</v>
      </c>
      <c r="Q1541" s="48">
        <f>INDEX(ElaSel,MATCH("eff|"&amp;$E1541&amp;"|"&amp;$D1541,ElaSelKey,0))</f>
        <v>-0.6</v>
      </c>
      <c r="R1541" s="225">
        <f>INDEX(ElaSel,MATCH("aei|"&amp;$F1541&amp;"|"&amp;$D1541,ElaSelKey,0))</f>
        <v>0.005</v>
      </c>
      <c r="S1541" s="133" t="n">
        <v>3</v>
      </c>
      <c r="T1541" s="48">
        <f>$Q1541*(1+$P1541)</f>
        <v>-0.3</v>
      </c>
      <c r="U1541" s="3">
        <f>INDEX('Constants and Mappings'!$E$1633:$E$1644,MATCH($I1541,'Constants and Mappings'!$A$1633:$A$1644,0))</f>
        <v>283.0</v>
      </c>
      <c r="V1541" s="225">
        <f>INDEX('Constants and Mappings'!$V$1633:$V$1644,MATCH($I1541,'Constants and Mappings'!$A$1633:$A$1644,0))</f>
        <v>0.0</v>
      </c>
      <c r="W1541" s="197">
        <f>INDEX(EFSel,MATCH($B1541&amp;"|"&amp;$J1541,EFSelKey,0))*EFCalib</f>
        <v>0.07635795120924052</v>
      </c>
      <c r="X1541" s="195">
        <f>IF(LEFT(BalOpt,3)="Bal",$AY1541*$AV1541+$AZ1541*$AX1541,$BA1541)</f>
        <v>0.0</v>
      </c>
      <c r="Y1541" s="3" t="str">
        <f>IF($G1541="sub",$H1541,IF($B1541="oop","ind","trs"))</f>
        <v>ind</v>
      </c>
      <c r="Z1541" s="39">
        <f>IFERROR(MATCH($Y1541&amp;"|"&amp;$B1541,XKey,0),1)</f>
        <v>36.0</v>
      </c>
      <c r="AA1541" s="48">
        <f>INDEX(XCTVal,$Z1541,ECPEmb)+INDEX(XETSVal,$Z1541,ECPEmb)</f>
        <v>0.0</v>
      </c>
      <c r="AB1541" s="8" t="inlineStr">
        <is>
          <t>srv</t>
        </is>
      </c>
      <c r="AC1541" s="8" t="inlineStr">
        <is>
          <t>oop</t>
        </is>
      </c>
      <c r="AD1541" s="197">
        <f>IFERROR(INDEX(NCEfIn,MATCH($AB1541&amp;"."&amp;$AC1541&amp;".ch4",NCEfKey,0)),0)</f>
        <v>0.125604</v>
      </c>
      <c r="AE1541" s="197">
        <f>IFERROR(INDEX(NCEfFin,MATCH($AB1541&amp;"."&amp;$AC1541&amp;".ch4",NCEfKey,0)),0)</f>
        <v>0.125604</v>
      </c>
      <c r="AF1541" s="3" t="n">
        <v>0</v>
      </c>
      <c r="AG1541" s="197">
        <f>IFERROR(INDEX(NCEfIn,MATCH($AB1541&amp;"."&amp;$AC1541&amp;".pm2",NCEfKey,0)),0)</f>
        <v>0.36791505</v>
      </c>
      <c r="AH1541" s="197">
        <f>IFERROR(INDEX(NCEfFin,MATCH($AB1541&amp;"."&amp;$AC1541&amp;".pm2",NCEfKey,0)),0)</f>
        <v>0.3380841000000001</v>
      </c>
      <c r="AI1541" s="197">
        <f>IFERROR(INDEX(NCEfIn,MATCH($AB1541&amp;"."&amp;$AC1541&amp;".nox",NCEfKey,0)),0)</f>
        <v>6.698880000000001</v>
      </c>
      <c r="AJ1541" s="197">
        <f>IFERROR(INDEX(NCEfFin,MATCH($AB1541&amp;"."&amp;$AC1541&amp;".nox",NCEfKey,0)),0)</f>
        <v>6.698880000000001</v>
      </c>
      <c r="AK1541" s="197">
        <f>IFERROR(INDEX(NCEfIn,MATCH($AB1541&amp;"."&amp;$AC1541&amp;".so2",NCEfKey,0)),0)</f>
        <v>34.3014936228</v>
      </c>
      <c r="AL1541" s="197">
        <f>IFERROR(INDEX(NCEfFin,MATCH($AB1541&amp;"."&amp;$AC1541&amp;".so2",NCEfKey,0)),0)</f>
        <v>26.230553208</v>
      </c>
      <c r="AM1541" s="197">
        <f>IFERROR(INDEX(NCEfIn,MATCH($AB1541&amp;"."&amp;$AC1541&amp;".voc",NCEfKey,0)),0)</f>
        <v>0.125604</v>
      </c>
      <c r="AN1541" s="197">
        <f>IFERROR(INDEX(NCEfFin,MATCH($AB1541&amp;"."&amp;$AC1541&amp;".voc",NCEfKey,0)),0)</f>
        <v>0.125604</v>
      </c>
      <c r="AO1541" s="197">
        <f>IFERROR(INDEX(NCEfIn,MATCH($AB1541&amp;"."&amp;$AC1541&amp;".bc",NCEfKey,0)),0)</f>
        <v>0.282797406</v>
      </c>
      <c r="AP1541" s="197">
        <f>IFERROR(INDEX(NCEfFin,MATCH($AB1541&amp;"."&amp;$AC1541&amp;".bc",NCEfKey,0)),0)</f>
        <v>0.279217692</v>
      </c>
      <c r="AQ1541" s="197">
        <f>IFERROR(INDEX(NCEfIn,MATCH($AB1541&amp;"."&amp;$AC1541&amp;".oc",NCEfKey,0)),0)</f>
        <v>0.015512094</v>
      </c>
      <c r="AR1541" s="197">
        <f>IFERROR(INDEX(NCEfFin,MATCH($AB1541&amp;"."&amp;$AC1541&amp;".oc",NCEfKey,0)),0)</f>
        <v>0.015114348</v>
      </c>
      <c r="AS1541" s="197">
        <f>IFERROR(INDEX(NCEfIn,MATCH($AB1541&amp;"."&amp;$AC1541&amp;".co",NCEfKey,0)),0)</f>
        <v>1.73281185</v>
      </c>
      <c r="AT1541" s="197">
        <f>IFERROR(INDEX(NCEfFin,MATCH($AB1541&amp;"."&amp;$AC1541&amp;".co",NCEfKey,0)),0)</f>
        <v>1.6652997</v>
      </c>
      <c r="AU1541" s="3" t="str">
        <f>INDEX('Constants and Mappings'!$J$186:$J$201,MATCH($C1541,SubKey,0))</f>
        <v>services</v>
      </c>
      <c r="AV1541" s="3">
        <f>INDEX('Constants and Mappings'!$K$186:$K$201,MATCH($C1541,SubKey,0))</f>
        <v>1.0</v>
      </c>
      <c r="AW1541" s="3" t="str">
        <f>INDEX('Constants and Mappings'!$L$186:$L$201,MATCH($C1541,SubKey,0))&amp;""</f>
        <v/>
      </c>
      <c r="AX1541" s="3">
        <f>INDEX('Constants and Mappings'!$M$186:$M$201,MATCH($C1541,SubKey,0))</f>
        <v>0.0</v>
      </c>
      <c r="AY1541" s="3" t="n">
        <v>0</v>
      </c>
      <c r="AZ1541" s="3" t="n">
        <v>0</v>
      </c>
      <c r="BA1541" s="3" t="n">
        <v>0</v>
      </c>
      <c r="BB1541" s="3" t="n">
        <v>0</v>
      </c>
      <c r="BC1541" s="3" t="n">
        <v>0</v>
      </c>
      <c r="BD1541" s="3">
        <f>IFERROR($BB1541/$BC1541,0)</f>
        <v>0.0</v>
      </c>
      <c r="BE1541" s="133" t="n">
        <v>1</v>
      </c>
      <c r="BF1541" s="39" t="n">
        <v>1</v>
      </c>
    </row>
    <row r="1542">
      <c r="A1542" s="3" t="str">
        <f>$B1542&amp;"|"&amp;$C1542</f>
        <v>bio|srv</v>
      </c>
      <c r="B1542" s="8" t="inlineStr">
        <is>
          <t>bio</t>
        </is>
      </c>
      <c r="C1542" s="8" t="inlineStr">
        <is>
          <t>srv</t>
        </is>
      </c>
      <c r="D1542" s="3" t="str">
        <f>INDEX('Constants and Mappings'!$D$186:$D$201,MATCH($C1542,SubKey,0))</f>
        <v>srv</v>
      </c>
      <c r="E1542" s="3" t="str">
        <f>INDEX('Constants and Mappings'!$C$229:$C$237,MATCH($B1542,FuelKey,0))</f>
        <v>bio</v>
      </c>
      <c r="F1542" s="3" t="str">
        <f>INDEX('Constants and Mappings'!$D$229:$D$237,MATCH($B1542,FuelKey,0))</f>
        <v>bio</v>
      </c>
      <c r="G1542" s="3" t="str">
        <f>INDEX('Constants and Mappings'!$E$229:$E$237,MATCH($B1542,FuelKey,0))</f>
        <v>all</v>
      </c>
      <c r="H1542" s="3" t="str">
        <f>INDEX('Constants and Mappings'!$F$186:$F$201,MATCH($C1542,SubKey,0))</f>
        <v>ind</v>
      </c>
      <c r="I1542" s="3" t="str">
        <f>INDEX('Constants and Mappings'!$I$229:$I$237,MATCH($B1542,FuelKey,0))&amp;"."&amp;IF($G1542="sub",$H1542,"all")</f>
        <v>bio.all</v>
      </c>
      <c r="J1542" s="3" t="str">
        <f>INDEX('Constants and Mappings'!$E$186:$E$201,MATCH($C1542,SubKey,0))</f>
        <v>res</v>
      </c>
      <c r="K1542" s="3">
        <f>INDEX('Constants and Mappings'!$G$229:$G$237,MATCH($B1542,FuelKey,0))</f>
        <v>1.0</v>
      </c>
      <c r="L1542" s="3">
        <f>INDEX('Constants and Mappings'!$H$229:$H$237,MATCH($B1542,FuelKey,0))</f>
        <v>9.0</v>
      </c>
      <c r="M1542" s="3">
        <f>INDEX('Constants and Mappings'!$H$186:$H$201,MATCH($C1542,SubKey,0))</f>
        <v>8.0</v>
      </c>
      <c r="N1542" s="3">
        <f>INDEX('Constants and Mappings'!$E$300:$E$313,MATCH($I1542,'Constants and Mappings'!$A$300:$A$313,0))</f>
        <v>14.0</v>
      </c>
      <c r="O1542" s="48">
        <f>INDEX(ElaSel,MATCH("inc|"&amp;$E1542&amp;"|"&amp;$D1542,ElaSelKey,0))</f>
        <v>0.1</v>
      </c>
      <c r="P1542" s="48">
        <f>INDEX(ElaSel,MATCH("usg|"&amp;$E1542&amp;"|"&amp;$D1542,ElaSelKey,0))</f>
        <v>-0.4</v>
      </c>
      <c r="Q1542" s="48">
        <f>INDEX(ElaSel,MATCH("eff|"&amp;$E1542&amp;"|"&amp;$D1542,ElaSelKey,0))</f>
        <v>-0.3</v>
      </c>
      <c r="R1542" s="225">
        <f>INDEX(ElaSel,MATCH("aei|"&amp;$F1542&amp;"|"&amp;$D1542,ElaSelKey,0))</f>
        <v>0.005</v>
      </c>
      <c r="S1542" s="133" t="n">
        <v>3</v>
      </c>
      <c r="T1542" s="48">
        <f>$Q1542*(1+$P1542)</f>
        <v>-0.18</v>
      </c>
      <c r="U1542" s="3">
        <f>INDEX('Constants and Mappings'!$E$1633:$E$1644,MATCH($I1542,'Constants and Mappings'!$A$1633:$A$1644,0))</f>
        <v>312.0</v>
      </c>
      <c r="V1542" s="225">
        <f>INDEX('Constants and Mappings'!$V$1633:$V$1644,MATCH($I1542,'Constants and Mappings'!$A$1633:$A$1644,0))</f>
        <v>0.0</v>
      </c>
      <c r="W1542" s="197">
        <f>INDEX(EFSel,MATCH($B1542&amp;"|"&amp;$J1542,EFSelKey,0))*EFCalib</f>
        <v>0.0</v>
      </c>
      <c r="X1542" s="195">
        <f>IF(LEFT(BalOpt,3)="Bal",$AY1542*$AV1542+$AZ1542*$AX1542,$BA1542)</f>
        <v>0.0</v>
      </c>
      <c r="Y1542" s="3" t="str">
        <f>IF($G1542="sub",$H1542,IF($B1542="oop","ind","trs"))</f>
        <v>trs</v>
      </c>
      <c r="Z1542" s="39">
        <f>IFERROR(MATCH($Y1542&amp;"|"&amp;$B1542,XKey,0),1)</f>
        <v>19.0</v>
      </c>
      <c r="AA1542" s="48">
        <f>INDEX(XCTVal,$Z1542,ECPEmb)+INDEX(XETSVal,$Z1542,ECPEmb)</f>
        <v>0.0</v>
      </c>
      <c r="AB1542" s="8" t="inlineStr">
        <is>
          <t>srv</t>
        </is>
      </c>
      <c r="AC1542" s="8" t="inlineStr">
        <is>
          <t>bio</t>
        </is>
      </c>
      <c r="AD1542" s="197">
        <f>IFERROR(INDEX(NCEfIn,MATCH($AB1542&amp;"."&amp;$AC1542&amp;".ch4",NCEfKey,0)),0)</f>
        <v>1.2204522</v>
      </c>
      <c r="AE1542" s="197">
        <f>IFERROR(INDEX(NCEfFin,MATCH($AB1542&amp;"."&amp;$AC1542&amp;".ch4",NCEfKey,0)),0)</f>
        <v>1.015299</v>
      </c>
      <c r="AF1542" s="3" t="n">
        <v>0</v>
      </c>
      <c r="AG1542" s="197">
        <f>IFERROR(INDEX(NCEfIn,MATCH($AB1542&amp;"."&amp;$AC1542&amp;".pm2",NCEfKey,0)),0)</f>
        <v>7.783508221200001</v>
      </c>
      <c r="AH1542" s="197">
        <f>IFERROR(INDEX(NCEfFin,MATCH($AB1542&amp;"."&amp;$AC1542&amp;".pm2",NCEfKey,0)),0)</f>
        <v>6.1711254864</v>
      </c>
      <c r="AI1542" s="197">
        <f>IFERROR(INDEX(NCEfIn,MATCH($AB1542&amp;"."&amp;$AC1542&amp;".nox",NCEfKey,0)),0)</f>
        <v>2.51208</v>
      </c>
      <c r="AJ1542" s="197">
        <f>IFERROR(INDEX(NCEfFin,MATCH($AB1542&amp;"."&amp;$AC1542&amp;".nox",NCEfKey,0)),0)</f>
        <v>2.51208</v>
      </c>
      <c r="AK1542" s="197">
        <f>IFERROR(INDEX(NCEfIn,MATCH($AB1542&amp;"."&amp;$AC1542&amp;".so2",NCEfKey,0)),0)</f>
        <v>1.0467</v>
      </c>
      <c r="AL1542" s="197">
        <f>IFERROR(INDEX(NCEfFin,MATCH($AB1542&amp;"."&amp;$AC1542&amp;".so2",NCEfKey,0)),0)</f>
        <v>1.0467</v>
      </c>
      <c r="AM1542" s="197">
        <f>IFERROR(INDEX(NCEfIn,MATCH($AB1542&amp;"."&amp;$AC1542&amp;".voc",NCEfKey,0)),0)</f>
        <v>4.097830500000001</v>
      </c>
      <c r="AN1542" s="197">
        <f>IFERROR(INDEX(NCEfFin,MATCH($AB1542&amp;"."&amp;$AC1542&amp;".voc",NCEfKey,0)),0)</f>
        <v>3.584947500000001</v>
      </c>
      <c r="AO1542" s="197">
        <f>IFERROR(INDEX(NCEfIn,MATCH($AB1542&amp;"."&amp;$AC1542&amp;".bc",NCEfKey,0)),0)</f>
        <v>0.8149689936</v>
      </c>
      <c r="AP1542" s="197">
        <f>IFERROR(INDEX(NCEfFin,MATCH($AB1542&amp;"."&amp;$AC1542&amp;".bc",NCEfKey,0)),0)</f>
        <v>0.684416196</v>
      </c>
      <c r="AQ1542" s="197">
        <f>IFERROR(INDEX(NCEfIn,MATCH($AB1542&amp;"."&amp;$AC1542&amp;".oc",NCEfKey,0)),0)</f>
        <v>3.418689672</v>
      </c>
      <c r="AR1542" s="197">
        <f>IFERROR(INDEX(NCEfFin,MATCH($AB1542&amp;"."&amp;$AC1542&amp;".oc",NCEfKey,0)),0)</f>
        <v>2.5743502764</v>
      </c>
      <c r="AS1542" s="197">
        <f>IFERROR(INDEX(NCEfIn,MATCH($AB1542&amp;"."&amp;$AC1542&amp;".co",NCEfKey,0)),0)</f>
        <v>14.297922</v>
      </c>
      <c r="AT1542" s="197">
        <f>IFERROR(INDEX(NCEfFin,MATCH($AB1542&amp;"."&amp;$AC1542&amp;".co",NCEfKey,0)),0)</f>
        <v>12.24639</v>
      </c>
      <c r="AU1542" s="3" t="str">
        <f>INDEX('Constants and Mappings'!$J$186:$J$201,MATCH($C1542,SubKey,0))</f>
        <v>services</v>
      </c>
      <c r="AV1542" s="3">
        <f>INDEX('Constants and Mappings'!$K$186:$K$201,MATCH($C1542,SubKey,0))</f>
        <v>1.0</v>
      </c>
      <c r="AW1542" s="3" t="str">
        <f>INDEX('Constants and Mappings'!$L$186:$L$201,MATCH($C1542,SubKey,0))&amp;""</f>
        <v/>
      </c>
      <c r="AX1542" s="3">
        <f>INDEX('Constants and Mappings'!$M$186:$M$201,MATCH($C1542,SubKey,0))</f>
        <v>0.0</v>
      </c>
      <c r="AY1542" s="3" t="n">
        <v>0</v>
      </c>
      <c r="AZ1542" s="3" t="n">
        <v>0</v>
      </c>
      <c r="BA1542" s="3" t="n">
        <v>0</v>
      </c>
      <c r="BB1542" s="3" t="n">
        <v>0</v>
      </c>
      <c r="BC1542" s="3" t="n">
        <v>0</v>
      </c>
      <c r="BD1542" s="3">
        <f>IFERROR($BB1542/$BC1542,0)</f>
        <v>0.0</v>
      </c>
      <c r="BE1542" s="133" t="n">
        <v>1</v>
      </c>
      <c r="BF1542" s="39" t="n">
        <v>1</v>
      </c>
    </row>
    <row r="1543">
      <c r="A1543" s="3" t="str">
        <f>$B1543&amp;"|"&amp;$C1543</f>
        <v>coa|mch</v>
      </c>
      <c r="B1543" s="8" t="inlineStr">
        <is>
          <t>coa</t>
        </is>
      </c>
      <c r="C1543" s="8" t="inlineStr">
        <is>
          <t>mch</t>
        </is>
      </c>
      <c r="D1543" s="3" t="str">
        <f>INDEX('Constants and Mappings'!$D$186:$D$201,MATCH($C1543,SubKey,0))</f>
        <v>ind</v>
      </c>
      <c r="E1543" s="3" t="str">
        <f>INDEX('Constants and Mappings'!$C$229:$C$237,MATCH($B1543,FuelKey,0))</f>
        <v>coa</v>
      </c>
      <c r="F1543" s="3" t="str">
        <f>INDEX('Constants and Mappings'!$D$229:$D$237,MATCH($B1543,FuelKey,0))</f>
        <v>coa</v>
      </c>
      <c r="G1543" s="3" t="str">
        <f>INDEX('Constants and Mappings'!$E$229:$E$237,MATCH($B1543,FuelKey,0))</f>
        <v>sub</v>
      </c>
      <c r="H1543" s="3" t="str">
        <f>INDEX('Constants and Mappings'!$F$186:$F$201,MATCH($C1543,SubKey,0))</f>
        <v>ind</v>
      </c>
      <c r="I1543" s="3" t="str">
        <f>INDEX('Constants and Mappings'!$I$229:$I$237,MATCH($B1543,FuelKey,0))&amp;"."&amp;IF($G1543="sub",$H1543,"all")</f>
        <v>coa.ind</v>
      </c>
      <c r="J1543" s="3" t="str">
        <f>INDEX('Constants and Mappings'!$E$186:$E$201,MATCH($C1543,SubKey,0))</f>
        <v>ind</v>
      </c>
      <c r="K1543" s="3">
        <f>INDEX('Constants and Mappings'!$G$229:$G$237,MATCH($B1543,FuelKey,0))</f>
        <v>1.0</v>
      </c>
      <c r="L1543" s="3">
        <f>INDEX('Constants and Mappings'!$H$229:$H$237,MATCH($B1543,FuelKey,0))</f>
        <v>1.0</v>
      </c>
      <c r="M1543" s="3">
        <f>INDEX('Constants and Mappings'!$H$186:$H$201,MATCH($C1543,SubKey,0))</f>
        <v>9.0</v>
      </c>
      <c r="N1543" s="3">
        <f>INDEX('Constants and Mappings'!$E$300:$E$313,MATCH($I1543,'Constants and Mappings'!$A$300:$A$313,0))</f>
        <v>3.0</v>
      </c>
      <c r="O1543" s="48">
        <f>INDEX(ElaSel,MATCH("inc|"&amp;$E1543&amp;"|"&amp;$D1543,ElaSelKey,0))</f>
        <v>0.5</v>
      </c>
      <c r="P1543" s="48">
        <f>INDEX(ElaSel,MATCH("usg|"&amp;$E1543&amp;"|"&amp;$D1543,ElaSelKey,0))</f>
        <v>-0.3</v>
      </c>
      <c r="Q1543" s="48">
        <f>INDEX(ElaSel,MATCH("eff|"&amp;$E1543&amp;"|"&amp;$D1543,ElaSelKey,0))</f>
        <v>-0.4</v>
      </c>
      <c r="R1543" s="225">
        <f>INDEX(ElaSel,MATCH("aei|"&amp;$F1543&amp;"|"&amp;$D1543,ElaSelKey,0))</f>
        <v>0.005</v>
      </c>
      <c r="S1543" s="133" t="n">
        <v>3</v>
      </c>
      <c r="T1543" s="48">
        <f>$Q1543*(1+$P1543)</f>
        <v>-0.27999999999999997</v>
      </c>
      <c r="U1543" s="3">
        <f>INDEX('Constants and Mappings'!$E$1633:$E$1644,MATCH($I1543,'Constants and Mappings'!$A$1633:$A$1644,0))</f>
        <v>55.0</v>
      </c>
      <c r="V1543" s="225">
        <f>INDEX('Constants and Mappings'!$V$1633:$V$1644,MATCH($I1543,'Constants and Mappings'!$A$1633:$A$1644,0))</f>
        <v>0.0</v>
      </c>
      <c r="W1543" s="197">
        <f>INDEX(EFSel,MATCH($B1543&amp;"|"&amp;$J1543,EFSelKey,0))*EFCalib</f>
        <v>0.09955404329757564</v>
      </c>
      <c r="X1543" s="195">
        <f>IF(LEFT(BalOpt,3)="Bal",$AY1543*$AV1543+$AZ1543*$AX1543,$BA1543)</f>
        <v>0.0</v>
      </c>
      <c r="Y1543" s="3" t="str">
        <f>IF($G1543="sub",$H1543,IF($B1543="oop","ind","trs"))</f>
        <v>ind</v>
      </c>
      <c r="Z1543" s="39">
        <f>IFERROR(MATCH($Y1543&amp;"|"&amp;$B1543,XKey,0),1)</f>
        <v>29.0</v>
      </c>
      <c r="AA1543" s="48">
        <f>INDEX(XCTVal,$Z1543,ECPEmb)+INDEX(XETSVal,$Z1543,ECPEmb)</f>
        <v>0.0</v>
      </c>
      <c r="AB1543" s="8" t="inlineStr">
        <is>
          <t>mnf</t>
        </is>
      </c>
      <c r="AC1543" s="8" t="inlineStr">
        <is>
          <t>coa</t>
        </is>
      </c>
      <c r="AD1543" s="197">
        <f>IFERROR(INDEX(NCEfIn,MATCH($AB1543&amp;"."&amp;$AC1543&amp;".ch4",NCEfKey,0)),0)</f>
        <v>0.4186800000000001</v>
      </c>
      <c r="AE1543" s="197">
        <f>IFERROR(INDEX(NCEfFin,MATCH($AB1543&amp;"."&amp;$AC1543&amp;".ch4",NCEfKey,0)),0)</f>
        <v>0.4186800000000001</v>
      </c>
      <c r="AF1543" s="3" t="n">
        <v>0</v>
      </c>
      <c r="AG1543" s="197">
        <f>IFERROR(INDEX(NCEfIn,MATCH($AB1543&amp;"."&amp;$AC1543&amp;".pm2",NCEfKey,0)),0)</f>
        <v>0.1073997936</v>
      </c>
      <c r="AH1543" s="197">
        <f>IFERROR(INDEX(NCEfFin,MATCH($AB1543&amp;"."&amp;$AC1543&amp;".pm2",NCEfKey,0)),0)</f>
        <v>0.0796496832</v>
      </c>
      <c r="AI1543" s="197">
        <f>IFERROR(INDEX(NCEfIn,MATCH($AB1543&amp;"."&amp;$AC1543&amp;".nox",NCEfKey,0)),0)</f>
        <v>1.2560441868</v>
      </c>
      <c r="AJ1543" s="197">
        <f>IFERROR(INDEX(NCEfFin,MATCH($AB1543&amp;"."&amp;$AC1543&amp;".nox",NCEfKey,0)),0)</f>
        <v>1.25604</v>
      </c>
      <c r="AK1543" s="197">
        <f>IFERROR(INDEX(NCEfIn,MATCH($AB1543&amp;"."&amp;$AC1543&amp;".so2",NCEfKey,0)),0)</f>
        <v>1.511497602</v>
      </c>
      <c r="AL1543" s="197">
        <f>IFERROR(INDEX(NCEfFin,MATCH($AB1543&amp;"."&amp;$AC1543&amp;".so2",NCEfKey,0)),0)</f>
        <v>1.5114808548</v>
      </c>
      <c r="AM1543" s="197">
        <f>IFERROR(INDEX(NCEfIn,MATCH($AB1543&amp;"."&amp;$AC1543&amp;".voc",NCEfKey,0)),0)</f>
        <v>0.4186800000000001</v>
      </c>
      <c r="AN1543" s="197">
        <f>IFERROR(INDEX(NCEfFin,MATCH($AB1543&amp;"."&amp;$AC1543&amp;".voc",NCEfKey,0)),0)</f>
        <v>0.4186800000000001</v>
      </c>
      <c r="AO1543" s="197">
        <f>IFERROR(INDEX(NCEfIn,MATCH($AB1543&amp;"."&amp;$AC1543&amp;".bc",NCEfKey,0)),0)</f>
        <v>0.0008876016000000001</v>
      </c>
      <c r="AP1543" s="197">
        <f>IFERROR(INDEX(NCEfFin,MATCH($AB1543&amp;"."&amp;$AC1543&amp;".bc",NCEfKey,0)),0)</f>
        <v>0.0006615144000000001</v>
      </c>
      <c r="AQ1543" s="197">
        <f>IFERROR(INDEX(NCEfIn,MATCH($AB1543&amp;"."&amp;$AC1543&amp;".oc",NCEfKey,0)),0)</f>
        <v>0.0018673128</v>
      </c>
      <c r="AR1543" s="197">
        <f>IFERROR(INDEX(NCEfFin,MATCH($AB1543&amp;"."&amp;$AC1543&amp;".oc",NCEfKey,0)),0)</f>
        <v>0.000565218</v>
      </c>
      <c r="AS1543" s="197">
        <f>IFERROR(INDEX(NCEfIn,MATCH($AB1543&amp;"."&amp;$AC1543&amp;".co",NCEfKey,0)),0)</f>
        <v>4.186800000000001</v>
      </c>
      <c r="AT1543" s="197">
        <f>IFERROR(INDEX(NCEfFin,MATCH($AB1543&amp;"."&amp;$AC1543&amp;".co",NCEfKey,0)),0)</f>
        <v>4.186795813200001</v>
      </c>
      <c r="AU1543" s="3" t="str">
        <f>INDEX('Constants and Mappings'!$J$186:$J$201,MATCH($C1543,SubKey,0))</f>
        <v>mining_chemicals</v>
      </c>
      <c r="AV1543" s="3">
        <f>INDEX('Constants and Mappings'!$K$186:$K$201,MATCH($C1543,SubKey,0))</f>
        <v>1.0</v>
      </c>
      <c r="AW1543" s="3" t="str">
        <f>INDEX('Constants and Mappings'!$L$186:$L$201,MATCH($C1543,SubKey,0))&amp;""</f>
        <v/>
      </c>
      <c r="AX1543" s="3">
        <f>INDEX('Constants and Mappings'!$M$186:$M$201,MATCH($C1543,SubKey,0))</f>
        <v>0.0</v>
      </c>
      <c r="AY1543" s="3" t="n">
        <v>0</v>
      </c>
      <c r="AZ1543" s="3" t="n">
        <v>0</v>
      </c>
      <c r="BA1543" s="3" t="n">
        <v>0</v>
      </c>
      <c r="BB1543" s="3" t="n">
        <v>0</v>
      </c>
      <c r="BC1543" s="3" t="n">
        <v>0</v>
      </c>
      <c r="BD1543" s="3">
        <f>IFERROR($BB1543/$BC1543,0)</f>
        <v>0.0</v>
      </c>
      <c r="BE1543" s="133" t="n">
        <v>1</v>
      </c>
      <c r="BF1543" s="39" t="n">
        <v>1</v>
      </c>
    </row>
    <row r="1544">
      <c r="A1544" s="3" t="str">
        <f>$B1544&amp;"|"&amp;$C1544</f>
        <v>nga|mch</v>
      </c>
      <c r="B1544" s="8" t="inlineStr">
        <is>
          <t>nga</t>
        </is>
      </c>
      <c r="C1544" s="8" t="inlineStr">
        <is>
          <t>mch</t>
        </is>
      </c>
      <c r="D1544" s="3" t="str">
        <f>INDEX('Constants and Mappings'!$D$186:$D$201,MATCH($C1544,SubKey,0))</f>
        <v>ind</v>
      </c>
      <c r="E1544" s="3" t="str">
        <f>INDEX('Constants and Mappings'!$C$229:$C$237,MATCH($B1544,FuelKey,0))</f>
        <v>nga</v>
      </c>
      <c r="F1544" s="3" t="str">
        <f>INDEX('Constants and Mappings'!$D$229:$D$237,MATCH($B1544,FuelKey,0))</f>
        <v>nga</v>
      </c>
      <c r="G1544" s="3" t="str">
        <f>INDEX('Constants and Mappings'!$E$229:$E$237,MATCH($B1544,FuelKey,0))</f>
        <v>sub</v>
      </c>
      <c r="H1544" s="3" t="str">
        <f>INDEX('Constants and Mappings'!$F$186:$F$201,MATCH($C1544,SubKey,0))</f>
        <v>ind</v>
      </c>
      <c r="I1544" s="3" t="str">
        <f>INDEX('Constants and Mappings'!$I$229:$I$237,MATCH($B1544,FuelKey,0))&amp;"."&amp;IF($G1544="sub",$H1544,"all")</f>
        <v>nga.ind</v>
      </c>
      <c r="J1544" s="3" t="str">
        <f>INDEX('Constants and Mappings'!$E$186:$E$201,MATCH($C1544,SubKey,0))</f>
        <v>ind</v>
      </c>
      <c r="K1544" s="3">
        <f>INDEX('Constants and Mappings'!$G$229:$G$237,MATCH($B1544,FuelKey,0))</f>
        <v>1.0</v>
      </c>
      <c r="L1544" s="3">
        <f>INDEX('Constants and Mappings'!$H$229:$H$237,MATCH($B1544,FuelKey,0))</f>
        <v>2.0</v>
      </c>
      <c r="M1544" s="3">
        <f>INDEX('Constants and Mappings'!$H$186:$H$201,MATCH($C1544,SubKey,0))</f>
        <v>9.0</v>
      </c>
      <c r="N1544" s="3">
        <f>INDEX('Constants and Mappings'!$E$300:$E$313,MATCH($I1544,'Constants and Mappings'!$A$300:$A$313,0))</f>
        <v>6.0</v>
      </c>
      <c r="O1544" s="48">
        <f>INDEX(ElaSel,MATCH("inc|"&amp;$E1544&amp;"|"&amp;$D1544,ElaSelKey,0))</f>
        <v>1.0</v>
      </c>
      <c r="P1544" s="48">
        <f>INDEX(ElaSel,MATCH("usg|"&amp;$E1544&amp;"|"&amp;$D1544,ElaSelKey,0))</f>
        <v>-0.5</v>
      </c>
      <c r="Q1544" s="48">
        <f>INDEX(ElaSel,MATCH("eff|"&amp;$E1544&amp;"|"&amp;$D1544,ElaSelKey,0))</f>
        <v>-0.5</v>
      </c>
      <c r="R1544" s="225">
        <f>INDEX(ElaSel,MATCH("aei|"&amp;$F1544&amp;"|"&amp;$D1544,ElaSelKey,0))</f>
        <v>0.01</v>
      </c>
      <c r="S1544" s="133" t="n">
        <v>3</v>
      </c>
      <c r="T1544" s="48">
        <f>$Q1544*(1+$P1544)</f>
        <v>-0.25</v>
      </c>
      <c r="U1544" s="3">
        <f>INDEX('Constants and Mappings'!$E$1633:$E$1644,MATCH($I1544,'Constants and Mappings'!$A$1633:$A$1644,0))</f>
        <v>138.0</v>
      </c>
      <c r="V1544" s="225">
        <f>INDEX('Constants and Mappings'!$V$1633:$V$1644,MATCH($I1544,'Constants and Mappings'!$A$1633:$A$1644,0))</f>
        <v>0.0</v>
      </c>
      <c r="W1544" s="197">
        <f>INDEX(EFSel,MATCH($B1544&amp;"|"&amp;$J1544,EFSelKey,0))*EFCalib</f>
        <v>0.05555115616004721</v>
      </c>
      <c r="X1544" s="195">
        <f>IF(LEFT(BalOpt,3)="Bal",$AY1544*$AV1544+$AZ1544*$AX1544,$BA1544)</f>
        <v>0.0</v>
      </c>
      <c r="Y1544" s="3" t="str">
        <f>IF($G1544="sub",$H1544,IF($B1544="oop","ind","trs"))</f>
        <v>ind</v>
      </c>
      <c r="Z1544" s="39">
        <f>IFERROR(MATCH($Y1544&amp;"|"&amp;$B1544,XKey,0),1)</f>
        <v>30.0</v>
      </c>
      <c r="AA1544" s="48">
        <f>INDEX(XCTVal,$Z1544,ECPEmb)+INDEX(XETSVal,$Z1544,ECPEmb)</f>
        <v>0.0</v>
      </c>
      <c r="AB1544" s="8" t="inlineStr">
        <is>
          <t>mnf</t>
        </is>
      </c>
      <c r="AC1544" s="8" t="inlineStr">
        <is>
          <t>nga</t>
        </is>
      </c>
      <c r="AD1544" s="197">
        <f>IFERROR(INDEX(NCEfIn,MATCH($AB1544&amp;"."&amp;$AC1544&amp;".ch4",NCEfKey,0)),0)</f>
        <v>1.9701992232</v>
      </c>
      <c r="AE1544" s="197">
        <f>IFERROR(INDEX(NCEfFin,MATCH($AB1544&amp;"."&amp;$AC1544&amp;".ch4",NCEfKey,0)),0)</f>
        <v>1.9373244696</v>
      </c>
      <c r="AF1544" s="3" t="n">
        <v>0</v>
      </c>
      <c r="AG1544" s="197">
        <f>IFERROR(INDEX(NCEfIn,MATCH($AB1544&amp;"."&amp;$AC1544&amp;".pm2",NCEfKey,0)),0)</f>
        <v>0.0041868</v>
      </c>
      <c r="AH1544" s="197">
        <f>IFERROR(INDEX(NCEfFin,MATCH($AB1544&amp;"."&amp;$AC1544&amp;".pm2",NCEfKey,0)),0)</f>
        <v>0.0041868</v>
      </c>
      <c r="AI1544" s="197">
        <f>IFERROR(INDEX(NCEfIn,MATCH($AB1544&amp;"."&amp;$AC1544&amp;".nox",NCEfKey,0)),0)</f>
        <v>4.186800000000001</v>
      </c>
      <c r="AJ1544" s="197">
        <f>IFERROR(INDEX(NCEfFin,MATCH($AB1544&amp;"."&amp;$AC1544&amp;".nox",NCEfKey,0)),0)</f>
        <v>4.186611594</v>
      </c>
      <c r="AK1544" s="197">
        <f>IFERROR(INDEX(NCEfIn,MATCH($AB1544&amp;"."&amp;$AC1544&amp;".so2",NCEfKey,0)),0)</f>
        <v>0.0348886044</v>
      </c>
      <c r="AL1544" s="197">
        <f>IFERROR(INDEX(NCEfFin,MATCH($AB1544&amp;"."&amp;$AC1544&amp;".so2",NCEfKey,0)),0)</f>
        <v>0.0348886044</v>
      </c>
      <c r="AM1544" s="197">
        <f>IFERROR(INDEX(NCEfIn,MATCH($AB1544&amp;"."&amp;$AC1544&amp;".voc",NCEfKey,0)),0)</f>
        <v>0.083736</v>
      </c>
      <c r="AN1544" s="197">
        <f>IFERROR(INDEX(NCEfFin,MATCH($AB1544&amp;"."&amp;$AC1544&amp;".voc",NCEfKey,0)),0)</f>
        <v>0.08373181320000002</v>
      </c>
      <c r="AO1544" s="197">
        <f>IFERROR(INDEX(NCEfIn,MATCH($AB1544&amp;"."&amp;$AC1544&amp;".bc",NCEfKey,0)),0)</f>
        <v>0.0002805156</v>
      </c>
      <c r="AP1544" s="197">
        <f>IFERROR(INDEX(NCEfFin,MATCH($AB1544&amp;"."&amp;$AC1544&amp;".bc",NCEfKey,0)),0)</f>
        <v>0.0002805156</v>
      </c>
      <c r="AQ1544" s="197">
        <f>IFERROR(INDEX(NCEfIn,MATCH($AB1544&amp;"."&amp;$AC1544&amp;".oc",NCEfKey,0)),0)</f>
        <v>0.0031401</v>
      </c>
      <c r="AR1544" s="197">
        <f>IFERROR(INDEX(NCEfFin,MATCH($AB1544&amp;"."&amp;$AC1544&amp;".oc",NCEfKey,0)),0)</f>
        <v>0.0031401</v>
      </c>
      <c r="AS1544" s="197">
        <f>IFERROR(INDEX(NCEfIn,MATCH($AB1544&amp;"."&amp;$AC1544&amp;".co",NCEfKey,0)),0)</f>
        <v>1.46538</v>
      </c>
      <c r="AT1544" s="197">
        <f>IFERROR(INDEX(NCEfFin,MATCH($AB1544&amp;"."&amp;$AC1544&amp;".co",NCEfKey,0)),0)</f>
        <v>1.4653130112</v>
      </c>
      <c r="AU1544" s="3" t="str">
        <f>INDEX('Constants and Mappings'!$J$186:$J$201,MATCH($C1544,SubKey,0))</f>
        <v>mining_chemicals</v>
      </c>
      <c r="AV1544" s="3">
        <f>INDEX('Constants and Mappings'!$K$186:$K$201,MATCH($C1544,SubKey,0))</f>
        <v>1.0</v>
      </c>
      <c r="AW1544" s="3" t="str">
        <f>INDEX('Constants and Mappings'!$L$186:$L$201,MATCH($C1544,SubKey,0))&amp;""</f>
        <v/>
      </c>
      <c r="AX1544" s="3">
        <f>INDEX('Constants and Mappings'!$M$186:$M$201,MATCH($C1544,SubKey,0))</f>
        <v>0.0</v>
      </c>
      <c r="AY1544" s="3" t="n">
        <v>0</v>
      </c>
      <c r="AZ1544" s="3" t="n">
        <v>0</v>
      </c>
      <c r="BA1544" s="3" t="n">
        <v>0</v>
      </c>
      <c r="BB1544" s="3" t="n">
        <v>0</v>
      </c>
      <c r="BC1544" s="3" t="n">
        <v>0</v>
      </c>
      <c r="BD1544" s="3">
        <f>IFERROR($BB1544/$BC1544,0)</f>
        <v>0.0</v>
      </c>
      <c r="BE1544" s="133" t="n">
        <v>1</v>
      </c>
      <c r="BF1544" s="39" t="n">
        <v>1</v>
      </c>
    </row>
    <row r="1545">
      <c r="A1545" s="3" t="str">
        <f>$B1545&amp;"|"&amp;$C1545</f>
        <v>gso|mch</v>
      </c>
      <c r="B1545" s="8" t="inlineStr">
        <is>
          <t>gso</t>
        </is>
      </c>
      <c r="C1545" s="8" t="inlineStr">
        <is>
          <t>mch</t>
        </is>
      </c>
      <c r="D1545" s="3" t="str">
        <f>INDEX('Constants and Mappings'!$D$186:$D$201,MATCH($C1545,SubKey,0))</f>
        <v>ind</v>
      </c>
      <c r="E1545" s="3" t="str">
        <f>INDEX('Constants and Mappings'!$C$229:$C$237,MATCH($B1545,FuelKey,0))</f>
        <v>gso</v>
      </c>
      <c r="F1545" s="3" t="str">
        <f>INDEX('Constants and Mappings'!$D$229:$D$237,MATCH($B1545,FuelKey,0))</f>
        <v>oil</v>
      </c>
      <c r="G1545" s="3" t="str">
        <f>INDEX('Constants and Mappings'!$E$229:$E$237,MATCH($B1545,FuelKey,0))</f>
        <v>all</v>
      </c>
      <c r="H1545" s="3" t="str">
        <f>INDEX('Constants and Mappings'!$F$186:$F$201,MATCH($C1545,SubKey,0))</f>
        <v>ind</v>
      </c>
      <c r="I1545" s="3" t="str">
        <f>INDEX('Constants and Mappings'!$I$229:$I$237,MATCH($B1545,FuelKey,0))&amp;"."&amp;IF($G1545="sub",$H1545,"all")</f>
        <v>gso.all</v>
      </c>
      <c r="J1545" s="3" t="str">
        <f>INDEX('Constants and Mappings'!$E$186:$E$201,MATCH($C1545,SubKey,0))</f>
        <v>ind</v>
      </c>
      <c r="K1545" s="3">
        <f>INDEX('Constants and Mappings'!$G$229:$G$237,MATCH($B1545,FuelKey,0))</f>
        <v>0.03496974000000001</v>
      </c>
      <c r="L1545" s="3">
        <f>INDEX('Constants and Mappings'!$H$229:$H$237,MATCH($B1545,FuelKey,0))</f>
        <v>3.0</v>
      </c>
      <c r="M1545" s="3">
        <f>INDEX('Constants and Mappings'!$H$186:$H$201,MATCH($C1545,SubKey,0))</f>
        <v>9.0</v>
      </c>
      <c r="N1545" s="3">
        <f>INDEX('Constants and Mappings'!$E$300:$E$313,MATCH($I1545,'Constants and Mappings'!$A$300:$A$313,0))</f>
        <v>9.0</v>
      </c>
      <c r="O1545" s="48">
        <f>INDEX(ElaSel,MATCH("inc|"&amp;$E1545&amp;"|"&amp;$D1545,ElaSelKey,0))</f>
        <v>0.5</v>
      </c>
      <c r="P1545" s="48">
        <f>INDEX(ElaSel,MATCH("usg|"&amp;$E1545&amp;"|"&amp;$D1545,ElaSelKey,0))</f>
        <v>-0.4</v>
      </c>
      <c r="Q1545" s="48">
        <f>INDEX(ElaSel,MATCH("eff|"&amp;$E1545&amp;"|"&amp;$D1545,ElaSelKey,0))</f>
        <v>-0.7</v>
      </c>
      <c r="R1545" s="225">
        <f>INDEX(ElaSel,MATCH("aei|"&amp;$F1545&amp;"|"&amp;$D1545,ElaSelKey,0))</f>
        <v>0.005</v>
      </c>
      <c r="S1545" s="133" t="n">
        <v>3</v>
      </c>
      <c r="T1545" s="48">
        <f>$Q1545*(1+$P1545)</f>
        <v>-0.42</v>
      </c>
      <c r="U1545" s="3">
        <f>INDEX('Constants and Mappings'!$E$1633:$E$1644,MATCH($I1545,'Constants and Mappings'!$A$1633:$A$1644,0))</f>
        <v>167.0</v>
      </c>
      <c r="V1545" s="225">
        <f>INDEX('Constants and Mappings'!$V$1633:$V$1644,MATCH($I1545,'Constants and Mappings'!$A$1633:$A$1644,0))</f>
        <v>0.0</v>
      </c>
      <c r="W1545" s="197">
        <f>INDEX(EFSel,MATCH($B1545&amp;"|"&amp;$J1545,EFSelKey,0))*EFCalib</f>
        <v>0.06749067257272545</v>
      </c>
      <c r="X1545" s="195">
        <f>IF(LEFT(BalOpt,3)="Bal",$AY1545*$AV1545+$AZ1545*$AX1545,$BA1545)</f>
        <v>0.0</v>
      </c>
      <c r="Y1545" s="3" t="str">
        <f>IF($G1545="sub",$H1545,IF($B1545="oop","ind","trs"))</f>
        <v>trs</v>
      </c>
      <c r="Z1545" s="39">
        <f>IFERROR(MATCH($Y1545&amp;"|"&amp;$B1545,XKey,0),1)</f>
        <v>13.0</v>
      </c>
      <c r="AA1545" s="48">
        <f>INDEX(XCTVal,$Z1545,ECPEmb)+INDEX(XETSVal,$Z1545,ECPEmb)</f>
        <v>0.0</v>
      </c>
      <c r="AB1545" s="8" t="inlineStr">
        <is>
          <t>mnf</t>
        </is>
      </c>
      <c r="AC1545" s="8" t="inlineStr">
        <is>
          <t>gso</t>
        </is>
      </c>
      <c r="AD1545" s="197">
        <f>IFERROR(INDEX(NCEfIn,MATCH($AB1545&amp;"."&amp;$AC1545&amp;".ch4",NCEfKey,0)),0)</f>
        <v>0.125604</v>
      </c>
      <c r="AE1545" s="197">
        <f>IFERROR(INDEX(NCEfFin,MATCH($AB1545&amp;"."&amp;$AC1545&amp;".ch4",NCEfKey,0)),0)</f>
        <v>0.125604</v>
      </c>
      <c r="AF1545" s="3" t="n">
        <v>0</v>
      </c>
      <c r="AG1545" s="197">
        <f>IFERROR(INDEX(NCEfIn,MATCH($AB1545&amp;"."&amp;$AC1545&amp;".pm2",NCEfKey,0)),0)</f>
        <v>0.020934</v>
      </c>
      <c r="AH1545" s="197">
        <f>IFERROR(INDEX(NCEfFin,MATCH($AB1545&amp;"."&amp;$AC1545&amp;".pm2",NCEfKey,0)),0)</f>
        <v>0.020934</v>
      </c>
      <c r="AI1545" s="197">
        <f>IFERROR(INDEX(NCEfIn,MATCH($AB1545&amp;"."&amp;$AC1545&amp;".nox",NCEfKey,0)),0)</f>
        <v>2.93076</v>
      </c>
      <c r="AJ1545" s="197">
        <f>IFERROR(INDEX(NCEfFin,MATCH($AB1545&amp;"."&amp;$AC1545&amp;".nox",NCEfKey,0)),0)</f>
        <v>2.93076</v>
      </c>
      <c r="AK1545" s="197">
        <f>IFERROR(INDEX(NCEfIn,MATCH($AB1545&amp;"."&amp;$AC1545&amp;".so2",NCEfKey,0)),0)</f>
        <v>0.9101726388000001</v>
      </c>
      <c r="AL1545" s="197">
        <f>IFERROR(INDEX(NCEfFin,MATCH($AB1545&amp;"."&amp;$AC1545&amp;".so2",NCEfKey,0)),0)</f>
        <v>0.9101726388000001</v>
      </c>
      <c r="AM1545" s="197">
        <f>IFERROR(INDEX(NCEfIn,MATCH($AB1545&amp;"."&amp;$AC1545&amp;".voc",NCEfKey,0)),0)</f>
        <v>0.10467</v>
      </c>
      <c r="AN1545" s="197">
        <f>IFERROR(INDEX(NCEfFin,MATCH($AB1545&amp;"."&amp;$AC1545&amp;".voc",NCEfKey,0)),0)</f>
        <v>0.10467</v>
      </c>
      <c r="AO1545" s="197">
        <f>IFERROR(INDEX(NCEfIn,MATCH($AB1545&amp;"."&amp;$AC1545&amp;".bc",NCEfKey,0)),0)</f>
        <v>0.001402578</v>
      </c>
      <c r="AP1545" s="197">
        <f>IFERROR(INDEX(NCEfFin,MATCH($AB1545&amp;"."&amp;$AC1545&amp;".bc",NCEfKey,0)),0)</f>
        <v>0.001402578</v>
      </c>
      <c r="AQ1545" s="197">
        <f>IFERROR(INDEX(NCEfIn,MATCH($AB1545&amp;"."&amp;$AC1545&amp;".oc",NCEfKey,0)),0)</f>
        <v>0.0157005</v>
      </c>
      <c r="AR1545" s="197">
        <f>IFERROR(INDEX(NCEfFin,MATCH($AB1545&amp;"."&amp;$AC1545&amp;".oc",NCEfKey,0)),0)</f>
        <v>0.0157005</v>
      </c>
      <c r="AS1545" s="197">
        <f>IFERROR(INDEX(NCEfIn,MATCH($AB1545&amp;"."&amp;$AC1545&amp;".co",NCEfKey,0)),0)</f>
        <v>1.67472</v>
      </c>
      <c r="AT1545" s="197">
        <f>IFERROR(INDEX(NCEfFin,MATCH($AB1545&amp;"."&amp;$AC1545&amp;".co",NCEfKey,0)),0)</f>
        <v>1.67472</v>
      </c>
      <c r="AU1545" s="3" t="str">
        <f>INDEX('Constants and Mappings'!$J$186:$J$201,MATCH($C1545,SubKey,0))</f>
        <v>mining_chemicals</v>
      </c>
      <c r="AV1545" s="3">
        <f>INDEX('Constants and Mappings'!$K$186:$K$201,MATCH($C1545,SubKey,0))</f>
        <v>1.0</v>
      </c>
      <c r="AW1545" s="3" t="str">
        <f>INDEX('Constants and Mappings'!$L$186:$L$201,MATCH($C1545,SubKey,0))&amp;""</f>
        <v/>
      </c>
      <c r="AX1545" s="3">
        <f>INDEX('Constants and Mappings'!$M$186:$M$201,MATCH($C1545,SubKey,0))</f>
        <v>0.0</v>
      </c>
      <c r="AY1545" s="3" t="n">
        <v>0</v>
      </c>
      <c r="AZ1545" s="3" t="n">
        <v>0</v>
      </c>
      <c r="BA1545" s="3" t="n">
        <v>0</v>
      </c>
      <c r="BB1545" s="3" t="n">
        <v>0</v>
      </c>
      <c r="BC1545" s="3" t="n">
        <v>0</v>
      </c>
      <c r="BD1545" s="3">
        <f>IFERROR($BB1545/$BC1545,0)</f>
        <v>0.0</v>
      </c>
      <c r="BE1545" s="133" t="n">
        <v>1</v>
      </c>
      <c r="BF1545" s="39" t="n">
        <v>1</v>
      </c>
    </row>
    <row r="1546">
      <c r="A1546" s="3" t="str">
        <f>$B1546&amp;"|"&amp;$C1546</f>
        <v>die|mch</v>
      </c>
      <c r="B1546" s="8" t="inlineStr">
        <is>
          <t>die</t>
        </is>
      </c>
      <c r="C1546" s="8" t="inlineStr">
        <is>
          <t>mch</t>
        </is>
      </c>
      <c r="D1546" s="3" t="str">
        <f>INDEX('Constants and Mappings'!$D$186:$D$201,MATCH($C1546,SubKey,0))</f>
        <v>ind</v>
      </c>
      <c r="E1546" s="3" t="str">
        <f>INDEX('Constants and Mappings'!$C$229:$C$237,MATCH($B1546,FuelKey,0))</f>
        <v>die</v>
      </c>
      <c r="F1546" s="3" t="str">
        <f>INDEX('Constants and Mappings'!$D$229:$D$237,MATCH($B1546,FuelKey,0))</f>
        <v>oil</v>
      </c>
      <c r="G1546" s="3" t="str">
        <f>INDEX('Constants and Mappings'!$E$229:$E$237,MATCH($B1546,FuelKey,0))</f>
        <v>all</v>
      </c>
      <c r="H1546" s="3" t="str">
        <f>INDEX('Constants and Mappings'!$F$186:$F$201,MATCH($C1546,SubKey,0))</f>
        <v>ind</v>
      </c>
      <c r="I1546" s="3" t="str">
        <f>INDEX('Constants and Mappings'!$I$229:$I$237,MATCH($B1546,FuelKey,0))&amp;"."&amp;IF($G1546="sub",$H1546,"all")</f>
        <v>die.all</v>
      </c>
      <c r="J1546" s="3" t="str">
        <f>INDEX('Constants and Mappings'!$E$186:$E$201,MATCH($C1546,SubKey,0))</f>
        <v>ind</v>
      </c>
      <c r="K1546" s="3">
        <f>INDEX('Constants and Mappings'!$G$229:$G$237,MATCH($B1546,FuelKey,0))</f>
        <v>0.03729519000000001</v>
      </c>
      <c r="L1546" s="3">
        <f>INDEX('Constants and Mappings'!$H$229:$H$237,MATCH($B1546,FuelKey,0))</f>
        <v>4.0</v>
      </c>
      <c r="M1546" s="3">
        <f>INDEX('Constants and Mappings'!$H$186:$H$201,MATCH($C1546,SubKey,0))</f>
        <v>9.0</v>
      </c>
      <c r="N1546" s="3">
        <f>INDEX('Constants and Mappings'!$E$300:$E$313,MATCH($I1546,'Constants and Mappings'!$A$300:$A$313,0))</f>
        <v>10.0</v>
      </c>
      <c r="O1546" s="48">
        <f>INDEX(ElaSel,MATCH("inc|"&amp;$E1546&amp;"|"&amp;$D1546,ElaSelKey,0))</f>
        <v>0.5</v>
      </c>
      <c r="P1546" s="48">
        <f>INDEX(ElaSel,MATCH("usg|"&amp;$E1546&amp;"|"&amp;$D1546,ElaSelKey,0))</f>
        <v>-0.7</v>
      </c>
      <c r="Q1546" s="48">
        <f>INDEX(ElaSel,MATCH("eff|"&amp;$E1546&amp;"|"&amp;$D1546,ElaSelKey,0))</f>
        <v>-1.2</v>
      </c>
      <c r="R1546" s="225">
        <f>INDEX(ElaSel,MATCH("aei|"&amp;$F1546&amp;"|"&amp;$D1546,ElaSelKey,0))</f>
        <v>0.005</v>
      </c>
      <c r="S1546" s="133" t="n">
        <v>3</v>
      </c>
      <c r="T1546" s="48">
        <f>$Q1546*(1+$P1546)</f>
        <v>-0.36000000000000004</v>
      </c>
      <c r="U1546" s="3">
        <f>INDEX('Constants and Mappings'!$E$1633:$E$1644,MATCH($I1546,'Constants and Mappings'!$A$1633:$A$1644,0))</f>
        <v>196.0</v>
      </c>
      <c r="V1546" s="225">
        <f>INDEX('Constants and Mappings'!$V$1633:$V$1644,MATCH($I1546,'Constants and Mappings'!$A$1633:$A$1644,0))</f>
        <v>0.0</v>
      </c>
      <c r="W1546" s="197">
        <f>INDEX(EFSel,MATCH($B1546&amp;"|"&amp;$J1546,EFSelKey,0))*EFCalib</f>
        <v>0.0715246024071432</v>
      </c>
      <c r="X1546" s="195">
        <f>IF(LEFT(BalOpt,3)="Bal",$AY1546*$AV1546+$AZ1546*$AX1546,$BA1546)</f>
        <v>0.0</v>
      </c>
      <c r="Y1546" s="3" t="str">
        <f>IF($G1546="sub",$H1546,IF($B1546="oop","ind","trs"))</f>
        <v>trs</v>
      </c>
      <c r="Z1546" s="39">
        <f>IFERROR(MATCH($Y1546&amp;"|"&amp;$B1546,XKey,0),1)</f>
        <v>14.0</v>
      </c>
      <c r="AA1546" s="48">
        <f>INDEX(XCTVal,$Z1546,ECPEmb)+INDEX(XETSVal,$Z1546,ECPEmb)</f>
        <v>0.0</v>
      </c>
      <c r="AB1546" s="8" t="inlineStr">
        <is>
          <t>mnf</t>
        </is>
      </c>
      <c r="AC1546" s="8" t="inlineStr">
        <is>
          <t>die</t>
        </is>
      </c>
      <c r="AD1546" s="197">
        <f>IFERROR(INDEX(NCEfIn,MATCH($AB1546&amp;"."&amp;$AC1546&amp;".ch4",NCEfKey,0)),0)</f>
        <v>0.125604</v>
      </c>
      <c r="AE1546" s="197">
        <f>IFERROR(INDEX(NCEfFin,MATCH($AB1546&amp;"."&amp;$AC1546&amp;".ch4",NCEfKey,0)),0)</f>
        <v>0.125604</v>
      </c>
      <c r="AF1546" s="3" t="n">
        <v>0</v>
      </c>
      <c r="AG1546" s="197">
        <f>IFERROR(INDEX(NCEfIn,MATCH($AB1546&amp;"."&amp;$AC1546&amp;".pm2",NCEfKey,0)),0)</f>
        <v>0.0077372064</v>
      </c>
      <c r="AH1546" s="197">
        <f>IFERROR(INDEX(NCEfFin,MATCH($AB1546&amp;"."&amp;$AC1546&amp;".pm2",NCEfKey,0)),0)</f>
        <v>0.0077372064</v>
      </c>
      <c r="AI1546" s="197">
        <f>IFERROR(INDEX(NCEfIn,MATCH($AB1546&amp;"."&amp;$AC1546&amp;".nox",NCEfKey,0)),0)</f>
        <v>6.2802</v>
      </c>
      <c r="AJ1546" s="197">
        <f>IFERROR(INDEX(NCEfFin,MATCH($AB1546&amp;"."&amp;$AC1546&amp;".nox",NCEfKey,0)),0)</f>
        <v>6.2802</v>
      </c>
      <c r="AK1546" s="197">
        <f>IFERROR(INDEX(NCEfIn,MATCH($AB1546&amp;"."&amp;$AC1546&amp;".so2",NCEfKey,0)),0)</f>
        <v>3.9405156768</v>
      </c>
      <c r="AL1546" s="197">
        <f>IFERROR(INDEX(NCEfFin,MATCH($AB1546&amp;"."&amp;$AC1546&amp;".so2",NCEfKey,0)),0)</f>
        <v>3.9405156768</v>
      </c>
      <c r="AM1546" s="197">
        <f>IFERROR(INDEX(NCEfIn,MATCH($AB1546&amp;"."&amp;$AC1546&amp;".voc",NCEfKey,0)),0)</f>
        <v>0.167472</v>
      </c>
      <c r="AN1546" s="197">
        <f>IFERROR(INDEX(NCEfFin,MATCH($AB1546&amp;"."&amp;$AC1546&amp;".voc",NCEfKey,0)),0)</f>
        <v>0.167472</v>
      </c>
      <c r="AO1546" s="197">
        <f>IFERROR(INDEX(NCEfIn,MATCH($AB1546&amp;"."&amp;$AC1546&amp;".bc",NCEfKey,0)),0)</f>
        <v>0.004375206</v>
      </c>
      <c r="AP1546" s="197">
        <f>IFERROR(INDEX(NCEfFin,MATCH($AB1546&amp;"."&amp;$AC1546&amp;".bc",NCEfKey,0)),0)</f>
        <v>0.004375206</v>
      </c>
      <c r="AQ1546" s="197">
        <f>IFERROR(INDEX(NCEfIn,MATCH($AB1546&amp;"."&amp;$AC1546&amp;".oc",NCEfKey,0)),0)</f>
        <v>0.0006615144000000001</v>
      </c>
      <c r="AR1546" s="197">
        <f>IFERROR(INDEX(NCEfFin,MATCH($AB1546&amp;"."&amp;$AC1546&amp;".oc",NCEfKey,0)),0)</f>
        <v>0.0006615144000000001</v>
      </c>
      <c r="AS1546" s="197">
        <f>IFERROR(INDEX(NCEfIn,MATCH($AB1546&amp;"."&amp;$AC1546&amp;".co",NCEfKey,0)),0)</f>
        <v>1.67472</v>
      </c>
      <c r="AT1546" s="197">
        <f>IFERROR(INDEX(NCEfFin,MATCH($AB1546&amp;"."&amp;$AC1546&amp;".co",NCEfKey,0)),0)</f>
        <v>1.67472</v>
      </c>
      <c r="AU1546" s="3" t="str">
        <f>INDEX('Constants and Mappings'!$J$186:$J$201,MATCH($C1546,SubKey,0))</f>
        <v>mining_chemicals</v>
      </c>
      <c r="AV1546" s="3">
        <f>INDEX('Constants and Mappings'!$K$186:$K$201,MATCH($C1546,SubKey,0))</f>
        <v>1.0</v>
      </c>
      <c r="AW1546" s="3" t="str">
        <f>INDEX('Constants and Mappings'!$L$186:$L$201,MATCH($C1546,SubKey,0))&amp;""</f>
        <v/>
      </c>
      <c r="AX1546" s="3">
        <f>INDEX('Constants and Mappings'!$M$186:$M$201,MATCH($C1546,SubKey,0))</f>
        <v>0.0</v>
      </c>
      <c r="AY1546" s="3" t="n">
        <v>0</v>
      </c>
      <c r="AZ1546" s="3" t="n">
        <v>0</v>
      </c>
      <c r="BA1546" s="3" t="n">
        <v>0</v>
      </c>
      <c r="BB1546" s="3" t="n">
        <v>0</v>
      </c>
      <c r="BC1546" s="3" t="n">
        <v>0</v>
      </c>
      <c r="BD1546" s="3">
        <f>IFERROR($BB1546/$BC1546,0)</f>
        <v>0.0</v>
      </c>
      <c r="BE1546" s="133" t="n">
        <v>1</v>
      </c>
      <c r="BF1546" s="39" t="n">
        <v>1</v>
      </c>
    </row>
    <row r="1547">
      <c r="A1547" s="3" t="str">
        <f>$B1547&amp;"|"&amp;$C1547</f>
        <v>lpg|mch</v>
      </c>
      <c r="B1547" s="8" t="inlineStr">
        <is>
          <t>lpg</t>
        </is>
      </c>
      <c r="C1547" s="8" t="inlineStr">
        <is>
          <t>mch</t>
        </is>
      </c>
      <c r="D1547" s="3" t="str">
        <f>INDEX('Constants and Mappings'!$D$186:$D$201,MATCH($C1547,SubKey,0))</f>
        <v>ind</v>
      </c>
      <c r="E1547" s="3" t="str">
        <f>INDEX('Constants and Mappings'!$C$229:$C$237,MATCH($B1547,FuelKey,0))</f>
        <v>oil</v>
      </c>
      <c r="F1547" s="3" t="str">
        <f>INDEX('Constants and Mappings'!$D$229:$D$237,MATCH($B1547,FuelKey,0))</f>
        <v>oil</v>
      </c>
      <c r="G1547" s="3" t="str">
        <f>INDEX('Constants and Mappings'!$E$229:$E$237,MATCH($B1547,FuelKey,0))</f>
        <v>all</v>
      </c>
      <c r="H1547" s="3" t="str">
        <f>INDEX('Constants and Mappings'!$F$186:$F$201,MATCH($C1547,SubKey,0))</f>
        <v>ind</v>
      </c>
      <c r="I1547" s="3" t="str">
        <f>INDEX('Constants and Mappings'!$I$229:$I$237,MATCH($B1547,FuelKey,0))&amp;"."&amp;IF($G1547="sub",$H1547,"all")</f>
        <v>lpg.all</v>
      </c>
      <c r="J1547" s="3" t="str">
        <f>INDEX('Constants and Mappings'!$E$186:$E$201,MATCH($C1547,SubKey,0))</f>
        <v>ind</v>
      </c>
      <c r="K1547" s="3">
        <f>INDEX('Constants and Mappings'!$G$229:$G$237,MATCH($B1547,FuelKey,0))</f>
        <v>0.02577968854495125</v>
      </c>
      <c r="L1547" s="3">
        <f>INDEX('Constants and Mappings'!$H$229:$H$237,MATCH($B1547,FuelKey,0))</f>
        <v>5.0</v>
      </c>
      <c r="M1547" s="3">
        <f>INDEX('Constants and Mappings'!$H$186:$H$201,MATCH($C1547,SubKey,0))</f>
        <v>9.0</v>
      </c>
      <c r="N1547" s="3">
        <f>INDEX('Constants and Mappings'!$E$300:$E$313,MATCH($I1547,'Constants and Mappings'!$A$300:$A$313,0))</f>
        <v>11.0</v>
      </c>
      <c r="O1547" s="48">
        <f>INDEX(ElaSel,MATCH("inc|"&amp;$E1547&amp;"|"&amp;$D1547,ElaSelKey,0))</f>
        <v>0.8</v>
      </c>
      <c r="P1547" s="48">
        <f>INDEX(ElaSel,MATCH("usg|"&amp;$E1547&amp;"|"&amp;$D1547,ElaSelKey,0))</f>
        <v>-0.4</v>
      </c>
      <c r="Q1547" s="48">
        <f>INDEX(ElaSel,MATCH("eff|"&amp;$E1547&amp;"|"&amp;$D1547,ElaSelKey,0))</f>
        <v>-0.4</v>
      </c>
      <c r="R1547" s="225">
        <f>INDEX(ElaSel,MATCH("aei|"&amp;$F1547&amp;"|"&amp;$D1547,ElaSelKey,0))</f>
        <v>0.005</v>
      </c>
      <c r="S1547" s="133" t="n">
        <v>3</v>
      </c>
      <c r="T1547" s="48">
        <f>$Q1547*(1+$P1547)</f>
        <v>-0.24</v>
      </c>
      <c r="U1547" s="3">
        <f>INDEX('Constants and Mappings'!$E$1633:$E$1644,MATCH($I1547,'Constants and Mappings'!$A$1633:$A$1644,0))</f>
        <v>225.0</v>
      </c>
      <c r="V1547" s="225">
        <f>INDEX('Constants and Mappings'!$V$1633:$V$1644,MATCH($I1547,'Constants and Mappings'!$A$1633:$A$1644,0))</f>
        <v>0.0</v>
      </c>
      <c r="W1547" s="197">
        <f>INDEX(EFSel,MATCH($B1547&amp;"|"&amp;$J1547,EFSelKey,0))*EFCalib</f>
        <v>0.06829407370213687</v>
      </c>
      <c r="X1547" s="195">
        <f>IF(LEFT(BalOpt,3)="Bal",$AY1547*$AV1547+$AZ1547*$AX1547,$BA1547)</f>
        <v>0.0</v>
      </c>
      <c r="Y1547" s="3" t="str">
        <f>IF($G1547="sub",$H1547,IF($B1547="oop","ind","trs"))</f>
        <v>trs</v>
      </c>
      <c r="Z1547" s="39">
        <f>IFERROR(MATCH($Y1547&amp;"|"&amp;$B1547,XKey,0),1)</f>
        <v>15.0</v>
      </c>
      <c r="AA1547" s="48">
        <f>INDEX(XCTVal,$Z1547,ECPEmb)+INDEX(XETSVal,$Z1547,ECPEmb)</f>
        <v>0.0</v>
      </c>
      <c r="AB1547" s="8" t="inlineStr">
        <is>
          <t>mnf</t>
        </is>
      </c>
      <c r="AC1547" s="8" t="inlineStr">
        <is>
          <t>lpg</t>
        </is>
      </c>
      <c r="AD1547" s="197">
        <f>IFERROR(INDEX(NCEfIn,MATCH($AB1547&amp;"."&amp;$AC1547&amp;".ch4",NCEfKey,0)),0)</f>
        <v>0.041868</v>
      </c>
      <c r="AE1547" s="197">
        <f>IFERROR(INDEX(NCEfFin,MATCH($AB1547&amp;"."&amp;$AC1547&amp;".ch4",NCEfKey,0)),0)</f>
        <v>0.041868</v>
      </c>
      <c r="AF1547" s="3" t="n">
        <v>0</v>
      </c>
      <c r="AG1547" s="197">
        <f>IFERROR(INDEX(NCEfIn,MATCH($AB1547&amp;"."&amp;$AC1547&amp;".pm2",NCEfKey,0)),0)</f>
        <v>0.0083736</v>
      </c>
      <c r="AH1547" s="197">
        <f>IFERROR(INDEX(NCEfFin,MATCH($AB1547&amp;"."&amp;$AC1547&amp;".pm2",NCEfKey,0)),0)</f>
        <v>0.0083736</v>
      </c>
      <c r="AI1547" s="197">
        <f>IFERROR(INDEX(NCEfIn,MATCH($AB1547&amp;"."&amp;$AC1547&amp;".nox",NCEfKey,0)),0)</f>
        <v>2.93076</v>
      </c>
      <c r="AJ1547" s="197">
        <f>IFERROR(INDEX(NCEfFin,MATCH($AB1547&amp;"."&amp;$AC1547&amp;".nox",NCEfKey,0)),0)</f>
        <v>2.93076</v>
      </c>
      <c r="AK1547" s="197">
        <f>IFERROR(INDEX(NCEfIn,MATCH($AB1547&amp;"."&amp;$AC1547&amp;".so2",NCEfKey,0)),0)</f>
        <v>0.0</v>
      </c>
      <c r="AL1547" s="197">
        <f>IFERROR(INDEX(NCEfFin,MATCH($AB1547&amp;"."&amp;$AC1547&amp;".so2",NCEfKey,0)),0)</f>
        <v>0.0</v>
      </c>
      <c r="AM1547" s="197">
        <f>IFERROR(INDEX(NCEfIn,MATCH($AB1547&amp;"."&amp;$AC1547&amp;".voc",NCEfKey,0)),0)</f>
        <v>0.0</v>
      </c>
      <c r="AN1547" s="197">
        <f>IFERROR(INDEX(NCEfFin,MATCH($AB1547&amp;"."&amp;$AC1547&amp;".voc",NCEfKey,0)),0)</f>
        <v>0.0</v>
      </c>
      <c r="AO1547" s="197">
        <f>IFERROR(INDEX(NCEfIn,MATCH($AB1547&amp;"."&amp;$AC1547&amp;".bc",NCEfKey,0)),0)</f>
        <v>0.0005610312000000001</v>
      </c>
      <c r="AP1547" s="197">
        <f>IFERROR(INDEX(NCEfFin,MATCH($AB1547&amp;"."&amp;$AC1547&amp;".bc",NCEfKey,0)),0)</f>
        <v>0.0005610312000000001</v>
      </c>
      <c r="AQ1547" s="197">
        <f>IFERROR(INDEX(NCEfIn,MATCH($AB1547&amp;"."&amp;$AC1547&amp;".oc",NCEfKey,0)),0)</f>
        <v>0.0</v>
      </c>
      <c r="AR1547" s="197">
        <f>IFERROR(INDEX(NCEfFin,MATCH($AB1547&amp;"."&amp;$AC1547&amp;".oc",NCEfKey,0)),0)</f>
        <v>0.0</v>
      </c>
      <c r="AS1547" s="197">
        <f>IFERROR(INDEX(NCEfIn,MATCH($AB1547&amp;"."&amp;$AC1547&amp;".co",NCEfKey,0)),0)</f>
        <v>0.62802</v>
      </c>
      <c r="AT1547" s="197">
        <f>IFERROR(INDEX(NCEfFin,MATCH($AB1547&amp;"."&amp;$AC1547&amp;".co",NCEfKey,0)),0)</f>
        <v>0.62802</v>
      </c>
      <c r="AU1547" s="3" t="str">
        <f>INDEX('Constants and Mappings'!$J$186:$J$201,MATCH($C1547,SubKey,0))</f>
        <v>mining_chemicals</v>
      </c>
      <c r="AV1547" s="3">
        <f>INDEX('Constants and Mappings'!$K$186:$K$201,MATCH($C1547,SubKey,0))</f>
        <v>1.0</v>
      </c>
      <c r="AW1547" s="3" t="str">
        <f>INDEX('Constants and Mappings'!$L$186:$L$201,MATCH($C1547,SubKey,0))&amp;""</f>
        <v/>
      </c>
      <c r="AX1547" s="3">
        <f>INDEX('Constants and Mappings'!$M$186:$M$201,MATCH($C1547,SubKey,0))</f>
        <v>0.0</v>
      </c>
      <c r="AY1547" s="3" t="n">
        <v>0</v>
      </c>
      <c r="AZ1547" s="3" t="n">
        <v>0</v>
      </c>
      <c r="BA1547" s="3" t="n">
        <v>0</v>
      </c>
      <c r="BB1547" s="3" t="n">
        <v>0</v>
      </c>
      <c r="BC1547" s="3" t="n">
        <v>0</v>
      </c>
      <c r="BD1547" s="3">
        <f>IFERROR($BB1547/$BC1547,0)</f>
        <v>0.0</v>
      </c>
      <c r="BE1547" s="133" t="n">
        <v>1</v>
      </c>
      <c r="BF1547" s="39" t="n">
        <v>1</v>
      </c>
    </row>
    <row r="1548">
      <c r="A1548" s="3" t="str">
        <f>$B1548&amp;"|"&amp;$C1548</f>
        <v>ker|mch</v>
      </c>
      <c r="B1548" s="8" t="inlineStr">
        <is>
          <t>ker</t>
        </is>
      </c>
      <c r="C1548" s="8" t="inlineStr">
        <is>
          <t>mch</t>
        </is>
      </c>
      <c r="D1548" s="3" t="str">
        <f>INDEX('Constants and Mappings'!$D$186:$D$201,MATCH($C1548,SubKey,0))</f>
        <v>ind</v>
      </c>
      <c r="E1548" s="3" t="str">
        <f>INDEX('Constants and Mappings'!$C$229:$C$237,MATCH($B1548,FuelKey,0))</f>
        <v>oil</v>
      </c>
      <c r="F1548" s="3" t="str">
        <f>INDEX('Constants and Mappings'!$D$229:$D$237,MATCH($B1548,FuelKey,0))</f>
        <v>oil</v>
      </c>
      <c r="G1548" s="3" t="str">
        <f>INDEX('Constants and Mappings'!$E$229:$E$237,MATCH($B1548,FuelKey,0))</f>
        <v>all</v>
      </c>
      <c r="H1548" s="3" t="str">
        <f>INDEX('Constants and Mappings'!$F$186:$F$201,MATCH($C1548,SubKey,0))</f>
        <v>ind</v>
      </c>
      <c r="I1548" s="3" t="str">
        <f>INDEX('Constants and Mappings'!$I$229:$I$237,MATCH($B1548,FuelKey,0))&amp;"."&amp;IF($G1548="sub",$H1548,"all")</f>
        <v>ker.all</v>
      </c>
      <c r="J1548" s="3" t="str">
        <f>INDEX('Constants and Mappings'!$E$186:$E$201,MATCH($C1548,SubKey,0))</f>
        <v>ind</v>
      </c>
      <c r="K1548" s="3">
        <f>INDEX('Constants and Mappings'!$G$229:$G$237,MATCH($B1548,FuelKey,0))</f>
        <v>0.03774882965510715</v>
      </c>
      <c r="L1548" s="3">
        <f>INDEX('Constants and Mappings'!$H$229:$H$237,MATCH($B1548,FuelKey,0))</f>
        <v>6.0</v>
      </c>
      <c r="M1548" s="3">
        <f>INDEX('Constants and Mappings'!$H$186:$H$201,MATCH($C1548,SubKey,0))</f>
        <v>9.0</v>
      </c>
      <c r="N1548" s="3">
        <f>INDEX('Constants and Mappings'!$E$300:$E$313,MATCH($I1548,'Constants and Mappings'!$A$300:$A$313,0))</f>
        <v>12.0</v>
      </c>
      <c r="O1548" s="48">
        <f>INDEX(ElaSel,MATCH("inc|"&amp;$E1548&amp;"|"&amp;$D1548,ElaSelKey,0))</f>
        <v>0.8</v>
      </c>
      <c r="P1548" s="48">
        <f>INDEX(ElaSel,MATCH("usg|"&amp;$E1548&amp;"|"&amp;$D1548,ElaSelKey,0))</f>
        <v>-0.4</v>
      </c>
      <c r="Q1548" s="48">
        <f>INDEX(ElaSel,MATCH("eff|"&amp;$E1548&amp;"|"&amp;$D1548,ElaSelKey,0))</f>
        <v>-0.4</v>
      </c>
      <c r="R1548" s="225">
        <f>INDEX(ElaSel,MATCH("aei|"&amp;$F1548&amp;"|"&amp;$D1548,ElaSelKey,0))</f>
        <v>0.005</v>
      </c>
      <c r="S1548" s="133" t="n">
        <v>3</v>
      </c>
      <c r="T1548" s="48">
        <f>$Q1548*(1+$P1548)</f>
        <v>-0.24</v>
      </c>
      <c r="U1548" s="3">
        <f>INDEX('Constants and Mappings'!$E$1633:$E$1644,MATCH($I1548,'Constants and Mappings'!$A$1633:$A$1644,0))</f>
        <v>254.0</v>
      </c>
      <c r="V1548" s="225">
        <f>INDEX('Constants and Mappings'!$V$1633:$V$1644,MATCH($I1548,'Constants and Mappings'!$A$1633:$A$1644,0))</f>
        <v>0.0</v>
      </c>
      <c r="W1548" s="197">
        <f>INDEX(EFSel,MATCH($B1548&amp;"|"&amp;$J1548,EFSelKey,0))*EFCalib</f>
        <v>0.06749067257272545</v>
      </c>
      <c r="X1548" s="195">
        <f>IF(LEFT(BalOpt,3)="Bal",$AY1548*$AV1548+$AZ1548*$AX1548,$BA1548)</f>
        <v>0.0</v>
      </c>
      <c r="Y1548" s="3" t="str">
        <f>IF($G1548="sub",$H1548,IF($B1548="oop","ind","trs"))</f>
        <v>trs</v>
      </c>
      <c r="Z1548" s="39">
        <f>IFERROR(MATCH($Y1548&amp;"|"&amp;$B1548,XKey,0),1)</f>
        <v>16.0</v>
      </c>
      <c r="AA1548" s="48">
        <f>INDEX(XCTVal,$Z1548,ECPEmb)+INDEX(XETSVal,$Z1548,ECPEmb)</f>
        <v>0.0</v>
      </c>
      <c r="AB1548" s="8" t="inlineStr">
        <is>
          <t>mnf</t>
        </is>
      </c>
      <c r="AC1548" s="8" t="inlineStr">
        <is>
          <t>ker</t>
        </is>
      </c>
      <c r="AD1548" s="197">
        <f>IFERROR(INDEX(NCEfIn,MATCH($AB1548&amp;"."&amp;$AC1548&amp;".ch4",NCEfKey,0)),0)</f>
        <v>0.125604</v>
      </c>
      <c r="AE1548" s="197">
        <f>IFERROR(INDEX(NCEfFin,MATCH($AB1548&amp;"."&amp;$AC1548&amp;".ch4",NCEfKey,0)),0)</f>
        <v>0.125604</v>
      </c>
      <c r="AF1548" s="3" t="n">
        <v>0</v>
      </c>
      <c r="AG1548" s="197">
        <f>IFERROR(INDEX(NCEfIn,MATCH($AB1548&amp;"."&amp;$AC1548&amp;".pm2",NCEfKey,0)),0)</f>
        <v>0.020934</v>
      </c>
      <c r="AH1548" s="197">
        <f>IFERROR(INDEX(NCEfFin,MATCH($AB1548&amp;"."&amp;$AC1548&amp;".pm2",NCEfKey,0)),0)</f>
        <v>0.020934</v>
      </c>
      <c r="AI1548" s="197">
        <f>IFERROR(INDEX(NCEfIn,MATCH($AB1548&amp;"."&amp;$AC1548&amp;".nox",NCEfKey,0)),0)</f>
        <v>2.93076</v>
      </c>
      <c r="AJ1548" s="197">
        <f>IFERROR(INDEX(NCEfFin,MATCH($AB1548&amp;"."&amp;$AC1548&amp;".nox",NCEfKey,0)),0)</f>
        <v>2.93076</v>
      </c>
      <c r="AK1548" s="197">
        <f>IFERROR(INDEX(NCEfIn,MATCH($AB1548&amp;"."&amp;$AC1548&amp;".so2",NCEfKey,0)),0)</f>
        <v>0.9101726388000001</v>
      </c>
      <c r="AL1548" s="197">
        <f>IFERROR(INDEX(NCEfFin,MATCH($AB1548&amp;"."&amp;$AC1548&amp;".so2",NCEfKey,0)),0)</f>
        <v>0.9101726388000001</v>
      </c>
      <c r="AM1548" s="197">
        <f>IFERROR(INDEX(NCEfIn,MATCH($AB1548&amp;"."&amp;$AC1548&amp;".voc",NCEfKey,0)),0)</f>
        <v>0.10467</v>
      </c>
      <c r="AN1548" s="197">
        <f>IFERROR(INDEX(NCEfFin,MATCH($AB1548&amp;"."&amp;$AC1548&amp;".voc",NCEfKey,0)),0)</f>
        <v>0.10467</v>
      </c>
      <c r="AO1548" s="197">
        <f>IFERROR(INDEX(NCEfIn,MATCH($AB1548&amp;"."&amp;$AC1548&amp;".bc",NCEfKey,0)),0)</f>
        <v>0.001402578</v>
      </c>
      <c r="AP1548" s="197">
        <f>IFERROR(INDEX(NCEfFin,MATCH($AB1548&amp;"."&amp;$AC1548&amp;".bc",NCEfKey,0)),0)</f>
        <v>0.001402578</v>
      </c>
      <c r="AQ1548" s="197">
        <f>IFERROR(INDEX(NCEfIn,MATCH($AB1548&amp;"."&amp;$AC1548&amp;".oc",NCEfKey,0)),0)</f>
        <v>0.0157005</v>
      </c>
      <c r="AR1548" s="197">
        <f>IFERROR(INDEX(NCEfFin,MATCH($AB1548&amp;"."&amp;$AC1548&amp;".oc",NCEfKey,0)),0)</f>
        <v>0.0157005</v>
      </c>
      <c r="AS1548" s="197">
        <f>IFERROR(INDEX(NCEfIn,MATCH($AB1548&amp;"."&amp;$AC1548&amp;".co",NCEfKey,0)),0)</f>
        <v>1.67472</v>
      </c>
      <c r="AT1548" s="197">
        <f>IFERROR(INDEX(NCEfFin,MATCH($AB1548&amp;"."&amp;$AC1548&amp;".co",NCEfKey,0)),0)</f>
        <v>1.67472</v>
      </c>
      <c r="AU1548" s="3" t="str">
        <f>INDEX('Constants and Mappings'!$J$186:$J$201,MATCH($C1548,SubKey,0))</f>
        <v>mining_chemicals</v>
      </c>
      <c r="AV1548" s="3">
        <f>INDEX('Constants and Mappings'!$K$186:$K$201,MATCH($C1548,SubKey,0))</f>
        <v>1.0</v>
      </c>
      <c r="AW1548" s="3" t="str">
        <f>INDEX('Constants and Mappings'!$L$186:$L$201,MATCH($C1548,SubKey,0))&amp;""</f>
        <v/>
      </c>
      <c r="AX1548" s="3">
        <f>INDEX('Constants and Mappings'!$M$186:$M$201,MATCH($C1548,SubKey,0))</f>
        <v>0.0</v>
      </c>
      <c r="AY1548" s="3" t="n">
        <v>0</v>
      </c>
      <c r="AZ1548" s="3" t="n">
        <v>0</v>
      </c>
      <c r="BA1548" s="3" t="n">
        <v>0</v>
      </c>
      <c r="BB1548" s="3" t="n">
        <v>0</v>
      </c>
      <c r="BC1548" s="3" t="n">
        <v>0</v>
      </c>
      <c r="BD1548" s="3">
        <f>IFERROR($BB1548/$BC1548,0)</f>
        <v>0.0</v>
      </c>
      <c r="BE1548" s="133" t="n">
        <v>1</v>
      </c>
      <c r="BF1548" s="39" t="n">
        <v>1</v>
      </c>
    </row>
    <row r="1549">
      <c r="A1549" s="3" t="str">
        <f>$B1549&amp;"|"&amp;$C1549</f>
        <v>jfu|mch</v>
      </c>
      <c r="B1549" s="8" t="inlineStr">
        <is>
          <t>jfu</t>
        </is>
      </c>
      <c r="C1549" s="8" t="inlineStr">
        <is>
          <t>mch</t>
        </is>
      </c>
      <c r="D1549" s="3" t="str">
        <f>INDEX('Constants and Mappings'!$D$186:$D$201,MATCH($C1549,SubKey,0))</f>
        <v>ind</v>
      </c>
      <c r="E1549" s="3" t="str">
        <f>INDEX('Constants and Mappings'!$C$229:$C$237,MATCH($B1549,FuelKey,0))</f>
        <v>oil</v>
      </c>
      <c r="F1549" s="3" t="str">
        <f>INDEX('Constants and Mappings'!$D$229:$D$237,MATCH($B1549,FuelKey,0))</f>
        <v>oil</v>
      </c>
      <c r="G1549" s="3" t="str">
        <f>INDEX('Constants and Mappings'!$E$229:$E$237,MATCH($B1549,FuelKey,0))</f>
        <v>all</v>
      </c>
      <c r="H1549" s="3" t="str">
        <f>INDEX('Constants and Mappings'!$F$186:$F$201,MATCH($C1549,SubKey,0))</f>
        <v>ind</v>
      </c>
      <c r="I1549" s="3" t="str">
        <f>INDEX('Constants and Mappings'!$I$229:$I$237,MATCH($B1549,FuelKey,0))&amp;"."&amp;IF($G1549="sub",$H1549,"all")</f>
        <v>ker.all</v>
      </c>
      <c r="J1549" s="3" t="str">
        <f>INDEX('Constants and Mappings'!$E$186:$E$201,MATCH($C1549,SubKey,0))</f>
        <v>ind</v>
      </c>
      <c r="K1549" s="3">
        <f>INDEX('Constants and Mappings'!$G$229:$G$237,MATCH($B1549,FuelKey,0))</f>
        <v>0.0348608</v>
      </c>
      <c r="L1549" s="3">
        <f>INDEX('Constants and Mappings'!$H$229:$H$237,MATCH($B1549,FuelKey,0))</f>
        <v>7.0</v>
      </c>
      <c r="M1549" s="3">
        <f>INDEX('Constants and Mappings'!$H$186:$H$201,MATCH($C1549,SubKey,0))</f>
        <v>9.0</v>
      </c>
      <c r="N1549" s="3">
        <f>INDEX('Constants and Mappings'!$E$300:$E$313,MATCH($I1549,'Constants and Mappings'!$A$300:$A$313,0))</f>
        <v>12.0</v>
      </c>
      <c r="O1549" s="48">
        <f>INDEX(ElaSel,MATCH("inc|"&amp;$E1549&amp;"|"&amp;$D1549,ElaSelKey,0))</f>
        <v>0.8</v>
      </c>
      <c r="P1549" s="48">
        <f>INDEX(ElaSel,MATCH("usg|"&amp;$E1549&amp;"|"&amp;$D1549,ElaSelKey,0))</f>
        <v>-0.4</v>
      </c>
      <c r="Q1549" s="48">
        <f>INDEX(ElaSel,MATCH("eff|"&amp;$E1549&amp;"|"&amp;$D1549,ElaSelKey,0))</f>
        <v>-0.4</v>
      </c>
      <c r="R1549" s="225">
        <f>INDEX(ElaSel,MATCH("aei|"&amp;$F1549&amp;"|"&amp;$D1549,ElaSelKey,0))</f>
        <v>0.005</v>
      </c>
      <c r="S1549" s="133" t="n">
        <v>3</v>
      </c>
      <c r="T1549" s="48">
        <f>$Q1549*(1+$P1549)</f>
        <v>-0.24</v>
      </c>
      <c r="U1549" s="3">
        <f>INDEX('Constants and Mappings'!$E$1633:$E$1644,MATCH($I1549,'Constants and Mappings'!$A$1633:$A$1644,0))</f>
        <v>254.0</v>
      </c>
      <c r="V1549" s="225">
        <f>INDEX('Constants and Mappings'!$V$1633:$V$1644,MATCH($I1549,'Constants and Mappings'!$A$1633:$A$1644,0))</f>
        <v>0.0</v>
      </c>
      <c r="W1549" s="197">
        <f>INDEX(EFSel,MATCH($B1549&amp;"|"&amp;$J1549,EFSelKey,0))*EFCalib</f>
        <v>0.07118114095776658</v>
      </c>
      <c r="X1549" s="195">
        <f>IF(LEFT(BalOpt,3)="Bal",$AY1549*$AV1549+$AZ1549*$AX1549,$BA1549)</f>
        <v>0.0</v>
      </c>
      <c r="Y1549" s="3" t="str">
        <f>IF($G1549="sub",$H1549,IF($B1549="oop","ind","trs"))</f>
        <v>trs</v>
      </c>
      <c r="Z1549" s="39">
        <f>IFERROR(MATCH($Y1549&amp;"|"&amp;$B1549,XKey,0),1)</f>
        <v>17.0</v>
      </c>
      <c r="AA1549" s="48">
        <f>INDEX(XCTVal,$Z1549,ECPEmb)+INDEX(XETSVal,$Z1549,ECPEmb)</f>
        <v>0.0</v>
      </c>
      <c r="AB1549" s="8" t="inlineStr">
        <is>
          <t>mnf</t>
        </is>
      </c>
      <c r="AC1549" s="8" t="inlineStr">
        <is>
          <t>jfu</t>
        </is>
      </c>
      <c r="AD1549" s="197">
        <f>IFERROR(INDEX(NCEfIn,MATCH($AB1549&amp;"."&amp;$AC1549&amp;".ch4",NCEfKey,0)),0)</f>
        <v>0.0</v>
      </c>
      <c r="AE1549" s="197">
        <f>IFERROR(INDEX(NCEfFin,MATCH($AB1549&amp;"."&amp;$AC1549&amp;".ch4",NCEfKey,0)),0)</f>
        <v>0.0</v>
      </c>
      <c r="AF1549" s="3" t="n">
        <v>0</v>
      </c>
      <c r="AG1549" s="197">
        <f>IFERROR(INDEX(NCEfIn,MATCH($AB1549&amp;"."&amp;$AC1549&amp;".pm2",NCEfKey,0)),0)</f>
        <v>0.0</v>
      </c>
      <c r="AH1549" s="197">
        <f>IFERROR(INDEX(NCEfFin,MATCH($AB1549&amp;"."&amp;$AC1549&amp;".pm2",NCEfKey,0)),0)</f>
        <v>0.0</v>
      </c>
      <c r="AI1549" s="197">
        <f>IFERROR(INDEX(NCEfIn,MATCH($AB1549&amp;"."&amp;$AC1549&amp;".nox",NCEfKey,0)),0)</f>
        <v>0.0</v>
      </c>
      <c r="AJ1549" s="197">
        <f>IFERROR(INDEX(NCEfFin,MATCH($AB1549&amp;"."&amp;$AC1549&amp;".nox",NCEfKey,0)),0)</f>
        <v>0.0</v>
      </c>
      <c r="AK1549" s="197">
        <f>IFERROR(INDEX(NCEfIn,MATCH($AB1549&amp;"."&amp;$AC1549&amp;".so2",NCEfKey,0)),0)</f>
        <v>0.0</v>
      </c>
      <c r="AL1549" s="197">
        <f>IFERROR(INDEX(NCEfFin,MATCH($AB1549&amp;"."&amp;$AC1549&amp;".so2",NCEfKey,0)),0)</f>
        <v>0.0</v>
      </c>
      <c r="AM1549" s="197">
        <f>IFERROR(INDEX(NCEfIn,MATCH($AB1549&amp;"."&amp;$AC1549&amp;".voc",NCEfKey,0)),0)</f>
        <v>0.0</v>
      </c>
      <c r="AN1549" s="197">
        <f>IFERROR(INDEX(NCEfFin,MATCH($AB1549&amp;"."&amp;$AC1549&amp;".voc",NCEfKey,0)),0)</f>
        <v>0.0</v>
      </c>
      <c r="AO1549" s="197">
        <f>IFERROR(INDEX(NCEfIn,MATCH($AB1549&amp;"."&amp;$AC1549&amp;".bc",NCEfKey,0)),0)</f>
        <v>0.0</v>
      </c>
      <c r="AP1549" s="197">
        <f>IFERROR(INDEX(NCEfFin,MATCH($AB1549&amp;"."&amp;$AC1549&amp;".bc",NCEfKey,0)),0)</f>
        <v>0.0</v>
      </c>
      <c r="AQ1549" s="197">
        <f>IFERROR(INDEX(NCEfIn,MATCH($AB1549&amp;"."&amp;$AC1549&amp;".oc",NCEfKey,0)),0)</f>
        <v>0.0</v>
      </c>
      <c r="AR1549" s="197">
        <f>IFERROR(INDEX(NCEfFin,MATCH($AB1549&amp;"."&amp;$AC1549&amp;".oc",NCEfKey,0)),0)</f>
        <v>0.0</v>
      </c>
      <c r="AS1549" s="197">
        <f>IFERROR(INDEX(NCEfIn,MATCH($AB1549&amp;"."&amp;$AC1549&amp;".co",NCEfKey,0)),0)</f>
        <v>0.0</v>
      </c>
      <c r="AT1549" s="197">
        <f>IFERROR(INDEX(NCEfFin,MATCH($AB1549&amp;"."&amp;$AC1549&amp;".co",NCEfKey,0)),0)</f>
        <v>0.0</v>
      </c>
      <c r="AU1549" s="3" t="str">
        <f>INDEX('Constants and Mappings'!$J$186:$J$201,MATCH($C1549,SubKey,0))</f>
        <v>mining_chemicals</v>
      </c>
      <c r="AV1549" s="3">
        <f>INDEX('Constants and Mappings'!$K$186:$K$201,MATCH($C1549,SubKey,0))</f>
        <v>1.0</v>
      </c>
      <c r="AW1549" s="3" t="str">
        <f>INDEX('Constants and Mappings'!$L$186:$L$201,MATCH($C1549,SubKey,0))&amp;""</f>
        <v/>
      </c>
      <c r="AX1549" s="3">
        <f>INDEX('Constants and Mappings'!$M$186:$M$201,MATCH($C1549,SubKey,0))</f>
        <v>0.0</v>
      </c>
      <c r="AY1549" s="3" t="n">
        <v>0</v>
      </c>
      <c r="AZ1549" s="3" t="n">
        <v>0</v>
      </c>
      <c r="BA1549" s="3" t="n">
        <v>0</v>
      </c>
      <c r="BB1549" s="3" t="n">
        <v>0</v>
      </c>
      <c r="BC1549" s="3" t="n">
        <v>0</v>
      </c>
      <c r="BD1549" s="3">
        <f>IFERROR($BB1549/$BC1549,0)</f>
        <v>0.0</v>
      </c>
      <c r="BE1549" s="133" t="n">
        <v>1</v>
      </c>
      <c r="BF1549" s="39" t="n">
        <v>1</v>
      </c>
    </row>
    <row r="1550">
      <c r="A1550" s="3" t="str">
        <f>$B1550&amp;"|"&amp;$C1550</f>
        <v>oop|mch</v>
      </c>
      <c r="B1550" s="8" t="inlineStr">
        <is>
          <t>oop</t>
        </is>
      </c>
      <c r="C1550" s="8" t="inlineStr">
        <is>
          <t>mch</t>
        </is>
      </c>
      <c r="D1550" s="3" t="str">
        <f>INDEX('Constants and Mappings'!$D$186:$D$201,MATCH($C1550,SubKey,0))</f>
        <v>ind</v>
      </c>
      <c r="E1550" s="3" t="str">
        <f>INDEX('Constants and Mappings'!$C$229:$C$237,MATCH($B1550,FuelKey,0))</f>
        <v>oil</v>
      </c>
      <c r="F1550" s="3" t="str">
        <f>INDEX('Constants and Mappings'!$D$229:$D$237,MATCH($B1550,FuelKey,0))</f>
        <v>oil</v>
      </c>
      <c r="G1550" s="3" t="str">
        <f>INDEX('Constants and Mappings'!$E$229:$E$237,MATCH($B1550,FuelKey,0))</f>
        <v>all</v>
      </c>
      <c r="H1550" s="3" t="str">
        <f>INDEX('Constants and Mappings'!$F$186:$F$201,MATCH($C1550,SubKey,0))</f>
        <v>ind</v>
      </c>
      <c r="I1550" s="3" t="str">
        <f>INDEX('Constants and Mappings'!$I$229:$I$237,MATCH($B1550,FuelKey,0))&amp;"."&amp;IF($G1550="sub",$H1550,"all")</f>
        <v>oop.all</v>
      </c>
      <c r="J1550" s="3" t="str">
        <f>INDEX('Constants and Mappings'!$E$186:$E$201,MATCH($C1550,SubKey,0))</f>
        <v>ind</v>
      </c>
      <c r="K1550" s="3">
        <f>INDEX('Constants and Mappings'!$G$229:$G$237,MATCH($B1550,FuelKey,0))</f>
        <v>6.12</v>
      </c>
      <c r="L1550" s="3">
        <f>INDEX('Constants and Mappings'!$H$229:$H$237,MATCH($B1550,FuelKey,0))</f>
        <v>8.0</v>
      </c>
      <c r="M1550" s="3">
        <f>INDEX('Constants and Mappings'!$H$186:$H$201,MATCH($C1550,SubKey,0))</f>
        <v>9.0</v>
      </c>
      <c r="N1550" s="3">
        <f>INDEX('Constants and Mappings'!$E$300:$E$313,MATCH($I1550,'Constants and Mappings'!$A$300:$A$313,0))</f>
        <v>13.0</v>
      </c>
      <c r="O1550" s="48">
        <f>INDEX(ElaSel,MATCH("inc|"&amp;$E1550&amp;"|"&amp;$D1550,ElaSelKey,0))</f>
        <v>0.8</v>
      </c>
      <c r="P1550" s="48">
        <f>INDEX(ElaSel,MATCH("usg|"&amp;$E1550&amp;"|"&amp;$D1550,ElaSelKey,0))</f>
        <v>-0.4</v>
      </c>
      <c r="Q1550" s="48">
        <f>INDEX(ElaSel,MATCH("eff|"&amp;$E1550&amp;"|"&amp;$D1550,ElaSelKey,0))</f>
        <v>-0.4</v>
      </c>
      <c r="R1550" s="225">
        <f>INDEX(ElaSel,MATCH("aei|"&amp;$F1550&amp;"|"&amp;$D1550,ElaSelKey,0))</f>
        <v>0.005</v>
      </c>
      <c r="S1550" s="133" t="n">
        <v>3</v>
      </c>
      <c r="T1550" s="48">
        <f>$Q1550*(1+$P1550)</f>
        <v>-0.24</v>
      </c>
      <c r="U1550" s="3">
        <f>INDEX('Constants and Mappings'!$E$1633:$E$1644,MATCH($I1550,'Constants and Mappings'!$A$1633:$A$1644,0))</f>
        <v>283.0</v>
      </c>
      <c r="V1550" s="225">
        <f>INDEX('Constants and Mappings'!$V$1633:$V$1644,MATCH($I1550,'Constants and Mappings'!$A$1633:$A$1644,0))</f>
        <v>0.0</v>
      </c>
      <c r="W1550" s="197">
        <f>INDEX(EFSel,MATCH($B1550&amp;"|"&amp;$J1550,EFSelKey,0))*EFCalib</f>
        <v>0.07635795120924052</v>
      </c>
      <c r="X1550" s="195">
        <f>IF(LEFT(BalOpt,3)="Bal",$AY1550*$AV1550+$AZ1550*$AX1550,$BA1550)</f>
        <v>0.0</v>
      </c>
      <c r="Y1550" s="3" t="str">
        <f>IF($G1550="sub",$H1550,IF($B1550="oop","ind","trs"))</f>
        <v>ind</v>
      </c>
      <c r="Z1550" s="39">
        <f>IFERROR(MATCH($Y1550&amp;"|"&amp;$B1550,XKey,0),1)</f>
        <v>36.0</v>
      </c>
      <c r="AA1550" s="48">
        <f>INDEX(XCTVal,$Z1550,ECPEmb)+INDEX(XETSVal,$Z1550,ECPEmb)</f>
        <v>0.0</v>
      </c>
      <c r="AB1550" s="8" t="inlineStr">
        <is>
          <t>mnf</t>
        </is>
      </c>
      <c r="AC1550" s="8" t="inlineStr">
        <is>
          <t>oop</t>
        </is>
      </c>
      <c r="AD1550" s="197">
        <f>IFERROR(INDEX(NCEfIn,MATCH($AB1550&amp;"."&amp;$AC1550&amp;".ch4",NCEfKey,0)),0)</f>
        <v>0.125604</v>
      </c>
      <c r="AE1550" s="197">
        <f>IFERROR(INDEX(NCEfFin,MATCH($AB1550&amp;"."&amp;$AC1550&amp;".ch4",NCEfKey,0)),0)</f>
        <v>0.1255998132</v>
      </c>
      <c r="AF1550" s="3" t="n">
        <v>0</v>
      </c>
      <c r="AG1550" s="197">
        <f>IFERROR(INDEX(NCEfIn,MATCH($AB1550&amp;"."&amp;$AC1550&amp;".pm2",NCEfKey,0)),0)</f>
        <v>0.304212888</v>
      </c>
      <c r="AH1550" s="197">
        <f>IFERROR(INDEX(NCEfFin,MATCH($AB1550&amp;"."&amp;$AC1550&amp;".pm2",NCEfKey,0)),0)</f>
        <v>0.3042087012</v>
      </c>
      <c r="AI1550" s="197">
        <f>IFERROR(INDEX(NCEfIn,MATCH($AB1550&amp;"."&amp;$AC1550&amp;".nox",NCEfKey,0)),0)</f>
        <v>7.95492</v>
      </c>
      <c r="AJ1550" s="197">
        <f>IFERROR(INDEX(NCEfFin,MATCH($AB1550&amp;"."&amp;$AC1550&amp;".nox",NCEfKey,0)),0)</f>
        <v>6.173939016</v>
      </c>
      <c r="AK1550" s="197">
        <f>IFERROR(INDEX(NCEfIn,MATCH($AB1550&amp;"."&amp;$AC1550&amp;".so2",NCEfKey,0)),0)</f>
        <v>35.5878</v>
      </c>
      <c r="AL1550" s="197">
        <f>IFERROR(INDEX(NCEfFin,MATCH($AB1550&amp;"."&amp;$AC1550&amp;".so2",NCEfKey,0)),0)</f>
        <v>27.2137143312</v>
      </c>
      <c r="AM1550" s="197">
        <f>IFERROR(INDEX(NCEfIn,MATCH($AB1550&amp;"."&amp;$AC1550&amp;".voc",NCEfKey,0)),0)</f>
        <v>0.20934</v>
      </c>
      <c r="AN1550" s="197">
        <f>IFERROR(INDEX(NCEfFin,MATCH($AB1550&amp;"."&amp;$AC1550&amp;".voc",NCEfKey,0)),0)</f>
        <v>0.2093358132</v>
      </c>
      <c r="AO1550" s="197">
        <f>IFERROR(INDEX(NCEfIn,MATCH($AB1550&amp;"."&amp;$AC1550&amp;".bc",NCEfKey,0)),0)</f>
        <v>0.0295881156</v>
      </c>
      <c r="AP1550" s="197">
        <f>IFERROR(INDEX(NCEfFin,MATCH($AB1550&amp;"."&amp;$AC1550&amp;".bc",NCEfKey,0)),0)</f>
        <v>0.0295881156</v>
      </c>
      <c r="AQ1550" s="197">
        <f>IFERROR(INDEX(NCEfIn,MATCH($AB1550&amp;"."&amp;$AC1550&amp;".oc",NCEfKey,0)),0)</f>
        <v>0.0123845544</v>
      </c>
      <c r="AR1550" s="197">
        <f>IFERROR(INDEX(NCEfFin,MATCH($AB1550&amp;"."&amp;$AC1550&amp;".oc",NCEfKey,0)),0)</f>
        <v>0.0123845544</v>
      </c>
      <c r="AS1550" s="197">
        <f>IFERROR(INDEX(NCEfIn,MATCH($AB1550&amp;"."&amp;$AC1550&amp;".co",NCEfKey,0)),0)</f>
        <v>1.67472</v>
      </c>
      <c r="AT1550" s="197">
        <f>IFERROR(INDEX(NCEfFin,MATCH($AB1550&amp;"."&amp;$AC1550&amp;".co",NCEfKey,0)),0)</f>
        <v>1.6746906924</v>
      </c>
      <c r="AU1550" s="3" t="str">
        <f>INDEX('Constants and Mappings'!$J$186:$J$201,MATCH($C1550,SubKey,0))</f>
        <v>mining_chemicals</v>
      </c>
      <c r="AV1550" s="3">
        <f>INDEX('Constants and Mappings'!$K$186:$K$201,MATCH($C1550,SubKey,0))</f>
        <v>1.0</v>
      </c>
      <c r="AW1550" s="3" t="str">
        <f>INDEX('Constants and Mappings'!$L$186:$L$201,MATCH($C1550,SubKey,0))&amp;""</f>
        <v/>
      </c>
      <c r="AX1550" s="3">
        <f>INDEX('Constants and Mappings'!$M$186:$M$201,MATCH($C1550,SubKey,0))</f>
        <v>0.0</v>
      </c>
      <c r="AY1550" s="3" t="n">
        <v>0</v>
      </c>
      <c r="AZ1550" s="3" t="n">
        <v>0</v>
      </c>
      <c r="BA1550" s="3" t="n">
        <v>0</v>
      </c>
      <c r="BB1550" s="3" t="n">
        <v>0</v>
      </c>
      <c r="BC1550" s="3" t="n">
        <v>0</v>
      </c>
      <c r="BD1550" s="3">
        <f>IFERROR($BB1550/$BC1550,0)</f>
        <v>0.0</v>
      </c>
      <c r="BE1550" s="133" t="n">
        <v>1</v>
      </c>
      <c r="BF1550" s="39" t="n">
        <v>1</v>
      </c>
    </row>
    <row r="1551">
      <c r="A1551" s="3" t="str">
        <f>$B1551&amp;"|"&amp;$C1551</f>
        <v>bio|mch</v>
      </c>
      <c r="B1551" s="8" t="inlineStr">
        <is>
          <t>bio</t>
        </is>
      </c>
      <c r="C1551" s="8" t="inlineStr">
        <is>
          <t>mch</t>
        </is>
      </c>
      <c r="D1551" s="3" t="str">
        <f>INDEX('Constants and Mappings'!$D$186:$D$201,MATCH($C1551,SubKey,0))</f>
        <v>ind</v>
      </c>
      <c r="E1551" s="3" t="str">
        <f>INDEX('Constants and Mappings'!$C$229:$C$237,MATCH($B1551,FuelKey,0))</f>
        <v>bio</v>
      </c>
      <c r="F1551" s="3" t="str">
        <f>INDEX('Constants and Mappings'!$D$229:$D$237,MATCH($B1551,FuelKey,0))</f>
        <v>bio</v>
      </c>
      <c r="G1551" s="3" t="str">
        <f>INDEX('Constants and Mappings'!$E$229:$E$237,MATCH($B1551,FuelKey,0))</f>
        <v>all</v>
      </c>
      <c r="H1551" s="3" t="str">
        <f>INDEX('Constants and Mappings'!$F$186:$F$201,MATCH($C1551,SubKey,0))</f>
        <v>ind</v>
      </c>
      <c r="I1551" s="3" t="str">
        <f>INDEX('Constants and Mappings'!$I$229:$I$237,MATCH($B1551,FuelKey,0))&amp;"."&amp;IF($G1551="sub",$H1551,"all")</f>
        <v>bio.all</v>
      </c>
      <c r="J1551" s="3" t="str">
        <f>INDEX('Constants and Mappings'!$E$186:$E$201,MATCH($C1551,SubKey,0))</f>
        <v>ind</v>
      </c>
      <c r="K1551" s="3">
        <f>INDEX('Constants and Mappings'!$G$229:$G$237,MATCH($B1551,FuelKey,0))</f>
        <v>1.0</v>
      </c>
      <c r="L1551" s="3">
        <f>INDEX('Constants and Mappings'!$H$229:$H$237,MATCH($B1551,FuelKey,0))</f>
        <v>9.0</v>
      </c>
      <c r="M1551" s="3">
        <f>INDEX('Constants and Mappings'!$H$186:$H$201,MATCH($C1551,SubKey,0))</f>
        <v>9.0</v>
      </c>
      <c r="N1551" s="3">
        <f>INDEX('Constants and Mappings'!$E$300:$E$313,MATCH($I1551,'Constants and Mappings'!$A$300:$A$313,0))</f>
        <v>14.0</v>
      </c>
      <c r="O1551" s="48">
        <f>INDEX(ElaSel,MATCH("inc|"&amp;$E1551&amp;"|"&amp;$D1551,ElaSelKey,0))</f>
        <v>0.1</v>
      </c>
      <c r="P1551" s="48">
        <f>INDEX(ElaSel,MATCH("usg|"&amp;$E1551&amp;"|"&amp;$D1551,ElaSelKey,0))</f>
        <v>-0.3</v>
      </c>
      <c r="Q1551" s="48">
        <f>INDEX(ElaSel,MATCH("eff|"&amp;$E1551&amp;"|"&amp;$D1551,ElaSelKey,0))</f>
        <v>-0.2</v>
      </c>
      <c r="R1551" s="225">
        <f>INDEX(ElaSel,MATCH("aei|"&amp;$F1551&amp;"|"&amp;$D1551,ElaSelKey,0))</f>
        <v>0.005</v>
      </c>
      <c r="S1551" s="133" t="n">
        <v>3</v>
      </c>
      <c r="T1551" s="48">
        <f>$Q1551*(1+$P1551)</f>
        <v>-0.13999999999999999</v>
      </c>
      <c r="U1551" s="3">
        <f>INDEX('Constants and Mappings'!$E$1633:$E$1644,MATCH($I1551,'Constants and Mappings'!$A$1633:$A$1644,0))</f>
        <v>312.0</v>
      </c>
      <c r="V1551" s="225">
        <f>INDEX('Constants and Mappings'!$V$1633:$V$1644,MATCH($I1551,'Constants and Mappings'!$A$1633:$A$1644,0))</f>
        <v>0.0</v>
      </c>
      <c r="W1551" s="197">
        <f>INDEX(EFSel,MATCH($B1551&amp;"|"&amp;$J1551,EFSelKey,0))*EFCalib</f>
        <v>0.0</v>
      </c>
      <c r="X1551" s="195">
        <f>IF(LEFT(BalOpt,3)="Bal",$AY1551*$AV1551+$AZ1551*$AX1551,$BA1551)</f>
        <v>0.0</v>
      </c>
      <c r="Y1551" s="3" t="str">
        <f>IF($G1551="sub",$H1551,IF($B1551="oop","ind","trs"))</f>
        <v>trs</v>
      </c>
      <c r="Z1551" s="39">
        <f>IFERROR(MATCH($Y1551&amp;"|"&amp;$B1551,XKey,0),1)</f>
        <v>19.0</v>
      </c>
      <c r="AA1551" s="48">
        <f>INDEX(XCTVal,$Z1551,ECPEmb)+INDEX(XETSVal,$Z1551,ECPEmb)</f>
        <v>0.0</v>
      </c>
      <c r="AB1551" s="8" t="inlineStr">
        <is>
          <t>mnf</t>
        </is>
      </c>
      <c r="AC1551" s="8" t="inlineStr">
        <is>
          <t>bio</t>
        </is>
      </c>
      <c r="AD1551" s="197">
        <f>IFERROR(INDEX(NCEfIn,MATCH($AB1551&amp;"."&amp;$AC1551&amp;".ch4",NCEfKey,0)),0)</f>
        <v>0.460548</v>
      </c>
      <c r="AE1551" s="197">
        <f>IFERROR(INDEX(NCEfFin,MATCH($AB1551&amp;"."&amp;$AC1551&amp;".ch4",NCEfKey,0)),0)</f>
        <v>0.460548</v>
      </c>
      <c r="AF1551" s="3" t="n">
        <v>0</v>
      </c>
      <c r="AG1551" s="197">
        <f>IFERROR(INDEX(NCEfIn,MATCH($AB1551&amp;"."&amp;$AC1551&amp;".pm2",NCEfKey,0)),0)</f>
        <v>6.2980860096</v>
      </c>
      <c r="AH1551" s="197">
        <f>IFERROR(INDEX(NCEfFin,MATCH($AB1551&amp;"."&amp;$AC1551&amp;".pm2",NCEfKey,0)),0)</f>
        <v>4.139405424</v>
      </c>
      <c r="AI1551" s="197">
        <f>IFERROR(INDEX(NCEfIn,MATCH($AB1551&amp;"."&amp;$AC1551&amp;".nox",NCEfKey,0)),0)</f>
        <v>5.44284</v>
      </c>
      <c r="AJ1551" s="197">
        <f>IFERROR(INDEX(NCEfFin,MATCH($AB1551&amp;"."&amp;$AC1551&amp;".nox",NCEfKey,0)),0)</f>
        <v>5.44284</v>
      </c>
      <c r="AK1551" s="197">
        <f>IFERROR(INDEX(NCEfIn,MATCH($AB1551&amp;"."&amp;$AC1551&amp;".so2",NCEfKey,0)),0)</f>
        <v>1.0467</v>
      </c>
      <c r="AL1551" s="197">
        <f>IFERROR(INDEX(NCEfFin,MATCH($AB1551&amp;"."&amp;$AC1551&amp;".so2",NCEfKey,0)),0)</f>
        <v>1.0467</v>
      </c>
      <c r="AM1551" s="197">
        <f>IFERROR(INDEX(NCEfIn,MATCH($AB1551&amp;"."&amp;$AC1551&amp;".voc",NCEfKey,0)),0)</f>
        <v>2.1837846384</v>
      </c>
      <c r="AN1551" s="197">
        <f>IFERROR(INDEX(NCEfFin,MATCH($AB1551&amp;"."&amp;$AC1551&amp;".voc",NCEfKey,0)),0)</f>
        <v>2.009664</v>
      </c>
      <c r="AO1551" s="197">
        <f>IFERROR(INDEX(NCEfIn,MATCH($AB1551&amp;"."&amp;$AC1551&amp;".bc",NCEfKey,0)),0)</f>
        <v>0.3287014812</v>
      </c>
      <c r="AP1551" s="197">
        <f>IFERROR(INDEX(NCEfFin,MATCH($AB1551&amp;"."&amp;$AC1551&amp;".bc",NCEfKey,0)),0)</f>
        <v>0.2188524096</v>
      </c>
      <c r="AQ1551" s="197">
        <f>IFERROR(INDEX(NCEfIn,MATCH($AB1551&amp;"."&amp;$AC1551&amp;".oc",NCEfKey,0)),0)</f>
        <v>0.4871425536</v>
      </c>
      <c r="AR1551" s="197">
        <f>IFERROR(INDEX(NCEfFin,MATCH($AB1551&amp;"."&amp;$AC1551&amp;".oc",NCEfKey,0)),0)</f>
        <v>0.313507584</v>
      </c>
      <c r="AS1551" s="197">
        <f>IFERROR(INDEX(NCEfIn,MATCH($AB1551&amp;"."&amp;$AC1551&amp;".co",NCEfKey,0)),0)</f>
        <v>12.5604</v>
      </c>
      <c r="AT1551" s="197">
        <f>IFERROR(INDEX(NCEfFin,MATCH($AB1551&amp;"."&amp;$AC1551&amp;".co",NCEfKey,0)),0)</f>
        <v>12.5604</v>
      </c>
      <c r="AU1551" s="3" t="str">
        <f>INDEX('Constants and Mappings'!$J$186:$J$201,MATCH($C1551,SubKey,0))</f>
        <v>mining_chemicals</v>
      </c>
      <c r="AV1551" s="3">
        <f>INDEX('Constants and Mappings'!$K$186:$K$201,MATCH($C1551,SubKey,0))</f>
        <v>1.0</v>
      </c>
      <c r="AW1551" s="3" t="str">
        <f>INDEX('Constants and Mappings'!$L$186:$L$201,MATCH($C1551,SubKey,0))&amp;""</f>
        <v/>
      </c>
      <c r="AX1551" s="3">
        <f>INDEX('Constants and Mappings'!$M$186:$M$201,MATCH($C1551,SubKey,0))</f>
        <v>0.0</v>
      </c>
      <c r="AY1551" s="3" t="n">
        <v>0</v>
      </c>
      <c r="AZ1551" s="3" t="n">
        <v>0</v>
      </c>
      <c r="BA1551" s="3" t="n">
        <v>0</v>
      </c>
      <c r="BB1551" s="3" t="n">
        <v>0</v>
      </c>
      <c r="BC1551" s="3" t="n">
        <v>0</v>
      </c>
      <c r="BD1551" s="3">
        <f>IFERROR($BB1551/$BC1551,0)</f>
        <v>0.0</v>
      </c>
      <c r="BE1551" s="133" t="n">
        <v>1</v>
      </c>
      <c r="BF1551" s="39" t="n">
        <v>1</v>
      </c>
    </row>
    <row r="1552">
      <c r="A1552" s="3" t="str">
        <f>$B1552&amp;"|"&amp;$C1552</f>
        <v>coa|irn</v>
      </c>
      <c r="B1552" s="8" t="inlineStr">
        <is>
          <t>coa</t>
        </is>
      </c>
      <c r="C1552" s="8" t="inlineStr">
        <is>
          <t>irn</t>
        </is>
      </c>
      <c r="D1552" s="3" t="str">
        <f>INDEX('Constants and Mappings'!$D$186:$D$201,MATCH($C1552,SubKey,0))</f>
        <v>ind</v>
      </c>
      <c r="E1552" s="3" t="str">
        <f>INDEX('Constants and Mappings'!$C$229:$C$237,MATCH($B1552,FuelKey,0))</f>
        <v>coa</v>
      </c>
      <c r="F1552" s="3" t="str">
        <f>INDEX('Constants and Mappings'!$D$229:$D$237,MATCH($B1552,FuelKey,0))</f>
        <v>coa</v>
      </c>
      <c r="G1552" s="3" t="str">
        <f>INDEX('Constants and Mappings'!$E$229:$E$237,MATCH($B1552,FuelKey,0))</f>
        <v>sub</v>
      </c>
      <c r="H1552" s="3" t="str">
        <f>INDEX('Constants and Mappings'!$F$186:$F$201,MATCH($C1552,SubKey,0))</f>
        <v>ind</v>
      </c>
      <c r="I1552" s="3" t="str">
        <f>INDEX('Constants and Mappings'!$I$229:$I$237,MATCH($B1552,FuelKey,0))&amp;"."&amp;IF($G1552="sub",$H1552,"all")</f>
        <v>coa.ind</v>
      </c>
      <c r="J1552" s="3" t="str">
        <f>INDEX('Constants and Mappings'!$E$186:$E$201,MATCH($C1552,SubKey,0))</f>
        <v>ind</v>
      </c>
      <c r="K1552" s="3">
        <f>INDEX('Constants and Mappings'!$G$229:$G$237,MATCH($B1552,FuelKey,0))</f>
        <v>1.0</v>
      </c>
      <c r="L1552" s="3">
        <f>INDEX('Constants and Mappings'!$H$229:$H$237,MATCH($B1552,FuelKey,0))</f>
        <v>1.0</v>
      </c>
      <c r="M1552" s="3">
        <f>INDEX('Constants and Mappings'!$H$186:$H$201,MATCH($C1552,SubKey,0))</f>
        <v>10.0</v>
      </c>
      <c r="N1552" s="3">
        <f>INDEX('Constants and Mappings'!$E$300:$E$313,MATCH($I1552,'Constants and Mappings'!$A$300:$A$313,0))</f>
        <v>3.0</v>
      </c>
      <c r="O1552" s="48">
        <f>INDEX(ElaSel,MATCH("inc|"&amp;$E1552&amp;"|"&amp;$D1552,ElaSelKey,0))</f>
        <v>0.5</v>
      </c>
      <c r="P1552" s="48">
        <f>INDEX(ElaSel,MATCH("usg|"&amp;$E1552&amp;"|"&amp;$D1552,ElaSelKey,0))</f>
        <v>-0.3</v>
      </c>
      <c r="Q1552" s="48">
        <f>INDEX(ElaSel,MATCH("eff|"&amp;$E1552&amp;"|"&amp;$D1552,ElaSelKey,0))</f>
        <v>-0.4</v>
      </c>
      <c r="R1552" s="225">
        <f>INDEX(ElaSel,MATCH("aei|"&amp;$F1552&amp;"|"&amp;$D1552,ElaSelKey,0))</f>
        <v>0.005</v>
      </c>
      <c r="S1552" s="133" t="n">
        <v>3</v>
      </c>
      <c r="T1552" s="48">
        <f>$Q1552*(1+$P1552)</f>
        <v>-0.27999999999999997</v>
      </c>
      <c r="U1552" s="3">
        <f>INDEX('Constants and Mappings'!$E$1633:$E$1644,MATCH($I1552,'Constants and Mappings'!$A$1633:$A$1644,0))</f>
        <v>55.0</v>
      </c>
      <c r="V1552" s="225">
        <f>INDEX('Constants and Mappings'!$V$1633:$V$1644,MATCH($I1552,'Constants and Mappings'!$A$1633:$A$1644,0))</f>
        <v>0.0</v>
      </c>
      <c r="W1552" s="197">
        <f>INDEX(EFSel,MATCH($B1552&amp;"|"&amp;$J1552,EFSelKey,0))*EFCalib</f>
        <v>0.09955404329757564</v>
      </c>
      <c r="X1552" s="195">
        <f>IF(LEFT(BalOpt,3)="Bal",$AY1552*$AV1552+$AZ1552*$AX1552,$BA1552)</f>
        <v>233.5426488795035</v>
      </c>
      <c r="Y1552" s="3" t="str">
        <f>IF($G1552="sub",$H1552,IF($B1552="oop","ind","trs"))</f>
        <v>ind</v>
      </c>
      <c r="Z1552" s="39">
        <f>IFERROR(MATCH($Y1552&amp;"|"&amp;$B1552,XKey,0),1)</f>
        <v>29.0</v>
      </c>
      <c r="AA1552" s="48">
        <f>INDEX(XCTVal,$Z1552,ECPEmb)+INDEX(XETSVal,$Z1552,ECPEmb)</f>
        <v>0.0</v>
      </c>
      <c r="AB1552" s="8" t="inlineStr">
        <is>
          <t>mnf</t>
        </is>
      </c>
      <c r="AC1552" s="8" t="inlineStr">
        <is>
          <t>coa</t>
        </is>
      </c>
      <c r="AD1552" s="197">
        <f>IFERROR(INDEX(NCEfIn,MATCH($AB1552&amp;"."&amp;$AC1552&amp;".ch4",NCEfKey,0)),0)</f>
        <v>0.4186800000000001</v>
      </c>
      <c r="AE1552" s="197">
        <f>IFERROR(INDEX(NCEfFin,MATCH($AB1552&amp;"."&amp;$AC1552&amp;".ch4",NCEfKey,0)),0)</f>
        <v>0.4186800000000001</v>
      </c>
      <c r="AF1552" s="3" t="n">
        <v>0</v>
      </c>
      <c r="AG1552" s="197">
        <f>IFERROR(INDEX(NCEfIn,MATCH($AB1552&amp;"."&amp;$AC1552&amp;".pm2",NCEfKey,0)),0)</f>
        <v>0.1073997936</v>
      </c>
      <c r="AH1552" s="197">
        <f>IFERROR(INDEX(NCEfFin,MATCH($AB1552&amp;"."&amp;$AC1552&amp;".pm2",NCEfKey,0)),0)</f>
        <v>0.0796496832</v>
      </c>
      <c r="AI1552" s="197">
        <f>IFERROR(INDEX(NCEfIn,MATCH($AB1552&amp;"."&amp;$AC1552&amp;".nox",NCEfKey,0)),0)</f>
        <v>1.2560441868</v>
      </c>
      <c r="AJ1552" s="197">
        <f>IFERROR(INDEX(NCEfFin,MATCH($AB1552&amp;"."&amp;$AC1552&amp;".nox",NCEfKey,0)),0)</f>
        <v>1.25604</v>
      </c>
      <c r="AK1552" s="197">
        <f>IFERROR(INDEX(NCEfIn,MATCH($AB1552&amp;"."&amp;$AC1552&amp;".so2",NCEfKey,0)),0)</f>
        <v>1.511497602</v>
      </c>
      <c r="AL1552" s="197">
        <f>IFERROR(INDEX(NCEfFin,MATCH($AB1552&amp;"."&amp;$AC1552&amp;".so2",NCEfKey,0)),0)</f>
        <v>1.5114808548</v>
      </c>
      <c r="AM1552" s="197">
        <f>IFERROR(INDEX(NCEfIn,MATCH($AB1552&amp;"."&amp;$AC1552&amp;".voc",NCEfKey,0)),0)</f>
        <v>0.4186800000000001</v>
      </c>
      <c r="AN1552" s="197">
        <f>IFERROR(INDEX(NCEfFin,MATCH($AB1552&amp;"."&amp;$AC1552&amp;".voc",NCEfKey,0)),0)</f>
        <v>0.4186800000000001</v>
      </c>
      <c r="AO1552" s="197">
        <f>IFERROR(INDEX(NCEfIn,MATCH($AB1552&amp;"."&amp;$AC1552&amp;".bc",NCEfKey,0)),0)</f>
        <v>0.0008876016000000001</v>
      </c>
      <c r="AP1552" s="197">
        <f>IFERROR(INDEX(NCEfFin,MATCH($AB1552&amp;"."&amp;$AC1552&amp;".bc",NCEfKey,0)),0)</f>
        <v>0.0006615144000000001</v>
      </c>
      <c r="AQ1552" s="197">
        <f>IFERROR(INDEX(NCEfIn,MATCH($AB1552&amp;"."&amp;$AC1552&amp;".oc",NCEfKey,0)),0)</f>
        <v>0.0018673128</v>
      </c>
      <c r="AR1552" s="197">
        <f>IFERROR(INDEX(NCEfFin,MATCH($AB1552&amp;"."&amp;$AC1552&amp;".oc",NCEfKey,0)),0)</f>
        <v>0.000565218</v>
      </c>
      <c r="AS1552" s="197">
        <f>IFERROR(INDEX(NCEfIn,MATCH($AB1552&amp;"."&amp;$AC1552&amp;".co",NCEfKey,0)),0)</f>
        <v>4.186800000000001</v>
      </c>
      <c r="AT1552" s="197">
        <f>IFERROR(INDEX(NCEfFin,MATCH($AB1552&amp;"."&amp;$AC1552&amp;".co",NCEfKey,0)),0)</f>
        <v>4.186795813200001</v>
      </c>
      <c r="AU1552" s="3" t="str">
        <f>INDEX('Constants and Mappings'!$J$186:$J$201,MATCH($C1552,SubKey,0))</f>
        <v>ironstl</v>
      </c>
      <c r="AV1552" s="3">
        <f>INDEX('Constants and Mappings'!$K$186:$K$201,MATCH($C1552,SubKey,0))</f>
        <v>1.0</v>
      </c>
      <c r="AW1552" s="3" t="str">
        <f>INDEX('Constants and Mappings'!$L$186:$L$201,MATCH($C1552,SubKey,0))&amp;""</f>
        <v/>
      </c>
      <c r="AX1552" s="3">
        <f>INDEX('Constants and Mappings'!$M$186:$M$201,MATCH($C1552,SubKey,0))</f>
        <v>0.0</v>
      </c>
      <c r="AY1552" s="3" t="n">
        <v>233.5426488795035</v>
      </c>
      <c r="AZ1552" s="3" t="n">
        <v>0</v>
      </c>
      <c r="BA1552" s="3" t="n">
        <v>233.5426488795035</v>
      </c>
      <c r="BB1552" s="3" t="n">
        <v>0</v>
      </c>
      <c r="BC1552" s="3" t="n">
        <v>0</v>
      </c>
      <c r="BD1552" s="3">
        <f>IFERROR($BB1552/$BC1552,0)</f>
        <v>0.0</v>
      </c>
      <c r="BE1552" s="133" t="n">
        <v>1</v>
      </c>
      <c r="BF1552" s="39" t="n">
        <v>1</v>
      </c>
    </row>
    <row r="1553">
      <c r="A1553" s="3" t="str">
        <f>$B1553&amp;"|"&amp;$C1553</f>
        <v>nga|irn</v>
      </c>
      <c r="B1553" s="8" t="inlineStr">
        <is>
          <t>nga</t>
        </is>
      </c>
      <c r="C1553" s="8" t="inlineStr">
        <is>
          <t>irn</t>
        </is>
      </c>
      <c r="D1553" s="3" t="str">
        <f>INDEX('Constants and Mappings'!$D$186:$D$201,MATCH($C1553,SubKey,0))</f>
        <v>ind</v>
      </c>
      <c r="E1553" s="3" t="str">
        <f>INDEX('Constants and Mappings'!$C$229:$C$237,MATCH($B1553,FuelKey,0))</f>
        <v>nga</v>
      </c>
      <c r="F1553" s="3" t="str">
        <f>INDEX('Constants and Mappings'!$D$229:$D$237,MATCH($B1553,FuelKey,0))</f>
        <v>nga</v>
      </c>
      <c r="G1553" s="3" t="str">
        <f>INDEX('Constants and Mappings'!$E$229:$E$237,MATCH($B1553,FuelKey,0))</f>
        <v>sub</v>
      </c>
      <c r="H1553" s="3" t="str">
        <f>INDEX('Constants and Mappings'!$F$186:$F$201,MATCH($C1553,SubKey,0))</f>
        <v>ind</v>
      </c>
      <c r="I1553" s="3" t="str">
        <f>INDEX('Constants and Mappings'!$I$229:$I$237,MATCH($B1553,FuelKey,0))&amp;"."&amp;IF($G1553="sub",$H1553,"all")</f>
        <v>nga.ind</v>
      </c>
      <c r="J1553" s="3" t="str">
        <f>INDEX('Constants and Mappings'!$E$186:$E$201,MATCH($C1553,SubKey,0))</f>
        <v>ind</v>
      </c>
      <c r="K1553" s="3">
        <f>INDEX('Constants and Mappings'!$G$229:$G$237,MATCH($B1553,FuelKey,0))</f>
        <v>1.0</v>
      </c>
      <c r="L1553" s="3">
        <f>INDEX('Constants and Mappings'!$H$229:$H$237,MATCH($B1553,FuelKey,0))</f>
        <v>2.0</v>
      </c>
      <c r="M1553" s="3">
        <f>INDEX('Constants and Mappings'!$H$186:$H$201,MATCH($C1553,SubKey,0))</f>
        <v>10.0</v>
      </c>
      <c r="N1553" s="3">
        <f>INDEX('Constants and Mappings'!$E$300:$E$313,MATCH($I1553,'Constants and Mappings'!$A$300:$A$313,0))</f>
        <v>6.0</v>
      </c>
      <c r="O1553" s="48">
        <f>INDEX(ElaSel,MATCH("inc|"&amp;$E1553&amp;"|"&amp;$D1553,ElaSelKey,0))</f>
        <v>1.0</v>
      </c>
      <c r="P1553" s="48">
        <f>INDEX(ElaSel,MATCH("usg|"&amp;$E1553&amp;"|"&amp;$D1553,ElaSelKey,0))</f>
        <v>-0.5</v>
      </c>
      <c r="Q1553" s="48">
        <f>INDEX(ElaSel,MATCH("eff|"&amp;$E1553&amp;"|"&amp;$D1553,ElaSelKey,0))</f>
        <v>-0.5</v>
      </c>
      <c r="R1553" s="225">
        <f>INDEX(ElaSel,MATCH("aei|"&amp;$F1553&amp;"|"&amp;$D1553,ElaSelKey,0))</f>
        <v>0.01</v>
      </c>
      <c r="S1553" s="133" t="n">
        <v>3</v>
      </c>
      <c r="T1553" s="48">
        <f>$Q1553*(1+$P1553)</f>
        <v>-0.25</v>
      </c>
      <c r="U1553" s="3">
        <f>INDEX('Constants and Mappings'!$E$1633:$E$1644,MATCH($I1553,'Constants and Mappings'!$A$1633:$A$1644,0))</f>
        <v>138.0</v>
      </c>
      <c r="V1553" s="225">
        <f>INDEX('Constants and Mappings'!$V$1633:$V$1644,MATCH($I1553,'Constants and Mappings'!$A$1633:$A$1644,0))</f>
        <v>0.0</v>
      </c>
      <c r="W1553" s="197">
        <f>INDEX(EFSel,MATCH($B1553&amp;"|"&amp;$J1553,EFSelKey,0))*EFCalib</f>
        <v>0.05555115616004721</v>
      </c>
      <c r="X1553" s="195">
        <f>IF(LEFT(BalOpt,3)="Bal",$AY1553*$AV1553+$AZ1553*$AX1553,$BA1553)</f>
        <v>1497.425857039353</v>
      </c>
      <c r="Y1553" s="3" t="str">
        <f>IF($G1553="sub",$H1553,IF($B1553="oop","ind","trs"))</f>
        <v>ind</v>
      </c>
      <c r="Z1553" s="39">
        <f>IFERROR(MATCH($Y1553&amp;"|"&amp;$B1553,XKey,0),1)</f>
        <v>30.0</v>
      </c>
      <c r="AA1553" s="48">
        <f>INDEX(XCTVal,$Z1553,ECPEmb)+INDEX(XETSVal,$Z1553,ECPEmb)</f>
        <v>0.0</v>
      </c>
      <c r="AB1553" s="8" t="inlineStr">
        <is>
          <t>mnf</t>
        </is>
      </c>
      <c r="AC1553" s="8" t="inlineStr">
        <is>
          <t>nga</t>
        </is>
      </c>
      <c r="AD1553" s="197">
        <f>IFERROR(INDEX(NCEfIn,MATCH($AB1553&amp;"."&amp;$AC1553&amp;".ch4",NCEfKey,0)),0)</f>
        <v>1.9701992232</v>
      </c>
      <c r="AE1553" s="197">
        <f>IFERROR(INDEX(NCEfFin,MATCH($AB1553&amp;"."&amp;$AC1553&amp;".ch4",NCEfKey,0)),0)</f>
        <v>1.9373244696</v>
      </c>
      <c r="AF1553" s="3" t="n">
        <v>0</v>
      </c>
      <c r="AG1553" s="197">
        <f>IFERROR(INDEX(NCEfIn,MATCH($AB1553&amp;"."&amp;$AC1553&amp;".pm2",NCEfKey,0)),0)</f>
        <v>0.0041868</v>
      </c>
      <c r="AH1553" s="197">
        <f>IFERROR(INDEX(NCEfFin,MATCH($AB1553&amp;"."&amp;$AC1553&amp;".pm2",NCEfKey,0)),0)</f>
        <v>0.0041868</v>
      </c>
      <c r="AI1553" s="197">
        <f>IFERROR(INDEX(NCEfIn,MATCH($AB1553&amp;"."&amp;$AC1553&amp;".nox",NCEfKey,0)),0)</f>
        <v>4.186800000000001</v>
      </c>
      <c r="AJ1553" s="197">
        <f>IFERROR(INDEX(NCEfFin,MATCH($AB1553&amp;"."&amp;$AC1553&amp;".nox",NCEfKey,0)),0)</f>
        <v>4.186611594</v>
      </c>
      <c r="AK1553" s="197">
        <f>IFERROR(INDEX(NCEfIn,MATCH($AB1553&amp;"."&amp;$AC1553&amp;".so2",NCEfKey,0)),0)</f>
        <v>0.0348886044</v>
      </c>
      <c r="AL1553" s="197">
        <f>IFERROR(INDEX(NCEfFin,MATCH($AB1553&amp;"."&amp;$AC1553&amp;".so2",NCEfKey,0)),0)</f>
        <v>0.0348886044</v>
      </c>
      <c r="AM1553" s="197">
        <f>IFERROR(INDEX(NCEfIn,MATCH($AB1553&amp;"."&amp;$AC1553&amp;".voc",NCEfKey,0)),0)</f>
        <v>0.083736</v>
      </c>
      <c r="AN1553" s="197">
        <f>IFERROR(INDEX(NCEfFin,MATCH($AB1553&amp;"."&amp;$AC1553&amp;".voc",NCEfKey,0)),0)</f>
        <v>0.08373181320000002</v>
      </c>
      <c r="AO1553" s="197">
        <f>IFERROR(INDEX(NCEfIn,MATCH($AB1553&amp;"."&amp;$AC1553&amp;".bc",NCEfKey,0)),0)</f>
        <v>0.0002805156</v>
      </c>
      <c r="AP1553" s="197">
        <f>IFERROR(INDEX(NCEfFin,MATCH($AB1553&amp;"."&amp;$AC1553&amp;".bc",NCEfKey,0)),0)</f>
        <v>0.0002805156</v>
      </c>
      <c r="AQ1553" s="197">
        <f>IFERROR(INDEX(NCEfIn,MATCH($AB1553&amp;"."&amp;$AC1553&amp;".oc",NCEfKey,0)),0)</f>
        <v>0.0031401</v>
      </c>
      <c r="AR1553" s="197">
        <f>IFERROR(INDEX(NCEfFin,MATCH($AB1553&amp;"."&amp;$AC1553&amp;".oc",NCEfKey,0)),0)</f>
        <v>0.0031401</v>
      </c>
      <c r="AS1553" s="197">
        <f>IFERROR(INDEX(NCEfIn,MATCH($AB1553&amp;"."&amp;$AC1553&amp;".co",NCEfKey,0)),0)</f>
        <v>1.46538</v>
      </c>
      <c r="AT1553" s="197">
        <f>IFERROR(INDEX(NCEfFin,MATCH($AB1553&amp;"."&amp;$AC1553&amp;".co",NCEfKey,0)),0)</f>
        <v>1.4653130112</v>
      </c>
      <c r="AU1553" s="3" t="str">
        <f>INDEX('Constants and Mappings'!$J$186:$J$201,MATCH($C1553,SubKey,0))</f>
        <v>ironstl</v>
      </c>
      <c r="AV1553" s="3">
        <f>INDEX('Constants and Mappings'!$K$186:$K$201,MATCH($C1553,SubKey,0))</f>
        <v>1.0</v>
      </c>
      <c r="AW1553" s="3" t="str">
        <f>INDEX('Constants and Mappings'!$L$186:$L$201,MATCH($C1553,SubKey,0))&amp;""</f>
        <v/>
      </c>
      <c r="AX1553" s="3">
        <f>INDEX('Constants and Mappings'!$M$186:$M$201,MATCH($C1553,SubKey,0))</f>
        <v>0.0</v>
      </c>
      <c r="AY1553" s="3" t="n">
        <v>1497.425857039353</v>
      </c>
      <c r="AZ1553" s="3" t="n">
        <v>0</v>
      </c>
      <c r="BA1553" s="3" t="n">
        <v>1497.425857039353</v>
      </c>
      <c r="BB1553" s="3" t="n">
        <v>0</v>
      </c>
      <c r="BC1553" s="3" t="n">
        <v>0</v>
      </c>
      <c r="BD1553" s="3">
        <f>IFERROR($BB1553/$BC1553,0)</f>
        <v>0.0</v>
      </c>
      <c r="BE1553" s="133" t="n">
        <v>1</v>
      </c>
      <c r="BF1553" s="39" t="n">
        <v>1</v>
      </c>
    </row>
    <row r="1554">
      <c r="A1554" s="3" t="str">
        <f>$B1554&amp;"|"&amp;$C1554</f>
        <v>gso|irn</v>
      </c>
      <c r="B1554" s="8" t="inlineStr">
        <is>
          <t>gso</t>
        </is>
      </c>
      <c r="C1554" s="8" t="inlineStr">
        <is>
          <t>irn</t>
        </is>
      </c>
      <c r="D1554" s="3" t="str">
        <f>INDEX('Constants and Mappings'!$D$186:$D$201,MATCH($C1554,SubKey,0))</f>
        <v>ind</v>
      </c>
      <c r="E1554" s="3" t="str">
        <f>INDEX('Constants and Mappings'!$C$229:$C$237,MATCH($B1554,FuelKey,0))</f>
        <v>gso</v>
      </c>
      <c r="F1554" s="3" t="str">
        <f>INDEX('Constants and Mappings'!$D$229:$D$237,MATCH($B1554,FuelKey,0))</f>
        <v>oil</v>
      </c>
      <c r="G1554" s="3" t="str">
        <f>INDEX('Constants and Mappings'!$E$229:$E$237,MATCH($B1554,FuelKey,0))</f>
        <v>all</v>
      </c>
      <c r="H1554" s="3" t="str">
        <f>INDEX('Constants and Mappings'!$F$186:$F$201,MATCH($C1554,SubKey,0))</f>
        <v>ind</v>
      </c>
      <c r="I1554" s="3" t="str">
        <f>INDEX('Constants and Mappings'!$I$229:$I$237,MATCH($B1554,FuelKey,0))&amp;"."&amp;IF($G1554="sub",$H1554,"all")</f>
        <v>gso.all</v>
      </c>
      <c r="J1554" s="3" t="str">
        <f>INDEX('Constants and Mappings'!$E$186:$E$201,MATCH($C1554,SubKey,0))</f>
        <v>ind</v>
      </c>
      <c r="K1554" s="3">
        <f>INDEX('Constants and Mappings'!$G$229:$G$237,MATCH($B1554,FuelKey,0))</f>
        <v>0.03496974000000001</v>
      </c>
      <c r="L1554" s="3">
        <f>INDEX('Constants and Mappings'!$H$229:$H$237,MATCH($B1554,FuelKey,0))</f>
        <v>3.0</v>
      </c>
      <c r="M1554" s="3">
        <f>INDEX('Constants and Mappings'!$H$186:$H$201,MATCH($C1554,SubKey,0))</f>
        <v>10.0</v>
      </c>
      <c r="N1554" s="3">
        <f>INDEX('Constants and Mappings'!$E$300:$E$313,MATCH($I1554,'Constants and Mappings'!$A$300:$A$313,0))</f>
        <v>9.0</v>
      </c>
      <c r="O1554" s="48">
        <f>INDEX(ElaSel,MATCH("inc|"&amp;$E1554&amp;"|"&amp;$D1554,ElaSelKey,0))</f>
        <v>0.5</v>
      </c>
      <c r="P1554" s="48">
        <f>INDEX(ElaSel,MATCH("usg|"&amp;$E1554&amp;"|"&amp;$D1554,ElaSelKey,0))</f>
        <v>-0.4</v>
      </c>
      <c r="Q1554" s="48">
        <f>INDEX(ElaSel,MATCH("eff|"&amp;$E1554&amp;"|"&amp;$D1554,ElaSelKey,0))</f>
        <v>-0.7</v>
      </c>
      <c r="R1554" s="225">
        <f>INDEX(ElaSel,MATCH("aei|"&amp;$F1554&amp;"|"&amp;$D1554,ElaSelKey,0))</f>
        <v>0.005</v>
      </c>
      <c r="S1554" s="133" t="n">
        <v>3</v>
      </c>
      <c r="T1554" s="48">
        <f>$Q1554*(1+$P1554)</f>
        <v>-0.42</v>
      </c>
      <c r="U1554" s="3">
        <f>INDEX('Constants and Mappings'!$E$1633:$E$1644,MATCH($I1554,'Constants and Mappings'!$A$1633:$A$1644,0))</f>
        <v>167.0</v>
      </c>
      <c r="V1554" s="225">
        <f>INDEX('Constants and Mappings'!$V$1633:$V$1644,MATCH($I1554,'Constants and Mappings'!$A$1633:$A$1644,0))</f>
        <v>0.0</v>
      </c>
      <c r="W1554" s="197">
        <f>INDEX(EFSel,MATCH($B1554&amp;"|"&amp;$J1554,EFSelKey,0))*EFCalib</f>
        <v>0.06749067257272545</v>
      </c>
      <c r="X1554" s="195">
        <f>IF(LEFT(BalOpt,3)="Bal",$AY1554*$AV1554+$AZ1554*$AX1554,$BA1554)</f>
        <v>0.0</v>
      </c>
      <c r="Y1554" s="3" t="str">
        <f>IF($G1554="sub",$H1554,IF($B1554="oop","ind","trs"))</f>
        <v>trs</v>
      </c>
      <c r="Z1554" s="39">
        <f>IFERROR(MATCH($Y1554&amp;"|"&amp;$B1554,XKey,0),1)</f>
        <v>13.0</v>
      </c>
      <c r="AA1554" s="48">
        <f>INDEX(XCTVal,$Z1554,ECPEmb)+INDEX(XETSVal,$Z1554,ECPEmb)</f>
        <v>0.0</v>
      </c>
      <c r="AB1554" s="8" t="inlineStr">
        <is>
          <t>mnf</t>
        </is>
      </c>
      <c r="AC1554" s="8" t="inlineStr">
        <is>
          <t>gso</t>
        </is>
      </c>
      <c r="AD1554" s="197">
        <f>IFERROR(INDEX(NCEfIn,MATCH($AB1554&amp;"."&amp;$AC1554&amp;".ch4",NCEfKey,0)),0)</f>
        <v>0.125604</v>
      </c>
      <c r="AE1554" s="197">
        <f>IFERROR(INDEX(NCEfFin,MATCH($AB1554&amp;"."&amp;$AC1554&amp;".ch4",NCEfKey,0)),0)</f>
        <v>0.125604</v>
      </c>
      <c r="AF1554" s="3" t="n">
        <v>0</v>
      </c>
      <c r="AG1554" s="197">
        <f>IFERROR(INDEX(NCEfIn,MATCH($AB1554&amp;"."&amp;$AC1554&amp;".pm2",NCEfKey,0)),0)</f>
        <v>0.020934</v>
      </c>
      <c r="AH1554" s="197">
        <f>IFERROR(INDEX(NCEfFin,MATCH($AB1554&amp;"."&amp;$AC1554&amp;".pm2",NCEfKey,0)),0)</f>
        <v>0.020934</v>
      </c>
      <c r="AI1554" s="197">
        <f>IFERROR(INDEX(NCEfIn,MATCH($AB1554&amp;"."&amp;$AC1554&amp;".nox",NCEfKey,0)),0)</f>
        <v>2.93076</v>
      </c>
      <c r="AJ1554" s="197">
        <f>IFERROR(INDEX(NCEfFin,MATCH($AB1554&amp;"."&amp;$AC1554&amp;".nox",NCEfKey,0)),0)</f>
        <v>2.93076</v>
      </c>
      <c r="AK1554" s="197">
        <f>IFERROR(INDEX(NCEfIn,MATCH($AB1554&amp;"."&amp;$AC1554&amp;".so2",NCEfKey,0)),0)</f>
        <v>0.9101726388000001</v>
      </c>
      <c r="AL1554" s="197">
        <f>IFERROR(INDEX(NCEfFin,MATCH($AB1554&amp;"."&amp;$AC1554&amp;".so2",NCEfKey,0)),0)</f>
        <v>0.9101726388000001</v>
      </c>
      <c r="AM1554" s="197">
        <f>IFERROR(INDEX(NCEfIn,MATCH($AB1554&amp;"."&amp;$AC1554&amp;".voc",NCEfKey,0)),0)</f>
        <v>0.10467</v>
      </c>
      <c r="AN1554" s="197">
        <f>IFERROR(INDEX(NCEfFin,MATCH($AB1554&amp;"."&amp;$AC1554&amp;".voc",NCEfKey,0)),0)</f>
        <v>0.10467</v>
      </c>
      <c r="AO1554" s="197">
        <f>IFERROR(INDEX(NCEfIn,MATCH($AB1554&amp;"."&amp;$AC1554&amp;".bc",NCEfKey,0)),0)</f>
        <v>0.001402578</v>
      </c>
      <c r="AP1554" s="197">
        <f>IFERROR(INDEX(NCEfFin,MATCH($AB1554&amp;"."&amp;$AC1554&amp;".bc",NCEfKey,0)),0)</f>
        <v>0.001402578</v>
      </c>
      <c r="AQ1554" s="197">
        <f>IFERROR(INDEX(NCEfIn,MATCH($AB1554&amp;"."&amp;$AC1554&amp;".oc",NCEfKey,0)),0)</f>
        <v>0.0157005</v>
      </c>
      <c r="AR1554" s="197">
        <f>IFERROR(INDEX(NCEfFin,MATCH($AB1554&amp;"."&amp;$AC1554&amp;".oc",NCEfKey,0)),0)</f>
        <v>0.0157005</v>
      </c>
      <c r="AS1554" s="197">
        <f>IFERROR(INDEX(NCEfIn,MATCH($AB1554&amp;"."&amp;$AC1554&amp;".co",NCEfKey,0)),0)</f>
        <v>1.67472</v>
      </c>
      <c r="AT1554" s="197">
        <f>IFERROR(INDEX(NCEfFin,MATCH($AB1554&amp;"."&amp;$AC1554&amp;".co",NCEfKey,0)),0)</f>
        <v>1.67472</v>
      </c>
      <c r="AU1554" s="3" t="str">
        <f>INDEX('Constants and Mappings'!$J$186:$J$201,MATCH($C1554,SubKey,0))</f>
        <v>ironstl</v>
      </c>
      <c r="AV1554" s="3">
        <f>INDEX('Constants and Mappings'!$K$186:$K$201,MATCH($C1554,SubKey,0))</f>
        <v>1.0</v>
      </c>
      <c r="AW1554" s="3" t="str">
        <f>INDEX('Constants and Mappings'!$L$186:$L$201,MATCH($C1554,SubKey,0))&amp;""</f>
        <v/>
      </c>
      <c r="AX1554" s="3">
        <f>INDEX('Constants and Mappings'!$M$186:$M$201,MATCH($C1554,SubKey,0))</f>
        <v>0.0</v>
      </c>
      <c r="AY1554" s="3" t="n">
        <v>0</v>
      </c>
      <c r="AZ1554" s="3" t="n">
        <v>0</v>
      </c>
      <c r="BA1554" s="3" t="n">
        <v>0</v>
      </c>
      <c r="BB1554" s="3" t="n">
        <v>0</v>
      </c>
      <c r="BC1554" s="3" t="n">
        <v>0</v>
      </c>
      <c r="BD1554" s="3">
        <f>IFERROR($BB1554/$BC1554,0)</f>
        <v>0.0</v>
      </c>
      <c r="BE1554" s="133" t="n">
        <v>1</v>
      </c>
      <c r="BF1554" s="39" t="n">
        <v>1</v>
      </c>
    </row>
    <row r="1555">
      <c r="A1555" s="3" t="str">
        <f>$B1555&amp;"|"&amp;$C1555</f>
        <v>die|irn</v>
      </c>
      <c r="B1555" s="8" t="inlineStr">
        <is>
          <t>die</t>
        </is>
      </c>
      <c r="C1555" s="8" t="inlineStr">
        <is>
          <t>irn</t>
        </is>
      </c>
      <c r="D1555" s="3" t="str">
        <f>INDEX('Constants and Mappings'!$D$186:$D$201,MATCH($C1555,SubKey,0))</f>
        <v>ind</v>
      </c>
      <c r="E1555" s="3" t="str">
        <f>INDEX('Constants and Mappings'!$C$229:$C$237,MATCH($B1555,FuelKey,0))</f>
        <v>die</v>
      </c>
      <c r="F1555" s="3" t="str">
        <f>INDEX('Constants and Mappings'!$D$229:$D$237,MATCH($B1555,FuelKey,0))</f>
        <v>oil</v>
      </c>
      <c r="G1555" s="3" t="str">
        <f>INDEX('Constants and Mappings'!$E$229:$E$237,MATCH($B1555,FuelKey,0))</f>
        <v>all</v>
      </c>
      <c r="H1555" s="3" t="str">
        <f>INDEX('Constants and Mappings'!$F$186:$F$201,MATCH($C1555,SubKey,0))</f>
        <v>ind</v>
      </c>
      <c r="I1555" s="3" t="str">
        <f>INDEX('Constants and Mappings'!$I$229:$I$237,MATCH($B1555,FuelKey,0))&amp;"."&amp;IF($G1555="sub",$H1555,"all")</f>
        <v>die.all</v>
      </c>
      <c r="J1555" s="3" t="str">
        <f>INDEX('Constants and Mappings'!$E$186:$E$201,MATCH($C1555,SubKey,0))</f>
        <v>ind</v>
      </c>
      <c r="K1555" s="3">
        <f>INDEX('Constants and Mappings'!$G$229:$G$237,MATCH($B1555,FuelKey,0))</f>
        <v>0.03729519000000001</v>
      </c>
      <c r="L1555" s="3">
        <f>INDEX('Constants and Mappings'!$H$229:$H$237,MATCH($B1555,FuelKey,0))</f>
        <v>4.0</v>
      </c>
      <c r="M1555" s="3">
        <f>INDEX('Constants and Mappings'!$H$186:$H$201,MATCH($C1555,SubKey,0))</f>
        <v>10.0</v>
      </c>
      <c r="N1555" s="3">
        <f>INDEX('Constants and Mappings'!$E$300:$E$313,MATCH($I1555,'Constants and Mappings'!$A$300:$A$313,0))</f>
        <v>10.0</v>
      </c>
      <c r="O1555" s="48">
        <f>INDEX(ElaSel,MATCH("inc|"&amp;$E1555&amp;"|"&amp;$D1555,ElaSelKey,0))</f>
        <v>0.5</v>
      </c>
      <c r="P1555" s="48">
        <f>INDEX(ElaSel,MATCH("usg|"&amp;$E1555&amp;"|"&amp;$D1555,ElaSelKey,0))</f>
        <v>-0.7</v>
      </c>
      <c r="Q1555" s="48">
        <f>INDEX(ElaSel,MATCH("eff|"&amp;$E1555&amp;"|"&amp;$D1555,ElaSelKey,0))</f>
        <v>-1.2</v>
      </c>
      <c r="R1555" s="225">
        <f>INDEX(ElaSel,MATCH("aei|"&amp;$F1555&amp;"|"&amp;$D1555,ElaSelKey,0))</f>
        <v>0.005</v>
      </c>
      <c r="S1555" s="133" t="n">
        <v>3</v>
      </c>
      <c r="T1555" s="48">
        <f>$Q1555*(1+$P1555)</f>
        <v>-0.36000000000000004</v>
      </c>
      <c r="U1555" s="3">
        <f>INDEX('Constants and Mappings'!$E$1633:$E$1644,MATCH($I1555,'Constants and Mappings'!$A$1633:$A$1644,0))</f>
        <v>196.0</v>
      </c>
      <c r="V1555" s="225">
        <f>INDEX('Constants and Mappings'!$V$1633:$V$1644,MATCH($I1555,'Constants and Mappings'!$A$1633:$A$1644,0))</f>
        <v>0.0</v>
      </c>
      <c r="W1555" s="197">
        <f>INDEX(EFSel,MATCH($B1555&amp;"|"&amp;$J1555,EFSelKey,0))*EFCalib</f>
        <v>0.0715246024071432</v>
      </c>
      <c r="X1555" s="195">
        <f>IF(LEFT(BalOpt,3)="Bal",$AY1555*$AV1555+$AZ1555*$AX1555,$BA1555)</f>
        <v>0.0</v>
      </c>
      <c r="Y1555" s="3" t="str">
        <f>IF($G1555="sub",$H1555,IF($B1555="oop","ind","trs"))</f>
        <v>trs</v>
      </c>
      <c r="Z1555" s="39">
        <f>IFERROR(MATCH($Y1555&amp;"|"&amp;$B1555,XKey,0),1)</f>
        <v>14.0</v>
      </c>
      <c r="AA1555" s="48">
        <f>INDEX(XCTVal,$Z1555,ECPEmb)+INDEX(XETSVal,$Z1555,ECPEmb)</f>
        <v>0.0</v>
      </c>
      <c r="AB1555" s="8" t="inlineStr">
        <is>
          <t>mnf</t>
        </is>
      </c>
      <c r="AC1555" s="8" t="inlineStr">
        <is>
          <t>die</t>
        </is>
      </c>
      <c r="AD1555" s="197">
        <f>IFERROR(INDEX(NCEfIn,MATCH($AB1555&amp;"."&amp;$AC1555&amp;".ch4",NCEfKey,0)),0)</f>
        <v>0.125604</v>
      </c>
      <c r="AE1555" s="197">
        <f>IFERROR(INDEX(NCEfFin,MATCH($AB1555&amp;"."&amp;$AC1555&amp;".ch4",NCEfKey,0)),0)</f>
        <v>0.125604</v>
      </c>
      <c r="AF1555" s="3" t="n">
        <v>0</v>
      </c>
      <c r="AG1555" s="197">
        <f>IFERROR(INDEX(NCEfIn,MATCH($AB1555&amp;"."&amp;$AC1555&amp;".pm2",NCEfKey,0)),0)</f>
        <v>0.0077372064</v>
      </c>
      <c r="AH1555" s="197">
        <f>IFERROR(INDEX(NCEfFin,MATCH($AB1555&amp;"."&amp;$AC1555&amp;".pm2",NCEfKey,0)),0)</f>
        <v>0.0077372064</v>
      </c>
      <c r="AI1555" s="197">
        <f>IFERROR(INDEX(NCEfIn,MATCH($AB1555&amp;"."&amp;$AC1555&amp;".nox",NCEfKey,0)),0)</f>
        <v>6.2802</v>
      </c>
      <c r="AJ1555" s="197">
        <f>IFERROR(INDEX(NCEfFin,MATCH($AB1555&amp;"."&amp;$AC1555&amp;".nox",NCEfKey,0)),0)</f>
        <v>6.2802</v>
      </c>
      <c r="AK1555" s="197">
        <f>IFERROR(INDEX(NCEfIn,MATCH($AB1555&amp;"."&amp;$AC1555&amp;".so2",NCEfKey,0)),0)</f>
        <v>3.9405156768</v>
      </c>
      <c r="AL1555" s="197">
        <f>IFERROR(INDEX(NCEfFin,MATCH($AB1555&amp;"."&amp;$AC1555&amp;".so2",NCEfKey,0)),0)</f>
        <v>3.9405156768</v>
      </c>
      <c r="AM1555" s="197">
        <f>IFERROR(INDEX(NCEfIn,MATCH($AB1555&amp;"."&amp;$AC1555&amp;".voc",NCEfKey,0)),0)</f>
        <v>0.167472</v>
      </c>
      <c r="AN1555" s="197">
        <f>IFERROR(INDEX(NCEfFin,MATCH($AB1555&amp;"."&amp;$AC1555&amp;".voc",NCEfKey,0)),0)</f>
        <v>0.167472</v>
      </c>
      <c r="AO1555" s="197">
        <f>IFERROR(INDEX(NCEfIn,MATCH($AB1555&amp;"."&amp;$AC1555&amp;".bc",NCEfKey,0)),0)</f>
        <v>0.004375206</v>
      </c>
      <c r="AP1555" s="197">
        <f>IFERROR(INDEX(NCEfFin,MATCH($AB1555&amp;"."&amp;$AC1555&amp;".bc",NCEfKey,0)),0)</f>
        <v>0.004375206</v>
      </c>
      <c r="AQ1555" s="197">
        <f>IFERROR(INDEX(NCEfIn,MATCH($AB1555&amp;"."&amp;$AC1555&amp;".oc",NCEfKey,0)),0)</f>
        <v>0.0006615144000000001</v>
      </c>
      <c r="AR1555" s="197">
        <f>IFERROR(INDEX(NCEfFin,MATCH($AB1555&amp;"."&amp;$AC1555&amp;".oc",NCEfKey,0)),0)</f>
        <v>0.0006615144000000001</v>
      </c>
      <c r="AS1555" s="197">
        <f>IFERROR(INDEX(NCEfIn,MATCH($AB1555&amp;"."&amp;$AC1555&amp;".co",NCEfKey,0)),0)</f>
        <v>1.67472</v>
      </c>
      <c r="AT1555" s="197">
        <f>IFERROR(INDEX(NCEfFin,MATCH($AB1555&amp;"."&amp;$AC1555&amp;".co",NCEfKey,0)),0)</f>
        <v>1.67472</v>
      </c>
      <c r="AU1555" s="3" t="str">
        <f>INDEX('Constants and Mappings'!$J$186:$J$201,MATCH($C1555,SubKey,0))</f>
        <v>ironstl</v>
      </c>
      <c r="AV1555" s="3">
        <f>INDEX('Constants and Mappings'!$K$186:$K$201,MATCH($C1555,SubKey,0))</f>
        <v>1.0</v>
      </c>
      <c r="AW1555" s="3" t="str">
        <f>INDEX('Constants and Mappings'!$L$186:$L$201,MATCH($C1555,SubKey,0))&amp;""</f>
        <v/>
      </c>
      <c r="AX1555" s="3">
        <f>INDEX('Constants and Mappings'!$M$186:$M$201,MATCH($C1555,SubKey,0))</f>
        <v>0.0</v>
      </c>
      <c r="AY1555" s="3" t="n">
        <v>0</v>
      </c>
      <c r="AZ1555" s="3" t="n">
        <v>0</v>
      </c>
      <c r="BA1555" s="3" t="n">
        <v>0</v>
      </c>
      <c r="BB1555" s="3" t="n">
        <v>0</v>
      </c>
      <c r="BC1555" s="3" t="n">
        <v>0</v>
      </c>
      <c r="BD1555" s="3">
        <f>IFERROR($BB1555/$BC1555,0)</f>
        <v>0.0</v>
      </c>
      <c r="BE1555" s="133" t="n">
        <v>1</v>
      </c>
      <c r="BF1555" s="39" t="n">
        <v>1</v>
      </c>
    </row>
    <row r="1556">
      <c r="A1556" s="3" t="str">
        <f>$B1556&amp;"|"&amp;$C1556</f>
        <v>lpg|irn</v>
      </c>
      <c r="B1556" s="8" t="inlineStr">
        <is>
          <t>lpg</t>
        </is>
      </c>
      <c r="C1556" s="8" t="inlineStr">
        <is>
          <t>irn</t>
        </is>
      </c>
      <c r="D1556" s="3" t="str">
        <f>INDEX('Constants and Mappings'!$D$186:$D$201,MATCH($C1556,SubKey,0))</f>
        <v>ind</v>
      </c>
      <c r="E1556" s="3" t="str">
        <f>INDEX('Constants and Mappings'!$C$229:$C$237,MATCH($B1556,FuelKey,0))</f>
        <v>oil</v>
      </c>
      <c r="F1556" s="3" t="str">
        <f>INDEX('Constants and Mappings'!$D$229:$D$237,MATCH($B1556,FuelKey,0))</f>
        <v>oil</v>
      </c>
      <c r="G1556" s="3" t="str">
        <f>INDEX('Constants and Mappings'!$E$229:$E$237,MATCH($B1556,FuelKey,0))</f>
        <v>all</v>
      </c>
      <c r="H1556" s="3" t="str">
        <f>INDEX('Constants and Mappings'!$F$186:$F$201,MATCH($C1556,SubKey,0))</f>
        <v>ind</v>
      </c>
      <c r="I1556" s="3" t="str">
        <f>INDEX('Constants and Mappings'!$I$229:$I$237,MATCH($B1556,FuelKey,0))&amp;"."&amp;IF($G1556="sub",$H1556,"all")</f>
        <v>lpg.all</v>
      </c>
      <c r="J1556" s="3" t="str">
        <f>INDEX('Constants and Mappings'!$E$186:$E$201,MATCH($C1556,SubKey,0))</f>
        <v>ind</v>
      </c>
      <c r="K1556" s="3">
        <f>INDEX('Constants and Mappings'!$G$229:$G$237,MATCH($B1556,FuelKey,0))</f>
        <v>0.02577968854495125</v>
      </c>
      <c r="L1556" s="3">
        <f>INDEX('Constants and Mappings'!$H$229:$H$237,MATCH($B1556,FuelKey,0))</f>
        <v>5.0</v>
      </c>
      <c r="M1556" s="3">
        <f>INDEX('Constants and Mappings'!$H$186:$H$201,MATCH($C1556,SubKey,0))</f>
        <v>10.0</v>
      </c>
      <c r="N1556" s="3">
        <f>INDEX('Constants and Mappings'!$E$300:$E$313,MATCH($I1556,'Constants and Mappings'!$A$300:$A$313,0))</f>
        <v>11.0</v>
      </c>
      <c r="O1556" s="48">
        <f>INDEX(ElaSel,MATCH("inc|"&amp;$E1556&amp;"|"&amp;$D1556,ElaSelKey,0))</f>
        <v>0.8</v>
      </c>
      <c r="P1556" s="48">
        <f>INDEX(ElaSel,MATCH("usg|"&amp;$E1556&amp;"|"&amp;$D1556,ElaSelKey,0))</f>
        <v>-0.4</v>
      </c>
      <c r="Q1556" s="48">
        <f>INDEX(ElaSel,MATCH("eff|"&amp;$E1556&amp;"|"&amp;$D1556,ElaSelKey,0))</f>
        <v>-0.4</v>
      </c>
      <c r="R1556" s="225">
        <f>INDEX(ElaSel,MATCH("aei|"&amp;$F1556&amp;"|"&amp;$D1556,ElaSelKey,0))</f>
        <v>0.005</v>
      </c>
      <c r="S1556" s="133" t="n">
        <v>3</v>
      </c>
      <c r="T1556" s="48">
        <f>$Q1556*(1+$P1556)</f>
        <v>-0.24</v>
      </c>
      <c r="U1556" s="3">
        <f>INDEX('Constants and Mappings'!$E$1633:$E$1644,MATCH($I1556,'Constants and Mappings'!$A$1633:$A$1644,0))</f>
        <v>225.0</v>
      </c>
      <c r="V1556" s="225">
        <f>INDEX('Constants and Mappings'!$V$1633:$V$1644,MATCH($I1556,'Constants and Mappings'!$A$1633:$A$1644,0))</f>
        <v>0.0</v>
      </c>
      <c r="W1556" s="197">
        <f>INDEX(EFSel,MATCH($B1556&amp;"|"&amp;$J1556,EFSelKey,0))*EFCalib</f>
        <v>0.06829407370213687</v>
      </c>
      <c r="X1556" s="195">
        <f>IF(LEFT(BalOpt,3)="Bal",$AY1556*$AV1556+$AZ1556*$AX1556,$BA1556)</f>
        <v>0.0</v>
      </c>
      <c r="Y1556" s="3" t="str">
        <f>IF($G1556="sub",$H1556,IF($B1556="oop","ind","trs"))</f>
        <v>trs</v>
      </c>
      <c r="Z1556" s="39">
        <f>IFERROR(MATCH($Y1556&amp;"|"&amp;$B1556,XKey,0),1)</f>
        <v>15.0</v>
      </c>
      <c r="AA1556" s="48">
        <f>INDEX(XCTVal,$Z1556,ECPEmb)+INDEX(XETSVal,$Z1556,ECPEmb)</f>
        <v>0.0</v>
      </c>
      <c r="AB1556" s="8" t="inlineStr">
        <is>
          <t>mnf</t>
        </is>
      </c>
      <c r="AC1556" s="8" t="inlineStr">
        <is>
          <t>lpg</t>
        </is>
      </c>
      <c r="AD1556" s="197">
        <f>IFERROR(INDEX(NCEfIn,MATCH($AB1556&amp;"."&amp;$AC1556&amp;".ch4",NCEfKey,0)),0)</f>
        <v>0.041868</v>
      </c>
      <c r="AE1556" s="197">
        <f>IFERROR(INDEX(NCEfFin,MATCH($AB1556&amp;"."&amp;$AC1556&amp;".ch4",NCEfKey,0)),0)</f>
        <v>0.041868</v>
      </c>
      <c r="AF1556" s="3" t="n">
        <v>0</v>
      </c>
      <c r="AG1556" s="197">
        <f>IFERROR(INDEX(NCEfIn,MATCH($AB1556&amp;"."&amp;$AC1556&amp;".pm2",NCEfKey,0)),0)</f>
        <v>0.0083736</v>
      </c>
      <c r="AH1556" s="197">
        <f>IFERROR(INDEX(NCEfFin,MATCH($AB1556&amp;"."&amp;$AC1556&amp;".pm2",NCEfKey,0)),0)</f>
        <v>0.0083736</v>
      </c>
      <c r="AI1556" s="197">
        <f>IFERROR(INDEX(NCEfIn,MATCH($AB1556&amp;"."&amp;$AC1556&amp;".nox",NCEfKey,0)),0)</f>
        <v>2.93076</v>
      </c>
      <c r="AJ1556" s="197">
        <f>IFERROR(INDEX(NCEfFin,MATCH($AB1556&amp;"."&amp;$AC1556&amp;".nox",NCEfKey,0)),0)</f>
        <v>2.93076</v>
      </c>
      <c r="AK1556" s="197">
        <f>IFERROR(INDEX(NCEfIn,MATCH($AB1556&amp;"."&amp;$AC1556&amp;".so2",NCEfKey,0)),0)</f>
        <v>0.0</v>
      </c>
      <c r="AL1556" s="197">
        <f>IFERROR(INDEX(NCEfFin,MATCH($AB1556&amp;"."&amp;$AC1556&amp;".so2",NCEfKey,0)),0)</f>
        <v>0.0</v>
      </c>
      <c r="AM1556" s="197">
        <f>IFERROR(INDEX(NCEfIn,MATCH($AB1556&amp;"."&amp;$AC1556&amp;".voc",NCEfKey,0)),0)</f>
        <v>0.0</v>
      </c>
      <c r="AN1556" s="197">
        <f>IFERROR(INDEX(NCEfFin,MATCH($AB1556&amp;"."&amp;$AC1556&amp;".voc",NCEfKey,0)),0)</f>
        <v>0.0</v>
      </c>
      <c r="AO1556" s="197">
        <f>IFERROR(INDEX(NCEfIn,MATCH($AB1556&amp;"."&amp;$AC1556&amp;".bc",NCEfKey,0)),0)</f>
        <v>0.0005610312000000001</v>
      </c>
      <c r="AP1556" s="197">
        <f>IFERROR(INDEX(NCEfFin,MATCH($AB1556&amp;"."&amp;$AC1556&amp;".bc",NCEfKey,0)),0)</f>
        <v>0.0005610312000000001</v>
      </c>
      <c r="AQ1556" s="197">
        <f>IFERROR(INDEX(NCEfIn,MATCH($AB1556&amp;"."&amp;$AC1556&amp;".oc",NCEfKey,0)),0)</f>
        <v>0.0</v>
      </c>
      <c r="AR1556" s="197">
        <f>IFERROR(INDEX(NCEfFin,MATCH($AB1556&amp;"."&amp;$AC1556&amp;".oc",NCEfKey,0)),0)</f>
        <v>0.0</v>
      </c>
      <c r="AS1556" s="197">
        <f>IFERROR(INDEX(NCEfIn,MATCH($AB1556&amp;"."&amp;$AC1556&amp;".co",NCEfKey,0)),0)</f>
        <v>0.62802</v>
      </c>
      <c r="AT1556" s="197">
        <f>IFERROR(INDEX(NCEfFin,MATCH($AB1556&amp;"."&amp;$AC1556&amp;".co",NCEfKey,0)),0)</f>
        <v>0.62802</v>
      </c>
      <c r="AU1556" s="3" t="str">
        <f>INDEX('Constants and Mappings'!$J$186:$J$201,MATCH($C1556,SubKey,0))</f>
        <v>ironstl</v>
      </c>
      <c r="AV1556" s="3">
        <f>INDEX('Constants and Mappings'!$K$186:$K$201,MATCH($C1556,SubKey,0))</f>
        <v>1.0</v>
      </c>
      <c r="AW1556" s="3" t="str">
        <f>INDEX('Constants and Mappings'!$L$186:$L$201,MATCH($C1556,SubKey,0))&amp;""</f>
        <v/>
      </c>
      <c r="AX1556" s="3">
        <f>INDEX('Constants and Mappings'!$M$186:$M$201,MATCH($C1556,SubKey,0))</f>
        <v>0.0</v>
      </c>
      <c r="AY1556" s="3" t="n">
        <v>0</v>
      </c>
      <c r="AZ1556" s="3" t="n">
        <v>0</v>
      </c>
      <c r="BA1556" s="3" t="n">
        <v>0</v>
      </c>
      <c r="BB1556" s="3" t="n">
        <v>0</v>
      </c>
      <c r="BC1556" s="3" t="n">
        <v>0</v>
      </c>
      <c r="BD1556" s="3">
        <f>IFERROR($BB1556/$BC1556,0)</f>
        <v>0.0</v>
      </c>
      <c r="BE1556" s="133" t="n">
        <v>1</v>
      </c>
      <c r="BF1556" s="39" t="n">
        <v>1</v>
      </c>
    </row>
    <row r="1557">
      <c r="A1557" s="3" t="str">
        <f>$B1557&amp;"|"&amp;$C1557</f>
        <v>ker|irn</v>
      </c>
      <c r="B1557" s="8" t="inlineStr">
        <is>
          <t>ker</t>
        </is>
      </c>
      <c r="C1557" s="8" t="inlineStr">
        <is>
          <t>irn</t>
        </is>
      </c>
      <c r="D1557" s="3" t="str">
        <f>INDEX('Constants and Mappings'!$D$186:$D$201,MATCH($C1557,SubKey,0))</f>
        <v>ind</v>
      </c>
      <c r="E1557" s="3" t="str">
        <f>INDEX('Constants and Mappings'!$C$229:$C$237,MATCH($B1557,FuelKey,0))</f>
        <v>oil</v>
      </c>
      <c r="F1557" s="3" t="str">
        <f>INDEX('Constants and Mappings'!$D$229:$D$237,MATCH($B1557,FuelKey,0))</f>
        <v>oil</v>
      </c>
      <c r="G1557" s="3" t="str">
        <f>INDEX('Constants and Mappings'!$E$229:$E$237,MATCH($B1557,FuelKey,0))</f>
        <v>all</v>
      </c>
      <c r="H1557" s="3" t="str">
        <f>INDEX('Constants and Mappings'!$F$186:$F$201,MATCH($C1557,SubKey,0))</f>
        <v>ind</v>
      </c>
      <c r="I1557" s="3" t="str">
        <f>INDEX('Constants and Mappings'!$I$229:$I$237,MATCH($B1557,FuelKey,0))&amp;"."&amp;IF($G1557="sub",$H1557,"all")</f>
        <v>ker.all</v>
      </c>
      <c r="J1557" s="3" t="str">
        <f>INDEX('Constants and Mappings'!$E$186:$E$201,MATCH($C1557,SubKey,0))</f>
        <v>ind</v>
      </c>
      <c r="K1557" s="3">
        <f>INDEX('Constants and Mappings'!$G$229:$G$237,MATCH($B1557,FuelKey,0))</f>
        <v>0.03774882965510715</v>
      </c>
      <c r="L1557" s="3">
        <f>INDEX('Constants and Mappings'!$H$229:$H$237,MATCH($B1557,FuelKey,0))</f>
        <v>6.0</v>
      </c>
      <c r="M1557" s="3">
        <f>INDEX('Constants and Mappings'!$H$186:$H$201,MATCH($C1557,SubKey,0))</f>
        <v>10.0</v>
      </c>
      <c r="N1557" s="3">
        <f>INDEX('Constants and Mappings'!$E$300:$E$313,MATCH($I1557,'Constants and Mappings'!$A$300:$A$313,0))</f>
        <v>12.0</v>
      </c>
      <c r="O1557" s="48">
        <f>INDEX(ElaSel,MATCH("inc|"&amp;$E1557&amp;"|"&amp;$D1557,ElaSelKey,0))</f>
        <v>0.8</v>
      </c>
      <c r="P1557" s="48">
        <f>INDEX(ElaSel,MATCH("usg|"&amp;$E1557&amp;"|"&amp;$D1557,ElaSelKey,0))</f>
        <v>-0.4</v>
      </c>
      <c r="Q1557" s="48">
        <f>INDEX(ElaSel,MATCH("eff|"&amp;$E1557&amp;"|"&amp;$D1557,ElaSelKey,0))</f>
        <v>-0.4</v>
      </c>
      <c r="R1557" s="225">
        <f>INDEX(ElaSel,MATCH("aei|"&amp;$F1557&amp;"|"&amp;$D1557,ElaSelKey,0))</f>
        <v>0.005</v>
      </c>
      <c r="S1557" s="133" t="n">
        <v>3</v>
      </c>
      <c r="T1557" s="48">
        <f>$Q1557*(1+$P1557)</f>
        <v>-0.24</v>
      </c>
      <c r="U1557" s="3">
        <f>INDEX('Constants and Mappings'!$E$1633:$E$1644,MATCH($I1557,'Constants and Mappings'!$A$1633:$A$1644,0))</f>
        <v>254.0</v>
      </c>
      <c r="V1557" s="225">
        <f>INDEX('Constants and Mappings'!$V$1633:$V$1644,MATCH($I1557,'Constants and Mappings'!$A$1633:$A$1644,0))</f>
        <v>0.0</v>
      </c>
      <c r="W1557" s="197">
        <f>INDEX(EFSel,MATCH($B1557&amp;"|"&amp;$J1557,EFSelKey,0))*EFCalib</f>
        <v>0.06749067257272545</v>
      </c>
      <c r="X1557" s="195">
        <f>IF(LEFT(BalOpt,3)="Bal",$AY1557*$AV1557+$AZ1557*$AX1557,$BA1557)</f>
        <v>0.0</v>
      </c>
      <c r="Y1557" s="3" t="str">
        <f>IF($G1557="sub",$H1557,IF($B1557="oop","ind","trs"))</f>
        <v>trs</v>
      </c>
      <c r="Z1557" s="39">
        <f>IFERROR(MATCH($Y1557&amp;"|"&amp;$B1557,XKey,0),1)</f>
        <v>16.0</v>
      </c>
      <c r="AA1557" s="48">
        <f>INDEX(XCTVal,$Z1557,ECPEmb)+INDEX(XETSVal,$Z1557,ECPEmb)</f>
        <v>0.0</v>
      </c>
      <c r="AB1557" s="8" t="inlineStr">
        <is>
          <t>mnf</t>
        </is>
      </c>
      <c r="AC1557" s="8" t="inlineStr">
        <is>
          <t>ker</t>
        </is>
      </c>
      <c r="AD1557" s="197">
        <f>IFERROR(INDEX(NCEfIn,MATCH($AB1557&amp;"."&amp;$AC1557&amp;".ch4",NCEfKey,0)),0)</f>
        <v>0.125604</v>
      </c>
      <c r="AE1557" s="197">
        <f>IFERROR(INDEX(NCEfFin,MATCH($AB1557&amp;"."&amp;$AC1557&amp;".ch4",NCEfKey,0)),0)</f>
        <v>0.125604</v>
      </c>
      <c r="AF1557" s="3" t="n">
        <v>0</v>
      </c>
      <c r="AG1557" s="197">
        <f>IFERROR(INDEX(NCEfIn,MATCH($AB1557&amp;"."&amp;$AC1557&amp;".pm2",NCEfKey,0)),0)</f>
        <v>0.020934</v>
      </c>
      <c r="AH1557" s="197">
        <f>IFERROR(INDEX(NCEfFin,MATCH($AB1557&amp;"."&amp;$AC1557&amp;".pm2",NCEfKey,0)),0)</f>
        <v>0.020934</v>
      </c>
      <c r="AI1557" s="197">
        <f>IFERROR(INDEX(NCEfIn,MATCH($AB1557&amp;"."&amp;$AC1557&amp;".nox",NCEfKey,0)),0)</f>
        <v>2.93076</v>
      </c>
      <c r="AJ1557" s="197">
        <f>IFERROR(INDEX(NCEfFin,MATCH($AB1557&amp;"."&amp;$AC1557&amp;".nox",NCEfKey,0)),0)</f>
        <v>2.93076</v>
      </c>
      <c r="AK1557" s="197">
        <f>IFERROR(INDEX(NCEfIn,MATCH($AB1557&amp;"."&amp;$AC1557&amp;".so2",NCEfKey,0)),0)</f>
        <v>0.9101726388000001</v>
      </c>
      <c r="AL1557" s="197">
        <f>IFERROR(INDEX(NCEfFin,MATCH($AB1557&amp;"."&amp;$AC1557&amp;".so2",NCEfKey,0)),0)</f>
        <v>0.9101726388000001</v>
      </c>
      <c r="AM1557" s="197">
        <f>IFERROR(INDEX(NCEfIn,MATCH($AB1557&amp;"."&amp;$AC1557&amp;".voc",NCEfKey,0)),0)</f>
        <v>0.10467</v>
      </c>
      <c r="AN1557" s="197">
        <f>IFERROR(INDEX(NCEfFin,MATCH($AB1557&amp;"."&amp;$AC1557&amp;".voc",NCEfKey,0)),0)</f>
        <v>0.10467</v>
      </c>
      <c r="AO1557" s="197">
        <f>IFERROR(INDEX(NCEfIn,MATCH($AB1557&amp;"."&amp;$AC1557&amp;".bc",NCEfKey,0)),0)</f>
        <v>0.001402578</v>
      </c>
      <c r="AP1557" s="197">
        <f>IFERROR(INDEX(NCEfFin,MATCH($AB1557&amp;"."&amp;$AC1557&amp;".bc",NCEfKey,0)),0)</f>
        <v>0.001402578</v>
      </c>
      <c r="AQ1557" s="197">
        <f>IFERROR(INDEX(NCEfIn,MATCH($AB1557&amp;"."&amp;$AC1557&amp;".oc",NCEfKey,0)),0)</f>
        <v>0.0157005</v>
      </c>
      <c r="AR1557" s="197">
        <f>IFERROR(INDEX(NCEfFin,MATCH($AB1557&amp;"."&amp;$AC1557&amp;".oc",NCEfKey,0)),0)</f>
        <v>0.0157005</v>
      </c>
      <c r="AS1557" s="197">
        <f>IFERROR(INDEX(NCEfIn,MATCH($AB1557&amp;"."&amp;$AC1557&amp;".co",NCEfKey,0)),0)</f>
        <v>1.67472</v>
      </c>
      <c r="AT1557" s="197">
        <f>IFERROR(INDEX(NCEfFin,MATCH($AB1557&amp;"."&amp;$AC1557&amp;".co",NCEfKey,0)),0)</f>
        <v>1.67472</v>
      </c>
      <c r="AU1557" s="3" t="str">
        <f>INDEX('Constants and Mappings'!$J$186:$J$201,MATCH($C1557,SubKey,0))</f>
        <v>ironstl</v>
      </c>
      <c r="AV1557" s="3">
        <f>INDEX('Constants and Mappings'!$K$186:$K$201,MATCH($C1557,SubKey,0))</f>
        <v>1.0</v>
      </c>
      <c r="AW1557" s="3" t="str">
        <f>INDEX('Constants and Mappings'!$L$186:$L$201,MATCH($C1557,SubKey,0))&amp;""</f>
        <v/>
      </c>
      <c r="AX1557" s="3">
        <f>INDEX('Constants and Mappings'!$M$186:$M$201,MATCH($C1557,SubKey,0))</f>
        <v>0.0</v>
      </c>
      <c r="AY1557" s="3" t="n">
        <v>0</v>
      </c>
      <c r="AZ1557" s="3" t="n">
        <v>0</v>
      </c>
      <c r="BA1557" s="3" t="n">
        <v>0</v>
      </c>
      <c r="BB1557" s="3" t="n">
        <v>0</v>
      </c>
      <c r="BC1557" s="3" t="n">
        <v>0</v>
      </c>
      <c r="BD1557" s="3">
        <f>IFERROR($BB1557/$BC1557,0)</f>
        <v>0.0</v>
      </c>
      <c r="BE1557" s="133" t="n">
        <v>1</v>
      </c>
      <c r="BF1557" s="39" t="n">
        <v>1</v>
      </c>
    </row>
    <row r="1558">
      <c r="A1558" s="3" t="str">
        <f>$B1558&amp;"|"&amp;$C1558</f>
        <v>jfu|irn</v>
      </c>
      <c r="B1558" s="8" t="inlineStr">
        <is>
          <t>jfu</t>
        </is>
      </c>
      <c r="C1558" s="8" t="inlineStr">
        <is>
          <t>irn</t>
        </is>
      </c>
      <c r="D1558" s="3" t="str">
        <f>INDEX('Constants and Mappings'!$D$186:$D$201,MATCH($C1558,SubKey,0))</f>
        <v>ind</v>
      </c>
      <c r="E1558" s="3" t="str">
        <f>INDEX('Constants and Mappings'!$C$229:$C$237,MATCH($B1558,FuelKey,0))</f>
        <v>oil</v>
      </c>
      <c r="F1558" s="3" t="str">
        <f>INDEX('Constants and Mappings'!$D$229:$D$237,MATCH($B1558,FuelKey,0))</f>
        <v>oil</v>
      </c>
      <c r="G1558" s="3" t="str">
        <f>INDEX('Constants and Mappings'!$E$229:$E$237,MATCH($B1558,FuelKey,0))</f>
        <v>all</v>
      </c>
      <c r="H1558" s="3" t="str">
        <f>INDEX('Constants and Mappings'!$F$186:$F$201,MATCH($C1558,SubKey,0))</f>
        <v>ind</v>
      </c>
      <c r="I1558" s="3" t="str">
        <f>INDEX('Constants and Mappings'!$I$229:$I$237,MATCH($B1558,FuelKey,0))&amp;"."&amp;IF($G1558="sub",$H1558,"all")</f>
        <v>ker.all</v>
      </c>
      <c r="J1558" s="3" t="str">
        <f>INDEX('Constants and Mappings'!$E$186:$E$201,MATCH($C1558,SubKey,0))</f>
        <v>ind</v>
      </c>
      <c r="K1558" s="3">
        <f>INDEX('Constants and Mappings'!$G$229:$G$237,MATCH($B1558,FuelKey,0))</f>
        <v>0.0348608</v>
      </c>
      <c r="L1558" s="3">
        <f>INDEX('Constants and Mappings'!$H$229:$H$237,MATCH($B1558,FuelKey,0))</f>
        <v>7.0</v>
      </c>
      <c r="M1558" s="3">
        <f>INDEX('Constants and Mappings'!$H$186:$H$201,MATCH($C1558,SubKey,0))</f>
        <v>10.0</v>
      </c>
      <c r="N1558" s="3">
        <f>INDEX('Constants and Mappings'!$E$300:$E$313,MATCH($I1558,'Constants and Mappings'!$A$300:$A$313,0))</f>
        <v>12.0</v>
      </c>
      <c r="O1558" s="48">
        <f>INDEX(ElaSel,MATCH("inc|"&amp;$E1558&amp;"|"&amp;$D1558,ElaSelKey,0))</f>
        <v>0.8</v>
      </c>
      <c r="P1558" s="48">
        <f>INDEX(ElaSel,MATCH("usg|"&amp;$E1558&amp;"|"&amp;$D1558,ElaSelKey,0))</f>
        <v>-0.4</v>
      </c>
      <c r="Q1558" s="48">
        <f>INDEX(ElaSel,MATCH("eff|"&amp;$E1558&amp;"|"&amp;$D1558,ElaSelKey,0))</f>
        <v>-0.4</v>
      </c>
      <c r="R1558" s="225">
        <f>INDEX(ElaSel,MATCH("aei|"&amp;$F1558&amp;"|"&amp;$D1558,ElaSelKey,0))</f>
        <v>0.005</v>
      </c>
      <c r="S1558" s="133" t="n">
        <v>3</v>
      </c>
      <c r="T1558" s="48">
        <f>$Q1558*(1+$P1558)</f>
        <v>-0.24</v>
      </c>
      <c r="U1558" s="3">
        <f>INDEX('Constants and Mappings'!$E$1633:$E$1644,MATCH($I1558,'Constants and Mappings'!$A$1633:$A$1644,0))</f>
        <v>254.0</v>
      </c>
      <c r="V1558" s="225">
        <f>INDEX('Constants and Mappings'!$V$1633:$V$1644,MATCH($I1558,'Constants and Mappings'!$A$1633:$A$1644,0))</f>
        <v>0.0</v>
      </c>
      <c r="W1558" s="197">
        <f>INDEX(EFSel,MATCH($B1558&amp;"|"&amp;$J1558,EFSelKey,0))*EFCalib</f>
        <v>0.07118114095776658</v>
      </c>
      <c r="X1558" s="195">
        <f>IF(LEFT(BalOpt,3)="Bal",$AY1558*$AV1558+$AZ1558*$AX1558,$BA1558)</f>
        <v>0.0</v>
      </c>
      <c r="Y1558" s="3" t="str">
        <f>IF($G1558="sub",$H1558,IF($B1558="oop","ind","trs"))</f>
        <v>trs</v>
      </c>
      <c r="Z1558" s="39">
        <f>IFERROR(MATCH($Y1558&amp;"|"&amp;$B1558,XKey,0),1)</f>
        <v>17.0</v>
      </c>
      <c r="AA1558" s="48">
        <f>INDEX(XCTVal,$Z1558,ECPEmb)+INDEX(XETSVal,$Z1558,ECPEmb)</f>
        <v>0.0</v>
      </c>
      <c r="AB1558" s="8" t="inlineStr">
        <is>
          <t>mnf</t>
        </is>
      </c>
      <c r="AC1558" s="8" t="inlineStr">
        <is>
          <t>jfu</t>
        </is>
      </c>
      <c r="AD1558" s="197">
        <f>IFERROR(INDEX(NCEfIn,MATCH($AB1558&amp;"."&amp;$AC1558&amp;".ch4",NCEfKey,0)),0)</f>
        <v>0.0</v>
      </c>
      <c r="AE1558" s="197">
        <f>IFERROR(INDEX(NCEfFin,MATCH($AB1558&amp;"."&amp;$AC1558&amp;".ch4",NCEfKey,0)),0)</f>
        <v>0.0</v>
      </c>
      <c r="AF1558" s="3" t="n">
        <v>0</v>
      </c>
      <c r="AG1558" s="197">
        <f>IFERROR(INDEX(NCEfIn,MATCH($AB1558&amp;"."&amp;$AC1558&amp;".pm2",NCEfKey,0)),0)</f>
        <v>0.0</v>
      </c>
      <c r="AH1558" s="197">
        <f>IFERROR(INDEX(NCEfFin,MATCH($AB1558&amp;"."&amp;$AC1558&amp;".pm2",NCEfKey,0)),0)</f>
        <v>0.0</v>
      </c>
      <c r="AI1558" s="197">
        <f>IFERROR(INDEX(NCEfIn,MATCH($AB1558&amp;"."&amp;$AC1558&amp;".nox",NCEfKey,0)),0)</f>
        <v>0.0</v>
      </c>
      <c r="AJ1558" s="197">
        <f>IFERROR(INDEX(NCEfFin,MATCH($AB1558&amp;"."&amp;$AC1558&amp;".nox",NCEfKey,0)),0)</f>
        <v>0.0</v>
      </c>
      <c r="AK1558" s="197">
        <f>IFERROR(INDEX(NCEfIn,MATCH($AB1558&amp;"."&amp;$AC1558&amp;".so2",NCEfKey,0)),0)</f>
        <v>0.0</v>
      </c>
      <c r="AL1558" s="197">
        <f>IFERROR(INDEX(NCEfFin,MATCH($AB1558&amp;"."&amp;$AC1558&amp;".so2",NCEfKey,0)),0)</f>
        <v>0.0</v>
      </c>
      <c r="AM1558" s="197">
        <f>IFERROR(INDEX(NCEfIn,MATCH($AB1558&amp;"."&amp;$AC1558&amp;".voc",NCEfKey,0)),0)</f>
        <v>0.0</v>
      </c>
      <c r="AN1558" s="197">
        <f>IFERROR(INDEX(NCEfFin,MATCH($AB1558&amp;"."&amp;$AC1558&amp;".voc",NCEfKey,0)),0)</f>
        <v>0.0</v>
      </c>
      <c r="AO1558" s="197">
        <f>IFERROR(INDEX(NCEfIn,MATCH($AB1558&amp;"."&amp;$AC1558&amp;".bc",NCEfKey,0)),0)</f>
        <v>0.0</v>
      </c>
      <c r="AP1558" s="197">
        <f>IFERROR(INDEX(NCEfFin,MATCH($AB1558&amp;"."&amp;$AC1558&amp;".bc",NCEfKey,0)),0)</f>
        <v>0.0</v>
      </c>
      <c r="AQ1558" s="197">
        <f>IFERROR(INDEX(NCEfIn,MATCH($AB1558&amp;"."&amp;$AC1558&amp;".oc",NCEfKey,0)),0)</f>
        <v>0.0</v>
      </c>
      <c r="AR1558" s="197">
        <f>IFERROR(INDEX(NCEfFin,MATCH($AB1558&amp;"."&amp;$AC1558&amp;".oc",NCEfKey,0)),0)</f>
        <v>0.0</v>
      </c>
      <c r="AS1558" s="197">
        <f>IFERROR(INDEX(NCEfIn,MATCH($AB1558&amp;"."&amp;$AC1558&amp;".co",NCEfKey,0)),0)</f>
        <v>0.0</v>
      </c>
      <c r="AT1558" s="197">
        <f>IFERROR(INDEX(NCEfFin,MATCH($AB1558&amp;"."&amp;$AC1558&amp;".co",NCEfKey,0)),0)</f>
        <v>0.0</v>
      </c>
      <c r="AU1558" s="3" t="str">
        <f>INDEX('Constants and Mappings'!$J$186:$J$201,MATCH($C1558,SubKey,0))</f>
        <v>ironstl</v>
      </c>
      <c r="AV1558" s="3">
        <f>INDEX('Constants and Mappings'!$K$186:$K$201,MATCH($C1558,SubKey,0))</f>
        <v>1.0</v>
      </c>
      <c r="AW1558" s="3" t="str">
        <f>INDEX('Constants and Mappings'!$L$186:$L$201,MATCH($C1558,SubKey,0))&amp;""</f>
        <v/>
      </c>
      <c r="AX1558" s="3">
        <f>INDEX('Constants and Mappings'!$M$186:$M$201,MATCH($C1558,SubKey,0))</f>
        <v>0.0</v>
      </c>
      <c r="AY1558" s="3" t="n">
        <v>0</v>
      </c>
      <c r="AZ1558" s="3" t="n">
        <v>0</v>
      </c>
      <c r="BA1558" s="3" t="n">
        <v>0</v>
      </c>
      <c r="BB1558" s="3" t="n">
        <v>0</v>
      </c>
      <c r="BC1558" s="3" t="n">
        <v>0</v>
      </c>
      <c r="BD1558" s="3">
        <f>IFERROR($BB1558/$BC1558,0)</f>
        <v>0.0</v>
      </c>
      <c r="BE1558" s="133" t="n">
        <v>1</v>
      </c>
      <c r="BF1558" s="39" t="n">
        <v>1</v>
      </c>
    </row>
    <row r="1559">
      <c r="A1559" s="3" t="str">
        <f>$B1559&amp;"|"&amp;$C1559</f>
        <v>oop|irn</v>
      </c>
      <c r="B1559" s="8" t="inlineStr">
        <is>
          <t>oop</t>
        </is>
      </c>
      <c r="C1559" s="8" t="inlineStr">
        <is>
          <t>irn</t>
        </is>
      </c>
      <c r="D1559" s="3" t="str">
        <f>INDEX('Constants and Mappings'!$D$186:$D$201,MATCH($C1559,SubKey,0))</f>
        <v>ind</v>
      </c>
      <c r="E1559" s="3" t="str">
        <f>INDEX('Constants and Mappings'!$C$229:$C$237,MATCH($B1559,FuelKey,0))</f>
        <v>oil</v>
      </c>
      <c r="F1559" s="3" t="str">
        <f>INDEX('Constants and Mappings'!$D$229:$D$237,MATCH($B1559,FuelKey,0))</f>
        <v>oil</v>
      </c>
      <c r="G1559" s="3" t="str">
        <f>INDEX('Constants and Mappings'!$E$229:$E$237,MATCH($B1559,FuelKey,0))</f>
        <v>all</v>
      </c>
      <c r="H1559" s="3" t="str">
        <f>INDEX('Constants and Mappings'!$F$186:$F$201,MATCH($C1559,SubKey,0))</f>
        <v>ind</v>
      </c>
      <c r="I1559" s="3" t="str">
        <f>INDEX('Constants and Mappings'!$I$229:$I$237,MATCH($B1559,FuelKey,0))&amp;"."&amp;IF($G1559="sub",$H1559,"all")</f>
        <v>oop.all</v>
      </c>
      <c r="J1559" s="3" t="str">
        <f>INDEX('Constants and Mappings'!$E$186:$E$201,MATCH($C1559,SubKey,0))</f>
        <v>ind</v>
      </c>
      <c r="K1559" s="3">
        <f>INDEX('Constants and Mappings'!$G$229:$G$237,MATCH($B1559,FuelKey,0))</f>
        <v>6.12</v>
      </c>
      <c r="L1559" s="3">
        <f>INDEX('Constants and Mappings'!$H$229:$H$237,MATCH($B1559,FuelKey,0))</f>
        <v>8.0</v>
      </c>
      <c r="M1559" s="3">
        <f>INDEX('Constants and Mappings'!$H$186:$H$201,MATCH($C1559,SubKey,0))</f>
        <v>10.0</v>
      </c>
      <c r="N1559" s="3">
        <f>INDEX('Constants and Mappings'!$E$300:$E$313,MATCH($I1559,'Constants and Mappings'!$A$300:$A$313,0))</f>
        <v>13.0</v>
      </c>
      <c r="O1559" s="48">
        <f>INDEX(ElaSel,MATCH("inc|"&amp;$E1559&amp;"|"&amp;$D1559,ElaSelKey,0))</f>
        <v>0.8</v>
      </c>
      <c r="P1559" s="48">
        <f>INDEX(ElaSel,MATCH("usg|"&amp;$E1559&amp;"|"&amp;$D1559,ElaSelKey,0))</f>
        <v>-0.4</v>
      </c>
      <c r="Q1559" s="48">
        <f>INDEX(ElaSel,MATCH("eff|"&amp;$E1559&amp;"|"&amp;$D1559,ElaSelKey,0))</f>
        <v>-0.4</v>
      </c>
      <c r="R1559" s="225">
        <f>INDEX(ElaSel,MATCH("aei|"&amp;$F1559&amp;"|"&amp;$D1559,ElaSelKey,0))</f>
        <v>0.005</v>
      </c>
      <c r="S1559" s="133" t="n">
        <v>3</v>
      </c>
      <c r="T1559" s="48">
        <f>$Q1559*(1+$P1559)</f>
        <v>-0.24</v>
      </c>
      <c r="U1559" s="3">
        <f>INDEX('Constants and Mappings'!$E$1633:$E$1644,MATCH($I1559,'Constants and Mappings'!$A$1633:$A$1644,0))</f>
        <v>283.0</v>
      </c>
      <c r="V1559" s="225">
        <f>INDEX('Constants and Mappings'!$V$1633:$V$1644,MATCH($I1559,'Constants and Mappings'!$A$1633:$A$1644,0))</f>
        <v>0.0</v>
      </c>
      <c r="W1559" s="197">
        <f>INDEX(EFSel,MATCH($B1559&amp;"|"&amp;$J1559,EFSelKey,0))*EFCalib</f>
        <v>0.07635795120924052</v>
      </c>
      <c r="X1559" s="195">
        <f>IF(LEFT(BalOpt,3)="Bal",$AY1559*$AV1559+$AZ1559*$AX1559,$BA1559)</f>
        <v>0.0</v>
      </c>
      <c r="Y1559" s="3" t="str">
        <f>IF($G1559="sub",$H1559,IF($B1559="oop","ind","trs"))</f>
        <v>ind</v>
      </c>
      <c r="Z1559" s="39">
        <f>IFERROR(MATCH($Y1559&amp;"|"&amp;$B1559,XKey,0),1)</f>
        <v>36.0</v>
      </c>
      <c r="AA1559" s="48">
        <f>INDEX(XCTVal,$Z1559,ECPEmb)+INDEX(XETSVal,$Z1559,ECPEmb)</f>
        <v>0.0</v>
      </c>
      <c r="AB1559" s="8" t="inlineStr">
        <is>
          <t>mnf</t>
        </is>
      </c>
      <c r="AC1559" s="8" t="inlineStr">
        <is>
          <t>oop</t>
        </is>
      </c>
      <c r="AD1559" s="197">
        <f>IFERROR(INDEX(NCEfIn,MATCH($AB1559&amp;"."&amp;$AC1559&amp;".ch4",NCEfKey,0)),0)</f>
        <v>0.125604</v>
      </c>
      <c r="AE1559" s="197">
        <f>IFERROR(INDEX(NCEfFin,MATCH($AB1559&amp;"."&amp;$AC1559&amp;".ch4",NCEfKey,0)),0)</f>
        <v>0.1255998132</v>
      </c>
      <c r="AF1559" s="3" t="n">
        <v>0</v>
      </c>
      <c r="AG1559" s="197">
        <f>IFERROR(INDEX(NCEfIn,MATCH($AB1559&amp;"."&amp;$AC1559&amp;".pm2",NCEfKey,0)),0)</f>
        <v>0.304212888</v>
      </c>
      <c r="AH1559" s="197">
        <f>IFERROR(INDEX(NCEfFin,MATCH($AB1559&amp;"."&amp;$AC1559&amp;".pm2",NCEfKey,0)),0)</f>
        <v>0.3042087012</v>
      </c>
      <c r="AI1559" s="197">
        <f>IFERROR(INDEX(NCEfIn,MATCH($AB1559&amp;"."&amp;$AC1559&amp;".nox",NCEfKey,0)),0)</f>
        <v>7.95492</v>
      </c>
      <c r="AJ1559" s="197">
        <f>IFERROR(INDEX(NCEfFin,MATCH($AB1559&amp;"."&amp;$AC1559&amp;".nox",NCEfKey,0)),0)</f>
        <v>6.173939016</v>
      </c>
      <c r="AK1559" s="197">
        <f>IFERROR(INDEX(NCEfIn,MATCH($AB1559&amp;"."&amp;$AC1559&amp;".so2",NCEfKey,0)),0)</f>
        <v>35.5878</v>
      </c>
      <c r="AL1559" s="197">
        <f>IFERROR(INDEX(NCEfFin,MATCH($AB1559&amp;"."&amp;$AC1559&amp;".so2",NCEfKey,0)),0)</f>
        <v>27.2137143312</v>
      </c>
      <c r="AM1559" s="197">
        <f>IFERROR(INDEX(NCEfIn,MATCH($AB1559&amp;"."&amp;$AC1559&amp;".voc",NCEfKey,0)),0)</f>
        <v>0.20934</v>
      </c>
      <c r="AN1559" s="197">
        <f>IFERROR(INDEX(NCEfFin,MATCH($AB1559&amp;"."&amp;$AC1559&amp;".voc",NCEfKey,0)),0)</f>
        <v>0.2093358132</v>
      </c>
      <c r="AO1559" s="197">
        <f>IFERROR(INDEX(NCEfIn,MATCH($AB1559&amp;"."&amp;$AC1559&amp;".bc",NCEfKey,0)),0)</f>
        <v>0.0295881156</v>
      </c>
      <c r="AP1559" s="197">
        <f>IFERROR(INDEX(NCEfFin,MATCH($AB1559&amp;"."&amp;$AC1559&amp;".bc",NCEfKey,0)),0)</f>
        <v>0.0295881156</v>
      </c>
      <c r="AQ1559" s="197">
        <f>IFERROR(INDEX(NCEfIn,MATCH($AB1559&amp;"."&amp;$AC1559&amp;".oc",NCEfKey,0)),0)</f>
        <v>0.0123845544</v>
      </c>
      <c r="AR1559" s="197">
        <f>IFERROR(INDEX(NCEfFin,MATCH($AB1559&amp;"."&amp;$AC1559&amp;".oc",NCEfKey,0)),0)</f>
        <v>0.0123845544</v>
      </c>
      <c r="AS1559" s="197">
        <f>IFERROR(INDEX(NCEfIn,MATCH($AB1559&amp;"."&amp;$AC1559&amp;".co",NCEfKey,0)),0)</f>
        <v>1.67472</v>
      </c>
      <c r="AT1559" s="197">
        <f>IFERROR(INDEX(NCEfFin,MATCH($AB1559&amp;"."&amp;$AC1559&amp;".co",NCEfKey,0)),0)</f>
        <v>1.6746906924</v>
      </c>
      <c r="AU1559" s="3" t="str">
        <f>INDEX('Constants and Mappings'!$J$186:$J$201,MATCH($C1559,SubKey,0))</f>
        <v>ironstl</v>
      </c>
      <c r="AV1559" s="3">
        <f>INDEX('Constants and Mappings'!$K$186:$K$201,MATCH($C1559,SubKey,0))</f>
        <v>1.0</v>
      </c>
      <c r="AW1559" s="3" t="str">
        <f>INDEX('Constants and Mappings'!$L$186:$L$201,MATCH($C1559,SubKey,0))&amp;""</f>
        <v/>
      </c>
      <c r="AX1559" s="3">
        <f>INDEX('Constants and Mappings'!$M$186:$M$201,MATCH($C1559,SubKey,0))</f>
        <v>0.0</v>
      </c>
      <c r="AY1559" s="3" t="n">
        <v>0</v>
      </c>
      <c r="AZ1559" s="3" t="n">
        <v>0</v>
      </c>
      <c r="BA1559" s="3" t="n">
        <v>0</v>
      </c>
      <c r="BB1559" s="3" t="n">
        <v>0</v>
      </c>
      <c r="BC1559" s="3" t="n">
        <v>0</v>
      </c>
      <c r="BD1559" s="3">
        <f>IFERROR($BB1559/$BC1559,0)</f>
        <v>0.0</v>
      </c>
      <c r="BE1559" s="133" t="n">
        <v>1</v>
      </c>
      <c r="BF1559" s="39" t="n">
        <v>1</v>
      </c>
    </row>
    <row r="1560">
      <c r="A1560" s="3" t="str">
        <f>$B1560&amp;"|"&amp;$C1560</f>
        <v>bio|irn</v>
      </c>
      <c r="B1560" s="8" t="inlineStr">
        <is>
          <t>bio</t>
        </is>
      </c>
      <c r="C1560" s="8" t="inlineStr">
        <is>
          <t>irn</t>
        </is>
      </c>
      <c r="D1560" s="3" t="str">
        <f>INDEX('Constants and Mappings'!$D$186:$D$201,MATCH($C1560,SubKey,0))</f>
        <v>ind</v>
      </c>
      <c r="E1560" s="3" t="str">
        <f>INDEX('Constants and Mappings'!$C$229:$C$237,MATCH($B1560,FuelKey,0))</f>
        <v>bio</v>
      </c>
      <c r="F1560" s="3" t="str">
        <f>INDEX('Constants and Mappings'!$D$229:$D$237,MATCH($B1560,FuelKey,0))</f>
        <v>bio</v>
      </c>
      <c r="G1560" s="3" t="str">
        <f>INDEX('Constants and Mappings'!$E$229:$E$237,MATCH($B1560,FuelKey,0))</f>
        <v>all</v>
      </c>
      <c r="H1560" s="3" t="str">
        <f>INDEX('Constants and Mappings'!$F$186:$F$201,MATCH($C1560,SubKey,0))</f>
        <v>ind</v>
      </c>
      <c r="I1560" s="3" t="str">
        <f>INDEX('Constants and Mappings'!$I$229:$I$237,MATCH($B1560,FuelKey,0))&amp;"."&amp;IF($G1560="sub",$H1560,"all")</f>
        <v>bio.all</v>
      </c>
      <c r="J1560" s="3" t="str">
        <f>INDEX('Constants and Mappings'!$E$186:$E$201,MATCH($C1560,SubKey,0))</f>
        <v>ind</v>
      </c>
      <c r="K1560" s="3">
        <f>INDEX('Constants and Mappings'!$G$229:$G$237,MATCH($B1560,FuelKey,0))</f>
        <v>1.0</v>
      </c>
      <c r="L1560" s="3">
        <f>INDEX('Constants and Mappings'!$H$229:$H$237,MATCH($B1560,FuelKey,0))</f>
        <v>9.0</v>
      </c>
      <c r="M1560" s="3">
        <f>INDEX('Constants and Mappings'!$H$186:$H$201,MATCH($C1560,SubKey,0))</f>
        <v>10.0</v>
      </c>
      <c r="N1560" s="3">
        <f>INDEX('Constants and Mappings'!$E$300:$E$313,MATCH($I1560,'Constants and Mappings'!$A$300:$A$313,0))</f>
        <v>14.0</v>
      </c>
      <c r="O1560" s="48">
        <f>INDEX(ElaSel,MATCH("inc|"&amp;$E1560&amp;"|"&amp;$D1560,ElaSelKey,0))</f>
        <v>0.1</v>
      </c>
      <c r="P1560" s="48">
        <f>INDEX(ElaSel,MATCH("usg|"&amp;$E1560&amp;"|"&amp;$D1560,ElaSelKey,0))</f>
        <v>-0.3</v>
      </c>
      <c r="Q1560" s="48">
        <f>INDEX(ElaSel,MATCH("eff|"&amp;$E1560&amp;"|"&amp;$D1560,ElaSelKey,0))</f>
        <v>-0.2</v>
      </c>
      <c r="R1560" s="225">
        <f>INDEX(ElaSel,MATCH("aei|"&amp;$F1560&amp;"|"&amp;$D1560,ElaSelKey,0))</f>
        <v>0.005</v>
      </c>
      <c r="S1560" s="133" t="n">
        <v>3</v>
      </c>
      <c r="T1560" s="48">
        <f>$Q1560*(1+$P1560)</f>
        <v>-0.13999999999999999</v>
      </c>
      <c r="U1560" s="3">
        <f>INDEX('Constants and Mappings'!$E$1633:$E$1644,MATCH($I1560,'Constants and Mappings'!$A$1633:$A$1644,0))</f>
        <v>312.0</v>
      </c>
      <c r="V1560" s="225">
        <f>INDEX('Constants and Mappings'!$V$1633:$V$1644,MATCH($I1560,'Constants and Mappings'!$A$1633:$A$1644,0))</f>
        <v>0.0</v>
      </c>
      <c r="W1560" s="197">
        <f>INDEX(EFSel,MATCH($B1560&amp;"|"&amp;$J1560,EFSelKey,0))*EFCalib</f>
        <v>0.0</v>
      </c>
      <c r="X1560" s="195">
        <f>IF(LEFT(BalOpt,3)="Bal",$AY1560*$AV1560+$AZ1560*$AX1560,$BA1560)</f>
        <v>0.0</v>
      </c>
      <c r="Y1560" s="3" t="str">
        <f>IF($G1560="sub",$H1560,IF($B1560="oop","ind","trs"))</f>
        <v>trs</v>
      </c>
      <c r="Z1560" s="39">
        <f>IFERROR(MATCH($Y1560&amp;"|"&amp;$B1560,XKey,0),1)</f>
        <v>19.0</v>
      </c>
      <c r="AA1560" s="48">
        <f>INDEX(XCTVal,$Z1560,ECPEmb)+INDEX(XETSVal,$Z1560,ECPEmb)</f>
        <v>0.0</v>
      </c>
      <c r="AB1560" s="8" t="inlineStr">
        <is>
          <t>mnf</t>
        </is>
      </c>
      <c r="AC1560" s="8" t="inlineStr">
        <is>
          <t>bio</t>
        </is>
      </c>
      <c r="AD1560" s="197">
        <f>IFERROR(INDEX(NCEfIn,MATCH($AB1560&amp;"."&amp;$AC1560&amp;".ch4",NCEfKey,0)),0)</f>
        <v>0.460548</v>
      </c>
      <c r="AE1560" s="197">
        <f>IFERROR(INDEX(NCEfFin,MATCH($AB1560&amp;"."&amp;$AC1560&amp;".ch4",NCEfKey,0)),0)</f>
        <v>0.460548</v>
      </c>
      <c r="AF1560" s="3" t="n">
        <v>0</v>
      </c>
      <c r="AG1560" s="197">
        <f>IFERROR(INDEX(NCEfIn,MATCH($AB1560&amp;"."&amp;$AC1560&amp;".pm2",NCEfKey,0)),0)</f>
        <v>6.2980860096</v>
      </c>
      <c r="AH1560" s="197">
        <f>IFERROR(INDEX(NCEfFin,MATCH($AB1560&amp;"."&amp;$AC1560&amp;".pm2",NCEfKey,0)),0)</f>
        <v>4.139405424</v>
      </c>
      <c r="AI1560" s="197">
        <f>IFERROR(INDEX(NCEfIn,MATCH($AB1560&amp;"."&amp;$AC1560&amp;".nox",NCEfKey,0)),0)</f>
        <v>5.44284</v>
      </c>
      <c r="AJ1560" s="197">
        <f>IFERROR(INDEX(NCEfFin,MATCH($AB1560&amp;"."&amp;$AC1560&amp;".nox",NCEfKey,0)),0)</f>
        <v>5.44284</v>
      </c>
      <c r="AK1560" s="197">
        <f>IFERROR(INDEX(NCEfIn,MATCH($AB1560&amp;"."&amp;$AC1560&amp;".so2",NCEfKey,0)),0)</f>
        <v>1.0467</v>
      </c>
      <c r="AL1560" s="197">
        <f>IFERROR(INDEX(NCEfFin,MATCH($AB1560&amp;"."&amp;$AC1560&amp;".so2",NCEfKey,0)),0)</f>
        <v>1.0467</v>
      </c>
      <c r="AM1560" s="197">
        <f>IFERROR(INDEX(NCEfIn,MATCH($AB1560&amp;"."&amp;$AC1560&amp;".voc",NCEfKey,0)),0)</f>
        <v>2.1837846384</v>
      </c>
      <c r="AN1560" s="197">
        <f>IFERROR(INDEX(NCEfFin,MATCH($AB1560&amp;"."&amp;$AC1560&amp;".voc",NCEfKey,0)),0)</f>
        <v>2.009664</v>
      </c>
      <c r="AO1560" s="197">
        <f>IFERROR(INDEX(NCEfIn,MATCH($AB1560&amp;"."&amp;$AC1560&amp;".bc",NCEfKey,0)),0)</f>
        <v>0.3287014812</v>
      </c>
      <c r="AP1560" s="197">
        <f>IFERROR(INDEX(NCEfFin,MATCH($AB1560&amp;"."&amp;$AC1560&amp;".bc",NCEfKey,0)),0)</f>
        <v>0.2188524096</v>
      </c>
      <c r="AQ1560" s="197">
        <f>IFERROR(INDEX(NCEfIn,MATCH($AB1560&amp;"."&amp;$AC1560&amp;".oc",NCEfKey,0)),0)</f>
        <v>0.4871425536</v>
      </c>
      <c r="AR1560" s="197">
        <f>IFERROR(INDEX(NCEfFin,MATCH($AB1560&amp;"."&amp;$AC1560&amp;".oc",NCEfKey,0)),0)</f>
        <v>0.313507584</v>
      </c>
      <c r="AS1560" s="197">
        <f>IFERROR(INDEX(NCEfIn,MATCH($AB1560&amp;"."&amp;$AC1560&amp;".co",NCEfKey,0)),0)</f>
        <v>12.5604</v>
      </c>
      <c r="AT1560" s="197">
        <f>IFERROR(INDEX(NCEfFin,MATCH($AB1560&amp;"."&amp;$AC1560&amp;".co",NCEfKey,0)),0)</f>
        <v>12.5604</v>
      </c>
      <c r="AU1560" s="3" t="str">
        <f>INDEX('Constants and Mappings'!$J$186:$J$201,MATCH($C1560,SubKey,0))</f>
        <v>ironstl</v>
      </c>
      <c r="AV1560" s="3">
        <f>INDEX('Constants and Mappings'!$K$186:$K$201,MATCH($C1560,SubKey,0))</f>
        <v>1.0</v>
      </c>
      <c r="AW1560" s="3" t="str">
        <f>INDEX('Constants and Mappings'!$L$186:$L$201,MATCH($C1560,SubKey,0))&amp;""</f>
        <v/>
      </c>
      <c r="AX1560" s="3">
        <f>INDEX('Constants and Mappings'!$M$186:$M$201,MATCH($C1560,SubKey,0))</f>
        <v>0.0</v>
      </c>
      <c r="AY1560" s="3" t="n">
        <v>0</v>
      </c>
      <c r="AZ1560" s="3" t="n">
        <v>0</v>
      </c>
      <c r="BA1560" s="3" t="n">
        <v>0</v>
      </c>
      <c r="BB1560" s="3" t="n">
        <v>0</v>
      </c>
      <c r="BC1560" s="3" t="n">
        <v>0</v>
      </c>
      <c r="BD1560" s="3">
        <f>IFERROR($BB1560/$BC1560,0)</f>
        <v>0.0</v>
      </c>
      <c r="BE1560" s="133" t="n">
        <v>1</v>
      </c>
      <c r="BF1560" s="39" t="n">
        <v>1</v>
      </c>
    </row>
    <row r="1561">
      <c r="A1561" s="3" t="str">
        <f>$B1561&amp;"|"&amp;$C1561</f>
        <v>coa|nfm</v>
      </c>
      <c r="B1561" s="8" t="inlineStr">
        <is>
          <t>coa</t>
        </is>
      </c>
      <c r="C1561" s="8" t="inlineStr">
        <is>
          <t>nfm</t>
        </is>
      </c>
      <c r="D1561" s="3" t="str">
        <f>INDEX('Constants and Mappings'!$D$186:$D$201,MATCH($C1561,SubKey,0))</f>
        <v>ind</v>
      </c>
      <c r="E1561" s="3" t="str">
        <f>INDEX('Constants and Mappings'!$C$229:$C$237,MATCH($B1561,FuelKey,0))</f>
        <v>coa</v>
      </c>
      <c r="F1561" s="3" t="str">
        <f>INDEX('Constants and Mappings'!$D$229:$D$237,MATCH($B1561,FuelKey,0))</f>
        <v>coa</v>
      </c>
      <c r="G1561" s="3" t="str">
        <f>INDEX('Constants and Mappings'!$E$229:$E$237,MATCH($B1561,FuelKey,0))</f>
        <v>sub</v>
      </c>
      <c r="H1561" s="3" t="str">
        <f>INDEX('Constants and Mappings'!$F$186:$F$201,MATCH($C1561,SubKey,0))</f>
        <v>ind</v>
      </c>
      <c r="I1561" s="3" t="str">
        <f>INDEX('Constants and Mappings'!$I$229:$I$237,MATCH($B1561,FuelKey,0))&amp;"."&amp;IF($G1561="sub",$H1561,"all")</f>
        <v>coa.ind</v>
      </c>
      <c r="J1561" s="3" t="str">
        <f>INDEX('Constants and Mappings'!$E$186:$E$201,MATCH($C1561,SubKey,0))</f>
        <v>ind</v>
      </c>
      <c r="K1561" s="3">
        <f>INDEX('Constants and Mappings'!$G$229:$G$237,MATCH($B1561,FuelKey,0))</f>
        <v>1.0</v>
      </c>
      <c r="L1561" s="3">
        <f>INDEX('Constants and Mappings'!$H$229:$H$237,MATCH($B1561,FuelKey,0))</f>
        <v>1.0</v>
      </c>
      <c r="M1561" s="3">
        <f>INDEX('Constants and Mappings'!$H$186:$H$201,MATCH($C1561,SubKey,0))</f>
        <v>11.0</v>
      </c>
      <c r="N1561" s="3">
        <f>INDEX('Constants and Mappings'!$E$300:$E$313,MATCH($I1561,'Constants and Mappings'!$A$300:$A$313,0))</f>
        <v>3.0</v>
      </c>
      <c r="O1561" s="48">
        <f>INDEX(ElaSel,MATCH("inc|"&amp;$E1561&amp;"|"&amp;$D1561,ElaSelKey,0))</f>
        <v>0.5</v>
      </c>
      <c r="P1561" s="48">
        <f>INDEX(ElaSel,MATCH("usg|"&amp;$E1561&amp;"|"&amp;$D1561,ElaSelKey,0))</f>
        <v>-0.3</v>
      </c>
      <c r="Q1561" s="48">
        <f>INDEX(ElaSel,MATCH("eff|"&amp;$E1561&amp;"|"&amp;$D1561,ElaSelKey,0))</f>
        <v>-0.4</v>
      </c>
      <c r="R1561" s="225">
        <f>INDEX(ElaSel,MATCH("aei|"&amp;$F1561&amp;"|"&amp;$D1561,ElaSelKey,0))</f>
        <v>0.005</v>
      </c>
      <c r="S1561" s="133" t="n">
        <v>3</v>
      </c>
      <c r="T1561" s="48">
        <f>$Q1561*(1+$P1561)</f>
        <v>-0.27999999999999997</v>
      </c>
      <c r="U1561" s="3">
        <f>INDEX('Constants and Mappings'!$E$1633:$E$1644,MATCH($I1561,'Constants and Mappings'!$A$1633:$A$1644,0))</f>
        <v>55.0</v>
      </c>
      <c r="V1561" s="225">
        <f>INDEX('Constants and Mappings'!$V$1633:$V$1644,MATCH($I1561,'Constants and Mappings'!$A$1633:$A$1644,0))</f>
        <v>0.0</v>
      </c>
      <c r="W1561" s="197">
        <f>INDEX(EFSel,MATCH($B1561&amp;"|"&amp;$J1561,EFSelKey,0))*EFCalib</f>
        <v>0.09955404329757564</v>
      </c>
      <c r="X1561" s="195">
        <f>IF(LEFT(BalOpt,3)="Bal",$AY1561*$AV1561+$AZ1561*$AX1561,$BA1561)</f>
        <v>0.0</v>
      </c>
      <c r="Y1561" s="3" t="str">
        <f>IF($G1561="sub",$H1561,IF($B1561="oop","ind","trs"))</f>
        <v>ind</v>
      </c>
      <c r="Z1561" s="39">
        <f>IFERROR(MATCH($Y1561&amp;"|"&amp;$B1561,XKey,0),1)</f>
        <v>29.0</v>
      </c>
      <c r="AA1561" s="48">
        <f>INDEX(XCTVal,$Z1561,ECPEmb)+INDEX(XETSVal,$Z1561,ECPEmb)</f>
        <v>0.0</v>
      </c>
      <c r="AB1561" s="8" t="inlineStr">
        <is>
          <t>mnf</t>
        </is>
      </c>
      <c r="AC1561" s="8" t="inlineStr">
        <is>
          <t>coa</t>
        </is>
      </c>
      <c r="AD1561" s="197">
        <f>IFERROR(INDEX(NCEfIn,MATCH($AB1561&amp;"."&amp;$AC1561&amp;".ch4",NCEfKey,0)),0)</f>
        <v>0.4186800000000001</v>
      </c>
      <c r="AE1561" s="197">
        <f>IFERROR(INDEX(NCEfFin,MATCH($AB1561&amp;"."&amp;$AC1561&amp;".ch4",NCEfKey,0)),0)</f>
        <v>0.4186800000000001</v>
      </c>
      <c r="AF1561" s="3" t="n">
        <v>0</v>
      </c>
      <c r="AG1561" s="197">
        <f>IFERROR(INDEX(NCEfIn,MATCH($AB1561&amp;"."&amp;$AC1561&amp;".pm2",NCEfKey,0)),0)</f>
        <v>0.1073997936</v>
      </c>
      <c r="AH1561" s="197">
        <f>IFERROR(INDEX(NCEfFin,MATCH($AB1561&amp;"."&amp;$AC1561&amp;".pm2",NCEfKey,0)),0)</f>
        <v>0.0796496832</v>
      </c>
      <c r="AI1561" s="197">
        <f>IFERROR(INDEX(NCEfIn,MATCH($AB1561&amp;"."&amp;$AC1561&amp;".nox",NCEfKey,0)),0)</f>
        <v>1.2560441868</v>
      </c>
      <c r="AJ1561" s="197">
        <f>IFERROR(INDEX(NCEfFin,MATCH($AB1561&amp;"."&amp;$AC1561&amp;".nox",NCEfKey,0)),0)</f>
        <v>1.25604</v>
      </c>
      <c r="AK1561" s="197">
        <f>IFERROR(INDEX(NCEfIn,MATCH($AB1561&amp;"."&amp;$AC1561&amp;".so2",NCEfKey,0)),0)</f>
        <v>1.511497602</v>
      </c>
      <c r="AL1561" s="197">
        <f>IFERROR(INDEX(NCEfFin,MATCH($AB1561&amp;"."&amp;$AC1561&amp;".so2",NCEfKey,0)),0)</f>
        <v>1.5114808548</v>
      </c>
      <c r="AM1561" s="197">
        <f>IFERROR(INDEX(NCEfIn,MATCH($AB1561&amp;"."&amp;$AC1561&amp;".voc",NCEfKey,0)),0)</f>
        <v>0.4186800000000001</v>
      </c>
      <c r="AN1561" s="197">
        <f>IFERROR(INDEX(NCEfFin,MATCH($AB1561&amp;"."&amp;$AC1561&amp;".voc",NCEfKey,0)),0)</f>
        <v>0.4186800000000001</v>
      </c>
      <c r="AO1561" s="197">
        <f>IFERROR(INDEX(NCEfIn,MATCH($AB1561&amp;"."&amp;$AC1561&amp;".bc",NCEfKey,0)),0)</f>
        <v>0.0008876016000000001</v>
      </c>
      <c r="AP1561" s="197">
        <f>IFERROR(INDEX(NCEfFin,MATCH($AB1561&amp;"."&amp;$AC1561&amp;".bc",NCEfKey,0)),0)</f>
        <v>0.0006615144000000001</v>
      </c>
      <c r="AQ1561" s="197">
        <f>IFERROR(INDEX(NCEfIn,MATCH($AB1561&amp;"."&amp;$AC1561&amp;".oc",NCEfKey,0)),0)</f>
        <v>0.0018673128</v>
      </c>
      <c r="AR1561" s="197">
        <f>IFERROR(INDEX(NCEfFin,MATCH($AB1561&amp;"."&amp;$AC1561&amp;".oc",NCEfKey,0)),0)</f>
        <v>0.000565218</v>
      </c>
      <c r="AS1561" s="197">
        <f>IFERROR(INDEX(NCEfIn,MATCH($AB1561&amp;"."&amp;$AC1561&amp;".co",NCEfKey,0)),0)</f>
        <v>4.186800000000001</v>
      </c>
      <c r="AT1561" s="197">
        <f>IFERROR(INDEX(NCEfFin,MATCH($AB1561&amp;"."&amp;$AC1561&amp;".co",NCEfKey,0)),0)</f>
        <v>4.186795813200001</v>
      </c>
      <c r="AU1561" s="3" t="str">
        <f>INDEX('Constants and Mappings'!$J$186:$J$201,MATCH($C1561,SubKey,0))</f>
        <v>nonferrmet</v>
      </c>
      <c r="AV1561" s="3">
        <f>INDEX('Constants and Mappings'!$K$186:$K$201,MATCH($C1561,SubKey,0))</f>
        <v>1.0</v>
      </c>
      <c r="AW1561" s="3" t="str">
        <f>INDEX('Constants and Mappings'!$L$186:$L$201,MATCH($C1561,SubKey,0))&amp;""</f>
        <v/>
      </c>
      <c r="AX1561" s="3">
        <f>INDEX('Constants and Mappings'!$M$186:$M$201,MATCH($C1561,SubKey,0))</f>
        <v>0.0</v>
      </c>
      <c r="AY1561" s="3" t="n">
        <v>0</v>
      </c>
      <c r="AZ1561" s="3" t="n">
        <v>0</v>
      </c>
      <c r="BA1561" s="3" t="n">
        <v>0</v>
      </c>
      <c r="BB1561" s="3" t="n">
        <v>0</v>
      </c>
      <c r="BC1561" s="3" t="n">
        <v>0</v>
      </c>
      <c r="BD1561" s="3">
        <f>IFERROR($BB1561/$BC1561,0)</f>
        <v>0.0</v>
      </c>
      <c r="BE1561" s="133" t="n">
        <v>1</v>
      </c>
      <c r="BF1561" s="39" t="n">
        <v>1</v>
      </c>
    </row>
    <row r="1562">
      <c r="A1562" s="3" t="str">
        <f>$B1562&amp;"|"&amp;$C1562</f>
        <v>nga|nfm</v>
      </c>
      <c r="B1562" s="8" t="inlineStr">
        <is>
          <t>nga</t>
        </is>
      </c>
      <c r="C1562" s="8" t="inlineStr">
        <is>
          <t>nfm</t>
        </is>
      </c>
      <c r="D1562" s="3" t="str">
        <f>INDEX('Constants and Mappings'!$D$186:$D$201,MATCH($C1562,SubKey,0))</f>
        <v>ind</v>
      </c>
      <c r="E1562" s="3" t="str">
        <f>INDEX('Constants and Mappings'!$C$229:$C$237,MATCH($B1562,FuelKey,0))</f>
        <v>nga</v>
      </c>
      <c r="F1562" s="3" t="str">
        <f>INDEX('Constants and Mappings'!$D$229:$D$237,MATCH($B1562,FuelKey,0))</f>
        <v>nga</v>
      </c>
      <c r="G1562" s="3" t="str">
        <f>INDEX('Constants and Mappings'!$E$229:$E$237,MATCH($B1562,FuelKey,0))</f>
        <v>sub</v>
      </c>
      <c r="H1562" s="3" t="str">
        <f>INDEX('Constants and Mappings'!$F$186:$F$201,MATCH($C1562,SubKey,0))</f>
        <v>ind</v>
      </c>
      <c r="I1562" s="3" t="str">
        <f>INDEX('Constants and Mappings'!$I$229:$I$237,MATCH($B1562,FuelKey,0))&amp;"."&amp;IF($G1562="sub",$H1562,"all")</f>
        <v>nga.ind</v>
      </c>
      <c r="J1562" s="3" t="str">
        <f>INDEX('Constants and Mappings'!$E$186:$E$201,MATCH($C1562,SubKey,0))</f>
        <v>ind</v>
      </c>
      <c r="K1562" s="3">
        <f>INDEX('Constants and Mappings'!$G$229:$G$237,MATCH($B1562,FuelKey,0))</f>
        <v>1.0</v>
      </c>
      <c r="L1562" s="3">
        <f>INDEX('Constants and Mappings'!$H$229:$H$237,MATCH($B1562,FuelKey,0))</f>
        <v>2.0</v>
      </c>
      <c r="M1562" s="3">
        <f>INDEX('Constants and Mappings'!$H$186:$H$201,MATCH($C1562,SubKey,0))</f>
        <v>11.0</v>
      </c>
      <c r="N1562" s="3">
        <f>INDEX('Constants and Mappings'!$E$300:$E$313,MATCH($I1562,'Constants and Mappings'!$A$300:$A$313,0))</f>
        <v>6.0</v>
      </c>
      <c r="O1562" s="48">
        <f>INDEX(ElaSel,MATCH("inc|"&amp;$E1562&amp;"|"&amp;$D1562,ElaSelKey,0))</f>
        <v>1.0</v>
      </c>
      <c r="P1562" s="48">
        <f>INDEX(ElaSel,MATCH("usg|"&amp;$E1562&amp;"|"&amp;$D1562,ElaSelKey,0))</f>
        <v>-0.5</v>
      </c>
      <c r="Q1562" s="48">
        <f>INDEX(ElaSel,MATCH("eff|"&amp;$E1562&amp;"|"&amp;$D1562,ElaSelKey,0))</f>
        <v>-0.5</v>
      </c>
      <c r="R1562" s="225">
        <f>INDEX(ElaSel,MATCH("aei|"&amp;$F1562&amp;"|"&amp;$D1562,ElaSelKey,0))</f>
        <v>0.01</v>
      </c>
      <c r="S1562" s="133" t="n">
        <v>3</v>
      </c>
      <c r="T1562" s="48">
        <f>$Q1562*(1+$P1562)</f>
        <v>-0.25</v>
      </c>
      <c r="U1562" s="3">
        <f>INDEX('Constants and Mappings'!$E$1633:$E$1644,MATCH($I1562,'Constants and Mappings'!$A$1633:$A$1644,0))</f>
        <v>138.0</v>
      </c>
      <c r="V1562" s="225">
        <f>INDEX('Constants and Mappings'!$V$1633:$V$1644,MATCH($I1562,'Constants and Mappings'!$A$1633:$A$1644,0))</f>
        <v>0.0</v>
      </c>
      <c r="W1562" s="197">
        <f>INDEX(EFSel,MATCH($B1562&amp;"|"&amp;$J1562,EFSelKey,0))*EFCalib</f>
        <v>0.05555115616004721</v>
      </c>
      <c r="X1562" s="195">
        <f>IF(LEFT(BalOpt,3)="Bal",$AY1562*$AV1562+$AZ1562*$AX1562,$BA1562)</f>
        <v>0.0</v>
      </c>
      <c r="Y1562" s="3" t="str">
        <f>IF($G1562="sub",$H1562,IF($B1562="oop","ind","trs"))</f>
        <v>ind</v>
      </c>
      <c r="Z1562" s="39">
        <f>IFERROR(MATCH($Y1562&amp;"|"&amp;$B1562,XKey,0),1)</f>
        <v>30.0</v>
      </c>
      <c r="AA1562" s="48">
        <f>INDEX(XCTVal,$Z1562,ECPEmb)+INDEX(XETSVal,$Z1562,ECPEmb)</f>
        <v>0.0</v>
      </c>
      <c r="AB1562" s="8" t="inlineStr">
        <is>
          <t>mnf</t>
        </is>
      </c>
      <c r="AC1562" s="8" t="inlineStr">
        <is>
          <t>nga</t>
        </is>
      </c>
      <c r="AD1562" s="197">
        <f>IFERROR(INDEX(NCEfIn,MATCH($AB1562&amp;"."&amp;$AC1562&amp;".ch4",NCEfKey,0)),0)</f>
        <v>1.9701992232</v>
      </c>
      <c r="AE1562" s="197">
        <f>IFERROR(INDEX(NCEfFin,MATCH($AB1562&amp;"."&amp;$AC1562&amp;".ch4",NCEfKey,0)),0)</f>
        <v>1.9373244696</v>
      </c>
      <c r="AF1562" s="3" t="n">
        <v>0</v>
      </c>
      <c r="AG1562" s="197">
        <f>IFERROR(INDEX(NCEfIn,MATCH($AB1562&amp;"."&amp;$AC1562&amp;".pm2",NCEfKey,0)),0)</f>
        <v>0.0041868</v>
      </c>
      <c r="AH1562" s="197">
        <f>IFERROR(INDEX(NCEfFin,MATCH($AB1562&amp;"."&amp;$AC1562&amp;".pm2",NCEfKey,0)),0)</f>
        <v>0.0041868</v>
      </c>
      <c r="AI1562" s="197">
        <f>IFERROR(INDEX(NCEfIn,MATCH($AB1562&amp;"."&amp;$AC1562&amp;".nox",NCEfKey,0)),0)</f>
        <v>4.186800000000001</v>
      </c>
      <c r="AJ1562" s="197">
        <f>IFERROR(INDEX(NCEfFin,MATCH($AB1562&amp;"."&amp;$AC1562&amp;".nox",NCEfKey,0)),0)</f>
        <v>4.186611594</v>
      </c>
      <c r="AK1562" s="197">
        <f>IFERROR(INDEX(NCEfIn,MATCH($AB1562&amp;"."&amp;$AC1562&amp;".so2",NCEfKey,0)),0)</f>
        <v>0.0348886044</v>
      </c>
      <c r="AL1562" s="197">
        <f>IFERROR(INDEX(NCEfFin,MATCH($AB1562&amp;"."&amp;$AC1562&amp;".so2",NCEfKey,0)),0)</f>
        <v>0.0348886044</v>
      </c>
      <c r="AM1562" s="197">
        <f>IFERROR(INDEX(NCEfIn,MATCH($AB1562&amp;"."&amp;$AC1562&amp;".voc",NCEfKey,0)),0)</f>
        <v>0.083736</v>
      </c>
      <c r="AN1562" s="197">
        <f>IFERROR(INDEX(NCEfFin,MATCH($AB1562&amp;"."&amp;$AC1562&amp;".voc",NCEfKey,0)),0)</f>
        <v>0.08373181320000002</v>
      </c>
      <c r="AO1562" s="197">
        <f>IFERROR(INDEX(NCEfIn,MATCH($AB1562&amp;"."&amp;$AC1562&amp;".bc",NCEfKey,0)),0)</f>
        <v>0.0002805156</v>
      </c>
      <c r="AP1562" s="197">
        <f>IFERROR(INDEX(NCEfFin,MATCH($AB1562&amp;"."&amp;$AC1562&amp;".bc",NCEfKey,0)),0)</f>
        <v>0.0002805156</v>
      </c>
      <c r="AQ1562" s="197">
        <f>IFERROR(INDEX(NCEfIn,MATCH($AB1562&amp;"."&amp;$AC1562&amp;".oc",NCEfKey,0)),0)</f>
        <v>0.0031401</v>
      </c>
      <c r="AR1562" s="197">
        <f>IFERROR(INDEX(NCEfFin,MATCH($AB1562&amp;"."&amp;$AC1562&amp;".oc",NCEfKey,0)),0)</f>
        <v>0.0031401</v>
      </c>
      <c r="AS1562" s="197">
        <f>IFERROR(INDEX(NCEfIn,MATCH($AB1562&amp;"."&amp;$AC1562&amp;".co",NCEfKey,0)),0)</f>
        <v>1.46538</v>
      </c>
      <c r="AT1562" s="197">
        <f>IFERROR(INDEX(NCEfFin,MATCH($AB1562&amp;"."&amp;$AC1562&amp;".co",NCEfKey,0)),0)</f>
        <v>1.4653130112</v>
      </c>
      <c r="AU1562" s="3" t="str">
        <f>INDEX('Constants and Mappings'!$J$186:$J$201,MATCH($C1562,SubKey,0))</f>
        <v>nonferrmet</v>
      </c>
      <c r="AV1562" s="3">
        <f>INDEX('Constants and Mappings'!$K$186:$K$201,MATCH($C1562,SubKey,0))</f>
        <v>1.0</v>
      </c>
      <c r="AW1562" s="3" t="str">
        <f>INDEX('Constants and Mappings'!$L$186:$L$201,MATCH($C1562,SubKey,0))&amp;""</f>
        <v/>
      </c>
      <c r="AX1562" s="3">
        <f>INDEX('Constants and Mappings'!$M$186:$M$201,MATCH($C1562,SubKey,0))</f>
        <v>0.0</v>
      </c>
      <c r="AY1562" s="3" t="n">
        <v>0</v>
      </c>
      <c r="AZ1562" s="3" t="n">
        <v>0</v>
      </c>
      <c r="BA1562" s="3" t="n">
        <v>0</v>
      </c>
      <c r="BB1562" s="3" t="n">
        <v>0</v>
      </c>
      <c r="BC1562" s="3" t="n">
        <v>0</v>
      </c>
      <c r="BD1562" s="3">
        <f>IFERROR($BB1562/$BC1562,0)</f>
        <v>0.0</v>
      </c>
      <c r="BE1562" s="133" t="n">
        <v>1</v>
      </c>
      <c r="BF1562" s="39" t="n">
        <v>1</v>
      </c>
    </row>
    <row r="1563">
      <c r="A1563" s="3" t="str">
        <f>$B1563&amp;"|"&amp;$C1563</f>
        <v>gso|nfm</v>
      </c>
      <c r="B1563" s="8" t="inlineStr">
        <is>
          <t>gso</t>
        </is>
      </c>
      <c r="C1563" s="8" t="inlineStr">
        <is>
          <t>nfm</t>
        </is>
      </c>
      <c r="D1563" s="3" t="str">
        <f>INDEX('Constants and Mappings'!$D$186:$D$201,MATCH($C1563,SubKey,0))</f>
        <v>ind</v>
      </c>
      <c r="E1563" s="3" t="str">
        <f>INDEX('Constants and Mappings'!$C$229:$C$237,MATCH($B1563,FuelKey,0))</f>
        <v>gso</v>
      </c>
      <c r="F1563" s="3" t="str">
        <f>INDEX('Constants and Mappings'!$D$229:$D$237,MATCH($B1563,FuelKey,0))</f>
        <v>oil</v>
      </c>
      <c r="G1563" s="3" t="str">
        <f>INDEX('Constants and Mappings'!$E$229:$E$237,MATCH($B1563,FuelKey,0))</f>
        <v>all</v>
      </c>
      <c r="H1563" s="3" t="str">
        <f>INDEX('Constants and Mappings'!$F$186:$F$201,MATCH($C1563,SubKey,0))</f>
        <v>ind</v>
      </c>
      <c r="I1563" s="3" t="str">
        <f>INDEX('Constants and Mappings'!$I$229:$I$237,MATCH($B1563,FuelKey,0))&amp;"."&amp;IF($G1563="sub",$H1563,"all")</f>
        <v>gso.all</v>
      </c>
      <c r="J1563" s="3" t="str">
        <f>INDEX('Constants and Mappings'!$E$186:$E$201,MATCH($C1563,SubKey,0))</f>
        <v>ind</v>
      </c>
      <c r="K1563" s="3">
        <f>INDEX('Constants and Mappings'!$G$229:$G$237,MATCH($B1563,FuelKey,0))</f>
        <v>0.03496974000000001</v>
      </c>
      <c r="L1563" s="3">
        <f>INDEX('Constants and Mappings'!$H$229:$H$237,MATCH($B1563,FuelKey,0))</f>
        <v>3.0</v>
      </c>
      <c r="M1563" s="3">
        <f>INDEX('Constants and Mappings'!$H$186:$H$201,MATCH($C1563,SubKey,0))</f>
        <v>11.0</v>
      </c>
      <c r="N1563" s="3">
        <f>INDEX('Constants and Mappings'!$E$300:$E$313,MATCH($I1563,'Constants and Mappings'!$A$300:$A$313,0))</f>
        <v>9.0</v>
      </c>
      <c r="O1563" s="48">
        <f>INDEX(ElaSel,MATCH("inc|"&amp;$E1563&amp;"|"&amp;$D1563,ElaSelKey,0))</f>
        <v>0.5</v>
      </c>
      <c r="P1563" s="48">
        <f>INDEX(ElaSel,MATCH("usg|"&amp;$E1563&amp;"|"&amp;$D1563,ElaSelKey,0))</f>
        <v>-0.4</v>
      </c>
      <c r="Q1563" s="48">
        <f>INDEX(ElaSel,MATCH("eff|"&amp;$E1563&amp;"|"&amp;$D1563,ElaSelKey,0))</f>
        <v>-0.7</v>
      </c>
      <c r="R1563" s="225">
        <f>INDEX(ElaSel,MATCH("aei|"&amp;$F1563&amp;"|"&amp;$D1563,ElaSelKey,0))</f>
        <v>0.005</v>
      </c>
      <c r="S1563" s="133" t="n">
        <v>3</v>
      </c>
      <c r="T1563" s="48">
        <f>$Q1563*(1+$P1563)</f>
        <v>-0.42</v>
      </c>
      <c r="U1563" s="3">
        <f>INDEX('Constants and Mappings'!$E$1633:$E$1644,MATCH($I1563,'Constants and Mappings'!$A$1633:$A$1644,0))</f>
        <v>167.0</v>
      </c>
      <c r="V1563" s="225">
        <f>INDEX('Constants and Mappings'!$V$1633:$V$1644,MATCH($I1563,'Constants and Mappings'!$A$1633:$A$1644,0))</f>
        <v>0.0</v>
      </c>
      <c r="W1563" s="197">
        <f>INDEX(EFSel,MATCH($B1563&amp;"|"&amp;$J1563,EFSelKey,0))*EFCalib</f>
        <v>0.06749067257272545</v>
      </c>
      <c r="X1563" s="195">
        <f>IF(LEFT(BalOpt,3)="Bal",$AY1563*$AV1563+$AZ1563*$AX1563,$BA1563)</f>
        <v>0.0</v>
      </c>
      <c r="Y1563" s="3" t="str">
        <f>IF($G1563="sub",$H1563,IF($B1563="oop","ind","trs"))</f>
        <v>trs</v>
      </c>
      <c r="Z1563" s="39">
        <f>IFERROR(MATCH($Y1563&amp;"|"&amp;$B1563,XKey,0),1)</f>
        <v>13.0</v>
      </c>
      <c r="AA1563" s="48">
        <f>INDEX(XCTVal,$Z1563,ECPEmb)+INDEX(XETSVal,$Z1563,ECPEmb)</f>
        <v>0.0</v>
      </c>
      <c r="AB1563" s="8" t="inlineStr">
        <is>
          <t>mnf</t>
        </is>
      </c>
      <c r="AC1563" s="8" t="inlineStr">
        <is>
          <t>gso</t>
        </is>
      </c>
      <c r="AD1563" s="197">
        <f>IFERROR(INDEX(NCEfIn,MATCH($AB1563&amp;"."&amp;$AC1563&amp;".ch4",NCEfKey,0)),0)</f>
        <v>0.125604</v>
      </c>
      <c r="AE1563" s="197">
        <f>IFERROR(INDEX(NCEfFin,MATCH($AB1563&amp;"."&amp;$AC1563&amp;".ch4",NCEfKey,0)),0)</f>
        <v>0.125604</v>
      </c>
      <c r="AF1563" s="3" t="n">
        <v>0</v>
      </c>
      <c r="AG1563" s="197">
        <f>IFERROR(INDEX(NCEfIn,MATCH($AB1563&amp;"."&amp;$AC1563&amp;".pm2",NCEfKey,0)),0)</f>
        <v>0.020934</v>
      </c>
      <c r="AH1563" s="197">
        <f>IFERROR(INDEX(NCEfFin,MATCH($AB1563&amp;"."&amp;$AC1563&amp;".pm2",NCEfKey,0)),0)</f>
        <v>0.020934</v>
      </c>
      <c r="AI1563" s="197">
        <f>IFERROR(INDEX(NCEfIn,MATCH($AB1563&amp;"."&amp;$AC1563&amp;".nox",NCEfKey,0)),0)</f>
        <v>2.93076</v>
      </c>
      <c r="AJ1563" s="197">
        <f>IFERROR(INDEX(NCEfFin,MATCH($AB1563&amp;"."&amp;$AC1563&amp;".nox",NCEfKey,0)),0)</f>
        <v>2.93076</v>
      </c>
      <c r="AK1563" s="197">
        <f>IFERROR(INDEX(NCEfIn,MATCH($AB1563&amp;"."&amp;$AC1563&amp;".so2",NCEfKey,0)),0)</f>
        <v>0.9101726388000001</v>
      </c>
      <c r="AL1563" s="197">
        <f>IFERROR(INDEX(NCEfFin,MATCH($AB1563&amp;"."&amp;$AC1563&amp;".so2",NCEfKey,0)),0)</f>
        <v>0.9101726388000001</v>
      </c>
      <c r="AM1563" s="197">
        <f>IFERROR(INDEX(NCEfIn,MATCH($AB1563&amp;"."&amp;$AC1563&amp;".voc",NCEfKey,0)),0)</f>
        <v>0.10467</v>
      </c>
      <c r="AN1563" s="197">
        <f>IFERROR(INDEX(NCEfFin,MATCH($AB1563&amp;"."&amp;$AC1563&amp;".voc",NCEfKey,0)),0)</f>
        <v>0.10467</v>
      </c>
      <c r="AO1563" s="197">
        <f>IFERROR(INDEX(NCEfIn,MATCH($AB1563&amp;"."&amp;$AC1563&amp;".bc",NCEfKey,0)),0)</f>
        <v>0.001402578</v>
      </c>
      <c r="AP1563" s="197">
        <f>IFERROR(INDEX(NCEfFin,MATCH($AB1563&amp;"."&amp;$AC1563&amp;".bc",NCEfKey,0)),0)</f>
        <v>0.001402578</v>
      </c>
      <c r="AQ1563" s="197">
        <f>IFERROR(INDEX(NCEfIn,MATCH($AB1563&amp;"."&amp;$AC1563&amp;".oc",NCEfKey,0)),0)</f>
        <v>0.0157005</v>
      </c>
      <c r="AR1563" s="197">
        <f>IFERROR(INDEX(NCEfFin,MATCH($AB1563&amp;"."&amp;$AC1563&amp;".oc",NCEfKey,0)),0)</f>
        <v>0.0157005</v>
      </c>
      <c r="AS1563" s="197">
        <f>IFERROR(INDEX(NCEfIn,MATCH($AB1563&amp;"."&amp;$AC1563&amp;".co",NCEfKey,0)),0)</f>
        <v>1.67472</v>
      </c>
      <c r="AT1563" s="197">
        <f>IFERROR(INDEX(NCEfFin,MATCH($AB1563&amp;"."&amp;$AC1563&amp;".co",NCEfKey,0)),0)</f>
        <v>1.67472</v>
      </c>
      <c r="AU1563" s="3" t="str">
        <f>INDEX('Constants and Mappings'!$J$186:$J$201,MATCH($C1563,SubKey,0))</f>
        <v>nonferrmet</v>
      </c>
      <c r="AV1563" s="3">
        <f>INDEX('Constants and Mappings'!$K$186:$K$201,MATCH($C1563,SubKey,0))</f>
        <v>1.0</v>
      </c>
      <c r="AW1563" s="3" t="str">
        <f>INDEX('Constants and Mappings'!$L$186:$L$201,MATCH($C1563,SubKey,0))&amp;""</f>
        <v/>
      </c>
      <c r="AX1563" s="3">
        <f>INDEX('Constants and Mappings'!$M$186:$M$201,MATCH($C1563,SubKey,0))</f>
        <v>0.0</v>
      </c>
      <c r="AY1563" s="3" t="n">
        <v>0</v>
      </c>
      <c r="AZ1563" s="3" t="n">
        <v>0</v>
      </c>
      <c r="BA1563" s="3" t="n">
        <v>0</v>
      </c>
      <c r="BB1563" s="3" t="n">
        <v>0</v>
      </c>
      <c r="BC1563" s="3" t="n">
        <v>0</v>
      </c>
      <c r="BD1563" s="3">
        <f>IFERROR($BB1563/$BC1563,0)</f>
        <v>0.0</v>
      </c>
      <c r="BE1563" s="133" t="n">
        <v>1</v>
      </c>
      <c r="BF1563" s="39" t="n">
        <v>1</v>
      </c>
    </row>
    <row r="1564">
      <c r="A1564" s="3" t="str">
        <f>$B1564&amp;"|"&amp;$C1564</f>
        <v>die|nfm</v>
      </c>
      <c r="B1564" s="8" t="inlineStr">
        <is>
          <t>die</t>
        </is>
      </c>
      <c r="C1564" s="8" t="inlineStr">
        <is>
          <t>nfm</t>
        </is>
      </c>
      <c r="D1564" s="3" t="str">
        <f>INDEX('Constants and Mappings'!$D$186:$D$201,MATCH($C1564,SubKey,0))</f>
        <v>ind</v>
      </c>
      <c r="E1564" s="3" t="str">
        <f>INDEX('Constants and Mappings'!$C$229:$C$237,MATCH($B1564,FuelKey,0))</f>
        <v>die</v>
      </c>
      <c r="F1564" s="3" t="str">
        <f>INDEX('Constants and Mappings'!$D$229:$D$237,MATCH($B1564,FuelKey,0))</f>
        <v>oil</v>
      </c>
      <c r="G1564" s="3" t="str">
        <f>INDEX('Constants and Mappings'!$E$229:$E$237,MATCH($B1564,FuelKey,0))</f>
        <v>all</v>
      </c>
      <c r="H1564" s="3" t="str">
        <f>INDEX('Constants and Mappings'!$F$186:$F$201,MATCH($C1564,SubKey,0))</f>
        <v>ind</v>
      </c>
      <c r="I1564" s="3" t="str">
        <f>INDEX('Constants and Mappings'!$I$229:$I$237,MATCH($B1564,FuelKey,0))&amp;"."&amp;IF($G1564="sub",$H1564,"all")</f>
        <v>die.all</v>
      </c>
      <c r="J1564" s="3" t="str">
        <f>INDEX('Constants and Mappings'!$E$186:$E$201,MATCH($C1564,SubKey,0))</f>
        <v>ind</v>
      </c>
      <c r="K1564" s="3">
        <f>INDEX('Constants and Mappings'!$G$229:$G$237,MATCH($B1564,FuelKey,0))</f>
        <v>0.03729519000000001</v>
      </c>
      <c r="L1564" s="3">
        <f>INDEX('Constants and Mappings'!$H$229:$H$237,MATCH($B1564,FuelKey,0))</f>
        <v>4.0</v>
      </c>
      <c r="M1564" s="3">
        <f>INDEX('Constants and Mappings'!$H$186:$H$201,MATCH($C1564,SubKey,0))</f>
        <v>11.0</v>
      </c>
      <c r="N1564" s="3">
        <f>INDEX('Constants and Mappings'!$E$300:$E$313,MATCH($I1564,'Constants and Mappings'!$A$300:$A$313,0))</f>
        <v>10.0</v>
      </c>
      <c r="O1564" s="48">
        <f>INDEX(ElaSel,MATCH("inc|"&amp;$E1564&amp;"|"&amp;$D1564,ElaSelKey,0))</f>
        <v>0.5</v>
      </c>
      <c r="P1564" s="48">
        <f>INDEX(ElaSel,MATCH("usg|"&amp;$E1564&amp;"|"&amp;$D1564,ElaSelKey,0))</f>
        <v>-0.7</v>
      </c>
      <c r="Q1564" s="48">
        <f>INDEX(ElaSel,MATCH("eff|"&amp;$E1564&amp;"|"&amp;$D1564,ElaSelKey,0))</f>
        <v>-1.2</v>
      </c>
      <c r="R1564" s="225">
        <f>INDEX(ElaSel,MATCH("aei|"&amp;$F1564&amp;"|"&amp;$D1564,ElaSelKey,0))</f>
        <v>0.005</v>
      </c>
      <c r="S1564" s="133" t="n">
        <v>3</v>
      </c>
      <c r="T1564" s="48">
        <f>$Q1564*(1+$P1564)</f>
        <v>-0.36000000000000004</v>
      </c>
      <c r="U1564" s="3">
        <f>INDEX('Constants and Mappings'!$E$1633:$E$1644,MATCH($I1564,'Constants and Mappings'!$A$1633:$A$1644,0))</f>
        <v>196.0</v>
      </c>
      <c r="V1564" s="225">
        <f>INDEX('Constants and Mappings'!$V$1633:$V$1644,MATCH($I1564,'Constants and Mappings'!$A$1633:$A$1644,0))</f>
        <v>0.0</v>
      </c>
      <c r="W1564" s="197">
        <f>INDEX(EFSel,MATCH($B1564&amp;"|"&amp;$J1564,EFSelKey,0))*EFCalib</f>
        <v>0.0715246024071432</v>
      </c>
      <c r="X1564" s="195">
        <f>IF(LEFT(BalOpt,3)="Bal",$AY1564*$AV1564+$AZ1564*$AX1564,$BA1564)</f>
        <v>0.0</v>
      </c>
      <c r="Y1564" s="3" t="str">
        <f>IF($G1564="sub",$H1564,IF($B1564="oop","ind","trs"))</f>
        <v>trs</v>
      </c>
      <c r="Z1564" s="39">
        <f>IFERROR(MATCH($Y1564&amp;"|"&amp;$B1564,XKey,0),1)</f>
        <v>14.0</v>
      </c>
      <c r="AA1564" s="48">
        <f>INDEX(XCTVal,$Z1564,ECPEmb)+INDEX(XETSVal,$Z1564,ECPEmb)</f>
        <v>0.0</v>
      </c>
      <c r="AB1564" s="8" t="inlineStr">
        <is>
          <t>mnf</t>
        </is>
      </c>
      <c r="AC1564" s="8" t="inlineStr">
        <is>
          <t>die</t>
        </is>
      </c>
      <c r="AD1564" s="197">
        <f>IFERROR(INDEX(NCEfIn,MATCH($AB1564&amp;"."&amp;$AC1564&amp;".ch4",NCEfKey,0)),0)</f>
        <v>0.125604</v>
      </c>
      <c r="AE1564" s="197">
        <f>IFERROR(INDEX(NCEfFin,MATCH($AB1564&amp;"."&amp;$AC1564&amp;".ch4",NCEfKey,0)),0)</f>
        <v>0.125604</v>
      </c>
      <c r="AF1564" s="3" t="n">
        <v>0</v>
      </c>
      <c r="AG1564" s="197">
        <f>IFERROR(INDEX(NCEfIn,MATCH($AB1564&amp;"."&amp;$AC1564&amp;".pm2",NCEfKey,0)),0)</f>
        <v>0.0077372064</v>
      </c>
      <c r="AH1564" s="197">
        <f>IFERROR(INDEX(NCEfFin,MATCH($AB1564&amp;"."&amp;$AC1564&amp;".pm2",NCEfKey,0)),0)</f>
        <v>0.0077372064</v>
      </c>
      <c r="AI1564" s="197">
        <f>IFERROR(INDEX(NCEfIn,MATCH($AB1564&amp;"."&amp;$AC1564&amp;".nox",NCEfKey,0)),0)</f>
        <v>6.2802</v>
      </c>
      <c r="AJ1564" s="197">
        <f>IFERROR(INDEX(NCEfFin,MATCH($AB1564&amp;"."&amp;$AC1564&amp;".nox",NCEfKey,0)),0)</f>
        <v>6.2802</v>
      </c>
      <c r="AK1564" s="197">
        <f>IFERROR(INDEX(NCEfIn,MATCH($AB1564&amp;"."&amp;$AC1564&amp;".so2",NCEfKey,0)),0)</f>
        <v>3.9405156768</v>
      </c>
      <c r="AL1564" s="197">
        <f>IFERROR(INDEX(NCEfFin,MATCH($AB1564&amp;"."&amp;$AC1564&amp;".so2",NCEfKey,0)),0)</f>
        <v>3.9405156768</v>
      </c>
      <c r="AM1564" s="197">
        <f>IFERROR(INDEX(NCEfIn,MATCH($AB1564&amp;"."&amp;$AC1564&amp;".voc",NCEfKey,0)),0)</f>
        <v>0.167472</v>
      </c>
      <c r="AN1564" s="197">
        <f>IFERROR(INDEX(NCEfFin,MATCH($AB1564&amp;"."&amp;$AC1564&amp;".voc",NCEfKey,0)),0)</f>
        <v>0.167472</v>
      </c>
      <c r="AO1564" s="197">
        <f>IFERROR(INDEX(NCEfIn,MATCH($AB1564&amp;"."&amp;$AC1564&amp;".bc",NCEfKey,0)),0)</f>
        <v>0.004375206</v>
      </c>
      <c r="AP1564" s="197">
        <f>IFERROR(INDEX(NCEfFin,MATCH($AB1564&amp;"."&amp;$AC1564&amp;".bc",NCEfKey,0)),0)</f>
        <v>0.004375206</v>
      </c>
      <c r="AQ1564" s="197">
        <f>IFERROR(INDEX(NCEfIn,MATCH($AB1564&amp;"."&amp;$AC1564&amp;".oc",NCEfKey,0)),0)</f>
        <v>0.0006615144000000001</v>
      </c>
      <c r="AR1564" s="197">
        <f>IFERROR(INDEX(NCEfFin,MATCH($AB1564&amp;"."&amp;$AC1564&amp;".oc",NCEfKey,0)),0)</f>
        <v>0.0006615144000000001</v>
      </c>
      <c r="AS1564" s="197">
        <f>IFERROR(INDEX(NCEfIn,MATCH($AB1564&amp;"."&amp;$AC1564&amp;".co",NCEfKey,0)),0)</f>
        <v>1.67472</v>
      </c>
      <c r="AT1564" s="197">
        <f>IFERROR(INDEX(NCEfFin,MATCH($AB1564&amp;"."&amp;$AC1564&amp;".co",NCEfKey,0)),0)</f>
        <v>1.67472</v>
      </c>
      <c r="AU1564" s="3" t="str">
        <f>INDEX('Constants and Mappings'!$J$186:$J$201,MATCH($C1564,SubKey,0))</f>
        <v>nonferrmet</v>
      </c>
      <c r="AV1564" s="3">
        <f>INDEX('Constants and Mappings'!$K$186:$K$201,MATCH($C1564,SubKey,0))</f>
        <v>1.0</v>
      </c>
      <c r="AW1564" s="3" t="str">
        <f>INDEX('Constants and Mappings'!$L$186:$L$201,MATCH($C1564,SubKey,0))&amp;""</f>
        <v/>
      </c>
      <c r="AX1564" s="3">
        <f>INDEX('Constants and Mappings'!$M$186:$M$201,MATCH($C1564,SubKey,0))</f>
        <v>0.0</v>
      </c>
      <c r="AY1564" s="3" t="n">
        <v>0</v>
      </c>
      <c r="AZ1564" s="3" t="n">
        <v>0</v>
      </c>
      <c r="BA1564" s="3" t="n">
        <v>0</v>
      </c>
      <c r="BB1564" s="3" t="n">
        <v>0</v>
      </c>
      <c r="BC1564" s="3" t="n">
        <v>0</v>
      </c>
      <c r="BD1564" s="3">
        <f>IFERROR($BB1564/$BC1564,0)</f>
        <v>0.0</v>
      </c>
      <c r="BE1564" s="133" t="n">
        <v>1</v>
      </c>
      <c r="BF1564" s="39" t="n">
        <v>1</v>
      </c>
    </row>
    <row r="1565">
      <c r="A1565" s="3" t="str">
        <f>$B1565&amp;"|"&amp;$C1565</f>
        <v>lpg|nfm</v>
      </c>
      <c r="B1565" s="8" t="inlineStr">
        <is>
          <t>lpg</t>
        </is>
      </c>
      <c r="C1565" s="8" t="inlineStr">
        <is>
          <t>nfm</t>
        </is>
      </c>
      <c r="D1565" s="3" t="str">
        <f>INDEX('Constants and Mappings'!$D$186:$D$201,MATCH($C1565,SubKey,0))</f>
        <v>ind</v>
      </c>
      <c r="E1565" s="3" t="str">
        <f>INDEX('Constants and Mappings'!$C$229:$C$237,MATCH($B1565,FuelKey,0))</f>
        <v>oil</v>
      </c>
      <c r="F1565" s="3" t="str">
        <f>INDEX('Constants and Mappings'!$D$229:$D$237,MATCH($B1565,FuelKey,0))</f>
        <v>oil</v>
      </c>
      <c r="G1565" s="3" t="str">
        <f>INDEX('Constants and Mappings'!$E$229:$E$237,MATCH($B1565,FuelKey,0))</f>
        <v>all</v>
      </c>
      <c r="H1565" s="3" t="str">
        <f>INDEX('Constants and Mappings'!$F$186:$F$201,MATCH($C1565,SubKey,0))</f>
        <v>ind</v>
      </c>
      <c r="I1565" s="3" t="str">
        <f>INDEX('Constants and Mappings'!$I$229:$I$237,MATCH($B1565,FuelKey,0))&amp;"."&amp;IF($G1565="sub",$H1565,"all")</f>
        <v>lpg.all</v>
      </c>
      <c r="J1565" s="3" t="str">
        <f>INDEX('Constants and Mappings'!$E$186:$E$201,MATCH($C1565,SubKey,0))</f>
        <v>ind</v>
      </c>
      <c r="K1565" s="3">
        <f>INDEX('Constants and Mappings'!$G$229:$G$237,MATCH($B1565,FuelKey,0))</f>
        <v>0.02577968854495125</v>
      </c>
      <c r="L1565" s="3">
        <f>INDEX('Constants and Mappings'!$H$229:$H$237,MATCH($B1565,FuelKey,0))</f>
        <v>5.0</v>
      </c>
      <c r="M1565" s="3">
        <f>INDEX('Constants and Mappings'!$H$186:$H$201,MATCH($C1565,SubKey,0))</f>
        <v>11.0</v>
      </c>
      <c r="N1565" s="3">
        <f>INDEX('Constants and Mappings'!$E$300:$E$313,MATCH($I1565,'Constants and Mappings'!$A$300:$A$313,0))</f>
        <v>11.0</v>
      </c>
      <c r="O1565" s="48">
        <f>INDEX(ElaSel,MATCH("inc|"&amp;$E1565&amp;"|"&amp;$D1565,ElaSelKey,0))</f>
        <v>0.8</v>
      </c>
      <c r="P1565" s="48">
        <f>INDEX(ElaSel,MATCH("usg|"&amp;$E1565&amp;"|"&amp;$D1565,ElaSelKey,0))</f>
        <v>-0.4</v>
      </c>
      <c r="Q1565" s="48">
        <f>INDEX(ElaSel,MATCH("eff|"&amp;$E1565&amp;"|"&amp;$D1565,ElaSelKey,0))</f>
        <v>-0.4</v>
      </c>
      <c r="R1565" s="225">
        <f>INDEX(ElaSel,MATCH("aei|"&amp;$F1565&amp;"|"&amp;$D1565,ElaSelKey,0))</f>
        <v>0.005</v>
      </c>
      <c r="S1565" s="133" t="n">
        <v>3</v>
      </c>
      <c r="T1565" s="48">
        <f>$Q1565*(1+$P1565)</f>
        <v>-0.24</v>
      </c>
      <c r="U1565" s="3">
        <f>INDEX('Constants and Mappings'!$E$1633:$E$1644,MATCH($I1565,'Constants and Mappings'!$A$1633:$A$1644,0))</f>
        <v>225.0</v>
      </c>
      <c r="V1565" s="225">
        <f>INDEX('Constants and Mappings'!$V$1633:$V$1644,MATCH($I1565,'Constants and Mappings'!$A$1633:$A$1644,0))</f>
        <v>0.0</v>
      </c>
      <c r="W1565" s="197">
        <f>INDEX(EFSel,MATCH($B1565&amp;"|"&amp;$J1565,EFSelKey,0))*EFCalib</f>
        <v>0.06829407370213687</v>
      </c>
      <c r="X1565" s="195">
        <f>IF(LEFT(BalOpt,3)="Bal",$AY1565*$AV1565+$AZ1565*$AX1565,$BA1565)</f>
        <v>0.0</v>
      </c>
      <c r="Y1565" s="3" t="str">
        <f>IF($G1565="sub",$H1565,IF($B1565="oop","ind","trs"))</f>
        <v>trs</v>
      </c>
      <c r="Z1565" s="39">
        <f>IFERROR(MATCH($Y1565&amp;"|"&amp;$B1565,XKey,0),1)</f>
        <v>15.0</v>
      </c>
      <c r="AA1565" s="48">
        <f>INDEX(XCTVal,$Z1565,ECPEmb)+INDEX(XETSVal,$Z1565,ECPEmb)</f>
        <v>0.0</v>
      </c>
      <c r="AB1565" s="8" t="inlineStr">
        <is>
          <t>mnf</t>
        </is>
      </c>
      <c r="AC1565" s="8" t="inlineStr">
        <is>
          <t>lpg</t>
        </is>
      </c>
      <c r="AD1565" s="197">
        <f>IFERROR(INDEX(NCEfIn,MATCH($AB1565&amp;"."&amp;$AC1565&amp;".ch4",NCEfKey,0)),0)</f>
        <v>0.041868</v>
      </c>
      <c r="AE1565" s="197">
        <f>IFERROR(INDEX(NCEfFin,MATCH($AB1565&amp;"."&amp;$AC1565&amp;".ch4",NCEfKey,0)),0)</f>
        <v>0.041868</v>
      </c>
      <c r="AF1565" s="3" t="n">
        <v>0</v>
      </c>
      <c r="AG1565" s="197">
        <f>IFERROR(INDEX(NCEfIn,MATCH($AB1565&amp;"."&amp;$AC1565&amp;".pm2",NCEfKey,0)),0)</f>
        <v>0.0083736</v>
      </c>
      <c r="AH1565" s="197">
        <f>IFERROR(INDEX(NCEfFin,MATCH($AB1565&amp;"."&amp;$AC1565&amp;".pm2",NCEfKey,0)),0)</f>
        <v>0.0083736</v>
      </c>
      <c r="AI1565" s="197">
        <f>IFERROR(INDEX(NCEfIn,MATCH($AB1565&amp;"."&amp;$AC1565&amp;".nox",NCEfKey,0)),0)</f>
        <v>2.93076</v>
      </c>
      <c r="AJ1565" s="197">
        <f>IFERROR(INDEX(NCEfFin,MATCH($AB1565&amp;"."&amp;$AC1565&amp;".nox",NCEfKey,0)),0)</f>
        <v>2.93076</v>
      </c>
      <c r="AK1565" s="197">
        <f>IFERROR(INDEX(NCEfIn,MATCH($AB1565&amp;"."&amp;$AC1565&amp;".so2",NCEfKey,0)),0)</f>
        <v>0.0</v>
      </c>
      <c r="AL1565" s="197">
        <f>IFERROR(INDEX(NCEfFin,MATCH($AB1565&amp;"."&amp;$AC1565&amp;".so2",NCEfKey,0)),0)</f>
        <v>0.0</v>
      </c>
      <c r="AM1565" s="197">
        <f>IFERROR(INDEX(NCEfIn,MATCH($AB1565&amp;"."&amp;$AC1565&amp;".voc",NCEfKey,0)),0)</f>
        <v>0.0</v>
      </c>
      <c r="AN1565" s="197">
        <f>IFERROR(INDEX(NCEfFin,MATCH($AB1565&amp;"."&amp;$AC1565&amp;".voc",NCEfKey,0)),0)</f>
        <v>0.0</v>
      </c>
      <c r="AO1565" s="197">
        <f>IFERROR(INDEX(NCEfIn,MATCH($AB1565&amp;"."&amp;$AC1565&amp;".bc",NCEfKey,0)),0)</f>
        <v>0.0005610312000000001</v>
      </c>
      <c r="AP1565" s="197">
        <f>IFERROR(INDEX(NCEfFin,MATCH($AB1565&amp;"."&amp;$AC1565&amp;".bc",NCEfKey,0)),0)</f>
        <v>0.0005610312000000001</v>
      </c>
      <c r="AQ1565" s="197">
        <f>IFERROR(INDEX(NCEfIn,MATCH($AB1565&amp;"."&amp;$AC1565&amp;".oc",NCEfKey,0)),0)</f>
        <v>0.0</v>
      </c>
      <c r="AR1565" s="197">
        <f>IFERROR(INDEX(NCEfFin,MATCH($AB1565&amp;"."&amp;$AC1565&amp;".oc",NCEfKey,0)),0)</f>
        <v>0.0</v>
      </c>
      <c r="AS1565" s="197">
        <f>IFERROR(INDEX(NCEfIn,MATCH($AB1565&amp;"."&amp;$AC1565&amp;".co",NCEfKey,0)),0)</f>
        <v>0.62802</v>
      </c>
      <c r="AT1565" s="197">
        <f>IFERROR(INDEX(NCEfFin,MATCH($AB1565&amp;"."&amp;$AC1565&amp;".co",NCEfKey,0)),0)</f>
        <v>0.62802</v>
      </c>
      <c r="AU1565" s="3" t="str">
        <f>INDEX('Constants and Mappings'!$J$186:$J$201,MATCH($C1565,SubKey,0))</f>
        <v>nonferrmet</v>
      </c>
      <c r="AV1565" s="3">
        <f>INDEX('Constants and Mappings'!$K$186:$K$201,MATCH($C1565,SubKey,0))</f>
        <v>1.0</v>
      </c>
      <c r="AW1565" s="3" t="str">
        <f>INDEX('Constants and Mappings'!$L$186:$L$201,MATCH($C1565,SubKey,0))&amp;""</f>
        <v/>
      </c>
      <c r="AX1565" s="3">
        <f>INDEX('Constants and Mappings'!$M$186:$M$201,MATCH($C1565,SubKey,0))</f>
        <v>0.0</v>
      </c>
      <c r="AY1565" s="3" t="n">
        <v>0</v>
      </c>
      <c r="AZ1565" s="3" t="n">
        <v>0</v>
      </c>
      <c r="BA1565" s="3" t="n">
        <v>0</v>
      </c>
      <c r="BB1565" s="3" t="n">
        <v>0</v>
      </c>
      <c r="BC1565" s="3" t="n">
        <v>0</v>
      </c>
      <c r="BD1565" s="3">
        <f>IFERROR($BB1565/$BC1565,0)</f>
        <v>0.0</v>
      </c>
      <c r="BE1565" s="133" t="n">
        <v>1</v>
      </c>
      <c r="BF1565" s="39" t="n">
        <v>1</v>
      </c>
    </row>
    <row r="1566">
      <c r="A1566" s="3" t="str">
        <f>$B1566&amp;"|"&amp;$C1566</f>
        <v>ker|nfm</v>
      </c>
      <c r="B1566" s="8" t="inlineStr">
        <is>
          <t>ker</t>
        </is>
      </c>
      <c r="C1566" s="8" t="inlineStr">
        <is>
          <t>nfm</t>
        </is>
      </c>
      <c r="D1566" s="3" t="str">
        <f>INDEX('Constants and Mappings'!$D$186:$D$201,MATCH($C1566,SubKey,0))</f>
        <v>ind</v>
      </c>
      <c r="E1566" s="3" t="str">
        <f>INDEX('Constants and Mappings'!$C$229:$C$237,MATCH($B1566,FuelKey,0))</f>
        <v>oil</v>
      </c>
      <c r="F1566" s="3" t="str">
        <f>INDEX('Constants and Mappings'!$D$229:$D$237,MATCH($B1566,FuelKey,0))</f>
        <v>oil</v>
      </c>
      <c r="G1566" s="3" t="str">
        <f>INDEX('Constants and Mappings'!$E$229:$E$237,MATCH($B1566,FuelKey,0))</f>
        <v>all</v>
      </c>
      <c r="H1566" s="3" t="str">
        <f>INDEX('Constants and Mappings'!$F$186:$F$201,MATCH($C1566,SubKey,0))</f>
        <v>ind</v>
      </c>
      <c r="I1566" s="3" t="str">
        <f>INDEX('Constants and Mappings'!$I$229:$I$237,MATCH($B1566,FuelKey,0))&amp;"."&amp;IF($G1566="sub",$H1566,"all")</f>
        <v>ker.all</v>
      </c>
      <c r="J1566" s="3" t="str">
        <f>INDEX('Constants and Mappings'!$E$186:$E$201,MATCH($C1566,SubKey,0))</f>
        <v>ind</v>
      </c>
      <c r="K1566" s="3">
        <f>INDEX('Constants and Mappings'!$G$229:$G$237,MATCH($B1566,FuelKey,0))</f>
        <v>0.03774882965510715</v>
      </c>
      <c r="L1566" s="3">
        <f>INDEX('Constants and Mappings'!$H$229:$H$237,MATCH($B1566,FuelKey,0))</f>
        <v>6.0</v>
      </c>
      <c r="M1566" s="3">
        <f>INDEX('Constants and Mappings'!$H$186:$H$201,MATCH($C1566,SubKey,0))</f>
        <v>11.0</v>
      </c>
      <c r="N1566" s="3">
        <f>INDEX('Constants and Mappings'!$E$300:$E$313,MATCH($I1566,'Constants and Mappings'!$A$300:$A$313,0))</f>
        <v>12.0</v>
      </c>
      <c r="O1566" s="48">
        <f>INDEX(ElaSel,MATCH("inc|"&amp;$E1566&amp;"|"&amp;$D1566,ElaSelKey,0))</f>
        <v>0.8</v>
      </c>
      <c r="P1566" s="48">
        <f>INDEX(ElaSel,MATCH("usg|"&amp;$E1566&amp;"|"&amp;$D1566,ElaSelKey,0))</f>
        <v>-0.4</v>
      </c>
      <c r="Q1566" s="48">
        <f>INDEX(ElaSel,MATCH("eff|"&amp;$E1566&amp;"|"&amp;$D1566,ElaSelKey,0))</f>
        <v>-0.4</v>
      </c>
      <c r="R1566" s="225">
        <f>INDEX(ElaSel,MATCH("aei|"&amp;$F1566&amp;"|"&amp;$D1566,ElaSelKey,0))</f>
        <v>0.005</v>
      </c>
      <c r="S1566" s="133" t="n">
        <v>3</v>
      </c>
      <c r="T1566" s="48">
        <f>$Q1566*(1+$P1566)</f>
        <v>-0.24</v>
      </c>
      <c r="U1566" s="3">
        <f>INDEX('Constants and Mappings'!$E$1633:$E$1644,MATCH($I1566,'Constants and Mappings'!$A$1633:$A$1644,0))</f>
        <v>254.0</v>
      </c>
      <c r="V1566" s="225">
        <f>INDEX('Constants and Mappings'!$V$1633:$V$1644,MATCH($I1566,'Constants and Mappings'!$A$1633:$A$1644,0))</f>
        <v>0.0</v>
      </c>
      <c r="W1566" s="197">
        <f>INDEX(EFSel,MATCH($B1566&amp;"|"&amp;$J1566,EFSelKey,0))*EFCalib</f>
        <v>0.06749067257272545</v>
      </c>
      <c r="X1566" s="195">
        <f>IF(LEFT(BalOpt,3)="Bal",$AY1566*$AV1566+$AZ1566*$AX1566,$BA1566)</f>
        <v>0.0</v>
      </c>
      <c r="Y1566" s="3" t="str">
        <f>IF($G1566="sub",$H1566,IF($B1566="oop","ind","trs"))</f>
        <v>trs</v>
      </c>
      <c r="Z1566" s="39">
        <f>IFERROR(MATCH($Y1566&amp;"|"&amp;$B1566,XKey,0),1)</f>
        <v>16.0</v>
      </c>
      <c r="AA1566" s="48">
        <f>INDEX(XCTVal,$Z1566,ECPEmb)+INDEX(XETSVal,$Z1566,ECPEmb)</f>
        <v>0.0</v>
      </c>
      <c r="AB1566" s="8" t="inlineStr">
        <is>
          <t>mnf</t>
        </is>
      </c>
      <c r="AC1566" s="8" t="inlineStr">
        <is>
          <t>ker</t>
        </is>
      </c>
      <c r="AD1566" s="197">
        <f>IFERROR(INDEX(NCEfIn,MATCH($AB1566&amp;"."&amp;$AC1566&amp;".ch4",NCEfKey,0)),0)</f>
        <v>0.125604</v>
      </c>
      <c r="AE1566" s="197">
        <f>IFERROR(INDEX(NCEfFin,MATCH($AB1566&amp;"."&amp;$AC1566&amp;".ch4",NCEfKey,0)),0)</f>
        <v>0.125604</v>
      </c>
      <c r="AF1566" s="3" t="n">
        <v>0</v>
      </c>
      <c r="AG1566" s="197">
        <f>IFERROR(INDEX(NCEfIn,MATCH($AB1566&amp;"."&amp;$AC1566&amp;".pm2",NCEfKey,0)),0)</f>
        <v>0.020934</v>
      </c>
      <c r="AH1566" s="197">
        <f>IFERROR(INDEX(NCEfFin,MATCH($AB1566&amp;"."&amp;$AC1566&amp;".pm2",NCEfKey,0)),0)</f>
        <v>0.020934</v>
      </c>
      <c r="AI1566" s="197">
        <f>IFERROR(INDEX(NCEfIn,MATCH($AB1566&amp;"."&amp;$AC1566&amp;".nox",NCEfKey,0)),0)</f>
        <v>2.93076</v>
      </c>
      <c r="AJ1566" s="197">
        <f>IFERROR(INDEX(NCEfFin,MATCH($AB1566&amp;"."&amp;$AC1566&amp;".nox",NCEfKey,0)),0)</f>
        <v>2.93076</v>
      </c>
      <c r="AK1566" s="197">
        <f>IFERROR(INDEX(NCEfIn,MATCH($AB1566&amp;"."&amp;$AC1566&amp;".so2",NCEfKey,0)),0)</f>
        <v>0.9101726388000001</v>
      </c>
      <c r="AL1566" s="197">
        <f>IFERROR(INDEX(NCEfFin,MATCH($AB1566&amp;"."&amp;$AC1566&amp;".so2",NCEfKey,0)),0)</f>
        <v>0.9101726388000001</v>
      </c>
      <c r="AM1566" s="197">
        <f>IFERROR(INDEX(NCEfIn,MATCH($AB1566&amp;"."&amp;$AC1566&amp;".voc",NCEfKey,0)),0)</f>
        <v>0.10467</v>
      </c>
      <c r="AN1566" s="197">
        <f>IFERROR(INDEX(NCEfFin,MATCH($AB1566&amp;"."&amp;$AC1566&amp;".voc",NCEfKey,0)),0)</f>
        <v>0.10467</v>
      </c>
      <c r="AO1566" s="197">
        <f>IFERROR(INDEX(NCEfIn,MATCH($AB1566&amp;"."&amp;$AC1566&amp;".bc",NCEfKey,0)),0)</f>
        <v>0.001402578</v>
      </c>
      <c r="AP1566" s="197">
        <f>IFERROR(INDEX(NCEfFin,MATCH($AB1566&amp;"."&amp;$AC1566&amp;".bc",NCEfKey,0)),0)</f>
        <v>0.001402578</v>
      </c>
      <c r="AQ1566" s="197">
        <f>IFERROR(INDEX(NCEfIn,MATCH($AB1566&amp;"."&amp;$AC1566&amp;".oc",NCEfKey,0)),0)</f>
        <v>0.0157005</v>
      </c>
      <c r="AR1566" s="197">
        <f>IFERROR(INDEX(NCEfFin,MATCH($AB1566&amp;"."&amp;$AC1566&amp;".oc",NCEfKey,0)),0)</f>
        <v>0.0157005</v>
      </c>
      <c r="AS1566" s="197">
        <f>IFERROR(INDEX(NCEfIn,MATCH($AB1566&amp;"."&amp;$AC1566&amp;".co",NCEfKey,0)),0)</f>
        <v>1.67472</v>
      </c>
      <c r="AT1566" s="197">
        <f>IFERROR(INDEX(NCEfFin,MATCH($AB1566&amp;"."&amp;$AC1566&amp;".co",NCEfKey,0)),0)</f>
        <v>1.67472</v>
      </c>
      <c r="AU1566" s="3" t="str">
        <f>INDEX('Constants and Mappings'!$J$186:$J$201,MATCH($C1566,SubKey,0))</f>
        <v>nonferrmet</v>
      </c>
      <c r="AV1566" s="3">
        <f>INDEX('Constants and Mappings'!$K$186:$K$201,MATCH($C1566,SubKey,0))</f>
        <v>1.0</v>
      </c>
      <c r="AW1566" s="3" t="str">
        <f>INDEX('Constants and Mappings'!$L$186:$L$201,MATCH($C1566,SubKey,0))&amp;""</f>
        <v/>
      </c>
      <c r="AX1566" s="3">
        <f>INDEX('Constants and Mappings'!$M$186:$M$201,MATCH($C1566,SubKey,0))</f>
        <v>0.0</v>
      </c>
      <c r="AY1566" s="3" t="n">
        <v>0</v>
      </c>
      <c r="AZ1566" s="3" t="n">
        <v>0</v>
      </c>
      <c r="BA1566" s="3" t="n">
        <v>0</v>
      </c>
      <c r="BB1566" s="3" t="n">
        <v>0</v>
      </c>
      <c r="BC1566" s="3" t="n">
        <v>0</v>
      </c>
      <c r="BD1566" s="3">
        <f>IFERROR($BB1566/$BC1566,0)</f>
        <v>0.0</v>
      </c>
      <c r="BE1566" s="133" t="n">
        <v>1</v>
      </c>
      <c r="BF1566" s="39" t="n">
        <v>1</v>
      </c>
    </row>
    <row r="1567">
      <c r="A1567" s="3" t="str">
        <f>$B1567&amp;"|"&amp;$C1567</f>
        <v>jfu|nfm</v>
      </c>
      <c r="B1567" s="8" t="inlineStr">
        <is>
          <t>jfu</t>
        </is>
      </c>
      <c r="C1567" s="8" t="inlineStr">
        <is>
          <t>nfm</t>
        </is>
      </c>
      <c r="D1567" s="3" t="str">
        <f>INDEX('Constants and Mappings'!$D$186:$D$201,MATCH($C1567,SubKey,0))</f>
        <v>ind</v>
      </c>
      <c r="E1567" s="3" t="str">
        <f>INDEX('Constants and Mappings'!$C$229:$C$237,MATCH($B1567,FuelKey,0))</f>
        <v>oil</v>
      </c>
      <c r="F1567" s="3" t="str">
        <f>INDEX('Constants and Mappings'!$D$229:$D$237,MATCH($B1567,FuelKey,0))</f>
        <v>oil</v>
      </c>
      <c r="G1567" s="3" t="str">
        <f>INDEX('Constants and Mappings'!$E$229:$E$237,MATCH($B1567,FuelKey,0))</f>
        <v>all</v>
      </c>
      <c r="H1567" s="3" t="str">
        <f>INDEX('Constants and Mappings'!$F$186:$F$201,MATCH($C1567,SubKey,0))</f>
        <v>ind</v>
      </c>
      <c r="I1567" s="3" t="str">
        <f>INDEX('Constants and Mappings'!$I$229:$I$237,MATCH($B1567,FuelKey,0))&amp;"."&amp;IF($G1567="sub",$H1567,"all")</f>
        <v>ker.all</v>
      </c>
      <c r="J1567" s="3" t="str">
        <f>INDEX('Constants and Mappings'!$E$186:$E$201,MATCH($C1567,SubKey,0))</f>
        <v>ind</v>
      </c>
      <c r="K1567" s="3">
        <f>INDEX('Constants and Mappings'!$G$229:$G$237,MATCH($B1567,FuelKey,0))</f>
        <v>0.0348608</v>
      </c>
      <c r="L1567" s="3">
        <f>INDEX('Constants and Mappings'!$H$229:$H$237,MATCH($B1567,FuelKey,0))</f>
        <v>7.0</v>
      </c>
      <c r="M1567" s="3">
        <f>INDEX('Constants and Mappings'!$H$186:$H$201,MATCH($C1567,SubKey,0))</f>
        <v>11.0</v>
      </c>
      <c r="N1567" s="3">
        <f>INDEX('Constants and Mappings'!$E$300:$E$313,MATCH($I1567,'Constants and Mappings'!$A$300:$A$313,0))</f>
        <v>12.0</v>
      </c>
      <c r="O1567" s="48">
        <f>INDEX(ElaSel,MATCH("inc|"&amp;$E1567&amp;"|"&amp;$D1567,ElaSelKey,0))</f>
        <v>0.8</v>
      </c>
      <c r="P1567" s="48">
        <f>INDEX(ElaSel,MATCH("usg|"&amp;$E1567&amp;"|"&amp;$D1567,ElaSelKey,0))</f>
        <v>-0.4</v>
      </c>
      <c r="Q1567" s="48">
        <f>INDEX(ElaSel,MATCH("eff|"&amp;$E1567&amp;"|"&amp;$D1567,ElaSelKey,0))</f>
        <v>-0.4</v>
      </c>
      <c r="R1567" s="225">
        <f>INDEX(ElaSel,MATCH("aei|"&amp;$F1567&amp;"|"&amp;$D1567,ElaSelKey,0))</f>
        <v>0.005</v>
      </c>
      <c r="S1567" s="133" t="n">
        <v>3</v>
      </c>
      <c r="T1567" s="48">
        <f>$Q1567*(1+$P1567)</f>
        <v>-0.24</v>
      </c>
      <c r="U1567" s="3">
        <f>INDEX('Constants and Mappings'!$E$1633:$E$1644,MATCH($I1567,'Constants and Mappings'!$A$1633:$A$1644,0))</f>
        <v>254.0</v>
      </c>
      <c r="V1567" s="225">
        <f>INDEX('Constants and Mappings'!$V$1633:$V$1644,MATCH($I1567,'Constants and Mappings'!$A$1633:$A$1644,0))</f>
        <v>0.0</v>
      </c>
      <c r="W1567" s="197">
        <f>INDEX(EFSel,MATCH($B1567&amp;"|"&amp;$J1567,EFSelKey,0))*EFCalib</f>
        <v>0.07118114095776658</v>
      </c>
      <c r="X1567" s="195">
        <f>IF(LEFT(BalOpt,3)="Bal",$AY1567*$AV1567+$AZ1567*$AX1567,$BA1567)</f>
        <v>0.0</v>
      </c>
      <c r="Y1567" s="3" t="str">
        <f>IF($G1567="sub",$H1567,IF($B1567="oop","ind","trs"))</f>
        <v>trs</v>
      </c>
      <c r="Z1567" s="39">
        <f>IFERROR(MATCH($Y1567&amp;"|"&amp;$B1567,XKey,0),1)</f>
        <v>17.0</v>
      </c>
      <c r="AA1567" s="48">
        <f>INDEX(XCTVal,$Z1567,ECPEmb)+INDEX(XETSVal,$Z1567,ECPEmb)</f>
        <v>0.0</v>
      </c>
      <c r="AB1567" s="8" t="inlineStr">
        <is>
          <t>mnf</t>
        </is>
      </c>
      <c r="AC1567" s="8" t="inlineStr">
        <is>
          <t>jfu</t>
        </is>
      </c>
      <c r="AD1567" s="197">
        <f>IFERROR(INDEX(NCEfIn,MATCH($AB1567&amp;"."&amp;$AC1567&amp;".ch4",NCEfKey,0)),0)</f>
        <v>0.0</v>
      </c>
      <c r="AE1567" s="197">
        <f>IFERROR(INDEX(NCEfFin,MATCH($AB1567&amp;"."&amp;$AC1567&amp;".ch4",NCEfKey,0)),0)</f>
        <v>0.0</v>
      </c>
      <c r="AF1567" s="3" t="n">
        <v>0</v>
      </c>
      <c r="AG1567" s="197">
        <f>IFERROR(INDEX(NCEfIn,MATCH($AB1567&amp;"."&amp;$AC1567&amp;".pm2",NCEfKey,0)),0)</f>
        <v>0.0</v>
      </c>
      <c r="AH1567" s="197">
        <f>IFERROR(INDEX(NCEfFin,MATCH($AB1567&amp;"."&amp;$AC1567&amp;".pm2",NCEfKey,0)),0)</f>
        <v>0.0</v>
      </c>
      <c r="AI1567" s="197">
        <f>IFERROR(INDEX(NCEfIn,MATCH($AB1567&amp;"."&amp;$AC1567&amp;".nox",NCEfKey,0)),0)</f>
        <v>0.0</v>
      </c>
      <c r="AJ1567" s="197">
        <f>IFERROR(INDEX(NCEfFin,MATCH($AB1567&amp;"."&amp;$AC1567&amp;".nox",NCEfKey,0)),0)</f>
        <v>0.0</v>
      </c>
      <c r="AK1567" s="197">
        <f>IFERROR(INDEX(NCEfIn,MATCH($AB1567&amp;"."&amp;$AC1567&amp;".so2",NCEfKey,0)),0)</f>
        <v>0.0</v>
      </c>
      <c r="AL1567" s="197">
        <f>IFERROR(INDEX(NCEfFin,MATCH($AB1567&amp;"."&amp;$AC1567&amp;".so2",NCEfKey,0)),0)</f>
        <v>0.0</v>
      </c>
      <c r="AM1567" s="197">
        <f>IFERROR(INDEX(NCEfIn,MATCH($AB1567&amp;"."&amp;$AC1567&amp;".voc",NCEfKey,0)),0)</f>
        <v>0.0</v>
      </c>
      <c r="AN1567" s="197">
        <f>IFERROR(INDEX(NCEfFin,MATCH($AB1567&amp;"."&amp;$AC1567&amp;".voc",NCEfKey,0)),0)</f>
        <v>0.0</v>
      </c>
      <c r="AO1567" s="197">
        <f>IFERROR(INDEX(NCEfIn,MATCH($AB1567&amp;"."&amp;$AC1567&amp;".bc",NCEfKey,0)),0)</f>
        <v>0.0</v>
      </c>
      <c r="AP1567" s="197">
        <f>IFERROR(INDEX(NCEfFin,MATCH($AB1567&amp;"."&amp;$AC1567&amp;".bc",NCEfKey,0)),0)</f>
        <v>0.0</v>
      </c>
      <c r="AQ1567" s="197">
        <f>IFERROR(INDEX(NCEfIn,MATCH($AB1567&amp;"."&amp;$AC1567&amp;".oc",NCEfKey,0)),0)</f>
        <v>0.0</v>
      </c>
      <c r="AR1567" s="197">
        <f>IFERROR(INDEX(NCEfFin,MATCH($AB1567&amp;"."&amp;$AC1567&amp;".oc",NCEfKey,0)),0)</f>
        <v>0.0</v>
      </c>
      <c r="AS1567" s="197">
        <f>IFERROR(INDEX(NCEfIn,MATCH($AB1567&amp;"."&amp;$AC1567&amp;".co",NCEfKey,0)),0)</f>
        <v>0.0</v>
      </c>
      <c r="AT1567" s="197">
        <f>IFERROR(INDEX(NCEfFin,MATCH($AB1567&amp;"."&amp;$AC1567&amp;".co",NCEfKey,0)),0)</f>
        <v>0.0</v>
      </c>
      <c r="AU1567" s="3" t="str">
        <f>INDEX('Constants and Mappings'!$J$186:$J$201,MATCH($C1567,SubKey,0))</f>
        <v>nonferrmet</v>
      </c>
      <c r="AV1567" s="3">
        <f>INDEX('Constants and Mappings'!$K$186:$K$201,MATCH($C1567,SubKey,0))</f>
        <v>1.0</v>
      </c>
      <c r="AW1567" s="3" t="str">
        <f>INDEX('Constants and Mappings'!$L$186:$L$201,MATCH($C1567,SubKey,0))&amp;""</f>
        <v/>
      </c>
      <c r="AX1567" s="3">
        <f>INDEX('Constants and Mappings'!$M$186:$M$201,MATCH($C1567,SubKey,0))</f>
        <v>0.0</v>
      </c>
      <c r="AY1567" s="3" t="n">
        <v>0</v>
      </c>
      <c r="AZ1567" s="3" t="n">
        <v>0</v>
      </c>
      <c r="BA1567" s="3" t="n">
        <v>0</v>
      </c>
      <c r="BB1567" s="3" t="n">
        <v>0</v>
      </c>
      <c r="BC1567" s="3" t="n">
        <v>0</v>
      </c>
      <c r="BD1567" s="3">
        <f>IFERROR($BB1567/$BC1567,0)</f>
        <v>0.0</v>
      </c>
      <c r="BE1567" s="133" t="n">
        <v>1</v>
      </c>
      <c r="BF1567" s="39" t="n">
        <v>1</v>
      </c>
    </row>
    <row r="1568">
      <c r="A1568" s="3" t="str">
        <f>$B1568&amp;"|"&amp;$C1568</f>
        <v>oop|nfm</v>
      </c>
      <c r="B1568" s="8" t="inlineStr">
        <is>
          <t>oop</t>
        </is>
      </c>
      <c r="C1568" s="8" t="inlineStr">
        <is>
          <t>nfm</t>
        </is>
      </c>
      <c r="D1568" s="3" t="str">
        <f>INDEX('Constants and Mappings'!$D$186:$D$201,MATCH($C1568,SubKey,0))</f>
        <v>ind</v>
      </c>
      <c r="E1568" s="3" t="str">
        <f>INDEX('Constants and Mappings'!$C$229:$C$237,MATCH($B1568,FuelKey,0))</f>
        <v>oil</v>
      </c>
      <c r="F1568" s="3" t="str">
        <f>INDEX('Constants and Mappings'!$D$229:$D$237,MATCH($B1568,FuelKey,0))</f>
        <v>oil</v>
      </c>
      <c r="G1568" s="3" t="str">
        <f>INDEX('Constants and Mappings'!$E$229:$E$237,MATCH($B1568,FuelKey,0))</f>
        <v>all</v>
      </c>
      <c r="H1568" s="3" t="str">
        <f>INDEX('Constants and Mappings'!$F$186:$F$201,MATCH($C1568,SubKey,0))</f>
        <v>ind</v>
      </c>
      <c r="I1568" s="3" t="str">
        <f>INDEX('Constants and Mappings'!$I$229:$I$237,MATCH($B1568,FuelKey,0))&amp;"."&amp;IF($G1568="sub",$H1568,"all")</f>
        <v>oop.all</v>
      </c>
      <c r="J1568" s="3" t="str">
        <f>INDEX('Constants and Mappings'!$E$186:$E$201,MATCH($C1568,SubKey,0))</f>
        <v>ind</v>
      </c>
      <c r="K1568" s="3">
        <f>INDEX('Constants and Mappings'!$G$229:$G$237,MATCH($B1568,FuelKey,0))</f>
        <v>6.12</v>
      </c>
      <c r="L1568" s="3">
        <f>INDEX('Constants and Mappings'!$H$229:$H$237,MATCH($B1568,FuelKey,0))</f>
        <v>8.0</v>
      </c>
      <c r="M1568" s="3">
        <f>INDEX('Constants and Mappings'!$H$186:$H$201,MATCH($C1568,SubKey,0))</f>
        <v>11.0</v>
      </c>
      <c r="N1568" s="3">
        <f>INDEX('Constants and Mappings'!$E$300:$E$313,MATCH($I1568,'Constants and Mappings'!$A$300:$A$313,0))</f>
        <v>13.0</v>
      </c>
      <c r="O1568" s="48">
        <f>INDEX(ElaSel,MATCH("inc|"&amp;$E1568&amp;"|"&amp;$D1568,ElaSelKey,0))</f>
        <v>0.8</v>
      </c>
      <c r="P1568" s="48">
        <f>INDEX(ElaSel,MATCH("usg|"&amp;$E1568&amp;"|"&amp;$D1568,ElaSelKey,0))</f>
        <v>-0.4</v>
      </c>
      <c r="Q1568" s="48">
        <f>INDEX(ElaSel,MATCH("eff|"&amp;$E1568&amp;"|"&amp;$D1568,ElaSelKey,0))</f>
        <v>-0.4</v>
      </c>
      <c r="R1568" s="225">
        <f>INDEX(ElaSel,MATCH("aei|"&amp;$F1568&amp;"|"&amp;$D1568,ElaSelKey,0))</f>
        <v>0.005</v>
      </c>
      <c r="S1568" s="133" t="n">
        <v>3</v>
      </c>
      <c r="T1568" s="48">
        <f>$Q1568*(1+$P1568)</f>
        <v>-0.24</v>
      </c>
      <c r="U1568" s="3">
        <f>INDEX('Constants and Mappings'!$E$1633:$E$1644,MATCH($I1568,'Constants and Mappings'!$A$1633:$A$1644,0))</f>
        <v>283.0</v>
      </c>
      <c r="V1568" s="225">
        <f>INDEX('Constants and Mappings'!$V$1633:$V$1644,MATCH($I1568,'Constants and Mappings'!$A$1633:$A$1644,0))</f>
        <v>0.0</v>
      </c>
      <c r="W1568" s="197">
        <f>INDEX(EFSel,MATCH($B1568&amp;"|"&amp;$J1568,EFSelKey,0))*EFCalib</f>
        <v>0.07635795120924052</v>
      </c>
      <c r="X1568" s="195">
        <f>IF(LEFT(BalOpt,3)="Bal",$AY1568*$AV1568+$AZ1568*$AX1568,$BA1568)</f>
        <v>0.0</v>
      </c>
      <c r="Y1568" s="3" t="str">
        <f>IF($G1568="sub",$H1568,IF($B1568="oop","ind","trs"))</f>
        <v>ind</v>
      </c>
      <c r="Z1568" s="39">
        <f>IFERROR(MATCH($Y1568&amp;"|"&amp;$B1568,XKey,0),1)</f>
        <v>36.0</v>
      </c>
      <c r="AA1568" s="48">
        <f>INDEX(XCTVal,$Z1568,ECPEmb)+INDEX(XETSVal,$Z1568,ECPEmb)</f>
        <v>0.0</v>
      </c>
      <c r="AB1568" s="8" t="inlineStr">
        <is>
          <t>mnf</t>
        </is>
      </c>
      <c r="AC1568" s="8" t="inlineStr">
        <is>
          <t>oop</t>
        </is>
      </c>
      <c r="AD1568" s="197">
        <f>IFERROR(INDEX(NCEfIn,MATCH($AB1568&amp;"."&amp;$AC1568&amp;".ch4",NCEfKey,0)),0)</f>
        <v>0.125604</v>
      </c>
      <c r="AE1568" s="197">
        <f>IFERROR(INDEX(NCEfFin,MATCH($AB1568&amp;"."&amp;$AC1568&amp;".ch4",NCEfKey,0)),0)</f>
        <v>0.1255998132</v>
      </c>
      <c r="AF1568" s="3" t="n">
        <v>0</v>
      </c>
      <c r="AG1568" s="197">
        <f>IFERROR(INDEX(NCEfIn,MATCH($AB1568&amp;"."&amp;$AC1568&amp;".pm2",NCEfKey,0)),0)</f>
        <v>0.304212888</v>
      </c>
      <c r="AH1568" s="197">
        <f>IFERROR(INDEX(NCEfFin,MATCH($AB1568&amp;"."&amp;$AC1568&amp;".pm2",NCEfKey,0)),0)</f>
        <v>0.3042087012</v>
      </c>
      <c r="AI1568" s="197">
        <f>IFERROR(INDEX(NCEfIn,MATCH($AB1568&amp;"."&amp;$AC1568&amp;".nox",NCEfKey,0)),0)</f>
        <v>7.95492</v>
      </c>
      <c r="AJ1568" s="197">
        <f>IFERROR(INDEX(NCEfFin,MATCH($AB1568&amp;"."&amp;$AC1568&amp;".nox",NCEfKey,0)),0)</f>
        <v>6.173939016</v>
      </c>
      <c r="AK1568" s="197">
        <f>IFERROR(INDEX(NCEfIn,MATCH($AB1568&amp;"."&amp;$AC1568&amp;".so2",NCEfKey,0)),0)</f>
        <v>35.5878</v>
      </c>
      <c r="AL1568" s="197">
        <f>IFERROR(INDEX(NCEfFin,MATCH($AB1568&amp;"."&amp;$AC1568&amp;".so2",NCEfKey,0)),0)</f>
        <v>27.2137143312</v>
      </c>
      <c r="AM1568" s="197">
        <f>IFERROR(INDEX(NCEfIn,MATCH($AB1568&amp;"."&amp;$AC1568&amp;".voc",NCEfKey,0)),0)</f>
        <v>0.20934</v>
      </c>
      <c r="AN1568" s="197">
        <f>IFERROR(INDEX(NCEfFin,MATCH($AB1568&amp;"."&amp;$AC1568&amp;".voc",NCEfKey,0)),0)</f>
        <v>0.2093358132</v>
      </c>
      <c r="AO1568" s="197">
        <f>IFERROR(INDEX(NCEfIn,MATCH($AB1568&amp;"."&amp;$AC1568&amp;".bc",NCEfKey,0)),0)</f>
        <v>0.0295881156</v>
      </c>
      <c r="AP1568" s="197">
        <f>IFERROR(INDEX(NCEfFin,MATCH($AB1568&amp;"."&amp;$AC1568&amp;".bc",NCEfKey,0)),0)</f>
        <v>0.0295881156</v>
      </c>
      <c r="AQ1568" s="197">
        <f>IFERROR(INDEX(NCEfIn,MATCH($AB1568&amp;"."&amp;$AC1568&amp;".oc",NCEfKey,0)),0)</f>
        <v>0.0123845544</v>
      </c>
      <c r="AR1568" s="197">
        <f>IFERROR(INDEX(NCEfFin,MATCH($AB1568&amp;"."&amp;$AC1568&amp;".oc",NCEfKey,0)),0)</f>
        <v>0.0123845544</v>
      </c>
      <c r="AS1568" s="197">
        <f>IFERROR(INDEX(NCEfIn,MATCH($AB1568&amp;"."&amp;$AC1568&amp;".co",NCEfKey,0)),0)</f>
        <v>1.67472</v>
      </c>
      <c r="AT1568" s="197">
        <f>IFERROR(INDEX(NCEfFin,MATCH($AB1568&amp;"."&amp;$AC1568&amp;".co",NCEfKey,0)),0)</f>
        <v>1.6746906924</v>
      </c>
      <c r="AU1568" s="3" t="str">
        <f>INDEX('Constants and Mappings'!$J$186:$J$201,MATCH($C1568,SubKey,0))</f>
        <v>nonferrmet</v>
      </c>
      <c r="AV1568" s="3">
        <f>INDEX('Constants and Mappings'!$K$186:$K$201,MATCH($C1568,SubKey,0))</f>
        <v>1.0</v>
      </c>
      <c r="AW1568" s="3" t="str">
        <f>INDEX('Constants and Mappings'!$L$186:$L$201,MATCH($C1568,SubKey,0))&amp;""</f>
        <v/>
      </c>
      <c r="AX1568" s="3">
        <f>INDEX('Constants and Mappings'!$M$186:$M$201,MATCH($C1568,SubKey,0))</f>
        <v>0.0</v>
      </c>
      <c r="AY1568" s="3" t="n">
        <v>0</v>
      </c>
      <c r="AZ1568" s="3" t="n">
        <v>0</v>
      </c>
      <c r="BA1568" s="3" t="n">
        <v>0</v>
      </c>
      <c r="BB1568" s="3" t="n">
        <v>0</v>
      </c>
      <c r="BC1568" s="3" t="n">
        <v>0</v>
      </c>
      <c r="BD1568" s="3">
        <f>IFERROR($BB1568/$BC1568,0)</f>
        <v>0.0</v>
      </c>
      <c r="BE1568" s="133" t="n">
        <v>1</v>
      </c>
      <c r="BF1568" s="39" t="n">
        <v>1</v>
      </c>
    </row>
    <row r="1569">
      <c r="A1569" s="3" t="str">
        <f>$B1569&amp;"|"&amp;$C1569</f>
        <v>bio|nfm</v>
      </c>
      <c r="B1569" s="8" t="inlineStr">
        <is>
          <t>bio</t>
        </is>
      </c>
      <c r="C1569" s="8" t="inlineStr">
        <is>
          <t>nfm</t>
        </is>
      </c>
      <c r="D1569" s="3" t="str">
        <f>INDEX('Constants and Mappings'!$D$186:$D$201,MATCH($C1569,SubKey,0))</f>
        <v>ind</v>
      </c>
      <c r="E1569" s="3" t="str">
        <f>INDEX('Constants and Mappings'!$C$229:$C$237,MATCH($B1569,FuelKey,0))</f>
        <v>bio</v>
      </c>
      <c r="F1569" s="3" t="str">
        <f>INDEX('Constants and Mappings'!$D$229:$D$237,MATCH($B1569,FuelKey,0))</f>
        <v>bio</v>
      </c>
      <c r="G1569" s="3" t="str">
        <f>INDEX('Constants and Mappings'!$E$229:$E$237,MATCH($B1569,FuelKey,0))</f>
        <v>all</v>
      </c>
      <c r="H1569" s="3" t="str">
        <f>INDEX('Constants and Mappings'!$F$186:$F$201,MATCH($C1569,SubKey,0))</f>
        <v>ind</v>
      </c>
      <c r="I1569" s="3" t="str">
        <f>INDEX('Constants and Mappings'!$I$229:$I$237,MATCH($B1569,FuelKey,0))&amp;"."&amp;IF($G1569="sub",$H1569,"all")</f>
        <v>bio.all</v>
      </c>
      <c r="J1569" s="3" t="str">
        <f>INDEX('Constants and Mappings'!$E$186:$E$201,MATCH($C1569,SubKey,0))</f>
        <v>ind</v>
      </c>
      <c r="K1569" s="3">
        <f>INDEX('Constants and Mappings'!$G$229:$G$237,MATCH($B1569,FuelKey,0))</f>
        <v>1.0</v>
      </c>
      <c r="L1569" s="3">
        <f>INDEX('Constants and Mappings'!$H$229:$H$237,MATCH($B1569,FuelKey,0))</f>
        <v>9.0</v>
      </c>
      <c r="M1569" s="3">
        <f>INDEX('Constants and Mappings'!$H$186:$H$201,MATCH($C1569,SubKey,0))</f>
        <v>11.0</v>
      </c>
      <c r="N1569" s="3">
        <f>INDEX('Constants and Mappings'!$E$300:$E$313,MATCH($I1569,'Constants and Mappings'!$A$300:$A$313,0))</f>
        <v>14.0</v>
      </c>
      <c r="O1569" s="48">
        <f>INDEX(ElaSel,MATCH("inc|"&amp;$E1569&amp;"|"&amp;$D1569,ElaSelKey,0))</f>
        <v>0.1</v>
      </c>
      <c r="P1569" s="48">
        <f>INDEX(ElaSel,MATCH("usg|"&amp;$E1569&amp;"|"&amp;$D1569,ElaSelKey,0))</f>
        <v>-0.3</v>
      </c>
      <c r="Q1569" s="48">
        <f>INDEX(ElaSel,MATCH("eff|"&amp;$E1569&amp;"|"&amp;$D1569,ElaSelKey,0))</f>
        <v>-0.2</v>
      </c>
      <c r="R1569" s="225">
        <f>INDEX(ElaSel,MATCH("aei|"&amp;$F1569&amp;"|"&amp;$D1569,ElaSelKey,0))</f>
        <v>0.005</v>
      </c>
      <c r="S1569" s="133" t="n">
        <v>3</v>
      </c>
      <c r="T1569" s="48">
        <f>$Q1569*(1+$P1569)</f>
        <v>-0.13999999999999999</v>
      </c>
      <c r="U1569" s="3">
        <f>INDEX('Constants and Mappings'!$E$1633:$E$1644,MATCH($I1569,'Constants and Mappings'!$A$1633:$A$1644,0))</f>
        <v>312.0</v>
      </c>
      <c r="V1569" s="225">
        <f>INDEX('Constants and Mappings'!$V$1633:$V$1644,MATCH($I1569,'Constants and Mappings'!$A$1633:$A$1644,0))</f>
        <v>0.0</v>
      </c>
      <c r="W1569" s="197">
        <f>INDEX(EFSel,MATCH($B1569&amp;"|"&amp;$J1569,EFSelKey,0))*EFCalib</f>
        <v>0.0</v>
      </c>
      <c r="X1569" s="195">
        <f>IF(LEFT(BalOpt,3)="Bal",$AY1569*$AV1569+$AZ1569*$AX1569,$BA1569)</f>
        <v>0.0</v>
      </c>
      <c r="Y1569" s="3" t="str">
        <f>IF($G1569="sub",$H1569,IF($B1569="oop","ind","trs"))</f>
        <v>trs</v>
      </c>
      <c r="Z1569" s="39">
        <f>IFERROR(MATCH($Y1569&amp;"|"&amp;$B1569,XKey,0),1)</f>
        <v>19.0</v>
      </c>
      <c r="AA1569" s="48">
        <f>INDEX(XCTVal,$Z1569,ECPEmb)+INDEX(XETSVal,$Z1569,ECPEmb)</f>
        <v>0.0</v>
      </c>
      <c r="AB1569" s="8" t="inlineStr">
        <is>
          <t>mnf</t>
        </is>
      </c>
      <c r="AC1569" s="8" t="inlineStr">
        <is>
          <t>bio</t>
        </is>
      </c>
      <c r="AD1569" s="197">
        <f>IFERROR(INDEX(NCEfIn,MATCH($AB1569&amp;"."&amp;$AC1569&amp;".ch4",NCEfKey,0)),0)</f>
        <v>0.460548</v>
      </c>
      <c r="AE1569" s="197">
        <f>IFERROR(INDEX(NCEfFin,MATCH($AB1569&amp;"."&amp;$AC1569&amp;".ch4",NCEfKey,0)),0)</f>
        <v>0.460548</v>
      </c>
      <c r="AF1569" s="3" t="n">
        <v>0</v>
      </c>
      <c r="AG1569" s="197">
        <f>IFERROR(INDEX(NCEfIn,MATCH($AB1569&amp;"."&amp;$AC1569&amp;".pm2",NCEfKey,0)),0)</f>
        <v>6.2980860096</v>
      </c>
      <c r="AH1569" s="197">
        <f>IFERROR(INDEX(NCEfFin,MATCH($AB1569&amp;"."&amp;$AC1569&amp;".pm2",NCEfKey,0)),0)</f>
        <v>4.139405424</v>
      </c>
      <c r="AI1569" s="197">
        <f>IFERROR(INDEX(NCEfIn,MATCH($AB1569&amp;"."&amp;$AC1569&amp;".nox",NCEfKey,0)),0)</f>
        <v>5.44284</v>
      </c>
      <c r="AJ1569" s="197">
        <f>IFERROR(INDEX(NCEfFin,MATCH($AB1569&amp;"."&amp;$AC1569&amp;".nox",NCEfKey,0)),0)</f>
        <v>5.44284</v>
      </c>
      <c r="AK1569" s="197">
        <f>IFERROR(INDEX(NCEfIn,MATCH($AB1569&amp;"."&amp;$AC1569&amp;".so2",NCEfKey,0)),0)</f>
        <v>1.0467</v>
      </c>
      <c r="AL1569" s="197">
        <f>IFERROR(INDEX(NCEfFin,MATCH($AB1569&amp;"."&amp;$AC1569&amp;".so2",NCEfKey,0)),0)</f>
        <v>1.0467</v>
      </c>
      <c r="AM1569" s="197">
        <f>IFERROR(INDEX(NCEfIn,MATCH($AB1569&amp;"."&amp;$AC1569&amp;".voc",NCEfKey,0)),0)</f>
        <v>2.1837846384</v>
      </c>
      <c r="AN1569" s="197">
        <f>IFERROR(INDEX(NCEfFin,MATCH($AB1569&amp;"."&amp;$AC1569&amp;".voc",NCEfKey,0)),0)</f>
        <v>2.009664</v>
      </c>
      <c r="AO1569" s="197">
        <f>IFERROR(INDEX(NCEfIn,MATCH($AB1569&amp;"."&amp;$AC1569&amp;".bc",NCEfKey,0)),0)</f>
        <v>0.3287014812</v>
      </c>
      <c r="AP1569" s="197">
        <f>IFERROR(INDEX(NCEfFin,MATCH($AB1569&amp;"."&amp;$AC1569&amp;".bc",NCEfKey,0)),0)</f>
        <v>0.2188524096</v>
      </c>
      <c r="AQ1569" s="197">
        <f>IFERROR(INDEX(NCEfIn,MATCH($AB1569&amp;"."&amp;$AC1569&amp;".oc",NCEfKey,0)),0)</f>
        <v>0.4871425536</v>
      </c>
      <c r="AR1569" s="197">
        <f>IFERROR(INDEX(NCEfFin,MATCH($AB1569&amp;"."&amp;$AC1569&amp;".oc",NCEfKey,0)),0)</f>
        <v>0.313507584</v>
      </c>
      <c r="AS1569" s="197">
        <f>IFERROR(INDEX(NCEfIn,MATCH($AB1569&amp;"."&amp;$AC1569&amp;".co",NCEfKey,0)),0)</f>
        <v>12.5604</v>
      </c>
      <c r="AT1569" s="197">
        <f>IFERROR(INDEX(NCEfFin,MATCH($AB1569&amp;"."&amp;$AC1569&amp;".co",NCEfKey,0)),0)</f>
        <v>12.5604</v>
      </c>
      <c r="AU1569" s="3" t="str">
        <f>INDEX('Constants and Mappings'!$J$186:$J$201,MATCH($C1569,SubKey,0))</f>
        <v>nonferrmet</v>
      </c>
      <c r="AV1569" s="3">
        <f>INDEX('Constants and Mappings'!$K$186:$K$201,MATCH($C1569,SubKey,0))</f>
        <v>1.0</v>
      </c>
      <c r="AW1569" s="3" t="str">
        <f>INDEX('Constants and Mappings'!$L$186:$L$201,MATCH($C1569,SubKey,0))&amp;""</f>
        <v/>
      </c>
      <c r="AX1569" s="3">
        <f>INDEX('Constants and Mappings'!$M$186:$M$201,MATCH($C1569,SubKey,0))</f>
        <v>0.0</v>
      </c>
      <c r="AY1569" s="3" t="n">
        <v>0</v>
      </c>
      <c r="AZ1569" s="3" t="n">
        <v>0</v>
      </c>
      <c r="BA1569" s="3" t="n">
        <v>0</v>
      </c>
      <c r="BB1569" s="3" t="n">
        <v>0</v>
      </c>
      <c r="BC1569" s="3" t="n">
        <v>0</v>
      </c>
      <c r="BD1569" s="3">
        <f>IFERROR($BB1569/$BC1569,0)</f>
        <v>0.0</v>
      </c>
      <c r="BE1569" s="133" t="n">
        <v>1</v>
      </c>
      <c r="BF1569" s="39" t="n">
        <v>1</v>
      </c>
    </row>
    <row r="1570">
      <c r="A1570" s="3" t="str">
        <f>$B1570&amp;"|"&amp;$C1570</f>
        <v>coa|mac</v>
      </c>
      <c r="B1570" s="8" t="inlineStr">
        <is>
          <t>coa</t>
        </is>
      </c>
      <c r="C1570" s="8" t="inlineStr">
        <is>
          <t>mac</t>
        </is>
      </c>
      <c r="D1570" s="3" t="str">
        <f>INDEX('Constants and Mappings'!$D$186:$D$201,MATCH($C1570,SubKey,0))</f>
        <v>ind</v>
      </c>
      <c r="E1570" s="3" t="str">
        <f>INDEX('Constants and Mappings'!$C$229:$C$237,MATCH($B1570,FuelKey,0))</f>
        <v>coa</v>
      </c>
      <c r="F1570" s="3" t="str">
        <f>INDEX('Constants and Mappings'!$D$229:$D$237,MATCH($B1570,FuelKey,0))</f>
        <v>coa</v>
      </c>
      <c r="G1570" s="3" t="str">
        <f>INDEX('Constants and Mappings'!$E$229:$E$237,MATCH($B1570,FuelKey,0))</f>
        <v>sub</v>
      </c>
      <c r="H1570" s="3" t="str">
        <f>INDEX('Constants and Mappings'!$F$186:$F$201,MATCH($C1570,SubKey,0))</f>
        <v>ind</v>
      </c>
      <c r="I1570" s="3" t="str">
        <f>INDEX('Constants and Mappings'!$I$229:$I$237,MATCH($B1570,FuelKey,0))&amp;"."&amp;IF($G1570="sub",$H1570,"all")</f>
        <v>coa.ind</v>
      </c>
      <c r="J1570" s="3" t="str">
        <f>INDEX('Constants and Mappings'!$E$186:$E$201,MATCH($C1570,SubKey,0))</f>
        <v>ind</v>
      </c>
      <c r="K1570" s="3">
        <f>INDEX('Constants and Mappings'!$G$229:$G$237,MATCH($B1570,FuelKey,0))</f>
        <v>1.0</v>
      </c>
      <c r="L1570" s="3">
        <f>INDEX('Constants and Mappings'!$H$229:$H$237,MATCH($B1570,FuelKey,0))</f>
        <v>1.0</v>
      </c>
      <c r="M1570" s="3">
        <f>INDEX('Constants and Mappings'!$H$186:$H$201,MATCH($C1570,SubKey,0))</f>
        <v>12.0</v>
      </c>
      <c r="N1570" s="3">
        <f>INDEX('Constants and Mappings'!$E$300:$E$313,MATCH($I1570,'Constants and Mappings'!$A$300:$A$313,0))</f>
        <v>3.0</v>
      </c>
      <c r="O1570" s="48">
        <f>INDEX(ElaSel,MATCH("inc|"&amp;$E1570&amp;"|"&amp;$D1570,ElaSelKey,0))</f>
        <v>0.5</v>
      </c>
      <c r="P1570" s="48">
        <f>INDEX(ElaSel,MATCH("usg|"&amp;$E1570&amp;"|"&amp;$D1570,ElaSelKey,0))</f>
        <v>-0.3</v>
      </c>
      <c r="Q1570" s="48">
        <f>INDEX(ElaSel,MATCH("eff|"&amp;$E1570&amp;"|"&amp;$D1570,ElaSelKey,0))</f>
        <v>-0.4</v>
      </c>
      <c r="R1570" s="225">
        <f>INDEX(ElaSel,MATCH("aei|"&amp;$F1570&amp;"|"&amp;$D1570,ElaSelKey,0))</f>
        <v>0.005</v>
      </c>
      <c r="S1570" s="133" t="n">
        <v>3</v>
      </c>
      <c r="T1570" s="48">
        <f>$Q1570*(1+$P1570)</f>
        <v>-0.27999999999999997</v>
      </c>
      <c r="U1570" s="3">
        <f>INDEX('Constants and Mappings'!$E$1633:$E$1644,MATCH($I1570,'Constants and Mappings'!$A$1633:$A$1644,0))</f>
        <v>55.0</v>
      </c>
      <c r="V1570" s="225">
        <f>INDEX('Constants and Mappings'!$V$1633:$V$1644,MATCH($I1570,'Constants and Mappings'!$A$1633:$A$1644,0))</f>
        <v>0.0</v>
      </c>
      <c r="W1570" s="197">
        <f>INDEX(EFSel,MATCH($B1570&amp;"|"&amp;$J1570,EFSelKey,0))*EFCalib</f>
        <v>0.09955404329757564</v>
      </c>
      <c r="X1570" s="195">
        <f>IF(LEFT(BalOpt,3)="Bal",$AY1570*$AV1570+$AZ1570*$AX1570,$BA1570)</f>
        <v>0.0</v>
      </c>
      <c r="Y1570" s="3" t="str">
        <f>IF($G1570="sub",$H1570,IF($B1570="oop","ind","trs"))</f>
        <v>ind</v>
      </c>
      <c r="Z1570" s="39">
        <f>IFERROR(MATCH($Y1570&amp;"|"&amp;$B1570,XKey,0),1)</f>
        <v>29.0</v>
      </c>
      <c r="AA1570" s="48">
        <f>INDEX(XCTVal,$Z1570,ECPEmb)+INDEX(XETSVal,$Z1570,ECPEmb)</f>
        <v>0.0</v>
      </c>
      <c r="AB1570" s="8" t="inlineStr">
        <is>
          <t>mnf</t>
        </is>
      </c>
      <c r="AC1570" s="8" t="inlineStr">
        <is>
          <t>coa</t>
        </is>
      </c>
      <c r="AD1570" s="197">
        <f>IFERROR(INDEX(NCEfIn,MATCH($AB1570&amp;"."&amp;$AC1570&amp;".ch4",NCEfKey,0)),0)</f>
        <v>0.4186800000000001</v>
      </c>
      <c r="AE1570" s="197">
        <f>IFERROR(INDEX(NCEfFin,MATCH($AB1570&amp;"."&amp;$AC1570&amp;".ch4",NCEfKey,0)),0)</f>
        <v>0.4186800000000001</v>
      </c>
      <c r="AF1570" s="3" t="n">
        <v>0</v>
      </c>
      <c r="AG1570" s="197">
        <f>IFERROR(INDEX(NCEfIn,MATCH($AB1570&amp;"."&amp;$AC1570&amp;".pm2",NCEfKey,0)),0)</f>
        <v>0.1073997936</v>
      </c>
      <c r="AH1570" s="197">
        <f>IFERROR(INDEX(NCEfFin,MATCH($AB1570&amp;"."&amp;$AC1570&amp;".pm2",NCEfKey,0)),0)</f>
        <v>0.0796496832</v>
      </c>
      <c r="AI1570" s="197">
        <f>IFERROR(INDEX(NCEfIn,MATCH($AB1570&amp;"."&amp;$AC1570&amp;".nox",NCEfKey,0)),0)</f>
        <v>1.2560441868</v>
      </c>
      <c r="AJ1570" s="197">
        <f>IFERROR(INDEX(NCEfFin,MATCH($AB1570&amp;"."&amp;$AC1570&amp;".nox",NCEfKey,0)),0)</f>
        <v>1.25604</v>
      </c>
      <c r="AK1570" s="197">
        <f>IFERROR(INDEX(NCEfIn,MATCH($AB1570&amp;"."&amp;$AC1570&amp;".so2",NCEfKey,0)),0)</f>
        <v>1.511497602</v>
      </c>
      <c r="AL1570" s="197">
        <f>IFERROR(INDEX(NCEfFin,MATCH($AB1570&amp;"."&amp;$AC1570&amp;".so2",NCEfKey,0)),0)</f>
        <v>1.5114808548</v>
      </c>
      <c r="AM1570" s="197">
        <f>IFERROR(INDEX(NCEfIn,MATCH($AB1570&amp;"."&amp;$AC1570&amp;".voc",NCEfKey,0)),0)</f>
        <v>0.4186800000000001</v>
      </c>
      <c r="AN1570" s="197">
        <f>IFERROR(INDEX(NCEfFin,MATCH($AB1570&amp;"."&amp;$AC1570&amp;".voc",NCEfKey,0)),0)</f>
        <v>0.4186800000000001</v>
      </c>
      <c r="AO1570" s="197">
        <f>IFERROR(INDEX(NCEfIn,MATCH($AB1570&amp;"."&amp;$AC1570&amp;".bc",NCEfKey,0)),0)</f>
        <v>0.0008876016000000001</v>
      </c>
      <c r="AP1570" s="197">
        <f>IFERROR(INDEX(NCEfFin,MATCH($AB1570&amp;"."&amp;$AC1570&amp;".bc",NCEfKey,0)),0)</f>
        <v>0.0006615144000000001</v>
      </c>
      <c r="AQ1570" s="197">
        <f>IFERROR(INDEX(NCEfIn,MATCH($AB1570&amp;"."&amp;$AC1570&amp;".oc",NCEfKey,0)),0)</f>
        <v>0.0018673128</v>
      </c>
      <c r="AR1570" s="197">
        <f>IFERROR(INDEX(NCEfFin,MATCH($AB1570&amp;"."&amp;$AC1570&amp;".oc",NCEfKey,0)),0)</f>
        <v>0.000565218</v>
      </c>
      <c r="AS1570" s="197">
        <f>IFERROR(INDEX(NCEfIn,MATCH($AB1570&amp;"."&amp;$AC1570&amp;".co",NCEfKey,0)),0)</f>
        <v>4.186800000000001</v>
      </c>
      <c r="AT1570" s="197">
        <f>IFERROR(INDEX(NCEfFin,MATCH($AB1570&amp;"."&amp;$AC1570&amp;".co",NCEfKey,0)),0)</f>
        <v>4.186795813200001</v>
      </c>
      <c r="AU1570" s="3" t="str">
        <f>INDEX('Constants and Mappings'!$J$186:$J$201,MATCH($C1570,SubKey,0))</f>
        <v>machinery</v>
      </c>
      <c r="AV1570" s="3">
        <f>INDEX('Constants and Mappings'!$K$186:$K$201,MATCH($C1570,SubKey,0))</f>
        <v>1.0</v>
      </c>
      <c r="AW1570" s="3" t="str">
        <f>INDEX('Constants and Mappings'!$L$186:$L$201,MATCH($C1570,SubKey,0))&amp;""</f>
        <v/>
      </c>
      <c r="AX1570" s="3">
        <f>INDEX('Constants and Mappings'!$M$186:$M$201,MATCH($C1570,SubKey,0))</f>
        <v>0.0</v>
      </c>
      <c r="AY1570" s="3" t="n">
        <v>0</v>
      </c>
      <c r="AZ1570" s="3" t="n">
        <v>0</v>
      </c>
      <c r="BA1570" s="3" t="n">
        <v>0</v>
      </c>
      <c r="BB1570" s="3" t="n">
        <v>0</v>
      </c>
      <c r="BC1570" s="3" t="n">
        <v>0</v>
      </c>
      <c r="BD1570" s="3">
        <f>IFERROR($BB1570/$BC1570,0)</f>
        <v>0.0</v>
      </c>
      <c r="BE1570" s="133" t="n">
        <v>1</v>
      </c>
      <c r="BF1570" s="39" t="n">
        <v>1</v>
      </c>
    </row>
    <row r="1571">
      <c r="A1571" s="3" t="str">
        <f>$B1571&amp;"|"&amp;$C1571</f>
        <v>nga|mac</v>
      </c>
      <c r="B1571" s="8" t="inlineStr">
        <is>
          <t>nga</t>
        </is>
      </c>
      <c r="C1571" s="8" t="inlineStr">
        <is>
          <t>mac</t>
        </is>
      </c>
      <c r="D1571" s="3" t="str">
        <f>INDEX('Constants and Mappings'!$D$186:$D$201,MATCH($C1571,SubKey,0))</f>
        <v>ind</v>
      </c>
      <c r="E1571" s="3" t="str">
        <f>INDEX('Constants and Mappings'!$C$229:$C$237,MATCH($B1571,FuelKey,0))</f>
        <v>nga</v>
      </c>
      <c r="F1571" s="3" t="str">
        <f>INDEX('Constants and Mappings'!$D$229:$D$237,MATCH($B1571,FuelKey,0))</f>
        <v>nga</v>
      </c>
      <c r="G1571" s="3" t="str">
        <f>INDEX('Constants and Mappings'!$E$229:$E$237,MATCH($B1571,FuelKey,0))</f>
        <v>sub</v>
      </c>
      <c r="H1571" s="3" t="str">
        <f>INDEX('Constants and Mappings'!$F$186:$F$201,MATCH($C1571,SubKey,0))</f>
        <v>ind</v>
      </c>
      <c r="I1571" s="3" t="str">
        <f>INDEX('Constants and Mappings'!$I$229:$I$237,MATCH($B1571,FuelKey,0))&amp;"."&amp;IF($G1571="sub",$H1571,"all")</f>
        <v>nga.ind</v>
      </c>
      <c r="J1571" s="3" t="str">
        <f>INDEX('Constants and Mappings'!$E$186:$E$201,MATCH($C1571,SubKey,0))</f>
        <v>ind</v>
      </c>
      <c r="K1571" s="3">
        <f>INDEX('Constants and Mappings'!$G$229:$G$237,MATCH($B1571,FuelKey,0))</f>
        <v>1.0</v>
      </c>
      <c r="L1571" s="3">
        <f>INDEX('Constants and Mappings'!$H$229:$H$237,MATCH($B1571,FuelKey,0))</f>
        <v>2.0</v>
      </c>
      <c r="M1571" s="3">
        <f>INDEX('Constants and Mappings'!$H$186:$H$201,MATCH($C1571,SubKey,0))</f>
        <v>12.0</v>
      </c>
      <c r="N1571" s="3">
        <f>INDEX('Constants and Mappings'!$E$300:$E$313,MATCH($I1571,'Constants and Mappings'!$A$300:$A$313,0))</f>
        <v>6.0</v>
      </c>
      <c r="O1571" s="48">
        <f>INDEX(ElaSel,MATCH("inc|"&amp;$E1571&amp;"|"&amp;$D1571,ElaSelKey,0))</f>
        <v>1.0</v>
      </c>
      <c r="P1571" s="48">
        <f>INDEX(ElaSel,MATCH("usg|"&amp;$E1571&amp;"|"&amp;$D1571,ElaSelKey,0))</f>
        <v>-0.5</v>
      </c>
      <c r="Q1571" s="48">
        <f>INDEX(ElaSel,MATCH("eff|"&amp;$E1571&amp;"|"&amp;$D1571,ElaSelKey,0))</f>
        <v>-0.5</v>
      </c>
      <c r="R1571" s="225">
        <f>INDEX(ElaSel,MATCH("aei|"&amp;$F1571&amp;"|"&amp;$D1571,ElaSelKey,0))</f>
        <v>0.01</v>
      </c>
      <c r="S1571" s="133" t="n">
        <v>3</v>
      </c>
      <c r="T1571" s="48">
        <f>$Q1571*(1+$P1571)</f>
        <v>-0.25</v>
      </c>
      <c r="U1571" s="3">
        <f>INDEX('Constants and Mappings'!$E$1633:$E$1644,MATCH($I1571,'Constants and Mappings'!$A$1633:$A$1644,0))</f>
        <v>138.0</v>
      </c>
      <c r="V1571" s="225">
        <f>INDEX('Constants and Mappings'!$V$1633:$V$1644,MATCH($I1571,'Constants and Mappings'!$A$1633:$A$1644,0))</f>
        <v>0.0</v>
      </c>
      <c r="W1571" s="197">
        <f>INDEX(EFSel,MATCH($B1571&amp;"|"&amp;$J1571,EFSelKey,0))*EFCalib</f>
        <v>0.05555115616004721</v>
      </c>
      <c r="X1571" s="195">
        <f>IF(LEFT(BalOpt,3)="Bal",$AY1571*$AV1571+$AZ1571*$AX1571,$BA1571)</f>
        <v>0.0</v>
      </c>
      <c r="Y1571" s="3" t="str">
        <f>IF($G1571="sub",$H1571,IF($B1571="oop","ind","trs"))</f>
        <v>ind</v>
      </c>
      <c r="Z1571" s="39">
        <f>IFERROR(MATCH($Y1571&amp;"|"&amp;$B1571,XKey,0),1)</f>
        <v>30.0</v>
      </c>
      <c r="AA1571" s="48">
        <f>INDEX(XCTVal,$Z1571,ECPEmb)+INDEX(XETSVal,$Z1571,ECPEmb)</f>
        <v>0.0</v>
      </c>
      <c r="AB1571" s="8" t="inlineStr">
        <is>
          <t>mnf</t>
        </is>
      </c>
      <c r="AC1571" s="8" t="inlineStr">
        <is>
          <t>nga</t>
        </is>
      </c>
      <c r="AD1571" s="197">
        <f>IFERROR(INDEX(NCEfIn,MATCH($AB1571&amp;"."&amp;$AC1571&amp;".ch4",NCEfKey,0)),0)</f>
        <v>1.9701992232</v>
      </c>
      <c r="AE1571" s="197">
        <f>IFERROR(INDEX(NCEfFin,MATCH($AB1571&amp;"."&amp;$AC1571&amp;".ch4",NCEfKey,0)),0)</f>
        <v>1.9373244696</v>
      </c>
      <c r="AF1571" s="3" t="n">
        <v>0</v>
      </c>
      <c r="AG1571" s="197">
        <f>IFERROR(INDEX(NCEfIn,MATCH($AB1571&amp;"."&amp;$AC1571&amp;".pm2",NCEfKey,0)),0)</f>
        <v>0.0041868</v>
      </c>
      <c r="AH1571" s="197">
        <f>IFERROR(INDEX(NCEfFin,MATCH($AB1571&amp;"."&amp;$AC1571&amp;".pm2",NCEfKey,0)),0)</f>
        <v>0.0041868</v>
      </c>
      <c r="AI1571" s="197">
        <f>IFERROR(INDEX(NCEfIn,MATCH($AB1571&amp;"."&amp;$AC1571&amp;".nox",NCEfKey,0)),0)</f>
        <v>4.186800000000001</v>
      </c>
      <c r="AJ1571" s="197">
        <f>IFERROR(INDEX(NCEfFin,MATCH($AB1571&amp;"."&amp;$AC1571&amp;".nox",NCEfKey,0)),0)</f>
        <v>4.186611594</v>
      </c>
      <c r="AK1571" s="197">
        <f>IFERROR(INDEX(NCEfIn,MATCH($AB1571&amp;"."&amp;$AC1571&amp;".so2",NCEfKey,0)),0)</f>
        <v>0.0348886044</v>
      </c>
      <c r="AL1571" s="197">
        <f>IFERROR(INDEX(NCEfFin,MATCH($AB1571&amp;"."&amp;$AC1571&amp;".so2",NCEfKey,0)),0)</f>
        <v>0.0348886044</v>
      </c>
      <c r="AM1571" s="197">
        <f>IFERROR(INDEX(NCEfIn,MATCH($AB1571&amp;"."&amp;$AC1571&amp;".voc",NCEfKey,0)),0)</f>
        <v>0.083736</v>
      </c>
      <c r="AN1571" s="197">
        <f>IFERROR(INDEX(NCEfFin,MATCH($AB1571&amp;"."&amp;$AC1571&amp;".voc",NCEfKey,0)),0)</f>
        <v>0.08373181320000002</v>
      </c>
      <c r="AO1571" s="197">
        <f>IFERROR(INDEX(NCEfIn,MATCH($AB1571&amp;"."&amp;$AC1571&amp;".bc",NCEfKey,0)),0)</f>
        <v>0.0002805156</v>
      </c>
      <c r="AP1571" s="197">
        <f>IFERROR(INDEX(NCEfFin,MATCH($AB1571&amp;"."&amp;$AC1571&amp;".bc",NCEfKey,0)),0)</f>
        <v>0.0002805156</v>
      </c>
      <c r="AQ1571" s="197">
        <f>IFERROR(INDEX(NCEfIn,MATCH($AB1571&amp;"."&amp;$AC1571&amp;".oc",NCEfKey,0)),0)</f>
        <v>0.0031401</v>
      </c>
      <c r="AR1571" s="197">
        <f>IFERROR(INDEX(NCEfFin,MATCH($AB1571&amp;"."&amp;$AC1571&amp;".oc",NCEfKey,0)),0)</f>
        <v>0.0031401</v>
      </c>
      <c r="AS1571" s="197">
        <f>IFERROR(INDEX(NCEfIn,MATCH($AB1571&amp;"."&amp;$AC1571&amp;".co",NCEfKey,0)),0)</f>
        <v>1.46538</v>
      </c>
      <c r="AT1571" s="197">
        <f>IFERROR(INDEX(NCEfFin,MATCH($AB1571&amp;"."&amp;$AC1571&amp;".co",NCEfKey,0)),0)</f>
        <v>1.4653130112</v>
      </c>
      <c r="AU1571" s="3" t="str">
        <f>INDEX('Constants and Mappings'!$J$186:$J$201,MATCH($C1571,SubKey,0))</f>
        <v>machinery</v>
      </c>
      <c r="AV1571" s="3">
        <f>INDEX('Constants and Mappings'!$K$186:$K$201,MATCH($C1571,SubKey,0))</f>
        <v>1.0</v>
      </c>
      <c r="AW1571" s="3" t="str">
        <f>INDEX('Constants and Mappings'!$L$186:$L$201,MATCH($C1571,SubKey,0))&amp;""</f>
        <v/>
      </c>
      <c r="AX1571" s="3">
        <f>INDEX('Constants and Mappings'!$M$186:$M$201,MATCH($C1571,SubKey,0))</f>
        <v>0.0</v>
      </c>
      <c r="AY1571" s="3" t="n">
        <v>0</v>
      </c>
      <c r="AZ1571" s="3" t="n">
        <v>0</v>
      </c>
      <c r="BA1571" s="3" t="n">
        <v>0</v>
      </c>
      <c r="BB1571" s="3" t="n">
        <v>0</v>
      </c>
      <c r="BC1571" s="3" t="n">
        <v>0</v>
      </c>
      <c r="BD1571" s="3">
        <f>IFERROR($BB1571/$BC1571,0)</f>
        <v>0.0</v>
      </c>
      <c r="BE1571" s="133" t="n">
        <v>1</v>
      </c>
      <c r="BF1571" s="39" t="n">
        <v>1</v>
      </c>
    </row>
    <row r="1572">
      <c r="A1572" s="3" t="str">
        <f>$B1572&amp;"|"&amp;$C1572</f>
        <v>gso|mac</v>
      </c>
      <c r="B1572" s="8" t="inlineStr">
        <is>
          <t>gso</t>
        </is>
      </c>
      <c r="C1572" s="8" t="inlineStr">
        <is>
          <t>mac</t>
        </is>
      </c>
      <c r="D1572" s="3" t="str">
        <f>INDEX('Constants and Mappings'!$D$186:$D$201,MATCH($C1572,SubKey,0))</f>
        <v>ind</v>
      </c>
      <c r="E1572" s="3" t="str">
        <f>INDEX('Constants and Mappings'!$C$229:$C$237,MATCH($B1572,FuelKey,0))</f>
        <v>gso</v>
      </c>
      <c r="F1572" s="3" t="str">
        <f>INDEX('Constants and Mappings'!$D$229:$D$237,MATCH($B1572,FuelKey,0))</f>
        <v>oil</v>
      </c>
      <c r="G1572" s="3" t="str">
        <f>INDEX('Constants and Mappings'!$E$229:$E$237,MATCH($B1572,FuelKey,0))</f>
        <v>all</v>
      </c>
      <c r="H1572" s="3" t="str">
        <f>INDEX('Constants and Mappings'!$F$186:$F$201,MATCH($C1572,SubKey,0))</f>
        <v>ind</v>
      </c>
      <c r="I1572" s="3" t="str">
        <f>INDEX('Constants and Mappings'!$I$229:$I$237,MATCH($B1572,FuelKey,0))&amp;"."&amp;IF($G1572="sub",$H1572,"all")</f>
        <v>gso.all</v>
      </c>
      <c r="J1572" s="3" t="str">
        <f>INDEX('Constants and Mappings'!$E$186:$E$201,MATCH($C1572,SubKey,0))</f>
        <v>ind</v>
      </c>
      <c r="K1572" s="3">
        <f>INDEX('Constants and Mappings'!$G$229:$G$237,MATCH($B1572,FuelKey,0))</f>
        <v>0.03496974000000001</v>
      </c>
      <c r="L1572" s="3">
        <f>INDEX('Constants and Mappings'!$H$229:$H$237,MATCH($B1572,FuelKey,0))</f>
        <v>3.0</v>
      </c>
      <c r="M1572" s="3">
        <f>INDEX('Constants and Mappings'!$H$186:$H$201,MATCH($C1572,SubKey,0))</f>
        <v>12.0</v>
      </c>
      <c r="N1572" s="3">
        <f>INDEX('Constants and Mappings'!$E$300:$E$313,MATCH($I1572,'Constants and Mappings'!$A$300:$A$313,0))</f>
        <v>9.0</v>
      </c>
      <c r="O1572" s="48">
        <f>INDEX(ElaSel,MATCH("inc|"&amp;$E1572&amp;"|"&amp;$D1572,ElaSelKey,0))</f>
        <v>0.5</v>
      </c>
      <c r="P1572" s="48">
        <f>INDEX(ElaSel,MATCH("usg|"&amp;$E1572&amp;"|"&amp;$D1572,ElaSelKey,0))</f>
        <v>-0.4</v>
      </c>
      <c r="Q1572" s="48">
        <f>INDEX(ElaSel,MATCH("eff|"&amp;$E1572&amp;"|"&amp;$D1572,ElaSelKey,0))</f>
        <v>-0.7</v>
      </c>
      <c r="R1572" s="225">
        <f>INDEX(ElaSel,MATCH("aei|"&amp;$F1572&amp;"|"&amp;$D1572,ElaSelKey,0))</f>
        <v>0.005</v>
      </c>
      <c r="S1572" s="133" t="n">
        <v>3</v>
      </c>
      <c r="T1572" s="48">
        <f>$Q1572*(1+$P1572)</f>
        <v>-0.42</v>
      </c>
      <c r="U1572" s="3">
        <f>INDEX('Constants and Mappings'!$E$1633:$E$1644,MATCH($I1572,'Constants and Mappings'!$A$1633:$A$1644,0))</f>
        <v>167.0</v>
      </c>
      <c r="V1572" s="225">
        <f>INDEX('Constants and Mappings'!$V$1633:$V$1644,MATCH($I1572,'Constants and Mappings'!$A$1633:$A$1644,0))</f>
        <v>0.0</v>
      </c>
      <c r="W1572" s="197">
        <f>INDEX(EFSel,MATCH($B1572&amp;"|"&amp;$J1572,EFSelKey,0))*EFCalib</f>
        <v>0.06749067257272545</v>
      </c>
      <c r="X1572" s="195">
        <f>IF(LEFT(BalOpt,3)="Bal",$AY1572*$AV1572+$AZ1572*$AX1572,$BA1572)</f>
        <v>0.0</v>
      </c>
      <c r="Y1572" s="3" t="str">
        <f>IF($G1572="sub",$H1572,IF($B1572="oop","ind","trs"))</f>
        <v>trs</v>
      </c>
      <c r="Z1572" s="39">
        <f>IFERROR(MATCH($Y1572&amp;"|"&amp;$B1572,XKey,0),1)</f>
        <v>13.0</v>
      </c>
      <c r="AA1572" s="48">
        <f>INDEX(XCTVal,$Z1572,ECPEmb)+INDEX(XETSVal,$Z1572,ECPEmb)</f>
        <v>0.0</v>
      </c>
      <c r="AB1572" s="8" t="inlineStr">
        <is>
          <t>mnf</t>
        </is>
      </c>
      <c r="AC1572" s="8" t="inlineStr">
        <is>
          <t>gso</t>
        </is>
      </c>
      <c r="AD1572" s="197">
        <f>IFERROR(INDEX(NCEfIn,MATCH($AB1572&amp;"."&amp;$AC1572&amp;".ch4",NCEfKey,0)),0)</f>
        <v>0.125604</v>
      </c>
      <c r="AE1572" s="197">
        <f>IFERROR(INDEX(NCEfFin,MATCH($AB1572&amp;"."&amp;$AC1572&amp;".ch4",NCEfKey,0)),0)</f>
        <v>0.125604</v>
      </c>
      <c r="AF1572" s="3" t="n">
        <v>0</v>
      </c>
      <c r="AG1572" s="197">
        <f>IFERROR(INDEX(NCEfIn,MATCH($AB1572&amp;"."&amp;$AC1572&amp;".pm2",NCEfKey,0)),0)</f>
        <v>0.020934</v>
      </c>
      <c r="AH1572" s="197">
        <f>IFERROR(INDEX(NCEfFin,MATCH($AB1572&amp;"."&amp;$AC1572&amp;".pm2",NCEfKey,0)),0)</f>
        <v>0.020934</v>
      </c>
      <c r="AI1572" s="197">
        <f>IFERROR(INDEX(NCEfIn,MATCH($AB1572&amp;"."&amp;$AC1572&amp;".nox",NCEfKey,0)),0)</f>
        <v>2.93076</v>
      </c>
      <c r="AJ1572" s="197">
        <f>IFERROR(INDEX(NCEfFin,MATCH($AB1572&amp;"."&amp;$AC1572&amp;".nox",NCEfKey,0)),0)</f>
        <v>2.93076</v>
      </c>
      <c r="AK1572" s="197">
        <f>IFERROR(INDEX(NCEfIn,MATCH($AB1572&amp;"."&amp;$AC1572&amp;".so2",NCEfKey,0)),0)</f>
        <v>0.9101726388000001</v>
      </c>
      <c r="AL1572" s="197">
        <f>IFERROR(INDEX(NCEfFin,MATCH($AB1572&amp;"."&amp;$AC1572&amp;".so2",NCEfKey,0)),0)</f>
        <v>0.9101726388000001</v>
      </c>
      <c r="AM1572" s="197">
        <f>IFERROR(INDEX(NCEfIn,MATCH($AB1572&amp;"."&amp;$AC1572&amp;".voc",NCEfKey,0)),0)</f>
        <v>0.10467</v>
      </c>
      <c r="AN1572" s="197">
        <f>IFERROR(INDEX(NCEfFin,MATCH($AB1572&amp;"."&amp;$AC1572&amp;".voc",NCEfKey,0)),0)</f>
        <v>0.10467</v>
      </c>
      <c r="AO1572" s="197">
        <f>IFERROR(INDEX(NCEfIn,MATCH($AB1572&amp;"."&amp;$AC1572&amp;".bc",NCEfKey,0)),0)</f>
        <v>0.001402578</v>
      </c>
      <c r="AP1572" s="197">
        <f>IFERROR(INDEX(NCEfFin,MATCH($AB1572&amp;"."&amp;$AC1572&amp;".bc",NCEfKey,0)),0)</f>
        <v>0.001402578</v>
      </c>
      <c r="AQ1572" s="197">
        <f>IFERROR(INDEX(NCEfIn,MATCH($AB1572&amp;"."&amp;$AC1572&amp;".oc",NCEfKey,0)),0)</f>
        <v>0.0157005</v>
      </c>
      <c r="AR1572" s="197">
        <f>IFERROR(INDEX(NCEfFin,MATCH($AB1572&amp;"."&amp;$AC1572&amp;".oc",NCEfKey,0)),0)</f>
        <v>0.0157005</v>
      </c>
      <c r="AS1572" s="197">
        <f>IFERROR(INDEX(NCEfIn,MATCH($AB1572&amp;"."&amp;$AC1572&amp;".co",NCEfKey,0)),0)</f>
        <v>1.67472</v>
      </c>
      <c r="AT1572" s="197">
        <f>IFERROR(INDEX(NCEfFin,MATCH($AB1572&amp;"."&amp;$AC1572&amp;".co",NCEfKey,0)),0)</f>
        <v>1.67472</v>
      </c>
      <c r="AU1572" s="3" t="str">
        <f>INDEX('Constants and Mappings'!$J$186:$J$201,MATCH($C1572,SubKey,0))</f>
        <v>machinery</v>
      </c>
      <c r="AV1572" s="3">
        <f>INDEX('Constants and Mappings'!$K$186:$K$201,MATCH($C1572,SubKey,0))</f>
        <v>1.0</v>
      </c>
      <c r="AW1572" s="3" t="str">
        <f>INDEX('Constants and Mappings'!$L$186:$L$201,MATCH($C1572,SubKey,0))&amp;""</f>
        <v/>
      </c>
      <c r="AX1572" s="3">
        <f>INDEX('Constants and Mappings'!$M$186:$M$201,MATCH($C1572,SubKey,0))</f>
        <v>0.0</v>
      </c>
      <c r="AY1572" s="3" t="n">
        <v>0</v>
      </c>
      <c r="AZ1572" s="3" t="n">
        <v>0</v>
      </c>
      <c r="BA1572" s="3" t="n">
        <v>0</v>
      </c>
      <c r="BB1572" s="3" t="n">
        <v>0</v>
      </c>
      <c r="BC1572" s="3" t="n">
        <v>0</v>
      </c>
      <c r="BD1572" s="3">
        <f>IFERROR($BB1572/$BC1572,0)</f>
        <v>0.0</v>
      </c>
      <c r="BE1572" s="133" t="n">
        <v>1</v>
      </c>
      <c r="BF1572" s="39" t="n">
        <v>1</v>
      </c>
    </row>
    <row r="1573">
      <c r="A1573" s="3" t="str">
        <f>$B1573&amp;"|"&amp;$C1573</f>
        <v>die|mac</v>
      </c>
      <c r="B1573" s="8" t="inlineStr">
        <is>
          <t>die</t>
        </is>
      </c>
      <c r="C1573" s="8" t="inlineStr">
        <is>
          <t>mac</t>
        </is>
      </c>
      <c r="D1573" s="3" t="str">
        <f>INDEX('Constants and Mappings'!$D$186:$D$201,MATCH($C1573,SubKey,0))</f>
        <v>ind</v>
      </c>
      <c r="E1573" s="3" t="str">
        <f>INDEX('Constants and Mappings'!$C$229:$C$237,MATCH($B1573,FuelKey,0))</f>
        <v>die</v>
      </c>
      <c r="F1573" s="3" t="str">
        <f>INDEX('Constants and Mappings'!$D$229:$D$237,MATCH($B1573,FuelKey,0))</f>
        <v>oil</v>
      </c>
      <c r="G1573" s="3" t="str">
        <f>INDEX('Constants and Mappings'!$E$229:$E$237,MATCH($B1573,FuelKey,0))</f>
        <v>all</v>
      </c>
      <c r="H1573" s="3" t="str">
        <f>INDEX('Constants and Mappings'!$F$186:$F$201,MATCH($C1573,SubKey,0))</f>
        <v>ind</v>
      </c>
      <c r="I1573" s="3" t="str">
        <f>INDEX('Constants and Mappings'!$I$229:$I$237,MATCH($B1573,FuelKey,0))&amp;"."&amp;IF($G1573="sub",$H1573,"all")</f>
        <v>die.all</v>
      </c>
      <c r="J1573" s="3" t="str">
        <f>INDEX('Constants and Mappings'!$E$186:$E$201,MATCH($C1573,SubKey,0))</f>
        <v>ind</v>
      </c>
      <c r="K1573" s="3">
        <f>INDEX('Constants and Mappings'!$G$229:$G$237,MATCH($B1573,FuelKey,0))</f>
        <v>0.03729519000000001</v>
      </c>
      <c r="L1573" s="3">
        <f>INDEX('Constants and Mappings'!$H$229:$H$237,MATCH($B1573,FuelKey,0))</f>
        <v>4.0</v>
      </c>
      <c r="M1573" s="3">
        <f>INDEX('Constants and Mappings'!$H$186:$H$201,MATCH($C1573,SubKey,0))</f>
        <v>12.0</v>
      </c>
      <c r="N1573" s="3">
        <f>INDEX('Constants and Mappings'!$E$300:$E$313,MATCH($I1573,'Constants and Mappings'!$A$300:$A$313,0))</f>
        <v>10.0</v>
      </c>
      <c r="O1573" s="48">
        <f>INDEX(ElaSel,MATCH("inc|"&amp;$E1573&amp;"|"&amp;$D1573,ElaSelKey,0))</f>
        <v>0.5</v>
      </c>
      <c r="P1573" s="48">
        <f>INDEX(ElaSel,MATCH("usg|"&amp;$E1573&amp;"|"&amp;$D1573,ElaSelKey,0))</f>
        <v>-0.7</v>
      </c>
      <c r="Q1573" s="48">
        <f>INDEX(ElaSel,MATCH("eff|"&amp;$E1573&amp;"|"&amp;$D1573,ElaSelKey,0))</f>
        <v>-1.2</v>
      </c>
      <c r="R1573" s="225">
        <f>INDEX(ElaSel,MATCH("aei|"&amp;$F1573&amp;"|"&amp;$D1573,ElaSelKey,0))</f>
        <v>0.005</v>
      </c>
      <c r="S1573" s="133" t="n">
        <v>3</v>
      </c>
      <c r="T1573" s="48">
        <f>$Q1573*(1+$P1573)</f>
        <v>-0.36000000000000004</v>
      </c>
      <c r="U1573" s="3">
        <f>INDEX('Constants and Mappings'!$E$1633:$E$1644,MATCH($I1573,'Constants and Mappings'!$A$1633:$A$1644,0))</f>
        <v>196.0</v>
      </c>
      <c r="V1573" s="225">
        <f>INDEX('Constants and Mappings'!$V$1633:$V$1644,MATCH($I1573,'Constants and Mappings'!$A$1633:$A$1644,0))</f>
        <v>0.0</v>
      </c>
      <c r="W1573" s="197">
        <f>INDEX(EFSel,MATCH($B1573&amp;"|"&amp;$J1573,EFSelKey,0))*EFCalib</f>
        <v>0.0715246024071432</v>
      </c>
      <c r="X1573" s="195">
        <f>IF(LEFT(BalOpt,3)="Bal",$AY1573*$AV1573+$AZ1573*$AX1573,$BA1573)</f>
        <v>0.0</v>
      </c>
      <c r="Y1573" s="3" t="str">
        <f>IF($G1573="sub",$H1573,IF($B1573="oop","ind","trs"))</f>
        <v>trs</v>
      </c>
      <c r="Z1573" s="39">
        <f>IFERROR(MATCH($Y1573&amp;"|"&amp;$B1573,XKey,0),1)</f>
        <v>14.0</v>
      </c>
      <c r="AA1573" s="48">
        <f>INDEX(XCTVal,$Z1573,ECPEmb)+INDEX(XETSVal,$Z1573,ECPEmb)</f>
        <v>0.0</v>
      </c>
      <c r="AB1573" s="8" t="inlineStr">
        <is>
          <t>mnf</t>
        </is>
      </c>
      <c r="AC1573" s="8" t="inlineStr">
        <is>
          <t>die</t>
        </is>
      </c>
      <c r="AD1573" s="197">
        <f>IFERROR(INDEX(NCEfIn,MATCH($AB1573&amp;"."&amp;$AC1573&amp;".ch4",NCEfKey,0)),0)</f>
        <v>0.125604</v>
      </c>
      <c r="AE1573" s="197">
        <f>IFERROR(INDEX(NCEfFin,MATCH($AB1573&amp;"."&amp;$AC1573&amp;".ch4",NCEfKey,0)),0)</f>
        <v>0.125604</v>
      </c>
      <c r="AF1573" s="3" t="n">
        <v>0</v>
      </c>
      <c r="AG1573" s="197">
        <f>IFERROR(INDEX(NCEfIn,MATCH($AB1573&amp;"."&amp;$AC1573&amp;".pm2",NCEfKey,0)),0)</f>
        <v>0.0077372064</v>
      </c>
      <c r="AH1573" s="197">
        <f>IFERROR(INDEX(NCEfFin,MATCH($AB1573&amp;"."&amp;$AC1573&amp;".pm2",NCEfKey,0)),0)</f>
        <v>0.0077372064</v>
      </c>
      <c r="AI1573" s="197">
        <f>IFERROR(INDEX(NCEfIn,MATCH($AB1573&amp;"."&amp;$AC1573&amp;".nox",NCEfKey,0)),0)</f>
        <v>6.2802</v>
      </c>
      <c r="AJ1573" s="197">
        <f>IFERROR(INDEX(NCEfFin,MATCH($AB1573&amp;"."&amp;$AC1573&amp;".nox",NCEfKey,0)),0)</f>
        <v>6.2802</v>
      </c>
      <c r="AK1573" s="197">
        <f>IFERROR(INDEX(NCEfIn,MATCH($AB1573&amp;"."&amp;$AC1573&amp;".so2",NCEfKey,0)),0)</f>
        <v>3.9405156768</v>
      </c>
      <c r="AL1573" s="197">
        <f>IFERROR(INDEX(NCEfFin,MATCH($AB1573&amp;"."&amp;$AC1573&amp;".so2",NCEfKey,0)),0)</f>
        <v>3.9405156768</v>
      </c>
      <c r="AM1573" s="197">
        <f>IFERROR(INDEX(NCEfIn,MATCH($AB1573&amp;"."&amp;$AC1573&amp;".voc",NCEfKey,0)),0)</f>
        <v>0.167472</v>
      </c>
      <c r="AN1573" s="197">
        <f>IFERROR(INDEX(NCEfFin,MATCH($AB1573&amp;"."&amp;$AC1573&amp;".voc",NCEfKey,0)),0)</f>
        <v>0.167472</v>
      </c>
      <c r="AO1573" s="197">
        <f>IFERROR(INDEX(NCEfIn,MATCH($AB1573&amp;"."&amp;$AC1573&amp;".bc",NCEfKey,0)),0)</f>
        <v>0.004375206</v>
      </c>
      <c r="AP1573" s="197">
        <f>IFERROR(INDEX(NCEfFin,MATCH($AB1573&amp;"."&amp;$AC1573&amp;".bc",NCEfKey,0)),0)</f>
        <v>0.004375206</v>
      </c>
      <c r="AQ1573" s="197">
        <f>IFERROR(INDEX(NCEfIn,MATCH($AB1573&amp;"."&amp;$AC1573&amp;".oc",NCEfKey,0)),0)</f>
        <v>0.0006615144000000001</v>
      </c>
      <c r="AR1573" s="197">
        <f>IFERROR(INDEX(NCEfFin,MATCH($AB1573&amp;"."&amp;$AC1573&amp;".oc",NCEfKey,0)),0)</f>
        <v>0.0006615144000000001</v>
      </c>
      <c r="AS1573" s="197">
        <f>IFERROR(INDEX(NCEfIn,MATCH($AB1573&amp;"."&amp;$AC1573&amp;".co",NCEfKey,0)),0)</f>
        <v>1.67472</v>
      </c>
      <c r="AT1573" s="197">
        <f>IFERROR(INDEX(NCEfFin,MATCH($AB1573&amp;"."&amp;$AC1573&amp;".co",NCEfKey,0)),0)</f>
        <v>1.67472</v>
      </c>
      <c r="AU1573" s="3" t="str">
        <f>INDEX('Constants and Mappings'!$J$186:$J$201,MATCH($C1573,SubKey,0))</f>
        <v>machinery</v>
      </c>
      <c r="AV1573" s="3">
        <f>INDEX('Constants and Mappings'!$K$186:$K$201,MATCH($C1573,SubKey,0))</f>
        <v>1.0</v>
      </c>
      <c r="AW1573" s="3" t="str">
        <f>INDEX('Constants and Mappings'!$L$186:$L$201,MATCH($C1573,SubKey,0))&amp;""</f>
        <v/>
      </c>
      <c r="AX1573" s="3">
        <f>INDEX('Constants and Mappings'!$M$186:$M$201,MATCH($C1573,SubKey,0))</f>
        <v>0.0</v>
      </c>
      <c r="AY1573" s="3" t="n">
        <v>0</v>
      </c>
      <c r="AZ1573" s="3" t="n">
        <v>0</v>
      </c>
      <c r="BA1573" s="3" t="n">
        <v>0</v>
      </c>
      <c r="BB1573" s="3" t="n">
        <v>0</v>
      </c>
      <c r="BC1573" s="3" t="n">
        <v>0</v>
      </c>
      <c r="BD1573" s="3">
        <f>IFERROR($BB1573/$BC1573,0)</f>
        <v>0.0</v>
      </c>
      <c r="BE1573" s="133" t="n">
        <v>1</v>
      </c>
      <c r="BF1573" s="39" t="n">
        <v>1</v>
      </c>
    </row>
    <row r="1574">
      <c r="A1574" s="3" t="str">
        <f>$B1574&amp;"|"&amp;$C1574</f>
        <v>lpg|mac</v>
      </c>
      <c r="B1574" s="8" t="inlineStr">
        <is>
          <t>lpg</t>
        </is>
      </c>
      <c r="C1574" s="8" t="inlineStr">
        <is>
          <t>mac</t>
        </is>
      </c>
      <c r="D1574" s="3" t="str">
        <f>INDEX('Constants and Mappings'!$D$186:$D$201,MATCH($C1574,SubKey,0))</f>
        <v>ind</v>
      </c>
      <c r="E1574" s="3" t="str">
        <f>INDEX('Constants and Mappings'!$C$229:$C$237,MATCH($B1574,FuelKey,0))</f>
        <v>oil</v>
      </c>
      <c r="F1574" s="3" t="str">
        <f>INDEX('Constants and Mappings'!$D$229:$D$237,MATCH($B1574,FuelKey,0))</f>
        <v>oil</v>
      </c>
      <c r="G1574" s="3" t="str">
        <f>INDEX('Constants and Mappings'!$E$229:$E$237,MATCH($B1574,FuelKey,0))</f>
        <v>all</v>
      </c>
      <c r="H1574" s="3" t="str">
        <f>INDEX('Constants and Mappings'!$F$186:$F$201,MATCH($C1574,SubKey,0))</f>
        <v>ind</v>
      </c>
      <c r="I1574" s="3" t="str">
        <f>INDEX('Constants and Mappings'!$I$229:$I$237,MATCH($B1574,FuelKey,0))&amp;"."&amp;IF($G1574="sub",$H1574,"all")</f>
        <v>lpg.all</v>
      </c>
      <c r="J1574" s="3" t="str">
        <f>INDEX('Constants and Mappings'!$E$186:$E$201,MATCH($C1574,SubKey,0))</f>
        <v>ind</v>
      </c>
      <c r="K1574" s="3">
        <f>INDEX('Constants and Mappings'!$G$229:$G$237,MATCH($B1574,FuelKey,0))</f>
        <v>0.02577968854495125</v>
      </c>
      <c r="L1574" s="3">
        <f>INDEX('Constants and Mappings'!$H$229:$H$237,MATCH($B1574,FuelKey,0))</f>
        <v>5.0</v>
      </c>
      <c r="M1574" s="3">
        <f>INDEX('Constants and Mappings'!$H$186:$H$201,MATCH($C1574,SubKey,0))</f>
        <v>12.0</v>
      </c>
      <c r="N1574" s="3">
        <f>INDEX('Constants and Mappings'!$E$300:$E$313,MATCH($I1574,'Constants and Mappings'!$A$300:$A$313,0))</f>
        <v>11.0</v>
      </c>
      <c r="O1574" s="48">
        <f>INDEX(ElaSel,MATCH("inc|"&amp;$E1574&amp;"|"&amp;$D1574,ElaSelKey,0))</f>
        <v>0.8</v>
      </c>
      <c r="P1574" s="48">
        <f>INDEX(ElaSel,MATCH("usg|"&amp;$E1574&amp;"|"&amp;$D1574,ElaSelKey,0))</f>
        <v>-0.4</v>
      </c>
      <c r="Q1574" s="48">
        <f>INDEX(ElaSel,MATCH("eff|"&amp;$E1574&amp;"|"&amp;$D1574,ElaSelKey,0))</f>
        <v>-0.4</v>
      </c>
      <c r="R1574" s="225">
        <f>INDEX(ElaSel,MATCH("aei|"&amp;$F1574&amp;"|"&amp;$D1574,ElaSelKey,0))</f>
        <v>0.005</v>
      </c>
      <c r="S1574" s="133" t="n">
        <v>3</v>
      </c>
      <c r="T1574" s="48">
        <f>$Q1574*(1+$P1574)</f>
        <v>-0.24</v>
      </c>
      <c r="U1574" s="3">
        <f>INDEX('Constants and Mappings'!$E$1633:$E$1644,MATCH($I1574,'Constants and Mappings'!$A$1633:$A$1644,0))</f>
        <v>225.0</v>
      </c>
      <c r="V1574" s="225">
        <f>INDEX('Constants and Mappings'!$V$1633:$V$1644,MATCH($I1574,'Constants and Mappings'!$A$1633:$A$1644,0))</f>
        <v>0.0</v>
      </c>
      <c r="W1574" s="197">
        <f>INDEX(EFSel,MATCH($B1574&amp;"|"&amp;$J1574,EFSelKey,0))*EFCalib</f>
        <v>0.06829407370213687</v>
      </c>
      <c r="X1574" s="195">
        <f>IF(LEFT(BalOpt,3)="Bal",$AY1574*$AV1574+$AZ1574*$AX1574,$BA1574)</f>
        <v>0.0</v>
      </c>
      <c r="Y1574" s="3" t="str">
        <f>IF($G1574="sub",$H1574,IF($B1574="oop","ind","trs"))</f>
        <v>trs</v>
      </c>
      <c r="Z1574" s="39">
        <f>IFERROR(MATCH($Y1574&amp;"|"&amp;$B1574,XKey,0),1)</f>
        <v>15.0</v>
      </c>
      <c r="AA1574" s="48">
        <f>INDEX(XCTVal,$Z1574,ECPEmb)+INDEX(XETSVal,$Z1574,ECPEmb)</f>
        <v>0.0</v>
      </c>
      <c r="AB1574" s="8" t="inlineStr">
        <is>
          <t>mnf</t>
        </is>
      </c>
      <c r="AC1574" s="8" t="inlineStr">
        <is>
          <t>lpg</t>
        </is>
      </c>
      <c r="AD1574" s="197">
        <f>IFERROR(INDEX(NCEfIn,MATCH($AB1574&amp;"."&amp;$AC1574&amp;".ch4",NCEfKey,0)),0)</f>
        <v>0.041868</v>
      </c>
      <c r="AE1574" s="197">
        <f>IFERROR(INDEX(NCEfFin,MATCH($AB1574&amp;"."&amp;$AC1574&amp;".ch4",NCEfKey,0)),0)</f>
        <v>0.041868</v>
      </c>
      <c r="AF1574" s="3" t="n">
        <v>0</v>
      </c>
      <c r="AG1574" s="197">
        <f>IFERROR(INDEX(NCEfIn,MATCH($AB1574&amp;"."&amp;$AC1574&amp;".pm2",NCEfKey,0)),0)</f>
        <v>0.0083736</v>
      </c>
      <c r="AH1574" s="197">
        <f>IFERROR(INDEX(NCEfFin,MATCH($AB1574&amp;"."&amp;$AC1574&amp;".pm2",NCEfKey,0)),0)</f>
        <v>0.0083736</v>
      </c>
      <c r="AI1574" s="197">
        <f>IFERROR(INDEX(NCEfIn,MATCH($AB1574&amp;"."&amp;$AC1574&amp;".nox",NCEfKey,0)),0)</f>
        <v>2.93076</v>
      </c>
      <c r="AJ1574" s="197">
        <f>IFERROR(INDEX(NCEfFin,MATCH($AB1574&amp;"."&amp;$AC1574&amp;".nox",NCEfKey,0)),0)</f>
        <v>2.93076</v>
      </c>
      <c r="AK1574" s="197">
        <f>IFERROR(INDEX(NCEfIn,MATCH($AB1574&amp;"."&amp;$AC1574&amp;".so2",NCEfKey,0)),0)</f>
        <v>0.0</v>
      </c>
      <c r="AL1574" s="197">
        <f>IFERROR(INDEX(NCEfFin,MATCH($AB1574&amp;"."&amp;$AC1574&amp;".so2",NCEfKey,0)),0)</f>
        <v>0.0</v>
      </c>
      <c r="AM1574" s="197">
        <f>IFERROR(INDEX(NCEfIn,MATCH($AB1574&amp;"."&amp;$AC1574&amp;".voc",NCEfKey,0)),0)</f>
        <v>0.0</v>
      </c>
      <c r="AN1574" s="197">
        <f>IFERROR(INDEX(NCEfFin,MATCH($AB1574&amp;"."&amp;$AC1574&amp;".voc",NCEfKey,0)),0)</f>
        <v>0.0</v>
      </c>
      <c r="AO1574" s="197">
        <f>IFERROR(INDEX(NCEfIn,MATCH($AB1574&amp;"."&amp;$AC1574&amp;".bc",NCEfKey,0)),0)</f>
        <v>0.0005610312000000001</v>
      </c>
      <c r="AP1574" s="197">
        <f>IFERROR(INDEX(NCEfFin,MATCH($AB1574&amp;"."&amp;$AC1574&amp;".bc",NCEfKey,0)),0)</f>
        <v>0.0005610312000000001</v>
      </c>
      <c r="AQ1574" s="197">
        <f>IFERROR(INDEX(NCEfIn,MATCH($AB1574&amp;"."&amp;$AC1574&amp;".oc",NCEfKey,0)),0)</f>
        <v>0.0</v>
      </c>
      <c r="AR1574" s="197">
        <f>IFERROR(INDEX(NCEfFin,MATCH($AB1574&amp;"."&amp;$AC1574&amp;".oc",NCEfKey,0)),0)</f>
        <v>0.0</v>
      </c>
      <c r="AS1574" s="197">
        <f>IFERROR(INDEX(NCEfIn,MATCH($AB1574&amp;"."&amp;$AC1574&amp;".co",NCEfKey,0)),0)</f>
        <v>0.62802</v>
      </c>
      <c r="AT1574" s="197">
        <f>IFERROR(INDEX(NCEfFin,MATCH($AB1574&amp;"."&amp;$AC1574&amp;".co",NCEfKey,0)),0)</f>
        <v>0.62802</v>
      </c>
      <c r="AU1574" s="3" t="str">
        <f>INDEX('Constants and Mappings'!$J$186:$J$201,MATCH($C1574,SubKey,0))</f>
        <v>machinery</v>
      </c>
      <c r="AV1574" s="3">
        <f>INDEX('Constants and Mappings'!$K$186:$K$201,MATCH($C1574,SubKey,0))</f>
        <v>1.0</v>
      </c>
      <c r="AW1574" s="3" t="str">
        <f>INDEX('Constants and Mappings'!$L$186:$L$201,MATCH($C1574,SubKey,0))&amp;""</f>
        <v/>
      </c>
      <c r="AX1574" s="3">
        <f>INDEX('Constants and Mappings'!$M$186:$M$201,MATCH($C1574,SubKey,0))</f>
        <v>0.0</v>
      </c>
      <c r="AY1574" s="3" t="n">
        <v>0</v>
      </c>
      <c r="AZ1574" s="3" t="n">
        <v>0</v>
      </c>
      <c r="BA1574" s="3" t="n">
        <v>0</v>
      </c>
      <c r="BB1574" s="3" t="n">
        <v>0</v>
      </c>
      <c r="BC1574" s="3" t="n">
        <v>0</v>
      </c>
      <c r="BD1574" s="3">
        <f>IFERROR($BB1574/$BC1574,0)</f>
        <v>0.0</v>
      </c>
      <c r="BE1574" s="133" t="n">
        <v>1</v>
      </c>
      <c r="BF1574" s="39" t="n">
        <v>1</v>
      </c>
    </row>
    <row r="1575">
      <c r="A1575" s="3" t="str">
        <f>$B1575&amp;"|"&amp;$C1575</f>
        <v>ker|mac</v>
      </c>
      <c r="B1575" s="8" t="inlineStr">
        <is>
          <t>ker</t>
        </is>
      </c>
      <c r="C1575" s="8" t="inlineStr">
        <is>
          <t>mac</t>
        </is>
      </c>
      <c r="D1575" s="3" t="str">
        <f>INDEX('Constants and Mappings'!$D$186:$D$201,MATCH($C1575,SubKey,0))</f>
        <v>ind</v>
      </c>
      <c r="E1575" s="3" t="str">
        <f>INDEX('Constants and Mappings'!$C$229:$C$237,MATCH($B1575,FuelKey,0))</f>
        <v>oil</v>
      </c>
      <c r="F1575" s="3" t="str">
        <f>INDEX('Constants and Mappings'!$D$229:$D$237,MATCH($B1575,FuelKey,0))</f>
        <v>oil</v>
      </c>
      <c r="G1575" s="3" t="str">
        <f>INDEX('Constants and Mappings'!$E$229:$E$237,MATCH($B1575,FuelKey,0))</f>
        <v>all</v>
      </c>
      <c r="H1575" s="3" t="str">
        <f>INDEX('Constants and Mappings'!$F$186:$F$201,MATCH($C1575,SubKey,0))</f>
        <v>ind</v>
      </c>
      <c r="I1575" s="3" t="str">
        <f>INDEX('Constants and Mappings'!$I$229:$I$237,MATCH($B1575,FuelKey,0))&amp;"."&amp;IF($G1575="sub",$H1575,"all")</f>
        <v>ker.all</v>
      </c>
      <c r="J1575" s="3" t="str">
        <f>INDEX('Constants and Mappings'!$E$186:$E$201,MATCH($C1575,SubKey,0))</f>
        <v>ind</v>
      </c>
      <c r="K1575" s="3">
        <f>INDEX('Constants and Mappings'!$G$229:$G$237,MATCH($B1575,FuelKey,0))</f>
        <v>0.03774882965510715</v>
      </c>
      <c r="L1575" s="3">
        <f>INDEX('Constants and Mappings'!$H$229:$H$237,MATCH($B1575,FuelKey,0))</f>
        <v>6.0</v>
      </c>
      <c r="M1575" s="3">
        <f>INDEX('Constants and Mappings'!$H$186:$H$201,MATCH($C1575,SubKey,0))</f>
        <v>12.0</v>
      </c>
      <c r="N1575" s="3">
        <f>INDEX('Constants and Mappings'!$E$300:$E$313,MATCH($I1575,'Constants and Mappings'!$A$300:$A$313,0))</f>
        <v>12.0</v>
      </c>
      <c r="O1575" s="48">
        <f>INDEX(ElaSel,MATCH("inc|"&amp;$E1575&amp;"|"&amp;$D1575,ElaSelKey,0))</f>
        <v>0.8</v>
      </c>
      <c r="P1575" s="48">
        <f>INDEX(ElaSel,MATCH("usg|"&amp;$E1575&amp;"|"&amp;$D1575,ElaSelKey,0))</f>
        <v>-0.4</v>
      </c>
      <c r="Q1575" s="48">
        <f>INDEX(ElaSel,MATCH("eff|"&amp;$E1575&amp;"|"&amp;$D1575,ElaSelKey,0))</f>
        <v>-0.4</v>
      </c>
      <c r="R1575" s="225">
        <f>INDEX(ElaSel,MATCH("aei|"&amp;$F1575&amp;"|"&amp;$D1575,ElaSelKey,0))</f>
        <v>0.005</v>
      </c>
      <c r="S1575" s="133" t="n">
        <v>3</v>
      </c>
      <c r="T1575" s="48">
        <f>$Q1575*(1+$P1575)</f>
        <v>-0.24</v>
      </c>
      <c r="U1575" s="3">
        <f>INDEX('Constants and Mappings'!$E$1633:$E$1644,MATCH($I1575,'Constants and Mappings'!$A$1633:$A$1644,0))</f>
        <v>254.0</v>
      </c>
      <c r="V1575" s="225">
        <f>INDEX('Constants and Mappings'!$V$1633:$V$1644,MATCH($I1575,'Constants and Mappings'!$A$1633:$A$1644,0))</f>
        <v>0.0</v>
      </c>
      <c r="W1575" s="197">
        <f>INDEX(EFSel,MATCH($B1575&amp;"|"&amp;$J1575,EFSelKey,0))*EFCalib</f>
        <v>0.06749067257272545</v>
      </c>
      <c r="X1575" s="195">
        <f>IF(LEFT(BalOpt,3)="Bal",$AY1575*$AV1575+$AZ1575*$AX1575,$BA1575)</f>
        <v>0.0</v>
      </c>
      <c r="Y1575" s="3" t="str">
        <f>IF($G1575="sub",$H1575,IF($B1575="oop","ind","trs"))</f>
        <v>trs</v>
      </c>
      <c r="Z1575" s="39">
        <f>IFERROR(MATCH($Y1575&amp;"|"&amp;$B1575,XKey,0),1)</f>
        <v>16.0</v>
      </c>
      <c r="AA1575" s="48">
        <f>INDEX(XCTVal,$Z1575,ECPEmb)+INDEX(XETSVal,$Z1575,ECPEmb)</f>
        <v>0.0</v>
      </c>
      <c r="AB1575" s="8" t="inlineStr">
        <is>
          <t>mnf</t>
        </is>
      </c>
      <c r="AC1575" s="8" t="inlineStr">
        <is>
          <t>ker</t>
        </is>
      </c>
      <c r="AD1575" s="197">
        <f>IFERROR(INDEX(NCEfIn,MATCH($AB1575&amp;"."&amp;$AC1575&amp;".ch4",NCEfKey,0)),0)</f>
        <v>0.125604</v>
      </c>
      <c r="AE1575" s="197">
        <f>IFERROR(INDEX(NCEfFin,MATCH($AB1575&amp;"."&amp;$AC1575&amp;".ch4",NCEfKey,0)),0)</f>
        <v>0.125604</v>
      </c>
      <c r="AF1575" s="3" t="n">
        <v>0</v>
      </c>
      <c r="AG1575" s="197">
        <f>IFERROR(INDEX(NCEfIn,MATCH($AB1575&amp;"."&amp;$AC1575&amp;".pm2",NCEfKey,0)),0)</f>
        <v>0.020934</v>
      </c>
      <c r="AH1575" s="197">
        <f>IFERROR(INDEX(NCEfFin,MATCH($AB1575&amp;"."&amp;$AC1575&amp;".pm2",NCEfKey,0)),0)</f>
        <v>0.020934</v>
      </c>
      <c r="AI1575" s="197">
        <f>IFERROR(INDEX(NCEfIn,MATCH($AB1575&amp;"."&amp;$AC1575&amp;".nox",NCEfKey,0)),0)</f>
        <v>2.93076</v>
      </c>
      <c r="AJ1575" s="197">
        <f>IFERROR(INDEX(NCEfFin,MATCH($AB1575&amp;"."&amp;$AC1575&amp;".nox",NCEfKey,0)),0)</f>
        <v>2.93076</v>
      </c>
      <c r="AK1575" s="197">
        <f>IFERROR(INDEX(NCEfIn,MATCH($AB1575&amp;"."&amp;$AC1575&amp;".so2",NCEfKey,0)),0)</f>
        <v>0.9101726388000001</v>
      </c>
      <c r="AL1575" s="197">
        <f>IFERROR(INDEX(NCEfFin,MATCH($AB1575&amp;"."&amp;$AC1575&amp;".so2",NCEfKey,0)),0)</f>
        <v>0.9101726388000001</v>
      </c>
      <c r="AM1575" s="197">
        <f>IFERROR(INDEX(NCEfIn,MATCH($AB1575&amp;"."&amp;$AC1575&amp;".voc",NCEfKey,0)),0)</f>
        <v>0.10467</v>
      </c>
      <c r="AN1575" s="197">
        <f>IFERROR(INDEX(NCEfFin,MATCH($AB1575&amp;"."&amp;$AC1575&amp;".voc",NCEfKey,0)),0)</f>
        <v>0.10467</v>
      </c>
      <c r="AO1575" s="197">
        <f>IFERROR(INDEX(NCEfIn,MATCH($AB1575&amp;"."&amp;$AC1575&amp;".bc",NCEfKey,0)),0)</f>
        <v>0.001402578</v>
      </c>
      <c r="AP1575" s="197">
        <f>IFERROR(INDEX(NCEfFin,MATCH($AB1575&amp;"."&amp;$AC1575&amp;".bc",NCEfKey,0)),0)</f>
        <v>0.001402578</v>
      </c>
      <c r="AQ1575" s="197">
        <f>IFERROR(INDEX(NCEfIn,MATCH($AB1575&amp;"."&amp;$AC1575&amp;".oc",NCEfKey,0)),0)</f>
        <v>0.0157005</v>
      </c>
      <c r="AR1575" s="197">
        <f>IFERROR(INDEX(NCEfFin,MATCH($AB1575&amp;"."&amp;$AC1575&amp;".oc",NCEfKey,0)),0)</f>
        <v>0.0157005</v>
      </c>
      <c r="AS1575" s="197">
        <f>IFERROR(INDEX(NCEfIn,MATCH($AB1575&amp;"."&amp;$AC1575&amp;".co",NCEfKey,0)),0)</f>
        <v>1.67472</v>
      </c>
      <c r="AT1575" s="197">
        <f>IFERROR(INDEX(NCEfFin,MATCH($AB1575&amp;"."&amp;$AC1575&amp;".co",NCEfKey,0)),0)</f>
        <v>1.67472</v>
      </c>
      <c r="AU1575" s="3" t="str">
        <f>INDEX('Constants and Mappings'!$J$186:$J$201,MATCH($C1575,SubKey,0))</f>
        <v>machinery</v>
      </c>
      <c r="AV1575" s="3">
        <f>INDEX('Constants and Mappings'!$K$186:$K$201,MATCH($C1575,SubKey,0))</f>
        <v>1.0</v>
      </c>
      <c r="AW1575" s="3" t="str">
        <f>INDEX('Constants and Mappings'!$L$186:$L$201,MATCH($C1575,SubKey,0))&amp;""</f>
        <v/>
      </c>
      <c r="AX1575" s="3">
        <f>INDEX('Constants and Mappings'!$M$186:$M$201,MATCH($C1575,SubKey,0))</f>
        <v>0.0</v>
      </c>
      <c r="AY1575" s="3" t="n">
        <v>0</v>
      </c>
      <c r="AZ1575" s="3" t="n">
        <v>0</v>
      </c>
      <c r="BA1575" s="3" t="n">
        <v>0</v>
      </c>
      <c r="BB1575" s="3" t="n">
        <v>0</v>
      </c>
      <c r="BC1575" s="3" t="n">
        <v>0</v>
      </c>
      <c r="BD1575" s="3">
        <f>IFERROR($BB1575/$BC1575,0)</f>
        <v>0.0</v>
      </c>
      <c r="BE1575" s="133" t="n">
        <v>1</v>
      </c>
      <c r="BF1575" s="39" t="n">
        <v>1</v>
      </c>
    </row>
    <row r="1576">
      <c r="A1576" s="3" t="str">
        <f>$B1576&amp;"|"&amp;$C1576</f>
        <v>jfu|mac</v>
      </c>
      <c r="B1576" s="8" t="inlineStr">
        <is>
          <t>jfu</t>
        </is>
      </c>
      <c r="C1576" s="8" t="inlineStr">
        <is>
          <t>mac</t>
        </is>
      </c>
      <c r="D1576" s="3" t="str">
        <f>INDEX('Constants and Mappings'!$D$186:$D$201,MATCH($C1576,SubKey,0))</f>
        <v>ind</v>
      </c>
      <c r="E1576" s="3" t="str">
        <f>INDEX('Constants and Mappings'!$C$229:$C$237,MATCH($B1576,FuelKey,0))</f>
        <v>oil</v>
      </c>
      <c r="F1576" s="3" t="str">
        <f>INDEX('Constants and Mappings'!$D$229:$D$237,MATCH($B1576,FuelKey,0))</f>
        <v>oil</v>
      </c>
      <c r="G1576" s="3" t="str">
        <f>INDEX('Constants and Mappings'!$E$229:$E$237,MATCH($B1576,FuelKey,0))</f>
        <v>all</v>
      </c>
      <c r="H1576" s="3" t="str">
        <f>INDEX('Constants and Mappings'!$F$186:$F$201,MATCH($C1576,SubKey,0))</f>
        <v>ind</v>
      </c>
      <c r="I1576" s="3" t="str">
        <f>INDEX('Constants and Mappings'!$I$229:$I$237,MATCH($B1576,FuelKey,0))&amp;"."&amp;IF($G1576="sub",$H1576,"all")</f>
        <v>ker.all</v>
      </c>
      <c r="J1576" s="3" t="str">
        <f>INDEX('Constants and Mappings'!$E$186:$E$201,MATCH($C1576,SubKey,0))</f>
        <v>ind</v>
      </c>
      <c r="K1576" s="3">
        <f>INDEX('Constants and Mappings'!$G$229:$G$237,MATCH($B1576,FuelKey,0))</f>
        <v>0.0348608</v>
      </c>
      <c r="L1576" s="3">
        <f>INDEX('Constants and Mappings'!$H$229:$H$237,MATCH($B1576,FuelKey,0))</f>
        <v>7.0</v>
      </c>
      <c r="M1576" s="3">
        <f>INDEX('Constants and Mappings'!$H$186:$H$201,MATCH($C1576,SubKey,0))</f>
        <v>12.0</v>
      </c>
      <c r="N1576" s="3">
        <f>INDEX('Constants and Mappings'!$E$300:$E$313,MATCH($I1576,'Constants and Mappings'!$A$300:$A$313,0))</f>
        <v>12.0</v>
      </c>
      <c r="O1576" s="48">
        <f>INDEX(ElaSel,MATCH("inc|"&amp;$E1576&amp;"|"&amp;$D1576,ElaSelKey,0))</f>
        <v>0.8</v>
      </c>
      <c r="P1576" s="48">
        <f>INDEX(ElaSel,MATCH("usg|"&amp;$E1576&amp;"|"&amp;$D1576,ElaSelKey,0))</f>
        <v>-0.4</v>
      </c>
      <c r="Q1576" s="48">
        <f>INDEX(ElaSel,MATCH("eff|"&amp;$E1576&amp;"|"&amp;$D1576,ElaSelKey,0))</f>
        <v>-0.4</v>
      </c>
      <c r="R1576" s="225">
        <f>INDEX(ElaSel,MATCH("aei|"&amp;$F1576&amp;"|"&amp;$D1576,ElaSelKey,0))</f>
        <v>0.005</v>
      </c>
      <c r="S1576" s="133" t="n">
        <v>3</v>
      </c>
      <c r="T1576" s="48">
        <f>$Q1576*(1+$P1576)</f>
        <v>-0.24</v>
      </c>
      <c r="U1576" s="3">
        <f>INDEX('Constants and Mappings'!$E$1633:$E$1644,MATCH($I1576,'Constants and Mappings'!$A$1633:$A$1644,0))</f>
        <v>254.0</v>
      </c>
      <c r="V1576" s="225">
        <f>INDEX('Constants and Mappings'!$V$1633:$V$1644,MATCH($I1576,'Constants and Mappings'!$A$1633:$A$1644,0))</f>
        <v>0.0</v>
      </c>
      <c r="W1576" s="197">
        <f>INDEX(EFSel,MATCH($B1576&amp;"|"&amp;$J1576,EFSelKey,0))*EFCalib</f>
        <v>0.07118114095776658</v>
      </c>
      <c r="X1576" s="195">
        <f>IF(LEFT(BalOpt,3)="Bal",$AY1576*$AV1576+$AZ1576*$AX1576,$BA1576)</f>
        <v>0.0</v>
      </c>
      <c r="Y1576" s="3" t="str">
        <f>IF($G1576="sub",$H1576,IF($B1576="oop","ind","trs"))</f>
        <v>trs</v>
      </c>
      <c r="Z1576" s="39">
        <f>IFERROR(MATCH($Y1576&amp;"|"&amp;$B1576,XKey,0),1)</f>
        <v>17.0</v>
      </c>
      <c r="AA1576" s="48">
        <f>INDEX(XCTVal,$Z1576,ECPEmb)+INDEX(XETSVal,$Z1576,ECPEmb)</f>
        <v>0.0</v>
      </c>
      <c r="AB1576" s="8" t="inlineStr">
        <is>
          <t>mnf</t>
        </is>
      </c>
      <c r="AC1576" s="8" t="inlineStr">
        <is>
          <t>jfu</t>
        </is>
      </c>
      <c r="AD1576" s="197">
        <f>IFERROR(INDEX(NCEfIn,MATCH($AB1576&amp;"."&amp;$AC1576&amp;".ch4",NCEfKey,0)),0)</f>
        <v>0.0</v>
      </c>
      <c r="AE1576" s="197">
        <f>IFERROR(INDEX(NCEfFin,MATCH($AB1576&amp;"."&amp;$AC1576&amp;".ch4",NCEfKey,0)),0)</f>
        <v>0.0</v>
      </c>
      <c r="AF1576" s="3" t="n">
        <v>0</v>
      </c>
      <c r="AG1576" s="197">
        <f>IFERROR(INDEX(NCEfIn,MATCH($AB1576&amp;"."&amp;$AC1576&amp;".pm2",NCEfKey,0)),0)</f>
        <v>0.0</v>
      </c>
      <c r="AH1576" s="197">
        <f>IFERROR(INDEX(NCEfFin,MATCH($AB1576&amp;"."&amp;$AC1576&amp;".pm2",NCEfKey,0)),0)</f>
        <v>0.0</v>
      </c>
      <c r="AI1576" s="197">
        <f>IFERROR(INDEX(NCEfIn,MATCH($AB1576&amp;"."&amp;$AC1576&amp;".nox",NCEfKey,0)),0)</f>
        <v>0.0</v>
      </c>
      <c r="AJ1576" s="197">
        <f>IFERROR(INDEX(NCEfFin,MATCH($AB1576&amp;"."&amp;$AC1576&amp;".nox",NCEfKey,0)),0)</f>
        <v>0.0</v>
      </c>
      <c r="AK1576" s="197">
        <f>IFERROR(INDEX(NCEfIn,MATCH($AB1576&amp;"."&amp;$AC1576&amp;".so2",NCEfKey,0)),0)</f>
        <v>0.0</v>
      </c>
      <c r="AL1576" s="197">
        <f>IFERROR(INDEX(NCEfFin,MATCH($AB1576&amp;"."&amp;$AC1576&amp;".so2",NCEfKey,0)),0)</f>
        <v>0.0</v>
      </c>
      <c r="AM1576" s="197">
        <f>IFERROR(INDEX(NCEfIn,MATCH($AB1576&amp;"."&amp;$AC1576&amp;".voc",NCEfKey,0)),0)</f>
        <v>0.0</v>
      </c>
      <c r="AN1576" s="197">
        <f>IFERROR(INDEX(NCEfFin,MATCH($AB1576&amp;"."&amp;$AC1576&amp;".voc",NCEfKey,0)),0)</f>
        <v>0.0</v>
      </c>
      <c r="AO1576" s="197">
        <f>IFERROR(INDEX(NCEfIn,MATCH($AB1576&amp;"."&amp;$AC1576&amp;".bc",NCEfKey,0)),0)</f>
        <v>0.0</v>
      </c>
      <c r="AP1576" s="197">
        <f>IFERROR(INDEX(NCEfFin,MATCH($AB1576&amp;"."&amp;$AC1576&amp;".bc",NCEfKey,0)),0)</f>
        <v>0.0</v>
      </c>
      <c r="AQ1576" s="197">
        <f>IFERROR(INDEX(NCEfIn,MATCH($AB1576&amp;"."&amp;$AC1576&amp;".oc",NCEfKey,0)),0)</f>
        <v>0.0</v>
      </c>
      <c r="AR1576" s="197">
        <f>IFERROR(INDEX(NCEfFin,MATCH($AB1576&amp;"."&amp;$AC1576&amp;".oc",NCEfKey,0)),0)</f>
        <v>0.0</v>
      </c>
      <c r="AS1576" s="197">
        <f>IFERROR(INDEX(NCEfIn,MATCH($AB1576&amp;"."&amp;$AC1576&amp;".co",NCEfKey,0)),0)</f>
        <v>0.0</v>
      </c>
      <c r="AT1576" s="197">
        <f>IFERROR(INDEX(NCEfFin,MATCH($AB1576&amp;"."&amp;$AC1576&amp;".co",NCEfKey,0)),0)</f>
        <v>0.0</v>
      </c>
      <c r="AU1576" s="3" t="str">
        <f>INDEX('Constants and Mappings'!$J$186:$J$201,MATCH($C1576,SubKey,0))</f>
        <v>machinery</v>
      </c>
      <c r="AV1576" s="3">
        <f>INDEX('Constants and Mappings'!$K$186:$K$201,MATCH($C1576,SubKey,0))</f>
        <v>1.0</v>
      </c>
      <c r="AW1576" s="3" t="str">
        <f>INDEX('Constants and Mappings'!$L$186:$L$201,MATCH($C1576,SubKey,0))&amp;""</f>
        <v/>
      </c>
      <c r="AX1576" s="3">
        <f>INDEX('Constants and Mappings'!$M$186:$M$201,MATCH($C1576,SubKey,0))</f>
        <v>0.0</v>
      </c>
      <c r="AY1576" s="3" t="n">
        <v>0</v>
      </c>
      <c r="AZ1576" s="3" t="n">
        <v>0</v>
      </c>
      <c r="BA1576" s="3" t="n">
        <v>0</v>
      </c>
      <c r="BB1576" s="3" t="n">
        <v>0</v>
      </c>
      <c r="BC1576" s="3" t="n">
        <v>0</v>
      </c>
      <c r="BD1576" s="3">
        <f>IFERROR($BB1576/$BC1576,0)</f>
        <v>0.0</v>
      </c>
      <c r="BE1576" s="133" t="n">
        <v>1</v>
      </c>
      <c r="BF1576" s="39" t="n">
        <v>1</v>
      </c>
    </row>
    <row r="1577">
      <c r="A1577" s="3" t="str">
        <f>$B1577&amp;"|"&amp;$C1577</f>
        <v>oop|mac</v>
      </c>
      <c r="B1577" s="8" t="inlineStr">
        <is>
          <t>oop</t>
        </is>
      </c>
      <c r="C1577" s="8" t="inlineStr">
        <is>
          <t>mac</t>
        </is>
      </c>
      <c r="D1577" s="3" t="str">
        <f>INDEX('Constants and Mappings'!$D$186:$D$201,MATCH($C1577,SubKey,0))</f>
        <v>ind</v>
      </c>
      <c r="E1577" s="3" t="str">
        <f>INDEX('Constants and Mappings'!$C$229:$C$237,MATCH($B1577,FuelKey,0))</f>
        <v>oil</v>
      </c>
      <c r="F1577" s="3" t="str">
        <f>INDEX('Constants and Mappings'!$D$229:$D$237,MATCH($B1577,FuelKey,0))</f>
        <v>oil</v>
      </c>
      <c r="G1577" s="3" t="str">
        <f>INDEX('Constants and Mappings'!$E$229:$E$237,MATCH($B1577,FuelKey,0))</f>
        <v>all</v>
      </c>
      <c r="H1577" s="3" t="str">
        <f>INDEX('Constants and Mappings'!$F$186:$F$201,MATCH($C1577,SubKey,0))</f>
        <v>ind</v>
      </c>
      <c r="I1577" s="3" t="str">
        <f>INDEX('Constants and Mappings'!$I$229:$I$237,MATCH($B1577,FuelKey,0))&amp;"."&amp;IF($G1577="sub",$H1577,"all")</f>
        <v>oop.all</v>
      </c>
      <c r="J1577" s="3" t="str">
        <f>INDEX('Constants and Mappings'!$E$186:$E$201,MATCH($C1577,SubKey,0))</f>
        <v>ind</v>
      </c>
      <c r="K1577" s="3">
        <f>INDEX('Constants and Mappings'!$G$229:$G$237,MATCH($B1577,FuelKey,0))</f>
        <v>6.12</v>
      </c>
      <c r="L1577" s="3">
        <f>INDEX('Constants and Mappings'!$H$229:$H$237,MATCH($B1577,FuelKey,0))</f>
        <v>8.0</v>
      </c>
      <c r="M1577" s="3">
        <f>INDEX('Constants and Mappings'!$H$186:$H$201,MATCH($C1577,SubKey,0))</f>
        <v>12.0</v>
      </c>
      <c r="N1577" s="3">
        <f>INDEX('Constants and Mappings'!$E$300:$E$313,MATCH($I1577,'Constants and Mappings'!$A$300:$A$313,0))</f>
        <v>13.0</v>
      </c>
      <c r="O1577" s="48">
        <f>INDEX(ElaSel,MATCH("inc|"&amp;$E1577&amp;"|"&amp;$D1577,ElaSelKey,0))</f>
        <v>0.8</v>
      </c>
      <c r="P1577" s="48">
        <f>INDEX(ElaSel,MATCH("usg|"&amp;$E1577&amp;"|"&amp;$D1577,ElaSelKey,0))</f>
        <v>-0.4</v>
      </c>
      <c r="Q1577" s="48">
        <f>INDEX(ElaSel,MATCH("eff|"&amp;$E1577&amp;"|"&amp;$D1577,ElaSelKey,0))</f>
        <v>-0.4</v>
      </c>
      <c r="R1577" s="225">
        <f>INDEX(ElaSel,MATCH("aei|"&amp;$F1577&amp;"|"&amp;$D1577,ElaSelKey,0))</f>
        <v>0.005</v>
      </c>
      <c r="S1577" s="133" t="n">
        <v>3</v>
      </c>
      <c r="T1577" s="48">
        <f>$Q1577*(1+$P1577)</f>
        <v>-0.24</v>
      </c>
      <c r="U1577" s="3">
        <f>INDEX('Constants and Mappings'!$E$1633:$E$1644,MATCH($I1577,'Constants and Mappings'!$A$1633:$A$1644,0))</f>
        <v>283.0</v>
      </c>
      <c r="V1577" s="225">
        <f>INDEX('Constants and Mappings'!$V$1633:$V$1644,MATCH($I1577,'Constants and Mappings'!$A$1633:$A$1644,0))</f>
        <v>0.0</v>
      </c>
      <c r="W1577" s="197">
        <f>INDEX(EFSel,MATCH($B1577&amp;"|"&amp;$J1577,EFSelKey,0))*EFCalib</f>
        <v>0.07635795120924052</v>
      </c>
      <c r="X1577" s="195">
        <f>IF(LEFT(BalOpt,3)="Bal",$AY1577*$AV1577+$AZ1577*$AX1577,$BA1577)</f>
        <v>0.0</v>
      </c>
      <c r="Y1577" s="3" t="str">
        <f>IF($G1577="sub",$H1577,IF($B1577="oop","ind","trs"))</f>
        <v>ind</v>
      </c>
      <c r="Z1577" s="39">
        <f>IFERROR(MATCH($Y1577&amp;"|"&amp;$B1577,XKey,0),1)</f>
        <v>36.0</v>
      </c>
      <c r="AA1577" s="48">
        <f>INDEX(XCTVal,$Z1577,ECPEmb)+INDEX(XETSVal,$Z1577,ECPEmb)</f>
        <v>0.0</v>
      </c>
      <c r="AB1577" s="8" t="inlineStr">
        <is>
          <t>mnf</t>
        </is>
      </c>
      <c r="AC1577" s="8" t="inlineStr">
        <is>
          <t>oop</t>
        </is>
      </c>
      <c r="AD1577" s="197">
        <f>IFERROR(INDEX(NCEfIn,MATCH($AB1577&amp;"."&amp;$AC1577&amp;".ch4",NCEfKey,0)),0)</f>
        <v>0.125604</v>
      </c>
      <c r="AE1577" s="197">
        <f>IFERROR(INDEX(NCEfFin,MATCH($AB1577&amp;"."&amp;$AC1577&amp;".ch4",NCEfKey,0)),0)</f>
        <v>0.1255998132</v>
      </c>
      <c r="AF1577" s="3" t="n">
        <v>0</v>
      </c>
      <c r="AG1577" s="197">
        <f>IFERROR(INDEX(NCEfIn,MATCH($AB1577&amp;"."&amp;$AC1577&amp;".pm2",NCEfKey,0)),0)</f>
        <v>0.304212888</v>
      </c>
      <c r="AH1577" s="197">
        <f>IFERROR(INDEX(NCEfFin,MATCH($AB1577&amp;"."&amp;$AC1577&amp;".pm2",NCEfKey,0)),0)</f>
        <v>0.3042087012</v>
      </c>
      <c r="AI1577" s="197">
        <f>IFERROR(INDEX(NCEfIn,MATCH($AB1577&amp;"."&amp;$AC1577&amp;".nox",NCEfKey,0)),0)</f>
        <v>7.95492</v>
      </c>
      <c r="AJ1577" s="197">
        <f>IFERROR(INDEX(NCEfFin,MATCH($AB1577&amp;"."&amp;$AC1577&amp;".nox",NCEfKey,0)),0)</f>
        <v>6.173939016</v>
      </c>
      <c r="AK1577" s="197">
        <f>IFERROR(INDEX(NCEfIn,MATCH($AB1577&amp;"."&amp;$AC1577&amp;".so2",NCEfKey,0)),0)</f>
        <v>35.5878</v>
      </c>
      <c r="AL1577" s="197">
        <f>IFERROR(INDEX(NCEfFin,MATCH($AB1577&amp;"."&amp;$AC1577&amp;".so2",NCEfKey,0)),0)</f>
        <v>27.2137143312</v>
      </c>
      <c r="AM1577" s="197">
        <f>IFERROR(INDEX(NCEfIn,MATCH($AB1577&amp;"."&amp;$AC1577&amp;".voc",NCEfKey,0)),0)</f>
        <v>0.20934</v>
      </c>
      <c r="AN1577" s="197">
        <f>IFERROR(INDEX(NCEfFin,MATCH($AB1577&amp;"."&amp;$AC1577&amp;".voc",NCEfKey,0)),0)</f>
        <v>0.2093358132</v>
      </c>
      <c r="AO1577" s="197">
        <f>IFERROR(INDEX(NCEfIn,MATCH($AB1577&amp;"."&amp;$AC1577&amp;".bc",NCEfKey,0)),0)</f>
        <v>0.0295881156</v>
      </c>
      <c r="AP1577" s="197">
        <f>IFERROR(INDEX(NCEfFin,MATCH($AB1577&amp;"."&amp;$AC1577&amp;".bc",NCEfKey,0)),0)</f>
        <v>0.0295881156</v>
      </c>
      <c r="AQ1577" s="197">
        <f>IFERROR(INDEX(NCEfIn,MATCH($AB1577&amp;"."&amp;$AC1577&amp;".oc",NCEfKey,0)),0)</f>
        <v>0.0123845544</v>
      </c>
      <c r="AR1577" s="197">
        <f>IFERROR(INDEX(NCEfFin,MATCH($AB1577&amp;"."&amp;$AC1577&amp;".oc",NCEfKey,0)),0)</f>
        <v>0.0123845544</v>
      </c>
      <c r="AS1577" s="197">
        <f>IFERROR(INDEX(NCEfIn,MATCH($AB1577&amp;"."&amp;$AC1577&amp;".co",NCEfKey,0)),0)</f>
        <v>1.67472</v>
      </c>
      <c r="AT1577" s="197">
        <f>IFERROR(INDEX(NCEfFin,MATCH($AB1577&amp;"."&amp;$AC1577&amp;".co",NCEfKey,0)),0)</f>
        <v>1.6746906924</v>
      </c>
      <c r="AU1577" s="3" t="str">
        <f>INDEX('Constants and Mappings'!$J$186:$J$201,MATCH($C1577,SubKey,0))</f>
        <v>machinery</v>
      </c>
      <c r="AV1577" s="3">
        <f>INDEX('Constants and Mappings'!$K$186:$K$201,MATCH($C1577,SubKey,0))</f>
        <v>1.0</v>
      </c>
      <c r="AW1577" s="3" t="str">
        <f>INDEX('Constants and Mappings'!$L$186:$L$201,MATCH($C1577,SubKey,0))&amp;""</f>
        <v/>
      </c>
      <c r="AX1577" s="3">
        <f>INDEX('Constants and Mappings'!$M$186:$M$201,MATCH($C1577,SubKey,0))</f>
        <v>0.0</v>
      </c>
      <c r="AY1577" s="3" t="n">
        <v>0</v>
      </c>
      <c r="AZ1577" s="3" t="n">
        <v>0</v>
      </c>
      <c r="BA1577" s="3" t="n">
        <v>0</v>
      </c>
      <c r="BB1577" s="3" t="n">
        <v>0</v>
      </c>
      <c r="BC1577" s="3" t="n">
        <v>0</v>
      </c>
      <c r="BD1577" s="3">
        <f>IFERROR($BB1577/$BC1577,0)</f>
        <v>0.0</v>
      </c>
      <c r="BE1577" s="133" t="n">
        <v>1</v>
      </c>
      <c r="BF1577" s="39" t="n">
        <v>1</v>
      </c>
    </row>
    <row r="1578">
      <c r="A1578" s="3" t="str">
        <f>$B1578&amp;"|"&amp;$C1578</f>
        <v>bio|mac</v>
      </c>
      <c r="B1578" s="8" t="inlineStr">
        <is>
          <t>bio</t>
        </is>
      </c>
      <c r="C1578" s="8" t="inlineStr">
        <is>
          <t>mac</t>
        </is>
      </c>
      <c r="D1578" s="3" t="str">
        <f>INDEX('Constants and Mappings'!$D$186:$D$201,MATCH($C1578,SubKey,0))</f>
        <v>ind</v>
      </c>
      <c r="E1578" s="3" t="str">
        <f>INDEX('Constants and Mappings'!$C$229:$C$237,MATCH($B1578,FuelKey,0))</f>
        <v>bio</v>
      </c>
      <c r="F1578" s="3" t="str">
        <f>INDEX('Constants and Mappings'!$D$229:$D$237,MATCH($B1578,FuelKey,0))</f>
        <v>bio</v>
      </c>
      <c r="G1578" s="3" t="str">
        <f>INDEX('Constants and Mappings'!$E$229:$E$237,MATCH($B1578,FuelKey,0))</f>
        <v>all</v>
      </c>
      <c r="H1578" s="3" t="str">
        <f>INDEX('Constants and Mappings'!$F$186:$F$201,MATCH($C1578,SubKey,0))</f>
        <v>ind</v>
      </c>
      <c r="I1578" s="3" t="str">
        <f>INDEX('Constants and Mappings'!$I$229:$I$237,MATCH($B1578,FuelKey,0))&amp;"."&amp;IF($G1578="sub",$H1578,"all")</f>
        <v>bio.all</v>
      </c>
      <c r="J1578" s="3" t="str">
        <f>INDEX('Constants and Mappings'!$E$186:$E$201,MATCH($C1578,SubKey,0))</f>
        <v>ind</v>
      </c>
      <c r="K1578" s="3">
        <f>INDEX('Constants and Mappings'!$G$229:$G$237,MATCH($B1578,FuelKey,0))</f>
        <v>1.0</v>
      </c>
      <c r="L1578" s="3">
        <f>INDEX('Constants and Mappings'!$H$229:$H$237,MATCH($B1578,FuelKey,0))</f>
        <v>9.0</v>
      </c>
      <c r="M1578" s="3">
        <f>INDEX('Constants and Mappings'!$H$186:$H$201,MATCH($C1578,SubKey,0))</f>
        <v>12.0</v>
      </c>
      <c r="N1578" s="3">
        <f>INDEX('Constants and Mappings'!$E$300:$E$313,MATCH($I1578,'Constants and Mappings'!$A$300:$A$313,0))</f>
        <v>14.0</v>
      </c>
      <c r="O1578" s="48">
        <f>INDEX(ElaSel,MATCH("inc|"&amp;$E1578&amp;"|"&amp;$D1578,ElaSelKey,0))</f>
        <v>0.1</v>
      </c>
      <c r="P1578" s="48">
        <f>INDEX(ElaSel,MATCH("usg|"&amp;$E1578&amp;"|"&amp;$D1578,ElaSelKey,0))</f>
        <v>-0.3</v>
      </c>
      <c r="Q1578" s="48">
        <f>INDEX(ElaSel,MATCH("eff|"&amp;$E1578&amp;"|"&amp;$D1578,ElaSelKey,0))</f>
        <v>-0.2</v>
      </c>
      <c r="R1578" s="225">
        <f>INDEX(ElaSel,MATCH("aei|"&amp;$F1578&amp;"|"&amp;$D1578,ElaSelKey,0))</f>
        <v>0.005</v>
      </c>
      <c r="S1578" s="133" t="n">
        <v>3</v>
      </c>
      <c r="T1578" s="48">
        <f>$Q1578*(1+$P1578)</f>
        <v>-0.13999999999999999</v>
      </c>
      <c r="U1578" s="3">
        <f>INDEX('Constants and Mappings'!$E$1633:$E$1644,MATCH($I1578,'Constants and Mappings'!$A$1633:$A$1644,0))</f>
        <v>312.0</v>
      </c>
      <c r="V1578" s="225">
        <f>INDEX('Constants and Mappings'!$V$1633:$V$1644,MATCH($I1578,'Constants and Mappings'!$A$1633:$A$1644,0))</f>
        <v>0.0</v>
      </c>
      <c r="W1578" s="197">
        <f>INDEX(EFSel,MATCH($B1578&amp;"|"&amp;$J1578,EFSelKey,0))*EFCalib</f>
        <v>0.0</v>
      </c>
      <c r="X1578" s="195">
        <f>IF(LEFT(BalOpt,3)="Bal",$AY1578*$AV1578+$AZ1578*$AX1578,$BA1578)</f>
        <v>0.0</v>
      </c>
      <c r="Y1578" s="3" t="str">
        <f>IF($G1578="sub",$H1578,IF($B1578="oop","ind","trs"))</f>
        <v>trs</v>
      </c>
      <c r="Z1578" s="39">
        <f>IFERROR(MATCH($Y1578&amp;"|"&amp;$B1578,XKey,0),1)</f>
        <v>19.0</v>
      </c>
      <c r="AA1578" s="48">
        <f>INDEX(XCTVal,$Z1578,ECPEmb)+INDEX(XETSVal,$Z1578,ECPEmb)</f>
        <v>0.0</v>
      </c>
      <c r="AB1578" s="8" t="inlineStr">
        <is>
          <t>mnf</t>
        </is>
      </c>
      <c r="AC1578" s="8" t="inlineStr">
        <is>
          <t>bio</t>
        </is>
      </c>
      <c r="AD1578" s="197">
        <f>IFERROR(INDEX(NCEfIn,MATCH($AB1578&amp;"."&amp;$AC1578&amp;".ch4",NCEfKey,0)),0)</f>
        <v>0.460548</v>
      </c>
      <c r="AE1578" s="197">
        <f>IFERROR(INDEX(NCEfFin,MATCH($AB1578&amp;"."&amp;$AC1578&amp;".ch4",NCEfKey,0)),0)</f>
        <v>0.460548</v>
      </c>
      <c r="AF1578" s="3" t="n">
        <v>0</v>
      </c>
      <c r="AG1578" s="197">
        <f>IFERROR(INDEX(NCEfIn,MATCH($AB1578&amp;"."&amp;$AC1578&amp;".pm2",NCEfKey,0)),0)</f>
        <v>6.2980860096</v>
      </c>
      <c r="AH1578" s="197">
        <f>IFERROR(INDEX(NCEfFin,MATCH($AB1578&amp;"."&amp;$AC1578&amp;".pm2",NCEfKey,0)),0)</f>
        <v>4.139405424</v>
      </c>
      <c r="AI1578" s="197">
        <f>IFERROR(INDEX(NCEfIn,MATCH($AB1578&amp;"."&amp;$AC1578&amp;".nox",NCEfKey,0)),0)</f>
        <v>5.44284</v>
      </c>
      <c r="AJ1578" s="197">
        <f>IFERROR(INDEX(NCEfFin,MATCH($AB1578&amp;"."&amp;$AC1578&amp;".nox",NCEfKey,0)),0)</f>
        <v>5.44284</v>
      </c>
      <c r="AK1578" s="197">
        <f>IFERROR(INDEX(NCEfIn,MATCH($AB1578&amp;"."&amp;$AC1578&amp;".so2",NCEfKey,0)),0)</f>
        <v>1.0467</v>
      </c>
      <c r="AL1578" s="197">
        <f>IFERROR(INDEX(NCEfFin,MATCH($AB1578&amp;"."&amp;$AC1578&amp;".so2",NCEfKey,0)),0)</f>
        <v>1.0467</v>
      </c>
      <c r="AM1578" s="197">
        <f>IFERROR(INDEX(NCEfIn,MATCH($AB1578&amp;"."&amp;$AC1578&amp;".voc",NCEfKey,0)),0)</f>
        <v>2.1837846384</v>
      </c>
      <c r="AN1578" s="197">
        <f>IFERROR(INDEX(NCEfFin,MATCH($AB1578&amp;"."&amp;$AC1578&amp;".voc",NCEfKey,0)),0)</f>
        <v>2.009664</v>
      </c>
      <c r="AO1578" s="197">
        <f>IFERROR(INDEX(NCEfIn,MATCH($AB1578&amp;"."&amp;$AC1578&amp;".bc",NCEfKey,0)),0)</f>
        <v>0.3287014812</v>
      </c>
      <c r="AP1578" s="197">
        <f>IFERROR(INDEX(NCEfFin,MATCH($AB1578&amp;"."&amp;$AC1578&amp;".bc",NCEfKey,0)),0)</f>
        <v>0.2188524096</v>
      </c>
      <c r="AQ1578" s="197">
        <f>IFERROR(INDEX(NCEfIn,MATCH($AB1578&amp;"."&amp;$AC1578&amp;".oc",NCEfKey,0)),0)</f>
        <v>0.4871425536</v>
      </c>
      <c r="AR1578" s="197">
        <f>IFERROR(INDEX(NCEfFin,MATCH($AB1578&amp;"."&amp;$AC1578&amp;".oc",NCEfKey,0)),0)</f>
        <v>0.313507584</v>
      </c>
      <c r="AS1578" s="197">
        <f>IFERROR(INDEX(NCEfIn,MATCH($AB1578&amp;"."&amp;$AC1578&amp;".co",NCEfKey,0)),0)</f>
        <v>12.5604</v>
      </c>
      <c r="AT1578" s="197">
        <f>IFERROR(INDEX(NCEfFin,MATCH($AB1578&amp;"."&amp;$AC1578&amp;".co",NCEfKey,0)),0)</f>
        <v>12.5604</v>
      </c>
      <c r="AU1578" s="3" t="str">
        <f>INDEX('Constants and Mappings'!$J$186:$J$201,MATCH($C1578,SubKey,0))</f>
        <v>machinery</v>
      </c>
      <c r="AV1578" s="3">
        <f>INDEX('Constants and Mappings'!$K$186:$K$201,MATCH($C1578,SubKey,0))</f>
        <v>1.0</v>
      </c>
      <c r="AW1578" s="3" t="str">
        <f>INDEX('Constants and Mappings'!$L$186:$L$201,MATCH($C1578,SubKey,0))&amp;""</f>
        <v/>
      </c>
      <c r="AX1578" s="3">
        <f>INDEX('Constants and Mappings'!$M$186:$M$201,MATCH($C1578,SubKey,0))</f>
        <v>0.0</v>
      </c>
      <c r="AY1578" s="3" t="n">
        <v>0</v>
      </c>
      <c r="AZ1578" s="3" t="n">
        <v>0</v>
      </c>
      <c r="BA1578" s="3" t="n">
        <v>0</v>
      </c>
      <c r="BB1578" s="3" t="n">
        <v>0</v>
      </c>
      <c r="BC1578" s="3" t="n">
        <v>0</v>
      </c>
      <c r="BD1578" s="3">
        <f>IFERROR($BB1578/$BC1578,0)</f>
        <v>0.0</v>
      </c>
      <c r="BE1578" s="133" t="n">
        <v>1</v>
      </c>
      <c r="BF1578" s="39" t="n">
        <v>1</v>
      </c>
    </row>
    <row r="1579">
      <c r="A1579" s="3" t="str">
        <f>$B1579&amp;"|"&amp;$C1579</f>
        <v>coa|cem</v>
      </c>
      <c r="B1579" s="8" t="inlineStr">
        <is>
          <t>coa</t>
        </is>
      </c>
      <c r="C1579" s="8" t="inlineStr">
        <is>
          <t>cem</t>
        </is>
      </c>
      <c r="D1579" s="3" t="str">
        <f>INDEX('Constants and Mappings'!$D$186:$D$201,MATCH($C1579,SubKey,0))</f>
        <v>ind</v>
      </c>
      <c r="E1579" s="3" t="str">
        <f>INDEX('Constants and Mappings'!$C$229:$C$237,MATCH($B1579,FuelKey,0))</f>
        <v>coa</v>
      </c>
      <c r="F1579" s="3" t="str">
        <f>INDEX('Constants and Mappings'!$D$229:$D$237,MATCH($B1579,FuelKey,0))</f>
        <v>coa</v>
      </c>
      <c r="G1579" s="3" t="str">
        <f>INDEX('Constants and Mappings'!$E$229:$E$237,MATCH($B1579,FuelKey,0))</f>
        <v>sub</v>
      </c>
      <c r="H1579" s="3" t="str">
        <f>INDEX('Constants and Mappings'!$F$186:$F$201,MATCH($C1579,SubKey,0))</f>
        <v>ind</v>
      </c>
      <c r="I1579" s="3" t="str">
        <f>INDEX('Constants and Mappings'!$I$229:$I$237,MATCH($B1579,FuelKey,0))&amp;"."&amp;IF($G1579="sub",$H1579,"all")</f>
        <v>coa.ind</v>
      </c>
      <c r="J1579" s="3" t="str">
        <f>INDEX('Constants and Mappings'!$E$186:$E$201,MATCH($C1579,SubKey,0))</f>
        <v>ind</v>
      </c>
      <c r="K1579" s="3">
        <f>INDEX('Constants and Mappings'!$G$229:$G$237,MATCH($B1579,FuelKey,0))</f>
        <v>1.0</v>
      </c>
      <c r="L1579" s="3">
        <f>INDEX('Constants and Mappings'!$H$229:$H$237,MATCH($B1579,FuelKey,0))</f>
        <v>1.0</v>
      </c>
      <c r="M1579" s="3">
        <f>INDEX('Constants and Mappings'!$H$186:$H$201,MATCH($C1579,SubKey,0))</f>
        <v>13.0</v>
      </c>
      <c r="N1579" s="3">
        <f>INDEX('Constants and Mappings'!$E$300:$E$313,MATCH($I1579,'Constants and Mappings'!$A$300:$A$313,0))</f>
        <v>3.0</v>
      </c>
      <c r="O1579" s="48">
        <f>INDEX(ElaSel,MATCH("inc|"&amp;$E1579&amp;"|"&amp;$D1579,ElaSelKey,0))</f>
        <v>0.5</v>
      </c>
      <c r="P1579" s="48">
        <f>INDEX(ElaSel,MATCH("usg|"&amp;$E1579&amp;"|"&amp;$D1579,ElaSelKey,0))</f>
        <v>-0.3</v>
      </c>
      <c r="Q1579" s="48">
        <f>INDEX(ElaSel,MATCH("eff|"&amp;$E1579&amp;"|"&amp;$D1579,ElaSelKey,0))</f>
        <v>-0.4</v>
      </c>
      <c r="R1579" s="225">
        <f>INDEX(ElaSel,MATCH("aei|"&amp;$F1579&amp;"|"&amp;$D1579,ElaSelKey,0))</f>
        <v>0.005</v>
      </c>
      <c r="S1579" s="133" t="n">
        <v>3</v>
      </c>
      <c r="T1579" s="48">
        <f>$Q1579*(1+$P1579)</f>
        <v>-0.27999999999999997</v>
      </c>
      <c r="U1579" s="3">
        <f>INDEX('Constants and Mappings'!$E$1633:$E$1644,MATCH($I1579,'Constants and Mappings'!$A$1633:$A$1644,0))</f>
        <v>55.0</v>
      </c>
      <c r="V1579" s="225">
        <f>INDEX('Constants and Mappings'!$V$1633:$V$1644,MATCH($I1579,'Constants and Mappings'!$A$1633:$A$1644,0))</f>
        <v>0.0</v>
      </c>
      <c r="W1579" s="197">
        <f>INDEX(EFSel,MATCH($B1579&amp;"|"&amp;$J1579,EFSelKey,0))*EFCalib</f>
        <v>0.09955404329757564</v>
      </c>
      <c r="X1579" s="195">
        <f>IF(LEFT(BalOpt,3)="Bal",$AY1579*$AV1579+$AZ1579*$AX1579,$BA1579)</f>
        <v>1414.958997504533</v>
      </c>
      <c r="Y1579" s="3" t="str">
        <f>IF($G1579="sub",$H1579,IF($B1579="oop","ind","trs"))</f>
        <v>ind</v>
      </c>
      <c r="Z1579" s="39">
        <f>IFERROR(MATCH($Y1579&amp;"|"&amp;$B1579,XKey,0),1)</f>
        <v>29.0</v>
      </c>
      <c r="AA1579" s="48">
        <f>INDEX(XCTVal,$Z1579,ECPEmb)+INDEX(XETSVal,$Z1579,ECPEmb)</f>
        <v>0.0</v>
      </c>
      <c r="AB1579" s="8" t="inlineStr">
        <is>
          <t>mnf</t>
        </is>
      </c>
      <c r="AC1579" s="8" t="inlineStr">
        <is>
          <t>coa</t>
        </is>
      </c>
      <c r="AD1579" s="197">
        <f>IFERROR(INDEX(NCEfIn,MATCH($AB1579&amp;"."&amp;$AC1579&amp;".ch4",NCEfKey,0)),0)</f>
        <v>0.4186800000000001</v>
      </c>
      <c r="AE1579" s="197">
        <f>IFERROR(INDEX(NCEfFin,MATCH($AB1579&amp;"."&amp;$AC1579&amp;".ch4",NCEfKey,0)),0)</f>
        <v>0.4186800000000001</v>
      </c>
      <c r="AF1579" s="3" t="n">
        <v>0</v>
      </c>
      <c r="AG1579" s="197">
        <f>IFERROR(INDEX(NCEfIn,MATCH($AB1579&amp;"."&amp;$AC1579&amp;".pm2",NCEfKey,0)),0)</f>
        <v>0.1073997936</v>
      </c>
      <c r="AH1579" s="197">
        <f>IFERROR(INDEX(NCEfFin,MATCH($AB1579&amp;"."&amp;$AC1579&amp;".pm2",NCEfKey,0)),0)</f>
        <v>0.0796496832</v>
      </c>
      <c r="AI1579" s="197">
        <f>IFERROR(INDEX(NCEfIn,MATCH($AB1579&amp;"."&amp;$AC1579&amp;".nox",NCEfKey,0)),0)</f>
        <v>1.2560441868</v>
      </c>
      <c r="AJ1579" s="197">
        <f>IFERROR(INDEX(NCEfFin,MATCH($AB1579&amp;"."&amp;$AC1579&amp;".nox",NCEfKey,0)),0)</f>
        <v>1.25604</v>
      </c>
      <c r="AK1579" s="197">
        <f>IFERROR(INDEX(NCEfIn,MATCH($AB1579&amp;"."&amp;$AC1579&amp;".so2",NCEfKey,0)),0)</f>
        <v>1.511497602</v>
      </c>
      <c r="AL1579" s="197">
        <f>IFERROR(INDEX(NCEfFin,MATCH($AB1579&amp;"."&amp;$AC1579&amp;".so2",NCEfKey,0)),0)</f>
        <v>1.5114808548</v>
      </c>
      <c r="AM1579" s="197">
        <f>IFERROR(INDEX(NCEfIn,MATCH($AB1579&amp;"."&amp;$AC1579&amp;".voc",NCEfKey,0)),0)</f>
        <v>0.4186800000000001</v>
      </c>
      <c r="AN1579" s="197">
        <f>IFERROR(INDEX(NCEfFin,MATCH($AB1579&amp;"."&amp;$AC1579&amp;".voc",NCEfKey,0)),0)</f>
        <v>0.4186800000000001</v>
      </c>
      <c r="AO1579" s="197">
        <f>IFERROR(INDEX(NCEfIn,MATCH($AB1579&amp;"."&amp;$AC1579&amp;".bc",NCEfKey,0)),0)</f>
        <v>0.0008876016000000001</v>
      </c>
      <c r="AP1579" s="197">
        <f>IFERROR(INDEX(NCEfFin,MATCH($AB1579&amp;"."&amp;$AC1579&amp;".bc",NCEfKey,0)),0)</f>
        <v>0.0006615144000000001</v>
      </c>
      <c r="AQ1579" s="197">
        <f>IFERROR(INDEX(NCEfIn,MATCH($AB1579&amp;"."&amp;$AC1579&amp;".oc",NCEfKey,0)),0)</f>
        <v>0.0018673128</v>
      </c>
      <c r="AR1579" s="197">
        <f>IFERROR(INDEX(NCEfFin,MATCH($AB1579&amp;"."&amp;$AC1579&amp;".oc",NCEfKey,0)),0)</f>
        <v>0.000565218</v>
      </c>
      <c r="AS1579" s="197">
        <f>IFERROR(INDEX(NCEfIn,MATCH($AB1579&amp;"."&amp;$AC1579&amp;".co",NCEfKey,0)),0)</f>
        <v>4.186800000000001</v>
      </c>
      <c r="AT1579" s="197">
        <f>IFERROR(INDEX(NCEfFin,MATCH($AB1579&amp;"."&amp;$AC1579&amp;".co",NCEfKey,0)),0)</f>
        <v>4.186795813200001</v>
      </c>
      <c r="AU1579" s="3" t="str">
        <f>INDEX('Constants and Mappings'!$J$186:$J$201,MATCH($C1579,SubKey,0))</f>
        <v>cement</v>
      </c>
      <c r="AV1579" s="3">
        <f>INDEX('Constants and Mappings'!$K$186:$K$201,MATCH($C1579,SubKey,0))</f>
        <v>1.0</v>
      </c>
      <c r="AW1579" s="3" t="str">
        <f>INDEX('Constants and Mappings'!$L$186:$L$201,MATCH($C1579,SubKey,0))&amp;""</f>
        <v/>
      </c>
      <c r="AX1579" s="3">
        <f>INDEX('Constants and Mappings'!$M$186:$M$201,MATCH($C1579,SubKey,0))</f>
        <v>0.0</v>
      </c>
      <c r="AY1579" s="3" t="n">
        <v>1414.958997504533</v>
      </c>
      <c r="AZ1579" s="3" t="n">
        <v>0</v>
      </c>
      <c r="BA1579" s="3" t="n">
        <v>1414.958997504533</v>
      </c>
      <c r="BB1579" s="3" t="n">
        <v>0</v>
      </c>
      <c r="BC1579" s="3" t="n">
        <v>0</v>
      </c>
      <c r="BD1579" s="3">
        <f>IFERROR($BB1579/$BC1579,0)</f>
        <v>0.0</v>
      </c>
      <c r="BE1579" s="133" t="n">
        <v>1</v>
      </c>
      <c r="BF1579" s="39" t="n">
        <v>1</v>
      </c>
    </row>
    <row r="1580">
      <c r="A1580" s="3" t="str">
        <f>$B1580&amp;"|"&amp;$C1580</f>
        <v>nga|cem</v>
      </c>
      <c r="B1580" s="8" t="inlineStr">
        <is>
          <t>nga</t>
        </is>
      </c>
      <c r="C1580" s="8" t="inlineStr">
        <is>
          <t>cem</t>
        </is>
      </c>
      <c r="D1580" s="3" t="str">
        <f>INDEX('Constants and Mappings'!$D$186:$D$201,MATCH($C1580,SubKey,0))</f>
        <v>ind</v>
      </c>
      <c r="E1580" s="3" t="str">
        <f>INDEX('Constants and Mappings'!$C$229:$C$237,MATCH($B1580,FuelKey,0))</f>
        <v>nga</v>
      </c>
      <c r="F1580" s="3" t="str">
        <f>INDEX('Constants and Mappings'!$D$229:$D$237,MATCH($B1580,FuelKey,0))</f>
        <v>nga</v>
      </c>
      <c r="G1580" s="3" t="str">
        <f>INDEX('Constants and Mappings'!$E$229:$E$237,MATCH($B1580,FuelKey,0))</f>
        <v>sub</v>
      </c>
      <c r="H1580" s="3" t="str">
        <f>INDEX('Constants and Mappings'!$F$186:$F$201,MATCH($C1580,SubKey,0))</f>
        <v>ind</v>
      </c>
      <c r="I1580" s="3" t="str">
        <f>INDEX('Constants and Mappings'!$I$229:$I$237,MATCH($B1580,FuelKey,0))&amp;"."&amp;IF($G1580="sub",$H1580,"all")</f>
        <v>nga.ind</v>
      </c>
      <c r="J1580" s="3" t="str">
        <f>INDEX('Constants and Mappings'!$E$186:$E$201,MATCH($C1580,SubKey,0))</f>
        <v>ind</v>
      </c>
      <c r="K1580" s="3">
        <f>INDEX('Constants and Mappings'!$G$229:$G$237,MATCH($B1580,FuelKey,0))</f>
        <v>1.0</v>
      </c>
      <c r="L1580" s="3">
        <f>INDEX('Constants and Mappings'!$H$229:$H$237,MATCH($B1580,FuelKey,0))</f>
        <v>2.0</v>
      </c>
      <c r="M1580" s="3">
        <f>INDEX('Constants and Mappings'!$H$186:$H$201,MATCH($C1580,SubKey,0))</f>
        <v>13.0</v>
      </c>
      <c r="N1580" s="3">
        <f>INDEX('Constants and Mappings'!$E$300:$E$313,MATCH($I1580,'Constants and Mappings'!$A$300:$A$313,0))</f>
        <v>6.0</v>
      </c>
      <c r="O1580" s="48">
        <f>INDEX(ElaSel,MATCH("inc|"&amp;$E1580&amp;"|"&amp;$D1580,ElaSelKey,0))</f>
        <v>1.0</v>
      </c>
      <c r="P1580" s="48">
        <f>INDEX(ElaSel,MATCH("usg|"&amp;$E1580&amp;"|"&amp;$D1580,ElaSelKey,0))</f>
        <v>-0.5</v>
      </c>
      <c r="Q1580" s="48">
        <f>INDEX(ElaSel,MATCH("eff|"&amp;$E1580&amp;"|"&amp;$D1580,ElaSelKey,0))</f>
        <v>-0.5</v>
      </c>
      <c r="R1580" s="225">
        <f>INDEX(ElaSel,MATCH("aei|"&amp;$F1580&amp;"|"&amp;$D1580,ElaSelKey,0))</f>
        <v>0.01</v>
      </c>
      <c r="S1580" s="133" t="n">
        <v>3</v>
      </c>
      <c r="T1580" s="48">
        <f>$Q1580*(1+$P1580)</f>
        <v>-0.25</v>
      </c>
      <c r="U1580" s="3">
        <f>INDEX('Constants and Mappings'!$E$1633:$E$1644,MATCH($I1580,'Constants and Mappings'!$A$1633:$A$1644,0))</f>
        <v>138.0</v>
      </c>
      <c r="V1580" s="225">
        <f>INDEX('Constants and Mappings'!$V$1633:$V$1644,MATCH($I1580,'Constants and Mappings'!$A$1633:$A$1644,0))</f>
        <v>0.0</v>
      </c>
      <c r="W1580" s="197">
        <f>INDEX(EFSel,MATCH($B1580&amp;"|"&amp;$J1580,EFSelKey,0))*EFCalib</f>
        <v>0.05555115616004721</v>
      </c>
      <c r="X1580" s="195">
        <f>IF(LEFT(BalOpt,3)="Bal",$AY1580*$AV1580+$AZ1580*$AX1580,$BA1580)</f>
        <v>1674.298650585562</v>
      </c>
      <c r="Y1580" s="3" t="str">
        <f>IF($G1580="sub",$H1580,IF($B1580="oop","ind","trs"))</f>
        <v>ind</v>
      </c>
      <c r="Z1580" s="39">
        <f>IFERROR(MATCH($Y1580&amp;"|"&amp;$B1580,XKey,0),1)</f>
        <v>30.0</v>
      </c>
      <c r="AA1580" s="48">
        <f>INDEX(XCTVal,$Z1580,ECPEmb)+INDEX(XETSVal,$Z1580,ECPEmb)</f>
        <v>0.0</v>
      </c>
      <c r="AB1580" s="8" t="inlineStr">
        <is>
          <t>mnf</t>
        </is>
      </c>
      <c r="AC1580" s="8" t="inlineStr">
        <is>
          <t>nga</t>
        </is>
      </c>
      <c r="AD1580" s="197">
        <f>IFERROR(INDEX(NCEfIn,MATCH($AB1580&amp;"."&amp;$AC1580&amp;".ch4",NCEfKey,0)),0)</f>
        <v>1.9701992232</v>
      </c>
      <c r="AE1580" s="197">
        <f>IFERROR(INDEX(NCEfFin,MATCH($AB1580&amp;"."&amp;$AC1580&amp;".ch4",NCEfKey,0)),0)</f>
        <v>1.9373244696</v>
      </c>
      <c r="AF1580" s="3" t="n">
        <v>0</v>
      </c>
      <c r="AG1580" s="197">
        <f>IFERROR(INDEX(NCEfIn,MATCH($AB1580&amp;"."&amp;$AC1580&amp;".pm2",NCEfKey,0)),0)</f>
        <v>0.0041868</v>
      </c>
      <c r="AH1580" s="197">
        <f>IFERROR(INDEX(NCEfFin,MATCH($AB1580&amp;"."&amp;$AC1580&amp;".pm2",NCEfKey,0)),0)</f>
        <v>0.0041868</v>
      </c>
      <c r="AI1580" s="197">
        <f>IFERROR(INDEX(NCEfIn,MATCH($AB1580&amp;"."&amp;$AC1580&amp;".nox",NCEfKey,0)),0)</f>
        <v>4.186800000000001</v>
      </c>
      <c r="AJ1580" s="197">
        <f>IFERROR(INDEX(NCEfFin,MATCH($AB1580&amp;"."&amp;$AC1580&amp;".nox",NCEfKey,0)),0)</f>
        <v>4.186611594</v>
      </c>
      <c r="AK1580" s="197">
        <f>IFERROR(INDEX(NCEfIn,MATCH($AB1580&amp;"."&amp;$AC1580&amp;".so2",NCEfKey,0)),0)</f>
        <v>0.0348886044</v>
      </c>
      <c r="AL1580" s="197">
        <f>IFERROR(INDEX(NCEfFin,MATCH($AB1580&amp;"."&amp;$AC1580&amp;".so2",NCEfKey,0)),0)</f>
        <v>0.0348886044</v>
      </c>
      <c r="AM1580" s="197">
        <f>IFERROR(INDEX(NCEfIn,MATCH($AB1580&amp;"."&amp;$AC1580&amp;".voc",NCEfKey,0)),0)</f>
        <v>0.083736</v>
      </c>
      <c r="AN1580" s="197">
        <f>IFERROR(INDEX(NCEfFin,MATCH($AB1580&amp;"."&amp;$AC1580&amp;".voc",NCEfKey,0)),0)</f>
        <v>0.08373181320000002</v>
      </c>
      <c r="AO1580" s="197">
        <f>IFERROR(INDEX(NCEfIn,MATCH($AB1580&amp;"."&amp;$AC1580&amp;".bc",NCEfKey,0)),0)</f>
        <v>0.0002805156</v>
      </c>
      <c r="AP1580" s="197">
        <f>IFERROR(INDEX(NCEfFin,MATCH($AB1580&amp;"."&amp;$AC1580&amp;".bc",NCEfKey,0)),0)</f>
        <v>0.0002805156</v>
      </c>
      <c r="AQ1580" s="197">
        <f>IFERROR(INDEX(NCEfIn,MATCH($AB1580&amp;"."&amp;$AC1580&amp;".oc",NCEfKey,0)),0)</f>
        <v>0.0031401</v>
      </c>
      <c r="AR1580" s="197">
        <f>IFERROR(INDEX(NCEfFin,MATCH($AB1580&amp;"."&amp;$AC1580&amp;".oc",NCEfKey,0)),0)</f>
        <v>0.0031401</v>
      </c>
      <c r="AS1580" s="197">
        <f>IFERROR(INDEX(NCEfIn,MATCH($AB1580&amp;"."&amp;$AC1580&amp;".co",NCEfKey,0)),0)</f>
        <v>1.46538</v>
      </c>
      <c r="AT1580" s="197">
        <f>IFERROR(INDEX(NCEfFin,MATCH($AB1580&amp;"."&amp;$AC1580&amp;".co",NCEfKey,0)),0)</f>
        <v>1.4653130112</v>
      </c>
      <c r="AU1580" s="3" t="str">
        <f>INDEX('Constants and Mappings'!$J$186:$J$201,MATCH($C1580,SubKey,0))</f>
        <v>cement</v>
      </c>
      <c r="AV1580" s="3">
        <f>INDEX('Constants and Mappings'!$K$186:$K$201,MATCH($C1580,SubKey,0))</f>
        <v>1.0</v>
      </c>
      <c r="AW1580" s="3" t="str">
        <f>INDEX('Constants and Mappings'!$L$186:$L$201,MATCH($C1580,SubKey,0))&amp;""</f>
        <v/>
      </c>
      <c r="AX1580" s="3">
        <f>INDEX('Constants and Mappings'!$M$186:$M$201,MATCH($C1580,SubKey,0))</f>
        <v>0.0</v>
      </c>
      <c r="AY1580" s="3" t="n">
        <v>1674.298650585562</v>
      </c>
      <c r="AZ1580" s="3" t="n">
        <v>0</v>
      </c>
      <c r="BA1580" s="3" t="n">
        <v>1674.298650585562</v>
      </c>
      <c r="BB1580" s="3" t="n">
        <v>0</v>
      </c>
      <c r="BC1580" s="3" t="n">
        <v>0</v>
      </c>
      <c r="BD1580" s="3">
        <f>IFERROR($BB1580/$BC1580,0)</f>
        <v>0.0</v>
      </c>
      <c r="BE1580" s="133" t="n">
        <v>1</v>
      </c>
      <c r="BF1580" s="39" t="n">
        <v>1</v>
      </c>
    </row>
    <row r="1581">
      <c r="A1581" s="3" t="str">
        <f>$B1581&amp;"|"&amp;$C1581</f>
        <v>gso|cem</v>
      </c>
      <c r="B1581" s="8" t="inlineStr">
        <is>
          <t>gso</t>
        </is>
      </c>
      <c r="C1581" s="8" t="inlineStr">
        <is>
          <t>cem</t>
        </is>
      </c>
      <c r="D1581" s="3" t="str">
        <f>INDEX('Constants and Mappings'!$D$186:$D$201,MATCH($C1581,SubKey,0))</f>
        <v>ind</v>
      </c>
      <c r="E1581" s="3" t="str">
        <f>INDEX('Constants and Mappings'!$C$229:$C$237,MATCH($B1581,FuelKey,0))</f>
        <v>gso</v>
      </c>
      <c r="F1581" s="3" t="str">
        <f>INDEX('Constants and Mappings'!$D$229:$D$237,MATCH($B1581,FuelKey,0))</f>
        <v>oil</v>
      </c>
      <c r="G1581" s="3" t="str">
        <f>INDEX('Constants and Mappings'!$E$229:$E$237,MATCH($B1581,FuelKey,0))</f>
        <v>all</v>
      </c>
      <c r="H1581" s="3" t="str">
        <f>INDEX('Constants and Mappings'!$F$186:$F$201,MATCH($C1581,SubKey,0))</f>
        <v>ind</v>
      </c>
      <c r="I1581" s="3" t="str">
        <f>INDEX('Constants and Mappings'!$I$229:$I$237,MATCH($B1581,FuelKey,0))&amp;"."&amp;IF($G1581="sub",$H1581,"all")</f>
        <v>gso.all</v>
      </c>
      <c r="J1581" s="3" t="str">
        <f>INDEX('Constants and Mappings'!$E$186:$E$201,MATCH($C1581,SubKey,0))</f>
        <v>ind</v>
      </c>
      <c r="K1581" s="3">
        <f>INDEX('Constants and Mappings'!$G$229:$G$237,MATCH($B1581,FuelKey,0))</f>
        <v>0.03496974000000001</v>
      </c>
      <c r="L1581" s="3">
        <f>INDEX('Constants and Mappings'!$H$229:$H$237,MATCH($B1581,FuelKey,0))</f>
        <v>3.0</v>
      </c>
      <c r="M1581" s="3">
        <f>INDEX('Constants and Mappings'!$H$186:$H$201,MATCH($C1581,SubKey,0))</f>
        <v>13.0</v>
      </c>
      <c r="N1581" s="3">
        <f>INDEX('Constants and Mappings'!$E$300:$E$313,MATCH($I1581,'Constants and Mappings'!$A$300:$A$313,0))</f>
        <v>9.0</v>
      </c>
      <c r="O1581" s="48">
        <f>INDEX(ElaSel,MATCH("inc|"&amp;$E1581&amp;"|"&amp;$D1581,ElaSelKey,0))</f>
        <v>0.5</v>
      </c>
      <c r="P1581" s="48">
        <f>INDEX(ElaSel,MATCH("usg|"&amp;$E1581&amp;"|"&amp;$D1581,ElaSelKey,0))</f>
        <v>-0.4</v>
      </c>
      <c r="Q1581" s="48">
        <f>INDEX(ElaSel,MATCH("eff|"&amp;$E1581&amp;"|"&amp;$D1581,ElaSelKey,0))</f>
        <v>-0.7</v>
      </c>
      <c r="R1581" s="225">
        <f>INDEX(ElaSel,MATCH("aei|"&amp;$F1581&amp;"|"&amp;$D1581,ElaSelKey,0))</f>
        <v>0.005</v>
      </c>
      <c r="S1581" s="133" t="n">
        <v>3</v>
      </c>
      <c r="T1581" s="48">
        <f>$Q1581*(1+$P1581)</f>
        <v>-0.42</v>
      </c>
      <c r="U1581" s="3">
        <f>INDEX('Constants and Mappings'!$E$1633:$E$1644,MATCH($I1581,'Constants and Mappings'!$A$1633:$A$1644,0))</f>
        <v>167.0</v>
      </c>
      <c r="V1581" s="225">
        <f>INDEX('Constants and Mappings'!$V$1633:$V$1644,MATCH($I1581,'Constants and Mappings'!$A$1633:$A$1644,0))</f>
        <v>0.0</v>
      </c>
      <c r="W1581" s="197">
        <f>INDEX(EFSel,MATCH($B1581&amp;"|"&amp;$J1581,EFSelKey,0))*EFCalib</f>
        <v>0.06749067257272545</v>
      </c>
      <c r="X1581" s="195">
        <f>IF(LEFT(BalOpt,3)="Bal",$AY1581*$AV1581+$AZ1581*$AX1581,$BA1581)</f>
        <v>0.0</v>
      </c>
      <c r="Y1581" s="3" t="str">
        <f>IF($G1581="sub",$H1581,IF($B1581="oop","ind","trs"))</f>
        <v>trs</v>
      </c>
      <c r="Z1581" s="39">
        <f>IFERROR(MATCH($Y1581&amp;"|"&amp;$B1581,XKey,0),1)</f>
        <v>13.0</v>
      </c>
      <c r="AA1581" s="48">
        <f>INDEX(XCTVal,$Z1581,ECPEmb)+INDEX(XETSVal,$Z1581,ECPEmb)</f>
        <v>0.0</v>
      </c>
      <c r="AB1581" s="8" t="inlineStr">
        <is>
          <t>mnf</t>
        </is>
      </c>
      <c r="AC1581" s="8" t="inlineStr">
        <is>
          <t>gso</t>
        </is>
      </c>
      <c r="AD1581" s="197">
        <f>IFERROR(INDEX(NCEfIn,MATCH($AB1581&amp;"."&amp;$AC1581&amp;".ch4",NCEfKey,0)),0)</f>
        <v>0.125604</v>
      </c>
      <c r="AE1581" s="197">
        <f>IFERROR(INDEX(NCEfFin,MATCH($AB1581&amp;"."&amp;$AC1581&amp;".ch4",NCEfKey,0)),0)</f>
        <v>0.125604</v>
      </c>
      <c r="AF1581" s="3" t="n">
        <v>0</v>
      </c>
      <c r="AG1581" s="197">
        <f>IFERROR(INDEX(NCEfIn,MATCH($AB1581&amp;"."&amp;$AC1581&amp;".pm2",NCEfKey,0)),0)</f>
        <v>0.020934</v>
      </c>
      <c r="AH1581" s="197">
        <f>IFERROR(INDEX(NCEfFin,MATCH($AB1581&amp;"."&amp;$AC1581&amp;".pm2",NCEfKey,0)),0)</f>
        <v>0.020934</v>
      </c>
      <c r="AI1581" s="197">
        <f>IFERROR(INDEX(NCEfIn,MATCH($AB1581&amp;"."&amp;$AC1581&amp;".nox",NCEfKey,0)),0)</f>
        <v>2.93076</v>
      </c>
      <c r="AJ1581" s="197">
        <f>IFERROR(INDEX(NCEfFin,MATCH($AB1581&amp;"."&amp;$AC1581&amp;".nox",NCEfKey,0)),0)</f>
        <v>2.93076</v>
      </c>
      <c r="AK1581" s="197">
        <f>IFERROR(INDEX(NCEfIn,MATCH($AB1581&amp;"."&amp;$AC1581&amp;".so2",NCEfKey,0)),0)</f>
        <v>0.9101726388000001</v>
      </c>
      <c r="AL1581" s="197">
        <f>IFERROR(INDEX(NCEfFin,MATCH($AB1581&amp;"."&amp;$AC1581&amp;".so2",NCEfKey,0)),0)</f>
        <v>0.9101726388000001</v>
      </c>
      <c r="AM1581" s="197">
        <f>IFERROR(INDEX(NCEfIn,MATCH($AB1581&amp;"."&amp;$AC1581&amp;".voc",NCEfKey,0)),0)</f>
        <v>0.10467</v>
      </c>
      <c r="AN1581" s="197">
        <f>IFERROR(INDEX(NCEfFin,MATCH($AB1581&amp;"."&amp;$AC1581&amp;".voc",NCEfKey,0)),0)</f>
        <v>0.10467</v>
      </c>
      <c r="AO1581" s="197">
        <f>IFERROR(INDEX(NCEfIn,MATCH($AB1581&amp;"."&amp;$AC1581&amp;".bc",NCEfKey,0)),0)</f>
        <v>0.001402578</v>
      </c>
      <c r="AP1581" s="197">
        <f>IFERROR(INDEX(NCEfFin,MATCH($AB1581&amp;"."&amp;$AC1581&amp;".bc",NCEfKey,0)),0)</f>
        <v>0.001402578</v>
      </c>
      <c r="AQ1581" s="197">
        <f>IFERROR(INDEX(NCEfIn,MATCH($AB1581&amp;"."&amp;$AC1581&amp;".oc",NCEfKey,0)),0)</f>
        <v>0.0157005</v>
      </c>
      <c r="AR1581" s="197">
        <f>IFERROR(INDEX(NCEfFin,MATCH($AB1581&amp;"."&amp;$AC1581&amp;".oc",NCEfKey,0)),0)</f>
        <v>0.0157005</v>
      </c>
      <c r="AS1581" s="197">
        <f>IFERROR(INDEX(NCEfIn,MATCH($AB1581&amp;"."&amp;$AC1581&amp;".co",NCEfKey,0)),0)</f>
        <v>1.67472</v>
      </c>
      <c r="AT1581" s="197">
        <f>IFERROR(INDEX(NCEfFin,MATCH($AB1581&amp;"."&amp;$AC1581&amp;".co",NCEfKey,0)),0)</f>
        <v>1.67472</v>
      </c>
      <c r="AU1581" s="3" t="str">
        <f>INDEX('Constants and Mappings'!$J$186:$J$201,MATCH($C1581,SubKey,0))</f>
        <v>cement</v>
      </c>
      <c r="AV1581" s="3">
        <f>INDEX('Constants and Mappings'!$K$186:$K$201,MATCH($C1581,SubKey,0))</f>
        <v>1.0</v>
      </c>
      <c r="AW1581" s="3" t="str">
        <f>INDEX('Constants and Mappings'!$L$186:$L$201,MATCH($C1581,SubKey,0))&amp;""</f>
        <v/>
      </c>
      <c r="AX1581" s="3">
        <f>INDEX('Constants and Mappings'!$M$186:$M$201,MATCH($C1581,SubKey,0))</f>
        <v>0.0</v>
      </c>
      <c r="AY1581" s="3" t="n">
        <v>0</v>
      </c>
      <c r="AZ1581" s="3" t="n">
        <v>0</v>
      </c>
      <c r="BA1581" s="3" t="n">
        <v>0</v>
      </c>
      <c r="BB1581" s="3" t="n">
        <v>0</v>
      </c>
      <c r="BC1581" s="3" t="n">
        <v>0</v>
      </c>
      <c r="BD1581" s="3">
        <f>IFERROR($BB1581/$BC1581,0)</f>
        <v>0.0</v>
      </c>
      <c r="BE1581" s="133" t="n">
        <v>1</v>
      </c>
      <c r="BF1581" s="39" t="n">
        <v>1</v>
      </c>
    </row>
    <row r="1582">
      <c r="A1582" s="3" t="str">
        <f>$B1582&amp;"|"&amp;$C1582</f>
        <v>die|cem</v>
      </c>
      <c r="B1582" s="8" t="inlineStr">
        <is>
          <t>die</t>
        </is>
      </c>
      <c r="C1582" s="8" t="inlineStr">
        <is>
          <t>cem</t>
        </is>
      </c>
      <c r="D1582" s="3" t="str">
        <f>INDEX('Constants and Mappings'!$D$186:$D$201,MATCH($C1582,SubKey,0))</f>
        <v>ind</v>
      </c>
      <c r="E1582" s="3" t="str">
        <f>INDEX('Constants and Mappings'!$C$229:$C$237,MATCH($B1582,FuelKey,0))</f>
        <v>die</v>
      </c>
      <c r="F1582" s="3" t="str">
        <f>INDEX('Constants and Mappings'!$D$229:$D$237,MATCH($B1582,FuelKey,0))</f>
        <v>oil</v>
      </c>
      <c r="G1582" s="3" t="str">
        <f>INDEX('Constants and Mappings'!$E$229:$E$237,MATCH($B1582,FuelKey,0))</f>
        <v>all</v>
      </c>
      <c r="H1582" s="3" t="str">
        <f>INDEX('Constants and Mappings'!$F$186:$F$201,MATCH($C1582,SubKey,0))</f>
        <v>ind</v>
      </c>
      <c r="I1582" s="3" t="str">
        <f>INDEX('Constants and Mappings'!$I$229:$I$237,MATCH($B1582,FuelKey,0))&amp;"."&amp;IF($G1582="sub",$H1582,"all")</f>
        <v>die.all</v>
      </c>
      <c r="J1582" s="3" t="str">
        <f>INDEX('Constants and Mappings'!$E$186:$E$201,MATCH($C1582,SubKey,0))</f>
        <v>ind</v>
      </c>
      <c r="K1582" s="3">
        <f>INDEX('Constants and Mappings'!$G$229:$G$237,MATCH($B1582,FuelKey,0))</f>
        <v>0.03729519000000001</v>
      </c>
      <c r="L1582" s="3">
        <f>INDEX('Constants and Mappings'!$H$229:$H$237,MATCH($B1582,FuelKey,0))</f>
        <v>4.0</v>
      </c>
      <c r="M1582" s="3">
        <f>INDEX('Constants and Mappings'!$H$186:$H$201,MATCH($C1582,SubKey,0))</f>
        <v>13.0</v>
      </c>
      <c r="N1582" s="3">
        <f>INDEX('Constants and Mappings'!$E$300:$E$313,MATCH($I1582,'Constants and Mappings'!$A$300:$A$313,0))</f>
        <v>10.0</v>
      </c>
      <c r="O1582" s="48">
        <f>INDEX(ElaSel,MATCH("inc|"&amp;$E1582&amp;"|"&amp;$D1582,ElaSelKey,0))</f>
        <v>0.5</v>
      </c>
      <c r="P1582" s="48">
        <f>INDEX(ElaSel,MATCH("usg|"&amp;$E1582&amp;"|"&amp;$D1582,ElaSelKey,0))</f>
        <v>-0.7</v>
      </c>
      <c r="Q1582" s="48">
        <f>INDEX(ElaSel,MATCH("eff|"&amp;$E1582&amp;"|"&amp;$D1582,ElaSelKey,0))</f>
        <v>-1.2</v>
      </c>
      <c r="R1582" s="225">
        <f>INDEX(ElaSel,MATCH("aei|"&amp;$F1582&amp;"|"&amp;$D1582,ElaSelKey,0))</f>
        <v>0.005</v>
      </c>
      <c r="S1582" s="133" t="n">
        <v>3</v>
      </c>
      <c r="T1582" s="48">
        <f>$Q1582*(1+$P1582)</f>
        <v>-0.36000000000000004</v>
      </c>
      <c r="U1582" s="3">
        <f>INDEX('Constants and Mappings'!$E$1633:$E$1644,MATCH($I1582,'Constants and Mappings'!$A$1633:$A$1644,0))</f>
        <v>196.0</v>
      </c>
      <c r="V1582" s="225">
        <f>INDEX('Constants and Mappings'!$V$1633:$V$1644,MATCH($I1582,'Constants and Mappings'!$A$1633:$A$1644,0))</f>
        <v>0.0</v>
      </c>
      <c r="W1582" s="197">
        <f>INDEX(EFSel,MATCH($B1582&amp;"|"&amp;$J1582,EFSelKey,0))*EFCalib</f>
        <v>0.0715246024071432</v>
      </c>
      <c r="X1582" s="195">
        <f>IF(LEFT(BalOpt,3)="Bal",$AY1582*$AV1582+$AZ1582*$AX1582,$BA1582)</f>
        <v>0.0</v>
      </c>
      <c r="Y1582" s="3" t="str">
        <f>IF($G1582="sub",$H1582,IF($B1582="oop","ind","trs"))</f>
        <v>trs</v>
      </c>
      <c r="Z1582" s="39">
        <f>IFERROR(MATCH($Y1582&amp;"|"&amp;$B1582,XKey,0),1)</f>
        <v>14.0</v>
      </c>
      <c r="AA1582" s="48">
        <f>INDEX(XCTVal,$Z1582,ECPEmb)+INDEX(XETSVal,$Z1582,ECPEmb)</f>
        <v>0.0</v>
      </c>
      <c r="AB1582" s="8" t="inlineStr">
        <is>
          <t>mnf</t>
        </is>
      </c>
      <c r="AC1582" s="8" t="inlineStr">
        <is>
          <t>die</t>
        </is>
      </c>
      <c r="AD1582" s="197">
        <f>IFERROR(INDEX(NCEfIn,MATCH($AB1582&amp;"."&amp;$AC1582&amp;".ch4",NCEfKey,0)),0)</f>
        <v>0.125604</v>
      </c>
      <c r="AE1582" s="197">
        <f>IFERROR(INDEX(NCEfFin,MATCH($AB1582&amp;"."&amp;$AC1582&amp;".ch4",NCEfKey,0)),0)</f>
        <v>0.125604</v>
      </c>
      <c r="AF1582" s="3" t="n">
        <v>0</v>
      </c>
      <c r="AG1582" s="197">
        <f>IFERROR(INDEX(NCEfIn,MATCH($AB1582&amp;"."&amp;$AC1582&amp;".pm2",NCEfKey,0)),0)</f>
        <v>0.0077372064</v>
      </c>
      <c r="AH1582" s="197">
        <f>IFERROR(INDEX(NCEfFin,MATCH($AB1582&amp;"."&amp;$AC1582&amp;".pm2",NCEfKey,0)),0)</f>
        <v>0.0077372064</v>
      </c>
      <c r="AI1582" s="197">
        <f>IFERROR(INDEX(NCEfIn,MATCH($AB1582&amp;"."&amp;$AC1582&amp;".nox",NCEfKey,0)),0)</f>
        <v>6.2802</v>
      </c>
      <c r="AJ1582" s="197">
        <f>IFERROR(INDEX(NCEfFin,MATCH($AB1582&amp;"."&amp;$AC1582&amp;".nox",NCEfKey,0)),0)</f>
        <v>6.2802</v>
      </c>
      <c r="AK1582" s="197">
        <f>IFERROR(INDEX(NCEfIn,MATCH($AB1582&amp;"."&amp;$AC1582&amp;".so2",NCEfKey,0)),0)</f>
        <v>3.9405156768</v>
      </c>
      <c r="AL1582" s="197">
        <f>IFERROR(INDEX(NCEfFin,MATCH($AB1582&amp;"."&amp;$AC1582&amp;".so2",NCEfKey,0)),0)</f>
        <v>3.9405156768</v>
      </c>
      <c r="AM1582" s="197">
        <f>IFERROR(INDEX(NCEfIn,MATCH($AB1582&amp;"."&amp;$AC1582&amp;".voc",NCEfKey,0)),0)</f>
        <v>0.167472</v>
      </c>
      <c r="AN1582" s="197">
        <f>IFERROR(INDEX(NCEfFin,MATCH($AB1582&amp;"."&amp;$AC1582&amp;".voc",NCEfKey,0)),0)</f>
        <v>0.167472</v>
      </c>
      <c r="AO1582" s="197">
        <f>IFERROR(INDEX(NCEfIn,MATCH($AB1582&amp;"."&amp;$AC1582&amp;".bc",NCEfKey,0)),0)</f>
        <v>0.004375206</v>
      </c>
      <c r="AP1582" s="197">
        <f>IFERROR(INDEX(NCEfFin,MATCH($AB1582&amp;"."&amp;$AC1582&amp;".bc",NCEfKey,0)),0)</f>
        <v>0.004375206</v>
      </c>
      <c r="AQ1582" s="197">
        <f>IFERROR(INDEX(NCEfIn,MATCH($AB1582&amp;"."&amp;$AC1582&amp;".oc",NCEfKey,0)),0)</f>
        <v>0.0006615144000000001</v>
      </c>
      <c r="AR1582" s="197">
        <f>IFERROR(INDEX(NCEfFin,MATCH($AB1582&amp;"."&amp;$AC1582&amp;".oc",NCEfKey,0)),0)</f>
        <v>0.0006615144000000001</v>
      </c>
      <c r="AS1582" s="197">
        <f>IFERROR(INDEX(NCEfIn,MATCH($AB1582&amp;"."&amp;$AC1582&amp;".co",NCEfKey,0)),0)</f>
        <v>1.67472</v>
      </c>
      <c r="AT1582" s="197">
        <f>IFERROR(INDEX(NCEfFin,MATCH($AB1582&amp;"."&amp;$AC1582&amp;".co",NCEfKey,0)),0)</f>
        <v>1.67472</v>
      </c>
      <c r="AU1582" s="3" t="str">
        <f>INDEX('Constants and Mappings'!$J$186:$J$201,MATCH($C1582,SubKey,0))</f>
        <v>cement</v>
      </c>
      <c r="AV1582" s="3">
        <f>INDEX('Constants and Mappings'!$K$186:$K$201,MATCH($C1582,SubKey,0))</f>
        <v>1.0</v>
      </c>
      <c r="AW1582" s="3" t="str">
        <f>INDEX('Constants and Mappings'!$L$186:$L$201,MATCH($C1582,SubKey,0))&amp;""</f>
        <v/>
      </c>
      <c r="AX1582" s="3">
        <f>INDEX('Constants and Mappings'!$M$186:$M$201,MATCH($C1582,SubKey,0))</f>
        <v>0.0</v>
      </c>
      <c r="AY1582" s="3" t="n">
        <v>0</v>
      </c>
      <c r="AZ1582" s="3" t="n">
        <v>0</v>
      </c>
      <c r="BA1582" s="3" t="n">
        <v>0</v>
      </c>
      <c r="BB1582" s="3" t="n">
        <v>0</v>
      </c>
      <c r="BC1582" s="3" t="n">
        <v>0</v>
      </c>
      <c r="BD1582" s="3">
        <f>IFERROR($BB1582/$BC1582,0)</f>
        <v>0.0</v>
      </c>
      <c r="BE1582" s="133" t="n">
        <v>1</v>
      </c>
      <c r="BF1582" s="39" t="n">
        <v>1</v>
      </c>
    </row>
    <row r="1583">
      <c r="A1583" s="3" t="str">
        <f>$B1583&amp;"|"&amp;$C1583</f>
        <v>lpg|cem</v>
      </c>
      <c r="B1583" s="8" t="inlineStr">
        <is>
          <t>lpg</t>
        </is>
      </c>
      <c r="C1583" s="8" t="inlineStr">
        <is>
          <t>cem</t>
        </is>
      </c>
      <c r="D1583" s="3" t="str">
        <f>INDEX('Constants and Mappings'!$D$186:$D$201,MATCH($C1583,SubKey,0))</f>
        <v>ind</v>
      </c>
      <c r="E1583" s="3" t="str">
        <f>INDEX('Constants and Mappings'!$C$229:$C$237,MATCH($B1583,FuelKey,0))</f>
        <v>oil</v>
      </c>
      <c r="F1583" s="3" t="str">
        <f>INDEX('Constants and Mappings'!$D$229:$D$237,MATCH($B1583,FuelKey,0))</f>
        <v>oil</v>
      </c>
      <c r="G1583" s="3" t="str">
        <f>INDEX('Constants and Mappings'!$E$229:$E$237,MATCH($B1583,FuelKey,0))</f>
        <v>all</v>
      </c>
      <c r="H1583" s="3" t="str">
        <f>INDEX('Constants and Mappings'!$F$186:$F$201,MATCH($C1583,SubKey,0))</f>
        <v>ind</v>
      </c>
      <c r="I1583" s="3" t="str">
        <f>INDEX('Constants and Mappings'!$I$229:$I$237,MATCH($B1583,FuelKey,0))&amp;"."&amp;IF($G1583="sub",$H1583,"all")</f>
        <v>lpg.all</v>
      </c>
      <c r="J1583" s="3" t="str">
        <f>INDEX('Constants and Mappings'!$E$186:$E$201,MATCH($C1583,SubKey,0))</f>
        <v>ind</v>
      </c>
      <c r="K1583" s="3">
        <f>INDEX('Constants and Mappings'!$G$229:$G$237,MATCH($B1583,FuelKey,0))</f>
        <v>0.02577968854495125</v>
      </c>
      <c r="L1583" s="3">
        <f>INDEX('Constants and Mappings'!$H$229:$H$237,MATCH($B1583,FuelKey,0))</f>
        <v>5.0</v>
      </c>
      <c r="M1583" s="3">
        <f>INDEX('Constants and Mappings'!$H$186:$H$201,MATCH($C1583,SubKey,0))</f>
        <v>13.0</v>
      </c>
      <c r="N1583" s="3">
        <f>INDEX('Constants and Mappings'!$E$300:$E$313,MATCH($I1583,'Constants and Mappings'!$A$300:$A$313,0))</f>
        <v>11.0</v>
      </c>
      <c r="O1583" s="48">
        <f>INDEX(ElaSel,MATCH("inc|"&amp;$E1583&amp;"|"&amp;$D1583,ElaSelKey,0))</f>
        <v>0.8</v>
      </c>
      <c r="P1583" s="48">
        <f>INDEX(ElaSel,MATCH("usg|"&amp;$E1583&amp;"|"&amp;$D1583,ElaSelKey,0))</f>
        <v>-0.4</v>
      </c>
      <c r="Q1583" s="48">
        <f>INDEX(ElaSel,MATCH("eff|"&amp;$E1583&amp;"|"&amp;$D1583,ElaSelKey,0))</f>
        <v>-0.4</v>
      </c>
      <c r="R1583" s="225">
        <f>INDEX(ElaSel,MATCH("aei|"&amp;$F1583&amp;"|"&amp;$D1583,ElaSelKey,0))</f>
        <v>0.005</v>
      </c>
      <c r="S1583" s="133" t="n">
        <v>3</v>
      </c>
      <c r="T1583" s="48">
        <f>$Q1583*(1+$P1583)</f>
        <v>-0.24</v>
      </c>
      <c r="U1583" s="3">
        <f>INDEX('Constants and Mappings'!$E$1633:$E$1644,MATCH($I1583,'Constants and Mappings'!$A$1633:$A$1644,0))</f>
        <v>225.0</v>
      </c>
      <c r="V1583" s="225">
        <f>INDEX('Constants and Mappings'!$V$1633:$V$1644,MATCH($I1583,'Constants and Mappings'!$A$1633:$A$1644,0))</f>
        <v>0.0</v>
      </c>
      <c r="W1583" s="197">
        <f>INDEX(EFSel,MATCH($B1583&amp;"|"&amp;$J1583,EFSelKey,0))*EFCalib</f>
        <v>0.06829407370213687</v>
      </c>
      <c r="X1583" s="195">
        <f>IF(LEFT(BalOpt,3)="Bal",$AY1583*$AV1583+$AZ1583*$AX1583,$BA1583)</f>
        <v>0.0</v>
      </c>
      <c r="Y1583" s="3" t="str">
        <f>IF($G1583="sub",$H1583,IF($B1583="oop","ind","trs"))</f>
        <v>trs</v>
      </c>
      <c r="Z1583" s="39">
        <f>IFERROR(MATCH($Y1583&amp;"|"&amp;$B1583,XKey,0),1)</f>
        <v>15.0</v>
      </c>
      <c r="AA1583" s="48">
        <f>INDEX(XCTVal,$Z1583,ECPEmb)+INDEX(XETSVal,$Z1583,ECPEmb)</f>
        <v>0.0</v>
      </c>
      <c r="AB1583" s="8" t="inlineStr">
        <is>
          <t>mnf</t>
        </is>
      </c>
      <c r="AC1583" s="8" t="inlineStr">
        <is>
          <t>lpg</t>
        </is>
      </c>
      <c r="AD1583" s="197">
        <f>IFERROR(INDEX(NCEfIn,MATCH($AB1583&amp;"."&amp;$AC1583&amp;".ch4",NCEfKey,0)),0)</f>
        <v>0.041868</v>
      </c>
      <c r="AE1583" s="197">
        <f>IFERROR(INDEX(NCEfFin,MATCH($AB1583&amp;"."&amp;$AC1583&amp;".ch4",NCEfKey,0)),0)</f>
        <v>0.041868</v>
      </c>
      <c r="AF1583" s="3" t="n">
        <v>0</v>
      </c>
      <c r="AG1583" s="197">
        <f>IFERROR(INDEX(NCEfIn,MATCH($AB1583&amp;"."&amp;$AC1583&amp;".pm2",NCEfKey,0)),0)</f>
        <v>0.0083736</v>
      </c>
      <c r="AH1583" s="197">
        <f>IFERROR(INDEX(NCEfFin,MATCH($AB1583&amp;"."&amp;$AC1583&amp;".pm2",NCEfKey,0)),0)</f>
        <v>0.0083736</v>
      </c>
      <c r="AI1583" s="197">
        <f>IFERROR(INDEX(NCEfIn,MATCH($AB1583&amp;"."&amp;$AC1583&amp;".nox",NCEfKey,0)),0)</f>
        <v>2.93076</v>
      </c>
      <c r="AJ1583" s="197">
        <f>IFERROR(INDEX(NCEfFin,MATCH($AB1583&amp;"."&amp;$AC1583&amp;".nox",NCEfKey,0)),0)</f>
        <v>2.93076</v>
      </c>
      <c r="AK1583" s="197">
        <f>IFERROR(INDEX(NCEfIn,MATCH($AB1583&amp;"."&amp;$AC1583&amp;".so2",NCEfKey,0)),0)</f>
        <v>0.0</v>
      </c>
      <c r="AL1583" s="197">
        <f>IFERROR(INDEX(NCEfFin,MATCH($AB1583&amp;"."&amp;$AC1583&amp;".so2",NCEfKey,0)),0)</f>
        <v>0.0</v>
      </c>
      <c r="AM1583" s="197">
        <f>IFERROR(INDEX(NCEfIn,MATCH($AB1583&amp;"."&amp;$AC1583&amp;".voc",NCEfKey,0)),0)</f>
        <v>0.0</v>
      </c>
      <c r="AN1583" s="197">
        <f>IFERROR(INDEX(NCEfFin,MATCH($AB1583&amp;"."&amp;$AC1583&amp;".voc",NCEfKey,0)),0)</f>
        <v>0.0</v>
      </c>
      <c r="AO1583" s="197">
        <f>IFERROR(INDEX(NCEfIn,MATCH($AB1583&amp;"."&amp;$AC1583&amp;".bc",NCEfKey,0)),0)</f>
        <v>0.0005610312000000001</v>
      </c>
      <c r="AP1583" s="197">
        <f>IFERROR(INDEX(NCEfFin,MATCH($AB1583&amp;"."&amp;$AC1583&amp;".bc",NCEfKey,0)),0)</f>
        <v>0.0005610312000000001</v>
      </c>
      <c r="AQ1583" s="197">
        <f>IFERROR(INDEX(NCEfIn,MATCH($AB1583&amp;"."&amp;$AC1583&amp;".oc",NCEfKey,0)),0)</f>
        <v>0.0</v>
      </c>
      <c r="AR1583" s="197">
        <f>IFERROR(INDEX(NCEfFin,MATCH($AB1583&amp;"."&amp;$AC1583&amp;".oc",NCEfKey,0)),0)</f>
        <v>0.0</v>
      </c>
      <c r="AS1583" s="197">
        <f>IFERROR(INDEX(NCEfIn,MATCH($AB1583&amp;"."&amp;$AC1583&amp;".co",NCEfKey,0)),0)</f>
        <v>0.62802</v>
      </c>
      <c r="AT1583" s="197">
        <f>IFERROR(INDEX(NCEfFin,MATCH($AB1583&amp;"."&amp;$AC1583&amp;".co",NCEfKey,0)),0)</f>
        <v>0.62802</v>
      </c>
      <c r="AU1583" s="3" t="str">
        <f>INDEX('Constants and Mappings'!$J$186:$J$201,MATCH($C1583,SubKey,0))</f>
        <v>cement</v>
      </c>
      <c r="AV1583" s="3">
        <f>INDEX('Constants and Mappings'!$K$186:$K$201,MATCH($C1583,SubKey,0))</f>
        <v>1.0</v>
      </c>
      <c r="AW1583" s="3" t="str">
        <f>INDEX('Constants and Mappings'!$L$186:$L$201,MATCH($C1583,SubKey,0))&amp;""</f>
        <v/>
      </c>
      <c r="AX1583" s="3">
        <f>INDEX('Constants and Mappings'!$M$186:$M$201,MATCH($C1583,SubKey,0))</f>
        <v>0.0</v>
      </c>
      <c r="AY1583" s="3" t="n">
        <v>0</v>
      </c>
      <c r="AZ1583" s="3" t="n">
        <v>0</v>
      </c>
      <c r="BA1583" s="3" t="n">
        <v>0</v>
      </c>
      <c r="BB1583" s="3" t="n">
        <v>0</v>
      </c>
      <c r="BC1583" s="3" t="n">
        <v>0</v>
      </c>
      <c r="BD1583" s="3">
        <f>IFERROR($BB1583/$BC1583,0)</f>
        <v>0.0</v>
      </c>
      <c r="BE1583" s="133" t="n">
        <v>1</v>
      </c>
      <c r="BF1583" s="39" t="n">
        <v>1</v>
      </c>
    </row>
    <row r="1584">
      <c r="A1584" s="3" t="str">
        <f>$B1584&amp;"|"&amp;$C1584</f>
        <v>ker|cem</v>
      </c>
      <c r="B1584" s="8" t="inlineStr">
        <is>
          <t>ker</t>
        </is>
      </c>
      <c r="C1584" s="8" t="inlineStr">
        <is>
          <t>cem</t>
        </is>
      </c>
      <c r="D1584" s="3" t="str">
        <f>INDEX('Constants and Mappings'!$D$186:$D$201,MATCH($C1584,SubKey,0))</f>
        <v>ind</v>
      </c>
      <c r="E1584" s="3" t="str">
        <f>INDEX('Constants and Mappings'!$C$229:$C$237,MATCH($B1584,FuelKey,0))</f>
        <v>oil</v>
      </c>
      <c r="F1584" s="3" t="str">
        <f>INDEX('Constants and Mappings'!$D$229:$D$237,MATCH($B1584,FuelKey,0))</f>
        <v>oil</v>
      </c>
      <c r="G1584" s="3" t="str">
        <f>INDEX('Constants and Mappings'!$E$229:$E$237,MATCH($B1584,FuelKey,0))</f>
        <v>all</v>
      </c>
      <c r="H1584" s="3" t="str">
        <f>INDEX('Constants and Mappings'!$F$186:$F$201,MATCH($C1584,SubKey,0))</f>
        <v>ind</v>
      </c>
      <c r="I1584" s="3" t="str">
        <f>INDEX('Constants and Mappings'!$I$229:$I$237,MATCH($B1584,FuelKey,0))&amp;"."&amp;IF($G1584="sub",$H1584,"all")</f>
        <v>ker.all</v>
      </c>
      <c r="J1584" s="3" t="str">
        <f>INDEX('Constants and Mappings'!$E$186:$E$201,MATCH($C1584,SubKey,0))</f>
        <v>ind</v>
      </c>
      <c r="K1584" s="3">
        <f>INDEX('Constants and Mappings'!$G$229:$G$237,MATCH($B1584,FuelKey,0))</f>
        <v>0.03774882965510715</v>
      </c>
      <c r="L1584" s="3">
        <f>INDEX('Constants and Mappings'!$H$229:$H$237,MATCH($B1584,FuelKey,0))</f>
        <v>6.0</v>
      </c>
      <c r="M1584" s="3">
        <f>INDEX('Constants and Mappings'!$H$186:$H$201,MATCH($C1584,SubKey,0))</f>
        <v>13.0</v>
      </c>
      <c r="N1584" s="3">
        <f>INDEX('Constants and Mappings'!$E$300:$E$313,MATCH($I1584,'Constants and Mappings'!$A$300:$A$313,0))</f>
        <v>12.0</v>
      </c>
      <c r="O1584" s="48">
        <f>INDEX(ElaSel,MATCH("inc|"&amp;$E1584&amp;"|"&amp;$D1584,ElaSelKey,0))</f>
        <v>0.8</v>
      </c>
      <c r="P1584" s="48">
        <f>INDEX(ElaSel,MATCH("usg|"&amp;$E1584&amp;"|"&amp;$D1584,ElaSelKey,0))</f>
        <v>-0.4</v>
      </c>
      <c r="Q1584" s="48">
        <f>INDEX(ElaSel,MATCH("eff|"&amp;$E1584&amp;"|"&amp;$D1584,ElaSelKey,0))</f>
        <v>-0.4</v>
      </c>
      <c r="R1584" s="225">
        <f>INDEX(ElaSel,MATCH("aei|"&amp;$F1584&amp;"|"&amp;$D1584,ElaSelKey,0))</f>
        <v>0.005</v>
      </c>
      <c r="S1584" s="133" t="n">
        <v>3</v>
      </c>
      <c r="T1584" s="48">
        <f>$Q1584*(1+$P1584)</f>
        <v>-0.24</v>
      </c>
      <c r="U1584" s="3">
        <f>INDEX('Constants and Mappings'!$E$1633:$E$1644,MATCH($I1584,'Constants and Mappings'!$A$1633:$A$1644,0))</f>
        <v>254.0</v>
      </c>
      <c r="V1584" s="225">
        <f>INDEX('Constants and Mappings'!$V$1633:$V$1644,MATCH($I1584,'Constants and Mappings'!$A$1633:$A$1644,0))</f>
        <v>0.0</v>
      </c>
      <c r="W1584" s="197">
        <f>INDEX(EFSel,MATCH($B1584&amp;"|"&amp;$J1584,EFSelKey,0))*EFCalib</f>
        <v>0.06749067257272545</v>
      </c>
      <c r="X1584" s="195">
        <f>IF(LEFT(BalOpt,3)="Bal",$AY1584*$AV1584+$AZ1584*$AX1584,$BA1584)</f>
        <v>0.0</v>
      </c>
      <c r="Y1584" s="3" t="str">
        <f>IF($G1584="sub",$H1584,IF($B1584="oop","ind","trs"))</f>
        <v>trs</v>
      </c>
      <c r="Z1584" s="39">
        <f>IFERROR(MATCH($Y1584&amp;"|"&amp;$B1584,XKey,0),1)</f>
        <v>16.0</v>
      </c>
      <c r="AA1584" s="48">
        <f>INDEX(XCTVal,$Z1584,ECPEmb)+INDEX(XETSVal,$Z1584,ECPEmb)</f>
        <v>0.0</v>
      </c>
      <c r="AB1584" s="8" t="inlineStr">
        <is>
          <t>mnf</t>
        </is>
      </c>
      <c r="AC1584" s="8" t="inlineStr">
        <is>
          <t>ker</t>
        </is>
      </c>
      <c r="AD1584" s="197">
        <f>IFERROR(INDEX(NCEfIn,MATCH($AB1584&amp;"."&amp;$AC1584&amp;".ch4",NCEfKey,0)),0)</f>
        <v>0.125604</v>
      </c>
      <c r="AE1584" s="197">
        <f>IFERROR(INDEX(NCEfFin,MATCH($AB1584&amp;"."&amp;$AC1584&amp;".ch4",NCEfKey,0)),0)</f>
        <v>0.125604</v>
      </c>
      <c r="AF1584" s="3" t="n">
        <v>0</v>
      </c>
      <c r="AG1584" s="197">
        <f>IFERROR(INDEX(NCEfIn,MATCH($AB1584&amp;"."&amp;$AC1584&amp;".pm2",NCEfKey,0)),0)</f>
        <v>0.020934</v>
      </c>
      <c r="AH1584" s="197">
        <f>IFERROR(INDEX(NCEfFin,MATCH($AB1584&amp;"."&amp;$AC1584&amp;".pm2",NCEfKey,0)),0)</f>
        <v>0.020934</v>
      </c>
      <c r="AI1584" s="197">
        <f>IFERROR(INDEX(NCEfIn,MATCH($AB1584&amp;"."&amp;$AC1584&amp;".nox",NCEfKey,0)),0)</f>
        <v>2.93076</v>
      </c>
      <c r="AJ1584" s="197">
        <f>IFERROR(INDEX(NCEfFin,MATCH($AB1584&amp;"."&amp;$AC1584&amp;".nox",NCEfKey,0)),0)</f>
        <v>2.93076</v>
      </c>
      <c r="AK1584" s="197">
        <f>IFERROR(INDEX(NCEfIn,MATCH($AB1584&amp;"."&amp;$AC1584&amp;".so2",NCEfKey,0)),0)</f>
        <v>0.9101726388000001</v>
      </c>
      <c r="AL1584" s="197">
        <f>IFERROR(INDEX(NCEfFin,MATCH($AB1584&amp;"."&amp;$AC1584&amp;".so2",NCEfKey,0)),0)</f>
        <v>0.9101726388000001</v>
      </c>
      <c r="AM1584" s="197">
        <f>IFERROR(INDEX(NCEfIn,MATCH($AB1584&amp;"."&amp;$AC1584&amp;".voc",NCEfKey,0)),0)</f>
        <v>0.10467</v>
      </c>
      <c r="AN1584" s="197">
        <f>IFERROR(INDEX(NCEfFin,MATCH($AB1584&amp;"."&amp;$AC1584&amp;".voc",NCEfKey,0)),0)</f>
        <v>0.10467</v>
      </c>
      <c r="AO1584" s="197">
        <f>IFERROR(INDEX(NCEfIn,MATCH($AB1584&amp;"."&amp;$AC1584&amp;".bc",NCEfKey,0)),0)</f>
        <v>0.001402578</v>
      </c>
      <c r="AP1584" s="197">
        <f>IFERROR(INDEX(NCEfFin,MATCH($AB1584&amp;"."&amp;$AC1584&amp;".bc",NCEfKey,0)),0)</f>
        <v>0.001402578</v>
      </c>
      <c r="AQ1584" s="197">
        <f>IFERROR(INDEX(NCEfIn,MATCH($AB1584&amp;"."&amp;$AC1584&amp;".oc",NCEfKey,0)),0)</f>
        <v>0.0157005</v>
      </c>
      <c r="AR1584" s="197">
        <f>IFERROR(INDEX(NCEfFin,MATCH($AB1584&amp;"."&amp;$AC1584&amp;".oc",NCEfKey,0)),0)</f>
        <v>0.0157005</v>
      </c>
      <c r="AS1584" s="197">
        <f>IFERROR(INDEX(NCEfIn,MATCH($AB1584&amp;"."&amp;$AC1584&amp;".co",NCEfKey,0)),0)</f>
        <v>1.67472</v>
      </c>
      <c r="AT1584" s="197">
        <f>IFERROR(INDEX(NCEfFin,MATCH($AB1584&amp;"."&amp;$AC1584&amp;".co",NCEfKey,0)),0)</f>
        <v>1.67472</v>
      </c>
      <c r="AU1584" s="3" t="str">
        <f>INDEX('Constants and Mappings'!$J$186:$J$201,MATCH($C1584,SubKey,0))</f>
        <v>cement</v>
      </c>
      <c r="AV1584" s="3">
        <f>INDEX('Constants and Mappings'!$K$186:$K$201,MATCH($C1584,SubKey,0))</f>
        <v>1.0</v>
      </c>
      <c r="AW1584" s="3" t="str">
        <f>INDEX('Constants and Mappings'!$L$186:$L$201,MATCH($C1584,SubKey,0))&amp;""</f>
        <v/>
      </c>
      <c r="AX1584" s="3">
        <f>INDEX('Constants and Mappings'!$M$186:$M$201,MATCH($C1584,SubKey,0))</f>
        <v>0.0</v>
      </c>
      <c r="AY1584" s="3" t="n">
        <v>0</v>
      </c>
      <c r="AZ1584" s="3" t="n">
        <v>0</v>
      </c>
      <c r="BA1584" s="3" t="n">
        <v>0</v>
      </c>
      <c r="BB1584" s="3" t="n">
        <v>0</v>
      </c>
      <c r="BC1584" s="3" t="n">
        <v>0</v>
      </c>
      <c r="BD1584" s="3">
        <f>IFERROR($BB1584/$BC1584,0)</f>
        <v>0.0</v>
      </c>
      <c r="BE1584" s="133" t="n">
        <v>1</v>
      </c>
      <c r="BF1584" s="39" t="n">
        <v>1</v>
      </c>
    </row>
    <row r="1585">
      <c r="A1585" s="3" t="str">
        <f>$B1585&amp;"|"&amp;$C1585</f>
        <v>jfu|cem</v>
      </c>
      <c r="B1585" s="8" t="inlineStr">
        <is>
          <t>jfu</t>
        </is>
      </c>
      <c r="C1585" s="8" t="inlineStr">
        <is>
          <t>cem</t>
        </is>
      </c>
      <c r="D1585" s="3" t="str">
        <f>INDEX('Constants and Mappings'!$D$186:$D$201,MATCH($C1585,SubKey,0))</f>
        <v>ind</v>
      </c>
      <c r="E1585" s="3" t="str">
        <f>INDEX('Constants and Mappings'!$C$229:$C$237,MATCH($B1585,FuelKey,0))</f>
        <v>oil</v>
      </c>
      <c r="F1585" s="3" t="str">
        <f>INDEX('Constants and Mappings'!$D$229:$D$237,MATCH($B1585,FuelKey,0))</f>
        <v>oil</v>
      </c>
      <c r="G1585" s="3" t="str">
        <f>INDEX('Constants and Mappings'!$E$229:$E$237,MATCH($B1585,FuelKey,0))</f>
        <v>all</v>
      </c>
      <c r="H1585" s="3" t="str">
        <f>INDEX('Constants and Mappings'!$F$186:$F$201,MATCH($C1585,SubKey,0))</f>
        <v>ind</v>
      </c>
      <c r="I1585" s="3" t="str">
        <f>INDEX('Constants and Mappings'!$I$229:$I$237,MATCH($B1585,FuelKey,0))&amp;"."&amp;IF($G1585="sub",$H1585,"all")</f>
        <v>ker.all</v>
      </c>
      <c r="J1585" s="3" t="str">
        <f>INDEX('Constants and Mappings'!$E$186:$E$201,MATCH($C1585,SubKey,0))</f>
        <v>ind</v>
      </c>
      <c r="K1585" s="3">
        <f>INDEX('Constants and Mappings'!$G$229:$G$237,MATCH($B1585,FuelKey,0))</f>
        <v>0.0348608</v>
      </c>
      <c r="L1585" s="3">
        <f>INDEX('Constants and Mappings'!$H$229:$H$237,MATCH($B1585,FuelKey,0))</f>
        <v>7.0</v>
      </c>
      <c r="M1585" s="3">
        <f>INDEX('Constants and Mappings'!$H$186:$H$201,MATCH($C1585,SubKey,0))</f>
        <v>13.0</v>
      </c>
      <c r="N1585" s="3">
        <f>INDEX('Constants and Mappings'!$E$300:$E$313,MATCH($I1585,'Constants and Mappings'!$A$300:$A$313,0))</f>
        <v>12.0</v>
      </c>
      <c r="O1585" s="48">
        <f>INDEX(ElaSel,MATCH("inc|"&amp;$E1585&amp;"|"&amp;$D1585,ElaSelKey,0))</f>
        <v>0.8</v>
      </c>
      <c r="P1585" s="48">
        <f>INDEX(ElaSel,MATCH("usg|"&amp;$E1585&amp;"|"&amp;$D1585,ElaSelKey,0))</f>
        <v>-0.4</v>
      </c>
      <c r="Q1585" s="48">
        <f>INDEX(ElaSel,MATCH("eff|"&amp;$E1585&amp;"|"&amp;$D1585,ElaSelKey,0))</f>
        <v>-0.4</v>
      </c>
      <c r="R1585" s="225">
        <f>INDEX(ElaSel,MATCH("aei|"&amp;$F1585&amp;"|"&amp;$D1585,ElaSelKey,0))</f>
        <v>0.005</v>
      </c>
      <c r="S1585" s="133" t="n">
        <v>3</v>
      </c>
      <c r="T1585" s="48">
        <f>$Q1585*(1+$P1585)</f>
        <v>-0.24</v>
      </c>
      <c r="U1585" s="3">
        <f>INDEX('Constants and Mappings'!$E$1633:$E$1644,MATCH($I1585,'Constants and Mappings'!$A$1633:$A$1644,0))</f>
        <v>254.0</v>
      </c>
      <c r="V1585" s="225">
        <f>INDEX('Constants and Mappings'!$V$1633:$V$1644,MATCH($I1585,'Constants and Mappings'!$A$1633:$A$1644,0))</f>
        <v>0.0</v>
      </c>
      <c r="W1585" s="197">
        <f>INDEX(EFSel,MATCH($B1585&amp;"|"&amp;$J1585,EFSelKey,0))*EFCalib</f>
        <v>0.07118114095776658</v>
      </c>
      <c r="X1585" s="195">
        <f>IF(LEFT(BalOpt,3)="Bal",$AY1585*$AV1585+$AZ1585*$AX1585,$BA1585)</f>
        <v>0.0</v>
      </c>
      <c r="Y1585" s="3" t="str">
        <f>IF($G1585="sub",$H1585,IF($B1585="oop","ind","trs"))</f>
        <v>trs</v>
      </c>
      <c r="Z1585" s="39">
        <f>IFERROR(MATCH($Y1585&amp;"|"&amp;$B1585,XKey,0),1)</f>
        <v>17.0</v>
      </c>
      <c r="AA1585" s="48">
        <f>INDEX(XCTVal,$Z1585,ECPEmb)+INDEX(XETSVal,$Z1585,ECPEmb)</f>
        <v>0.0</v>
      </c>
      <c r="AB1585" s="8" t="inlineStr">
        <is>
          <t>mnf</t>
        </is>
      </c>
      <c r="AC1585" s="8" t="inlineStr">
        <is>
          <t>jfu</t>
        </is>
      </c>
      <c r="AD1585" s="197">
        <f>IFERROR(INDEX(NCEfIn,MATCH($AB1585&amp;"."&amp;$AC1585&amp;".ch4",NCEfKey,0)),0)</f>
        <v>0.0</v>
      </c>
      <c r="AE1585" s="197">
        <f>IFERROR(INDEX(NCEfFin,MATCH($AB1585&amp;"."&amp;$AC1585&amp;".ch4",NCEfKey,0)),0)</f>
        <v>0.0</v>
      </c>
      <c r="AF1585" s="3" t="n">
        <v>0</v>
      </c>
      <c r="AG1585" s="197">
        <f>IFERROR(INDEX(NCEfIn,MATCH($AB1585&amp;"."&amp;$AC1585&amp;".pm2",NCEfKey,0)),0)</f>
        <v>0.0</v>
      </c>
      <c r="AH1585" s="197">
        <f>IFERROR(INDEX(NCEfFin,MATCH($AB1585&amp;"."&amp;$AC1585&amp;".pm2",NCEfKey,0)),0)</f>
        <v>0.0</v>
      </c>
      <c r="AI1585" s="197">
        <f>IFERROR(INDEX(NCEfIn,MATCH($AB1585&amp;"."&amp;$AC1585&amp;".nox",NCEfKey,0)),0)</f>
        <v>0.0</v>
      </c>
      <c r="AJ1585" s="197">
        <f>IFERROR(INDEX(NCEfFin,MATCH($AB1585&amp;"."&amp;$AC1585&amp;".nox",NCEfKey,0)),0)</f>
        <v>0.0</v>
      </c>
      <c r="AK1585" s="197">
        <f>IFERROR(INDEX(NCEfIn,MATCH($AB1585&amp;"."&amp;$AC1585&amp;".so2",NCEfKey,0)),0)</f>
        <v>0.0</v>
      </c>
      <c r="AL1585" s="197">
        <f>IFERROR(INDEX(NCEfFin,MATCH($AB1585&amp;"."&amp;$AC1585&amp;".so2",NCEfKey,0)),0)</f>
        <v>0.0</v>
      </c>
      <c r="AM1585" s="197">
        <f>IFERROR(INDEX(NCEfIn,MATCH($AB1585&amp;"."&amp;$AC1585&amp;".voc",NCEfKey,0)),0)</f>
        <v>0.0</v>
      </c>
      <c r="AN1585" s="197">
        <f>IFERROR(INDEX(NCEfFin,MATCH($AB1585&amp;"."&amp;$AC1585&amp;".voc",NCEfKey,0)),0)</f>
        <v>0.0</v>
      </c>
      <c r="AO1585" s="197">
        <f>IFERROR(INDEX(NCEfIn,MATCH($AB1585&amp;"."&amp;$AC1585&amp;".bc",NCEfKey,0)),0)</f>
        <v>0.0</v>
      </c>
      <c r="AP1585" s="197">
        <f>IFERROR(INDEX(NCEfFin,MATCH($AB1585&amp;"."&amp;$AC1585&amp;".bc",NCEfKey,0)),0)</f>
        <v>0.0</v>
      </c>
      <c r="AQ1585" s="197">
        <f>IFERROR(INDEX(NCEfIn,MATCH($AB1585&amp;"."&amp;$AC1585&amp;".oc",NCEfKey,0)),0)</f>
        <v>0.0</v>
      </c>
      <c r="AR1585" s="197">
        <f>IFERROR(INDEX(NCEfFin,MATCH($AB1585&amp;"."&amp;$AC1585&amp;".oc",NCEfKey,0)),0)</f>
        <v>0.0</v>
      </c>
      <c r="AS1585" s="197">
        <f>IFERROR(INDEX(NCEfIn,MATCH($AB1585&amp;"."&amp;$AC1585&amp;".co",NCEfKey,0)),0)</f>
        <v>0.0</v>
      </c>
      <c r="AT1585" s="197">
        <f>IFERROR(INDEX(NCEfFin,MATCH($AB1585&amp;"."&amp;$AC1585&amp;".co",NCEfKey,0)),0)</f>
        <v>0.0</v>
      </c>
      <c r="AU1585" s="3" t="str">
        <f>INDEX('Constants and Mappings'!$J$186:$J$201,MATCH($C1585,SubKey,0))</f>
        <v>cement</v>
      </c>
      <c r="AV1585" s="3">
        <f>INDEX('Constants and Mappings'!$K$186:$K$201,MATCH($C1585,SubKey,0))</f>
        <v>1.0</v>
      </c>
      <c r="AW1585" s="3" t="str">
        <f>INDEX('Constants and Mappings'!$L$186:$L$201,MATCH($C1585,SubKey,0))&amp;""</f>
        <v/>
      </c>
      <c r="AX1585" s="3">
        <f>INDEX('Constants and Mappings'!$M$186:$M$201,MATCH($C1585,SubKey,0))</f>
        <v>0.0</v>
      </c>
      <c r="AY1585" s="3" t="n">
        <v>0</v>
      </c>
      <c r="AZ1585" s="3" t="n">
        <v>0</v>
      </c>
      <c r="BA1585" s="3" t="n">
        <v>0</v>
      </c>
      <c r="BB1585" s="3" t="n">
        <v>0</v>
      </c>
      <c r="BC1585" s="3" t="n">
        <v>0</v>
      </c>
      <c r="BD1585" s="3">
        <f>IFERROR($BB1585/$BC1585,0)</f>
        <v>0.0</v>
      </c>
      <c r="BE1585" s="133" t="n">
        <v>1</v>
      </c>
      <c r="BF1585" s="39" t="n">
        <v>1</v>
      </c>
    </row>
    <row r="1586">
      <c r="A1586" s="3" t="str">
        <f>$B1586&amp;"|"&amp;$C1586</f>
        <v>oop|cem</v>
      </c>
      <c r="B1586" s="8" t="inlineStr">
        <is>
          <t>oop</t>
        </is>
      </c>
      <c r="C1586" s="8" t="inlineStr">
        <is>
          <t>cem</t>
        </is>
      </c>
      <c r="D1586" s="3" t="str">
        <f>INDEX('Constants and Mappings'!$D$186:$D$201,MATCH($C1586,SubKey,0))</f>
        <v>ind</v>
      </c>
      <c r="E1586" s="3" t="str">
        <f>INDEX('Constants and Mappings'!$C$229:$C$237,MATCH($B1586,FuelKey,0))</f>
        <v>oil</v>
      </c>
      <c r="F1586" s="3" t="str">
        <f>INDEX('Constants and Mappings'!$D$229:$D$237,MATCH($B1586,FuelKey,0))</f>
        <v>oil</v>
      </c>
      <c r="G1586" s="3" t="str">
        <f>INDEX('Constants and Mappings'!$E$229:$E$237,MATCH($B1586,FuelKey,0))</f>
        <v>all</v>
      </c>
      <c r="H1586" s="3" t="str">
        <f>INDEX('Constants and Mappings'!$F$186:$F$201,MATCH($C1586,SubKey,0))</f>
        <v>ind</v>
      </c>
      <c r="I1586" s="3" t="str">
        <f>INDEX('Constants and Mappings'!$I$229:$I$237,MATCH($B1586,FuelKey,0))&amp;"."&amp;IF($G1586="sub",$H1586,"all")</f>
        <v>oop.all</v>
      </c>
      <c r="J1586" s="3" t="str">
        <f>INDEX('Constants and Mappings'!$E$186:$E$201,MATCH($C1586,SubKey,0))</f>
        <v>ind</v>
      </c>
      <c r="K1586" s="3">
        <f>INDEX('Constants and Mappings'!$G$229:$G$237,MATCH($B1586,FuelKey,0))</f>
        <v>6.12</v>
      </c>
      <c r="L1586" s="3">
        <f>INDEX('Constants and Mappings'!$H$229:$H$237,MATCH($B1586,FuelKey,0))</f>
        <v>8.0</v>
      </c>
      <c r="M1586" s="3">
        <f>INDEX('Constants and Mappings'!$H$186:$H$201,MATCH($C1586,SubKey,0))</f>
        <v>13.0</v>
      </c>
      <c r="N1586" s="3">
        <f>INDEX('Constants and Mappings'!$E$300:$E$313,MATCH($I1586,'Constants and Mappings'!$A$300:$A$313,0))</f>
        <v>13.0</v>
      </c>
      <c r="O1586" s="48">
        <f>INDEX(ElaSel,MATCH("inc|"&amp;$E1586&amp;"|"&amp;$D1586,ElaSelKey,0))</f>
        <v>0.8</v>
      </c>
      <c r="P1586" s="48">
        <f>INDEX(ElaSel,MATCH("usg|"&amp;$E1586&amp;"|"&amp;$D1586,ElaSelKey,0))</f>
        <v>-0.4</v>
      </c>
      <c r="Q1586" s="48">
        <f>INDEX(ElaSel,MATCH("eff|"&amp;$E1586&amp;"|"&amp;$D1586,ElaSelKey,0))</f>
        <v>-0.4</v>
      </c>
      <c r="R1586" s="225">
        <f>INDEX(ElaSel,MATCH("aei|"&amp;$F1586&amp;"|"&amp;$D1586,ElaSelKey,0))</f>
        <v>0.005</v>
      </c>
      <c r="S1586" s="133" t="n">
        <v>3</v>
      </c>
      <c r="T1586" s="48">
        <f>$Q1586*(1+$P1586)</f>
        <v>-0.24</v>
      </c>
      <c r="U1586" s="3">
        <f>INDEX('Constants and Mappings'!$E$1633:$E$1644,MATCH($I1586,'Constants and Mappings'!$A$1633:$A$1644,0))</f>
        <v>283.0</v>
      </c>
      <c r="V1586" s="225">
        <f>INDEX('Constants and Mappings'!$V$1633:$V$1644,MATCH($I1586,'Constants and Mappings'!$A$1633:$A$1644,0))</f>
        <v>0.0</v>
      </c>
      <c r="W1586" s="197">
        <f>INDEX(EFSel,MATCH($B1586&amp;"|"&amp;$J1586,EFSelKey,0))*EFCalib</f>
        <v>0.07635795120924052</v>
      </c>
      <c r="X1586" s="195">
        <f>IF(LEFT(BalOpt,3)="Bal",$AY1586*$AV1586+$AZ1586*$AX1586,$BA1586)</f>
        <v>0.0</v>
      </c>
      <c r="Y1586" s="3" t="str">
        <f>IF($G1586="sub",$H1586,IF($B1586="oop","ind","trs"))</f>
        <v>ind</v>
      </c>
      <c r="Z1586" s="39">
        <f>IFERROR(MATCH($Y1586&amp;"|"&amp;$B1586,XKey,0),1)</f>
        <v>36.0</v>
      </c>
      <c r="AA1586" s="48">
        <f>INDEX(XCTVal,$Z1586,ECPEmb)+INDEX(XETSVal,$Z1586,ECPEmb)</f>
        <v>0.0</v>
      </c>
      <c r="AB1586" s="8" t="inlineStr">
        <is>
          <t>mnf</t>
        </is>
      </c>
      <c r="AC1586" s="8" t="inlineStr">
        <is>
          <t>oop</t>
        </is>
      </c>
      <c r="AD1586" s="197">
        <f>IFERROR(INDEX(NCEfIn,MATCH($AB1586&amp;"."&amp;$AC1586&amp;".ch4",NCEfKey,0)),0)</f>
        <v>0.125604</v>
      </c>
      <c r="AE1586" s="197">
        <f>IFERROR(INDEX(NCEfFin,MATCH($AB1586&amp;"."&amp;$AC1586&amp;".ch4",NCEfKey,0)),0)</f>
        <v>0.1255998132</v>
      </c>
      <c r="AF1586" s="3" t="n">
        <v>0</v>
      </c>
      <c r="AG1586" s="197">
        <f>IFERROR(INDEX(NCEfIn,MATCH($AB1586&amp;"."&amp;$AC1586&amp;".pm2",NCEfKey,0)),0)</f>
        <v>0.304212888</v>
      </c>
      <c r="AH1586" s="197">
        <f>IFERROR(INDEX(NCEfFin,MATCH($AB1586&amp;"."&amp;$AC1586&amp;".pm2",NCEfKey,0)),0)</f>
        <v>0.3042087012</v>
      </c>
      <c r="AI1586" s="197">
        <f>IFERROR(INDEX(NCEfIn,MATCH($AB1586&amp;"."&amp;$AC1586&amp;".nox",NCEfKey,0)),0)</f>
        <v>7.95492</v>
      </c>
      <c r="AJ1586" s="197">
        <f>IFERROR(INDEX(NCEfFin,MATCH($AB1586&amp;"."&amp;$AC1586&amp;".nox",NCEfKey,0)),0)</f>
        <v>6.173939016</v>
      </c>
      <c r="AK1586" s="197">
        <f>IFERROR(INDEX(NCEfIn,MATCH($AB1586&amp;"."&amp;$AC1586&amp;".so2",NCEfKey,0)),0)</f>
        <v>35.5878</v>
      </c>
      <c r="AL1586" s="197">
        <f>IFERROR(INDEX(NCEfFin,MATCH($AB1586&amp;"."&amp;$AC1586&amp;".so2",NCEfKey,0)),0)</f>
        <v>27.2137143312</v>
      </c>
      <c r="AM1586" s="197">
        <f>IFERROR(INDEX(NCEfIn,MATCH($AB1586&amp;"."&amp;$AC1586&amp;".voc",NCEfKey,0)),0)</f>
        <v>0.20934</v>
      </c>
      <c r="AN1586" s="197">
        <f>IFERROR(INDEX(NCEfFin,MATCH($AB1586&amp;"."&amp;$AC1586&amp;".voc",NCEfKey,0)),0)</f>
        <v>0.2093358132</v>
      </c>
      <c r="AO1586" s="197">
        <f>IFERROR(INDEX(NCEfIn,MATCH($AB1586&amp;"."&amp;$AC1586&amp;".bc",NCEfKey,0)),0)</f>
        <v>0.0295881156</v>
      </c>
      <c r="AP1586" s="197">
        <f>IFERROR(INDEX(NCEfFin,MATCH($AB1586&amp;"."&amp;$AC1586&amp;".bc",NCEfKey,0)),0)</f>
        <v>0.0295881156</v>
      </c>
      <c r="AQ1586" s="197">
        <f>IFERROR(INDEX(NCEfIn,MATCH($AB1586&amp;"."&amp;$AC1586&amp;".oc",NCEfKey,0)),0)</f>
        <v>0.0123845544</v>
      </c>
      <c r="AR1586" s="197">
        <f>IFERROR(INDEX(NCEfFin,MATCH($AB1586&amp;"."&amp;$AC1586&amp;".oc",NCEfKey,0)),0)</f>
        <v>0.0123845544</v>
      </c>
      <c r="AS1586" s="197">
        <f>IFERROR(INDEX(NCEfIn,MATCH($AB1586&amp;"."&amp;$AC1586&amp;".co",NCEfKey,0)),0)</f>
        <v>1.67472</v>
      </c>
      <c r="AT1586" s="197">
        <f>IFERROR(INDEX(NCEfFin,MATCH($AB1586&amp;"."&amp;$AC1586&amp;".co",NCEfKey,0)),0)</f>
        <v>1.6746906924</v>
      </c>
      <c r="AU1586" s="3" t="str">
        <f>INDEX('Constants and Mappings'!$J$186:$J$201,MATCH($C1586,SubKey,0))</f>
        <v>cement</v>
      </c>
      <c r="AV1586" s="3">
        <f>INDEX('Constants and Mappings'!$K$186:$K$201,MATCH($C1586,SubKey,0))</f>
        <v>1.0</v>
      </c>
      <c r="AW1586" s="3" t="str">
        <f>INDEX('Constants and Mappings'!$L$186:$L$201,MATCH($C1586,SubKey,0))&amp;""</f>
        <v/>
      </c>
      <c r="AX1586" s="3">
        <f>INDEX('Constants and Mappings'!$M$186:$M$201,MATCH($C1586,SubKey,0))</f>
        <v>0.0</v>
      </c>
      <c r="AY1586" s="3" t="n">
        <v>0</v>
      </c>
      <c r="AZ1586" s="3" t="n">
        <v>0</v>
      </c>
      <c r="BA1586" s="3" t="n">
        <v>0</v>
      </c>
      <c r="BB1586" s="3" t="n">
        <v>0</v>
      </c>
      <c r="BC1586" s="3" t="n">
        <v>0</v>
      </c>
      <c r="BD1586" s="3">
        <f>IFERROR($BB1586/$BC1586,0)</f>
        <v>0.0</v>
      </c>
      <c r="BE1586" s="133" t="n">
        <v>1</v>
      </c>
      <c r="BF1586" s="39" t="n">
        <v>1</v>
      </c>
    </row>
    <row r="1587">
      <c r="A1587" s="3" t="str">
        <f>$B1587&amp;"|"&amp;$C1587</f>
        <v>bio|cem</v>
      </c>
      <c r="B1587" s="8" t="inlineStr">
        <is>
          <t>bio</t>
        </is>
      </c>
      <c r="C1587" s="8" t="inlineStr">
        <is>
          <t>cem</t>
        </is>
      </c>
      <c r="D1587" s="3" t="str">
        <f>INDEX('Constants and Mappings'!$D$186:$D$201,MATCH($C1587,SubKey,0))</f>
        <v>ind</v>
      </c>
      <c r="E1587" s="3" t="str">
        <f>INDEX('Constants and Mappings'!$C$229:$C$237,MATCH($B1587,FuelKey,0))</f>
        <v>bio</v>
      </c>
      <c r="F1587" s="3" t="str">
        <f>INDEX('Constants and Mappings'!$D$229:$D$237,MATCH($B1587,FuelKey,0))</f>
        <v>bio</v>
      </c>
      <c r="G1587" s="3" t="str">
        <f>INDEX('Constants and Mappings'!$E$229:$E$237,MATCH($B1587,FuelKey,0))</f>
        <v>all</v>
      </c>
      <c r="H1587" s="3" t="str">
        <f>INDEX('Constants and Mappings'!$F$186:$F$201,MATCH($C1587,SubKey,0))</f>
        <v>ind</v>
      </c>
      <c r="I1587" s="3" t="str">
        <f>INDEX('Constants and Mappings'!$I$229:$I$237,MATCH($B1587,FuelKey,0))&amp;"."&amp;IF($G1587="sub",$H1587,"all")</f>
        <v>bio.all</v>
      </c>
      <c r="J1587" s="3" t="str">
        <f>INDEX('Constants and Mappings'!$E$186:$E$201,MATCH($C1587,SubKey,0))</f>
        <v>ind</v>
      </c>
      <c r="K1587" s="3">
        <f>INDEX('Constants and Mappings'!$G$229:$G$237,MATCH($B1587,FuelKey,0))</f>
        <v>1.0</v>
      </c>
      <c r="L1587" s="3">
        <f>INDEX('Constants and Mappings'!$H$229:$H$237,MATCH($B1587,FuelKey,0))</f>
        <v>9.0</v>
      </c>
      <c r="M1587" s="3">
        <f>INDEX('Constants and Mappings'!$H$186:$H$201,MATCH($C1587,SubKey,0))</f>
        <v>13.0</v>
      </c>
      <c r="N1587" s="3">
        <f>INDEX('Constants and Mappings'!$E$300:$E$313,MATCH($I1587,'Constants and Mappings'!$A$300:$A$313,0))</f>
        <v>14.0</v>
      </c>
      <c r="O1587" s="48">
        <f>INDEX(ElaSel,MATCH("inc|"&amp;$E1587&amp;"|"&amp;$D1587,ElaSelKey,0))</f>
        <v>0.1</v>
      </c>
      <c r="P1587" s="48">
        <f>INDEX(ElaSel,MATCH("usg|"&amp;$E1587&amp;"|"&amp;$D1587,ElaSelKey,0))</f>
        <v>-0.3</v>
      </c>
      <c r="Q1587" s="48">
        <f>INDEX(ElaSel,MATCH("eff|"&amp;$E1587&amp;"|"&amp;$D1587,ElaSelKey,0))</f>
        <v>-0.2</v>
      </c>
      <c r="R1587" s="225">
        <f>INDEX(ElaSel,MATCH("aei|"&amp;$F1587&amp;"|"&amp;$D1587,ElaSelKey,0))</f>
        <v>0.005</v>
      </c>
      <c r="S1587" s="133" t="n">
        <v>3</v>
      </c>
      <c r="T1587" s="48">
        <f>$Q1587*(1+$P1587)</f>
        <v>-0.13999999999999999</v>
      </c>
      <c r="U1587" s="3">
        <f>INDEX('Constants and Mappings'!$E$1633:$E$1644,MATCH($I1587,'Constants and Mappings'!$A$1633:$A$1644,0))</f>
        <v>312.0</v>
      </c>
      <c r="V1587" s="225">
        <f>INDEX('Constants and Mappings'!$V$1633:$V$1644,MATCH($I1587,'Constants and Mappings'!$A$1633:$A$1644,0))</f>
        <v>0.0</v>
      </c>
      <c r="W1587" s="197">
        <f>INDEX(EFSel,MATCH($B1587&amp;"|"&amp;$J1587,EFSelKey,0))*EFCalib</f>
        <v>0.0</v>
      </c>
      <c r="X1587" s="195">
        <f>IF(LEFT(BalOpt,3)="Bal",$AY1587*$AV1587+$AZ1587*$AX1587,$BA1587)</f>
        <v>0.0</v>
      </c>
      <c r="Y1587" s="3" t="str">
        <f>IF($G1587="sub",$H1587,IF($B1587="oop","ind","trs"))</f>
        <v>trs</v>
      </c>
      <c r="Z1587" s="39">
        <f>IFERROR(MATCH($Y1587&amp;"|"&amp;$B1587,XKey,0),1)</f>
        <v>19.0</v>
      </c>
      <c r="AA1587" s="48">
        <f>INDEX(XCTVal,$Z1587,ECPEmb)+INDEX(XETSVal,$Z1587,ECPEmb)</f>
        <v>0.0</v>
      </c>
      <c r="AB1587" s="8" t="inlineStr">
        <is>
          <t>mnf</t>
        </is>
      </c>
      <c r="AC1587" s="8" t="inlineStr">
        <is>
          <t>bio</t>
        </is>
      </c>
      <c r="AD1587" s="197">
        <f>IFERROR(INDEX(NCEfIn,MATCH($AB1587&amp;"."&amp;$AC1587&amp;".ch4",NCEfKey,0)),0)</f>
        <v>0.460548</v>
      </c>
      <c r="AE1587" s="197">
        <f>IFERROR(INDEX(NCEfFin,MATCH($AB1587&amp;"."&amp;$AC1587&amp;".ch4",NCEfKey,0)),0)</f>
        <v>0.460548</v>
      </c>
      <c r="AF1587" s="3" t="n">
        <v>0</v>
      </c>
      <c r="AG1587" s="197">
        <f>IFERROR(INDEX(NCEfIn,MATCH($AB1587&amp;"."&amp;$AC1587&amp;".pm2",NCEfKey,0)),0)</f>
        <v>6.2980860096</v>
      </c>
      <c r="AH1587" s="197">
        <f>IFERROR(INDEX(NCEfFin,MATCH($AB1587&amp;"."&amp;$AC1587&amp;".pm2",NCEfKey,0)),0)</f>
        <v>4.139405424</v>
      </c>
      <c r="AI1587" s="197">
        <f>IFERROR(INDEX(NCEfIn,MATCH($AB1587&amp;"."&amp;$AC1587&amp;".nox",NCEfKey,0)),0)</f>
        <v>5.44284</v>
      </c>
      <c r="AJ1587" s="197">
        <f>IFERROR(INDEX(NCEfFin,MATCH($AB1587&amp;"."&amp;$AC1587&amp;".nox",NCEfKey,0)),0)</f>
        <v>5.44284</v>
      </c>
      <c r="AK1587" s="197">
        <f>IFERROR(INDEX(NCEfIn,MATCH($AB1587&amp;"."&amp;$AC1587&amp;".so2",NCEfKey,0)),0)</f>
        <v>1.0467</v>
      </c>
      <c r="AL1587" s="197">
        <f>IFERROR(INDEX(NCEfFin,MATCH($AB1587&amp;"."&amp;$AC1587&amp;".so2",NCEfKey,0)),0)</f>
        <v>1.0467</v>
      </c>
      <c r="AM1587" s="197">
        <f>IFERROR(INDEX(NCEfIn,MATCH($AB1587&amp;"."&amp;$AC1587&amp;".voc",NCEfKey,0)),0)</f>
        <v>2.1837846384</v>
      </c>
      <c r="AN1587" s="197">
        <f>IFERROR(INDEX(NCEfFin,MATCH($AB1587&amp;"."&amp;$AC1587&amp;".voc",NCEfKey,0)),0)</f>
        <v>2.009664</v>
      </c>
      <c r="AO1587" s="197">
        <f>IFERROR(INDEX(NCEfIn,MATCH($AB1587&amp;"."&amp;$AC1587&amp;".bc",NCEfKey,0)),0)</f>
        <v>0.3287014812</v>
      </c>
      <c r="AP1587" s="197">
        <f>IFERROR(INDEX(NCEfFin,MATCH($AB1587&amp;"."&amp;$AC1587&amp;".bc",NCEfKey,0)),0)</f>
        <v>0.2188524096</v>
      </c>
      <c r="AQ1587" s="197">
        <f>IFERROR(INDEX(NCEfIn,MATCH($AB1587&amp;"."&amp;$AC1587&amp;".oc",NCEfKey,0)),0)</f>
        <v>0.4871425536</v>
      </c>
      <c r="AR1587" s="197">
        <f>IFERROR(INDEX(NCEfFin,MATCH($AB1587&amp;"."&amp;$AC1587&amp;".oc",NCEfKey,0)),0)</f>
        <v>0.313507584</v>
      </c>
      <c r="AS1587" s="197">
        <f>IFERROR(INDEX(NCEfIn,MATCH($AB1587&amp;"."&amp;$AC1587&amp;".co",NCEfKey,0)),0)</f>
        <v>12.5604</v>
      </c>
      <c r="AT1587" s="197">
        <f>IFERROR(INDEX(NCEfFin,MATCH($AB1587&amp;"."&amp;$AC1587&amp;".co",NCEfKey,0)),0)</f>
        <v>12.5604</v>
      </c>
      <c r="AU1587" s="3" t="str">
        <f>INDEX('Constants and Mappings'!$J$186:$J$201,MATCH($C1587,SubKey,0))</f>
        <v>cement</v>
      </c>
      <c r="AV1587" s="3">
        <f>INDEX('Constants and Mappings'!$K$186:$K$201,MATCH($C1587,SubKey,0))</f>
        <v>1.0</v>
      </c>
      <c r="AW1587" s="3" t="str">
        <f>INDEX('Constants and Mappings'!$L$186:$L$201,MATCH($C1587,SubKey,0))&amp;""</f>
        <v/>
      </c>
      <c r="AX1587" s="3">
        <f>INDEX('Constants and Mappings'!$M$186:$M$201,MATCH($C1587,SubKey,0))</f>
        <v>0.0</v>
      </c>
      <c r="AY1587" s="3" t="n">
        <v>0</v>
      </c>
      <c r="AZ1587" s="3" t="n">
        <v>0</v>
      </c>
      <c r="BA1587" s="3" t="n">
        <v>0</v>
      </c>
      <c r="BB1587" s="3" t="n">
        <v>0</v>
      </c>
      <c r="BC1587" s="3" t="n">
        <v>0</v>
      </c>
      <c r="BD1587" s="3">
        <f>IFERROR($BB1587/$BC1587,0)</f>
        <v>0.0</v>
      </c>
      <c r="BE1587" s="133" t="n">
        <v>1</v>
      </c>
      <c r="BF1587" s="39" t="n">
        <v>1</v>
      </c>
    </row>
    <row r="1588">
      <c r="A1588" s="3" t="str">
        <f>$B1588&amp;"|"&amp;$C1588</f>
        <v>coa|omn</v>
      </c>
      <c r="B1588" s="8" t="inlineStr">
        <is>
          <t>coa</t>
        </is>
      </c>
      <c r="C1588" s="8" t="inlineStr">
        <is>
          <t>omn</t>
        </is>
      </c>
      <c r="D1588" s="3" t="str">
        <f>INDEX('Constants and Mappings'!$D$186:$D$201,MATCH($C1588,SubKey,0))</f>
        <v>ind</v>
      </c>
      <c r="E1588" s="3" t="str">
        <f>INDEX('Constants and Mappings'!$C$229:$C$237,MATCH($B1588,FuelKey,0))</f>
        <v>coa</v>
      </c>
      <c r="F1588" s="3" t="str">
        <f>INDEX('Constants and Mappings'!$D$229:$D$237,MATCH($B1588,FuelKey,0))</f>
        <v>coa</v>
      </c>
      <c r="G1588" s="3" t="str">
        <f>INDEX('Constants and Mappings'!$E$229:$E$237,MATCH($B1588,FuelKey,0))</f>
        <v>sub</v>
      </c>
      <c r="H1588" s="3" t="str">
        <f>INDEX('Constants and Mappings'!$F$186:$F$201,MATCH($C1588,SubKey,0))</f>
        <v>ind</v>
      </c>
      <c r="I1588" s="3" t="str">
        <f>INDEX('Constants and Mappings'!$I$229:$I$237,MATCH($B1588,FuelKey,0))&amp;"."&amp;IF($G1588="sub",$H1588,"all")</f>
        <v>coa.ind</v>
      </c>
      <c r="J1588" s="3" t="str">
        <f>INDEX('Constants and Mappings'!$E$186:$E$201,MATCH($C1588,SubKey,0))</f>
        <v>ind</v>
      </c>
      <c r="K1588" s="3">
        <f>INDEX('Constants and Mappings'!$G$229:$G$237,MATCH($B1588,FuelKey,0))</f>
        <v>1.0</v>
      </c>
      <c r="L1588" s="3">
        <f>INDEX('Constants and Mappings'!$H$229:$H$237,MATCH($B1588,FuelKey,0))</f>
        <v>1.0</v>
      </c>
      <c r="M1588" s="3">
        <f>INDEX('Constants and Mappings'!$H$186:$H$201,MATCH($C1588,SubKey,0))</f>
        <v>14.0</v>
      </c>
      <c r="N1588" s="3">
        <f>INDEX('Constants and Mappings'!$E$300:$E$313,MATCH($I1588,'Constants and Mappings'!$A$300:$A$313,0))</f>
        <v>3.0</v>
      </c>
      <c r="O1588" s="48">
        <f>INDEX(ElaSel,MATCH("inc|"&amp;$E1588&amp;"|"&amp;$D1588,ElaSelKey,0))</f>
        <v>0.5</v>
      </c>
      <c r="P1588" s="48">
        <f>INDEX(ElaSel,MATCH("usg|"&amp;$E1588&amp;"|"&amp;$D1588,ElaSelKey,0))</f>
        <v>-0.3</v>
      </c>
      <c r="Q1588" s="48">
        <f>INDEX(ElaSel,MATCH("eff|"&amp;$E1588&amp;"|"&amp;$D1588,ElaSelKey,0))</f>
        <v>-0.4</v>
      </c>
      <c r="R1588" s="225">
        <f>INDEX(ElaSel,MATCH("aei|"&amp;$F1588&amp;"|"&amp;$D1588,ElaSelKey,0))</f>
        <v>0.005</v>
      </c>
      <c r="S1588" s="133" t="n">
        <v>3</v>
      </c>
      <c r="T1588" s="48">
        <f>$Q1588*(1+$P1588)</f>
        <v>-0.27999999999999997</v>
      </c>
      <c r="U1588" s="3">
        <f>INDEX('Constants and Mappings'!$E$1633:$E$1644,MATCH($I1588,'Constants and Mappings'!$A$1633:$A$1644,0))</f>
        <v>55.0</v>
      </c>
      <c r="V1588" s="225">
        <f>INDEX('Constants and Mappings'!$V$1633:$V$1644,MATCH($I1588,'Constants and Mappings'!$A$1633:$A$1644,0))</f>
        <v>0.0</v>
      </c>
      <c r="W1588" s="197">
        <f>INDEX(EFSel,MATCH($B1588&amp;"|"&amp;$J1588,EFSelKey,0))*EFCalib</f>
        <v>0.09955404329757564</v>
      </c>
      <c r="X1588" s="195">
        <f>IF(LEFT(BalOpt,3)="Bal",$AY1588*$AV1588+$AZ1588*$AX1588,$BA1588)</f>
        <v>0.0</v>
      </c>
      <c r="Y1588" s="3" t="str">
        <f>IF($G1588="sub",$H1588,IF($B1588="oop","ind","trs"))</f>
        <v>ind</v>
      </c>
      <c r="Z1588" s="39">
        <f>IFERROR(MATCH($Y1588&amp;"|"&amp;$B1588,XKey,0),1)</f>
        <v>29.0</v>
      </c>
      <c r="AA1588" s="48">
        <f>INDEX(XCTVal,$Z1588,ECPEmb)+INDEX(XETSVal,$Z1588,ECPEmb)</f>
        <v>0.0</v>
      </c>
      <c r="AB1588" s="8" t="inlineStr">
        <is>
          <t>omn</t>
        </is>
      </c>
      <c r="AC1588" s="8" t="inlineStr">
        <is>
          <t>coa</t>
        </is>
      </c>
      <c r="AD1588" s="197">
        <f>IFERROR(INDEX(NCEfIn,MATCH($AB1588&amp;"."&amp;$AC1588&amp;".ch4",NCEfKey,0)),0)</f>
        <v>0.0</v>
      </c>
      <c r="AE1588" s="197">
        <f>IFERROR(INDEX(NCEfFin,MATCH($AB1588&amp;"."&amp;$AC1588&amp;".ch4",NCEfKey,0)),0)</f>
        <v>0.0</v>
      </c>
      <c r="AF1588" s="3" t="n">
        <v>0</v>
      </c>
      <c r="AG1588" s="197">
        <f>IFERROR(INDEX(NCEfIn,MATCH($AB1588&amp;"."&amp;$AC1588&amp;".pm2",NCEfKey,0)),0)</f>
        <v>0.0</v>
      </c>
      <c r="AH1588" s="197">
        <f>IFERROR(INDEX(NCEfFin,MATCH($AB1588&amp;"."&amp;$AC1588&amp;".pm2",NCEfKey,0)),0)</f>
        <v>0.0</v>
      </c>
      <c r="AI1588" s="197">
        <f>IFERROR(INDEX(NCEfIn,MATCH($AB1588&amp;"."&amp;$AC1588&amp;".nox",NCEfKey,0)),0)</f>
        <v>0.0</v>
      </c>
      <c r="AJ1588" s="197">
        <f>IFERROR(INDEX(NCEfFin,MATCH($AB1588&amp;"."&amp;$AC1588&amp;".nox",NCEfKey,0)),0)</f>
        <v>0.0</v>
      </c>
      <c r="AK1588" s="197">
        <f>IFERROR(INDEX(NCEfIn,MATCH($AB1588&amp;"."&amp;$AC1588&amp;".so2",NCEfKey,0)),0)</f>
        <v>0.0</v>
      </c>
      <c r="AL1588" s="197">
        <f>IFERROR(INDEX(NCEfFin,MATCH($AB1588&amp;"."&amp;$AC1588&amp;".so2",NCEfKey,0)),0)</f>
        <v>0.0</v>
      </c>
      <c r="AM1588" s="197">
        <f>IFERROR(INDEX(NCEfIn,MATCH($AB1588&amp;"."&amp;$AC1588&amp;".voc",NCEfKey,0)),0)</f>
        <v>0.0</v>
      </c>
      <c r="AN1588" s="197">
        <f>IFERROR(INDEX(NCEfFin,MATCH($AB1588&amp;"."&amp;$AC1588&amp;".voc",NCEfKey,0)),0)</f>
        <v>0.0</v>
      </c>
      <c r="AO1588" s="197">
        <f>IFERROR(INDEX(NCEfIn,MATCH($AB1588&amp;"."&amp;$AC1588&amp;".bc",NCEfKey,0)),0)</f>
        <v>0.0</v>
      </c>
      <c r="AP1588" s="197">
        <f>IFERROR(INDEX(NCEfFin,MATCH($AB1588&amp;"."&amp;$AC1588&amp;".bc",NCEfKey,0)),0)</f>
        <v>0.0</v>
      </c>
      <c r="AQ1588" s="197">
        <f>IFERROR(INDEX(NCEfIn,MATCH($AB1588&amp;"."&amp;$AC1588&amp;".oc",NCEfKey,0)),0)</f>
        <v>0.0</v>
      </c>
      <c r="AR1588" s="197">
        <f>IFERROR(INDEX(NCEfFin,MATCH($AB1588&amp;"."&amp;$AC1588&amp;".oc",NCEfKey,0)),0)</f>
        <v>0.0</v>
      </c>
      <c r="AS1588" s="197">
        <f>IFERROR(INDEX(NCEfIn,MATCH($AB1588&amp;"."&amp;$AC1588&amp;".co",NCEfKey,0)),0)</f>
        <v>0.0</v>
      </c>
      <c r="AT1588" s="197">
        <f>IFERROR(INDEX(NCEfFin,MATCH($AB1588&amp;"."&amp;$AC1588&amp;".co",NCEfKey,0)),0)</f>
        <v>0.0</v>
      </c>
      <c r="AU1588" s="3" t="str">
        <f>INDEX('Constants and Mappings'!$J$186:$J$201,MATCH($C1588,SubKey,0))</f>
        <v>other_manufact</v>
      </c>
      <c r="AV1588" s="3">
        <f>INDEX('Constants and Mappings'!$K$186:$K$201,MATCH($C1588,SubKey,0))</f>
        <v>1.0</v>
      </c>
      <c r="AW1588" s="3" t="str">
        <f>INDEX('Constants and Mappings'!$L$186:$L$201,MATCH($C1588,SubKey,0))&amp;""</f>
        <v/>
      </c>
      <c r="AX1588" s="3">
        <f>INDEX('Constants and Mappings'!$M$186:$M$201,MATCH($C1588,SubKey,0))</f>
        <v>0.0</v>
      </c>
      <c r="AY1588" s="3" t="n">
        <v>0</v>
      </c>
      <c r="AZ1588" s="3" t="n">
        <v>0</v>
      </c>
      <c r="BA1588" s="3" t="n">
        <v>0</v>
      </c>
      <c r="BB1588" s="3" t="n">
        <v>0</v>
      </c>
      <c r="BC1588" s="3" t="n">
        <v>0</v>
      </c>
      <c r="BD1588" s="3">
        <f>IFERROR($BB1588/$BC1588,0)</f>
        <v>0.0</v>
      </c>
      <c r="BE1588" s="133" t="n">
        <v>1</v>
      </c>
      <c r="BF1588" s="39" t="n">
        <v>1</v>
      </c>
    </row>
    <row r="1589">
      <c r="A1589" s="3" t="str">
        <f>$B1589&amp;"|"&amp;$C1589</f>
        <v>nga|omn</v>
      </c>
      <c r="B1589" s="8" t="inlineStr">
        <is>
          <t>nga</t>
        </is>
      </c>
      <c r="C1589" s="8" t="inlineStr">
        <is>
          <t>omn</t>
        </is>
      </c>
      <c r="D1589" s="3" t="str">
        <f>INDEX('Constants and Mappings'!$D$186:$D$201,MATCH($C1589,SubKey,0))</f>
        <v>ind</v>
      </c>
      <c r="E1589" s="3" t="str">
        <f>INDEX('Constants and Mappings'!$C$229:$C$237,MATCH($B1589,FuelKey,0))</f>
        <v>nga</v>
      </c>
      <c r="F1589" s="3" t="str">
        <f>INDEX('Constants and Mappings'!$D$229:$D$237,MATCH($B1589,FuelKey,0))</f>
        <v>nga</v>
      </c>
      <c r="G1589" s="3" t="str">
        <f>INDEX('Constants and Mappings'!$E$229:$E$237,MATCH($B1589,FuelKey,0))</f>
        <v>sub</v>
      </c>
      <c r="H1589" s="3" t="str">
        <f>INDEX('Constants and Mappings'!$F$186:$F$201,MATCH($C1589,SubKey,0))</f>
        <v>ind</v>
      </c>
      <c r="I1589" s="3" t="str">
        <f>INDEX('Constants and Mappings'!$I$229:$I$237,MATCH($B1589,FuelKey,0))&amp;"."&amp;IF($G1589="sub",$H1589,"all")</f>
        <v>nga.ind</v>
      </c>
      <c r="J1589" s="3" t="str">
        <f>INDEX('Constants and Mappings'!$E$186:$E$201,MATCH($C1589,SubKey,0))</f>
        <v>ind</v>
      </c>
      <c r="K1589" s="3">
        <f>INDEX('Constants and Mappings'!$G$229:$G$237,MATCH($B1589,FuelKey,0))</f>
        <v>1.0</v>
      </c>
      <c r="L1589" s="3">
        <f>INDEX('Constants and Mappings'!$H$229:$H$237,MATCH($B1589,FuelKey,0))</f>
        <v>2.0</v>
      </c>
      <c r="M1589" s="3">
        <f>INDEX('Constants and Mappings'!$H$186:$H$201,MATCH($C1589,SubKey,0))</f>
        <v>14.0</v>
      </c>
      <c r="N1589" s="3">
        <f>INDEX('Constants and Mappings'!$E$300:$E$313,MATCH($I1589,'Constants and Mappings'!$A$300:$A$313,0))</f>
        <v>6.0</v>
      </c>
      <c r="O1589" s="48">
        <f>INDEX(ElaSel,MATCH("inc|"&amp;$E1589&amp;"|"&amp;$D1589,ElaSelKey,0))</f>
        <v>1.0</v>
      </c>
      <c r="P1589" s="48">
        <f>INDEX(ElaSel,MATCH("usg|"&amp;$E1589&amp;"|"&amp;$D1589,ElaSelKey,0))</f>
        <v>-0.5</v>
      </c>
      <c r="Q1589" s="48">
        <f>INDEX(ElaSel,MATCH("eff|"&amp;$E1589&amp;"|"&amp;$D1589,ElaSelKey,0))</f>
        <v>-0.5</v>
      </c>
      <c r="R1589" s="225">
        <f>INDEX(ElaSel,MATCH("aei|"&amp;$F1589&amp;"|"&amp;$D1589,ElaSelKey,0))</f>
        <v>0.01</v>
      </c>
      <c r="S1589" s="133" t="n">
        <v>3</v>
      </c>
      <c r="T1589" s="48">
        <f>$Q1589*(1+$P1589)</f>
        <v>-0.25</v>
      </c>
      <c r="U1589" s="3">
        <f>INDEX('Constants and Mappings'!$E$1633:$E$1644,MATCH($I1589,'Constants and Mappings'!$A$1633:$A$1644,0))</f>
        <v>138.0</v>
      </c>
      <c r="V1589" s="225">
        <f>INDEX('Constants and Mappings'!$V$1633:$V$1644,MATCH($I1589,'Constants and Mappings'!$A$1633:$A$1644,0))</f>
        <v>0.0</v>
      </c>
      <c r="W1589" s="197">
        <f>INDEX(EFSel,MATCH($B1589&amp;"|"&amp;$J1589,EFSelKey,0))*EFCalib</f>
        <v>0.05555115616004721</v>
      </c>
      <c r="X1589" s="195">
        <f>IF(LEFT(BalOpt,3)="Bal",$AY1589*$AV1589+$AZ1589*$AX1589,$BA1589)</f>
        <v>941.2311430486719</v>
      </c>
      <c r="Y1589" s="3" t="str">
        <f>IF($G1589="sub",$H1589,IF($B1589="oop","ind","trs"))</f>
        <v>ind</v>
      </c>
      <c r="Z1589" s="39">
        <f>IFERROR(MATCH($Y1589&amp;"|"&amp;$B1589,XKey,0),1)</f>
        <v>30.0</v>
      </c>
      <c r="AA1589" s="48">
        <f>INDEX(XCTVal,$Z1589,ECPEmb)+INDEX(XETSVal,$Z1589,ECPEmb)</f>
        <v>0.0</v>
      </c>
      <c r="AB1589" s="8" t="inlineStr">
        <is>
          <t>omn</t>
        </is>
      </c>
      <c r="AC1589" s="8" t="inlineStr">
        <is>
          <t>nga</t>
        </is>
      </c>
      <c r="AD1589" s="197">
        <f>IFERROR(INDEX(NCEfIn,MATCH($AB1589&amp;"."&amp;$AC1589&amp;".ch4",NCEfKey,0)),0)</f>
        <v>1.9703792556</v>
      </c>
      <c r="AE1589" s="197">
        <f>IFERROR(INDEX(NCEfFin,MATCH($AB1589&amp;"."&amp;$AC1589&amp;".ch4",NCEfKey,0)),0)</f>
        <v>1.925928</v>
      </c>
      <c r="AF1589" s="3" t="n">
        <v>0</v>
      </c>
      <c r="AG1589" s="197">
        <f>IFERROR(INDEX(NCEfIn,MATCH($AB1589&amp;"."&amp;$AC1589&amp;".pm2",NCEfKey,0)),0)</f>
        <v>0.0041868</v>
      </c>
      <c r="AH1589" s="197">
        <f>IFERROR(INDEX(NCEfFin,MATCH($AB1589&amp;"."&amp;$AC1589&amp;".pm2",NCEfKey,0)),0)</f>
        <v>0.0041868</v>
      </c>
      <c r="AI1589" s="197">
        <f>IFERROR(INDEX(NCEfIn,MATCH($AB1589&amp;"."&amp;$AC1589&amp;".nox",NCEfKey,0)),0)</f>
        <v>4.186800000000001</v>
      </c>
      <c r="AJ1589" s="197">
        <f>IFERROR(INDEX(NCEfFin,MATCH($AB1589&amp;"."&amp;$AC1589&amp;".nox",NCEfKey,0)),0)</f>
        <v>4.186800000000001</v>
      </c>
      <c r="AK1589" s="197">
        <f>IFERROR(INDEX(NCEfIn,MATCH($AB1589&amp;"."&amp;$AC1589&amp;".so2",NCEfKey,0)),0)</f>
        <v>0.0348886044</v>
      </c>
      <c r="AL1589" s="197">
        <f>IFERROR(INDEX(NCEfFin,MATCH($AB1589&amp;"."&amp;$AC1589&amp;".so2",NCEfKey,0)),0)</f>
        <v>0.0348886044</v>
      </c>
      <c r="AM1589" s="197">
        <f>IFERROR(INDEX(NCEfIn,MATCH($AB1589&amp;"."&amp;$AC1589&amp;".voc",NCEfKey,0)),0)</f>
        <v>0.083736</v>
      </c>
      <c r="AN1589" s="197">
        <f>IFERROR(INDEX(NCEfFin,MATCH($AB1589&amp;"."&amp;$AC1589&amp;".voc",NCEfKey,0)),0)</f>
        <v>0.083736</v>
      </c>
      <c r="AO1589" s="197">
        <f>IFERROR(INDEX(NCEfIn,MATCH($AB1589&amp;"."&amp;$AC1589&amp;".bc",NCEfKey,0)),0)</f>
        <v>0.0002805156</v>
      </c>
      <c r="AP1589" s="197">
        <f>IFERROR(INDEX(NCEfFin,MATCH($AB1589&amp;"."&amp;$AC1589&amp;".bc",NCEfKey,0)),0)</f>
        <v>0.0002805156</v>
      </c>
      <c r="AQ1589" s="197">
        <f>IFERROR(INDEX(NCEfIn,MATCH($AB1589&amp;"."&amp;$AC1589&amp;".oc",NCEfKey,0)),0)</f>
        <v>0.0031401</v>
      </c>
      <c r="AR1589" s="197">
        <f>IFERROR(INDEX(NCEfFin,MATCH($AB1589&amp;"."&amp;$AC1589&amp;".oc",NCEfKey,0)),0)</f>
        <v>0.0031401</v>
      </c>
      <c r="AS1589" s="197">
        <f>IFERROR(INDEX(NCEfIn,MATCH($AB1589&amp;"."&amp;$AC1589&amp;".co",NCEfKey,0)),0)</f>
        <v>1.46538</v>
      </c>
      <c r="AT1589" s="197">
        <f>IFERROR(INDEX(NCEfFin,MATCH($AB1589&amp;"."&amp;$AC1589&amp;".co",NCEfKey,0)),0)</f>
        <v>1.46538</v>
      </c>
      <c r="AU1589" s="3" t="str">
        <f>INDEX('Constants and Mappings'!$J$186:$J$201,MATCH($C1589,SubKey,0))</f>
        <v>other_manufact</v>
      </c>
      <c r="AV1589" s="3">
        <f>INDEX('Constants and Mappings'!$K$186:$K$201,MATCH($C1589,SubKey,0))</f>
        <v>1.0</v>
      </c>
      <c r="AW1589" s="3" t="str">
        <f>INDEX('Constants and Mappings'!$L$186:$L$201,MATCH($C1589,SubKey,0))&amp;""</f>
        <v/>
      </c>
      <c r="AX1589" s="3">
        <f>INDEX('Constants and Mappings'!$M$186:$M$201,MATCH($C1589,SubKey,0))</f>
        <v>0.0</v>
      </c>
      <c r="AY1589" s="3" t="n">
        <v>941.2311430486719</v>
      </c>
      <c r="AZ1589" s="3" t="n">
        <v>0</v>
      </c>
      <c r="BA1589" s="3" t="n">
        <v>941.2311430486719</v>
      </c>
      <c r="BB1589" s="3" t="n">
        <v>0</v>
      </c>
      <c r="BC1589" s="3" t="n">
        <v>0</v>
      </c>
      <c r="BD1589" s="3">
        <f>IFERROR($BB1589/$BC1589,0)</f>
        <v>0.0</v>
      </c>
      <c r="BE1589" s="133" t="n">
        <v>1</v>
      </c>
      <c r="BF1589" s="39" t="n">
        <v>1</v>
      </c>
    </row>
    <row r="1590">
      <c r="A1590" s="3" t="str">
        <f>$B1590&amp;"|"&amp;$C1590</f>
        <v>gso|omn</v>
      </c>
      <c r="B1590" s="8" t="inlineStr">
        <is>
          <t>gso</t>
        </is>
      </c>
      <c r="C1590" s="8" t="inlineStr">
        <is>
          <t>omn</t>
        </is>
      </c>
      <c r="D1590" s="3" t="str">
        <f>INDEX('Constants and Mappings'!$D$186:$D$201,MATCH($C1590,SubKey,0))</f>
        <v>ind</v>
      </c>
      <c r="E1590" s="3" t="str">
        <f>INDEX('Constants and Mappings'!$C$229:$C$237,MATCH($B1590,FuelKey,0))</f>
        <v>gso</v>
      </c>
      <c r="F1590" s="3" t="str">
        <f>INDEX('Constants and Mappings'!$D$229:$D$237,MATCH($B1590,FuelKey,0))</f>
        <v>oil</v>
      </c>
      <c r="G1590" s="3" t="str">
        <f>INDEX('Constants and Mappings'!$E$229:$E$237,MATCH($B1590,FuelKey,0))</f>
        <v>all</v>
      </c>
      <c r="H1590" s="3" t="str">
        <f>INDEX('Constants and Mappings'!$F$186:$F$201,MATCH($C1590,SubKey,0))</f>
        <v>ind</v>
      </c>
      <c r="I1590" s="3" t="str">
        <f>INDEX('Constants and Mappings'!$I$229:$I$237,MATCH($B1590,FuelKey,0))&amp;"."&amp;IF($G1590="sub",$H1590,"all")</f>
        <v>gso.all</v>
      </c>
      <c r="J1590" s="3" t="str">
        <f>INDEX('Constants and Mappings'!$E$186:$E$201,MATCH($C1590,SubKey,0))</f>
        <v>ind</v>
      </c>
      <c r="K1590" s="3">
        <f>INDEX('Constants and Mappings'!$G$229:$G$237,MATCH($B1590,FuelKey,0))</f>
        <v>0.03496974000000001</v>
      </c>
      <c r="L1590" s="3">
        <f>INDEX('Constants and Mappings'!$H$229:$H$237,MATCH($B1590,FuelKey,0))</f>
        <v>3.0</v>
      </c>
      <c r="M1590" s="3">
        <f>INDEX('Constants and Mappings'!$H$186:$H$201,MATCH($C1590,SubKey,0))</f>
        <v>14.0</v>
      </c>
      <c r="N1590" s="3">
        <f>INDEX('Constants and Mappings'!$E$300:$E$313,MATCH($I1590,'Constants and Mappings'!$A$300:$A$313,0))</f>
        <v>9.0</v>
      </c>
      <c r="O1590" s="48">
        <f>INDEX(ElaSel,MATCH("inc|"&amp;$E1590&amp;"|"&amp;$D1590,ElaSelKey,0))</f>
        <v>0.5</v>
      </c>
      <c r="P1590" s="48">
        <f>INDEX(ElaSel,MATCH("usg|"&amp;$E1590&amp;"|"&amp;$D1590,ElaSelKey,0))</f>
        <v>-0.4</v>
      </c>
      <c r="Q1590" s="48">
        <f>INDEX(ElaSel,MATCH("eff|"&amp;$E1590&amp;"|"&amp;$D1590,ElaSelKey,0))</f>
        <v>-0.7</v>
      </c>
      <c r="R1590" s="225">
        <f>INDEX(ElaSel,MATCH("aei|"&amp;$F1590&amp;"|"&amp;$D1590,ElaSelKey,0))</f>
        <v>0.005</v>
      </c>
      <c r="S1590" s="133" t="n">
        <v>3</v>
      </c>
      <c r="T1590" s="48">
        <f>$Q1590*(1+$P1590)</f>
        <v>-0.42</v>
      </c>
      <c r="U1590" s="3">
        <f>INDEX('Constants and Mappings'!$E$1633:$E$1644,MATCH($I1590,'Constants and Mappings'!$A$1633:$A$1644,0))</f>
        <v>167.0</v>
      </c>
      <c r="V1590" s="225">
        <f>INDEX('Constants and Mappings'!$V$1633:$V$1644,MATCH($I1590,'Constants and Mappings'!$A$1633:$A$1644,0))</f>
        <v>0.0</v>
      </c>
      <c r="W1590" s="197">
        <f>INDEX(EFSel,MATCH($B1590&amp;"|"&amp;$J1590,EFSelKey,0))*EFCalib</f>
        <v>0.06749067257272545</v>
      </c>
      <c r="X1590" s="195">
        <f>IF(LEFT(BalOpt,3)="Bal",$AY1590*$AV1590+$AZ1590*$AX1590,$BA1590)</f>
        <v>0.0</v>
      </c>
      <c r="Y1590" s="3" t="str">
        <f>IF($G1590="sub",$H1590,IF($B1590="oop","ind","trs"))</f>
        <v>trs</v>
      </c>
      <c r="Z1590" s="39">
        <f>IFERROR(MATCH($Y1590&amp;"|"&amp;$B1590,XKey,0),1)</f>
        <v>13.0</v>
      </c>
      <c r="AA1590" s="48">
        <f>INDEX(XCTVal,$Z1590,ECPEmb)+INDEX(XETSVal,$Z1590,ECPEmb)</f>
        <v>0.0</v>
      </c>
      <c r="AB1590" s="8" t="inlineStr">
        <is>
          <t>omn</t>
        </is>
      </c>
      <c r="AC1590" s="8" t="inlineStr">
        <is>
          <t>gso</t>
        </is>
      </c>
      <c r="AD1590" s="197">
        <f>IFERROR(INDEX(NCEfIn,MATCH($AB1590&amp;"."&amp;$AC1590&amp;".ch4",NCEfKey,0)),0)</f>
        <v>0.125604</v>
      </c>
      <c r="AE1590" s="197">
        <f>IFERROR(INDEX(NCEfFin,MATCH($AB1590&amp;"."&amp;$AC1590&amp;".ch4",NCEfKey,0)),0)</f>
        <v>0.125604</v>
      </c>
      <c r="AF1590" s="3" t="n">
        <v>0</v>
      </c>
      <c r="AG1590" s="197">
        <f>IFERROR(INDEX(NCEfIn,MATCH($AB1590&amp;"."&amp;$AC1590&amp;".pm2",NCEfKey,0)),0)</f>
        <v>0.020934</v>
      </c>
      <c r="AH1590" s="197">
        <f>IFERROR(INDEX(NCEfFin,MATCH($AB1590&amp;"."&amp;$AC1590&amp;".pm2",NCEfKey,0)),0)</f>
        <v>0.020934</v>
      </c>
      <c r="AI1590" s="197">
        <f>IFERROR(INDEX(NCEfIn,MATCH($AB1590&amp;"."&amp;$AC1590&amp;".nox",NCEfKey,0)),0)</f>
        <v>2.93076</v>
      </c>
      <c r="AJ1590" s="197">
        <f>IFERROR(INDEX(NCEfFin,MATCH($AB1590&amp;"."&amp;$AC1590&amp;".nox",NCEfKey,0)),0)</f>
        <v>2.93076</v>
      </c>
      <c r="AK1590" s="197">
        <f>IFERROR(INDEX(NCEfIn,MATCH($AB1590&amp;"."&amp;$AC1590&amp;".so2",NCEfKey,0)),0)</f>
        <v>0.9101726388000001</v>
      </c>
      <c r="AL1590" s="197">
        <f>IFERROR(INDEX(NCEfFin,MATCH($AB1590&amp;"."&amp;$AC1590&amp;".so2",NCEfKey,0)),0)</f>
        <v>0.9101726388000001</v>
      </c>
      <c r="AM1590" s="197">
        <f>IFERROR(INDEX(NCEfIn,MATCH($AB1590&amp;"."&amp;$AC1590&amp;".voc",NCEfKey,0)),0)</f>
        <v>0.10467</v>
      </c>
      <c r="AN1590" s="197">
        <f>IFERROR(INDEX(NCEfFin,MATCH($AB1590&amp;"."&amp;$AC1590&amp;".voc",NCEfKey,0)),0)</f>
        <v>0.10467</v>
      </c>
      <c r="AO1590" s="197">
        <f>IFERROR(INDEX(NCEfIn,MATCH($AB1590&amp;"."&amp;$AC1590&amp;".bc",NCEfKey,0)),0)</f>
        <v>0.001402578</v>
      </c>
      <c r="AP1590" s="197">
        <f>IFERROR(INDEX(NCEfFin,MATCH($AB1590&amp;"."&amp;$AC1590&amp;".bc",NCEfKey,0)),0)</f>
        <v>0.001402578</v>
      </c>
      <c r="AQ1590" s="197">
        <f>IFERROR(INDEX(NCEfIn,MATCH($AB1590&amp;"."&amp;$AC1590&amp;".oc",NCEfKey,0)),0)</f>
        <v>0.0157005</v>
      </c>
      <c r="AR1590" s="197">
        <f>IFERROR(INDEX(NCEfFin,MATCH($AB1590&amp;"."&amp;$AC1590&amp;".oc",NCEfKey,0)),0)</f>
        <v>0.0157005</v>
      </c>
      <c r="AS1590" s="197">
        <f>IFERROR(INDEX(NCEfIn,MATCH($AB1590&amp;"."&amp;$AC1590&amp;".co",NCEfKey,0)),0)</f>
        <v>1.67472</v>
      </c>
      <c r="AT1590" s="197">
        <f>IFERROR(INDEX(NCEfFin,MATCH($AB1590&amp;"."&amp;$AC1590&amp;".co",NCEfKey,0)),0)</f>
        <v>1.67472</v>
      </c>
      <c r="AU1590" s="3" t="str">
        <f>INDEX('Constants and Mappings'!$J$186:$J$201,MATCH($C1590,SubKey,0))</f>
        <v>other_manufact</v>
      </c>
      <c r="AV1590" s="3">
        <f>INDEX('Constants and Mappings'!$K$186:$K$201,MATCH($C1590,SubKey,0))</f>
        <v>1.0</v>
      </c>
      <c r="AW1590" s="3" t="str">
        <f>INDEX('Constants and Mappings'!$L$186:$L$201,MATCH($C1590,SubKey,0))&amp;""</f>
        <v/>
      </c>
      <c r="AX1590" s="3">
        <f>INDEX('Constants and Mappings'!$M$186:$M$201,MATCH($C1590,SubKey,0))</f>
        <v>0.0</v>
      </c>
      <c r="AY1590" s="3" t="n">
        <v>0</v>
      </c>
      <c r="AZ1590" s="3" t="n">
        <v>0</v>
      </c>
      <c r="BA1590" s="3" t="n">
        <v>0</v>
      </c>
      <c r="BB1590" s="3" t="n">
        <v>0</v>
      </c>
      <c r="BC1590" s="3" t="n">
        <v>0</v>
      </c>
      <c r="BD1590" s="3">
        <f>IFERROR($BB1590/$BC1590,0)</f>
        <v>0.0</v>
      </c>
      <c r="BE1590" s="133" t="n">
        <v>1</v>
      </c>
      <c r="BF1590" s="39" t="n">
        <v>1</v>
      </c>
    </row>
    <row r="1591">
      <c r="A1591" s="3" t="str">
        <f>$B1591&amp;"|"&amp;$C1591</f>
        <v>die|omn</v>
      </c>
      <c r="B1591" s="8" t="inlineStr">
        <is>
          <t>die</t>
        </is>
      </c>
      <c r="C1591" s="8" t="inlineStr">
        <is>
          <t>omn</t>
        </is>
      </c>
      <c r="D1591" s="3" t="str">
        <f>INDEX('Constants and Mappings'!$D$186:$D$201,MATCH($C1591,SubKey,0))</f>
        <v>ind</v>
      </c>
      <c r="E1591" s="3" t="str">
        <f>INDEX('Constants and Mappings'!$C$229:$C$237,MATCH($B1591,FuelKey,0))</f>
        <v>die</v>
      </c>
      <c r="F1591" s="3" t="str">
        <f>INDEX('Constants and Mappings'!$D$229:$D$237,MATCH($B1591,FuelKey,0))</f>
        <v>oil</v>
      </c>
      <c r="G1591" s="3" t="str">
        <f>INDEX('Constants and Mappings'!$E$229:$E$237,MATCH($B1591,FuelKey,0))</f>
        <v>all</v>
      </c>
      <c r="H1591" s="3" t="str">
        <f>INDEX('Constants and Mappings'!$F$186:$F$201,MATCH($C1591,SubKey,0))</f>
        <v>ind</v>
      </c>
      <c r="I1591" s="3" t="str">
        <f>INDEX('Constants and Mappings'!$I$229:$I$237,MATCH($B1591,FuelKey,0))&amp;"."&amp;IF($G1591="sub",$H1591,"all")</f>
        <v>die.all</v>
      </c>
      <c r="J1591" s="3" t="str">
        <f>INDEX('Constants and Mappings'!$E$186:$E$201,MATCH($C1591,SubKey,0))</f>
        <v>ind</v>
      </c>
      <c r="K1591" s="3">
        <f>INDEX('Constants and Mappings'!$G$229:$G$237,MATCH($B1591,FuelKey,0))</f>
        <v>0.03729519000000001</v>
      </c>
      <c r="L1591" s="3">
        <f>INDEX('Constants and Mappings'!$H$229:$H$237,MATCH($B1591,FuelKey,0))</f>
        <v>4.0</v>
      </c>
      <c r="M1591" s="3">
        <f>INDEX('Constants and Mappings'!$H$186:$H$201,MATCH($C1591,SubKey,0))</f>
        <v>14.0</v>
      </c>
      <c r="N1591" s="3">
        <f>INDEX('Constants and Mappings'!$E$300:$E$313,MATCH($I1591,'Constants and Mappings'!$A$300:$A$313,0))</f>
        <v>10.0</v>
      </c>
      <c r="O1591" s="48">
        <f>INDEX(ElaSel,MATCH("inc|"&amp;$E1591&amp;"|"&amp;$D1591,ElaSelKey,0))</f>
        <v>0.5</v>
      </c>
      <c r="P1591" s="48">
        <f>INDEX(ElaSel,MATCH("usg|"&amp;$E1591&amp;"|"&amp;$D1591,ElaSelKey,0))</f>
        <v>-0.7</v>
      </c>
      <c r="Q1591" s="48">
        <f>INDEX(ElaSel,MATCH("eff|"&amp;$E1591&amp;"|"&amp;$D1591,ElaSelKey,0))</f>
        <v>-1.2</v>
      </c>
      <c r="R1591" s="225">
        <f>INDEX(ElaSel,MATCH("aei|"&amp;$F1591&amp;"|"&amp;$D1591,ElaSelKey,0))</f>
        <v>0.005</v>
      </c>
      <c r="S1591" s="133" t="n">
        <v>3</v>
      </c>
      <c r="T1591" s="48">
        <f>$Q1591*(1+$P1591)</f>
        <v>-0.36000000000000004</v>
      </c>
      <c r="U1591" s="3">
        <f>INDEX('Constants and Mappings'!$E$1633:$E$1644,MATCH($I1591,'Constants and Mappings'!$A$1633:$A$1644,0))</f>
        <v>196.0</v>
      </c>
      <c r="V1591" s="225">
        <f>INDEX('Constants and Mappings'!$V$1633:$V$1644,MATCH($I1591,'Constants and Mappings'!$A$1633:$A$1644,0))</f>
        <v>0.0</v>
      </c>
      <c r="W1591" s="197">
        <f>INDEX(EFSel,MATCH($B1591&amp;"|"&amp;$J1591,EFSelKey,0))*EFCalib</f>
        <v>0.0715246024071432</v>
      </c>
      <c r="X1591" s="195">
        <f>IF(LEFT(BalOpt,3)="Bal",$AY1591*$AV1591+$AZ1591*$AX1591,$BA1591)</f>
        <v>3591.435486256776</v>
      </c>
      <c r="Y1591" s="3" t="str">
        <f>IF($G1591="sub",$H1591,IF($B1591="oop","ind","trs"))</f>
        <v>trs</v>
      </c>
      <c r="Z1591" s="39">
        <f>IFERROR(MATCH($Y1591&amp;"|"&amp;$B1591,XKey,0),1)</f>
        <v>14.0</v>
      </c>
      <c r="AA1591" s="48">
        <f>INDEX(XCTVal,$Z1591,ECPEmb)+INDEX(XETSVal,$Z1591,ECPEmb)</f>
        <v>0.0</v>
      </c>
      <c r="AB1591" s="8" t="inlineStr">
        <is>
          <t>omn</t>
        </is>
      </c>
      <c r="AC1591" s="8" t="inlineStr">
        <is>
          <t>die</t>
        </is>
      </c>
      <c r="AD1591" s="197">
        <f>IFERROR(INDEX(NCEfIn,MATCH($AB1591&amp;"."&amp;$AC1591&amp;".ch4",NCEfKey,0)),0)</f>
        <v>0.125604</v>
      </c>
      <c r="AE1591" s="197">
        <f>IFERROR(INDEX(NCEfFin,MATCH($AB1591&amp;"."&amp;$AC1591&amp;".ch4",NCEfKey,0)),0)</f>
        <v>0.125604</v>
      </c>
      <c r="AF1591" s="3" t="n">
        <v>0</v>
      </c>
      <c r="AG1591" s="197">
        <f>IFERROR(INDEX(NCEfIn,MATCH($AB1591&amp;"."&amp;$AC1591&amp;".pm2",NCEfKey,0)),0)</f>
        <v>0.0078335028</v>
      </c>
      <c r="AH1591" s="197">
        <f>IFERROR(INDEX(NCEfFin,MATCH($AB1591&amp;"."&amp;$AC1591&amp;".pm2",NCEfKey,0)),0)</f>
        <v>0.0078335028</v>
      </c>
      <c r="AI1591" s="197">
        <f>IFERROR(INDEX(NCEfIn,MATCH($AB1591&amp;"."&amp;$AC1591&amp;".nox",NCEfKey,0)),0)</f>
        <v>6.2802</v>
      </c>
      <c r="AJ1591" s="197">
        <f>IFERROR(INDEX(NCEfFin,MATCH($AB1591&amp;"."&amp;$AC1591&amp;".nox",NCEfKey,0)),0)</f>
        <v>6.2802</v>
      </c>
      <c r="AK1591" s="197">
        <f>IFERROR(INDEX(NCEfIn,MATCH($AB1591&amp;"."&amp;$AC1591&amp;".so2",NCEfKey,0)),0)</f>
        <v>3.7691541396</v>
      </c>
      <c r="AL1591" s="197">
        <f>IFERROR(INDEX(NCEfFin,MATCH($AB1591&amp;"."&amp;$AC1591&amp;".so2",NCEfKey,0)),0)</f>
        <v>3.7691541396</v>
      </c>
      <c r="AM1591" s="197">
        <f>IFERROR(INDEX(NCEfIn,MATCH($AB1591&amp;"."&amp;$AC1591&amp;".voc",NCEfKey,0)),0)</f>
        <v>0.167472</v>
      </c>
      <c r="AN1591" s="197">
        <f>IFERROR(INDEX(NCEfFin,MATCH($AB1591&amp;"."&amp;$AC1591&amp;".voc",NCEfKey,0)),0)</f>
        <v>0.167472</v>
      </c>
      <c r="AO1591" s="197">
        <f>IFERROR(INDEX(NCEfIn,MATCH($AB1591&amp;"."&amp;$AC1591&amp;".bc",NCEfKey,0)),0)</f>
        <v>0.0043835796</v>
      </c>
      <c r="AP1591" s="197">
        <f>IFERROR(INDEX(NCEfFin,MATCH($AB1591&amp;"."&amp;$AC1591&amp;".bc",NCEfKey,0)),0)</f>
        <v>0.0043835796</v>
      </c>
      <c r="AQ1591" s="197">
        <f>IFERROR(INDEX(NCEfIn,MATCH($AB1591&amp;"."&amp;$AC1591&amp;".oc",NCEfKey,0)),0)</f>
        <v>0.0006657012000000001</v>
      </c>
      <c r="AR1591" s="197">
        <f>IFERROR(INDEX(NCEfFin,MATCH($AB1591&amp;"."&amp;$AC1591&amp;".oc",NCEfKey,0)),0)</f>
        <v>0.0006657012000000001</v>
      </c>
      <c r="AS1591" s="197">
        <f>IFERROR(INDEX(NCEfIn,MATCH($AB1591&amp;"."&amp;$AC1591&amp;".co",NCEfKey,0)),0)</f>
        <v>1.67472</v>
      </c>
      <c r="AT1591" s="197">
        <f>IFERROR(INDEX(NCEfFin,MATCH($AB1591&amp;"."&amp;$AC1591&amp;".co",NCEfKey,0)),0)</f>
        <v>1.67472</v>
      </c>
      <c r="AU1591" s="3" t="str">
        <f>INDEX('Constants and Mappings'!$J$186:$J$201,MATCH($C1591,SubKey,0))</f>
        <v>other_manufact</v>
      </c>
      <c r="AV1591" s="3">
        <f>INDEX('Constants and Mappings'!$K$186:$K$201,MATCH($C1591,SubKey,0))</f>
        <v>1.0</v>
      </c>
      <c r="AW1591" s="3" t="str">
        <f>INDEX('Constants and Mappings'!$L$186:$L$201,MATCH($C1591,SubKey,0))&amp;""</f>
        <v/>
      </c>
      <c r="AX1591" s="3">
        <f>INDEX('Constants and Mappings'!$M$186:$M$201,MATCH($C1591,SubKey,0))</f>
        <v>0.0</v>
      </c>
      <c r="AY1591" s="3" t="n">
        <v>3591.435486256776</v>
      </c>
      <c r="AZ1591" s="3" t="n">
        <v>0</v>
      </c>
      <c r="BA1591" s="3" t="n">
        <v>3591.435486256776</v>
      </c>
      <c r="BB1591" s="3" t="n">
        <v>0</v>
      </c>
      <c r="BC1591" s="3" t="n">
        <v>0</v>
      </c>
      <c r="BD1591" s="3">
        <f>IFERROR($BB1591/$BC1591,0)</f>
        <v>0.0</v>
      </c>
      <c r="BE1591" s="133" t="n">
        <v>1</v>
      </c>
      <c r="BF1591" s="39" t="n">
        <v>1</v>
      </c>
    </row>
    <row r="1592">
      <c r="A1592" s="3" t="str">
        <f>$B1592&amp;"|"&amp;$C1592</f>
        <v>lpg|omn</v>
      </c>
      <c r="B1592" s="8" t="inlineStr">
        <is>
          <t>lpg</t>
        </is>
      </c>
      <c r="C1592" s="8" t="inlineStr">
        <is>
          <t>omn</t>
        </is>
      </c>
      <c r="D1592" s="3" t="str">
        <f>INDEX('Constants and Mappings'!$D$186:$D$201,MATCH($C1592,SubKey,0))</f>
        <v>ind</v>
      </c>
      <c r="E1592" s="3" t="str">
        <f>INDEX('Constants and Mappings'!$C$229:$C$237,MATCH($B1592,FuelKey,0))</f>
        <v>oil</v>
      </c>
      <c r="F1592" s="3" t="str">
        <f>INDEX('Constants and Mappings'!$D$229:$D$237,MATCH($B1592,FuelKey,0))</f>
        <v>oil</v>
      </c>
      <c r="G1592" s="3" t="str">
        <f>INDEX('Constants and Mappings'!$E$229:$E$237,MATCH($B1592,FuelKey,0))</f>
        <v>all</v>
      </c>
      <c r="H1592" s="3" t="str">
        <f>INDEX('Constants and Mappings'!$F$186:$F$201,MATCH($C1592,SubKey,0))</f>
        <v>ind</v>
      </c>
      <c r="I1592" s="3" t="str">
        <f>INDEX('Constants and Mappings'!$I$229:$I$237,MATCH($B1592,FuelKey,0))&amp;"."&amp;IF($G1592="sub",$H1592,"all")</f>
        <v>lpg.all</v>
      </c>
      <c r="J1592" s="3" t="str">
        <f>INDEX('Constants and Mappings'!$E$186:$E$201,MATCH($C1592,SubKey,0))</f>
        <v>ind</v>
      </c>
      <c r="K1592" s="3">
        <f>INDEX('Constants and Mappings'!$G$229:$G$237,MATCH($B1592,FuelKey,0))</f>
        <v>0.02577968854495125</v>
      </c>
      <c r="L1592" s="3">
        <f>INDEX('Constants and Mappings'!$H$229:$H$237,MATCH($B1592,FuelKey,0))</f>
        <v>5.0</v>
      </c>
      <c r="M1592" s="3">
        <f>INDEX('Constants and Mappings'!$H$186:$H$201,MATCH($C1592,SubKey,0))</f>
        <v>14.0</v>
      </c>
      <c r="N1592" s="3">
        <f>INDEX('Constants and Mappings'!$E$300:$E$313,MATCH($I1592,'Constants and Mappings'!$A$300:$A$313,0))</f>
        <v>11.0</v>
      </c>
      <c r="O1592" s="48">
        <f>INDEX(ElaSel,MATCH("inc|"&amp;$E1592&amp;"|"&amp;$D1592,ElaSelKey,0))</f>
        <v>0.8</v>
      </c>
      <c r="P1592" s="48">
        <f>INDEX(ElaSel,MATCH("usg|"&amp;$E1592&amp;"|"&amp;$D1592,ElaSelKey,0))</f>
        <v>-0.4</v>
      </c>
      <c r="Q1592" s="48">
        <f>INDEX(ElaSel,MATCH("eff|"&amp;$E1592&amp;"|"&amp;$D1592,ElaSelKey,0))</f>
        <v>-0.4</v>
      </c>
      <c r="R1592" s="225">
        <f>INDEX(ElaSel,MATCH("aei|"&amp;$F1592&amp;"|"&amp;$D1592,ElaSelKey,0))</f>
        <v>0.005</v>
      </c>
      <c r="S1592" s="133" t="n">
        <v>3</v>
      </c>
      <c r="T1592" s="48">
        <f>$Q1592*(1+$P1592)</f>
        <v>-0.24</v>
      </c>
      <c r="U1592" s="3">
        <f>INDEX('Constants and Mappings'!$E$1633:$E$1644,MATCH($I1592,'Constants and Mappings'!$A$1633:$A$1644,0))</f>
        <v>225.0</v>
      </c>
      <c r="V1592" s="225">
        <f>INDEX('Constants and Mappings'!$V$1633:$V$1644,MATCH($I1592,'Constants and Mappings'!$A$1633:$A$1644,0))</f>
        <v>0.0</v>
      </c>
      <c r="W1592" s="197">
        <f>INDEX(EFSel,MATCH($B1592&amp;"|"&amp;$J1592,EFSelKey,0))*EFCalib</f>
        <v>0.06829407370213687</v>
      </c>
      <c r="X1592" s="195">
        <f>IF(LEFT(BalOpt,3)="Bal",$AY1592*$AV1592+$AZ1592*$AX1592,$BA1592)</f>
        <v>17.31914402473063</v>
      </c>
      <c r="Y1592" s="3" t="str">
        <f>IF($G1592="sub",$H1592,IF($B1592="oop","ind","trs"))</f>
        <v>trs</v>
      </c>
      <c r="Z1592" s="39">
        <f>IFERROR(MATCH($Y1592&amp;"|"&amp;$B1592,XKey,0),1)</f>
        <v>15.0</v>
      </c>
      <c r="AA1592" s="48">
        <f>INDEX(XCTVal,$Z1592,ECPEmb)+INDEX(XETSVal,$Z1592,ECPEmb)</f>
        <v>0.0</v>
      </c>
      <c r="AB1592" s="8" t="inlineStr">
        <is>
          <t>omn</t>
        </is>
      </c>
      <c r="AC1592" s="8" t="inlineStr">
        <is>
          <t>lpg</t>
        </is>
      </c>
      <c r="AD1592" s="197">
        <f>IFERROR(INDEX(NCEfIn,MATCH($AB1592&amp;"."&amp;$AC1592&amp;".ch4",NCEfKey,0)),0)</f>
        <v>0.041868</v>
      </c>
      <c r="AE1592" s="197">
        <f>IFERROR(INDEX(NCEfFin,MATCH($AB1592&amp;"."&amp;$AC1592&amp;".ch4",NCEfKey,0)),0)</f>
        <v>0.041868</v>
      </c>
      <c r="AF1592" s="3" t="n">
        <v>0</v>
      </c>
      <c r="AG1592" s="197">
        <f>IFERROR(INDEX(NCEfIn,MATCH($AB1592&amp;"."&amp;$AC1592&amp;".pm2",NCEfKey,0)),0)</f>
        <v>0.0083736</v>
      </c>
      <c r="AH1592" s="197">
        <f>IFERROR(INDEX(NCEfFin,MATCH($AB1592&amp;"."&amp;$AC1592&amp;".pm2",NCEfKey,0)),0)</f>
        <v>0.0083736</v>
      </c>
      <c r="AI1592" s="197">
        <f>IFERROR(INDEX(NCEfIn,MATCH($AB1592&amp;"."&amp;$AC1592&amp;".nox",NCEfKey,0)),0)</f>
        <v>2.93076</v>
      </c>
      <c r="AJ1592" s="197">
        <f>IFERROR(INDEX(NCEfFin,MATCH($AB1592&amp;"."&amp;$AC1592&amp;".nox",NCEfKey,0)),0)</f>
        <v>2.93076</v>
      </c>
      <c r="AK1592" s="197">
        <f>IFERROR(INDEX(NCEfIn,MATCH($AB1592&amp;"."&amp;$AC1592&amp;".so2",NCEfKey,0)),0)</f>
        <v>0.0</v>
      </c>
      <c r="AL1592" s="197">
        <f>IFERROR(INDEX(NCEfFin,MATCH($AB1592&amp;"."&amp;$AC1592&amp;".so2",NCEfKey,0)),0)</f>
        <v>0.0</v>
      </c>
      <c r="AM1592" s="197">
        <f>IFERROR(INDEX(NCEfIn,MATCH($AB1592&amp;"."&amp;$AC1592&amp;".voc",NCEfKey,0)),0)</f>
        <v>0.0</v>
      </c>
      <c r="AN1592" s="197">
        <f>IFERROR(INDEX(NCEfFin,MATCH($AB1592&amp;"."&amp;$AC1592&amp;".voc",NCEfKey,0)),0)</f>
        <v>0.0</v>
      </c>
      <c r="AO1592" s="197">
        <f>IFERROR(INDEX(NCEfIn,MATCH($AB1592&amp;"."&amp;$AC1592&amp;".bc",NCEfKey,0)),0)</f>
        <v>0.0005610312000000001</v>
      </c>
      <c r="AP1592" s="197">
        <f>IFERROR(INDEX(NCEfFin,MATCH($AB1592&amp;"."&amp;$AC1592&amp;".bc",NCEfKey,0)),0)</f>
        <v>0.0005610312000000001</v>
      </c>
      <c r="AQ1592" s="197">
        <f>IFERROR(INDEX(NCEfIn,MATCH($AB1592&amp;"."&amp;$AC1592&amp;".oc",NCEfKey,0)),0)</f>
        <v>0.0</v>
      </c>
      <c r="AR1592" s="197">
        <f>IFERROR(INDEX(NCEfFin,MATCH($AB1592&amp;"."&amp;$AC1592&amp;".oc",NCEfKey,0)),0)</f>
        <v>0.0</v>
      </c>
      <c r="AS1592" s="197">
        <f>IFERROR(INDEX(NCEfIn,MATCH($AB1592&amp;"."&amp;$AC1592&amp;".co",NCEfKey,0)),0)</f>
        <v>0.62802</v>
      </c>
      <c r="AT1592" s="197">
        <f>IFERROR(INDEX(NCEfFin,MATCH($AB1592&amp;"."&amp;$AC1592&amp;".co",NCEfKey,0)),0)</f>
        <v>0.62802</v>
      </c>
      <c r="AU1592" s="3" t="str">
        <f>INDEX('Constants and Mappings'!$J$186:$J$201,MATCH($C1592,SubKey,0))</f>
        <v>other_manufact</v>
      </c>
      <c r="AV1592" s="3">
        <f>INDEX('Constants and Mappings'!$K$186:$K$201,MATCH($C1592,SubKey,0))</f>
        <v>1.0</v>
      </c>
      <c r="AW1592" s="3" t="str">
        <f>INDEX('Constants and Mappings'!$L$186:$L$201,MATCH($C1592,SubKey,0))&amp;""</f>
        <v/>
      </c>
      <c r="AX1592" s="3">
        <f>INDEX('Constants and Mappings'!$M$186:$M$201,MATCH($C1592,SubKey,0))</f>
        <v>0.0</v>
      </c>
      <c r="AY1592" s="3" t="n">
        <v>17.31914402473063</v>
      </c>
      <c r="AZ1592" s="3" t="n">
        <v>0</v>
      </c>
      <c r="BA1592" s="3" t="n">
        <v>17.31914402473063</v>
      </c>
      <c r="BB1592" s="3" t="n">
        <v>0</v>
      </c>
      <c r="BC1592" s="3" t="n">
        <v>0</v>
      </c>
      <c r="BD1592" s="3">
        <f>IFERROR($BB1592/$BC1592,0)</f>
        <v>0.0</v>
      </c>
      <c r="BE1592" s="133" t="n">
        <v>1</v>
      </c>
      <c r="BF1592" s="39" t="n">
        <v>1</v>
      </c>
    </row>
    <row r="1593">
      <c r="A1593" s="3" t="str">
        <f>$B1593&amp;"|"&amp;$C1593</f>
        <v>ker|omn</v>
      </c>
      <c r="B1593" s="8" t="inlineStr">
        <is>
          <t>ker</t>
        </is>
      </c>
      <c r="C1593" s="8" t="inlineStr">
        <is>
          <t>omn</t>
        </is>
      </c>
      <c r="D1593" s="3" t="str">
        <f>INDEX('Constants and Mappings'!$D$186:$D$201,MATCH($C1593,SubKey,0))</f>
        <v>ind</v>
      </c>
      <c r="E1593" s="3" t="str">
        <f>INDEX('Constants and Mappings'!$C$229:$C$237,MATCH($B1593,FuelKey,0))</f>
        <v>oil</v>
      </c>
      <c r="F1593" s="3" t="str">
        <f>INDEX('Constants and Mappings'!$D$229:$D$237,MATCH($B1593,FuelKey,0))</f>
        <v>oil</v>
      </c>
      <c r="G1593" s="3" t="str">
        <f>INDEX('Constants and Mappings'!$E$229:$E$237,MATCH($B1593,FuelKey,0))</f>
        <v>all</v>
      </c>
      <c r="H1593" s="3" t="str">
        <f>INDEX('Constants and Mappings'!$F$186:$F$201,MATCH($C1593,SubKey,0))</f>
        <v>ind</v>
      </c>
      <c r="I1593" s="3" t="str">
        <f>INDEX('Constants and Mappings'!$I$229:$I$237,MATCH($B1593,FuelKey,0))&amp;"."&amp;IF($G1593="sub",$H1593,"all")</f>
        <v>ker.all</v>
      </c>
      <c r="J1593" s="3" t="str">
        <f>INDEX('Constants and Mappings'!$E$186:$E$201,MATCH($C1593,SubKey,0))</f>
        <v>ind</v>
      </c>
      <c r="K1593" s="3">
        <f>INDEX('Constants and Mappings'!$G$229:$G$237,MATCH($B1593,FuelKey,0))</f>
        <v>0.03774882965510715</v>
      </c>
      <c r="L1593" s="3">
        <f>INDEX('Constants and Mappings'!$H$229:$H$237,MATCH($B1593,FuelKey,0))</f>
        <v>6.0</v>
      </c>
      <c r="M1593" s="3">
        <f>INDEX('Constants and Mappings'!$H$186:$H$201,MATCH($C1593,SubKey,0))</f>
        <v>14.0</v>
      </c>
      <c r="N1593" s="3">
        <f>INDEX('Constants and Mappings'!$E$300:$E$313,MATCH($I1593,'Constants and Mappings'!$A$300:$A$313,0))</f>
        <v>12.0</v>
      </c>
      <c r="O1593" s="48">
        <f>INDEX(ElaSel,MATCH("inc|"&amp;$E1593&amp;"|"&amp;$D1593,ElaSelKey,0))</f>
        <v>0.8</v>
      </c>
      <c r="P1593" s="48">
        <f>INDEX(ElaSel,MATCH("usg|"&amp;$E1593&amp;"|"&amp;$D1593,ElaSelKey,0))</f>
        <v>-0.4</v>
      </c>
      <c r="Q1593" s="48">
        <f>INDEX(ElaSel,MATCH("eff|"&amp;$E1593&amp;"|"&amp;$D1593,ElaSelKey,0))</f>
        <v>-0.4</v>
      </c>
      <c r="R1593" s="225">
        <f>INDEX(ElaSel,MATCH("aei|"&amp;$F1593&amp;"|"&amp;$D1593,ElaSelKey,0))</f>
        <v>0.005</v>
      </c>
      <c r="S1593" s="133" t="n">
        <v>3</v>
      </c>
      <c r="T1593" s="48">
        <f>$Q1593*(1+$P1593)</f>
        <v>-0.24</v>
      </c>
      <c r="U1593" s="3">
        <f>INDEX('Constants and Mappings'!$E$1633:$E$1644,MATCH($I1593,'Constants and Mappings'!$A$1633:$A$1644,0))</f>
        <v>254.0</v>
      </c>
      <c r="V1593" s="225">
        <f>INDEX('Constants and Mappings'!$V$1633:$V$1644,MATCH($I1593,'Constants and Mappings'!$A$1633:$A$1644,0))</f>
        <v>0.0</v>
      </c>
      <c r="W1593" s="197">
        <f>INDEX(EFSel,MATCH($B1593&amp;"|"&amp;$J1593,EFSelKey,0))*EFCalib</f>
        <v>0.06749067257272545</v>
      </c>
      <c r="X1593" s="195">
        <f>IF(LEFT(BalOpt,3)="Bal",$AY1593*$AV1593+$AZ1593*$AX1593,$BA1593)</f>
        <v>3.931985509179256</v>
      </c>
      <c r="Y1593" s="3" t="str">
        <f>IF($G1593="sub",$H1593,IF($B1593="oop","ind","trs"))</f>
        <v>trs</v>
      </c>
      <c r="Z1593" s="39">
        <f>IFERROR(MATCH($Y1593&amp;"|"&amp;$B1593,XKey,0),1)</f>
        <v>16.0</v>
      </c>
      <c r="AA1593" s="48">
        <f>INDEX(XCTVal,$Z1593,ECPEmb)+INDEX(XETSVal,$Z1593,ECPEmb)</f>
        <v>0.0</v>
      </c>
      <c r="AB1593" s="8" t="inlineStr">
        <is>
          <t>omn</t>
        </is>
      </c>
      <c r="AC1593" s="8" t="inlineStr">
        <is>
          <t>ker</t>
        </is>
      </c>
      <c r="AD1593" s="197">
        <f>IFERROR(INDEX(NCEfIn,MATCH($AB1593&amp;"."&amp;$AC1593&amp;".ch4",NCEfKey,0)),0)</f>
        <v>0.125604</v>
      </c>
      <c r="AE1593" s="197">
        <f>IFERROR(INDEX(NCEfFin,MATCH($AB1593&amp;"."&amp;$AC1593&amp;".ch4",NCEfKey,0)),0)</f>
        <v>0.125604</v>
      </c>
      <c r="AF1593" s="3" t="n">
        <v>0</v>
      </c>
      <c r="AG1593" s="197">
        <f>IFERROR(INDEX(NCEfIn,MATCH($AB1593&amp;"."&amp;$AC1593&amp;".pm2",NCEfKey,0)),0)</f>
        <v>0.020934</v>
      </c>
      <c r="AH1593" s="197">
        <f>IFERROR(INDEX(NCEfFin,MATCH($AB1593&amp;"."&amp;$AC1593&amp;".pm2",NCEfKey,0)),0)</f>
        <v>0.020934</v>
      </c>
      <c r="AI1593" s="197">
        <f>IFERROR(INDEX(NCEfIn,MATCH($AB1593&amp;"."&amp;$AC1593&amp;".nox",NCEfKey,0)),0)</f>
        <v>2.93076</v>
      </c>
      <c r="AJ1593" s="197">
        <f>IFERROR(INDEX(NCEfFin,MATCH($AB1593&amp;"."&amp;$AC1593&amp;".nox",NCEfKey,0)),0)</f>
        <v>2.93076</v>
      </c>
      <c r="AK1593" s="197">
        <f>IFERROR(INDEX(NCEfIn,MATCH($AB1593&amp;"."&amp;$AC1593&amp;".so2",NCEfKey,0)),0)</f>
        <v>0.9101726388000001</v>
      </c>
      <c r="AL1593" s="197">
        <f>IFERROR(INDEX(NCEfFin,MATCH($AB1593&amp;"."&amp;$AC1593&amp;".so2",NCEfKey,0)),0)</f>
        <v>0.9101726388000001</v>
      </c>
      <c r="AM1593" s="197">
        <f>IFERROR(INDEX(NCEfIn,MATCH($AB1593&amp;"."&amp;$AC1593&amp;".voc",NCEfKey,0)),0)</f>
        <v>0.10467</v>
      </c>
      <c r="AN1593" s="197">
        <f>IFERROR(INDEX(NCEfFin,MATCH($AB1593&amp;"."&amp;$AC1593&amp;".voc",NCEfKey,0)),0)</f>
        <v>0.10467</v>
      </c>
      <c r="AO1593" s="197">
        <f>IFERROR(INDEX(NCEfIn,MATCH($AB1593&amp;"."&amp;$AC1593&amp;".bc",NCEfKey,0)),0)</f>
        <v>0.001402578</v>
      </c>
      <c r="AP1593" s="197">
        <f>IFERROR(INDEX(NCEfFin,MATCH($AB1593&amp;"."&amp;$AC1593&amp;".bc",NCEfKey,0)),0)</f>
        <v>0.001402578</v>
      </c>
      <c r="AQ1593" s="197">
        <f>IFERROR(INDEX(NCEfIn,MATCH($AB1593&amp;"."&amp;$AC1593&amp;".oc",NCEfKey,0)),0)</f>
        <v>0.0157005</v>
      </c>
      <c r="AR1593" s="197">
        <f>IFERROR(INDEX(NCEfFin,MATCH($AB1593&amp;"."&amp;$AC1593&amp;".oc",NCEfKey,0)),0)</f>
        <v>0.0157005</v>
      </c>
      <c r="AS1593" s="197">
        <f>IFERROR(INDEX(NCEfIn,MATCH($AB1593&amp;"."&amp;$AC1593&amp;".co",NCEfKey,0)),0)</f>
        <v>1.67472</v>
      </c>
      <c r="AT1593" s="197">
        <f>IFERROR(INDEX(NCEfFin,MATCH($AB1593&amp;"."&amp;$AC1593&amp;".co",NCEfKey,0)),0)</f>
        <v>1.67472</v>
      </c>
      <c r="AU1593" s="3" t="str">
        <f>INDEX('Constants and Mappings'!$J$186:$J$201,MATCH($C1593,SubKey,0))</f>
        <v>other_manufact</v>
      </c>
      <c r="AV1593" s="3">
        <f>INDEX('Constants and Mappings'!$K$186:$K$201,MATCH($C1593,SubKey,0))</f>
        <v>1.0</v>
      </c>
      <c r="AW1593" s="3" t="str">
        <f>INDEX('Constants and Mappings'!$L$186:$L$201,MATCH($C1593,SubKey,0))&amp;""</f>
        <v/>
      </c>
      <c r="AX1593" s="3">
        <f>INDEX('Constants and Mappings'!$M$186:$M$201,MATCH($C1593,SubKey,0))</f>
        <v>0.0</v>
      </c>
      <c r="AY1593" s="3" t="n">
        <v>3.931985509179256</v>
      </c>
      <c r="AZ1593" s="3" t="n">
        <v>0</v>
      </c>
      <c r="BA1593" s="3" t="n">
        <v>3.931985509179256</v>
      </c>
      <c r="BB1593" s="3" t="n">
        <v>0</v>
      </c>
      <c r="BC1593" s="3" t="n">
        <v>0</v>
      </c>
      <c r="BD1593" s="3">
        <f>IFERROR($BB1593/$BC1593,0)</f>
        <v>0.0</v>
      </c>
      <c r="BE1593" s="133" t="n">
        <v>1</v>
      </c>
      <c r="BF1593" s="39" t="n">
        <v>1</v>
      </c>
    </row>
    <row r="1594">
      <c r="A1594" s="3" t="str">
        <f>$B1594&amp;"|"&amp;$C1594</f>
        <v>jfu|omn</v>
      </c>
      <c r="B1594" s="8" t="inlineStr">
        <is>
          <t>jfu</t>
        </is>
      </c>
      <c r="C1594" s="8" t="inlineStr">
        <is>
          <t>omn</t>
        </is>
      </c>
      <c r="D1594" s="3" t="str">
        <f>INDEX('Constants and Mappings'!$D$186:$D$201,MATCH($C1594,SubKey,0))</f>
        <v>ind</v>
      </c>
      <c r="E1594" s="3" t="str">
        <f>INDEX('Constants and Mappings'!$C$229:$C$237,MATCH($B1594,FuelKey,0))</f>
        <v>oil</v>
      </c>
      <c r="F1594" s="3" t="str">
        <f>INDEX('Constants and Mappings'!$D$229:$D$237,MATCH($B1594,FuelKey,0))</f>
        <v>oil</v>
      </c>
      <c r="G1594" s="3" t="str">
        <f>INDEX('Constants and Mappings'!$E$229:$E$237,MATCH($B1594,FuelKey,0))</f>
        <v>all</v>
      </c>
      <c r="H1594" s="3" t="str">
        <f>INDEX('Constants and Mappings'!$F$186:$F$201,MATCH($C1594,SubKey,0))</f>
        <v>ind</v>
      </c>
      <c r="I1594" s="3" t="str">
        <f>INDEX('Constants and Mappings'!$I$229:$I$237,MATCH($B1594,FuelKey,0))&amp;"."&amp;IF($G1594="sub",$H1594,"all")</f>
        <v>ker.all</v>
      </c>
      <c r="J1594" s="3" t="str">
        <f>INDEX('Constants and Mappings'!$E$186:$E$201,MATCH($C1594,SubKey,0))</f>
        <v>ind</v>
      </c>
      <c r="K1594" s="3">
        <f>INDEX('Constants and Mappings'!$G$229:$G$237,MATCH($B1594,FuelKey,0))</f>
        <v>0.0348608</v>
      </c>
      <c r="L1594" s="3">
        <f>INDEX('Constants and Mappings'!$H$229:$H$237,MATCH($B1594,FuelKey,0))</f>
        <v>7.0</v>
      </c>
      <c r="M1594" s="3">
        <f>INDEX('Constants and Mappings'!$H$186:$H$201,MATCH($C1594,SubKey,0))</f>
        <v>14.0</v>
      </c>
      <c r="N1594" s="3">
        <f>INDEX('Constants and Mappings'!$E$300:$E$313,MATCH($I1594,'Constants and Mappings'!$A$300:$A$313,0))</f>
        <v>12.0</v>
      </c>
      <c r="O1594" s="48">
        <f>INDEX(ElaSel,MATCH("inc|"&amp;$E1594&amp;"|"&amp;$D1594,ElaSelKey,0))</f>
        <v>0.8</v>
      </c>
      <c r="P1594" s="48">
        <f>INDEX(ElaSel,MATCH("usg|"&amp;$E1594&amp;"|"&amp;$D1594,ElaSelKey,0))</f>
        <v>-0.4</v>
      </c>
      <c r="Q1594" s="48">
        <f>INDEX(ElaSel,MATCH("eff|"&amp;$E1594&amp;"|"&amp;$D1594,ElaSelKey,0))</f>
        <v>-0.4</v>
      </c>
      <c r="R1594" s="225">
        <f>INDEX(ElaSel,MATCH("aei|"&amp;$F1594&amp;"|"&amp;$D1594,ElaSelKey,0))</f>
        <v>0.005</v>
      </c>
      <c r="S1594" s="133" t="n">
        <v>3</v>
      </c>
      <c r="T1594" s="48">
        <f>$Q1594*(1+$P1594)</f>
        <v>-0.24</v>
      </c>
      <c r="U1594" s="3">
        <f>INDEX('Constants and Mappings'!$E$1633:$E$1644,MATCH($I1594,'Constants and Mappings'!$A$1633:$A$1644,0))</f>
        <v>254.0</v>
      </c>
      <c r="V1594" s="225">
        <f>INDEX('Constants and Mappings'!$V$1633:$V$1644,MATCH($I1594,'Constants and Mappings'!$A$1633:$A$1644,0))</f>
        <v>0.0</v>
      </c>
      <c r="W1594" s="197">
        <f>INDEX(EFSel,MATCH($B1594&amp;"|"&amp;$J1594,EFSelKey,0))*EFCalib</f>
        <v>0.07118114095776658</v>
      </c>
      <c r="X1594" s="195">
        <f>IF(LEFT(BalOpt,3)="Bal",$AY1594*$AV1594+$AZ1594*$AX1594,$BA1594)</f>
        <v>0.0</v>
      </c>
      <c r="Y1594" s="3" t="str">
        <f>IF($G1594="sub",$H1594,IF($B1594="oop","ind","trs"))</f>
        <v>trs</v>
      </c>
      <c r="Z1594" s="39">
        <f>IFERROR(MATCH($Y1594&amp;"|"&amp;$B1594,XKey,0),1)</f>
        <v>17.0</v>
      </c>
      <c r="AA1594" s="48">
        <f>INDEX(XCTVal,$Z1594,ECPEmb)+INDEX(XETSVal,$Z1594,ECPEmb)</f>
        <v>0.0</v>
      </c>
      <c r="AB1594" s="8" t="inlineStr">
        <is>
          <t>omn</t>
        </is>
      </c>
      <c r="AC1594" s="8" t="inlineStr">
        <is>
          <t>jfu</t>
        </is>
      </c>
      <c r="AD1594" s="197">
        <f>IFERROR(INDEX(NCEfIn,MATCH($AB1594&amp;"."&amp;$AC1594&amp;".ch4",NCEfKey,0)),0)</f>
        <v>0.0</v>
      </c>
      <c r="AE1594" s="197">
        <f>IFERROR(INDEX(NCEfFin,MATCH($AB1594&amp;"."&amp;$AC1594&amp;".ch4",NCEfKey,0)),0)</f>
        <v>0.0</v>
      </c>
      <c r="AF1594" s="3" t="n">
        <v>0</v>
      </c>
      <c r="AG1594" s="197">
        <f>IFERROR(INDEX(NCEfIn,MATCH($AB1594&amp;"."&amp;$AC1594&amp;".pm2",NCEfKey,0)),0)</f>
        <v>0.0</v>
      </c>
      <c r="AH1594" s="197">
        <f>IFERROR(INDEX(NCEfFin,MATCH($AB1594&amp;"."&amp;$AC1594&amp;".pm2",NCEfKey,0)),0)</f>
        <v>0.0</v>
      </c>
      <c r="AI1594" s="197">
        <f>IFERROR(INDEX(NCEfIn,MATCH($AB1594&amp;"."&amp;$AC1594&amp;".nox",NCEfKey,0)),0)</f>
        <v>0.0</v>
      </c>
      <c r="AJ1594" s="197">
        <f>IFERROR(INDEX(NCEfFin,MATCH($AB1594&amp;"."&amp;$AC1594&amp;".nox",NCEfKey,0)),0)</f>
        <v>0.0</v>
      </c>
      <c r="AK1594" s="197">
        <f>IFERROR(INDEX(NCEfIn,MATCH($AB1594&amp;"."&amp;$AC1594&amp;".so2",NCEfKey,0)),0)</f>
        <v>0.0</v>
      </c>
      <c r="AL1594" s="197">
        <f>IFERROR(INDEX(NCEfFin,MATCH($AB1594&amp;"."&amp;$AC1594&amp;".so2",NCEfKey,0)),0)</f>
        <v>0.0</v>
      </c>
      <c r="AM1594" s="197">
        <f>IFERROR(INDEX(NCEfIn,MATCH($AB1594&amp;"."&amp;$AC1594&amp;".voc",NCEfKey,0)),0)</f>
        <v>0.0</v>
      </c>
      <c r="AN1594" s="197">
        <f>IFERROR(INDEX(NCEfFin,MATCH($AB1594&amp;"."&amp;$AC1594&amp;".voc",NCEfKey,0)),0)</f>
        <v>0.0</v>
      </c>
      <c r="AO1594" s="197">
        <f>IFERROR(INDEX(NCEfIn,MATCH($AB1594&amp;"."&amp;$AC1594&amp;".bc",NCEfKey,0)),0)</f>
        <v>0.0</v>
      </c>
      <c r="AP1594" s="197">
        <f>IFERROR(INDEX(NCEfFin,MATCH($AB1594&amp;"."&amp;$AC1594&amp;".bc",NCEfKey,0)),0)</f>
        <v>0.0</v>
      </c>
      <c r="AQ1594" s="197">
        <f>IFERROR(INDEX(NCEfIn,MATCH($AB1594&amp;"."&amp;$AC1594&amp;".oc",NCEfKey,0)),0)</f>
        <v>0.0</v>
      </c>
      <c r="AR1594" s="197">
        <f>IFERROR(INDEX(NCEfFin,MATCH($AB1594&amp;"."&amp;$AC1594&amp;".oc",NCEfKey,0)),0)</f>
        <v>0.0</v>
      </c>
      <c r="AS1594" s="197">
        <f>IFERROR(INDEX(NCEfIn,MATCH($AB1594&amp;"."&amp;$AC1594&amp;".co",NCEfKey,0)),0)</f>
        <v>0.0</v>
      </c>
      <c r="AT1594" s="197">
        <f>IFERROR(INDEX(NCEfFin,MATCH($AB1594&amp;"."&amp;$AC1594&amp;".co",NCEfKey,0)),0)</f>
        <v>0.0</v>
      </c>
      <c r="AU1594" s="3" t="str">
        <f>INDEX('Constants and Mappings'!$J$186:$J$201,MATCH($C1594,SubKey,0))</f>
        <v>other_manufact</v>
      </c>
      <c r="AV1594" s="3">
        <f>INDEX('Constants and Mappings'!$K$186:$K$201,MATCH($C1594,SubKey,0))</f>
        <v>1.0</v>
      </c>
      <c r="AW1594" s="3" t="str">
        <f>INDEX('Constants and Mappings'!$L$186:$L$201,MATCH($C1594,SubKey,0))&amp;""</f>
        <v/>
      </c>
      <c r="AX1594" s="3">
        <f>INDEX('Constants and Mappings'!$M$186:$M$201,MATCH($C1594,SubKey,0))</f>
        <v>0.0</v>
      </c>
      <c r="AY1594" s="3" t="n">
        <v>0</v>
      </c>
      <c r="AZ1594" s="3" t="n">
        <v>0</v>
      </c>
      <c r="BA1594" s="3" t="n">
        <v>0</v>
      </c>
      <c r="BB1594" s="3" t="n">
        <v>0</v>
      </c>
      <c r="BC1594" s="3" t="n">
        <v>0</v>
      </c>
      <c r="BD1594" s="3">
        <f>IFERROR($BB1594/$BC1594,0)</f>
        <v>0.0</v>
      </c>
      <c r="BE1594" s="133" t="n">
        <v>1</v>
      </c>
      <c r="BF1594" s="39" t="n">
        <v>1</v>
      </c>
    </row>
    <row r="1595">
      <c r="A1595" s="3" t="str">
        <f>$B1595&amp;"|"&amp;$C1595</f>
        <v>oop|omn</v>
      </c>
      <c r="B1595" s="8" t="inlineStr">
        <is>
          <t>oop</t>
        </is>
      </c>
      <c r="C1595" s="8" t="inlineStr">
        <is>
          <t>omn</t>
        </is>
      </c>
      <c r="D1595" s="3" t="str">
        <f>INDEX('Constants and Mappings'!$D$186:$D$201,MATCH($C1595,SubKey,0))</f>
        <v>ind</v>
      </c>
      <c r="E1595" s="3" t="str">
        <f>INDEX('Constants and Mappings'!$C$229:$C$237,MATCH($B1595,FuelKey,0))</f>
        <v>oil</v>
      </c>
      <c r="F1595" s="3" t="str">
        <f>INDEX('Constants and Mappings'!$D$229:$D$237,MATCH($B1595,FuelKey,0))</f>
        <v>oil</v>
      </c>
      <c r="G1595" s="3" t="str">
        <f>INDEX('Constants and Mappings'!$E$229:$E$237,MATCH($B1595,FuelKey,0))</f>
        <v>all</v>
      </c>
      <c r="H1595" s="3" t="str">
        <f>INDEX('Constants and Mappings'!$F$186:$F$201,MATCH($C1595,SubKey,0))</f>
        <v>ind</v>
      </c>
      <c r="I1595" s="3" t="str">
        <f>INDEX('Constants and Mappings'!$I$229:$I$237,MATCH($B1595,FuelKey,0))&amp;"."&amp;IF($G1595="sub",$H1595,"all")</f>
        <v>oop.all</v>
      </c>
      <c r="J1595" s="3" t="str">
        <f>INDEX('Constants and Mappings'!$E$186:$E$201,MATCH($C1595,SubKey,0))</f>
        <v>ind</v>
      </c>
      <c r="K1595" s="3">
        <f>INDEX('Constants and Mappings'!$G$229:$G$237,MATCH($B1595,FuelKey,0))</f>
        <v>6.12</v>
      </c>
      <c r="L1595" s="3">
        <f>INDEX('Constants and Mappings'!$H$229:$H$237,MATCH($B1595,FuelKey,0))</f>
        <v>8.0</v>
      </c>
      <c r="M1595" s="3">
        <f>INDEX('Constants and Mappings'!$H$186:$H$201,MATCH($C1595,SubKey,0))</f>
        <v>14.0</v>
      </c>
      <c r="N1595" s="3">
        <f>INDEX('Constants and Mappings'!$E$300:$E$313,MATCH($I1595,'Constants and Mappings'!$A$300:$A$313,0))</f>
        <v>13.0</v>
      </c>
      <c r="O1595" s="48">
        <f>INDEX(ElaSel,MATCH("inc|"&amp;$E1595&amp;"|"&amp;$D1595,ElaSelKey,0))</f>
        <v>0.8</v>
      </c>
      <c r="P1595" s="48">
        <f>INDEX(ElaSel,MATCH("usg|"&amp;$E1595&amp;"|"&amp;$D1595,ElaSelKey,0))</f>
        <v>-0.4</v>
      </c>
      <c r="Q1595" s="48">
        <f>INDEX(ElaSel,MATCH("eff|"&amp;$E1595&amp;"|"&amp;$D1595,ElaSelKey,0))</f>
        <v>-0.4</v>
      </c>
      <c r="R1595" s="225">
        <f>INDEX(ElaSel,MATCH("aei|"&amp;$F1595&amp;"|"&amp;$D1595,ElaSelKey,0))</f>
        <v>0.005</v>
      </c>
      <c r="S1595" s="133" t="n">
        <v>3</v>
      </c>
      <c r="T1595" s="48">
        <f>$Q1595*(1+$P1595)</f>
        <v>-0.24</v>
      </c>
      <c r="U1595" s="3">
        <f>INDEX('Constants and Mappings'!$E$1633:$E$1644,MATCH($I1595,'Constants and Mappings'!$A$1633:$A$1644,0))</f>
        <v>283.0</v>
      </c>
      <c r="V1595" s="225">
        <f>INDEX('Constants and Mappings'!$V$1633:$V$1644,MATCH($I1595,'Constants and Mappings'!$A$1633:$A$1644,0))</f>
        <v>0.0</v>
      </c>
      <c r="W1595" s="197">
        <f>INDEX(EFSel,MATCH($B1595&amp;"|"&amp;$J1595,EFSelKey,0))*EFCalib</f>
        <v>0.07635795120924052</v>
      </c>
      <c r="X1595" s="195">
        <f>IF(LEFT(BalOpt,3)="Bal",$AY1595*$AV1595+$AZ1595*$AX1595,$BA1595)</f>
        <v>2274.796728917107</v>
      </c>
      <c r="Y1595" s="3" t="str">
        <f>IF($G1595="sub",$H1595,IF($B1595="oop","ind","trs"))</f>
        <v>ind</v>
      </c>
      <c r="Z1595" s="39">
        <f>IFERROR(MATCH($Y1595&amp;"|"&amp;$B1595,XKey,0),1)</f>
        <v>36.0</v>
      </c>
      <c r="AA1595" s="48">
        <f>INDEX(XCTVal,$Z1595,ECPEmb)+INDEX(XETSVal,$Z1595,ECPEmb)</f>
        <v>0.0</v>
      </c>
      <c r="AB1595" s="8" t="inlineStr">
        <is>
          <t>omn</t>
        </is>
      </c>
      <c r="AC1595" s="8" t="inlineStr">
        <is>
          <t>oop</t>
        </is>
      </c>
      <c r="AD1595" s="197">
        <f>IFERROR(INDEX(NCEfIn,MATCH($AB1595&amp;"."&amp;$AC1595&amp;".ch4",NCEfKey,0)),0)</f>
        <v>0.125604</v>
      </c>
      <c r="AE1595" s="197">
        <f>IFERROR(INDEX(NCEfFin,MATCH($AB1595&amp;"."&amp;$AC1595&amp;".ch4",NCEfKey,0)),0)</f>
        <v>0.125604</v>
      </c>
      <c r="AF1595" s="3" t="n">
        <v>0</v>
      </c>
      <c r="AG1595" s="197">
        <f>IFERROR(INDEX(NCEfIn,MATCH($AB1595&amp;"."&amp;$AC1595&amp;".pm2",NCEfKey,0)),0)</f>
        <v>0.304212888</v>
      </c>
      <c r="AH1595" s="197">
        <f>IFERROR(INDEX(NCEfFin,MATCH($AB1595&amp;"."&amp;$AC1595&amp;".pm2",NCEfKey,0)),0)</f>
        <v>0.304212888</v>
      </c>
      <c r="AI1595" s="197">
        <f>IFERROR(INDEX(NCEfIn,MATCH($AB1595&amp;"."&amp;$AC1595&amp;".nox",NCEfKey,0)),0)</f>
        <v>7.95492</v>
      </c>
      <c r="AJ1595" s="197">
        <f>IFERROR(INDEX(NCEfFin,MATCH($AB1595&amp;"."&amp;$AC1595&amp;".nox",NCEfKey,0)),0)</f>
        <v>4.772952</v>
      </c>
      <c r="AK1595" s="197">
        <f>IFERROR(INDEX(NCEfIn,MATCH($AB1595&amp;"."&amp;$AC1595&amp;".so2",NCEfKey,0)),0)</f>
        <v>35.5878</v>
      </c>
      <c r="AL1595" s="197">
        <f>IFERROR(INDEX(NCEfFin,MATCH($AB1595&amp;"."&amp;$AC1595&amp;".so2",NCEfKey,0)),0)</f>
        <v>27.2142</v>
      </c>
      <c r="AM1595" s="197">
        <f>IFERROR(INDEX(NCEfIn,MATCH($AB1595&amp;"."&amp;$AC1595&amp;".voc",NCEfKey,0)),0)</f>
        <v>0.20934</v>
      </c>
      <c r="AN1595" s="197">
        <f>IFERROR(INDEX(NCEfFin,MATCH($AB1595&amp;"."&amp;$AC1595&amp;".voc",NCEfKey,0)),0)</f>
        <v>0.20934</v>
      </c>
      <c r="AO1595" s="197">
        <f>IFERROR(INDEX(NCEfIn,MATCH($AB1595&amp;"."&amp;$AC1595&amp;".bc",NCEfKey,0)),0)</f>
        <v>0.0295881156</v>
      </c>
      <c r="AP1595" s="197">
        <f>IFERROR(INDEX(NCEfFin,MATCH($AB1595&amp;"."&amp;$AC1595&amp;".bc",NCEfKey,0)),0)</f>
        <v>0.0295881156</v>
      </c>
      <c r="AQ1595" s="197">
        <f>IFERROR(INDEX(NCEfIn,MATCH($AB1595&amp;"."&amp;$AC1595&amp;".oc",NCEfKey,0)),0)</f>
        <v>0.0123845544</v>
      </c>
      <c r="AR1595" s="197">
        <f>IFERROR(INDEX(NCEfFin,MATCH($AB1595&amp;"."&amp;$AC1595&amp;".oc",NCEfKey,0)),0)</f>
        <v>0.0123845544</v>
      </c>
      <c r="AS1595" s="197">
        <f>IFERROR(INDEX(NCEfIn,MATCH($AB1595&amp;"."&amp;$AC1595&amp;".co",NCEfKey,0)),0)</f>
        <v>1.67472</v>
      </c>
      <c r="AT1595" s="197">
        <f>IFERROR(INDEX(NCEfFin,MATCH($AB1595&amp;"."&amp;$AC1595&amp;".co",NCEfKey,0)),0)</f>
        <v>1.67472</v>
      </c>
      <c r="AU1595" s="3" t="str">
        <f>INDEX('Constants and Mappings'!$J$186:$J$201,MATCH($C1595,SubKey,0))</f>
        <v>other_manufact</v>
      </c>
      <c r="AV1595" s="3">
        <f>INDEX('Constants and Mappings'!$K$186:$K$201,MATCH($C1595,SubKey,0))</f>
        <v>1.0</v>
      </c>
      <c r="AW1595" s="3" t="str">
        <f>INDEX('Constants and Mappings'!$L$186:$L$201,MATCH($C1595,SubKey,0))&amp;""</f>
        <v/>
      </c>
      <c r="AX1595" s="3">
        <f>INDEX('Constants and Mappings'!$M$186:$M$201,MATCH($C1595,SubKey,0))</f>
        <v>0.0</v>
      </c>
      <c r="AY1595" s="3" t="n">
        <v>2274.796728917107</v>
      </c>
      <c r="AZ1595" s="3" t="n">
        <v>0</v>
      </c>
      <c r="BA1595" s="3" t="n">
        <v>2274.796728917107</v>
      </c>
      <c r="BB1595" s="3" t="n">
        <v>0</v>
      </c>
      <c r="BC1595" s="3" t="n">
        <v>0</v>
      </c>
      <c r="BD1595" s="3">
        <f>IFERROR($BB1595/$BC1595,0)</f>
        <v>0.0</v>
      </c>
      <c r="BE1595" s="133" t="n">
        <v>1</v>
      </c>
      <c r="BF1595" s="39" t="n">
        <v>1</v>
      </c>
    </row>
    <row r="1596">
      <c r="A1596" s="3" t="str">
        <f>$B1596&amp;"|"&amp;$C1596</f>
        <v>bio|omn</v>
      </c>
      <c r="B1596" s="8" t="inlineStr">
        <is>
          <t>bio</t>
        </is>
      </c>
      <c r="C1596" s="8" t="inlineStr">
        <is>
          <t>omn</t>
        </is>
      </c>
      <c r="D1596" s="3" t="str">
        <f>INDEX('Constants and Mappings'!$D$186:$D$201,MATCH($C1596,SubKey,0))</f>
        <v>ind</v>
      </c>
      <c r="E1596" s="3" t="str">
        <f>INDEX('Constants and Mappings'!$C$229:$C$237,MATCH($B1596,FuelKey,0))</f>
        <v>bio</v>
      </c>
      <c r="F1596" s="3" t="str">
        <f>INDEX('Constants and Mappings'!$D$229:$D$237,MATCH($B1596,FuelKey,0))</f>
        <v>bio</v>
      </c>
      <c r="G1596" s="3" t="str">
        <f>INDEX('Constants and Mappings'!$E$229:$E$237,MATCH($B1596,FuelKey,0))</f>
        <v>all</v>
      </c>
      <c r="H1596" s="3" t="str">
        <f>INDEX('Constants and Mappings'!$F$186:$F$201,MATCH($C1596,SubKey,0))</f>
        <v>ind</v>
      </c>
      <c r="I1596" s="3" t="str">
        <f>INDEX('Constants and Mappings'!$I$229:$I$237,MATCH($B1596,FuelKey,0))&amp;"."&amp;IF($G1596="sub",$H1596,"all")</f>
        <v>bio.all</v>
      </c>
      <c r="J1596" s="3" t="str">
        <f>INDEX('Constants and Mappings'!$E$186:$E$201,MATCH($C1596,SubKey,0))</f>
        <v>ind</v>
      </c>
      <c r="K1596" s="3">
        <f>INDEX('Constants and Mappings'!$G$229:$G$237,MATCH($B1596,FuelKey,0))</f>
        <v>1.0</v>
      </c>
      <c r="L1596" s="3">
        <f>INDEX('Constants and Mappings'!$H$229:$H$237,MATCH($B1596,FuelKey,0))</f>
        <v>9.0</v>
      </c>
      <c r="M1596" s="3">
        <f>INDEX('Constants and Mappings'!$H$186:$H$201,MATCH($C1596,SubKey,0))</f>
        <v>14.0</v>
      </c>
      <c r="N1596" s="3">
        <f>INDEX('Constants and Mappings'!$E$300:$E$313,MATCH($I1596,'Constants and Mappings'!$A$300:$A$313,0))</f>
        <v>14.0</v>
      </c>
      <c r="O1596" s="48">
        <f>INDEX(ElaSel,MATCH("inc|"&amp;$E1596&amp;"|"&amp;$D1596,ElaSelKey,0))</f>
        <v>0.1</v>
      </c>
      <c r="P1596" s="48">
        <f>INDEX(ElaSel,MATCH("usg|"&amp;$E1596&amp;"|"&amp;$D1596,ElaSelKey,0))</f>
        <v>-0.3</v>
      </c>
      <c r="Q1596" s="48">
        <f>INDEX(ElaSel,MATCH("eff|"&amp;$E1596&amp;"|"&amp;$D1596,ElaSelKey,0))</f>
        <v>-0.2</v>
      </c>
      <c r="R1596" s="225">
        <f>INDEX(ElaSel,MATCH("aei|"&amp;$F1596&amp;"|"&amp;$D1596,ElaSelKey,0))</f>
        <v>0.005</v>
      </c>
      <c r="S1596" s="133" t="n">
        <v>3</v>
      </c>
      <c r="T1596" s="48">
        <f>$Q1596*(1+$P1596)</f>
        <v>-0.13999999999999999</v>
      </c>
      <c r="U1596" s="3">
        <f>INDEX('Constants and Mappings'!$E$1633:$E$1644,MATCH($I1596,'Constants and Mappings'!$A$1633:$A$1644,0))</f>
        <v>312.0</v>
      </c>
      <c r="V1596" s="225">
        <f>INDEX('Constants and Mappings'!$V$1633:$V$1644,MATCH($I1596,'Constants and Mappings'!$A$1633:$A$1644,0))</f>
        <v>0.0</v>
      </c>
      <c r="W1596" s="197">
        <f>INDEX(EFSel,MATCH($B1596&amp;"|"&amp;$J1596,EFSelKey,0))*EFCalib</f>
        <v>0.0</v>
      </c>
      <c r="X1596" s="195">
        <f>IF(LEFT(BalOpt,3)="Bal",$AY1596*$AV1596+$AZ1596*$AX1596,$BA1596)</f>
        <v>0.0</v>
      </c>
      <c r="Y1596" s="3" t="str">
        <f>IF($G1596="sub",$H1596,IF($B1596="oop","ind","trs"))</f>
        <v>trs</v>
      </c>
      <c r="Z1596" s="39">
        <f>IFERROR(MATCH($Y1596&amp;"|"&amp;$B1596,XKey,0),1)</f>
        <v>19.0</v>
      </c>
      <c r="AA1596" s="48">
        <f>INDEX(XCTVal,$Z1596,ECPEmb)+INDEX(XETSVal,$Z1596,ECPEmb)</f>
        <v>0.0</v>
      </c>
      <c r="AB1596" s="8" t="inlineStr">
        <is>
          <t>omn</t>
        </is>
      </c>
      <c r="AC1596" s="8" t="inlineStr">
        <is>
          <t>bio</t>
        </is>
      </c>
      <c r="AD1596" s="197">
        <f>IFERROR(INDEX(NCEfIn,MATCH($AB1596&amp;"."&amp;$AC1596&amp;".ch4",NCEfKey,0)),0)</f>
        <v>0.460548</v>
      </c>
      <c r="AE1596" s="197">
        <f>IFERROR(INDEX(NCEfFin,MATCH($AB1596&amp;"."&amp;$AC1596&amp;".ch4",NCEfKey,0)),0)</f>
        <v>0.460548</v>
      </c>
      <c r="AF1596" s="3" t="n">
        <v>0</v>
      </c>
      <c r="AG1596" s="197">
        <f>IFERROR(INDEX(NCEfIn,MATCH($AB1596&amp;"."&amp;$AC1596&amp;".pm2",NCEfKey,0)),0)</f>
        <v>6.2980860096</v>
      </c>
      <c r="AH1596" s="197">
        <f>IFERROR(INDEX(NCEfFin,MATCH($AB1596&amp;"."&amp;$AC1596&amp;".pm2",NCEfKey,0)),0)</f>
        <v>4.139405424</v>
      </c>
      <c r="AI1596" s="197">
        <f>IFERROR(INDEX(NCEfIn,MATCH($AB1596&amp;"."&amp;$AC1596&amp;".nox",NCEfKey,0)),0)</f>
        <v>5.44284</v>
      </c>
      <c r="AJ1596" s="197">
        <f>IFERROR(INDEX(NCEfFin,MATCH($AB1596&amp;"."&amp;$AC1596&amp;".nox",NCEfKey,0)),0)</f>
        <v>5.44284</v>
      </c>
      <c r="AK1596" s="197">
        <f>IFERROR(INDEX(NCEfIn,MATCH($AB1596&amp;"."&amp;$AC1596&amp;".so2",NCEfKey,0)),0)</f>
        <v>1.0467</v>
      </c>
      <c r="AL1596" s="197">
        <f>IFERROR(INDEX(NCEfFin,MATCH($AB1596&amp;"."&amp;$AC1596&amp;".so2",NCEfKey,0)),0)</f>
        <v>1.0467</v>
      </c>
      <c r="AM1596" s="197">
        <f>IFERROR(INDEX(NCEfIn,MATCH($AB1596&amp;"."&amp;$AC1596&amp;".voc",NCEfKey,0)),0)</f>
        <v>2.19534858</v>
      </c>
      <c r="AN1596" s="197">
        <f>IFERROR(INDEX(NCEfFin,MATCH($AB1596&amp;"."&amp;$AC1596&amp;".voc",NCEfKey,0)),0)</f>
        <v>2.009664</v>
      </c>
      <c r="AO1596" s="197">
        <f>IFERROR(INDEX(NCEfIn,MATCH($AB1596&amp;"."&amp;$AC1596&amp;".bc",NCEfKey,0)),0)</f>
        <v>0.3287014812</v>
      </c>
      <c r="AP1596" s="197">
        <f>IFERROR(INDEX(NCEfFin,MATCH($AB1596&amp;"."&amp;$AC1596&amp;".bc",NCEfKey,0)),0)</f>
        <v>0.2188524096</v>
      </c>
      <c r="AQ1596" s="197">
        <f>IFERROR(INDEX(NCEfIn,MATCH($AB1596&amp;"."&amp;$AC1596&amp;".oc",NCEfKey,0)),0)</f>
        <v>0.4871425536</v>
      </c>
      <c r="AR1596" s="197">
        <f>IFERROR(INDEX(NCEfFin,MATCH($AB1596&amp;"."&amp;$AC1596&amp;".oc",NCEfKey,0)),0)</f>
        <v>0.313507584</v>
      </c>
      <c r="AS1596" s="197">
        <f>IFERROR(INDEX(NCEfIn,MATCH($AB1596&amp;"."&amp;$AC1596&amp;".co",NCEfKey,0)),0)</f>
        <v>12.5604</v>
      </c>
      <c r="AT1596" s="197">
        <f>IFERROR(INDEX(NCEfFin,MATCH($AB1596&amp;"."&amp;$AC1596&amp;".co",NCEfKey,0)),0)</f>
        <v>12.5604</v>
      </c>
      <c r="AU1596" s="3" t="str">
        <f>INDEX('Constants and Mappings'!$J$186:$J$201,MATCH($C1596,SubKey,0))</f>
        <v>other_manufact</v>
      </c>
      <c r="AV1596" s="3">
        <f>INDEX('Constants and Mappings'!$K$186:$K$201,MATCH($C1596,SubKey,0))</f>
        <v>1.0</v>
      </c>
      <c r="AW1596" s="3" t="str">
        <f>INDEX('Constants and Mappings'!$L$186:$L$201,MATCH($C1596,SubKey,0))&amp;""</f>
        <v/>
      </c>
      <c r="AX1596" s="3">
        <f>INDEX('Constants and Mappings'!$M$186:$M$201,MATCH($C1596,SubKey,0))</f>
        <v>0.0</v>
      </c>
      <c r="AY1596" s="3" t="n">
        <v>0</v>
      </c>
      <c r="AZ1596" s="3" t="n">
        <v>0</v>
      </c>
      <c r="BA1596" s="3" t="n">
        <v>0</v>
      </c>
      <c r="BB1596" s="3" t="n">
        <v>0</v>
      </c>
      <c r="BC1596" s="3" t="n">
        <v>0</v>
      </c>
      <c r="BD1596" s="3">
        <f>IFERROR($BB1596/$BC1596,0)</f>
        <v>0.0</v>
      </c>
      <c r="BE1596" s="133" t="n">
        <v>1</v>
      </c>
      <c r="BF1596" s="39" t="n">
        <v>1</v>
      </c>
    </row>
    <row r="1597">
      <c r="A1597" s="3" t="str">
        <f>$B1597&amp;"|"&amp;$C1597</f>
        <v>coa|cst</v>
      </c>
      <c r="B1597" s="8" t="inlineStr">
        <is>
          <t>coa</t>
        </is>
      </c>
      <c r="C1597" s="8" t="inlineStr">
        <is>
          <t>cst</t>
        </is>
      </c>
      <c r="D1597" s="3" t="str">
        <f>INDEX('Constants and Mappings'!$D$186:$D$201,MATCH($C1597,SubKey,0))</f>
        <v>ind</v>
      </c>
      <c r="E1597" s="3" t="str">
        <f>INDEX('Constants and Mappings'!$C$229:$C$237,MATCH($B1597,FuelKey,0))</f>
        <v>coa</v>
      </c>
      <c r="F1597" s="3" t="str">
        <f>INDEX('Constants and Mappings'!$D$229:$D$237,MATCH($B1597,FuelKey,0))</f>
        <v>coa</v>
      </c>
      <c r="G1597" s="3" t="str">
        <f>INDEX('Constants and Mappings'!$E$229:$E$237,MATCH($B1597,FuelKey,0))</f>
        <v>sub</v>
      </c>
      <c r="H1597" s="3" t="str">
        <f>INDEX('Constants and Mappings'!$F$186:$F$201,MATCH($C1597,SubKey,0))</f>
        <v>ind</v>
      </c>
      <c r="I1597" s="3" t="str">
        <f>INDEX('Constants and Mappings'!$I$229:$I$237,MATCH($B1597,FuelKey,0))&amp;"."&amp;IF($G1597="sub",$H1597,"all")</f>
        <v>coa.ind</v>
      </c>
      <c r="J1597" s="3" t="str">
        <f>INDEX('Constants and Mappings'!$E$186:$E$201,MATCH($C1597,SubKey,0))</f>
        <v>ind</v>
      </c>
      <c r="K1597" s="3">
        <f>INDEX('Constants and Mappings'!$G$229:$G$237,MATCH($B1597,FuelKey,0))</f>
        <v>1.0</v>
      </c>
      <c r="L1597" s="3">
        <f>INDEX('Constants and Mappings'!$H$229:$H$237,MATCH($B1597,FuelKey,0))</f>
        <v>1.0</v>
      </c>
      <c r="M1597" s="3">
        <f>INDEX('Constants and Mappings'!$H$186:$H$201,MATCH($C1597,SubKey,0))</f>
        <v>15.0</v>
      </c>
      <c r="N1597" s="3">
        <f>INDEX('Constants and Mappings'!$E$300:$E$313,MATCH($I1597,'Constants and Mappings'!$A$300:$A$313,0))</f>
        <v>3.0</v>
      </c>
      <c r="O1597" s="48">
        <f>INDEX(ElaSel,MATCH("inc|"&amp;$E1597&amp;"|"&amp;$D1597,ElaSelKey,0))</f>
        <v>0.5</v>
      </c>
      <c r="P1597" s="48">
        <f>INDEX(ElaSel,MATCH("usg|"&amp;$E1597&amp;"|"&amp;$D1597,ElaSelKey,0))</f>
        <v>-0.3</v>
      </c>
      <c r="Q1597" s="48">
        <f>INDEX(ElaSel,MATCH("eff|"&amp;$E1597&amp;"|"&amp;$D1597,ElaSelKey,0))</f>
        <v>-0.4</v>
      </c>
      <c r="R1597" s="225">
        <f>INDEX(ElaSel,MATCH("aei|"&amp;$F1597&amp;"|"&amp;$D1597,ElaSelKey,0))</f>
        <v>0.005</v>
      </c>
      <c r="S1597" s="133" t="n">
        <v>3</v>
      </c>
      <c r="T1597" s="48">
        <f>$Q1597*(1+$P1597)</f>
        <v>-0.27999999999999997</v>
      </c>
      <c r="U1597" s="3">
        <f>INDEX('Constants and Mappings'!$E$1633:$E$1644,MATCH($I1597,'Constants and Mappings'!$A$1633:$A$1644,0))</f>
        <v>55.0</v>
      </c>
      <c r="V1597" s="225">
        <f>INDEX('Constants and Mappings'!$V$1633:$V$1644,MATCH($I1597,'Constants and Mappings'!$A$1633:$A$1644,0))</f>
        <v>0.0</v>
      </c>
      <c r="W1597" s="197">
        <f>INDEX(EFSel,MATCH($B1597&amp;"|"&amp;$J1597,EFSelKey,0))*EFCalib</f>
        <v>0.09955404329757564</v>
      </c>
      <c r="X1597" s="195">
        <f>IF(LEFT(BalOpt,3)="Bal",$AY1597*$AV1597+$AZ1597*$AX1597,$BA1597)</f>
        <v>0.0</v>
      </c>
      <c r="Y1597" s="3" t="str">
        <f>IF($G1597="sub",$H1597,IF($B1597="oop","ind","trs"))</f>
        <v>ind</v>
      </c>
      <c r="Z1597" s="39">
        <f>IFERROR(MATCH($Y1597&amp;"|"&amp;$B1597,XKey,0),1)</f>
        <v>29.0</v>
      </c>
      <c r="AA1597" s="48">
        <f>INDEX(XCTVal,$Z1597,ECPEmb)+INDEX(XETSVal,$Z1597,ECPEmb)</f>
        <v>0.0</v>
      </c>
      <c r="AB1597" s="8" t="inlineStr">
        <is>
          <t>cst</t>
        </is>
      </c>
      <c r="AC1597" s="8" t="inlineStr">
        <is>
          <t>coa</t>
        </is>
      </c>
      <c r="AD1597" s="197">
        <f>IFERROR(INDEX(NCEfIn,MATCH($AB1597&amp;"."&amp;$AC1597&amp;".ch4",NCEfKey,0)),0)</f>
        <v>0.0</v>
      </c>
      <c r="AE1597" s="197">
        <f>IFERROR(INDEX(NCEfFin,MATCH($AB1597&amp;"."&amp;$AC1597&amp;".ch4",NCEfKey,0)),0)</f>
        <v>0.0</v>
      </c>
      <c r="AF1597" s="3" t="n">
        <v>0</v>
      </c>
      <c r="AG1597" s="197">
        <f>IFERROR(INDEX(NCEfIn,MATCH($AB1597&amp;"."&amp;$AC1597&amp;".pm2",NCEfKey,0)),0)</f>
        <v>0.0</v>
      </c>
      <c r="AH1597" s="197">
        <f>IFERROR(INDEX(NCEfFin,MATCH($AB1597&amp;"."&amp;$AC1597&amp;".pm2",NCEfKey,0)),0)</f>
        <v>0.0</v>
      </c>
      <c r="AI1597" s="197">
        <f>IFERROR(INDEX(NCEfIn,MATCH($AB1597&amp;"."&amp;$AC1597&amp;".nox",NCEfKey,0)),0)</f>
        <v>0.0</v>
      </c>
      <c r="AJ1597" s="197">
        <f>IFERROR(INDEX(NCEfFin,MATCH($AB1597&amp;"."&amp;$AC1597&amp;".nox",NCEfKey,0)),0)</f>
        <v>0.0</v>
      </c>
      <c r="AK1597" s="197">
        <f>IFERROR(INDEX(NCEfIn,MATCH($AB1597&amp;"."&amp;$AC1597&amp;".so2",NCEfKey,0)),0)</f>
        <v>0.0</v>
      </c>
      <c r="AL1597" s="197">
        <f>IFERROR(INDEX(NCEfFin,MATCH($AB1597&amp;"."&amp;$AC1597&amp;".so2",NCEfKey,0)),0)</f>
        <v>0.0</v>
      </c>
      <c r="AM1597" s="197">
        <f>IFERROR(INDEX(NCEfIn,MATCH($AB1597&amp;"."&amp;$AC1597&amp;".voc",NCEfKey,0)),0)</f>
        <v>0.0</v>
      </c>
      <c r="AN1597" s="197">
        <f>IFERROR(INDEX(NCEfFin,MATCH($AB1597&amp;"."&amp;$AC1597&amp;".voc",NCEfKey,0)),0)</f>
        <v>0.0</v>
      </c>
      <c r="AO1597" s="197">
        <f>IFERROR(INDEX(NCEfIn,MATCH($AB1597&amp;"."&amp;$AC1597&amp;".bc",NCEfKey,0)),0)</f>
        <v>0.0</v>
      </c>
      <c r="AP1597" s="197">
        <f>IFERROR(INDEX(NCEfFin,MATCH($AB1597&amp;"."&amp;$AC1597&amp;".bc",NCEfKey,0)),0)</f>
        <v>0.0</v>
      </c>
      <c r="AQ1597" s="197">
        <f>IFERROR(INDEX(NCEfIn,MATCH($AB1597&amp;"."&amp;$AC1597&amp;".oc",NCEfKey,0)),0)</f>
        <v>0.0</v>
      </c>
      <c r="AR1597" s="197">
        <f>IFERROR(INDEX(NCEfFin,MATCH($AB1597&amp;"."&amp;$AC1597&amp;".oc",NCEfKey,0)),0)</f>
        <v>0.0</v>
      </c>
      <c r="AS1597" s="197">
        <f>IFERROR(INDEX(NCEfIn,MATCH($AB1597&amp;"."&amp;$AC1597&amp;".co",NCEfKey,0)),0)</f>
        <v>0.0</v>
      </c>
      <c r="AT1597" s="197">
        <f>IFERROR(INDEX(NCEfFin,MATCH($AB1597&amp;"."&amp;$AC1597&amp;".co",NCEfKey,0)),0)</f>
        <v>0.0</v>
      </c>
      <c r="AU1597" s="3" t="str">
        <f>INDEX('Constants and Mappings'!$J$186:$J$201,MATCH($C1597,SubKey,0))</f>
        <v>construc</v>
      </c>
      <c r="AV1597" s="3">
        <f>INDEX('Constants and Mappings'!$K$186:$K$201,MATCH($C1597,SubKey,0))</f>
        <v>1.0</v>
      </c>
      <c r="AW1597" s="3" t="str">
        <f>INDEX('Constants and Mappings'!$L$186:$L$201,MATCH($C1597,SubKey,0))&amp;""</f>
        <v/>
      </c>
      <c r="AX1597" s="3">
        <f>INDEX('Constants and Mappings'!$M$186:$M$201,MATCH($C1597,SubKey,0))</f>
        <v>0.0</v>
      </c>
      <c r="AY1597" s="3" t="n">
        <v>0</v>
      </c>
      <c r="AZ1597" s="3" t="n">
        <v>0</v>
      </c>
      <c r="BA1597" s="3" t="n">
        <v>0</v>
      </c>
      <c r="BB1597" s="3" t="n">
        <v>0</v>
      </c>
      <c r="BC1597" s="3" t="n">
        <v>0</v>
      </c>
      <c r="BD1597" s="3">
        <f>IFERROR($BB1597/$BC1597,0)</f>
        <v>0.0</v>
      </c>
      <c r="BE1597" s="133" t="n">
        <v>1</v>
      </c>
      <c r="BF1597" s="39" t="n">
        <v>1</v>
      </c>
    </row>
    <row r="1598">
      <c r="A1598" s="3" t="str">
        <f>$B1598&amp;"|"&amp;$C1598</f>
        <v>nga|cst</v>
      </c>
      <c r="B1598" s="8" t="inlineStr">
        <is>
          <t>nga</t>
        </is>
      </c>
      <c r="C1598" s="8" t="inlineStr">
        <is>
          <t>cst</t>
        </is>
      </c>
      <c r="D1598" s="3" t="str">
        <f>INDEX('Constants and Mappings'!$D$186:$D$201,MATCH($C1598,SubKey,0))</f>
        <v>ind</v>
      </c>
      <c r="E1598" s="3" t="str">
        <f>INDEX('Constants and Mappings'!$C$229:$C$237,MATCH($B1598,FuelKey,0))</f>
        <v>nga</v>
      </c>
      <c r="F1598" s="3" t="str">
        <f>INDEX('Constants and Mappings'!$D$229:$D$237,MATCH($B1598,FuelKey,0))</f>
        <v>nga</v>
      </c>
      <c r="G1598" s="3" t="str">
        <f>INDEX('Constants and Mappings'!$E$229:$E$237,MATCH($B1598,FuelKey,0))</f>
        <v>sub</v>
      </c>
      <c r="H1598" s="3" t="str">
        <f>INDEX('Constants and Mappings'!$F$186:$F$201,MATCH($C1598,SubKey,0))</f>
        <v>ind</v>
      </c>
      <c r="I1598" s="3" t="str">
        <f>INDEX('Constants and Mappings'!$I$229:$I$237,MATCH($B1598,FuelKey,0))&amp;"."&amp;IF($G1598="sub",$H1598,"all")</f>
        <v>nga.ind</v>
      </c>
      <c r="J1598" s="3" t="str">
        <f>INDEX('Constants and Mappings'!$E$186:$E$201,MATCH($C1598,SubKey,0))</f>
        <v>ind</v>
      </c>
      <c r="K1598" s="3">
        <f>INDEX('Constants and Mappings'!$G$229:$G$237,MATCH($B1598,FuelKey,0))</f>
        <v>1.0</v>
      </c>
      <c r="L1598" s="3">
        <f>INDEX('Constants and Mappings'!$H$229:$H$237,MATCH($B1598,FuelKey,0))</f>
        <v>2.0</v>
      </c>
      <c r="M1598" s="3">
        <f>INDEX('Constants and Mappings'!$H$186:$H$201,MATCH($C1598,SubKey,0))</f>
        <v>15.0</v>
      </c>
      <c r="N1598" s="3">
        <f>INDEX('Constants and Mappings'!$E$300:$E$313,MATCH($I1598,'Constants and Mappings'!$A$300:$A$313,0))</f>
        <v>6.0</v>
      </c>
      <c r="O1598" s="48">
        <f>INDEX(ElaSel,MATCH("inc|"&amp;$E1598&amp;"|"&amp;$D1598,ElaSelKey,0))</f>
        <v>1.0</v>
      </c>
      <c r="P1598" s="48">
        <f>INDEX(ElaSel,MATCH("usg|"&amp;$E1598&amp;"|"&amp;$D1598,ElaSelKey,0))</f>
        <v>-0.5</v>
      </c>
      <c r="Q1598" s="48">
        <f>INDEX(ElaSel,MATCH("eff|"&amp;$E1598&amp;"|"&amp;$D1598,ElaSelKey,0))</f>
        <v>-0.5</v>
      </c>
      <c r="R1598" s="225">
        <f>INDEX(ElaSel,MATCH("aei|"&amp;$F1598&amp;"|"&amp;$D1598,ElaSelKey,0))</f>
        <v>0.01</v>
      </c>
      <c r="S1598" s="133" t="n">
        <v>3</v>
      </c>
      <c r="T1598" s="48">
        <f>$Q1598*(1+$P1598)</f>
        <v>-0.25</v>
      </c>
      <c r="U1598" s="3">
        <f>INDEX('Constants and Mappings'!$E$1633:$E$1644,MATCH($I1598,'Constants and Mappings'!$A$1633:$A$1644,0))</f>
        <v>138.0</v>
      </c>
      <c r="V1598" s="225">
        <f>INDEX('Constants and Mappings'!$V$1633:$V$1644,MATCH($I1598,'Constants and Mappings'!$A$1633:$A$1644,0))</f>
        <v>0.0</v>
      </c>
      <c r="W1598" s="197">
        <f>INDEX(EFSel,MATCH($B1598&amp;"|"&amp;$J1598,EFSelKey,0))*EFCalib</f>
        <v>0.05555115616004721</v>
      </c>
      <c r="X1598" s="195">
        <f>IF(LEFT(BalOpt,3)="Bal",$AY1598*$AV1598+$AZ1598*$AX1598,$BA1598)</f>
        <v>0.0</v>
      </c>
      <c r="Y1598" s="3" t="str">
        <f>IF($G1598="sub",$H1598,IF($B1598="oop","ind","trs"))</f>
        <v>ind</v>
      </c>
      <c r="Z1598" s="39">
        <f>IFERROR(MATCH($Y1598&amp;"|"&amp;$B1598,XKey,0),1)</f>
        <v>30.0</v>
      </c>
      <c r="AA1598" s="48">
        <f>INDEX(XCTVal,$Z1598,ECPEmb)+INDEX(XETSVal,$Z1598,ECPEmb)</f>
        <v>0.0</v>
      </c>
      <c r="AB1598" s="8" t="inlineStr">
        <is>
          <t>cst</t>
        </is>
      </c>
      <c r="AC1598" s="8" t="inlineStr">
        <is>
          <t>nga</t>
        </is>
      </c>
      <c r="AD1598" s="197">
        <f>IFERROR(INDEX(NCEfIn,MATCH($AB1598&amp;"."&amp;$AC1598&amp;".ch4",NCEfKey,0)),0)</f>
        <v>0.0</v>
      </c>
      <c r="AE1598" s="197">
        <f>IFERROR(INDEX(NCEfFin,MATCH($AB1598&amp;"."&amp;$AC1598&amp;".ch4",NCEfKey,0)),0)</f>
        <v>0.0</v>
      </c>
      <c r="AF1598" s="3" t="n">
        <v>0</v>
      </c>
      <c r="AG1598" s="197">
        <f>IFERROR(INDEX(NCEfIn,MATCH($AB1598&amp;"."&amp;$AC1598&amp;".pm2",NCEfKey,0)),0)</f>
        <v>0.0</v>
      </c>
      <c r="AH1598" s="197">
        <f>IFERROR(INDEX(NCEfFin,MATCH($AB1598&amp;"."&amp;$AC1598&amp;".pm2",NCEfKey,0)),0)</f>
        <v>0.0</v>
      </c>
      <c r="AI1598" s="197">
        <f>IFERROR(INDEX(NCEfIn,MATCH($AB1598&amp;"."&amp;$AC1598&amp;".nox",NCEfKey,0)),0)</f>
        <v>0.0</v>
      </c>
      <c r="AJ1598" s="197">
        <f>IFERROR(INDEX(NCEfFin,MATCH($AB1598&amp;"."&amp;$AC1598&amp;".nox",NCEfKey,0)),0)</f>
        <v>0.0</v>
      </c>
      <c r="AK1598" s="197">
        <f>IFERROR(INDEX(NCEfIn,MATCH($AB1598&amp;"."&amp;$AC1598&amp;".so2",NCEfKey,0)),0)</f>
        <v>0.0</v>
      </c>
      <c r="AL1598" s="197">
        <f>IFERROR(INDEX(NCEfFin,MATCH($AB1598&amp;"."&amp;$AC1598&amp;".so2",NCEfKey,0)),0)</f>
        <v>0.0</v>
      </c>
      <c r="AM1598" s="197">
        <f>IFERROR(INDEX(NCEfIn,MATCH($AB1598&amp;"."&amp;$AC1598&amp;".voc",NCEfKey,0)),0)</f>
        <v>0.0</v>
      </c>
      <c r="AN1598" s="197">
        <f>IFERROR(INDEX(NCEfFin,MATCH($AB1598&amp;"."&amp;$AC1598&amp;".voc",NCEfKey,0)),0)</f>
        <v>0.0</v>
      </c>
      <c r="AO1598" s="197">
        <f>IFERROR(INDEX(NCEfIn,MATCH($AB1598&amp;"."&amp;$AC1598&amp;".bc",NCEfKey,0)),0)</f>
        <v>0.0</v>
      </c>
      <c r="AP1598" s="197">
        <f>IFERROR(INDEX(NCEfFin,MATCH($AB1598&amp;"."&amp;$AC1598&amp;".bc",NCEfKey,0)),0)</f>
        <v>0.0</v>
      </c>
      <c r="AQ1598" s="197">
        <f>IFERROR(INDEX(NCEfIn,MATCH($AB1598&amp;"."&amp;$AC1598&amp;".oc",NCEfKey,0)),0)</f>
        <v>0.0</v>
      </c>
      <c r="AR1598" s="197">
        <f>IFERROR(INDEX(NCEfFin,MATCH($AB1598&amp;"."&amp;$AC1598&amp;".oc",NCEfKey,0)),0)</f>
        <v>0.0</v>
      </c>
      <c r="AS1598" s="197">
        <f>IFERROR(INDEX(NCEfIn,MATCH($AB1598&amp;"."&amp;$AC1598&amp;".co",NCEfKey,0)),0)</f>
        <v>0.0</v>
      </c>
      <c r="AT1598" s="197">
        <f>IFERROR(INDEX(NCEfFin,MATCH($AB1598&amp;"."&amp;$AC1598&amp;".co",NCEfKey,0)),0)</f>
        <v>0.0</v>
      </c>
      <c r="AU1598" s="3" t="str">
        <f>INDEX('Constants and Mappings'!$J$186:$J$201,MATCH($C1598,SubKey,0))</f>
        <v>construc</v>
      </c>
      <c r="AV1598" s="3">
        <f>INDEX('Constants and Mappings'!$K$186:$K$201,MATCH($C1598,SubKey,0))</f>
        <v>1.0</v>
      </c>
      <c r="AW1598" s="3" t="str">
        <f>INDEX('Constants and Mappings'!$L$186:$L$201,MATCH($C1598,SubKey,0))&amp;""</f>
        <v/>
      </c>
      <c r="AX1598" s="3">
        <f>INDEX('Constants and Mappings'!$M$186:$M$201,MATCH($C1598,SubKey,0))</f>
        <v>0.0</v>
      </c>
      <c r="AY1598" s="3" t="n">
        <v>0</v>
      </c>
      <c r="AZ1598" s="3" t="n">
        <v>0</v>
      </c>
      <c r="BA1598" s="3" t="n">
        <v>0</v>
      </c>
      <c r="BB1598" s="3" t="n">
        <v>0</v>
      </c>
      <c r="BC1598" s="3" t="n">
        <v>0</v>
      </c>
      <c r="BD1598" s="3">
        <f>IFERROR($BB1598/$BC1598,0)</f>
        <v>0.0</v>
      </c>
      <c r="BE1598" s="133" t="n">
        <v>1</v>
      </c>
      <c r="BF1598" s="39" t="n">
        <v>1</v>
      </c>
    </row>
    <row r="1599">
      <c r="A1599" s="3" t="str">
        <f>$B1599&amp;"|"&amp;$C1599</f>
        <v>gso|cst</v>
      </c>
      <c r="B1599" s="8" t="inlineStr">
        <is>
          <t>gso</t>
        </is>
      </c>
      <c r="C1599" s="8" t="inlineStr">
        <is>
          <t>cst</t>
        </is>
      </c>
      <c r="D1599" s="3" t="str">
        <f>INDEX('Constants and Mappings'!$D$186:$D$201,MATCH($C1599,SubKey,0))</f>
        <v>ind</v>
      </c>
      <c r="E1599" s="3" t="str">
        <f>INDEX('Constants and Mappings'!$C$229:$C$237,MATCH($B1599,FuelKey,0))</f>
        <v>gso</v>
      </c>
      <c r="F1599" s="3" t="str">
        <f>INDEX('Constants and Mappings'!$D$229:$D$237,MATCH($B1599,FuelKey,0))</f>
        <v>oil</v>
      </c>
      <c r="G1599" s="3" t="str">
        <f>INDEX('Constants and Mappings'!$E$229:$E$237,MATCH($B1599,FuelKey,0))</f>
        <v>all</v>
      </c>
      <c r="H1599" s="3" t="str">
        <f>INDEX('Constants and Mappings'!$F$186:$F$201,MATCH($C1599,SubKey,0))</f>
        <v>ind</v>
      </c>
      <c r="I1599" s="3" t="str">
        <f>INDEX('Constants and Mappings'!$I$229:$I$237,MATCH($B1599,FuelKey,0))&amp;"."&amp;IF($G1599="sub",$H1599,"all")</f>
        <v>gso.all</v>
      </c>
      <c r="J1599" s="3" t="str">
        <f>INDEX('Constants and Mappings'!$E$186:$E$201,MATCH($C1599,SubKey,0))</f>
        <v>ind</v>
      </c>
      <c r="K1599" s="3">
        <f>INDEX('Constants and Mappings'!$G$229:$G$237,MATCH($B1599,FuelKey,0))</f>
        <v>0.03496974000000001</v>
      </c>
      <c r="L1599" s="3">
        <f>INDEX('Constants and Mappings'!$H$229:$H$237,MATCH($B1599,FuelKey,0))</f>
        <v>3.0</v>
      </c>
      <c r="M1599" s="3">
        <f>INDEX('Constants and Mappings'!$H$186:$H$201,MATCH($C1599,SubKey,0))</f>
        <v>15.0</v>
      </c>
      <c r="N1599" s="3">
        <f>INDEX('Constants and Mappings'!$E$300:$E$313,MATCH($I1599,'Constants and Mappings'!$A$300:$A$313,0))</f>
        <v>9.0</v>
      </c>
      <c r="O1599" s="48">
        <f>INDEX(ElaSel,MATCH("inc|"&amp;$E1599&amp;"|"&amp;$D1599,ElaSelKey,0))</f>
        <v>0.5</v>
      </c>
      <c r="P1599" s="48">
        <f>INDEX(ElaSel,MATCH("usg|"&amp;$E1599&amp;"|"&amp;$D1599,ElaSelKey,0))</f>
        <v>-0.4</v>
      </c>
      <c r="Q1599" s="48">
        <f>INDEX(ElaSel,MATCH("eff|"&amp;$E1599&amp;"|"&amp;$D1599,ElaSelKey,0))</f>
        <v>-0.7</v>
      </c>
      <c r="R1599" s="225">
        <f>INDEX(ElaSel,MATCH("aei|"&amp;$F1599&amp;"|"&amp;$D1599,ElaSelKey,0))</f>
        <v>0.005</v>
      </c>
      <c r="S1599" s="133" t="n">
        <v>3</v>
      </c>
      <c r="T1599" s="48">
        <f>$Q1599*(1+$P1599)</f>
        <v>-0.42</v>
      </c>
      <c r="U1599" s="3">
        <f>INDEX('Constants and Mappings'!$E$1633:$E$1644,MATCH($I1599,'Constants and Mappings'!$A$1633:$A$1644,0))</f>
        <v>167.0</v>
      </c>
      <c r="V1599" s="225">
        <f>INDEX('Constants and Mappings'!$V$1633:$V$1644,MATCH($I1599,'Constants and Mappings'!$A$1633:$A$1644,0))</f>
        <v>0.0</v>
      </c>
      <c r="W1599" s="197">
        <f>INDEX(EFSel,MATCH($B1599&amp;"|"&amp;$J1599,EFSelKey,0))*EFCalib</f>
        <v>0.06749067257272545</v>
      </c>
      <c r="X1599" s="195">
        <f>IF(LEFT(BalOpt,3)="Bal",$AY1599*$AV1599+$AZ1599*$AX1599,$BA1599)</f>
        <v>0.0</v>
      </c>
      <c r="Y1599" s="3" t="str">
        <f>IF($G1599="sub",$H1599,IF($B1599="oop","ind","trs"))</f>
        <v>trs</v>
      </c>
      <c r="Z1599" s="39">
        <f>IFERROR(MATCH($Y1599&amp;"|"&amp;$B1599,XKey,0),1)</f>
        <v>13.0</v>
      </c>
      <c r="AA1599" s="48">
        <f>INDEX(XCTVal,$Z1599,ECPEmb)+INDEX(XETSVal,$Z1599,ECPEmb)</f>
        <v>0.0</v>
      </c>
      <c r="AB1599" s="8" t="inlineStr">
        <is>
          <t>cst</t>
        </is>
      </c>
      <c r="AC1599" s="8" t="inlineStr">
        <is>
          <t>gso</t>
        </is>
      </c>
      <c r="AD1599" s="197">
        <f>IFERROR(INDEX(NCEfIn,MATCH($AB1599&amp;"."&amp;$AC1599&amp;".ch4",NCEfKey,0)),0)</f>
        <v>4.186800000000001</v>
      </c>
      <c r="AE1599" s="197">
        <f>IFERROR(INDEX(NCEfFin,MATCH($AB1599&amp;"."&amp;$AC1599&amp;".ch4",NCEfKey,0)),0)</f>
        <v>4.186800000000001</v>
      </c>
      <c r="AF1599" s="3" t="n">
        <v>0</v>
      </c>
      <c r="AG1599" s="197">
        <f>IFERROR(INDEX(NCEfIn,MATCH($AB1599&amp;"."&amp;$AC1599&amp;".pm2",NCEfKey,0)),0)</f>
        <v>1.1717345952</v>
      </c>
      <c r="AH1599" s="197">
        <f>IFERROR(INDEX(NCEfFin,MATCH($AB1599&amp;"."&amp;$AC1599&amp;".pm2",NCEfKey,0)),0)</f>
        <v>1.1717345952</v>
      </c>
      <c r="AI1599" s="197">
        <f>IFERROR(INDEX(NCEfIn,MATCH($AB1599&amp;"."&amp;$AC1599&amp;".nox",NCEfKey,0)),0)</f>
        <v>33.49440000000001</v>
      </c>
      <c r="AJ1599" s="197">
        <f>IFERROR(INDEX(NCEfFin,MATCH($AB1599&amp;"."&amp;$AC1599&amp;".nox",NCEfKey,0)),0)</f>
        <v>33.49440000000001</v>
      </c>
      <c r="AK1599" s="197">
        <f>IFERROR(INDEX(NCEfIn,MATCH($AB1599&amp;"."&amp;$AC1599&amp;".so2",NCEfKey,0)),0)</f>
        <v>0.9101726388000001</v>
      </c>
      <c r="AL1599" s="197">
        <f>IFERROR(INDEX(NCEfFin,MATCH($AB1599&amp;"."&amp;$AC1599&amp;".so2",NCEfKey,0)),0)</f>
        <v>0.9101726388000001</v>
      </c>
      <c r="AM1599" s="197">
        <f>IFERROR(INDEX(NCEfIn,MATCH($AB1599&amp;"."&amp;$AC1599&amp;".voc",NCEfKey,0)),0)</f>
        <v>33.49440000000001</v>
      </c>
      <c r="AN1599" s="197">
        <f>IFERROR(INDEX(NCEfFin,MATCH($AB1599&amp;"."&amp;$AC1599&amp;".voc",NCEfKey,0)),0)</f>
        <v>33.49440000000001</v>
      </c>
      <c r="AO1599" s="197">
        <f>IFERROR(INDEX(NCEfIn,MATCH($AB1599&amp;"."&amp;$AC1599&amp;".bc",NCEfKey,0)),0)</f>
        <v>0.21227076</v>
      </c>
      <c r="AP1599" s="197">
        <f>IFERROR(INDEX(NCEfFin,MATCH($AB1599&amp;"."&amp;$AC1599&amp;".bc",NCEfKey,0)),0)</f>
        <v>0.21227076</v>
      </c>
      <c r="AQ1599" s="197">
        <f>IFERROR(INDEX(NCEfIn,MATCH($AB1599&amp;"."&amp;$AC1599&amp;".oc",NCEfKey,0)),0)</f>
        <v>0.7075692</v>
      </c>
      <c r="AR1599" s="197">
        <f>IFERROR(INDEX(NCEfFin,MATCH($AB1599&amp;"."&amp;$AC1599&amp;".oc",NCEfKey,0)),0)</f>
        <v>0.7075692</v>
      </c>
      <c r="AS1599" s="197">
        <f>IFERROR(INDEX(NCEfIn,MATCH($AB1599&amp;"."&amp;$AC1599&amp;".co",NCEfKey,0)),0)</f>
        <v>1130.436</v>
      </c>
      <c r="AT1599" s="197">
        <f>IFERROR(INDEX(NCEfFin,MATCH($AB1599&amp;"."&amp;$AC1599&amp;".co",NCEfKey,0)),0)</f>
        <v>1130.436</v>
      </c>
      <c r="AU1599" s="3" t="str">
        <f>INDEX('Constants and Mappings'!$J$186:$J$201,MATCH($C1599,SubKey,0))</f>
        <v>construc</v>
      </c>
      <c r="AV1599" s="3">
        <f>INDEX('Constants and Mappings'!$K$186:$K$201,MATCH($C1599,SubKey,0))</f>
        <v>1.0</v>
      </c>
      <c r="AW1599" s="3" t="str">
        <f>INDEX('Constants and Mappings'!$L$186:$L$201,MATCH($C1599,SubKey,0))&amp;""</f>
        <v/>
      </c>
      <c r="AX1599" s="3">
        <f>INDEX('Constants and Mappings'!$M$186:$M$201,MATCH($C1599,SubKey,0))</f>
        <v>0.0</v>
      </c>
      <c r="AY1599" s="3" t="n">
        <v>0</v>
      </c>
      <c r="AZ1599" s="3" t="n">
        <v>0</v>
      </c>
      <c r="BA1599" s="3" t="n">
        <v>0</v>
      </c>
      <c r="BB1599" s="3" t="n">
        <v>0</v>
      </c>
      <c r="BC1599" s="3" t="n">
        <v>0</v>
      </c>
      <c r="BD1599" s="3">
        <f>IFERROR($BB1599/$BC1599,0)</f>
        <v>0.0</v>
      </c>
      <c r="BE1599" s="133" t="n">
        <v>1</v>
      </c>
      <c r="BF1599" s="39" t="n">
        <v>1</v>
      </c>
    </row>
    <row r="1600">
      <c r="A1600" s="3" t="str">
        <f>$B1600&amp;"|"&amp;$C1600</f>
        <v>die|cst</v>
      </c>
      <c r="B1600" s="8" t="inlineStr">
        <is>
          <t>die</t>
        </is>
      </c>
      <c r="C1600" s="8" t="inlineStr">
        <is>
          <t>cst</t>
        </is>
      </c>
      <c r="D1600" s="3" t="str">
        <f>INDEX('Constants and Mappings'!$D$186:$D$201,MATCH($C1600,SubKey,0))</f>
        <v>ind</v>
      </c>
      <c r="E1600" s="3" t="str">
        <f>INDEX('Constants and Mappings'!$C$229:$C$237,MATCH($B1600,FuelKey,0))</f>
        <v>die</v>
      </c>
      <c r="F1600" s="3" t="str">
        <f>INDEX('Constants and Mappings'!$D$229:$D$237,MATCH($B1600,FuelKey,0))</f>
        <v>oil</v>
      </c>
      <c r="G1600" s="3" t="str">
        <f>INDEX('Constants and Mappings'!$E$229:$E$237,MATCH($B1600,FuelKey,0))</f>
        <v>all</v>
      </c>
      <c r="H1600" s="3" t="str">
        <f>INDEX('Constants and Mappings'!$F$186:$F$201,MATCH($C1600,SubKey,0))</f>
        <v>ind</v>
      </c>
      <c r="I1600" s="3" t="str">
        <f>INDEX('Constants and Mappings'!$I$229:$I$237,MATCH($B1600,FuelKey,0))&amp;"."&amp;IF($G1600="sub",$H1600,"all")</f>
        <v>die.all</v>
      </c>
      <c r="J1600" s="3" t="str">
        <f>INDEX('Constants and Mappings'!$E$186:$E$201,MATCH($C1600,SubKey,0))</f>
        <v>ind</v>
      </c>
      <c r="K1600" s="3">
        <f>INDEX('Constants and Mappings'!$G$229:$G$237,MATCH($B1600,FuelKey,0))</f>
        <v>0.03729519000000001</v>
      </c>
      <c r="L1600" s="3">
        <f>INDEX('Constants and Mappings'!$H$229:$H$237,MATCH($B1600,FuelKey,0))</f>
        <v>4.0</v>
      </c>
      <c r="M1600" s="3">
        <f>INDEX('Constants and Mappings'!$H$186:$H$201,MATCH($C1600,SubKey,0))</f>
        <v>15.0</v>
      </c>
      <c r="N1600" s="3">
        <f>INDEX('Constants and Mappings'!$E$300:$E$313,MATCH($I1600,'Constants and Mappings'!$A$300:$A$313,0))</f>
        <v>10.0</v>
      </c>
      <c r="O1600" s="48">
        <f>INDEX(ElaSel,MATCH("inc|"&amp;$E1600&amp;"|"&amp;$D1600,ElaSelKey,0))</f>
        <v>0.5</v>
      </c>
      <c r="P1600" s="48">
        <f>INDEX(ElaSel,MATCH("usg|"&amp;$E1600&amp;"|"&amp;$D1600,ElaSelKey,0))</f>
        <v>-0.7</v>
      </c>
      <c r="Q1600" s="48">
        <f>INDEX(ElaSel,MATCH("eff|"&amp;$E1600&amp;"|"&amp;$D1600,ElaSelKey,0))</f>
        <v>-1.2</v>
      </c>
      <c r="R1600" s="225">
        <f>INDEX(ElaSel,MATCH("aei|"&amp;$F1600&amp;"|"&amp;$D1600,ElaSelKey,0))</f>
        <v>0.005</v>
      </c>
      <c r="S1600" s="133" t="n">
        <v>3</v>
      </c>
      <c r="T1600" s="48">
        <f>$Q1600*(1+$P1600)</f>
        <v>-0.36000000000000004</v>
      </c>
      <c r="U1600" s="3">
        <f>INDEX('Constants and Mappings'!$E$1633:$E$1644,MATCH($I1600,'Constants and Mappings'!$A$1633:$A$1644,0))</f>
        <v>196.0</v>
      </c>
      <c r="V1600" s="225">
        <f>INDEX('Constants and Mappings'!$V$1633:$V$1644,MATCH($I1600,'Constants and Mappings'!$A$1633:$A$1644,0))</f>
        <v>0.0</v>
      </c>
      <c r="W1600" s="197">
        <f>INDEX(EFSel,MATCH($B1600&amp;"|"&amp;$J1600,EFSelKey,0))*EFCalib</f>
        <v>0.0715246024071432</v>
      </c>
      <c r="X1600" s="195">
        <f>IF(LEFT(BalOpt,3)="Bal",$AY1600*$AV1600+$AZ1600*$AX1600,$BA1600)</f>
        <v>0.0</v>
      </c>
      <c r="Y1600" s="3" t="str">
        <f>IF($G1600="sub",$H1600,IF($B1600="oop","ind","trs"))</f>
        <v>trs</v>
      </c>
      <c r="Z1600" s="39">
        <f>IFERROR(MATCH($Y1600&amp;"|"&amp;$B1600,XKey,0),1)</f>
        <v>14.0</v>
      </c>
      <c r="AA1600" s="48">
        <f>INDEX(XCTVal,$Z1600,ECPEmb)+INDEX(XETSVal,$Z1600,ECPEmb)</f>
        <v>0.0</v>
      </c>
      <c r="AB1600" s="8" t="inlineStr">
        <is>
          <t>cst</t>
        </is>
      </c>
      <c r="AC1600" s="8" t="inlineStr">
        <is>
          <t>die</t>
        </is>
      </c>
      <c r="AD1600" s="197">
        <f>IFERROR(INDEX(NCEfIn,MATCH($AB1600&amp;"."&amp;$AC1600&amp;".ch4",NCEfKey,0)),0)</f>
        <v>0.1737522</v>
      </c>
      <c r="AE1600" s="197">
        <f>IFERROR(INDEX(NCEfFin,MATCH($AB1600&amp;"."&amp;$AC1600&amp;".ch4",NCEfKey,0)),0)</f>
        <v>0.1737522</v>
      </c>
      <c r="AF1600" s="3" t="n">
        <v>0</v>
      </c>
      <c r="AG1600" s="197">
        <f>IFERROR(INDEX(NCEfIn,MATCH($AB1600&amp;"."&amp;$AC1600&amp;".pm2",NCEfKey,0)),0)</f>
        <v>5.13971568</v>
      </c>
      <c r="AH1600" s="197">
        <f>IFERROR(INDEX(NCEfFin,MATCH($AB1600&amp;"."&amp;$AC1600&amp;".pm2",NCEfKey,0)),0)</f>
        <v>5.13971568</v>
      </c>
      <c r="AI1600" s="197">
        <f>IFERROR(INDEX(NCEfIn,MATCH($AB1600&amp;"."&amp;$AC1600&amp;".nox",NCEfKey,0)),0)</f>
        <v>46.05480000000001</v>
      </c>
      <c r="AJ1600" s="197">
        <f>IFERROR(INDEX(NCEfFin,MATCH($AB1600&amp;"."&amp;$AC1600&amp;".nox",NCEfKey,0)),0)</f>
        <v>46.05480000000001</v>
      </c>
      <c r="AK1600" s="197">
        <f>IFERROR(INDEX(NCEfIn,MATCH($AB1600&amp;"."&amp;$AC1600&amp;".so2",NCEfKey,0)),0)</f>
        <v>0.8866177020000001</v>
      </c>
      <c r="AL1600" s="197">
        <f>IFERROR(INDEX(NCEfFin,MATCH($AB1600&amp;"."&amp;$AC1600&amp;".so2",NCEfKey,0)),0)</f>
        <v>0.8866177020000001</v>
      </c>
      <c r="AM1600" s="197">
        <f>IFERROR(INDEX(NCEfIn,MATCH($AB1600&amp;"."&amp;$AC1600&amp;".voc",NCEfKey,0)),0)</f>
        <v>7.95492</v>
      </c>
      <c r="AN1600" s="197">
        <f>IFERROR(INDEX(NCEfFin,MATCH($AB1600&amp;"."&amp;$AC1600&amp;".voc",NCEfKey,0)),0)</f>
        <v>7.95492</v>
      </c>
      <c r="AO1600" s="197">
        <f>IFERROR(INDEX(NCEfIn,MATCH($AB1600&amp;"."&amp;$AC1600&amp;".bc",NCEfKey,0)),0)</f>
        <v>2.512749888</v>
      </c>
      <c r="AP1600" s="197">
        <f>IFERROR(INDEX(NCEfFin,MATCH($AB1600&amp;"."&amp;$AC1600&amp;".bc",NCEfKey,0)),0)</f>
        <v>2.512749888</v>
      </c>
      <c r="AQ1600" s="197">
        <f>IFERROR(INDEX(NCEfIn,MATCH($AB1600&amp;"."&amp;$AC1600&amp;".oc",NCEfKey,0)),0)</f>
        <v>1.14215904</v>
      </c>
      <c r="AR1600" s="197">
        <f>IFERROR(INDEX(NCEfFin,MATCH($AB1600&amp;"."&amp;$AC1600&amp;".oc",NCEfKey,0)),0)</f>
        <v>1.14215904</v>
      </c>
      <c r="AS1600" s="197">
        <f>IFERROR(INDEX(NCEfIn,MATCH($AB1600&amp;"."&amp;$AC1600&amp;".co",NCEfKey,0)),0)</f>
        <v>15.49116</v>
      </c>
      <c r="AT1600" s="197">
        <f>IFERROR(INDEX(NCEfFin,MATCH($AB1600&amp;"."&amp;$AC1600&amp;".co",NCEfKey,0)),0)</f>
        <v>15.49116</v>
      </c>
      <c r="AU1600" s="3" t="str">
        <f>INDEX('Constants and Mappings'!$J$186:$J$201,MATCH($C1600,SubKey,0))</f>
        <v>construc</v>
      </c>
      <c r="AV1600" s="3">
        <f>INDEX('Constants and Mappings'!$K$186:$K$201,MATCH($C1600,SubKey,0))</f>
        <v>1.0</v>
      </c>
      <c r="AW1600" s="3" t="str">
        <f>INDEX('Constants and Mappings'!$L$186:$L$201,MATCH($C1600,SubKey,0))&amp;""</f>
        <v/>
      </c>
      <c r="AX1600" s="3">
        <f>INDEX('Constants and Mappings'!$M$186:$M$201,MATCH($C1600,SubKey,0))</f>
        <v>0.0</v>
      </c>
      <c r="AY1600" s="3" t="n">
        <v>0</v>
      </c>
      <c r="AZ1600" s="3" t="n">
        <v>0</v>
      </c>
      <c r="BA1600" s="3" t="n">
        <v>0</v>
      </c>
      <c r="BB1600" s="3" t="n">
        <v>0</v>
      </c>
      <c r="BC1600" s="3" t="n">
        <v>0</v>
      </c>
      <c r="BD1600" s="3">
        <f>IFERROR($BB1600/$BC1600,0)</f>
        <v>0.0</v>
      </c>
      <c r="BE1600" s="133" t="n">
        <v>1</v>
      </c>
      <c r="BF1600" s="39" t="n">
        <v>1</v>
      </c>
    </row>
    <row r="1601">
      <c r="A1601" s="3" t="str">
        <f>$B1601&amp;"|"&amp;$C1601</f>
        <v>lpg|cst</v>
      </c>
      <c r="B1601" s="8" t="inlineStr">
        <is>
          <t>lpg</t>
        </is>
      </c>
      <c r="C1601" s="8" t="inlineStr">
        <is>
          <t>cst</t>
        </is>
      </c>
      <c r="D1601" s="3" t="str">
        <f>INDEX('Constants and Mappings'!$D$186:$D$201,MATCH($C1601,SubKey,0))</f>
        <v>ind</v>
      </c>
      <c r="E1601" s="3" t="str">
        <f>INDEX('Constants and Mappings'!$C$229:$C$237,MATCH($B1601,FuelKey,0))</f>
        <v>oil</v>
      </c>
      <c r="F1601" s="3" t="str">
        <f>INDEX('Constants and Mappings'!$D$229:$D$237,MATCH($B1601,FuelKey,0))</f>
        <v>oil</v>
      </c>
      <c r="G1601" s="3" t="str">
        <f>INDEX('Constants and Mappings'!$E$229:$E$237,MATCH($B1601,FuelKey,0))</f>
        <v>all</v>
      </c>
      <c r="H1601" s="3" t="str">
        <f>INDEX('Constants and Mappings'!$F$186:$F$201,MATCH($C1601,SubKey,0))</f>
        <v>ind</v>
      </c>
      <c r="I1601" s="3" t="str">
        <f>INDEX('Constants and Mappings'!$I$229:$I$237,MATCH($B1601,FuelKey,0))&amp;"."&amp;IF($G1601="sub",$H1601,"all")</f>
        <v>lpg.all</v>
      </c>
      <c r="J1601" s="3" t="str">
        <f>INDEX('Constants and Mappings'!$E$186:$E$201,MATCH($C1601,SubKey,0))</f>
        <v>ind</v>
      </c>
      <c r="K1601" s="3">
        <f>INDEX('Constants and Mappings'!$G$229:$G$237,MATCH($B1601,FuelKey,0))</f>
        <v>0.02577968854495125</v>
      </c>
      <c r="L1601" s="3">
        <f>INDEX('Constants and Mappings'!$H$229:$H$237,MATCH($B1601,FuelKey,0))</f>
        <v>5.0</v>
      </c>
      <c r="M1601" s="3">
        <f>INDEX('Constants and Mappings'!$H$186:$H$201,MATCH($C1601,SubKey,0))</f>
        <v>15.0</v>
      </c>
      <c r="N1601" s="3">
        <f>INDEX('Constants and Mappings'!$E$300:$E$313,MATCH($I1601,'Constants and Mappings'!$A$300:$A$313,0))</f>
        <v>11.0</v>
      </c>
      <c r="O1601" s="48">
        <f>INDEX(ElaSel,MATCH("inc|"&amp;$E1601&amp;"|"&amp;$D1601,ElaSelKey,0))</f>
        <v>0.8</v>
      </c>
      <c r="P1601" s="48">
        <f>INDEX(ElaSel,MATCH("usg|"&amp;$E1601&amp;"|"&amp;$D1601,ElaSelKey,0))</f>
        <v>-0.4</v>
      </c>
      <c r="Q1601" s="48">
        <f>INDEX(ElaSel,MATCH("eff|"&amp;$E1601&amp;"|"&amp;$D1601,ElaSelKey,0))</f>
        <v>-0.4</v>
      </c>
      <c r="R1601" s="225">
        <f>INDEX(ElaSel,MATCH("aei|"&amp;$F1601&amp;"|"&amp;$D1601,ElaSelKey,0))</f>
        <v>0.005</v>
      </c>
      <c r="S1601" s="133" t="n">
        <v>3</v>
      </c>
      <c r="T1601" s="48">
        <f>$Q1601*(1+$P1601)</f>
        <v>-0.24</v>
      </c>
      <c r="U1601" s="3">
        <f>INDEX('Constants and Mappings'!$E$1633:$E$1644,MATCH($I1601,'Constants and Mappings'!$A$1633:$A$1644,0))</f>
        <v>225.0</v>
      </c>
      <c r="V1601" s="225">
        <f>INDEX('Constants and Mappings'!$V$1633:$V$1644,MATCH($I1601,'Constants and Mappings'!$A$1633:$A$1644,0))</f>
        <v>0.0</v>
      </c>
      <c r="W1601" s="197">
        <f>INDEX(EFSel,MATCH($B1601&amp;"|"&amp;$J1601,EFSelKey,0))*EFCalib</f>
        <v>0.06829407370213687</v>
      </c>
      <c r="X1601" s="195">
        <f>IF(LEFT(BalOpt,3)="Bal",$AY1601*$AV1601+$AZ1601*$AX1601,$BA1601)</f>
        <v>0.0</v>
      </c>
      <c r="Y1601" s="3" t="str">
        <f>IF($G1601="sub",$H1601,IF($B1601="oop","ind","trs"))</f>
        <v>trs</v>
      </c>
      <c r="Z1601" s="39">
        <f>IFERROR(MATCH($Y1601&amp;"|"&amp;$B1601,XKey,0),1)</f>
        <v>15.0</v>
      </c>
      <c r="AA1601" s="48">
        <f>INDEX(XCTVal,$Z1601,ECPEmb)+INDEX(XETSVal,$Z1601,ECPEmb)</f>
        <v>0.0</v>
      </c>
      <c r="AB1601" s="8" t="inlineStr">
        <is>
          <t>cst</t>
        </is>
      </c>
      <c r="AC1601" s="8" t="inlineStr">
        <is>
          <t>lpg</t>
        </is>
      </c>
      <c r="AD1601" s="197">
        <f>IFERROR(INDEX(NCEfIn,MATCH($AB1601&amp;"."&amp;$AC1601&amp;".ch4",NCEfKey,0)),0)</f>
        <v>3.34944</v>
      </c>
      <c r="AE1601" s="197">
        <f>IFERROR(INDEX(NCEfFin,MATCH($AB1601&amp;"."&amp;$AC1601&amp;".ch4",NCEfKey,0)),0)</f>
        <v>3.34944</v>
      </c>
      <c r="AF1601" s="3" t="n">
        <v>0</v>
      </c>
      <c r="AG1601" s="197">
        <f>IFERROR(INDEX(NCEfIn,MATCH($AB1601&amp;"."&amp;$AC1601&amp;".pm2",NCEfKey,0)),0)</f>
        <v>1.1717345952</v>
      </c>
      <c r="AH1601" s="197">
        <f>IFERROR(INDEX(NCEfFin,MATCH($AB1601&amp;"."&amp;$AC1601&amp;".pm2",NCEfKey,0)),0)</f>
        <v>1.1717345952</v>
      </c>
      <c r="AI1601" s="197">
        <f>IFERROR(INDEX(NCEfIn,MATCH($AB1601&amp;"."&amp;$AC1601&amp;".nox",NCEfKey,0)),0)</f>
        <v>33.49440000000001</v>
      </c>
      <c r="AJ1601" s="197">
        <f>IFERROR(INDEX(NCEfFin,MATCH($AB1601&amp;"."&amp;$AC1601&amp;".nox",NCEfKey,0)),0)</f>
        <v>33.49440000000001</v>
      </c>
      <c r="AK1601" s="197">
        <f>IFERROR(INDEX(NCEfIn,MATCH($AB1601&amp;"."&amp;$AC1601&amp;".so2",NCEfKey,0)),0)</f>
        <v>0.0</v>
      </c>
      <c r="AL1601" s="197">
        <f>IFERROR(INDEX(NCEfFin,MATCH($AB1601&amp;"."&amp;$AC1601&amp;".so2",NCEfKey,0)),0)</f>
        <v>0.0</v>
      </c>
      <c r="AM1601" s="197">
        <f>IFERROR(INDEX(NCEfIn,MATCH($AB1601&amp;"."&amp;$AC1601&amp;".voc",NCEfKey,0)),0)</f>
        <v>28.47024</v>
      </c>
      <c r="AN1601" s="197">
        <f>IFERROR(INDEX(NCEfFin,MATCH($AB1601&amp;"."&amp;$AC1601&amp;".voc",NCEfKey,0)),0)</f>
        <v>28.47024</v>
      </c>
      <c r="AO1601" s="197">
        <f>IFERROR(INDEX(NCEfIn,MATCH($AB1601&amp;"."&amp;$AC1601&amp;".bc",NCEfKey,0)),0)</f>
        <v>0.21227076</v>
      </c>
      <c r="AP1601" s="197">
        <f>IFERROR(INDEX(NCEfFin,MATCH($AB1601&amp;"."&amp;$AC1601&amp;".bc",NCEfKey,0)),0)</f>
        <v>0.21227076</v>
      </c>
      <c r="AQ1601" s="197">
        <f>IFERROR(INDEX(NCEfIn,MATCH($AB1601&amp;"."&amp;$AC1601&amp;".oc",NCEfKey,0)),0)</f>
        <v>0.7075692</v>
      </c>
      <c r="AR1601" s="197">
        <f>IFERROR(INDEX(NCEfFin,MATCH($AB1601&amp;"."&amp;$AC1601&amp;".oc",NCEfKey,0)),0)</f>
        <v>0.7075692</v>
      </c>
      <c r="AS1601" s="197">
        <f>IFERROR(INDEX(NCEfIn,MATCH($AB1601&amp;"."&amp;$AC1601&amp;".co",NCEfKey,0)),0)</f>
        <v>1130.436</v>
      </c>
      <c r="AT1601" s="197">
        <f>IFERROR(INDEX(NCEfFin,MATCH($AB1601&amp;"."&amp;$AC1601&amp;".co",NCEfKey,0)),0)</f>
        <v>1130.436</v>
      </c>
      <c r="AU1601" s="3" t="str">
        <f>INDEX('Constants and Mappings'!$J$186:$J$201,MATCH($C1601,SubKey,0))</f>
        <v>construc</v>
      </c>
      <c r="AV1601" s="3">
        <f>INDEX('Constants and Mappings'!$K$186:$K$201,MATCH($C1601,SubKey,0))</f>
        <v>1.0</v>
      </c>
      <c r="AW1601" s="3" t="str">
        <f>INDEX('Constants and Mappings'!$L$186:$L$201,MATCH($C1601,SubKey,0))&amp;""</f>
        <v/>
      </c>
      <c r="AX1601" s="3">
        <f>INDEX('Constants and Mappings'!$M$186:$M$201,MATCH($C1601,SubKey,0))</f>
        <v>0.0</v>
      </c>
      <c r="AY1601" s="3" t="n">
        <v>0</v>
      </c>
      <c r="AZ1601" s="3" t="n">
        <v>0</v>
      </c>
      <c r="BA1601" s="3" t="n">
        <v>0</v>
      </c>
      <c r="BB1601" s="3" t="n">
        <v>0</v>
      </c>
      <c r="BC1601" s="3" t="n">
        <v>0</v>
      </c>
      <c r="BD1601" s="3">
        <f>IFERROR($BB1601/$BC1601,0)</f>
        <v>0.0</v>
      </c>
      <c r="BE1601" s="133" t="n">
        <v>1</v>
      </c>
      <c r="BF1601" s="39" t="n">
        <v>1</v>
      </c>
    </row>
    <row r="1602">
      <c r="A1602" s="3" t="str">
        <f>$B1602&amp;"|"&amp;$C1602</f>
        <v>ker|cst</v>
      </c>
      <c r="B1602" s="8" t="inlineStr">
        <is>
          <t>ker</t>
        </is>
      </c>
      <c r="C1602" s="8" t="inlineStr">
        <is>
          <t>cst</t>
        </is>
      </c>
      <c r="D1602" s="3" t="str">
        <f>INDEX('Constants and Mappings'!$D$186:$D$201,MATCH($C1602,SubKey,0))</f>
        <v>ind</v>
      </c>
      <c r="E1602" s="3" t="str">
        <f>INDEX('Constants and Mappings'!$C$229:$C$237,MATCH($B1602,FuelKey,0))</f>
        <v>oil</v>
      </c>
      <c r="F1602" s="3" t="str">
        <f>INDEX('Constants and Mappings'!$D$229:$D$237,MATCH($B1602,FuelKey,0))</f>
        <v>oil</v>
      </c>
      <c r="G1602" s="3" t="str">
        <f>INDEX('Constants and Mappings'!$E$229:$E$237,MATCH($B1602,FuelKey,0))</f>
        <v>all</v>
      </c>
      <c r="H1602" s="3" t="str">
        <f>INDEX('Constants and Mappings'!$F$186:$F$201,MATCH($C1602,SubKey,0))</f>
        <v>ind</v>
      </c>
      <c r="I1602" s="3" t="str">
        <f>INDEX('Constants and Mappings'!$I$229:$I$237,MATCH($B1602,FuelKey,0))&amp;"."&amp;IF($G1602="sub",$H1602,"all")</f>
        <v>ker.all</v>
      </c>
      <c r="J1602" s="3" t="str">
        <f>INDEX('Constants and Mappings'!$E$186:$E$201,MATCH($C1602,SubKey,0))</f>
        <v>ind</v>
      </c>
      <c r="K1602" s="3">
        <f>INDEX('Constants and Mappings'!$G$229:$G$237,MATCH($B1602,FuelKey,0))</f>
        <v>0.03774882965510715</v>
      </c>
      <c r="L1602" s="3">
        <f>INDEX('Constants and Mappings'!$H$229:$H$237,MATCH($B1602,FuelKey,0))</f>
        <v>6.0</v>
      </c>
      <c r="M1602" s="3">
        <f>INDEX('Constants and Mappings'!$H$186:$H$201,MATCH($C1602,SubKey,0))</f>
        <v>15.0</v>
      </c>
      <c r="N1602" s="3">
        <f>INDEX('Constants and Mappings'!$E$300:$E$313,MATCH($I1602,'Constants and Mappings'!$A$300:$A$313,0))</f>
        <v>12.0</v>
      </c>
      <c r="O1602" s="48">
        <f>INDEX(ElaSel,MATCH("inc|"&amp;$E1602&amp;"|"&amp;$D1602,ElaSelKey,0))</f>
        <v>0.8</v>
      </c>
      <c r="P1602" s="48">
        <f>INDEX(ElaSel,MATCH("usg|"&amp;$E1602&amp;"|"&amp;$D1602,ElaSelKey,0))</f>
        <v>-0.4</v>
      </c>
      <c r="Q1602" s="48">
        <f>INDEX(ElaSel,MATCH("eff|"&amp;$E1602&amp;"|"&amp;$D1602,ElaSelKey,0))</f>
        <v>-0.4</v>
      </c>
      <c r="R1602" s="225">
        <f>INDEX(ElaSel,MATCH("aei|"&amp;$F1602&amp;"|"&amp;$D1602,ElaSelKey,0))</f>
        <v>0.005</v>
      </c>
      <c r="S1602" s="133" t="n">
        <v>3</v>
      </c>
      <c r="T1602" s="48">
        <f>$Q1602*(1+$P1602)</f>
        <v>-0.24</v>
      </c>
      <c r="U1602" s="3">
        <f>INDEX('Constants and Mappings'!$E$1633:$E$1644,MATCH($I1602,'Constants and Mappings'!$A$1633:$A$1644,0))</f>
        <v>254.0</v>
      </c>
      <c r="V1602" s="225">
        <f>INDEX('Constants and Mappings'!$V$1633:$V$1644,MATCH($I1602,'Constants and Mappings'!$A$1633:$A$1644,0))</f>
        <v>0.0</v>
      </c>
      <c r="W1602" s="197">
        <f>INDEX(EFSel,MATCH($B1602&amp;"|"&amp;$J1602,EFSelKey,0))*EFCalib</f>
        <v>0.06749067257272545</v>
      </c>
      <c r="X1602" s="195">
        <f>IF(LEFT(BalOpt,3)="Bal",$AY1602*$AV1602+$AZ1602*$AX1602,$BA1602)</f>
        <v>0.0</v>
      </c>
      <c r="Y1602" s="3" t="str">
        <f>IF($G1602="sub",$H1602,IF($B1602="oop","ind","trs"))</f>
        <v>trs</v>
      </c>
      <c r="Z1602" s="39">
        <f>IFERROR(MATCH($Y1602&amp;"|"&amp;$B1602,XKey,0),1)</f>
        <v>16.0</v>
      </c>
      <c r="AA1602" s="48">
        <f>INDEX(XCTVal,$Z1602,ECPEmb)+INDEX(XETSVal,$Z1602,ECPEmb)</f>
        <v>0.0</v>
      </c>
      <c r="AB1602" s="8" t="inlineStr">
        <is>
          <t>cst</t>
        </is>
      </c>
      <c r="AC1602" s="8" t="inlineStr">
        <is>
          <t>ker</t>
        </is>
      </c>
      <c r="AD1602" s="197">
        <f>IFERROR(INDEX(NCEfIn,MATCH($AB1602&amp;"."&amp;$AC1602&amp;".ch4",NCEfKey,0)),0)</f>
        <v>4.186800000000001</v>
      </c>
      <c r="AE1602" s="197">
        <f>IFERROR(INDEX(NCEfFin,MATCH($AB1602&amp;"."&amp;$AC1602&amp;".ch4",NCEfKey,0)),0)</f>
        <v>4.186800000000001</v>
      </c>
      <c r="AF1602" s="3" t="n">
        <v>0</v>
      </c>
      <c r="AG1602" s="197">
        <f>IFERROR(INDEX(NCEfIn,MATCH($AB1602&amp;"."&amp;$AC1602&amp;".pm2",NCEfKey,0)),0)</f>
        <v>1.1717345952</v>
      </c>
      <c r="AH1602" s="197">
        <f>IFERROR(INDEX(NCEfFin,MATCH($AB1602&amp;"."&amp;$AC1602&amp;".pm2",NCEfKey,0)),0)</f>
        <v>1.1717345952</v>
      </c>
      <c r="AI1602" s="197">
        <f>IFERROR(INDEX(NCEfIn,MATCH($AB1602&amp;"."&amp;$AC1602&amp;".nox",NCEfKey,0)),0)</f>
        <v>33.49440000000001</v>
      </c>
      <c r="AJ1602" s="197">
        <f>IFERROR(INDEX(NCEfFin,MATCH($AB1602&amp;"."&amp;$AC1602&amp;".nox",NCEfKey,0)),0)</f>
        <v>33.49440000000001</v>
      </c>
      <c r="AK1602" s="197">
        <f>IFERROR(INDEX(NCEfIn,MATCH($AB1602&amp;"."&amp;$AC1602&amp;".so2",NCEfKey,0)),0)</f>
        <v>0.9101726388000001</v>
      </c>
      <c r="AL1602" s="197">
        <f>IFERROR(INDEX(NCEfFin,MATCH($AB1602&amp;"."&amp;$AC1602&amp;".so2",NCEfKey,0)),0)</f>
        <v>0.9101726388000001</v>
      </c>
      <c r="AM1602" s="197">
        <f>IFERROR(INDEX(NCEfIn,MATCH($AB1602&amp;"."&amp;$AC1602&amp;".voc",NCEfKey,0)),0)</f>
        <v>33.49440000000001</v>
      </c>
      <c r="AN1602" s="197">
        <f>IFERROR(INDEX(NCEfFin,MATCH($AB1602&amp;"."&amp;$AC1602&amp;".voc",NCEfKey,0)),0)</f>
        <v>33.49440000000001</v>
      </c>
      <c r="AO1602" s="197">
        <f>IFERROR(INDEX(NCEfIn,MATCH($AB1602&amp;"."&amp;$AC1602&amp;".bc",NCEfKey,0)),0)</f>
        <v>0.21227076</v>
      </c>
      <c r="AP1602" s="197">
        <f>IFERROR(INDEX(NCEfFin,MATCH($AB1602&amp;"."&amp;$AC1602&amp;".bc",NCEfKey,0)),0)</f>
        <v>0.21227076</v>
      </c>
      <c r="AQ1602" s="197">
        <f>IFERROR(INDEX(NCEfIn,MATCH($AB1602&amp;"."&amp;$AC1602&amp;".oc",NCEfKey,0)),0)</f>
        <v>0.7075692</v>
      </c>
      <c r="AR1602" s="197">
        <f>IFERROR(INDEX(NCEfFin,MATCH($AB1602&amp;"."&amp;$AC1602&amp;".oc",NCEfKey,0)),0)</f>
        <v>0.7075692</v>
      </c>
      <c r="AS1602" s="197">
        <f>IFERROR(INDEX(NCEfIn,MATCH($AB1602&amp;"."&amp;$AC1602&amp;".co",NCEfKey,0)),0)</f>
        <v>1130.436</v>
      </c>
      <c r="AT1602" s="197">
        <f>IFERROR(INDEX(NCEfFin,MATCH($AB1602&amp;"."&amp;$AC1602&amp;".co",NCEfKey,0)),0)</f>
        <v>1130.436</v>
      </c>
      <c r="AU1602" s="3" t="str">
        <f>INDEX('Constants and Mappings'!$J$186:$J$201,MATCH($C1602,SubKey,0))</f>
        <v>construc</v>
      </c>
      <c r="AV1602" s="3">
        <f>INDEX('Constants and Mappings'!$K$186:$K$201,MATCH($C1602,SubKey,0))</f>
        <v>1.0</v>
      </c>
      <c r="AW1602" s="3" t="str">
        <f>INDEX('Constants and Mappings'!$L$186:$L$201,MATCH($C1602,SubKey,0))&amp;""</f>
        <v/>
      </c>
      <c r="AX1602" s="3">
        <f>INDEX('Constants and Mappings'!$M$186:$M$201,MATCH($C1602,SubKey,0))</f>
        <v>0.0</v>
      </c>
      <c r="AY1602" s="3" t="n">
        <v>0</v>
      </c>
      <c r="AZ1602" s="3" t="n">
        <v>0</v>
      </c>
      <c r="BA1602" s="3" t="n">
        <v>0</v>
      </c>
      <c r="BB1602" s="3" t="n">
        <v>0</v>
      </c>
      <c r="BC1602" s="3" t="n">
        <v>0</v>
      </c>
      <c r="BD1602" s="3">
        <f>IFERROR($BB1602/$BC1602,0)</f>
        <v>0.0</v>
      </c>
      <c r="BE1602" s="133" t="n">
        <v>1</v>
      </c>
      <c r="BF1602" s="39" t="n">
        <v>1</v>
      </c>
    </row>
    <row r="1603">
      <c r="A1603" s="3" t="str">
        <f>$B1603&amp;"|"&amp;$C1603</f>
        <v>jfu|cst</v>
      </c>
      <c r="B1603" s="8" t="inlineStr">
        <is>
          <t>jfu</t>
        </is>
      </c>
      <c r="C1603" s="8" t="inlineStr">
        <is>
          <t>cst</t>
        </is>
      </c>
      <c r="D1603" s="3" t="str">
        <f>INDEX('Constants and Mappings'!$D$186:$D$201,MATCH($C1603,SubKey,0))</f>
        <v>ind</v>
      </c>
      <c r="E1603" s="3" t="str">
        <f>INDEX('Constants and Mappings'!$C$229:$C$237,MATCH($B1603,FuelKey,0))</f>
        <v>oil</v>
      </c>
      <c r="F1603" s="3" t="str">
        <f>INDEX('Constants and Mappings'!$D$229:$D$237,MATCH($B1603,FuelKey,0))</f>
        <v>oil</v>
      </c>
      <c r="G1603" s="3" t="str">
        <f>INDEX('Constants and Mappings'!$E$229:$E$237,MATCH($B1603,FuelKey,0))</f>
        <v>all</v>
      </c>
      <c r="H1603" s="3" t="str">
        <f>INDEX('Constants and Mappings'!$F$186:$F$201,MATCH($C1603,SubKey,0))</f>
        <v>ind</v>
      </c>
      <c r="I1603" s="3" t="str">
        <f>INDEX('Constants and Mappings'!$I$229:$I$237,MATCH($B1603,FuelKey,0))&amp;"."&amp;IF($G1603="sub",$H1603,"all")</f>
        <v>ker.all</v>
      </c>
      <c r="J1603" s="3" t="str">
        <f>INDEX('Constants and Mappings'!$E$186:$E$201,MATCH($C1603,SubKey,0))</f>
        <v>ind</v>
      </c>
      <c r="K1603" s="3">
        <f>INDEX('Constants and Mappings'!$G$229:$G$237,MATCH($B1603,FuelKey,0))</f>
        <v>0.0348608</v>
      </c>
      <c r="L1603" s="3">
        <f>INDEX('Constants and Mappings'!$H$229:$H$237,MATCH($B1603,FuelKey,0))</f>
        <v>7.0</v>
      </c>
      <c r="M1603" s="3">
        <f>INDEX('Constants and Mappings'!$H$186:$H$201,MATCH($C1603,SubKey,0))</f>
        <v>15.0</v>
      </c>
      <c r="N1603" s="3">
        <f>INDEX('Constants and Mappings'!$E$300:$E$313,MATCH($I1603,'Constants and Mappings'!$A$300:$A$313,0))</f>
        <v>12.0</v>
      </c>
      <c r="O1603" s="48">
        <f>INDEX(ElaSel,MATCH("inc|"&amp;$E1603&amp;"|"&amp;$D1603,ElaSelKey,0))</f>
        <v>0.8</v>
      </c>
      <c r="P1603" s="48">
        <f>INDEX(ElaSel,MATCH("usg|"&amp;$E1603&amp;"|"&amp;$D1603,ElaSelKey,0))</f>
        <v>-0.4</v>
      </c>
      <c r="Q1603" s="48">
        <f>INDEX(ElaSel,MATCH("eff|"&amp;$E1603&amp;"|"&amp;$D1603,ElaSelKey,0))</f>
        <v>-0.4</v>
      </c>
      <c r="R1603" s="225">
        <f>INDEX(ElaSel,MATCH("aei|"&amp;$F1603&amp;"|"&amp;$D1603,ElaSelKey,0))</f>
        <v>0.005</v>
      </c>
      <c r="S1603" s="133" t="n">
        <v>3</v>
      </c>
      <c r="T1603" s="48">
        <f>$Q1603*(1+$P1603)</f>
        <v>-0.24</v>
      </c>
      <c r="U1603" s="3">
        <f>INDEX('Constants and Mappings'!$E$1633:$E$1644,MATCH($I1603,'Constants and Mappings'!$A$1633:$A$1644,0))</f>
        <v>254.0</v>
      </c>
      <c r="V1603" s="225">
        <f>INDEX('Constants and Mappings'!$V$1633:$V$1644,MATCH($I1603,'Constants and Mappings'!$A$1633:$A$1644,0))</f>
        <v>0.0</v>
      </c>
      <c r="W1603" s="197">
        <f>INDEX(EFSel,MATCH($B1603&amp;"|"&amp;$J1603,EFSelKey,0))*EFCalib</f>
        <v>0.07118114095776658</v>
      </c>
      <c r="X1603" s="195">
        <f>IF(LEFT(BalOpt,3)="Bal",$AY1603*$AV1603+$AZ1603*$AX1603,$BA1603)</f>
        <v>0.0</v>
      </c>
      <c r="Y1603" s="3" t="str">
        <f>IF($G1603="sub",$H1603,IF($B1603="oop","ind","trs"))</f>
        <v>trs</v>
      </c>
      <c r="Z1603" s="39">
        <f>IFERROR(MATCH($Y1603&amp;"|"&amp;$B1603,XKey,0),1)</f>
        <v>17.0</v>
      </c>
      <c r="AA1603" s="48">
        <f>INDEX(XCTVal,$Z1603,ECPEmb)+INDEX(XETSVal,$Z1603,ECPEmb)</f>
        <v>0.0</v>
      </c>
      <c r="AB1603" s="8" t="inlineStr">
        <is>
          <t>cst</t>
        </is>
      </c>
      <c r="AC1603" s="8" t="inlineStr">
        <is>
          <t>jfu</t>
        </is>
      </c>
      <c r="AD1603" s="197">
        <f>IFERROR(INDEX(NCEfIn,MATCH($AB1603&amp;"."&amp;$AC1603&amp;".ch4",NCEfKey,0)),0)</f>
        <v>0.0</v>
      </c>
      <c r="AE1603" s="197">
        <f>IFERROR(INDEX(NCEfFin,MATCH($AB1603&amp;"."&amp;$AC1603&amp;".ch4",NCEfKey,0)),0)</f>
        <v>0.0</v>
      </c>
      <c r="AF1603" s="3" t="n">
        <v>0</v>
      </c>
      <c r="AG1603" s="197">
        <f>IFERROR(INDEX(NCEfIn,MATCH($AB1603&amp;"."&amp;$AC1603&amp;".pm2",NCEfKey,0)),0)</f>
        <v>0.0</v>
      </c>
      <c r="AH1603" s="197">
        <f>IFERROR(INDEX(NCEfFin,MATCH($AB1603&amp;"."&amp;$AC1603&amp;".pm2",NCEfKey,0)),0)</f>
        <v>0.0</v>
      </c>
      <c r="AI1603" s="197">
        <f>IFERROR(INDEX(NCEfIn,MATCH($AB1603&amp;"."&amp;$AC1603&amp;".nox",NCEfKey,0)),0)</f>
        <v>0.0</v>
      </c>
      <c r="AJ1603" s="197">
        <f>IFERROR(INDEX(NCEfFin,MATCH($AB1603&amp;"."&amp;$AC1603&amp;".nox",NCEfKey,0)),0)</f>
        <v>0.0</v>
      </c>
      <c r="AK1603" s="197">
        <f>IFERROR(INDEX(NCEfIn,MATCH($AB1603&amp;"."&amp;$AC1603&amp;".so2",NCEfKey,0)),0)</f>
        <v>0.0</v>
      </c>
      <c r="AL1603" s="197">
        <f>IFERROR(INDEX(NCEfFin,MATCH($AB1603&amp;"."&amp;$AC1603&amp;".so2",NCEfKey,0)),0)</f>
        <v>0.0</v>
      </c>
      <c r="AM1603" s="197">
        <f>IFERROR(INDEX(NCEfIn,MATCH($AB1603&amp;"."&amp;$AC1603&amp;".voc",NCEfKey,0)),0)</f>
        <v>0.0</v>
      </c>
      <c r="AN1603" s="197">
        <f>IFERROR(INDEX(NCEfFin,MATCH($AB1603&amp;"."&amp;$AC1603&amp;".voc",NCEfKey,0)),0)</f>
        <v>0.0</v>
      </c>
      <c r="AO1603" s="197">
        <f>IFERROR(INDEX(NCEfIn,MATCH($AB1603&amp;"."&amp;$AC1603&amp;".bc",NCEfKey,0)),0)</f>
        <v>0.0</v>
      </c>
      <c r="AP1603" s="197">
        <f>IFERROR(INDEX(NCEfFin,MATCH($AB1603&amp;"."&amp;$AC1603&amp;".bc",NCEfKey,0)),0)</f>
        <v>0.0</v>
      </c>
      <c r="AQ1603" s="197">
        <f>IFERROR(INDEX(NCEfIn,MATCH($AB1603&amp;"."&amp;$AC1603&amp;".oc",NCEfKey,0)),0)</f>
        <v>0.0</v>
      </c>
      <c r="AR1603" s="197">
        <f>IFERROR(INDEX(NCEfFin,MATCH($AB1603&amp;"."&amp;$AC1603&amp;".oc",NCEfKey,0)),0)</f>
        <v>0.0</v>
      </c>
      <c r="AS1603" s="197">
        <f>IFERROR(INDEX(NCEfIn,MATCH($AB1603&amp;"."&amp;$AC1603&amp;".co",NCEfKey,0)),0)</f>
        <v>0.0</v>
      </c>
      <c r="AT1603" s="197">
        <f>IFERROR(INDEX(NCEfFin,MATCH($AB1603&amp;"."&amp;$AC1603&amp;".co",NCEfKey,0)),0)</f>
        <v>0.0</v>
      </c>
      <c r="AU1603" s="3" t="str">
        <f>INDEX('Constants and Mappings'!$J$186:$J$201,MATCH($C1603,SubKey,0))</f>
        <v>construc</v>
      </c>
      <c r="AV1603" s="3">
        <f>INDEX('Constants and Mappings'!$K$186:$K$201,MATCH($C1603,SubKey,0))</f>
        <v>1.0</v>
      </c>
      <c r="AW1603" s="3" t="str">
        <f>INDEX('Constants and Mappings'!$L$186:$L$201,MATCH($C1603,SubKey,0))&amp;""</f>
        <v/>
      </c>
      <c r="AX1603" s="3">
        <f>INDEX('Constants and Mappings'!$M$186:$M$201,MATCH($C1603,SubKey,0))</f>
        <v>0.0</v>
      </c>
      <c r="AY1603" s="3" t="n">
        <v>0</v>
      </c>
      <c r="AZ1603" s="3" t="n">
        <v>0</v>
      </c>
      <c r="BA1603" s="3" t="n">
        <v>0</v>
      </c>
      <c r="BB1603" s="3" t="n">
        <v>0</v>
      </c>
      <c r="BC1603" s="3" t="n">
        <v>0</v>
      </c>
      <c r="BD1603" s="3">
        <f>IFERROR($BB1603/$BC1603,0)</f>
        <v>0.0</v>
      </c>
      <c r="BE1603" s="133" t="n">
        <v>1</v>
      </c>
      <c r="BF1603" s="39" t="n">
        <v>1</v>
      </c>
    </row>
    <row r="1604">
      <c r="A1604" s="3" t="str">
        <f>$B1604&amp;"|"&amp;$C1604</f>
        <v>oop|cst</v>
      </c>
      <c r="B1604" s="8" t="inlineStr">
        <is>
          <t>oop</t>
        </is>
      </c>
      <c r="C1604" s="8" t="inlineStr">
        <is>
          <t>cst</t>
        </is>
      </c>
      <c r="D1604" s="3" t="str">
        <f>INDEX('Constants and Mappings'!$D$186:$D$201,MATCH($C1604,SubKey,0))</f>
        <v>ind</v>
      </c>
      <c r="E1604" s="3" t="str">
        <f>INDEX('Constants and Mappings'!$C$229:$C$237,MATCH($B1604,FuelKey,0))</f>
        <v>oil</v>
      </c>
      <c r="F1604" s="3" t="str">
        <f>INDEX('Constants and Mappings'!$D$229:$D$237,MATCH($B1604,FuelKey,0))</f>
        <v>oil</v>
      </c>
      <c r="G1604" s="3" t="str">
        <f>INDEX('Constants and Mappings'!$E$229:$E$237,MATCH($B1604,FuelKey,0))</f>
        <v>all</v>
      </c>
      <c r="H1604" s="3" t="str">
        <f>INDEX('Constants and Mappings'!$F$186:$F$201,MATCH($C1604,SubKey,0))</f>
        <v>ind</v>
      </c>
      <c r="I1604" s="3" t="str">
        <f>INDEX('Constants and Mappings'!$I$229:$I$237,MATCH($B1604,FuelKey,0))&amp;"."&amp;IF($G1604="sub",$H1604,"all")</f>
        <v>oop.all</v>
      </c>
      <c r="J1604" s="3" t="str">
        <f>INDEX('Constants and Mappings'!$E$186:$E$201,MATCH($C1604,SubKey,0))</f>
        <v>ind</v>
      </c>
      <c r="K1604" s="3">
        <f>INDEX('Constants and Mappings'!$G$229:$G$237,MATCH($B1604,FuelKey,0))</f>
        <v>6.12</v>
      </c>
      <c r="L1604" s="3">
        <f>INDEX('Constants and Mappings'!$H$229:$H$237,MATCH($B1604,FuelKey,0))</f>
        <v>8.0</v>
      </c>
      <c r="M1604" s="3">
        <f>INDEX('Constants and Mappings'!$H$186:$H$201,MATCH($C1604,SubKey,0))</f>
        <v>15.0</v>
      </c>
      <c r="N1604" s="3">
        <f>INDEX('Constants and Mappings'!$E$300:$E$313,MATCH($I1604,'Constants and Mappings'!$A$300:$A$313,0))</f>
        <v>13.0</v>
      </c>
      <c r="O1604" s="48">
        <f>INDEX(ElaSel,MATCH("inc|"&amp;$E1604&amp;"|"&amp;$D1604,ElaSelKey,0))</f>
        <v>0.8</v>
      </c>
      <c r="P1604" s="48">
        <f>INDEX(ElaSel,MATCH("usg|"&amp;$E1604&amp;"|"&amp;$D1604,ElaSelKey,0))</f>
        <v>-0.4</v>
      </c>
      <c r="Q1604" s="48">
        <f>INDEX(ElaSel,MATCH("eff|"&amp;$E1604&amp;"|"&amp;$D1604,ElaSelKey,0))</f>
        <v>-0.4</v>
      </c>
      <c r="R1604" s="225">
        <f>INDEX(ElaSel,MATCH("aei|"&amp;$F1604&amp;"|"&amp;$D1604,ElaSelKey,0))</f>
        <v>0.005</v>
      </c>
      <c r="S1604" s="133" t="n">
        <v>3</v>
      </c>
      <c r="T1604" s="48">
        <f>$Q1604*(1+$P1604)</f>
        <v>-0.24</v>
      </c>
      <c r="U1604" s="3">
        <f>INDEX('Constants and Mappings'!$E$1633:$E$1644,MATCH($I1604,'Constants and Mappings'!$A$1633:$A$1644,0))</f>
        <v>283.0</v>
      </c>
      <c r="V1604" s="225">
        <f>INDEX('Constants and Mappings'!$V$1633:$V$1644,MATCH($I1604,'Constants and Mappings'!$A$1633:$A$1644,0))</f>
        <v>0.0</v>
      </c>
      <c r="W1604" s="197">
        <f>INDEX(EFSel,MATCH($B1604&amp;"|"&amp;$J1604,EFSelKey,0))*EFCalib</f>
        <v>0.07635795120924052</v>
      </c>
      <c r="X1604" s="195">
        <f>IF(LEFT(BalOpt,3)="Bal",$AY1604*$AV1604+$AZ1604*$AX1604,$BA1604)</f>
        <v>0.0</v>
      </c>
      <c r="Y1604" s="3" t="str">
        <f>IF($G1604="sub",$H1604,IF($B1604="oop","ind","trs"))</f>
        <v>ind</v>
      </c>
      <c r="Z1604" s="39">
        <f>IFERROR(MATCH($Y1604&amp;"|"&amp;$B1604,XKey,0),1)</f>
        <v>36.0</v>
      </c>
      <c r="AA1604" s="48">
        <f>INDEX(XCTVal,$Z1604,ECPEmb)+INDEX(XETSVal,$Z1604,ECPEmb)</f>
        <v>0.0</v>
      </c>
      <c r="AB1604" s="8" t="inlineStr">
        <is>
          <t>cst</t>
        </is>
      </c>
      <c r="AC1604" s="8" t="inlineStr">
        <is>
          <t>oop</t>
        </is>
      </c>
      <c r="AD1604" s="197">
        <f>IFERROR(INDEX(NCEfIn,MATCH($AB1604&amp;"."&amp;$AC1604&amp;".ch4",NCEfKey,0)),0)</f>
        <v>0.0</v>
      </c>
      <c r="AE1604" s="197">
        <f>IFERROR(INDEX(NCEfFin,MATCH($AB1604&amp;"."&amp;$AC1604&amp;".ch4",NCEfKey,0)),0)</f>
        <v>0.0</v>
      </c>
      <c r="AF1604" s="3" t="n">
        <v>0</v>
      </c>
      <c r="AG1604" s="197">
        <f>IFERROR(INDEX(NCEfIn,MATCH($AB1604&amp;"."&amp;$AC1604&amp;".pm2",NCEfKey,0)),0)</f>
        <v>0.0</v>
      </c>
      <c r="AH1604" s="197">
        <f>IFERROR(INDEX(NCEfFin,MATCH($AB1604&amp;"."&amp;$AC1604&amp;".pm2",NCEfKey,0)),0)</f>
        <v>0.0</v>
      </c>
      <c r="AI1604" s="197">
        <f>IFERROR(INDEX(NCEfIn,MATCH($AB1604&amp;"."&amp;$AC1604&amp;".nox",NCEfKey,0)),0)</f>
        <v>0.0</v>
      </c>
      <c r="AJ1604" s="197">
        <f>IFERROR(INDEX(NCEfFin,MATCH($AB1604&amp;"."&amp;$AC1604&amp;".nox",NCEfKey,0)),0)</f>
        <v>0.0</v>
      </c>
      <c r="AK1604" s="197">
        <f>IFERROR(INDEX(NCEfIn,MATCH($AB1604&amp;"."&amp;$AC1604&amp;".so2",NCEfKey,0)),0)</f>
        <v>0.0</v>
      </c>
      <c r="AL1604" s="197">
        <f>IFERROR(INDEX(NCEfFin,MATCH($AB1604&amp;"."&amp;$AC1604&amp;".so2",NCEfKey,0)),0)</f>
        <v>0.0</v>
      </c>
      <c r="AM1604" s="197">
        <f>IFERROR(INDEX(NCEfIn,MATCH($AB1604&amp;"."&amp;$AC1604&amp;".voc",NCEfKey,0)),0)</f>
        <v>0.0</v>
      </c>
      <c r="AN1604" s="197">
        <f>IFERROR(INDEX(NCEfFin,MATCH($AB1604&amp;"."&amp;$AC1604&amp;".voc",NCEfKey,0)),0)</f>
        <v>0.0</v>
      </c>
      <c r="AO1604" s="197">
        <f>IFERROR(INDEX(NCEfIn,MATCH($AB1604&amp;"."&amp;$AC1604&amp;".bc",NCEfKey,0)),0)</f>
        <v>0.0</v>
      </c>
      <c r="AP1604" s="197">
        <f>IFERROR(INDEX(NCEfFin,MATCH($AB1604&amp;"."&amp;$AC1604&amp;".bc",NCEfKey,0)),0)</f>
        <v>0.0</v>
      </c>
      <c r="AQ1604" s="197">
        <f>IFERROR(INDEX(NCEfIn,MATCH($AB1604&amp;"."&amp;$AC1604&amp;".oc",NCEfKey,0)),0)</f>
        <v>0.0</v>
      </c>
      <c r="AR1604" s="197">
        <f>IFERROR(INDEX(NCEfFin,MATCH($AB1604&amp;"."&amp;$AC1604&amp;".oc",NCEfKey,0)),0)</f>
        <v>0.0</v>
      </c>
      <c r="AS1604" s="197">
        <f>IFERROR(INDEX(NCEfIn,MATCH($AB1604&amp;"."&amp;$AC1604&amp;".co",NCEfKey,0)),0)</f>
        <v>0.0</v>
      </c>
      <c r="AT1604" s="197">
        <f>IFERROR(INDEX(NCEfFin,MATCH($AB1604&amp;"."&amp;$AC1604&amp;".co",NCEfKey,0)),0)</f>
        <v>0.0</v>
      </c>
      <c r="AU1604" s="3" t="str">
        <f>INDEX('Constants and Mappings'!$J$186:$J$201,MATCH($C1604,SubKey,0))</f>
        <v>construc</v>
      </c>
      <c r="AV1604" s="3">
        <f>INDEX('Constants and Mappings'!$K$186:$K$201,MATCH($C1604,SubKey,0))</f>
        <v>1.0</v>
      </c>
      <c r="AW1604" s="3" t="str">
        <f>INDEX('Constants and Mappings'!$L$186:$L$201,MATCH($C1604,SubKey,0))&amp;""</f>
        <v/>
      </c>
      <c r="AX1604" s="3">
        <f>INDEX('Constants and Mappings'!$M$186:$M$201,MATCH($C1604,SubKey,0))</f>
        <v>0.0</v>
      </c>
      <c r="AY1604" s="3" t="n">
        <v>0</v>
      </c>
      <c r="AZ1604" s="3" t="n">
        <v>0</v>
      </c>
      <c r="BA1604" s="3" t="n">
        <v>0</v>
      </c>
      <c r="BB1604" s="3" t="n">
        <v>0</v>
      </c>
      <c r="BC1604" s="3" t="n">
        <v>0</v>
      </c>
      <c r="BD1604" s="3">
        <f>IFERROR($BB1604/$BC1604,0)</f>
        <v>0.0</v>
      </c>
      <c r="BE1604" s="133" t="n">
        <v>1</v>
      </c>
      <c r="BF1604" s="39" t="n">
        <v>1</v>
      </c>
    </row>
    <row r="1605">
      <c r="A1605" s="3" t="str">
        <f>$B1605&amp;"|"&amp;$C1605</f>
        <v>bio|cst</v>
      </c>
      <c r="B1605" s="8" t="inlineStr">
        <is>
          <t>bio</t>
        </is>
      </c>
      <c r="C1605" s="8" t="inlineStr">
        <is>
          <t>cst</t>
        </is>
      </c>
      <c r="D1605" s="3" t="str">
        <f>INDEX('Constants and Mappings'!$D$186:$D$201,MATCH($C1605,SubKey,0))</f>
        <v>ind</v>
      </c>
      <c r="E1605" s="3" t="str">
        <f>INDEX('Constants and Mappings'!$C$229:$C$237,MATCH($B1605,FuelKey,0))</f>
        <v>bio</v>
      </c>
      <c r="F1605" s="3" t="str">
        <f>INDEX('Constants and Mappings'!$D$229:$D$237,MATCH($B1605,FuelKey,0))</f>
        <v>bio</v>
      </c>
      <c r="G1605" s="3" t="str">
        <f>INDEX('Constants and Mappings'!$E$229:$E$237,MATCH($B1605,FuelKey,0))</f>
        <v>all</v>
      </c>
      <c r="H1605" s="3" t="str">
        <f>INDEX('Constants and Mappings'!$F$186:$F$201,MATCH($C1605,SubKey,0))</f>
        <v>ind</v>
      </c>
      <c r="I1605" s="3" t="str">
        <f>INDEX('Constants and Mappings'!$I$229:$I$237,MATCH($B1605,FuelKey,0))&amp;"."&amp;IF($G1605="sub",$H1605,"all")</f>
        <v>bio.all</v>
      </c>
      <c r="J1605" s="3" t="str">
        <f>INDEX('Constants and Mappings'!$E$186:$E$201,MATCH($C1605,SubKey,0))</f>
        <v>ind</v>
      </c>
      <c r="K1605" s="3">
        <f>INDEX('Constants and Mappings'!$G$229:$G$237,MATCH($B1605,FuelKey,0))</f>
        <v>1.0</v>
      </c>
      <c r="L1605" s="3">
        <f>INDEX('Constants and Mappings'!$H$229:$H$237,MATCH($B1605,FuelKey,0))</f>
        <v>9.0</v>
      </c>
      <c r="M1605" s="3">
        <f>INDEX('Constants and Mappings'!$H$186:$H$201,MATCH($C1605,SubKey,0))</f>
        <v>15.0</v>
      </c>
      <c r="N1605" s="3">
        <f>INDEX('Constants and Mappings'!$E$300:$E$313,MATCH($I1605,'Constants and Mappings'!$A$300:$A$313,0))</f>
        <v>14.0</v>
      </c>
      <c r="O1605" s="48">
        <f>INDEX(ElaSel,MATCH("inc|"&amp;$E1605&amp;"|"&amp;$D1605,ElaSelKey,0))</f>
        <v>0.1</v>
      </c>
      <c r="P1605" s="48">
        <f>INDEX(ElaSel,MATCH("usg|"&amp;$E1605&amp;"|"&amp;$D1605,ElaSelKey,0))</f>
        <v>-0.3</v>
      </c>
      <c r="Q1605" s="48">
        <f>INDEX(ElaSel,MATCH("eff|"&amp;$E1605&amp;"|"&amp;$D1605,ElaSelKey,0))</f>
        <v>-0.2</v>
      </c>
      <c r="R1605" s="225">
        <f>INDEX(ElaSel,MATCH("aei|"&amp;$F1605&amp;"|"&amp;$D1605,ElaSelKey,0))</f>
        <v>0.005</v>
      </c>
      <c r="S1605" s="133" t="n">
        <v>3</v>
      </c>
      <c r="T1605" s="48">
        <f>$Q1605*(1+$P1605)</f>
        <v>-0.13999999999999999</v>
      </c>
      <c r="U1605" s="3">
        <f>INDEX('Constants and Mappings'!$E$1633:$E$1644,MATCH($I1605,'Constants and Mappings'!$A$1633:$A$1644,0))</f>
        <v>312.0</v>
      </c>
      <c r="V1605" s="225">
        <f>INDEX('Constants and Mappings'!$V$1633:$V$1644,MATCH($I1605,'Constants and Mappings'!$A$1633:$A$1644,0))</f>
        <v>0.0</v>
      </c>
      <c r="W1605" s="197">
        <f>INDEX(EFSel,MATCH($B1605&amp;"|"&amp;$J1605,EFSelKey,0))*EFCalib</f>
        <v>0.0</v>
      </c>
      <c r="X1605" s="195">
        <f>IF(LEFT(BalOpt,3)="Bal",$AY1605*$AV1605+$AZ1605*$AX1605,$BA1605)</f>
        <v>0.0</v>
      </c>
      <c r="Y1605" s="3" t="str">
        <f>IF($G1605="sub",$H1605,IF($B1605="oop","ind","trs"))</f>
        <v>trs</v>
      </c>
      <c r="Z1605" s="39">
        <f>IFERROR(MATCH($Y1605&amp;"|"&amp;$B1605,XKey,0),1)</f>
        <v>19.0</v>
      </c>
      <c r="AA1605" s="48">
        <f>INDEX(XCTVal,$Z1605,ECPEmb)+INDEX(XETSVal,$Z1605,ECPEmb)</f>
        <v>0.0</v>
      </c>
      <c r="AB1605" s="8" t="inlineStr">
        <is>
          <t>cst</t>
        </is>
      </c>
      <c r="AC1605" s="8" t="inlineStr">
        <is>
          <t>bio</t>
        </is>
      </c>
      <c r="AD1605" s="197">
        <f>IFERROR(INDEX(NCEfIn,MATCH($AB1605&amp;"."&amp;$AC1605&amp;".ch4",NCEfKey,0)),0)</f>
        <v>0.0</v>
      </c>
      <c r="AE1605" s="197">
        <f>IFERROR(INDEX(NCEfFin,MATCH($AB1605&amp;"."&amp;$AC1605&amp;".ch4",NCEfKey,0)),0)</f>
        <v>0.0</v>
      </c>
      <c r="AF1605" s="3" t="n">
        <v>0</v>
      </c>
      <c r="AG1605" s="197">
        <f>IFERROR(INDEX(NCEfIn,MATCH($AB1605&amp;"."&amp;$AC1605&amp;".pm2",NCEfKey,0)),0)</f>
        <v>0.0</v>
      </c>
      <c r="AH1605" s="197">
        <f>IFERROR(INDEX(NCEfFin,MATCH($AB1605&amp;"."&amp;$AC1605&amp;".pm2",NCEfKey,0)),0)</f>
        <v>0.0</v>
      </c>
      <c r="AI1605" s="197">
        <f>IFERROR(INDEX(NCEfIn,MATCH($AB1605&amp;"."&amp;$AC1605&amp;".nox",NCEfKey,0)),0)</f>
        <v>0.0</v>
      </c>
      <c r="AJ1605" s="197">
        <f>IFERROR(INDEX(NCEfFin,MATCH($AB1605&amp;"."&amp;$AC1605&amp;".nox",NCEfKey,0)),0)</f>
        <v>0.0</v>
      </c>
      <c r="AK1605" s="197">
        <f>IFERROR(INDEX(NCEfIn,MATCH($AB1605&amp;"."&amp;$AC1605&amp;".so2",NCEfKey,0)),0)</f>
        <v>0.0</v>
      </c>
      <c r="AL1605" s="197">
        <f>IFERROR(INDEX(NCEfFin,MATCH($AB1605&amp;"."&amp;$AC1605&amp;".so2",NCEfKey,0)),0)</f>
        <v>0.0</v>
      </c>
      <c r="AM1605" s="197">
        <f>IFERROR(INDEX(NCEfIn,MATCH($AB1605&amp;"."&amp;$AC1605&amp;".voc",NCEfKey,0)),0)</f>
        <v>0.0</v>
      </c>
      <c r="AN1605" s="197">
        <f>IFERROR(INDEX(NCEfFin,MATCH($AB1605&amp;"."&amp;$AC1605&amp;".voc",NCEfKey,0)),0)</f>
        <v>0.0</v>
      </c>
      <c r="AO1605" s="197">
        <f>IFERROR(INDEX(NCEfIn,MATCH($AB1605&amp;"."&amp;$AC1605&amp;".bc",NCEfKey,0)),0)</f>
        <v>0.0</v>
      </c>
      <c r="AP1605" s="197">
        <f>IFERROR(INDEX(NCEfFin,MATCH($AB1605&amp;"."&amp;$AC1605&amp;".bc",NCEfKey,0)),0)</f>
        <v>0.0</v>
      </c>
      <c r="AQ1605" s="197">
        <f>IFERROR(INDEX(NCEfIn,MATCH($AB1605&amp;"."&amp;$AC1605&amp;".oc",NCEfKey,0)),0)</f>
        <v>0.0</v>
      </c>
      <c r="AR1605" s="197">
        <f>IFERROR(INDEX(NCEfFin,MATCH($AB1605&amp;"."&amp;$AC1605&amp;".oc",NCEfKey,0)),0)</f>
        <v>0.0</v>
      </c>
      <c r="AS1605" s="197">
        <f>IFERROR(INDEX(NCEfIn,MATCH($AB1605&amp;"."&amp;$AC1605&amp;".co",NCEfKey,0)),0)</f>
        <v>0.0</v>
      </c>
      <c r="AT1605" s="197">
        <f>IFERROR(INDEX(NCEfFin,MATCH($AB1605&amp;"."&amp;$AC1605&amp;".co",NCEfKey,0)),0)</f>
        <v>0.0</v>
      </c>
      <c r="AU1605" s="3" t="str">
        <f>INDEX('Constants and Mappings'!$J$186:$J$201,MATCH($C1605,SubKey,0))</f>
        <v>construc</v>
      </c>
      <c r="AV1605" s="3">
        <f>INDEX('Constants and Mappings'!$K$186:$K$201,MATCH($C1605,SubKey,0))</f>
        <v>1.0</v>
      </c>
      <c r="AW1605" s="3" t="str">
        <f>INDEX('Constants and Mappings'!$L$186:$L$201,MATCH($C1605,SubKey,0))&amp;""</f>
        <v/>
      </c>
      <c r="AX1605" s="3">
        <f>INDEX('Constants and Mappings'!$M$186:$M$201,MATCH($C1605,SubKey,0))</f>
        <v>0.0</v>
      </c>
      <c r="AY1605" s="3" t="n">
        <v>0</v>
      </c>
      <c r="AZ1605" s="3" t="n">
        <v>0</v>
      </c>
      <c r="BA1605" s="3" t="n">
        <v>0</v>
      </c>
      <c r="BB1605" s="3" t="n">
        <v>0</v>
      </c>
      <c r="BC1605" s="3" t="n">
        <v>0</v>
      </c>
      <c r="BD1605" s="3">
        <f>IFERROR($BB1605/$BC1605,0)</f>
        <v>0.0</v>
      </c>
      <c r="BE1605" s="133" t="n">
        <v>1</v>
      </c>
      <c r="BF1605" s="39" t="n">
        <v>1</v>
      </c>
    </row>
    <row r="1606">
      <c r="A1606" s="3" t="str">
        <f>$B1606&amp;"|"&amp;$C1606</f>
        <v>coa|ftr</v>
      </c>
      <c r="B1606" s="8" t="inlineStr">
        <is>
          <t>coa</t>
        </is>
      </c>
      <c r="C1606" s="8" t="inlineStr">
        <is>
          <t>ftr</t>
        </is>
      </c>
      <c r="D1606" s="3" t="str">
        <f>INDEX('Constants and Mappings'!$D$186:$D$201,MATCH($C1606,SubKey,0))</f>
        <v>ind</v>
      </c>
      <c r="E1606" s="3" t="str">
        <f>INDEX('Constants and Mappings'!$C$229:$C$237,MATCH($B1606,FuelKey,0))</f>
        <v>coa</v>
      </c>
      <c r="F1606" s="3" t="str">
        <f>INDEX('Constants and Mappings'!$D$229:$D$237,MATCH($B1606,FuelKey,0))</f>
        <v>coa</v>
      </c>
      <c r="G1606" s="3" t="str">
        <f>INDEX('Constants and Mappings'!$E$229:$E$237,MATCH($B1606,FuelKey,0))</f>
        <v>sub</v>
      </c>
      <c r="H1606" s="3" t="str">
        <f>INDEX('Constants and Mappings'!$F$186:$F$201,MATCH($C1606,SubKey,0))</f>
        <v>ind</v>
      </c>
      <c r="I1606" s="3" t="str">
        <f>INDEX('Constants and Mappings'!$I$229:$I$237,MATCH($B1606,FuelKey,0))&amp;"."&amp;IF($G1606="sub",$H1606,"all")</f>
        <v>coa.ind</v>
      </c>
      <c r="J1606" s="3" t="str">
        <f>INDEX('Constants and Mappings'!$E$186:$E$201,MATCH($C1606,SubKey,0))</f>
        <v>ind</v>
      </c>
      <c r="K1606" s="3">
        <f>INDEX('Constants and Mappings'!$G$229:$G$237,MATCH($B1606,FuelKey,0))</f>
        <v>1.0</v>
      </c>
      <c r="L1606" s="3">
        <f>INDEX('Constants and Mappings'!$H$229:$H$237,MATCH($B1606,FuelKey,0))</f>
        <v>1.0</v>
      </c>
      <c r="M1606" s="3">
        <f>INDEX('Constants and Mappings'!$H$186:$H$201,MATCH($C1606,SubKey,0))</f>
        <v>16.0</v>
      </c>
      <c r="N1606" s="3">
        <f>INDEX('Constants and Mappings'!$E$300:$E$313,MATCH($I1606,'Constants and Mappings'!$A$300:$A$313,0))</f>
        <v>3.0</v>
      </c>
      <c r="O1606" s="48">
        <f>INDEX(ElaSel,MATCH("inc|"&amp;$E1606&amp;"|"&amp;$D1606,ElaSelKey,0))</f>
        <v>0.5</v>
      </c>
      <c r="P1606" s="48">
        <f>INDEX(ElaSel,MATCH("usg|"&amp;$E1606&amp;"|"&amp;$D1606,ElaSelKey,0))</f>
        <v>-0.3</v>
      </c>
      <c r="Q1606" s="48">
        <f>INDEX(ElaSel,MATCH("eff|"&amp;$E1606&amp;"|"&amp;$D1606,ElaSelKey,0))</f>
        <v>-0.4</v>
      </c>
      <c r="R1606" s="225">
        <f>INDEX(ElaSel,MATCH("aei|"&amp;$F1606&amp;"|"&amp;$D1606,ElaSelKey,0))</f>
        <v>0.005</v>
      </c>
      <c r="S1606" s="133" t="n">
        <v>3</v>
      </c>
      <c r="T1606" s="48">
        <f>$Q1606*(1+$P1606)</f>
        <v>-0.27999999999999997</v>
      </c>
      <c r="U1606" s="3">
        <f>INDEX('Constants and Mappings'!$E$1633:$E$1644,MATCH($I1606,'Constants and Mappings'!$A$1633:$A$1644,0))</f>
        <v>55.0</v>
      </c>
      <c r="V1606" s="225">
        <f>INDEX('Constants and Mappings'!$V$1633:$V$1644,MATCH($I1606,'Constants and Mappings'!$A$1633:$A$1644,0))</f>
        <v>0.0</v>
      </c>
      <c r="W1606" s="197">
        <f>INDEX(EFSel,MATCH($B1606&amp;"|"&amp;$J1606,EFSelKey,0))*EFCalib</f>
        <v>0.09955404329757564</v>
      </c>
      <c r="X1606" s="195">
        <f>IF(LEFT(BalOpt,3)="Bal",$AY1606*$AV1606+$AZ1606*$AX1606,$BA1606)</f>
        <v>-0.0</v>
      </c>
      <c r="Y1606" s="3" t="str">
        <f>IF($G1606="sub",$H1606,IF($B1606="oop","ind","trs"))</f>
        <v>ind</v>
      </c>
      <c r="Z1606" s="39">
        <f>IFERROR(MATCH($Y1606&amp;"|"&amp;$B1606,XKey,0),1)</f>
        <v>29.0</v>
      </c>
      <c r="AA1606" s="48">
        <f>INDEX(XCTVal,$Z1606,ECPEmb)+INDEX(XETSVal,$Z1606,ECPEmb)</f>
        <v>0.0</v>
      </c>
      <c r="AB1606" s="8" t="inlineStr">
        <is>
          <t>mnf</t>
        </is>
      </c>
      <c r="AC1606" s="8" t="inlineStr">
        <is>
          <t>coa</t>
        </is>
      </c>
      <c r="AD1606" s="197">
        <f>IFERROR(INDEX(NCEfIn,MATCH($AB1606&amp;"."&amp;$AC1606&amp;".ch4",NCEfKey,0)),0)</f>
        <v>0.4186800000000001</v>
      </c>
      <c r="AE1606" s="197">
        <f>IFERROR(INDEX(NCEfFin,MATCH($AB1606&amp;"."&amp;$AC1606&amp;".ch4",NCEfKey,0)),0)</f>
        <v>0.4186800000000001</v>
      </c>
      <c r="AF1606" s="3" t="n">
        <v>0</v>
      </c>
      <c r="AG1606" s="197">
        <f>IFERROR(INDEX(NCEfIn,MATCH($AB1606&amp;"."&amp;$AC1606&amp;".pm2",NCEfKey,0)),0)</f>
        <v>0.1073997936</v>
      </c>
      <c r="AH1606" s="197">
        <f>IFERROR(INDEX(NCEfFin,MATCH($AB1606&amp;"."&amp;$AC1606&amp;".pm2",NCEfKey,0)),0)</f>
        <v>0.0796496832</v>
      </c>
      <c r="AI1606" s="197">
        <f>IFERROR(INDEX(NCEfIn,MATCH($AB1606&amp;"."&amp;$AC1606&amp;".nox",NCEfKey,0)),0)</f>
        <v>1.2560441868</v>
      </c>
      <c r="AJ1606" s="197">
        <f>IFERROR(INDEX(NCEfFin,MATCH($AB1606&amp;"."&amp;$AC1606&amp;".nox",NCEfKey,0)),0)</f>
        <v>1.25604</v>
      </c>
      <c r="AK1606" s="197">
        <f>IFERROR(INDEX(NCEfIn,MATCH($AB1606&amp;"."&amp;$AC1606&amp;".so2",NCEfKey,0)),0)</f>
        <v>1.511497602</v>
      </c>
      <c r="AL1606" s="197">
        <f>IFERROR(INDEX(NCEfFin,MATCH($AB1606&amp;"."&amp;$AC1606&amp;".so2",NCEfKey,0)),0)</f>
        <v>1.5114808548</v>
      </c>
      <c r="AM1606" s="197">
        <f>IFERROR(INDEX(NCEfIn,MATCH($AB1606&amp;"."&amp;$AC1606&amp;".voc",NCEfKey,0)),0)</f>
        <v>0.4186800000000001</v>
      </c>
      <c r="AN1606" s="197">
        <f>IFERROR(INDEX(NCEfFin,MATCH($AB1606&amp;"."&amp;$AC1606&amp;".voc",NCEfKey,0)),0)</f>
        <v>0.4186800000000001</v>
      </c>
      <c r="AO1606" s="197">
        <f>IFERROR(INDEX(NCEfIn,MATCH($AB1606&amp;"."&amp;$AC1606&amp;".bc",NCEfKey,0)),0)</f>
        <v>0.0008876016000000001</v>
      </c>
      <c r="AP1606" s="197">
        <f>IFERROR(INDEX(NCEfFin,MATCH($AB1606&amp;"."&amp;$AC1606&amp;".bc",NCEfKey,0)),0)</f>
        <v>0.0006615144000000001</v>
      </c>
      <c r="AQ1606" s="197">
        <f>IFERROR(INDEX(NCEfIn,MATCH($AB1606&amp;"."&amp;$AC1606&amp;".oc",NCEfKey,0)),0)</f>
        <v>0.0018673128</v>
      </c>
      <c r="AR1606" s="197">
        <f>IFERROR(INDEX(NCEfFin,MATCH($AB1606&amp;"."&amp;$AC1606&amp;".oc",NCEfKey,0)),0)</f>
        <v>0.000565218</v>
      </c>
      <c r="AS1606" s="197">
        <f>IFERROR(INDEX(NCEfIn,MATCH($AB1606&amp;"."&amp;$AC1606&amp;".co",NCEfKey,0)),0)</f>
        <v>4.186800000000001</v>
      </c>
      <c r="AT1606" s="197">
        <f>IFERROR(INDEX(NCEfFin,MATCH($AB1606&amp;"."&amp;$AC1606&amp;".co",NCEfKey,0)),0)</f>
        <v>4.186795813200001</v>
      </c>
      <c r="AU1606" s="3" t="str">
        <f>INDEX('Constants and Mappings'!$J$186:$J$201,MATCH($C1606,SubKey,0))</f>
        <v>ownuse</v>
      </c>
      <c r="AV1606" s="3">
        <f>INDEX('Constants and Mappings'!$K$186:$K$201,MATCH($C1606,SubKey,0))</f>
        <v>-1.0</v>
      </c>
      <c r="AW1606" s="3" t="str">
        <f>INDEX('Constants and Mappings'!$L$186:$L$201,MATCH($C1606,SubKey,0))&amp;""</f>
        <v>heat</v>
      </c>
      <c r="AX1606" s="3">
        <f>INDEX('Constants and Mappings'!$M$186:$M$201,MATCH($C1606,SubKey,0))</f>
        <v>-1.0</v>
      </c>
      <c r="AY1606" s="3" t="n">
        <v>0</v>
      </c>
      <c r="AZ1606" s="3" t="n">
        <v>0</v>
      </c>
      <c r="BA1606" s="3" t="n">
        <v>0</v>
      </c>
      <c r="BB1606" s="3" t="n">
        <v>0</v>
      </c>
      <c r="BC1606" s="3" t="n">
        <v>0</v>
      </c>
      <c r="BD1606" s="3">
        <f>IFERROR($BB1606/$BC1606,0)</f>
        <v>0.0</v>
      </c>
      <c r="BE1606" s="133" t="n">
        <v>1</v>
      </c>
      <c r="BF1606" s="39" t="n">
        <v>1</v>
      </c>
    </row>
    <row r="1607">
      <c r="A1607" s="3" t="str">
        <f>$B1607&amp;"|"&amp;$C1607</f>
        <v>nga|ftr</v>
      </c>
      <c r="B1607" s="8" t="inlineStr">
        <is>
          <t>nga</t>
        </is>
      </c>
      <c r="C1607" s="8" t="inlineStr">
        <is>
          <t>ftr</t>
        </is>
      </c>
      <c r="D1607" s="3" t="str">
        <f>INDEX('Constants and Mappings'!$D$186:$D$201,MATCH($C1607,SubKey,0))</f>
        <v>ind</v>
      </c>
      <c r="E1607" s="3" t="str">
        <f>INDEX('Constants and Mappings'!$C$229:$C$237,MATCH($B1607,FuelKey,0))</f>
        <v>nga</v>
      </c>
      <c r="F1607" s="3" t="str">
        <f>INDEX('Constants and Mappings'!$D$229:$D$237,MATCH($B1607,FuelKey,0))</f>
        <v>nga</v>
      </c>
      <c r="G1607" s="3" t="str">
        <f>INDEX('Constants and Mappings'!$E$229:$E$237,MATCH($B1607,FuelKey,0))</f>
        <v>sub</v>
      </c>
      <c r="H1607" s="3" t="str">
        <f>INDEX('Constants and Mappings'!$F$186:$F$201,MATCH($C1607,SubKey,0))</f>
        <v>ind</v>
      </c>
      <c r="I1607" s="3" t="str">
        <f>INDEX('Constants and Mappings'!$I$229:$I$237,MATCH($B1607,FuelKey,0))&amp;"."&amp;IF($G1607="sub",$H1607,"all")</f>
        <v>nga.ind</v>
      </c>
      <c r="J1607" s="3" t="str">
        <f>INDEX('Constants and Mappings'!$E$186:$E$201,MATCH($C1607,SubKey,0))</f>
        <v>ind</v>
      </c>
      <c r="K1607" s="3">
        <f>INDEX('Constants and Mappings'!$G$229:$G$237,MATCH($B1607,FuelKey,0))</f>
        <v>1.0</v>
      </c>
      <c r="L1607" s="3">
        <f>INDEX('Constants and Mappings'!$H$229:$H$237,MATCH($B1607,FuelKey,0))</f>
        <v>2.0</v>
      </c>
      <c r="M1607" s="3">
        <f>INDEX('Constants and Mappings'!$H$186:$H$201,MATCH($C1607,SubKey,0))</f>
        <v>16.0</v>
      </c>
      <c r="N1607" s="3">
        <f>INDEX('Constants and Mappings'!$E$300:$E$313,MATCH($I1607,'Constants and Mappings'!$A$300:$A$313,0))</f>
        <v>6.0</v>
      </c>
      <c r="O1607" s="48">
        <f>INDEX(ElaSel,MATCH("inc|"&amp;$E1607&amp;"|"&amp;$D1607,ElaSelKey,0))</f>
        <v>1.0</v>
      </c>
      <c r="P1607" s="48">
        <f>INDEX(ElaSel,MATCH("usg|"&amp;$E1607&amp;"|"&amp;$D1607,ElaSelKey,0))</f>
        <v>-0.5</v>
      </c>
      <c r="Q1607" s="48">
        <f>INDEX(ElaSel,MATCH("eff|"&amp;$E1607&amp;"|"&amp;$D1607,ElaSelKey,0))</f>
        <v>-0.5</v>
      </c>
      <c r="R1607" s="225">
        <f>INDEX(ElaSel,MATCH("aei|"&amp;$F1607&amp;"|"&amp;$D1607,ElaSelKey,0))</f>
        <v>0.01</v>
      </c>
      <c r="S1607" s="133" t="n">
        <v>3</v>
      </c>
      <c r="T1607" s="48">
        <f>$Q1607*(1+$P1607)</f>
        <v>-0.25</v>
      </c>
      <c r="U1607" s="3">
        <f>INDEX('Constants and Mappings'!$E$1633:$E$1644,MATCH($I1607,'Constants and Mappings'!$A$1633:$A$1644,0))</f>
        <v>138.0</v>
      </c>
      <c r="V1607" s="225">
        <f>INDEX('Constants and Mappings'!$V$1633:$V$1644,MATCH($I1607,'Constants and Mappings'!$A$1633:$A$1644,0))</f>
        <v>0.0</v>
      </c>
      <c r="W1607" s="197">
        <f>INDEX(EFSel,MATCH($B1607&amp;"|"&amp;$J1607,EFSelKey,0))*EFCalib</f>
        <v>0.05555115616004721</v>
      </c>
      <c r="X1607" s="195">
        <f>IF(LEFT(BalOpt,3)="Bal",$AY1607*$AV1607+$AZ1607*$AX1607,$BA1607)</f>
        <v>6750.938005416565</v>
      </c>
      <c r="Y1607" s="3" t="str">
        <f>IF($G1607="sub",$H1607,IF($B1607="oop","ind","trs"))</f>
        <v>ind</v>
      </c>
      <c r="Z1607" s="39">
        <f>IFERROR(MATCH($Y1607&amp;"|"&amp;$B1607,XKey,0),1)</f>
        <v>30.0</v>
      </c>
      <c r="AA1607" s="48">
        <f>INDEX(XCTVal,$Z1607,ECPEmb)+INDEX(XETSVal,$Z1607,ECPEmb)</f>
        <v>0.0</v>
      </c>
      <c r="AB1607" s="8" t="inlineStr">
        <is>
          <t>mnf</t>
        </is>
      </c>
      <c r="AC1607" s="8" t="inlineStr">
        <is>
          <t>nga</t>
        </is>
      </c>
      <c r="AD1607" s="197">
        <f>IFERROR(INDEX(NCEfIn,MATCH($AB1607&amp;"."&amp;$AC1607&amp;".ch4",NCEfKey,0)),0)</f>
        <v>1.9701992232</v>
      </c>
      <c r="AE1607" s="197">
        <f>IFERROR(INDEX(NCEfFin,MATCH($AB1607&amp;"."&amp;$AC1607&amp;".ch4",NCEfKey,0)),0)</f>
        <v>1.9373244696</v>
      </c>
      <c r="AF1607" s="3" t="n">
        <v>0</v>
      </c>
      <c r="AG1607" s="197">
        <f>IFERROR(INDEX(NCEfIn,MATCH($AB1607&amp;"."&amp;$AC1607&amp;".pm2",NCEfKey,0)),0)</f>
        <v>0.0041868</v>
      </c>
      <c r="AH1607" s="197">
        <f>IFERROR(INDEX(NCEfFin,MATCH($AB1607&amp;"."&amp;$AC1607&amp;".pm2",NCEfKey,0)),0)</f>
        <v>0.0041868</v>
      </c>
      <c r="AI1607" s="197">
        <f>IFERROR(INDEX(NCEfIn,MATCH($AB1607&amp;"."&amp;$AC1607&amp;".nox",NCEfKey,0)),0)</f>
        <v>4.186800000000001</v>
      </c>
      <c r="AJ1607" s="197">
        <f>IFERROR(INDEX(NCEfFin,MATCH($AB1607&amp;"."&amp;$AC1607&amp;".nox",NCEfKey,0)),0)</f>
        <v>4.186611594</v>
      </c>
      <c r="AK1607" s="197">
        <f>IFERROR(INDEX(NCEfIn,MATCH($AB1607&amp;"."&amp;$AC1607&amp;".so2",NCEfKey,0)),0)</f>
        <v>0.0348886044</v>
      </c>
      <c r="AL1607" s="197">
        <f>IFERROR(INDEX(NCEfFin,MATCH($AB1607&amp;"."&amp;$AC1607&amp;".so2",NCEfKey,0)),0)</f>
        <v>0.0348886044</v>
      </c>
      <c r="AM1607" s="197">
        <f>IFERROR(INDEX(NCEfIn,MATCH($AB1607&amp;"."&amp;$AC1607&amp;".voc",NCEfKey,0)),0)</f>
        <v>0.083736</v>
      </c>
      <c r="AN1607" s="197">
        <f>IFERROR(INDEX(NCEfFin,MATCH($AB1607&amp;"."&amp;$AC1607&amp;".voc",NCEfKey,0)),0)</f>
        <v>0.08373181320000002</v>
      </c>
      <c r="AO1607" s="197">
        <f>IFERROR(INDEX(NCEfIn,MATCH($AB1607&amp;"."&amp;$AC1607&amp;".bc",NCEfKey,0)),0)</f>
        <v>0.0002805156</v>
      </c>
      <c r="AP1607" s="197">
        <f>IFERROR(INDEX(NCEfFin,MATCH($AB1607&amp;"."&amp;$AC1607&amp;".bc",NCEfKey,0)),0)</f>
        <v>0.0002805156</v>
      </c>
      <c r="AQ1607" s="197">
        <f>IFERROR(INDEX(NCEfIn,MATCH($AB1607&amp;"."&amp;$AC1607&amp;".oc",NCEfKey,0)),0)</f>
        <v>0.0031401</v>
      </c>
      <c r="AR1607" s="197">
        <f>IFERROR(INDEX(NCEfFin,MATCH($AB1607&amp;"."&amp;$AC1607&amp;".oc",NCEfKey,0)),0)</f>
        <v>0.0031401</v>
      </c>
      <c r="AS1607" s="197">
        <f>IFERROR(INDEX(NCEfIn,MATCH($AB1607&amp;"."&amp;$AC1607&amp;".co",NCEfKey,0)),0)</f>
        <v>1.46538</v>
      </c>
      <c r="AT1607" s="197">
        <f>IFERROR(INDEX(NCEfFin,MATCH($AB1607&amp;"."&amp;$AC1607&amp;".co",NCEfKey,0)),0)</f>
        <v>1.4653130112</v>
      </c>
      <c r="AU1607" s="3" t="str">
        <f>INDEX('Constants and Mappings'!$J$186:$J$201,MATCH($C1607,SubKey,0))</f>
        <v>ownuse</v>
      </c>
      <c r="AV1607" s="3">
        <f>INDEX('Constants and Mappings'!$K$186:$K$201,MATCH($C1607,SubKey,0))</f>
        <v>-1.0</v>
      </c>
      <c r="AW1607" s="3" t="str">
        <f>INDEX('Constants and Mappings'!$L$186:$L$201,MATCH($C1607,SubKey,0))&amp;""</f>
        <v>heat</v>
      </c>
      <c r="AX1607" s="3">
        <f>INDEX('Constants and Mappings'!$M$186:$M$201,MATCH($C1607,SubKey,0))</f>
        <v>-1.0</v>
      </c>
      <c r="AY1607" s="3" t="n">
        <v>-6750.938005416565</v>
      </c>
      <c r="AZ1607" s="3" t="n">
        <v>0</v>
      </c>
      <c r="BA1607" s="3" t="n">
        <v>6750.938005416565</v>
      </c>
      <c r="BB1607" s="3" t="n">
        <v>0</v>
      </c>
      <c r="BC1607" s="3" t="n">
        <v>0</v>
      </c>
      <c r="BD1607" s="3">
        <f>IFERROR($BB1607/$BC1607,0)</f>
        <v>0.0</v>
      </c>
      <c r="BE1607" s="133" t="n">
        <v>1</v>
      </c>
      <c r="BF1607" s="39" t="n">
        <v>1</v>
      </c>
    </row>
    <row r="1608">
      <c r="A1608" s="3" t="str">
        <f>$B1608&amp;"|"&amp;$C1608</f>
        <v>gso|ftr</v>
      </c>
      <c r="B1608" s="8" t="inlineStr">
        <is>
          <t>gso</t>
        </is>
      </c>
      <c r="C1608" s="8" t="inlineStr">
        <is>
          <t>ftr</t>
        </is>
      </c>
      <c r="D1608" s="3" t="str">
        <f>INDEX('Constants and Mappings'!$D$186:$D$201,MATCH($C1608,SubKey,0))</f>
        <v>ind</v>
      </c>
      <c r="E1608" s="3" t="str">
        <f>INDEX('Constants and Mappings'!$C$229:$C$237,MATCH($B1608,FuelKey,0))</f>
        <v>gso</v>
      </c>
      <c r="F1608" s="3" t="str">
        <f>INDEX('Constants and Mappings'!$D$229:$D$237,MATCH($B1608,FuelKey,0))</f>
        <v>oil</v>
      </c>
      <c r="G1608" s="3" t="str">
        <f>INDEX('Constants and Mappings'!$E$229:$E$237,MATCH($B1608,FuelKey,0))</f>
        <v>all</v>
      </c>
      <c r="H1608" s="3" t="str">
        <f>INDEX('Constants and Mappings'!$F$186:$F$201,MATCH($C1608,SubKey,0))</f>
        <v>ind</v>
      </c>
      <c r="I1608" s="3" t="str">
        <f>INDEX('Constants and Mappings'!$I$229:$I$237,MATCH($B1608,FuelKey,0))&amp;"."&amp;IF($G1608="sub",$H1608,"all")</f>
        <v>gso.all</v>
      </c>
      <c r="J1608" s="3" t="str">
        <f>INDEX('Constants and Mappings'!$E$186:$E$201,MATCH($C1608,SubKey,0))</f>
        <v>ind</v>
      </c>
      <c r="K1608" s="3">
        <f>INDEX('Constants and Mappings'!$G$229:$G$237,MATCH($B1608,FuelKey,0))</f>
        <v>0.03496974000000001</v>
      </c>
      <c r="L1608" s="3">
        <f>INDEX('Constants and Mappings'!$H$229:$H$237,MATCH($B1608,FuelKey,0))</f>
        <v>3.0</v>
      </c>
      <c r="M1608" s="3">
        <f>INDEX('Constants and Mappings'!$H$186:$H$201,MATCH($C1608,SubKey,0))</f>
        <v>16.0</v>
      </c>
      <c r="N1608" s="3">
        <f>INDEX('Constants and Mappings'!$E$300:$E$313,MATCH($I1608,'Constants and Mappings'!$A$300:$A$313,0))</f>
        <v>9.0</v>
      </c>
      <c r="O1608" s="48">
        <f>INDEX(ElaSel,MATCH("inc|"&amp;$E1608&amp;"|"&amp;$D1608,ElaSelKey,0))</f>
        <v>0.5</v>
      </c>
      <c r="P1608" s="48">
        <f>INDEX(ElaSel,MATCH("usg|"&amp;$E1608&amp;"|"&amp;$D1608,ElaSelKey,0))</f>
        <v>-0.4</v>
      </c>
      <c r="Q1608" s="48">
        <f>INDEX(ElaSel,MATCH("eff|"&amp;$E1608&amp;"|"&amp;$D1608,ElaSelKey,0))</f>
        <v>-0.7</v>
      </c>
      <c r="R1608" s="225">
        <f>INDEX(ElaSel,MATCH("aei|"&amp;$F1608&amp;"|"&amp;$D1608,ElaSelKey,0))</f>
        <v>0.005</v>
      </c>
      <c r="S1608" s="133" t="n">
        <v>3</v>
      </c>
      <c r="T1608" s="48">
        <f>$Q1608*(1+$P1608)</f>
        <v>-0.42</v>
      </c>
      <c r="U1608" s="3">
        <f>INDEX('Constants and Mappings'!$E$1633:$E$1644,MATCH($I1608,'Constants and Mappings'!$A$1633:$A$1644,0))</f>
        <v>167.0</v>
      </c>
      <c r="V1608" s="225">
        <f>INDEX('Constants and Mappings'!$V$1633:$V$1644,MATCH($I1608,'Constants and Mappings'!$A$1633:$A$1644,0))</f>
        <v>0.0</v>
      </c>
      <c r="W1608" s="197">
        <f>INDEX(EFSel,MATCH($B1608&amp;"|"&amp;$J1608,EFSelKey,0))*EFCalib</f>
        <v>0.06749067257272545</v>
      </c>
      <c r="X1608" s="195">
        <f>IF(LEFT(BalOpt,3)="Bal",$AY1608*$AV1608+$AZ1608*$AX1608,$BA1608)</f>
        <v>-0.0</v>
      </c>
      <c r="Y1608" s="3" t="str">
        <f>IF($G1608="sub",$H1608,IF($B1608="oop","ind","trs"))</f>
        <v>trs</v>
      </c>
      <c r="Z1608" s="39">
        <f>IFERROR(MATCH($Y1608&amp;"|"&amp;$B1608,XKey,0),1)</f>
        <v>13.0</v>
      </c>
      <c r="AA1608" s="48">
        <f>INDEX(XCTVal,$Z1608,ECPEmb)+INDEX(XETSVal,$Z1608,ECPEmb)</f>
        <v>0.0</v>
      </c>
      <c r="AB1608" s="8" t="inlineStr">
        <is>
          <t>mnf</t>
        </is>
      </c>
      <c r="AC1608" s="8" t="inlineStr">
        <is>
          <t>gso</t>
        </is>
      </c>
      <c r="AD1608" s="197">
        <f>IFERROR(INDEX(NCEfIn,MATCH($AB1608&amp;"."&amp;$AC1608&amp;".ch4",NCEfKey,0)),0)</f>
        <v>0.125604</v>
      </c>
      <c r="AE1608" s="197">
        <f>IFERROR(INDEX(NCEfFin,MATCH($AB1608&amp;"."&amp;$AC1608&amp;".ch4",NCEfKey,0)),0)</f>
        <v>0.125604</v>
      </c>
      <c r="AF1608" s="3" t="n">
        <v>0</v>
      </c>
      <c r="AG1608" s="197">
        <f>IFERROR(INDEX(NCEfIn,MATCH($AB1608&amp;"."&amp;$AC1608&amp;".pm2",NCEfKey,0)),0)</f>
        <v>0.020934</v>
      </c>
      <c r="AH1608" s="197">
        <f>IFERROR(INDEX(NCEfFin,MATCH($AB1608&amp;"."&amp;$AC1608&amp;".pm2",NCEfKey,0)),0)</f>
        <v>0.020934</v>
      </c>
      <c r="AI1608" s="197">
        <f>IFERROR(INDEX(NCEfIn,MATCH($AB1608&amp;"."&amp;$AC1608&amp;".nox",NCEfKey,0)),0)</f>
        <v>2.93076</v>
      </c>
      <c r="AJ1608" s="197">
        <f>IFERROR(INDEX(NCEfFin,MATCH($AB1608&amp;"."&amp;$AC1608&amp;".nox",NCEfKey,0)),0)</f>
        <v>2.93076</v>
      </c>
      <c r="AK1608" s="197">
        <f>IFERROR(INDEX(NCEfIn,MATCH($AB1608&amp;"."&amp;$AC1608&amp;".so2",NCEfKey,0)),0)</f>
        <v>0.9101726388000001</v>
      </c>
      <c r="AL1608" s="197">
        <f>IFERROR(INDEX(NCEfFin,MATCH($AB1608&amp;"."&amp;$AC1608&amp;".so2",NCEfKey,0)),0)</f>
        <v>0.9101726388000001</v>
      </c>
      <c r="AM1608" s="197">
        <f>IFERROR(INDEX(NCEfIn,MATCH($AB1608&amp;"."&amp;$AC1608&amp;".voc",NCEfKey,0)),0)</f>
        <v>0.10467</v>
      </c>
      <c r="AN1608" s="197">
        <f>IFERROR(INDEX(NCEfFin,MATCH($AB1608&amp;"."&amp;$AC1608&amp;".voc",NCEfKey,0)),0)</f>
        <v>0.10467</v>
      </c>
      <c r="AO1608" s="197">
        <f>IFERROR(INDEX(NCEfIn,MATCH($AB1608&amp;"."&amp;$AC1608&amp;".bc",NCEfKey,0)),0)</f>
        <v>0.001402578</v>
      </c>
      <c r="AP1608" s="197">
        <f>IFERROR(INDEX(NCEfFin,MATCH($AB1608&amp;"."&amp;$AC1608&amp;".bc",NCEfKey,0)),0)</f>
        <v>0.001402578</v>
      </c>
      <c r="AQ1608" s="197">
        <f>IFERROR(INDEX(NCEfIn,MATCH($AB1608&amp;"."&amp;$AC1608&amp;".oc",NCEfKey,0)),0)</f>
        <v>0.0157005</v>
      </c>
      <c r="AR1608" s="197">
        <f>IFERROR(INDEX(NCEfFin,MATCH($AB1608&amp;"."&amp;$AC1608&amp;".oc",NCEfKey,0)),0)</f>
        <v>0.0157005</v>
      </c>
      <c r="AS1608" s="197">
        <f>IFERROR(INDEX(NCEfIn,MATCH($AB1608&amp;"."&amp;$AC1608&amp;".co",NCEfKey,0)),0)</f>
        <v>1.67472</v>
      </c>
      <c r="AT1608" s="197">
        <f>IFERROR(INDEX(NCEfFin,MATCH($AB1608&amp;"."&amp;$AC1608&amp;".co",NCEfKey,0)),0)</f>
        <v>1.67472</v>
      </c>
      <c r="AU1608" s="3" t="str">
        <f>INDEX('Constants and Mappings'!$J$186:$J$201,MATCH($C1608,SubKey,0))</f>
        <v>ownuse</v>
      </c>
      <c r="AV1608" s="3">
        <f>INDEX('Constants and Mappings'!$K$186:$K$201,MATCH($C1608,SubKey,0))</f>
        <v>-1.0</v>
      </c>
      <c r="AW1608" s="3" t="str">
        <f>INDEX('Constants and Mappings'!$L$186:$L$201,MATCH($C1608,SubKey,0))&amp;""</f>
        <v>heat</v>
      </c>
      <c r="AX1608" s="3">
        <f>INDEX('Constants and Mappings'!$M$186:$M$201,MATCH($C1608,SubKey,0))</f>
        <v>-1.0</v>
      </c>
      <c r="AY1608" s="3" t="n">
        <v>0</v>
      </c>
      <c r="AZ1608" s="3" t="n">
        <v>0</v>
      </c>
      <c r="BA1608" s="3" t="n">
        <v>0</v>
      </c>
      <c r="BB1608" s="3" t="n">
        <v>0</v>
      </c>
      <c r="BC1608" s="3" t="n">
        <v>0</v>
      </c>
      <c r="BD1608" s="3">
        <f>IFERROR($BB1608/$BC1608,0)</f>
        <v>0.0</v>
      </c>
      <c r="BE1608" s="133" t="n">
        <v>1</v>
      </c>
      <c r="BF1608" s="39" t="n">
        <v>1</v>
      </c>
    </row>
    <row r="1609">
      <c r="A1609" s="3" t="str">
        <f>$B1609&amp;"|"&amp;$C1609</f>
        <v>die|ftr</v>
      </c>
      <c r="B1609" s="8" t="inlineStr">
        <is>
          <t>die</t>
        </is>
      </c>
      <c r="C1609" s="8" t="inlineStr">
        <is>
          <t>ftr</t>
        </is>
      </c>
      <c r="D1609" s="3" t="str">
        <f>INDEX('Constants and Mappings'!$D$186:$D$201,MATCH($C1609,SubKey,0))</f>
        <v>ind</v>
      </c>
      <c r="E1609" s="3" t="str">
        <f>INDEX('Constants and Mappings'!$C$229:$C$237,MATCH($B1609,FuelKey,0))</f>
        <v>die</v>
      </c>
      <c r="F1609" s="3" t="str">
        <f>INDEX('Constants and Mappings'!$D$229:$D$237,MATCH($B1609,FuelKey,0))</f>
        <v>oil</v>
      </c>
      <c r="G1609" s="3" t="str">
        <f>INDEX('Constants and Mappings'!$E$229:$E$237,MATCH($B1609,FuelKey,0))</f>
        <v>all</v>
      </c>
      <c r="H1609" s="3" t="str">
        <f>INDEX('Constants and Mappings'!$F$186:$F$201,MATCH($C1609,SubKey,0))</f>
        <v>ind</v>
      </c>
      <c r="I1609" s="3" t="str">
        <f>INDEX('Constants and Mappings'!$I$229:$I$237,MATCH($B1609,FuelKey,0))&amp;"."&amp;IF($G1609="sub",$H1609,"all")</f>
        <v>die.all</v>
      </c>
      <c r="J1609" s="3" t="str">
        <f>INDEX('Constants and Mappings'!$E$186:$E$201,MATCH($C1609,SubKey,0))</f>
        <v>ind</v>
      </c>
      <c r="K1609" s="3">
        <f>INDEX('Constants and Mappings'!$G$229:$G$237,MATCH($B1609,FuelKey,0))</f>
        <v>0.03729519000000001</v>
      </c>
      <c r="L1609" s="3">
        <f>INDEX('Constants and Mappings'!$H$229:$H$237,MATCH($B1609,FuelKey,0))</f>
        <v>4.0</v>
      </c>
      <c r="M1609" s="3">
        <f>INDEX('Constants and Mappings'!$H$186:$H$201,MATCH($C1609,SubKey,0))</f>
        <v>16.0</v>
      </c>
      <c r="N1609" s="3">
        <f>INDEX('Constants and Mappings'!$E$300:$E$313,MATCH($I1609,'Constants and Mappings'!$A$300:$A$313,0))</f>
        <v>10.0</v>
      </c>
      <c r="O1609" s="48">
        <f>INDEX(ElaSel,MATCH("inc|"&amp;$E1609&amp;"|"&amp;$D1609,ElaSelKey,0))</f>
        <v>0.5</v>
      </c>
      <c r="P1609" s="48">
        <f>INDEX(ElaSel,MATCH("usg|"&amp;$E1609&amp;"|"&amp;$D1609,ElaSelKey,0))</f>
        <v>-0.7</v>
      </c>
      <c r="Q1609" s="48">
        <f>INDEX(ElaSel,MATCH("eff|"&amp;$E1609&amp;"|"&amp;$D1609,ElaSelKey,0))</f>
        <v>-1.2</v>
      </c>
      <c r="R1609" s="225">
        <f>INDEX(ElaSel,MATCH("aei|"&amp;$F1609&amp;"|"&amp;$D1609,ElaSelKey,0))</f>
        <v>0.005</v>
      </c>
      <c r="S1609" s="133" t="n">
        <v>3</v>
      </c>
      <c r="T1609" s="48">
        <f>$Q1609*(1+$P1609)</f>
        <v>-0.36000000000000004</v>
      </c>
      <c r="U1609" s="3">
        <f>INDEX('Constants and Mappings'!$E$1633:$E$1644,MATCH($I1609,'Constants and Mappings'!$A$1633:$A$1644,0))</f>
        <v>196.0</v>
      </c>
      <c r="V1609" s="225">
        <f>INDEX('Constants and Mappings'!$V$1633:$V$1644,MATCH($I1609,'Constants and Mappings'!$A$1633:$A$1644,0))</f>
        <v>0.0</v>
      </c>
      <c r="W1609" s="197">
        <f>INDEX(EFSel,MATCH($B1609&amp;"|"&amp;$J1609,EFSelKey,0))*EFCalib</f>
        <v>0.0715246024071432</v>
      </c>
      <c r="X1609" s="195">
        <f>IF(LEFT(BalOpt,3)="Bal",$AY1609*$AV1609+$AZ1609*$AX1609,$BA1609)</f>
        <v>812.7304477340821</v>
      </c>
      <c r="Y1609" s="3" t="str">
        <f>IF($G1609="sub",$H1609,IF($B1609="oop","ind","trs"))</f>
        <v>trs</v>
      </c>
      <c r="Z1609" s="39">
        <f>IFERROR(MATCH($Y1609&amp;"|"&amp;$B1609,XKey,0),1)</f>
        <v>14.0</v>
      </c>
      <c r="AA1609" s="48">
        <f>INDEX(XCTVal,$Z1609,ECPEmb)+INDEX(XETSVal,$Z1609,ECPEmb)</f>
        <v>0.0</v>
      </c>
      <c r="AB1609" s="8" t="inlineStr">
        <is>
          <t>mnf</t>
        </is>
      </c>
      <c r="AC1609" s="8" t="inlineStr">
        <is>
          <t>die</t>
        </is>
      </c>
      <c r="AD1609" s="197">
        <f>IFERROR(INDEX(NCEfIn,MATCH($AB1609&amp;"."&amp;$AC1609&amp;".ch4",NCEfKey,0)),0)</f>
        <v>0.125604</v>
      </c>
      <c r="AE1609" s="197">
        <f>IFERROR(INDEX(NCEfFin,MATCH($AB1609&amp;"."&amp;$AC1609&amp;".ch4",NCEfKey,0)),0)</f>
        <v>0.125604</v>
      </c>
      <c r="AF1609" s="3" t="n">
        <v>0</v>
      </c>
      <c r="AG1609" s="197">
        <f>IFERROR(INDEX(NCEfIn,MATCH($AB1609&amp;"."&amp;$AC1609&amp;".pm2",NCEfKey,0)),0)</f>
        <v>0.0077372064</v>
      </c>
      <c r="AH1609" s="197">
        <f>IFERROR(INDEX(NCEfFin,MATCH($AB1609&amp;"."&amp;$AC1609&amp;".pm2",NCEfKey,0)),0)</f>
        <v>0.0077372064</v>
      </c>
      <c r="AI1609" s="197">
        <f>IFERROR(INDEX(NCEfIn,MATCH($AB1609&amp;"."&amp;$AC1609&amp;".nox",NCEfKey,0)),0)</f>
        <v>6.2802</v>
      </c>
      <c r="AJ1609" s="197">
        <f>IFERROR(INDEX(NCEfFin,MATCH($AB1609&amp;"."&amp;$AC1609&amp;".nox",NCEfKey,0)),0)</f>
        <v>6.2802</v>
      </c>
      <c r="AK1609" s="197">
        <f>IFERROR(INDEX(NCEfIn,MATCH($AB1609&amp;"."&amp;$AC1609&amp;".so2",NCEfKey,0)),0)</f>
        <v>3.9405156768</v>
      </c>
      <c r="AL1609" s="197">
        <f>IFERROR(INDEX(NCEfFin,MATCH($AB1609&amp;"."&amp;$AC1609&amp;".so2",NCEfKey,0)),0)</f>
        <v>3.9405156768</v>
      </c>
      <c r="AM1609" s="197">
        <f>IFERROR(INDEX(NCEfIn,MATCH($AB1609&amp;"."&amp;$AC1609&amp;".voc",NCEfKey,0)),0)</f>
        <v>0.167472</v>
      </c>
      <c r="AN1609" s="197">
        <f>IFERROR(INDEX(NCEfFin,MATCH($AB1609&amp;"."&amp;$AC1609&amp;".voc",NCEfKey,0)),0)</f>
        <v>0.167472</v>
      </c>
      <c r="AO1609" s="197">
        <f>IFERROR(INDEX(NCEfIn,MATCH($AB1609&amp;"."&amp;$AC1609&amp;".bc",NCEfKey,0)),0)</f>
        <v>0.004375206</v>
      </c>
      <c r="AP1609" s="197">
        <f>IFERROR(INDEX(NCEfFin,MATCH($AB1609&amp;"."&amp;$AC1609&amp;".bc",NCEfKey,0)),0)</f>
        <v>0.004375206</v>
      </c>
      <c r="AQ1609" s="197">
        <f>IFERROR(INDEX(NCEfIn,MATCH($AB1609&amp;"."&amp;$AC1609&amp;".oc",NCEfKey,0)),0)</f>
        <v>0.0006615144000000001</v>
      </c>
      <c r="AR1609" s="197">
        <f>IFERROR(INDEX(NCEfFin,MATCH($AB1609&amp;"."&amp;$AC1609&amp;".oc",NCEfKey,0)),0)</f>
        <v>0.0006615144000000001</v>
      </c>
      <c r="AS1609" s="197">
        <f>IFERROR(INDEX(NCEfIn,MATCH($AB1609&amp;"."&amp;$AC1609&amp;".co",NCEfKey,0)),0)</f>
        <v>1.67472</v>
      </c>
      <c r="AT1609" s="197">
        <f>IFERROR(INDEX(NCEfFin,MATCH($AB1609&amp;"."&amp;$AC1609&amp;".co",NCEfKey,0)),0)</f>
        <v>1.67472</v>
      </c>
      <c r="AU1609" s="3" t="str">
        <f>INDEX('Constants and Mappings'!$J$186:$J$201,MATCH($C1609,SubKey,0))</f>
        <v>ownuse</v>
      </c>
      <c r="AV1609" s="3">
        <f>INDEX('Constants and Mappings'!$K$186:$K$201,MATCH($C1609,SubKey,0))</f>
        <v>-1.0</v>
      </c>
      <c r="AW1609" s="3" t="str">
        <f>INDEX('Constants and Mappings'!$L$186:$L$201,MATCH($C1609,SubKey,0))&amp;""</f>
        <v>heat</v>
      </c>
      <c r="AX1609" s="3">
        <f>INDEX('Constants and Mappings'!$M$186:$M$201,MATCH($C1609,SubKey,0))</f>
        <v>-1.0</v>
      </c>
      <c r="AY1609" s="3" t="n">
        <v>-812.7304477340821</v>
      </c>
      <c r="AZ1609" s="3" t="n">
        <v>0</v>
      </c>
      <c r="BA1609" s="3" t="n">
        <v>812.7304477340821</v>
      </c>
      <c r="BB1609" s="3" t="n">
        <v>0</v>
      </c>
      <c r="BC1609" s="3" t="n">
        <v>0</v>
      </c>
      <c r="BD1609" s="3">
        <f>IFERROR($BB1609/$BC1609,0)</f>
        <v>0.0</v>
      </c>
      <c r="BE1609" s="133" t="n">
        <v>1</v>
      </c>
      <c r="BF1609" s="39" t="n">
        <v>1</v>
      </c>
    </row>
    <row r="1610">
      <c r="A1610" s="3" t="str">
        <f>$B1610&amp;"|"&amp;$C1610</f>
        <v>lpg|ftr</v>
      </c>
      <c r="B1610" s="8" t="inlineStr">
        <is>
          <t>lpg</t>
        </is>
      </c>
      <c r="C1610" s="8" t="inlineStr">
        <is>
          <t>ftr</t>
        </is>
      </c>
      <c r="D1610" s="3" t="str">
        <f>INDEX('Constants and Mappings'!$D$186:$D$201,MATCH($C1610,SubKey,0))</f>
        <v>ind</v>
      </c>
      <c r="E1610" s="3" t="str">
        <f>INDEX('Constants and Mappings'!$C$229:$C$237,MATCH($B1610,FuelKey,0))</f>
        <v>oil</v>
      </c>
      <c r="F1610" s="3" t="str">
        <f>INDEX('Constants and Mappings'!$D$229:$D$237,MATCH($B1610,FuelKey,0))</f>
        <v>oil</v>
      </c>
      <c r="G1610" s="3" t="str">
        <f>INDEX('Constants and Mappings'!$E$229:$E$237,MATCH($B1610,FuelKey,0))</f>
        <v>all</v>
      </c>
      <c r="H1610" s="3" t="str">
        <f>INDEX('Constants and Mappings'!$F$186:$F$201,MATCH($C1610,SubKey,0))</f>
        <v>ind</v>
      </c>
      <c r="I1610" s="3" t="str">
        <f>INDEX('Constants and Mappings'!$I$229:$I$237,MATCH($B1610,FuelKey,0))&amp;"."&amp;IF($G1610="sub",$H1610,"all")</f>
        <v>lpg.all</v>
      </c>
      <c r="J1610" s="3" t="str">
        <f>INDEX('Constants and Mappings'!$E$186:$E$201,MATCH($C1610,SubKey,0))</f>
        <v>ind</v>
      </c>
      <c r="K1610" s="3">
        <f>INDEX('Constants and Mappings'!$G$229:$G$237,MATCH($B1610,FuelKey,0))</f>
        <v>0.02577968854495125</v>
      </c>
      <c r="L1610" s="3">
        <f>INDEX('Constants and Mappings'!$H$229:$H$237,MATCH($B1610,FuelKey,0))</f>
        <v>5.0</v>
      </c>
      <c r="M1610" s="3">
        <f>INDEX('Constants and Mappings'!$H$186:$H$201,MATCH($C1610,SubKey,0))</f>
        <v>16.0</v>
      </c>
      <c r="N1610" s="3">
        <f>INDEX('Constants and Mappings'!$E$300:$E$313,MATCH($I1610,'Constants and Mappings'!$A$300:$A$313,0))</f>
        <v>11.0</v>
      </c>
      <c r="O1610" s="48">
        <f>INDEX(ElaSel,MATCH("inc|"&amp;$E1610&amp;"|"&amp;$D1610,ElaSelKey,0))</f>
        <v>0.8</v>
      </c>
      <c r="P1610" s="48">
        <f>INDEX(ElaSel,MATCH("usg|"&amp;$E1610&amp;"|"&amp;$D1610,ElaSelKey,0))</f>
        <v>-0.4</v>
      </c>
      <c r="Q1610" s="48">
        <f>INDEX(ElaSel,MATCH("eff|"&amp;$E1610&amp;"|"&amp;$D1610,ElaSelKey,0))</f>
        <v>-0.4</v>
      </c>
      <c r="R1610" s="225">
        <f>INDEX(ElaSel,MATCH("aei|"&amp;$F1610&amp;"|"&amp;$D1610,ElaSelKey,0))</f>
        <v>0.005</v>
      </c>
      <c r="S1610" s="133" t="n">
        <v>3</v>
      </c>
      <c r="T1610" s="48">
        <f>$Q1610*(1+$P1610)</f>
        <v>-0.24</v>
      </c>
      <c r="U1610" s="3">
        <f>INDEX('Constants and Mappings'!$E$1633:$E$1644,MATCH($I1610,'Constants and Mappings'!$A$1633:$A$1644,0))</f>
        <v>225.0</v>
      </c>
      <c r="V1610" s="225">
        <f>INDEX('Constants and Mappings'!$V$1633:$V$1644,MATCH($I1610,'Constants and Mappings'!$A$1633:$A$1644,0))</f>
        <v>0.0</v>
      </c>
      <c r="W1610" s="197">
        <f>INDEX(EFSel,MATCH($B1610&amp;"|"&amp;$J1610,EFSelKey,0))*EFCalib</f>
        <v>0.06829407370213687</v>
      </c>
      <c r="X1610" s="195">
        <f>IF(LEFT(BalOpt,3)="Bal",$AY1610*$AV1610+$AZ1610*$AX1610,$BA1610)</f>
        <v>2213.332339128648</v>
      </c>
      <c r="Y1610" s="3" t="str">
        <f>IF($G1610="sub",$H1610,IF($B1610="oop","ind","trs"))</f>
        <v>trs</v>
      </c>
      <c r="Z1610" s="39">
        <f>IFERROR(MATCH($Y1610&amp;"|"&amp;$B1610,XKey,0),1)</f>
        <v>15.0</v>
      </c>
      <c r="AA1610" s="48">
        <f>INDEX(XCTVal,$Z1610,ECPEmb)+INDEX(XETSVal,$Z1610,ECPEmb)</f>
        <v>0.0</v>
      </c>
      <c r="AB1610" s="8" t="inlineStr">
        <is>
          <t>mnf</t>
        </is>
      </c>
      <c r="AC1610" s="8" t="inlineStr">
        <is>
          <t>lpg</t>
        </is>
      </c>
      <c r="AD1610" s="197">
        <f>IFERROR(INDEX(NCEfIn,MATCH($AB1610&amp;"."&amp;$AC1610&amp;".ch4",NCEfKey,0)),0)</f>
        <v>0.041868</v>
      </c>
      <c r="AE1610" s="197">
        <f>IFERROR(INDEX(NCEfFin,MATCH($AB1610&amp;"."&amp;$AC1610&amp;".ch4",NCEfKey,0)),0)</f>
        <v>0.041868</v>
      </c>
      <c r="AF1610" s="3" t="n">
        <v>0</v>
      </c>
      <c r="AG1610" s="197">
        <f>IFERROR(INDEX(NCEfIn,MATCH($AB1610&amp;"."&amp;$AC1610&amp;".pm2",NCEfKey,0)),0)</f>
        <v>0.0083736</v>
      </c>
      <c r="AH1610" s="197">
        <f>IFERROR(INDEX(NCEfFin,MATCH($AB1610&amp;"."&amp;$AC1610&amp;".pm2",NCEfKey,0)),0)</f>
        <v>0.0083736</v>
      </c>
      <c r="AI1610" s="197">
        <f>IFERROR(INDEX(NCEfIn,MATCH($AB1610&amp;"."&amp;$AC1610&amp;".nox",NCEfKey,0)),0)</f>
        <v>2.93076</v>
      </c>
      <c r="AJ1610" s="197">
        <f>IFERROR(INDEX(NCEfFin,MATCH($AB1610&amp;"."&amp;$AC1610&amp;".nox",NCEfKey,0)),0)</f>
        <v>2.93076</v>
      </c>
      <c r="AK1610" s="197">
        <f>IFERROR(INDEX(NCEfIn,MATCH($AB1610&amp;"."&amp;$AC1610&amp;".so2",NCEfKey,0)),0)</f>
        <v>0.0</v>
      </c>
      <c r="AL1610" s="197">
        <f>IFERROR(INDEX(NCEfFin,MATCH($AB1610&amp;"."&amp;$AC1610&amp;".so2",NCEfKey,0)),0)</f>
        <v>0.0</v>
      </c>
      <c r="AM1610" s="197">
        <f>IFERROR(INDEX(NCEfIn,MATCH($AB1610&amp;"."&amp;$AC1610&amp;".voc",NCEfKey,0)),0)</f>
        <v>0.0</v>
      </c>
      <c r="AN1610" s="197">
        <f>IFERROR(INDEX(NCEfFin,MATCH($AB1610&amp;"."&amp;$AC1610&amp;".voc",NCEfKey,0)),0)</f>
        <v>0.0</v>
      </c>
      <c r="AO1610" s="197">
        <f>IFERROR(INDEX(NCEfIn,MATCH($AB1610&amp;"."&amp;$AC1610&amp;".bc",NCEfKey,0)),0)</f>
        <v>0.0005610312000000001</v>
      </c>
      <c r="AP1610" s="197">
        <f>IFERROR(INDEX(NCEfFin,MATCH($AB1610&amp;"."&amp;$AC1610&amp;".bc",NCEfKey,0)),0)</f>
        <v>0.0005610312000000001</v>
      </c>
      <c r="AQ1610" s="197">
        <f>IFERROR(INDEX(NCEfIn,MATCH($AB1610&amp;"."&amp;$AC1610&amp;".oc",NCEfKey,0)),0)</f>
        <v>0.0</v>
      </c>
      <c r="AR1610" s="197">
        <f>IFERROR(INDEX(NCEfFin,MATCH($AB1610&amp;"."&amp;$AC1610&amp;".oc",NCEfKey,0)),0)</f>
        <v>0.0</v>
      </c>
      <c r="AS1610" s="197">
        <f>IFERROR(INDEX(NCEfIn,MATCH($AB1610&amp;"."&amp;$AC1610&amp;".co",NCEfKey,0)),0)</f>
        <v>0.62802</v>
      </c>
      <c r="AT1610" s="197">
        <f>IFERROR(INDEX(NCEfFin,MATCH($AB1610&amp;"."&amp;$AC1610&amp;".co",NCEfKey,0)),0)</f>
        <v>0.62802</v>
      </c>
      <c r="AU1610" s="3" t="str">
        <f>INDEX('Constants and Mappings'!$J$186:$J$201,MATCH($C1610,SubKey,0))</f>
        <v>ownuse</v>
      </c>
      <c r="AV1610" s="3">
        <f>INDEX('Constants and Mappings'!$K$186:$K$201,MATCH($C1610,SubKey,0))</f>
        <v>-1.0</v>
      </c>
      <c r="AW1610" s="3" t="str">
        <f>INDEX('Constants and Mappings'!$L$186:$L$201,MATCH($C1610,SubKey,0))&amp;""</f>
        <v>heat</v>
      </c>
      <c r="AX1610" s="3">
        <f>INDEX('Constants and Mappings'!$M$186:$M$201,MATCH($C1610,SubKey,0))</f>
        <v>-1.0</v>
      </c>
      <c r="AY1610" s="3" t="n">
        <v>-2213.332339128648</v>
      </c>
      <c r="AZ1610" s="3" t="n">
        <v>0</v>
      </c>
      <c r="BA1610" s="3" t="n">
        <v>2213.332339128648</v>
      </c>
      <c r="BB1610" s="3" t="n">
        <v>0</v>
      </c>
      <c r="BC1610" s="3" t="n">
        <v>0</v>
      </c>
      <c r="BD1610" s="3">
        <f>IFERROR($BB1610/$BC1610,0)</f>
        <v>0.0</v>
      </c>
      <c r="BE1610" s="133" t="n">
        <v>1</v>
      </c>
      <c r="BF1610" s="39" t="n">
        <v>1</v>
      </c>
    </row>
    <row r="1611">
      <c r="A1611" s="3" t="str">
        <f>$B1611&amp;"|"&amp;$C1611</f>
        <v>ker|ftr</v>
      </c>
      <c r="B1611" s="8" t="inlineStr">
        <is>
          <t>ker</t>
        </is>
      </c>
      <c r="C1611" s="8" t="inlineStr">
        <is>
          <t>ftr</t>
        </is>
      </c>
      <c r="D1611" s="3" t="str">
        <f>INDEX('Constants and Mappings'!$D$186:$D$201,MATCH($C1611,SubKey,0))</f>
        <v>ind</v>
      </c>
      <c r="E1611" s="3" t="str">
        <f>INDEX('Constants and Mappings'!$C$229:$C$237,MATCH($B1611,FuelKey,0))</f>
        <v>oil</v>
      </c>
      <c r="F1611" s="3" t="str">
        <f>INDEX('Constants and Mappings'!$D$229:$D$237,MATCH($B1611,FuelKey,0))</f>
        <v>oil</v>
      </c>
      <c r="G1611" s="3" t="str">
        <f>INDEX('Constants and Mappings'!$E$229:$E$237,MATCH($B1611,FuelKey,0))</f>
        <v>all</v>
      </c>
      <c r="H1611" s="3" t="str">
        <f>INDEX('Constants and Mappings'!$F$186:$F$201,MATCH($C1611,SubKey,0))</f>
        <v>ind</v>
      </c>
      <c r="I1611" s="3" t="str">
        <f>INDEX('Constants and Mappings'!$I$229:$I$237,MATCH($B1611,FuelKey,0))&amp;"."&amp;IF($G1611="sub",$H1611,"all")</f>
        <v>ker.all</v>
      </c>
      <c r="J1611" s="3" t="str">
        <f>INDEX('Constants and Mappings'!$E$186:$E$201,MATCH($C1611,SubKey,0))</f>
        <v>ind</v>
      </c>
      <c r="K1611" s="3">
        <f>INDEX('Constants and Mappings'!$G$229:$G$237,MATCH($B1611,FuelKey,0))</f>
        <v>0.03774882965510715</v>
      </c>
      <c r="L1611" s="3">
        <f>INDEX('Constants and Mappings'!$H$229:$H$237,MATCH($B1611,FuelKey,0))</f>
        <v>6.0</v>
      </c>
      <c r="M1611" s="3">
        <f>INDEX('Constants and Mappings'!$H$186:$H$201,MATCH($C1611,SubKey,0))</f>
        <v>16.0</v>
      </c>
      <c r="N1611" s="3">
        <f>INDEX('Constants and Mappings'!$E$300:$E$313,MATCH($I1611,'Constants and Mappings'!$A$300:$A$313,0))</f>
        <v>12.0</v>
      </c>
      <c r="O1611" s="48">
        <f>INDEX(ElaSel,MATCH("inc|"&amp;$E1611&amp;"|"&amp;$D1611,ElaSelKey,0))</f>
        <v>0.8</v>
      </c>
      <c r="P1611" s="48">
        <f>INDEX(ElaSel,MATCH("usg|"&amp;$E1611&amp;"|"&amp;$D1611,ElaSelKey,0))</f>
        <v>-0.4</v>
      </c>
      <c r="Q1611" s="48">
        <f>INDEX(ElaSel,MATCH("eff|"&amp;$E1611&amp;"|"&amp;$D1611,ElaSelKey,0))</f>
        <v>-0.4</v>
      </c>
      <c r="R1611" s="225">
        <f>INDEX(ElaSel,MATCH("aei|"&amp;$F1611&amp;"|"&amp;$D1611,ElaSelKey,0))</f>
        <v>0.005</v>
      </c>
      <c r="S1611" s="133" t="n">
        <v>3</v>
      </c>
      <c r="T1611" s="48">
        <f>$Q1611*(1+$P1611)</f>
        <v>-0.24</v>
      </c>
      <c r="U1611" s="3">
        <f>INDEX('Constants and Mappings'!$E$1633:$E$1644,MATCH($I1611,'Constants and Mappings'!$A$1633:$A$1644,0))</f>
        <v>254.0</v>
      </c>
      <c r="V1611" s="225">
        <f>INDEX('Constants and Mappings'!$V$1633:$V$1644,MATCH($I1611,'Constants and Mappings'!$A$1633:$A$1644,0))</f>
        <v>0.0</v>
      </c>
      <c r="W1611" s="197">
        <f>INDEX(EFSel,MATCH($B1611&amp;"|"&amp;$J1611,EFSelKey,0))*EFCalib</f>
        <v>0.06749067257272545</v>
      </c>
      <c r="X1611" s="195">
        <f>IF(LEFT(BalOpt,3)="Bal",$AY1611*$AV1611+$AZ1611*$AX1611,$BA1611)</f>
        <v>-0.0</v>
      </c>
      <c r="Y1611" s="3" t="str">
        <f>IF($G1611="sub",$H1611,IF($B1611="oop","ind","trs"))</f>
        <v>trs</v>
      </c>
      <c r="Z1611" s="39">
        <f>IFERROR(MATCH($Y1611&amp;"|"&amp;$B1611,XKey,0),1)</f>
        <v>16.0</v>
      </c>
      <c r="AA1611" s="48">
        <f>INDEX(XCTVal,$Z1611,ECPEmb)+INDEX(XETSVal,$Z1611,ECPEmb)</f>
        <v>0.0</v>
      </c>
      <c r="AB1611" s="8" t="inlineStr">
        <is>
          <t>mnf</t>
        </is>
      </c>
      <c r="AC1611" s="8" t="inlineStr">
        <is>
          <t>ker</t>
        </is>
      </c>
      <c r="AD1611" s="197">
        <f>IFERROR(INDEX(NCEfIn,MATCH($AB1611&amp;"."&amp;$AC1611&amp;".ch4",NCEfKey,0)),0)</f>
        <v>0.125604</v>
      </c>
      <c r="AE1611" s="197">
        <f>IFERROR(INDEX(NCEfFin,MATCH($AB1611&amp;"."&amp;$AC1611&amp;".ch4",NCEfKey,0)),0)</f>
        <v>0.125604</v>
      </c>
      <c r="AF1611" s="3" t="n">
        <v>0</v>
      </c>
      <c r="AG1611" s="197">
        <f>IFERROR(INDEX(NCEfIn,MATCH($AB1611&amp;"."&amp;$AC1611&amp;".pm2",NCEfKey,0)),0)</f>
        <v>0.020934</v>
      </c>
      <c r="AH1611" s="197">
        <f>IFERROR(INDEX(NCEfFin,MATCH($AB1611&amp;"."&amp;$AC1611&amp;".pm2",NCEfKey,0)),0)</f>
        <v>0.020934</v>
      </c>
      <c r="AI1611" s="197">
        <f>IFERROR(INDEX(NCEfIn,MATCH($AB1611&amp;"."&amp;$AC1611&amp;".nox",NCEfKey,0)),0)</f>
        <v>2.93076</v>
      </c>
      <c r="AJ1611" s="197">
        <f>IFERROR(INDEX(NCEfFin,MATCH($AB1611&amp;"."&amp;$AC1611&amp;".nox",NCEfKey,0)),0)</f>
        <v>2.93076</v>
      </c>
      <c r="AK1611" s="197">
        <f>IFERROR(INDEX(NCEfIn,MATCH($AB1611&amp;"."&amp;$AC1611&amp;".so2",NCEfKey,0)),0)</f>
        <v>0.9101726388000001</v>
      </c>
      <c r="AL1611" s="197">
        <f>IFERROR(INDEX(NCEfFin,MATCH($AB1611&amp;"."&amp;$AC1611&amp;".so2",NCEfKey,0)),0)</f>
        <v>0.9101726388000001</v>
      </c>
      <c r="AM1611" s="197">
        <f>IFERROR(INDEX(NCEfIn,MATCH($AB1611&amp;"."&amp;$AC1611&amp;".voc",NCEfKey,0)),0)</f>
        <v>0.10467</v>
      </c>
      <c r="AN1611" s="197">
        <f>IFERROR(INDEX(NCEfFin,MATCH($AB1611&amp;"."&amp;$AC1611&amp;".voc",NCEfKey,0)),0)</f>
        <v>0.10467</v>
      </c>
      <c r="AO1611" s="197">
        <f>IFERROR(INDEX(NCEfIn,MATCH($AB1611&amp;"."&amp;$AC1611&amp;".bc",NCEfKey,0)),0)</f>
        <v>0.001402578</v>
      </c>
      <c r="AP1611" s="197">
        <f>IFERROR(INDEX(NCEfFin,MATCH($AB1611&amp;"."&amp;$AC1611&amp;".bc",NCEfKey,0)),0)</f>
        <v>0.001402578</v>
      </c>
      <c r="AQ1611" s="197">
        <f>IFERROR(INDEX(NCEfIn,MATCH($AB1611&amp;"."&amp;$AC1611&amp;".oc",NCEfKey,0)),0)</f>
        <v>0.0157005</v>
      </c>
      <c r="AR1611" s="197">
        <f>IFERROR(INDEX(NCEfFin,MATCH($AB1611&amp;"."&amp;$AC1611&amp;".oc",NCEfKey,0)),0)</f>
        <v>0.0157005</v>
      </c>
      <c r="AS1611" s="197">
        <f>IFERROR(INDEX(NCEfIn,MATCH($AB1611&amp;"."&amp;$AC1611&amp;".co",NCEfKey,0)),0)</f>
        <v>1.67472</v>
      </c>
      <c r="AT1611" s="197">
        <f>IFERROR(INDEX(NCEfFin,MATCH($AB1611&amp;"."&amp;$AC1611&amp;".co",NCEfKey,0)),0)</f>
        <v>1.67472</v>
      </c>
      <c r="AU1611" s="3" t="str">
        <f>INDEX('Constants and Mappings'!$J$186:$J$201,MATCH($C1611,SubKey,0))</f>
        <v>ownuse</v>
      </c>
      <c r="AV1611" s="3">
        <f>INDEX('Constants and Mappings'!$K$186:$K$201,MATCH($C1611,SubKey,0))</f>
        <v>-1.0</v>
      </c>
      <c r="AW1611" s="3" t="str">
        <f>INDEX('Constants and Mappings'!$L$186:$L$201,MATCH($C1611,SubKey,0))&amp;""</f>
        <v>heat</v>
      </c>
      <c r="AX1611" s="3">
        <f>INDEX('Constants and Mappings'!$M$186:$M$201,MATCH($C1611,SubKey,0))</f>
        <v>-1.0</v>
      </c>
      <c r="AY1611" s="3" t="n">
        <v>0</v>
      </c>
      <c r="AZ1611" s="3" t="n">
        <v>0</v>
      </c>
      <c r="BA1611" s="3" t="n">
        <v>0</v>
      </c>
      <c r="BB1611" s="3" t="n">
        <v>0</v>
      </c>
      <c r="BC1611" s="3" t="n">
        <v>0</v>
      </c>
      <c r="BD1611" s="3">
        <f>IFERROR($BB1611/$BC1611,0)</f>
        <v>0.0</v>
      </c>
      <c r="BE1611" s="133" t="n">
        <v>1</v>
      </c>
      <c r="BF1611" s="39" t="n">
        <v>1</v>
      </c>
    </row>
    <row r="1612">
      <c r="A1612" s="3" t="str">
        <f>$B1612&amp;"|"&amp;$C1612</f>
        <v>jfu|ftr</v>
      </c>
      <c r="B1612" s="8" t="inlineStr">
        <is>
          <t>jfu</t>
        </is>
      </c>
      <c r="C1612" s="8" t="inlineStr">
        <is>
          <t>ftr</t>
        </is>
      </c>
      <c r="D1612" s="3" t="str">
        <f>INDEX('Constants and Mappings'!$D$186:$D$201,MATCH($C1612,SubKey,0))</f>
        <v>ind</v>
      </c>
      <c r="E1612" s="3" t="str">
        <f>INDEX('Constants and Mappings'!$C$229:$C$237,MATCH($B1612,FuelKey,0))</f>
        <v>oil</v>
      </c>
      <c r="F1612" s="3" t="str">
        <f>INDEX('Constants and Mappings'!$D$229:$D$237,MATCH($B1612,FuelKey,0))</f>
        <v>oil</v>
      </c>
      <c r="G1612" s="3" t="str">
        <f>INDEX('Constants and Mappings'!$E$229:$E$237,MATCH($B1612,FuelKey,0))</f>
        <v>all</v>
      </c>
      <c r="H1612" s="3" t="str">
        <f>INDEX('Constants and Mappings'!$F$186:$F$201,MATCH($C1612,SubKey,0))</f>
        <v>ind</v>
      </c>
      <c r="I1612" s="3" t="str">
        <f>INDEX('Constants and Mappings'!$I$229:$I$237,MATCH($B1612,FuelKey,0))&amp;"."&amp;IF($G1612="sub",$H1612,"all")</f>
        <v>ker.all</v>
      </c>
      <c r="J1612" s="3" t="str">
        <f>INDEX('Constants and Mappings'!$E$186:$E$201,MATCH($C1612,SubKey,0))</f>
        <v>ind</v>
      </c>
      <c r="K1612" s="3">
        <f>INDEX('Constants and Mappings'!$G$229:$G$237,MATCH($B1612,FuelKey,0))</f>
        <v>0.0348608</v>
      </c>
      <c r="L1612" s="3">
        <f>INDEX('Constants and Mappings'!$H$229:$H$237,MATCH($B1612,FuelKey,0))</f>
        <v>7.0</v>
      </c>
      <c r="M1612" s="3">
        <f>INDEX('Constants and Mappings'!$H$186:$H$201,MATCH($C1612,SubKey,0))</f>
        <v>16.0</v>
      </c>
      <c r="N1612" s="3">
        <f>INDEX('Constants and Mappings'!$E$300:$E$313,MATCH($I1612,'Constants and Mappings'!$A$300:$A$313,0))</f>
        <v>12.0</v>
      </c>
      <c r="O1612" s="48">
        <f>INDEX(ElaSel,MATCH("inc|"&amp;$E1612&amp;"|"&amp;$D1612,ElaSelKey,0))</f>
        <v>0.8</v>
      </c>
      <c r="P1612" s="48">
        <f>INDEX(ElaSel,MATCH("usg|"&amp;$E1612&amp;"|"&amp;$D1612,ElaSelKey,0))</f>
        <v>-0.4</v>
      </c>
      <c r="Q1612" s="48">
        <f>INDEX(ElaSel,MATCH("eff|"&amp;$E1612&amp;"|"&amp;$D1612,ElaSelKey,0))</f>
        <v>-0.4</v>
      </c>
      <c r="R1612" s="225">
        <f>INDEX(ElaSel,MATCH("aei|"&amp;$F1612&amp;"|"&amp;$D1612,ElaSelKey,0))</f>
        <v>0.005</v>
      </c>
      <c r="S1612" s="133" t="n">
        <v>3</v>
      </c>
      <c r="T1612" s="48">
        <f>$Q1612*(1+$P1612)</f>
        <v>-0.24</v>
      </c>
      <c r="U1612" s="3">
        <f>INDEX('Constants and Mappings'!$E$1633:$E$1644,MATCH($I1612,'Constants and Mappings'!$A$1633:$A$1644,0))</f>
        <v>254.0</v>
      </c>
      <c r="V1612" s="225">
        <f>INDEX('Constants and Mappings'!$V$1633:$V$1644,MATCH($I1612,'Constants and Mappings'!$A$1633:$A$1644,0))</f>
        <v>0.0</v>
      </c>
      <c r="W1612" s="197">
        <f>INDEX(EFSel,MATCH($B1612&amp;"|"&amp;$J1612,EFSelKey,0))*EFCalib</f>
        <v>0.07118114095776658</v>
      </c>
      <c r="X1612" s="195">
        <f>IF(LEFT(BalOpt,3)="Bal",$AY1612*$AV1612+$AZ1612*$AX1612,$BA1612)</f>
        <v>-0.0</v>
      </c>
      <c r="Y1612" s="3" t="str">
        <f>IF($G1612="sub",$H1612,IF($B1612="oop","ind","trs"))</f>
        <v>trs</v>
      </c>
      <c r="Z1612" s="39">
        <f>IFERROR(MATCH($Y1612&amp;"|"&amp;$B1612,XKey,0),1)</f>
        <v>17.0</v>
      </c>
      <c r="AA1612" s="48">
        <f>INDEX(XCTVal,$Z1612,ECPEmb)+INDEX(XETSVal,$Z1612,ECPEmb)</f>
        <v>0.0</v>
      </c>
      <c r="AB1612" s="8" t="inlineStr">
        <is>
          <t>mnf</t>
        </is>
      </c>
      <c r="AC1612" s="8" t="inlineStr">
        <is>
          <t>jfu</t>
        </is>
      </c>
      <c r="AD1612" s="197">
        <f>IFERROR(INDEX(NCEfIn,MATCH($AB1612&amp;"."&amp;$AC1612&amp;".ch4",NCEfKey,0)),0)</f>
        <v>0.0</v>
      </c>
      <c r="AE1612" s="197">
        <f>IFERROR(INDEX(NCEfFin,MATCH($AB1612&amp;"."&amp;$AC1612&amp;".ch4",NCEfKey,0)),0)</f>
        <v>0.0</v>
      </c>
      <c r="AF1612" s="3" t="n">
        <v>0</v>
      </c>
      <c r="AG1612" s="197">
        <f>IFERROR(INDEX(NCEfIn,MATCH($AB1612&amp;"."&amp;$AC1612&amp;".pm2",NCEfKey,0)),0)</f>
        <v>0.0</v>
      </c>
      <c r="AH1612" s="197">
        <f>IFERROR(INDEX(NCEfFin,MATCH($AB1612&amp;"."&amp;$AC1612&amp;".pm2",NCEfKey,0)),0)</f>
        <v>0.0</v>
      </c>
      <c r="AI1612" s="197">
        <f>IFERROR(INDEX(NCEfIn,MATCH($AB1612&amp;"."&amp;$AC1612&amp;".nox",NCEfKey,0)),0)</f>
        <v>0.0</v>
      </c>
      <c r="AJ1612" s="197">
        <f>IFERROR(INDEX(NCEfFin,MATCH($AB1612&amp;"."&amp;$AC1612&amp;".nox",NCEfKey,0)),0)</f>
        <v>0.0</v>
      </c>
      <c r="AK1612" s="197">
        <f>IFERROR(INDEX(NCEfIn,MATCH($AB1612&amp;"."&amp;$AC1612&amp;".so2",NCEfKey,0)),0)</f>
        <v>0.0</v>
      </c>
      <c r="AL1612" s="197">
        <f>IFERROR(INDEX(NCEfFin,MATCH($AB1612&amp;"."&amp;$AC1612&amp;".so2",NCEfKey,0)),0)</f>
        <v>0.0</v>
      </c>
      <c r="AM1612" s="197">
        <f>IFERROR(INDEX(NCEfIn,MATCH($AB1612&amp;"."&amp;$AC1612&amp;".voc",NCEfKey,0)),0)</f>
        <v>0.0</v>
      </c>
      <c r="AN1612" s="197">
        <f>IFERROR(INDEX(NCEfFin,MATCH($AB1612&amp;"."&amp;$AC1612&amp;".voc",NCEfKey,0)),0)</f>
        <v>0.0</v>
      </c>
      <c r="AO1612" s="197">
        <f>IFERROR(INDEX(NCEfIn,MATCH($AB1612&amp;"."&amp;$AC1612&amp;".bc",NCEfKey,0)),0)</f>
        <v>0.0</v>
      </c>
      <c r="AP1612" s="197">
        <f>IFERROR(INDEX(NCEfFin,MATCH($AB1612&amp;"."&amp;$AC1612&amp;".bc",NCEfKey,0)),0)</f>
        <v>0.0</v>
      </c>
      <c r="AQ1612" s="197">
        <f>IFERROR(INDEX(NCEfIn,MATCH($AB1612&amp;"."&amp;$AC1612&amp;".oc",NCEfKey,0)),0)</f>
        <v>0.0</v>
      </c>
      <c r="AR1612" s="197">
        <f>IFERROR(INDEX(NCEfFin,MATCH($AB1612&amp;"."&amp;$AC1612&amp;".oc",NCEfKey,0)),0)</f>
        <v>0.0</v>
      </c>
      <c r="AS1612" s="197">
        <f>IFERROR(INDEX(NCEfIn,MATCH($AB1612&amp;"."&amp;$AC1612&amp;".co",NCEfKey,0)),0)</f>
        <v>0.0</v>
      </c>
      <c r="AT1612" s="197">
        <f>IFERROR(INDEX(NCEfFin,MATCH($AB1612&amp;"."&amp;$AC1612&amp;".co",NCEfKey,0)),0)</f>
        <v>0.0</v>
      </c>
      <c r="AU1612" s="3" t="str">
        <f>INDEX('Constants and Mappings'!$J$186:$J$201,MATCH($C1612,SubKey,0))</f>
        <v>ownuse</v>
      </c>
      <c r="AV1612" s="3">
        <f>INDEX('Constants and Mappings'!$K$186:$K$201,MATCH($C1612,SubKey,0))</f>
        <v>-1.0</v>
      </c>
      <c r="AW1612" s="3" t="str">
        <f>INDEX('Constants and Mappings'!$L$186:$L$201,MATCH($C1612,SubKey,0))&amp;""</f>
        <v>heat</v>
      </c>
      <c r="AX1612" s="3">
        <f>INDEX('Constants and Mappings'!$M$186:$M$201,MATCH($C1612,SubKey,0))</f>
        <v>-1.0</v>
      </c>
      <c r="AY1612" s="3" t="n">
        <v>0</v>
      </c>
      <c r="AZ1612" s="3" t="n">
        <v>0</v>
      </c>
      <c r="BA1612" s="3" t="n">
        <v>0</v>
      </c>
      <c r="BB1612" s="3" t="n">
        <v>0</v>
      </c>
      <c r="BC1612" s="3" t="n">
        <v>0</v>
      </c>
      <c r="BD1612" s="3">
        <f>IFERROR($BB1612/$BC1612,0)</f>
        <v>0.0</v>
      </c>
      <c r="BE1612" s="133" t="n">
        <v>1</v>
      </c>
      <c r="BF1612" s="39" t="n">
        <v>1</v>
      </c>
    </row>
    <row r="1613">
      <c r="A1613" s="3" t="str">
        <f>$B1613&amp;"|"&amp;$C1613</f>
        <v>oop|ftr</v>
      </c>
      <c r="B1613" s="8" t="inlineStr">
        <is>
          <t>oop</t>
        </is>
      </c>
      <c r="C1613" s="8" t="inlineStr">
        <is>
          <t>ftr</t>
        </is>
      </c>
      <c r="D1613" s="3" t="str">
        <f>INDEX('Constants and Mappings'!$D$186:$D$201,MATCH($C1613,SubKey,0))</f>
        <v>ind</v>
      </c>
      <c r="E1613" s="3" t="str">
        <f>INDEX('Constants and Mappings'!$C$229:$C$237,MATCH($B1613,FuelKey,0))</f>
        <v>oil</v>
      </c>
      <c r="F1613" s="3" t="str">
        <f>INDEX('Constants and Mappings'!$D$229:$D$237,MATCH($B1613,FuelKey,0))</f>
        <v>oil</v>
      </c>
      <c r="G1613" s="3" t="str">
        <f>INDEX('Constants and Mappings'!$E$229:$E$237,MATCH($B1613,FuelKey,0))</f>
        <v>all</v>
      </c>
      <c r="H1613" s="3" t="str">
        <f>INDEX('Constants and Mappings'!$F$186:$F$201,MATCH($C1613,SubKey,0))</f>
        <v>ind</v>
      </c>
      <c r="I1613" s="3" t="str">
        <f>INDEX('Constants and Mappings'!$I$229:$I$237,MATCH($B1613,FuelKey,0))&amp;"."&amp;IF($G1613="sub",$H1613,"all")</f>
        <v>oop.all</v>
      </c>
      <c r="J1613" s="3" t="str">
        <f>INDEX('Constants and Mappings'!$E$186:$E$201,MATCH($C1613,SubKey,0))</f>
        <v>ind</v>
      </c>
      <c r="K1613" s="3">
        <f>INDEX('Constants and Mappings'!$G$229:$G$237,MATCH($B1613,FuelKey,0))</f>
        <v>6.12</v>
      </c>
      <c r="L1613" s="3">
        <f>INDEX('Constants and Mappings'!$H$229:$H$237,MATCH($B1613,FuelKey,0))</f>
        <v>8.0</v>
      </c>
      <c r="M1613" s="3">
        <f>INDEX('Constants and Mappings'!$H$186:$H$201,MATCH($C1613,SubKey,0))</f>
        <v>16.0</v>
      </c>
      <c r="N1613" s="3">
        <f>INDEX('Constants and Mappings'!$E$300:$E$313,MATCH($I1613,'Constants and Mappings'!$A$300:$A$313,0))</f>
        <v>13.0</v>
      </c>
      <c r="O1613" s="48">
        <f>INDEX(ElaSel,MATCH("inc|"&amp;$E1613&amp;"|"&amp;$D1613,ElaSelKey,0))</f>
        <v>0.8</v>
      </c>
      <c r="P1613" s="48">
        <f>INDEX(ElaSel,MATCH("usg|"&amp;$E1613&amp;"|"&amp;$D1613,ElaSelKey,0))</f>
        <v>-0.4</v>
      </c>
      <c r="Q1613" s="48">
        <f>INDEX(ElaSel,MATCH("eff|"&amp;$E1613&amp;"|"&amp;$D1613,ElaSelKey,0))</f>
        <v>-0.4</v>
      </c>
      <c r="R1613" s="225">
        <f>INDEX(ElaSel,MATCH("aei|"&amp;$F1613&amp;"|"&amp;$D1613,ElaSelKey,0))</f>
        <v>0.005</v>
      </c>
      <c r="S1613" s="133" t="n">
        <v>3</v>
      </c>
      <c r="T1613" s="48">
        <f>$Q1613*(1+$P1613)</f>
        <v>-0.24</v>
      </c>
      <c r="U1613" s="3">
        <f>INDEX('Constants and Mappings'!$E$1633:$E$1644,MATCH($I1613,'Constants and Mappings'!$A$1633:$A$1644,0))</f>
        <v>283.0</v>
      </c>
      <c r="V1613" s="225">
        <f>INDEX('Constants and Mappings'!$V$1633:$V$1644,MATCH($I1613,'Constants and Mappings'!$A$1633:$A$1644,0))</f>
        <v>0.0</v>
      </c>
      <c r="W1613" s="197">
        <f>INDEX(EFSel,MATCH($B1613&amp;"|"&amp;$J1613,EFSelKey,0))*EFCalib</f>
        <v>0.07635795120924052</v>
      </c>
      <c r="X1613" s="195">
        <f>IF(LEFT(BalOpt,3)="Bal",$AY1613*$AV1613+$AZ1613*$AX1613,$BA1613)</f>
        <v>288.7399630724493</v>
      </c>
      <c r="Y1613" s="3" t="str">
        <f>IF($G1613="sub",$H1613,IF($B1613="oop","ind","trs"))</f>
        <v>ind</v>
      </c>
      <c r="Z1613" s="39">
        <f>IFERROR(MATCH($Y1613&amp;"|"&amp;$B1613,XKey,0),1)</f>
        <v>36.0</v>
      </c>
      <c r="AA1613" s="48">
        <f>INDEX(XCTVal,$Z1613,ECPEmb)+INDEX(XETSVal,$Z1613,ECPEmb)</f>
        <v>0.0</v>
      </c>
      <c r="AB1613" s="8" t="inlineStr">
        <is>
          <t>mnf</t>
        </is>
      </c>
      <c r="AC1613" s="8" t="inlineStr">
        <is>
          <t>oop</t>
        </is>
      </c>
      <c r="AD1613" s="197">
        <f>IFERROR(INDEX(NCEfIn,MATCH($AB1613&amp;"."&amp;$AC1613&amp;".ch4",NCEfKey,0)),0)</f>
        <v>0.125604</v>
      </c>
      <c r="AE1613" s="197">
        <f>IFERROR(INDEX(NCEfFin,MATCH($AB1613&amp;"."&amp;$AC1613&amp;".ch4",NCEfKey,0)),0)</f>
        <v>0.1255998132</v>
      </c>
      <c r="AF1613" s="3" t="n">
        <v>0</v>
      </c>
      <c r="AG1613" s="197">
        <f>IFERROR(INDEX(NCEfIn,MATCH($AB1613&amp;"."&amp;$AC1613&amp;".pm2",NCEfKey,0)),0)</f>
        <v>0.304212888</v>
      </c>
      <c r="AH1613" s="197">
        <f>IFERROR(INDEX(NCEfFin,MATCH($AB1613&amp;"."&amp;$AC1613&amp;".pm2",NCEfKey,0)),0)</f>
        <v>0.3042087012</v>
      </c>
      <c r="AI1613" s="197">
        <f>IFERROR(INDEX(NCEfIn,MATCH($AB1613&amp;"."&amp;$AC1613&amp;".nox",NCEfKey,0)),0)</f>
        <v>7.95492</v>
      </c>
      <c r="AJ1613" s="197">
        <f>IFERROR(INDEX(NCEfFin,MATCH($AB1613&amp;"."&amp;$AC1613&amp;".nox",NCEfKey,0)),0)</f>
        <v>6.173939016</v>
      </c>
      <c r="AK1613" s="197">
        <f>IFERROR(INDEX(NCEfIn,MATCH($AB1613&amp;"."&amp;$AC1613&amp;".so2",NCEfKey,0)),0)</f>
        <v>35.5878</v>
      </c>
      <c r="AL1613" s="197">
        <f>IFERROR(INDEX(NCEfFin,MATCH($AB1613&amp;"."&amp;$AC1613&amp;".so2",NCEfKey,0)),0)</f>
        <v>27.2137143312</v>
      </c>
      <c r="AM1613" s="197">
        <f>IFERROR(INDEX(NCEfIn,MATCH($AB1613&amp;"."&amp;$AC1613&amp;".voc",NCEfKey,0)),0)</f>
        <v>0.20934</v>
      </c>
      <c r="AN1613" s="197">
        <f>IFERROR(INDEX(NCEfFin,MATCH($AB1613&amp;"."&amp;$AC1613&amp;".voc",NCEfKey,0)),0)</f>
        <v>0.2093358132</v>
      </c>
      <c r="AO1613" s="197">
        <f>IFERROR(INDEX(NCEfIn,MATCH($AB1613&amp;"."&amp;$AC1613&amp;".bc",NCEfKey,0)),0)</f>
        <v>0.0295881156</v>
      </c>
      <c r="AP1613" s="197">
        <f>IFERROR(INDEX(NCEfFin,MATCH($AB1613&amp;"."&amp;$AC1613&amp;".bc",NCEfKey,0)),0)</f>
        <v>0.0295881156</v>
      </c>
      <c r="AQ1613" s="197">
        <f>IFERROR(INDEX(NCEfIn,MATCH($AB1613&amp;"."&amp;$AC1613&amp;".oc",NCEfKey,0)),0)</f>
        <v>0.0123845544</v>
      </c>
      <c r="AR1613" s="197">
        <f>IFERROR(INDEX(NCEfFin,MATCH($AB1613&amp;"."&amp;$AC1613&amp;".oc",NCEfKey,0)),0)</f>
        <v>0.0123845544</v>
      </c>
      <c r="AS1613" s="197">
        <f>IFERROR(INDEX(NCEfIn,MATCH($AB1613&amp;"."&amp;$AC1613&amp;".co",NCEfKey,0)),0)</f>
        <v>1.67472</v>
      </c>
      <c r="AT1613" s="197">
        <f>IFERROR(INDEX(NCEfFin,MATCH($AB1613&amp;"."&amp;$AC1613&amp;".co",NCEfKey,0)),0)</f>
        <v>1.6746906924</v>
      </c>
      <c r="AU1613" s="3" t="str">
        <f>INDEX('Constants and Mappings'!$J$186:$J$201,MATCH($C1613,SubKey,0))</f>
        <v>ownuse</v>
      </c>
      <c r="AV1613" s="3">
        <f>INDEX('Constants and Mappings'!$K$186:$K$201,MATCH($C1613,SubKey,0))</f>
        <v>-1.0</v>
      </c>
      <c r="AW1613" s="3" t="str">
        <f>INDEX('Constants and Mappings'!$L$186:$L$201,MATCH($C1613,SubKey,0))&amp;""</f>
        <v>heat</v>
      </c>
      <c r="AX1613" s="3">
        <f>INDEX('Constants and Mappings'!$M$186:$M$201,MATCH($C1613,SubKey,0))</f>
        <v>-1.0</v>
      </c>
      <c r="AY1613" s="3" t="n">
        <v>-288.7399630724493</v>
      </c>
      <c r="AZ1613" s="3" t="n">
        <v>0</v>
      </c>
      <c r="BA1613" s="3" t="n">
        <v>288.7399630724493</v>
      </c>
      <c r="BB1613" s="3" t="n">
        <v>0</v>
      </c>
      <c r="BC1613" s="3" t="n">
        <v>0</v>
      </c>
      <c r="BD1613" s="3">
        <f>IFERROR($BB1613/$BC1613,0)</f>
        <v>0.0</v>
      </c>
      <c r="BE1613" s="133" t="n">
        <v>1</v>
      </c>
      <c r="BF1613" s="39" t="n">
        <v>1</v>
      </c>
    </row>
    <row r="1614">
      <c r="A1614" s="3" t="str">
        <f>$B1614&amp;"|"&amp;$C1614</f>
        <v>bio|ftr</v>
      </c>
      <c r="B1614" s="8" t="inlineStr">
        <is>
          <t>bio</t>
        </is>
      </c>
      <c r="C1614" s="8" t="inlineStr">
        <is>
          <t>ftr</t>
        </is>
      </c>
      <c r="D1614" s="3" t="str">
        <f>INDEX('Constants and Mappings'!$D$186:$D$201,MATCH($C1614,SubKey,0))</f>
        <v>ind</v>
      </c>
      <c r="E1614" s="3" t="str">
        <f>INDEX('Constants and Mappings'!$C$229:$C$237,MATCH($B1614,FuelKey,0))</f>
        <v>bio</v>
      </c>
      <c r="F1614" s="3" t="str">
        <f>INDEX('Constants and Mappings'!$D$229:$D$237,MATCH($B1614,FuelKey,0))</f>
        <v>bio</v>
      </c>
      <c r="G1614" s="3" t="str">
        <f>INDEX('Constants and Mappings'!$E$229:$E$237,MATCH($B1614,FuelKey,0))</f>
        <v>all</v>
      </c>
      <c r="H1614" s="3" t="str">
        <f>INDEX('Constants and Mappings'!$F$186:$F$201,MATCH($C1614,SubKey,0))</f>
        <v>ind</v>
      </c>
      <c r="I1614" s="3" t="str">
        <f>INDEX('Constants and Mappings'!$I$229:$I$237,MATCH($B1614,FuelKey,0))&amp;"."&amp;IF($G1614="sub",$H1614,"all")</f>
        <v>bio.all</v>
      </c>
      <c r="J1614" s="3" t="str">
        <f>INDEX('Constants and Mappings'!$E$186:$E$201,MATCH($C1614,SubKey,0))</f>
        <v>ind</v>
      </c>
      <c r="K1614" s="3">
        <f>INDEX('Constants and Mappings'!$G$229:$G$237,MATCH($B1614,FuelKey,0))</f>
        <v>1.0</v>
      </c>
      <c r="L1614" s="3">
        <f>INDEX('Constants and Mappings'!$H$229:$H$237,MATCH($B1614,FuelKey,0))</f>
        <v>9.0</v>
      </c>
      <c r="M1614" s="3">
        <f>INDEX('Constants and Mappings'!$H$186:$H$201,MATCH($C1614,SubKey,0))</f>
        <v>16.0</v>
      </c>
      <c r="N1614" s="3">
        <f>INDEX('Constants and Mappings'!$E$300:$E$313,MATCH($I1614,'Constants and Mappings'!$A$300:$A$313,0))</f>
        <v>14.0</v>
      </c>
      <c r="O1614" s="48">
        <f>INDEX(ElaSel,MATCH("inc|"&amp;$E1614&amp;"|"&amp;$D1614,ElaSelKey,0))</f>
        <v>0.1</v>
      </c>
      <c r="P1614" s="48">
        <f>INDEX(ElaSel,MATCH("usg|"&amp;$E1614&amp;"|"&amp;$D1614,ElaSelKey,0))</f>
        <v>-0.3</v>
      </c>
      <c r="Q1614" s="48">
        <f>INDEX(ElaSel,MATCH("eff|"&amp;$E1614&amp;"|"&amp;$D1614,ElaSelKey,0))</f>
        <v>-0.2</v>
      </c>
      <c r="R1614" s="225">
        <f>INDEX(ElaSel,MATCH("aei|"&amp;$F1614&amp;"|"&amp;$D1614,ElaSelKey,0))</f>
        <v>0.005</v>
      </c>
      <c r="S1614" s="133" t="n">
        <v>3</v>
      </c>
      <c r="T1614" s="48">
        <f>$Q1614*(1+$P1614)</f>
        <v>-0.13999999999999999</v>
      </c>
      <c r="U1614" s="3">
        <f>INDEX('Constants and Mappings'!$E$1633:$E$1644,MATCH($I1614,'Constants and Mappings'!$A$1633:$A$1644,0))</f>
        <v>312.0</v>
      </c>
      <c r="V1614" s="225">
        <f>INDEX('Constants and Mappings'!$V$1633:$V$1644,MATCH($I1614,'Constants and Mappings'!$A$1633:$A$1644,0))</f>
        <v>0.0</v>
      </c>
      <c r="W1614" s="197">
        <f>INDEX(EFSel,MATCH($B1614&amp;"|"&amp;$J1614,EFSelKey,0))*EFCalib</f>
        <v>0.0</v>
      </c>
      <c r="X1614" s="195">
        <f>IF(LEFT(BalOpt,3)="Bal",$AY1614*$AV1614+$AZ1614*$AX1614,$BA1614)</f>
        <v>-0.0</v>
      </c>
      <c r="Y1614" s="3" t="str">
        <f>IF($G1614="sub",$H1614,IF($B1614="oop","ind","trs"))</f>
        <v>trs</v>
      </c>
      <c r="Z1614" s="39">
        <f>IFERROR(MATCH($Y1614&amp;"|"&amp;$B1614,XKey,0),1)</f>
        <v>19.0</v>
      </c>
      <c r="AA1614" s="48">
        <f>INDEX(XCTVal,$Z1614,ECPEmb)+INDEX(XETSVal,$Z1614,ECPEmb)</f>
        <v>0.0</v>
      </c>
      <c r="AB1614" s="8" t="inlineStr">
        <is>
          <t>mnf</t>
        </is>
      </c>
      <c r="AC1614" s="8" t="inlineStr">
        <is>
          <t>bio</t>
        </is>
      </c>
      <c r="AD1614" s="197">
        <f>IFERROR(INDEX(NCEfIn,MATCH($AB1614&amp;"."&amp;$AC1614&amp;".ch4",NCEfKey,0)),0)</f>
        <v>0.460548</v>
      </c>
      <c r="AE1614" s="197">
        <f>IFERROR(INDEX(NCEfFin,MATCH($AB1614&amp;"."&amp;$AC1614&amp;".ch4",NCEfKey,0)),0)</f>
        <v>0.460548</v>
      </c>
      <c r="AF1614" s="3" t="n">
        <v>0</v>
      </c>
      <c r="AG1614" s="197">
        <f>IFERROR(INDEX(NCEfIn,MATCH($AB1614&amp;"."&amp;$AC1614&amp;".pm2",NCEfKey,0)),0)</f>
        <v>6.2980860096</v>
      </c>
      <c r="AH1614" s="197">
        <f>IFERROR(INDEX(NCEfFin,MATCH($AB1614&amp;"."&amp;$AC1614&amp;".pm2",NCEfKey,0)),0)</f>
        <v>4.139405424</v>
      </c>
      <c r="AI1614" s="197">
        <f>IFERROR(INDEX(NCEfIn,MATCH($AB1614&amp;"."&amp;$AC1614&amp;".nox",NCEfKey,0)),0)</f>
        <v>5.44284</v>
      </c>
      <c r="AJ1614" s="197">
        <f>IFERROR(INDEX(NCEfFin,MATCH($AB1614&amp;"."&amp;$AC1614&amp;".nox",NCEfKey,0)),0)</f>
        <v>5.44284</v>
      </c>
      <c r="AK1614" s="197">
        <f>IFERROR(INDEX(NCEfIn,MATCH($AB1614&amp;"."&amp;$AC1614&amp;".so2",NCEfKey,0)),0)</f>
        <v>1.0467</v>
      </c>
      <c r="AL1614" s="197">
        <f>IFERROR(INDEX(NCEfFin,MATCH($AB1614&amp;"."&amp;$AC1614&amp;".so2",NCEfKey,0)),0)</f>
        <v>1.0467</v>
      </c>
      <c r="AM1614" s="197">
        <f>IFERROR(INDEX(NCEfIn,MATCH($AB1614&amp;"."&amp;$AC1614&amp;".voc",NCEfKey,0)),0)</f>
        <v>2.1837846384</v>
      </c>
      <c r="AN1614" s="197">
        <f>IFERROR(INDEX(NCEfFin,MATCH($AB1614&amp;"."&amp;$AC1614&amp;".voc",NCEfKey,0)),0)</f>
        <v>2.009664</v>
      </c>
      <c r="AO1614" s="197">
        <f>IFERROR(INDEX(NCEfIn,MATCH($AB1614&amp;"."&amp;$AC1614&amp;".bc",NCEfKey,0)),0)</f>
        <v>0.3287014812</v>
      </c>
      <c r="AP1614" s="197">
        <f>IFERROR(INDEX(NCEfFin,MATCH($AB1614&amp;"."&amp;$AC1614&amp;".bc",NCEfKey,0)),0)</f>
        <v>0.2188524096</v>
      </c>
      <c r="AQ1614" s="197">
        <f>IFERROR(INDEX(NCEfIn,MATCH($AB1614&amp;"."&amp;$AC1614&amp;".oc",NCEfKey,0)),0)</f>
        <v>0.4871425536</v>
      </c>
      <c r="AR1614" s="197">
        <f>IFERROR(INDEX(NCEfFin,MATCH($AB1614&amp;"."&amp;$AC1614&amp;".oc",NCEfKey,0)),0)</f>
        <v>0.313507584</v>
      </c>
      <c r="AS1614" s="197">
        <f>IFERROR(INDEX(NCEfIn,MATCH($AB1614&amp;"."&amp;$AC1614&amp;".co",NCEfKey,0)),0)</f>
        <v>12.5604</v>
      </c>
      <c r="AT1614" s="197">
        <f>IFERROR(INDEX(NCEfFin,MATCH($AB1614&amp;"."&amp;$AC1614&amp;".co",NCEfKey,0)),0)</f>
        <v>12.5604</v>
      </c>
      <c r="AU1614" s="3" t="str">
        <f>INDEX('Constants and Mappings'!$J$186:$J$201,MATCH($C1614,SubKey,0))</f>
        <v>ownuse</v>
      </c>
      <c r="AV1614" s="3">
        <f>INDEX('Constants and Mappings'!$K$186:$K$201,MATCH($C1614,SubKey,0))</f>
        <v>-1.0</v>
      </c>
      <c r="AW1614" s="3" t="str">
        <f>INDEX('Constants and Mappings'!$L$186:$L$201,MATCH($C1614,SubKey,0))&amp;""</f>
        <v>heat</v>
      </c>
      <c r="AX1614" s="3">
        <f>INDEX('Constants and Mappings'!$M$186:$M$201,MATCH($C1614,SubKey,0))</f>
        <v>-1.0</v>
      </c>
      <c r="AY1614" s="3" t="n">
        <v>0</v>
      </c>
      <c r="AZ1614" s="3" t="n">
        <v>0</v>
      </c>
      <c r="BA1614" s="3" t="n">
        <v>0</v>
      </c>
      <c r="BB1614" s="3" t="n">
        <v>0</v>
      </c>
      <c r="BC1614" s="3" t="n">
        <v>0</v>
      </c>
      <c r="BD1614" s="3">
        <f>IFERROR($BB1614/$BC1614,0)</f>
        <v>0.0</v>
      </c>
      <c r="BE1614" s="133" t="n">
        <v>1</v>
      </c>
      <c r="BF1614" s="39" t="n">
        <v>1</v>
      </c>
    </row>
    <row r="1615">
      <c r="A1615" s="3" t="str">
        <f>$B1615&amp;"|"&amp;$C1615</f>
        <v>coa|oen</v>
      </c>
      <c r="B1615" s="8" t="inlineStr">
        <is>
          <t>coa</t>
        </is>
      </c>
      <c r="C1615" s="8" t="inlineStr">
        <is>
          <t>oen</t>
        </is>
      </c>
      <c r="D1615" s="3" t="str">
        <f>INDEX('Constants and Mappings'!$D$186:$D$201,MATCH($C1615,SubKey,0))</f>
        <v>ind</v>
      </c>
      <c r="E1615" s="3" t="str">
        <f>INDEX('Constants and Mappings'!$C$229:$C$237,MATCH($B1615,FuelKey,0))</f>
        <v>coa</v>
      </c>
      <c r="F1615" s="3" t="str">
        <f>INDEX('Constants and Mappings'!$D$229:$D$237,MATCH($B1615,FuelKey,0))</f>
        <v>coa</v>
      </c>
      <c r="G1615" s="3" t="str">
        <f>INDEX('Constants and Mappings'!$E$229:$E$237,MATCH($B1615,FuelKey,0))</f>
        <v>sub</v>
      </c>
      <c r="H1615" s="3" t="str">
        <f>INDEX('Constants and Mappings'!$F$186:$F$201,MATCH($C1615,SubKey,0))</f>
        <v>ind</v>
      </c>
      <c r="I1615" s="3" t="str">
        <f>INDEX('Constants and Mappings'!$I$229:$I$237,MATCH($B1615,FuelKey,0))&amp;"."&amp;IF($G1615="sub",$H1615,"all")</f>
        <v>coa.ind</v>
      </c>
      <c r="J1615" s="3" t="str">
        <f>INDEX('Constants and Mappings'!$E$186:$E$201,MATCH($C1615,SubKey,0))</f>
        <v>ind</v>
      </c>
      <c r="K1615" s="3">
        <f>INDEX('Constants and Mappings'!$G$229:$G$237,MATCH($B1615,FuelKey,0))</f>
        <v>1.0</v>
      </c>
      <c r="L1615" s="3">
        <f>INDEX('Constants and Mappings'!$H$229:$H$237,MATCH($B1615,FuelKey,0))</f>
        <v>1.0</v>
      </c>
      <c r="M1615" s="3">
        <f>INDEX('Constants and Mappings'!$H$186:$H$201,MATCH($C1615,SubKey,0))</f>
        <v>17.0</v>
      </c>
      <c r="N1615" s="3">
        <f>INDEX('Constants and Mappings'!$E$300:$E$313,MATCH($I1615,'Constants and Mappings'!$A$300:$A$313,0))</f>
        <v>3.0</v>
      </c>
      <c r="O1615" s="48">
        <f>INDEX(ElaSel,MATCH("inc|"&amp;$E1615&amp;"|"&amp;$D1615,ElaSelKey,0))</f>
        <v>0.5</v>
      </c>
      <c r="P1615" s="48">
        <f>INDEX(ElaSel,MATCH("usg|"&amp;$E1615&amp;"|"&amp;$D1615,ElaSelKey,0))</f>
        <v>-0.3</v>
      </c>
      <c r="Q1615" s="48">
        <f>INDEX(ElaSel,MATCH("eff|"&amp;$E1615&amp;"|"&amp;$D1615,ElaSelKey,0))</f>
        <v>-0.4</v>
      </c>
      <c r="R1615" s="225">
        <f>INDEX(ElaSel,MATCH("aei|"&amp;$F1615&amp;"|"&amp;$D1615,ElaSelKey,0))</f>
        <v>0.005</v>
      </c>
      <c r="S1615" s="133" t="n">
        <v>3</v>
      </c>
      <c r="T1615" s="48">
        <f>$Q1615*(1+$P1615)</f>
        <v>-0.27999999999999997</v>
      </c>
      <c r="U1615" s="3">
        <f>INDEX('Constants and Mappings'!$E$1633:$E$1644,MATCH($I1615,'Constants and Mappings'!$A$1633:$A$1644,0))</f>
        <v>55.0</v>
      </c>
      <c r="V1615" s="225">
        <f>INDEX('Constants and Mappings'!$V$1633:$V$1644,MATCH($I1615,'Constants and Mappings'!$A$1633:$A$1644,0))</f>
        <v>0.0</v>
      </c>
      <c r="W1615" s="197">
        <f>INDEX(EFSel,MATCH($B1615&amp;"|"&amp;$J1615,EFSelKey,0))*EFCalib</f>
        <v>0.09955404329757564</v>
      </c>
      <c r="X1615" s="195">
        <f>IF(LEFT(BalOpt,3)="Bal",$AY1615*$AV1615+$AZ1615*$AX1615,$BA1615)</f>
        <v>0.0</v>
      </c>
      <c r="Y1615" s="3" t="str">
        <f>IF($G1615="sub",$H1615,IF($B1615="oop","ind","trs"))</f>
        <v>ind</v>
      </c>
      <c r="Z1615" s="39">
        <f>IFERROR(MATCH($Y1615&amp;"|"&amp;$B1615,XKey,0),1)</f>
        <v>29.0</v>
      </c>
      <c r="AA1615" s="48">
        <f>INDEX(XCTVal,$Z1615,ECPEmb)+INDEX(XETSVal,$Z1615,ECPEmb)</f>
        <v>0.0</v>
      </c>
      <c r="AB1615" s="8" t="inlineStr">
        <is>
          <t>oen</t>
        </is>
      </c>
      <c r="AC1615" s="8" t="inlineStr">
        <is>
          <t>coa</t>
        </is>
      </c>
      <c r="AD1615" s="197">
        <f>IFERROR(INDEX(NCEfIn,MATCH($AB1615&amp;"."&amp;$AC1615&amp;".ch4",NCEfKey,0)),0)</f>
        <v>1.03686102</v>
      </c>
      <c r="AE1615" s="197">
        <f>IFERROR(INDEX(NCEfFin,MATCH($AB1615&amp;"."&amp;$AC1615&amp;".ch4",NCEfKey,0)),0)</f>
        <v>1.03686102</v>
      </c>
      <c r="AF1615" s="3" t="n">
        <v>0</v>
      </c>
      <c r="AG1615" s="197">
        <f>IFERROR(INDEX(NCEfIn,MATCH($AB1615&amp;"."&amp;$AC1615&amp;".pm2",NCEfKey,0)),0)</f>
        <v>17.25767559</v>
      </c>
      <c r="AH1615" s="197">
        <f>IFERROR(INDEX(NCEfFin,MATCH($AB1615&amp;"."&amp;$AC1615&amp;".pm2",NCEfKey,0)),0)</f>
        <v>17.25767559</v>
      </c>
      <c r="AI1615" s="197">
        <f>IFERROR(INDEX(NCEfIn,MATCH($AB1615&amp;"."&amp;$AC1615&amp;".nox",NCEfKey,0)),0)</f>
        <v>6.120963435600001</v>
      </c>
      <c r="AJ1615" s="197">
        <f>IFERROR(INDEX(NCEfFin,MATCH($AB1615&amp;"."&amp;$AC1615&amp;".nox",NCEfKey,0)),0)</f>
        <v>5.369847328800001</v>
      </c>
      <c r="AK1615" s="197">
        <f>IFERROR(INDEX(NCEfIn,MATCH($AB1615&amp;"."&amp;$AC1615&amp;".so2",NCEfKey,0)),0)</f>
        <v>27.206642826</v>
      </c>
      <c r="AL1615" s="197">
        <f>IFERROR(INDEX(NCEfFin,MATCH($AB1615&amp;"."&amp;$AC1615&amp;".so2",NCEfKey,0)),0)</f>
        <v>27.206642826</v>
      </c>
      <c r="AM1615" s="197">
        <f>IFERROR(INDEX(NCEfIn,MATCH($AB1615&amp;"."&amp;$AC1615&amp;".voc",NCEfKey,0)),0)</f>
        <v>7.226416800000001</v>
      </c>
      <c r="AN1615" s="197">
        <f>IFERROR(INDEX(NCEfFin,MATCH($AB1615&amp;"."&amp;$AC1615&amp;".voc",NCEfKey,0)),0)</f>
        <v>7.226416800000001</v>
      </c>
      <c r="AO1615" s="197">
        <f>IFERROR(INDEX(NCEfIn,MATCH($AB1615&amp;"."&amp;$AC1615&amp;".bc",NCEfKey,0)),0)</f>
        <v>7.345573128</v>
      </c>
      <c r="AP1615" s="197">
        <f>IFERROR(INDEX(NCEfFin,MATCH($AB1615&amp;"."&amp;$AC1615&amp;".bc",NCEfKey,0)),0)</f>
        <v>7.345573128</v>
      </c>
      <c r="AQ1615" s="197">
        <f>IFERROR(INDEX(NCEfIn,MATCH($AB1615&amp;"."&amp;$AC1615&amp;".oc",NCEfKey,0)),0)</f>
        <v>6.436283904000001</v>
      </c>
      <c r="AR1615" s="197">
        <f>IFERROR(INDEX(NCEfFin,MATCH($AB1615&amp;"."&amp;$AC1615&amp;".oc",NCEfKey,0)),0)</f>
        <v>6.436283904000001</v>
      </c>
      <c r="AS1615" s="197">
        <f>IFERROR(INDEX(NCEfIn,MATCH($AB1615&amp;"."&amp;$AC1615&amp;".co",NCEfKey,0)),0)</f>
        <v>187.422102</v>
      </c>
      <c r="AT1615" s="197">
        <f>IFERROR(INDEX(NCEfFin,MATCH($AB1615&amp;"."&amp;$AC1615&amp;".co",NCEfKey,0)),0)</f>
        <v>187.422102</v>
      </c>
      <c r="AU1615" s="3" t="str">
        <f>INDEX('Constants and Mappings'!$J$186:$J$201,MATCH($C1615,SubKey,0))</f>
        <v>ononspec</v>
      </c>
      <c r="AV1615" s="3">
        <f>INDEX('Constants and Mappings'!$K$186:$K$201,MATCH($C1615,SubKey,0))</f>
        <v>1.0</v>
      </c>
      <c r="AW1615" s="3" t="str">
        <f>INDEX('Constants and Mappings'!$L$186:$L$201,MATCH($C1615,SubKey,0))&amp;""</f>
        <v/>
      </c>
      <c r="AX1615" s="3">
        <f>INDEX('Constants and Mappings'!$M$186:$M$201,MATCH($C1615,SubKey,0))</f>
        <v>0.0</v>
      </c>
      <c r="AY1615" s="3" t="n">
        <v>0</v>
      </c>
      <c r="AZ1615" s="3" t="n">
        <v>0</v>
      </c>
      <c r="BA1615" s="3" t="n">
        <v>0</v>
      </c>
      <c r="BB1615" s="3" t="n">
        <v>0</v>
      </c>
      <c r="BC1615" s="3" t="n">
        <v>0</v>
      </c>
      <c r="BD1615" s="3">
        <f>IFERROR($BB1615/$BC1615,0)</f>
        <v>0.0</v>
      </c>
      <c r="BE1615" s="133" t="n">
        <v>1</v>
      </c>
      <c r="BF1615" s="39" t="n">
        <v>1</v>
      </c>
    </row>
    <row r="1616">
      <c r="A1616" s="3" t="str">
        <f>$B1616&amp;"|"&amp;$C1616</f>
        <v>nga|oen</v>
      </c>
      <c r="B1616" s="8" t="inlineStr">
        <is>
          <t>nga</t>
        </is>
      </c>
      <c r="C1616" s="8" t="inlineStr">
        <is>
          <t>oen</t>
        </is>
      </c>
      <c r="D1616" s="3" t="str">
        <f>INDEX('Constants and Mappings'!$D$186:$D$201,MATCH($C1616,SubKey,0))</f>
        <v>ind</v>
      </c>
      <c r="E1616" s="3" t="str">
        <f>INDEX('Constants and Mappings'!$C$229:$C$237,MATCH($B1616,FuelKey,0))</f>
        <v>nga</v>
      </c>
      <c r="F1616" s="3" t="str">
        <f>INDEX('Constants and Mappings'!$D$229:$D$237,MATCH($B1616,FuelKey,0))</f>
        <v>nga</v>
      </c>
      <c r="G1616" s="3" t="str">
        <f>INDEX('Constants and Mappings'!$E$229:$E$237,MATCH($B1616,FuelKey,0))</f>
        <v>sub</v>
      </c>
      <c r="H1616" s="3" t="str">
        <f>INDEX('Constants and Mappings'!$F$186:$F$201,MATCH($C1616,SubKey,0))</f>
        <v>ind</v>
      </c>
      <c r="I1616" s="3" t="str">
        <f>INDEX('Constants and Mappings'!$I$229:$I$237,MATCH($B1616,FuelKey,0))&amp;"."&amp;IF($G1616="sub",$H1616,"all")</f>
        <v>nga.ind</v>
      </c>
      <c r="J1616" s="3" t="str">
        <f>INDEX('Constants and Mappings'!$E$186:$E$201,MATCH($C1616,SubKey,0))</f>
        <v>ind</v>
      </c>
      <c r="K1616" s="3">
        <f>INDEX('Constants and Mappings'!$G$229:$G$237,MATCH($B1616,FuelKey,0))</f>
        <v>1.0</v>
      </c>
      <c r="L1616" s="3">
        <f>INDEX('Constants and Mappings'!$H$229:$H$237,MATCH($B1616,FuelKey,0))</f>
        <v>2.0</v>
      </c>
      <c r="M1616" s="3">
        <f>INDEX('Constants and Mappings'!$H$186:$H$201,MATCH($C1616,SubKey,0))</f>
        <v>17.0</v>
      </c>
      <c r="N1616" s="3">
        <f>INDEX('Constants and Mappings'!$E$300:$E$313,MATCH($I1616,'Constants and Mappings'!$A$300:$A$313,0))</f>
        <v>6.0</v>
      </c>
      <c r="O1616" s="48">
        <f>INDEX(ElaSel,MATCH("inc|"&amp;$E1616&amp;"|"&amp;$D1616,ElaSelKey,0))</f>
        <v>1.0</v>
      </c>
      <c r="P1616" s="48">
        <f>INDEX(ElaSel,MATCH("usg|"&amp;$E1616&amp;"|"&amp;$D1616,ElaSelKey,0))</f>
        <v>-0.5</v>
      </c>
      <c r="Q1616" s="48">
        <f>INDEX(ElaSel,MATCH("eff|"&amp;$E1616&amp;"|"&amp;$D1616,ElaSelKey,0))</f>
        <v>-0.5</v>
      </c>
      <c r="R1616" s="225">
        <f>INDEX(ElaSel,MATCH("aei|"&amp;$F1616&amp;"|"&amp;$D1616,ElaSelKey,0))</f>
        <v>0.01</v>
      </c>
      <c r="S1616" s="133" t="n">
        <v>3</v>
      </c>
      <c r="T1616" s="48">
        <f>$Q1616*(1+$P1616)</f>
        <v>-0.25</v>
      </c>
      <c r="U1616" s="3">
        <f>INDEX('Constants and Mappings'!$E$1633:$E$1644,MATCH($I1616,'Constants and Mappings'!$A$1633:$A$1644,0))</f>
        <v>138.0</v>
      </c>
      <c r="V1616" s="225">
        <f>INDEX('Constants and Mappings'!$V$1633:$V$1644,MATCH($I1616,'Constants and Mappings'!$A$1633:$A$1644,0))</f>
        <v>0.0</v>
      </c>
      <c r="W1616" s="197">
        <f>INDEX(EFSel,MATCH($B1616&amp;"|"&amp;$J1616,EFSelKey,0))*EFCalib</f>
        <v>0.05555115616004721</v>
      </c>
      <c r="X1616" s="195">
        <f>IF(LEFT(BalOpt,3)="Bal",$AY1616*$AV1616+$AZ1616*$AX1616,$BA1616)</f>
        <v>0.0</v>
      </c>
      <c r="Y1616" s="3" t="str">
        <f>IF($G1616="sub",$H1616,IF($B1616="oop","ind","trs"))</f>
        <v>ind</v>
      </c>
      <c r="Z1616" s="39">
        <f>IFERROR(MATCH($Y1616&amp;"|"&amp;$B1616,XKey,0),1)</f>
        <v>30.0</v>
      </c>
      <c r="AA1616" s="48">
        <f>INDEX(XCTVal,$Z1616,ECPEmb)+INDEX(XETSVal,$Z1616,ECPEmb)</f>
        <v>0.0</v>
      </c>
      <c r="AB1616" s="8" t="inlineStr">
        <is>
          <t>oen</t>
        </is>
      </c>
      <c r="AC1616" s="8" t="inlineStr">
        <is>
          <t>nga</t>
        </is>
      </c>
      <c r="AD1616" s="197">
        <f>IFERROR(INDEX(NCEfIn,MATCH($AB1616&amp;"."&amp;$AC1616&amp;".ch4",NCEfKey,0)),0)</f>
        <v>15.0485189436</v>
      </c>
      <c r="AE1616" s="197">
        <f>IFERROR(INDEX(NCEfFin,MATCH($AB1616&amp;"."&amp;$AC1616&amp;".ch4",NCEfKey,0)),0)</f>
        <v>8.8725367692</v>
      </c>
      <c r="AF1616" s="3" t="n">
        <v>0</v>
      </c>
      <c r="AG1616" s="197">
        <f>IFERROR(INDEX(NCEfIn,MATCH($AB1616&amp;"."&amp;$AC1616&amp;".pm2",NCEfKey,0)),0)</f>
        <v>0.0555002208</v>
      </c>
      <c r="AH1616" s="197">
        <f>IFERROR(INDEX(NCEfFin,MATCH($AB1616&amp;"."&amp;$AC1616&amp;".pm2",NCEfKey,0)),0)</f>
        <v>0.0465237216</v>
      </c>
      <c r="AI1616" s="197">
        <f>IFERROR(INDEX(NCEfIn,MATCH($AB1616&amp;"."&amp;$AC1616&amp;".nox",NCEfKey,0)),0)</f>
        <v>15.2091538992</v>
      </c>
      <c r="AJ1616" s="197">
        <f>IFERROR(INDEX(NCEfFin,MATCH($AB1616&amp;"."&amp;$AC1616&amp;".nox",NCEfKey,0)),0)</f>
        <v>10.9600878096</v>
      </c>
      <c r="AK1616" s="197">
        <f>IFERROR(INDEX(NCEfIn,MATCH($AB1616&amp;"."&amp;$AC1616&amp;".so2",NCEfKey,0)),0)</f>
        <v>0.0348886044</v>
      </c>
      <c r="AL1616" s="197">
        <f>IFERROR(INDEX(NCEfFin,MATCH($AB1616&amp;"."&amp;$AC1616&amp;".so2",NCEfKey,0)),0)</f>
        <v>0.0348886044</v>
      </c>
      <c r="AM1616" s="197">
        <f>IFERROR(INDEX(NCEfIn,MATCH($AB1616&amp;"."&amp;$AC1616&amp;".voc",NCEfKey,0)),0)</f>
        <v>15.2091538992</v>
      </c>
      <c r="AN1616" s="197">
        <f>IFERROR(INDEX(NCEfFin,MATCH($AB1616&amp;"."&amp;$AC1616&amp;".voc",NCEfKey,0)),0)</f>
        <v>9.75597669</v>
      </c>
      <c r="AO1616" s="197">
        <f>IFERROR(INDEX(NCEfIn,MATCH($AB1616&amp;"."&amp;$AC1616&amp;".bc",NCEfKey,0)),0)</f>
        <v>0.011911446</v>
      </c>
      <c r="AP1616" s="197">
        <f>IFERROR(INDEX(NCEfFin,MATCH($AB1616&amp;"."&amp;$AC1616&amp;".bc",NCEfKey,0)),0)</f>
        <v>0.011639304</v>
      </c>
      <c r="AQ1616" s="197">
        <f>IFERROR(INDEX(NCEfIn,MATCH($AB1616&amp;"."&amp;$AC1616&amp;".oc",NCEfKey,0)),0)</f>
        <v>0.0285874704</v>
      </c>
      <c r="AR1616" s="197">
        <f>IFERROR(INDEX(NCEfFin,MATCH($AB1616&amp;"."&amp;$AC1616&amp;".oc",NCEfKey,0)),0)</f>
        <v>0.0230567076</v>
      </c>
      <c r="AS1616" s="197">
        <f>IFERROR(INDEX(NCEfIn,MATCH($AB1616&amp;"."&amp;$AC1616&amp;".co",NCEfKey,0)),0)</f>
        <v>18.9072999108</v>
      </c>
      <c r="AT1616" s="197">
        <f>IFERROR(INDEX(NCEfFin,MATCH($AB1616&amp;"."&amp;$AC1616&amp;".co",NCEfKey,0)),0)</f>
        <v>14.325722352</v>
      </c>
      <c r="AU1616" s="3" t="str">
        <f>INDEX('Constants and Mappings'!$J$186:$J$201,MATCH($C1616,SubKey,0))</f>
        <v>ononspec</v>
      </c>
      <c r="AV1616" s="3">
        <f>INDEX('Constants and Mappings'!$K$186:$K$201,MATCH($C1616,SubKey,0))</f>
        <v>1.0</v>
      </c>
      <c r="AW1616" s="3" t="str">
        <f>INDEX('Constants and Mappings'!$L$186:$L$201,MATCH($C1616,SubKey,0))&amp;""</f>
        <v/>
      </c>
      <c r="AX1616" s="3">
        <f>INDEX('Constants and Mappings'!$M$186:$M$201,MATCH($C1616,SubKey,0))</f>
        <v>0.0</v>
      </c>
      <c r="AY1616" s="3" t="n">
        <v>0</v>
      </c>
      <c r="AZ1616" s="3" t="n">
        <v>0</v>
      </c>
      <c r="BA1616" s="3" t="n">
        <v>0</v>
      </c>
      <c r="BB1616" s="3" t="n">
        <v>0</v>
      </c>
      <c r="BC1616" s="3" t="n">
        <v>0</v>
      </c>
      <c r="BD1616" s="3">
        <f>IFERROR($BB1616/$BC1616,0)</f>
        <v>0.0</v>
      </c>
      <c r="BE1616" s="133" t="n">
        <v>1</v>
      </c>
      <c r="BF1616" s="39" t="n">
        <v>1</v>
      </c>
    </row>
    <row r="1617">
      <c r="A1617" s="3" t="str">
        <f>$B1617&amp;"|"&amp;$C1617</f>
        <v>gso|oen</v>
      </c>
      <c r="B1617" s="8" t="inlineStr">
        <is>
          <t>gso</t>
        </is>
      </c>
      <c r="C1617" s="8" t="inlineStr">
        <is>
          <t>oen</t>
        </is>
      </c>
      <c r="D1617" s="3" t="str">
        <f>INDEX('Constants and Mappings'!$D$186:$D$201,MATCH($C1617,SubKey,0))</f>
        <v>ind</v>
      </c>
      <c r="E1617" s="3" t="str">
        <f>INDEX('Constants and Mappings'!$C$229:$C$237,MATCH($B1617,FuelKey,0))</f>
        <v>gso</v>
      </c>
      <c r="F1617" s="3" t="str">
        <f>INDEX('Constants and Mappings'!$D$229:$D$237,MATCH($B1617,FuelKey,0))</f>
        <v>oil</v>
      </c>
      <c r="G1617" s="3" t="str">
        <f>INDEX('Constants and Mappings'!$E$229:$E$237,MATCH($B1617,FuelKey,0))</f>
        <v>all</v>
      </c>
      <c r="H1617" s="3" t="str">
        <f>INDEX('Constants and Mappings'!$F$186:$F$201,MATCH($C1617,SubKey,0))</f>
        <v>ind</v>
      </c>
      <c r="I1617" s="3" t="str">
        <f>INDEX('Constants and Mappings'!$I$229:$I$237,MATCH($B1617,FuelKey,0))&amp;"."&amp;IF($G1617="sub",$H1617,"all")</f>
        <v>gso.all</v>
      </c>
      <c r="J1617" s="3" t="str">
        <f>INDEX('Constants and Mappings'!$E$186:$E$201,MATCH($C1617,SubKey,0))</f>
        <v>ind</v>
      </c>
      <c r="K1617" s="3">
        <f>INDEX('Constants and Mappings'!$G$229:$G$237,MATCH($B1617,FuelKey,0))</f>
        <v>0.03496974000000001</v>
      </c>
      <c r="L1617" s="3">
        <f>INDEX('Constants and Mappings'!$H$229:$H$237,MATCH($B1617,FuelKey,0))</f>
        <v>3.0</v>
      </c>
      <c r="M1617" s="3">
        <f>INDEX('Constants and Mappings'!$H$186:$H$201,MATCH($C1617,SubKey,0))</f>
        <v>17.0</v>
      </c>
      <c r="N1617" s="3">
        <f>INDEX('Constants and Mappings'!$E$300:$E$313,MATCH($I1617,'Constants and Mappings'!$A$300:$A$313,0))</f>
        <v>9.0</v>
      </c>
      <c r="O1617" s="48">
        <f>INDEX(ElaSel,MATCH("inc|"&amp;$E1617&amp;"|"&amp;$D1617,ElaSelKey,0))</f>
        <v>0.5</v>
      </c>
      <c r="P1617" s="48">
        <f>INDEX(ElaSel,MATCH("usg|"&amp;$E1617&amp;"|"&amp;$D1617,ElaSelKey,0))</f>
        <v>-0.4</v>
      </c>
      <c r="Q1617" s="48">
        <f>INDEX(ElaSel,MATCH("eff|"&amp;$E1617&amp;"|"&amp;$D1617,ElaSelKey,0))</f>
        <v>-0.7</v>
      </c>
      <c r="R1617" s="225">
        <f>INDEX(ElaSel,MATCH("aei|"&amp;$F1617&amp;"|"&amp;$D1617,ElaSelKey,0))</f>
        <v>0.005</v>
      </c>
      <c r="S1617" s="133" t="n">
        <v>3</v>
      </c>
      <c r="T1617" s="48">
        <f>$Q1617*(1+$P1617)</f>
        <v>-0.42</v>
      </c>
      <c r="U1617" s="3">
        <f>INDEX('Constants and Mappings'!$E$1633:$E$1644,MATCH($I1617,'Constants and Mappings'!$A$1633:$A$1644,0))</f>
        <v>167.0</v>
      </c>
      <c r="V1617" s="225">
        <f>INDEX('Constants and Mappings'!$V$1633:$V$1644,MATCH($I1617,'Constants and Mappings'!$A$1633:$A$1644,0))</f>
        <v>0.0</v>
      </c>
      <c r="W1617" s="197">
        <f>INDEX(EFSel,MATCH($B1617&amp;"|"&amp;$J1617,EFSelKey,0))*EFCalib</f>
        <v>0.06749067257272545</v>
      </c>
      <c r="X1617" s="195">
        <f>IF(LEFT(BalOpt,3)="Bal",$AY1617*$AV1617+$AZ1617*$AX1617,$BA1617)</f>
        <v>0.0</v>
      </c>
      <c r="Y1617" s="3" t="str">
        <f>IF($G1617="sub",$H1617,IF($B1617="oop","ind","trs"))</f>
        <v>trs</v>
      </c>
      <c r="Z1617" s="39">
        <f>IFERROR(MATCH($Y1617&amp;"|"&amp;$B1617,XKey,0),1)</f>
        <v>13.0</v>
      </c>
      <c r="AA1617" s="48">
        <f>INDEX(XCTVal,$Z1617,ECPEmb)+INDEX(XETSVal,$Z1617,ECPEmb)</f>
        <v>0.0</v>
      </c>
      <c r="AB1617" s="8" t="inlineStr">
        <is>
          <t>oen</t>
        </is>
      </c>
      <c r="AC1617" s="8" t="inlineStr">
        <is>
          <t>gso</t>
        </is>
      </c>
      <c r="AD1617" s="197">
        <f>IFERROR(INDEX(NCEfIn,MATCH($AB1617&amp;"."&amp;$AC1617&amp;".ch4",NCEfKey,0)),0)</f>
        <v>4.186800000000001</v>
      </c>
      <c r="AE1617" s="197">
        <f>IFERROR(INDEX(NCEfFin,MATCH($AB1617&amp;"."&amp;$AC1617&amp;".ch4",NCEfKey,0)),0)</f>
        <v>4.186800000000001</v>
      </c>
      <c r="AF1617" s="3" t="n">
        <v>0</v>
      </c>
      <c r="AG1617" s="197">
        <f>IFERROR(INDEX(NCEfIn,MATCH($AB1617&amp;"."&amp;$AC1617&amp;".pm2",NCEfKey,0)),0)</f>
        <v>1.2722722236</v>
      </c>
      <c r="AH1617" s="197">
        <f>IFERROR(INDEX(NCEfFin,MATCH($AB1617&amp;"."&amp;$AC1617&amp;".pm2",NCEfKey,0)),0)</f>
        <v>1.1717345952</v>
      </c>
      <c r="AI1617" s="197">
        <f>IFERROR(INDEX(NCEfIn,MATCH($AB1617&amp;"."&amp;$AC1617&amp;".nox",NCEfKey,0)),0)</f>
        <v>33.49440000000001</v>
      </c>
      <c r="AJ1617" s="197">
        <f>IFERROR(INDEX(NCEfFin,MATCH($AB1617&amp;"."&amp;$AC1617&amp;".nox",NCEfKey,0)),0)</f>
        <v>33.49440000000001</v>
      </c>
      <c r="AK1617" s="197">
        <f>IFERROR(INDEX(NCEfIn,MATCH($AB1617&amp;"."&amp;$AC1617&amp;".so2",NCEfKey,0)),0)</f>
        <v>0.9101726388000001</v>
      </c>
      <c r="AL1617" s="197">
        <f>IFERROR(INDEX(NCEfFin,MATCH($AB1617&amp;"."&amp;$AC1617&amp;".so2",NCEfKey,0)),0)</f>
        <v>0.9101726388000001</v>
      </c>
      <c r="AM1617" s="197">
        <f>IFERROR(INDEX(NCEfIn,MATCH($AB1617&amp;"."&amp;$AC1617&amp;".voc",NCEfKey,0)),0)</f>
        <v>33.49440000000001</v>
      </c>
      <c r="AN1617" s="197">
        <f>IFERROR(INDEX(NCEfFin,MATCH($AB1617&amp;"."&amp;$AC1617&amp;".voc",NCEfKey,0)),0)</f>
        <v>33.49440000000001</v>
      </c>
      <c r="AO1617" s="197">
        <f>IFERROR(INDEX(NCEfIn,MATCH($AB1617&amp;"."&amp;$AC1617&amp;".bc",NCEfKey,0)),0)</f>
        <v>0.2401464744</v>
      </c>
      <c r="AP1617" s="197">
        <f>IFERROR(INDEX(NCEfFin,MATCH($AB1617&amp;"."&amp;$AC1617&amp;".bc",NCEfKey,0)),0)</f>
        <v>0.2285448516</v>
      </c>
      <c r="AQ1617" s="197">
        <f>IFERROR(INDEX(NCEfIn,MATCH($AB1617&amp;"."&amp;$AC1617&amp;".oc",NCEfKey,0)),0)</f>
        <v>0.7075692</v>
      </c>
      <c r="AR1617" s="197">
        <f>IFERROR(INDEX(NCEfFin,MATCH($AB1617&amp;"."&amp;$AC1617&amp;".oc",NCEfKey,0)),0)</f>
        <v>0.7075692</v>
      </c>
      <c r="AS1617" s="197">
        <f>IFERROR(INDEX(NCEfIn,MATCH($AB1617&amp;"."&amp;$AC1617&amp;".co",NCEfKey,0)),0)</f>
        <v>1130.436</v>
      </c>
      <c r="AT1617" s="197">
        <f>IFERROR(INDEX(NCEfFin,MATCH($AB1617&amp;"."&amp;$AC1617&amp;".co",NCEfKey,0)),0)</f>
        <v>1130.436</v>
      </c>
      <c r="AU1617" s="3" t="str">
        <f>INDEX('Constants and Mappings'!$J$186:$J$201,MATCH($C1617,SubKey,0))</f>
        <v>ononspec</v>
      </c>
      <c r="AV1617" s="3">
        <f>INDEX('Constants and Mappings'!$K$186:$K$201,MATCH($C1617,SubKey,0))</f>
        <v>1.0</v>
      </c>
      <c r="AW1617" s="3" t="str">
        <f>INDEX('Constants and Mappings'!$L$186:$L$201,MATCH($C1617,SubKey,0))&amp;""</f>
        <v/>
      </c>
      <c r="AX1617" s="3">
        <f>INDEX('Constants and Mappings'!$M$186:$M$201,MATCH($C1617,SubKey,0))</f>
        <v>0.0</v>
      </c>
      <c r="AY1617" s="3" t="n">
        <v>0</v>
      </c>
      <c r="AZ1617" s="3" t="n">
        <v>0</v>
      </c>
      <c r="BA1617" s="3" t="n">
        <v>0</v>
      </c>
      <c r="BB1617" s="3" t="n">
        <v>0</v>
      </c>
      <c r="BC1617" s="3" t="n">
        <v>0</v>
      </c>
      <c r="BD1617" s="3">
        <f>IFERROR($BB1617/$BC1617,0)</f>
        <v>0.0</v>
      </c>
      <c r="BE1617" s="133" t="n">
        <v>1</v>
      </c>
      <c r="BF1617" s="39" t="n">
        <v>1</v>
      </c>
    </row>
    <row r="1618">
      <c r="A1618" s="3" t="str">
        <f>$B1618&amp;"|"&amp;$C1618</f>
        <v>die|oen</v>
      </c>
      <c r="B1618" s="8" t="inlineStr">
        <is>
          <t>die</t>
        </is>
      </c>
      <c r="C1618" s="8" t="inlineStr">
        <is>
          <t>oen</t>
        </is>
      </c>
      <c r="D1618" s="3" t="str">
        <f>INDEX('Constants and Mappings'!$D$186:$D$201,MATCH($C1618,SubKey,0))</f>
        <v>ind</v>
      </c>
      <c r="E1618" s="3" t="str">
        <f>INDEX('Constants and Mappings'!$C$229:$C$237,MATCH($B1618,FuelKey,0))</f>
        <v>die</v>
      </c>
      <c r="F1618" s="3" t="str">
        <f>INDEX('Constants and Mappings'!$D$229:$D$237,MATCH($B1618,FuelKey,0))</f>
        <v>oil</v>
      </c>
      <c r="G1618" s="3" t="str">
        <f>INDEX('Constants and Mappings'!$E$229:$E$237,MATCH($B1618,FuelKey,0))</f>
        <v>all</v>
      </c>
      <c r="H1618" s="3" t="str">
        <f>INDEX('Constants and Mappings'!$F$186:$F$201,MATCH($C1618,SubKey,0))</f>
        <v>ind</v>
      </c>
      <c r="I1618" s="3" t="str">
        <f>INDEX('Constants and Mappings'!$I$229:$I$237,MATCH($B1618,FuelKey,0))&amp;"."&amp;IF($G1618="sub",$H1618,"all")</f>
        <v>die.all</v>
      </c>
      <c r="J1618" s="3" t="str">
        <f>INDEX('Constants and Mappings'!$E$186:$E$201,MATCH($C1618,SubKey,0))</f>
        <v>ind</v>
      </c>
      <c r="K1618" s="3">
        <f>INDEX('Constants and Mappings'!$G$229:$G$237,MATCH($B1618,FuelKey,0))</f>
        <v>0.03729519000000001</v>
      </c>
      <c r="L1618" s="3">
        <f>INDEX('Constants and Mappings'!$H$229:$H$237,MATCH($B1618,FuelKey,0))</f>
        <v>4.0</v>
      </c>
      <c r="M1618" s="3">
        <f>INDEX('Constants and Mappings'!$H$186:$H$201,MATCH($C1618,SubKey,0))</f>
        <v>17.0</v>
      </c>
      <c r="N1618" s="3">
        <f>INDEX('Constants and Mappings'!$E$300:$E$313,MATCH($I1618,'Constants and Mappings'!$A$300:$A$313,0))</f>
        <v>10.0</v>
      </c>
      <c r="O1618" s="48">
        <f>INDEX(ElaSel,MATCH("inc|"&amp;$E1618&amp;"|"&amp;$D1618,ElaSelKey,0))</f>
        <v>0.5</v>
      </c>
      <c r="P1618" s="48">
        <f>INDEX(ElaSel,MATCH("usg|"&amp;$E1618&amp;"|"&amp;$D1618,ElaSelKey,0))</f>
        <v>-0.7</v>
      </c>
      <c r="Q1618" s="48">
        <f>INDEX(ElaSel,MATCH("eff|"&amp;$E1618&amp;"|"&amp;$D1618,ElaSelKey,0))</f>
        <v>-1.2</v>
      </c>
      <c r="R1618" s="225">
        <f>INDEX(ElaSel,MATCH("aei|"&amp;$F1618&amp;"|"&amp;$D1618,ElaSelKey,0))</f>
        <v>0.005</v>
      </c>
      <c r="S1618" s="133" t="n">
        <v>3</v>
      </c>
      <c r="T1618" s="48">
        <f>$Q1618*(1+$P1618)</f>
        <v>-0.36000000000000004</v>
      </c>
      <c r="U1618" s="3">
        <f>INDEX('Constants and Mappings'!$E$1633:$E$1644,MATCH($I1618,'Constants and Mappings'!$A$1633:$A$1644,0))</f>
        <v>196.0</v>
      </c>
      <c r="V1618" s="225">
        <f>INDEX('Constants and Mappings'!$V$1633:$V$1644,MATCH($I1618,'Constants and Mappings'!$A$1633:$A$1644,0))</f>
        <v>0.0</v>
      </c>
      <c r="W1618" s="197">
        <f>INDEX(EFSel,MATCH($B1618&amp;"|"&amp;$J1618,EFSelKey,0))*EFCalib</f>
        <v>0.0715246024071432</v>
      </c>
      <c r="X1618" s="195">
        <f>IF(LEFT(BalOpt,3)="Bal",$AY1618*$AV1618+$AZ1618*$AX1618,$BA1618)</f>
        <v>0.0</v>
      </c>
      <c r="Y1618" s="3" t="str">
        <f>IF($G1618="sub",$H1618,IF($B1618="oop","ind","trs"))</f>
        <v>trs</v>
      </c>
      <c r="Z1618" s="39">
        <f>IFERROR(MATCH($Y1618&amp;"|"&amp;$B1618,XKey,0),1)</f>
        <v>14.0</v>
      </c>
      <c r="AA1618" s="48">
        <f>INDEX(XCTVal,$Z1618,ECPEmb)+INDEX(XETSVal,$Z1618,ECPEmb)</f>
        <v>0.0</v>
      </c>
      <c r="AB1618" s="8" t="inlineStr">
        <is>
          <t>oen</t>
        </is>
      </c>
      <c r="AC1618" s="8" t="inlineStr">
        <is>
          <t>die</t>
        </is>
      </c>
      <c r="AD1618" s="197">
        <f>IFERROR(INDEX(NCEfIn,MATCH($AB1618&amp;"."&amp;$AC1618&amp;".ch4",NCEfKey,0)),0)</f>
        <v>0.6458557680000001</v>
      </c>
      <c r="AE1618" s="197">
        <f>IFERROR(INDEX(NCEfFin,MATCH($AB1618&amp;"."&amp;$AC1618&amp;".ch4",NCEfKey,0)),0)</f>
        <v>0.6134541228</v>
      </c>
      <c r="AF1618" s="3" t="n">
        <v>0</v>
      </c>
      <c r="AG1618" s="197">
        <f>IFERROR(INDEX(NCEfIn,MATCH($AB1618&amp;"."&amp;$AC1618&amp;".pm2",NCEfKey,0)),0)</f>
        <v>5.13971568</v>
      </c>
      <c r="AH1618" s="197">
        <f>IFERROR(INDEX(NCEfFin,MATCH($AB1618&amp;"."&amp;$AC1618&amp;".pm2",NCEfKey,0)),0)</f>
        <v>5.13971568</v>
      </c>
      <c r="AI1618" s="197">
        <f>IFERROR(INDEX(NCEfIn,MATCH($AB1618&amp;"."&amp;$AC1618&amp;".nox",NCEfKey,0)),0)</f>
        <v>46.05480000000001</v>
      </c>
      <c r="AJ1618" s="197">
        <f>IFERROR(INDEX(NCEfFin,MATCH($AB1618&amp;"."&amp;$AC1618&amp;".nox",NCEfKey,0)),0)</f>
        <v>46.05480000000001</v>
      </c>
      <c r="AK1618" s="197">
        <f>IFERROR(INDEX(NCEfIn,MATCH($AB1618&amp;"."&amp;$AC1618&amp;".so2",NCEfKey,0)),0)</f>
        <v>3.9405156768</v>
      </c>
      <c r="AL1618" s="197">
        <f>IFERROR(INDEX(NCEfFin,MATCH($AB1618&amp;"."&amp;$AC1618&amp;".so2",NCEfKey,0)),0)</f>
        <v>3.9405156768</v>
      </c>
      <c r="AM1618" s="197">
        <f>IFERROR(INDEX(NCEfIn,MATCH($AB1618&amp;"."&amp;$AC1618&amp;".voc",NCEfKey,0)),0)</f>
        <v>7.95492</v>
      </c>
      <c r="AN1618" s="197">
        <f>IFERROR(INDEX(NCEfFin,MATCH($AB1618&amp;"."&amp;$AC1618&amp;".voc",NCEfKey,0)),0)</f>
        <v>7.95492</v>
      </c>
      <c r="AO1618" s="197">
        <f>IFERROR(INDEX(NCEfIn,MATCH($AB1618&amp;"."&amp;$AC1618&amp;".bc",NCEfKey,0)),0)</f>
        <v>2.512749888</v>
      </c>
      <c r="AP1618" s="197">
        <f>IFERROR(INDEX(NCEfFin,MATCH($AB1618&amp;"."&amp;$AC1618&amp;".bc",NCEfKey,0)),0)</f>
        <v>2.512749888</v>
      </c>
      <c r="AQ1618" s="197">
        <f>IFERROR(INDEX(NCEfIn,MATCH($AB1618&amp;"."&amp;$AC1618&amp;".oc",NCEfKey,0)),0)</f>
        <v>1.5881034816</v>
      </c>
      <c r="AR1618" s="197">
        <f>IFERROR(INDEX(NCEfFin,MATCH($AB1618&amp;"."&amp;$AC1618&amp;".oc",NCEfKey,0)),0)</f>
        <v>1.5828239268</v>
      </c>
      <c r="AS1618" s="197">
        <f>IFERROR(INDEX(NCEfIn,MATCH($AB1618&amp;"."&amp;$AC1618&amp;".co",NCEfKey,0)),0)</f>
        <v>32.454964098</v>
      </c>
      <c r="AT1618" s="197">
        <f>IFERROR(INDEX(NCEfFin,MATCH($AB1618&amp;"."&amp;$AC1618&amp;".co",NCEfKey,0)),0)</f>
        <v>31.0344163524</v>
      </c>
      <c r="AU1618" s="3" t="str">
        <f>INDEX('Constants and Mappings'!$J$186:$J$201,MATCH($C1618,SubKey,0))</f>
        <v>ononspec</v>
      </c>
      <c r="AV1618" s="3">
        <f>INDEX('Constants and Mappings'!$K$186:$K$201,MATCH($C1618,SubKey,0))</f>
        <v>1.0</v>
      </c>
      <c r="AW1618" s="3" t="str">
        <f>INDEX('Constants and Mappings'!$L$186:$L$201,MATCH($C1618,SubKey,0))&amp;""</f>
        <v/>
      </c>
      <c r="AX1618" s="3">
        <f>INDEX('Constants and Mappings'!$M$186:$M$201,MATCH($C1618,SubKey,0))</f>
        <v>0.0</v>
      </c>
      <c r="AY1618" s="3" t="n">
        <v>0</v>
      </c>
      <c r="AZ1618" s="3" t="n">
        <v>0</v>
      </c>
      <c r="BA1618" s="3" t="n">
        <v>0</v>
      </c>
      <c r="BB1618" s="3" t="n">
        <v>0</v>
      </c>
      <c r="BC1618" s="3" t="n">
        <v>0</v>
      </c>
      <c r="BD1618" s="3">
        <f>IFERROR($BB1618/$BC1618,0)</f>
        <v>0.0</v>
      </c>
      <c r="BE1618" s="133" t="n">
        <v>1</v>
      </c>
      <c r="BF1618" s="39" t="n">
        <v>1</v>
      </c>
    </row>
    <row r="1619">
      <c r="A1619" s="3" t="str">
        <f>$B1619&amp;"|"&amp;$C1619</f>
        <v>lpg|oen</v>
      </c>
      <c r="B1619" s="8" t="inlineStr">
        <is>
          <t>lpg</t>
        </is>
      </c>
      <c r="C1619" s="8" t="inlineStr">
        <is>
          <t>oen</t>
        </is>
      </c>
      <c r="D1619" s="3" t="str">
        <f>INDEX('Constants and Mappings'!$D$186:$D$201,MATCH($C1619,SubKey,0))</f>
        <v>ind</v>
      </c>
      <c r="E1619" s="3" t="str">
        <f>INDEX('Constants and Mappings'!$C$229:$C$237,MATCH($B1619,FuelKey,0))</f>
        <v>oil</v>
      </c>
      <c r="F1619" s="3" t="str">
        <f>INDEX('Constants and Mappings'!$D$229:$D$237,MATCH($B1619,FuelKey,0))</f>
        <v>oil</v>
      </c>
      <c r="G1619" s="3" t="str">
        <f>INDEX('Constants and Mappings'!$E$229:$E$237,MATCH($B1619,FuelKey,0))</f>
        <v>all</v>
      </c>
      <c r="H1619" s="3" t="str">
        <f>INDEX('Constants and Mappings'!$F$186:$F$201,MATCH($C1619,SubKey,0))</f>
        <v>ind</v>
      </c>
      <c r="I1619" s="3" t="str">
        <f>INDEX('Constants and Mappings'!$I$229:$I$237,MATCH($B1619,FuelKey,0))&amp;"."&amp;IF($G1619="sub",$H1619,"all")</f>
        <v>lpg.all</v>
      </c>
      <c r="J1619" s="3" t="str">
        <f>INDEX('Constants and Mappings'!$E$186:$E$201,MATCH($C1619,SubKey,0))</f>
        <v>ind</v>
      </c>
      <c r="K1619" s="3">
        <f>INDEX('Constants and Mappings'!$G$229:$G$237,MATCH($B1619,FuelKey,0))</f>
        <v>0.02577968854495125</v>
      </c>
      <c r="L1619" s="3">
        <f>INDEX('Constants and Mappings'!$H$229:$H$237,MATCH($B1619,FuelKey,0))</f>
        <v>5.0</v>
      </c>
      <c r="M1619" s="3">
        <f>INDEX('Constants and Mappings'!$H$186:$H$201,MATCH($C1619,SubKey,0))</f>
        <v>17.0</v>
      </c>
      <c r="N1619" s="3">
        <f>INDEX('Constants and Mappings'!$E$300:$E$313,MATCH($I1619,'Constants and Mappings'!$A$300:$A$313,0))</f>
        <v>11.0</v>
      </c>
      <c r="O1619" s="48">
        <f>INDEX(ElaSel,MATCH("inc|"&amp;$E1619&amp;"|"&amp;$D1619,ElaSelKey,0))</f>
        <v>0.8</v>
      </c>
      <c r="P1619" s="48">
        <f>INDEX(ElaSel,MATCH("usg|"&amp;$E1619&amp;"|"&amp;$D1619,ElaSelKey,0))</f>
        <v>-0.4</v>
      </c>
      <c r="Q1619" s="48">
        <f>INDEX(ElaSel,MATCH("eff|"&amp;$E1619&amp;"|"&amp;$D1619,ElaSelKey,0))</f>
        <v>-0.4</v>
      </c>
      <c r="R1619" s="225">
        <f>INDEX(ElaSel,MATCH("aei|"&amp;$F1619&amp;"|"&amp;$D1619,ElaSelKey,0))</f>
        <v>0.005</v>
      </c>
      <c r="S1619" s="133" t="n">
        <v>3</v>
      </c>
      <c r="T1619" s="48">
        <f>$Q1619*(1+$P1619)</f>
        <v>-0.24</v>
      </c>
      <c r="U1619" s="3">
        <f>INDEX('Constants and Mappings'!$E$1633:$E$1644,MATCH($I1619,'Constants and Mappings'!$A$1633:$A$1644,0))</f>
        <v>225.0</v>
      </c>
      <c r="V1619" s="225">
        <f>INDEX('Constants and Mappings'!$V$1633:$V$1644,MATCH($I1619,'Constants and Mappings'!$A$1633:$A$1644,0))</f>
        <v>0.0</v>
      </c>
      <c r="W1619" s="197">
        <f>INDEX(EFSel,MATCH($B1619&amp;"|"&amp;$J1619,EFSelKey,0))*EFCalib</f>
        <v>0.06829407370213687</v>
      </c>
      <c r="X1619" s="195">
        <f>IF(LEFT(BalOpt,3)="Bal",$AY1619*$AV1619+$AZ1619*$AX1619,$BA1619)</f>
        <v>0.0</v>
      </c>
      <c r="Y1619" s="3" t="str">
        <f>IF($G1619="sub",$H1619,IF($B1619="oop","ind","trs"))</f>
        <v>trs</v>
      </c>
      <c r="Z1619" s="39">
        <f>IFERROR(MATCH($Y1619&amp;"|"&amp;$B1619,XKey,0),1)</f>
        <v>15.0</v>
      </c>
      <c r="AA1619" s="48">
        <f>INDEX(XCTVal,$Z1619,ECPEmb)+INDEX(XETSVal,$Z1619,ECPEmb)</f>
        <v>0.0</v>
      </c>
      <c r="AB1619" s="8" t="inlineStr">
        <is>
          <t>oen</t>
        </is>
      </c>
      <c r="AC1619" s="8" t="inlineStr">
        <is>
          <t>lpg</t>
        </is>
      </c>
      <c r="AD1619" s="197">
        <f>IFERROR(INDEX(NCEfIn,MATCH($AB1619&amp;"."&amp;$AC1619&amp;".ch4",NCEfKey,0)),0)</f>
        <v>3.34944</v>
      </c>
      <c r="AE1619" s="197">
        <f>IFERROR(INDEX(NCEfFin,MATCH($AB1619&amp;"."&amp;$AC1619&amp;".ch4",NCEfKey,0)),0)</f>
        <v>3.34944</v>
      </c>
      <c r="AF1619" s="3" t="n">
        <v>0</v>
      </c>
      <c r="AG1619" s="197">
        <f>IFERROR(INDEX(NCEfIn,MATCH($AB1619&amp;"."&amp;$AC1619&amp;".pm2",NCEfKey,0)),0)</f>
        <v>1.1717345952</v>
      </c>
      <c r="AH1619" s="197">
        <f>IFERROR(INDEX(NCEfFin,MATCH($AB1619&amp;"."&amp;$AC1619&amp;".pm2",NCEfKey,0)),0)</f>
        <v>1.1717345952</v>
      </c>
      <c r="AI1619" s="197">
        <f>IFERROR(INDEX(NCEfIn,MATCH($AB1619&amp;"."&amp;$AC1619&amp;".nox",NCEfKey,0)),0)</f>
        <v>33.49440000000001</v>
      </c>
      <c r="AJ1619" s="197">
        <f>IFERROR(INDEX(NCEfFin,MATCH($AB1619&amp;"."&amp;$AC1619&amp;".nox",NCEfKey,0)),0)</f>
        <v>33.49440000000001</v>
      </c>
      <c r="AK1619" s="197">
        <f>IFERROR(INDEX(NCEfIn,MATCH($AB1619&amp;"."&amp;$AC1619&amp;".so2",NCEfKey,0)),0)</f>
        <v>0.0</v>
      </c>
      <c r="AL1619" s="197">
        <f>IFERROR(INDEX(NCEfFin,MATCH($AB1619&amp;"."&amp;$AC1619&amp;".so2",NCEfKey,0)),0)</f>
        <v>0.0</v>
      </c>
      <c r="AM1619" s="197">
        <f>IFERROR(INDEX(NCEfIn,MATCH($AB1619&amp;"."&amp;$AC1619&amp;".voc",NCEfKey,0)),0)</f>
        <v>28.47024</v>
      </c>
      <c r="AN1619" s="197">
        <f>IFERROR(INDEX(NCEfFin,MATCH($AB1619&amp;"."&amp;$AC1619&amp;".voc",NCEfKey,0)),0)</f>
        <v>28.47024</v>
      </c>
      <c r="AO1619" s="197">
        <f>IFERROR(INDEX(NCEfIn,MATCH($AB1619&amp;"."&amp;$AC1619&amp;".bc",NCEfKey,0)),0)</f>
        <v>0.21227076</v>
      </c>
      <c r="AP1619" s="197">
        <f>IFERROR(INDEX(NCEfFin,MATCH($AB1619&amp;"."&amp;$AC1619&amp;".bc",NCEfKey,0)),0)</f>
        <v>0.21227076</v>
      </c>
      <c r="AQ1619" s="197">
        <f>IFERROR(INDEX(NCEfIn,MATCH($AB1619&amp;"."&amp;$AC1619&amp;".oc",NCEfKey,0)),0)</f>
        <v>0.7075692</v>
      </c>
      <c r="AR1619" s="197">
        <f>IFERROR(INDEX(NCEfFin,MATCH($AB1619&amp;"."&amp;$AC1619&amp;".oc",NCEfKey,0)),0)</f>
        <v>0.7075692</v>
      </c>
      <c r="AS1619" s="197">
        <f>IFERROR(INDEX(NCEfIn,MATCH($AB1619&amp;"."&amp;$AC1619&amp;".co",NCEfKey,0)),0)</f>
        <v>1130.436</v>
      </c>
      <c r="AT1619" s="197">
        <f>IFERROR(INDEX(NCEfFin,MATCH($AB1619&amp;"."&amp;$AC1619&amp;".co",NCEfKey,0)),0)</f>
        <v>1130.436</v>
      </c>
      <c r="AU1619" s="3" t="str">
        <f>INDEX('Constants and Mappings'!$J$186:$J$201,MATCH($C1619,SubKey,0))</f>
        <v>ononspec</v>
      </c>
      <c r="AV1619" s="3">
        <f>INDEX('Constants and Mappings'!$K$186:$K$201,MATCH($C1619,SubKey,0))</f>
        <v>1.0</v>
      </c>
      <c r="AW1619" s="3" t="str">
        <f>INDEX('Constants and Mappings'!$L$186:$L$201,MATCH($C1619,SubKey,0))&amp;""</f>
        <v/>
      </c>
      <c r="AX1619" s="3">
        <f>INDEX('Constants and Mappings'!$M$186:$M$201,MATCH($C1619,SubKey,0))</f>
        <v>0.0</v>
      </c>
      <c r="AY1619" s="3" t="n">
        <v>0</v>
      </c>
      <c r="AZ1619" s="3" t="n">
        <v>0</v>
      </c>
      <c r="BA1619" s="3" t="n">
        <v>0</v>
      </c>
      <c r="BB1619" s="3" t="n">
        <v>0</v>
      </c>
      <c r="BC1619" s="3" t="n">
        <v>0</v>
      </c>
      <c r="BD1619" s="3">
        <f>IFERROR($BB1619/$BC1619,0)</f>
        <v>0.0</v>
      </c>
      <c r="BE1619" s="133" t="n">
        <v>1</v>
      </c>
      <c r="BF1619" s="39" t="n">
        <v>1</v>
      </c>
    </row>
    <row r="1620">
      <c r="A1620" s="3" t="str">
        <f>$B1620&amp;"|"&amp;$C1620</f>
        <v>ker|oen</v>
      </c>
      <c r="B1620" s="8" t="inlineStr">
        <is>
          <t>ker</t>
        </is>
      </c>
      <c r="C1620" s="8" t="inlineStr">
        <is>
          <t>oen</t>
        </is>
      </c>
      <c r="D1620" s="3" t="str">
        <f>INDEX('Constants and Mappings'!$D$186:$D$201,MATCH($C1620,SubKey,0))</f>
        <v>ind</v>
      </c>
      <c r="E1620" s="3" t="str">
        <f>INDEX('Constants and Mappings'!$C$229:$C$237,MATCH($B1620,FuelKey,0))</f>
        <v>oil</v>
      </c>
      <c r="F1620" s="3" t="str">
        <f>INDEX('Constants and Mappings'!$D$229:$D$237,MATCH($B1620,FuelKey,0))</f>
        <v>oil</v>
      </c>
      <c r="G1620" s="3" t="str">
        <f>INDEX('Constants and Mappings'!$E$229:$E$237,MATCH($B1620,FuelKey,0))</f>
        <v>all</v>
      </c>
      <c r="H1620" s="3" t="str">
        <f>INDEX('Constants and Mappings'!$F$186:$F$201,MATCH($C1620,SubKey,0))</f>
        <v>ind</v>
      </c>
      <c r="I1620" s="3" t="str">
        <f>INDEX('Constants and Mappings'!$I$229:$I$237,MATCH($B1620,FuelKey,0))&amp;"."&amp;IF($G1620="sub",$H1620,"all")</f>
        <v>ker.all</v>
      </c>
      <c r="J1620" s="3" t="str">
        <f>INDEX('Constants and Mappings'!$E$186:$E$201,MATCH($C1620,SubKey,0))</f>
        <v>ind</v>
      </c>
      <c r="K1620" s="3">
        <f>INDEX('Constants and Mappings'!$G$229:$G$237,MATCH($B1620,FuelKey,0))</f>
        <v>0.03774882965510715</v>
      </c>
      <c r="L1620" s="3">
        <f>INDEX('Constants and Mappings'!$H$229:$H$237,MATCH($B1620,FuelKey,0))</f>
        <v>6.0</v>
      </c>
      <c r="M1620" s="3">
        <f>INDEX('Constants and Mappings'!$H$186:$H$201,MATCH($C1620,SubKey,0))</f>
        <v>17.0</v>
      </c>
      <c r="N1620" s="3">
        <f>INDEX('Constants and Mappings'!$E$300:$E$313,MATCH($I1620,'Constants and Mappings'!$A$300:$A$313,0))</f>
        <v>12.0</v>
      </c>
      <c r="O1620" s="48">
        <f>INDEX(ElaSel,MATCH("inc|"&amp;$E1620&amp;"|"&amp;$D1620,ElaSelKey,0))</f>
        <v>0.8</v>
      </c>
      <c r="P1620" s="48">
        <f>INDEX(ElaSel,MATCH("usg|"&amp;$E1620&amp;"|"&amp;$D1620,ElaSelKey,0))</f>
        <v>-0.4</v>
      </c>
      <c r="Q1620" s="48">
        <f>INDEX(ElaSel,MATCH("eff|"&amp;$E1620&amp;"|"&amp;$D1620,ElaSelKey,0))</f>
        <v>-0.4</v>
      </c>
      <c r="R1620" s="225">
        <f>INDEX(ElaSel,MATCH("aei|"&amp;$F1620&amp;"|"&amp;$D1620,ElaSelKey,0))</f>
        <v>0.005</v>
      </c>
      <c r="S1620" s="133" t="n">
        <v>3</v>
      </c>
      <c r="T1620" s="48">
        <f>$Q1620*(1+$P1620)</f>
        <v>-0.24</v>
      </c>
      <c r="U1620" s="3">
        <f>INDEX('Constants and Mappings'!$E$1633:$E$1644,MATCH($I1620,'Constants and Mappings'!$A$1633:$A$1644,0))</f>
        <v>254.0</v>
      </c>
      <c r="V1620" s="225">
        <f>INDEX('Constants and Mappings'!$V$1633:$V$1644,MATCH($I1620,'Constants and Mappings'!$A$1633:$A$1644,0))</f>
        <v>0.0</v>
      </c>
      <c r="W1620" s="197">
        <f>INDEX(EFSel,MATCH($B1620&amp;"|"&amp;$J1620,EFSelKey,0))*EFCalib</f>
        <v>0.06749067257272545</v>
      </c>
      <c r="X1620" s="195">
        <f>IF(LEFT(BalOpt,3)="Bal",$AY1620*$AV1620+$AZ1620*$AX1620,$BA1620)</f>
        <v>0.0</v>
      </c>
      <c r="Y1620" s="3" t="str">
        <f>IF($G1620="sub",$H1620,IF($B1620="oop","ind","trs"))</f>
        <v>trs</v>
      </c>
      <c r="Z1620" s="39">
        <f>IFERROR(MATCH($Y1620&amp;"|"&amp;$B1620,XKey,0),1)</f>
        <v>16.0</v>
      </c>
      <c r="AA1620" s="48">
        <f>INDEX(XCTVal,$Z1620,ECPEmb)+INDEX(XETSVal,$Z1620,ECPEmb)</f>
        <v>0.0</v>
      </c>
      <c r="AB1620" s="8" t="inlineStr">
        <is>
          <t>oen</t>
        </is>
      </c>
      <c r="AC1620" s="8" t="inlineStr">
        <is>
          <t>ker</t>
        </is>
      </c>
      <c r="AD1620" s="197">
        <f>IFERROR(INDEX(NCEfIn,MATCH($AB1620&amp;"."&amp;$AC1620&amp;".ch4",NCEfKey,0)),0)</f>
        <v>4.186800000000001</v>
      </c>
      <c r="AE1620" s="197">
        <f>IFERROR(INDEX(NCEfFin,MATCH($AB1620&amp;"."&amp;$AC1620&amp;".ch4",NCEfKey,0)),0)</f>
        <v>4.186800000000001</v>
      </c>
      <c r="AF1620" s="3" t="n">
        <v>0</v>
      </c>
      <c r="AG1620" s="197">
        <f>IFERROR(INDEX(NCEfIn,MATCH($AB1620&amp;"."&amp;$AC1620&amp;".pm2",NCEfKey,0)),0)</f>
        <v>1.4763326688</v>
      </c>
      <c r="AH1620" s="197">
        <f>IFERROR(INDEX(NCEfFin,MATCH($AB1620&amp;"."&amp;$AC1620&amp;".pm2",NCEfKey,0)),0)</f>
        <v>1.1945484684</v>
      </c>
      <c r="AI1620" s="197">
        <f>IFERROR(INDEX(NCEfIn,MATCH($AB1620&amp;"."&amp;$AC1620&amp;".nox",NCEfKey,0)),0)</f>
        <v>33.49440000000001</v>
      </c>
      <c r="AJ1620" s="197">
        <f>IFERROR(INDEX(NCEfFin,MATCH($AB1620&amp;"."&amp;$AC1620&amp;".nox",NCEfKey,0)),0)</f>
        <v>33.49440000000001</v>
      </c>
      <c r="AK1620" s="197">
        <f>IFERROR(INDEX(NCEfIn,MATCH($AB1620&amp;"."&amp;$AC1620&amp;".so2",NCEfKey,0)),0)</f>
        <v>0.9101726388000001</v>
      </c>
      <c r="AL1620" s="197">
        <f>IFERROR(INDEX(NCEfFin,MATCH($AB1620&amp;"."&amp;$AC1620&amp;".so2",NCEfKey,0)),0)</f>
        <v>0.9101726388000001</v>
      </c>
      <c r="AM1620" s="197">
        <f>IFERROR(INDEX(NCEfIn,MATCH($AB1620&amp;"."&amp;$AC1620&amp;".voc",NCEfKey,0)),0)</f>
        <v>33.49440000000001</v>
      </c>
      <c r="AN1620" s="197">
        <f>IFERROR(INDEX(NCEfFin,MATCH($AB1620&amp;"."&amp;$AC1620&amp;".voc",NCEfKey,0)),0)</f>
        <v>33.49440000000001</v>
      </c>
      <c r="AO1620" s="197">
        <f>IFERROR(INDEX(NCEfIn,MATCH($AB1620&amp;"."&amp;$AC1620&amp;".bc",NCEfKey,0)),0)</f>
        <v>1.2161272356</v>
      </c>
      <c r="AP1620" s="197">
        <f>IFERROR(INDEX(NCEfFin,MATCH($AB1620&amp;"."&amp;$AC1620&amp;".bc",NCEfKey,0)),0)</f>
        <v>0.9556371000000001</v>
      </c>
      <c r="AQ1620" s="197">
        <f>IFERROR(INDEX(NCEfIn,MATCH($AB1620&amp;"."&amp;$AC1620&amp;".oc",NCEfKey,0)),0)</f>
        <v>0.7075692</v>
      </c>
      <c r="AR1620" s="197">
        <f>IFERROR(INDEX(NCEfFin,MATCH($AB1620&amp;"."&amp;$AC1620&amp;".oc",NCEfKey,0)),0)</f>
        <v>0.7075692</v>
      </c>
      <c r="AS1620" s="197">
        <f>IFERROR(INDEX(NCEfIn,MATCH($AB1620&amp;"."&amp;$AC1620&amp;".co",NCEfKey,0)),0)</f>
        <v>1130.436</v>
      </c>
      <c r="AT1620" s="197">
        <f>IFERROR(INDEX(NCEfFin,MATCH($AB1620&amp;"."&amp;$AC1620&amp;".co",NCEfKey,0)),0)</f>
        <v>1130.436</v>
      </c>
      <c r="AU1620" s="3" t="str">
        <f>INDEX('Constants and Mappings'!$J$186:$J$201,MATCH($C1620,SubKey,0))</f>
        <v>ononspec</v>
      </c>
      <c r="AV1620" s="3">
        <f>INDEX('Constants and Mappings'!$K$186:$K$201,MATCH($C1620,SubKey,0))</f>
        <v>1.0</v>
      </c>
      <c r="AW1620" s="3" t="str">
        <f>INDEX('Constants and Mappings'!$L$186:$L$201,MATCH($C1620,SubKey,0))&amp;""</f>
        <v/>
      </c>
      <c r="AX1620" s="3">
        <f>INDEX('Constants and Mappings'!$M$186:$M$201,MATCH($C1620,SubKey,0))</f>
        <v>0.0</v>
      </c>
      <c r="AY1620" s="3" t="n">
        <v>0</v>
      </c>
      <c r="AZ1620" s="3" t="n">
        <v>0</v>
      </c>
      <c r="BA1620" s="3" t="n">
        <v>0</v>
      </c>
      <c r="BB1620" s="3" t="n">
        <v>0</v>
      </c>
      <c r="BC1620" s="3" t="n">
        <v>0</v>
      </c>
      <c r="BD1620" s="3">
        <f>IFERROR($BB1620/$BC1620,0)</f>
        <v>0.0</v>
      </c>
      <c r="BE1620" s="133" t="n">
        <v>1</v>
      </c>
      <c r="BF1620" s="39" t="n">
        <v>1</v>
      </c>
    </row>
    <row r="1621">
      <c r="A1621" s="3" t="str">
        <f>$B1621&amp;"|"&amp;$C1621</f>
        <v>jfu|oen</v>
      </c>
      <c r="B1621" s="8" t="inlineStr">
        <is>
          <t>jfu</t>
        </is>
      </c>
      <c r="C1621" s="8" t="inlineStr">
        <is>
          <t>oen</t>
        </is>
      </c>
      <c r="D1621" s="3" t="str">
        <f>INDEX('Constants and Mappings'!$D$186:$D$201,MATCH($C1621,SubKey,0))</f>
        <v>ind</v>
      </c>
      <c r="E1621" s="3" t="str">
        <f>INDEX('Constants and Mappings'!$C$229:$C$237,MATCH($B1621,FuelKey,0))</f>
        <v>oil</v>
      </c>
      <c r="F1621" s="3" t="str">
        <f>INDEX('Constants and Mappings'!$D$229:$D$237,MATCH($B1621,FuelKey,0))</f>
        <v>oil</v>
      </c>
      <c r="G1621" s="3" t="str">
        <f>INDEX('Constants and Mappings'!$E$229:$E$237,MATCH($B1621,FuelKey,0))</f>
        <v>all</v>
      </c>
      <c r="H1621" s="3" t="str">
        <f>INDEX('Constants and Mappings'!$F$186:$F$201,MATCH($C1621,SubKey,0))</f>
        <v>ind</v>
      </c>
      <c r="I1621" s="3" t="str">
        <f>INDEX('Constants and Mappings'!$I$229:$I$237,MATCH($B1621,FuelKey,0))&amp;"."&amp;IF($G1621="sub",$H1621,"all")</f>
        <v>ker.all</v>
      </c>
      <c r="J1621" s="3" t="str">
        <f>INDEX('Constants and Mappings'!$E$186:$E$201,MATCH($C1621,SubKey,0))</f>
        <v>ind</v>
      </c>
      <c r="K1621" s="3">
        <f>INDEX('Constants and Mappings'!$G$229:$G$237,MATCH($B1621,FuelKey,0))</f>
        <v>0.0348608</v>
      </c>
      <c r="L1621" s="3">
        <f>INDEX('Constants and Mappings'!$H$229:$H$237,MATCH($B1621,FuelKey,0))</f>
        <v>7.0</v>
      </c>
      <c r="M1621" s="3">
        <f>INDEX('Constants and Mappings'!$H$186:$H$201,MATCH($C1621,SubKey,0))</f>
        <v>17.0</v>
      </c>
      <c r="N1621" s="3">
        <f>INDEX('Constants and Mappings'!$E$300:$E$313,MATCH($I1621,'Constants and Mappings'!$A$300:$A$313,0))</f>
        <v>12.0</v>
      </c>
      <c r="O1621" s="48">
        <f>INDEX(ElaSel,MATCH("inc|"&amp;$E1621&amp;"|"&amp;$D1621,ElaSelKey,0))</f>
        <v>0.8</v>
      </c>
      <c r="P1621" s="48">
        <f>INDEX(ElaSel,MATCH("usg|"&amp;$E1621&amp;"|"&amp;$D1621,ElaSelKey,0))</f>
        <v>-0.4</v>
      </c>
      <c r="Q1621" s="48">
        <f>INDEX(ElaSel,MATCH("eff|"&amp;$E1621&amp;"|"&amp;$D1621,ElaSelKey,0))</f>
        <v>-0.4</v>
      </c>
      <c r="R1621" s="225">
        <f>INDEX(ElaSel,MATCH("aei|"&amp;$F1621&amp;"|"&amp;$D1621,ElaSelKey,0))</f>
        <v>0.005</v>
      </c>
      <c r="S1621" s="133" t="n">
        <v>3</v>
      </c>
      <c r="T1621" s="48">
        <f>$Q1621*(1+$P1621)</f>
        <v>-0.24</v>
      </c>
      <c r="U1621" s="3">
        <f>INDEX('Constants and Mappings'!$E$1633:$E$1644,MATCH($I1621,'Constants and Mappings'!$A$1633:$A$1644,0))</f>
        <v>254.0</v>
      </c>
      <c r="V1621" s="225">
        <f>INDEX('Constants and Mappings'!$V$1633:$V$1644,MATCH($I1621,'Constants and Mappings'!$A$1633:$A$1644,0))</f>
        <v>0.0</v>
      </c>
      <c r="W1621" s="197">
        <f>INDEX(EFSel,MATCH($B1621&amp;"|"&amp;$J1621,EFSelKey,0))*EFCalib</f>
        <v>0.07118114095776658</v>
      </c>
      <c r="X1621" s="195">
        <f>IF(LEFT(BalOpt,3)="Bal",$AY1621*$AV1621+$AZ1621*$AX1621,$BA1621)</f>
        <v>0.0</v>
      </c>
      <c r="Y1621" s="3" t="str">
        <f>IF($G1621="sub",$H1621,IF($B1621="oop","ind","trs"))</f>
        <v>trs</v>
      </c>
      <c r="Z1621" s="39">
        <f>IFERROR(MATCH($Y1621&amp;"|"&amp;$B1621,XKey,0),1)</f>
        <v>17.0</v>
      </c>
      <c r="AA1621" s="48">
        <f>INDEX(XCTVal,$Z1621,ECPEmb)+INDEX(XETSVal,$Z1621,ECPEmb)</f>
        <v>0.0</v>
      </c>
      <c r="AB1621" s="8" t="inlineStr">
        <is>
          <t>oen</t>
        </is>
      </c>
      <c r="AC1621" s="8" t="inlineStr">
        <is>
          <t>jfu</t>
        </is>
      </c>
      <c r="AD1621" s="197">
        <f>IFERROR(INDEX(NCEfIn,MATCH($AB1621&amp;"."&amp;$AC1621&amp;".ch4",NCEfKey,0)),0)</f>
        <v>0.0</v>
      </c>
      <c r="AE1621" s="197">
        <f>IFERROR(INDEX(NCEfFin,MATCH($AB1621&amp;"."&amp;$AC1621&amp;".ch4",NCEfKey,0)),0)</f>
        <v>0.0</v>
      </c>
      <c r="AF1621" s="3" t="n">
        <v>0</v>
      </c>
      <c r="AG1621" s="197">
        <f>IFERROR(INDEX(NCEfIn,MATCH($AB1621&amp;"."&amp;$AC1621&amp;".pm2",NCEfKey,0)),0)</f>
        <v>0.0</v>
      </c>
      <c r="AH1621" s="197">
        <f>IFERROR(INDEX(NCEfFin,MATCH($AB1621&amp;"."&amp;$AC1621&amp;".pm2",NCEfKey,0)),0)</f>
        <v>0.0</v>
      </c>
      <c r="AI1621" s="197">
        <f>IFERROR(INDEX(NCEfIn,MATCH($AB1621&amp;"."&amp;$AC1621&amp;".nox",NCEfKey,0)),0)</f>
        <v>0.0</v>
      </c>
      <c r="AJ1621" s="197">
        <f>IFERROR(INDEX(NCEfFin,MATCH($AB1621&amp;"."&amp;$AC1621&amp;".nox",NCEfKey,0)),0)</f>
        <v>0.0</v>
      </c>
      <c r="AK1621" s="197">
        <f>IFERROR(INDEX(NCEfIn,MATCH($AB1621&amp;"."&amp;$AC1621&amp;".so2",NCEfKey,0)),0)</f>
        <v>0.0</v>
      </c>
      <c r="AL1621" s="197">
        <f>IFERROR(INDEX(NCEfFin,MATCH($AB1621&amp;"."&amp;$AC1621&amp;".so2",NCEfKey,0)),0)</f>
        <v>0.0</v>
      </c>
      <c r="AM1621" s="197">
        <f>IFERROR(INDEX(NCEfIn,MATCH($AB1621&amp;"."&amp;$AC1621&amp;".voc",NCEfKey,0)),0)</f>
        <v>0.0</v>
      </c>
      <c r="AN1621" s="197">
        <f>IFERROR(INDEX(NCEfFin,MATCH($AB1621&amp;"."&amp;$AC1621&amp;".voc",NCEfKey,0)),0)</f>
        <v>0.0</v>
      </c>
      <c r="AO1621" s="197">
        <f>IFERROR(INDEX(NCEfIn,MATCH($AB1621&amp;"."&amp;$AC1621&amp;".bc",NCEfKey,0)),0)</f>
        <v>0.0</v>
      </c>
      <c r="AP1621" s="197">
        <f>IFERROR(INDEX(NCEfFin,MATCH($AB1621&amp;"."&amp;$AC1621&amp;".bc",NCEfKey,0)),0)</f>
        <v>0.0</v>
      </c>
      <c r="AQ1621" s="197">
        <f>IFERROR(INDEX(NCEfIn,MATCH($AB1621&amp;"."&amp;$AC1621&amp;".oc",NCEfKey,0)),0)</f>
        <v>0.0</v>
      </c>
      <c r="AR1621" s="197">
        <f>IFERROR(INDEX(NCEfFin,MATCH($AB1621&amp;"."&amp;$AC1621&amp;".oc",NCEfKey,0)),0)</f>
        <v>0.0</v>
      </c>
      <c r="AS1621" s="197">
        <f>IFERROR(INDEX(NCEfIn,MATCH($AB1621&amp;"."&amp;$AC1621&amp;".co",NCEfKey,0)),0)</f>
        <v>0.0</v>
      </c>
      <c r="AT1621" s="197">
        <f>IFERROR(INDEX(NCEfFin,MATCH($AB1621&amp;"."&amp;$AC1621&amp;".co",NCEfKey,0)),0)</f>
        <v>0.0</v>
      </c>
      <c r="AU1621" s="3" t="str">
        <f>INDEX('Constants and Mappings'!$J$186:$J$201,MATCH($C1621,SubKey,0))</f>
        <v>ononspec</v>
      </c>
      <c r="AV1621" s="3">
        <f>INDEX('Constants and Mappings'!$K$186:$K$201,MATCH($C1621,SubKey,0))</f>
        <v>1.0</v>
      </c>
      <c r="AW1621" s="3" t="str">
        <f>INDEX('Constants and Mappings'!$L$186:$L$201,MATCH($C1621,SubKey,0))&amp;""</f>
        <v/>
      </c>
      <c r="AX1621" s="3">
        <f>INDEX('Constants and Mappings'!$M$186:$M$201,MATCH($C1621,SubKey,0))</f>
        <v>0.0</v>
      </c>
      <c r="AY1621" s="3" t="n">
        <v>0</v>
      </c>
      <c r="AZ1621" s="3" t="n">
        <v>0</v>
      </c>
      <c r="BA1621" s="3" t="n">
        <v>0</v>
      </c>
      <c r="BB1621" s="3" t="n">
        <v>0</v>
      </c>
      <c r="BC1621" s="3" t="n">
        <v>0</v>
      </c>
      <c r="BD1621" s="3">
        <f>IFERROR($BB1621/$BC1621,0)</f>
        <v>0.0</v>
      </c>
      <c r="BE1621" s="133" t="n">
        <v>1</v>
      </c>
      <c r="BF1621" s="39" t="n">
        <v>1</v>
      </c>
    </row>
    <row r="1622">
      <c r="A1622" s="3" t="str">
        <f>$B1622&amp;"|"&amp;$C1622</f>
        <v>oop|oen</v>
      </c>
      <c r="B1622" s="8" t="inlineStr">
        <is>
          <t>oop</t>
        </is>
      </c>
      <c r="C1622" s="8" t="inlineStr">
        <is>
          <t>oen</t>
        </is>
      </c>
      <c r="D1622" s="3" t="str">
        <f>INDEX('Constants and Mappings'!$D$186:$D$201,MATCH($C1622,SubKey,0))</f>
        <v>ind</v>
      </c>
      <c r="E1622" s="3" t="str">
        <f>INDEX('Constants and Mappings'!$C$229:$C$237,MATCH($B1622,FuelKey,0))</f>
        <v>oil</v>
      </c>
      <c r="F1622" s="3" t="str">
        <f>INDEX('Constants and Mappings'!$D$229:$D$237,MATCH($B1622,FuelKey,0))</f>
        <v>oil</v>
      </c>
      <c r="G1622" s="3" t="str">
        <f>INDEX('Constants and Mappings'!$E$229:$E$237,MATCH($B1622,FuelKey,0))</f>
        <v>all</v>
      </c>
      <c r="H1622" s="3" t="str">
        <f>INDEX('Constants and Mappings'!$F$186:$F$201,MATCH($C1622,SubKey,0))</f>
        <v>ind</v>
      </c>
      <c r="I1622" s="3" t="str">
        <f>INDEX('Constants and Mappings'!$I$229:$I$237,MATCH($B1622,FuelKey,0))&amp;"."&amp;IF($G1622="sub",$H1622,"all")</f>
        <v>oop.all</v>
      </c>
      <c r="J1622" s="3" t="str">
        <f>INDEX('Constants and Mappings'!$E$186:$E$201,MATCH($C1622,SubKey,0))</f>
        <v>ind</v>
      </c>
      <c r="K1622" s="3">
        <f>INDEX('Constants and Mappings'!$G$229:$G$237,MATCH($B1622,FuelKey,0))</f>
        <v>6.12</v>
      </c>
      <c r="L1622" s="3">
        <f>INDEX('Constants and Mappings'!$H$229:$H$237,MATCH($B1622,FuelKey,0))</f>
        <v>8.0</v>
      </c>
      <c r="M1622" s="3">
        <f>INDEX('Constants and Mappings'!$H$186:$H$201,MATCH($C1622,SubKey,0))</f>
        <v>17.0</v>
      </c>
      <c r="N1622" s="3">
        <f>INDEX('Constants and Mappings'!$E$300:$E$313,MATCH($I1622,'Constants and Mappings'!$A$300:$A$313,0))</f>
        <v>13.0</v>
      </c>
      <c r="O1622" s="48">
        <f>INDEX(ElaSel,MATCH("inc|"&amp;$E1622&amp;"|"&amp;$D1622,ElaSelKey,0))</f>
        <v>0.8</v>
      </c>
      <c r="P1622" s="48">
        <f>INDEX(ElaSel,MATCH("usg|"&amp;$E1622&amp;"|"&amp;$D1622,ElaSelKey,0))</f>
        <v>-0.4</v>
      </c>
      <c r="Q1622" s="48">
        <f>INDEX(ElaSel,MATCH("eff|"&amp;$E1622&amp;"|"&amp;$D1622,ElaSelKey,0))</f>
        <v>-0.4</v>
      </c>
      <c r="R1622" s="225">
        <f>INDEX(ElaSel,MATCH("aei|"&amp;$F1622&amp;"|"&amp;$D1622,ElaSelKey,0))</f>
        <v>0.005</v>
      </c>
      <c r="S1622" s="133" t="n">
        <v>3</v>
      </c>
      <c r="T1622" s="48">
        <f>$Q1622*(1+$P1622)</f>
        <v>-0.24</v>
      </c>
      <c r="U1622" s="3">
        <f>INDEX('Constants and Mappings'!$E$1633:$E$1644,MATCH($I1622,'Constants and Mappings'!$A$1633:$A$1644,0))</f>
        <v>283.0</v>
      </c>
      <c r="V1622" s="225">
        <f>INDEX('Constants and Mappings'!$V$1633:$V$1644,MATCH($I1622,'Constants and Mappings'!$A$1633:$A$1644,0))</f>
        <v>0.0</v>
      </c>
      <c r="W1622" s="197">
        <f>INDEX(EFSel,MATCH($B1622&amp;"|"&amp;$J1622,EFSelKey,0))*EFCalib</f>
        <v>0.07635795120924052</v>
      </c>
      <c r="X1622" s="195">
        <f>IF(LEFT(BalOpt,3)="Bal",$AY1622*$AV1622+$AZ1622*$AX1622,$BA1622)</f>
        <v>95.81710642853916</v>
      </c>
      <c r="Y1622" s="3" t="str">
        <f>IF($G1622="sub",$H1622,IF($B1622="oop","ind","trs"))</f>
        <v>ind</v>
      </c>
      <c r="Z1622" s="39">
        <f>IFERROR(MATCH($Y1622&amp;"|"&amp;$B1622,XKey,0),1)</f>
        <v>36.0</v>
      </c>
      <c r="AA1622" s="48">
        <f>INDEX(XCTVal,$Z1622,ECPEmb)+INDEX(XETSVal,$Z1622,ECPEmb)</f>
        <v>0.0</v>
      </c>
      <c r="AB1622" s="8" t="inlineStr">
        <is>
          <t>oen</t>
        </is>
      </c>
      <c r="AC1622" s="8" t="inlineStr">
        <is>
          <t>oop</t>
        </is>
      </c>
      <c r="AD1622" s="197">
        <f>IFERROR(INDEX(NCEfIn,MATCH($AB1622&amp;"."&amp;$AC1622&amp;".ch4",NCEfKey,0)),0)</f>
        <v>0.125604</v>
      </c>
      <c r="AE1622" s="197">
        <f>IFERROR(INDEX(NCEfFin,MATCH($AB1622&amp;"."&amp;$AC1622&amp;".ch4",NCEfKey,0)),0)</f>
        <v>0.125604</v>
      </c>
      <c r="AF1622" s="3" t="n">
        <v>0</v>
      </c>
      <c r="AG1622" s="197">
        <f>IFERROR(INDEX(NCEfIn,MATCH($AB1622&amp;"."&amp;$AC1622&amp;".pm2",NCEfKey,0)),0)</f>
        <v>0.36791505</v>
      </c>
      <c r="AH1622" s="197">
        <f>IFERROR(INDEX(NCEfFin,MATCH($AB1622&amp;"."&amp;$AC1622&amp;".pm2",NCEfKey,0)),0)</f>
        <v>0.3380841000000001</v>
      </c>
      <c r="AI1622" s="197">
        <f>IFERROR(INDEX(NCEfIn,MATCH($AB1622&amp;"."&amp;$AC1622&amp;".nox",NCEfKey,0)),0)</f>
        <v>7.95492</v>
      </c>
      <c r="AJ1622" s="197">
        <f>IFERROR(INDEX(NCEfFin,MATCH($AB1622&amp;"."&amp;$AC1622&amp;".nox",NCEfKey,0)),0)</f>
        <v>6.698880000000001</v>
      </c>
      <c r="AK1622" s="197">
        <f>IFERROR(INDEX(NCEfIn,MATCH($AB1622&amp;"."&amp;$AC1622&amp;".so2",NCEfKey,0)),0)</f>
        <v>35.5878</v>
      </c>
      <c r="AL1622" s="197">
        <f>IFERROR(INDEX(NCEfFin,MATCH($AB1622&amp;"."&amp;$AC1622&amp;".so2",NCEfKey,0)),0)</f>
        <v>27.2142</v>
      </c>
      <c r="AM1622" s="197">
        <f>IFERROR(INDEX(NCEfIn,MATCH($AB1622&amp;"."&amp;$AC1622&amp;".voc",NCEfKey,0)),0)</f>
        <v>0.20934</v>
      </c>
      <c r="AN1622" s="197">
        <f>IFERROR(INDEX(NCEfFin,MATCH($AB1622&amp;"."&amp;$AC1622&amp;".voc",NCEfKey,0)),0)</f>
        <v>0.20934</v>
      </c>
      <c r="AO1622" s="197">
        <f>IFERROR(INDEX(NCEfIn,MATCH($AB1622&amp;"."&amp;$AC1622&amp;".bc",NCEfKey,0)),0)</f>
        <v>0.282797406</v>
      </c>
      <c r="AP1622" s="197">
        <f>IFERROR(INDEX(NCEfFin,MATCH($AB1622&amp;"."&amp;$AC1622&amp;".bc",NCEfKey,0)),0)</f>
        <v>0.279217692</v>
      </c>
      <c r="AQ1622" s="197">
        <f>IFERROR(INDEX(NCEfIn,MATCH($AB1622&amp;"."&amp;$AC1622&amp;".oc",NCEfKey,0)),0)</f>
        <v>0.015512094</v>
      </c>
      <c r="AR1622" s="197">
        <f>IFERROR(INDEX(NCEfFin,MATCH($AB1622&amp;"."&amp;$AC1622&amp;".oc",NCEfKey,0)),0)</f>
        <v>0.015114348</v>
      </c>
      <c r="AS1622" s="197">
        <f>IFERROR(INDEX(NCEfIn,MATCH($AB1622&amp;"."&amp;$AC1622&amp;".co",NCEfKey,0)),0)</f>
        <v>1.73281185</v>
      </c>
      <c r="AT1622" s="197">
        <f>IFERROR(INDEX(NCEfFin,MATCH($AB1622&amp;"."&amp;$AC1622&amp;".co",NCEfKey,0)),0)</f>
        <v>1.67472</v>
      </c>
      <c r="AU1622" s="3" t="str">
        <f>INDEX('Constants and Mappings'!$J$186:$J$201,MATCH($C1622,SubKey,0))</f>
        <v>ononspec</v>
      </c>
      <c r="AV1622" s="3">
        <f>INDEX('Constants and Mappings'!$K$186:$K$201,MATCH($C1622,SubKey,0))</f>
        <v>1.0</v>
      </c>
      <c r="AW1622" s="3" t="str">
        <f>INDEX('Constants and Mappings'!$L$186:$L$201,MATCH($C1622,SubKey,0))&amp;""</f>
        <v/>
      </c>
      <c r="AX1622" s="3">
        <f>INDEX('Constants and Mappings'!$M$186:$M$201,MATCH($C1622,SubKey,0))</f>
        <v>0.0</v>
      </c>
      <c r="AY1622" s="3" t="n">
        <v>95.81710642853916</v>
      </c>
      <c r="AZ1622" s="3" t="n">
        <v>0</v>
      </c>
      <c r="BA1622" s="3" t="n">
        <v>95.81710642853916</v>
      </c>
      <c r="BB1622" s="3" t="n">
        <v>0</v>
      </c>
      <c r="BC1622" s="3" t="n">
        <v>0</v>
      </c>
      <c r="BD1622" s="3">
        <f>IFERROR($BB1622/$BC1622,0)</f>
        <v>0.0</v>
      </c>
      <c r="BE1622" s="133" t="n">
        <v>1</v>
      </c>
      <c r="BF1622" s="39" t="n">
        <v>1</v>
      </c>
    </row>
    <row r="1623">
      <c r="A1623" s="3" t="str">
        <f>$B1623&amp;"|"&amp;$C1623</f>
        <v>bio|oen</v>
      </c>
      <c r="B1623" s="8" t="inlineStr">
        <is>
          <t>bio</t>
        </is>
      </c>
      <c r="C1623" s="8" t="inlineStr">
        <is>
          <t>oen</t>
        </is>
      </c>
      <c r="D1623" s="3" t="str">
        <f>INDEX('Constants and Mappings'!$D$186:$D$201,MATCH($C1623,SubKey,0))</f>
        <v>ind</v>
      </c>
      <c r="E1623" s="3" t="str">
        <f>INDEX('Constants and Mappings'!$C$229:$C$237,MATCH($B1623,FuelKey,0))</f>
        <v>bio</v>
      </c>
      <c r="F1623" s="3" t="str">
        <f>INDEX('Constants and Mappings'!$D$229:$D$237,MATCH($B1623,FuelKey,0))</f>
        <v>bio</v>
      </c>
      <c r="G1623" s="3" t="str">
        <f>INDEX('Constants and Mappings'!$E$229:$E$237,MATCH($B1623,FuelKey,0))</f>
        <v>all</v>
      </c>
      <c r="H1623" s="3" t="str">
        <f>INDEX('Constants and Mappings'!$F$186:$F$201,MATCH($C1623,SubKey,0))</f>
        <v>ind</v>
      </c>
      <c r="I1623" s="3" t="str">
        <f>INDEX('Constants and Mappings'!$I$229:$I$237,MATCH($B1623,FuelKey,0))&amp;"."&amp;IF($G1623="sub",$H1623,"all")</f>
        <v>bio.all</v>
      </c>
      <c r="J1623" s="3" t="str">
        <f>INDEX('Constants and Mappings'!$E$186:$E$201,MATCH($C1623,SubKey,0))</f>
        <v>ind</v>
      </c>
      <c r="K1623" s="3">
        <f>INDEX('Constants and Mappings'!$G$229:$G$237,MATCH($B1623,FuelKey,0))</f>
        <v>1.0</v>
      </c>
      <c r="L1623" s="3">
        <f>INDEX('Constants and Mappings'!$H$229:$H$237,MATCH($B1623,FuelKey,0))</f>
        <v>9.0</v>
      </c>
      <c r="M1623" s="3">
        <f>INDEX('Constants and Mappings'!$H$186:$H$201,MATCH($C1623,SubKey,0))</f>
        <v>17.0</v>
      </c>
      <c r="N1623" s="3">
        <f>INDEX('Constants and Mappings'!$E$300:$E$313,MATCH($I1623,'Constants and Mappings'!$A$300:$A$313,0))</f>
        <v>14.0</v>
      </c>
      <c r="O1623" s="48">
        <f>INDEX(ElaSel,MATCH("inc|"&amp;$E1623&amp;"|"&amp;$D1623,ElaSelKey,0))</f>
        <v>0.1</v>
      </c>
      <c r="P1623" s="48">
        <f>INDEX(ElaSel,MATCH("usg|"&amp;$E1623&amp;"|"&amp;$D1623,ElaSelKey,0))</f>
        <v>-0.3</v>
      </c>
      <c r="Q1623" s="48">
        <f>INDEX(ElaSel,MATCH("eff|"&amp;$E1623&amp;"|"&amp;$D1623,ElaSelKey,0))</f>
        <v>-0.2</v>
      </c>
      <c r="R1623" s="225">
        <f>INDEX(ElaSel,MATCH("aei|"&amp;$F1623&amp;"|"&amp;$D1623,ElaSelKey,0))</f>
        <v>0.005</v>
      </c>
      <c r="S1623" s="133" t="n">
        <v>3</v>
      </c>
      <c r="T1623" s="48">
        <f>$Q1623*(1+$P1623)</f>
        <v>-0.13999999999999999</v>
      </c>
      <c r="U1623" s="3">
        <f>INDEX('Constants and Mappings'!$E$1633:$E$1644,MATCH($I1623,'Constants and Mappings'!$A$1633:$A$1644,0))</f>
        <v>312.0</v>
      </c>
      <c r="V1623" s="225">
        <f>INDEX('Constants and Mappings'!$V$1633:$V$1644,MATCH($I1623,'Constants and Mappings'!$A$1633:$A$1644,0))</f>
        <v>0.0</v>
      </c>
      <c r="W1623" s="197">
        <f>INDEX(EFSel,MATCH($B1623&amp;"|"&amp;$J1623,EFSelKey,0))*EFCalib</f>
        <v>0.0</v>
      </c>
      <c r="X1623" s="195">
        <f>IF(LEFT(BalOpt,3)="Bal",$AY1623*$AV1623+$AZ1623*$AX1623,$BA1623)</f>
        <v>0.0</v>
      </c>
      <c r="Y1623" s="3" t="str">
        <f>IF($G1623="sub",$H1623,IF($B1623="oop","ind","trs"))</f>
        <v>trs</v>
      </c>
      <c r="Z1623" s="39">
        <f>IFERROR(MATCH($Y1623&amp;"|"&amp;$B1623,XKey,0),1)</f>
        <v>19.0</v>
      </c>
      <c r="AA1623" s="48">
        <f>INDEX(XCTVal,$Z1623,ECPEmb)+INDEX(XETSVal,$Z1623,ECPEmb)</f>
        <v>0.0</v>
      </c>
      <c r="AB1623" s="8" t="inlineStr">
        <is>
          <t>oen</t>
        </is>
      </c>
      <c r="AC1623" s="8" t="inlineStr">
        <is>
          <t>bio</t>
        </is>
      </c>
      <c r="AD1623" s="197">
        <f>IFERROR(INDEX(NCEfIn,MATCH($AB1623&amp;"."&amp;$AC1623&amp;".ch4",NCEfKey,0)),0)</f>
        <v>16.7472</v>
      </c>
      <c r="AE1623" s="197">
        <f>IFERROR(INDEX(NCEfFin,MATCH($AB1623&amp;"."&amp;$AC1623&amp;".ch4",NCEfKey,0)),0)</f>
        <v>10.7454222</v>
      </c>
      <c r="AF1623" s="3" t="n">
        <v>0</v>
      </c>
      <c r="AG1623" s="197">
        <f>IFERROR(INDEX(NCEfIn,MATCH($AB1623&amp;"."&amp;$AC1623&amp;".pm2",NCEfKey,0)),0)</f>
        <v>20.002060188</v>
      </c>
      <c r="AH1623" s="197">
        <f>IFERROR(INDEX(NCEfFin,MATCH($AB1623&amp;"."&amp;$AC1623&amp;".pm2",NCEfKey,0)),0)</f>
        <v>17.1151820388</v>
      </c>
      <c r="AI1623" s="197">
        <f>IFERROR(INDEX(NCEfIn,MATCH($AB1623&amp;"."&amp;$AC1623&amp;".nox",NCEfKey,0)),0)</f>
        <v>5.44284</v>
      </c>
      <c r="AJ1623" s="197">
        <f>IFERROR(INDEX(NCEfFin,MATCH($AB1623&amp;"."&amp;$AC1623&amp;".nox",NCEfKey,0)),0)</f>
        <v>5.44284</v>
      </c>
      <c r="AK1623" s="197">
        <f>IFERROR(INDEX(NCEfIn,MATCH($AB1623&amp;"."&amp;$AC1623&amp;".so2",NCEfKey,0)),0)</f>
        <v>1.0467</v>
      </c>
      <c r="AL1623" s="197">
        <f>IFERROR(INDEX(NCEfFin,MATCH($AB1623&amp;"."&amp;$AC1623&amp;".so2",NCEfKey,0)),0)</f>
        <v>1.0467</v>
      </c>
      <c r="AM1623" s="197">
        <f>IFERROR(INDEX(NCEfIn,MATCH($AB1623&amp;"."&amp;$AC1623&amp;".voc",NCEfKey,0)),0)</f>
        <v>83.736</v>
      </c>
      <c r="AN1623" s="197">
        <f>IFERROR(INDEX(NCEfFin,MATCH($AB1623&amp;"."&amp;$AC1623&amp;".voc",NCEfKey,0)),0)</f>
        <v>31.2059076804</v>
      </c>
      <c r="AO1623" s="197">
        <f>IFERROR(INDEX(NCEfIn,MATCH($AB1623&amp;"."&amp;$AC1623&amp;".bc",NCEfKey,0)),0)</f>
        <v>3.12282945</v>
      </c>
      <c r="AP1623" s="197">
        <f>IFERROR(INDEX(NCEfFin,MATCH($AB1623&amp;"."&amp;$AC1623&amp;".bc",NCEfKey,0)),0)</f>
        <v>2.6007061824</v>
      </c>
      <c r="AQ1623" s="197">
        <f>IFERROR(INDEX(NCEfIn,MATCH($AB1623&amp;"."&amp;$AC1623&amp;".oc",NCEfKey,0)),0)</f>
        <v>8.7955624512</v>
      </c>
      <c r="AR1623" s="197">
        <f>IFERROR(INDEX(NCEfFin,MATCH($AB1623&amp;"."&amp;$AC1623&amp;".oc",NCEfKey,0)),0)</f>
        <v>7.3463393124</v>
      </c>
      <c r="AS1623" s="197">
        <f>IFERROR(INDEX(NCEfIn,MATCH($AB1623&amp;"."&amp;$AC1623&amp;".co",NCEfKey,0)),0)</f>
        <v>251.208</v>
      </c>
      <c r="AT1623" s="197">
        <f>IFERROR(INDEX(NCEfFin,MATCH($AB1623&amp;"."&amp;$AC1623&amp;".co",NCEfKey,0)),0)</f>
        <v>251.208</v>
      </c>
      <c r="AU1623" s="3" t="str">
        <f>INDEX('Constants and Mappings'!$J$186:$J$201,MATCH($C1623,SubKey,0))</f>
        <v>ononspec</v>
      </c>
      <c r="AV1623" s="3">
        <f>INDEX('Constants and Mappings'!$K$186:$K$201,MATCH($C1623,SubKey,0))</f>
        <v>1.0</v>
      </c>
      <c r="AW1623" s="3" t="str">
        <f>INDEX('Constants and Mappings'!$L$186:$L$201,MATCH($C1623,SubKey,0))&amp;""</f>
        <v/>
      </c>
      <c r="AX1623" s="3">
        <f>INDEX('Constants and Mappings'!$M$186:$M$201,MATCH($C1623,SubKey,0))</f>
        <v>0.0</v>
      </c>
      <c r="AY1623" s="3" t="n">
        <v>0</v>
      </c>
      <c r="AZ1623" s="3" t="n">
        <v>0</v>
      </c>
      <c r="BA1623" s="3" t="n">
        <v>0</v>
      </c>
      <c r="BB1623" s="3" t="n">
        <v>0</v>
      </c>
      <c r="BC1623" s="3" t="n">
        <v>0</v>
      </c>
      <c r="BD1623" s="3">
        <f>IFERROR($BB1623/$BC1623,0)</f>
        <v>0.0</v>
      </c>
      <c r="BE1623" s="133" t="n">
        <v>1</v>
      </c>
      <c r="BF1623" s="39" t="n">
        <v>1</v>
      </c>
    </row>
    <row r="1624"/>
    <row r="1625"/>
    <row r="1626"/>
    <row r="1627"/>
    <row r="1628">
      <c r="A1628" s="4" t="inlineStr">
        <is>
          <t>Inputs by price fuel: historical prices (real $/GJ) and forecasting coefficients (data step)</t>
        </is>
      </c>
      <c r="B1628" s="5" t="n"/>
      <c r="C1628" s="5" t="n"/>
      <c r="D1628" s="5" t="n"/>
      <c r="E1628" s="5" t="n"/>
      <c r="F1628" s="5" t="n"/>
      <c r="G1628" s="5" t="n"/>
      <c r="H1628" s="5" t="n"/>
      <c r="I1628" s="5" t="n"/>
      <c r="J1628" s="5" t="n"/>
      <c r="K1628" s="5" t="n"/>
      <c r="L1628" s="5" t="n"/>
      <c r="M1628" s="5" t="n"/>
      <c r="N1628" s="5" t="n"/>
      <c r="O1628" s="5" t="n"/>
      <c r="P1628" s="5" t="n"/>
      <c r="Q1628" s="5" t="n"/>
      <c r="R1628" s="5" t="n"/>
      <c r="S1628" s="5" t="n"/>
      <c r="T1628" s="5" t="n"/>
      <c r="U1628" s="5" t="n"/>
      <c r="V1628" s="5" t="n"/>
      <c r="W1628" s="5" t="n"/>
      <c r="X1628" s="5" t="n"/>
      <c r="Y1628" s="5" t="n"/>
      <c r="Z1628" s="5" t="n"/>
      <c r="AA1628" s="5" t="n"/>
      <c r="AB1628" s="5" t="n"/>
      <c r="AC1628" s="5" t="n"/>
      <c r="AD1628" s="5" t="n"/>
      <c r="AE1628" s="5" t="n"/>
      <c r="AF1628" s="5" t="n"/>
      <c r="AG1628" s="5" t="n"/>
      <c r="AH1628" s="5" t="n"/>
      <c r="AI1628" s="5" t="n"/>
      <c r="AJ1628" s="5" t="n"/>
      <c r="AK1628" s="5" t="n"/>
      <c r="AL1628" s="5" t="n"/>
      <c r="AM1628" s="5" t="n"/>
      <c r="AN1628" s="5" t="n"/>
      <c r="AO1628" s="5" t="n"/>
      <c r="AP1628" s="5" t="n"/>
      <c r="AQ1628" s="5" t="n"/>
      <c r="AR1628" s="5" t="n"/>
      <c r="AS1628" s="5" t="n"/>
      <c r="AT1628" s="5" t="n"/>
      <c r="AU1628" s="5" t="n"/>
      <c r="AV1628" s="5" t="n"/>
      <c r="AW1628" s="5" t="n"/>
      <c r="AX1628" s="5" t="n"/>
      <c r="AY1628" s="5" t="n"/>
      <c r="AZ1628" s="5" t="n"/>
      <c r="BA1628" s="5" t="n"/>
      <c r="BB1628" s="5" t="n"/>
      <c r="BC1628" s="5" t="n"/>
      <c r="BD1628" s="5" t="n"/>
      <c r="BE1628" s="5" t="n"/>
      <c r="BF1628" s="5" t="n"/>
      <c r="BG1628" s="5" t="n"/>
      <c r="BH1628" s="5" t="n"/>
      <c r="BI1628" s="5" t="n"/>
      <c r="BJ1628" s="5" t="n"/>
      <c r="BK1628" s="5" t="n"/>
      <c r="BL1628" s="5" t="n"/>
      <c r="BM1628" s="5" t="n"/>
      <c r="BN1628" s="5" t="n"/>
      <c r="BO1628" s="5" t="n"/>
      <c r="BP1628" s="5" t="n"/>
      <c r="BQ1628" s="5" t="n"/>
      <c r="BR1628" s="5" t="n"/>
      <c r="BS1628" s="5" t="n"/>
      <c r="BT1628" s="5" t="n"/>
      <c r="BU1628" s="5" t="n"/>
      <c r="BV1628" s="5" t="n"/>
      <c r="BW1628" s="5" t="n"/>
      <c r="BX1628" s="5" t="n"/>
      <c r="BY1628" s="5" t="n"/>
      <c r="BZ1628" s="5" t="n"/>
      <c r="CA1628" s="5" t="n"/>
      <c r="CB1628" s="5" t="n"/>
      <c r="CC1628" s="5" t="n"/>
      <c r="CD1628" s="5" t="n"/>
      <c r="CE1628" s="5" t="n"/>
      <c r="CF1628" s="5" t="n"/>
      <c r="CG1628" s="5" t="n"/>
      <c r="CH1628" s="5" t="n"/>
      <c r="CI1628" s="5" t="n"/>
      <c r="CJ1628" s="5" t="n"/>
      <c r="CK1628" s="5" t="n"/>
      <c r="CL1628" s="5" t="n"/>
      <c r="CM1628" s="5" t="n"/>
      <c r="CN1628" s="5" t="n"/>
      <c r="CO1628" s="5" t="n"/>
      <c r="CP1628" s="5" t="n"/>
      <c r="CQ1628" s="5" t="n"/>
      <c r="CR1628" s="5" t="n"/>
      <c r="CS1628" s="5" t="n"/>
      <c r="CT1628" s="5" t="n"/>
      <c r="CU1628" s="5" t="n"/>
      <c r="CV1628" s="5" t="n"/>
      <c r="CW1628" s="5" t="n"/>
      <c r="CX1628" s="5" t="n"/>
      <c r="CY1628" s="5" t="n"/>
      <c r="CZ1628" s="5" t="n"/>
      <c r="DA1628" s="5" t="n"/>
      <c r="DB1628" s="5" t="n"/>
      <c r="DC1628" s="5" t="n"/>
      <c r="DD1628" s="5" t="n"/>
      <c r="DE1628" s="5" t="n"/>
      <c r="DF1628" s="5" t="n"/>
      <c r="DG1628" s="5" t="n"/>
      <c r="DH1628" s="5" t="n"/>
      <c r="DI1628" s="5" t="n"/>
      <c r="DJ1628" s="5" t="n"/>
      <c r="DK1628" s="5" t="n"/>
      <c r="DL1628" s="5" t="n"/>
      <c r="DM1628" s="5" t="n"/>
      <c r="DN1628" s="5" t="n"/>
      <c r="DO1628" s="5" t="n"/>
      <c r="DP1628" s="5" t="n"/>
      <c r="DQ1628" s="5" t="n"/>
      <c r="DR1628" s="5" t="n"/>
      <c r="DS1628" s="5" t="n"/>
      <c r="DT1628" s="5" t="n"/>
      <c r="DU1628" s="5" t="n"/>
      <c r="DV1628" s="5" t="n"/>
      <c r="DW1628" s="5" t="n"/>
      <c r="DX1628" s="5" t="n"/>
      <c r="DY1628" s="5" t="n"/>
      <c r="DZ1628" s="5" t="n"/>
      <c r="EA1628" s="5" t="n"/>
      <c r="EB1628" s="5" t="n"/>
      <c r="EC1628" s="5" t="n"/>
      <c r="ED1628" s="5" t="n"/>
      <c r="EE1628" s="5" t="n"/>
      <c r="EF1628" s="5" t="n"/>
      <c r="EG1628" s="5" t="n"/>
      <c r="EH1628" s="5" t="n"/>
      <c r="EI1628" s="5" t="n"/>
      <c r="EJ1628" s="5" t="n"/>
      <c r="EK1628" s="5" t="n"/>
      <c r="EL1628" s="5" t="n"/>
      <c r="EM1628" s="5" t="n"/>
      <c r="EN1628" s="5" t="n"/>
      <c r="EO1628" s="5" t="n"/>
      <c r="EP1628" s="5" t="n"/>
      <c r="EQ1628" s="5" t="n"/>
      <c r="ER1628" s="5" t="n"/>
      <c r="ES1628" s="5" t="n"/>
      <c r="ET1628" s="5" t="n"/>
      <c r="EU1628" s="5" t="n"/>
      <c r="EV1628" s="5" t="n"/>
      <c r="EW1628" s="5" t="n"/>
      <c r="EX1628" s="5" t="n"/>
      <c r="EY1628" s="5" t="n"/>
      <c r="EZ1628" s="5" t="n"/>
      <c r="FA1628" s="5" t="n"/>
      <c r="FB1628" s="5" t="n"/>
      <c r="FC1628" s="5" t="n"/>
      <c r="FD1628" s="5" t="n"/>
      <c r="FE1628" s="5" t="n"/>
      <c r="FF1628" s="5" t="n"/>
      <c r="FG1628" s="5" t="n"/>
      <c r="FH1628" s="5" t="n"/>
      <c r="FI1628" s="5" t="n"/>
      <c r="FJ1628" s="5" t="n"/>
      <c r="FK1628" s="5" t="n"/>
      <c r="FL1628" s="5" t="n"/>
      <c r="FM1628" s="5" t="n"/>
      <c r="FN1628" s="5" t="n"/>
      <c r="FO1628" s="5" t="n"/>
    </row>
    <row r="1629">
      <c r="A1629" s="6" t="inlineStr">
        <is>
          <t>Prices_dom row of the column year -&gt;</t>
        </is>
      </c>
      <c r="Y1629" s="39" t="n">
        <v>3</v>
      </c>
      <c r="Z1629" s="39" t="n">
        <v>4</v>
      </c>
      <c r="AA1629" s="39" t="n">
        <v>5</v>
      </c>
      <c r="AB1629" s="39" t="n">
        <v>6</v>
      </c>
      <c r="AC1629" s="39" t="n">
        <v>3</v>
      </c>
      <c r="AD1629" s="39" t="n">
        <v>4</v>
      </c>
      <c r="AE1629" s="39" t="n">
        <v>5</v>
      </c>
      <c r="AF1629" s="39" t="n">
        <v>6</v>
      </c>
      <c r="AG1629" s="39" t="n">
        <v>3</v>
      </c>
      <c r="AH1629" s="39" t="n">
        <v>4</v>
      </c>
      <c r="AI1629" s="39" t="n">
        <v>5</v>
      </c>
      <c r="AJ1629" s="39" t="n">
        <v>6</v>
      </c>
      <c r="AK1629" s="39" t="n">
        <v>3</v>
      </c>
      <c r="AL1629" s="39" t="n">
        <v>4</v>
      </c>
      <c r="AM1629" s="39" t="n">
        <v>5</v>
      </c>
      <c r="AN1629" s="39" t="n">
        <v>6</v>
      </c>
      <c r="AO1629" s="39" t="n">
        <v>3</v>
      </c>
      <c r="AP1629" s="39" t="n">
        <v>4</v>
      </c>
      <c r="AQ1629" s="39" t="n">
        <v>5</v>
      </c>
      <c r="AR1629" s="39" t="n">
        <v>6</v>
      </c>
      <c r="AS1629" s="39" t="n">
        <v>3</v>
      </c>
      <c r="AT1629" s="39" t="n">
        <v>4</v>
      </c>
      <c r="AU1629" s="39" t="n">
        <v>5</v>
      </c>
      <c r="AV1629" s="39" t="n">
        <v>6</v>
      </c>
      <c r="AW1629" s="39" t="n">
        <v>3</v>
      </c>
      <c r="AX1629" s="39" t="n">
        <v>4</v>
      </c>
      <c r="AY1629" s="39" t="n">
        <v>5</v>
      </c>
      <c r="AZ1629" s="39" t="n">
        <v>6</v>
      </c>
      <c r="BA1629" s="39" t="n">
        <v>3</v>
      </c>
      <c r="BB1629" s="39" t="n">
        <v>4</v>
      </c>
      <c r="BC1629" s="39" t="n">
        <v>5</v>
      </c>
      <c r="BD1629" s="39" t="n">
        <v>6</v>
      </c>
    </row>
    <row r="1630">
      <c r="A1630" s="6" t="inlineStr">
        <is>
          <t>CPI index of the column year (ResultsYear = 1) -&gt;</t>
        </is>
      </c>
      <c r="Y1630" s="197">
        <f t="shared" ref="Y1630:BD1630" si="0">CPIRes/INDEX(WEOVal,MATCH("USA|pcpi",WEOKey,0),MATCH(Y$1632,WEOYear,0))</f>
        <v>1.2276586452020866</v>
      </c>
      <c r="Z1630" s="197">
        <f t="shared" si="0"/>
        <v>1.1368175895069652</v>
      </c>
      <c r="AA1630" s="197">
        <f t="shared" si="0"/>
        <v>1.0917610197470982</v>
      </c>
      <c r="AB1630" s="197">
        <f t="shared" si="0"/>
        <v>1.060455217769889</v>
      </c>
      <c r="AC1630" s="197">
        <f t="shared" si="0"/>
        <v>1.2276586452020866</v>
      </c>
      <c r="AD1630" s="197">
        <f t="shared" si="0"/>
        <v>1.1368175895069652</v>
      </c>
      <c r="AE1630" s="197">
        <f t="shared" si="0"/>
        <v>1.0917610197470982</v>
      </c>
      <c r="AF1630" s="197">
        <f t="shared" si="0"/>
        <v>1.060455217769889</v>
      </c>
      <c r="AG1630" s="197">
        <f t="shared" si="0"/>
        <v>1.2276586452020866</v>
      </c>
      <c r="AH1630" s="197">
        <f t="shared" si="0"/>
        <v>1.1368175895069652</v>
      </c>
      <c r="AI1630" s="197">
        <f t="shared" si="0"/>
        <v>1.0917610197470982</v>
      </c>
      <c r="AJ1630" s="197">
        <f t="shared" si="0"/>
        <v>1.060455217769889</v>
      </c>
      <c r="AK1630" s="197">
        <f t="shared" si="0"/>
        <v>1.2276586452020866</v>
      </c>
      <c r="AL1630" s="197">
        <f t="shared" si="0"/>
        <v>1.1368175895069652</v>
      </c>
      <c r="AM1630" s="197">
        <f t="shared" si="0"/>
        <v>1.0917610197470982</v>
      </c>
      <c r="AN1630" s="197">
        <f t="shared" si="0"/>
        <v>1.060455217769889</v>
      </c>
      <c r="AO1630" s="197">
        <f t="shared" si="0"/>
        <v>1.2276586452020866</v>
      </c>
      <c r="AP1630" s="197">
        <f t="shared" si="0"/>
        <v>1.1368175895069652</v>
      </c>
      <c r="AQ1630" s="197">
        <f t="shared" si="0"/>
        <v>1.0917610197470982</v>
      </c>
      <c r="AR1630" s="197">
        <f t="shared" si="0"/>
        <v>1.060455217769889</v>
      </c>
      <c r="AS1630" s="197">
        <f t="shared" si="0"/>
        <v>1.2276586452020866</v>
      </c>
      <c r="AT1630" s="197">
        <f t="shared" si="0"/>
        <v>1.1368175895069652</v>
      </c>
      <c r="AU1630" s="197">
        <f t="shared" si="0"/>
        <v>1.0917610197470982</v>
      </c>
      <c r="AV1630" s="197">
        <f t="shared" si="0"/>
        <v>1.060455217769889</v>
      </c>
      <c r="AW1630" s="197">
        <f t="shared" si="0"/>
        <v>1.2276586452020866</v>
      </c>
      <c r="AX1630" s="197">
        <f t="shared" si="0"/>
        <v>1.1368175895069652</v>
      </c>
      <c r="AY1630" s="197">
        <f t="shared" si="0"/>
        <v>1.0917610197470982</v>
      </c>
      <c r="AZ1630" s="197">
        <f t="shared" si="0"/>
        <v>1.060455217769889</v>
      </c>
      <c r="BA1630" s="197">
        <f t="shared" si="0"/>
        <v>1.2276586452020866</v>
      </c>
      <c r="BB1630" s="197">
        <f t="shared" si="0"/>
        <v>1.1368175895069652</v>
      </c>
      <c r="BC1630" s="197">
        <f t="shared" si="0"/>
        <v>1.0917610197470982</v>
      </c>
      <c r="BD1630" s="197">
        <f t="shared" si="0"/>
        <v>1.060455217769889</v>
      </c>
    </row>
    <row r="1631">
      <c r="A1631" s="6" t="inlineStr">
        <is>
          <t>General VAT rate VAT_WEO of the column year (blank = 0) -&gt;</t>
        </is>
      </c>
      <c r="Y1631" s="225" t="n">
        <v>0.14</v>
      </c>
      <c r="Z1631" s="225" t="n">
        <v>0.14</v>
      </c>
      <c r="AA1631" s="225" t="n">
        <v>0.14</v>
      </c>
      <c r="AB1631" s="225" t="n">
        <v>0.14</v>
      </c>
      <c r="AC1631" s="225" t="n">
        <v>0.14</v>
      </c>
      <c r="AD1631" s="225" t="n">
        <v>0.14</v>
      </c>
      <c r="AE1631" s="225" t="n">
        <v>0.14</v>
      </c>
      <c r="AF1631" s="225" t="n">
        <v>0.14</v>
      </c>
      <c r="AG1631" s="225" t="n">
        <v>0.14</v>
      </c>
      <c r="AH1631" s="225" t="n">
        <v>0.14</v>
      </c>
      <c r="AI1631" s="225" t="n">
        <v>0.14</v>
      </c>
      <c r="AJ1631" s="225" t="n">
        <v>0.14</v>
      </c>
      <c r="AK1631" s="225" t="n">
        <v>0.14</v>
      </c>
      <c r="AL1631" s="225" t="n">
        <v>0.14</v>
      </c>
      <c r="AM1631" s="225" t="n">
        <v>0.14</v>
      </c>
      <c r="AN1631" s="225" t="n">
        <v>0.14</v>
      </c>
      <c r="AO1631" s="225" t="n">
        <v>0.14</v>
      </c>
      <c r="AP1631" s="225" t="n">
        <v>0.14</v>
      </c>
      <c r="AQ1631" s="225" t="n">
        <v>0.14</v>
      </c>
      <c r="AR1631" s="225" t="n">
        <v>0.14</v>
      </c>
      <c r="AS1631" s="225" t="n">
        <v>0.14</v>
      </c>
      <c r="AT1631" s="225" t="n">
        <v>0.14</v>
      </c>
      <c r="AU1631" s="225" t="n">
        <v>0.14</v>
      </c>
      <c r="AV1631" s="225" t="n">
        <v>0.14</v>
      </c>
      <c r="AW1631" s="225" t="n">
        <v>0.14</v>
      </c>
      <c r="AX1631" s="225" t="n">
        <v>0.14</v>
      </c>
      <c r="AY1631" s="225" t="n">
        <v>0.14</v>
      </c>
      <c r="AZ1631" s="225" t="n">
        <v>0.14</v>
      </c>
      <c r="BA1631" s="225" t="n">
        <v>0.14</v>
      </c>
      <c r="BB1631" s="225" t="n">
        <v>0.14</v>
      </c>
      <c r="BC1631" s="225" t="n">
        <v>0.14</v>
      </c>
      <c r="BD1631" s="225" t="n">
        <v>0.14</v>
      </c>
    </row>
    <row r="1632" ht="72" customHeight="1">
      <c r="A1632" s="175" t="inlineStr">
        <is>
          <t>Price code (fuel.sector)</t>
        </is>
      </c>
      <c r="B1632" s="175" t="inlineStr">
        <is>
          <t>Label</t>
        </is>
      </c>
      <c r="C1632" s="175" t="inlineStr">
        <is>
          <t>Fuel</t>
        </is>
      </c>
      <c r="D1632" s="175" t="inlineStr">
        <is>
          <t>Sector</t>
        </is>
      </c>
      <c r="E1632" s="175" t="inlineStr">
        <is>
          <t>Block position in Mitigation section 2 (row of the fuel | sector block, first block = 1)</t>
        </is>
      </c>
      <c r="F1632" s="175" t="inlineStr">
        <is>
          <t>International price position (gp row)</t>
        </is>
      </c>
      <c r="G1632" s="175" t="inlineStr">
        <is>
          <t>GJ per price unit</t>
        </is>
      </c>
      <c r="H1632" s="175" t="inlineStr">
        <is>
          <t>Retail price from data? (1 = coal, gas, biomass)</t>
        </is>
      </c>
      <c r="I1632" s="175" t="inlineStr">
        <is>
          <t>Raw pass-through coefficient (mit.ps, base year)</t>
        </is>
      </c>
      <c r="J1632" s="175" t="inlineStr">
        <is>
          <t>Bucketed pass-through</t>
        </is>
      </c>
      <c r="K1632" s="175" t="inlineStr">
        <is>
          <t>Chosen pass-through (Settings: price controls)</t>
        </is>
      </c>
      <c r="L1632" s="175" t="inlineStr">
        <is>
          <t>Margin data year (legacy O747:O758: 2024 typed for coal and gas, issue I101; base year otherwise; v0.9.0)</t>
        </is>
      </c>
      <c r="M1632" s="175" t="inlineStr">
        <is>
          <t>Margin (mit.mar of the margin data year, nominal price unit)</t>
        </is>
      </c>
      <c r="N1632" s="175" t="inlineStr">
        <is>
          <t>CPI index of the margin data year (legacy bug L172 fixed: legacy adds the margin unconverted; v0.9.0)</t>
        </is>
      </c>
      <c r="O1632" s="175" t="inlineStr">
        <is>
          <t>Domestic production cost (base year, nominal $/GJ)</t>
        </is>
      </c>
      <c r="P1632" s="175" t="inlineStr">
        <is>
          <t>Share produced domestically (mit.&lt;fuel&gt;.prod, base year, 0-1; coal and gas; as legacy P747:P752, LD80; v0.9.0)</t>
        </is>
      </c>
      <c r="Q1632" s="175" t="inlineStr">
        <is>
          <t>CPI index of the base year</t>
        </is>
      </c>
      <c r="R1632" s="175" t="inlineStr">
        <is>
          <t>Fixed supply cost fixsp (real $/GJ)</t>
        </is>
      </c>
      <c r="S1632" s="175" t="inlineStr">
        <is>
          <t>VAT applies to final consumers? (assumption: residential and all-sector oil products)</t>
        </is>
      </c>
      <c r="T1632" s="175" t="inlineStr">
        <is>
          <t>VAT rate assumption = general VAT rate (VAT_WEO) x consumer flag, used only where the data cell is blank</t>
        </is>
      </c>
      <c r="U1632" s="175" t="inlineStr">
        <is>
          <t>Household share of the oil product (OilProductShares; 1 for other prices): VAT applies to it, as legacy rows 801-816 (v0.4.12, LD5)</t>
        </is>
      </c>
      <c r="V1632" s="175" t="inlineStr">
        <is>
          <t>VAT rate used (data where filled, 0 included; else assumption), last historical year, x household share</t>
        </is>
      </c>
      <c r="W1632" s="175" t="inlineStr">
        <is>
          <t>Supply cost, last historical year (real $/GJ)</t>
        </is>
      </c>
      <c r="X1632" s="175" t="inlineStr">
        <is>
          <t>Excise and other taxes, last historical year (real $/GJ)</t>
        </is>
      </c>
      <c r="Y1632" s="176" t="n">
        <v>2021</v>
      </c>
      <c r="Z1632" s="176" t="n">
        <v>2022</v>
      </c>
      <c r="AA1632" s="176" t="n">
        <v>2023</v>
      </c>
      <c r="AB1632" s="176" t="n">
        <v>2024</v>
      </c>
      <c r="AC1632" s="176" t="n">
        <v>2021</v>
      </c>
      <c r="AD1632" s="176" t="n">
        <v>2022</v>
      </c>
      <c r="AE1632" s="176" t="n">
        <v>2023</v>
      </c>
      <c r="AF1632" s="176" t="n">
        <v>2024</v>
      </c>
      <c r="AG1632" s="176" t="n">
        <v>2021</v>
      </c>
      <c r="AH1632" s="176" t="n">
        <v>2022</v>
      </c>
      <c r="AI1632" s="176" t="n">
        <v>2023</v>
      </c>
      <c r="AJ1632" s="176" t="n">
        <v>2024</v>
      </c>
      <c r="AK1632" s="176" t="n">
        <v>2021</v>
      </c>
      <c r="AL1632" s="176" t="n">
        <v>2022</v>
      </c>
      <c r="AM1632" s="176" t="n">
        <v>2023</v>
      </c>
      <c r="AN1632" s="176" t="n">
        <v>2024</v>
      </c>
      <c r="AO1632" s="176" t="n">
        <v>2021</v>
      </c>
      <c r="AP1632" s="176" t="n">
        <v>2022</v>
      </c>
      <c r="AQ1632" s="176" t="n">
        <v>2023</v>
      </c>
      <c r="AR1632" s="176" t="n">
        <v>2024</v>
      </c>
      <c r="AS1632" s="176" t="n">
        <v>2021</v>
      </c>
      <c r="AT1632" s="176" t="n">
        <v>2022</v>
      </c>
      <c r="AU1632" s="176" t="n">
        <v>2023</v>
      </c>
      <c r="AV1632" s="176" t="n">
        <v>2024</v>
      </c>
      <c r="AW1632" s="176" t="n">
        <v>2021</v>
      </c>
      <c r="AX1632" s="176" t="n">
        <v>2022</v>
      </c>
      <c r="AY1632" s="176" t="n">
        <v>2023</v>
      </c>
      <c r="AZ1632" s="176" t="n">
        <v>2024</v>
      </c>
      <c r="BA1632" s="176" t="n">
        <v>2021</v>
      </c>
      <c r="BB1632" s="176" t="n">
        <v>2022</v>
      </c>
      <c r="BC1632" s="176" t="n">
        <v>2023</v>
      </c>
      <c r="BD1632" s="176" t="n">
        <v>2024</v>
      </c>
      <c r="BE1632" s="175" t="inlineStr">
        <is>
          <t>Row of the price control in Manual inputs G167:G180 (code mit.rp.&lt;price code&gt;.ctrl; v0.5.2)</t>
        </is>
      </c>
      <c r="BF1632" s="175" t="inlineStr">
        <is>
          <t>Manual price control (pass-through), Manual inputs J167:J180 (blank = 1, as legacy L747:L760; v0.5.2)</t>
        </is>
      </c>
    </row>
    <row r="1633">
      <c r="A1633" s="232" t="inlineStr">
        <is>
          <t>coa.pow</t>
        </is>
      </c>
      <c r="B1633" s="232" t="inlineStr">
        <is>
          <t>Coal, Power</t>
        </is>
      </c>
      <c r="C1633" s="232" t="inlineStr">
        <is>
          <t>coa</t>
        </is>
      </c>
      <c r="D1633" s="232" t="inlineStr">
        <is>
          <t>pow</t>
        </is>
      </c>
      <c r="E1633" s="133" t="n">
        <v>1</v>
      </c>
      <c r="F1633" s="133" t="n">
        <v>2</v>
      </c>
      <c r="G1633" s="196">
        <f>INDEX('Constants and Mappings'!$G$229:$G$237,MATCH($C1633,FuelKey,0))</f>
        <v>1.0</v>
      </c>
      <c r="H1633" s="133" t="n">
        <v>1</v>
      </c>
      <c r="I1633" s="48" t="n">
        <v>1</v>
      </c>
      <c r="J1633" s="48">
        <f>IF($I1633&lt;=PassLo,0,IF($I1633&lt;=PassHi,PassMid,1))</f>
        <v>1.0</v>
      </c>
      <c r="K1633" s="48">
        <f>IF(LEFT('Constants and Mappings'!$C$9,6)="Manual",$BF1633,IF(LEFT('Constants and Mappings'!$C$9,4)="None",1,$J1633))</f>
        <v>1.0</v>
      </c>
      <c r="L1633" s="133" t="n">
        <v>2024</v>
      </c>
      <c r="M1633" s="196" t="n">
        <v>1.308254972530448</v>
      </c>
      <c r="N1633" s="196">
        <f>CPIRes/INDEX(WEOVal,MATCH("USA|pcpi",WEOKey,0),MATCH($L1633,WEOYear,0))</f>
        <v>1.060455217769889</v>
      </c>
      <c r="O1633" s="196" t="n">
        <v>1.307583237710685</v>
      </c>
      <c r="P1633" s="48" t="n">
        <v>0</v>
      </c>
      <c r="Q1633" s="196">
        <f>INDEX($Y$1630:$AB$1630,MATCH('Constants and Mappings'!$C$7,$Y$1632:$AB$1632,0))</f>
        <v>1.1368175895069652</v>
      </c>
      <c r="R1633" s="196">
        <f>($M1633*$N1633+$P1633*$O1633*$Q1633)/$G1633</f>
        <v>1.3873458117933162</v>
      </c>
      <c r="S1633" s="178" t="n">
        <v>0</v>
      </c>
      <c r="T1633" s="233">
        <f>$S1633*INDEX($BA$1631:$BD$1631,MATCH('Constants and Mappings'!$C$10,$BA$1632:$BD$1632,0))</f>
        <v>0.0</v>
      </c>
      <c r="U1633" s="228" t="n">
        <v>1</v>
      </c>
      <c r="V1633" s="225">
        <f>INDEX($BA1633:$BD1633,MATCH('Constants and Mappings'!$C$10,$BA$1632:$BD$1632,0))*$U1633</f>
        <v>0.0</v>
      </c>
      <c r="W1633" s="196">
        <f>INDEX($Y1633:$AB1633,MATCH('Constants and Mappings'!$C$10,$Y$1632:$AB$1632,0))</f>
        <v>5.8065680582894</v>
      </c>
      <c r="X1633" s="196">
        <f>INDEX($AC1633:$AF1633,MATCH('Constants and Mappings'!$C$10,$AC$1632:$AF$1632,0))</f>
        <v>0.0</v>
      </c>
      <c r="Y1633" s="196">
        <f>$AK1633*Y$1630/$G1633</f>
        <v>7.191940874644631</v>
      </c>
      <c r="Z1633" s="196">
        <f>$AL1633*Z$1630/$G1633</f>
        <v>13.46421248673108</v>
      </c>
      <c r="AA1633" s="196">
        <f>$AM1633*AA$1630/$G1633</f>
        <v>6.58847527233409</v>
      </c>
      <c r="AB1633" s="196">
        <f>$AN1633*AB$1630/$G1633</f>
        <v>5.8065680582894</v>
      </c>
      <c r="AC1633" s="196">
        <f>IF($H1633=1,$AG1633/(1+$BA1633)-$AK1633,$AO1633)*AC$1630/$G1633</f>
        <v>0.0</v>
      </c>
      <c r="AD1633" s="196">
        <f>IF($H1633=1,$AH1633/(1+$BB1633)-$AL1633,$AP1633)*AD$1630/$G1633</f>
        <v>0.0</v>
      </c>
      <c r="AE1633" s="196">
        <f>IF($H1633=1,$AI1633/(1+$BC1633)-$AM1633,$AQ1633)*AE$1630/$G1633</f>
        <v>0.0</v>
      </c>
      <c r="AF1633" s="196">
        <f>IF($H1633=1,$AJ1633/(1+$BD1633)-$AN1633,$AR1633)*AF$1630/$G1633</f>
        <v>0.0</v>
      </c>
      <c r="AG1633" s="196">
        <f t="shared" ref="AG1633:AJ1633" si="1">IFERROR(INDEX(MPU,MATCH(AG$1632,MPUYr,0),MATCH("mit.rp."&amp;$A1633,MPUHdr,0))+0,0)</f>
        <v>5.8582578331135</v>
      </c>
      <c r="AH1633" s="196">
        <f t="shared" si="1"/>
        <v>11.8437756514398</v>
      </c>
      <c r="AI1633" s="196">
        <f t="shared" si="1"/>
        <v>6.03472294134506</v>
      </c>
      <c r="AJ1633" s="196">
        <f t="shared" si="1"/>
        <v>5.47554291872925</v>
      </c>
      <c r="AK1633" s="196">
        <f t="shared" ref="AK1633:AN1633" si="2">IFERROR(INDEX(MPU,MATCH(AK$1632,MPUYr,0),MATCH("mit.sp."&amp;$A1633,MPUHdr,0))+0,0)</f>
        <v>5.8582578331135</v>
      </c>
      <c r="AL1633" s="196">
        <f t="shared" si="2"/>
        <v>11.8437756514398</v>
      </c>
      <c r="AM1633" s="196">
        <f t="shared" si="2"/>
        <v>6.03472294134506</v>
      </c>
      <c r="AN1633" s="196">
        <f t="shared" si="2"/>
        <v>5.47554291872925</v>
      </c>
      <c r="AO1633" s="196">
        <f t="shared" ref="AO1633:AR1633" si="3">IFERROR(INDEX(MPU,MATCH(AO$1632,MPUYr,0),MATCH("mit.txo."&amp;$A1633,MPUHdr,0))+0,0)</f>
        <v>0.0</v>
      </c>
      <c r="AP1633" s="196">
        <f t="shared" si="3"/>
        <v>0.0</v>
      </c>
      <c r="AQ1633" s="196">
        <f t="shared" si="3"/>
        <v>0.0</v>
      </c>
      <c r="AR1633" s="196">
        <f t="shared" si="3"/>
        <v>0.0</v>
      </c>
      <c r="AS1633" s="39">
        <f t="shared" ref="AS1633:AV1633" si="4">IF(IFERROR(INDEX(MPU,MATCH(AS$1632,MPUYr,0),MATCH("mit.vatrate."&amp;$A1633,MPUHdr,0))="",TRUE),1,0)</f>
        <v>0.0</v>
      </c>
      <c r="AT1633" s="39">
        <f t="shared" si="4"/>
        <v>0.0</v>
      </c>
      <c r="AU1633" s="39">
        <f t="shared" si="4"/>
        <v>0.0</v>
      </c>
      <c r="AV1633" s="39">
        <f t="shared" si="4"/>
        <v>0.0</v>
      </c>
      <c r="AW1633" s="225">
        <f t="shared" ref="AW1633:AZ1633" si="5">IFERROR(INDEX(MPU,MATCH(AW$1632,MPUYr,0),MATCH("mit.vatrate."&amp;$A1633,MPUHdr,0))+0,0)</f>
        <v>0.0</v>
      </c>
      <c r="AX1633" s="225">
        <f t="shared" si="5"/>
        <v>0.0</v>
      </c>
      <c r="AY1633" s="225">
        <f t="shared" si="5"/>
        <v>0.0</v>
      </c>
      <c r="AZ1633" s="225">
        <f t="shared" si="5"/>
        <v>0.0</v>
      </c>
      <c r="BA1633" s="225">
        <f>IF($AS1633=1,$S1633*BA$1631,$AW1633)</f>
        <v>0.0</v>
      </c>
      <c r="BB1633" s="225">
        <f>IF($AT1633=1,$S1633*BB$1631,$AX1633)</f>
        <v>0.0</v>
      </c>
      <c r="BC1633" s="225">
        <f>IF($AU1633=1,$S1633*BC$1631,$AY1633)</f>
        <v>0.0</v>
      </c>
      <c r="BD1633" s="225">
        <f>IF($AV1633=1,$S1633*BD$1631,$AZ1633)</f>
        <v>0.0</v>
      </c>
      <c r="BE1633" s="39" t="n">
        <v>1</v>
      </c>
      <c r="BF1633" s="48" t="n">
        <v>0.8</v>
      </c>
    </row>
    <row r="1634">
      <c r="A1634" s="232" t="inlineStr">
        <is>
          <t>coa.res</t>
        </is>
      </c>
      <c r="B1634" s="232" t="inlineStr">
        <is>
          <t>Coal, Residential</t>
        </is>
      </c>
      <c r="C1634" s="232" t="inlineStr">
        <is>
          <t>coa</t>
        </is>
      </c>
      <c r="D1634" s="232" t="inlineStr">
        <is>
          <t>res</t>
        </is>
      </c>
      <c r="E1634" s="133" t="n">
        <v>28</v>
      </c>
      <c r="F1634" s="133" t="n">
        <v>2</v>
      </c>
      <c r="G1634" s="196">
        <f>INDEX('Constants and Mappings'!$G$229:$G$237,MATCH($C1634,FuelKey,0))</f>
        <v>1.0</v>
      </c>
      <c r="H1634" s="133" t="n">
        <v>1</v>
      </c>
      <c r="I1634" s="48" t="n">
        <v>1</v>
      </c>
      <c r="J1634" s="48">
        <f>IF($I1634&lt;=PassLo,0,IF($I1634&lt;=PassHi,PassMid,1))</f>
        <v>1.0</v>
      </c>
      <c r="K1634" s="48">
        <f>IF(LEFT('Constants and Mappings'!$C$9,6)="Manual",$BF1634,IF(LEFT('Constants and Mappings'!$C$9,4)="None",1,$J1634))</f>
        <v>1.0</v>
      </c>
      <c r="L1634" s="133" t="n">
        <v>2024</v>
      </c>
      <c r="M1634" s="196" t="n">
        <v>7.84764506153044</v>
      </c>
      <c r="N1634" s="196">
        <f>CPIRes/INDEX(WEOVal,MATCH("USA|pcpi",WEOKey,0),MATCH($L1634,WEOYear,0))</f>
        <v>1.060455217769889</v>
      </c>
      <c r="O1634" s="196" t="n">
        <v>1.307583237710685</v>
      </c>
      <c r="P1634" s="48" t="n">
        <v>0</v>
      </c>
      <c r="Q1634" s="196">
        <f>INDEX($Y$1630:$AB$1630,MATCH('Constants and Mappings'!$C$7,$Y$1632:$AB$1632,0))</f>
        <v>1.1368175895069652</v>
      </c>
      <c r="R1634" s="196">
        <f>($M1634*$N1634+$P1634*$O1634*$Q1634)/$G1634</f>
        <v>8.322076152706057</v>
      </c>
      <c r="S1634" s="178" t="n">
        <v>1</v>
      </c>
      <c r="T1634" s="233">
        <f>$S1634*INDEX($BA$1631:$BD$1631,MATCH('Constants and Mappings'!$C$10,$BA$1632:$BD$1632,0))</f>
        <v>0.14</v>
      </c>
      <c r="U1634" s="228" t="n">
        <v>1</v>
      </c>
      <c r="V1634" s="225">
        <f>INDEX($BA1634:$BD1634,MATCH('Constants and Mappings'!$C$10,$BA$1632:$BD$1632,0))*$U1634</f>
        <v>0.14</v>
      </c>
      <c r="W1634" s="196">
        <f>INDEX($Y1634:$AB1634,MATCH('Constants and Mappings'!$C$10,$Y$1632:$AB$1632,0))</f>
        <v>12.70156580181755</v>
      </c>
      <c r="X1634" s="196">
        <f>INDEX($AC1634:$AF1634,MATCH('Constants and Mappings'!$C$10,$AC$1632:$AF$1632,0))</f>
        <v>0.003018962997242845</v>
      </c>
      <c r="Y1634" s="196">
        <f>$AK1634*Y$1630/$G1634</f>
        <v>14.279314455492555</v>
      </c>
      <c r="Z1634" s="196">
        <f>$AL1634*Z$1630/$G1634</f>
        <v>20.502627497702463</v>
      </c>
      <c r="AA1634" s="196">
        <f>$AM1634*AA$1630/$G1634</f>
        <v>13.364278434844863</v>
      </c>
      <c r="AB1634" s="196">
        <f>$AN1634*AB$1630/$G1634</f>
        <v>12.70156580181755</v>
      </c>
      <c r="AC1634" s="196">
        <f>IF($H1634=1,$AG1634/(1+$BA1634)-$AK1634,$AO1634)*AC$1630/$G1634</f>
        <v>9.595343255755717e-14</v>
      </c>
      <c r="AD1634" s="196">
        <f>IF($H1634=1,$AH1634/(1+$BB1634)-$AL1634,$AP1634)*AD$1630/$G1634</f>
        <v>0.17858267852955953</v>
      </c>
      <c r="AE1634" s="196">
        <f>IF($H1634=1,$AI1634/(1+$BC1634)-$AM1634,$AQ1634)*AE$1630/$G1634</f>
        <v>0.19096105896816887</v>
      </c>
      <c r="AF1634" s="196">
        <f>IF($H1634=1,$AJ1634/(1+$BD1634)-$AN1634,$AR1634)*AF$1630/$G1634</f>
        <v>0.003018962997242845</v>
      </c>
      <c r="AG1634" s="196">
        <f t="shared" ref="AG1634:AJ1634" si="6">IFERROR(INDEX(MPU,MATCH(AG$1632,MPUYr,0),MATCH("mit.rp."&amp;$A1634,MPUHdr,0))+0,0)</f>
        <v>13.2597269956764</v>
      </c>
      <c r="AH1634" s="196">
        <f t="shared" si="6"/>
        <v>20.7391052166334</v>
      </c>
      <c r="AI1634" s="196">
        <f t="shared" si="6"/>
        <v>14.1541717861721</v>
      </c>
      <c r="AJ1634" s="196">
        <f t="shared" si="6"/>
        <v>13.6575561034503</v>
      </c>
      <c r="AK1634" s="196">
        <f t="shared" ref="AK1634:AN1634" si="7">IFERROR(INDEX(MPU,MATCH(AK$1632,MPUYr,0),MATCH("mit.sp."&amp;$A1634,MPUHdr,0))+0,0)</f>
        <v>11.6313394698915</v>
      </c>
      <c r="AL1634" s="196">
        <f t="shared" si="7"/>
        <v>18.0351075554649</v>
      </c>
      <c r="AM1634" s="196">
        <f t="shared" si="7"/>
        <v>12.2410291200364</v>
      </c>
      <c r="AN1634" s="196">
        <f t="shared" si="7"/>
        <v>11.9774655157326</v>
      </c>
      <c r="AO1634" s="196">
        <f t="shared" ref="AO1634:AR1634" si="8">IFERROR(INDEX(MPU,MATCH(AO$1632,MPUYr,0),MATCH("mit.txo."&amp;$A1634,MPUHdr,0))+0,0)</f>
        <v>0.0</v>
      </c>
      <c r="AP1634" s="196">
        <f t="shared" si="8"/>
        <v>0.179809301231131</v>
      </c>
      <c r="AQ1634" s="196">
        <f t="shared" si="8"/>
        <v>0.198858411693578</v>
      </c>
      <c r="AR1634" s="196">
        <f t="shared" si="8"/>
        <v>0.235232820627305</v>
      </c>
      <c r="AS1634" s="39">
        <f t="shared" ref="AS1634:AV1634" si="9">IF(IFERROR(INDEX(MPU,MATCH(AS$1632,MPUYr,0),MATCH("mit.vatrate."&amp;$A1634,MPUHdr,0))="",TRUE),1,0)</f>
        <v>0.0</v>
      </c>
      <c r="AT1634" s="39">
        <f t="shared" si="9"/>
        <v>0.0</v>
      </c>
      <c r="AU1634" s="39">
        <f t="shared" si="9"/>
        <v>0.0</v>
      </c>
      <c r="AV1634" s="39">
        <f t="shared" si="9"/>
        <v>0.0</v>
      </c>
      <c r="AW1634" s="225">
        <f t="shared" ref="AW1634:AZ1634" si="10">IFERROR(INDEX(MPU,MATCH(AW$1632,MPUYr,0),MATCH("mit.vatrate."&amp;$A1634,MPUHdr,0))+0,0)</f>
        <v>0.14</v>
      </c>
      <c r="AX1634" s="225">
        <f t="shared" si="10"/>
        <v>0.14</v>
      </c>
      <c r="AY1634" s="225">
        <f t="shared" si="10"/>
        <v>0.14</v>
      </c>
      <c r="AZ1634" s="225">
        <f t="shared" si="10"/>
        <v>0.14</v>
      </c>
      <c r="BA1634" s="225">
        <f>IF($AS1634=1,$S1634*BA$1631,$AW1634)</f>
        <v>0.14</v>
      </c>
      <c r="BB1634" s="225">
        <f>IF($AT1634=1,$S1634*BB$1631,$AX1634)</f>
        <v>0.14</v>
      </c>
      <c r="BC1634" s="225">
        <f>IF($AU1634=1,$S1634*BC$1631,$AY1634)</f>
        <v>0.14</v>
      </c>
      <c r="BD1634" s="225">
        <f>IF($AV1634=1,$S1634*BD$1631,$AZ1634)</f>
        <v>0.14</v>
      </c>
      <c r="BE1634" s="39" t="n">
        <v>2</v>
      </c>
      <c r="BF1634" s="48" t="n">
        <v>0.8</v>
      </c>
    </row>
    <row r="1635">
      <c r="A1635" s="232" t="inlineStr">
        <is>
          <t>coa.ind</t>
        </is>
      </c>
      <c r="B1635" s="232" t="inlineStr">
        <is>
          <t>Coal, Industry</t>
        </is>
      </c>
      <c r="C1635" s="232" t="inlineStr">
        <is>
          <t>coa</t>
        </is>
      </c>
      <c r="D1635" s="232" t="inlineStr">
        <is>
          <t>ind</t>
        </is>
      </c>
      <c r="E1635" s="133" t="n">
        <v>55</v>
      </c>
      <c r="F1635" s="133" t="n">
        <v>2</v>
      </c>
      <c r="G1635" s="196">
        <f>INDEX('Constants and Mappings'!$G$229:$G$237,MATCH($C1635,FuelKey,0))</f>
        <v>1.0</v>
      </c>
      <c r="H1635" s="133" t="n">
        <v>1</v>
      </c>
      <c r="I1635" s="48" t="n">
        <v>1</v>
      </c>
      <c r="J1635" s="48">
        <f>IF($I1635&lt;=PassLo,0,IF($I1635&lt;=PassHi,PassMid,1))</f>
        <v>1.0</v>
      </c>
      <c r="K1635" s="48">
        <f>IF(LEFT('Constants and Mappings'!$C$9,6)="Manual",$BF1635,IF(LEFT('Constants and Mappings'!$C$9,4)="None",1,$J1635))</f>
        <v>1.0</v>
      </c>
      <c r="L1635" s="133" t="n">
        <v>2024</v>
      </c>
      <c r="M1635" s="196" t="n">
        <v>3.994649646707317</v>
      </c>
      <c r="N1635" s="196">
        <f>CPIRes/INDEX(WEOVal,MATCH("USA|pcpi",WEOKey,0),MATCH($L1635,WEOYear,0))</f>
        <v>1.060455217769889</v>
      </c>
      <c r="O1635" s="196" t="n">
        <v>1.307583237710685</v>
      </c>
      <c r="P1635" s="48" t="n">
        <v>0</v>
      </c>
      <c r="Q1635" s="196">
        <f>INDEX($Y$1630:$AB$1630,MATCH('Constants and Mappings'!$C$7,$Y$1632:$AB$1632,0))</f>
        <v>1.1368175895069652</v>
      </c>
      <c r="R1635" s="196">
        <f>($M1635*$N1635+$P1635*$O1635*$Q1635)/$G1635</f>
        <v>4.236147061013417</v>
      </c>
      <c r="S1635" s="178" t="n">
        <v>0</v>
      </c>
      <c r="T1635" s="233">
        <f>$S1635*INDEX($BA$1631:$BD$1631,MATCH('Constants and Mappings'!$C$10,$BA$1632:$BD$1632,0))</f>
        <v>0.0</v>
      </c>
      <c r="U1635" s="228" t="n">
        <v>1</v>
      </c>
      <c r="V1635" s="225">
        <f>INDEX($BA1635:$BD1635,MATCH('Constants and Mappings'!$C$10,$BA$1632:$BD$1632,0))*$U1635</f>
        <v>0.0</v>
      </c>
      <c r="W1635" s="196">
        <f>INDEX($Y1635:$AB1635,MATCH('Constants and Mappings'!$C$10,$Y$1632:$AB$1632,0))</f>
        <v>7.405135996043854</v>
      </c>
      <c r="X1635" s="196">
        <f>INDEX($AC1635:$AF1635,MATCH('Constants and Mappings'!$C$10,$AC$1632:$AF$1632,0))</f>
        <v>0.1663924373936654</v>
      </c>
      <c r="Y1635" s="196">
        <f>$AK1635*Y$1630/$G1635</f>
        <v>9.77289342001069</v>
      </c>
      <c r="Z1635" s="196">
        <f>$AL1635*Z$1630/$G1635</f>
        <v>10.90003858207016</v>
      </c>
      <c r="AA1635" s="196">
        <f>$AM1635*AA$1630/$G1635</f>
        <v>8.560471180849413</v>
      </c>
      <c r="AB1635" s="196">
        <f>$AN1635*AB$1630/$G1635</f>
        <v>7.405135996043854</v>
      </c>
      <c r="AC1635" s="196">
        <f>IF($H1635=1,$AG1635/(1+$BA1635)-$AK1635,$AO1635)*AC$1630/$G1635</f>
        <v>0.27037387586293754</v>
      </c>
      <c r="AD1635" s="196">
        <f>IF($H1635=1,$AH1635/(1+$BB1635)-$AL1635,$AP1635)*AD$1630/$G1635</f>
        <v>0.3513080422852588</v>
      </c>
      <c r="AE1635" s="196">
        <f>IF($H1635=1,$AI1635/(1+$BC1635)-$AM1635,$AQ1635)*AE$1630/$G1635</f>
        <v>0.21688509137546053</v>
      </c>
      <c r="AF1635" s="196">
        <f>IF($H1635=1,$AJ1635/(1+$BD1635)-$AN1635,$AR1635)*AF$1630/$G1635</f>
        <v>0.1663924373936654</v>
      </c>
      <c r="AG1635" s="196">
        <f t="shared" ref="AG1635:AJ1635" si="11">IFERROR(INDEX(MPU,MATCH(AG$1632,MPUYr,0),MATCH("mit.rp."&amp;$A1635,MPUHdr,0))+0,0)</f>
        <v>8.18083050620345</v>
      </c>
      <c r="AH1635" s="196">
        <f t="shared" si="11"/>
        <v>9.89723129568667</v>
      </c>
      <c r="AI1635" s="196">
        <f t="shared" si="11"/>
        <v>8.0396314884535</v>
      </c>
      <c r="AJ1635" s="196">
        <f t="shared" si="11"/>
        <v>7.13988512344751</v>
      </c>
      <c r="AK1635" s="196">
        <f t="shared" ref="AK1635:AN1635" si="12">IFERROR(INDEX(MPU,MATCH(AK$1632,MPUYr,0),MATCH("mit.sp."&amp;$A1635,MPUHdr,0))+0,0)</f>
        <v>7.96059511999116</v>
      </c>
      <c r="AL1635" s="196">
        <f t="shared" si="12"/>
        <v>9.58820366845087</v>
      </c>
      <c r="AM1635" s="196">
        <f t="shared" si="12"/>
        <v>7.84097529222321</v>
      </c>
      <c r="AN1635" s="196">
        <f t="shared" si="12"/>
        <v>6.98297850956561</v>
      </c>
      <c r="AO1635" s="196">
        <f t="shared" ref="AO1635:AR1635" si="13">IFERROR(INDEX(MPU,MATCH(AO$1632,MPUYr,0),MATCH("mit.txo."&amp;$A1635,MPUHdr,0))+0,0)</f>
        <v>0.220235386212292</v>
      </c>
      <c r="AP1635" s="196">
        <f t="shared" si="13"/>
        <v>0.309027627235803</v>
      </c>
      <c r="AQ1635" s="196">
        <f t="shared" si="13"/>
        <v>0.198656196230291</v>
      </c>
      <c r="AR1635" s="196">
        <f t="shared" si="13"/>
        <v>0.156906613881895</v>
      </c>
      <c r="AS1635" s="39">
        <f t="shared" ref="AS1635:AV1635" si="14">IF(IFERROR(INDEX(MPU,MATCH(AS$1632,MPUYr,0),MATCH("mit.vatrate."&amp;$A1635,MPUHdr,0))="",TRUE),1,0)</f>
        <v>0.0</v>
      </c>
      <c r="AT1635" s="39">
        <f t="shared" si="14"/>
        <v>0.0</v>
      </c>
      <c r="AU1635" s="39">
        <f t="shared" si="14"/>
        <v>0.0</v>
      </c>
      <c r="AV1635" s="39">
        <f t="shared" si="14"/>
        <v>0.0</v>
      </c>
      <c r="AW1635" s="225">
        <f t="shared" ref="AW1635:AZ1635" si="15">IFERROR(INDEX(MPU,MATCH(AW$1632,MPUYr,0),MATCH("mit.vatrate."&amp;$A1635,MPUHdr,0))+0,0)</f>
        <v>0.0</v>
      </c>
      <c r="AX1635" s="225">
        <f t="shared" si="15"/>
        <v>0.0</v>
      </c>
      <c r="AY1635" s="225">
        <f t="shared" si="15"/>
        <v>0.0</v>
      </c>
      <c r="AZ1635" s="225">
        <f t="shared" si="15"/>
        <v>0.0</v>
      </c>
      <c r="BA1635" s="225">
        <f>IF($AS1635=1,$S1635*BA$1631,$AW1635)</f>
        <v>0.0</v>
      </c>
      <c r="BB1635" s="225">
        <f>IF($AT1635=1,$S1635*BB$1631,$AX1635)</f>
        <v>0.0</v>
      </c>
      <c r="BC1635" s="225">
        <f>IF($AU1635=1,$S1635*BC$1631,$AY1635)</f>
        <v>0.0</v>
      </c>
      <c r="BD1635" s="225">
        <f>IF($AV1635=1,$S1635*BD$1631,$AZ1635)</f>
        <v>0.0</v>
      </c>
      <c r="BE1635" s="39" t="n">
        <v>3</v>
      </c>
      <c r="BF1635" s="48" t="n">
        <v>0.8</v>
      </c>
    </row>
    <row r="1636">
      <c r="A1636" s="232" t="inlineStr">
        <is>
          <t>nga.pow</t>
        </is>
      </c>
      <c r="B1636" s="232" t="inlineStr">
        <is>
          <t>Natural gas, Power</t>
        </is>
      </c>
      <c r="C1636" s="232" t="inlineStr">
        <is>
          <t>nga</t>
        </is>
      </c>
      <c r="D1636" s="232" t="inlineStr">
        <is>
          <t>pow</t>
        </is>
      </c>
      <c r="E1636" s="133" t="n">
        <v>84</v>
      </c>
      <c r="F1636" s="133" t="n">
        <v>3</v>
      </c>
      <c r="G1636" s="196">
        <f>INDEX('Constants and Mappings'!$G$229:$G$237,MATCH($C1636,FuelKey,0))</f>
        <v>1.0</v>
      </c>
      <c r="H1636" s="133" t="n">
        <v>1</v>
      </c>
      <c r="I1636" s="48" t="n">
        <v>0</v>
      </c>
      <c r="J1636" s="48">
        <f>IF($I1636&lt;=PassLo,0,IF($I1636&lt;=PassHi,PassMid,1))</f>
        <v>0.0</v>
      </c>
      <c r="K1636" s="48">
        <f>IF(LEFT('Constants and Mappings'!$C$9,6)="Manual",$BF1636,IF(LEFT('Constants and Mappings'!$C$9,4)="None",1,$J1636))</f>
        <v>0.0</v>
      </c>
      <c r="L1636" s="133" t="n">
        <v>2024</v>
      </c>
      <c r="M1636" s="196" t="n">
        <v>1.013388019691818</v>
      </c>
      <c r="N1636" s="196">
        <f>CPIRes/INDEX(WEOVal,MATCH("USA|pcpi",WEOKey,0),MATCH($L1636,WEOYear,0))</f>
        <v>1.060455217769889</v>
      </c>
      <c r="O1636" s="196" t="n">
        <v>7.483563353111045</v>
      </c>
      <c r="P1636" s="48" t="n">
        <v>0.899</v>
      </c>
      <c r="Q1636" s="196">
        <f>INDEX($Y$1630:$AB$1630,MATCH('Constants and Mappings'!$C$7,$Y$1632:$AB$1632,0))</f>
        <v>1.1368175895069652</v>
      </c>
      <c r="R1636" s="196">
        <f>($M1636*$N1636+$P1636*$O1636*$Q1636)/$G1636</f>
        <v>8.722846973461401</v>
      </c>
      <c r="S1636" s="178" t="n">
        <v>0</v>
      </c>
      <c r="T1636" s="233">
        <f>$S1636*INDEX($BA$1631:$BD$1631,MATCH('Constants and Mappings'!$C$10,$BA$1632:$BD$1632,0))</f>
        <v>0.0</v>
      </c>
      <c r="U1636" s="228" t="n">
        <v>1</v>
      </c>
      <c r="V1636" s="225">
        <f>INDEX($BA1636:$BD1636,MATCH('Constants and Mappings'!$C$10,$BA$1632:$BD$1632,0))*$U1636</f>
        <v>0.0</v>
      </c>
      <c r="W1636" s="196">
        <f>INDEX($Y1636:$AB1636,MATCH('Constants and Mappings'!$C$10,$Y$1632:$AB$1632,0))</f>
        <v>8.892230324900334</v>
      </c>
      <c r="X1636" s="196">
        <f>INDEX($AC1636:$AF1636,MATCH('Constants and Mappings'!$C$10,$AC$1632:$AF$1632,0))</f>
        <v>-6.113252283677274</v>
      </c>
      <c r="Y1636" s="196">
        <f>$AK1636*Y$1630/$G1636</f>
        <v>9.740253385978676</v>
      </c>
      <c r="Z1636" s="196">
        <f>$AL1636*Z$1630/$G1636</f>
        <v>11.602403278425081</v>
      </c>
      <c r="AA1636" s="196">
        <f>$AM1636*AA$1630/$G1636</f>
        <v>9.511198561326328</v>
      </c>
      <c r="AB1636" s="196">
        <f>$AN1636*AB$1630/$G1636</f>
        <v>8.892230324900334</v>
      </c>
      <c r="AC1636" s="196">
        <f>IF($H1636=1,$AG1636/(1+$BA1636)-$AK1636,$AO1636)*AC$1630/$G1636</f>
        <v>-5.958884427016182</v>
      </c>
      <c r="AD1636" s="196">
        <f>IF($H1636=1,$AH1636/(1+$BB1636)-$AL1636,$AP1636)*AD$1630/$G1636</f>
        <v>-8.448182824774628</v>
      </c>
      <c r="AE1636" s="196">
        <f>IF($H1636=1,$AI1636/(1+$BC1636)-$AM1636,$AQ1636)*AE$1630/$G1636</f>
        <v>-6.887483512650671</v>
      </c>
      <c r="AF1636" s="196">
        <f>IF($H1636=1,$AJ1636/(1+$BD1636)-$AN1636,$AR1636)*AF$1630/$G1636</f>
        <v>-6.113252283677274</v>
      </c>
      <c r="AG1636" s="196">
        <f t="shared" ref="AG1636:AJ1636" si="16">IFERROR(INDEX(MPU,MATCH(AG$1632,MPUYr,0),MATCH("mit.rp."&amp;$A1636,MPUHdr,0))+0,0)</f>
        <v>3.08014689078334</v>
      </c>
      <c r="AH1636" s="196">
        <f t="shared" si="16"/>
        <v>2.77460560318954</v>
      </c>
      <c r="AI1636" s="196">
        <f t="shared" si="16"/>
        <v>2.40319538911861</v>
      </c>
      <c r="AJ1636" s="196">
        <f t="shared" si="16"/>
        <v>2.62055199942076</v>
      </c>
      <c r="AK1636" s="196">
        <f t="shared" ref="AK1636:AN1636" si="17">IFERROR(INDEX(MPU,MATCH(AK$1632,MPUYr,0),MATCH("mit.sp."&amp;$A1636,MPUHdr,0))+0,0)</f>
        <v>7.93400789710182</v>
      </c>
      <c r="AL1636" s="196">
        <f t="shared" si="17"/>
        <v>10.2060377896308</v>
      </c>
      <c r="AM1636" s="196">
        <f t="shared" si="17"/>
        <v>8.71179533734366</v>
      </c>
      <c r="AN1636" s="196">
        <f t="shared" si="17"/>
        <v>8.38529546169849</v>
      </c>
      <c r="AO1636" s="196">
        <f t="shared" ref="AO1636:AR1636" si="18">IFERROR(INDEX(MPU,MATCH(AO$1632,MPUYr,0),MATCH("mit.txo."&amp;$A1636,MPUHdr,0))+0,0)</f>
        <v>-4.85386100631848</v>
      </c>
      <c r="AP1636" s="196">
        <f t="shared" si="18"/>
        <v>-7.43143218644121</v>
      </c>
      <c r="AQ1636" s="196">
        <f t="shared" si="18"/>
        <v>-6.30859994822505</v>
      </c>
      <c r="AR1636" s="196">
        <f t="shared" si="18"/>
        <v>-5.76474346227774</v>
      </c>
      <c r="AS1636" s="39">
        <f t="shared" ref="AS1636:AV1636" si="19">IF(IFERROR(INDEX(MPU,MATCH(AS$1632,MPUYr,0),MATCH("mit.vatrate."&amp;$A1636,MPUHdr,0))="",TRUE),1,0)</f>
        <v>0.0</v>
      </c>
      <c r="AT1636" s="39">
        <f t="shared" si="19"/>
        <v>0.0</v>
      </c>
      <c r="AU1636" s="39">
        <f t="shared" si="19"/>
        <v>0.0</v>
      </c>
      <c r="AV1636" s="39">
        <f t="shared" si="19"/>
        <v>0.0</v>
      </c>
      <c r="AW1636" s="225">
        <f t="shared" ref="AW1636:AZ1636" si="20">IFERROR(INDEX(MPU,MATCH(AW$1632,MPUYr,0),MATCH("mit.vatrate."&amp;$A1636,MPUHdr,0))+0,0)</f>
        <v>0.0</v>
      </c>
      <c r="AX1636" s="225">
        <f t="shared" si="20"/>
        <v>0.0</v>
      </c>
      <c r="AY1636" s="225">
        <f t="shared" si="20"/>
        <v>0.0</v>
      </c>
      <c r="AZ1636" s="225">
        <f t="shared" si="20"/>
        <v>0.0</v>
      </c>
      <c r="BA1636" s="225">
        <f>IF($AS1636=1,$S1636*BA$1631,$AW1636)</f>
        <v>0.0</v>
      </c>
      <c r="BB1636" s="225">
        <f>IF($AT1636=1,$S1636*BB$1631,$AX1636)</f>
        <v>0.0</v>
      </c>
      <c r="BC1636" s="225">
        <f>IF($AU1636=1,$S1636*BC$1631,$AY1636)</f>
        <v>0.0</v>
      </c>
      <c r="BD1636" s="225">
        <f>IF($AV1636=1,$S1636*BD$1631,$AZ1636)</f>
        <v>0.0</v>
      </c>
      <c r="BE1636" s="39" t="n">
        <v>4</v>
      </c>
      <c r="BF1636" s="48" t="n">
        <v>0.8</v>
      </c>
    </row>
    <row r="1637">
      <c r="A1637" s="232" t="inlineStr">
        <is>
          <t>nga.res</t>
        </is>
      </c>
      <c r="B1637" s="232" t="inlineStr">
        <is>
          <t>Natural gas, Residential</t>
        </is>
      </c>
      <c r="C1637" s="232" t="inlineStr">
        <is>
          <t>nga</t>
        </is>
      </c>
      <c r="D1637" s="232" t="inlineStr">
        <is>
          <t>res</t>
        </is>
      </c>
      <c r="E1637" s="133" t="n">
        <v>111</v>
      </c>
      <c r="F1637" s="133" t="n">
        <v>3</v>
      </c>
      <c r="G1637" s="196">
        <f>INDEX('Constants and Mappings'!$G$229:$G$237,MATCH($C1637,FuelKey,0))</f>
        <v>1.0</v>
      </c>
      <c r="H1637" s="133" t="n">
        <v>1</v>
      </c>
      <c r="I1637" s="48" t="n">
        <v>0</v>
      </c>
      <c r="J1637" s="48">
        <f>IF($I1637&lt;=PassLo,0,IF($I1637&lt;=PassHi,PassMid,1))</f>
        <v>0.0</v>
      </c>
      <c r="K1637" s="48">
        <f>IF(LEFT('Constants and Mappings'!$C$9,6)="Manual",$BF1637,IF(LEFT('Constants and Mappings'!$C$9,4)="None",1,$J1637))</f>
        <v>0.0</v>
      </c>
      <c r="L1637" s="133" t="n">
        <v>2024</v>
      </c>
      <c r="M1637" s="196" t="n">
        <v>6.980444502090306</v>
      </c>
      <c r="N1637" s="196">
        <f>CPIRes/INDEX(WEOVal,MATCH("USA|pcpi",WEOKey,0),MATCH($L1637,WEOYear,0))</f>
        <v>1.060455217769889</v>
      </c>
      <c r="O1637" s="196" t="n">
        <v>7.483563353111045</v>
      </c>
      <c r="P1637" s="48" t="n">
        <v>0.899</v>
      </c>
      <c r="Q1637" s="196">
        <f>INDEX($Y$1630:$AB$1630,MATCH('Constants and Mappings'!$C$7,$Y$1632:$AB$1632,0))</f>
        <v>1.1368175895069652</v>
      </c>
      <c r="R1637" s="196">
        <f>($M1637*$N1637+$P1637*$O1637*$Q1637)/$G1637</f>
        <v>15.050643154948517</v>
      </c>
      <c r="S1637" s="178" t="n">
        <v>1</v>
      </c>
      <c r="T1637" s="233">
        <f>$S1637*INDEX($BA$1631:$BD$1631,MATCH('Constants and Mappings'!$C$10,$BA$1632:$BD$1632,0))</f>
        <v>0.14</v>
      </c>
      <c r="U1637" s="228" t="n">
        <v>1</v>
      </c>
      <c r="V1637" s="225">
        <f>INDEX($BA1637:$BD1637,MATCH('Constants and Mappings'!$C$10,$BA$1632:$BD$1632,0))*$U1637</f>
        <v>0.0</v>
      </c>
      <c r="W1637" s="196">
        <f>INDEX($Y1637:$AB1637,MATCH('Constants and Mappings'!$C$10,$Y$1632:$AB$1632,0))</f>
        <v>14.190538808788423</v>
      </c>
      <c r="X1637" s="196">
        <f>INDEX($AC1637:$AF1637,MATCH('Constants and Mappings'!$C$10,$AC$1632:$AF$1632,0))</f>
        <v>-12.393378681504315</v>
      </c>
      <c r="Y1637" s="196">
        <f>$AK1637*Y$1630/$G1637</f>
        <v>14.942471960046007</v>
      </c>
      <c r="Z1637" s="196">
        <f>$AL1637*Z$1630/$G1637</f>
        <v>16.971564983048953</v>
      </c>
      <c r="AA1637" s="196">
        <f>$AM1637*AA$1630/$G1637</f>
        <v>14.735600113103995</v>
      </c>
      <c r="AB1637" s="196">
        <f>$AN1637*AB$1630/$G1637</f>
        <v>14.190538808788423</v>
      </c>
      <c r="AC1637" s="196">
        <f>IF($H1637=1,$AG1637/(1+$BA1637)-$AK1637,$AO1637)*AC$1630/$G1637</f>
        <v>-8.929575092717654</v>
      </c>
      <c r="AD1637" s="196">
        <f>IF($H1637=1,$AH1637/(1+$BB1637)-$AL1637,$AP1637)*AD$1630/$G1637</f>
        <v>-12.015076475817558</v>
      </c>
      <c r="AE1637" s="196">
        <f>IF($H1637=1,$AI1637/(1+$BC1637)-$AM1637,$AQ1637)*AE$1630/$G1637</f>
        <v>-12.000753178039162</v>
      </c>
      <c r="AF1637" s="196">
        <f>IF($H1637=1,$AJ1637/(1+$BD1637)-$AN1637,$AR1637)*AF$1630/$G1637</f>
        <v>-12.393378681504315</v>
      </c>
      <c r="AG1637" s="196">
        <f t="shared" ref="AG1637:AJ1637" si="21">IFERROR(INDEX(MPU,MATCH(AG$1632,MPUYr,0),MATCH("mit.rp."&amp;$A1637,MPUHdr,0))+0,0)</f>
        <v>4.8978573081596</v>
      </c>
      <c r="AH1637" s="196">
        <f t="shared" si="21"/>
        <v>4.35996817165805</v>
      </c>
      <c r="AI1637" s="196">
        <f t="shared" si="21"/>
        <v>2.50498679252933</v>
      </c>
      <c r="AJ1637" s="196">
        <f t="shared" si="21"/>
        <v>1.69470628949659</v>
      </c>
      <c r="AK1637" s="196">
        <f t="shared" ref="AK1637:AN1637" si="22">IFERROR(INDEX(MPU,MATCH(AK$1632,MPUYr,0),MATCH("mit.sp."&amp;$A1637,MPUHdr,0))+0,0)</f>
        <v>12.1715201684474</v>
      </c>
      <c r="AL1637" s="196">
        <f t="shared" si="22"/>
        <v>14.929013361246</v>
      </c>
      <c r="AM1637" s="196">
        <f t="shared" si="22"/>
        <v>13.4970930877505</v>
      </c>
      <c r="AN1637" s="196">
        <f t="shared" si="22"/>
        <v>13.3815540449042</v>
      </c>
      <c r="AO1637" s="196">
        <f t="shared" ref="AO1637:AR1637" si="23">IFERROR(INDEX(MPU,MATCH(AO$1632,MPUYr,0),MATCH("mit.txo."&amp;$A1637,MPUHdr,0))+0,0)</f>
        <v>-7.27666286028784</v>
      </c>
      <c r="AP1637" s="196">
        <f t="shared" si="23"/>
        <v>-10.572045189588</v>
      </c>
      <c r="AQ1637" s="196">
        <f t="shared" si="23"/>
        <v>-10.9951062952212</v>
      </c>
      <c r="AR1637" s="196">
        <f t="shared" si="23"/>
        <v>-11.6878477554076</v>
      </c>
      <c r="AS1637" s="39">
        <f t="shared" ref="AS1637:AV1637" si="24">IF(IFERROR(INDEX(MPU,MATCH(AS$1632,MPUYr,0),MATCH("mit.vatrate."&amp;$A1637,MPUHdr,0))="",TRUE),1,0)</f>
        <v>0.0</v>
      </c>
      <c r="AT1637" s="39">
        <f t="shared" si="24"/>
        <v>0.0</v>
      </c>
      <c r="AU1637" s="39">
        <f t="shared" si="24"/>
        <v>0.0</v>
      </c>
      <c r="AV1637" s="39">
        <f t="shared" si="24"/>
        <v>0.0</v>
      </c>
      <c r="AW1637" s="225">
        <f t="shared" ref="AW1637:AZ1637" si="25">IFERROR(INDEX(MPU,MATCH(AW$1632,MPUYr,0),MATCH("mit.vatrate."&amp;$A1637,MPUHdr,0))+0,0)</f>
        <v>0.0</v>
      </c>
      <c r="AX1637" s="225">
        <f t="shared" si="25"/>
        <v>0.0</v>
      </c>
      <c r="AY1637" s="225">
        <f t="shared" si="25"/>
        <v>0.0</v>
      </c>
      <c r="AZ1637" s="225">
        <f t="shared" si="25"/>
        <v>0.0</v>
      </c>
      <c r="BA1637" s="225">
        <f>IF($AS1637=1,$S1637*BA$1631,$AW1637)</f>
        <v>0.0</v>
      </c>
      <c r="BB1637" s="225">
        <f>IF($AT1637=1,$S1637*BB$1631,$AX1637)</f>
        <v>0.0</v>
      </c>
      <c r="BC1637" s="225">
        <f>IF($AU1637=1,$S1637*BC$1631,$AY1637)</f>
        <v>0.0</v>
      </c>
      <c r="BD1637" s="225">
        <f>IF($AV1637=1,$S1637*BD$1631,$AZ1637)</f>
        <v>0.0</v>
      </c>
      <c r="BE1637" s="39" t="n">
        <v>5</v>
      </c>
      <c r="BF1637" s="48" t="n">
        <v>0.8</v>
      </c>
    </row>
    <row r="1638">
      <c r="A1638" s="232" t="inlineStr">
        <is>
          <t>nga.ind</t>
        </is>
      </c>
      <c r="B1638" s="232" t="inlineStr">
        <is>
          <t>Natural gas, Industry</t>
        </is>
      </c>
      <c r="C1638" s="232" t="inlineStr">
        <is>
          <t>nga</t>
        </is>
      </c>
      <c r="D1638" s="232" t="inlineStr">
        <is>
          <t>ind</t>
        </is>
      </c>
      <c r="E1638" s="133" t="n">
        <v>138</v>
      </c>
      <c r="F1638" s="133" t="n">
        <v>3</v>
      </c>
      <c r="G1638" s="196">
        <f>INDEX('Constants and Mappings'!$G$229:$G$237,MATCH($C1638,FuelKey,0))</f>
        <v>1.0</v>
      </c>
      <c r="H1638" s="133" t="n">
        <v>1</v>
      </c>
      <c r="I1638" s="48" t="n">
        <v>0</v>
      </c>
      <c r="J1638" s="48">
        <f>IF($I1638&lt;=PassLo,0,IF($I1638&lt;=PassHi,PassMid,1))</f>
        <v>0.0</v>
      </c>
      <c r="K1638" s="48">
        <f>IF(LEFT('Constants and Mappings'!$C$9,6)="Manual",$BF1638,IF(LEFT('Constants and Mappings'!$C$9,4)="None",1,$J1638))</f>
        <v>0.0</v>
      </c>
      <c r="L1638" s="133" t="n">
        <v>2024</v>
      </c>
      <c r="M1638" s="196" t="n">
        <v>1.971612572195405</v>
      </c>
      <c r="N1638" s="196">
        <f>CPIRes/INDEX(WEOVal,MATCH("USA|pcpi",WEOKey,0),MATCH($L1638,WEOYear,0))</f>
        <v>1.060455217769889</v>
      </c>
      <c r="O1638" s="196" t="n">
        <v>7.483563353111045</v>
      </c>
      <c r="P1638" s="48" t="n">
        <v>0.899</v>
      </c>
      <c r="Q1638" s="196">
        <f>INDEX($Y$1630:$AB$1630,MATCH('Constants and Mappings'!$C$7,$Y$1632:$AB$1632,0))</f>
        <v>1.1368175895069652</v>
      </c>
      <c r="R1638" s="196">
        <f>($M1638*$N1638+$P1638*$O1638*$Q1638)/$G1638</f>
        <v>9.739001199959047</v>
      </c>
      <c r="S1638" s="178" t="n">
        <v>0</v>
      </c>
      <c r="T1638" s="233">
        <f>$S1638*INDEX($BA$1631:$BD$1631,MATCH('Constants and Mappings'!$C$10,$BA$1632:$BD$1632,0))</f>
        <v>0.0</v>
      </c>
      <c r="U1638" s="228" t="n">
        <v>1</v>
      </c>
      <c r="V1638" s="225">
        <f>INDEX($BA1638:$BD1638,MATCH('Constants and Mappings'!$C$10,$BA$1632:$BD$1632,0))*$U1638</f>
        <v>0.0</v>
      </c>
      <c r="W1638" s="196">
        <f>INDEX($Y1638:$AB1638,MATCH('Constants and Mappings'!$C$10,$Y$1632:$AB$1632,0))</f>
        <v>9.420966573414672</v>
      </c>
      <c r="X1638" s="196">
        <f>INDEX($AC1638:$AF1638,MATCH('Constants and Mappings'!$C$10,$AC$1632:$AF$1632,0))</f>
        <v>-4.5359593350077265</v>
      </c>
      <c r="Y1638" s="196">
        <f>$AK1638*Y$1630/$G1638</f>
        <v>10.650193373965084</v>
      </c>
      <c r="Z1638" s="196">
        <f>$AL1638*Z$1630/$G1638</f>
        <v>11.983620492474525</v>
      </c>
      <c r="AA1638" s="196">
        <f>$AM1638*AA$1630/$G1638</f>
        <v>10.255102264307407</v>
      </c>
      <c r="AB1638" s="196">
        <f>$AN1638*AB$1630/$G1638</f>
        <v>9.420966573414672</v>
      </c>
      <c r="AC1638" s="196">
        <f>IF($H1638=1,$AG1638/(1+$BA1638)-$AK1638,$AO1638)*AC$1630/$G1638</f>
        <v>-4.999020446801225</v>
      </c>
      <c r="AD1638" s="196">
        <f>IF($H1638=1,$AH1638/(1+$BB1638)-$AL1638,$AP1638)*AD$1630/$G1638</f>
        <v>-7.083825529503021</v>
      </c>
      <c r="AE1638" s="196">
        <f>IF($H1638=1,$AI1638/(1+$BC1638)-$AM1638,$AQ1638)*AE$1630/$G1638</f>
        <v>-5.136647184524927</v>
      </c>
      <c r="AF1638" s="196">
        <f>IF($H1638=1,$AJ1638/(1+$BD1638)-$AN1638,$AR1638)*AF$1630/$G1638</f>
        <v>-4.5359593350077265</v>
      </c>
      <c r="AG1638" s="196">
        <f t="shared" ref="AG1638:AJ1638" si="26">IFERROR(INDEX(MPU,MATCH(AG$1632,MPUYr,0),MATCH("mit.rp."&amp;$A1638,MPUHdr,0))+0,0)</f>
        <v>4.60321193456314</v>
      </c>
      <c r="AH1638" s="196">
        <f t="shared" si="26"/>
        <v>4.31009777487392</v>
      </c>
      <c r="AI1638" s="196">
        <f t="shared" si="26"/>
        <v>4.688255934406</v>
      </c>
      <c r="AJ1638" s="196">
        <f t="shared" si="26"/>
        <v>4.60651912174094</v>
      </c>
      <c r="AK1638" s="196">
        <f t="shared" ref="AK1638:AN1638" si="27">IFERROR(INDEX(MPU,MATCH(AK$1632,MPUYr,0),MATCH("mit.sp."&amp;$A1638,MPUHdr,0))+0,0)</f>
        <v>8.67520740849908</v>
      </c>
      <c r="AL1638" s="196">
        <f t="shared" si="27"/>
        <v>10.5413749779081</v>
      </c>
      <c r="AM1638" s="196">
        <f t="shared" si="27"/>
        <v>9.39317495204487</v>
      </c>
      <c r="AN1638" s="196">
        <f t="shared" si="27"/>
        <v>8.88388912190628</v>
      </c>
      <c r="AO1638" s="196">
        <f t="shared" ref="AO1638:AR1638" si="28">IFERROR(INDEX(MPU,MATCH(AO$1632,MPUYr,0),MATCH("mit.txo."&amp;$A1638,MPUHdr,0))+0,0)</f>
        <v>-4.07299547393594</v>
      </c>
      <c r="AP1638" s="196">
        <f t="shared" si="28"/>
        <v>-6.23127720303422</v>
      </c>
      <c r="AQ1638" s="196">
        <f t="shared" si="28"/>
        <v>-4.70491901763887</v>
      </c>
      <c r="AR1638" s="196">
        <f t="shared" si="28"/>
        <v>-4.27737000016534</v>
      </c>
      <c r="AS1638" s="39">
        <f t="shared" ref="AS1638:AV1638" si="29">IF(IFERROR(INDEX(MPU,MATCH(AS$1632,MPUYr,0),MATCH("mit.vatrate."&amp;$A1638,MPUHdr,0))="",TRUE),1,0)</f>
        <v>0.0</v>
      </c>
      <c r="AT1638" s="39">
        <f t="shared" si="29"/>
        <v>0.0</v>
      </c>
      <c r="AU1638" s="39">
        <f t="shared" si="29"/>
        <v>0.0</v>
      </c>
      <c r="AV1638" s="39">
        <f t="shared" si="29"/>
        <v>0.0</v>
      </c>
      <c r="AW1638" s="225">
        <f t="shared" ref="AW1638:AZ1638" si="30">IFERROR(INDEX(MPU,MATCH(AW$1632,MPUYr,0),MATCH("mit.vatrate."&amp;$A1638,MPUHdr,0))+0,0)</f>
        <v>0.0</v>
      </c>
      <c r="AX1638" s="225">
        <f t="shared" si="30"/>
        <v>0.0</v>
      </c>
      <c r="AY1638" s="225">
        <f t="shared" si="30"/>
        <v>0.0</v>
      </c>
      <c r="AZ1638" s="225">
        <f t="shared" si="30"/>
        <v>0.0</v>
      </c>
      <c r="BA1638" s="225">
        <f>IF($AS1638=1,$S1638*BA$1631,$AW1638)</f>
        <v>0.0</v>
      </c>
      <c r="BB1638" s="225">
        <f>IF($AT1638=1,$S1638*BB$1631,$AX1638)</f>
        <v>0.0</v>
      </c>
      <c r="BC1638" s="225">
        <f>IF($AU1638=1,$S1638*BC$1631,$AY1638)</f>
        <v>0.0</v>
      </c>
      <c r="BD1638" s="225">
        <f>IF($AV1638=1,$S1638*BD$1631,$AZ1638)</f>
        <v>0.0</v>
      </c>
      <c r="BE1638" s="39" t="n">
        <v>6</v>
      </c>
      <c r="BF1638" s="48" t="n">
        <v>0.8</v>
      </c>
    </row>
    <row r="1639">
      <c r="A1639" s="232" t="inlineStr">
        <is>
          <t>gso.all</t>
        </is>
      </c>
      <c r="B1639" s="232" t="inlineStr">
        <is>
          <t>Gasoline, All</t>
        </is>
      </c>
      <c r="C1639" s="232" t="inlineStr">
        <is>
          <t>gso</t>
        </is>
      </c>
      <c r="D1639" s="232" t="inlineStr">
        <is>
          <t>all</t>
        </is>
      </c>
      <c r="E1639" s="133" t="n">
        <v>167</v>
      </c>
      <c r="F1639" s="133" t="n">
        <v>1</v>
      </c>
      <c r="G1639" s="196">
        <f>INDEX('Constants and Mappings'!$G$229:$G$237,MATCH($C1639,FuelKey,0))</f>
        <v>0.03496974000000001</v>
      </c>
      <c r="H1639" s="133" t="n">
        <v>0</v>
      </c>
      <c r="I1639" s="48" t="n">
        <v>0</v>
      </c>
      <c r="J1639" s="48">
        <f>IF($I1639&lt;=PassLo,0,IF($I1639&lt;=PassHi,PassMid,1))</f>
        <v>0.0</v>
      </c>
      <c r="K1639" s="48">
        <f>IF(LEFT('Constants and Mappings'!$C$9,6)="Manual",$BF1639,IF(LEFT('Constants and Mappings'!$C$9,4)="None",1,$J1639))</f>
        <v>0.0</v>
      </c>
      <c r="L1639" s="39">
        <f>'Constants and Mappings'!$C$7</f>
        <v>2022.0</v>
      </c>
      <c r="M1639" s="196" t="n">
        <v>0.1256974417769439</v>
      </c>
      <c r="N1639" s="196">
        <f>CPIRes/INDEX(WEOVal,MATCH("USA|pcpi",WEOKey,0),MATCH($L1639,WEOYear,0))</f>
        <v>1.1368175895069652</v>
      </c>
      <c r="O1639" s="232" t="n">
        <v>0</v>
      </c>
      <c r="P1639" s="64" t="n">
        <v>0</v>
      </c>
      <c r="Q1639" s="196">
        <f>INDEX($Y$1630:$AB$1630,MATCH('Constants and Mappings'!$C$7,$Y$1632:$AB$1632,0))</f>
        <v>1.1368175895069652</v>
      </c>
      <c r="R1639" s="196">
        <f>($M1639*$N1639+$P1639*$O1639*$Q1639)/$G1639</f>
        <v>4.086248933165</v>
      </c>
      <c r="S1639" s="178" t="n">
        <v>1</v>
      </c>
      <c r="T1639" s="233">
        <f>$S1639*INDEX($BA$1631:$BD$1631,MATCH('Constants and Mappings'!$C$10,$BA$1632:$BD$1632,0))</f>
        <v>0.14</v>
      </c>
      <c r="U1639" s="225" t="n">
        <v>1</v>
      </c>
      <c r="V1639" s="225">
        <f>INDEX($BA1639:$BD1639,MATCH('Constants and Mappings'!$C$10,$BA$1632:$BD$1632,0))*$U1639</f>
        <v>0.0</v>
      </c>
      <c r="W1639" s="196">
        <f>INDEX($Y1639:$AB1639,MATCH('Constants and Mappings'!$C$10,$Y$1632:$AB$1632,0))</f>
        <v>21.54840057076045</v>
      </c>
      <c r="X1639" s="196">
        <f>INDEX($AC1639:$AF1639,MATCH('Constants and Mappings'!$C$10,$AC$1632:$AF$1632,0))</f>
        <v>-12.403359811849363</v>
      </c>
      <c r="Y1639" s="196">
        <f>$AK1639*Y$1630/$G1639</f>
        <v>21.838154939952744</v>
      </c>
      <c r="Z1639" s="196">
        <f>$AL1639*Z$1630/$G1639</f>
        <v>28.18147201581047</v>
      </c>
      <c r="AA1639" s="196">
        <f>$AM1639*AA$1630/$G1639</f>
        <v>22.836244644824674</v>
      </c>
      <c r="AB1639" s="196">
        <f>$AN1639*AB$1630/$G1639</f>
        <v>21.54840057076045</v>
      </c>
      <c r="AC1639" s="196">
        <f>IF($H1639=1,$AG1639/(1+$BA1639)-$AK1639,$AO1639)*AC$1630/$G1639</f>
        <v>-2.0002808171048003</v>
      </c>
      <c r="AD1639" s="196">
        <f>IF($H1639=1,$AH1639/(1+$BB1639)-$AL1639,$AP1639)*AD$1630/$G1639</f>
        <v>-10.074341016629242</v>
      </c>
      <c r="AE1639" s="196">
        <f>IF($H1639=1,$AI1639/(1+$BC1639)-$AM1639,$AQ1639)*AE$1630/$G1639</f>
        <v>-11.507569280962697</v>
      </c>
      <c r="AF1639" s="196">
        <f>IF($H1639=1,$AJ1639/(1+$BD1639)-$AN1639,$AR1639)*AF$1630/$G1639</f>
        <v>-12.403359811849363</v>
      </c>
      <c r="AG1639" s="196">
        <f t="shared" ref="AG1639:AJ1639" si="31">IFERROR(INDEX(MPU,MATCH(AG$1632,MPUYr,0),MATCH("mit.rp."&amp;$A1639,MPUHdr,0))+0,0)</f>
        <v>0.565079961714053</v>
      </c>
      <c r="AH1639" s="196">
        <f t="shared" si="31"/>
        <v>0.556994955947089</v>
      </c>
      <c r="AI1639" s="196">
        <f t="shared" si="31"/>
        <v>0.362864056192836</v>
      </c>
      <c r="AJ1639" s="196">
        <f t="shared" si="31"/>
        <v>0.301568319217717</v>
      </c>
      <c r="AK1639" s="196">
        <f t="shared" ref="AK1639:AN1639" si="32">IFERROR(INDEX(MPU,MATCH(AK$1632,MPUYr,0),MATCH("mit.sp."&amp;$A1639,MPUHdr,0))+0,0)</f>
        <v>0.622057770956481</v>
      </c>
      <c r="AL1639" s="196">
        <f t="shared" si="32"/>
        <v>0.866892594121082</v>
      </c>
      <c r="AM1639" s="196">
        <f t="shared" si="32"/>
        <v>0.731458188524535</v>
      </c>
      <c r="AN1639" s="196">
        <f t="shared" si="32"/>
        <v>0.710583485986353</v>
      </c>
      <c r="AO1639" s="196">
        <f t="shared" ref="AO1639:AR1639" si="33">IFERROR(INDEX(MPU,MATCH(AO$1632,MPUYr,0),MATCH("mit.txo."&amp;$A1639,MPUHdr,0))+0,0)</f>
        <v>-0.0569778092424283</v>
      </c>
      <c r="AP1639" s="196">
        <f t="shared" si="33"/>
        <v>-0.309897638173993</v>
      </c>
      <c r="AQ1639" s="196">
        <f t="shared" si="33"/>
        <v>-0.368594132331699</v>
      </c>
      <c r="AR1639" s="196">
        <f t="shared" si="33"/>
        <v>-0.409015166768636</v>
      </c>
      <c r="AS1639" s="39">
        <f t="shared" ref="AS1639:AV1639" si="34">IF(IFERROR(INDEX(MPU,MATCH(AS$1632,MPUYr,0),MATCH("mit.vatrate."&amp;$A1639,MPUHdr,0))="",TRUE),1,0)</f>
        <v>0.0</v>
      </c>
      <c r="AT1639" s="39">
        <f t="shared" si="34"/>
        <v>0.0</v>
      </c>
      <c r="AU1639" s="39">
        <f t="shared" si="34"/>
        <v>0.0</v>
      </c>
      <c r="AV1639" s="39">
        <f t="shared" si="34"/>
        <v>0.0</v>
      </c>
      <c r="AW1639" s="225">
        <f t="shared" ref="AW1639:AZ1639" si="35">IFERROR(INDEX(MPU,MATCH(AW$1632,MPUYr,0),MATCH("mit.vatrate."&amp;$A1639,MPUHdr,0))+0,0)</f>
        <v>0.0</v>
      </c>
      <c r="AX1639" s="225">
        <f t="shared" si="35"/>
        <v>0.0</v>
      </c>
      <c r="AY1639" s="225">
        <f t="shared" si="35"/>
        <v>0.0</v>
      </c>
      <c r="AZ1639" s="225">
        <f t="shared" si="35"/>
        <v>0.0</v>
      </c>
      <c r="BA1639" s="225">
        <f>IF($AS1639=1,$S1639*BA$1631,$AW1639)</f>
        <v>0.0</v>
      </c>
      <c r="BB1639" s="225">
        <f>IF($AT1639=1,$S1639*BB$1631,$AX1639)</f>
        <v>0.0</v>
      </c>
      <c r="BC1639" s="225">
        <f>IF($AU1639=1,$S1639*BC$1631,$AY1639)</f>
        <v>0.0</v>
      </c>
      <c r="BD1639" s="225">
        <f>IF($AV1639=1,$S1639*BD$1631,$AZ1639)</f>
        <v>0.0</v>
      </c>
      <c r="BE1639" s="39" t="n">
        <v>7</v>
      </c>
      <c r="BF1639" s="48" t="n">
        <v>0.8</v>
      </c>
    </row>
    <row r="1640">
      <c r="A1640" s="232" t="inlineStr">
        <is>
          <t>die.all</t>
        </is>
      </c>
      <c r="B1640" s="232" t="inlineStr">
        <is>
          <t>Diesel, All</t>
        </is>
      </c>
      <c r="C1640" s="232" t="inlineStr">
        <is>
          <t>die</t>
        </is>
      </c>
      <c r="D1640" s="232" t="inlineStr">
        <is>
          <t>all</t>
        </is>
      </c>
      <c r="E1640" s="133" t="n">
        <v>196</v>
      </c>
      <c r="F1640" s="133" t="n">
        <v>1</v>
      </c>
      <c r="G1640" s="196">
        <f>INDEX('Constants and Mappings'!$G$229:$G$237,MATCH($C1640,FuelKey,0))</f>
        <v>0.03729519000000001</v>
      </c>
      <c r="H1640" s="133" t="n">
        <v>0</v>
      </c>
      <c r="I1640" s="48" t="n">
        <v>0</v>
      </c>
      <c r="J1640" s="48">
        <f>IF($I1640&lt;=PassLo,0,IF($I1640&lt;=PassHi,PassMid,1))</f>
        <v>0.0</v>
      </c>
      <c r="K1640" s="48">
        <f>IF(LEFT('Constants and Mappings'!$C$9,6)="Manual",$BF1640,IF(LEFT('Constants and Mappings'!$C$9,4)="None",1,$J1640))</f>
        <v>0.0</v>
      </c>
      <c r="L1640" s="39">
        <f>'Constants and Mappings'!$C$7</f>
        <v>2022.0</v>
      </c>
      <c r="M1640" s="196" t="n">
        <v>0.1262432256415885</v>
      </c>
      <c r="N1640" s="196">
        <f>CPIRes/INDEX(WEOVal,MATCH("USA|pcpi",WEOKey,0),MATCH($L1640,WEOYear,0))</f>
        <v>1.1368175895069652</v>
      </c>
      <c r="O1640" s="232" t="n">
        <v>0</v>
      </c>
      <c r="P1640" s="64" t="n">
        <v>0</v>
      </c>
      <c r="Q1640" s="196">
        <f>INDEX($Y$1630:$AB$1630,MATCH('Constants and Mappings'!$C$7,$Y$1632:$AB$1632,0))</f>
        <v>1.1368175895069652</v>
      </c>
      <c r="R1640" s="196">
        <f>($M1640*$N1640+$P1640*$O1640*$Q1640)/$G1640</f>
        <v>3.8480972872226813</v>
      </c>
      <c r="S1640" s="178" t="n">
        <v>1</v>
      </c>
      <c r="T1640" s="233">
        <f>$S1640*INDEX($BA$1631:$BD$1631,MATCH('Constants and Mappings'!$C$10,$BA$1632:$BD$1632,0))</f>
        <v>0.14</v>
      </c>
      <c r="U1640" s="225" t="n">
        <v>0.03146227821707726</v>
      </c>
      <c r="V1640" s="225">
        <f>INDEX($BA1640:$BD1640,MATCH('Constants and Mappings'!$C$10,$BA$1632:$BD$1632,0))*$U1640</f>
        <v>0.0</v>
      </c>
      <c r="W1640" s="196">
        <f>INDEX($Y1640:$AB1640,MATCH('Constants and Mappings'!$C$10,$Y$1632:$AB$1632,0))</f>
        <v>21.01218559222911</v>
      </c>
      <c r="X1640" s="196">
        <f>INDEX($AC1640:$AF1640,MATCH('Constants and Mappings'!$C$10,$AC$1632:$AF$1632,0))</f>
        <v>-14.185496390932647</v>
      </c>
      <c r="Y1640" s="196">
        <f>$AK1640*Y$1630/$G1640</f>
        <v>19.448680944520568</v>
      </c>
      <c r="Z1640" s="196">
        <f>$AL1640*Z$1630/$G1640</f>
        <v>28.757772364151876</v>
      </c>
      <c r="AA1640" s="196">
        <f>$AM1640*AA$1630/$G1640</f>
        <v>23.106730441487265</v>
      </c>
      <c r="AB1640" s="196">
        <f>$AN1640*AB$1630/$G1640</f>
        <v>21.01218559222911</v>
      </c>
      <c r="AC1640" s="196">
        <f>IF($H1640=1,$AG1640/(1+$BA1640)-$AK1640,$AO1640)*AC$1630/$G1640</f>
        <v>-5.476370460184255</v>
      </c>
      <c r="AD1640" s="196">
        <f>IF($H1640=1,$AH1640/(1+$BB1640)-$AL1640,$AP1640)*AD$1630/$G1640</f>
        <v>-17.529477324599192</v>
      </c>
      <c r="AE1640" s="196">
        <f>IF($H1640=1,$AI1640/(1+$BC1640)-$AM1640,$AQ1640)*AE$1630/$G1640</f>
        <v>-15.357560023508984</v>
      </c>
      <c r="AF1640" s="196">
        <f>IF($H1640=1,$AJ1640/(1+$BD1640)-$AN1640,$AR1640)*AF$1630/$G1640</f>
        <v>-14.185496390932647</v>
      </c>
      <c r="AG1640" s="196">
        <f t="shared" ref="AG1640:AJ1640" si="36">IFERROR(INDEX(MPU,MATCH(AG$1632,MPUYr,0),MATCH("mit.rp."&amp;$A1640,MPUHdr,0))+0,0)</f>
        <v>0.424466504829228</v>
      </c>
      <c r="AH1640" s="196">
        <f t="shared" si="36"/>
        <v>0.368362876103799</v>
      </c>
      <c r="AI1640" s="196">
        <f t="shared" si="36"/>
        <v>0.264716158438984</v>
      </c>
      <c r="AJ1640" s="196">
        <f t="shared" si="36"/>
        <v>0.240088092893468</v>
      </c>
      <c r="AK1640" s="196">
        <f t="shared" ref="AK1640:AN1640" si="37">IFERROR(INDEX(MPU,MATCH(AK$1632,MPUYr,0),MATCH("mit.sp."&amp;$A1640,MPUHdr,0))+0,0)</f>
        <v>0.59083382331892</v>
      </c>
      <c r="AL1640" s="196">
        <f t="shared" si="37"/>
        <v>0.943446507335399</v>
      </c>
      <c r="AM1640" s="196">
        <f t="shared" si="37"/>
        <v>0.789339321066507</v>
      </c>
      <c r="AN1640" s="196">
        <f t="shared" si="37"/>
        <v>0.738978356507549</v>
      </c>
      <c r="AO1640" s="196">
        <f t="shared" ref="AO1640:AR1640" si="38">IFERROR(INDEX(MPU,MATCH(AO$1632,MPUYr,0),MATCH("mit.txo."&amp;$A1640,MPUHdr,0))+0,0)</f>
        <v>-0.166367318489692</v>
      </c>
      <c r="AP1640" s="196">
        <f t="shared" si="38"/>
        <v>-0.575083631231599</v>
      </c>
      <c r="AQ1640" s="196">
        <f t="shared" si="38"/>
        <v>-0.524623162627523</v>
      </c>
      <c r="AR1640" s="196">
        <f t="shared" si="38"/>
        <v>-0.498890263614081</v>
      </c>
      <c r="AS1640" s="39">
        <f t="shared" ref="AS1640:AV1640" si="39">IF(IFERROR(INDEX(MPU,MATCH(AS$1632,MPUYr,0),MATCH("mit.vatrate."&amp;$A1640,MPUHdr,0))="",TRUE),1,0)</f>
        <v>0.0</v>
      </c>
      <c r="AT1640" s="39">
        <f t="shared" si="39"/>
        <v>0.0</v>
      </c>
      <c r="AU1640" s="39">
        <f t="shared" si="39"/>
        <v>0.0</v>
      </c>
      <c r="AV1640" s="39">
        <f t="shared" si="39"/>
        <v>0.0</v>
      </c>
      <c r="AW1640" s="225">
        <f t="shared" ref="AW1640:AZ1640" si="40">IFERROR(INDEX(MPU,MATCH(AW$1632,MPUYr,0),MATCH("mit.vatrate."&amp;$A1640,MPUHdr,0))+0,0)</f>
        <v>0.0</v>
      </c>
      <c r="AX1640" s="225">
        <f t="shared" si="40"/>
        <v>0.0</v>
      </c>
      <c r="AY1640" s="225">
        <f t="shared" si="40"/>
        <v>0.0</v>
      </c>
      <c r="AZ1640" s="225">
        <f t="shared" si="40"/>
        <v>0.0</v>
      </c>
      <c r="BA1640" s="225">
        <f>IF($AS1640=1,$S1640*BA$1631,$AW1640)</f>
        <v>0.0</v>
      </c>
      <c r="BB1640" s="225">
        <f>IF($AT1640=1,$S1640*BB$1631,$AX1640)</f>
        <v>0.0</v>
      </c>
      <c r="BC1640" s="225">
        <f>IF($AU1640=1,$S1640*BC$1631,$AY1640)</f>
        <v>0.0</v>
      </c>
      <c r="BD1640" s="225">
        <f>IF($AV1640=1,$S1640*BD$1631,$AZ1640)</f>
        <v>0.0</v>
      </c>
      <c r="BE1640" s="39" t="n">
        <v>8</v>
      </c>
      <c r="BF1640" s="48" t="n">
        <v>0.8</v>
      </c>
    </row>
    <row r="1641">
      <c r="A1641" s="232" t="inlineStr">
        <is>
          <t>lpg.all</t>
        </is>
      </c>
      <c r="B1641" s="232" t="inlineStr">
        <is>
          <t>LPG, All</t>
        </is>
      </c>
      <c r="C1641" s="232" t="inlineStr">
        <is>
          <t>lpg</t>
        </is>
      </c>
      <c r="D1641" s="232" t="inlineStr">
        <is>
          <t>all</t>
        </is>
      </c>
      <c r="E1641" s="133" t="n">
        <v>225</v>
      </c>
      <c r="F1641" s="133" t="n">
        <v>1</v>
      </c>
      <c r="G1641" s="196">
        <f>INDEX('Constants and Mappings'!$G$229:$G$237,MATCH($C1641,FuelKey,0))</f>
        <v>0.02577968854495125</v>
      </c>
      <c r="H1641" s="133" t="n">
        <v>0</v>
      </c>
      <c r="I1641" s="48" t="n">
        <v>0</v>
      </c>
      <c r="J1641" s="48">
        <f>IF($I1641&lt;=PassLo,0,IF($I1641&lt;=PassHi,PassMid,1))</f>
        <v>0.0</v>
      </c>
      <c r="K1641" s="48">
        <f>IF(LEFT('Constants and Mappings'!$C$9,6)="Manual",$BF1641,IF(LEFT('Constants and Mappings'!$C$9,4)="None",1,$J1641))</f>
        <v>0.0</v>
      </c>
      <c r="L1641" s="39">
        <f>'Constants and Mappings'!$C$7</f>
        <v>2022.0</v>
      </c>
      <c r="M1641" s="196" t="n">
        <v>0.1261243367693397</v>
      </c>
      <c r="N1641" s="196">
        <f>CPIRes/INDEX(WEOVal,MATCH("USA|pcpi",WEOKey,0),MATCH($L1641,WEOYear,0))</f>
        <v>1.1368175895069652</v>
      </c>
      <c r="O1641" s="232" t="n">
        <v>0</v>
      </c>
      <c r="P1641" s="64" t="n">
        <v>0</v>
      </c>
      <c r="Q1641" s="196">
        <f>INDEX($Y$1630:$AB$1630,MATCH('Constants and Mappings'!$C$7,$Y$1632:$AB$1632,0))</f>
        <v>1.1368175895069652</v>
      </c>
      <c r="R1641" s="196">
        <f>($M1641*$N1641+$P1641*$O1641*$Q1641)/$G1641</f>
        <v>5.561757049712898</v>
      </c>
      <c r="S1641" s="178" t="n">
        <v>1</v>
      </c>
      <c r="T1641" s="233">
        <f>$S1641*INDEX($BA$1631:$BD$1631,MATCH('Constants and Mappings'!$C$10,$BA$1632:$BD$1632,0))</f>
        <v>0.14</v>
      </c>
      <c r="U1641" s="225" t="n">
        <v>0.9949312806129456</v>
      </c>
      <c r="V1641" s="225">
        <f>INDEX($BA1641:$BD1641,MATCH('Constants and Mappings'!$C$10,$BA$1632:$BD$1632,0))*$U1641</f>
        <v>0.0</v>
      </c>
      <c r="W1641" s="196">
        <f>INDEX($Y1641:$AB1641,MATCH('Constants and Mappings'!$C$10,$Y$1632:$AB$1632,0))</f>
        <v>21.27543767141362</v>
      </c>
      <c r="X1641" s="196">
        <f>INDEX($AC1641:$AF1641,MATCH('Constants and Mappings'!$C$10,$AC$1632:$AF$1632,0))</f>
        <v>-17.207169243681275</v>
      </c>
      <c r="Y1641" s="196">
        <f>$AK1641*Y$1630/$G1641</f>
        <v>21.12131965975269</v>
      </c>
      <c r="Z1641" s="196">
        <f>$AL1641*Z$1630/$G1641</f>
        <v>25.363721355821024</v>
      </c>
      <c r="AA1641" s="196">
        <f>$AM1641*AA$1630/$G1641</f>
        <v>22.16828174127977</v>
      </c>
      <c r="AB1641" s="196">
        <f>$AN1641*AB$1630/$G1641</f>
        <v>21.27543767141362</v>
      </c>
      <c r="AC1641" s="196">
        <f>IF($H1641=1,$AG1641/(1+$BA1641)-$AK1641,$AO1641)*AC$1630/$G1641</f>
        <v>-12.577643888584596</v>
      </c>
      <c r="AD1641" s="196">
        <f>IF($H1641=1,$AH1641/(1+$BB1641)-$AL1641,$AP1641)*AD$1630/$G1641</f>
        <v>-19.436956220916745</v>
      </c>
      <c r="AE1641" s="196">
        <f>IF($H1641=1,$AI1641/(1+$BC1641)-$AM1641,$AQ1641)*AE$1630/$G1641</f>
        <v>-18.69494749902835</v>
      </c>
      <c r="AF1641" s="196">
        <f>IF($H1641=1,$AJ1641/(1+$BD1641)-$AN1641,$AR1641)*AF$1630/$G1641</f>
        <v>-17.207169243681275</v>
      </c>
      <c r="AG1641" s="196">
        <f t="shared" ref="AG1641:AJ1641" si="41">IFERROR(INDEX(MPU,MATCH(AG$1632,MPUYr,0),MATCH("mit.rp."&amp;$A1641,MPUHdr,0))+0,0)</f>
        <v>0.17940923665593</v>
      </c>
      <c r="AH1641" s="196">
        <f t="shared" si="41"/>
        <v>0.134401649540955</v>
      </c>
      <c r="AI1641" s="196">
        <f t="shared" si="41"/>
        <v>0.0820156365341732</v>
      </c>
      <c r="AJ1641" s="196">
        <f t="shared" si="41"/>
        <v>0.0988996906486588</v>
      </c>
      <c r="AK1641" s="196">
        <f t="shared" ref="AK1641:AN1641" si="42">IFERROR(INDEX(MPU,MATCH(AK$1632,MPUYr,0),MATCH("mit.sp."&amp;$A1641,MPUHdr,0))+0,0)</f>
        <v>0.443528047975542</v>
      </c>
      <c r="AL1641" s="196">
        <f t="shared" si="42"/>
        <v>0.575174806344768</v>
      </c>
      <c r="AM1641" s="196">
        <f t="shared" si="42"/>
        <v>0.523458328819347</v>
      </c>
      <c r="AN1641" s="196">
        <f t="shared" si="42"/>
        <v>0.517206335200079</v>
      </c>
      <c r="AO1641" s="196">
        <f t="shared" ref="AO1641:AR1641" si="43">IFERROR(INDEX(MPU,MATCH(AO$1632,MPUYr,0),MATCH("mit.txo."&amp;$A1641,MPUHdr,0))+0,0)</f>
        <v>-0.264118811319612</v>
      </c>
      <c r="AP1641" s="196">
        <f t="shared" si="43"/>
        <v>-0.440773156803813</v>
      </c>
      <c r="AQ1641" s="196">
        <f t="shared" si="43"/>
        <v>-0.441442692285174</v>
      </c>
      <c r="AR1641" s="196">
        <f t="shared" si="43"/>
        <v>-0.41830664455142</v>
      </c>
      <c r="AS1641" s="39">
        <f t="shared" ref="AS1641:AV1641" si="44">IF(IFERROR(INDEX(MPU,MATCH(AS$1632,MPUYr,0),MATCH("mit.vatrate."&amp;$A1641,MPUHdr,0))="",TRUE),1,0)</f>
        <v>0.0</v>
      </c>
      <c r="AT1641" s="39">
        <f t="shared" si="44"/>
        <v>0.0</v>
      </c>
      <c r="AU1641" s="39">
        <f t="shared" si="44"/>
        <v>0.0</v>
      </c>
      <c r="AV1641" s="39">
        <f t="shared" si="44"/>
        <v>0.0</v>
      </c>
      <c r="AW1641" s="225">
        <f t="shared" ref="AW1641:AZ1641" si="45">IFERROR(INDEX(MPU,MATCH(AW$1632,MPUYr,0),MATCH("mit.vatrate."&amp;$A1641,MPUHdr,0))+0,0)</f>
        <v>0.0</v>
      </c>
      <c r="AX1641" s="225">
        <f t="shared" si="45"/>
        <v>0.0</v>
      </c>
      <c r="AY1641" s="225">
        <f t="shared" si="45"/>
        <v>0.0</v>
      </c>
      <c r="AZ1641" s="225">
        <f t="shared" si="45"/>
        <v>0.0</v>
      </c>
      <c r="BA1641" s="225">
        <f>IF($AS1641=1,$S1641*BA$1631,$AW1641)</f>
        <v>0.0</v>
      </c>
      <c r="BB1641" s="225">
        <f>IF($AT1641=1,$S1641*BB$1631,$AX1641)</f>
        <v>0.0</v>
      </c>
      <c r="BC1641" s="225">
        <f>IF($AU1641=1,$S1641*BC$1631,$AY1641)</f>
        <v>0.0</v>
      </c>
      <c r="BD1641" s="225">
        <f>IF($AV1641=1,$S1641*BD$1631,$AZ1641)</f>
        <v>0.0</v>
      </c>
      <c r="BE1641" s="39" t="n">
        <v>9</v>
      </c>
      <c r="BF1641" s="48" t="n">
        <v>0.8</v>
      </c>
    </row>
    <row r="1642">
      <c r="A1642" s="232" t="inlineStr">
        <is>
          <t>ker.all</t>
        </is>
      </c>
      <c r="B1642" s="232" t="inlineStr">
        <is>
          <t>Kerosene, All</t>
        </is>
      </c>
      <c r="C1642" s="232" t="inlineStr">
        <is>
          <t>ker</t>
        </is>
      </c>
      <c r="D1642" s="232" t="inlineStr">
        <is>
          <t>all</t>
        </is>
      </c>
      <c r="E1642" s="133" t="n">
        <v>254</v>
      </c>
      <c r="F1642" s="133" t="n">
        <v>1</v>
      </c>
      <c r="G1642" s="196">
        <f>INDEX('Constants and Mappings'!$G$229:$G$237,MATCH($C1642,FuelKey,0))</f>
        <v>0.03774882965510715</v>
      </c>
      <c r="H1642" s="133" t="n">
        <v>0</v>
      </c>
      <c r="I1642" s="48" t="n">
        <v>0</v>
      </c>
      <c r="J1642" s="48">
        <f>IF($I1642&lt;=PassLo,0,IF($I1642&lt;=PassHi,PassMid,1))</f>
        <v>0.0</v>
      </c>
      <c r="K1642" s="48">
        <f>IF(LEFT('Constants and Mappings'!$C$9,6)="Manual",$BF1642,IF(LEFT('Constants and Mappings'!$C$9,4)="None",1,$J1642))</f>
        <v>0.0</v>
      </c>
      <c r="L1642" s="39">
        <f>'Constants and Mappings'!$C$7</f>
        <v>2022.0</v>
      </c>
      <c r="M1642" s="196" t="n">
        <v>0.1238289885706043</v>
      </c>
      <c r="N1642" s="196">
        <f>CPIRes/INDEX(WEOVal,MATCH("USA|pcpi",WEOKey,0),MATCH($L1642,WEOYear,0))</f>
        <v>1.1368175895069652</v>
      </c>
      <c r="O1642" s="232" t="n">
        <v>0</v>
      </c>
      <c r="P1642" s="64" t="n">
        <v>0</v>
      </c>
      <c r="Q1642" s="196">
        <f>INDEX($Y$1630:$AB$1630,MATCH('Constants and Mappings'!$C$7,$Y$1632:$AB$1632,0))</f>
        <v>1.1368175895069652</v>
      </c>
      <c r="R1642" s="196">
        <f>($M1642*$N1642+$P1642*$O1642*$Q1642)/$G1642</f>
        <v>3.7291479917146155</v>
      </c>
      <c r="S1642" s="178" t="n">
        <v>1</v>
      </c>
      <c r="T1642" s="233">
        <f>$S1642*INDEX($BA$1631:$BD$1631,MATCH('Constants and Mappings'!$C$10,$BA$1632:$BD$1632,0))</f>
        <v>0.14</v>
      </c>
      <c r="U1642" s="225" t="n">
        <v>0.3898071050643921</v>
      </c>
      <c r="V1642" s="225">
        <f>INDEX($BA1642:$BD1642,MATCH('Constants and Mappings'!$C$10,$BA$1632:$BD$1632,0))*$U1642</f>
        <v>0.0</v>
      </c>
      <c r="W1642" s="196">
        <f>INDEX($Y1642:$AB1642,MATCH('Constants and Mappings'!$C$10,$Y$1632:$AB$1632,0))</f>
        <v>18.687516334515</v>
      </c>
      <c r="X1642" s="196">
        <f>INDEX($AC1642:$AF1642,MATCH('Constants and Mappings'!$C$10,$AC$1632:$AF$1632,0))</f>
        <v>-11.611318898048673</v>
      </c>
      <c r="Y1642" s="196">
        <f>$AK1642*Y$1630/$G1642</f>
        <v>17.78873585216425</v>
      </c>
      <c r="Z1642" s="196">
        <f>$AL1642*Z$1630/$G1642</f>
        <v>20.185229092594515</v>
      </c>
      <c r="AA1642" s="196">
        <f>$AM1642*AA$1630/$G1642</f>
        <v>18.53380342983447</v>
      </c>
      <c r="AB1642" s="196">
        <f>$AN1642*AB$1630/$G1642</f>
        <v>18.687516334515</v>
      </c>
      <c r="AC1642" s="196">
        <f>IF($H1642=1,$AG1642/(1+$BA1642)-$AK1642,$AO1642)*AC$1630/$G1642</f>
        <v>-4.1746768273140935</v>
      </c>
      <c r="AD1642" s="196">
        <f>IF($H1642=1,$AH1642/(1+$BB1642)-$AL1642,$AP1642)*AD$1630/$G1642</f>
        <v>-9.631640312446423</v>
      </c>
      <c r="AE1642" s="196">
        <f>IF($H1642=1,$AI1642/(1+$BC1642)-$AM1642,$AQ1642)*AE$1630/$G1642</f>
        <v>-11.687287948794701</v>
      </c>
      <c r="AF1642" s="196">
        <f>IF($H1642=1,$AJ1642/(1+$BD1642)-$AN1642,$AR1642)*AF$1630/$G1642</f>
        <v>-11.611318898048673</v>
      </c>
      <c r="AG1642" s="196">
        <f t="shared" ref="AG1642:AJ1642" si="46">IFERROR(INDEX(MPU,MATCH(AG$1632,MPUYr,0),MATCH("mit.rp."&amp;$A1642,MPUHdr,0))+0,0)</f>
        <v>0.418613754769794</v>
      </c>
      <c r="AH1642" s="196">
        <f t="shared" si="46"/>
        <v>0.350439357016494</v>
      </c>
      <c r="AI1642" s="196">
        <f t="shared" si="46"/>
        <v>0.236725750370436</v>
      </c>
      <c r="AJ1642" s="196">
        <f t="shared" si="46"/>
        <v>0.251890100740713</v>
      </c>
      <c r="AK1642" s="196">
        <f t="shared" ref="AK1642:AN1642" si="47">IFERROR(INDEX(MPU,MATCH(AK$1632,MPUYr,0),MATCH("mit.sp."&amp;$A1642,MPUHdr,0))+0,0)</f>
        <v>0.546979375812165</v>
      </c>
      <c r="AL1642" s="196">
        <f t="shared" si="47"/>
        <v>0.670264765076451</v>
      </c>
      <c r="AM1642" s="196">
        <f t="shared" si="47"/>
        <v>0.640826495798621</v>
      </c>
      <c r="AN1642" s="196">
        <f t="shared" si="47"/>
        <v>0.665216087363071</v>
      </c>
      <c r="AO1642" s="196">
        <f t="shared" ref="AO1642:AR1642" si="48">IFERROR(INDEX(MPU,MATCH(AO$1632,MPUYr,0),MATCH("mit.txo."&amp;$A1642,MPUHdr,0))+0,0)</f>
        <v>-0.128365621042372</v>
      </c>
      <c r="AP1642" s="196">
        <f t="shared" si="48"/>
        <v>-0.319825408059958</v>
      </c>
      <c r="AQ1642" s="196">
        <f t="shared" si="48"/>
        <v>-0.404100745428185</v>
      </c>
      <c r="AR1642" s="196">
        <f t="shared" si="48"/>
        <v>-0.413325986622357</v>
      </c>
      <c r="AS1642" s="39">
        <f t="shared" ref="AS1642:AV1642" si="49">IF(IFERROR(INDEX(MPU,MATCH(AS$1632,MPUYr,0),MATCH("mit.vatrate."&amp;$A1642,MPUHdr,0))="",TRUE),1,0)</f>
        <v>0.0</v>
      </c>
      <c r="AT1642" s="39">
        <f t="shared" si="49"/>
        <v>0.0</v>
      </c>
      <c r="AU1642" s="39">
        <f t="shared" si="49"/>
        <v>0.0</v>
      </c>
      <c r="AV1642" s="39">
        <f t="shared" si="49"/>
        <v>0.0</v>
      </c>
      <c r="AW1642" s="225">
        <f t="shared" ref="AW1642:AZ1642" si="50">IFERROR(INDEX(MPU,MATCH(AW$1632,MPUYr,0),MATCH("mit.vatrate."&amp;$A1642,MPUHdr,0))+0,0)</f>
        <v>0.0</v>
      </c>
      <c r="AX1642" s="225">
        <f t="shared" si="50"/>
        <v>0.0</v>
      </c>
      <c r="AY1642" s="225">
        <f t="shared" si="50"/>
        <v>0.0</v>
      </c>
      <c r="AZ1642" s="225">
        <f t="shared" si="50"/>
        <v>0.0</v>
      </c>
      <c r="BA1642" s="225">
        <f>IF($AS1642=1,$S1642*BA$1631,$AW1642)</f>
        <v>0.0</v>
      </c>
      <c r="BB1642" s="225">
        <f>IF($AT1642=1,$S1642*BB$1631,$AX1642)</f>
        <v>0.0</v>
      </c>
      <c r="BC1642" s="225">
        <f>IF($AU1642=1,$S1642*BC$1631,$AY1642)</f>
        <v>0.0</v>
      </c>
      <c r="BD1642" s="225">
        <f>IF($AV1642=1,$S1642*BD$1631,$AZ1642)</f>
        <v>0.0</v>
      </c>
      <c r="BE1642" s="39" t="n">
        <v>10</v>
      </c>
      <c r="BF1642" s="48" t="n">
        <v>0.8</v>
      </c>
    </row>
    <row r="1643">
      <c r="A1643" s="232" t="inlineStr">
        <is>
          <t>oop.all</t>
        </is>
      </c>
      <c r="B1643" s="232" t="inlineStr">
        <is>
          <t>Other oil products, All</t>
        </is>
      </c>
      <c r="C1643" s="232" t="inlineStr">
        <is>
          <t>oop</t>
        </is>
      </c>
      <c r="D1643" s="232" t="inlineStr">
        <is>
          <t>all</t>
        </is>
      </c>
      <c r="E1643" s="133" t="n">
        <v>283</v>
      </c>
      <c r="F1643" s="133" t="n">
        <v>1</v>
      </c>
      <c r="G1643" s="196">
        <f>INDEX('Constants and Mappings'!$G$229:$G$237,MATCH($C1643,FuelKey,0))</f>
        <v>6.12</v>
      </c>
      <c r="H1643" s="133" t="n">
        <v>0</v>
      </c>
      <c r="I1643" s="180" t="n">
        <v>0</v>
      </c>
      <c r="J1643" s="48">
        <f>IF($I1643&lt;=PassLo,0,IF($I1643&lt;=PassHi,PassMid,1))</f>
        <v>0.0</v>
      </c>
      <c r="K1643" s="48">
        <f>IF(LEFT('Constants and Mappings'!$C$9,6)="Manual",$BF1643,IF(LEFT('Constants and Mappings'!$C$9,4)="None",1,$J1643))</f>
        <v>0.0</v>
      </c>
      <c r="L1643" s="39">
        <f>'Constants and Mappings'!$C$7</f>
        <v>2022.0</v>
      </c>
      <c r="M1643" s="234" t="n">
        <v>7.894989302966328</v>
      </c>
      <c r="N1643" s="196">
        <f>CPIRes/INDEX(WEOVal,MATCH("USA|pcpi",WEOKey,0),MATCH($L1643,WEOYear,0))</f>
        <v>1.1368175895069652</v>
      </c>
      <c r="O1643" s="232" t="n">
        <v>0</v>
      </c>
      <c r="P1643" s="64" t="n">
        <v>0</v>
      </c>
      <c r="Q1643" s="196">
        <f>INDEX($Y$1630:$AB$1630,MATCH('Constants and Mappings'!$C$7,$Y$1632:$AB$1632,0))</f>
        <v>1.1368175895069652</v>
      </c>
      <c r="R1643" s="196">
        <f>($M1643*$N1643+$P1643*$O1643*$Q1643)/$G1643</f>
        <v>1.4665298543433753</v>
      </c>
      <c r="S1643" s="178" t="n">
        <v>1</v>
      </c>
      <c r="T1643" s="233">
        <f>$S1643*INDEX($BA$1631:$BD$1631,MATCH('Constants and Mappings'!$C$10,$BA$1632:$BD$1632,0))</f>
        <v>0.14</v>
      </c>
      <c r="U1643" s="228" t="n">
        <v>1</v>
      </c>
      <c r="V1643" s="225">
        <f>INDEX($BA1643:$BD1643,MATCH('Constants and Mappings'!$C$10,$BA$1632:$BD$1632,0))*$U1643</f>
        <v>0.0</v>
      </c>
      <c r="W1643" s="196">
        <f>INDEX($Y1643:$AB1643,MATCH('Constants and Mappings'!$C$10,$Y$1632:$AB$1632,0))</f>
        <v>15.135752517221984</v>
      </c>
      <c r="X1643" s="196">
        <f>INDEX($AC1643:$AF1643,MATCH('Constants and Mappings'!$C$10,$AC$1632:$AF$1632,0))</f>
        <v>-10.950134472727196</v>
      </c>
      <c r="Y1643" s="196">
        <f>$AK1643*Y$1630/$G1643</f>
        <v>16.12748150128554</v>
      </c>
      <c r="Z1643" s="196">
        <f>$AL1643*Z$1630/$G1643</f>
        <v>18.7181563452752</v>
      </c>
      <c r="AA1643" s="196">
        <f>$AM1643*AA$1630/$G1643</f>
        <v>15.727991107444867</v>
      </c>
      <c r="AB1643" s="196">
        <f>$AN1643*AB$1630/$G1643</f>
        <v>15.135752517221984</v>
      </c>
      <c r="AC1643" s="196">
        <f>IF($H1643=1,$AG1643/(1+$BA1643)-$AK1643,$AO1643)*AC$1630/$G1643</f>
        <v>-10.414969535744403</v>
      </c>
      <c r="AD1643" s="196">
        <f>IF($H1643=1,$AH1643/(1+$BB1643)-$AL1643,$AP1643)*AD$1630/$G1643</f>
        <v>-13.854714758473696</v>
      </c>
      <c r="AE1643" s="196">
        <f>IF($H1643=1,$AI1643/(1+$BC1643)-$AM1643,$AQ1643)*AE$1630/$G1643</f>
        <v>-11.329546833760169</v>
      </c>
      <c r="AF1643" s="196">
        <f>IF($H1643=1,$AJ1643/(1+$BD1643)-$AN1643,$AR1643)*AF$1630/$G1643</f>
        <v>-10.950134472727196</v>
      </c>
      <c r="AG1643" s="196">
        <f t="shared" ref="AG1643:AJ1643" si="51">IFERROR(INDEX(MPU,MATCH(AG$1632,MPUYr,0),MATCH("mit.rp."&amp;$A1643,MPUHdr,0))+0,0)</f>
        <v>32.6724382241709</v>
      </c>
      <c r="AH1643" s="196">
        <f t="shared" si="51"/>
        <v>30.252091820143</v>
      </c>
      <c r="AI1643" s="196">
        <f t="shared" si="51"/>
        <v>28.0290176339561</v>
      </c>
      <c r="AJ1643" s="196">
        <f t="shared" si="51"/>
        <v>27.2166475021904</v>
      </c>
      <c r="AK1643" s="196">
        <f t="shared" ref="AK1643:AN1643" si="52">IFERROR(INDEX(MPU,MATCH(AK$1632,MPUYr,0),MATCH("mit.sp."&amp;$A1643,MPUHdr,0))+0,0)</f>
        <v>80.3970934213723</v>
      </c>
      <c r="AL1643" s="196">
        <f t="shared" si="52"/>
        <v>100.768248037723</v>
      </c>
      <c r="AM1643" s="196">
        <f t="shared" si="52"/>
        <v>88.1651788592523</v>
      </c>
      <c r="AN1643" s="196">
        <f t="shared" si="52"/>
        <v>87.3500397312381</v>
      </c>
      <c r="AO1643" s="196">
        <f t="shared" ref="AO1643:AR1643" si="53">IFERROR(INDEX(MPU,MATCH(AO$1632,MPUYr,0),MATCH("mit.txo."&amp;$A1643,MPUHdr,0))+0,0)</f>
        <v>-51.9196551972014</v>
      </c>
      <c r="AP1643" s="196">
        <f t="shared" si="53"/>
        <v>-74.5861562175798</v>
      </c>
      <c r="AQ1643" s="196">
        <f t="shared" si="53"/>
        <v>-63.5091612252962</v>
      </c>
      <c r="AR1643" s="196">
        <f t="shared" si="53"/>
        <v>-63.1943922290476</v>
      </c>
      <c r="AS1643" s="39">
        <f t="shared" ref="AS1643:AV1643" si="54">IF(IFERROR(INDEX(MPU,MATCH(AS$1632,MPUYr,0),MATCH("mit.vatrate."&amp;$A1643,MPUHdr,0))="",TRUE),1,0)</f>
        <v>0.0</v>
      </c>
      <c r="AT1643" s="39">
        <f t="shared" si="54"/>
        <v>0.0</v>
      </c>
      <c r="AU1643" s="39">
        <f t="shared" si="54"/>
        <v>0.0</v>
      </c>
      <c r="AV1643" s="39">
        <f t="shared" si="54"/>
        <v>0.0</v>
      </c>
      <c r="AW1643" s="225">
        <f t="shared" ref="AW1643:AZ1643" si="55">IFERROR(INDEX(MPU,MATCH(AW$1632,MPUYr,0),MATCH("mit.vatrate."&amp;$A1643,MPUHdr,0))+0,0)</f>
        <v>0.0</v>
      </c>
      <c r="AX1643" s="225">
        <f t="shared" si="55"/>
        <v>0.0</v>
      </c>
      <c r="AY1643" s="225">
        <f t="shared" si="55"/>
        <v>0.0</v>
      </c>
      <c r="AZ1643" s="225">
        <f t="shared" si="55"/>
        <v>0.0</v>
      </c>
      <c r="BA1643" s="225">
        <f>IF($AS1643=1,$S1643*BA$1631,$AW1643)</f>
        <v>0.0</v>
      </c>
      <c r="BB1643" s="225">
        <f>IF($AT1643=1,$S1643*BB$1631,$AX1643)</f>
        <v>0.0</v>
      </c>
      <c r="BC1643" s="225">
        <f>IF($AU1643=1,$S1643*BC$1631,$AY1643)</f>
        <v>0.0</v>
      </c>
      <c r="BD1643" s="225">
        <f>IF($AV1643=1,$S1643*BD$1631,$AZ1643)</f>
        <v>0.0</v>
      </c>
      <c r="BE1643" s="39" t="n">
        <v>11</v>
      </c>
      <c r="BF1643" s="48" t="n">
        <v>0.8</v>
      </c>
    </row>
    <row r="1644">
      <c r="A1644" s="232" t="inlineStr">
        <is>
          <t>bio.all</t>
        </is>
      </c>
      <c r="B1644" s="232" t="inlineStr">
        <is>
          <t>Biomass, All</t>
        </is>
      </c>
      <c r="C1644" s="232" t="inlineStr">
        <is>
          <t>bio</t>
        </is>
      </c>
      <c r="D1644" s="232" t="inlineStr">
        <is>
          <t>all</t>
        </is>
      </c>
      <c r="E1644" s="133" t="n">
        <v>312</v>
      </c>
      <c r="F1644" s="133" t="n">
        <v>4</v>
      </c>
      <c r="G1644" s="196">
        <f>INDEX('Constants and Mappings'!$G$229:$G$237,MATCH($C1644,FuelKey,0))</f>
        <v>1.0</v>
      </c>
      <c r="H1644" s="133" t="n">
        <v>1</v>
      </c>
      <c r="I1644" s="64" t="n">
        <v>1</v>
      </c>
      <c r="J1644" s="48">
        <f>IF($I1644&lt;=PassLo,0,IF($I1644&lt;=PassHi,PassMid,1))</f>
        <v>1.0</v>
      </c>
      <c r="K1644" s="48">
        <f>IF(LEFT('Constants and Mappings'!$C$9,6)="Manual",$BF1644,IF(LEFT('Constants and Mappings'!$C$9,4)="None",1,$J1644))</f>
        <v>1.0</v>
      </c>
      <c r="L1644" s="39">
        <f>'Constants and Mappings'!$C$7</f>
        <v>2022.0</v>
      </c>
      <c r="M1644" s="232" t="n">
        <v>0</v>
      </c>
      <c r="N1644" s="196">
        <f>CPIRes/INDEX(WEOVal,MATCH("USA|pcpi",WEOKey,0),MATCH($L1644,WEOYear,0))</f>
        <v>1.1368175895069652</v>
      </c>
      <c r="O1644" s="232" t="n">
        <v>0</v>
      </c>
      <c r="P1644" s="64" t="n">
        <v>0</v>
      </c>
      <c r="Q1644" s="196">
        <f>INDEX($Y$1630:$AB$1630,MATCH('Constants and Mappings'!$C$7,$Y$1632:$AB$1632,0))</f>
        <v>1.1368175895069652</v>
      </c>
      <c r="R1644" s="196">
        <f>($M1644*$N1644+$P1644*$O1644*$Q1644)/$G1644</f>
        <v>0.0</v>
      </c>
      <c r="S1644" s="178" t="n">
        <v>0</v>
      </c>
      <c r="T1644" s="233">
        <f>$S1644*INDEX($BA$1631:$BD$1631,MATCH('Constants and Mappings'!$C$10,$BA$1632:$BD$1632,0))</f>
        <v>0.0</v>
      </c>
      <c r="U1644" s="228" t="n">
        <v>1</v>
      </c>
      <c r="V1644" s="225">
        <f>INDEX($BA1644:$BD1644,MATCH('Constants and Mappings'!$C$10,$BA$1632:$BD$1632,0))*$U1644</f>
        <v>0.0</v>
      </c>
      <c r="W1644" s="196">
        <f>INDEX($Y1644:$AB1644,MATCH('Constants and Mappings'!$C$10,$Y$1632:$AB$1632,0))</f>
        <v>14.783202264678014</v>
      </c>
      <c r="X1644" s="196">
        <f>INDEX($AC1644:$AF1644,MATCH('Constants and Mappings'!$C$10,$AC$1632:$AF$1632,0))</f>
        <v>0.0</v>
      </c>
      <c r="Y1644" s="196">
        <f>$AK1644*Y$1630/$G1644</f>
        <v>14.089588412843465</v>
      </c>
      <c r="Z1644" s="196">
        <f>$AL1644*Z$1630/$G1644</f>
        <v>14.798523989117287</v>
      </c>
      <c r="AA1644" s="196">
        <f>$AM1644*AA$1630/$G1644</f>
        <v>14.866025913663643</v>
      </c>
      <c r="AB1644" s="196">
        <f>$AN1644*AB$1630/$G1644</f>
        <v>14.783202264678014</v>
      </c>
      <c r="AC1644" s="196">
        <f>IF($H1644=1,$AG1644/(1+$BA1644)-$AK1644,$AO1644)*AC$1630/$G1644</f>
        <v>0.0</v>
      </c>
      <c r="AD1644" s="196">
        <f>IF($H1644=1,$AH1644/(1+$BB1644)-$AL1644,$AP1644)*AD$1630/$G1644</f>
        <v>0.0</v>
      </c>
      <c r="AE1644" s="196">
        <f>IF($H1644=1,$AI1644/(1+$BC1644)-$AM1644,$AQ1644)*AE$1630/$G1644</f>
        <v>0.0</v>
      </c>
      <c r="AF1644" s="196">
        <f>IF($H1644=1,$AJ1644/(1+$BD1644)-$AN1644,$AR1644)*AF$1630/$G1644</f>
        <v>0.0</v>
      </c>
      <c r="AG1644" s="196">
        <f t="shared" ref="AG1644:AJ1644" si="56">IFERROR(INDEX(MPU,MATCH(AG$1632,MPUYr,0),MATCH("mit.rp."&amp;$A1644,MPUHdr,0))+0,0)</f>
        <v>11.4767964758837</v>
      </c>
      <c r="AH1644" s="196">
        <f t="shared" si="56"/>
        <v>13.0175008952275</v>
      </c>
      <c r="AI1644" s="196">
        <f t="shared" si="56"/>
        <v>13.6165567782474</v>
      </c>
      <c r="AJ1644" s="196">
        <f t="shared" si="56"/>
        <v>13.9404305028238</v>
      </c>
      <c r="AK1644" s="196">
        <f t="shared" ref="AK1644:AN1644" si="57">IFERROR(INDEX(MPU,MATCH(AK$1632,MPUYr,0),MATCH("mit.sp."&amp;$A1644,MPUHdr,0))+0,0)</f>
        <v>11.4767964758837</v>
      </c>
      <c r="AL1644" s="196">
        <f t="shared" si="57"/>
        <v>13.0175008952275</v>
      </c>
      <c r="AM1644" s="196">
        <f t="shared" si="57"/>
        <v>13.6165567782474</v>
      </c>
      <c r="AN1644" s="196">
        <f t="shared" si="57"/>
        <v>13.9404305028238</v>
      </c>
      <c r="AO1644" s="196">
        <f t="shared" ref="AO1644:AR1644" si="58">IFERROR(INDEX(MPU,MATCH(AO$1632,MPUYr,0),MATCH("mit.txo."&amp;$A1644,MPUHdr,0))+0,0)</f>
        <v>0.0</v>
      </c>
      <c r="AP1644" s="196">
        <f t="shared" si="58"/>
        <v>0.0</v>
      </c>
      <c r="AQ1644" s="196">
        <f t="shared" si="58"/>
        <v>0.0</v>
      </c>
      <c r="AR1644" s="196">
        <f t="shared" si="58"/>
        <v>0.0</v>
      </c>
      <c r="AS1644" s="39">
        <f t="shared" ref="AS1644:AV1644" si="59">IF(IFERROR(INDEX(MPU,MATCH(AS$1632,MPUYr,0),MATCH("mit.vatrate."&amp;$A1644,MPUHdr,0))="",TRUE),1,0)</f>
        <v>0.0</v>
      </c>
      <c r="AT1644" s="39">
        <f t="shared" si="59"/>
        <v>0.0</v>
      </c>
      <c r="AU1644" s="39">
        <f t="shared" si="59"/>
        <v>0.0</v>
      </c>
      <c r="AV1644" s="39">
        <f t="shared" si="59"/>
        <v>0.0</v>
      </c>
      <c r="AW1644" s="225">
        <f t="shared" ref="AW1644:AZ1644" si="60">IFERROR(INDEX(MPU,MATCH(AW$1632,MPUYr,0),MATCH("mit.vatrate."&amp;$A1644,MPUHdr,0))+0,0)</f>
        <v>0.0</v>
      </c>
      <c r="AX1644" s="225">
        <f t="shared" si="60"/>
        <v>0.0</v>
      </c>
      <c r="AY1644" s="225">
        <f t="shared" si="60"/>
        <v>0.0</v>
      </c>
      <c r="AZ1644" s="225">
        <f t="shared" si="60"/>
        <v>0.0</v>
      </c>
      <c r="BA1644" s="225">
        <f>IF($AS1644=1,$S1644*BA$1631,$AW1644)</f>
        <v>0.0</v>
      </c>
      <c r="BB1644" s="225">
        <f>IF($AT1644=1,$S1644*BB$1631,$AX1644)</f>
        <v>0.0</v>
      </c>
      <c r="BC1644" s="225">
        <f>IF($AU1644=1,$S1644*BC$1631,$AY1644)</f>
        <v>0.0</v>
      </c>
      <c r="BD1644" s="225">
        <f>IF($AV1644=1,$S1644*BD$1631,$AZ1644)</f>
        <v>0.0</v>
      </c>
      <c r="BE1644" s="39" t="n">
        <v>14</v>
      </c>
      <c r="BF1644" s="48" t="n">
        <v>0.8</v>
      </c>
    </row>
    <row r="1645"/>
    <row r="1646">
      <c r="A1646" s="3" t="inlineStr">
        <is>
          <t>Units: $/GJ in real USD of ResultsYear (Settings C8). Data (Prices_dom) are nominal USD per price unit ($/GJ coal, gas, biomass; $/liter gasoline, diesel, LPG, kerosene; $/bbl other oil products): x CPI index of the data year (row 3) / GJ per price unit.</t>
        </is>
      </c>
    </row>
    <row r="1647">
      <c r="A1647" s="3" t="inlineStr">
        <is>
          <t>Historical excise and other taxes (legacy): coal, gas, biomass = retail price / (1 + VAT rate) - supply cost; oil products = txo of the dataset (legacy builds their retail price as sp + txo, x (1 + VAT rate)).</t>
        </is>
      </c>
    </row>
    <row r="1648">
      <c r="A1648" s="3" t="inlineStr">
        <is>
          <t>Pass-through: raw = mit.ps of the base year (blank = 0; biomass = 1); bucketed: &lt;= 0.25 -&gt; 0, &lt;= 0.5 -&gt; 0.5, else 1; chosen: Bucketed (default), Manual = the price control of the block on sheet Manual inputs J167:J180 (by code, column pcm; blank = 1; legacy default 0.8), None = 1.</t>
        </is>
      </c>
    </row>
    <row r="1649">
      <c r="A1649" s="3" t="inlineStr">
        <is>
          <t>fixsp = (margin + bucketed pass-through x domestic production cost [coal, gas]) x CPI index of the base year / GJ per unit; margin of biomass = 0 (legacy hardcode).</t>
        </is>
      </c>
    </row>
    <row r="1650">
      <c r="A1650" s="3" t="inlineStr">
        <is>
          <t>BRIGHT YELLOW / RED = DATA CHANGED BY ASSUMPTION (v0.0.10,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v0.0.14: the corrected Egypt block fills every VAT cell (explicit 0 for gas and oil products, 14% residential coal; any VAT sits inside txo), so the assumption no longer applies to Egypt.</t>
        </is>
      </c>
    </row>
    <row r="1651">
      <c r="A1651" s="3" t="inlineStr">
        <is>
          <t>VAT rate used = dataset mit.vatrate wherever the cell is filled, explicit 0 included; the assumption only for blank cells (same rule for each historical year).</t>
        </is>
      </c>
    </row>
    <row r="1652"/>
    <row r="1653"/>
    <row r="1654">
      <c r="A1654" s="6" t="inlineStr">
        <is>
          <t>Manual domestic prices (v0.9.0, R8; legacy Mitigation rows 765-829): Manual inputs G59:N146 where MTInputs DomPrTax = Yes (Settings C86) and the code has a 2021 value (I53); block U = the value used (manual, else Prices_dom; "" = blank), read by every historical price lookup (name MPU)</t>
        </is>
      </c>
    </row>
    <row r="1655">
      <c r="A1655" s="6" t="inlineStr">
        <is>
          <t>Code -&gt;</t>
        </is>
      </c>
      <c r="D1655" s="8" t="inlineStr">
        <is>
          <t>mit.sp.coa.pow</t>
        </is>
      </c>
      <c r="E1655" s="8" t="inlineStr">
        <is>
          <t>mit.vatrate.coa.pow</t>
        </is>
      </c>
      <c r="F1655" s="8" t="inlineStr">
        <is>
          <t>mit.txo.coa.pow</t>
        </is>
      </c>
      <c r="G1655" s="8" t="inlineStr">
        <is>
          <t>mit.rp.coa.pow</t>
        </is>
      </c>
      <c r="H1655" s="8" t="inlineStr">
        <is>
          <t>mit.sp.coa.res</t>
        </is>
      </c>
      <c r="I1655" s="8" t="inlineStr">
        <is>
          <t>mit.vatrate.coa.res</t>
        </is>
      </c>
      <c r="J1655" s="8" t="inlineStr">
        <is>
          <t>mit.txo.coa.res</t>
        </is>
      </c>
      <c r="K1655" s="8" t="inlineStr">
        <is>
          <t>mit.rp.coa.res</t>
        </is>
      </c>
      <c r="L1655" s="8" t="inlineStr">
        <is>
          <t>mit.sp.coa.ind</t>
        </is>
      </c>
      <c r="M1655" s="8" t="inlineStr">
        <is>
          <t>mit.vatrate.coa.ind</t>
        </is>
      </c>
      <c r="N1655" s="8" t="inlineStr">
        <is>
          <t>mit.txo.coa.ind</t>
        </is>
      </c>
      <c r="O1655" s="8" t="inlineStr">
        <is>
          <t>mit.rp.coa.ind</t>
        </is>
      </c>
      <c r="P1655" s="8" t="inlineStr">
        <is>
          <t>mit.pros.coa.all</t>
        </is>
      </c>
      <c r="Q1655" s="8" t="inlineStr">
        <is>
          <t>mit.sp.nga.pow</t>
        </is>
      </c>
      <c r="R1655" s="8" t="inlineStr">
        <is>
          <t>mit.vatrate.nga.pow</t>
        </is>
      </c>
      <c r="S1655" s="8" t="inlineStr">
        <is>
          <t>mit.txo.nga.pow</t>
        </is>
      </c>
      <c r="T1655" s="8" t="inlineStr">
        <is>
          <t>mit.rp.nga.pow</t>
        </is>
      </c>
      <c r="U1655" s="8" t="inlineStr">
        <is>
          <t>mit.sp.nga.res</t>
        </is>
      </c>
      <c r="V1655" s="8" t="inlineStr">
        <is>
          <t>mit.vatrate.nga.res</t>
        </is>
      </c>
      <c r="W1655" s="8" t="inlineStr">
        <is>
          <t>mit.txo.nga.res</t>
        </is>
      </c>
      <c r="X1655" s="8" t="inlineStr">
        <is>
          <t>mit.rp.nga.res</t>
        </is>
      </c>
      <c r="Y1655" s="8" t="inlineStr">
        <is>
          <t>mit.sp.nga.ind</t>
        </is>
      </c>
      <c r="Z1655" s="8" t="inlineStr">
        <is>
          <t>mit.vatrate.nga.ind</t>
        </is>
      </c>
      <c r="AA1655" s="8" t="inlineStr">
        <is>
          <t>mit.txo.nga.ind</t>
        </is>
      </c>
      <c r="AB1655" s="8" t="inlineStr">
        <is>
          <t>mit.rp.nga.ind</t>
        </is>
      </c>
      <c r="AC1655" s="8" t="inlineStr">
        <is>
          <t>mit.pros.nga.all</t>
        </is>
      </c>
      <c r="AD1655" s="8" t="inlineStr">
        <is>
          <t>mit.sp.gso.all</t>
        </is>
      </c>
      <c r="AE1655" s="8" t="inlineStr">
        <is>
          <t>mit.vatrate.gso.all</t>
        </is>
      </c>
      <c r="AF1655" s="8" t="inlineStr">
        <is>
          <t>mit.txo.gso.all</t>
        </is>
      </c>
      <c r="AG1655" s="8" t="inlineStr">
        <is>
          <t>mit.rp.gso.all</t>
        </is>
      </c>
      <c r="AH1655" s="8" t="inlineStr">
        <is>
          <t>mit.sp.die.all</t>
        </is>
      </c>
      <c r="AI1655" s="8" t="inlineStr">
        <is>
          <t>mit.vatrate.die.all</t>
        </is>
      </c>
      <c r="AJ1655" s="8" t="inlineStr">
        <is>
          <t>mit.txo.die.all</t>
        </is>
      </c>
      <c r="AK1655" s="8" t="inlineStr">
        <is>
          <t>mit.rp.die.all</t>
        </is>
      </c>
      <c r="AL1655" s="8" t="inlineStr">
        <is>
          <t>mit.sp.lpg.all</t>
        </is>
      </c>
      <c r="AM1655" s="8" t="inlineStr">
        <is>
          <t>mit.vatrate.lpg.all</t>
        </is>
      </c>
      <c r="AN1655" s="8" t="inlineStr">
        <is>
          <t>mit.txo.lpg.all</t>
        </is>
      </c>
      <c r="AO1655" s="8" t="inlineStr">
        <is>
          <t>mit.rp.lpg.all</t>
        </is>
      </c>
      <c r="AP1655" s="8" t="inlineStr">
        <is>
          <t>mit.sp.ker.all</t>
        </is>
      </c>
      <c r="AQ1655" s="8" t="inlineStr">
        <is>
          <t>mit.vatrate.ker.all</t>
        </is>
      </c>
      <c r="AR1655" s="8" t="inlineStr">
        <is>
          <t>mit.txo.ker.all</t>
        </is>
      </c>
      <c r="AS1655" s="8" t="inlineStr">
        <is>
          <t>mit.rp.ker.all</t>
        </is>
      </c>
      <c r="AT1655" s="8" t="inlineStr">
        <is>
          <t>mit.sp.bio.all</t>
        </is>
      </c>
      <c r="AU1655" s="8" t="inlineStr">
        <is>
          <t>mit.vatrate.bio.all</t>
        </is>
      </c>
      <c r="AV1655" s="8" t="inlineStr">
        <is>
          <t>mit.txo.bio.all</t>
        </is>
      </c>
      <c r="AW1655" s="8" t="inlineStr">
        <is>
          <t>mit.rp.bio.all</t>
        </is>
      </c>
      <c r="AX1655" s="8" t="inlineStr">
        <is>
          <t>mit.pros.bio.all</t>
        </is>
      </c>
      <c r="AY1655" s="8" t="inlineStr">
        <is>
          <t>mit.pros.oil.all</t>
        </is>
      </c>
      <c r="AZ1655" s="8" t="inlineStr">
        <is>
          <t>mit.sp.oop.all</t>
        </is>
      </c>
      <c r="BA1655" s="8" t="inlineStr">
        <is>
          <t>mit.vatrate.oop.all</t>
        </is>
      </c>
      <c r="BB1655" s="8" t="inlineStr">
        <is>
          <t>mit.txo.oop.all</t>
        </is>
      </c>
      <c r="BC1655" s="8" t="inlineStr">
        <is>
          <t>mit.rp.oop.all</t>
        </is>
      </c>
      <c r="BD1655" s="8" t="inlineStr">
        <is>
          <t>mit.sp.ecy.res</t>
        </is>
      </c>
      <c r="BE1655" s="8" t="inlineStr">
        <is>
          <t>mit.vatrate.ecy.res</t>
        </is>
      </c>
      <c r="BF1655" s="8" t="inlineStr">
        <is>
          <t>mit.txo.ecy.res</t>
        </is>
      </c>
      <c r="BG1655" s="8" t="inlineStr">
        <is>
          <t>mit.rp.ecy.res</t>
        </is>
      </c>
      <c r="BH1655" s="8" t="inlineStr">
        <is>
          <t>mit.sp.ecy.ind</t>
        </is>
      </c>
      <c r="BI1655" s="8" t="inlineStr">
        <is>
          <t>mit.vatrate.ecy.ind</t>
        </is>
      </c>
      <c r="BJ1655" s="8" t="inlineStr">
        <is>
          <t>mit.txo.ecy.ind</t>
        </is>
      </c>
      <c r="BK1655" s="8" t="inlineStr">
        <is>
          <t>mit.rp.ecy.ind</t>
        </is>
      </c>
      <c r="BL1655" s="8" t="inlineStr">
        <is>
          <t>mit.pros.ecy.all</t>
        </is>
      </c>
    </row>
    <row r="1656">
      <c r="A1656" s="6" t="inlineStr">
        <is>
          <t>Manual inputs row of the code (0 = none) -&gt;</t>
        </is>
      </c>
      <c r="D1656" s="39" t="n">
        <v>2</v>
      </c>
      <c r="E1656" s="39" t="n">
        <v>3</v>
      </c>
      <c r="F1656" s="39" t="n">
        <v>4</v>
      </c>
      <c r="G1656" s="39" t="n">
        <v>5</v>
      </c>
      <c r="H1656" s="39" t="n">
        <v>7</v>
      </c>
      <c r="I1656" s="39" t="n">
        <v>8</v>
      </c>
      <c r="J1656" s="39" t="n">
        <v>9</v>
      </c>
      <c r="K1656" s="39" t="n">
        <v>10</v>
      </c>
      <c r="L1656" s="39" t="n">
        <v>12</v>
      </c>
      <c r="M1656" s="39" t="n">
        <v>13</v>
      </c>
      <c r="N1656" s="39" t="n">
        <v>14</v>
      </c>
      <c r="O1656" s="39" t="n">
        <v>15</v>
      </c>
      <c r="P1656" s="39" t="n">
        <v>17</v>
      </c>
      <c r="Q1656" s="39" t="n">
        <v>20</v>
      </c>
      <c r="R1656" s="39" t="n">
        <v>21</v>
      </c>
      <c r="S1656" s="39" t="n">
        <v>22</v>
      </c>
      <c r="T1656" s="39" t="n">
        <v>23</v>
      </c>
      <c r="U1656" s="39" t="n">
        <v>25</v>
      </c>
      <c r="V1656" s="39" t="n">
        <v>26</v>
      </c>
      <c r="W1656" s="39" t="n">
        <v>27</v>
      </c>
      <c r="X1656" s="39" t="n">
        <v>28</v>
      </c>
      <c r="Y1656" s="39" t="n">
        <v>30</v>
      </c>
      <c r="Z1656" s="39" t="n">
        <v>31</v>
      </c>
      <c r="AA1656" s="39" t="n">
        <v>32</v>
      </c>
      <c r="AB1656" s="39" t="n">
        <v>33</v>
      </c>
      <c r="AC1656" s="39" t="n">
        <v>35</v>
      </c>
      <c r="AD1656" s="39" t="n">
        <v>38</v>
      </c>
      <c r="AE1656" s="39" t="n">
        <v>39</v>
      </c>
      <c r="AF1656" s="39" t="n">
        <v>40</v>
      </c>
      <c r="AG1656" s="39" t="n">
        <v>41</v>
      </c>
      <c r="AH1656" s="39" t="n">
        <v>44</v>
      </c>
      <c r="AI1656" s="39" t="n">
        <v>45</v>
      </c>
      <c r="AJ1656" s="39" t="n">
        <v>46</v>
      </c>
      <c r="AK1656" s="39" t="n">
        <v>47</v>
      </c>
      <c r="AL1656" s="39" t="n">
        <v>50</v>
      </c>
      <c r="AM1656" s="39" t="n">
        <v>51</v>
      </c>
      <c r="AN1656" s="39" t="n">
        <v>52</v>
      </c>
      <c r="AO1656" s="39" t="n">
        <v>53</v>
      </c>
      <c r="AP1656" s="39" t="n">
        <v>56</v>
      </c>
      <c r="AQ1656" s="39" t="n">
        <v>57</v>
      </c>
      <c r="AR1656" s="39" t="n">
        <v>58</v>
      </c>
      <c r="AS1656" s="39" t="n">
        <v>59</v>
      </c>
      <c r="AT1656" s="39" t="n">
        <v>62</v>
      </c>
      <c r="AU1656" s="39" t="n">
        <v>63</v>
      </c>
      <c r="AV1656" s="39" t="n">
        <v>64</v>
      </c>
      <c r="AW1656" s="39" t="n">
        <v>65</v>
      </c>
      <c r="AX1656" s="39" t="n">
        <v>67</v>
      </c>
      <c r="AY1656" s="39" t="n">
        <v>70</v>
      </c>
      <c r="AZ1656" s="39" t="n">
        <v>72</v>
      </c>
      <c r="BA1656" s="39" t="n">
        <v>73</v>
      </c>
      <c r="BB1656" s="39" t="n">
        <v>74</v>
      </c>
      <c r="BC1656" s="39" t="n">
        <v>75</v>
      </c>
      <c r="BD1656" s="39" t="n">
        <v>78</v>
      </c>
      <c r="BE1656" s="39" t="n">
        <v>79</v>
      </c>
      <c r="BF1656" s="39" t="n">
        <v>80</v>
      </c>
      <c r="BG1656" s="39" t="n">
        <v>81</v>
      </c>
      <c r="BH1656" s="39" t="n">
        <v>83</v>
      </c>
      <c r="BI1656" s="39" t="n">
        <v>84</v>
      </c>
      <c r="BJ1656" s="39" t="n">
        <v>85</v>
      </c>
      <c r="BK1656" s="39" t="n">
        <v>86</v>
      </c>
      <c r="BL1656" s="39" t="n">
        <v>88</v>
      </c>
    </row>
    <row r="1657">
      <c r="A1657" s="6" t="inlineStr">
        <is>
          <t>Manual flag (1/0) -&gt;</t>
        </is>
      </c>
      <c r="D1657" s="39" t="n">
        <v>0</v>
      </c>
      <c r="E1657" s="39" t="n">
        <v>0</v>
      </c>
      <c r="F1657" s="39" t="n">
        <v>0</v>
      </c>
      <c r="G1657" s="39" t="n">
        <v>0</v>
      </c>
      <c r="H1657" s="39" t="n">
        <v>0</v>
      </c>
      <c r="I1657" s="39" t="n">
        <v>0</v>
      </c>
      <c r="J1657" s="39" t="n">
        <v>0</v>
      </c>
      <c r="K1657" s="39" t="n">
        <v>0</v>
      </c>
      <c r="L1657" s="39" t="n">
        <v>0</v>
      </c>
      <c r="M1657" s="39" t="n">
        <v>0</v>
      </c>
      <c r="N1657" s="39" t="n">
        <v>0</v>
      </c>
      <c r="O1657" s="39" t="n">
        <v>0</v>
      </c>
      <c r="P1657" s="39" t="n">
        <v>0</v>
      </c>
      <c r="Q1657" s="39" t="n">
        <v>0</v>
      </c>
      <c r="R1657" s="39" t="n">
        <v>0</v>
      </c>
      <c r="S1657" s="39" t="n">
        <v>0</v>
      </c>
      <c r="T1657" s="39" t="n">
        <v>0</v>
      </c>
      <c r="U1657" s="39" t="n">
        <v>0</v>
      </c>
      <c r="V1657" s="39" t="n">
        <v>0</v>
      </c>
      <c r="W1657" s="39" t="n">
        <v>0</v>
      </c>
      <c r="X1657" s="39" t="n">
        <v>0</v>
      </c>
      <c r="Y1657" s="39" t="n">
        <v>0</v>
      </c>
      <c r="Z1657" s="39" t="n">
        <v>0</v>
      </c>
      <c r="AA1657" s="39" t="n">
        <v>0</v>
      </c>
      <c r="AB1657" s="39" t="n">
        <v>0</v>
      </c>
      <c r="AC1657" s="39" t="n">
        <v>0</v>
      </c>
      <c r="AD1657" s="39" t="n">
        <v>0</v>
      </c>
      <c r="AE1657" s="39" t="n">
        <v>0</v>
      </c>
      <c r="AF1657" s="39" t="n">
        <v>0</v>
      </c>
      <c r="AG1657" s="39" t="n">
        <v>0</v>
      </c>
      <c r="AH1657" s="39" t="n">
        <v>0</v>
      </c>
      <c r="AI1657" s="39" t="n">
        <v>0</v>
      </c>
      <c r="AJ1657" s="39" t="n">
        <v>0</v>
      </c>
      <c r="AK1657" s="39" t="n">
        <v>0</v>
      </c>
      <c r="AL1657" s="39" t="n">
        <v>0</v>
      </c>
      <c r="AM1657" s="39" t="n">
        <v>0</v>
      </c>
      <c r="AN1657" s="39" t="n">
        <v>0</v>
      </c>
      <c r="AO1657" s="39" t="n">
        <v>0</v>
      </c>
      <c r="AP1657" s="39" t="n">
        <v>0</v>
      </c>
      <c r="AQ1657" s="39" t="n">
        <v>0</v>
      </c>
      <c r="AR1657" s="39" t="n">
        <v>0</v>
      </c>
      <c r="AS1657" s="39" t="n">
        <v>0</v>
      </c>
      <c r="AT1657" s="39" t="n">
        <v>0</v>
      </c>
      <c r="AU1657" s="39" t="n">
        <v>0</v>
      </c>
      <c r="AV1657" s="39" t="n">
        <v>0</v>
      </c>
      <c r="AW1657" s="39" t="n">
        <v>0</v>
      </c>
      <c r="AX1657" s="39" t="n">
        <v>0</v>
      </c>
      <c r="AY1657" s="39" t="n">
        <v>0</v>
      </c>
      <c r="AZ1657" s="39" t="n">
        <v>0</v>
      </c>
      <c r="BA1657" s="39" t="n">
        <v>0</v>
      </c>
      <c r="BB1657" s="39" t="n">
        <v>0</v>
      </c>
      <c r="BC1657" s="39" t="n">
        <v>0</v>
      </c>
      <c r="BD1657" s="39" t="n">
        <v>0</v>
      </c>
      <c r="BE1657" s="39" t="n">
        <v>0</v>
      </c>
      <c r="BF1657" s="39" t="n">
        <v>0</v>
      </c>
      <c r="BG1657" s="39" t="n">
        <v>0</v>
      </c>
      <c r="BH1657" s="39" t="n">
        <v>0</v>
      </c>
      <c r="BI1657" s="39" t="n">
        <v>0</v>
      </c>
      <c r="BJ1657" s="39" t="n">
        <v>0</v>
      </c>
      <c r="BK1657" s="39" t="n">
        <v>0</v>
      </c>
      <c r="BL1657" s="39" t="n">
        <v>0</v>
      </c>
    </row>
    <row r="1658">
      <c r="A1658" s="6" t="inlineStr">
        <is>
          <t>Prices_dom column of the code -&gt;</t>
        </is>
      </c>
      <c r="D1658" s="39" t="n">
        <v>7</v>
      </c>
      <c r="E1658" s="39" t="n">
        <v>11</v>
      </c>
      <c r="F1658" s="39" t="n">
        <v>9</v>
      </c>
      <c r="G1658" s="39" t="n">
        <v>10</v>
      </c>
      <c r="H1658" s="39" t="n">
        <v>19</v>
      </c>
      <c r="I1658" s="39" t="n">
        <v>23</v>
      </c>
      <c r="J1658" s="39" t="n">
        <v>21</v>
      </c>
      <c r="K1658" s="39" t="n">
        <v>22</v>
      </c>
      <c r="L1658" s="39" t="n">
        <v>13</v>
      </c>
      <c r="M1658" s="39" t="n">
        <v>17</v>
      </c>
      <c r="N1658" s="39" t="n">
        <v>15</v>
      </c>
      <c r="O1658" s="39" t="n">
        <v>16</v>
      </c>
      <c r="P1658" s="39" t="n">
        <v>90</v>
      </c>
      <c r="Q1658" s="39" t="n">
        <v>25</v>
      </c>
      <c r="R1658" s="39" t="n">
        <v>29</v>
      </c>
      <c r="S1658" s="39" t="n">
        <v>27</v>
      </c>
      <c r="T1658" s="39" t="n">
        <v>28</v>
      </c>
      <c r="U1658" s="39" t="n">
        <v>37</v>
      </c>
      <c r="V1658" s="39" t="n">
        <v>41</v>
      </c>
      <c r="W1658" s="39" t="n">
        <v>39</v>
      </c>
      <c r="X1658" s="39" t="n">
        <v>40</v>
      </c>
      <c r="Y1658" s="39" t="n">
        <v>31</v>
      </c>
      <c r="Z1658" s="39" t="n">
        <v>35</v>
      </c>
      <c r="AA1658" s="39" t="n">
        <v>33</v>
      </c>
      <c r="AB1658" s="39" t="n">
        <v>34</v>
      </c>
      <c r="AC1658" s="39" t="n">
        <v>92</v>
      </c>
      <c r="AD1658" s="39" t="n">
        <v>43</v>
      </c>
      <c r="AE1658" s="39" t="n">
        <v>47</v>
      </c>
      <c r="AF1658" s="39" t="n">
        <v>45</v>
      </c>
      <c r="AG1658" s="39" t="n">
        <v>46</v>
      </c>
      <c r="AH1658" s="39" t="n">
        <v>49</v>
      </c>
      <c r="AI1658" s="39" t="n">
        <v>53</v>
      </c>
      <c r="AJ1658" s="39" t="n">
        <v>51</v>
      </c>
      <c r="AK1658" s="39" t="n">
        <v>52</v>
      </c>
      <c r="AL1658" s="39" t="n">
        <v>55</v>
      </c>
      <c r="AM1658" s="39" t="n">
        <v>59</v>
      </c>
      <c r="AN1658" s="39" t="n">
        <v>57</v>
      </c>
      <c r="AO1658" s="39" t="n">
        <v>58</v>
      </c>
      <c r="AP1658" s="39" t="n">
        <v>61</v>
      </c>
      <c r="AQ1658" s="39" t="n">
        <v>65</v>
      </c>
      <c r="AR1658" s="39" t="n">
        <v>63</v>
      </c>
      <c r="AS1658" s="39" t="n">
        <v>64</v>
      </c>
      <c r="AT1658" s="39" t="n">
        <v>77</v>
      </c>
      <c r="AU1658" s="39" t="n">
        <v>80</v>
      </c>
      <c r="AV1658" s="39" t="n">
        <v>78</v>
      </c>
      <c r="AW1658" s="39" t="n">
        <v>79</v>
      </c>
      <c r="AX1658" s="39" t="n">
        <v>89</v>
      </c>
      <c r="AY1658" s="39" t="n">
        <v>93</v>
      </c>
      <c r="AZ1658" s="39" t="n">
        <v>81</v>
      </c>
      <c r="BA1658" s="39" t="n">
        <v>85</v>
      </c>
      <c r="BB1658" s="39" t="n">
        <v>83</v>
      </c>
      <c r="BC1658" s="39" t="n">
        <v>84</v>
      </c>
      <c r="BD1658" s="39" t="n">
        <v>72</v>
      </c>
      <c r="BE1658" s="39" t="n">
        <v>75</v>
      </c>
      <c r="BF1658" s="39" t="n">
        <v>73</v>
      </c>
      <c r="BG1658" s="39" t="n">
        <v>74</v>
      </c>
      <c r="BH1658" s="39" t="n">
        <v>67</v>
      </c>
      <c r="BI1658" s="39" t="n">
        <v>70</v>
      </c>
      <c r="BJ1658" s="39" t="n">
        <v>68</v>
      </c>
      <c r="BK1658" s="39" t="n">
        <v>69</v>
      </c>
      <c r="BL1658" s="39" t="n">
        <v>91</v>
      </c>
    </row>
    <row r="1659"/>
    <row r="1660">
      <c r="A1660" s="6" t="inlineStr">
        <is>
          <t>Block M: manual value (year, Prices_dom row, Manual inputs column)</t>
        </is>
      </c>
    </row>
    <row r="1661">
      <c r="A1661" s="156" t="n">
        <v>2021</v>
      </c>
      <c r="B1661" s="39" t="n">
        <v>3</v>
      </c>
      <c r="C1661" s="39" t="n">
        <v>1</v>
      </c>
      <c r="D1661" s="196" t="n"/>
      <c r="E1661" s="196" t="n"/>
      <c r="F1661" s="196" t="n"/>
      <c r="G1661" s="196" t="n"/>
      <c r="H1661" s="196" t="n"/>
      <c r="I1661" s="196" t="n"/>
      <c r="J1661" s="196" t="n"/>
      <c r="K1661" s="196" t="n"/>
      <c r="L1661" s="196" t="n"/>
      <c r="M1661" s="196" t="n"/>
      <c r="N1661" s="196" t="n"/>
      <c r="O1661" s="196" t="n"/>
      <c r="P1661" s="196" t="n"/>
      <c r="Q1661" s="196" t="n"/>
      <c r="R1661" s="196" t="n"/>
      <c r="S1661" s="196" t="n"/>
      <c r="T1661" s="196" t="n"/>
      <c r="U1661" s="196" t="n"/>
      <c r="V1661" s="196" t="n"/>
      <c r="W1661" s="196" t="n"/>
      <c r="X1661" s="196" t="n"/>
      <c r="Y1661" s="196" t="n"/>
      <c r="Z1661" s="196" t="n"/>
      <c r="AA1661" s="196" t="n"/>
      <c r="AB1661" s="196" t="n"/>
      <c r="AC1661" s="196" t="n"/>
      <c r="AD1661" s="196" t="n"/>
      <c r="AE1661" s="196" t="n"/>
      <c r="AF1661" s="196" t="n"/>
      <c r="AG1661" s="196" t="n"/>
      <c r="AH1661" s="196" t="n"/>
      <c r="AI1661" s="196" t="n"/>
      <c r="AJ1661" s="196" t="n"/>
      <c r="AK1661" s="196" t="n"/>
      <c r="AL1661" s="196" t="n"/>
      <c r="AM1661" s="196" t="n"/>
      <c r="AN1661" s="196" t="n"/>
      <c r="AO1661" s="196" t="n"/>
      <c r="AP1661" s="196" t="n"/>
      <c r="AQ1661" s="196" t="n"/>
      <c r="AR1661" s="196" t="n"/>
      <c r="AS1661" s="196" t="n"/>
      <c r="AT1661" s="196" t="n"/>
      <c r="AU1661" s="196" t="n"/>
      <c r="AV1661" s="196" t="n"/>
      <c r="AW1661" s="196" t="n"/>
      <c r="AX1661" s="196" t="n"/>
      <c r="AY1661" s="196" t="n"/>
      <c r="AZ1661" s="196" t="n"/>
      <c r="BA1661" s="196" t="n"/>
      <c r="BB1661" s="196" t="n"/>
      <c r="BC1661" s="196" t="n"/>
      <c r="BD1661" s="196" t="n"/>
      <c r="BE1661" s="196" t="n"/>
      <c r="BF1661" s="196" t="n"/>
      <c r="BG1661" s="196" t="n"/>
      <c r="BH1661" s="196" t="n"/>
      <c r="BI1661" s="196" t="n"/>
      <c r="BJ1661" s="196" t="n"/>
      <c r="BK1661" s="196" t="n"/>
      <c r="BL1661" s="196" t="n"/>
    </row>
    <row r="1662">
      <c r="A1662" s="156" t="n">
        <v>2022</v>
      </c>
      <c r="B1662" s="39" t="n">
        <v>4</v>
      </c>
      <c r="C1662" s="39" t="n">
        <v>2</v>
      </c>
      <c r="D1662" s="196" t="n"/>
      <c r="E1662" s="196" t="n"/>
      <c r="F1662" s="196" t="n"/>
      <c r="G1662" s="196" t="n"/>
      <c r="H1662" s="196" t="n"/>
      <c r="I1662" s="196" t="n"/>
      <c r="J1662" s="196" t="n"/>
      <c r="K1662" s="196" t="n"/>
      <c r="L1662" s="196" t="n"/>
      <c r="M1662" s="196" t="n"/>
      <c r="N1662" s="196" t="n"/>
      <c r="O1662" s="196" t="n"/>
      <c r="P1662" s="196" t="n"/>
      <c r="Q1662" s="196" t="n"/>
      <c r="R1662" s="196" t="n"/>
      <c r="S1662" s="196" t="n"/>
      <c r="T1662" s="196" t="n"/>
      <c r="U1662" s="196" t="n"/>
      <c r="V1662" s="196" t="n"/>
      <c r="W1662" s="196" t="n"/>
      <c r="X1662" s="196" t="n"/>
      <c r="Y1662" s="196" t="n"/>
      <c r="Z1662" s="196" t="n"/>
      <c r="AA1662" s="196" t="n"/>
      <c r="AB1662" s="196" t="n"/>
      <c r="AC1662" s="196" t="n"/>
      <c r="AD1662" s="196" t="n"/>
      <c r="AE1662" s="196" t="n"/>
      <c r="AF1662" s="196" t="n"/>
      <c r="AG1662" s="196" t="n"/>
      <c r="AH1662" s="196" t="n"/>
      <c r="AI1662" s="196" t="n"/>
      <c r="AJ1662" s="196" t="n"/>
      <c r="AK1662" s="196" t="n"/>
      <c r="AL1662" s="196" t="n"/>
      <c r="AM1662" s="196" t="n"/>
      <c r="AN1662" s="196" t="n"/>
      <c r="AO1662" s="196" t="n"/>
      <c r="AP1662" s="196" t="n"/>
      <c r="AQ1662" s="196" t="n"/>
      <c r="AR1662" s="196" t="n"/>
      <c r="AS1662" s="196" t="n"/>
      <c r="AT1662" s="196" t="n"/>
      <c r="AU1662" s="196" t="n"/>
      <c r="AV1662" s="196" t="n"/>
      <c r="AW1662" s="196" t="n"/>
      <c r="AX1662" s="196" t="n"/>
      <c r="AY1662" s="196" t="n"/>
      <c r="AZ1662" s="196" t="n"/>
      <c r="BA1662" s="196" t="n"/>
      <c r="BB1662" s="196" t="n"/>
      <c r="BC1662" s="196" t="n"/>
      <c r="BD1662" s="196" t="n"/>
      <c r="BE1662" s="196" t="n"/>
      <c r="BF1662" s="196" t="n"/>
      <c r="BG1662" s="196" t="n"/>
      <c r="BH1662" s="196" t="n"/>
      <c r="BI1662" s="196" t="n"/>
      <c r="BJ1662" s="196" t="n"/>
      <c r="BK1662" s="196" t="n"/>
      <c r="BL1662" s="196" t="n"/>
    </row>
    <row r="1663">
      <c r="A1663" s="156" t="n">
        <v>2023</v>
      </c>
      <c r="B1663" s="39" t="n">
        <v>5</v>
      </c>
      <c r="C1663" s="39" t="n">
        <v>3</v>
      </c>
      <c r="D1663" s="196" t="n"/>
      <c r="E1663" s="196" t="n"/>
      <c r="F1663" s="196" t="n"/>
      <c r="G1663" s="196" t="n"/>
      <c r="H1663" s="196" t="n"/>
      <c r="I1663" s="196" t="n"/>
      <c r="J1663" s="196" t="n"/>
      <c r="K1663" s="196" t="n"/>
      <c r="L1663" s="196" t="n"/>
      <c r="M1663" s="196" t="n"/>
      <c r="N1663" s="196" t="n"/>
      <c r="O1663" s="196" t="n"/>
      <c r="P1663" s="196" t="n"/>
      <c r="Q1663" s="196" t="n"/>
      <c r="R1663" s="196" t="n"/>
      <c r="S1663" s="196" t="n"/>
      <c r="T1663" s="196" t="n"/>
      <c r="U1663" s="196" t="n"/>
      <c r="V1663" s="196" t="n"/>
      <c r="W1663" s="196" t="n"/>
      <c r="X1663" s="196" t="n"/>
      <c r="Y1663" s="196" t="n"/>
      <c r="Z1663" s="196" t="n"/>
      <c r="AA1663" s="196" t="n"/>
      <c r="AB1663" s="196" t="n"/>
      <c r="AC1663" s="196" t="n"/>
      <c r="AD1663" s="196" t="n"/>
      <c r="AE1663" s="196" t="n"/>
      <c r="AF1663" s="196" t="n"/>
      <c r="AG1663" s="196" t="n"/>
      <c r="AH1663" s="196" t="n"/>
      <c r="AI1663" s="196" t="n"/>
      <c r="AJ1663" s="196" t="n"/>
      <c r="AK1663" s="196" t="n"/>
      <c r="AL1663" s="196" t="n"/>
      <c r="AM1663" s="196" t="n"/>
      <c r="AN1663" s="196" t="n"/>
      <c r="AO1663" s="196" t="n"/>
      <c r="AP1663" s="196" t="n"/>
      <c r="AQ1663" s="196" t="n"/>
      <c r="AR1663" s="196" t="n"/>
      <c r="AS1663" s="196" t="n"/>
      <c r="AT1663" s="196" t="n"/>
      <c r="AU1663" s="196" t="n"/>
      <c r="AV1663" s="196" t="n"/>
      <c r="AW1663" s="196" t="n"/>
      <c r="AX1663" s="196" t="n"/>
      <c r="AY1663" s="196" t="n"/>
      <c r="AZ1663" s="196" t="n"/>
      <c r="BA1663" s="196" t="n"/>
      <c r="BB1663" s="196" t="n"/>
      <c r="BC1663" s="196" t="n"/>
      <c r="BD1663" s="196" t="n"/>
      <c r="BE1663" s="196" t="n"/>
      <c r="BF1663" s="196" t="n"/>
      <c r="BG1663" s="196" t="n"/>
      <c r="BH1663" s="196" t="n"/>
      <c r="BI1663" s="196" t="n"/>
      <c r="BJ1663" s="196" t="n"/>
      <c r="BK1663" s="196" t="n"/>
      <c r="BL1663" s="196" t="n"/>
    </row>
    <row r="1664">
      <c r="A1664" s="156" t="n">
        <v>2024</v>
      </c>
      <c r="B1664" s="39" t="n">
        <v>6</v>
      </c>
      <c r="C1664" s="39" t="n">
        <v>4</v>
      </c>
      <c r="D1664" s="196" t="n"/>
      <c r="E1664" s="196" t="n"/>
      <c r="F1664" s="196" t="n"/>
      <c r="G1664" s="196" t="n"/>
      <c r="H1664" s="196" t="n"/>
      <c r="I1664" s="196" t="n"/>
      <c r="J1664" s="196" t="n"/>
      <c r="K1664" s="196" t="n"/>
      <c r="L1664" s="196" t="n"/>
      <c r="M1664" s="196" t="n"/>
      <c r="N1664" s="196" t="n"/>
      <c r="O1664" s="196" t="n"/>
      <c r="P1664" s="196" t="n"/>
      <c r="Q1664" s="196" t="n"/>
      <c r="R1664" s="196" t="n"/>
      <c r="S1664" s="196" t="n"/>
      <c r="T1664" s="196" t="n"/>
      <c r="U1664" s="196" t="n"/>
      <c r="V1664" s="196" t="n"/>
      <c r="W1664" s="196" t="n"/>
      <c r="X1664" s="196" t="n"/>
      <c r="Y1664" s="196" t="n"/>
      <c r="Z1664" s="196" t="n"/>
      <c r="AA1664" s="196" t="n"/>
      <c r="AB1664" s="196" t="n"/>
      <c r="AC1664" s="196" t="n"/>
      <c r="AD1664" s="196" t="n"/>
      <c r="AE1664" s="196" t="n"/>
      <c r="AF1664" s="196" t="n"/>
      <c r="AG1664" s="196" t="n"/>
      <c r="AH1664" s="196" t="n"/>
      <c r="AI1664" s="196" t="n"/>
      <c r="AJ1664" s="196" t="n"/>
      <c r="AK1664" s="196" t="n"/>
      <c r="AL1664" s="196" t="n"/>
      <c r="AM1664" s="196" t="n"/>
      <c r="AN1664" s="196" t="n"/>
      <c r="AO1664" s="196" t="n"/>
      <c r="AP1664" s="196" t="n"/>
      <c r="AQ1664" s="196" t="n"/>
      <c r="AR1664" s="196" t="n"/>
      <c r="AS1664" s="196" t="n"/>
      <c r="AT1664" s="196" t="n"/>
      <c r="AU1664" s="196" t="n"/>
      <c r="AV1664" s="196" t="n"/>
      <c r="AW1664" s="196" t="n"/>
      <c r="AX1664" s="196" t="n"/>
      <c r="AY1664" s="196" t="n"/>
      <c r="AZ1664" s="196" t="n"/>
      <c r="BA1664" s="196" t="n"/>
      <c r="BB1664" s="196" t="n"/>
      <c r="BC1664" s="196" t="n"/>
      <c r="BD1664" s="196" t="n"/>
      <c r="BE1664" s="196" t="n"/>
      <c r="BF1664" s="196" t="n"/>
      <c r="BG1664" s="196" t="n"/>
      <c r="BH1664" s="196" t="n"/>
      <c r="BI1664" s="196" t="n"/>
      <c r="BJ1664" s="196" t="n"/>
      <c r="BK1664" s="196" t="n"/>
      <c r="BL1664" s="196" t="n"/>
    </row>
    <row r="1665">
      <c r="A1665" s="156" t="n">
        <v>2025</v>
      </c>
      <c r="B1665" s="39" t="n"/>
      <c r="C1665" s="39" t="n">
        <v>5</v>
      </c>
      <c r="D1665" s="196" t="n"/>
      <c r="E1665" s="196" t="n"/>
      <c r="F1665" s="196" t="n"/>
      <c r="G1665" s="196" t="n"/>
      <c r="H1665" s="196" t="n"/>
      <c r="I1665" s="196" t="n"/>
      <c r="J1665" s="196" t="n"/>
      <c r="K1665" s="196" t="n"/>
      <c r="L1665" s="196" t="n"/>
      <c r="M1665" s="196" t="n"/>
      <c r="N1665" s="196" t="n"/>
      <c r="O1665" s="196" t="n"/>
      <c r="P1665" s="196" t="n"/>
      <c r="Q1665" s="196" t="n"/>
      <c r="R1665" s="196" t="n"/>
      <c r="S1665" s="196" t="n"/>
      <c r="T1665" s="196" t="n"/>
      <c r="U1665" s="196" t="n"/>
      <c r="V1665" s="196" t="n"/>
      <c r="W1665" s="196" t="n"/>
      <c r="X1665" s="196" t="n"/>
      <c r="Y1665" s="196" t="n"/>
      <c r="Z1665" s="196" t="n"/>
      <c r="AA1665" s="196" t="n"/>
      <c r="AB1665" s="196" t="n"/>
      <c r="AC1665" s="196" t="n"/>
      <c r="AD1665" s="196" t="n"/>
      <c r="AE1665" s="196" t="n"/>
      <c r="AF1665" s="196" t="n"/>
      <c r="AG1665" s="196" t="n"/>
      <c r="AH1665" s="196" t="n"/>
      <c r="AI1665" s="196" t="n"/>
      <c r="AJ1665" s="196" t="n"/>
      <c r="AK1665" s="196" t="n"/>
      <c r="AL1665" s="196" t="n"/>
      <c r="AM1665" s="196" t="n"/>
      <c r="AN1665" s="196" t="n"/>
      <c r="AO1665" s="196" t="n"/>
      <c r="AP1665" s="196" t="n"/>
      <c r="AQ1665" s="196" t="n"/>
      <c r="AR1665" s="196" t="n"/>
      <c r="AS1665" s="196" t="n"/>
      <c r="AT1665" s="196" t="n"/>
      <c r="AU1665" s="196" t="n"/>
      <c r="AV1665" s="196" t="n"/>
      <c r="AW1665" s="196" t="n"/>
      <c r="AX1665" s="196" t="n"/>
      <c r="AY1665" s="196" t="n"/>
      <c r="AZ1665" s="196" t="n"/>
      <c r="BA1665" s="196" t="n"/>
      <c r="BB1665" s="196" t="n"/>
      <c r="BC1665" s="196" t="n"/>
      <c r="BD1665" s="196" t="n"/>
      <c r="BE1665" s="196" t="n"/>
      <c r="BF1665" s="196" t="n"/>
      <c r="BG1665" s="196" t="n"/>
      <c r="BH1665" s="196" t="n"/>
      <c r="BI1665" s="196" t="n"/>
      <c r="BJ1665" s="196" t="n"/>
      <c r="BK1665" s="196" t="n"/>
      <c r="BL1665" s="196" t="n"/>
    </row>
    <row r="1666">
      <c r="A1666" s="156" t="n">
        <v>2026</v>
      </c>
      <c r="B1666" s="39" t="n"/>
      <c r="C1666" s="39" t="n">
        <v>6</v>
      </c>
      <c r="D1666" s="196" t="n"/>
      <c r="E1666" s="196" t="n"/>
      <c r="F1666" s="196" t="n"/>
      <c r="G1666" s="196" t="n"/>
      <c r="H1666" s="196" t="n"/>
      <c r="I1666" s="196" t="n"/>
      <c r="J1666" s="196" t="n"/>
      <c r="K1666" s="196" t="n"/>
      <c r="L1666" s="196" t="n"/>
      <c r="M1666" s="196" t="n"/>
      <c r="N1666" s="196" t="n"/>
      <c r="O1666" s="196" t="n"/>
      <c r="P1666" s="196" t="n"/>
      <c r="Q1666" s="196" t="n"/>
      <c r="R1666" s="196" t="n"/>
      <c r="S1666" s="196" t="n"/>
      <c r="T1666" s="196" t="n"/>
      <c r="U1666" s="196" t="n"/>
      <c r="V1666" s="196" t="n"/>
      <c r="W1666" s="196" t="n"/>
      <c r="X1666" s="196" t="n"/>
      <c r="Y1666" s="196" t="n"/>
      <c r="Z1666" s="196" t="n"/>
      <c r="AA1666" s="196" t="n"/>
      <c r="AB1666" s="196" t="n"/>
      <c r="AC1666" s="196" t="n"/>
      <c r="AD1666" s="196" t="n"/>
      <c r="AE1666" s="196" t="n"/>
      <c r="AF1666" s="196" t="n"/>
      <c r="AG1666" s="196" t="n"/>
      <c r="AH1666" s="196" t="n"/>
      <c r="AI1666" s="196" t="n"/>
      <c r="AJ1666" s="196" t="n"/>
      <c r="AK1666" s="196" t="n"/>
      <c r="AL1666" s="196" t="n"/>
      <c r="AM1666" s="196" t="n"/>
      <c r="AN1666" s="196" t="n"/>
      <c r="AO1666" s="196" t="n"/>
      <c r="AP1666" s="196" t="n"/>
      <c r="AQ1666" s="196" t="n"/>
      <c r="AR1666" s="196" t="n"/>
      <c r="AS1666" s="196" t="n"/>
      <c r="AT1666" s="196" t="n"/>
      <c r="AU1666" s="196" t="n"/>
      <c r="AV1666" s="196" t="n"/>
      <c r="AW1666" s="196" t="n"/>
      <c r="AX1666" s="196" t="n"/>
      <c r="AY1666" s="196" t="n"/>
      <c r="AZ1666" s="196" t="n"/>
      <c r="BA1666" s="196" t="n"/>
      <c r="BB1666" s="196" t="n"/>
      <c r="BC1666" s="196" t="n"/>
      <c r="BD1666" s="196" t="n"/>
      <c r="BE1666" s="196" t="n"/>
      <c r="BF1666" s="196" t="n"/>
      <c r="BG1666" s="196" t="n"/>
      <c r="BH1666" s="196" t="n"/>
      <c r="BI1666" s="196" t="n"/>
      <c r="BJ1666" s="196" t="n"/>
      <c r="BK1666" s="196" t="n"/>
      <c r="BL1666" s="196" t="n"/>
    </row>
    <row r="1667"/>
    <row r="1668">
      <c r="A1668" s="6" t="inlineStr">
        <is>
          <t>Block U: value used (year, Prices_dom row)</t>
        </is>
      </c>
    </row>
    <row r="1669">
      <c r="A1669" s="156" t="n">
        <v>2021</v>
      </c>
      <c r="B1669" s="39" t="n">
        <v>3</v>
      </c>
      <c r="D1669" s="196" t="inlineStr">
        <is>
          <t>5.8582578331135</t>
        </is>
      </c>
      <c r="E1669" s="196" t="inlineStr">
        <is>
          <t>0</t>
        </is>
      </c>
      <c r="F1669" s="196" t="inlineStr">
        <is>
          <t>0</t>
        </is>
      </c>
      <c r="G1669" s="196" t="inlineStr">
        <is>
          <t>5.8582578331135</t>
        </is>
      </c>
      <c r="H1669" s="196" t="inlineStr">
        <is>
          <t>11.6313394698915</t>
        </is>
      </c>
      <c r="I1669" s="196" t="inlineStr">
        <is>
          <t>0.14</t>
        </is>
      </c>
      <c r="J1669" s="196" t="inlineStr">
        <is>
          <t>0</t>
        </is>
      </c>
      <c r="K1669" s="196" t="inlineStr">
        <is>
          <t>13.2597269956764</t>
        </is>
      </c>
      <c r="L1669" s="196" t="inlineStr">
        <is>
          <t>7.96059511999116</t>
        </is>
      </c>
      <c r="M1669" s="196" t="inlineStr">
        <is>
          <t>0</t>
        </is>
      </c>
      <c r="N1669" s="196" t="inlineStr">
        <is>
          <t>0.220235386212292</t>
        </is>
      </c>
      <c r="O1669" s="196" t="inlineStr">
        <is>
          <t>8.18083050620345</t>
        </is>
      </c>
      <c r="P1669" s="196" t="inlineStr">
        <is>
          <t>0</t>
        </is>
      </c>
      <c r="Q1669" s="196" t="inlineStr">
        <is>
          <t>7.93400789710182</t>
        </is>
      </c>
      <c r="R1669" s="196" t="inlineStr">
        <is>
          <t>0</t>
        </is>
      </c>
      <c r="S1669" s="196" t="inlineStr">
        <is>
          <t>-4.85386100631848</t>
        </is>
      </c>
      <c r="T1669" s="196" t="inlineStr">
        <is>
          <t>3.08014689078334</t>
        </is>
      </c>
      <c r="U1669" s="196" t="inlineStr">
        <is>
          <t>12.1715201684474</t>
        </is>
      </c>
      <c r="V1669" s="196" t="inlineStr">
        <is>
          <t>0</t>
        </is>
      </c>
      <c r="W1669" s="196" t="inlineStr">
        <is>
          <t>-7.27666286028784</t>
        </is>
      </c>
      <c r="X1669" s="196" t="inlineStr">
        <is>
          <t>4.8978573081596</t>
        </is>
      </c>
      <c r="Y1669" s="196" t="inlineStr">
        <is>
          <t>8.67520740849908</t>
        </is>
      </c>
      <c r="Z1669" s="196" t="inlineStr">
        <is>
          <t>0</t>
        </is>
      </c>
      <c r="AA1669" s="196" t="inlineStr">
        <is>
          <t>-4.07299547393594</t>
        </is>
      </c>
      <c r="AB1669" s="196" t="inlineStr">
        <is>
          <t>4.60321193456314</t>
        </is>
      </c>
      <c r="AC1669" s="196" t="inlineStr">
        <is>
          <t>0</t>
        </is>
      </c>
      <c r="AD1669" s="196" t="inlineStr">
        <is>
          <t>0.622057770956481</t>
        </is>
      </c>
      <c r="AE1669" s="196" t="inlineStr">
        <is>
          <t>0</t>
        </is>
      </c>
      <c r="AF1669" s="196" t="inlineStr">
        <is>
          <t>-0.0569778092424283</t>
        </is>
      </c>
      <c r="AG1669" s="196" t="inlineStr">
        <is>
          <t>0.565079961714053</t>
        </is>
      </c>
      <c r="AH1669" s="196" t="inlineStr">
        <is>
          <t>0.59083382331892</t>
        </is>
      </c>
      <c r="AI1669" s="196" t="inlineStr">
        <is>
          <t>0</t>
        </is>
      </c>
      <c r="AJ1669" s="196" t="inlineStr">
        <is>
          <t>-0.166367318489692</t>
        </is>
      </c>
      <c r="AK1669" s="196" t="inlineStr">
        <is>
          <t>0.424466504829228</t>
        </is>
      </c>
      <c r="AL1669" s="196" t="inlineStr">
        <is>
          <t>0.443528047975542</t>
        </is>
      </c>
      <c r="AM1669" s="196" t="inlineStr">
        <is>
          <t>0</t>
        </is>
      </c>
      <c r="AN1669" s="196" t="inlineStr">
        <is>
          <t>-0.264118811319612</t>
        </is>
      </c>
      <c r="AO1669" s="196" t="inlineStr">
        <is>
          <t>0.17940923665593</t>
        </is>
      </c>
      <c r="AP1669" s="196" t="inlineStr">
        <is>
          <t>0.546979375812165</t>
        </is>
      </c>
      <c r="AQ1669" s="196" t="inlineStr">
        <is>
          <t>0</t>
        </is>
      </c>
      <c r="AR1669" s="196" t="inlineStr">
        <is>
          <t>-0.128365621042372</t>
        </is>
      </c>
      <c r="AS1669" s="196" t="inlineStr">
        <is>
          <t>0.418613754769794</t>
        </is>
      </c>
      <c r="AT1669" s="196" t="inlineStr">
        <is>
          <t>11.4767964758837</t>
        </is>
      </c>
      <c r="AU1669" s="196" t="inlineStr">
        <is>
          <t>0</t>
        </is>
      </c>
      <c r="AV1669" s="196" t="inlineStr">
        <is>
          <t>0</t>
        </is>
      </c>
      <c r="AW1669" s="196" t="inlineStr">
        <is>
          <t>11.4767964758837</t>
        </is>
      </c>
      <c r="AX1669" s="196" t="inlineStr">
        <is>
          <t>0</t>
        </is>
      </c>
      <c r="AY1669" s="196" t="inlineStr">
        <is>
          <t>0</t>
        </is>
      </c>
      <c r="AZ1669" s="196" t="inlineStr">
        <is>
          <t>80.3970934213723</t>
        </is>
      </c>
      <c r="BA1669" s="196" t="inlineStr">
        <is>
          <t>0</t>
        </is>
      </c>
      <c r="BB1669" s="196" t="inlineStr">
        <is>
          <t>-51.9196551972014</t>
        </is>
      </c>
      <c r="BC1669" s="196" t="inlineStr">
        <is>
          <t>32.6724382241709</t>
        </is>
      </c>
      <c r="BD1669" s="196" t="inlineStr">
        <is>
          <t>0.0725455436804596</t>
        </is>
      </c>
      <c r="BE1669" s="196" t="inlineStr">
        <is>
          <t>0</t>
        </is>
      </c>
      <c r="BF1669" s="196" t="inlineStr">
        <is>
          <t>0.00194265576636682</t>
        </is>
      </c>
      <c r="BG1669" s="196" t="inlineStr">
        <is>
          <t>0.0744881994468264</t>
        </is>
      </c>
      <c r="BH1669" s="196" t="inlineStr">
        <is>
          <t>0.069798675120394</t>
        </is>
      </c>
      <c r="BI1669" s="196" t="inlineStr">
        <is>
          <t>0</t>
        </is>
      </c>
      <c r="BJ1669" s="196" t="inlineStr">
        <is>
          <t>0.00000371053829952646</t>
        </is>
      </c>
      <c r="BK1669" s="196" t="inlineStr">
        <is>
          <t>0.0698023856586935</t>
        </is>
      </c>
      <c r="BL1669" s="196" t="inlineStr">
        <is>
          <t>0</t>
        </is>
      </c>
    </row>
    <row r="1670">
      <c r="A1670" s="156" t="n">
        <v>2022</v>
      </c>
      <c r="B1670" s="39" t="n">
        <v>4</v>
      </c>
      <c r="D1670" s="196" t="inlineStr">
        <is>
          <t>11.8437756514398</t>
        </is>
      </c>
      <c r="E1670" s="196" t="inlineStr">
        <is>
          <t>0</t>
        </is>
      </c>
      <c r="F1670" s="196" t="inlineStr">
        <is>
          <t>0</t>
        </is>
      </c>
      <c r="G1670" s="196" t="inlineStr">
        <is>
          <t>11.8437756514398</t>
        </is>
      </c>
      <c r="H1670" s="196" t="inlineStr">
        <is>
          <t>18.0351075554649</t>
        </is>
      </c>
      <c r="I1670" s="196" t="inlineStr">
        <is>
          <t>0.14</t>
        </is>
      </c>
      <c r="J1670" s="196" t="inlineStr">
        <is>
          <t>0.179809301231131</t>
        </is>
      </c>
      <c r="K1670" s="196" t="inlineStr">
        <is>
          <t>20.7391052166334</t>
        </is>
      </c>
      <c r="L1670" s="196" t="inlineStr">
        <is>
          <t>9.58820366845087</t>
        </is>
      </c>
      <c r="M1670" s="196" t="inlineStr">
        <is>
          <t>0</t>
        </is>
      </c>
      <c r="N1670" s="196" t="inlineStr">
        <is>
          <t>0.309027627235803</t>
        </is>
      </c>
      <c r="O1670" s="196" t="inlineStr">
        <is>
          <t>9.89723129568667</t>
        </is>
      </c>
      <c r="P1670" s="196" t="inlineStr">
        <is>
          <t>0</t>
        </is>
      </c>
      <c r="Q1670" s="196" t="inlineStr">
        <is>
          <t>10.2060377896308</t>
        </is>
      </c>
      <c r="R1670" s="196" t="inlineStr">
        <is>
          <t>0</t>
        </is>
      </c>
      <c r="S1670" s="196" t="inlineStr">
        <is>
          <t>-7.43143218644121</t>
        </is>
      </c>
      <c r="T1670" s="196" t="inlineStr">
        <is>
          <t>2.77460560318954</t>
        </is>
      </c>
      <c r="U1670" s="196" t="inlineStr">
        <is>
          <t>14.929013361246</t>
        </is>
      </c>
      <c r="V1670" s="196" t="inlineStr">
        <is>
          <t>0</t>
        </is>
      </c>
      <c r="W1670" s="196" t="inlineStr">
        <is>
          <t>-10.572045189588</t>
        </is>
      </c>
      <c r="X1670" s="196" t="inlineStr">
        <is>
          <t>4.35996817165805</t>
        </is>
      </c>
      <c r="Y1670" s="196" t="inlineStr">
        <is>
          <t>10.5413749779081</t>
        </is>
      </c>
      <c r="Z1670" s="196" t="inlineStr">
        <is>
          <t>0</t>
        </is>
      </c>
      <c r="AA1670" s="196" t="inlineStr">
        <is>
          <t>-6.23127720303422</t>
        </is>
      </c>
      <c r="AB1670" s="196" t="inlineStr">
        <is>
          <t>4.31009777487392</t>
        </is>
      </c>
      <c r="AC1670" s="196" t="inlineStr">
        <is>
          <t>0</t>
        </is>
      </c>
      <c r="AD1670" s="196" t="inlineStr">
        <is>
          <t>0.866892594121082</t>
        </is>
      </c>
      <c r="AE1670" s="196" t="inlineStr">
        <is>
          <t>0</t>
        </is>
      </c>
      <c r="AF1670" s="196" t="inlineStr">
        <is>
          <t>-0.309897638173993</t>
        </is>
      </c>
      <c r="AG1670" s="196" t="inlineStr">
        <is>
          <t>0.556994955947089</t>
        </is>
      </c>
      <c r="AH1670" s="196" t="inlineStr">
        <is>
          <t>0.943446507335399</t>
        </is>
      </c>
      <c r="AI1670" s="196" t="inlineStr">
        <is>
          <t>0</t>
        </is>
      </c>
      <c r="AJ1670" s="196" t="inlineStr">
        <is>
          <t>-0.575083631231599</t>
        </is>
      </c>
      <c r="AK1670" s="196" t="inlineStr">
        <is>
          <t>0.368362876103799</t>
        </is>
      </c>
      <c r="AL1670" s="196" t="inlineStr">
        <is>
          <t>0.575174806344768</t>
        </is>
      </c>
      <c r="AM1670" s="196" t="inlineStr">
        <is>
          <t>0</t>
        </is>
      </c>
      <c r="AN1670" s="196" t="inlineStr">
        <is>
          <t>-0.440773156803813</t>
        </is>
      </c>
      <c r="AO1670" s="196" t="inlineStr">
        <is>
          <t>0.134401649540955</t>
        </is>
      </c>
      <c r="AP1670" s="196" t="inlineStr">
        <is>
          <t>0.670264765076451</t>
        </is>
      </c>
      <c r="AQ1670" s="196" t="inlineStr">
        <is>
          <t>0</t>
        </is>
      </c>
      <c r="AR1670" s="196" t="inlineStr">
        <is>
          <t>-0.319825408059958</t>
        </is>
      </c>
      <c r="AS1670" s="196" t="inlineStr">
        <is>
          <t>0.350439357016494</t>
        </is>
      </c>
      <c r="AT1670" s="196" t="inlineStr">
        <is>
          <t>13.0175008952275</t>
        </is>
      </c>
      <c r="AU1670" s="196" t="inlineStr">
        <is>
          <t>0</t>
        </is>
      </c>
      <c r="AV1670" s="196" t="inlineStr">
        <is>
          <t>0</t>
        </is>
      </c>
      <c r="AW1670" s="196" t="inlineStr">
        <is>
          <t>13.0175008952275</t>
        </is>
      </c>
      <c r="AX1670" s="196" t="inlineStr">
        <is>
          <t>0</t>
        </is>
      </c>
      <c r="AY1670" s="196" t="inlineStr">
        <is>
          <t>0</t>
        </is>
      </c>
      <c r="AZ1670" s="196" t="inlineStr">
        <is>
          <t>100.768248037723</t>
        </is>
      </c>
      <c r="BA1670" s="196" t="inlineStr">
        <is>
          <t>0</t>
        </is>
      </c>
      <c r="BB1670" s="196" t="inlineStr">
        <is>
          <t>-74.5861562175798</t>
        </is>
      </c>
      <c r="BC1670" s="196" t="inlineStr">
        <is>
          <t>30.252091820143</t>
        </is>
      </c>
      <c r="BD1670" s="196" t="inlineStr">
        <is>
          <t>0.0519451747567177</t>
        </is>
      </c>
      <c r="BE1670" s="196" t="inlineStr">
        <is>
          <t>0</t>
        </is>
      </c>
      <c r="BF1670" s="196" t="inlineStr">
        <is>
          <t>0.00183263018162579</t>
        </is>
      </c>
      <c r="BG1670" s="196" t="inlineStr">
        <is>
          <t>0.0537778049383434</t>
        </is>
      </c>
      <c r="BH1670" s="196" t="inlineStr">
        <is>
          <t>0.054821588990799</t>
        </is>
      </c>
      <c r="BI1670" s="196" t="inlineStr">
        <is>
          <t>0</t>
        </is>
      </c>
      <c r="BJ1670" s="196" t="inlineStr">
        <is>
          <t>0.00000371318523937257</t>
        </is>
      </c>
      <c r="BK1670" s="196" t="inlineStr">
        <is>
          <t>0.0548253021760384</t>
        </is>
      </c>
      <c r="BL1670" s="196" t="inlineStr">
        <is>
          <t>0</t>
        </is>
      </c>
    </row>
    <row r="1671">
      <c r="A1671" s="156" t="n">
        <v>2023</v>
      </c>
      <c r="B1671" s="39" t="n">
        <v>5</v>
      </c>
      <c r="D1671" s="196" t="inlineStr">
        <is>
          <t>6.03472294134506</t>
        </is>
      </c>
      <c r="E1671" s="196" t="inlineStr">
        <is>
          <t>0</t>
        </is>
      </c>
      <c r="F1671" s="196" t="inlineStr">
        <is>
          <t>0</t>
        </is>
      </c>
      <c r="G1671" s="196" t="inlineStr">
        <is>
          <t>6.03472294134506</t>
        </is>
      </c>
      <c r="H1671" s="196" t="inlineStr">
        <is>
          <t>12.2410291200364</t>
        </is>
      </c>
      <c r="I1671" s="196" t="inlineStr">
        <is>
          <t>0.14</t>
        </is>
      </c>
      <c r="J1671" s="196" t="inlineStr">
        <is>
          <t>0.198858411693578</t>
        </is>
      </c>
      <c r="K1671" s="196" t="inlineStr">
        <is>
          <t>14.1541717861721</t>
        </is>
      </c>
      <c r="L1671" s="196" t="inlineStr">
        <is>
          <t>7.84097529222321</t>
        </is>
      </c>
      <c r="M1671" s="196" t="inlineStr">
        <is>
          <t>0</t>
        </is>
      </c>
      <c r="N1671" s="196" t="inlineStr">
        <is>
          <t>0.198656196230291</t>
        </is>
      </c>
      <c r="O1671" s="196" t="inlineStr">
        <is>
          <t>8.0396314884535</t>
        </is>
      </c>
      <c r="P1671" s="196" t="inlineStr">
        <is>
          <t>0</t>
        </is>
      </c>
      <c r="Q1671" s="196" t="inlineStr">
        <is>
          <t>8.71179533734366</t>
        </is>
      </c>
      <c r="R1671" s="196" t="inlineStr">
        <is>
          <t>0</t>
        </is>
      </c>
      <c r="S1671" s="196" t="inlineStr">
        <is>
          <t>-6.30859994822505</t>
        </is>
      </c>
      <c r="T1671" s="196" t="inlineStr">
        <is>
          <t>2.40319538911861</t>
        </is>
      </c>
      <c r="U1671" s="196" t="inlineStr">
        <is>
          <t>13.4970930877505</t>
        </is>
      </c>
      <c r="V1671" s="196" t="inlineStr">
        <is>
          <t>0</t>
        </is>
      </c>
      <c r="W1671" s="196" t="inlineStr">
        <is>
          <t>-10.9951062952212</t>
        </is>
      </c>
      <c r="X1671" s="196" t="inlineStr">
        <is>
          <t>2.50498679252933</t>
        </is>
      </c>
      <c r="Y1671" s="196" t="inlineStr">
        <is>
          <t>9.39317495204487</t>
        </is>
      </c>
      <c r="Z1671" s="196" t="inlineStr">
        <is>
          <t>0</t>
        </is>
      </c>
      <c r="AA1671" s="196" t="inlineStr">
        <is>
          <t>-4.70491901763887</t>
        </is>
      </c>
      <c r="AB1671" s="196" t="inlineStr">
        <is>
          <t>4.688255934406</t>
        </is>
      </c>
      <c r="AC1671" s="196" t="inlineStr">
        <is>
          <t>0</t>
        </is>
      </c>
      <c r="AD1671" s="196" t="inlineStr">
        <is>
          <t>0.731458188524535</t>
        </is>
      </c>
      <c r="AE1671" s="196" t="inlineStr">
        <is>
          <t>0</t>
        </is>
      </c>
      <c r="AF1671" s="196" t="inlineStr">
        <is>
          <t>-0.368594132331699</t>
        </is>
      </c>
      <c r="AG1671" s="196" t="inlineStr">
        <is>
          <t>0.362864056192836</t>
        </is>
      </c>
      <c r="AH1671" s="196" t="inlineStr">
        <is>
          <t>0.789339321066507</t>
        </is>
      </c>
      <c r="AI1671" s="196" t="inlineStr">
        <is>
          <t>0</t>
        </is>
      </c>
      <c r="AJ1671" s="196" t="inlineStr">
        <is>
          <t>-0.524623162627523</t>
        </is>
      </c>
      <c r="AK1671" s="196" t="inlineStr">
        <is>
          <t>0.264716158438984</t>
        </is>
      </c>
      <c r="AL1671" s="196" t="inlineStr">
        <is>
          <t>0.523458328819347</t>
        </is>
      </c>
      <c r="AM1671" s="196" t="inlineStr">
        <is>
          <t>0</t>
        </is>
      </c>
      <c r="AN1671" s="196" t="inlineStr">
        <is>
          <t>-0.441442692285174</t>
        </is>
      </c>
      <c r="AO1671" s="196" t="inlineStr">
        <is>
          <t>0.0820156365341732</t>
        </is>
      </c>
      <c r="AP1671" s="196" t="inlineStr">
        <is>
          <t>0.640826495798621</t>
        </is>
      </c>
      <c r="AQ1671" s="196" t="inlineStr">
        <is>
          <t>0</t>
        </is>
      </c>
      <c r="AR1671" s="196" t="inlineStr">
        <is>
          <t>-0.404100745428185</t>
        </is>
      </c>
      <c r="AS1671" s="196" t="inlineStr">
        <is>
          <t>0.236725750370436</t>
        </is>
      </c>
      <c r="AT1671" s="196" t="inlineStr">
        <is>
          <t>13.6165567782474</t>
        </is>
      </c>
      <c r="AU1671" s="196" t="inlineStr">
        <is>
          <t>0</t>
        </is>
      </c>
      <c r="AV1671" s="196" t="inlineStr">
        <is>
          <t>0</t>
        </is>
      </c>
      <c r="AW1671" s="196" t="inlineStr">
        <is>
          <t>13.6165567782474</t>
        </is>
      </c>
      <c r="AX1671" s="196" t="inlineStr">
        <is>
          <t>0</t>
        </is>
      </c>
      <c r="AY1671" s="196" t="inlineStr">
        <is>
          <t>0</t>
        </is>
      </c>
      <c r="AZ1671" s="196" t="inlineStr">
        <is>
          <t>88.1651788592523</t>
        </is>
      </c>
      <c r="BA1671" s="196" t="inlineStr">
        <is>
          <t>0</t>
        </is>
      </c>
      <c r="BB1671" s="196" t="inlineStr">
        <is>
          <t>-63.5091612252962</t>
        </is>
      </c>
      <c r="BC1671" s="196" t="inlineStr">
        <is>
          <t>28.0290176339561</t>
        </is>
      </c>
      <c r="BD1671" s="196" t="inlineStr">
        <is>
          <t>0.0476130203339599</t>
        </is>
      </c>
      <c r="BE1671" s="196" t="inlineStr">
        <is>
          <t>0</t>
        </is>
      </c>
      <c r="BF1671" s="196" t="inlineStr">
        <is>
          <t>0.00113257533735031</t>
        </is>
      </c>
      <c r="BG1671" s="196" t="inlineStr">
        <is>
          <t>0.0487455956713102</t>
        </is>
      </c>
      <c r="BH1671" s="196" t="inlineStr">
        <is>
          <t>0.0581731164474779</t>
        </is>
      </c>
      <c r="BI1671" s="196" t="inlineStr">
        <is>
          <t>0</t>
        </is>
      </c>
      <c r="BJ1671" s="196" t="inlineStr">
        <is>
          <t>0.00000229057858105647</t>
        </is>
      </c>
      <c r="BK1671" s="196" t="inlineStr">
        <is>
          <t>0.058175407026059</t>
        </is>
      </c>
      <c r="BL1671" s="196" t="inlineStr">
        <is>
          <t>0</t>
        </is>
      </c>
    </row>
    <row r="1672">
      <c r="A1672" s="156" t="n">
        <v>2024</v>
      </c>
      <c r="B1672" s="39" t="n">
        <v>6</v>
      </c>
      <c r="D1672" s="196" t="inlineStr">
        <is>
          <t>5.47554291872925</t>
        </is>
      </c>
      <c r="E1672" s="196" t="inlineStr">
        <is>
          <t>0</t>
        </is>
      </c>
      <c r="F1672" s="196" t="inlineStr">
        <is>
          <t>0</t>
        </is>
      </c>
      <c r="G1672" s="196" t="inlineStr">
        <is>
          <t>5.47554291872925</t>
        </is>
      </c>
      <c r="H1672" s="196" t="inlineStr">
        <is>
          <t>11.9774655157326</t>
        </is>
      </c>
      <c r="I1672" s="196" t="inlineStr">
        <is>
          <t>0.14</t>
        </is>
      </c>
      <c r="J1672" s="196" t="inlineStr">
        <is>
          <t>0.235232820627305</t>
        </is>
      </c>
      <c r="K1672" s="196" t="inlineStr">
        <is>
          <t>13.6575561034503</t>
        </is>
      </c>
      <c r="L1672" s="196" t="inlineStr">
        <is>
          <t>6.98297850956561</t>
        </is>
      </c>
      <c r="M1672" s="196" t="inlineStr">
        <is>
          <t>0</t>
        </is>
      </c>
      <c r="N1672" s="196" t="inlineStr">
        <is>
          <t>0.156906613881895</t>
        </is>
      </c>
      <c r="O1672" s="196" t="inlineStr">
        <is>
          <t>7.13988512344751</t>
        </is>
      </c>
      <c r="P1672" s="196" t="inlineStr">
        <is>
          <t>0</t>
        </is>
      </c>
      <c r="Q1672" s="196" t="inlineStr">
        <is>
          <t>8.38529546169849</t>
        </is>
      </c>
      <c r="R1672" s="196" t="inlineStr">
        <is>
          <t>0</t>
        </is>
      </c>
      <c r="S1672" s="196" t="inlineStr">
        <is>
          <t>-5.76474346227774</t>
        </is>
      </c>
      <c r="T1672" s="196" t="inlineStr">
        <is>
          <t>2.62055199942076</t>
        </is>
      </c>
      <c r="U1672" s="196" t="inlineStr">
        <is>
          <t>13.3815540449042</t>
        </is>
      </c>
      <c r="V1672" s="196" t="inlineStr">
        <is>
          <t>0</t>
        </is>
      </c>
      <c r="W1672" s="196" t="inlineStr">
        <is>
          <t>-11.6878477554076</t>
        </is>
      </c>
      <c r="X1672" s="196" t="inlineStr">
        <is>
          <t>1.69470628949659</t>
        </is>
      </c>
      <c r="Y1672" s="196" t="inlineStr">
        <is>
          <t>8.88388912190628</t>
        </is>
      </c>
      <c r="Z1672" s="196" t="inlineStr">
        <is>
          <t>0</t>
        </is>
      </c>
      <c r="AA1672" s="196" t="inlineStr">
        <is>
          <t>-4.27737000016534</t>
        </is>
      </c>
      <c r="AB1672" s="196" t="inlineStr">
        <is>
          <t>4.60651912174094</t>
        </is>
      </c>
      <c r="AC1672" s="196" t="inlineStr">
        <is>
          <t>0</t>
        </is>
      </c>
      <c r="AD1672" s="196" t="inlineStr">
        <is>
          <t>0.710583485986353</t>
        </is>
      </c>
      <c r="AE1672" s="196" t="inlineStr">
        <is>
          <t>0</t>
        </is>
      </c>
      <c r="AF1672" s="196" t="inlineStr">
        <is>
          <t>-0.409015166768636</t>
        </is>
      </c>
      <c r="AG1672" s="196" t="inlineStr">
        <is>
          <t>0.301568319217717</t>
        </is>
      </c>
      <c r="AH1672" s="196" t="inlineStr">
        <is>
          <t>0.738978356507549</t>
        </is>
      </c>
      <c r="AI1672" s="196" t="inlineStr">
        <is>
          <t>0</t>
        </is>
      </c>
      <c r="AJ1672" s="196" t="inlineStr">
        <is>
          <t>-0.498890263614081</t>
        </is>
      </c>
      <c r="AK1672" s="196" t="inlineStr">
        <is>
          <t>0.240088092893468</t>
        </is>
      </c>
      <c r="AL1672" s="196" t="inlineStr">
        <is>
          <t>0.517206335200079</t>
        </is>
      </c>
      <c r="AM1672" s="196" t="inlineStr">
        <is>
          <t>0</t>
        </is>
      </c>
      <c r="AN1672" s="196" t="inlineStr">
        <is>
          <t>-0.41830664455142</t>
        </is>
      </c>
      <c r="AO1672" s="196" t="inlineStr">
        <is>
          <t>0.0988996906486588</t>
        </is>
      </c>
      <c r="AP1672" s="196" t="inlineStr">
        <is>
          <t>0.665216087363071</t>
        </is>
      </c>
      <c r="AQ1672" s="196" t="inlineStr">
        <is>
          <t>0</t>
        </is>
      </c>
      <c r="AR1672" s="196" t="inlineStr">
        <is>
          <t>-0.413325986622357</t>
        </is>
      </c>
      <c r="AS1672" s="196" t="inlineStr">
        <is>
          <t>0.251890100740713</t>
        </is>
      </c>
      <c r="AT1672" s="196" t="inlineStr">
        <is>
          <t>13.9404305028238</t>
        </is>
      </c>
      <c r="AU1672" s="196" t="inlineStr">
        <is>
          <t>0</t>
        </is>
      </c>
      <c r="AV1672" s="196" t="inlineStr">
        <is>
          <t>0</t>
        </is>
      </c>
      <c r="AW1672" s="196" t="inlineStr">
        <is>
          <t>13.9404305028238</t>
        </is>
      </c>
      <c r="AX1672" s="196" t="inlineStr">
        <is>
          <t>0</t>
        </is>
      </c>
      <c r="AY1672" s="196" t="inlineStr">
        <is>
          <t>0</t>
        </is>
      </c>
      <c r="AZ1672" s="196" t="inlineStr">
        <is>
          <t>87.3500397312381</t>
        </is>
      </c>
      <c r="BA1672" s="196" t="inlineStr">
        <is>
          <t>0</t>
        </is>
      </c>
      <c r="BB1672" s="196" t="inlineStr">
        <is>
          <t>-63.1943922290476</t>
        </is>
      </c>
      <c r="BC1672" s="196" t="inlineStr">
        <is>
          <t>27.2166475021904</t>
        </is>
      </c>
      <c r="BD1672" s="196" t="inlineStr">
        <is>
          <t>0</t>
        </is>
      </c>
      <c r="BE1672" s="196" t="inlineStr">
        <is>
          <t>0</t>
        </is>
      </c>
      <c r="BF1672" s="196" t="inlineStr">
        <is>
          <t>-0.0524446296606854</t>
        </is>
      </c>
      <c r="BG1672" s="196" t="inlineStr">
        <is>
          <t>0.0425553703393147</t>
        </is>
      </c>
      <c r="BH1672" s="196" t="inlineStr">
        <is>
          <t>0</t>
        </is>
      </c>
      <c r="BI1672" s="196" t="inlineStr">
        <is>
          <t>0</t>
        </is>
      </c>
      <c r="BJ1672" s="196" t="inlineStr">
        <is>
          <t>-0.0508842467884871</t>
        </is>
      </c>
      <c r="BK1672" s="196" t="inlineStr">
        <is>
          <t>0.0501157532115129</t>
        </is>
      </c>
      <c r="BL1672" s="196" t="inlineStr">
        <is>
          <t>0</t>
        </is>
      </c>
    </row>
    <row r="1673">
      <c r="A1673" s="156" t="n">
        <v>2025</v>
      </c>
      <c r="B1673" s="39" t="n"/>
      <c r="D1673" s="196" t="n"/>
      <c r="E1673" s="196" t="n"/>
      <c r="F1673" s="196" t="n"/>
      <c r="G1673" s="196" t="n"/>
      <c r="H1673" s="196" t="n"/>
      <c r="I1673" s="196" t="n"/>
      <c r="J1673" s="196" t="n"/>
      <c r="K1673" s="196" t="n"/>
      <c r="L1673" s="196" t="n"/>
      <c r="M1673" s="196" t="n"/>
      <c r="N1673" s="196" t="n"/>
      <c r="O1673" s="196" t="n"/>
      <c r="P1673" s="196" t="n"/>
      <c r="Q1673" s="196" t="n"/>
      <c r="R1673" s="196" t="n"/>
      <c r="S1673" s="196" t="n"/>
      <c r="T1673" s="196" t="n"/>
      <c r="U1673" s="196" t="n"/>
      <c r="V1673" s="196" t="n"/>
      <c r="W1673" s="196" t="n"/>
      <c r="X1673" s="196" t="n"/>
      <c r="Y1673" s="196" t="n"/>
      <c r="Z1673" s="196" t="n"/>
      <c r="AA1673" s="196" t="n"/>
      <c r="AB1673" s="196" t="n"/>
      <c r="AC1673" s="196" t="n"/>
      <c r="AD1673" s="196" t="n"/>
      <c r="AE1673" s="196" t="n"/>
      <c r="AF1673" s="196" t="n"/>
      <c r="AG1673" s="196" t="n"/>
      <c r="AH1673" s="196" t="n"/>
      <c r="AI1673" s="196" t="n"/>
      <c r="AJ1673" s="196" t="n"/>
      <c r="AK1673" s="196" t="n"/>
      <c r="AL1673" s="196" t="n"/>
      <c r="AM1673" s="196" t="n"/>
      <c r="AN1673" s="196" t="n"/>
      <c r="AO1673" s="196" t="n"/>
      <c r="AP1673" s="196" t="n"/>
      <c r="AQ1673" s="196" t="n"/>
      <c r="AR1673" s="196" t="n"/>
      <c r="AS1673" s="196" t="n"/>
      <c r="AT1673" s="196" t="n"/>
      <c r="AU1673" s="196" t="n"/>
      <c r="AV1673" s="196" t="n"/>
      <c r="AW1673" s="196" t="n"/>
      <c r="AX1673" s="196" t="n"/>
      <c r="AY1673" s="196" t="n"/>
      <c r="AZ1673" s="196" t="n"/>
      <c r="BA1673" s="196" t="n"/>
      <c r="BB1673" s="196" t="n"/>
      <c r="BC1673" s="196" t="n"/>
      <c r="BD1673" s="196" t="n"/>
      <c r="BE1673" s="196" t="n"/>
      <c r="BF1673" s="196" t="n"/>
      <c r="BG1673" s="196" t="n"/>
      <c r="BH1673" s="196" t="n"/>
      <c r="BI1673" s="196" t="n"/>
      <c r="BJ1673" s="196" t="n"/>
      <c r="BK1673" s="196" t="n"/>
      <c r="BL1673" s="196" t="n"/>
    </row>
    <row r="1674">
      <c r="A1674" s="156" t="n">
        <v>2026</v>
      </c>
      <c r="B1674" s="39" t="n"/>
      <c r="D1674" s="196" t="n"/>
      <c r="E1674" s="196" t="n"/>
      <c r="F1674" s="196" t="n"/>
      <c r="G1674" s="196" t="n"/>
      <c r="H1674" s="196" t="n"/>
      <c r="I1674" s="196" t="n"/>
      <c r="J1674" s="196" t="n"/>
      <c r="K1674" s="196" t="n"/>
      <c r="L1674" s="196" t="n"/>
      <c r="M1674" s="196" t="n"/>
      <c r="N1674" s="196" t="n"/>
      <c r="O1674" s="196" t="n"/>
      <c r="P1674" s="196" t="n"/>
      <c r="Q1674" s="196" t="n"/>
      <c r="R1674" s="196" t="n"/>
      <c r="S1674" s="196" t="n"/>
      <c r="T1674" s="196" t="n"/>
      <c r="U1674" s="196" t="n"/>
      <c r="V1674" s="196" t="n"/>
      <c r="W1674" s="196" t="n"/>
      <c r="X1674" s="196" t="n"/>
      <c r="Y1674" s="196" t="n"/>
      <c r="Z1674" s="196" t="n"/>
      <c r="AA1674" s="196" t="n"/>
      <c r="AB1674" s="196" t="n"/>
      <c r="AC1674" s="196" t="n"/>
      <c r="AD1674" s="196" t="n"/>
      <c r="AE1674" s="196" t="n"/>
      <c r="AF1674" s="196" t="n"/>
      <c r="AG1674" s="196" t="n"/>
      <c r="AH1674" s="196" t="n"/>
      <c r="AI1674" s="196" t="n"/>
      <c r="AJ1674" s="196" t="n"/>
      <c r="AK1674" s="196" t="n"/>
      <c r="AL1674" s="196" t="n"/>
      <c r="AM1674" s="196" t="n"/>
      <c r="AN1674" s="196" t="n"/>
      <c r="AO1674" s="196" t="n"/>
      <c r="AP1674" s="196" t="n"/>
      <c r="AQ1674" s="196" t="n"/>
      <c r="AR1674" s="196" t="n"/>
      <c r="AS1674" s="196" t="n"/>
      <c r="AT1674" s="196" t="n"/>
      <c r="AU1674" s="196" t="n"/>
      <c r="AV1674" s="196" t="n"/>
      <c r="AW1674" s="196" t="n"/>
      <c r="AX1674" s="196" t="n"/>
      <c r="AY1674" s="196" t="n"/>
      <c r="AZ1674" s="196" t="n"/>
      <c r="BA1674" s="196" t="n"/>
      <c r="BB1674" s="196" t="n"/>
      <c r="BC1674" s="196" t="n"/>
      <c r="BD1674" s="196" t="n"/>
      <c r="BE1674" s="196" t="n"/>
      <c r="BF1674" s="196" t="n"/>
      <c r="BG1674" s="196" t="n"/>
      <c r="BH1674" s="196" t="n"/>
      <c r="BI1674" s="196" t="n"/>
      <c r="BJ1674" s="196" t="n"/>
      <c r="BK1674" s="196" t="n"/>
      <c r="BL1674" s="196" t="n"/>
    </row>
    <row r="1675"/>
    <row r="1676"/>
    <row r="1677"/>
    <row r="1678"/>
    <row r="1679">
      <c r="A1679" s="4" t="inlineStr">
        <is>
          <t>Inputs by generation type and end-user group (data step for section 3; no calculations of results)</t>
        </is>
      </c>
      <c r="B1679" s="5" t="n"/>
      <c r="C1679" s="5" t="n"/>
      <c r="D1679" s="5" t="n"/>
      <c r="E1679" s="5" t="n"/>
      <c r="F1679" s="5" t="n"/>
      <c r="G1679" s="5" t="n"/>
      <c r="H1679" s="5" t="n"/>
      <c r="I1679" s="5" t="n"/>
      <c r="J1679" s="5" t="n"/>
      <c r="K1679" s="5" t="n"/>
      <c r="L1679" s="5" t="n"/>
      <c r="M1679" s="5" t="n"/>
      <c r="N1679" s="5" t="n"/>
      <c r="O1679" s="5" t="n"/>
      <c r="P1679" s="5" t="n"/>
      <c r="Q1679" s="5" t="n"/>
      <c r="R1679" s="5" t="n"/>
      <c r="S1679" s="5" t="n"/>
      <c r="T1679" s="5" t="n"/>
      <c r="U1679" s="5" t="n"/>
      <c r="V1679" s="5" t="n"/>
      <c r="W1679" s="5" t="n"/>
      <c r="X1679" s="5" t="n"/>
      <c r="Y1679" s="5" t="n"/>
      <c r="Z1679" s="5" t="n"/>
      <c r="AA1679" s="5" t="n"/>
      <c r="AB1679" s="5" t="n"/>
      <c r="AC1679" s="5" t="n"/>
      <c r="AD1679" s="5" t="n"/>
      <c r="AE1679" s="5" t="n"/>
      <c r="AF1679" s="5" t="n"/>
      <c r="AG1679" s="5" t="n"/>
      <c r="AH1679" s="5" t="n"/>
      <c r="AI1679" s="5" t="n"/>
      <c r="AJ1679" s="5" t="n"/>
      <c r="AK1679" s="5" t="n"/>
      <c r="AL1679" s="5" t="n"/>
      <c r="AM1679" s="5" t="n"/>
      <c r="AN1679" s="5" t="n"/>
      <c r="AO1679" s="5" t="n"/>
      <c r="AP1679" s="5" t="n"/>
      <c r="AQ1679" s="5" t="n"/>
      <c r="AR1679" s="5" t="n"/>
      <c r="AS1679" s="5" t="n"/>
      <c r="AT1679" s="5" t="n"/>
      <c r="AU1679" s="5" t="n"/>
      <c r="AV1679" s="5" t="n"/>
      <c r="AW1679" s="5" t="n"/>
      <c r="AX1679" s="5" t="n"/>
      <c r="AY1679" s="5" t="n"/>
      <c r="AZ1679" s="5" t="n"/>
      <c r="BA1679" s="5" t="n"/>
      <c r="BB1679" s="5" t="n"/>
      <c r="BC1679" s="5" t="n"/>
      <c r="BD1679" s="5" t="n"/>
      <c r="BE1679" s="5" t="n"/>
      <c r="BF1679" s="5" t="n"/>
      <c r="BG1679" s="5" t="n"/>
      <c r="BH1679" s="5" t="n"/>
      <c r="BI1679" s="5" t="n"/>
      <c r="BJ1679" s="5" t="n"/>
      <c r="BK1679" s="5" t="n"/>
      <c r="BL1679" s="5" t="n"/>
      <c r="BM1679" s="5" t="n"/>
      <c r="BN1679" s="5" t="n"/>
      <c r="BO1679" s="5" t="n"/>
      <c r="BP1679" s="5" t="n"/>
      <c r="BQ1679" s="5" t="n"/>
      <c r="BR1679" s="5" t="n"/>
      <c r="BS1679" s="5" t="n"/>
      <c r="BT1679" s="5" t="n"/>
      <c r="BU1679" s="5" t="n"/>
      <c r="BV1679" s="5" t="n"/>
      <c r="BW1679" s="5" t="n"/>
      <c r="BX1679" s="5" t="n"/>
      <c r="BY1679" s="5" t="n"/>
      <c r="BZ1679" s="5" t="n"/>
      <c r="CA1679" s="5" t="n"/>
      <c r="CB1679" s="5" t="n"/>
      <c r="CC1679" s="5" t="n"/>
      <c r="CD1679" s="5" t="n"/>
      <c r="CE1679" s="5" t="n"/>
      <c r="CF1679" s="5" t="n"/>
      <c r="CG1679" s="5" t="n"/>
      <c r="CH1679" s="5" t="n"/>
      <c r="CI1679" s="5" t="n"/>
      <c r="CJ1679" s="5" t="n"/>
      <c r="CK1679" s="5" t="n"/>
      <c r="CL1679" s="5" t="n"/>
      <c r="CM1679" s="5" t="n"/>
      <c r="CN1679" s="5" t="n"/>
      <c r="CO1679" s="5" t="n"/>
      <c r="CP1679" s="5" t="n"/>
      <c r="CQ1679" s="5" t="n"/>
      <c r="CR1679" s="5" t="n"/>
      <c r="CS1679" s="5" t="n"/>
      <c r="CT1679" s="5" t="n"/>
      <c r="CU1679" s="5" t="n"/>
      <c r="CV1679" s="5" t="n"/>
      <c r="CW1679" s="5" t="n"/>
      <c r="CX1679" s="5" t="n"/>
      <c r="CY1679" s="5" t="n"/>
      <c r="CZ1679" s="5" t="n"/>
      <c r="DA1679" s="5" t="n"/>
      <c r="DB1679" s="5" t="n"/>
      <c r="DC1679" s="5" t="n"/>
      <c r="DD1679" s="5" t="n"/>
      <c r="DE1679" s="5" t="n"/>
      <c r="DF1679" s="5" t="n"/>
      <c r="DG1679" s="5" t="n"/>
      <c r="DH1679" s="5" t="n"/>
      <c r="DI1679" s="5" t="n"/>
      <c r="DJ1679" s="5" t="n"/>
      <c r="DK1679" s="5" t="n"/>
      <c r="DL1679" s="5" t="n"/>
      <c r="DM1679" s="5" t="n"/>
      <c r="DN1679" s="5" t="n"/>
      <c r="DO1679" s="5" t="n"/>
      <c r="DP1679" s="5" t="n"/>
      <c r="DQ1679" s="5" t="n"/>
      <c r="DR1679" s="5" t="n"/>
      <c r="DS1679" s="5" t="n"/>
      <c r="DT1679" s="5" t="n"/>
      <c r="DU1679" s="5" t="n"/>
      <c r="DV1679" s="5" t="n"/>
      <c r="DW1679" s="5" t="n"/>
      <c r="DX1679" s="5" t="n"/>
      <c r="DY1679" s="5" t="n"/>
      <c r="DZ1679" s="5" t="n"/>
      <c r="EA1679" s="5" t="n"/>
      <c r="EB1679" s="5" t="n"/>
      <c r="EC1679" s="5" t="n"/>
      <c r="ED1679" s="5" t="n"/>
      <c r="EE1679" s="5" t="n"/>
      <c r="EF1679" s="5" t="n"/>
      <c r="EG1679" s="5" t="n"/>
      <c r="EH1679" s="5" t="n"/>
      <c r="EI1679" s="5" t="n"/>
      <c r="EJ1679" s="5" t="n"/>
      <c r="EK1679" s="5" t="n"/>
      <c r="EL1679" s="5" t="n"/>
      <c r="EM1679" s="5" t="n"/>
      <c r="EN1679" s="5" t="n"/>
      <c r="EO1679" s="5" t="n"/>
      <c r="EP1679" s="5" t="n"/>
      <c r="EQ1679" s="5" t="n"/>
      <c r="ER1679" s="5" t="n"/>
      <c r="ES1679" s="5" t="n"/>
      <c r="ET1679" s="5" t="n"/>
      <c r="EU1679" s="5" t="n"/>
      <c r="EV1679" s="5" t="n"/>
      <c r="EW1679" s="5" t="n"/>
      <c r="EX1679" s="5" t="n"/>
      <c r="EY1679" s="5" t="n"/>
      <c r="EZ1679" s="5" t="n"/>
      <c r="FA1679" s="5" t="n"/>
      <c r="FB1679" s="5" t="n"/>
      <c r="FC1679" s="5" t="n"/>
      <c r="FD1679" s="5" t="n"/>
      <c r="FE1679" s="5" t="n"/>
      <c r="FF1679" s="5" t="n"/>
      <c r="FG1679" s="5" t="n"/>
      <c r="FH1679" s="5" t="n"/>
      <c r="FI1679" s="5" t="n"/>
      <c r="FJ1679" s="5" t="n"/>
      <c r="FK1679" s="5" t="n"/>
      <c r="FL1679" s="5" t="n"/>
      <c r="FM1679" s="5" t="n"/>
      <c r="FN1679" s="5" t="n"/>
      <c r="FO1679" s="5" t="n"/>
    </row>
    <row r="1680">
      <c r="A1680" s="3" t="inlineStr">
        <is>
          <t>One row per generation type (PowerTech data, legacy order) and derived constants; below, one row per end-user group. Mitigation section 3 reads these columns in its hidden parameter columns D:G.</t>
        </is>
      </c>
    </row>
    <row r="1681" ht="96" customHeight="1">
      <c r="A1681" s="175" t="inlineStr">
        <is>
          <t>Generation type (code)</t>
        </is>
      </c>
      <c r="B1681" s="175" t="inlineStr">
        <is>
          <t>Name</t>
        </is>
      </c>
      <c r="C1681" s="175" t="inlineStr">
        <is>
          <t>Capital cost at capex time factor 1 ($/kW, real)</t>
        </is>
      </c>
      <c r="D1681" s="175" t="inlineStr">
        <is>
          <t>Lifetime N (years)</t>
        </is>
      </c>
      <c r="E1681" s="175" t="inlineStr">
        <is>
          <t>Efficiency (NCV)</t>
        </is>
      </c>
      <c r="F1681" s="175" t="inlineStr">
        <is>
          <t>Capacity factor</t>
        </is>
      </c>
      <c r="G1681" s="175" t="inlineStr">
        <is>
          <t>WACC (country + technology premium)</t>
        </is>
      </c>
      <c r="H1681" s="175" t="inlineStr">
        <is>
          <t>Decommissioning cost ($/kW)</t>
        </is>
      </c>
      <c r="I1681" s="175" t="inlineStr">
        <is>
          <t>Transmission capex, levelised ($/kW)</t>
        </is>
      </c>
      <c r="J1681" s="175" t="inlineStr">
        <is>
          <t>Fixed O&amp;M ($/kWh)</t>
        </is>
      </c>
      <c r="K1681" s="175" t="inlineStr">
        <is>
          <t>Variable O&amp;M ($/kWh)</t>
        </is>
      </c>
      <c r="L1681" s="175" t="inlineStr">
        <is>
          <t>Fixed fuel cost ($/kWh; nuclear)</t>
        </is>
      </c>
      <c r="M1681" s="175" t="inlineStr">
        <is>
          <t>Renewable subsidy ($/kWh; negative = subsidy)</t>
        </is>
      </c>
      <c r="N1681" s="175" t="inlineStr">
        <is>
          <t>Price fuel (section 2 price code; blank = no fuel)</t>
        </is>
      </c>
      <c r="O1681" s="175" t="inlineStr">
        <is>
          <t>Carries the storage cost (VRE flag: wind, solar, other renewables)</t>
        </is>
      </c>
      <c r="P1681" s="175" t="inlineStr">
        <is>
          <t>Counts in the VRE share (wind, solar; legacy row 3907)</t>
        </is>
      </c>
      <c r="Q1681" s="175" t="inlineStr">
        <is>
          <t>Discounted lifetime dlf = (1 - (1+wacc)^-N) / (1 - (1+wacc)^-1)</t>
        </is>
      </c>
      <c r="R1681" s="175" t="inlineStr">
        <is>
          <t>Amortised capex factor (1/N + wacc/2) / (cf x 8,760)</t>
        </is>
      </c>
      <c r="S1681" s="175" t="inlineStr">
        <is>
          <t>Other amortised fixed cost: dtc / N / (cf x 8,760) + fixed O&amp;M ($/kWh)</t>
        </is>
      </c>
      <c r="T1681" s="175" t="inlineStr">
        <is>
          <t>Levelised capex factor 1 / (cf x 8,760 x dlf)</t>
        </is>
      </c>
      <c r="U1681" s="175" t="inlineStr">
        <is>
          <t>Other levelised fixed cost: (dtc + tcx) x levelised factor + fixed O&amp;M + subsidy ($/kWh)</t>
        </is>
      </c>
      <c r="V1681" s="175" t="inlineStr">
        <is>
          <t>Variable O&amp;M + fixed fuel cost ($/kWh)</t>
        </is>
      </c>
      <c r="W1681" s="175" t="inlineStr">
        <is>
          <t>Fuel per kWh: 0.0036 / efficiency (GJ/kWh; 0 without a price fuel)</t>
        </is>
      </c>
      <c r="X1681" s="175" t="inlineStr">
        <is>
          <t>Price position (section 2 row; 1 without a price fuel)</t>
        </is>
      </c>
      <c r="Y1681" s="175" t="inlineStr">
        <is>
          <t>EF (tCO2/GJ; power sector)</t>
        </is>
      </c>
      <c r="Z1681" s="175" t="inlineStr">
        <is>
          <t>Carbon intensity EF x GJ per kWh (tCO2/kWh)</t>
        </is>
      </c>
      <c r="AA1681" s="175" t="inlineStr">
        <is>
          <t>Fuel position (carbon-tax coverage)</t>
        </is>
      </c>
      <c r="AB1681" s="175" t="inlineStr">
        <is>
          <t>Price-fuel position (fuel price reform)</t>
        </is>
      </c>
      <c r="AC1681" s="175" t="inlineStr">
        <is>
          <t>GJ per price unit</t>
        </is>
      </c>
      <c r="AD1681" s="175" t="inlineStr">
        <is>
          <t>Fuel price reform per kWh: GJ per kWh / GJ per price unit (0 without a price fuel)</t>
        </is>
      </c>
      <c r="AE1681" s="175" t="inlineStr">
        <is>
          <t>Base-year capacity, nameplate (MW)</t>
        </is>
      </c>
      <c r="AF1681" s="175" t="inlineStr">
        <is>
          <t>Base-year generation (MWy)</t>
        </is>
      </c>
      <c r="AG1681" s="175" t="inlineStr">
        <is>
          <t>Retirement rate (1 / lifetime; hydro 0)</t>
        </is>
      </c>
      <c r="AH1681" s="175" t="inlineStr">
        <is>
          <t>New investment permitted (Yes / No)</t>
        </is>
      </c>
      <c r="AI1681" s="175" t="inlineStr">
        <is>
          <t>Permitted from year</t>
        </is>
      </c>
      <c r="AJ1681" s="175" t="inlineStr">
        <is>
          <t>Scale-up limit: maximum effective investment as a share of effective capacity</t>
        </is>
      </c>
      <c r="AK1681" s="175" t="inlineStr">
        <is>
          <t>Dispatch type (cg = coal or gas, filled by the logit; fixed = capacity x capacity factor)</t>
        </is>
      </c>
      <c r="AL1681" s="175" t="inlineStr">
        <is>
          <t>Planned retirement data used? (Yes / No; data rows PowerPaths pret|&lt;type&gt;)</t>
        </is>
      </c>
      <c r="AM1681" s="175" t="inlineStr">
        <is>
          <t>Planned retirement used (1 / 0)</t>
        </is>
      </c>
      <c r="AN1681" s="175" t="inlineStr">
        <is>
          <t>Coal or gas (1 / 0)</t>
        </is>
      </c>
      <c r="AO1681" s="175" t="inlineStr">
        <is>
          <t>Early-retirement type: coal (1 / 0)</t>
        </is>
      </c>
      <c r="AP1681" s="175" t="inlineStr">
        <is>
          <t>Nameplate MW per effective MW (1 / capacity factor)</t>
        </is>
      </c>
      <c r="AQ1681" s="175" t="inlineStr">
        <is>
          <t>Base-year generation share</t>
        </is>
      </c>
      <c r="AR1681" s="175" t="inlineStr">
        <is>
          <t>Fuel use per generation: 8.76 / GWh per ktoe / efficiency (ktoe per MWy)</t>
        </is>
      </c>
      <c r="AS1681" s="175" t="inlineStr">
        <is>
          <t>CO2 per fuel use: EF x PJ per ktoe (MtCO2 per ktoe)</t>
        </is>
      </c>
      <c r="AT1681" s="175" t="inlineStr">
        <is>
          <t>Tie breaker for the cost ranking (legacy L11)</t>
        </is>
      </c>
      <c r="AU1681" s="175" t="inlineStr">
        <is>
          <t>Row of pow | fuel in the existing carbon pricing tables (Inputs_ecp; 1 = none, without a fuel; v0.4.12)</t>
        </is>
      </c>
      <c r="AV1681" s="175" t="inlineStr">
        <is>
          <t>Existing carbon pricing embedded in the price data ($/tCO2 real; v0.4.12)</t>
        </is>
      </c>
      <c r="AW1681" s="175" t="inlineStr">
        <is>
          <t>Fuel of the sector model (1 / 0): its fuel use counts in the fuel totals (section 11)</t>
        </is>
      </c>
      <c r="AX1681" s="175" t="inlineStr">
        <is>
          <t>Capacity factor, actual (base-year output / installed capacity; 0 without capacity data)</t>
        </is>
      </c>
      <c r="AY1681" s="175" t="inlineStr">
        <is>
          <t>Capacity factor of the studies (Power column E)</t>
        </is>
      </c>
      <c r="AZ1681" s="175" t="inlineStr">
        <is>
          <t>Wind or solar (1 / 0): lower capacity-factor bound CFOverrideIfBelowWndSol; scale-up rate of wind and solar</t>
        </is>
      </c>
      <c r="BA1681" s="175" t="inlineStr">
        <is>
          <t>Efficiency, actual (base-year output / input; -1 without input)</t>
        </is>
      </c>
      <c r="BB1681" s="175" t="inlineStr">
        <is>
          <t>Efficiency of the studies (Power column G; 1 for wind, solar, hydro, other renewables)</t>
        </is>
      </c>
      <c r="BC1681" s="175" t="inlineStr">
        <is>
          <t>WACC, option Country* (country WACC + coal premium)</t>
        </is>
      </c>
      <c r="BD1681" s="175" t="inlineStr">
        <is>
          <t>WACC, option Tech (country WACC + technology premium)</t>
        </is>
      </c>
      <c r="BE1681" s="175" t="inlineStr">
        <is>
          <t>WACC of the studies (Power column J)</t>
        </is>
      </c>
      <c r="BF1681" s="175" t="inlineStr">
        <is>
          <t>1 / lifetime</t>
        </is>
      </c>
      <c r="BG1681" s="175" t="inlineStr">
        <is>
          <t>Decommissioning cost / lifetime + fixed opex ($/kW/y)</t>
        </is>
      </c>
      <c r="BH1681" s="175" t="inlineStr">
        <is>
          <t>Decommissioning cost + transmission capex ($/kW)</t>
        </is>
      </c>
      <c r="BI1681" s="175" t="inlineStr">
        <is>
          <t>Fixed opex ($/kW/y)</t>
        </is>
      </c>
      <c r="BJ1681" s="175" t="inlineStr">
        <is>
          <t>Has a price fuel (1 / 0)</t>
        </is>
      </c>
      <c r="BK1681" s="175" t="inlineStr">
        <is>
          <t>Fuel use per generation x efficiency: 8.76 / GWh per ktoe (ktoe per MWy)</t>
        </is>
      </c>
      <c r="BL1681" s="175" t="inlineStr">
        <is>
          <t>Hydro (1 / 0)</t>
        </is>
      </c>
      <c r="BM1681" s="175" t="inlineStr">
        <is>
          <t>Gas (1 / 0)</t>
        </is>
      </c>
      <c r="BN1681" s="175" t="inlineStr">
        <is>
          <t>Position of the type (legacy order; MTInputs rows 395-413)</t>
        </is>
      </c>
      <c r="BO1681" s="175" t="inlineStr">
        <is>
          <t>Scale-up group coal, gas, hydro (1 / 0; MaxNonVREAsPCOfTotalGen)</t>
        </is>
      </c>
      <c r="BP1681" s="175" t="inlineStr">
        <is>
          <t>Renewable subsidy applies: wind, solar, other renewables, biomass (1 / 0; hydro by switch)</t>
        </is>
      </c>
      <c r="BQ1681" s="175" t="inlineStr">
        <is>
          <t>Fuel input to power, base year (ktoe; Balances)</t>
        </is>
      </c>
      <c r="BR1681" s="175" t="inlineStr">
        <is>
          <t>Power output, base year (GWh; Balances)</t>
        </is>
      </c>
      <c r="BS1681" s="175" t="inlineStr">
        <is>
          <t>PM2.5 EF, base year (t/ktoe; power, sheet EF_PM)</t>
        </is>
      </c>
      <c r="BT1681" s="175" t="inlineStr">
        <is>
          <t>PM2.5 EF, EFEndYear (t/ktoe; power, sheet EF_PM)</t>
        </is>
      </c>
      <c r="BU1681" s="175" t="inlineStr">
        <is>
          <t>NOx EF, base year (t/ktoe; power, sheet EF_PM)</t>
        </is>
      </c>
      <c r="BV1681" s="175" t="inlineStr">
        <is>
          <t>NOx EF, EFEndYear (t/ktoe; power, sheet EF_PM)</t>
        </is>
      </c>
      <c r="BW1681" s="175" t="inlineStr">
        <is>
          <t>SO2 EF, base year (t/ktoe; power, sheet EF_PM)</t>
        </is>
      </c>
      <c r="BX1681" s="175" t="inlineStr">
        <is>
          <t>SO2 EF, EFEndYear (t/ktoe; power, sheet EF_PM)</t>
        </is>
      </c>
      <c r="BY1681" s="175" t="inlineStr">
        <is>
          <t>VOC EF, base year (t/ktoe; power, sheet EF_PM)</t>
        </is>
      </c>
      <c r="BZ1681" s="175" t="inlineStr">
        <is>
          <t>VOC EF, EFEndYear (t/ktoe; power, sheet EF_PM)</t>
        </is>
      </c>
      <c r="CA1681" s="175" t="inlineStr">
        <is>
          <t>Black carbon EF, base year (t/ktoe; power, sheet EF_PM)</t>
        </is>
      </c>
      <c r="CB1681" s="175" t="inlineStr">
        <is>
          <t>Black carbon EF, EFEndYear (t/ktoe; power, sheet EF_PM)</t>
        </is>
      </c>
      <c r="CC1681" s="175" t="inlineStr">
        <is>
          <t>Organic carbon EF, base year (t/ktoe; power, sheet EF_PM)</t>
        </is>
      </c>
      <c r="CD1681" s="175" t="inlineStr">
        <is>
          <t>Organic carbon EF, EFEndYear (t/ktoe; power, sheet EF_PM)</t>
        </is>
      </c>
      <c r="CE1681" s="175" t="inlineStr">
        <is>
          <t>CO EF, base year (t/ktoe; power, sheet EF_PM)</t>
        </is>
      </c>
      <c r="CF1681" s="175" t="inlineStr">
        <is>
          <t>CO EF, EFEndYear (t/ktoe; power, sheet EF_PM)</t>
        </is>
      </c>
    </row>
    <row r="1682">
      <c r="A1682" s="235" t="inlineStr">
        <is>
          <t>coa</t>
        </is>
      </c>
      <c r="B1682" s="236" t="str">
        <f>INDEX(PTechVal,MATCH(CtryCode&amp;"|"&amp;$A1682,PTechKey,0),MATCH("name",PTechHdr,0))&amp;""</f>
        <v>Coal</v>
      </c>
      <c r="C1682" s="195">
        <f>INDEX(PTechVal,MATCH(CtryCode&amp;"|"&amp;$A1682,PTechKey,0),MATCH("cax0_usd_per_kw",PTechHdr,0))</f>
        <v>2000.0</v>
      </c>
      <c r="D1682" s="39">
        <f>INDEX(PTechVal,MATCH(CtryCode&amp;"|"&amp;$A1682,PTechKey,0),MATCH("life_years",PTechHdr,0))</f>
        <v>30.0</v>
      </c>
      <c r="E1682" s="196">
        <f>INDEX(PTechVal,MATCH(CtryCode&amp;"|"&amp;$A1682,PTechKey,0),MATCH("efficiency",PTechHdr,0))</f>
        <v>0.343544952131212</v>
      </c>
      <c r="F1682" s="196">
        <f>INDEX(PTechVal,MATCH(CtryCode&amp;"|"&amp;$A1682,PTechKey,0),MATCH("capacity_factor",PTechHdr,0))</f>
        <v>0.535</v>
      </c>
      <c r="G1682" s="225">
        <f>INDEX(PTechVal,MATCH(CtryCode&amp;"|"&amp;$A1682,PTechKey,0),MATCH("wacc",PTechHdr,0))</f>
        <v>0.12412642998297449</v>
      </c>
      <c r="H1682" s="236">
        <f>INDEX(PTechVal,MATCH(CtryCode&amp;"|"&amp;$A1682,PTechKey,0),MATCH("dtc_usd_per_kw",PTechHdr,0))</f>
        <v>100.0</v>
      </c>
      <c r="I1682" s="236">
        <f>INDEX(PTechVal,MATCH(CtryCode&amp;"|"&amp;$A1682,PTechKey,0),MATCH("tcx_usd_per_kw",PTechHdr,0))</f>
        <v>597.4741012144968</v>
      </c>
      <c r="J1682" s="236">
        <f>INDEX(PTechVal,MATCH(CtryCode&amp;"|"&amp;$A1682,PTechKey,0),MATCH("opf_usd_per_kwh",PTechHdr,0))</f>
        <v>0.012802458071949813</v>
      </c>
      <c r="K1682" s="236">
        <f>INDEX(PTechVal,MATCH(CtryCode&amp;"|"&amp;$A1682,PTechKey,0),MATCH("vop_usd_per_kwh",PTechHdr,0))</f>
        <v>0.003</v>
      </c>
      <c r="L1682" s="236">
        <f>INDEX(PTechVal,MATCH(CtryCode&amp;"|"&amp;$A1682,PTechKey,0),MATCH("fuel_fixed_usd_per_kwh",PTechHdr,0))</f>
        <v>0.0</v>
      </c>
      <c r="M1682" s="236">
        <f>INDEX(PTechVal,MATCH(CtryCode&amp;"|"&amp;$A1682,PTechKey,0),MATCH("rns_usd_per_kwh",PTechHdr,0))</f>
        <v>0.0</v>
      </c>
      <c r="N1682" s="236" t="str">
        <f>INDEX(PTechVal,MATCH(CtryCode&amp;"|"&amp;$A1682,PTechKey,0),MATCH("price_code",PTechHdr,0))&amp;""</f>
        <v>coa.pow</v>
      </c>
      <c r="O1682" s="39">
        <f>INDEX(PTechVal,MATCH(CtryCode&amp;"|"&amp;$A1682,PTechKey,0),MATCH("vre",PTechHdr,0))</f>
        <v>0.0</v>
      </c>
      <c r="P1682" s="39">
        <f>INDEX(PTechVal,MATCH(CtryCode&amp;"|"&amp;$A1682,PTechKey,0),MATCH("vre_share",PTechHdr,0))</f>
        <v>0.0</v>
      </c>
      <c r="Q1682" s="196">
        <f>(1-(1+$G1682)^-$D1682)/(1-(1+$G1682)^-1)</f>
        <v>8.78559704396948</v>
      </c>
      <c r="R1682" s="236">
        <f>(1/$D1682+$G1682*CapAvgShr)/($F1682*HoursYr)</f>
        <v>2.035517183562083e-05</v>
      </c>
      <c r="S1682" s="236">
        <f>$H1682/$D1682/($F1682*HoursYr)+$J1682</f>
        <v>0.013513705742613692</v>
      </c>
      <c r="T1682" s="236">
        <f>1/($F1682*HoursYr*$Q1682)</f>
        <v>2.4286829925306644e-05</v>
      </c>
      <c r="U1682" s="236">
        <f>($H1682+$I1682)*$T1682+$J1682+$M1682</f>
        <v>0.02974189294545241</v>
      </c>
      <c r="V1682" s="236">
        <f>$K1682+$L1682</f>
        <v>0.003</v>
      </c>
      <c r="W1682" s="236">
        <f>IF($N1682="",0,GJperkWh/$E1682)</f>
        <v>0.0104789780134072</v>
      </c>
      <c r="X1682" s="39">
        <f>IF($N1682="",1,INDEX('Constants and Mappings'!$E$1633:$E$1644,MATCH($N1682,'Constants and Mappings'!$A$1633:$A$1644,0)))</f>
        <v>1.0</v>
      </c>
      <c r="Y1682" s="236">
        <f>IFERROR(INDEX(EFSel,MATCH($A1682&amp;"|pow",EFSelKey,0)),0)*EFCalib</f>
        <v>0.09388742715307763</v>
      </c>
      <c r="Z1682" s="236">
        <f>$Y1682*$W1682</f>
        <v>0.0009838442848724707</v>
      </c>
      <c r="AA1682" s="39">
        <f>IF($N1682="",1,INDEX('Constants and Mappings'!$H$229:$H$237,MATCH($A1682,FuelKey,0)))</f>
        <v>1.0</v>
      </c>
      <c r="AB1682" s="39">
        <f>IF($N1682="",1,INDEX('Constants and Mappings'!$E$300:$E$313,MATCH($N1682,'Constants and Mappings'!$A$300:$A$313,0)))</f>
        <v>1.0</v>
      </c>
      <c r="AC1682" s="48">
        <f>IF($N1682="",1,INDEX('Constants and Mappings'!$G$229:$G$237,MATCH($A1682,FuelKey,0)))</f>
        <v>1.0</v>
      </c>
      <c r="AD1682" s="236">
        <f>$W1682/$AC1682</f>
        <v>0.0104789780134072</v>
      </c>
      <c r="AE1682" s="109">
        <f>INDEX(PTechVal,MATCH(CtryCode&amp;"|"&amp;$A1682,PTechKey,0),MATCH("cap0_mw",PTechHdr,0))</f>
        <v>0.0</v>
      </c>
      <c r="AF1682" s="109">
        <f>INDEX(PTechVal,MATCH(CtryCode&amp;"|"&amp;$A1682,PTechKey,0),MATCH("gen0_mwy",PTechHdr,0))</f>
        <v>0.0</v>
      </c>
      <c r="AG1682" s="236">
        <f>INDEX(PTechVal,MATCH(CtryCode&amp;"|"&amp;$A1682,PTechKey,0),MATCH("retire_rate",PTechHdr,0))</f>
        <v>0.03333333333333333</v>
      </c>
      <c r="AH1682" s="71" t="str">
        <f>INDEX(PTechVal,MATCH(CtryCode&amp;"|"&amp;$A1682,PTechKey,0),MATCH("invest_permitted",PTechHdr,0))&amp;""</f>
        <v>No</v>
      </c>
      <c r="AI1682" s="39">
        <f>INDEX(PTechVal,MATCH(CtryCode&amp;"|"&amp;$A1682,PTechKey,0),MATCH("invest_start",PTechHdr,0))</f>
        <v>2022.0</v>
      </c>
      <c r="AJ1682" s="225">
        <f>INDEX(PTechVal,MATCH(CtryCode&amp;"|"&amp;$A1682,PTechKey,0),MATCH("scaleup_rate",PTechHdr,0))</f>
        <v>0.05</v>
      </c>
      <c r="AK1682" s="71" t="str">
        <f>INDEX(PTechVal,MATCH(CtryCode&amp;"|"&amp;$A1682,PTechKey,0),MATCH("dispatch",PTechHdr,0))&amp;""</f>
        <v>cg</v>
      </c>
      <c r="AL1682" s="71" t="str">
        <f>INDEX(PTechVal,MATCH(CtryCode&amp;"|"&amp;$A1682,PTechKey,0),MATCH("planned_retirement",PTechHdr,0))&amp;""</f>
        <v>No</v>
      </c>
      <c r="AM1682" s="39">
        <f>IF($AL1682="Yes",1,0)</f>
        <v>0.0</v>
      </c>
      <c r="AN1682" s="39">
        <f>IF($AK1682="cg",1,0)</f>
        <v>1.0</v>
      </c>
      <c r="AO1682" s="39">
        <f>IF($A1682="coa",1,0)</f>
        <v>1.0</v>
      </c>
      <c r="AP1682" s="236">
        <f>1/$F1682</f>
        <v>1.8691588785046729</v>
      </c>
      <c r="AQ1682" s="225">
        <f>$AF1682/SUM($AF$1682:$AF$1690)</f>
        <v>0.0</v>
      </c>
      <c r="AR1682" s="236">
        <f>MWyMkWh/INDEX(PParVal,MATCH(CtryCode&amp;"|ktoe_gwh",PParKey,0))/$E1682</f>
        <v>2.192506147832404</v>
      </c>
      <c r="AS1682" s="236">
        <f>$Y1682*'Constants and Mappings'!$C$13</f>
        <v>0.003930878800045054</v>
      </c>
      <c r="AT1682" s="237">
        <f>(MATCH($A1682,$A$1682:$A$1690,0)-1)*TieBreak</f>
        <v>0.0</v>
      </c>
      <c r="AU1682" s="39">
        <f>IFERROR(MATCH("pow|"&amp;$A1682,XKey,0),1)</f>
        <v>2.0</v>
      </c>
      <c r="AV1682" s="48">
        <f>INDEX(XCTVal,$AU1682,ECPEmb)+INDEX(XETSVal,$AU1682,ECPEmb)</f>
        <v>0.0</v>
      </c>
      <c r="AW1682" s="39">
        <f>IF(ISNUMBER(MATCH($A1682,FuelKey,0)),1,0)</f>
        <v>1.0</v>
      </c>
      <c r="AX1682" s="236">
        <f>'Constants and Mappings'!$AT$2269</f>
        <v>0.0</v>
      </c>
      <c r="AY1682" s="236">
        <f>'Constants and Mappings'!$AR$2269</f>
        <v>0.535</v>
      </c>
      <c r="AZ1682" s="236">
        <f>IF(OR($A1682="wnd",$A1682="sol"),1,0)</f>
        <v>0.0</v>
      </c>
      <c r="BA1682" s="236">
        <f>IFERROR($BR1682/($BQ1682*KtoeGWh),-1)</f>
        <v>-1.0</v>
      </c>
      <c r="BB1682" s="236">
        <f>'Constants and Mappings'!$AJ$2269</f>
        <v>0.343544952131212</v>
      </c>
      <c r="BC1682" s="236">
        <f>PsCtryWacc+PsCoalAdj</f>
        <v>0.12412642998297449</v>
      </c>
      <c r="BD1682" s="236">
        <f>PsCtryWacc+'Constants and Mappings'!$AL$2269</f>
        <v>0.12412642998297449</v>
      </c>
      <c r="BE1682" s="236">
        <f>'Constants and Mappings'!$AQ$2269</f>
        <v>0.0803901819761905</v>
      </c>
      <c r="BF1682" s="236">
        <f>1/$D1682</f>
        <v>0.03333333333333333</v>
      </c>
      <c r="BG1682" s="236">
        <f>$H1682/$D1682+$BI1682</f>
        <v>63.333333333333336</v>
      </c>
      <c r="BH1682" s="236">
        <f>$H1682+$I1682*TrCostShare</f>
        <v>697.4741012144968</v>
      </c>
      <c r="BI1682" s="236">
        <f>'Constants and Mappings'!$AP$2269</f>
        <v>60.0</v>
      </c>
      <c r="BJ1682" s="236">
        <f>IF($N1682="",0,1)</f>
        <v>1.0</v>
      </c>
      <c r="BK1682" s="236">
        <f>MWyMkWh/INDEX(PParVal,MATCH(CtryCode&amp;"|ktoe_gwh",PParKey,0))</f>
        <v>0.7532244196044712</v>
      </c>
      <c r="BL1682" s="236">
        <f>IF($A1682="hyd",1,0)</f>
        <v>0.0</v>
      </c>
      <c r="BM1682" s="236">
        <f>IF($A1682="nga",1,0)</f>
        <v>0.0</v>
      </c>
      <c r="BN1682" s="236">
        <f>MATCH($A1682,$A$1682:$A$1690,0)</f>
        <v>1.0</v>
      </c>
      <c r="BO1682" s="236">
        <f>IF(OR($A1682="coa",$A1682="nga",$A1682="hyd"),1,0)</f>
        <v>1.0</v>
      </c>
      <c r="BP1682" s="236">
        <f>IF(OR($A1682="wnd",$A1682="sol",$A1682="ore",$A1682="bio"),1,0)</f>
        <v>0.0</v>
      </c>
      <c r="BQ1682" s="236">
        <f>'Constants and Mappings'!$AI$2269</f>
        <v>-0.0</v>
      </c>
      <c r="BR1682" s="236">
        <f>'Constants and Mappings'!$AH$2269</f>
        <v>0.0</v>
      </c>
      <c r="BS1682" s="236">
        <f>IFERROR(INDEX(NCEfIn,MATCH("pow."&amp;$A1682&amp;".pm2",NCEfKey,0)),0)</f>
        <v>0.417570498</v>
      </c>
      <c r="BT1682" s="236">
        <f>IFERROR(INDEX(NCEfFin,MATCH("pow."&amp;$A1682&amp;".pm2",NCEfKey,0)),0)</f>
        <v>0.3001642524</v>
      </c>
      <c r="BU1682" s="236">
        <f>IFERROR(INDEX(NCEfIn,MATCH("pow."&amp;$A1682&amp;".nox",NCEfKey,0)),0)</f>
        <v>6.120963435600001</v>
      </c>
      <c r="BV1682" s="236">
        <f>IFERROR(INDEX(NCEfFin,MATCH("pow."&amp;$A1682&amp;".nox",NCEfKey,0)),0)</f>
        <v>5.369847328800001</v>
      </c>
      <c r="BW1682" s="236">
        <f>IFERROR(INDEX(NCEfIn,MATCH("pow."&amp;$A1682&amp;".so2",NCEfKey,0)),0)</f>
        <v>24.6151727244</v>
      </c>
      <c r="BX1682" s="236">
        <f>IFERROR(INDEX(NCEfFin,MATCH("pow."&amp;$A1682&amp;".so2",NCEfKey,0)),0)</f>
        <v>23.6808631836</v>
      </c>
      <c r="BY1682" s="236">
        <f>IFERROR(INDEX(NCEfIn,MATCH("pow."&amp;$A1682&amp;".voc",NCEfKey,0)),0)</f>
        <v>0.0824297184</v>
      </c>
      <c r="BZ1682" s="236">
        <f>IFERROR(INDEX(NCEfFin,MATCH("pow."&amp;$A1682&amp;".voc",NCEfKey,0)),0)</f>
        <v>0.041868</v>
      </c>
      <c r="CA1682" s="236">
        <f>IFERROR(INDEX(NCEfIn,MATCH("pow."&amp;$A1682&amp;".bc",NCEfKey,0)),0)</f>
        <v>0.0027591012</v>
      </c>
      <c r="CB1682" s="236">
        <f>IFERROR(INDEX(NCEfFin,MATCH("pow."&amp;$A1682&amp;".bc",NCEfKey,0)),0)</f>
        <v>0.0021394548</v>
      </c>
      <c r="CC1682" s="236">
        <f>IFERROR(INDEX(NCEfIn,MATCH("pow."&amp;$A1682&amp;".oc",NCEfKey,0)),0)</f>
        <v>0.0015867972</v>
      </c>
      <c r="CD1682" s="236">
        <f>IFERROR(INDEX(NCEfFin,MATCH("pow."&amp;$A1682&amp;".oc",NCEfKey,0)),0)</f>
        <v>0.0010508868</v>
      </c>
      <c r="CE1682" s="236">
        <f>IFERROR(INDEX(NCEfIn,MATCH("pow."&amp;$A1682&amp;".co",NCEfKey,0)),0)</f>
        <v>0.286523658</v>
      </c>
      <c r="CF1682" s="236">
        <f>IFERROR(INDEX(NCEfFin,MATCH("pow."&amp;$A1682&amp;".co",NCEfKey,0)),0)</f>
        <v>0.2507348916</v>
      </c>
    </row>
    <row r="1683">
      <c r="A1683" s="235" t="inlineStr">
        <is>
          <t>nga</t>
        </is>
      </c>
      <c r="B1683" s="236" t="str">
        <f>INDEX(PTechVal,MATCH(CtryCode&amp;"|"&amp;$A1683,PTechKey,0),MATCH("name",PTechHdr,0))&amp;""</f>
        <v>Natural gas</v>
      </c>
      <c r="C1683" s="195">
        <f>INDEX(PTechVal,MATCH(CtryCode&amp;"|"&amp;$A1683,PTechKey,0),MATCH("cax0_usd_per_kw",PTechHdr,0))</f>
        <v>1304.195</v>
      </c>
      <c r="D1683" s="39">
        <f>INDEX(PTechVal,MATCH(CtryCode&amp;"|"&amp;$A1683,PTechKey,0),MATCH("life_years",PTechHdr,0))</f>
        <v>30.0</v>
      </c>
      <c r="E1683" s="196">
        <f>INDEX(PTechVal,MATCH(CtryCode&amp;"|"&amp;$A1683,PTechKey,0),MATCH("efficiency",PTechHdr,0))</f>
        <v>0.5053116804683168</v>
      </c>
      <c r="F1683" s="196">
        <f>INDEX(PTechVal,MATCH(CtryCode&amp;"|"&amp;$A1683,PTechKey,0),MATCH("capacity_factor",PTechHdr,0))</f>
        <v>0.3684141059975312</v>
      </c>
      <c r="G1683" s="225">
        <f>INDEX(PTechVal,MATCH(CtryCode&amp;"|"&amp;$A1683,PTechKey,0),MATCH("wacc",PTechHdr,0))</f>
        <v>0.12412642998297449</v>
      </c>
      <c r="H1683" s="236">
        <f>INDEX(PTechVal,MATCH(CtryCode&amp;"|"&amp;$A1683,PTechKey,0),MATCH("dtc_usd_per_kw",PTechHdr,0))</f>
        <v>13.04195</v>
      </c>
      <c r="I1683" s="236">
        <f>INDEX(PTechVal,MATCH(CtryCode&amp;"|"&amp;$A1683,PTechKey,0),MATCH("tcx_usd_per_kw",PTechHdr,0))</f>
        <v>382.1802368310642</v>
      </c>
      <c r="J1683" s="236">
        <f>INDEX(PTechVal,MATCH(CtryCode&amp;"|"&amp;$A1683,PTechKey,0),MATCH("opf_usd_per_kwh",PTechHdr,0))</f>
        <v>0.009930878702867242</v>
      </c>
      <c r="K1683" s="236">
        <f>INDEX(PTechVal,MATCH(CtryCode&amp;"|"&amp;$A1683,PTechKey,0),MATCH("vop_usd_per_kwh",PTechHdr,0))</f>
        <v>0.004</v>
      </c>
      <c r="L1683" s="236">
        <f>INDEX(PTechVal,MATCH(CtryCode&amp;"|"&amp;$A1683,PTechKey,0),MATCH("fuel_fixed_usd_per_kwh",PTechHdr,0))</f>
        <v>0.0</v>
      </c>
      <c r="M1683" s="236">
        <f>INDEX(PTechVal,MATCH(CtryCode&amp;"|"&amp;$A1683,PTechKey,0),MATCH("rns_usd_per_kwh",PTechHdr,0))</f>
        <v>0.0</v>
      </c>
      <c r="N1683" s="236" t="str">
        <f>INDEX(PTechVal,MATCH(CtryCode&amp;"|"&amp;$A1683,PTechKey,0),MATCH("price_code",PTechHdr,0))&amp;""</f>
        <v>nga.pow</v>
      </c>
      <c r="O1683" s="39">
        <f>INDEX(PTechVal,MATCH(CtryCode&amp;"|"&amp;$A1683,PTechKey,0),MATCH("vre",PTechHdr,0))</f>
        <v>0.0</v>
      </c>
      <c r="P1683" s="39">
        <f>INDEX(PTechVal,MATCH(CtryCode&amp;"|"&amp;$A1683,PTechKey,0),MATCH("vre_share",PTechHdr,0))</f>
        <v>0.0</v>
      </c>
      <c r="Q1683" s="196">
        <f>(1-(1+$G1683)^-$D1683)/(1-(1+$G1683)^-1)</f>
        <v>8.78559704396948</v>
      </c>
      <c r="R1683" s="236">
        <f>(1/$D1683+$G1683*CapAvgShr)/($F1683*HoursYr)</f>
        <v>2.9559174729672594e-05</v>
      </c>
      <c r="S1683" s="236">
        <f>$H1683/$D1683/($F1683*HoursYr)+$J1683</f>
        <v>0.01006558283547136</v>
      </c>
      <c r="T1683" s="236">
        <f>1/($F1683*HoursYr*$Q1683)</f>
        <v>3.526861159362374e-05</v>
      </c>
      <c r="U1683" s="236">
        <f>($H1683+$I1683)*$T1683+$J1683+$M1683</f>
        <v>0.02386981650339464</v>
      </c>
      <c r="V1683" s="236">
        <f>$K1683+$L1683</f>
        <v>0.004</v>
      </c>
      <c r="W1683" s="236">
        <f>IF($N1683="",0,GJperkWh/$E1683)</f>
        <v>0.007124315821600568</v>
      </c>
      <c r="X1683" s="39">
        <f>IF($N1683="",1,INDEX('Constants and Mappings'!$E$1633:$E$1644,MATCH($N1683,'Constants and Mappings'!$A$1633:$A$1644,0)))</f>
        <v>84.0</v>
      </c>
      <c r="Y1683" s="236">
        <f>IFERROR(INDEX(EFSel,MATCH($A1683&amp;"|pow",EFSelKey,0)),0)*EFCalib</f>
        <v>0.05555115616004721</v>
      </c>
      <c r="Z1683" s="236">
        <f>$Y1683*$W1683</f>
        <v>0.0003957639807392282</v>
      </c>
      <c r="AA1683" s="39">
        <f>IF($N1683="",1,INDEX('Constants and Mappings'!$H$229:$H$237,MATCH($A1683,FuelKey,0)))</f>
        <v>2.0</v>
      </c>
      <c r="AB1683" s="39">
        <f>IF($N1683="",1,INDEX('Constants and Mappings'!$E$300:$E$313,MATCH($N1683,'Constants and Mappings'!$A$300:$A$313,0)))</f>
        <v>4.0</v>
      </c>
      <c r="AC1683" s="48">
        <f>IF($N1683="",1,INDEX('Constants and Mappings'!$G$229:$G$237,MATCH($A1683,FuelKey,0)))</f>
        <v>1.0</v>
      </c>
      <c r="AD1683" s="236">
        <f>$W1683/$AC1683</f>
        <v>0.007124315821600568</v>
      </c>
      <c r="AE1683" s="109">
        <f>INDEX(PTechVal,MATCH(CtryCode&amp;"|"&amp;$A1683,PTechKey,0),MATCH("cap0_mw",PTechHdr,0))</f>
        <v>52020.2</v>
      </c>
      <c r="AF1683" s="109">
        <f>INDEX(PTechVal,MATCH(CtryCode&amp;"|"&amp;$A1683,PTechKey,0),MATCH("gen0_mwy",PTechHdr,0))</f>
        <v>19164.97547681277</v>
      </c>
      <c r="AG1683" s="236">
        <f>INDEX(PTechVal,MATCH(CtryCode&amp;"|"&amp;$A1683,PTechKey,0),MATCH("retire_rate",PTechHdr,0))</f>
        <v>0.03333333333333333</v>
      </c>
      <c r="AH1683" s="71" t="str">
        <f>INDEX(PTechVal,MATCH(CtryCode&amp;"|"&amp;$A1683,PTechKey,0),MATCH("invest_permitted",PTechHdr,0))&amp;""</f>
        <v>Yes</v>
      </c>
      <c r="AI1683" s="39">
        <f>INDEX(PTechVal,MATCH(CtryCode&amp;"|"&amp;$A1683,PTechKey,0),MATCH("invest_start",PTechHdr,0))</f>
        <v>2022.0</v>
      </c>
      <c r="AJ1683" s="225">
        <f>INDEX(PTechVal,MATCH(CtryCode&amp;"|"&amp;$A1683,PTechKey,0),MATCH("scaleup_rate",PTechHdr,0))</f>
        <v>0.05</v>
      </c>
      <c r="AK1683" s="71" t="str">
        <f>INDEX(PTechVal,MATCH(CtryCode&amp;"|"&amp;$A1683,PTechKey,0),MATCH("dispatch",PTechHdr,0))&amp;""</f>
        <v>cg</v>
      </c>
      <c r="AL1683" s="71" t="str">
        <f>INDEX(PTechVal,MATCH(CtryCode&amp;"|"&amp;$A1683,PTechKey,0),MATCH("planned_retirement",PTechHdr,0))&amp;""</f>
        <v>No</v>
      </c>
      <c r="AM1683" s="39">
        <f>IF($AL1683="Yes",1,0)</f>
        <v>0.0</v>
      </c>
      <c r="AN1683" s="39">
        <f>IF($AK1683="cg",1,0)</f>
        <v>1.0</v>
      </c>
      <c r="AO1683" s="39">
        <f>IF($A1683="coa",1,0)</f>
        <v>0.0</v>
      </c>
      <c r="AP1683" s="236">
        <f>1/$F1683</f>
        <v>2.7143368935137926</v>
      </c>
      <c r="AQ1683" s="225">
        <f>$AF1683/SUM($AF$1682:$AF$1690)</f>
        <v>0.7921871427589889</v>
      </c>
      <c r="AR1683" s="236">
        <f>MWyMkWh/INDEX(PParVal,MATCH(CtryCode&amp;"|ktoe_gwh",PParKey,0))/$E1683</f>
        <v>1.4906135138344554</v>
      </c>
      <c r="AS1683" s="236">
        <f>$Y1683*'Constants and Mappings'!$C$13</f>
        <v>0.0023258158061088565</v>
      </c>
      <c r="AT1683" s="237">
        <f>(MATCH($A1683,$A$1682:$A$1690,0)-1)*TieBreak</f>
        <v>1.356e-06</v>
      </c>
      <c r="AU1683" s="39">
        <f>IFERROR(MATCH("pow|"&amp;$A1683,XKey,0),1)</f>
        <v>3.0</v>
      </c>
      <c r="AV1683" s="48">
        <f>INDEX(XCTVal,$AU1683,ECPEmb)+INDEX(XETSVal,$AU1683,ECPEmb)</f>
        <v>0.0</v>
      </c>
      <c r="AW1683" s="39">
        <f>IF(ISNUMBER(MATCH($A1683,FuelKey,0)),1,0)</f>
        <v>1.0</v>
      </c>
      <c r="AX1683" s="236">
        <f>'Constants and Mappings'!$AT$2270</f>
        <v>0.3684141059975312</v>
      </c>
      <c r="AY1683" s="236">
        <f>'Constants and Mappings'!$AR$2270</f>
        <v>0.566</v>
      </c>
      <c r="AZ1683" s="236">
        <f>IF(OR($A1683="wnd",$A1683="sol"),1,0)</f>
        <v>0.0</v>
      </c>
      <c r="BA1683" s="236">
        <f>IFERROR($BR1683/($BQ1683*KtoeGWh),-1)</f>
        <v>0.5053116804683168</v>
      </c>
      <c r="BB1683" s="236">
        <f>'Constants and Mappings'!$AJ$2270</f>
        <v>0.5940000000000001</v>
      </c>
      <c r="BC1683" s="236">
        <f>PsCtryWacc+PsCoalAdj</f>
        <v>0.12412642998297449</v>
      </c>
      <c r="BD1683" s="236">
        <f>PsCtryWacc+'Constants and Mappings'!$AL$2270</f>
        <v>0.12412642998297449</v>
      </c>
      <c r="BE1683" s="236">
        <f>'Constants and Mappings'!$AQ$2270</f>
        <v>0.077095375</v>
      </c>
      <c r="BF1683" s="236">
        <f>1/$D1683</f>
        <v>0.03333333333333333</v>
      </c>
      <c r="BG1683" s="236">
        <f>$H1683/$D1683+$BI1683</f>
        <v>32.48473166666666</v>
      </c>
      <c r="BH1683" s="236">
        <f>$H1683+$I1683*TrCostShare</f>
        <v>395.22218683106416</v>
      </c>
      <c r="BI1683" s="236">
        <f>'Constants and Mappings'!$AP$2270</f>
        <v>32.05</v>
      </c>
      <c r="BJ1683" s="236">
        <f>IF($N1683="",0,1)</f>
        <v>1.0</v>
      </c>
      <c r="BK1683" s="236">
        <f>MWyMkWh/INDEX(PParVal,MATCH(CtryCode&amp;"|ktoe_gwh",PParKey,0))</f>
        <v>0.7532244196044712</v>
      </c>
      <c r="BL1683" s="236">
        <f>IF($A1683="hyd",1,0)</f>
        <v>0.0</v>
      </c>
      <c r="BM1683" s="236">
        <f>IF($A1683="nga",1,0)</f>
        <v>1.0</v>
      </c>
      <c r="BN1683" s="236">
        <f>MATCH($A1683,$A$1682:$A$1690,0)</f>
        <v>2.0</v>
      </c>
      <c r="BO1683" s="236">
        <f>IF(OR($A1683="coa",$A1683="nga",$A1683="hyd"),1,0)</f>
        <v>1.0</v>
      </c>
      <c r="BP1683" s="236">
        <f>IF(OR($A1683="wnd",$A1683="sol",$A1683="ore",$A1683="bio"),1,0)</f>
        <v>0.0</v>
      </c>
      <c r="BQ1683" s="236">
        <f>'Constants and Mappings'!$AI$2270</f>
        <v>28567.57143804305</v>
      </c>
      <c r="BR1683" s="236">
        <f>'Constants and Mappings'!$AH$2270</f>
        <v>167885.1851768799</v>
      </c>
      <c r="BS1683" s="236">
        <f>IFERROR(INDEX(NCEfIn,MATCH("pow."&amp;$A1683&amp;".pm2",NCEfKey,0)),0)</f>
        <v>0.0041868</v>
      </c>
      <c r="BT1683" s="236">
        <f>IFERROR(INDEX(NCEfFin,MATCH("pow."&amp;$A1683&amp;".pm2",NCEfKey,0)),0)</f>
        <v>0.0041868</v>
      </c>
      <c r="BU1683" s="236">
        <f>IFERROR(INDEX(NCEfIn,MATCH("pow."&amp;$A1683&amp;".nox",NCEfKey,0)),0)</f>
        <v>3.2920850268</v>
      </c>
      <c r="BV1683" s="236">
        <f>IFERROR(INDEX(NCEfFin,MATCH("pow."&amp;$A1683&amp;".nox",NCEfKey,0)),0)</f>
        <v>2.9525606676</v>
      </c>
      <c r="BW1683" s="236">
        <f>IFERROR(INDEX(NCEfIn,MATCH("pow."&amp;$A1683&amp;".so2",NCEfKey,0)),0)</f>
        <v>0.0348886044</v>
      </c>
      <c r="BX1683" s="236">
        <f>IFERROR(INDEX(NCEfFin,MATCH("pow."&amp;$A1683&amp;".so2",NCEfKey,0)),0)</f>
        <v>0.0348886044</v>
      </c>
      <c r="BY1683" s="236">
        <f>IFERROR(INDEX(NCEfIn,MATCH("pow."&amp;$A1683&amp;".voc",NCEfKey,0)),0)</f>
        <v>0.0588371004</v>
      </c>
      <c r="BZ1683" s="236">
        <f>IFERROR(INDEX(NCEfFin,MATCH("pow."&amp;$A1683&amp;".voc",NCEfKey,0)),0)</f>
        <v>0.05600682360000001</v>
      </c>
      <c r="CA1683" s="236">
        <f>IFERROR(INDEX(NCEfIn,MATCH("pow."&amp;$A1683&amp;".bc",NCEfKey,0)),0)</f>
        <v>0.0002805156</v>
      </c>
      <c r="CB1683" s="236">
        <f>IFERROR(INDEX(NCEfFin,MATCH("pow."&amp;$A1683&amp;".bc",NCEfKey,0)),0)</f>
        <v>0.0002805156</v>
      </c>
      <c r="CC1683" s="236">
        <f>IFERROR(INDEX(NCEfIn,MATCH("pow."&amp;$A1683&amp;".oc",NCEfKey,0)),0)</f>
        <v>0.0031401</v>
      </c>
      <c r="CD1683" s="236">
        <f>IFERROR(INDEX(NCEfFin,MATCH("pow."&amp;$A1683&amp;".oc",NCEfKey,0)),0)</f>
        <v>0.0031401</v>
      </c>
      <c r="CE1683" s="236">
        <f>IFERROR(INDEX(NCEfIn,MATCH("pow."&amp;$A1683&amp;".co",NCEfKey,0)),0)</f>
        <v>0.5713851564</v>
      </c>
      <c r="CF1683" s="236">
        <f>IFERROR(INDEX(NCEfFin,MATCH("pow."&amp;$A1683&amp;".co",NCEfKey,0)),0)</f>
        <v>0.5459168520000001</v>
      </c>
    </row>
    <row r="1684">
      <c r="A1684" s="235" t="inlineStr">
        <is>
          <t>oop</t>
        </is>
      </c>
      <c r="B1684" s="236" t="str">
        <f>INDEX(PTechVal,MATCH(CtryCode&amp;"|"&amp;$A1684,PTechKey,0),MATCH("name",PTechHdr,0))&amp;""</f>
        <v>Oil</v>
      </c>
      <c r="C1684" s="195">
        <f>INDEX(PTechVal,MATCH(CtryCode&amp;"|"&amp;$A1684,PTechKey,0),MATCH("cax0_usd_per_kw",PTechHdr,0))</f>
        <v>1345.379975458794</v>
      </c>
      <c r="D1684" s="39">
        <f>INDEX(PTechVal,MATCH(CtryCode&amp;"|"&amp;$A1684,PTechKey,0),MATCH("life_years",PTechHdr,0))</f>
        <v>35.0</v>
      </c>
      <c r="E1684" s="196">
        <f>INDEX(PTechVal,MATCH(CtryCode&amp;"|"&amp;$A1684,PTechKey,0),MATCH("efficiency",PTechHdr,0))</f>
        <v>0.3381482353059179</v>
      </c>
      <c r="F1684" s="196">
        <f>INDEX(PTechVal,MATCH(CtryCode&amp;"|"&amp;$A1684,PTechKey,0),MATCH("capacity_factor",PTechHdr,0))</f>
        <v>0.134</v>
      </c>
      <c r="G1684" s="225">
        <f>INDEX(PTechVal,MATCH(CtryCode&amp;"|"&amp;$A1684,PTechKey,0),MATCH("wacc",PTechHdr,0))</f>
        <v>0.12412642998297449</v>
      </c>
      <c r="H1684" s="236">
        <f>INDEX(PTechVal,MATCH(CtryCode&amp;"|"&amp;$A1684,PTechKey,0),MATCH("dtc_usd_per_kw",PTechHdr,0))</f>
        <v>33.02104674720874</v>
      </c>
      <c r="I1684" s="236">
        <f>INDEX(PTechVal,MATCH(CtryCode&amp;"|"&amp;$A1684,PTechKey,0),MATCH("tcx_usd_per_kw",PTechHdr,0))</f>
        <v>447.8785505834557</v>
      </c>
      <c r="J1684" s="236">
        <f>INDEX(PTechVal,MATCH(CtryCode&amp;"|"&amp;$A1684,PTechKey,0),MATCH("opf_usd_per_kwh",PTechHdr,0))</f>
        <v>0.020041061814216585</v>
      </c>
      <c r="K1684" s="236">
        <f>INDEX(PTechVal,MATCH(CtryCode&amp;"|"&amp;$A1684,PTechKey,0),MATCH("vop_usd_per_kwh",PTechHdr,0))</f>
        <v>0.005169999999999999</v>
      </c>
      <c r="L1684" s="236">
        <f>INDEX(PTechVal,MATCH(CtryCode&amp;"|"&amp;$A1684,PTechKey,0),MATCH("fuel_fixed_usd_per_kwh",PTechHdr,0))</f>
        <v>0.0</v>
      </c>
      <c r="M1684" s="236">
        <f>INDEX(PTechVal,MATCH(CtryCode&amp;"|"&amp;$A1684,PTechKey,0),MATCH("rns_usd_per_kwh",PTechHdr,0))</f>
        <v>0.0</v>
      </c>
      <c r="N1684" s="236" t="str">
        <f>INDEX(PTechVal,MATCH(CtryCode&amp;"|"&amp;$A1684,PTechKey,0),MATCH("price_code",PTechHdr,0))&amp;""</f>
        <v>oop.all</v>
      </c>
      <c r="O1684" s="39">
        <f>INDEX(PTechVal,MATCH(CtryCode&amp;"|"&amp;$A1684,PTechKey,0),MATCH("vre",PTechHdr,0))</f>
        <v>0.0</v>
      </c>
      <c r="P1684" s="39">
        <f>INDEX(PTechVal,MATCH(CtryCode&amp;"|"&amp;$A1684,PTechKey,0),MATCH("vre_share",PTechHdr,0))</f>
        <v>0.0</v>
      </c>
      <c r="Q1684" s="196">
        <f>(1-(1+$G1684)^-$D1684)/(1-(1+$G1684)^-1)</f>
        <v>8.905495356010944</v>
      </c>
      <c r="R1684" s="236">
        <f>(1/$D1684+$G1684*CapAvgShr)/($F1684*HoursYr)</f>
        <v>7.721209326902798e-05</v>
      </c>
      <c r="S1684" s="236">
        <f>$H1684/$D1684/($F1684*HoursYr)+$J1684</f>
        <v>0.02084479867655871</v>
      </c>
      <c r="T1684" s="236">
        <f>1/($F1684*HoursYr*$Q1684)</f>
        <v>9.56605809344796e-05</v>
      </c>
      <c r="U1684" s="236">
        <f>($H1684+$I1684)*$T1684+$J1684+$M1684</f>
        <v>0.06604419666602526</v>
      </c>
      <c r="V1684" s="236">
        <f>$K1684+$L1684</f>
        <v>0.005169999999999999</v>
      </c>
      <c r="W1684" s="236">
        <f>IF($N1684="",0,GJperkWh/$E1684)</f>
        <v>0.010646218504565404</v>
      </c>
      <c r="X1684" s="39">
        <f>IF($N1684="",1,INDEX('Constants and Mappings'!$E$1633:$E$1644,MATCH($N1684,'Constants and Mappings'!$A$1633:$A$1644,0)))</f>
        <v>283.0</v>
      </c>
      <c r="Y1684" s="236">
        <f>IFERROR(INDEX(EFSel,MATCH($A1684&amp;"|pow",EFSelKey,0)),0)*EFCalib</f>
        <v>0.07635795120924052</v>
      </c>
      <c r="Z1684" s="236">
        <f>$Y1684*$W1684</f>
        <v>0.0008129234331345187</v>
      </c>
      <c r="AA1684" s="39">
        <f>IF($N1684="",1,INDEX('Constants and Mappings'!$H$229:$H$237,MATCH($A1684,FuelKey,0)))</f>
        <v>8.0</v>
      </c>
      <c r="AB1684" s="39">
        <f>IF($N1684="",1,INDEX('Constants and Mappings'!$E$300:$E$313,MATCH($N1684,'Constants and Mappings'!$A$300:$A$313,0)))</f>
        <v>13.0</v>
      </c>
      <c r="AC1684" s="48">
        <f>IF($N1684="",1,INDEX('Constants and Mappings'!$G$229:$G$237,MATCH($A1684,FuelKey,0)))</f>
        <v>6.12</v>
      </c>
      <c r="AD1684" s="236">
        <f>$W1684/$AC1684</f>
        <v>0.0017395781870204908</v>
      </c>
      <c r="AE1684" s="109">
        <f>INDEX(PTechVal,MATCH(CtryCode&amp;"|"&amp;$A1684,PTechKey,0),MATCH("cap0_mw",PTechHdr,0))</f>
        <v>15590.435318917458</v>
      </c>
      <c r="AF1684" s="109">
        <f>INDEX(PTechVal,MATCH(CtryCode&amp;"|"&amp;$A1684,PTechKey,0),MATCH("gen0_mwy",PTechHdr,0))</f>
        <v>2089.1183327349395</v>
      </c>
      <c r="AG1684" s="236">
        <f>INDEX(PTechVal,MATCH(CtryCode&amp;"|"&amp;$A1684,PTechKey,0),MATCH("retire_rate",PTechHdr,0))</f>
        <v>0.02857142857142857</v>
      </c>
      <c r="AH1684" s="71" t="str">
        <f>INDEX(PTechVal,MATCH(CtryCode&amp;"|"&amp;$A1684,PTechKey,0),MATCH("invest_permitted",PTechHdr,0))&amp;""</f>
        <v>Yes</v>
      </c>
      <c r="AI1684" s="39">
        <f>INDEX(PTechVal,MATCH(CtryCode&amp;"|"&amp;$A1684,PTechKey,0),MATCH("invest_start",PTechHdr,0))</f>
        <v>2022.0</v>
      </c>
      <c r="AJ1684" s="225">
        <f>INDEX(PTechVal,MATCH(CtryCode&amp;"|"&amp;$A1684,PTechKey,0),MATCH("scaleup_rate",PTechHdr,0))</f>
        <v>0.02</v>
      </c>
      <c r="AK1684" s="71" t="str">
        <f>INDEX(PTechVal,MATCH(CtryCode&amp;"|"&amp;$A1684,PTechKey,0),MATCH("dispatch",PTechHdr,0))&amp;""</f>
        <v>fixed</v>
      </c>
      <c r="AL1684" s="71" t="str">
        <f>INDEX(PTechVal,MATCH(CtryCode&amp;"|"&amp;$A1684,PTechKey,0),MATCH("planned_retirement",PTechHdr,0))&amp;""</f>
        <v>No</v>
      </c>
      <c r="AM1684" s="39">
        <f>IF($AL1684="Yes",1,0)</f>
        <v>0.0</v>
      </c>
      <c r="AN1684" s="39">
        <f>IF($AK1684="cg",1,0)</f>
        <v>0.0</v>
      </c>
      <c r="AO1684" s="39">
        <f>IF($A1684="coa",1,0)</f>
        <v>0.0</v>
      </c>
      <c r="AP1684" s="236">
        <f>1/$F1684</f>
        <v>7.462686567164178</v>
      </c>
      <c r="AQ1684" s="225">
        <f>$AF1684/SUM($AF$1682:$AF$1690)</f>
        <v>0.08635402037936468</v>
      </c>
      <c r="AR1684" s="236">
        <f>MWyMkWh/INDEX(PParVal,MATCH(CtryCode&amp;"|ktoe_gwh",PParKey,0))/$E1684</f>
        <v>2.227497709467683</v>
      </c>
      <c r="AS1684" s="236">
        <f>$Y1684*'Constants and Mappings'!$C$13</f>
        <v>0.0031969547012284825</v>
      </c>
      <c r="AT1684" s="237">
        <f>(MATCH($A1684,$A$1682:$A$1690,0)-1)*TieBreak</f>
        <v>2.712e-06</v>
      </c>
      <c r="AU1684" s="39">
        <f>IFERROR(MATCH("pow|"&amp;$A1684,XKey,0),1)</f>
        <v>9.0</v>
      </c>
      <c r="AV1684" s="48">
        <f>INDEX(XCTVal,$AU1684,ECPEmb)+INDEX(XETSVal,$AU1684,ECPEmb)</f>
        <v>0.0</v>
      </c>
      <c r="AW1684" s="39">
        <f>IF(ISNUMBER(MATCH($A1684,FuelKey,0)),1,0)</f>
        <v>1.0</v>
      </c>
      <c r="AX1684" s="236">
        <f>'Constants and Mappings'!$AT$2271</f>
        <v>1.571238216557566</v>
      </c>
      <c r="AY1684" s="236">
        <f>'Constants and Mappings'!$AR$2271</f>
        <v>0.134</v>
      </c>
      <c r="AZ1684" s="236">
        <f>IF(OR($A1684="wnd",$A1684="sol"),1,0)</f>
        <v>0.0</v>
      </c>
      <c r="BA1684" s="236">
        <f>IFERROR($BR1684/($BQ1684*KtoeGWh),-1)</f>
        <v>0.3381482353059179</v>
      </c>
      <c r="BB1684" s="236">
        <f>'Constants and Mappings'!$AJ$2271</f>
        <v>0.376603254164787</v>
      </c>
      <c r="BC1684" s="236">
        <f>PsCtryWacc+PsCoalAdj</f>
        <v>0.12412642998297449</v>
      </c>
      <c r="BD1684" s="236">
        <f>PsCtryWacc+'Constants and Mappings'!$AL$2271</f>
        <v>0.12412642998297449</v>
      </c>
      <c r="BE1684" s="236">
        <f>'Constants and Mappings'!$AQ$2271</f>
        <v>0.07757334375</v>
      </c>
      <c r="BF1684" s="236">
        <f>1/$D1684</f>
        <v>0.02857142857142857</v>
      </c>
      <c r="BG1684" s="236">
        <f>$H1684/$D1684+$BI1684</f>
        <v>24.468458478491677</v>
      </c>
      <c r="BH1684" s="236">
        <f>$H1684+$I1684*TrCostShare</f>
        <v>480.89959733066445</v>
      </c>
      <c r="BI1684" s="236">
        <f>'Constants and Mappings'!$AP$2271</f>
        <v>23.525</v>
      </c>
      <c r="BJ1684" s="236">
        <f>IF($N1684="",0,1)</f>
        <v>1.0</v>
      </c>
      <c r="BK1684" s="236">
        <f>MWyMkWh/INDEX(PParVal,MATCH(CtryCode&amp;"|ktoe_gwh",PParKey,0))</f>
        <v>0.7532244196044712</v>
      </c>
      <c r="BL1684" s="236">
        <f>IF($A1684="hyd",1,0)</f>
        <v>0.0</v>
      </c>
      <c r="BM1684" s="236">
        <f>IF($A1684="nga",1,0)</f>
        <v>0.0</v>
      </c>
      <c r="BN1684" s="236">
        <f>MATCH($A1684,$A$1682:$A$1690,0)</f>
        <v>3.0</v>
      </c>
      <c r="BO1684" s="236">
        <f>IF(OR($A1684="coa",$A1684="nga",$A1684="hyd"),1,0)</f>
        <v>0.0</v>
      </c>
      <c r="BP1684" s="236">
        <f>IF(OR($A1684="wnd",$A1684="sol",$A1684="ore",$A1684="bio"),1,0)</f>
        <v>0.0</v>
      </c>
      <c r="BQ1684" s="236">
        <f>'Constants and Mappings'!$AI$2271</f>
        <v>4653.506300974022</v>
      </c>
      <c r="BR1684" s="236">
        <f>'Constants and Mappings'!$AH$2271</f>
        <v>18300.67659475807</v>
      </c>
      <c r="BS1684" s="236">
        <f>IFERROR(INDEX(NCEfIn,MATCH("pow."&amp;$A1684&amp;".pm2",NCEfKey,0)),0)</f>
        <v>0.27256068</v>
      </c>
      <c r="BT1684" s="236">
        <f>IFERROR(INDEX(NCEfFin,MATCH("pow."&amp;$A1684&amp;".pm2",NCEfKey,0)),0)</f>
        <v>0.27256068</v>
      </c>
      <c r="BU1684" s="236">
        <f>IFERROR(INDEX(NCEfIn,MATCH("pow."&amp;$A1684&amp;".nox",NCEfKey,0)),0)</f>
        <v>4.5006802092</v>
      </c>
      <c r="BV1684" s="236">
        <f>IFERROR(INDEX(NCEfFin,MATCH("pow."&amp;$A1684&amp;".nox",NCEfKey,0)),0)</f>
        <v>4.3819718688</v>
      </c>
      <c r="BW1684" s="236">
        <f>IFERROR(INDEX(NCEfIn,MATCH("pow."&amp;$A1684&amp;".so2",NCEfKey,0)),0)</f>
        <v>32.96131569</v>
      </c>
      <c r="BX1684" s="236">
        <f>IFERROR(INDEX(NCEfFin,MATCH("pow."&amp;$A1684&amp;".so2",NCEfKey,0)),0)</f>
        <v>24.2312682852</v>
      </c>
      <c r="BY1684" s="236">
        <f>IFERROR(INDEX(NCEfIn,MATCH("pow."&amp;$A1684&amp;".voc",NCEfKey,0)),0)</f>
        <v>0.144486468</v>
      </c>
      <c r="BZ1684" s="236">
        <f>IFERROR(INDEX(NCEfFin,MATCH("pow."&amp;$A1684&amp;".voc",NCEfKey,0)),0)</f>
        <v>0.1042806276</v>
      </c>
      <c r="CA1684" s="236">
        <f>IFERROR(INDEX(NCEfIn,MATCH("pow."&amp;$A1684&amp;".bc",NCEfKey,0)),0)</f>
        <v>0.0265108176</v>
      </c>
      <c r="CB1684" s="236">
        <f>IFERROR(INDEX(NCEfFin,MATCH("pow."&amp;$A1684&amp;".bc",NCEfKey,0)),0)</f>
        <v>0.0265108176</v>
      </c>
      <c r="CC1684" s="236">
        <f>IFERROR(INDEX(NCEfIn,MATCH("pow."&amp;$A1684&amp;".oc",NCEfKey,0)),0)</f>
        <v>0.0110992068</v>
      </c>
      <c r="CD1684" s="236">
        <f>IFERROR(INDEX(NCEfFin,MATCH("pow."&amp;$A1684&amp;".oc",NCEfKey,0)),0)</f>
        <v>0.0110992068</v>
      </c>
      <c r="CE1684" s="236">
        <f>IFERROR(INDEX(NCEfIn,MATCH("pow."&amp;$A1684&amp;".co",NCEfKey,0)),0)</f>
        <v>0.5199335712</v>
      </c>
      <c r="CF1684" s="236">
        <f>IFERROR(INDEX(NCEfFin,MATCH("pow."&amp;$A1684&amp;".co",NCEfKey,0)),0)</f>
        <v>0.4529196504</v>
      </c>
    </row>
    <row r="1685">
      <c r="A1685" s="235" t="inlineStr">
        <is>
          <t>nuc</t>
        </is>
      </c>
      <c r="B1685" s="236" t="str">
        <f>INDEX(PTechVal,MATCH(CtryCode&amp;"|"&amp;$A1685,PTechKey,0),MATCH("name",PTechHdr,0))&amp;""</f>
        <v>Nuclear</v>
      </c>
      <c r="C1685" s="195">
        <f>INDEX(PTechVal,MATCH(CtryCode&amp;"|"&amp;$A1685,PTechKey,0),MATCH("cax0_usd_per_kw",PTechHdr,0))</f>
        <v>4000.0</v>
      </c>
      <c r="D1685" s="39">
        <f>INDEX(PTechVal,MATCH(CtryCode&amp;"|"&amp;$A1685,PTechKey,0),MATCH("life_years",PTechHdr,0))</f>
        <v>50.0</v>
      </c>
      <c r="E1685" s="196">
        <f>INDEX(PTechVal,MATCH(CtryCode&amp;"|"&amp;$A1685,PTechKey,0),MATCH("efficiency",PTechHdr,0))</f>
        <v>0.38</v>
      </c>
      <c r="F1685" s="196">
        <f>INDEX(PTechVal,MATCH(CtryCode&amp;"|"&amp;$A1685,PTechKey,0),MATCH("capacity_factor",PTechHdr,0))</f>
        <v>0.934</v>
      </c>
      <c r="G1685" s="225">
        <f>INDEX(PTechVal,MATCH(CtryCode&amp;"|"&amp;$A1685,PTechKey,0),MATCH("wacc",PTechHdr,0))</f>
        <v>0.12672642998297448</v>
      </c>
      <c r="H1685" s="236">
        <f>INDEX(PTechVal,MATCH(CtryCode&amp;"|"&amp;$A1685,PTechKey,0),MATCH("dtc_usd_per_kw",PTechHdr,0))</f>
        <v>532.133695004996</v>
      </c>
      <c r="I1685" s="236">
        <f>INDEX(PTechVal,MATCH(CtryCode&amp;"|"&amp;$A1685,PTechKey,0),MATCH("tcx_usd_per_kw",PTechHdr,0))</f>
        <v>449.4263412886648</v>
      </c>
      <c r="J1685" s="236">
        <f>INDEX(PTechVal,MATCH(CtryCode&amp;"|"&amp;$A1685,PTechKey,0),MATCH("opf_usd_per_kwh",PTechHdr,0))</f>
        <v>0.018333284444574813</v>
      </c>
      <c r="K1685" s="236">
        <f>INDEX(PTechVal,MATCH(CtryCode&amp;"|"&amp;$A1685,PTechKey,0),MATCH("vop_usd_per_kwh",PTechHdr,0))</f>
        <v>0.004</v>
      </c>
      <c r="L1685" s="236">
        <f>INDEX(PTechVal,MATCH(CtryCode&amp;"|"&amp;$A1685,PTechKey,0),MATCH("fuel_fixed_usd_per_kwh",PTechHdr,0))</f>
        <v>0.004</v>
      </c>
      <c r="M1685" s="236">
        <f>INDEX(PTechVal,MATCH(CtryCode&amp;"|"&amp;$A1685,PTechKey,0),MATCH("rns_usd_per_kwh",PTechHdr,0))</f>
        <v>0.0</v>
      </c>
      <c r="N1685" s="236" t="str">
        <f>INDEX(PTechVal,MATCH(CtryCode&amp;"|"&amp;$A1685,PTechKey,0),MATCH("price_code",PTechHdr,0))&amp;""</f>
        <v/>
      </c>
      <c r="O1685" s="39">
        <f>INDEX(PTechVal,MATCH(CtryCode&amp;"|"&amp;$A1685,PTechKey,0),MATCH("vre",PTechHdr,0))</f>
        <v>0.0</v>
      </c>
      <c r="P1685" s="39">
        <f>INDEX(PTechVal,MATCH(CtryCode&amp;"|"&amp;$A1685,PTechKey,0),MATCH("vre_share",PTechHdr,0))</f>
        <v>0.0</v>
      </c>
      <c r="Q1685" s="196">
        <f>(1-(1+$G1685)^-$D1685)/(1-(1+$G1685)^-1)</f>
        <v>8.868208889851518</v>
      </c>
      <c r="R1685" s="236">
        <f>(1/$D1685+$G1685*CapAvgShr)/($F1685*HoursYr)</f>
        <v>1.0188810217687861e-05</v>
      </c>
      <c r="S1685" s="236">
        <f>$H1685/$D1685/($F1685*HoursYr)+$J1685</f>
        <v>0.019634052230317375</v>
      </c>
      <c r="T1685" s="236">
        <f>1/($F1685*HoursYr*$Q1685)</f>
        <v>1.3782027218261863e-05</v>
      </c>
      <c r="U1685" s="236">
        <f>($H1685+$I1685)*$T1685+$J1685+$M1685</f>
        <v>0.03186117158113215</v>
      </c>
      <c r="V1685" s="236">
        <f>$K1685+$L1685</f>
        <v>0.008</v>
      </c>
      <c r="W1685" s="236">
        <f>IF($N1685="",0,GJperkWh/$E1685)</f>
        <v>0.0</v>
      </c>
      <c r="X1685" s="39">
        <f>IF($N1685="",1,INDEX('Constants and Mappings'!$E$1633:$E$1644,MATCH($N1685,'Constants and Mappings'!$A$1633:$A$1644,0)))</f>
        <v>1.0</v>
      </c>
      <c r="Y1685" s="236">
        <f>IFERROR(INDEX(EFSel,MATCH($A1685&amp;"|pow",EFSelKey,0)),0)*EFCalib</f>
        <v>0.0</v>
      </c>
      <c r="Z1685" s="236">
        <f>$Y1685*$W1685</f>
        <v>0.0</v>
      </c>
      <c r="AA1685" s="39">
        <f>IF($N1685="",1,INDEX('Constants and Mappings'!$H$229:$H$237,MATCH($A1685,FuelKey,0)))</f>
        <v>1.0</v>
      </c>
      <c r="AB1685" s="39">
        <f>IF($N1685="",1,INDEX('Constants and Mappings'!$E$300:$E$313,MATCH($N1685,'Constants and Mappings'!$A$300:$A$313,0)))</f>
        <v>1.0</v>
      </c>
      <c r="AC1685" s="48">
        <f>IF($N1685="",1,INDEX('Constants and Mappings'!$G$229:$G$237,MATCH($A1685,FuelKey,0)))</f>
        <v>1.0</v>
      </c>
      <c r="AD1685" s="236">
        <f>$W1685/$AC1685</f>
        <v>0.0</v>
      </c>
      <c r="AE1685" s="109">
        <f>INDEX(PTechVal,MATCH(CtryCode&amp;"|"&amp;$A1685,PTechKey,0),MATCH("cap0_mw",PTechHdr,0))</f>
        <v>0.0</v>
      </c>
      <c r="AF1685" s="109">
        <f>INDEX(PTechVal,MATCH(CtryCode&amp;"|"&amp;$A1685,PTechKey,0),MATCH("gen0_mwy",PTechHdr,0))</f>
        <v>0.0</v>
      </c>
      <c r="AG1685" s="236">
        <f>INDEX(PTechVal,MATCH(CtryCode&amp;"|"&amp;$A1685,PTechKey,0),MATCH("retire_rate",PTechHdr,0))</f>
        <v>0.02</v>
      </c>
      <c r="AH1685" s="71" t="str">
        <f>INDEX(PTechVal,MATCH(CtryCode&amp;"|"&amp;$A1685,PTechKey,0),MATCH("invest_permitted",PTechHdr,0))&amp;""</f>
        <v>No</v>
      </c>
      <c r="AI1685" s="39">
        <f>INDEX(PTechVal,MATCH(CtryCode&amp;"|"&amp;$A1685,PTechKey,0),MATCH("invest_start",PTechHdr,0))</f>
        <v>2030.0</v>
      </c>
      <c r="AJ1685" s="225">
        <f>INDEX(PTechVal,MATCH(CtryCode&amp;"|"&amp;$A1685,PTechKey,0),MATCH("scaleup_rate",PTechHdr,0))</f>
        <v>0.02</v>
      </c>
      <c r="AK1685" s="71" t="str">
        <f>INDEX(PTechVal,MATCH(CtryCode&amp;"|"&amp;$A1685,PTechKey,0),MATCH("dispatch",PTechHdr,0))&amp;""</f>
        <v>fixed</v>
      </c>
      <c r="AL1685" s="71" t="str">
        <f>INDEX(PTechVal,MATCH(CtryCode&amp;"|"&amp;$A1685,PTechKey,0),MATCH("planned_retirement",PTechHdr,0))&amp;""</f>
        <v>No</v>
      </c>
      <c r="AM1685" s="39">
        <f>IF($AL1685="Yes",1,0)</f>
        <v>0.0</v>
      </c>
      <c r="AN1685" s="39">
        <f>IF($AK1685="cg",1,0)</f>
        <v>0.0</v>
      </c>
      <c r="AO1685" s="39">
        <f>IF($A1685="coa",1,0)</f>
        <v>0.0</v>
      </c>
      <c r="AP1685" s="236">
        <f>1/$F1685</f>
        <v>1.070663811563169</v>
      </c>
      <c r="AQ1685" s="225">
        <f>$AF1685/SUM($AF$1682:$AF$1690)</f>
        <v>0.0</v>
      </c>
      <c r="AR1685" s="236">
        <f>MWyMkWh/INDEX(PParVal,MATCH(CtryCode&amp;"|ktoe_gwh",PParKey,0))/$E1685</f>
        <v>1.982169525274924</v>
      </c>
      <c r="AS1685" s="236">
        <f>$Y1685*'Constants and Mappings'!$C$13</f>
        <v>0.0</v>
      </c>
      <c r="AT1685" s="237">
        <f>(MATCH($A1685,$A$1682:$A$1690,0)-1)*TieBreak</f>
        <v>4.068e-06</v>
      </c>
      <c r="AU1685" s="39">
        <f>IFERROR(MATCH("pow|"&amp;$A1685,XKey,0),1)</f>
        <v>1.0</v>
      </c>
      <c r="AV1685" s="48">
        <f>INDEX(XCTVal,$AU1685,ECPEmb)+INDEX(XETSVal,$AU1685,ECPEmb)</f>
        <v>0.0</v>
      </c>
      <c r="AW1685" s="39">
        <f>IF(ISNUMBER(MATCH($A1685,FuelKey,0)),1,0)</f>
        <v>0.0</v>
      </c>
      <c r="AX1685" s="236">
        <f>'Constants and Mappings'!$AT$2272</f>
        <v>0.0</v>
      </c>
      <c r="AY1685" s="236">
        <f>'Constants and Mappings'!$AR$2272</f>
        <v>0.934</v>
      </c>
      <c r="AZ1685" s="236">
        <f>IF(OR($A1685="wnd",$A1685="sol"),1,0)</f>
        <v>0.0</v>
      </c>
      <c r="BA1685" s="236">
        <f>IFERROR($BR1685/($BQ1685*KtoeGWh),-1)</f>
        <v>-1.0</v>
      </c>
      <c r="BB1685" s="236">
        <f>'Constants and Mappings'!$AJ$2272</f>
        <v>0.38</v>
      </c>
      <c r="BC1685" s="236">
        <f>PsCtryWacc+PsCoalAdj</f>
        <v>0.12412642998297449</v>
      </c>
      <c r="BD1685" s="236">
        <f>PsCtryWacc+'Constants and Mappings'!$AL$2272</f>
        <v>0.12672642998297448</v>
      </c>
      <c r="BE1685" s="236">
        <f>'Constants and Mappings'!$AQ$2272</f>
        <v>0.0739689825</v>
      </c>
      <c r="BF1685" s="236">
        <f>1/$D1685</f>
        <v>0.02</v>
      </c>
      <c r="BG1685" s="236">
        <f>$H1685/$D1685+$BI1685</f>
        <v>160.6426739000999</v>
      </c>
      <c r="BH1685" s="236">
        <f>$H1685+$I1685*TrCostShare</f>
        <v>981.5600362936607</v>
      </c>
      <c r="BI1685" s="236">
        <f>'Constants and Mappings'!$AP$2272</f>
        <v>150.0</v>
      </c>
      <c r="BJ1685" s="236">
        <f>IF($N1685="",0,1)</f>
        <v>0.0</v>
      </c>
      <c r="BK1685" s="236">
        <f>MWyMkWh/INDEX(PParVal,MATCH(CtryCode&amp;"|ktoe_gwh",PParKey,0))</f>
        <v>0.7532244196044712</v>
      </c>
      <c r="BL1685" s="236">
        <f>IF($A1685="hyd",1,0)</f>
        <v>0.0</v>
      </c>
      <c r="BM1685" s="236">
        <f>IF($A1685="nga",1,0)</f>
        <v>0.0</v>
      </c>
      <c r="BN1685" s="236">
        <f>MATCH($A1685,$A$1682:$A$1690,0)</f>
        <v>4.0</v>
      </c>
      <c r="BO1685" s="236">
        <f>IF(OR($A1685="coa",$A1685="nga",$A1685="hyd"),1,0)</f>
        <v>0.0</v>
      </c>
      <c r="BP1685" s="236">
        <f>IF(OR($A1685="wnd",$A1685="sol",$A1685="ore",$A1685="bio"),1,0)</f>
        <v>0.0</v>
      </c>
      <c r="BQ1685" s="236">
        <f>'Constants and Mappings'!$AI$2272</f>
        <v>-0.0</v>
      </c>
      <c r="BR1685" s="236">
        <f>'Constants and Mappings'!$AH$2272</f>
        <v>0.0</v>
      </c>
      <c r="BS1685" s="236">
        <f>IFERROR(INDEX(NCEfIn,MATCH("pow."&amp;$A1685&amp;".pm2",NCEfKey,0)),0)</f>
        <v>0.0</v>
      </c>
      <c r="BT1685" s="236">
        <f>IFERROR(INDEX(NCEfFin,MATCH("pow."&amp;$A1685&amp;".pm2",NCEfKey,0)),0)</f>
        <v>0.0</v>
      </c>
      <c r="BU1685" s="236">
        <f>IFERROR(INDEX(NCEfIn,MATCH("pow."&amp;$A1685&amp;".nox",NCEfKey,0)),0)</f>
        <v>0.0</v>
      </c>
      <c r="BV1685" s="236">
        <f>IFERROR(INDEX(NCEfFin,MATCH("pow."&amp;$A1685&amp;".nox",NCEfKey,0)),0)</f>
        <v>0.0</v>
      </c>
      <c r="BW1685" s="236">
        <f>IFERROR(INDEX(NCEfIn,MATCH("pow."&amp;$A1685&amp;".so2",NCEfKey,0)),0)</f>
        <v>0.0</v>
      </c>
      <c r="BX1685" s="236">
        <f>IFERROR(INDEX(NCEfFin,MATCH("pow."&amp;$A1685&amp;".so2",NCEfKey,0)),0)</f>
        <v>0.0</v>
      </c>
      <c r="BY1685" s="236">
        <f>IFERROR(INDEX(NCEfIn,MATCH("pow."&amp;$A1685&amp;".voc",NCEfKey,0)),0)</f>
        <v>0.0</v>
      </c>
      <c r="BZ1685" s="236">
        <f>IFERROR(INDEX(NCEfFin,MATCH("pow."&amp;$A1685&amp;".voc",NCEfKey,0)),0)</f>
        <v>0.0</v>
      </c>
      <c r="CA1685" s="236">
        <f>IFERROR(INDEX(NCEfIn,MATCH("pow."&amp;$A1685&amp;".bc",NCEfKey,0)),0)</f>
        <v>0.0</v>
      </c>
      <c r="CB1685" s="236">
        <f>IFERROR(INDEX(NCEfFin,MATCH("pow."&amp;$A1685&amp;".bc",NCEfKey,0)),0)</f>
        <v>0.0</v>
      </c>
      <c r="CC1685" s="236">
        <f>IFERROR(INDEX(NCEfIn,MATCH("pow."&amp;$A1685&amp;".oc",NCEfKey,0)),0)</f>
        <v>0.0</v>
      </c>
      <c r="CD1685" s="236">
        <f>IFERROR(INDEX(NCEfFin,MATCH("pow."&amp;$A1685&amp;".oc",NCEfKey,0)),0)</f>
        <v>0.0</v>
      </c>
      <c r="CE1685" s="236">
        <f>IFERROR(INDEX(NCEfIn,MATCH("pow."&amp;$A1685&amp;".co",NCEfKey,0)),0)</f>
        <v>0.0</v>
      </c>
      <c r="CF1685" s="236">
        <f>IFERROR(INDEX(NCEfFin,MATCH("pow."&amp;$A1685&amp;".co",NCEfKey,0)),0)</f>
        <v>0.0</v>
      </c>
    </row>
    <row r="1686">
      <c r="A1686" s="235" t="inlineStr">
        <is>
          <t>wnd</t>
        </is>
      </c>
      <c r="B1686" s="236" t="str">
        <f>INDEX(PTechVal,MATCH(CtryCode&amp;"|"&amp;$A1686,PTechKey,0),MATCH("name",PTechHdr,0))&amp;""</f>
        <v>Wind</v>
      </c>
      <c r="C1686" s="195">
        <f>INDEX(PTechVal,MATCH(CtryCode&amp;"|"&amp;$A1686,PTechKey,0),MATCH("cax0_usd_per_kw",PTechHdr,0))</f>
        <v>1300.0</v>
      </c>
      <c r="D1686" s="39">
        <f>INDEX(PTechVal,MATCH(CtryCode&amp;"|"&amp;$A1686,PTechKey,0),MATCH("life_years",PTechHdr,0))</f>
        <v>30.0</v>
      </c>
      <c r="E1686" s="196">
        <f>INDEX(PTechVal,MATCH(CtryCode&amp;"|"&amp;$A1686,PTechKey,0),MATCH("efficiency",PTechHdr,0))</f>
        <v>1.0000000423369169</v>
      </c>
      <c r="F1686" s="196">
        <f>INDEX(PTechVal,MATCH(CtryCode&amp;"|"&amp;$A1686,PTechKey,0),MATCH("capacity_factor",PTechHdr,0))</f>
        <v>0.4056460020306391</v>
      </c>
      <c r="G1686" s="225">
        <f>INDEX(PTechVal,MATCH(CtryCode&amp;"|"&amp;$A1686,PTechKey,0),MATCH("wacc",PTechHdr,0))</f>
        <v>0.1288264299829745</v>
      </c>
      <c r="H1686" s="236">
        <f>INDEX(PTechVal,MATCH(CtryCode&amp;"|"&amp;$A1686,PTechKey,0),MATCH("dtc_usd_per_kw",PTechHdr,0))</f>
        <v>39.0</v>
      </c>
      <c r="I1686" s="236">
        <f>INDEX(PTechVal,MATCH(CtryCode&amp;"|"&amp;$A1686,PTechKey,0),MATCH("tcx_usd_per_kw",PTechHdr,0))</f>
        <v>405.4686074780961</v>
      </c>
      <c r="J1686" s="236">
        <f>INDEX(PTechVal,MATCH(CtryCode&amp;"|"&amp;$A1686,PTechKey,0),MATCH("opf_usd_per_kwh",PTechHdr,0))</f>
        <v>0.011256637617045236</v>
      </c>
      <c r="K1686" s="236">
        <f>INDEX(PTechVal,MATCH(CtryCode&amp;"|"&amp;$A1686,PTechKey,0),MATCH("vop_usd_per_kwh",PTechHdr,0))</f>
        <v>0.0</v>
      </c>
      <c r="L1686" s="236">
        <f>INDEX(PTechVal,MATCH(CtryCode&amp;"|"&amp;$A1686,PTechKey,0),MATCH("fuel_fixed_usd_per_kwh",PTechHdr,0))</f>
        <v>0.0</v>
      </c>
      <c r="M1686" s="236">
        <f>INDEX(PTechVal,MATCH(CtryCode&amp;"|"&amp;$A1686,PTechKey,0),MATCH("rns_usd_per_kwh",PTechHdr,0))</f>
        <v>0.0</v>
      </c>
      <c r="N1686" s="236" t="str">
        <f>INDEX(PTechVal,MATCH(CtryCode&amp;"|"&amp;$A1686,PTechKey,0),MATCH("price_code",PTechHdr,0))&amp;""</f>
        <v/>
      </c>
      <c r="O1686" s="39">
        <f>INDEX(PTechVal,MATCH(CtryCode&amp;"|"&amp;$A1686,PTechKey,0),MATCH("vre",PTechHdr,0))</f>
        <v>1.0</v>
      </c>
      <c r="P1686" s="39">
        <f>INDEX(PTechVal,MATCH(CtryCode&amp;"|"&amp;$A1686,PTechKey,0),MATCH("vre_share",PTechHdr,0))</f>
        <v>1.0</v>
      </c>
      <c r="Q1686" s="196">
        <f>(1-(1+$G1686)^-$D1686)/(1-(1+$G1686)^-1)</f>
        <v>8.531278484005323</v>
      </c>
      <c r="R1686" s="236">
        <f>(1/$D1686+$G1686*CapAvgShr)/($F1686*HoursYr)</f>
        <v>2.7507436820237635e-05</v>
      </c>
      <c r="S1686" s="236">
        <f>$H1686/$D1686/($F1686*HoursYr)+$J1686</f>
        <v>0.011622478339599207</v>
      </c>
      <c r="T1686" s="236">
        <f>1/($F1686*HoursYr*$Q1686)</f>
        <v>3.298637372507969e-05</v>
      </c>
      <c r="U1686" s="236">
        <f>($H1686+$I1686)*$T1686+$J1686+$M1686</f>
        <v>0.025918045212383466</v>
      </c>
      <c r="V1686" s="236">
        <f>$K1686+$L1686</f>
        <v>0.0</v>
      </c>
      <c r="W1686" s="236">
        <f>IF($N1686="",0,GJperkWh/$E1686)</f>
        <v>0.0</v>
      </c>
      <c r="X1686" s="39">
        <f>IF($N1686="",1,INDEX('Constants and Mappings'!$E$1633:$E$1644,MATCH($N1686,'Constants and Mappings'!$A$1633:$A$1644,0)))</f>
        <v>1.0</v>
      </c>
      <c r="Y1686" s="236">
        <f>IFERROR(INDEX(EFSel,MATCH($A1686&amp;"|pow",EFSelKey,0)),0)*EFCalib</f>
        <v>0.0</v>
      </c>
      <c r="Z1686" s="236">
        <f>$Y1686*$W1686</f>
        <v>0.0</v>
      </c>
      <c r="AA1686" s="39">
        <f>IF($N1686="",1,INDEX('Constants and Mappings'!$H$229:$H$237,MATCH($A1686,FuelKey,0)))</f>
        <v>1.0</v>
      </c>
      <c r="AB1686" s="39">
        <f>IF($N1686="",1,INDEX('Constants and Mappings'!$E$300:$E$313,MATCH($N1686,'Constants and Mappings'!$A$300:$A$313,0)))</f>
        <v>1.0</v>
      </c>
      <c r="AC1686" s="48">
        <f>IF($N1686="",1,INDEX('Constants and Mappings'!$G$229:$G$237,MATCH($A1686,FuelKey,0)))</f>
        <v>1.0</v>
      </c>
      <c r="AD1686" s="236">
        <f>$W1686/$AC1686</f>
        <v>0.0</v>
      </c>
      <c r="AE1686" s="109">
        <f>INDEX(PTechVal,MATCH(CtryCode&amp;"|"&amp;$A1686,PTechKey,0),MATCH("cap0_mw",PTechHdr,0))</f>
        <v>1642.5</v>
      </c>
      <c r="AF1686" s="109">
        <f>INDEX(PTechVal,MATCH(CtryCode&amp;"|"&amp;$A1686,PTechKey,0),MATCH("gen0_mwy",PTechHdr,0))</f>
        <v>666.2735583353248</v>
      </c>
      <c r="AG1686" s="236">
        <f>INDEX(PTechVal,MATCH(CtryCode&amp;"|"&amp;$A1686,PTechKey,0),MATCH("retire_rate",PTechHdr,0))</f>
        <v>0.03333333333333333</v>
      </c>
      <c r="AH1686" s="71" t="str">
        <f>INDEX(PTechVal,MATCH(CtryCode&amp;"|"&amp;$A1686,PTechKey,0),MATCH("invest_permitted",PTechHdr,0))&amp;""</f>
        <v>Yes</v>
      </c>
      <c r="AI1686" s="39">
        <f>INDEX(PTechVal,MATCH(CtryCode&amp;"|"&amp;$A1686,PTechKey,0),MATCH("invest_start",PTechHdr,0))</f>
        <v>2022.0</v>
      </c>
      <c r="AJ1686" s="225">
        <f>INDEX(PTechVal,MATCH(CtryCode&amp;"|"&amp;$A1686,PTechKey,0),MATCH("scaleup_rate",PTechHdr,0))</f>
        <v>0.02</v>
      </c>
      <c r="AK1686" s="71" t="str">
        <f>INDEX(PTechVal,MATCH(CtryCode&amp;"|"&amp;$A1686,PTechKey,0),MATCH("dispatch",PTechHdr,0))&amp;""</f>
        <v>fixed</v>
      </c>
      <c r="AL1686" s="71" t="str">
        <f>INDEX(PTechVal,MATCH(CtryCode&amp;"|"&amp;$A1686,PTechKey,0),MATCH("planned_retirement",PTechHdr,0))&amp;""</f>
        <v>No</v>
      </c>
      <c r="AM1686" s="39">
        <f>IF($AL1686="Yes",1,0)</f>
        <v>0.0</v>
      </c>
      <c r="AN1686" s="39">
        <f>IF($AK1686="cg",1,0)</f>
        <v>0.0</v>
      </c>
      <c r="AO1686" s="39">
        <f>IF($A1686="coa",1,0)</f>
        <v>0.0</v>
      </c>
      <c r="AP1686" s="236">
        <f>1/$F1686</f>
        <v>2.4652036381329068</v>
      </c>
      <c r="AQ1686" s="225">
        <f>$AF1686/SUM($AF$1682:$AF$1690)</f>
        <v>0.02754051770700744</v>
      </c>
      <c r="AR1686" s="236">
        <f>MWyMkWh/INDEX(PParVal,MATCH(CtryCode&amp;"|ktoe_gwh",PParKey,0))/$E1686</f>
        <v>0.7532243877152729</v>
      </c>
      <c r="AS1686" s="236">
        <f>$Y1686*'Constants and Mappings'!$C$13</f>
        <v>0.0</v>
      </c>
      <c r="AT1686" s="237">
        <f>(MATCH($A1686,$A$1682:$A$1690,0)-1)*TieBreak</f>
        <v>5.424e-06</v>
      </c>
      <c r="AU1686" s="39">
        <f>IFERROR(MATCH("pow|"&amp;$A1686,XKey,0),1)</f>
        <v>1.0</v>
      </c>
      <c r="AV1686" s="48">
        <f>INDEX(XCTVal,$AU1686,ECPEmb)+INDEX(XETSVal,$AU1686,ECPEmb)</f>
        <v>0.0</v>
      </c>
      <c r="AW1686" s="39">
        <f>IF(ISNUMBER(MATCH($A1686,FuelKey,0)),1,0)</f>
        <v>0.0</v>
      </c>
      <c r="AX1686" s="236">
        <f>'Constants and Mappings'!$AT$2273</f>
        <v>0.4056460020306391</v>
      </c>
      <c r="AY1686" s="236">
        <f>'Constants and Mappings'!$AR$2273</f>
        <v>0.3</v>
      </c>
      <c r="AZ1686" s="236">
        <f>IF(OR($A1686="wnd",$A1686="sol"),1,0)</f>
        <v>1.0</v>
      </c>
      <c r="BA1686" s="236">
        <f>IFERROR($BR1686/($BQ1686*KtoeGWh),-1)</f>
        <v>1.0000000423369169</v>
      </c>
      <c r="BB1686" s="236">
        <f>'Constants and Mappings'!$AJ$2273</f>
        <v>1.0</v>
      </c>
      <c r="BC1686" s="236">
        <f>PsCtryWacc+PsCoalAdj</f>
        <v>0.12412642998297449</v>
      </c>
      <c r="BD1686" s="236">
        <f>PsCtryWacc+'Constants and Mappings'!$AL$2273</f>
        <v>0.1288264299829745</v>
      </c>
      <c r="BE1686" s="236">
        <f>'Constants and Mappings'!$AQ$2273</f>
        <v>0.06877236938775512</v>
      </c>
      <c r="BF1686" s="236">
        <f>1/$D1686</f>
        <v>0.03333333333333333</v>
      </c>
      <c r="BG1686" s="236">
        <f>$H1686/$D1686+$BI1686</f>
        <v>41.3</v>
      </c>
      <c r="BH1686" s="236">
        <f>$H1686+$I1686*TrCostShare</f>
        <v>444.4686074780961</v>
      </c>
      <c r="BI1686" s="236">
        <f>'Constants and Mappings'!$AP$2273</f>
        <v>40.0</v>
      </c>
      <c r="BJ1686" s="236">
        <f>IF($N1686="",0,1)</f>
        <v>0.0</v>
      </c>
      <c r="BK1686" s="236">
        <f>MWyMkWh/INDEX(PParVal,MATCH(CtryCode&amp;"|ktoe_gwh",PParKey,0))</f>
        <v>0.7532244196044712</v>
      </c>
      <c r="BL1686" s="236">
        <f>IF($A1686="hyd",1,0)</f>
        <v>0.0</v>
      </c>
      <c r="BM1686" s="236">
        <f>IF($A1686="nga",1,0)</f>
        <v>0.0</v>
      </c>
      <c r="BN1686" s="236">
        <f>MATCH($A1686,$A$1682:$A$1690,0)</f>
        <v>5.0</v>
      </c>
      <c r="BO1686" s="236">
        <f>IF(OR($A1686="coa",$A1686="nga",$A1686="hyd"),1,0)</f>
        <v>0.0</v>
      </c>
      <c r="BP1686" s="236">
        <f>IF(OR($A1686="wnd",$A1686="sol",$A1686="ore",$A1686="bio"),1,0)</f>
        <v>1.0</v>
      </c>
      <c r="BQ1686" s="236">
        <f>'Constants and Mappings'!$AI$2273</f>
        <v>501.8534930280011</v>
      </c>
      <c r="BR1686" s="236">
        <f>'Constants and Mappings'!$AH$2273</f>
        <v>5836.556371017445</v>
      </c>
      <c r="BS1686" s="236">
        <f>IFERROR(INDEX(NCEfIn,MATCH("pow."&amp;$A1686&amp;".pm2",NCEfKey,0)),0)</f>
        <v>0.0</v>
      </c>
      <c r="BT1686" s="236">
        <f>IFERROR(INDEX(NCEfFin,MATCH("pow."&amp;$A1686&amp;".pm2",NCEfKey,0)),0)</f>
        <v>0.0</v>
      </c>
      <c r="BU1686" s="236">
        <f>IFERROR(INDEX(NCEfIn,MATCH("pow."&amp;$A1686&amp;".nox",NCEfKey,0)),0)</f>
        <v>0.0</v>
      </c>
      <c r="BV1686" s="236">
        <f>IFERROR(INDEX(NCEfFin,MATCH("pow."&amp;$A1686&amp;".nox",NCEfKey,0)),0)</f>
        <v>0.0</v>
      </c>
      <c r="BW1686" s="236">
        <f>IFERROR(INDEX(NCEfIn,MATCH("pow."&amp;$A1686&amp;".so2",NCEfKey,0)),0)</f>
        <v>0.0</v>
      </c>
      <c r="BX1686" s="236">
        <f>IFERROR(INDEX(NCEfFin,MATCH("pow."&amp;$A1686&amp;".so2",NCEfKey,0)),0)</f>
        <v>0.0</v>
      </c>
      <c r="BY1686" s="236">
        <f>IFERROR(INDEX(NCEfIn,MATCH("pow."&amp;$A1686&amp;".voc",NCEfKey,0)),0)</f>
        <v>0.0</v>
      </c>
      <c r="BZ1686" s="236">
        <f>IFERROR(INDEX(NCEfFin,MATCH("pow."&amp;$A1686&amp;".voc",NCEfKey,0)),0)</f>
        <v>0.0</v>
      </c>
      <c r="CA1686" s="236">
        <f>IFERROR(INDEX(NCEfIn,MATCH("pow."&amp;$A1686&amp;".bc",NCEfKey,0)),0)</f>
        <v>0.0</v>
      </c>
      <c r="CB1686" s="236">
        <f>IFERROR(INDEX(NCEfFin,MATCH("pow."&amp;$A1686&amp;".bc",NCEfKey,0)),0)</f>
        <v>0.0</v>
      </c>
      <c r="CC1686" s="236">
        <f>IFERROR(INDEX(NCEfIn,MATCH("pow."&amp;$A1686&amp;".oc",NCEfKey,0)),0)</f>
        <v>0.0</v>
      </c>
      <c r="CD1686" s="236">
        <f>IFERROR(INDEX(NCEfFin,MATCH("pow."&amp;$A1686&amp;".oc",NCEfKey,0)),0)</f>
        <v>0.0</v>
      </c>
      <c r="CE1686" s="236">
        <f>IFERROR(INDEX(NCEfIn,MATCH("pow."&amp;$A1686&amp;".co",NCEfKey,0)),0)</f>
        <v>0.0</v>
      </c>
      <c r="CF1686" s="236">
        <f>IFERROR(INDEX(NCEfFin,MATCH("pow."&amp;$A1686&amp;".co",NCEfKey,0)),0)</f>
        <v>0.0</v>
      </c>
    </row>
    <row r="1687">
      <c r="A1687" s="235" t="inlineStr">
        <is>
          <t>sol</t>
        </is>
      </c>
      <c r="B1687" s="236" t="str">
        <f>INDEX(PTechVal,MATCH(CtryCode&amp;"|"&amp;$A1687,PTechKey,0),MATCH("name",PTechHdr,0))&amp;""</f>
        <v>Solar</v>
      </c>
      <c r="C1687" s="195">
        <f>INDEX(PTechVal,MATCH(CtryCode&amp;"|"&amp;$A1687,PTechKey,0),MATCH("cax0_usd_per_kw",PTechHdr,0))</f>
        <v>1222.683</v>
      </c>
      <c r="D1687" s="39">
        <f>INDEX(PTechVal,MATCH(CtryCode&amp;"|"&amp;$A1687,PTechKey,0),MATCH("life_years",PTechHdr,0))</f>
        <v>25.0</v>
      </c>
      <c r="E1687" s="196">
        <f>INDEX(PTechVal,MATCH(CtryCode&amp;"|"&amp;$A1687,PTechKey,0),MATCH("efficiency",PTechHdr,0))</f>
        <v>0.9999999920287291</v>
      </c>
      <c r="F1687" s="196">
        <f>INDEX(PTechVal,MATCH(CtryCode&amp;"|"&amp;$A1687,PTechKey,0),MATCH("capacity_factor",PTechHdr,0))</f>
        <v>0.32191722791606203</v>
      </c>
      <c r="G1687" s="225">
        <f>INDEX(PTechVal,MATCH(CtryCode&amp;"|"&amp;$A1687,PTechKey,0),MATCH("wacc",PTechHdr,0))</f>
        <v>0.1288264299829745</v>
      </c>
      <c r="H1687" s="236">
        <f>INDEX(PTechVal,MATCH(CtryCode&amp;"|"&amp;$A1687,PTechKey,0),MATCH("dtc_usd_per_kw",PTechHdr,0))</f>
        <v>73.36098</v>
      </c>
      <c r="I1687" s="236">
        <f>INDEX(PTechVal,MATCH(CtryCode&amp;"|"&amp;$A1687,PTechKey,0),MATCH("tcx_usd_per_kw",PTechHdr,0))</f>
        <v>335.3345084882609</v>
      </c>
      <c r="J1687" s="236">
        <f>INDEX(PTechVal,MATCH(CtryCode&amp;"|"&amp;$A1687,PTechKey,0),MATCH("opf_usd_per_kwh",PTechHdr,0))</f>
        <v>0.004195397633729192</v>
      </c>
      <c r="K1687" s="236">
        <f>INDEX(PTechVal,MATCH(CtryCode&amp;"|"&amp;$A1687,PTechKey,0),MATCH("vop_usd_per_kwh",PTechHdr,0))</f>
        <v>0.0</v>
      </c>
      <c r="L1687" s="236">
        <f>INDEX(PTechVal,MATCH(CtryCode&amp;"|"&amp;$A1687,PTechKey,0),MATCH("fuel_fixed_usd_per_kwh",PTechHdr,0))</f>
        <v>0.0</v>
      </c>
      <c r="M1687" s="236">
        <f>INDEX(PTechVal,MATCH(CtryCode&amp;"|"&amp;$A1687,PTechKey,0),MATCH("rns_usd_per_kwh",PTechHdr,0))</f>
        <v>0.0</v>
      </c>
      <c r="N1687" s="236" t="str">
        <f>INDEX(PTechVal,MATCH(CtryCode&amp;"|"&amp;$A1687,PTechKey,0),MATCH("price_code",PTechHdr,0))&amp;""</f>
        <v/>
      </c>
      <c r="O1687" s="39">
        <f>INDEX(PTechVal,MATCH(CtryCode&amp;"|"&amp;$A1687,PTechKey,0),MATCH("vre",PTechHdr,0))</f>
        <v>1.0</v>
      </c>
      <c r="P1687" s="39">
        <f>INDEX(PTechVal,MATCH(CtryCode&amp;"|"&amp;$A1687,PTechKey,0),MATCH("vre_share",PTechHdr,0))</f>
        <v>1.0</v>
      </c>
      <c r="Q1687" s="196">
        <f>(1-(1+$G1687)^-$D1687)/(1-(1+$G1687)^-1)</f>
        <v>8.338794967466205</v>
      </c>
      <c r="R1687" s="236">
        <f>(1/$D1687+$G1687*CapAvgShr)/($F1687*HoursYr)</f>
        <v>3.702602950767839e-05</v>
      </c>
      <c r="S1687" s="236">
        <f>$H1687/$D1687/($F1687*HoursYr)+$J1687</f>
        <v>0.005235980786125624</v>
      </c>
      <c r="T1687" s="236">
        <f>1/($F1687*HoursYr*$Q1687)</f>
        <v>4.252539721842803e-05</v>
      </c>
      <c r="U1687" s="236">
        <f>($H1687+$I1687)*$T1687+$J1687+$M1687</f>
        <v>0.021575335623071963</v>
      </c>
      <c r="V1687" s="236">
        <f>$K1687+$L1687</f>
        <v>0.0</v>
      </c>
      <c r="W1687" s="236">
        <f>IF($N1687="",0,GJperkWh/$E1687)</f>
        <v>0.0</v>
      </c>
      <c r="X1687" s="39">
        <f>IF($N1687="",1,INDEX('Constants and Mappings'!$E$1633:$E$1644,MATCH($N1687,'Constants and Mappings'!$A$1633:$A$1644,0)))</f>
        <v>1.0</v>
      </c>
      <c r="Y1687" s="236">
        <f>IFERROR(INDEX(EFSel,MATCH($A1687&amp;"|pow",EFSelKey,0)),0)*EFCalib</f>
        <v>0.0</v>
      </c>
      <c r="Z1687" s="236">
        <f>$Y1687*$W1687</f>
        <v>0.0</v>
      </c>
      <c r="AA1687" s="39">
        <f>IF($N1687="",1,INDEX('Constants and Mappings'!$H$229:$H$237,MATCH($A1687,FuelKey,0)))</f>
        <v>1.0</v>
      </c>
      <c r="AB1687" s="39">
        <f>IF($N1687="",1,INDEX('Constants and Mappings'!$E$300:$E$313,MATCH($N1687,'Constants and Mappings'!$A$300:$A$313,0)))</f>
        <v>1.0</v>
      </c>
      <c r="AC1687" s="48">
        <f>IF($N1687="",1,INDEX('Constants and Mappings'!$G$229:$G$237,MATCH($A1687,FuelKey,0)))</f>
        <v>1.0</v>
      </c>
      <c r="AD1687" s="236">
        <f>$W1687/$AC1687</f>
        <v>0.0</v>
      </c>
      <c r="AE1687" s="109">
        <f>INDEX(PTechVal,MATCH(CtryCode&amp;"|"&amp;$A1687,PTechKey,0),MATCH("cap0_mw",PTechHdr,0))</f>
        <v>1724.0</v>
      </c>
      <c r="AF1687" s="109">
        <f>INDEX(PTechVal,MATCH(CtryCode&amp;"|"&amp;$A1687,PTechKey,0),MATCH("gen0_mwy",PTechHdr,0))</f>
        <v>554.985300927291</v>
      </c>
      <c r="AG1687" s="236">
        <f>INDEX(PTechVal,MATCH(CtryCode&amp;"|"&amp;$A1687,PTechKey,0),MATCH("retire_rate",PTechHdr,0))</f>
        <v>0.04</v>
      </c>
      <c r="AH1687" s="71" t="str">
        <f>INDEX(PTechVal,MATCH(CtryCode&amp;"|"&amp;$A1687,PTechKey,0),MATCH("invest_permitted",PTechHdr,0))&amp;""</f>
        <v>Yes</v>
      </c>
      <c r="AI1687" s="39">
        <f>INDEX(PTechVal,MATCH(CtryCode&amp;"|"&amp;$A1687,PTechKey,0),MATCH("invest_start",PTechHdr,0))</f>
        <v>2022.0</v>
      </c>
      <c r="AJ1687" s="225">
        <f>INDEX(PTechVal,MATCH(CtryCode&amp;"|"&amp;$A1687,PTechKey,0),MATCH("scaleup_rate",PTechHdr,0))</f>
        <v>0.02</v>
      </c>
      <c r="AK1687" s="71" t="str">
        <f>INDEX(PTechVal,MATCH(CtryCode&amp;"|"&amp;$A1687,PTechKey,0),MATCH("dispatch",PTechHdr,0))&amp;""</f>
        <v>fixed</v>
      </c>
      <c r="AL1687" s="71" t="str">
        <f>INDEX(PTechVal,MATCH(CtryCode&amp;"|"&amp;$A1687,PTechKey,0),MATCH("planned_retirement",PTechHdr,0))&amp;""</f>
        <v>No</v>
      </c>
      <c r="AM1687" s="39">
        <f>IF($AL1687="Yes",1,0)</f>
        <v>0.0</v>
      </c>
      <c r="AN1687" s="39">
        <f>IF($AK1687="cg",1,0)</f>
        <v>0.0</v>
      </c>
      <c r="AO1687" s="39">
        <f>IF($A1687="coa",1,0)</f>
        <v>0.0</v>
      </c>
      <c r="AP1687" s="236">
        <f>1/$F1687</f>
        <v>3.106388578435274</v>
      </c>
      <c r="AQ1687" s="225">
        <f>$AF1687/SUM($AF$1682:$AF$1690)</f>
        <v>0.022940400855026015</v>
      </c>
      <c r="AR1687" s="236">
        <f>MWyMkWh/INDEX(PParVal,MATCH(CtryCode&amp;"|ktoe_gwh",PParKey,0))/$E1687</f>
        <v>0.7532244256086271</v>
      </c>
      <c r="AS1687" s="236">
        <f>$Y1687*'Constants and Mappings'!$C$13</f>
        <v>0.0</v>
      </c>
      <c r="AT1687" s="237">
        <f>(MATCH($A1687,$A$1682:$A$1690,0)-1)*TieBreak</f>
        <v>6.78e-06</v>
      </c>
      <c r="AU1687" s="39">
        <f>IFERROR(MATCH("pow|"&amp;$A1687,XKey,0),1)</f>
        <v>1.0</v>
      </c>
      <c r="AV1687" s="48">
        <f>INDEX(XCTVal,$AU1687,ECPEmb)+INDEX(XETSVal,$AU1687,ECPEmb)</f>
        <v>0.0</v>
      </c>
      <c r="AW1687" s="39">
        <f>IF(ISNUMBER(MATCH($A1687,FuelKey,0)),1,0)</f>
        <v>0.0</v>
      </c>
      <c r="AX1687" s="236">
        <f>'Constants and Mappings'!$AT$2274</f>
        <v>0.32191722791606203</v>
      </c>
      <c r="AY1687" s="236">
        <f>'Constants and Mappings'!$AR$2274</f>
        <v>0.18</v>
      </c>
      <c r="AZ1687" s="236">
        <f>IF(OR($A1687="wnd",$A1687="sol"),1,0)</f>
        <v>1.0</v>
      </c>
      <c r="BA1687" s="236">
        <f>IFERROR($BR1687/($BQ1687*KtoeGWh),-1)</f>
        <v>0.9999999920287291</v>
      </c>
      <c r="BB1687" s="236">
        <f>'Constants and Mappings'!$AJ$2274</f>
        <v>1.0</v>
      </c>
      <c r="BC1687" s="236">
        <f>PsCtryWacc+PsCoalAdj</f>
        <v>0.12412642998297449</v>
      </c>
      <c r="BD1687" s="236">
        <f>PsCtryWacc+'Constants and Mappings'!$AL$2274</f>
        <v>0.1288264299829745</v>
      </c>
      <c r="BE1687" s="236">
        <f>'Constants and Mappings'!$AQ$2274</f>
        <v>0.13</v>
      </c>
      <c r="BF1687" s="236">
        <f>1/$D1687</f>
        <v>0.04</v>
      </c>
      <c r="BG1687" s="236">
        <f>$H1687/$D1687+$BI1687</f>
        <v>14.7654392</v>
      </c>
      <c r="BH1687" s="236">
        <f>$H1687+$I1687*TrCostShare</f>
        <v>408.6954884882609</v>
      </c>
      <c r="BI1687" s="236">
        <f>'Constants and Mappings'!$AP$2274</f>
        <v>11.831</v>
      </c>
      <c r="BJ1687" s="236">
        <f>IF($N1687="",0,1)</f>
        <v>0.0</v>
      </c>
      <c r="BK1687" s="236">
        <f>MWyMkWh/INDEX(PParVal,MATCH(CtryCode&amp;"|ktoe_gwh",PParKey,0))</f>
        <v>0.7532244196044712</v>
      </c>
      <c r="BL1687" s="236">
        <f>IF($A1687="hyd",1,0)</f>
        <v>0.0</v>
      </c>
      <c r="BM1687" s="236">
        <f>IF($A1687="nga",1,0)</f>
        <v>0.0</v>
      </c>
      <c r="BN1687" s="236">
        <f>MATCH($A1687,$A$1682:$A$1690,0)</f>
        <v>6.0</v>
      </c>
      <c r="BO1687" s="236">
        <f>IF(OR($A1687="coa",$A1687="nga",$A1687="hyd"),1,0)</f>
        <v>0.0</v>
      </c>
      <c r="BP1687" s="236">
        <f>IF(OR($A1687="wnd",$A1687="sol",$A1687="ore",$A1687="bio"),1,0)</f>
        <v>1.0</v>
      </c>
      <c r="BQ1687" s="236">
        <f>'Constants and Mappings'!$AI$2274</f>
        <v>418.0284845121898</v>
      </c>
      <c r="BR1687" s="236">
        <f>'Constants and Mappings'!$AH$2274</f>
        <v>4861.671236123069</v>
      </c>
      <c r="BS1687" s="236">
        <f>IFERROR(INDEX(NCEfIn,MATCH("pow."&amp;$A1687&amp;".pm2",NCEfKey,0)),0)</f>
        <v>0.0</v>
      </c>
      <c r="BT1687" s="236">
        <f>IFERROR(INDEX(NCEfFin,MATCH("pow."&amp;$A1687&amp;".pm2",NCEfKey,0)),0)</f>
        <v>0.0</v>
      </c>
      <c r="BU1687" s="236">
        <f>IFERROR(INDEX(NCEfIn,MATCH("pow."&amp;$A1687&amp;".nox",NCEfKey,0)),0)</f>
        <v>0.0</v>
      </c>
      <c r="BV1687" s="236">
        <f>IFERROR(INDEX(NCEfFin,MATCH("pow."&amp;$A1687&amp;".nox",NCEfKey,0)),0)</f>
        <v>0.0</v>
      </c>
      <c r="BW1687" s="236">
        <f>IFERROR(INDEX(NCEfIn,MATCH("pow."&amp;$A1687&amp;".so2",NCEfKey,0)),0)</f>
        <v>0.0</v>
      </c>
      <c r="BX1687" s="236">
        <f>IFERROR(INDEX(NCEfFin,MATCH("pow."&amp;$A1687&amp;".so2",NCEfKey,0)),0)</f>
        <v>0.0</v>
      </c>
      <c r="BY1687" s="236">
        <f>IFERROR(INDEX(NCEfIn,MATCH("pow."&amp;$A1687&amp;".voc",NCEfKey,0)),0)</f>
        <v>0.0</v>
      </c>
      <c r="BZ1687" s="236">
        <f>IFERROR(INDEX(NCEfFin,MATCH("pow."&amp;$A1687&amp;".voc",NCEfKey,0)),0)</f>
        <v>0.0</v>
      </c>
      <c r="CA1687" s="236">
        <f>IFERROR(INDEX(NCEfIn,MATCH("pow."&amp;$A1687&amp;".bc",NCEfKey,0)),0)</f>
        <v>0.0</v>
      </c>
      <c r="CB1687" s="236">
        <f>IFERROR(INDEX(NCEfFin,MATCH("pow."&amp;$A1687&amp;".bc",NCEfKey,0)),0)</f>
        <v>0.0</v>
      </c>
      <c r="CC1687" s="236">
        <f>IFERROR(INDEX(NCEfIn,MATCH("pow."&amp;$A1687&amp;".oc",NCEfKey,0)),0)</f>
        <v>0.0</v>
      </c>
      <c r="CD1687" s="236">
        <f>IFERROR(INDEX(NCEfFin,MATCH("pow."&amp;$A1687&amp;".oc",NCEfKey,0)),0)</f>
        <v>0.0</v>
      </c>
      <c r="CE1687" s="236">
        <f>IFERROR(INDEX(NCEfIn,MATCH("pow."&amp;$A1687&amp;".co",NCEfKey,0)),0)</f>
        <v>0.0</v>
      </c>
      <c r="CF1687" s="236">
        <f>IFERROR(INDEX(NCEfFin,MATCH("pow."&amp;$A1687&amp;".co",NCEfKey,0)),0)</f>
        <v>0.0</v>
      </c>
    </row>
    <row r="1688">
      <c r="A1688" s="235" t="inlineStr">
        <is>
          <t>hyd</t>
        </is>
      </c>
      <c r="B1688" s="236" t="str">
        <f>INDEX(PTechVal,MATCH(CtryCode&amp;"|"&amp;$A1688,PTechKey,0),MATCH("name",PTechHdr,0))&amp;""</f>
        <v>Hydro</v>
      </c>
      <c r="C1688" s="195">
        <f>INDEX(PTechVal,MATCH(CtryCode&amp;"|"&amp;$A1688,PTechKey,0),MATCH("cax0_usd_per_kw",PTechHdr,0))</f>
        <v>3300.0</v>
      </c>
      <c r="D1688" s="39">
        <f>INDEX(PTechVal,MATCH(CtryCode&amp;"|"&amp;$A1688,PTechKey,0),MATCH("life_years",PTechHdr,0))</f>
        <v>50.0</v>
      </c>
      <c r="E1688" s="196">
        <f>INDEX(PTechVal,MATCH(CtryCode&amp;"|"&amp;$A1688,PTechKey,0),MATCH("efficiency",PTechHdr,0))</f>
        <v>1.000000016455005</v>
      </c>
      <c r="F1688" s="196">
        <f>INDEX(PTechVal,MATCH(CtryCode&amp;"|"&amp;$A1688,PTechKey,0),MATCH("capacity_factor",PTechHdr,0))</f>
        <v>0.6063319970302096</v>
      </c>
      <c r="G1688" s="225">
        <f>INDEX(PTechVal,MATCH(CtryCode&amp;"|"&amp;$A1688,PTechKey,0),MATCH("wacc",PTechHdr,0))</f>
        <v>0.12672642998297448</v>
      </c>
      <c r="H1688" s="236">
        <f>INDEX(PTechVal,MATCH(CtryCode&amp;"|"&amp;$A1688,PTechKey,0),MATCH("dtc_usd_per_kw",PTechHdr,0))</f>
        <v>660.0</v>
      </c>
      <c r="I1688" s="236">
        <f>INDEX(PTechVal,MATCH(CtryCode&amp;"|"&amp;$A1688,PTechKey,0),MATCH("tcx_usd_per_kw",PTechHdr,0))</f>
        <v>756.5284010682367</v>
      </c>
      <c r="J1688" s="236">
        <f>INDEX(PTechVal,MATCH(CtryCode&amp;"|"&amp;$A1688,PTechKey,0),MATCH("opf_usd_per_kwh",PTechHdr,0))</f>
        <v>0.009413592858424136</v>
      </c>
      <c r="K1688" s="236">
        <f>INDEX(PTechVal,MATCH(CtryCode&amp;"|"&amp;$A1688,PTechKey,0),MATCH("vop_usd_per_kwh",PTechHdr,0))</f>
        <v>0.001</v>
      </c>
      <c r="L1688" s="236">
        <f>INDEX(PTechVal,MATCH(CtryCode&amp;"|"&amp;$A1688,PTechKey,0),MATCH("fuel_fixed_usd_per_kwh",PTechHdr,0))</f>
        <v>0.0</v>
      </c>
      <c r="M1688" s="236">
        <f>INDEX(PTechVal,MATCH(CtryCode&amp;"|"&amp;$A1688,PTechKey,0),MATCH("rns_usd_per_kwh",PTechHdr,0))</f>
        <v>0.0</v>
      </c>
      <c r="N1688" s="236" t="str">
        <f>INDEX(PTechVal,MATCH(CtryCode&amp;"|"&amp;$A1688,PTechKey,0),MATCH("price_code",PTechHdr,0))&amp;""</f>
        <v/>
      </c>
      <c r="O1688" s="39">
        <f>INDEX(PTechVal,MATCH(CtryCode&amp;"|"&amp;$A1688,PTechKey,0),MATCH("vre",PTechHdr,0))</f>
        <v>0.0</v>
      </c>
      <c r="P1688" s="39">
        <f>INDEX(PTechVal,MATCH(CtryCode&amp;"|"&amp;$A1688,PTechKey,0),MATCH("vre_share",PTechHdr,0))</f>
        <v>0.0</v>
      </c>
      <c r="Q1688" s="196">
        <f>(1-(1+$G1688)^-$D1688)/(1-(1+$G1688)^-1)</f>
        <v>8.868208889851518</v>
      </c>
      <c r="R1688" s="236">
        <f>(1/$D1688+$G1688*CapAvgShr)/($F1688*HoursYr)</f>
        <v>1.5694947305982805e-05</v>
      </c>
      <c r="S1688" s="236">
        <f>$H1688/$D1688/($F1688*HoursYr)+$J1688</f>
        <v>0.011898781373048107</v>
      </c>
      <c r="T1688" s="236">
        <f>1/($F1688*HoursYr*$Q1688)</f>
        <v>2.1229975467079348e-05</v>
      </c>
      <c r="U1688" s="236">
        <f>($H1688+$I1688)*$T1688+$J1688+$M1688</f>
        <v>0.039486456061523935</v>
      </c>
      <c r="V1688" s="236">
        <f>$K1688+$L1688</f>
        <v>0.001</v>
      </c>
      <c r="W1688" s="236">
        <f>IF($N1688="",0,GJperkWh/$E1688)</f>
        <v>0.0</v>
      </c>
      <c r="X1688" s="39">
        <f>IF($N1688="",1,INDEX('Constants and Mappings'!$E$1633:$E$1644,MATCH($N1688,'Constants and Mappings'!$A$1633:$A$1644,0)))</f>
        <v>1.0</v>
      </c>
      <c r="Y1688" s="236">
        <f>IFERROR(INDEX(EFSel,MATCH($A1688&amp;"|pow",EFSelKey,0)),0)*EFCalib</f>
        <v>0.0</v>
      </c>
      <c r="Z1688" s="236">
        <f>$Y1688*$W1688</f>
        <v>0.0</v>
      </c>
      <c r="AA1688" s="39">
        <f>IF($N1688="",1,INDEX('Constants and Mappings'!$H$229:$H$237,MATCH($A1688,FuelKey,0)))</f>
        <v>1.0</v>
      </c>
      <c r="AB1688" s="39">
        <f>IF($N1688="",1,INDEX('Constants and Mappings'!$E$300:$E$313,MATCH($N1688,'Constants and Mappings'!$A$300:$A$313,0)))</f>
        <v>1.0</v>
      </c>
      <c r="AC1688" s="48">
        <f>IF($N1688="",1,INDEX('Constants and Mappings'!$G$229:$G$237,MATCH($A1688,FuelKey,0)))</f>
        <v>1.0</v>
      </c>
      <c r="AD1688" s="236">
        <f>$W1688/$AC1688</f>
        <v>0.0</v>
      </c>
      <c r="AE1688" s="109">
        <f>INDEX(PTechVal,MATCH(CtryCode&amp;"|"&amp;$A1688,PTechKey,0),MATCH("cap0_mw",PTechHdr,0))</f>
        <v>2832.0000000000005</v>
      </c>
      <c r="AF1688" s="109">
        <f>INDEX(PTechVal,MATCH(CtryCode&amp;"|"&amp;$A1688,PTechKey,0),MATCH("gen0_mwy",PTechHdr,0))</f>
        <v>1717.1322155895537</v>
      </c>
      <c r="AG1688" s="236">
        <f>INDEX(PTechVal,MATCH(CtryCode&amp;"|"&amp;$A1688,PTechKey,0),MATCH("retire_rate",PTechHdr,0))</f>
        <v>0.0</v>
      </c>
      <c r="AH1688" s="71" t="str">
        <f>INDEX(PTechVal,MATCH(CtryCode&amp;"|"&amp;$A1688,PTechKey,0),MATCH("invest_permitted",PTechHdr,0))&amp;""</f>
        <v>Yes</v>
      </c>
      <c r="AI1688" s="39">
        <f>INDEX(PTechVal,MATCH(CtryCode&amp;"|"&amp;$A1688,PTechKey,0),MATCH("invest_start",PTechHdr,0))</f>
        <v>2030.0</v>
      </c>
      <c r="AJ1688" s="225">
        <f>INDEX(PTechVal,MATCH(CtryCode&amp;"|"&amp;$A1688,PTechKey,0),MATCH("scaleup_rate",PTechHdr,0))</f>
        <v>0.05</v>
      </c>
      <c r="AK1688" s="71" t="str">
        <f>INDEX(PTechVal,MATCH(CtryCode&amp;"|"&amp;$A1688,PTechKey,0),MATCH("dispatch",PTechHdr,0))&amp;""</f>
        <v>fixed</v>
      </c>
      <c r="AL1688" s="71" t="str">
        <f>INDEX(PTechVal,MATCH(CtryCode&amp;"|"&amp;$A1688,PTechKey,0),MATCH("planned_retirement",PTechHdr,0))&amp;""</f>
        <v>No</v>
      </c>
      <c r="AM1688" s="39">
        <f>IF($AL1688="Yes",1,0)</f>
        <v>0.0</v>
      </c>
      <c r="AN1688" s="39">
        <f>IF($AK1688="cg",1,0)</f>
        <v>0.0</v>
      </c>
      <c r="AO1688" s="39">
        <f>IF($A1688="coa",1,0)</f>
        <v>0.0</v>
      </c>
      <c r="AP1688" s="236">
        <f>1/$F1688</f>
        <v>1.6492614687959086</v>
      </c>
      <c r="AQ1688" s="225">
        <f>$AF1688/SUM($AF$1682:$AF$1690)</f>
        <v>0.07097791829961285</v>
      </c>
      <c r="AR1688" s="236">
        <f>MWyMkWh/INDEX(PParVal,MATCH(CtryCode&amp;"|ktoe_gwh",PParKey,0))/$E1688</f>
        <v>0.7532244072101598</v>
      </c>
      <c r="AS1688" s="236">
        <f>$Y1688*'Constants and Mappings'!$C$13</f>
        <v>0.0</v>
      </c>
      <c r="AT1688" s="237">
        <f>(MATCH($A1688,$A$1682:$A$1690,0)-1)*TieBreak</f>
        <v>8.136e-06</v>
      </c>
      <c r="AU1688" s="39">
        <f>IFERROR(MATCH("pow|"&amp;$A1688,XKey,0),1)</f>
        <v>1.0</v>
      </c>
      <c r="AV1688" s="48">
        <f>INDEX(XCTVal,$AU1688,ECPEmb)+INDEX(XETSVal,$AU1688,ECPEmb)</f>
        <v>0.0</v>
      </c>
      <c r="AW1688" s="39">
        <f>IF(ISNUMBER(MATCH($A1688,FuelKey,0)),1,0)</f>
        <v>0.0</v>
      </c>
      <c r="AX1688" s="236">
        <f>'Constants and Mappings'!$AT$2275</f>
        <v>0.6063319970302096</v>
      </c>
      <c r="AY1688" s="236">
        <f>'Constants and Mappings'!$AR$2275</f>
        <v>0.4322928214347324</v>
      </c>
      <c r="AZ1688" s="236">
        <f>IF(OR($A1688="wnd",$A1688="sol"),1,0)</f>
        <v>0.0</v>
      </c>
      <c r="BA1688" s="236">
        <f>IFERROR($BR1688/($BQ1688*KtoeGWh),-1)</f>
        <v>1.000000016455005</v>
      </c>
      <c r="BB1688" s="236">
        <f>'Constants and Mappings'!$AJ$2275</f>
        <v>1.0</v>
      </c>
      <c r="BC1688" s="236">
        <f>PsCtryWacc+PsCoalAdj</f>
        <v>0.12412642998297449</v>
      </c>
      <c r="BD1688" s="236">
        <f>PsCtryWacc+'Constants and Mappings'!$AL$2275</f>
        <v>0.12672642998297448</v>
      </c>
      <c r="BE1688" s="236">
        <f>'Constants and Mappings'!$AQ$2275</f>
        <v>0.08294756944444442</v>
      </c>
      <c r="BF1688" s="236">
        <f>1/$D1688</f>
        <v>0.02</v>
      </c>
      <c r="BG1688" s="236">
        <f>$H1688/$D1688+$BI1688</f>
        <v>63.2</v>
      </c>
      <c r="BH1688" s="236">
        <f>$H1688+$I1688*TrCostShare</f>
        <v>1416.5284010682367</v>
      </c>
      <c r="BI1688" s="236">
        <f>'Constants and Mappings'!$AP$2275</f>
        <v>50.0</v>
      </c>
      <c r="BJ1688" s="236">
        <f>IF($N1688="",0,1)</f>
        <v>0.0</v>
      </c>
      <c r="BK1688" s="236">
        <f>MWyMkWh/INDEX(PParVal,MATCH(CtryCode&amp;"|ktoe_gwh",PParKey,0))</f>
        <v>0.7532244196044712</v>
      </c>
      <c r="BL1688" s="236">
        <f>IF($A1688="hyd",1,0)</f>
        <v>1.0</v>
      </c>
      <c r="BM1688" s="236">
        <f>IF($A1688="nga",1,0)</f>
        <v>0.0</v>
      </c>
      <c r="BN1688" s="236">
        <f>MATCH($A1688,$A$1682:$A$1690,0)</f>
        <v>7.0</v>
      </c>
      <c r="BO1688" s="236">
        <f>IF(OR($A1688="coa",$A1688="nga",$A1688="hyd"),1,0)</f>
        <v>1.0</v>
      </c>
      <c r="BP1688" s="236">
        <f>IF(OR($A1688="wnd",$A1688="sol",$A1688="ore",$A1688="bio"),1,0)</f>
        <v>0.0</v>
      </c>
      <c r="BQ1688" s="236">
        <f>'Constants and Mappings'!$AI$2275</f>
        <v>1293.38589518891</v>
      </c>
      <c r="BR1688" s="236">
        <f>'Constants and Mappings'!$AH$2275</f>
        <v>15042.07820856449</v>
      </c>
      <c r="BS1688" s="236">
        <f>IFERROR(INDEX(NCEfIn,MATCH("pow."&amp;$A1688&amp;".pm2",NCEfKey,0)),0)</f>
        <v>0.0</v>
      </c>
      <c r="BT1688" s="236">
        <f>IFERROR(INDEX(NCEfFin,MATCH("pow."&amp;$A1688&amp;".pm2",NCEfKey,0)),0)</f>
        <v>0.0</v>
      </c>
      <c r="BU1688" s="236">
        <f>IFERROR(INDEX(NCEfIn,MATCH("pow."&amp;$A1688&amp;".nox",NCEfKey,0)),0)</f>
        <v>0.0</v>
      </c>
      <c r="BV1688" s="236">
        <f>IFERROR(INDEX(NCEfFin,MATCH("pow."&amp;$A1688&amp;".nox",NCEfKey,0)),0)</f>
        <v>0.0</v>
      </c>
      <c r="BW1688" s="236">
        <f>IFERROR(INDEX(NCEfIn,MATCH("pow."&amp;$A1688&amp;".so2",NCEfKey,0)),0)</f>
        <v>0.0</v>
      </c>
      <c r="BX1688" s="236">
        <f>IFERROR(INDEX(NCEfFin,MATCH("pow."&amp;$A1688&amp;".so2",NCEfKey,0)),0)</f>
        <v>0.0</v>
      </c>
      <c r="BY1688" s="236">
        <f>IFERROR(INDEX(NCEfIn,MATCH("pow."&amp;$A1688&amp;".voc",NCEfKey,0)),0)</f>
        <v>0.0</v>
      </c>
      <c r="BZ1688" s="236">
        <f>IFERROR(INDEX(NCEfFin,MATCH("pow."&amp;$A1688&amp;".voc",NCEfKey,0)),0)</f>
        <v>0.0</v>
      </c>
      <c r="CA1688" s="236">
        <f>IFERROR(INDEX(NCEfIn,MATCH("pow."&amp;$A1688&amp;".bc",NCEfKey,0)),0)</f>
        <v>0.0</v>
      </c>
      <c r="CB1688" s="236">
        <f>IFERROR(INDEX(NCEfFin,MATCH("pow."&amp;$A1688&amp;".bc",NCEfKey,0)),0)</f>
        <v>0.0</v>
      </c>
      <c r="CC1688" s="236">
        <f>IFERROR(INDEX(NCEfIn,MATCH("pow."&amp;$A1688&amp;".oc",NCEfKey,0)),0)</f>
        <v>0.0</v>
      </c>
      <c r="CD1688" s="236">
        <f>IFERROR(INDEX(NCEfFin,MATCH("pow."&amp;$A1688&amp;".oc",NCEfKey,0)),0)</f>
        <v>0.0</v>
      </c>
      <c r="CE1688" s="236">
        <f>IFERROR(INDEX(NCEfIn,MATCH("pow."&amp;$A1688&amp;".co",NCEfKey,0)),0)</f>
        <v>0.0</v>
      </c>
      <c r="CF1688" s="236">
        <f>IFERROR(INDEX(NCEfFin,MATCH("pow."&amp;$A1688&amp;".co",NCEfKey,0)),0)</f>
        <v>0.0</v>
      </c>
    </row>
    <row r="1689">
      <c r="A1689" s="235" t="inlineStr">
        <is>
          <t>ore</t>
        </is>
      </c>
      <c r="B1689" s="236" t="str">
        <f>INDEX(PTechVal,MATCH(CtryCode&amp;"|"&amp;$A1689,PTechKey,0),MATCH("name",PTechHdr,0))&amp;""</f>
        <v>Other renewables</v>
      </c>
      <c r="C1689" s="195">
        <f>INDEX(PTechVal,MATCH(CtryCode&amp;"|"&amp;$A1689,PTechKey,0),MATCH("cax0_usd_per_kw",PTechHdr,0))</f>
        <v>3500.0</v>
      </c>
      <c r="D1689" s="39">
        <f>INDEX(PTechVal,MATCH(CtryCode&amp;"|"&amp;$A1689,PTechKey,0),MATCH("life_years",PTechHdr,0))</f>
        <v>30.0</v>
      </c>
      <c r="E1689" s="196">
        <f>INDEX(PTechVal,MATCH(CtryCode&amp;"|"&amp;$A1689,PTechKey,0),MATCH("efficiency",PTechHdr,0))</f>
        <v>1.0</v>
      </c>
      <c r="F1689" s="196">
        <f>INDEX(PTechVal,MATCH(CtryCode&amp;"|"&amp;$A1689,PTechKey,0),MATCH("capacity_factor",PTechHdr,0))</f>
        <v>0.7512024818652816</v>
      </c>
      <c r="G1689" s="225">
        <f>INDEX(PTechVal,MATCH(CtryCode&amp;"|"&amp;$A1689,PTechKey,0),MATCH("wacc",PTechHdr,0))</f>
        <v>0.14372642998297447</v>
      </c>
      <c r="H1689" s="236">
        <f>INDEX(PTechVal,MATCH(CtryCode&amp;"|"&amp;$A1689,PTechKey,0),MATCH("dtc_usd_per_kw",PTechHdr,0))</f>
        <v>253.78872697528</v>
      </c>
      <c r="I1689" s="236">
        <f>INDEX(PTechVal,MATCH(CtryCode&amp;"|"&amp;$A1689,PTechKey,0),MATCH("tcx_usd_per_kw",PTechHdr,0))</f>
        <v>347.6573621818364</v>
      </c>
      <c r="J1689" s="236">
        <f>INDEX(PTechVal,MATCH(CtryCode&amp;"|"&amp;$A1689,PTechKey,0),MATCH("opf_usd_per_kwh",PTechHdr,0))</f>
        <v>0.015196335728031416</v>
      </c>
      <c r="K1689" s="236">
        <f>INDEX(PTechVal,MATCH(CtryCode&amp;"|"&amp;$A1689,PTechKey,0),MATCH("vop_usd_per_kwh",PTechHdr,0))</f>
        <v>0.0</v>
      </c>
      <c r="L1689" s="236">
        <f>INDEX(PTechVal,MATCH(CtryCode&amp;"|"&amp;$A1689,PTechKey,0),MATCH("fuel_fixed_usd_per_kwh",PTechHdr,0))</f>
        <v>0.0</v>
      </c>
      <c r="M1689" s="236">
        <f>INDEX(PTechVal,MATCH(CtryCode&amp;"|"&amp;$A1689,PTechKey,0),MATCH("rns_usd_per_kwh",PTechHdr,0))</f>
        <v>0.0</v>
      </c>
      <c r="N1689" s="236" t="str">
        <f>INDEX(PTechVal,MATCH(CtryCode&amp;"|"&amp;$A1689,PTechKey,0),MATCH("price_code",PTechHdr,0))&amp;""</f>
        <v/>
      </c>
      <c r="O1689" s="39">
        <f>INDEX(PTechVal,MATCH(CtryCode&amp;"|"&amp;$A1689,PTechKey,0),MATCH("vre",PTechHdr,0))</f>
        <v>1.0</v>
      </c>
      <c r="P1689" s="39">
        <f>INDEX(PTechVal,MATCH(CtryCode&amp;"|"&amp;$A1689,PTechKey,0),MATCH("vre_share",PTechHdr,0))</f>
        <v>1.0</v>
      </c>
      <c r="Q1689" s="196">
        <f>(1-(1+$G1689)^-$D1689)/(1-(1+$G1689)^-1)</f>
        <v>7.816043789433906</v>
      </c>
      <c r="R1689" s="236">
        <f>(1/$D1689+$G1689*CapAvgShr)/($F1689*HoursYr)</f>
        <v>1.5986020657740542e-05</v>
      </c>
      <c r="S1689" s="236">
        <f>$H1689/$D1689/($F1689*HoursYr)+$J1689</f>
        <v>0.016481888627733435</v>
      </c>
      <c r="T1689" s="236">
        <f>1/($F1689*HoursYr*$Q1689)</f>
        <v>1.944249052004357e-05</v>
      </c>
      <c r="U1689" s="236">
        <f>($H1689+$I1689)*$T1689+$J1689+$M1689</f>
        <v>0.026889945614785932</v>
      </c>
      <c r="V1689" s="236">
        <f>$K1689+$L1689</f>
        <v>0.0</v>
      </c>
      <c r="W1689" s="236">
        <f>IF($N1689="",0,GJperkWh/$E1689)</f>
        <v>0.0</v>
      </c>
      <c r="X1689" s="39">
        <f>IF($N1689="",1,INDEX('Constants and Mappings'!$E$1633:$E$1644,MATCH($N1689,'Constants and Mappings'!$A$1633:$A$1644,0)))</f>
        <v>1.0</v>
      </c>
      <c r="Y1689" s="236">
        <f>IFERROR(INDEX(EFSel,MATCH($A1689&amp;"|pow",EFSelKey,0)),0)*EFCalib</f>
        <v>0.0</v>
      </c>
      <c r="Z1689" s="236">
        <f>$Y1689*$W1689</f>
        <v>0.0</v>
      </c>
      <c r="AA1689" s="39">
        <f>IF($N1689="",1,INDEX('Constants and Mappings'!$H$229:$H$237,MATCH($A1689,FuelKey,0)))</f>
        <v>1.0</v>
      </c>
      <c r="AB1689" s="39">
        <f>IF($N1689="",1,INDEX('Constants and Mappings'!$E$300:$E$313,MATCH($N1689,'Constants and Mappings'!$A$300:$A$313,0)))</f>
        <v>1.0</v>
      </c>
      <c r="AC1689" s="48">
        <f>IF($N1689="",1,INDEX('Constants and Mappings'!$G$229:$G$237,MATCH($A1689,FuelKey,0)))</f>
        <v>1.0</v>
      </c>
      <c r="AD1689" s="236">
        <f>$W1689/$AC1689</f>
        <v>0.0</v>
      </c>
      <c r="AE1689" s="109">
        <f>INDEX(PTechVal,MATCH(CtryCode&amp;"|"&amp;$A1689,PTechKey,0),MATCH("cap0_mw",PTechHdr,0))</f>
        <v>0.0</v>
      </c>
      <c r="AF1689" s="109">
        <f>INDEX(PTechVal,MATCH(CtryCode&amp;"|"&amp;$A1689,PTechKey,0),MATCH("gen0_mwy",PTechHdr,0))</f>
        <v>0.0</v>
      </c>
      <c r="AG1689" s="236">
        <f>INDEX(PTechVal,MATCH(CtryCode&amp;"|"&amp;$A1689,PTechKey,0),MATCH("retire_rate",PTechHdr,0))</f>
        <v>0.03333333333333333</v>
      </c>
      <c r="AH1689" s="71" t="str">
        <f>INDEX(PTechVal,MATCH(CtryCode&amp;"|"&amp;$A1689,PTechKey,0),MATCH("invest_permitted",PTechHdr,0))&amp;""</f>
        <v>No</v>
      </c>
      <c r="AI1689" s="39">
        <f>INDEX(PTechVal,MATCH(CtryCode&amp;"|"&amp;$A1689,PTechKey,0),MATCH("invest_start",PTechHdr,0))</f>
        <v>2030.0</v>
      </c>
      <c r="AJ1689" s="225">
        <f>INDEX(PTechVal,MATCH(CtryCode&amp;"|"&amp;$A1689,PTechKey,0),MATCH("scaleup_rate",PTechHdr,0))</f>
        <v>0.02</v>
      </c>
      <c r="AK1689" s="71" t="str">
        <f>INDEX(PTechVal,MATCH(CtryCode&amp;"|"&amp;$A1689,PTechKey,0),MATCH("dispatch",PTechHdr,0))&amp;""</f>
        <v>fixed</v>
      </c>
      <c r="AL1689" s="71" t="str">
        <f>INDEX(PTechVal,MATCH(CtryCode&amp;"|"&amp;$A1689,PTechKey,0),MATCH("planned_retirement",PTechHdr,0))&amp;""</f>
        <v>No</v>
      </c>
      <c r="AM1689" s="39">
        <f>IF($AL1689="Yes",1,0)</f>
        <v>0.0</v>
      </c>
      <c r="AN1689" s="39">
        <f>IF($AK1689="cg",1,0)</f>
        <v>0.0</v>
      </c>
      <c r="AO1689" s="39">
        <f>IF($A1689="coa",1,0)</f>
        <v>0.0</v>
      </c>
      <c r="AP1689" s="236">
        <f>1/$F1689</f>
        <v>1.3311990097755522</v>
      </c>
      <c r="AQ1689" s="225">
        <f>$AF1689/SUM($AF$1682:$AF$1690)</f>
        <v>0.0</v>
      </c>
      <c r="AR1689" s="236">
        <f>MWyMkWh/INDEX(PParVal,MATCH(CtryCode&amp;"|ktoe_gwh",PParKey,0))/$E1689</f>
        <v>0.7532244196044712</v>
      </c>
      <c r="AS1689" s="236">
        <f>$Y1689*'Constants and Mappings'!$C$13</f>
        <v>0.0</v>
      </c>
      <c r="AT1689" s="237">
        <f>(MATCH($A1689,$A$1682:$A$1690,0)-1)*TieBreak</f>
        <v>9.492e-06</v>
      </c>
      <c r="AU1689" s="39">
        <f>IFERROR(MATCH("pow|"&amp;$A1689,XKey,0),1)</f>
        <v>1.0</v>
      </c>
      <c r="AV1689" s="48">
        <f>INDEX(XCTVal,$AU1689,ECPEmb)+INDEX(XETSVal,$AU1689,ECPEmb)</f>
        <v>0.0</v>
      </c>
      <c r="AW1689" s="39">
        <f>IF(ISNUMBER(MATCH($A1689,FuelKey,0)),1,0)</f>
        <v>0.0</v>
      </c>
      <c r="AX1689" s="236">
        <f>'Constants and Mappings'!$AT$2276</f>
        <v>0.0</v>
      </c>
      <c r="AY1689" s="236">
        <f>'Constants and Mappings'!$AR$2276</f>
        <v>0.7512024818652816</v>
      </c>
      <c r="AZ1689" s="236">
        <f>IF(OR($A1689="wnd",$A1689="sol"),1,0)</f>
        <v>0.0</v>
      </c>
      <c r="BA1689" s="236">
        <f>IFERROR($BR1689/($BQ1689*KtoeGWh),-1)</f>
        <v>-1.0</v>
      </c>
      <c r="BB1689" s="236">
        <f>'Constants and Mappings'!$AJ$2276</f>
        <v>1.0</v>
      </c>
      <c r="BC1689" s="236">
        <f>PsCtryWacc+PsCoalAdj</f>
        <v>0.12412642998297449</v>
      </c>
      <c r="BD1689" s="236">
        <f>PsCtryWacc+'Constants and Mappings'!$AL$2276</f>
        <v>0.14372642998297447</v>
      </c>
      <c r="BE1689" s="236">
        <f>'Constants and Mappings'!$AQ$2276</f>
        <v>0.09868924004999999</v>
      </c>
      <c r="BF1689" s="236">
        <f>1/$D1689</f>
        <v>0.03333333333333333</v>
      </c>
      <c r="BG1689" s="236">
        <f>$H1689/$D1689+$BI1689</f>
        <v>108.45962423250933</v>
      </c>
      <c r="BH1689" s="236">
        <f>$H1689+$I1689*TrCostShare</f>
        <v>601.4460891571164</v>
      </c>
      <c r="BI1689" s="236">
        <f>'Constants and Mappings'!$AP$2276</f>
        <v>100.0</v>
      </c>
      <c r="BJ1689" s="236">
        <f>IF($N1689="",0,1)</f>
        <v>0.0</v>
      </c>
      <c r="BK1689" s="236">
        <f>MWyMkWh/INDEX(PParVal,MATCH(CtryCode&amp;"|ktoe_gwh",PParKey,0))</f>
        <v>0.7532244196044712</v>
      </c>
      <c r="BL1689" s="236">
        <f>IF($A1689="hyd",1,0)</f>
        <v>0.0</v>
      </c>
      <c r="BM1689" s="236">
        <f>IF($A1689="nga",1,0)</f>
        <v>0.0</v>
      </c>
      <c r="BN1689" s="236">
        <f>MATCH($A1689,$A$1682:$A$1690,0)</f>
        <v>8.0</v>
      </c>
      <c r="BO1689" s="236">
        <f>IF(OR($A1689="coa",$A1689="nga",$A1689="hyd"),1,0)</f>
        <v>0.0</v>
      </c>
      <c r="BP1689" s="236">
        <f>IF(OR($A1689="wnd",$A1689="sol",$A1689="ore",$A1689="bio"),1,0)</f>
        <v>1.0</v>
      </c>
      <c r="BQ1689" s="236">
        <f>'Constants and Mappings'!$AI$2276</f>
        <v>-0.0</v>
      </c>
      <c r="BR1689" s="236">
        <f>'Constants and Mappings'!$AH$2276</f>
        <v>0.0</v>
      </c>
      <c r="BS1689" s="236">
        <f>IFERROR(INDEX(NCEfIn,MATCH("pow."&amp;$A1689&amp;".pm2",NCEfKey,0)),0)</f>
        <v>0.0</v>
      </c>
      <c r="BT1689" s="236">
        <f>IFERROR(INDEX(NCEfFin,MATCH("pow."&amp;$A1689&amp;".pm2",NCEfKey,0)),0)</f>
        <v>0.0</v>
      </c>
      <c r="BU1689" s="236">
        <f>IFERROR(INDEX(NCEfIn,MATCH("pow."&amp;$A1689&amp;".nox",NCEfKey,0)),0)</f>
        <v>0.0</v>
      </c>
      <c r="BV1689" s="236">
        <f>IFERROR(INDEX(NCEfFin,MATCH("pow."&amp;$A1689&amp;".nox",NCEfKey,0)),0)</f>
        <v>0.0</v>
      </c>
      <c r="BW1689" s="236">
        <f>IFERROR(INDEX(NCEfIn,MATCH("pow."&amp;$A1689&amp;".so2",NCEfKey,0)),0)</f>
        <v>0.0</v>
      </c>
      <c r="BX1689" s="236">
        <f>IFERROR(INDEX(NCEfFin,MATCH("pow."&amp;$A1689&amp;".so2",NCEfKey,0)),0)</f>
        <v>0.0</v>
      </c>
      <c r="BY1689" s="236">
        <f>IFERROR(INDEX(NCEfIn,MATCH("pow."&amp;$A1689&amp;".voc",NCEfKey,0)),0)</f>
        <v>0.0</v>
      </c>
      <c r="BZ1689" s="236">
        <f>IFERROR(INDEX(NCEfFin,MATCH("pow."&amp;$A1689&amp;".voc",NCEfKey,0)),0)</f>
        <v>0.0</v>
      </c>
      <c r="CA1689" s="236">
        <f>IFERROR(INDEX(NCEfIn,MATCH("pow."&amp;$A1689&amp;".bc",NCEfKey,0)),0)</f>
        <v>0.0</v>
      </c>
      <c r="CB1689" s="236">
        <f>IFERROR(INDEX(NCEfFin,MATCH("pow."&amp;$A1689&amp;".bc",NCEfKey,0)),0)</f>
        <v>0.0</v>
      </c>
      <c r="CC1689" s="236">
        <f>IFERROR(INDEX(NCEfIn,MATCH("pow."&amp;$A1689&amp;".oc",NCEfKey,0)),0)</f>
        <v>0.0</v>
      </c>
      <c r="CD1689" s="236">
        <f>IFERROR(INDEX(NCEfFin,MATCH("pow."&amp;$A1689&amp;".oc",NCEfKey,0)),0)</f>
        <v>0.0</v>
      </c>
      <c r="CE1689" s="236">
        <f>IFERROR(INDEX(NCEfIn,MATCH("pow."&amp;$A1689&amp;".co",NCEfKey,0)),0)</f>
        <v>0.0</v>
      </c>
      <c r="CF1689" s="236">
        <f>IFERROR(INDEX(NCEfFin,MATCH("pow."&amp;$A1689&amp;".co",NCEfKey,0)),0)</f>
        <v>0.0</v>
      </c>
    </row>
    <row r="1690">
      <c r="A1690" s="235" t="inlineStr">
        <is>
          <t>bio</t>
        </is>
      </c>
      <c r="B1690" s="236" t="str">
        <f>INDEX(PTechVal,MATCH(CtryCode&amp;"|"&amp;$A1690,PTechKey,0),MATCH("name",PTechHdr,0))&amp;""</f>
        <v>Biomass</v>
      </c>
      <c r="C1690" s="195">
        <f>INDEX(PTechVal,MATCH(CtryCode&amp;"|"&amp;$A1690,PTechKey,0),MATCH("cax0_usd_per_kw",PTechHdr,0))</f>
        <v>2000.0</v>
      </c>
      <c r="D1690" s="39">
        <f>INDEX(PTechVal,MATCH(CtryCode&amp;"|"&amp;$A1690,PTechKey,0),MATCH("life_years",PTechHdr,0))</f>
        <v>30.0</v>
      </c>
      <c r="E1690" s="196">
        <f>INDEX(PTechVal,MATCH(CtryCode&amp;"|"&amp;$A1690,PTechKey,0),MATCH("efficiency",PTechHdr,0))</f>
        <v>0.2527459259259259</v>
      </c>
      <c r="F1690" s="196">
        <f>INDEX(PTechVal,MATCH(CtryCode&amp;"|"&amp;$A1690,PTechKey,0),MATCH("capacity_factor",PTechHdr,0))</f>
        <v>0.6857673941438077</v>
      </c>
      <c r="G1690" s="225">
        <f>INDEX(PTechVal,MATCH(CtryCode&amp;"|"&amp;$A1690,PTechKey,0),MATCH("wacc",PTechHdr,0))</f>
        <v>0.13162642998297447</v>
      </c>
      <c r="H1690" s="236">
        <f>INDEX(PTechVal,MATCH(CtryCode&amp;"|"&amp;$A1690,PTechKey,0),MATCH("dtc_usd_per_kw",PTechHdr,0))</f>
        <v>145.02212970016</v>
      </c>
      <c r="I1690" s="236">
        <f>INDEX(PTechVal,MATCH(CtryCode&amp;"|"&amp;$A1690,PTechKey,0),MATCH("tcx_usd_per_kw",PTechHdr,0))</f>
        <v>267.624027358642</v>
      </c>
      <c r="J1690" s="236">
        <f>INDEX(PTechVal,MATCH(CtryCode&amp;"|"&amp;$A1690,PTechKey,0),MATCH("opf_usd_per_kwh",PTechHdr,0))</f>
        <v>0.016646351534994937</v>
      </c>
      <c r="K1690" s="236">
        <f>INDEX(PTechVal,MATCH(CtryCode&amp;"|"&amp;$A1690,PTechKey,0),MATCH("vop_usd_per_kwh",PTechHdr,0))</f>
        <v>0.003</v>
      </c>
      <c r="L1690" s="236">
        <f>INDEX(PTechVal,MATCH(CtryCode&amp;"|"&amp;$A1690,PTechKey,0),MATCH("fuel_fixed_usd_per_kwh",PTechHdr,0))</f>
        <v>0.0</v>
      </c>
      <c r="M1690" s="236">
        <f>INDEX(PTechVal,MATCH(CtryCode&amp;"|"&amp;$A1690,PTechKey,0),MATCH("rns_usd_per_kwh",PTechHdr,0))</f>
        <v>0.0</v>
      </c>
      <c r="N1690" s="236" t="str">
        <f>INDEX(PTechVal,MATCH(CtryCode&amp;"|"&amp;$A1690,PTechKey,0),MATCH("price_code",PTechHdr,0))&amp;""</f>
        <v>bio.all</v>
      </c>
      <c r="O1690" s="39">
        <f>INDEX(PTechVal,MATCH(CtryCode&amp;"|"&amp;$A1690,PTechKey,0),MATCH("vre",PTechHdr,0))</f>
        <v>0.0</v>
      </c>
      <c r="P1690" s="39">
        <f>INDEX(PTechVal,MATCH(CtryCode&amp;"|"&amp;$A1690,PTechKey,0),MATCH("vre_share",PTechHdr,0))</f>
        <v>0.0</v>
      </c>
      <c r="Q1690" s="196">
        <f>(1-(1+$G1690)^-$D1690)/(1-(1+$G1690)^-1)</f>
        <v>8.386750922167383</v>
      </c>
      <c r="R1690" s="236">
        <f>(1/$D1690+$G1690*CapAvgShr)/($F1690*HoursYr)</f>
        <v>1.6504282968963263e-05</v>
      </c>
      <c r="S1690" s="236">
        <f>$H1690/$D1690/($F1690*HoursYr)+$J1690</f>
        <v>0.017451047985442437</v>
      </c>
      <c r="T1690" s="236">
        <f>1/($F1690*HoursYr*$Q1690)</f>
        <v>1.9848391456334115e-05</v>
      </c>
      <c r="U1690" s="236">
        <f>($H1690+$I1690)*$T1690+$J1690+$M1690</f>
        <v>0.024836713993249968</v>
      </c>
      <c r="V1690" s="236">
        <f>$K1690+$L1690</f>
        <v>0.003</v>
      </c>
      <c r="W1690" s="236">
        <f>IF($N1690="",0,GJperkWh/$E1690)</f>
        <v>0.014243553033788875</v>
      </c>
      <c r="X1690" s="39">
        <f>IF($N1690="",1,INDEX('Constants and Mappings'!$E$1633:$E$1644,MATCH($N1690,'Constants and Mappings'!$A$1633:$A$1644,0)))</f>
        <v>312.0</v>
      </c>
      <c r="Y1690" s="236">
        <f>IFERROR(INDEX(EFSel,MATCH($A1690&amp;"|pow",EFSelKey,0)),0)*EFCalib</f>
        <v>0.0</v>
      </c>
      <c r="Z1690" s="236">
        <f>$Y1690*$W1690</f>
        <v>0.0</v>
      </c>
      <c r="AA1690" s="39">
        <f>IF($N1690="",1,INDEX('Constants and Mappings'!$H$229:$H$237,MATCH($A1690,FuelKey,0)))</f>
        <v>9.0</v>
      </c>
      <c r="AB1690" s="39">
        <f>IF($N1690="",1,INDEX('Constants and Mappings'!$E$300:$E$313,MATCH($N1690,'Constants and Mappings'!$A$300:$A$313,0)))</f>
        <v>14.0</v>
      </c>
      <c r="AC1690" s="48">
        <f>IF($N1690="",1,INDEX('Constants and Mappings'!$G$229:$G$237,MATCH($A1690,FuelKey,0)))</f>
        <v>1.0</v>
      </c>
      <c r="AD1690" s="236">
        <f>$W1690/$AC1690</f>
        <v>0.014243553033788875</v>
      </c>
      <c r="AE1690" s="109">
        <f>INDEX(PTechVal,MATCH(CtryCode&amp;"|"&amp;$A1690,PTechKey,0),MATCH("cap0_mw",PTechHdr,0))</f>
        <v>0.0</v>
      </c>
      <c r="AF1690" s="109">
        <f>INDEX(PTechVal,MATCH(CtryCode&amp;"|"&amp;$A1690,PTechKey,0),MATCH("gen0_mwy",PTechHdr,0))</f>
        <v>0.0</v>
      </c>
      <c r="AG1690" s="236">
        <f>INDEX(PTechVal,MATCH(CtryCode&amp;"|"&amp;$A1690,PTechKey,0),MATCH("retire_rate",PTechHdr,0))</f>
        <v>0.03333333333333333</v>
      </c>
      <c r="AH1690" s="71" t="str">
        <f>INDEX(PTechVal,MATCH(CtryCode&amp;"|"&amp;$A1690,PTechKey,0),MATCH("invest_permitted",PTechHdr,0))&amp;""</f>
        <v>No</v>
      </c>
      <c r="AI1690" s="39">
        <f>INDEX(PTechVal,MATCH(CtryCode&amp;"|"&amp;$A1690,PTechKey,0),MATCH("invest_start",PTechHdr,0))</f>
        <v>2022.0</v>
      </c>
      <c r="AJ1690" s="225">
        <f>INDEX(PTechVal,MATCH(CtryCode&amp;"|"&amp;$A1690,PTechKey,0),MATCH("scaleup_rate",PTechHdr,0))</f>
        <v>0.02</v>
      </c>
      <c r="AK1690" s="71" t="str">
        <f>INDEX(PTechVal,MATCH(CtryCode&amp;"|"&amp;$A1690,PTechKey,0),MATCH("dispatch",PTechHdr,0))&amp;""</f>
        <v>fixed</v>
      </c>
      <c r="AL1690" s="71" t="str">
        <f>INDEX(PTechVal,MATCH(CtryCode&amp;"|"&amp;$A1690,PTechKey,0),MATCH("planned_retirement",PTechHdr,0))&amp;""</f>
        <v>No</v>
      </c>
      <c r="AM1690" s="39">
        <f>IF($AL1690="Yes",1,0)</f>
        <v>0.0</v>
      </c>
      <c r="AN1690" s="39">
        <f>IF($AK1690="cg",1,0)</f>
        <v>0.0</v>
      </c>
      <c r="AO1690" s="39">
        <f>IF($A1690="coa",1,0)</f>
        <v>0.0</v>
      </c>
      <c r="AP1690" s="236">
        <f>1/$F1690</f>
        <v>1.4582203944655565</v>
      </c>
      <c r="AQ1690" s="225">
        <f>$AF1690/SUM($AF$1682:$AF$1690)</f>
        <v>0.0</v>
      </c>
      <c r="AR1690" s="236">
        <f>MWyMkWh/INDEX(PParVal,MATCH(CtryCode&amp;"|ktoe_gwh",PParKey,0))/$E1690</f>
        <v>2.9801644352725365</v>
      </c>
      <c r="AS1690" s="236">
        <f>$Y1690*'Constants and Mappings'!$C$13</f>
        <v>0.0</v>
      </c>
      <c r="AT1690" s="237">
        <f>(MATCH($A1690,$A$1682:$A$1690,0)-1)*TieBreak</f>
        <v>1.0848e-05</v>
      </c>
      <c r="AU1690" s="39">
        <f>IFERROR(MATCH("pow|"&amp;$A1690,XKey,0),1)</f>
        <v>10.0</v>
      </c>
      <c r="AV1690" s="48">
        <f>INDEX(XCTVal,$AU1690,ECPEmb)+INDEX(XETSVal,$AU1690,ECPEmb)</f>
        <v>0.0</v>
      </c>
      <c r="AW1690" s="39">
        <f>IF(ISNUMBER(MATCH($A1690,FuelKey,0)),1,0)</f>
        <v>1.0</v>
      </c>
      <c r="AX1690" s="236">
        <f>'Constants and Mappings'!$AT$2277</f>
        <v>0.0</v>
      </c>
      <c r="AY1690" s="236">
        <f>'Constants and Mappings'!$AR$2277</f>
        <v>0.6857673941438077</v>
      </c>
      <c r="AZ1690" s="236">
        <f>IF(OR($A1690="wnd",$A1690="sol"),1,0)</f>
        <v>0.0</v>
      </c>
      <c r="BA1690" s="236">
        <f>IFERROR($BR1690/($BQ1690*KtoeGWh),-1)</f>
        <v>-1.0</v>
      </c>
      <c r="BB1690" s="236">
        <f>'Constants and Mappings'!$AJ$2277</f>
        <v>0.2527459259259259</v>
      </c>
      <c r="BC1690" s="236">
        <f>PsCtryWacc+PsCoalAdj</f>
        <v>0.12412642998297449</v>
      </c>
      <c r="BD1690" s="236">
        <f>PsCtryWacc+'Constants and Mappings'!$AL$2277</f>
        <v>0.13162642998297447</v>
      </c>
      <c r="BE1690" s="236">
        <f>'Constants and Mappings'!$AQ$2277</f>
        <v>0.071058999375</v>
      </c>
      <c r="BF1690" s="236">
        <f>1/$D1690</f>
        <v>0.03333333333333333</v>
      </c>
      <c r="BG1690" s="236">
        <f>$H1690/$D1690+$BI1690</f>
        <v>104.83407099000533</v>
      </c>
      <c r="BH1690" s="236">
        <f>$H1690+$I1690*TrCostShare</f>
        <v>412.64615705880203</v>
      </c>
      <c r="BI1690" s="236">
        <f>'Constants and Mappings'!$AP$2277</f>
        <v>100.0</v>
      </c>
      <c r="BJ1690" s="236">
        <f>IF($N1690="",0,1)</f>
        <v>1.0</v>
      </c>
      <c r="BK1690" s="236">
        <f>MWyMkWh/INDEX(PParVal,MATCH(CtryCode&amp;"|ktoe_gwh",PParKey,0))</f>
        <v>0.7532244196044712</v>
      </c>
      <c r="BL1690" s="236">
        <f>IF($A1690="hyd",1,0)</f>
        <v>0.0</v>
      </c>
      <c r="BM1690" s="236">
        <f>IF($A1690="nga",1,0)</f>
        <v>0.0</v>
      </c>
      <c r="BN1690" s="236">
        <f>MATCH($A1690,$A$1682:$A$1690,0)</f>
        <v>9.0</v>
      </c>
      <c r="BO1690" s="236">
        <f>IF(OR($A1690="coa",$A1690="nga",$A1690="hyd"),1,0)</f>
        <v>0.0</v>
      </c>
      <c r="BP1690" s="236">
        <f>IF(OR($A1690="wnd",$A1690="sol",$A1690="ore",$A1690="bio"),1,0)</f>
        <v>1.0</v>
      </c>
      <c r="BQ1690" s="236">
        <f>'Constants and Mappings'!$AI$2277</f>
        <v>-0.0</v>
      </c>
      <c r="BR1690" s="236">
        <f>'Constants and Mappings'!$AH$2277</f>
        <v>0.0</v>
      </c>
      <c r="BS1690" s="236">
        <f>IFERROR(INDEX(NCEfIn,MATCH("pow."&amp;$A1690&amp;".pm2",NCEfKey,0)),0)</f>
        <v>0.0</v>
      </c>
      <c r="BT1690" s="236">
        <f>IFERROR(INDEX(NCEfFin,MATCH("pow."&amp;$A1690&amp;".pm2",NCEfKey,0)),0)</f>
        <v>0.0</v>
      </c>
      <c r="BU1690" s="236">
        <f>IFERROR(INDEX(NCEfIn,MATCH("pow."&amp;$A1690&amp;".nox",NCEfKey,0)),0)</f>
        <v>0.0</v>
      </c>
      <c r="BV1690" s="236">
        <f>IFERROR(INDEX(NCEfFin,MATCH("pow."&amp;$A1690&amp;".nox",NCEfKey,0)),0)</f>
        <v>0.0</v>
      </c>
      <c r="BW1690" s="236">
        <f>IFERROR(INDEX(NCEfIn,MATCH("pow."&amp;$A1690&amp;".so2",NCEfKey,0)),0)</f>
        <v>0.0</v>
      </c>
      <c r="BX1690" s="236">
        <f>IFERROR(INDEX(NCEfFin,MATCH("pow."&amp;$A1690&amp;".so2",NCEfKey,0)),0)</f>
        <v>0.0</v>
      </c>
      <c r="BY1690" s="236">
        <f>IFERROR(INDEX(NCEfIn,MATCH("pow."&amp;$A1690&amp;".voc",NCEfKey,0)),0)</f>
        <v>0.0</v>
      </c>
      <c r="BZ1690" s="236">
        <f>IFERROR(INDEX(NCEfFin,MATCH("pow."&amp;$A1690&amp;".voc",NCEfKey,0)),0)</f>
        <v>0.0</v>
      </c>
      <c r="CA1690" s="236">
        <f>IFERROR(INDEX(NCEfIn,MATCH("pow."&amp;$A1690&amp;".bc",NCEfKey,0)),0)</f>
        <v>0.0</v>
      </c>
      <c r="CB1690" s="236">
        <f>IFERROR(INDEX(NCEfFin,MATCH("pow."&amp;$A1690&amp;".bc",NCEfKey,0)),0)</f>
        <v>0.0</v>
      </c>
      <c r="CC1690" s="236">
        <f>IFERROR(INDEX(NCEfIn,MATCH("pow."&amp;$A1690&amp;".oc",NCEfKey,0)),0)</f>
        <v>0.0</v>
      </c>
      <c r="CD1690" s="236">
        <f>IFERROR(INDEX(NCEfFin,MATCH("pow."&amp;$A1690&amp;".oc",NCEfKey,0)),0)</f>
        <v>0.0</v>
      </c>
      <c r="CE1690" s="236">
        <f>IFERROR(INDEX(NCEfIn,MATCH("pow."&amp;$A1690&amp;".co",NCEfKey,0)),0)</f>
        <v>0.0</v>
      </c>
      <c r="CF1690" s="236">
        <f>IFERROR(INDEX(NCEfFin,MATCH("pow."&amp;$A1690&amp;".co",NCEfKey,0)),0)</f>
        <v>0.0</v>
      </c>
    </row>
    <row r="1691"/>
    <row r="1692">
      <c r="A1692" s="6" t="inlineStr">
        <is>
          <t>End-user groups (legacy G1 residential, G2 industrial)</t>
        </is>
      </c>
    </row>
    <row r="1693">
      <c r="A1693" s="6" t="inlineStr">
        <is>
          <t>Prices_dom row of the column year -&gt;</t>
        </is>
      </c>
      <c r="J1693" s="39" t="n">
        <v>3</v>
      </c>
      <c r="K1693" s="39" t="n">
        <v>4</v>
      </c>
      <c r="L1693" s="39" t="n">
        <v>5</v>
      </c>
      <c r="M1693" s="39" t="n">
        <v>6</v>
      </c>
      <c r="N1693" s="39" t="n">
        <v>3</v>
      </c>
      <c r="O1693" s="39" t="n">
        <v>4</v>
      </c>
      <c r="P1693" s="39" t="n">
        <v>5</v>
      </c>
      <c r="Q1693" s="39" t="n">
        <v>6</v>
      </c>
    </row>
    <row r="1694">
      <c r="A1694" s="6" t="inlineStr">
        <is>
          <t>CPI index of the column year (ResultsYear = 1) -&gt;</t>
        </is>
      </c>
      <c r="J1694" s="197">
        <f t="shared" ref="J1694:Q1694" si="61">CPIRes/INDEX(WEOVal,MATCH("USA|pcpi",WEOKey,0),MATCH(J$1695,WEOYear,0))</f>
        <v>1.2276586452020866</v>
      </c>
      <c r="K1694" s="197">
        <f t="shared" si="61"/>
        <v>1.1368175895069652</v>
      </c>
      <c r="L1694" s="197">
        <f t="shared" si="61"/>
        <v>1.0917610197470982</v>
      </c>
      <c r="M1694" s="197">
        <f t="shared" si="61"/>
        <v>1.060455217769889</v>
      </c>
      <c r="N1694" s="197">
        <f t="shared" si="61"/>
        <v>1.2276586452020866</v>
      </c>
      <c r="O1694" s="197">
        <f t="shared" si="61"/>
        <v>1.1368175895069652</v>
      </c>
      <c r="P1694" s="197">
        <f t="shared" si="61"/>
        <v>1.0917610197470982</v>
      </c>
      <c r="Q1694" s="197">
        <f t="shared" si="61"/>
        <v>1.060455217769889</v>
      </c>
    </row>
    <row r="1695" ht="48" customHeight="1">
      <c r="A1695" s="175" t="inlineStr">
        <is>
          <t>User group</t>
        </is>
      </c>
      <c r="B1695" s="175" t="inlineStr">
        <is>
          <t>Label</t>
        </is>
      </c>
      <c r="C1695" s="175" t="inlineStr">
        <is>
          <t>Position</t>
        </is>
      </c>
      <c r="D1695" s="175" t="inlineStr">
        <is>
          <t>Consumption: weight on total demand</t>
        </is>
      </c>
      <c r="E1695" s="175" t="inlineStr">
        <is>
          <t>Consumption: weight on residential demand</t>
        </is>
      </c>
      <c r="F1695" s="175" t="inlineStr">
        <is>
          <t>Transmission and distribution ($/kWh)</t>
        </is>
      </c>
      <c r="G1695" s="175" t="inlineStr">
        <is>
          <t>Pass-through of supply-cost changes</t>
        </is>
      </c>
      <c r="H1695" s="175" t="inlineStr">
        <is>
          <t>VAT rate, last historical year (data; blank = 0)</t>
        </is>
      </c>
      <c r="I1695" s="175" t="inlineStr">
        <is>
          <t>VAT share of the price: VAT / (1 + VAT)</t>
        </is>
      </c>
      <c r="J1695" s="176" t="n">
        <v>2021</v>
      </c>
      <c r="K1695" s="176" t="n">
        <v>2022</v>
      </c>
      <c r="L1695" s="176" t="n">
        <v>2023</v>
      </c>
      <c r="M1695" s="176" t="n">
        <v>2024</v>
      </c>
      <c r="N1695" s="176" t="n">
        <v>2021</v>
      </c>
      <c r="O1695" s="176" t="n">
        <v>2022</v>
      </c>
      <c r="P1695" s="176" t="n">
        <v>2023</v>
      </c>
      <c r="Q1695" s="176" t="n">
        <v>2024</v>
      </c>
    </row>
    <row r="1696">
      <c r="A1696" s="238" t="inlineStr">
        <is>
          <t>res</t>
        </is>
      </c>
      <c r="B1696" s="238" t="inlineStr">
        <is>
          <t>Residential</t>
        </is>
      </c>
      <c r="C1696" s="133" t="n">
        <v>1</v>
      </c>
      <c r="D1696" s="133" t="n">
        <v>0</v>
      </c>
      <c r="E1696" s="133" t="n">
        <v>1</v>
      </c>
      <c r="F1696" s="197">
        <f>INDEX(PParVal,MATCH(CtryCode&amp;"|tmc|res",PParKey,0))</f>
        <v>0.04</v>
      </c>
      <c r="G1696" s="197">
        <f>INDEX(PParVal,MATCH(CtryCode&amp;"|pass",PParKey,0))</f>
        <v>1.0</v>
      </c>
      <c r="H1696" s="225">
        <f>IFERROR(INDEX(MPU,MATCH(LastHist,MPUYr,0),MATCH("mit.vatrate.ecy.res",MPUHdr,0))+0,0)</f>
        <v>0.0</v>
      </c>
      <c r="I1696" s="225">
        <f>$H1696/(1+$H1696)</f>
        <v>0.0</v>
      </c>
      <c r="J1696" s="197">
        <f t="shared" ref="J1696:M1696" si="62">IFERROR(INDEX(MPU,MATCH(J$1695,MPUYr,0),MATCH("mit.rp.ecy.res",MPUHdr,0))+0,0)*J$1694</f>
        <v>0.09144608201643371</v>
      </c>
      <c r="K1696" s="197">
        <f t="shared" si="62"/>
        <v>0.061135554578983314</v>
      </c>
      <c r="L1696" s="197">
        <f t="shared" si="62"/>
        <v>0.053218541238289355</v>
      </c>
      <c r="M1696" s="197">
        <f t="shared" si="62"/>
        <v>0.04512806452045624</v>
      </c>
      <c r="N1696" s="197">
        <f t="shared" ref="N1696:Q1696" si="63">IFERROR(INDEX(MPU,MATCH(N$1695,MPUYr,0),MATCH("mit.txo.ecy.res",MPUHdr,0))*N$1694,"")</f>
        <v>0.0023849181462319113</v>
      </c>
      <c r="O1696" s="197">
        <f t="shared" si="63"/>
        <v>0.0020833662255335425</v>
      </c>
      <c r="P1696" s="197">
        <f t="shared" si="63"/>
        <v>0.0012365016052459882</v>
      </c>
      <c r="Q1696" s="197">
        <f t="shared" si="63"/>
        <v>-0.05561518116768331</v>
      </c>
    </row>
    <row r="1697">
      <c r="A1697" s="238" t="inlineStr">
        <is>
          <t>ind</t>
        </is>
      </c>
      <c r="B1697" s="238" t="inlineStr">
        <is>
          <t>Industry</t>
        </is>
      </c>
      <c r="C1697" s="133" t="n">
        <v>2</v>
      </c>
      <c r="D1697" s="133" t="n">
        <v>1</v>
      </c>
      <c r="E1697" s="133" t="n">
        <v>-1</v>
      </c>
      <c r="F1697" s="197">
        <f>INDEX(PParVal,MATCH(CtryCode&amp;"|tmc|ind",PParKey,0))</f>
        <v>0.015</v>
      </c>
      <c r="G1697" s="197">
        <f>INDEX(PParVal,MATCH(CtryCode&amp;"|pass",PParKey,0))</f>
        <v>1.0</v>
      </c>
      <c r="H1697" s="225">
        <f>IFERROR(INDEX(MPU,MATCH(LastHist,MPUYr,0),MATCH("mit.vatrate.ecy.ind",MPUHdr,0))+0,0)</f>
        <v>0.0</v>
      </c>
      <c r="I1697" s="225">
        <f>$H1697/(1+$H1697)</f>
        <v>0.0</v>
      </c>
      <c r="J1697" s="197">
        <f t="shared" ref="J1697:M1697" si="64">IFERROR(INDEX(MPU,MATCH(J$1695,MPUYr,0),MATCH("mit.rp.ecy.ind",MPUHdr,0))+0,0)*J$1694</f>
        <v>0.08569350220962521</v>
      </c>
      <c r="K1697" s="197">
        <f t="shared" si="64"/>
        <v>0.06232636786375494</v>
      </c>
      <c r="L1697" s="197">
        <f t="shared" si="64"/>
        <v>0.06351364169897267</v>
      </c>
      <c r="M1697" s="197">
        <f t="shared" si="64"/>
        <v>0.05314551198561693</v>
      </c>
      <c r="N1697" s="197">
        <f t="shared" ref="N1697:Q1697" si="65">IFERROR(INDEX(MPU,MATCH(N$1695,MPUYr,0),MATCH("mit.txo.ecy.ind",MPUHdr,0))*N$1694,"")</f>
        <v>4.555274421767108e-06</v>
      </c>
      <c r="O1697" s="197">
        <f t="shared" si="65"/>
        <v>4.221214293216369e-06</v>
      </c>
      <c r="P1697" s="197">
        <f t="shared" si="65"/>
        <v>2.5007644074650728e-06</v>
      </c>
      <c r="Q1697" s="197">
        <f t="shared" si="65"/>
        <v>-0.05396046500914186</v>
      </c>
    </row>
    <row r="1698"/>
    <row r="1699"/>
    <row r="1700"/>
    <row r="1701"/>
    <row r="1702"/>
    <row r="1703"/>
    <row r="1704">
      <c r="A1704" s="6" t="inlineStr">
        <is>
          <t>Power demand groups (legacy H1; elasticities from sheet Elasticities, fuel ecy, by income group)</t>
        </is>
      </c>
    </row>
    <row r="1705">
      <c r="A1705" s="175" t="inlineStr">
        <is>
          <t>Demand group</t>
        </is>
      </c>
      <c r="B1705" s="175" t="inlineStr">
        <is>
          <t>Label</t>
        </is>
      </c>
      <c r="C1705" s="175" t="inlineStr">
        <is>
          <t>Position</t>
        </is>
      </c>
      <c r="D1705" s="175" t="inlineStr">
        <is>
          <t>Price weight on the residential price (transport 0.5; industry, services 0)</t>
        </is>
      </c>
      <c r="E1705" s="175" t="inlineStr">
        <is>
          <t>GDP elasticity eps_Y</t>
        </is>
      </c>
      <c r="F1705" s="175" t="inlineStr">
        <is>
          <t>Usage elasticity eps_U</t>
        </is>
      </c>
      <c r="G1705" s="175" t="inlineStr">
        <is>
          <t>Efficiency elasticity eps_F</t>
        </is>
      </c>
      <c r="H1705" s="175" t="inlineStr">
        <is>
          <t>Autonomous efficiency gain alpha</t>
        </is>
      </c>
      <c r="I1705" s="175" t="inlineStr">
        <is>
          <t>Efficiency multiple (1 / (1 + alpha + additional efficiency))^(1 + eps_U)</t>
        </is>
      </c>
      <c r="J1705" s="175" t="inlineStr">
        <is>
          <t>Total price elasticity eps_U + eps_F + eps_U x eps_F (legacy row 3679)</t>
        </is>
      </c>
      <c r="K1705" s="175" t="inlineStr">
        <is>
          <t>Price of 2021 (real $/kWh; weighted)</t>
        </is>
      </c>
    </row>
    <row r="1706">
      <c r="A1706" s="238" t="inlineStr">
        <is>
          <t>tra</t>
        </is>
      </c>
      <c r="B1706" s="238" t="inlineStr">
        <is>
          <t>Transport</t>
        </is>
      </c>
      <c r="C1706" s="39" t="n">
        <v>1</v>
      </c>
      <c r="D1706" s="238" t="n">
        <v>0.5</v>
      </c>
      <c r="E1706" s="197">
        <f>INDEX(ElaSel,MATCH("inc|ecy|"&amp;$A1706,ElaSelKey,0))</f>
        <v>1.2</v>
      </c>
      <c r="F1706" s="197">
        <f>INDEX(ElaSel,MATCH("usg|ecy|"&amp;$A1706,ElaSelKey,0))</f>
        <v>-0.2</v>
      </c>
      <c r="G1706" s="197">
        <f>INDEX(ElaSel,MATCH("eff|ecy|"&amp;$A1706,ElaSelKey,0))</f>
        <v>-0.2</v>
      </c>
      <c r="H1706" s="197">
        <f>INDEX(ElaSel,MATCH("aei|ecy|"&amp;$A1706,ElaSelKey,0))</f>
        <v>0.01</v>
      </c>
      <c r="I1706" s="197">
        <f>(1/(1+$H1706+INDEX(PParVal,MATCH(CtryCode&amp;"|extra_eff",PParKey,0))))^(1+$F1706)</f>
        <v>0.9920713343233003</v>
      </c>
      <c r="J1706" s="197">
        <f>$F1706+$G1706+$F1706*$G1706</f>
        <v>-0.36</v>
      </c>
      <c r="K1706" s="197">
        <f>$D1706*$J$1696+(1-$D1706)*$J$1697</f>
        <v>0.08856979211302946</v>
      </c>
    </row>
    <row r="1707">
      <c r="A1707" s="238" t="inlineStr">
        <is>
          <t>res</t>
        </is>
      </c>
      <c r="B1707" s="238" t="inlineStr">
        <is>
          <t>Residential</t>
        </is>
      </c>
      <c r="C1707" s="39" t="n">
        <v>2</v>
      </c>
      <c r="D1707" s="238" t="n">
        <v>1</v>
      </c>
      <c r="E1707" s="197">
        <f>INDEX(ElaSel,MATCH("inc|ecy|"&amp;$A1707,ElaSelKey,0))</f>
        <v>0.8</v>
      </c>
      <c r="F1707" s="197">
        <f>INDEX(ElaSel,MATCH("usg|ecy|"&amp;$A1707,ElaSelKey,0))</f>
        <v>-0.3</v>
      </c>
      <c r="G1707" s="197">
        <f>INDEX(ElaSel,MATCH("eff|ecy|"&amp;$A1707,ElaSelKey,0))</f>
        <v>-0.2</v>
      </c>
      <c r="H1707" s="197">
        <f>INDEX(ElaSel,MATCH("aei|ecy|"&amp;$A1707,ElaSelKey,0))</f>
        <v>0.005</v>
      </c>
      <c r="I1707" s="197">
        <f>(1/(1+$H1707+INDEX(PParVal,MATCH(CtryCode&amp;"|extra_eff",PParKey,0))))^(1+$F1707)</f>
        <v>0.9965148083706379</v>
      </c>
      <c r="J1707" s="197">
        <f>$F1707+$G1707+$F1707*$G1707</f>
        <v>-0.44</v>
      </c>
      <c r="K1707" s="197">
        <f>$D1707*$J$1696+(1-$D1707)*$J$1697</f>
        <v>0.09144608201643371</v>
      </c>
    </row>
    <row r="1708">
      <c r="A1708" s="238" t="inlineStr">
        <is>
          <t>ind</t>
        </is>
      </c>
      <c r="B1708" s="238" t="inlineStr">
        <is>
          <t>Industry</t>
        </is>
      </c>
      <c r="C1708" s="39" t="n">
        <v>3</v>
      </c>
      <c r="D1708" s="238" t="n">
        <v>0</v>
      </c>
      <c r="E1708" s="197">
        <f>INDEX(ElaSel,MATCH("inc|ecy|"&amp;$A1708,ElaSelKey,0))</f>
        <v>0.8</v>
      </c>
      <c r="F1708" s="197">
        <f>INDEX(ElaSel,MATCH("usg|ecy|"&amp;$A1708,ElaSelKey,0))</f>
        <v>-0.3</v>
      </c>
      <c r="G1708" s="197">
        <f>INDEX(ElaSel,MATCH("eff|ecy|"&amp;$A1708,ElaSelKey,0))</f>
        <v>-0.2</v>
      </c>
      <c r="H1708" s="197">
        <f>INDEX(ElaSel,MATCH("aei|ecy|"&amp;$A1708,ElaSelKey,0))</f>
        <v>0.005</v>
      </c>
      <c r="I1708" s="197">
        <f>(1/(1+$H1708+INDEX(PParVal,MATCH(CtryCode&amp;"|extra_eff",PParKey,0))))^(1+$F1708)</f>
        <v>0.9965148083706379</v>
      </c>
      <c r="J1708" s="197">
        <f>$F1708+$G1708+$F1708*$G1708</f>
        <v>-0.44</v>
      </c>
      <c r="K1708" s="197">
        <f>$D1708*$J$1696+(1-$D1708)*$J$1697</f>
        <v>0.08569350220962521</v>
      </c>
    </row>
    <row r="1709">
      <c r="A1709" s="238" t="inlineStr">
        <is>
          <t>srv</t>
        </is>
      </c>
      <c r="B1709" s="238" t="inlineStr">
        <is>
          <t>Services</t>
        </is>
      </c>
      <c r="C1709" s="39" t="n">
        <v>4</v>
      </c>
      <c r="D1709" s="238" t="n">
        <v>0</v>
      </c>
      <c r="E1709" s="197">
        <f>INDEX(ElaSel,MATCH("inc|ecy|"&amp;$A1709,ElaSelKey,0))</f>
        <v>1.1</v>
      </c>
      <c r="F1709" s="197">
        <f>INDEX(ElaSel,MATCH("usg|ecy|"&amp;$A1709,ElaSelKey,0))</f>
        <v>-0.5</v>
      </c>
      <c r="G1709" s="197">
        <f>INDEX(ElaSel,MATCH("eff|ecy|"&amp;$A1709,ElaSelKey,0))</f>
        <v>-0.4</v>
      </c>
      <c r="H1709" s="197">
        <f>INDEX(ElaSel,MATCH("aei|ecy|"&amp;$A1709,ElaSelKey,0))</f>
        <v>0.005</v>
      </c>
      <c r="I1709" s="197">
        <f>(1/(1+$H1709+INDEX(PParVal,MATCH(CtryCode&amp;"|extra_eff",PParKey,0))))^(1+$F1709)</f>
        <v>0.9975093361076329</v>
      </c>
      <c r="J1709" s="197">
        <f>$F1709+$G1709+$F1709*$G1709</f>
        <v>-0.7</v>
      </c>
      <c r="K1709" s="197">
        <f>$D1709*$J$1696+(1-$D1709)*$J$1697</f>
        <v>0.08569350220962521</v>
      </c>
    </row>
    <row r="1710"/>
    <row r="1711">
      <c r="A1711" s="6" t="inlineStr">
        <is>
          <t>Power demand by subsector, base year (legacy H3; from Balances, electricity column, or EnergyCons)</t>
        </is>
      </c>
    </row>
    <row r="1712">
      <c r="A1712" s="175" t="inlineStr">
        <is>
          <t>Subsector</t>
        </is>
      </c>
      <c r="B1712" s="175" t="inlineStr">
        <is>
          <t>Label</t>
        </is>
      </c>
      <c r="C1712" s="175" t="inlineStr">
        <is>
          <t>Demand group</t>
        </is>
      </c>
      <c r="D1712" s="175" t="inlineStr">
        <is>
          <t>Demand-group position</t>
        </is>
      </c>
      <c r="E1712" s="175" t="inlineStr">
        <is>
          <t>Electricity demand, base year (ktoe)</t>
        </is>
      </c>
      <c r="F1712" s="175" t="inlineStr">
        <is>
          <t>Balances flow (Mapping)</t>
        </is>
      </c>
      <c r="G1712" s="175" t="inlineStr">
        <is>
          <t>Electricity use from Balances (ktoe)</t>
        </is>
      </c>
      <c r="H1712" s="175" t="inlineStr">
        <is>
          <t>Electricity use from EnergyCons (ktoe)</t>
        </is>
      </c>
      <c r="I1712" s="175" t="inlineStr">
        <is>
          <t>Road: demand from the engineer model where TrModel = Engineer (1 = road)</t>
        </is>
      </c>
    </row>
    <row r="1713">
      <c r="A1713" s="239" t="inlineStr">
        <is>
          <t>rod</t>
        </is>
      </c>
      <c r="B1713" s="195" t="inlineStr">
        <is>
          <t>Road</t>
        </is>
      </c>
      <c r="C1713" s="239" t="inlineStr">
        <is>
          <t>tra</t>
        </is>
      </c>
      <c r="D1713" s="39">
        <f>MATCH($C1713,$A$1706:$A$1709,0)</f>
        <v>1.0</v>
      </c>
      <c r="E1713" s="195">
        <f>IF(LEFT(BalOpt,3)="Bal",$G1713,$H1713)</f>
        <v>0.0</v>
      </c>
      <c r="F1713" s="3" t="str">
        <f>INDEX('Constants and Mappings'!$J$186:$J$201,MATCH($A1713,SubKey,0))</f>
        <v>road</v>
      </c>
      <c r="G1713" s="195" t="n">
        <v>0</v>
      </c>
      <c r="H1713" s="195" t="n">
        <v>0</v>
      </c>
      <c r="I1713" s="39">
        <f>IF($A1713="rod",1,0)</f>
        <v>1.0</v>
      </c>
    </row>
    <row r="1714">
      <c r="A1714" s="239" t="inlineStr">
        <is>
          <t>ral</t>
        </is>
      </c>
      <c r="B1714" s="195" t="inlineStr">
        <is>
          <t>Rail</t>
        </is>
      </c>
      <c r="C1714" s="239" t="inlineStr">
        <is>
          <t>tra</t>
        </is>
      </c>
      <c r="D1714" s="39">
        <f>MATCH($C1714,$A$1706:$A$1709,0)</f>
        <v>1.0</v>
      </c>
      <c r="E1714" s="195">
        <f>IF(LEFT(BalOpt,3)="Bal",$G1714,$H1714)</f>
        <v>43.29324915009079</v>
      </c>
      <c r="F1714" s="3" t="str">
        <f>INDEX('Constants and Mappings'!$J$186:$J$201,MATCH($A1714,SubKey,0))</f>
        <v>rail</v>
      </c>
      <c r="G1714" s="195" t="n">
        <v>43.29324915009079</v>
      </c>
      <c r="H1714" s="195" t="n">
        <v>43.29324915009079</v>
      </c>
      <c r="I1714" s="39">
        <f>IF($A1714="rod",1,0)</f>
        <v>0.0</v>
      </c>
    </row>
    <row r="1715">
      <c r="A1715" s="239" t="inlineStr">
        <is>
          <t>avi</t>
        </is>
      </c>
      <c r="B1715" s="195" t="inlineStr">
        <is>
          <t>Domestic aviation</t>
        </is>
      </c>
      <c r="C1715" s="239" t="inlineStr">
        <is>
          <t>tra</t>
        </is>
      </c>
      <c r="D1715" s="39">
        <f>MATCH($C1715,$A$1706:$A$1709,0)</f>
        <v>1.0</v>
      </c>
      <c r="E1715" s="195">
        <f>IF(LEFT(BalOpt,3)="Bal",$G1715,$H1715)</f>
        <v>0.0</v>
      </c>
      <c r="F1715" s="3" t="str">
        <f>INDEX('Constants and Mappings'!$J$186:$J$201,MATCH($A1715,SubKey,0))</f>
        <v>domesair</v>
      </c>
      <c r="G1715" s="195" t="n">
        <v>0</v>
      </c>
      <c r="H1715" s="195" t="n">
        <v>0</v>
      </c>
      <c r="I1715" s="39">
        <f>IF($A1715="rod",1,0)</f>
        <v>0.0</v>
      </c>
    </row>
    <row r="1716">
      <c r="A1716" s="239" t="inlineStr">
        <is>
          <t>nav</t>
        </is>
      </c>
      <c r="B1716" s="195" t="inlineStr">
        <is>
          <t>Domestic navigation</t>
        </is>
      </c>
      <c r="C1716" s="239" t="inlineStr">
        <is>
          <t>tra</t>
        </is>
      </c>
      <c r="D1716" s="39">
        <f>MATCH($C1716,$A$1706:$A$1709,0)</f>
        <v>1.0</v>
      </c>
      <c r="E1716" s="195">
        <f>IF(LEFT(BalOpt,3)="Bal",$G1716,$H1716)</f>
        <v>0.0</v>
      </c>
      <c r="F1716" s="3" t="str">
        <f>INDEX('Constants and Mappings'!$J$186:$J$201,MATCH($A1716,SubKey,0))</f>
        <v>domesnav</v>
      </c>
      <c r="G1716" s="195" t="n">
        <v>0</v>
      </c>
      <c r="H1716" s="195" t="n">
        <v>0</v>
      </c>
      <c r="I1716" s="39">
        <f>IF($A1716="rod",1,0)</f>
        <v>0.0</v>
      </c>
    </row>
    <row r="1717">
      <c r="A1717" s="239" t="inlineStr">
        <is>
          <t>res</t>
        </is>
      </c>
      <c r="B1717" s="195" t="inlineStr">
        <is>
          <t>Residential</t>
        </is>
      </c>
      <c r="C1717" s="239" t="inlineStr">
        <is>
          <t>res</t>
        </is>
      </c>
      <c r="D1717" s="39">
        <f>MATCH($C1717,$A$1706:$A$1709,0)</f>
        <v>2.0</v>
      </c>
      <c r="E1717" s="195">
        <f>IF(LEFT(BalOpt,3)="Bal",$G1717,$H1717)</f>
        <v>5771.968329881539</v>
      </c>
      <c r="F1717" s="3" t="str">
        <f>INDEX('Constants and Mappings'!$J$186:$J$201,MATCH($A1717,SubKey,0))</f>
        <v>resident</v>
      </c>
      <c r="G1717" s="195" t="n">
        <v>5771.968329881539</v>
      </c>
      <c r="H1717" s="195" t="n">
        <v>5771.968329881539</v>
      </c>
      <c r="I1717" s="39">
        <f>IF($A1717="rod",1,0)</f>
        <v>0.0</v>
      </c>
    </row>
    <row r="1718">
      <c r="A1718" s="239" t="inlineStr">
        <is>
          <t>foo</t>
        </is>
      </c>
      <c r="B1718" s="195" t="inlineStr">
        <is>
          <t>Food &amp; forestry</t>
        </is>
      </c>
      <c r="C1718" s="239" t="inlineStr">
        <is>
          <t>ind</t>
        </is>
      </c>
      <c r="D1718" s="39">
        <f>MATCH($C1718,$A$1706:$A$1709,0)</f>
        <v>3.0</v>
      </c>
      <c r="E1718" s="195">
        <f>IF(LEFT(BalOpt,3)="Bal",$G1718,$H1718)</f>
        <v>1192.529587338073</v>
      </c>
      <c r="F1718" s="3" t="str">
        <f>INDEX('Constants and Mappings'!$J$186:$J$201,MATCH($A1718,SubKey,0))</f>
        <v>food_forest</v>
      </c>
      <c r="G1718" s="195" t="n">
        <v>1192.529587338073</v>
      </c>
      <c r="H1718" s="195" t="n">
        <v>1192.529587338073</v>
      </c>
      <c r="I1718" s="39">
        <f>IF($A1718="rod",1,0)</f>
        <v>0.0</v>
      </c>
    </row>
    <row r="1719">
      <c r="A1719" s="239" t="inlineStr">
        <is>
          <t>srv</t>
        </is>
      </c>
      <c r="B1719" s="195" t="inlineStr">
        <is>
          <t>Services (public &amp; private)</t>
        </is>
      </c>
      <c r="C1719" s="239" t="inlineStr">
        <is>
          <t>srv</t>
        </is>
      </c>
      <c r="D1719" s="39">
        <f>MATCH($C1719,$A$1706:$A$1709,0)</f>
        <v>4.0</v>
      </c>
      <c r="E1719" s="195">
        <f>IF(LEFT(BalOpt,3)="Bal",$G1719,$H1719)</f>
        <v>3778.525028349402</v>
      </c>
      <c r="F1719" s="3" t="str">
        <f>INDEX('Constants and Mappings'!$J$186:$J$201,MATCH($A1719,SubKey,0))</f>
        <v>services</v>
      </c>
      <c r="G1719" s="195" t="n">
        <v>3778.525028349402</v>
      </c>
      <c r="H1719" s="195" t="n">
        <v>3778.525028349402</v>
      </c>
      <c r="I1719" s="39">
        <f>IF($A1719="rod",1,0)</f>
        <v>0.0</v>
      </c>
    </row>
    <row r="1720">
      <c r="A1720" s="239" t="inlineStr">
        <is>
          <t>mch</t>
        </is>
      </c>
      <c r="B1720" s="195" t="inlineStr">
        <is>
          <t>Mining &amp; chemicals</t>
        </is>
      </c>
      <c r="C1720" s="239" t="inlineStr">
        <is>
          <t>ind</t>
        </is>
      </c>
      <c r="D1720" s="39">
        <f>MATCH($C1720,$A$1706:$A$1709,0)</f>
        <v>3.0</v>
      </c>
      <c r="E1720" s="195">
        <f>IF(LEFT(BalOpt,3)="Bal",$G1720,$H1720)</f>
        <v>401.0063671821847</v>
      </c>
      <c r="F1720" s="3" t="str">
        <f>INDEX('Constants and Mappings'!$J$186:$J$201,MATCH($A1720,SubKey,0))</f>
        <v>mining_chemicals</v>
      </c>
      <c r="G1720" s="195" t="n">
        <v>401.0063671821847</v>
      </c>
      <c r="H1720" s="195" t="n">
        <v>401.0063671821847</v>
      </c>
      <c r="I1720" s="39">
        <f>IF($A1720="rod",1,0)</f>
        <v>0.0</v>
      </c>
    </row>
    <row r="1721">
      <c r="A1721" s="239" t="inlineStr">
        <is>
          <t>irn</t>
        </is>
      </c>
      <c r="B1721" s="195" t="inlineStr">
        <is>
          <t>Iron &amp; steel</t>
        </is>
      </c>
      <c r="C1721" s="239" t="inlineStr">
        <is>
          <t>ind</t>
        </is>
      </c>
      <c r="D1721" s="39">
        <f>MATCH($C1721,$A$1706:$A$1709,0)</f>
        <v>3.0</v>
      </c>
      <c r="E1721" s="195">
        <f>IF(LEFT(BalOpt,3)="Bal",$G1721,$H1721)</f>
        <v>748.8236066568924</v>
      </c>
      <c r="F1721" s="3" t="str">
        <f>INDEX('Constants and Mappings'!$J$186:$J$201,MATCH($A1721,SubKey,0))</f>
        <v>ironstl</v>
      </c>
      <c r="G1721" s="195" t="n">
        <v>748.8236066568924</v>
      </c>
      <c r="H1721" s="195" t="n">
        <v>748.8236066568924</v>
      </c>
      <c r="I1721" s="39">
        <f>IF($A1721="rod",1,0)</f>
        <v>0.0</v>
      </c>
    </row>
    <row r="1722">
      <c r="A1722" s="239" t="inlineStr">
        <is>
          <t>nfm</t>
        </is>
      </c>
      <c r="B1722" s="195" t="inlineStr">
        <is>
          <t>Other metals</t>
        </is>
      </c>
      <c r="C1722" s="239" t="inlineStr">
        <is>
          <t>ind</t>
        </is>
      </c>
      <c r="D1722" s="39">
        <f>MATCH($C1722,$A$1706:$A$1709,0)</f>
        <v>3.0</v>
      </c>
      <c r="E1722" s="195">
        <f>IF(LEFT(BalOpt,3)="Bal",$G1722,$H1722)</f>
        <v>6.353271970598906</v>
      </c>
      <c r="F1722" s="3" t="str">
        <f>INDEX('Constants and Mappings'!$J$186:$J$201,MATCH($A1722,SubKey,0))</f>
        <v>nonferrmet</v>
      </c>
      <c r="G1722" s="195" t="n">
        <v>6.353271970598906</v>
      </c>
      <c r="H1722" s="195" t="n">
        <v>6.353271970598906</v>
      </c>
      <c r="I1722" s="39">
        <f>IF($A1722="rod",1,0)</f>
        <v>0.0</v>
      </c>
    </row>
    <row r="1723">
      <c r="A1723" s="239" t="inlineStr">
        <is>
          <t>mac</t>
        </is>
      </c>
      <c r="B1723" s="195" t="inlineStr">
        <is>
          <t>Machinery</t>
        </is>
      </c>
      <c r="C1723" s="239" t="inlineStr">
        <is>
          <t>ind</t>
        </is>
      </c>
      <c r="D1723" s="39">
        <f>MATCH($C1723,$A$1706:$A$1709,0)</f>
        <v>3.0</v>
      </c>
      <c r="E1723" s="195">
        <f>IF(LEFT(BalOpt,3)="Bal",$G1723,$H1723)</f>
        <v>585.4799029458944</v>
      </c>
      <c r="F1723" s="3" t="str">
        <f>INDEX('Constants and Mappings'!$J$186:$J$201,MATCH($A1723,SubKey,0))</f>
        <v>machinery</v>
      </c>
      <c r="G1723" s="195" t="n">
        <v>585.4799029458944</v>
      </c>
      <c r="H1723" s="195" t="n">
        <v>585.4799029458944</v>
      </c>
      <c r="I1723" s="39">
        <f>IF($A1723="rod",1,0)</f>
        <v>0.0</v>
      </c>
    </row>
    <row r="1724">
      <c r="A1724" s="239" t="inlineStr">
        <is>
          <t>cem</t>
        </is>
      </c>
      <c r="B1724" s="195" t="inlineStr">
        <is>
          <t>Cement</t>
        </is>
      </c>
      <c r="C1724" s="239" t="inlineStr">
        <is>
          <t>ind</t>
        </is>
      </c>
      <c r="D1724" s="39">
        <f>MATCH($C1724,$A$1706:$A$1709,0)</f>
        <v>3.0</v>
      </c>
      <c r="E1724" s="195">
        <f>IF(LEFT(BalOpt,3)="Bal",$G1724,$H1724)</f>
        <v>1165.402076739667</v>
      </c>
      <c r="F1724" s="3" t="str">
        <f>INDEX('Constants and Mappings'!$J$186:$J$201,MATCH($A1724,SubKey,0))</f>
        <v>cement</v>
      </c>
      <c r="G1724" s="195" t="n">
        <v>1165.402076739667</v>
      </c>
      <c r="H1724" s="195" t="n">
        <v>1165.402076739667</v>
      </c>
      <c r="I1724" s="39">
        <f>IF($A1724="rod",1,0)</f>
        <v>0.0</v>
      </c>
    </row>
    <row r="1725">
      <c r="A1725" s="239" t="inlineStr">
        <is>
          <t>omn</t>
        </is>
      </c>
      <c r="B1725" s="195" t="inlineStr">
        <is>
          <t>Other manufacturing</t>
        </is>
      </c>
      <c r="C1725" s="239" t="inlineStr">
        <is>
          <t>ind</t>
        </is>
      </c>
      <c r="D1725" s="39">
        <f>MATCH($C1725,$A$1706:$A$1709,0)</f>
        <v>3.0</v>
      </c>
      <c r="E1725" s="195">
        <f>IF(LEFT(BalOpt,3)="Bal",$G1725,$H1725)</f>
        <v>698.8392103370692</v>
      </c>
      <c r="F1725" s="3" t="str">
        <f>INDEX('Constants and Mappings'!$J$186:$J$201,MATCH($A1725,SubKey,0))</f>
        <v>other_manufact</v>
      </c>
      <c r="G1725" s="195" t="n">
        <v>698.8392103370692</v>
      </c>
      <c r="H1725" s="195" t="n">
        <v>698.8392103370692</v>
      </c>
      <c r="I1725" s="39">
        <f>IF($A1725="rod",1,0)</f>
        <v>0.0</v>
      </c>
    </row>
    <row r="1726">
      <c r="A1726" s="239" t="inlineStr">
        <is>
          <t>cst</t>
        </is>
      </c>
      <c r="B1726" s="195" t="inlineStr">
        <is>
          <t>Construction</t>
        </is>
      </c>
      <c r="C1726" s="239" t="inlineStr">
        <is>
          <t>ind</t>
        </is>
      </c>
      <c r="D1726" s="39">
        <f>MATCH($C1726,$A$1706:$A$1709,0)</f>
        <v>3.0</v>
      </c>
      <c r="E1726" s="195">
        <f>IF(LEFT(BalOpt,3)="Bal",$G1726,$H1726)</f>
        <v>0.0</v>
      </c>
      <c r="F1726" s="3" t="str">
        <f>INDEX('Constants and Mappings'!$J$186:$J$201,MATCH($A1726,SubKey,0))</f>
        <v>construc</v>
      </c>
      <c r="G1726" s="195" t="n">
        <v>0</v>
      </c>
      <c r="H1726" s="195" t="n">
        <v>0</v>
      </c>
      <c r="I1726" s="39">
        <f>IF($A1726="rod",1,0)</f>
        <v>0.0</v>
      </c>
    </row>
    <row r="1727">
      <c r="A1727" s="239" t="inlineStr">
        <is>
          <t>oen</t>
        </is>
      </c>
      <c r="B1727" s="195" t="inlineStr">
        <is>
          <t>Other energy use</t>
        </is>
      </c>
      <c r="C1727" s="239" t="inlineStr">
        <is>
          <t>ind</t>
        </is>
      </c>
      <c r="D1727" s="39">
        <f>MATCH($C1727,$A$1706:$A$1709,0)</f>
        <v>3.0</v>
      </c>
      <c r="E1727" s="195">
        <f>IF(LEFT(BalOpt,3)="Bal",$G1727,$H1727)</f>
        <v>0.0</v>
      </c>
      <c r="F1727" s="3" t="str">
        <f>INDEX('Constants and Mappings'!$J$186:$J$201,MATCH($A1727,SubKey,0))</f>
        <v>ononspec</v>
      </c>
      <c r="G1727" s="195" t="n">
        <v>0</v>
      </c>
      <c r="H1727" s="195" t="n">
        <v>0</v>
      </c>
      <c r="I1727" s="39">
        <f>IF($A1727="rod",1,0)</f>
        <v>0.0</v>
      </c>
    </row>
    <row r="1728"/>
    <row r="1729">
      <c r="A1729" s="6" t="inlineStr">
        <is>
          <t>Derived system parameters</t>
        </is>
      </c>
    </row>
    <row r="1730">
      <c r="A1730" s="7" t="inlineStr">
        <is>
          <t>Key</t>
        </is>
      </c>
      <c r="B1730" s="7" t="inlineStr">
        <is>
          <t>Value</t>
        </is>
      </c>
      <c r="C1730" s="7" t="inlineStr">
        <is>
          <t>Description</t>
        </is>
      </c>
    </row>
    <row r="1731">
      <c r="A1731" s="8" t="inlineStr">
        <is>
          <t>sh_nxp</t>
        </is>
      </c>
      <c r="B1731" s="236">
        <f>INDEX(PParVal,MATCH(CtryCode&amp;"|sh_nxp",PParKey,0))</f>
        <v>0.009384967024643587</v>
      </c>
      <c r="C1731" s="3" t="inlineStr">
        <is>
          <t>Net exports / final demand, base year (PowerParams)</t>
        </is>
      </c>
    </row>
    <row r="1732">
      <c r="A1732" s="8" t="inlineStr">
        <is>
          <t>sh_tsd</t>
        </is>
      </c>
      <c r="B1732" s="236">
        <f>INDEX(PParVal,MATCH(CtryCode&amp;"|sh_tsd",PParKey,0))</f>
        <v>0.21678067621038186</v>
      </c>
      <c r="C1732" s="3" t="inlineStr">
        <is>
          <t>Transmission and statistical differences / final demand (PowerParams)</t>
        </is>
      </c>
    </row>
    <row r="1733">
      <c r="A1733" s="8" t="inlineStr">
        <is>
          <t>sh_eou</t>
        </is>
      </c>
      <c r="B1733" s="236">
        <f>INDEX(PParVal,MATCH(CtryCode&amp;"|sh_eou",PParKey,0))</f>
        <v>0.039960748030381334</v>
      </c>
      <c r="C1733" s="3" t="inlineStr">
        <is>
          <t>Energy industry own use / final demand (PowerParams)</t>
        </is>
      </c>
    </row>
    <row r="1734">
      <c r="A1734" s="8" t="inlineStr">
        <is>
          <t>sh_add</t>
        </is>
      </c>
      <c r="B1734" s="236">
        <f>INDEX(PParVal,MATCH(CtryCode&amp;"|sh_add",PParKey,0))</f>
        <v>1.1524590656786238e-09</v>
      </c>
      <c r="C1734" s="3" t="inlineStr">
        <is>
          <t>Additional statistical difference / final demand (PowerParams)</t>
        </is>
      </c>
    </row>
    <row r="1735">
      <c r="A1735" s="8" t="inlineStr">
        <is>
          <t>ktoe_gwh</t>
        </is>
      </c>
      <c r="B1735" s="236">
        <f>INDEX(PParVal,MATCH(CtryCode&amp;"|ktoe_gwh",PParKey,0))</f>
        <v>11.63</v>
      </c>
      <c r="C1735" s="3" t="inlineStr">
        <is>
          <t>GWh per ktoe (PowerParams)</t>
        </is>
      </c>
    </row>
    <row r="1736">
      <c r="A1736" s="8" t="inlineStr">
        <is>
          <t>req_factor</t>
        </is>
      </c>
      <c r="B1736" s="236">
        <f>(1+$B$1731+$B$1732+$B$1733+$B$1734)*$B$1735*kWperMW/HoursYr</f>
        <v>1.6809417744086508</v>
      </c>
      <c r="C1736" s="3" t="inlineStr">
        <is>
          <t>Required generation per final demand: (1 + net exports + transmission + own use + stat. diff. shares) x GWh per ktoe x 1000 / 8760 (MWy per ktoe)</t>
        </is>
      </c>
    </row>
    <row r="1737">
      <c r="A1737" s="8" t="inlineStr">
        <is>
          <t>cf_coal</t>
        </is>
      </c>
      <c r="B1737" s="236">
        <f>$F$1682</f>
        <v>0.535</v>
      </c>
      <c r="C1737" s="3" t="inlineStr">
        <is>
          <t>Capacity factor of coal (early retirement, effective to nameplate)</t>
        </is>
      </c>
    </row>
    <row r="1738">
      <c r="A1738" s="8" t="inlineStr">
        <is>
          <t>gint</t>
        </is>
      </c>
      <c r="B1738" s="236">
        <f>SUMPRODUCT($BQ$1682:$BQ$1690,$AS$1682:$AS$1690)/SUM($BR$1682:$BR$1690)</f>
        <v>0.000383718343820494</v>
      </c>
      <c r="C1738" s="3" t="inlineStr">
        <is>
          <t>Grid CO2 intensity, base year: CO2 of the fuel input to power / power output (tCO2 per kWh; electricity excise, legacy C2253 = G623 / E603)</t>
        </is>
      </c>
    </row>
    <row r="1739"/>
    <row r="1740"/>
    <row r="1741">
      <c r="A1741" s="3" t="inlineStr">
        <is>
          <t>Derived constants follow Methods, chapter Power: amortised fixed cost = caxav x acap + afix + stoav (legacy B3-B7 in one line); levelised fixed cost = cax x lcap + lfix + VRE x msc (legacy C1-C6); variable cost = vfix + rpb x k (legacy D4, with k = 0.0036 / efficiency).</t>
        </is>
      </c>
    </row>
    <row r="1742">
      <c r="A1742" s="3" t="inlineStr">
        <is>
          <t>Types without a price fuel (nuclear, wind, solar, hydro, other renewables) take position 1 with factor 0 (k, efk, kpu = 0), so the price and policy terms vanish.</t>
        </is>
      </c>
    </row>
    <row r="1743">
      <c r="A1743" s="3" t="inlineStr">
        <is>
          <t>Historical electricity prices: Prices_dom mit.rp.ecy.res / .ind (corrected Egypt block, nominal $/kWh incl. VAT) x CPI index of the year. VAT rate: Prices_dom mit.vatrate.ecy.* of the last historical year (blank = 0).</t>
        </is>
      </c>
    </row>
    <row r="1744"/>
    <row r="1745"/>
    <row r="1746"/>
    <row r="1747"/>
    <row r="1748">
      <c r="A1748" s="4" t="inlineStr">
        <is>
          <t>CO2 emission factors of the country by fuel and EF sector (data step; legacy Mitigation rows 980-1011)</t>
        </is>
      </c>
      <c r="B1748" s="5" t="n"/>
      <c r="C1748" s="5" t="n"/>
      <c r="D1748" s="5" t="n"/>
      <c r="E1748" s="5" t="n"/>
      <c r="F1748" s="5" t="n"/>
      <c r="G1748" s="5" t="n"/>
      <c r="H1748" s="5" t="n"/>
      <c r="I1748" s="5" t="n"/>
      <c r="J1748" s="5" t="n"/>
      <c r="K1748" s="5" t="n"/>
      <c r="L1748" s="5" t="n"/>
      <c r="M1748" s="5" t="n"/>
      <c r="N1748" s="5" t="n"/>
      <c r="O1748" s="5" t="n"/>
      <c r="P1748" s="5" t="n"/>
      <c r="Q1748" s="5" t="n"/>
      <c r="R1748" s="5" t="n"/>
      <c r="S1748" s="5" t="n"/>
      <c r="T1748" s="5" t="n"/>
      <c r="U1748" s="5" t="n"/>
      <c r="V1748" s="5" t="n"/>
      <c r="W1748" s="5" t="n"/>
      <c r="X1748" s="5" t="n"/>
      <c r="Y1748" s="5" t="n"/>
      <c r="Z1748" s="5" t="n"/>
      <c r="AA1748" s="5" t="n"/>
      <c r="AB1748" s="5" t="n"/>
      <c r="AC1748" s="5" t="n"/>
      <c r="AD1748" s="5" t="n"/>
      <c r="AE1748" s="5" t="n"/>
      <c r="AF1748" s="5" t="n"/>
      <c r="AG1748" s="5" t="n"/>
      <c r="AH1748" s="5" t="n"/>
      <c r="AI1748" s="5" t="n"/>
      <c r="AJ1748" s="5" t="n"/>
      <c r="AK1748" s="5" t="n"/>
      <c r="AL1748" s="5" t="n"/>
      <c r="AM1748" s="5" t="n"/>
      <c r="AN1748" s="5" t="n"/>
      <c r="AO1748" s="5" t="n"/>
      <c r="AP1748" s="5" t="n"/>
      <c r="AQ1748" s="5" t="n"/>
      <c r="AR1748" s="5" t="n"/>
      <c r="AS1748" s="5" t="n"/>
      <c r="AT1748" s="5" t="n"/>
      <c r="AU1748" s="5" t="n"/>
      <c r="AV1748" s="5" t="n"/>
      <c r="AW1748" s="5" t="n"/>
      <c r="AX1748" s="5" t="n"/>
      <c r="AY1748" s="5" t="n"/>
      <c r="AZ1748" s="5" t="n"/>
      <c r="BA1748" s="5" t="n"/>
      <c r="BB1748" s="5" t="n"/>
      <c r="BC1748" s="5" t="n"/>
      <c r="BD1748" s="5" t="n"/>
      <c r="BE1748" s="5" t="n"/>
      <c r="BF1748" s="5" t="n"/>
      <c r="BG1748" s="5" t="n"/>
      <c r="BH1748" s="5" t="n"/>
      <c r="BI1748" s="5" t="n"/>
      <c r="BJ1748" s="5" t="n"/>
      <c r="BK1748" s="5" t="n"/>
      <c r="BL1748" s="5" t="n"/>
      <c r="BM1748" s="5" t="n"/>
      <c r="BN1748" s="5" t="n"/>
      <c r="BO1748" s="5" t="n"/>
      <c r="BP1748" s="5" t="n"/>
      <c r="BQ1748" s="5" t="n"/>
      <c r="BR1748" s="5" t="n"/>
      <c r="BS1748" s="5" t="n"/>
      <c r="BT1748" s="5" t="n"/>
      <c r="BU1748" s="5" t="n"/>
      <c r="BV1748" s="5" t="n"/>
      <c r="BW1748" s="5" t="n"/>
      <c r="BX1748" s="5" t="n"/>
      <c r="BY1748" s="5" t="n"/>
      <c r="BZ1748" s="5" t="n"/>
      <c r="CA1748" s="5" t="n"/>
      <c r="CB1748" s="5" t="n"/>
      <c r="CC1748" s="5" t="n"/>
      <c r="CD1748" s="5" t="n"/>
      <c r="CE1748" s="5" t="n"/>
      <c r="CF1748" s="5" t="n"/>
      <c r="CG1748" s="5" t="n"/>
      <c r="CH1748" s="5" t="n"/>
      <c r="CI1748" s="5" t="n"/>
      <c r="CJ1748" s="5" t="n"/>
      <c r="CK1748" s="5" t="n"/>
      <c r="CL1748" s="5" t="n"/>
      <c r="CM1748" s="5" t="n"/>
      <c r="CN1748" s="5" t="n"/>
      <c r="CO1748" s="5" t="n"/>
      <c r="CP1748" s="5" t="n"/>
      <c r="CQ1748" s="5" t="n"/>
      <c r="CR1748" s="5" t="n"/>
      <c r="CS1748" s="5" t="n"/>
      <c r="CT1748" s="5" t="n"/>
      <c r="CU1748" s="5" t="n"/>
      <c r="CV1748" s="5" t="n"/>
      <c r="CW1748" s="5" t="n"/>
      <c r="CX1748" s="5" t="n"/>
      <c r="CY1748" s="5" t="n"/>
      <c r="CZ1748" s="5" t="n"/>
      <c r="DA1748" s="5" t="n"/>
      <c r="DB1748" s="5" t="n"/>
      <c r="DC1748" s="5" t="n"/>
      <c r="DD1748" s="5" t="n"/>
      <c r="DE1748" s="5" t="n"/>
      <c r="DF1748" s="5" t="n"/>
      <c r="DG1748" s="5" t="n"/>
      <c r="DH1748" s="5" t="n"/>
      <c r="DI1748" s="5" t="n"/>
      <c r="DJ1748" s="5" t="n"/>
      <c r="DK1748" s="5" t="n"/>
      <c r="DL1748" s="5" t="n"/>
      <c r="DM1748" s="5" t="n"/>
      <c r="DN1748" s="5" t="n"/>
      <c r="DO1748" s="5" t="n"/>
      <c r="DP1748" s="5" t="n"/>
      <c r="DQ1748" s="5" t="n"/>
      <c r="DR1748" s="5" t="n"/>
      <c r="DS1748" s="5" t="n"/>
      <c r="DT1748" s="5" t="n"/>
      <c r="DU1748" s="5" t="n"/>
      <c r="DV1748" s="5" t="n"/>
      <c r="DW1748" s="5" t="n"/>
      <c r="DX1748" s="5" t="n"/>
      <c r="DY1748" s="5" t="n"/>
      <c r="DZ1748" s="5" t="n"/>
      <c r="EA1748" s="5" t="n"/>
      <c r="EB1748" s="5" t="n"/>
      <c r="EC1748" s="5" t="n"/>
      <c r="ED1748" s="5" t="n"/>
      <c r="EE1748" s="5" t="n"/>
      <c r="EF1748" s="5" t="n"/>
      <c r="EG1748" s="5" t="n"/>
      <c r="EH1748" s="5" t="n"/>
      <c r="EI1748" s="5" t="n"/>
      <c r="EJ1748" s="5" t="n"/>
      <c r="EK1748" s="5" t="n"/>
      <c r="EL1748" s="5" t="n"/>
      <c r="EM1748" s="5" t="n"/>
      <c r="EN1748" s="5" t="n"/>
      <c r="EO1748" s="5" t="n"/>
      <c r="EP1748" s="5" t="n"/>
      <c r="EQ1748" s="5" t="n"/>
      <c r="ER1748" s="5" t="n"/>
      <c r="ES1748" s="5" t="n"/>
      <c r="ET1748" s="5" t="n"/>
      <c r="EU1748" s="5" t="n"/>
      <c r="EV1748" s="5" t="n"/>
      <c r="EW1748" s="5" t="n"/>
      <c r="EX1748" s="5" t="n"/>
      <c r="EY1748" s="5" t="n"/>
      <c r="EZ1748" s="5" t="n"/>
      <c r="FA1748" s="5" t="n"/>
      <c r="FB1748" s="5" t="n"/>
      <c r="FC1748" s="5" t="n"/>
      <c r="FD1748" s="5" t="n"/>
      <c r="FE1748" s="5" t="n"/>
      <c r="FF1748" s="5" t="n"/>
      <c r="FG1748" s="5" t="n"/>
      <c r="FH1748" s="5" t="n"/>
      <c r="FI1748" s="5" t="n"/>
      <c r="FJ1748" s="5" t="n"/>
      <c r="FK1748" s="5" t="n"/>
      <c r="FL1748" s="5" t="n"/>
      <c r="FM1748" s="5" t="n"/>
      <c r="FN1748" s="5" t="n"/>
      <c r="FO1748" s="5" t="n"/>
    </row>
    <row r="1749">
      <c r="A1749" s="3" t="inlineStr">
        <is>
          <t>Selected from sheet EF_GHG (IIASA, kg CO2/GJ): the code of the country, else of its region (CtryReg), else of the world; source fuel and sector as legacy (some rows reuse another row), jet fuel the IEA factor (EFJetIEA), biomass none (0). Inputs column ef reads these factors by fuel|EF sector.</t>
        </is>
      </c>
    </row>
    <row r="1750">
      <c r="A1750" s="7" t="inlineStr">
        <is>
          <t>Key (fuel|EF sector)</t>
        </is>
      </c>
      <c r="B1750" s="7" t="inlineStr">
        <is>
          <t>Fuel</t>
        </is>
      </c>
      <c r="C1750" s="7" t="inlineStr">
        <is>
          <t>EF sector</t>
        </is>
      </c>
      <c r="D1750" s="7" t="inlineStr">
        <is>
          <t>Source fuel</t>
        </is>
      </c>
      <c r="E1750" s="7" t="inlineStr">
        <is>
          <t>Source sector</t>
        </is>
      </c>
      <c r="F1750" s="7" t="inlineStr">
        <is>
          <t>Source (IIASA / IEA / none)</t>
        </is>
      </c>
      <c r="G1750" s="7" t="inlineStr">
        <is>
          <t>Code: country</t>
        </is>
      </c>
      <c r="H1750" s="7" t="inlineStr">
        <is>
          <t>Code: region</t>
        </is>
      </c>
      <c r="I1750" s="7" t="inlineStr">
        <is>
          <t>Code: world</t>
        </is>
      </c>
      <c r="J1750" s="7" t="inlineStr">
        <is>
          <t>Code used</t>
        </is>
      </c>
      <c r="K1750" s="7" t="inlineStr">
        <is>
          <t>EF (tCO2/GJ)</t>
        </is>
      </c>
    </row>
    <row r="1751">
      <c r="A1751" s="3" t="str">
        <f>$B1751&amp;"|"&amp;$C1751</f>
        <v>coa|pow</v>
      </c>
      <c r="B1751" s="3" t="inlineStr">
        <is>
          <t>coa</t>
        </is>
      </c>
      <c r="C1751" s="3" t="inlineStr">
        <is>
          <t>pow</t>
        </is>
      </c>
      <c r="D1751" s="8" t="inlineStr">
        <is>
          <t>coa</t>
        </is>
      </c>
      <c r="E1751" s="8" t="inlineStr">
        <is>
          <t>pow</t>
        </is>
      </c>
      <c r="F1751" s="8" t="inlineStr">
        <is>
          <t>IIASA</t>
        </is>
      </c>
      <c r="G1751" s="3" t="str">
        <f>LOWER(CtryCode)&amp;".mit"&amp;".ef."&amp;$E1751&amp;"."&amp;$D1751&amp;".co2"</f>
        <v>egy.mit.ef.pow.coa.co2</v>
      </c>
      <c r="H1751" s="3" t="str">
        <f>CtryReg&amp;".mit"&amp;".ef."&amp;$E1751&amp;"."&amp;$D1751&amp;".co2"</f>
        <v>mea.mit.ef.pow.coa.co2</v>
      </c>
      <c r="I1751" s="3" t="str">
        <f>"wld.mit"&amp;".ef."&amp;$E1751&amp;"."&amp;$D1751&amp;".co2"</f>
        <v>wld.mit.ef.pow.coa.co2</v>
      </c>
      <c r="J1751" s="3" t="inlineStr">
        <is>
          <t>mea.mit.ef.pow.coa.co2</t>
        </is>
      </c>
      <c r="K1751" s="236" t="n">
        <v>0.094308</v>
      </c>
    </row>
    <row r="1752">
      <c r="A1752" s="3" t="str">
        <f>$B1752&amp;"|"&amp;$C1752</f>
        <v>coa|rod</v>
      </c>
      <c r="B1752" s="3" t="inlineStr">
        <is>
          <t>coa</t>
        </is>
      </c>
      <c r="C1752" s="3" t="inlineStr">
        <is>
          <t>rod</t>
        </is>
      </c>
      <c r="D1752" s="8" t="inlineStr">
        <is>
          <t>coa</t>
        </is>
      </c>
      <c r="E1752" s="8" t="inlineStr">
        <is>
          <t>pow</t>
        </is>
      </c>
      <c r="F1752" s="8" t="inlineStr">
        <is>
          <t>IIASA</t>
        </is>
      </c>
      <c r="G1752" s="3" t="str">
        <f>LOWER(CtryCode)&amp;".mit"&amp;".ef."&amp;$E1752&amp;"."&amp;$D1752&amp;".co2"</f>
        <v>egy.mit.ef.pow.coa.co2</v>
      </c>
      <c r="H1752" s="3" t="str">
        <f>CtryReg&amp;".mit"&amp;".ef."&amp;$E1752&amp;"."&amp;$D1752&amp;".co2"</f>
        <v>mea.mit.ef.pow.coa.co2</v>
      </c>
      <c r="I1752" s="3" t="str">
        <f>"wld.mit"&amp;".ef."&amp;$E1752&amp;"."&amp;$D1752&amp;".co2"</f>
        <v>wld.mit.ef.pow.coa.co2</v>
      </c>
      <c r="J1752" s="3" t="inlineStr">
        <is>
          <t>mea.mit.ef.pow.coa.co2</t>
        </is>
      </c>
      <c r="K1752" s="236" t="n">
        <v>0.094308</v>
      </c>
    </row>
    <row r="1753">
      <c r="A1753" s="3" t="str">
        <f>$B1753&amp;"|"&amp;$C1753</f>
        <v>coa|res</v>
      </c>
      <c r="B1753" s="3" t="inlineStr">
        <is>
          <t>coa</t>
        </is>
      </c>
      <c r="C1753" s="3" t="inlineStr">
        <is>
          <t>res</t>
        </is>
      </c>
      <c r="D1753" s="8" t="inlineStr">
        <is>
          <t>coa</t>
        </is>
      </c>
      <c r="E1753" s="8" t="inlineStr">
        <is>
          <t>res</t>
        </is>
      </c>
      <c r="F1753" s="8" t="inlineStr">
        <is>
          <t>IIASA</t>
        </is>
      </c>
      <c r="G1753" s="3" t="str">
        <f>LOWER(CtryCode)&amp;".mit"&amp;".ef."&amp;$E1753&amp;"."&amp;$D1753&amp;".co2"</f>
        <v>egy.mit.ef.res.coa.co2</v>
      </c>
      <c r="H1753" s="3" t="str">
        <f>CtryReg&amp;".mit"&amp;".ef."&amp;$E1753&amp;"."&amp;$D1753&amp;".co2"</f>
        <v>mea.mit.ef.res.coa.co2</v>
      </c>
      <c r="I1753" s="3" t="str">
        <f>"wld.mit"&amp;".ef."&amp;$E1753&amp;"."&amp;$D1753&amp;".co2"</f>
        <v>wld.mit.ef.res.coa.co2</v>
      </c>
      <c r="J1753" s="3" t="inlineStr">
        <is>
          <t>mea.mit.ef.res.coa.co2</t>
        </is>
      </c>
      <c r="K1753" s="236" t="n">
        <v>0.09429999999999999</v>
      </c>
    </row>
    <row r="1754">
      <c r="A1754" s="3" t="str">
        <f>$B1754&amp;"|"&amp;$C1754</f>
        <v>coa|ind</v>
      </c>
      <c r="B1754" s="3" t="inlineStr">
        <is>
          <t>coa</t>
        </is>
      </c>
      <c r="C1754" s="3" t="inlineStr">
        <is>
          <t>ind</t>
        </is>
      </c>
      <c r="D1754" s="8" t="inlineStr">
        <is>
          <t>coa</t>
        </is>
      </c>
      <c r="E1754" s="8" t="inlineStr">
        <is>
          <t>ind</t>
        </is>
      </c>
      <c r="F1754" s="8" t="inlineStr">
        <is>
          <t>IIASA</t>
        </is>
      </c>
      <c r="G1754" s="3" t="str">
        <f>LOWER(CtryCode)&amp;".mit"&amp;".ef."&amp;$E1754&amp;"."&amp;$D1754&amp;".co2"</f>
        <v>egy.mit.ef.ind.coa.co2</v>
      </c>
      <c r="H1754" s="3" t="str">
        <f>CtryReg&amp;".mit"&amp;".ef."&amp;$E1754&amp;"."&amp;$D1754&amp;".co2"</f>
        <v>mea.mit.ef.ind.coa.co2</v>
      </c>
      <c r="I1754" s="3" t="str">
        <f>"wld.mit"&amp;".ef."&amp;$E1754&amp;"."&amp;$D1754&amp;".co2"</f>
        <v>wld.mit.ef.ind.coa.co2</v>
      </c>
      <c r="J1754" s="3" t="inlineStr">
        <is>
          <t>egy.mit.ef.ind.coa.co2</t>
        </is>
      </c>
      <c r="K1754" s="236" t="n">
        <v>0.1</v>
      </c>
    </row>
    <row r="1755">
      <c r="A1755" s="3" t="str">
        <f>$B1755&amp;"|"&amp;$C1755</f>
        <v>nga|pow</v>
      </c>
      <c r="B1755" s="3" t="inlineStr">
        <is>
          <t>nga</t>
        </is>
      </c>
      <c r="C1755" s="3" t="inlineStr">
        <is>
          <t>pow</t>
        </is>
      </c>
      <c r="D1755" s="8" t="inlineStr">
        <is>
          <t>nga</t>
        </is>
      </c>
      <c r="E1755" s="8" t="inlineStr">
        <is>
          <t>pow</t>
        </is>
      </c>
      <c r="F1755" s="8" t="inlineStr">
        <is>
          <t>IIASA</t>
        </is>
      </c>
      <c r="G1755" s="3" t="str">
        <f>LOWER(CtryCode)&amp;".mit"&amp;".ef."&amp;$E1755&amp;"."&amp;$D1755&amp;".co2"</f>
        <v>egy.mit.ef.pow.nga.co2</v>
      </c>
      <c r="H1755" s="3" t="str">
        <f>CtryReg&amp;".mit"&amp;".ef."&amp;$E1755&amp;"."&amp;$D1755&amp;".co2"</f>
        <v>mea.mit.ef.pow.nga.co2</v>
      </c>
      <c r="I1755" s="3" t="str">
        <f>"wld.mit"&amp;".ef."&amp;$E1755&amp;"."&amp;$D1755&amp;".co2"</f>
        <v>wld.mit.ef.pow.nga.co2</v>
      </c>
      <c r="J1755" s="3" t="inlineStr">
        <is>
          <t>egy.mit.ef.pow.nga.co2</t>
        </is>
      </c>
      <c r="K1755" s="236" t="n">
        <v>0.0558</v>
      </c>
    </row>
    <row r="1756">
      <c r="A1756" s="3" t="str">
        <f>$B1756&amp;"|"&amp;$C1756</f>
        <v>nga|rod</v>
      </c>
      <c r="B1756" s="3" t="inlineStr">
        <is>
          <t>nga</t>
        </is>
      </c>
      <c r="C1756" s="3" t="inlineStr">
        <is>
          <t>rod</t>
        </is>
      </c>
      <c r="D1756" s="8" t="inlineStr">
        <is>
          <t>nga</t>
        </is>
      </c>
      <c r="E1756" s="8" t="inlineStr">
        <is>
          <t>rod</t>
        </is>
      </c>
      <c r="F1756" s="8" t="inlineStr">
        <is>
          <t>IIASA</t>
        </is>
      </c>
      <c r="G1756" s="3" t="str">
        <f>LOWER(CtryCode)&amp;".mit"&amp;".ef."&amp;$E1756&amp;"."&amp;$D1756&amp;".co2"</f>
        <v>egy.mit.ef.rod.nga.co2</v>
      </c>
      <c r="H1756" s="3" t="str">
        <f>CtryReg&amp;".mit"&amp;".ef."&amp;$E1756&amp;"."&amp;$D1756&amp;".co2"</f>
        <v>mea.mit.ef.rod.nga.co2</v>
      </c>
      <c r="I1756" s="3" t="str">
        <f>"wld.mit"&amp;".ef."&amp;$E1756&amp;"."&amp;$D1756&amp;".co2"</f>
        <v>wld.mit.ef.rod.nga.co2</v>
      </c>
      <c r="J1756" s="3" t="inlineStr">
        <is>
          <t>egy.mit.ef.rod.nga.co2</t>
        </is>
      </c>
      <c r="K1756" s="236" t="n">
        <v>0.0558</v>
      </c>
    </row>
    <row r="1757">
      <c r="A1757" s="3" t="str">
        <f>$B1757&amp;"|"&amp;$C1757</f>
        <v>nga|res</v>
      </c>
      <c r="B1757" s="3" t="inlineStr">
        <is>
          <t>nga</t>
        </is>
      </c>
      <c r="C1757" s="3" t="inlineStr">
        <is>
          <t>res</t>
        </is>
      </c>
      <c r="D1757" s="8" t="inlineStr">
        <is>
          <t>nga</t>
        </is>
      </c>
      <c r="E1757" s="8" t="inlineStr">
        <is>
          <t>res</t>
        </is>
      </c>
      <c r="F1757" s="8" t="inlineStr">
        <is>
          <t>IIASA</t>
        </is>
      </c>
      <c r="G1757" s="3" t="str">
        <f>LOWER(CtryCode)&amp;".mit"&amp;".ef."&amp;$E1757&amp;"."&amp;$D1757&amp;".co2"</f>
        <v>egy.mit.ef.res.nga.co2</v>
      </c>
      <c r="H1757" s="3" t="str">
        <f>CtryReg&amp;".mit"&amp;".ef."&amp;$E1757&amp;"."&amp;$D1757&amp;".co2"</f>
        <v>mea.mit.ef.res.nga.co2</v>
      </c>
      <c r="I1757" s="3" t="str">
        <f>"wld.mit"&amp;".ef."&amp;$E1757&amp;"."&amp;$D1757&amp;".co2"</f>
        <v>wld.mit.ef.res.nga.co2</v>
      </c>
      <c r="J1757" s="3" t="inlineStr">
        <is>
          <t>egy.mit.ef.res.nga.co2</t>
        </is>
      </c>
      <c r="K1757" s="236" t="n">
        <v>0.0558</v>
      </c>
    </row>
    <row r="1758">
      <c r="A1758" s="3" t="str">
        <f>$B1758&amp;"|"&amp;$C1758</f>
        <v>nga|ind</v>
      </c>
      <c r="B1758" s="3" t="inlineStr">
        <is>
          <t>nga</t>
        </is>
      </c>
      <c r="C1758" s="3" t="inlineStr">
        <is>
          <t>ind</t>
        </is>
      </c>
      <c r="D1758" s="8" t="inlineStr">
        <is>
          <t>nga</t>
        </is>
      </c>
      <c r="E1758" s="8" t="inlineStr">
        <is>
          <t>ind</t>
        </is>
      </c>
      <c r="F1758" s="8" t="inlineStr">
        <is>
          <t>IIASA</t>
        </is>
      </c>
      <c r="G1758" s="3" t="str">
        <f>LOWER(CtryCode)&amp;".mit"&amp;".ef."&amp;$E1758&amp;"."&amp;$D1758&amp;".co2"</f>
        <v>egy.mit.ef.ind.nga.co2</v>
      </c>
      <c r="H1758" s="3" t="str">
        <f>CtryReg&amp;".mit"&amp;".ef."&amp;$E1758&amp;"."&amp;$D1758&amp;".co2"</f>
        <v>mea.mit.ef.ind.nga.co2</v>
      </c>
      <c r="I1758" s="3" t="str">
        <f>"wld.mit"&amp;".ef."&amp;$E1758&amp;"."&amp;$D1758&amp;".co2"</f>
        <v>wld.mit.ef.ind.nga.co2</v>
      </c>
      <c r="J1758" s="3" t="inlineStr">
        <is>
          <t>egy.mit.ef.ind.nga.co2</t>
        </is>
      </c>
      <c r="K1758" s="236" t="n">
        <v>0.0558</v>
      </c>
    </row>
    <row r="1759">
      <c r="A1759" s="3" t="str">
        <f>$B1759&amp;"|"&amp;$C1759</f>
        <v>gso|pow</v>
      </c>
      <c r="B1759" s="3" t="inlineStr">
        <is>
          <t>gso</t>
        </is>
      </c>
      <c r="C1759" s="3" t="inlineStr">
        <is>
          <t>pow</t>
        </is>
      </c>
      <c r="D1759" s="8" t="inlineStr">
        <is>
          <t>gso</t>
        </is>
      </c>
      <c r="E1759" s="8" t="inlineStr">
        <is>
          <t>pow</t>
        </is>
      </c>
      <c r="F1759" s="8" t="inlineStr">
        <is>
          <t>IIASA</t>
        </is>
      </c>
      <c r="G1759" s="3" t="str">
        <f>LOWER(CtryCode)&amp;".mit"&amp;".ef."&amp;$E1759&amp;"."&amp;$D1759&amp;".co2"</f>
        <v>egy.mit.ef.pow.gso.co2</v>
      </c>
      <c r="H1759" s="3" t="str">
        <f>CtryReg&amp;".mit"&amp;".ef."&amp;$E1759&amp;"."&amp;$D1759&amp;".co2"</f>
        <v>mea.mit.ef.pow.gso.co2</v>
      </c>
      <c r="I1759" s="3" t="str">
        <f>"wld.mit"&amp;".ef."&amp;$E1759&amp;"."&amp;$D1759&amp;".co2"</f>
        <v>wld.mit.ef.pow.gso.co2</v>
      </c>
      <c r="J1759" s="3" t="inlineStr">
        <is>
          <t>wld.mit.ef.pow.gso.co2</t>
        </is>
      </c>
      <c r="K1759" s="236" t="n">
        <v>0.06859999999999999</v>
      </c>
    </row>
    <row r="1760">
      <c r="A1760" s="3" t="str">
        <f>$B1760&amp;"|"&amp;$C1760</f>
        <v>gso|rod</v>
      </c>
      <c r="B1760" s="3" t="inlineStr">
        <is>
          <t>gso</t>
        </is>
      </c>
      <c r="C1760" s="3" t="inlineStr">
        <is>
          <t>rod</t>
        </is>
      </c>
      <c r="D1760" s="8" t="inlineStr">
        <is>
          <t>gso</t>
        </is>
      </c>
      <c r="E1760" s="8" t="inlineStr">
        <is>
          <t>rod</t>
        </is>
      </c>
      <c r="F1760" s="8" t="inlineStr">
        <is>
          <t>IIASA</t>
        </is>
      </c>
      <c r="G1760" s="3" t="str">
        <f>LOWER(CtryCode)&amp;".mit"&amp;".ef."&amp;$E1760&amp;"."&amp;$D1760&amp;".co2"</f>
        <v>egy.mit.ef.rod.gso.co2</v>
      </c>
      <c r="H1760" s="3" t="str">
        <f>CtryReg&amp;".mit"&amp;".ef."&amp;$E1760&amp;"."&amp;$D1760&amp;".co2"</f>
        <v>mea.mit.ef.rod.gso.co2</v>
      </c>
      <c r="I1760" s="3" t="str">
        <f>"wld.mit"&amp;".ef."&amp;$E1760&amp;"."&amp;$D1760&amp;".co2"</f>
        <v>wld.mit.ef.rod.gso.co2</v>
      </c>
      <c r="J1760" s="3" t="inlineStr">
        <is>
          <t>egy.mit.ef.rod.gso.co2</t>
        </is>
      </c>
      <c r="K1760" s="236" t="n">
        <v>0.066178</v>
      </c>
    </row>
    <row r="1761">
      <c r="A1761" s="3" t="str">
        <f>$B1761&amp;"|"&amp;$C1761</f>
        <v>gso|res</v>
      </c>
      <c r="B1761" s="3" t="inlineStr">
        <is>
          <t>gso</t>
        </is>
      </c>
      <c r="C1761" s="3" t="inlineStr">
        <is>
          <t>res</t>
        </is>
      </c>
      <c r="D1761" s="8" t="inlineStr">
        <is>
          <t>gso</t>
        </is>
      </c>
      <c r="E1761" s="8" t="inlineStr">
        <is>
          <t>res</t>
        </is>
      </c>
      <c r="F1761" s="8" t="inlineStr">
        <is>
          <t>IIASA</t>
        </is>
      </c>
      <c r="G1761" s="3" t="str">
        <f>LOWER(CtryCode)&amp;".mit"&amp;".ef."&amp;$E1761&amp;"."&amp;$D1761&amp;".co2"</f>
        <v>egy.mit.ef.res.gso.co2</v>
      </c>
      <c r="H1761" s="3" t="str">
        <f>CtryReg&amp;".mit"&amp;".ef."&amp;$E1761&amp;"."&amp;$D1761&amp;".co2"</f>
        <v>mea.mit.ef.res.gso.co2</v>
      </c>
      <c r="I1761" s="3" t="str">
        <f>"wld.mit"&amp;".ef."&amp;$E1761&amp;"."&amp;$D1761&amp;".co2"</f>
        <v>wld.mit.ef.res.gso.co2</v>
      </c>
      <c r="J1761" s="3" t="inlineStr">
        <is>
          <t>mea.mit.ef.res.gso.co2</t>
        </is>
      </c>
      <c r="K1761" s="236" t="n">
        <v>0.068555</v>
      </c>
    </row>
    <row r="1762">
      <c r="A1762" s="3" t="str">
        <f>$B1762&amp;"|"&amp;$C1762</f>
        <v>gso|ind</v>
      </c>
      <c r="B1762" s="3" t="inlineStr">
        <is>
          <t>gso</t>
        </is>
      </c>
      <c r="C1762" s="3" t="inlineStr">
        <is>
          <t>ind</t>
        </is>
      </c>
      <c r="D1762" s="8" t="inlineStr">
        <is>
          <t>gso</t>
        </is>
      </c>
      <c r="E1762" s="8" t="inlineStr">
        <is>
          <t>ind</t>
        </is>
      </c>
      <c r="F1762" s="8" t="inlineStr">
        <is>
          <t>IIASA</t>
        </is>
      </c>
      <c r="G1762" s="3" t="str">
        <f>LOWER(CtryCode)&amp;".mit"&amp;".ef."&amp;$E1762&amp;"."&amp;$D1762&amp;".co2"</f>
        <v>egy.mit.ef.ind.gso.co2</v>
      </c>
      <c r="H1762" s="3" t="str">
        <f>CtryReg&amp;".mit"&amp;".ef."&amp;$E1762&amp;"."&amp;$D1762&amp;".co2"</f>
        <v>mea.mit.ef.ind.gso.co2</v>
      </c>
      <c r="I1762" s="3" t="str">
        <f>"wld.mit"&amp;".ef."&amp;$E1762&amp;"."&amp;$D1762&amp;".co2"</f>
        <v>wld.mit.ef.ind.gso.co2</v>
      </c>
      <c r="J1762" s="3" t="inlineStr">
        <is>
          <t>egy.mit.ef.ind.gso.co2</t>
        </is>
      </c>
      <c r="K1762" s="236" t="n">
        <v>0.06779300000000001</v>
      </c>
    </row>
    <row r="1763">
      <c r="A1763" s="3" t="str">
        <f>$B1763&amp;"|"&amp;$C1763</f>
        <v>die|pow</v>
      </c>
      <c r="B1763" s="3" t="inlineStr">
        <is>
          <t>die</t>
        </is>
      </c>
      <c r="C1763" s="3" t="inlineStr">
        <is>
          <t>pow</t>
        </is>
      </c>
      <c r="D1763" s="8" t="inlineStr">
        <is>
          <t>die</t>
        </is>
      </c>
      <c r="E1763" s="8" t="inlineStr">
        <is>
          <t>pow</t>
        </is>
      </c>
      <c r="F1763" s="8" t="inlineStr">
        <is>
          <t>IIASA</t>
        </is>
      </c>
      <c r="G1763" s="3" t="str">
        <f>LOWER(CtryCode)&amp;".mit"&amp;".ef."&amp;$E1763&amp;"."&amp;$D1763&amp;".co2"</f>
        <v>egy.mit.ef.pow.die.co2</v>
      </c>
      <c r="H1763" s="3" t="str">
        <f>CtryReg&amp;".mit"&amp;".ef."&amp;$E1763&amp;"."&amp;$D1763&amp;".co2"</f>
        <v>mea.mit.ef.pow.die.co2</v>
      </c>
      <c r="I1763" s="3" t="str">
        <f>"wld.mit"&amp;".ef."&amp;$E1763&amp;"."&amp;$D1763&amp;".co2"</f>
        <v>wld.mit.ef.pow.die.co2</v>
      </c>
      <c r="J1763" s="3" t="inlineStr">
        <is>
          <t>mea.mit.ef.pow.die.co2</t>
        </is>
      </c>
      <c r="K1763" s="236" t="n">
        <v>0.07340000000000001</v>
      </c>
    </row>
    <row r="1764">
      <c r="A1764" s="3" t="str">
        <f>$B1764&amp;"|"&amp;$C1764</f>
        <v>die|rod</v>
      </c>
      <c r="B1764" s="3" t="inlineStr">
        <is>
          <t>die</t>
        </is>
      </c>
      <c r="C1764" s="3" t="inlineStr">
        <is>
          <t>rod</t>
        </is>
      </c>
      <c r="D1764" s="8" t="inlineStr">
        <is>
          <t>die</t>
        </is>
      </c>
      <c r="E1764" s="8" t="inlineStr">
        <is>
          <t>rod</t>
        </is>
      </c>
      <c r="F1764" s="8" t="inlineStr">
        <is>
          <t>IIASA</t>
        </is>
      </c>
      <c r="G1764" s="3" t="str">
        <f>LOWER(CtryCode)&amp;".mit"&amp;".ef."&amp;$E1764&amp;"."&amp;$D1764&amp;".co2"</f>
        <v>egy.mit.ef.rod.die.co2</v>
      </c>
      <c r="H1764" s="3" t="str">
        <f>CtryReg&amp;".mit"&amp;".ef."&amp;$E1764&amp;"."&amp;$D1764&amp;".co2"</f>
        <v>mea.mit.ef.rod.die.co2</v>
      </c>
      <c r="I1764" s="3" t="str">
        <f>"wld.mit"&amp;".ef."&amp;$E1764&amp;"."&amp;$D1764&amp;".co2"</f>
        <v>wld.mit.ef.rod.die.co2</v>
      </c>
      <c r="J1764" s="3" t="inlineStr">
        <is>
          <t>egy.mit.ef.rod.die.co2</t>
        </is>
      </c>
      <c r="K1764" s="236" t="n">
        <v>0.070809</v>
      </c>
    </row>
    <row r="1765">
      <c r="A1765" s="3" t="str">
        <f>$B1765&amp;"|"&amp;$C1765</f>
        <v>die|res</v>
      </c>
      <c r="B1765" s="3" t="inlineStr">
        <is>
          <t>die</t>
        </is>
      </c>
      <c r="C1765" s="3" t="inlineStr">
        <is>
          <t>res</t>
        </is>
      </c>
      <c r="D1765" s="8" t="inlineStr">
        <is>
          <t>die</t>
        </is>
      </c>
      <c r="E1765" s="8" t="inlineStr">
        <is>
          <t>res</t>
        </is>
      </c>
      <c r="F1765" s="8" t="inlineStr">
        <is>
          <t>IIASA</t>
        </is>
      </c>
      <c r="G1765" s="3" t="str">
        <f>LOWER(CtryCode)&amp;".mit"&amp;".ef."&amp;$E1765&amp;"."&amp;$D1765&amp;".co2"</f>
        <v>egy.mit.ef.res.die.co2</v>
      </c>
      <c r="H1765" s="3" t="str">
        <f>CtryReg&amp;".mit"&amp;".ef."&amp;$E1765&amp;"."&amp;$D1765&amp;".co2"</f>
        <v>mea.mit.ef.res.die.co2</v>
      </c>
      <c r="I1765" s="3" t="str">
        <f>"wld.mit"&amp;".ef."&amp;$E1765&amp;"."&amp;$D1765&amp;".co2"</f>
        <v>wld.mit.ef.res.die.co2</v>
      </c>
      <c r="J1765" s="3" t="inlineStr">
        <is>
          <t>mea.mit.ef.res.die.co2</t>
        </is>
      </c>
      <c r="K1765" s="236" t="n">
        <v>0.07340000000000001</v>
      </c>
    </row>
    <row r="1766">
      <c r="A1766" s="3" t="str">
        <f>$B1766&amp;"|"&amp;$C1766</f>
        <v>die|ind</v>
      </c>
      <c r="B1766" s="3" t="inlineStr">
        <is>
          <t>die</t>
        </is>
      </c>
      <c r="C1766" s="3" t="inlineStr">
        <is>
          <t>ind</t>
        </is>
      </c>
      <c r="D1766" s="8" t="inlineStr">
        <is>
          <t>die</t>
        </is>
      </c>
      <c r="E1766" s="8" t="inlineStr">
        <is>
          <t>ind</t>
        </is>
      </c>
      <c r="F1766" s="8" t="inlineStr">
        <is>
          <t>IIASA</t>
        </is>
      </c>
      <c r="G1766" s="3" t="str">
        <f>LOWER(CtryCode)&amp;".mit"&amp;".ef."&amp;$E1766&amp;"."&amp;$D1766&amp;".co2"</f>
        <v>egy.mit.ef.ind.die.co2</v>
      </c>
      <c r="H1766" s="3" t="str">
        <f>CtryReg&amp;".mit"&amp;".ef."&amp;$E1766&amp;"."&amp;$D1766&amp;".co2"</f>
        <v>mea.mit.ef.ind.die.co2</v>
      </c>
      <c r="I1766" s="3" t="str">
        <f>"wld.mit"&amp;".ef."&amp;$E1766&amp;"."&amp;$D1766&amp;".co2"</f>
        <v>wld.mit.ef.ind.die.co2</v>
      </c>
      <c r="J1766" s="3" t="inlineStr">
        <is>
          <t>egy.mit.ef.ind.die.co2</t>
        </is>
      </c>
      <c r="K1766" s="236" t="n">
        <v>0.07184499999999999</v>
      </c>
    </row>
    <row r="1767">
      <c r="A1767" s="3" t="str">
        <f>$B1767&amp;"|"&amp;$C1767</f>
        <v>lpg|pow</v>
      </c>
      <c r="B1767" s="3" t="inlineStr">
        <is>
          <t>lpg</t>
        </is>
      </c>
      <c r="C1767" s="3" t="inlineStr">
        <is>
          <t>pow</t>
        </is>
      </c>
      <c r="D1767" s="8" t="inlineStr">
        <is>
          <t>lpg</t>
        </is>
      </c>
      <c r="E1767" s="8" t="inlineStr">
        <is>
          <t>ind</t>
        </is>
      </c>
      <c r="F1767" s="8" t="inlineStr">
        <is>
          <t>IIASA</t>
        </is>
      </c>
      <c r="G1767" s="3" t="str">
        <f>LOWER(CtryCode)&amp;".mit"&amp;".ef."&amp;$E1767&amp;"."&amp;$D1767&amp;".co2"</f>
        <v>egy.mit.ef.ind.lpg.co2</v>
      </c>
      <c r="H1767" s="3" t="str">
        <f>CtryReg&amp;".mit"&amp;".ef."&amp;$E1767&amp;"."&amp;$D1767&amp;".co2"</f>
        <v>mea.mit.ef.ind.lpg.co2</v>
      </c>
      <c r="I1767" s="3" t="str">
        <f>"wld.mit"&amp;".ef."&amp;$E1767&amp;"."&amp;$D1767&amp;".co2"</f>
        <v>wld.mit.ef.ind.lpg.co2</v>
      </c>
      <c r="J1767" s="3" t="inlineStr">
        <is>
          <t>egy.mit.ef.ind.lpg.co2</t>
        </is>
      </c>
      <c r="K1767" s="236" t="n">
        <v>0.06859999999999999</v>
      </c>
    </row>
    <row r="1768">
      <c r="A1768" s="3" t="str">
        <f>$B1768&amp;"|"&amp;$C1768</f>
        <v>lpg|rod</v>
      </c>
      <c r="B1768" s="3" t="inlineStr">
        <is>
          <t>lpg</t>
        </is>
      </c>
      <c r="C1768" s="3" t="inlineStr">
        <is>
          <t>rod</t>
        </is>
      </c>
      <c r="D1768" s="8" t="inlineStr">
        <is>
          <t>lpg</t>
        </is>
      </c>
      <c r="E1768" s="8" t="inlineStr">
        <is>
          <t>res</t>
        </is>
      </c>
      <c r="F1768" s="8" t="inlineStr">
        <is>
          <t>IIASA</t>
        </is>
      </c>
      <c r="G1768" s="3" t="str">
        <f>LOWER(CtryCode)&amp;".mit"&amp;".ef."&amp;$E1768&amp;"."&amp;$D1768&amp;".co2"</f>
        <v>egy.mit.ef.res.lpg.co2</v>
      </c>
      <c r="H1768" s="3" t="str">
        <f>CtryReg&amp;".mit"&amp;".ef."&amp;$E1768&amp;"."&amp;$D1768&amp;".co2"</f>
        <v>mea.mit.ef.res.lpg.co2</v>
      </c>
      <c r="I1768" s="3" t="str">
        <f>"wld.mit"&amp;".ef."&amp;$E1768&amp;"."&amp;$D1768&amp;".co2"</f>
        <v>wld.mit.ef.res.lpg.co2</v>
      </c>
      <c r="J1768" s="3" t="inlineStr">
        <is>
          <t>mea.mit.ef.res.lpg.co2</t>
        </is>
      </c>
      <c r="K1768" s="236" t="n">
        <v>0.06859999999999999</v>
      </c>
    </row>
    <row r="1769">
      <c r="A1769" s="3" t="str">
        <f>$B1769&amp;"|"&amp;$C1769</f>
        <v>lpg|res</v>
      </c>
      <c r="B1769" s="3" t="inlineStr">
        <is>
          <t>lpg</t>
        </is>
      </c>
      <c r="C1769" s="3" t="inlineStr">
        <is>
          <t>res</t>
        </is>
      </c>
      <c r="D1769" s="8" t="inlineStr">
        <is>
          <t>lpg</t>
        </is>
      </c>
      <c r="E1769" s="8" t="inlineStr">
        <is>
          <t>res</t>
        </is>
      </c>
      <c r="F1769" s="8" t="inlineStr">
        <is>
          <t>IIASA</t>
        </is>
      </c>
      <c r="G1769" s="3" t="str">
        <f>LOWER(CtryCode)&amp;".mit"&amp;".ef."&amp;$E1769&amp;"."&amp;$D1769&amp;".co2"</f>
        <v>egy.mit.ef.res.lpg.co2</v>
      </c>
      <c r="H1769" s="3" t="str">
        <f>CtryReg&amp;".mit"&amp;".ef."&amp;$E1769&amp;"."&amp;$D1769&amp;".co2"</f>
        <v>mea.mit.ef.res.lpg.co2</v>
      </c>
      <c r="I1769" s="3" t="str">
        <f>"wld.mit"&amp;".ef."&amp;$E1769&amp;"."&amp;$D1769&amp;".co2"</f>
        <v>wld.mit.ef.res.lpg.co2</v>
      </c>
      <c r="J1769" s="3" t="inlineStr">
        <is>
          <t>mea.mit.ef.res.lpg.co2</t>
        </is>
      </c>
      <c r="K1769" s="236" t="n">
        <v>0.06859999999999999</v>
      </c>
    </row>
    <row r="1770">
      <c r="A1770" s="3" t="str">
        <f>$B1770&amp;"|"&amp;$C1770</f>
        <v>lpg|ind</v>
      </c>
      <c r="B1770" s="3" t="inlineStr">
        <is>
          <t>lpg</t>
        </is>
      </c>
      <c r="C1770" s="3" t="inlineStr">
        <is>
          <t>ind</t>
        </is>
      </c>
      <c r="D1770" s="8" t="inlineStr">
        <is>
          <t>lpg</t>
        </is>
      </c>
      <c r="E1770" s="8" t="inlineStr">
        <is>
          <t>ind</t>
        </is>
      </c>
      <c r="F1770" s="8" t="inlineStr">
        <is>
          <t>IIASA</t>
        </is>
      </c>
      <c r="G1770" s="3" t="str">
        <f>LOWER(CtryCode)&amp;".mit"&amp;".ef."&amp;$E1770&amp;"."&amp;$D1770&amp;".co2"</f>
        <v>egy.mit.ef.ind.lpg.co2</v>
      </c>
      <c r="H1770" s="3" t="str">
        <f>CtryReg&amp;".mit"&amp;".ef."&amp;$E1770&amp;"."&amp;$D1770&amp;".co2"</f>
        <v>mea.mit.ef.ind.lpg.co2</v>
      </c>
      <c r="I1770" s="3" t="str">
        <f>"wld.mit"&amp;".ef."&amp;$E1770&amp;"."&amp;$D1770&amp;".co2"</f>
        <v>wld.mit.ef.ind.lpg.co2</v>
      </c>
      <c r="J1770" s="3" t="inlineStr">
        <is>
          <t>egy.mit.ef.ind.lpg.co2</t>
        </is>
      </c>
      <c r="K1770" s="236" t="n">
        <v>0.06859999999999999</v>
      </c>
    </row>
    <row r="1771">
      <c r="A1771" s="3" t="str">
        <f>$B1771&amp;"|"&amp;$C1771</f>
        <v>ker|pow</v>
      </c>
      <c r="B1771" s="3" t="inlineStr">
        <is>
          <t>ker</t>
        </is>
      </c>
      <c r="C1771" s="3" t="inlineStr">
        <is>
          <t>pow</t>
        </is>
      </c>
      <c r="D1771" s="8" t="inlineStr">
        <is>
          <t>ker</t>
        </is>
      </c>
      <c r="E1771" s="8" t="inlineStr">
        <is>
          <t>res</t>
        </is>
      </c>
      <c r="F1771" s="8" t="inlineStr">
        <is>
          <t>IIASA</t>
        </is>
      </c>
      <c r="G1771" s="3" t="str">
        <f>LOWER(CtryCode)&amp;".mit"&amp;".ef."&amp;$E1771&amp;"."&amp;$D1771&amp;".co2"</f>
        <v>egy.mit.ef.res.ker.co2</v>
      </c>
      <c r="H1771" s="3" t="str">
        <f>CtryReg&amp;".mit"&amp;".ef."&amp;$E1771&amp;"."&amp;$D1771&amp;".co2"</f>
        <v>mea.mit.ef.res.ker.co2</v>
      </c>
      <c r="I1771" s="3" t="str">
        <f>"wld.mit"&amp;".ef."&amp;$E1771&amp;"."&amp;$D1771&amp;".co2"</f>
        <v>wld.mit.ef.res.ker.co2</v>
      </c>
      <c r="J1771" s="3" t="inlineStr">
        <is>
          <t>mea.mit.ef.res.ker.co2</t>
        </is>
      </c>
      <c r="K1771" s="236" t="n">
        <v>0.068555</v>
      </c>
    </row>
    <row r="1772">
      <c r="A1772" s="3" t="str">
        <f>$B1772&amp;"|"&amp;$C1772</f>
        <v>ker|rod</v>
      </c>
      <c r="B1772" s="3" t="inlineStr">
        <is>
          <t>ker</t>
        </is>
      </c>
      <c r="C1772" s="3" t="inlineStr">
        <is>
          <t>rod</t>
        </is>
      </c>
      <c r="D1772" s="8" t="inlineStr">
        <is>
          <t>ker</t>
        </is>
      </c>
      <c r="E1772" s="8" t="inlineStr">
        <is>
          <t>res</t>
        </is>
      </c>
      <c r="F1772" s="8" t="inlineStr">
        <is>
          <t>IIASA</t>
        </is>
      </c>
      <c r="G1772" s="3" t="str">
        <f>LOWER(CtryCode)&amp;".mit"&amp;".ef."&amp;$E1772&amp;"."&amp;$D1772&amp;".co2"</f>
        <v>egy.mit.ef.res.ker.co2</v>
      </c>
      <c r="H1772" s="3" t="str">
        <f>CtryReg&amp;".mit"&amp;".ef."&amp;$E1772&amp;"."&amp;$D1772&amp;".co2"</f>
        <v>mea.mit.ef.res.ker.co2</v>
      </c>
      <c r="I1772" s="3" t="str">
        <f>"wld.mit"&amp;".ef."&amp;$E1772&amp;"."&amp;$D1772&amp;".co2"</f>
        <v>wld.mit.ef.res.ker.co2</v>
      </c>
      <c r="J1772" s="3" t="inlineStr">
        <is>
          <t>mea.mit.ef.res.ker.co2</t>
        </is>
      </c>
      <c r="K1772" s="236" t="n">
        <v>0.068555</v>
      </c>
    </row>
    <row r="1773">
      <c r="A1773" s="3" t="str">
        <f>$B1773&amp;"|"&amp;$C1773</f>
        <v>ker|res</v>
      </c>
      <c r="B1773" s="3" t="inlineStr">
        <is>
          <t>ker</t>
        </is>
      </c>
      <c r="C1773" s="3" t="inlineStr">
        <is>
          <t>res</t>
        </is>
      </c>
      <c r="D1773" s="8" t="inlineStr">
        <is>
          <t>ker</t>
        </is>
      </c>
      <c r="E1773" s="8" t="inlineStr">
        <is>
          <t>res</t>
        </is>
      </c>
      <c r="F1773" s="8" t="inlineStr">
        <is>
          <t>IIASA</t>
        </is>
      </c>
      <c r="G1773" s="3" t="str">
        <f>LOWER(CtryCode)&amp;".mit"&amp;".ef."&amp;$E1773&amp;"."&amp;$D1773&amp;".co2"</f>
        <v>egy.mit.ef.res.ker.co2</v>
      </c>
      <c r="H1773" s="3" t="str">
        <f>CtryReg&amp;".mit"&amp;".ef."&amp;$E1773&amp;"."&amp;$D1773&amp;".co2"</f>
        <v>mea.mit.ef.res.ker.co2</v>
      </c>
      <c r="I1773" s="3" t="str">
        <f>"wld.mit"&amp;".ef."&amp;$E1773&amp;"."&amp;$D1773&amp;".co2"</f>
        <v>wld.mit.ef.res.ker.co2</v>
      </c>
      <c r="J1773" s="3" t="inlineStr">
        <is>
          <t>mea.mit.ef.res.ker.co2</t>
        </is>
      </c>
      <c r="K1773" s="236" t="n">
        <v>0.068555</v>
      </c>
    </row>
    <row r="1774">
      <c r="A1774" s="3" t="str">
        <f>$B1774&amp;"|"&amp;$C1774</f>
        <v>ker|ind</v>
      </c>
      <c r="B1774" s="3" t="inlineStr">
        <is>
          <t>ker</t>
        </is>
      </c>
      <c r="C1774" s="3" t="inlineStr">
        <is>
          <t>ind</t>
        </is>
      </c>
      <c r="D1774" s="8" t="inlineStr">
        <is>
          <t>ker</t>
        </is>
      </c>
      <c r="E1774" s="8" t="inlineStr">
        <is>
          <t>ind</t>
        </is>
      </c>
      <c r="F1774" s="8" t="inlineStr">
        <is>
          <t>IIASA</t>
        </is>
      </c>
      <c r="G1774" s="3" t="str">
        <f>LOWER(CtryCode)&amp;".mit"&amp;".ef."&amp;$E1774&amp;"."&amp;$D1774&amp;".co2"</f>
        <v>egy.mit.ef.ind.ker.co2</v>
      </c>
      <c r="H1774" s="3" t="str">
        <f>CtryReg&amp;".mit"&amp;".ef."&amp;$E1774&amp;"."&amp;$D1774&amp;".co2"</f>
        <v>mea.mit.ef.ind.ker.co2</v>
      </c>
      <c r="I1774" s="3" t="str">
        <f>"wld.mit"&amp;".ef."&amp;$E1774&amp;"."&amp;$D1774&amp;".co2"</f>
        <v>wld.mit.ef.ind.ker.co2</v>
      </c>
      <c r="J1774" s="3" t="inlineStr">
        <is>
          <t>egy.mit.ef.ind.ker.co2</t>
        </is>
      </c>
      <c r="K1774" s="236" t="n">
        <v>0.06779300000000001</v>
      </c>
    </row>
    <row r="1775">
      <c r="A1775" s="3" t="str">
        <f>$B1775&amp;"|"&amp;$C1775</f>
        <v>oop|pow</v>
      </c>
      <c r="B1775" s="3" t="inlineStr">
        <is>
          <t>oop</t>
        </is>
      </c>
      <c r="C1775" s="3" t="inlineStr">
        <is>
          <t>pow</t>
        </is>
      </c>
      <c r="D1775" s="8" t="inlineStr">
        <is>
          <t>oop</t>
        </is>
      </c>
      <c r="E1775" s="8" t="inlineStr">
        <is>
          <t>pow</t>
        </is>
      </c>
      <c r="F1775" s="8" t="inlineStr">
        <is>
          <t>IIASA</t>
        </is>
      </c>
      <c r="G1775" s="3" t="str">
        <f>LOWER(CtryCode)&amp;".mit"&amp;".ef."&amp;$E1775&amp;"."&amp;$D1775&amp;".co2"</f>
        <v>egy.mit.ef.pow.oop.co2</v>
      </c>
      <c r="H1775" s="3" t="str">
        <f>CtryReg&amp;".mit"&amp;".ef."&amp;$E1775&amp;"."&amp;$D1775&amp;".co2"</f>
        <v>mea.mit.ef.pow.oop.co2</v>
      </c>
      <c r="I1775" s="3" t="str">
        <f>"wld.mit"&amp;".ef."&amp;$E1775&amp;"."&amp;$D1775&amp;".co2"</f>
        <v>wld.mit.ef.pow.oop.co2</v>
      </c>
      <c r="J1775" s="3" t="inlineStr">
        <is>
          <t>egy.mit.ef.pow.oop.co2</t>
        </is>
      </c>
      <c r="K1775" s="236" t="n">
        <v>0.0767</v>
      </c>
    </row>
    <row r="1776">
      <c r="A1776" s="3" t="str">
        <f>$B1776&amp;"|"&amp;$C1776</f>
        <v>oop|rod</v>
      </c>
      <c r="B1776" s="3" t="inlineStr">
        <is>
          <t>oop</t>
        </is>
      </c>
      <c r="C1776" s="3" t="inlineStr">
        <is>
          <t>rod</t>
        </is>
      </c>
      <c r="D1776" s="8" t="inlineStr">
        <is>
          <t>die</t>
        </is>
      </c>
      <c r="E1776" s="8" t="inlineStr">
        <is>
          <t>rod</t>
        </is>
      </c>
      <c r="F1776" s="8" t="inlineStr">
        <is>
          <t>IIASA</t>
        </is>
      </c>
      <c r="G1776" s="3" t="str">
        <f>LOWER(CtryCode)&amp;".mit"&amp;".ef."&amp;$E1776&amp;"."&amp;$D1776&amp;".co2"</f>
        <v>egy.mit.ef.rod.die.co2</v>
      </c>
      <c r="H1776" s="3" t="str">
        <f>CtryReg&amp;".mit"&amp;".ef."&amp;$E1776&amp;"."&amp;$D1776&amp;".co2"</f>
        <v>mea.mit.ef.rod.die.co2</v>
      </c>
      <c r="I1776" s="3" t="str">
        <f>"wld.mit"&amp;".ef."&amp;$E1776&amp;"."&amp;$D1776&amp;".co2"</f>
        <v>wld.mit.ef.rod.die.co2</v>
      </c>
      <c r="J1776" s="3" t="inlineStr">
        <is>
          <t>egy.mit.ef.rod.die.co2</t>
        </is>
      </c>
      <c r="K1776" s="236" t="n">
        <v>0.070809</v>
      </c>
    </row>
    <row r="1777">
      <c r="A1777" s="3" t="str">
        <f>$B1777&amp;"|"&amp;$C1777</f>
        <v>oop|res</v>
      </c>
      <c r="B1777" s="3" t="inlineStr">
        <is>
          <t>oop</t>
        </is>
      </c>
      <c r="C1777" s="3" t="inlineStr">
        <is>
          <t>res</t>
        </is>
      </c>
      <c r="D1777" s="8" t="inlineStr">
        <is>
          <t>oop</t>
        </is>
      </c>
      <c r="E1777" s="8" t="inlineStr">
        <is>
          <t>res</t>
        </is>
      </c>
      <c r="F1777" s="8" t="inlineStr">
        <is>
          <t>IIASA</t>
        </is>
      </c>
      <c r="G1777" s="3" t="str">
        <f>LOWER(CtryCode)&amp;".mit"&amp;".ef."&amp;$E1777&amp;"."&amp;$D1777&amp;".co2"</f>
        <v>egy.mit.ef.res.oop.co2</v>
      </c>
      <c r="H1777" s="3" t="str">
        <f>CtryReg&amp;".mit"&amp;".ef."&amp;$E1777&amp;"."&amp;$D1777&amp;".co2"</f>
        <v>mea.mit.ef.res.oop.co2</v>
      </c>
      <c r="I1777" s="3" t="str">
        <f>"wld.mit"&amp;".ef."&amp;$E1777&amp;"."&amp;$D1777&amp;".co2"</f>
        <v>wld.mit.ef.res.oop.co2</v>
      </c>
      <c r="J1777" s="3" t="inlineStr">
        <is>
          <t>mea.mit.ef.res.oop.co2</t>
        </is>
      </c>
      <c r="K1777" s="236" t="n">
        <v>0.0767</v>
      </c>
    </row>
    <row r="1778">
      <c r="A1778" s="3" t="str">
        <f>$B1778&amp;"|"&amp;$C1778</f>
        <v>oop|ind</v>
      </c>
      <c r="B1778" s="3" t="inlineStr">
        <is>
          <t>oop</t>
        </is>
      </c>
      <c r="C1778" s="3" t="inlineStr">
        <is>
          <t>ind</t>
        </is>
      </c>
      <c r="D1778" s="8" t="inlineStr">
        <is>
          <t>oop</t>
        </is>
      </c>
      <c r="E1778" s="8" t="inlineStr">
        <is>
          <t>ind</t>
        </is>
      </c>
      <c r="F1778" s="8" t="inlineStr">
        <is>
          <t>IIASA</t>
        </is>
      </c>
      <c r="G1778" s="3" t="str">
        <f>LOWER(CtryCode)&amp;".mit"&amp;".ef."&amp;$E1778&amp;"."&amp;$D1778&amp;".co2"</f>
        <v>egy.mit.ef.ind.oop.co2</v>
      </c>
      <c r="H1778" s="3" t="str">
        <f>CtryReg&amp;".mit"&amp;".ef."&amp;$E1778&amp;"."&amp;$D1778&amp;".co2"</f>
        <v>mea.mit.ef.ind.oop.co2</v>
      </c>
      <c r="I1778" s="3" t="str">
        <f>"wld.mit"&amp;".ef."&amp;$E1778&amp;"."&amp;$D1778&amp;".co2"</f>
        <v>wld.mit.ef.ind.oop.co2</v>
      </c>
      <c r="J1778" s="3" t="inlineStr">
        <is>
          <t>egy.mit.ef.ind.oop.co2</t>
        </is>
      </c>
      <c r="K1778" s="236" t="n">
        <v>0.0767</v>
      </c>
    </row>
    <row r="1779">
      <c r="A1779" s="3" t="str">
        <f>$B1779&amp;"|"&amp;$C1779</f>
        <v>bio|pow</v>
      </c>
      <c r="B1779" s="3" t="inlineStr">
        <is>
          <t>bio</t>
        </is>
      </c>
      <c r="C1779" s="3" t="inlineStr">
        <is>
          <t>pow</t>
        </is>
      </c>
      <c r="D1779" s="8" t="inlineStr">
        <is>
          <t>bio</t>
        </is>
      </c>
      <c r="E1779" s="8" t="inlineStr">
        <is>
          <t>pow</t>
        </is>
      </c>
      <c r="F1779" s="8" t="inlineStr">
        <is>
          <t>none</t>
        </is>
      </c>
      <c r="G1779" s="3" t="str">
        <f>LOWER(CtryCode)&amp;".mit"&amp;".ef."&amp;$E1779&amp;"."&amp;$D1779&amp;".co2"</f>
        <v>egy.mit.ef.pow.bio.co2</v>
      </c>
      <c r="H1779" s="3" t="str">
        <f>CtryReg&amp;".mit"&amp;".ef."&amp;$E1779&amp;"."&amp;$D1779&amp;".co2"</f>
        <v>mea.mit.ef.pow.bio.co2</v>
      </c>
      <c r="I1779" s="3" t="str">
        <f>"wld.mit"&amp;".ef."&amp;$E1779&amp;"."&amp;$D1779&amp;".co2"</f>
        <v>wld.mit.ef.pow.bio.co2</v>
      </c>
      <c r="J1779" s="3" t="inlineStr">
        <is>
          <t>wld.mit.ef.pow.bio.co2</t>
        </is>
      </c>
      <c r="K1779" s="236" t="n">
        <v>0</v>
      </c>
    </row>
    <row r="1780">
      <c r="A1780" s="3" t="str">
        <f>$B1780&amp;"|"&amp;$C1780</f>
        <v>bio|rod</v>
      </c>
      <c r="B1780" s="3" t="inlineStr">
        <is>
          <t>bio</t>
        </is>
      </c>
      <c r="C1780" s="3" t="inlineStr">
        <is>
          <t>rod</t>
        </is>
      </c>
      <c r="D1780" s="8" t="inlineStr">
        <is>
          <t>bio</t>
        </is>
      </c>
      <c r="E1780" s="8" t="inlineStr">
        <is>
          <t>rod</t>
        </is>
      </c>
      <c r="F1780" s="8" t="inlineStr">
        <is>
          <t>none</t>
        </is>
      </c>
      <c r="G1780" s="3" t="str">
        <f>LOWER(CtryCode)&amp;".mit"&amp;".ef."&amp;$E1780&amp;"."&amp;$D1780&amp;".co2"</f>
        <v>egy.mit.ef.rod.bio.co2</v>
      </c>
      <c r="H1780" s="3" t="str">
        <f>CtryReg&amp;".mit"&amp;".ef."&amp;$E1780&amp;"."&amp;$D1780&amp;".co2"</f>
        <v>mea.mit.ef.rod.bio.co2</v>
      </c>
      <c r="I1780" s="3" t="str">
        <f>"wld.mit"&amp;".ef."&amp;$E1780&amp;"."&amp;$D1780&amp;".co2"</f>
        <v>wld.mit.ef.rod.bio.co2</v>
      </c>
      <c r="J1780" s="3" t="inlineStr">
        <is>
          <t>wld.mit.ef.rod.bio.co2</t>
        </is>
      </c>
      <c r="K1780" s="236" t="n">
        <v>0</v>
      </c>
    </row>
    <row r="1781">
      <c r="A1781" s="3" t="str">
        <f>$B1781&amp;"|"&amp;$C1781</f>
        <v>bio|res</v>
      </c>
      <c r="B1781" s="3" t="inlineStr">
        <is>
          <t>bio</t>
        </is>
      </c>
      <c r="C1781" s="3" t="inlineStr">
        <is>
          <t>res</t>
        </is>
      </c>
      <c r="D1781" s="8" t="inlineStr">
        <is>
          <t>bio</t>
        </is>
      </c>
      <c r="E1781" s="8" t="inlineStr">
        <is>
          <t>res</t>
        </is>
      </c>
      <c r="F1781" s="8" t="inlineStr">
        <is>
          <t>none</t>
        </is>
      </c>
      <c r="G1781" s="3" t="str">
        <f>LOWER(CtryCode)&amp;".mit"&amp;".ef."&amp;$E1781&amp;"."&amp;$D1781&amp;".co2"</f>
        <v>egy.mit.ef.res.bio.co2</v>
      </c>
      <c r="H1781" s="3" t="str">
        <f>CtryReg&amp;".mit"&amp;".ef."&amp;$E1781&amp;"."&amp;$D1781&amp;".co2"</f>
        <v>mea.mit.ef.res.bio.co2</v>
      </c>
      <c r="I1781" s="3" t="str">
        <f>"wld.mit"&amp;".ef."&amp;$E1781&amp;"."&amp;$D1781&amp;".co2"</f>
        <v>wld.mit.ef.res.bio.co2</v>
      </c>
      <c r="J1781" s="3" t="inlineStr">
        <is>
          <t>wld.mit.ef.res.bio.co2</t>
        </is>
      </c>
      <c r="K1781" s="236" t="n">
        <v>0</v>
      </c>
    </row>
    <row r="1782">
      <c r="A1782" s="3" t="str">
        <f>$B1782&amp;"|"&amp;$C1782</f>
        <v>bio|ind</v>
      </c>
      <c r="B1782" s="3" t="inlineStr">
        <is>
          <t>bio</t>
        </is>
      </c>
      <c r="C1782" s="3" t="inlineStr">
        <is>
          <t>ind</t>
        </is>
      </c>
      <c r="D1782" s="8" t="inlineStr">
        <is>
          <t>bio</t>
        </is>
      </c>
      <c r="E1782" s="8" t="inlineStr">
        <is>
          <t>ind</t>
        </is>
      </c>
      <c r="F1782" s="8" t="inlineStr">
        <is>
          <t>none</t>
        </is>
      </c>
      <c r="G1782" s="3" t="str">
        <f>LOWER(CtryCode)&amp;".mit"&amp;".ef."&amp;$E1782&amp;"."&amp;$D1782&amp;".co2"</f>
        <v>egy.mit.ef.ind.bio.co2</v>
      </c>
      <c r="H1782" s="3" t="str">
        <f>CtryReg&amp;".mit"&amp;".ef."&amp;$E1782&amp;"."&amp;$D1782&amp;".co2"</f>
        <v>mea.mit.ef.ind.bio.co2</v>
      </c>
      <c r="I1782" s="3" t="str">
        <f>"wld.mit"&amp;".ef."&amp;$E1782&amp;"."&amp;$D1782&amp;".co2"</f>
        <v>wld.mit.ef.ind.bio.co2</v>
      </c>
      <c r="J1782" s="3" t="inlineStr">
        <is>
          <t>wld.mit.ef.ind.bio.co2</t>
        </is>
      </c>
      <c r="K1782" s="236" t="n">
        <v>0</v>
      </c>
    </row>
    <row r="1783">
      <c r="A1783" s="3" t="str">
        <f>$B1783&amp;"|"&amp;$C1783</f>
        <v>jfu|pow</v>
      </c>
      <c r="B1783" s="3" t="inlineStr">
        <is>
          <t>jfu</t>
        </is>
      </c>
      <c r="C1783" s="3" t="inlineStr">
        <is>
          <t>pow</t>
        </is>
      </c>
      <c r="D1783" s="8" t="inlineStr">
        <is>
          <t>jfu</t>
        </is>
      </c>
      <c r="E1783" s="8" t="inlineStr">
        <is>
          <t>pow</t>
        </is>
      </c>
      <c r="F1783" s="8" t="inlineStr">
        <is>
          <t>IEA</t>
        </is>
      </c>
      <c r="G1783" s="3" t="str">
        <f>LOWER(CtryCode)&amp;".mit"&amp;".ef."&amp;$E1783&amp;"."&amp;$D1783&amp;".co2"</f>
        <v>egy.mit.ef.pow.jfu.co2</v>
      </c>
      <c r="H1783" s="3" t="str">
        <f>CtryReg&amp;".mit"&amp;".ef."&amp;$E1783&amp;"."&amp;$D1783&amp;".co2"</f>
        <v>mea.mit.ef.pow.jfu.co2</v>
      </c>
      <c r="I1783" s="3" t="str">
        <f>"wld.mit"&amp;".ef."&amp;$E1783&amp;"."&amp;$D1783&amp;".co2"</f>
        <v>wld.mit.ef.pow.jfu.co2</v>
      </c>
      <c r="J1783" s="3" t="inlineStr">
        <is>
          <t>wld.mit.ef.pow.jfu.co2</t>
        </is>
      </c>
      <c r="K1783" s="236" t="n">
        <v>0.07149999999999999</v>
      </c>
    </row>
    <row r="1784">
      <c r="A1784" s="3" t="str">
        <f>$B1784&amp;"|"&amp;$C1784</f>
        <v>jfu|rod</v>
      </c>
      <c r="B1784" s="3" t="inlineStr">
        <is>
          <t>jfu</t>
        </is>
      </c>
      <c r="C1784" s="3" t="inlineStr">
        <is>
          <t>rod</t>
        </is>
      </c>
      <c r="D1784" s="8" t="inlineStr">
        <is>
          <t>jfu</t>
        </is>
      </c>
      <c r="E1784" s="8" t="inlineStr">
        <is>
          <t>rod</t>
        </is>
      </c>
      <c r="F1784" s="8" t="inlineStr">
        <is>
          <t>IEA</t>
        </is>
      </c>
      <c r="G1784" s="3" t="str">
        <f>LOWER(CtryCode)&amp;".mit"&amp;".ef."&amp;$E1784&amp;"."&amp;$D1784&amp;".co2"</f>
        <v>egy.mit.ef.rod.jfu.co2</v>
      </c>
      <c r="H1784" s="3" t="str">
        <f>CtryReg&amp;".mit"&amp;".ef."&amp;$E1784&amp;"."&amp;$D1784&amp;".co2"</f>
        <v>mea.mit.ef.rod.jfu.co2</v>
      </c>
      <c r="I1784" s="3" t="str">
        <f>"wld.mit"&amp;".ef."&amp;$E1784&amp;"."&amp;$D1784&amp;".co2"</f>
        <v>wld.mit.ef.rod.jfu.co2</v>
      </c>
      <c r="J1784" s="3" t="inlineStr">
        <is>
          <t>wld.mit.ef.rod.jfu.co2</t>
        </is>
      </c>
      <c r="K1784" s="236" t="n">
        <v>0.07149999999999999</v>
      </c>
    </row>
    <row r="1785">
      <c r="A1785" s="3" t="str">
        <f>$B1785&amp;"|"&amp;$C1785</f>
        <v>jfu|res</v>
      </c>
      <c r="B1785" s="3" t="inlineStr">
        <is>
          <t>jfu</t>
        </is>
      </c>
      <c r="C1785" s="3" t="inlineStr">
        <is>
          <t>res</t>
        </is>
      </c>
      <c r="D1785" s="8" t="inlineStr">
        <is>
          <t>jfu</t>
        </is>
      </c>
      <c r="E1785" s="8" t="inlineStr">
        <is>
          <t>res</t>
        </is>
      </c>
      <c r="F1785" s="8" t="inlineStr">
        <is>
          <t>IEA</t>
        </is>
      </c>
      <c r="G1785" s="3" t="str">
        <f>LOWER(CtryCode)&amp;".mit"&amp;".ef."&amp;$E1785&amp;"."&amp;$D1785&amp;".co2"</f>
        <v>egy.mit.ef.res.jfu.co2</v>
      </c>
      <c r="H1785" s="3" t="str">
        <f>CtryReg&amp;".mit"&amp;".ef."&amp;$E1785&amp;"."&amp;$D1785&amp;".co2"</f>
        <v>mea.mit.ef.res.jfu.co2</v>
      </c>
      <c r="I1785" s="3" t="str">
        <f>"wld.mit"&amp;".ef."&amp;$E1785&amp;"."&amp;$D1785&amp;".co2"</f>
        <v>wld.mit.ef.res.jfu.co2</v>
      </c>
      <c r="J1785" s="3" t="inlineStr">
        <is>
          <t>wld.mit.ef.res.jfu.co2</t>
        </is>
      </c>
      <c r="K1785" s="236" t="n">
        <v>0.07149999999999999</v>
      </c>
    </row>
    <row r="1786">
      <c r="A1786" s="3" t="str">
        <f>$B1786&amp;"|"&amp;$C1786</f>
        <v>jfu|ind</v>
      </c>
      <c r="B1786" s="3" t="inlineStr">
        <is>
          <t>jfu</t>
        </is>
      </c>
      <c r="C1786" s="3" t="inlineStr">
        <is>
          <t>ind</t>
        </is>
      </c>
      <c r="D1786" s="8" t="inlineStr">
        <is>
          <t>jfu</t>
        </is>
      </c>
      <c r="E1786" s="8" t="inlineStr">
        <is>
          <t>ind</t>
        </is>
      </c>
      <c r="F1786" s="8" t="inlineStr">
        <is>
          <t>IEA</t>
        </is>
      </c>
      <c r="G1786" s="3" t="str">
        <f>LOWER(CtryCode)&amp;".mit"&amp;".ef."&amp;$E1786&amp;"."&amp;$D1786&amp;".co2"</f>
        <v>egy.mit.ef.ind.jfu.co2</v>
      </c>
      <c r="H1786" s="3" t="str">
        <f>CtryReg&amp;".mit"&amp;".ef."&amp;$E1786&amp;"."&amp;$D1786&amp;".co2"</f>
        <v>mea.mit.ef.ind.jfu.co2</v>
      </c>
      <c r="I1786" s="3" t="str">
        <f>"wld.mit"&amp;".ef."&amp;$E1786&amp;"."&amp;$D1786&amp;".co2"</f>
        <v>wld.mit.ef.ind.jfu.co2</v>
      </c>
      <c r="J1786" s="3" t="inlineStr">
        <is>
          <t>wld.mit.ef.ind.jfu.co2</t>
        </is>
      </c>
      <c r="K1786" s="236" t="n">
        <v>0.07149999999999999</v>
      </c>
    </row>
    <row r="1787">
      <c r="A1787" s="3" t="str">
        <f>$B1787&amp;"|"&amp;$C1787</f>
        <v>jfu|avi</v>
      </c>
      <c r="B1787" s="3" t="inlineStr">
        <is>
          <t>jfu</t>
        </is>
      </c>
      <c r="C1787" s="3" t="inlineStr">
        <is>
          <t>avi</t>
        </is>
      </c>
      <c r="D1787" s="8" t="inlineStr">
        <is>
          <t>jfu</t>
        </is>
      </c>
      <c r="E1787" s="8" t="inlineStr">
        <is>
          <t>avi</t>
        </is>
      </c>
      <c r="F1787" s="8" t="inlineStr">
        <is>
          <t>IEA</t>
        </is>
      </c>
      <c r="G1787" s="3" t="str">
        <f>LOWER(CtryCode)&amp;".mit"&amp;".ef."&amp;$E1787&amp;"."&amp;$D1787&amp;".co2"</f>
        <v>egy.mit.ef.avi.jfu.co2</v>
      </c>
      <c r="H1787" s="3" t="str">
        <f>CtryReg&amp;".mit"&amp;".ef."&amp;$E1787&amp;"."&amp;$D1787&amp;".co2"</f>
        <v>mea.mit.ef.avi.jfu.co2</v>
      </c>
      <c r="I1787" s="3" t="str">
        <f>"wld.mit"&amp;".ef."&amp;$E1787&amp;"."&amp;$D1787&amp;".co2"</f>
        <v>wld.mit.ef.avi.jfu.co2</v>
      </c>
      <c r="J1787" s="3" t="inlineStr">
        <is>
          <t>egy.mit.ef.avi.jfu.co2</t>
        </is>
      </c>
      <c r="K1787" s="236" t="n">
        <v>0.07149999999999999</v>
      </c>
    </row>
    <row r="1788"/>
    <row r="1789"/>
    <row r="1790">
      <c r="A1790" s="7" t="inlineStr">
        <is>
          <t>Fuel (key)</t>
        </is>
      </c>
      <c r="B1790" s="7" t="inlineStr">
        <is>
          <t>Generic CO2 factor of the fuel: average of the factors of the EF sectors listed (base-year selection above, not calibrated; legacy Mitigation rows 961-967)</t>
        </is>
      </c>
      <c r="K1790" s="7" t="inlineStr">
        <is>
          <t>EF (tCO2/GJ)</t>
        </is>
      </c>
    </row>
    <row r="1791">
      <c r="A1791" s="3" t="inlineStr">
        <is>
          <t>coa</t>
        </is>
      </c>
      <c r="B1791" s="3" t="inlineStr">
        <is>
          <t>pow, res, ind</t>
        </is>
      </c>
      <c r="K1791" s="236">
        <f>AVERAGE($K$1751,$K$1753,$K$1754)</f>
        <v>0.09620266666666666</v>
      </c>
    </row>
    <row r="1792">
      <c r="A1792" s="3" t="inlineStr">
        <is>
          <t>nga</t>
        </is>
      </c>
      <c r="B1792" s="3" t="inlineStr">
        <is>
          <t>pow, res, ind</t>
        </is>
      </c>
      <c r="K1792" s="236">
        <f>AVERAGE($K$1755,$K$1757,$K$1758)</f>
        <v>0.055799999999999995</v>
      </c>
    </row>
    <row r="1793">
      <c r="A1793" s="3" t="inlineStr">
        <is>
          <t>gso</t>
        </is>
      </c>
      <c r="B1793" s="3" t="inlineStr">
        <is>
          <t>rod, res</t>
        </is>
      </c>
      <c r="K1793" s="236">
        <f>AVERAGE($K$1760,$K$1761)</f>
        <v>0.0673665</v>
      </c>
    </row>
    <row r="1794">
      <c r="A1794" s="3" t="inlineStr">
        <is>
          <t>die</t>
        </is>
      </c>
      <c r="B1794" s="3" t="inlineStr">
        <is>
          <t>rod, res</t>
        </is>
      </c>
      <c r="K1794" s="236">
        <f>AVERAGE($K$1764,$K$1765)</f>
        <v>0.0721045</v>
      </c>
    </row>
    <row r="1795">
      <c r="A1795" s="3" t="inlineStr">
        <is>
          <t>lpg</t>
        </is>
      </c>
      <c r="B1795" s="3" t="inlineStr">
        <is>
          <t>res, res, ind</t>
        </is>
      </c>
      <c r="K1795" s="236">
        <f>AVERAGE($K$1769,$K$1769,$K$1770)</f>
        <v>0.0686</v>
      </c>
    </row>
    <row r="1796">
      <c r="A1796" s="3" t="inlineStr">
        <is>
          <t>ker</t>
        </is>
      </c>
      <c r="B1796" s="3" t="inlineStr">
        <is>
          <t>res, ind</t>
        </is>
      </c>
      <c r="K1796" s="236">
        <f>AVERAGE($K$1773,$K$1774)</f>
        <v>0.06817400000000001</v>
      </c>
    </row>
    <row r="1797">
      <c r="A1797" s="3" t="inlineStr">
        <is>
          <t>oop</t>
        </is>
      </c>
      <c r="B1797" s="3" t="inlineStr">
        <is>
          <t>IEA: 20 tC/TJ x 44/12 (EFOilIEA)</t>
        </is>
      </c>
      <c r="K1797" s="236">
        <f>EFOilIEA</f>
        <v>0.07333333333333333</v>
      </c>
    </row>
    <row r="1798"/>
    <row r="1799"/>
    <row r="1800"/>
    <row r="1801"/>
    <row r="1802">
      <c r="A1802" s="4" t="inlineStr">
        <is>
          <t>Elasticities of the country by type, fuel group and sector group (data step; legacy Elasticities column G)</t>
        </is>
      </c>
      <c r="B1802" s="5" t="n"/>
      <c r="C1802" s="5" t="n"/>
      <c r="D1802" s="5" t="n"/>
      <c r="E1802" s="5" t="n"/>
      <c r="F1802" s="5" t="n"/>
      <c r="G1802" s="5" t="n"/>
      <c r="H1802" s="5" t="n"/>
      <c r="I1802" s="5" t="n"/>
      <c r="J1802" s="5" t="n"/>
      <c r="K1802" s="5" t="n"/>
      <c r="L1802" s="5" t="n"/>
      <c r="M1802" s="5" t="n"/>
      <c r="N1802" s="5" t="n"/>
      <c r="O1802" s="5" t="n"/>
      <c r="P1802" s="5" t="n"/>
      <c r="Q1802" s="5" t="n"/>
      <c r="R1802" s="5" t="n"/>
      <c r="S1802" s="5" t="n"/>
      <c r="T1802" s="5" t="n"/>
      <c r="U1802" s="5" t="n"/>
      <c r="V1802" s="5" t="n"/>
      <c r="W1802" s="5" t="n"/>
      <c r="X1802" s="5" t="n"/>
      <c r="Y1802" s="5" t="n"/>
      <c r="Z1802" s="5" t="n"/>
      <c r="AA1802" s="5" t="n"/>
      <c r="AB1802" s="5" t="n"/>
      <c r="AC1802" s="5" t="n"/>
      <c r="AD1802" s="5" t="n"/>
      <c r="AE1802" s="5" t="n"/>
      <c r="AF1802" s="5" t="n"/>
      <c r="AG1802" s="5" t="n"/>
      <c r="AH1802" s="5" t="n"/>
      <c r="AI1802" s="5" t="n"/>
      <c r="AJ1802" s="5" t="n"/>
      <c r="AK1802" s="5" t="n"/>
      <c r="AL1802" s="5" t="n"/>
      <c r="AM1802" s="5" t="n"/>
      <c r="AN1802" s="5" t="n"/>
      <c r="AO1802" s="5" t="n"/>
      <c r="AP1802" s="5" t="n"/>
      <c r="AQ1802" s="5" t="n"/>
      <c r="AR1802" s="5" t="n"/>
      <c r="AS1802" s="5" t="n"/>
      <c r="AT1802" s="5" t="n"/>
      <c r="AU1802" s="5" t="n"/>
      <c r="AV1802" s="5" t="n"/>
      <c r="AW1802" s="5" t="n"/>
      <c r="AX1802" s="5" t="n"/>
      <c r="AY1802" s="5" t="n"/>
      <c r="AZ1802" s="5" t="n"/>
      <c r="BA1802" s="5" t="n"/>
      <c r="BB1802" s="5" t="n"/>
      <c r="BC1802" s="5" t="n"/>
      <c r="BD1802" s="5" t="n"/>
      <c r="BE1802" s="5" t="n"/>
      <c r="BF1802" s="5" t="n"/>
      <c r="BG1802" s="5" t="n"/>
      <c r="BH1802" s="5" t="n"/>
      <c r="BI1802" s="5" t="n"/>
      <c r="BJ1802" s="5" t="n"/>
      <c r="BK1802" s="5" t="n"/>
      <c r="BL1802" s="5" t="n"/>
      <c r="BM1802" s="5" t="n"/>
      <c r="BN1802" s="5" t="n"/>
      <c r="BO1802" s="5" t="n"/>
      <c r="BP1802" s="5" t="n"/>
      <c r="BQ1802" s="5" t="n"/>
      <c r="BR1802" s="5" t="n"/>
      <c r="BS1802" s="5" t="n"/>
      <c r="BT1802" s="5" t="n"/>
      <c r="BU1802" s="5" t="n"/>
      <c r="BV1802" s="5" t="n"/>
      <c r="BW1802" s="5" t="n"/>
      <c r="BX1802" s="5" t="n"/>
      <c r="BY1802" s="5" t="n"/>
      <c r="BZ1802" s="5" t="n"/>
      <c r="CA1802" s="5" t="n"/>
      <c r="CB1802" s="5" t="n"/>
      <c r="CC1802" s="5" t="n"/>
      <c r="CD1802" s="5" t="n"/>
      <c r="CE1802" s="5" t="n"/>
      <c r="CF1802" s="5" t="n"/>
      <c r="CG1802" s="5" t="n"/>
      <c r="CH1802" s="5" t="n"/>
      <c r="CI1802" s="5" t="n"/>
      <c r="CJ1802" s="5" t="n"/>
      <c r="CK1802" s="5" t="n"/>
      <c r="CL1802" s="5" t="n"/>
      <c r="CM1802" s="5" t="n"/>
      <c r="CN1802" s="5" t="n"/>
      <c r="CO1802" s="5" t="n"/>
      <c r="CP1802" s="5" t="n"/>
      <c r="CQ1802" s="5" t="n"/>
      <c r="CR1802" s="5" t="n"/>
      <c r="CS1802" s="5" t="n"/>
      <c r="CT1802" s="5" t="n"/>
      <c r="CU1802" s="5" t="n"/>
      <c r="CV1802" s="5" t="n"/>
      <c r="CW1802" s="5" t="n"/>
      <c r="CX1802" s="5" t="n"/>
      <c r="CY1802" s="5" t="n"/>
      <c r="CZ1802" s="5" t="n"/>
      <c r="DA1802" s="5" t="n"/>
      <c r="DB1802" s="5" t="n"/>
      <c r="DC1802" s="5" t="n"/>
      <c r="DD1802" s="5" t="n"/>
      <c r="DE1802" s="5" t="n"/>
      <c r="DF1802" s="5" t="n"/>
      <c r="DG1802" s="5" t="n"/>
      <c r="DH1802" s="5" t="n"/>
      <c r="DI1802" s="5" t="n"/>
      <c r="DJ1802" s="5" t="n"/>
      <c r="DK1802" s="5" t="n"/>
      <c r="DL1802" s="5" t="n"/>
      <c r="DM1802" s="5" t="n"/>
      <c r="DN1802" s="5" t="n"/>
      <c r="DO1802" s="5" t="n"/>
      <c r="DP1802" s="5" t="n"/>
      <c r="DQ1802" s="5" t="n"/>
      <c r="DR1802" s="5" t="n"/>
      <c r="DS1802" s="5" t="n"/>
      <c r="DT1802" s="5" t="n"/>
      <c r="DU1802" s="5" t="n"/>
      <c r="DV1802" s="5" t="n"/>
      <c r="DW1802" s="5" t="n"/>
      <c r="DX1802" s="5" t="n"/>
      <c r="DY1802" s="5" t="n"/>
      <c r="DZ1802" s="5" t="n"/>
      <c r="EA1802" s="5" t="n"/>
      <c r="EB1802" s="5" t="n"/>
      <c r="EC1802" s="5" t="n"/>
      <c r="ED1802" s="5" t="n"/>
      <c r="EE1802" s="5" t="n"/>
      <c r="EF1802" s="5" t="n"/>
      <c r="EG1802" s="5" t="n"/>
      <c r="EH1802" s="5" t="n"/>
      <c r="EI1802" s="5" t="n"/>
      <c r="EJ1802" s="5" t="n"/>
      <c r="EK1802" s="5" t="n"/>
      <c r="EL1802" s="5" t="n"/>
      <c r="EM1802" s="5" t="n"/>
      <c r="EN1802" s="5" t="n"/>
      <c r="EO1802" s="5" t="n"/>
      <c r="EP1802" s="5" t="n"/>
      <c r="EQ1802" s="5" t="n"/>
      <c r="ER1802" s="5" t="n"/>
      <c r="ES1802" s="5" t="n"/>
      <c r="ET1802" s="5" t="n"/>
      <c r="EU1802" s="5" t="n"/>
      <c r="EV1802" s="5" t="n"/>
      <c r="EW1802" s="5" t="n"/>
      <c r="EX1802" s="5" t="n"/>
      <c r="EY1802" s="5" t="n"/>
      <c r="EZ1802" s="5" t="n"/>
      <c r="FA1802" s="5" t="n"/>
      <c r="FB1802" s="5" t="n"/>
      <c r="FC1802" s="5" t="n"/>
      <c r="FD1802" s="5" t="n"/>
      <c r="FE1802" s="5" t="n"/>
      <c r="FF1802" s="5" t="n"/>
      <c r="FG1802" s="5" t="n"/>
      <c r="FH1802" s="5" t="n"/>
      <c r="FI1802" s="5" t="n"/>
      <c r="FJ1802" s="5" t="n"/>
      <c r="FK1802" s="5" t="n"/>
      <c r="FL1802" s="5" t="n"/>
      <c r="FM1802" s="5" t="n"/>
      <c r="FN1802" s="5" t="n"/>
      <c r="FO1802" s="5" t="n"/>
    </row>
    <row r="1803">
      <c r="A1803" s="3" t="inlineStr">
        <is>
          <t>The value in the country's column of the legacy Elasticities tab (country codes in row 139), as legacy column G (Elasticity use). Inputs and Inputs_power read these values by key.</t>
        </is>
      </c>
    </row>
    <row r="1804">
      <c r="A1804" s="7" t="inlineStr">
        <is>
          <t>Key (type|fuel|sector)</t>
        </is>
      </c>
      <c r="B1804" s="7" t="inlineStr">
        <is>
          <t>Type</t>
        </is>
      </c>
      <c r="C1804" s="7" t="inlineStr">
        <is>
          <t>Fuel group</t>
        </is>
      </c>
      <c r="D1804" s="7" t="inlineStr">
        <is>
          <t>Sector group</t>
        </is>
      </c>
      <c r="E1804" s="7" t="inlineStr">
        <is>
          <t>Legacy code</t>
        </is>
      </c>
      <c r="F1804" s="7" t="inlineStr">
        <is>
          <t>Legacy row (Elasticities)</t>
        </is>
      </c>
      <c r="G1804" s="7" t="inlineStr">
        <is>
          <t>Column offset (legacy: efficiency rows one column left)</t>
        </is>
      </c>
      <c r="H1804" s="7" t="inlineStr">
        <is>
          <t>Elasticity of the country</t>
        </is>
      </c>
      <c r="I1804" s="7" t="inlineStr">
        <is>
          <t>Manual inputs row (v0.9.0, R8)</t>
        </is>
      </c>
      <c r="J1804" s="7" t="inlineStr">
        <is>
          <t>Manual inputs column</t>
        </is>
      </c>
      <c r="K1804" s="7" t="inlineStr">
        <is>
          <t>Manual value (blank: #N/A, I140)</t>
        </is>
      </c>
      <c r="L1804" s="7" t="inlineStr">
        <is>
          <t>Manual source in use (1 / 0)</t>
        </is>
      </c>
      <c r="M1804" s="7" t="inlineStr">
        <is>
          <t>Elasticity used</t>
        </is>
      </c>
    </row>
    <row r="1805">
      <c r="A1805" s="3" t="inlineStr">
        <is>
          <t>inc|coa|tra</t>
        </is>
      </c>
      <c r="B1805" s="3" t="inlineStr">
        <is>
          <t>inc</t>
        </is>
      </c>
      <c r="C1805" s="3" t="inlineStr">
        <is>
          <t>coa</t>
        </is>
      </c>
      <c r="D1805" s="3" t="inlineStr">
        <is>
          <t>tra</t>
        </is>
      </c>
      <c r="E1805" s="3" t="inlineStr">
        <is>
          <t>coa_inc_tot</t>
        </is>
      </c>
      <c r="F1805" s="8" t="n">
        <v>143</v>
      </c>
      <c r="G1805" s="8" t="n">
        <v>0</v>
      </c>
      <c r="H1805" s="3" t="n">
        <v>0</v>
      </c>
      <c r="I1805" s="8" t="n">
        <v>279</v>
      </c>
      <c r="J1805" s="8" t="n">
        <v>11</v>
      </c>
      <c r="K1805" s="3" t="n">
        <v>0.5</v>
      </c>
      <c r="L1805" s="3">
        <f>IF($B1805="aei",0,IF($B1805="inc",ElIncMan,ElPrcMan))</f>
        <v>0.0</v>
      </c>
      <c r="M1805" s="3">
        <f>IF($L1805=1,IF($B1805="inc",MAX($K1805,0),MIN($K1805,0)),$H1805)</f>
        <v>0.0</v>
      </c>
    </row>
    <row r="1806">
      <c r="A1806" s="3" t="inlineStr">
        <is>
          <t>inc|nga|tra</t>
        </is>
      </c>
      <c r="B1806" s="3" t="inlineStr">
        <is>
          <t>inc</t>
        </is>
      </c>
      <c r="C1806" s="3" t="inlineStr">
        <is>
          <t>nga</t>
        </is>
      </c>
      <c r="D1806" s="3" t="inlineStr">
        <is>
          <t>tra</t>
        </is>
      </c>
      <c r="E1806" s="3" t="inlineStr">
        <is>
          <t>nga_inc_tot</t>
        </is>
      </c>
      <c r="F1806" s="8" t="n">
        <v>144</v>
      </c>
      <c r="G1806" s="8" t="n">
        <v>0</v>
      </c>
      <c r="H1806" s="3" t="n">
        <v>0.5</v>
      </c>
      <c r="I1806" s="8" t="n">
        <v>280</v>
      </c>
      <c r="J1806" s="8" t="n">
        <v>11</v>
      </c>
      <c r="K1806" s="3" t="n">
        <v>0.5</v>
      </c>
      <c r="L1806" s="3">
        <f>IF($B1806="aei",0,IF($B1806="inc",ElIncMan,ElPrcMan))</f>
        <v>0.0</v>
      </c>
      <c r="M1806" s="3">
        <f>IF($L1806=1,IF($B1806="inc",MAX($K1806,0),MIN($K1806,0)),$H1806)</f>
        <v>0.5</v>
      </c>
    </row>
    <row r="1807">
      <c r="A1807" s="3" t="inlineStr">
        <is>
          <t>inc|gso|tra</t>
        </is>
      </c>
      <c r="B1807" s="3" t="inlineStr">
        <is>
          <t>inc</t>
        </is>
      </c>
      <c r="C1807" s="3" t="inlineStr">
        <is>
          <t>gso</t>
        </is>
      </c>
      <c r="D1807" s="3" t="inlineStr">
        <is>
          <t>tra</t>
        </is>
      </c>
      <c r="E1807" s="3" t="inlineStr">
        <is>
          <t>oil_inc_res</t>
        </is>
      </c>
      <c r="F1807" s="8" t="n">
        <v>145</v>
      </c>
      <c r="G1807" s="8" t="n">
        <v>0</v>
      </c>
      <c r="H1807" s="3" t="n">
        <v>0.7</v>
      </c>
      <c r="I1807" s="8" t="n">
        <v>281</v>
      </c>
      <c r="J1807" s="8" t="n">
        <v>11</v>
      </c>
      <c r="K1807" s="3" t="n">
        <v>0.5</v>
      </c>
      <c r="L1807" s="3">
        <f>IF($B1807="aei",0,IF($B1807="inc",ElIncMan,ElPrcMan))</f>
        <v>0.0</v>
      </c>
      <c r="M1807" s="3">
        <f>IF($L1807=1,IF($B1807="inc",MAX($K1807,0),MIN($K1807,0)),$H1807)</f>
        <v>0.7</v>
      </c>
    </row>
    <row r="1808">
      <c r="A1808" s="3" t="inlineStr">
        <is>
          <t>inc|die|tra</t>
        </is>
      </c>
      <c r="B1808" s="3" t="inlineStr">
        <is>
          <t>inc</t>
        </is>
      </c>
      <c r="C1808" s="3" t="inlineStr">
        <is>
          <t>die</t>
        </is>
      </c>
      <c r="D1808" s="3" t="inlineStr">
        <is>
          <t>tra</t>
        </is>
      </c>
      <c r="E1808" s="3" t="inlineStr">
        <is>
          <t>bio_inc_res</t>
        </is>
      </c>
      <c r="F1808" s="8" t="n">
        <v>146</v>
      </c>
      <c r="G1808" s="8" t="n">
        <v>0</v>
      </c>
      <c r="H1808" s="3" t="n">
        <v>0.6</v>
      </c>
      <c r="I1808" s="8" t="n">
        <v>282</v>
      </c>
      <c r="J1808" s="8" t="n">
        <v>11</v>
      </c>
      <c r="K1808" s="3" t="n">
        <v>0.5</v>
      </c>
      <c r="L1808" s="3">
        <f>IF($B1808="aei",0,IF($B1808="inc",ElIncMan,ElPrcMan))</f>
        <v>0.0</v>
      </c>
      <c r="M1808" s="3">
        <f>IF($L1808=1,IF($B1808="inc",MAX($K1808,0),MIN($K1808,0)),$H1808)</f>
        <v>0.6</v>
      </c>
    </row>
    <row r="1809">
      <c r="A1809" s="3" t="inlineStr">
        <is>
          <t>inc|oil|tra</t>
        </is>
      </c>
      <c r="B1809" s="3" t="inlineStr">
        <is>
          <t>inc</t>
        </is>
      </c>
      <c r="C1809" s="3" t="inlineStr">
        <is>
          <t>oil</t>
        </is>
      </c>
      <c r="D1809" s="3" t="inlineStr">
        <is>
          <t>tra</t>
        </is>
      </c>
      <c r="E1809" s="3" t="inlineStr">
        <is>
          <t>oil_inc_tot</t>
        </is>
      </c>
      <c r="F1809" s="8" t="n">
        <v>147</v>
      </c>
      <c r="G1809" s="8" t="n">
        <v>0</v>
      </c>
      <c r="H1809" s="3" t="n">
        <v>0.8</v>
      </c>
      <c r="I1809" s="8" t="n">
        <v>283</v>
      </c>
      <c r="J1809" s="8" t="n">
        <v>11</v>
      </c>
      <c r="K1809" s="3" t="n">
        <v>0.5</v>
      </c>
      <c r="L1809" s="3">
        <f>IF($B1809="aei",0,IF($B1809="inc",ElIncMan,ElPrcMan))</f>
        <v>0.0</v>
      </c>
      <c r="M1809" s="3">
        <f>IF($L1809=1,IF($B1809="inc",MAX($K1809,0),MIN($K1809,0)),$H1809)</f>
        <v>0.8</v>
      </c>
    </row>
    <row r="1810">
      <c r="A1810" s="3" t="inlineStr">
        <is>
          <t>inc|bio|tra</t>
        </is>
      </c>
      <c r="B1810" s="3" t="inlineStr">
        <is>
          <t>inc</t>
        </is>
      </c>
      <c r="C1810" s="3" t="inlineStr">
        <is>
          <t>bio</t>
        </is>
      </c>
      <c r="D1810" s="3" t="inlineStr">
        <is>
          <t>tra</t>
        </is>
      </c>
      <c r="E1810" s="3" t="inlineStr">
        <is>
          <t>die_inc_res</t>
        </is>
      </c>
      <c r="F1810" s="8" t="n">
        <v>148</v>
      </c>
      <c r="G1810" s="8" t="n">
        <v>0</v>
      </c>
      <c r="H1810" s="3" t="n">
        <v>0</v>
      </c>
      <c r="I1810" s="8" t="n">
        <v>284</v>
      </c>
      <c r="J1810" s="8" t="n">
        <v>11</v>
      </c>
      <c r="K1810" s="3" t="n">
        <v>0.5</v>
      </c>
      <c r="L1810" s="3">
        <f>IF($B1810="aei",0,IF($B1810="inc",ElIncMan,ElPrcMan))</f>
        <v>0.0</v>
      </c>
      <c r="M1810" s="3">
        <f>IF($L1810=1,IF($B1810="inc",MAX($K1810,0),MIN($K1810,0)),$H1810)</f>
        <v>0.0</v>
      </c>
    </row>
    <row r="1811">
      <c r="A1811" s="3" t="inlineStr">
        <is>
          <t>inc|ren|tra</t>
        </is>
      </c>
      <c r="B1811" s="3" t="inlineStr">
        <is>
          <t>inc</t>
        </is>
      </c>
      <c r="C1811" s="3" t="inlineStr">
        <is>
          <t>ren</t>
        </is>
      </c>
      <c r="D1811" s="3" t="inlineStr">
        <is>
          <t>tra</t>
        </is>
      </c>
      <c r="E1811" s="3" t="inlineStr">
        <is>
          <t>rnw_inc_tot</t>
        </is>
      </c>
      <c r="F1811" s="8" t="n">
        <v>149</v>
      </c>
      <c r="G1811" s="8" t="n">
        <v>0</v>
      </c>
      <c r="H1811" s="3" t="n">
        <v>1</v>
      </c>
      <c r="I1811" s="8" t="n">
        <v>285</v>
      </c>
      <c r="J1811" s="8" t="n">
        <v>11</v>
      </c>
      <c r="K1811" s="3" t="n">
        <v>0.5</v>
      </c>
      <c r="L1811" s="3">
        <f>IF($B1811="aei",0,IF($B1811="inc",ElIncMan,ElPrcMan))</f>
        <v>0.0</v>
      </c>
      <c r="M1811" s="3">
        <f>IF($L1811=1,IF($B1811="inc",MAX($K1811,0),MIN($K1811,0)),$H1811)</f>
        <v>1.0</v>
      </c>
    </row>
    <row r="1812">
      <c r="A1812" s="3" t="inlineStr">
        <is>
          <t>inc|ecy|tra</t>
        </is>
      </c>
      <c r="B1812" s="3" t="inlineStr">
        <is>
          <t>inc</t>
        </is>
      </c>
      <c r="C1812" s="3" t="inlineStr">
        <is>
          <t>ecy</t>
        </is>
      </c>
      <c r="D1812" s="3" t="inlineStr">
        <is>
          <t>tra</t>
        </is>
      </c>
      <c r="E1812" s="3" t="inlineStr">
        <is>
          <t>ecy_inc_tot</t>
        </is>
      </c>
      <c r="F1812" s="8" t="n">
        <v>150</v>
      </c>
      <c r="G1812" s="8" t="n">
        <v>0</v>
      </c>
      <c r="H1812" s="3" t="n">
        <v>1.2</v>
      </c>
      <c r="I1812" s="8" t="n">
        <v>286</v>
      </c>
      <c r="J1812" s="8" t="n">
        <v>11</v>
      </c>
      <c r="K1812" s="3" t="n">
        <v>0.5</v>
      </c>
      <c r="L1812" s="3">
        <f>IF($B1812="aei",0,IF($B1812="inc",ElIncMan,ElPrcMan))</f>
        <v>0.0</v>
      </c>
      <c r="M1812" s="3">
        <f>IF($L1812=1,IF($B1812="inc",MAX($K1812,0),MIN($K1812,0)),$H1812)</f>
        <v>1.2</v>
      </c>
    </row>
    <row r="1813">
      <c r="A1813" s="3" t="inlineStr">
        <is>
          <t>inc|coa|res</t>
        </is>
      </c>
      <c r="B1813" s="3" t="inlineStr">
        <is>
          <t>inc</t>
        </is>
      </c>
      <c r="C1813" s="3" t="inlineStr">
        <is>
          <t>coa</t>
        </is>
      </c>
      <c r="D1813" s="3" t="inlineStr">
        <is>
          <t>res</t>
        </is>
      </c>
      <c r="E1813" s="3" t="inlineStr">
        <is>
          <t>coa_inc_res</t>
        </is>
      </c>
      <c r="F1813" s="8" t="n">
        <v>151</v>
      </c>
      <c r="G1813" s="8" t="n">
        <v>0</v>
      </c>
      <c r="H1813" s="3" t="n">
        <v>0.3</v>
      </c>
      <c r="I1813" s="8" t="n">
        <v>279</v>
      </c>
      <c r="J1813" s="8" t="n">
        <v>12</v>
      </c>
      <c r="K1813" s="3" t="n">
        <v>0.5</v>
      </c>
      <c r="L1813" s="3">
        <f>IF($B1813="aei",0,IF($B1813="inc",ElIncMan,ElPrcMan))</f>
        <v>0.0</v>
      </c>
      <c r="M1813" s="3">
        <f>IF($L1813=1,IF($B1813="inc",MAX($K1813,0),MIN($K1813,0)),$H1813)</f>
        <v>0.3</v>
      </c>
    </row>
    <row r="1814">
      <c r="A1814" s="3" t="inlineStr">
        <is>
          <t>inc|nga|res</t>
        </is>
      </c>
      <c r="B1814" s="3" t="inlineStr">
        <is>
          <t>inc</t>
        </is>
      </c>
      <c r="C1814" s="3" t="inlineStr">
        <is>
          <t>nga</t>
        </is>
      </c>
      <c r="D1814" s="3" t="inlineStr">
        <is>
          <t>res</t>
        </is>
      </c>
      <c r="E1814" s="3" t="inlineStr">
        <is>
          <t>nga_inc_res</t>
        </is>
      </c>
      <c r="F1814" s="8" t="n">
        <v>152</v>
      </c>
      <c r="G1814" s="8" t="n">
        <v>0</v>
      </c>
      <c r="H1814" s="3" t="n">
        <v>0.3</v>
      </c>
      <c r="I1814" s="8" t="n">
        <v>280</v>
      </c>
      <c r="J1814" s="8" t="n">
        <v>12</v>
      </c>
      <c r="K1814" s="3" t="n">
        <v>0.5</v>
      </c>
      <c r="L1814" s="3">
        <f>IF($B1814="aei",0,IF($B1814="inc",ElIncMan,ElPrcMan))</f>
        <v>0.0</v>
      </c>
      <c r="M1814" s="3">
        <f>IF($L1814=1,IF($B1814="inc",MAX($K1814,0),MIN($K1814,0)),$H1814)</f>
        <v>0.3</v>
      </c>
    </row>
    <row r="1815">
      <c r="A1815" s="3" t="inlineStr">
        <is>
          <t>inc|gso|res</t>
        </is>
      </c>
      <c r="B1815" s="3" t="inlineStr">
        <is>
          <t>inc</t>
        </is>
      </c>
      <c r="C1815" s="3" t="inlineStr">
        <is>
          <t>gso</t>
        </is>
      </c>
      <c r="D1815" s="3" t="inlineStr">
        <is>
          <t>res</t>
        </is>
      </c>
      <c r="E1815" s="3" t="inlineStr">
        <is>
          <t>oil_inc_res</t>
        </is>
      </c>
      <c r="F1815" s="8" t="n">
        <v>153</v>
      </c>
      <c r="G1815" s="8" t="n">
        <v>0</v>
      </c>
      <c r="H1815" s="3" t="n">
        <v>0.5</v>
      </c>
      <c r="I1815" s="8" t="n">
        <v>281</v>
      </c>
      <c r="J1815" s="8" t="n">
        <v>12</v>
      </c>
      <c r="K1815" s="3" t="n">
        <v>0.5</v>
      </c>
      <c r="L1815" s="3">
        <f>IF($B1815="aei",0,IF($B1815="inc",ElIncMan,ElPrcMan))</f>
        <v>0.0</v>
      </c>
      <c r="M1815" s="3">
        <f>IF($L1815=1,IF($B1815="inc",MAX($K1815,0),MIN($K1815,0)),$H1815)</f>
        <v>0.5</v>
      </c>
    </row>
    <row r="1816">
      <c r="A1816" s="3" t="inlineStr">
        <is>
          <t>inc|die|res</t>
        </is>
      </c>
      <c r="B1816" s="3" t="inlineStr">
        <is>
          <t>inc</t>
        </is>
      </c>
      <c r="C1816" s="3" t="inlineStr">
        <is>
          <t>die</t>
        </is>
      </c>
      <c r="D1816" s="3" t="inlineStr">
        <is>
          <t>res</t>
        </is>
      </c>
      <c r="E1816" s="3" t="inlineStr">
        <is>
          <t>bio_inc_res</t>
        </is>
      </c>
      <c r="F1816" s="8" t="n">
        <v>154</v>
      </c>
      <c r="G1816" s="8" t="n">
        <v>0</v>
      </c>
      <c r="H1816" s="3" t="n">
        <v>0.5</v>
      </c>
      <c r="I1816" s="8" t="n">
        <v>282</v>
      </c>
      <c r="J1816" s="8" t="n">
        <v>12</v>
      </c>
      <c r="K1816" s="3" t="n">
        <v>0.5</v>
      </c>
      <c r="L1816" s="3">
        <f>IF($B1816="aei",0,IF($B1816="inc",ElIncMan,ElPrcMan))</f>
        <v>0.0</v>
      </c>
      <c r="M1816" s="3">
        <f>IF($L1816=1,IF($B1816="inc",MAX($K1816,0),MIN($K1816,0)),$H1816)</f>
        <v>0.5</v>
      </c>
    </row>
    <row r="1817">
      <c r="A1817" s="3" t="inlineStr">
        <is>
          <t>inc|oil|res</t>
        </is>
      </c>
      <c r="B1817" s="3" t="inlineStr">
        <is>
          <t>inc</t>
        </is>
      </c>
      <c r="C1817" s="3" t="inlineStr">
        <is>
          <t>oil</t>
        </is>
      </c>
      <c r="D1817" s="3" t="inlineStr">
        <is>
          <t>res</t>
        </is>
      </c>
      <c r="E1817" s="3" t="inlineStr">
        <is>
          <t>oil_inc_res</t>
        </is>
      </c>
      <c r="F1817" s="8" t="n">
        <v>155</v>
      </c>
      <c r="G1817" s="8" t="n">
        <v>0</v>
      </c>
      <c r="H1817" s="3" t="n">
        <v>0.5</v>
      </c>
      <c r="I1817" s="8" t="n">
        <v>283</v>
      </c>
      <c r="J1817" s="8" t="n">
        <v>12</v>
      </c>
      <c r="K1817" s="3" t="n">
        <v>0.5</v>
      </c>
      <c r="L1817" s="3">
        <f>IF($B1817="aei",0,IF($B1817="inc",ElIncMan,ElPrcMan))</f>
        <v>0.0</v>
      </c>
      <c r="M1817" s="3">
        <f>IF($L1817=1,IF($B1817="inc",MAX($K1817,0),MIN($K1817,0)),$H1817)</f>
        <v>0.5</v>
      </c>
    </row>
    <row r="1818">
      <c r="A1818" s="3" t="inlineStr">
        <is>
          <t>inc|bio|res</t>
        </is>
      </c>
      <c r="B1818" s="3" t="inlineStr">
        <is>
          <t>inc</t>
        </is>
      </c>
      <c r="C1818" s="3" t="inlineStr">
        <is>
          <t>bio</t>
        </is>
      </c>
      <c r="D1818" s="3" t="inlineStr">
        <is>
          <t>res</t>
        </is>
      </c>
      <c r="E1818" s="3" t="inlineStr">
        <is>
          <t>bio_inc_res</t>
        </is>
      </c>
      <c r="F1818" s="8" t="n">
        <v>156</v>
      </c>
      <c r="G1818" s="8" t="n">
        <v>0</v>
      </c>
      <c r="H1818" s="3" t="n">
        <v>0.1</v>
      </c>
      <c r="I1818" s="8" t="n">
        <v>284</v>
      </c>
      <c r="J1818" s="8" t="n">
        <v>12</v>
      </c>
      <c r="K1818" s="3" t="n">
        <v>0.5</v>
      </c>
      <c r="L1818" s="3">
        <f>IF($B1818="aei",0,IF($B1818="inc",ElIncMan,ElPrcMan))</f>
        <v>0.0</v>
      </c>
      <c r="M1818" s="3">
        <f>IF($L1818=1,IF($B1818="inc",MAX($K1818,0),MIN($K1818,0)),$H1818)</f>
        <v>0.1</v>
      </c>
    </row>
    <row r="1819">
      <c r="A1819" s="3" t="inlineStr">
        <is>
          <t>inc|ren|res</t>
        </is>
      </c>
      <c r="B1819" s="3" t="inlineStr">
        <is>
          <t>inc</t>
        </is>
      </c>
      <c r="C1819" s="3" t="inlineStr">
        <is>
          <t>ren</t>
        </is>
      </c>
      <c r="D1819" s="3" t="inlineStr">
        <is>
          <t>res</t>
        </is>
      </c>
      <c r="E1819" s="3" t="inlineStr">
        <is>
          <t>rnw_inc_tot</t>
        </is>
      </c>
      <c r="F1819" s="8" t="n">
        <v>157</v>
      </c>
      <c r="G1819" s="8" t="n">
        <v>0</v>
      </c>
      <c r="H1819" s="3" t="n">
        <v>0.8</v>
      </c>
      <c r="I1819" s="8" t="n">
        <v>285</v>
      </c>
      <c r="J1819" s="8" t="n">
        <v>12</v>
      </c>
      <c r="K1819" s="3" t="n">
        <v>0.5</v>
      </c>
      <c r="L1819" s="3">
        <f>IF($B1819="aei",0,IF($B1819="inc",ElIncMan,ElPrcMan))</f>
        <v>0.0</v>
      </c>
      <c r="M1819" s="3">
        <f>IF($L1819=1,IF($B1819="inc",MAX($K1819,0),MIN($K1819,0)),$H1819)</f>
        <v>0.8</v>
      </c>
    </row>
    <row r="1820">
      <c r="A1820" s="3" t="inlineStr">
        <is>
          <t>inc|ecy|res</t>
        </is>
      </c>
      <c r="B1820" s="3" t="inlineStr">
        <is>
          <t>inc</t>
        </is>
      </c>
      <c r="C1820" s="3" t="inlineStr">
        <is>
          <t>ecy</t>
        </is>
      </c>
      <c r="D1820" s="3" t="inlineStr">
        <is>
          <t>res</t>
        </is>
      </c>
      <c r="E1820" s="3" t="inlineStr">
        <is>
          <t>ecy_inc_res</t>
        </is>
      </c>
      <c r="F1820" s="8" t="n">
        <v>158</v>
      </c>
      <c r="G1820" s="8" t="n">
        <v>0</v>
      </c>
      <c r="H1820" s="3" t="n">
        <v>0.8</v>
      </c>
      <c r="I1820" s="8" t="n">
        <v>286</v>
      </c>
      <c r="J1820" s="8" t="n">
        <v>12</v>
      </c>
      <c r="K1820" s="3" t="n">
        <v>0.5</v>
      </c>
      <c r="L1820" s="3">
        <f>IF($B1820="aei",0,IF($B1820="inc",ElIncMan,ElPrcMan))</f>
        <v>0.0</v>
      </c>
      <c r="M1820" s="3">
        <f>IF($L1820=1,IF($B1820="inc",MAX($K1820,0),MIN($K1820,0)),$H1820)</f>
        <v>0.8</v>
      </c>
    </row>
    <row r="1821">
      <c r="A1821" s="3" t="inlineStr">
        <is>
          <t>inc|coa|ind</t>
        </is>
      </c>
      <c r="B1821" s="3" t="inlineStr">
        <is>
          <t>inc</t>
        </is>
      </c>
      <c r="C1821" s="3" t="inlineStr">
        <is>
          <t>coa</t>
        </is>
      </c>
      <c r="D1821" s="3" t="inlineStr">
        <is>
          <t>ind</t>
        </is>
      </c>
      <c r="E1821" s="3" t="inlineStr">
        <is>
          <t>coa_inc_ind</t>
        </is>
      </c>
      <c r="F1821" s="8" t="n">
        <v>159</v>
      </c>
      <c r="G1821" s="8" t="n">
        <v>0</v>
      </c>
      <c r="H1821" s="3" t="n">
        <v>0.5</v>
      </c>
      <c r="I1821" s="8" t="n">
        <v>279</v>
      </c>
      <c r="J1821" s="8" t="n">
        <v>13</v>
      </c>
      <c r="K1821" s="3" t="n">
        <v>0.5</v>
      </c>
      <c r="L1821" s="3">
        <f>IF($B1821="aei",0,IF($B1821="inc",ElIncMan,ElPrcMan))</f>
        <v>0.0</v>
      </c>
      <c r="M1821" s="3">
        <f>IF($L1821=1,IF($B1821="inc",MAX($K1821,0),MIN($K1821,0)),$H1821)</f>
        <v>0.5</v>
      </c>
    </row>
    <row r="1822">
      <c r="A1822" s="3" t="inlineStr">
        <is>
          <t>inc|nga|ind</t>
        </is>
      </c>
      <c r="B1822" s="3" t="inlineStr">
        <is>
          <t>inc</t>
        </is>
      </c>
      <c r="C1822" s="3" t="inlineStr">
        <is>
          <t>nga</t>
        </is>
      </c>
      <c r="D1822" s="3" t="inlineStr">
        <is>
          <t>ind</t>
        </is>
      </c>
      <c r="E1822" s="3" t="inlineStr">
        <is>
          <t>nga_inc_ind</t>
        </is>
      </c>
      <c r="F1822" s="8" t="n">
        <v>160</v>
      </c>
      <c r="G1822" s="8" t="n">
        <v>0</v>
      </c>
      <c r="H1822" s="3" t="n">
        <v>1</v>
      </c>
      <c r="I1822" s="8" t="n">
        <v>280</v>
      </c>
      <c r="J1822" s="8" t="n">
        <v>13</v>
      </c>
      <c r="K1822" s="3" t="n">
        <v>0.5</v>
      </c>
      <c r="L1822" s="3">
        <f>IF($B1822="aei",0,IF($B1822="inc",ElIncMan,ElPrcMan))</f>
        <v>0.0</v>
      </c>
      <c r="M1822" s="3">
        <f>IF($L1822=1,IF($B1822="inc",MAX($K1822,0),MIN($K1822,0)),$H1822)</f>
        <v>1.0</v>
      </c>
    </row>
    <row r="1823">
      <c r="A1823" s="3" t="inlineStr">
        <is>
          <t>inc|gso|ind</t>
        </is>
      </c>
      <c r="B1823" s="3" t="inlineStr">
        <is>
          <t>inc</t>
        </is>
      </c>
      <c r="C1823" s="3" t="inlineStr">
        <is>
          <t>gso</t>
        </is>
      </c>
      <c r="D1823" s="3" t="inlineStr">
        <is>
          <t>ind</t>
        </is>
      </c>
      <c r="E1823" s="3" t="inlineStr">
        <is>
          <t>oil_inc_res</t>
        </is>
      </c>
      <c r="F1823" s="8" t="n">
        <v>161</v>
      </c>
      <c r="G1823" s="8" t="n">
        <v>0</v>
      </c>
      <c r="H1823" s="3" t="n">
        <v>0.5</v>
      </c>
      <c r="I1823" s="8" t="n">
        <v>281</v>
      </c>
      <c r="J1823" s="8" t="n">
        <v>13</v>
      </c>
      <c r="K1823" s="3" t="n">
        <v>0.5</v>
      </c>
      <c r="L1823" s="3">
        <f>IF($B1823="aei",0,IF($B1823="inc",ElIncMan,ElPrcMan))</f>
        <v>0.0</v>
      </c>
      <c r="M1823" s="3">
        <f>IF($L1823=1,IF($B1823="inc",MAX($K1823,0),MIN($K1823,0)),$H1823)</f>
        <v>0.5</v>
      </c>
    </row>
    <row r="1824">
      <c r="A1824" s="3" t="inlineStr">
        <is>
          <t>inc|die|ind</t>
        </is>
      </c>
      <c r="B1824" s="3" t="inlineStr">
        <is>
          <t>inc</t>
        </is>
      </c>
      <c r="C1824" s="3" t="inlineStr">
        <is>
          <t>die</t>
        </is>
      </c>
      <c r="D1824" s="3" t="inlineStr">
        <is>
          <t>ind</t>
        </is>
      </c>
      <c r="E1824" s="3" t="inlineStr">
        <is>
          <t>die_inc_res</t>
        </is>
      </c>
      <c r="F1824" s="8" t="n">
        <v>162</v>
      </c>
      <c r="G1824" s="8" t="n">
        <v>0</v>
      </c>
      <c r="H1824" s="3" t="n">
        <v>0.5</v>
      </c>
      <c r="I1824" s="8" t="n">
        <v>282</v>
      </c>
      <c r="J1824" s="8" t="n">
        <v>13</v>
      </c>
      <c r="K1824" s="3" t="n">
        <v>0.5</v>
      </c>
      <c r="L1824" s="3">
        <f>IF($B1824="aei",0,IF($B1824="inc",ElIncMan,ElPrcMan))</f>
        <v>0.0</v>
      </c>
      <c r="M1824" s="3">
        <f>IF($L1824=1,IF($B1824="inc",MAX($K1824,0),MIN($K1824,0)),$H1824)</f>
        <v>0.5</v>
      </c>
    </row>
    <row r="1825">
      <c r="A1825" s="3" t="inlineStr">
        <is>
          <t>inc|oil|ind</t>
        </is>
      </c>
      <c r="B1825" s="3" t="inlineStr">
        <is>
          <t>inc</t>
        </is>
      </c>
      <c r="C1825" s="3" t="inlineStr">
        <is>
          <t>oil</t>
        </is>
      </c>
      <c r="D1825" s="3" t="inlineStr">
        <is>
          <t>ind</t>
        </is>
      </c>
      <c r="E1825" s="3" t="inlineStr">
        <is>
          <t>oil_inc_ind</t>
        </is>
      </c>
      <c r="F1825" s="8" t="n">
        <v>163</v>
      </c>
      <c r="G1825" s="8" t="n">
        <v>0</v>
      </c>
      <c r="H1825" s="3" t="n">
        <v>0.8</v>
      </c>
      <c r="I1825" s="8" t="n">
        <v>283</v>
      </c>
      <c r="J1825" s="8" t="n">
        <v>13</v>
      </c>
      <c r="K1825" s="3" t="n">
        <v>0.5</v>
      </c>
      <c r="L1825" s="3">
        <f>IF($B1825="aei",0,IF($B1825="inc",ElIncMan,ElPrcMan))</f>
        <v>0.0</v>
      </c>
      <c r="M1825" s="3">
        <f>IF($L1825=1,IF($B1825="inc",MAX($K1825,0),MIN($K1825,0)),$H1825)</f>
        <v>0.8</v>
      </c>
    </row>
    <row r="1826">
      <c r="A1826" s="3" t="inlineStr">
        <is>
          <t>inc|bio|ind</t>
        </is>
      </c>
      <c r="B1826" s="3" t="inlineStr">
        <is>
          <t>inc</t>
        </is>
      </c>
      <c r="C1826" s="3" t="inlineStr">
        <is>
          <t>bio</t>
        </is>
      </c>
      <c r="D1826" s="3" t="inlineStr">
        <is>
          <t>ind</t>
        </is>
      </c>
      <c r="E1826" s="3" t="inlineStr">
        <is>
          <t>bio_inc_res</t>
        </is>
      </c>
      <c r="F1826" s="8" t="n">
        <v>164</v>
      </c>
      <c r="G1826" s="8" t="n">
        <v>0</v>
      </c>
      <c r="H1826" s="3" t="n">
        <v>0.1</v>
      </c>
      <c r="I1826" s="8" t="n">
        <v>284</v>
      </c>
      <c r="J1826" s="8" t="n">
        <v>13</v>
      </c>
      <c r="K1826" s="3" t="n">
        <v>0.5</v>
      </c>
      <c r="L1826" s="3">
        <f>IF($B1826="aei",0,IF($B1826="inc",ElIncMan,ElPrcMan))</f>
        <v>0.0</v>
      </c>
      <c r="M1826" s="3">
        <f>IF($L1826=1,IF($B1826="inc",MAX($K1826,0),MIN($K1826,0)),$H1826)</f>
        <v>0.1</v>
      </c>
    </row>
    <row r="1827">
      <c r="A1827" s="3" t="inlineStr">
        <is>
          <t>inc|ren|ind</t>
        </is>
      </c>
      <c r="B1827" s="3" t="inlineStr">
        <is>
          <t>inc</t>
        </is>
      </c>
      <c r="C1827" s="3" t="inlineStr">
        <is>
          <t>ren</t>
        </is>
      </c>
      <c r="D1827" s="3" t="inlineStr">
        <is>
          <t>ind</t>
        </is>
      </c>
      <c r="E1827" s="3" t="inlineStr">
        <is>
          <t>rnw_inc_tot</t>
        </is>
      </c>
      <c r="F1827" s="8" t="n">
        <v>165</v>
      </c>
      <c r="G1827" s="8" t="n">
        <v>0</v>
      </c>
      <c r="H1827" s="3" t="n">
        <v>0.8</v>
      </c>
      <c r="I1827" s="8" t="n">
        <v>285</v>
      </c>
      <c r="J1827" s="8" t="n">
        <v>13</v>
      </c>
      <c r="K1827" s="3" t="n">
        <v>0.5</v>
      </c>
      <c r="L1827" s="3">
        <f>IF($B1827="aei",0,IF($B1827="inc",ElIncMan,ElPrcMan))</f>
        <v>0.0</v>
      </c>
      <c r="M1827" s="3">
        <f>IF($L1827=1,IF($B1827="inc",MAX($K1827,0),MIN($K1827,0)),$H1827)</f>
        <v>0.8</v>
      </c>
    </row>
    <row r="1828">
      <c r="A1828" s="3" t="inlineStr">
        <is>
          <t>inc|ecy|ind</t>
        </is>
      </c>
      <c r="B1828" s="3" t="inlineStr">
        <is>
          <t>inc</t>
        </is>
      </c>
      <c r="C1828" s="3" t="inlineStr">
        <is>
          <t>ecy</t>
        </is>
      </c>
      <c r="D1828" s="3" t="inlineStr">
        <is>
          <t>ind</t>
        </is>
      </c>
      <c r="E1828" s="3" t="inlineStr">
        <is>
          <t>ecy_inc_ind</t>
        </is>
      </c>
      <c r="F1828" s="8" t="n">
        <v>166</v>
      </c>
      <c r="G1828" s="8" t="n">
        <v>0</v>
      </c>
      <c r="H1828" s="3" t="n">
        <v>0.8</v>
      </c>
      <c r="I1828" s="8" t="n">
        <v>286</v>
      </c>
      <c r="J1828" s="8" t="n">
        <v>13</v>
      </c>
      <c r="K1828" s="3" t="n">
        <v>0.5</v>
      </c>
      <c r="L1828" s="3">
        <f>IF($B1828="aei",0,IF($B1828="inc",ElIncMan,ElPrcMan))</f>
        <v>0.0</v>
      </c>
      <c r="M1828" s="3">
        <f>IF($L1828=1,IF($B1828="inc",MAX($K1828,0),MIN($K1828,0)),$H1828)</f>
        <v>0.8</v>
      </c>
    </row>
    <row r="1829">
      <c r="A1829" s="3" t="inlineStr">
        <is>
          <t>inc|coa|srv</t>
        </is>
      </c>
      <c r="B1829" s="3" t="inlineStr">
        <is>
          <t>inc</t>
        </is>
      </c>
      <c r="C1829" s="3" t="inlineStr">
        <is>
          <t>coa</t>
        </is>
      </c>
      <c r="D1829" s="3" t="inlineStr">
        <is>
          <t>srv</t>
        </is>
      </c>
      <c r="E1829" s="3" t="inlineStr">
        <is>
          <t>coa_inc_srv</t>
        </is>
      </c>
      <c r="F1829" s="8" t="n">
        <v>167</v>
      </c>
      <c r="G1829" s="8" t="n">
        <v>0</v>
      </c>
      <c r="H1829" s="3" t="n">
        <v>0.7</v>
      </c>
      <c r="I1829" s="8" t="n">
        <v>279</v>
      </c>
      <c r="J1829" s="8" t="n">
        <v>14</v>
      </c>
      <c r="K1829" s="3" t="n">
        <v>0.5</v>
      </c>
      <c r="L1829" s="3">
        <f>IF($B1829="aei",0,IF($B1829="inc",ElIncMan,ElPrcMan))</f>
        <v>0.0</v>
      </c>
      <c r="M1829" s="3">
        <f>IF($L1829=1,IF($B1829="inc",MAX($K1829,0),MIN($K1829,0)),$H1829)</f>
        <v>0.7</v>
      </c>
    </row>
    <row r="1830">
      <c r="A1830" s="3" t="inlineStr">
        <is>
          <t>inc|nga|srv</t>
        </is>
      </c>
      <c r="B1830" s="3" t="inlineStr">
        <is>
          <t>inc</t>
        </is>
      </c>
      <c r="C1830" s="3" t="inlineStr">
        <is>
          <t>nga</t>
        </is>
      </c>
      <c r="D1830" s="3" t="inlineStr">
        <is>
          <t>srv</t>
        </is>
      </c>
      <c r="E1830" s="3" t="inlineStr">
        <is>
          <t>nga_inc_srv</t>
        </is>
      </c>
      <c r="F1830" s="8" t="n">
        <v>168</v>
      </c>
      <c r="G1830" s="8" t="n">
        <v>0</v>
      </c>
      <c r="H1830" s="3" t="n">
        <v>1</v>
      </c>
      <c r="I1830" s="8" t="n">
        <v>280</v>
      </c>
      <c r="J1830" s="8" t="n">
        <v>14</v>
      </c>
      <c r="K1830" s="3" t="n">
        <v>0.5</v>
      </c>
      <c r="L1830" s="3">
        <f>IF($B1830="aei",0,IF($B1830="inc",ElIncMan,ElPrcMan))</f>
        <v>0.0</v>
      </c>
      <c r="M1830" s="3">
        <f>IF($L1830=1,IF($B1830="inc",MAX($K1830,0),MIN($K1830,0)),$H1830)</f>
        <v>1.0</v>
      </c>
    </row>
    <row r="1831">
      <c r="A1831" s="3" t="inlineStr">
        <is>
          <t>inc|gso|srv</t>
        </is>
      </c>
      <c r="B1831" s="3" t="inlineStr">
        <is>
          <t>inc</t>
        </is>
      </c>
      <c r="C1831" s="3" t="inlineStr">
        <is>
          <t>gso</t>
        </is>
      </c>
      <c r="D1831" s="3" t="inlineStr">
        <is>
          <t>srv</t>
        </is>
      </c>
      <c r="E1831" s="3" t="inlineStr">
        <is>
          <t>oil_inc_res</t>
        </is>
      </c>
      <c r="F1831" s="8" t="n">
        <v>169</v>
      </c>
      <c r="G1831" s="8" t="n">
        <v>0</v>
      </c>
      <c r="H1831" s="3" t="n">
        <v>0.5</v>
      </c>
      <c r="I1831" s="8" t="n">
        <v>281</v>
      </c>
      <c r="J1831" s="8" t="n">
        <v>14</v>
      </c>
      <c r="K1831" s="3" t="n">
        <v>0.5</v>
      </c>
      <c r="L1831" s="3">
        <f>IF($B1831="aei",0,IF($B1831="inc",ElIncMan,ElPrcMan))</f>
        <v>0.0</v>
      </c>
      <c r="M1831" s="3">
        <f>IF($L1831=1,IF($B1831="inc",MAX($K1831,0),MIN($K1831,0)),$H1831)</f>
        <v>0.5</v>
      </c>
    </row>
    <row r="1832">
      <c r="A1832" s="3" t="inlineStr">
        <is>
          <t>inc|die|srv</t>
        </is>
      </c>
      <c r="B1832" s="3" t="inlineStr">
        <is>
          <t>inc</t>
        </is>
      </c>
      <c r="C1832" s="3" t="inlineStr">
        <is>
          <t>die</t>
        </is>
      </c>
      <c r="D1832" s="3" t="inlineStr">
        <is>
          <t>srv</t>
        </is>
      </c>
      <c r="E1832" s="3" t="inlineStr">
        <is>
          <t>die_inc_res</t>
        </is>
      </c>
      <c r="F1832" s="8" t="n">
        <v>170</v>
      </c>
      <c r="G1832" s="8" t="n">
        <v>0</v>
      </c>
      <c r="H1832" s="3" t="n">
        <v>0.5</v>
      </c>
      <c r="I1832" s="8" t="n">
        <v>282</v>
      </c>
      <c r="J1832" s="8" t="n">
        <v>14</v>
      </c>
      <c r="K1832" s="3" t="n">
        <v>0.5</v>
      </c>
      <c r="L1832" s="3">
        <f>IF($B1832="aei",0,IF($B1832="inc",ElIncMan,ElPrcMan))</f>
        <v>0.0</v>
      </c>
      <c r="M1832" s="3">
        <f>IF($L1832=1,IF($B1832="inc",MAX($K1832,0),MIN($K1832,0)),$H1832)</f>
        <v>0.5</v>
      </c>
    </row>
    <row r="1833">
      <c r="A1833" s="3" t="inlineStr">
        <is>
          <t>inc|oil|srv</t>
        </is>
      </c>
      <c r="B1833" s="3" t="inlineStr">
        <is>
          <t>inc</t>
        </is>
      </c>
      <c r="C1833" s="3" t="inlineStr">
        <is>
          <t>oil</t>
        </is>
      </c>
      <c r="D1833" s="3" t="inlineStr">
        <is>
          <t>srv</t>
        </is>
      </c>
      <c r="E1833" s="3" t="inlineStr">
        <is>
          <t>oil_inc_srv</t>
        </is>
      </c>
      <c r="F1833" s="8" t="n">
        <v>171</v>
      </c>
      <c r="G1833" s="8" t="n">
        <v>0</v>
      </c>
      <c r="H1833" s="3" t="n">
        <v>1.2</v>
      </c>
      <c r="I1833" s="8" t="n">
        <v>283</v>
      </c>
      <c r="J1833" s="8" t="n">
        <v>14</v>
      </c>
      <c r="K1833" s="3" t="n">
        <v>0.5</v>
      </c>
      <c r="L1833" s="3">
        <f>IF($B1833="aei",0,IF($B1833="inc",ElIncMan,ElPrcMan))</f>
        <v>0.0</v>
      </c>
      <c r="M1833" s="3">
        <f>IF($L1833=1,IF($B1833="inc",MAX($K1833,0),MIN($K1833,0)),$H1833)</f>
        <v>1.2</v>
      </c>
    </row>
    <row r="1834">
      <c r="A1834" s="3" t="inlineStr">
        <is>
          <t>inc|bio|srv</t>
        </is>
      </c>
      <c r="B1834" s="3" t="inlineStr">
        <is>
          <t>inc</t>
        </is>
      </c>
      <c r="C1834" s="3" t="inlineStr">
        <is>
          <t>bio</t>
        </is>
      </c>
      <c r="D1834" s="3" t="inlineStr">
        <is>
          <t>srv</t>
        </is>
      </c>
      <c r="E1834" s="3" t="inlineStr">
        <is>
          <t>bio_inc_res</t>
        </is>
      </c>
      <c r="F1834" s="8" t="n">
        <v>172</v>
      </c>
      <c r="G1834" s="8" t="n">
        <v>0</v>
      </c>
      <c r="H1834" s="3" t="n">
        <v>0.1</v>
      </c>
      <c r="I1834" s="8" t="n">
        <v>284</v>
      </c>
      <c r="J1834" s="8" t="n">
        <v>14</v>
      </c>
      <c r="K1834" s="3" t="n">
        <v>0.5</v>
      </c>
      <c r="L1834" s="3">
        <f>IF($B1834="aei",0,IF($B1834="inc",ElIncMan,ElPrcMan))</f>
        <v>0.0</v>
      </c>
      <c r="M1834" s="3">
        <f>IF($L1834=1,IF($B1834="inc",MAX($K1834,0),MIN($K1834,0)),$H1834)</f>
        <v>0.1</v>
      </c>
    </row>
    <row r="1835">
      <c r="A1835" s="3" t="inlineStr">
        <is>
          <t>inc|ren|srv</t>
        </is>
      </c>
      <c r="B1835" s="3" t="inlineStr">
        <is>
          <t>inc</t>
        </is>
      </c>
      <c r="C1835" s="3" t="inlineStr">
        <is>
          <t>ren</t>
        </is>
      </c>
      <c r="D1835" s="3" t="inlineStr">
        <is>
          <t>srv</t>
        </is>
      </c>
      <c r="E1835" s="3" t="inlineStr">
        <is>
          <t>rnw_inc_tot</t>
        </is>
      </c>
      <c r="F1835" s="8" t="n">
        <v>173</v>
      </c>
      <c r="G1835" s="8" t="n">
        <v>0</v>
      </c>
      <c r="H1835" s="3" t="n">
        <v>1</v>
      </c>
      <c r="I1835" s="8" t="n">
        <v>285</v>
      </c>
      <c r="J1835" s="8" t="n">
        <v>14</v>
      </c>
      <c r="K1835" s="3" t="n">
        <v>0.5</v>
      </c>
      <c r="L1835" s="3">
        <f>IF($B1835="aei",0,IF($B1835="inc",ElIncMan,ElPrcMan))</f>
        <v>0.0</v>
      </c>
      <c r="M1835" s="3">
        <f>IF($L1835=1,IF($B1835="inc",MAX($K1835,0),MIN($K1835,0)),$H1835)</f>
        <v>1.0</v>
      </c>
    </row>
    <row r="1836">
      <c r="A1836" s="3" t="inlineStr">
        <is>
          <t>inc|ecy|srv</t>
        </is>
      </c>
      <c r="B1836" s="3" t="inlineStr">
        <is>
          <t>inc</t>
        </is>
      </c>
      <c r="C1836" s="3" t="inlineStr">
        <is>
          <t>ecy</t>
        </is>
      </c>
      <c r="D1836" s="3" t="inlineStr">
        <is>
          <t>srv</t>
        </is>
      </c>
      <c r="E1836" s="3" t="inlineStr">
        <is>
          <t>ecy_inc_srv</t>
        </is>
      </c>
      <c r="F1836" s="8" t="n">
        <v>174</v>
      </c>
      <c r="G1836" s="8" t="n">
        <v>0</v>
      </c>
      <c r="H1836" s="3" t="n">
        <v>1.1</v>
      </c>
      <c r="I1836" s="8" t="n">
        <v>286</v>
      </c>
      <c r="J1836" s="8" t="n">
        <v>14</v>
      </c>
      <c r="K1836" s="3" t="n">
        <v>0.5</v>
      </c>
      <c r="L1836" s="3">
        <f>IF($B1836="aei",0,IF($B1836="inc",ElIncMan,ElPrcMan))</f>
        <v>0.0</v>
      </c>
      <c r="M1836" s="3">
        <f>IF($L1836=1,IF($B1836="inc",MAX($K1836,0),MIN($K1836,0)),$H1836)</f>
        <v>1.1</v>
      </c>
    </row>
    <row r="1837">
      <c r="A1837" s="3" t="inlineStr">
        <is>
          <t>usg|coa|tra</t>
        </is>
      </c>
      <c r="B1837" s="3" t="inlineStr">
        <is>
          <t>usg</t>
        </is>
      </c>
      <c r="C1837" s="3" t="inlineStr">
        <is>
          <t>coa</t>
        </is>
      </c>
      <c r="D1837" s="3" t="inlineStr">
        <is>
          <t>tra</t>
        </is>
      </c>
      <c r="E1837" s="3" t="inlineStr">
        <is>
          <t>coa_owp_tot_sr</t>
        </is>
      </c>
      <c r="F1837" s="8" t="n">
        <v>178</v>
      </c>
      <c r="G1837" s="8" t="n">
        <v>0</v>
      </c>
      <c r="H1837" s="3" t="n">
        <v>-0.3</v>
      </c>
      <c r="I1837" s="8" t="n">
        <v>291</v>
      </c>
      <c r="J1837" s="8" t="n">
        <v>11</v>
      </c>
      <c r="K1837" s="3" t="n">
        <v>-0.5</v>
      </c>
      <c r="L1837" s="3">
        <f>IF($B1837="aei",0,IF($B1837="inc",ElIncMan,ElPrcMan))</f>
        <v>0.0</v>
      </c>
      <c r="M1837" s="3">
        <f>IF($L1837=1,IF($B1837="inc",MAX($K1837,0),MIN($K1837,0)),$H1837)</f>
        <v>-0.3</v>
      </c>
    </row>
    <row r="1838">
      <c r="A1838" s="3" t="inlineStr">
        <is>
          <t>usg|nga|tra</t>
        </is>
      </c>
      <c r="B1838" s="3" t="inlineStr">
        <is>
          <t>usg</t>
        </is>
      </c>
      <c r="C1838" s="3" t="inlineStr">
        <is>
          <t>nga</t>
        </is>
      </c>
      <c r="D1838" s="3" t="inlineStr">
        <is>
          <t>tra</t>
        </is>
      </c>
      <c r="E1838" s="3" t="inlineStr">
        <is>
          <t>nga_owp_tot_sr</t>
        </is>
      </c>
      <c r="F1838" s="8" t="n">
        <v>179</v>
      </c>
      <c r="G1838" s="8" t="n">
        <v>0</v>
      </c>
      <c r="H1838" s="3" t="n">
        <v>-0.5</v>
      </c>
      <c r="I1838" s="8" t="n">
        <v>292</v>
      </c>
      <c r="J1838" s="8" t="n">
        <v>11</v>
      </c>
      <c r="K1838" s="3" t="n">
        <v>-0.5</v>
      </c>
      <c r="L1838" s="3">
        <f>IF($B1838="aei",0,IF($B1838="inc",ElIncMan,ElPrcMan))</f>
        <v>0.0</v>
      </c>
      <c r="M1838" s="3">
        <f>IF($L1838=1,IF($B1838="inc",MAX($K1838,0),MIN($K1838,0)),$H1838)</f>
        <v>-0.5</v>
      </c>
    </row>
    <row r="1839">
      <c r="A1839" s="3" t="inlineStr">
        <is>
          <t>usg|gso|tra</t>
        </is>
      </c>
      <c r="B1839" s="3" t="inlineStr">
        <is>
          <t>usg</t>
        </is>
      </c>
      <c r="C1839" s="3" t="inlineStr">
        <is>
          <t>gso</t>
        </is>
      </c>
      <c r="D1839" s="3" t="inlineStr">
        <is>
          <t>tra</t>
        </is>
      </c>
      <c r="E1839" s="3" t="inlineStr">
        <is>
          <t>gso_owp_tot_sr</t>
        </is>
      </c>
      <c r="F1839" s="8" t="n">
        <v>180</v>
      </c>
      <c r="G1839" s="8" t="n">
        <v>0</v>
      </c>
      <c r="H1839" s="3" t="n">
        <v>-0.4</v>
      </c>
      <c r="I1839" s="8" t="n">
        <v>293</v>
      </c>
      <c r="J1839" s="8" t="n">
        <v>11</v>
      </c>
      <c r="K1839" s="3" t="n">
        <v>-0.5</v>
      </c>
      <c r="L1839" s="3">
        <f>IF($B1839="aei",0,IF($B1839="inc",ElIncMan,ElPrcMan))</f>
        <v>0.0</v>
      </c>
      <c r="M1839" s="3">
        <f>IF($L1839=1,IF($B1839="inc",MAX($K1839,0),MIN($K1839,0)),$H1839)</f>
        <v>-0.4</v>
      </c>
    </row>
    <row r="1840">
      <c r="A1840" s="3" t="inlineStr">
        <is>
          <t>usg|die|tra</t>
        </is>
      </c>
      <c r="B1840" s="3" t="inlineStr">
        <is>
          <t>usg</t>
        </is>
      </c>
      <c r="C1840" s="3" t="inlineStr">
        <is>
          <t>die</t>
        </is>
      </c>
      <c r="D1840" s="3" t="inlineStr">
        <is>
          <t>tra</t>
        </is>
      </c>
      <c r="E1840" s="3" t="inlineStr">
        <is>
          <t>die_owp_tot_sr</t>
        </is>
      </c>
      <c r="F1840" s="8" t="n">
        <v>181</v>
      </c>
      <c r="G1840" s="8" t="n">
        <v>0</v>
      </c>
      <c r="H1840" s="3" t="n">
        <v>-0.3</v>
      </c>
      <c r="I1840" s="8" t="n">
        <v>294</v>
      </c>
      <c r="J1840" s="8" t="n">
        <v>11</v>
      </c>
      <c r="K1840" s="3" t="n">
        <v>-0.5</v>
      </c>
      <c r="L1840" s="3">
        <f>IF($B1840="aei",0,IF($B1840="inc",ElIncMan,ElPrcMan))</f>
        <v>0.0</v>
      </c>
      <c r="M1840" s="3">
        <f>IF($L1840=1,IF($B1840="inc",MAX($K1840,0),MIN($K1840,0)),$H1840)</f>
        <v>-0.3</v>
      </c>
    </row>
    <row r="1841">
      <c r="A1841" s="3" t="inlineStr">
        <is>
          <t>usg|oil|tra</t>
        </is>
      </c>
      <c r="B1841" s="3" t="inlineStr">
        <is>
          <t>usg</t>
        </is>
      </c>
      <c r="C1841" s="3" t="inlineStr">
        <is>
          <t>oil</t>
        </is>
      </c>
      <c r="D1841" s="3" t="inlineStr">
        <is>
          <t>tra</t>
        </is>
      </c>
      <c r="E1841" s="3" t="inlineStr">
        <is>
          <t>oil_owp_tot_sr</t>
        </is>
      </c>
      <c r="F1841" s="8" t="n">
        <v>182</v>
      </c>
      <c r="G1841" s="8" t="n">
        <v>0</v>
      </c>
      <c r="H1841" s="3" t="n">
        <v>-0.3</v>
      </c>
      <c r="I1841" s="8" t="n">
        <v>295</v>
      </c>
      <c r="J1841" s="8" t="n">
        <v>11</v>
      </c>
      <c r="K1841" s="3" t="n">
        <v>-0.5</v>
      </c>
      <c r="L1841" s="3">
        <f>IF($B1841="aei",0,IF($B1841="inc",ElIncMan,ElPrcMan))</f>
        <v>0.0</v>
      </c>
      <c r="M1841" s="3">
        <f>IF($L1841=1,IF($B1841="inc",MAX($K1841,0),MIN($K1841,0)),$H1841)</f>
        <v>-0.3</v>
      </c>
    </row>
    <row r="1842">
      <c r="A1842" s="3" t="inlineStr">
        <is>
          <t>usg|bio|tra</t>
        </is>
      </c>
      <c r="B1842" s="3" t="inlineStr">
        <is>
          <t>usg</t>
        </is>
      </c>
      <c r="C1842" s="3" t="inlineStr">
        <is>
          <t>bio</t>
        </is>
      </c>
      <c r="D1842" s="3" t="inlineStr">
        <is>
          <t>tra</t>
        </is>
      </c>
      <c r="E1842" s="3" t="inlineStr">
        <is>
          <t>bio_owp_ind_sr</t>
        </is>
      </c>
      <c r="F1842" s="8" t="n">
        <v>183</v>
      </c>
      <c r="G1842" s="8" t="n">
        <v>0</v>
      </c>
      <c r="H1842" s="3" t="n">
        <v>-0.3</v>
      </c>
      <c r="I1842" s="8" t="n">
        <v>296</v>
      </c>
      <c r="J1842" s="8" t="n">
        <v>11</v>
      </c>
      <c r="K1842" s="3" t="n">
        <v>-0.5</v>
      </c>
      <c r="L1842" s="3">
        <f>IF($B1842="aei",0,IF($B1842="inc",ElIncMan,ElPrcMan))</f>
        <v>0.0</v>
      </c>
      <c r="M1842" s="3">
        <f>IF($L1842=1,IF($B1842="inc",MAX($K1842,0),MIN($K1842,0)),$H1842)</f>
        <v>-0.3</v>
      </c>
    </row>
    <row r="1843">
      <c r="A1843" s="3" t="inlineStr">
        <is>
          <t>usg|ren|tra</t>
        </is>
      </c>
      <c r="B1843" s="3" t="inlineStr">
        <is>
          <t>usg</t>
        </is>
      </c>
      <c r="C1843" s="3" t="inlineStr">
        <is>
          <t>ren</t>
        </is>
      </c>
      <c r="D1843" s="3" t="inlineStr">
        <is>
          <t>tra</t>
        </is>
      </c>
      <c r="E1843" s="3" t="inlineStr">
        <is>
          <t>rnw_owp_tot_lr</t>
        </is>
      </c>
      <c r="F1843" s="8" t="n">
        <v>184</v>
      </c>
      <c r="G1843" s="8" t="n">
        <v>0</v>
      </c>
      <c r="H1843" s="3" t="n">
        <v>-0.5</v>
      </c>
      <c r="I1843" s="8" t="n">
        <v>297</v>
      </c>
      <c r="J1843" s="8" t="n">
        <v>11</v>
      </c>
      <c r="K1843" s="3" t="n">
        <v>-0.5</v>
      </c>
      <c r="L1843" s="3">
        <f>IF($B1843="aei",0,IF($B1843="inc",ElIncMan,ElPrcMan))</f>
        <v>0.0</v>
      </c>
      <c r="M1843" s="3">
        <f>IF($L1843=1,IF($B1843="inc",MAX($K1843,0),MIN($K1843,0)),$H1843)</f>
        <v>-0.5</v>
      </c>
    </row>
    <row r="1844">
      <c r="A1844" s="3" t="inlineStr">
        <is>
          <t>usg|ecy|tra</t>
        </is>
      </c>
      <c r="B1844" s="3" t="inlineStr">
        <is>
          <t>usg</t>
        </is>
      </c>
      <c r="C1844" s="3" t="inlineStr">
        <is>
          <t>ecy</t>
        </is>
      </c>
      <c r="D1844" s="3" t="inlineStr">
        <is>
          <t>tra</t>
        </is>
      </c>
      <c r="E1844" s="3" t="inlineStr">
        <is>
          <t>ecy_owp_tot_sr</t>
        </is>
      </c>
      <c r="F1844" s="8" t="n">
        <v>185</v>
      </c>
      <c r="G1844" s="8" t="n">
        <v>0</v>
      </c>
      <c r="H1844" s="3" t="n">
        <v>-0.2</v>
      </c>
      <c r="I1844" s="8" t="n">
        <v>298</v>
      </c>
      <c r="J1844" s="8" t="n">
        <v>11</v>
      </c>
      <c r="K1844" s="3" t="n">
        <v>-0.5</v>
      </c>
      <c r="L1844" s="3">
        <f>IF($B1844="aei",0,IF($B1844="inc",ElIncMan,ElPrcMan))</f>
        <v>0.0</v>
      </c>
      <c r="M1844" s="3">
        <f>IF($L1844=1,IF($B1844="inc",MAX($K1844,0),MIN($K1844,0)),$H1844)</f>
        <v>-0.2</v>
      </c>
    </row>
    <row r="1845">
      <c r="A1845" s="3" t="inlineStr">
        <is>
          <t>usg|coa|res</t>
        </is>
      </c>
      <c r="B1845" s="3" t="inlineStr">
        <is>
          <t>usg</t>
        </is>
      </c>
      <c r="C1845" s="3" t="inlineStr">
        <is>
          <t>coa</t>
        </is>
      </c>
      <c r="D1845" s="3" t="inlineStr">
        <is>
          <t>res</t>
        </is>
      </c>
      <c r="E1845" s="3" t="inlineStr">
        <is>
          <t>coa_owp_res_sr</t>
        </is>
      </c>
      <c r="F1845" s="8" t="n">
        <v>186</v>
      </c>
      <c r="G1845" s="8" t="n">
        <v>0</v>
      </c>
      <c r="H1845" s="3" t="n">
        <v>-0.3</v>
      </c>
      <c r="I1845" s="8" t="n">
        <v>291</v>
      </c>
      <c r="J1845" s="8" t="n">
        <v>12</v>
      </c>
      <c r="K1845" s="3" t="n">
        <v>-0.5</v>
      </c>
      <c r="L1845" s="3">
        <f>IF($B1845="aei",0,IF($B1845="inc",ElIncMan,ElPrcMan))</f>
        <v>0.0</v>
      </c>
      <c r="M1845" s="3">
        <f>IF($L1845=1,IF($B1845="inc",MAX($K1845,0),MIN($K1845,0)),$H1845)</f>
        <v>-0.3</v>
      </c>
    </row>
    <row r="1846">
      <c r="A1846" s="3" t="inlineStr">
        <is>
          <t>usg|nga|res</t>
        </is>
      </c>
      <c r="B1846" s="3" t="inlineStr">
        <is>
          <t>usg</t>
        </is>
      </c>
      <c r="C1846" s="3" t="inlineStr">
        <is>
          <t>nga</t>
        </is>
      </c>
      <c r="D1846" s="3" t="inlineStr">
        <is>
          <t>res</t>
        </is>
      </c>
      <c r="E1846" s="3" t="inlineStr">
        <is>
          <t>nga_owp_res_sr</t>
        </is>
      </c>
      <c r="F1846" s="8" t="n">
        <v>187</v>
      </c>
      <c r="G1846" s="8" t="n">
        <v>0</v>
      </c>
      <c r="H1846" s="3" t="n">
        <v>-0.4</v>
      </c>
      <c r="I1846" s="8" t="n">
        <v>292</v>
      </c>
      <c r="J1846" s="8" t="n">
        <v>12</v>
      </c>
      <c r="K1846" s="3" t="n">
        <v>-0.5</v>
      </c>
      <c r="L1846" s="3">
        <f>IF($B1846="aei",0,IF($B1846="inc",ElIncMan,ElPrcMan))</f>
        <v>0.0</v>
      </c>
      <c r="M1846" s="3">
        <f>IF($L1846=1,IF($B1846="inc",MAX($K1846,0),MIN($K1846,0)),$H1846)</f>
        <v>-0.4</v>
      </c>
    </row>
    <row r="1847">
      <c r="A1847" s="3" t="inlineStr">
        <is>
          <t>usg|gso|res</t>
        </is>
      </c>
      <c r="B1847" s="3" t="inlineStr">
        <is>
          <t>usg</t>
        </is>
      </c>
      <c r="C1847" s="3" t="inlineStr">
        <is>
          <t>gso</t>
        </is>
      </c>
      <c r="D1847" s="3" t="inlineStr">
        <is>
          <t>res</t>
        </is>
      </c>
      <c r="E1847" s="3" t="inlineStr">
        <is>
          <t>gso_owp_tot_sr</t>
        </is>
      </c>
      <c r="F1847" s="8" t="n">
        <v>188</v>
      </c>
      <c r="G1847" s="8" t="n">
        <v>0</v>
      </c>
      <c r="H1847" s="3" t="n">
        <v>-0.5</v>
      </c>
      <c r="I1847" s="8" t="n">
        <v>293</v>
      </c>
      <c r="J1847" s="8" t="n">
        <v>12</v>
      </c>
      <c r="K1847" s="3" t="n">
        <v>-0.5</v>
      </c>
      <c r="L1847" s="3">
        <f>IF($B1847="aei",0,IF($B1847="inc",ElIncMan,ElPrcMan))</f>
        <v>0.0</v>
      </c>
      <c r="M1847" s="3">
        <f>IF($L1847=1,IF($B1847="inc",MAX($K1847,0),MIN($K1847,0)),$H1847)</f>
        <v>-0.5</v>
      </c>
    </row>
    <row r="1848">
      <c r="A1848" s="3" t="inlineStr">
        <is>
          <t>usg|die|res</t>
        </is>
      </c>
      <c r="B1848" s="3" t="inlineStr">
        <is>
          <t>usg</t>
        </is>
      </c>
      <c r="C1848" s="3" t="inlineStr">
        <is>
          <t>die</t>
        </is>
      </c>
      <c r="D1848" s="3" t="inlineStr">
        <is>
          <t>res</t>
        </is>
      </c>
      <c r="E1848" s="3" t="inlineStr">
        <is>
          <t>die_owp_tot_sr</t>
        </is>
      </c>
      <c r="F1848" s="8" t="n">
        <v>189</v>
      </c>
      <c r="G1848" s="8" t="n">
        <v>0</v>
      </c>
      <c r="H1848" s="3" t="n">
        <v>-0.3</v>
      </c>
      <c r="I1848" s="8" t="n">
        <v>294</v>
      </c>
      <c r="J1848" s="8" t="n">
        <v>12</v>
      </c>
      <c r="K1848" s="3" t="n">
        <v>-0.5</v>
      </c>
      <c r="L1848" s="3">
        <f>IF($B1848="aei",0,IF($B1848="inc",ElIncMan,ElPrcMan))</f>
        <v>0.0</v>
      </c>
      <c r="M1848" s="3">
        <f>IF($L1848=1,IF($B1848="inc",MAX($K1848,0),MIN($K1848,0)),$H1848)</f>
        <v>-0.3</v>
      </c>
    </row>
    <row r="1849">
      <c r="A1849" s="3" t="inlineStr">
        <is>
          <t>usg|oil|res</t>
        </is>
      </c>
      <c r="B1849" s="3" t="inlineStr">
        <is>
          <t>usg</t>
        </is>
      </c>
      <c r="C1849" s="3" t="inlineStr">
        <is>
          <t>oil</t>
        </is>
      </c>
      <c r="D1849" s="3" t="inlineStr">
        <is>
          <t>res</t>
        </is>
      </c>
      <c r="E1849" s="3" t="inlineStr">
        <is>
          <t>oil_owp_tot_sr</t>
        </is>
      </c>
      <c r="F1849" s="8" t="n">
        <v>190</v>
      </c>
      <c r="G1849" s="8" t="n">
        <v>0</v>
      </c>
      <c r="H1849" s="3" t="n">
        <v>-0.3</v>
      </c>
      <c r="I1849" s="8" t="n">
        <v>295</v>
      </c>
      <c r="J1849" s="8" t="n">
        <v>12</v>
      </c>
      <c r="K1849" s="3" t="n">
        <v>-0.5</v>
      </c>
      <c r="L1849" s="3">
        <f>IF($B1849="aei",0,IF($B1849="inc",ElIncMan,ElPrcMan))</f>
        <v>0.0</v>
      </c>
      <c r="M1849" s="3">
        <f>IF($L1849=1,IF($B1849="inc",MAX($K1849,0),MIN($K1849,0)),$H1849)</f>
        <v>-0.3</v>
      </c>
    </row>
    <row r="1850">
      <c r="A1850" s="3" t="inlineStr">
        <is>
          <t>usg|bio|res</t>
        </is>
      </c>
      <c r="B1850" s="3" t="inlineStr">
        <is>
          <t>usg</t>
        </is>
      </c>
      <c r="C1850" s="3" t="inlineStr">
        <is>
          <t>bio</t>
        </is>
      </c>
      <c r="D1850" s="3" t="inlineStr">
        <is>
          <t>res</t>
        </is>
      </c>
      <c r="E1850" s="3" t="inlineStr">
        <is>
          <t>bio_owp_ind_sr</t>
        </is>
      </c>
      <c r="F1850" s="8" t="n">
        <v>191</v>
      </c>
      <c r="G1850" s="8" t="n">
        <v>0</v>
      </c>
      <c r="H1850" s="3" t="n">
        <v>-0.3</v>
      </c>
      <c r="I1850" s="8" t="n">
        <v>296</v>
      </c>
      <c r="J1850" s="8" t="n">
        <v>12</v>
      </c>
      <c r="K1850" s="3" t="n">
        <v>-0.5</v>
      </c>
      <c r="L1850" s="3">
        <f>IF($B1850="aei",0,IF($B1850="inc",ElIncMan,ElPrcMan))</f>
        <v>0.0</v>
      </c>
      <c r="M1850" s="3">
        <f>IF($L1850=1,IF($B1850="inc",MAX($K1850,0),MIN($K1850,0)),$H1850)</f>
        <v>-0.3</v>
      </c>
    </row>
    <row r="1851">
      <c r="A1851" s="3" t="inlineStr">
        <is>
          <t>usg|ren|res</t>
        </is>
      </c>
      <c r="B1851" s="3" t="inlineStr">
        <is>
          <t>usg</t>
        </is>
      </c>
      <c r="C1851" s="3" t="inlineStr">
        <is>
          <t>ren</t>
        </is>
      </c>
      <c r="D1851" s="3" t="inlineStr">
        <is>
          <t>res</t>
        </is>
      </c>
      <c r="E1851" s="3" t="inlineStr">
        <is>
          <t>rnw_owp_tot_lr</t>
        </is>
      </c>
      <c r="F1851" s="8" t="n">
        <v>192</v>
      </c>
      <c r="G1851" s="8" t="n">
        <v>0</v>
      </c>
      <c r="H1851" s="3" t="n">
        <v>-0.5</v>
      </c>
      <c r="I1851" s="8" t="n">
        <v>297</v>
      </c>
      <c r="J1851" s="8" t="n">
        <v>12</v>
      </c>
      <c r="K1851" s="3" t="n">
        <v>-0.5</v>
      </c>
      <c r="L1851" s="3">
        <f>IF($B1851="aei",0,IF($B1851="inc",ElIncMan,ElPrcMan))</f>
        <v>0.0</v>
      </c>
      <c r="M1851" s="3">
        <f>IF($L1851=1,IF($B1851="inc",MAX($K1851,0),MIN($K1851,0)),$H1851)</f>
        <v>-0.5</v>
      </c>
    </row>
    <row r="1852">
      <c r="A1852" s="3" t="inlineStr">
        <is>
          <t>usg|ecy|res</t>
        </is>
      </c>
      <c r="B1852" s="3" t="inlineStr">
        <is>
          <t>usg</t>
        </is>
      </c>
      <c r="C1852" s="3" t="inlineStr">
        <is>
          <t>ecy</t>
        </is>
      </c>
      <c r="D1852" s="3" t="inlineStr">
        <is>
          <t>res</t>
        </is>
      </c>
      <c r="E1852" s="3" t="inlineStr">
        <is>
          <t>ecy_owp_res_sr</t>
        </is>
      </c>
      <c r="F1852" s="8" t="n">
        <v>193</v>
      </c>
      <c r="G1852" s="8" t="n">
        <v>0</v>
      </c>
      <c r="H1852" s="3" t="n">
        <v>-0.3</v>
      </c>
      <c r="I1852" s="8" t="n">
        <v>298</v>
      </c>
      <c r="J1852" s="8" t="n">
        <v>12</v>
      </c>
      <c r="K1852" s="3" t="n">
        <v>-0.5</v>
      </c>
      <c r="L1852" s="3">
        <f>IF($B1852="aei",0,IF($B1852="inc",ElIncMan,ElPrcMan))</f>
        <v>0.0</v>
      </c>
      <c r="M1852" s="3">
        <f>IF($L1852=1,IF($B1852="inc",MAX($K1852,0),MIN($K1852,0)),$H1852)</f>
        <v>-0.3</v>
      </c>
    </row>
    <row r="1853">
      <c r="A1853" s="3" t="inlineStr">
        <is>
          <t>usg|coa|ind</t>
        </is>
      </c>
      <c r="B1853" s="3" t="inlineStr">
        <is>
          <t>usg</t>
        </is>
      </c>
      <c r="C1853" s="3" t="inlineStr">
        <is>
          <t>coa</t>
        </is>
      </c>
      <c r="D1853" s="3" t="inlineStr">
        <is>
          <t>ind</t>
        </is>
      </c>
      <c r="E1853" s="3" t="inlineStr">
        <is>
          <t>coa_owp_ind_sr</t>
        </is>
      </c>
      <c r="F1853" s="8" t="n">
        <v>194</v>
      </c>
      <c r="G1853" s="8" t="n">
        <v>0</v>
      </c>
      <c r="H1853" s="3" t="n">
        <v>-0.3</v>
      </c>
      <c r="I1853" s="8" t="n">
        <v>291</v>
      </c>
      <c r="J1853" s="8" t="n">
        <v>13</v>
      </c>
      <c r="K1853" s="3" t="n">
        <v>-0.5</v>
      </c>
      <c r="L1853" s="3">
        <f>IF($B1853="aei",0,IF($B1853="inc",ElIncMan,ElPrcMan))</f>
        <v>0.0</v>
      </c>
      <c r="M1853" s="3">
        <f>IF($L1853=1,IF($B1853="inc",MAX($K1853,0),MIN($K1853,0)),$H1853)</f>
        <v>-0.3</v>
      </c>
    </row>
    <row r="1854">
      <c r="A1854" s="3" t="inlineStr">
        <is>
          <t>usg|nga|ind</t>
        </is>
      </c>
      <c r="B1854" s="3" t="inlineStr">
        <is>
          <t>usg</t>
        </is>
      </c>
      <c r="C1854" s="3" t="inlineStr">
        <is>
          <t>nga</t>
        </is>
      </c>
      <c r="D1854" s="3" t="inlineStr">
        <is>
          <t>ind</t>
        </is>
      </c>
      <c r="E1854" s="3" t="inlineStr">
        <is>
          <t>nga_owp_ind_sr</t>
        </is>
      </c>
      <c r="F1854" s="8" t="n">
        <v>195</v>
      </c>
      <c r="G1854" s="8" t="n">
        <v>0</v>
      </c>
      <c r="H1854" s="3" t="n">
        <v>-0.5</v>
      </c>
      <c r="I1854" s="8" t="n">
        <v>292</v>
      </c>
      <c r="J1854" s="8" t="n">
        <v>13</v>
      </c>
      <c r="K1854" s="3" t="n">
        <v>-0.5</v>
      </c>
      <c r="L1854" s="3">
        <f>IF($B1854="aei",0,IF($B1854="inc",ElIncMan,ElPrcMan))</f>
        <v>0.0</v>
      </c>
      <c r="M1854" s="3">
        <f>IF($L1854=1,IF($B1854="inc",MAX($K1854,0),MIN($K1854,0)),$H1854)</f>
        <v>-0.5</v>
      </c>
    </row>
    <row r="1855">
      <c r="A1855" s="3" t="inlineStr">
        <is>
          <t>usg|gso|ind</t>
        </is>
      </c>
      <c r="B1855" s="3" t="inlineStr">
        <is>
          <t>usg</t>
        </is>
      </c>
      <c r="C1855" s="3" t="inlineStr">
        <is>
          <t>gso</t>
        </is>
      </c>
      <c r="D1855" s="3" t="inlineStr">
        <is>
          <t>ind</t>
        </is>
      </c>
      <c r="E1855" s="3" t="inlineStr">
        <is>
          <t>gso_owp_tot_sr</t>
        </is>
      </c>
      <c r="F1855" s="8" t="n">
        <v>196</v>
      </c>
      <c r="G1855" s="8" t="n">
        <v>0</v>
      </c>
      <c r="H1855" s="3" t="n">
        <v>-0.4</v>
      </c>
      <c r="I1855" s="8" t="n">
        <v>293</v>
      </c>
      <c r="J1855" s="8" t="n">
        <v>13</v>
      </c>
      <c r="K1855" s="3" t="n">
        <v>-0.5</v>
      </c>
      <c r="L1855" s="3">
        <f>IF($B1855="aei",0,IF($B1855="inc",ElIncMan,ElPrcMan))</f>
        <v>0.0</v>
      </c>
      <c r="M1855" s="3">
        <f>IF($L1855=1,IF($B1855="inc",MAX($K1855,0),MIN($K1855,0)),$H1855)</f>
        <v>-0.4</v>
      </c>
    </row>
    <row r="1856">
      <c r="A1856" s="3" t="inlineStr">
        <is>
          <t>usg|die|ind</t>
        </is>
      </c>
      <c r="B1856" s="3" t="inlineStr">
        <is>
          <t>usg</t>
        </is>
      </c>
      <c r="C1856" s="3" t="inlineStr">
        <is>
          <t>die</t>
        </is>
      </c>
      <c r="D1856" s="3" t="inlineStr">
        <is>
          <t>ind</t>
        </is>
      </c>
      <c r="E1856" s="3" t="inlineStr">
        <is>
          <t>die_owp_tot_sr</t>
        </is>
      </c>
      <c r="F1856" s="8" t="n">
        <v>197</v>
      </c>
      <c r="G1856" s="8" t="n">
        <v>0</v>
      </c>
      <c r="H1856" s="3" t="n">
        <v>-0.7</v>
      </c>
      <c r="I1856" s="8" t="n">
        <v>294</v>
      </c>
      <c r="J1856" s="8" t="n">
        <v>13</v>
      </c>
      <c r="K1856" s="3" t="n">
        <v>-0.5</v>
      </c>
      <c r="L1856" s="3">
        <f>IF($B1856="aei",0,IF($B1856="inc",ElIncMan,ElPrcMan))</f>
        <v>0.0</v>
      </c>
      <c r="M1856" s="3">
        <f>IF($L1856=1,IF($B1856="inc",MAX($K1856,0),MIN($K1856,0)),$H1856)</f>
        <v>-0.7</v>
      </c>
    </row>
    <row r="1857">
      <c r="A1857" s="3" t="inlineStr">
        <is>
          <t>usg|oil|ind</t>
        </is>
      </c>
      <c r="B1857" s="3" t="inlineStr">
        <is>
          <t>usg</t>
        </is>
      </c>
      <c r="C1857" s="3" t="inlineStr">
        <is>
          <t>oil</t>
        </is>
      </c>
      <c r="D1857" s="3" t="inlineStr">
        <is>
          <t>ind</t>
        </is>
      </c>
      <c r="E1857" s="3" t="inlineStr">
        <is>
          <t>oil_owp_ind_sr</t>
        </is>
      </c>
      <c r="F1857" s="8" t="n">
        <v>198</v>
      </c>
      <c r="G1857" s="8" t="n">
        <v>0</v>
      </c>
      <c r="H1857" s="3" t="n">
        <v>-0.4</v>
      </c>
      <c r="I1857" s="8" t="n">
        <v>295</v>
      </c>
      <c r="J1857" s="8" t="n">
        <v>13</v>
      </c>
      <c r="K1857" s="3" t="n">
        <v>-0.5</v>
      </c>
      <c r="L1857" s="3">
        <f>IF($B1857="aei",0,IF($B1857="inc",ElIncMan,ElPrcMan))</f>
        <v>0.0</v>
      </c>
      <c r="M1857" s="3">
        <f>IF($L1857=1,IF($B1857="inc",MAX($K1857,0),MIN($K1857,0)),$H1857)</f>
        <v>-0.4</v>
      </c>
    </row>
    <row r="1858">
      <c r="A1858" s="3" t="inlineStr">
        <is>
          <t>usg|bio|ind</t>
        </is>
      </c>
      <c r="B1858" s="3" t="inlineStr">
        <is>
          <t>usg</t>
        </is>
      </c>
      <c r="C1858" s="3" t="inlineStr">
        <is>
          <t>bio</t>
        </is>
      </c>
      <c r="D1858" s="3" t="inlineStr">
        <is>
          <t>ind</t>
        </is>
      </c>
      <c r="E1858" s="3" t="inlineStr">
        <is>
          <t>bio_owp_ind_sr</t>
        </is>
      </c>
      <c r="F1858" s="8" t="n">
        <v>199</v>
      </c>
      <c r="G1858" s="8" t="n">
        <v>0</v>
      </c>
      <c r="H1858" s="3" t="n">
        <v>-0.3</v>
      </c>
      <c r="I1858" s="8" t="n">
        <v>296</v>
      </c>
      <c r="J1858" s="8" t="n">
        <v>13</v>
      </c>
      <c r="K1858" s="3" t="n">
        <v>-0.5</v>
      </c>
      <c r="L1858" s="3">
        <f>IF($B1858="aei",0,IF($B1858="inc",ElIncMan,ElPrcMan))</f>
        <v>0.0</v>
      </c>
      <c r="M1858" s="3">
        <f>IF($L1858=1,IF($B1858="inc",MAX($K1858,0),MIN($K1858,0)),$H1858)</f>
        <v>-0.3</v>
      </c>
    </row>
    <row r="1859">
      <c r="A1859" s="3" t="inlineStr">
        <is>
          <t>usg|ren|ind</t>
        </is>
      </c>
      <c r="B1859" s="3" t="inlineStr">
        <is>
          <t>usg</t>
        </is>
      </c>
      <c r="C1859" s="3" t="inlineStr">
        <is>
          <t>ren</t>
        </is>
      </c>
      <c r="D1859" s="3" t="inlineStr">
        <is>
          <t>ind</t>
        </is>
      </c>
      <c r="E1859" s="3" t="inlineStr">
        <is>
          <t>rnw_owp_tot_lr</t>
        </is>
      </c>
      <c r="F1859" s="8" t="n">
        <v>200</v>
      </c>
      <c r="G1859" s="8" t="n">
        <v>0</v>
      </c>
      <c r="H1859" s="3" t="n">
        <v>-0.5</v>
      </c>
      <c r="I1859" s="8" t="n">
        <v>297</v>
      </c>
      <c r="J1859" s="8" t="n">
        <v>13</v>
      </c>
      <c r="K1859" s="3" t="n">
        <v>-0.5</v>
      </c>
      <c r="L1859" s="3">
        <f>IF($B1859="aei",0,IF($B1859="inc",ElIncMan,ElPrcMan))</f>
        <v>0.0</v>
      </c>
      <c r="M1859" s="3">
        <f>IF($L1859=1,IF($B1859="inc",MAX($K1859,0),MIN($K1859,0)),$H1859)</f>
        <v>-0.5</v>
      </c>
    </row>
    <row r="1860">
      <c r="A1860" s="3" t="inlineStr">
        <is>
          <t>usg|ecy|ind</t>
        </is>
      </c>
      <c r="B1860" s="3" t="inlineStr">
        <is>
          <t>usg</t>
        </is>
      </c>
      <c r="C1860" s="3" t="inlineStr">
        <is>
          <t>ecy</t>
        </is>
      </c>
      <c r="D1860" s="3" t="inlineStr">
        <is>
          <t>ind</t>
        </is>
      </c>
      <c r="E1860" s="3" t="inlineStr">
        <is>
          <t>ecy_owp_ind_sr</t>
        </is>
      </c>
      <c r="F1860" s="8" t="n">
        <v>201</v>
      </c>
      <c r="G1860" s="8" t="n">
        <v>0</v>
      </c>
      <c r="H1860" s="3" t="n">
        <v>-0.3</v>
      </c>
      <c r="I1860" s="8" t="n">
        <v>298</v>
      </c>
      <c r="J1860" s="8" t="n">
        <v>13</v>
      </c>
      <c r="K1860" s="3" t="n">
        <v>-0.5</v>
      </c>
      <c r="L1860" s="3">
        <f>IF($B1860="aei",0,IF($B1860="inc",ElIncMan,ElPrcMan))</f>
        <v>0.0</v>
      </c>
      <c r="M1860" s="3">
        <f>IF($L1860=1,IF($B1860="inc",MAX($K1860,0),MIN($K1860,0)),$H1860)</f>
        <v>-0.3</v>
      </c>
    </row>
    <row r="1861">
      <c r="A1861" s="3" t="inlineStr">
        <is>
          <t>usg|coa|srv</t>
        </is>
      </c>
      <c r="B1861" s="3" t="inlineStr">
        <is>
          <t>usg</t>
        </is>
      </c>
      <c r="C1861" s="3" t="inlineStr">
        <is>
          <t>coa</t>
        </is>
      </c>
      <c r="D1861" s="3" t="inlineStr">
        <is>
          <t>srv</t>
        </is>
      </c>
      <c r="E1861" s="3" t="inlineStr">
        <is>
          <t>coa_owp_ind_sr</t>
        </is>
      </c>
      <c r="F1861" s="8" t="n">
        <v>202</v>
      </c>
      <c r="G1861" s="8" t="n">
        <v>0</v>
      </c>
      <c r="H1861" s="3" t="n">
        <v>-0.4</v>
      </c>
      <c r="I1861" s="8" t="n">
        <v>291</v>
      </c>
      <c r="J1861" s="8" t="n">
        <v>14</v>
      </c>
      <c r="K1861" s="3" t="n">
        <v>-0.5</v>
      </c>
      <c r="L1861" s="3">
        <f>IF($B1861="aei",0,IF($B1861="inc",ElIncMan,ElPrcMan))</f>
        <v>0.0</v>
      </c>
      <c r="M1861" s="3">
        <f>IF($L1861=1,IF($B1861="inc",MAX($K1861,0),MIN($K1861,0)),$H1861)</f>
        <v>-0.4</v>
      </c>
    </row>
    <row r="1862">
      <c r="A1862" s="3" t="inlineStr">
        <is>
          <t>usg|nga|srv</t>
        </is>
      </c>
      <c r="B1862" s="3" t="inlineStr">
        <is>
          <t>usg</t>
        </is>
      </c>
      <c r="C1862" s="3" t="inlineStr">
        <is>
          <t>nga</t>
        </is>
      </c>
      <c r="D1862" s="3" t="inlineStr">
        <is>
          <t>srv</t>
        </is>
      </c>
      <c r="E1862" s="3" t="inlineStr">
        <is>
          <t>nga_owp_ind_sr</t>
        </is>
      </c>
      <c r="F1862" s="8" t="n">
        <v>203</v>
      </c>
      <c r="G1862" s="8" t="n">
        <v>0</v>
      </c>
      <c r="H1862" s="3" t="n">
        <v>-0.6</v>
      </c>
      <c r="I1862" s="8" t="n">
        <v>292</v>
      </c>
      <c r="J1862" s="8" t="n">
        <v>14</v>
      </c>
      <c r="K1862" s="3" t="n">
        <v>-0.5</v>
      </c>
      <c r="L1862" s="3">
        <f>IF($B1862="aei",0,IF($B1862="inc",ElIncMan,ElPrcMan))</f>
        <v>0.0</v>
      </c>
      <c r="M1862" s="3">
        <f>IF($L1862=1,IF($B1862="inc",MAX($K1862,0),MIN($K1862,0)),$H1862)</f>
        <v>-0.6</v>
      </c>
    </row>
    <row r="1863">
      <c r="A1863" s="3" t="inlineStr">
        <is>
          <t>usg|gso|srv</t>
        </is>
      </c>
      <c r="B1863" s="3" t="inlineStr">
        <is>
          <t>usg</t>
        </is>
      </c>
      <c r="C1863" s="3" t="inlineStr">
        <is>
          <t>gso</t>
        </is>
      </c>
      <c r="D1863" s="3" t="inlineStr">
        <is>
          <t>srv</t>
        </is>
      </c>
      <c r="E1863" s="3" t="inlineStr">
        <is>
          <t>gso_owp_tot_sr</t>
        </is>
      </c>
      <c r="F1863" s="8" t="n">
        <v>204</v>
      </c>
      <c r="G1863" s="8" t="n">
        <v>0</v>
      </c>
      <c r="H1863" s="3" t="n">
        <v>-0.6</v>
      </c>
      <c r="I1863" s="8" t="n">
        <v>293</v>
      </c>
      <c r="J1863" s="8" t="n">
        <v>14</v>
      </c>
      <c r="K1863" s="3" t="n">
        <v>-0.5</v>
      </c>
      <c r="L1863" s="3">
        <f>IF($B1863="aei",0,IF($B1863="inc",ElIncMan,ElPrcMan))</f>
        <v>0.0</v>
      </c>
      <c r="M1863" s="3">
        <f>IF($L1863=1,IF($B1863="inc",MAX($K1863,0),MIN($K1863,0)),$H1863)</f>
        <v>-0.6</v>
      </c>
    </row>
    <row r="1864">
      <c r="A1864" s="3" t="inlineStr">
        <is>
          <t>usg|die|srv</t>
        </is>
      </c>
      <c r="B1864" s="3" t="inlineStr">
        <is>
          <t>usg</t>
        </is>
      </c>
      <c r="C1864" s="3" t="inlineStr">
        <is>
          <t>die</t>
        </is>
      </c>
      <c r="D1864" s="3" t="inlineStr">
        <is>
          <t>srv</t>
        </is>
      </c>
      <c r="E1864" s="3" t="inlineStr">
        <is>
          <t>die_owp_tot_sr</t>
        </is>
      </c>
      <c r="F1864" s="8" t="n">
        <v>205</v>
      </c>
      <c r="G1864" s="8" t="n">
        <v>0</v>
      </c>
      <c r="H1864" s="3" t="n">
        <v>-0.5</v>
      </c>
      <c r="I1864" s="8" t="n">
        <v>294</v>
      </c>
      <c r="J1864" s="8" t="n">
        <v>14</v>
      </c>
      <c r="K1864" s="3" t="n">
        <v>-0.5</v>
      </c>
      <c r="L1864" s="3">
        <f>IF($B1864="aei",0,IF($B1864="inc",ElIncMan,ElPrcMan))</f>
        <v>0.0</v>
      </c>
      <c r="M1864" s="3">
        <f>IF($L1864=1,IF($B1864="inc",MAX($K1864,0),MIN($K1864,0)),$H1864)</f>
        <v>-0.5</v>
      </c>
    </row>
    <row r="1865">
      <c r="A1865" s="3" t="inlineStr">
        <is>
          <t>usg|oil|srv</t>
        </is>
      </c>
      <c r="B1865" s="3" t="inlineStr">
        <is>
          <t>usg</t>
        </is>
      </c>
      <c r="C1865" s="3" t="inlineStr">
        <is>
          <t>oil</t>
        </is>
      </c>
      <c r="D1865" s="3" t="inlineStr">
        <is>
          <t>srv</t>
        </is>
      </c>
      <c r="E1865" s="3" t="inlineStr">
        <is>
          <t>oil_owp_ind_sr</t>
        </is>
      </c>
      <c r="F1865" s="8" t="n">
        <v>206</v>
      </c>
      <c r="G1865" s="8" t="n">
        <v>0</v>
      </c>
      <c r="H1865" s="3" t="n">
        <v>-0.5</v>
      </c>
      <c r="I1865" s="8" t="n">
        <v>295</v>
      </c>
      <c r="J1865" s="8" t="n">
        <v>14</v>
      </c>
      <c r="K1865" s="3" t="n">
        <v>-0.5</v>
      </c>
      <c r="L1865" s="3">
        <f>IF($B1865="aei",0,IF($B1865="inc",ElIncMan,ElPrcMan))</f>
        <v>0.0</v>
      </c>
      <c r="M1865" s="3">
        <f>IF($L1865=1,IF($B1865="inc",MAX($K1865,0),MIN($K1865,0)),$H1865)</f>
        <v>-0.5</v>
      </c>
    </row>
    <row r="1866">
      <c r="A1866" s="3" t="inlineStr">
        <is>
          <t>usg|bio|srv</t>
        </is>
      </c>
      <c r="B1866" s="3" t="inlineStr">
        <is>
          <t>usg</t>
        </is>
      </c>
      <c r="C1866" s="3" t="inlineStr">
        <is>
          <t>bio</t>
        </is>
      </c>
      <c r="D1866" s="3" t="inlineStr">
        <is>
          <t>srv</t>
        </is>
      </c>
      <c r="E1866" s="3" t="inlineStr">
        <is>
          <t>bio_owp_ind_sr</t>
        </is>
      </c>
      <c r="F1866" s="8" t="n">
        <v>207</v>
      </c>
      <c r="G1866" s="8" t="n">
        <v>0</v>
      </c>
      <c r="H1866" s="3" t="n">
        <v>-0.4</v>
      </c>
      <c r="I1866" s="8" t="n">
        <v>296</v>
      </c>
      <c r="J1866" s="8" t="n">
        <v>14</v>
      </c>
      <c r="K1866" s="3" t="n">
        <v>-0.5</v>
      </c>
      <c r="L1866" s="3">
        <f>IF($B1866="aei",0,IF($B1866="inc",ElIncMan,ElPrcMan))</f>
        <v>0.0</v>
      </c>
      <c r="M1866" s="3">
        <f>IF($L1866=1,IF($B1866="inc",MAX($K1866,0),MIN($K1866,0)),$H1866)</f>
        <v>-0.4</v>
      </c>
    </row>
    <row r="1867">
      <c r="A1867" s="3" t="inlineStr">
        <is>
          <t>usg|ren|srv</t>
        </is>
      </c>
      <c r="B1867" s="3" t="inlineStr">
        <is>
          <t>usg</t>
        </is>
      </c>
      <c r="C1867" s="3" t="inlineStr">
        <is>
          <t>ren</t>
        </is>
      </c>
      <c r="D1867" s="3" t="inlineStr">
        <is>
          <t>srv</t>
        </is>
      </c>
      <c r="E1867" s="3" t="inlineStr">
        <is>
          <t>rnw_owp_tot_lr</t>
        </is>
      </c>
      <c r="F1867" s="8" t="n">
        <v>208</v>
      </c>
      <c r="G1867" s="8" t="n">
        <v>0</v>
      </c>
      <c r="H1867" s="3" t="n">
        <v>-0.7</v>
      </c>
      <c r="I1867" s="8" t="n">
        <v>297</v>
      </c>
      <c r="J1867" s="8" t="n">
        <v>14</v>
      </c>
      <c r="K1867" s="3" t="n">
        <v>-0.5</v>
      </c>
      <c r="L1867" s="3">
        <f>IF($B1867="aei",0,IF($B1867="inc",ElIncMan,ElPrcMan))</f>
        <v>0.0</v>
      </c>
      <c r="M1867" s="3">
        <f>IF($L1867=1,IF($B1867="inc",MAX($K1867,0),MIN($K1867,0)),$H1867)</f>
        <v>-0.7</v>
      </c>
    </row>
    <row r="1868">
      <c r="A1868" s="3" t="inlineStr">
        <is>
          <t>usg|ecy|srv</t>
        </is>
      </c>
      <c r="B1868" s="3" t="inlineStr">
        <is>
          <t>usg</t>
        </is>
      </c>
      <c r="C1868" s="3" t="inlineStr">
        <is>
          <t>ecy</t>
        </is>
      </c>
      <c r="D1868" s="3" t="inlineStr">
        <is>
          <t>srv</t>
        </is>
      </c>
      <c r="E1868" s="3" t="inlineStr">
        <is>
          <t>ecy_owp_ind_sr</t>
        </is>
      </c>
      <c r="F1868" s="8" t="n">
        <v>209</v>
      </c>
      <c r="G1868" s="8" t="n">
        <v>0</v>
      </c>
      <c r="H1868" s="3" t="n">
        <v>-0.5</v>
      </c>
      <c r="I1868" s="8" t="n">
        <v>298</v>
      </c>
      <c r="J1868" s="8" t="n">
        <v>14</v>
      </c>
      <c r="K1868" s="3" t="n">
        <v>-0.5</v>
      </c>
      <c r="L1868" s="3">
        <f>IF($B1868="aei",0,IF($B1868="inc",ElIncMan,ElPrcMan))</f>
        <v>0.0</v>
      </c>
      <c r="M1868" s="3">
        <f>IF($L1868=1,IF($B1868="inc",MAX($K1868,0),MIN($K1868,0)),$H1868)</f>
        <v>-0.5</v>
      </c>
    </row>
    <row r="1869">
      <c r="A1869" s="3" t="inlineStr">
        <is>
          <t>eff|coa|tra</t>
        </is>
      </c>
      <c r="B1869" s="3" t="inlineStr">
        <is>
          <t>eff</t>
        </is>
      </c>
      <c r="C1869" s="3" t="inlineStr">
        <is>
          <t>coa</t>
        </is>
      </c>
      <c r="D1869" s="3" t="inlineStr">
        <is>
          <t>tra</t>
        </is>
      </c>
      <c r="E1869" s="3" t="inlineStr">
        <is>
          <t>coa_owp_tot_lr</t>
        </is>
      </c>
      <c r="F1869" s="8" t="n">
        <v>211</v>
      </c>
      <c r="G1869" s="8" t="n">
        <v>0</v>
      </c>
      <c r="H1869" s="3" t="n">
        <v>-0.4</v>
      </c>
      <c r="I1869" s="8" t="n">
        <v>300</v>
      </c>
      <c r="J1869" s="8" t="n">
        <v>11</v>
      </c>
      <c r="K1869" s="3" t="n">
        <v>-0.5</v>
      </c>
      <c r="L1869" s="3">
        <f>IF($B1869="aei",0,IF($B1869="inc",ElIncMan,ElPrcMan))</f>
        <v>0.0</v>
      </c>
      <c r="M1869" s="3">
        <f>IF($L1869=1,IF($B1869="inc",MAX($K1869,0),MIN($K1869,0)),$H1869)</f>
        <v>-0.4</v>
      </c>
    </row>
    <row r="1870">
      <c r="A1870" s="3" t="inlineStr">
        <is>
          <t>eff|nga|tra</t>
        </is>
      </c>
      <c r="B1870" s="3" t="inlineStr">
        <is>
          <t>eff</t>
        </is>
      </c>
      <c r="C1870" s="3" t="inlineStr">
        <is>
          <t>nga</t>
        </is>
      </c>
      <c r="D1870" s="3" t="inlineStr">
        <is>
          <t>tra</t>
        </is>
      </c>
      <c r="E1870" s="3" t="inlineStr">
        <is>
          <t>nga_owp_tot_lr</t>
        </is>
      </c>
      <c r="F1870" s="8" t="n">
        <v>212</v>
      </c>
      <c r="G1870" s="8" t="n">
        <v>0</v>
      </c>
      <c r="H1870" s="3" t="n">
        <v>-0.4</v>
      </c>
      <c r="I1870" s="8" t="n">
        <v>301</v>
      </c>
      <c r="J1870" s="8" t="n">
        <v>11</v>
      </c>
      <c r="K1870" s="3" t="n">
        <v>-0.5</v>
      </c>
      <c r="L1870" s="3">
        <f>IF($B1870="aei",0,IF($B1870="inc",ElIncMan,ElPrcMan))</f>
        <v>0.0</v>
      </c>
      <c r="M1870" s="3">
        <f>IF($L1870=1,IF($B1870="inc",MAX($K1870,0),MIN($K1870,0)),$H1870)</f>
        <v>-0.4</v>
      </c>
    </row>
    <row r="1871">
      <c r="A1871" s="3" t="inlineStr">
        <is>
          <t>eff|gso|tra</t>
        </is>
      </c>
      <c r="B1871" s="3" t="inlineStr">
        <is>
          <t>eff</t>
        </is>
      </c>
      <c r="C1871" s="3" t="inlineStr">
        <is>
          <t>gso</t>
        </is>
      </c>
      <c r="D1871" s="3" t="inlineStr">
        <is>
          <t>tra</t>
        </is>
      </c>
      <c r="E1871" s="3" t="inlineStr">
        <is>
          <t>gso_owp_tot_lr</t>
        </is>
      </c>
      <c r="F1871" s="8" t="n">
        <v>213</v>
      </c>
      <c r="G1871" s="8" t="n">
        <v>0</v>
      </c>
      <c r="H1871" s="3" t="n">
        <v>-0.4</v>
      </c>
      <c r="I1871" s="8" t="n">
        <v>302</v>
      </c>
      <c r="J1871" s="8" t="n">
        <v>11</v>
      </c>
      <c r="K1871" s="3" t="n">
        <v>-0.5</v>
      </c>
      <c r="L1871" s="3">
        <f>IF($B1871="aei",0,IF($B1871="inc",ElIncMan,ElPrcMan))</f>
        <v>0.0</v>
      </c>
      <c r="M1871" s="3">
        <f>IF($L1871=1,IF($B1871="inc",MAX($K1871,0),MIN($K1871,0)),$H1871)</f>
        <v>-0.4</v>
      </c>
    </row>
    <row r="1872">
      <c r="A1872" s="3" t="inlineStr">
        <is>
          <t>eff|die|tra</t>
        </is>
      </c>
      <c r="B1872" s="3" t="inlineStr">
        <is>
          <t>eff</t>
        </is>
      </c>
      <c r="C1872" s="3" t="inlineStr">
        <is>
          <t>die</t>
        </is>
      </c>
      <c r="D1872" s="3" t="inlineStr">
        <is>
          <t>tra</t>
        </is>
      </c>
      <c r="E1872" s="3" t="inlineStr">
        <is>
          <t>die_owp_tot_lr</t>
        </is>
      </c>
      <c r="F1872" s="8" t="n">
        <v>214</v>
      </c>
      <c r="G1872" s="8" t="n">
        <v>0</v>
      </c>
      <c r="H1872" s="3" t="n">
        <v>-0.3</v>
      </c>
      <c r="I1872" s="8" t="n">
        <v>303</v>
      </c>
      <c r="J1872" s="8" t="n">
        <v>11</v>
      </c>
      <c r="K1872" s="3" t="n">
        <v>-0.5</v>
      </c>
      <c r="L1872" s="3">
        <f>IF($B1872="aei",0,IF($B1872="inc",ElIncMan,ElPrcMan))</f>
        <v>0.0</v>
      </c>
      <c r="M1872" s="3">
        <f>IF($L1872=1,IF($B1872="inc",MAX($K1872,0),MIN($K1872,0)),$H1872)</f>
        <v>-0.3</v>
      </c>
    </row>
    <row r="1873">
      <c r="A1873" s="3" t="inlineStr">
        <is>
          <t>eff|oil|tra</t>
        </is>
      </c>
      <c r="B1873" s="3" t="inlineStr">
        <is>
          <t>eff</t>
        </is>
      </c>
      <c r="C1873" s="3" t="inlineStr">
        <is>
          <t>oil</t>
        </is>
      </c>
      <c r="D1873" s="3" t="inlineStr">
        <is>
          <t>tra</t>
        </is>
      </c>
      <c r="E1873" s="3" t="inlineStr">
        <is>
          <t>oil_owp_tot_lr</t>
        </is>
      </c>
      <c r="F1873" s="8" t="n">
        <v>215</v>
      </c>
      <c r="G1873" s="8" t="n">
        <v>0</v>
      </c>
      <c r="H1873" s="3" t="n">
        <v>-0.4</v>
      </c>
      <c r="I1873" s="8" t="n">
        <v>304</v>
      </c>
      <c r="J1873" s="8" t="n">
        <v>11</v>
      </c>
      <c r="K1873" s="3" t="n">
        <v>-0.5</v>
      </c>
      <c r="L1873" s="3">
        <f>IF($B1873="aei",0,IF($B1873="inc",ElIncMan,ElPrcMan))</f>
        <v>0.0</v>
      </c>
      <c r="M1873" s="3">
        <f>IF($L1873=1,IF($B1873="inc",MAX($K1873,0),MIN($K1873,0)),$H1873)</f>
        <v>-0.4</v>
      </c>
    </row>
    <row r="1874">
      <c r="A1874" s="3" t="inlineStr">
        <is>
          <t>eff|bio|tra</t>
        </is>
      </c>
      <c r="B1874" s="3" t="inlineStr">
        <is>
          <t>eff</t>
        </is>
      </c>
      <c r="C1874" s="3" t="inlineStr">
        <is>
          <t>bio</t>
        </is>
      </c>
      <c r="D1874" s="3" t="inlineStr">
        <is>
          <t>tra</t>
        </is>
      </c>
      <c r="E1874" s="3" t="inlineStr">
        <is>
          <t>bio_owp_ind_lr</t>
        </is>
      </c>
      <c r="F1874" s="8" t="n">
        <v>216</v>
      </c>
      <c r="G1874" s="8" t="n">
        <v>0</v>
      </c>
      <c r="H1874" s="3" t="n">
        <v>-0.2</v>
      </c>
      <c r="I1874" s="8" t="n">
        <v>305</v>
      </c>
      <c r="J1874" s="8" t="n">
        <v>11</v>
      </c>
      <c r="K1874" s="3" t="n">
        <v>-0.5</v>
      </c>
      <c r="L1874" s="3">
        <f>IF($B1874="aei",0,IF($B1874="inc",ElIncMan,ElPrcMan))</f>
        <v>0.0</v>
      </c>
      <c r="M1874" s="3">
        <f>IF($L1874=1,IF($B1874="inc",MAX($K1874,0),MIN($K1874,0)),$H1874)</f>
        <v>-0.2</v>
      </c>
    </row>
    <row r="1875">
      <c r="A1875" s="3" t="inlineStr">
        <is>
          <t>eff|ren|tra</t>
        </is>
      </c>
      <c r="B1875" s="3" t="inlineStr">
        <is>
          <t>eff</t>
        </is>
      </c>
      <c r="C1875" s="3" t="inlineStr">
        <is>
          <t>ren</t>
        </is>
      </c>
      <c r="D1875" s="3" t="inlineStr">
        <is>
          <t>tra</t>
        </is>
      </c>
      <c r="E1875" s="3" t="inlineStr">
        <is>
          <t>rnw_owp_tot_lr</t>
        </is>
      </c>
      <c r="F1875" s="8" t="n">
        <v>217</v>
      </c>
      <c r="G1875" s="8" t="n">
        <v>0</v>
      </c>
      <c r="H1875" s="3" t="n">
        <v>-0.4</v>
      </c>
      <c r="I1875" s="8" t="n">
        <v>306</v>
      </c>
      <c r="J1875" s="8" t="n">
        <v>11</v>
      </c>
      <c r="K1875" s="3" t="n">
        <v>-0.5</v>
      </c>
      <c r="L1875" s="3">
        <f>IF($B1875="aei",0,IF($B1875="inc",ElIncMan,ElPrcMan))</f>
        <v>0.0</v>
      </c>
      <c r="M1875" s="3">
        <f>IF($L1875=1,IF($B1875="inc",MAX($K1875,0),MIN($K1875,0)),$H1875)</f>
        <v>-0.4</v>
      </c>
    </row>
    <row r="1876">
      <c r="A1876" s="3" t="inlineStr">
        <is>
          <t>eff|ecy|tra</t>
        </is>
      </c>
      <c r="B1876" s="3" t="inlineStr">
        <is>
          <t>eff</t>
        </is>
      </c>
      <c r="C1876" s="3" t="inlineStr">
        <is>
          <t>ecy</t>
        </is>
      </c>
      <c r="D1876" s="3" t="inlineStr">
        <is>
          <t>tra</t>
        </is>
      </c>
      <c r="E1876" s="3" t="inlineStr">
        <is>
          <t>ecy_owp_tot_lr</t>
        </is>
      </c>
      <c r="F1876" s="8" t="n">
        <v>218</v>
      </c>
      <c r="G1876" s="8" t="n">
        <v>0</v>
      </c>
      <c r="H1876" s="3" t="n">
        <v>-0.2</v>
      </c>
      <c r="I1876" s="8" t="n">
        <v>307</v>
      </c>
      <c r="J1876" s="8" t="n">
        <v>11</v>
      </c>
      <c r="K1876" s="3" t="n">
        <v>-0.5</v>
      </c>
      <c r="L1876" s="3">
        <f>IF($B1876="aei",0,IF($B1876="inc",ElIncMan,ElPrcMan))</f>
        <v>0.0</v>
      </c>
      <c r="M1876" s="3">
        <f>IF($L1876=1,IF($B1876="inc",MAX($K1876,0),MIN($K1876,0)),$H1876)</f>
        <v>-0.2</v>
      </c>
    </row>
    <row r="1877">
      <c r="A1877" s="3" t="inlineStr">
        <is>
          <t>eff|coa|res</t>
        </is>
      </c>
      <c r="B1877" s="3" t="inlineStr">
        <is>
          <t>eff</t>
        </is>
      </c>
      <c r="C1877" s="3" t="inlineStr">
        <is>
          <t>coa</t>
        </is>
      </c>
      <c r="D1877" s="3" t="inlineStr">
        <is>
          <t>res</t>
        </is>
      </c>
      <c r="E1877" s="3" t="inlineStr">
        <is>
          <t>coa_owp_res_lr</t>
        </is>
      </c>
      <c r="F1877" s="8" t="n">
        <v>219</v>
      </c>
      <c r="G1877" s="8" t="n">
        <v>0</v>
      </c>
      <c r="H1877" s="3" t="n">
        <v>-0.4</v>
      </c>
      <c r="I1877" s="8" t="n">
        <v>300</v>
      </c>
      <c r="J1877" s="8" t="n">
        <v>12</v>
      </c>
      <c r="K1877" s="3" t="n">
        <v>-0.5</v>
      </c>
      <c r="L1877" s="3">
        <f>IF($B1877="aei",0,IF($B1877="inc",ElIncMan,ElPrcMan))</f>
        <v>0.0</v>
      </c>
      <c r="M1877" s="3">
        <f>IF($L1877=1,IF($B1877="inc",MAX($K1877,0),MIN($K1877,0)),$H1877)</f>
        <v>-0.4</v>
      </c>
    </row>
    <row r="1878">
      <c r="A1878" s="3" t="inlineStr">
        <is>
          <t>eff|nga|res</t>
        </is>
      </c>
      <c r="B1878" s="3" t="inlineStr">
        <is>
          <t>eff</t>
        </is>
      </c>
      <c r="C1878" s="3" t="inlineStr">
        <is>
          <t>nga</t>
        </is>
      </c>
      <c r="D1878" s="3" t="inlineStr">
        <is>
          <t>res</t>
        </is>
      </c>
      <c r="E1878" s="3" t="inlineStr">
        <is>
          <t>nga_owp_res_lr</t>
        </is>
      </c>
      <c r="F1878" s="8" t="n">
        <v>220</v>
      </c>
      <c r="G1878" s="8" t="n">
        <v>0</v>
      </c>
      <c r="H1878" s="3" t="n">
        <v>-0.5</v>
      </c>
      <c r="I1878" s="8" t="n">
        <v>301</v>
      </c>
      <c r="J1878" s="8" t="n">
        <v>12</v>
      </c>
      <c r="K1878" s="3" t="n">
        <v>-0.5</v>
      </c>
      <c r="L1878" s="3">
        <f>IF($B1878="aei",0,IF($B1878="inc",ElIncMan,ElPrcMan))</f>
        <v>0.0</v>
      </c>
      <c r="M1878" s="3">
        <f>IF($L1878=1,IF($B1878="inc",MAX($K1878,0),MIN($K1878,0)),$H1878)</f>
        <v>-0.5</v>
      </c>
    </row>
    <row r="1879">
      <c r="A1879" s="3" t="inlineStr">
        <is>
          <t>eff|gso|res</t>
        </is>
      </c>
      <c r="B1879" s="3" t="inlineStr">
        <is>
          <t>eff</t>
        </is>
      </c>
      <c r="C1879" s="3" t="inlineStr">
        <is>
          <t>gso</t>
        </is>
      </c>
      <c r="D1879" s="3" t="inlineStr">
        <is>
          <t>res</t>
        </is>
      </c>
      <c r="E1879" s="3" t="inlineStr">
        <is>
          <t>gso_owp_tot_lr</t>
        </is>
      </c>
      <c r="F1879" s="8" t="n">
        <v>221</v>
      </c>
      <c r="G1879" s="8" t="n">
        <v>0</v>
      </c>
      <c r="H1879" s="3" t="n">
        <v>-0.6</v>
      </c>
      <c r="I1879" s="8" t="n">
        <v>302</v>
      </c>
      <c r="J1879" s="8" t="n">
        <v>12</v>
      </c>
      <c r="K1879" s="3" t="n">
        <v>-0.5</v>
      </c>
      <c r="L1879" s="3">
        <f>IF($B1879="aei",0,IF($B1879="inc",ElIncMan,ElPrcMan))</f>
        <v>0.0</v>
      </c>
      <c r="M1879" s="3">
        <f>IF($L1879=1,IF($B1879="inc",MAX($K1879,0),MIN($K1879,0)),$H1879)</f>
        <v>-0.6</v>
      </c>
    </row>
    <row r="1880">
      <c r="A1880" s="3" t="inlineStr">
        <is>
          <t>eff|die|res</t>
        </is>
      </c>
      <c r="B1880" s="3" t="inlineStr">
        <is>
          <t>eff</t>
        </is>
      </c>
      <c r="C1880" s="3" t="inlineStr">
        <is>
          <t>die</t>
        </is>
      </c>
      <c r="D1880" s="3" t="inlineStr">
        <is>
          <t>res</t>
        </is>
      </c>
      <c r="E1880" s="3" t="inlineStr">
        <is>
          <t>die_owp_tot_lr</t>
        </is>
      </c>
      <c r="F1880" s="8" t="n">
        <v>222</v>
      </c>
      <c r="G1880" s="8" t="n">
        <v>0</v>
      </c>
      <c r="H1880" s="3" t="n">
        <v>-0.3</v>
      </c>
      <c r="I1880" s="8" t="n">
        <v>303</v>
      </c>
      <c r="J1880" s="8" t="n">
        <v>12</v>
      </c>
      <c r="K1880" s="3" t="n">
        <v>-0.5</v>
      </c>
      <c r="L1880" s="3">
        <f>IF($B1880="aei",0,IF($B1880="inc",ElIncMan,ElPrcMan))</f>
        <v>0.0</v>
      </c>
      <c r="M1880" s="3">
        <f>IF($L1880=1,IF($B1880="inc",MAX($K1880,0),MIN($K1880,0)),$H1880)</f>
        <v>-0.3</v>
      </c>
    </row>
    <row r="1881">
      <c r="A1881" s="3" t="inlineStr">
        <is>
          <t>eff|oil|res</t>
        </is>
      </c>
      <c r="B1881" s="3" t="inlineStr">
        <is>
          <t>eff</t>
        </is>
      </c>
      <c r="C1881" s="3" t="inlineStr">
        <is>
          <t>oil</t>
        </is>
      </c>
      <c r="D1881" s="3" t="inlineStr">
        <is>
          <t>res</t>
        </is>
      </c>
      <c r="E1881" s="3" t="inlineStr">
        <is>
          <t>oil_owp_tot_lr</t>
        </is>
      </c>
      <c r="F1881" s="8" t="n">
        <v>223</v>
      </c>
      <c r="G1881" s="8" t="n">
        <v>0</v>
      </c>
      <c r="H1881" s="3" t="n">
        <v>-0.4</v>
      </c>
      <c r="I1881" s="8" t="n">
        <v>304</v>
      </c>
      <c r="J1881" s="8" t="n">
        <v>12</v>
      </c>
      <c r="K1881" s="3" t="n">
        <v>-0.5</v>
      </c>
      <c r="L1881" s="3">
        <f>IF($B1881="aei",0,IF($B1881="inc",ElIncMan,ElPrcMan))</f>
        <v>0.0</v>
      </c>
      <c r="M1881" s="3">
        <f>IF($L1881=1,IF($B1881="inc",MAX($K1881,0),MIN($K1881,0)),$H1881)</f>
        <v>-0.4</v>
      </c>
    </row>
    <row r="1882">
      <c r="A1882" s="3" t="inlineStr">
        <is>
          <t>eff|bio|res</t>
        </is>
      </c>
      <c r="B1882" s="3" t="inlineStr">
        <is>
          <t>eff</t>
        </is>
      </c>
      <c r="C1882" s="3" t="inlineStr">
        <is>
          <t>bio</t>
        </is>
      </c>
      <c r="D1882" s="3" t="inlineStr">
        <is>
          <t>res</t>
        </is>
      </c>
      <c r="E1882" s="3" t="inlineStr">
        <is>
          <t>bio_owp_ind_lr</t>
        </is>
      </c>
      <c r="F1882" s="8" t="n">
        <v>224</v>
      </c>
      <c r="G1882" s="8" t="n">
        <v>0</v>
      </c>
      <c r="H1882" s="3" t="n">
        <v>-0.2</v>
      </c>
      <c r="I1882" s="8" t="n">
        <v>305</v>
      </c>
      <c r="J1882" s="8" t="n">
        <v>12</v>
      </c>
      <c r="K1882" s="3" t="n">
        <v>-0.5</v>
      </c>
      <c r="L1882" s="3">
        <f>IF($B1882="aei",0,IF($B1882="inc",ElIncMan,ElPrcMan))</f>
        <v>0.0</v>
      </c>
      <c r="M1882" s="3">
        <f>IF($L1882=1,IF($B1882="inc",MAX($K1882,0),MIN($K1882,0)),$H1882)</f>
        <v>-0.2</v>
      </c>
    </row>
    <row r="1883">
      <c r="A1883" s="3" t="inlineStr">
        <is>
          <t>eff|ren|res</t>
        </is>
      </c>
      <c r="B1883" s="3" t="inlineStr">
        <is>
          <t>eff</t>
        </is>
      </c>
      <c r="C1883" s="3" t="inlineStr">
        <is>
          <t>ren</t>
        </is>
      </c>
      <c r="D1883" s="3" t="inlineStr">
        <is>
          <t>res</t>
        </is>
      </c>
      <c r="E1883" s="3" t="inlineStr">
        <is>
          <t>rnw_owp_tot_lr</t>
        </is>
      </c>
      <c r="F1883" s="8" t="n">
        <v>225</v>
      </c>
      <c r="G1883" s="8" t="n">
        <v>0</v>
      </c>
      <c r="H1883" s="3" t="n">
        <v>-0.4</v>
      </c>
      <c r="I1883" s="8" t="n">
        <v>306</v>
      </c>
      <c r="J1883" s="8" t="n">
        <v>12</v>
      </c>
      <c r="K1883" s="3" t="n">
        <v>-0.5</v>
      </c>
      <c r="L1883" s="3">
        <f>IF($B1883="aei",0,IF($B1883="inc",ElIncMan,ElPrcMan))</f>
        <v>0.0</v>
      </c>
      <c r="M1883" s="3">
        <f>IF($L1883=1,IF($B1883="inc",MAX($K1883,0),MIN($K1883,0)),$H1883)</f>
        <v>-0.4</v>
      </c>
    </row>
    <row r="1884">
      <c r="A1884" s="3" t="inlineStr">
        <is>
          <t>eff|ecy|res</t>
        </is>
      </c>
      <c r="B1884" s="3" t="inlineStr">
        <is>
          <t>eff</t>
        </is>
      </c>
      <c r="C1884" s="3" t="inlineStr">
        <is>
          <t>ecy</t>
        </is>
      </c>
      <c r="D1884" s="3" t="inlineStr">
        <is>
          <t>res</t>
        </is>
      </c>
      <c r="E1884" s="3" t="inlineStr">
        <is>
          <t>ecy_owp_res_lr</t>
        </is>
      </c>
      <c r="F1884" s="8" t="n">
        <v>226</v>
      </c>
      <c r="G1884" s="8" t="n">
        <v>0</v>
      </c>
      <c r="H1884" s="3" t="n">
        <v>-0.2</v>
      </c>
      <c r="I1884" s="8" t="n">
        <v>307</v>
      </c>
      <c r="J1884" s="8" t="n">
        <v>12</v>
      </c>
      <c r="K1884" s="3" t="n">
        <v>-0.5</v>
      </c>
      <c r="L1884" s="3">
        <f>IF($B1884="aei",0,IF($B1884="inc",ElIncMan,ElPrcMan))</f>
        <v>0.0</v>
      </c>
      <c r="M1884" s="3">
        <f>IF($L1884=1,IF($B1884="inc",MAX($K1884,0),MIN($K1884,0)),$H1884)</f>
        <v>-0.2</v>
      </c>
    </row>
    <row r="1885">
      <c r="A1885" s="3" t="inlineStr">
        <is>
          <t>eff|coa|ind</t>
        </is>
      </c>
      <c r="B1885" s="3" t="inlineStr">
        <is>
          <t>eff</t>
        </is>
      </c>
      <c r="C1885" s="3" t="inlineStr">
        <is>
          <t>coa</t>
        </is>
      </c>
      <c r="D1885" s="3" t="inlineStr">
        <is>
          <t>ind</t>
        </is>
      </c>
      <c r="E1885" s="3" t="inlineStr">
        <is>
          <t>coa_owp_ind_lr</t>
        </is>
      </c>
      <c r="F1885" s="8" t="n">
        <v>227</v>
      </c>
      <c r="G1885" s="8" t="n">
        <v>0</v>
      </c>
      <c r="H1885" s="3" t="n">
        <v>-0.4</v>
      </c>
      <c r="I1885" s="8" t="n">
        <v>300</v>
      </c>
      <c r="J1885" s="8" t="n">
        <v>13</v>
      </c>
      <c r="K1885" s="3" t="n">
        <v>-0.5</v>
      </c>
      <c r="L1885" s="3">
        <f>IF($B1885="aei",0,IF($B1885="inc",ElIncMan,ElPrcMan))</f>
        <v>0.0</v>
      </c>
      <c r="M1885" s="3">
        <f>IF($L1885=1,IF($B1885="inc",MAX($K1885,0),MIN($K1885,0)),$H1885)</f>
        <v>-0.4</v>
      </c>
    </row>
    <row r="1886">
      <c r="A1886" s="3" t="inlineStr">
        <is>
          <t>eff|nga|ind</t>
        </is>
      </c>
      <c r="B1886" s="3" t="inlineStr">
        <is>
          <t>eff</t>
        </is>
      </c>
      <c r="C1886" s="3" t="inlineStr">
        <is>
          <t>nga</t>
        </is>
      </c>
      <c r="D1886" s="3" t="inlineStr">
        <is>
          <t>ind</t>
        </is>
      </c>
      <c r="E1886" s="3" t="inlineStr">
        <is>
          <t>nga_owp_ind_lr</t>
        </is>
      </c>
      <c r="F1886" s="8" t="n">
        <v>228</v>
      </c>
      <c r="G1886" s="8" t="n">
        <v>0</v>
      </c>
      <c r="H1886" s="3" t="n">
        <v>-0.5</v>
      </c>
      <c r="I1886" s="8" t="n">
        <v>301</v>
      </c>
      <c r="J1886" s="8" t="n">
        <v>13</v>
      </c>
      <c r="K1886" s="3" t="n">
        <v>-0.5</v>
      </c>
      <c r="L1886" s="3">
        <f>IF($B1886="aei",0,IF($B1886="inc",ElIncMan,ElPrcMan))</f>
        <v>0.0</v>
      </c>
      <c r="M1886" s="3">
        <f>IF($L1886=1,IF($B1886="inc",MAX($K1886,0),MIN($K1886,0)),$H1886)</f>
        <v>-0.5</v>
      </c>
    </row>
    <row r="1887">
      <c r="A1887" s="3" t="inlineStr">
        <is>
          <t>eff|gso|ind</t>
        </is>
      </c>
      <c r="B1887" s="3" t="inlineStr">
        <is>
          <t>eff</t>
        </is>
      </c>
      <c r="C1887" s="3" t="inlineStr">
        <is>
          <t>gso</t>
        </is>
      </c>
      <c r="D1887" s="3" t="inlineStr">
        <is>
          <t>ind</t>
        </is>
      </c>
      <c r="E1887" s="3" t="inlineStr">
        <is>
          <t>gso_owp_tot_lr</t>
        </is>
      </c>
      <c r="F1887" s="8" t="n">
        <v>229</v>
      </c>
      <c r="G1887" s="8" t="n">
        <v>0</v>
      </c>
      <c r="H1887" s="3" t="n">
        <v>-0.7</v>
      </c>
      <c r="I1887" s="8" t="n">
        <v>302</v>
      </c>
      <c r="J1887" s="8" t="n">
        <v>13</v>
      </c>
      <c r="K1887" s="3" t="n">
        <v>-0.5</v>
      </c>
      <c r="L1887" s="3">
        <f>IF($B1887="aei",0,IF($B1887="inc",ElIncMan,ElPrcMan))</f>
        <v>0.0</v>
      </c>
      <c r="M1887" s="3">
        <f>IF($L1887=1,IF($B1887="inc",MAX($K1887,0),MIN($K1887,0)),$H1887)</f>
        <v>-0.7</v>
      </c>
    </row>
    <row r="1888">
      <c r="A1888" s="3" t="inlineStr">
        <is>
          <t>eff|die|ind</t>
        </is>
      </c>
      <c r="B1888" s="3" t="inlineStr">
        <is>
          <t>eff</t>
        </is>
      </c>
      <c r="C1888" s="3" t="inlineStr">
        <is>
          <t>die</t>
        </is>
      </c>
      <c r="D1888" s="3" t="inlineStr">
        <is>
          <t>ind</t>
        </is>
      </c>
      <c r="E1888" s="3" t="inlineStr">
        <is>
          <t>die_owp_tot_lr</t>
        </is>
      </c>
      <c r="F1888" s="8" t="n">
        <v>230</v>
      </c>
      <c r="G1888" s="8" t="n">
        <v>0</v>
      </c>
      <c r="H1888" s="3" t="n">
        <v>-1.2</v>
      </c>
      <c r="I1888" s="8" t="n">
        <v>303</v>
      </c>
      <c r="J1888" s="8" t="n">
        <v>13</v>
      </c>
      <c r="K1888" s="3" t="n">
        <v>-0.5</v>
      </c>
      <c r="L1888" s="3">
        <f>IF($B1888="aei",0,IF($B1888="inc",ElIncMan,ElPrcMan))</f>
        <v>0.0</v>
      </c>
      <c r="M1888" s="3">
        <f>IF($L1888=1,IF($B1888="inc",MAX($K1888,0),MIN($K1888,0)),$H1888)</f>
        <v>-1.2</v>
      </c>
    </row>
    <row r="1889">
      <c r="A1889" s="3" t="inlineStr">
        <is>
          <t>eff|oil|ind</t>
        </is>
      </c>
      <c r="B1889" s="3" t="inlineStr">
        <is>
          <t>eff</t>
        </is>
      </c>
      <c r="C1889" s="3" t="inlineStr">
        <is>
          <t>oil</t>
        </is>
      </c>
      <c r="D1889" s="3" t="inlineStr">
        <is>
          <t>ind</t>
        </is>
      </c>
      <c r="E1889" s="3" t="inlineStr">
        <is>
          <t>oil_owp_ind_lr</t>
        </is>
      </c>
      <c r="F1889" s="8" t="n">
        <v>231</v>
      </c>
      <c r="G1889" s="8" t="n">
        <v>0</v>
      </c>
      <c r="H1889" s="3" t="n">
        <v>-0.4</v>
      </c>
      <c r="I1889" s="8" t="n">
        <v>304</v>
      </c>
      <c r="J1889" s="8" t="n">
        <v>13</v>
      </c>
      <c r="K1889" s="3" t="n">
        <v>-0.5</v>
      </c>
      <c r="L1889" s="3">
        <f>IF($B1889="aei",0,IF($B1889="inc",ElIncMan,ElPrcMan))</f>
        <v>0.0</v>
      </c>
      <c r="M1889" s="3">
        <f>IF($L1889=1,IF($B1889="inc",MAX($K1889,0),MIN($K1889,0)),$H1889)</f>
        <v>-0.4</v>
      </c>
    </row>
    <row r="1890">
      <c r="A1890" s="3" t="inlineStr">
        <is>
          <t>eff|bio|ind</t>
        </is>
      </c>
      <c r="B1890" s="3" t="inlineStr">
        <is>
          <t>eff</t>
        </is>
      </c>
      <c r="C1890" s="3" t="inlineStr">
        <is>
          <t>bio</t>
        </is>
      </c>
      <c r="D1890" s="3" t="inlineStr">
        <is>
          <t>ind</t>
        </is>
      </c>
      <c r="E1890" s="3" t="inlineStr">
        <is>
          <t>bio_owp_ind_lr</t>
        </is>
      </c>
      <c r="F1890" s="8" t="n">
        <v>232</v>
      </c>
      <c r="G1890" s="8" t="n">
        <v>0</v>
      </c>
      <c r="H1890" s="3" t="n">
        <v>-0.2</v>
      </c>
      <c r="I1890" s="8" t="n">
        <v>305</v>
      </c>
      <c r="J1890" s="8" t="n">
        <v>13</v>
      </c>
      <c r="K1890" s="3" t="n">
        <v>-0.5</v>
      </c>
      <c r="L1890" s="3">
        <f>IF($B1890="aei",0,IF($B1890="inc",ElIncMan,ElPrcMan))</f>
        <v>0.0</v>
      </c>
      <c r="M1890" s="3">
        <f>IF($L1890=1,IF($B1890="inc",MAX($K1890,0),MIN($K1890,0)),$H1890)</f>
        <v>-0.2</v>
      </c>
    </row>
    <row r="1891">
      <c r="A1891" s="3" t="inlineStr">
        <is>
          <t>eff|ren|ind</t>
        </is>
      </c>
      <c r="B1891" s="3" t="inlineStr">
        <is>
          <t>eff</t>
        </is>
      </c>
      <c r="C1891" s="3" t="inlineStr">
        <is>
          <t>ren</t>
        </is>
      </c>
      <c r="D1891" s="3" t="inlineStr">
        <is>
          <t>ind</t>
        </is>
      </c>
      <c r="E1891" s="3" t="inlineStr">
        <is>
          <t>rnw_owp_tot_lr</t>
        </is>
      </c>
      <c r="F1891" s="8" t="n">
        <v>233</v>
      </c>
      <c r="G1891" s="8" t="n">
        <v>0</v>
      </c>
      <c r="H1891" s="3" t="n">
        <v>-0.4</v>
      </c>
      <c r="I1891" s="8" t="n">
        <v>306</v>
      </c>
      <c r="J1891" s="8" t="n">
        <v>13</v>
      </c>
      <c r="K1891" s="3" t="n">
        <v>-0.5</v>
      </c>
      <c r="L1891" s="3">
        <f>IF($B1891="aei",0,IF($B1891="inc",ElIncMan,ElPrcMan))</f>
        <v>0.0</v>
      </c>
      <c r="M1891" s="3">
        <f>IF($L1891=1,IF($B1891="inc",MAX($K1891,0),MIN($K1891,0)),$H1891)</f>
        <v>-0.4</v>
      </c>
    </row>
    <row r="1892">
      <c r="A1892" s="3" t="inlineStr">
        <is>
          <t>eff|ecy|ind</t>
        </is>
      </c>
      <c r="B1892" s="3" t="inlineStr">
        <is>
          <t>eff</t>
        </is>
      </c>
      <c r="C1892" s="3" t="inlineStr">
        <is>
          <t>ecy</t>
        </is>
      </c>
      <c r="D1892" s="3" t="inlineStr">
        <is>
          <t>ind</t>
        </is>
      </c>
      <c r="E1892" s="3" t="inlineStr">
        <is>
          <t>ecy_owp_ind_lr</t>
        </is>
      </c>
      <c r="F1892" s="8" t="n">
        <v>234</v>
      </c>
      <c r="G1892" s="8" t="n">
        <v>0</v>
      </c>
      <c r="H1892" s="3" t="n">
        <v>-0.2</v>
      </c>
      <c r="I1892" s="8" t="n">
        <v>307</v>
      </c>
      <c r="J1892" s="8" t="n">
        <v>13</v>
      </c>
      <c r="K1892" s="3" t="n">
        <v>-0.5</v>
      </c>
      <c r="L1892" s="3">
        <f>IF($B1892="aei",0,IF($B1892="inc",ElIncMan,ElPrcMan))</f>
        <v>0.0</v>
      </c>
      <c r="M1892" s="3">
        <f>IF($L1892=1,IF($B1892="inc",MAX($K1892,0),MIN($K1892,0)),$H1892)</f>
        <v>-0.2</v>
      </c>
    </row>
    <row r="1893">
      <c r="A1893" s="3" t="inlineStr">
        <is>
          <t>eff|coa|srv</t>
        </is>
      </c>
      <c r="B1893" s="3" t="inlineStr">
        <is>
          <t>eff</t>
        </is>
      </c>
      <c r="C1893" s="3" t="inlineStr">
        <is>
          <t>coa</t>
        </is>
      </c>
      <c r="D1893" s="3" t="inlineStr">
        <is>
          <t>srv</t>
        </is>
      </c>
      <c r="E1893" s="3" t="inlineStr">
        <is>
          <t>coa_owp_ind_lr</t>
        </is>
      </c>
      <c r="F1893" s="8" t="n">
        <v>235</v>
      </c>
      <c r="G1893" s="8" t="n">
        <v>0</v>
      </c>
      <c r="H1893" s="3" t="n">
        <v>-0.6</v>
      </c>
      <c r="I1893" s="8" t="n">
        <v>300</v>
      </c>
      <c r="J1893" s="8" t="n">
        <v>14</v>
      </c>
      <c r="K1893" s="3" t="n">
        <v>-0.5</v>
      </c>
      <c r="L1893" s="3">
        <f>IF($B1893="aei",0,IF($B1893="inc",ElIncMan,ElPrcMan))</f>
        <v>0.0</v>
      </c>
      <c r="M1893" s="3">
        <f>IF($L1893=1,IF($B1893="inc",MAX($K1893,0),MIN($K1893,0)),$H1893)</f>
        <v>-0.6</v>
      </c>
    </row>
    <row r="1894">
      <c r="A1894" s="3" t="inlineStr">
        <is>
          <t>eff|nga|srv</t>
        </is>
      </c>
      <c r="B1894" s="3" t="inlineStr">
        <is>
          <t>eff</t>
        </is>
      </c>
      <c r="C1894" s="3" t="inlineStr">
        <is>
          <t>nga</t>
        </is>
      </c>
      <c r="D1894" s="3" t="inlineStr">
        <is>
          <t>srv</t>
        </is>
      </c>
      <c r="E1894" s="3" t="inlineStr">
        <is>
          <t>nga_owp_ind_lr</t>
        </is>
      </c>
      <c r="F1894" s="8" t="n">
        <v>236</v>
      </c>
      <c r="G1894" s="8" t="n">
        <v>0</v>
      </c>
      <c r="H1894" s="3" t="n">
        <v>-1</v>
      </c>
      <c r="I1894" s="8" t="n">
        <v>301</v>
      </c>
      <c r="J1894" s="8" t="n">
        <v>14</v>
      </c>
      <c r="K1894" s="3" t="n">
        <v>-0.5</v>
      </c>
      <c r="L1894" s="3">
        <f>IF($B1894="aei",0,IF($B1894="inc",ElIncMan,ElPrcMan))</f>
        <v>0.0</v>
      </c>
      <c r="M1894" s="3">
        <f>IF($L1894=1,IF($B1894="inc",MAX($K1894,0),MIN($K1894,0)),$H1894)</f>
        <v>-1.0</v>
      </c>
    </row>
    <row r="1895">
      <c r="A1895" s="3" t="inlineStr">
        <is>
          <t>eff|gso|srv</t>
        </is>
      </c>
      <c r="B1895" s="3" t="inlineStr">
        <is>
          <t>eff</t>
        </is>
      </c>
      <c r="C1895" s="3" t="inlineStr">
        <is>
          <t>gso</t>
        </is>
      </c>
      <c r="D1895" s="3" t="inlineStr">
        <is>
          <t>srv</t>
        </is>
      </c>
      <c r="E1895" s="3" t="inlineStr">
        <is>
          <t>gso_owp_tot_lr</t>
        </is>
      </c>
      <c r="F1895" s="8" t="n">
        <v>237</v>
      </c>
      <c r="G1895" s="8" t="n">
        <v>0</v>
      </c>
      <c r="H1895" s="3" t="n">
        <v>-1.1</v>
      </c>
      <c r="I1895" s="8" t="n">
        <v>302</v>
      </c>
      <c r="J1895" s="8" t="n">
        <v>14</v>
      </c>
      <c r="K1895" s="3" t="n">
        <v>-0.5</v>
      </c>
      <c r="L1895" s="3">
        <f>IF($B1895="aei",0,IF($B1895="inc",ElIncMan,ElPrcMan))</f>
        <v>0.0</v>
      </c>
      <c r="M1895" s="3">
        <f>IF($L1895=1,IF($B1895="inc",MAX($K1895,0),MIN($K1895,0)),$H1895)</f>
        <v>-1.1</v>
      </c>
    </row>
    <row r="1896">
      <c r="A1896" s="3" t="inlineStr">
        <is>
          <t>eff|die|srv</t>
        </is>
      </c>
      <c r="B1896" s="3" t="inlineStr">
        <is>
          <t>eff</t>
        </is>
      </c>
      <c r="C1896" s="3" t="inlineStr">
        <is>
          <t>die</t>
        </is>
      </c>
      <c r="D1896" s="3" t="inlineStr">
        <is>
          <t>srv</t>
        </is>
      </c>
      <c r="E1896" s="3" t="inlineStr">
        <is>
          <t>die_owp_tot_lr</t>
        </is>
      </c>
      <c r="F1896" s="8" t="n">
        <v>238</v>
      </c>
      <c r="G1896" s="8" t="n">
        <v>0</v>
      </c>
      <c r="H1896" s="3" t="n">
        <v>-0.4</v>
      </c>
      <c r="I1896" s="8" t="n">
        <v>303</v>
      </c>
      <c r="J1896" s="8" t="n">
        <v>14</v>
      </c>
      <c r="K1896" s="3" t="n">
        <v>-0.5</v>
      </c>
      <c r="L1896" s="3">
        <f>IF($B1896="aei",0,IF($B1896="inc",ElIncMan,ElPrcMan))</f>
        <v>0.0</v>
      </c>
      <c r="M1896" s="3">
        <f>IF($L1896=1,IF($B1896="inc",MAX($K1896,0),MIN($K1896,0)),$H1896)</f>
        <v>-0.4</v>
      </c>
    </row>
    <row r="1897">
      <c r="A1897" s="3" t="inlineStr">
        <is>
          <t>eff|oil|srv</t>
        </is>
      </c>
      <c r="B1897" s="3" t="inlineStr">
        <is>
          <t>eff</t>
        </is>
      </c>
      <c r="C1897" s="3" t="inlineStr">
        <is>
          <t>oil</t>
        </is>
      </c>
      <c r="D1897" s="3" t="inlineStr">
        <is>
          <t>srv</t>
        </is>
      </c>
      <c r="E1897" s="3" t="inlineStr">
        <is>
          <t>oil_owp_ind_lr</t>
        </is>
      </c>
      <c r="F1897" s="8" t="n">
        <v>239</v>
      </c>
      <c r="G1897" s="8" t="n">
        <v>0</v>
      </c>
      <c r="H1897" s="3" t="n">
        <v>-0.6</v>
      </c>
      <c r="I1897" s="8" t="n">
        <v>304</v>
      </c>
      <c r="J1897" s="8" t="n">
        <v>14</v>
      </c>
      <c r="K1897" s="3" t="n">
        <v>-0.5</v>
      </c>
      <c r="L1897" s="3">
        <f>IF($B1897="aei",0,IF($B1897="inc",ElIncMan,ElPrcMan))</f>
        <v>0.0</v>
      </c>
      <c r="M1897" s="3">
        <f>IF($L1897=1,IF($B1897="inc",MAX($K1897,0),MIN($K1897,0)),$H1897)</f>
        <v>-0.6</v>
      </c>
    </row>
    <row r="1898">
      <c r="A1898" s="3" t="inlineStr">
        <is>
          <t>eff|bio|srv</t>
        </is>
      </c>
      <c r="B1898" s="3" t="inlineStr">
        <is>
          <t>eff</t>
        </is>
      </c>
      <c r="C1898" s="3" t="inlineStr">
        <is>
          <t>bio</t>
        </is>
      </c>
      <c r="D1898" s="3" t="inlineStr">
        <is>
          <t>srv</t>
        </is>
      </c>
      <c r="E1898" s="3" t="inlineStr">
        <is>
          <t>bio_owp_ind_lr</t>
        </is>
      </c>
      <c r="F1898" s="8" t="n">
        <v>240</v>
      </c>
      <c r="G1898" s="8" t="n">
        <v>0</v>
      </c>
      <c r="H1898" s="3" t="n">
        <v>-0.3</v>
      </c>
      <c r="I1898" s="8" t="n">
        <v>305</v>
      </c>
      <c r="J1898" s="8" t="n">
        <v>14</v>
      </c>
      <c r="K1898" s="3" t="n">
        <v>-0.5</v>
      </c>
      <c r="L1898" s="3">
        <f>IF($B1898="aei",0,IF($B1898="inc",ElIncMan,ElPrcMan))</f>
        <v>0.0</v>
      </c>
      <c r="M1898" s="3">
        <f>IF($L1898=1,IF($B1898="inc",MAX($K1898,0),MIN($K1898,0)),$H1898)</f>
        <v>-0.3</v>
      </c>
    </row>
    <row r="1899">
      <c r="A1899" s="3" t="inlineStr">
        <is>
          <t>eff|ren|srv</t>
        </is>
      </c>
      <c r="B1899" s="3" t="inlineStr">
        <is>
          <t>eff</t>
        </is>
      </c>
      <c r="C1899" s="3" t="inlineStr">
        <is>
          <t>ren</t>
        </is>
      </c>
      <c r="D1899" s="3" t="inlineStr">
        <is>
          <t>srv</t>
        </is>
      </c>
      <c r="E1899" s="3" t="inlineStr">
        <is>
          <t>rnw_owp_tot_lr</t>
        </is>
      </c>
      <c r="F1899" s="8" t="n">
        <v>241</v>
      </c>
      <c r="G1899" s="8" t="n">
        <v>0</v>
      </c>
      <c r="H1899" s="3" t="n">
        <v>-0.6</v>
      </c>
      <c r="I1899" s="8" t="n">
        <v>306</v>
      </c>
      <c r="J1899" s="8" t="n">
        <v>14</v>
      </c>
      <c r="K1899" s="3" t="n">
        <v>-0.5</v>
      </c>
      <c r="L1899" s="3">
        <f>IF($B1899="aei",0,IF($B1899="inc",ElIncMan,ElPrcMan))</f>
        <v>0.0</v>
      </c>
      <c r="M1899" s="3">
        <f>IF($L1899=1,IF($B1899="inc",MAX($K1899,0),MIN($K1899,0)),$H1899)</f>
        <v>-0.6</v>
      </c>
    </row>
    <row r="1900">
      <c r="A1900" s="3" t="inlineStr">
        <is>
          <t>eff|ecy|srv</t>
        </is>
      </c>
      <c r="B1900" s="3" t="inlineStr">
        <is>
          <t>eff</t>
        </is>
      </c>
      <c r="C1900" s="3" t="inlineStr">
        <is>
          <t>ecy</t>
        </is>
      </c>
      <c r="D1900" s="3" t="inlineStr">
        <is>
          <t>srv</t>
        </is>
      </c>
      <c r="E1900" s="3" t="inlineStr">
        <is>
          <t>ecy_owp_ind_lr</t>
        </is>
      </c>
      <c r="F1900" s="8" t="n">
        <v>242</v>
      </c>
      <c r="G1900" s="8" t="n">
        <v>0</v>
      </c>
      <c r="H1900" s="3" t="n">
        <v>-0.4</v>
      </c>
      <c r="I1900" s="8" t="n">
        <v>307</v>
      </c>
      <c r="J1900" s="8" t="n">
        <v>14</v>
      </c>
      <c r="K1900" s="3" t="n">
        <v>-0.5</v>
      </c>
      <c r="L1900" s="3">
        <f>IF($B1900="aei",0,IF($B1900="inc",ElIncMan,ElPrcMan))</f>
        <v>0.0</v>
      </c>
      <c r="M1900" s="3">
        <f>IF($L1900=1,IF($B1900="inc",MAX($K1900,0),MIN($K1900,0)),$H1900)</f>
        <v>-0.4</v>
      </c>
    </row>
    <row r="1901">
      <c r="A1901" s="3" t="inlineStr">
        <is>
          <t>aei|coa|tra</t>
        </is>
      </c>
      <c r="B1901" s="3" t="inlineStr">
        <is>
          <t>aei</t>
        </is>
      </c>
      <c r="C1901" s="3" t="inlineStr">
        <is>
          <t>coa</t>
        </is>
      </c>
      <c r="D1901" s="3" t="inlineStr">
        <is>
          <t>tra</t>
        </is>
      </c>
      <c r="E1901" s="3" t="inlineStr">
        <is>
          <t>eff_imp_coa_rod</t>
        </is>
      </c>
      <c r="F1901" s="8" t="n">
        <v>256</v>
      </c>
      <c r="G1901" s="8" t="n">
        <v>1</v>
      </c>
      <c r="H1901" s="3" t="n">
        <v>0.01</v>
      </c>
      <c r="I1901" s="8" t="inlineStr"/>
      <c r="J1901" s="8" t="n">
        <v>11</v>
      </c>
      <c r="K1901" s="3" t="n"/>
      <c r="L1901" s="3">
        <f>IF($B1901="aei",0,IF($B1901="inc",ElIncMan,ElPrcMan))</f>
        <v>0.0</v>
      </c>
      <c r="M1901" s="3">
        <f>IF($L1901=1,IF($B1901="inc",MAX($K1901,0),MIN($K1901,0)),$H1901)</f>
        <v>0.01</v>
      </c>
    </row>
    <row r="1902">
      <c r="A1902" s="3" t="inlineStr">
        <is>
          <t>aei|nga|tra</t>
        </is>
      </c>
      <c r="B1902" s="3" t="inlineStr">
        <is>
          <t>aei</t>
        </is>
      </c>
      <c r="C1902" s="3" t="inlineStr">
        <is>
          <t>nga</t>
        </is>
      </c>
      <c r="D1902" s="3" t="inlineStr">
        <is>
          <t>tra</t>
        </is>
      </c>
      <c r="E1902" s="3" t="inlineStr">
        <is>
          <t>eff_imp_nga_rod</t>
        </is>
      </c>
      <c r="F1902" s="8" t="n">
        <v>257</v>
      </c>
      <c r="G1902" s="8" t="n">
        <v>1</v>
      </c>
      <c r="H1902" s="3" t="n">
        <v>0.01</v>
      </c>
      <c r="I1902" s="8" t="inlineStr"/>
      <c r="J1902" s="8" t="n">
        <v>11</v>
      </c>
      <c r="K1902" s="3" t="n"/>
      <c r="L1902" s="3">
        <f>IF($B1902="aei",0,IF($B1902="inc",ElIncMan,ElPrcMan))</f>
        <v>0.0</v>
      </c>
      <c r="M1902" s="3">
        <f>IF($L1902=1,IF($B1902="inc",MAX($K1902,0),MIN($K1902,0)),$H1902)</f>
        <v>0.01</v>
      </c>
    </row>
    <row r="1903">
      <c r="A1903" s="3" t="inlineStr">
        <is>
          <t>aei|oil|tra</t>
        </is>
      </c>
      <c r="B1903" s="3" t="inlineStr">
        <is>
          <t>aei</t>
        </is>
      </c>
      <c r="C1903" s="3" t="inlineStr">
        <is>
          <t>oil</t>
        </is>
      </c>
      <c r="D1903" s="3" t="inlineStr">
        <is>
          <t>tra</t>
        </is>
      </c>
      <c r="E1903" s="3" t="inlineStr">
        <is>
          <t>eff_imp_oil_rod</t>
        </is>
      </c>
      <c r="F1903" s="8" t="n">
        <v>258</v>
      </c>
      <c r="G1903" s="8" t="n">
        <v>1</v>
      </c>
      <c r="H1903" s="3" t="n">
        <v>0.01</v>
      </c>
      <c r="I1903" s="8" t="inlineStr"/>
      <c r="J1903" s="8" t="n">
        <v>11</v>
      </c>
      <c r="K1903" s="3" t="n"/>
      <c r="L1903" s="3">
        <f>IF($B1903="aei",0,IF($B1903="inc",ElIncMan,ElPrcMan))</f>
        <v>0.0</v>
      </c>
      <c r="M1903" s="3">
        <f>IF($L1903=1,IF($B1903="inc",MAX($K1903,0),MIN($K1903,0)),$H1903)</f>
        <v>0.01</v>
      </c>
    </row>
    <row r="1904">
      <c r="A1904" s="3" t="inlineStr">
        <is>
          <t>aei|bio|tra</t>
        </is>
      </c>
      <c r="B1904" s="3" t="inlineStr">
        <is>
          <t>aei</t>
        </is>
      </c>
      <c r="C1904" s="3" t="inlineStr">
        <is>
          <t>bio</t>
        </is>
      </c>
      <c r="D1904" s="3" t="inlineStr">
        <is>
          <t>tra</t>
        </is>
      </c>
      <c r="E1904" s="3" t="inlineStr">
        <is>
          <t>eff_imp_bio_rod</t>
        </is>
      </c>
      <c r="F1904" s="8" t="n">
        <v>259</v>
      </c>
      <c r="G1904" s="8" t="n">
        <v>1</v>
      </c>
      <c r="H1904" s="3" t="n">
        <v>0.01</v>
      </c>
      <c r="I1904" s="8" t="inlineStr"/>
      <c r="J1904" s="8" t="n">
        <v>11</v>
      </c>
      <c r="K1904" s="3" t="n"/>
      <c r="L1904" s="3">
        <f>IF($B1904="aei",0,IF($B1904="inc",ElIncMan,ElPrcMan))</f>
        <v>0.0</v>
      </c>
      <c r="M1904" s="3">
        <f>IF($L1904=1,IF($B1904="inc",MAX($K1904,0),MIN($K1904,0)),$H1904)</f>
        <v>0.01</v>
      </c>
    </row>
    <row r="1905">
      <c r="A1905" s="3" t="inlineStr">
        <is>
          <t>aei|ren|tra</t>
        </is>
      </c>
      <c r="B1905" s="3" t="inlineStr">
        <is>
          <t>aei</t>
        </is>
      </c>
      <c r="C1905" s="3" t="inlineStr">
        <is>
          <t>ren</t>
        </is>
      </c>
      <c r="D1905" s="3" t="inlineStr">
        <is>
          <t>tra</t>
        </is>
      </c>
      <c r="E1905" s="3" t="inlineStr">
        <is>
          <t>eff_imp_ren_rod</t>
        </is>
      </c>
      <c r="F1905" s="8" t="n">
        <v>260</v>
      </c>
      <c r="G1905" s="8" t="n">
        <v>1</v>
      </c>
      <c r="H1905" s="3" t="n">
        <v>0.01</v>
      </c>
      <c r="I1905" s="8" t="inlineStr"/>
      <c r="J1905" s="8" t="n">
        <v>11</v>
      </c>
      <c r="K1905" s="3" t="n"/>
      <c r="L1905" s="3">
        <f>IF($B1905="aei",0,IF($B1905="inc",ElIncMan,ElPrcMan))</f>
        <v>0.0</v>
      </c>
      <c r="M1905" s="3">
        <f>IF($L1905=1,IF($B1905="inc",MAX($K1905,0),MIN($K1905,0)),$H1905)</f>
        <v>0.01</v>
      </c>
    </row>
    <row r="1906">
      <c r="A1906" s="3" t="inlineStr">
        <is>
          <t>aei|ecy|tra</t>
        </is>
      </c>
      <c r="B1906" s="3" t="inlineStr">
        <is>
          <t>aei</t>
        </is>
      </c>
      <c r="C1906" s="3" t="inlineStr">
        <is>
          <t>ecy</t>
        </is>
      </c>
      <c r="D1906" s="3" t="inlineStr">
        <is>
          <t>tra</t>
        </is>
      </c>
      <c r="E1906" s="3" t="inlineStr">
        <is>
          <t>eff_imp_ecy_rod</t>
        </is>
      </c>
      <c r="F1906" s="8" t="n">
        <v>261</v>
      </c>
      <c r="G1906" s="8" t="n">
        <v>1</v>
      </c>
      <c r="H1906" s="3" t="n">
        <v>0.01</v>
      </c>
      <c r="I1906" s="8" t="inlineStr"/>
      <c r="J1906" s="8" t="n">
        <v>11</v>
      </c>
      <c r="K1906" s="3" t="n"/>
      <c r="L1906" s="3">
        <f>IF($B1906="aei",0,IF($B1906="inc",ElIncMan,ElPrcMan))</f>
        <v>0.0</v>
      </c>
      <c r="M1906" s="3">
        <f>IF($L1906=1,IF($B1906="inc",MAX($K1906,0),MIN($K1906,0)),$H1906)</f>
        <v>0.01</v>
      </c>
    </row>
    <row r="1907">
      <c r="A1907" s="3" t="inlineStr">
        <is>
          <t>aei|coa|res</t>
        </is>
      </c>
      <c r="B1907" s="3" t="inlineStr">
        <is>
          <t>aei</t>
        </is>
      </c>
      <c r="C1907" s="3" t="inlineStr">
        <is>
          <t>coa</t>
        </is>
      </c>
      <c r="D1907" s="3" t="inlineStr">
        <is>
          <t>res</t>
        </is>
      </c>
      <c r="E1907" s="3" t="inlineStr">
        <is>
          <t>eff_imp_coa</t>
        </is>
      </c>
      <c r="F1907" s="8" t="n">
        <v>263</v>
      </c>
      <c r="G1907" s="8" t="n">
        <v>1</v>
      </c>
      <c r="H1907" s="3" t="n">
        <v>0.005</v>
      </c>
      <c r="I1907" s="8" t="inlineStr"/>
      <c r="J1907" s="8" t="n">
        <v>12</v>
      </c>
      <c r="K1907" s="3" t="n"/>
      <c r="L1907" s="3">
        <f>IF($B1907="aei",0,IF($B1907="inc",ElIncMan,ElPrcMan))</f>
        <v>0.0</v>
      </c>
      <c r="M1907" s="3">
        <f>IF($L1907=1,IF($B1907="inc",MAX($K1907,0),MIN($K1907,0)),$H1907)</f>
        <v>0.005</v>
      </c>
    </row>
    <row r="1908">
      <c r="A1908" s="3" t="inlineStr">
        <is>
          <t>aei|nga|res</t>
        </is>
      </c>
      <c r="B1908" s="3" t="inlineStr">
        <is>
          <t>aei</t>
        </is>
      </c>
      <c r="C1908" s="3" t="inlineStr">
        <is>
          <t>nga</t>
        </is>
      </c>
      <c r="D1908" s="3" t="inlineStr">
        <is>
          <t>res</t>
        </is>
      </c>
      <c r="E1908" s="3" t="inlineStr">
        <is>
          <t>eff_imp_nga</t>
        </is>
      </c>
      <c r="F1908" s="8" t="n">
        <v>264</v>
      </c>
      <c r="G1908" s="8" t="n">
        <v>1</v>
      </c>
      <c r="H1908" s="3" t="n">
        <v>0.01</v>
      </c>
      <c r="I1908" s="8" t="inlineStr"/>
      <c r="J1908" s="8" t="n">
        <v>12</v>
      </c>
      <c r="K1908" s="3" t="n"/>
      <c r="L1908" s="3">
        <f>IF($B1908="aei",0,IF($B1908="inc",ElIncMan,ElPrcMan))</f>
        <v>0.0</v>
      </c>
      <c r="M1908" s="3">
        <f>IF($L1908=1,IF($B1908="inc",MAX($K1908,0),MIN($K1908,0)),$H1908)</f>
        <v>0.01</v>
      </c>
    </row>
    <row r="1909">
      <c r="A1909" s="3" t="inlineStr">
        <is>
          <t>aei|oil|res</t>
        </is>
      </c>
      <c r="B1909" s="3" t="inlineStr">
        <is>
          <t>aei</t>
        </is>
      </c>
      <c r="C1909" s="3" t="inlineStr">
        <is>
          <t>oil</t>
        </is>
      </c>
      <c r="D1909" s="3" t="inlineStr">
        <is>
          <t>res</t>
        </is>
      </c>
      <c r="E1909" s="3" t="inlineStr">
        <is>
          <t>eff_imp_oil</t>
        </is>
      </c>
      <c r="F1909" s="8" t="n">
        <v>265</v>
      </c>
      <c r="G1909" s="8" t="n">
        <v>1</v>
      </c>
      <c r="H1909" s="3" t="n">
        <v>0.005</v>
      </c>
      <c r="I1909" s="8" t="inlineStr"/>
      <c r="J1909" s="8" t="n">
        <v>12</v>
      </c>
      <c r="K1909" s="3" t="n"/>
      <c r="L1909" s="3">
        <f>IF($B1909="aei",0,IF($B1909="inc",ElIncMan,ElPrcMan))</f>
        <v>0.0</v>
      </c>
      <c r="M1909" s="3">
        <f>IF($L1909=1,IF($B1909="inc",MAX($K1909,0),MIN($K1909,0)),$H1909)</f>
        <v>0.005</v>
      </c>
    </row>
    <row r="1910">
      <c r="A1910" s="3" t="inlineStr">
        <is>
          <t>aei|bio|res</t>
        </is>
      </c>
      <c r="B1910" s="3" t="inlineStr">
        <is>
          <t>aei</t>
        </is>
      </c>
      <c r="C1910" s="3" t="inlineStr">
        <is>
          <t>bio</t>
        </is>
      </c>
      <c r="D1910" s="3" t="inlineStr">
        <is>
          <t>res</t>
        </is>
      </c>
      <c r="E1910" s="3" t="inlineStr">
        <is>
          <t>eff_imp_bio</t>
        </is>
      </c>
      <c r="F1910" s="8" t="n">
        <v>266</v>
      </c>
      <c r="G1910" s="8" t="n">
        <v>1</v>
      </c>
      <c r="H1910" s="3" t="n">
        <v>0.005</v>
      </c>
      <c r="I1910" s="8" t="inlineStr"/>
      <c r="J1910" s="8" t="n">
        <v>12</v>
      </c>
      <c r="K1910" s="3" t="n"/>
      <c r="L1910" s="3">
        <f>IF($B1910="aei",0,IF($B1910="inc",ElIncMan,ElPrcMan))</f>
        <v>0.0</v>
      </c>
      <c r="M1910" s="3">
        <f>IF($L1910=1,IF($B1910="inc",MAX($K1910,0),MIN($K1910,0)),$H1910)</f>
        <v>0.005</v>
      </c>
    </row>
    <row r="1911">
      <c r="A1911" s="3" t="inlineStr">
        <is>
          <t>aei|ren|res</t>
        </is>
      </c>
      <c r="B1911" s="3" t="inlineStr">
        <is>
          <t>aei</t>
        </is>
      </c>
      <c r="C1911" s="3" t="inlineStr">
        <is>
          <t>ren</t>
        </is>
      </c>
      <c r="D1911" s="3" t="inlineStr">
        <is>
          <t>res</t>
        </is>
      </c>
      <c r="E1911" s="3" t="inlineStr">
        <is>
          <t>eff_imp_ren</t>
        </is>
      </c>
      <c r="F1911" s="8" t="n">
        <v>267</v>
      </c>
      <c r="G1911" s="8" t="n">
        <v>1</v>
      </c>
      <c r="H1911" s="3" t="n">
        <v>0.005</v>
      </c>
      <c r="I1911" s="8" t="inlineStr"/>
      <c r="J1911" s="8" t="n">
        <v>12</v>
      </c>
      <c r="K1911" s="3" t="n"/>
      <c r="L1911" s="3">
        <f>IF($B1911="aei",0,IF($B1911="inc",ElIncMan,ElPrcMan))</f>
        <v>0.0</v>
      </c>
      <c r="M1911" s="3">
        <f>IF($L1911=1,IF($B1911="inc",MAX($K1911,0),MIN($K1911,0)),$H1911)</f>
        <v>0.005</v>
      </c>
    </row>
    <row r="1912">
      <c r="A1912" s="3" t="inlineStr">
        <is>
          <t>aei|ecy|res</t>
        </is>
      </c>
      <c r="B1912" s="3" t="inlineStr">
        <is>
          <t>aei</t>
        </is>
      </c>
      <c r="C1912" s="3" t="inlineStr">
        <is>
          <t>ecy</t>
        </is>
      </c>
      <c r="D1912" s="3" t="inlineStr">
        <is>
          <t>res</t>
        </is>
      </c>
      <c r="E1912" s="3" t="inlineStr">
        <is>
          <t>eff_imp_ecy</t>
        </is>
      </c>
      <c r="F1912" s="8" t="n">
        <v>268</v>
      </c>
      <c r="G1912" s="8" t="n">
        <v>1</v>
      </c>
      <c r="H1912" s="3" t="n">
        <v>0.005</v>
      </c>
      <c r="I1912" s="8" t="inlineStr"/>
      <c r="J1912" s="8" t="n">
        <v>12</v>
      </c>
      <c r="K1912" s="3" t="n"/>
      <c r="L1912" s="3">
        <f>IF($B1912="aei",0,IF($B1912="inc",ElIncMan,ElPrcMan))</f>
        <v>0.0</v>
      </c>
      <c r="M1912" s="3">
        <f>IF($L1912=1,IF($B1912="inc",MAX($K1912,0),MIN($K1912,0)),$H1912)</f>
        <v>0.005</v>
      </c>
    </row>
    <row r="1913">
      <c r="A1913" s="3" t="inlineStr">
        <is>
          <t>aei|coa|ind</t>
        </is>
      </c>
      <c r="B1913" s="3" t="inlineStr">
        <is>
          <t>aei</t>
        </is>
      </c>
      <c r="C1913" s="3" t="inlineStr">
        <is>
          <t>coa</t>
        </is>
      </c>
      <c r="D1913" s="3" t="inlineStr">
        <is>
          <t>ind</t>
        </is>
      </c>
      <c r="E1913" s="3" t="inlineStr">
        <is>
          <t>eff_imp_coa</t>
        </is>
      </c>
      <c r="F1913" s="8" t="n">
        <v>270</v>
      </c>
      <c r="G1913" s="8" t="n">
        <v>1</v>
      </c>
      <c r="H1913" s="3" t="n">
        <v>0.005</v>
      </c>
      <c r="I1913" s="8" t="inlineStr"/>
      <c r="J1913" s="8" t="n">
        <v>13</v>
      </c>
      <c r="K1913" s="3" t="n"/>
      <c r="L1913" s="3">
        <f>IF($B1913="aei",0,IF($B1913="inc",ElIncMan,ElPrcMan))</f>
        <v>0.0</v>
      </c>
      <c r="M1913" s="3">
        <f>IF($L1913=1,IF($B1913="inc",MAX($K1913,0),MIN($K1913,0)),$H1913)</f>
        <v>0.005</v>
      </c>
    </row>
    <row r="1914">
      <c r="A1914" s="3" t="inlineStr">
        <is>
          <t>aei|nga|ind</t>
        </is>
      </c>
      <c r="B1914" s="3" t="inlineStr">
        <is>
          <t>aei</t>
        </is>
      </c>
      <c r="C1914" s="3" t="inlineStr">
        <is>
          <t>nga</t>
        </is>
      </c>
      <c r="D1914" s="3" t="inlineStr">
        <is>
          <t>ind</t>
        </is>
      </c>
      <c r="E1914" s="3" t="inlineStr">
        <is>
          <t>eff_imp_nga</t>
        </is>
      </c>
      <c r="F1914" s="8" t="n">
        <v>271</v>
      </c>
      <c r="G1914" s="8" t="n">
        <v>1</v>
      </c>
      <c r="H1914" s="3" t="n">
        <v>0.01</v>
      </c>
      <c r="I1914" s="8" t="inlineStr"/>
      <c r="J1914" s="8" t="n">
        <v>13</v>
      </c>
      <c r="K1914" s="3" t="n"/>
      <c r="L1914" s="3">
        <f>IF($B1914="aei",0,IF($B1914="inc",ElIncMan,ElPrcMan))</f>
        <v>0.0</v>
      </c>
      <c r="M1914" s="3">
        <f>IF($L1914=1,IF($B1914="inc",MAX($K1914,0),MIN($K1914,0)),$H1914)</f>
        <v>0.01</v>
      </c>
    </row>
    <row r="1915">
      <c r="A1915" s="3" t="inlineStr">
        <is>
          <t>aei|oil|ind</t>
        </is>
      </c>
      <c r="B1915" s="3" t="inlineStr">
        <is>
          <t>aei</t>
        </is>
      </c>
      <c r="C1915" s="3" t="inlineStr">
        <is>
          <t>oil</t>
        </is>
      </c>
      <c r="D1915" s="3" t="inlineStr">
        <is>
          <t>ind</t>
        </is>
      </c>
      <c r="E1915" s="3" t="inlineStr">
        <is>
          <t>eff_imp_oil</t>
        </is>
      </c>
      <c r="F1915" s="8" t="n">
        <v>272</v>
      </c>
      <c r="G1915" s="8" t="n">
        <v>1</v>
      </c>
      <c r="H1915" s="3" t="n">
        <v>0.005</v>
      </c>
      <c r="I1915" s="8" t="inlineStr"/>
      <c r="J1915" s="8" t="n">
        <v>13</v>
      </c>
      <c r="K1915" s="3" t="n"/>
      <c r="L1915" s="3">
        <f>IF($B1915="aei",0,IF($B1915="inc",ElIncMan,ElPrcMan))</f>
        <v>0.0</v>
      </c>
      <c r="M1915" s="3">
        <f>IF($L1915=1,IF($B1915="inc",MAX($K1915,0),MIN($K1915,0)),$H1915)</f>
        <v>0.005</v>
      </c>
    </row>
    <row r="1916">
      <c r="A1916" s="3" t="inlineStr">
        <is>
          <t>aei|bio|ind</t>
        </is>
      </c>
      <c r="B1916" s="3" t="inlineStr">
        <is>
          <t>aei</t>
        </is>
      </c>
      <c r="C1916" s="3" t="inlineStr">
        <is>
          <t>bio</t>
        </is>
      </c>
      <c r="D1916" s="3" t="inlineStr">
        <is>
          <t>ind</t>
        </is>
      </c>
      <c r="E1916" s="3" t="inlineStr">
        <is>
          <t>eff_imp_bio</t>
        </is>
      </c>
      <c r="F1916" s="8" t="n">
        <v>273</v>
      </c>
      <c r="G1916" s="8" t="n">
        <v>1</v>
      </c>
      <c r="H1916" s="3" t="n">
        <v>0.005</v>
      </c>
      <c r="I1916" s="8" t="inlineStr"/>
      <c r="J1916" s="8" t="n">
        <v>13</v>
      </c>
      <c r="K1916" s="3" t="n"/>
      <c r="L1916" s="3">
        <f>IF($B1916="aei",0,IF($B1916="inc",ElIncMan,ElPrcMan))</f>
        <v>0.0</v>
      </c>
      <c r="M1916" s="3">
        <f>IF($L1916=1,IF($B1916="inc",MAX($K1916,0),MIN($K1916,0)),$H1916)</f>
        <v>0.005</v>
      </c>
    </row>
    <row r="1917">
      <c r="A1917" s="3" t="inlineStr">
        <is>
          <t>aei|ren|ind</t>
        </is>
      </c>
      <c r="B1917" s="3" t="inlineStr">
        <is>
          <t>aei</t>
        </is>
      </c>
      <c r="C1917" s="3" t="inlineStr">
        <is>
          <t>ren</t>
        </is>
      </c>
      <c r="D1917" s="3" t="inlineStr">
        <is>
          <t>ind</t>
        </is>
      </c>
      <c r="E1917" s="3" t="inlineStr">
        <is>
          <t>eff_imp_ren</t>
        </is>
      </c>
      <c r="F1917" s="8" t="n">
        <v>274</v>
      </c>
      <c r="G1917" s="8" t="n">
        <v>1</v>
      </c>
      <c r="H1917" s="3" t="n">
        <v>0.005</v>
      </c>
      <c r="I1917" s="8" t="inlineStr"/>
      <c r="J1917" s="8" t="n">
        <v>13</v>
      </c>
      <c r="K1917" s="3" t="n"/>
      <c r="L1917" s="3">
        <f>IF($B1917="aei",0,IF($B1917="inc",ElIncMan,ElPrcMan))</f>
        <v>0.0</v>
      </c>
      <c r="M1917" s="3">
        <f>IF($L1917=1,IF($B1917="inc",MAX($K1917,0),MIN($K1917,0)),$H1917)</f>
        <v>0.005</v>
      </c>
    </row>
    <row r="1918">
      <c r="A1918" s="3" t="inlineStr">
        <is>
          <t>aei|ecy|ind</t>
        </is>
      </c>
      <c r="B1918" s="3" t="inlineStr">
        <is>
          <t>aei</t>
        </is>
      </c>
      <c r="C1918" s="3" t="inlineStr">
        <is>
          <t>ecy</t>
        </is>
      </c>
      <c r="D1918" s="3" t="inlineStr">
        <is>
          <t>ind</t>
        </is>
      </c>
      <c r="E1918" s="3" t="inlineStr">
        <is>
          <t>eff_imp_ecy</t>
        </is>
      </c>
      <c r="F1918" s="8" t="n">
        <v>275</v>
      </c>
      <c r="G1918" s="8" t="n">
        <v>1</v>
      </c>
      <c r="H1918" s="3" t="n">
        <v>0.005</v>
      </c>
      <c r="I1918" s="8" t="inlineStr"/>
      <c r="J1918" s="8" t="n">
        <v>13</v>
      </c>
      <c r="K1918" s="3" t="n"/>
      <c r="L1918" s="3">
        <f>IF($B1918="aei",0,IF($B1918="inc",ElIncMan,ElPrcMan))</f>
        <v>0.0</v>
      </c>
      <c r="M1918" s="3">
        <f>IF($L1918=1,IF($B1918="inc",MAX($K1918,0),MIN($K1918,0)),$H1918)</f>
        <v>0.005</v>
      </c>
    </row>
    <row r="1919">
      <c r="A1919" s="3" t="inlineStr">
        <is>
          <t>aei|coa|srv</t>
        </is>
      </c>
      <c r="B1919" s="3" t="inlineStr">
        <is>
          <t>aei</t>
        </is>
      </c>
      <c r="C1919" s="3" t="inlineStr">
        <is>
          <t>coa</t>
        </is>
      </c>
      <c r="D1919" s="3" t="inlineStr">
        <is>
          <t>srv</t>
        </is>
      </c>
      <c r="E1919" s="3" t="inlineStr">
        <is>
          <t>eff_imp_coa</t>
        </is>
      </c>
      <c r="F1919" s="8" t="n">
        <v>277</v>
      </c>
      <c r="G1919" s="8" t="n">
        <v>1</v>
      </c>
      <c r="H1919" s="3" t="n">
        <v>0.005</v>
      </c>
      <c r="I1919" s="8" t="inlineStr"/>
      <c r="J1919" s="8" t="n">
        <v>14</v>
      </c>
      <c r="K1919" s="3" t="n"/>
      <c r="L1919" s="3">
        <f>IF($B1919="aei",0,IF($B1919="inc",ElIncMan,ElPrcMan))</f>
        <v>0.0</v>
      </c>
      <c r="M1919" s="3">
        <f>IF($L1919=1,IF($B1919="inc",MAX($K1919,0),MIN($K1919,0)),$H1919)</f>
        <v>0.005</v>
      </c>
    </row>
    <row r="1920">
      <c r="A1920" s="3" t="inlineStr">
        <is>
          <t>aei|nga|srv</t>
        </is>
      </c>
      <c r="B1920" s="3" t="inlineStr">
        <is>
          <t>aei</t>
        </is>
      </c>
      <c r="C1920" s="3" t="inlineStr">
        <is>
          <t>nga</t>
        </is>
      </c>
      <c r="D1920" s="3" t="inlineStr">
        <is>
          <t>srv</t>
        </is>
      </c>
      <c r="E1920" s="3" t="inlineStr">
        <is>
          <t>eff_imp_nga</t>
        </is>
      </c>
      <c r="F1920" s="8" t="n">
        <v>278</v>
      </c>
      <c r="G1920" s="8" t="n">
        <v>1</v>
      </c>
      <c r="H1920" s="3" t="n">
        <v>0.01</v>
      </c>
      <c r="I1920" s="8" t="inlineStr"/>
      <c r="J1920" s="8" t="n">
        <v>14</v>
      </c>
      <c r="K1920" s="3" t="n"/>
      <c r="L1920" s="3">
        <f>IF($B1920="aei",0,IF($B1920="inc",ElIncMan,ElPrcMan))</f>
        <v>0.0</v>
      </c>
      <c r="M1920" s="3">
        <f>IF($L1920=1,IF($B1920="inc",MAX($K1920,0),MIN($K1920,0)),$H1920)</f>
        <v>0.01</v>
      </c>
    </row>
    <row r="1921">
      <c r="A1921" s="3" t="inlineStr">
        <is>
          <t>aei|oil|srv</t>
        </is>
      </c>
      <c r="B1921" s="3" t="inlineStr">
        <is>
          <t>aei</t>
        </is>
      </c>
      <c r="C1921" s="3" t="inlineStr">
        <is>
          <t>oil</t>
        </is>
      </c>
      <c r="D1921" s="3" t="inlineStr">
        <is>
          <t>srv</t>
        </is>
      </c>
      <c r="E1921" s="3" t="inlineStr">
        <is>
          <t>eff_imp_oil</t>
        </is>
      </c>
      <c r="F1921" s="8" t="n">
        <v>279</v>
      </c>
      <c r="G1921" s="8" t="n">
        <v>1</v>
      </c>
      <c r="H1921" s="3" t="n">
        <v>0.005</v>
      </c>
      <c r="I1921" s="8" t="inlineStr"/>
      <c r="J1921" s="8" t="n">
        <v>14</v>
      </c>
      <c r="K1921" s="3" t="n"/>
      <c r="L1921" s="3">
        <f>IF($B1921="aei",0,IF($B1921="inc",ElIncMan,ElPrcMan))</f>
        <v>0.0</v>
      </c>
      <c r="M1921" s="3">
        <f>IF($L1921=1,IF($B1921="inc",MAX($K1921,0),MIN($K1921,0)),$H1921)</f>
        <v>0.005</v>
      </c>
    </row>
    <row r="1922">
      <c r="A1922" s="3" t="inlineStr">
        <is>
          <t>aei|bio|srv</t>
        </is>
      </c>
      <c r="B1922" s="3" t="inlineStr">
        <is>
          <t>aei</t>
        </is>
      </c>
      <c r="C1922" s="3" t="inlineStr">
        <is>
          <t>bio</t>
        </is>
      </c>
      <c r="D1922" s="3" t="inlineStr">
        <is>
          <t>srv</t>
        </is>
      </c>
      <c r="E1922" s="3" t="inlineStr">
        <is>
          <t>eff_imp_bio</t>
        </is>
      </c>
      <c r="F1922" s="8" t="n">
        <v>280</v>
      </c>
      <c r="G1922" s="8" t="n">
        <v>1</v>
      </c>
      <c r="H1922" s="3" t="n">
        <v>0.005</v>
      </c>
      <c r="I1922" s="8" t="inlineStr"/>
      <c r="J1922" s="8" t="n">
        <v>14</v>
      </c>
      <c r="K1922" s="3" t="n"/>
      <c r="L1922" s="3">
        <f>IF($B1922="aei",0,IF($B1922="inc",ElIncMan,ElPrcMan))</f>
        <v>0.0</v>
      </c>
      <c r="M1922" s="3">
        <f>IF($L1922=1,IF($B1922="inc",MAX($K1922,0),MIN($K1922,0)),$H1922)</f>
        <v>0.005</v>
      </c>
    </row>
    <row r="1923">
      <c r="A1923" s="3" t="inlineStr">
        <is>
          <t>aei|ren|srv</t>
        </is>
      </c>
      <c r="B1923" s="3" t="inlineStr">
        <is>
          <t>aei</t>
        </is>
      </c>
      <c r="C1923" s="3" t="inlineStr">
        <is>
          <t>ren</t>
        </is>
      </c>
      <c r="D1923" s="3" t="inlineStr">
        <is>
          <t>srv</t>
        </is>
      </c>
      <c r="E1923" s="3" t="inlineStr">
        <is>
          <t>eff_imp_ren</t>
        </is>
      </c>
      <c r="F1923" s="8" t="n">
        <v>281</v>
      </c>
      <c r="G1923" s="8" t="n">
        <v>1</v>
      </c>
      <c r="H1923" s="3" t="n">
        <v>0.005</v>
      </c>
      <c r="I1923" s="8" t="inlineStr"/>
      <c r="J1923" s="8" t="n">
        <v>14</v>
      </c>
      <c r="K1923" s="3" t="n"/>
      <c r="L1923" s="3">
        <f>IF($B1923="aei",0,IF($B1923="inc",ElIncMan,ElPrcMan))</f>
        <v>0.0</v>
      </c>
      <c r="M1923" s="3">
        <f>IF($L1923=1,IF($B1923="inc",MAX($K1923,0),MIN($K1923,0)),$H1923)</f>
        <v>0.005</v>
      </c>
    </row>
    <row r="1924">
      <c r="A1924" s="3" t="inlineStr">
        <is>
          <t>aei|ecy|srv</t>
        </is>
      </c>
      <c r="B1924" s="3" t="inlineStr">
        <is>
          <t>aei</t>
        </is>
      </c>
      <c r="C1924" s="3" t="inlineStr">
        <is>
          <t>ecy</t>
        </is>
      </c>
      <c r="D1924" s="3" t="inlineStr">
        <is>
          <t>srv</t>
        </is>
      </c>
      <c r="E1924" s="3" t="inlineStr">
        <is>
          <t>eff_imp_ecy</t>
        </is>
      </c>
      <c r="F1924" s="8" t="n">
        <v>282</v>
      </c>
      <c r="G1924" s="8" t="n">
        <v>1</v>
      </c>
      <c r="H1924" s="3" t="n">
        <v>0.005</v>
      </c>
      <c r="I1924" s="8" t="inlineStr"/>
      <c r="J1924" s="8" t="n">
        <v>14</v>
      </c>
      <c r="K1924" s="3" t="n"/>
      <c r="L1924" s="3">
        <f>IF($B1924="aei",0,IF($B1924="inc",ElIncMan,ElPrcMan))</f>
        <v>0.0</v>
      </c>
      <c r="M1924" s="3">
        <f>IF($L1924=1,IF($B1924="inc",MAX($K1924,0),MIN($K1924,0)),$H1924)</f>
        <v>0.005</v>
      </c>
    </row>
    <row r="1925"/>
    <row r="1926"/>
    <row r="1927"/>
    <row r="1928"/>
    <row r="1929">
      <c r="A1929" s="4" t="inlineStr">
        <is>
          <t>Fiscal multipliers: % change of GDP k years after an impulse of 1% of GDP (data step; key group|range|instrument)</t>
        </is>
      </c>
      <c r="B1929" s="5" t="n"/>
      <c r="C1929" s="5" t="n"/>
      <c r="D1929" s="5" t="n"/>
      <c r="E1929" s="5" t="n"/>
      <c r="F1929" s="5" t="n"/>
      <c r="G1929" s="5" t="n"/>
      <c r="H1929" s="5" t="n"/>
      <c r="I1929" s="5" t="n"/>
      <c r="J1929" s="5" t="n"/>
      <c r="K1929" s="5" t="n"/>
      <c r="L1929" s="5" t="n"/>
      <c r="M1929" s="5" t="n"/>
      <c r="N1929" s="5" t="n"/>
      <c r="O1929" s="5" t="n"/>
      <c r="P1929" s="5" t="n"/>
      <c r="Q1929" s="5" t="n"/>
      <c r="R1929" s="5" t="n"/>
      <c r="S1929" s="5" t="n"/>
      <c r="T1929" s="5" t="n"/>
      <c r="U1929" s="5" t="n"/>
      <c r="V1929" s="5" t="n"/>
      <c r="W1929" s="5" t="n"/>
      <c r="X1929" s="5" t="n"/>
      <c r="Y1929" s="5" t="n"/>
      <c r="Z1929" s="5" t="n"/>
      <c r="AA1929" s="5" t="n"/>
      <c r="AB1929" s="5" t="n"/>
      <c r="AC1929" s="5" t="n"/>
      <c r="AD1929" s="5" t="n"/>
      <c r="AE1929" s="5" t="n"/>
      <c r="AF1929" s="5" t="n"/>
      <c r="AG1929" s="5" t="n"/>
      <c r="AH1929" s="5" t="n"/>
      <c r="AI1929" s="5" t="n"/>
      <c r="AJ1929" s="5" t="n"/>
      <c r="AK1929" s="5" t="n"/>
      <c r="AL1929" s="5" t="n"/>
      <c r="AM1929" s="5" t="n"/>
      <c r="AN1929" s="5" t="n"/>
      <c r="AO1929" s="5" t="n"/>
      <c r="AP1929" s="5" t="n"/>
      <c r="AQ1929" s="5" t="n"/>
      <c r="AR1929" s="5" t="n"/>
      <c r="AS1929" s="5" t="n"/>
      <c r="AT1929" s="5" t="n"/>
      <c r="AU1929" s="5" t="n"/>
      <c r="AV1929" s="5" t="n"/>
      <c r="AW1929" s="5" t="n"/>
      <c r="AX1929" s="5" t="n"/>
      <c r="AY1929" s="5" t="n"/>
      <c r="AZ1929" s="5" t="n"/>
      <c r="BA1929" s="5" t="n"/>
      <c r="BB1929" s="5" t="n"/>
      <c r="BC1929" s="5" t="n"/>
      <c r="BD1929" s="5" t="n"/>
      <c r="BE1929" s="5" t="n"/>
      <c r="BF1929" s="5" t="n"/>
      <c r="BG1929" s="5" t="n"/>
      <c r="BH1929" s="5" t="n"/>
      <c r="BI1929" s="5" t="n"/>
      <c r="BJ1929" s="5" t="n"/>
      <c r="BK1929" s="5" t="n"/>
      <c r="BL1929" s="5" t="n"/>
      <c r="BM1929" s="5" t="n"/>
      <c r="BN1929" s="5" t="n"/>
      <c r="BO1929" s="5" t="n"/>
      <c r="BP1929" s="5" t="n"/>
      <c r="BQ1929" s="5" t="n"/>
      <c r="BR1929" s="5" t="n"/>
      <c r="BS1929" s="5" t="n"/>
      <c r="BT1929" s="5" t="n"/>
      <c r="BU1929" s="5" t="n"/>
      <c r="BV1929" s="5" t="n"/>
      <c r="BW1929" s="5" t="n"/>
      <c r="BX1929" s="5" t="n"/>
      <c r="BY1929" s="5" t="n"/>
      <c r="BZ1929" s="5" t="n"/>
      <c r="CA1929" s="5" t="n"/>
      <c r="CB1929" s="5" t="n"/>
      <c r="CC1929" s="5" t="n"/>
      <c r="CD1929" s="5" t="n"/>
      <c r="CE1929" s="5" t="n"/>
      <c r="CF1929" s="5" t="n"/>
      <c r="CG1929" s="5" t="n"/>
      <c r="CH1929" s="5" t="n"/>
      <c r="CI1929" s="5" t="n"/>
      <c r="CJ1929" s="5" t="n"/>
      <c r="CK1929" s="5" t="n"/>
      <c r="CL1929" s="5" t="n"/>
      <c r="CM1929" s="5" t="n"/>
      <c r="CN1929" s="5" t="n"/>
      <c r="CO1929" s="5" t="n"/>
      <c r="CP1929" s="5" t="n"/>
      <c r="CQ1929" s="5" t="n"/>
      <c r="CR1929" s="5" t="n"/>
      <c r="CS1929" s="5" t="n"/>
      <c r="CT1929" s="5" t="n"/>
      <c r="CU1929" s="5" t="n"/>
      <c r="CV1929" s="5" t="n"/>
      <c r="CW1929" s="5" t="n"/>
      <c r="CX1929" s="5" t="n"/>
      <c r="CY1929" s="5" t="n"/>
      <c r="CZ1929" s="5" t="n"/>
      <c r="DA1929" s="5" t="n"/>
      <c r="DB1929" s="5" t="n"/>
      <c r="DC1929" s="5" t="n"/>
      <c r="DD1929" s="5" t="n"/>
      <c r="DE1929" s="5" t="n"/>
      <c r="DF1929" s="5" t="n"/>
      <c r="DG1929" s="5" t="n"/>
      <c r="DH1929" s="5" t="n"/>
      <c r="DI1929" s="5" t="n"/>
      <c r="DJ1929" s="5" t="n"/>
      <c r="DK1929" s="5" t="n"/>
      <c r="DL1929" s="5" t="n"/>
      <c r="DM1929" s="5" t="n"/>
      <c r="DN1929" s="5" t="n"/>
      <c r="DO1929" s="5" t="n"/>
      <c r="DP1929" s="5" t="n"/>
      <c r="DQ1929" s="5" t="n"/>
      <c r="DR1929" s="5" t="n"/>
      <c r="DS1929" s="5" t="n"/>
      <c r="DT1929" s="5" t="n"/>
      <c r="DU1929" s="5" t="n"/>
      <c r="DV1929" s="5" t="n"/>
      <c r="DW1929" s="5" t="n"/>
      <c r="DX1929" s="5" t="n"/>
      <c r="DY1929" s="5" t="n"/>
      <c r="DZ1929" s="5" t="n"/>
      <c r="EA1929" s="5" t="n"/>
      <c r="EB1929" s="5" t="n"/>
      <c r="EC1929" s="5" t="n"/>
      <c r="ED1929" s="5" t="n"/>
      <c r="EE1929" s="5" t="n"/>
      <c r="EF1929" s="5" t="n"/>
      <c r="EG1929" s="5" t="n"/>
      <c r="EH1929" s="5" t="n"/>
      <c r="EI1929" s="5" t="n"/>
      <c r="EJ1929" s="5" t="n"/>
      <c r="EK1929" s="5" t="n"/>
      <c r="EL1929" s="5" t="n"/>
      <c r="EM1929" s="5" t="n"/>
      <c r="EN1929" s="5" t="n"/>
      <c r="EO1929" s="5" t="n"/>
      <c r="EP1929" s="5" t="n"/>
      <c r="EQ1929" s="5" t="n"/>
      <c r="ER1929" s="5" t="n"/>
      <c r="ES1929" s="5" t="n"/>
      <c r="ET1929" s="5" t="n"/>
      <c r="EU1929" s="5" t="n"/>
      <c r="EV1929" s="5" t="n"/>
      <c r="EW1929" s="5" t="n"/>
      <c r="EX1929" s="5" t="n"/>
      <c r="EY1929" s="5" t="n"/>
      <c r="EZ1929" s="5" t="n"/>
      <c r="FA1929" s="5" t="n"/>
      <c r="FB1929" s="5" t="n"/>
      <c r="FC1929" s="5" t="n"/>
      <c r="FD1929" s="5" t="n"/>
      <c r="FE1929" s="5" t="n"/>
      <c r="FF1929" s="5" t="n"/>
      <c r="FG1929" s="5" t="n"/>
      <c r="FH1929" s="5" t="n"/>
      <c r="FI1929" s="5" t="n"/>
      <c r="FJ1929" s="5" t="n"/>
      <c r="FK1929" s="5" t="n"/>
      <c r="FL1929" s="5" t="n"/>
      <c r="FM1929" s="5" t="n"/>
      <c r="FN1929" s="5" t="n"/>
      <c r="FO1929" s="5" t="n"/>
    </row>
    <row r="1930">
      <c r="A1930" s="3" t="inlineStr">
        <is>
          <t>Read from the legacy Multipliers tab: median (rows 88-145) plus sign x standard deviation (rows 147+) of the group and instrument, lag k in column D + k; lags past the last legacy lag (MultLastLag) hold its value. v0.4.15: est = the country's estimated table (rows 210-1620; exact match of the country code, else the income group; CIT and WAGE: the income group), man = sheet Manual inputs J261:U268; both with the income group's standard deviation (as legacy).</t>
        </is>
      </c>
    </row>
    <row r="1931">
      <c r="A1931" s="7" t="inlineStr">
        <is>
          <t>Lag (years)</t>
        </is>
      </c>
      <c r="B1931" s="6" t="str">
        <f t="shared" ref="B1931:FM1931" si="66">B1932&amp;"|"&amp;B1933&amp;"|"&amp;B1934</f>
        <v>global|base|exc</v>
      </c>
      <c r="C1931" s="6" t="str">
        <f t="shared" si="66"/>
        <v>global|low|exc</v>
      </c>
      <c r="D1931" s="6" t="str">
        <f t="shared" si="66"/>
        <v>global|high|exc</v>
      </c>
      <c r="E1931" s="6" t="str">
        <f t="shared" si="66"/>
        <v>global|base|pit</v>
      </c>
      <c r="F1931" s="6" t="str">
        <f t="shared" si="66"/>
        <v>global|low|pit</v>
      </c>
      <c r="G1931" s="6" t="str">
        <f t="shared" si="66"/>
        <v>global|high|pit</v>
      </c>
      <c r="H1931" s="6" t="str">
        <f t="shared" si="66"/>
        <v>global|base|cit</v>
      </c>
      <c r="I1931" s="6" t="str">
        <f t="shared" si="66"/>
        <v>global|low|cit</v>
      </c>
      <c r="J1931" s="6" t="str">
        <f t="shared" si="66"/>
        <v>global|high|cit</v>
      </c>
      <c r="K1931" s="6" t="str">
        <f t="shared" si="66"/>
        <v>global|base|vat</v>
      </c>
      <c r="L1931" s="6" t="str">
        <f t="shared" si="66"/>
        <v>global|low|vat</v>
      </c>
      <c r="M1931" s="6" t="str">
        <f t="shared" si="66"/>
        <v>global|high|vat</v>
      </c>
      <c r="N1931" s="6" t="str">
        <f t="shared" si="66"/>
        <v>global|base|capt</v>
      </c>
      <c r="O1931" s="6" t="str">
        <f t="shared" si="66"/>
        <v>global|low|capt</v>
      </c>
      <c r="P1931" s="6" t="str">
        <f t="shared" si="66"/>
        <v>global|high|capt</v>
      </c>
      <c r="Q1931" s="6" t="str">
        <f t="shared" si="66"/>
        <v>global|base|gnfs</v>
      </c>
      <c r="R1931" s="6" t="str">
        <f t="shared" si="66"/>
        <v>global|low|gnfs</v>
      </c>
      <c r="S1931" s="6" t="str">
        <f t="shared" si="66"/>
        <v>global|high|gnfs</v>
      </c>
      <c r="T1931" s="6" t="str">
        <f t="shared" si="66"/>
        <v>global|base|trns</v>
      </c>
      <c r="U1931" s="6" t="str">
        <f t="shared" si="66"/>
        <v>global|low|trns</v>
      </c>
      <c r="V1931" s="6" t="str">
        <f t="shared" si="66"/>
        <v>global|high|trns</v>
      </c>
      <c r="W1931" s="6" t="str">
        <f t="shared" si="66"/>
        <v>global|base|wage</v>
      </c>
      <c r="X1931" s="6" t="str">
        <f t="shared" si="66"/>
        <v>global|low|wage</v>
      </c>
      <c r="Y1931" s="6" t="str">
        <f t="shared" si="66"/>
        <v>global|high|wage</v>
      </c>
      <c r="Z1931" s="6" t="str">
        <f t="shared" si="66"/>
        <v>hic|base|exc</v>
      </c>
      <c r="AA1931" s="6" t="str">
        <f t="shared" si="66"/>
        <v>hic|low|exc</v>
      </c>
      <c r="AB1931" s="6" t="str">
        <f t="shared" si="66"/>
        <v>hic|high|exc</v>
      </c>
      <c r="AC1931" s="6" t="str">
        <f t="shared" si="66"/>
        <v>hic|base|pit</v>
      </c>
      <c r="AD1931" s="6" t="str">
        <f t="shared" si="66"/>
        <v>hic|low|pit</v>
      </c>
      <c r="AE1931" s="6" t="str">
        <f t="shared" si="66"/>
        <v>hic|high|pit</v>
      </c>
      <c r="AF1931" s="6" t="str">
        <f t="shared" si="66"/>
        <v>hic|base|cit</v>
      </c>
      <c r="AG1931" s="6" t="str">
        <f t="shared" si="66"/>
        <v>hic|low|cit</v>
      </c>
      <c r="AH1931" s="6" t="str">
        <f t="shared" si="66"/>
        <v>hic|high|cit</v>
      </c>
      <c r="AI1931" s="6" t="str">
        <f t="shared" si="66"/>
        <v>hic|base|vat</v>
      </c>
      <c r="AJ1931" s="6" t="str">
        <f t="shared" si="66"/>
        <v>hic|low|vat</v>
      </c>
      <c r="AK1931" s="6" t="str">
        <f t="shared" si="66"/>
        <v>hic|high|vat</v>
      </c>
      <c r="AL1931" s="6" t="str">
        <f t="shared" si="66"/>
        <v>hic|base|capt</v>
      </c>
      <c r="AM1931" s="6" t="str">
        <f t="shared" si="66"/>
        <v>hic|low|capt</v>
      </c>
      <c r="AN1931" s="6" t="str">
        <f t="shared" si="66"/>
        <v>hic|high|capt</v>
      </c>
      <c r="AO1931" s="6" t="str">
        <f t="shared" si="66"/>
        <v>hic|base|gnfs</v>
      </c>
      <c r="AP1931" s="6" t="str">
        <f t="shared" si="66"/>
        <v>hic|low|gnfs</v>
      </c>
      <c r="AQ1931" s="6" t="str">
        <f t="shared" si="66"/>
        <v>hic|high|gnfs</v>
      </c>
      <c r="AR1931" s="6" t="str">
        <f t="shared" si="66"/>
        <v>hic|base|trns</v>
      </c>
      <c r="AS1931" s="6" t="str">
        <f t="shared" si="66"/>
        <v>hic|low|trns</v>
      </c>
      <c r="AT1931" s="6" t="str">
        <f t="shared" si="66"/>
        <v>hic|high|trns</v>
      </c>
      <c r="AU1931" s="6" t="str">
        <f t="shared" si="66"/>
        <v>hic|base|wage</v>
      </c>
      <c r="AV1931" s="6" t="str">
        <f t="shared" si="66"/>
        <v>hic|low|wage</v>
      </c>
      <c r="AW1931" s="6" t="str">
        <f t="shared" si="66"/>
        <v>hic|high|wage</v>
      </c>
      <c r="AX1931" s="6" t="str">
        <f t="shared" si="66"/>
        <v>umic|base|exc</v>
      </c>
      <c r="AY1931" s="6" t="str">
        <f t="shared" si="66"/>
        <v>umic|low|exc</v>
      </c>
      <c r="AZ1931" s="6" t="str">
        <f t="shared" si="66"/>
        <v>umic|high|exc</v>
      </c>
      <c r="BA1931" s="6" t="str">
        <f t="shared" si="66"/>
        <v>umic|base|pit</v>
      </c>
      <c r="BB1931" s="6" t="str">
        <f t="shared" si="66"/>
        <v>umic|low|pit</v>
      </c>
      <c r="BC1931" s="6" t="str">
        <f t="shared" si="66"/>
        <v>umic|high|pit</v>
      </c>
      <c r="BD1931" s="6" t="str">
        <f t="shared" si="66"/>
        <v>umic|base|cit</v>
      </c>
      <c r="BE1931" s="6" t="str">
        <f t="shared" si="66"/>
        <v>umic|low|cit</v>
      </c>
      <c r="BF1931" s="6" t="str">
        <f t="shared" si="66"/>
        <v>umic|high|cit</v>
      </c>
      <c r="BG1931" s="6" t="str">
        <f t="shared" si="66"/>
        <v>umic|base|vat</v>
      </c>
      <c r="BH1931" s="6" t="str">
        <f t="shared" si="66"/>
        <v>umic|low|vat</v>
      </c>
      <c r="BI1931" s="6" t="str">
        <f t="shared" si="66"/>
        <v>umic|high|vat</v>
      </c>
      <c r="BJ1931" s="6" t="str">
        <f t="shared" si="66"/>
        <v>umic|base|capt</v>
      </c>
      <c r="BK1931" s="6" t="str">
        <f t="shared" si="66"/>
        <v>umic|low|capt</v>
      </c>
      <c r="BL1931" s="6" t="str">
        <f t="shared" si="66"/>
        <v>umic|high|capt</v>
      </c>
      <c r="BM1931" s="6" t="str">
        <f t="shared" si="66"/>
        <v>umic|base|gnfs</v>
      </c>
      <c r="BN1931" s="6" t="str">
        <f t="shared" si="66"/>
        <v>umic|low|gnfs</v>
      </c>
      <c r="BO1931" s="6" t="str">
        <f t="shared" si="66"/>
        <v>umic|high|gnfs</v>
      </c>
      <c r="BP1931" s="6" t="str">
        <f t="shared" si="66"/>
        <v>umic|base|trns</v>
      </c>
      <c r="BQ1931" s="6" t="str">
        <f t="shared" si="66"/>
        <v>umic|low|trns</v>
      </c>
      <c r="BR1931" s="6" t="str">
        <f t="shared" si="66"/>
        <v>umic|high|trns</v>
      </c>
      <c r="BS1931" s="6" t="str">
        <f t="shared" si="66"/>
        <v>umic|base|wage</v>
      </c>
      <c r="BT1931" s="6" t="str">
        <f t="shared" si="66"/>
        <v>umic|low|wage</v>
      </c>
      <c r="BU1931" s="6" t="str">
        <f t="shared" si="66"/>
        <v>umic|high|wage</v>
      </c>
      <c r="BV1931" s="6" t="str">
        <f t="shared" si="66"/>
        <v>lmic|base|exc</v>
      </c>
      <c r="BW1931" s="6" t="str">
        <f t="shared" si="66"/>
        <v>lmic|low|exc</v>
      </c>
      <c r="BX1931" s="6" t="str">
        <f t="shared" si="66"/>
        <v>lmic|high|exc</v>
      </c>
      <c r="BY1931" s="6" t="str">
        <f t="shared" si="66"/>
        <v>lmic|base|pit</v>
      </c>
      <c r="BZ1931" s="6" t="str">
        <f t="shared" si="66"/>
        <v>lmic|low|pit</v>
      </c>
      <c r="CA1931" s="6" t="str">
        <f t="shared" si="66"/>
        <v>lmic|high|pit</v>
      </c>
      <c r="CB1931" s="6" t="str">
        <f t="shared" si="66"/>
        <v>lmic|base|cit</v>
      </c>
      <c r="CC1931" s="6" t="str">
        <f t="shared" si="66"/>
        <v>lmic|low|cit</v>
      </c>
      <c r="CD1931" s="6" t="str">
        <f t="shared" si="66"/>
        <v>lmic|high|cit</v>
      </c>
      <c r="CE1931" s="6" t="str">
        <f t="shared" si="66"/>
        <v>lmic|base|vat</v>
      </c>
      <c r="CF1931" s="6" t="str">
        <f t="shared" si="66"/>
        <v>lmic|low|vat</v>
      </c>
      <c r="CG1931" s="6" t="str">
        <f t="shared" si="66"/>
        <v>lmic|high|vat</v>
      </c>
      <c r="CH1931" s="6" t="str">
        <f t="shared" si="66"/>
        <v>lmic|base|capt</v>
      </c>
      <c r="CI1931" s="6" t="str">
        <f t="shared" si="66"/>
        <v>lmic|low|capt</v>
      </c>
      <c r="CJ1931" s="6" t="str">
        <f t="shared" si="66"/>
        <v>lmic|high|capt</v>
      </c>
      <c r="CK1931" s="6" t="str">
        <f t="shared" si="66"/>
        <v>lmic|base|gnfs</v>
      </c>
      <c r="CL1931" s="6" t="str">
        <f t="shared" si="66"/>
        <v>lmic|low|gnfs</v>
      </c>
      <c r="CM1931" s="6" t="str">
        <f t="shared" si="66"/>
        <v>lmic|high|gnfs</v>
      </c>
      <c r="CN1931" s="6" t="str">
        <f t="shared" si="66"/>
        <v>lmic|base|trns</v>
      </c>
      <c r="CO1931" s="6" t="str">
        <f t="shared" si="66"/>
        <v>lmic|low|trns</v>
      </c>
      <c r="CP1931" s="6" t="str">
        <f t="shared" si="66"/>
        <v>lmic|high|trns</v>
      </c>
      <c r="CQ1931" s="6" t="str">
        <f t="shared" si="66"/>
        <v>lmic|base|wage</v>
      </c>
      <c r="CR1931" s="6" t="str">
        <f t="shared" si="66"/>
        <v>lmic|low|wage</v>
      </c>
      <c r="CS1931" s="6" t="str">
        <f t="shared" si="66"/>
        <v>lmic|high|wage</v>
      </c>
      <c r="CT1931" s="6" t="str">
        <f t="shared" si="66"/>
        <v>lic|base|exc</v>
      </c>
      <c r="CU1931" s="6" t="str">
        <f t="shared" si="66"/>
        <v>lic|low|exc</v>
      </c>
      <c r="CV1931" s="6" t="str">
        <f t="shared" si="66"/>
        <v>lic|high|exc</v>
      </c>
      <c r="CW1931" s="6" t="str">
        <f t="shared" si="66"/>
        <v>lic|base|pit</v>
      </c>
      <c r="CX1931" s="6" t="str">
        <f t="shared" si="66"/>
        <v>lic|low|pit</v>
      </c>
      <c r="CY1931" s="6" t="str">
        <f t="shared" si="66"/>
        <v>lic|high|pit</v>
      </c>
      <c r="CZ1931" s="6" t="str">
        <f t="shared" si="66"/>
        <v>lic|base|cit</v>
      </c>
      <c r="DA1931" s="6" t="str">
        <f t="shared" si="66"/>
        <v>lic|low|cit</v>
      </c>
      <c r="DB1931" s="6" t="str">
        <f t="shared" si="66"/>
        <v>lic|high|cit</v>
      </c>
      <c r="DC1931" s="6" t="str">
        <f t="shared" si="66"/>
        <v>lic|base|vat</v>
      </c>
      <c r="DD1931" s="6" t="str">
        <f t="shared" si="66"/>
        <v>lic|low|vat</v>
      </c>
      <c r="DE1931" s="6" t="str">
        <f t="shared" si="66"/>
        <v>lic|high|vat</v>
      </c>
      <c r="DF1931" s="6" t="str">
        <f t="shared" si="66"/>
        <v>lic|base|capt</v>
      </c>
      <c r="DG1931" s="6" t="str">
        <f t="shared" si="66"/>
        <v>lic|low|capt</v>
      </c>
      <c r="DH1931" s="6" t="str">
        <f t="shared" si="66"/>
        <v>lic|high|capt</v>
      </c>
      <c r="DI1931" s="6" t="str">
        <f t="shared" si="66"/>
        <v>lic|base|gnfs</v>
      </c>
      <c r="DJ1931" s="6" t="str">
        <f t="shared" si="66"/>
        <v>lic|low|gnfs</v>
      </c>
      <c r="DK1931" s="6" t="str">
        <f t="shared" si="66"/>
        <v>lic|high|gnfs</v>
      </c>
      <c r="DL1931" s="6" t="str">
        <f t="shared" si="66"/>
        <v>lic|base|trns</v>
      </c>
      <c r="DM1931" s="6" t="str">
        <f t="shared" si="66"/>
        <v>lic|low|trns</v>
      </c>
      <c r="DN1931" s="6" t="str">
        <f t="shared" si="66"/>
        <v>lic|high|trns</v>
      </c>
      <c r="DO1931" s="6" t="str">
        <f t="shared" si="66"/>
        <v>lic|base|wage</v>
      </c>
      <c r="DP1931" s="6" t="str">
        <f t="shared" si="66"/>
        <v>lic|low|wage</v>
      </c>
      <c r="DQ1931" s="6" t="str">
        <f t="shared" si="66"/>
        <v>lic|high|wage</v>
      </c>
      <c r="DR1931" s="6" t="str">
        <f t="shared" si="66"/>
        <v>est|base|exc</v>
      </c>
      <c r="DS1931" s="6" t="str">
        <f t="shared" si="66"/>
        <v>est|low|exc</v>
      </c>
      <c r="DT1931" s="6" t="str">
        <f t="shared" si="66"/>
        <v>est|high|exc</v>
      </c>
      <c r="DU1931" s="6" t="str">
        <f t="shared" si="66"/>
        <v>est|base|pit</v>
      </c>
      <c r="DV1931" s="6" t="str">
        <f t="shared" si="66"/>
        <v>est|low|pit</v>
      </c>
      <c r="DW1931" s="6" t="str">
        <f t="shared" si="66"/>
        <v>est|high|pit</v>
      </c>
      <c r="DX1931" s="6" t="str">
        <f t="shared" si="66"/>
        <v>est|base|cit</v>
      </c>
      <c r="DY1931" s="6" t="str">
        <f t="shared" si="66"/>
        <v>est|low|cit</v>
      </c>
      <c r="DZ1931" s="6" t="str">
        <f t="shared" si="66"/>
        <v>est|high|cit</v>
      </c>
      <c r="EA1931" s="6" t="str">
        <f t="shared" si="66"/>
        <v>est|base|vat</v>
      </c>
      <c r="EB1931" s="6" t="str">
        <f t="shared" si="66"/>
        <v>est|low|vat</v>
      </c>
      <c r="EC1931" s="6" t="str">
        <f t="shared" si="66"/>
        <v>est|high|vat</v>
      </c>
      <c r="ED1931" s="6" t="str">
        <f t="shared" si="66"/>
        <v>est|base|capt</v>
      </c>
      <c r="EE1931" s="6" t="str">
        <f t="shared" si="66"/>
        <v>est|low|capt</v>
      </c>
      <c r="EF1931" s="6" t="str">
        <f t="shared" si="66"/>
        <v>est|high|capt</v>
      </c>
      <c r="EG1931" s="6" t="str">
        <f t="shared" si="66"/>
        <v>est|base|gnfs</v>
      </c>
      <c r="EH1931" s="6" t="str">
        <f t="shared" si="66"/>
        <v>est|low|gnfs</v>
      </c>
      <c r="EI1931" s="6" t="str">
        <f t="shared" si="66"/>
        <v>est|high|gnfs</v>
      </c>
      <c r="EJ1931" s="6" t="str">
        <f t="shared" si="66"/>
        <v>est|base|trns</v>
      </c>
      <c r="EK1931" s="6" t="str">
        <f t="shared" si="66"/>
        <v>est|low|trns</v>
      </c>
      <c r="EL1931" s="6" t="str">
        <f t="shared" si="66"/>
        <v>est|high|trns</v>
      </c>
      <c r="EM1931" s="6" t="str">
        <f t="shared" si="66"/>
        <v>est|base|wage</v>
      </c>
      <c r="EN1931" s="6" t="str">
        <f t="shared" si="66"/>
        <v>est|low|wage</v>
      </c>
      <c r="EO1931" s="6" t="str">
        <f t="shared" si="66"/>
        <v>est|high|wage</v>
      </c>
      <c r="EP1931" s="6" t="str">
        <f t="shared" si="66"/>
        <v>man|base|exc</v>
      </c>
      <c r="EQ1931" s="6" t="str">
        <f t="shared" si="66"/>
        <v>man|low|exc</v>
      </c>
      <c r="ER1931" s="6" t="str">
        <f t="shared" si="66"/>
        <v>man|high|exc</v>
      </c>
      <c r="ES1931" s="6" t="str">
        <f t="shared" si="66"/>
        <v>man|base|pit</v>
      </c>
      <c r="ET1931" s="6" t="str">
        <f t="shared" si="66"/>
        <v>man|low|pit</v>
      </c>
      <c r="EU1931" s="6" t="str">
        <f t="shared" si="66"/>
        <v>man|high|pit</v>
      </c>
      <c r="EV1931" s="6" t="str">
        <f t="shared" si="66"/>
        <v>man|base|cit</v>
      </c>
      <c r="EW1931" s="6" t="str">
        <f t="shared" si="66"/>
        <v>man|low|cit</v>
      </c>
      <c r="EX1931" s="6" t="str">
        <f t="shared" si="66"/>
        <v>man|high|cit</v>
      </c>
      <c r="EY1931" s="6" t="str">
        <f t="shared" si="66"/>
        <v>man|base|vat</v>
      </c>
      <c r="EZ1931" s="6" t="str">
        <f t="shared" si="66"/>
        <v>man|low|vat</v>
      </c>
      <c r="FA1931" s="6" t="str">
        <f t="shared" si="66"/>
        <v>man|high|vat</v>
      </c>
      <c r="FB1931" s="6" t="str">
        <f t="shared" si="66"/>
        <v>man|base|capt</v>
      </c>
      <c r="FC1931" s="6" t="str">
        <f t="shared" si="66"/>
        <v>man|low|capt</v>
      </c>
      <c r="FD1931" s="6" t="str">
        <f t="shared" si="66"/>
        <v>man|high|capt</v>
      </c>
      <c r="FE1931" s="6" t="str">
        <f t="shared" si="66"/>
        <v>man|base|gnfs</v>
      </c>
      <c r="FF1931" s="6" t="str">
        <f t="shared" si="66"/>
        <v>man|low|gnfs</v>
      </c>
      <c r="FG1931" s="6" t="str">
        <f t="shared" si="66"/>
        <v>man|high|gnfs</v>
      </c>
      <c r="FH1931" s="6" t="str">
        <f t="shared" si="66"/>
        <v>man|base|trns</v>
      </c>
      <c r="FI1931" s="6" t="str">
        <f t="shared" si="66"/>
        <v>man|low|trns</v>
      </c>
      <c r="FJ1931" s="6" t="str">
        <f t="shared" si="66"/>
        <v>man|high|trns</v>
      </c>
      <c r="FK1931" s="6" t="str">
        <f t="shared" si="66"/>
        <v>man|base|wage</v>
      </c>
      <c r="FL1931" s="6" t="str">
        <f t="shared" si="66"/>
        <v>man|low|wage</v>
      </c>
      <c r="FM1931" s="6" t="str">
        <f t="shared" si="66"/>
        <v>man|high|wage</v>
      </c>
      <c r="FO1931" s="7" t="inlineStr">
        <is>
          <t>Lag index (MIN(lag, MultLastLag) + 1)</t>
        </is>
      </c>
    </row>
    <row r="1932">
      <c r="A1932" s="7" t="inlineStr">
        <is>
          <t>Group</t>
        </is>
      </c>
      <c r="B1932" s="8" t="inlineStr">
        <is>
          <t>global</t>
        </is>
      </c>
      <c r="C1932" s="8" t="inlineStr">
        <is>
          <t>global</t>
        </is>
      </c>
      <c r="D1932" s="8" t="inlineStr">
        <is>
          <t>global</t>
        </is>
      </c>
      <c r="E1932" s="8" t="inlineStr">
        <is>
          <t>global</t>
        </is>
      </c>
      <c r="F1932" s="8" t="inlineStr">
        <is>
          <t>global</t>
        </is>
      </c>
      <c r="G1932" s="8" t="inlineStr">
        <is>
          <t>global</t>
        </is>
      </c>
      <c r="H1932" s="8" t="inlineStr">
        <is>
          <t>global</t>
        </is>
      </c>
      <c r="I1932" s="8" t="inlineStr">
        <is>
          <t>global</t>
        </is>
      </c>
      <c r="J1932" s="8" t="inlineStr">
        <is>
          <t>global</t>
        </is>
      </c>
      <c r="K1932" s="8" t="inlineStr">
        <is>
          <t>global</t>
        </is>
      </c>
      <c r="L1932" s="8" t="inlineStr">
        <is>
          <t>global</t>
        </is>
      </c>
      <c r="M1932" s="8" t="inlineStr">
        <is>
          <t>global</t>
        </is>
      </c>
      <c r="N1932" s="8" t="inlineStr">
        <is>
          <t>global</t>
        </is>
      </c>
      <c r="O1932" s="8" t="inlineStr">
        <is>
          <t>global</t>
        </is>
      </c>
      <c r="P1932" s="8" t="inlineStr">
        <is>
          <t>global</t>
        </is>
      </c>
      <c r="Q1932" s="8" t="inlineStr">
        <is>
          <t>global</t>
        </is>
      </c>
      <c r="R1932" s="8" t="inlineStr">
        <is>
          <t>global</t>
        </is>
      </c>
      <c r="S1932" s="8" t="inlineStr">
        <is>
          <t>global</t>
        </is>
      </c>
      <c r="T1932" s="8" t="inlineStr">
        <is>
          <t>global</t>
        </is>
      </c>
      <c r="U1932" s="8" t="inlineStr">
        <is>
          <t>global</t>
        </is>
      </c>
      <c r="V1932" s="8" t="inlineStr">
        <is>
          <t>global</t>
        </is>
      </c>
      <c r="W1932" s="8" t="inlineStr">
        <is>
          <t>global</t>
        </is>
      </c>
      <c r="X1932" s="8" t="inlineStr">
        <is>
          <t>global</t>
        </is>
      </c>
      <c r="Y1932" s="8" t="inlineStr">
        <is>
          <t>global</t>
        </is>
      </c>
      <c r="Z1932" s="8" t="inlineStr">
        <is>
          <t>hic</t>
        </is>
      </c>
      <c r="AA1932" s="8" t="inlineStr">
        <is>
          <t>hic</t>
        </is>
      </c>
      <c r="AB1932" s="8" t="inlineStr">
        <is>
          <t>hic</t>
        </is>
      </c>
      <c r="AC1932" s="8" t="inlineStr">
        <is>
          <t>hic</t>
        </is>
      </c>
      <c r="AD1932" s="8" t="inlineStr">
        <is>
          <t>hic</t>
        </is>
      </c>
      <c r="AE1932" s="8" t="inlineStr">
        <is>
          <t>hic</t>
        </is>
      </c>
      <c r="AF1932" s="8" t="inlineStr">
        <is>
          <t>hic</t>
        </is>
      </c>
      <c r="AG1932" s="8" t="inlineStr">
        <is>
          <t>hic</t>
        </is>
      </c>
      <c r="AH1932" s="8" t="inlineStr">
        <is>
          <t>hic</t>
        </is>
      </c>
      <c r="AI1932" s="8" t="inlineStr">
        <is>
          <t>hic</t>
        </is>
      </c>
      <c r="AJ1932" s="8" t="inlineStr">
        <is>
          <t>hic</t>
        </is>
      </c>
      <c r="AK1932" s="8" t="inlineStr">
        <is>
          <t>hic</t>
        </is>
      </c>
      <c r="AL1932" s="8" t="inlineStr">
        <is>
          <t>hic</t>
        </is>
      </c>
      <c r="AM1932" s="8" t="inlineStr">
        <is>
          <t>hic</t>
        </is>
      </c>
      <c r="AN1932" s="8" t="inlineStr">
        <is>
          <t>hic</t>
        </is>
      </c>
      <c r="AO1932" s="8" t="inlineStr">
        <is>
          <t>hic</t>
        </is>
      </c>
      <c r="AP1932" s="8" t="inlineStr">
        <is>
          <t>hic</t>
        </is>
      </c>
      <c r="AQ1932" s="8" t="inlineStr">
        <is>
          <t>hic</t>
        </is>
      </c>
      <c r="AR1932" s="8" t="inlineStr">
        <is>
          <t>hic</t>
        </is>
      </c>
      <c r="AS1932" s="8" t="inlineStr">
        <is>
          <t>hic</t>
        </is>
      </c>
      <c r="AT1932" s="8" t="inlineStr">
        <is>
          <t>hic</t>
        </is>
      </c>
      <c r="AU1932" s="8" t="inlineStr">
        <is>
          <t>hic</t>
        </is>
      </c>
      <c r="AV1932" s="8" t="inlineStr">
        <is>
          <t>hic</t>
        </is>
      </c>
      <c r="AW1932" s="8" t="inlineStr">
        <is>
          <t>hic</t>
        </is>
      </c>
      <c r="AX1932" s="8" t="inlineStr">
        <is>
          <t>umic</t>
        </is>
      </c>
      <c r="AY1932" s="8" t="inlineStr">
        <is>
          <t>umic</t>
        </is>
      </c>
      <c r="AZ1932" s="8" t="inlineStr">
        <is>
          <t>umic</t>
        </is>
      </c>
      <c r="BA1932" s="8" t="inlineStr">
        <is>
          <t>umic</t>
        </is>
      </c>
      <c r="BB1932" s="8" t="inlineStr">
        <is>
          <t>umic</t>
        </is>
      </c>
      <c r="BC1932" s="8" t="inlineStr">
        <is>
          <t>umic</t>
        </is>
      </c>
      <c r="BD1932" s="8" t="inlineStr">
        <is>
          <t>umic</t>
        </is>
      </c>
      <c r="BE1932" s="8" t="inlineStr">
        <is>
          <t>umic</t>
        </is>
      </c>
      <c r="BF1932" s="8" t="inlineStr">
        <is>
          <t>umic</t>
        </is>
      </c>
      <c r="BG1932" s="8" t="inlineStr">
        <is>
          <t>umic</t>
        </is>
      </c>
      <c r="BH1932" s="8" t="inlineStr">
        <is>
          <t>umic</t>
        </is>
      </c>
      <c r="BI1932" s="8" t="inlineStr">
        <is>
          <t>umic</t>
        </is>
      </c>
      <c r="BJ1932" s="8" t="inlineStr">
        <is>
          <t>umic</t>
        </is>
      </c>
      <c r="BK1932" s="8" t="inlineStr">
        <is>
          <t>umic</t>
        </is>
      </c>
      <c r="BL1932" s="8" t="inlineStr">
        <is>
          <t>umic</t>
        </is>
      </c>
      <c r="BM1932" s="8" t="inlineStr">
        <is>
          <t>umic</t>
        </is>
      </c>
      <c r="BN1932" s="8" t="inlineStr">
        <is>
          <t>umic</t>
        </is>
      </c>
      <c r="BO1932" s="8" t="inlineStr">
        <is>
          <t>umic</t>
        </is>
      </c>
      <c r="BP1932" s="8" t="inlineStr">
        <is>
          <t>umic</t>
        </is>
      </c>
      <c r="BQ1932" s="8" t="inlineStr">
        <is>
          <t>umic</t>
        </is>
      </c>
      <c r="BR1932" s="8" t="inlineStr">
        <is>
          <t>umic</t>
        </is>
      </c>
      <c r="BS1932" s="8" t="inlineStr">
        <is>
          <t>umic</t>
        </is>
      </c>
      <c r="BT1932" s="8" t="inlineStr">
        <is>
          <t>umic</t>
        </is>
      </c>
      <c r="BU1932" s="8" t="inlineStr">
        <is>
          <t>umic</t>
        </is>
      </c>
      <c r="BV1932" s="8" t="inlineStr">
        <is>
          <t>lmic</t>
        </is>
      </c>
      <c r="BW1932" s="8" t="inlineStr">
        <is>
          <t>lmic</t>
        </is>
      </c>
      <c r="BX1932" s="8" t="inlineStr">
        <is>
          <t>lmic</t>
        </is>
      </c>
      <c r="BY1932" s="8" t="inlineStr">
        <is>
          <t>lmic</t>
        </is>
      </c>
      <c r="BZ1932" s="8" t="inlineStr">
        <is>
          <t>lmic</t>
        </is>
      </c>
      <c r="CA1932" s="8" t="inlineStr">
        <is>
          <t>lmic</t>
        </is>
      </c>
      <c r="CB1932" s="8" t="inlineStr">
        <is>
          <t>lmic</t>
        </is>
      </c>
      <c r="CC1932" s="8" t="inlineStr">
        <is>
          <t>lmic</t>
        </is>
      </c>
      <c r="CD1932" s="8" t="inlineStr">
        <is>
          <t>lmic</t>
        </is>
      </c>
      <c r="CE1932" s="8" t="inlineStr">
        <is>
          <t>lmic</t>
        </is>
      </c>
      <c r="CF1932" s="8" t="inlineStr">
        <is>
          <t>lmic</t>
        </is>
      </c>
      <c r="CG1932" s="8" t="inlineStr">
        <is>
          <t>lmic</t>
        </is>
      </c>
      <c r="CH1932" s="8" t="inlineStr">
        <is>
          <t>lmic</t>
        </is>
      </c>
      <c r="CI1932" s="8" t="inlineStr">
        <is>
          <t>lmic</t>
        </is>
      </c>
      <c r="CJ1932" s="8" t="inlineStr">
        <is>
          <t>lmic</t>
        </is>
      </c>
      <c r="CK1932" s="8" t="inlineStr">
        <is>
          <t>lmic</t>
        </is>
      </c>
      <c r="CL1932" s="8" t="inlineStr">
        <is>
          <t>lmic</t>
        </is>
      </c>
      <c r="CM1932" s="8" t="inlineStr">
        <is>
          <t>lmic</t>
        </is>
      </c>
      <c r="CN1932" s="8" t="inlineStr">
        <is>
          <t>lmic</t>
        </is>
      </c>
      <c r="CO1932" s="8" t="inlineStr">
        <is>
          <t>lmic</t>
        </is>
      </c>
      <c r="CP1932" s="8" t="inlineStr">
        <is>
          <t>lmic</t>
        </is>
      </c>
      <c r="CQ1932" s="8" t="inlineStr">
        <is>
          <t>lmic</t>
        </is>
      </c>
      <c r="CR1932" s="8" t="inlineStr">
        <is>
          <t>lmic</t>
        </is>
      </c>
      <c r="CS1932" s="8" t="inlineStr">
        <is>
          <t>lmic</t>
        </is>
      </c>
      <c r="CT1932" s="8" t="inlineStr">
        <is>
          <t>lic</t>
        </is>
      </c>
      <c r="CU1932" s="8" t="inlineStr">
        <is>
          <t>lic</t>
        </is>
      </c>
      <c r="CV1932" s="8" t="inlineStr">
        <is>
          <t>lic</t>
        </is>
      </c>
      <c r="CW1932" s="8" t="inlineStr">
        <is>
          <t>lic</t>
        </is>
      </c>
      <c r="CX1932" s="8" t="inlineStr">
        <is>
          <t>lic</t>
        </is>
      </c>
      <c r="CY1932" s="8" t="inlineStr">
        <is>
          <t>lic</t>
        </is>
      </c>
      <c r="CZ1932" s="8" t="inlineStr">
        <is>
          <t>lic</t>
        </is>
      </c>
      <c r="DA1932" s="8" t="inlineStr">
        <is>
          <t>lic</t>
        </is>
      </c>
      <c r="DB1932" s="8" t="inlineStr">
        <is>
          <t>lic</t>
        </is>
      </c>
      <c r="DC1932" s="8" t="inlineStr">
        <is>
          <t>lic</t>
        </is>
      </c>
      <c r="DD1932" s="8" t="inlineStr">
        <is>
          <t>lic</t>
        </is>
      </c>
      <c r="DE1932" s="8" t="inlineStr">
        <is>
          <t>lic</t>
        </is>
      </c>
      <c r="DF1932" s="8" t="inlineStr">
        <is>
          <t>lic</t>
        </is>
      </c>
      <c r="DG1932" s="8" t="inlineStr">
        <is>
          <t>lic</t>
        </is>
      </c>
      <c r="DH1932" s="8" t="inlineStr">
        <is>
          <t>lic</t>
        </is>
      </c>
      <c r="DI1932" s="8" t="inlineStr">
        <is>
          <t>lic</t>
        </is>
      </c>
      <c r="DJ1932" s="8" t="inlineStr">
        <is>
          <t>lic</t>
        </is>
      </c>
      <c r="DK1932" s="8" t="inlineStr">
        <is>
          <t>lic</t>
        </is>
      </c>
      <c r="DL1932" s="8" t="inlineStr">
        <is>
          <t>lic</t>
        </is>
      </c>
      <c r="DM1932" s="8" t="inlineStr">
        <is>
          <t>lic</t>
        </is>
      </c>
      <c r="DN1932" s="8" t="inlineStr">
        <is>
          <t>lic</t>
        </is>
      </c>
      <c r="DO1932" s="8" t="inlineStr">
        <is>
          <t>lic</t>
        </is>
      </c>
      <c r="DP1932" s="8" t="inlineStr">
        <is>
          <t>lic</t>
        </is>
      </c>
      <c r="DQ1932" s="8" t="inlineStr">
        <is>
          <t>lic</t>
        </is>
      </c>
      <c r="DR1932" s="8" t="inlineStr">
        <is>
          <t>est</t>
        </is>
      </c>
      <c r="DS1932" s="8" t="inlineStr">
        <is>
          <t>est</t>
        </is>
      </c>
      <c r="DT1932" s="8" t="inlineStr">
        <is>
          <t>est</t>
        </is>
      </c>
      <c r="DU1932" s="8" t="inlineStr">
        <is>
          <t>est</t>
        </is>
      </c>
      <c r="DV1932" s="8" t="inlineStr">
        <is>
          <t>est</t>
        </is>
      </c>
      <c r="DW1932" s="8" t="inlineStr">
        <is>
          <t>est</t>
        </is>
      </c>
      <c r="DX1932" s="8" t="inlineStr">
        <is>
          <t>est</t>
        </is>
      </c>
      <c r="DY1932" s="8" t="inlineStr">
        <is>
          <t>est</t>
        </is>
      </c>
      <c r="DZ1932" s="8" t="inlineStr">
        <is>
          <t>est</t>
        </is>
      </c>
      <c r="EA1932" s="8" t="inlineStr">
        <is>
          <t>est</t>
        </is>
      </c>
      <c r="EB1932" s="8" t="inlineStr">
        <is>
          <t>est</t>
        </is>
      </c>
      <c r="EC1932" s="8" t="inlineStr">
        <is>
          <t>est</t>
        </is>
      </c>
      <c r="ED1932" s="8" t="inlineStr">
        <is>
          <t>est</t>
        </is>
      </c>
      <c r="EE1932" s="8" t="inlineStr">
        <is>
          <t>est</t>
        </is>
      </c>
      <c r="EF1932" s="8" t="inlineStr">
        <is>
          <t>est</t>
        </is>
      </c>
      <c r="EG1932" s="8" t="inlineStr">
        <is>
          <t>est</t>
        </is>
      </c>
      <c r="EH1932" s="8" t="inlineStr">
        <is>
          <t>est</t>
        </is>
      </c>
      <c r="EI1932" s="8" t="inlineStr">
        <is>
          <t>est</t>
        </is>
      </c>
      <c r="EJ1932" s="8" t="inlineStr">
        <is>
          <t>est</t>
        </is>
      </c>
      <c r="EK1932" s="8" t="inlineStr">
        <is>
          <t>est</t>
        </is>
      </c>
      <c r="EL1932" s="8" t="inlineStr">
        <is>
          <t>est</t>
        </is>
      </c>
      <c r="EM1932" s="8" t="inlineStr">
        <is>
          <t>est</t>
        </is>
      </c>
      <c r="EN1932" s="8" t="inlineStr">
        <is>
          <t>est</t>
        </is>
      </c>
      <c r="EO1932" s="8" t="inlineStr">
        <is>
          <t>est</t>
        </is>
      </c>
      <c r="EP1932" s="8" t="inlineStr">
        <is>
          <t>man</t>
        </is>
      </c>
      <c r="EQ1932" s="8" t="inlineStr">
        <is>
          <t>man</t>
        </is>
      </c>
      <c r="ER1932" s="8" t="inlineStr">
        <is>
          <t>man</t>
        </is>
      </c>
      <c r="ES1932" s="8" t="inlineStr">
        <is>
          <t>man</t>
        </is>
      </c>
      <c r="ET1932" s="8" t="inlineStr">
        <is>
          <t>man</t>
        </is>
      </c>
      <c r="EU1932" s="8" t="inlineStr">
        <is>
          <t>man</t>
        </is>
      </c>
      <c r="EV1932" s="8" t="inlineStr">
        <is>
          <t>man</t>
        </is>
      </c>
      <c r="EW1932" s="8" t="inlineStr">
        <is>
          <t>man</t>
        </is>
      </c>
      <c r="EX1932" s="8" t="inlineStr">
        <is>
          <t>man</t>
        </is>
      </c>
      <c r="EY1932" s="8" t="inlineStr">
        <is>
          <t>man</t>
        </is>
      </c>
      <c r="EZ1932" s="8" t="inlineStr">
        <is>
          <t>man</t>
        </is>
      </c>
      <c r="FA1932" s="8" t="inlineStr">
        <is>
          <t>man</t>
        </is>
      </c>
      <c r="FB1932" s="8" t="inlineStr">
        <is>
          <t>man</t>
        </is>
      </c>
      <c r="FC1932" s="8" t="inlineStr">
        <is>
          <t>man</t>
        </is>
      </c>
      <c r="FD1932" s="8" t="inlineStr">
        <is>
          <t>man</t>
        </is>
      </c>
      <c r="FE1932" s="8" t="inlineStr">
        <is>
          <t>man</t>
        </is>
      </c>
      <c r="FF1932" s="8" t="inlineStr">
        <is>
          <t>man</t>
        </is>
      </c>
      <c r="FG1932" s="8" t="inlineStr">
        <is>
          <t>man</t>
        </is>
      </c>
      <c r="FH1932" s="8" t="inlineStr">
        <is>
          <t>man</t>
        </is>
      </c>
      <c r="FI1932" s="8" t="inlineStr">
        <is>
          <t>man</t>
        </is>
      </c>
      <c r="FJ1932" s="8" t="inlineStr">
        <is>
          <t>man</t>
        </is>
      </c>
      <c r="FK1932" s="8" t="inlineStr">
        <is>
          <t>man</t>
        </is>
      </c>
      <c r="FL1932" s="8" t="inlineStr">
        <is>
          <t>man</t>
        </is>
      </c>
      <c r="FM1932" s="8" t="inlineStr">
        <is>
          <t>man</t>
        </is>
      </c>
    </row>
    <row r="1933">
      <c r="A1933" s="7" t="inlineStr">
        <is>
          <t>Range</t>
        </is>
      </c>
      <c r="B1933" s="8" t="inlineStr">
        <is>
          <t>base</t>
        </is>
      </c>
      <c r="C1933" s="8" t="inlineStr">
        <is>
          <t>low</t>
        </is>
      </c>
      <c r="D1933" s="8" t="inlineStr">
        <is>
          <t>high</t>
        </is>
      </c>
      <c r="E1933" s="8" t="inlineStr">
        <is>
          <t>base</t>
        </is>
      </c>
      <c r="F1933" s="8" t="inlineStr">
        <is>
          <t>low</t>
        </is>
      </c>
      <c r="G1933" s="8" t="inlineStr">
        <is>
          <t>high</t>
        </is>
      </c>
      <c r="H1933" s="8" t="inlineStr">
        <is>
          <t>base</t>
        </is>
      </c>
      <c r="I1933" s="8" t="inlineStr">
        <is>
          <t>low</t>
        </is>
      </c>
      <c r="J1933" s="8" t="inlineStr">
        <is>
          <t>high</t>
        </is>
      </c>
      <c r="K1933" s="8" t="inlineStr">
        <is>
          <t>base</t>
        </is>
      </c>
      <c r="L1933" s="8" t="inlineStr">
        <is>
          <t>low</t>
        </is>
      </c>
      <c r="M1933" s="8" t="inlineStr">
        <is>
          <t>high</t>
        </is>
      </c>
      <c r="N1933" s="8" t="inlineStr">
        <is>
          <t>base</t>
        </is>
      </c>
      <c r="O1933" s="8" t="inlineStr">
        <is>
          <t>low</t>
        </is>
      </c>
      <c r="P1933" s="8" t="inlineStr">
        <is>
          <t>high</t>
        </is>
      </c>
      <c r="Q1933" s="8" t="inlineStr">
        <is>
          <t>base</t>
        </is>
      </c>
      <c r="R1933" s="8" t="inlineStr">
        <is>
          <t>low</t>
        </is>
      </c>
      <c r="S1933" s="8" t="inlineStr">
        <is>
          <t>high</t>
        </is>
      </c>
      <c r="T1933" s="8" t="inlineStr">
        <is>
          <t>base</t>
        </is>
      </c>
      <c r="U1933" s="8" t="inlineStr">
        <is>
          <t>low</t>
        </is>
      </c>
      <c r="V1933" s="8" t="inlineStr">
        <is>
          <t>high</t>
        </is>
      </c>
      <c r="W1933" s="8" t="inlineStr">
        <is>
          <t>base</t>
        </is>
      </c>
      <c r="X1933" s="8" t="inlineStr">
        <is>
          <t>low</t>
        </is>
      </c>
      <c r="Y1933" s="8" t="inlineStr">
        <is>
          <t>high</t>
        </is>
      </c>
      <c r="Z1933" s="8" t="inlineStr">
        <is>
          <t>base</t>
        </is>
      </c>
      <c r="AA1933" s="8" t="inlineStr">
        <is>
          <t>low</t>
        </is>
      </c>
      <c r="AB1933" s="8" t="inlineStr">
        <is>
          <t>high</t>
        </is>
      </c>
      <c r="AC1933" s="8" t="inlineStr">
        <is>
          <t>base</t>
        </is>
      </c>
      <c r="AD1933" s="8" t="inlineStr">
        <is>
          <t>low</t>
        </is>
      </c>
      <c r="AE1933" s="8" t="inlineStr">
        <is>
          <t>high</t>
        </is>
      </c>
      <c r="AF1933" s="8" t="inlineStr">
        <is>
          <t>base</t>
        </is>
      </c>
      <c r="AG1933" s="8" t="inlineStr">
        <is>
          <t>low</t>
        </is>
      </c>
      <c r="AH1933" s="8" t="inlineStr">
        <is>
          <t>high</t>
        </is>
      </c>
      <c r="AI1933" s="8" t="inlineStr">
        <is>
          <t>base</t>
        </is>
      </c>
      <c r="AJ1933" s="8" t="inlineStr">
        <is>
          <t>low</t>
        </is>
      </c>
      <c r="AK1933" s="8" t="inlineStr">
        <is>
          <t>high</t>
        </is>
      </c>
      <c r="AL1933" s="8" t="inlineStr">
        <is>
          <t>base</t>
        </is>
      </c>
      <c r="AM1933" s="8" t="inlineStr">
        <is>
          <t>low</t>
        </is>
      </c>
      <c r="AN1933" s="8" t="inlineStr">
        <is>
          <t>high</t>
        </is>
      </c>
      <c r="AO1933" s="8" t="inlineStr">
        <is>
          <t>base</t>
        </is>
      </c>
      <c r="AP1933" s="8" t="inlineStr">
        <is>
          <t>low</t>
        </is>
      </c>
      <c r="AQ1933" s="8" t="inlineStr">
        <is>
          <t>high</t>
        </is>
      </c>
      <c r="AR1933" s="8" t="inlineStr">
        <is>
          <t>base</t>
        </is>
      </c>
      <c r="AS1933" s="8" t="inlineStr">
        <is>
          <t>low</t>
        </is>
      </c>
      <c r="AT1933" s="8" t="inlineStr">
        <is>
          <t>high</t>
        </is>
      </c>
      <c r="AU1933" s="8" t="inlineStr">
        <is>
          <t>base</t>
        </is>
      </c>
      <c r="AV1933" s="8" t="inlineStr">
        <is>
          <t>low</t>
        </is>
      </c>
      <c r="AW1933" s="8" t="inlineStr">
        <is>
          <t>high</t>
        </is>
      </c>
      <c r="AX1933" s="8" t="inlineStr">
        <is>
          <t>base</t>
        </is>
      </c>
      <c r="AY1933" s="8" t="inlineStr">
        <is>
          <t>low</t>
        </is>
      </c>
      <c r="AZ1933" s="8" t="inlineStr">
        <is>
          <t>high</t>
        </is>
      </c>
      <c r="BA1933" s="8" t="inlineStr">
        <is>
          <t>base</t>
        </is>
      </c>
      <c r="BB1933" s="8" t="inlineStr">
        <is>
          <t>low</t>
        </is>
      </c>
      <c r="BC1933" s="8" t="inlineStr">
        <is>
          <t>high</t>
        </is>
      </c>
      <c r="BD1933" s="8" t="inlineStr">
        <is>
          <t>base</t>
        </is>
      </c>
      <c r="BE1933" s="8" t="inlineStr">
        <is>
          <t>low</t>
        </is>
      </c>
      <c r="BF1933" s="8" t="inlineStr">
        <is>
          <t>high</t>
        </is>
      </c>
      <c r="BG1933" s="8" t="inlineStr">
        <is>
          <t>base</t>
        </is>
      </c>
      <c r="BH1933" s="8" t="inlineStr">
        <is>
          <t>low</t>
        </is>
      </c>
      <c r="BI1933" s="8" t="inlineStr">
        <is>
          <t>high</t>
        </is>
      </c>
      <c r="BJ1933" s="8" t="inlineStr">
        <is>
          <t>base</t>
        </is>
      </c>
      <c r="BK1933" s="8" t="inlineStr">
        <is>
          <t>low</t>
        </is>
      </c>
      <c r="BL1933" s="8" t="inlineStr">
        <is>
          <t>high</t>
        </is>
      </c>
      <c r="BM1933" s="8" t="inlineStr">
        <is>
          <t>base</t>
        </is>
      </c>
      <c r="BN1933" s="8" t="inlineStr">
        <is>
          <t>low</t>
        </is>
      </c>
      <c r="BO1933" s="8" t="inlineStr">
        <is>
          <t>high</t>
        </is>
      </c>
      <c r="BP1933" s="8" t="inlineStr">
        <is>
          <t>base</t>
        </is>
      </c>
      <c r="BQ1933" s="8" t="inlineStr">
        <is>
          <t>low</t>
        </is>
      </c>
      <c r="BR1933" s="8" t="inlineStr">
        <is>
          <t>high</t>
        </is>
      </c>
      <c r="BS1933" s="8" t="inlineStr">
        <is>
          <t>base</t>
        </is>
      </c>
      <c r="BT1933" s="8" t="inlineStr">
        <is>
          <t>low</t>
        </is>
      </c>
      <c r="BU1933" s="8" t="inlineStr">
        <is>
          <t>high</t>
        </is>
      </c>
      <c r="BV1933" s="8" t="inlineStr">
        <is>
          <t>base</t>
        </is>
      </c>
      <c r="BW1933" s="8" t="inlineStr">
        <is>
          <t>low</t>
        </is>
      </c>
      <c r="BX1933" s="8" t="inlineStr">
        <is>
          <t>high</t>
        </is>
      </c>
      <c r="BY1933" s="8" t="inlineStr">
        <is>
          <t>base</t>
        </is>
      </c>
      <c r="BZ1933" s="8" t="inlineStr">
        <is>
          <t>low</t>
        </is>
      </c>
      <c r="CA1933" s="8" t="inlineStr">
        <is>
          <t>high</t>
        </is>
      </c>
      <c r="CB1933" s="8" t="inlineStr">
        <is>
          <t>base</t>
        </is>
      </c>
      <c r="CC1933" s="8" t="inlineStr">
        <is>
          <t>low</t>
        </is>
      </c>
      <c r="CD1933" s="8" t="inlineStr">
        <is>
          <t>high</t>
        </is>
      </c>
      <c r="CE1933" s="8" t="inlineStr">
        <is>
          <t>base</t>
        </is>
      </c>
      <c r="CF1933" s="8" t="inlineStr">
        <is>
          <t>low</t>
        </is>
      </c>
      <c r="CG1933" s="8" t="inlineStr">
        <is>
          <t>high</t>
        </is>
      </c>
      <c r="CH1933" s="8" t="inlineStr">
        <is>
          <t>base</t>
        </is>
      </c>
      <c r="CI1933" s="8" t="inlineStr">
        <is>
          <t>low</t>
        </is>
      </c>
      <c r="CJ1933" s="8" t="inlineStr">
        <is>
          <t>high</t>
        </is>
      </c>
      <c r="CK1933" s="8" t="inlineStr">
        <is>
          <t>base</t>
        </is>
      </c>
      <c r="CL1933" s="8" t="inlineStr">
        <is>
          <t>low</t>
        </is>
      </c>
      <c r="CM1933" s="8" t="inlineStr">
        <is>
          <t>high</t>
        </is>
      </c>
      <c r="CN1933" s="8" t="inlineStr">
        <is>
          <t>base</t>
        </is>
      </c>
      <c r="CO1933" s="8" t="inlineStr">
        <is>
          <t>low</t>
        </is>
      </c>
      <c r="CP1933" s="8" t="inlineStr">
        <is>
          <t>high</t>
        </is>
      </c>
      <c r="CQ1933" s="8" t="inlineStr">
        <is>
          <t>base</t>
        </is>
      </c>
      <c r="CR1933" s="8" t="inlineStr">
        <is>
          <t>low</t>
        </is>
      </c>
      <c r="CS1933" s="8" t="inlineStr">
        <is>
          <t>high</t>
        </is>
      </c>
      <c r="CT1933" s="8" t="inlineStr">
        <is>
          <t>base</t>
        </is>
      </c>
      <c r="CU1933" s="8" t="inlineStr">
        <is>
          <t>low</t>
        </is>
      </c>
      <c r="CV1933" s="8" t="inlineStr">
        <is>
          <t>high</t>
        </is>
      </c>
      <c r="CW1933" s="8" t="inlineStr">
        <is>
          <t>base</t>
        </is>
      </c>
      <c r="CX1933" s="8" t="inlineStr">
        <is>
          <t>low</t>
        </is>
      </c>
      <c r="CY1933" s="8" t="inlineStr">
        <is>
          <t>high</t>
        </is>
      </c>
      <c r="CZ1933" s="8" t="inlineStr">
        <is>
          <t>base</t>
        </is>
      </c>
      <c r="DA1933" s="8" t="inlineStr">
        <is>
          <t>low</t>
        </is>
      </c>
      <c r="DB1933" s="8" t="inlineStr">
        <is>
          <t>high</t>
        </is>
      </c>
      <c r="DC1933" s="8" t="inlineStr">
        <is>
          <t>base</t>
        </is>
      </c>
      <c r="DD1933" s="8" t="inlineStr">
        <is>
          <t>low</t>
        </is>
      </c>
      <c r="DE1933" s="8" t="inlineStr">
        <is>
          <t>high</t>
        </is>
      </c>
      <c r="DF1933" s="8" t="inlineStr">
        <is>
          <t>base</t>
        </is>
      </c>
      <c r="DG1933" s="8" t="inlineStr">
        <is>
          <t>low</t>
        </is>
      </c>
      <c r="DH1933" s="8" t="inlineStr">
        <is>
          <t>high</t>
        </is>
      </c>
      <c r="DI1933" s="8" t="inlineStr">
        <is>
          <t>base</t>
        </is>
      </c>
      <c r="DJ1933" s="8" t="inlineStr">
        <is>
          <t>low</t>
        </is>
      </c>
      <c r="DK1933" s="8" t="inlineStr">
        <is>
          <t>high</t>
        </is>
      </c>
      <c r="DL1933" s="8" t="inlineStr">
        <is>
          <t>base</t>
        </is>
      </c>
      <c r="DM1933" s="8" t="inlineStr">
        <is>
          <t>low</t>
        </is>
      </c>
      <c r="DN1933" s="8" t="inlineStr">
        <is>
          <t>high</t>
        </is>
      </c>
      <c r="DO1933" s="8" t="inlineStr">
        <is>
          <t>base</t>
        </is>
      </c>
      <c r="DP1933" s="8" t="inlineStr">
        <is>
          <t>low</t>
        </is>
      </c>
      <c r="DQ1933" s="8" t="inlineStr">
        <is>
          <t>high</t>
        </is>
      </c>
      <c r="DR1933" s="8" t="inlineStr">
        <is>
          <t>base</t>
        </is>
      </c>
      <c r="DS1933" s="8" t="inlineStr">
        <is>
          <t>low</t>
        </is>
      </c>
      <c r="DT1933" s="8" t="inlineStr">
        <is>
          <t>high</t>
        </is>
      </c>
      <c r="DU1933" s="8" t="inlineStr">
        <is>
          <t>base</t>
        </is>
      </c>
      <c r="DV1933" s="8" t="inlineStr">
        <is>
          <t>low</t>
        </is>
      </c>
      <c r="DW1933" s="8" t="inlineStr">
        <is>
          <t>high</t>
        </is>
      </c>
      <c r="DX1933" s="8" t="inlineStr">
        <is>
          <t>base</t>
        </is>
      </c>
      <c r="DY1933" s="8" t="inlineStr">
        <is>
          <t>low</t>
        </is>
      </c>
      <c r="DZ1933" s="8" t="inlineStr">
        <is>
          <t>high</t>
        </is>
      </c>
      <c r="EA1933" s="8" t="inlineStr">
        <is>
          <t>base</t>
        </is>
      </c>
      <c r="EB1933" s="8" t="inlineStr">
        <is>
          <t>low</t>
        </is>
      </c>
      <c r="EC1933" s="8" t="inlineStr">
        <is>
          <t>high</t>
        </is>
      </c>
      <c r="ED1933" s="8" t="inlineStr">
        <is>
          <t>base</t>
        </is>
      </c>
      <c r="EE1933" s="8" t="inlineStr">
        <is>
          <t>low</t>
        </is>
      </c>
      <c r="EF1933" s="8" t="inlineStr">
        <is>
          <t>high</t>
        </is>
      </c>
      <c r="EG1933" s="8" t="inlineStr">
        <is>
          <t>base</t>
        </is>
      </c>
      <c r="EH1933" s="8" t="inlineStr">
        <is>
          <t>low</t>
        </is>
      </c>
      <c r="EI1933" s="8" t="inlineStr">
        <is>
          <t>high</t>
        </is>
      </c>
      <c r="EJ1933" s="8" t="inlineStr">
        <is>
          <t>base</t>
        </is>
      </c>
      <c r="EK1933" s="8" t="inlineStr">
        <is>
          <t>low</t>
        </is>
      </c>
      <c r="EL1933" s="8" t="inlineStr">
        <is>
          <t>high</t>
        </is>
      </c>
      <c r="EM1933" s="8" t="inlineStr">
        <is>
          <t>base</t>
        </is>
      </c>
      <c r="EN1933" s="8" t="inlineStr">
        <is>
          <t>low</t>
        </is>
      </c>
      <c r="EO1933" s="8" t="inlineStr">
        <is>
          <t>high</t>
        </is>
      </c>
      <c r="EP1933" s="8" t="inlineStr">
        <is>
          <t>base</t>
        </is>
      </c>
      <c r="EQ1933" s="8" t="inlineStr">
        <is>
          <t>low</t>
        </is>
      </c>
      <c r="ER1933" s="8" t="inlineStr">
        <is>
          <t>high</t>
        </is>
      </c>
      <c r="ES1933" s="8" t="inlineStr">
        <is>
          <t>base</t>
        </is>
      </c>
      <c r="ET1933" s="8" t="inlineStr">
        <is>
          <t>low</t>
        </is>
      </c>
      <c r="EU1933" s="8" t="inlineStr">
        <is>
          <t>high</t>
        </is>
      </c>
      <c r="EV1933" s="8" t="inlineStr">
        <is>
          <t>base</t>
        </is>
      </c>
      <c r="EW1933" s="8" t="inlineStr">
        <is>
          <t>low</t>
        </is>
      </c>
      <c r="EX1933" s="8" t="inlineStr">
        <is>
          <t>high</t>
        </is>
      </c>
      <c r="EY1933" s="8" t="inlineStr">
        <is>
          <t>base</t>
        </is>
      </c>
      <c r="EZ1933" s="8" t="inlineStr">
        <is>
          <t>low</t>
        </is>
      </c>
      <c r="FA1933" s="8" t="inlineStr">
        <is>
          <t>high</t>
        </is>
      </c>
      <c r="FB1933" s="8" t="inlineStr">
        <is>
          <t>base</t>
        </is>
      </c>
      <c r="FC1933" s="8" t="inlineStr">
        <is>
          <t>low</t>
        </is>
      </c>
      <c r="FD1933" s="8" t="inlineStr">
        <is>
          <t>high</t>
        </is>
      </c>
      <c r="FE1933" s="8" t="inlineStr">
        <is>
          <t>base</t>
        </is>
      </c>
      <c r="FF1933" s="8" t="inlineStr">
        <is>
          <t>low</t>
        </is>
      </c>
      <c r="FG1933" s="8" t="inlineStr">
        <is>
          <t>high</t>
        </is>
      </c>
      <c r="FH1933" s="8" t="inlineStr">
        <is>
          <t>base</t>
        </is>
      </c>
      <c r="FI1933" s="8" t="inlineStr">
        <is>
          <t>low</t>
        </is>
      </c>
      <c r="FJ1933" s="8" t="inlineStr">
        <is>
          <t>high</t>
        </is>
      </c>
      <c r="FK1933" s="8" t="inlineStr">
        <is>
          <t>base</t>
        </is>
      </c>
      <c r="FL1933" s="8" t="inlineStr">
        <is>
          <t>low</t>
        </is>
      </c>
      <c r="FM1933" s="8" t="inlineStr">
        <is>
          <t>high</t>
        </is>
      </c>
    </row>
    <row r="1934">
      <c r="A1934" s="7" t="inlineStr">
        <is>
          <t>Instrument</t>
        </is>
      </c>
      <c r="B1934" s="8" t="inlineStr">
        <is>
          <t>exc</t>
        </is>
      </c>
      <c r="C1934" s="8" t="inlineStr">
        <is>
          <t>exc</t>
        </is>
      </c>
      <c r="D1934" s="8" t="inlineStr">
        <is>
          <t>exc</t>
        </is>
      </c>
      <c r="E1934" s="8" t="inlineStr">
        <is>
          <t>pit</t>
        </is>
      </c>
      <c r="F1934" s="8" t="inlineStr">
        <is>
          <t>pit</t>
        </is>
      </c>
      <c r="G1934" s="8" t="inlineStr">
        <is>
          <t>pit</t>
        </is>
      </c>
      <c r="H1934" s="8" t="inlineStr">
        <is>
          <t>cit</t>
        </is>
      </c>
      <c r="I1934" s="8" t="inlineStr">
        <is>
          <t>cit</t>
        </is>
      </c>
      <c r="J1934" s="8" t="inlineStr">
        <is>
          <t>cit</t>
        </is>
      </c>
      <c r="K1934" s="8" t="inlineStr">
        <is>
          <t>vat</t>
        </is>
      </c>
      <c r="L1934" s="8" t="inlineStr">
        <is>
          <t>vat</t>
        </is>
      </c>
      <c r="M1934" s="8" t="inlineStr">
        <is>
          <t>vat</t>
        </is>
      </c>
      <c r="N1934" s="8" t="inlineStr">
        <is>
          <t>capt</t>
        </is>
      </c>
      <c r="O1934" s="8" t="inlineStr">
        <is>
          <t>capt</t>
        </is>
      </c>
      <c r="P1934" s="8" t="inlineStr">
        <is>
          <t>capt</t>
        </is>
      </c>
      <c r="Q1934" s="8" t="inlineStr">
        <is>
          <t>gnfs</t>
        </is>
      </c>
      <c r="R1934" s="8" t="inlineStr">
        <is>
          <t>gnfs</t>
        </is>
      </c>
      <c r="S1934" s="8" t="inlineStr">
        <is>
          <t>gnfs</t>
        </is>
      </c>
      <c r="T1934" s="8" t="inlineStr">
        <is>
          <t>trns</t>
        </is>
      </c>
      <c r="U1934" s="8" t="inlineStr">
        <is>
          <t>trns</t>
        </is>
      </c>
      <c r="V1934" s="8" t="inlineStr">
        <is>
          <t>trns</t>
        </is>
      </c>
      <c r="W1934" s="8" t="inlineStr">
        <is>
          <t>wage</t>
        </is>
      </c>
      <c r="X1934" s="8" t="inlineStr">
        <is>
          <t>wage</t>
        </is>
      </c>
      <c r="Y1934" s="8" t="inlineStr">
        <is>
          <t>wage</t>
        </is>
      </c>
      <c r="Z1934" s="8" t="inlineStr">
        <is>
          <t>exc</t>
        </is>
      </c>
      <c r="AA1934" s="8" t="inlineStr">
        <is>
          <t>exc</t>
        </is>
      </c>
      <c r="AB1934" s="8" t="inlineStr">
        <is>
          <t>exc</t>
        </is>
      </c>
      <c r="AC1934" s="8" t="inlineStr">
        <is>
          <t>pit</t>
        </is>
      </c>
      <c r="AD1934" s="8" t="inlineStr">
        <is>
          <t>pit</t>
        </is>
      </c>
      <c r="AE1934" s="8" t="inlineStr">
        <is>
          <t>pit</t>
        </is>
      </c>
      <c r="AF1934" s="8" t="inlineStr">
        <is>
          <t>cit</t>
        </is>
      </c>
      <c r="AG1934" s="8" t="inlineStr">
        <is>
          <t>cit</t>
        </is>
      </c>
      <c r="AH1934" s="8" t="inlineStr">
        <is>
          <t>cit</t>
        </is>
      </c>
      <c r="AI1934" s="8" t="inlineStr">
        <is>
          <t>vat</t>
        </is>
      </c>
      <c r="AJ1934" s="8" t="inlineStr">
        <is>
          <t>vat</t>
        </is>
      </c>
      <c r="AK1934" s="8" t="inlineStr">
        <is>
          <t>vat</t>
        </is>
      </c>
      <c r="AL1934" s="8" t="inlineStr">
        <is>
          <t>capt</t>
        </is>
      </c>
      <c r="AM1934" s="8" t="inlineStr">
        <is>
          <t>capt</t>
        </is>
      </c>
      <c r="AN1934" s="8" t="inlineStr">
        <is>
          <t>capt</t>
        </is>
      </c>
      <c r="AO1934" s="8" t="inlineStr">
        <is>
          <t>gnfs</t>
        </is>
      </c>
      <c r="AP1934" s="8" t="inlineStr">
        <is>
          <t>gnfs</t>
        </is>
      </c>
      <c r="AQ1934" s="8" t="inlineStr">
        <is>
          <t>gnfs</t>
        </is>
      </c>
      <c r="AR1934" s="8" t="inlineStr">
        <is>
          <t>trns</t>
        </is>
      </c>
      <c r="AS1934" s="8" t="inlineStr">
        <is>
          <t>trns</t>
        </is>
      </c>
      <c r="AT1934" s="8" t="inlineStr">
        <is>
          <t>trns</t>
        </is>
      </c>
      <c r="AU1934" s="8" t="inlineStr">
        <is>
          <t>wage</t>
        </is>
      </c>
      <c r="AV1934" s="8" t="inlineStr">
        <is>
          <t>wage</t>
        </is>
      </c>
      <c r="AW1934" s="8" t="inlineStr">
        <is>
          <t>wage</t>
        </is>
      </c>
      <c r="AX1934" s="8" t="inlineStr">
        <is>
          <t>exc</t>
        </is>
      </c>
      <c r="AY1934" s="8" t="inlineStr">
        <is>
          <t>exc</t>
        </is>
      </c>
      <c r="AZ1934" s="8" t="inlineStr">
        <is>
          <t>exc</t>
        </is>
      </c>
      <c r="BA1934" s="8" t="inlineStr">
        <is>
          <t>pit</t>
        </is>
      </c>
      <c r="BB1934" s="8" t="inlineStr">
        <is>
          <t>pit</t>
        </is>
      </c>
      <c r="BC1934" s="8" t="inlineStr">
        <is>
          <t>pit</t>
        </is>
      </c>
      <c r="BD1934" s="8" t="inlineStr">
        <is>
          <t>cit</t>
        </is>
      </c>
      <c r="BE1934" s="8" t="inlineStr">
        <is>
          <t>cit</t>
        </is>
      </c>
      <c r="BF1934" s="8" t="inlineStr">
        <is>
          <t>cit</t>
        </is>
      </c>
      <c r="BG1934" s="8" t="inlineStr">
        <is>
          <t>vat</t>
        </is>
      </c>
      <c r="BH1934" s="8" t="inlineStr">
        <is>
          <t>vat</t>
        </is>
      </c>
      <c r="BI1934" s="8" t="inlineStr">
        <is>
          <t>vat</t>
        </is>
      </c>
      <c r="BJ1934" s="8" t="inlineStr">
        <is>
          <t>capt</t>
        </is>
      </c>
      <c r="BK1934" s="8" t="inlineStr">
        <is>
          <t>capt</t>
        </is>
      </c>
      <c r="BL1934" s="8" t="inlineStr">
        <is>
          <t>capt</t>
        </is>
      </c>
      <c r="BM1934" s="8" t="inlineStr">
        <is>
          <t>gnfs</t>
        </is>
      </c>
      <c r="BN1934" s="8" t="inlineStr">
        <is>
          <t>gnfs</t>
        </is>
      </c>
      <c r="BO1934" s="8" t="inlineStr">
        <is>
          <t>gnfs</t>
        </is>
      </c>
      <c r="BP1934" s="8" t="inlineStr">
        <is>
          <t>trns</t>
        </is>
      </c>
      <c r="BQ1934" s="8" t="inlineStr">
        <is>
          <t>trns</t>
        </is>
      </c>
      <c r="BR1934" s="8" t="inlineStr">
        <is>
          <t>trns</t>
        </is>
      </c>
      <c r="BS1934" s="8" t="inlineStr">
        <is>
          <t>wage</t>
        </is>
      </c>
      <c r="BT1934" s="8" t="inlineStr">
        <is>
          <t>wage</t>
        </is>
      </c>
      <c r="BU1934" s="8" t="inlineStr">
        <is>
          <t>wage</t>
        </is>
      </c>
      <c r="BV1934" s="8" t="inlineStr">
        <is>
          <t>exc</t>
        </is>
      </c>
      <c r="BW1934" s="8" t="inlineStr">
        <is>
          <t>exc</t>
        </is>
      </c>
      <c r="BX1934" s="8" t="inlineStr">
        <is>
          <t>exc</t>
        </is>
      </c>
      <c r="BY1934" s="8" t="inlineStr">
        <is>
          <t>pit</t>
        </is>
      </c>
      <c r="BZ1934" s="8" t="inlineStr">
        <is>
          <t>pit</t>
        </is>
      </c>
      <c r="CA1934" s="8" t="inlineStr">
        <is>
          <t>pit</t>
        </is>
      </c>
      <c r="CB1934" s="8" t="inlineStr">
        <is>
          <t>cit</t>
        </is>
      </c>
      <c r="CC1934" s="8" t="inlineStr">
        <is>
          <t>cit</t>
        </is>
      </c>
      <c r="CD1934" s="8" t="inlineStr">
        <is>
          <t>cit</t>
        </is>
      </c>
      <c r="CE1934" s="8" t="inlineStr">
        <is>
          <t>vat</t>
        </is>
      </c>
      <c r="CF1934" s="8" t="inlineStr">
        <is>
          <t>vat</t>
        </is>
      </c>
      <c r="CG1934" s="8" t="inlineStr">
        <is>
          <t>vat</t>
        </is>
      </c>
      <c r="CH1934" s="8" t="inlineStr">
        <is>
          <t>capt</t>
        </is>
      </c>
      <c r="CI1934" s="8" t="inlineStr">
        <is>
          <t>capt</t>
        </is>
      </c>
      <c r="CJ1934" s="8" t="inlineStr">
        <is>
          <t>capt</t>
        </is>
      </c>
      <c r="CK1934" s="8" t="inlineStr">
        <is>
          <t>gnfs</t>
        </is>
      </c>
      <c r="CL1934" s="8" t="inlineStr">
        <is>
          <t>gnfs</t>
        </is>
      </c>
      <c r="CM1934" s="8" t="inlineStr">
        <is>
          <t>gnfs</t>
        </is>
      </c>
      <c r="CN1934" s="8" t="inlineStr">
        <is>
          <t>trns</t>
        </is>
      </c>
      <c r="CO1934" s="8" t="inlineStr">
        <is>
          <t>trns</t>
        </is>
      </c>
      <c r="CP1934" s="8" t="inlineStr">
        <is>
          <t>trns</t>
        </is>
      </c>
      <c r="CQ1934" s="8" t="inlineStr">
        <is>
          <t>wage</t>
        </is>
      </c>
      <c r="CR1934" s="8" t="inlineStr">
        <is>
          <t>wage</t>
        </is>
      </c>
      <c r="CS1934" s="8" t="inlineStr">
        <is>
          <t>wage</t>
        </is>
      </c>
      <c r="CT1934" s="8" t="inlineStr">
        <is>
          <t>exc</t>
        </is>
      </c>
      <c r="CU1934" s="8" t="inlineStr">
        <is>
          <t>exc</t>
        </is>
      </c>
      <c r="CV1934" s="8" t="inlineStr">
        <is>
          <t>exc</t>
        </is>
      </c>
      <c r="CW1934" s="8" t="inlineStr">
        <is>
          <t>pit</t>
        </is>
      </c>
      <c r="CX1934" s="8" t="inlineStr">
        <is>
          <t>pit</t>
        </is>
      </c>
      <c r="CY1934" s="8" t="inlineStr">
        <is>
          <t>pit</t>
        </is>
      </c>
      <c r="CZ1934" s="8" t="inlineStr">
        <is>
          <t>cit</t>
        </is>
      </c>
      <c r="DA1934" s="8" t="inlineStr">
        <is>
          <t>cit</t>
        </is>
      </c>
      <c r="DB1934" s="8" t="inlineStr">
        <is>
          <t>cit</t>
        </is>
      </c>
      <c r="DC1934" s="8" t="inlineStr">
        <is>
          <t>vat</t>
        </is>
      </c>
      <c r="DD1934" s="8" t="inlineStr">
        <is>
          <t>vat</t>
        </is>
      </c>
      <c r="DE1934" s="8" t="inlineStr">
        <is>
          <t>vat</t>
        </is>
      </c>
      <c r="DF1934" s="8" t="inlineStr">
        <is>
          <t>capt</t>
        </is>
      </c>
      <c r="DG1934" s="8" t="inlineStr">
        <is>
          <t>capt</t>
        </is>
      </c>
      <c r="DH1934" s="8" t="inlineStr">
        <is>
          <t>capt</t>
        </is>
      </c>
      <c r="DI1934" s="8" t="inlineStr">
        <is>
          <t>gnfs</t>
        </is>
      </c>
      <c r="DJ1934" s="8" t="inlineStr">
        <is>
          <t>gnfs</t>
        </is>
      </c>
      <c r="DK1934" s="8" t="inlineStr">
        <is>
          <t>gnfs</t>
        </is>
      </c>
      <c r="DL1934" s="8" t="inlineStr">
        <is>
          <t>trns</t>
        </is>
      </c>
      <c r="DM1934" s="8" t="inlineStr">
        <is>
          <t>trns</t>
        </is>
      </c>
      <c r="DN1934" s="8" t="inlineStr">
        <is>
          <t>trns</t>
        </is>
      </c>
      <c r="DO1934" s="8" t="inlineStr">
        <is>
          <t>wage</t>
        </is>
      </c>
      <c r="DP1934" s="8" t="inlineStr">
        <is>
          <t>wage</t>
        </is>
      </c>
      <c r="DQ1934" s="8" t="inlineStr">
        <is>
          <t>wage</t>
        </is>
      </c>
      <c r="DR1934" s="8" t="inlineStr">
        <is>
          <t>exc</t>
        </is>
      </c>
      <c r="DS1934" s="8" t="inlineStr">
        <is>
          <t>exc</t>
        </is>
      </c>
      <c r="DT1934" s="8" t="inlineStr">
        <is>
          <t>exc</t>
        </is>
      </c>
      <c r="DU1934" s="8" t="inlineStr">
        <is>
          <t>pit</t>
        </is>
      </c>
      <c r="DV1934" s="8" t="inlineStr">
        <is>
          <t>pit</t>
        </is>
      </c>
      <c r="DW1934" s="8" t="inlineStr">
        <is>
          <t>pit</t>
        </is>
      </c>
      <c r="DX1934" s="8" t="inlineStr">
        <is>
          <t>cit</t>
        </is>
      </c>
      <c r="DY1934" s="8" t="inlineStr">
        <is>
          <t>cit</t>
        </is>
      </c>
      <c r="DZ1934" s="8" t="inlineStr">
        <is>
          <t>cit</t>
        </is>
      </c>
      <c r="EA1934" s="8" t="inlineStr">
        <is>
          <t>vat</t>
        </is>
      </c>
      <c r="EB1934" s="8" t="inlineStr">
        <is>
          <t>vat</t>
        </is>
      </c>
      <c r="EC1934" s="8" t="inlineStr">
        <is>
          <t>vat</t>
        </is>
      </c>
      <c r="ED1934" s="8" t="inlineStr">
        <is>
          <t>capt</t>
        </is>
      </c>
      <c r="EE1934" s="8" t="inlineStr">
        <is>
          <t>capt</t>
        </is>
      </c>
      <c r="EF1934" s="8" t="inlineStr">
        <is>
          <t>capt</t>
        </is>
      </c>
      <c r="EG1934" s="8" t="inlineStr">
        <is>
          <t>gnfs</t>
        </is>
      </c>
      <c r="EH1934" s="8" t="inlineStr">
        <is>
          <t>gnfs</t>
        </is>
      </c>
      <c r="EI1934" s="8" t="inlineStr">
        <is>
          <t>gnfs</t>
        </is>
      </c>
      <c r="EJ1934" s="8" t="inlineStr">
        <is>
          <t>trns</t>
        </is>
      </c>
      <c r="EK1934" s="8" t="inlineStr">
        <is>
          <t>trns</t>
        </is>
      </c>
      <c r="EL1934" s="8" t="inlineStr">
        <is>
          <t>trns</t>
        </is>
      </c>
      <c r="EM1934" s="8" t="inlineStr">
        <is>
          <t>wage</t>
        </is>
      </c>
      <c r="EN1934" s="8" t="inlineStr">
        <is>
          <t>wage</t>
        </is>
      </c>
      <c r="EO1934" s="8" t="inlineStr">
        <is>
          <t>wage</t>
        </is>
      </c>
      <c r="EP1934" s="8" t="inlineStr">
        <is>
          <t>exc</t>
        </is>
      </c>
      <c r="EQ1934" s="8" t="inlineStr">
        <is>
          <t>exc</t>
        </is>
      </c>
      <c r="ER1934" s="8" t="inlineStr">
        <is>
          <t>exc</t>
        </is>
      </c>
      <c r="ES1934" s="8" t="inlineStr">
        <is>
          <t>pit</t>
        </is>
      </c>
      <c r="ET1934" s="8" t="inlineStr">
        <is>
          <t>pit</t>
        </is>
      </c>
      <c r="EU1934" s="8" t="inlineStr">
        <is>
          <t>pit</t>
        </is>
      </c>
      <c r="EV1934" s="8" t="inlineStr">
        <is>
          <t>cit</t>
        </is>
      </c>
      <c r="EW1934" s="8" t="inlineStr">
        <is>
          <t>cit</t>
        </is>
      </c>
      <c r="EX1934" s="8" t="inlineStr">
        <is>
          <t>cit</t>
        </is>
      </c>
      <c r="EY1934" s="8" t="inlineStr">
        <is>
          <t>vat</t>
        </is>
      </c>
      <c r="EZ1934" s="8" t="inlineStr">
        <is>
          <t>vat</t>
        </is>
      </c>
      <c r="FA1934" s="8" t="inlineStr">
        <is>
          <t>vat</t>
        </is>
      </c>
      <c r="FB1934" s="8" t="inlineStr">
        <is>
          <t>capt</t>
        </is>
      </c>
      <c r="FC1934" s="8" t="inlineStr">
        <is>
          <t>capt</t>
        </is>
      </c>
      <c r="FD1934" s="8" t="inlineStr">
        <is>
          <t>capt</t>
        </is>
      </c>
      <c r="FE1934" s="8" t="inlineStr">
        <is>
          <t>gnfs</t>
        </is>
      </c>
      <c r="FF1934" s="8" t="inlineStr">
        <is>
          <t>gnfs</t>
        </is>
      </c>
      <c r="FG1934" s="8" t="inlineStr">
        <is>
          <t>gnfs</t>
        </is>
      </c>
      <c r="FH1934" s="8" t="inlineStr">
        <is>
          <t>trns</t>
        </is>
      </c>
      <c r="FI1934" s="8" t="inlineStr">
        <is>
          <t>trns</t>
        </is>
      </c>
      <c r="FJ1934" s="8" t="inlineStr">
        <is>
          <t>trns</t>
        </is>
      </c>
      <c r="FK1934" s="8" t="inlineStr">
        <is>
          <t>wage</t>
        </is>
      </c>
      <c r="FL1934" s="8" t="inlineStr">
        <is>
          <t>wage</t>
        </is>
      </c>
      <c r="FM1934" s="8" t="inlineStr">
        <is>
          <t>wage</t>
        </is>
      </c>
    </row>
    <row r="1935">
      <c r="A1935" s="7" t="inlineStr">
        <is>
          <t>Legacy row: median (man: row of Manual inputs)</t>
        </is>
      </c>
      <c r="B1935" s="8" t="n">
        <v>92</v>
      </c>
      <c r="C1935" s="8" t="n">
        <v>92</v>
      </c>
      <c r="D1935" s="8" t="n">
        <v>92</v>
      </c>
      <c r="E1935" s="8" t="n">
        <v>93</v>
      </c>
      <c r="F1935" s="8" t="n">
        <v>93</v>
      </c>
      <c r="G1935" s="8" t="n">
        <v>93</v>
      </c>
      <c r="H1935" s="8" t="n">
        <v>94</v>
      </c>
      <c r="I1935" s="8" t="n">
        <v>94</v>
      </c>
      <c r="J1935" s="8" t="n">
        <v>94</v>
      </c>
      <c r="K1935" s="8" t="n">
        <v>95</v>
      </c>
      <c r="L1935" s="8" t="n">
        <v>95</v>
      </c>
      <c r="M1935" s="8" t="n">
        <v>95</v>
      </c>
      <c r="N1935" s="8" t="n">
        <v>96</v>
      </c>
      <c r="O1935" s="8" t="n">
        <v>96</v>
      </c>
      <c r="P1935" s="8" t="n">
        <v>96</v>
      </c>
      <c r="Q1935" s="8" t="n">
        <v>97</v>
      </c>
      <c r="R1935" s="8" t="n">
        <v>97</v>
      </c>
      <c r="S1935" s="8" t="n">
        <v>97</v>
      </c>
      <c r="T1935" s="8" t="n">
        <v>98</v>
      </c>
      <c r="U1935" s="8" t="n">
        <v>98</v>
      </c>
      <c r="V1935" s="8" t="n">
        <v>98</v>
      </c>
      <c r="W1935" s="8" t="n">
        <v>99</v>
      </c>
      <c r="X1935" s="8" t="n">
        <v>99</v>
      </c>
      <c r="Y1935" s="8" t="n">
        <v>99</v>
      </c>
      <c r="Z1935" s="8" t="n">
        <v>103</v>
      </c>
      <c r="AA1935" s="8" t="n">
        <v>103</v>
      </c>
      <c r="AB1935" s="8" t="n">
        <v>103</v>
      </c>
      <c r="AC1935" s="8" t="n">
        <v>104</v>
      </c>
      <c r="AD1935" s="8" t="n">
        <v>104</v>
      </c>
      <c r="AE1935" s="8" t="n">
        <v>104</v>
      </c>
      <c r="AF1935" s="8" t="n">
        <v>105</v>
      </c>
      <c r="AG1935" s="8" t="n">
        <v>105</v>
      </c>
      <c r="AH1935" s="8" t="n">
        <v>105</v>
      </c>
      <c r="AI1935" s="8" t="n">
        <v>106</v>
      </c>
      <c r="AJ1935" s="8" t="n">
        <v>106</v>
      </c>
      <c r="AK1935" s="8" t="n">
        <v>106</v>
      </c>
      <c r="AL1935" s="8" t="n">
        <v>107</v>
      </c>
      <c r="AM1935" s="8" t="n">
        <v>107</v>
      </c>
      <c r="AN1935" s="8" t="n">
        <v>107</v>
      </c>
      <c r="AO1935" s="8" t="n">
        <v>108</v>
      </c>
      <c r="AP1935" s="8" t="n">
        <v>108</v>
      </c>
      <c r="AQ1935" s="8" t="n">
        <v>108</v>
      </c>
      <c r="AR1935" s="8" t="n">
        <v>109</v>
      </c>
      <c r="AS1935" s="8" t="n">
        <v>109</v>
      </c>
      <c r="AT1935" s="8" t="n">
        <v>109</v>
      </c>
      <c r="AU1935" s="8" t="n">
        <v>110</v>
      </c>
      <c r="AV1935" s="8" t="n">
        <v>110</v>
      </c>
      <c r="AW1935" s="8" t="n">
        <v>110</v>
      </c>
      <c r="AX1935" s="8" t="n">
        <v>115</v>
      </c>
      <c r="AY1935" s="8" t="n">
        <v>115</v>
      </c>
      <c r="AZ1935" s="8" t="n">
        <v>115</v>
      </c>
      <c r="BA1935" s="8" t="n">
        <v>116</v>
      </c>
      <c r="BB1935" s="8" t="n">
        <v>116</v>
      </c>
      <c r="BC1935" s="8" t="n">
        <v>116</v>
      </c>
      <c r="BD1935" s="8" t="n">
        <v>117</v>
      </c>
      <c r="BE1935" s="8" t="n">
        <v>117</v>
      </c>
      <c r="BF1935" s="8" t="n">
        <v>117</v>
      </c>
      <c r="BG1935" s="8" t="n">
        <v>118</v>
      </c>
      <c r="BH1935" s="8" t="n">
        <v>118</v>
      </c>
      <c r="BI1935" s="8" t="n">
        <v>118</v>
      </c>
      <c r="BJ1935" s="8" t="n">
        <v>119</v>
      </c>
      <c r="BK1935" s="8" t="n">
        <v>119</v>
      </c>
      <c r="BL1935" s="8" t="n">
        <v>119</v>
      </c>
      <c r="BM1935" s="8" t="n">
        <v>120</v>
      </c>
      <c r="BN1935" s="8" t="n">
        <v>120</v>
      </c>
      <c r="BO1935" s="8" t="n">
        <v>120</v>
      </c>
      <c r="BP1935" s="8" t="n">
        <v>121</v>
      </c>
      <c r="BQ1935" s="8" t="n">
        <v>121</v>
      </c>
      <c r="BR1935" s="8" t="n">
        <v>121</v>
      </c>
      <c r="BS1935" s="8" t="n">
        <v>122</v>
      </c>
      <c r="BT1935" s="8" t="n">
        <v>122</v>
      </c>
      <c r="BU1935" s="8" t="n">
        <v>122</v>
      </c>
      <c r="BV1935" s="8" t="n">
        <v>126</v>
      </c>
      <c r="BW1935" s="8" t="n">
        <v>126</v>
      </c>
      <c r="BX1935" s="8" t="n">
        <v>126</v>
      </c>
      <c r="BY1935" s="8" t="n">
        <v>127</v>
      </c>
      <c r="BZ1935" s="8" t="n">
        <v>127</v>
      </c>
      <c r="CA1935" s="8" t="n">
        <v>127</v>
      </c>
      <c r="CB1935" s="8" t="n">
        <v>128</v>
      </c>
      <c r="CC1935" s="8" t="n">
        <v>128</v>
      </c>
      <c r="CD1935" s="8" t="n">
        <v>128</v>
      </c>
      <c r="CE1935" s="8" t="n">
        <v>129</v>
      </c>
      <c r="CF1935" s="8" t="n">
        <v>129</v>
      </c>
      <c r="CG1935" s="8" t="n">
        <v>129</v>
      </c>
      <c r="CH1935" s="8" t="n">
        <v>130</v>
      </c>
      <c r="CI1935" s="8" t="n">
        <v>130</v>
      </c>
      <c r="CJ1935" s="8" t="n">
        <v>130</v>
      </c>
      <c r="CK1935" s="8" t="n">
        <v>131</v>
      </c>
      <c r="CL1935" s="8" t="n">
        <v>131</v>
      </c>
      <c r="CM1935" s="8" t="n">
        <v>131</v>
      </c>
      <c r="CN1935" s="8" t="n">
        <v>132</v>
      </c>
      <c r="CO1935" s="8" t="n">
        <v>132</v>
      </c>
      <c r="CP1935" s="8" t="n">
        <v>132</v>
      </c>
      <c r="CQ1935" s="8" t="n">
        <v>133</v>
      </c>
      <c r="CR1935" s="8" t="n">
        <v>133</v>
      </c>
      <c r="CS1935" s="8" t="n">
        <v>133</v>
      </c>
      <c r="CT1935" s="8" t="n">
        <v>137</v>
      </c>
      <c r="CU1935" s="8" t="n">
        <v>137</v>
      </c>
      <c r="CV1935" s="8" t="n">
        <v>137</v>
      </c>
      <c r="CW1935" s="8" t="n">
        <v>138</v>
      </c>
      <c r="CX1935" s="8" t="n">
        <v>138</v>
      </c>
      <c r="CY1935" s="8" t="n">
        <v>138</v>
      </c>
      <c r="CZ1935" s="8" t="n">
        <v>139</v>
      </c>
      <c r="DA1935" s="8" t="n">
        <v>139</v>
      </c>
      <c r="DB1935" s="8" t="n">
        <v>139</v>
      </c>
      <c r="DC1935" s="8" t="n">
        <v>140</v>
      </c>
      <c r="DD1935" s="8" t="n">
        <v>140</v>
      </c>
      <c r="DE1935" s="8" t="n">
        <v>140</v>
      </c>
      <c r="DF1935" s="8" t="n">
        <v>141</v>
      </c>
      <c r="DG1935" s="8" t="n">
        <v>141</v>
      </c>
      <c r="DH1935" s="8" t="n">
        <v>141</v>
      </c>
      <c r="DI1935" s="8" t="n">
        <v>142</v>
      </c>
      <c r="DJ1935" s="8" t="n">
        <v>142</v>
      </c>
      <c r="DK1935" s="8" t="n">
        <v>142</v>
      </c>
      <c r="DL1935" s="8" t="n">
        <v>143</v>
      </c>
      <c r="DM1935" s="8" t="n">
        <v>143</v>
      </c>
      <c r="DN1935" s="8" t="n">
        <v>143</v>
      </c>
      <c r="DO1935" s="8" t="n">
        <v>144</v>
      </c>
      <c r="DP1935" s="8" t="n">
        <v>144</v>
      </c>
      <c r="DQ1935" s="8" t="n">
        <v>144</v>
      </c>
      <c r="DR1935" s="3" t="n">
        <v>667</v>
      </c>
      <c r="DS1935" s="3" t="n">
        <v>667</v>
      </c>
      <c r="DT1935" s="3" t="n">
        <v>667</v>
      </c>
      <c r="DU1935" s="3" t="n">
        <v>465</v>
      </c>
      <c r="DV1935" s="3" t="n">
        <v>465</v>
      </c>
      <c r="DW1935" s="3" t="n">
        <v>465</v>
      </c>
      <c r="DX1935" s="3" t="n">
        <v>18</v>
      </c>
      <c r="DY1935" s="3" t="n">
        <v>18</v>
      </c>
      <c r="DZ1935" s="3" t="n">
        <v>18</v>
      </c>
      <c r="EA1935" s="3" t="n">
        <v>1475</v>
      </c>
      <c r="EB1935" s="3" t="n">
        <v>1475</v>
      </c>
      <c r="EC1935" s="3" t="n">
        <v>1475</v>
      </c>
      <c r="ED1935" s="3" t="n">
        <v>869</v>
      </c>
      <c r="EE1935" s="3" t="n">
        <v>869</v>
      </c>
      <c r="EF1935" s="3" t="n">
        <v>869</v>
      </c>
      <c r="EG1935" s="3" t="n">
        <v>1071</v>
      </c>
      <c r="EH1935" s="3" t="n">
        <v>1071</v>
      </c>
      <c r="EI1935" s="3" t="n">
        <v>1071</v>
      </c>
      <c r="EJ1935" s="3" t="n">
        <v>1273</v>
      </c>
      <c r="EK1935" s="3" t="n">
        <v>1273</v>
      </c>
      <c r="EL1935" s="3" t="n">
        <v>1273</v>
      </c>
      <c r="EM1935" s="3" t="n">
        <v>18</v>
      </c>
      <c r="EN1935" s="3" t="n">
        <v>18</v>
      </c>
      <c r="EO1935" s="3" t="n">
        <v>18</v>
      </c>
      <c r="EP1935" s="3" t="n">
        <v>1</v>
      </c>
      <c r="EQ1935" s="3" t="n">
        <v>1</v>
      </c>
      <c r="ER1935" s="3" t="n">
        <v>1</v>
      </c>
      <c r="ES1935" s="3" t="n">
        <v>2</v>
      </c>
      <c r="ET1935" s="3" t="n">
        <v>2</v>
      </c>
      <c r="EU1935" s="3" t="n">
        <v>2</v>
      </c>
      <c r="EV1935" s="3" t="n">
        <v>3</v>
      </c>
      <c r="EW1935" s="3" t="n">
        <v>3</v>
      </c>
      <c r="EX1935" s="3" t="n">
        <v>3</v>
      </c>
      <c r="EY1935" s="3" t="n">
        <v>4</v>
      </c>
      <c r="EZ1935" s="3" t="n">
        <v>4</v>
      </c>
      <c r="FA1935" s="3" t="n">
        <v>4</v>
      </c>
      <c r="FB1935" s="3" t="n">
        <v>5</v>
      </c>
      <c r="FC1935" s="3" t="n">
        <v>5</v>
      </c>
      <c r="FD1935" s="3" t="n">
        <v>5</v>
      </c>
      <c r="FE1935" s="3" t="n">
        <v>6</v>
      </c>
      <c r="FF1935" s="3" t="n">
        <v>6</v>
      </c>
      <c r="FG1935" s="3" t="n">
        <v>6</v>
      </c>
      <c r="FH1935" s="3" t="n">
        <v>7</v>
      </c>
      <c r="FI1935" s="3" t="n">
        <v>7</v>
      </c>
      <c r="FJ1935" s="3" t="n">
        <v>7</v>
      </c>
      <c r="FK1935" s="3" t="n">
        <v>8</v>
      </c>
      <c r="FL1935" s="3" t="n">
        <v>8</v>
      </c>
      <c r="FM1935" s="3" t="n">
        <v>8</v>
      </c>
    </row>
    <row r="1936">
      <c r="A1936" s="7" t="inlineStr">
        <is>
          <t>Legacy row: standard deviation</t>
        </is>
      </c>
      <c r="B1936" s="8" t="n">
        <v>151</v>
      </c>
      <c r="C1936" s="8" t="n">
        <v>151</v>
      </c>
      <c r="D1936" s="8" t="n">
        <v>151</v>
      </c>
      <c r="E1936" s="8" t="n">
        <v>152</v>
      </c>
      <c r="F1936" s="8" t="n">
        <v>152</v>
      </c>
      <c r="G1936" s="8" t="n">
        <v>152</v>
      </c>
      <c r="H1936" s="8" t="n">
        <v>153</v>
      </c>
      <c r="I1936" s="8" t="n">
        <v>153</v>
      </c>
      <c r="J1936" s="8" t="n">
        <v>153</v>
      </c>
      <c r="K1936" s="8" t="n">
        <v>154</v>
      </c>
      <c r="L1936" s="8" t="n">
        <v>154</v>
      </c>
      <c r="M1936" s="8" t="n">
        <v>154</v>
      </c>
      <c r="N1936" s="8" t="n">
        <v>155</v>
      </c>
      <c r="O1936" s="8" t="n">
        <v>155</v>
      </c>
      <c r="P1936" s="8" t="n">
        <v>155</v>
      </c>
      <c r="Q1936" s="8" t="n">
        <v>156</v>
      </c>
      <c r="R1936" s="8" t="n">
        <v>156</v>
      </c>
      <c r="S1936" s="8" t="n">
        <v>156</v>
      </c>
      <c r="T1936" s="8" t="n">
        <v>157</v>
      </c>
      <c r="U1936" s="8" t="n">
        <v>157</v>
      </c>
      <c r="V1936" s="8" t="n">
        <v>157</v>
      </c>
      <c r="W1936" s="8" t="n">
        <v>158</v>
      </c>
      <c r="X1936" s="8" t="n">
        <v>158</v>
      </c>
      <c r="Y1936" s="8" t="n">
        <v>158</v>
      </c>
      <c r="Z1936" s="8" t="n">
        <v>162</v>
      </c>
      <c r="AA1936" s="8" t="n">
        <v>162</v>
      </c>
      <c r="AB1936" s="8" t="n">
        <v>162</v>
      </c>
      <c r="AC1936" s="8" t="n">
        <v>163</v>
      </c>
      <c r="AD1936" s="8" t="n">
        <v>163</v>
      </c>
      <c r="AE1936" s="8" t="n">
        <v>163</v>
      </c>
      <c r="AF1936" s="8" t="n">
        <v>164</v>
      </c>
      <c r="AG1936" s="8" t="n">
        <v>164</v>
      </c>
      <c r="AH1936" s="8" t="n">
        <v>164</v>
      </c>
      <c r="AI1936" s="8" t="n">
        <v>165</v>
      </c>
      <c r="AJ1936" s="8" t="n">
        <v>165</v>
      </c>
      <c r="AK1936" s="8" t="n">
        <v>165</v>
      </c>
      <c r="AL1936" s="8" t="n">
        <v>166</v>
      </c>
      <c r="AM1936" s="8" t="n">
        <v>166</v>
      </c>
      <c r="AN1936" s="8" t="n">
        <v>166</v>
      </c>
      <c r="AO1936" s="8" t="n">
        <v>167</v>
      </c>
      <c r="AP1936" s="8" t="n">
        <v>167</v>
      </c>
      <c r="AQ1936" s="8" t="n">
        <v>167</v>
      </c>
      <c r="AR1936" s="8" t="n">
        <v>168</v>
      </c>
      <c r="AS1936" s="8" t="n">
        <v>168</v>
      </c>
      <c r="AT1936" s="8" t="n">
        <v>168</v>
      </c>
      <c r="AU1936" s="8" t="n">
        <v>169</v>
      </c>
      <c r="AV1936" s="8" t="n">
        <v>169</v>
      </c>
      <c r="AW1936" s="8" t="n">
        <v>169</v>
      </c>
      <c r="AX1936" s="8" t="n">
        <v>174</v>
      </c>
      <c r="AY1936" s="8" t="n">
        <v>174</v>
      </c>
      <c r="AZ1936" s="8" t="n">
        <v>174</v>
      </c>
      <c r="BA1936" s="8" t="n">
        <v>175</v>
      </c>
      <c r="BB1936" s="8" t="n">
        <v>175</v>
      </c>
      <c r="BC1936" s="8" t="n">
        <v>175</v>
      </c>
      <c r="BD1936" s="8" t="n">
        <v>176</v>
      </c>
      <c r="BE1936" s="8" t="n">
        <v>176</v>
      </c>
      <c r="BF1936" s="8" t="n">
        <v>176</v>
      </c>
      <c r="BG1936" s="8" t="n">
        <v>177</v>
      </c>
      <c r="BH1936" s="8" t="n">
        <v>177</v>
      </c>
      <c r="BI1936" s="8" t="n">
        <v>177</v>
      </c>
      <c r="BJ1936" s="8" t="n">
        <v>178</v>
      </c>
      <c r="BK1936" s="8" t="n">
        <v>178</v>
      </c>
      <c r="BL1936" s="8" t="n">
        <v>178</v>
      </c>
      <c r="BM1936" s="8" t="n">
        <v>179</v>
      </c>
      <c r="BN1936" s="8" t="n">
        <v>179</v>
      </c>
      <c r="BO1936" s="8" t="n">
        <v>179</v>
      </c>
      <c r="BP1936" s="8" t="n">
        <v>180</v>
      </c>
      <c r="BQ1936" s="8" t="n">
        <v>180</v>
      </c>
      <c r="BR1936" s="8" t="n">
        <v>180</v>
      </c>
      <c r="BS1936" s="8" t="n">
        <v>181</v>
      </c>
      <c r="BT1936" s="8" t="n">
        <v>181</v>
      </c>
      <c r="BU1936" s="8" t="n">
        <v>181</v>
      </c>
      <c r="BV1936" s="8" t="n">
        <v>185</v>
      </c>
      <c r="BW1936" s="8" t="n">
        <v>185</v>
      </c>
      <c r="BX1936" s="8" t="n">
        <v>185</v>
      </c>
      <c r="BY1936" s="8" t="n">
        <v>186</v>
      </c>
      <c r="BZ1936" s="8" t="n">
        <v>186</v>
      </c>
      <c r="CA1936" s="8" t="n">
        <v>186</v>
      </c>
      <c r="CB1936" s="8" t="n">
        <v>187</v>
      </c>
      <c r="CC1936" s="8" t="n">
        <v>187</v>
      </c>
      <c r="CD1936" s="8" t="n">
        <v>187</v>
      </c>
      <c r="CE1936" s="8" t="n">
        <v>188</v>
      </c>
      <c r="CF1936" s="8" t="n">
        <v>188</v>
      </c>
      <c r="CG1936" s="8" t="n">
        <v>188</v>
      </c>
      <c r="CH1936" s="8" t="n">
        <v>189</v>
      </c>
      <c r="CI1936" s="8" t="n">
        <v>189</v>
      </c>
      <c r="CJ1936" s="8" t="n">
        <v>189</v>
      </c>
      <c r="CK1936" s="8" t="n">
        <v>190</v>
      </c>
      <c r="CL1936" s="8" t="n">
        <v>190</v>
      </c>
      <c r="CM1936" s="8" t="n">
        <v>190</v>
      </c>
      <c r="CN1936" s="8" t="n">
        <v>191</v>
      </c>
      <c r="CO1936" s="8" t="n">
        <v>191</v>
      </c>
      <c r="CP1936" s="8" t="n">
        <v>191</v>
      </c>
      <c r="CQ1936" s="8" t="n">
        <v>192</v>
      </c>
      <c r="CR1936" s="8" t="n">
        <v>192</v>
      </c>
      <c r="CS1936" s="8" t="n">
        <v>192</v>
      </c>
      <c r="CT1936" s="8" t="n">
        <v>196</v>
      </c>
      <c r="CU1936" s="8" t="n">
        <v>196</v>
      </c>
      <c r="CV1936" s="8" t="n">
        <v>196</v>
      </c>
      <c r="CW1936" s="8" t="n">
        <v>197</v>
      </c>
      <c r="CX1936" s="8" t="n">
        <v>197</v>
      </c>
      <c r="CY1936" s="8" t="n">
        <v>197</v>
      </c>
      <c r="CZ1936" s="8" t="n">
        <v>198</v>
      </c>
      <c r="DA1936" s="8" t="n">
        <v>198</v>
      </c>
      <c r="DB1936" s="8" t="n">
        <v>198</v>
      </c>
      <c r="DC1936" s="8" t="n">
        <v>199</v>
      </c>
      <c r="DD1936" s="8" t="n">
        <v>199</v>
      </c>
      <c r="DE1936" s="8" t="n">
        <v>199</v>
      </c>
      <c r="DF1936" s="8" t="n">
        <v>200</v>
      </c>
      <c r="DG1936" s="8" t="n">
        <v>200</v>
      </c>
      <c r="DH1936" s="8" t="n">
        <v>200</v>
      </c>
      <c r="DI1936" s="8" t="n">
        <v>201</v>
      </c>
      <c r="DJ1936" s="8" t="n">
        <v>201</v>
      </c>
      <c r="DK1936" s="8" t="n">
        <v>201</v>
      </c>
      <c r="DL1936" s="8" t="n">
        <v>202</v>
      </c>
      <c r="DM1936" s="8" t="n">
        <v>202</v>
      </c>
      <c r="DN1936" s="8" t="n">
        <v>202</v>
      </c>
      <c r="DO1936" s="8" t="n">
        <v>203</v>
      </c>
      <c r="DP1936" s="8" t="n">
        <v>203</v>
      </c>
      <c r="DQ1936" s="8" t="n">
        <v>203</v>
      </c>
      <c r="DR1936" s="3">
        <f t="shared" ref="DR1936:FM1936" si="67">INDEX($B$1936:$FM$1936,DR$1940)</f>
        <v>185.0</v>
      </c>
      <c r="DS1936" s="3">
        <f t="shared" si="67"/>
        <v>185.0</v>
      </c>
      <c r="DT1936" s="3">
        <f t="shared" si="67"/>
        <v>185.0</v>
      </c>
      <c r="DU1936" s="3">
        <f t="shared" si="67"/>
        <v>186.0</v>
      </c>
      <c r="DV1936" s="3">
        <f t="shared" si="67"/>
        <v>186.0</v>
      </c>
      <c r="DW1936" s="3">
        <f t="shared" si="67"/>
        <v>186.0</v>
      </c>
      <c r="DX1936" s="3">
        <f t="shared" si="67"/>
        <v>187.0</v>
      </c>
      <c r="DY1936" s="3">
        <f t="shared" si="67"/>
        <v>187.0</v>
      </c>
      <c r="DZ1936" s="3">
        <f t="shared" si="67"/>
        <v>187.0</v>
      </c>
      <c r="EA1936" s="3">
        <f t="shared" si="67"/>
        <v>188.0</v>
      </c>
      <c r="EB1936" s="3">
        <f t="shared" si="67"/>
        <v>188.0</v>
      </c>
      <c r="EC1936" s="3">
        <f t="shared" si="67"/>
        <v>188.0</v>
      </c>
      <c r="ED1936" s="3">
        <f t="shared" si="67"/>
        <v>189.0</v>
      </c>
      <c r="EE1936" s="3">
        <f t="shared" si="67"/>
        <v>189.0</v>
      </c>
      <c r="EF1936" s="3">
        <f t="shared" si="67"/>
        <v>189.0</v>
      </c>
      <c r="EG1936" s="3">
        <f t="shared" si="67"/>
        <v>190.0</v>
      </c>
      <c r="EH1936" s="3">
        <f t="shared" si="67"/>
        <v>190.0</v>
      </c>
      <c r="EI1936" s="3">
        <f t="shared" si="67"/>
        <v>190.0</v>
      </c>
      <c r="EJ1936" s="3">
        <f t="shared" si="67"/>
        <v>191.0</v>
      </c>
      <c r="EK1936" s="3">
        <f t="shared" si="67"/>
        <v>191.0</v>
      </c>
      <c r="EL1936" s="3">
        <f t="shared" si="67"/>
        <v>191.0</v>
      </c>
      <c r="EM1936" s="3">
        <f t="shared" si="67"/>
        <v>192.0</v>
      </c>
      <c r="EN1936" s="3">
        <f t="shared" si="67"/>
        <v>192.0</v>
      </c>
      <c r="EO1936" s="3">
        <f t="shared" si="67"/>
        <v>192.0</v>
      </c>
      <c r="EP1936" s="3">
        <f t="shared" si="67"/>
        <v>185.0</v>
      </c>
      <c r="EQ1936" s="3">
        <f t="shared" si="67"/>
        <v>185.0</v>
      </c>
      <c r="ER1936" s="3">
        <f t="shared" si="67"/>
        <v>185.0</v>
      </c>
      <c r="ES1936" s="3">
        <f t="shared" si="67"/>
        <v>186.0</v>
      </c>
      <c r="ET1936" s="3">
        <f t="shared" si="67"/>
        <v>186.0</v>
      </c>
      <c r="EU1936" s="3">
        <f t="shared" si="67"/>
        <v>186.0</v>
      </c>
      <c r="EV1936" s="3">
        <f t="shared" si="67"/>
        <v>187.0</v>
      </c>
      <c r="EW1936" s="3">
        <f t="shared" si="67"/>
        <v>187.0</v>
      </c>
      <c r="EX1936" s="3">
        <f t="shared" si="67"/>
        <v>187.0</v>
      </c>
      <c r="EY1936" s="3">
        <f t="shared" si="67"/>
        <v>188.0</v>
      </c>
      <c r="EZ1936" s="3">
        <f t="shared" si="67"/>
        <v>188.0</v>
      </c>
      <c r="FA1936" s="3">
        <f t="shared" si="67"/>
        <v>188.0</v>
      </c>
      <c r="FB1936" s="3">
        <f t="shared" si="67"/>
        <v>189.0</v>
      </c>
      <c r="FC1936" s="3">
        <f t="shared" si="67"/>
        <v>189.0</v>
      </c>
      <c r="FD1936" s="3">
        <f t="shared" si="67"/>
        <v>189.0</v>
      </c>
      <c r="FE1936" s="3">
        <f t="shared" si="67"/>
        <v>190.0</v>
      </c>
      <c r="FF1936" s="3">
        <f t="shared" si="67"/>
        <v>190.0</v>
      </c>
      <c r="FG1936" s="3">
        <f t="shared" si="67"/>
        <v>190.0</v>
      </c>
      <c r="FH1936" s="3">
        <f t="shared" si="67"/>
        <v>191.0</v>
      </c>
      <c r="FI1936" s="3">
        <f t="shared" si="67"/>
        <v>191.0</v>
      </c>
      <c r="FJ1936" s="3">
        <f t="shared" si="67"/>
        <v>191.0</v>
      </c>
      <c r="FK1936" s="3">
        <f t="shared" si="67"/>
        <v>192.0</v>
      </c>
      <c r="FL1936" s="3">
        <f t="shared" si="67"/>
        <v>192.0</v>
      </c>
      <c r="FM1936" s="3">
        <f t="shared" si="67"/>
        <v>192.0</v>
      </c>
    </row>
    <row r="1937">
      <c r="A1937" s="7" t="inlineStr">
        <is>
          <t>Sign of the standard deviation</t>
        </is>
      </c>
      <c r="B1937" s="8" t="n">
        <v>0</v>
      </c>
      <c r="C1937" s="8" t="n">
        <v>-1</v>
      </c>
      <c r="D1937" s="8" t="n">
        <v>1</v>
      </c>
      <c r="E1937" s="8" t="n">
        <v>0</v>
      </c>
      <c r="F1937" s="8" t="n">
        <v>-1</v>
      </c>
      <c r="G1937" s="8" t="n">
        <v>1</v>
      </c>
      <c r="H1937" s="8" t="n">
        <v>0</v>
      </c>
      <c r="I1937" s="8" t="n">
        <v>-1</v>
      </c>
      <c r="J1937" s="8" t="n">
        <v>1</v>
      </c>
      <c r="K1937" s="8" t="n">
        <v>0</v>
      </c>
      <c r="L1937" s="8" t="n">
        <v>-1</v>
      </c>
      <c r="M1937" s="8" t="n">
        <v>1</v>
      </c>
      <c r="N1937" s="8" t="n">
        <v>0</v>
      </c>
      <c r="O1937" s="8" t="n">
        <v>-1</v>
      </c>
      <c r="P1937" s="8" t="n">
        <v>1</v>
      </c>
      <c r="Q1937" s="8" t="n">
        <v>0</v>
      </c>
      <c r="R1937" s="8" t="n">
        <v>-1</v>
      </c>
      <c r="S1937" s="8" t="n">
        <v>1</v>
      </c>
      <c r="T1937" s="8" t="n">
        <v>0</v>
      </c>
      <c r="U1937" s="8" t="n">
        <v>-1</v>
      </c>
      <c r="V1937" s="8" t="n">
        <v>1</v>
      </c>
      <c r="W1937" s="8" t="n">
        <v>0</v>
      </c>
      <c r="X1937" s="8" t="n">
        <v>-1</v>
      </c>
      <c r="Y1937" s="8" t="n">
        <v>1</v>
      </c>
      <c r="Z1937" s="8" t="n">
        <v>0</v>
      </c>
      <c r="AA1937" s="8" t="n">
        <v>-1</v>
      </c>
      <c r="AB1937" s="8" t="n">
        <v>1</v>
      </c>
      <c r="AC1937" s="8" t="n">
        <v>0</v>
      </c>
      <c r="AD1937" s="8" t="n">
        <v>-1</v>
      </c>
      <c r="AE1937" s="8" t="n">
        <v>1</v>
      </c>
      <c r="AF1937" s="8" t="n">
        <v>0</v>
      </c>
      <c r="AG1937" s="8" t="n">
        <v>-1</v>
      </c>
      <c r="AH1937" s="8" t="n">
        <v>1</v>
      </c>
      <c r="AI1937" s="8" t="n">
        <v>0</v>
      </c>
      <c r="AJ1937" s="8" t="n">
        <v>-1</v>
      </c>
      <c r="AK1937" s="8" t="n">
        <v>1</v>
      </c>
      <c r="AL1937" s="8" t="n">
        <v>0</v>
      </c>
      <c r="AM1937" s="8" t="n">
        <v>-1</v>
      </c>
      <c r="AN1937" s="8" t="n">
        <v>1</v>
      </c>
      <c r="AO1937" s="8" t="n">
        <v>0</v>
      </c>
      <c r="AP1937" s="8" t="n">
        <v>-1</v>
      </c>
      <c r="AQ1937" s="8" t="n">
        <v>1</v>
      </c>
      <c r="AR1937" s="8" t="n">
        <v>0</v>
      </c>
      <c r="AS1937" s="8" t="n">
        <v>-1</v>
      </c>
      <c r="AT1937" s="8" t="n">
        <v>1</v>
      </c>
      <c r="AU1937" s="8" t="n">
        <v>0</v>
      </c>
      <c r="AV1937" s="8" t="n">
        <v>-1</v>
      </c>
      <c r="AW1937" s="8" t="n">
        <v>1</v>
      </c>
      <c r="AX1937" s="8" t="n">
        <v>0</v>
      </c>
      <c r="AY1937" s="8" t="n">
        <v>-1</v>
      </c>
      <c r="AZ1937" s="8" t="n">
        <v>1</v>
      </c>
      <c r="BA1937" s="8" t="n">
        <v>0</v>
      </c>
      <c r="BB1937" s="8" t="n">
        <v>-1</v>
      </c>
      <c r="BC1937" s="8" t="n">
        <v>1</v>
      </c>
      <c r="BD1937" s="8" t="n">
        <v>0</v>
      </c>
      <c r="BE1937" s="8" t="n">
        <v>-1</v>
      </c>
      <c r="BF1937" s="8" t="n">
        <v>1</v>
      </c>
      <c r="BG1937" s="8" t="n">
        <v>0</v>
      </c>
      <c r="BH1937" s="8" t="n">
        <v>-1</v>
      </c>
      <c r="BI1937" s="8" t="n">
        <v>1</v>
      </c>
      <c r="BJ1937" s="8" t="n">
        <v>0</v>
      </c>
      <c r="BK1937" s="8" t="n">
        <v>-1</v>
      </c>
      <c r="BL1937" s="8" t="n">
        <v>1</v>
      </c>
      <c r="BM1937" s="8" t="n">
        <v>0</v>
      </c>
      <c r="BN1937" s="8" t="n">
        <v>-1</v>
      </c>
      <c r="BO1937" s="8" t="n">
        <v>1</v>
      </c>
      <c r="BP1937" s="8" t="n">
        <v>0</v>
      </c>
      <c r="BQ1937" s="8" t="n">
        <v>-1</v>
      </c>
      <c r="BR1937" s="8" t="n">
        <v>1</v>
      </c>
      <c r="BS1937" s="8" t="n">
        <v>0</v>
      </c>
      <c r="BT1937" s="8" t="n">
        <v>-1</v>
      </c>
      <c r="BU1937" s="8" t="n">
        <v>1</v>
      </c>
      <c r="BV1937" s="8" t="n">
        <v>0</v>
      </c>
      <c r="BW1937" s="8" t="n">
        <v>-1</v>
      </c>
      <c r="BX1937" s="8" t="n">
        <v>1</v>
      </c>
      <c r="BY1937" s="8" t="n">
        <v>0</v>
      </c>
      <c r="BZ1937" s="8" t="n">
        <v>-1</v>
      </c>
      <c r="CA1937" s="8" t="n">
        <v>1</v>
      </c>
      <c r="CB1937" s="8" t="n">
        <v>0</v>
      </c>
      <c r="CC1937" s="8" t="n">
        <v>-1</v>
      </c>
      <c r="CD1937" s="8" t="n">
        <v>1</v>
      </c>
      <c r="CE1937" s="8" t="n">
        <v>0</v>
      </c>
      <c r="CF1937" s="8" t="n">
        <v>-1</v>
      </c>
      <c r="CG1937" s="8" t="n">
        <v>1</v>
      </c>
      <c r="CH1937" s="8" t="n">
        <v>0</v>
      </c>
      <c r="CI1937" s="8" t="n">
        <v>-1</v>
      </c>
      <c r="CJ1937" s="8" t="n">
        <v>1</v>
      </c>
      <c r="CK1937" s="8" t="n">
        <v>0</v>
      </c>
      <c r="CL1937" s="8" t="n">
        <v>-1</v>
      </c>
      <c r="CM1937" s="8" t="n">
        <v>1</v>
      </c>
      <c r="CN1937" s="8" t="n">
        <v>0</v>
      </c>
      <c r="CO1937" s="8" t="n">
        <v>-1</v>
      </c>
      <c r="CP1937" s="8" t="n">
        <v>1</v>
      </c>
      <c r="CQ1937" s="8" t="n">
        <v>0</v>
      </c>
      <c r="CR1937" s="8" t="n">
        <v>-1</v>
      </c>
      <c r="CS1937" s="8" t="n">
        <v>1</v>
      </c>
      <c r="CT1937" s="8" t="n">
        <v>0</v>
      </c>
      <c r="CU1937" s="8" t="n">
        <v>-1</v>
      </c>
      <c r="CV1937" s="8" t="n">
        <v>1</v>
      </c>
      <c r="CW1937" s="8" t="n">
        <v>0</v>
      </c>
      <c r="CX1937" s="8" t="n">
        <v>-1</v>
      </c>
      <c r="CY1937" s="8" t="n">
        <v>1</v>
      </c>
      <c r="CZ1937" s="8" t="n">
        <v>0</v>
      </c>
      <c r="DA1937" s="8" t="n">
        <v>-1</v>
      </c>
      <c r="DB1937" s="8" t="n">
        <v>1</v>
      </c>
      <c r="DC1937" s="8" t="n">
        <v>0</v>
      </c>
      <c r="DD1937" s="8" t="n">
        <v>-1</v>
      </c>
      <c r="DE1937" s="8" t="n">
        <v>1</v>
      </c>
      <c r="DF1937" s="8" t="n">
        <v>0</v>
      </c>
      <c r="DG1937" s="8" t="n">
        <v>-1</v>
      </c>
      <c r="DH1937" s="8" t="n">
        <v>1</v>
      </c>
      <c r="DI1937" s="8" t="n">
        <v>0</v>
      </c>
      <c r="DJ1937" s="8" t="n">
        <v>-1</v>
      </c>
      <c r="DK1937" s="8" t="n">
        <v>1</v>
      </c>
      <c r="DL1937" s="8" t="n">
        <v>0</v>
      </c>
      <c r="DM1937" s="8" t="n">
        <v>-1</v>
      </c>
      <c r="DN1937" s="8" t="n">
        <v>1</v>
      </c>
      <c r="DO1937" s="8" t="n">
        <v>0</v>
      </c>
      <c r="DP1937" s="8" t="n">
        <v>-1</v>
      </c>
      <c r="DQ1937" s="8" t="n">
        <v>1</v>
      </c>
      <c r="DR1937" s="8" t="n">
        <v>0</v>
      </c>
      <c r="DS1937" s="8" t="n">
        <v>-1</v>
      </c>
      <c r="DT1937" s="8" t="n">
        <v>1</v>
      </c>
      <c r="DU1937" s="8" t="n">
        <v>0</v>
      </c>
      <c r="DV1937" s="8" t="n">
        <v>-1</v>
      </c>
      <c r="DW1937" s="8" t="n">
        <v>1</v>
      </c>
      <c r="DX1937" s="8" t="n">
        <v>0</v>
      </c>
      <c r="DY1937" s="8" t="n">
        <v>-1</v>
      </c>
      <c r="DZ1937" s="8" t="n">
        <v>1</v>
      </c>
      <c r="EA1937" s="8" t="n">
        <v>0</v>
      </c>
      <c r="EB1937" s="8" t="n">
        <v>-1</v>
      </c>
      <c r="EC1937" s="8" t="n">
        <v>1</v>
      </c>
      <c r="ED1937" s="8" t="n">
        <v>0</v>
      </c>
      <c r="EE1937" s="8" t="n">
        <v>-1</v>
      </c>
      <c r="EF1937" s="8" t="n">
        <v>1</v>
      </c>
      <c r="EG1937" s="8" t="n">
        <v>0</v>
      </c>
      <c r="EH1937" s="8" t="n">
        <v>-1</v>
      </c>
      <c r="EI1937" s="8" t="n">
        <v>1</v>
      </c>
      <c r="EJ1937" s="8" t="n">
        <v>0</v>
      </c>
      <c r="EK1937" s="8" t="n">
        <v>-1</v>
      </c>
      <c r="EL1937" s="8" t="n">
        <v>1</v>
      </c>
      <c r="EM1937" s="8" t="n">
        <v>0</v>
      </c>
      <c r="EN1937" s="8" t="n">
        <v>-1</v>
      </c>
      <c r="EO1937" s="8" t="n">
        <v>1</v>
      </c>
      <c r="EP1937" s="8" t="n">
        <v>0</v>
      </c>
      <c r="EQ1937" s="8" t="n">
        <v>-1</v>
      </c>
      <c r="ER1937" s="8" t="n">
        <v>1</v>
      </c>
      <c r="ES1937" s="8" t="n">
        <v>0</v>
      </c>
      <c r="ET1937" s="8" t="n">
        <v>-1</v>
      </c>
      <c r="EU1937" s="8" t="n">
        <v>1</v>
      </c>
      <c r="EV1937" s="8" t="n">
        <v>0</v>
      </c>
      <c r="EW1937" s="8" t="n">
        <v>-1</v>
      </c>
      <c r="EX1937" s="8" t="n">
        <v>1</v>
      </c>
      <c r="EY1937" s="8" t="n">
        <v>0</v>
      </c>
      <c r="EZ1937" s="8" t="n">
        <v>-1</v>
      </c>
      <c r="FA1937" s="8" t="n">
        <v>1</v>
      </c>
      <c r="FB1937" s="8" t="n">
        <v>0</v>
      </c>
      <c r="FC1937" s="8" t="n">
        <v>-1</v>
      </c>
      <c r="FD1937" s="8" t="n">
        <v>1</v>
      </c>
      <c r="FE1937" s="8" t="n">
        <v>0</v>
      </c>
      <c r="FF1937" s="8" t="n">
        <v>-1</v>
      </c>
      <c r="FG1937" s="8" t="n">
        <v>1</v>
      </c>
      <c r="FH1937" s="8" t="n">
        <v>0</v>
      </c>
      <c r="FI1937" s="8" t="n">
        <v>-1</v>
      </c>
      <c r="FJ1937" s="8" t="n">
        <v>1</v>
      </c>
      <c r="FK1937" s="8" t="n">
        <v>0</v>
      </c>
      <c r="FL1937" s="8" t="n">
        <v>-1</v>
      </c>
      <c r="FM1937" s="8" t="n">
        <v>1</v>
      </c>
    </row>
    <row r="1938">
      <c r="A1938" s="7" t="inlineStr">
        <is>
          <t>Country table: first row</t>
        </is>
      </c>
      <c r="B1938" s="8" t="inlineStr"/>
      <c r="C1938" s="8" t="inlineStr"/>
      <c r="D1938" s="8" t="inlineStr"/>
      <c r="E1938" s="8" t="inlineStr"/>
      <c r="F1938" s="8" t="inlineStr"/>
      <c r="G1938" s="8" t="inlineStr"/>
      <c r="H1938" s="8" t="inlineStr"/>
      <c r="I1938" s="8" t="inlineStr"/>
      <c r="J1938" s="8" t="inlineStr"/>
      <c r="K1938" s="8" t="inlineStr"/>
      <c r="L1938" s="8" t="inlineStr"/>
      <c r="M1938" s="8" t="inlineStr"/>
      <c r="N1938" s="8" t="inlineStr"/>
      <c r="O1938" s="8" t="inlineStr"/>
      <c r="P1938" s="8" t="inlineStr"/>
      <c r="Q1938" s="8" t="inlineStr"/>
      <c r="R1938" s="8" t="inlineStr"/>
      <c r="S1938" s="8" t="inlineStr"/>
      <c r="T1938" s="8" t="inlineStr"/>
      <c r="U1938" s="8" t="inlineStr"/>
      <c r="V1938" s="8" t="inlineStr"/>
      <c r="W1938" s="8" t="inlineStr"/>
      <c r="X1938" s="8" t="inlineStr"/>
      <c r="Y1938" s="8" t="inlineStr"/>
      <c r="Z1938" s="8" t="inlineStr"/>
      <c r="AA1938" s="8" t="inlineStr"/>
      <c r="AB1938" s="8" t="inlineStr"/>
      <c r="AC1938" s="8" t="inlineStr"/>
      <c r="AD1938" s="8" t="inlineStr"/>
      <c r="AE1938" s="8" t="inlineStr"/>
      <c r="AF1938" s="8" t="inlineStr"/>
      <c r="AG1938" s="8" t="inlineStr"/>
      <c r="AH1938" s="8" t="inlineStr"/>
      <c r="AI1938" s="8" t="inlineStr"/>
      <c r="AJ1938" s="8" t="inlineStr"/>
      <c r="AK1938" s="8" t="inlineStr"/>
      <c r="AL1938" s="8" t="inlineStr"/>
      <c r="AM1938" s="8" t="inlineStr"/>
      <c r="AN1938" s="8" t="inlineStr"/>
      <c r="AO1938" s="8" t="inlineStr"/>
      <c r="AP1938" s="8" t="inlineStr"/>
      <c r="AQ1938" s="8" t="inlineStr"/>
      <c r="AR1938" s="8" t="inlineStr"/>
      <c r="AS1938" s="8" t="inlineStr"/>
      <c r="AT1938" s="8" t="inlineStr"/>
      <c r="AU1938" s="8" t="inlineStr"/>
      <c r="AV1938" s="8" t="inlineStr"/>
      <c r="AW1938" s="8" t="inlineStr"/>
      <c r="AX1938" s="8" t="inlineStr"/>
      <c r="AY1938" s="8" t="inlineStr"/>
      <c r="AZ1938" s="8" t="inlineStr"/>
      <c r="BA1938" s="8" t="inlineStr"/>
      <c r="BB1938" s="8" t="inlineStr"/>
      <c r="BC1938" s="8" t="inlineStr"/>
      <c r="BD1938" s="8" t="inlineStr"/>
      <c r="BE1938" s="8" t="inlineStr"/>
      <c r="BF1938" s="8" t="inlineStr"/>
      <c r="BG1938" s="8" t="inlineStr"/>
      <c r="BH1938" s="8" t="inlineStr"/>
      <c r="BI1938" s="8" t="inlineStr"/>
      <c r="BJ1938" s="8" t="inlineStr"/>
      <c r="BK1938" s="8" t="inlineStr"/>
      <c r="BL1938" s="8" t="inlineStr"/>
      <c r="BM1938" s="8" t="inlineStr"/>
      <c r="BN1938" s="8" t="inlineStr"/>
      <c r="BO1938" s="8" t="inlineStr"/>
      <c r="BP1938" s="8" t="inlineStr"/>
      <c r="BQ1938" s="8" t="inlineStr"/>
      <c r="BR1938" s="8" t="inlineStr"/>
      <c r="BS1938" s="8" t="inlineStr"/>
      <c r="BT1938" s="8" t="inlineStr"/>
      <c r="BU1938" s="8" t="inlineStr"/>
      <c r="BV1938" s="8" t="inlineStr"/>
      <c r="BW1938" s="8" t="inlineStr"/>
      <c r="BX1938" s="8" t="inlineStr"/>
      <c r="BY1938" s="8" t="inlineStr"/>
      <c r="BZ1938" s="8" t="inlineStr"/>
      <c r="CA1938" s="8" t="inlineStr"/>
      <c r="CB1938" s="8" t="inlineStr"/>
      <c r="CC1938" s="8" t="inlineStr"/>
      <c r="CD1938" s="8" t="inlineStr"/>
      <c r="CE1938" s="8" t="inlineStr"/>
      <c r="CF1938" s="8" t="inlineStr"/>
      <c r="CG1938" s="8" t="inlineStr"/>
      <c r="CH1938" s="8" t="inlineStr"/>
      <c r="CI1938" s="8" t="inlineStr"/>
      <c r="CJ1938" s="8" t="inlineStr"/>
      <c r="CK1938" s="8" t="inlineStr"/>
      <c r="CL1938" s="8" t="inlineStr"/>
      <c r="CM1938" s="8" t="inlineStr"/>
      <c r="CN1938" s="8" t="inlineStr"/>
      <c r="CO1938" s="8" t="inlineStr"/>
      <c r="CP1938" s="8" t="inlineStr"/>
      <c r="CQ1938" s="8" t="inlineStr"/>
      <c r="CR1938" s="8" t="inlineStr"/>
      <c r="CS1938" s="8" t="inlineStr"/>
      <c r="CT1938" s="8" t="inlineStr"/>
      <c r="CU1938" s="8" t="inlineStr"/>
      <c r="CV1938" s="8" t="inlineStr"/>
      <c r="CW1938" s="8" t="inlineStr"/>
      <c r="CX1938" s="8" t="inlineStr"/>
      <c r="CY1938" s="8" t="inlineStr"/>
      <c r="CZ1938" s="8" t="inlineStr"/>
      <c r="DA1938" s="8" t="inlineStr"/>
      <c r="DB1938" s="8" t="inlineStr"/>
      <c r="DC1938" s="8" t="inlineStr"/>
      <c r="DD1938" s="8" t="inlineStr"/>
      <c r="DE1938" s="8" t="inlineStr"/>
      <c r="DF1938" s="8" t="inlineStr"/>
      <c r="DG1938" s="8" t="inlineStr"/>
      <c r="DH1938" s="8" t="inlineStr"/>
      <c r="DI1938" s="8" t="inlineStr"/>
      <c r="DJ1938" s="8" t="inlineStr"/>
      <c r="DK1938" s="8" t="inlineStr"/>
      <c r="DL1938" s="8" t="inlineStr"/>
      <c r="DM1938" s="8" t="inlineStr"/>
      <c r="DN1938" s="8" t="inlineStr"/>
      <c r="DO1938" s="8" t="inlineStr"/>
      <c r="DP1938" s="8" t="inlineStr"/>
      <c r="DQ1938" s="8" t="inlineStr"/>
      <c r="DR1938" s="8" t="n">
        <v>614</v>
      </c>
      <c r="DS1938" s="8" t="n">
        <v>614</v>
      </c>
      <c r="DT1938" s="8" t="n">
        <v>614</v>
      </c>
      <c r="DU1938" s="8" t="n">
        <v>412</v>
      </c>
      <c r="DV1938" s="8" t="n">
        <v>412</v>
      </c>
      <c r="DW1938" s="8" t="n">
        <v>412</v>
      </c>
      <c r="DX1938" s="8" t="inlineStr"/>
      <c r="DY1938" s="8" t="inlineStr"/>
      <c r="DZ1938" s="8" t="inlineStr"/>
      <c r="EA1938" s="8" t="n">
        <v>1422</v>
      </c>
      <c r="EB1938" s="8" t="n">
        <v>1422</v>
      </c>
      <c r="EC1938" s="8" t="n">
        <v>1422</v>
      </c>
      <c r="ED1938" s="8" t="n">
        <v>816</v>
      </c>
      <c r="EE1938" s="8" t="n">
        <v>816</v>
      </c>
      <c r="EF1938" s="8" t="n">
        <v>816</v>
      </c>
      <c r="EG1938" s="8" t="n">
        <v>1018</v>
      </c>
      <c r="EH1938" s="8" t="n">
        <v>1018</v>
      </c>
      <c r="EI1938" s="8" t="n">
        <v>1018</v>
      </c>
      <c r="EJ1938" s="8" t="n">
        <v>1220</v>
      </c>
      <c r="EK1938" s="8" t="n">
        <v>1220</v>
      </c>
      <c r="EL1938" s="8" t="n">
        <v>1220</v>
      </c>
      <c r="EM1938" s="8" t="inlineStr"/>
      <c r="EN1938" s="8" t="inlineStr"/>
      <c r="EO1938" s="8" t="inlineStr"/>
      <c r="EP1938" s="8" t="inlineStr"/>
      <c r="EQ1938" s="8" t="inlineStr"/>
      <c r="ER1938" s="8" t="inlineStr"/>
      <c r="ES1938" s="8" t="inlineStr"/>
      <c r="ET1938" s="8" t="inlineStr"/>
      <c r="EU1938" s="8" t="inlineStr"/>
      <c r="EV1938" s="8" t="inlineStr"/>
      <c r="EW1938" s="8" t="inlineStr"/>
      <c r="EX1938" s="8" t="inlineStr"/>
      <c r="EY1938" s="8" t="inlineStr"/>
      <c r="EZ1938" s="8" t="inlineStr"/>
      <c r="FA1938" s="8" t="inlineStr"/>
      <c r="FB1938" s="8" t="inlineStr"/>
      <c r="FC1938" s="8" t="inlineStr"/>
      <c r="FD1938" s="8" t="inlineStr"/>
      <c r="FE1938" s="8" t="inlineStr"/>
      <c r="FF1938" s="8" t="inlineStr"/>
      <c r="FG1938" s="8" t="inlineStr"/>
      <c r="FH1938" s="8" t="inlineStr"/>
      <c r="FI1938" s="8" t="inlineStr"/>
      <c r="FJ1938" s="8" t="inlineStr"/>
      <c r="FK1938" s="8" t="inlineStr"/>
      <c r="FL1938" s="8" t="inlineStr"/>
      <c r="FM1938" s="8" t="inlineStr"/>
    </row>
    <row r="1939">
      <c r="A1939" s="7" t="inlineStr">
        <is>
          <t>Country table: last row</t>
        </is>
      </c>
      <c r="B1939" s="8" t="inlineStr"/>
      <c r="C1939" s="8" t="inlineStr"/>
      <c r="D1939" s="8" t="inlineStr"/>
      <c r="E1939" s="8" t="inlineStr"/>
      <c r="F1939" s="8" t="inlineStr"/>
      <c r="G1939" s="8" t="inlineStr"/>
      <c r="H1939" s="8" t="inlineStr"/>
      <c r="I1939" s="8" t="inlineStr"/>
      <c r="J1939" s="8" t="inlineStr"/>
      <c r="K1939" s="8" t="inlineStr"/>
      <c r="L1939" s="8" t="inlineStr"/>
      <c r="M1939" s="8" t="inlineStr"/>
      <c r="N1939" s="8" t="inlineStr"/>
      <c r="O1939" s="8" t="inlineStr"/>
      <c r="P1939" s="8" t="inlineStr"/>
      <c r="Q1939" s="8" t="inlineStr"/>
      <c r="R1939" s="8" t="inlineStr"/>
      <c r="S1939" s="8" t="inlineStr"/>
      <c r="T1939" s="8" t="inlineStr"/>
      <c r="U1939" s="8" t="inlineStr"/>
      <c r="V1939" s="8" t="inlineStr"/>
      <c r="W1939" s="8" t="inlineStr"/>
      <c r="X1939" s="8" t="inlineStr"/>
      <c r="Y1939" s="8" t="inlineStr"/>
      <c r="Z1939" s="8" t="inlineStr"/>
      <c r="AA1939" s="8" t="inlineStr"/>
      <c r="AB1939" s="8" t="inlineStr"/>
      <c r="AC1939" s="8" t="inlineStr"/>
      <c r="AD1939" s="8" t="inlineStr"/>
      <c r="AE1939" s="8" t="inlineStr"/>
      <c r="AF1939" s="8" t="inlineStr"/>
      <c r="AG1939" s="8" t="inlineStr"/>
      <c r="AH1939" s="8" t="inlineStr"/>
      <c r="AI1939" s="8" t="inlineStr"/>
      <c r="AJ1939" s="8" t="inlineStr"/>
      <c r="AK1939" s="8" t="inlineStr"/>
      <c r="AL1939" s="8" t="inlineStr"/>
      <c r="AM1939" s="8" t="inlineStr"/>
      <c r="AN1939" s="8" t="inlineStr"/>
      <c r="AO1939" s="8" t="inlineStr"/>
      <c r="AP1939" s="8" t="inlineStr"/>
      <c r="AQ1939" s="8" t="inlineStr"/>
      <c r="AR1939" s="8" t="inlineStr"/>
      <c r="AS1939" s="8" t="inlineStr"/>
      <c r="AT1939" s="8" t="inlineStr"/>
      <c r="AU1939" s="8" t="inlineStr"/>
      <c r="AV1939" s="8" t="inlineStr"/>
      <c r="AW1939" s="8" t="inlineStr"/>
      <c r="AX1939" s="8" t="inlineStr"/>
      <c r="AY1939" s="8" t="inlineStr"/>
      <c r="AZ1939" s="8" t="inlineStr"/>
      <c r="BA1939" s="8" t="inlineStr"/>
      <c r="BB1939" s="8" t="inlineStr"/>
      <c r="BC1939" s="8" t="inlineStr"/>
      <c r="BD1939" s="8" t="inlineStr"/>
      <c r="BE1939" s="8" t="inlineStr"/>
      <c r="BF1939" s="8" t="inlineStr"/>
      <c r="BG1939" s="8" t="inlineStr"/>
      <c r="BH1939" s="8" t="inlineStr"/>
      <c r="BI1939" s="8" t="inlineStr"/>
      <c r="BJ1939" s="8" t="inlineStr"/>
      <c r="BK1939" s="8" t="inlineStr"/>
      <c r="BL1939" s="8" t="inlineStr"/>
      <c r="BM1939" s="8" t="inlineStr"/>
      <c r="BN1939" s="8" t="inlineStr"/>
      <c r="BO1939" s="8" t="inlineStr"/>
      <c r="BP1939" s="8" t="inlineStr"/>
      <c r="BQ1939" s="8" t="inlineStr"/>
      <c r="BR1939" s="8" t="inlineStr"/>
      <c r="BS1939" s="8" t="inlineStr"/>
      <c r="BT1939" s="8" t="inlineStr"/>
      <c r="BU1939" s="8" t="inlineStr"/>
      <c r="BV1939" s="8" t="inlineStr"/>
      <c r="BW1939" s="8" t="inlineStr"/>
      <c r="BX1939" s="8" t="inlineStr"/>
      <c r="BY1939" s="8" t="inlineStr"/>
      <c r="BZ1939" s="8" t="inlineStr"/>
      <c r="CA1939" s="8" t="inlineStr"/>
      <c r="CB1939" s="8" t="inlineStr"/>
      <c r="CC1939" s="8" t="inlineStr"/>
      <c r="CD1939" s="8" t="inlineStr"/>
      <c r="CE1939" s="8" t="inlineStr"/>
      <c r="CF1939" s="8" t="inlineStr"/>
      <c r="CG1939" s="8" t="inlineStr"/>
      <c r="CH1939" s="8" t="inlineStr"/>
      <c r="CI1939" s="8" t="inlineStr"/>
      <c r="CJ1939" s="8" t="inlineStr"/>
      <c r="CK1939" s="8" t="inlineStr"/>
      <c r="CL1939" s="8" t="inlineStr"/>
      <c r="CM1939" s="8" t="inlineStr"/>
      <c r="CN1939" s="8" t="inlineStr"/>
      <c r="CO1939" s="8" t="inlineStr"/>
      <c r="CP1939" s="8" t="inlineStr"/>
      <c r="CQ1939" s="8" t="inlineStr"/>
      <c r="CR1939" s="8" t="inlineStr"/>
      <c r="CS1939" s="8" t="inlineStr"/>
      <c r="CT1939" s="8" t="inlineStr"/>
      <c r="CU1939" s="8" t="inlineStr"/>
      <c r="CV1939" s="8" t="inlineStr"/>
      <c r="CW1939" s="8" t="inlineStr"/>
      <c r="CX1939" s="8" t="inlineStr"/>
      <c r="CY1939" s="8" t="inlineStr"/>
      <c r="CZ1939" s="8" t="inlineStr"/>
      <c r="DA1939" s="8" t="inlineStr"/>
      <c r="DB1939" s="8" t="inlineStr"/>
      <c r="DC1939" s="8" t="inlineStr"/>
      <c r="DD1939" s="8" t="inlineStr"/>
      <c r="DE1939" s="8" t="inlineStr"/>
      <c r="DF1939" s="8" t="inlineStr"/>
      <c r="DG1939" s="8" t="inlineStr"/>
      <c r="DH1939" s="8" t="inlineStr"/>
      <c r="DI1939" s="8" t="inlineStr"/>
      <c r="DJ1939" s="8" t="inlineStr"/>
      <c r="DK1939" s="8" t="inlineStr"/>
      <c r="DL1939" s="8" t="inlineStr"/>
      <c r="DM1939" s="8" t="inlineStr"/>
      <c r="DN1939" s="8" t="inlineStr"/>
      <c r="DO1939" s="8" t="inlineStr"/>
      <c r="DP1939" s="8" t="inlineStr"/>
      <c r="DQ1939" s="8" t="inlineStr"/>
      <c r="DR1939" s="8" t="n">
        <v>812</v>
      </c>
      <c r="DS1939" s="8" t="n">
        <v>812</v>
      </c>
      <c r="DT1939" s="8" t="n">
        <v>812</v>
      </c>
      <c r="DU1939" s="8" t="n">
        <v>610</v>
      </c>
      <c r="DV1939" s="8" t="n">
        <v>610</v>
      </c>
      <c r="DW1939" s="8" t="n">
        <v>610</v>
      </c>
      <c r="DX1939" s="8" t="inlineStr"/>
      <c r="DY1939" s="8" t="inlineStr"/>
      <c r="DZ1939" s="8" t="inlineStr"/>
      <c r="EA1939" s="8" t="n">
        <v>1620</v>
      </c>
      <c r="EB1939" s="8" t="n">
        <v>1620</v>
      </c>
      <c r="EC1939" s="8" t="n">
        <v>1620</v>
      </c>
      <c r="ED1939" s="8" t="n">
        <v>1014</v>
      </c>
      <c r="EE1939" s="8" t="n">
        <v>1014</v>
      </c>
      <c r="EF1939" s="8" t="n">
        <v>1014</v>
      </c>
      <c r="EG1939" s="8" t="n">
        <v>1216</v>
      </c>
      <c r="EH1939" s="8" t="n">
        <v>1216</v>
      </c>
      <c r="EI1939" s="8" t="n">
        <v>1216</v>
      </c>
      <c r="EJ1939" s="8" t="n">
        <v>1418</v>
      </c>
      <c r="EK1939" s="8" t="n">
        <v>1418</v>
      </c>
      <c r="EL1939" s="8" t="n">
        <v>1418</v>
      </c>
      <c r="EM1939" s="8" t="inlineStr"/>
      <c r="EN1939" s="8" t="inlineStr"/>
      <c r="EO1939" s="8" t="inlineStr"/>
      <c r="EP1939" s="8" t="inlineStr"/>
      <c r="EQ1939" s="8" t="inlineStr"/>
      <c r="ER1939" s="8" t="inlineStr"/>
      <c r="ES1939" s="8" t="inlineStr"/>
      <c r="ET1939" s="8" t="inlineStr"/>
      <c r="EU1939" s="8" t="inlineStr"/>
      <c r="EV1939" s="8" t="inlineStr"/>
      <c r="EW1939" s="8" t="inlineStr"/>
      <c r="EX1939" s="8" t="inlineStr"/>
      <c r="EY1939" s="8" t="inlineStr"/>
      <c r="EZ1939" s="8" t="inlineStr"/>
      <c r="FA1939" s="8" t="inlineStr"/>
      <c r="FB1939" s="8" t="inlineStr"/>
      <c r="FC1939" s="8" t="inlineStr"/>
      <c r="FD1939" s="8" t="inlineStr"/>
      <c r="FE1939" s="8" t="inlineStr"/>
      <c r="FF1939" s="8" t="inlineStr"/>
      <c r="FG1939" s="8" t="inlineStr"/>
      <c r="FH1939" s="8" t="inlineStr"/>
      <c r="FI1939" s="8" t="inlineStr"/>
      <c r="FJ1939" s="8" t="inlineStr"/>
      <c r="FK1939" s="8" t="inlineStr"/>
      <c r="FL1939" s="8" t="inlineStr"/>
      <c r="FM1939" s="8" t="inlineStr"/>
    </row>
    <row r="1940">
      <c r="A1940" s="7" t="inlineStr">
        <is>
          <t>Column of the income group (base) in this table</t>
        </is>
      </c>
      <c r="B1940" s="8" t="inlineStr"/>
      <c r="C1940" s="8" t="inlineStr"/>
      <c r="D1940" s="8" t="inlineStr"/>
      <c r="E1940" s="8" t="inlineStr"/>
      <c r="F1940" s="8" t="inlineStr"/>
      <c r="G1940" s="8" t="inlineStr"/>
      <c r="H1940" s="8" t="inlineStr"/>
      <c r="I1940" s="8" t="inlineStr"/>
      <c r="J1940" s="8" t="inlineStr"/>
      <c r="K1940" s="8" t="inlineStr"/>
      <c r="L1940" s="8" t="inlineStr"/>
      <c r="M1940" s="8" t="inlineStr"/>
      <c r="N1940" s="8" t="inlineStr"/>
      <c r="O1940" s="8" t="inlineStr"/>
      <c r="P1940" s="8" t="inlineStr"/>
      <c r="Q1940" s="8" t="inlineStr"/>
      <c r="R1940" s="8" t="inlineStr"/>
      <c r="S1940" s="8" t="inlineStr"/>
      <c r="T1940" s="8" t="inlineStr"/>
      <c r="U1940" s="8" t="inlineStr"/>
      <c r="V1940" s="8" t="inlineStr"/>
      <c r="W1940" s="8" t="inlineStr"/>
      <c r="X1940" s="8" t="inlineStr"/>
      <c r="Y1940" s="8" t="inlineStr"/>
      <c r="Z1940" s="8" t="inlineStr"/>
      <c r="AA1940" s="8" t="inlineStr"/>
      <c r="AB1940" s="8" t="inlineStr"/>
      <c r="AC1940" s="8" t="inlineStr"/>
      <c r="AD1940" s="8" t="inlineStr"/>
      <c r="AE1940" s="8" t="inlineStr"/>
      <c r="AF1940" s="8" t="inlineStr"/>
      <c r="AG1940" s="8" t="inlineStr"/>
      <c r="AH1940" s="8" t="inlineStr"/>
      <c r="AI1940" s="8" t="inlineStr"/>
      <c r="AJ1940" s="8" t="inlineStr"/>
      <c r="AK1940" s="8" t="inlineStr"/>
      <c r="AL1940" s="8" t="inlineStr"/>
      <c r="AM1940" s="8" t="inlineStr"/>
      <c r="AN1940" s="8" t="inlineStr"/>
      <c r="AO1940" s="8" t="inlineStr"/>
      <c r="AP1940" s="8" t="inlineStr"/>
      <c r="AQ1940" s="8" t="inlineStr"/>
      <c r="AR1940" s="8" t="inlineStr"/>
      <c r="AS1940" s="8" t="inlineStr"/>
      <c r="AT1940" s="8" t="inlineStr"/>
      <c r="AU1940" s="8" t="inlineStr"/>
      <c r="AV1940" s="8" t="inlineStr"/>
      <c r="AW1940" s="8" t="inlineStr"/>
      <c r="AX1940" s="8" t="inlineStr"/>
      <c r="AY1940" s="8" t="inlineStr"/>
      <c r="AZ1940" s="8" t="inlineStr"/>
      <c r="BA1940" s="8" t="inlineStr"/>
      <c r="BB1940" s="8" t="inlineStr"/>
      <c r="BC1940" s="8" t="inlineStr"/>
      <c r="BD1940" s="8" t="inlineStr"/>
      <c r="BE1940" s="8" t="inlineStr"/>
      <c r="BF1940" s="8" t="inlineStr"/>
      <c r="BG1940" s="8" t="inlineStr"/>
      <c r="BH1940" s="8" t="inlineStr"/>
      <c r="BI1940" s="8" t="inlineStr"/>
      <c r="BJ1940" s="8" t="inlineStr"/>
      <c r="BK1940" s="8" t="inlineStr"/>
      <c r="BL1940" s="8" t="inlineStr"/>
      <c r="BM1940" s="8" t="inlineStr"/>
      <c r="BN1940" s="8" t="inlineStr"/>
      <c r="BO1940" s="8" t="inlineStr"/>
      <c r="BP1940" s="8" t="inlineStr"/>
      <c r="BQ1940" s="8" t="inlineStr"/>
      <c r="BR1940" s="8" t="inlineStr"/>
      <c r="BS1940" s="8" t="inlineStr"/>
      <c r="BT1940" s="8" t="inlineStr"/>
      <c r="BU1940" s="8" t="inlineStr"/>
      <c r="BV1940" s="8" t="inlineStr"/>
      <c r="BW1940" s="8" t="inlineStr"/>
      <c r="BX1940" s="8" t="inlineStr"/>
      <c r="BY1940" s="8" t="inlineStr"/>
      <c r="BZ1940" s="8" t="inlineStr"/>
      <c r="CA1940" s="8" t="inlineStr"/>
      <c r="CB1940" s="8" t="inlineStr"/>
      <c r="CC1940" s="8" t="inlineStr"/>
      <c r="CD1940" s="8" t="inlineStr"/>
      <c r="CE1940" s="8" t="inlineStr"/>
      <c r="CF1940" s="8" t="inlineStr"/>
      <c r="CG1940" s="8" t="inlineStr"/>
      <c r="CH1940" s="8" t="inlineStr"/>
      <c r="CI1940" s="8" t="inlineStr"/>
      <c r="CJ1940" s="8" t="inlineStr"/>
      <c r="CK1940" s="8" t="inlineStr"/>
      <c r="CL1940" s="8" t="inlineStr"/>
      <c r="CM1940" s="8" t="inlineStr"/>
      <c r="CN1940" s="8" t="inlineStr"/>
      <c r="CO1940" s="8" t="inlineStr"/>
      <c r="CP1940" s="8" t="inlineStr"/>
      <c r="CQ1940" s="8" t="inlineStr"/>
      <c r="CR1940" s="8" t="inlineStr"/>
      <c r="CS1940" s="8" t="inlineStr"/>
      <c r="CT1940" s="8" t="inlineStr"/>
      <c r="CU1940" s="8" t="inlineStr"/>
      <c r="CV1940" s="8" t="inlineStr"/>
      <c r="CW1940" s="8" t="inlineStr"/>
      <c r="CX1940" s="8" t="inlineStr"/>
      <c r="CY1940" s="8" t="inlineStr"/>
      <c r="CZ1940" s="8" t="inlineStr"/>
      <c r="DA1940" s="8" t="inlineStr"/>
      <c r="DB1940" s="8" t="inlineStr"/>
      <c r="DC1940" s="8" t="inlineStr"/>
      <c r="DD1940" s="8" t="inlineStr"/>
      <c r="DE1940" s="8" t="inlineStr"/>
      <c r="DF1940" s="8" t="inlineStr"/>
      <c r="DG1940" s="8" t="inlineStr"/>
      <c r="DH1940" s="8" t="inlineStr"/>
      <c r="DI1940" s="8" t="inlineStr"/>
      <c r="DJ1940" s="8" t="inlineStr"/>
      <c r="DK1940" s="8" t="inlineStr"/>
      <c r="DL1940" s="8" t="inlineStr"/>
      <c r="DM1940" s="8" t="inlineStr"/>
      <c r="DN1940" s="8" t="inlineStr"/>
      <c r="DO1940" s="8" t="inlineStr"/>
      <c r="DP1940" s="8" t="inlineStr"/>
      <c r="DQ1940" s="8" t="inlineStr"/>
      <c r="DR1940" s="3">
        <f t="shared" ref="DR1940:FM1940" si="68">MATCH(LOWER(IncomeGrp)&amp;"|base|"&amp;DR$1934,MultKey,0)</f>
        <v>73.0</v>
      </c>
      <c r="DS1940" s="3">
        <f t="shared" si="68"/>
        <v>73.0</v>
      </c>
      <c r="DT1940" s="3">
        <f t="shared" si="68"/>
        <v>73.0</v>
      </c>
      <c r="DU1940" s="3">
        <f t="shared" si="68"/>
        <v>76.0</v>
      </c>
      <c r="DV1940" s="3">
        <f t="shared" si="68"/>
        <v>76.0</v>
      </c>
      <c r="DW1940" s="3">
        <f t="shared" si="68"/>
        <v>76.0</v>
      </c>
      <c r="DX1940" s="3">
        <f t="shared" si="68"/>
        <v>79.0</v>
      </c>
      <c r="DY1940" s="3">
        <f t="shared" si="68"/>
        <v>79.0</v>
      </c>
      <c r="DZ1940" s="3">
        <f t="shared" si="68"/>
        <v>79.0</v>
      </c>
      <c r="EA1940" s="3">
        <f t="shared" si="68"/>
        <v>82.0</v>
      </c>
      <c r="EB1940" s="3">
        <f t="shared" si="68"/>
        <v>82.0</v>
      </c>
      <c r="EC1940" s="3">
        <f t="shared" si="68"/>
        <v>82.0</v>
      </c>
      <c r="ED1940" s="3">
        <f t="shared" si="68"/>
        <v>85.0</v>
      </c>
      <c r="EE1940" s="3">
        <f t="shared" si="68"/>
        <v>85.0</v>
      </c>
      <c r="EF1940" s="3">
        <f t="shared" si="68"/>
        <v>85.0</v>
      </c>
      <c r="EG1940" s="3">
        <f t="shared" si="68"/>
        <v>88.0</v>
      </c>
      <c r="EH1940" s="3">
        <f t="shared" si="68"/>
        <v>88.0</v>
      </c>
      <c r="EI1940" s="3">
        <f t="shared" si="68"/>
        <v>88.0</v>
      </c>
      <c r="EJ1940" s="3">
        <f t="shared" si="68"/>
        <v>91.0</v>
      </c>
      <c r="EK1940" s="3">
        <f t="shared" si="68"/>
        <v>91.0</v>
      </c>
      <c r="EL1940" s="3">
        <f t="shared" si="68"/>
        <v>91.0</v>
      </c>
      <c r="EM1940" s="3">
        <f t="shared" si="68"/>
        <v>94.0</v>
      </c>
      <c r="EN1940" s="3">
        <f t="shared" si="68"/>
        <v>94.0</v>
      </c>
      <c r="EO1940" s="3">
        <f t="shared" si="68"/>
        <v>94.0</v>
      </c>
      <c r="EP1940" s="3">
        <f t="shared" si="68"/>
        <v>73.0</v>
      </c>
      <c r="EQ1940" s="3">
        <f t="shared" si="68"/>
        <v>73.0</v>
      </c>
      <c r="ER1940" s="3">
        <f t="shared" si="68"/>
        <v>73.0</v>
      </c>
      <c r="ES1940" s="3">
        <f t="shared" si="68"/>
        <v>76.0</v>
      </c>
      <c r="ET1940" s="3">
        <f t="shared" si="68"/>
        <v>76.0</v>
      </c>
      <c r="EU1940" s="3">
        <f t="shared" si="68"/>
        <v>76.0</v>
      </c>
      <c r="EV1940" s="3">
        <f t="shared" si="68"/>
        <v>79.0</v>
      </c>
      <c r="EW1940" s="3">
        <f t="shared" si="68"/>
        <v>79.0</v>
      </c>
      <c r="EX1940" s="3">
        <f t="shared" si="68"/>
        <v>79.0</v>
      </c>
      <c r="EY1940" s="3">
        <f t="shared" si="68"/>
        <v>82.0</v>
      </c>
      <c r="EZ1940" s="3">
        <f t="shared" si="68"/>
        <v>82.0</v>
      </c>
      <c r="FA1940" s="3">
        <f t="shared" si="68"/>
        <v>82.0</v>
      </c>
      <c r="FB1940" s="3">
        <f t="shared" si="68"/>
        <v>85.0</v>
      </c>
      <c r="FC1940" s="3">
        <f t="shared" si="68"/>
        <v>85.0</v>
      </c>
      <c r="FD1940" s="3">
        <f t="shared" si="68"/>
        <v>85.0</v>
      </c>
      <c r="FE1940" s="3">
        <f t="shared" si="68"/>
        <v>88.0</v>
      </c>
      <c r="FF1940" s="3">
        <f t="shared" si="68"/>
        <v>88.0</v>
      </c>
      <c r="FG1940" s="3">
        <f t="shared" si="68"/>
        <v>88.0</v>
      </c>
      <c r="FH1940" s="3">
        <f t="shared" si="68"/>
        <v>91.0</v>
      </c>
      <c r="FI1940" s="3">
        <f t="shared" si="68"/>
        <v>91.0</v>
      </c>
      <c r="FJ1940" s="3">
        <f t="shared" si="68"/>
        <v>91.0</v>
      </c>
      <c r="FK1940" s="3">
        <f t="shared" si="68"/>
        <v>94.0</v>
      </c>
      <c r="FL1940" s="3">
        <f t="shared" si="68"/>
        <v>94.0</v>
      </c>
      <c r="FM1940" s="3">
        <f t="shared" si="68"/>
        <v>94.0</v>
      </c>
    </row>
    <row r="1941">
      <c r="A1941" s="7" t="inlineStr">
        <is>
          <t>Legacy row of the income group's median</t>
        </is>
      </c>
      <c r="B1941" s="8" t="inlineStr"/>
      <c r="C1941" s="8" t="inlineStr"/>
      <c r="D1941" s="8" t="inlineStr"/>
      <c r="E1941" s="8" t="inlineStr"/>
      <c r="F1941" s="8" t="inlineStr"/>
      <c r="G1941" s="8" t="inlineStr"/>
      <c r="H1941" s="8" t="inlineStr"/>
      <c r="I1941" s="8" t="inlineStr"/>
      <c r="J1941" s="8" t="inlineStr"/>
      <c r="K1941" s="8" t="inlineStr"/>
      <c r="L1941" s="8" t="inlineStr"/>
      <c r="M1941" s="8" t="inlineStr"/>
      <c r="N1941" s="8" t="inlineStr"/>
      <c r="O1941" s="8" t="inlineStr"/>
      <c r="P1941" s="8" t="inlineStr"/>
      <c r="Q1941" s="8" t="inlineStr"/>
      <c r="R1941" s="8" t="inlineStr"/>
      <c r="S1941" s="8" t="inlineStr"/>
      <c r="T1941" s="8" t="inlineStr"/>
      <c r="U1941" s="8" t="inlineStr"/>
      <c r="V1941" s="8" t="inlineStr"/>
      <c r="W1941" s="8" t="inlineStr"/>
      <c r="X1941" s="8" t="inlineStr"/>
      <c r="Y1941" s="8" t="inlineStr"/>
      <c r="Z1941" s="8" t="inlineStr"/>
      <c r="AA1941" s="8" t="inlineStr"/>
      <c r="AB1941" s="8" t="inlineStr"/>
      <c r="AC1941" s="8" t="inlineStr"/>
      <c r="AD1941" s="8" t="inlineStr"/>
      <c r="AE1941" s="8" t="inlineStr"/>
      <c r="AF1941" s="8" t="inlineStr"/>
      <c r="AG1941" s="8" t="inlineStr"/>
      <c r="AH1941" s="8" t="inlineStr"/>
      <c r="AI1941" s="8" t="inlineStr"/>
      <c r="AJ1941" s="8" t="inlineStr"/>
      <c r="AK1941" s="8" t="inlineStr"/>
      <c r="AL1941" s="8" t="inlineStr"/>
      <c r="AM1941" s="8" t="inlineStr"/>
      <c r="AN1941" s="8" t="inlineStr"/>
      <c r="AO1941" s="8" t="inlineStr"/>
      <c r="AP1941" s="8" t="inlineStr"/>
      <c r="AQ1941" s="8" t="inlineStr"/>
      <c r="AR1941" s="8" t="inlineStr"/>
      <c r="AS1941" s="8" t="inlineStr"/>
      <c r="AT1941" s="8" t="inlineStr"/>
      <c r="AU1941" s="8" t="inlineStr"/>
      <c r="AV1941" s="8" t="inlineStr"/>
      <c r="AW1941" s="8" t="inlineStr"/>
      <c r="AX1941" s="8" t="inlineStr"/>
      <c r="AY1941" s="8" t="inlineStr"/>
      <c r="AZ1941" s="8" t="inlineStr"/>
      <c r="BA1941" s="8" t="inlineStr"/>
      <c r="BB1941" s="8" t="inlineStr"/>
      <c r="BC1941" s="8" t="inlineStr"/>
      <c r="BD1941" s="8" t="inlineStr"/>
      <c r="BE1941" s="8" t="inlineStr"/>
      <c r="BF1941" s="8" t="inlineStr"/>
      <c r="BG1941" s="8" t="inlineStr"/>
      <c r="BH1941" s="8" t="inlineStr"/>
      <c r="BI1941" s="8" t="inlineStr"/>
      <c r="BJ1941" s="8" t="inlineStr"/>
      <c r="BK1941" s="8" t="inlineStr"/>
      <c r="BL1941" s="8" t="inlineStr"/>
      <c r="BM1941" s="8" t="inlineStr"/>
      <c r="BN1941" s="8" t="inlineStr"/>
      <c r="BO1941" s="8" t="inlineStr"/>
      <c r="BP1941" s="8" t="inlineStr"/>
      <c r="BQ1941" s="8" t="inlineStr"/>
      <c r="BR1941" s="8" t="inlineStr"/>
      <c r="BS1941" s="8" t="inlineStr"/>
      <c r="BT1941" s="8" t="inlineStr"/>
      <c r="BU1941" s="8" t="inlineStr"/>
      <c r="BV1941" s="8" t="inlineStr"/>
      <c r="BW1941" s="8" t="inlineStr"/>
      <c r="BX1941" s="8" t="inlineStr"/>
      <c r="BY1941" s="8" t="inlineStr"/>
      <c r="BZ1941" s="8" t="inlineStr"/>
      <c r="CA1941" s="8" t="inlineStr"/>
      <c r="CB1941" s="8" t="inlineStr"/>
      <c r="CC1941" s="8" t="inlineStr"/>
      <c r="CD1941" s="8" t="inlineStr"/>
      <c r="CE1941" s="8" t="inlineStr"/>
      <c r="CF1941" s="8" t="inlineStr"/>
      <c r="CG1941" s="8" t="inlineStr"/>
      <c r="CH1941" s="8" t="inlineStr"/>
      <c r="CI1941" s="8" t="inlineStr"/>
      <c r="CJ1941" s="8" t="inlineStr"/>
      <c r="CK1941" s="8" t="inlineStr"/>
      <c r="CL1941" s="8" t="inlineStr"/>
      <c r="CM1941" s="8" t="inlineStr"/>
      <c r="CN1941" s="8" t="inlineStr"/>
      <c r="CO1941" s="8" t="inlineStr"/>
      <c r="CP1941" s="8" t="inlineStr"/>
      <c r="CQ1941" s="8" t="inlineStr"/>
      <c r="CR1941" s="8" t="inlineStr"/>
      <c r="CS1941" s="8" t="inlineStr"/>
      <c r="CT1941" s="8" t="inlineStr"/>
      <c r="CU1941" s="8" t="inlineStr"/>
      <c r="CV1941" s="8" t="inlineStr"/>
      <c r="CW1941" s="8" t="inlineStr"/>
      <c r="CX1941" s="8" t="inlineStr"/>
      <c r="CY1941" s="8" t="inlineStr"/>
      <c r="CZ1941" s="8" t="inlineStr"/>
      <c r="DA1941" s="8" t="inlineStr"/>
      <c r="DB1941" s="8" t="inlineStr"/>
      <c r="DC1941" s="8" t="inlineStr"/>
      <c r="DD1941" s="8" t="inlineStr"/>
      <c r="DE1941" s="8" t="inlineStr"/>
      <c r="DF1941" s="8" t="inlineStr"/>
      <c r="DG1941" s="8" t="inlineStr"/>
      <c r="DH1941" s="8" t="inlineStr"/>
      <c r="DI1941" s="8" t="inlineStr"/>
      <c r="DJ1941" s="8" t="inlineStr"/>
      <c r="DK1941" s="8" t="inlineStr"/>
      <c r="DL1941" s="8" t="inlineStr"/>
      <c r="DM1941" s="8" t="inlineStr"/>
      <c r="DN1941" s="8" t="inlineStr"/>
      <c r="DO1941" s="8" t="inlineStr"/>
      <c r="DP1941" s="8" t="inlineStr"/>
      <c r="DQ1941" s="8" t="inlineStr"/>
      <c r="DR1941" s="3">
        <f t="shared" ref="DR1941:FM1941" si="69">INDEX($B$1935:$FM$1935,DR$1940)</f>
        <v>126.0</v>
      </c>
      <c r="DS1941" s="3">
        <f t="shared" si="69"/>
        <v>126.0</v>
      </c>
      <c r="DT1941" s="3">
        <f t="shared" si="69"/>
        <v>126.0</v>
      </c>
      <c r="DU1941" s="3">
        <f t="shared" si="69"/>
        <v>127.0</v>
      </c>
      <c r="DV1941" s="3">
        <f t="shared" si="69"/>
        <v>127.0</v>
      </c>
      <c r="DW1941" s="3">
        <f t="shared" si="69"/>
        <v>127.0</v>
      </c>
      <c r="DX1941" s="3">
        <f t="shared" si="69"/>
        <v>128.0</v>
      </c>
      <c r="DY1941" s="3">
        <f t="shared" si="69"/>
        <v>128.0</v>
      </c>
      <c r="DZ1941" s="3">
        <f t="shared" si="69"/>
        <v>128.0</v>
      </c>
      <c r="EA1941" s="3">
        <f t="shared" si="69"/>
        <v>129.0</v>
      </c>
      <c r="EB1941" s="3">
        <f t="shared" si="69"/>
        <v>129.0</v>
      </c>
      <c r="EC1941" s="3">
        <f t="shared" si="69"/>
        <v>129.0</v>
      </c>
      <c r="ED1941" s="3">
        <f t="shared" si="69"/>
        <v>130.0</v>
      </c>
      <c r="EE1941" s="3">
        <f t="shared" si="69"/>
        <v>130.0</v>
      </c>
      <c r="EF1941" s="3">
        <f t="shared" si="69"/>
        <v>130.0</v>
      </c>
      <c r="EG1941" s="3">
        <f t="shared" si="69"/>
        <v>131.0</v>
      </c>
      <c r="EH1941" s="3">
        <f t="shared" si="69"/>
        <v>131.0</v>
      </c>
      <c r="EI1941" s="3">
        <f t="shared" si="69"/>
        <v>131.0</v>
      </c>
      <c r="EJ1941" s="3">
        <f t="shared" si="69"/>
        <v>132.0</v>
      </c>
      <c r="EK1941" s="3">
        <f t="shared" si="69"/>
        <v>132.0</v>
      </c>
      <c r="EL1941" s="3">
        <f t="shared" si="69"/>
        <v>132.0</v>
      </c>
      <c r="EM1941" s="3">
        <f t="shared" si="69"/>
        <v>133.0</v>
      </c>
      <c r="EN1941" s="3">
        <f t="shared" si="69"/>
        <v>133.0</v>
      </c>
      <c r="EO1941" s="3">
        <f t="shared" si="69"/>
        <v>133.0</v>
      </c>
      <c r="EP1941" s="3">
        <f t="shared" si="69"/>
        <v>126.0</v>
      </c>
      <c r="EQ1941" s="3">
        <f t="shared" si="69"/>
        <v>126.0</v>
      </c>
      <c r="ER1941" s="3">
        <f t="shared" si="69"/>
        <v>126.0</v>
      </c>
      <c r="ES1941" s="3">
        <f t="shared" si="69"/>
        <v>127.0</v>
      </c>
      <c r="ET1941" s="3">
        <f t="shared" si="69"/>
        <v>127.0</v>
      </c>
      <c r="EU1941" s="3">
        <f t="shared" si="69"/>
        <v>127.0</v>
      </c>
      <c r="EV1941" s="3">
        <f t="shared" si="69"/>
        <v>128.0</v>
      </c>
      <c r="EW1941" s="3">
        <f t="shared" si="69"/>
        <v>128.0</v>
      </c>
      <c r="EX1941" s="3">
        <f t="shared" si="69"/>
        <v>128.0</v>
      </c>
      <c r="EY1941" s="3">
        <f t="shared" si="69"/>
        <v>129.0</v>
      </c>
      <c r="EZ1941" s="3">
        <f t="shared" si="69"/>
        <v>129.0</v>
      </c>
      <c r="FA1941" s="3">
        <f t="shared" si="69"/>
        <v>129.0</v>
      </c>
      <c r="FB1941" s="3">
        <f t="shared" si="69"/>
        <v>130.0</v>
      </c>
      <c r="FC1941" s="3">
        <f t="shared" si="69"/>
        <v>130.0</v>
      </c>
      <c r="FD1941" s="3">
        <f t="shared" si="69"/>
        <v>130.0</v>
      </c>
      <c r="FE1941" s="3">
        <f t="shared" si="69"/>
        <v>131.0</v>
      </c>
      <c r="FF1941" s="3">
        <f t="shared" si="69"/>
        <v>131.0</v>
      </c>
      <c r="FG1941" s="3">
        <f t="shared" si="69"/>
        <v>131.0</v>
      </c>
      <c r="FH1941" s="3">
        <f t="shared" si="69"/>
        <v>132.0</v>
      </c>
      <c r="FI1941" s="3">
        <f t="shared" si="69"/>
        <v>132.0</v>
      </c>
      <c r="FJ1941" s="3">
        <f t="shared" si="69"/>
        <v>132.0</v>
      </c>
      <c r="FK1941" s="3">
        <f t="shared" si="69"/>
        <v>133.0</v>
      </c>
      <c r="FL1941" s="3">
        <f t="shared" si="69"/>
        <v>133.0</v>
      </c>
      <c r="FM1941" s="3">
        <f t="shared" si="69"/>
        <v>133.0</v>
      </c>
    </row>
    <row r="1942">
      <c r="A1942" s="3" t="n">
        <v>0</v>
      </c>
      <c r="B1942" s="48" t="n">
        <v>0</v>
      </c>
      <c r="C1942" s="48" t="n">
        <v>0</v>
      </c>
      <c r="D1942" s="48" t="n">
        <v>0</v>
      </c>
      <c r="E1942" s="48" t="n">
        <v>0</v>
      </c>
      <c r="F1942" s="48" t="n">
        <v>0</v>
      </c>
      <c r="G1942" s="48" t="n">
        <v>0</v>
      </c>
      <c r="H1942" s="48" t="n">
        <v>0</v>
      </c>
      <c r="I1942" s="48" t="n">
        <v>0</v>
      </c>
      <c r="J1942" s="48" t="n">
        <v>0</v>
      </c>
      <c r="K1942" s="48" t="n">
        <v>0</v>
      </c>
      <c r="L1942" s="48" t="n">
        <v>0</v>
      </c>
      <c r="M1942" s="48" t="n">
        <v>0</v>
      </c>
      <c r="N1942" s="48" t="n">
        <v>0</v>
      </c>
      <c r="O1942" s="48" t="n">
        <v>0</v>
      </c>
      <c r="P1942" s="48" t="n">
        <v>0</v>
      </c>
      <c r="Q1942" s="48" t="n">
        <v>0</v>
      </c>
      <c r="R1942" s="48" t="n">
        <v>0</v>
      </c>
      <c r="S1942" s="48" t="n">
        <v>0</v>
      </c>
      <c r="T1942" s="48" t="n">
        <v>0</v>
      </c>
      <c r="U1942" s="48" t="n">
        <v>0</v>
      </c>
      <c r="V1942" s="48" t="n">
        <v>0</v>
      </c>
      <c r="W1942" s="48" t="n">
        <v>0</v>
      </c>
      <c r="X1942" s="48" t="n">
        <v>0</v>
      </c>
      <c r="Y1942" s="48" t="n">
        <v>0</v>
      </c>
      <c r="Z1942" s="48" t="n">
        <v>0</v>
      </c>
      <c r="AA1942" s="48" t="n">
        <v>0</v>
      </c>
      <c r="AB1942" s="48" t="n">
        <v>0</v>
      </c>
      <c r="AC1942" s="48" t="n">
        <v>0</v>
      </c>
      <c r="AD1942" s="48" t="n">
        <v>0</v>
      </c>
      <c r="AE1942" s="48" t="n">
        <v>0</v>
      </c>
      <c r="AF1942" s="48" t="n">
        <v>0</v>
      </c>
      <c r="AG1942" s="48" t="n">
        <v>0</v>
      </c>
      <c r="AH1942" s="48" t="n">
        <v>0</v>
      </c>
      <c r="AI1942" s="48" t="n">
        <v>0</v>
      </c>
      <c r="AJ1942" s="48" t="n">
        <v>0</v>
      </c>
      <c r="AK1942" s="48" t="n">
        <v>0</v>
      </c>
      <c r="AL1942" s="48" t="n">
        <v>0</v>
      </c>
      <c r="AM1942" s="48" t="n">
        <v>0</v>
      </c>
      <c r="AN1942" s="48" t="n">
        <v>0</v>
      </c>
      <c r="AO1942" s="48" t="n">
        <v>0</v>
      </c>
      <c r="AP1942" s="48" t="n">
        <v>0</v>
      </c>
      <c r="AQ1942" s="48" t="n">
        <v>0</v>
      </c>
      <c r="AR1942" s="48" t="n">
        <v>0</v>
      </c>
      <c r="AS1942" s="48" t="n">
        <v>0</v>
      </c>
      <c r="AT1942" s="48" t="n">
        <v>0</v>
      </c>
      <c r="AU1942" s="48" t="n">
        <v>0</v>
      </c>
      <c r="AV1942" s="48" t="n">
        <v>0</v>
      </c>
      <c r="AW1942" s="48" t="n">
        <v>0</v>
      </c>
      <c r="AX1942" s="48" t="n">
        <v>0</v>
      </c>
      <c r="AY1942" s="48" t="n">
        <v>0</v>
      </c>
      <c r="AZ1942" s="48" t="n">
        <v>0</v>
      </c>
      <c r="BA1942" s="48" t="n">
        <v>0</v>
      </c>
      <c r="BB1942" s="48" t="n">
        <v>0</v>
      </c>
      <c r="BC1942" s="48" t="n">
        <v>0</v>
      </c>
      <c r="BD1942" s="48" t="n">
        <v>0</v>
      </c>
      <c r="BE1942" s="48" t="n">
        <v>0</v>
      </c>
      <c r="BF1942" s="48" t="n">
        <v>0</v>
      </c>
      <c r="BG1942" s="48" t="n">
        <v>0</v>
      </c>
      <c r="BH1942" s="48" t="n">
        <v>0</v>
      </c>
      <c r="BI1942" s="48" t="n">
        <v>0</v>
      </c>
      <c r="BJ1942" s="48" t="n">
        <v>0</v>
      </c>
      <c r="BK1942" s="48" t="n">
        <v>0</v>
      </c>
      <c r="BL1942" s="48" t="n">
        <v>0</v>
      </c>
      <c r="BM1942" s="48" t="n">
        <v>0</v>
      </c>
      <c r="BN1942" s="48" t="n">
        <v>0</v>
      </c>
      <c r="BO1942" s="48" t="n">
        <v>0</v>
      </c>
      <c r="BP1942" s="48" t="n">
        <v>0</v>
      </c>
      <c r="BQ1942" s="48" t="n">
        <v>0</v>
      </c>
      <c r="BR1942" s="48" t="n">
        <v>0</v>
      </c>
      <c r="BS1942" s="48" t="n">
        <v>0</v>
      </c>
      <c r="BT1942" s="48" t="n">
        <v>0</v>
      </c>
      <c r="BU1942" s="48" t="n">
        <v>0</v>
      </c>
      <c r="BV1942" s="48" t="n">
        <v>0</v>
      </c>
      <c r="BW1942" s="48" t="n">
        <v>0</v>
      </c>
      <c r="BX1942" s="48" t="n">
        <v>0</v>
      </c>
      <c r="BY1942" s="48" t="n">
        <v>0</v>
      </c>
      <c r="BZ1942" s="48" t="n">
        <v>0</v>
      </c>
      <c r="CA1942" s="48" t="n">
        <v>0</v>
      </c>
      <c r="CB1942" s="48" t="n">
        <v>0</v>
      </c>
      <c r="CC1942" s="48" t="n">
        <v>0</v>
      </c>
      <c r="CD1942" s="48" t="n">
        <v>0</v>
      </c>
      <c r="CE1942" s="48" t="n">
        <v>0</v>
      </c>
      <c r="CF1942" s="48" t="n">
        <v>0</v>
      </c>
      <c r="CG1942" s="48" t="n">
        <v>0</v>
      </c>
      <c r="CH1942" s="48" t="n">
        <v>0</v>
      </c>
      <c r="CI1942" s="48" t="n">
        <v>0</v>
      </c>
      <c r="CJ1942" s="48" t="n">
        <v>0</v>
      </c>
      <c r="CK1942" s="48" t="n">
        <v>0</v>
      </c>
      <c r="CL1942" s="48" t="n">
        <v>0</v>
      </c>
      <c r="CM1942" s="48" t="n">
        <v>0</v>
      </c>
      <c r="CN1942" s="48" t="n">
        <v>0</v>
      </c>
      <c r="CO1942" s="48" t="n">
        <v>0</v>
      </c>
      <c r="CP1942" s="48" t="n">
        <v>0</v>
      </c>
      <c r="CQ1942" s="48" t="n">
        <v>0</v>
      </c>
      <c r="CR1942" s="48" t="n">
        <v>0</v>
      </c>
      <c r="CS1942" s="48" t="n">
        <v>0</v>
      </c>
      <c r="CT1942" s="48" t="n">
        <v>0</v>
      </c>
      <c r="CU1942" s="48" t="n">
        <v>0</v>
      </c>
      <c r="CV1942" s="48" t="n">
        <v>0</v>
      </c>
      <c r="CW1942" s="48" t="n">
        <v>0</v>
      </c>
      <c r="CX1942" s="48" t="n">
        <v>0</v>
      </c>
      <c r="CY1942" s="48" t="n">
        <v>0</v>
      </c>
      <c r="CZ1942" s="48" t="n">
        <v>0</v>
      </c>
      <c r="DA1942" s="48" t="n">
        <v>0</v>
      </c>
      <c r="DB1942" s="48" t="n">
        <v>0</v>
      </c>
      <c r="DC1942" s="48" t="n">
        <v>0</v>
      </c>
      <c r="DD1942" s="48" t="n">
        <v>0</v>
      </c>
      <c r="DE1942" s="48" t="n">
        <v>0</v>
      </c>
      <c r="DF1942" s="48" t="n">
        <v>0</v>
      </c>
      <c r="DG1942" s="48" t="n">
        <v>0</v>
      </c>
      <c r="DH1942" s="48" t="n">
        <v>0</v>
      </c>
      <c r="DI1942" s="48" t="n">
        <v>0</v>
      </c>
      <c r="DJ1942" s="48" t="n">
        <v>0</v>
      </c>
      <c r="DK1942" s="48" t="n">
        <v>0</v>
      </c>
      <c r="DL1942" s="48" t="n">
        <v>0</v>
      </c>
      <c r="DM1942" s="48" t="n">
        <v>0</v>
      </c>
      <c r="DN1942" s="48" t="n">
        <v>0</v>
      </c>
      <c r="DO1942" s="48" t="n">
        <v>0</v>
      </c>
      <c r="DP1942" s="48" t="n">
        <v>0</v>
      </c>
      <c r="DQ1942" s="48" t="n">
        <v>0</v>
      </c>
      <c r="DR1942" s="48" t="n">
        <v>0</v>
      </c>
      <c r="DS1942" s="48" t="n">
        <v>0</v>
      </c>
      <c r="DT1942" s="48" t="n">
        <v>0</v>
      </c>
      <c r="DU1942" s="48" t="n">
        <v>0</v>
      </c>
      <c r="DV1942" s="48" t="n">
        <v>0</v>
      </c>
      <c r="DW1942" s="48" t="n">
        <v>0</v>
      </c>
      <c r="DX1942" s="48" t="n">
        <v>0</v>
      </c>
      <c r="DY1942" s="48" t="n">
        <v>0</v>
      </c>
      <c r="DZ1942" s="48" t="n">
        <v>0</v>
      </c>
      <c r="EA1942" s="48" t="n">
        <v>0</v>
      </c>
      <c r="EB1942" s="48" t="n">
        <v>0</v>
      </c>
      <c r="EC1942" s="48" t="n">
        <v>0</v>
      </c>
      <c r="ED1942" s="48" t="n">
        <v>0</v>
      </c>
      <c r="EE1942" s="48" t="n">
        <v>0</v>
      </c>
      <c r="EF1942" s="48" t="n">
        <v>0</v>
      </c>
      <c r="EG1942" s="48" t="n">
        <v>0</v>
      </c>
      <c r="EH1942" s="48" t="n">
        <v>0</v>
      </c>
      <c r="EI1942" s="48" t="n">
        <v>0</v>
      </c>
      <c r="EJ1942" s="48" t="n">
        <v>0</v>
      </c>
      <c r="EK1942" s="48" t="n">
        <v>0</v>
      </c>
      <c r="EL1942" s="48" t="n">
        <v>0</v>
      </c>
      <c r="EM1942" s="48" t="n">
        <v>0</v>
      </c>
      <c r="EN1942" s="48" t="n">
        <v>0</v>
      </c>
      <c r="EO1942" s="48" t="n">
        <v>0</v>
      </c>
      <c r="EP1942" s="48" t="n">
        <v>0</v>
      </c>
      <c r="EQ1942" s="48" t="n">
        <v>0</v>
      </c>
      <c r="ER1942" s="48" t="n">
        <v>0</v>
      </c>
      <c r="ES1942" s="48" t="n">
        <v>0</v>
      </c>
      <c r="ET1942" s="48" t="n">
        <v>0</v>
      </c>
      <c r="EU1942" s="48" t="n">
        <v>0</v>
      </c>
      <c r="EV1942" s="48" t="n">
        <v>0</v>
      </c>
      <c r="EW1942" s="48" t="n">
        <v>0</v>
      </c>
      <c r="EX1942" s="48" t="n">
        <v>0</v>
      </c>
      <c r="EY1942" s="48" t="n">
        <v>0</v>
      </c>
      <c r="EZ1942" s="48" t="n">
        <v>0</v>
      </c>
      <c r="FA1942" s="48" t="n">
        <v>0</v>
      </c>
      <c r="FB1942" s="48" t="n">
        <v>0</v>
      </c>
      <c r="FC1942" s="48" t="n">
        <v>0</v>
      </c>
      <c r="FD1942" s="48" t="n">
        <v>0</v>
      </c>
      <c r="FE1942" s="48" t="n">
        <v>0</v>
      </c>
      <c r="FF1942" s="48" t="n">
        <v>0</v>
      </c>
      <c r="FG1942" s="48" t="n">
        <v>0</v>
      </c>
      <c r="FH1942" s="48" t="n">
        <v>0</v>
      </c>
      <c r="FI1942" s="48" t="n">
        <v>0</v>
      </c>
      <c r="FJ1942" s="48" t="n">
        <v>0</v>
      </c>
      <c r="FK1942" s="48" t="n">
        <v>0</v>
      </c>
      <c r="FL1942" s="48" t="n">
        <v>0</v>
      </c>
      <c r="FM1942" s="48" t="n">
        <v>0</v>
      </c>
      <c r="FO1942" s="43">
        <f>MIN($A1942,MultLastLag)+1</f>
        <v>1.0</v>
      </c>
    </row>
    <row r="1943">
      <c r="A1943" s="3" t="n">
        <v>1</v>
      </c>
      <c r="B1943" s="48" t="n">
        <v>0.53</v>
      </c>
      <c r="C1943" s="48" t="n">
        <v>0.29</v>
      </c>
      <c r="D1943" s="48" t="n">
        <v>0.77</v>
      </c>
      <c r="E1943" s="48" t="n">
        <v>0.25</v>
      </c>
      <c r="F1943" s="48" t="n">
        <v>0.07000000000000001</v>
      </c>
      <c r="G1943" s="48" t="n">
        <v>0.43</v>
      </c>
      <c r="H1943" s="48" t="n">
        <v>0.05</v>
      </c>
      <c r="I1943" s="48" t="n">
        <v>-0.009999999999999995</v>
      </c>
      <c r="J1943" s="48" t="n">
        <v>0.11</v>
      </c>
      <c r="K1943" s="48" t="n">
        <v>0.43</v>
      </c>
      <c r="L1943" s="48" t="n">
        <v>0.28</v>
      </c>
      <c r="M1943" s="48" t="n">
        <v>0.58</v>
      </c>
      <c r="N1943" s="48" t="n">
        <v>0.6</v>
      </c>
      <c r="O1943" s="48" t="n">
        <v>0.27</v>
      </c>
      <c r="P1943" s="48" t="n">
        <v>0.9299999999999999</v>
      </c>
      <c r="Q1943" s="48" t="n">
        <v>0.53</v>
      </c>
      <c r="R1943" s="48" t="n">
        <v>0.33</v>
      </c>
      <c r="S1943" s="48" t="n">
        <v>0.73</v>
      </c>
      <c r="T1943" s="48" t="n">
        <v>0.25</v>
      </c>
      <c r="U1943" s="48" t="n">
        <v>0.04000000000000001</v>
      </c>
      <c r="V1943" s="48" t="n">
        <v>0.46</v>
      </c>
      <c r="W1943" s="48" t="n">
        <v>0.83</v>
      </c>
      <c r="X1943" s="48" t="n">
        <v>0.46</v>
      </c>
      <c r="Y1943" s="48" t="n">
        <v>1.2</v>
      </c>
      <c r="Z1943" s="48" t="n">
        <v>0.61</v>
      </c>
      <c r="AA1943" s="48" t="n">
        <v>0.35</v>
      </c>
      <c r="AB1943" s="48" t="n">
        <v>0.87</v>
      </c>
      <c r="AC1943" s="48" t="n">
        <v>0.18</v>
      </c>
      <c r="AD1943" s="48" t="n">
        <v>-0.01000000000000001</v>
      </c>
      <c r="AE1943" s="48" t="n">
        <v>0.37</v>
      </c>
      <c r="AF1943" s="48" t="n">
        <v>0.05</v>
      </c>
      <c r="AG1943" s="48" t="n">
        <v>0</v>
      </c>
      <c r="AH1943" s="48" t="n">
        <v>0.1</v>
      </c>
      <c r="AI1943" s="48" t="n">
        <v>0.43</v>
      </c>
      <c r="AJ1943" s="48" t="n">
        <v>0.26</v>
      </c>
      <c r="AK1943" s="48" t="n">
        <v>0.6</v>
      </c>
      <c r="AL1943" s="48" t="n">
        <v>0.59</v>
      </c>
      <c r="AM1943" s="48" t="n">
        <v>0.32</v>
      </c>
      <c r="AN1943" s="48" t="n">
        <v>0.86</v>
      </c>
      <c r="AO1943" s="48" t="n">
        <v>0.54</v>
      </c>
      <c r="AP1943" s="48" t="n">
        <v>0.3100000000000001</v>
      </c>
      <c r="AQ1943" s="48" t="n">
        <v>0.77</v>
      </c>
      <c r="AR1943" s="48" t="n">
        <v>0.25</v>
      </c>
      <c r="AS1943" s="48" t="n">
        <v>0.01000000000000001</v>
      </c>
      <c r="AT1943" s="48" t="n">
        <v>0.49</v>
      </c>
      <c r="AU1943" s="48" t="n">
        <v>0.83</v>
      </c>
      <c r="AV1943" s="48" t="n">
        <v>0.39</v>
      </c>
      <c r="AW1943" s="48" t="n">
        <v>1.27</v>
      </c>
      <c r="AX1943" s="48" t="n">
        <v>0.5600000000000001</v>
      </c>
      <c r="AY1943" s="48" t="n">
        <v>0.3700000000000001</v>
      </c>
      <c r="AZ1943" s="48" t="n">
        <v>0.75</v>
      </c>
      <c r="BA1943" s="48" t="n">
        <v>0.29</v>
      </c>
      <c r="BB1943" s="48" t="n">
        <v>0.13</v>
      </c>
      <c r="BC1943" s="48" t="n">
        <v>0.45</v>
      </c>
      <c r="BD1943" s="48" t="n">
        <v>0.1</v>
      </c>
      <c r="BE1943" s="48" t="n">
        <v>0.01000000000000001</v>
      </c>
      <c r="BF1943" s="48" t="n">
        <v>0.19</v>
      </c>
      <c r="BG1943" s="48" t="n">
        <v>0.44</v>
      </c>
      <c r="BH1943" s="48" t="n">
        <v>0.31</v>
      </c>
      <c r="BI1943" s="48" t="n">
        <v>0.5700000000000001</v>
      </c>
      <c r="BJ1943" s="48" t="n">
        <v>0.5</v>
      </c>
      <c r="BK1943" s="48" t="n">
        <v>0.3</v>
      </c>
      <c r="BL1943" s="48" t="n">
        <v>0.7</v>
      </c>
      <c r="BM1943" s="48" t="n">
        <v>0.5</v>
      </c>
      <c r="BN1943" s="48" t="n">
        <v>0.31</v>
      </c>
      <c r="BO1943" s="48" t="n">
        <v>0.6899999999999999</v>
      </c>
      <c r="BP1943" s="48" t="n">
        <v>0.27</v>
      </c>
      <c r="BQ1943" s="48" t="n">
        <v>0.1</v>
      </c>
      <c r="BR1943" s="48" t="n">
        <v>0.4400000000000001</v>
      </c>
      <c r="BS1943" s="48" t="n">
        <v>0.78</v>
      </c>
      <c r="BT1943" s="48" t="n">
        <v>0.46</v>
      </c>
      <c r="BU1943" s="48" t="n">
        <v>1.1</v>
      </c>
      <c r="BV1943" s="48" t="n">
        <v>0.37</v>
      </c>
      <c r="BW1943" s="48" t="n">
        <v>0.12</v>
      </c>
      <c r="BX1943" s="48" t="n">
        <v>0.62</v>
      </c>
      <c r="BY1943" s="48" t="n">
        <v>0.25</v>
      </c>
      <c r="BZ1943" s="48" t="n">
        <v>0.07000000000000001</v>
      </c>
      <c r="CA1943" s="48" t="n">
        <v>0.43</v>
      </c>
      <c r="CB1943" s="48" t="n">
        <v>0.03</v>
      </c>
      <c r="CC1943" s="48" t="n">
        <v>-0.02</v>
      </c>
      <c r="CD1943" s="48" t="n">
        <v>0.08</v>
      </c>
      <c r="CE1943" s="48" t="n">
        <v>0.37</v>
      </c>
      <c r="CF1943" s="48" t="n">
        <v>0.24</v>
      </c>
      <c r="CG1943" s="48" t="n">
        <v>0.5</v>
      </c>
      <c r="CH1943" s="48" t="n">
        <v>0.62</v>
      </c>
      <c r="CI1943" s="48" t="n">
        <v>0.32</v>
      </c>
      <c r="CJ1943" s="48" t="n">
        <v>0.9199999999999999</v>
      </c>
      <c r="CK1943" s="48" t="n">
        <v>0.53</v>
      </c>
      <c r="CL1943" s="48" t="n">
        <v>0.35</v>
      </c>
      <c r="CM1943" s="48" t="n">
        <v>0.71</v>
      </c>
      <c r="CN1943" s="48" t="n">
        <v>0.16</v>
      </c>
      <c r="CO1943" s="48" t="n">
        <v>-0.01999999999999999</v>
      </c>
      <c r="CP1943" s="48" t="n">
        <v>0.34</v>
      </c>
      <c r="CQ1943" s="48" t="n">
        <v>0.73</v>
      </c>
      <c r="CR1943" s="48" t="n">
        <v>0.37</v>
      </c>
      <c r="CS1943" s="48" t="n">
        <v>1.09</v>
      </c>
      <c r="CT1943" s="48" t="n">
        <v>0.38</v>
      </c>
      <c r="CU1943" s="48" t="n">
        <v>0.22</v>
      </c>
      <c r="CV1943" s="48" t="n">
        <v>0.54</v>
      </c>
      <c r="CW1943" s="48" t="n">
        <v>0.31</v>
      </c>
      <c r="CX1943" s="48" t="n">
        <v>0.14</v>
      </c>
      <c r="CY1943" s="48" t="n">
        <v>0.48</v>
      </c>
      <c r="CZ1943" s="48" t="n">
        <v>0.05</v>
      </c>
      <c r="DA1943" s="48" t="n">
        <v>-0.009999999999999995</v>
      </c>
      <c r="DB1943" s="48" t="n">
        <v>0.11</v>
      </c>
      <c r="DC1943" s="48" t="n">
        <v>0.49</v>
      </c>
      <c r="DD1943" s="48" t="n">
        <v>0.33</v>
      </c>
      <c r="DE1943" s="48" t="n">
        <v>0.65</v>
      </c>
      <c r="DF1943" s="48" t="n">
        <v>0.92</v>
      </c>
      <c r="DG1943" s="48" t="n">
        <v>0.51</v>
      </c>
      <c r="DH1943" s="48" t="n">
        <v>1.33</v>
      </c>
      <c r="DI1943" s="48" t="n">
        <v>0.6</v>
      </c>
      <c r="DJ1943" s="48" t="n">
        <v>0.45</v>
      </c>
      <c r="DK1943" s="48" t="n">
        <v>0.75</v>
      </c>
      <c r="DL1943" s="48" t="n">
        <v>0.39</v>
      </c>
      <c r="DM1943" s="48" t="n">
        <v>0.15</v>
      </c>
      <c r="DN1943" s="48" t="n">
        <v>0.63</v>
      </c>
      <c r="DO1943" s="48" t="n">
        <v>1</v>
      </c>
      <c r="DP1943" s="48" t="n">
        <v>0.6799999999999999</v>
      </c>
      <c r="DQ1943" s="48" t="n">
        <v>1.32</v>
      </c>
      <c r="DR1943" s="48" t="n">
        <v>0.1877994</v>
      </c>
      <c r="DS1943" s="48" t="n">
        <v>-0.06220059999999999</v>
      </c>
      <c r="DT1943" s="48" t="n">
        <v>0.4377994</v>
      </c>
      <c r="DU1943" s="48" t="n">
        <v>0.3432425</v>
      </c>
      <c r="DV1943" s="48" t="n">
        <v>0.1632425</v>
      </c>
      <c r="DW1943" s="48" t="n">
        <v>0.5232425000000001</v>
      </c>
      <c r="DX1943" s="48" t="n">
        <v>0</v>
      </c>
      <c r="DY1943" s="48" t="n">
        <v>-0.05</v>
      </c>
      <c r="DZ1943" s="48" t="n">
        <v>0.05</v>
      </c>
      <c r="EA1943" s="48" t="n">
        <v>0.5910604</v>
      </c>
      <c r="EB1943" s="48" t="n">
        <v>0.4610604</v>
      </c>
      <c r="EC1943" s="48" t="n">
        <v>0.7210604</v>
      </c>
      <c r="ED1943" s="48" t="n">
        <v>0.8878024</v>
      </c>
      <c r="EE1943" s="48" t="n">
        <v>0.5878023999999999</v>
      </c>
      <c r="EF1943" s="48" t="n">
        <v>1.1878024</v>
      </c>
      <c r="EG1943" s="48" t="n">
        <v>0.84</v>
      </c>
      <c r="EH1943" s="48" t="n">
        <v>0.6599999999999999</v>
      </c>
      <c r="EI1943" s="48" t="n">
        <v>1.02</v>
      </c>
      <c r="EJ1943" s="48" t="n">
        <v>0.4915495</v>
      </c>
      <c r="EK1943" s="48" t="n">
        <v>0.3115495</v>
      </c>
      <c r="EL1943" s="48" t="n">
        <v>0.6715495</v>
      </c>
      <c r="EM1943" s="48" t="n">
        <v>0</v>
      </c>
      <c r="EN1943" s="48" t="n">
        <v>-0.36</v>
      </c>
      <c r="EO1943" s="48" t="n">
        <v>0.36</v>
      </c>
      <c r="EP1943" s="48" t="n">
        <v>0</v>
      </c>
      <c r="EQ1943" s="48" t="n">
        <v>-0.25</v>
      </c>
      <c r="ER1943" s="48" t="n">
        <v>0.25</v>
      </c>
      <c r="ES1943" s="48" t="n">
        <v>0</v>
      </c>
      <c r="ET1943" s="48" t="n">
        <v>-0.18</v>
      </c>
      <c r="EU1943" s="48" t="n">
        <v>0.18</v>
      </c>
      <c r="EV1943" s="48" t="n">
        <v>0</v>
      </c>
      <c r="EW1943" s="48" t="n">
        <v>-0.05</v>
      </c>
      <c r="EX1943" s="48" t="n">
        <v>0.05</v>
      </c>
      <c r="EY1943" s="48" t="n">
        <v>0</v>
      </c>
      <c r="EZ1943" s="48" t="n">
        <v>-0.13</v>
      </c>
      <c r="FA1943" s="48" t="n">
        <v>0.13</v>
      </c>
      <c r="FB1943" s="48" t="n">
        <v>0</v>
      </c>
      <c r="FC1943" s="48" t="n">
        <v>-0.3</v>
      </c>
      <c r="FD1943" s="48" t="n">
        <v>0.3</v>
      </c>
      <c r="FE1943" s="48" t="n">
        <v>0</v>
      </c>
      <c r="FF1943" s="48" t="n">
        <v>-0.18</v>
      </c>
      <c r="FG1943" s="48" t="n">
        <v>0.18</v>
      </c>
      <c r="FH1943" s="48" t="n">
        <v>0</v>
      </c>
      <c r="FI1943" s="48" t="n">
        <v>-0.18</v>
      </c>
      <c r="FJ1943" s="48" t="n">
        <v>0.18</v>
      </c>
      <c r="FK1943" s="48" t="n">
        <v>0</v>
      </c>
      <c r="FL1943" s="48" t="n">
        <v>-0.36</v>
      </c>
      <c r="FM1943" s="48" t="n">
        <v>0.36</v>
      </c>
      <c r="FO1943" s="43">
        <f>MIN($A1943,MultLastLag)+1</f>
        <v>2.0</v>
      </c>
    </row>
    <row r="1944">
      <c r="A1944" s="3" t="n">
        <v>2</v>
      </c>
      <c r="B1944" s="48" t="n">
        <v>0.62</v>
      </c>
      <c r="C1944" s="48" t="n">
        <v>0.37</v>
      </c>
      <c r="D1944" s="48" t="n">
        <v>0.87</v>
      </c>
      <c r="E1944" s="48" t="n">
        <v>0.24</v>
      </c>
      <c r="F1944" s="48" t="n">
        <v>0.06999999999999998</v>
      </c>
      <c r="G1944" s="48" t="n">
        <v>0.41</v>
      </c>
      <c r="H1944" s="48" t="n">
        <v>0.09</v>
      </c>
      <c r="I1944" s="48" t="n">
        <v>0.009999999999999995</v>
      </c>
      <c r="J1944" s="48" t="n">
        <v>0.17</v>
      </c>
      <c r="K1944" s="48" t="n">
        <v>0.48</v>
      </c>
      <c r="L1944" s="48" t="n">
        <v>0.33</v>
      </c>
      <c r="M1944" s="48" t="n">
        <v>0.63</v>
      </c>
      <c r="N1944" s="48" t="n">
        <v>0.65</v>
      </c>
      <c r="O1944" s="48" t="n">
        <v>0.09999999999999998</v>
      </c>
      <c r="P1944" s="48" t="n">
        <v>1.2</v>
      </c>
      <c r="Q1944" s="48" t="n">
        <v>0.47</v>
      </c>
      <c r="R1944" s="48" t="n">
        <v>0.25</v>
      </c>
      <c r="S1944" s="48" t="n">
        <v>0.6899999999999999</v>
      </c>
      <c r="T1944" s="48" t="n">
        <v>0.3</v>
      </c>
      <c r="U1944" s="48" t="n">
        <v>0.07999999999999999</v>
      </c>
      <c r="V1944" s="48" t="n">
        <v>0.52</v>
      </c>
      <c r="W1944" s="48" t="n">
        <v>0.83</v>
      </c>
      <c r="X1944" s="48" t="n">
        <v>0.41</v>
      </c>
      <c r="Y1944" s="48" t="n">
        <v>1.25</v>
      </c>
      <c r="Z1944" s="48" t="n">
        <v>0.7</v>
      </c>
      <c r="AA1944" s="48" t="n">
        <v>0.45</v>
      </c>
      <c r="AB1944" s="48" t="n">
        <v>0.95</v>
      </c>
      <c r="AC1944" s="48" t="n">
        <v>0.2</v>
      </c>
      <c r="AD1944" s="48" t="n">
        <v>0.03</v>
      </c>
      <c r="AE1944" s="48" t="n">
        <v>0.37</v>
      </c>
      <c r="AF1944" s="48" t="n">
        <v>0.08</v>
      </c>
      <c r="AG1944" s="48" t="n">
        <v>0.009999999999999995</v>
      </c>
      <c r="AH1944" s="48" t="n">
        <v>0.15</v>
      </c>
      <c r="AI1944" s="48" t="n">
        <v>0.49</v>
      </c>
      <c r="AJ1944" s="48" t="n">
        <v>0.35</v>
      </c>
      <c r="AK1944" s="48" t="n">
        <v>0.63</v>
      </c>
      <c r="AL1944" s="48" t="n">
        <v>0.67</v>
      </c>
      <c r="AM1944" s="48" t="n">
        <v>0.12</v>
      </c>
      <c r="AN1944" s="48" t="n">
        <v>1.22</v>
      </c>
      <c r="AO1944" s="48" t="n">
        <v>0.45</v>
      </c>
      <c r="AP1944" s="48" t="n">
        <v>0.2</v>
      </c>
      <c r="AQ1944" s="48" t="n">
        <v>0.7</v>
      </c>
      <c r="AR1944" s="48" t="n">
        <v>0.18</v>
      </c>
      <c r="AS1944" s="48" t="n">
        <v>-0.06</v>
      </c>
      <c r="AT1944" s="48" t="n">
        <v>0.42</v>
      </c>
      <c r="AU1944" s="48" t="n">
        <v>0.7</v>
      </c>
      <c r="AV1944" s="48" t="n">
        <v>0.1899999999999999</v>
      </c>
      <c r="AW1944" s="48" t="n">
        <v>1.21</v>
      </c>
      <c r="AX1944" s="48" t="n">
        <v>0.72</v>
      </c>
      <c r="AY1944" s="48" t="n">
        <v>0.54</v>
      </c>
      <c r="AZ1944" s="48" t="n">
        <v>0.8999999999999999</v>
      </c>
      <c r="BA1944" s="48" t="n">
        <v>0.38</v>
      </c>
      <c r="BB1944" s="48" t="n">
        <v>0.21</v>
      </c>
      <c r="BC1944" s="48" t="n">
        <v>0.55</v>
      </c>
      <c r="BD1944" s="48" t="n">
        <v>0.09</v>
      </c>
      <c r="BE1944" s="48" t="n">
        <v>-0.01000000000000001</v>
      </c>
      <c r="BF1944" s="48" t="n">
        <v>0.19</v>
      </c>
      <c r="BG1944" s="48" t="n">
        <v>0.55</v>
      </c>
      <c r="BH1944" s="48" t="n">
        <v>0.4</v>
      </c>
      <c r="BI1944" s="48" t="n">
        <v>0.7000000000000001</v>
      </c>
      <c r="BJ1944" s="48" t="n">
        <v>0.54</v>
      </c>
      <c r="BK1944" s="48" t="n">
        <v>0.24</v>
      </c>
      <c r="BL1944" s="48" t="n">
        <v>0.8400000000000001</v>
      </c>
      <c r="BM1944" s="48" t="n">
        <v>0.47</v>
      </c>
      <c r="BN1944" s="48" t="n">
        <v>0.29</v>
      </c>
      <c r="BO1944" s="48" t="n">
        <v>0.6499999999999999</v>
      </c>
      <c r="BP1944" s="48" t="n">
        <v>0.4</v>
      </c>
      <c r="BQ1944" s="48" t="n">
        <v>0.21</v>
      </c>
      <c r="BR1944" s="48" t="n">
        <v>0.5900000000000001</v>
      </c>
      <c r="BS1944" s="48" t="n">
        <v>0.83</v>
      </c>
      <c r="BT1944" s="48" t="n">
        <v>0.51</v>
      </c>
      <c r="BU1944" s="48" t="n">
        <v>1.15</v>
      </c>
      <c r="BV1944" s="48" t="n">
        <v>0.53</v>
      </c>
      <c r="BW1944" s="48" t="n">
        <v>0.24</v>
      </c>
      <c r="BX1944" s="48" t="n">
        <v>0.8200000000000001</v>
      </c>
      <c r="BY1944" s="48" t="n">
        <v>0.25</v>
      </c>
      <c r="BZ1944" s="48" t="n">
        <v>0.07999999999999999</v>
      </c>
      <c r="CA1944" s="48" t="n">
        <v>0.42</v>
      </c>
      <c r="CB1944" s="48" t="n">
        <v>0.06</v>
      </c>
      <c r="CC1944" s="48" t="n">
        <v>0</v>
      </c>
      <c r="CD1944" s="48" t="n">
        <v>0.12</v>
      </c>
      <c r="CE1944" s="48" t="n">
        <v>0.44</v>
      </c>
      <c r="CF1944" s="48" t="n">
        <v>0.29</v>
      </c>
      <c r="CG1944" s="48" t="n">
        <v>0.59</v>
      </c>
      <c r="CH1944" s="48" t="n">
        <v>0.66</v>
      </c>
      <c r="CI1944" s="48" t="n">
        <v>0.09000000000000008</v>
      </c>
      <c r="CJ1944" s="48" t="n">
        <v>1.23</v>
      </c>
      <c r="CK1944" s="48" t="n">
        <v>0.46</v>
      </c>
      <c r="CL1944" s="48" t="n">
        <v>0.24</v>
      </c>
      <c r="CM1944" s="48" t="n">
        <v>0.68</v>
      </c>
      <c r="CN1944" s="48" t="n">
        <v>0.27</v>
      </c>
      <c r="CO1944" s="48" t="n">
        <v>0.1</v>
      </c>
      <c r="CP1944" s="48" t="n">
        <v>0.4400000000000001</v>
      </c>
      <c r="CQ1944" s="48" t="n">
        <v>0.72</v>
      </c>
      <c r="CR1944" s="48" t="n">
        <v>0.35</v>
      </c>
      <c r="CS1944" s="48" t="n">
        <v>1.09</v>
      </c>
      <c r="CT1944" s="48" t="n">
        <v>0.52</v>
      </c>
      <c r="CU1944" s="48" t="n">
        <v>0.32</v>
      </c>
      <c r="CV1944" s="48" t="n">
        <v>0.72</v>
      </c>
      <c r="CW1944" s="48" t="n">
        <v>0.39</v>
      </c>
      <c r="CX1944" s="48" t="n">
        <v>0.24</v>
      </c>
      <c r="CY1944" s="48" t="n">
        <v>0.54</v>
      </c>
      <c r="CZ1944" s="48" t="n">
        <v>0.1</v>
      </c>
      <c r="DA1944" s="48" t="n">
        <v>0.05</v>
      </c>
      <c r="DB1944" s="48" t="n">
        <v>0.15</v>
      </c>
      <c r="DC1944" s="48" t="n">
        <v>0.49</v>
      </c>
      <c r="DD1944" s="48" t="n">
        <v>0.36</v>
      </c>
      <c r="DE1944" s="48" t="n">
        <v>0.62</v>
      </c>
      <c r="DF1944" s="48" t="n">
        <v>0.84</v>
      </c>
      <c r="DG1944" s="48" t="n">
        <v>0.1899999999999999</v>
      </c>
      <c r="DH1944" s="48" t="n">
        <v>1.49</v>
      </c>
      <c r="DI1944" s="48" t="n">
        <v>0.59</v>
      </c>
      <c r="DJ1944" s="48" t="n">
        <v>0.4299999999999999</v>
      </c>
      <c r="DK1944" s="48" t="n">
        <v>0.75</v>
      </c>
      <c r="DL1944" s="48" t="n">
        <v>0.45</v>
      </c>
      <c r="DM1944" s="48" t="n">
        <v>0.21</v>
      </c>
      <c r="DN1944" s="48" t="n">
        <v>0.6899999999999999</v>
      </c>
      <c r="DO1944" s="48" t="n">
        <v>1.17</v>
      </c>
      <c r="DP1944" s="48" t="n">
        <v>0.76</v>
      </c>
      <c r="DQ1944" s="48" t="n">
        <v>1.58</v>
      </c>
      <c r="DR1944" s="48" t="n">
        <v>0.2154141</v>
      </c>
      <c r="DS1944" s="48" t="n">
        <v>-0.07458589999999998</v>
      </c>
      <c r="DT1944" s="48" t="n">
        <v>0.5054141</v>
      </c>
      <c r="DU1944" s="48" t="n">
        <v>0.7912406</v>
      </c>
      <c r="DV1944" s="48" t="n">
        <v>0.6212405999999999</v>
      </c>
      <c r="DW1944" s="48" t="n">
        <v>0.9612406</v>
      </c>
      <c r="DX1944" s="48" t="n">
        <v>0</v>
      </c>
      <c r="DY1944" s="48" t="n">
        <v>-0.06</v>
      </c>
      <c r="DZ1944" s="48" t="n">
        <v>0.06</v>
      </c>
      <c r="EA1944" s="48" t="n">
        <v>0.7174192</v>
      </c>
      <c r="EB1944" s="48" t="n">
        <v>0.5674192</v>
      </c>
      <c r="EC1944" s="48" t="n">
        <v>0.8674192000000001</v>
      </c>
      <c r="ED1944" s="48" t="n">
        <v>1.0689976</v>
      </c>
      <c r="EE1944" s="48" t="n">
        <v>0.4989976000000002</v>
      </c>
      <c r="EF1944" s="48" t="n">
        <v>1.6389976</v>
      </c>
      <c r="EG1944" s="48" t="n">
        <v>1.05</v>
      </c>
      <c r="EH1944" s="48" t="n">
        <v>0.8300000000000001</v>
      </c>
      <c r="EI1944" s="48" t="n">
        <v>1.27</v>
      </c>
      <c r="EJ1944" s="48" t="n">
        <v>0.5485841</v>
      </c>
      <c r="EK1944" s="48" t="n">
        <v>0.3785841</v>
      </c>
      <c r="EL1944" s="48" t="n">
        <v>0.7185841000000001</v>
      </c>
      <c r="EM1944" s="48" t="n">
        <v>0</v>
      </c>
      <c r="EN1944" s="48" t="n">
        <v>-0.37</v>
      </c>
      <c r="EO1944" s="48" t="n">
        <v>0.37</v>
      </c>
      <c r="EP1944" s="48" t="n">
        <v>0</v>
      </c>
      <c r="EQ1944" s="48" t="n">
        <v>-0.29</v>
      </c>
      <c r="ER1944" s="48" t="n">
        <v>0.29</v>
      </c>
      <c r="ES1944" s="48" t="n">
        <v>0</v>
      </c>
      <c r="ET1944" s="48" t="n">
        <v>-0.17</v>
      </c>
      <c r="EU1944" s="48" t="n">
        <v>0.17</v>
      </c>
      <c r="EV1944" s="48" t="n">
        <v>0</v>
      </c>
      <c r="EW1944" s="48" t="n">
        <v>-0.06</v>
      </c>
      <c r="EX1944" s="48" t="n">
        <v>0.06</v>
      </c>
      <c r="EY1944" s="48" t="n">
        <v>0</v>
      </c>
      <c r="EZ1944" s="48" t="n">
        <v>-0.15</v>
      </c>
      <c r="FA1944" s="48" t="n">
        <v>0.15</v>
      </c>
      <c r="FB1944" s="48" t="n">
        <v>0</v>
      </c>
      <c r="FC1944" s="48" t="n">
        <v>-0.57</v>
      </c>
      <c r="FD1944" s="48" t="n">
        <v>0.57</v>
      </c>
      <c r="FE1944" s="48" t="n">
        <v>0</v>
      </c>
      <c r="FF1944" s="48" t="n">
        <v>-0.22</v>
      </c>
      <c r="FG1944" s="48" t="n">
        <v>0.22</v>
      </c>
      <c r="FH1944" s="48" t="n">
        <v>0</v>
      </c>
      <c r="FI1944" s="48" t="n">
        <v>-0.17</v>
      </c>
      <c r="FJ1944" s="48" t="n">
        <v>0.17</v>
      </c>
      <c r="FK1944" s="48" t="n">
        <v>0</v>
      </c>
      <c r="FL1944" s="48" t="n">
        <v>-0.37</v>
      </c>
      <c r="FM1944" s="48" t="n">
        <v>0.37</v>
      </c>
      <c r="FO1944" s="43">
        <f>MIN($A1944,MultLastLag)+1</f>
        <v>3.0</v>
      </c>
    </row>
    <row r="1945">
      <c r="A1945" s="3" t="n">
        <v>3</v>
      </c>
      <c r="B1945" s="48" t="n">
        <v>0.64</v>
      </c>
      <c r="C1945" s="48" t="n">
        <v>0.39</v>
      </c>
      <c r="D1945" s="48" t="n">
        <v>0.89</v>
      </c>
      <c r="E1945" s="48" t="n">
        <v>0.28</v>
      </c>
      <c r="F1945" s="48" t="n">
        <v>0.1</v>
      </c>
      <c r="G1945" s="48" t="n">
        <v>0.46</v>
      </c>
      <c r="H1945" s="48" t="n">
        <v>0.1</v>
      </c>
      <c r="I1945" s="48" t="n">
        <v>0.02</v>
      </c>
      <c r="J1945" s="48" t="n">
        <v>0.18</v>
      </c>
      <c r="K1945" s="48" t="n">
        <v>0.48</v>
      </c>
      <c r="L1945" s="48" t="n">
        <v>0.32</v>
      </c>
      <c r="M1945" s="48" t="n">
        <v>0.64</v>
      </c>
      <c r="N1945" s="48" t="n">
        <v>0.65</v>
      </c>
      <c r="O1945" s="48" t="n">
        <v>-0.01000000000000001</v>
      </c>
      <c r="P1945" s="48" t="n">
        <v>1.31</v>
      </c>
      <c r="Q1945" s="48" t="n">
        <v>0.47</v>
      </c>
      <c r="R1945" s="48" t="n">
        <v>0.26</v>
      </c>
      <c r="S1945" s="48" t="n">
        <v>0.6799999999999999</v>
      </c>
      <c r="T1945" s="48" t="n">
        <v>0.35</v>
      </c>
      <c r="U1945" s="48" t="n">
        <v>0.11</v>
      </c>
      <c r="V1945" s="48" t="n">
        <v>0.59</v>
      </c>
      <c r="W1945" s="48" t="n">
        <v>0.83</v>
      </c>
      <c r="X1945" s="48" t="n">
        <v>0.4</v>
      </c>
      <c r="Y1945" s="48" t="n">
        <v>1.26</v>
      </c>
      <c r="Z1945" s="48" t="n">
        <v>0.72</v>
      </c>
      <c r="AA1945" s="48" t="n">
        <v>0.46</v>
      </c>
      <c r="AB1945" s="48" t="n">
        <v>0.98</v>
      </c>
      <c r="AC1945" s="48" t="n">
        <v>0.26</v>
      </c>
      <c r="AD1945" s="48" t="n">
        <v>0.08000000000000002</v>
      </c>
      <c r="AE1945" s="48" t="n">
        <v>0.44</v>
      </c>
      <c r="AF1945" s="48" t="n">
        <v>0.1</v>
      </c>
      <c r="AG1945" s="48" t="n">
        <v>0.03</v>
      </c>
      <c r="AH1945" s="48" t="n">
        <v>0.17</v>
      </c>
      <c r="AI1945" s="48" t="n">
        <v>0.48</v>
      </c>
      <c r="AJ1945" s="48" t="n">
        <v>0.34</v>
      </c>
      <c r="AK1945" s="48" t="n">
        <v>0.62</v>
      </c>
      <c r="AL1945" s="48" t="n">
        <v>0.76</v>
      </c>
      <c r="AM1945" s="48" t="n">
        <v>0.03000000000000003</v>
      </c>
      <c r="AN1945" s="48" t="n">
        <v>1.49</v>
      </c>
      <c r="AO1945" s="48" t="n">
        <v>0.42</v>
      </c>
      <c r="AP1945" s="48" t="n">
        <v>0.19</v>
      </c>
      <c r="AQ1945" s="48" t="n">
        <v>0.65</v>
      </c>
      <c r="AR1945" s="48" t="n">
        <v>0.24</v>
      </c>
      <c r="AS1945" s="48" t="n">
        <v>-0.02000000000000002</v>
      </c>
      <c r="AT1945" s="48" t="n">
        <v>0.5</v>
      </c>
      <c r="AU1945" s="48" t="n">
        <v>0.67</v>
      </c>
      <c r="AV1945" s="48" t="n">
        <v>0.17</v>
      </c>
      <c r="AW1945" s="48" t="n">
        <v>1.17</v>
      </c>
      <c r="AX1945" s="48" t="n">
        <v>0.66</v>
      </c>
      <c r="AY1945" s="48" t="n">
        <v>0.47</v>
      </c>
      <c r="AZ1945" s="48" t="n">
        <v>0.8500000000000001</v>
      </c>
      <c r="BA1945" s="48" t="n">
        <v>0.4</v>
      </c>
      <c r="BB1945" s="48" t="n">
        <v>0.22</v>
      </c>
      <c r="BC1945" s="48" t="n">
        <v>0.5800000000000001</v>
      </c>
      <c r="BD1945" s="48" t="n">
        <v>0.09</v>
      </c>
      <c r="BE1945" s="48" t="n">
        <v>-0.01000000000000001</v>
      </c>
      <c r="BF1945" s="48" t="n">
        <v>0.19</v>
      </c>
      <c r="BG1945" s="48" t="n">
        <v>0.55</v>
      </c>
      <c r="BH1945" s="48" t="n">
        <v>0.39</v>
      </c>
      <c r="BI1945" s="48" t="n">
        <v>0.7100000000000001</v>
      </c>
      <c r="BJ1945" s="48" t="n">
        <v>0.57</v>
      </c>
      <c r="BK1945" s="48" t="n">
        <v>0.09999999999999998</v>
      </c>
      <c r="BL1945" s="48" t="n">
        <v>1.04</v>
      </c>
      <c r="BM1945" s="48" t="n">
        <v>0.45</v>
      </c>
      <c r="BN1945" s="48" t="n">
        <v>0.29</v>
      </c>
      <c r="BO1945" s="48" t="n">
        <v>0.61</v>
      </c>
      <c r="BP1945" s="48" t="n">
        <v>0.43</v>
      </c>
      <c r="BQ1945" s="48" t="n">
        <v>0.22</v>
      </c>
      <c r="BR1945" s="48" t="n">
        <v>0.64</v>
      </c>
      <c r="BS1945" s="48" t="n">
        <v>0.88</v>
      </c>
      <c r="BT1945" s="48" t="n">
        <v>0.54</v>
      </c>
      <c r="BU1945" s="48" t="n">
        <v>1.22</v>
      </c>
      <c r="BV1945" s="48" t="n">
        <v>0.48</v>
      </c>
      <c r="BW1945" s="48" t="n">
        <v>0.21</v>
      </c>
      <c r="BX1945" s="48" t="n">
        <v>0.75</v>
      </c>
      <c r="BY1945" s="48" t="n">
        <v>0.24</v>
      </c>
      <c r="BZ1945" s="48" t="n">
        <v>0.06</v>
      </c>
      <c r="CA1945" s="48" t="n">
        <v>0.42</v>
      </c>
      <c r="CB1945" s="48" t="n">
        <v>0.09</v>
      </c>
      <c r="CC1945" s="48" t="n">
        <v>0.01999999999999999</v>
      </c>
      <c r="CD1945" s="48" t="n">
        <v>0.16</v>
      </c>
      <c r="CE1945" s="48" t="n">
        <v>0.46</v>
      </c>
      <c r="CF1945" s="48" t="n">
        <v>0.3</v>
      </c>
      <c r="CG1945" s="48" t="n">
        <v>0.62</v>
      </c>
      <c r="CH1945" s="48" t="n">
        <v>0.64</v>
      </c>
      <c r="CI1945" s="48" t="n">
        <v>-0.06999999999999995</v>
      </c>
      <c r="CJ1945" s="48" t="n">
        <v>1.35</v>
      </c>
      <c r="CK1945" s="48" t="n">
        <v>0.39</v>
      </c>
      <c r="CL1945" s="48" t="n">
        <v>0.18</v>
      </c>
      <c r="CM1945" s="48" t="n">
        <v>0.6</v>
      </c>
      <c r="CN1945" s="48" t="n">
        <v>0.32</v>
      </c>
      <c r="CO1945" s="48" t="n">
        <v>0.11</v>
      </c>
      <c r="CP1945" s="48" t="n">
        <v>0.53</v>
      </c>
      <c r="CQ1945" s="48" t="n">
        <v>0.6899999999999999</v>
      </c>
      <c r="CR1945" s="48" t="n">
        <v>0.32</v>
      </c>
      <c r="CS1945" s="48" t="n">
        <v>1.06</v>
      </c>
      <c r="CT1945" s="48" t="n">
        <v>0.54</v>
      </c>
      <c r="CU1945" s="48" t="n">
        <v>0.29</v>
      </c>
      <c r="CV1945" s="48" t="n">
        <v>0.79</v>
      </c>
      <c r="CW1945" s="48" t="n">
        <v>0.47</v>
      </c>
      <c r="CX1945" s="48" t="n">
        <v>0.3099999999999999</v>
      </c>
      <c r="CY1945" s="48" t="n">
        <v>0.63</v>
      </c>
      <c r="CZ1945" s="48" t="n">
        <v>0.14</v>
      </c>
      <c r="DA1945" s="48" t="n">
        <v>0.08000000000000002</v>
      </c>
      <c r="DB1945" s="48" t="n">
        <v>0.2</v>
      </c>
      <c r="DC1945" s="48" t="n">
        <v>0.5</v>
      </c>
      <c r="DD1945" s="48" t="n">
        <v>0.35</v>
      </c>
      <c r="DE1945" s="48" t="n">
        <v>0.65</v>
      </c>
      <c r="DF1945" s="48" t="n">
        <v>0.85</v>
      </c>
      <c r="DG1945" s="48" t="n">
        <v>0.25</v>
      </c>
      <c r="DH1945" s="48" t="n">
        <v>1.45</v>
      </c>
      <c r="DI1945" s="48" t="n">
        <v>0.55</v>
      </c>
      <c r="DJ1945" s="48" t="n">
        <v>0.3700000000000001</v>
      </c>
      <c r="DK1945" s="48" t="n">
        <v>0.73</v>
      </c>
      <c r="DL1945" s="48" t="n">
        <v>0.54</v>
      </c>
      <c r="DM1945" s="48" t="n">
        <v>0.28</v>
      </c>
      <c r="DN1945" s="48" t="n">
        <v>0.8</v>
      </c>
      <c r="DO1945" s="48" t="n">
        <v>1.18</v>
      </c>
      <c r="DP1945" s="48" t="n">
        <v>0.77</v>
      </c>
      <c r="DQ1945" s="48" t="n">
        <v>1.59</v>
      </c>
      <c r="DR1945" s="48" t="n">
        <v>0.23618</v>
      </c>
      <c r="DS1945" s="48" t="n">
        <v>-0.03382000000000002</v>
      </c>
      <c r="DT1945" s="48" t="n">
        <v>0.5061800000000001</v>
      </c>
      <c r="DU1945" s="48" t="n">
        <v>1.1772462</v>
      </c>
      <c r="DV1945" s="48" t="n">
        <v>0.9972462</v>
      </c>
      <c r="DW1945" s="48" t="n">
        <v>1.3572462</v>
      </c>
      <c r="DX1945" s="48" t="n">
        <v>0</v>
      </c>
      <c r="DY1945" s="48" t="n">
        <v>-0.07000000000000001</v>
      </c>
      <c r="DZ1945" s="48" t="n">
        <v>0.07000000000000001</v>
      </c>
      <c r="EA1945" s="48" t="n">
        <v>0.8052175</v>
      </c>
      <c r="EB1945" s="48" t="n">
        <v>0.6452175</v>
      </c>
      <c r="EC1945" s="48" t="n">
        <v>0.9652175000000001</v>
      </c>
      <c r="ED1945" s="48" t="n">
        <v>0.997169</v>
      </c>
      <c r="EE1945" s="48" t="n">
        <v>0.287169</v>
      </c>
      <c r="EF1945" s="48" t="n">
        <v>1.707169</v>
      </c>
      <c r="EG1945" s="48" t="n">
        <v>0.97</v>
      </c>
      <c r="EH1945" s="48" t="n">
        <v>0.76</v>
      </c>
      <c r="EI1945" s="48" t="n">
        <v>1.18</v>
      </c>
      <c r="EJ1945" s="48" t="n">
        <v>0.5675198</v>
      </c>
      <c r="EK1945" s="48" t="n">
        <v>0.3575198000000001</v>
      </c>
      <c r="EL1945" s="48" t="n">
        <v>0.7775198</v>
      </c>
      <c r="EM1945" s="48" t="n">
        <v>0</v>
      </c>
      <c r="EN1945" s="48" t="n">
        <v>-0.37</v>
      </c>
      <c r="EO1945" s="48" t="n">
        <v>0.37</v>
      </c>
      <c r="EP1945" s="48" t="n">
        <v>0</v>
      </c>
      <c r="EQ1945" s="48" t="n">
        <v>-0.27</v>
      </c>
      <c r="ER1945" s="48" t="n">
        <v>0.27</v>
      </c>
      <c r="ES1945" s="48" t="n">
        <v>0</v>
      </c>
      <c r="ET1945" s="48" t="n">
        <v>-0.18</v>
      </c>
      <c r="EU1945" s="48" t="n">
        <v>0.18</v>
      </c>
      <c r="EV1945" s="48" t="n">
        <v>0</v>
      </c>
      <c r="EW1945" s="48" t="n">
        <v>-0.07000000000000001</v>
      </c>
      <c r="EX1945" s="48" t="n">
        <v>0.07000000000000001</v>
      </c>
      <c r="EY1945" s="48" t="n">
        <v>0</v>
      </c>
      <c r="EZ1945" s="48" t="n">
        <v>-0.16</v>
      </c>
      <c r="FA1945" s="48" t="n">
        <v>0.16</v>
      </c>
      <c r="FB1945" s="48" t="n">
        <v>0</v>
      </c>
      <c r="FC1945" s="48" t="n">
        <v>-0.71</v>
      </c>
      <c r="FD1945" s="48" t="n">
        <v>0.71</v>
      </c>
      <c r="FE1945" s="48" t="n">
        <v>0</v>
      </c>
      <c r="FF1945" s="48" t="n">
        <v>-0.21</v>
      </c>
      <c r="FG1945" s="48" t="n">
        <v>0.21</v>
      </c>
      <c r="FH1945" s="48" t="n">
        <v>0</v>
      </c>
      <c r="FI1945" s="48" t="n">
        <v>-0.21</v>
      </c>
      <c r="FJ1945" s="48" t="n">
        <v>0.21</v>
      </c>
      <c r="FK1945" s="48" t="n">
        <v>0</v>
      </c>
      <c r="FL1945" s="48" t="n">
        <v>-0.37</v>
      </c>
      <c r="FM1945" s="48" t="n">
        <v>0.37</v>
      </c>
      <c r="FO1945" s="43">
        <f>MIN($A1945,MultLastLag)+1</f>
        <v>4.0</v>
      </c>
    </row>
    <row r="1946">
      <c r="A1946" s="3" t="n">
        <v>4</v>
      </c>
      <c r="B1946" s="48" t="n">
        <v>0.57</v>
      </c>
      <c r="C1946" s="48" t="n">
        <v>0.3099999999999999</v>
      </c>
      <c r="D1946" s="48" t="n">
        <v>0.83</v>
      </c>
      <c r="E1946" s="48" t="n">
        <v>0.32</v>
      </c>
      <c r="F1946" s="48" t="n">
        <v>0.14</v>
      </c>
      <c r="G1946" s="48" t="n">
        <v>0.5</v>
      </c>
      <c r="H1946" s="48" t="n">
        <v>0.1</v>
      </c>
      <c r="I1946" s="48" t="n">
        <v>0.03</v>
      </c>
      <c r="J1946" s="48" t="n">
        <v>0.17</v>
      </c>
      <c r="K1946" s="48" t="n">
        <v>0.47</v>
      </c>
      <c r="L1946" s="48" t="n">
        <v>0.3099999999999999</v>
      </c>
      <c r="M1946" s="48" t="n">
        <v>0.63</v>
      </c>
      <c r="N1946" s="48" t="n">
        <v>0.64</v>
      </c>
      <c r="O1946" s="48" t="n">
        <v>0.01000000000000001</v>
      </c>
      <c r="P1946" s="48" t="n">
        <v>1.27</v>
      </c>
      <c r="Q1946" s="48" t="n">
        <v>0.43</v>
      </c>
      <c r="R1946" s="48" t="n">
        <v>0.22</v>
      </c>
      <c r="S1946" s="48" t="n">
        <v>0.64</v>
      </c>
      <c r="T1946" s="48" t="n">
        <v>0.38</v>
      </c>
      <c r="U1946" s="48" t="n">
        <v>0.14</v>
      </c>
      <c r="V1946" s="48" t="n">
        <v>0.62</v>
      </c>
      <c r="W1946" s="48" t="n">
        <v>0.82</v>
      </c>
      <c r="X1946" s="48" t="n">
        <v>0.3799999999999999</v>
      </c>
      <c r="Y1946" s="48" t="n">
        <v>1.26</v>
      </c>
      <c r="Z1946" s="48" t="n">
        <v>0.61</v>
      </c>
      <c r="AA1946" s="48" t="n">
        <v>0.39</v>
      </c>
      <c r="AB1946" s="48" t="n">
        <v>0.83</v>
      </c>
      <c r="AC1946" s="48" t="n">
        <v>0.28</v>
      </c>
      <c r="AD1946" s="48" t="n">
        <v>0.12</v>
      </c>
      <c r="AE1946" s="48" t="n">
        <v>0.4400000000000001</v>
      </c>
      <c r="AF1946" s="48" t="n">
        <v>0.09</v>
      </c>
      <c r="AG1946" s="48" t="n">
        <v>0.03999999999999999</v>
      </c>
      <c r="AH1946" s="48" t="n">
        <v>0.14</v>
      </c>
      <c r="AI1946" s="48" t="n">
        <v>0.48</v>
      </c>
      <c r="AJ1946" s="48" t="n">
        <v>0.34</v>
      </c>
      <c r="AK1946" s="48" t="n">
        <v>0.62</v>
      </c>
      <c r="AL1946" s="48" t="n">
        <v>0.8</v>
      </c>
      <c r="AM1946" s="48" t="n">
        <v>-0.02999999999999992</v>
      </c>
      <c r="AN1946" s="48" t="n">
        <v>1.63</v>
      </c>
      <c r="AO1946" s="48" t="n">
        <v>0.41</v>
      </c>
      <c r="AP1946" s="48" t="n">
        <v>0.17</v>
      </c>
      <c r="AQ1946" s="48" t="n">
        <v>0.6499999999999999</v>
      </c>
      <c r="AR1946" s="48" t="n">
        <v>0.26</v>
      </c>
      <c r="AS1946" s="48" t="n">
        <v>0.01000000000000001</v>
      </c>
      <c r="AT1946" s="48" t="n">
        <v>0.51</v>
      </c>
      <c r="AU1946" s="48" t="n">
        <v>0.71</v>
      </c>
      <c r="AV1946" s="48" t="n">
        <v>0.22</v>
      </c>
      <c r="AW1946" s="48" t="n">
        <v>1.2</v>
      </c>
      <c r="AX1946" s="48" t="n">
        <v>0.62</v>
      </c>
      <c r="AY1946" s="48" t="n">
        <v>0.35</v>
      </c>
      <c r="AZ1946" s="48" t="n">
        <v>0.89</v>
      </c>
      <c r="BA1946" s="48" t="n">
        <v>0.43</v>
      </c>
      <c r="BB1946" s="48" t="n">
        <v>0.26</v>
      </c>
      <c r="BC1946" s="48" t="n">
        <v>0.6</v>
      </c>
      <c r="BD1946" s="48" t="n">
        <v>0.09</v>
      </c>
      <c r="BE1946" s="48" t="n">
        <v>0.01999999999999999</v>
      </c>
      <c r="BF1946" s="48" t="n">
        <v>0.16</v>
      </c>
      <c r="BG1946" s="48" t="n">
        <v>0.5</v>
      </c>
      <c r="BH1946" s="48" t="n">
        <v>0.31</v>
      </c>
      <c r="BI1946" s="48" t="n">
        <v>0.6899999999999999</v>
      </c>
      <c r="BJ1946" s="48" t="n">
        <v>0.59</v>
      </c>
      <c r="BK1946" s="48" t="n">
        <v>0.1899999999999999</v>
      </c>
      <c r="BL1946" s="48" t="n">
        <v>0.99</v>
      </c>
      <c r="BM1946" s="48" t="n">
        <v>0.42</v>
      </c>
      <c r="BN1946" s="48" t="n">
        <v>0.26</v>
      </c>
      <c r="BO1946" s="48" t="n">
        <v>0.58</v>
      </c>
      <c r="BP1946" s="48" t="n">
        <v>0.43</v>
      </c>
      <c r="BQ1946" s="48" t="n">
        <v>0.25</v>
      </c>
      <c r="BR1946" s="48" t="n">
        <v>0.61</v>
      </c>
      <c r="BS1946" s="48" t="n">
        <v>0.91</v>
      </c>
      <c r="BT1946" s="48" t="n">
        <v>0.5700000000000001</v>
      </c>
      <c r="BU1946" s="48" t="n">
        <v>1.25</v>
      </c>
      <c r="BV1946" s="48" t="n">
        <v>0.48</v>
      </c>
      <c r="BW1946" s="48" t="n">
        <v>0.19</v>
      </c>
      <c r="BX1946" s="48" t="n">
        <v>0.77</v>
      </c>
      <c r="BY1946" s="48" t="n">
        <v>0.2</v>
      </c>
      <c r="BZ1946" s="48" t="n">
        <v>0.03</v>
      </c>
      <c r="CA1946" s="48" t="n">
        <v>0.37</v>
      </c>
      <c r="CB1946" s="48" t="n">
        <v>0.1</v>
      </c>
      <c r="CC1946" s="48" t="n">
        <v>0.02</v>
      </c>
      <c r="CD1946" s="48" t="n">
        <v>0.18</v>
      </c>
      <c r="CE1946" s="48" t="n">
        <v>0.43</v>
      </c>
      <c r="CF1946" s="48" t="n">
        <v>0.27</v>
      </c>
      <c r="CG1946" s="48" t="n">
        <v>0.59</v>
      </c>
      <c r="CH1946" s="48" t="n">
        <v>0.5600000000000001</v>
      </c>
      <c r="CI1946" s="48" t="n">
        <v>-0.04999999999999993</v>
      </c>
      <c r="CJ1946" s="48" t="n">
        <v>1.17</v>
      </c>
      <c r="CK1946" s="48" t="n">
        <v>0.4</v>
      </c>
      <c r="CL1946" s="48" t="n">
        <v>0.2</v>
      </c>
      <c r="CM1946" s="48" t="n">
        <v>0.6000000000000001</v>
      </c>
      <c r="CN1946" s="48" t="n">
        <v>0.3</v>
      </c>
      <c r="CO1946" s="48" t="n">
        <v>0.09</v>
      </c>
      <c r="CP1946" s="48" t="n">
        <v>0.51</v>
      </c>
      <c r="CQ1946" s="48" t="n">
        <v>0.63</v>
      </c>
      <c r="CR1946" s="48" t="n">
        <v>0.26</v>
      </c>
      <c r="CS1946" s="48" t="n">
        <v>1</v>
      </c>
      <c r="CT1946" s="48" t="n">
        <v>0.48</v>
      </c>
      <c r="CU1946" s="48" t="n">
        <v>0.24</v>
      </c>
      <c r="CV1946" s="48" t="n">
        <v>0.72</v>
      </c>
      <c r="CW1946" s="48" t="n">
        <v>0.51</v>
      </c>
      <c r="CX1946" s="48" t="n">
        <v>0.34</v>
      </c>
      <c r="CY1946" s="48" t="n">
        <v>0.68</v>
      </c>
      <c r="CZ1946" s="48" t="n">
        <v>0.17</v>
      </c>
      <c r="DA1946" s="48" t="n">
        <v>0.1</v>
      </c>
      <c r="DB1946" s="48" t="n">
        <v>0.24</v>
      </c>
      <c r="DC1946" s="48" t="n">
        <v>0.47</v>
      </c>
      <c r="DD1946" s="48" t="n">
        <v>0.3099999999999999</v>
      </c>
      <c r="DE1946" s="48" t="n">
        <v>0.63</v>
      </c>
      <c r="DF1946" s="48" t="n">
        <v>0.83</v>
      </c>
      <c r="DG1946" s="48" t="n">
        <v>0.39</v>
      </c>
      <c r="DH1946" s="48" t="n">
        <v>1.27</v>
      </c>
      <c r="DI1946" s="48" t="n">
        <v>0.54</v>
      </c>
      <c r="DJ1946" s="48" t="n">
        <v>0.34</v>
      </c>
      <c r="DK1946" s="48" t="n">
        <v>0.74</v>
      </c>
      <c r="DL1946" s="48" t="n">
        <v>0.5600000000000001</v>
      </c>
      <c r="DM1946" s="48" t="n">
        <v>0.2700000000000001</v>
      </c>
      <c r="DN1946" s="48" t="n">
        <v>0.8500000000000001</v>
      </c>
      <c r="DO1946" s="48" t="n">
        <v>1.16</v>
      </c>
      <c r="DP1946" s="48" t="n">
        <v>0.7</v>
      </c>
      <c r="DQ1946" s="48" t="n">
        <v>1.62</v>
      </c>
      <c r="DR1946" s="48" t="n">
        <v>0.3050239</v>
      </c>
      <c r="DS1946" s="48" t="n">
        <v>0.01502390000000003</v>
      </c>
      <c r="DT1946" s="48" t="n">
        <v>0.5950238999999999</v>
      </c>
      <c r="DU1946" s="48" t="n">
        <v>1.4254222</v>
      </c>
      <c r="DV1946" s="48" t="n">
        <v>1.2554222</v>
      </c>
      <c r="DW1946" s="48" t="n">
        <v>1.5954222</v>
      </c>
      <c r="DX1946" s="48" t="n">
        <v>0</v>
      </c>
      <c r="DY1946" s="48" t="n">
        <v>-0.08</v>
      </c>
      <c r="DZ1946" s="48" t="n">
        <v>0.08</v>
      </c>
      <c r="EA1946" s="48" t="n">
        <v>0.9224341</v>
      </c>
      <c r="EB1946" s="48" t="n">
        <v>0.7624341</v>
      </c>
      <c r="EC1946" s="48" t="n">
        <v>1.0824341</v>
      </c>
      <c r="ED1946" s="48" t="n">
        <v>0.8793162</v>
      </c>
      <c r="EE1946" s="48" t="n">
        <v>0.2693162</v>
      </c>
      <c r="EF1946" s="48" t="n">
        <v>1.4893162</v>
      </c>
      <c r="EG1946" s="48" t="n">
        <v>0.84</v>
      </c>
      <c r="EH1946" s="48" t="n">
        <v>0.6399999999999999</v>
      </c>
      <c r="EI1946" s="48" t="n">
        <v>1.04</v>
      </c>
      <c r="EJ1946" s="48" t="n">
        <v>0.5139223000000001</v>
      </c>
      <c r="EK1946" s="48" t="n">
        <v>0.3039223000000001</v>
      </c>
      <c r="EL1946" s="48" t="n">
        <v>0.7239223</v>
      </c>
      <c r="EM1946" s="48" t="n">
        <v>0</v>
      </c>
      <c r="EN1946" s="48" t="n">
        <v>-0.37</v>
      </c>
      <c r="EO1946" s="48" t="n">
        <v>0.37</v>
      </c>
      <c r="EP1946" s="48" t="n">
        <v>0</v>
      </c>
      <c r="EQ1946" s="48" t="n">
        <v>-0.29</v>
      </c>
      <c r="ER1946" s="48" t="n">
        <v>0.29</v>
      </c>
      <c r="ES1946" s="48" t="n">
        <v>0</v>
      </c>
      <c r="ET1946" s="48" t="n">
        <v>-0.17</v>
      </c>
      <c r="EU1946" s="48" t="n">
        <v>0.17</v>
      </c>
      <c r="EV1946" s="48" t="n">
        <v>0</v>
      </c>
      <c r="EW1946" s="48" t="n">
        <v>-0.08</v>
      </c>
      <c r="EX1946" s="48" t="n">
        <v>0.08</v>
      </c>
      <c r="EY1946" s="48" t="n">
        <v>0</v>
      </c>
      <c r="EZ1946" s="48" t="n">
        <v>-0.16</v>
      </c>
      <c r="FA1946" s="48" t="n">
        <v>0.16</v>
      </c>
      <c r="FB1946" s="48" t="n">
        <v>0</v>
      </c>
      <c r="FC1946" s="48" t="n">
        <v>-0.61</v>
      </c>
      <c r="FD1946" s="48" t="n">
        <v>0.61</v>
      </c>
      <c r="FE1946" s="48" t="n">
        <v>0</v>
      </c>
      <c r="FF1946" s="48" t="n">
        <v>-0.2</v>
      </c>
      <c r="FG1946" s="48" t="n">
        <v>0.2</v>
      </c>
      <c r="FH1946" s="48" t="n">
        <v>0</v>
      </c>
      <c r="FI1946" s="48" t="n">
        <v>-0.21</v>
      </c>
      <c r="FJ1946" s="48" t="n">
        <v>0.21</v>
      </c>
      <c r="FK1946" s="48" t="n">
        <v>0</v>
      </c>
      <c r="FL1946" s="48" t="n">
        <v>-0.37</v>
      </c>
      <c r="FM1946" s="48" t="n">
        <v>0.37</v>
      </c>
      <c r="FO1946" s="43">
        <f>MIN($A1946,MultLastLag)+1</f>
        <v>5.0</v>
      </c>
    </row>
    <row r="1947">
      <c r="A1947" s="3" t="n">
        <v>5</v>
      </c>
      <c r="B1947" s="48" t="n">
        <v>0.48</v>
      </c>
      <c r="C1947" s="48" t="n">
        <v>0.24</v>
      </c>
      <c r="D1947" s="48" t="n">
        <v>0.72</v>
      </c>
      <c r="E1947" s="48" t="n">
        <v>0.34</v>
      </c>
      <c r="F1947" s="48" t="n">
        <v>0.16</v>
      </c>
      <c r="G1947" s="48" t="n">
        <v>0.52</v>
      </c>
      <c r="H1947" s="48" t="n">
        <v>0.11</v>
      </c>
      <c r="I1947" s="48" t="n">
        <v>0.03999999999999999</v>
      </c>
      <c r="J1947" s="48" t="n">
        <v>0.18</v>
      </c>
      <c r="K1947" s="48" t="n">
        <v>0.46</v>
      </c>
      <c r="L1947" s="48" t="n">
        <v>0.3</v>
      </c>
      <c r="M1947" s="48" t="n">
        <v>0.62</v>
      </c>
      <c r="N1947" s="48" t="n">
        <v>0.65</v>
      </c>
      <c r="O1947" s="48" t="n">
        <v>0.08999999999999997</v>
      </c>
      <c r="P1947" s="48" t="n">
        <v>1.21</v>
      </c>
      <c r="Q1947" s="48" t="n">
        <v>0.41</v>
      </c>
      <c r="R1947" s="48" t="n">
        <v>0.19</v>
      </c>
      <c r="S1947" s="48" t="n">
        <v>0.63</v>
      </c>
      <c r="T1947" s="48" t="n">
        <v>0.38</v>
      </c>
      <c r="U1947" s="48" t="n">
        <v>0.15</v>
      </c>
      <c r="V1947" s="48" t="n">
        <v>0.61</v>
      </c>
      <c r="W1947" s="48" t="n">
        <v>0.8100000000000001</v>
      </c>
      <c r="X1947" s="48" t="n">
        <v>0.3700000000000001</v>
      </c>
      <c r="Y1947" s="48" t="n">
        <v>1.25</v>
      </c>
      <c r="Z1947" s="48" t="n">
        <v>0.53</v>
      </c>
      <c r="AA1947" s="48" t="n">
        <v>0.33</v>
      </c>
      <c r="AB1947" s="48" t="n">
        <v>0.73</v>
      </c>
      <c r="AC1947" s="48" t="n">
        <v>0.3</v>
      </c>
      <c r="AD1947" s="48" t="n">
        <v>0.13</v>
      </c>
      <c r="AE1947" s="48" t="n">
        <v>0.47</v>
      </c>
      <c r="AF1947" s="48" t="n">
        <v>0.1</v>
      </c>
      <c r="AG1947" s="48" t="n">
        <v>0.04000000000000001</v>
      </c>
      <c r="AH1947" s="48" t="n">
        <v>0.16</v>
      </c>
      <c r="AI1947" s="48" t="n">
        <v>0.5</v>
      </c>
      <c r="AJ1947" s="48" t="n">
        <v>0.36</v>
      </c>
      <c r="AK1947" s="48" t="n">
        <v>0.64</v>
      </c>
      <c r="AL1947" s="48" t="n">
        <v>0.63</v>
      </c>
      <c r="AM1947" s="48" t="n">
        <v>-0.04000000000000004</v>
      </c>
      <c r="AN1947" s="48" t="n">
        <v>1.3</v>
      </c>
      <c r="AO1947" s="48" t="n">
        <v>0.4</v>
      </c>
      <c r="AP1947" s="48" t="n">
        <v>0.17</v>
      </c>
      <c r="AQ1947" s="48" t="n">
        <v>0.63</v>
      </c>
      <c r="AR1947" s="48" t="n">
        <v>0.29</v>
      </c>
      <c r="AS1947" s="48" t="n">
        <v>0.05999999999999997</v>
      </c>
      <c r="AT1947" s="48" t="n">
        <v>0.52</v>
      </c>
      <c r="AU1947" s="48" t="n">
        <v>0.73</v>
      </c>
      <c r="AV1947" s="48" t="n">
        <v>0.27</v>
      </c>
      <c r="AW1947" s="48" t="n">
        <v>1.19</v>
      </c>
      <c r="AX1947" s="48" t="n">
        <v>0.53</v>
      </c>
      <c r="AY1947" s="48" t="n">
        <v>0.28</v>
      </c>
      <c r="AZ1947" s="48" t="n">
        <v>0.78</v>
      </c>
      <c r="BA1947" s="48" t="n">
        <v>0.45</v>
      </c>
      <c r="BB1947" s="48" t="n">
        <v>0.28</v>
      </c>
      <c r="BC1947" s="48" t="n">
        <v>0.62</v>
      </c>
      <c r="BD1947" s="48" t="n">
        <v>0.08</v>
      </c>
      <c r="BE1947" s="48" t="n">
        <v>0.02</v>
      </c>
      <c r="BF1947" s="48" t="n">
        <v>0.14</v>
      </c>
      <c r="BG1947" s="48" t="n">
        <v>0.46</v>
      </c>
      <c r="BH1947" s="48" t="n">
        <v>0.3100000000000001</v>
      </c>
      <c r="BI1947" s="48" t="n">
        <v>0.61</v>
      </c>
      <c r="BJ1947" s="48" t="n">
        <v>0.59</v>
      </c>
      <c r="BK1947" s="48" t="n">
        <v>0.12</v>
      </c>
      <c r="BL1947" s="48" t="n">
        <v>1.06</v>
      </c>
      <c r="BM1947" s="48" t="n">
        <v>0.4</v>
      </c>
      <c r="BN1947" s="48" t="n">
        <v>0.24</v>
      </c>
      <c r="BO1947" s="48" t="n">
        <v>0.5600000000000001</v>
      </c>
      <c r="BP1947" s="48" t="n">
        <v>0.43</v>
      </c>
      <c r="BQ1947" s="48" t="n">
        <v>0.25</v>
      </c>
      <c r="BR1947" s="48" t="n">
        <v>0.61</v>
      </c>
      <c r="BS1947" s="48" t="n">
        <v>0.8</v>
      </c>
      <c r="BT1947" s="48" t="n">
        <v>0.42</v>
      </c>
      <c r="BU1947" s="48" t="n">
        <v>1.18</v>
      </c>
      <c r="BV1947" s="48" t="n">
        <v>0.41</v>
      </c>
      <c r="BW1947" s="48" t="n">
        <v>0.15</v>
      </c>
      <c r="BX1947" s="48" t="n">
        <v>0.6699999999999999</v>
      </c>
      <c r="BY1947" s="48" t="n">
        <v>0.19</v>
      </c>
      <c r="BZ1947" s="48" t="n">
        <v>0.01000000000000001</v>
      </c>
      <c r="CA1947" s="48" t="n">
        <v>0.37</v>
      </c>
      <c r="CB1947" s="48" t="n">
        <v>0.1</v>
      </c>
      <c r="CC1947" s="48" t="n">
        <v>0.03</v>
      </c>
      <c r="CD1947" s="48" t="n">
        <v>0.17</v>
      </c>
      <c r="CE1947" s="48" t="n">
        <v>0.38</v>
      </c>
      <c r="CF1947" s="48" t="n">
        <v>0.22</v>
      </c>
      <c r="CG1947" s="48" t="n">
        <v>0.54</v>
      </c>
      <c r="CH1947" s="48" t="n">
        <v>0.58</v>
      </c>
      <c r="CI1947" s="48" t="n">
        <v>-0.02000000000000002</v>
      </c>
      <c r="CJ1947" s="48" t="n">
        <v>1.18</v>
      </c>
      <c r="CK1947" s="48" t="n">
        <v>0.4</v>
      </c>
      <c r="CL1947" s="48" t="n">
        <v>0.18</v>
      </c>
      <c r="CM1947" s="48" t="n">
        <v>0.62</v>
      </c>
      <c r="CN1947" s="48" t="n">
        <v>0.29</v>
      </c>
      <c r="CO1947" s="48" t="n">
        <v>0.07999999999999999</v>
      </c>
      <c r="CP1947" s="48" t="n">
        <v>0.5</v>
      </c>
      <c r="CQ1947" s="48" t="n">
        <v>0.66</v>
      </c>
      <c r="CR1947" s="48" t="n">
        <v>0.22</v>
      </c>
      <c r="CS1947" s="48" t="n">
        <v>1.1</v>
      </c>
      <c r="CT1947" s="48" t="n">
        <v>0.41</v>
      </c>
      <c r="CU1947" s="48" t="n">
        <v>0.2</v>
      </c>
      <c r="CV1947" s="48" t="n">
        <v>0.62</v>
      </c>
      <c r="CW1947" s="48" t="n">
        <v>0.48</v>
      </c>
      <c r="CX1947" s="48" t="n">
        <v>0.3099999999999999</v>
      </c>
      <c r="CY1947" s="48" t="n">
        <v>0.65</v>
      </c>
      <c r="CZ1947" s="48" t="n">
        <v>0.21</v>
      </c>
      <c r="DA1947" s="48" t="n">
        <v>0.13</v>
      </c>
      <c r="DB1947" s="48" t="n">
        <v>0.29</v>
      </c>
      <c r="DC1947" s="48" t="n">
        <v>0.46</v>
      </c>
      <c r="DD1947" s="48" t="n">
        <v>0.3100000000000001</v>
      </c>
      <c r="DE1947" s="48" t="n">
        <v>0.61</v>
      </c>
      <c r="DF1947" s="48" t="n">
        <v>0.87</v>
      </c>
      <c r="DG1947" s="48" t="n">
        <v>0.44</v>
      </c>
      <c r="DH1947" s="48" t="n">
        <v>1.3</v>
      </c>
      <c r="DI1947" s="48" t="n">
        <v>0.51</v>
      </c>
      <c r="DJ1947" s="48" t="n">
        <v>0.28</v>
      </c>
      <c r="DK1947" s="48" t="n">
        <v>0.74</v>
      </c>
      <c r="DL1947" s="48" t="n">
        <v>0.58</v>
      </c>
      <c r="DM1947" s="48" t="n">
        <v>0.29</v>
      </c>
      <c r="DN1947" s="48" t="n">
        <v>0.8699999999999999</v>
      </c>
      <c r="DO1947" s="48" t="n">
        <v>1.15</v>
      </c>
      <c r="DP1947" s="48" t="n">
        <v>0.6599999999999999</v>
      </c>
      <c r="DQ1947" s="48" t="n">
        <v>1.64</v>
      </c>
      <c r="DR1947" s="48" t="n">
        <v>0.3132631</v>
      </c>
      <c r="DS1947" s="48" t="n">
        <v>0.05326310000000001</v>
      </c>
      <c r="DT1947" s="48" t="n">
        <v>0.5732631</v>
      </c>
      <c r="DU1947" s="48" t="n">
        <v>1.4291436</v>
      </c>
      <c r="DV1947" s="48" t="n">
        <v>1.2491436</v>
      </c>
      <c r="DW1947" s="48" t="n">
        <v>1.6091436</v>
      </c>
      <c r="DX1947" s="48" t="n">
        <v>0</v>
      </c>
      <c r="DY1947" s="48" t="n">
        <v>-0.07000000000000001</v>
      </c>
      <c r="DZ1947" s="48" t="n">
        <v>0.07000000000000001</v>
      </c>
      <c r="EA1947" s="48" t="n">
        <v>1.024747</v>
      </c>
      <c r="EB1947" s="48" t="n">
        <v>0.864747</v>
      </c>
      <c r="EC1947" s="48" t="n">
        <v>1.184747</v>
      </c>
      <c r="ED1947" s="48" t="n">
        <v>0.6549158</v>
      </c>
      <c r="EE1947" s="48" t="n">
        <v>0.05491580000000007</v>
      </c>
      <c r="EF1947" s="48" t="n">
        <v>1.2549158</v>
      </c>
      <c r="EG1947" s="48" t="n">
        <v>0.63</v>
      </c>
      <c r="EH1947" s="48" t="n">
        <v>0.41</v>
      </c>
      <c r="EI1947" s="48" t="n">
        <v>0.85</v>
      </c>
      <c r="EJ1947" s="48" t="n">
        <v>0.3616518</v>
      </c>
      <c r="EK1947" s="48" t="n">
        <v>0.1516518</v>
      </c>
      <c r="EL1947" s="48" t="n">
        <v>0.5716518</v>
      </c>
      <c r="EM1947" s="48" t="n">
        <v>0</v>
      </c>
      <c r="EN1947" s="48" t="n">
        <v>-0.44</v>
      </c>
      <c r="EO1947" s="48" t="n">
        <v>0.44</v>
      </c>
      <c r="EP1947" s="48" t="n">
        <v>0</v>
      </c>
      <c r="EQ1947" s="48" t="n">
        <v>-0.26</v>
      </c>
      <c r="ER1947" s="48" t="n">
        <v>0.26</v>
      </c>
      <c r="ES1947" s="48" t="n">
        <v>0</v>
      </c>
      <c r="ET1947" s="48" t="n">
        <v>-0.18</v>
      </c>
      <c r="EU1947" s="48" t="n">
        <v>0.18</v>
      </c>
      <c r="EV1947" s="48" t="n">
        <v>0</v>
      </c>
      <c r="EW1947" s="48" t="n">
        <v>-0.07000000000000001</v>
      </c>
      <c r="EX1947" s="48" t="n">
        <v>0.07000000000000001</v>
      </c>
      <c r="EY1947" s="48" t="n">
        <v>0</v>
      </c>
      <c r="EZ1947" s="48" t="n">
        <v>-0.16</v>
      </c>
      <c r="FA1947" s="48" t="n">
        <v>0.16</v>
      </c>
      <c r="FB1947" s="48" t="n">
        <v>0</v>
      </c>
      <c r="FC1947" s="48" t="n">
        <v>-0.6</v>
      </c>
      <c r="FD1947" s="48" t="n">
        <v>0.6</v>
      </c>
      <c r="FE1947" s="48" t="n">
        <v>0</v>
      </c>
      <c r="FF1947" s="48" t="n">
        <v>-0.22</v>
      </c>
      <c r="FG1947" s="48" t="n">
        <v>0.22</v>
      </c>
      <c r="FH1947" s="48" t="n">
        <v>0</v>
      </c>
      <c r="FI1947" s="48" t="n">
        <v>-0.21</v>
      </c>
      <c r="FJ1947" s="48" t="n">
        <v>0.21</v>
      </c>
      <c r="FK1947" s="48" t="n">
        <v>0</v>
      </c>
      <c r="FL1947" s="48" t="n">
        <v>-0.44</v>
      </c>
      <c r="FM1947" s="48" t="n">
        <v>0.44</v>
      </c>
      <c r="FO1947" s="43">
        <f>MIN($A1947,MultLastLag)+1</f>
        <v>6.0</v>
      </c>
    </row>
    <row r="1948">
      <c r="A1948" s="3" t="n">
        <v>6</v>
      </c>
      <c r="B1948" s="48" t="n">
        <v>0.4</v>
      </c>
      <c r="C1948" s="48" t="n">
        <v>0.13</v>
      </c>
      <c r="D1948" s="48" t="n">
        <v>0.67</v>
      </c>
      <c r="E1948" s="48" t="n">
        <v>0.35</v>
      </c>
      <c r="F1948" s="48" t="n">
        <v>0.17</v>
      </c>
      <c r="G1948" s="48" t="n">
        <v>0.53</v>
      </c>
      <c r="H1948" s="48" t="n">
        <v>0.11</v>
      </c>
      <c r="I1948" s="48" t="n">
        <v>0.03999999999999999</v>
      </c>
      <c r="J1948" s="48" t="n">
        <v>0.18</v>
      </c>
      <c r="K1948" s="48" t="n">
        <v>0.46</v>
      </c>
      <c r="L1948" s="48" t="n">
        <v>0.29</v>
      </c>
      <c r="M1948" s="48" t="n">
        <v>0.63</v>
      </c>
      <c r="N1948" s="48" t="n">
        <v>0.68</v>
      </c>
      <c r="O1948" s="48" t="n">
        <v>0.1100000000000001</v>
      </c>
      <c r="P1948" s="48" t="n">
        <v>1.25</v>
      </c>
      <c r="Q1948" s="48" t="n">
        <v>0.39</v>
      </c>
      <c r="R1948" s="48" t="n">
        <v>0.18</v>
      </c>
      <c r="S1948" s="48" t="n">
        <v>0.6</v>
      </c>
      <c r="T1948" s="48" t="n">
        <v>0.36</v>
      </c>
      <c r="U1948" s="48" t="n">
        <v>0.13</v>
      </c>
      <c r="V1948" s="48" t="n">
        <v>0.59</v>
      </c>
      <c r="W1948" s="48" t="n">
        <v>0.79</v>
      </c>
      <c r="X1948" s="48" t="n">
        <v>0.35</v>
      </c>
      <c r="Y1948" s="48" t="n">
        <v>1.23</v>
      </c>
      <c r="Z1948" s="48" t="n">
        <v>0.53</v>
      </c>
      <c r="AA1948" s="48" t="n">
        <v>0.23</v>
      </c>
      <c r="AB1948" s="48" t="n">
        <v>0.8300000000000001</v>
      </c>
      <c r="AC1948" s="48" t="n">
        <v>0.31</v>
      </c>
      <c r="AD1948" s="48" t="n">
        <v>0.12</v>
      </c>
      <c r="AE1948" s="48" t="n">
        <v>0.5</v>
      </c>
      <c r="AF1948" s="48" t="n">
        <v>0.11</v>
      </c>
      <c r="AG1948" s="48" t="n">
        <v>0.03999999999999999</v>
      </c>
      <c r="AH1948" s="48" t="n">
        <v>0.18</v>
      </c>
      <c r="AI1948" s="48" t="n">
        <v>0.48</v>
      </c>
      <c r="AJ1948" s="48" t="n">
        <v>0.34</v>
      </c>
      <c r="AK1948" s="48" t="n">
        <v>0.62</v>
      </c>
      <c r="AL1948" s="48" t="n">
        <v>0.66</v>
      </c>
      <c r="AM1948" s="48" t="n">
        <v>-0.03999999999999992</v>
      </c>
      <c r="AN1948" s="48" t="n">
        <v>1.36</v>
      </c>
      <c r="AO1948" s="48" t="n">
        <v>0.37</v>
      </c>
      <c r="AP1948" s="48" t="n">
        <v>0.14</v>
      </c>
      <c r="AQ1948" s="48" t="n">
        <v>0.6</v>
      </c>
      <c r="AR1948" s="48" t="n">
        <v>0.31</v>
      </c>
      <c r="AS1948" s="48" t="n">
        <v>0.07999999999999999</v>
      </c>
      <c r="AT1948" s="48" t="n">
        <v>0.54</v>
      </c>
      <c r="AU1948" s="48" t="n">
        <v>0.78</v>
      </c>
      <c r="AV1948" s="48" t="n">
        <v>0.34</v>
      </c>
      <c r="AW1948" s="48" t="n">
        <v>1.22</v>
      </c>
      <c r="AX1948" s="48" t="n">
        <v>0.41</v>
      </c>
      <c r="AY1948" s="48" t="n">
        <v>0.1299999999999999</v>
      </c>
      <c r="AZ1948" s="48" t="n">
        <v>0.6899999999999999</v>
      </c>
      <c r="BA1948" s="48" t="n">
        <v>0.42</v>
      </c>
      <c r="BB1948" s="48" t="n">
        <v>0.25</v>
      </c>
      <c r="BC1948" s="48" t="n">
        <v>0.59</v>
      </c>
      <c r="BD1948" s="48" t="n">
        <v>0.1</v>
      </c>
      <c r="BE1948" s="48" t="n">
        <v>0.03</v>
      </c>
      <c r="BF1948" s="48" t="n">
        <v>0.17</v>
      </c>
      <c r="BG1948" s="48" t="n">
        <v>0.47</v>
      </c>
      <c r="BH1948" s="48" t="n">
        <v>0.28</v>
      </c>
      <c r="BI1948" s="48" t="n">
        <v>0.6599999999999999</v>
      </c>
      <c r="BJ1948" s="48" t="n">
        <v>0.65</v>
      </c>
      <c r="BK1948" s="48" t="n">
        <v>0.11</v>
      </c>
      <c r="BL1948" s="48" t="n">
        <v>1.19</v>
      </c>
      <c r="BM1948" s="48" t="n">
        <v>0.38</v>
      </c>
      <c r="BN1948" s="48" t="n">
        <v>0.21</v>
      </c>
      <c r="BO1948" s="48" t="n">
        <v>0.55</v>
      </c>
      <c r="BP1948" s="48" t="n">
        <v>0.39</v>
      </c>
      <c r="BQ1948" s="48" t="n">
        <v>0.21</v>
      </c>
      <c r="BR1948" s="48" t="n">
        <v>0.5700000000000001</v>
      </c>
      <c r="BS1948" s="48" t="n">
        <v>0.73</v>
      </c>
      <c r="BT1948" s="48" t="n">
        <v>0.35</v>
      </c>
      <c r="BU1948" s="48" t="n">
        <v>1.11</v>
      </c>
      <c r="BV1948" s="48" t="n">
        <v>0.35</v>
      </c>
      <c r="BW1948" s="48" t="n">
        <v>0.12</v>
      </c>
      <c r="BX1948" s="48" t="n">
        <v>0.58</v>
      </c>
      <c r="BY1948" s="48" t="n">
        <v>0.19</v>
      </c>
      <c r="BZ1948" s="48" t="n">
        <v>0.04000000000000001</v>
      </c>
      <c r="CA1948" s="48" t="n">
        <v>0.34</v>
      </c>
      <c r="CB1948" s="48" t="n">
        <v>0.1</v>
      </c>
      <c r="CC1948" s="48" t="n">
        <v>0.03</v>
      </c>
      <c r="CD1948" s="48" t="n">
        <v>0.17</v>
      </c>
      <c r="CE1948" s="48" t="n">
        <v>0.38</v>
      </c>
      <c r="CF1948" s="48" t="n">
        <v>0.2</v>
      </c>
      <c r="CG1948" s="48" t="n">
        <v>0.5600000000000001</v>
      </c>
      <c r="CH1948" s="48" t="n">
        <v>0.62</v>
      </c>
      <c r="CI1948" s="48" t="n">
        <v>0.05000000000000004</v>
      </c>
      <c r="CJ1948" s="48" t="n">
        <v>1.19</v>
      </c>
      <c r="CK1948" s="48" t="n">
        <v>0.39</v>
      </c>
      <c r="CL1948" s="48" t="n">
        <v>0.18</v>
      </c>
      <c r="CM1948" s="48" t="n">
        <v>0.6</v>
      </c>
      <c r="CN1948" s="48" t="n">
        <v>0.28</v>
      </c>
      <c r="CO1948" s="48" t="n">
        <v>0.08000000000000002</v>
      </c>
      <c r="CP1948" s="48" t="n">
        <v>0.48</v>
      </c>
      <c r="CQ1948" s="48" t="n">
        <v>0.59</v>
      </c>
      <c r="CR1948" s="48" t="n">
        <v>0.17</v>
      </c>
      <c r="CS1948" s="48" t="n">
        <v>1.01</v>
      </c>
      <c r="CT1948" s="48" t="n">
        <v>0.32</v>
      </c>
      <c r="CU1948" s="48" t="n">
        <v>0.13</v>
      </c>
      <c r="CV1948" s="48" t="n">
        <v>0.51</v>
      </c>
      <c r="CW1948" s="48" t="n">
        <v>0.51</v>
      </c>
      <c r="CX1948" s="48" t="n">
        <v>0.34</v>
      </c>
      <c r="CY1948" s="48" t="n">
        <v>0.68</v>
      </c>
      <c r="CZ1948" s="48" t="n">
        <v>0.21</v>
      </c>
      <c r="DA1948" s="48" t="n">
        <v>0.13</v>
      </c>
      <c r="DB1948" s="48" t="n">
        <v>0.29</v>
      </c>
      <c r="DC1948" s="48" t="n">
        <v>0.44</v>
      </c>
      <c r="DD1948" s="48" t="n">
        <v>0.26</v>
      </c>
      <c r="DE1948" s="48" t="n">
        <v>0.62</v>
      </c>
      <c r="DF1948" s="48" t="n">
        <v>0.91</v>
      </c>
      <c r="DG1948" s="48" t="n">
        <v>0.47</v>
      </c>
      <c r="DH1948" s="48" t="n">
        <v>1.35</v>
      </c>
      <c r="DI1948" s="48" t="n">
        <v>0.52</v>
      </c>
      <c r="DJ1948" s="48" t="n">
        <v>0.34</v>
      </c>
      <c r="DK1948" s="48" t="n">
        <v>0.7</v>
      </c>
      <c r="DL1948" s="48" t="n">
        <v>0.49</v>
      </c>
      <c r="DM1948" s="48" t="n">
        <v>0.2</v>
      </c>
      <c r="DN1948" s="48" t="n">
        <v>0.78</v>
      </c>
      <c r="DO1948" s="48" t="n">
        <v>1.05</v>
      </c>
      <c r="DP1948" s="48" t="n">
        <v>0.53</v>
      </c>
      <c r="DQ1948" s="48" t="n">
        <v>1.57</v>
      </c>
      <c r="DR1948" s="48" t="n">
        <v>0.2499792</v>
      </c>
      <c r="DS1948" s="48" t="n">
        <v>0.0199792</v>
      </c>
      <c r="DT1948" s="48" t="n">
        <v>0.4799792000000001</v>
      </c>
      <c r="DU1948" s="48" t="n">
        <v>1.3073005</v>
      </c>
      <c r="DV1948" s="48" t="n">
        <v>1.1573005</v>
      </c>
      <c r="DW1948" s="48" t="n">
        <v>1.4573005</v>
      </c>
      <c r="DX1948" s="48" t="n">
        <v>0</v>
      </c>
      <c r="DY1948" s="48" t="n">
        <v>-0.07000000000000001</v>
      </c>
      <c r="DZ1948" s="48" t="n">
        <v>0.07000000000000001</v>
      </c>
      <c r="EA1948" s="48" t="n">
        <v>1.0675873</v>
      </c>
      <c r="EB1948" s="48" t="n">
        <v>0.8875873000000001</v>
      </c>
      <c r="EC1948" s="48" t="n">
        <v>1.2475873</v>
      </c>
      <c r="ED1948" s="48" t="n">
        <v>0.3827829</v>
      </c>
      <c r="EE1948" s="48" t="n">
        <v>-0.1872171</v>
      </c>
      <c r="EF1948" s="48" t="n">
        <v>0.9527828999999999</v>
      </c>
      <c r="EG1948" s="48" t="n">
        <v>0.38</v>
      </c>
      <c r="EH1948" s="48" t="n">
        <v>0.17</v>
      </c>
      <c r="EI1948" s="48" t="n">
        <v>0.59</v>
      </c>
      <c r="EJ1948" s="48" t="n">
        <v>0.1567232</v>
      </c>
      <c r="EK1948" s="48" t="n">
        <v>-0.0432768</v>
      </c>
      <c r="EL1948" s="48" t="n">
        <v>0.3567232</v>
      </c>
      <c r="EM1948" s="48" t="n">
        <v>0</v>
      </c>
      <c r="EN1948" s="48" t="n">
        <v>-0.42</v>
      </c>
      <c r="EO1948" s="48" t="n">
        <v>0.42</v>
      </c>
      <c r="EP1948" s="48" t="n">
        <v>0</v>
      </c>
      <c r="EQ1948" s="48" t="n">
        <v>-0.23</v>
      </c>
      <c r="ER1948" s="48" t="n">
        <v>0.23</v>
      </c>
      <c r="ES1948" s="48" t="n">
        <v>0</v>
      </c>
      <c r="ET1948" s="48" t="n">
        <v>-0.15</v>
      </c>
      <c r="EU1948" s="48" t="n">
        <v>0.15</v>
      </c>
      <c r="EV1948" s="48" t="n">
        <v>0</v>
      </c>
      <c r="EW1948" s="48" t="n">
        <v>-0.07000000000000001</v>
      </c>
      <c r="EX1948" s="48" t="n">
        <v>0.07000000000000001</v>
      </c>
      <c r="EY1948" s="48" t="n">
        <v>0</v>
      </c>
      <c r="EZ1948" s="48" t="n">
        <v>-0.18</v>
      </c>
      <c r="FA1948" s="48" t="n">
        <v>0.18</v>
      </c>
      <c r="FB1948" s="48" t="n">
        <v>0</v>
      </c>
      <c r="FC1948" s="48" t="n">
        <v>-0.57</v>
      </c>
      <c r="FD1948" s="48" t="n">
        <v>0.57</v>
      </c>
      <c r="FE1948" s="48" t="n">
        <v>0</v>
      </c>
      <c r="FF1948" s="48" t="n">
        <v>-0.21</v>
      </c>
      <c r="FG1948" s="48" t="n">
        <v>0.21</v>
      </c>
      <c r="FH1948" s="48" t="n">
        <v>0</v>
      </c>
      <c r="FI1948" s="48" t="n">
        <v>-0.2</v>
      </c>
      <c r="FJ1948" s="48" t="n">
        <v>0.2</v>
      </c>
      <c r="FK1948" s="48" t="n">
        <v>0</v>
      </c>
      <c r="FL1948" s="48" t="n">
        <v>-0.42</v>
      </c>
      <c r="FM1948" s="48" t="n">
        <v>0.42</v>
      </c>
      <c r="FO1948" s="43">
        <f>MIN($A1948,MultLastLag)+1</f>
        <v>7.0</v>
      </c>
    </row>
    <row r="1949">
      <c r="A1949" s="3" t="n">
        <v>7</v>
      </c>
      <c r="B1949" s="48" t="n">
        <v>0.4</v>
      </c>
      <c r="C1949" s="48" t="n">
        <v>0.13</v>
      </c>
      <c r="D1949" s="48" t="n">
        <v>0.67</v>
      </c>
      <c r="E1949" s="48" t="n">
        <v>0.34</v>
      </c>
      <c r="F1949" s="48" t="n">
        <v>0.16</v>
      </c>
      <c r="G1949" s="48" t="n">
        <v>0.52</v>
      </c>
      <c r="H1949" s="48" t="n">
        <v>0.11</v>
      </c>
      <c r="I1949" s="48" t="n">
        <v>0.03999999999999999</v>
      </c>
      <c r="J1949" s="48" t="n">
        <v>0.18</v>
      </c>
      <c r="K1949" s="48" t="n">
        <v>0.44</v>
      </c>
      <c r="L1949" s="48" t="n">
        <v>0.27</v>
      </c>
      <c r="M1949" s="48" t="n">
        <v>0.61</v>
      </c>
      <c r="N1949" s="48" t="n">
        <v>0.74</v>
      </c>
      <c r="O1949" s="48" t="n">
        <v>0.12</v>
      </c>
      <c r="P1949" s="48" t="n">
        <v>1.36</v>
      </c>
      <c r="Q1949" s="48" t="n">
        <v>0.38</v>
      </c>
      <c r="R1949" s="48" t="n">
        <v>0.17</v>
      </c>
      <c r="S1949" s="48" t="n">
        <v>0.59</v>
      </c>
      <c r="T1949" s="48" t="n">
        <v>0.34</v>
      </c>
      <c r="U1949" s="48" t="n">
        <v>0.12</v>
      </c>
      <c r="V1949" s="48" t="n">
        <v>0.5600000000000001</v>
      </c>
      <c r="W1949" s="48" t="n">
        <v>0.71</v>
      </c>
      <c r="X1949" s="48" t="n">
        <v>0.28</v>
      </c>
      <c r="Y1949" s="48" t="n">
        <v>1.14</v>
      </c>
      <c r="Z1949" s="48" t="n">
        <v>0.55</v>
      </c>
      <c r="AA1949" s="48" t="n">
        <v>0.2600000000000001</v>
      </c>
      <c r="AB1949" s="48" t="n">
        <v>0.8400000000000001</v>
      </c>
      <c r="AC1949" s="48" t="n">
        <v>0.31</v>
      </c>
      <c r="AD1949" s="48" t="n">
        <v>0.14</v>
      </c>
      <c r="AE1949" s="48" t="n">
        <v>0.48</v>
      </c>
      <c r="AF1949" s="48" t="n">
        <v>0.11</v>
      </c>
      <c r="AG1949" s="48" t="n">
        <v>0.03999999999999999</v>
      </c>
      <c r="AH1949" s="48" t="n">
        <v>0.18</v>
      </c>
      <c r="AI1949" s="48" t="n">
        <v>0.45</v>
      </c>
      <c r="AJ1949" s="48" t="n">
        <v>0.29</v>
      </c>
      <c r="AK1949" s="48" t="n">
        <v>0.61</v>
      </c>
      <c r="AL1949" s="48" t="n">
        <v>0.67</v>
      </c>
      <c r="AM1949" s="48" t="n">
        <v>-0.06999999999999995</v>
      </c>
      <c r="AN1949" s="48" t="n">
        <v>1.41</v>
      </c>
      <c r="AO1949" s="48" t="n">
        <v>0.36</v>
      </c>
      <c r="AP1949" s="48" t="n">
        <v>0.14</v>
      </c>
      <c r="AQ1949" s="48" t="n">
        <v>0.58</v>
      </c>
      <c r="AR1949" s="48" t="n">
        <v>0.31</v>
      </c>
      <c r="AS1949" s="48" t="n">
        <v>0.1</v>
      </c>
      <c r="AT1949" s="48" t="n">
        <v>0.52</v>
      </c>
      <c r="AU1949" s="48" t="n">
        <v>0.68</v>
      </c>
      <c r="AV1949" s="48" t="n">
        <v>0.2500000000000001</v>
      </c>
      <c r="AW1949" s="48" t="n">
        <v>1.11</v>
      </c>
      <c r="AX1949" s="48" t="n">
        <v>0.39</v>
      </c>
      <c r="AY1949" s="48" t="n">
        <v>0.09000000000000002</v>
      </c>
      <c r="AZ1949" s="48" t="n">
        <v>0.6899999999999999</v>
      </c>
      <c r="BA1949" s="48" t="n">
        <v>0.41</v>
      </c>
      <c r="BB1949" s="48" t="n">
        <v>0.24</v>
      </c>
      <c r="BC1949" s="48" t="n">
        <v>0.58</v>
      </c>
      <c r="BD1949" s="48" t="n">
        <v>0.12</v>
      </c>
      <c r="BE1949" s="48" t="n">
        <v>0.04999999999999999</v>
      </c>
      <c r="BF1949" s="48" t="n">
        <v>0.19</v>
      </c>
      <c r="BG1949" s="48" t="n">
        <v>0.47</v>
      </c>
      <c r="BH1949" s="48" t="n">
        <v>0.29</v>
      </c>
      <c r="BI1949" s="48" t="n">
        <v>0.6499999999999999</v>
      </c>
      <c r="BJ1949" s="48" t="n">
        <v>0.71</v>
      </c>
      <c r="BK1949" s="48" t="n">
        <v>0.09999999999999998</v>
      </c>
      <c r="BL1949" s="48" t="n">
        <v>1.32</v>
      </c>
      <c r="BM1949" s="48" t="n">
        <v>0.35</v>
      </c>
      <c r="BN1949" s="48" t="n">
        <v>0.17</v>
      </c>
      <c r="BO1949" s="48" t="n">
        <v>0.53</v>
      </c>
      <c r="BP1949" s="48" t="n">
        <v>0.37</v>
      </c>
      <c r="BQ1949" s="48" t="n">
        <v>0.17</v>
      </c>
      <c r="BR1949" s="48" t="n">
        <v>0.5700000000000001</v>
      </c>
      <c r="BS1949" s="48" t="n">
        <v>0.68</v>
      </c>
      <c r="BT1949" s="48" t="n">
        <v>0.2600000000000001</v>
      </c>
      <c r="BU1949" s="48" t="n">
        <v>1.1</v>
      </c>
      <c r="BV1949" s="48" t="n">
        <v>0.32</v>
      </c>
      <c r="BW1949" s="48" t="n">
        <v>0.13</v>
      </c>
      <c r="BX1949" s="48" t="n">
        <v>0.51</v>
      </c>
      <c r="BY1949" s="48" t="n">
        <v>0.18</v>
      </c>
      <c r="BZ1949" s="48" t="n">
        <v>0.03999999999999998</v>
      </c>
      <c r="CA1949" s="48" t="n">
        <v>0.32</v>
      </c>
      <c r="CB1949" s="48" t="n">
        <v>0.1</v>
      </c>
      <c r="CC1949" s="48" t="n">
        <v>0.03</v>
      </c>
      <c r="CD1949" s="48" t="n">
        <v>0.17</v>
      </c>
      <c r="CE1949" s="48" t="n">
        <v>0.37</v>
      </c>
      <c r="CF1949" s="48" t="n">
        <v>0.2</v>
      </c>
      <c r="CG1949" s="48" t="n">
        <v>0.54</v>
      </c>
      <c r="CH1949" s="48" t="n">
        <v>0.6899999999999999</v>
      </c>
      <c r="CI1949" s="48" t="n">
        <v>0.06999999999999995</v>
      </c>
      <c r="CJ1949" s="48" t="n">
        <v>1.31</v>
      </c>
      <c r="CK1949" s="48" t="n">
        <v>0.36</v>
      </c>
      <c r="CL1949" s="48" t="n">
        <v>0.15</v>
      </c>
      <c r="CM1949" s="48" t="n">
        <v>0.57</v>
      </c>
      <c r="CN1949" s="48" t="n">
        <v>0.28</v>
      </c>
      <c r="CO1949" s="48" t="n">
        <v>0.08000000000000002</v>
      </c>
      <c r="CP1949" s="48" t="n">
        <v>0.48</v>
      </c>
      <c r="CQ1949" s="48" t="n">
        <v>0.6</v>
      </c>
      <c r="CR1949" s="48" t="n">
        <v>0.19</v>
      </c>
      <c r="CS1949" s="48" t="n">
        <v>1.01</v>
      </c>
      <c r="CT1949" s="48" t="n">
        <v>0.23</v>
      </c>
      <c r="CU1949" s="48" t="n">
        <v>0.05000000000000002</v>
      </c>
      <c r="CV1949" s="48" t="n">
        <v>0.41</v>
      </c>
      <c r="CW1949" s="48" t="n">
        <v>0.5</v>
      </c>
      <c r="CX1949" s="48" t="n">
        <v>0.35</v>
      </c>
      <c r="CY1949" s="48" t="n">
        <v>0.65</v>
      </c>
      <c r="CZ1949" s="48" t="n">
        <v>0.18</v>
      </c>
      <c r="DA1949" s="48" t="n">
        <v>0.09999999999999999</v>
      </c>
      <c r="DB1949" s="48" t="n">
        <v>0.26</v>
      </c>
      <c r="DC1949" s="48" t="n">
        <v>0.43</v>
      </c>
      <c r="DD1949" s="48" t="n">
        <v>0.27</v>
      </c>
      <c r="DE1949" s="48" t="n">
        <v>0.59</v>
      </c>
      <c r="DF1949" s="48" t="n">
        <v>0.96</v>
      </c>
      <c r="DG1949" s="48" t="n">
        <v>0.48</v>
      </c>
      <c r="DH1949" s="48" t="n">
        <v>1.44</v>
      </c>
      <c r="DI1949" s="48" t="n">
        <v>0.54</v>
      </c>
      <c r="DJ1949" s="48" t="n">
        <v>0.3300000000000001</v>
      </c>
      <c r="DK1949" s="48" t="n">
        <v>0.75</v>
      </c>
      <c r="DL1949" s="48" t="n">
        <v>0.51</v>
      </c>
      <c r="DM1949" s="48" t="n">
        <v>0.22</v>
      </c>
      <c r="DN1949" s="48" t="n">
        <v>0.8</v>
      </c>
      <c r="DO1949" s="48" t="n">
        <v>1.12</v>
      </c>
      <c r="DP1949" s="48" t="n">
        <v>0.6600000000000001</v>
      </c>
      <c r="DQ1949" s="48" t="n">
        <v>1.58</v>
      </c>
      <c r="DR1949" s="48" t="n">
        <v>0.266061</v>
      </c>
      <c r="DS1949" s="48" t="n">
        <v>0.07606099999999999</v>
      </c>
      <c r="DT1949" s="48" t="n">
        <v>0.456061</v>
      </c>
      <c r="DU1949" s="48" t="n">
        <v>1.1596396</v>
      </c>
      <c r="DV1949" s="48" t="n">
        <v>1.0196396</v>
      </c>
      <c r="DW1949" s="48" t="n">
        <v>1.2996396</v>
      </c>
      <c r="DX1949" s="48" t="n">
        <v>0</v>
      </c>
      <c r="DY1949" s="48" t="n">
        <v>-0.07000000000000001</v>
      </c>
      <c r="DZ1949" s="48" t="n">
        <v>0.07000000000000001</v>
      </c>
      <c r="EA1949" s="48" t="n">
        <v>1.1024726</v>
      </c>
      <c r="EB1949" s="48" t="n">
        <v>0.9324726</v>
      </c>
      <c r="EC1949" s="48" t="n">
        <v>1.2724726</v>
      </c>
      <c r="ED1949" s="48" t="n">
        <v>0.07257429999999999</v>
      </c>
      <c r="EE1949" s="48" t="n">
        <v>-0.5474257</v>
      </c>
      <c r="EF1949" s="48" t="n">
        <v>0.6925743</v>
      </c>
      <c r="EG1949" s="48" t="n">
        <v>0.08</v>
      </c>
      <c r="EH1949" s="48" t="n">
        <v>-0.13</v>
      </c>
      <c r="EI1949" s="48" t="n">
        <v>0.29</v>
      </c>
      <c r="EJ1949" s="48" t="n">
        <v>0.008514900000000001</v>
      </c>
      <c r="EK1949" s="48" t="n">
        <v>-0.1914851</v>
      </c>
      <c r="EL1949" s="48" t="n">
        <v>0.2085149</v>
      </c>
      <c r="EM1949" s="48" t="n">
        <v>0</v>
      </c>
      <c r="EN1949" s="48" t="n">
        <v>-0.41</v>
      </c>
      <c r="EO1949" s="48" t="n">
        <v>0.41</v>
      </c>
      <c r="EP1949" s="48" t="n">
        <v>0</v>
      </c>
      <c r="EQ1949" s="48" t="n">
        <v>-0.19</v>
      </c>
      <c r="ER1949" s="48" t="n">
        <v>0.19</v>
      </c>
      <c r="ES1949" s="48" t="n">
        <v>0</v>
      </c>
      <c r="ET1949" s="48" t="n">
        <v>-0.14</v>
      </c>
      <c r="EU1949" s="48" t="n">
        <v>0.14</v>
      </c>
      <c r="EV1949" s="48" t="n">
        <v>0</v>
      </c>
      <c r="EW1949" s="48" t="n">
        <v>-0.07000000000000001</v>
      </c>
      <c r="EX1949" s="48" t="n">
        <v>0.07000000000000001</v>
      </c>
      <c r="EY1949" s="48" t="n">
        <v>0</v>
      </c>
      <c r="EZ1949" s="48" t="n">
        <v>-0.17</v>
      </c>
      <c r="FA1949" s="48" t="n">
        <v>0.17</v>
      </c>
      <c r="FB1949" s="48" t="n">
        <v>0</v>
      </c>
      <c r="FC1949" s="48" t="n">
        <v>-0.62</v>
      </c>
      <c r="FD1949" s="48" t="n">
        <v>0.62</v>
      </c>
      <c r="FE1949" s="48" t="n">
        <v>0</v>
      </c>
      <c r="FF1949" s="48" t="n">
        <v>-0.21</v>
      </c>
      <c r="FG1949" s="48" t="n">
        <v>0.21</v>
      </c>
      <c r="FH1949" s="48" t="n">
        <v>0</v>
      </c>
      <c r="FI1949" s="48" t="n">
        <v>-0.2</v>
      </c>
      <c r="FJ1949" s="48" t="n">
        <v>0.2</v>
      </c>
      <c r="FK1949" s="48" t="n">
        <v>0</v>
      </c>
      <c r="FL1949" s="48" t="n">
        <v>-0.41</v>
      </c>
      <c r="FM1949" s="48" t="n">
        <v>0.41</v>
      </c>
      <c r="FO1949" s="43">
        <f>MIN($A1949,MultLastLag)+1</f>
        <v>8.0</v>
      </c>
    </row>
    <row r="1950">
      <c r="A1950" s="3" t="n">
        <v>8</v>
      </c>
      <c r="B1950" s="48" t="n">
        <v>0.33</v>
      </c>
      <c r="C1950" s="48" t="n">
        <v>0.09000000000000002</v>
      </c>
      <c r="D1950" s="48" t="n">
        <v>0.5700000000000001</v>
      </c>
      <c r="E1950" s="48" t="n">
        <v>0.32</v>
      </c>
      <c r="F1950" s="48" t="n">
        <v>0.15</v>
      </c>
      <c r="G1950" s="48" t="n">
        <v>0.49</v>
      </c>
      <c r="H1950" s="48" t="n">
        <v>0.11</v>
      </c>
      <c r="I1950" s="48" t="n">
        <v>0.05</v>
      </c>
      <c r="J1950" s="48" t="n">
        <v>0.17</v>
      </c>
      <c r="K1950" s="48" t="n">
        <v>0.43</v>
      </c>
      <c r="L1950" s="48" t="n">
        <v>0.27</v>
      </c>
      <c r="M1950" s="48" t="n">
        <v>0.59</v>
      </c>
      <c r="N1950" s="48" t="n">
        <v>0.79</v>
      </c>
      <c r="O1950" s="48" t="n">
        <v>0.17</v>
      </c>
      <c r="P1950" s="48" t="n">
        <v>1.41</v>
      </c>
      <c r="Q1950" s="48" t="n">
        <v>0.37</v>
      </c>
      <c r="R1950" s="48" t="n">
        <v>0.14</v>
      </c>
      <c r="S1950" s="48" t="n">
        <v>0.6</v>
      </c>
      <c r="T1950" s="48" t="n">
        <v>0.35</v>
      </c>
      <c r="U1950" s="48" t="n">
        <v>0.12</v>
      </c>
      <c r="V1950" s="48" t="n">
        <v>0.58</v>
      </c>
      <c r="W1950" s="48" t="n">
        <v>0.68</v>
      </c>
      <c r="X1950" s="48" t="n">
        <v>0.24</v>
      </c>
      <c r="Y1950" s="48" t="n">
        <v>1.12</v>
      </c>
      <c r="Z1950" s="48" t="n">
        <v>0.43</v>
      </c>
      <c r="AA1950" s="48" t="n">
        <v>0.18</v>
      </c>
      <c r="AB1950" s="48" t="n">
        <v>0.6799999999999999</v>
      </c>
      <c r="AC1950" s="48" t="n">
        <v>0.29</v>
      </c>
      <c r="AD1950" s="48" t="n">
        <v>0.12</v>
      </c>
      <c r="AE1950" s="48" t="n">
        <v>0.46</v>
      </c>
      <c r="AF1950" s="48" t="n">
        <v>0.11</v>
      </c>
      <c r="AG1950" s="48" t="n">
        <v>0.05</v>
      </c>
      <c r="AH1950" s="48" t="n">
        <v>0.17</v>
      </c>
      <c r="AI1950" s="48" t="n">
        <v>0.45</v>
      </c>
      <c r="AJ1950" s="48" t="n">
        <v>0.3</v>
      </c>
      <c r="AK1950" s="48" t="n">
        <v>0.6</v>
      </c>
      <c r="AL1950" s="48" t="n">
        <v>0.7</v>
      </c>
      <c r="AM1950" s="48" t="n">
        <v>-0.1000000000000001</v>
      </c>
      <c r="AN1950" s="48" t="n">
        <v>1.5</v>
      </c>
      <c r="AO1950" s="48" t="n">
        <v>0.32</v>
      </c>
      <c r="AP1950" s="48" t="n">
        <v>0.08000000000000002</v>
      </c>
      <c r="AQ1950" s="48" t="n">
        <v>0.5600000000000001</v>
      </c>
      <c r="AR1950" s="48" t="n">
        <v>0.33</v>
      </c>
      <c r="AS1950" s="48" t="n">
        <v>0.12</v>
      </c>
      <c r="AT1950" s="48" t="n">
        <v>0.54</v>
      </c>
      <c r="AU1950" s="48" t="n">
        <v>0.62</v>
      </c>
      <c r="AV1950" s="48" t="n">
        <v>0.21</v>
      </c>
      <c r="AW1950" s="48" t="n">
        <v>1.03</v>
      </c>
      <c r="AX1950" s="48" t="n">
        <v>0.34</v>
      </c>
      <c r="AY1950" s="48" t="n">
        <v>0.07000000000000001</v>
      </c>
      <c r="AZ1950" s="48" t="n">
        <v>0.6100000000000001</v>
      </c>
      <c r="BA1950" s="48" t="n">
        <v>0.38</v>
      </c>
      <c r="BB1950" s="48" t="n">
        <v>0.22</v>
      </c>
      <c r="BC1950" s="48" t="n">
        <v>0.54</v>
      </c>
      <c r="BD1950" s="48" t="n">
        <v>0.13</v>
      </c>
      <c r="BE1950" s="48" t="n">
        <v>0.07000000000000001</v>
      </c>
      <c r="BF1950" s="48" t="n">
        <v>0.19</v>
      </c>
      <c r="BG1950" s="48" t="n">
        <v>0.46</v>
      </c>
      <c r="BH1950" s="48" t="n">
        <v>0.29</v>
      </c>
      <c r="BI1950" s="48" t="n">
        <v>0.63</v>
      </c>
      <c r="BJ1950" s="48" t="n">
        <v>0.75</v>
      </c>
      <c r="BK1950" s="48" t="n">
        <v>0.22</v>
      </c>
      <c r="BL1950" s="48" t="n">
        <v>1.28</v>
      </c>
      <c r="BM1950" s="48" t="n">
        <v>0.35</v>
      </c>
      <c r="BN1950" s="48" t="n">
        <v>0.16</v>
      </c>
      <c r="BO1950" s="48" t="n">
        <v>0.54</v>
      </c>
      <c r="BP1950" s="48" t="n">
        <v>0.36</v>
      </c>
      <c r="BQ1950" s="48" t="n">
        <v>0.16</v>
      </c>
      <c r="BR1950" s="48" t="n">
        <v>0.5600000000000001</v>
      </c>
      <c r="BS1950" s="48" t="n">
        <v>0.64</v>
      </c>
      <c r="BT1950" s="48" t="n">
        <v>0.24</v>
      </c>
      <c r="BU1950" s="48" t="n">
        <v>1.04</v>
      </c>
      <c r="BV1950" s="48" t="n">
        <v>0.27</v>
      </c>
      <c r="BW1950" s="48" t="n">
        <v>0.1</v>
      </c>
      <c r="BX1950" s="48" t="n">
        <v>0.4400000000000001</v>
      </c>
      <c r="BY1950" s="48" t="n">
        <v>0.19</v>
      </c>
      <c r="BZ1950" s="48" t="n">
        <v>0.04000000000000001</v>
      </c>
      <c r="CA1950" s="48" t="n">
        <v>0.34</v>
      </c>
      <c r="CB1950" s="48" t="n">
        <v>0.11</v>
      </c>
      <c r="CC1950" s="48" t="n">
        <v>0.05</v>
      </c>
      <c r="CD1950" s="48" t="n">
        <v>0.17</v>
      </c>
      <c r="CE1950" s="48" t="n">
        <v>0.37</v>
      </c>
      <c r="CF1950" s="48" t="n">
        <v>0.22</v>
      </c>
      <c r="CG1950" s="48" t="n">
        <v>0.52</v>
      </c>
      <c r="CH1950" s="48" t="n">
        <v>0.74</v>
      </c>
      <c r="CI1950" s="48" t="n">
        <v>0.1899999999999999</v>
      </c>
      <c r="CJ1950" s="48" t="n">
        <v>1.29</v>
      </c>
      <c r="CK1950" s="48" t="n">
        <v>0.37</v>
      </c>
      <c r="CL1950" s="48" t="n">
        <v>0.13</v>
      </c>
      <c r="CM1950" s="48" t="n">
        <v>0.61</v>
      </c>
      <c r="CN1950" s="48" t="n">
        <v>0.27</v>
      </c>
      <c r="CO1950" s="48" t="n">
        <v>0.07000000000000001</v>
      </c>
      <c r="CP1950" s="48" t="n">
        <v>0.47</v>
      </c>
      <c r="CQ1950" s="48" t="n">
        <v>0.61</v>
      </c>
      <c r="CR1950" s="48" t="n">
        <v>0.2</v>
      </c>
      <c r="CS1950" s="48" t="n">
        <v>1.02</v>
      </c>
      <c r="CT1950" s="48" t="n">
        <v>0.16</v>
      </c>
      <c r="CU1950" s="48" t="n">
        <v>-0.01999999999999999</v>
      </c>
      <c r="CV1950" s="48" t="n">
        <v>0.34</v>
      </c>
      <c r="CW1950" s="48" t="n">
        <v>0.46</v>
      </c>
      <c r="CX1950" s="48" t="n">
        <v>0.3100000000000001</v>
      </c>
      <c r="CY1950" s="48" t="n">
        <v>0.61</v>
      </c>
      <c r="CZ1950" s="48" t="n">
        <v>0.19</v>
      </c>
      <c r="DA1950" s="48" t="n">
        <v>0.13</v>
      </c>
      <c r="DB1950" s="48" t="n">
        <v>0.25</v>
      </c>
      <c r="DC1950" s="48" t="n">
        <v>0.41</v>
      </c>
      <c r="DD1950" s="48" t="n">
        <v>0.25</v>
      </c>
      <c r="DE1950" s="48" t="n">
        <v>0.57</v>
      </c>
      <c r="DF1950" s="48" t="n">
        <v>1.01</v>
      </c>
      <c r="DG1950" s="48" t="n">
        <v>0.49</v>
      </c>
      <c r="DH1950" s="48" t="n">
        <v>1.53</v>
      </c>
      <c r="DI1950" s="48" t="n">
        <v>0.55</v>
      </c>
      <c r="DJ1950" s="48" t="n">
        <v>0.3400000000000001</v>
      </c>
      <c r="DK1950" s="48" t="n">
        <v>0.76</v>
      </c>
      <c r="DL1950" s="48" t="n">
        <v>0.57</v>
      </c>
      <c r="DM1950" s="48" t="n">
        <v>0.2899999999999999</v>
      </c>
      <c r="DN1950" s="48" t="n">
        <v>0.85</v>
      </c>
      <c r="DO1950" s="48" t="n">
        <v>1.13</v>
      </c>
      <c r="DP1950" s="48" t="n">
        <v>0.6699999999999999</v>
      </c>
      <c r="DQ1950" s="48" t="n">
        <v>1.59</v>
      </c>
      <c r="DR1950" s="48" t="n">
        <v>0.241085</v>
      </c>
      <c r="DS1950" s="48" t="n">
        <v>0.07108499999999998</v>
      </c>
      <c r="DT1950" s="48" t="n">
        <v>0.411085</v>
      </c>
      <c r="DU1950" s="48" t="n">
        <v>1.0461069</v>
      </c>
      <c r="DV1950" s="48" t="n">
        <v>0.8961069</v>
      </c>
      <c r="DW1950" s="48" t="n">
        <v>1.1961069</v>
      </c>
      <c r="DX1950" s="48" t="n">
        <v>0</v>
      </c>
      <c r="DY1950" s="48" t="n">
        <v>-0.06</v>
      </c>
      <c r="DZ1950" s="48" t="n">
        <v>0.06</v>
      </c>
      <c r="EA1950" s="48" t="n">
        <v>1.096875</v>
      </c>
      <c r="EB1950" s="48" t="n">
        <v>0.946875</v>
      </c>
      <c r="EC1950" s="48" t="n">
        <v>1.246875</v>
      </c>
      <c r="ED1950" s="48" t="n">
        <v>-0.006383</v>
      </c>
      <c r="EE1950" s="48" t="n">
        <v>-0.5563830000000001</v>
      </c>
      <c r="EF1950" s="48" t="n">
        <v>0.543617</v>
      </c>
      <c r="EG1950" s="48" t="n">
        <v>0.01</v>
      </c>
      <c r="EH1950" s="48" t="n">
        <v>-0.23</v>
      </c>
      <c r="EI1950" s="48" t="n">
        <v>0.25</v>
      </c>
      <c r="EJ1950" s="48" t="n">
        <v>0.0004586</v>
      </c>
      <c r="EK1950" s="48" t="n">
        <v>-0.1995414</v>
      </c>
      <c r="EL1950" s="48" t="n">
        <v>0.2004586</v>
      </c>
      <c r="EM1950" s="48" t="n">
        <v>0</v>
      </c>
      <c r="EN1950" s="48" t="n">
        <v>-0.41</v>
      </c>
      <c r="EO1950" s="48" t="n">
        <v>0.41</v>
      </c>
      <c r="EP1950" s="48" t="n">
        <v>0</v>
      </c>
      <c r="EQ1950" s="48" t="n">
        <v>-0.17</v>
      </c>
      <c r="ER1950" s="48" t="n">
        <v>0.17</v>
      </c>
      <c r="ES1950" s="48" t="n">
        <v>0</v>
      </c>
      <c r="ET1950" s="48" t="n">
        <v>-0.15</v>
      </c>
      <c r="EU1950" s="48" t="n">
        <v>0.15</v>
      </c>
      <c r="EV1950" s="48" t="n">
        <v>0</v>
      </c>
      <c r="EW1950" s="48" t="n">
        <v>-0.06</v>
      </c>
      <c r="EX1950" s="48" t="n">
        <v>0.06</v>
      </c>
      <c r="EY1950" s="48" t="n">
        <v>0</v>
      </c>
      <c r="EZ1950" s="48" t="n">
        <v>-0.15</v>
      </c>
      <c r="FA1950" s="48" t="n">
        <v>0.15</v>
      </c>
      <c r="FB1950" s="48" t="n">
        <v>0</v>
      </c>
      <c r="FC1950" s="48" t="n">
        <v>-0.55</v>
      </c>
      <c r="FD1950" s="48" t="n">
        <v>0.55</v>
      </c>
      <c r="FE1950" s="48" t="n">
        <v>0</v>
      </c>
      <c r="FF1950" s="48" t="n">
        <v>-0.24</v>
      </c>
      <c r="FG1950" s="48" t="n">
        <v>0.24</v>
      </c>
      <c r="FH1950" s="48" t="n">
        <v>0</v>
      </c>
      <c r="FI1950" s="48" t="n">
        <v>-0.2</v>
      </c>
      <c r="FJ1950" s="48" t="n">
        <v>0.2</v>
      </c>
      <c r="FK1950" s="48" t="n">
        <v>0</v>
      </c>
      <c r="FL1950" s="48" t="n">
        <v>-0.41</v>
      </c>
      <c r="FM1950" s="48" t="n">
        <v>0.41</v>
      </c>
      <c r="FO1950" s="43">
        <f>MIN($A1950,MultLastLag)+1</f>
        <v>9.0</v>
      </c>
    </row>
    <row r="1951">
      <c r="A1951" s="3" t="n">
        <v>9</v>
      </c>
      <c r="B1951" s="48" t="n">
        <v>0.26</v>
      </c>
      <c r="C1951" s="48" t="n">
        <v>0.04000000000000001</v>
      </c>
      <c r="D1951" s="48" t="n">
        <v>0.48</v>
      </c>
      <c r="E1951" s="48" t="n">
        <v>0.31</v>
      </c>
      <c r="F1951" s="48" t="n">
        <v>0.13</v>
      </c>
      <c r="G1951" s="48" t="n">
        <v>0.49</v>
      </c>
      <c r="H1951" s="48" t="n">
        <v>0.13</v>
      </c>
      <c r="I1951" s="48" t="n">
        <v>0.06</v>
      </c>
      <c r="J1951" s="48" t="n">
        <v>0.2</v>
      </c>
      <c r="K1951" s="48" t="n">
        <v>0.42</v>
      </c>
      <c r="L1951" s="48" t="n">
        <v>0.26</v>
      </c>
      <c r="M1951" s="48" t="n">
        <v>0.58</v>
      </c>
      <c r="N1951" s="48" t="n">
        <v>0.86</v>
      </c>
      <c r="O1951" s="48" t="n">
        <v>0.23</v>
      </c>
      <c r="P1951" s="48" t="n">
        <v>1.49</v>
      </c>
      <c r="Q1951" s="48" t="n">
        <v>0.37</v>
      </c>
      <c r="R1951" s="48" t="n">
        <v>0.13</v>
      </c>
      <c r="S1951" s="48" t="n">
        <v>0.61</v>
      </c>
      <c r="T1951" s="48" t="n">
        <v>0.33</v>
      </c>
      <c r="U1951" s="48" t="n">
        <v>0.1</v>
      </c>
      <c r="V1951" s="48" t="n">
        <v>0.5600000000000001</v>
      </c>
      <c r="W1951" s="48" t="n">
        <v>0.65</v>
      </c>
      <c r="X1951" s="48" t="n">
        <v>0.2</v>
      </c>
      <c r="Y1951" s="48" t="n">
        <v>1.1</v>
      </c>
      <c r="Z1951" s="48" t="n">
        <v>0.34</v>
      </c>
      <c r="AA1951" s="48" t="n">
        <v>0.09000000000000002</v>
      </c>
      <c r="AB1951" s="48" t="n">
        <v>0.5900000000000001</v>
      </c>
      <c r="AC1951" s="48" t="n">
        <v>0.31</v>
      </c>
      <c r="AD1951" s="48" t="n">
        <v>0.14</v>
      </c>
      <c r="AE1951" s="48" t="n">
        <v>0.48</v>
      </c>
      <c r="AF1951" s="48" t="n">
        <v>0.12</v>
      </c>
      <c r="AG1951" s="48" t="n">
        <v>0.06</v>
      </c>
      <c r="AH1951" s="48" t="n">
        <v>0.18</v>
      </c>
      <c r="AI1951" s="48" t="n">
        <v>0.43</v>
      </c>
      <c r="AJ1951" s="48" t="n">
        <v>0.27</v>
      </c>
      <c r="AK1951" s="48" t="n">
        <v>0.59</v>
      </c>
      <c r="AL1951" s="48" t="n">
        <v>0.73</v>
      </c>
      <c r="AM1951" s="48" t="n">
        <v>-0.14</v>
      </c>
      <c r="AN1951" s="48" t="n">
        <v>1.6</v>
      </c>
      <c r="AO1951" s="48" t="n">
        <v>0.34</v>
      </c>
      <c r="AP1951" s="48" t="n">
        <v>0.09000000000000002</v>
      </c>
      <c r="AQ1951" s="48" t="n">
        <v>0.5900000000000001</v>
      </c>
      <c r="AR1951" s="48" t="n">
        <v>0.29</v>
      </c>
      <c r="AS1951" s="48" t="n">
        <v>0.08999999999999997</v>
      </c>
      <c r="AT1951" s="48" t="n">
        <v>0.49</v>
      </c>
      <c r="AU1951" s="48" t="n">
        <v>0.5600000000000001</v>
      </c>
      <c r="AV1951" s="48" t="n">
        <v>0.1400000000000001</v>
      </c>
      <c r="AW1951" s="48" t="n">
        <v>0.98</v>
      </c>
      <c r="AX1951" s="48" t="n">
        <v>0.3</v>
      </c>
      <c r="AY1951" s="48" t="n">
        <v>0.06</v>
      </c>
      <c r="AZ1951" s="48" t="n">
        <v>0.54</v>
      </c>
      <c r="BA1951" s="48" t="n">
        <v>0.32</v>
      </c>
      <c r="BB1951" s="48" t="n">
        <v>0.13</v>
      </c>
      <c r="BC1951" s="48" t="n">
        <v>0.51</v>
      </c>
      <c r="BD1951" s="48" t="n">
        <v>0.14</v>
      </c>
      <c r="BE1951" s="48" t="n">
        <v>0.06000000000000001</v>
      </c>
      <c r="BF1951" s="48" t="n">
        <v>0.22</v>
      </c>
      <c r="BG1951" s="48" t="n">
        <v>0.46</v>
      </c>
      <c r="BH1951" s="48" t="n">
        <v>0.29</v>
      </c>
      <c r="BI1951" s="48" t="n">
        <v>0.63</v>
      </c>
      <c r="BJ1951" s="48" t="n">
        <v>0.82</v>
      </c>
      <c r="BK1951" s="48" t="n">
        <v>0.39</v>
      </c>
      <c r="BL1951" s="48" t="n">
        <v>1.25</v>
      </c>
      <c r="BM1951" s="48" t="n">
        <v>0.34</v>
      </c>
      <c r="BN1951" s="48" t="n">
        <v>0.18</v>
      </c>
      <c r="BO1951" s="48" t="n">
        <v>0.5</v>
      </c>
      <c r="BP1951" s="48" t="n">
        <v>0.31</v>
      </c>
      <c r="BQ1951" s="48" t="n">
        <v>0.09</v>
      </c>
      <c r="BR1951" s="48" t="n">
        <v>0.53</v>
      </c>
      <c r="BS1951" s="48" t="n">
        <v>0.63</v>
      </c>
      <c r="BT1951" s="48" t="n">
        <v>0.2</v>
      </c>
      <c r="BU1951" s="48" t="n">
        <v>1.06</v>
      </c>
      <c r="BV1951" s="48" t="n">
        <v>0.22</v>
      </c>
      <c r="BW1951" s="48" t="n">
        <v>0.07000000000000001</v>
      </c>
      <c r="BX1951" s="48" t="n">
        <v>0.37</v>
      </c>
      <c r="BY1951" s="48" t="n">
        <v>0.18</v>
      </c>
      <c r="BZ1951" s="48" t="n">
        <v>0.03</v>
      </c>
      <c r="CA1951" s="48" t="n">
        <v>0.33</v>
      </c>
      <c r="CB1951" s="48" t="n">
        <v>0.12</v>
      </c>
      <c r="CC1951" s="48" t="n">
        <v>0.06</v>
      </c>
      <c r="CD1951" s="48" t="n">
        <v>0.18</v>
      </c>
      <c r="CE1951" s="48" t="n">
        <v>0.34</v>
      </c>
      <c r="CF1951" s="48" t="n">
        <v>0.2</v>
      </c>
      <c r="CG1951" s="48" t="n">
        <v>0.48</v>
      </c>
      <c r="CH1951" s="48" t="n">
        <v>0.88</v>
      </c>
      <c r="CI1951" s="48" t="n">
        <v>0.29</v>
      </c>
      <c r="CJ1951" s="48" t="n">
        <v>1.47</v>
      </c>
      <c r="CK1951" s="48" t="n">
        <v>0.36</v>
      </c>
      <c r="CL1951" s="48" t="n">
        <v>0.13</v>
      </c>
      <c r="CM1951" s="48" t="n">
        <v>0.59</v>
      </c>
      <c r="CN1951" s="48" t="n">
        <v>0.28</v>
      </c>
      <c r="CO1951" s="48" t="n">
        <v>0.08000000000000002</v>
      </c>
      <c r="CP1951" s="48" t="n">
        <v>0.48</v>
      </c>
      <c r="CQ1951" s="48" t="n">
        <v>0.62</v>
      </c>
      <c r="CR1951" s="48" t="n">
        <v>0.2</v>
      </c>
      <c r="CS1951" s="48" t="n">
        <v>1.04</v>
      </c>
      <c r="CT1951" s="48" t="n">
        <v>0.11</v>
      </c>
      <c r="CU1951" s="48" t="n">
        <v>-0.06999999999999999</v>
      </c>
      <c r="CV1951" s="48" t="n">
        <v>0.29</v>
      </c>
      <c r="CW1951" s="48" t="n">
        <v>0.41</v>
      </c>
      <c r="CX1951" s="48" t="n">
        <v>0.26</v>
      </c>
      <c r="CY1951" s="48" t="n">
        <v>0.5599999999999999</v>
      </c>
      <c r="CZ1951" s="48" t="n">
        <v>0.2</v>
      </c>
      <c r="DA1951" s="48" t="n">
        <v>0.14</v>
      </c>
      <c r="DB1951" s="48" t="n">
        <v>0.26</v>
      </c>
      <c r="DC1951" s="48" t="n">
        <v>0.4</v>
      </c>
      <c r="DD1951" s="48" t="n">
        <v>0.24</v>
      </c>
      <c r="DE1951" s="48" t="n">
        <v>0.5600000000000001</v>
      </c>
      <c r="DF1951" s="48" t="n">
        <v>1.03</v>
      </c>
      <c r="DG1951" s="48" t="n">
        <v>0.5800000000000001</v>
      </c>
      <c r="DH1951" s="48" t="n">
        <v>1.48</v>
      </c>
      <c r="DI1951" s="48" t="n">
        <v>0.55</v>
      </c>
      <c r="DJ1951" s="48" t="n">
        <v>0.3</v>
      </c>
      <c r="DK1951" s="48" t="n">
        <v>0.8</v>
      </c>
      <c r="DL1951" s="48" t="n">
        <v>0.57</v>
      </c>
      <c r="DM1951" s="48" t="n">
        <v>0.2999999999999999</v>
      </c>
      <c r="DN1951" s="48" t="n">
        <v>0.84</v>
      </c>
      <c r="DO1951" s="48" t="n">
        <v>1.1</v>
      </c>
      <c r="DP1951" s="48" t="n">
        <v>0.6000000000000001</v>
      </c>
      <c r="DQ1951" s="48" t="n">
        <v>1.6</v>
      </c>
      <c r="DR1951" s="48" t="n">
        <v>0.1587554</v>
      </c>
      <c r="DS1951" s="48" t="n">
        <v>0.008755399999999997</v>
      </c>
      <c r="DT1951" s="48" t="n">
        <v>0.3087554</v>
      </c>
      <c r="DU1951" s="48" t="n">
        <v>0.928884</v>
      </c>
      <c r="DV1951" s="48" t="n">
        <v>0.778884</v>
      </c>
      <c r="DW1951" s="48" t="n">
        <v>1.078884</v>
      </c>
      <c r="DX1951" s="48" t="n">
        <v>0</v>
      </c>
      <c r="DY1951" s="48" t="n">
        <v>-0.06</v>
      </c>
      <c r="DZ1951" s="48" t="n">
        <v>0.06</v>
      </c>
      <c r="EA1951" s="48" t="n">
        <v>1.0939188</v>
      </c>
      <c r="EB1951" s="48" t="n">
        <v>0.9539188</v>
      </c>
      <c r="EC1951" s="48" t="n">
        <v>1.2339188</v>
      </c>
      <c r="ED1951" s="48" t="n">
        <v>0.064496</v>
      </c>
      <c r="EE1951" s="48" t="n">
        <v>-0.525504</v>
      </c>
      <c r="EF1951" s="48" t="n">
        <v>0.654496</v>
      </c>
      <c r="EG1951" s="48" t="n">
        <v>0.07000000000000001</v>
      </c>
      <c r="EH1951" s="48" t="n">
        <v>-0.16</v>
      </c>
      <c r="EI1951" s="48" t="n">
        <v>0.3</v>
      </c>
      <c r="EJ1951" s="48" t="n">
        <v>-0.0085436</v>
      </c>
      <c r="EK1951" s="48" t="n">
        <v>-0.2085436</v>
      </c>
      <c r="EL1951" s="48" t="n">
        <v>0.1914564</v>
      </c>
      <c r="EM1951" s="48" t="n">
        <v>0</v>
      </c>
      <c r="EN1951" s="48" t="n">
        <v>-0.42</v>
      </c>
      <c r="EO1951" s="48" t="n">
        <v>0.42</v>
      </c>
      <c r="EP1951" s="48" t="n">
        <v>0</v>
      </c>
      <c r="EQ1951" s="48" t="n">
        <v>-0.15</v>
      </c>
      <c r="ER1951" s="48" t="n">
        <v>0.15</v>
      </c>
      <c r="ES1951" s="48" t="n">
        <v>0</v>
      </c>
      <c r="ET1951" s="48" t="n">
        <v>-0.15</v>
      </c>
      <c r="EU1951" s="48" t="n">
        <v>0.15</v>
      </c>
      <c r="EV1951" s="48" t="n">
        <v>0</v>
      </c>
      <c r="EW1951" s="48" t="n">
        <v>-0.06</v>
      </c>
      <c r="EX1951" s="48" t="n">
        <v>0.06</v>
      </c>
      <c r="EY1951" s="48" t="n">
        <v>0</v>
      </c>
      <c r="EZ1951" s="48" t="n">
        <v>-0.14</v>
      </c>
      <c r="FA1951" s="48" t="n">
        <v>0.14</v>
      </c>
      <c r="FB1951" s="48" t="n">
        <v>0</v>
      </c>
      <c r="FC1951" s="48" t="n">
        <v>-0.59</v>
      </c>
      <c r="FD1951" s="48" t="n">
        <v>0.59</v>
      </c>
      <c r="FE1951" s="48" t="n">
        <v>0</v>
      </c>
      <c r="FF1951" s="48" t="n">
        <v>-0.23</v>
      </c>
      <c r="FG1951" s="48" t="n">
        <v>0.23</v>
      </c>
      <c r="FH1951" s="48" t="n">
        <v>0</v>
      </c>
      <c r="FI1951" s="48" t="n">
        <v>-0.2</v>
      </c>
      <c r="FJ1951" s="48" t="n">
        <v>0.2</v>
      </c>
      <c r="FK1951" s="48" t="n">
        <v>0</v>
      </c>
      <c r="FL1951" s="48" t="n">
        <v>-0.42</v>
      </c>
      <c r="FM1951" s="48" t="n">
        <v>0.42</v>
      </c>
      <c r="FO1951" s="43">
        <f>MIN($A1951,MultLastLag)+1</f>
        <v>10.0</v>
      </c>
    </row>
    <row r="1952">
      <c r="A1952" s="3" t="n">
        <v>10</v>
      </c>
      <c r="B1952" s="48" t="n">
        <v>0.24</v>
      </c>
      <c r="C1952" s="48" t="n">
        <v>0.01999999999999999</v>
      </c>
      <c r="D1952" s="48" t="n">
        <v>0.46</v>
      </c>
      <c r="E1952" s="48" t="n">
        <v>0.28</v>
      </c>
      <c r="F1952" s="48" t="n">
        <v>0.1</v>
      </c>
      <c r="G1952" s="48" t="n">
        <v>0.46</v>
      </c>
      <c r="H1952" s="48" t="n">
        <v>0.13</v>
      </c>
      <c r="I1952" s="48" t="n">
        <v>0.06</v>
      </c>
      <c r="J1952" s="48" t="n">
        <v>0.2</v>
      </c>
      <c r="K1952" s="48" t="n">
        <v>0.41</v>
      </c>
      <c r="L1952" s="48" t="n">
        <v>0.24</v>
      </c>
      <c r="M1952" s="48" t="n">
        <v>0.58</v>
      </c>
      <c r="N1952" s="48" t="n">
        <v>0.89</v>
      </c>
      <c r="O1952" s="48" t="n">
        <v>0.3</v>
      </c>
      <c r="P1952" s="48" t="n">
        <v>1.48</v>
      </c>
      <c r="Q1952" s="48" t="n">
        <v>0.36</v>
      </c>
      <c r="R1952" s="48" t="n">
        <v>0.13</v>
      </c>
      <c r="S1952" s="48" t="n">
        <v>0.59</v>
      </c>
      <c r="T1952" s="48" t="n">
        <v>0.31</v>
      </c>
      <c r="U1952" s="48" t="n">
        <v>0.07999999999999999</v>
      </c>
      <c r="V1952" s="48" t="n">
        <v>0.54</v>
      </c>
      <c r="W1952" s="48" t="n">
        <v>0.66</v>
      </c>
      <c r="X1952" s="48" t="n">
        <v>0.1900000000000001</v>
      </c>
      <c r="Y1952" s="48" t="n">
        <v>1.13</v>
      </c>
      <c r="Z1952" s="48" t="n">
        <v>0.36</v>
      </c>
      <c r="AA1952" s="48" t="n">
        <v>0.11</v>
      </c>
      <c r="AB1952" s="48" t="n">
        <v>0.61</v>
      </c>
      <c r="AC1952" s="48" t="n">
        <v>0.3</v>
      </c>
      <c r="AD1952" s="48" t="n">
        <v>0.11</v>
      </c>
      <c r="AE1952" s="48" t="n">
        <v>0.49</v>
      </c>
      <c r="AF1952" s="48" t="n">
        <v>0.11</v>
      </c>
      <c r="AG1952" s="48" t="n">
        <v>0.05</v>
      </c>
      <c r="AH1952" s="48" t="n">
        <v>0.17</v>
      </c>
      <c r="AI1952" s="48" t="n">
        <v>0.44</v>
      </c>
      <c r="AJ1952" s="48" t="n">
        <v>0.27</v>
      </c>
      <c r="AK1952" s="48" t="n">
        <v>0.61</v>
      </c>
      <c r="AL1952" s="48" t="n">
        <v>0.71</v>
      </c>
      <c r="AM1952" s="48" t="n">
        <v>-0.02000000000000002</v>
      </c>
      <c r="AN1952" s="48" t="n">
        <v>1.44</v>
      </c>
      <c r="AO1952" s="48" t="n">
        <v>0.35</v>
      </c>
      <c r="AP1952" s="48" t="n">
        <v>0.11</v>
      </c>
      <c r="AQ1952" s="48" t="n">
        <v>0.59</v>
      </c>
      <c r="AR1952" s="48" t="n">
        <v>0.27</v>
      </c>
      <c r="AS1952" s="48" t="n">
        <v>0.07000000000000001</v>
      </c>
      <c r="AT1952" s="48" t="n">
        <v>0.47</v>
      </c>
      <c r="AU1952" s="48" t="n">
        <v>0.64</v>
      </c>
      <c r="AV1952" s="48" t="n">
        <v>0.17</v>
      </c>
      <c r="AW1952" s="48" t="n">
        <v>1.11</v>
      </c>
      <c r="AX1952" s="48" t="n">
        <v>0.3</v>
      </c>
      <c r="AY1952" s="48" t="n">
        <v>0.07999999999999999</v>
      </c>
      <c r="AZ1952" s="48" t="n">
        <v>0.52</v>
      </c>
      <c r="BA1952" s="48" t="n">
        <v>0.28</v>
      </c>
      <c r="BB1952" s="48" t="n">
        <v>0.09000000000000002</v>
      </c>
      <c r="BC1952" s="48" t="n">
        <v>0.47</v>
      </c>
      <c r="BD1952" s="48" t="n">
        <v>0.15</v>
      </c>
      <c r="BE1952" s="48" t="n">
        <v>0.06999999999999999</v>
      </c>
      <c r="BF1952" s="48" t="n">
        <v>0.23</v>
      </c>
      <c r="BG1952" s="48" t="n">
        <v>0.44</v>
      </c>
      <c r="BH1952" s="48" t="n">
        <v>0.26</v>
      </c>
      <c r="BI1952" s="48" t="n">
        <v>0.62</v>
      </c>
      <c r="BJ1952" s="48" t="n">
        <v>0.9</v>
      </c>
      <c r="BK1952" s="48" t="n">
        <v>0.44</v>
      </c>
      <c r="BL1952" s="48" t="n">
        <v>1.36</v>
      </c>
      <c r="BM1952" s="48" t="n">
        <v>0.34</v>
      </c>
      <c r="BN1952" s="48" t="n">
        <v>0.18</v>
      </c>
      <c r="BO1952" s="48" t="n">
        <v>0.5</v>
      </c>
      <c r="BP1952" s="48" t="n">
        <v>0.29</v>
      </c>
      <c r="BQ1952" s="48" t="n">
        <v>0.05999999999999997</v>
      </c>
      <c r="BR1952" s="48" t="n">
        <v>0.52</v>
      </c>
      <c r="BS1952" s="48" t="n">
        <v>0.61</v>
      </c>
      <c r="BT1952" s="48" t="n">
        <v>0.22</v>
      </c>
      <c r="BU1952" s="48" t="n">
        <v>1</v>
      </c>
      <c r="BV1952" s="48" t="n">
        <v>0.18</v>
      </c>
      <c r="BW1952" s="48" t="n">
        <v>0.03999999999999998</v>
      </c>
      <c r="BX1952" s="48" t="n">
        <v>0.32</v>
      </c>
      <c r="BY1952" s="48" t="n">
        <v>0.17</v>
      </c>
      <c r="BZ1952" s="48" t="n">
        <v>0.02000000000000002</v>
      </c>
      <c r="CA1952" s="48" t="n">
        <v>0.32</v>
      </c>
      <c r="CB1952" s="48" t="n">
        <v>0.14</v>
      </c>
      <c r="CC1952" s="48" t="n">
        <v>0.07000000000000001</v>
      </c>
      <c r="CD1952" s="48" t="n">
        <v>0.21</v>
      </c>
      <c r="CE1952" s="48" t="n">
        <v>0.34</v>
      </c>
      <c r="CF1952" s="48" t="n">
        <v>0.2</v>
      </c>
      <c r="CG1952" s="48" t="n">
        <v>0.48</v>
      </c>
      <c r="CH1952" s="48" t="n">
        <v>0.95</v>
      </c>
      <c r="CI1952" s="48" t="n">
        <v>0.3099999999999999</v>
      </c>
      <c r="CJ1952" s="48" t="n">
        <v>1.59</v>
      </c>
      <c r="CK1952" s="48" t="n">
        <v>0.3</v>
      </c>
      <c r="CL1952" s="48" t="n">
        <v>0.09</v>
      </c>
      <c r="CM1952" s="48" t="n">
        <v>0.51</v>
      </c>
      <c r="CN1952" s="48" t="n">
        <v>0.24</v>
      </c>
      <c r="CO1952" s="48" t="n">
        <v>0.03999999999999998</v>
      </c>
      <c r="CP1952" s="48" t="n">
        <v>0.44</v>
      </c>
      <c r="CQ1952" s="48" t="n">
        <v>0.48</v>
      </c>
      <c r="CR1952" s="48" t="n">
        <v>0.02999999999999997</v>
      </c>
      <c r="CS1952" s="48" t="n">
        <v>0.9299999999999999</v>
      </c>
      <c r="CT1952" s="48" t="n">
        <v>0.09</v>
      </c>
      <c r="CU1952" s="48" t="n">
        <v>-0.08000000000000002</v>
      </c>
      <c r="CV1952" s="48" t="n">
        <v>0.26</v>
      </c>
      <c r="CW1952" s="48" t="n">
        <v>0.39</v>
      </c>
      <c r="CX1952" s="48" t="n">
        <v>0.24</v>
      </c>
      <c r="CY1952" s="48" t="n">
        <v>0.54</v>
      </c>
      <c r="CZ1952" s="48" t="n">
        <v>0.21</v>
      </c>
      <c r="DA1952" s="48" t="n">
        <v>0.14</v>
      </c>
      <c r="DB1952" s="48" t="n">
        <v>0.28</v>
      </c>
      <c r="DC1952" s="48" t="n">
        <v>0.38</v>
      </c>
      <c r="DD1952" s="48" t="n">
        <v>0.22</v>
      </c>
      <c r="DE1952" s="48" t="n">
        <v>0.54</v>
      </c>
      <c r="DF1952" s="48" t="n">
        <v>1.07</v>
      </c>
      <c r="DG1952" s="48" t="n">
        <v>0.5900000000000001</v>
      </c>
      <c r="DH1952" s="48" t="n">
        <v>1.55</v>
      </c>
      <c r="DI1952" s="48" t="n">
        <v>0.53</v>
      </c>
      <c r="DJ1952" s="48" t="n">
        <v>0.29</v>
      </c>
      <c r="DK1952" s="48" t="n">
        <v>0.77</v>
      </c>
      <c r="DL1952" s="48" t="n">
        <v>0.58</v>
      </c>
      <c r="DM1952" s="48" t="n">
        <v>0.3099999999999999</v>
      </c>
      <c r="DN1952" s="48" t="n">
        <v>0.85</v>
      </c>
      <c r="DO1952" s="48" t="n">
        <v>1.1</v>
      </c>
      <c r="DP1952" s="48" t="n">
        <v>0.5900000000000001</v>
      </c>
      <c r="DQ1952" s="48" t="n">
        <v>1.61</v>
      </c>
      <c r="DR1952" s="48" t="n">
        <v>0.09352340000000001</v>
      </c>
      <c r="DS1952" s="48" t="n">
        <v>-0.04647660000000001</v>
      </c>
      <c r="DT1952" s="48" t="n">
        <v>0.2335234</v>
      </c>
      <c r="DU1952" s="48" t="n">
        <v>0.7816496000000001</v>
      </c>
      <c r="DV1952" s="48" t="n">
        <v>0.6316496</v>
      </c>
      <c r="DW1952" s="48" t="n">
        <v>0.9316496000000001</v>
      </c>
      <c r="DX1952" s="48" t="n">
        <v>0</v>
      </c>
      <c r="DY1952" s="48" t="n">
        <v>-0.07000000000000001</v>
      </c>
      <c r="DZ1952" s="48" t="n">
        <v>0.07000000000000001</v>
      </c>
      <c r="EA1952" s="48" t="n">
        <v>1.0836033</v>
      </c>
      <c r="EB1952" s="48" t="n">
        <v>0.9436033</v>
      </c>
      <c r="EC1952" s="48" t="n">
        <v>1.2236033</v>
      </c>
      <c r="ED1952" s="48" t="n">
        <v>0.07804220000000001</v>
      </c>
      <c r="EE1952" s="48" t="n">
        <v>-0.5619578000000001</v>
      </c>
      <c r="EF1952" s="48" t="n">
        <v>0.7180422</v>
      </c>
      <c r="EG1952" s="48" t="n">
        <v>0.09</v>
      </c>
      <c r="EH1952" s="48" t="n">
        <v>-0.12</v>
      </c>
      <c r="EI1952" s="48" t="n">
        <v>0.3</v>
      </c>
      <c r="EJ1952" s="48" t="n">
        <v>-0.0396734</v>
      </c>
      <c r="EK1952" s="48" t="n">
        <v>-0.2396734</v>
      </c>
      <c r="EL1952" s="48" t="n">
        <v>0.1603266</v>
      </c>
      <c r="EM1952" s="48" t="n">
        <v>0</v>
      </c>
      <c r="EN1952" s="48" t="n">
        <v>-0.45</v>
      </c>
      <c r="EO1952" s="48" t="n">
        <v>0.45</v>
      </c>
      <c r="EP1952" s="48" t="n">
        <v>0</v>
      </c>
      <c r="EQ1952" s="48" t="n">
        <v>-0.14</v>
      </c>
      <c r="ER1952" s="48" t="n">
        <v>0.14</v>
      </c>
      <c r="ES1952" s="48" t="n">
        <v>0</v>
      </c>
      <c r="ET1952" s="48" t="n">
        <v>-0.15</v>
      </c>
      <c r="EU1952" s="48" t="n">
        <v>0.15</v>
      </c>
      <c r="EV1952" s="48" t="n">
        <v>0</v>
      </c>
      <c r="EW1952" s="48" t="n">
        <v>-0.07000000000000001</v>
      </c>
      <c r="EX1952" s="48" t="n">
        <v>0.07000000000000001</v>
      </c>
      <c r="EY1952" s="48" t="n">
        <v>0</v>
      </c>
      <c r="EZ1952" s="48" t="n">
        <v>-0.14</v>
      </c>
      <c r="FA1952" s="48" t="n">
        <v>0.14</v>
      </c>
      <c r="FB1952" s="48" t="n">
        <v>0</v>
      </c>
      <c r="FC1952" s="48" t="n">
        <v>-0.64</v>
      </c>
      <c r="FD1952" s="48" t="n">
        <v>0.64</v>
      </c>
      <c r="FE1952" s="48" t="n">
        <v>0</v>
      </c>
      <c r="FF1952" s="48" t="n">
        <v>-0.21</v>
      </c>
      <c r="FG1952" s="48" t="n">
        <v>0.21</v>
      </c>
      <c r="FH1952" s="48" t="n">
        <v>0</v>
      </c>
      <c r="FI1952" s="48" t="n">
        <v>-0.2</v>
      </c>
      <c r="FJ1952" s="48" t="n">
        <v>0.2</v>
      </c>
      <c r="FK1952" s="48" t="n">
        <v>0</v>
      </c>
      <c r="FL1952" s="48" t="n">
        <v>-0.45</v>
      </c>
      <c r="FM1952" s="48" t="n">
        <v>0.45</v>
      </c>
      <c r="FO1952" s="43">
        <f>MIN($A1952,MultLastLag)+1</f>
        <v>11.0</v>
      </c>
    </row>
    <row r="1953">
      <c r="A1953" s="3" t="n">
        <v>11</v>
      </c>
      <c r="B1953" s="48" t="n">
        <v>0.24</v>
      </c>
      <c r="C1953" s="48" t="n">
        <v>0.03</v>
      </c>
      <c r="D1953" s="48" t="n">
        <v>0.45</v>
      </c>
      <c r="E1953" s="48" t="n">
        <v>0.26</v>
      </c>
      <c r="F1953" s="48" t="n">
        <v>0.08000000000000002</v>
      </c>
      <c r="G1953" s="48" t="n">
        <v>0.44</v>
      </c>
      <c r="H1953" s="48" t="n">
        <v>0.13</v>
      </c>
      <c r="I1953" s="48" t="n">
        <v>0.06</v>
      </c>
      <c r="J1953" s="48" t="n">
        <v>0.2</v>
      </c>
      <c r="K1953" s="48" t="n">
        <v>0.39</v>
      </c>
      <c r="L1953" s="48" t="n">
        <v>0.23</v>
      </c>
      <c r="M1953" s="48" t="n">
        <v>0.55</v>
      </c>
      <c r="N1953" s="48" t="n">
        <v>0.93</v>
      </c>
      <c r="O1953" s="48" t="n">
        <v>0.28</v>
      </c>
      <c r="P1953" s="48" t="n">
        <v>1.58</v>
      </c>
      <c r="Q1953" s="48" t="n">
        <v>0.35</v>
      </c>
      <c r="R1953" s="48" t="n">
        <v>0.13</v>
      </c>
      <c r="S1953" s="48" t="n">
        <v>0.57</v>
      </c>
      <c r="T1953" s="48" t="n">
        <v>0.3</v>
      </c>
      <c r="U1953" s="48" t="n">
        <v>0.06999999999999998</v>
      </c>
      <c r="V1953" s="48" t="n">
        <v>0.53</v>
      </c>
      <c r="W1953" s="48" t="n">
        <v>0.68</v>
      </c>
      <c r="X1953" s="48" t="n">
        <v>0.2100000000000001</v>
      </c>
      <c r="Y1953" s="48" t="n">
        <v>1.15</v>
      </c>
      <c r="Z1953" s="48" t="n">
        <v>0.3</v>
      </c>
      <c r="AA1953" s="48" t="n">
        <v>0.06</v>
      </c>
      <c r="AB1953" s="48" t="n">
        <v>0.54</v>
      </c>
      <c r="AC1953" s="48" t="n">
        <v>0.29</v>
      </c>
      <c r="AD1953" s="48" t="n">
        <v>0.11</v>
      </c>
      <c r="AE1953" s="48" t="n">
        <v>0.47</v>
      </c>
      <c r="AF1953" s="48" t="n">
        <v>0.11</v>
      </c>
      <c r="AG1953" s="48" t="n">
        <v>0.05</v>
      </c>
      <c r="AH1953" s="48" t="n">
        <v>0.17</v>
      </c>
      <c r="AI1953" s="48" t="n">
        <v>0.42</v>
      </c>
      <c r="AJ1953" s="48" t="n">
        <v>0.25</v>
      </c>
      <c r="AK1953" s="48" t="n">
        <v>0.59</v>
      </c>
      <c r="AL1953" s="48" t="n">
        <v>0.79</v>
      </c>
      <c r="AM1953" s="48" t="n">
        <v>-0.02999999999999992</v>
      </c>
      <c r="AN1953" s="48" t="n">
        <v>1.61</v>
      </c>
      <c r="AO1953" s="48" t="n">
        <v>0.34</v>
      </c>
      <c r="AP1953" s="48" t="n">
        <v>0.11</v>
      </c>
      <c r="AQ1953" s="48" t="n">
        <v>0.5700000000000001</v>
      </c>
      <c r="AR1953" s="48" t="n">
        <v>0.29</v>
      </c>
      <c r="AS1953" s="48" t="n">
        <v>0.06999999999999998</v>
      </c>
      <c r="AT1953" s="48" t="n">
        <v>0.51</v>
      </c>
      <c r="AU1953" s="48" t="n">
        <v>0.62</v>
      </c>
      <c r="AV1953" s="48" t="n">
        <v>0.14</v>
      </c>
      <c r="AW1953" s="48" t="n">
        <v>1.1</v>
      </c>
      <c r="AX1953" s="48" t="n">
        <v>0.24</v>
      </c>
      <c r="AY1953" s="48" t="n">
        <v>0.03</v>
      </c>
      <c r="AZ1953" s="48" t="n">
        <v>0.45</v>
      </c>
      <c r="BA1953" s="48" t="n">
        <v>0.26</v>
      </c>
      <c r="BB1953" s="48" t="n">
        <v>0.06</v>
      </c>
      <c r="BC1953" s="48" t="n">
        <v>0.46</v>
      </c>
      <c r="BD1953" s="48" t="n">
        <v>0.15</v>
      </c>
      <c r="BE1953" s="48" t="n">
        <v>0.06999999999999999</v>
      </c>
      <c r="BF1953" s="48" t="n">
        <v>0.23</v>
      </c>
      <c r="BG1953" s="48" t="n">
        <v>0.43</v>
      </c>
      <c r="BH1953" s="48" t="n">
        <v>0.27</v>
      </c>
      <c r="BI1953" s="48" t="n">
        <v>0.59</v>
      </c>
      <c r="BJ1953" s="48" t="n">
        <v>0.9399999999999999</v>
      </c>
      <c r="BK1953" s="48" t="n">
        <v>0.4399999999999999</v>
      </c>
      <c r="BL1953" s="48" t="n">
        <v>1.44</v>
      </c>
      <c r="BM1953" s="48" t="n">
        <v>0.33</v>
      </c>
      <c r="BN1953" s="48" t="n">
        <v>0.16</v>
      </c>
      <c r="BO1953" s="48" t="n">
        <v>0.5</v>
      </c>
      <c r="BP1953" s="48" t="n">
        <v>0.29</v>
      </c>
      <c r="BQ1953" s="48" t="n">
        <v>0.07999999999999999</v>
      </c>
      <c r="BR1953" s="48" t="n">
        <v>0.5</v>
      </c>
      <c r="BS1953" s="48" t="n">
        <v>0.61</v>
      </c>
      <c r="BT1953" s="48" t="n">
        <v>0.17</v>
      </c>
      <c r="BU1953" s="48" t="n">
        <v>1.05</v>
      </c>
      <c r="BV1953" s="48" t="n">
        <v>0.16</v>
      </c>
      <c r="BW1953" s="48" t="n">
        <v>0.03</v>
      </c>
      <c r="BX1953" s="48" t="n">
        <v>0.29</v>
      </c>
      <c r="BY1953" s="48" t="n">
        <v>0.16</v>
      </c>
      <c r="BZ1953" s="48" t="n">
        <v>0</v>
      </c>
      <c r="CA1953" s="48" t="n">
        <v>0.32</v>
      </c>
      <c r="CB1953" s="48" t="n">
        <v>0.14</v>
      </c>
      <c r="CC1953" s="48" t="n">
        <v>0.06000000000000001</v>
      </c>
      <c r="CD1953" s="48" t="n">
        <v>0.22</v>
      </c>
      <c r="CE1953" s="48" t="n">
        <v>0.32</v>
      </c>
      <c r="CF1953" s="48" t="n">
        <v>0.18</v>
      </c>
      <c r="CG1953" s="48" t="n">
        <v>0.46</v>
      </c>
      <c r="CH1953" s="48" t="n">
        <v>1.02</v>
      </c>
      <c r="CI1953" s="48" t="n">
        <v>0.3100000000000001</v>
      </c>
      <c r="CJ1953" s="48" t="n">
        <v>1.73</v>
      </c>
      <c r="CK1953" s="48" t="n">
        <v>0.31</v>
      </c>
      <c r="CL1953" s="48" t="n">
        <v>0.1</v>
      </c>
      <c r="CM1953" s="48" t="n">
        <v>0.52</v>
      </c>
      <c r="CN1953" s="48" t="n">
        <v>0.24</v>
      </c>
      <c r="CO1953" s="48" t="n">
        <v>0.03</v>
      </c>
      <c r="CP1953" s="48" t="n">
        <v>0.45</v>
      </c>
      <c r="CQ1953" s="48" t="n">
        <v>0.55</v>
      </c>
      <c r="CR1953" s="48" t="n">
        <v>0.08000000000000007</v>
      </c>
      <c r="CS1953" s="48" t="n">
        <v>1.02</v>
      </c>
      <c r="CT1953" s="48" t="n">
        <v>0.07000000000000001</v>
      </c>
      <c r="CU1953" s="48" t="n">
        <v>-0.1</v>
      </c>
      <c r="CV1953" s="48" t="n">
        <v>0.24</v>
      </c>
      <c r="CW1953" s="48" t="n">
        <v>0.39</v>
      </c>
      <c r="CX1953" s="48" t="n">
        <v>0.23</v>
      </c>
      <c r="CY1953" s="48" t="n">
        <v>0.55</v>
      </c>
      <c r="CZ1953" s="48" t="n">
        <v>0.22</v>
      </c>
      <c r="DA1953" s="48" t="n">
        <v>0.15</v>
      </c>
      <c r="DB1953" s="48" t="n">
        <v>0.29</v>
      </c>
      <c r="DC1953" s="48" t="n">
        <v>0.36</v>
      </c>
      <c r="DD1953" s="48" t="n">
        <v>0.19</v>
      </c>
      <c r="DE1953" s="48" t="n">
        <v>0.53</v>
      </c>
      <c r="DF1953" s="48" t="n">
        <v>1.1</v>
      </c>
      <c r="DG1953" s="48" t="n">
        <v>0.5900000000000001</v>
      </c>
      <c r="DH1953" s="48" t="n">
        <v>1.61</v>
      </c>
      <c r="DI1953" s="48" t="n">
        <v>0.55</v>
      </c>
      <c r="DJ1953" s="48" t="n">
        <v>0.3300000000000001</v>
      </c>
      <c r="DK1953" s="48" t="n">
        <v>0.77</v>
      </c>
      <c r="DL1953" s="48" t="n">
        <v>0.57</v>
      </c>
      <c r="DM1953" s="48" t="n">
        <v>0.34</v>
      </c>
      <c r="DN1953" s="48" t="n">
        <v>0.7999999999999999</v>
      </c>
      <c r="DO1953" s="48" t="n">
        <v>1.07</v>
      </c>
      <c r="DP1953" s="48" t="n">
        <v>0.6200000000000001</v>
      </c>
      <c r="DQ1953" s="48" t="n">
        <v>1.52</v>
      </c>
      <c r="DR1953" s="48" t="n">
        <v>0.0381623</v>
      </c>
      <c r="DS1953" s="48" t="n">
        <v>-0.09183769999999999</v>
      </c>
      <c r="DT1953" s="48" t="n">
        <v>0.1681623</v>
      </c>
      <c r="DU1953" s="48" t="n">
        <v>0.5754485</v>
      </c>
      <c r="DV1953" s="48" t="n">
        <v>0.4154485</v>
      </c>
      <c r="DW1953" s="48" t="n">
        <v>0.7354485000000001</v>
      </c>
      <c r="DX1953" s="48" t="n">
        <v>0</v>
      </c>
      <c r="DY1953" s="48" t="n">
        <v>-0.08</v>
      </c>
      <c r="DZ1953" s="48" t="n">
        <v>0.08</v>
      </c>
      <c r="EA1953" s="48" t="n">
        <v>1.0407593</v>
      </c>
      <c r="EB1953" s="48" t="n">
        <v>0.9007592999999999</v>
      </c>
      <c r="EC1953" s="48" t="n">
        <v>1.1807593</v>
      </c>
      <c r="ED1953" s="48" t="n">
        <v>0.1071272</v>
      </c>
      <c r="EE1953" s="48" t="n">
        <v>-0.6028728</v>
      </c>
      <c r="EF1953" s="48" t="n">
        <v>0.8171271999999999</v>
      </c>
      <c r="EG1953" s="48" t="n">
        <v>0.11</v>
      </c>
      <c r="EH1953" s="48" t="n">
        <v>-0.09999999999999999</v>
      </c>
      <c r="EI1953" s="48" t="n">
        <v>0.32</v>
      </c>
      <c r="EJ1953" s="48" t="n">
        <v>-0.0586924</v>
      </c>
      <c r="EK1953" s="48" t="n">
        <v>-0.2686924</v>
      </c>
      <c r="EL1953" s="48" t="n">
        <v>0.1513076</v>
      </c>
      <c r="EM1953" s="48" t="n">
        <v>0</v>
      </c>
      <c r="EN1953" s="48" t="n">
        <v>-0.47</v>
      </c>
      <c r="EO1953" s="48" t="n">
        <v>0.47</v>
      </c>
      <c r="EP1953" s="48" t="n">
        <v>0</v>
      </c>
      <c r="EQ1953" s="48" t="n">
        <v>-0.13</v>
      </c>
      <c r="ER1953" s="48" t="n">
        <v>0.13</v>
      </c>
      <c r="ES1953" s="48" t="n">
        <v>0</v>
      </c>
      <c r="ET1953" s="48" t="n">
        <v>-0.16</v>
      </c>
      <c r="EU1953" s="48" t="n">
        <v>0.16</v>
      </c>
      <c r="EV1953" s="48" t="n">
        <v>0</v>
      </c>
      <c r="EW1953" s="48" t="n">
        <v>-0.08</v>
      </c>
      <c r="EX1953" s="48" t="n">
        <v>0.08</v>
      </c>
      <c r="EY1953" s="48" t="n">
        <v>0</v>
      </c>
      <c r="EZ1953" s="48" t="n">
        <v>-0.14</v>
      </c>
      <c r="FA1953" s="48" t="n">
        <v>0.14</v>
      </c>
      <c r="FB1953" s="48" t="n">
        <v>0</v>
      </c>
      <c r="FC1953" s="48" t="n">
        <v>-0.71</v>
      </c>
      <c r="FD1953" s="48" t="n">
        <v>0.71</v>
      </c>
      <c r="FE1953" s="48" t="n">
        <v>0</v>
      </c>
      <c r="FF1953" s="48" t="n">
        <v>-0.21</v>
      </c>
      <c r="FG1953" s="48" t="n">
        <v>0.21</v>
      </c>
      <c r="FH1953" s="48" t="n">
        <v>0</v>
      </c>
      <c r="FI1953" s="48" t="n">
        <v>-0.21</v>
      </c>
      <c r="FJ1953" s="48" t="n">
        <v>0.21</v>
      </c>
      <c r="FK1953" s="48" t="n">
        <v>0</v>
      </c>
      <c r="FL1953" s="48" t="n">
        <v>-0.47</v>
      </c>
      <c r="FM1953" s="48" t="n">
        <v>0.47</v>
      </c>
      <c r="FO1953" s="43">
        <f>MIN($A1953,MultLastLag)+1</f>
        <v>12.0</v>
      </c>
    </row>
    <row r="1954">
      <c r="A1954" s="3" t="n">
        <v>12</v>
      </c>
      <c r="B1954" s="48" t="n">
        <v>0.24</v>
      </c>
      <c r="C1954" s="48" t="n">
        <v>0.03</v>
      </c>
      <c r="D1954" s="48" t="n">
        <v>0.45</v>
      </c>
      <c r="E1954" s="48" t="n">
        <v>0.26</v>
      </c>
      <c r="F1954" s="48" t="n">
        <v>0.08000000000000002</v>
      </c>
      <c r="G1954" s="48" t="n">
        <v>0.44</v>
      </c>
      <c r="H1954" s="48" t="n">
        <v>0.13</v>
      </c>
      <c r="I1954" s="48" t="n">
        <v>0.06</v>
      </c>
      <c r="J1954" s="48" t="n">
        <v>0.2</v>
      </c>
      <c r="K1954" s="48" t="n">
        <v>0.39</v>
      </c>
      <c r="L1954" s="48" t="n">
        <v>0.23</v>
      </c>
      <c r="M1954" s="48" t="n">
        <v>0.55</v>
      </c>
      <c r="N1954" s="48" t="n">
        <v>0.93</v>
      </c>
      <c r="O1954" s="48" t="n">
        <v>0.28</v>
      </c>
      <c r="P1954" s="48" t="n">
        <v>1.58</v>
      </c>
      <c r="Q1954" s="48" t="n">
        <v>0.35</v>
      </c>
      <c r="R1954" s="48" t="n">
        <v>0.13</v>
      </c>
      <c r="S1954" s="48" t="n">
        <v>0.57</v>
      </c>
      <c r="T1954" s="48" t="n">
        <v>0.3</v>
      </c>
      <c r="U1954" s="48" t="n">
        <v>0.06999999999999998</v>
      </c>
      <c r="V1954" s="48" t="n">
        <v>0.53</v>
      </c>
      <c r="W1954" s="48" t="n">
        <v>0.68</v>
      </c>
      <c r="X1954" s="48" t="n">
        <v>0.2100000000000001</v>
      </c>
      <c r="Y1954" s="48" t="n">
        <v>1.15</v>
      </c>
      <c r="Z1954" s="48" t="n">
        <v>0.3</v>
      </c>
      <c r="AA1954" s="48" t="n">
        <v>0.06</v>
      </c>
      <c r="AB1954" s="48" t="n">
        <v>0.54</v>
      </c>
      <c r="AC1954" s="48" t="n">
        <v>0.29</v>
      </c>
      <c r="AD1954" s="48" t="n">
        <v>0.11</v>
      </c>
      <c r="AE1954" s="48" t="n">
        <v>0.47</v>
      </c>
      <c r="AF1954" s="48" t="n">
        <v>0.11</v>
      </c>
      <c r="AG1954" s="48" t="n">
        <v>0.05</v>
      </c>
      <c r="AH1954" s="48" t="n">
        <v>0.17</v>
      </c>
      <c r="AI1954" s="48" t="n">
        <v>0.42</v>
      </c>
      <c r="AJ1954" s="48" t="n">
        <v>0.25</v>
      </c>
      <c r="AK1954" s="48" t="n">
        <v>0.59</v>
      </c>
      <c r="AL1954" s="48" t="n">
        <v>0.79</v>
      </c>
      <c r="AM1954" s="48" t="n">
        <v>-0.02999999999999992</v>
      </c>
      <c r="AN1954" s="48" t="n">
        <v>1.61</v>
      </c>
      <c r="AO1954" s="48" t="n">
        <v>0.34</v>
      </c>
      <c r="AP1954" s="48" t="n">
        <v>0.11</v>
      </c>
      <c r="AQ1954" s="48" t="n">
        <v>0.5700000000000001</v>
      </c>
      <c r="AR1954" s="48" t="n">
        <v>0.29</v>
      </c>
      <c r="AS1954" s="48" t="n">
        <v>0.06999999999999998</v>
      </c>
      <c r="AT1954" s="48" t="n">
        <v>0.51</v>
      </c>
      <c r="AU1954" s="48" t="n">
        <v>0.62</v>
      </c>
      <c r="AV1954" s="48" t="n">
        <v>0.14</v>
      </c>
      <c r="AW1954" s="48" t="n">
        <v>1.1</v>
      </c>
      <c r="AX1954" s="48" t="n">
        <v>0.24</v>
      </c>
      <c r="AY1954" s="48" t="n">
        <v>0.03</v>
      </c>
      <c r="AZ1954" s="48" t="n">
        <v>0.45</v>
      </c>
      <c r="BA1954" s="48" t="n">
        <v>0.26</v>
      </c>
      <c r="BB1954" s="48" t="n">
        <v>0.06</v>
      </c>
      <c r="BC1954" s="48" t="n">
        <v>0.46</v>
      </c>
      <c r="BD1954" s="48" t="n">
        <v>0.15</v>
      </c>
      <c r="BE1954" s="48" t="n">
        <v>0.06999999999999999</v>
      </c>
      <c r="BF1954" s="48" t="n">
        <v>0.23</v>
      </c>
      <c r="BG1954" s="48" t="n">
        <v>0.43</v>
      </c>
      <c r="BH1954" s="48" t="n">
        <v>0.27</v>
      </c>
      <c r="BI1954" s="48" t="n">
        <v>0.59</v>
      </c>
      <c r="BJ1954" s="48" t="n">
        <v>0.9399999999999999</v>
      </c>
      <c r="BK1954" s="48" t="n">
        <v>0.4399999999999999</v>
      </c>
      <c r="BL1954" s="48" t="n">
        <v>1.44</v>
      </c>
      <c r="BM1954" s="48" t="n">
        <v>0.33</v>
      </c>
      <c r="BN1954" s="48" t="n">
        <v>0.16</v>
      </c>
      <c r="BO1954" s="48" t="n">
        <v>0.5</v>
      </c>
      <c r="BP1954" s="48" t="n">
        <v>0.29</v>
      </c>
      <c r="BQ1954" s="48" t="n">
        <v>0.07999999999999999</v>
      </c>
      <c r="BR1954" s="48" t="n">
        <v>0.5</v>
      </c>
      <c r="BS1954" s="48" t="n">
        <v>0.61</v>
      </c>
      <c r="BT1954" s="48" t="n">
        <v>0.17</v>
      </c>
      <c r="BU1954" s="48" t="n">
        <v>1.05</v>
      </c>
      <c r="BV1954" s="48" t="n">
        <v>0.16</v>
      </c>
      <c r="BW1954" s="48" t="n">
        <v>0.03</v>
      </c>
      <c r="BX1954" s="48" t="n">
        <v>0.29</v>
      </c>
      <c r="BY1954" s="48" t="n">
        <v>0.16</v>
      </c>
      <c r="BZ1954" s="48" t="n">
        <v>0</v>
      </c>
      <c r="CA1954" s="48" t="n">
        <v>0.32</v>
      </c>
      <c r="CB1954" s="48" t="n">
        <v>0.14</v>
      </c>
      <c r="CC1954" s="48" t="n">
        <v>0.06000000000000001</v>
      </c>
      <c r="CD1954" s="48" t="n">
        <v>0.22</v>
      </c>
      <c r="CE1954" s="48" t="n">
        <v>0.32</v>
      </c>
      <c r="CF1954" s="48" t="n">
        <v>0.18</v>
      </c>
      <c r="CG1954" s="48" t="n">
        <v>0.46</v>
      </c>
      <c r="CH1954" s="48" t="n">
        <v>1.02</v>
      </c>
      <c r="CI1954" s="48" t="n">
        <v>0.3100000000000001</v>
      </c>
      <c r="CJ1954" s="48" t="n">
        <v>1.73</v>
      </c>
      <c r="CK1954" s="48" t="n">
        <v>0.31</v>
      </c>
      <c r="CL1954" s="48" t="n">
        <v>0.1</v>
      </c>
      <c r="CM1954" s="48" t="n">
        <v>0.52</v>
      </c>
      <c r="CN1954" s="48" t="n">
        <v>0.24</v>
      </c>
      <c r="CO1954" s="48" t="n">
        <v>0.03</v>
      </c>
      <c r="CP1954" s="48" t="n">
        <v>0.45</v>
      </c>
      <c r="CQ1954" s="48" t="n">
        <v>0.55</v>
      </c>
      <c r="CR1954" s="48" t="n">
        <v>0.08000000000000007</v>
      </c>
      <c r="CS1954" s="48" t="n">
        <v>1.02</v>
      </c>
      <c r="CT1954" s="48" t="n">
        <v>0.07000000000000001</v>
      </c>
      <c r="CU1954" s="48" t="n">
        <v>-0.1</v>
      </c>
      <c r="CV1954" s="48" t="n">
        <v>0.24</v>
      </c>
      <c r="CW1954" s="48" t="n">
        <v>0.39</v>
      </c>
      <c r="CX1954" s="48" t="n">
        <v>0.23</v>
      </c>
      <c r="CY1954" s="48" t="n">
        <v>0.55</v>
      </c>
      <c r="CZ1954" s="48" t="n">
        <v>0.22</v>
      </c>
      <c r="DA1954" s="48" t="n">
        <v>0.15</v>
      </c>
      <c r="DB1954" s="48" t="n">
        <v>0.29</v>
      </c>
      <c r="DC1954" s="48" t="n">
        <v>0.36</v>
      </c>
      <c r="DD1954" s="48" t="n">
        <v>0.19</v>
      </c>
      <c r="DE1954" s="48" t="n">
        <v>0.53</v>
      </c>
      <c r="DF1954" s="48" t="n">
        <v>1.1</v>
      </c>
      <c r="DG1954" s="48" t="n">
        <v>0.5900000000000001</v>
      </c>
      <c r="DH1954" s="48" t="n">
        <v>1.61</v>
      </c>
      <c r="DI1954" s="48" t="n">
        <v>0.55</v>
      </c>
      <c r="DJ1954" s="48" t="n">
        <v>0.3300000000000001</v>
      </c>
      <c r="DK1954" s="48" t="n">
        <v>0.77</v>
      </c>
      <c r="DL1954" s="48" t="n">
        <v>0.57</v>
      </c>
      <c r="DM1954" s="48" t="n">
        <v>0.34</v>
      </c>
      <c r="DN1954" s="48" t="n">
        <v>0.7999999999999999</v>
      </c>
      <c r="DO1954" s="48" t="n">
        <v>1.07</v>
      </c>
      <c r="DP1954" s="48" t="n">
        <v>0.6200000000000001</v>
      </c>
      <c r="DQ1954" s="48" t="n">
        <v>1.52</v>
      </c>
      <c r="DR1954" s="48" t="n">
        <v>0.0381623</v>
      </c>
      <c r="DS1954" s="48" t="n">
        <v>-0.09183769999999999</v>
      </c>
      <c r="DT1954" s="48" t="n">
        <v>0.1681623</v>
      </c>
      <c r="DU1954" s="48" t="n">
        <v>0.5754485</v>
      </c>
      <c r="DV1954" s="48" t="n">
        <v>0.4154485</v>
      </c>
      <c r="DW1954" s="48" t="n">
        <v>0.7354485000000001</v>
      </c>
      <c r="DX1954" s="48" t="n">
        <v>0</v>
      </c>
      <c r="DY1954" s="48" t="n">
        <v>-0.08</v>
      </c>
      <c r="DZ1954" s="48" t="n">
        <v>0.08</v>
      </c>
      <c r="EA1954" s="48" t="n">
        <v>1.0407593</v>
      </c>
      <c r="EB1954" s="48" t="n">
        <v>0.9007592999999999</v>
      </c>
      <c r="EC1954" s="48" t="n">
        <v>1.1807593</v>
      </c>
      <c r="ED1954" s="48" t="n">
        <v>0.1071272</v>
      </c>
      <c r="EE1954" s="48" t="n">
        <v>-0.6028728</v>
      </c>
      <c r="EF1954" s="48" t="n">
        <v>0.8171271999999999</v>
      </c>
      <c r="EG1954" s="48" t="n">
        <v>0.11</v>
      </c>
      <c r="EH1954" s="48" t="n">
        <v>-0.09999999999999999</v>
      </c>
      <c r="EI1954" s="48" t="n">
        <v>0.32</v>
      </c>
      <c r="EJ1954" s="48" t="n">
        <v>-0.0586924</v>
      </c>
      <c r="EK1954" s="48" t="n">
        <v>-0.2686924</v>
      </c>
      <c r="EL1954" s="48" t="n">
        <v>0.1513076</v>
      </c>
      <c r="EM1954" s="48" t="n">
        <v>0</v>
      </c>
      <c r="EN1954" s="48" t="n">
        <v>-0.47</v>
      </c>
      <c r="EO1954" s="48" t="n">
        <v>0.47</v>
      </c>
      <c r="EP1954" s="48" t="n">
        <v>0</v>
      </c>
      <c r="EQ1954" s="48" t="n">
        <v>-0.13</v>
      </c>
      <c r="ER1954" s="48" t="n">
        <v>0.13</v>
      </c>
      <c r="ES1954" s="48" t="n">
        <v>0</v>
      </c>
      <c r="ET1954" s="48" t="n">
        <v>-0.16</v>
      </c>
      <c r="EU1954" s="48" t="n">
        <v>0.16</v>
      </c>
      <c r="EV1954" s="48" t="n">
        <v>0</v>
      </c>
      <c r="EW1954" s="48" t="n">
        <v>-0.08</v>
      </c>
      <c r="EX1954" s="48" t="n">
        <v>0.08</v>
      </c>
      <c r="EY1954" s="48" t="n">
        <v>0</v>
      </c>
      <c r="EZ1954" s="48" t="n">
        <v>-0.14</v>
      </c>
      <c r="FA1954" s="48" t="n">
        <v>0.14</v>
      </c>
      <c r="FB1954" s="48" t="n">
        <v>0</v>
      </c>
      <c r="FC1954" s="48" t="n">
        <v>-0.71</v>
      </c>
      <c r="FD1954" s="48" t="n">
        <v>0.71</v>
      </c>
      <c r="FE1954" s="48" t="n">
        <v>0</v>
      </c>
      <c r="FF1954" s="48" t="n">
        <v>-0.21</v>
      </c>
      <c r="FG1954" s="48" t="n">
        <v>0.21</v>
      </c>
      <c r="FH1954" s="48" t="n">
        <v>0</v>
      </c>
      <c r="FI1954" s="48" t="n">
        <v>-0.21</v>
      </c>
      <c r="FJ1954" s="48" t="n">
        <v>0.21</v>
      </c>
      <c r="FK1954" s="48" t="n">
        <v>0</v>
      </c>
      <c r="FL1954" s="48" t="n">
        <v>-0.47</v>
      </c>
      <c r="FM1954" s="48" t="n">
        <v>0.47</v>
      </c>
      <c r="FO1954" s="43">
        <f>MIN($A1954,MultLastLag)+1</f>
        <v>12.0</v>
      </c>
    </row>
    <row r="1955">
      <c r="A1955" s="3" t="n">
        <v>13</v>
      </c>
      <c r="B1955" s="48" t="n">
        <v>0.24</v>
      </c>
      <c r="C1955" s="48" t="n">
        <v>0.03</v>
      </c>
      <c r="D1955" s="48" t="n">
        <v>0.45</v>
      </c>
      <c r="E1955" s="48" t="n">
        <v>0.26</v>
      </c>
      <c r="F1955" s="48" t="n">
        <v>0.08000000000000002</v>
      </c>
      <c r="G1955" s="48" t="n">
        <v>0.44</v>
      </c>
      <c r="H1955" s="48" t="n">
        <v>0.13</v>
      </c>
      <c r="I1955" s="48" t="n">
        <v>0.06</v>
      </c>
      <c r="J1955" s="48" t="n">
        <v>0.2</v>
      </c>
      <c r="K1955" s="48" t="n">
        <v>0.39</v>
      </c>
      <c r="L1955" s="48" t="n">
        <v>0.23</v>
      </c>
      <c r="M1955" s="48" t="n">
        <v>0.55</v>
      </c>
      <c r="N1955" s="48" t="n">
        <v>0.93</v>
      </c>
      <c r="O1955" s="48" t="n">
        <v>0.28</v>
      </c>
      <c r="P1955" s="48" t="n">
        <v>1.58</v>
      </c>
      <c r="Q1955" s="48" t="n">
        <v>0.35</v>
      </c>
      <c r="R1955" s="48" t="n">
        <v>0.13</v>
      </c>
      <c r="S1955" s="48" t="n">
        <v>0.57</v>
      </c>
      <c r="T1955" s="48" t="n">
        <v>0.3</v>
      </c>
      <c r="U1955" s="48" t="n">
        <v>0.06999999999999998</v>
      </c>
      <c r="V1955" s="48" t="n">
        <v>0.53</v>
      </c>
      <c r="W1955" s="48" t="n">
        <v>0.68</v>
      </c>
      <c r="X1955" s="48" t="n">
        <v>0.2100000000000001</v>
      </c>
      <c r="Y1955" s="48" t="n">
        <v>1.15</v>
      </c>
      <c r="Z1955" s="48" t="n">
        <v>0.3</v>
      </c>
      <c r="AA1955" s="48" t="n">
        <v>0.06</v>
      </c>
      <c r="AB1955" s="48" t="n">
        <v>0.54</v>
      </c>
      <c r="AC1955" s="48" t="n">
        <v>0.29</v>
      </c>
      <c r="AD1955" s="48" t="n">
        <v>0.11</v>
      </c>
      <c r="AE1955" s="48" t="n">
        <v>0.47</v>
      </c>
      <c r="AF1955" s="48" t="n">
        <v>0.11</v>
      </c>
      <c r="AG1955" s="48" t="n">
        <v>0.05</v>
      </c>
      <c r="AH1955" s="48" t="n">
        <v>0.17</v>
      </c>
      <c r="AI1955" s="48" t="n">
        <v>0.42</v>
      </c>
      <c r="AJ1955" s="48" t="n">
        <v>0.25</v>
      </c>
      <c r="AK1955" s="48" t="n">
        <v>0.59</v>
      </c>
      <c r="AL1955" s="48" t="n">
        <v>0.79</v>
      </c>
      <c r="AM1955" s="48" t="n">
        <v>-0.02999999999999992</v>
      </c>
      <c r="AN1955" s="48" t="n">
        <v>1.61</v>
      </c>
      <c r="AO1955" s="48" t="n">
        <v>0.34</v>
      </c>
      <c r="AP1955" s="48" t="n">
        <v>0.11</v>
      </c>
      <c r="AQ1955" s="48" t="n">
        <v>0.5700000000000001</v>
      </c>
      <c r="AR1955" s="48" t="n">
        <v>0.29</v>
      </c>
      <c r="AS1955" s="48" t="n">
        <v>0.06999999999999998</v>
      </c>
      <c r="AT1955" s="48" t="n">
        <v>0.51</v>
      </c>
      <c r="AU1955" s="48" t="n">
        <v>0.62</v>
      </c>
      <c r="AV1955" s="48" t="n">
        <v>0.14</v>
      </c>
      <c r="AW1955" s="48" t="n">
        <v>1.1</v>
      </c>
      <c r="AX1955" s="48" t="n">
        <v>0.24</v>
      </c>
      <c r="AY1955" s="48" t="n">
        <v>0.03</v>
      </c>
      <c r="AZ1955" s="48" t="n">
        <v>0.45</v>
      </c>
      <c r="BA1955" s="48" t="n">
        <v>0.26</v>
      </c>
      <c r="BB1955" s="48" t="n">
        <v>0.06</v>
      </c>
      <c r="BC1955" s="48" t="n">
        <v>0.46</v>
      </c>
      <c r="BD1955" s="48" t="n">
        <v>0.15</v>
      </c>
      <c r="BE1955" s="48" t="n">
        <v>0.06999999999999999</v>
      </c>
      <c r="BF1955" s="48" t="n">
        <v>0.23</v>
      </c>
      <c r="BG1955" s="48" t="n">
        <v>0.43</v>
      </c>
      <c r="BH1955" s="48" t="n">
        <v>0.27</v>
      </c>
      <c r="BI1955" s="48" t="n">
        <v>0.59</v>
      </c>
      <c r="BJ1955" s="48" t="n">
        <v>0.9399999999999999</v>
      </c>
      <c r="BK1955" s="48" t="n">
        <v>0.4399999999999999</v>
      </c>
      <c r="BL1955" s="48" t="n">
        <v>1.44</v>
      </c>
      <c r="BM1955" s="48" t="n">
        <v>0.33</v>
      </c>
      <c r="BN1955" s="48" t="n">
        <v>0.16</v>
      </c>
      <c r="BO1955" s="48" t="n">
        <v>0.5</v>
      </c>
      <c r="BP1955" s="48" t="n">
        <v>0.29</v>
      </c>
      <c r="BQ1955" s="48" t="n">
        <v>0.07999999999999999</v>
      </c>
      <c r="BR1955" s="48" t="n">
        <v>0.5</v>
      </c>
      <c r="BS1955" s="48" t="n">
        <v>0.61</v>
      </c>
      <c r="BT1955" s="48" t="n">
        <v>0.17</v>
      </c>
      <c r="BU1955" s="48" t="n">
        <v>1.05</v>
      </c>
      <c r="BV1955" s="48" t="n">
        <v>0.16</v>
      </c>
      <c r="BW1955" s="48" t="n">
        <v>0.03</v>
      </c>
      <c r="BX1955" s="48" t="n">
        <v>0.29</v>
      </c>
      <c r="BY1955" s="48" t="n">
        <v>0.16</v>
      </c>
      <c r="BZ1955" s="48" t="n">
        <v>0</v>
      </c>
      <c r="CA1955" s="48" t="n">
        <v>0.32</v>
      </c>
      <c r="CB1955" s="48" t="n">
        <v>0.14</v>
      </c>
      <c r="CC1955" s="48" t="n">
        <v>0.06000000000000001</v>
      </c>
      <c r="CD1955" s="48" t="n">
        <v>0.22</v>
      </c>
      <c r="CE1955" s="48" t="n">
        <v>0.32</v>
      </c>
      <c r="CF1955" s="48" t="n">
        <v>0.18</v>
      </c>
      <c r="CG1955" s="48" t="n">
        <v>0.46</v>
      </c>
      <c r="CH1955" s="48" t="n">
        <v>1.02</v>
      </c>
      <c r="CI1955" s="48" t="n">
        <v>0.3100000000000001</v>
      </c>
      <c r="CJ1955" s="48" t="n">
        <v>1.73</v>
      </c>
      <c r="CK1955" s="48" t="n">
        <v>0.31</v>
      </c>
      <c r="CL1955" s="48" t="n">
        <v>0.1</v>
      </c>
      <c r="CM1955" s="48" t="n">
        <v>0.52</v>
      </c>
      <c r="CN1955" s="48" t="n">
        <v>0.24</v>
      </c>
      <c r="CO1955" s="48" t="n">
        <v>0.03</v>
      </c>
      <c r="CP1955" s="48" t="n">
        <v>0.45</v>
      </c>
      <c r="CQ1955" s="48" t="n">
        <v>0.55</v>
      </c>
      <c r="CR1955" s="48" t="n">
        <v>0.08000000000000007</v>
      </c>
      <c r="CS1955" s="48" t="n">
        <v>1.02</v>
      </c>
      <c r="CT1955" s="48" t="n">
        <v>0.07000000000000001</v>
      </c>
      <c r="CU1955" s="48" t="n">
        <v>-0.1</v>
      </c>
      <c r="CV1955" s="48" t="n">
        <v>0.24</v>
      </c>
      <c r="CW1955" s="48" t="n">
        <v>0.39</v>
      </c>
      <c r="CX1955" s="48" t="n">
        <v>0.23</v>
      </c>
      <c r="CY1955" s="48" t="n">
        <v>0.55</v>
      </c>
      <c r="CZ1955" s="48" t="n">
        <v>0.22</v>
      </c>
      <c r="DA1955" s="48" t="n">
        <v>0.15</v>
      </c>
      <c r="DB1955" s="48" t="n">
        <v>0.29</v>
      </c>
      <c r="DC1955" s="48" t="n">
        <v>0.36</v>
      </c>
      <c r="DD1955" s="48" t="n">
        <v>0.19</v>
      </c>
      <c r="DE1955" s="48" t="n">
        <v>0.53</v>
      </c>
      <c r="DF1955" s="48" t="n">
        <v>1.1</v>
      </c>
      <c r="DG1955" s="48" t="n">
        <v>0.5900000000000001</v>
      </c>
      <c r="DH1955" s="48" t="n">
        <v>1.61</v>
      </c>
      <c r="DI1955" s="48" t="n">
        <v>0.55</v>
      </c>
      <c r="DJ1955" s="48" t="n">
        <v>0.3300000000000001</v>
      </c>
      <c r="DK1955" s="48" t="n">
        <v>0.77</v>
      </c>
      <c r="DL1955" s="48" t="n">
        <v>0.57</v>
      </c>
      <c r="DM1955" s="48" t="n">
        <v>0.34</v>
      </c>
      <c r="DN1955" s="48" t="n">
        <v>0.7999999999999999</v>
      </c>
      <c r="DO1955" s="48" t="n">
        <v>1.07</v>
      </c>
      <c r="DP1955" s="48" t="n">
        <v>0.6200000000000001</v>
      </c>
      <c r="DQ1955" s="48" t="n">
        <v>1.52</v>
      </c>
      <c r="DR1955" s="48" t="n">
        <v>0.0381623</v>
      </c>
      <c r="DS1955" s="48" t="n">
        <v>-0.09183769999999999</v>
      </c>
      <c r="DT1955" s="48" t="n">
        <v>0.1681623</v>
      </c>
      <c r="DU1955" s="48" t="n">
        <v>0.5754485</v>
      </c>
      <c r="DV1955" s="48" t="n">
        <v>0.4154485</v>
      </c>
      <c r="DW1955" s="48" t="n">
        <v>0.7354485000000001</v>
      </c>
      <c r="DX1955" s="48" t="n">
        <v>0</v>
      </c>
      <c r="DY1955" s="48" t="n">
        <v>-0.08</v>
      </c>
      <c r="DZ1955" s="48" t="n">
        <v>0.08</v>
      </c>
      <c r="EA1955" s="48" t="n">
        <v>1.0407593</v>
      </c>
      <c r="EB1955" s="48" t="n">
        <v>0.9007592999999999</v>
      </c>
      <c r="EC1955" s="48" t="n">
        <v>1.1807593</v>
      </c>
      <c r="ED1955" s="48" t="n">
        <v>0.1071272</v>
      </c>
      <c r="EE1955" s="48" t="n">
        <v>-0.6028728</v>
      </c>
      <c r="EF1955" s="48" t="n">
        <v>0.8171271999999999</v>
      </c>
      <c r="EG1955" s="48" t="n">
        <v>0.11</v>
      </c>
      <c r="EH1955" s="48" t="n">
        <v>-0.09999999999999999</v>
      </c>
      <c r="EI1955" s="48" t="n">
        <v>0.32</v>
      </c>
      <c r="EJ1955" s="48" t="n">
        <v>-0.0586924</v>
      </c>
      <c r="EK1955" s="48" t="n">
        <v>-0.2686924</v>
      </c>
      <c r="EL1955" s="48" t="n">
        <v>0.1513076</v>
      </c>
      <c r="EM1955" s="48" t="n">
        <v>0</v>
      </c>
      <c r="EN1955" s="48" t="n">
        <v>-0.47</v>
      </c>
      <c r="EO1955" s="48" t="n">
        <v>0.47</v>
      </c>
      <c r="EP1955" s="48" t="n">
        <v>0</v>
      </c>
      <c r="EQ1955" s="48" t="n">
        <v>-0.13</v>
      </c>
      <c r="ER1955" s="48" t="n">
        <v>0.13</v>
      </c>
      <c r="ES1955" s="48" t="n">
        <v>0</v>
      </c>
      <c r="ET1955" s="48" t="n">
        <v>-0.16</v>
      </c>
      <c r="EU1955" s="48" t="n">
        <v>0.16</v>
      </c>
      <c r="EV1955" s="48" t="n">
        <v>0</v>
      </c>
      <c r="EW1955" s="48" t="n">
        <v>-0.08</v>
      </c>
      <c r="EX1955" s="48" t="n">
        <v>0.08</v>
      </c>
      <c r="EY1955" s="48" t="n">
        <v>0</v>
      </c>
      <c r="EZ1955" s="48" t="n">
        <v>-0.14</v>
      </c>
      <c r="FA1955" s="48" t="n">
        <v>0.14</v>
      </c>
      <c r="FB1955" s="48" t="n">
        <v>0</v>
      </c>
      <c r="FC1955" s="48" t="n">
        <v>-0.71</v>
      </c>
      <c r="FD1955" s="48" t="n">
        <v>0.71</v>
      </c>
      <c r="FE1955" s="48" t="n">
        <v>0</v>
      </c>
      <c r="FF1955" s="48" t="n">
        <v>-0.21</v>
      </c>
      <c r="FG1955" s="48" t="n">
        <v>0.21</v>
      </c>
      <c r="FH1955" s="48" t="n">
        <v>0</v>
      </c>
      <c r="FI1955" s="48" t="n">
        <v>-0.21</v>
      </c>
      <c r="FJ1955" s="48" t="n">
        <v>0.21</v>
      </c>
      <c r="FK1955" s="48" t="n">
        <v>0</v>
      </c>
      <c r="FL1955" s="48" t="n">
        <v>-0.47</v>
      </c>
      <c r="FM1955" s="48" t="n">
        <v>0.47</v>
      </c>
      <c r="FO1955" s="43">
        <f>MIN($A1955,MultLastLag)+1</f>
        <v>12.0</v>
      </c>
    </row>
    <row r="1956">
      <c r="A1956" s="3" t="n">
        <v>14</v>
      </c>
      <c r="B1956" s="48" t="n">
        <v>0.24</v>
      </c>
      <c r="C1956" s="48" t="n">
        <v>0.03</v>
      </c>
      <c r="D1956" s="48" t="n">
        <v>0.45</v>
      </c>
      <c r="E1956" s="48" t="n">
        <v>0.26</v>
      </c>
      <c r="F1956" s="48" t="n">
        <v>0.08000000000000002</v>
      </c>
      <c r="G1956" s="48" t="n">
        <v>0.44</v>
      </c>
      <c r="H1956" s="48" t="n">
        <v>0.13</v>
      </c>
      <c r="I1956" s="48" t="n">
        <v>0.06</v>
      </c>
      <c r="J1956" s="48" t="n">
        <v>0.2</v>
      </c>
      <c r="K1956" s="48" t="n">
        <v>0.39</v>
      </c>
      <c r="L1956" s="48" t="n">
        <v>0.23</v>
      </c>
      <c r="M1956" s="48" t="n">
        <v>0.55</v>
      </c>
      <c r="N1956" s="48" t="n">
        <v>0.93</v>
      </c>
      <c r="O1956" s="48" t="n">
        <v>0.28</v>
      </c>
      <c r="P1956" s="48" t="n">
        <v>1.58</v>
      </c>
      <c r="Q1956" s="48" t="n">
        <v>0.35</v>
      </c>
      <c r="R1956" s="48" t="n">
        <v>0.13</v>
      </c>
      <c r="S1956" s="48" t="n">
        <v>0.57</v>
      </c>
      <c r="T1956" s="48" t="n">
        <v>0.3</v>
      </c>
      <c r="U1956" s="48" t="n">
        <v>0.06999999999999998</v>
      </c>
      <c r="V1956" s="48" t="n">
        <v>0.53</v>
      </c>
      <c r="W1956" s="48" t="n">
        <v>0.68</v>
      </c>
      <c r="X1956" s="48" t="n">
        <v>0.2100000000000001</v>
      </c>
      <c r="Y1956" s="48" t="n">
        <v>1.15</v>
      </c>
      <c r="Z1956" s="48" t="n">
        <v>0.3</v>
      </c>
      <c r="AA1956" s="48" t="n">
        <v>0.06</v>
      </c>
      <c r="AB1956" s="48" t="n">
        <v>0.54</v>
      </c>
      <c r="AC1956" s="48" t="n">
        <v>0.29</v>
      </c>
      <c r="AD1956" s="48" t="n">
        <v>0.11</v>
      </c>
      <c r="AE1956" s="48" t="n">
        <v>0.47</v>
      </c>
      <c r="AF1956" s="48" t="n">
        <v>0.11</v>
      </c>
      <c r="AG1956" s="48" t="n">
        <v>0.05</v>
      </c>
      <c r="AH1956" s="48" t="n">
        <v>0.17</v>
      </c>
      <c r="AI1956" s="48" t="n">
        <v>0.42</v>
      </c>
      <c r="AJ1956" s="48" t="n">
        <v>0.25</v>
      </c>
      <c r="AK1956" s="48" t="n">
        <v>0.59</v>
      </c>
      <c r="AL1956" s="48" t="n">
        <v>0.79</v>
      </c>
      <c r="AM1956" s="48" t="n">
        <v>-0.02999999999999992</v>
      </c>
      <c r="AN1956" s="48" t="n">
        <v>1.61</v>
      </c>
      <c r="AO1956" s="48" t="n">
        <v>0.34</v>
      </c>
      <c r="AP1956" s="48" t="n">
        <v>0.11</v>
      </c>
      <c r="AQ1956" s="48" t="n">
        <v>0.5700000000000001</v>
      </c>
      <c r="AR1956" s="48" t="n">
        <v>0.29</v>
      </c>
      <c r="AS1956" s="48" t="n">
        <v>0.06999999999999998</v>
      </c>
      <c r="AT1956" s="48" t="n">
        <v>0.51</v>
      </c>
      <c r="AU1956" s="48" t="n">
        <v>0.62</v>
      </c>
      <c r="AV1956" s="48" t="n">
        <v>0.14</v>
      </c>
      <c r="AW1956" s="48" t="n">
        <v>1.1</v>
      </c>
      <c r="AX1956" s="48" t="n">
        <v>0.24</v>
      </c>
      <c r="AY1956" s="48" t="n">
        <v>0.03</v>
      </c>
      <c r="AZ1956" s="48" t="n">
        <v>0.45</v>
      </c>
      <c r="BA1956" s="48" t="n">
        <v>0.26</v>
      </c>
      <c r="BB1956" s="48" t="n">
        <v>0.06</v>
      </c>
      <c r="BC1956" s="48" t="n">
        <v>0.46</v>
      </c>
      <c r="BD1956" s="48" t="n">
        <v>0.15</v>
      </c>
      <c r="BE1956" s="48" t="n">
        <v>0.06999999999999999</v>
      </c>
      <c r="BF1956" s="48" t="n">
        <v>0.23</v>
      </c>
      <c r="BG1956" s="48" t="n">
        <v>0.43</v>
      </c>
      <c r="BH1956" s="48" t="n">
        <v>0.27</v>
      </c>
      <c r="BI1956" s="48" t="n">
        <v>0.59</v>
      </c>
      <c r="BJ1956" s="48" t="n">
        <v>0.9399999999999999</v>
      </c>
      <c r="BK1956" s="48" t="n">
        <v>0.4399999999999999</v>
      </c>
      <c r="BL1956" s="48" t="n">
        <v>1.44</v>
      </c>
      <c r="BM1956" s="48" t="n">
        <v>0.33</v>
      </c>
      <c r="BN1956" s="48" t="n">
        <v>0.16</v>
      </c>
      <c r="BO1956" s="48" t="n">
        <v>0.5</v>
      </c>
      <c r="BP1956" s="48" t="n">
        <v>0.29</v>
      </c>
      <c r="BQ1956" s="48" t="n">
        <v>0.07999999999999999</v>
      </c>
      <c r="BR1956" s="48" t="n">
        <v>0.5</v>
      </c>
      <c r="BS1956" s="48" t="n">
        <v>0.61</v>
      </c>
      <c r="BT1956" s="48" t="n">
        <v>0.17</v>
      </c>
      <c r="BU1956" s="48" t="n">
        <v>1.05</v>
      </c>
      <c r="BV1956" s="48" t="n">
        <v>0.16</v>
      </c>
      <c r="BW1956" s="48" t="n">
        <v>0.03</v>
      </c>
      <c r="BX1956" s="48" t="n">
        <v>0.29</v>
      </c>
      <c r="BY1956" s="48" t="n">
        <v>0.16</v>
      </c>
      <c r="BZ1956" s="48" t="n">
        <v>0</v>
      </c>
      <c r="CA1956" s="48" t="n">
        <v>0.32</v>
      </c>
      <c r="CB1956" s="48" t="n">
        <v>0.14</v>
      </c>
      <c r="CC1956" s="48" t="n">
        <v>0.06000000000000001</v>
      </c>
      <c r="CD1956" s="48" t="n">
        <v>0.22</v>
      </c>
      <c r="CE1956" s="48" t="n">
        <v>0.32</v>
      </c>
      <c r="CF1956" s="48" t="n">
        <v>0.18</v>
      </c>
      <c r="CG1956" s="48" t="n">
        <v>0.46</v>
      </c>
      <c r="CH1956" s="48" t="n">
        <v>1.02</v>
      </c>
      <c r="CI1956" s="48" t="n">
        <v>0.3100000000000001</v>
      </c>
      <c r="CJ1956" s="48" t="n">
        <v>1.73</v>
      </c>
      <c r="CK1956" s="48" t="n">
        <v>0.31</v>
      </c>
      <c r="CL1956" s="48" t="n">
        <v>0.1</v>
      </c>
      <c r="CM1956" s="48" t="n">
        <v>0.52</v>
      </c>
      <c r="CN1956" s="48" t="n">
        <v>0.24</v>
      </c>
      <c r="CO1956" s="48" t="n">
        <v>0.03</v>
      </c>
      <c r="CP1956" s="48" t="n">
        <v>0.45</v>
      </c>
      <c r="CQ1956" s="48" t="n">
        <v>0.55</v>
      </c>
      <c r="CR1956" s="48" t="n">
        <v>0.08000000000000007</v>
      </c>
      <c r="CS1956" s="48" t="n">
        <v>1.02</v>
      </c>
      <c r="CT1956" s="48" t="n">
        <v>0.07000000000000001</v>
      </c>
      <c r="CU1956" s="48" t="n">
        <v>-0.1</v>
      </c>
      <c r="CV1956" s="48" t="n">
        <v>0.24</v>
      </c>
      <c r="CW1956" s="48" t="n">
        <v>0.39</v>
      </c>
      <c r="CX1956" s="48" t="n">
        <v>0.23</v>
      </c>
      <c r="CY1956" s="48" t="n">
        <v>0.55</v>
      </c>
      <c r="CZ1956" s="48" t="n">
        <v>0.22</v>
      </c>
      <c r="DA1956" s="48" t="n">
        <v>0.15</v>
      </c>
      <c r="DB1956" s="48" t="n">
        <v>0.29</v>
      </c>
      <c r="DC1956" s="48" t="n">
        <v>0.36</v>
      </c>
      <c r="DD1956" s="48" t="n">
        <v>0.19</v>
      </c>
      <c r="DE1956" s="48" t="n">
        <v>0.53</v>
      </c>
      <c r="DF1956" s="48" t="n">
        <v>1.1</v>
      </c>
      <c r="DG1956" s="48" t="n">
        <v>0.5900000000000001</v>
      </c>
      <c r="DH1956" s="48" t="n">
        <v>1.61</v>
      </c>
      <c r="DI1956" s="48" t="n">
        <v>0.55</v>
      </c>
      <c r="DJ1956" s="48" t="n">
        <v>0.3300000000000001</v>
      </c>
      <c r="DK1956" s="48" t="n">
        <v>0.77</v>
      </c>
      <c r="DL1956" s="48" t="n">
        <v>0.57</v>
      </c>
      <c r="DM1956" s="48" t="n">
        <v>0.34</v>
      </c>
      <c r="DN1956" s="48" t="n">
        <v>0.7999999999999999</v>
      </c>
      <c r="DO1956" s="48" t="n">
        <v>1.07</v>
      </c>
      <c r="DP1956" s="48" t="n">
        <v>0.6200000000000001</v>
      </c>
      <c r="DQ1956" s="48" t="n">
        <v>1.52</v>
      </c>
      <c r="DR1956" s="48" t="n">
        <v>0.0381623</v>
      </c>
      <c r="DS1956" s="48" t="n">
        <v>-0.09183769999999999</v>
      </c>
      <c r="DT1956" s="48" t="n">
        <v>0.1681623</v>
      </c>
      <c r="DU1956" s="48" t="n">
        <v>0.5754485</v>
      </c>
      <c r="DV1956" s="48" t="n">
        <v>0.4154485</v>
      </c>
      <c r="DW1956" s="48" t="n">
        <v>0.7354485000000001</v>
      </c>
      <c r="DX1956" s="48" t="n">
        <v>0</v>
      </c>
      <c r="DY1956" s="48" t="n">
        <v>-0.08</v>
      </c>
      <c r="DZ1956" s="48" t="n">
        <v>0.08</v>
      </c>
      <c r="EA1956" s="48" t="n">
        <v>1.0407593</v>
      </c>
      <c r="EB1956" s="48" t="n">
        <v>0.9007592999999999</v>
      </c>
      <c r="EC1956" s="48" t="n">
        <v>1.1807593</v>
      </c>
      <c r="ED1956" s="48" t="n">
        <v>0.1071272</v>
      </c>
      <c r="EE1956" s="48" t="n">
        <v>-0.6028728</v>
      </c>
      <c r="EF1956" s="48" t="n">
        <v>0.8171271999999999</v>
      </c>
      <c r="EG1956" s="48" t="n">
        <v>0.11</v>
      </c>
      <c r="EH1956" s="48" t="n">
        <v>-0.09999999999999999</v>
      </c>
      <c r="EI1956" s="48" t="n">
        <v>0.32</v>
      </c>
      <c r="EJ1956" s="48" t="n">
        <v>-0.0586924</v>
      </c>
      <c r="EK1956" s="48" t="n">
        <v>-0.2686924</v>
      </c>
      <c r="EL1956" s="48" t="n">
        <v>0.1513076</v>
      </c>
      <c r="EM1956" s="48" t="n">
        <v>0</v>
      </c>
      <c r="EN1956" s="48" t="n">
        <v>-0.47</v>
      </c>
      <c r="EO1956" s="48" t="n">
        <v>0.47</v>
      </c>
      <c r="EP1956" s="48" t="n">
        <v>0</v>
      </c>
      <c r="EQ1956" s="48" t="n">
        <v>-0.13</v>
      </c>
      <c r="ER1956" s="48" t="n">
        <v>0.13</v>
      </c>
      <c r="ES1956" s="48" t="n">
        <v>0</v>
      </c>
      <c r="ET1956" s="48" t="n">
        <v>-0.16</v>
      </c>
      <c r="EU1956" s="48" t="n">
        <v>0.16</v>
      </c>
      <c r="EV1956" s="48" t="n">
        <v>0</v>
      </c>
      <c r="EW1956" s="48" t="n">
        <v>-0.08</v>
      </c>
      <c r="EX1956" s="48" t="n">
        <v>0.08</v>
      </c>
      <c r="EY1956" s="48" t="n">
        <v>0</v>
      </c>
      <c r="EZ1956" s="48" t="n">
        <v>-0.14</v>
      </c>
      <c r="FA1956" s="48" t="n">
        <v>0.14</v>
      </c>
      <c r="FB1956" s="48" t="n">
        <v>0</v>
      </c>
      <c r="FC1956" s="48" t="n">
        <v>-0.71</v>
      </c>
      <c r="FD1956" s="48" t="n">
        <v>0.71</v>
      </c>
      <c r="FE1956" s="48" t="n">
        <v>0</v>
      </c>
      <c r="FF1956" s="48" t="n">
        <v>-0.21</v>
      </c>
      <c r="FG1956" s="48" t="n">
        <v>0.21</v>
      </c>
      <c r="FH1956" s="48" t="n">
        <v>0</v>
      </c>
      <c r="FI1956" s="48" t="n">
        <v>-0.21</v>
      </c>
      <c r="FJ1956" s="48" t="n">
        <v>0.21</v>
      </c>
      <c r="FK1956" s="48" t="n">
        <v>0</v>
      </c>
      <c r="FL1956" s="48" t="n">
        <v>-0.47</v>
      </c>
      <c r="FM1956" s="48" t="n">
        <v>0.47</v>
      </c>
      <c r="FO1956" s="43">
        <f>MIN($A1956,MultLastLag)+1</f>
        <v>12.0</v>
      </c>
    </row>
    <row r="1957">
      <c r="A1957" s="3" t="n">
        <v>15</v>
      </c>
      <c r="B1957" s="48" t="n">
        <v>0.24</v>
      </c>
      <c r="C1957" s="48" t="n">
        <v>0.03</v>
      </c>
      <c r="D1957" s="48" t="n">
        <v>0.45</v>
      </c>
      <c r="E1957" s="48" t="n">
        <v>0.26</v>
      </c>
      <c r="F1957" s="48" t="n">
        <v>0.08000000000000002</v>
      </c>
      <c r="G1957" s="48" t="n">
        <v>0.44</v>
      </c>
      <c r="H1957" s="48" t="n">
        <v>0.13</v>
      </c>
      <c r="I1957" s="48" t="n">
        <v>0.06</v>
      </c>
      <c r="J1957" s="48" t="n">
        <v>0.2</v>
      </c>
      <c r="K1957" s="48" t="n">
        <v>0.39</v>
      </c>
      <c r="L1957" s="48" t="n">
        <v>0.23</v>
      </c>
      <c r="M1957" s="48" t="n">
        <v>0.55</v>
      </c>
      <c r="N1957" s="48" t="n">
        <v>0.93</v>
      </c>
      <c r="O1957" s="48" t="n">
        <v>0.28</v>
      </c>
      <c r="P1957" s="48" t="n">
        <v>1.58</v>
      </c>
      <c r="Q1957" s="48" t="n">
        <v>0.35</v>
      </c>
      <c r="R1957" s="48" t="n">
        <v>0.13</v>
      </c>
      <c r="S1957" s="48" t="n">
        <v>0.57</v>
      </c>
      <c r="T1957" s="48" t="n">
        <v>0.3</v>
      </c>
      <c r="U1957" s="48" t="n">
        <v>0.06999999999999998</v>
      </c>
      <c r="V1957" s="48" t="n">
        <v>0.53</v>
      </c>
      <c r="W1957" s="48" t="n">
        <v>0.68</v>
      </c>
      <c r="X1957" s="48" t="n">
        <v>0.2100000000000001</v>
      </c>
      <c r="Y1957" s="48" t="n">
        <v>1.15</v>
      </c>
      <c r="Z1957" s="48" t="n">
        <v>0.3</v>
      </c>
      <c r="AA1957" s="48" t="n">
        <v>0.06</v>
      </c>
      <c r="AB1957" s="48" t="n">
        <v>0.54</v>
      </c>
      <c r="AC1957" s="48" t="n">
        <v>0.29</v>
      </c>
      <c r="AD1957" s="48" t="n">
        <v>0.11</v>
      </c>
      <c r="AE1957" s="48" t="n">
        <v>0.47</v>
      </c>
      <c r="AF1957" s="48" t="n">
        <v>0.11</v>
      </c>
      <c r="AG1957" s="48" t="n">
        <v>0.05</v>
      </c>
      <c r="AH1957" s="48" t="n">
        <v>0.17</v>
      </c>
      <c r="AI1957" s="48" t="n">
        <v>0.42</v>
      </c>
      <c r="AJ1957" s="48" t="n">
        <v>0.25</v>
      </c>
      <c r="AK1957" s="48" t="n">
        <v>0.59</v>
      </c>
      <c r="AL1957" s="48" t="n">
        <v>0.79</v>
      </c>
      <c r="AM1957" s="48" t="n">
        <v>-0.02999999999999992</v>
      </c>
      <c r="AN1957" s="48" t="n">
        <v>1.61</v>
      </c>
      <c r="AO1957" s="48" t="n">
        <v>0.34</v>
      </c>
      <c r="AP1957" s="48" t="n">
        <v>0.11</v>
      </c>
      <c r="AQ1957" s="48" t="n">
        <v>0.5700000000000001</v>
      </c>
      <c r="AR1957" s="48" t="n">
        <v>0.29</v>
      </c>
      <c r="AS1957" s="48" t="n">
        <v>0.06999999999999998</v>
      </c>
      <c r="AT1957" s="48" t="n">
        <v>0.51</v>
      </c>
      <c r="AU1957" s="48" t="n">
        <v>0.62</v>
      </c>
      <c r="AV1957" s="48" t="n">
        <v>0.14</v>
      </c>
      <c r="AW1957" s="48" t="n">
        <v>1.1</v>
      </c>
      <c r="AX1957" s="48" t="n">
        <v>0.24</v>
      </c>
      <c r="AY1957" s="48" t="n">
        <v>0.03</v>
      </c>
      <c r="AZ1957" s="48" t="n">
        <v>0.45</v>
      </c>
      <c r="BA1957" s="48" t="n">
        <v>0.26</v>
      </c>
      <c r="BB1957" s="48" t="n">
        <v>0.06</v>
      </c>
      <c r="BC1957" s="48" t="n">
        <v>0.46</v>
      </c>
      <c r="BD1957" s="48" t="n">
        <v>0.15</v>
      </c>
      <c r="BE1957" s="48" t="n">
        <v>0.06999999999999999</v>
      </c>
      <c r="BF1957" s="48" t="n">
        <v>0.23</v>
      </c>
      <c r="BG1957" s="48" t="n">
        <v>0.43</v>
      </c>
      <c r="BH1957" s="48" t="n">
        <v>0.27</v>
      </c>
      <c r="BI1957" s="48" t="n">
        <v>0.59</v>
      </c>
      <c r="BJ1957" s="48" t="n">
        <v>0.9399999999999999</v>
      </c>
      <c r="BK1957" s="48" t="n">
        <v>0.4399999999999999</v>
      </c>
      <c r="BL1957" s="48" t="n">
        <v>1.44</v>
      </c>
      <c r="BM1957" s="48" t="n">
        <v>0.33</v>
      </c>
      <c r="BN1957" s="48" t="n">
        <v>0.16</v>
      </c>
      <c r="BO1957" s="48" t="n">
        <v>0.5</v>
      </c>
      <c r="BP1957" s="48" t="n">
        <v>0.29</v>
      </c>
      <c r="BQ1957" s="48" t="n">
        <v>0.07999999999999999</v>
      </c>
      <c r="BR1957" s="48" t="n">
        <v>0.5</v>
      </c>
      <c r="BS1957" s="48" t="n">
        <v>0.61</v>
      </c>
      <c r="BT1957" s="48" t="n">
        <v>0.17</v>
      </c>
      <c r="BU1957" s="48" t="n">
        <v>1.05</v>
      </c>
      <c r="BV1957" s="48" t="n">
        <v>0.16</v>
      </c>
      <c r="BW1957" s="48" t="n">
        <v>0.03</v>
      </c>
      <c r="BX1957" s="48" t="n">
        <v>0.29</v>
      </c>
      <c r="BY1957" s="48" t="n">
        <v>0.16</v>
      </c>
      <c r="BZ1957" s="48" t="n">
        <v>0</v>
      </c>
      <c r="CA1957" s="48" t="n">
        <v>0.32</v>
      </c>
      <c r="CB1957" s="48" t="n">
        <v>0.14</v>
      </c>
      <c r="CC1957" s="48" t="n">
        <v>0.06000000000000001</v>
      </c>
      <c r="CD1957" s="48" t="n">
        <v>0.22</v>
      </c>
      <c r="CE1957" s="48" t="n">
        <v>0.32</v>
      </c>
      <c r="CF1957" s="48" t="n">
        <v>0.18</v>
      </c>
      <c r="CG1957" s="48" t="n">
        <v>0.46</v>
      </c>
      <c r="CH1957" s="48" t="n">
        <v>1.02</v>
      </c>
      <c r="CI1957" s="48" t="n">
        <v>0.3100000000000001</v>
      </c>
      <c r="CJ1957" s="48" t="n">
        <v>1.73</v>
      </c>
      <c r="CK1957" s="48" t="n">
        <v>0.31</v>
      </c>
      <c r="CL1957" s="48" t="n">
        <v>0.1</v>
      </c>
      <c r="CM1957" s="48" t="n">
        <v>0.52</v>
      </c>
      <c r="CN1957" s="48" t="n">
        <v>0.24</v>
      </c>
      <c r="CO1957" s="48" t="n">
        <v>0.03</v>
      </c>
      <c r="CP1957" s="48" t="n">
        <v>0.45</v>
      </c>
      <c r="CQ1957" s="48" t="n">
        <v>0.55</v>
      </c>
      <c r="CR1957" s="48" t="n">
        <v>0.08000000000000007</v>
      </c>
      <c r="CS1957" s="48" t="n">
        <v>1.02</v>
      </c>
      <c r="CT1957" s="48" t="n">
        <v>0.07000000000000001</v>
      </c>
      <c r="CU1957" s="48" t="n">
        <v>-0.1</v>
      </c>
      <c r="CV1957" s="48" t="n">
        <v>0.24</v>
      </c>
      <c r="CW1957" s="48" t="n">
        <v>0.39</v>
      </c>
      <c r="CX1957" s="48" t="n">
        <v>0.23</v>
      </c>
      <c r="CY1957" s="48" t="n">
        <v>0.55</v>
      </c>
      <c r="CZ1957" s="48" t="n">
        <v>0.22</v>
      </c>
      <c r="DA1957" s="48" t="n">
        <v>0.15</v>
      </c>
      <c r="DB1957" s="48" t="n">
        <v>0.29</v>
      </c>
      <c r="DC1957" s="48" t="n">
        <v>0.36</v>
      </c>
      <c r="DD1957" s="48" t="n">
        <v>0.19</v>
      </c>
      <c r="DE1957" s="48" t="n">
        <v>0.53</v>
      </c>
      <c r="DF1957" s="48" t="n">
        <v>1.1</v>
      </c>
      <c r="DG1957" s="48" t="n">
        <v>0.5900000000000001</v>
      </c>
      <c r="DH1957" s="48" t="n">
        <v>1.61</v>
      </c>
      <c r="DI1957" s="48" t="n">
        <v>0.55</v>
      </c>
      <c r="DJ1957" s="48" t="n">
        <v>0.3300000000000001</v>
      </c>
      <c r="DK1957" s="48" t="n">
        <v>0.77</v>
      </c>
      <c r="DL1957" s="48" t="n">
        <v>0.57</v>
      </c>
      <c r="DM1957" s="48" t="n">
        <v>0.34</v>
      </c>
      <c r="DN1957" s="48" t="n">
        <v>0.7999999999999999</v>
      </c>
      <c r="DO1957" s="48" t="n">
        <v>1.07</v>
      </c>
      <c r="DP1957" s="48" t="n">
        <v>0.6200000000000001</v>
      </c>
      <c r="DQ1957" s="48" t="n">
        <v>1.52</v>
      </c>
      <c r="DR1957" s="48" t="n">
        <v>0.0381623</v>
      </c>
      <c r="DS1957" s="48" t="n">
        <v>-0.09183769999999999</v>
      </c>
      <c r="DT1957" s="48" t="n">
        <v>0.1681623</v>
      </c>
      <c r="DU1957" s="48" t="n">
        <v>0.5754485</v>
      </c>
      <c r="DV1957" s="48" t="n">
        <v>0.4154485</v>
      </c>
      <c r="DW1957" s="48" t="n">
        <v>0.7354485000000001</v>
      </c>
      <c r="DX1957" s="48" t="n">
        <v>0</v>
      </c>
      <c r="DY1957" s="48" t="n">
        <v>-0.08</v>
      </c>
      <c r="DZ1957" s="48" t="n">
        <v>0.08</v>
      </c>
      <c r="EA1957" s="48" t="n">
        <v>1.0407593</v>
      </c>
      <c r="EB1957" s="48" t="n">
        <v>0.9007592999999999</v>
      </c>
      <c r="EC1957" s="48" t="n">
        <v>1.1807593</v>
      </c>
      <c r="ED1957" s="48" t="n">
        <v>0.1071272</v>
      </c>
      <c r="EE1957" s="48" t="n">
        <v>-0.6028728</v>
      </c>
      <c r="EF1957" s="48" t="n">
        <v>0.8171271999999999</v>
      </c>
      <c r="EG1957" s="48" t="n">
        <v>0.11</v>
      </c>
      <c r="EH1957" s="48" t="n">
        <v>-0.09999999999999999</v>
      </c>
      <c r="EI1957" s="48" t="n">
        <v>0.32</v>
      </c>
      <c r="EJ1957" s="48" t="n">
        <v>-0.0586924</v>
      </c>
      <c r="EK1957" s="48" t="n">
        <v>-0.2686924</v>
      </c>
      <c r="EL1957" s="48" t="n">
        <v>0.1513076</v>
      </c>
      <c r="EM1957" s="48" t="n">
        <v>0</v>
      </c>
      <c r="EN1957" s="48" t="n">
        <v>-0.47</v>
      </c>
      <c r="EO1957" s="48" t="n">
        <v>0.47</v>
      </c>
      <c r="EP1957" s="48" t="n">
        <v>0</v>
      </c>
      <c r="EQ1957" s="48" t="n">
        <v>-0.13</v>
      </c>
      <c r="ER1957" s="48" t="n">
        <v>0.13</v>
      </c>
      <c r="ES1957" s="48" t="n">
        <v>0</v>
      </c>
      <c r="ET1957" s="48" t="n">
        <v>-0.16</v>
      </c>
      <c r="EU1957" s="48" t="n">
        <v>0.16</v>
      </c>
      <c r="EV1957" s="48" t="n">
        <v>0</v>
      </c>
      <c r="EW1957" s="48" t="n">
        <v>-0.08</v>
      </c>
      <c r="EX1957" s="48" t="n">
        <v>0.08</v>
      </c>
      <c r="EY1957" s="48" t="n">
        <v>0</v>
      </c>
      <c r="EZ1957" s="48" t="n">
        <v>-0.14</v>
      </c>
      <c r="FA1957" s="48" t="n">
        <v>0.14</v>
      </c>
      <c r="FB1957" s="48" t="n">
        <v>0</v>
      </c>
      <c r="FC1957" s="48" t="n">
        <v>-0.71</v>
      </c>
      <c r="FD1957" s="48" t="n">
        <v>0.71</v>
      </c>
      <c r="FE1957" s="48" t="n">
        <v>0</v>
      </c>
      <c r="FF1957" s="48" t="n">
        <v>-0.21</v>
      </c>
      <c r="FG1957" s="48" t="n">
        <v>0.21</v>
      </c>
      <c r="FH1957" s="48" t="n">
        <v>0</v>
      </c>
      <c r="FI1957" s="48" t="n">
        <v>-0.21</v>
      </c>
      <c r="FJ1957" s="48" t="n">
        <v>0.21</v>
      </c>
      <c r="FK1957" s="48" t="n">
        <v>0</v>
      </c>
      <c r="FL1957" s="48" t="n">
        <v>-0.47</v>
      </c>
      <c r="FM1957" s="48" t="n">
        <v>0.47</v>
      </c>
      <c r="FO1957" s="43">
        <f>MIN($A1957,MultLastLag)+1</f>
        <v>12.0</v>
      </c>
    </row>
    <row r="1958">
      <c r="A1958" s="3" t="n">
        <v>16</v>
      </c>
      <c r="B1958" s="48" t="n">
        <v>0.24</v>
      </c>
      <c r="C1958" s="48" t="n">
        <v>0.03</v>
      </c>
      <c r="D1958" s="48" t="n">
        <v>0.45</v>
      </c>
      <c r="E1958" s="48" t="n">
        <v>0.26</v>
      </c>
      <c r="F1958" s="48" t="n">
        <v>0.08000000000000002</v>
      </c>
      <c r="G1958" s="48" t="n">
        <v>0.44</v>
      </c>
      <c r="H1958" s="48" t="n">
        <v>0.13</v>
      </c>
      <c r="I1958" s="48" t="n">
        <v>0.06</v>
      </c>
      <c r="J1958" s="48" t="n">
        <v>0.2</v>
      </c>
      <c r="K1958" s="48" t="n">
        <v>0.39</v>
      </c>
      <c r="L1958" s="48" t="n">
        <v>0.23</v>
      </c>
      <c r="M1958" s="48" t="n">
        <v>0.55</v>
      </c>
      <c r="N1958" s="48" t="n">
        <v>0.93</v>
      </c>
      <c r="O1958" s="48" t="n">
        <v>0.28</v>
      </c>
      <c r="P1958" s="48" t="n">
        <v>1.58</v>
      </c>
      <c r="Q1958" s="48" t="n">
        <v>0.35</v>
      </c>
      <c r="R1958" s="48" t="n">
        <v>0.13</v>
      </c>
      <c r="S1958" s="48" t="n">
        <v>0.57</v>
      </c>
      <c r="T1958" s="48" t="n">
        <v>0.3</v>
      </c>
      <c r="U1958" s="48" t="n">
        <v>0.06999999999999998</v>
      </c>
      <c r="V1958" s="48" t="n">
        <v>0.53</v>
      </c>
      <c r="W1958" s="48" t="n">
        <v>0.68</v>
      </c>
      <c r="X1958" s="48" t="n">
        <v>0.2100000000000001</v>
      </c>
      <c r="Y1958" s="48" t="n">
        <v>1.15</v>
      </c>
      <c r="Z1958" s="48" t="n">
        <v>0.3</v>
      </c>
      <c r="AA1958" s="48" t="n">
        <v>0.06</v>
      </c>
      <c r="AB1958" s="48" t="n">
        <v>0.54</v>
      </c>
      <c r="AC1958" s="48" t="n">
        <v>0.29</v>
      </c>
      <c r="AD1958" s="48" t="n">
        <v>0.11</v>
      </c>
      <c r="AE1958" s="48" t="n">
        <v>0.47</v>
      </c>
      <c r="AF1958" s="48" t="n">
        <v>0.11</v>
      </c>
      <c r="AG1958" s="48" t="n">
        <v>0.05</v>
      </c>
      <c r="AH1958" s="48" t="n">
        <v>0.17</v>
      </c>
      <c r="AI1958" s="48" t="n">
        <v>0.42</v>
      </c>
      <c r="AJ1958" s="48" t="n">
        <v>0.25</v>
      </c>
      <c r="AK1958" s="48" t="n">
        <v>0.59</v>
      </c>
      <c r="AL1958" s="48" t="n">
        <v>0.79</v>
      </c>
      <c r="AM1958" s="48" t="n">
        <v>-0.02999999999999992</v>
      </c>
      <c r="AN1958" s="48" t="n">
        <v>1.61</v>
      </c>
      <c r="AO1958" s="48" t="n">
        <v>0.34</v>
      </c>
      <c r="AP1958" s="48" t="n">
        <v>0.11</v>
      </c>
      <c r="AQ1958" s="48" t="n">
        <v>0.5700000000000001</v>
      </c>
      <c r="AR1958" s="48" t="n">
        <v>0.29</v>
      </c>
      <c r="AS1958" s="48" t="n">
        <v>0.06999999999999998</v>
      </c>
      <c r="AT1958" s="48" t="n">
        <v>0.51</v>
      </c>
      <c r="AU1958" s="48" t="n">
        <v>0.62</v>
      </c>
      <c r="AV1958" s="48" t="n">
        <v>0.14</v>
      </c>
      <c r="AW1958" s="48" t="n">
        <v>1.1</v>
      </c>
      <c r="AX1958" s="48" t="n">
        <v>0.24</v>
      </c>
      <c r="AY1958" s="48" t="n">
        <v>0.03</v>
      </c>
      <c r="AZ1958" s="48" t="n">
        <v>0.45</v>
      </c>
      <c r="BA1958" s="48" t="n">
        <v>0.26</v>
      </c>
      <c r="BB1958" s="48" t="n">
        <v>0.06</v>
      </c>
      <c r="BC1958" s="48" t="n">
        <v>0.46</v>
      </c>
      <c r="BD1958" s="48" t="n">
        <v>0.15</v>
      </c>
      <c r="BE1958" s="48" t="n">
        <v>0.06999999999999999</v>
      </c>
      <c r="BF1958" s="48" t="n">
        <v>0.23</v>
      </c>
      <c r="BG1958" s="48" t="n">
        <v>0.43</v>
      </c>
      <c r="BH1958" s="48" t="n">
        <v>0.27</v>
      </c>
      <c r="BI1958" s="48" t="n">
        <v>0.59</v>
      </c>
      <c r="BJ1958" s="48" t="n">
        <v>0.9399999999999999</v>
      </c>
      <c r="BK1958" s="48" t="n">
        <v>0.4399999999999999</v>
      </c>
      <c r="BL1958" s="48" t="n">
        <v>1.44</v>
      </c>
      <c r="BM1958" s="48" t="n">
        <v>0.33</v>
      </c>
      <c r="BN1958" s="48" t="n">
        <v>0.16</v>
      </c>
      <c r="BO1958" s="48" t="n">
        <v>0.5</v>
      </c>
      <c r="BP1958" s="48" t="n">
        <v>0.29</v>
      </c>
      <c r="BQ1958" s="48" t="n">
        <v>0.07999999999999999</v>
      </c>
      <c r="BR1958" s="48" t="n">
        <v>0.5</v>
      </c>
      <c r="BS1958" s="48" t="n">
        <v>0.61</v>
      </c>
      <c r="BT1958" s="48" t="n">
        <v>0.17</v>
      </c>
      <c r="BU1958" s="48" t="n">
        <v>1.05</v>
      </c>
      <c r="BV1958" s="48" t="n">
        <v>0.16</v>
      </c>
      <c r="BW1958" s="48" t="n">
        <v>0.03</v>
      </c>
      <c r="BX1958" s="48" t="n">
        <v>0.29</v>
      </c>
      <c r="BY1958" s="48" t="n">
        <v>0.16</v>
      </c>
      <c r="BZ1958" s="48" t="n">
        <v>0</v>
      </c>
      <c r="CA1958" s="48" t="n">
        <v>0.32</v>
      </c>
      <c r="CB1958" s="48" t="n">
        <v>0.14</v>
      </c>
      <c r="CC1958" s="48" t="n">
        <v>0.06000000000000001</v>
      </c>
      <c r="CD1958" s="48" t="n">
        <v>0.22</v>
      </c>
      <c r="CE1958" s="48" t="n">
        <v>0.32</v>
      </c>
      <c r="CF1958" s="48" t="n">
        <v>0.18</v>
      </c>
      <c r="CG1958" s="48" t="n">
        <v>0.46</v>
      </c>
      <c r="CH1958" s="48" t="n">
        <v>1.02</v>
      </c>
      <c r="CI1958" s="48" t="n">
        <v>0.3100000000000001</v>
      </c>
      <c r="CJ1958" s="48" t="n">
        <v>1.73</v>
      </c>
      <c r="CK1958" s="48" t="n">
        <v>0.31</v>
      </c>
      <c r="CL1958" s="48" t="n">
        <v>0.1</v>
      </c>
      <c r="CM1958" s="48" t="n">
        <v>0.52</v>
      </c>
      <c r="CN1958" s="48" t="n">
        <v>0.24</v>
      </c>
      <c r="CO1958" s="48" t="n">
        <v>0.03</v>
      </c>
      <c r="CP1958" s="48" t="n">
        <v>0.45</v>
      </c>
      <c r="CQ1958" s="48" t="n">
        <v>0.55</v>
      </c>
      <c r="CR1958" s="48" t="n">
        <v>0.08000000000000007</v>
      </c>
      <c r="CS1958" s="48" t="n">
        <v>1.02</v>
      </c>
      <c r="CT1958" s="48" t="n">
        <v>0.07000000000000001</v>
      </c>
      <c r="CU1958" s="48" t="n">
        <v>-0.1</v>
      </c>
      <c r="CV1958" s="48" t="n">
        <v>0.24</v>
      </c>
      <c r="CW1958" s="48" t="n">
        <v>0.39</v>
      </c>
      <c r="CX1958" s="48" t="n">
        <v>0.23</v>
      </c>
      <c r="CY1958" s="48" t="n">
        <v>0.55</v>
      </c>
      <c r="CZ1958" s="48" t="n">
        <v>0.22</v>
      </c>
      <c r="DA1958" s="48" t="n">
        <v>0.15</v>
      </c>
      <c r="DB1958" s="48" t="n">
        <v>0.29</v>
      </c>
      <c r="DC1958" s="48" t="n">
        <v>0.36</v>
      </c>
      <c r="DD1958" s="48" t="n">
        <v>0.19</v>
      </c>
      <c r="DE1958" s="48" t="n">
        <v>0.53</v>
      </c>
      <c r="DF1958" s="48" t="n">
        <v>1.1</v>
      </c>
      <c r="DG1958" s="48" t="n">
        <v>0.5900000000000001</v>
      </c>
      <c r="DH1958" s="48" t="n">
        <v>1.61</v>
      </c>
      <c r="DI1958" s="48" t="n">
        <v>0.55</v>
      </c>
      <c r="DJ1958" s="48" t="n">
        <v>0.3300000000000001</v>
      </c>
      <c r="DK1958" s="48" t="n">
        <v>0.77</v>
      </c>
      <c r="DL1958" s="48" t="n">
        <v>0.57</v>
      </c>
      <c r="DM1958" s="48" t="n">
        <v>0.34</v>
      </c>
      <c r="DN1958" s="48" t="n">
        <v>0.7999999999999999</v>
      </c>
      <c r="DO1958" s="48" t="n">
        <v>1.07</v>
      </c>
      <c r="DP1958" s="48" t="n">
        <v>0.6200000000000001</v>
      </c>
      <c r="DQ1958" s="48" t="n">
        <v>1.52</v>
      </c>
      <c r="DR1958" s="48" t="n">
        <v>0.0381623</v>
      </c>
      <c r="DS1958" s="48" t="n">
        <v>-0.09183769999999999</v>
      </c>
      <c r="DT1958" s="48" t="n">
        <v>0.1681623</v>
      </c>
      <c r="DU1958" s="48" t="n">
        <v>0.5754485</v>
      </c>
      <c r="DV1958" s="48" t="n">
        <v>0.4154485</v>
      </c>
      <c r="DW1958" s="48" t="n">
        <v>0.7354485000000001</v>
      </c>
      <c r="DX1958" s="48" t="n">
        <v>0</v>
      </c>
      <c r="DY1958" s="48" t="n">
        <v>-0.08</v>
      </c>
      <c r="DZ1958" s="48" t="n">
        <v>0.08</v>
      </c>
      <c r="EA1958" s="48" t="n">
        <v>1.0407593</v>
      </c>
      <c r="EB1958" s="48" t="n">
        <v>0.9007592999999999</v>
      </c>
      <c r="EC1958" s="48" t="n">
        <v>1.1807593</v>
      </c>
      <c r="ED1958" s="48" t="n">
        <v>0.1071272</v>
      </c>
      <c r="EE1958" s="48" t="n">
        <v>-0.6028728</v>
      </c>
      <c r="EF1958" s="48" t="n">
        <v>0.8171271999999999</v>
      </c>
      <c r="EG1958" s="48" t="n">
        <v>0.11</v>
      </c>
      <c r="EH1958" s="48" t="n">
        <v>-0.09999999999999999</v>
      </c>
      <c r="EI1958" s="48" t="n">
        <v>0.32</v>
      </c>
      <c r="EJ1958" s="48" t="n">
        <v>-0.0586924</v>
      </c>
      <c r="EK1958" s="48" t="n">
        <v>-0.2686924</v>
      </c>
      <c r="EL1958" s="48" t="n">
        <v>0.1513076</v>
      </c>
      <c r="EM1958" s="48" t="n">
        <v>0</v>
      </c>
      <c r="EN1958" s="48" t="n">
        <v>-0.47</v>
      </c>
      <c r="EO1958" s="48" t="n">
        <v>0.47</v>
      </c>
      <c r="EP1958" s="48" t="n">
        <v>0</v>
      </c>
      <c r="EQ1958" s="48" t="n">
        <v>-0.13</v>
      </c>
      <c r="ER1958" s="48" t="n">
        <v>0.13</v>
      </c>
      <c r="ES1958" s="48" t="n">
        <v>0</v>
      </c>
      <c r="ET1958" s="48" t="n">
        <v>-0.16</v>
      </c>
      <c r="EU1958" s="48" t="n">
        <v>0.16</v>
      </c>
      <c r="EV1958" s="48" t="n">
        <v>0</v>
      </c>
      <c r="EW1958" s="48" t="n">
        <v>-0.08</v>
      </c>
      <c r="EX1958" s="48" t="n">
        <v>0.08</v>
      </c>
      <c r="EY1958" s="48" t="n">
        <v>0</v>
      </c>
      <c r="EZ1958" s="48" t="n">
        <v>-0.14</v>
      </c>
      <c r="FA1958" s="48" t="n">
        <v>0.14</v>
      </c>
      <c r="FB1958" s="48" t="n">
        <v>0</v>
      </c>
      <c r="FC1958" s="48" t="n">
        <v>-0.71</v>
      </c>
      <c r="FD1958" s="48" t="n">
        <v>0.71</v>
      </c>
      <c r="FE1958" s="48" t="n">
        <v>0</v>
      </c>
      <c r="FF1958" s="48" t="n">
        <v>-0.21</v>
      </c>
      <c r="FG1958" s="48" t="n">
        <v>0.21</v>
      </c>
      <c r="FH1958" s="48" t="n">
        <v>0</v>
      </c>
      <c r="FI1958" s="48" t="n">
        <v>-0.21</v>
      </c>
      <c r="FJ1958" s="48" t="n">
        <v>0.21</v>
      </c>
      <c r="FK1958" s="48" t="n">
        <v>0</v>
      </c>
      <c r="FL1958" s="48" t="n">
        <v>-0.47</v>
      </c>
      <c r="FM1958" s="48" t="n">
        <v>0.47</v>
      </c>
      <c r="FO1958" s="43">
        <f>MIN($A1958,MultLastLag)+1</f>
        <v>12.0</v>
      </c>
    </row>
    <row r="1959">
      <c r="A1959" s="3" t="n">
        <v>17</v>
      </c>
      <c r="B1959" s="48" t="n">
        <v>0.24</v>
      </c>
      <c r="C1959" s="48" t="n">
        <v>0.03</v>
      </c>
      <c r="D1959" s="48" t="n">
        <v>0.45</v>
      </c>
      <c r="E1959" s="48" t="n">
        <v>0.26</v>
      </c>
      <c r="F1959" s="48" t="n">
        <v>0.08000000000000002</v>
      </c>
      <c r="G1959" s="48" t="n">
        <v>0.44</v>
      </c>
      <c r="H1959" s="48" t="n">
        <v>0.13</v>
      </c>
      <c r="I1959" s="48" t="n">
        <v>0.06</v>
      </c>
      <c r="J1959" s="48" t="n">
        <v>0.2</v>
      </c>
      <c r="K1959" s="48" t="n">
        <v>0.39</v>
      </c>
      <c r="L1959" s="48" t="n">
        <v>0.23</v>
      </c>
      <c r="M1959" s="48" t="n">
        <v>0.55</v>
      </c>
      <c r="N1959" s="48" t="n">
        <v>0.93</v>
      </c>
      <c r="O1959" s="48" t="n">
        <v>0.28</v>
      </c>
      <c r="P1959" s="48" t="n">
        <v>1.58</v>
      </c>
      <c r="Q1959" s="48" t="n">
        <v>0.35</v>
      </c>
      <c r="R1959" s="48" t="n">
        <v>0.13</v>
      </c>
      <c r="S1959" s="48" t="n">
        <v>0.57</v>
      </c>
      <c r="T1959" s="48" t="n">
        <v>0.3</v>
      </c>
      <c r="U1959" s="48" t="n">
        <v>0.06999999999999998</v>
      </c>
      <c r="V1959" s="48" t="n">
        <v>0.53</v>
      </c>
      <c r="W1959" s="48" t="n">
        <v>0.68</v>
      </c>
      <c r="X1959" s="48" t="n">
        <v>0.2100000000000001</v>
      </c>
      <c r="Y1959" s="48" t="n">
        <v>1.15</v>
      </c>
      <c r="Z1959" s="48" t="n">
        <v>0.3</v>
      </c>
      <c r="AA1959" s="48" t="n">
        <v>0.06</v>
      </c>
      <c r="AB1959" s="48" t="n">
        <v>0.54</v>
      </c>
      <c r="AC1959" s="48" t="n">
        <v>0.29</v>
      </c>
      <c r="AD1959" s="48" t="n">
        <v>0.11</v>
      </c>
      <c r="AE1959" s="48" t="n">
        <v>0.47</v>
      </c>
      <c r="AF1959" s="48" t="n">
        <v>0.11</v>
      </c>
      <c r="AG1959" s="48" t="n">
        <v>0.05</v>
      </c>
      <c r="AH1959" s="48" t="n">
        <v>0.17</v>
      </c>
      <c r="AI1959" s="48" t="n">
        <v>0.42</v>
      </c>
      <c r="AJ1959" s="48" t="n">
        <v>0.25</v>
      </c>
      <c r="AK1959" s="48" t="n">
        <v>0.59</v>
      </c>
      <c r="AL1959" s="48" t="n">
        <v>0.79</v>
      </c>
      <c r="AM1959" s="48" t="n">
        <v>-0.02999999999999992</v>
      </c>
      <c r="AN1959" s="48" t="n">
        <v>1.61</v>
      </c>
      <c r="AO1959" s="48" t="n">
        <v>0.34</v>
      </c>
      <c r="AP1959" s="48" t="n">
        <v>0.11</v>
      </c>
      <c r="AQ1959" s="48" t="n">
        <v>0.5700000000000001</v>
      </c>
      <c r="AR1959" s="48" t="n">
        <v>0.29</v>
      </c>
      <c r="AS1959" s="48" t="n">
        <v>0.06999999999999998</v>
      </c>
      <c r="AT1959" s="48" t="n">
        <v>0.51</v>
      </c>
      <c r="AU1959" s="48" t="n">
        <v>0.62</v>
      </c>
      <c r="AV1959" s="48" t="n">
        <v>0.14</v>
      </c>
      <c r="AW1959" s="48" t="n">
        <v>1.1</v>
      </c>
      <c r="AX1959" s="48" t="n">
        <v>0.24</v>
      </c>
      <c r="AY1959" s="48" t="n">
        <v>0.03</v>
      </c>
      <c r="AZ1959" s="48" t="n">
        <v>0.45</v>
      </c>
      <c r="BA1959" s="48" t="n">
        <v>0.26</v>
      </c>
      <c r="BB1959" s="48" t="n">
        <v>0.06</v>
      </c>
      <c r="BC1959" s="48" t="n">
        <v>0.46</v>
      </c>
      <c r="BD1959" s="48" t="n">
        <v>0.15</v>
      </c>
      <c r="BE1959" s="48" t="n">
        <v>0.06999999999999999</v>
      </c>
      <c r="BF1959" s="48" t="n">
        <v>0.23</v>
      </c>
      <c r="BG1959" s="48" t="n">
        <v>0.43</v>
      </c>
      <c r="BH1959" s="48" t="n">
        <v>0.27</v>
      </c>
      <c r="BI1959" s="48" t="n">
        <v>0.59</v>
      </c>
      <c r="BJ1959" s="48" t="n">
        <v>0.9399999999999999</v>
      </c>
      <c r="BK1959" s="48" t="n">
        <v>0.4399999999999999</v>
      </c>
      <c r="BL1959" s="48" t="n">
        <v>1.44</v>
      </c>
      <c r="BM1959" s="48" t="n">
        <v>0.33</v>
      </c>
      <c r="BN1959" s="48" t="n">
        <v>0.16</v>
      </c>
      <c r="BO1959" s="48" t="n">
        <v>0.5</v>
      </c>
      <c r="BP1959" s="48" t="n">
        <v>0.29</v>
      </c>
      <c r="BQ1959" s="48" t="n">
        <v>0.07999999999999999</v>
      </c>
      <c r="BR1959" s="48" t="n">
        <v>0.5</v>
      </c>
      <c r="BS1959" s="48" t="n">
        <v>0.61</v>
      </c>
      <c r="BT1959" s="48" t="n">
        <v>0.17</v>
      </c>
      <c r="BU1959" s="48" t="n">
        <v>1.05</v>
      </c>
      <c r="BV1959" s="48" t="n">
        <v>0.16</v>
      </c>
      <c r="BW1959" s="48" t="n">
        <v>0.03</v>
      </c>
      <c r="BX1959" s="48" t="n">
        <v>0.29</v>
      </c>
      <c r="BY1959" s="48" t="n">
        <v>0.16</v>
      </c>
      <c r="BZ1959" s="48" t="n">
        <v>0</v>
      </c>
      <c r="CA1959" s="48" t="n">
        <v>0.32</v>
      </c>
      <c r="CB1959" s="48" t="n">
        <v>0.14</v>
      </c>
      <c r="CC1959" s="48" t="n">
        <v>0.06000000000000001</v>
      </c>
      <c r="CD1959" s="48" t="n">
        <v>0.22</v>
      </c>
      <c r="CE1959" s="48" t="n">
        <v>0.32</v>
      </c>
      <c r="CF1959" s="48" t="n">
        <v>0.18</v>
      </c>
      <c r="CG1959" s="48" t="n">
        <v>0.46</v>
      </c>
      <c r="CH1959" s="48" t="n">
        <v>1.02</v>
      </c>
      <c r="CI1959" s="48" t="n">
        <v>0.3100000000000001</v>
      </c>
      <c r="CJ1959" s="48" t="n">
        <v>1.73</v>
      </c>
      <c r="CK1959" s="48" t="n">
        <v>0.31</v>
      </c>
      <c r="CL1959" s="48" t="n">
        <v>0.1</v>
      </c>
      <c r="CM1959" s="48" t="n">
        <v>0.52</v>
      </c>
      <c r="CN1959" s="48" t="n">
        <v>0.24</v>
      </c>
      <c r="CO1959" s="48" t="n">
        <v>0.03</v>
      </c>
      <c r="CP1959" s="48" t="n">
        <v>0.45</v>
      </c>
      <c r="CQ1959" s="48" t="n">
        <v>0.55</v>
      </c>
      <c r="CR1959" s="48" t="n">
        <v>0.08000000000000007</v>
      </c>
      <c r="CS1959" s="48" t="n">
        <v>1.02</v>
      </c>
      <c r="CT1959" s="48" t="n">
        <v>0.07000000000000001</v>
      </c>
      <c r="CU1959" s="48" t="n">
        <v>-0.1</v>
      </c>
      <c r="CV1959" s="48" t="n">
        <v>0.24</v>
      </c>
      <c r="CW1959" s="48" t="n">
        <v>0.39</v>
      </c>
      <c r="CX1959" s="48" t="n">
        <v>0.23</v>
      </c>
      <c r="CY1959" s="48" t="n">
        <v>0.55</v>
      </c>
      <c r="CZ1959" s="48" t="n">
        <v>0.22</v>
      </c>
      <c r="DA1959" s="48" t="n">
        <v>0.15</v>
      </c>
      <c r="DB1959" s="48" t="n">
        <v>0.29</v>
      </c>
      <c r="DC1959" s="48" t="n">
        <v>0.36</v>
      </c>
      <c r="DD1959" s="48" t="n">
        <v>0.19</v>
      </c>
      <c r="DE1959" s="48" t="n">
        <v>0.53</v>
      </c>
      <c r="DF1959" s="48" t="n">
        <v>1.1</v>
      </c>
      <c r="DG1959" s="48" t="n">
        <v>0.5900000000000001</v>
      </c>
      <c r="DH1959" s="48" t="n">
        <v>1.61</v>
      </c>
      <c r="DI1959" s="48" t="n">
        <v>0.55</v>
      </c>
      <c r="DJ1959" s="48" t="n">
        <v>0.3300000000000001</v>
      </c>
      <c r="DK1959" s="48" t="n">
        <v>0.77</v>
      </c>
      <c r="DL1959" s="48" t="n">
        <v>0.57</v>
      </c>
      <c r="DM1959" s="48" t="n">
        <v>0.34</v>
      </c>
      <c r="DN1959" s="48" t="n">
        <v>0.7999999999999999</v>
      </c>
      <c r="DO1959" s="48" t="n">
        <v>1.07</v>
      </c>
      <c r="DP1959" s="48" t="n">
        <v>0.6200000000000001</v>
      </c>
      <c r="DQ1959" s="48" t="n">
        <v>1.52</v>
      </c>
      <c r="DR1959" s="48" t="n">
        <v>0.0381623</v>
      </c>
      <c r="DS1959" s="48" t="n">
        <v>-0.09183769999999999</v>
      </c>
      <c r="DT1959" s="48" t="n">
        <v>0.1681623</v>
      </c>
      <c r="DU1959" s="48" t="n">
        <v>0.5754485</v>
      </c>
      <c r="DV1959" s="48" t="n">
        <v>0.4154485</v>
      </c>
      <c r="DW1959" s="48" t="n">
        <v>0.7354485000000001</v>
      </c>
      <c r="DX1959" s="48" t="n">
        <v>0</v>
      </c>
      <c r="DY1959" s="48" t="n">
        <v>-0.08</v>
      </c>
      <c r="DZ1959" s="48" t="n">
        <v>0.08</v>
      </c>
      <c r="EA1959" s="48" t="n">
        <v>1.0407593</v>
      </c>
      <c r="EB1959" s="48" t="n">
        <v>0.9007592999999999</v>
      </c>
      <c r="EC1959" s="48" t="n">
        <v>1.1807593</v>
      </c>
      <c r="ED1959" s="48" t="n">
        <v>0.1071272</v>
      </c>
      <c r="EE1959" s="48" t="n">
        <v>-0.6028728</v>
      </c>
      <c r="EF1959" s="48" t="n">
        <v>0.8171271999999999</v>
      </c>
      <c r="EG1959" s="48" t="n">
        <v>0.11</v>
      </c>
      <c r="EH1959" s="48" t="n">
        <v>-0.09999999999999999</v>
      </c>
      <c r="EI1959" s="48" t="n">
        <v>0.32</v>
      </c>
      <c r="EJ1959" s="48" t="n">
        <v>-0.0586924</v>
      </c>
      <c r="EK1959" s="48" t="n">
        <v>-0.2686924</v>
      </c>
      <c r="EL1959" s="48" t="n">
        <v>0.1513076</v>
      </c>
      <c r="EM1959" s="48" t="n">
        <v>0</v>
      </c>
      <c r="EN1959" s="48" t="n">
        <v>-0.47</v>
      </c>
      <c r="EO1959" s="48" t="n">
        <v>0.47</v>
      </c>
      <c r="EP1959" s="48" t="n">
        <v>0</v>
      </c>
      <c r="EQ1959" s="48" t="n">
        <v>-0.13</v>
      </c>
      <c r="ER1959" s="48" t="n">
        <v>0.13</v>
      </c>
      <c r="ES1959" s="48" t="n">
        <v>0</v>
      </c>
      <c r="ET1959" s="48" t="n">
        <v>-0.16</v>
      </c>
      <c r="EU1959" s="48" t="n">
        <v>0.16</v>
      </c>
      <c r="EV1959" s="48" t="n">
        <v>0</v>
      </c>
      <c r="EW1959" s="48" t="n">
        <v>-0.08</v>
      </c>
      <c r="EX1959" s="48" t="n">
        <v>0.08</v>
      </c>
      <c r="EY1959" s="48" t="n">
        <v>0</v>
      </c>
      <c r="EZ1959" s="48" t="n">
        <v>-0.14</v>
      </c>
      <c r="FA1959" s="48" t="n">
        <v>0.14</v>
      </c>
      <c r="FB1959" s="48" t="n">
        <v>0</v>
      </c>
      <c r="FC1959" s="48" t="n">
        <v>-0.71</v>
      </c>
      <c r="FD1959" s="48" t="n">
        <v>0.71</v>
      </c>
      <c r="FE1959" s="48" t="n">
        <v>0</v>
      </c>
      <c r="FF1959" s="48" t="n">
        <v>-0.21</v>
      </c>
      <c r="FG1959" s="48" t="n">
        <v>0.21</v>
      </c>
      <c r="FH1959" s="48" t="n">
        <v>0</v>
      </c>
      <c r="FI1959" s="48" t="n">
        <v>-0.21</v>
      </c>
      <c r="FJ1959" s="48" t="n">
        <v>0.21</v>
      </c>
      <c r="FK1959" s="48" t="n">
        <v>0</v>
      </c>
      <c r="FL1959" s="48" t="n">
        <v>-0.47</v>
      </c>
      <c r="FM1959" s="48" t="n">
        <v>0.47</v>
      </c>
      <c r="FO1959" s="43">
        <f>MIN($A1959,MultLastLag)+1</f>
        <v>12.0</v>
      </c>
    </row>
    <row r="1960">
      <c r="A1960" s="3" t="n">
        <v>18</v>
      </c>
      <c r="B1960" s="48" t="n">
        <v>0.24</v>
      </c>
      <c r="C1960" s="48" t="n">
        <v>0.03</v>
      </c>
      <c r="D1960" s="48" t="n">
        <v>0.45</v>
      </c>
      <c r="E1960" s="48" t="n">
        <v>0.26</v>
      </c>
      <c r="F1960" s="48" t="n">
        <v>0.08000000000000002</v>
      </c>
      <c r="G1960" s="48" t="n">
        <v>0.44</v>
      </c>
      <c r="H1960" s="48" t="n">
        <v>0.13</v>
      </c>
      <c r="I1960" s="48" t="n">
        <v>0.06</v>
      </c>
      <c r="J1960" s="48" t="n">
        <v>0.2</v>
      </c>
      <c r="K1960" s="48" t="n">
        <v>0.39</v>
      </c>
      <c r="L1960" s="48" t="n">
        <v>0.23</v>
      </c>
      <c r="M1960" s="48" t="n">
        <v>0.55</v>
      </c>
      <c r="N1960" s="48" t="n">
        <v>0.93</v>
      </c>
      <c r="O1960" s="48" t="n">
        <v>0.28</v>
      </c>
      <c r="P1960" s="48" t="n">
        <v>1.58</v>
      </c>
      <c r="Q1960" s="48" t="n">
        <v>0.35</v>
      </c>
      <c r="R1960" s="48" t="n">
        <v>0.13</v>
      </c>
      <c r="S1960" s="48" t="n">
        <v>0.57</v>
      </c>
      <c r="T1960" s="48" t="n">
        <v>0.3</v>
      </c>
      <c r="U1960" s="48" t="n">
        <v>0.06999999999999998</v>
      </c>
      <c r="V1960" s="48" t="n">
        <v>0.53</v>
      </c>
      <c r="W1960" s="48" t="n">
        <v>0.68</v>
      </c>
      <c r="X1960" s="48" t="n">
        <v>0.2100000000000001</v>
      </c>
      <c r="Y1960" s="48" t="n">
        <v>1.15</v>
      </c>
      <c r="Z1960" s="48" t="n">
        <v>0.3</v>
      </c>
      <c r="AA1960" s="48" t="n">
        <v>0.06</v>
      </c>
      <c r="AB1960" s="48" t="n">
        <v>0.54</v>
      </c>
      <c r="AC1960" s="48" t="n">
        <v>0.29</v>
      </c>
      <c r="AD1960" s="48" t="n">
        <v>0.11</v>
      </c>
      <c r="AE1960" s="48" t="n">
        <v>0.47</v>
      </c>
      <c r="AF1960" s="48" t="n">
        <v>0.11</v>
      </c>
      <c r="AG1960" s="48" t="n">
        <v>0.05</v>
      </c>
      <c r="AH1960" s="48" t="n">
        <v>0.17</v>
      </c>
      <c r="AI1960" s="48" t="n">
        <v>0.42</v>
      </c>
      <c r="AJ1960" s="48" t="n">
        <v>0.25</v>
      </c>
      <c r="AK1960" s="48" t="n">
        <v>0.59</v>
      </c>
      <c r="AL1960" s="48" t="n">
        <v>0.79</v>
      </c>
      <c r="AM1960" s="48" t="n">
        <v>-0.02999999999999992</v>
      </c>
      <c r="AN1960" s="48" t="n">
        <v>1.61</v>
      </c>
      <c r="AO1960" s="48" t="n">
        <v>0.34</v>
      </c>
      <c r="AP1960" s="48" t="n">
        <v>0.11</v>
      </c>
      <c r="AQ1960" s="48" t="n">
        <v>0.5700000000000001</v>
      </c>
      <c r="AR1960" s="48" t="n">
        <v>0.29</v>
      </c>
      <c r="AS1960" s="48" t="n">
        <v>0.06999999999999998</v>
      </c>
      <c r="AT1960" s="48" t="n">
        <v>0.51</v>
      </c>
      <c r="AU1960" s="48" t="n">
        <v>0.62</v>
      </c>
      <c r="AV1960" s="48" t="n">
        <v>0.14</v>
      </c>
      <c r="AW1960" s="48" t="n">
        <v>1.1</v>
      </c>
      <c r="AX1960" s="48" t="n">
        <v>0.24</v>
      </c>
      <c r="AY1960" s="48" t="n">
        <v>0.03</v>
      </c>
      <c r="AZ1960" s="48" t="n">
        <v>0.45</v>
      </c>
      <c r="BA1960" s="48" t="n">
        <v>0.26</v>
      </c>
      <c r="BB1960" s="48" t="n">
        <v>0.06</v>
      </c>
      <c r="BC1960" s="48" t="n">
        <v>0.46</v>
      </c>
      <c r="BD1960" s="48" t="n">
        <v>0.15</v>
      </c>
      <c r="BE1960" s="48" t="n">
        <v>0.06999999999999999</v>
      </c>
      <c r="BF1960" s="48" t="n">
        <v>0.23</v>
      </c>
      <c r="BG1960" s="48" t="n">
        <v>0.43</v>
      </c>
      <c r="BH1960" s="48" t="n">
        <v>0.27</v>
      </c>
      <c r="BI1960" s="48" t="n">
        <v>0.59</v>
      </c>
      <c r="BJ1960" s="48" t="n">
        <v>0.9399999999999999</v>
      </c>
      <c r="BK1960" s="48" t="n">
        <v>0.4399999999999999</v>
      </c>
      <c r="BL1960" s="48" t="n">
        <v>1.44</v>
      </c>
      <c r="BM1960" s="48" t="n">
        <v>0.33</v>
      </c>
      <c r="BN1960" s="48" t="n">
        <v>0.16</v>
      </c>
      <c r="BO1960" s="48" t="n">
        <v>0.5</v>
      </c>
      <c r="BP1960" s="48" t="n">
        <v>0.29</v>
      </c>
      <c r="BQ1960" s="48" t="n">
        <v>0.07999999999999999</v>
      </c>
      <c r="BR1960" s="48" t="n">
        <v>0.5</v>
      </c>
      <c r="BS1960" s="48" t="n">
        <v>0.61</v>
      </c>
      <c r="BT1960" s="48" t="n">
        <v>0.17</v>
      </c>
      <c r="BU1960" s="48" t="n">
        <v>1.05</v>
      </c>
      <c r="BV1960" s="48" t="n">
        <v>0.16</v>
      </c>
      <c r="BW1960" s="48" t="n">
        <v>0.03</v>
      </c>
      <c r="BX1960" s="48" t="n">
        <v>0.29</v>
      </c>
      <c r="BY1960" s="48" t="n">
        <v>0.16</v>
      </c>
      <c r="BZ1960" s="48" t="n">
        <v>0</v>
      </c>
      <c r="CA1960" s="48" t="n">
        <v>0.32</v>
      </c>
      <c r="CB1960" s="48" t="n">
        <v>0.14</v>
      </c>
      <c r="CC1960" s="48" t="n">
        <v>0.06000000000000001</v>
      </c>
      <c r="CD1960" s="48" t="n">
        <v>0.22</v>
      </c>
      <c r="CE1960" s="48" t="n">
        <v>0.32</v>
      </c>
      <c r="CF1960" s="48" t="n">
        <v>0.18</v>
      </c>
      <c r="CG1960" s="48" t="n">
        <v>0.46</v>
      </c>
      <c r="CH1960" s="48" t="n">
        <v>1.02</v>
      </c>
      <c r="CI1960" s="48" t="n">
        <v>0.3100000000000001</v>
      </c>
      <c r="CJ1960" s="48" t="n">
        <v>1.73</v>
      </c>
      <c r="CK1960" s="48" t="n">
        <v>0.31</v>
      </c>
      <c r="CL1960" s="48" t="n">
        <v>0.1</v>
      </c>
      <c r="CM1960" s="48" t="n">
        <v>0.52</v>
      </c>
      <c r="CN1960" s="48" t="n">
        <v>0.24</v>
      </c>
      <c r="CO1960" s="48" t="n">
        <v>0.03</v>
      </c>
      <c r="CP1960" s="48" t="n">
        <v>0.45</v>
      </c>
      <c r="CQ1960" s="48" t="n">
        <v>0.55</v>
      </c>
      <c r="CR1960" s="48" t="n">
        <v>0.08000000000000007</v>
      </c>
      <c r="CS1960" s="48" t="n">
        <v>1.02</v>
      </c>
      <c r="CT1960" s="48" t="n">
        <v>0.07000000000000001</v>
      </c>
      <c r="CU1960" s="48" t="n">
        <v>-0.1</v>
      </c>
      <c r="CV1960" s="48" t="n">
        <v>0.24</v>
      </c>
      <c r="CW1960" s="48" t="n">
        <v>0.39</v>
      </c>
      <c r="CX1960" s="48" t="n">
        <v>0.23</v>
      </c>
      <c r="CY1960" s="48" t="n">
        <v>0.55</v>
      </c>
      <c r="CZ1960" s="48" t="n">
        <v>0.22</v>
      </c>
      <c r="DA1960" s="48" t="n">
        <v>0.15</v>
      </c>
      <c r="DB1960" s="48" t="n">
        <v>0.29</v>
      </c>
      <c r="DC1960" s="48" t="n">
        <v>0.36</v>
      </c>
      <c r="DD1960" s="48" t="n">
        <v>0.19</v>
      </c>
      <c r="DE1960" s="48" t="n">
        <v>0.53</v>
      </c>
      <c r="DF1960" s="48" t="n">
        <v>1.1</v>
      </c>
      <c r="DG1960" s="48" t="n">
        <v>0.5900000000000001</v>
      </c>
      <c r="DH1960" s="48" t="n">
        <v>1.61</v>
      </c>
      <c r="DI1960" s="48" t="n">
        <v>0.55</v>
      </c>
      <c r="DJ1960" s="48" t="n">
        <v>0.3300000000000001</v>
      </c>
      <c r="DK1960" s="48" t="n">
        <v>0.77</v>
      </c>
      <c r="DL1960" s="48" t="n">
        <v>0.57</v>
      </c>
      <c r="DM1960" s="48" t="n">
        <v>0.34</v>
      </c>
      <c r="DN1960" s="48" t="n">
        <v>0.7999999999999999</v>
      </c>
      <c r="DO1960" s="48" t="n">
        <v>1.07</v>
      </c>
      <c r="DP1960" s="48" t="n">
        <v>0.6200000000000001</v>
      </c>
      <c r="DQ1960" s="48" t="n">
        <v>1.52</v>
      </c>
      <c r="DR1960" s="48" t="n">
        <v>0.0381623</v>
      </c>
      <c r="DS1960" s="48" t="n">
        <v>-0.09183769999999999</v>
      </c>
      <c r="DT1960" s="48" t="n">
        <v>0.1681623</v>
      </c>
      <c r="DU1960" s="48" t="n">
        <v>0.5754485</v>
      </c>
      <c r="DV1960" s="48" t="n">
        <v>0.4154485</v>
      </c>
      <c r="DW1960" s="48" t="n">
        <v>0.7354485000000001</v>
      </c>
      <c r="DX1960" s="48" t="n">
        <v>0</v>
      </c>
      <c r="DY1960" s="48" t="n">
        <v>-0.08</v>
      </c>
      <c r="DZ1960" s="48" t="n">
        <v>0.08</v>
      </c>
      <c r="EA1960" s="48" t="n">
        <v>1.0407593</v>
      </c>
      <c r="EB1960" s="48" t="n">
        <v>0.9007592999999999</v>
      </c>
      <c r="EC1960" s="48" t="n">
        <v>1.1807593</v>
      </c>
      <c r="ED1960" s="48" t="n">
        <v>0.1071272</v>
      </c>
      <c r="EE1960" s="48" t="n">
        <v>-0.6028728</v>
      </c>
      <c r="EF1960" s="48" t="n">
        <v>0.8171271999999999</v>
      </c>
      <c r="EG1960" s="48" t="n">
        <v>0.11</v>
      </c>
      <c r="EH1960" s="48" t="n">
        <v>-0.09999999999999999</v>
      </c>
      <c r="EI1960" s="48" t="n">
        <v>0.32</v>
      </c>
      <c r="EJ1960" s="48" t="n">
        <v>-0.0586924</v>
      </c>
      <c r="EK1960" s="48" t="n">
        <v>-0.2686924</v>
      </c>
      <c r="EL1960" s="48" t="n">
        <v>0.1513076</v>
      </c>
      <c r="EM1960" s="48" t="n">
        <v>0</v>
      </c>
      <c r="EN1960" s="48" t="n">
        <v>-0.47</v>
      </c>
      <c r="EO1960" s="48" t="n">
        <v>0.47</v>
      </c>
      <c r="EP1960" s="48" t="n">
        <v>0</v>
      </c>
      <c r="EQ1960" s="48" t="n">
        <v>-0.13</v>
      </c>
      <c r="ER1960" s="48" t="n">
        <v>0.13</v>
      </c>
      <c r="ES1960" s="48" t="n">
        <v>0</v>
      </c>
      <c r="ET1960" s="48" t="n">
        <v>-0.16</v>
      </c>
      <c r="EU1960" s="48" t="n">
        <v>0.16</v>
      </c>
      <c r="EV1960" s="48" t="n">
        <v>0</v>
      </c>
      <c r="EW1960" s="48" t="n">
        <v>-0.08</v>
      </c>
      <c r="EX1960" s="48" t="n">
        <v>0.08</v>
      </c>
      <c r="EY1960" s="48" t="n">
        <v>0</v>
      </c>
      <c r="EZ1960" s="48" t="n">
        <v>-0.14</v>
      </c>
      <c r="FA1960" s="48" t="n">
        <v>0.14</v>
      </c>
      <c r="FB1960" s="48" t="n">
        <v>0</v>
      </c>
      <c r="FC1960" s="48" t="n">
        <v>-0.71</v>
      </c>
      <c r="FD1960" s="48" t="n">
        <v>0.71</v>
      </c>
      <c r="FE1960" s="48" t="n">
        <v>0</v>
      </c>
      <c r="FF1960" s="48" t="n">
        <v>-0.21</v>
      </c>
      <c r="FG1960" s="48" t="n">
        <v>0.21</v>
      </c>
      <c r="FH1960" s="48" t="n">
        <v>0</v>
      </c>
      <c r="FI1960" s="48" t="n">
        <v>-0.21</v>
      </c>
      <c r="FJ1960" s="48" t="n">
        <v>0.21</v>
      </c>
      <c r="FK1960" s="48" t="n">
        <v>0</v>
      </c>
      <c r="FL1960" s="48" t="n">
        <v>-0.47</v>
      </c>
      <c r="FM1960" s="48" t="n">
        <v>0.47</v>
      </c>
      <c r="FO1960" s="43">
        <f>MIN($A1960,MultLastLag)+1</f>
        <v>12.0</v>
      </c>
    </row>
    <row r="1961">
      <c r="A1961" s="3" t="n">
        <v>19</v>
      </c>
      <c r="B1961" s="48" t="n">
        <v>0.24</v>
      </c>
      <c r="C1961" s="48" t="n">
        <v>0.03</v>
      </c>
      <c r="D1961" s="48" t="n">
        <v>0.45</v>
      </c>
      <c r="E1961" s="48" t="n">
        <v>0.26</v>
      </c>
      <c r="F1961" s="48" t="n">
        <v>0.08000000000000002</v>
      </c>
      <c r="G1961" s="48" t="n">
        <v>0.44</v>
      </c>
      <c r="H1961" s="48" t="n">
        <v>0.13</v>
      </c>
      <c r="I1961" s="48" t="n">
        <v>0.06</v>
      </c>
      <c r="J1961" s="48" t="n">
        <v>0.2</v>
      </c>
      <c r="K1961" s="48" t="n">
        <v>0.39</v>
      </c>
      <c r="L1961" s="48" t="n">
        <v>0.23</v>
      </c>
      <c r="M1961" s="48" t="n">
        <v>0.55</v>
      </c>
      <c r="N1961" s="48" t="n">
        <v>0.93</v>
      </c>
      <c r="O1961" s="48" t="n">
        <v>0.28</v>
      </c>
      <c r="P1961" s="48" t="n">
        <v>1.58</v>
      </c>
      <c r="Q1961" s="48" t="n">
        <v>0.35</v>
      </c>
      <c r="R1961" s="48" t="n">
        <v>0.13</v>
      </c>
      <c r="S1961" s="48" t="n">
        <v>0.57</v>
      </c>
      <c r="T1961" s="48" t="n">
        <v>0.3</v>
      </c>
      <c r="U1961" s="48" t="n">
        <v>0.06999999999999998</v>
      </c>
      <c r="V1961" s="48" t="n">
        <v>0.53</v>
      </c>
      <c r="W1961" s="48" t="n">
        <v>0.68</v>
      </c>
      <c r="X1961" s="48" t="n">
        <v>0.2100000000000001</v>
      </c>
      <c r="Y1961" s="48" t="n">
        <v>1.15</v>
      </c>
      <c r="Z1961" s="48" t="n">
        <v>0.3</v>
      </c>
      <c r="AA1961" s="48" t="n">
        <v>0.06</v>
      </c>
      <c r="AB1961" s="48" t="n">
        <v>0.54</v>
      </c>
      <c r="AC1961" s="48" t="n">
        <v>0.29</v>
      </c>
      <c r="AD1961" s="48" t="n">
        <v>0.11</v>
      </c>
      <c r="AE1961" s="48" t="n">
        <v>0.47</v>
      </c>
      <c r="AF1961" s="48" t="n">
        <v>0.11</v>
      </c>
      <c r="AG1961" s="48" t="n">
        <v>0.05</v>
      </c>
      <c r="AH1961" s="48" t="n">
        <v>0.17</v>
      </c>
      <c r="AI1961" s="48" t="n">
        <v>0.42</v>
      </c>
      <c r="AJ1961" s="48" t="n">
        <v>0.25</v>
      </c>
      <c r="AK1961" s="48" t="n">
        <v>0.59</v>
      </c>
      <c r="AL1961" s="48" t="n">
        <v>0.79</v>
      </c>
      <c r="AM1961" s="48" t="n">
        <v>-0.02999999999999992</v>
      </c>
      <c r="AN1961" s="48" t="n">
        <v>1.61</v>
      </c>
      <c r="AO1961" s="48" t="n">
        <v>0.34</v>
      </c>
      <c r="AP1961" s="48" t="n">
        <v>0.11</v>
      </c>
      <c r="AQ1961" s="48" t="n">
        <v>0.5700000000000001</v>
      </c>
      <c r="AR1961" s="48" t="n">
        <v>0.29</v>
      </c>
      <c r="AS1961" s="48" t="n">
        <v>0.06999999999999998</v>
      </c>
      <c r="AT1961" s="48" t="n">
        <v>0.51</v>
      </c>
      <c r="AU1961" s="48" t="n">
        <v>0.62</v>
      </c>
      <c r="AV1961" s="48" t="n">
        <v>0.14</v>
      </c>
      <c r="AW1961" s="48" t="n">
        <v>1.1</v>
      </c>
      <c r="AX1961" s="48" t="n">
        <v>0.24</v>
      </c>
      <c r="AY1961" s="48" t="n">
        <v>0.03</v>
      </c>
      <c r="AZ1961" s="48" t="n">
        <v>0.45</v>
      </c>
      <c r="BA1961" s="48" t="n">
        <v>0.26</v>
      </c>
      <c r="BB1961" s="48" t="n">
        <v>0.06</v>
      </c>
      <c r="BC1961" s="48" t="n">
        <v>0.46</v>
      </c>
      <c r="BD1961" s="48" t="n">
        <v>0.15</v>
      </c>
      <c r="BE1961" s="48" t="n">
        <v>0.06999999999999999</v>
      </c>
      <c r="BF1961" s="48" t="n">
        <v>0.23</v>
      </c>
      <c r="BG1961" s="48" t="n">
        <v>0.43</v>
      </c>
      <c r="BH1961" s="48" t="n">
        <v>0.27</v>
      </c>
      <c r="BI1961" s="48" t="n">
        <v>0.59</v>
      </c>
      <c r="BJ1961" s="48" t="n">
        <v>0.9399999999999999</v>
      </c>
      <c r="BK1961" s="48" t="n">
        <v>0.4399999999999999</v>
      </c>
      <c r="BL1961" s="48" t="n">
        <v>1.44</v>
      </c>
      <c r="BM1961" s="48" t="n">
        <v>0.33</v>
      </c>
      <c r="BN1961" s="48" t="n">
        <v>0.16</v>
      </c>
      <c r="BO1961" s="48" t="n">
        <v>0.5</v>
      </c>
      <c r="BP1961" s="48" t="n">
        <v>0.29</v>
      </c>
      <c r="BQ1961" s="48" t="n">
        <v>0.07999999999999999</v>
      </c>
      <c r="BR1961" s="48" t="n">
        <v>0.5</v>
      </c>
      <c r="BS1961" s="48" t="n">
        <v>0.61</v>
      </c>
      <c r="BT1961" s="48" t="n">
        <v>0.17</v>
      </c>
      <c r="BU1961" s="48" t="n">
        <v>1.05</v>
      </c>
      <c r="BV1961" s="48" t="n">
        <v>0.16</v>
      </c>
      <c r="BW1961" s="48" t="n">
        <v>0.03</v>
      </c>
      <c r="BX1961" s="48" t="n">
        <v>0.29</v>
      </c>
      <c r="BY1961" s="48" t="n">
        <v>0.16</v>
      </c>
      <c r="BZ1961" s="48" t="n">
        <v>0</v>
      </c>
      <c r="CA1961" s="48" t="n">
        <v>0.32</v>
      </c>
      <c r="CB1961" s="48" t="n">
        <v>0.14</v>
      </c>
      <c r="CC1961" s="48" t="n">
        <v>0.06000000000000001</v>
      </c>
      <c r="CD1961" s="48" t="n">
        <v>0.22</v>
      </c>
      <c r="CE1961" s="48" t="n">
        <v>0.32</v>
      </c>
      <c r="CF1961" s="48" t="n">
        <v>0.18</v>
      </c>
      <c r="CG1961" s="48" t="n">
        <v>0.46</v>
      </c>
      <c r="CH1961" s="48" t="n">
        <v>1.02</v>
      </c>
      <c r="CI1961" s="48" t="n">
        <v>0.3100000000000001</v>
      </c>
      <c r="CJ1961" s="48" t="n">
        <v>1.73</v>
      </c>
      <c r="CK1961" s="48" t="n">
        <v>0.31</v>
      </c>
      <c r="CL1961" s="48" t="n">
        <v>0.1</v>
      </c>
      <c r="CM1961" s="48" t="n">
        <v>0.52</v>
      </c>
      <c r="CN1961" s="48" t="n">
        <v>0.24</v>
      </c>
      <c r="CO1961" s="48" t="n">
        <v>0.03</v>
      </c>
      <c r="CP1961" s="48" t="n">
        <v>0.45</v>
      </c>
      <c r="CQ1961" s="48" t="n">
        <v>0.55</v>
      </c>
      <c r="CR1961" s="48" t="n">
        <v>0.08000000000000007</v>
      </c>
      <c r="CS1961" s="48" t="n">
        <v>1.02</v>
      </c>
      <c r="CT1961" s="48" t="n">
        <v>0.07000000000000001</v>
      </c>
      <c r="CU1961" s="48" t="n">
        <v>-0.1</v>
      </c>
      <c r="CV1961" s="48" t="n">
        <v>0.24</v>
      </c>
      <c r="CW1961" s="48" t="n">
        <v>0.39</v>
      </c>
      <c r="CX1961" s="48" t="n">
        <v>0.23</v>
      </c>
      <c r="CY1961" s="48" t="n">
        <v>0.55</v>
      </c>
      <c r="CZ1961" s="48" t="n">
        <v>0.22</v>
      </c>
      <c r="DA1961" s="48" t="n">
        <v>0.15</v>
      </c>
      <c r="DB1961" s="48" t="n">
        <v>0.29</v>
      </c>
      <c r="DC1961" s="48" t="n">
        <v>0.36</v>
      </c>
      <c r="DD1961" s="48" t="n">
        <v>0.19</v>
      </c>
      <c r="DE1961" s="48" t="n">
        <v>0.53</v>
      </c>
      <c r="DF1961" s="48" t="n">
        <v>1.1</v>
      </c>
      <c r="DG1961" s="48" t="n">
        <v>0.5900000000000001</v>
      </c>
      <c r="DH1961" s="48" t="n">
        <v>1.61</v>
      </c>
      <c r="DI1961" s="48" t="n">
        <v>0.55</v>
      </c>
      <c r="DJ1961" s="48" t="n">
        <v>0.3300000000000001</v>
      </c>
      <c r="DK1961" s="48" t="n">
        <v>0.77</v>
      </c>
      <c r="DL1961" s="48" t="n">
        <v>0.57</v>
      </c>
      <c r="DM1961" s="48" t="n">
        <v>0.34</v>
      </c>
      <c r="DN1961" s="48" t="n">
        <v>0.7999999999999999</v>
      </c>
      <c r="DO1961" s="48" t="n">
        <v>1.07</v>
      </c>
      <c r="DP1961" s="48" t="n">
        <v>0.6200000000000001</v>
      </c>
      <c r="DQ1961" s="48" t="n">
        <v>1.52</v>
      </c>
      <c r="DR1961" s="48" t="n">
        <v>0.0381623</v>
      </c>
      <c r="DS1961" s="48" t="n">
        <v>-0.09183769999999999</v>
      </c>
      <c r="DT1961" s="48" t="n">
        <v>0.1681623</v>
      </c>
      <c r="DU1961" s="48" t="n">
        <v>0.5754485</v>
      </c>
      <c r="DV1961" s="48" t="n">
        <v>0.4154485</v>
      </c>
      <c r="DW1961" s="48" t="n">
        <v>0.7354485000000001</v>
      </c>
      <c r="DX1961" s="48" t="n">
        <v>0</v>
      </c>
      <c r="DY1961" s="48" t="n">
        <v>-0.08</v>
      </c>
      <c r="DZ1961" s="48" t="n">
        <v>0.08</v>
      </c>
      <c r="EA1961" s="48" t="n">
        <v>1.0407593</v>
      </c>
      <c r="EB1961" s="48" t="n">
        <v>0.9007592999999999</v>
      </c>
      <c r="EC1961" s="48" t="n">
        <v>1.1807593</v>
      </c>
      <c r="ED1961" s="48" t="n">
        <v>0.1071272</v>
      </c>
      <c r="EE1961" s="48" t="n">
        <v>-0.6028728</v>
      </c>
      <c r="EF1961" s="48" t="n">
        <v>0.8171271999999999</v>
      </c>
      <c r="EG1961" s="48" t="n">
        <v>0.11</v>
      </c>
      <c r="EH1961" s="48" t="n">
        <v>-0.09999999999999999</v>
      </c>
      <c r="EI1961" s="48" t="n">
        <v>0.32</v>
      </c>
      <c r="EJ1961" s="48" t="n">
        <v>-0.0586924</v>
      </c>
      <c r="EK1961" s="48" t="n">
        <v>-0.2686924</v>
      </c>
      <c r="EL1961" s="48" t="n">
        <v>0.1513076</v>
      </c>
      <c r="EM1961" s="48" t="n">
        <v>0</v>
      </c>
      <c r="EN1961" s="48" t="n">
        <v>-0.47</v>
      </c>
      <c r="EO1961" s="48" t="n">
        <v>0.47</v>
      </c>
      <c r="EP1961" s="48" t="n">
        <v>0</v>
      </c>
      <c r="EQ1961" s="48" t="n">
        <v>-0.13</v>
      </c>
      <c r="ER1961" s="48" t="n">
        <v>0.13</v>
      </c>
      <c r="ES1961" s="48" t="n">
        <v>0</v>
      </c>
      <c r="ET1961" s="48" t="n">
        <v>-0.16</v>
      </c>
      <c r="EU1961" s="48" t="n">
        <v>0.16</v>
      </c>
      <c r="EV1961" s="48" t="n">
        <v>0</v>
      </c>
      <c r="EW1961" s="48" t="n">
        <v>-0.08</v>
      </c>
      <c r="EX1961" s="48" t="n">
        <v>0.08</v>
      </c>
      <c r="EY1961" s="48" t="n">
        <v>0</v>
      </c>
      <c r="EZ1961" s="48" t="n">
        <v>-0.14</v>
      </c>
      <c r="FA1961" s="48" t="n">
        <v>0.14</v>
      </c>
      <c r="FB1961" s="48" t="n">
        <v>0</v>
      </c>
      <c r="FC1961" s="48" t="n">
        <v>-0.71</v>
      </c>
      <c r="FD1961" s="48" t="n">
        <v>0.71</v>
      </c>
      <c r="FE1961" s="48" t="n">
        <v>0</v>
      </c>
      <c r="FF1961" s="48" t="n">
        <v>-0.21</v>
      </c>
      <c r="FG1961" s="48" t="n">
        <v>0.21</v>
      </c>
      <c r="FH1961" s="48" t="n">
        <v>0</v>
      </c>
      <c r="FI1961" s="48" t="n">
        <v>-0.21</v>
      </c>
      <c r="FJ1961" s="48" t="n">
        <v>0.21</v>
      </c>
      <c r="FK1961" s="48" t="n">
        <v>0</v>
      </c>
      <c r="FL1961" s="48" t="n">
        <v>-0.47</v>
      </c>
      <c r="FM1961" s="48" t="n">
        <v>0.47</v>
      </c>
      <c r="FO1961" s="43">
        <f>MIN($A1961,MultLastLag)+1</f>
        <v>12.0</v>
      </c>
    </row>
    <row r="1962"/>
    <row r="1963"/>
    <row r="1964"/>
    <row r="1965"/>
    <row r="1966">
      <c r="A1966" s="4" t="inlineStr">
        <is>
          <t>Macro series of the country: GDP, deflators, exchange rate, energy trade (data step; legacy Mitigation rows 417-467 and 741-743, from the legacy WEO and Balances tabs)</t>
        </is>
      </c>
      <c r="B1966" s="5" t="n"/>
      <c r="C1966" s="5" t="n"/>
      <c r="D1966" s="5" t="n"/>
      <c r="E1966" s="5" t="n"/>
      <c r="F1966" s="5" t="n"/>
      <c r="G1966" s="5" t="n"/>
      <c r="H1966" s="5" t="n"/>
      <c r="I1966" s="5" t="n"/>
      <c r="J1966" s="5" t="n"/>
      <c r="K1966" s="5" t="n"/>
      <c r="L1966" s="5" t="n"/>
      <c r="M1966" s="5" t="n"/>
      <c r="N1966" s="5" t="n"/>
      <c r="O1966" s="5" t="n"/>
      <c r="P1966" s="5" t="n"/>
      <c r="Q1966" s="5" t="n"/>
      <c r="R1966" s="5" t="n"/>
      <c r="S1966" s="5" t="n"/>
      <c r="T1966" s="5" t="n"/>
      <c r="U1966" s="5" t="n"/>
      <c r="V1966" s="5" t="n"/>
      <c r="W1966" s="5" t="n"/>
      <c r="X1966" s="5" t="n"/>
      <c r="Y1966" s="5" t="n"/>
      <c r="Z1966" s="5" t="n"/>
      <c r="AA1966" s="5" t="n"/>
      <c r="AB1966" s="5" t="n"/>
      <c r="AC1966" s="5" t="n"/>
      <c r="AD1966" s="5" t="n"/>
      <c r="AE1966" s="5" t="n"/>
      <c r="AF1966" s="5" t="n"/>
      <c r="AG1966" s="5" t="n"/>
      <c r="AH1966" s="5" t="n"/>
      <c r="AI1966" s="5" t="n"/>
      <c r="AJ1966" s="5" t="n"/>
      <c r="AK1966" s="5" t="n"/>
      <c r="AL1966" s="5" t="n"/>
      <c r="AM1966" s="5" t="n"/>
      <c r="AN1966" s="5" t="n"/>
      <c r="AO1966" s="5" t="n"/>
      <c r="AP1966" s="5" t="n"/>
      <c r="AQ1966" s="5" t="n"/>
      <c r="AR1966" s="5" t="n"/>
      <c r="AS1966" s="5" t="n"/>
      <c r="AT1966" s="5" t="n"/>
      <c r="AU1966" s="5" t="n"/>
      <c r="AV1966" s="5" t="n"/>
      <c r="AW1966" s="5" t="n"/>
      <c r="AX1966" s="5" t="n"/>
      <c r="AY1966" s="5" t="n"/>
      <c r="AZ1966" s="5" t="n"/>
      <c r="BA1966" s="5" t="n"/>
      <c r="BB1966" s="5" t="n"/>
      <c r="BC1966" s="5" t="n"/>
      <c r="BD1966" s="5" t="n"/>
      <c r="BE1966" s="5" t="n"/>
      <c r="BF1966" s="5" t="n"/>
      <c r="BG1966" s="5" t="n"/>
      <c r="BH1966" s="5" t="n"/>
      <c r="BI1966" s="5" t="n"/>
      <c r="BJ1966" s="5" t="n"/>
      <c r="BK1966" s="5" t="n"/>
      <c r="BL1966" s="5" t="n"/>
      <c r="BM1966" s="5" t="n"/>
      <c r="BN1966" s="5" t="n"/>
      <c r="BO1966" s="5" t="n"/>
      <c r="BP1966" s="5" t="n"/>
      <c r="BQ1966" s="5" t="n"/>
      <c r="BR1966" s="5" t="n"/>
      <c r="BS1966" s="5" t="n"/>
      <c r="BT1966" s="5" t="n"/>
      <c r="BU1966" s="5" t="n"/>
      <c r="BV1966" s="5" t="n"/>
      <c r="BW1966" s="5" t="n"/>
      <c r="BX1966" s="5" t="n"/>
      <c r="BY1966" s="5" t="n"/>
      <c r="BZ1966" s="5" t="n"/>
      <c r="CA1966" s="5" t="n"/>
      <c r="CB1966" s="5" t="n"/>
      <c r="CC1966" s="5" t="n"/>
      <c r="CD1966" s="5" t="n"/>
      <c r="CE1966" s="5" t="n"/>
      <c r="CF1966" s="5" t="n"/>
      <c r="CG1966" s="5" t="n"/>
      <c r="CH1966" s="5" t="n"/>
      <c r="CI1966" s="5" t="n"/>
      <c r="CJ1966" s="5" t="n"/>
      <c r="CK1966" s="5" t="n"/>
      <c r="CL1966" s="5" t="n"/>
      <c r="CM1966" s="5" t="n"/>
      <c r="CN1966" s="5" t="n"/>
      <c r="CO1966" s="5" t="n"/>
      <c r="CP1966" s="5" t="n"/>
      <c r="CQ1966" s="5" t="n"/>
      <c r="CR1966" s="5" t="n"/>
      <c r="CS1966" s="5" t="n"/>
      <c r="CT1966" s="5" t="n"/>
      <c r="CU1966" s="5" t="n"/>
      <c r="CV1966" s="5" t="n"/>
      <c r="CW1966" s="5" t="n"/>
      <c r="CX1966" s="5" t="n"/>
      <c r="CY1966" s="5" t="n"/>
      <c r="CZ1966" s="5" t="n"/>
      <c r="DA1966" s="5" t="n"/>
      <c r="DB1966" s="5" t="n"/>
      <c r="DC1966" s="5" t="n"/>
      <c r="DD1966" s="5" t="n"/>
      <c r="DE1966" s="5" t="n"/>
      <c r="DF1966" s="5" t="n"/>
      <c r="DG1966" s="5" t="n"/>
      <c r="DH1966" s="5" t="n"/>
      <c r="DI1966" s="5" t="n"/>
      <c r="DJ1966" s="5" t="n"/>
      <c r="DK1966" s="5" t="n"/>
      <c r="DL1966" s="5" t="n"/>
      <c r="DM1966" s="5" t="n"/>
      <c r="DN1966" s="5" t="n"/>
      <c r="DO1966" s="5" t="n"/>
      <c r="DP1966" s="5" t="n"/>
      <c r="DQ1966" s="5" t="n"/>
      <c r="DR1966" s="5" t="n"/>
      <c r="DS1966" s="5" t="n"/>
      <c r="DT1966" s="5" t="n"/>
      <c r="DU1966" s="5" t="n"/>
      <c r="DV1966" s="5" t="n"/>
      <c r="DW1966" s="5" t="n"/>
      <c r="DX1966" s="5" t="n"/>
      <c r="DY1966" s="5" t="n"/>
      <c r="DZ1966" s="5" t="n"/>
      <c r="EA1966" s="5" t="n"/>
      <c r="EB1966" s="5" t="n"/>
      <c r="EC1966" s="5" t="n"/>
      <c r="ED1966" s="5" t="n"/>
      <c r="EE1966" s="5" t="n"/>
      <c r="EF1966" s="5" t="n"/>
      <c r="EG1966" s="5" t="n"/>
      <c r="EH1966" s="5" t="n"/>
      <c r="EI1966" s="5" t="n"/>
      <c r="EJ1966" s="5" t="n"/>
      <c r="EK1966" s="5" t="n"/>
      <c r="EL1966" s="5" t="n"/>
      <c r="EM1966" s="5" t="n"/>
      <c r="EN1966" s="5" t="n"/>
      <c r="EO1966" s="5" t="n"/>
      <c r="EP1966" s="5" t="n"/>
      <c r="EQ1966" s="5" t="n"/>
      <c r="ER1966" s="5" t="n"/>
      <c r="ES1966" s="5" t="n"/>
      <c r="ET1966" s="5" t="n"/>
      <c r="EU1966" s="5" t="n"/>
      <c r="EV1966" s="5" t="n"/>
      <c r="EW1966" s="5" t="n"/>
      <c r="EX1966" s="5" t="n"/>
      <c r="EY1966" s="5" t="n"/>
      <c r="EZ1966" s="5" t="n"/>
      <c r="FA1966" s="5" t="n"/>
      <c r="FB1966" s="5" t="n"/>
      <c r="FC1966" s="5" t="n"/>
      <c r="FD1966" s="5" t="n"/>
      <c r="FE1966" s="5" t="n"/>
      <c r="FF1966" s="5" t="n"/>
      <c r="FG1966" s="5" t="n"/>
      <c r="FH1966" s="5" t="n"/>
      <c r="FI1966" s="5" t="n"/>
      <c r="FJ1966" s="5" t="n"/>
      <c r="FK1966" s="5" t="n"/>
      <c r="FL1966" s="5" t="n"/>
      <c r="FM1966" s="5" t="n"/>
      <c r="FN1966" s="5" t="n"/>
      <c r="FO1966" s="5" t="n"/>
    </row>
    <row r="1967">
      <c r="A1967" s="3" t="inlineStr">
        <is>
          <t>WEO series (sheet WEO): value up to the last data year of the series, then extended as legacy. Trade: base-year imports, production, exports (Balances) and the international price of scenario 1 (MTInputs IntEnerPricForeSource; real, per GJ). The manual SCC path is an input.</t>
        </is>
      </c>
    </row>
    <row r="1968">
      <c r="A1968" s="7" t="inlineStr">
        <is>
          <t>Key</t>
        </is>
      </c>
      <c r="B1968" s="7" t="inlineStr">
        <is>
          <t>Variable</t>
        </is>
      </c>
      <c r="C1968" s="7" t="inlineStr">
        <is>
          <t>WEO code / helper</t>
        </is>
      </c>
      <c r="D1968" s="7" t="inlineStr">
        <is>
          <t>WEO row / helper</t>
        </is>
      </c>
      <c r="E1968" s="7" t="inlineStr">
        <is>
          <t>Last data year / helper</t>
        </is>
      </c>
      <c r="F1968" s="156" t="n">
        <v>2018</v>
      </c>
      <c r="G1968" s="156" t="n">
        <v>2019</v>
      </c>
      <c r="H1968" s="156" t="n">
        <v>2020</v>
      </c>
      <c r="I1968" s="156" t="n">
        <v>2021</v>
      </c>
      <c r="J1968" s="156" t="n">
        <v>2022</v>
      </c>
      <c r="K1968" s="156" t="n">
        <v>2023</v>
      </c>
      <c r="L1968" s="156" t="n">
        <v>2024</v>
      </c>
      <c r="M1968" s="156" t="n">
        <v>2025</v>
      </c>
      <c r="N1968" s="156" t="n">
        <v>2026</v>
      </c>
      <c r="O1968" s="156" t="n">
        <v>2027</v>
      </c>
      <c r="P1968" s="156" t="n">
        <v>2028</v>
      </c>
      <c r="Q1968" s="156" t="n">
        <v>2029</v>
      </c>
      <c r="R1968" s="156" t="n">
        <v>2030</v>
      </c>
      <c r="S1968" s="156" t="n">
        <v>2031</v>
      </c>
      <c r="T1968" s="156" t="n">
        <v>2032</v>
      </c>
      <c r="U1968" s="156" t="n">
        <v>2033</v>
      </c>
      <c r="V1968" s="156" t="n">
        <v>2034</v>
      </c>
      <c r="W1968" s="156" t="n">
        <v>2035</v>
      </c>
      <c r="X1968" s="156" t="n">
        <v>2036</v>
      </c>
      <c r="Y1968" s="156" t="n">
        <v>2037</v>
      </c>
      <c r="Z1968" s="156" t="n">
        <v>2038</v>
      </c>
      <c r="AA1968" s="156" t="n">
        <v>2039</v>
      </c>
      <c r="AB1968" s="156" t="n">
        <v>2040</v>
      </c>
      <c r="AC1968" s="156" t="n">
        <v>2041</v>
      </c>
      <c r="AD1968" s="156" t="n">
        <v>2042</v>
      </c>
      <c r="AE1968" s="156" t="n">
        <v>2043</v>
      </c>
      <c r="AF1968" s="156" t="n">
        <v>2044</v>
      </c>
      <c r="AG1968" s="156" t="n">
        <v>2045</v>
      </c>
    </row>
    <row r="1969">
      <c r="A1969" s="3" t="inlineStr">
        <is>
          <t>USA|ngdp_d</t>
        </is>
      </c>
      <c r="B1969" s="3" t="inlineStr">
        <is>
          <t>US GDP deflator (NGDP_D; legacy row 452)</t>
        </is>
      </c>
      <c r="C1969" s="3" t="str">
        <f>"USA.NGDP_D.A"</f>
        <v>USA.NGDP_D.A</v>
      </c>
      <c r="D1969" s="39">
        <f>MATCH($C1969,WEOCode,0)</f>
        <v>3139.0</v>
      </c>
      <c r="E1969" s="39">
        <f>INDEX(WEOLast,$D1969)</f>
        <v>2031.0</v>
      </c>
      <c r="F1969" s="197">
        <f t="shared" ref="F1969:AG1969" si="70">IF(F$1968&lt;=$E1969,INDEX(WEOData,$D1969,MATCH(F$1968,WEOYr,0)),E1969+(E1969-D1969))</f>
        <v>102.290788</v>
      </c>
      <c r="G1969" s="197">
        <f t="shared" si="70"/>
        <v>103.979238</v>
      </c>
      <c r="H1969" s="197">
        <f t="shared" si="70"/>
        <v>105.377382</v>
      </c>
      <c r="I1969" s="197">
        <f t="shared" si="70"/>
        <v>110.185941</v>
      </c>
      <c r="J1969" s="197">
        <f t="shared" si="70"/>
        <v>118.022821</v>
      </c>
      <c r="K1969" s="197">
        <f t="shared" si="70"/>
        <v>122.389705</v>
      </c>
      <c r="L1969" s="197">
        <f t="shared" si="70"/>
        <v>125.428084</v>
      </c>
      <c r="M1969" s="197">
        <f t="shared" si="70"/>
        <v>128.986186</v>
      </c>
      <c r="N1969" s="197">
        <f t="shared" si="70"/>
        <v>132.681448</v>
      </c>
      <c r="O1969" s="197">
        <f t="shared" si="70"/>
        <v>135.595003</v>
      </c>
      <c r="P1969" s="197">
        <f t="shared" si="70"/>
        <v>137.820646</v>
      </c>
      <c r="Q1969" s="197">
        <f t="shared" si="70"/>
        <v>140.271247</v>
      </c>
      <c r="R1969" s="197">
        <f t="shared" si="70"/>
        <v>142.848769</v>
      </c>
      <c r="S1969" s="197">
        <f t="shared" si="70"/>
        <v>145.42762</v>
      </c>
      <c r="T1969" s="197">
        <f t="shared" si="70"/>
        <v>148.00647099999998</v>
      </c>
      <c r="U1969" s="197">
        <f t="shared" si="70"/>
        <v>150.58532199999996</v>
      </c>
      <c r="V1969" s="197">
        <f t="shared" si="70"/>
        <v>153.16417299999995</v>
      </c>
      <c r="W1969" s="197">
        <f t="shared" si="70"/>
        <v>155.74302399999993</v>
      </c>
      <c r="X1969" s="197">
        <f t="shared" si="70"/>
        <v>158.32187499999992</v>
      </c>
      <c r="Y1969" s="197">
        <f t="shared" si="70"/>
        <v>160.9007259999999</v>
      </c>
      <c r="Z1969" s="197">
        <f t="shared" si="70"/>
        <v>163.4795769999999</v>
      </c>
      <c r="AA1969" s="197">
        <f t="shared" si="70"/>
        <v>166.05842799999988</v>
      </c>
      <c r="AB1969" s="197">
        <f t="shared" si="70"/>
        <v>168.63727899999986</v>
      </c>
      <c r="AC1969" s="197">
        <f t="shared" si="70"/>
        <v>171.21612999999985</v>
      </c>
      <c r="AD1969" s="197">
        <f t="shared" si="70"/>
        <v>173.79498099999984</v>
      </c>
      <c r="AE1969" s="197">
        <f t="shared" si="70"/>
        <v>176.37383199999982</v>
      </c>
      <c r="AF1969" s="197">
        <f t="shared" si="70"/>
        <v>178.9526829999998</v>
      </c>
      <c r="AG1969" s="197">
        <f t="shared" si="70"/>
        <v>181.5315339999998</v>
      </c>
    </row>
    <row r="1970">
      <c r="A1970" s="3" t="inlineStr">
        <is>
          <t>USA|pcpi</t>
        </is>
      </c>
      <c r="B1970" s="3" t="inlineStr">
        <is>
          <t>US consumer price index (PCPI; row 455)</t>
        </is>
      </c>
      <c r="C1970" s="3" t="str">
        <f>"USA.PCPI.A"</f>
        <v>USA.PCPI.A</v>
      </c>
      <c r="D1970" s="39">
        <f>MATCH($C1970,WEOCode,0)</f>
        <v>3145.0</v>
      </c>
      <c r="E1970" s="39">
        <f>INDEX(WEOLast,$D1970)</f>
        <v>2031.0</v>
      </c>
      <c r="F1970" s="197">
        <f t="shared" ref="F1970:AG1970" si="71">IF(F$1968&lt;=$E1970,INDEX(WEOData,$D1970,MATCH(F$1968,WEOYr,0)),E1970)</f>
        <v>251.0995</v>
      </c>
      <c r="G1970" s="197">
        <f t="shared" si="71"/>
        <v>255.652583</v>
      </c>
      <c r="H1970" s="197">
        <f t="shared" si="71"/>
        <v>258.85575</v>
      </c>
      <c r="I1970" s="197">
        <f t="shared" si="71"/>
        <v>270.973417</v>
      </c>
      <c r="J1970" s="197">
        <f t="shared" si="71"/>
        <v>292.626417</v>
      </c>
      <c r="K1970" s="197">
        <f t="shared" si="71"/>
        <v>304.703</v>
      </c>
      <c r="L1970" s="197">
        <f t="shared" si="71"/>
        <v>313.698167</v>
      </c>
      <c r="M1970" s="197">
        <f t="shared" si="71"/>
        <v>322.260577</v>
      </c>
      <c r="N1970" s="197">
        <f t="shared" si="71"/>
        <v>332.662858</v>
      </c>
      <c r="O1970" s="197">
        <f t="shared" si="71"/>
        <v>339.786246</v>
      </c>
      <c r="P1970" s="197">
        <f t="shared" si="71"/>
        <v>347.206017</v>
      </c>
      <c r="Q1970" s="197">
        <f t="shared" si="71"/>
        <v>354.802685</v>
      </c>
      <c r="R1970" s="197">
        <f t="shared" si="71"/>
        <v>362.57224</v>
      </c>
      <c r="S1970" s="197">
        <f t="shared" si="71"/>
        <v>370.49152</v>
      </c>
      <c r="T1970" s="197">
        <f t="shared" si="71"/>
        <v>370.49152</v>
      </c>
      <c r="U1970" s="197">
        <f t="shared" si="71"/>
        <v>370.49152</v>
      </c>
      <c r="V1970" s="197">
        <f t="shared" si="71"/>
        <v>370.49152</v>
      </c>
      <c r="W1970" s="197">
        <f t="shared" si="71"/>
        <v>370.49152</v>
      </c>
      <c r="X1970" s="197">
        <f t="shared" si="71"/>
        <v>370.49152</v>
      </c>
      <c r="Y1970" s="197">
        <f t="shared" si="71"/>
        <v>370.49152</v>
      </c>
      <c r="Z1970" s="197">
        <f t="shared" si="71"/>
        <v>370.49152</v>
      </c>
      <c r="AA1970" s="197">
        <f t="shared" si="71"/>
        <v>370.49152</v>
      </c>
      <c r="AB1970" s="197">
        <f t="shared" si="71"/>
        <v>370.49152</v>
      </c>
      <c r="AC1970" s="197">
        <f t="shared" si="71"/>
        <v>370.49152</v>
      </c>
      <c r="AD1970" s="197">
        <f t="shared" si="71"/>
        <v>370.49152</v>
      </c>
      <c r="AE1970" s="197">
        <f t="shared" si="71"/>
        <v>370.49152</v>
      </c>
      <c r="AF1970" s="197">
        <f t="shared" si="71"/>
        <v>370.49152</v>
      </c>
      <c r="AG1970" s="197">
        <f t="shared" si="71"/>
        <v>370.49152</v>
      </c>
    </row>
    <row r="1971">
      <c r="A1971" s="3" t="inlineStr">
        <is>
          <t>USA|deflidx</t>
        </is>
      </c>
      <c r="B1971" s="3" t="inlineStr">
        <is>
          <t>Deflator index: US deflator of ResultsYear / year (legacy rows 453, 467: World)</t>
        </is>
      </c>
      <c r="F1971" s="197">
        <f t="shared" ref="F1971:AG1971" si="72">DeflRes/F1969</f>
        <v>1.2971006538731522</v>
      </c>
      <c r="G1971" s="197">
        <f t="shared" si="72"/>
        <v>1.2760378951805744</v>
      </c>
      <c r="H1971" s="197">
        <f t="shared" si="72"/>
        <v>1.2591074619788902</v>
      </c>
      <c r="I1971" s="197">
        <f t="shared" si="72"/>
        <v>1.2041595034342902</v>
      </c>
      <c r="J1971" s="197">
        <f t="shared" si="72"/>
        <v>1.1242016321572248</v>
      </c>
      <c r="K1971" s="197">
        <f t="shared" si="72"/>
        <v>1.0840899404079778</v>
      </c>
      <c r="L1971" s="197">
        <f t="shared" si="72"/>
        <v>1.0578288670980576</v>
      </c>
      <c r="M1971" s="197">
        <f t="shared" si="72"/>
        <v>1.0286485096938984</v>
      </c>
      <c r="N1971" s="197">
        <f t="shared" si="72"/>
        <v>1.0</v>
      </c>
      <c r="O1971" s="197">
        <f t="shared" si="72"/>
        <v>0.9785128143697154</v>
      </c>
      <c r="P1971" s="197">
        <f t="shared" si="72"/>
        <v>0.9627109714752025</v>
      </c>
      <c r="Q1971" s="197">
        <f t="shared" si="72"/>
        <v>0.9458919831232412</v>
      </c>
      <c r="R1971" s="197">
        <f t="shared" si="72"/>
        <v>0.9288245809104592</v>
      </c>
      <c r="S1971" s="197">
        <f t="shared" si="72"/>
        <v>0.9123538431007809</v>
      </c>
      <c r="T1971" s="197">
        <f t="shared" si="72"/>
        <v>0.8964570745018304</v>
      </c>
      <c r="U1971" s="197">
        <f t="shared" si="72"/>
        <v>0.8811047865608045</v>
      </c>
      <c r="V1971" s="197">
        <f t="shared" si="72"/>
        <v>0.8662694767398381</v>
      </c>
      <c r="W1971" s="197">
        <f t="shared" si="72"/>
        <v>0.8519254640901287</v>
      </c>
      <c r="X1971" s="197">
        <f t="shared" si="72"/>
        <v>0.8380487408957231</v>
      </c>
      <c r="Y1971" s="197">
        <f t="shared" si="72"/>
        <v>0.82461683858406</v>
      </c>
      <c r="Z1971" s="197">
        <f t="shared" si="72"/>
        <v>0.8116087063278863</v>
      </c>
      <c r="AA1971" s="197">
        <f t="shared" si="72"/>
        <v>0.7990046009588871</v>
      </c>
      <c r="AB1971" s="197">
        <f t="shared" si="72"/>
        <v>0.7867859869821553</v>
      </c>
      <c r="AC1971" s="197">
        <f t="shared" si="72"/>
        <v>0.7749354456265313</v>
      </c>
      <c r="AD1971" s="197">
        <f t="shared" si="72"/>
        <v>0.7634365919922631</v>
      </c>
      <c r="AE1971" s="197">
        <f t="shared" si="72"/>
        <v>0.7522739994672233</v>
      </c>
      <c r="AF1971" s="197">
        <f t="shared" si="72"/>
        <v>0.7414331306784606</v>
      </c>
      <c r="AG1971" s="197">
        <f t="shared" si="72"/>
        <v>0.730900274329198</v>
      </c>
    </row>
    <row r="1972">
      <c r="A1972" s="3" t="inlineStr">
        <is>
          <t>USA|infl</t>
        </is>
      </c>
      <c r="B1972" s="3" t="inlineStr">
        <is>
          <t>US GDP deflator growth (legacy rows 630-631: nominal growth of the international prices past their sources)</t>
        </is>
      </c>
      <c r="F1972" s="197">
        <f t="shared" ref="F1972:AG1972" si="73">F1969/E1969-1</f>
        <v>-0.9496352594780896</v>
      </c>
      <c r="G1972" s="197">
        <f t="shared" si="73"/>
        <v>0.01650637396595278</v>
      </c>
      <c r="H1972" s="197">
        <f t="shared" si="73"/>
        <v>0.013446376669927096</v>
      </c>
      <c r="I1972" s="197">
        <f t="shared" si="73"/>
        <v>0.045631794116881785</v>
      </c>
      <c r="J1972" s="197">
        <f t="shared" si="73"/>
        <v>0.07112413733436274</v>
      </c>
      <c r="K1972" s="197">
        <f t="shared" si="73"/>
        <v>0.03700033572320738</v>
      </c>
      <c r="L1972" s="197">
        <f t="shared" si="73"/>
        <v>0.02482544589841118</v>
      </c>
      <c r="M1972" s="197">
        <f t="shared" si="73"/>
        <v>0.028367666048378704</v>
      </c>
      <c r="N1972" s="197">
        <f t="shared" si="73"/>
        <v>0.028648509693898427</v>
      </c>
      <c r="O1972" s="197">
        <f t="shared" si="73"/>
        <v>0.021959023238878217</v>
      </c>
      <c r="P1972" s="197">
        <f t="shared" si="73"/>
        <v>0.01641390132938758</v>
      </c>
      <c r="Q1972" s="197">
        <f t="shared" si="73"/>
        <v>0.01778108774791254</v>
      </c>
      <c r="R1972" s="197">
        <f t="shared" si="73"/>
        <v>0.018375269737211486</v>
      </c>
      <c r="S1972" s="197">
        <f t="shared" si="73"/>
        <v>0.018053015213592705</v>
      </c>
      <c r="T1972" s="197">
        <f t="shared" si="73"/>
        <v>0.017732883203341876</v>
      </c>
      <c r="U1972" s="197">
        <f t="shared" si="73"/>
        <v>0.01742390709389996</v>
      </c>
      <c r="V1972" s="197">
        <f t="shared" si="73"/>
        <v>0.017125513733669218</v>
      </c>
      <c r="W1972" s="197">
        <f t="shared" si="73"/>
        <v>0.016837168572052308</v>
      </c>
      <c r="X1972" s="197">
        <f t="shared" si="73"/>
        <v>0.01655837246360381</v>
      </c>
      <c r="Y1972" s="197">
        <f t="shared" si="73"/>
        <v>0.01628865878451724</v>
      </c>
      <c r="Z1972" s="197">
        <f t="shared" si="73"/>
        <v>0.016027590826408034</v>
      </c>
      <c r="AA1972" s="197">
        <f t="shared" si="73"/>
        <v>0.015774759436770536</v>
      </c>
      <c r="AB1972" s="197">
        <f t="shared" si="73"/>
        <v>0.015529780879293797</v>
      </c>
      <c r="AC1972" s="197">
        <f t="shared" si="73"/>
        <v>0.015292294890502767</v>
      </c>
      <c r="AD1972" s="197">
        <f t="shared" si="73"/>
        <v>0.01506196291202233</v>
      </c>
      <c r="AE1972" s="197">
        <f t="shared" si="73"/>
        <v>0.01483846648022591</v>
      </c>
      <c r="AF1972" s="197">
        <f t="shared" si="73"/>
        <v>0.014621505757157927</v>
      </c>
      <c r="AG1972" s="197">
        <f t="shared" si="73"/>
        <v>0.01441079818847979</v>
      </c>
    </row>
    <row r="1973">
      <c r="A1973" s="3" t="str">
        <f>CtryCode&amp;"|gdp_growth"</f>
        <v>EGY|gdp_growth</v>
      </c>
      <c r="B1973" s="3" t="inlineStr">
        <is>
          <t>Real GDP growth (NGDP_RPCH; legacy rows 420, 463)</t>
        </is>
      </c>
      <c r="C1973" s="3" t="str">
        <f>CtryCode&amp;".NGDP_RPCH.A"</f>
        <v>EGY.NGDP_RPCH.A</v>
      </c>
      <c r="D1973" s="39">
        <f>MATCH($C1973,WEOCode,0)</f>
        <v>842.0</v>
      </c>
      <c r="E1973" s="39">
        <f>INDEX(WEOLast,$D1973)</f>
        <v>2031.0</v>
      </c>
      <c r="F1973" s="197">
        <f t="shared" ref="F1973:AG1973" si="74">IF(F$1968&lt;=$E1973,INDEX(WEOData,$D1973,MATCH(F$1968,WEOYr,0))/PctPerUnit,F1974)</f>
        <v>0.05327491</v>
      </c>
      <c r="G1973" s="197">
        <f t="shared" si="74"/>
        <v>0.05549245</v>
      </c>
      <c r="H1973" s="197">
        <f t="shared" si="74"/>
        <v>0.03576259</v>
      </c>
      <c r="I1973" s="197">
        <f t="shared" si="74"/>
        <v>0.03251987</v>
      </c>
      <c r="J1973" s="197">
        <f t="shared" si="74"/>
        <v>0.06651345</v>
      </c>
      <c r="K1973" s="197">
        <f t="shared" si="74"/>
        <v>0.03760281</v>
      </c>
      <c r="L1973" s="197">
        <f t="shared" si="74"/>
        <v>0.02398801</v>
      </c>
      <c r="M1973" s="197">
        <f t="shared" si="74"/>
        <v>0.043923870000000004</v>
      </c>
      <c r="N1973" s="197">
        <f t="shared" si="74"/>
        <v>0.04239706</v>
      </c>
      <c r="O1973" s="197">
        <f t="shared" si="74"/>
        <v>0.04829218</v>
      </c>
      <c r="P1973" s="197">
        <f t="shared" si="74"/>
        <v>0.05535316</v>
      </c>
      <c r="Q1973" s="197">
        <f t="shared" si="74"/>
        <v>0.05226606</v>
      </c>
      <c r="R1973" s="197">
        <f t="shared" si="74"/>
        <v>0.04841877</v>
      </c>
      <c r="S1973" s="197">
        <f t="shared" si="74"/>
        <v>0.047887360000000004</v>
      </c>
      <c r="T1973" s="197">
        <f t="shared" si="74"/>
        <v>0.04735595000000001</v>
      </c>
      <c r="U1973" s="197">
        <f t="shared" si="74"/>
        <v>0.04682454000000001</v>
      </c>
      <c r="V1973" s="197">
        <f t="shared" si="74"/>
        <v>0.046293130000000016</v>
      </c>
      <c r="W1973" s="197">
        <f t="shared" si="74"/>
        <v>0.04576172000000002</v>
      </c>
      <c r="X1973" s="197">
        <f t="shared" si="74"/>
        <v>0.045230310000000024</v>
      </c>
      <c r="Y1973" s="197">
        <f t="shared" si="74"/>
        <v>0.04469890000000003</v>
      </c>
      <c r="Z1973" s="197">
        <f t="shared" si="74"/>
        <v>0.04416749000000003</v>
      </c>
      <c r="AA1973" s="197">
        <f t="shared" si="74"/>
        <v>0.043636080000000035</v>
      </c>
      <c r="AB1973" s="197">
        <f t="shared" si="74"/>
        <v>0.04310467000000004</v>
      </c>
      <c r="AC1973" s="197">
        <f t="shared" si="74"/>
        <v>0.04257326000000004</v>
      </c>
      <c r="AD1973" s="197">
        <f t="shared" si="74"/>
        <v>0.04204185000000005</v>
      </c>
      <c r="AE1973" s="197">
        <f t="shared" si="74"/>
        <v>0.04151044000000005</v>
      </c>
      <c r="AF1973" s="197">
        <f t="shared" si="74"/>
        <v>0.040979030000000055</v>
      </c>
      <c r="AG1973" s="197">
        <f t="shared" si="74"/>
        <v>0.04044762000000006</v>
      </c>
    </row>
    <row r="1974">
      <c r="A1974" s="3" t="str">
        <f>CtryCode&amp;"|gdp_ext"</f>
        <v>EGY|gdp_ext</v>
      </c>
      <c r="B1974" s="3" t="inlineStr">
        <is>
          <t>Real GDP growth, extension past the last data year (helper)</t>
        </is>
      </c>
      <c r="F1974" s="197">
        <f t="shared" ref="F1974:AG1974" si="75">IF(E1973&lt;D1973,MAX(AVERAGE(C1973:E1973)*GdpExtHalf,E1973+E1973-D1973),E1973)</f>
        <v>2031.0</v>
      </c>
      <c r="G1974" s="197">
        <f t="shared" si="75"/>
        <v>478.84221248499995</v>
      </c>
      <c r="H1974" s="197">
        <f t="shared" si="75"/>
        <v>0.05549245</v>
      </c>
      <c r="I1974" s="197">
        <f t="shared" si="75"/>
        <v>0.024088324999999997</v>
      </c>
      <c r="J1974" s="197">
        <f t="shared" si="75"/>
        <v>0.029277150000000002</v>
      </c>
      <c r="K1974" s="197">
        <f t="shared" si="75"/>
        <v>0.06651345</v>
      </c>
      <c r="L1974" s="197">
        <f t="shared" si="75"/>
        <v>0.022772688333333332</v>
      </c>
      <c r="M1974" s="197">
        <f t="shared" si="75"/>
        <v>0.021350711666666664</v>
      </c>
      <c r="N1974" s="197">
        <f t="shared" si="75"/>
        <v>0.043923870000000004</v>
      </c>
      <c r="O1974" s="197">
        <f t="shared" si="75"/>
        <v>0.04087025</v>
      </c>
      <c r="P1974" s="197">
        <f t="shared" si="75"/>
        <v>0.04829218</v>
      </c>
      <c r="Q1974" s="197">
        <f t="shared" si="75"/>
        <v>0.05535316</v>
      </c>
      <c r="R1974" s="197">
        <f t="shared" si="75"/>
        <v>0.04917896000000001</v>
      </c>
      <c r="S1974" s="197">
        <f t="shared" si="75"/>
        <v>0.04457148</v>
      </c>
      <c r="T1974" s="197">
        <f t="shared" si="75"/>
        <v>0.04735595000000001</v>
      </c>
      <c r="U1974" s="197">
        <f t="shared" si="75"/>
        <v>0.04682454000000001</v>
      </c>
      <c r="V1974" s="197">
        <f t="shared" si="75"/>
        <v>0.046293130000000016</v>
      </c>
      <c r="W1974" s="197">
        <f t="shared" si="75"/>
        <v>0.04576172000000002</v>
      </c>
      <c r="X1974" s="197">
        <f t="shared" si="75"/>
        <v>0.045230310000000024</v>
      </c>
      <c r="Y1974" s="197">
        <f t="shared" si="75"/>
        <v>0.04469890000000003</v>
      </c>
      <c r="Z1974" s="197">
        <f t="shared" si="75"/>
        <v>0.04416749000000003</v>
      </c>
      <c r="AA1974" s="197">
        <f t="shared" si="75"/>
        <v>0.043636080000000035</v>
      </c>
      <c r="AB1974" s="197">
        <f t="shared" si="75"/>
        <v>0.04310467000000004</v>
      </c>
      <c r="AC1974" s="197">
        <f t="shared" si="75"/>
        <v>0.04257326000000004</v>
      </c>
      <c r="AD1974" s="197">
        <f t="shared" si="75"/>
        <v>0.04204185000000005</v>
      </c>
      <c r="AE1974" s="197">
        <f t="shared" si="75"/>
        <v>0.04151044000000005</v>
      </c>
      <c r="AF1974" s="197">
        <f t="shared" si="75"/>
        <v>0.040979030000000055</v>
      </c>
      <c r="AG1974" s="197">
        <f t="shared" si="75"/>
        <v>0.04044762000000006</v>
      </c>
    </row>
    <row r="1975">
      <c r="A1975" s="3" t="str">
        <f>CtryCode&amp;"|ngdp_r"</f>
        <v>EGY|ngdp_r</v>
      </c>
      <c r="B1975" s="3" t="inlineStr">
        <is>
          <t>Real GDP, local currency (NGDP_R; row 421)</t>
        </is>
      </c>
      <c r="C1975" s="3" t="str">
        <f>CtryCode&amp;".NGDP_R.A"</f>
        <v>EGY.NGDP_R.A</v>
      </c>
      <c r="D1975" s="39">
        <f>MATCH($C1975,WEOCode,0)</f>
        <v>841.0</v>
      </c>
      <c r="E1975" s="39">
        <f>INDEX(WEOLast,$D1975)</f>
        <v>2031.0</v>
      </c>
      <c r="F1975" s="197">
        <f t="shared" ref="F1975:AG1975" si="76">IF(F$1968&lt;=$E1975,INDEX(WEOData,$D1975,MATCH(F$1968,WEOYr,0)),E1975*(1+F1973))</f>
        <v>6514.4</v>
      </c>
      <c r="G1975" s="197">
        <f t="shared" si="76"/>
        <v>6875.9</v>
      </c>
      <c r="H1975" s="197">
        <f t="shared" si="76"/>
        <v>7121.8</v>
      </c>
      <c r="I1975" s="197">
        <f t="shared" si="76"/>
        <v>7353.4</v>
      </c>
      <c r="J1975" s="197">
        <f t="shared" si="76"/>
        <v>7842.5</v>
      </c>
      <c r="K1975" s="197">
        <f t="shared" si="76"/>
        <v>8137.4</v>
      </c>
      <c r="L1975" s="197">
        <f t="shared" si="76"/>
        <v>8332.6</v>
      </c>
      <c r="M1975" s="197">
        <f t="shared" si="76"/>
        <v>8698.6</v>
      </c>
      <c r="N1975" s="197">
        <f t="shared" si="76"/>
        <v>9067.395045</v>
      </c>
      <c r="O1975" s="197">
        <f t="shared" si="76"/>
        <v>9505.279302</v>
      </c>
      <c r="P1975" s="197">
        <f t="shared" si="76"/>
        <v>10031.426538</v>
      </c>
      <c r="Q1975" s="197">
        <f t="shared" si="76"/>
        <v>10555.729674</v>
      </c>
      <c r="R1975" s="197">
        <f t="shared" si="76"/>
        <v>11066.825114</v>
      </c>
      <c r="S1975" s="197">
        <f t="shared" si="76"/>
        <v>11596.786183</v>
      </c>
      <c r="T1975" s="197">
        <f t="shared" si="76"/>
        <v>12145.96300964284</v>
      </c>
      <c r="U1975" s="197">
        <f t="shared" si="76"/>
        <v>12714.692140426381</v>
      </c>
      <c r="V1975" s="197">
        <f t="shared" si="76"/>
        <v>13303.295036593117</v>
      </c>
      <c r="W1975" s="197">
        <f t="shared" si="76"/>
        <v>13912.076699135081</v>
      </c>
      <c r="X1975" s="197">
        <f t="shared" si="76"/>
        <v>14541.324240980737</v>
      </c>
      <c r="Y1975" s="197">
        <f t="shared" si="76"/>
        <v>15191.305439095911</v>
      </c>
      <c r="Z1975" s="197">
        <f t="shared" si="76"/>
        <v>15862.267270164126</v>
      </c>
      <c r="AA1975" s="197">
        <f t="shared" si="76"/>
        <v>16554.434433746388</v>
      </c>
      <c r="AB1975" s="197">
        <f t="shared" si="76"/>
        <v>17268.007867049662</v>
      </c>
      <c r="AC1975" s="197">
        <f t="shared" si="76"/>
        <v>18003.16325565561</v>
      </c>
      <c r="AD1975" s="197">
        <f t="shared" si="76"/>
        <v>18760.049544775393</v>
      </c>
      <c r="AE1975" s="197">
        <f t="shared" si="76"/>
        <v>19538.787455800822</v>
      </c>
      <c r="AF1975" s="197">
        <f t="shared" si="76"/>
        <v>20339.46801311571</v>
      </c>
      <c r="AG1975" s="197">
        <f t="shared" si="76"/>
        <v>21162.151086312373</v>
      </c>
    </row>
    <row r="1976">
      <c r="A1976" s="3" t="str">
        <f>CtryCode&amp;"|ngdp"</f>
        <v>EGY|ngdp</v>
      </c>
      <c r="B1976" s="3" t="inlineStr">
        <is>
          <t>Nominal GDP, local currency (NGDP; row 424)</t>
        </is>
      </c>
      <c r="C1976" s="3" t="str">
        <f>CtryCode&amp;".NGDP.A"</f>
        <v>EGY.NGDP.A</v>
      </c>
      <c r="D1976" s="39">
        <f>MATCH($C1976,WEOCode,0)</f>
        <v>839.0</v>
      </c>
      <c r="E1976" s="39">
        <f>INDEX(WEOLast,$D1976)</f>
        <v>2031.0</v>
      </c>
      <c r="F1976" s="197">
        <f t="shared" ref="F1976:AG1976" si="77">IF(F$1968&lt;=$E1976,INDEX(WEOData,$D1976,MATCH(F$1968,WEOYr,0)),E1976*(1+F1977))</f>
        <v>4666.2</v>
      </c>
      <c r="G1976" s="197">
        <f t="shared" si="77"/>
        <v>5596.0</v>
      </c>
      <c r="H1976" s="197">
        <f t="shared" si="77"/>
        <v>6152.6</v>
      </c>
      <c r="I1976" s="197">
        <f t="shared" si="77"/>
        <v>6663.1</v>
      </c>
      <c r="J1976" s="197">
        <f t="shared" si="77"/>
        <v>7842.5</v>
      </c>
      <c r="K1976" s="197">
        <f t="shared" si="77"/>
        <v>10155.5</v>
      </c>
      <c r="L1976" s="197">
        <f t="shared" si="77"/>
        <v>13902.57</v>
      </c>
      <c r="M1976" s="197">
        <f t="shared" si="77"/>
        <v>18136.3</v>
      </c>
      <c r="N1976" s="197">
        <f t="shared" si="77"/>
        <v>21282.837794</v>
      </c>
      <c r="O1976" s="197">
        <f t="shared" si="77"/>
        <v>24832.633296</v>
      </c>
      <c r="P1976" s="197">
        <f t="shared" si="77"/>
        <v>28382.772973</v>
      </c>
      <c r="Q1976" s="197">
        <f t="shared" si="77"/>
        <v>31810.495731</v>
      </c>
      <c r="R1976" s="197">
        <f t="shared" si="77"/>
        <v>35221.975951</v>
      </c>
      <c r="S1976" s="197">
        <f t="shared" si="77"/>
        <v>38906.90358</v>
      </c>
      <c r="T1976" s="197">
        <f t="shared" si="77"/>
        <v>43079.42994070266</v>
      </c>
      <c r="U1976" s="197">
        <f t="shared" si="77"/>
        <v>47699.43411713436</v>
      </c>
      <c r="V1976" s="197">
        <f t="shared" si="77"/>
        <v>52814.90535567961</v>
      </c>
      <c r="W1976" s="197">
        <f t="shared" si="77"/>
        <v>58478.979454546505</v>
      </c>
      <c r="X1976" s="197">
        <f t="shared" si="77"/>
        <v>64750.49069982882</v>
      </c>
      <c r="Y1976" s="197">
        <f t="shared" si="77"/>
        <v>71694.58299331965</v>
      </c>
      <c r="Z1976" s="197">
        <f t="shared" si="77"/>
        <v>79383.38652002814</v>
      </c>
      <c r="AA1976" s="197">
        <f t="shared" si="77"/>
        <v>87896.76698413</v>
      </c>
      <c r="AB1976" s="197">
        <f t="shared" si="77"/>
        <v>97323.15519587013</v>
      </c>
      <c r="AC1976" s="197">
        <f t="shared" si="77"/>
        <v>107760.46562656375</v>
      </c>
      <c r="AD1976" s="197">
        <f t="shared" si="77"/>
        <v>119317.1134729774</v>
      </c>
      <c r="AE1976" s="197">
        <f t="shared" si="77"/>
        <v>132113.1407956161</v>
      </c>
      <c r="AF1976" s="197">
        <f t="shared" si="77"/>
        <v>146281.46342842252</v>
      </c>
      <c r="AG1976" s="197">
        <f t="shared" si="77"/>
        <v>161969.25161188032</v>
      </c>
    </row>
    <row r="1977">
      <c r="A1977" s="3" t="str">
        <f>CtryCode&amp;"|ngdp_g"</f>
        <v>EGY|ngdp_g</v>
      </c>
      <c r="B1977" s="3" t="inlineStr">
        <is>
          <t>Nominal GDP growth (row 419)</t>
        </is>
      </c>
      <c r="F1977" s="197">
        <f t="shared" ref="F1977:AG1977" si="78">IF(F$1968&gt;=$E1976,E1977,F1976/E1976-1)</f>
        <v>1.2974889217134415</v>
      </c>
      <c r="G1977" s="197">
        <f t="shared" si="78"/>
        <v>0.1992627834211993</v>
      </c>
      <c r="H1977" s="197">
        <f t="shared" si="78"/>
        <v>0.09946390278770556</v>
      </c>
      <c r="I1977" s="197">
        <f t="shared" si="78"/>
        <v>0.08297305204303873</v>
      </c>
      <c r="J1977" s="197">
        <f t="shared" si="78"/>
        <v>0.17700469751316938</v>
      </c>
      <c r="K1977" s="197">
        <f t="shared" si="78"/>
        <v>0.2949314631813835</v>
      </c>
      <c r="L1977" s="197">
        <f t="shared" si="78"/>
        <v>0.3689695239033035</v>
      </c>
      <c r="M1977" s="197">
        <f t="shared" si="78"/>
        <v>0.30452858716050346</v>
      </c>
      <c r="N1977" s="197">
        <f t="shared" si="78"/>
        <v>0.17349392070047354</v>
      </c>
      <c r="O1977" s="197">
        <f t="shared" si="78"/>
        <v>0.16679145593078526</v>
      </c>
      <c r="P1977" s="197">
        <f t="shared" si="78"/>
        <v>0.142962674746695</v>
      </c>
      <c r="Q1977" s="197">
        <f t="shared" si="78"/>
        <v>0.1207677192521226</v>
      </c>
      <c r="R1977" s="197">
        <f t="shared" si="78"/>
        <v>0.10724385589110574</v>
      </c>
      <c r="S1977" s="197">
        <f t="shared" si="78"/>
        <v>0.10724385589110574</v>
      </c>
      <c r="T1977" s="197">
        <f t="shared" si="78"/>
        <v>0.10724385589110574</v>
      </c>
      <c r="U1977" s="197">
        <f t="shared" si="78"/>
        <v>0.10724385589110574</v>
      </c>
      <c r="V1977" s="197">
        <f t="shared" si="78"/>
        <v>0.10724385589110574</v>
      </c>
      <c r="W1977" s="197">
        <f t="shared" si="78"/>
        <v>0.10724385589110574</v>
      </c>
      <c r="X1977" s="197">
        <f t="shared" si="78"/>
        <v>0.10724385589110574</v>
      </c>
      <c r="Y1977" s="197">
        <f t="shared" si="78"/>
        <v>0.10724385589110574</v>
      </c>
      <c r="Z1977" s="197">
        <f t="shared" si="78"/>
        <v>0.10724385589110574</v>
      </c>
      <c r="AA1977" s="197">
        <f t="shared" si="78"/>
        <v>0.10724385589110574</v>
      </c>
      <c r="AB1977" s="197">
        <f t="shared" si="78"/>
        <v>0.10724385589110574</v>
      </c>
      <c r="AC1977" s="197">
        <f t="shared" si="78"/>
        <v>0.10724385589110574</v>
      </c>
      <c r="AD1977" s="197">
        <f t="shared" si="78"/>
        <v>0.10724385589110574</v>
      </c>
      <c r="AE1977" s="197">
        <f t="shared" si="78"/>
        <v>0.10724385589110574</v>
      </c>
      <c r="AF1977" s="197">
        <f t="shared" si="78"/>
        <v>0.10724385589110574</v>
      </c>
      <c r="AG1977" s="197">
        <f t="shared" si="78"/>
        <v>0.10724385589110574</v>
      </c>
    </row>
    <row r="1978">
      <c r="A1978" s="3" t="str">
        <f>CtryCode&amp;"|xr"</f>
        <v>EGY|xr</v>
      </c>
      <c r="B1978" s="3" t="inlineStr">
        <is>
          <t>Exchange rate, LCU per USD (XDC_USD.PA_RT; row 432; euro area if the country uses the euro)</t>
        </is>
      </c>
      <c r="C1978" s="3" t="inlineStr">
        <is>
          <t>EGY.XDC_USD.PA_RT.A</t>
        </is>
      </c>
      <c r="D1978" s="39">
        <f>MATCH($C1978,WEOCode,0)</f>
        <v>849.0</v>
      </c>
      <c r="E1978" s="39">
        <f>INDEX(WEOLast,$D1978)</f>
        <v>2025.0</v>
      </c>
      <c r="F1978" s="197">
        <f t="shared" ref="F1978:AG1978" si="79">IF(F$1968&lt;=$E1978,INDEX(WEOData,$D1978,MATCH(F$1968,WEOYr,0)),E1978)</f>
        <v>17.7672904218106</v>
      </c>
      <c r="G1978" s="197">
        <f t="shared" si="79"/>
        <v>16.7705818428763</v>
      </c>
      <c r="H1978" s="197">
        <f t="shared" si="79"/>
        <v>15.7591729166666</v>
      </c>
      <c r="I1978" s="197">
        <f t="shared" si="79"/>
        <v>15.6445272777113</v>
      </c>
      <c r="J1978" s="197">
        <f t="shared" si="79"/>
        <v>19.1604397412204</v>
      </c>
      <c r="K1978" s="197">
        <f t="shared" si="79"/>
        <v>30.626413698031</v>
      </c>
      <c r="L1978" s="197">
        <f t="shared" si="79"/>
        <v>45.29926</v>
      </c>
      <c r="M1978" s="197">
        <f t="shared" si="79"/>
        <v>49.2277558333333</v>
      </c>
      <c r="N1978" s="197">
        <f t="shared" si="79"/>
        <v>49.2277558333333</v>
      </c>
      <c r="O1978" s="197">
        <f t="shared" si="79"/>
        <v>49.2277558333333</v>
      </c>
      <c r="P1978" s="197">
        <f t="shared" si="79"/>
        <v>49.2277558333333</v>
      </c>
      <c r="Q1978" s="197">
        <f t="shared" si="79"/>
        <v>49.2277558333333</v>
      </c>
      <c r="R1978" s="197">
        <f t="shared" si="79"/>
        <v>49.2277558333333</v>
      </c>
      <c r="S1978" s="197">
        <f t="shared" si="79"/>
        <v>49.2277558333333</v>
      </c>
      <c r="T1978" s="197">
        <f t="shared" si="79"/>
        <v>49.2277558333333</v>
      </c>
      <c r="U1978" s="197">
        <f t="shared" si="79"/>
        <v>49.2277558333333</v>
      </c>
      <c r="V1978" s="197">
        <f t="shared" si="79"/>
        <v>49.2277558333333</v>
      </c>
      <c r="W1978" s="197">
        <f t="shared" si="79"/>
        <v>49.2277558333333</v>
      </c>
      <c r="X1978" s="197">
        <f t="shared" si="79"/>
        <v>49.2277558333333</v>
      </c>
      <c r="Y1978" s="197">
        <f t="shared" si="79"/>
        <v>49.2277558333333</v>
      </c>
      <c r="Z1978" s="197">
        <f t="shared" si="79"/>
        <v>49.2277558333333</v>
      </c>
      <c r="AA1978" s="197">
        <f t="shared" si="79"/>
        <v>49.2277558333333</v>
      </c>
      <c r="AB1978" s="197">
        <f t="shared" si="79"/>
        <v>49.2277558333333</v>
      </c>
      <c r="AC1978" s="197">
        <f t="shared" si="79"/>
        <v>49.2277558333333</v>
      </c>
      <c r="AD1978" s="197">
        <f t="shared" si="79"/>
        <v>49.2277558333333</v>
      </c>
      <c r="AE1978" s="197">
        <f t="shared" si="79"/>
        <v>49.2277558333333</v>
      </c>
      <c r="AF1978" s="197">
        <f t="shared" si="79"/>
        <v>49.2277558333333</v>
      </c>
      <c r="AG1978" s="197">
        <f t="shared" si="79"/>
        <v>49.2277558333333</v>
      </c>
    </row>
    <row r="1979">
      <c r="A1979" s="3" t="str">
        <f>CtryCode&amp;"|gdp_usd"</f>
        <v>EGY|gdp_usd</v>
      </c>
      <c r="B1979" s="3" t="inlineStr">
        <is>
          <t>Baseline GDP, real, USD bn (row 465)</t>
        </is>
      </c>
      <c r="F1979" s="197">
        <f t="shared" ref="F1979:AG1979" si="80">IF(F$1968&lt;BaseYr,F1976/F1978*F1971,E1979*(1+F1973))</f>
        <v>340.65583031574664</v>
      </c>
      <c r="G1979" s="197">
        <f t="shared" si="80"/>
        <v>425.7877352337468</v>
      </c>
      <c r="H1979" s="197">
        <f t="shared" si="80"/>
        <v>491.5730420330923</v>
      </c>
      <c r="I1979" s="197">
        <f t="shared" si="80"/>
        <v>512.8589087357071</v>
      </c>
      <c r="J1979" s="197">
        <f t="shared" si="80"/>
        <v>546.9709241189541</v>
      </c>
      <c r="K1979" s="197">
        <f t="shared" si="80"/>
        <v>567.5385678541237</v>
      </c>
      <c r="L1979" s="197">
        <f t="shared" si="80"/>
        <v>581.1526886951941</v>
      </c>
      <c r="M1979" s="197">
        <f t="shared" si="80"/>
        <v>606.6791638435923</v>
      </c>
      <c r="N1979" s="197">
        <f t="shared" si="80"/>
        <v>632.400576753819</v>
      </c>
      <c r="O1979" s="197">
        <f t="shared" si="80"/>
        <v>662.9405792385182</v>
      </c>
      <c r="P1979" s="197">
        <f t="shared" si="80"/>
        <v>699.6364351916005</v>
      </c>
      <c r="Q1979" s="197">
        <f t="shared" si="80"/>
        <v>736.2036750915108</v>
      </c>
      <c r="R1979" s="197">
        <f t="shared" si="80"/>
        <v>771.8497515089215</v>
      </c>
      <c r="S1979" s="197">
        <f t="shared" si="80"/>
        <v>808.8115984253398</v>
      </c>
      <c r="T1979" s="197">
        <f t="shared" si="80"/>
        <v>847.1136400397902</v>
      </c>
      <c r="U1979" s="197">
        <f t="shared" si="80"/>
        <v>886.779346562379</v>
      </c>
      <c r="V1979" s="197">
        <f t="shared" si="80"/>
        <v>927.8311381341064</v>
      </c>
      <c r="W1979" s="197">
        <f t="shared" si="80"/>
        <v>970.2902868846807</v>
      </c>
      <c r="X1979" s="197">
        <f t="shared" si="80"/>
        <v>1014.1768173504637</v>
      </c>
      <c r="Y1979" s="197">
        <f t="shared" si="80"/>
        <v>1059.5094054915303</v>
      </c>
      <c r="Z1979" s="197">
        <f t="shared" si="80"/>
        <v>1106.3052765634834</v>
      </c>
      <c r="AA1979" s="197">
        <f t="shared" si="80"/>
        <v>1154.5801021160296</v>
      </c>
      <c r="AB1979" s="197">
        <f t="shared" si="80"/>
        <v>1204.3478964063072</v>
      </c>
      <c r="AC1979" s="197">
        <f t="shared" si="80"/>
        <v>1255.6209125304658</v>
      </c>
      <c r="AD1979" s="197">
        <f t="shared" si="80"/>
        <v>1308.4095385919347</v>
      </c>
      <c r="AE1979" s="197">
        <f t="shared" si="80"/>
        <v>1362.7221942390831</v>
      </c>
      <c r="AF1979" s="197">
        <f t="shared" si="80"/>
        <v>1418.5652279184726</v>
      </c>
      <c r="AG1979" s="197">
        <f t="shared" si="80"/>
        <v>1475.9428152025325</v>
      </c>
    </row>
    <row r="1980">
      <c r="A1980" s="3" t="str">
        <f>CtryCode&amp;"|gdp_lcu"</f>
        <v>EGY|gdp_lcu</v>
      </c>
      <c r="B1980" s="3" t="inlineStr">
        <is>
          <t>Baseline GDP, real, LCU bn (row 464)</t>
        </is>
      </c>
      <c r="F1980" s="197">
        <f t="shared" ref="F1980:AG1980" si="81">F1975</f>
        <v>6514.4</v>
      </c>
      <c r="G1980" s="197">
        <f t="shared" si="81"/>
        <v>6875.9</v>
      </c>
      <c r="H1980" s="197">
        <f t="shared" si="81"/>
        <v>7121.8</v>
      </c>
      <c r="I1980" s="197">
        <f t="shared" si="81"/>
        <v>7353.4</v>
      </c>
      <c r="J1980" s="197">
        <f t="shared" si="81"/>
        <v>7842.5</v>
      </c>
      <c r="K1980" s="197">
        <f t="shared" si="81"/>
        <v>8137.4</v>
      </c>
      <c r="L1980" s="197">
        <f t="shared" si="81"/>
        <v>8332.6</v>
      </c>
      <c r="M1980" s="197">
        <f t="shared" si="81"/>
        <v>8698.6</v>
      </c>
      <c r="N1980" s="197">
        <f t="shared" si="81"/>
        <v>9067.395045</v>
      </c>
      <c r="O1980" s="197">
        <f t="shared" si="81"/>
        <v>9505.279302</v>
      </c>
      <c r="P1980" s="197">
        <f t="shared" si="81"/>
        <v>10031.426538</v>
      </c>
      <c r="Q1980" s="197">
        <f t="shared" si="81"/>
        <v>10555.729674</v>
      </c>
      <c r="R1980" s="197">
        <f t="shared" si="81"/>
        <v>11066.825114</v>
      </c>
      <c r="S1980" s="197">
        <f t="shared" si="81"/>
        <v>11596.786183</v>
      </c>
      <c r="T1980" s="197">
        <f t="shared" si="81"/>
        <v>12145.96300964284</v>
      </c>
      <c r="U1980" s="197">
        <f t="shared" si="81"/>
        <v>12714.692140426381</v>
      </c>
      <c r="V1980" s="197">
        <f t="shared" si="81"/>
        <v>13303.295036593117</v>
      </c>
      <c r="W1980" s="197">
        <f t="shared" si="81"/>
        <v>13912.076699135081</v>
      </c>
      <c r="X1980" s="197">
        <f t="shared" si="81"/>
        <v>14541.324240980737</v>
      </c>
      <c r="Y1980" s="197">
        <f t="shared" si="81"/>
        <v>15191.305439095911</v>
      </c>
      <c r="Z1980" s="197">
        <f t="shared" si="81"/>
        <v>15862.267270164126</v>
      </c>
      <c r="AA1980" s="197">
        <f t="shared" si="81"/>
        <v>16554.434433746388</v>
      </c>
      <c r="AB1980" s="197">
        <f t="shared" si="81"/>
        <v>17268.007867049662</v>
      </c>
      <c r="AC1980" s="197">
        <f t="shared" si="81"/>
        <v>18003.16325565561</v>
      </c>
      <c r="AD1980" s="197">
        <f t="shared" si="81"/>
        <v>18760.049544775393</v>
      </c>
      <c r="AE1980" s="197">
        <f t="shared" si="81"/>
        <v>19538.787455800822</v>
      </c>
      <c r="AF1980" s="197">
        <f t="shared" si="81"/>
        <v>20339.46801311571</v>
      </c>
      <c r="AG1980" s="197">
        <f t="shared" si="81"/>
        <v>21162.151086312373</v>
      </c>
    </row>
    <row r="1981">
      <c r="A1981" s="3" t="str">
        <f>CtryCode&amp;"|lp"</f>
        <v>EGY|lp</v>
      </c>
      <c r="B1981" s="3" t="inlineStr">
        <is>
          <t>Population, million (LP; legacy row 428)</t>
        </is>
      </c>
      <c r="C1981" s="3" t="str">
        <f>CtryCode&amp;".LP.A"</f>
        <v>EGY.LP.A</v>
      </c>
      <c r="D1981" s="39">
        <f>MATCH($C1981,WEOCode,0)</f>
        <v>838.0</v>
      </c>
      <c r="E1981" s="39">
        <f>INDEX(WEOLast,$D1981)</f>
        <v>2031.0</v>
      </c>
      <c r="F1981" s="197">
        <f t="shared" ref="F1981:AG1981" si="82">IF(F$1968&lt;=$E1981,INDEX(WEOData,$D1981,MATCH(F$1968,WEOYr,0)),E1981*(E1981/D1981))</f>
        <v>97.1</v>
      </c>
      <c r="G1981" s="197">
        <f t="shared" si="82"/>
        <v>98.9</v>
      </c>
      <c r="H1981" s="197">
        <f t="shared" si="82"/>
        <v>100.6</v>
      </c>
      <c r="I1981" s="197">
        <f t="shared" si="82"/>
        <v>102.1</v>
      </c>
      <c r="J1981" s="197">
        <f t="shared" si="82"/>
        <v>103.6</v>
      </c>
      <c r="K1981" s="197">
        <f t="shared" si="82"/>
        <v>105.2</v>
      </c>
      <c r="L1981" s="197">
        <f t="shared" si="82"/>
        <v>106.6</v>
      </c>
      <c r="M1981" s="197">
        <f t="shared" si="82"/>
        <v>107.9</v>
      </c>
      <c r="N1981" s="197">
        <f t="shared" si="82"/>
        <v>110.058</v>
      </c>
      <c r="O1981" s="197">
        <f t="shared" si="82"/>
        <v>112.25916</v>
      </c>
      <c r="P1981" s="197">
        <f t="shared" si="82"/>
        <v>114.504343</v>
      </c>
      <c r="Q1981" s="197">
        <f t="shared" si="82"/>
        <v>116.79443</v>
      </c>
      <c r="R1981" s="197">
        <f t="shared" si="82"/>
        <v>120.298263</v>
      </c>
      <c r="S1981" s="197">
        <f t="shared" si="82"/>
        <v>125.110193</v>
      </c>
      <c r="T1981" s="197">
        <f t="shared" si="82"/>
        <v>130.11460017919998</v>
      </c>
      <c r="U1981" s="197">
        <f t="shared" si="82"/>
        <v>135.31918362393597</v>
      </c>
      <c r="V1981" s="197">
        <f t="shared" si="82"/>
        <v>140.73195038396412</v>
      </c>
      <c r="W1981" s="197">
        <f t="shared" si="82"/>
        <v>146.36122779099622</v>
      </c>
      <c r="X1981" s="197">
        <f t="shared" si="82"/>
        <v>152.21567626997654</v>
      </c>
      <c r="Y1981" s="197">
        <f t="shared" si="82"/>
        <v>158.3043026628097</v>
      </c>
      <c r="Z1981" s="197">
        <f t="shared" si="82"/>
        <v>164.63647408503755</v>
      </c>
      <c r="AA1981" s="197">
        <f t="shared" si="82"/>
        <v>171.22193233678314</v>
      </c>
      <c r="AB1981" s="197">
        <f t="shared" si="82"/>
        <v>178.07080889013233</v>
      </c>
      <c r="AC1981" s="197">
        <f t="shared" si="82"/>
        <v>185.1936404760106</v>
      </c>
      <c r="AD1981" s="197">
        <f t="shared" si="82"/>
        <v>192.6013852945349</v>
      </c>
      <c r="AE1981" s="197">
        <f t="shared" si="82"/>
        <v>200.30543987377956</v>
      </c>
      <c r="AF1981" s="197">
        <f t="shared" si="82"/>
        <v>208.31765660289253</v>
      </c>
      <c r="AG1981" s="197">
        <f t="shared" si="82"/>
        <v>216.6503619665365</v>
      </c>
    </row>
    <row r="1982">
      <c r="A1982" s="3" t="str">
        <f>CtryCode&amp;"|gdppc"</f>
        <v>EGY|gdppc</v>
      </c>
      <c r="B1982" s="3" t="inlineStr">
        <is>
          <t>GDP per capita, USD (gdp_usd / population)</t>
        </is>
      </c>
      <c r="F1982" s="197">
        <f t="shared" ref="F1982:AG1982" si="83">F1979/F1981*Thousand</f>
        <v>3508.2989733856507</v>
      </c>
      <c r="G1982" s="197">
        <f t="shared" si="83"/>
        <v>4305.234936640513</v>
      </c>
      <c r="H1982" s="197">
        <f t="shared" si="83"/>
        <v>4886.411948639089</v>
      </c>
      <c r="I1982" s="197">
        <f t="shared" si="83"/>
        <v>5023.10390534483</v>
      </c>
      <c r="J1982" s="197">
        <f t="shared" si="83"/>
        <v>5279.64212470033</v>
      </c>
      <c r="K1982" s="197">
        <f t="shared" si="83"/>
        <v>5394.853306598134</v>
      </c>
      <c r="L1982" s="197">
        <f t="shared" si="83"/>
        <v>5451.713777628463</v>
      </c>
      <c r="M1982" s="197">
        <f t="shared" si="83"/>
        <v>5622.605781682968</v>
      </c>
      <c r="N1982" s="197">
        <f t="shared" si="83"/>
        <v>5746.066408201303</v>
      </c>
      <c r="O1982" s="197">
        <f t="shared" si="83"/>
        <v>5905.447530860896</v>
      </c>
      <c r="P1982" s="197">
        <f t="shared" si="83"/>
        <v>6110.130121366667</v>
      </c>
      <c r="Q1982" s="197">
        <f t="shared" si="83"/>
        <v>6303.414256069495</v>
      </c>
      <c r="R1982" s="197">
        <f t="shared" si="83"/>
        <v>6416.133801607107</v>
      </c>
      <c r="S1982" s="197">
        <f t="shared" si="83"/>
        <v>6464.793787228349</v>
      </c>
      <c r="T1982" s="197">
        <f t="shared" si="83"/>
        <v>6510.519487229759</v>
      </c>
      <c r="U1982" s="197">
        <f t="shared" si="83"/>
        <v>6553.24191894933</v>
      </c>
      <c r="V1982" s="197">
        <f t="shared" si="83"/>
        <v>6592.89618031066</v>
      </c>
      <c r="W1982" s="197">
        <f t="shared" si="83"/>
        <v>6629.421613422475</v>
      </c>
      <c r="X1982" s="197">
        <f t="shared" si="83"/>
        <v>6662.761958575635</v>
      </c>
      <c r="Y1982" s="197">
        <f t="shared" si="83"/>
        <v>6692.865498092618</v>
      </c>
      <c r="Z1982" s="197">
        <f t="shared" si="83"/>
        <v>6719.68518951674</v>
      </c>
      <c r="AA1982" s="197">
        <f t="shared" si="83"/>
        <v>6743.17878766279</v>
      </c>
      <c r="AB1982" s="197">
        <f t="shared" si="83"/>
        <v>6763.308955087503</v>
      </c>
      <c r="AC1982" s="197">
        <f t="shared" si="83"/>
        <v>6780.043360577034</v>
      </c>
      <c r="AD1982" s="197">
        <f t="shared" si="83"/>
        <v>6793.354765289225</v>
      </c>
      <c r="AE1982" s="197">
        <f t="shared" si="83"/>
        <v>6803.22109623078</v>
      </c>
      <c r="AF1982" s="197">
        <f t="shared" si="83"/>
        <v>6809.625506793338</v>
      </c>
      <c r="AG1982" s="197">
        <f t="shared" si="83"/>
        <v>6812.556424117604</v>
      </c>
    </row>
    <row r="1983">
      <c r="A1983" s="3" t="str">
        <f>CtryCode&amp;"|scc_manual"</f>
        <v>EGY|scc_manual</v>
      </c>
      <c r="B1983" s="3" t="inlineStr">
        <is>
          <t>Social cost of carbon, manual path (USD per tCO2 real; input; legacy row 17683)</t>
        </is>
      </c>
      <c r="F1983" s="64" t="n"/>
      <c r="G1983" s="64" t="n"/>
      <c r="H1983" s="64" t="n"/>
      <c r="I1983" s="64" t="n"/>
      <c r="J1983" s="64" t="n">
        <v>80.78521485307282</v>
      </c>
      <c r="K1983" s="64" t="n">
        <v>82.70867234957456</v>
      </c>
      <c r="L1983" s="64" t="n">
        <v>84.63212984607628</v>
      </c>
      <c r="M1983" s="64" t="n">
        <v>86.55558734257802</v>
      </c>
      <c r="N1983" s="64" t="n">
        <v>88.47904483907975</v>
      </c>
      <c r="O1983" s="64" t="n">
        <v>90.40250233558149</v>
      </c>
      <c r="P1983" s="64" t="n">
        <v>92.32595983208321</v>
      </c>
      <c r="Q1983" s="64" t="n">
        <v>94.24941732858495</v>
      </c>
      <c r="R1983" s="64" t="n">
        <v>96.17287482508669</v>
      </c>
      <c r="S1983" s="64" t="n">
        <v>98.09633232158842</v>
      </c>
      <c r="T1983" s="64" t="n">
        <v>100.0197898180902</v>
      </c>
      <c r="U1983" s="64" t="n">
        <v>101.9432473145919</v>
      </c>
      <c r="V1983" s="64" t="n">
        <v>103.8667048110936</v>
      </c>
      <c r="W1983" s="64" t="n">
        <v>105.7901623075954</v>
      </c>
      <c r="X1983" s="64" t="n">
        <v>107.7492393873656</v>
      </c>
      <c r="Y1983" s="64" t="n">
        <v>109.7445956723168</v>
      </c>
      <c r="Z1983" s="64" t="n">
        <v>111.7769029995819</v>
      </c>
      <c r="AA1983" s="64" t="n">
        <v>113.8468456477223</v>
      </c>
      <c r="AB1983" s="64" t="n">
        <v>115.9551205671246</v>
      </c>
      <c r="AC1983" s="64" t="n">
        <v>118.1024376146639</v>
      </c>
      <c r="AD1983" s="64" t="n"/>
      <c r="AE1983" s="64" t="n"/>
      <c r="AF1983" s="64" t="n"/>
      <c r="AG1983" s="64" t="n"/>
    </row>
    <row r="1984">
      <c r="A1984" s="3" t="str">
        <f>CtryCode&amp;"|psrc"</f>
        <v>EGY|psrc</v>
      </c>
      <c r="B1984" s="3" t="inlineStr">
        <is>
          <t>International price source of scenario 1 (MTInputs IntEnerPricForeSource)</t>
        </is>
      </c>
      <c r="C1984" s="3" t="str">
        <f>INDEX(SDBase,MATCH("IntEnerPricForeSource",SDParam,0))</f>
        <v>IMF</v>
      </c>
      <c r="D1984" s="3" t="str">
        <f>SUBSTITUTE($C1984,"*","")</f>
        <v>IMF</v>
      </c>
    </row>
    <row r="1985">
      <c r="A1985" s="3" t="str">
        <f>CtryCode&amp;"|ngdpd"</f>
        <v>EGY|ngdpd</v>
      </c>
      <c r="B1985" s="3" t="inlineStr">
        <is>
          <t>Nominal GDP, USD (NGDPD; v0.5.6)</t>
        </is>
      </c>
      <c r="C1985" s="3" t="str">
        <f>CtryCode&amp;".NGDPD.A"</f>
        <v>EGY.NGDPD.A</v>
      </c>
      <c r="D1985" s="39">
        <f>MATCH($C1985,WEOCode,0)</f>
        <v>843.0</v>
      </c>
      <c r="E1985" s="39">
        <f>INDEX(WEOLast,$D1985)</f>
        <v>2031.0</v>
      </c>
      <c r="F1985" s="197">
        <f t="shared" ref="F1985:AG1985" si="84">IF(F$1968&lt;=$E1985,INDEX(WEOData,$D1985,MATCH(F$1968,WEOYr,0)),E1985*(1+F1977))</f>
        <v>263.156312</v>
      </c>
      <c r="G1985" s="197">
        <f t="shared" si="84"/>
        <v>317.894338</v>
      </c>
      <c r="H1985" s="197">
        <f t="shared" si="84"/>
        <v>382.525258</v>
      </c>
      <c r="I1985" s="197">
        <f t="shared" si="84"/>
        <v>423.300334</v>
      </c>
      <c r="J1985" s="197">
        <f t="shared" si="84"/>
        <v>475.231026</v>
      </c>
      <c r="K1985" s="197">
        <f t="shared" si="84"/>
        <v>393.827559</v>
      </c>
      <c r="L1985" s="197">
        <f t="shared" si="84"/>
        <v>383.105243</v>
      </c>
      <c r="M1985" s="197">
        <f t="shared" si="84"/>
        <v>364.640362</v>
      </c>
      <c r="N1985" s="197">
        <f t="shared" si="84"/>
        <v>429.645296</v>
      </c>
      <c r="O1985" s="197">
        <f t="shared" si="84"/>
        <v>457.074772</v>
      </c>
      <c r="P1985" s="197">
        <f t="shared" si="84"/>
        <v>508.469781</v>
      </c>
      <c r="Q1985" s="197">
        <f t="shared" si="84"/>
        <v>560.081367</v>
      </c>
      <c r="R1985" s="197">
        <f t="shared" si="84"/>
        <v>610.981924</v>
      </c>
      <c r="S1985" s="197">
        <f t="shared" si="84"/>
        <v>665.59464</v>
      </c>
      <c r="T1985" s="197">
        <f t="shared" si="84"/>
        <v>736.9755756540525</v>
      </c>
      <c r="U1985" s="197">
        <f t="shared" si="84"/>
        <v>816.0116780847604</v>
      </c>
      <c r="V1985" s="197">
        <f t="shared" si="84"/>
        <v>903.5239168947419</v>
      </c>
      <c r="W1985" s="197">
        <f t="shared" si="84"/>
        <v>1000.421305632369</v>
      </c>
      <c r="X1985" s="197">
        <f t="shared" si="84"/>
        <v>1107.7103439639986</v>
      </c>
      <c r="Y1985" s="197">
        <f t="shared" si="84"/>
        <v>1226.505472461161</v>
      </c>
      <c r="Z1985" s="197">
        <f t="shared" si="84"/>
        <v>1358.0406485994383</v>
      </c>
      <c r="AA1985" s="197">
        <f t="shared" si="84"/>
        <v>1503.6821642121004</v>
      </c>
      <c r="AB1985" s="197">
        <f t="shared" si="84"/>
        <v>1664.9428375368889</v>
      </c>
      <c r="AC1985" s="197">
        <f t="shared" si="84"/>
        <v>1843.4977272726237</v>
      </c>
      <c r="AD1985" s="197">
        <f t="shared" si="84"/>
        <v>2041.20153187183</v>
      </c>
      <c r="AE1985" s="197">
        <f t="shared" si="84"/>
        <v>2260.1078548005967</v>
      </c>
      <c r="AF1985" s="197">
        <f t="shared" si="84"/>
        <v>2502.490535879188</v>
      </c>
      <c r="AG1985" s="197">
        <f t="shared" si="84"/>
        <v>2770.8672702778717</v>
      </c>
    </row>
    <row r="1986">
      <c r="A1986" s="3" t="str">
        <f>CtryCode&amp;"|bal_coa"</f>
        <v>EGY|bal_coa</v>
      </c>
      <c r="B1986" s="3" t="inlineStr">
        <is>
          <t>Base-year imports, production, exports of coa (Balances, ktoe; legacy rows 504-511)</t>
        </is>
      </c>
      <c r="C1986" s="195" t="n">
        <v>1839.041039741021</v>
      </c>
      <c r="D1986" s="195" t="n">
        <v>0</v>
      </c>
      <c r="E1986" s="195" t="n">
        <v>0</v>
      </c>
    </row>
    <row r="1987">
      <c r="A1987" s="3" t="str">
        <f>CtryCode&amp;"|bal_nga"</f>
        <v>EGY|bal_nga</v>
      </c>
      <c r="B1987" s="3" t="inlineStr">
        <is>
          <t>Base-year imports, production, exports of nga (Balances, ktoe; legacy rows 504-511)</t>
        </is>
      </c>
      <c r="C1987" s="195" t="n">
        <v>5341.259285804915</v>
      </c>
      <c r="D1987" s="195" t="n">
        <v>56448.01712264789</v>
      </c>
      <c r="E1987" s="195" t="n">
        <v>-8059.392591593927</v>
      </c>
    </row>
    <row r="1988">
      <c r="A1988" s="3" t="str">
        <f>CtryCode&amp;"|bal_oop"</f>
        <v>EGY|bal_oop</v>
      </c>
      <c r="B1988" s="3" t="inlineStr">
        <is>
          <t>Base-year imports, production, exports of oop (Balances, ktoe; legacy rows 504-511)</t>
        </is>
      </c>
      <c r="C1988" s="195" t="n">
        <v>10485.82410092351</v>
      </c>
      <c r="D1988" s="195" t="n">
        <v>32502.27073072202</v>
      </c>
      <c r="E1988" s="195" t="n">
        <v>-8029.191072862055</v>
      </c>
    </row>
    <row r="1989">
      <c r="A1989" s="3" t="str">
        <f>CtryCode&amp;"|bal_gso"</f>
        <v>EGY|bal_gso</v>
      </c>
      <c r="B1989" s="3" t="inlineStr">
        <is>
          <t>Base-year imports, production, exports of gso (Balances, ktoe; legacy rows 504-511)</t>
        </is>
      </c>
      <c r="C1989" s="195" t="n">
        <v>1651.151242354026</v>
      </c>
      <c r="D1989" s="195" t="n">
        <v>0</v>
      </c>
      <c r="E1989" s="195" t="n">
        <v>0</v>
      </c>
    </row>
    <row r="1990">
      <c r="A1990" s="3" t="str">
        <f>CtryCode&amp;"|bal_die"</f>
        <v>EGY|bal_die</v>
      </c>
      <c r="B1990" s="3" t="inlineStr">
        <is>
          <t>Base-year imports, production, exports of die (Balances, ktoe; legacy rows 504-511)</t>
        </is>
      </c>
      <c r="C1990" s="195" t="n">
        <v>4841.229609479292</v>
      </c>
      <c r="D1990" s="195" t="n">
        <v>0</v>
      </c>
      <c r="E1990" s="195" t="n">
        <v>0</v>
      </c>
    </row>
    <row r="1991">
      <c r="A1991" s="3" t="str">
        <f>CtryCode&amp;"|bal_ker"</f>
        <v>EGY|bal_ker</v>
      </c>
      <c r="B1991" s="3" t="inlineStr">
        <is>
          <t>Base-year imports, production, exports of ker (Balances, ktoe; legacy rows 504-511)</t>
        </is>
      </c>
      <c r="C1991" s="195" t="n">
        <v>0</v>
      </c>
      <c r="D1991" s="195" t="n">
        <v>0</v>
      </c>
      <c r="E1991" s="195" t="n">
        <v>-18.14879907386436</v>
      </c>
    </row>
    <row r="1992">
      <c r="A1992" s="3" t="str">
        <f>CtryCode&amp;"|bal_lpg"</f>
        <v>EGY|bal_lpg</v>
      </c>
      <c r="B1992" s="3" t="inlineStr">
        <is>
          <t>Base-year imports, production, exports of lpg (Balances, ktoe; legacy rows 504-511)</t>
        </is>
      </c>
      <c r="C1992" s="195" t="n">
        <v>2033.574574484174</v>
      </c>
      <c r="D1992" s="195" t="n">
        <v>0</v>
      </c>
      <c r="E1992" s="195" t="n">
        <v>0</v>
      </c>
    </row>
    <row r="1993">
      <c r="A1993" s="3" t="str">
        <f>CtryCode&amp;"|bal_jfu"</f>
        <v>EGY|bal_jfu</v>
      </c>
      <c r="B1993" s="3" t="inlineStr">
        <is>
          <t>Base-year imports, production, exports of jfu (Balances, ktoe; legacy rows 504-511)</t>
        </is>
      </c>
      <c r="C1993" s="195" t="n">
        <v>0</v>
      </c>
      <c r="D1993" s="195" t="n">
        <v>0</v>
      </c>
      <c r="E1993" s="195" t="n">
        <v>-626.2546837503046</v>
      </c>
    </row>
    <row r="1994">
      <c r="A1994" s="3" t="str">
        <f>CtryCode&amp;"|ts_oil"</f>
        <v>EGY|ts_oil</v>
      </c>
      <c r="B1994" s="3" t="inlineStr">
        <is>
          <t>Share traded, oil (imports - exports) / (imports + production - exports) (legacy row 741-743 H)</t>
        </is>
      </c>
      <c r="C1994" s="195">
        <f>SUM($C$1988:$C$1993)</f>
        <v>19011.779527241</v>
      </c>
      <c r="D1994" s="195">
        <f>SUM($D$1988:$D$1993)</f>
        <v>32502.27073072202</v>
      </c>
      <c r="E1994" s="195">
        <f>SUM($E$1988:$E$1993)</f>
        <v>-8673.594555686224</v>
      </c>
      <c r="F1994" s="197">
        <f t="shared" ref="F1994:AG1994" si="85">IF($C1994+$D1994-$E1994=0,1,($C1994-$E1994)/($C1994+$D1994-$E1994))</f>
        <v>0.4599843401190669</v>
      </c>
      <c r="G1994" s="197">
        <f t="shared" si="85"/>
        <v>0.4599843401190669</v>
      </c>
      <c r="H1994" s="197">
        <f t="shared" si="85"/>
        <v>0.4599843401190669</v>
      </c>
      <c r="I1994" s="197">
        <f t="shared" si="85"/>
        <v>0.4599843401190669</v>
      </c>
      <c r="J1994" s="197">
        <f t="shared" si="85"/>
        <v>0.4599843401190669</v>
      </c>
      <c r="K1994" s="197">
        <f t="shared" si="85"/>
        <v>0.4599843401190669</v>
      </c>
      <c r="L1994" s="197">
        <f t="shared" si="85"/>
        <v>0.4599843401190669</v>
      </c>
      <c r="M1994" s="197">
        <f t="shared" si="85"/>
        <v>0.4599843401190669</v>
      </c>
      <c r="N1994" s="197">
        <f t="shared" si="85"/>
        <v>0.4599843401190669</v>
      </c>
      <c r="O1994" s="197">
        <f t="shared" si="85"/>
        <v>0.4599843401190669</v>
      </c>
      <c r="P1994" s="197">
        <f t="shared" si="85"/>
        <v>0.4599843401190669</v>
      </c>
      <c r="Q1994" s="197">
        <f t="shared" si="85"/>
        <v>0.4599843401190669</v>
      </c>
      <c r="R1994" s="197">
        <f t="shared" si="85"/>
        <v>0.4599843401190669</v>
      </c>
      <c r="S1994" s="197">
        <f t="shared" si="85"/>
        <v>0.4599843401190669</v>
      </c>
      <c r="T1994" s="197">
        <f t="shared" si="85"/>
        <v>0.4599843401190669</v>
      </c>
      <c r="U1994" s="197">
        <f t="shared" si="85"/>
        <v>0.4599843401190669</v>
      </c>
      <c r="V1994" s="197">
        <f t="shared" si="85"/>
        <v>0.4599843401190669</v>
      </c>
      <c r="W1994" s="197">
        <f t="shared" si="85"/>
        <v>0.4599843401190669</v>
      </c>
      <c r="X1994" s="197">
        <f t="shared" si="85"/>
        <v>0.4599843401190669</v>
      </c>
      <c r="Y1994" s="197">
        <f t="shared" si="85"/>
        <v>0.4599843401190669</v>
      </c>
      <c r="Z1994" s="197">
        <f t="shared" si="85"/>
        <v>0.4599843401190669</v>
      </c>
      <c r="AA1994" s="197">
        <f t="shared" si="85"/>
        <v>0.4599843401190669</v>
      </c>
      <c r="AB1994" s="197">
        <f t="shared" si="85"/>
        <v>0.4599843401190669</v>
      </c>
      <c r="AC1994" s="197">
        <f t="shared" si="85"/>
        <v>0.4599843401190669</v>
      </c>
      <c r="AD1994" s="197">
        <f t="shared" si="85"/>
        <v>0.4599843401190669</v>
      </c>
      <c r="AE1994" s="197">
        <f t="shared" si="85"/>
        <v>0.4599843401190669</v>
      </c>
      <c r="AF1994" s="197">
        <f t="shared" si="85"/>
        <v>0.4599843401190669</v>
      </c>
      <c r="AG1994" s="197">
        <f t="shared" si="85"/>
        <v>0.4599843401190669</v>
      </c>
    </row>
    <row r="1995">
      <c r="A1995" s="3" t="str">
        <f>CtryCode&amp;"|px_oil"</f>
        <v>EGY|px_oil</v>
      </c>
      <c r="B1995" s="3" t="inlineStr">
        <is>
          <t>International price of oil, real USD per GJ (GJ per barrel)</t>
        </is>
      </c>
      <c r="C1995" s="3" t="str">
        <f>$D$1984&amp;"|oil"</f>
        <v>IMF|oil</v>
      </c>
      <c r="D1995" s="8" t="n">
        <v>6.12</v>
      </c>
      <c r="F1995" s="197">
        <f t="shared" ref="F1995:AG1995" si="86">IFERROR(INDEX(PIntVal,MATCH($C1995,PIntKey,0),MATCH(F$1968,PIntYear,0)),0)*F1971/$D1995</f>
        <v>0.0</v>
      </c>
      <c r="G1995" s="197">
        <f t="shared" si="86"/>
        <v>0.0</v>
      </c>
      <c r="H1995" s="197">
        <f t="shared" si="86"/>
        <v>0.0</v>
      </c>
      <c r="I1995" s="197">
        <f t="shared" si="86"/>
        <v>13.936670566585937</v>
      </c>
      <c r="J1995" s="197">
        <f t="shared" si="86"/>
        <v>18.184940116858165</v>
      </c>
      <c r="K1995" s="197">
        <f t="shared" si="86"/>
        <v>14.582292715388995</v>
      </c>
      <c r="L1995" s="197">
        <f t="shared" si="86"/>
        <v>13.812572603628377</v>
      </c>
      <c r="M1995" s="197">
        <f t="shared" si="86"/>
        <v>11.484038196164086</v>
      </c>
      <c r="N1995" s="197">
        <f t="shared" si="86"/>
        <v>13.102371241830063</v>
      </c>
      <c r="O1995" s="197">
        <f t="shared" si="86"/>
        <v>11.424270614008257</v>
      </c>
      <c r="P1995" s="197">
        <f t="shared" si="86"/>
        <v>10.96259794764814</v>
      </c>
      <c r="Q1995" s="197">
        <f t="shared" si="86"/>
        <v>10.729877486036823</v>
      </c>
      <c r="R1995" s="197">
        <f t="shared" si="86"/>
        <v>10.526361994097005</v>
      </c>
      <c r="S1995" s="197">
        <f t="shared" si="86"/>
        <v>10.305261168425888</v>
      </c>
      <c r="T1995" s="197">
        <f t="shared" si="86"/>
        <v>10.305261168425888</v>
      </c>
      <c r="U1995" s="197">
        <f t="shared" si="86"/>
        <v>10.305261168425888</v>
      </c>
      <c r="V1995" s="197">
        <f t="shared" si="86"/>
        <v>10.30526116842589</v>
      </c>
      <c r="W1995" s="197">
        <f t="shared" si="86"/>
        <v>10.30526116842589</v>
      </c>
      <c r="X1995" s="197">
        <f t="shared" si="86"/>
        <v>10.30526116842589</v>
      </c>
      <c r="Y1995" s="197">
        <f t="shared" si="86"/>
        <v>10.30526116842589</v>
      </c>
      <c r="Z1995" s="197">
        <f t="shared" si="86"/>
        <v>10.30526116842589</v>
      </c>
      <c r="AA1995" s="197">
        <f t="shared" si="86"/>
        <v>10.30526116842589</v>
      </c>
      <c r="AB1995" s="197">
        <f t="shared" si="86"/>
        <v>10.30526116842589</v>
      </c>
      <c r="AC1995" s="197">
        <f t="shared" si="86"/>
        <v>10.305261168425892</v>
      </c>
      <c r="AD1995" s="197">
        <f t="shared" si="86"/>
        <v>10.305261168425892</v>
      </c>
      <c r="AE1995" s="197">
        <f t="shared" si="86"/>
        <v>10.305261168425892</v>
      </c>
      <c r="AF1995" s="197">
        <f t="shared" si="86"/>
        <v>10.305261168425892</v>
      </c>
      <c r="AG1995" s="197">
        <f t="shared" si="86"/>
        <v>10.305261168425892</v>
      </c>
    </row>
    <row r="1996">
      <c r="A1996" s="3" t="str">
        <f>CtryCode&amp;"|tb_oil"</f>
        <v>EGY|tb_oil</v>
      </c>
      <c r="B1996" s="3" t="inlineStr">
        <is>
          <t>Energy trade balance (exports - imports), oil, USD bn real (legacy rows 741-743; coal at the coal price)</t>
        </is>
      </c>
      <c r="F1996" s="197">
        <f>-($C1994+$E1994)*'Constants and Mappings'!$C$13/MperBn*F1995</f>
        <v>-0.0</v>
      </c>
      <c r="G1996" s="197">
        <f>-($C1994+$E1994)*'Constants and Mappings'!$C$13/MperBn*G1995</f>
        <v>-0.0</v>
      </c>
      <c r="H1996" s="197">
        <f>-($C1994+$E1994)*'Constants and Mappings'!$C$13/MperBn*H1995</f>
        <v>-0.0</v>
      </c>
      <c r="I1996" s="197">
        <f>-($C1994+$E1994)*'Constants and Mappings'!$C$13/MperBn*I1995</f>
        <v>-6.032336340686459</v>
      </c>
      <c r="J1996" s="197">
        <f>-($C1994+$E1994)*'Constants and Mappings'!$C$13/MperBn*J1995</f>
        <v>-7.871153629988055</v>
      </c>
      <c r="K1996" s="197">
        <f>-($C1994+$E1994)*'Constants and Mappings'!$C$13/MperBn*K1995</f>
        <v>-6.311786868843044</v>
      </c>
      <c r="L1996" s="197">
        <f>-($C1994+$E1994)*'Constants and Mappings'!$C$13/MperBn*L1995</f>
        <v>-5.978621886565052</v>
      </c>
      <c r="M1996" s="197">
        <f>-($C1994+$E1994)*'Constants and Mappings'!$C$13/MperBn*M1995</f>
        <v>-4.970741083214283</v>
      </c>
      <c r="N1996" s="197">
        <f>-($C1994+$E1994)*'Constants and Mappings'!$C$13/MperBn*N1995</f>
        <v>-5.671218948143549</v>
      </c>
      <c r="O1996" s="197">
        <f>-($C1994+$E1994)*'Constants and Mappings'!$C$13/MperBn*O1995</f>
        <v>-4.944871335048033</v>
      </c>
      <c r="P1996" s="197">
        <f>-($C1994+$E1994)*'Constants and Mappings'!$C$13/MperBn*P1995</f>
        <v>-4.745041340539668</v>
      </c>
      <c r="Q1996" s="197">
        <f>-($C1994+$E1994)*'Constants and Mappings'!$C$13/MperBn*Q1995</f>
        <v>-4.6443108187775275</v>
      </c>
      <c r="R1996" s="197">
        <f>-($C1994+$E1994)*'Constants and Mappings'!$C$13/MperBn*R1995</f>
        <v>-4.556221350632627</v>
      </c>
      <c r="S1996" s="197">
        <f>-($C1994+$E1994)*'Constants and Mappings'!$C$13/MperBn*S1995</f>
        <v>-4.4605202619630395</v>
      </c>
      <c r="T1996" s="197">
        <f>-($C1994+$E1994)*'Constants and Mappings'!$C$13/MperBn*T1995</f>
        <v>-4.4605202619630395</v>
      </c>
      <c r="U1996" s="197">
        <f>-($C1994+$E1994)*'Constants and Mappings'!$C$13/MperBn*U1995</f>
        <v>-4.4605202619630395</v>
      </c>
      <c r="V1996" s="197">
        <f>-($C1994+$E1994)*'Constants and Mappings'!$C$13/MperBn*V1995</f>
        <v>-4.46052026196304</v>
      </c>
      <c r="W1996" s="197">
        <f>-($C1994+$E1994)*'Constants and Mappings'!$C$13/MperBn*W1995</f>
        <v>-4.46052026196304</v>
      </c>
      <c r="X1996" s="197">
        <f>-($C1994+$E1994)*'Constants and Mappings'!$C$13/MperBn*X1995</f>
        <v>-4.46052026196304</v>
      </c>
      <c r="Y1996" s="197">
        <f>-($C1994+$E1994)*'Constants and Mappings'!$C$13/MperBn*Y1995</f>
        <v>-4.46052026196304</v>
      </c>
      <c r="Z1996" s="197">
        <f>-($C1994+$E1994)*'Constants and Mappings'!$C$13/MperBn*Z1995</f>
        <v>-4.46052026196304</v>
      </c>
      <c r="AA1996" s="197">
        <f>-($C1994+$E1994)*'Constants and Mappings'!$C$13/MperBn*AA1995</f>
        <v>-4.46052026196304</v>
      </c>
      <c r="AB1996" s="197">
        <f>-($C1994+$E1994)*'Constants and Mappings'!$C$13/MperBn*AB1995</f>
        <v>-4.46052026196304</v>
      </c>
      <c r="AC1996" s="197">
        <f>-($C1994+$E1994)*'Constants and Mappings'!$C$13/MperBn*AC1995</f>
        <v>-4.460520261963041</v>
      </c>
      <c r="AD1996" s="197">
        <f>-($C1994+$E1994)*'Constants and Mappings'!$C$13/MperBn*AD1995</f>
        <v>-4.460520261963041</v>
      </c>
      <c r="AE1996" s="197">
        <f>-($C1994+$E1994)*'Constants and Mappings'!$C$13/MperBn*AE1995</f>
        <v>-4.460520261963041</v>
      </c>
      <c r="AF1996" s="197">
        <f>-($C1994+$E1994)*'Constants and Mappings'!$C$13/MperBn*AF1995</f>
        <v>-4.460520261963041</v>
      </c>
      <c r="AG1996" s="197">
        <f>-($C1994+$E1994)*'Constants and Mappings'!$C$13/MperBn*AG1995</f>
        <v>-4.460520261963041</v>
      </c>
    </row>
    <row r="1997">
      <c r="A1997" s="3" t="str">
        <f>CtryCode&amp;"|ts_nga"</f>
        <v>EGY|ts_nga</v>
      </c>
      <c r="B1997" s="3" t="inlineStr">
        <is>
          <t>Share traded, nga (imports - exports) / (imports + production - exports) (legacy row 741-743 H)</t>
        </is>
      </c>
      <c r="C1997" s="195">
        <f>SUM($C$1987:$C$1987)</f>
        <v>5341.259285804915</v>
      </c>
      <c r="D1997" s="195">
        <f>SUM($D$1987:$D$1987)</f>
        <v>56448.01712264789</v>
      </c>
      <c r="E1997" s="195">
        <f>SUM($E$1987:$E$1987)</f>
        <v>-8059.392591593927</v>
      </c>
      <c r="F1997" s="197">
        <f t="shared" ref="F1997:AG1997" si="87">IF($C1997+$D1997-$E1997=0,1,($C1997-$E1997)/($C1997+$D1997-$E1997))</f>
        <v>0.1918526447138152</v>
      </c>
      <c r="G1997" s="197">
        <f t="shared" si="87"/>
        <v>0.1918526447138152</v>
      </c>
      <c r="H1997" s="197">
        <f t="shared" si="87"/>
        <v>0.1918526447138152</v>
      </c>
      <c r="I1997" s="197">
        <f t="shared" si="87"/>
        <v>0.1918526447138152</v>
      </c>
      <c r="J1997" s="197">
        <f t="shared" si="87"/>
        <v>0.1918526447138152</v>
      </c>
      <c r="K1997" s="197">
        <f t="shared" si="87"/>
        <v>0.1918526447138152</v>
      </c>
      <c r="L1997" s="197">
        <f t="shared" si="87"/>
        <v>0.1918526447138152</v>
      </c>
      <c r="M1997" s="197">
        <f t="shared" si="87"/>
        <v>0.1918526447138152</v>
      </c>
      <c r="N1997" s="197">
        <f t="shared" si="87"/>
        <v>0.1918526447138152</v>
      </c>
      <c r="O1997" s="197">
        <f t="shared" si="87"/>
        <v>0.1918526447138152</v>
      </c>
      <c r="P1997" s="197">
        <f t="shared" si="87"/>
        <v>0.1918526447138152</v>
      </c>
      <c r="Q1997" s="197">
        <f t="shared" si="87"/>
        <v>0.1918526447138152</v>
      </c>
      <c r="R1997" s="197">
        <f t="shared" si="87"/>
        <v>0.1918526447138152</v>
      </c>
      <c r="S1997" s="197">
        <f t="shared" si="87"/>
        <v>0.1918526447138152</v>
      </c>
      <c r="T1997" s="197">
        <f t="shared" si="87"/>
        <v>0.1918526447138152</v>
      </c>
      <c r="U1997" s="197">
        <f t="shared" si="87"/>
        <v>0.1918526447138152</v>
      </c>
      <c r="V1997" s="197">
        <f t="shared" si="87"/>
        <v>0.1918526447138152</v>
      </c>
      <c r="W1997" s="197">
        <f t="shared" si="87"/>
        <v>0.1918526447138152</v>
      </c>
      <c r="X1997" s="197">
        <f t="shared" si="87"/>
        <v>0.1918526447138152</v>
      </c>
      <c r="Y1997" s="197">
        <f t="shared" si="87"/>
        <v>0.1918526447138152</v>
      </c>
      <c r="Z1997" s="197">
        <f t="shared" si="87"/>
        <v>0.1918526447138152</v>
      </c>
      <c r="AA1997" s="197">
        <f t="shared" si="87"/>
        <v>0.1918526447138152</v>
      </c>
      <c r="AB1997" s="197">
        <f t="shared" si="87"/>
        <v>0.1918526447138152</v>
      </c>
      <c r="AC1997" s="197">
        <f t="shared" si="87"/>
        <v>0.1918526447138152</v>
      </c>
      <c r="AD1997" s="197">
        <f t="shared" si="87"/>
        <v>0.1918526447138152</v>
      </c>
      <c r="AE1997" s="197">
        <f t="shared" si="87"/>
        <v>0.1918526447138152</v>
      </c>
      <c r="AF1997" s="197">
        <f t="shared" si="87"/>
        <v>0.1918526447138152</v>
      </c>
      <c r="AG1997" s="197">
        <f t="shared" si="87"/>
        <v>0.1918526447138152</v>
      </c>
    </row>
    <row r="1998">
      <c r="A1998" s="3" t="str">
        <f>CtryCode&amp;"|px_nga"</f>
        <v>EGY|px_nga</v>
      </c>
      <c r="B1998" s="3" t="inlineStr">
        <is>
          <t>International price of nga, real USD per GJ (GJ per MMBtu)</t>
        </is>
      </c>
      <c r="C1998" s="3" t="str">
        <f>$D$1984&amp;"|nga."&amp;'Constants and Mappings'!$C$12</f>
        <v>IMF|nga.glo</v>
      </c>
      <c r="D1998" s="8" t="n">
        <v>1.055056</v>
      </c>
      <c r="F1998" s="197">
        <f t="shared" ref="F1998:AG1998" si="88">IFERROR(INDEX(PIntVal,MATCH($C1998,PIntKey,0),MATCH(F$1968,PIntYear,0)),0)*F1971/$D1998</f>
        <v>0.0</v>
      </c>
      <c r="G1998" s="197">
        <f t="shared" si="88"/>
        <v>0.0</v>
      </c>
      <c r="H1998" s="197">
        <f t="shared" si="88"/>
        <v>0.0</v>
      </c>
      <c r="I1998" s="197">
        <f t="shared" si="88"/>
        <v>14.541955260238202</v>
      </c>
      <c r="J1998" s="197">
        <f t="shared" si="88"/>
        <v>27.467122384171827</v>
      </c>
      <c r="K1998" s="197">
        <f t="shared" si="88"/>
        <v>9.938894711171882</v>
      </c>
      <c r="L1998" s="197">
        <f t="shared" si="88"/>
        <v>8.361128537102205</v>
      </c>
      <c r="M1998" s="197">
        <f t="shared" si="88"/>
        <v>8.981065202500071</v>
      </c>
      <c r="N1998" s="197">
        <f t="shared" si="88"/>
        <v>10.453588877430835</v>
      </c>
      <c r="O1998" s="197">
        <f t="shared" si="88"/>
        <v>8.699762145990984</v>
      </c>
      <c r="P1998" s="197">
        <f t="shared" si="88"/>
        <v>6.636674190441959</v>
      </c>
      <c r="Q1998" s="197">
        <f t="shared" si="88"/>
        <v>5.901775661836089</v>
      </c>
      <c r="R1998" s="197">
        <f t="shared" si="88"/>
        <v>5.693291525015225</v>
      </c>
      <c r="S1998" s="197">
        <f t="shared" si="88"/>
        <v>5.575145966740752</v>
      </c>
      <c r="T1998" s="197">
        <f t="shared" si="88"/>
        <v>5.575145966740753</v>
      </c>
      <c r="U1998" s="197">
        <f t="shared" si="88"/>
        <v>5.575145966740753</v>
      </c>
      <c r="V1998" s="197">
        <f t="shared" si="88"/>
        <v>5.575145966740754</v>
      </c>
      <c r="W1998" s="197">
        <f t="shared" si="88"/>
        <v>5.575145966740755</v>
      </c>
      <c r="X1998" s="197">
        <f t="shared" si="88"/>
        <v>5.575145966740755</v>
      </c>
      <c r="Y1998" s="197">
        <f t="shared" si="88"/>
        <v>5.575145966740754</v>
      </c>
      <c r="Z1998" s="197">
        <f t="shared" si="88"/>
        <v>5.575145966740754</v>
      </c>
      <c r="AA1998" s="197">
        <f t="shared" si="88"/>
        <v>5.575145966740755</v>
      </c>
      <c r="AB1998" s="197">
        <f t="shared" si="88"/>
        <v>5.575145966740755</v>
      </c>
      <c r="AC1998" s="197">
        <f t="shared" si="88"/>
        <v>5.575145966740755</v>
      </c>
      <c r="AD1998" s="197">
        <f t="shared" si="88"/>
        <v>5.575145966740756</v>
      </c>
      <c r="AE1998" s="197">
        <f t="shared" si="88"/>
        <v>5.575145966740756</v>
      </c>
      <c r="AF1998" s="197">
        <f t="shared" si="88"/>
        <v>5.575145966740757</v>
      </c>
      <c r="AG1998" s="197">
        <f t="shared" si="88"/>
        <v>5.575145966740756</v>
      </c>
    </row>
    <row r="1999">
      <c r="A1999" s="3" t="str">
        <f>CtryCode&amp;"|tb_nga"</f>
        <v>EGY|tb_nga</v>
      </c>
      <c r="B1999" s="3" t="inlineStr">
        <is>
          <t>Energy trade balance (exports - imports), nga, USD bn real (legacy rows 741-743; coal at the coal price)</t>
        </is>
      </c>
      <c r="F1999" s="197">
        <f>-($C1997+$E1997)*'Constants and Mappings'!$C$13/MperBn*F1998</f>
        <v>0.0</v>
      </c>
      <c r="G1999" s="197">
        <f>-($C1997+$E1997)*'Constants and Mappings'!$C$13/MperBn*G1998</f>
        <v>0.0</v>
      </c>
      <c r="H1999" s="197">
        <f>-($C1997+$E1997)*'Constants and Mappings'!$C$13/MperBn*H1998</f>
        <v>0.0</v>
      </c>
      <c r="I1999" s="197">
        <f>-($C1997+$E1997)*'Constants and Mappings'!$C$13/MperBn*I1998</f>
        <v>1.6549153023881944</v>
      </c>
      <c r="J1999" s="197">
        <f>-($C1997+$E1997)*'Constants and Mappings'!$C$13/MperBn*J1998</f>
        <v>3.1258355793752237</v>
      </c>
      <c r="K1999" s="197">
        <f>-($C1997+$E1997)*'Constants and Mappings'!$C$13/MperBn*K1998</f>
        <v>1.1310740991836896</v>
      </c>
      <c r="L1999" s="197">
        <f>-($C1997+$E1997)*'Constants and Mappings'!$C$13/MperBn*L1998</f>
        <v>0.9515198825510899</v>
      </c>
      <c r="M1999" s="197">
        <f>-($C1997+$E1997)*'Constants and Mappings'!$C$13/MperBn*M1998</f>
        <v>1.022070414148698</v>
      </c>
      <c r="N1999" s="197">
        <f>-($C1997+$E1997)*'Constants and Mappings'!$C$13/MperBn*N1998</f>
        <v>1.1896477391481082</v>
      </c>
      <c r="O1999" s="197">
        <f>-($C1997+$E1997)*'Constants and Mappings'!$C$13/MperBn*O1998</f>
        <v>0.990057337193472</v>
      </c>
      <c r="P1999" s="197">
        <f>-($C1997+$E1997)*'Constants and Mappings'!$C$13/MperBn*P1998</f>
        <v>0.7552721403811603</v>
      </c>
      <c r="Q1999" s="197">
        <f>-($C1997+$E1997)*'Constants and Mappings'!$C$13/MperBn*Q1998</f>
        <v>0.6716386262540854</v>
      </c>
      <c r="R1999" s="197">
        <f>-($C1997+$E1997)*'Constants and Mappings'!$C$13/MperBn*R1998</f>
        <v>0.6479125466344189</v>
      </c>
      <c r="S1999" s="197">
        <f>-($C1997+$E1997)*'Constants and Mappings'!$C$13/MperBn*S1998</f>
        <v>0.6344672506753376</v>
      </c>
      <c r="T1999" s="197">
        <f>-($C1997+$E1997)*'Constants and Mappings'!$C$13/MperBn*T1998</f>
        <v>0.6344672506753376</v>
      </c>
      <c r="U1999" s="197">
        <f>-($C1997+$E1997)*'Constants and Mappings'!$C$13/MperBn*U1998</f>
        <v>0.6344672506753376</v>
      </c>
      <c r="V1999" s="197">
        <f>-($C1997+$E1997)*'Constants and Mappings'!$C$13/MperBn*V1998</f>
        <v>0.6344672506753377</v>
      </c>
      <c r="W1999" s="197">
        <f>-($C1997+$E1997)*'Constants and Mappings'!$C$13/MperBn*W1998</f>
        <v>0.6344672506753378</v>
      </c>
      <c r="X1999" s="197">
        <f>-($C1997+$E1997)*'Constants and Mappings'!$C$13/MperBn*X1998</f>
        <v>0.6344672506753378</v>
      </c>
      <c r="Y1999" s="197">
        <f>-($C1997+$E1997)*'Constants and Mappings'!$C$13/MperBn*Y1998</f>
        <v>0.6344672506753377</v>
      </c>
      <c r="Z1999" s="197">
        <f>-($C1997+$E1997)*'Constants and Mappings'!$C$13/MperBn*Z1998</f>
        <v>0.6344672506753377</v>
      </c>
      <c r="AA1999" s="197">
        <f>-($C1997+$E1997)*'Constants and Mappings'!$C$13/MperBn*AA1998</f>
        <v>0.6344672506753378</v>
      </c>
      <c r="AB1999" s="197">
        <f>-($C1997+$E1997)*'Constants and Mappings'!$C$13/MperBn*AB1998</f>
        <v>0.6344672506753378</v>
      </c>
      <c r="AC1999" s="197">
        <f>-($C1997+$E1997)*'Constants and Mappings'!$C$13/MperBn*AC1998</f>
        <v>0.6344672506753378</v>
      </c>
      <c r="AD1999" s="197">
        <f>-($C1997+$E1997)*'Constants and Mappings'!$C$13/MperBn*AD1998</f>
        <v>0.6344672506753379</v>
      </c>
      <c r="AE1999" s="197">
        <f>-($C1997+$E1997)*'Constants and Mappings'!$C$13/MperBn*AE1998</f>
        <v>0.6344672506753379</v>
      </c>
      <c r="AF1999" s="197">
        <f>-($C1997+$E1997)*'Constants and Mappings'!$C$13/MperBn*AF1998</f>
        <v>0.634467250675338</v>
      </c>
      <c r="AG1999" s="197">
        <f>-($C1997+$E1997)*'Constants and Mappings'!$C$13/MperBn*AG1998</f>
        <v>0.6344672506753379</v>
      </c>
    </row>
    <row r="2000">
      <c r="A2000" s="3" t="str">
        <f>CtryCode&amp;"|ts_coa"</f>
        <v>EGY|ts_coa</v>
      </c>
      <c r="B2000" s="3" t="inlineStr">
        <is>
          <t>Share traded, coa (imports - exports) / (imports + production - exports) (legacy row 741-743 H)</t>
        </is>
      </c>
      <c r="C2000" s="195">
        <f>SUM($C$1986:$C$1986)</f>
        <v>1839.041039741021</v>
      </c>
      <c r="D2000" s="195">
        <f>SUM($D$1986:$D$1986)</f>
        <v>0.0</v>
      </c>
      <c r="E2000" s="195">
        <f>SUM($E$1986:$E$1986)</f>
        <v>0.0</v>
      </c>
      <c r="F2000" s="197">
        <f t="shared" ref="F2000:AG2000" si="89">IF($C2000+$D2000-$E2000=0,1,($C2000-$E2000)/($C2000+$D2000-$E2000))</f>
        <v>1.0</v>
      </c>
      <c r="G2000" s="197">
        <f t="shared" si="89"/>
        <v>1.0</v>
      </c>
      <c r="H2000" s="197">
        <f t="shared" si="89"/>
        <v>1.0</v>
      </c>
      <c r="I2000" s="197">
        <f t="shared" si="89"/>
        <v>1.0</v>
      </c>
      <c r="J2000" s="197">
        <f t="shared" si="89"/>
        <v>1.0</v>
      </c>
      <c r="K2000" s="197">
        <f t="shared" si="89"/>
        <v>1.0</v>
      </c>
      <c r="L2000" s="197">
        <f t="shared" si="89"/>
        <v>1.0</v>
      </c>
      <c r="M2000" s="197">
        <f t="shared" si="89"/>
        <v>1.0</v>
      </c>
      <c r="N2000" s="197">
        <f t="shared" si="89"/>
        <v>1.0</v>
      </c>
      <c r="O2000" s="197">
        <f t="shared" si="89"/>
        <v>1.0</v>
      </c>
      <c r="P2000" s="197">
        <f t="shared" si="89"/>
        <v>1.0</v>
      </c>
      <c r="Q2000" s="197">
        <f t="shared" si="89"/>
        <v>1.0</v>
      </c>
      <c r="R2000" s="197">
        <f t="shared" si="89"/>
        <v>1.0</v>
      </c>
      <c r="S2000" s="197">
        <f t="shared" si="89"/>
        <v>1.0</v>
      </c>
      <c r="T2000" s="197">
        <f t="shared" si="89"/>
        <v>1.0</v>
      </c>
      <c r="U2000" s="197">
        <f t="shared" si="89"/>
        <v>1.0</v>
      </c>
      <c r="V2000" s="197">
        <f t="shared" si="89"/>
        <v>1.0</v>
      </c>
      <c r="W2000" s="197">
        <f t="shared" si="89"/>
        <v>1.0</v>
      </c>
      <c r="X2000" s="197">
        <f t="shared" si="89"/>
        <v>1.0</v>
      </c>
      <c r="Y2000" s="197">
        <f t="shared" si="89"/>
        <v>1.0</v>
      </c>
      <c r="Z2000" s="197">
        <f t="shared" si="89"/>
        <v>1.0</v>
      </c>
      <c r="AA2000" s="197">
        <f t="shared" si="89"/>
        <v>1.0</v>
      </c>
      <c r="AB2000" s="197">
        <f t="shared" si="89"/>
        <v>1.0</v>
      </c>
      <c r="AC2000" s="197">
        <f t="shared" si="89"/>
        <v>1.0</v>
      </c>
      <c r="AD2000" s="197">
        <f t="shared" si="89"/>
        <v>1.0</v>
      </c>
      <c r="AE2000" s="197">
        <f t="shared" si="89"/>
        <v>1.0</v>
      </c>
      <c r="AF2000" s="197">
        <f t="shared" si="89"/>
        <v>1.0</v>
      </c>
      <c r="AG2000" s="197">
        <f t="shared" si="89"/>
        <v>1.0</v>
      </c>
    </row>
    <row r="2001">
      <c r="A2001" s="3" t="str">
        <f>CtryCode&amp;"|px_coa"</f>
        <v>EGY|px_coa</v>
      </c>
      <c r="B2001" s="3" t="inlineStr">
        <is>
          <t>International price of coa, real USD per GJ (GJ per tonne (6000 kcal/kg))</t>
        </is>
      </c>
      <c r="C2001" s="3" t="str">
        <f>$D$1984&amp;"|coa"</f>
        <v>IMF|coa</v>
      </c>
      <c r="D2001" s="8" t="n">
        <v>25.14</v>
      </c>
      <c r="F2001" s="197">
        <f t="shared" ref="F2001:AG2001" si="90">IFERROR(INDEX(PIntVal,MATCH($C2001,PIntKey,0),MATCH(F$1968,PIntYear,0)),0)*F1971/$D2001</f>
        <v>0.0</v>
      </c>
      <c r="G2001" s="197">
        <f t="shared" si="90"/>
        <v>0.0</v>
      </c>
      <c r="H2001" s="197">
        <f t="shared" si="90"/>
        <v>0.0</v>
      </c>
      <c r="I2001" s="197">
        <f t="shared" si="90"/>
        <v>6.896602937038719</v>
      </c>
      <c r="J2001" s="197">
        <f t="shared" si="90"/>
        <v>17.179166303261944</v>
      </c>
      <c r="K2001" s="197">
        <f t="shared" si="90"/>
        <v>8.113537135090176</v>
      </c>
      <c r="L2001" s="197">
        <f t="shared" si="90"/>
        <v>6.040286228775675</v>
      </c>
      <c r="M2001" s="197">
        <f t="shared" si="90"/>
        <v>4.600587046874506</v>
      </c>
      <c r="N2001" s="197">
        <f t="shared" si="90"/>
        <v>5.3938538583929985</v>
      </c>
      <c r="O2001" s="197">
        <f t="shared" si="90"/>
        <v>5.572794847748619</v>
      </c>
      <c r="P2001" s="197">
        <f t="shared" si="90"/>
        <v>5.487947755319677</v>
      </c>
      <c r="Q2001" s="197">
        <f t="shared" si="90"/>
        <v>5.396959408365282</v>
      </c>
      <c r="R2001" s="197">
        <f t="shared" si="90"/>
        <v>5.2995782289155065</v>
      </c>
      <c r="S2001" s="197">
        <f t="shared" si="90"/>
        <v>5.205601427155174</v>
      </c>
      <c r="T2001" s="197">
        <f t="shared" si="90"/>
        <v>5.205601427155174</v>
      </c>
      <c r="U2001" s="197">
        <f t="shared" si="90"/>
        <v>5.205601427155174</v>
      </c>
      <c r="V2001" s="197">
        <f t="shared" si="90"/>
        <v>5.205601427155178</v>
      </c>
      <c r="W2001" s="197">
        <f t="shared" si="90"/>
        <v>5.205601427155177</v>
      </c>
      <c r="X2001" s="197">
        <f t="shared" si="90"/>
        <v>5.205601427155177</v>
      </c>
      <c r="Y2001" s="197">
        <f t="shared" si="90"/>
        <v>5.205601427155174</v>
      </c>
      <c r="Z2001" s="197">
        <f t="shared" si="90"/>
        <v>5.205601427155174</v>
      </c>
      <c r="AA2001" s="197">
        <f t="shared" si="90"/>
        <v>5.205601427155178</v>
      </c>
      <c r="AB2001" s="197">
        <f t="shared" si="90"/>
        <v>5.205601427155177</v>
      </c>
      <c r="AC2001" s="197">
        <f t="shared" si="90"/>
        <v>5.205601427155177</v>
      </c>
      <c r="AD2001" s="197">
        <f t="shared" si="90"/>
        <v>5.205601427155177</v>
      </c>
      <c r="AE2001" s="197">
        <f t="shared" si="90"/>
        <v>5.205601427155175</v>
      </c>
      <c r="AF2001" s="197">
        <f t="shared" si="90"/>
        <v>5.2056014271551785</v>
      </c>
      <c r="AG2001" s="197">
        <f t="shared" si="90"/>
        <v>5.205601427155178</v>
      </c>
    </row>
    <row r="2002">
      <c r="A2002" s="3" t="str">
        <f>CtryCode&amp;"|tb_coa"</f>
        <v>EGY|tb_coa</v>
      </c>
      <c r="B2002" s="3" t="inlineStr">
        <is>
          <t>Energy trade balance (exports - imports), coa, USD bn real (legacy rows 741-743; coal at the coal price)</t>
        </is>
      </c>
      <c r="F2002" s="197">
        <f>-($C2000+$E2000)*'Constants and Mappings'!$C$13/MperBn*F2001</f>
        <v>-0.0</v>
      </c>
      <c r="G2002" s="197">
        <f>-($C2000+$E2000)*'Constants and Mappings'!$C$13/MperBn*G2001</f>
        <v>-0.0</v>
      </c>
      <c r="H2002" s="197">
        <f>-($C2000+$E2000)*'Constants and Mappings'!$C$13/MperBn*H2001</f>
        <v>-0.0</v>
      </c>
      <c r="I2002" s="197">
        <f>-($C2000+$E2000)*'Constants and Mappings'!$C$13/MperBn*I2001</f>
        <v>-0.5310175311821783</v>
      </c>
      <c r="J2002" s="197">
        <f>-($C2000+$E2000)*'Constants and Mappings'!$C$13/MperBn*J2001</f>
        <v>-1.322743756804309</v>
      </c>
      <c r="K2002" s="197">
        <f>-($C2000+$E2000)*'Constants and Mappings'!$C$13/MperBn*K2001</f>
        <v>-0.6247177774280382</v>
      </c>
      <c r="L2002" s="197">
        <f>-($C2000+$E2000)*'Constants and Mappings'!$C$13/MperBn*L2001</f>
        <v>-0.4650837390698634</v>
      </c>
      <c r="M2002" s="197">
        <f>-($C2000+$E2000)*'Constants and Mappings'!$C$13/MperBn*M2001</f>
        <v>-0.35423126398936733</v>
      </c>
      <c r="N2002" s="197">
        <f>-($C2000+$E2000)*'Constants and Mappings'!$C$13/MperBn*N2001</f>
        <v>-0.4153104050776581</v>
      </c>
      <c r="O2002" s="197">
        <f>-($C2000+$E2000)*'Constants and Mappings'!$C$13/MperBn*O2001</f>
        <v>-0.42908831911191425</v>
      </c>
      <c r="P2002" s="197">
        <f>-($C2000+$E2000)*'Constants and Mappings'!$C$13/MperBn*P2001</f>
        <v>-0.4225553500602047</v>
      </c>
      <c r="Q2002" s="197">
        <f>-($C2000+$E2000)*'Constants and Mappings'!$C$13/MperBn*Q2001</f>
        <v>-0.4155495230164897</v>
      </c>
      <c r="R2002" s="197">
        <f>-($C2000+$E2000)*'Constants and Mappings'!$C$13/MperBn*R2001</f>
        <v>-0.40805146723930263</v>
      </c>
      <c r="S2002" s="197">
        <f>-($C2000+$E2000)*'Constants and Mappings'!$C$13/MperBn*S2001</f>
        <v>-0.40081553822979576</v>
      </c>
      <c r="T2002" s="197">
        <f>-($C2000+$E2000)*'Constants and Mappings'!$C$13/MperBn*T2001</f>
        <v>-0.40081553822979576</v>
      </c>
      <c r="U2002" s="197">
        <f>-($C2000+$E2000)*'Constants and Mappings'!$C$13/MperBn*U2001</f>
        <v>-0.40081553822979576</v>
      </c>
      <c r="V2002" s="197">
        <f>-($C2000+$E2000)*'Constants and Mappings'!$C$13/MperBn*V2001</f>
        <v>-0.40081553822979604</v>
      </c>
      <c r="W2002" s="197">
        <f>-($C2000+$E2000)*'Constants and Mappings'!$C$13/MperBn*W2001</f>
        <v>-0.400815538229796</v>
      </c>
      <c r="X2002" s="197">
        <f>-($C2000+$E2000)*'Constants and Mappings'!$C$13/MperBn*X2001</f>
        <v>-0.400815538229796</v>
      </c>
      <c r="Y2002" s="197">
        <f>-($C2000+$E2000)*'Constants and Mappings'!$C$13/MperBn*Y2001</f>
        <v>-0.40081553822979576</v>
      </c>
      <c r="Z2002" s="197">
        <f>-($C2000+$E2000)*'Constants and Mappings'!$C$13/MperBn*Z2001</f>
        <v>-0.40081553822979576</v>
      </c>
      <c r="AA2002" s="197">
        <f>-($C2000+$E2000)*'Constants and Mappings'!$C$13/MperBn*AA2001</f>
        <v>-0.40081553822979604</v>
      </c>
      <c r="AB2002" s="197">
        <f>-($C2000+$E2000)*'Constants and Mappings'!$C$13/MperBn*AB2001</f>
        <v>-0.400815538229796</v>
      </c>
      <c r="AC2002" s="197">
        <f>-($C2000+$E2000)*'Constants and Mappings'!$C$13/MperBn*AC2001</f>
        <v>-0.400815538229796</v>
      </c>
      <c r="AD2002" s="197">
        <f>-($C2000+$E2000)*'Constants and Mappings'!$C$13/MperBn*AD2001</f>
        <v>-0.400815538229796</v>
      </c>
      <c r="AE2002" s="197">
        <f>-($C2000+$E2000)*'Constants and Mappings'!$C$13/MperBn*AE2001</f>
        <v>-0.4008155382297958</v>
      </c>
      <c r="AF2002" s="197">
        <f>-($C2000+$E2000)*'Constants and Mappings'!$C$13/MperBn*AF2001</f>
        <v>-0.4008155382297961</v>
      </c>
      <c r="AG2002" s="197">
        <f>-($C2000+$E2000)*'Constants and Mappings'!$C$13/MperBn*AG2001</f>
        <v>-0.40081553822979604</v>
      </c>
    </row>
    <row r="2003">
      <c r="A2003" s="3" t="inlineStr">
        <is>
          <t>EGY|bca</t>
        </is>
      </c>
      <c r="B2003" s="3" t="inlineStr">
        <is>
          <t>Current account balance, Egypt, USD bn nominal (typed: WEO EGY.BCA.A, held at 2031; legacy row 18182, bug L50 fixed)</t>
        </is>
      </c>
      <c r="J2003" s="234" t="n">
        <v>-16.5513</v>
      </c>
      <c r="K2003" s="234" t="n">
        <v>-4.7105</v>
      </c>
      <c r="L2003" s="234" t="n">
        <v>-20.8066</v>
      </c>
      <c r="M2003" s="234" t="n">
        <v>-15.4246</v>
      </c>
      <c r="N2003" s="234" t="n">
        <v>-17.834583</v>
      </c>
      <c r="O2003" s="234" t="n">
        <v>-20.950561</v>
      </c>
      <c r="P2003" s="234" t="n">
        <v>-19.674211</v>
      </c>
      <c r="Q2003" s="234" t="n">
        <v>-19.613478</v>
      </c>
      <c r="R2003" s="234" t="n">
        <v>-19.398187</v>
      </c>
      <c r="S2003" s="234" t="n">
        <v>-17.756772</v>
      </c>
      <c r="T2003" s="234" t="n">
        <v>-17.756772</v>
      </c>
      <c r="U2003" s="234" t="n">
        <v>-17.756772</v>
      </c>
      <c r="V2003" s="234" t="n">
        <v>-17.756772</v>
      </c>
      <c r="W2003" s="234" t="n">
        <v>-17.756772</v>
      </c>
      <c r="X2003" s="234" t="n">
        <v>-17.756772</v>
      </c>
      <c r="Y2003" s="234" t="n">
        <v>-17.756772</v>
      </c>
      <c r="Z2003" s="234" t="n">
        <v>-17.756772</v>
      </c>
      <c r="AA2003" s="234" t="n">
        <v>-17.756772</v>
      </c>
      <c r="AB2003" s="234" t="n">
        <v>-17.756772</v>
      </c>
      <c r="AC2003" s="234" t="n">
        <v>-17.756772</v>
      </c>
    </row>
    <row r="2004">
      <c r="A2004" s="3" t="inlineStr">
        <is>
          <t>EGY|bca_gdp</t>
        </is>
      </c>
      <c r="B2004" s="3" t="inlineStr">
        <is>
          <t>Current account balance, Egypt, % of GDP (typed: WEO EGY.BCA_NGDPD.A, held at 2031; legacy row 18191, bug L50 fixed)</t>
        </is>
      </c>
      <c r="J2004" s="234" t="n">
        <v>-3.48279</v>
      </c>
      <c r="K2004" s="234" t="n">
        <v>-1.196082</v>
      </c>
      <c r="L2004" s="234" t="n">
        <v>-5.43104</v>
      </c>
      <c r="M2004" s="234" t="n">
        <v>-4.230086</v>
      </c>
      <c r="N2004" s="234" t="n">
        <v>-4.151002</v>
      </c>
      <c r="O2004" s="234" t="n">
        <v>-4.583618</v>
      </c>
      <c r="P2004" s="234" t="n">
        <v>-3.869298</v>
      </c>
      <c r="Q2004" s="234" t="n">
        <v>-3.501898</v>
      </c>
      <c r="R2004" s="234" t="n">
        <v>-3.17492</v>
      </c>
      <c r="S2004" s="234" t="n">
        <v>-2.667806</v>
      </c>
      <c r="T2004" s="234" t="n">
        <v>-2.667806</v>
      </c>
      <c r="U2004" s="234" t="n">
        <v>-2.667806</v>
      </c>
      <c r="V2004" s="234" t="n">
        <v>-2.667806</v>
      </c>
      <c r="W2004" s="234" t="n">
        <v>-2.667806</v>
      </c>
      <c r="X2004" s="234" t="n">
        <v>-2.667806</v>
      </c>
      <c r="Y2004" s="234" t="n">
        <v>-2.667806</v>
      </c>
      <c r="Z2004" s="234" t="n">
        <v>-2.667806</v>
      </c>
      <c r="AA2004" s="234" t="n">
        <v>-2.667806</v>
      </c>
      <c r="AB2004" s="234" t="n">
        <v>-2.667806</v>
      </c>
      <c r="AC2004" s="234" t="n">
        <v>-2.667806</v>
      </c>
    </row>
    <row r="2005">
      <c r="A2005" s="3" t="inlineStr">
        <is>
          <t>EGY|bca_n</t>
        </is>
      </c>
      <c r="B2005" s="3" t="inlineStr">
        <is>
          <t>Current account balance, Egypt, current prices, USD bn (typed; legacy row 18198: 0 after 2031, issue I130)</t>
        </is>
      </c>
      <c r="J2005" s="234" t="n">
        <v>-16.5513</v>
      </c>
      <c r="K2005" s="234" t="n">
        <v>-4.7105</v>
      </c>
      <c r="L2005" s="234" t="n">
        <v>-20.8066</v>
      </c>
      <c r="M2005" s="234" t="n">
        <v>-15.4246</v>
      </c>
      <c r="N2005" s="234" t="n">
        <v>-17.834583</v>
      </c>
      <c r="O2005" s="234" t="n">
        <v>-20.950561</v>
      </c>
      <c r="P2005" s="234" t="n">
        <v>-19.674211</v>
      </c>
      <c r="Q2005" s="234" t="n">
        <v>-19.613478</v>
      </c>
      <c r="R2005" s="234" t="n">
        <v>-19.398187</v>
      </c>
      <c r="S2005" s="234" t="n">
        <v>-17.756772</v>
      </c>
      <c r="T2005" s="234" t="n">
        <v>0</v>
      </c>
      <c r="U2005" s="234" t="n">
        <v>0</v>
      </c>
      <c r="V2005" s="234" t="n">
        <v>0</v>
      </c>
      <c r="W2005" s="234" t="n">
        <v>0</v>
      </c>
      <c r="X2005" s="234" t="n">
        <v>0</v>
      </c>
      <c r="Y2005" s="234" t="n">
        <v>0</v>
      </c>
      <c r="Z2005" s="234" t="n">
        <v>0</v>
      </c>
      <c r="AA2005" s="234" t="n">
        <v>0</v>
      </c>
      <c r="AB2005" s="234" t="n">
        <v>0</v>
      </c>
      <c r="AC2005" s="234" t="n">
        <v>0</v>
      </c>
    </row>
    <row r="2006"/>
    <row r="2007"/>
    <row r="2008"/>
    <row r="2009"/>
    <row r="2010">
      <c r="A2010" s="4" t="inlineStr">
        <is>
          <t>International energy prices by source and commodity, nominal USD (data step; legacy Mitigation rows 633-695 from the legacy Prices_int tab)</t>
        </is>
      </c>
      <c r="B2010" s="5" t="n"/>
      <c r="C2010" s="5" t="n"/>
      <c r="D2010" s="5" t="n"/>
      <c r="E2010" s="5" t="n"/>
      <c r="F2010" s="5" t="n"/>
      <c r="G2010" s="5" t="n"/>
      <c r="H2010" s="5" t="n"/>
      <c r="I2010" s="5" t="n"/>
      <c r="J2010" s="5" t="n"/>
      <c r="K2010" s="5" t="n"/>
      <c r="L2010" s="5" t="n"/>
      <c r="M2010" s="5" t="n"/>
      <c r="N2010" s="5" t="n"/>
      <c r="O2010" s="5" t="n"/>
      <c r="P2010" s="5" t="n"/>
      <c r="Q2010" s="5" t="n"/>
      <c r="R2010" s="5" t="n"/>
      <c r="S2010" s="5" t="n"/>
      <c r="T2010" s="5" t="n"/>
      <c r="U2010" s="5" t="n"/>
      <c r="V2010" s="5" t="n"/>
      <c r="W2010" s="5" t="n"/>
      <c r="X2010" s="5" t="n"/>
      <c r="Y2010" s="5" t="n"/>
      <c r="Z2010" s="5" t="n"/>
      <c r="AA2010" s="5" t="n"/>
      <c r="AB2010" s="5" t="n"/>
      <c r="AC2010" s="5" t="n"/>
      <c r="AD2010" s="5" t="n"/>
      <c r="AE2010" s="5" t="n"/>
      <c r="AF2010" s="5" t="n"/>
      <c r="AG2010" s="5" t="n"/>
      <c r="AH2010" s="5" t="n"/>
      <c r="AI2010" s="5" t="n"/>
      <c r="AJ2010" s="5" t="n"/>
      <c r="AK2010" s="5" t="n"/>
      <c r="AL2010" s="5" t="n"/>
      <c r="AM2010" s="5" t="n"/>
      <c r="AN2010" s="5" t="n"/>
      <c r="AO2010" s="5" t="n"/>
      <c r="AP2010" s="5" t="n"/>
      <c r="AQ2010" s="5" t="n"/>
      <c r="AR2010" s="5" t="n"/>
      <c r="AS2010" s="5" t="n"/>
      <c r="AT2010" s="5" t="n"/>
      <c r="AU2010" s="5" t="n"/>
      <c r="AV2010" s="5" t="n"/>
      <c r="AW2010" s="5" t="n"/>
      <c r="AX2010" s="5" t="n"/>
      <c r="AY2010" s="5" t="n"/>
      <c r="AZ2010" s="5" t="n"/>
      <c r="BA2010" s="5" t="n"/>
      <c r="BB2010" s="5" t="n"/>
      <c r="BC2010" s="5" t="n"/>
      <c r="BD2010" s="5" t="n"/>
      <c r="BE2010" s="5" t="n"/>
      <c r="BF2010" s="5" t="n"/>
      <c r="BG2010" s="5" t="n"/>
      <c r="BH2010" s="5" t="n"/>
      <c r="BI2010" s="5" t="n"/>
      <c r="BJ2010" s="5" t="n"/>
      <c r="BK2010" s="5" t="n"/>
      <c r="BL2010" s="5" t="n"/>
      <c r="BM2010" s="5" t="n"/>
      <c r="BN2010" s="5" t="n"/>
      <c r="BO2010" s="5" t="n"/>
      <c r="BP2010" s="5" t="n"/>
      <c r="BQ2010" s="5" t="n"/>
      <c r="BR2010" s="5" t="n"/>
      <c r="BS2010" s="5" t="n"/>
      <c r="BT2010" s="5" t="n"/>
      <c r="BU2010" s="5" t="n"/>
      <c r="BV2010" s="5" t="n"/>
      <c r="BW2010" s="5" t="n"/>
      <c r="BX2010" s="5" t="n"/>
      <c r="BY2010" s="5" t="n"/>
      <c r="BZ2010" s="5" t="n"/>
      <c r="CA2010" s="5" t="n"/>
      <c r="CB2010" s="5" t="n"/>
      <c r="CC2010" s="5" t="n"/>
      <c r="CD2010" s="5" t="n"/>
      <c r="CE2010" s="5" t="n"/>
      <c r="CF2010" s="5" t="n"/>
      <c r="CG2010" s="5" t="n"/>
      <c r="CH2010" s="5" t="n"/>
      <c r="CI2010" s="5" t="n"/>
      <c r="CJ2010" s="5" t="n"/>
      <c r="CK2010" s="5" t="n"/>
      <c r="CL2010" s="5" t="n"/>
      <c r="CM2010" s="5" t="n"/>
      <c r="CN2010" s="5" t="n"/>
      <c r="CO2010" s="5" t="n"/>
      <c r="CP2010" s="5" t="n"/>
      <c r="CQ2010" s="5" t="n"/>
      <c r="CR2010" s="5" t="n"/>
      <c r="CS2010" s="5" t="n"/>
      <c r="CT2010" s="5" t="n"/>
      <c r="CU2010" s="5" t="n"/>
      <c r="CV2010" s="5" t="n"/>
      <c r="CW2010" s="5" t="n"/>
      <c r="CX2010" s="5" t="n"/>
      <c r="CY2010" s="5" t="n"/>
      <c r="CZ2010" s="5" t="n"/>
      <c r="DA2010" s="5" t="n"/>
      <c r="DB2010" s="5" t="n"/>
      <c r="DC2010" s="5" t="n"/>
      <c r="DD2010" s="5" t="n"/>
      <c r="DE2010" s="5" t="n"/>
      <c r="DF2010" s="5" t="n"/>
      <c r="DG2010" s="5" t="n"/>
      <c r="DH2010" s="5" t="n"/>
      <c r="DI2010" s="5" t="n"/>
      <c r="DJ2010" s="5" t="n"/>
      <c r="DK2010" s="5" t="n"/>
      <c r="DL2010" s="5" t="n"/>
      <c r="DM2010" s="5" t="n"/>
      <c r="DN2010" s="5" t="n"/>
      <c r="DO2010" s="5" t="n"/>
      <c r="DP2010" s="5" t="n"/>
      <c r="DQ2010" s="5" t="n"/>
      <c r="DR2010" s="5" t="n"/>
      <c r="DS2010" s="5" t="n"/>
      <c r="DT2010" s="5" t="n"/>
      <c r="DU2010" s="5" t="n"/>
      <c r="DV2010" s="5" t="n"/>
      <c r="DW2010" s="5" t="n"/>
      <c r="DX2010" s="5" t="n"/>
      <c r="DY2010" s="5" t="n"/>
      <c r="DZ2010" s="5" t="n"/>
      <c r="EA2010" s="5" t="n"/>
      <c r="EB2010" s="5" t="n"/>
      <c r="EC2010" s="5" t="n"/>
      <c r="ED2010" s="5" t="n"/>
      <c r="EE2010" s="5" t="n"/>
      <c r="EF2010" s="5" t="n"/>
      <c r="EG2010" s="5" t="n"/>
      <c r="EH2010" s="5" t="n"/>
      <c r="EI2010" s="5" t="n"/>
      <c r="EJ2010" s="5" t="n"/>
      <c r="EK2010" s="5" t="n"/>
      <c r="EL2010" s="5" t="n"/>
      <c r="EM2010" s="5" t="n"/>
      <c r="EN2010" s="5" t="n"/>
      <c r="EO2010" s="5" t="n"/>
      <c r="EP2010" s="5" t="n"/>
      <c r="EQ2010" s="5" t="n"/>
      <c r="ER2010" s="5" t="n"/>
      <c r="ES2010" s="5" t="n"/>
      <c r="ET2010" s="5" t="n"/>
      <c r="EU2010" s="5" t="n"/>
      <c r="EV2010" s="5" t="n"/>
      <c r="EW2010" s="5" t="n"/>
      <c r="EX2010" s="5" t="n"/>
      <c r="EY2010" s="5" t="n"/>
      <c r="EZ2010" s="5" t="n"/>
      <c r="FA2010" s="5" t="n"/>
      <c r="FB2010" s="5" t="n"/>
      <c r="FC2010" s="5" t="n"/>
      <c r="FD2010" s="5" t="n"/>
      <c r="FE2010" s="5" t="n"/>
      <c r="FF2010" s="5" t="n"/>
      <c r="FG2010" s="5" t="n"/>
      <c r="FH2010" s="5" t="n"/>
      <c r="FI2010" s="5" t="n"/>
      <c r="FJ2010" s="5" t="n"/>
      <c r="FK2010" s="5" t="n"/>
      <c r="FL2010" s="5" t="n"/>
      <c r="FM2010" s="5" t="n"/>
      <c r="FN2010" s="5" t="n"/>
      <c r="FO2010" s="5" t="n"/>
    </row>
    <row r="2011">
      <c r="A2011" s="3" t="inlineStr">
        <is>
          <t>Source data from sheet Prices_int (legacy row of the series and its year row) up to the first extended year, then grown with US GDP deflator inflation (row 5); EIA: the last growth rate; EIA LNG and Europe = IEA; AVG, IMF-IEA, IMF-WB: averages; global gas = average of LNG, North America and Europe; Manual: IMF to 2025, then sheet Manual inputs D221:AF225 (legacy addresses; by label and year).</t>
        </is>
      </c>
      <c r="D2011" s="3" t="inlineStr">
        <is>
          <t>Europe: share of gas from outside Russia (shift to LNG; legacy row 699, v0.5.6)</t>
        </is>
      </c>
      <c r="J2011" s="232" t="n">
        <v>0</v>
      </c>
      <c r="K2011" s="232" t="n">
        <v>0.58</v>
      </c>
      <c r="L2011" s="232" t="n">
        <v>0.603</v>
      </c>
      <c r="M2011" s="232" t="n">
        <v>0.734</v>
      </c>
      <c r="N2011" s="232" t="n">
        <v>0.834</v>
      </c>
      <c r="O2011" s="232" t="n">
        <v>0.834</v>
      </c>
      <c r="P2011" s="232" t="n">
        <v>0.834</v>
      </c>
      <c r="Q2011" s="232" t="n">
        <v>0.834</v>
      </c>
      <c r="R2011" s="232" t="n">
        <v>0.834</v>
      </c>
      <c r="S2011" s="232" t="n">
        <v>0.834</v>
      </c>
      <c r="T2011" s="232" t="n">
        <v>0.834</v>
      </c>
      <c r="U2011" s="232" t="n">
        <v>0.834</v>
      </c>
      <c r="V2011" s="232" t="n">
        <v>0.834</v>
      </c>
      <c r="W2011" s="232" t="n">
        <v>0.834</v>
      </c>
      <c r="X2011" s="232" t="n">
        <v>0.834</v>
      </c>
      <c r="Y2011" s="232" t="n">
        <v>0.834</v>
      </c>
      <c r="Z2011" s="232" t="n">
        <v>0.834</v>
      </c>
      <c r="AA2011" s="232" t="n">
        <v>0.834</v>
      </c>
      <c r="AB2011" s="232" t="n">
        <v>0.834</v>
      </c>
      <c r="AC2011" s="232" t="n">
        <v>0.834</v>
      </c>
      <c r="AD2011" s="232" t="n">
        <v>0.834</v>
      </c>
      <c r="AE2011" s="232" t="n">
        <v>0.834</v>
      </c>
      <c r="AF2011" s="232" t="n">
        <v>0.834</v>
      </c>
      <c r="AG2011" s="232" t="n">
        <v>0.834</v>
      </c>
      <c r="AH2011" s="232" t="n">
        <v>0.834</v>
      </c>
    </row>
    <row r="2012">
      <c r="A2012" s="7" t="inlineStr">
        <is>
          <t>Key</t>
        </is>
      </c>
      <c r="B2012" s="7" t="inlineStr">
        <is>
          <t>Source</t>
        </is>
      </c>
      <c r="C2012" s="7" t="inlineStr">
        <is>
          <t>Commodity</t>
        </is>
      </c>
      <c r="D2012" s="7" t="inlineStr">
        <is>
          <t>Label</t>
        </is>
      </c>
      <c r="E2012" s="7" t="inlineStr">
        <is>
          <t>Unit</t>
        </is>
      </c>
      <c r="F2012" s="7" t="inlineStr">
        <is>
          <t>Rule</t>
        </is>
      </c>
      <c r="G2012" s="7" t="inlineStr">
        <is>
          <t>Legacy row (Prices_int)</t>
        </is>
      </c>
      <c r="H2012" s="7" t="inlineStr">
        <is>
          <t>Year row</t>
        </is>
      </c>
      <c r="I2012" s="7" t="inlineStr">
        <is>
          <t>First extended year</t>
        </is>
      </c>
      <c r="J2012" s="156" t="n">
        <v>2021</v>
      </c>
      <c r="K2012" s="156" t="n">
        <v>2022</v>
      </c>
      <c r="L2012" s="156" t="n">
        <v>2023</v>
      </c>
      <c r="M2012" s="156" t="n">
        <v>2024</v>
      </c>
      <c r="N2012" s="156" t="n">
        <v>2025</v>
      </c>
      <c r="O2012" s="156" t="n">
        <v>2026</v>
      </c>
      <c r="P2012" s="156" t="n">
        <v>2027</v>
      </c>
      <c r="Q2012" s="156" t="n">
        <v>2028</v>
      </c>
      <c r="R2012" s="156" t="n">
        <v>2029</v>
      </c>
      <c r="S2012" s="156" t="n">
        <v>2030</v>
      </c>
      <c r="T2012" s="156" t="n">
        <v>2031</v>
      </c>
      <c r="U2012" s="156" t="n">
        <v>2032</v>
      </c>
      <c r="V2012" s="156" t="n">
        <v>2033</v>
      </c>
      <c r="W2012" s="156" t="n">
        <v>2034</v>
      </c>
      <c r="X2012" s="156" t="n">
        <v>2035</v>
      </c>
      <c r="Y2012" s="156" t="n">
        <v>2036</v>
      </c>
      <c r="Z2012" s="156" t="n">
        <v>2037</v>
      </c>
      <c r="AA2012" s="156" t="n">
        <v>2038</v>
      </c>
      <c r="AB2012" s="156" t="n">
        <v>2039</v>
      </c>
      <c r="AC2012" s="156" t="n">
        <v>2040</v>
      </c>
      <c r="AD2012" s="156" t="n">
        <v>2041</v>
      </c>
      <c r="AE2012" s="156" t="n">
        <v>2042</v>
      </c>
      <c r="AF2012" s="156" t="n">
        <v>2043</v>
      </c>
      <c r="AG2012" s="156" t="n">
        <v>2044</v>
      </c>
      <c r="AH2012" s="156" t="n">
        <v>2045</v>
      </c>
    </row>
    <row r="2013">
      <c r="D2013" s="3" t="inlineStr">
        <is>
          <t>US GDP deflator inflation</t>
        </is>
      </c>
      <c r="J2013" s="197">
        <f t="shared" ref="J2013:AH2013" si="91">INDEX(WEOVal,MATCH("USA|infl",WEOKey,0),MATCH(J$2012,WEOYear,0))</f>
        <v>0.045631794116881785</v>
      </c>
      <c r="K2013" s="197">
        <f t="shared" si="91"/>
        <v>0.07112413733436274</v>
      </c>
      <c r="L2013" s="197">
        <f t="shared" si="91"/>
        <v>0.03700033572320738</v>
      </c>
      <c r="M2013" s="197">
        <f t="shared" si="91"/>
        <v>0.02482544589841118</v>
      </c>
      <c r="N2013" s="197">
        <f t="shared" si="91"/>
        <v>0.028367666048378704</v>
      </c>
      <c r="O2013" s="197">
        <f t="shared" si="91"/>
        <v>0.028648509693898427</v>
      </c>
      <c r="P2013" s="197">
        <f t="shared" si="91"/>
        <v>0.021959023238878217</v>
      </c>
      <c r="Q2013" s="197">
        <f t="shared" si="91"/>
        <v>0.01641390132938758</v>
      </c>
      <c r="R2013" s="197">
        <f t="shared" si="91"/>
        <v>0.01778108774791254</v>
      </c>
      <c r="S2013" s="197">
        <f t="shared" si="91"/>
        <v>0.018375269737211486</v>
      </c>
      <c r="T2013" s="197">
        <f t="shared" si="91"/>
        <v>0.018053015213592705</v>
      </c>
      <c r="U2013" s="197">
        <f t="shared" si="91"/>
        <v>0.017732883203341876</v>
      </c>
      <c r="V2013" s="197">
        <f t="shared" si="91"/>
        <v>0.01742390709389996</v>
      </c>
      <c r="W2013" s="197">
        <f t="shared" si="91"/>
        <v>0.017125513733669218</v>
      </c>
      <c r="X2013" s="197">
        <f t="shared" si="91"/>
        <v>0.016837168572052308</v>
      </c>
      <c r="Y2013" s="197">
        <f t="shared" si="91"/>
        <v>0.01655837246360381</v>
      </c>
      <c r="Z2013" s="197">
        <f t="shared" si="91"/>
        <v>0.01628865878451724</v>
      </c>
      <c r="AA2013" s="197">
        <f t="shared" si="91"/>
        <v>0.016027590826408034</v>
      </c>
      <c r="AB2013" s="197">
        <f t="shared" si="91"/>
        <v>0.015774759436770536</v>
      </c>
      <c r="AC2013" s="197">
        <f t="shared" si="91"/>
        <v>0.015529780879293797</v>
      </c>
      <c r="AD2013" s="197">
        <f t="shared" si="91"/>
        <v>0.015292294890502767</v>
      </c>
      <c r="AE2013" s="197">
        <f t="shared" si="91"/>
        <v>0.01506196291202233</v>
      </c>
      <c r="AF2013" s="197">
        <f t="shared" si="91"/>
        <v>0.01483846648022591</v>
      </c>
      <c r="AG2013" s="197">
        <f t="shared" si="91"/>
        <v>0.014621505757157927</v>
      </c>
      <c r="AH2013" s="197">
        <f t="shared" si="91"/>
        <v>0.01441079818847979</v>
      </c>
    </row>
    <row r="2014">
      <c r="A2014" s="3" t="str">
        <f>$B2014&amp;"|"&amp;$C2014</f>
        <v>IMF|oil</v>
      </c>
      <c r="B2014" s="3" t="inlineStr">
        <is>
          <t>IMF</t>
        </is>
      </c>
      <c r="C2014" s="3" t="inlineStr">
        <is>
          <t>oil</t>
        </is>
      </c>
      <c r="D2014" s="3" t="inlineStr">
        <is>
          <t>Crude Oil</t>
        </is>
      </c>
      <c r="E2014" s="3" t="inlineStr">
        <is>
          <t>$/bbl nom</t>
        </is>
      </c>
      <c r="F2014" s="3" t="inlineStr">
        <is>
          <t>data</t>
        </is>
      </c>
      <c r="G2014" s="8" t="n">
        <v>24</v>
      </c>
      <c r="H2014" s="8" t="n">
        <v>23</v>
      </c>
      <c r="I2014" s="8" t="n">
        <v>2032</v>
      </c>
      <c r="J2014" s="48" t="n">
        <v>70.83150000000001</v>
      </c>
      <c r="K2014" s="48" t="n">
        <v>98.99632800000001</v>
      </c>
      <c r="L2014" s="48" t="n">
        <v>82.321243</v>
      </c>
      <c r="M2014" s="48" t="n">
        <v>79.911739</v>
      </c>
      <c r="N2014" s="48" t="n">
        <v>68.324907</v>
      </c>
      <c r="O2014" s="48" t="n">
        <v>80.18651199999999</v>
      </c>
      <c r="P2014" s="48" t="n">
        <v>71.451835</v>
      </c>
      <c r="Q2014" s="48" t="n">
        <v>69.689763</v>
      </c>
      <c r="R2014" s="48" t="n">
        <v>69.423202</v>
      </c>
      <c r="S2014" s="48" t="n">
        <v>69.35791399999999</v>
      </c>
      <c r="T2014" s="48" t="n">
        <v>69.12690600000001</v>
      </c>
      <c r="U2014" s="48" t="n">
        <v>70.3527253503064</v>
      </c>
      <c r="V2014" s="48" t="n">
        <v>71.5785447006128</v>
      </c>
      <c r="W2014" s="48" t="n">
        <v>72.80436405091919</v>
      </c>
      <c r="X2014" s="48" t="n">
        <v>74.03018340122559</v>
      </c>
      <c r="Y2014" s="48" t="n">
        <v>75.25600275153198</v>
      </c>
      <c r="Z2014" s="48" t="n">
        <v>76.48182210183838</v>
      </c>
      <c r="AA2014" s="48" t="n">
        <v>77.70764145214477</v>
      </c>
      <c r="AB2014" s="48" t="n">
        <v>78.93346080245117</v>
      </c>
      <c r="AC2014" s="48" t="n">
        <v>80.15928015275756</v>
      </c>
      <c r="AD2014" s="48" t="n">
        <v>81.38509950306396</v>
      </c>
      <c r="AE2014" s="48" t="n">
        <v>82.61091885337035</v>
      </c>
      <c r="AF2014" s="48" t="n">
        <v>83.83673820367675</v>
      </c>
      <c r="AG2014" s="48" t="n">
        <v>85.06255755398314</v>
      </c>
      <c r="AH2014" s="48" t="n">
        <v>86.28837690428954</v>
      </c>
    </row>
    <row r="2015">
      <c r="A2015" s="3" t="str">
        <f>$B2015&amp;"|"&amp;$C2015</f>
        <v>IMF|coa</v>
      </c>
      <c r="B2015" s="3" t="inlineStr">
        <is>
          <t>IMF</t>
        </is>
      </c>
      <c r="C2015" s="3" t="inlineStr">
        <is>
          <t>coa</t>
        </is>
      </c>
      <c r="D2015" s="3" t="inlineStr">
        <is>
          <t>Coal</t>
        </is>
      </c>
      <c r="E2015" s="3" t="inlineStr">
        <is>
          <t>$/ton nom</t>
        </is>
      </c>
      <c r="F2015" s="3" t="inlineStr">
        <is>
          <t>data</t>
        </is>
      </c>
      <c r="G2015" s="8" t="n">
        <v>28</v>
      </c>
      <c r="H2015" s="8" t="n">
        <v>23</v>
      </c>
      <c r="I2015" s="8" t="n">
        <v>2032</v>
      </c>
      <c r="J2015" s="48" t="n">
        <v>143.984744</v>
      </c>
      <c r="K2015" s="48" t="n">
        <v>384.169733</v>
      </c>
      <c r="L2015" s="48" t="n">
        <v>188.152584</v>
      </c>
      <c r="M2015" s="48" t="n">
        <v>143.551382</v>
      </c>
      <c r="N2015" s="48" t="n">
        <v>112.437589</v>
      </c>
      <c r="O2015" s="48" t="n">
        <v>135.601486</v>
      </c>
      <c r="P2015" s="48" t="n">
        <v>143.176523</v>
      </c>
      <c r="Q2015" s="48" t="n">
        <v>143.310932</v>
      </c>
      <c r="R2015" s="48" t="n">
        <v>143.44086</v>
      </c>
      <c r="S2015" s="48" t="n">
        <v>143.44086</v>
      </c>
      <c r="T2015" s="48" t="n">
        <v>143.44086</v>
      </c>
      <c r="U2015" s="48" t="n">
        <v>145.9844800169669</v>
      </c>
      <c r="V2015" s="48" t="n">
        <v>148.5281000339338</v>
      </c>
      <c r="W2015" s="48" t="n">
        <v>151.0717200509008</v>
      </c>
      <c r="X2015" s="48" t="n">
        <v>153.6153400678677</v>
      </c>
      <c r="Y2015" s="48" t="n">
        <v>156.1589600848346</v>
      </c>
      <c r="Z2015" s="48" t="n">
        <v>158.7025801018015</v>
      </c>
      <c r="AA2015" s="48" t="n">
        <v>161.2462001187684</v>
      </c>
      <c r="AB2015" s="48" t="n">
        <v>163.7898201357354</v>
      </c>
      <c r="AC2015" s="48" t="n">
        <v>166.3334401527023</v>
      </c>
      <c r="AD2015" s="48" t="n">
        <v>168.8770601696692</v>
      </c>
      <c r="AE2015" s="48" t="n">
        <v>171.4206801866361</v>
      </c>
      <c r="AF2015" s="48" t="n">
        <v>173.964300203603</v>
      </c>
      <c r="AG2015" s="48" t="n">
        <v>176.50792022057</v>
      </c>
      <c r="AH2015" s="48" t="n">
        <v>179.0515402375369</v>
      </c>
    </row>
    <row r="2016">
      <c r="A2016" s="3" t="str">
        <f>$B2016&amp;"|"&amp;$C2016</f>
        <v>IMF|nga.lng</v>
      </c>
      <c r="B2016" s="3" t="inlineStr">
        <is>
          <t>IMF</t>
        </is>
      </c>
      <c r="C2016" s="3" t="inlineStr">
        <is>
          <t>nga.lng</t>
        </is>
      </c>
      <c r="D2016" s="3" t="inlineStr">
        <is>
          <t>Natural Gas - LNG</t>
        </is>
      </c>
      <c r="E2016" s="3" t="inlineStr">
        <is>
          <t>$/MMBtu nom</t>
        </is>
      </c>
      <c r="F2016" s="3" t="inlineStr">
        <is>
          <t>data</t>
        </is>
      </c>
      <c r="G2016" s="8" t="n">
        <v>26</v>
      </c>
      <c r="H2016" s="8" t="n">
        <v>23</v>
      </c>
      <c r="I2016" s="8" t="n">
        <v>2032</v>
      </c>
      <c r="J2016" s="48" t="n">
        <v>18.600467</v>
      </c>
      <c r="K2016" s="48" t="n">
        <v>33.297022</v>
      </c>
      <c r="L2016" s="48" t="n">
        <v>13.463505</v>
      </c>
      <c r="M2016" s="48" t="n">
        <v>11.708527</v>
      </c>
      <c r="N2016" s="48" t="n">
        <v>12.08775</v>
      </c>
      <c r="O2016" s="48" t="n">
        <v>14.950167</v>
      </c>
      <c r="P2016" s="48" t="n">
        <v>12.495417</v>
      </c>
      <c r="Q2016" s="48" t="n">
        <v>9.391249999999999</v>
      </c>
      <c r="R2016" s="48" t="n">
        <v>8.461667</v>
      </c>
      <c r="S2016" s="48" t="n">
        <v>8.331666999999999</v>
      </c>
      <c r="T2016" s="48" t="n">
        <v>8.195918000000001</v>
      </c>
      <c r="U2016" s="48" t="n">
        <v>8.341255256638169</v>
      </c>
      <c r="V2016" s="48" t="n">
        <v>8.486592513276337</v>
      </c>
      <c r="W2016" s="48" t="n">
        <v>8.631929769914505</v>
      </c>
      <c r="X2016" s="48" t="n">
        <v>8.777267026552673</v>
      </c>
      <c r="Y2016" s="48" t="n">
        <v>8.922604283190841</v>
      </c>
      <c r="Z2016" s="48" t="n">
        <v>9.067941539829009</v>
      </c>
      <c r="AA2016" s="48" t="n">
        <v>9.213278796467177</v>
      </c>
      <c r="AB2016" s="48" t="n">
        <v>9.358616053105346</v>
      </c>
      <c r="AC2016" s="48" t="n">
        <v>9.503953309743514</v>
      </c>
      <c r="AD2016" s="48" t="n">
        <v>9.649290566381682</v>
      </c>
      <c r="AE2016" s="48" t="n">
        <v>9.79462782301985</v>
      </c>
      <c r="AF2016" s="48" t="n">
        <v>9.939965079658018</v>
      </c>
      <c r="AG2016" s="48" t="n">
        <v>10.08530233629619</v>
      </c>
      <c r="AH2016" s="48" t="n">
        <v>10.23063959293435</v>
      </c>
    </row>
    <row r="2017">
      <c r="A2017" s="3" t="str">
        <f>$B2017&amp;"|"&amp;$C2017</f>
        <v>IMF|nga.nam</v>
      </c>
      <c r="B2017" s="3" t="inlineStr">
        <is>
          <t>IMF</t>
        </is>
      </c>
      <c r="C2017" s="3" t="inlineStr">
        <is>
          <t>nga.nam</t>
        </is>
      </c>
      <c r="D2017" s="3" t="inlineStr">
        <is>
          <t>Natural Gas - North Am</t>
        </is>
      </c>
      <c r="E2017" s="3" t="inlineStr">
        <is>
          <t>$/MMBtu nom</t>
        </is>
      </c>
      <c r="F2017" s="3" t="inlineStr">
        <is>
          <t>data</t>
        </is>
      </c>
      <c r="G2017" s="8" t="n">
        <v>27</v>
      </c>
      <c r="H2017" s="8" t="n">
        <v>23</v>
      </c>
      <c r="I2017" s="8" t="n">
        <v>2032</v>
      </c>
      <c r="J2017" s="48" t="n">
        <v>3.716119</v>
      </c>
      <c r="K2017" s="48" t="n">
        <v>6.516296</v>
      </c>
      <c r="L2017" s="48" t="n">
        <v>2.671452</v>
      </c>
      <c r="M2017" s="48" t="n">
        <v>2.417967</v>
      </c>
      <c r="N2017" s="48" t="n">
        <v>3.63474</v>
      </c>
      <c r="O2017" s="48" t="n">
        <v>3.525087</v>
      </c>
      <c r="P2017" s="48" t="n">
        <v>3.766</v>
      </c>
      <c r="Q2017" s="48" t="n">
        <v>3.689333</v>
      </c>
      <c r="R2017" s="48" t="n">
        <v>3.625583</v>
      </c>
      <c r="S2017" s="48" t="n">
        <v>3.659</v>
      </c>
      <c r="T2017" s="48" t="n">
        <v>3.667833</v>
      </c>
      <c r="U2017" s="48" t="n">
        <v>3.732874254198363</v>
      </c>
      <c r="V2017" s="48" t="n">
        <v>3.797915508396727</v>
      </c>
      <c r="W2017" s="48" t="n">
        <v>3.86295676259509</v>
      </c>
      <c r="X2017" s="48" t="n">
        <v>3.927998016793453</v>
      </c>
      <c r="Y2017" s="48" t="n">
        <v>3.993039270991817</v>
      </c>
      <c r="Z2017" s="48" t="n">
        <v>4.05808052519018</v>
      </c>
      <c r="AA2017" s="48" t="n">
        <v>4.123121779388543</v>
      </c>
      <c r="AB2017" s="48" t="n">
        <v>4.188163033586907</v>
      </c>
      <c r="AC2017" s="48" t="n">
        <v>4.25320428778527</v>
      </c>
      <c r="AD2017" s="48" t="n">
        <v>4.318245541983632</v>
      </c>
      <c r="AE2017" s="48" t="n">
        <v>4.383286796181996</v>
      </c>
      <c r="AF2017" s="48" t="n">
        <v>4.448328050380359</v>
      </c>
      <c r="AG2017" s="48" t="n">
        <v>4.513369304578723</v>
      </c>
      <c r="AH2017" s="48" t="n">
        <v>4.578410558777087</v>
      </c>
    </row>
    <row r="2018">
      <c r="A2018" s="3" t="str">
        <f>$B2018&amp;"|"&amp;$C2018</f>
        <v>IMF|nga.eur</v>
      </c>
      <c r="B2018" s="3" t="inlineStr">
        <is>
          <t>IMF</t>
        </is>
      </c>
      <c r="C2018" s="3" t="inlineStr">
        <is>
          <t>nga.eur</t>
        </is>
      </c>
      <c r="D2018" s="3" t="inlineStr">
        <is>
          <t>Natural Gas - Europe</t>
        </is>
      </c>
      <c r="E2018" s="3" t="inlineStr">
        <is>
          <t>$/MMBtu nom</t>
        </is>
      </c>
      <c r="F2018" s="3" t="inlineStr">
        <is>
          <t>data</t>
        </is>
      </c>
      <c r="G2018" s="8" t="n">
        <v>25</v>
      </c>
      <c r="H2018" s="8" t="n">
        <v>23</v>
      </c>
      <c r="I2018" s="8" t="n">
        <v>2032</v>
      </c>
      <c r="J2018" s="48" t="n">
        <v>15.907363</v>
      </c>
      <c r="K2018" s="48" t="n">
        <v>37.519835</v>
      </c>
      <c r="L2018" s="48" t="n">
        <v>12.883181</v>
      </c>
      <c r="M2018" s="48" t="n">
        <v>10.891141</v>
      </c>
      <c r="N2018" s="48" t="n">
        <v>11.912392</v>
      </c>
      <c r="O2018" s="48" t="n">
        <v>14.612111</v>
      </c>
      <c r="P2018" s="48" t="n">
        <v>11.87946</v>
      </c>
      <c r="Q2018" s="48" t="n">
        <v>8.739246</v>
      </c>
      <c r="R2018" s="48" t="n">
        <v>7.661423</v>
      </c>
      <c r="S2018" s="48" t="n">
        <v>7.410439</v>
      </c>
      <c r="T2018" s="48" t="n">
        <v>7.477729</v>
      </c>
      <c r="U2018" s="48" t="n">
        <v>7.610330694983243</v>
      </c>
      <c r="V2018" s="48" t="n">
        <v>7.742932389966485</v>
      </c>
      <c r="W2018" s="48" t="n">
        <v>7.875534084949729</v>
      </c>
      <c r="X2018" s="48" t="n">
        <v>8.008135779932971</v>
      </c>
      <c r="Y2018" s="48" t="n">
        <v>8.140737474916213</v>
      </c>
      <c r="Z2018" s="48" t="n">
        <v>8.273339169899455</v>
      </c>
      <c r="AA2018" s="48" t="n">
        <v>8.405940864882698</v>
      </c>
      <c r="AB2018" s="48" t="n">
        <v>8.538542559865942</v>
      </c>
      <c r="AC2018" s="48" t="n">
        <v>8.671144254849183</v>
      </c>
      <c r="AD2018" s="48" t="n">
        <v>8.803745949832425</v>
      </c>
      <c r="AE2018" s="48" t="n">
        <v>8.936347644815669</v>
      </c>
      <c r="AF2018" s="48" t="n">
        <v>9.068949339798912</v>
      </c>
      <c r="AG2018" s="48" t="n">
        <v>9.201551034782156</v>
      </c>
      <c r="AH2018" s="48" t="n">
        <v>9.3341527297654</v>
      </c>
    </row>
    <row r="2019">
      <c r="A2019" s="3" t="str">
        <f>$B2019&amp;"|"&amp;$C2019</f>
        <v>IMF|nga.glo</v>
      </c>
      <c r="B2019" s="3" t="inlineStr">
        <is>
          <t>IMF</t>
        </is>
      </c>
      <c r="C2019" s="3" t="inlineStr">
        <is>
          <t>nga.glo</t>
        </is>
      </c>
      <c r="D2019" s="3" t="inlineStr">
        <is>
          <t>Natural gas - Global</t>
        </is>
      </c>
      <c r="E2019" s="3" t="inlineStr">
        <is>
          <t>$/MMBtu nom</t>
        </is>
      </c>
      <c r="F2019" s="3" t="inlineStr">
        <is>
          <t>glo</t>
        </is>
      </c>
      <c r="G2019" s="3" t="n"/>
      <c r="H2019" s="3" t="n"/>
      <c r="I2019" s="3" t="n"/>
      <c r="J2019" s="48">
        <f t="shared" ref="J2019:AH2019" si="92">IFERROR(AVERAGE(J2016:J2018),"NA")</f>
        <v>12.741316333333332</v>
      </c>
      <c r="K2019" s="48">
        <f t="shared" si="92"/>
        <v>25.777717666666664</v>
      </c>
      <c r="L2019" s="48">
        <f t="shared" si="92"/>
        <v>9.672712666666667</v>
      </c>
      <c r="M2019" s="48">
        <f t="shared" si="92"/>
        <v>8.339211666666666</v>
      </c>
      <c r="N2019" s="48">
        <f t="shared" si="92"/>
        <v>9.211627333333334</v>
      </c>
      <c r="O2019" s="48">
        <f t="shared" si="92"/>
        <v>11.029121666666667</v>
      </c>
      <c r="P2019" s="48">
        <f t="shared" si="92"/>
        <v>9.380292333333333</v>
      </c>
      <c r="Q2019" s="48">
        <f t="shared" si="92"/>
        <v>7.273276333333333</v>
      </c>
      <c r="R2019" s="48">
        <f t="shared" si="92"/>
        <v>6.582891</v>
      </c>
      <c r="S2019" s="48">
        <f t="shared" si="92"/>
        <v>6.467035333333333</v>
      </c>
      <c r="T2019" s="48">
        <f t="shared" si="92"/>
        <v>6.44716</v>
      </c>
      <c r="U2019" s="48">
        <f t="shared" si="92"/>
        <v>6.561486735273259</v>
      </c>
      <c r="V2019" s="48">
        <f t="shared" si="92"/>
        <v>6.675813470546516</v>
      </c>
      <c r="W2019" s="48">
        <f t="shared" si="92"/>
        <v>6.790140205819775</v>
      </c>
      <c r="X2019" s="48">
        <f t="shared" si="92"/>
        <v>6.904466941093033</v>
      </c>
      <c r="Y2019" s="48">
        <f t="shared" si="92"/>
        <v>7.018793676366291</v>
      </c>
      <c r="Z2019" s="48">
        <f t="shared" si="92"/>
        <v>7.133120411639548</v>
      </c>
      <c r="AA2019" s="48">
        <f t="shared" si="92"/>
        <v>7.247447146912806</v>
      </c>
      <c r="AB2019" s="48">
        <f t="shared" si="92"/>
        <v>7.361773882186064</v>
      </c>
      <c r="AC2019" s="48">
        <f t="shared" si="92"/>
        <v>7.4761006174593225</v>
      </c>
      <c r="AD2019" s="48">
        <f t="shared" si="92"/>
        <v>7.59042735273258</v>
      </c>
      <c r="AE2019" s="48">
        <f t="shared" si="92"/>
        <v>7.7047540880058385</v>
      </c>
      <c r="AF2019" s="48">
        <f t="shared" si="92"/>
        <v>7.819080823279097</v>
      </c>
      <c r="AG2019" s="48">
        <f t="shared" si="92"/>
        <v>7.933407558552356</v>
      </c>
      <c r="AH2019" s="48">
        <f t="shared" si="92"/>
        <v>8.047734293825613</v>
      </c>
    </row>
    <row r="2020">
      <c r="A2020" s="3" t="str">
        <f>$B2020&amp;"|"&amp;$C2020</f>
        <v>IMF|nga.eus</v>
      </c>
      <c r="B2020" s="3" t="inlineStr">
        <is>
          <t>IMF</t>
        </is>
      </c>
      <c r="C2020" s="3" t="inlineStr">
        <is>
          <t>nga.eus</t>
        </is>
      </c>
      <c r="D2020" s="3" t="inlineStr">
        <is>
          <t>Natural Gas - Europe with the shift to LNG (legacy row 706, share row 699)</t>
        </is>
      </c>
      <c r="E2020" s="3" t="inlineStr">
        <is>
          <t>$/MMBtu nom</t>
        </is>
      </c>
      <c r="F2020" s="3" t="inlineStr">
        <is>
          <t>eus</t>
        </is>
      </c>
      <c r="G2020" s="3" t="n"/>
      <c r="H2020" s="3" t="n"/>
      <c r="I2020" s="3" t="n"/>
      <c r="J2020" s="48">
        <f t="shared" ref="J2020:AH2020" si="93">IFERROR(J2018*(1-J$2011)+J2016*J$2011,"NA")</f>
        <v>15.907363</v>
      </c>
      <c r="K2020" s="48">
        <f t="shared" si="93"/>
        <v>35.07060346</v>
      </c>
      <c r="L2020" s="48">
        <f t="shared" si="93"/>
        <v>13.233116372</v>
      </c>
      <c r="M2020" s="48">
        <f t="shared" si="93"/>
        <v>11.491102324</v>
      </c>
      <c r="N2020" s="48">
        <f t="shared" si="93"/>
        <v>12.058640572</v>
      </c>
      <c r="O2020" s="48">
        <f t="shared" si="93"/>
        <v>14.894049704</v>
      </c>
      <c r="P2020" s="48">
        <f t="shared" si="93"/>
        <v>12.393168138</v>
      </c>
      <c r="Q2020" s="48">
        <f t="shared" si="93"/>
        <v>9.283017335999999</v>
      </c>
      <c r="R2020" s="48">
        <f t="shared" si="93"/>
        <v>8.328826496</v>
      </c>
      <c r="S2020" s="48">
        <f t="shared" si="93"/>
        <v>8.178743152</v>
      </c>
      <c r="T2020" s="48">
        <f t="shared" si="93"/>
        <v>8.076698626</v>
      </c>
      <c r="U2020" s="48">
        <f t="shared" si="93"/>
        <v>8.219921779403451</v>
      </c>
      <c r="V2020" s="48">
        <f t="shared" si="93"/>
        <v>8.363144932806902</v>
      </c>
      <c r="W2020" s="48">
        <f t="shared" si="93"/>
        <v>8.506368086210353</v>
      </c>
      <c r="X2020" s="48">
        <f t="shared" si="93"/>
        <v>8.649591239613802</v>
      </c>
      <c r="Y2020" s="48">
        <f t="shared" si="93"/>
        <v>8.792814393017252</v>
      </c>
      <c r="Z2020" s="48">
        <f t="shared" si="93"/>
        <v>8.936037546420703</v>
      </c>
      <c r="AA2020" s="48">
        <f t="shared" si="93"/>
        <v>9.079260699824154</v>
      </c>
      <c r="AB2020" s="48">
        <f t="shared" si="93"/>
        <v>9.222483853227605</v>
      </c>
      <c r="AC2020" s="48">
        <f t="shared" si="93"/>
        <v>9.365707006631055</v>
      </c>
      <c r="AD2020" s="48">
        <f t="shared" si="93"/>
        <v>9.508930160034504</v>
      </c>
      <c r="AE2020" s="48">
        <f t="shared" si="93"/>
        <v>9.652153313437955</v>
      </c>
      <c r="AF2020" s="48">
        <f t="shared" si="93"/>
        <v>9.795376466841406</v>
      </c>
      <c r="AG2020" s="48">
        <f t="shared" si="93"/>
        <v>9.93859962024486</v>
      </c>
      <c r="AH2020" s="48">
        <f t="shared" si="93"/>
        <v>10.081822773648303</v>
      </c>
    </row>
    <row r="2021">
      <c r="A2021" s="3" t="str">
        <f>$B2021&amp;"|"&amp;$C2021</f>
        <v>WB|oil</v>
      </c>
      <c r="B2021" s="3" t="inlineStr">
        <is>
          <t>WB</t>
        </is>
      </c>
      <c r="C2021" s="3" t="inlineStr">
        <is>
          <t>oil</t>
        </is>
      </c>
      <c r="D2021" s="3" t="inlineStr">
        <is>
          <t>Crude Oil</t>
        </is>
      </c>
      <c r="E2021" s="3" t="inlineStr">
        <is>
          <t>$/bbl nom</t>
        </is>
      </c>
      <c r="F2021" s="3" t="inlineStr">
        <is>
          <t>data</t>
        </is>
      </c>
      <c r="G2021" s="8" t="n">
        <v>13</v>
      </c>
      <c r="H2021" s="8" t="n">
        <v>11</v>
      </c>
      <c r="I2021" s="8" t="n">
        <v>2027</v>
      </c>
      <c r="J2021" s="48" t="n">
        <v>70.44333333333</v>
      </c>
      <c r="K2021" s="48" t="n">
        <v>99.82416666667</v>
      </c>
      <c r="L2021" s="48" t="n">
        <v>82.61624999999999</v>
      </c>
      <c r="M2021" s="48" t="n">
        <v>80.69866666666999</v>
      </c>
      <c r="N2021" s="48" t="n">
        <v>73</v>
      </c>
      <c r="O2021" s="48" t="n">
        <v>72</v>
      </c>
      <c r="P2021" s="48" t="n">
        <v>73.58104967319923</v>
      </c>
      <c r="Q2021" s="48" t="n">
        <v>74.78880176224789</v>
      </c>
      <c r="R2021" s="48" t="n">
        <v>76.11862800894365</v>
      </c>
      <c r="S2021" s="48" t="n">
        <v>77.51732833063444</v>
      </c>
      <c r="T2021" s="48" t="n">
        <v>78.91674983830444</v>
      </c>
      <c r="U2021" s="48" t="n">
        <v>80.31617134597444</v>
      </c>
      <c r="V2021" s="48" t="n">
        <v>81.71559285364445</v>
      </c>
      <c r="W2021" s="48" t="n">
        <v>83.11501436131446</v>
      </c>
      <c r="X2021" s="48" t="n">
        <v>84.51443586898446</v>
      </c>
      <c r="Y2021" s="48" t="n">
        <v>85.91385737665446</v>
      </c>
      <c r="Z2021" s="48" t="n">
        <v>87.31327888432446</v>
      </c>
      <c r="AA2021" s="48" t="n">
        <v>88.71270039199446</v>
      </c>
      <c r="AB2021" s="48" t="n">
        <v>90.11212189966447</v>
      </c>
      <c r="AC2021" s="48" t="n">
        <v>91.51154340733447</v>
      </c>
      <c r="AD2021" s="48" t="n">
        <v>92.91096491500447</v>
      </c>
      <c r="AE2021" s="48" t="n">
        <v>94.31038642267447</v>
      </c>
      <c r="AF2021" s="48" t="n">
        <v>95.70980793034448</v>
      </c>
      <c r="AG2021" s="48" t="n">
        <v>97.10922943801449</v>
      </c>
      <c r="AH2021" s="48" t="n">
        <v>98.50865094568451</v>
      </c>
    </row>
    <row r="2022">
      <c r="A2022" s="3" t="str">
        <f>$B2022&amp;"|"&amp;$C2022</f>
        <v>WB|coa</v>
      </c>
      <c r="B2022" s="3" t="inlineStr">
        <is>
          <t>WB</t>
        </is>
      </c>
      <c r="C2022" s="3" t="inlineStr">
        <is>
          <t>coa</t>
        </is>
      </c>
      <c r="D2022" s="3" t="inlineStr">
        <is>
          <t>Coal</t>
        </is>
      </c>
      <c r="E2022" s="3" t="inlineStr">
        <is>
          <t>$/ton nom</t>
        </is>
      </c>
      <c r="F2022" s="3" t="inlineStr">
        <is>
          <t>data</t>
        </is>
      </c>
      <c r="G2022" s="8" t="n">
        <v>14</v>
      </c>
      <c r="H2022" s="8" t="n">
        <v>11</v>
      </c>
      <c r="I2022" s="8" t="n">
        <v>2027</v>
      </c>
      <c r="J2022" s="48" t="n">
        <v>138.05</v>
      </c>
      <c r="K2022" s="48" t="n">
        <v>344.89333333333</v>
      </c>
      <c r="L2022" s="48" t="n">
        <v>172.77916666667</v>
      </c>
      <c r="M2022" s="48" t="n">
        <v>136.14666666667</v>
      </c>
      <c r="N2022" s="48" t="n">
        <v>120</v>
      </c>
      <c r="O2022" s="48" t="n">
        <v>105</v>
      </c>
      <c r="P2022" s="48" t="n">
        <v>107.3056974400822</v>
      </c>
      <c r="Q2022" s="48" t="n">
        <v>109.0670025699448</v>
      </c>
      <c r="R2022" s="48" t="n">
        <v>111.0063325130428</v>
      </c>
      <c r="S2022" s="48" t="n">
        <v>113.0461038155086</v>
      </c>
      <c r="T2022" s="48" t="n">
        <v>115.0869268475273</v>
      </c>
      <c r="U2022" s="48" t="n">
        <v>117.1277498795461</v>
      </c>
      <c r="V2022" s="48" t="n">
        <v>119.1685729115648</v>
      </c>
      <c r="W2022" s="48" t="n">
        <v>121.2093959435836</v>
      </c>
      <c r="X2022" s="48" t="n">
        <v>123.2502189756024</v>
      </c>
      <c r="Y2022" s="48" t="n">
        <v>125.2910420076211</v>
      </c>
      <c r="Z2022" s="48" t="n">
        <v>127.3318650396399</v>
      </c>
      <c r="AA2022" s="48" t="n">
        <v>129.3726880716586</v>
      </c>
      <c r="AB2022" s="48" t="n">
        <v>131.4135111036774</v>
      </c>
      <c r="AC2022" s="48" t="n">
        <v>133.4543341356961</v>
      </c>
      <c r="AD2022" s="48" t="n">
        <v>135.4951571677149</v>
      </c>
      <c r="AE2022" s="48" t="n">
        <v>137.5359801997336</v>
      </c>
      <c r="AF2022" s="48" t="n">
        <v>139.5768032317524</v>
      </c>
      <c r="AG2022" s="48" t="n">
        <v>141.6176262637712</v>
      </c>
      <c r="AH2022" s="48" t="n">
        <v>143.6584492957899</v>
      </c>
    </row>
    <row r="2023">
      <c r="A2023" s="3" t="str">
        <f>$B2023&amp;"|"&amp;$C2023</f>
        <v>WB|nga.lng</v>
      </c>
      <c r="B2023" s="3" t="inlineStr">
        <is>
          <t>WB</t>
        </is>
      </c>
      <c r="C2023" s="3" t="inlineStr">
        <is>
          <t>nga.lng</t>
        </is>
      </c>
      <c r="D2023" s="3" t="inlineStr">
        <is>
          <t>Natural Gas - LNG</t>
        </is>
      </c>
      <c r="E2023" s="3" t="inlineStr">
        <is>
          <t>$/MMBtu nom</t>
        </is>
      </c>
      <c r="F2023" s="3" t="inlineStr">
        <is>
          <t>data</t>
        </is>
      </c>
      <c r="G2023" s="8" t="n">
        <v>17</v>
      </c>
      <c r="H2023" s="8" t="n">
        <v>11</v>
      </c>
      <c r="I2023" s="8" t="n">
        <v>2027</v>
      </c>
      <c r="J2023" s="48" t="n">
        <v>10.76164902384</v>
      </c>
      <c r="K2023" s="48" t="n">
        <v>18.42692483862</v>
      </c>
      <c r="L2023" s="48" t="n">
        <v>14.38710799668</v>
      </c>
      <c r="M2023" s="48" t="n">
        <v>12.84421395663</v>
      </c>
      <c r="N2023" s="48" t="n">
        <v>13.5</v>
      </c>
      <c r="O2023" s="48" t="n">
        <v>12.5</v>
      </c>
      <c r="P2023" s="48" t="n">
        <v>12.77448779048598</v>
      </c>
      <c r="Q2023" s="48" t="n">
        <v>12.98416697261248</v>
      </c>
      <c r="R2023" s="48" t="n">
        <v>13.21503958488605</v>
      </c>
      <c r="S2023" s="48" t="n">
        <v>13.45786950184626</v>
      </c>
      <c r="T2023" s="48" t="n">
        <v>13.70082462470564</v>
      </c>
      <c r="U2023" s="48" t="n">
        <v>13.94377974756501</v>
      </c>
      <c r="V2023" s="48" t="n">
        <v>14.18673487042439</v>
      </c>
      <c r="W2023" s="48" t="n">
        <v>14.42968999328376</v>
      </c>
      <c r="X2023" s="48" t="n">
        <v>14.67264511614314</v>
      </c>
      <c r="Y2023" s="48" t="n">
        <v>14.91560023900251</v>
      </c>
      <c r="Z2023" s="48" t="n">
        <v>15.15855536186189</v>
      </c>
      <c r="AA2023" s="48" t="n">
        <v>15.40151048472127</v>
      </c>
      <c r="AB2023" s="48" t="n">
        <v>15.64446560758064</v>
      </c>
      <c r="AC2023" s="48" t="n">
        <v>15.88742073044002</v>
      </c>
      <c r="AD2023" s="48" t="n">
        <v>16.13037585329939</v>
      </c>
      <c r="AE2023" s="48" t="n">
        <v>16.37333097615877</v>
      </c>
      <c r="AF2023" s="48" t="n">
        <v>16.61628609901814</v>
      </c>
      <c r="AG2023" s="48" t="n">
        <v>16.85924122187752</v>
      </c>
      <c r="AH2023" s="48" t="n">
        <v>17.1021963447369</v>
      </c>
    </row>
    <row r="2024">
      <c r="A2024" s="3" t="str">
        <f>$B2024&amp;"|"&amp;$C2024</f>
        <v>WB|nga.nam</v>
      </c>
      <c r="B2024" s="3" t="inlineStr">
        <is>
          <t>WB</t>
        </is>
      </c>
      <c r="C2024" s="3" t="inlineStr">
        <is>
          <t>nga.nam</t>
        </is>
      </c>
      <c r="D2024" s="3" t="inlineStr">
        <is>
          <t>Natural Gas - North Am</t>
        </is>
      </c>
      <c r="E2024" s="3" t="inlineStr">
        <is>
          <t>$/MMBtu nom</t>
        </is>
      </c>
      <c r="F2024" s="3" t="inlineStr">
        <is>
          <t>data</t>
        </is>
      </c>
      <c r="G2024" s="8" t="n">
        <v>16</v>
      </c>
      <c r="H2024" s="8" t="n">
        <v>11</v>
      </c>
      <c r="I2024" s="8" t="n">
        <v>2027</v>
      </c>
      <c r="J2024" s="48" t="n">
        <v>3.85140833333</v>
      </c>
      <c r="K2024" s="48" t="n">
        <v>6.36831666667</v>
      </c>
      <c r="L2024" s="48" t="n">
        <v>2.53780833333</v>
      </c>
      <c r="M2024" s="48" t="n">
        <v>2.19110833333</v>
      </c>
      <c r="N2024" s="48" t="n">
        <v>3.4</v>
      </c>
      <c r="O2024" s="48" t="n">
        <v>3.7</v>
      </c>
      <c r="P2024" s="48" t="n">
        <v>3.781248385983849</v>
      </c>
      <c r="Q2024" s="48" t="n">
        <v>3.843313423893294</v>
      </c>
      <c r="R2024" s="48" t="n">
        <v>3.911651717126271</v>
      </c>
      <c r="S2024" s="48" t="n">
        <v>3.983529372546493</v>
      </c>
      <c r="T2024" s="48" t="n">
        <v>4.055444088912869</v>
      </c>
      <c r="U2024" s="48" t="n">
        <v>4.127358805279243</v>
      </c>
      <c r="V2024" s="48" t="n">
        <v>4.199273521645619</v>
      </c>
      <c r="W2024" s="48" t="n">
        <v>4.271188238011995</v>
      </c>
      <c r="X2024" s="48" t="n">
        <v>4.343102954378369</v>
      </c>
      <c r="Y2024" s="48" t="n">
        <v>4.415017670744745</v>
      </c>
      <c r="Z2024" s="48" t="n">
        <v>4.48693238711112</v>
      </c>
      <c r="AA2024" s="48" t="n">
        <v>4.558847103477496</v>
      </c>
      <c r="AB2024" s="48" t="n">
        <v>4.630761819843872</v>
      </c>
      <c r="AC2024" s="48" t="n">
        <v>4.702676536210246</v>
      </c>
      <c r="AD2024" s="48" t="n">
        <v>4.774591252576622</v>
      </c>
      <c r="AE2024" s="48" t="n">
        <v>4.846505968942997</v>
      </c>
      <c r="AF2024" s="48" t="n">
        <v>4.918420685309373</v>
      </c>
      <c r="AG2024" s="48" t="n">
        <v>4.990335401675749</v>
      </c>
      <c r="AH2024" s="48" t="n">
        <v>5.062250118042124</v>
      </c>
    </row>
    <row r="2025">
      <c r="A2025" s="3" t="str">
        <f>$B2025&amp;"|"&amp;$C2025</f>
        <v>WB|nga.eur</v>
      </c>
      <c r="B2025" s="3" t="inlineStr">
        <is>
          <t>WB</t>
        </is>
      </c>
      <c r="C2025" s="3" t="inlineStr">
        <is>
          <t>nga.eur</t>
        </is>
      </c>
      <c r="D2025" s="3" t="inlineStr">
        <is>
          <t>Natural Gas - Europe</t>
        </is>
      </c>
      <c r="E2025" s="3" t="inlineStr">
        <is>
          <t>$/MMBtu nom</t>
        </is>
      </c>
      <c r="F2025" s="3" t="inlineStr">
        <is>
          <t>data</t>
        </is>
      </c>
      <c r="G2025" s="8" t="n">
        <v>15</v>
      </c>
      <c r="H2025" s="8" t="n">
        <v>11</v>
      </c>
      <c r="I2025" s="8" t="n">
        <v>2027</v>
      </c>
      <c r="J2025" s="48" t="n">
        <v>16.11587794838</v>
      </c>
      <c r="K2025" s="48" t="n">
        <v>40.3401571422</v>
      </c>
      <c r="L2025" s="48" t="n">
        <v>13.1134032462</v>
      </c>
      <c r="M2025" s="48" t="n">
        <v>10.96230953259</v>
      </c>
      <c r="N2025" s="48" t="n">
        <v>11.5</v>
      </c>
      <c r="O2025" s="48" t="n">
        <v>10.5</v>
      </c>
      <c r="P2025" s="48" t="n">
        <v>10.73056974400822</v>
      </c>
      <c r="Q2025" s="48" t="n">
        <v>10.90670025699448</v>
      </c>
      <c r="R2025" s="48" t="n">
        <v>11.10063325130428</v>
      </c>
      <c r="S2025" s="48" t="n">
        <v>11.30461038155086</v>
      </c>
      <c r="T2025" s="48" t="n">
        <v>11.50869268475273</v>
      </c>
      <c r="U2025" s="48" t="n">
        <v>11.71277498795461</v>
      </c>
      <c r="V2025" s="48" t="n">
        <v>11.91685729115648</v>
      </c>
      <c r="W2025" s="48" t="n">
        <v>12.12093959435836</v>
      </c>
      <c r="X2025" s="48" t="n">
        <v>12.32502189756024</v>
      </c>
      <c r="Y2025" s="48" t="n">
        <v>12.52910420076211</v>
      </c>
      <c r="Z2025" s="48" t="n">
        <v>12.73318650396399</v>
      </c>
      <c r="AA2025" s="48" t="n">
        <v>12.93726880716586</v>
      </c>
      <c r="AB2025" s="48" t="n">
        <v>13.14135111036774</v>
      </c>
      <c r="AC2025" s="48" t="n">
        <v>13.34543341356962</v>
      </c>
      <c r="AD2025" s="48" t="n">
        <v>13.54951571677149</v>
      </c>
      <c r="AE2025" s="48" t="n">
        <v>13.75359801997337</v>
      </c>
      <c r="AF2025" s="48" t="n">
        <v>13.95768032317524</v>
      </c>
      <c r="AG2025" s="48" t="n">
        <v>14.16176262637712</v>
      </c>
      <c r="AH2025" s="48" t="n">
        <v>14.365844929579</v>
      </c>
    </row>
    <row r="2026">
      <c r="A2026" s="3" t="str">
        <f>$B2026&amp;"|"&amp;$C2026</f>
        <v>WB|nga.glo</v>
      </c>
      <c r="B2026" s="3" t="inlineStr">
        <is>
          <t>WB</t>
        </is>
      </c>
      <c r="C2026" s="3" t="inlineStr">
        <is>
          <t>nga.glo</t>
        </is>
      </c>
      <c r="D2026" s="3" t="inlineStr">
        <is>
          <t>Natural gas - Global</t>
        </is>
      </c>
      <c r="E2026" s="3" t="inlineStr">
        <is>
          <t>$/MMBtu nom</t>
        </is>
      </c>
      <c r="F2026" s="3" t="inlineStr">
        <is>
          <t>glo</t>
        </is>
      </c>
      <c r="G2026" s="3" t="n"/>
      <c r="H2026" s="3" t="n"/>
      <c r="I2026" s="3" t="n"/>
      <c r="J2026" s="48">
        <f t="shared" ref="J2026:AH2026" si="94">IFERROR(AVERAGE(J2023:J2025),"NA")</f>
        <v>10.242978435183334</v>
      </c>
      <c r="K2026" s="48">
        <f t="shared" si="94"/>
        <v>21.71179954916333</v>
      </c>
      <c r="L2026" s="48">
        <f t="shared" si="94"/>
        <v>10.01277319207</v>
      </c>
      <c r="M2026" s="48">
        <f t="shared" si="94"/>
        <v>8.665877274183332</v>
      </c>
      <c r="N2026" s="48">
        <f t="shared" si="94"/>
        <v>9.466666666666667</v>
      </c>
      <c r="O2026" s="48">
        <f t="shared" si="94"/>
        <v>8.9</v>
      </c>
      <c r="P2026" s="48">
        <f t="shared" si="94"/>
        <v>9.095435306826017</v>
      </c>
      <c r="Q2026" s="48">
        <f t="shared" si="94"/>
        <v>9.244726884500084</v>
      </c>
      <c r="R2026" s="48">
        <f t="shared" si="94"/>
        <v>9.409108184438868</v>
      </c>
      <c r="S2026" s="48">
        <f t="shared" si="94"/>
        <v>9.582003085314538</v>
      </c>
      <c r="T2026" s="48">
        <f t="shared" si="94"/>
        <v>9.754987132790413</v>
      </c>
      <c r="U2026" s="48">
        <f t="shared" si="94"/>
        <v>9.927971180266288</v>
      </c>
      <c r="V2026" s="48">
        <f t="shared" si="94"/>
        <v>10.100955227742164</v>
      </c>
      <c r="W2026" s="48">
        <f t="shared" si="94"/>
        <v>10.273939275218039</v>
      </c>
      <c r="X2026" s="48">
        <f t="shared" si="94"/>
        <v>10.446923322693918</v>
      </c>
      <c r="Y2026" s="48">
        <f t="shared" si="94"/>
        <v>10.619907370169788</v>
      </c>
      <c r="Z2026" s="48">
        <f t="shared" si="94"/>
        <v>10.792891417645668</v>
      </c>
      <c r="AA2026" s="48">
        <f t="shared" si="94"/>
        <v>10.965875465121542</v>
      </c>
      <c r="AB2026" s="48">
        <f t="shared" si="94"/>
        <v>11.138859512597419</v>
      </c>
      <c r="AC2026" s="48">
        <f t="shared" si="94"/>
        <v>11.311843560073294</v>
      </c>
      <c r="AD2026" s="48">
        <f t="shared" si="94"/>
        <v>11.48482760754917</v>
      </c>
      <c r="AE2026" s="48">
        <f t="shared" si="94"/>
        <v>11.657811655025045</v>
      </c>
      <c r="AF2026" s="48">
        <f t="shared" si="94"/>
        <v>11.830795702500916</v>
      </c>
      <c r="AG2026" s="48">
        <f t="shared" si="94"/>
        <v>12.003779749976795</v>
      </c>
      <c r="AH2026" s="48">
        <f t="shared" si="94"/>
        <v>12.176763797452674</v>
      </c>
    </row>
    <row r="2027">
      <c r="A2027" s="3" t="str">
        <f>$B2027&amp;"|"&amp;$C2027</f>
        <v>WB|nga.eus</v>
      </c>
      <c r="B2027" s="3" t="inlineStr">
        <is>
          <t>WB</t>
        </is>
      </c>
      <c r="C2027" s="3" t="inlineStr">
        <is>
          <t>nga.eus</t>
        </is>
      </c>
      <c r="D2027" s="3" t="inlineStr">
        <is>
          <t>Natural Gas - Europe with the shift to LNG (legacy row 706, share row 699)</t>
        </is>
      </c>
      <c r="E2027" s="3" t="inlineStr">
        <is>
          <t>$/MMBtu nom</t>
        </is>
      </c>
      <c r="F2027" s="3" t="inlineStr">
        <is>
          <t>eus</t>
        </is>
      </c>
      <c r="G2027" s="3" t="n"/>
      <c r="H2027" s="3" t="n"/>
      <c r="I2027" s="3" t="n"/>
      <c r="J2027" s="48">
        <f t="shared" ref="J2027:AH2027" si="95">IFERROR(J2025*(1-J$2011)+J2023*J$2011,"NA")</f>
        <v>16.11587794838</v>
      </c>
      <c r="K2027" s="48">
        <f t="shared" si="95"/>
        <v>27.6304824061236</v>
      </c>
      <c r="L2027" s="48">
        <f t="shared" si="95"/>
        <v>13.881447210739442</v>
      </c>
      <c r="M2027" s="48">
        <f t="shared" si="95"/>
        <v>12.34362737983536</v>
      </c>
      <c r="N2027" s="48">
        <f t="shared" si="95"/>
        <v>13.168000000000001</v>
      </c>
      <c r="O2027" s="48">
        <f t="shared" si="95"/>
        <v>12.168</v>
      </c>
      <c r="P2027" s="48">
        <f t="shared" si="95"/>
        <v>12.43519739477067</v>
      </c>
      <c r="Q2027" s="48">
        <f t="shared" si="95"/>
        <v>12.63930749781989</v>
      </c>
      <c r="R2027" s="48">
        <f t="shared" si="95"/>
        <v>12.864048133511476</v>
      </c>
      <c r="S2027" s="48">
        <f t="shared" si="95"/>
        <v>13.100428487877224</v>
      </c>
      <c r="T2027" s="48">
        <f t="shared" si="95"/>
        <v>13.336930722673458</v>
      </c>
      <c r="U2027" s="48">
        <f t="shared" si="95"/>
        <v>13.573432957469683</v>
      </c>
      <c r="V2027" s="48">
        <f t="shared" si="95"/>
        <v>13.809935192265916</v>
      </c>
      <c r="W2027" s="48">
        <f t="shared" si="95"/>
        <v>14.046437427062145</v>
      </c>
      <c r="X2027" s="48">
        <f t="shared" si="95"/>
        <v>14.282939661858379</v>
      </c>
      <c r="Y2027" s="48">
        <f t="shared" si="95"/>
        <v>14.519441896654603</v>
      </c>
      <c r="Z2027" s="48">
        <f t="shared" si="95"/>
        <v>14.755944131450839</v>
      </c>
      <c r="AA2027" s="48">
        <f t="shared" si="95"/>
        <v>14.992446366247073</v>
      </c>
      <c r="AB2027" s="48">
        <f t="shared" si="95"/>
        <v>15.228948601043298</v>
      </c>
      <c r="AC2027" s="48">
        <f t="shared" si="95"/>
        <v>15.465450835839533</v>
      </c>
      <c r="AD2027" s="48">
        <f t="shared" si="95"/>
        <v>15.70195307063576</v>
      </c>
      <c r="AE2027" s="48">
        <f t="shared" si="95"/>
        <v>15.938455305431992</v>
      </c>
      <c r="AF2027" s="48">
        <f t="shared" si="95"/>
        <v>16.17495754022822</v>
      </c>
      <c r="AG2027" s="48">
        <f t="shared" si="95"/>
        <v>16.411459775024454</v>
      </c>
      <c r="AH2027" s="48">
        <f t="shared" si="95"/>
        <v>16.647962009820688</v>
      </c>
    </row>
    <row r="2028">
      <c r="A2028" s="3" t="str">
        <f>$B2028&amp;"|"&amp;$C2028</f>
        <v>IEA|oil</v>
      </c>
      <c r="B2028" s="3" t="inlineStr">
        <is>
          <t>IEA</t>
        </is>
      </c>
      <c r="C2028" s="3" t="inlineStr">
        <is>
          <t>oil</t>
        </is>
      </c>
      <c r="D2028" s="3" t="inlineStr">
        <is>
          <t>Crude Oil</t>
        </is>
      </c>
      <c r="E2028" s="3" t="inlineStr">
        <is>
          <t>$/bbl nom</t>
        </is>
      </c>
      <c r="F2028" s="3" t="inlineStr">
        <is>
          <t>data</t>
        </is>
      </c>
      <c r="G2028" s="8" t="n">
        <v>37</v>
      </c>
      <c r="H2028" s="8" t="n">
        <v>36</v>
      </c>
      <c r="I2028" s="8" t="n">
        <v>2100</v>
      </c>
      <c r="J2028" s="48" t="n">
        <v>70.83150000000001</v>
      </c>
      <c r="K2028" s="48" t="n">
        <v>98.99632800000001</v>
      </c>
      <c r="L2028" s="48" t="n">
        <v>82.321243</v>
      </c>
      <c r="M2028" s="48" t="n">
        <v>79.911739</v>
      </c>
      <c r="N2028" s="48" t="n">
        <v>81.9050907294759</v>
      </c>
      <c r="O2028" s="48" t="n">
        <v>83.89844245895181</v>
      </c>
      <c r="P2028" s="48" t="n">
        <v>85.89179418842772</v>
      </c>
      <c r="Q2028" s="48" t="n">
        <v>87.88514591790363</v>
      </c>
      <c r="R2028" s="48" t="n">
        <v>89.87849764737953</v>
      </c>
      <c r="S2028" s="48" t="n">
        <v>91.87184937685544</v>
      </c>
      <c r="T2028" s="48" t="n">
        <v>93.60026940671912</v>
      </c>
      <c r="U2028" s="48" t="n">
        <v>95.32868943658281</v>
      </c>
      <c r="V2028" s="48" t="n">
        <v>97.05710946644649</v>
      </c>
      <c r="W2028" s="48" t="n">
        <v>98.78552949631018</v>
      </c>
      <c r="X2028" s="48" t="n">
        <v>100.5139495261739</v>
      </c>
      <c r="Y2028" s="48" t="n">
        <v>102.2423695560375</v>
      </c>
      <c r="Z2028" s="48" t="n">
        <v>103.9707895859012</v>
      </c>
      <c r="AA2028" s="48" t="n">
        <v>105.6992096157649</v>
      </c>
      <c r="AB2028" s="48" t="n">
        <v>107.4276296456286</v>
      </c>
      <c r="AC2028" s="48" t="n">
        <v>109.1560496754923</v>
      </c>
      <c r="AD2028" s="48" t="n">
        <v>54.886916</v>
      </c>
      <c r="AE2028" s="48" t="n">
        <v>71.612593</v>
      </c>
      <c r="AF2028" s="48" t="n">
        <v>64.198474</v>
      </c>
      <c r="AG2028" s="48" t="n">
        <v>43.333843</v>
      </c>
      <c r="AH2028" s="48" t="n">
        <v>70.83150000000001</v>
      </c>
    </row>
    <row r="2029">
      <c r="A2029" s="3" t="str">
        <f>$B2029&amp;"|"&amp;$C2029</f>
        <v>IEA|coa</v>
      </c>
      <c r="B2029" s="3" t="inlineStr">
        <is>
          <t>IEA</t>
        </is>
      </c>
      <c r="C2029" s="3" t="inlineStr">
        <is>
          <t>coa</t>
        </is>
      </c>
      <c r="D2029" s="3" t="inlineStr">
        <is>
          <t>Coal</t>
        </is>
      </c>
      <c r="E2029" s="3" t="inlineStr">
        <is>
          <t>$/ton nom</t>
        </is>
      </c>
      <c r="F2029" s="3" t="inlineStr">
        <is>
          <t>data</t>
        </is>
      </c>
      <c r="G2029" s="8" t="n">
        <v>38</v>
      </c>
      <c r="H2029" s="8" t="n">
        <v>36</v>
      </c>
      <c r="I2029" s="8" t="n">
        <v>2031</v>
      </c>
      <c r="J2029" s="48" t="n">
        <v>143.984744</v>
      </c>
      <c r="K2029" s="48" t="n">
        <v>384.169733</v>
      </c>
      <c r="L2029" s="48" t="n">
        <v>188.152584</v>
      </c>
      <c r="M2029" s="48" t="n">
        <v>143.551382</v>
      </c>
      <c r="N2029" s="48" t="n">
        <v>112.437589</v>
      </c>
      <c r="O2029" s="48" t="n">
        <v>135.601486</v>
      </c>
      <c r="P2029" s="48" t="n">
        <v>143.176523</v>
      </c>
      <c r="Q2029" s="48" t="n">
        <v>143.310932</v>
      </c>
      <c r="R2029" s="48" t="n">
        <v>143.44086</v>
      </c>
      <c r="S2029" s="48" t="n">
        <v>143.44086</v>
      </c>
      <c r="T2029" s="48" t="n">
        <v>146.0304000278308</v>
      </c>
      <c r="U2029" s="48" t="n">
        <v>148.6199400556616</v>
      </c>
      <c r="V2029" s="48" t="n">
        <v>151.2094800834925</v>
      </c>
      <c r="W2029" s="48" t="n">
        <v>153.7990201113233</v>
      </c>
      <c r="X2029" s="48" t="n">
        <v>156.3885601391541</v>
      </c>
      <c r="Y2029" s="48" t="n">
        <v>158.9781001669849</v>
      </c>
      <c r="Z2029" s="48" t="n">
        <v>161.5676401948157</v>
      </c>
      <c r="AA2029" s="48" t="n">
        <v>164.1571802226466</v>
      </c>
      <c r="AB2029" s="48" t="n">
        <v>166.7467202504774</v>
      </c>
      <c r="AC2029" s="48" t="n">
        <v>169.3362602783082</v>
      </c>
      <c r="AD2029" s="48" t="n">
        <v>171.925800306139</v>
      </c>
      <c r="AE2029" s="48" t="n">
        <v>174.5153403339698</v>
      </c>
      <c r="AF2029" s="48" t="n">
        <v>177.1048803618007</v>
      </c>
      <c r="AG2029" s="48" t="n">
        <v>179.6944203896315</v>
      </c>
      <c r="AH2029" s="48" t="n">
        <v>182.2839604174623</v>
      </c>
    </row>
    <row r="2030">
      <c r="A2030" s="3" t="str">
        <f>$B2030&amp;"|"&amp;$C2030</f>
        <v>IEA|nga.lng</v>
      </c>
      <c r="B2030" s="3" t="inlineStr">
        <is>
          <t>IEA</t>
        </is>
      </c>
      <c r="C2030" s="3" t="inlineStr">
        <is>
          <t>nga.lng</t>
        </is>
      </c>
      <c r="D2030" s="3" t="inlineStr">
        <is>
          <t>Natural Gas - LNG</t>
        </is>
      </c>
      <c r="E2030" s="3" t="inlineStr">
        <is>
          <t>$/MMBtu nom</t>
        </is>
      </c>
      <c r="F2030" s="3" t="inlineStr">
        <is>
          <t>data</t>
        </is>
      </c>
      <c r="G2030" s="8" t="n">
        <v>41</v>
      </c>
      <c r="H2030" s="8" t="n">
        <v>36</v>
      </c>
      <c r="I2030" s="8" t="n">
        <v>2100</v>
      </c>
      <c r="J2030" s="48" t="n">
        <v>18.600467</v>
      </c>
      <c r="K2030" s="48" t="n">
        <v>33.297022</v>
      </c>
      <c r="L2030" s="48" t="n">
        <v>13.463505</v>
      </c>
      <c r="M2030" s="48" t="n">
        <v>11.708527</v>
      </c>
      <c r="N2030" s="48" t="n">
        <v>11.3658323097635</v>
      </c>
      <c r="O2030" s="48" t="n">
        <v>11.02313761952701</v>
      </c>
      <c r="P2030" s="48" t="n">
        <v>10.68044292929051</v>
      </c>
      <c r="Q2030" s="48" t="n">
        <v>10.33774823905401</v>
      </c>
      <c r="R2030" s="48" t="n">
        <v>9.995053548817513</v>
      </c>
      <c r="S2030" s="48" t="n">
        <v>9.652358858581016</v>
      </c>
      <c r="T2030" s="48" t="n">
        <v>9.934620683299968</v>
      </c>
      <c r="U2030" s="48" t="n">
        <v>10.21688250801892</v>
      </c>
      <c r="V2030" s="48" t="n">
        <v>10.49914433273788</v>
      </c>
      <c r="W2030" s="48" t="n">
        <v>10.78140615745683</v>
      </c>
      <c r="X2030" s="48" t="n">
        <v>11.06366798217578</v>
      </c>
      <c r="Y2030" s="48" t="n">
        <v>11.34592980689474</v>
      </c>
      <c r="Z2030" s="48" t="n">
        <v>11.62819163161369</v>
      </c>
      <c r="AA2030" s="48" t="n">
        <v>11.91045345633264</v>
      </c>
      <c r="AB2030" s="48" t="n">
        <v>12.1927152810516</v>
      </c>
      <c r="AC2030" s="48" t="n">
        <v>12.47497710577055</v>
      </c>
      <c r="AD2030" s="48" t="n">
        <v>7.247445</v>
      </c>
      <c r="AE2030" s="48" t="n">
        <v>9.795415</v>
      </c>
      <c r="AF2030" s="48" t="n">
        <v>5.444624</v>
      </c>
      <c r="AG2030" s="48" t="n">
        <v>4.366424</v>
      </c>
      <c r="AH2030" s="48" t="n">
        <v>18.600467</v>
      </c>
    </row>
    <row r="2031">
      <c r="A2031" s="3" t="str">
        <f>$B2031&amp;"|"&amp;$C2031</f>
        <v>IEA|nga.nam</v>
      </c>
      <c r="B2031" s="3" t="inlineStr">
        <is>
          <t>IEA</t>
        </is>
      </c>
      <c r="C2031" s="3" t="inlineStr">
        <is>
          <t>nga.nam</t>
        </is>
      </c>
      <c r="D2031" s="3" t="inlineStr">
        <is>
          <t>Natural Gas - North Am</t>
        </is>
      </c>
      <c r="E2031" s="3" t="inlineStr">
        <is>
          <t>$/MMBtu nom</t>
        </is>
      </c>
      <c r="F2031" s="3" t="inlineStr">
        <is>
          <t>data</t>
        </is>
      </c>
      <c r="G2031" s="8" t="n">
        <v>40</v>
      </c>
      <c r="H2031" s="8" t="n">
        <v>36</v>
      </c>
      <c r="I2031" s="8" t="n">
        <v>2100</v>
      </c>
      <c r="J2031" s="48" t="n">
        <v>3.716119</v>
      </c>
      <c r="K2031" s="48" t="n">
        <v>6.516296</v>
      </c>
      <c r="L2031" s="48" t="n">
        <v>2.671452</v>
      </c>
      <c r="M2031" s="48" t="n">
        <v>2.417967</v>
      </c>
      <c r="N2031" s="48" t="n">
        <v>2.77088012145514</v>
      </c>
      <c r="O2031" s="48" t="n">
        <v>3.123793242910279</v>
      </c>
      <c r="P2031" s="48" t="n">
        <v>3.476706364365419</v>
      </c>
      <c r="Q2031" s="48" t="n">
        <v>3.829619485820559</v>
      </c>
      <c r="R2031" s="48" t="n">
        <v>4.182532607275698</v>
      </c>
      <c r="S2031" s="48" t="n">
        <v>4.535445728730839</v>
      </c>
      <c r="T2031" s="48" t="n">
        <v>4.663121680103883</v>
      </c>
      <c r="U2031" s="48" t="n">
        <v>4.790797631476926</v>
      </c>
      <c r="V2031" s="48" t="n">
        <v>4.91847358284997</v>
      </c>
      <c r="W2031" s="48" t="n">
        <v>5.046149534223014</v>
      </c>
      <c r="X2031" s="48" t="n">
        <v>5.173825485596058</v>
      </c>
      <c r="Y2031" s="48" t="n">
        <v>5.301501436969102</v>
      </c>
      <c r="Z2031" s="48" t="n">
        <v>5.429177388342145</v>
      </c>
      <c r="AA2031" s="48" t="n">
        <v>5.55685333971519</v>
      </c>
      <c r="AB2031" s="48" t="n">
        <v>5.684529291088234</v>
      </c>
      <c r="AC2031" s="48" t="n">
        <v>5.812205242461277</v>
      </c>
      <c r="AD2031" s="48" t="n">
        <v>3.019347</v>
      </c>
      <c r="AE2031" s="48" t="n">
        <v>3.06905</v>
      </c>
      <c r="AF2031" s="48" t="n">
        <v>2.528527</v>
      </c>
      <c r="AG2031" s="48" t="n">
        <v>2.129911</v>
      </c>
      <c r="AH2031" s="48" t="n">
        <v>3.716119</v>
      </c>
    </row>
    <row r="2032">
      <c r="A2032" s="3" t="str">
        <f>$B2032&amp;"|"&amp;$C2032</f>
        <v>IEA|nga.eur</v>
      </c>
      <c r="B2032" s="3" t="inlineStr">
        <is>
          <t>IEA</t>
        </is>
      </c>
      <c r="C2032" s="3" t="inlineStr">
        <is>
          <t>nga.eur</t>
        </is>
      </c>
      <c r="D2032" s="3" t="inlineStr">
        <is>
          <t>Natural Gas - Europe</t>
        </is>
      </c>
      <c r="E2032" s="3" t="inlineStr">
        <is>
          <t>$/MMBtu nom</t>
        </is>
      </c>
      <c r="F2032" s="3" t="inlineStr">
        <is>
          <t>data</t>
        </is>
      </c>
      <c r="G2032" s="8" t="n">
        <v>39</v>
      </c>
      <c r="H2032" s="8" t="n">
        <v>36</v>
      </c>
      <c r="I2032" s="8" t="n">
        <v>2100</v>
      </c>
      <c r="J2032" s="48" t="n">
        <v>15.907363</v>
      </c>
      <c r="K2032" s="48" t="n">
        <v>37.519835</v>
      </c>
      <c r="L2032" s="48" t="n">
        <v>12.883181</v>
      </c>
      <c r="M2032" s="48" t="n">
        <v>10.891141</v>
      </c>
      <c r="N2032" s="48" t="n">
        <v>10.3357968690919</v>
      </c>
      <c r="O2032" s="48" t="n">
        <v>9.780452738183799</v>
      </c>
      <c r="P2032" s="48" t="n">
        <v>9.225108607275699</v>
      </c>
      <c r="Q2032" s="48" t="n">
        <v>8.669764476367599</v>
      </c>
      <c r="R2032" s="48" t="n">
        <v>8.114420345459498</v>
      </c>
      <c r="S2032" s="48" t="n">
        <v>7.559076214551397</v>
      </c>
      <c r="T2032" s="48" t="n">
        <v>7.880552979503713</v>
      </c>
      <c r="U2032" s="48" t="n">
        <v>8.202029744456031</v>
      </c>
      <c r="V2032" s="48" t="n">
        <v>8.523506509408348</v>
      </c>
      <c r="W2032" s="48" t="n">
        <v>8.844983274360665</v>
      </c>
      <c r="X2032" s="48" t="n">
        <v>9.16646003931298</v>
      </c>
      <c r="Y2032" s="48" t="n">
        <v>9.487936804265297</v>
      </c>
      <c r="Z2032" s="48" t="n">
        <v>9.809413569217615</v>
      </c>
      <c r="AA2032" s="48" t="n">
        <v>10.13089033416993</v>
      </c>
      <c r="AB2032" s="48" t="n">
        <v>10.45236709912225</v>
      </c>
      <c r="AC2032" s="48" t="n">
        <v>10.77384386407456</v>
      </c>
      <c r="AD2032" s="48" t="n">
        <v>5.744051</v>
      </c>
      <c r="AE2032" s="48" t="n">
        <v>7.916094</v>
      </c>
      <c r="AF2032" s="48" t="n">
        <v>4.454858</v>
      </c>
      <c r="AG2032" s="48" t="n">
        <v>3.17823</v>
      </c>
      <c r="AH2032" s="48" t="n">
        <v>15.907363</v>
      </c>
    </row>
    <row r="2033">
      <c r="A2033" s="3" t="str">
        <f>$B2033&amp;"|"&amp;$C2033</f>
        <v>IEA|nga.glo</v>
      </c>
      <c r="B2033" s="3" t="inlineStr">
        <is>
          <t>IEA</t>
        </is>
      </c>
      <c r="C2033" s="3" t="inlineStr">
        <is>
          <t>nga.glo</t>
        </is>
      </c>
      <c r="D2033" s="3" t="inlineStr">
        <is>
          <t>Natural gas - Global</t>
        </is>
      </c>
      <c r="E2033" s="3" t="inlineStr">
        <is>
          <t>$/MMBtu nom</t>
        </is>
      </c>
      <c r="F2033" s="3" t="inlineStr">
        <is>
          <t>glo</t>
        </is>
      </c>
      <c r="G2033" s="3" t="n"/>
      <c r="H2033" s="3" t="n"/>
      <c r="I2033" s="3" t="n"/>
      <c r="J2033" s="48">
        <f t="shared" ref="J2033:AH2033" si="96">IFERROR(AVERAGE(J2030:J2032),"NA")</f>
        <v>12.741316333333332</v>
      </c>
      <c r="K2033" s="48">
        <f t="shared" si="96"/>
        <v>25.777717666666664</v>
      </c>
      <c r="L2033" s="48">
        <f t="shared" si="96"/>
        <v>9.672712666666667</v>
      </c>
      <c r="M2033" s="48">
        <f t="shared" si="96"/>
        <v>8.339211666666666</v>
      </c>
      <c r="N2033" s="48">
        <f t="shared" si="96"/>
        <v>8.157503100103513</v>
      </c>
      <c r="O2033" s="48">
        <f t="shared" si="96"/>
        <v>7.975794533540363</v>
      </c>
      <c r="P2033" s="48">
        <f t="shared" si="96"/>
        <v>7.794085966977209</v>
      </c>
      <c r="Q2033" s="48">
        <f t="shared" si="96"/>
        <v>7.612377400414055</v>
      </c>
      <c r="R2033" s="48">
        <f t="shared" si="96"/>
        <v>7.430668833850903</v>
      </c>
      <c r="S2033" s="48">
        <f t="shared" si="96"/>
        <v>7.2489602672877504</v>
      </c>
      <c r="T2033" s="48">
        <f t="shared" si="96"/>
        <v>7.492765114302522</v>
      </c>
      <c r="U2033" s="48">
        <f t="shared" si="96"/>
        <v>7.736569961317293</v>
      </c>
      <c r="V2033" s="48">
        <f t="shared" si="96"/>
        <v>7.980374808332066</v>
      </c>
      <c r="W2033" s="48">
        <f t="shared" si="96"/>
        <v>8.224179655346836</v>
      </c>
      <c r="X2033" s="48">
        <f t="shared" si="96"/>
        <v>8.467984502361606</v>
      </c>
      <c r="Y2033" s="48">
        <f t="shared" si="96"/>
        <v>8.71178934937638</v>
      </c>
      <c r="Z2033" s="48">
        <f t="shared" si="96"/>
        <v>8.95559419639115</v>
      </c>
      <c r="AA2033" s="48">
        <f t="shared" si="96"/>
        <v>9.19939904340592</v>
      </c>
      <c r="AB2033" s="48">
        <f t="shared" si="96"/>
        <v>9.443203890420696</v>
      </c>
      <c r="AC2033" s="48">
        <f t="shared" si="96"/>
        <v>9.687008737435463</v>
      </c>
      <c r="AD2033" s="48">
        <f t="shared" si="96"/>
        <v>5.336947666666667</v>
      </c>
      <c r="AE2033" s="48">
        <f t="shared" si="96"/>
        <v>6.926853</v>
      </c>
      <c r="AF2033" s="48">
        <f t="shared" si="96"/>
        <v>4.1426696666666665</v>
      </c>
      <c r="AG2033" s="48">
        <f t="shared" si="96"/>
        <v>3.2248550000000002</v>
      </c>
      <c r="AH2033" s="48">
        <f t="shared" si="96"/>
        <v>12.741316333333332</v>
      </c>
    </row>
    <row r="2034">
      <c r="A2034" s="3" t="str">
        <f>$B2034&amp;"|"&amp;$C2034</f>
        <v>IEA|nga.eus</v>
      </c>
      <c r="B2034" s="3" t="inlineStr">
        <is>
          <t>IEA</t>
        </is>
      </c>
      <c r="C2034" s="3" t="inlineStr">
        <is>
          <t>nga.eus</t>
        </is>
      </c>
      <c r="D2034" s="3" t="inlineStr">
        <is>
          <t>Natural Gas - Europe with the shift to LNG (legacy row 706, share row 699)</t>
        </is>
      </c>
      <c r="E2034" s="3" t="inlineStr">
        <is>
          <t>$/MMBtu nom</t>
        </is>
      </c>
      <c r="F2034" s="3" t="inlineStr">
        <is>
          <t>eus</t>
        </is>
      </c>
      <c r="G2034" s="3" t="n"/>
      <c r="H2034" s="3" t="n"/>
      <c r="I2034" s="3" t="n"/>
      <c r="J2034" s="48">
        <f t="shared" ref="J2034:AH2034" si="97">IFERROR(J2032*(1-J$2011)+J2030*J$2011,"NA")</f>
        <v>15.907363</v>
      </c>
      <c r="K2034" s="48">
        <f t="shared" si="97"/>
        <v>35.07060346</v>
      </c>
      <c r="L2034" s="48">
        <f t="shared" si="97"/>
        <v>13.233116372</v>
      </c>
      <c r="M2034" s="48">
        <f t="shared" si="97"/>
        <v>11.491102324</v>
      </c>
      <c r="N2034" s="48">
        <f t="shared" si="97"/>
        <v>11.194846426612013</v>
      </c>
      <c r="O2034" s="48">
        <f t="shared" si="97"/>
        <v>10.816851929224036</v>
      </c>
      <c r="P2034" s="48">
        <f t="shared" si="97"/>
        <v>10.43885743183605</v>
      </c>
      <c r="Q2034" s="48">
        <f t="shared" si="97"/>
        <v>10.060862934448066</v>
      </c>
      <c r="R2034" s="48">
        <f t="shared" si="97"/>
        <v>9.682868437060083</v>
      </c>
      <c r="S2034" s="48">
        <f t="shared" si="97"/>
        <v>9.304873939672099</v>
      </c>
      <c r="T2034" s="48">
        <f t="shared" si="97"/>
        <v>9.59364544446979</v>
      </c>
      <c r="U2034" s="48">
        <f t="shared" si="97"/>
        <v>9.88241694926748</v>
      </c>
      <c r="V2034" s="48">
        <f t="shared" si="97"/>
        <v>10.171188454065177</v>
      </c>
      <c r="W2034" s="48">
        <f t="shared" si="97"/>
        <v>10.459959958862866</v>
      </c>
      <c r="X2034" s="48">
        <f t="shared" si="97"/>
        <v>10.748731463660555</v>
      </c>
      <c r="Y2034" s="48">
        <f t="shared" si="97"/>
        <v>11.037502968458252</v>
      </c>
      <c r="Z2034" s="48">
        <f t="shared" si="97"/>
        <v>11.326274473255943</v>
      </c>
      <c r="AA2034" s="48">
        <f t="shared" si="97"/>
        <v>11.615045978053631</v>
      </c>
      <c r="AB2034" s="48">
        <f t="shared" si="97"/>
        <v>11.903817482851327</v>
      </c>
      <c r="AC2034" s="48">
        <f t="shared" si="97"/>
        <v>12.192588987649017</v>
      </c>
      <c r="AD2034" s="48">
        <f t="shared" si="97"/>
        <v>6.997881596</v>
      </c>
      <c r="AE2034" s="48">
        <f t="shared" si="97"/>
        <v>9.483447714</v>
      </c>
      <c r="AF2034" s="48">
        <f t="shared" si="97"/>
        <v>5.2803228440000005</v>
      </c>
      <c r="AG2034" s="48">
        <f t="shared" si="97"/>
        <v>4.169183796</v>
      </c>
      <c r="AH2034" s="48">
        <f t="shared" si="97"/>
        <v>18.153411736</v>
      </c>
    </row>
    <row r="2035">
      <c r="A2035" s="3" t="str">
        <f>$B2035&amp;"|"&amp;$C2035</f>
        <v>EIA|oil</v>
      </c>
      <c r="B2035" s="3" t="inlineStr">
        <is>
          <t>EIA</t>
        </is>
      </c>
      <c r="C2035" s="3" t="inlineStr">
        <is>
          <t>oil</t>
        </is>
      </c>
      <c r="D2035" s="3" t="inlineStr">
        <is>
          <t>Crude Oil</t>
        </is>
      </c>
      <c r="E2035" s="3" t="inlineStr">
        <is>
          <t>$/bbl nom</t>
        </is>
      </c>
      <c r="F2035" s="3" t="inlineStr">
        <is>
          <t>trend</t>
        </is>
      </c>
      <c r="G2035" s="8" t="n">
        <v>50</v>
      </c>
      <c r="H2035" s="8" t="n">
        <v>49</v>
      </c>
      <c r="I2035" s="8" t="n">
        <v>2051</v>
      </c>
      <c r="J2035" s="48" t="n">
        <v>70.83150000000001</v>
      </c>
      <c r="K2035" s="48" t="n">
        <v>102.129997</v>
      </c>
      <c r="L2035" s="48" t="n">
        <v>95.329002</v>
      </c>
      <c r="M2035" s="48" t="n">
        <v>98.708405</v>
      </c>
      <c r="N2035" s="48" t="n">
        <v>94.878891</v>
      </c>
      <c r="O2035" s="48" t="n">
        <v>97.83047500000001</v>
      </c>
      <c r="P2035" s="48" t="n">
        <v>100.425552</v>
      </c>
      <c r="Q2035" s="48" t="n">
        <v>103.260544</v>
      </c>
      <c r="R2035" s="48" t="n">
        <v>106.227829</v>
      </c>
      <c r="S2035" s="48" t="n">
        <v>109.439186</v>
      </c>
      <c r="T2035" s="48" t="n">
        <v>112.639786</v>
      </c>
      <c r="U2035" s="48" t="n">
        <v>116.265869</v>
      </c>
      <c r="V2035" s="48" t="n">
        <v>119.618378</v>
      </c>
      <c r="W2035" s="48" t="n">
        <v>123.399551</v>
      </c>
      <c r="X2035" s="48" t="n">
        <v>127.457848</v>
      </c>
      <c r="Y2035" s="48" t="n">
        <v>131.215973</v>
      </c>
      <c r="Z2035" s="48" t="n">
        <v>135.083923</v>
      </c>
      <c r="AA2035" s="48" t="n">
        <v>138.850723</v>
      </c>
      <c r="AB2035" s="48" t="n">
        <v>142.697296</v>
      </c>
      <c r="AC2035" s="48" t="n">
        <v>146.678238</v>
      </c>
      <c r="AD2035" s="48" t="n">
        <v>150.81691</v>
      </c>
      <c r="AE2035" s="48" t="n">
        <v>154.928268</v>
      </c>
      <c r="AF2035" s="48" t="n">
        <v>159.093475</v>
      </c>
      <c r="AG2035" s="48" t="n">
        <v>163.571487</v>
      </c>
      <c r="AH2035" s="48" t="n">
        <v>167.987595</v>
      </c>
    </row>
    <row r="2036">
      <c r="A2036" s="3" t="str">
        <f>$B2036&amp;"|"&amp;$C2036</f>
        <v>EIA|coa</v>
      </c>
      <c r="B2036" s="3" t="inlineStr">
        <is>
          <t>EIA</t>
        </is>
      </c>
      <c r="C2036" s="3" t="inlineStr">
        <is>
          <t>coa</t>
        </is>
      </c>
      <c r="D2036" s="3" t="inlineStr">
        <is>
          <t>Coal</t>
        </is>
      </c>
      <c r="E2036" s="3" t="inlineStr">
        <is>
          <t>$/ton nom</t>
        </is>
      </c>
      <c r="F2036" s="3" t="inlineStr">
        <is>
          <t>trend</t>
        </is>
      </c>
      <c r="G2036" s="8" t="n">
        <v>51</v>
      </c>
      <c r="H2036" s="8" t="n">
        <v>49</v>
      </c>
      <c r="I2036" s="8" t="n">
        <v>2041</v>
      </c>
      <c r="J2036" s="48" t="n">
        <v>143.984744</v>
      </c>
      <c r="K2036" s="48" t="n">
        <v>121.4953263754496</v>
      </c>
      <c r="L2036" s="48" t="n">
        <v>123.3101185654207</v>
      </c>
      <c r="M2036" s="48" t="n">
        <v>132.7172859651381</v>
      </c>
      <c r="N2036" s="48" t="n">
        <v>136.8789462683526</v>
      </c>
      <c r="O2036" s="48" t="n">
        <v>148.1173610735664</v>
      </c>
      <c r="P2036" s="48" t="n">
        <v>164.7627264911876</v>
      </c>
      <c r="Q2036" s="48" t="n">
        <v>173.84431264902</v>
      </c>
      <c r="R2036" s="48" t="n">
        <v>177.5080927236918</v>
      </c>
      <c r="S2036" s="48" t="n">
        <v>188.2118799606094</v>
      </c>
      <c r="T2036" s="48" t="n">
        <v>205.676116718544</v>
      </c>
      <c r="U2036" s="48" t="n">
        <v>201.9020397118767</v>
      </c>
      <c r="V2036" s="48" t="n">
        <v>206.578567419714</v>
      </c>
      <c r="W2036" s="48" t="n">
        <v>211.65033398908</v>
      </c>
      <c r="X2036" s="48" t="n">
        <v>218.5087353643224</v>
      </c>
      <c r="Y2036" s="48" t="n">
        <v>228.8590720485948</v>
      </c>
      <c r="Z2036" s="48" t="n">
        <v>241.1093827663188</v>
      </c>
      <c r="AA2036" s="48" t="n">
        <v>263.494994594075</v>
      </c>
      <c r="AB2036" s="48" t="n">
        <v>271.582250610852</v>
      </c>
      <c r="AC2036" s="48" t="n">
        <v>288.1960733440866</v>
      </c>
      <c r="AD2036" s="48" t="n">
        <v>305.8262331361331</v>
      </c>
      <c r="AE2036" s="48" t="n">
        <v>324.534903577844</v>
      </c>
      <c r="AF2036" s="48" t="n">
        <v>344.3880616787963</v>
      </c>
      <c r="AG2036" s="48" t="n">
        <v>365.4557205383299</v>
      </c>
      <c r="AH2036" s="48" t="n">
        <v>387.8121762500484</v>
      </c>
    </row>
    <row r="2037">
      <c r="A2037" s="3" t="str">
        <f>$B2037&amp;"|"&amp;$C2037</f>
        <v>EIA|nga.lng</v>
      </c>
      <c r="B2037" s="3" t="inlineStr">
        <is>
          <t>EIA</t>
        </is>
      </c>
      <c r="C2037" s="3" t="inlineStr">
        <is>
          <t>nga.lng</t>
        </is>
      </c>
      <c r="D2037" s="3" t="inlineStr">
        <is>
          <t>Natural Gas - LNG</t>
        </is>
      </c>
      <c r="E2037" s="3" t="inlineStr">
        <is>
          <t>$/MMBtu nom</t>
        </is>
      </c>
      <c r="F2037" s="3" t="inlineStr">
        <is>
          <t>IEA</t>
        </is>
      </c>
      <c r="G2037" s="3" t="n"/>
      <c r="H2037" s="3" t="n"/>
      <c r="I2037" s="3" t="n"/>
      <c r="J2037" s="48">
        <f t="shared" ref="J2037:AH2037" si="98">J2030</f>
        <v>18.600467</v>
      </c>
      <c r="K2037" s="48">
        <f t="shared" si="98"/>
        <v>33.297022</v>
      </c>
      <c r="L2037" s="48">
        <f t="shared" si="98"/>
        <v>13.463505</v>
      </c>
      <c r="M2037" s="48">
        <f t="shared" si="98"/>
        <v>11.708527</v>
      </c>
      <c r="N2037" s="48">
        <f t="shared" si="98"/>
        <v>11.3658323097635</v>
      </c>
      <c r="O2037" s="48">
        <f t="shared" si="98"/>
        <v>11.02313761952701</v>
      </c>
      <c r="P2037" s="48">
        <f t="shared" si="98"/>
        <v>10.68044292929051</v>
      </c>
      <c r="Q2037" s="48">
        <f t="shared" si="98"/>
        <v>10.33774823905401</v>
      </c>
      <c r="R2037" s="48">
        <f t="shared" si="98"/>
        <v>9.995053548817513</v>
      </c>
      <c r="S2037" s="48">
        <f t="shared" si="98"/>
        <v>9.652358858581016</v>
      </c>
      <c r="T2037" s="48">
        <f t="shared" si="98"/>
        <v>9.934620683299968</v>
      </c>
      <c r="U2037" s="48">
        <f t="shared" si="98"/>
        <v>10.21688250801892</v>
      </c>
      <c r="V2037" s="48">
        <f t="shared" si="98"/>
        <v>10.49914433273788</v>
      </c>
      <c r="W2037" s="48">
        <f t="shared" si="98"/>
        <v>10.78140615745683</v>
      </c>
      <c r="X2037" s="48">
        <f t="shared" si="98"/>
        <v>11.06366798217578</v>
      </c>
      <c r="Y2037" s="48">
        <f t="shared" si="98"/>
        <v>11.34592980689474</v>
      </c>
      <c r="Z2037" s="48">
        <f t="shared" si="98"/>
        <v>11.62819163161369</v>
      </c>
      <c r="AA2037" s="48">
        <f t="shared" si="98"/>
        <v>11.91045345633264</v>
      </c>
      <c r="AB2037" s="48">
        <f t="shared" si="98"/>
        <v>12.1927152810516</v>
      </c>
      <c r="AC2037" s="48">
        <f t="shared" si="98"/>
        <v>12.47497710577055</v>
      </c>
      <c r="AD2037" s="48">
        <f t="shared" si="98"/>
        <v>7.247445</v>
      </c>
      <c r="AE2037" s="48">
        <f t="shared" si="98"/>
        <v>9.795415</v>
      </c>
      <c r="AF2037" s="48">
        <f t="shared" si="98"/>
        <v>5.444624</v>
      </c>
      <c r="AG2037" s="48">
        <f t="shared" si="98"/>
        <v>4.366424</v>
      </c>
      <c r="AH2037" s="48">
        <f t="shared" si="98"/>
        <v>18.600467</v>
      </c>
    </row>
    <row r="2038">
      <c r="A2038" s="3" t="str">
        <f>$B2038&amp;"|"&amp;$C2038</f>
        <v>EIA|nga.nam</v>
      </c>
      <c r="B2038" s="3" t="inlineStr">
        <is>
          <t>EIA</t>
        </is>
      </c>
      <c r="C2038" s="3" t="inlineStr">
        <is>
          <t>nga.nam</t>
        </is>
      </c>
      <c r="D2038" s="3" t="inlineStr">
        <is>
          <t>Natural Gas - North Am</t>
        </is>
      </c>
      <c r="E2038" s="3" t="inlineStr">
        <is>
          <t>$/MMBtu nom</t>
        </is>
      </c>
      <c r="F2038" s="3" t="inlineStr">
        <is>
          <t>trend</t>
        </is>
      </c>
      <c r="G2038" s="8" t="n">
        <v>53</v>
      </c>
      <c r="H2038" s="8" t="n">
        <v>49</v>
      </c>
      <c r="I2038" s="8" t="n">
        <v>2051</v>
      </c>
      <c r="J2038" s="48" t="n">
        <v>3.716119</v>
      </c>
      <c r="K2038" s="48" t="n">
        <v>6.523997</v>
      </c>
      <c r="L2038" s="48" t="n">
        <v>5.48408</v>
      </c>
      <c r="M2038" s="48" t="n">
        <v>4.344237</v>
      </c>
      <c r="N2038" s="48" t="n">
        <v>3.803406</v>
      </c>
      <c r="O2038" s="48" t="n">
        <v>3.4125</v>
      </c>
      <c r="P2038" s="48" t="n">
        <v>3.244545</v>
      </c>
      <c r="Q2038" s="48" t="n">
        <v>3.252955</v>
      </c>
      <c r="R2038" s="48" t="n">
        <v>3.354208</v>
      </c>
      <c r="S2038" s="48" t="n">
        <v>3.535144</v>
      </c>
      <c r="T2038" s="48" t="n">
        <v>3.779019</v>
      </c>
      <c r="U2038" s="48" t="n">
        <v>4.074234</v>
      </c>
      <c r="V2038" s="48" t="n">
        <v>4.442329</v>
      </c>
      <c r="W2038" s="48" t="n">
        <v>4.751782</v>
      </c>
      <c r="X2038" s="48" t="n">
        <v>5.016179</v>
      </c>
      <c r="Y2038" s="48" t="n">
        <v>5.148898</v>
      </c>
      <c r="Z2038" s="48" t="n">
        <v>5.326049</v>
      </c>
      <c r="AA2038" s="48" t="n">
        <v>5.631648</v>
      </c>
      <c r="AB2038" s="48" t="n">
        <v>5.639552</v>
      </c>
      <c r="AC2038" s="48" t="n">
        <v>5.992483</v>
      </c>
      <c r="AD2038" s="48" t="n">
        <v>6.257671</v>
      </c>
      <c r="AE2038" s="48" t="n">
        <v>6.387211</v>
      </c>
      <c r="AF2038" s="48" t="n">
        <v>6.429273</v>
      </c>
      <c r="AG2038" s="48" t="n">
        <v>6.516381</v>
      </c>
      <c r="AH2038" s="48" t="n">
        <v>6.663004</v>
      </c>
    </row>
    <row r="2039">
      <c r="A2039" s="3" t="str">
        <f>$B2039&amp;"|"&amp;$C2039</f>
        <v>EIA|nga.eur</v>
      </c>
      <c r="B2039" s="3" t="inlineStr">
        <is>
          <t>EIA</t>
        </is>
      </c>
      <c r="C2039" s="3" t="inlineStr">
        <is>
          <t>nga.eur</t>
        </is>
      </c>
      <c r="D2039" s="3" t="inlineStr">
        <is>
          <t>Natural Gas - Europe</t>
        </is>
      </c>
      <c r="E2039" s="3" t="inlineStr">
        <is>
          <t>$/MMBtu nom</t>
        </is>
      </c>
      <c r="F2039" s="3" t="inlineStr">
        <is>
          <t>IEA</t>
        </is>
      </c>
      <c r="G2039" s="3" t="n"/>
      <c r="H2039" s="3" t="n"/>
      <c r="I2039" s="3" t="n"/>
      <c r="J2039" s="48">
        <f t="shared" ref="J2039:AH2039" si="99">J2032</f>
        <v>15.907363</v>
      </c>
      <c r="K2039" s="48">
        <f t="shared" si="99"/>
        <v>37.519835</v>
      </c>
      <c r="L2039" s="48">
        <f t="shared" si="99"/>
        <v>12.883181</v>
      </c>
      <c r="M2039" s="48">
        <f t="shared" si="99"/>
        <v>10.891141</v>
      </c>
      <c r="N2039" s="48">
        <f t="shared" si="99"/>
        <v>10.3357968690919</v>
      </c>
      <c r="O2039" s="48">
        <f t="shared" si="99"/>
        <v>9.780452738183799</v>
      </c>
      <c r="P2039" s="48">
        <f t="shared" si="99"/>
        <v>9.225108607275699</v>
      </c>
      <c r="Q2039" s="48">
        <f t="shared" si="99"/>
        <v>8.669764476367599</v>
      </c>
      <c r="R2039" s="48">
        <f t="shared" si="99"/>
        <v>8.114420345459498</v>
      </c>
      <c r="S2039" s="48">
        <f t="shared" si="99"/>
        <v>7.559076214551397</v>
      </c>
      <c r="T2039" s="48">
        <f t="shared" si="99"/>
        <v>7.880552979503713</v>
      </c>
      <c r="U2039" s="48">
        <f t="shared" si="99"/>
        <v>8.20202974445603</v>
      </c>
      <c r="V2039" s="48">
        <f t="shared" si="99"/>
        <v>8.523506509408348</v>
      </c>
      <c r="W2039" s="48">
        <f t="shared" si="99"/>
        <v>8.844983274360665</v>
      </c>
      <c r="X2039" s="48">
        <f t="shared" si="99"/>
        <v>9.16646003931298</v>
      </c>
      <c r="Y2039" s="48">
        <f t="shared" si="99"/>
        <v>9.487936804265297</v>
      </c>
      <c r="Z2039" s="48">
        <f t="shared" si="99"/>
        <v>9.809413569217615</v>
      </c>
      <c r="AA2039" s="48">
        <f t="shared" si="99"/>
        <v>10.13089033416993</v>
      </c>
      <c r="AB2039" s="48">
        <f t="shared" si="99"/>
        <v>10.45236709912225</v>
      </c>
      <c r="AC2039" s="48">
        <f t="shared" si="99"/>
        <v>10.77384386407456</v>
      </c>
      <c r="AD2039" s="48">
        <f t="shared" si="99"/>
        <v>5.744051</v>
      </c>
      <c r="AE2039" s="48">
        <f t="shared" si="99"/>
        <v>7.916094</v>
      </c>
      <c r="AF2039" s="48">
        <f t="shared" si="99"/>
        <v>4.454858</v>
      </c>
      <c r="AG2039" s="48">
        <f t="shared" si="99"/>
        <v>3.17823</v>
      </c>
      <c r="AH2039" s="48">
        <f t="shared" si="99"/>
        <v>15.907363</v>
      </c>
    </row>
    <row r="2040">
      <c r="A2040" s="3" t="str">
        <f>$B2040&amp;"|"&amp;$C2040</f>
        <v>EIA|nga.glo</v>
      </c>
      <c r="B2040" s="3" t="inlineStr">
        <is>
          <t>EIA</t>
        </is>
      </c>
      <c r="C2040" s="3" t="inlineStr">
        <is>
          <t>nga.glo</t>
        </is>
      </c>
      <c r="D2040" s="3" t="inlineStr">
        <is>
          <t>Natural gas - Global</t>
        </is>
      </c>
      <c r="E2040" s="3" t="inlineStr">
        <is>
          <t>$/MMBtu nom</t>
        </is>
      </c>
      <c r="F2040" s="3" t="inlineStr">
        <is>
          <t>glo</t>
        </is>
      </c>
      <c r="G2040" s="3" t="n"/>
      <c r="H2040" s="3" t="n"/>
      <c r="I2040" s="3" t="n"/>
      <c r="J2040" s="48">
        <f t="shared" ref="J2040:AH2040" si="100">IFERROR(AVERAGE(J2037:J2039),"NA")</f>
        <v>12.741316333333332</v>
      </c>
      <c r="K2040" s="48">
        <f t="shared" si="100"/>
        <v>25.780284666666663</v>
      </c>
      <c r="L2040" s="48">
        <f t="shared" si="100"/>
        <v>10.610255333333333</v>
      </c>
      <c r="M2040" s="48">
        <f t="shared" si="100"/>
        <v>8.981301666666667</v>
      </c>
      <c r="N2040" s="48">
        <f t="shared" si="100"/>
        <v>8.501678392951801</v>
      </c>
      <c r="O2040" s="48">
        <f t="shared" si="100"/>
        <v>8.072030119236937</v>
      </c>
      <c r="P2040" s="48">
        <f t="shared" si="100"/>
        <v>7.71669884552207</v>
      </c>
      <c r="Q2040" s="48">
        <f t="shared" si="100"/>
        <v>7.420155905140536</v>
      </c>
      <c r="R2040" s="48">
        <f t="shared" si="100"/>
        <v>7.15456063142567</v>
      </c>
      <c r="S2040" s="48">
        <f t="shared" si="100"/>
        <v>6.915526357710804</v>
      </c>
      <c r="T2040" s="48">
        <f t="shared" si="100"/>
        <v>7.198064220934561</v>
      </c>
      <c r="U2040" s="48">
        <f t="shared" si="100"/>
        <v>7.4977154174916505</v>
      </c>
      <c r="V2040" s="48">
        <f t="shared" si="100"/>
        <v>7.821659947382076</v>
      </c>
      <c r="W2040" s="48">
        <f t="shared" si="100"/>
        <v>8.126057143939166</v>
      </c>
      <c r="X2040" s="48">
        <f t="shared" si="100"/>
        <v>8.415435673829586</v>
      </c>
      <c r="Y2040" s="48">
        <f t="shared" si="100"/>
        <v>8.660921537053346</v>
      </c>
      <c r="Z2040" s="48">
        <f t="shared" si="100"/>
        <v>8.921218066943768</v>
      </c>
      <c r="AA2040" s="48">
        <f t="shared" si="100"/>
        <v>9.224330596834191</v>
      </c>
      <c r="AB2040" s="48">
        <f t="shared" si="100"/>
        <v>9.42821146005795</v>
      </c>
      <c r="AC2040" s="48">
        <f t="shared" si="100"/>
        <v>9.747101323281704</v>
      </c>
      <c r="AD2040" s="48">
        <f t="shared" si="100"/>
        <v>6.416389</v>
      </c>
      <c r="AE2040" s="48">
        <f t="shared" si="100"/>
        <v>8.032906666666667</v>
      </c>
      <c r="AF2040" s="48">
        <f t="shared" si="100"/>
        <v>5.442918333333334</v>
      </c>
      <c r="AG2040" s="48">
        <f t="shared" si="100"/>
        <v>4.687011666666667</v>
      </c>
      <c r="AH2040" s="48">
        <f t="shared" si="100"/>
        <v>13.723611333333332</v>
      </c>
    </row>
    <row r="2041">
      <c r="A2041" s="3" t="str">
        <f>$B2041&amp;"|"&amp;$C2041</f>
        <v>EIA|nga.eus</v>
      </c>
      <c r="B2041" s="3" t="inlineStr">
        <is>
          <t>EIA</t>
        </is>
      </c>
      <c r="C2041" s="3" t="inlineStr">
        <is>
          <t>nga.eus</t>
        </is>
      </c>
      <c r="D2041" s="3" t="inlineStr">
        <is>
          <t>Natural Gas - Europe with the shift to LNG (legacy row 706, share row 699)</t>
        </is>
      </c>
      <c r="E2041" s="3" t="inlineStr">
        <is>
          <t>$/MMBtu nom</t>
        </is>
      </c>
      <c r="F2041" s="3" t="inlineStr">
        <is>
          <t>eus</t>
        </is>
      </c>
      <c r="G2041" s="3" t="n"/>
      <c r="H2041" s="3" t="n"/>
      <c r="I2041" s="3" t="n"/>
      <c r="J2041" s="48">
        <f t="shared" ref="J2041:AH2041" si="101">IFERROR(J2039*(1-J$2011)+J2037*J$2011,"NA")</f>
        <v>15.907363</v>
      </c>
      <c r="K2041" s="48">
        <f t="shared" si="101"/>
        <v>35.07060346</v>
      </c>
      <c r="L2041" s="48">
        <f t="shared" si="101"/>
        <v>13.233116372</v>
      </c>
      <c r="M2041" s="48">
        <f t="shared" si="101"/>
        <v>11.491102324</v>
      </c>
      <c r="N2041" s="48">
        <f t="shared" si="101"/>
        <v>11.194846426612013</v>
      </c>
      <c r="O2041" s="48">
        <f t="shared" si="101"/>
        <v>10.816851929224036</v>
      </c>
      <c r="P2041" s="48">
        <f t="shared" si="101"/>
        <v>10.43885743183605</v>
      </c>
      <c r="Q2041" s="48">
        <f t="shared" si="101"/>
        <v>10.060862934448066</v>
      </c>
      <c r="R2041" s="48">
        <f t="shared" si="101"/>
        <v>9.682868437060083</v>
      </c>
      <c r="S2041" s="48">
        <f t="shared" si="101"/>
        <v>9.304873939672099</v>
      </c>
      <c r="T2041" s="48">
        <f t="shared" si="101"/>
        <v>9.59364544446979</v>
      </c>
      <c r="U2041" s="48">
        <f t="shared" si="101"/>
        <v>9.88241694926748</v>
      </c>
      <c r="V2041" s="48">
        <f t="shared" si="101"/>
        <v>10.171188454065177</v>
      </c>
      <c r="W2041" s="48">
        <f t="shared" si="101"/>
        <v>10.459959958862866</v>
      </c>
      <c r="X2041" s="48">
        <f t="shared" si="101"/>
        <v>10.748731463660555</v>
      </c>
      <c r="Y2041" s="48">
        <f t="shared" si="101"/>
        <v>11.037502968458252</v>
      </c>
      <c r="Z2041" s="48">
        <f t="shared" si="101"/>
        <v>11.326274473255943</v>
      </c>
      <c r="AA2041" s="48">
        <f t="shared" si="101"/>
        <v>11.615045978053631</v>
      </c>
      <c r="AB2041" s="48">
        <f t="shared" si="101"/>
        <v>11.903817482851327</v>
      </c>
      <c r="AC2041" s="48">
        <f t="shared" si="101"/>
        <v>12.192588987649017</v>
      </c>
      <c r="AD2041" s="48">
        <f t="shared" si="101"/>
        <v>6.997881596</v>
      </c>
      <c r="AE2041" s="48">
        <f t="shared" si="101"/>
        <v>9.483447714</v>
      </c>
      <c r="AF2041" s="48">
        <f t="shared" si="101"/>
        <v>5.2803228440000005</v>
      </c>
      <c r="AG2041" s="48">
        <f t="shared" si="101"/>
        <v>4.169183796</v>
      </c>
      <c r="AH2041" s="48">
        <f t="shared" si="101"/>
        <v>18.153411736</v>
      </c>
    </row>
    <row r="2042">
      <c r="A2042" s="3" t="str">
        <f>$B2042&amp;"|"&amp;$C2042</f>
        <v>AVG|oil</v>
      </c>
      <c r="B2042" s="3" t="inlineStr">
        <is>
          <t>AVG</t>
        </is>
      </c>
      <c r="C2042" s="3" t="inlineStr">
        <is>
          <t>oil</t>
        </is>
      </c>
      <c r="D2042" s="3" t="inlineStr">
        <is>
          <t>Crude Oil</t>
        </is>
      </c>
      <c r="E2042" s="3" t="inlineStr">
        <is>
          <t>$/bbl nom</t>
        </is>
      </c>
      <c r="F2042" s="3" t="inlineStr">
        <is>
          <t>avg</t>
        </is>
      </c>
      <c r="G2042" s="3" t="n"/>
      <c r="H2042" s="3" t="n"/>
      <c r="I2042" s="3" t="n"/>
      <c r="J2042" s="48">
        <f t="shared" ref="J2042:AH2042" si="102">IFERROR(AVERAGE(J2035,J2028,J2021,J2014),"NA")</f>
        <v>70.7344583333325</v>
      </c>
      <c r="K2042" s="48">
        <f t="shared" si="102"/>
        <v>99.9867049166675</v>
      </c>
      <c r="L2042" s="48">
        <f t="shared" si="102"/>
        <v>85.6469345</v>
      </c>
      <c r="M2042" s="48">
        <f t="shared" si="102"/>
        <v>84.80763741666749</v>
      </c>
      <c r="N2042" s="48">
        <f t="shared" si="102"/>
        <v>79.52722218236897</v>
      </c>
      <c r="O2042" s="48">
        <f t="shared" si="102"/>
        <v>83.47885736473795</v>
      </c>
      <c r="P2042" s="48">
        <f t="shared" si="102"/>
        <v>82.83755771540675</v>
      </c>
      <c r="Q2042" s="48">
        <f t="shared" si="102"/>
        <v>83.90606367003788</v>
      </c>
      <c r="R2042" s="48">
        <f t="shared" si="102"/>
        <v>85.4120391640808</v>
      </c>
      <c r="S2042" s="48">
        <f t="shared" si="102"/>
        <v>87.04656942687247</v>
      </c>
      <c r="T2042" s="48">
        <f t="shared" si="102"/>
        <v>88.5709278112559</v>
      </c>
      <c r="U2042" s="48">
        <f t="shared" si="102"/>
        <v>90.56586378321592</v>
      </c>
      <c r="V2042" s="48">
        <f t="shared" si="102"/>
        <v>92.49240625517594</v>
      </c>
      <c r="W2042" s="48">
        <f t="shared" si="102"/>
        <v>94.52611472713596</v>
      </c>
      <c r="X2042" s="48">
        <f t="shared" si="102"/>
        <v>96.62910419909599</v>
      </c>
      <c r="Y2042" s="48">
        <f t="shared" si="102"/>
        <v>98.65705067105598</v>
      </c>
      <c r="Z2042" s="48">
        <f t="shared" si="102"/>
        <v>100.712453393016</v>
      </c>
      <c r="AA2042" s="48">
        <f t="shared" si="102"/>
        <v>102.74256861497602</v>
      </c>
      <c r="AB2042" s="48">
        <f t="shared" si="102"/>
        <v>104.79262708693605</v>
      </c>
      <c r="AC2042" s="48">
        <f t="shared" si="102"/>
        <v>106.87627780889608</v>
      </c>
      <c r="AD2042" s="48">
        <f t="shared" si="102"/>
        <v>94.99997260451711</v>
      </c>
      <c r="AE2042" s="48">
        <f t="shared" si="102"/>
        <v>100.86554156901121</v>
      </c>
      <c r="AF2042" s="48">
        <f t="shared" si="102"/>
        <v>100.70962378350531</v>
      </c>
      <c r="AG2042" s="48">
        <f t="shared" si="102"/>
        <v>97.2692792479994</v>
      </c>
      <c r="AH2042" s="48">
        <f t="shared" si="102"/>
        <v>105.90403071249351</v>
      </c>
    </row>
    <row r="2043">
      <c r="A2043" s="3" t="str">
        <f>$B2043&amp;"|"&amp;$C2043</f>
        <v>AVG|coa</v>
      </c>
      <c r="B2043" s="3" t="inlineStr">
        <is>
          <t>AVG</t>
        </is>
      </c>
      <c r="C2043" s="3" t="inlineStr">
        <is>
          <t>coa</t>
        </is>
      </c>
      <c r="D2043" s="3" t="inlineStr">
        <is>
          <t>Coal</t>
        </is>
      </c>
      <c r="E2043" s="3" t="inlineStr">
        <is>
          <t>$/ton nom</t>
        </is>
      </c>
      <c r="F2043" s="3" t="inlineStr">
        <is>
          <t>avg</t>
        </is>
      </c>
      <c r="G2043" s="3" t="n"/>
      <c r="H2043" s="3" t="n"/>
      <c r="I2043" s="3" t="n"/>
      <c r="J2043" s="48">
        <f t="shared" ref="J2043:AH2043" si="103">IFERROR(AVERAGE(J2036,J2029,J2022,J2015),"NA")</f>
        <v>142.501058</v>
      </c>
      <c r="K2043" s="48">
        <f t="shared" si="103"/>
        <v>308.6820314271949</v>
      </c>
      <c r="L2043" s="48">
        <f t="shared" si="103"/>
        <v>168.09861330802266</v>
      </c>
      <c r="M2043" s="48">
        <f t="shared" si="103"/>
        <v>138.99167915795203</v>
      </c>
      <c r="N2043" s="48">
        <f t="shared" si="103"/>
        <v>120.43853106708815</v>
      </c>
      <c r="O2043" s="48">
        <f t="shared" si="103"/>
        <v>131.0800832683916</v>
      </c>
      <c r="P2043" s="48">
        <f t="shared" si="103"/>
        <v>139.60536748281746</v>
      </c>
      <c r="Q2043" s="48">
        <f t="shared" si="103"/>
        <v>142.3832948047412</v>
      </c>
      <c r="R2043" s="48">
        <f t="shared" si="103"/>
        <v>143.84903630918365</v>
      </c>
      <c r="S2043" s="48">
        <f t="shared" si="103"/>
        <v>147.03492594402948</v>
      </c>
      <c r="T2043" s="48">
        <f t="shared" si="103"/>
        <v>152.5585758984755</v>
      </c>
      <c r="U2043" s="48">
        <f t="shared" si="103"/>
        <v>153.40855241601284</v>
      </c>
      <c r="V2043" s="48">
        <f t="shared" si="103"/>
        <v>156.3711801121763</v>
      </c>
      <c r="W2043" s="48">
        <f t="shared" si="103"/>
        <v>159.43261752372192</v>
      </c>
      <c r="X2043" s="48">
        <f t="shared" si="103"/>
        <v>162.94071363673663</v>
      </c>
      <c r="Y2043" s="48">
        <f t="shared" si="103"/>
        <v>167.32179357700886</v>
      </c>
      <c r="Z2043" s="48">
        <f t="shared" si="103"/>
        <v>172.17786702564396</v>
      </c>
      <c r="AA2043" s="48">
        <f t="shared" si="103"/>
        <v>179.56776575178714</v>
      </c>
      <c r="AB2043" s="48">
        <f t="shared" si="103"/>
        <v>183.38307552518555</v>
      </c>
      <c r="AC2043" s="48">
        <f t="shared" si="103"/>
        <v>189.3300269776983</v>
      </c>
      <c r="AD2043" s="48">
        <f t="shared" si="103"/>
        <v>195.53106269491406</v>
      </c>
      <c r="AE2043" s="48">
        <f t="shared" si="103"/>
        <v>202.00172607454587</v>
      </c>
      <c r="AF2043" s="48">
        <f t="shared" si="103"/>
        <v>208.75851136898808</v>
      </c>
      <c r="AG2043" s="48">
        <f t="shared" si="103"/>
        <v>215.81892185307566</v>
      </c>
      <c r="AH2043" s="48">
        <f t="shared" si="103"/>
        <v>223.20153155020938</v>
      </c>
    </row>
    <row r="2044">
      <c r="A2044" s="3" t="str">
        <f>$B2044&amp;"|"&amp;$C2044</f>
        <v>AVG|nga.lng</v>
      </c>
      <c r="B2044" s="3" t="inlineStr">
        <is>
          <t>AVG</t>
        </is>
      </c>
      <c r="C2044" s="3" t="inlineStr">
        <is>
          <t>nga.lng</t>
        </is>
      </c>
      <c r="D2044" s="3" t="inlineStr">
        <is>
          <t>Natural Gas - LNG</t>
        </is>
      </c>
      <c r="E2044" s="3" t="inlineStr">
        <is>
          <t>$/MMBtu nom</t>
        </is>
      </c>
      <c r="F2044" s="3" t="inlineStr">
        <is>
          <t>avg</t>
        </is>
      </c>
      <c r="G2044" s="3" t="n"/>
      <c r="H2044" s="3" t="n"/>
      <c r="I2044" s="3" t="n"/>
      <c r="J2044" s="48">
        <f t="shared" ref="J2044:AH2044" si="104">IFERROR(AVERAGE(J2030,J2023,J2016),"NA")</f>
        <v>15.987527674613332</v>
      </c>
      <c r="K2044" s="48">
        <f t="shared" si="104"/>
        <v>28.340322946206665</v>
      </c>
      <c r="L2044" s="48">
        <f t="shared" si="104"/>
        <v>13.77137266556</v>
      </c>
      <c r="M2044" s="48">
        <f t="shared" si="104"/>
        <v>12.087089318876666</v>
      </c>
      <c r="N2044" s="48">
        <f t="shared" si="104"/>
        <v>12.317860769921166</v>
      </c>
      <c r="O2044" s="48">
        <f t="shared" si="104"/>
        <v>12.82443487317567</v>
      </c>
      <c r="P2044" s="48">
        <f t="shared" si="104"/>
        <v>11.983449239925497</v>
      </c>
      <c r="Q2044" s="48">
        <f t="shared" si="104"/>
        <v>10.90438840388883</v>
      </c>
      <c r="R2044" s="48">
        <f t="shared" si="104"/>
        <v>10.557253377901189</v>
      </c>
      <c r="S2044" s="48">
        <f t="shared" si="104"/>
        <v>10.480631786809091</v>
      </c>
      <c r="T2044" s="48">
        <f t="shared" si="104"/>
        <v>10.61045443600187</v>
      </c>
      <c r="U2044" s="48">
        <f t="shared" si="104"/>
        <v>10.833972504074033</v>
      </c>
      <c r="V2044" s="48">
        <f t="shared" si="104"/>
        <v>11.057490572146202</v>
      </c>
      <c r="W2044" s="48">
        <f t="shared" si="104"/>
        <v>11.281008640218365</v>
      </c>
      <c r="X2044" s="48">
        <f t="shared" si="104"/>
        <v>11.504526708290532</v>
      </c>
      <c r="Y2044" s="48">
        <f t="shared" si="104"/>
        <v>11.728044776362696</v>
      </c>
      <c r="Z2044" s="48">
        <f t="shared" si="104"/>
        <v>11.951562844434862</v>
      </c>
      <c r="AA2044" s="48">
        <f t="shared" si="104"/>
        <v>12.175080912507028</v>
      </c>
      <c r="AB2044" s="48">
        <f t="shared" si="104"/>
        <v>12.398598980579195</v>
      </c>
      <c r="AC2044" s="48">
        <f t="shared" si="104"/>
        <v>12.622117048651361</v>
      </c>
      <c r="AD2044" s="48">
        <f t="shared" si="104"/>
        <v>11.00903713989369</v>
      </c>
      <c r="AE2044" s="48">
        <f t="shared" si="104"/>
        <v>11.987791266392874</v>
      </c>
      <c r="AF2044" s="48">
        <f t="shared" si="104"/>
        <v>10.666958392892054</v>
      </c>
      <c r="AG2044" s="48">
        <f t="shared" si="104"/>
        <v>10.436989186057904</v>
      </c>
      <c r="AH2044" s="48">
        <f t="shared" si="104"/>
        <v>15.31110097922375</v>
      </c>
    </row>
    <row r="2045">
      <c r="A2045" s="3" t="str">
        <f>$B2045&amp;"|"&amp;$C2045</f>
        <v>AVG|nga.nam</v>
      </c>
      <c r="B2045" s="3" t="inlineStr">
        <is>
          <t>AVG</t>
        </is>
      </c>
      <c r="C2045" s="3" t="inlineStr">
        <is>
          <t>nga.nam</t>
        </is>
      </c>
      <c r="D2045" s="3" t="inlineStr">
        <is>
          <t>Natural Gas - North Am</t>
        </is>
      </c>
      <c r="E2045" s="3" t="inlineStr">
        <is>
          <t>$/MMBtu nom</t>
        </is>
      </c>
      <c r="F2045" s="3" t="inlineStr">
        <is>
          <t>avg</t>
        </is>
      </c>
      <c r="G2045" s="3" t="n"/>
      <c r="H2045" s="3" t="n"/>
      <c r="I2045" s="3" t="n"/>
      <c r="J2045" s="48">
        <f t="shared" ref="J2045:AH2045" si="105">IFERROR(AVERAGE(J2038,J2031,J2024,J2017),"NA")</f>
        <v>3.7499413333325</v>
      </c>
      <c r="K2045" s="48">
        <f t="shared" si="105"/>
        <v>6.4812264166675</v>
      </c>
      <c r="L2045" s="48">
        <f t="shared" si="105"/>
        <v>3.3411980833325</v>
      </c>
      <c r="M2045" s="48">
        <f t="shared" si="105"/>
        <v>2.8428198333325</v>
      </c>
      <c r="N2045" s="48">
        <f t="shared" si="105"/>
        <v>3.402256530363785</v>
      </c>
      <c r="O2045" s="48">
        <f t="shared" si="105"/>
        <v>3.44034506072757</v>
      </c>
      <c r="P2045" s="48">
        <f t="shared" si="105"/>
        <v>3.567124937587317</v>
      </c>
      <c r="Q2045" s="48">
        <f t="shared" si="105"/>
        <v>3.6538052274284634</v>
      </c>
      <c r="R2045" s="48">
        <f t="shared" si="105"/>
        <v>3.7684938311004923</v>
      </c>
      <c r="S2045" s="48">
        <f t="shared" si="105"/>
        <v>3.928279775319333</v>
      </c>
      <c r="T2045" s="48">
        <f t="shared" si="105"/>
        <v>4.041354442254188</v>
      </c>
      <c r="U2045" s="48">
        <f t="shared" si="105"/>
        <v>4.181316172738633</v>
      </c>
      <c r="V2045" s="48">
        <f t="shared" si="105"/>
        <v>4.339497903223079</v>
      </c>
      <c r="W2045" s="48">
        <f t="shared" si="105"/>
        <v>4.483019133707525</v>
      </c>
      <c r="X2045" s="48">
        <f t="shared" si="105"/>
        <v>4.6152763641919705</v>
      </c>
      <c r="Y2045" s="48">
        <f t="shared" si="105"/>
        <v>4.714614094676416</v>
      </c>
      <c r="Z2045" s="48">
        <f t="shared" si="105"/>
        <v>4.825059825160862</v>
      </c>
      <c r="AA2045" s="48">
        <f t="shared" si="105"/>
        <v>4.967617555645307</v>
      </c>
      <c r="AB2045" s="48">
        <f t="shared" si="105"/>
        <v>5.035751536129753</v>
      </c>
      <c r="AC2045" s="48">
        <f t="shared" si="105"/>
        <v>5.190142266614198</v>
      </c>
      <c r="AD2045" s="48">
        <f t="shared" si="105"/>
        <v>4.5924636986400635</v>
      </c>
      <c r="AE2045" s="48">
        <f t="shared" si="105"/>
        <v>4.671513441281248</v>
      </c>
      <c r="AF2045" s="48">
        <f t="shared" si="105"/>
        <v>4.581137183922433</v>
      </c>
      <c r="AG2045" s="48">
        <f t="shared" si="105"/>
        <v>4.5374991765636175</v>
      </c>
      <c r="AH2045" s="48">
        <f t="shared" si="105"/>
        <v>5.004945919204802</v>
      </c>
    </row>
    <row r="2046">
      <c r="A2046" s="3" t="str">
        <f>$B2046&amp;"|"&amp;$C2046</f>
        <v>AVG|nga.eur</v>
      </c>
      <c r="B2046" s="3" t="inlineStr">
        <is>
          <t>AVG</t>
        </is>
      </c>
      <c r="C2046" s="3" t="inlineStr">
        <is>
          <t>nga.eur</t>
        </is>
      </c>
      <c r="D2046" s="3" t="inlineStr">
        <is>
          <t>Natural Gas - Europe</t>
        </is>
      </c>
      <c r="E2046" s="3" t="inlineStr">
        <is>
          <t>$/MMBtu nom</t>
        </is>
      </c>
      <c r="F2046" s="3" t="inlineStr">
        <is>
          <t>avg</t>
        </is>
      </c>
      <c r="G2046" s="3" t="n"/>
      <c r="H2046" s="3" t="n"/>
      <c r="I2046" s="3" t="n"/>
      <c r="J2046" s="48">
        <f t="shared" ref="J2046:AH2046" si="106">IFERROR(AVERAGE(J2032,J2025,J2018),"NA")</f>
        <v>15.976867982793332</v>
      </c>
      <c r="K2046" s="48">
        <f t="shared" si="106"/>
        <v>38.45994238073333</v>
      </c>
      <c r="L2046" s="48">
        <f t="shared" si="106"/>
        <v>12.959921748733334</v>
      </c>
      <c r="M2046" s="48">
        <f t="shared" si="106"/>
        <v>10.914863844196667</v>
      </c>
      <c r="N2046" s="48">
        <f t="shared" si="106"/>
        <v>11.249396289697302</v>
      </c>
      <c r="O2046" s="48">
        <f t="shared" si="106"/>
        <v>11.6308545793946</v>
      </c>
      <c r="P2046" s="48">
        <f t="shared" si="106"/>
        <v>10.611712783761305</v>
      </c>
      <c r="Q2046" s="48">
        <f t="shared" si="106"/>
        <v>9.438570244454025</v>
      </c>
      <c r="R2046" s="48">
        <f t="shared" si="106"/>
        <v>8.958825532254593</v>
      </c>
      <c r="S2046" s="48">
        <f t="shared" si="106"/>
        <v>8.758041865367419</v>
      </c>
      <c r="T2046" s="48">
        <f t="shared" si="106"/>
        <v>8.955658221418814</v>
      </c>
      <c r="U2046" s="48">
        <f t="shared" si="106"/>
        <v>9.175045142464628</v>
      </c>
      <c r="V2046" s="48">
        <f t="shared" si="106"/>
        <v>9.394432063510438</v>
      </c>
      <c r="W2046" s="48">
        <f t="shared" si="106"/>
        <v>9.613818984556252</v>
      </c>
      <c r="X2046" s="48">
        <f t="shared" si="106"/>
        <v>9.833205905602064</v>
      </c>
      <c r="Y2046" s="48">
        <f t="shared" si="106"/>
        <v>10.052592826647873</v>
      </c>
      <c r="Z2046" s="48">
        <f t="shared" si="106"/>
        <v>10.271979747693686</v>
      </c>
      <c r="AA2046" s="48">
        <f t="shared" si="106"/>
        <v>10.491366668739497</v>
      </c>
      <c r="AB2046" s="48">
        <f t="shared" si="106"/>
        <v>10.71075358978531</v>
      </c>
      <c r="AC2046" s="48">
        <f t="shared" si="106"/>
        <v>10.930140510831121</v>
      </c>
      <c r="AD2046" s="48">
        <f t="shared" si="106"/>
        <v>9.365770888867972</v>
      </c>
      <c r="AE2046" s="48">
        <f t="shared" si="106"/>
        <v>10.202013221596347</v>
      </c>
      <c r="AF2046" s="48">
        <f t="shared" si="106"/>
        <v>9.160495887658051</v>
      </c>
      <c r="AG2046" s="48">
        <f t="shared" si="106"/>
        <v>8.847181220386426</v>
      </c>
      <c r="AH2046" s="48">
        <f t="shared" si="106"/>
        <v>13.2024535531148</v>
      </c>
    </row>
    <row r="2047">
      <c r="A2047" s="3" t="str">
        <f>$B2047&amp;"|"&amp;$C2047</f>
        <v>AVG|nga.glo</v>
      </c>
      <c r="B2047" s="3" t="inlineStr">
        <is>
          <t>AVG</t>
        </is>
      </c>
      <c r="C2047" s="3" t="inlineStr">
        <is>
          <t>nga.glo</t>
        </is>
      </c>
      <c r="D2047" s="3" t="inlineStr">
        <is>
          <t>Natural gas - Global</t>
        </is>
      </c>
      <c r="E2047" s="3" t="inlineStr">
        <is>
          <t>$/MMBtu nom</t>
        </is>
      </c>
      <c r="F2047" s="3" t="inlineStr">
        <is>
          <t>glo</t>
        </is>
      </c>
      <c r="G2047" s="3" t="n"/>
      <c r="H2047" s="3" t="n"/>
      <c r="I2047" s="3" t="n"/>
      <c r="J2047" s="48">
        <f t="shared" ref="J2047:AH2047" si="107">IFERROR(AVERAGE(J2044:J2046),"NA")</f>
        <v>11.904778996913054</v>
      </c>
      <c r="K2047" s="48">
        <f t="shared" si="107"/>
        <v>24.42716391453583</v>
      </c>
      <c r="L2047" s="48">
        <f t="shared" si="107"/>
        <v>10.024164165875279</v>
      </c>
      <c r="M2047" s="48">
        <f t="shared" si="107"/>
        <v>8.614924332135278</v>
      </c>
      <c r="N2047" s="48">
        <f t="shared" si="107"/>
        <v>8.989837863327418</v>
      </c>
      <c r="O2047" s="48">
        <f t="shared" si="107"/>
        <v>9.298544837765947</v>
      </c>
      <c r="P2047" s="48">
        <f t="shared" si="107"/>
        <v>8.720762320424706</v>
      </c>
      <c r="Q2047" s="48">
        <f t="shared" si="107"/>
        <v>7.998921291923772</v>
      </c>
      <c r="R2047" s="48">
        <f t="shared" si="107"/>
        <v>7.761524247085425</v>
      </c>
      <c r="S2047" s="48">
        <f t="shared" si="107"/>
        <v>7.722317809165282</v>
      </c>
      <c r="T2047" s="48">
        <f t="shared" si="107"/>
        <v>7.869155699891624</v>
      </c>
      <c r="U2047" s="48">
        <f t="shared" si="107"/>
        <v>8.063444606425763</v>
      </c>
      <c r="V2047" s="48">
        <f t="shared" si="107"/>
        <v>8.26380684629324</v>
      </c>
      <c r="W2047" s="48">
        <f t="shared" si="107"/>
        <v>8.45928225282738</v>
      </c>
      <c r="X2047" s="48">
        <f t="shared" si="107"/>
        <v>8.651002992694856</v>
      </c>
      <c r="Y2047" s="48">
        <f t="shared" si="107"/>
        <v>8.831750565895662</v>
      </c>
      <c r="Z2047" s="48">
        <f t="shared" si="107"/>
        <v>9.016200805763136</v>
      </c>
      <c r="AA2047" s="48">
        <f t="shared" si="107"/>
        <v>9.21135504563061</v>
      </c>
      <c r="AB2047" s="48">
        <f t="shared" si="107"/>
        <v>9.38170136883142</v>
      </c>
      <c r="AC2047" s="48">
        <f t="shared" si="107"/>
        <v>9.580799942032227</v>
      </c>
      <c r="AD2047" s="48">
        <f t="shared" si="107"/>
        <v>8.322423909133908</v>
      </c>
      <c r="AE2047" s="48">
        <f t="shared" si="107"/>
        <v>8.953772643090156</v>
      </c>
      <c r="AF2047" s="48">
        <f t="shared" si="107"/>
        <v>8.13619715482418</v>
      </c>
      <c r="AG2047" s="48">
        <f t="shared" si="107"/>
        <v>7.940556527669315</v>
      </c>
      <c r="AH2047" s="48">
        <f t="shared" si="107"/>
        <v>11.172833483847784</v>
      </c>
    </row>
    <row r="2048">
      <c r="A2048" s="3" t="str">
        <f>$B2048&amp;"|"&amp;$C2048</f>
        <v>AVG|nga.eus</v>
      </c>
      <c r="B2048" s="3" t="inlineStr">
        <is>
          <t>AVG</t>
        </is>
      </c>
      <c r="C2048" s="3" t="inlineStr">
        <is>
          <t>nga.eus</t>
        </is>
      </c>
      <c r="D2048" s="3" t="inlineStr">
        <is>
          <t>Natural Gas - Europe with the shift to LNG (legacy row 706, share row 699)</t>
        </is>
      </c>
      <c r="E2048" s="3" t="inlineStr">
        <is>
          <t>$/MMBtu nom</t>
        </is>
      </c>
      <c r="F2048" s="3" t="inlineStr">
        <is>
          <t>eus</t>
        </is>
      </c>
      <c r="G2048" s="3" t="n"/>
      <c r="H2048" s="3" t="n"/>
      <c r="I2048" s="3" t="n"/>
      <c r="J2048" s="48">
        <f t="shared" ref="J2048:AH2048" si="108">IFERROR(J2046*(1-J$2011)+J2044*J$2011,"NA")</f>
        <v>15.976867982793332</v>
      </c>
      <c r="K2048" s="48">
        <f t="shared" si="108"/>
        <v>32.59056310870787</v>
      </c>
      <c r="L2048" s="48">
        <f t="shared" si="108"/>
        <v>13.449226651579814</v>
      </c>
      <c r="M2048" s="48">
        <f t="shared" si="108"/>
        <v>11.775277342611787</v>
      </c>
      <c r="N2048" s="48">
        <f t="shared" si="108"/>
        <v>12.140495666204004</v>
      </c>
      <c r="O2048" s="48">
        <f t="shared" si="108"/>
        <v>12.626300544408013</v>
      </c>
      <c r="P2048" s="48">
        <f t="shared" si="108"/>
        <v>11.755740988202241</v>
      </c>
      <c r="Q2048" s="48">
        <f t="shared" si="108"/>
        <v>10.661062589422652</v>
      </c>
      <c r="R2048" s="48">
        <f t="shared" si="108"/>
        <v>10.291914355523854</v>
      </c>
      <c r="S2048" s="48">
        <f t="shared" si="108"/>
        <v>10.194681859849773</v>
      </c>
      <c r="T2048" s="48">
        <f t="shared" si="108"/>
        <v>10.335758264381083</v>
      </c>
      <c r="U2048" s="48">
        <f t="shared" si="108"/>
        <v>10.558590562046872</v>
      </c>
      <c r="V2048" s="48">
        <f t="shared" si="108"/>
        <v>10.781422859712666</v>
      </c>
      <c r="W2048" s="48">
        <f t="shared" si="108"/>
        <v>11.004255157378454</v>
      </c>
      <c r="X2048" s="48">
        <f t="shared" si="108"/>
        <v>11.227087455044247</v>
      </c>
      <c r="Y2048" s="48">
        <f t="shared" si="108"/>
        <v>11.449919752710036</v>
      </c>
      <c r="Z2048" s="48">
        <f t="shared" si="108"/>
        <v>11.672752050375827</v>
      </c>
      <c r="AA2048" s="48">
        <f t="shared" si="108"/>
        <v>11.895584348041618</v>
      </c>
      <c r="AB2048" s="48">
        <f t="shared" si="108"/>
        <v>12.11841664570741</v>
      </c>
      <c r="AC2048" s="48">
        <f t="shared" si="108"/>
        <v>12.341248943373202</v>
      </c>
      <c r="AD2048" s="48">
        <f t="shared" si="108"/>
        <v>10.73625494222342</v>
      </c>
      <c r="AE2048" s="48">
        <f t="shared" si="108"/>
        <v>11.69135211095665</v>
      </c>
      <c r="AF2048" s="48">
        <f t="shared" si="108"/>
        <v>10.41688561702321</v>
      </c>
      <c r="AG2048" s="48">
        <f t="shared" si="108"/>
        <v>10.173081063756438</v>
      </c>
      <c r="AH2048" s="48">
        <f t="shared" si="108"/>
        <v>14.961065506489664</v>
      </c>
    </row>
    <row r="2049">
      <c r="A2049" s="3" t="str">
        <f>$B2049&amp;"|"&amp;$C2049</f>
        <v>IMF-IEA|oil</v>
      </c>
      <c r="B2049" s="3" t="inlineStr">
        <is>
          <t>IMF-IEA</t>
        </is>
      </c>
      <c r="C2049" s="3" t="inlineStr">
        <is>
          <t>oil</t>
        </is>
      </c>
      <c r="D2049" s="3" t="inlineStr">
        <is>
          <t>Crude Oil</t>
        </is>
      </c>
      <c r="E2049" s="3" t="inlineStr">
        <is>
          <t>$/bbl nom</t>
        </is>
      </c>
      <c r="F2049" s="3" t="inlineStr">
        <is>
          <t>avg</t>
        </is>
      </c>
      <c r="G2049" s="3" t="n"/>
      <c r="H2049" s="3" t="n"/>
      <c r="I2049" s="3" t="n"/>
      <c r="J2049" s="48">
        <f t="shared" ref="J2049:AH2049" si="109">IFERROR(AVERAGE(J2014,J2028),"NA")</f>
        <v>70.8315</v>
      </c>
      <c r="K2049" s="48">
        <f t="shared" si="109"/>
        <v>98.996328</v>
      </c>
      <c r="L2049" s="48">
        <f t="shared" si="109"/>
        <v>82.321243</v>
      </c>
      <c r="M2049" s="48">
        <f t="shared" si="109"/>
        <v>79.911739</v>
      </c>
      <c r="N2049" s="48">
        <f t="shared" si="109"/>
        <v>75.11499886473794</v>
      </c>
      <c r="O2049" s="48">
        <f t="shared" si="109"/>
        <v>82.0424772294759</v>
      </c>
      <c r="P2049" s="48">
        <f t="shared" si="109"/>
        <v>78.67181459421386</v>
      </c>
      <c r="Q2049" s="48">
        <f t="shared" si="109"/>
        <v>78.78745445895181</v>
      </c>
      <c r="R2049" s="48">
        <f t="shared" si="109"/>
        <v>79.65084982368977</v>
      </c>
      <c r="S2049" s="48">
        <f t="shared" si="109"/>
        <v>80.61488168842772</v>
      </c>
      <c r="T2049" s="48">
        <f t="shared" si="109"/>
        <v>81.36358770335957</v>
      </c>
      <c r="U2049" s="48">
        <f t="shared" si="109"/>
        <v>82.8407073934446</v>
      </c>
      <c r="V2049" s="48">
        <f t="shared" si="109"/>
        <v>84.31782708352964</v>
      </c>
      <c r="W2049" s="48">
        <f t="shared" si="109"/>
        <v>85.79494677361468</v>
      </c>
      <c r="X2049" s="48">
        <f t="shared" si="109"/>
        <v>87.27206646369974</v>
      </c>
      <c r="Y2049" s="48">
        <f t="shared" si="109"/>
        <v>88.74918615378473</v>
      </c>
      <c r="Z2049" s="48">
        <f t="shared" si="109"/>
        <v>90.2263058438698</v>
      </c>
      <c r="AA2049" s="48">
        <f t="shared" si="109"/>
        <v>91.70342553395483</v>
      </c>
      <c r="AB2049" s="48">
        <f t="shared" si="109"/>
        <v>93.18054522403989</v>
      </c>
      <c r="AC2049" s="48">
        <f t="shared" si="109"/>
        <v>94.65766491412492</v>
      </c>
      <c r="AD2049" s="48">
        <f t="shared" si="109"/>
        <v>68.13600775153198</v>
      </c>
      <c r="AE2049" s="48">
        <f t="shared" si="109"/>
        <v>77.11175592668518</v>
      </c>
      <c r="AF2049" s="48">
        <f t="shared" si="109"/>
        <v>74.01760610183837</v>
      </c>
      <c r="AG2049" s="48">
        <f t="shared" si="109"/>
        <v>64.19820027699157</v>
      </c>
      <c r="AH2049" s="48">
        <f t="shared" si="109"/>
        <v>78.55993845214476</v>
      </c>
    </row>
    <row r="2050">
      <c r="A2050" s="3" t="str">
        <f>$B2050&amp;"|"&amp;$C2050</f>
        <v>IMF-IEA|coa</v>
      </c>
      <c r="B2050" s="3" t="inlineStr">
        <is>
          <t>IMF-IEA</t>
        </is>
      </c>
      <c r="C2050" s="3" t="inlineStr">
        <is>
          <t>coa</t>
        </is>
      </c>
      <c r="D2050" s="3" t="inlineStr">
        <is>
          <t>Coal</t>
        </is>
      </c>
      <c r="E2050" s="3" t="inlineStr">
        <is>
          <t>$/ton nom</t>
        </is>
      </c>
      <c r="F2050" s="3" t="inlineStr">
        <is>
          <t>avg</t>
        </is>
      </c>
      <c r="G2050" s="3" t="n"/>
      <c r="H2050" s="3" t="n"/>
      <c r="I2050" s="3" t="n"/>
      <c r="J2050" s="48">
        <f t="shared" ref="J2050:AH2050" si="110">IFERROR(AVERAGE(J2015,J2029),"NA")</f>
        <v>143.984744</v>
      </c>
      <c r="K2050" s="48">
        <f t="shared" si="110"/>
        <v>384.169733</v>
      </c>
      <c r="L2050" s="48">
        <f t="shared" si="110"/>
        <v>188.152584</v>
      </c>
      <c r="M2050" s="48">
        <f t="shared" si="110"/>
        <v>143.551382</v>
      </c>
      <c r="N2050" s="48">
        <f t="shared" si="110"/>
        <v>112.437589</v>
      </c>
      <c r="O2050" s="48">
        <f t="shared" si="110"/>
        <v>135.601486</v>
      </c>
      <c r="P2050" s="48">
        <f t="shared" si="110"/>
        <v>143.176523</v>
      </c>
      <c r="Q2050" s="48">
        <f t="shared" si="110"/>
        <v>143.310932</v>
      </c>
      <c r="R2050" s="48">
        <f t="shared" si="110"/>
        <v>143.44086</v>
      </c>
      <c r="S2050" s="48">
        <f t="shared" si="110"/>
        <v>143.44086</v>
      </c>
      <c r="T2050" s="48">
        <f t="shared" si="110"/>
        <v>144.7356300139154</v>
      </c>
      <c r="U2050" s="48">
        <f t="shared" si="110"/>
        <v>147.30221003631425</v>
      </c>
      <c r="V2050" s="48">
        <f t="shared" si="110"/>
        <v>149.86879005871316</v>
      </c>
      <c r="W2050" s="48">
        <f t="shared" si="110"/>
        <v>152.43537008111207</v>
      </c>
      <c r="X2050" s="48">
        <f t="shared" si="110"/>
        <v>155.0019501035109</v>
      </c>
      <c r="Y2050" s="48">
        <f t="shared" si="110"/>
        <v>157.56853012590975</v>
      </c>
      <c r="Z2050" s="48">
        <f t="shared" si="110"/>
        <v>160.1351101483086</v>
      </c>
      <c r="AA2050" s="48">
        <f t="shared" si="110"/>
        <v>162.70169017070748</v>
      </c>
      <c r="AB2050" s="48">
        <f t="shared" si="110"/>
        <v>165.2682701931064</v>
      </c>
      <c r="AC2050" s="48">
        <f t="shared" si="110"/>
        <v>167.83485021550524</v>
      </c>
      <c r="AD2050" s="48">
        <f t="shared" si="110"/>
        <v>170.4014302379041</v>
      </c>
      <c r="AE2050" s="48">
        <f t="shared" si="110"/>
        <v>172.96801026030295</v>
      </c>
      <c r="AF2050" s="48">
        <f t="shared" si="110"/>
        <v>175.53459028270186</v>
      </c>
      <c r="AG2050" s="48">
        <f t="shared" si="110"/>
        <v>178.10117030510077</v>
      </c>
      <c r="AH2050" s="48">
        <f t="shared" si="110"/>
        <v>180.66775032749962</v>
      </c>
    </row>
    <row r="2051">
      <c r="A2051" s="3" t="str">
        <f>$B2051&amp;"|"&amp;$C2051</f>
        <v>IMF-IEA|nga.lng</v>
      </c>
      <c r="B2051" s="3" t="inlineStr">
        <is>
          <t>IMF-IEA</t>
        </is>
      </c>
      <c r="C2051" s="3" t="inlineStr">
        <is>
          <t>nga.lng</t>
        </is>
      </c>
      <c r="D2051" s="3" t="inlineStr">
        <is>
          <t>Natural Gas - LNG</t>
        </is>
      </c>
      <c r="E2051" s="3" t="inlineStr">
        <is>
          <t>$/MMBtu nom</t>
        </is>
      </c>
      <c r="F2051" s="3" t="inlineStr">
        <is>
          <t>avg</t>
        </is>
      </c>
      <c r="G2051" s="3" t="n"/>
      <c r="H2051" s="3" t="n"/>
      <c r="I2051" s="3" t="n"/>
      <c r="J2051" s="48">
        <f t="shared" ref="J2051:AH2051" si="111">IFERROR(AVERAGE(J2016,J2030),"NA")</f>
        <v>18.600467</v>
      </c>
      <c r="K2051" s="48">
        <f t="shared" si="111"/>
        <v>33.297022</v>
      </c>
      <c r="L2051" s="48">
        <f t="shared" si="111"/>
        <v>13.463505</v>
      </c>
      <c r="M2051" s="48">
        <f t="shared" si="111"/>
        <v>11.708527</v>
      </c>
      <c r="N2051" s="48">
        <f t="shared" si="111"/>
        <v>11.726791154881749</v>
      </c>
      <c r="O2051" s="48">
        <f t="shared" si="111"/>
        <v>12.986652309763505</v>
      </c>
      <c r="P2051" s="48">
        <f t="shared" si="111"/>
        <v>11.587929964645255</v>
      </c>
      <c r="Q2051" s="48">
        <f t="shared" si="111"/>
        <v>9.864499119527004</v>
      </c>
      <c r="R2051" s="48">
        <f t="shared" si="111"/>
        <v>9.228360274408757</v>
      </c>
      <c r="S2051" s="48">
        <f t="shared" si="111"/>
        <v>8.992012929290507</v>
      </c>
      <c r="T2051" s="48">
        <f t="shared" si="111"/>
        <v>9.065269341649984</v>
      </c>
      <c r="U2051" s="48">
        <f t="shared" si="111"/>
        <v>9.279068882328545</v>
      </c>
      <c r="V2051" s="48">
        <f t="shared" si="111"/>
        <v>9.492868423007108</v>
      </c>
      <c r="W2051" s="48">
        <f t="shared" si="111"/>
        <v>9.706667963685668</v>
      </c>
      <c r="X2051" s="48">
        <f t="shared" si="111"/>
        <v>9.920467504364225</v>
      </c>
      <c r="Y2051" s="48">
        <f t="shared" si="111"/>
        <v>10.13426704504279</v>
      </c>
      <c r="Z2051" s="48">
        <f t="shared" si="111"/>
        <v>10.34806658572135</v>
      </c>
      <c r="AA2051" s="48">
        <f t="shared" si="111"/>
        <v>10.56186612639991</v>
      </c>
      <c r="AB2051" s="48">
        <f t="shared" si="111"/>
        <v>10.775665667078473</v>
      </c>
      <c r="AC2051" s="48">
        <f t="shared" si="111"/>
        <v>10.989465207757032</v>
      </c>
      <c r="AD2051" s="48">
        <f t="shared" si="111"/>
        <v>8.448367783190841</v>
      </c>
      <c r="AE2051" s="48">
        <f t="shared" si="111"/>
        <v>9.795021411509925</v>
      </c>
      <c r="AF2051" s="48">
        <f t="shared" si="111"/>
        <v>7.692294539829009</v>
      </c>
      <c r="AG2051" s="48">
        <f t="shared" si="111"/>
        <v>7.225863168148095</v>
      </c>
      <c r="AH2051" s="48">
        <f t="shared" si="111"/>
        <v>14.415553296467174</v>
      </c>
    </row>
    <row r="2052">
      <c r="A2052" s="3" t="str">
        <f>$B2052&amp;"|"&amp;$C2052</f>
        <v>IMF-IEA|nga.nam</v>
      </c>
      <c r="B2052" s="3" t="inlineStr">
        <is>
          <t>IMF-IEA</t>
        </is>
      </c>
      <c r="C2052" s="3" t="inlineStr">
        <is>
          <t>nga.nam</t>
        </is>
      </c>
      <c r="D2052" s="3" t="inlineStr">
        <is>
          <t>Natural Gas - North Am</t>
        </is>
      </c>
      <c r="E2052" s="3" t="inlineStr">
        <is>
          <t>$/MMBtu nom</t>
        </is>
      </c>
      <c r="F2052" s="3" t="inlineStr">
        <is>
          <t>avg</t>
        </is>
      </c>
      <c r="G2052" s="3" t="n"/>
      <c r="H2052" s="3" t="n"/>
      <c r="I2052" s="3" t="n"/>
      <c r="J2052" s="48">
        <f t="shared" ref="J2052:AH2052" si="112">IFERROR(AVERAGE(J2017,J2031),"NA")</f>
        <v>3.716119</v>
      </c>
      <c r="K2052" s="48">
        <f t="shared" si="112"/>
        <v>6.516296</v>
      </c>
      <c r="L2052" s="48">
        <f t="shared" si="112"/>
        <v>2.671452</v>
      </c>
      <c r="M2052" s="48">
        <f t="shared" si="112"/>
        <v>2.417967</v>
      </c>
      <c r="N2052" s="48">
        <f t="shared" si="112"/>
        <v>3.20281006072757</v>
      </c>
      <c r="O2052" s="48">
        <f t="shared" si="112"/>
        <v>3.3244401214551393</v>
      </c>
      <c r="P2052" s="48">
        <f t="shared" si="112"/>
        <v>3.6213531821827094</v>
      </c>
      <c r="Q2052" s="48">
        <f t="shared" si="112"/>
        <v>3.7594762429102797</v>
      </c>
      <c r="R2052" s="48">
        <f t="shared" si="112"/>
        <v>3.904057803637849</v>
      </c>
      <c r="S2052" s="48">
        <f t="shared" si="112"/>
        <v>4.09722286436542</v>
      </c>
      <c r="T2052" s="48">
        <f t="shared" si="112"/>
        <v>4.165477340051941</v>
      </c>
      <c r="U2052" s="48">
        <f t="shared" si="112"/>
        <v>4.261835942837645</v>
      </c>
      <c r="V2052" s="48">
        <f t="shared" si="112"/>
        <v>4.358194545623348</v>
      </c>
      <c r="W2052" s="48">
        <f t="shared" si="112"/>
        <v>4.454553148409052</v>
      </c>
      <c r="X2052" s="48">
        <f t="shared" si="112"/>
        <v>4.550911751194755</v>
      </c>
      <c r="Y2052" s="48">
        <f t="shared" si="112"/>
        <v>4.64727035398046</v>
      </c>
      <c r="Z2052" s="48">
        <f t="shared" si="112"/>
        <v>4.7436289567661625</v>
      </c>
      <c r="AA2052" s="48">
        <f t="shared" si="112"/>
        <v>4.839987559551867</v>
      </c>
      <c r="AB2052" s="48">
        <f t="shared" si="112"/>
        <v>4.93634616233757</v>
      </c>
      <c r="AC2052" s="48">
        <f t="shared" si="112"/>
        <v>5.032704765123274</v>
      </c>
      <c r="AD2052" s="48">
        <f t="shared" si="112"/>
        <v>3.668796270991816</v>
      </c>
      <c r="AE2052" s="48">
        <f t="shared" si="112"/>
        <v>3.726168398090998</v>
      </c>
      <c r="AF2052" s="48">
        <f t="shared" si="112"/>
        <v>3.488427525190179</v>
      </c>
      <c r="AG2052" s="48">
        <f t="shared" si="112"/>
        <v>3.3216401522893615</v>
      </c>
      <c r="AH2052" s="48">
        <f t="shared" si="112"/>
        <v>4.147264779388543</v>
      </c>
    </row>
    <row r="2053">
      <c r="A2053" s="3" t="str">
        <f>$B2053&amp;"|"&amp;$C2053</f>
        <v>IMF-IEA|nga.eur</v>
      </c>
      <c r="B2053" s="3" t="inlineStr">
        <is>
          <t>IMF-IEA</t>
        </is>
      </c>
      <c r="C2053" s="3" t="inlineStr">
        <is>
          <t>nga.eur</t>
        </is>
      </c>
      <c r="D2053" s="3" t="inlineStr">
        <is>
          <t>Natural Gas - Europe</t>
        </is>
      </c>
      <c r="E2053" s="3" t="inlineStr">
        <is>
          <t>$/MMBtu nom</t>
        </is>
      </c>
      <c r="F2053" s="3" t="inlineStr">
        <is>
          <t>avg</t>
        </is>
      </c>
      <c r="G2053" s="3" t="n"/>
      <c r="H2053" s="3" t="n"/>
      <c r="I2053" s="3" t="n"/>
      <c r="J2053" s="48">
        <f t="shared" ref="J2053:AH2053" si="113">IFERROR(AVERAGE(J2018,J2032),"NA")</f>
        <v>15.907363</v>
      </c>
      <c r="K2053" s="48">
        <f t="shared" si="113"/>
        <v>37.519835</v>
      </c>
      <c r="L2053" s="48">
        <f t="shared" si="113"/>
        <v>12.883181</v>
      </c>
      <c r="M2053" s="48">
        <f t="shared" si="113"/>
        <v>10.891141</v>
      </c>
      <c r="N2053" s="48">
        <f t="shared" si="113"/>
        <v>11.12409443454595</v>
      </c>
      <c r="O2053" s="48">
        <f t="shared" si="113"/>
        <v>12.1962818690919</v>
      </c>
      <c r="P2053" s="48">
        <f t="shared" si="113"/>
        <v>10.55228430363785</v>
      </c>
      <c r="Q2053" s="48">
        <f t="shared" si="113"/>
        <v>8.704505238183799</v>
      </c>
      <c r="R2053" s="48">
        <f t="shared" si="113"/>
        <v>7.88792167272975</v>
      </c>
      <c r="S2053" s="48">
        <f t="shared" si="113"/>
        <v>7.484757607275698</v>
      </c>
      <c r="T2053" s="48">
        <f t="shared" si="113"/>
        <v>7.679140989751856</v>
      </c>
      <c r="U2053" s="48">
        <f t="shared" si="113"/>
        <v>7.906180219719637</v>
      </c>
      <c r="V2053" s="48">
        <f t="shared" si="113"/>
        <v>8.133219449687417</v>
      </c>
      <c r="W2053" s="48">
        <f t="shared" si="113"/>
        <v>8.360258679655196</v>
      </c>
      <c r="X2053" s="48">
        <f t="shared" si="113"/>
        <v>8.587297909622976</v>
      </c>
      <c r="Y2053" s="48">
        <f t="shared" si="113"/>
        <v>8.814337139590755</v>
      </c>
      <c r="Z2053" s="48">
        <f t="shared" si="113"/>
        <v>9.041376369558535</v>
      </c>
      <c r="AA2053" s="48">
        <f t="shared" si="113"/>
        <v>9.268415599526314</v>
      </c>
      <c r="AB2053" s="48">
        <f t="shared" si="113"/>
        <v>9.495454829494097</v>
      </c>
      <c r="AC2053" s="48">
        <f t="shared" si="113"/>
        <v>9.722494059461873</v>
      </c>
      <c r="AD2053" s="48">
        <f t="shared" si="113"/>
        <v>7.273898474916212</v>
      </c>
      <c r="AE2053" s="48">
        <f t="shared" si="113"/>
        <v>8.426220822407835</v>
      </c>
      <c r="AF2053" s="48">
        <f t="shared" si="113"/>
        <v>6.761903669899456</v>
      </c>
      <c r="AG2053" s="48">
        <f t="shared" si="113"/>
        <v>6.189890517391078</v>
      </c>
      <c r="AH2053" s="48">
        <f t="shared" si="113"/>
        <v>12.6207578648827</v>
      </c>
    </row>
    <row r="2054">
      <c r="A2054" s="3" t="str">
        <f>$B2054&amp;"|"&amp;$C2054</f>
        <v>IMF-IEA|nga.glo</v>
      </c>
      <c r="B2054" s="3" t="inlineStr">
        <is>
          <t>IMF-IEA</t>
        </is>
      </c>
      <c r="C2054" s="3" t="inlineStr">
        <is>
          <t>nga.glo</t>
        </is>
      </c>
      <c r="D2054" s="3" t="inlineStr">
        <is>
          <t>Natural gas - Global</t>
        </is>
      </c>
      <c r="E2054" s="3" t="inlineStr">
        <is>
          <t>$/MMBtu nom</t>
        </is>
      </c>
      <c r="F2054" s="3" t="inlineStr">
        <is>
          <t>glo</t>
        </is>
      </c>
      <c r="G2054" s="3" t="n"/>
      <c r="H2054" s="3" t="n"/>
      <c r="I2054" s="3" t="n"/>
      <c r="J2054" s="48">
        <f t="shared" ref="J2054:AH2054" si="114">IFERROR(AVERAGE(J2051:J2053),"NA")</f>
        <v>12.741316333333332</v>
      </c>
      <c r="K2054" s="48">
        <f t="shared" si="114"/>
        <v>25.777717666666664</v>
      </c>
      <c r="L2054" s="48">
        <f t="shared" si="114"/>
        <v>9.672712666666667</v>
      </c>
      <c r="M2054" s="48">
        <f t="shared" si="114"/>
        <v>8.339211666666666</v>
      </c>
      <c r="N2054" s="48">
        <f t="shared" si="114"/>
        <v>8.684565216718424</v>
      </c>
      <c r="O2054" s="48">
        <f t="shared" si="114"/>
        <v>9.502458100103516</v>
      </c>
      <c r="P2054" s="48">
        <f t="shared" si="114"/>
        <v>8.587189150155272</v>
      </c>
      <c r="Q2054" s="48">
        <f t="shared" si="114"/>
        <v>7.442826866873695</v>
      </c>
      <c r="R2054" s="48">
        <f t="shared" si="114"/>
        <v>7.006779916925452</v>
      </c>
      <c r="S2054" s="48">
        <f t="shared" si="114"/>
        <v>6.8579978003105415</v>
      </c>
      <c r="T2054" s="48">
        <f t="shared" si="114"/>
        <v>6.96996255715126</v>
      </c>
      <c r="U2054" s="48">
        <f t="shared" si="114"/>
        <v>7.149028348295276</v>
      </c>
      <c r="V2054" s="48">
        <f t="shared" si="114"/>
        <v>7.328094139439291</v>
      </c>
      <c r="W2054" s="48">
        <f t="shared" si="114"/>
        <v>7.507159930583305</v>
      </c>
      <c r="X2054" s="48">
        <f t="shared" si="114"/>
        <v>7.686225721727318</v>
      </c>
      <c r="Y2054" s="48">
        <f t="shared" si="114"/>
        <v>7.865291512871335</v>
      </c>
      <c r="Z2054" s="48">
        <f t="shared" si="114"/>
        <v>8.04435730401535</v>
      </c>
      <c r="AA2054" s="48">
        <f t="shared" si="114"/>
        <v>8.223423095159363</v>
      </c>
      <c r="AB2054" s="48">
        <f t="shared" si="114"/>
        <v>8.402488886303379</v>
      </c>
      <c r="AC2054" s="48">
        <f t="shared" si="114"/>
        <v>8.581554677447393</v>
      </c>
      <c r="AD2054" s="48">
        <f t="shared" si="114"/>
        <v>6.463687509699622</v>
      </c>
      <c r="AE2054" s="48">
        <f t="shared" si="114"/>
        <v>7.315803544002919</v>
      </c>
      <c r="AF2054" s="48">
        <f t="shared" si="114"/>
        <v>5.980875244972881</v>
      </c>
      <c r="AG2054" s="48">
        <f t="shared" si="114"/>
        <v>5.5791312792761785</v>
      </c>
      <c r="AH2054" s="48">
        <f t="shared" si="114"/>
        <v>10.394525313579472</v>
      </c>
    </row>
    <row r="2055">
      <c r="A2055" s="3" t="str">
        <f>$B2055&amp;"|"&amp;$C2055</f>
        <v>IMF-IEA|nga.eus</v>
      </c>
      <c r="B2055" s="3" t="inlineStr">
        <is>
          <t>IMF-IEA</t>
        </is>
      </c>
      <c r="C2055" s="3" t="inlineStr">
        <is>
          <t>nga.eus</t>
        </is>
      </c>
      <c r="D2055" s="3" t="inlineStr">
        <is>
          <t>Natural Gas - Europe with the shift to LNG (legacy row 706, share row 699)</t>
        </is>
      </c>
      <c r="E2055" s="3" t="inlineStr">
        <is>
          <t>$/MMBtu nom</t>
        </is>
      </c>
      <c r="F2055" s="3" t="inlineStr">
        <is>
          <t>eus</t>
        </is>
      </c>
      <c r="G2055" s="3" t="n"/>
      <c r="H2055" s="3" t="n"/>
      <c r="I2055" s="3" t="n"/>
      <c r="J2055" s="48">
        <f t="shared" ref="J2055:AH2055" si="115">IFERROR(J2053*(1-J$2011)+J2051*J$2011,"NA")</f>
        <v>15.907363</v>
      </c>
      <c r="K2055" s="48">
        <f t="shared" si="115"/>
        <v>35.07060346</v>
      </c>
      <c r="L2055" s="48">
        <f t="shared" si="115"/>
        <v>13.233116372</v>
      </c>
      <c r="M2055" s="48">
        <f t="shared" si="115"/>
        <v>11.491102324</v>
      </c>
      <c r="N2055" s="48">
        <f t="shared" si="115"/>
        <v>11.626743499306007</v>
      </c>
      <c r="O2055" s="48">
        <f t="shared" si="115"/>
        <v>12.85545081661202</v>
      </c>
      <c r="P2055" s="48">
        <f t="shared" si="115"/>
        <v>11.416012784918024</v>
      </c>
      <c r="Q2055" s="48">
        <f t="shared" si="115"/>
        <v>9.671940135224032</v>
      </c>
      <c r="R2055" s="48">
        <f t="shared" si="115"/>
        <v>9.005847466530042</v>
      </c>
      <c r="S2055" s="48">
        <f t="shared" si="115"/>
        <v>8.741808545836047</v>
      </c>
      <c r="T2055" s="48">
        <f t="shared" si="115"/>
        <v>8.835172035234894</v>
      </c>
      <c r="U2055" s="48">
        <f t="shared" si="115"/>
        <v>9.051169364335466</v>
      </c>
      <c r="V2055" s="48">
        <f t="shared" si="115"/>
        <v>9.267166693436039</v>
      </c>
      <c r="W2055" s="48">
        <f t="shared" si="115"/>
        <v>9.48316402253661</v>
      </c>
      <c r="X2055" s="48">
        <f t="shared" si="115"/>
        <v>9.699161351637178</v>
      </c>
      <c r="Y2055" s="48">
        <f t="shared" si="115"/>
        <v>9.915158680737752</v>
      </c>
      <c r="Z2055" s="48">
        <f t="shared" si="115"/>
        <v>10.131156009838323</v>
      </c>
      <c r="AA2055" s="48">
        <f t="shared" si="115"/>
        <v>10.347153338938892</v>
      </c>
      <c r="AB2055" s="48">
        <f t="shared" si="115"/>
        <v>10.563150668039466</v>
      </c>
      <c r="AC2055" s="48">
        <f t="shared" si="115"/>
        <v>10.779147997140036</v>
      </c>
      <c r="AD2055" s="48">
        <f t="shared" si="115"/>
        <v>8.253405878017253</v>
      </c>
      <c r="AE2055" s="48">
        <f t="shared" si="115"/>
        <v>9.567800513718979</v>
      </c>
      <c r="AF2055" s="48">
        <f t="shared" si="115"/>
        <v>7.537849655420703</v>
      </c>
      <c r="AG2055" s="48">
        <f t="shared" si="115"/>
        <v>7.05389170812243</v>
      </c>
      <c r="AH2055" s="48">
        <f t="shared" si="115"/>
        <v>14.11761725482415</v>
      </c>
    </row>
    <row r="2056">
      <c r="A2056" s="3" t="str">
        <f>$B2056&amp;"|"&amp;$C2056</f>
        <v>IMF-WB|oil</v>
      </c>
      <c r="B2056" s="3" t="inlineStr">
        <is>
          <t>IMF-WB</t>
        </is>
      </c>
      <c r="C2056" s="3" t="inlineStr">
        <is>
          <t>oil</t>
        </is>
      </c>
      <c r="D2056" s="3" t="inlineStr">
        <is>
          <t>Crude Oil</t>
        </is>
      </c>
      <c r="E2056" s="3" t="inlineStr">
        <is>
          <t>$/bbl nom</t>
        </is>
      </c>
      <c r="F2056" s="3" t="inlineStr">
        <is>
          <t>avg</t>
        </is>
      </c>
      <c r="G2056" s="3" t="n"/>
      <c r="H2056" s="3" t="n"/>
      <c r="I2056" s="3" t="n"/>
      <c r="J2056" s="48">
        <f t="shared" ref="J2056:AH2056" si="116">IFERROR(AVERAGE(J2021,J2014),"NA")</f>
        <v>70.637416666665</v>
      </c>
      <c r="K2056" s="48">
        <f t="shared" si="116"/>
        <v>99.41024733333501</v>
      </c>
      <c r="L2056" s="48">
        <f t="shared" si="116"/>
        <v>82.4687465</v>
      </c>
      <c r="M2056" s="48">
        <f t="shared" si="116"/>
        <v>80.30520283333499</v>
      </c>
      <c r="N2056" s="48">
        <f t="shared" si="116"/>
        <v>70.6624535</v>
      </c>
      <c r="O2056" s="48">
        <f t="shared" si="116"/>
        <v>76.093256</v>
      </c>
      <c r="P2056" s="48">
        <f t="shared" si="116"/>
        <v>72.51644233659962</v>
      </c>
      <c r="Q2056" s="48">
        <f t="shared" si="116"/>
        <v>72.23928238112394</v>
      </c>
      <c r="R2056" s="48">
        <f t="shared" si="116"/>
        <v>72.77091500447182</v>
      </c>
      <c r="S2056" s="48">
        <f t="shared" si="116"/>
        <v>73.43762116531721</v>
      </c>
      <c r="T2056" s="48">
        <f t="shared" si="116"/>
        <v>74.02182791915223</v>
      </c>
      <c r="U2056" s="48">
        <f t="shared" si="116"/>
        <v>75.33444834814043</v>
      </c>
      <c r="V2056" s="48">
        <f t="shared" si="116"/>
        <v>76.64706877712862</v>
      </c>
      <c r="W2056" s="48">
        <f t="shared" si="116"/>
        <v>77.95968920611682</v>
      </c>
      <c r="X2056" s="48">
        <f t="shared" si="116"/>
        <v>79.27230963510502</v>
      </c>
      <c r="Y2056" s="48">
        <f t="shared" si="116"/>
        <v>80.58493006409321</v>
      </c>
      <c r="Z2056" s="48">
        <f t="shared" si="116"/>
        <v>81.89755049308141</v>
      </c>
      <c r="AA2056" s="48">
        <f t="shared" si="116"/>
        <v>83.21017092206961</v>
      </c>
      <c r="AB2056" s="48">
        <f t="shared" si="116"/>
        <v>84.52279135105782</v>
      </c>
      <c r="AC2056" s="48">
        <f t="shared" si="116"/>
        <v>85.83541178004602</v>
      </c>
      <c r="AD2056" s="48">
        <f t="shared" si="116"/>
        <v>87.14803220903421</v>
      </c>
      <c r="AE2056" s="48">
        <f t="shared" si="116"/>
        <v>88.46065263802241</v>
      </c>
      <c r="AF2056" s="48">
        <f t="shared" si="116"/>
        <v>89.77327306701062</v>
      </c>
      <c r="AG2056" s="48">
        <f t="shared" si="116"/>
        <v>91.08589349599882</v>
      </c>
      <c r="AH2056" s="48">
        <f t="shared" si="116"/>
        <v>92.39851392498701</v>
      </c>
    </row>
    <row r="2057">
      <c r="A2057" s="3" t="str">
        <f>$B2057&amp;"|"&amp;$C2057</f>
        <v>IMF-WB|coa</v>
      </c>
      <c r="B2057" s="3" t="inlineStr">
        <is>
          <t>IMF-WB</t>
        </is>
      </c>
      <c r="C2057" s="3" t="inlineStr">
        <is>
          <t>coa</t>
        </is>
      </c>
      <c r="D2057" s="3" t="inlineStr">
        <is>
          <t>Coal</t>
        </is>
      </c>
      <c r="E2057" s="3" t="inlineStr">
        <is>
          <t>$/ton nom</t>
        </is>
      </c>
      <c r="F2057" s="3" t="inlineStr">
        <is>
          <t>avg</t>
        </is>
      </c>
      <c r="G2057" s="3" t="n"/>
      <c r="H2057" s="3" t="n"/>
      <c r="I2057" s="3" t="n"/>
      <c r="J2057" s="48">
        <f t="shared" ref="J2057:AH2057" si="117">IFERROR(AVERAGE(J2022,J2015),"NA")</f>
        <v>141.01737200000002</v>
      </c>
      <c r="K2057" s="48">
        <f t="shared" si="117"/>
        <v>364.531533166665</v>
      </c>
      <c r="L2057" s="48">
        <f t="shared" si="117"/>
        <v>180.465875333335</v>
      </c>
      <c r="M2057" s="48">
        <f t="shared" si="117"/>
        <v>139.849024333335</v>
      </c>
      <c r="N2057" s="48">
        <f t="shared" si="117"/>
        <v>116.2187945</v>
      </c>
      <c r="O2057" s="48">
        <f t="shared" si="117"/>
        <v>120.300743</v>
      </c>
      <c r="P2057" s="48">
        <f t="shared" si="117"/>
        <v>125.2411102200411</v>
      </c>
      <c r="Q2057" s="48">
        <f t="shared" si="117"/>
        <v>126.1889672849724</v>
      </c>
      <c r="R2057" s="48">
        <f t="shared" si="117"/>
        <v>127.2235962565214</v>
      </c>
      <c r="S2057" s="48">
        <f t="shared" si="117"/>
        <v>128.2434819077543</v>
      </c>
      <c r="T2057" s="48">
        <f t="shared" si="117"/>
        <v>129.26389342376365</v>
      </c>
      <c r="U2057" s="48">
        <f t="shared" si="117"/>
        <v>131.5561149482565</v>
      </c>
      <c r="V2057" s="48">
        <f t="shared" si="117"/>
        <v>133.8483364727493</v>
      </c>
      <c r="W2057" s="48">
        <f t="shared" si="117"/>
        <v>136.1405579972422</v>
      </c>
      <c r="X2057" s="48">
        <f t="shared" si="117"/>
        <v>138.43277952173503</v>
      </c>
      <c r="Y2057" s="48">
        <f t="shared" si="117"/>
        <v>140.72500104622785</v>
      </c>
      <c r="Z2057" s="48">
        <f t="shared" si="117"/>
        <v>143.0172225707207</v>
      </c>
      <c r="AA2057" s="48">
        <f t="shared" si="117"/>
        <v>145.3094440952135</v>
      </c>
      <c r="AB2057" s="48">
        <f t="shared" si="117"/>
        <v>147.6016656197064</v>
      </c>
      <c r="AC2057" s="48">
        <f t="shared" si="117"/>
        <v>149.8938871441992</v>
      </c>
      <c r="AD2057" s="48">
        <f t="shared" si="117"/>
        <v>152.18610866869204</v>
      </c>
      <c r="AE2057" s="48">
        <f t="shared" si="117"/>
        <v>154.47833019318483</v>
      </c>
      <c r="AF2057" s="48">
        <f t="shared" si="117"/>
        <v>156.77055171767768</v>
      </c>
      <c r="AG2057" s="48">
        <f t="shared" si="117"/>
        <v>159.0627732421706</v>
      </c>
      <c r="AH2057" s="48">
        <f t="shared" si="117"/>
        <v>161.3549947666634</v>
      </c>
    </row>
    <row r="2058">
      <c r="A2058" s="3" t="str">
        <f>$B2058&amp;"|"&amp;$C2058</f>
        <v>IMF-WB|nga.lng</v>
      </c>
      <c r="B2058" s="3" t="inlineStr">
        <is>
          <t>IMF-WB</t>
        </is>
      </c>
      <c r="C2058" s="3" t="inlineStr">
        <is>
          <t>nga.lng</t>
        </is>
      </c>
      <c r="D2058" s="3" t="inlineStr">
        <is>
          <t>Natural Gas - LNG</t>
        </is>
      </c>
      <c r="E2058" s="3" t="inlineStr">
        <is>
          <t>$/MMBtu nom</t>
        </is>
      </c>
      <c r="F2058" s="3" t="inlineStr">
        <is>
          <t>avg</t>
        </is>
      </c>
      <c r="G2058" s="3" t="n"/>
      <c r="H2058" s="3" t="n"/>
      <c r="I2058" s="3" t="n"/>
      <c r="J2058" s="48">
        <f t="shared" ref="J2058:AH2058" si="118">IFERROR(AVERAGE(J2023,J2016),"NA")</f>
        <v>14.68105801192</v>
      </c>
      <c r="K2058" s="48">
        <f t="shared" si="118"/>
        <v>25.861973419309997</v>
      </c>
      <c r="L2058" s="48">
        <f t="shared" si="118"/>
        <v>13.92530649834</v>
      </c>
      <c r="M2058" s="48">
        <f t="shared" si="118"/>
        <v>12.276370478315</v>
      </c>
      <c r="N2058" s="48">
        <f t="shared" si="118"/>
        <v>12.793875</v>
      </c>
      <c r="O2058" s="48">
        <f t="shared" si="118"/>
        <v>13.7250835</v>
      </c>
      <c r="P2058" s="48">
        <f t="shared" si="118"/>
        <v>12.63495239524299</v>
      </c>
      <c r="Q2058" s="48">
        <f t="shared" si="118"/>
        <v>11.187708486306239</v>
      </c>
      <c r="R2058" s="48">
        <f t="shared" si="118"/>
        <v>10.838353292443024</v>
      </c>
      <c r="S2058" s="48">
        <f t="shared" si="118"/>
        <v>10.894768250923129</v>
      </c>
      <c r="T2058" s="48">
        <f t="shared" si="118"/>
        <v>10.94837131235282</v>
      </c>
      <c r="U2058" s="48">
        <f t="shared" si="118"/>
        <v>11.14251750210159</v>
      </c>
      <c r="V2058" s="48">
        <f t="shared" si="118"/>
        <v>11.336663691850363</v>
      </c>
      <c r="W2058" s="48">
        <f t="shared" si="118"/>
        <v>11.530809881599133</v>
      </c>
      <c r="X2058" s="48">
        <f t="shared" si="118"/>
        <v>11.724956071347908</v>
      </c>
      <c r="Y2058" s="48">
        <f t="shared" si="118"/>
        <v>11.919102261096675</v>
      </c>
      <c r="Z2058" s="48">
        <f t="shared" si="118"/>
        <v>12.11324845084545</v>
      </c>
      <c r="AA2058" s="48">
        <f t="shared" si="118"/>
        <v>12.307394640594223</v>
      </c>
      <c r="AB2058" s="48">
        <f t="shared" si="118"/>
        <v>12.501540830342993</v>
      </c>
      <c r="AC2058" s="48">
        <f t="shared" si="118"/>
        <v>12.695687020091768</v>
      </c>
      <c r="AD2058" s="48">
        <f t="shared" si="118"/>
        <v>12.889833209840535</v>
      </c>
      <c r="AE2058" s="48">
        <f t="shared" si="118"/>
        <v>13.08397939958931</v>
      </c>
      <c r="AF2058" s="48">
        <f t="shared" si="118"/>
        <v>13.278125589338078</v>
      </c>
      <c r="AG2058" s="48">
        <f t="shared" si="118"/>
        <v>13.472271779086856</v>
      </c>
      <c r="AH2058" s="48">
        <f t="shared" si="118"/>
        <v>13.666417968835624</v>
      </c>
    </row>
    <row r="2059">
      <c r="A2059" s="3" t="str">
        <f>$B2059&amp;"|"&amp;$C2059</f>
        <v>IMF-WB|nga.nam</v>
      </c>
      <c r="B2059" s="3" t="inlineStr">
        <is>
          <t>IMF-WB</t>
        </is>
      </c>
      <c r="C2059" s="3" t="inlineStr">
        <is>
          <t>nga.nam</t>
        </is>
      </c>
      <c r="D2059" s="3" t="inlineStr">
        <is>
          <t>Natural Gas - North Am</t>
        </is>
      </c>
      <c r="E2059" s="3" t="inlineStr">
        <is>
          <t>$/MMBtu nom</t>
        </is>
      </c>
      <c r="F2059" s="3" t="inlineStr">
        <is>
          <t>avg</t>
        </is>
      </c>
      <c r="G2059" s="3" t="n"/>
      <c r="H2059" s="3" t="n"/>
      <c r="I2059" s="3" t="n"/>
      <c r="J2059" s="48">
        <f t="shared" ref="J2059:AH2059" si="119">IFERROR(AVERAGE(J2024,J2017),"NA")</f>
        <v>3.783763666665</v>
      </c>
      <c r="K2059" s="48">
        <f t="shared" si="119"/>
        <v>6.442306333335</v>
      </c>
      <c r="L2059" s="48">
        <f t="shared" si="119"/>
        <v>2.6046301666650002</v>
      </c>
      <c r="M2059" s="48">
        <f t="shared" si="119"/>
        <v>2.304537666665</v>
      </c>
      <c r="N2059" s="48">
        <f t="shared" si="119"/>
        <v>3.5173699999999997</v>
      </c>
      <c r="O2059" s="48">
        <f t="shared" si="119"/>
        <v>3.6125435</v>
      </c>
      <c r="P2059" s="48">
        <f t="shared" si="119"/>
        <v>3.7736241929919245</v>
      </c>
      <c r="Q2059" s="48">
        <f t="shared" si="119"/>
        <v>3.7663232119466468</v>
      </c>
      <c r="R2059" s="48">
        <f t="shared" si="119"/>
        <v>3.7686173585631355</v>
      </c>
      <c r="S2059" s="48">
        <f t="shared" si="119"/>
        <v>3.8212646862732464</v>
      </c>
      <c r="T2059" s="48">
        <f t="shared" si="119"/>
        <v>3.8616385444564343</v>
      </c>
      <c r="U2059" s="48">
        <f t="shared" si="119"/>
        <v>3.930116529738803</v>
      </c>
      <c r="V2059" s="48">
        <f t="shared" si="119"/>
        <v>3.998594515021173</v>
      </c>
      <c r="W2059" s="48">
        <f t="shared" si="119"/>
        <v>4.067072500303542</v>
      </c>
      <c r="X2059" s="48">
        <f t="shared" si="119"/>
        <v>4.135550485585911</v>
      </c>
      <c r="Y2059" s="48">
        <f t="shared" si="119"/>
        <v>4.2040284708682805</v>
      </c>
      <c r="Z2059" s="48">
        <f t="shared" si="119"/>
        <v>4.27250645615065</v>
      </c>
      <c r="AA2059" s="48">
        <f t="shared" si="119"/>
        <v>4.34098444143302</v>
      </c>
      <c r="AB2059" s="48">
        <f t="shared" si="119"/>
        <v>4.40946242671539</v>
      </c>
      <c r="AC2059" s="48">
        <f t="shared" si="119"/>
        <v>4.477940411997758</v>
      </c>
      <c r="AD2059" s="48">
        <f t="shared" si="119"/>
        <v>4.546418397280127</v>
      </c>
      <c r="AE2059" s="48">
        <f t="shared" si="119"/>
        <v>4.614896382562496</v>
      </c>
      <c r="AF2059" s="48">
        <f t="shared" si="119"/>
        <v>4.683374367844866</v>
      </c>
      <c r="AG2059" s="48">
        <f t="shared" si="119"/>
        <v>4.751852353127235</v>
      </c>
      <c r="AH2059" s="48">
        <f t="shared" si="119"/>
        <v>4.8203303384096055</v>
      </c>
    </row>
    <row r="2060">
      <c r="A2060" s="3" t="str">
        <f>$B2060&amp;"|"&amp;$C2060</f>
        <v>IMF-WB|nga.eur</v>
      </c>
      <c r="B2060" s="3" t="inlineStr">
        <is>
          <t>IMF-WB</t>
        </is>
      </c>
      <c r="C2060" s="3" t="inlineStr">
        <is>
          <t>nga.eur</t>
        </is>
      </c>
      <c r="D2060" s="3" t="inlineStr">
        <is>
          <t>Natural Gas - Europe</t>
        </is>
      </c>
      <c r="E2060" s="3" t="inlineStr">
        <is>
          <t>$/MMBtu nom</t>
        </is>
      </c>
      <c r="F2060" s="3" t="inlineStr">
        <is>
          <t>avg</t>
        </is>
      </c>
      <c r="G2060" s="3" t="n"/>
      <c r="H2060" s="3" t="n"/>
      <c r="I2060" s="3" t="n"/>
      <c r="J2060" s="48">
        <f t="shared" ref="J2060:AH2060" si="120">IFERROR(AVERAGE(J2025,J2018),"NA")</f>
        <v>16.01162047419</v>
      </c>
      <c r="K2060" s="48">
        <f t="shared" si="120"/>
        <v>38.9299960711</v>
      </c>
      <c r="L2060" s="48">
        <f t="shared" si="120"/>
        <v>12.9982921231</v>
      </c>
      <c r="M2060" s="48">
        <f t="shared" si="120"/>
        <v>10.926725266295</v>
      </c>
      <c r="N2060" s="48">
        <f t="shared" si="120"/>
        <v>11.706196</v>
      </c>
      <c r="O2060" s="48">
        <f t="shared" si="120"/>
        <v>12.5560555</v>
      </c>
      <c r="P2060" s="48">
        <f t="shared" si="120"/>
        <v>11.30501487200411</v>
      </c>
      <c r="Q2060" s="48">
        <f t="shared" si="120"/>
        <v>9.822973128497239</v>
      </c>
      <c r="R2060" s="48">
        <f t="shared" si="120"/>
        <v>9.38102812565214</v>
      </c>
      <c r="S2060" s="48">
        <f t="shared" si="120"/>
        <v>9.357524690775431</v>
      </c>
      <c r="T2060" s="48">
        <f t="shared" si="120"/>
        <v>9.493210842376365</v>
      </c>
      <c r="U2060" s="48">
        <f t="shared" si="120"/>
        <v>9.661552841468927</v>
      </c>
      <c r="V2060" s="48">
        <f t="shared" si="120"/>
        <v>9.829894840561483</v>
      </c>
      <c r="W2060" s="48">
        <f t="shared" si="120"/>
        <v>9.998236839654044</v>
      </c>
      <c r="X2060" s="48">
        <f t="shared" si="120"/>
        <v>10.166578838746606</v>
      </c>
      <c r="Y2060" s="48">
        <f t="shared" si="120"/>
        <v>10.33492083783916</v>
      </c>
      <c r="Z2060" s="48">
        <f t="shared" si="120"/>
        <v>10.503262836931722</v>
      </c>
      <c r="AA2060" s="48">
        <f t="shared" si="120"/>
        <v>10.67160483602428</v>
      </c>
      <c r="AB2060" s="48">
        <f t="shared" si="120"/>
        <v>10.83994683511684</v>
      </c>
      <c r="AC2060" s="48">
        <f t="shared" si="120"/>
        <v>11.008288834209402</v>
      </c>
      <c r="AD2060" s="48">
        <f t="shared" si="120"/>
        <v>11.176630833301957</v>
      </c>
      <c r="AE2060" s="48">
        <f t="shared" si="120"/>
        <v>11.34497283239452</v>
      </c>
      <c r="AF2060" s="48">
        <f t="shared" si="120"/>
        <v>11.513314831487076</v>
      </c>
      <c r="AG2060" s="48">
        <f t="shared" si="120"/>
        <v>11.681656830579637</v>
      </c>
      <c r="AH2060" s="48">
        <f t="shared" si="120"/>
        <v>11.849998829672199</v>
      </c>
    </row>
    <row r="2061">
      <c r="A2061" s="3" t="str">
        <f>$B2061&amp;"|"&amp;$C2061</f>
        <v>IMF-WB|nga.glo</v>
      </c>
      <c r="B2061" s="3" t="inlineStr">
        <is>
          <t>IMF-WB</t>
        </is>
      </c>
      <c r="C2061" s="3" t="inlineStr">
        <is>
          <t>nga.glo</t>
        </is>
      </c>
      <c r="D2061" s="3" t="inlineStr">
        <is>
          <t>Natural gas - Global</t>
        </is>
      </c>
      <c r="E2061" s="3" t="inlineStr">
        <is>
          <t>$/MMBtu nom</t>
        </is>
      </c>
      <c r="F2061" s="3" t="inlineStr">
        <is>
          <t>glo</t>
        </is>
      </c>
      <c r="G2061" s="3" t="n"/>
      <c r="H2061" s="3" t="n"/>
      <c r="I2061" s="3" t="n"/>
      <c r="J2061" s="48">
        <f t="shared" ref="J2061:AH2061" si="121">IFERROR(AVERAGE(J2058:J2060),"NA")</f>
        <v>11.492147384258333</v>
      </c>
      <c r="K2061" s="48">
        <f t="shared" si="121"/>
        <v>23.744758607915</v>
      </c>
      <c r="L2061" s="48">
        <f t="shared" si="121"/>
        <v>9.842742929368333</v>
      </c>
      <c r="M2061" s="48">
        <f t="shared" si="121"/>
        <v>8.502544470424999</v>
      </c>
      <c r="N2061" s="48">
        <f t="shared" si="121"/>
        <v>9.339146999999999</v>
      </c>
      <c r="O2061" s="48">
        <f t="shared" si="121"/>
        <v>9.964560833333334</v>
      </c>
      <c r="P2061" s="48">
        <f t="shared" si="121"/>
        <v>9.237863820079674</v>
      </c>
      <c r="Q2061" s="48">
        <f t="shared" si="121"/>
        <v>8.259001608916707</v>
      </c>
      <c r="R2061" s="48">
        <f t="shared" si="121"/>
        <v>7.995999592219434</v>
      </c>
      <c r="S2061" s="48">
        <f t="shared" si="121"/>
        <v>8.024519209323936</v>
      </c>
      <c r="T2061" s="48">
        <f t="shared" si="121"/>
        <v>8.101073566395206</v>
      </c>
      <c r="U2061" s="48">
        <f t="shared" si="121"/>
        <v>8.244728957769773</v>
      </c>
      <c r="V2061" s="48">
        <f t="shared" si="121"/>
        <v>8.38838434914434</v>
      </c>
      <c r="W2061" s="48">
        <f t="shared" si="121"/>
        <v>8.532039740518906</v>
      </c>
      <c r="X2061" s="48">
        <f t="shared" si="121"/>
        <v>8.675695131893475</v>
      </c>
      <c r="Y2061" s="48">
        <f t="shared" si="121"/>
        <v>8.819350523268039</v>
      </c>
      <c r="Z2061" s="48">
        <f t="shared" si="121"/>
        <v>8.963005914642608</v>
      </c>
      <c r="AA2061" s="48">
        <f t="shared" si="121"/>
        <v>9.106661306017175</v>
      </c>
      <c r="AB2061" s="48">
        <f t="shared" si="121"/>
        <v>9.25031669739174</v>
      </c>
      <c r="AC2061" s="48">
        <f t="shared" si="121"/>
        <v>9.39397208876631</v>
      </c>
      <c r="AD2061" s="48">
        <f t="shared" si="121"/>
        <v>9.537627480140873</v>
      </c>
      <c r="AE2061" s="48">
        <f t="shared" si="121"/>
        <v>9.681282871515442</v>
      </c>
      <c r="AF2061" s="48">
        <f t="shared" si="121"/>
        <v>9.824938262890006</v>
      </c>
      <c r="AG2061" s="48">
        <f t="shared" si="121"/>
        <v>9.968593654264575</v>
      </c>
      <c r="AH2061" s="48">
        <f t="shared" si="121"/>
        <v>10.112249045639143</v>
      </c>
    </row>
    <row r="2062">
      <c r="A2062" s="3" t="str">
        <f>$B2062&amp;"|"&amp;$C2062</f>
        <v>IMF-WB|nga.eus</v>
      </c>
      <c r="B2062" s="3" t="inlineStr">
        <is>
          <t>IMF-WB</t>
        </is>
      </c>
      <c r="C2062" s="3" t="inlineStr">
        <is>
          <t>nga.eus</t>
        </is>
      </c>
      <c r="D2062" s="3" t="inlineStr">
        <is>
          <t>Natural Gas - Europe with the shift to LNG (legacy row 706, share row 699)</t>
        </is>
      </c>
      <c r="E2062" s="3" t="inlineStr">
        <is>
          <t>$/MMBtu nom</t>
        </is>
      </c>
      <c r="F2062" s="3" t="inlineStr">
        <is>
          <t>eus</t>
        </is>
      </c>
      <c r="G2062" s="3" t="n"/>
      <c r="H2062" s="3" t="n"/>
      <c r="I2062" s="3" t="n"/>
      <c r="J2062" s="48">
        <f t="shared" ref="J2062:AH2062" si="122">IFERROR(J2060*(1-J$2011)+J2058*J$2011,"NA")</f>
        <v>16.01162047419</v>
      </c>
      <c r="K2062" s="48">
        <f t="shared" si="122"/>
        <v>31.350542933061796</v>
      </c>
      <c r="L2062" s="48">
        <f t="shared" si="122"/>
        <v>13.557281791369718</v>
      </c>
      <c r="M2062" s="48">
        <f t="shared" si="122"/>
        <v>11.91736485191768</v>
      </c>
      <c r="N2062" s="48">
        <f t="shared" si="122"/>
        <v>12.613320286</v>
      </c>
      <c r="O2062" s="48">
        <f t="shared" si="122"/>
        <v>13.531024852</v>
      </c>
      <c r="P2062" s="48">
        <f t="shared" si="122"/>
        <v>12.414182766385336</v>
      </c>
      <c r="Q2062" s="48">
        <f t="shared" si="122"/>
        <v>10.961162416909945</v>
      </c>
      <c r="R2062" s="48">
        <f t="shared" si="122"/>
        <v>10.596437314755738</v>
      </c>
      <c r="S2062" s="48">
        <f t="shared" si="122"/>
        <v>10.639585819938612</v>
      </c>
      <c r="T2062" s="48">
        <f t="shared" si="122"/>
        <v>10.706814674336728</v>
      </c>
      <c r="U2062" s="48">
        <f t="shared" si="122"/>
        <v>10.896677368436567</v>
      </c>
      <c r="V2062" s="48">
        <f t="shared" si="122"/>
        <v>11.08654006253641</v>
      </c>
      <c r="W2062" s="48">
        <f t="shared" si="122"/>
        <v>11.276402756636248</v>
      </c>
      <c r="X2062" s="48">
        <f t="shared" si="122"/>
        <v>11.466265450736092</v>
      </c>
      <c r="Y2062" s="48">
        <f t="shared" si="122"/>
        <v>11.656128144835929</v>
      </c>
      <c r="Z2062" s="48">
        <f t="shared" si="122"/>
        <v>11.845990838935771</v>
      </c>
      <c r="AA2062" s="48">
        <f t="shared" si="122"/>
        <v>12.035853533035613</v>
      </c>
      <c r="AB2062" s="48">
        <f t="shared" si="122"/>
        <v>12.225716227135452</v>
      </c>
      <c r="AC2062" s="48">
        <f t="shared" si="122"/>
        <v>12.415578921235294</v>
      </c>
      <c r="AD2062" s="48">
        <f t="shared" si="122"/>
        <v>12.605441615335131</v>
      </c>
      <c r="AE2062" s="48">
        <f t="shared" si="122"/>
        <v>12.795304309434975</v>
      </c>
      <c r="AF2062" s="48">
        <f t="shared" si="122"/>
        <v>12.985167003534812</v>
      </c>
      <c r="AG2062" s="48">
        <f t="shared" si="122"/>
        <v>13.175029697634658</v>
      </c>
      <c r="AH2062" s="48">
        <f t="shared" si="122"/>
        <v>13.364892391734495</v>
      </c>
    </row>
    <row r="2063">
      <c r="A2063" s="3" t="str">
        <f>$B2063&amp;"|"&amp;$C2063</f>
        <v>Manual|oil</v>
      </c>
      <c r="B2063" s="3" t="inlineStr">
        <is>
          <t>Manual</t>
        </is>
      </c>
      <c r="C2063" s="3" t="inlineStr">
        <is>
          <t>oil</t>
        </is>
      </c>
      <c r="D2063" s="3" t="inlineStr">
        <is>
          <t>Crude Oil</t>
        </is>
      </c>
      <c r="E2063" s="3" t="inlineStr">
        <is>
          <t>$/bbl nom</t>
        </is>
      </c>
      <c r="F2063" s="3" t="inlineStr">
        <is>
          <t>manual</t>
        </is>
      </c>
      <c r="G2063" s="3" t="n"/>
      <c r="H2063" s="3" t="n"/>
      <c r="I2063" s="3" t="n"/>
      <c r="J2063" s="48">
        <f t="shared" ref="J2063:N2063" si="123">J2014</f>
        <v>70.8315</v>
      </c>
      <c r="K2063" s="48">
        <f t="shared" si="123"/>
        <v>98.996328</v>
      </c>
      <c r="L2063" s="48">
        <f t="shared" si="123"/>
        <v>82.321243</v>
      </c>
      <c r="M2063" s="48">
        <f t="shared" si="123"/>
        <v>79.911739</v>
      </c>
      <c r="N2063" s="48">
        <f t="shared" si="123"/>
        <v>68.324907</v>
      </c>
      <c r="O2063" s="48" t="n">
        <v>27.86986666666667</v>
      </c>
      <c r="P2063" s="48" t="n">
        <v>24.23466666666667</v>
      </c>
      <c r="Q2063" s="48" t="n">
        <v>21.0736231884058</v>
      </c>
      <c r="R2063" s="48" t="n">
        <v>18.32488972904852</v>
      </c>
      <c r="S2063" s="48" t="n">
        <v>18.32488972904852</v>
      </c>
      <c r="T2063" s="48" t="n">
        <v>18.32488972904852</v>
      </c>
      <c r="U2063" s="48" t="n">
        <v>18.32488972904852</v>
      </c>
      <c r="V2063" s="48" t="n">
        <v>18.32488972904852</v>
      </c>
      <c r="W2063" s="48" t="n">
        <v>18.32488972904852</v>
      </c>
      <c r="X2063" s="48" t="n">
        <v>18.32488972904852</v>
      </c>
      <c r="Y2063" s="48" t="n">
        <v>18.32488972904852</v>
      </c>
      <c r="Z2063" s="48" t="n">
        <v>18.32488972904852</v>
      </c>
      <c r="AA2063" s="48" t="n">
        <v>18.32488972904852</v>
      </c>
      <c r="AB2063" s="48" t="n">
        <v>18.32488972904852</v>
      </c>
      <c r="AC2063" s="48" t="n">
        <v>18.32488972904852</v>
      </c>
      <c r="AD2063" s="48" t="n">
        <v>18.32488972904852</v>
      </c>
      <c r="AE2063" s="48" t="n">
        <v>18.32488972904852</v>
      </c>
      <c r="AF2063" s="48" t="n">
        <v>18.32488972904852</v>
      </c>
      <c r="AG2063" s="48" t="n">
        <v>18.32488972904852</v>
      </c>
      <c r="AH2063" s="48" t="inlineStr">
        <is>
          <t>NA</t>
        </is>
      </c>
    </row>
    <row r="2064">
      <c r="A2064" s="3" t="str">
        <f>$B2064&amp;"|"&amp;$C2064</f>
        <v>Manual|coa</v>
      </c>
      <c r="B2064" s="3" t="inlineStr">
        <is>
          <t>Manual</t>
        </is>
      </c>
      <c r="C2064" s="3" t="inlineStr">
        <is>
          <t>coa</t>
        </is>
      </c>
      <c r="D2064" s="3" t="inlineStr">
        <is>
          <t>Coal</t>
        </is>
      </c>
      <c r="E2064" s="3" t="inlineStr">
        <is>
          <t>$/ton nom</t>
        </is>
      </c>
      <c r="F2064" s="3" t="inlineStr">
        <is>
          <t>manual</t>
        </is>
      </c>
      <c r="G2064" s="3" t="n"/>
      <c r="H2064" s="3" t="n"/>
      <c r="I2064" s="3" t="n"/>
      <c r="J2064" s="48">
        <f t="shared" ref="J2064:N2064" si="124">J2015</f>
        <v>143.984744</v>
      </c>
      <c r="K2064" s="48">
        <f t="shared" si="124"/>
        <v>384.169733</v>
      </c>
      <c r="L2064" s="48">
        <f t="shared" si="124"/>
        <v>188.152584</v>
      </c>
      <c r="M2064" s="48">
        <f t="shared" si="124"/>
        <v>143.551382</v>
      </c>
      <c r="N2064" s="48">
        <f t="shared" si="124"/>
        <v>112.437589</v>
      </c>
      <c r="O2064" s="48" t="n">
        <v>37.26037333333334</v>
      </c>
      <c r="P2064" s="48" t="n">
        <v>33.90693973333334</v>
      </c>
      <c r="Q2064" s="48" t="n">
        <v>30.85531515733334</v>
      </c>
      <c r="R2064" s="48" t="n">
        <v>28.07833679317334</v>
      </c>
      <c r="S2064" s="48" t="n">
        <v>28.07833679317334</v>
      </c>
      <c r="T2064" s="48" t="n">
        <v>28.07833679317334</v>
      </c>
      <c r="U2064" s="48" t="n">
        <v>28.07833679317334</v>
      </c>
      <c r="V2064" s="48" t="n">
        <v>28.07833679317334</v>
      </c>
      <c r="W2064" s="48" t="n">
        <v>28.07833679317334</v>
      </c>
      <c r="X2064" s="48" t="n">
        <v>28.07833679317334</v>
      </c>
      <c r="Y2064" s="48" t="n">
        <v>28.07833679317334</v>
      </c>
      <c r="Z2064" s="48" t="n">
        <v>28.07833679317334</v>
      </c>
      <c r="AA2064" s="48" t="n">
        <v>28.07833679317334</v>
      </c>
      <c r="AB2064" s="48" t="n">
        <v>28.07833679317334</v>
      </c>
      <c r="AC2064" s="48" t="n">
        <v>28.07833679317334</v>
      </c>
      <c r="AD2064" s="48" t="n">
        <v>28.07833679317334</v>
      </c>
      <c r="AE2064" s="48" t="n">
        <v>28.07833679317334</v>
      </c>
      <c r="AF2064" s="48" t="n">
        <v>28.07833679317334</v>
      </c>
      <c r="AG2064" s="48" t="n">
        <v>28.07833679317334</v>
      </c>
      <c r="AH2064" s="48" t="inlineStr">
        <is>
          <t>NA</t>
        </is>
      </c>
    </row>
    <row r="2065">
      <c r="A2065" s="3" t="str">
        <f>$B2065&amp;"|"&amp;$C2065</f>
        <v>Manual|nga.lng</v>
      </c>
      <c r="B2065" s="3" t="inlineStr">
        <is>
          <t>Manual</t>
        </is>
      </c>
      <c r="C2065" s="3" t="inlineStr">
        <is>
          <t>nga.lng</t>
        </is>
      </c>
      <c r="D2065" s="3" t="inlineStr">
        <is>
          <t>Natural Gas - LNG</t>
        </is>
      </c>
      <c r="E2065" s="3" t="inlineStr">
        <is>
          <t>$/MMBtu nom</t>
        </is>
      </c>
      <c r="F2065" s="3" t="inlineStr">
        <is>
          <t>manual</t>
        </is>
      </c>
      <c r="G2065" s="3" t="n"/>
      <c r="H2065" s="3" t="n"/>
      <c r="I2065" s="3" t="n"/>
      <c r="J2065" s="48">
        <f t="shared" ref="J2065:N2065" si="125">J2016</f>
        <v>18.600467</v>
      </c>
      <c r="K2065" s="48">
        <f t="shared" si="125"/>
        <v>33.297022</v>
      </c>
      <c r="L2065" s="48">
        <f t="shared" si="125"/>
        <v>13.463505</v>
      </c>
      <c r="M2065" s="48">
        <f t="shared" si="125"/>
        <v>11.708527</v>
      </c>
      <c r="N2065" s="48">
        <f t="shared" si="125"/>
        <v>12.08775</v>
      </c>
      <c r="O2065" s="48" t="n">
        <v>7.121624358942219</v>
      </c>
      <c r="P2065" s="48" t="n">
        <v>6.352488928176459</v>
      </c>
      <c r="Q2065" s="48" t="n">
        <v>5.666420123933402</v>
      </c>
      <c r="R2065" s="48" t="n">
        <v>5.054446750548594</v>
      </c>
      <c r="S2065" s="48" t="n">
        <v>5.054446750548594</v>
      </c>
      <c r="T2065" s="48" t="n">
        <v>5.054446750548594</v>
      </c>
      <c r="U2065" s="48" t="n">
        <v>5.054446750548594</v>
      </c>
      <c r="V2065" s="48" t="n">
        <v>5.054446750548594</v>
      </c>
      <c r="W2065" s="48" t="n">
        <v>5.054446750548594</v>
      </c>
      <c r="X2065" s="48" t="n">
        <v>5.054446750548594</v>
      </c>
      <c r="Y2065" s="48" t="n">
        <v>5.054446750548594</v>
      </c>
      <c r="Z2065" s="48" t="n">
        <v>5.054446750548594</v>
      </c>
      <c r="AA2065" s="48" t="n">
        <v>5.054446750548594</v>
      </c>
      <c r="AB2065" s="48" t="n">
        <v>5.054446750548594</v>
      </c>
      <c r="AC2065" s="48" t="n">
        <v>5.054446750548594</v>
      </c>
      <c r="AD2065" s="48" t="n">
        <v>5.054446750548594</v>
      </c>
      <c r="AE2065" s="48" t="n">
        <v>5.054446750548594</v>
      </c>
      <c r="AF2065" s="48" t="n">
        <v>5.054446750548594</v>
      </c>
      <c r="AG2065" s="48" t="n">
        <v>5.054446750548594</v>
      </c>
      <c r="AH2065" s="48" t="inlineStr">
        <is>
          <t>NA</t>
        </is>
      </c>
    </row>
    <row r="2066">
      <c r="A2066" s="3" t="str">
        <f>$B2066&amp;"|"&amp;$C2066</f>
        <v>Manual|nga.nam</v>
      </c>
      <c r="B2066" s="3" t="inlineStr">
        <is>
          <t>Manual</t>
        </is>
      </c>
      <c r="C2066" s="3" t="inlineStr">
        <is>
          <t>nga.nam</t>
        </is>
      </c>
      <c r="D2066" s="3" t="inlineStr">
        <is>
          <t>Natural Gas - North Am</t>
        </is>
      </c>
      <c r="E2066" s="3" t="inlineStr">
        <is>
          <t>$/MMBtu nom</t>
        </is>
      </c>
      <c r="F2066" s="3" t="inlineStr">
        <is>
          <t>manual</t>
        </is>
      </c>
      <c r="G2066" s="3" t="n"/>
      <c r="H2066" s="3" t="n"/>
      <c r="I2066" s="3" t="n"/>
      <c r="J2066" s="48">
        <f t="shared" ref="J2066:N2066" si="126">J2017</f>
        <v>3.716119</v>
      </c>
      <c r="K2066" s="48">
        <f t="shared" si="126"/>
        <v>6.516296</v>
      </c>
      <c r="L2066" s="48">
        <f t="shared" si="126"/>
        <v>2.671452</v>
      </c>
      <c r="M2066" s="48">
        <f t="shared" si="126"/>
        <v>2.417967</v>
      </c>
      <c r="N2066" s="48">
        <f t="shared" si="126"/>
        <v>3.63474</v>
      </c>
      <c r="O2066" s="48" t="n">
        <v>1.570430769230769</v>
      </c>
      <c r="P2066" s="48" t="n">
        <v>1.537713461538461</v>
      </c>
      <c r="Q2066" s="48" t="n">
        <v>1.505677764423077</v>
      </c>
      <c r="R2066" s="48" t="n">
        <v>1.474309477664264</v>
      </c>
      <c r="S2066" s="48" t="n">
        <v>1.474309477664264</v>
      </c>
      <c r="T2066" s="48" t="n">
        <v>1.474309477664264</v>
      </c>
      <c r="U2066" s="48" t="n">
        <v>1.474309477664264</v>
      </c>
      <c r="V2066" s="48" t="n">
        <v>1.474309477664264</v>
      </c>
      <c r="W2066" s="48" t="n">
        <v>1.474309477664264</v>
      </c>
      <c r="X2066" s="48" t="n">
        <v>1.474309477664264</v>
      </c>
      <c r="Y2066" s="48" t="n">
        <v>1.474309477664264</v>
      </c>
      <c r="Z2066" s="48" t="n">
        <v>1.474309477664264</v>
      </c>
      <c r="AA2066" s="48" t="n">
        <v>1.474309477664264</v>
      </c>
      <c r="AB2066" s="48" t="n">
        <v>1.474309477664264</v>
      </c>
      <c r="AC2066" s="48" t="n">
        <v>1.474309477664264</v>
      </c>
      <c r="AD2066" s="48" t="n">
        <v>1.474309477664264</v>
      </c>
      <c r="AE2066" s="48" t="n">
        <v>1.474309477664264</v>
      </c>
      <c r="AF2066" s="48" t="n">
        <v>1.474309477664264</v>
      </c>
      <c r="AG2066" s="48" t="n">
        <v>1.474309477664264</v>
      </c>
      <c r="AH2066" s="48" t="inlineStr">
        <is>
          <t>NA</t>
        </is>
      </c>
    </row>
    <row r="2067">
      <c r="A2067" s="3" t="str">
        <f>$B2067&amp;"|"&amp;$C2067</f>
        <v>Manual|nga.eur</v>
      </c>
      <c r="B2067" s="3" t="inlineStr">
        <is>
          <t>Manual</t>
        </is>
      </c>
      <c r="C2067" s="3" t="inlineStr">
        <is>
          <t>nga.eur</t>
        </is>
      </c>
      <c r="D2067" s="3" t="inlineStr">
        <is>
          <t>Natural Gas - Europe</t>
        </is>
      </c>
      <c r="E2067" s="3" t="inlineStr">
        <is>
          <t>$/MMBtu nom</t>
        </is>
      </c>
      <c r="F2067" s="3" t="inlineStr">
        <is>
          <t>manual</t>
        </is>
      </c>
      <c r="G2067" s="3" t="n"/>
      <c r="H2067" s="3" t="n"/>
      <c r="I2067" s="3" t="n"/>
      <c r="J2067" s="48">
        <f t="shared" ref="J2067:N2067" si="127">J2018</f>
        <v>15.907363</v>
      </c>
      <c r="K2067" s="48">
        <f t="shared" si="127"/>
        <v>37.519835</v>
      </c>
      <c r="L2067" s="48">
        <f t="shared" si="127"/>
        <v>12.883181</v>
      </c>
      <c r="M2067" s="48">
        <f t="shared" si="127"/>
        <v>10.891141</v>
      </c>
      <c r="N2067" s="48">
        <f t="shared" si="127"/>
        <v>11.912392</v>
      </c>
      <c r="O2067" s="48" t="n">
        <v>1.338020466734499</v>
      </c>
      <c r="P2067" s="48" t="n">
        <v>1.271119443397774</v>
      </c>
      <c r="Q2067" s="48" t="n">
        <v>1.207563471227885</v>
      </c>
      <c r="R2067" s="48" t="n">
        <v>1.147185297666491</v>
      </c>
      <c r="S2067" s="48" t="n">
        <v>1.147185297666491</v>
      </c>
      <c r="T2067" s="48" t="n">
        <v>1.147185297666491</v>
      </c>
      <c r="U2067" s="48" t="n">
        <v>1.147185297666491</v>
      </c>
      <c r="V2067" s="48" t="n">
        <v>1.147185297666491</v>
      </c>
      <c r="W2067" s="48" t="n">
        <v>1.147185297666491</v>
      </c>
      <c r="X2067" s="48" t="n">
        <v>1.147185297666491</v>
      </c>
      <c r="Y2067" s="48" t="n">
        <v>1.147185297666491</v>
      </c>
      <c r="Z2067" s="48" t="n">
        <v>1.147185297666491</v>
      </c>
      <c r="AA2067" s="48" t="n">
        <v>1.147185297666491</v>
      </c>
      <c r="AB2067" s="48" t="n">
        <v>1.147185297666491</v>
      </c>
      <c r="AC2067" s="48" t="n">
        <v>1.147185297666491</v>
      </c>
      <c r="AD2067" s="48" t="n">
        <v>1.147185297666491</v>
      </c>
      <c r="AE2067" s="48" t="n">
        <v>1.147185297666491</v>
      </c>
      <c r="AF2067" s="48" t="n">
        <v>1.147185297666491</v>
      </c>
      <c r="AG2067" s="48" t="n">
        <v>1.147185297666491</v>
      </c>
      <c r="AH2067" s="48" t="inlineStr">
        <is>
          <t>NA</t>
        </is>
      </c>
    </row>
    <row r="2068">
      <c r="A2068" s="3" t="str">
        <f>$B2068&amp;"|"&amp;$C2068</f>
        <v>Manual|nga.glo</v>
      </c>
      <c r="B2068" s="3" t="inlineStr">
        <is>
          <t>Manual</t>
        </is>
      </c>
      <c r="C2068" s="3" t="inlineStr">
        <is>
          <t>nga.glo</t>
        </is>
      </c>
      <c r="D2068" s="3" t="inlineStr">
        <is>
          <t>Natural gas - Global</t>
        </is>
      </c>
      <c r="E2068" s="3" t="inlineStr">
        <is>
          <t>$/MMBtu nom</t>
        </is>
      </c>
      <c r="F2068" s="3" t="inlineStr">
        <is>
          <t>glo</t>
        </is>
      </c>
      <c r="G2068" s="3" t="n"/>
      <c r="H2068" s="3" t="n"/>
      <c r="I2068" s="3" t="n"/>
      <c r="J2068" s="48">
        <f t="shared" ref="J2068:N2068" si="128">J2019</f>
        <v>12.741316333333332</v>
      </c>
      <c r="K2068" s="48">
        <f t="shared" si="128"/>
        <v>25.777717666666664</v>
      </c>
      <c r="L2068" s="48">
        <f t="shared" si="128"/>
        <v>9.672712666666667</v>
      </c>
      <c r="M2068" s="48">
        <f t="shared" si="128"/>
        <v>8.339211666666666</v>
      </c>
      <c r="N2068" s="48">
        <f t="shared" si="128"/>
        <v>9.211627333333334</v>
      </c>
      <c r="O2068" s="48">
        <f t="shared" ref="O2068:AH2068" si="129">IFERROR(AVERAGE(O2065:O2067),"NA")</f>
        <v>3.343358531635829</v>
      </c>
      <c r="P2068" s="48">
        <f t="shared" si="129"/>
        <v>3.053773944370898</v>
      </c>
      <c r="Q2068" s="48">
        <f t="shared" si="129"/>
        <v>2.793220453194788</v>
      </c>
      <c r="R2068" s="48">
        <f t="shared" si="129"/>
        <v>2.558647175293116</v>
      </c>
      <c r="S2068" s="48">
        <f t="shared" si="129"/>
        <v>2.558647175293116</v>
      </c>
      <c r="T2068" s="48">
        <f t="shared" si="129"/>
        <v>2.558647175293116</v>
      </c>
      <c r="U2068" s="48">
        <f t="shared" si="129"/>
        <v>2.558647175293116</v>
      </c>
      <c r="V2068" s="48">
        <f t="shared" si="129"/>
        <v>2.558647175293116</v>
      </c>
      <c r="W2068" s="48">
        <f t="shared" si="129"/>
        <v>2.558647175293116</v>
      </c>
      <c r="X2068" s="48">
        <f t="shared" si="129"/>
        <v>2.558647175293116</v>
      </c>
      <c r="Y2068" s="48">
        <f t="shared" si="129"/>
        <v>2.558647175293116</v>
      </c>
      <c r="Z2068" s="48">
        <f t="shared" si="129"/>
        <v>2.558647175293116</v>
      </c>
      <c r="AA2068" s="48">
        <f t="shared" si="129"/>
        <v>2.558647175293116</v>
      </c>
      <c r="AB2068" s="48">
        <f t="shared" si="129"/>
        <v>2.558647175293116</v>
      </c>
      <c r="AC2068" s="48">
        <f t="shared" si="129"/>
        <v>2.558647175293116</v>
      </c>
      <c r="AD2068" s="48">
        <f t="shared" si="129"/>
        <v>2.558647175293116</v>
      </c>
      <c r="AE2068" s="48">
        <f t="shared" si="129"/>
        <v>2.558647175293116</v>
      </c>
      <c r="AF2068" s="48">
        <f t="shared" si="129"/>
        <v>2.558647175293116</v>
      </c>
      <c r="AG2068" s="48">
        <f t="shared" si="129"/>
        <v>2.558647175293116</v>
      </c>
      <c r="AH2068" s="48" t="str">
        <f t="shared" si="129"/>
        <v>NA</v>
      </c>
    </row>
    <row r="2069">
      <c r="A2069" s="3" t="str">
        <f>$B2069&amp;"|"&amp;$C2069</f>
        <v>Manual|nga.eus</v>
      </c>
      <c r="B2069" s="3" t="inlineStr">
        <is>
          <t>Manual</t>
        </is>
      </c>
      <c r="C2069" s="3" t="inlineStr">
        <is>
          <t>nga.eus</t>
        </is>
      </c>
      <c r="D2069" s="3" t="inlineStr">
        <is>
          <t>Natural Gas - Europe with the shift to LNG (legacy row 706, share row 699)</t>
        </is>
      </c>
      <c r="E2069" s="3" t="inlineStr">
        <is>
          <t>$/MMBtu nom</t>
        </is>
      </c>
      <c r="F2069" s="3" t="inlineStr">
        <is>
          <t>eus</t>
        </is>
      </c>
      <c r="G2069" s="3" t="n"/>
      <c r="H2069" s="3" t="n"/>
      <c r="I2069" s="3" t="n"/>
      <c r="J2069" s="48">
        <f t="shared" ref="J2069:AH2069" si="130">IFERROR(J2067*(1-J$2011)+J2065*J$2011,"NA")</f>
        <v>15.907363</v>
      </c>
      <c r="K2069" s="48">
        <f t="shared" si="130"/>
        <v>35.07060346</v>
      </c>
      <c r="L2069" s="48">
        <f t="shared" si="130"/>
        <v>13.233116372</v>
      </c>
      <c r="M2069" s="48">
        <f t="shared" si="130"/>
        <v>11.491102324</v>
      </c>
      <c r="N2069" s="48">
        <f t="shared" si="130"/>
        <v>12.058640572</v>
      </c>
      <c r="O2069" s="48">
        <f t="shared" si="130"/>
        <v>6.161546112835738</v>
      </c>
      <c r="P2069" s="48">
        <f t="shared" si="130"/>
        <v>5.508981593703198</v>
      </c>
      <c r="Q2069" s="48">
        <f t="shared" si="130"/>
        <v>4.9262499195842855</v>
      </c>
      <c r="R2069" s="48">
        <f t="shared" si="130"/>
        <v>4.4058413493701645</v>
      </c>
      <c r="S2069" s="48">
        <f t="shared" si="130"/>
        <v>4.4058413493701645</v>
      </c>
      <c r="T2069" s="48">
        <f t="shared" si="130"/>
        <v>4.4058413493701645</v>
      </c>
      <c r="U2069" s="48">
        <f t="shared" si="130"/>
        <v>4.4058413493701645</v>
      </c>
      <c r="V2069" s="48">
        <f t="shared" si="130"/>
        <v>4.4058413493701645</v>
      </c>
      <c r="W2069" s="48">
        <f t="shared" si="130"/>
        <v>4.4058413493701645</v>
      </c>
      <c r="X2069" s="48">
        <f t="shared" si="130"/>
        <v>4.4058413493701645</v>
      </c>
      <c r="Y2069" s="48">
        <f t="shared" si="130"/>
        <v>4.4058413493701645</v>
      </c>
      <c r="Z2069" s="48">
        <f t="shared" si="130"/>
        <v>4.4058413493701645</v>
      </c>
      <c r="AA2069" s="48">
        <f t="shared" si="130"/>
        <v>4.4058413493701645</v>
      </c>
      <c r="AB2069" s="48">
        <f t="shared" si="130"/>
        <v>4.4058413493701645</v>
      </c>
      <c r="AC2069" s="48">
        <f t="shared" si="130"/>
        <v>4.4058413493701645</v>
      </c>
      <c r="AD2069" s="48">
        <f t="shared" si="130"/>
        <v>4.4058413493701645</v>
      </c>
      <c r="AE2069" s="48">
        <f t="shared" si="130"/>
        <v>4.4058413493701645</v>
      </c>
      <c r="AF2069" s="48">
        <f t="shared" si="130"/>
        <v>4.4058413493701645</v>
      </c>
      <c r="AG2069" s="48">
        <f t="shared" si="130"/>
        <v>4.4058413493701645</v>
      </c>
      <c r="AH2069" s="48" t="str">
        <f t="shared" si="130"/>
        <v>NA</v>
      </c>
    </row>
    <row r="2070"/>
    <row r="2071">
      <c r="D2071" s="3" t="inlineStr">
        <is>
          <t>Year column in Prices_int, year row</t>
        </is>
      </c>
      <c r="H2071" s="8" t="n">
        <v>11</v>
      </c>
      <c r="J2071" s="39" t="n">
        <v>34</v>
      </c>
      <c r="K2071" s="39" t="n">
        <v>35</v>
      </c>
      <c r="L2071" s="39" t="n">
        <v>36</v>
      </c>
      <c r="M2071" s="39" t="n">
        <v>37</v>
      </c>
      <c r="N2071" s="39" t="n">
        <v>38</v>
      </c>
      <c r="O2071" s="39" t="n">
        <v>39</v>
      </c>
      <c r="P2071" s="39" t="n">
        <v>40</v>
      </c>
      <c r="Q2071" s="39" t="n">
        <v>41</v>
      </c>
      <c r="R2071" s="39" t="n">
        <v>42</v>
      </c>
      <c r="S2071" s="39" t="n">
        <v>43</v>
      </c>
      <c r="T2071" s="39" t="n">
        <v>44</v>
      </c>
      <c r="U2071" s="39" t="n">
        <v>45</v>
      </c>
      <c r="V2071" s="39" t="n">
        <v>46</v>
      </c>
      <c r="W2071" s="39" t="n">
        <v>47</v>
      </c>
      <c r="X2071" s="39" t="n">
        <v>48</v>
      </c>
      <c r="Y2071" s="39" t="n">
        <v>0</v>
      </c>
      <c r="Z2071" s="39" t="n">
        <v>0</v>
      </c>
      <c r="AA2071" s="39" t="n">
        <v>0</v>
      </c>
      <c r="AB2071" s="39" t="n">
        <v>0</v>
      </c>
      <c r="AC2071" s="39" t="n">
        <v>0</v>
      </c>
      <c r="AD2071" s="39" t="n">
        <v>0</v>
      </c>
      <c r="AE2071" s="39" t="n">
        <v>0</v>
      </c>
      <c r="AF2071" s="39" t="n">
        <v>0</v>
      </c>
      <c r="AG2071" s="39" t="n">
        <v>0</v>
      </c>
      <c r="AH2071" s="39" t="n">
        <v>0</v>
      </c>
    </row>
    <row r="2072">
      <c r="D2072" s="3" t="inlineStr">
        <is>
          <t>Year column in Prices_int, year row</t>
        </is>
      </c>
      <c r="H2072" s="8" t="n">
        <v>23</v>
      </c>
      <c r="J2072" s="39" t="n">
        <v>34</v>
      </c>
      <c r="K2072" s="39" t="n">
        <v>35</v>
      </c>
      <c r="L2072" s="39" t="n">
        <v>36</v>
      </c>
      <c r="M2072" s="39" t="n">
        <v>37</v>
      </c>
      <c r="N2072" s="39" t="n">
        <v>38</v>
      </c>
      <c r="O2072" s="39" t="n">
        <v>39</v>
      </c>
      <c r="P2072" s="39" t="n">
        <v>40</v>
      </c>
      <c r="Q2072" s="39" t="n">
        <v>41</v>
      </c>
      <c r="R2072" s="39" t="n">
        <v>42</v>
      </c>
      <c r="S2072" s="39" t="n">
        <v>43</v>
      </c>
      <c r="T2072" s="39" t="n">
        <v>44</v>
      </c>
      <c r="U2072" s="39" t="n">
        <v>0</v>
      </c>
      <c r="V2072" s="39" t="n">
        <v>0</v>
      </c>
      <c r="W2072" s="39" t="n">
        <v>0</v>
      </c>
      <c r="X2072" s="39" t="n">
        <v>0</v>
      </c>
      <c r="Y2072" s="39" t="n">
        <v>0</v>
      </c>
      <c r="Z2072" s="39" t="n">
        <v>0</v>
      </c>
      <c r="AA2072" s="39" t="n">
        <v>0</v>
      </c>
      <c r="AB2072" s="39" t="n">
        <v>0</v>
      </c>
      <c r="AC2072" s="39" t="n">
        <v>0</v>
      </c>
      <c r="AD2072" s="39" t="n">
        <v>0</v>
      </c>
      <c r="AE2072" s="39" t="n">
        <v>0</v>
      </c>
      <c r="AF2072" s="39" t="n">
        <v>0</v>
      </c>
      <c r="AG2072" s="39" t="n">
        <v>0</v>
      </c>
      <c r="AH2072" s="39" t="n">
        <v>0</v>
      </c>
    </row>
    <row r="2073">
      <c r="D2073" s="3" t="inlineStr">
        <is>
          <t>Year column in Prices_int, year row</t>
        </is>
      </c>
      <c r="H2073" s="8" t="n">
        <v>36</v>
      </c>
      <c r="J2073" s="39" t="n">
        <v>34</v>
      </c>
      <c r="K2073" s="39" t="n">
        <v>35</v>
      </c>
      <c r="L2073" s="39" t="n">
        <v>36</v>
      </c>
      <c r="M2073" s="39" t="n">
        <v>37</v>
      </c>
      <c r="N2073" s="39" t="n">
        <v>38</v>
      </c>
      <c r="O2073" s="39" t="n">
        <v>39</v>
      </c>
      <c r="P2073" s="39" t="n">
        <v>40</v>
      </c>
      <c r="Q2073" s="39" t="n">
        <v>41</v>
      </c>
      <c r="R2073" s="39" t="n">
        <v>42</v>
      </c>
      <c r="S2073" s="39" t="n">
        <v>43</v>
      </c>
      <c r="T2073" s="39" t="n">
        <v>44</v>
      </c>
      <c r="U2073" s="39" t="n">
        <v>45</v>
      </c>
      <c r="V2073" s="39" t="n">
        <v>46</v>
      </c>
      <c r="W2073" s="39" t="n">
        <v>47</v>
      </c>
      <c r="X2073" s="39" t="n">
        <v>48</v>
      </c>
      <c r="Y2073" s="39" t="n">
        <v>49</v>
      </c>
      <c r="Z2073" s="39" t="n">
        <v>50</v>
      </c>
      <c r="AA2073" s="39" t="n">
        <v>51</v>
      </c>
      <c r="AB2073" s="39" t="n">
        <v>52</v>
      </c>
      <c r="AC2073" s="39" t="n">
        <v>53</v>
      </c>
      <c r="AD2073" s="39" t="n">
        <v>0</v>
      </c>
      <c r="AE2073" s="39" t="n">
        <v>0</v>
      </c>
      <c r="AF2073" s="39" t="n">
        <v>0</v>
      </c>
      <c r="AG2073" s="39" t="n">
        <v>0</v>
      </c>
      <c r="AH2073" s="39" t="n">
        <v>0</v>
      </c>
    </row>
    <row r="2074">
      <c r="D2074" s="3" t="inlineStr">
        <is>
          <t>Year column in Prices_int, year row</t>
        </is>
      </c>
      <c r="H2074" s="8" t="n">
        <v>49</v>
      </c>
      <c r="J2074" s="39" t="n">
        <v>34</v>
      </c>
      <c r="K2074" s="39" t="n">
        <v>35</v>
      </c>
      <c r="L2074" s="39" t="n">
        <v>36</v>
      </c>
      <c r="M2074" s="39" t="n">
        <v>37</v>
      </c>
      <c r="N2074" s="39" t="n">
        <v>38</v>
      </c>
      <c r="O2074" s="39" t="n">
        <v>39</v>
      </c>
      <c r="P2074" s="39" t="n">
        <v>40</v>
      </c>
      <c r="Q2074" s="39" t="n">
        <v>41</v>
      </c>
      <c r="R2074" s="39" t="n">
        <v>42</v>
      </c>
      <c r="S2074" s="39" t="n">
        <v>43</v>
      </c>
      <c r="T2074" s="39" t="n">
        <v>44</v>
      </c>
      <c r="U2074" s="39" t="n">
        <v>45</v>
      </c>
      <c r="V2074" s="39" t="n">
        <v>46</v>
      </c>
      <c r="W2074" s="39" t="n">
        <v>47</v>
      </c>
      <c r="X2074" s="39" t="n">
        <v>48</v>
      </c>
      <c r="Y2074" s="39" t="n">
        <v>49</v>
      </c>
      <c r="Z2074" s="39" t="n">
        <v>50</v>
      </c>
      <c r="AA2074" s="39" t="n">
        <v>51</v>
      </c>
      <c r="AB2074" s="39" t="n">
        <v>52</v>
      </c>
      <c r="AC2074" s="39" t="n">
        <v>53</v>
      </c>
      <c r="AD2074" s="39" t="n">
        <v>54</v>
      </c>
      <c r="AE2074" s="39" t="n">
        <v>55</v>
      </c>
      <c r="AF2074" s="39" t="n">
        <v>56</v>
      </c>
      <c r="AG2074" s="39" t="n">
        <v>57</v>
      </c>
      <c r="AH2074" s="39" t="n">
        <v>58</v>
      </c>
    </row>
    <row r="2075"/>
    <row r="2076"/>
    <row r="2077"/>
    <row r="2078"/>
    <row r="2079">
      <c r="A2079" s="4" t="inlineStr">
        <is>
          <t>Existing carbon pricing of the country: carbon tax and ETS prices and coverage (data step; legacy ECP tab)</t>
        </is>
      </c>
      <c r="B2079" s="5" t="n"/>
      <c r="C2079" s="5" t="n"/>
      <c r="D2079" s="5" t="n"/>
      <c r="E2079" s="5" t="n"/>
      <c r="F2079" s="5" t="n"/>
      <c r="G2079" s="5" t="n"/>
      <c r="H2079" s="5" t="n"/>
      <c r="I2079" s="5" t="n"/>
      <c r="J2079" s="5" t="n"/>
      <c r="K2079" s="5" t="n"/>
      <c r="L2079" s="5" t="n"/>
      <c r="M2079" s="5" t="n"/>
      <c r="N2079" s="5" t="n"/>
      <c r="O2079" s="5" t="n"/>
      <c r="P2079" s="5" t="n"/>
      <c r="Q2079" s="5" t="n"/>
      <c r="R2079" s="5" t="n"/>
      <c r="S2079" s="5" t="n"/>
      <c r="T2079" s="5" t="n"/>
      <c r="U2079" s="5" t="n"/>
      <c r="V2079" s="5" t="n"/>
      <c r="W2079" s="5" t="n"/>
      <c r="X2079" s="5" t="n"/>
      <c r="Y2079" s="5" t="n"/>
      <c r="Z2079" s="5" t="n"/>
      <c r="AA2079" s="5" t="n"/>
      <c r="AB2079" s="5" t="n"/>
      <c r="AC2079" s="5" t="n"/>
      <c r="AD2079" s="5" t="n"/>
      <c r="AE2079" s="5" t="n"/>
      <c r="AF2079" s="5" t="n"/>
      <c r="AG2079" s="5" t="n"/>
      <c r="AH2079" s="5" t="n"/>
      <c r="AI2079" s="5" t="n"/>
      <c r="AJ2079" s="5" t="n"/>
      <c r="AK2079" s="5" t="n"/>
      <c r="AL2079" s="5" t="n"/>
      <c r="AM2079" s="5" t="n"/>
      <c r="AN2079" s="5" t="n"/>
      <c r="AO2079" s="5" t="n"/>
      <c r="AP2079" s="5" t="n"/>
      <c r="AQ2079" s="5" t="n"/>
      <c r="AR2079" s="5" t="n"/>
      <c r="AS2079" s="5" t="n"/>
      <c r="AT2079" s="5" t="n"/>
      <c r="AU2079" s="5" t="n"/>
      <c r="AV2079" s="5" t="n"/>
      <c r="AW2079" s="5" t="n"/>
      <c r="AX2079" s="5" t="n"/>
      <c r="AY2079" s="5" t="n"/>
      <c r="AZ2079" s="5" t="n"/>
      <c r="BA2079" s="5" t="n"/>
      <c r="BB2079" s="5" t="n"/>
      <c r="BC2079" s="5" t="n"/>
      <c r="BD2079" s="5" t="n"/>
      <c r="BE2079" s="5" t="n"/>
      <c r="BF2079" s="5" t="n"/>
      <c r="BG2079" s="5" t="n"/>
      <c r="BH2079" s="5" t="n"/>
      <c r="BI2079" s="5" t="n"/>
      <c r="BJ2079" s="5" t="n"/>
      <c r="BK2079" s="5" t="n"/>
      <c r="BL2079" s="5" t="n"/>
      <c r="BM2079" s="5" t="n"/>
      <c r="BN2079" s="5" t="n"/>
      <c r="BO2079" s="5" t="n"/>
      <c r="BP2079" s="5" t="n"/>
      <c r="BQ2079" s="5" t="n"/>
      <c r="BR2079" s="5" t="n"/>
      <c r="BS2079" s="5" t="n"/>
      <c r="BT2079" s="5" t="n"/>
      <c r="BU2079" s="5" t="n"/>
      <c r="BV2079" s="5" t="n"/>
      <c r="BW2079" s="5" t="n"/>
      <c r="BX2079" s="5" t="n"/>
      <c r="BY2079" s="5" t="n"/>
      <c r="BZ2079" s="5" t="n"/>
      <c r="CA2079" s="5" t="n"/>
      <c r="CB2079" s="5" t="n"/>
      <c r="CC2079" s="5" t="n"/>
      <c r="CD2079" s="5" t="n"/>
      <c r="CE2079" s="5" t="n"/>
      <c r="CF2079" s="5" t="n"/>
      <c r="CG2079" s="5" t="n"/>
      <c r="CH2079" s="5" t="n"/>
      <c r="CI2079" s="5" t="n"/>
      <c r="CJ2079" s="5" t="n"/>
      <c r="CK2079" s="5" t="n"/>
      <c r="CL2079" s="5" t="n"/>
      <c r="CM2079" s="5" t="n"/>
      <c r="CN2079" s="5" t="n"/>
      <c r="CO2079" s="5" t="n"/>
      <c r="CP2079" s="5" t="n"/>
      <c r="CQ2079" s="5" t="n"/>
      <c r="CR2079" s="5" t="n"/>
      <c r="CS2079" s="5" t="n"/>
      <c r="CT2079" s="5" t="n"/>
      <c r="CU2079" s="5" t="n"/>
      <c r="CV2079" s="5" t="n"/>
      <c r="CW2079" s="5" t="n"/>
      <c r="CX2079" s="5" t="n"/>
      <c r="CY2079" s="5" t="n"/>
      <c r="CZ2079" s="5" t="n"/>
      <c r="DA2079" s="5" t="n"/>
      <c r="DB2079" s="5" t="n"/>
      <c r="DC2079" s="5" t="n"/>
      <c r="DD2079" s="5" t="n"/>
      <c r="DE2079" s="5" t="n"/>
      <c r="DF2079" s="5" t="n"/>
      <c r="DG2079" s="5" t="n"/>
      <c r="DH2079" s="5" t="n"/>
      <c r="DI2079" s="5" t="n"/>
      <c r="DJ2079" s="5" t="n"/>
      <c r="DK2079" s="5" t="n"/>
      <c r="DL2079" s="5" t="n"/>
      <c r="DM2079" s="5" t="n"/>
      <c r="DN2079" s="5" t="n"/>
      <c r="DO2079" s="5" t="n"/>
      <c r="DP2079" s="5" t="n"/>
      <c r="DQ2079" s="5" t="n"/>
      <c r="DR2079" s="5" t="n"/>
      <c r="DS2079" s="5" t="n"/>
      <c r="DT2079" s="5" t="n"/>
      <c r="DU2079" s="5" t="n"/>
      <c r="DV2079" s="5" t="n"/>
      <c r="DW2079" s="5" t="n"/>
      <c r="DX2079" s="5" t="n"/>
      <c r="DY2079" s="5" t="n"/>
      <c r="DZ2079" s="5" t="n"/>
      <c r="EA2079" s="5" t="n"/>
      <c r="EB2079" s="5" t="n"/>
      <c r="EC2079" s="5" t="n"/>
      <c r="ED2079" s="5" t="n"/>
      <c r="EE2079" s="5" t="n"/>
      <c r="EF2079" s="5" t="n"/>
      <c r="EG2079" s="5" t="n"/>
      <c r="EH2079" s="5" t="n"/>
      <c r="EI2079" s="5" t="n"/>
      <c r="EJ2079" s="5" t="n"/>
      <c r="EK2079" s="5" t="n"/>
      <c r="EL2079" s="5" t="n"/>
      <c r="EM2079" s="5" t="n"/>
      <c r="EN2079" s="5" t="n"/>
      <c r="EO2079" s="5" t="n"/>
      <c r="EP2079" s="5" t="n"/>
      <c r="EQ2079" s="5" t="n"/>
      <c r="ER2079" s="5" t="n"/>
      <c r="ES2079" s="5" t="n"/>
      <c r="ET2079" s="5" t="n"/>
      <c r="EU2079" s="5" t="n"/>
      <c r="EV2079" s="5" t="n"/>
      <c r="EW2079" s="5" t="n"/>
      <c r="EX2079" s="5" t="n"/>
      <c r="EY2079" s="5" t="n"/>
      <c r="EZ2079" s="5" t="n"/>
      <c r="FA2079" s="5" t="n"/>
      <c r="FB2079" s="5" t="n"/>
      <c r="FC2079" s="5" t="n"/>
      <c r="FD2079" s="5" t="n"/>
      <c r="FE2079" s="5" t="n"/>
      <c r="FF2079" s="5" t="n"/>
      <c r="FG2079" s="5" t="n"/>
      <c r="FH2079" s="5" t="n"/>
      <c r="FI2079" s="5" t="n"/>
      <c r="FJ2079" s="5" t="n"/>
      <c r="FK2079" s="5" t="n"/>
      <c r="FL2079" s="5" t="n"/>
      <c r="FM2079" s="5" t="n"/>
      <c r="FN2079" s="5" t="n"/>
      <c r="FO2079" s="5" t="n"/>
    </row>
    <row r="2080">
      <c r="A2080" s="3" t="inlineStr">
        <is>
          <t>Selected country (Settings C4): values used by Mitigation (0 where the country has no entry). Prices: nominal data x CPI index (real USD/tCO2 of ResultsYear). Coverage of each data year (blank = 0, as legacy). ecr = carbon tax rate (all, by fuel: the fuel rate where the country has one and no single price, else the single rate); ecs/ecf = its sector / fuel coverage; eer/ees/eef = national ETS; rer/res/ref = regional EU ETS (EU price, the country's regional coverage). Each code is looked up in its legacy block of sheet ECP (columns K:L).</t>
        </is>
      </c>
    </row>
    <row r="2081">
      <c r="A2081" s="3" t="inlineStr">
        <is>
          <t>Code prefix of the country</t>
        </is>
      </c>
      <c r="C2081" s="3" t="str">
        <f>LOWER(CtryCode)&amp;".mit."</f>
        <v>egy.mit.</v>
      </c>
    </row>
    <row r="2082">
      <c r="A2082" s="3" t="inlineStr">
        <is>
          <t>Single price? / EU ETS? (sheet ECP general information, columns E and K; legacy row 81 K:L)</t>
        </is>
      </c>
      <c r="C2082" s="3" t="n"/>
      <c r="D2082" s="3" t="n"/>
    </row>
    <row r="2083">
      <c r="A2083" s="3" t="inlineStr">
        <is>
          <t>EU ETS applies (EU ETS? = Yes or Both; legacy row 1695) / column of the embedded year</t>
        </is>
      </c>
      <c r="C2083" s="39">
        <f>IF(OR($D$2082="Yes",$D$2082="Both"),1,0)</f>
        <v>0.0</v>
      </c>
      <c r="D2083" s="39">
        <f>MATCH(MIN(LastHist,ECPLast),ECPYear,0)</f>
        <v>4.0</v>
      </c>
      <c r="E2083" s="39" t="n">
        <v>7</v>
      </c>
      <c r="F2083" s="39" t="n">
        <v>8</v>
      </c>
      <c r="G2083" s="39" t="n">
        <v>9</v>
      </c>
      <c r="H2083" s="39" t="n">
        <v>10</v>
      </c>
      <c r="I2083" s="39" t="n">
        <v>11</v>
      </c>
    </row>
    <row r="2084">
      <c r="A2084" s="7" t="inlineStr">
        <is>
          <t>Code</t>
        </is>
      </c>
      <c r="B2084" s="7" t="inlineStr">
        <is>
          <t>Label</t>
        </is>
      </c>
      <c r="C2084" s="7" t="inlineStr">
        <is>
          <t>Unit</t>
        </is>
      </c>
      <c r="D2084" s="7" t="inlineStr">
        <is>
          <t>Coverage used (last data year)</t>
        </is>
      </c>
      <c r="E2084" s="156" t="n">
        <v>2021</v>
      </c>
      <c r="F2084" s="156" t="n">
        <v>2022</v>
      </c>
      <c r="G2084" s="156" t="n">
        <v>2023</v>
      </c>
      <c r="H2084" s="156" t="n">
        <v>2024</v>
      </c>
      <c r="I2084" s="156" t="n">
        <v>2025</v>
      </c>
      <c r="J2084" s="7" t="inlineStr">
        <is>
          <t>Legacy row (ECP)</t>
        </is>
      </c>
      <c r="K2084" s="7" t="inlineStr">
        <is>
          <t>Block: first row</t>
        </is>
      </c>
      <c r="L2084" s="7" t="inlineStr">
        <is>
          <t>Block: last row</t>
        </is>
      </c>
      <c r="M2084" s="7" t="inlineStr">
        <is>
          <t>Legacy key</t>
        </is>
      </c>
    </row>
    <row r="2085">
      <c r="B2085" s="3" t="inlineStr">
        <is>
          <t>Nominal-to-real factor (CPI index of ResultsYear / year)</t>
        </is>
      </c>
      <c r="C2085" s="3" t="inlineStr">
        <is>
          <t>factor</t>
        </is>
      </c>
      <c r="E2085" s="197">
        <f t="shared" ref="E2085:I2085" si="131">CPIRes/INDEX(WEOVal,MATCH("USA|pcpi",WEOKey,0),MATCH(E$2084,WEOYear,0))</f>
        <v>1.2276586452020866</v>
      </c>
      <c r="F2085" s="197">
        <f t="shared" si="131"/>
        <v>1.1368175895069652</v>
      </c>
      <c r="G2085" s="197">
        <f t="shared" si="131"/>
        <v>1.0917610197470982</v>
      </c>
      <c r="H2085" s="197">
        <f t="shared" si="131"/>
        <v>1.060455217769889</v>
      </c>
      <c r="I2085" s="197">
        <f t="shared" si="131"/>
        <v>1.03227909878657</v>
      </c>
    </row>
    <row r="2086">
      <c r="A2086" s="3" t="inlineStr">
        <is>
          <t>ecr.all</t>
        </is>
      </c>
      <c r="B2086" s="3" t="inlineStr">
        <is>
          <t>Carbon tax rate</t>
        </is>
      </c>
      <c r="C2086" s="3" t="inlineStr">
        <is>
          <t>USD/tCO2 real</t>
        </is>
      </c>
      <c r="E2086" s="48" t="n">
        <v>0</v>
      </c>
      <c r="F2086" s="48" t="n">
        <v>0</v>
      </c>
      <c r="G2086" s="48" t="n">
        <v>0</v>
      </c>
      <c r="H2086" s="48" t="n">
        <v>0</v>
      </c>
      <c r="I2086" s="48" t="n">
        <v>0</v>
      </c>
      <c r="J2086" s="39" t="n">
        <v>0</v>
      </c>
      <c r="K2086" s="133" t="n">
        <v>69</v>
      </c>
      <c r="L2086" s="133" t="n">
        <v>135</v>
      </c>
      <c r="M2086" s="3" t="str">
        <f>$C$2081&amp;"ecr.all"</f>
        <v>egy.mit.ecr.all</v>
      </c>
    </row>
    <row r="2087">
      <c r="A2087" s="3" t="inlineStr">
        <is>
          <t>ecr.coa</t>
        </is>
      </c>
      <c r="B2087" s="3" t="inlineStr">
        <is>
          <t>Carbon tax rate used, Coal</t>
        </is>
      </c>
      <c r="C2087" s="3" t="inlineStr">
        <is>
          <t>USD/tCO2 real</t>
        </is>
      </c>
      <c r="E2087" s="48" t="n">
        <v>0</v>
      </c>
      <c r="F2087" s="48" t="n">
        <v>0</v>
      </c>
      <c r="G2087" s="48" t="n">
        <v>0</v>
      </c>
      <c r="H2087" s="48" t="n">
        <v>0</v>
      </c>
      <c r="I2087" s="48" t="n">
        <v>0</v>
      </c>
      <c r="J2087" s="39" t="n">
        <v>0</v>
      </c>
      <c r="K2087" s="133" t="n">
        <v>69</v>
      </c>
      <c r="L2087" s="133" t="n">
        <v>135</v>
      </c>
      <c r="M2087" s="3" t="str">
        <f>$C$2081&amp;"ecr.coa"</f>
        <v>egy.mit.ecr.coa</v>
      </c>
    </row>
    <row r="2088">
      <c r="A2088" s="3" t="inlineStr">
        <is>
          <t>ecr.nga</t>
        </is>
      </c>
      <c r="B2088" s="3" t="inlineStr">
        <is>
          <t>Carbon tax rate used, Natural gas</t>
        </is>
      </c>
      <c r="C2088" s="3" t="inlineStr">
        <is>
          <t>USD/tCO2 real</t>
        </is>
      </c>
      <c r="E2088" s="48" t="n">
        <v>0</v>
      </c>
      <c r="F2088" s="48" t="n">
        <v>0</v>
      </c>
      <c r="G2088" s="48" t="n">
        <v>0</v>
      </c>
      <c r="H2088" s="48" t="n">
        <v>0</v>
      </c>
      <c r="I2088" s="48" t="n">
        <v>0</v>
      </c>
      <c r="J2088" s="39" t="n">
        <v>0</v>
      </c>
      <c r="K2088" s="133" t="n">
        <v>69</v>
      </c>
      <c r="L2088" s="133" t="n">
        <v>135</v>
      </c>
      <c r="M2088" s="3" t="str">
        <f>$C$2081&amp;"ecr.nga"</f>
        <v>egy.mit.ecr.nga</v>
      </c>
    </row>
    <row r="2089">
      <c r="A2089" s="3" t="inlineStr">
        <is>
          <t>ecr.gso</t>
        </is>
      </c>
      <c r="B2089" s="3" t="inlineStr">
        <is>
          <t>Carbon tax rate used, Gasoline</t>
        </is>
      </c>
      <c r="C2089" s="3" t="inlineStr">
        <is>
          <t>USD/tCO2 real</t>
        </is>
      </c>
      <c r="E2089" s="48" t="n">
        <v>0</v>
      </c>
      <c r="F2089" s="48" t="n">
        <v>0</v>
      </c>
      <c r="G2089" s="48" t="n">
        <v>0</v>
      </c>
      <c r="H2089" s="48" t="n">
        <v>0</v>
      </c>
      <c r="I2089" s="48" t="n">
        <v>0</v>
      </c>
      <c r="J2089" s="39" t="n">
        <v>0</v>
      </c>
      <c r="K2089" s="133" t="n">
        <v>69</v>
      </c>
      <c r="L2089" s="133" t="n">
        <v>135</v>
      </c>
      <c r="M2089" s="3" t="str">
        <f>$C$2081&amp;"ecr.gso"</f>
        <v>egy.mit.ecr.gso</v>
      </c>
    </row>
    <row r="2090">
      <c r="A2090" s="3" t="inlineStr">
        <is>
          <t>ecr.die</t>
        </is>
      </c>
      <c r="B2090" s="3" t="inlineStr">
        <is>
          <t>Carbon tax rate used, Diesel</t>
        </is>
      </c>
      <c r="C2090" s="3" t="inlineStr">
        <is>
          <t>USD/tCO2 real</t>
        </is>
      </c>
      <c r="E2090" s="48" t="n">
        <v>0</v>
      </c>
      <c r="F2090" s="48" t="n">
        <v>0</v>
      </c>
      <c r="G2090" s="48" t="n">
        <v>0</v>
      </c>
      <c r="H2090" s="48" t="n">
        <v>0</v>
      </c>
      <c r="I2090" s="48" t="n">
        <v>0</v>
      </c>
      <c r="J2090" s="39" t="n">
        <v>0</v>
      </c>
      <c r="K2090" s="133" t="n">
        <v>69</v>
      </c>
      <c r="L2090" s="133" t="n">
        <v>135</v>
      </c>
      <c r="M2090" s="3" t="str">
        <f>$C$2081&amp;"ecr.die"</f>
        <v>egy.mit.ecr.die</v>
      </c>
    </row>
    <row r="2091">
      <c r="A2091" s="3" t="inlineStr">
        <is>
          <t>ecr.lpg</t>
        </is>
      </c>
      <c r="B2091" s="3" t="inlineStr">
        <is>
          <t>Carbon tax rate used, LPG</t>
        </is>
      </c>
      <c r="C2091" s="3" t="inlineStr">
        <is>
          <t>USD/tCO2 real</t>
        </is>
      </c>
      <c r="E2091" s="48" t="n">
        <v>0</v>
      </c>
      <c r="F2091" s="48" t="n">
        <v>0</v>
      </c>
      <c r="G2091" s="48" t="n">
        <v>0</v>
      </c>
      <c r="H2091" s="48" t="n">
        <v>0</v>
      </c>
      <c r="I2091" s="48" t="n">
        <v>0</v>
      </c>
      <c r="J2091" s="39" t="n">
        <v>0</v>
      </c>
      <c r="K2091" s="133" t="n">
        <v>69</v>
      </c>
      <c r="L2091" s="133" t="n">
        <v>135</v>
      </c>
      <c r="M2091" s="3" t="str">
        <f>$C$2081&amp;"ecr.lpg"</f>
        <v>egy.mit.ecr.lpg</v>
      </c>
    </row>
    <row r="2092">
      <c r="A2092" s="3" t="inlineStr">
        <is>
          <t>ecr.ker</t>
        </is>
      </c>
      <c r="B2092" s="3" t="inlineStr">
        <is>
          <t>Carbon tax rate used, Kerosene</t>
        </is>
      </c>
      <c r="C2092" s="3" t="inlineStr">
        <is>
          <t>USD/tCO2 real</t>
        </is>
      </c>
      <c r="E2092" s="48" t="n">
        <v>0</v>
      </c>
      <c r="F2092" s="48" t="n">
        <v>0</v>
      </c>
      <c r="G2092" s="48" t="n">
        <v>0</v>
      </c>
      <c r="H2092" s="48" t="n">
        <v>0</v>
      </c>
      <c r="I2092" s="48" t="n">
        <v>0</v>
      </c>
      <c r="J2092" s="39" t="n">
        <v>0</v>
      </c>
      <c r="K2092" s="133" t="n">
        <v>69</v>
      </c>
      <c r="L2092" s="133" t="n">
        <v>135</v>
      </c>
      <c r="M2092" s="3" t="str">
        <f>$C$2081&amp;"ecr.ker"</f>
        <v>egy.mit.ecr.ker</v>
      </c>
    </row>
    <row r="2093">
      <c r="A2093" s="3" t="inlineStr">
        <is>
          <t>ecr.jfu</t>
        </is>
      </c>
      <c r="B2093" s="3" t="inlineStr">
        <is>
          <t>Carbon tax rate used, Jet fuel</t>
        </is>
      </c>
      <c r="C2093" s="3" t="inlineStr">
        <is>
          <t>USD/tCO2 real</t>
        </is>
      </c>
      <c r="E2093" s="48" t="n">
        <v>0</v>
      </c>
      <c r="F2093" s="48" t="n">
        <v>0</v>
      </c>
      <c r="G2093" s="48" t="n">
        <v>0</v>
      </c>
      <c r="H2093" s="48" t="n">
        <v>0</v>
      </c>
      <c r="I2093" s="48" t="n">
        <v>0</v>
      </c>
      <c r="J2093" s="39" t="n">
        <v>0</v>
      </c>
      <c r="K2093" s="133" t="n">
        <v>69</v>
      </c>
      <c r="L2093" s="133" t="n">
        <v>135</v>
      </c>
      <c r="M2093" s="3" t="str">
        <f>$C$2081&amp;"ecr.jfu"</f>
        <v>egy.mit.ecr.jfu</v>
      </c>
    </row>
    <row r="2094">
      <c r="A2094" s="3" t="inlineStr">
        <is>
          <t>ecr.oop</t>
        </is>
      </c>
      <c r="B2094" s="3" t="inlineStr">
        <is>
          <t>Carbon tax rate used, Other oil products</t>
        </is>
      </c>
      <c r="C2094" s="3" t="inlineStr">
        <is>
          <t>USD/tCO2 real</t>
        </is>
      </c>
      <c r="E2094" s="48" t="n">
        <v>0</v>
      </c>
      <c r="F2094" s="48" t="n">
        <v>0</v>
      </c>
      <c r="G2094" s="48" t="n">
        <v>0</v>
      </c>
      <c r="H2094" s="48" t="n">
        <v>0</v>
      </c>
      <c r="I2094" s="48" t="n">
        <v>0</v>
      </c>
      <c r="J2094" s="39" t="n">
        <v>0</v>
      </c>
      <c r="K2094" s="133" t="n">
        <v>69</v>
      </c>
      <c r="L2094" s="133" t="n">
        <v>135</v>
      </c>
      <c r="M2094" s="3" t="str">
        <f>$C$2081&amp;"ecr.oop"</f>
        <v>egy.mit.ecr.oop</v>
      </c>
    </row>
    <row r="2095">
      <c r="A2095" s="3" t="inlineStr">
        <is>
          <t>ecr.bio</t>
        </is>
      </c>
      <c r="B2095" s="3" t="inlineStr">
        <is>
          <t>Carbon tax rate used, Biomass</t>
        </is>
      </c>
      <c r="C2095" s="3" t="inlineStr">
        <is>
          <t>USD/tCO2 real</t>
        </is>
      </c>
      <c r="E2095" s="48" t="n">
        <v>0</v>
      </c>
      <c r="F2095" s="48" t="n">
        <v>0</v>
      </c>
      <c r="G2095" s="48" t="n">
        <v>0</v>
      </c>
      <c r="H2095" s="48" t="n">
        <v>0</v>
      </c>
      <c r="I2095" s="48" t="n">
        <v>0</v>
      </c>
      <c r="J2095" s="39" t="n">
        <v>0</v>
      </c>
      <c r="K2095" s="133" t="n">
        <v>69</v>
      </c>
      <c r="L2095" s="133" t="n">
        <v>135</v>
      </c>
      <c r="M2095" s="3" t="str">
        <f>$C$2081&amp;"ecr.bio"</f>
        <v>egy.mit.ecr.bio</v>
      </c>
    </row>
    <row r="2096">
      <c r="A2096" s="3" t="inlineStr">
        <is>
          <t>ecs.pow</t>
        </is>
      </c>
      <c r="B2096" s="3" t="inlineStr">
        <is>
          <t>Carbon tax coverage, sector power</t>
        </is>
      </c>
      <c r="C2096" s="3" t="inlineStr">
        <is>
          <t>share</t>
        </is>
      </c>
      <c r="D2096" s="196">
        <f>J2096</f>
        <v>0.0</v>
      </c>
      <c r="E2096" s="196" t="n">
        <v>0</v>
      </c>
      <c r="F2096" s="196" t="n">
        <v>0</v>
      </c>
      <c r="G2096" s="196" t="n">
        <v>0</v>
      </c>
      <c r="H2096" s="196" t="n">
        <v>0</v>
      </c>
      <c r="I2096" s="196" t="n">
        <v>0</v>
      </c>
      <c r="J2096" s="39" t="n">
        <v>0</v>
      </c>
      <c r="K2096" s="133" t="n">
        <v>429</v>
      </c>
      <c r="L2096" s="133" t="n">
        <v>559</v>
      </c>
      <c r="M2096" s="3" t="str">
        <f>$C$2081&amp;"ecs.pow"</f>
        <v>egy.mit.ecs.pow</v>
      </c>
    </row>
    <row r="2097">
      <c r="A2097" s="3" t="inlineStr">
        <is>
          <t>ecs.trs</t>
        </is>
      </c>
      <c r="B2097" s="3" t="inlineStr">
        <is>
          <t>Carbon tax coverage, sector transport</t>
        </is>
      </c>
      <c r="C2097" s="3" t="inlineStr">
        <is>
          <t>share</t>
        </is>
      </c>
      <c r="D2097" s="196">
        <f>J2097</f>
        <v>0.0</v>
      </c>
      <c r="E2097" s="196" t="n">
        <v>0</v>
      </c>
      <c r="F2097" s="196" t="n">
        <v>0</v>
      </c>
      <c r="G2097" s="196" t="n">
        <v>0</v>
      </c>
      <c r="H2097" s="196" t="n">
        <v>0</v>
      </c>
      <c r="I2097" s="196" t="n">
        <v>0</v>
      </c>
      <c r="J2097" s="39" t="n">
        <v>0</v>
      </c>
      <c r="K2097" s="133" t="n">
        <v>429</v>
      </c>
      <c r="L2097" s="133" t="n">
        <v>559</v>
      </c>
      <c r="M2097" s="3" t="str">
        <f>$C$2081&amp;"ecs.trs"</f>
        <v>egy.mit.ecs.trs</v>
      </c>
    </row>
    <row r="2098">
      <c r="A2098" s="3" t="inlineStr">
        <is>
          <t>ecs.res</t>
        </is>
      </c>
      <c r="B2098" s="3" t="inlineStr">
        <is>
          <t>Carbon tax coverage, sector buildings</t>
        </is>
      </c>
      <c r="C2098" s="3" t="inlineStr">
        <is>
          <t>share</t>
        </is>
      </c>
      <c r="D2098" s="196">
        <f>J2098</f>
        <v>0.0</v>
      </c>
      <c r="E2098" s="196" t="n">
        <v>0</v>
      </c>
      <c r="F2098" s="196" t="n">
        <v>0</v>
      </c>
      <c r="G2098" s="196" t="n">
        <v>0</v>
      </c>
      <c r="H2098" s="196" t="n">
        <v>0</v>
      </c>
      <c r="I2098" s="196" t="n">
        <v>0</v>
      </c>
      <c r="J2098" s="39" t="n">
        <v>0</v>
      </c>
      <c r="K2098" s="133" t="n">
        <v>429</v>
      </c>
      <c r="L2098" s="133" t="n">
        <v>559</v>
      </c>
      <c r="M2098" s="3" t="str">
        <f>$C$2081&amp;"ecs.res"</f>
        <v>egy.mit.ecs.res</v>
      </c>
    </row>
    <row r="2099">
      <c r="A2099" s="3" t="inlineStr">
        <is>
          <t>ecs.ind</t>
        </is>
      </c>
      <c r="B2099" s="3" t="inlineStr">
        <is>
          <t>Carbon tax coverage, sector industry</t>
        </is>
      </c>
      <c r="C2099" s="3" t="inlineStr">
        <is>
          <t>share</t>
        </is>
      </c>
      <c r="D2099" s="196">
        <f>J2099</f>
        <v>0.0</v>
      </c>
      <c r="E2099" s="196" t="n">
        <v>0</v>
      </c>
      <c r="F2099" s="196" t="n">
        <v>0</v>
      </c>
      <c r="G2099" s="196" t="n">
        <v>0</v>
      </c>
      <c r="H2099" s="196" t="n">
        <v>0</v>
      </c>
      <c r="I2099" s="196" t="n">
        <v>0</v>
      </c>
      <c r="J2099" s="39" t="n">
        <v>0</v>
      </c>
      <c r="K2099" s="133" t="n">
        <v>429</v>
      </c>
      <c r="L2099" s="133" t="n">
        <v>559</v>
      </c>
      <c r="M2099" s="3" t="str">
        <f>$C$2081&amp;"ecs.ind"</f>
        <v>egy.mit.ecs.ind</v>
      </c>
    </row>
    <row r="2100">
      <c r="A2100" s="3" t="inlineStr">
        <is>
          <t>ecf.coa</t>
        </is>
      </c>
      <c r="B2100" s="3" t="inlineStr">
        <is>
          <t>Carbon tax coverage, fuel Coal</t>
        </is>
      </c>
      <c r="C2100" s="3" t="inlineStr">
        <is>
          <t>share</t>
        </is>
      </c>
      <c r="D2100" s="196">
        <f>J2100</f>
        <v>0.0</v>
      </c>
      <c r="E2100" s="196" t="n">
        <v>0</v>
      </c>
      <c r="F2100" s="196" t="n">
        <v>0</v>
      </c>
      <c r="G2100" s="196" t="n">
        <v>0</v>
      </c>
      <c r="H2100" s="196" t="n">
        <v>0</v>
      </c>
      <c r="I2100" s="196" t="n">
        <v>0</v>
      </c>
      <c r="J2100" s="39" t="n">
        <v>0</v>
      </c>
      <c r="K2100" s="133" t="n">
        <v>137</v>
      </c>
      <c r="L2100" s="133" t="n">
        <v>427</v>
      </c>
      <c r="M2100" s="3" t="str">
        <f>$C$2081&amp;"ecf.coa"</f>
        <v>egy.mit.ecf.coa</v>
      </c>
    </row>
    <row r="2101">
      <c r="A2101" s="3" t="inlineStr">
        <is>
          <t>ecf.nga</t>
        </is>
      </c>
      <c r="B2101" s="3" t="inlineStr">
        <is>
          <t>Carbon tax coverage, fuel Natural gas</t>
        </is>
      </c>
      <c r="C2101" s="3" t="inlineStr">
        <is>
          <t>share</t>
        </is>
      </c>
      <c r="D2101" s="196">
        <f>J2101</f>
        <v>0.0</v>
      </c>
      <c r="E2101" s="196" t="n">
        <v>0</v>
      </c>
      <c r="F2101" s="196" t="n">
        <v>0</v>
      </c>
      <c r="G2101" s="196" t="n">
        <v>0</v>
      </c>
      <c r="H2101" s="196" t="n">
        <v>0</v>
      </c>
      <c r="I2101" s="196" t="n">
        <v>0</v>
      </c>
      <c r="J2101" s="39" t="n">
        <v>0</v>
      </c>
      <c r="K2101" s="133" t="n">
        <v>137</v>
      </c>
      <c r="L2101" s="133" t="n">
        <v>427</v>
      </c>
      <c r="M2101" s="3" t="str">
        <f>$C$2081&amp;"ecf.nga"</f>
        <v>egy.mit.ecf.nga</v>
      </c>
    </row>
    <row r="2102">
      <c r="A2102" s="3" t="inlineStr">
        <is>
          <t>ecf.gso</t>
        </is>
      </c>
      <c r="B2102" s="3" t="inlineStr">
        <is>
          <t>Carbon tax coverage, fuel Gasoline</t>
        </is>
      </c>
      <c r="C2102" s="3" t="inlineStr">
        <is>
          <t>share</t>
        </is>
      </c>
      <c r="D2102" s="196">
        <f>J2102</f>
        <v>0.0</v>
      </c>
      <c r="E2102" s="196" t="n">
        <v>0</v>
      </c>
      <c r="F2102" s="196" t="n">
        <v>0</v>
      </c>
      <c r="G2102" s="196" t="n">
        <v>0</v>
      </c>
      <c r="H2102" s="196" t="n">
        <v>0</v>
      </c>
      <c r="I2102" s="196" t="n">
        <v>0</v>
      </c>
      <c r="J2102" s="39" t="n">
        <v>0</v>
      </c>
      <c r="K2102" s="133" t="n">
        <v>137</v>
      </c>
      <c r="L2102" s="133" t="n">
        <v>427</v>
      </c>
      <c r="M2102" s="3" t="str">
        <f>$C$2081&amp;"ecf.gso"</f>
        <v>egy.mit.ecf.gso</v>
      </c>
    </row>
    <row r="2103">
      <c r="A2103" s="3" t="inlineStr">
        <is>
          <t>ecf.die</t>
        </is>
      </c>
      <c r="B2103" s="3" t="inlineStr">
        <is>
          <t>Carbon tax coverage, fuel Diesel</t>
        </is>
      </c>
      <c r="C2103" s="3" t="inlineStr">
        <is>
          <t>share</t>
        </is>
      </c>
      <c r="D2103" s="196">
        <f>J2103</f>
        <v>0.0</v>
      </c>
      <c r="E2103" s="196" t="n">
        <v>0</v>
      </c>
      <c r="F2103" s="196" t="n">
        <v>0</v>
      </c>
      <c r="G2103" s="196" t="n">
        <v>0</v>
      </c>
      <c r="H2103" s="196" t="n">
        <v>0</v>
      </c>
      <c r="I2103" s="196" t="n">
        <v>0</v>
      </c>
      <c r="J2103" s="39" t="n">
        <v>0</v>
      </c>
      <c r="K2103" s="133" t="n">
        <v>137</v>
      </c>
      <c r="L2103" s="133" t="n">
        <v>427</v>
      </c>
      <c r="M2103" s="3" t="str">
        <f>$C$2081&amp;"ecf.die"</f>
        <v>egy.mit.ecf.die</v>
      </c>
    </row>
    <row r="2104">
      <c r="A2104" s="3" t="inlineStr">
        <is>
          <t>ecf.lpg</t>
        </is>
      </c>
      <c r="B2104" s="3" t="inlineStr">
        <is>
          <t>Carbon tax coverage, fuel LPG</t>
        </is>
      </c>
      <c r="C2104" s="3" t="inlineStr">
        <is>
          <t>share</t>
        </is>
      </c>
      <c r="D2104" s="196">
        <f>J2104</f>
        <v>0.0</v>
      </c>
      <c r="E2104" s="196" t="n">
        <v>0</v>
      </c>
      <c r="F2104" s="196" t="n">
        <v>0</v>
      </c>
      <c r="G2104" s="196" t="n">
        <v>0</v>
      </c>
      <c r="H2104" s="196" t="n">
        <v>0</v>
      </c>
      <c r="I2104" s="196" t="n">
        <v>0</v>
      </c>
      <c r="J2104" s="39" t="n">
        <v>0</v>
      </c>
      <c r="K2104" s="133" t="n">
        <v>137</v>
      </c>
      <c r="L2104" s="133" t="n">
        <v>427</v>
      </c>
      <c r="M2104" s="3" t="str">
        <f>$C$2081&amp;"ecf.lpg"</f>
        <v>egy.mit.ecf.lpg</v>
      </c>
    </row>
    <row r="2105">
      <c r="A2105" s="3" t="inlineStr">
        <is>
          <t>ecf.ker</t>
        </is>
      </c>
      <c r="B2105" s="3" t="inlineStr">
        <is>
          <t>Carbon tax coverage, fuel Kerosene</t>
        </is>
      </c>
      <c r="C2105" s="3" t="inlineStr">
        <is>
          <t>share</t>
        </is>
      </c>
      <c r="D2105" s="196">
        <f>J2105</f>
        <v>0.0</v>
      </c>
      <c r="E2105" s="196" t="n">
        <v>0</v>
      </c>
      <c r="F2105" s="196" t="n">
        <v>0</v>
      </c>
      <c r="G2105" s="196" t="n">
        <v>0</v>
      </c>
      <c r="H2105" s="196" t="n">
        <v>0</v>
      </c>
      <c r="I2105" s="196" t="n">
        <v>0</v>
      </c>
      <c r="J2105" s="39" t="n">
        <v>0</v>
      </c>
      <c r="K2105" s="133" t="n">
        <v>137</v>
      </c>
      <c r="L2105" s="133" t="n">
        <v>427</v>
      </c>
      <c r="M2105" s="3" t="str">
        <f>$C$2081&amp;"ecf.ker"</f>
        <v>egy.mit.ecf.ker</v>
      </c>
    </row>
    <row r="2106">
      <c r="A2106" s="3" t="inlineStr">
        <is>
          <t>ecf.jfu</t>
        </is>
      </c>
      <c r="B2106" s="3" t="inlineStr">
        <is>
          <t>Carbon tax coverage, fuel Jet fuel</t>
        </is>
      </c>
      <c r="C2106" s="3" t="inlineStr">
        <is>
          <t>share</t>
        </is>
      </c>
      <c r="D2106" s="196">
        <f>J2106</f>
        <v>0.0</v>
      </c>
      <c r="E2106" s="196" t="n">
        <v>0</v>
      </c>
      <c r="F2106" s="196" t="n">
        <v>0</v>
      </c>
      <c r="G2106" s="196" t="n">
        <v>0</v>
      </c>
      <c r="H2106" s="196" t="n">
        <v>0</v>
      </c>
      <c r="I2106" s="196" t="n">
        <v>0</v>
      </c>
      <c r="J2106" s="39" t="n">
        <v>0</v>
      </c>
      <c r="K2106" s="133" t="n">
        <v>137</v>
      </c>
      <c r="L2106" s="133" t="n">
        <v>427</v>
      </c>
      <c r="M2106" s="3" t="str">
        <f>$C$2081&amp;"ecf.jfu"</f>
        <v>egy.mit.ecf.jfu</v>
      </c>
    </row>
    <row r="2107">
      <c r="A2107" s="3" t="inlineStr">
        <is>
          <t>ecf.oop</t>
        </is>
      </c>
      <c r="B2107" s="3" t="inlineStr">
        <is>
          <t>Carbon tax coverage, fuel Other oil products</t>
        </is>
      </c>
      <c r="C2107" s="3" t="inlineStr">
        <is>
          <t>share</t>
        </is>
      </c>
      <c r="D2107" s="196">
        <f>J2107</f>
        <v>0.0</v>
      </c>
      <c r="E2107" s="196" t="n">
        <v>0</v>
      </c>
      <c r="F2107" s="196" t="n">
        <v>0</v>
      </c>
      <c r="G2107" s="196" t="n">
        <v>0</v>
      </c>
      <c r="H2107" s="196" t="n">
        <v>0</v>
      </c>
      <c r="I2107" s="196" t="n">
        <v>0</v>
      </c>
      <c r="J2107" s="39" t="n">
        <v>0</v>
      </c>
      <c r="K2107" s="133" t="n">
        <v>137</v>
      </c>
      <c r="L2107" s="133" t="n">
        <v>427</v>
      </c>
      <c r="M2107" s="3" t="str">
        <f>$C$2081&amp;"ecf.oop"</f>
        <v>egy.mit.ecf.oop</v>
      </c>
    </row>
    <row r="2108">
      <c r="A2108" s="3" t="inlineStr">
        <is>
          <t>ecf.bio</t>
        </is>
      </c>
      <c r="B2108" s="3" t="inlineStr">
        <is>
          <t>Carbon tax coverage, fuel Biomass</t>
        </is>
      </c>
      <c r="C2108" s="3" t="inlineStr">
        <is>
          <t>share</t>
        </is>
      </c>
      <c r="D2108" s="196">
        <f>J2108</f>
        <v>0.0</v>
      </c>
      <c r="E2108" s="196" t="n">
        <v>0</v>
      </c>
      <c r="F2108" s="196" t="n">
        <v>0</v>
      </c>
      <c r="G2108" s="196" t="n">
        <v>0</v>
      </c>
      <c r="H2108" s="196" t="n">
        <v>0</v>
      </c>
      <c r="I2108" s="196" t="n">
        <v>0</v>
      </c>
      <c r="J2108" s="39" t="n">
        <v>0</v>
      </c>
      <c r="K2108" s="133" t="n">
        <v>137</v>
      </c>
      <c r="L2108" s="133" t="n">
        <v>427</v>
      </c>
      <c r="M2108" s="3" t="str">
        <f>$C$2081&amp;"ecf.bio"</f>
        <v>egy.mit.ecf.bio</v>
      </c>
    </row>
    <row r="2109">
      <c r="A2109" s="3" t="inlineStr">
        <is>
          <t>eer.all</t>
        </is>
      </c>
      <c r="B2109" s="3" t="inlineStr">
        <is>
          <t>National ETS permit price</t>
        </is>
      </c>
      <c r="C2109" s="3" t="inlineStr">
        <is>
          <t>USD/tCO2 real</t>
        </is>
      </c>
      <c r="E2109" s="48" t="n">
        <v>0</v>
      </c>
      <c r="F2109" s="48" t="n">
        <v>0</v>
      </c>
      <c r="G2109" s="48" t="n">
        <v>0</v>
      </c>
      <c r="H2109" s="48" t="n">
        <v>0</v>
      </c>
      <c r="I2109" s="48" t="n">
        <v>0</v>
      </c>
      <c r="J2109" s="39" t="n">
        <v>0</v>
      </c>
      <c r="K2109" s="133" t="n">
        <v>600</v>
      </c>
      <c r="L2109" s="133" t="n">
        <v>615</v>
      </c>
      <c r="M2109" s="3" t="str">
        <f>$C$2081&amp;"eer.all"</f>
        <v>egy.mit.eer.all</v>
      </c>
    </row>
    <row r="2110">
      <c r="A2110" s="3" t="inlineStr">
        <is>
          <t>ees.pow</t>
        </is>
      </c>
      <c r="B2110" s="3" t="inlineStr">
        <is>
          <t>National ETS coverage, sector power</t>
        </is>
      </c>
      <c r="C2110" s="3" t="inlineStr">
        <is>
          <t>share</t>
        </is>
      </c>
      <c r="D2110" s="196">
        <f>J2110</f>
        <v>0.0</v>
      </c>
      <c r="E2110" s="196" t="n">
        <v>0</v>
      </c>
      <c r="F2110" s="196" t="n">
        <v>0</v>
      </c>
      <c r="G2110" s="196" t="n">
        <v>0</v>
      </c>
      <c r="H2110" s="196" t="n">
        <v>0</v>
      </c>
      <c r="I2110" s="196" t="n">
        <v>0</v>
      </c>
      <c r="J2110" s="39" t="n">
        <v>0</v>
      </c>
      <c r="K2110" s="133" t="n">
        <v>1040</v>
      </c>
      <c r="L2110" s="133" t="n">
        <v>1093</v>
      </c>
      <c r="M2110" s="3" t="str">
        <f>$C$2081&amp;"ees.pow"</f>
        <v>egy.mit.ees.pow</v>
      </c>
    </row>
    <row r="2111">
      <c r="A2111" s="3" t="inlineStr">
        <is>
          <t>ees.trs</t>
        </is>
      </c>
      <c r="B2111" s="3" t="inlineStr">
        <is>
          <t>National ETS coverage, sector transport</t>
        </is>
      </c>
      <c r="C2111" s="3" t="inlineStr">
        <is>
          <t>share</t>
        </is>
      </c>
      <c r="D2111" s="196">
        <f>J2111</f>
        <v>0.0</v>
      </c>
      <c r="E2111" s="196" t="n">
        <v>0</v>
      </c>
      <c r="F2111" s="196" t="n">
        <v>0</v>
      </c>
      <c r="G2111" s="196" t="n">
        <v>0</v>
      </c>
      <c r="H2111" s="196" t="n">
        <v>0</v>
      </c>
      <c r="I2111" s="196" t="n">
        <v>0</v>
      </c>
      <c r="J2111" s="39" t="n">
        <v>0</v>
      </c>
      <c r="K2111" s="133" t="n">
        <v>1040</v>
      </c>
      <c r="L2111" s="133" t="n">
        <v>1093</v>
      </c>
      <c r="M2111" s="3" t="str">
        <f>$C$2081&amp;"ees.trs"</f>
        <v>egy.mit.ees.trs</v>
      </c>
    </row>
    <row r="2112">
      <c r="A2112" s="3" t="inlineStr">
        <is>
          <t>ees.res</t>
        </is>
      </c>
      <c r="B2112" s="3" t="inlineStr">
        <is>
          <t>National ETS coverage, sector buildings</t>
        </is>
      </c>
      <c r="C2112" s="3" t="inlineStr">
        <is>
          <t>share</t>
        </is>
      </c>
      <c r="D2112" s="196">
        <f>J2112</f>
        <v>0.0</v>
      </c>
      <c r="E2112" s="196" t="n">
        <v>0</v>
      </c>
      <c r="F2112" s="196" t="n">
        <v>0</v>
      </c>
      <c r="G2112" s="196" t="n">
        <v>0</v>
      </c>
      <c r="H2112" s="196" t="n">
        <v>0</v>
      </c>
      <c r="I2112" s="196" t="n">
        <v>0</v>
      </c>
      <c r="J2112" s="39" t="n">
        <v>0</v>
      </c>
      <c r="K2112" s="133" t="n">
        <v>1040</v>
      </c>
      <c r="L2112" s="133" t="n">
        <v>1093</v>
      </c>
      <c r="M2112" s="3" t="str">
        <f>$C$2081&amp;"ees.res"</f>
        <v>egy.mit.ees.res</v>
      </c>
    </row>
    <row r="2113">
      <c r="A2113" s="3" t="inlineStr">
        <is>
          <t>ees.ind</t>
        </is>
      </c>
      <c r="B2113" s="3" t="inlineStr">
        <is>
          <t>National ETS coverage, sector industry</t>
        </is>
      </c>
      <c r="C2113" s="3" t="inlineStr">
        <is>
          <t>share</t>
        </is>
      </c>
      <c r="D2113" s="196">
        <f>J2113</f>
        <v>0.0</v>
      </c>
      <c r="E2113" s="196" t="n">
        <v>0</v>
      </c>
      <c r="F2113" s="196" t="n">
        <v>0</v>
      </c>
      <c r="G2113" s="196" t="n">
        <v>0</v>
      </c>
      <c r="H2113" s="196" t="n">
        <v>0</v>
      </c>
      <c r="I2113" s="196" t="n">
        <v>0</v>
      </c>
      <c r="J2113" s="39" t="n">
        <v>0</v>
      </c>
      <c r="K2113" s="133" t="n">
        <v>1040</v>
      </c>
      <c r="L2113" s="133" t="n">
        <v>1093</v>
      </c>
      <c r="M2113" s="3" t="str">
        <f>$C$2081&amp;"ees.ind"</f>
        <v>egy.mit.ees.ind</v>
      </c>
    </row>
    <row r="2114">
      <c r="A2114" s="3" t="inlineStr">
        <is>
          <t>eef.coa</t>
        </is>
      </c>
      <c r="B2114" s="3" t="inlineStr">
        <is>
          <t>National ETS coverage, fuel Coal</t>
        </is>
      </c>
      <c r="C2114" s="3" t="inlineStr">
        <is>
          <t>share</t>
        </is>
      </c>
      <c r="D2114" s="196">
        <f>J2114</f>
        <v>0.0</v>
      </c>
      <c r="E2114" s="196" t="n">
        <v>0</v>
      </c>
      <c r="F2114" s="196" t="n">
        <v>0</v>
      </c>
      <c r="G2114" s="196" t="n">
        <v>0</v>
      </c>
      <c r="H2114" s="196" t="n">
        <v>0</v>
      </c>
      <c r="I2114" s="196" t="n">
        <v>0</v>
      </c>
      <c r="J2114" s="39" t="n">
        <v>0</v>
      </c>
      <c r="K2114" s="133" t="n">
        <v>619</v>
      </c>
      <c r="L2114" s="133" t="n">
        <v>737</v>
      </c>
      <c r="M2114" s="3" t="str">
        <f>$C$2081&amp;"eef.coa"</f>
        <v>egy.mit.eef.coa</v>
      </c>
    </row>
    <row r="2115">
      <c r="A2115" s="3" t="inlineStr">
        <is>
          <t>eef.nga</t>
        </is>
      </c>
      <c r="B2115" s="3" t="inlineStr">
        <is>
          <t>National ETS coverage, fuel Natural gas</t>
        </is>
      </c>
      <c r="C2115" s="3" t="inlineStr">
        <is>
          <t>share</t>
        </is>
      </c>
      <c r="D2115" s="196">
        <f>J2115</f>
        <v>0.0</v>
      </c>
      <c r="E2115" s="196" t="n">
        <v>0</v>
      </c>
      <c r="F2115" s="196" t="n">
        <v>0</v>
      </c>
      <c r="G2115" s="196" t="n">
        <v>0</v>
      </c>
      <c r="H2115" s="196" t="n">
        <v>0</v>
      </c>
      <c r="I2115" s="196" t="n">
        <v>0</v>
      </c>
      <c r="J2115" s="39" t="n">
        <v>0</v>
      </c>
      <c r="K2115" s="133" t="n">
        <v>619</v>
      </c>
      <c r="L2115" s="133" t="n">
        <v>737</v>
      </c>
      <c r="M2115" s="3" t="str">
        <f>$C$2081&amp;"eef.nga"</f>
        <v>egy.mit.eef.nga</v>
      </c>
    </row>
    <row r="2116">
      <c r="A2116" s="3" t="inlineStr">
        <is>
          <t>eef.gso</t>
        </is>
      </c>
      <c r="B2116" s="3" t="inlineStr">
        <is>
          <t>National ETS coverage, fuel Gasoline</t>
        </is>
      </c>
      <c r="C2116" s="3" t="inlineStr">
        <is>
          <t>share</t>
        </is>
      </c>
      <c r="D2116" s="196">
        <f>J2116</f>
        <v>0.0</v>
      </c>
      <c r="E2116" s="196" t="n">
        <v>0</v>
      </c>
      <c r="F2116" s="196" t="n">
        <v>0</v>
      </c>
      <c r="G2116" s="196" t="n">
        <v>0</v>
      </c>
      <c r="H2116" s="196" t="n">
        <v>0</v>
      </c>
      <c r="I2116" s="196" t="n">
        <v>0</v>
      </c>
      <c r="J2116" s="39" t="n">
        <v>0</v>
      </c>
      <c r="K2116" s="133" t="n">
        <v>619</v>
      </c>
      <c r="L2116" s="133" t="n">
        <v>737</v>
      </c>
      <c r="M2116" s="3" t="str">
        <f>$C$2081&amp;"eef.gso"</f>
        <v>egy.mit.eef.gso</v>
      </c>
    </row>
    <row r="2117">
      <c r="A2117" s="3" t="inlineStr">
        <is>
          <t>eef.die</t>
        </is>
      </c>
      <c r="B2117" s="3" t="inlineStr">
        <is>
          <t>National ETS coverage, fuel Diesel</t>
        </is>
      </c>
      <c r="C2117" s="3" t="inlineStr">
        <is>
          <t>share</t>
        </is>
      </c>
      <c r="D2117" s="196">
        <f>J2117</f>
        <v>0.0</v>
      </c>
      <c r="E2117" s="196" t="n">
        <v>0</v>
      </c>
      <c r="F2117" s="196" t="n">
        <v>0</v>
      </c>
      <c r="G2117" s="196" t="n">
        <v>0</v>
      </c>
      <c r="H2117" s="196" t="n">
        <v>0</v>
      </c>
      <c r="I2117" s="196" t="n">
        <v>0</v>
      </c>
      <c r="J2117" s="39" t="n">
        <v>0</v>
      </c>
      <c r="K2117" s="133" t="n">
        <v>619</v>
      </c>
      <c r="L2117" s="133" t="n">
        <v>737</v>
      </c>
      <c r="M2117" s="3" t="str">
        <f>$C$2081&amp;"eef.die"</f>
        <v>egy.mit.eef.die</v>
      </c>
    </row>
    <row r="2118">
      <c r="A2118" s="3" t="inlineStr">
        <is>
          <t>eef.lpg</t>
        </is>
      </c>
      <c r="B2118" s="3" t="inlineStr">
        <is>
          <t>National ETS coverage, fuel LPG</t>
        </is>
      </c>
      <c r="C2118" s="3" t="inlineStr">
        <is>
          <t>share</t>
        </is>
      </c>
      <c r="D2118" s="196">
        <f>J2118</f>
        <v>0.0</v>
      </c>
      <c r="E2118" s="196" t="n">
        <v>0</v>
      </c>
      <c r="F2118" s="196" t="n">
        <v>0</v>
      </c>
      <c r="G2118" s="196" t="n">
        <v>0</v>
      </c>
      <c r="H2118" s="196" t="n">
        <v>0</v>
      </c>
      <c r="I2118" s="196" t="n">
        <v>0</v>
      </c>
      <c r="J2118" s="39" t="n">
        <v>0</v>
      </c>
      <c r="K2118" s="133" t="n">
        <v>619</v>
      </c>
      <c r="L2118" s="133" t="n">
        <v>737</v>
      </c>
      <c r="M2118" s="3" t="str">
        <f>$C$2081&amp;"eef.lpg"</f>
        <v>egy.mit.eef.lpg</v>
      </c>
    </row>
    <row r="2119">
      <c r="A2119" s="3" t="inlineStr">
        <is>
          <t>eef.ker</t>
        </is>
      </c>
      <c r="B2119" s="3" t="inlineStr">
        <is>
          <t>National ETS coverage, fuel Kerosene</t>
        </is>
      </c>
      <c r="C2119" s="3" t="inlineStr">
        <is>
          <t>share</t>
        </is>
      </c>
      <c r="D2119" s="196">
        <f>J2119</f>
        <v>0.0</v>
      </c>
      <c r="E2119" s="196" t="n">
        <v>0</v>
      </c>
      <c r="F2119" s="196" t="n">
        <v>0</v>
      </c>
      <c r="G2119" s="196" t="n">
        <v>0</v>
      </c>
      <c r="H2119" s="196" t="n">
        <v>0</v>
      </c>
      <c r="I2119" s="196" t="n">
        <v>0</v>
      </c>
      <c r="J2119" s="39" t="n">
        <v>0</v>
      </c>
      <c r="K2119" s="133" t="n">
        <v>619</v>
      </c>
      <c r="L2119" s="133" t="n">
        <v>737</v>
      </c>
      <c r="M2119" s="3" t="str">
        <f>$C$2081&amp;"eef.ker"</f>
        <v>egy.mit.eef.ker</v>
      </c>
    </row>
    <row r="2120">
      <c r="A2120" s="3" t="inlineStr">
        <is>
          <t>eef.jfu</t>
        </is>
      </c>
      <c r="B2120" s="3" t="inlineStr">
        <is>
          <t>National ETS coverage, fuel Jet fuel</t>
        </is>
      </c>
      <c r="C2120" s="3" t="inlineStr">
        <is>
          <t>share</t>
        </is>
      </c>
      <c r="D2120" s="196">
        <f>J2120</f>
        <v>0.0</v>
      </c>
      <c r="E2120" s="196" t="n">
        <v>0</v>
      </c>
      <c r="F2120" s="196" t="n">
        <v>0</v>
      </c>
      <c r="G2120" s="196" t="n">
        <v>0</v>
      </c>
      <c r="H2120" s="196" t="n">
        <v>0</v>
      </c>
      <c r="I2120" s="196" t="n">
        <v>0</v>
      </c>
      <c r="J2120" s="39" t="n">
        <v>0</v>
      </c>
      <c r="K2120" s="133" t="n">
        <v>619</v>
      </c>
      <c r="L2120" s="133" t="n">
        <v>737</v>
      </c>
      <c r="M2120" s="3" t="str">
        <f>$C$2081&amp;"eef.jfu"</f>
        <v>egy.mit.eef.jfu</v>
      </c>
    </row>
    <row r="2121">
      <c r="A2121" s="3" t="inlineStr">
        <is>
          <t>eef.oop</t>
        </is>
      </c>
      <c r="B2121" s="3" t="inlineStr">
        <is>
          <t>National ETS coverage, fuel Other oil products</t>
        </is>
      </c>
      <c r="C2121" s="3" t="inlineStr">
        <is>
          <t>share</t>
        </is>
      </c>
      <c r="D2121" s="196">
        <f>J2121</f>
        <v>0.0</v>
      </c>
      <c r="E2121" s="196" t="n">
        <v>0</v>
      </c>
      <c r="F2121" s="196" t="n">
        <v>0</v>
      </c>
      <c r="G2121" s="196" t="n">
        <v>0</v>
      </c>
      <c r="H2121" s="196" t="n">
        <v>0</v>
      </c>
      <c r="I2121" s="196" t="n">
        <v>0</v>
      </c>
      <c r="J2121" s="39" t="n">
        <v>0</v>
      </c>
      <c r="K2121" s="133" t="n">
        <v>619</v>
      </c>
      <c r="L2121" s="133" t="n">
        <v>737</v>
      </c>
      <c r="M2121" s="3" t="str">
        <f>$C$2081&amp;"eef.oop"</f>
        <v>egy.mit.eef.oop</v>
      </c>
    </row>
    <row r="2122">
      <c r="A2122" s="3" t="inlineStr">
        <is>
          <t>eef.bio</t>
        </is>
      </c>
      <c r="B2122" s="3" t="inlineStr">
        <is>
          <t>National ETS coverage, fuel Biomass</t>
        </is>
      </c>
      <c r="C2122" s="3" t="inlineStr">
        <is>
          <t>share</t>
        </is>
      </c>
      <c r="D2122" s="196">
        <f>J2122</f>
        <v>0.0</v>
      </c>
      <c r="E2122" s="196" t="n">
        <v>0</v>
      </c>
      <c r="F2122" s="196" t="n">
        <v>0</v>
      </c>
      <c r="G2122" s="196" t="n">
        <v>0</v>
      </c>
      <c r="H2122" s="196" t="n">
        <v>0</v>
      </c>
      <c r="I2122" s="196" t="n">
        <v>0</v>
      </c>
      <c r="J2122" s="39" t="n">
        <v>0</v>
      </c>
      <c r="K2122" s="133" t="n">
        <v>619</v>
      </c>
      <c r="L2122" s="133" t="n">
        <v>737</v>
      </c>
      <c r="M2122" s="3" t="str">
        <f>$C$2081&amp;"eef.bio"</f>
        <v>egy.mit.eef.bio</v>
      </c>
    </row>
    <row r="2123">
      <c r="A2123" s="3" t="inlineStr">
        <is>
          <t>rer.all</t>
        </is>
      </c>
      <c r="B2123" s="3" t="inlineStr">
        <is>
          <t>EU ETS permit price (if the EU ETS applies)</t>
        </is>
      </c>
      <c r="C2123" s="3" t="inlineStr">
        <is>
          <t>USD/tCO2 real</t>
        </is>
      </c>
      <c r="E2123" s="48" t="n">
        <v>0</v>
      </c>
      <c r="F2123" s="48" t="n">
        <v>0</v>
      </c>
      <c r="G2123" s="48" t="n">
        <v>0</v>
      </c>
      <c r="H2123" s="48" t="n">
        <v>0</v>
      </c>
      <c r="I2123" s="48" t="n">
        <v>0</v>
      </c>
      <c r="J2123" s="39" t="n">
        <v>0</v>
      </c>
      <c r="K2123" s="133" t="n">
        <v>616</v>
      </c>
      <c r="L2123" s="133" t="n">
        <v>617</v>
      </c>
      <c r="M2123" s="3" t="str">
        <f>"eu.mit.eer.all"</f>
        <v>eu.mit.eer.all</v>
      </c>
    </row>
    <row r="2124">
      <c r="A2124" s="3" t="inlineStr">
        <is>
          <t>res.pow</t>
        </is>
      </c>
      <c r="B2124" s="3" t="inlineStr">
        <is>
          <t>EU ETS coverage, sector power</t>
        </is>
      </c>
      <c r="C2124" s="3" t="inlineStr">
        <is>
          <t>share</t>
        </is>
      </c>
      <c r="D2124" s="196">
        <f>J2124</f>
        <v>0.0</v>
      </c>
      <c r="E2124" s="196" t="n">
        <v>0</v>
      </c>
      <c r="F2124" s="196" t="n">
        <v>0</v>
      </c>
      <c r="G2124" s="196" t="n">
        <v>0</v>
      </c>
      <c r="H2124" s="196" t="n">
        <v>0</v>
      </c>
      <c r="I2124" s="196" t="n">
        <v>0</v>
      </c>
      <c r="J2124" s="39" t="n">
        <v>0</v>
      </c>
      <c r="K2124" s="133" t="n">
        <v>1094</v>
      </c>
      <c r="L2124" s="133" t="n">
        <v>1223</v>
      </c>
      <c r="M2124" s="3" t="str">
        <f>$C$2081&amp;"ees.pow"</f>
        <v>egy.mit.ees.pow</v>
      </c>
    </row>
    <row r="2125">
      <c r="A2125" s="3" t="inlineStr">
        <is>
          <t>res.trs</t>
        </is>
      </c>
      <c r="B2125" s="3" t="inlineStr">
        <is>
          <t>EU ETS coverage, sector transport</t>
        </is>
      </c>
      <c r="C2125" s="3" t="inlineStr">
        <is>
          <t>share</t>
        </is>
      </c>
      <c r="D2125" s="196">
        <f>J2125</f>
        <v>0.0</v>
      </c>
      <c r="E2125" s="196" t="n">
        <v>0</v>
      </c>
      <c r="F2125" s="196" t="n">
        <v>0</v>
      </c>
      <c r="G2125" s="196" t="n">
        <v>0</v>
      </c>
      <c r="H2125" s="196" t="n">
        <v>0</v>
      </c>
      <c r="I2125" s="196" t="n">
        <v>0</v>
      </c>
      <c r="J2125" s="39" t="n">
        <v>0</v>
      </c>
      <c r="K2125" s="133" t="n">
        <v>1094</v>
      </c>
      <c r="L2125" s="133" t="n">
        <v>1223</v>
      </c>
      <c r="M2125" s="3" t="str">
        <f>$C$2081&amp;"ees.trs"</f>
        <v>egy.mit.ees.trs</v>
      </c>
    </row>
    <row r="2126">
      <c r="A2126" s="3" t="inlineStr">
        <is>
          <t>res.res</t>
        </is>
      </c>
      <c r="B2126" s="3" t="inlineStr">
        <is>
          <t>EU ETS coverage, sector buildings</t>
        </is>
      </c>
      <c r="C2126" s="3" t="inlineStr">
        <is>
          <t>share</t>
        </is>
      </c>
      <c r="D2126" s="196">
        <f>J2126</f>
        <v>0.0</v>
      </c>
      <c r="E2126" s="196" t="n">
        <v>0</v>
      </c>
      <c r="F2126" s="196" t="n">
        <v>0</v>
      </c>
      <c r="G2126" s="196" t="n">
        <v>0</v>
      </c>
      <c r="H2126" s="196" t="n">
        <v>0</v>
      </c>
      <c r="I2126" s="196" t="n">
        <v>0</v>
      </c>
      <c r="J2126" s="39" t="n">
        <v>0</v>
      </c>
      <c r="K2126" s="133" t="n">
        <v>1094</v>
      </c>
      <c r="L2126" s="133" t="n">
        <v>1223</v>
      </c>
      <c r="M2126" s="3" t="str">
        <f>$C$2081&amp;"ees.res"</f>
        <v>egy.mit.ees.res</v>
      </c>
    </row>
    <row r="2127">
      <c r="A2127" s="3" t="inlineStr">
        <is>
          <t>res.ind</t>
        </is>
      </c>
      <c r="B2127" s="3" t="inlineStr">
        <is>
          <t>EU ETS coverage, sector industry</t>
        </is>
      </c>
      <c r="C2127" s="3" t="inlineStr">
        <is>
          <t>share</t>
        </is>
      </c>
      <c r="D2127" s="196">
        <f>J2127</f>
        <v>0.0</v>
      </c>
      <c r="E2127" s="196" t="n">
        <v>0</v>
      </c>
      <c r="F2127" s="196" t="n">
        <v>0</v>
      </c>
      <c r="G2127" s="196" t="n">
        <v>0</v>
      </c>
      <c r="H2127" s="196" t="n">
        <v>0</v>
      </c>
      <c r="I2127" s="196" t="n">
        <v>0</v>
      </c>
      <c r="J2127" s="39" t="n">
        <v>0</v>
      </c>
      <c r="K2127" s="133" t="n">
        <v>1094</v>
      </c>
      <c r="L2127" s="133" t="n">
        <v>1223</v>
      </c>
      <c r="M2127" s="3" t="str">
        <f>$C$2081&amp;"ees.ind"</f>
        <v>egy.mit.ees.ind</v>
      </c>
    </row>
    <row r="2128">
      <c r="A2128" s="3" t="inlineStr">
        <is>
          <t>ref.coa</t>
        </is>
      </c>
      <c r="B2128" s="3" t="inlineStr">
        <is>
          <t>EU ETS coverage, fuel Coal</t>
        </is>
      </c>
      <c r="C2128" s="3" t="inlineStr">
        <is>
          <t>share</t>
        </is>
      </c>
      <c r="D2128" s="196">
        <f>J2128</f>
        <v>0.0</v>
      </c>
      <c r="E2128" s="196" t="n">
        <v>0</v>
      </c>
      <c r="F2128" s="196" t="n">
        <v>0</v>
      </c>
      <c r="G2128" s="196" t="n">
        <v>0</v>
      </c>
      <c r="H2128" s="196" t="n">
        <v>0</v>
      </c>
      <c r="I2128" s="196" t="n">
        <v>0</v>
      </c>
      <c r="J2128" s="39" t="n">
        <v>0</v>
      </c>
      <c r="K2128" s="133" t="n">
        <v>738</v>
      </c>
      <c r="L2128" s="133" t="n">
        <v>1036</v>
      </c>
      <c r="M2128" s="3" t="str">
        <f>$C$2081&amp;"eef.coa"</f>
        <v>egy.mit.eef.coa</v>
      </c>
    </row>
    <row r="2129">
      <c r="A2129" s="3" t="inlineStr">
        <is>
          <t>ref.nga</t>
        </is>
      </c>
      <c r="B2129" s="3" t="inlineStr">
        <is>
          <t>EU ETS coverage, fuel Natural gas</t>
        </is>
      </c>
      <c r="C2129" s="3" t="inlineStr">
        <is>
          <t>share</t>
        </is>
      </c>
      <c r="D2129" s="196">
        <f>J2129</f>
        <v>0.0</v>
      </c>
      <c r="E2129" s="196" t="n">
        <v>0</v>
      </c>
      <c r="F2129" s="196" t="n">
        <v>0</v>
      </c>
      <c r="G2129" s="196" t="n">
        <v>0</v>
      </c>
      <c r="H2129" s="196" t="n">
        <v>0</v>
      </c>
      <c r="I2129" s="196" t="n">
        <v>0</v>
      </c>
      <c r="J2129" s="39" t="n">
        <v>0</v>
      </c>
      <c r="K2129" s="133" t="n">
        <v>738</v>
      </c>
      <c r="L2129" s="133" t="n">
        <v>1036</v>
      </c>
      <c r="M2129" s="3" t="str">
        <f>$C$2081&amp;"eef.nga"</f>
        <v>egy.mit.eef.nga</v>
      </c>
    </row>
    <row r="2130">
      <c r="A2130" s="3" t="inlineStr">
        <is>
          <t>ref.gso</t>
        </is>
      </c>
      <c r="B2130" s="3" t="inlineStr">
        <is>
          <t>EU ETS coverage, fuel Gasoline</t>
        </is>
      </c>
      <c r="C2130" s="3" t="inlineStr">
        <is>
          <t>share</t>
        </is>
      </c>
      <c r="D2130" s="196">
        <f>J2130</f>
        <v>0.0</v>
      </c>
      <c r="E2130" s="196" t="n">
        <v>0</v>
      </c>
      <c r="F2130" s="196" t="n">
        <v>0</v>
      </c>
      <c r="G2130" s="196" t="n">
        <v>0</v>
      </c>
      <c r="H2130" s="196" t="n">
        <v>0</v>
      </c>
      <c r="I2130" s="196" t="n">
        <v>0</v>
      </c>
      <c r="J2130" s="39" t="n">
        <v>0</v>
      </c>
      <c r="K2130" s="133" t="n">
        <v>738</v>
      </c>
      <c r="L2130" s="133" t="n">
        <v>1036</v>
      </c>
      <c r="M2130" s="3" t="str">
        <f>$C$2081&amp;"eef.gso"</f>
        <v>egy.mit.eef.gso</v>
      </c>
    </row>
    <row r="2131">
      <c r="A2131" s="3" t="inlineStr">
        <is>
          <t>ref.die</t>
        </is>
      </c>
      <c r="B2131" s="3" t="inlineStr">
        <is>
          <t>EU ETS coverage, fuel Diesel</t>
        </is>
      </c>
      <c r="C2131" s="3" t="inlineStr">
        <is>
          <t>share</t>
        </is>
      </c>
      <c r="D2131" s="196">
        <f>J2131</f>
        <v>0.0</v>
      </c>
      <c r="E2131" s="196" t="n">
        <v>0</v>
      </c>
      <c r="F2131" s="196" t="n">
        <v>0</v>
      </c>
      <c r="G2131" s="196" t="n">
        <v>0</v>
      </c>
      <c r="H2131" s="196" t="n">
        <v>0</v>
      </c>
      <c r="I2131" s="196" t="n">
        <v>0</v>
      </c>
      <c r="J2131" s="39" t="n">
        <v>0</v>
      </c>
      <c r="K2131" s="133" t="n">
        <v>738</v>
      </c>
      <c r="L2131" s="133" t="n">
        <v>1036</v>
      </c>
      <c r="M2131" s="3" t="str">
        <f>$C$2081&amp;"eef.die"</f>
        <v>egy.mit.eef.die</v>
      </c>
    </row>
    <row r="2132">
      <c r="A2132" s="3" t="inlineStr">
        <is>
          <t>ref.lpg</t>
        </is>
      </c>
      <c r="B2132" s="3" t="inlineStr">
        <is>
          <t>EU ETS coverage, fuel LPG</t>
        </is>
      </c>
      <c r="C2132" s="3" t="inlineStr">
        <is>
          <t>share</t>
        </is>
      </c>
      <c r="D2132" s="196">
        <f>J2132</f>
        <v>0.0</v>
      </c>
      <c r="E2132" s="196" t="n">
        <v>0</v>
      </c>
      <c r="F2132" s="196" t="n">
        <v>0</v>
      </c>
      <c r="G2132" s="196" t="n">
        <v>0</v>
      </c>
      <c r="H2132" s="196" t="n">
        <v>0</v>
      </c>
      <c r="I2132" s="196" t="n">
        <v>0</v>
      </c>
      <c r="J2132" s="39" t="n">
        <v>0</v>
      </c>
      <c r="K2132" s="133" t="n">
        <v>738</v>
      </c>
      <c r="L2132" s="133" t="n">
        <v>1036</v>
      </c>
      <c r="M2132" s="3" t="str">
        <f>$C$2081&amp;"eef.lpg"</f>
        <v>egy.mit.eef.lpg</v>
      </c>
    </row>
    <row r="2133">
      <c r="A2133" s="3" t="inlineStr">
        <is>
          <t>ref.ker</t>
        </is>
      </c>
      <c r="B2133" s="3" t="inlineStr">
        <is>
          <t>EU ETS coverage, fuel Kerosene</t>
        </is>
      </c>
      <c r="C2133" s="3" t="inlineStr">
        <is>
          <t>share</t>
        </is>
      </c>
      <c r="D2133" s="196">
        <f>J2133</f>
        <v>0.0</v>
      </c>
      <c r="E2133" s="196" t="n">
        <v>0</v>
      </c>
      <c r="F2133" s="196" t="n">
        <v>0</v>
      </c>
      <c r="G2133" s="196" t="n">
        <v>0</v>
      </c>
      <c r="H2133" s="196" t="n">
        <v>0</v>
      </c>
      <c r="I2133" s="196" t="n">
        <v>0</v>
      </c>
      <c r="J2133" s="39" t="n">
        <v>0</v>
      </c>
      <c r="K2133" s="133" t="n">
        <v>738</v>
      </c>
      <c r="L2133" s="133" t="n">
        <v>1036</v>
      </c>
      <c r="M2133" s="3" t="str">
        <f>$C$2081&amp;"eef.ker"</f>
        <v>egy.mit.eef.ker</v>
      </c>
    </row>
    <row r="2134">
      <c r="A2134" s="3" t="inlineStr">
        <is>
          <t>ref.jfu</t>
        </is>
      </c>
      <c r="B2134" s="3" t="inlineStr">
        <is>
          <t>EU ETS coverage, fuel Jet fuel</t>
        </is>
      </c>
      <c r="C2134" s="3" t="inlineStr">
        <is>
          <t>share</t>
        </is>
      </c>
      <c r="D2134" s="196">
        <f>J2134</f>
        <v>0.0</v>
      </c>
      <c r="E2134" s="196" t="n">
        <v>0</v>
      </c>
      <c r="F2134" s="196" t="n">
        <v>0</v>
      </c>
      <c r="G2134" s="196" t="n">
        <v>0</v>
      </c>
      <c r="H2134" s="196" t="n">
        <v>0</v>
      </c>
      <c r="I2134" s="196" t="n">
        <v>0</v>
      </c>
      <c r="J2134" s="39" t="n">
        <v>0</v>
      </c>
      <c r="K2134" s="133" t="n">
        <v>738</v>
      </c>
      <c r="L2134" s="133" t="n">
        <v>1036</v>
      </c>
      <c r="M2134" s="3" t="str">
        <f>$C$2081&amp;"eef.jfu"</f>
        <v>egy.mit.eef.jfu</v>
      </c>
    </row>
    <row r="2135">
      <c r="A2135" s="3" t="inlineStr">
        <is>
          <t>ref.oop</t>
        </is>
      </c>
      <c r="B2135" s="3" t="inlineStr">
        <is>
          <t>EU ETS coverage, fuel Other oil products</t>
        </is>
      </c>
      <c r="C2135" s="3" t="inlineStr">
        <is>
          <t>share</t>
        </is>
      </c>
      <c r="D2135" s="196">
        <f>J2135</f>
        <v>0.0</v>
      </c>
      <c r="E2135" s="196" t="n">
        <v>0</v>
      </c>
      <c r="F2135" s="196" t="n">
        <v>0</v>
      </c>
      <c r="G2135" s="196" t="n">
        <v>0</v>
      </c>
      <c r="H2135" s="196" t="n">
        <v>0</v>
      </c>
      <c r="I2135" s="196" t="n">
        <v>0</v>
      </c>
      <c r="J2135" s="39" t="n">
        <v>0</v>
      </c>
      <c r="K2135" s="133" t="n">
        <v>738</v>
      </c>
      <c r="L2135" s="133" t="n">
        <v>1036</v>
      </c>
      <c r="M2135" s="3" t="str">
        <f>$C$2081&amp;"eef.oop"</f>
        <v>egy.mit.eef.oop</v>
      </c>
    </row>
    <row r="2136">
      <c r="A2136" s="3" t="inlineStr">
        <is>
          <t>ref.bio</t>
        </is>
      </c>
      <c r="B2136" s="3" t="inlineStr">
        <is>
          <t>EU ETS coverage, fuel Biomass</t>
        </is>
      </c>
      <c r="C2136" s="3" t="inlineStr">
        <is>
          <t>share</t>
        </is>
      </c>
      <c r="D2136" s="196">
        <f>J2136</f>
        <v>0.0</v>
      </c>
      <c r="E2136" s="196" t="n">
        <v>0</v>
      </c>
      <c r="F2136" s="196" t="n">
        <v>0</v>
      </c>
      <c r="G2136" s="196" t="n">
        <v>0</v>
      </c>
      <c r="H2136" s="196" t="n">
        <v>0</v>
      </c>
      <c r="I2136" s="196" t="n">
        <v>0</v>
      </c>
      <c r="J2136" s="39" t="n">
        <v>0</v>
      </c>
      <c r="K2136" s="133" t="n">
        <v>738</v>
      </c>
      <c r="L2136" s="133" t="n">
        <v>1036</v>
      </c>
      <c r="M2136" s="3" t="str">
        <f>$C$2081&amp;"eef.bio"</f>
        <v>egy.mit.eef.bio</v>
      </c>
    </row>
    <row r="2137"/>
    <row r="2138">
      <c r="A2138" s="6" t="inlineStr">
        <is>
          <t>Existing carbon tax by ECP sector | fuel ($/tCO2 real): rate x sector coverage x fuel coverage (legacy rows 1752-1764)</t>
        </is>
      </c>
    </row>
    <row r="2139">
      <c r="A2139" s="3" t="inlineStr">
        <is>
          <t>none|none</t>
        </is>
      </c>
      <c r="B2139" s="3" t="inlineStr">
        <is>
          <t>no ECP sector (power types without a fuel)</t>
        </is>
      </c>
      <c r="C2139" s="3" t="inlineStr">
        <is>
          <t>USD/tCO2 real</t>
        </is>
      </c>
      <c r="E2139" s="48" t="n">
        <v>0</v>
      </c>
      <c r="F2139" s="48" t="n">
        <v>0</v>
      </c>
      <c r="G2139" s="48" t="n">
        <v>0</v>
      </c>
      <c r="H2139" s="48" t="n">
        <v>0</v>
      </c>
      <c r="I2139" s="48" t="n">
        <v>0</v>
      </c>
    </row>
    <row r="2140">
      <c r="A2140" s="3" t="inlineStr">
        <is>
          <t>pow|coa</t>
        </is>
      </c>
      <c r="B2140" s="3" t="inlineStr">
        <is>
          <t>power, Coal</t>
        </is>
      </c>
      <c r="C2140" s="3" t="inlineStr">
        <is>
          <t>USD/tCO2 real</t>
        </is>
      </c>
      <c r="E2140" s="48">
        <f t="shared" ref="E2140:I2140" si="132">E2087*E2096*E2100</f>
        <v>0.0</v>
      </c>
      <c r="F2140" s="48">
        <f t="shared" si="132"/>
        <v>0.0</v>
      </c>
      <c r="G2140" s="48">
        <f t="shared" si="132"/>
        <v>0.0</v>
      </c>
      <c r="H2140" s="48">
        <f t="shared" si="132"/>
        <v>0.0</v>
      </c>
      <c r="I2140" s="48">
        <f t="shared" si="132"/>
        <v>0.0</v>
      </c>
    </row>
    <row r="2141">
      <c r="A2141" s="3" t="inlineStr">
        <is>
          <t>pow|nga</t>
        </is>
      </c>
      <c r="B2141" s="3" t="inlineStr">
        <is>
          <t>power, Natural gas</t>
        </is>
      </c>
      <c r="C2141" s="3" t="inlineStr">
        <is>
          <t>USD/tCO2 real</t>
        </is>
      </c>
      <c r="E2141" s="48">
        <f t="shared" ref="E2141:I2141" si="133">E2088*E2096*E2101</f>
        <v>0.0</v>
      </c>
      <c r="F2141" s="48">
        <f t="shared" si="133"/>
        <v>0.0</v>
      </c>
      <c r="G2141" s="48">
        <f t="shared" si="133"/>
        <v>0.0</v>
      </c>
      <c r="H2141" s="48">
        <f t="shared" si="133"/>
        <v>0.0</v>
      </c>
      <c r="I2141" s="48">
        <f t="shared" si="133"/>
        <v>0.0</v>
      </c>
    </row>
    <row r="2142">
      <c r="A2142" s="3" t="inlineStr">
        <is>
          <t>pow|gso</t>
        </is>
      </c>
      <c r="B2142" s="3" t="inlineStr">
        <is>
          <t>power, Gasoline</t>
        </is>
      </c>
      <c r="C2142" s="3" t="inlineStr">
        <is>
          <t>USD/tCO2 real</t>
        </is>
      </c>
      <c r="E2142" s="48">
        <f t="shared" ref="E2142:I2142" si="134">E2089*E2096*E2102</f>
        <v>0.0</v>
      </c>
      <c r="F2142" s="48">
        <f t="shared" si="134"/>
        <v>0.0</v>
      </c>
      <c r="G2142" s="48">
        <f t="shared" si="134"/>
        <v>0.0</v>
      </c>
      <c r="H2142" s="48">
        <f t="shared" si="134"/>
        <v>0.0</v>
      </c>
      <c r="I2142" s="48">
        <f t="shared" si="134"/>
        <v>0.0</v>
      </c>
    </row>
    <row r="2143">
      <c r="A2143" s="3" t="inlineStr">
        <is>
          <t>pow|die</t>
        </is>
      </c>
      <c r="B2143" s="3" t="inlineStr">
        <is>
          <t>power, Diesel</t>
        </is>
      </c>
      <c r="C2143" s="3" t="inlineStr">
        <is>
          <t>USD/tCO2 real</t>
        </is>
      </c>
      <c r="E2143" s="48">
        <f t="shared" ref="E2143:I2143" si="135">E2090*E2096*E2103</f>
        <v>0.0</v>
      </c>
      <c r="F2143" s="48">
        <f t="shared" si="135"/>
        <v>0.0</v>
      </c>
      <c r="G2143" s="48">
        <f t="shared" si="135"/>
        <v>0.0</v>
      </c>
      <c r="H2143" s="48">
        <f t="shared" si="135"/>
        <v>0.0</v>
      </c>
      <c r="I2143" s="48">
        <f t="shared" si="135"/>
        <v>0.0</v>
      </c>
    </row>
    <row r="2144">
      <c r="A2144" s="3" t="inlineStr">
        <is>
          <t>pow|lpg</t>
        </is>
      </c>
      <c r="B2144" s="3" t="inlineStr">
        <is>
          <t>power, LPG</t>
        </is>
      </c>
      <c r="C2144" s="3" t="inlineStr">
        <is>
          <t>USD/tCO2 real</t>
        </is>
      </c>
      <c r="E2144" s="48">
        <f t="shared" ref="E2144:I2144" si="136">E2091*E2096*E2104</f>
        <v>0.0</v>
      </c>
      <c r="F2144" s="48">
        <f t="shared" si="136"/>
        <v>0.0</v>
      </c>
      <c r="G2144" s="48">
        <f t="shared" si="136"/>
        <v>0.0</v>
      </c>
      <c r="H2144" s="48">
        <f t="shared" si="136"/>
        <v>0.0</v>
      </c>
      <c r="I2144" s="48">
        <f t="shared" si="136"/>
        <v>0.0</v>
      </c>
    </row>
    <row r="2145">
      <c r="A2145" s="3" t="inlineStr">
        <is>
          <t>pow|ker</t>
        </is>
      </c>
      <c r="B2145" s="3" t="inlineStr">
        <is>
          <t>power, Kerosene</t>
        </is>
      </c>
      <c r="C2145" s="3" t="inlineStr">
        <is>
          <t>USD/tCO2 real</t>
        </is>
      </c>
      <c r="E2145" s="48">
        <f t="shared" ref="E2145:I2145" si="137">E2092*E2096*E2105</f>
        <v>0.0</v>
      </c>
      <c r="F2145" s="48">
        <f t="shared" si="137"/>
        <v>0.0</v>
      </c>
      <c r="G2145" s="48">
        <f t="shared" si="137"/>
        <v>0.0</v>
      </c>
      <c r="H2145" s="48">
        <f t="shared" si="137"/>
        <v>0.0</v>
      </c>
      <c r="I2145" s="48">
        <f t="shared" si="137"/>
        <v>0.0</v>
      </c>
    </row>
    <row r="2146">
      <c r="A2146" s="3" t="inlineStr">
        <is>
          <t>pow|jfu</t>
        </is>
      </c>
      <c r="B2146" s="3" t="inlineStr">
        <is>
          <t>power, Jet fuel</t>
        </is>
      </c>
      <c r="C2146" s="3" t="inlineStr">
        <is>
          <t>USD/tCO2 real</t>
        </is>
      </c>
      <c r="E2146" s="48">
        <f t="shared" ref="E2146:I2146" si="138">E2093*E2096*E2106</f>
        <v>0.0</v>
      </c>
      <c r="F2146" s="48">
        <f t="shared" si="138"/>
        <v>0.0</v>
      </c>
      <c r="G2146" s="48">
        <f t="shared" si="138"/>
        <v>0.0</v>
      </c>
      <c r="H2146" s="48">
        <f t="shared" si="138"/>
        <v>0.0</v>
      </c>
      <c r="I2146" s="48">
        <f t="shared" si="138"/>
        <v>0.0</v>
      </c>
    </row>
    <row r="2147">
      <c r="A2147" s="3" t="inlineStr">
        <is>
          <t>pow|oop</t>
        </is>
      </c>
      <c r="B2147" s="3" t="inlineStr">
        <is>
          <t>power, Other oil products</t>
        </is>
      </c>
      <c r="C2147" s="3" t="inlineStr">
        <is>
          <t>USD/tCO2 real</t>
        </is>
      </c>
      <c r="E2147" s="48">
        <f t="shared" ref="E2147:I2147" si="139">E2094*E2096*E2107</f>
        <v>0.0</v>
      </c>
      <c r="F2147" s="48">
        <f t="shared" si="139"/>
        <v>0.0</v>
      </c>
      <c r="G2147" s="48">
        <f t="shared" si="139"/>
        <v>0.0</v>
      </c>
      <c r="H2147" s="48">
        <f t="shared" si="139"/>
        <v>0.0</v>
      </c>
      <c r="I2147" s="48">
        <f t="shared" si="139"/>
        <v>0.0</v>
      </c>
    </row>
    <row r="2148">
      <c r="A2148" s="3" t="inlineStr">
        <is>
          <t>pow|bio</t>
        </is>
      </c>
      <c r="B2148" s="3" t="inlineStr">
        <is>
          <t>power, Biomass</t>
        </is>
      </c>
      <c r="C2148" s="3" t="inlineStr">
        <is>
          <t>USD/tCO2 real</t>
        </is>
      </c>
      <c r="E2148" s="48">
        <f t="shared" ref="E2148:I2148" si="140">E2095*E2096*E2108</f>
        <v>0.0</v>
      </c>
      <c r="F2148" s="48">
        <f t="shared" si="140"/>
        <v>0.0</v>
      </c>
      <c r="G2148" s="48">
        <f t="shared" si="140"/>
        <v>0.0</v>
      </c>
      <c r="H2148" s="48">
        <f t="shared" si="140"/>
        <v>0.0</v>
      </c>
      <c r="I2148" s="48">
        <f t="shared" si="140"/>
        <v>0.0</v>
      </c>
    </row>
    <row r="2149">
      <c r="A2149" s="3" t="inlineStr">
        <is>
          <t>trs|coa</t>
        </is>
      </c>
      <c r="B2149" s="3" t="inlineStr">
        <is>
          <t>transport, Coal</t>
        </is>
      </c>
      <c r="C2149" s="3" t="inlineStr">
        <is>
          <t>USD/tCO2 real</t>
        </is>
      </c>
      <c r="E2149" s="48">
        <f t="shared" ref="E2149:I2149" si="141">E2087*E2097*E2100</f>
        <v>0.0</v>
      </c>
      <c r="F2149" s="48">
        <f t="shared" si="141"/>
        <v>0.0</v>
      </c>
      <c r="G2149" s="48">
        <f t="shared" si="141"/>
        <v>0.0</v>
      </c>
      <c r="H2149" s="48">
        <f t="shared" si="141"/>
        <v>0.0</v>
      </c>
      <c r="I2149" s="48">
        <f t="shared" si="141"/>
        <v>0.0</v>
      </c>
    </row>
    <row r="2150">
      <c r="A2150" s="3" t="inlineStr">
        <is>
          <t>trs|nga</t>
        </is>
      </c>
      <c r="B2150" s="3" t="inlineStr">
        <is>
          <t>transport, Natural gas</t>
        </is>
      </c>
      <c r="C2150" s="3" t="inlineStr">
        <is>
          <t>USD/tCO2 real</t>
        </is>
      </c>
      <c r="E2150" s="48">
        <f t="shared" ref="E2150:I2150" si="142">E2088*E2097*E2101</f>
        <v>0.0</v>
      </c>
      <c r="F2150" s="48">
        <f t="shared" si="142"/>
        <v>0.0</v>
      </c>
      <c r="G2150" s="48">
        <f t="shared" si="142"/>
        <v>0.0</v>
      </c>
      <c r="H2150" s="48">
        <f t="shared" si="142"/>
        <v>0.0</v>
      </c>
      <c r="I2150" s="48">
        <f t="shared" si="142"/>
        <v>0.0</v>
      </c>
    </row>
    <row r="2151">
      <c r="A2151" s="3" t="inlineStr">
        <is>
          <t>trs|gso</t>
        </is>
      </c>
      <c r="B2151" s="3" t="inlineStr">
        <is>
          <t>transport, Gasoline</t>
        </is>
      </c>
      <c r="C2151" s="3" t="inlineStr">
        <is>
          <t>USD/tCO2 real</t>
        </is>
      </c>
      <c r="E2151" s="48">
        <f t="shared" ref="E2151:I2151" si="143">E2089*E2097*E2102</f>
        <v>0.0</v>
      </c>
      <c r="F2151" s="48">
        <f t="shared" si="143"/>
        <v>0.0</v>
      </c>
      <c r="G2151" s="48">
        <f t="shared" si="143"/>
        <v>0.0</v>
      </c>
      <c r="H2151" s="48">
        <f t="shared" si="143"/>
        <v>0.0</v>
      </c>
      <c r="I2151" s="48">
        <f t="shared" si="143"/>
        <v>0.0</v>
      </c>
    </row>
    <row r="2152">
      <c r="A2152" s="3" t="inlineStr">
        <is>
          <t>trs|die</t>
        </is>
      </c>
      <c r="B2152" s="3" t="inlineStr">
        <is>
          <t>transport, Diesel</t>
        </is>
      </c>
      <c r="C2152" s="3" t="inlineStr">
        <is>
          <t>USD/tCO2 real</t>
        </is>
      </c>
      <c r="E2152" s="48">
        <f t="shared" ref="E2152:I2152" si="144">E2090*E2097*E2103</f>
        <v>0.0</v>
      </c>
      <c r="F2152" s="48">
        <f t="shared" si="144"/>
        <v>0.0</v>
      </c>
      <c r="G2152" s="48">
        <f t="shared" si="144"/>
        <v>0.0</v>
      </c>
      <c r="H2152" s="48">
        <f t="shared" si="144"/>
        <v>0.0</v>
      </c>
      <c r="I2152" s="48">
        <f t="shared" si="144"/>
        <v>0.0</v>
      </c>
    </row>
    <row r="2153">
      <c r="A2153" s="3" t="inlineStr">
        <is>
          <t>trs|lpg</t>
        </is>
      </c>
      <c r="B2153" s="3" t="inlineStr">
        <is>
          <t>transport, LPG</t>
        </is>
      </c>
      <c r="C2153" s="3" t="inlineStr">
        <is>
          <t>USD/tCO2 real</t>
        </is>
      </c>
      <c r="E2153" s="48">
        <f t="shared" ref="E2153:I2153" si="145">E2091*E2097*E2104</f>
        <v>0.0</v>
      </c>
      <c r="F2153" s="48">
        <f t="shared" si="145"/>
        <v>0.0</v>
      </c>
      <c r="G2153" s="48">
        <f t="shared" si="145"/>
        <v>0.0</v>
      </c>
      <c r="H2153" s="48">
        <f t="shared" si="145"/>
        <v>0.0</v>
      </c>
      <c r="I2153" s="48">
        <f t="shared" si="145"/>
        <v>0.0</v>
      </c>
    </row>
    <row r="2154">
      <c r="A2154" s="3" t="inlineStr">
        <is>
          <t>trs|ker</t>
        </is>
      </c>
      <c r="B2154" s="3" t="inlineStr">
        <is>
          <t>transport, Kerosene</t>
        </is>
      </c>
      <c r="C2154" s="3" t="inlineStr">
        <is>
          <t>USD/tCO2 real</t>
        </is>
      </c>
      <c r="E2154" s="48">
        <f t="shared" ref="E2154:I2154" si="146">E2092*E2097*E2105</f>
        <v>0.0</v>
      </c>
      <c r="F2154" s="48">
        <f t="shared" si="146"/>
        <v>0.0</v>
      </c>
      <c r="G2154" s="48">
        <f t="shared" si="146"/>
        <v>0.0</v>
      </c>
      <c r="H2154" s="48">
        <f t="shared" si="146"/>
        <v>0.0</v>
      </c>
      <c r="I2154" s="48">
        <f t="shared" si="146"/>
        <v>0.0</v>
      </c>
    </row>
    <row r="2155">
      <c r="A2155" s="3" t="inlineStr">
        <is>
          <t>trs|jfu</t>
        </is>
      </c>
      <c r="B2155" s="3" t="inlineStr">
        <is>
          <t>transport, Jet fuel</t>
        </is>
      </c>
      <c r="C2155" s="3" t="inlineStr">
        <is>
          <t>USD/tCO2 real</t>
        </is>
      </c>
      <c r="E2155" s="48">
        <f t="shared" ref="E2155:I2155" si="147">E2093*E2097*E2106</f>
        <v>0.0</v>
      </c>
      <c r="F2155" s="48">
        <f t="shared" si="147"/>
        <v>0.0</v>
      </c>
      <c r="G2155" s="48">
        <f t="shared" si="147"/>
        <v>0.0</v>
      </c>
      <c r="H2155" s="48">
        <f t="shared" si="147"/>
        <v>0.0</v>
      </c>
      <c r="I2155" s="48">
        <f t="shared" si="147"/>
        <v>0.0</v>
      </c>
    </row>
    <row r="2156">
      <c r="A2156" s="3" t="inlineStr">
        <is>
          <t>trs|oop</t>
        </is>
      </c>
      <c r="B2156" s="3" t="inlineStr">
        <is>
          <t>transport, Other oil products</t>
        </is>
      </c>
      <c r="C2156" s="3" t="inlineStr">
        <is>
          <t>USD/tCO2 real</t>
        </is>
      </c>
      <c r="E2156" s="48">
        <f t="shared" ref="E2156:I2156" si="148">E2094*E2097*E2107</f>
        <v>0.0</v>
      </c>
      <c r="F2156" s="48">
        <f t="shared" si="148"/>
        <v>0.0</v>
      </c>
      <c r="G2156" s="48">
        <f t="shared" si="148"/>
        <v>0.0</v>
      </c>
      <c r="H2156" s="48">
        <f t="shared" si="148"/>
        <v>0.0</v>
      </c>
      <c r="I2156" s="48">
        <f t="shared" si="148"/>
        <v>0.0</v>
      </c>
    </row>
    <row r="2157">
      <c r="A2157" s="3" t="inlineStr">
        <is>
          <t>trs|bio</t>
        </is>
      </c>
      <c r="B2157" s="3" t="inlineStr">
        <is>
          <t>transport, Biomass</t>
        </is>
      </c>
      <c r="C2157" s="3" t="inlineStr">
        <is>
          <t>USD/tCO2 real</t>
        </is>
      </c>
      <c r="E2157" s="48">
        <f t="shared" ref="E2157:I2157" si="149">E2095*E2097*E2108</f>
        <v>0.0</v>
      </c>
      <c r="F2157" s="48">
        <f t="shared" si="149"/>
        <v>0.0</v>
      </c>
      <c r="G2157" s="48">
        <f t="shared" si="149"/>
        <v>0.0</v>
      </c>
      <c r="H2157" s="48">
        <f t="shared" si="149"/>
        <v>0.0</v>
      </c>
      <c r="I2157" s="48">
        <f t="shared" si="149"/>
        <v>0.0</v>
      </c>
    </row>
    <row r="2158">
      <c r="A2158" s="3" t="inlineStr">
        <is>
          <t>res|coa</t>
        </is>
      </c>
      <c r="B2158" s="3" t="inlineStr">
        <is>
          <t>buildings, Coal</t>
        </is>
      </c>
      <c r="C2158" s="3" t="inlineStr">
        <is>
          <t>USD/tCO2 real</t>
        </is>
      </c>
      <c r="E2158" s="48">
        <f t="shared" ref="E2158:I2158" si="150">E2087*E2098*E2100</f>
        <v>0.0</v>
      </c>
      <c r="F2158" s="48">
        <f t="shared" si="150"/>
        <v>0.0</v>
      </c>
      <c r="G2158" s="48">
        <f t="shared" si="150"/>
        <v>0.0</v>
      </c>
      <c r="H2158" s="48">
        <f t="shared" si="150"/>
        <v>0.0</v>
      </c>
      <c r="I2158" s="48">
        <f t="shared" si="150"/>
        <v>0.0</v>
      </c>
    </row>
    <row r="2159">
      <c r="A2159" s="3" t="inlineStr">
        <is>
          <t>res|nga</t>
        </is>
      </c>
      <c r="B2159" s="3" t="inlineStr">
        <is>
          <t>buildings, Natural gas</t>
        </is>
      </c>
      <c r="C2159" s="3" t="inlineStr">
        <is>
          <t>USD/tCO2 real</t>
        </is>
      </c>
      <c r="E2159" s="48">
        <f t="shared" ref="E2159:I2159" si="151">E2088*E2098*E2101</f>
        <v>0.0</v>
      </c>
      <c r="F2159" s="48">
        <f t="shared" si="151"/>
        <v>0.0</v>
      </c>
      <c r="G2159" s="48">
        <f t="shared" si="151"/>
        <v>0.0</v>
      </c>
      <c r="H2159" s="48">
        <f t="shared" si="151"/>
        <v>0.0</v>
      </c>
      <c r="I2159" s="48">
        <f t="shared" si="151"/>
        <v>0.0</v>
      </c>
    </row>
    <row r="2160">
      <c r="A2160" s="3" t="inlineStr">
        <is>
          <t>res|gso</t>
        </is>
      </c>
      <c r="B2160" s="3" t="inlineStr">
        <is>
          <t>buildings, Gasoline</t>
        </is>
      </c>
      <c r="C2160" s="3" t="inlineStr">
        <is>
          <t>USD/tCO2 real</t>
        </is>
      </c>
      <c r="E2160" s="48">
        <f t="shared" ref="E2160:I2160" si="152">E2089*E2098*E2102</f>
        <v>0.0</v>
      </c>
      <c r="F2160" s="48">
        <f t="shared" si="152"/>
        <v>0.0</v>
      </c>
      <c r="G2160" s="48">
        <f t="shared" si="152"/>
        <v>0.0</v>
      </c>
      <c r="H2160" s="48">
        <f t="shared" si="152"/>
        <v>0.0</v>
      </c>
      <c r="I2160" s="48">
        <f t="shared" si="152"/>
        <v>0.0</v>
      </c>
    </row>
    <row r="2161">
      <c r="A2161" s="3" t="inlineStr">
        <is>
          <t>res|die</t>
        </is>
      </c>
      <c r="B2161" s="3" t="inlineStr">
        <is>
          <t>buildings, Diesel</t>
        </is>
      </c>
      <c r="C2161" s="3" t="inlineStr">
        <is>
          <t>USD/tCO2 real</t>
        </is>
      </c>
      <c r="E2161" s="48">
        <f t="shared" ref="E2161:I2161" si="153">E2090*E2098*E2103</f>
        <v>0.0</v>
      </c>
      <c r="F2161" s="48">
        <f t="shared" si="153"/>
        <v>0.0</v>
      </c>
      <c r="G2161" s="48">
        <f t="shared" si="153"/>
        <v>0.0</v>
      </c>
      <c r="H2161" s="48">
        <f t="shared" si="153"/>
        <v>0.0</v>
      </c>
      <c r="I2161" s="48">
        <f t="shared" si="153"/>
        <v>0.0</v>
      </c>
    </row>
    <row r="2162">
      <c r="A2162" s="3" t="inlineStr">
        <is>
          <t>res|lpg</t>
        </is>
      </c>
      <c r="B2162" s="3" t="inlineStr">
        <is>
          <t>buildings, LPG</t>
        </is>
      </c>
      <c r="C2162" s="3" t="inlineStr">
        <is>
          <t>USD/tCO2 real</t>
        </is>
      </c>
      <c r="E2162" s="48">
        <f t="shared" ref="E2162:I2162" si="154">E2091*E2098*E2104</f>
        <v>0.0</v>
      </c>
      <c r="F2162" s="48">
        <f t="shared" si="154"/>
        <v>0.0</v>
      </c>
      <c r="G2162" s="48">
        <f t="shared" si="154"/>
        <v>0.0</v>
      </c>
      <c r="H2162" s="48">
        <f t="shared" si="154"/>
        <v>0.0</v>
      </c>
      <c r="I2162" s="48">
        <f t="shared" si="154"/>
        <v>0.0</v>
      </c>
    </row>
    <row r="2163">
      <c r="A2163" s="3" t="inlineStr">
        <is>
          <t>res|ker</t>
        </is>
      </c>
      <c r="B2163" s="3" t="inlineStr">
        <is>
          <t>buildings, Kerosene</t>
        </is>
      </c>
      <c r="C2163" s="3" t="inlineStr">
        <is>
          <t>USD/tCO2 real</t>
        </is>
      </c>
      <c r="E2163" s="48">
        <f t="shared" ref="E2163:I2163" si="155">E2092*E2098*E2105</f>
        <v>0.0</v>
      </c>
      <c r="F2163" s="48">
        <f t="shared" si="155"/>
        <v>0.0</v>
      </c>
      <c r="G2163" s="48">
        <f t="shared" si="155"/>
        <v>0.0</v>
      </c>
      <c r="H2163" s="48">
        <f t="shared" si="155"/>
        <v>0.0</v>
      </c>
      <c r="I2163" s="48">
        <f t="shared" si="155"/>
        <v>0.0</v>
      </c>
    </row>
    <row r="2164">
      <c r="A2164" s="3" t="inlineStr">
        <is>
          <t>res|jfu</t>
        </is>
      </c>
      <c r="B2164" s="3" t="inlineStr">
        <is>
          <t>buildings, Jet fuel</t>
        </is>
      </c>
      <c r="C2164" s="3" t="inlineStr">
        <is>
          <t>USD/tCO2 real</t>
        </is>
      </c>
      <c r="E2164" s="48">
        <f t="shared" ref="E2164:I2164" si="156">E2093*E2098*E2106</f>
        <v>0.0</v>
      </c>
      <c r="F2164" s="48">
        <f t="shared" si="156"/>
        <v>0.0</v>
      </c>
      <c r="G2164" s="48">
        <f t="shared" si="156"/>
        <v>0.0</v>
      </c>
      <c r="H2164" s="48">
        <f t="shared" si="156"/>
        <v>0.0</v>
      </c>
      <c r="I2164" s="48">
        <f t="shared" si="156"/>
        <v>0.0</v>
      </c>
    </row>
    <row r="2165">
      <c r="A2165" s="3" t="inlineStr">
        <is>
          <t>res|oop</t>
        </is>
      </c>
      <c r="B2165" s="3" t="inlineStr">
        <is>
          <t>buildings, Other oil products</t>
        </is>
      </c>
      <c r="C2165" s="3" t="inlineStr">
        <is>
          <t>USD/tCO2 real</t>
        </is>
      </c>
      <c r="E2165" s="48">
        <f t="shared" ref="E2165:I2165" si="157">E2094*E2098*E2107</f>
        <v>0.0</v>
      </c>
      <c r="F2165" s="48">
        <f t="shared" si="157"/>
        <v>0.0</v>
      </c>
      <c r="G2165" s="48">
        <f t="shared" si="157"/>
        <v>0.0</v>
      </c>
      <c r="H2165" s="48">
        <f t="shared" si="157"/>
        <v>0.0</v>
      </c>
      <c r="I2165" s="48">
        <f t="shared" si="157"/>
        <v>0.0</v>
      </c>
    </row>
    <row r="2166">
      <c r="A2166" s="3" t="inlineStr">
        <is>
          <t>res|bio</t>
        </is>
      </c>
      <c r="B2166" s="3" t="inlineStr">
        <is>
          <t>buildings, Biomass</t>
        </is>
      </c>
      <c r="C2166" s="3" t="inlineStr">
        <is>
          <t>USD/tCO2 real</t>
        </is>
      </c>
      <c r="E2166" s="48">
        <f t="shared" ref="E2166:I2166" si="158">E2095*E2098*E2108</f>
        <v>0.0</v>
      </c>
      <c r="F2166" s="48">
        <f t="shared" si="158"/>
        <v>0.0</v>
      </c>
      <c r="G2166" s="48">
        <f t="shared" si="158"/>
        <v>0.0</v>
      </c>
      <c r="H2166" s="48">
        <f t="shared" si="158"/>
        <v>0.0</v>
      </c>
      <c r="I2166" s="48">
        <f t="shared" si="158"/>
        <v>0.0</v>
      </c>
    </row>
    <row r="2167">
      <c r="A2167" s="3" t="inlineStr">
        <is>
          <t>ind|coa</t>
        </is>
      </c>
      <c r="B2167" s="3" t="inlineStr">
        <is>
          <t>industry, Coal</t>
        </is>
      </c>
      <c r="C2167" s="3" t="inlineStr">
        <is>
          <t>USD/tCO2 real</t>
        </is>
      </c>
      <c r="E2167" s="48">
        <f t="shared" ref="E2167:I2167" si="159">E2087*E2099*E2100</f>
        <v>0.0</v>
      </c>
      <c r="F2167" s="48">
        <f t="shared" si="159"/>
        <v>0.0</v>
      </c>
      <c r="G2167" s="48">
        <f t="shared" si="159"/>
        <v>0.0</v>
      </c>
      <c r="H2167" s="48">
        <f t="shared" si="159"/>
        <v>0.0</v>
      </c>
      <c r="I2167" s="48">
        <f t="shared" si="159"/>
        <v>0.0</v>
      </c>
    </row>
    <row r="2168">
      <c r="A2168" s="3" t="inlineStr">
        <is>
          <t>ind|nga</t>
        </is>
      </c>
      <c r="B2168" s="3" t="inlineStr">
        <is>
          <t>industry, Natural gas</t>
        </is>
      </c>
      <c r="C2168" s="3" t="inlineStr">
        <is>
          <t>USD/tCO2 real</t>
        </is>
      </c>
      <c r="E2168" s="48">
        <f t="shared" ref="E2168:I2168" si="160">E2088*E2099*E2101</f>
        <v>0.0</v>
      </c>
      <c r="F2168" s="48">
        <f t="shared" si="160"/>
        <v>0.0</v>
      </c>
      <c r="G2168" s="48">
        <f t="shared" si="160"/>
        <v>0.0</v>
      </c>
      <c r="H2168" s="48">
        <f t="shared" si="160"/>
        <v>0.0</v>
      </c>
      <c r="I2168" s="48">
        <f t="shared" si="160"/>
        <v>0.0</v>
      </c>
    </row>
    <row r="2169">
      <c r="A2169" s="3" t="inlineStr">
        <is>
          <t>ind|gso</t>
        </is>
      </c>
      <c r="B2169" s="3" t="inlineStr">
        <is>
          <t>industry, Gasoline</t>
        </is>
      </c>
      <c r="C2169" s="3" t="inlineStr">
        <is>
          <t>USD/tCO2 real</t>
        </is>
      </c>
      <c r="E2169" s="48">
        <f t="shared" ref="E2169:I2169" si="161">E2089*E2099*E2102</f>
        <v>0.0</v>
      </c>
      <c r="F2169" s="48">
        <f t="shared" si="161"/>
        <v>0.0</v>
      </c>
      <c r="G2169" s="48">
        <f t="shared" si="161"/>
        <v>0.0</v>
      </c>
      <c r="H2169" s="48">
        <f t="shared" si="161"/>
        <v>0.0</v>
      </c>
      <c r="I2169" s="48">
        <f t="shared" si="161"/>
        <v>0.0</v>
      </c>
    </row>
    <row r="2170">
      <c r="A2170" s="3" t="inlineStr">
        <is>
          <t>ind|die</t>
        </is>
      </c>
      <c r="B2170" s="3" t="inlineStr">
        <is>
          <t>industry, Diesel</t>
        </is>
      </c>
      <c r="C2170" s="3" t="inlineStr">
        <is>
          <t>USD/tCO2 real</t>
        </is>
      </c>
      <c r="E2170" s="48">
        <f t="shared" ref="E2170:I2170" si="162">E2090*E2099*E2103</f>
        <v>0.0</v>
      </c>
      <c r="F2170" s="48">
        <f t="shared" si="162"/>
        <v>0.0</v>
      </c>
      <c r="G2170" s="48">
        <f t="shared" si="162"/>
        <v>0.0</v>
      </c>
      <c r="H2170" s="48">
        <f t="shared" si="162"/>
        <v>0.0</v>
      </c>
      <c r="I2170" s="48">
        <f t="shared" si="162"/>
        <v>0.0</v>
      </c>
    </row>
    <row r="2171">
      <c r="A2171" s="3" t="inlineStr">
        <is>
          <t>ind|lpg</t>
        </is>
      </c>
      <c r="B2171" s="3" t="inlineStr">
        <is>
          <t>industry, LPG</t>
        </is>
      </c>
      <c r="C2171" s="3" t="inlineStr">
        <is>
          <t>USD/tCO2 real</t>
        </is>
      </c>
      <c r="E2171" s="48">
        <f t="shared" ref="E2171:I2171" si="163">E2091*E2099*E2104</f>
        <v>0.0</v>
      </c>
      <c r="F2171" s="48">
        <f t="shared" si="163"/>
        <v>0.0</v>
      </c>
      <c r="G2171" s="48">
        <f t="shared" si="163"/>
        <v>0.0</v>
      </c>
      <c r="H2171" s="48">
        <f t="shared" si="163"/>
        <v>0.0</v>
      </c>
      <c r="I2171" s="48">
        <f t="shared" si="163"/>
        <v>0.0</v>
      </c>
    </row>
    <row r="2172">
      <c r="A2172" s="3" t="inlineStr">
        <is>
          <t>ind|ker</t>
        </is>
      </c>
      <c r="B2172" s="3" t="inlineStr">
        <is>
          <t>industry, Kerosene</t>
        </is>
      </c>
      <c r="C2172" s="3" t="inlineStr">
        <is>
          <t>USD/tCO2 real</t>
        </is>
      </c>
      <c r="E2172" s="48">
        <f t="shared" ref="E2172:I2172" si="164">E2092*E2099*E2105</f>
        <v>0.0</v>
      </c>
      <c r="F2172" s="48">
        <f t="shared" si="164"/>
        <v>0.0</v>
      </c>
      <c r="G2172" s="48">
        <f t="shared" si="164"/>
        <v>0.0</v>
      </c>
      <c r="H2172" s="48">
        <f t="shared" si="164"/>
        <v>0.0</v>
      </c>
      <c r="I2172" s="48">
        <f t="shared" si="164"/>
        <v>0.0</v>
      </c>
    </row>
    <row r="2173">
      <c r="A2173" s="3" t="inlineStr">
        <is>
          <t>ind|jfu</t>
        </is>
      </c>
      <c r="B2173" s="3" t="inlineStr">
        <is>
          <t>industry, Jet fuel</t>
        </is>
      </c>
      <c r="C2173" s="3" t="inlineStr">
        <is>
          <t>USD/tCO2 real</t>
        </is>
      </c>
      <c r="E2173" s="48">
        <f t="shared" ref="E2173:I2173" si="165">E2093*E2099*E2106</f>
        <v>0.0</v>
      </c>
      <c r="F2173" s="48">
        <f t="shared" si="165"/>
        <v>0.0</v>
      </c>
      <c r="G2173" s="48">
        <f t="shared" si="165"/>
        <v>0.0</v>
      </c>
      <c r="H2173" s="48">
        <f t="shared" si="165"/>
        <v>0.0</v>
      </c>
      <c r="I2173" s="48">
        <f t="shared" si="165"/>
        <v>0.0</v>
      </c>
    </row>
    <row r="2174">
      <c r="A2174" s="3" t="inlineStr">
        <is>
          <t>ind|oop</t>
        </is>
      </c>
      <c r="B2174" s="3" t="inlineStr">
        <is>
          <t>industry, Other oil products</t>
        </is>
      </c>
      <c r="C2174" s="3" t="inlineStr">
        <is>
          <t>USD/tCO2 real</t>
        </is>
      </c>
      <c r="E2174" s="48">
        <f t="shared" ref="E2174:I2174" si="166">E2094*E2099*E2107</f>
        <v>0.0</v>
      </c>
      <c r="F2174" s="48">
        <f t="shared" si="166"/>
        <v>0.0</v>
      </c>
      <c r="G2174" s="48">
        <f t="shared" si="166"/>
        <v>0.0</v>
      </c>
      <c r="H2174" s="48">
        <f t="shared" si="166"/>
        <v>0.0</v>
      </c>
      <c r="I2174" s="48">
        <f t="shared" si="166"/>
        <v>0.0</v>
      </c>
    </row>
    <row r="2175">
      <c r="A2175" s="3" t="inlineStr">
        <is>
          <t>ind|bio</t>
        </is>
      </c>
      <c r="B2175" s="3" t="inlineStr">
        <is>
          <t>industry, Biomass</t>
        </is>
      </c>
      <c r="C2175" s="3" t="inlineStr">
        <is>
          <t>USD/tCO2 real</t>
        </is>
      </c>
      <c r="E2175" s="48">
        <f t="shared" ref="E2175:I2175" si="167">E2095*E2099*E2108</f>
        <v>0.0</v>
      </c>
      <c r="F2175" s="48">
        <f t="shared" si="167"/>
        <v>0.0</v>
      </c>
      <c r="G2175" s="48">
        <f t="shared" si="167"/>
        <v>0.0</v>
      </c>
      <c r="H2175" s="48">
        <f t="shared" si="167"/>
        <v>0.0</v>
      </c>
      <c r="I2175" s="48">
        <f t="shared" si="167"/>
        <v>0.0</v>
      </c>
    </row>
    <row r="2176"/>
    <row r="2177">
      <c r="A2177" s="6" t="inlineStr">
        <is>
          <t>Existing ETS by ECP sector | fuel ($/tCO2 real): national price x coverage + EU price x regional coverage (legacy rows 1711-1723)</t>
        </is>
      </c>
    </row>
    <row r="2178">
      <c r="A2178" s="3" t="inlineStr">
        <is>
          <t>none|none</t>
        </is>
      </c>
      <c r="B2178" s="3" t="inlineStr">
        <is>
          <t>no ECP sector (power types without a fuel)</t>
        </is>
      </c>
      <c r="C2178" s="3" t="inlineStr">
        <is>
          <t>USD/tCO2 real</t>
        </is>
      </c>
      <c r="E2178" s="48" t="n">
        <v>0</v>
      </c>
      <c r="F2178" s="48" t="n">
        <v>0</v>
      </c>
      <c r="G2178" s="48" t="n">
        <v>0</v>
      </c>
      <c r="H2178" s="48" t="n">
        <v>0</v>
      </c>
      <c r="I2178" s="48" t="n">
        <v>0</v>
      </c>
    </row>
    <row r="2179">
      <c r="A2179" s="3" t="inlineStr">
        <is>
          <t>pow|coa</t>
        </is>
      </c>
      <c r="B2179" s="3" t="inlineStr">
        <is>
          <t>power, Coal</t>
        </is>
      </c>
      <c r="C2179" s="3" t="inlineStr">
        <is>
          <t>USD/tCO2 real</t>
        </is>
      </c>
      <c r="E2179" s="48">
        <f t="shared" ref="E2179:I2179" si="168">E2109*E2110*E2114+E2123*E2124*E2128</f>
        <v>0.0</v>
      </c>
      <c r="F2179" s="48">
        <f t="shared" si="168"/>
        <v>0.0</v>
      </c>
      <c r="G2179" s="48">
        <f t="shared" si="168"/>
        <v>0.0</v>
      </c>
      <c r="H2179" s="48">
        <f t="shared" si="168"/>
        <v>0.0</v>
      </c>
      <c r="I2179" s="48">
        <f t="shared" si="168"/>
        <v>0.0</v>
      </c>
    </row>
    <row r="2180">
      <c r="A2180" s="3" t="inlineStr">
        <is>
          <t>pow|nga</t>
        </is>
      </c>
      <c r="B2180" s="3" t="inlineStr">
        <is>
          <t>power, Natural gas</t>
        </is>
      </c>
      <c r="C2180" s="3" t="inlineStr">
        <is>
          <t>USD/tCO2 real</t>
        </is>
      </c>
      <c r="E2180" s="48">
        <f t="shared" ref="E2180:I2180" si="169">E2109*E2110*E2115+E2123*E2124*E2129</f>
        <v>0.0</v>
      </c>
      <c r="F2180" s="48">
        <f t="shared" si="169"/>
        <v>0.0</v>
      </c>
      <c r="G2180" s="48">
        <f t="shared" si="169"/>
        <v>0.0</v>
      </c>
      <c r="H2180" s="48">
        <f t="shared" si="169"/>
        <v>0.0</v>
      </c>
      <c r="I2180" s="48">
        <f t="shared" si="169"/>
        <v>0.0</v>
      </c>
    </row>
    <row r="2181">
      <c r="A2181" s="3" t="inlineStr">
        <is>
          <t>pow|gso</t>
        </is>
      </c>
      <c r="B2181" s="3" t="inlineStr">
        <is>
          <t>power, Gasoline</t>
        </is>
      </c>
      <c r="C2181" s="3" t="inlineStr">
        <is>
          <t>USD/tCO2 real</t>
        </is>
      </c>
      <c r="E2181" s="48">
        <f t="shared" ref="E2181:I2181" si="170">E2109*E2110*E2116+E2123*E2124*E2130</f>
        <v>0.0</v>
      </c>
      <c r="F2181" s="48">
        <f t="shared" si="170"/>
        <v>0.0</v>
      </c>
      <c r="G2181" s="48">
        <f t="shared" si="170"/>
        <v>0.0</v>
      </c>
      <c r="H2181" s="48">
        <f t="shared" si="170"/>
        <v>0.0</v>
      </c>
      <c r="I2181" s="48">
        <f t="shared" si="170"/>
        <v>0.0</v>
      </c>
    </row>
    <row r="2182">
      <c r="A2182" s="3" t="inlineStr">
        <is>
          <t>pow|die</t>
        </is>
      </c>
      <c r="B2182" s="3" t="inlineStr">
        <is>
          <t>power, Diesel</t>
        </is>
      </c>
      <c r="C2182" s="3" t="inlineStr">
        <is>
          <t>USD/tCO2 real</t>
        </is>
      </c>
      <c r="E2182" s="48">
        <f t="shared" ref="E2182:I2182" si="171">E2109*E2110*E2117+E2123*E2124*E2131</f>
        <v>0.0</v>
      </c>
      <c r="F2182" s="48">
        <f t="shared" si="171"/>
        <v>0.0</v>
      </c>
      <c r="G2182" s="48">
        <f t="shared" si="171"/>
        <v>0.0</v>
      </c>
      <c r="H2182" s="48">
        <f t="shared" si="171"/>
        <v>0.0</v>
      </c>
      <c r="I2182" s="48">
        <f t="shared" si="171"/>
        <v>0.0</v>
      </c>
    </row>
    <row r="2183">
      <c r="A2183" s="3" t="inlineStr">
        <is>
          <t>pow|lpg</t>
        </is>
      </c>
      <c r="B2183" s="3" t="inlineStr">
        <is>
          <t>power, LPG</t>
        </is>
      </c>
      <c r="C2183" s="3" t="inlineStr">
        <is>
          <t>USD/tCO2 real</t>
        </is>
      </c>
      <c r="E2183" s="48">
        <f t="shared" ref="E2183:I2183" si="172">E2109*E2110*E2118+E2123*E2124*E2132</f>
        <v>0.0</v>
      </c>
      <c r="F2183" s="48">
        <f t="shared" si="172"/>
        <v>0.0</v>
      </c>
      <c r="G2183" s="48">
        <f t="shared" si="172"/>
        <v>0.0</v>
      </c>
      <c r="H2183" s="48">
        <f t="shared" si="172"/>
        <v>0.0</v>
      </c>
      <c r="I2183" s="48">
        <f t="shared" si="172"/>
        <v>0.0</v>
      </c>
    </row>
    <row r="2184">
      <c r="A2184" s="3" t="inlineStr">
        <is>
          <t>pow|ker</t>
        </is>
      </c>
      <c r="B2184" s="3" t="inlineStr">
        <is>
          <t>power, Kerosene</t>
        </is>
      </c>
      <c r="C2184" s="3" t="inlineStr">
        <is>
          <t>USD/tCO2 real</t>
        </is>
      </c>
      <c r="E2184" s="48">
        <f t="shared" ref="E2184:I2184" si="173">E2109*E2110*E2119+E2123*E2124*E2133</f>
        <v>0.0</v>
      </c>
      <c r="F2184" s="48">
        <f t="shared" si="173"/>
        <v>0.0</v>
      </c>
      <c r="G2184" s="48">
        <f t="shared" si="173"/>
        <v>0.0</v>
      </c>
      <c r="H2184" s="48">
        <f t="shared" si="173"/>
        <v>0.0</v>
      </c>
      <c r="I2184" s="48">
        <f t="shared" si="173"/>
        <v>0.0</v>
      </c>
    </row>
    <row r="2185">
      <c r="A2185" s="3" t="inlineStr">
        <is>
          <t>pow|jfu</t>
        </is>
      </c>
      <c r="B2185" s="3" t="inlineStr">
        <is>
          <t>power, Jet fuel</t>
        </is>
      </c>
      <c r="C2185" s="3" t="inlineStr">
        <is>
          <t>USD/tCO2 real</t>
        </is>
      </c>
      <c r="E2185" s="48">
        <f t="shared" ref="E2185:I2185" si="174">E2109*E2110*E2120+E2123*E2124*E2134</f>
        <v>0.0</v>
      </c>
      <c r="F2185" s="48">
        <f t="shared" si="174"/>
        <v>0.0</v>
      </c>
      <c r="G2185" s="48">
        <f t="shared" si="174"/>
        <v>0.0</v>
      </c>
      <c r="H2185" s="48">
        <f t="shared" si="174"/>
        <v>0.0</v>
      </c>
      <c r="I2185" s="48">
        <f t="shared" si="174"/>
        <v>0.0</v>
      </c>
    </row>
    <row r="2186">
      <c r="A2186" s="3" t="inlineStr">
        <is>
          <t>pow|oop</t>
        </is>
      </c>
      <c r="B2186" s="3" t="inlineStr">
        <is>
          <t>power, Other oil products</t>
        </is>
      </c>
      <c r="C2186" s="3" t="inlineStr">
        <is>
          <t>USD/tCO2 real</t>
        </is>
      </c>
      <c r="E2186" s="48">
        <f t="shared" ref="E2186:I2186" si="175">E2109*E2110*E2121+E2123*E2124*E2135</f>
        <v>0.0</v>
      </c>
      <c r="F2186" s="48">
        <f t="shared" si="175"/>
        <v>0.0</v>
      </c>
      <c r="G2186" s="48">
        <f t="shared" si="175"/>
        <v>0.0</v>
      </c>
      <c r="H2186" s="48">
        <f t="shared" si="175"/>
        <v>0.0</v>
      </c>
      <c r="I2186" s="48">
        <f t="shared" si="175"/>
        <v>0.0</v>
      </c>
    </row>
    <row r="2187">
      <c r="A2187" s="3" t="inlineStr">
        <is>
          <t>pow|bio</t>
        </is>
      </c>
      <c r="B2187" s="3" t="inlineStr">
        <is>
          <t>power, Biomass</t>
        </is>
      </c>
      <c r="C2187" s="3" t="inlineStr">
        <is>
          <t>USD/tCO2 real</t>
        </is>
      </c>
      <c r="E2187" s="48">
        <f t="shared" ref="E2187:I2187" si="176">E2109*E2110*E2122+E2123*E2124*E2136</f>
        <v>0.0</v>
      </c>
      <c r="F2187" s="48">
        <f t="shared" si="176"/>
        <v>0.0</v>
      </c>
      <c r="G2187" s="48">
        <f t="shared" si="176"/>
        <v>0.0</v>
      </c>
      <c r="H2187" s="48">
        <f t="shared" si="176"/>
        <v>0.0</v>
      </c>
      <c r="I2187" s="48">
        <f t="shared" si="176"/>
        <v>0.0</v>
      </c>
    </row>
    <row r="2188">
      <c r="A2188" s="3" t="inlineStr">
        <is>
          <t>trs|coa</t>
        </is>
      </c>
      <c r="B2188" s="3" t="inlineStr">
        <is>
          <t>transport, Coal</t>
        </is>
      </c>
      <c r="C2188" s="3" t="inlineStr">
        <is>
          <t>USD/tCO2 real</t>
        </is>
      </c>
      <c r="E2188" s="48">
        <f t="shared" ref="E2188:I2188" si="177">E2109*E2111*E2114+E2123*E2125*E2128</f>
        <v>0.0</v>
      </c>
      <c r="F2188" s="48">
        <f t="shared" si="177"/>
        <v>0.0</v>
      </c>
      <c r="G2188" s="48">
        <f t="shared" si="177"/>
        <v>0.0</v>
      </c>
      <c r="H2188" s="48">
        <f t="shared" si="177"/>
        <v>0.0</v>
      </c>
      <c r="I2188" s="48">
        <f t="shared" si="177"/>
        <v>0.0</v>
      </c>
    </row>
    <row r="2189">
      <c r="A2189" s="3" t="inlineStr">
        <is>
          <t>trs|nga</t>
        </is>
      </c>
      <c r="B2189" s="3" t="inlineStr">
        <is>
          <t>transport, Natural gas</t>
        </is>
      </c>
      <c r="C2189" s="3" t="inlineStr">
        <is>
          <t>USD/tCO2 real</t>
        </is>
      </c>
      <c r="E2189" s="48">
        <f t="shared" ref="E2189:I2189" si="178">E2109*E2111*E2115+E2123*E2125*E2129</f>
        <v>0.0</v>
      </c>
      <c r="F2189" s="48">
        <f t="shared" si="178"/>
        <v>0.0</v>
      </c>
      <c r="G2189" s="48">
        <f t="shared" si="178"/>
        <v>0.0</v>
      </c>
      <c r="H2189" s="48">
        <f t="shared" si="178"/>
        <v>0.0</v>
      </c>
      <c r="I2189" s="48">
        <f t="shared" si="178"/>
        <v>0.0</v>
      </c>
    </row>
    <row r="2190">
      <c r="A2190" s="3" t="inlineStr">
        <is>
          <t>trs|gso</t>
        </is>
      </c>
      <c r="B2190" s="3" t="inlineStr">
        <is>
          <t>transport, Gasoline</t>
        </is>
      </c>
      <c r="C2190" s="3" t="inlineStr">
        <is>
          <t>USD/tCO2 real</t>
        </is>
      </c>
      <c r="E2190" s="48">
        <f t="shared" ref="E2190:I2190" si="179">E2109*E2111*E2116+E2123*E2125*E2130</f>
        <v>0.0</v>
      </c>
      <c r="F2190" s="48">
        <f t="shared" si="179"/>
        <v>0.0</v>
      </c>
      <c r="G2190" s="48">
        <f t="shared" si="179"/>
        <v>0.0</v>
      </c>
      <c r="H2190" s="48">
        <f t="shared" si="179"/>
        <v>0.0</v>
      </c>
      <c r="I2190" s="48">
        <f t="shared" si="179"/>
        <v>0.0</v>
      </c>
    </row>
    <row r="2191">
      <c r="A2191" s="3" t="inlineStr">
        <is>
          <t>trs|die</t>
        </is>
      </c>
      <c r="B2191" s="3" t="inlineStr">
        <is>
          <t>transport, Diesel</t>
        </is>
      </c>
      <c r="C2191" s="3" t="inlineStr">
        <is>
          <t>USD/tCO2 real</t>
        </is>
      </c>
      <c r="E2191" s="48">
        <f t="shared" ref="E2191:I2191" si="180">E2109*E2111*E2117+E2123*E2125*E2131</f>
        <v>0.0</v>
      </c>
      <c r="F2191" s="48">
        <f t="shared" si="180"/>
        <v>0.0</v>
      </c>
      <c r="G2191" s="48">
        <f t="shared" si="180"/>
        <v>0.0</v>
      </c>
      <c r="H2191" s="48">
        <f t="shared" si="180"/>
        <v>0.0</v>
      </c>
      <c r="I2191" s="48">
        <f t="shared" si="180"/>
        <v>0.0</v>
      </c>
    </row>
    <row r="2192">
      <c r="A2192" s="3" t="inlineStr">
        <is>
          <t>trs|lpg</t>
        </is>
      </c>
      <c r="B2192" s="3" t="inlineStr">
        <is>
          <t>transport, LPG</t>
        </is>
      </c>
      <c r="C2192" s="3" t="inlineStr">
        <is>
          <t>USD/tCO2 real</t>
        </is>
      </c>
      <c r="E2192" s="48">
        <f t="shared" ref="E2192:I2192" si="181">E2109*E2111*E2118+E2123*E2125*E2132</f>
        <v>0.0</v>
      </c>
      <c r="F2192" s="48">
        <f t="shared" si="181"/>
        <v>0.0</v>
      </c>
      <c r="G2192" s="48">
        <f t="shared" si="181"/>
        <v>0.0</v>
      </c>
      <c r="H2192" s="48">
        <f t="shared" si="181"/>
        <v>0.0</v>
      </c>
      <c r="I2192" s="48">
        <f t="shared" si="181"/>
        <v>0.0</v>
      </c>
    </row>
    <row r="2193">
      <c r="A2193" s="3" t="inlineStr">
        <is>
          <t>trs|ker</t>
        </is>
      </c>
      <c r="B2193" s="3" t="inlineStr">
        <is>
          <t>transport, Kerosene</t>
        </is>
      </c>
      <c r="C2193" s="3" t="inlineStr">
        <is>
          <t>USD/tCO2 real</t>
        </is>
      </c>
      <c r="E2193" s="48">
        <f t="shared" ref="E2193:I2193" si="182">E2109*E2111*E2119+E2123*E2125*E2133</f>
        <v>0.0</v>
      </c>
      <c r="F2193" s="48">
        <f t="shared" si="182"/>
        <v>0.0</v>
      </c>
      <c r="G2193" s="48">
        <f t="shared" si="182"/>
        <v>0.0</v>
      </c>
      <c r="H2193" s="48">
        <f t="shared" si="182"/>
        <v>0.0</v>
      </c>
      <c r="I2193" s="48">
        <f t="shared" si="182"/>
        <v>0.0</v>
      </c>
    </row>
    <row r="2194">
      <c r="A2194" s="3" t="inlineStr">
        <is>
          <t>trs|jfu</t>
        </is>
      </c>
      <c r="B2194" s="3" t="inlineStr">
        <is>
          <t>transport, Jet fuel</t>
        </is>
      </c>
      <c r="C2194" s="3" t="inlineStr">
        <is>
          <t>USD/tCO2 real</t>
        </is>
      </c>
      <c r="E2194" s="48">
        <f t="shared" ref="E2194:I2194" si="183">E2109*E2111*E2120+E2123*E2125*E2134</f>
        <v>0.0</v>
      </c>
      <c r="F2194" s="48">
        <f t="shared" si="183"/>
        <v>0.0</v>
      </c>
      <c r="G2194" s="48">
        <f t="shared" si="183"/>
        <v>0.0</v>
      </c>
      <c r="H2194" s="48">
        <f t="shared" si="183"/>
        <v>0.0</v>
      </c>
      <c r="I2194" s="48">
        <f t="shared" si="183"/>
        <v>0.0</v>
      </c>
    </row>
    <row r="2195">
      <c r="A2195" s="3" t="inlineStr">
        <is>
          <t>trs|oop</t>
        </is>
      </c>
      <c r="B2195" s="3" t="inlineStr">
        <is>
          <t>transport, Other oil products</t>
        </is>
      </c>
      <c r="C2195" s="3" t="inlineStr">
        <is>
          <t>USD/tCO2 real</t>
        </is>
      </c>
      <c r="E2195" s="48">
        <f t="shared" ref="E2195:I2195" si="184">E2109*E2111*E2121+E2123*E2125*E2135</f>
        <v>0.0</v>
      </c>
      <c r="F2195" s="48">
        <f t="shared" si="184"/>
        <v>0.0</v>
      </c>
      <c r="G2195" s="48">
        <f t="shared" si="184"/>
        <v>0.0</v>
      </c>
      <c r="H2195" s="48">
        <f t="shared" si="184"/>
        <v>0.0</v>
      </c>
      <c r="I2195" s="48">
        <f t="shared" si="184"/>
        <v>0.0</v>
      </c>
    </row>
    <row r="2196">
      <c r="A2196" s="3" t="inlineStr">
        <is>
          <t>trs|bio</t>
        </is>
      </c>
      <c r="B2196" s="3" t="inlineStr">
        <is>
          <t>transport, Biomass</t>
        </is>
      </c>
      <c r="C2196" s="3" t="inlineStr">
        <is>
          <t>USD/tCO2 real</t>
        </is>
      </c>
      <c r="E2196" s="48">
        <f t="shared" ref="E2196:I2196" si="185">E2109*E2111*E2122+E2123*E2125*E2136</f>
        <v>0.0</v>
      </c>
      <c r="F2196" s="48">
        <f t="shared" si="185"/>
        <v>0.0</v>
      </c>
      <c r="G2196" s="48">
        <f t="shared" si="185"/>
        <v>0.0</v>
      </c>
      <c r="H2196" s="48">
        <f t="shared" si="185"/>
        <v>0.0</v>
      </c>
      <c r="I2196" s="48">
        <f t="shared" si="185"/>
        <v>0.0</v>
      </c>
    </row>
    <row r="2197">
      <c r="A2197" s="3" t="inlineStr">
        <is>
          <t>res|coa</t>
        </is>
      </c>
      <c r="B2197" s="3" t="inlineStr">
        <is>
          <t>buildings, Coal</t>
        </is>
      </c>
      <c r="C2197" s="3" t="inlineStr">
        <is>
          <t>USD/tCO2 real</t>
        </is>
      </c>
      <c r="E2197" s="48">
        <f t="shared" ref="E2197:I2197" si="186">E2109*E2112*E2114+E2123*E2126*E2128</f>
        <v>0.0</v>
      </c>
      <c r="F2197" s="48">
        <f t="shared" si="186"/>
        <v>0.0</v>
      </c>
      <c r="G2197" s="48">
        <f t="shared" si="186"/>
        <v>0.0</v>
      </c>
      <c r="H2197" s="48">
        <f t="shared" si="186"/>
        <v>0.0</v>
      </c>
      <c r="I2197" s="48">
        <f t="shared" si="186"/>
        <v>0.0</v>
      </c>
    </row>
    <row r="2198">
      <c r="A2198" s="3" t="inlineStr">
        <is>
          <t>res|nga</t>
        </is>
      </c>
      <c r="B2198" s="3" t="inlineStr">
        <is>
          <t>buildings, Natural gas</t>
        </is>
      </c>
      <c r="C2198" s="3" t="inlineStr">
        <is>
          <t>USD/tCO2 real</t>
        </is>
      </c>
      <c r="E2198" s="48">
        <f t="shared" ref="E2198:I2198" si="187">E2109*E2112*E2115+E2123*E2126*E2129</f>
        <v>0.0</v>
      </c>
      <c r="F2198" s="48">
        <f t="shared" si="187"/>
        <v>0.0</v>
      </c>
      <c r="G2198" s="48">
        <f t="shared" si="187"/>
        <v>0.0</v>
      </c>
      <c r="H2198" s="48">
        <f t="shared" si="187"/>
        <v>0.0</v>
      </c>
      <c r="I2198" s="48">
        <f t="shared" si="187"/>
        <v>0.0</v>
      </c>
    </row>
    <row r="2199">
      <c r="A2199" s="3" t="inlineStr">
        <is>
          <t>res|gso</t>
        </is>
      </c>
      <c r="B2199" s="3" t="inlineStr">
        <is>
          <t>buildings, Gasoline</t>
        </is>
      </c>
      <c r="C2199" s="3" t="inlineStr">
        <is>
          <t>USD/tCO2 real</t>
        </is>
      </c>
      <c r="E2199" s="48">
        <f t="shared" ref="E2199:I2199" si="188">E2109*E2112*E2116+E2123*E2126*E2130</f>
        <v>0.0</v>
      </c>
      <c r="F2199" s="48">
        <f t="shared" si="188"/>
        <v>0.0</v>
      </c>
      <c r="G2199" s="48">
        <f t="shared" si="188"/>
        <v>0.0</v>
      </c>
      <c r="H2199" s="48">
        <f t="shared" si="188"/>
        <v>0.0</v>
      </c>
      <c r="I2199" s="48">
        <f t="shared" si="188"/>
        <v>0.0</v>
      </c>
    </row>
    <row r="2200">
      <c r="A2200" s="3" t="inlineStr">
        <is>
          <t>res|die</t>
        </is>
      </c>
      <c r="B2200" s="3" t="inlineStr">
        <is>
          <t>buildings, Diesel</t>
        </is>
      </c>
      <c r="C2200" s="3" t="inlineStr">
        <is>
          <t>USD/tCO2 real</t>
        </is>
      </c>
      <c r="E2200" s="48">
        <f t="shared" ref="E2200:I2200" si="189">E2109*E2112*E2117+E2123*E2126*E2131</f>
        <v>0.0</v>
      </c>
      <c r="F2200" s="48">
        <f t="shared" si="189"/>
        <v>0.0</v>
      </c>
      <c r="G2200" s="48">
        <f t="shared" si="189"/>
        <v>0.0</v>
      </c>
      <c r="H2200" s="48">
        <f t="shared" si="189"/>
        <v>0.0</v>
      </c>
      <c r="I2200" s="48">
        <f t="shared" si="189"/>
        <v>0.0</v>
      </c>
    </row>
    <row r="2201">
      <c r="A2201" s="3" t="inlineStr">
        <is>
          <t>res|lpg</t>
        </is>
      </c>
      <c r="B2201" s="3" t="inlineStr">
        <is>
          <t>buildings, LPG</t>
        </is>
      </c>
      <c r="C2201" s="3" t="inlineStr">
        <is>
          <t>USD/tCO2 real</t>
        </is>
      </c>
      <c r="E2201" s="48">
        <f t="shared" ref="E2201:I2201" si="190">E2109*E2112*E2118+E2123*E2126*E2132</f>
        <v>0.0</v>
      </c>
      <c r="F2201" s="48">
        <f t="shared" si="190"/>
        <v>0.0</v>
      </c>
      <c r="G2201" s="48">
        <f t="shared" si="190"/>
        <v>0.0</v>
      </c>
      <c r="H2201" s="48">
        <f t="shared" si="190"/>
        <v>0.0</v>
      </c>
      <c r="I2201" s="48">
        <f t="shared" si="190"/>
        <v>0.0</v>
      </c>
    </row>
    <row r="2202">
      <c r="A2202" s="3" t="inlineStr">
        <is>
          <t>res|ker</t>
        </is>
      </c>
      <c r="B2202" s="3" t="inlineStr">
        <is>
          <t>buildings, Kerosene</t>
        </is>
      </c>
      <c r="C2202" s="3" t="inlineStr">
        <is>
          <t>USD/tCO2 real</t>
        </is>
      </c>
      <c r="E2202" s="48">
        <f t="shared" ref="E2202:I2202" si="191">E2109*E2112*E2119+E2123*E2126*E2133</f>
        <v>0.0</v>
      </c>
      <c r="F2202" s="48">
        <f t="shared" si="191"/>
        <v>0.0</v>
      </c>
      <c r="G2202" s="48">
        <f t="shared" si="191"/>
        <v>0.0</v>
      </c>
      <c r="H2202" s="48">
        <f t="shared" si="191"/>
        <v>0.0</v>
      </c>
      <c r="I2202" s="48">
        <f t="shared" si="191"/>
        <v>0.0</v>
      </c>
    </row>
    <row r="2203">
      <c r="A2203" s="3" t="inlineStr">
        <is>
          <t>res|jfu</t>
        </is>
      </c>
      <c r="B2203" s="3" t="inlineStr">
        <is>
          <t>buildings, Jet fuel</t>
        </is>
      </c>
      <c r="C2203" s="3" t="inlineStr">
        <is>
          <t>USD/tCO2 real</t>
        </is>
      </c>
      <c r="E2203" s="48">
        <f t="shared" ref="E2203:I2203" si="192">E2109*E2112*E2120+E2123*E2126*E2134</f>
        <v>0.0</v>
      </c>
      <c r="F2203" s="48">
        <f t="shared" si="192"/>
        <v>0.0</v>
      </c>
      <c r="G2203" s="48">
        <f t="shared" si="192"/>
        <v>0.0</v>
      </c>
      <c r="H2203" s="48">
        <f t="shared" si="192"/>
        <v>0.0</v>
      </c>
      <c r="I2203" s="48">
        <f t="shared" si="192"/>
        <v>0.0</v>
      </c>
    </row>
    <row r="2204">
      <c r="A2204" s="3" t="inlineStr">
        <is>
          <t>res|oop</t>
        </is>
      </c>
      <c r="B2204" s="3" t="inlineStr">
        <is>
          <t>buildings, Other oil products</t>
        </is>
      </c>
      <c r="C2204" s="3" t="inlineStr">
        <is>
          <t>USD/tCO2 real</t>
        </is>
      </c>
      <c r="E2204" s="48">
        <f t="shared" ref="E2204:I2204" si="193">E2109*E2112*E2121+E2123*E2126*E2135</f>
        <v>0.0</v>
      </c>
      <c r="F2204" s="48">
        <f t="shared" si="193"/>
        <v>0.0</v>
      </c>
      <c r="G2204" s="48">
        <f t="shared" si="193"/>
        <v>0.0</v>
      </c>
      <c r="H2204" s="48">
        <f t="shared" si="193"/>
        <v>0.0</v>
      </c>
      <c r="I2204" s="48">
        <f t="shared" si="193"/>
        <v>0.0</v>
      </c>
    </row>
    <row r="2205">
      <c r="A2205" s="3" t="inlineStr">
        <is>
          <t>res|bio</t>
        </is>
      </c>
      <c r="B2205" s="3" t="inlineStr">
        <is>
          <t>buildings, Biomass</t>
        </is>
      </c>
      <c r="C2205" s="3" t="inlineStr">
        <is>
          <t>USD/tCO2 real</t>
        </is>
      </c>
      <c r="E2205" s="48">
        <f t="shared" ref="E2205:I2205" si="194">E2109*E2112*E2122+E2123*E2126*E2136</f>
        <v>0.0</v>
      </c>
      <c r="F2205" s="48">
        <f t="shared" si="194"/>
        <v>0.0</v>
      </c>
      <c r="G2205" s="48">
        <f t="shared" si="194"/>
        <v>0.0</v>
      </c>
      <c r="H2205" s="48">
        <f t="shared" si="194"/>
        <v>0.0</v>
      </c>
      <c r="I2205" s="48">
        <f t="shared" si="194"/>
        <v>0.0</v>
      </c>
    </row>
    <row r="2206">
      <c r="A2206" s="3" t="inlineStr">
        <is>
          <t>ind|coa</t>
        </is>
      </c>
      <c r="B2206" s="3" t="inlineStr">
        <is>
          <t>industry, Coal</t>
        </is>
      </c>
      <c r="C2206" s="3" t="inlineStr">
        <is>
          <t>USD/tCO2 real</t>
        </is>
      </c>
      <c r="E2206" s="48">
        <f t="shared" ref="E2206:I2206" si="195">E2109*E2113*E2114+E2123*E2127*E2128</f>
        <v>0.0</v>
      </c>
      <c r="F2206" s="48">
        <f t="shared" si="195"/>
        <v>0.0</v>
      </c>
      <c r="G2206" s="48">
        <f t="shared" si="195"/>
        <v>0.0</v>
      </c>
      <c r="H2206" s="48">
        <f t="shared" si="195"/>
        <v>0.0</v>
      </c>
      <c r="I2206" s="48">
        <f t="shared" si="195"/>
        <v>0.0</v>
      </c>
    </row>
    <row r="2207">
      <c r="A2207" s="3" t="inlineStr">
        <is>
          <t>ind|nga</t>
        </is>
      </c>
      <c r="B2207" s="3" t="inlineStr">
        <is>
          <t>industry, Natural gas</t>
        </is>
      </c>
      <c r="C2207" s="3" t="inlineStr">
        <is>
          <t>USD/tCO2 real</t>
        </is>
      </c>
      <c r="E2207" s="48">
        <f t="shared" ref="E2207:I2207" si="196">E2109*E2113*E2115+E2123*E2127*E2129</f>
        <v>0.0</v>
      </c>
      <c r="F2207" s="48">
        <f t="shared" si="196"/>
        <v>0.0</v>
      </c>
      <c r="G2207" s="48">
        <f t="shared" si="196"/>
        <v>0.0</v>
      </c>
      <c r="H2207" s="48">
        <f t="shared" si="196"/>
        <v>0.0</v>
      </c>
      <c r="I2207" s="48">
        <f t="shared" si="196"/>
        <v>0.0</v>
      </c>
    </row>
    <row r="2208">
      <c r="A2208" s="3" t="inlineStr">
        <is>
          <t>ind|gso</t>
        </is>
      </c>
      <c r="B2208" s="3" t="inlineStr">
        <is>
          <t>industry, Gasoline</t>
        </is>
      </c>
      <c r="C2208" s="3" t="inlineStr">
        <is>
          <t>USD/tCO2 real</t>
        </is>
      </c>
      <c r="E2208" s="48">
        <f t="shared" ref="E2208:I2208" si="197">E2109*E2113*E2116+E2123*E2127*E2130</f>
        <v>0.0</v>
      </c>
      <c r="F2208" s="48">
        <f t="shared" si="197"/>
        <v>0.0</v>
      </c>
      <c r="G2208" s="48">
        <f t="shared" si="197"/>
        <v>0.0</v>
      </c>
      <c r="H2208" s="48">
        <f t="shared" si="197"/>
        <v>0.0</v>
      </c>
      <c r="I2208" s="48">
        <f t="shared" si="197"/>
        <v>0.0</v>
      </c>
    </row>
    <row r="2209">
      <c r="A2209" s="3" t="inlineStr">
        <is>
          <t>ind|die</t>
        </is>
      </c>
      <c r="B2209" s="3" t="inlineStr">
        <is>
          <t>industry, Diesel</t>
        </is>
      </c>
      <c r="C2209" s="3" t="inlineStr">
        <is>
          <t>USD/tCO2 real</t>
        </is>
      </c>
      <c r="E2209" s="48">
        <f t="shared" ref="E2209:I2209" si="198">E2109*E2113*E2117+E2123*E2127*E2131</f>
        <v>0.0</v>
      </c>
      <c r="F2209" s="48">
        <f t="shared" si="198"/>
        <v>0.0</v>
      </c>
      <c r="G2209" s="48">
        <f t="shared" si="198"/>
        <v>0.0</v>
      </c>
      <c r="H2209" s="48">
        <f t="shared" si="198"/>
        <v>0.0</v>
      </c>
      <c r="I2209" s="48">
        <f t="shared" si="198"/>
        <v>0.0</v>
      </c>
    </row>
    <row r="2210">
      <c r="A2210" s="3" t="inlineStr">
        <is>
          <t>ind|lpg</t>
        </is>
      </c>
      <c r="B2210" s="3" t="inlineStr">
        <is>
          <t>industry, LPG</t>
        </is>
      </c>
      <c r="C2210" s="3" t="inlineStr">
        <is>
          <t>USD/tCO2 real</t>
        </is>
      </c>
      <c r="E2210" s="48">
        <f t="shared" ref="E2210:I2210" si="199">E2109*E2113*E2118+E2123*E2127*E2132</f>
        <v>0.0</v>
      </c>
      <c r="F2210" s="48">
        <f t="shared" si="199"/>
        <v>0.0</v>
      </c>
      <c r="G2210" s="48">
        <f t="shared" si="199"/>
        <v>0.0</v>
      </c>
      <c r="H2210" s="48">
        <f t="shared" si="199"/>
        <v>0.0</v>
      </c>
      <c r="I2210" s="48">
        <f t="shared" si="199"/>
        <v>0.0</v>
      </c>
    </row>
    <row r="2211">
      <c r="A2211" s="3" t="inlineStr">
        <is>
          <t>ind|ker</t>
        </is>
      </c>
      <c r="B2211" s="3" t="inlineStr">
        <is>
          <t>industry, Kerosene</t>
        </is>
      </c>
      <c r="C2211" s="3" t="inlineStr">
        <is>
          <t>USD/tCO2 real</t>
        </is>
      </c>
      <c r="E2211" s="48">
        <f t="shared" ref="E2211:I2211" si="200">E2109*E2113*E2119+E2123*E2127*E2133</f>
        <v>0.0</v>
      </c>
      <c r="F2211" s="48">
        <f t="shared" si="200"/>
        <v>0.0</v>
      </c>
      <c r="G2211" s="48">
        <f t="shared" si="200"/>
        <v>0.0</v>
      </c>
      <c r="H2211" s="48">
        <f t="shared" si="200"/>
        <v>0.0</v>
      </c>
      <c r="I2211" s="48">
        <f t="shared" si="200"/>
        <v>0.0</v>
      </c>
    </row>
    <row r="2212">
      <c r="A2212" s="3" t="inlineStr">
        <is>
          <t>ind|jfu</t>
        </is>
      </c>
      <c r="B2212" s="3" t="inlineStr">
        <is>
          <t>industry, Jet fuel</t>
        </is>
      </c>
      <c r="C2212" s="3" t="inlineStr">
        <is>
          <t>USD/tCO2 real</t>
        </is>
      </c>
      <c r="E2212" s="48">
        <f t="shared" ref="E2212:I2212" si="201">E2109*E2113*E2120+E2123*E2127*E2134</f>
        <v>0.0</v>
      </c>
      <c r="F2212" s="48">
        <f t="shared" si="201"/>
        <v>0.0</v>
      </c>
      <c r="G2212" s="48">
        <f t="shared" si="201"/>
        <v>0.0</v>
      </c>
      <c r="H2212" s="48">
        <f t="shared" si="201"/>
        <v>0.0</v>
      </c>
      <c r="I2212" s="48">
        <f t="shared" si="201"/>
        <v>0.0</v>
      </c>
    </row>
    <row r="2213">
      <c r="A2213" s="3" t="inlineStr">
        <is>
          <t>ind|oop</t>
        </is>
      </c>
      <c r="B2213" s="3" t="inlineStr">
        <is>
          <t>industry, Other oil products</t>
        </is>
      </c>
      <c r="C2213" s="3" t="inlineStr">
        <is>
          <t>USD/tCO2 real</t>
        </is>
      </c>
      <c r="E2213" s="48">
        <f t="shared" ref="E2213:I2213" si="202">E2109*E2113*E2121+E2123*E2127*E2135</f>
        <v>0.0</v>
      </c>
      <c r="F2213" s="48">
        <f t="shared" si="202"/>
        <v>0.0</v>
      </c>
      <c r="G2213" s="48">
        <f t="shared" si="202"/>
        <v>0.0</v>
      </c>
      <c r="H2213" s="48">
        <f t="shared" si="202"/>
        <v>0.0</v>
      </c>
      <c r="I2213" s="48">
        <f t="shared" si="202"/>
        <v>0.0</v>
      </c>
    </row>
    <row r="2214">
      <c r="A2214" s="3" t="inlineStr">
        <is>
          <t>ind|bio</t>
        </is>
      </c>
      <c r="B2214" s="3" t="inlineStr">
        <is>
          <t>industry, Biomass</t>
        </is>
      </c>
      <c r="C2214" s="3" t="inlineStr">
        <is>
          <t>USD/tCO2 real</t>
        </is>
      </c>
      <c r="E2214" s="48">
        <f t="shared" ref="E2214:I2214" si="203">E2109*E2113*E2122+E2123*E2127*E2136</f>
        <v>0.0</v>
      </c>
      <c r="F2214" s="48">
        <f t="shared" si="203"/>
        <v>0.0</v>
      </c>
      <c r="G2214" s="48">
        <f t="shared" si="203"/>
        <v>0.0</v>
      </c>
      <c r="H2214" s="48">
        <f t="shared" si="203"/>
        <v>0.0</v>
      </c>
      <c r="I2214" s="48">
        <f t="shared" si="203"/>
        <v>0.0</v>
      </c>
    </row>
    <row r="2215"/>
    <row r="2216"/>
    <row r="2217"/>
    <row r="2218"/>
    <row r="2219">
      <c r="A2219" s="4" t="inlineStr">
        <is>
          <t>Power model settings (MTInputs scenario 1) and derived values (data step; defined names)</t>
        </is>
      </c>
      <c r="B2219" s="5" t="n"/>
      <c r="C2219" s="5" t="n"/>
      <c r="D2219" s="5" t="n"/>
      <c r="E2219" s="5" t="n"/>
      <c r="F2219" s="5" t="n"/>
      <c r="G2219" s="5" t="n"/>
      <c r="H2219" s="5" t="n"/>
      <c r="I2219" s="5" t="n"/>
      <c r="J2219" s="5" t="n"/>
      <c r="K2219" s="5" t="n"/>
      <c r="L2219" s="5" t="n"/>
      <c r="M2219" s="5" t="n"/>
      <c r="N2219" s="5" t="n"/>
      <c r="O2219" s="5" t="n"/>
      <c r="P2219" s="5" t="n"/>
      <c r="Q2219" s="5" t="n"/>
      <c r="R2219" s="5" t="n"/>
      <c r="S2219" s="5" t="n"/>
      <c r="T2219" s="5" t="n"/>
      <c r="U2219" s="5" t="n"/>
      <c r="V2219" s="5" t="n"/>
      <c r="W2219" s="5" t="n"/>
      <c r="X2219" s="5" t="n"/>
      <c r="Y2219" s="5" t="n"/>
      <c r="Z2219" s="5" t="n"/>
      <c r="AA2219" s="5" t="n"/>
      <c r="AB2219" s="5" t="n"/>
      <c r="AC2219" s="5" t="n"/>
      <c r="AD2219" s="5" t="n"/>
      <c r="AE2219" s="5" t="n"/>
      <c r="AF2219" s="5" t="n"/>
      <c r="AG2219" s="5" t="n"/>
      <c r="AH2219" s="5" t="n"/>
      <c r="AI2219" s="5" t="n"/>
      <c r="AJ2219" s="5" t="n"/>
      <c r="AK2219" s="5" t="n"/>
      <c r="AL2219" s="5" t="n"/>
      <c r="AM2219" s="5" t="n"/>
      <c r="AN2219" s="5" t="n"/>
      <c r="AO2219" s="5" t="n"/>
      <c r="AP2219" s="5" t="n"/>
      <c r="AQ2219" s="5" t="n"/>
      <c r="AR2219" s="5" t="n"/>
      <c r="AS2219" s="5" t="n"/>
      <c r="AT2219" s="5" t="n"/>
      <c r="AU2219" s="5" t="n"/>
      <c r="AV2219" s="5" t="n"/>
      <c r="AW2219" s="5" t="n"/>
      <c r="AX2219" s="5" t="n"/>
      <c r="AY2219" s="5" t="n"/>
      <c r="AZ2219" s="5" t="n"/>
      <c r="BA2219" s="5" t="n"/>
      <c r="BB2219" s="5" t="n"/>
      <c r="BC2219" s="5" t="n"/>
      <c r="BD2219" s="5" t="n"/>
      <c r="BE2219" s="5" t="n"/>
      <c r="BF2219" s="5" t="n"/>
      <c r="BG2219" s="5" t="n"/>
      <c r="BH2219" s="5" t="n"/>
      <c r="BI2219" s="5" t="n"/>
      <c r="BJ2219" s="5" t="n"/>
      <c r="BK2219" s="5" t="n"/>
      <c r="BL2219" s="5" t="n"/>
      <c r="BM2219" s="5" t="n"/>
      <c r="BN2219" s="5" t="n"/>
      <c r="BO2219" s="5" t="n"/>
      <c r="BP2219" s="5" t="n"/>
      <c r="BQ2219" s="5" t="n"/>
      <c r="BR2219" s="5" t="n"/>
      <c r="BS2219" s="5" t="n"/>
      <c r="BT2219" s="5" t="n"/>
      <c r="BU2219" s="5" t="n"/>
      <c r="BV2219" s="5" t="n"/>
      <c r="BW2219" s="5" t="n"/>
      <c r="BX2219" s="5" t="n"/>
      <c r="BY2219" s="5" t="n"/>
      <c r="BZ2219" s="5" t="n"/>
      <c r="CA2219" s="5" t="n"/>
      <c r="CB2219" s="5" t="n"/>
      <c r="CC2219" s="5" t="n"/>
      <c r="CD2219" s="5" t="n"/>
      <c r="CE2219" s="5" t="n"/>
      <c r="CF2219" s="5" t="n"/>
      <c r="CG2219" s="5" t="n"/>
      <c r="CH2219" s="5" t="n"/>
      <c r="CI2219" s="5" t="n"/>
      <c r="CJ2219" s="5" t="n"/>
      <c r="CK2219" s="5" t="n"/>
      <c r="CL2219" s="5" t="n"/>
      <c r="CM2219" s="5" t="n"/>
      <c r="CN2219" s="5" t="n"/>
      <c r="CO2219" s="5" t="n"/>
      <c r="CP2219" s="5" t="n"/>
      <c r="CQ2219" s="5" t="n"/>
      <c r="CR2219" s="5" t="n"/>
      <c r="CS2219" s="5" t="n"/>
      <c r="CT2219" s="5" t="n"/>
      <c r="CU2219" s="5" t="n"/>
      <c r="CV2219" s="5" t="n"/>
      <c r="CW2219" s="5" t="n"/>
      <c r="CX2219" s="5" t="n"/>
      <c r="CY2219" s="5" t="n"/>
      <c r="CZ2219" s="5" t="n"/>
      <c r="DA2219" s="5" t="n"/>
      <c r="DB2219" s="5" t="n"/>
      <c r="DC2219" s="5" t="n"/>
      <c r="DD2219" s="5" t="n"/>
      <c r="DE2219" s="5" t="n"/>
      <c r="DF2219" s="5" t="n"/>
      <c r="DG2219" s="5" t="n"/>
      <c r="DH2219" s="5" t="n"/>
      <c r="DI2219" s="5" t="n"/>
      <c r="DJ2219" s="5" t="n"/>
      <c r="DK2219" s="5" t="n"/>
      <c r="DL2219" s="5" t="n"/>
      <c r="DM2219" s="5" t="n"/>
      <c r="DN2219" s="5" t="n"/>
      <c r="DO2219" s="5" t="n"/>
      <c r="DP2219" s="5" t="n"/>
      <c r="DQ2219" s="5" t="n"/>
      <c r="DR2219" s="5" t="n"/>
      <c r="DS2219" s="5" t="n"/>
      <c r="DT2219" s="5" t="n"/>
      <c r="DU2219" s="5" t="n"/>
      <c r="DV2219" s="5" t="n"/>
      <c r="DW2219" s="5" t="n"/>
      <c r="DX2219" s="5" t="n"/>
      <c r="DY2219" s="5" t="n"/>
      <c r="DZ2219" s="5" t="n"/>
      <c r="EA2219" s="5" t="n"/>
      <c r="EB2219" s="5" t="n"/>
      <c r="EC2219" s="5" t="n"/>
      <c r="ED2219" s="5" t="n"/>
      <c r="EE2219" s="5" t="n"/>
      <c r="EF2219" s="5" t="n"/>
      <c r="EG2219" s="5" t="n"/>
      <c r="EH2219" s="5" t="n"/>
      <c r="EI2219" s="5" t="n"/>
      <c r="EJ2219" s="5" t="n"/>
      <c r="EK2219" s="5" t="n"/>
      <c r="EL2219" s="5" t="n"/>
      <c r="EM2219" s="5" t="n"/>
      <c r="EN2219" s="5" t="n"/>
      <c r="EO2219" s="5" t="n"/>
      <c r="EP2219" s="5" t="n"/>
      <c r="EQ2219" s="5" t="n"/>
      <c r="ER2219" s="5" t="n"/>
      <c r="ES2219" s="5" t="n"/>
      <c r="ET2219" s="5" t="n"/>
      <c r="EU2219" s="5" t="n"/>
      <c r="EV2219" s="5" t="n"/>
      <c r="EW2219" s="5" t="n"/>
      <c r="EX2219" s="5" t="n"/>
      <c r="EY2219" s="5" t="n"/>
      <c r="EZ2219" s="5" t="n"/>
      <c r="FA2219" s="5" t="n"/>
      <c r="FB2219" s="5" t="n"/>
      <c r="FC2219" s="5" t="n"/>
      <c r="FD2219" s="5" t="n"/>
      <c r="FE2219" s="5" t="n"/>
      <c r="FF2219" s="5" t="n"/>
      <c r="FG2219" s="5" t="n"/>
      <c r="FH2219" s="5" t="n"/>
      <c r="FI2219" s="5" t="n"/>
      <c r="FJ2219" s="5" t="n"/>
      <c r="FK2219" s="5" t="n"/>
      <c r="FL2219" s="5" t="n"/>
      <c r="FM2219" s="5" t="n"/>
      <c r="FN2219" s="5" t="n"/>
      <c r="FO2219" s="5" t="n"/>
    </row>
    <row r="2220">
      <c r="A2220" s="3" t="inlineStr">
        <is>
          <t>Each value has a defined name used by the power data blocks below (Ps...). v0.5.4 (power plan P2): these are the scenario-1 values of the data step on Inputs; Mitigation reads every MTInputs power input in each scenario's own column (section 1, power sector settings; section 3, sub-table A0). Technical inputs (logit constants, WACC, capacity-factor bounds, storage, cost decline) are not usually changed across scenarios: scenario 1 is the baseline of every scenario, so a technical input changed in a policy scenario changes that scenario only, and its difference to scenario 1 mixes the input change with the policy (as legacy, which runs each scenario column with its own baseline).</t>
        </is>
      </c>
    </row>
    <row r="2221">
      <c r="A2221" s="7" t="inlineStr">
        <is>
          <t>Defined name</t>
        </is>
      </c>
      <c r="B2221" s="7" t="inlineStr">
        <is>
          <t>Value</t>
        </is>
      </c>
      <c r="C2221" s="7" t="inlineStr">
        <is>
          <t>MTInputs NameOfParameter / formula</t>
        </is>
      </c>
      <c r="D2221" s="7" t="inlineStr">
        <is>
          <t>Description</t>
        </is>
      </c>
    </row>
    <row r="2222">
      <c r="A2222" s="3" t="inlineStr">
        <is>
          <t>PsMinTE</t>
        </is>
      </c>
      <c r="B2222" s="3">
        <f>INDEX(SDBase,MATCH("MinimumThermalEfficiency",SDParam,0))</f>
        <v>0.1</v>
      </c>
      <c r="C2222" s="3" t="inlineStr">
        <is>
          <t>MinimumThermalEfficiency</t>
        </is>
      </c>
      <c r="D2222" s="3" t="inlineStr">
        <is>
          <t>Minimum thermal efficiency (below: the studies value)</t>
        </is>
      </c>
    </row>
    <row r="2223">
      <c r="A2223" s="3" t="inlineStr">
        <is>
          <t>PsHydNoRet</t>
        </is>
      </c>
      <c r="B2223" s="3" t="str">
        <f>INDEX(SDBase,MATCH("HydroDoesntRetire",SDParam,0))</f>
        <v>Yes</v>
      </c>
      <c r="C2223" s="3" t="inlineStr">
        <is>
          <t>HydroDoesntRetire</t>
        </is>
      </c>
      <c r="D2223" s="3" t="inlineStr">
        <is>
          <t>Hydro does not retire</t>
        </is>
      </c>
    </row>
    <row r="2224">
      <c r="A2224" s="3" t="inlineStr">
        <is>
          <t>PsScNonVRE</t>
        </is>
      </c>
      <c r="B2224" s="3">
        <f>INDEX(SDBase,MATCH("MaxNonVREAsPCOfTotalGen",SDParam,0))</f>
        <v>0.05</v>
      </c>
      <c r="C2224" s="3" t="inlineStr">
        <is>
          <t>MaxNonVREAsPCOfTotalGen</t>
        </is>
      </c>
      <c r="D2224" s="3" t="inlineStr">
        <is>
          <t>Scale-up rate, coal, gas, hydro</t>
        </is>
      </c>
    </row>
    <row r="2225">
      <c r="A2225" s="3" t="inlineStr">
        <is>
          <t>PsScNonNuc</t>
        </is>
      </c>
      <c r="B2225" s="3">
        <f>INDEX(SDBase,MATCH("MaxNonNucOreBioAsPCOfTotalGen",SDParam,0))</f>
        <v>0.02</v>
      </c>
      <c r="C2225" s="3" t="inlineStr">
        <is>
          <t>MaxNonNucOreBioAsPCOfTotalGen</t>
        </is>
      </c>
      <c r="D2225" s="3" t="inlineStr">
        <is>
          <t>Scale-up rate, oil, nuclear, other renewables, biomass</t>
        </is>
      </c>
    </row>
    <row r="2226">
      <c r="A2226" s="3" t="inlineStr">
        <is>
          <t>PsScCat</t>
        </is>
      </c>
      <c r="B2226" s="3" t="str">
        <f>INDEX(SDBase,MATCH("MaxScaleUpRateCategory",SDParam,0))</f>
        <v>CtryDefault*</v>
      </c>
      <c r="C2226" s="3" t="inlineStr">
        <is>
          <t>MaxScaleUpRateCategory</t>
        </is>
      </c>
      <c r="D2226" s="3" t="inlineStr">
        <is>
          <t>Scale-up category, wind and solar</t>
        </is>
      </c>
    </row>
    <row r="2227">
      <c r="A2227" s="3" t="inlineStr">
        <is>
          <t>PsScUser</t>
        </is>
      </c>
      <c r="B2227" s="3">
        <f>INDEX(SDBase,MATCH("MaxWindSolarScaleup",SDParam,0))</f>
        <v>0.05</v>
      </c>
      <c r="C2227" s="3" t="inlineStr">
        <is>
          <t>MaxWindSolarScaleup</t>
        </is>
      </c>
      <c r="D2227" s="3" t="inlineStr">
        <is>
          <t>Scale-up rate, wind and solar, user defined</t>
        </is>
      </c>
    </row>
    <row r="2228">
      <c r="A2228" s="3" t="inlineStr">
        <is>
          <t>PsWaccSrc</t>
        </is>
      </c>
      <c r="B2228" s="3" t="str">
        <f>INDEX(SDBase,MATCH("WACCSource",SDParam,0))</f>
        <v>Tech</v>
      </c>
      <c r="C2228" s="3" t="inlineStr">
        <is>
          <t>WACCSource</t>
        </is>
      </c>
      <c r="D2228" s="3" t="inlineStr">
        <is>
          <t>WACC source (Tech, Country*, Income*, User, studies)</t>
        </is>
      </c>
    </row>
    <row r="2229">
      <c r="A2229" s="3" t="inlineStr">
        <is>
          <t>PsWaccUser</t>
        </is>
      </c>
      <c r="B2229" s="3">
        <f>INDEX(SDBase,MATCH("WACCUserGlobal",SDParam,0))</f>
        <v>0.075</v>
      </c>
      <c r="C2229" s="3" t="inlineStr">
        <is>
          <t>WACCUserGlobal</t>
        </is>
      </c>
      <c r="D2229" s="3" t="inlineStr">
        <is>
          <t>WACC, user defined</t>
        </is>
      </c>
    </row>
    <row r="2230">
      <c r="A2230" s="3" t="inlineStr">
        <is>
          <t>PsWaccMin</t>
        </is>
      </c>
      <c r="B2230" s="3">
        <f>INDEX(SDBase,MATCH("MinimumWACC",SDParam,0))</f>
        <v>0.01</v>
      </c>
      <c r="C2230" s="3" t="inlineStr">
        <is>
          <t>MinimumWACC</t>
        </is>
      </c>
      <c r="D2230" s="3" t="inlineStr">
        <is>
          <t>Minimum WACC</t>
        </is>
      </c>
    </row>
    <row r="2231">
      <c r="A2231" s="3" t="inlineStr">
        <is>
          <t>PsReDecline</t>
        </is>
      </c>
      <c r="B2231" s="3" t="str">
        <f>INDEX(SDBase,MATCH("RenewableCostDeclineRate",SDParam,0))</f>
        <v>Medium*</v>
      </c>
      <c r="C2231" s="3" t="inlineStr">
        <is>
          <t>RenewableCostDeclineRate</t>
        </is>
      </c>
      <c r="D2231" s="3" t="inlineStr">
        <is>
          <t>Renewable cost decline scenario</t>
        </is>
      </c>
    </row>
    <row r="2232">
      <c r="A2232" s="3" t="inlineStr">
        <is>
          <t>PsLTHours</t>
        </is>
      </c>
      <c r="B2232" s="3">
        <f>INDEX(SDBase,MATCH("StorageHoursForLTStorage",SDParam,0))</f>
        <v>1000.0</v>
      </c>
      <c r="C2232" s="3" t="inlineStr">
        <is>
          <t>StorageHoursForLTStorage</t>
        </is>
      </c>
      <c r="D2232" s="3" t="inlineStr">
        <is>
          <t>Storage hours for long-term storage</t>
        </is>
      </c>
    </row>
    <row r="2233">
      <c r="A2233" s="3" t="inlineStr">
        <is>
          <t>PsIncElAdj</t>
        </is>
      </c>
      <c r="B2233" s="3" t="str">
        <f>INDEX(SDBase,MATCH("IncElAdj",SDParam,0))</f>
        <v>Yes*</v>
      </c>
      <c r="C2233" s="3" t="inlineStr">
        <is>
          <t>IncElAdj</t>
        </is>
      </c>
      <c r="D2233" s="3" t="inlineStr">
        <is>
          <t>Adjust income elasticities by income level</t>
        </is>
      </c>
    </row>
    <row r="2234">
      <c r="A2234" s="3" t="inlineStr">
        <is>
          <t>PsPass</t>
        </is>
      </c>
      <c r="B2234" s="3">
        <f>INDEX(SDBase,MATCH("PowerSectorPriceChangePassOn",SDParam,0))</f>
        <v>1.0</v>
      </c>
      <c r="C2234" s="3" t="inlineStr">
        <is>
          <t>PowerSectorPriceChangePassOn</t>
        </is>
      </c>
      <c r="D2234" s="3" t="inlineStr">
        <is>
          <t>Pass-through of supply-cost changes</t>
        </is>
      </c>
    </row>
    <row r="2235">
      <c r="A2235" s="3" t="inlineStr">
        <is>
          <t>PsSTAlloc</t>
        </is>
      </c>
      <c r="B2235" s="3">
        <f>INDEX(SDBase,MATCH("AllocateSTStorageToVRE",SDParam,0))</f>
        <v>1.0</v>
      </c>
      <c r="C2235" s="3" t="inlineStr">
        <is>
          <t>AllocateSTStorageToVRE</t>
        </is>
      </c>
      <c r="D2235" s="3" t="inlineStr">
        <is>
          <t>Short-term storage allocated to VRE</t>
        </is>
      </c>
    </row>
    <row r="2236">
      <c r="A2236" s="3" t="inlineStr">
        <is>
          <t>PsSTHours</t>
        </is>
      </c>
      <c r="B2236" s="3">
        <f>INDEX(SDBase,MATCH("TotalHoursStorageFor100pcVRE",SDParam,0))</f>
        <v>9.0</v>
      </c>
      <c r="C2236" s="3" t="inlineStr">
        <is>
          <t>TotalHoursStorageFor100pcVRE</t>
        </is>
      </c>
      <c r="D2236" s="3" t="inlineStr">
        <is>
          <t>Total hours of storage for 100% VRE</t>
        </is>
      </c>
    </row>
    <row r="2237">
      <c r="A2237" s="3" t="inlineStr">
        <is>
          <t>PsSTRatio</t>
        </is>
      </c>
      <c r="B2237" s="3">
        <f>INDEX(SDBase,MATCH("StorageToInterfaceRatioSTStorage",SDParam,0))</f>
        <v>2.0</v>
      </c>
      <c r="C2237" s="3" t="inlineStr">
        <is>
          <t>StorageToInterfaceRatioSTStorage</t>
        </is>
      </c>
      <c r="D2237" s="3" t="inlineStr">
        <is>
          <t>kWh storage per kW interface</t>
        </is>
      </c>
    </row>
    <row r="2238">
      <c r="A2238" s="3" t="inlineStr">
        <is>
          <t>PsLTAlloc</t>
        </is>
      </c>
      <c r="B2238" s="3">
        <f>INDEX(SDBase,MATCH("AllocateLTStorageToVRE",SDParam,0))</f>
        <v>0.33</v>
      </c>
      <c r="C2238" s="3" t="inlineStr">
        <is>
          <t>AllocateLTStorageToVRE</t>
        </is>
      </c>
      <c r="D2238" s="3" t="inlineStr">
        <is>
          <t>Long-term storage allocated to VRE</t>
        </is>
      </c>
    </row>
    <row r="2239">
      <c r="A2239" s="3" t="inlineStr">
        <is>
          <t>PsLTStart</t>
        </is>
      </c>
      <c r="B2239" s="3">
        <f>INDEX(SDBase,MATCH("StartingPointWhenLTStorageIsNeeded",SDParam,0))</f>
        <v>0.75</v>
      </c>
      <c r="C2239" s="3" t="inlineStr">
        <is>
          <t>StartingPointWhenLTStorageIsNeeded</t>
        </is>
      </c>
      <c r="D2239" s="3" t="inlineStr">
        <is>
          <t>VRE share where long-term storage starts</t>
        </is>
      </c>
    </row>
    <row r="2240">
      <c r="A2240" s="3" t="inlineStr">
        <is>
          <t>PsAddEff</t>
        </is>
      </c>
      <c r="B2240" s="3">
        <f>INDEX(SDBase,MATCH("AdditionalEfficiencyPower",SDParam,0))</f>
        <v>0.0</v>
      </c>
      <c r="C2240" s="3" t="inlineStr">
        <is>
          <t>AdditionalEfficiencyPower</t>
        </is>
      </c>
      <c r="D2240" s="3" t="inlineStr">
        <is>
          <t>Additional efficiency improvement of power demand</t>
        </is>
      </c>
    </row>
    <row r="2241">
      <c r="A2241" s="3" t="inlineStr">
        <is>
          <t>PsMaxCoalCF</t>
        </is>
      </c>
      <c r="B2241" s="3">
        <f>INDEX(SDBase,MATCH("MaximumCoalCF",SDParam,0))</f>
        <v>0.9</v>
      </c>
      <c r="C2241" s="3" t="inlineStr">
        <is>
          <t>MaximumCoalCF</t>
        </is>
      </c>
      <c r="D2241" s="3" t="inlineStr">
        <is>
          <t>Maximum capacity factor of coal (and gas)</t>
        </is>
      </c>
    </row>
    <row r="2242">
      <c r="A2242" s="3" t="inlineStr">
        <is>
          <t>PsKDisp</t>
        </is>
      </c>
      <c r="B2242" s="3">
        <f>INDEX(SDBase,MATCH("kDispatch",SDParam,0))</f>
        <v>2.0</v>
      </c>
      <c r="C2242" s="3" t="inlineStr">
        <is>
          <t>kDispatch</t>
        </is>
      </c>
      <c r="D2242" s="3" t="inlineStr">
        <is>
          <t>Logit K, dispatch</t>
        </is>
      </c>
    </row>
    <row r="2243">
      <c r="A2243" s="3" t="inlineStr">
        <is>
          <t>PsKInv</t>
        </is>
      </c>
      <c r="B2243" s="3">
        <f>INDEX(SDBase,MATCH("kInvestment",SDParam,0))</f>
        <v>2.0</v>
      </c>
      <c r="C2243" s="3" t="inlineStr">
        <is>
          <t>kInvestment</t>
        </is>
      </c>
      <c r="D2243" s="3" t="inlineStr">
        <is>
          <t>Logit K, investment</t>
        </is>
      </c>
    </row>
    <row r="2244">
      <c r="A2244" s="3" t="inlineStr">
        <is>
          <t>PsMinCost</t>
        </is>
      </c>
      <c r="B2244" s="3">
        <f>INDEX(SDBase,MATCH("MinPostSubsidyPowerPrice",SDParam,0))</f>
        <v>0.01</v>
      </c>
      <c r="C2244" s="3" t="inlineStr">
        <is>
          <t>MinPostSubsidyPowerPrice</t>
        </is>
      </c>
      <c r="D2244" s="3" t="inlineStr">
        <is>
          <t>Minimum cost in the logits</t>
        </is>
      </c>
    </row>
    <row r="2245">
      <c r="A2245" s="3" t="inlineStr">
        <is>
          <t>PsEarlyMax</t>
        </is>
      </c>
      <c r="B2245" s="3">
        <f>INDEX(SDBase,MATCH("MaxCostBasedEarlyRetirement",SDParam,0))</f>
        <v>0.8</v>
      </c>
      <c r="C2245" s="3" t="inlineStr">
        <is>
          <t>MaxCostBasedEarlyRetirement</t>
        </is>
      </c>
      <c r="D2245" s="3" t="inlineStr">
        <is>
          <t>Factor on cost-based early coal retirement</t>
        </is>
      </c>
    </row>
    <row r="2246">
      <c r="A2246" s="3" t="inlineStr">
        <is>
          <t>PsEarlyBL</t>
        </is>
      </c>
      <c r="B2246" s="3" t="str">
        <f>INDEX(SDBase,MATCH("EarlyRetirementInBaseline",SDParam,0))</f>
        <v>Yes</v>
      </c>
      <c r="C2246" s="3" t="inlineStr">
        <is>
          <t>EarlyRetirementInBaseline</t>
        </is>
      </c>
      <c r="D2246" s="3" t="inlineStr">
        <is>
          <t>Early retirement in the baseline</t>
        </is>
      </c>
    </row>
    <row r="2247">
      <c r="A2247" s="3" t="inlineStr">
        <is>
          <t>PsCFMinVRE</t>
        </is>
      </c>
      <c r="B2247" s="3">
        <f>INDEX(SDBase,MATCH("CFOverrideIfBelowWndSol",SDParam,0))</f>
        <v>0.1</v>
      </c>
      <c r="C2247" s="3" t="inlineStr">
        <is>
          <t>CFOverrideIfBelowWndSol</t>
        </is>
      </c>
      <c r="D2247" s="3" t="inlineStr">
        <is>
          <t>Actual capacity factor used above this value, wind and solar (L53)</t>
        </is>
      </c>
    </row>
    <row r="2248">
      <c r="A2248" s="3" t="inlineStr">
        <is>
          <t>PsCFMinOth</t>
        </is>
      </c>
      <c r="B2248" s="3">
        <f>INDEX(SDBase,MATCH("CFOverrideIfBelowFosOth",SDParam,0))</f>
        <v>0.01</v>
      </c>
      <c r="C2248" s="3" t="inlineStr">
        <is>
          <t>CFOverrideIfBelowFosOth</t>
        </is>
      </c>
      <c r="D2248" s="3" t="inlineStr">
        <is>
          <t>Actual capacity factor used above this value, other types (L53)</t>
        </is>
      </c>
    </row>
    <row r="2249">
      <c r="A2249" s="3" t="inlineStr">
        <is>
          <t>PsCFMax</t>
        </is>
      </c>
      <c r="B2249" s="3">
        <f>INDEX(SDBase,MATCH("CFOverrideIfAbove",SDParam,0))</f>
        <v>1.0</v>
      </c>
      <c r="C2249" s="3" t="inlineStr">
        <is>
          <t>CFOverrideIfAbove</t>
        </is>
      </c>
      <c r="D2249" s="3" t="inlineStr">
        <is>
          <t>Actual capacity factor used below this value (L53)</t>
        </is>
      </c>
    </row>
    <row r="2250">
      <c r="A2250" s="3" t="inlineStr">
        <is>
          <t>PsCtfScen</t>
        </is>
      </c>
      <c r="B2250" s="3" t="str">
        <f>IF(PsReDecline="High","hgh",IF(LEFT(PsReDecline,1)="V","vhg",LOWER(LEFT(PsReDecline,3))))</f>
        <v>med</v>
      </c>
      <c r="C2250" s="3" t="inlineStr">
        <is>
          <t>formula</t>
        </is>
      </c>
      <c r="D2250" s="3" t="inlineStr">
        <is>
          <t>Capex time-factor scenario code: low, med, hgh, vhg (legacy rows 3038-3046)</t>
        </is>
      </c>
    </row>
    <row r="2251">
      <c r="A2251" s="3" t="inlineStr">
        <is>
          <t>PsCoCRow</t>
        </is>
      </c>
      <c r="B2251" s="3" t="n">
        <v>52</v>
      </c>
      <c r="C2251" s="3" t="inlineStr">
        <is>
          <t>formula</t>
        </is>
      </c>
      <c r="D2251" s="3" t="inlineStr">
        <is>
          <t>Row of the country in CoC rows 202-390</t>
        </is>
      </c>
    </row>
    <row r="2252">
      <c r="A2252" s="3" t="inlineStr">
        <is>
          <t>PsCoCData</t>
        </is>
      </c>
      <c r="B2252" s="3" t="n">
        <v>1</v>
      </c>
      <c r="C2252" s="3" t="inlineStr">
        <is>
          <t>formula</t>
        </is>
      </c>
      <c r="D2252" s="3" t="inlineStr">
        <is>
          <t>CoC has risk data for the country (CoC column C); else the default WACC (v0.4.10, L56 fixed: legacy gave such countries Sri Lanka's parameters)</t>
        </is>
      </c>
    </row>
    <row r="2253">
      <c r="A2253" s="3" t="inlineStr">
        <is>
          <t>PsCtryWacc</t>
        </is>
      </c>
      <c r="B2253" s="3" t="n">
        <v>0.09947642998297448</v>
      </c>
      <c r="C2253" s="3" t="inlineStr">
        <is>
          <t>formula</t>
        </is>
      </c>
      <c r="D2253" s="3" t="inlineStr">
        <is>
          <t>Country WACC 2022 (CoC column D; default WACC without risk data)</t>
        </is>
      </c>
    </row>
    <row r="2254">
      <c r="A2254" s="3" t="inlineStr">
        <is>
          <t>PsCoalAdj</t>
        </is>
      </c>
      <c r="B2254" s="3" t="n">
        <v>0.02465</v>
      </c>
      <c r="C2254" s="3" t="inlineStr">
        <is>
          <t>formula</t>
        </is>
      </c>
      <c r="D2254" s="3" t="inlineStr">
        <is>
          <t>Coal tech adjustment of the income group (Country* option)</t>
        </is>
      </c>
    </row>
    <row r="2255">
      <c r="A2255" s="3" t="inlineStr">
        <is>
          <t>PsIncWacc</t>
        </is>
      </c>
      <c r="B2255" s="3" t="n">
        <v>0.125</v>
      </c>
      <c r="C2255" s="3" t="inlineStr">
        <is>
          <t>formula</t>
        </is>
      </c>
      <c r="D2255" s="3" t="inlineStr">
        <is>
          <t>WACC by income group (Income*)</t>
        </is>
      </c>
    </row>
    <row r="2256">
      <c r="A2256" s="3" t="inlineStr">
        <is>
          <t>PsScCtry</t>
        </is>
      </c>
      <c r="B2256" s="3" t="n">
        <v>0.02</v>
      </c>
      <c r="C2256" s="3" t="inlineStr">
        <is>
          <t>formula</t>
        </is>
      </c>
      <c r="D2256" s="3" t="inlineStr">
        <is>
          <t>Scale-up rate, wind and solar, country default (Power B2349:C2570)</t>
        </is>
      </c>
    </row>
    <row r="2257">
      <c r="A2257" s="3" t="inlineStr">
        <is>
          <t>PsScCatRate</t>
        </is>
      </c>
      <c r="B2257" s="3" t="n">
        <v>0</v>
      </c>
      <c r="C2257" s="3" t="inlineStr">
        <is>
          <t>formula</t>
        </is>
      </c>
      <c r="D2257" s="3" t="inlineStr">
        <is>
          <t>Scale-up rate of the category (Low, Medium*, High, Vhigh: Power J20:J23)</t>
        </is>
      </c>
    </row>
    <row r="2258">
      <c r="A2258" s="3" t="inlineStr">
        <is>
          <t>PsScVRE</t>
        </is>
      </c>
      <c r="B2258" s="3">
        <f>IF(LEFT(PsScCat,4)="Ctry",PsScCtry,IF(PsScCat="UserDefined",PsScUser,PsScCatRate))</f>
        <v>0.02</v>
      </c>
      <c r="C2258" s="3" t="inlineStr">
        <is>
          <t>formula</t>
        </is>
      </c>
      <c r="D2258" s="3" t="inlineStr">
        <is>
          <t>Scale-up rate, wind and solar (legacy Mitigation S85:S91)</t>
        </is>
      </c>
    </row>
    <row r="2259">
      <c r="A2259" s="3" t="inlineStr">
        <is>
          <t>PsBalOut</t>
        </is>
      </c>
      <c r="B2259" s="3" t="n">
        <v>6</v>
      </c>
      <c r="C2259" s="3" t="inlineStr">
        <is>
          <t>formula</t>
        </is>
      </c>
      <c r="D2259" s="3" t="inlineStr">
        <is>
          <t>Balances row of the country, flow eloutput (GWh)</t>
        </is>
      </c>
    </row>
    <row r="2260">
      <c r="A2260" s="3" t="inlineStr">
        <is>
          <t>PsBalPow</t>
        </is>
      </c>
      <c r="B2260" s="3" t="n">
        <v>24</v>
      </c>
      <c r="C2260" s="3" t="inlineStr">
        <is>
          <t>formula</t>
        </is>
      </c>
      <c r="D2260" s="3" t="inlineStr">
        <is>
          <t>Balances row of the country, flow power (ktoe)</t>
        </is>
      </c>
    </row>
    <row r="2261">
      <c r="A2261" s="3" t="inlineStr">
        <is>
          <t>PsDlfRen</t>
        </is>
      </c>
      <c r="B2261" s="3">
        <f>AVERAGE('Constants and Mappings'!$AM$2273,'Constants and Mappings'!$AM$2274)</f>
        <v>8.435036725735763</v>
      </c>
      <c r="C2261" s="3" t="inlineStr">
        <is>
          <t>formula</t>
        </is>
      </c>
      <c r="D2261" s="3" t="inlineStr">
        <is>
          <t>Discounted lifetime of renewables: average annuity factor of wind and solar (legacy row 3883)</t>
        </is>
      </c>
    </row>
    <row r="2262"/>
    <row r="2263"/>
    <row r="2264"/>
    <row r="2265"/>
    <row r="2266">
      <c r="A2266" s="4" t="inlineStr">
        <is>
          <t>Power generation types of the country: costs, lifetime, efficiency, capacity factor, WACC, capacity (data step; legacy Mitigation rows 2954-4130; header names as the former tab PowerTech)</t>
        </is>
      </c>
      <c r="B2266" s="5" t="n"/>
      <c r="C2266" s="5" t="n"/>
      <c r="D2266" s="5" t="n"/>
      <c r="E2266" s="5" t="n"/>
      <c r="F2266" s="5" t="n"/>
      <c r="G2266" s="5" t="n"/>
      <c r="H2266" s="5" t="n"/>
      <c r="I2266" s="5" t="n"/>
      <c r="J2266" s="5" t="n"/>
      <c r="K2266" s="5" t="n"/>
      <c r="L2266" s="5" t="n"/>
      <c r="M2266" s="5" t="n"/>
      <c r="N2266" s="5" t="n"/>
      <c r="O2266" s="5" t="n"/>
      <c r="P2266" s="5" t="n"/>
      <c r="Q2266" s="5" t="n"/>
      <c r="R2266" s="5" t="n"/>
      <c r="S2266" s="5" t="n"/>
      <c r="T2266" s="5" t="n"/>
      <c r="U2266" s="5" t="n"/>
      <c r="V2266" s="5" t="n"/>
      <c r="W2266" s="5" t="n"/>
      <c r="X2266" s="5" t="n"/>
      <c r="Y2266" s="5" t="n"/>
      <c r="Z2266" s="5" t="n"/>
      <c r="AA2266" s="5" t="n"/>
      <c r="AB2266" s="5" t="n"/>
      <c r="AC2266" s="5" t="n"/>
      <c r="AD2266" s="5" t="n"/>
      <c r="AE2266" s="5" t="n"/>
      <c r="AF2266" s="5" t="n"/>
      <c r="AG2266" s="5" t="n"/>
      <c r="AH2266" s="5" t="n"/>
      <c r="AI2266" s="5" t="n"/>
      <c r="AJ2266" s="5" t="n"/>
      <c r="AK2266" s="5" t="n"/>
      <c r="AL2266" s="5" t="n"/>
      <c r="AM2266" s="5" t="n"/>
      <c r="AN2266" s="5" t="n"/>
      <c r="AO2266" s="5" t="n"/>
      <c r="AP2266" s="5" t="n"/>
      <c r="AQ2266" s="5" t="n"/>
      <c r="AR2266" s="5" t="n"/>
      <c r="AS2266" s="5" t="n"/>
      <c r="AT2266" s="5" t="n"/>
      <c r="AU2266" s="5" t="n"/>
      <c r="AV2266" s="5" t="n"/>
      <c r="AW2266" s="5" t="n"/>
      <c r="AX2266" s="5" t="n"/>
      <c r="AY2266" s="5" t="n"/>
      <c r="AZ2266" s="5" t="n"/>
      <c r="BA2266" s="5" t="n"/>
      <c r="BB2266" s="5" t="n"/>
      <c r="BC2266" s="5" t="n"/>
      <c r="BD2266" s="5" t="n"/>
      <c r="BE2266" s="5" t="n"/>
      <c r="BF2266" s="5" t="n"/>
      <c r="BG2266" s="5" t="n"/>
      <c r="BH2266" s="5" t="n"/>
      <c r="BI2266" s="5" t="n"/>
      <c r="BJ2266" s="5" t="n"/>
      <c r="BK2266" s="5" t="n"/>
      <c r="BL2266" s="5" t="n"/>
      <c r="BM2266" s="5" t="n"/>
      <c r="BN2266" s="5" t="n"/>
      <c r="BO2266" s="5" t="n"/>
      <c r="BP2266" s="5" t="n"/>
      <c r="BQ2266" s="5" t="n"/>
      <c r="BR2266" s="5" t="n"/>
      <c r="BS2266" s="5" t="n"/>
      <c r="BT2266" s="5" t="n"/>
      <c r="BU2266" s="5" t="n"/>
      <c r="BV2266" s="5" t="n"/>
      <c r="BW2266" s="5" t="n"/>
      <c r="BX2266" s="5" t="n"/>
      <c r="BY2266" s="5" t="n"/>
      <c r="BZ2266" s="5" t="n"/>
      <c r="CA2266" s="5" t="n"/>
      <c r="CB2266" s="5" t="n"/>
      <c r="CC2266" s="5" t="n"/>
      <c r="CD2266" s="5" t="n"/>
      <c r="CE2266" s="5" t="n"/>
      <c r="CF2266" s="5" t="n"/>
      <c r="CG2266" s="5" t="n"/>
      <c r="CH2266" s="5" t="n"/>
      <c r="CI2266" s="5" t="n"/>
      <c r="CJ2266" s="5" t="n"/>
      <c r="CK2266" s="5" t="n"/>
      <c r="CL2266" s="5" t="n"/>
      <c r="CM2266" s="5" t="n"/>
      <c r="CN2266" s="5" t="n"/>
      <c r="CO2266" s="5" t="n"/>
      <c r="CP2266" s="5" t="n"/>
      <c r="CQ2266" s="5" t="n"/>
      <c r="CR2266" s="5" t="n"/>
      <c r="CS2266" s="5" t="n"/>
      <c r="CT2266" s="5" t="n"/>
      <c r="CU2266" s="5" t="n"/>
      <c r="CV2266" s="5" t="n"/>
      <c r="CW2266" s="5" t="n"/>
      <c r="CX2266" s="5" t="n"/>
      <c r="CY2266" s="5" t="n"/>
      <c r="CZ2266" s="5" t="n"/>
      <c r="DA2266" s="5" t="n"/>
      <c r="DB2266" s="5" t="n"/>
      <c r="DC2266" s="5" t="n"/>
      <c r="DD2266" s="5" t="n"/>
      <c r="DE2266" s="5" t="n"/>
      <c r="DF2266" s="5" t="n"/>
      <c r="DG2266" s="5" t="n"/>
      <c r="DH2266" s="5" t="n"/>
      <c r="DI2266" s="5" t="n"/>
      <c r="DJ2266" s="5" t="n"/>
      <c r="DK2266" s="5" t="n"/>
      <c r="DL2266" s="5" t="n"/>
      <c r="DM2266" s="5" t="n"/>
      <c r="DN2266" s="5" t="n"/>
      <c r="DO2266" s="5" t="n"/>
      <c r="DP2266" s="5" t="n"/>
      <c r="DQ2266" s="5" t="n"/>
      <c r="DR2266" s="5" t="n"/>
      <c r="DS2266" s="5" t="n"/>
      <c r="DT2266" s="5" t="n"/>
      <c r="DU2266" s="5" t="n"/>
      <c r="DV2266" s="5" t="n"/>
      <c r="DW2266" s="5" t="n"/>
      <c r="DX2266" s="5" t="n"/>
      <c r="DY2266" s="5" t="n"/>
      <c r="DZ2266" s="5" t="n"/>
      <c r="EA2266" s="5" t="n"/>
      <c r="EB2266" s="5" t="n"/>
      <c r="EC2266" s="5" t="n"/>
      <c r="ED2266" s="5" t="n"/>
      <c r="EE2266" s="5" t="n"/>
      <c r="EF2266" s="5" t="n"/>
      <c r="EG2266" s="5" t="n"/>
      <c r="EH2266" s="5" t="n"/>
      <c r="EI2266" s="5" t="n"/>
      <c r="EJ2266" s="5" t="n"/>
      <c r="EK2266" s="5" t="n"/>
      <c r="EL2266" s="5" t="n"/>
      <c r="EM2266" s="5" t="n"/>
      <c r="EN2266" s="5" t="n"/>
      <c r="EO2266" s="5" t="n"/>
      <c r="EP2266" s="5" t="n"/>
      <c r="EQ2266" s="5" t="n"/>
      <c r="ER2266" s="5" t="n"/>
      <c r="ES2266" s="5" t="n"/>
      <c r="ET2266" s="5" t="n"/>
      <c r="EU2266" s="5" t="n"/>
      <c r="EV2266" s="5" t="n"/>
      <c r="EW2266" s="5" t="n"/>
      <c r="EX2266" s="5" t="n"/>
      <c r="EY2266" s="5" t="n"/>
      <c r="EZ2266" s="5" t="n"/>
      <c r="FA2266" s="5" t="n"/>
      <c r="FB2266" s="5" t="n"/>
      <c r="FC2266" s="5" t="n"/>
      <c r="FD2266" s="5" t="n"/>
      <c r="FE2266" s="5" t="n"/>
      <c r="FF2266" s="5" t="n"/>
      <c r="FG2266" s="5" t="n"/>
      <c r="FH2266" s="5" t="n"/>
      <c r="FI2266" s="5" t="n"/>
      <c r="FJ2266" s="5" t="n"/>
      <c r="FK2266" s="5" t="n"/>
      <c r="FL2266" s="5" t="n"/>
      <c r="FM2266" s="5" t="n"/>
      <c r="FN2266" s="5" t="n"/>
      <c r="FO2266" s="5" t="n"/>
    </row>
    <row r="2267">
      <c r="A2267" s="3" t="inlineStr">
        <is>
          <t>From the legacy Power tab (rows 25-356: world wld.mpp.&lt;type&gt;, country &lt;iso&gt;.mpp.&lt;type&gt; where &gt; 0; all types, v0.4.10: L52 fixed), CoC (WACC), Balances (efficiency, generation), installed capacity (actual capacity factor within the CFOverride bounds, else the studies value: L53 fixed) and MTInputs settings (Inputs_pset).</t>
        </is>
      </c>
    </row>
    <row r="2268">
      <c r="A2268" s="7" t="inlineStr">
        <is>
          <t>key</t>
        </is>
      </c>
      <c r="B2268" s="7" t="inlineStr">
        <is>
          <t>country</t>
        </is>
      </c>
      <c r="C2268" s="7" t="inlineStr">
        <is>
          <t>code</t>
        </is>
      </c>
      <c r="D2268" s="7" t="inlineStr">
        <is>
          <t>name</t>
        </is>
      </c>
      <c r="E2268" s="7" t="inlineStr">
        <is>
          <t>cax0_usd_per_kw</t>
        </is>
      </c>
      <c r="F2268" s="7" t="inlineStr">
        <is>
          <t>life_years</t>
        </is>
      </c>
      <c r="G2268" s="7" t="inlineStr">
        <is>
          <t>efficiency</t>
        </is>
      </c>
      <c r="H2268" s="7" t="inlineStr">
        <is>
          <t>capacity_factor</t>
        </is>
      </c>
      <c r="I2268" s="7" t="inlineStr">
        <is>
          <t>wacc</t>
        </is>
      </c>
      <c r="J2268" s="7" t="inlineStr">
        <is>
          <t>dtc_usd_per_kw</t>
        </is>
      </c>
      <c r="K2268" s="7" t="inlineStr">
        <is>
          <t>tcx_usd_per_kw</t>
        </is>
      </c>
      <c r="L2268" s="7" t="inlineStr">
        <is>
          <t>opf_usd_per_kwh</t>
        </is>
      </c>
      <c r="M2268" s="7" t="inlineStr">
        <is>
          <t>vop_usd_per_kwh</t>
        </is>
      </c>
      <c r="N2268" s="7" t="inlineStr">
        <is>
          <t>fuel_fixed_usd_per_kwh</t>
        </is>
      </c>
      <c r="O2268" s="7" t="inlineStr">
        <is>
          <t>rns_usd_per_kwh</t>
        </is>
      </c>
      <c r="P2268" s="7" t="inlineStr">
        <is>
          <t>price_code</t>
        </is>
      </c>
      <c r="Q2268" s="7" t="inlineStr">
        <is>
          <t>vre</t>
        </is>
      </c>
      <c r="R2268" s="7" t="inlineStr">
        <is>
          <t>vre_share</t>
        </is>
      </c>
      <c r="S2268" s="7" t="inlineStr">
        <is>
          <t>cap0_mw</t>
        </is>
      </c>
      <c r="T2268" s="7" t="inlineStr">
        <is>
          <t>gen0_mwy</t>
        </is>
      </c>
      <c r="U2268" s="7" t="inlineStr">
        <is>
          <t>retire_rate</t>
        </is>
      </c>
      <c r="V2268" s="7" t="inlineStr">
        <is>
          <t>invest_permitted</t>
        </is>
      </c>
      <c r="W2268" s="7" t="inlineStr">
        <is>
          <t>invest_start</t>
        </is>
      </c>
      <c r="X2268" s="7" t="inlineStr">
        <is>
          <t>scaleup_rate</t>
        </is>
      </c>
      <c r="Y2268" s="7" t="inlineStr">
        <is>
          <t>dispatch</t>
        </is>
      </c>
      <c r="Z2268" s="7" t="inlineStr">
        <is>
          <t>planned_retirement</t>
        </is>
      </c>
      <c r="AA2268" s="7" t="inlineStr">
        <is>
          <t>source</t>
        </is>
      </c>
      <c r="AB2268" s="7" t="inlineStr">
        <is>
          <t>legacy code</t>
        </is>
      </c>
      <c r="AC2268" s="7" t="inlineStr">
        <is>
          <t>rule (C country else world, W world: L52)</t>
        </is>
      </c>
      <c r="AD2268" s="7" t="inlineStr">
        <is>
          <t>Power row index, world</t>
        </is>
      </c>
      <c r="AE2268" s="7" t="inlineStr">
        <is>
          <t>Power row index, country (else world)</t>
        </is>
      </c>
      <c r="AF2268" s="7" t="inlineStr">
        <is>
          <t>Power row index, dtc</t>
        </is>
      </c>
      <c r="AG2268" s="7" t="inlineStr">
        <is>
          <t>Balances fuels</t>
        </is>
      </c>
      <c r="AH2268" s="7" t="inlineStr">
        <is>
          <t>output (GWh)</t>
        </is>
      </c>
      <c r="AI2268" s="7" t="inlineStr">
        <is>
          <t>input (ktoe)</t>
        </is>
      </c>
      <c r="AJ2268" s="7" t="inlineStr">
        <is>
          <t>efficiency of the studies</t>
        </is>
      </c>
      <c r="AK2268" s="7" t="inlineStr">
        <is>
          <t>WACC (studies, user or income)</t>
        </is>
      </c>
      <c r="AL2268" s="7" t="inlineStr">
        <is>
          <t>WACC tech adjustment</t>
        </is>
      </c>
      <c r="AM2268" s="7" t="inlineStr">
        <is>
          <t>annuity factor (discounted lifetime)</t>
        </is>
      </c>
      <c r="AN2268" s="7" t="inlineStr">
        <is>
          <t>MTInputs: new investment</t>
        </is>
      </c>
      <c r="AO2268" s="7" t="inlineStr">
        <is>
          <t>MTInputs: investment year</t>
        </is>
      </c>
      <c r="AP2268" s="7" t="inlineStr">
        <is>
          <t>fixed opex ($/kW/y)</t>
        </is>
      </c>
      <c r="AQ2268" s="7" t="inlineStr">
        <is>
          <t>WACC of the studies (Power J)</t>
        </is>
      </c>
      <c r="AR2268" s="7" t="inlineStr">
        <is>
          <t>capacity factor of the studies (Power E)</t>
        </is>
      </c>
      <c r="AS2268" s="7" t="inlineStr">
        <is>
          <t>installed capacity, base year (MW, Power rows 358-1635)</t>
        </is>
      </c>
      <c r="AT2268" s="7" t="inlineStr">
        <is>
          <t>capacity factor, actual (output / capacity)</t>
        </is>
      </c>
      <c r="AU2268" s="7" t="inlineStr">
        <is>
          <t>capacity factor, lower bound</t>
        </is>
      </c>
    </row>
    <row r="2269">
      <c r="A2269" s="3" t="str">
        <f>CtryCode&amp;"|"&amp;$C2269</f>
        <v>EGY|coa</v>
      </c>
      <c r="B2269" s="3" t="str">
        <f>CtryCode</f>
        <v>EGY</v>
      </c>
      <c r="C2269" s="3" t="inlineStr">
        <is>
          <t>coa</t>
        </is>
      </c>
      <c r="D2269" s="3" t="inlineStr">
        <is>
          <t>Coal</t>
        </is>
      </c>
      <c r="E2269" s="3" t="n">
        <v>2000</v>
      </c>
      <c r="F2269" s="3" t="n">
        <v>30</v>
      </c>
      <c r="G2269" s="3">
        <f>IFERROR(IF($AH2269/($AI2269*KtoeGWh)&lt;PsMinTE,$AJ2269,$AH2269/($AI2269*KtoeGWh)),$AJ2269)</f>
        <v>0.343544952131212</v>
      </c>
      <c r="H2269" s="3">
        <f>IF(AND($AT2269&gt;$AU2269,$AT2269&lt;PsCFMax),$AT2269,$AR2269)</f>
        <v>0.535</v>
      </c>
      <c r="I2269" s="3">
        <f>IF(PsWaccCty,PsCtryWacc+PsCoalAdj,IF(PsWaccSrc="Tech",PsCtryWacc+$AL2269,$AK2269))</f>
        <v>0.12412642998297449</v>
      </c>
      <c r="J2269" s="3" t="n">
        <v>100</v>
      </c>
      <c r="K2269" s="3" t="n">
        <v>597.4741012144968</v>
      </c>
      <c r="L2269" s="3">
        <f>$AP2269/(HoursYr*$H2269)</f>
        <v>0.012802458071949813</v>
      </c>
      <c r="M2269" s="3" t="n">
        <v>0.003</v>
      </c>
      <c r="N2269" s="3" t="n">
        <v>0</v>
      </c>
      <c r="O2269" s="3" t="n">
        <v>0</v>
      </c>
      <c r="P2269" s="8" t="inlineStr">
        <is>
          <t>coa.pow</t>
        </is>
      </c>
      <c r="Q2269" s="8" t="n">
        <v>0</v>
      </c>
      <c r="R2269" s="8" t="n">
        <v>0</v>
      </c>
      <c r="S2269" s="3">
        <f>$T2269/$H2269</f>
        <v>0.0</v>
      </c>
      <c r="T2269" s="3">
        <f>$AH2269*Thousand/HoursYr</f>
        <v>0.0</v>
      </c>
      <c r="U2269" s="3">
        <f>IF(AND($C2269="hyd",PsHydNoRet="Yes"),0,1/$F2269)</f>
        <v>0.03333333333333333</v>
      </c>
      <c r="V2269" s="3" t="str">
        <f>IF($AN2269="If Present*",IF($S2269/SUM($S$2269:$S$2277)&gt;InvPresentShare,"Yes","No"),$AN2269)</f>
        <v>No</v>
      </c>
      <c r="W2269" s="3">
        <f>IF(AND($C2269="hyd",$T2269/SUM($T$2269:$T$2277)&gt;HydInvShare),BaseYr,$AO2269)</f>
        <v>2022.0</v>
      </c>
      <c r="X2269" s="3">
        <f>PsScNonVRE</f>
        <v>0.05</v>
      </c>
      <c r="Y2269" s="8" t="inlineStr">
        <is>
          <t>cg</t>
        </is>
      </c>
      <c r="Z2269" s="3" t="inlineStr">
        <is>
          <t>No</t>
        </is>
      </c>
      <c r="AA2269" s="3" t="inlineStr">
        <is>
          <t>legacy Power, CoC, Balances; Mitigation rows 2977-4130</t>
        </is>
      </c>
      <c r="AB2269" s="8" t="inlineStr">
        <is>
          <t>coa</t>
        </is>
      </c>
      <c r="AC2269" s="8" t="inlineStr">
        <is>
          <t>C</t>
        </is>
      </c>
      <c r="AD2269" s="3" t="n">
        <v>4</v>
      </c>
      <c r="AE2269" s="3" t="n">
        <v>4</v>
      </c>
      <c r="AF2269" s="3" t="n">
        <v>322</v>
      </c>
      <c r="AG2269" s="8" t="inlineStr">
        <is>
          <t>|coa|</t>
        </is>
      </c>
      <c r="AH2269" s="3" t="n">
        <v>0</v>
      </c>
      <c r="AI2269" s="3" t="n">
        <v>-0</v>
      </c>
      <c r="AJ2269" s="3" t="n">
        <v>0.343544952131212</v>
      </c>
      <c r="AK2269" s="3">
        <f>MAX(IF(PsWaccSrc="User",PsWaccUser,IF(LEFT(PsWaccSrc,6)="Income",PsIncWacc,$AQ2269)),PsWaccMin)</f>
        <v>0.0803901819761905</v>
      </c>
      <c r="AL2269" s="3" t="n">
        <v>0.02465</v>
      </c>
      <c r="AM2269" s="3">
        <f>(1-(1/(1+$I2269))^$F2269)/(1-1/(1+$I2269))</f>
        <v>8.78559704396948</v>
      </c>
      <c r="AN2269" s="3" t="str">
        <f>INDEX(SDBase,MATCH("NewInvCoa",SDParam,0))</f>
        <v>If Present*</v>
      </c>
      <c r="AO2269" s="3">
        <f>INDEX(SDBase,MATCH("NewInvCoaYear",SDParam,0))</f>
        <v>2022.0</v>
      </c>
      <c r="AP2269" s="3" t="n">
        <v>60</v>
      </c>
      <c r="AQ2269" s="3" t="n">
        <v>0.08039018197619049</v>
      </c>
      <c r="AR2269" s="3" t="n">
        <v>0.535</v>
      </c>
      <c r="AS2269" s="3" t="n">
        <v>10</v>
      </c>
      <c r="AT2269" s="3">
        <f>IFERROR($T2269/$AS2269,0)</f>
        <v>0.0</v>
      </c>
      <c r="AU2269" s="3">
        <f>PsCFMinOth</f>
        <v>0.01</v>
      </c>
    </row>
    <row r="2270">
      <c r="A2270" s="3" t="str">
        <f>CtryCode&amp;"|"&amp;$C2270</f>
        <v>EGY|nga</v>
      </c>
      <c r="B2270" s="3" t="str">
        <f>CtryCode</f>
        <v>EGY</v>
      </c>
      <c r="C2270" s="3" t="inlineStr">
        <is>
          <t>nga</t>
        </is>
      </c>
      <c r="D2270" s="3" t="inlineStr">
        <is>
          <t>Natural gas</t>
        </is>
      </c>
      <c r="E2270" s="3" t="n">
        <v>1304.195</v>
      </c>
      <c r="F2270" s="3" t="n">
        <v>30</v>
      </c>
      <c r="G2270" s="3">
        <f>IFERROR(IF($AH2270/($AI2270*KtoeGWh)&lt;PsMinTE,$AJ2270,$AH2270/($AI2270*KtoeGWh)),$AJ2270)</f>
        <v>0.5053116804683168</v>
      </c>
      <c r="H2270" s="3">
        <f>IF(AND($AT2270&gt;$AU2270,$AT2270&lt;PsCFMax),$AT2270,$AR2270)</f>
        <v>0.3684141059975312</v>
      </c>
      <c r="I2270" s="3">
        <f>IF(PsWaccCty,PsCtryWacc+PsCoalAdj,IF(PsWaccSrc="Tech",PsCtryWacc+$AL2270,$AK2270))</f>
        <v>0.12412642998297449</v>
      </c>
      <c r="J2270" s="3" t="n">
        <v>13.04195</v>
      </c>
      <c r="K2270" s="3" t="n">
        <v>382.1802368310642</v>
      </c>
      <c r="L2270" s="3">
        <f>$AP2270/(HoursYr*$H2270)</f>
        <v>0.009930878702867242</v>
      </c>
      <c r="M2270" s="3" t="n">
        <v>0.004</v>
      </c>
      <c r="N2270" s="3" t="n">
        <v>0</v>
      </c>
      <c r="O2270" s="3" t="n">
        <v>0</v>
      </c>
      <c r="P2270" s="8" t="inlineStr">
        <is>
          <t>nga.pow</t>
        </is>
      </c>
      <c r="Q2270" s="8" t="n">
        <v>0</v>
      </c>
      <c r="R2270" s="8" t="n">
        <v>0</v>
      </c>
      <c r="S2270" s="3">
        <f>$T2270/$H2270</f>
        <v>52020.2</v>
      </c>
      <c r="T2270" s="3">
        <f>$AH2270*Thousand/HoursYr</f>
        <v>19164.97547681277</v>
      </c>
      <c r="U2270" s="3">
        <f>IF(AND($C2270="hyd",PsHydNoRet="Yes"),0,1/$F2270)</f>
        <v>0.03333333333333333</v>
      </c>
      <c r="V2270" s="3" t="str">
        <f>IF($AN2270="If Present*",IF($S2270/SUM($S$2269:$S$2277)&gt;InvPresentShare,"Yes","No"),$AN2270)</f>
        <v>Yes</v>
      </c>
      <c r="W2270" s="3">
        <f>IF(AND($C2270="hyd",$T2270/SUM($T$2269:$T$2277)&gt;HydInvShare),BaseYr,$AO2270)</f>
        <v>2022.0</v>
      </c>
      <c r="X2270" s="3">
        <f>PsScNonVRE</f>
        <v>0.05</v>
      </c>
      <c r="Y2270" s="8" t="inlineStr">
        <is>
          <t>cg</t>
        </is>
      </c>
      <c r="Z2270" s="3" t="inlineStr">
        <is>
          <t>No</t>
        </is>
      </c>
      <c r="AA2270" s="3" t="inlineStr">
        <is>
          <t>legacy Power, CoC, Balances; Mitigation rows 2977-4130</t>
        </is>
      </c>
      <c r="AB2270" s="8" t="inlineStr">
        <is>
          <t>nga</t>
        </is>
      </c>
      <c r="AC2270" s="8" t="inlineStr">
        <is>
          <t>C</t>
        </is>
      </c>
      <c r="AD2270" s="3" t="n">
        <v>5</v>
      </c>
      <c r="AE2270" s="3" t="n">
        <v>142</v>
      </c>
      <c r="AF2270" s="3" t="n">
        <v>323</v>
      </c>
      <c r="AG2270" s="8" t="inlineStr">
        <is>
          <t>|nga|</t>
        </is>
      </c>
      <c r="AH2270" s="3" t="n">
        <v>167885.1851768799</v>
      </c>
      <c r="AI2270" s="3" t="n">
        <v>28567.57143804305</v>
      </c>
      <c r="AJ2270" s="3" t="n">
        <v>0.5940000000000001</v>
      </c>
      <c r="AK2270" s="3">
        <f>MAX(IF(PsWaccSrc="User",PsWaccUser,IF(LEFT(PsWaccSrc,6)="Income",PsIncWacc,$AQ2270)),PsWaccMin)</f>
        <v>0.077095375</v>
      </c>
      <c r="AL2270" s="3" t="n">
        <v>0.02465</v>
      </c>
      <c r="AM2270" s="3">
        <f>(1-(1/(1+$I2270))^$F2270)/(1-1/(1+$I2270))</f>
        <v>8.78559704396948</v>
      </c>
      <c r="AN2270" s="3" t="str">
        <f>INDEX(SDBase,MATCH("NewInvNga",SDParam,0))</f>
        <v>If Present*</v>
      </c>
      <c r="AO2270" s="3">
        <f>INDEX(SDBase,MATCH("NewInvNgaYear",SDParam,0))</f>
        <v>2022.0</v>
      </c>
      <c r="AP2270" s="3" t="n">
        <v>32.05</v>
      </c>
      <c r="AQ2270" s="3" t="n">
        <v>0.07709537499999999</v>
      </c>
      <c r="AR2270" s="3" t="n">
        <v>0.5659999999999999</v>
      </c>
      <c r="AS2270" s="3" t="n">
        <v>52020.2</v>
      </c>
      <c r="AT2270" s="3">
        <f>IFERROR($T2270/$AS2270,0)</f>
        <v>0.3684141059975312</v>
      </c>
      <c r="AU2270" s="3">
        <f>PsCFMinOth</f>
        <v>0.01</v>
      </c>
    </row>
    <row r="2271">
      <c r="A2271" s="3" t="str">
        <f>CtryCode&amp;"|"&amp;$C2271</f>
        <v>EGY|oop</v>
      </c>
      <c r="B2271" s="3" t="str">
        <f>CtryCode</f>
        <v>EGY</v>
      </c>
      <c r="C2271" s="3" t="inlineStr">
        <is>
          <t>oop</t>
        </is>
      </c>
      <c r="D2271" s="3" t="inlineStr">
        <is>
          <t>Oil</t>
        </is>
      </c>
      <c r="E2271" s="3" t="n">
        <v>1345.379975458794</v>
      </c>
      <c r="F2271" s="3" t="n">
        <v>35</v>
      </c>
      <c r="G2271" s="3">
        <f>IFERROR(IF($AH2271/($AI2271*KtoeGWh)&lt;PsMinTE,$AJ2271,$AH2271/($AI2271*KtoeGWh)),$AJ2271)</f>
        <v>0.3381482353059179</v>
      </c>
      <c r="H2271" s="3">
        <f>IF(AND($AT2271&gt;$AU2271,$AT2271&lt;PsCFMax),$AT2271,$AR2271)</f>
        <v>0.134</v>
      </c>
      <c r="I2271" s="3">
        <f>IF(PsWaccCty,PsCtryWacc+PsCoalAdj,IF(PsWaccSrc="Tech",PsCtryWacc+$AL2271,$AK2271))</f>
        <v>0.12412642998297449</v>
      </c>
      <c r="J2271" s="3" t="n">
        <v>33.02104674720874</v>
      </c>
      <c r="K2271" s="3" t="n">
        <v>447.8785505834557</v>
      </c>
      <c r="L2271" s="3">
        <f>$AP2271/(HoursYr*$H2271)</f>
        <v>0.020041061814216585</v>
      </c>
      <c r="M2271" s="3" t="n">
        <v>0.005169999999999999</v>
      </c>
      <c r="N2271" s="3" t="n">
        <v>0</v>
      </c>
      <c r="O2271" s="3" t="n">
        <v>0</v>
      </c>
      <c r="P2271" s="8" t="inlineStr">
        <is>
          <t>oop.all</t>
        </is>
      </c>
      <c r="Q2271" s="8" t="n">
        <v>0</v>
      </c>
      <c r="R2271" s="8" t="n">
        <v>0</v>
      </c>
      <c r="S2271" s="3">
        <f>$T2271/$H2271</f>
        <v>15590.435318917458</v>
      </c>
      <c r="T2271" s="3">
        <f>$AH2271*Thousand/HoursYr</f>
        <v>2089.1183327349395</v>
      </c>
      <c r="U2271" s="3">
        <f>IF(AND($C2271="hyd",PsHydNoRet="Yes"),0,1/$F2271)</f>
        <v>0.02857142857142857</v>
      </c>
      <c r="V2271" s="3" t="str">
        <f>IF($AN2271="If Present*",IF($S2271/SUM($S$2269:$S$2277)&gt;InvPresentShare,"Yes","No"),$AN2271)</f>
        <v>Yes</v>
      </c>
      <c r="W2271" s="3">
        <f>IF(AND($C2271="hyd",$T2271/SUM($T$2269:$T$2277)&gt;HydInvShare),BaseYr,$AO2271)</f>
        <v>2022.0</v>
      </c>
      <c r="X2271" s="3">
        <f>PsScNonNuc</f>
        <v>0.02</v>
      </c>
      <c r="Y2271" s="8" t="inlineStr">
        <is>
          <t>fixed</t>
        </is>
      </c>
      <c r="Z2271" s="3" t="inlineStr">
        <is>
          <t>No</t>
        </is>
      </c>
      <c r="AA2271" s="3" t="inlineStr">
        <is>
          <t>legacy Power, CoC, Balances; Mitigation rows 2977-4130</t>
        </is>
      </c>
      <c r="AB2271" s="8" t="inlineStr">
        <is>
          <t>oil</t>
        </is>
      </c>
      <c r="AC2271" s="8" t="inlineStr">
        <is>
          <t>C</t>
        </is>
      </c>
      <c r="AD2271" s="3" t="n">
        <v>6</v>
      </c>
      <c r="AE2271" s="3" t="n">
        <v>6</v>
      </c>
      <c r="AF2271" s="3" t="n">
        <v>324</v>
      </c>
      <c r="AG2271" s="8" t="inlineStr">
        <is>
          <t>|oop|gso|die|ker|lpg|jfu|</t>
        </is>
      </c>
      <c r="AH2271" s="3" t="n">
        <v>18300.67659475807</v>
      </c>
      <c r="AI2271" s="3" t="n">
        <v>4653.506300974022</v>
      </c>
      <c r="AJ2271" s="3" t="n">
        <v>0.376603254164787</v>
      </c>
      <c r="AK2271" s="3">
        <f>MAX(IF(PsWaccSrc="User",PsWaccUser,IF(LEFT(PsWaccSrc,6)="Income",PsIncWacc,$AQ2271)),PsWaccMin)</f>
        <v>0.07757334375</v>
      </c>
      <c r="AL2271" s="3" t="n">
        <v>0.02465</v>
      </c>
      <c r="AM2271" s="3">
        <f>(1-(1/(1+$I2271))^$F2271)/(1-1/(1+$I2271))</f>
        <v>8.905495356010944</v>
      </c>
      <c r="AN2271" s="3" t="str">
        <f>INDEX(SDBase,MATCH("NewInvOil",SDParam,0))</f>
        <v>If Present*</v>
      </c>
      <c r="AO2271" s="3">
        <f>INDEX(SDBase,MATCH("NewInvOilYear",SDParam,0))</f>
        <v>2022.0</v>
      </c>
      <c r="AP2271" s="3" t="n">
        <v>23.525</v>
      </c>
      <c r="AQ2271" s="3" t="n">
        <v>0.07757334375</v>
      </c>
      <c r="AR2271" s="3" t="n">
        <v>0.134</v>
      </c>
      <c r="AS2271" s="3" t="n">
        <v>1329.6</v>
      </c>
      <c r="AT2271" s="3">
        <f>IFERROR($T2271/$AS2271,0)</f>
        <v>1.571238216557566</v>
      </c>
      <c r="AU2271" s="3">
        <f>PsCFMinOth</f>
        <v>0.01</v>
      </c>
    </row>
    <row r="2272">
      <c r="A2272" s="3" t="str">
        <f>CtryCode&amp;"|"&amp;$C2272</f>
        <v>EGY|nuc</v>
      </c>
      <c r="B2272" s="3" t="str">
        <f>CtryCode</f>
        <v>EGY</v>
      </c>
      <c r="C2272" s="3" t="inlineStr">
        <is>
          <t>nuc</t>
        </is>
      </c>
      <c r="D2272" s="3" t="inlineStr">
        <is>
          <t>Nuclear</t>
        </is>
      </c>
      <c r="E2272" s="3" t="n">
        <v>4000</v>
      </c>
      <c r="F2272" s="3" t="n">
        <v>50</v>
      </c>
      <c r="G2272" s="3">
        <f>IFERROR(IF($AH2272/($AI2272*KtoeGWh)&lt;PsMinTE,$AJ2272,$AH2272/($AI2272*KtoeGWh)),$AJ2272)</f>
        <v>0.38</v>
      </c>
      <c r="H2272" s="3">
        <f>IF(AND($AT2272&gt;$AU2272,$AT2272&lt;PsCFMax),$AT2272,$AR2272)</f>
        <v>0.934</v>
      </c>
      <c r="I2272" s="3">
        <f>IF(PsWaccCty,PsCtryWacc+PsCoalAdj,IF(PsWaccSrc="Tech",PsCtryWacc+$AL2272,$AK2272))</f>
        <v>0.12672642998297448</v>
      </c>
      <c r="J2272" s="3" t="n">
        <v>532.133695004996</v>
      </c>
      <c r="K2272" s="3" t="n">
        <v>449.4263412886648</v>
      </c>
      <c r="L2272" s="3">
        <f>$AP2272/(HoursYr*$H2272)</f>
        <v>0.018333284444574813</v>
      </c>
      <c r="M2272" s="3" t="n">
        <v>0.004</v>
      </c>
      <c r="N2272" s="3">
        <f>UraniumFuel</f>
        <v>0.004</v>
      </c>
      <c r="O2272" s="3" t="n">
        <v>0</v>
      </c>
      <c r="P2272" s="8" t="n"/>
      <c r="Q2272" s="8" t="n">
        <v>0</v>
      </c>
      <c r="R2272" s="8" t="n">
        <v>0</v>
      </c>
      <c r="S2272" s="3">
        <f>$T2272/$H2272</f>
        <v>0.0</v>
      </c>
      <c r="T2272" s="3">
        <f>$AH2272*Thousand/HoursYr</f>
        <v>0.0</v>
      </c>
      <c r="U2272" s="3">
        <f>IF(AND($C2272="hyd",PsHydNoRet="Yes"),0,1/$F2272)</f>
        <v>0.02</v>
      </c>
      <c r="V2272" s="3" t="str">
        <f>IF($AN2272="If Present*",IF($S2272/SUM($S$2269:$S$2277)&gt;InvPresentShare,"Yes","No"),$AN2272)</f>
        <v>No</v>
      </c>
      <c r="W2272" s="3">
        <f>IF(AND($C2272="hyd",$T2272/SUM($T$2269:$T$2277)&gt;HydInvShare),BaseYr,$AO2272)</f>
        <v>2030.0</v>
      </c>
      <c r="X2272" s="3">
        <f>PsScNonNuc</f>
        <v>0.02</v>
      </c>
      <c r="Y2272" s="8" t="inlineStr">
        <is>
          <t>fixed</t>
        </is>
      </c>
      <c r="Z2272" s="3" t="inlineStr">
        <is>
          <t>No</t>
        </is>
      </c>
      <c r="AA2272" s="3" t="inlineStr">
        <is>
          <t>legacy Power, CoC, Balances; Mitigation rows 2977-4130</t>
        </is>
      </c>
      <c r="AB2272" s="8" t="inlineStr">
        <is>
          <t>nuc</t>
        </is>
      </c>
      <c r="AC2272" s="8" t="inlineStr">
        <is>
          <t>C</t>
        </is>
      </c>
      <c r="AD2272" s="3" t="n">
        <v>7</v>
      </c>
      <c r="AE2272" s="3" t="n">
        <v>7</v>
      </c>
      <c r="AF2272" s="3" t="n">
        <v>325</v>
      </c>
      <c r="AG2272" s="8" t="inlineStr">
        <is>
          <t>|nuc|</t>
        </is>
      </c>
      <c r="AH2272" s="3" t="n">
        <v>0</v>
      </c>
      <c r="AI2272" s="3" t="n">
        <v>-0</v>
      </c>
      <c r="AJ2272" s="3" t="n">
        <v>0.38</v>
      </c>
      <c r="AK2272" s="3">
        <f>MAX(IF(PsWaccSrc="User",PsWaccUser,IF(LEFT(PsWaccSrc,6)="Income",PsIncWacc,$AQ2272)),PsWaccMin)</f>
        <v>0.0739689825</v>
      </c>
      <c r="AL2272" s="3" t="n">
        <v>0.02725</v>
      </c>
      <c r="AM2272" s="3">
        <f>(1-(1/(1+$I2272))^$F2272)/(1-1/(1+$I2272))</f>
        <v>8.868208889851518</v>
      </c>
      <c r="AN2272" s="3" t="str">
        <f>INDEX(SDBase,MATCH("NewInvNuc",SDParam,0))</f>
        <v>If Present*</v>
      </c>
      <c r="AO2272" s="3">
        <f>INDEX(SDBase,MATCH("NewInvNucYear",SDParam,0))</f>
        <v>2030.0</v>
      </c>
      <c r="AP2272" s="3" t="n">
        <v>150</v>
      </c>
      <c r="AQ2272" s="3" t="n">
        <v>0.0739689825</v>
      </c>
      <c r="AR2272" s="3" t="n">
        <v>0.9340000000000001</v>
      </c>
      <c r="AS2272" s="3" t="n">
        <v>0</v>
      </c>
      <c r="AT2272" s="3">
        <f>IFERROR($T2272/$AS2272,0)</f>
        <v>0.0</v>
      </c>
      <c r="AU2272" s="3">
        <f>PsCFMinOth</f>
        <v>0.01</v>
      </c>
    </row>
    <row r="2273">
      <c r="A2273" s="3" t="str">
        <f>CtryCode&amp;"|"&amp;$C2273</f>
        <v>EGY|wnd</v>
      </c>
      <c r="B2273" s="3" t="str">
        <f>CtryCode</f>
        <v>EGY</v>
      </c>
      <c r="C2273" s="3" t="inlineStr">
        <is>
          <t>wnd</t>
        </is>
      </c>
      <c r="D2273" s="3" t="inlineStr">
        <is>
          <t>Wind</t>
        </is>
      </c>
      <c r="E2273" s="3" t="n">
        <v>1300</v>
      </c>
      <c r="F2273" s="3" t="n">
        <v>30</v>
      </c>
      <c r="G2273" s="3">
        <f>IFERROR(IF($AH2273/($AI2273*KtoeGWh)&lt;PsMinTE,$AJ2273,$AH2273/($AI2273*KtoeGWh)),$AJ2273)</f>
        <v>1.0000000423369169</v>
      </c>
      <c r="H2273" s="3">
        <f>IF(AND($AT2273&gt;$AU2273,$AT2273&lt;PsCFMax),$AT2273,$AR2273)</f>
        <v>0.4056460020306391</v>
      </c>
      <c r="I2273" s="3">
        <f>IF(PsWaccCty,PsCtryWacc+PsCoalAdj,IF(PsWaccSrc="Tech",PsCtryWacc+$AL2273,$AK2273))</f>
        <v>0.1288264299829745</v>
      </c>
      <c r="J2273" s="3" t="n">
        <v>39</v>
      </c>
      <c r="K2273" s="3" t="n">
        <v>405.4686074780961</v>
      </c>
      <c r="L2273" s="3">
        <f>$AP2273/(HoursYr*$H2273)</f>
        <v>0.011256637617045236</v>
      </c>
      <c r="M2273" s="3" t="n">
        <v>0</v>
      </c>
      <c r="N2273" s="3" t="n">
        <v>0</v>
      </c>
      <c r="O2273" s="3" t="n">
        <v>0</v>
      </c>
      <c r="P2273" s="8" t="n"/>
      <c r="Q2273" s="8" t="n">
        <v>1</v>
      </c>
      <c r="R2273" s="8" t="n">
        <v>1</v>
      </c>
      <c r="S2273" s="3">
        <f>$T2273/$H2273</f>
        <v>1642.5</v>
      </c>
      <c r="T2273" s="3">
        <f>$AH2273*Thousand/HoursYr</f>
        <v>666.2735583353248</v>
      </c>
      <c r="U2273" s="3">
        <f>IF(AND($C2273="hyd",PsHydNoRet="Yes"),0,1/$F2273)</f>
        <v>0.03333333333333333</v>
      </c>
      <c r="V2273" s="3" t="str">
        <f>IF($AN2273="If Present*",IF($S2273/SUM($S$2269:$S$2277)&gt;InvPresentShare,"Yes","No"),$AN2273)</f>
        <v>Yes</v>
      </c>
      <c r="W2273" s="3">
        <f>IF(AND($C2273="hyd",$T2273/SUM($T$2269:$T$2277)&gt;HydInvShare),BaseYr,$AO2273)</f>
        <v>2022.0</v>
      </c>
      <c r="X2273" s="3">
        <f>PsScVRE</f>
        <v>0.02</v>
      </c>
      <c r="Y2273" s="8" t="inlineStr">
        <is>
          <t>fixed</t>
        </is>
      </c>
      <c r="Z2273" s="3" t="inlineStr">
        <is>
          <t>No</t>
        </is>
      </c>
      <c r="AA2273" s="3" t="inlineStr">
        <is>
          <t>legacy Power, CoC, Balances; Mitigation rows 2977-4130</t>
        </is>
      </c>
      <c r="AB2273" s="8" t="inlineStr">
        <is>
          <t>wnd</t>
        </is>
      </c>
      <c r="AC2273" s="8" t="inlineStr">
        <is>
          <t>C</t>
        </is>
      </c>
      <c r="AD2273" s="3" t="n">
        <v>9</v>
      </c>
      <c r="AE2273" s="3" t="n">
        <v>9</v>
      </c>
      <c r="AF2273" s="3" t="n">
        <v>326</v>
      </c>
      <c r="AG2273" s="8" t="inlineStr">
        <is>
          <t>|wnd|</t>
        </is>
      </c>
      <c r="AH2273" s="3" t="n">
        <v>5836.556371017445</v>
      </c>
      <c r="AI2273" s="3" t="n">
        <v>501.8534930280011</v>
      </c>
      <c r="AJ2273" s="3" t="n">
        <v>1</v>
      </c>
      <c r="AK2273" s="3">
        <f>MAX(IF(PsWaccSrc="User",PsWaccUser,IF(LEFT(PsWaccSrc,6)="Income",PsIncWacc,$AQ2273)),PsWaccMin)</f>
        <v>0.06877236938775512</v>
      </c>
      <c r="AL2273" s="3" t="n">
        <v>0.02935</v>
      </c>
      <c r="AM2273" s="3">
        <f>(1-(1/(1+$I2273))^$F2273)/(1-1/(1+$I2273))</f>
        <v>8.531278484005323</v>
      </c>
      <c r="AN2273" s="3" t="str">
        <f>INDEX(SDBase,MATCH("NewInvWnd",SDParam,0))</f>
        <v>Yes</v>
      </c>
      <c r="AO2273" s="3">
        <f>INDEX(SDBase,MATCH("NewInvWndYear",SDParam,0))</f>
        <v>2022.0</v>
      </c>
      <c r="AP2273" s="3" t="n">
        <v>40</v>
      </c>
      <c r="AQ2273" s="3" t="n">
        <v>0.06877236938775512</v>
      </c>
      <c r="AR2273" s="3" t="n">
        <v>0.3</v>
      </c>
      <c r="AS2273" s="3" t="n">
        <v>1642.5</v>
      </c>
      <c r="AT2273" s="3">
        <f>IFERROR($T2273/$AS2273,0)</f>
        <v>0.4056460020306391</v>
      </c>
      <c r="AU2273" s="3">
        <f>PsCFMinVRE</f>
        <v>0.1</v>
      </c>
    </row>
    <row r="2274">
      <c r="A2274" s="3" t="str">
        <f>CtryCode&amp;"|"&amp;$C2274</f>
        <v>EGY|sol</v>
      </c>
      <c r="B2274" s="3" t="str">
        <f>CtryCode</f>
        <v>EGY</v>
      </c>
      <c r="C2274" s="3" t="inlineStr">
        <is>
          <t>sol</t>
        </is>
      </c>
      <c r="D2274" s="3" t="inlineStr">
        <is>
          <t>Solar</t>
        </is>
      </c>
      <c r="E2274" s="3" t="n">
        <v>1222.683</v>
      </c>
      <c r="F2274" s="3" t="n">
        <v>25</v>
      </c>
      <c r="G2274" s="3">
        <f>IFERROR(IF($AH2274/($AI2274*KtoeGWh)&lt;PsMinTE,$AJ2274,$AH2274/($AI2274*KtoeGWh)),$AJ2274)</f>
        <v>0.9999999920287291</v>
      </c>
      <c r="H2274" s="3">
        <f>IF(AND($AT2274&gt;$AU2274,$AT2274&lt;PsCFMax),$AT2274,$AR2274)</f>
        <v>0.32191722791606203</v>
      </c>
      <c r="I2274" s="3">
        <f>IF(PsWaccCty,PsCtryWacc+PsCoalAdj,IF(PsWaccSrc="Tech",PsCtryWacc+$AL2274,$AK2274))</f>
        <v>0.1288264299829745</v>
      </c>
      <c r="J2274" s="3" t="n">
        <v>73.36098</v>
      </c>
      <c r="K2274" s="3" t="n">
        <v>335.3345084882609</v>
      </c>
      <c r="L2274" s="3">
        <f>$AP2274/(HoursYr*$H2274)</f>
        <v>0.004195397633729192</v>
      </c>
      <c r="M2274" s="3" t="n">
        <v>0</v>
      </c>
      <c r="N2274" s="3" t="n">
        <v>0</v>
      </c>
      <c r="O2274" s="3" t="n">
        <v>0</v>
      </c>
      <c r="P2274" s="8" t="n"/>
      <c r="Q2274" s="8" t="n">
        <v>1</v>
      </c>
      <c r="R2274" s="8" t="n">
        <v>1</v>
      </c>
      <c r="S2274" s="3">
        <f>$T2274/$H2274</f>
        <v>1724.0</v>
      </c>
      <c r="T2274" s="3">
        <f>$AH2274*Thousand/HoursYr</f>
        <v>554.985300927291</v>
      </c>
      <c r="U2274" s="3">
        <f>IF(AND($C2274="hyd",PsHydNoRet="Yes"),0,1/$F2274)</f>
        <v>0.04</v>
      </c>
      <c r="V2274" s="3" t="str">
        <f>IF($AN2274="If Present*",IF($S2274/SUM($S$2269:$S$2277)&gt;InvPresentShare,"Yes","No"),$AN2274)</f>
        <v>Yes</v>
      </c>
      <c r="W2274" s="3">
        <f>IF(AND($C2274="hyd",$T2274/SUM($T$2269:$T$2277)&gt;HydInvShare),BaseYr,$AO2274)</f>
        <v>2022.0</v>
      </c>
      <c r="X2274" s="3">
        <f>PsScVRE</f>
        <v>0.02</v>
      </c>
      <c r="Y2274" s="8" t="inlineStr">
        <is>
          <t>fixed</t>
        </is>
      </c>
      <c r="Z2274" s="3" t="inlineStr">
        <is>
          <t>No</t>
        </is>
      </c>
      <c r="AA2274" s="3" t="inlineStr">
        <is>
          <t>legacy Power, CoC, Balances; Mitigation rows 2977-4130</t>
        </is>
      </c>
      <c r="AB2274" s="8" t="inlineStr">
        <is>
          <t>sol</t>
        </is>
      </c>
      <c r="AC2274" s="8" t="inlineStr">
        <is>
          <t>C</t>
        </is>
      </c>
      <c r="AD2274" s="3" t="n">
        <v>10</v>
      </c>
      <c r="AE2274" s="3" t="n">
        <v>206</v>
      </c>
      <c r="AF2274" s="3" t="n">
        <v>327</v>
      </c>
      <c r="AG2274" s="8" t="inlineStr">
        <is>
          <t>|sol|</t>
        </is>
      </c>
      <c r="AH2274" s="3" t="n">
        <v>4861.671236123069</v>
      </c>
      <c r="AI2274" s="3" t="n">
        <v>418.0284845121898</v>
      </c>
      <c r="AJ2274" s="3" t="n">
        <v>1</v>
      </c>
      <c r="AK2274" s="3">
        <f>MAX(IF(PsWaccSrc="User",PsWaccUser,IF(LEFT(PsWaccSrc,6)="Income",PsIncWacc,$AQ2274)),PsWaccMin)</f>
        <v>0.13</v>
      </c>
      <c r="AL2274" s="3" t="n">
        <v>0.02935</v>
      </c>
      <c r="AM2274" s="3">
        <f>(1-(1/(1+$I2274))^$F2274)/(1-1/(1+$I2274))</f>
        <v>8.338794967466205</v>
      </c>
      <c r="AN2274" s="3" t="str">
        <f>INDEX(SDBase,MATCH("NewInvSol",SDParam,0))</f>
        <v>Yes</v>
      </c>
      <c r="AO2274" s="3">
        <f>INDEX(SDBase,MATCH("NewInvSolYear",SDParam,0))</f>
        <v>2022.0</v>
      </c>
      <c r="AP2274" s="3" t="n">
        <v>11.831</v>
      </c>
      <c r="AQ2274" s="3" t="n">
        <v>0.13</v>
      </c>
      <c r="AR2274" s="3" t="n">
        <v>0.18</v>
      </c>
      <c r="AS2274" s="3" t="n">
        <v>1724</v>
      </c>
      <c r="AT2274" s="3">
        <f>IFERROR($T2274/$AS2274,0)</f>
        <v>0.32191722791606203</v>
      </c>
      <c r="AU2274" s="3">
        <f>PsCFMinVRE</f>
        <v>0.1</v>
      </c>
    </row>
    <row r="2275">
      <c r="A2275" s="3" t="str">
        <f>CtryCode&amp;"|"&amp;$C2275</f>
        <v>EGY|hyd</v>
      </c>
      <c r="B2275" s="3" t="str">
        <f>CtryCode</f>
        <v>EGY</v>
      </c>
      <c r="C2275" s="3" t="inlineStr">
        <is>
          <t>hyd</t>
        </is>
      </c>
      <c r="D2275" s="3" t="inlineStr">
        <is>
          <t>Hydro</t>
        </is>
      </c>
      <c r="E2275" s="3" t="n">
        <v>3300</v>
      </c>
      <c r="F2275" s="3" t="n">
        <v>50</v>
      </c>
      <c r="G2275" s="3">
        <f>IFERROR(IF($AH2275/($AI2275*KtoeGWh)&lt;PsMinTE,$AJ2275,$AH2275/($AI2275*KtoeGWh)),$AJ2275)</f>
        <v>1.000000016455005</v>
      </c>
      <c r="H2275" s="3">
        <f>IF(AND($AT2275&gt;$AU2275,$AT2275&lt;PsCFMax),$AT2275,$AR2275)</f>
        <v>0.6063319970302096</v>
      </c>
      <c r="I2275" s="3">
        <f>IF(PsWaccCty,PsCtryWacc+PsCoalAdj,IF(PsWaccSrc="Tech",PsCtryWacc+$AL2275,$AK2275))</f>
        <v>0.12672642998297448</v>
      </c>
      <c r="J2275" s="3" t="n">
        <v>660</v>
      </c>
      <c r="K2275" s="3" t="n">
        <v>756.5284010682367</v>
      </c>
      <c r="L2275" s="3">
        <f>$AP2275/(HoursYr*$H2275)</f>
        <v>0.009413592858424136</v>
      </c>
      <c r="M2275" s="3" t="n">
        <v>0.001</v>
      </c>
      <c r="N2275" s="3" t="n">
        <v>0</v>
      </c>
      <c r="O2275" s="3" t="n">
        <v>0</v>
      </c>
      <c r="P2275" s="8" t="n"/>
      <c r="Q2275" s="8" t="n">
        <v>0</v>
      </c>
      <c r="R2275" s="8" t="n">
        <v>0</v>
      </c>
      <c r="S2275" s="3">
        <f>$T2275/$H2275</f>
        <v>2832.0000000000005</v>
      </c>
      <c r="T2275" s="3">
        <f>$AH2275*Thousand/HoursYr</f>
        <v>1717.1322155895537</v>
      </c>
      <c r="U2275" s="3">
        <f>IF(AND($C2275="hyd",PsHydNoRet="Yes"),0,1/$F2275)</f>
        <v>0.0</v>
      </c>
      <c r="V2275" s="3" t="str">
        <f>IF($AN2275="If Present*",IF($S2275/SUM($S$2269:$S$2277)&gt;InvPresentShare,"Yes","No"),$AN2275)</f>
        <v>Yes</v>
      </c>
      <c r="W2275" s="3">
        <f>IF(AND($C2275="hyd",$T2275/SUM($T$2269:$T$2277)&gt;HydInvShare),BaseYr,$AO2275)</f>
        <v>2030.0</v>
      </c>
      <c r="X2275" s="3">
        <f>PsScNonVRE</f>
        <v>0.05</v>
      </c>
      <c r="Y2275" s="8" t="inlineStr">
        <is>
          <t>fixed</t>
        </is>
      </c>
      <c r="Z2275" s="3" t="inlineStr">
        <is>
          <t>No</t>
        </is>
      </c>
      <c r="AA2275" s="3" t="inlineStr">
        <is>
          <t>legacy Power, CoC, Balances; Mitigation rows 2977-4130</t>
        </is>
      </c>
      <c r="AB2275" s="8" t="inlineStr">
        <is>
          <t>hyd</t>
        </is>
      </c>
      <c r="AC2275" s="8" t="inlineStr">
        <is>
          <t>C</t>
        </is>
      </c>
      <c r="AD2275" s="3" t="n">
        <v>8</v>
      </c>
      <c r="AE2275" s="3" t="n">
        <v>8</v>
      </c>
      <c r="AF2275" s="3" t="n">
        <v>328</v>
      </c>
      <c r="AG2275" s="8" t="inlineStr">
        <is>
          <t>|hyd|</t>
        </is>
      </c>
      <c r="AH2275" s="3" t="n">
        <v>15042.07820856449</v>
      </c>
      <c r="AI2275" s="3" t="n">
        <v>1293.38589518891</v>
      </c>
      <c r="AJ2275" s="3" t="n">
        <v>1</v>
      </c>
      <c r="AK2275" s="3">
        <f>MAX(IF(PsWaccSrc="User",PsWaccUser,IF(LEFT(PsWaccSrc,6)="Income",PsIncWacc,$AQ2275)),PsWaccMin)</f>
        <v>0.08294756944444442</v>
      </c>
      <c r="AL2275" s="3" t="n">
        <v>0.02725</v>
      </c>
      <c r="AM2275" s="3">
        <f>(1-(1/(1+$I2275))^$F2275)/(1-1/(1+$I2275))</f>
        <v>8.868208889851518</v>
      </c>
      <c r="AN2275" s="3" t="str">
        <f>INDEX(SDBase,MATCH("NewInvHyd",SDParam,0))</f>
        <v>If Present*</v>
      </c>
      <c r="AO2275" s="3">
        <f>INDEX(SDBase,MATCH("NewInvHydYear",SDParam,0))</f>
        <v>2030.0</v>
      </c>
      <c r="AP2275" s="3" t="n">
        <v>50</v>
      </c>
      <c r="AQ2275" s="3" t="n">
        <v>0.08294756944444442</v>
      </c>
      <c r="AR2275" s="3" t="n">
        <v>0.4322928214347324</v>
      </c>
      <c r="AS2275" s="3" t="n">
        <v>2832</v>
      </c>
      <c r="AT2275" s="3">
        <f>IFERROR($T2275/$AS2275,0)</f>
        <v>0.6063319970302096</v>
      </c>
      <c r="AU2275" s="3">
        <f>PsCFMinOth</f>
        <v>0.01</v>
      </c>
    </row>
    <row r="2276">
      <c r="A2276" s="3" t="str">
        <f>CtryCode&amp;"|"&amp;$C2276</f>
        <v>EGY|ore</v>
      </c>
      <c r="B2276" s="3" t="str">
        <f>CtryCode</f>
        <v>EGY</v>
      </c>
      <c r="C2276" s="3" t="inlineStr">
        <is>
          <t>ore</t>
        </is>
      </c>
      <c r="D2276" s="3" t="inlineStr">
        <is>
          <t>Other renewables</t>
        </is>
      </c>
      <c r="E2276" s="3" t="n">
        <v>3500</v>
      </c>
      <c r="F2276" s="3" t="n">
        <v>30</v>
      </c>
      <c r="G2276" s="3">
        <f>IFERROR(IF($AH2276/($AI2276*KtoeGWh)&lt;PsMinTE,$AJ2276,$AH2276/($AI2276*KtoeGWh)),$AJ2276)</f>
        <v>1.0</v>
      </c>
      <c r="H2276" s="3">
        <f>IF(AND($AT2276&gt;$AU2276,$AT2276&lt;PsCFMax),$AT2276,$AR2276)</f>
        <v>0.7512024818652816</v>
      </c>
      <c r="I2276" s="3">
        <f>IF(PsWaccCty,PsCtryWacc+PsCoalAdj,IF(PsWaccSrc="Tech",PsCtryWacc+$AL2276,$AK2276))</f>
        <v>0.14372642998297447</v>
      </c>
      <c r="J2276" s="3" t="n">
        <v>253.78872697528</v>
      </c>
      <c r="K2276" s="3" t="n">
        <v>347.6573621818364</v>
      </c>
      <c r="L2276" s="3">
        <f>$AP2276/(HoursYr*$H2276)</f>
        <v>0.015196335728031416</v>
      </c>
      <c r="M2276" s="3" t="n">
        <v>0</v>
      </c>
      <c r="N2276" s="3" t="n">
        <v>0</v>
      </c>
      <c r="O2276" s="3" t="n">
        <v>0</v>
      </c>
      <c r="P2276" s="8" t="n"/>
      <c r="Q2276" s="8" t="n">
        <v>1</v>
      </c>
      <c r="R2276" s="8" t="n">
        <v>1</v>
      </c>
      <c r="S2276" s="3">
        <f>$T2276/$H2276</f>
        <v>0.0</v>
      </c>
      <c r="T2276" s="3">
        <f>$AH2276*Thousand/HoursYr</f>
        <v>0.0</v>
      </c>
      <c r="U2276" s="3">
        <f>IF(AND($C2276="hyd",PsHydNoRet="Yes"),0,1/$F2276)</f>
        <v>0.03333333333333333</v>
      </c>
      <c r="V2276" s="3" t="str">
        <f>IF($AN2276="If Present*",IF($S2276/SUM($S$2269:$S$2277)&gt;InvPresentShare,"Yes","No"),$AN2276)</f>
        <v>No</v>
      </c>
      <c r="W2276" s="3">
        <f>IF(AND($C2276="hyd",$T2276/SUM($T$2269:$T$2277)&gt;HydInvShare),BaseYr,$AO2276)</f>
        <v>2030.0</v>
      </c>
      <c r="X2276" s="3">
        <f>PsScNonNuc</f>
        <v>0.02</v>
      </c>
      <c r="Y2276" s="8" t="inlineStr">
        <is>
          <t>fixed</t>
        </is>
      </c>
      <c r="Z2276" s="3" t="inlineStr">
        <is>
          <t>No</t>
        </is>
      </c>
      <c r="AA2276" s="3" t="inlineStr">
        <is>
          <t>legacy Power, CoC, Balances; Mitigation rows 2977-4130</t>
        </is>
      </c>
      <c r="AB2276" s="8" t="inlineStr">
        <is>
          <t>ore</t>
        </is>
      </c>
      <c r="AC2276" s="8" t="inlineStr">
        <is>
          <t>C</t>
        </is>
      </c>
      <c r="AD2276" s="3" t="n">
        <v>11</v>
      </c>
      <c r="AE2276" s="3" t="n">
        <v>11</v>
      </c>
      <c r="AF2276" s="3" t="n">
        <v>329</v>
      </c>
      <c r="AG2276" s="8" t="inlineStr">
        <is>
          <t>|ore|</t>
        </is>
      </c>
      <c r="AH2276" s="3" t="n">
        <v>0</v>
      </c>
      <c r="AI2276" s="3" t="n">
        <v>-0</v>
      </c>
      <c r="AJ2276" s="3" t="n">
        <v>1</v>
      </c>
      <c r="AK2276" s="3">
        <f>MAX(IF(PsWaccSrc="User",PsWaccUser,IF(LEFT(PsWaccSrc,6)="Income",PsIncWacc,$AQ2276)),PsWaccMin)</f>
        <v>0.09868924004999999</v>
      </c>
      <c r="AL2276" s="3" t="n">
        <v>0.04425</v>
      </c>
      <c r="AM2276" s="3">
        <f>(1-(1/(1+$I2276))^$F2276)/(1-1/(1+$I2276))</f>
        <v>7.816043789433907</v>
      </c>
      <c r="AN2276" s="3" t="str">
        <f>INDEX(SDBase,MATCH("NewInvOre",SDParam,0))</f>
        <v>If Present*</v>
      </c>
      <c r="AO2276" s="3">
        <f>INDEX(SDBase,MATCH("NewInvOreYear",SDParam,0))</f>
        <v>2030.0</v>
      </c>
      <c r="AP2276" s="3" t="n">
        <v>100</v>
      </c>
      <c r="AQ2276" s="3" t="n">
        <v>0.09868924004999999</v>
      </c>
      <c r="AR2276" s="3" t="n">
        <v>0.7512024818652816</v>
      </c>
      <c r="AS2276" s="3" t="n">
        <v>0</v>
      </c>
      <c r="AT2276" s="3">
        <f>IFERROR($T2276/$AS2276,0)</f>
        <v>0.0</v>
      </c>
      <c r="AU2276" s="3">
        <f>PsCFMinOth</f>
        <v>0.01</v>
      </c>
    </row>
    <row r="2277">
      <c r="A2277" s="3" t="str">
        <f>CtryCode&amp;"|"&amp;$C2277</f>
        <v>EGY|bio</v>
      </c>
      <c r="B2277" s="3" t="str">
        <f>CtryCode</f>
        <v>EGY</v>
      </c>
      <c r="C2277" s="3" t="inlineStr">
        <is>
          <t>bio</t>
        </is>
      </c>
      <c r="D2277" s="3" t="inlineStr">
        <is>
          <t>Biomass</t>
        </is>
      </c>
      <c r="E2277" s="3" t="n">
        <v>2000</v>
      </c>
      <c r="F2277" s="3" t="n">
        <v>30</v>
      </c>
      <c r="G2277" s="3">
        <f>IFERROR(IF($AH2277/($AI2277*KtoeGWh)&lt;PsMinTE,$AJ2277,$AH2277/($AI2277*KtoeGWh)),$AJ2277)</f>
        <v>0.2527459259259259</v>
      </c>
      <c r="H2277" s="3">
        <f>IF(AND($AT2277&gt;$AU2277,$AT2277&lt;PsCFMax),$AT2277,$AR2277)</f>
        <v>0.6857673941438077</v>
      </c>
      <c r="I2277" s="3">
        <f>IF(PsWaccCty,PsCtryWacc+PsCoalAdj,IF(PsWaccSrc="Tech",PsCtryWacc+$AL2277,$AK2277))</f>
        <v>0.13162642998297447</v>
      </c>
      <c r="J2277" s="3" t="n">
        <v>145.02212970016</v>
      </c>
      <c r="K2277" s="3" t="n">
        <v>267.624027358642</v>
      </c>
      <c r="L2277" s="3">
        <f>$AP2277/(HoursYr*$H2277)</f>
        <v>0.016646351534994937</v>
      </c>
      <c r="M2277" s="3" t="n">
        <v>0.003</v>
      </c>
      <c r="N2277" s="3" t="n">
        <v>0</v>
      </c>
      <c r="O2277" s="3" t="n">
        <v>0</v>
      </c>
      <c r="P2277" s="8" t="inlineStr">
        <is>
          <t>bio.all</t>
        </is>
      </c>
      <c r="Q2277" s="8" t="n">
        <v>0</v>
      </c>
      <c r="R2277" s="8" t="n">
        <v>0</v>
      </c>
      <c r="S2277" s="3">
        <f>$T2277/$H2277</f>
        <v>0.0</v>
      </c>
      <c r="T2277" s="3">
        <f>$AH2277*Thousand/HoursYr</f>
        <v>0.0</v>
      </c>
      <c r="U2277" s="3">
        <f>IF(AND($C2277="hyd",PsHydNoRet="Yes"),0,1/$F2277)</f>
        <v>0.03333333333333333</v>
      </c>
      <c r="V2277" s="3" t="str">
        <f>IF($AN2277="If Present*",IF($S2277/SUM($S$2269:$S$2277)&gt;InvPresentShare,"Yes","No"),$AN2277)</f>
        <v>No</v>
      </c>
      <c r="W2277" s="3">
        <f>IF(AND($C2277="hyd",$T2277/SUM($T$2269:$T$2277)&gt;HydInvShare),BaseYr,$AO2277)</f>
        <v>2022.0</v>
      </c>
      <c r="X2277" s="3">
        <f>PsScNonNuc</f>
        <v>0.02</v>
      </c>
      <c r="Y2277" s="8" t="inlineStr">
        <is>
          <t>fixed</t>
        </is>
      </c>
      <c r="Z2277" s="3" t="inlineStr">
        <is>
          <t>No</t>
        </is>
      </c>
      <c r="AA2277" s="3" t="inlineStr">
        <is>
          <t>legacy Power, CoC, Balances; Mitigation rows 2977-4130</t>
        </is>
      </c>
      <c r="AB2277" s="8" t="inlineStr">
        <is>
          <t>bio</t>
        </is>
      </c>
      <c r="AC2277" s="8" t="inlineStr">
        <is>
          <t>C</t>
        </is>
      </c>
      <c r="AD2277" s="3" t="n">
        <v>12</v>
      </c>
      <c r="AE2277" s="3" t="n">
        <v>12</v>
      </c>
      <c r="AF2277" s="3" t="n">
        <v>330</v>
      </c>
      <c r="AG2277" s="8" t="inlineStr">
        <is>
          <t>|bio|</t>
        </is>
      </c>
      <c r="AH2277" s="3" t="n">
        <v>0</v>
      </c>
      <c r="AI2277" s="3" t="n">
        <v>-0</v>
      </c>
      <c r="AJ2277" s="3" t="n">
        <v>0.2527459259259259</v>
      </c>
      <c r="AK2277" s="3">
        <f>MAX(IF(PsWaccSrc="User",PsWaccUser,IF(LEFT(PsWaccSrc,6)="Income",PsIncWacc,$AQ2277)),PsWaccMin)</f>
        <v>0.071058999375</v>
      </c>
      <c r="AL2277" s="3" t="n">
        <v>0.03215</v>
      </c>
      <c r="AM2277" s="3">
        <f>(1-(1/(1+$I2277))^$F2277)/(1-1/(1+$I2277))</f>
        <v>8.386750922167383</v>
      </c>
      <c r="AN2277" s="3" t="str">
        <f>INDEX(SDBase,MATCH("NewInvBio",SDParam,0))</f>
        <v>If Present*</v>
      </c>
      <c r="AO2277" s="3">
        <f>INDEX(SDBase,MATCH("NewInvBioYear",SDParam,0))</f>
        <v>2022.0</v>
      </c>
      <c r="AP2277" s="3" t="n">
        <v>100</v>
      </c>
      <c r="AQ2277" s="3" t="n">
        <v>0.071058999375</v>
      </c>
      <c r="AR2277" s="3" t="n">
        <v>0.6857673941438077</v>
      </c>
      <c r="AS2277" s="3" t="n">
        <v>123</v>
      </c>
      <c r="AT2277" s="3">
        <f>IFERROR($T2277/$AS2277,0)</f>
        <v>0.0</v>
      </c>
      <c r="AU2277" s="3">
        <f>PsCFMinOth</f>
        <v>0.01</v>
      </c>
    </row>
    <row r="2278"/>
    <row r="2279"/>
    <row r="2280"/>
    <row r="2281"/>
    <row r="2282">
      <c r="A2282" s="4" t="inlineStr">
        <is>
          <t>Power year paths of the country: capex time factors, storage costs, income factor, demand shock, planned retirement (data step; legacy rows 2433-3992; keys as the former tab PowerPaths)</t>
        </is>
      </c>
      <c r="B2282" s="5" t="n"/>
      <c r="C2282" s="5" t="n"/>
      <c r="D2282" s="5" t="n"/>
      <c r="E2282" s="5" t="n"/>
      <c r="F2282" s="5" t="n"/>
      <c r="G2282" s="5" t="n"/>
      <c r="H2282" s="5" t="n"/>
      <c r="I2282" s="5" t="n"/>
      <c r="J2282" s="5" t="n"/>
      <c r="K2282" s="5" t="n"/>
      <c r="L2282" s="5" t="n"/>
      <c r="M2282" s="5" t="n"/>
      <c r="N2282" s="5" t="n"/>
      <c r="O2282" s="5" t="n"/>
      <c r="P2282" s="5" t="n"/>
      <c r="Q2282" s="5" t="n"/>
      <c r="R2282" s="5" t="n"/>
      <c r="S2282" s="5" t="n"/>
      <c r="T2282" s="5" t="n"/>
      <c r="U2282" s="5" t="n"/>
      <c r="V2282" s="5" t="n"/>
      <c r="W2282" s="5" t="n"/>
      <c r="X2282" s="5" t="n"/>
      <c r="Y2282" s="5" t="n"/>
      <c r="Z2282" s="5" t="n"/>
      <c r="AA2282" s="5" t="n"/>
      <c r="AB2282" s="5" t="n"/>
      <c r="AC2282" s="5" t="n"/>
      <c r="AD2282" s="5" t="n"/>
      <c r="AE2282" s="5" t="n"/>
      <c r="AF2282" s="5" t="n"/>
      <c r="AG2282" s="5" t="n"/>
      <c r="AH2282" s="5" t="n"/>
      <c r="AI2282" s="5" t="n"/>
      <c r="AJ2282" s="5" t="n"/>
      <c r="AK2282" s="5" t="n"/>
      <c r="AL2282" s="5" t="n"/>
      <c r="AM2282" s="5" t="n"/>
      <c r="AN2282" s="5" t="n"/>
      <c r="AO2282" s="5" t="n"/>
      <c r="AP2282" s="5" t="n"/>
      <c r="AQ2282" s="5" t="n"/>
      <c r="AR2282" s="5" t="n"/>
      <c r="AS2282" s="5" t="n"/>
      <c r="AT2282" s="5" t="n"/>
      <c r="AU2282" s="5" t="n"/>
      <c r="AV2282" s="5" t="n"/>
      <c r="AW2282" s="5" t="n"/>
      <c r="AX2282" s="5" t="n"/>
      <c r="AY2282" s="5" t="n"/>
      <c r="AZ2282" s="5" t="n"/>
      <c r="BA2282" s="5" t="n"/>
      <c r="BB2282" s="5" t="n"/>
      <c r="BC2282" s="5" t="n"/>
      <c r="BD2282" s="5" t="n"/>
      <c r="BE2282" s="5" t="n"/>
      <c r="BF2282" s="5" t="n"/>
      <c r="BG2282" s="5" t="n"/>
      <c r="BH2282" s="5" t="n"/>
      <c r="BI2282" s="5" t="n"/>
      <c r="BJ2282" s="5" t="n"/>
      <c r="BK2282" s="5" t="n"/>
      <c r="BL2282" s="5" t="n"/>
      <c r="BM2282" s="5" t="n"/>
      <c r="BN2282" s="5" t="n"/>
      <c r="BO2282" s="5" t="n"/>
      <c r="BP2282" s="5" t="n"/>
      <c r="BQ2282" s="5" t="n"/>
      <c r="BR2282" s="5" t="n"/>
      <c r="BS2282" s="5" t="n"/>
      <c r="BT2282" s="5" t="n"/>
      <c r="BU2282" s="5" t="n"/>
      <c r="BV2282" s="5" t="n"/>
      <c r="BW2282" s="5" t="n"/>
      <c r="BX2282" s="5" t="n"/>
      <c r="BY2282" s="5" t="n"/>
      <c r="BZ2282" s="5" t="n"/>
      <c r="CA2282" s="5" t="n"/>
      <c r="CB2282" s="5" t="n"/>
      <c r="CC2282" s="5" t="n"/>
      <c r="CD2282" s="5" t="n"/>
      <c r="CE2282" s="5" t="n"/>
      <c r="CF2282" s="5" t="n"/>
      <c r="CG2282" s="5" t="n"/>
      <c r="CH2282" s="5" t="n"/>
      <c r="CI2282" s="5" t="n"/>
      <c r="CJ2282" s="5" t="n"/>
      <c r="CK2282" s="5" t="n"/>
      <c r="CL2282" s="5" t="n"/>
      <c r="CM2282" s="5" t="n"/>
      <c r="CN2282" s="5" t="n"/>
      <c r="CO2282" s="5" t="n"/>
      <c r="CP2282" s="5" t="n"/>
      <c r="CQ2282" s="5" t="n"/>
      <c r="CR2282" s="5" t="n"/>
      <c r="CS2282" s="5" t="n"/>
      <c r="CT2282" s="5" t="n"/>
      <c r="CU2282" s="5" t="n"/>
      <c r="CV2282" s="5" t="n"/>
      <c r="CW2282" s="5" t="n"/>
      <c r="CX2282" s="5" t="n"/>
      <c r="CY2282" s="5" t="n"/>
      <c r="CZ2282" s="5" t="n"/>
      <c r="DA2282" s="5" t="n"/>
      <c r="DB2282" s="5" t="n"/>
      <c r="DC2282" s="5" t="n"/>
      <c r="DD2282" s="5" t="n"/>
      <c r="DE2282" s="5" t="n"/>
      <c r="DF2282" s="5" t="n"/>
      <c r="DG2282" s="5" t="n"/>
      <c r="DH2282" s="5" t="n"/>
      <c r="DI2282" s="5" t="n"/>
      <c r="DJ2282" s="5" t="n"/>
      <c r="DK2282" s="5" t="n"/>
      <c r="DL2282" s="5" t="n"/>
      <c r="DM2282" s="5" t="n"/>
      <c r="DN2282" s="5" t="n"/>
      <c r="DO2282" s="5" t="n"/>
      <c r="DP2282" s="5" t="n"/>
      <c r="DQ2282" s="5" t="n"/>
      <c r="DR2282" s="5" t="n"/>
      <c r="DS2282" s="5" t="n"/>
      <c r="DT2282" s="5" t="n"/>
      <c r="DU2282" s="5" t="n"/>
      <c r="DV2282" s="5" t="n"/>
      <c r="DW2282" s="5" t="n"/>
      <c r="DX2282" s="5" t="n"/>
      <c r="DY2282" s="5" t="n"/>
      <c r="DZ2282" s="5" t="n"/>
      <c r="EA2282" s="5" t="n"/>
      <c r="EB2282" s="5" t="n"/>
      <c r="EC2282" s="5" t="n"/>
      <c r="ED2282" s="5" t="n"/>
      <c r="EE2282" s="5" t="n"/>
      <c r="EF2282" s="5" t="n"/>
      <c r="EG2282" s="5" t="n"/>
      <c r="EH2282" s="5" t="n"/>
      <c r="EI2282" s="5" t="n"/>
      <c r="EJ2282" s="5" t="n"/>
      <c r="EK2282" s="5" t="n"/>
      <c r="EL2282" s="5" t="n"/>
      <c r="EM2282" s="5" t="n"/>
      <c r="EN2282" s="5" t="n"/>
      <c r="EO2282" s="5" t="n"/>
      <c r="EP2282" s="5" t="n"/>
      <c r="EQ2282" s="5" t="n"/>
      <c r="ER2282" s="5" t="n"/>
      <c r="ES2282" s="5" t="n"/>
      <c r="ET2282" s="5" t="n"/>
      <c r="EU2282" s="5" t="n"/>
      <c r="EV2282" s="5" t="n"/>
      <c r="EW2282" s="5" t="n"/>
      <c r="EX2282" s="5" t="n"/>
      <c r="EY2282" s="5" t="n"/>
      <c r="EZ2282" s="5" t="n"/>
      <c r="FA2282" s="5" t="n"/>
      <c r="FB2282" s="5" t="n"/>
      <c r="FC2282" s="5" t="n"/>
      <c r="FD2282" s="5" t="n"/>
      <c r="FE2282" s="5" t="n"/>
      <c r="FF2282" s="5" t="n"/>
      <c r="FG2282" s="5" t="n"/>
      <c r="FH2282" s="5" t="n"/>
      <c r="FI2282" s="5" t="n"/>
      <c r="FJ2282" s="5" t="n"/>
      <c r="FK2282" s="5" t="n"/>
      <c r="FL2282" s="5" t="n"/>
      <c r="FM2282" s="5" t="n"/>
      <c r="FN2282" s="5" t="n"/>
      <c r="FO2282" s="5" t="n"/>
    </row>
    <row r="2283">
      <c r="A2283" s="3" t="inlineStr">
        <is>
          <t>Capex time factors: Power rows 303-330 (world, scenario of RenewableCostDeclineRate for the renewables); storage: Power rows 1899-1911 (years of row 1883, approximate match as legacy); income factor: polynomial in ln GDP per capita (WEO, legacy row 2432); shock: GHGs rows 1202-1388.</t>
        </is>
      </c>
    </row>
    <row r="2284">
      <c r="A2284" s="7" t="inlineStr">
        <is>
          <t>key</t>
        </is>
      </c>
      <c r="B2284" s="7" t="inlineStr">
        <is>
          <t>country</t>
        </is>
      </c>
      <c r="C2284" s="7" t="inlineStr">
        <is>
          <t>item</t>
        </is>
      </c>
      <c r="D2284" s="7" t="inlineStr">
        <is>
          <t>unit</t>
        </is>
      </c>
      <c r="E2284" s="7" t="inlineStr">
        <is>
          <t>description</t>
        </is>
      </c>
      <c r="F2284" s="7" t="inlineStr">
        <is>
          <t>helper (legacy row)</t>
        </is>
      </c>
      <c r="G2284" s="156" t="n">
        <v>2022</v>
      </c>
      <c r="H2284" s="156" t="n">
        <v>2023</v>
      </c>
      <c r="I2284" s="156" t="n">
        <v>2024</v>
      </c>
      <c r="J2284" s="156" t="n">
        <v>2025</v>
      </c>
      <c r="K2284" s="156" t="n">
        <v>2026</v>
      </c>
      <c r="L2284" s="156" t="n">
        <v>2027</v>
      </c>
      <c r="M2284" s="156" t="n">
        <v>2028</v>
      </c>
      <c r="N2284" s="156" t="n">
        <v>2029</v>
      </c>
      <c r="O2284" s="156" t="n">
        <v>2030</v>
      </c>
      <c r="P2284" s="156" t="n">
        <v>2031</v>
      </c>
      <c r="Q2284" s="156" t="n">
        <v>2032</v>
      </c>
      <c r="R2284" s="156" t="n">
        <v>2033</v>
      </c>
      <c r="S2284" s="156" t="n">
        <v>2034</v>
      </c>
      <c r="T2284" s="156" t="n">
        <v>2035</v>
      </c>
      <c r="U2284" s="156" t="n">
        <v>2036</v>
      </c>
      <c r="V2284" s="156" t="n">
        <v>2037</v>
      </c>
      <c r="W2284" s="156" t="n">
        <v>2038</v>
      </c>
      <c r="X2284" s="156" t="n">
        <v>2039</v>
      </c>
      <c r="Y2284" s="156" t="n">
        <v>2040</v>
      </c>
      <c r="Z2284" s="156" t="n">
        <v>2041</v>
      </c>
    </row>
    <row r="2285">
      <c r="A2285" s="3" t="str">
        <f>CtryCode&amp;"|"&amp;$C2285</f>
        <v>EGY|tcf|coa</v>
      </c>
      <c r="B2285" s="3" t="str">
        <f>CtryCode</f>
        <v>EGY</v>
      </c>
      <c r="C2285" s="3" t="inlineStr">
        <is>
          <t>tcf|coa</t>
        </is>
      </c>
      <c r="D2285" s="3" t="inlineStr">
        <is>
          <t>factor</t>
        </is>
      </c>
      <c r="E2285" s="3" t="inlineStr">
        <is>
          <t>capex time factor (A7)</t>
        </is>
      </c>
      <c r="F2285" s="39" t="n">
        <v>283</v>
      </c>
      <c r="G2285" s="197" t="n">
        <v>1</v>
      </c>
      <c r="H2285" s="197" t="n">
        <v>1</v>
      </c>
      <c r="I2285" s="197" t="n">
        <v>1</v>
      </c>
      <c r="J2285" s="197" t="n">
        <v>1</v>
      </c>
      <c r="K2285" s="197" t="n">
        <v>1</v>
      </c>
      <c r="L2285" s="197" t="n">
        <v>1</v>
      </c>
      <c r="M2285" s="197" t="n">
        <v>1</v>
      </c>
      <c r="N2285" s="197" t="n">
        <v>1</v>
      </c>
      <c r="O2285" s="197" t="n">
        <v>1</v>
      </c>
      <c r="P2285" s="197" t="n">
        <v>1</v>
      </c>
      <c r="Q2285" s="197" t="n">
        <v>1</v>
      </c>
      <c r="R2285" s="197" t="n">
        <v>1</v>
      </c>
      <c r="S2285" s="197" t="n">
        <v>1</v>
      </c>
      <c r="T2285" s="197" t="n">
        <v>1</v>
      </c>
      <c r="U2285" s="197" t="n">
        <v>1</v>
      </c>
      <c r="V2285" s="197" t="n">
        <v>1</v>
      </c>
      <c r="W2285" s="197" t="n">
        <v>1</v>
      </c>
      <c r="X2285" s="197" t="n">
        <v>1</v>
      </c>
      <c r="Y2285" s="197" t="n">
        <v>1</v>
      </c>
      <c r="Z2285" s="197" t="n">
        <v>1</v>
      </c>
    </row>
    <row r="2286">
      <c r="A2286" s="3" t="str">
        <f>CtryCode&amp;"|"&amp;$C2286</f>
        <v>EGY|tcf|nga</v>
      </c>
      <c r="B2286" s="3" t="str">
        <f>CtryCode</f>
        <v>EGY</v>
      </c>
      <c r="C2286" s="3" t="inlineStr">
        <is>
          <t>tcf|nga</t>
        </is>
      </c>
      <c r="D2286" s="3" t="inlineStr">
        <is>
          <t>factor</t>
        </is>
      </c>
      <c r="E2286" s="3" t="inlineStr">
        <is>
          <t>capex time factor (A7)</t>
        </is>
      </c>
      <c r="F2286" s="39" t="n">
        <v>288</v>
      </c>
      <c r="G2286" s="197" t="n">
        <v>1</v>
      </c>
      <c r="H2286" s="197" t="n">
        <v>1</v>
      </c>
      <c r="I2286" s="197" t="n">
        <v>1</v>
      </c>
      <c r="J2286" s="197" t="n">
        <v>1</v>
      </c>
      <c r="K2286" s="197" t="n">
        <v>1</v>
      </c>
      <c r="L2286" s="197" t="n">
        <v>1</v>
      </c>
      <c r="M2286" s="197" t="n">
        <v>1</v>
      </c>
      <c r="N2286" s="197" t="n">
        <v>1</v>
      </c>
      <c r="O2286" s="197" t="n">
        <v>1</v>
      </c>
      <c r="P2286" s="197" t="n">
        <v>1</v>
      </c>
      <c r="Q2286" s="197" t="n">
        <v>1</v>
      </c>
      <c r="R2286" s="197" t="n">
        <v>1</v>
      </c>
      <c r="S2286" s="197" t="n">
        <v>1</v>
      </c>
      <c r="T2286" s="197" t="n">
        <v>1</v>
      </c>
      <c r="U2286" s="197" t="n">
        <v>1</v>
      </c>
      <c r="V2286" s="197" t="n">
        <v>1</v>
      </c>
      <c r="W2286" s="197" t="n">
        <v>1</v>
      </c>
      <c r="X2286" s="197" t="n">
        <v>1</v>
      </c>
      <c r="Y2286" s="197" t="n">
        <v>1</v>
      </c>
      <c r="Z2286" s="197" t="n">
        <v>1</v>
      </c>
    </row>
    <row r="2287">
      <c r="A2287" s="3" t="str">
        <f>CtryCode&amp;"|"&amp;$C2287</f>
        <v>EGY|tcf|oop</v>
      </c>
      <c r="B2287" s="3" t="str">
        <f>CtryCode</f>
        <v>EGY</v>
      </c>
      <c r="C2287" s="3" t="inlineStr">
        <is>
          <t>tcf|oop</t>
        </is>
      </c>
      <c r="D2287" s="3" t="inlineStr">
        <is>
          <t>factor</t>
        </is>
      </c>
      <c r="E2287" s="3" t="inlineStr">
        <is>
          <t>capex time factor (A7)</t>
        </is>
      </c>
      <c r="F2287" s="39" t="n">
        <v>290</v>
      </c>
      <c r="G2287" s="197" t="n">
        <v>1</v>
      </c>
      <c r="H2287" s="197" t="n">
        <v>1</v>
      </c>
      <c r="I2287" s="197" t="n">
        <v>1</v>
      </c>
      <c r="J2287" s="197" t="n">
        <v>1</v>
      </c>
      <c r="K2287" s="197" t="n">
        <v>1</v>
      </c>
      <c r="L2287" s="197" t="n">
        <v>1</v>
      </c>
      <c r="M2287" s="197" t="n">
        <v>1</v>
      </c>
      <c r="N2287" s="197" t="n">
        <v>1</v>
      </c>
      <c r="O2287" s="197" t="n">
        <v>1</v>
      </c>
      <c r="P2287" s="197" t="n">
        <v>1</v>
      </c>
      <c r="Q2287" s="197" t="n">
        <v>1</v>
      </c>
      <c r="R2287" s="197" t="n">
        <v>1</v>
      </c>
      <c r="S2287" s="197" t="n">
        <v>1</v>
      </c>
      <c r="T2287" s="197" t="n">
        <v>1</v>
      </c>
      <c r="U2287" s="197" t="n">
        <v>1</v>
      </c>
      <c r="V2287" s="197" t="n">
        <v>1</v>
      </c>
      <c r="W2287" s="197" t="n">
        <v>1</v>
      </c>
      <c r="X2287" s="197" t="n">
        <v>1</v>
      </c>
      <c r="Y2287" s="197" t="n">
        <v>1</v>
      </c>
      <c r="Z2287" s="197" t="n">
        <v>1</v>
      </c>
    </row>
    <row r="2288">
      <c r="A2288" s="3" t="str">
        <f>CtryCode&amp;"|"&amp;$C2288</f>
        <v>EGY|tcf|nuc</v>
      </c>
      <c r="B2288" s="3" t="str">
        <f>CtryCode</f>
        <v>EGY</v>
      </c>
      <c r="C2288" s="3" t="inlineStr">
        <is>
          <t>tcf|nuc</t>
        </is>
      </c>
      <c r="D2288" s="3" t="inlineStr">
        <is>
          <t>factor</t>
        </is>
      </c>
      <c r="E2288" s="3" t="inlineStr">
        <is>
          <t>capex time factor (A7)</t>
        </is>
      </c>
      <c r="F2288" s="39" t="n">
        <v>289</v>
      </c>
      <c r="G2288" s="197" t="n">
        <v>1</v>
      </c>
      <c r="H2288" s="197" t="n">
        <v>1</v>
      </c>
      <c r="I2288" s="197" t="n">
        <v>1</v>
      </c>
      <c r="J2288" s="197" t="n">
        <v>1</v>
      </c>
      <c r="K2288" s="197" t="n">
        <v>1</v>
      </c>
      <c r="L2288" s="197" t="n">
        <v>1</v>
      </c>
      <c r="M2288" s="197" t="n">
        <v>1</v>
      </c>
      <c r="N2288" s="197" t="n">
        <v>1</v>
      </c>
      <c r="O2288" s="197" t="n">
        <v>1</v>
      </c>
      <c r="P2288" s="197" t="n">
        <v>1</v>
      </c>
      <c r="Q2288" s="197" t="n">
        <v>1</v>
      </c>
      <c r="R2288" s="197" t="n">
        <v>1</v>
      </c>
      <c r="S2288" s="197" t="n">
        <v>1</v>
      </c>
      <c r="T2288" s="197" t="n">
        <v>1</v>
      </c>
      <c r="U2288" s="197" t="n">
        <v>1</v>
      </c>
      <c r="V2288" s="197" t="n">
        <v>1</v>
      </c>
      <c r="W2288" s="197" t="n">
        <v>1</v>
      </c>
      <c r="X2288" s="197" t="n">
        <v>1</v>
      </c>
      <c r="Y2288" s="197" t="n">
        <v>1</v>
      </c>
      <c r="Z2288" s="197" t="n">
        <v>1</v>
      </c>
    </row>
    <row r="2289">
      <c r="A2289" s="3" t="str">
        <f>CtryCode&amp;"|"&amp;$C2289</f>
        <v>EGY|tcf|wnd</v>
      </c>
      <c r="B2289" s="3" t="str">
        <f>CtryCode</f>
        <v>EGY</v>
      </c>
      <c r="C2289" s="3" t="inlineStr">
        <is>
          <t>tcf|wnd</t>
        </is>
      </c>
      <c r="D2289" s="3" t="inlineStr">
        <is>
          <t>factor</t>
        </is>
      </c>
      <c r="E2289" s="3" t="inlineStr">
        <is>
          <t>capex time factor (A7)</t>
        </is>
      </c>
      <c r="F2289" s="39" t="n">
        <v>296</v>
      </c>
      <c r="G2289" s="197" t="n">
        <v>1.05</v>
      </c>
      <c r="H2289" s="197" t="n">
        <v>1</v>
      </c>
      <c r="I2289" s="197" t="n">
        <v>0.993</v>
      </c>
      <c r="J2289" s="197" t="n">
        <v>0.985</v>
      </c>
      <c r="K2289" s="197" t="n">
        <v>0.978</v>
      </c>
      <c r="L2289" s="197" t="n">
        <v>0.971</v>
      </c>
      <c r="M2289" s="197" t="n">
        <v>0.963</v>
      </c>
      <c r="N2289" s="197" t="n">
        <v>0.956</v>
      </c>
      <c r="O2289" s="197" t="n">
        <v>0.949</v>
      </c>
      <c r="P2289" s="197" t="n">
        <v>0.946</v>
      </c>
      <c r="Q2289" s="197" t="n">
        <v>0.9429999999999999</v>
      </c>
      <c r="R2289" s="197" t="n">
        <v>0.9399999999999999</v>
      </c>
      <c r="S2289" s="197" t="n">
        <v>0.9370000000000001</v>
      </c>
      <c r="T2289" s="197" t="n">
        <v>0.9340000000000001</v>
      </c>
      <c r="U2289" s="197" t="n">
        <v>0.9320000000000001</v>
      </c>
      <c r="V2289" s="197" t="n">
        <v>0.929</v>
      </c>
      <c r="W2289" s="197" t="n">
        <v>0.926</v>
      </c>
      <c r="X2289" s="197" t="n">
        <v>0.923</v>
      </c>
      <c r="Y2289" s="197" t="n">
        <v>0.92</v>
      </c>
      <c r="Z2289" s="197" t="n">
        <v>0.918</v>
      </c>
    </row>
    <row r="2290">
      <c r="A2290" s="3" t="str">
        <f>CtryCode&amp;"|"&amp;$C2290</f>
        <v>EGY|tcf|sol</v>
      </c>
      <c r="B2290" s="3" t="str">
        <f>CtryCode</f>
        <v>EGY</v>
      </c>
      <c r="C2290" s="3" t="inlineStr">
        <is>
          <t>tcf|sol</t>
        </is>
      </c>
      <c r="D2290" s="3" t="inlineStr">
        <is>
          <t>factor</t>
        </is>
      </c>
      <c r="E2290" s="3" t="inlineStr">
        <is>
          <t>capex time factor (A7)</t>
        </is>
      </c>
      <c r="F2290" s="39" t="n">
        <v>295</v>
      </c>
      <c r="G2290" s="197" t="n">
        <v>1.05</v>
      </c>
      <c r="H2290" s="197" t="n">
        <v>1</v>
      </c>
      <c r="I2290" s="197" t="n">
        <v>0.955</v>
      </c>
      <c r="J2290" s="197" t="n">
        <v>0.909</v>
      </c>
      <c r="K2290" s="197" t="n">
        <v>0.864</v>
      </c>
      <c r="L2290" s="197" t="n">
        <v>0.8179999999999999</v>
      </c>
      <c r="M2290" s="197" t="n">
        <v>0.773</v>
      </c>
      <c r="N2290" s="197" t="n">
        <v>0.727</v>
      </c>
      <c r="O2290" s="197" t="n">
        <v>0.6820000000000001</v>
      </c>
      <c r="P2290" s="197" t="n">
        <v>0.671</v>
      </c>
      <c r="Q2290" s="197" t="n">
        <v>0.66</v>
      </c>
      <c r="R2290" s="197" t="n">
        <v>0.65</v>
      </c>
      <c r="S2290" s="197" t="n">
        <v>0.639</v>
      </c>
      <c r="T2290" s="197" t="n">
        <v>0.628</v>
      </c>
      <c r="U2290" s="197" t="n">
        <v>0.618</v>
      </c>
      <c r="V2290" s="197" t="n">
        <v>0.607</v>
      </c>
      <c r="W2290" s="197" t="n">
        <v>0.597</v>
      </c>
      <c r="X2290" s="197" t="n">
        <v>0.586</v>
      </c>
      <c r="Y2290" s="197" t="n">
        <v>0.575</v>
      </c>
      <c r="Z2290" s="197" t="n">
        <v>0.5649999999999999</v>
      </c>
    </row>
    <row r="2291">
      <c r="A2291" s="3" t="str">
        <f>CtryCode&amp;"|"&amp;$C2291</f>
        <v>EGY|tcf|hyd</v>
      </c>
      <c r="B2291" s="3" t="str">
        <f>CtryCode</f>
        <v>EGY</v>
      </c>
      <c r="C2291" s="3" t="inlineStr">
        <is>
          <t>tcf|hyd</t>
        </is>
      </c>
      <c r="D2291" s="3" t="inlineStr">
        <is>
          <t>factor</t>
        </is>
      </c>
      <c r="E2291" s="3" t="inlineStr">
        <is>
          <t>capex time factor (A7)</t>
        </is>
      </c>
      <c r="F2291" s="39" t="n">
        <v>285</v>
      </c>
      <c r="G2291" s="197" t="n">
        <v>1</v>
      </c>
      <c r="H2291" s="197" t="n">
        <v>1</v>
      </c>
      <c r="I2291" s="197" t="n">
        <v>1</v>
      </c>
      <c r="J2291" s="197" t="n">
        <v>1</v>
      </c>
      <c r="K2291" s="197" t="n">
        <v>1</v>
      </c>
      <c r="L2291" s="197" t="n">
        <v>1</v>
      </c>
      <c r="M2291" s="197" t="n">
        <v>1</v>
      </c>
      <c r="N2291" s="197" t="n">
        <v>1</v>
      </c>
      <c r="O2291" s="197" t="n">
        <v>1</v>
      </c>
      <c r="P2291" s="197" t="n">
        <v>1</v>
      </c>
      <c r="Q2291" s="197" t="n">
        <v>1</v>
      </c>
      <c r="R2291" s="197" t="n">
        <v>1</v>
      </c>
      <c r="S2291" s="197" t="n">
        <v>1</v>
      </c>
      <c r="T2291" s="197" t="n">
        <v>1</v>
      </c>
      <c r="U2291" s="197" t="n">
        <v>1</v>
      </c>
      <c r="V2291" s="197" t="n">
        <v>1</v>
      </c>
      <c r="W2291" s="197" t="n">
        <v>1</v>
      </c>
      <c r="X2291" s="197" t="n">
        <v>1</v>
      </c>
      <c r="Y2291" s="197" t="n">
        <v>1</v>
      </c>
      <c r="Z2291" s="197" t="n">
        <v>1</v>
      </c>
    </row>
    <row r="2292">
      <c r="A2292" s="3" t="str">
        <f>CtryCode&amp;"|"&amp;$C2292</f>
        <v>EGY|tcf|ore</v>
      </c>
      <c r="B2292" s="3" t="str">
        <f>CtryCode</f>
        <v>EGY</v>
      </c>
      <c r="C2292" s="3" t="inlineStr">
        <is>
          <t>tcf|ore</t>
        </is>
      </c>
      <c r="D2292" s="3" t="inlineStr">
        <is>
          <t>factor</t>
        </is>
      </c>
      <c r="E2292" s="3" t="inlineStr">
        <is>
          <t>capex time factor (A7)</t>
        </is>
      </c>
      <c r="F2292" s="39" t="n">
        <v>292</v>
      </c>
      <c r="G2292" s="197" t="n">
        <v>1</v>
      </c>
      <c r="H2292" s="197" t="n">
        <v>1</v>
      </c>
      <c r="I2292" s="197" t="n">
        <v>1</v>
      </c>
      <c r="J2292" s="197" t="n">
        <v>1</v>
      </c>
      <c r="K2292" s="197" t="n">
        <v>1</v>
      </c>
      <c r="L2292" s="197" t="n">
        <v>1</v>
      </c>
      <c r="M2292" s="197" t="n">
        <v>1</v>
      </c>
      <c r="N2292" s="197" t="n">
        <v>1</v>
      </c>
      <c r="O2292" s="197" t="n">
        <v>1</v>
      </c>
      <c r="P2292" s="197" t="n">
        <v>1</v>
      </c>
      <c r="Q2292" s="197" t="n">
        <v>1</v>
      </c>
      <c r="R2292" s="197" t="n">
        <v>1</v>
      </c>
      <c r="S2292" s="197" t="n">
        <v>1</v>
      </c>
      <c r="T2292" s="197" t="n">
        <v>1</v>
      </c>
      <c r="U2292" s="197" t="n">
        <v>1</v>
      </c>
      <c r="V2292" s="197" t="n">
        <v>1</v>
      </c>
      <c r="W2292" s="197" t="n">
        <v>1</v>
      </c>
      <c r="X2292" s="197" t="n">
        <v>1</v>
      </c>
      <c r="Y2292" s="197" t="n">
        <v>1</v>
      </c>
      <c r="Z2292" s="197" t="n">
        <v>1</v>
      </c>
    </row>
    <row r="2293">
      <c r="A2293" s="3" t="str">
        <f>CtryCode&amp;"|"&amp;$C2293</f>
        <v>EGY|tcf|bio</v>
      </c>
      <c r="B2293" s="3" t="str">
        <f>CtryCode</f>
        <v>EGY</v>
      </c>
      <c r="C2293" s="3" t="inlineStr">
        <is>
          <t>tcf|bio</t>
        </is>
      </c>
      <c r="D2293" s="3" t="inlineStr">
        <is>
          <t>factor</t>
        </is>
      </c>
      <c r="E2293" s="3" t="inlineStr">
        <is>
          <t>capex time factor (A7)</t>
        </is>
      </c>
      <c r="F2293" s="39" t="n">
        <v>280</v>
      </c>
      <c r="G2293" s="197" t="n">
        <v>1</v>
      </c>
      <c r="H2293" s="197" t="n">
        <v>1</v>
      </c>
      <c r="I2293" s="197" t="n">
        <v>1</v>
      </c>
      <c r="J2293" s="197" t="n">
        <v>1</v>
      </c>
      <c r="K2293" s="197" t="n">
        <v>1</v>
      </c>
      <c r="L2293" s="197" t="n">
        <v>1</v>
      </c>
      <c r="M2293" s="197" t="n">
        <v>1</v>
      </c>
      <c r="N2293" s="197" t="n">
        <v>1</v>
      </c>
      <c r="O2293" s="197" t="n">
        <v>1</v>
      </c>
      <c r="P2293" s="197" t="n">
        <v>1</v>
      </c>
      <c r="Q2293" s="197" t="n">
        <v>1</v>
      </c>
      <c r="R2293" s="197" t="n">
        <v>1</v>
      </c>
      <c r="S2293" s="197" t="n">
        <v>1</v>
      </c>
      <c r="T2293" s="197" t="n">
        <v>1</v>
      </c>
      <c r="U2293" s="197" t="n">
        <v>1</v>
      </c>
      <c r="V2293" s="197" t="n">
        <v>1</v>
      </c>
      <c r="W2293" s="197" t="n">
        <v>1</v>
      </c>
      <c r="X2293" s="197" t="n">
        <v>1</v>
      </c>
      <c r="Y2293" s="197" t="n">
        <v>1</v>
      </c>
      <c r="Z2293" s="197" t="n">
        <v>1</v>
      </c>
    </row>
    <row r="2294">
      <c r="A2294" s="3" t="str">
        <f>CtryCode&amp;"|"&amp;$C2294</f>
        <v>EGY|cbat</v>
      </c>
      <c r="B2294" s="3" t="str">
        <f>CtryCode</f>
        <v>EGY</v>
      </c>
      <c r="C2294" s="3" t="inlineStr">
        <is>
          <t>cbat</t>
        </is>
      </c>
      <c r="D2294" s="3" t="inlineStr">
        <is>
          <t>$/kWh storage</t>
        </is>
      </c>
      <c r="E2294" s="3" t="inlineStr">
        <is>
          <t>battery capex (J2)</t>
        </is>
      </c>
      <c r="F2294" s="8" t="n">
        <v>1899</v>
      </c>
      <c r="G2294" s="197" t="n">
        <v>300.61444</v>
      </c>
      <c r="H2294" s="197" t="n">
        <v>278.08116</v>
      </c>
      <c r="I2294" s="197" t="n">
        <v>255.54788</v>
      </c>
      <c r="J2294" s="197" t="n">
        <v>233.0146</v>
      </c>
      <c r="K2294" s="197" t="n">
        <v>220.72372</v>
      </c>
      <c r="L2294" s="197" t="n">
        <v>208.43284</v>
      </c>
      <c r="M2294" s="197" t="n">
        <v>196.14196</v>
      </c>
      <c r="N2294" s="197" t="n">
        <v>183.85108</v>
      </c>
      <c r="O2294" s="197" t="n">
        <v>171.5602</v>
      </c>
      <c r="P2294" s="197" t="n">
        <v>164.90264</v>
      </c>
      <c r="Q2294" s="197" t="n">
        <v>158.24508</v>
      </c>
      <c r="R2294" s="197" t="n">
        <v>151.58752</v>
      </c>
      <c r="S2294" s="197" t="n">
        <v>144.92996</v>
      </c>
      <c r="T2294" s="197" t="n">
        <v>138.2724</v>
      </c>
      <c r="U2294" s="197" t="n">
        <v>131.920664310954</v>
      </c>
      <c r="V2294" s="197" t="n">
        <v>125.8607044662812</v>
      </c>
      <c r="W2294" s="197" t="n">
        <v>120.0791173353212</v>
      </c>
      <c r="X2294" s="197" t="n">
        <v>114.5631154789283</v>
      </c>
      <c r="Y2294" s="197" t="n">
        <v>109.300498866822</v>
      </c>
      <c r="Z2294" s="197" t="n">
        <v>104.2796278941411</v>
      </c>
    </row>
    <row r="2295">
      <c r="A2295" s="3" t="str">
        <f>CtryCode&amp;"|"&amp;$C2295</f>
        <v>EGY|cint</v>
      </c>
      <c r="B2295" s="3" t="str">
        <f>CtryCode</f>
        <v>EGY</v>
      </c>
      <c r="C2295" s="3" t="inlineStr">
        <is>
          <t>cint</t>
        </is>
      </c>
      <c r="D2295" s="3" t="inlineStr">
        <is>
          <t>$/kW interface</t>
        </is>
      </c>
      <c r="E2295" s="3" t="inlineStr">
        <is>
          <t>battery interface capex (J2)</t>
        </is>
      </c>
      <c r="F2295" s="8" t="n">
        <v>1903</v>
      </c>
      <c r="G2295" s="197" t="n">
        <v>150.30722</v>
      </c>
      <c r="H2295" s="197" t="n">
        <v>139.04058</v>
      </c>
      <c r="I2295" s="197" t="n">
        <v>127.77394</v>
      </c>
      <c r="J2295" s="197" t="n">
        <v>116.5073</v>
      </c>
      <c r="K2295" s="197" t="n">
        <v>110.36186</v>
      </c>
      <c r="L2295" s="197" t="n">
        <v>104.21642</v>
      </c>
      <c r="M2295" s="197" t="n">
        <v>98.07097999999998</v>
      </c>
      <c r="N2295" s="197" t="n">
        <v>91.92553999999998</v>
      </c>
      <c r="O2295" s="197" t="n">
        <v>85.78009999999999</v>
      </c>
      <c r="P2295" s="197" t="n">
        <v>82.45132000000001</v>
      </c>
      <c r="Q2295" s="197" t="n">
        <v>79.12253999999999</v>
      </c>
      <c r="R2295" s="197" t="n">
        <v>75.79375999999999</v>
      </c>
      <c r="S2295" s="197" t="n">
        <v>72.46498</v>
      </c>
      <c r="T2295" s="197" t="n">
        <v>69.13619999999999</v>
      </c>
      <c r="U2295" s="197" t="n">
        <v>65.960332155477</v>
      </c>
      <c r="V2295" s="197" t="n">
        <v>62.93035223314058</v>
      </c>
      <c r="W2295" s="197" t="n">
        <v>60.03955866766061</v>
      </c>
      <c r="X2295" s="197" t="n">
        <v>57.28155773946416</v>
      </c>
      <c r="Y2295" s="197" t="n">
        <v>54.65024943341102</v>
      </c>
      <c r="Z2295" s="197" t="n">
        <v>52.13981394707057</v>
      </c>
    </row>
    <row r="2296">
      <c r="A2296" s="3" t="str">
        <f>CtryCode&amp;"|"&amp;$C2296</f>
        <v>EGY|obat</v>
      </c>
      <c r="B2296" s="3" t="str">
        <f>CtryCode</f>
        <v>EGY</v>
      </c>
      <c r="C2296" s="3" t="inlineStr">
        <is>
          <t>obat</t>
        </is>
      </c>
      <c r="D2296" s="3" t="inlineStr">
        <is>
          <t>$/kWh storage/y</t>
        </is>
      </c>
      <c r="E2296" s="3" t="inlineStr">
        <is>
          <t>battery opex (J2)</t>
        </is>
      </c>
      <c r="F2296" s="8" t="n">
        <v>1900</v>
      </c>
      <c r="G2296" s="197" t="n">
        <v>9.474219999999999</v>
      </c>
      <c r="H2296" s="197" t="n">
        <v>8.449979999999998</v>
      </c>
      <c r="I2296" s="197" t="n">
        <v>7.425739999999998</v>
      </c>
      <c r="J2296" s="197" t="n">
        <v>6.4015</v>
      </c>
      <c r="K2296" s="197" t="n">
        <v>6.081424999999999</v>
      </c>
      <c r="L2296" s="197" t="n">
        <v>5.76135</v>
      </c>
      <c r="M2296" s="197" t="n">
        <v>5.441275</v>
      </c>
      <c r="N2296" s="197" t="n">
        <v>5.1212</v>
      </c>
      <c r="O2296" s="197" t="n">
        <v>4.801124999999999</v>
      </c>
      <c r="P2296" s="197" t="n">
        <v>4.60908</v>
      </c>
      <c r="Q2296" s="197" t="n">
        <v>4.417035</v>
      </c>
      <c r="R2296" s="197" t="n">
        <v>4.224989999999999</v>
      </c>
      <c r="S2296" s="197" t="n">
        <v>4.032945</v>
      </c>
      <c r="T2296" s="197" t="n">
        <v>3.8409</v>
      </c>
      <c r="U2296" s="197" t="n">
        <v>3.657999999999999</v>
      </c>
      <c r="V2296" s="197" t="n">
        <v>3.483809523809523</v>
      </c>
      <c r="W2296" s="197" t="n">
        <v>3.317913832199546</v>
      </c>
      <c r="X2296" s="197" t="n">
        <v>3.159917935428139</v>
      </c>
      <c r="Y2296" s="197" t="n">
        <v>3.009445652788703</v>
      </c>
      <c r="Z2296" s="197" t="n">
        <v>2.866138716941622</v>
      </c>
    </row>
    <row r="2297">
      <c r="A2297" s="3" t="str">
        <f>CtryCode&amp;"|"&amp;$C2297</f>
        <v>EGY|elcx</v>
      </c>
      <c r="B2297" s="3" t="str">
        <f>CtryCode</f>
        <v>EGY</v>
      </c>
      <c r="C2297" s="3" t="inlineStr">
        <is>
          <t>elcx</t>
        </is>
      </c>
      <c r="D2297" s="3" t="inlineStr">
        <is>
          <t>$/kW</t>
        </is>
      </c>
      <c r="E2297" s="3" t="inlineStr">
        <is>
          <t>electrolyser capex (Power row 1907)</t>
        </is>
      </c>
      <c r="F2297" s="8" t="n">
        <v>1907</v>
      </c>
      <c r="G2297" s="197" t="n">
        <v>782.2632999999998</v>
      </c>
      <c r="H2297" s="197" t="n">
        <v>734.8921999999999</v>
      </c>
      <c r="I2297" s="197" t="n">
        <v>687.5210999999999</v>
      </c>
      <c r="J2297" s="197" t="n">
        <v>640.15</v>
      </c>
      <c r="K2297" s="197" t="n">
        <v>605.0697799999999</v>
      </c>
      <c r="L2297" s="197" t="n">
        <v>569.98956</v>
      </c>
      <c r="M2297" s="197" t="n">
        <v>534.9093399999999</v>
      </c>
      <c r="N2297" s="197" t="n">
        <v>499.8291199999999</v>
      </c>
      <c r="O2297" s="197" t="n">
        <v>464.7488999999999</v>
      </c>
      <c r="P2297" s="197" t="n">
        <v>455.0186199999999</v>
      </c>
      <c r="Q2297" s="197" t="n">
        <v>445.2883399999999</v>
      </c>
      <c r="R2297" s="197" t="n">
        <v>435.55806</v>
      </c>
      <c r="S2297" s="197" t="n">
        <v>425.82778</v>
      </c>
      <c r="T2297" s="197" t="n">
        <v>416.0975</v>
      </c>
      <c r="U2297" s="197" t="n">
        <v>406.589559530968</v>
      </c>
      <c r="V2297" s="197" t="n">
        <v>397.2988780744575</v>
      </c>
      <c r="W2297" s="197" t="n">
        <v>388.2204912032432</v>
      </c>
      <c r="X2297" s="197" t="n">
        <v>379.3495479286049</v>
      </c>
      <c r="Y2297" s="197" t="n">
        <v>370.6813081082278</v>
      </c>
      <c r="Z2297" s="197" t="n">
        <v>362.2111399133313</v>
      </c>
    </row>
    <row r="2298">
      <c r="A2298" s="3" t="str">
        <f>CtryCode&amp;"|"&amp;$C2298</f>
        <v>EGY|eltk</v>
      </c>
      <c r="B2298" s="3" t="str">
        <f>CtryCode</f>
        <v>EGY</v>
      </c>
      <c r="C2298" s="3" t="inlineStr">
        <is>
          <t>eltk</t>
        </is>
      </c>
      <c r="D2298" s="3" t="inlineStr">
        <is>
          <t>$/kWh</t>
        </is>
      </c>
      <c r="E2298" s="3" t="inlineStr">
        <is>
          <t>storage tank capex (row 1911)</t>
        </is>
      </c>
      <c r="F2298" s="8" t="n">
        <v>1911</v>
      </c>
      <c r="G2298" s="197" t="n">
        <v>4.024</v>
      </c>
      <c r="H2298" s="197" t="n">
        <v>3.916</v>
      </c>
      <c r="I2298" s="197" t="n">
        <v>3.808000000000001</v>
      </c>
      <c r="J2298" s="197" t="n">
        <v>3.7</v>
      </c>
      <c r="K2298" s="197" t="n">
        <v>3.592000000000001</v>
      </c>
      <c r="L2298" s="197" t="n">
        <v>3.484</v>
      </c>
      <c r="M2298" s="197" t="n">
        <v>3.376</v>
      </c>
      <c r="N2298" s="197" t="n">
        <v>3.268</v>
      </c>
      <c r="O2298" s="197" t="n">
        <v>3.16</v>
      </c>
      <c r="P2298" s="197" t="n">
        <v>3.052</v>
      </c>
      <c r="Q2298" s="197" t="n">
        <v>2.944</v>
      </c>
      <c r="R2298" s="197" t="n">
        <v>2.836</v>
      </c>
      <c r="S2298" s="197" t="n">
        <v>2.728</v>
      </c>
      <c r="T2298" s="197" t="n">
        <v>2.62</v>
      </c>
      <c r="U2298" s="197" t="n">
        <v>2.512</v>
      </c>
      <c r="V2298" s="197" t="n">
        <v>2.404</v>
      </c>
      <c r="W2298" s="197" t="n">
        <v>2.296</v>
      </c>
      <c r="X2298" s="197" t="n">
        <v>2.188</v>
      </c>
      <c r="Y2298" s="197" t="n">
        <v>2.08</v>
      </c>
      <c r="Z2298" s="197" t="n">
        <v>1.972</v>
      </c>
    </row>
    <row r="2299">
      <c r="A2299" s="3" t="str">
        <f>CtryCode&amp;"|"&amp;$C2299</f>
        <v>EGY|elof</v>
      </c>
      <c r="B2299" s="3" t="str">
        <f>CtryCode</f>
        <v>EGY</v>
      </c>
      <c r="C2299" s="3" t="inlineStr">
        <is>
          <t>elof</t>
        </is>
      </c>
      <c r="D2299" s="3" t="inlineStr">
        <is>
          <t>$/kW/y</t>
        </is>
      </c>
      <c r="E2299" s="3" t="inlineStr">
        <is>
          <t>electrolyser fixed opex (row 1908)</t>
        </is>
      </c>
      <c r="F2299" s="8" t="n">
        <v>1908</v>
      </c>
      <c r="G2299" s="197" t="n">
        <v>30.98325999999999</v>
      </c>
      <c r="H2299" s="197" t="n">
        <v>29.19084</v>
      </c>
      <c r="I2299" s="197" t="n">
        <v>27.39841999999999</v>
      </c>
      <c r="J2299" s="197" t="n">
        <v>25.606</v>
      </c>
      <c r="K2299" s="197" t="n">
        <v>23.736762</v>
      </c>
      <c r="L2299" s="197" t="n">
        <v>21.867524</v>
      </c>
      <c r="M2299" s="197" t="n">
        <v>19.998286</v>
      </c>
      <c r="N2299" s="197" t="n">
        <v>18.129048</v>
      </c>
      <c r="O2299" s="197" t="n">
        <v>16.25981</v>
      </c>
      <c r="P2299" s="197" t="n">
        <v>15.926932</v>
      </c>
      <c r="Q2299" s="197" t="n">
        <v>15.594054</v>
      </c>
      <c r="R2299" s="197" t="n">
        <v>15.261176</v>
      </c>
      <c r="S2299" s="197" t="n">
        <v>14.928298</v>
      </c>
      <c r="T2299" s="197" t="n">
        <v>14.59542</v>
      </c>
      <c r="U2299" s="197" t="n">
        <v>14.26996466552316</v>
      </c>
      <c r="V2299" s="197" t="n">
        <v>13.95176648258697</v>
      </c>
      <c r="W2299" s="197" t="n">
        <v>13.64066362791522</v>
      </c>
      <c r="X2299" s="197" t="n">
        <v>13.33649788664095</v>
      </c>
      <c r="Y2299" s="197" t="n">
        <v>13.0391145718445</v>
      </c>
      <c r="Z2299" s="197" t="n">
        <v>12.7483624458857</v>
      </c>
    </row>
    <row r="2300">
      <c r="A2300" s="3" t="str">
        <f>CtryCode&amp;"|"&amp;$C2300</f>
        <v>EGY|elov</v>
      </c>
      <c r="B2300" s="3" t="str">
        <f>CtryCode</f>
        <v>EGY</v>
      </c>
      <c r="C2300" s="3" t="inlineStr">
        <is>
          <t>elov</t>
        </is>
      </c>
      <c r="D2300" s="3" t="inlineStr">
        <is>
          <t>$/kWh</t>
        </is>
      </c>
      <c r="E2300" s="3" t="inlineStr">
        <is>
          <t>electrolyser variable opex (row 1909)</t>
        </is>
      </c>
      <c r="F2300" s="8" t="n">
        <v>1909</v>
      </c>
      <c r="G2300" s="197" t="n">
        <v>0.0012803</v>
      </c>
      <c r="H2300" s="197" t="n">
        <v>0.0012803</v>
      </c>
      <c r="I2300" s="197" t="n">
        <v>0.0012803</v>
      </c>
      <c r="J2300" s="197" t="n">
        <v>0.0012803</v>
      </c>
      <c r="K2300" s="197" t="n">
        <v>0.0012803</v>
      </c>
      <c r="L2300" s="197" t="n">
        <v>0.0012803</v>
      </c>
      <c r="M2300" s="197" t="n">
        <v>0.0012803</v>
      </c>
      <c r="N2300" s="197" t="n">
        <v>0.0012803</v>
      </c>
      <c r="O2300" s="197" t="n">
        <v>0.0012803</v>
      </c>
      <c r="P2300" s="197" t="n">
        <v>0.0012803</v>
      </c>
      <c r="Q2300" s="197" t="n">
        <v>0.0012803</v>
      </c>
      <c r="R2300" s="197" t="n">
        <v>0.0012803</v>
      </c>
      <c r="S2300" s="197" t="n">
        <v>0.0012803</v>
      </c>
      <c r="T2300" s="197" t="n">
        <v>0.0012803</v>
      </c>
      <c r="U2300" s="197" t="n">
        <v>0.0012803</v>
      </c>
      <c r="V2300" s="197" t="n">
        <v>0.0012803</v>
      </c>
      <c r="W2300" s="197" t="n">
        <v>0.0012803</v>
      </c>
      <c r="X2300" s="197" t="n">
        <v>0.0012803</v>
      </c>
      <c r="Y2300" s="197" t="n">
        <v>0.0012803</v>
      </c>
      <c r="Z2300" s="197" t="n">
        <v>0.0012803</v>
      </c>
    </row>
    <row r="2301">
      <c r="A2301" s="3" t="str">
        <f>CtryCode&amp;"|"&amp;$C2301</f>
        <v>EGY|cel</v>
      </c>
      <c r="B2301" s="3" t="str">
        <f>CtryCode</f>
        <v>EGY</v>
      </c>
      <c r="C2301" s="3" t="inlineStr">
        <is>
          <t>cel</t>
        </is>
      </c>
      <c r="D2301" s="3" t="inlineStr">
        <is>
          <t>$/kWh produced</t>
        </is>
      </c>
      <c r="E2301" s="3" t="inlineStr">
        <is>
          <t>electrolyser cost per marginal unit: capex + fixed + variable opex (J2)</t>
        </is>
      </c>
      <c r="G2301" s="197">
        <f t="shared" ref="G2301:Z2301" si="204">(G2297+G2298*PsLTHours)/(PsDlfRen*HoursYr)+G2299/HoursYr+G2300</f>
        <v>0.06986258478136012</v>
      </c>
      <c r="H2301" s="197">
        <f t="shared" si="204"/>
        <v>0.06755526170884672</v>
      </c>
      <c r="I2301" s="197">
        <f t="shared" si="204"/>
        <v>0.06524793863633334</v>
      </c>
      <c r="J2301" s="197">
        <f t="shared" si="204"/>
        <v>0.06294061556381991</v>
      </c>
      <c r="K2301" s="197">
        <f t="shared" si="204"/>
        <v>0.06079086147377671</v>
      </c>
      <c r="L2301" s="197">
        <f t="shared" si="204"/>
        <v>0.05864110738373349</v>
      </c>
      <c r="M2301" s="197">
        <f t="shared" si="204"/>
        <v>0.056491353293690275</v>
      </c>
      <c r="N2301" s="197">
        <f t="shared" si="204"/>
        <v>0.054341599203647055</v>
      </c>
      <c r="O2301" s="197">
        <f t="shared" si="204"/>
        <v>0.05219184511360385</v>
      </c>
      <c r="P2301" s="197">
        <f t="shared" si="204"/>
        <v>0.05056054704134376</v>
      </c>
      <c r="Q2301" s="197">
        <f t="shared" si="204"/>
        <v>0.048929248969083676</v>
      </c>
      <c r="R2301" s="197">
        <f t="shared" si="204"/>
        <v>0.047297950896823586</v>
      </c>
      <c r="S2301" s="197">
        <f t="shared" si="204"/>
        <v>0.045666652824563496</v>
      </c>
      <c r="T2301" s="197">
        <f t="shared" si="204"/>
        <v>0.04403535475230341</v>
      </c>
      <c r="U2301" s="197">
        <f t="shared" si="204"/>
        <v>0.04240791303994026</v>
      </c>
      <c r="V2301" s="197">
        <f t="shared" si="204"/>
        <v>0.04078424003617918</v>
      </c>
      <c r="W2301" s="197">
        <f t="shared" si="204"/>
        <v>0.03916425008215495</v>
      </c>
      <c r="X2301" s="197">
        <f t="shared" si="204"/>
        <v>0.03754785946613697</v>
      </c>
      <c r="Y2301" s="197">
        <f t="shared" si="204"/>
        <v>0.03593498637926398</v>
      </c>
      <c r="Z2301" s="197">
        <f t="shared" si="204"/>
        <v>0.034325550872285227</v>
      </c>
    </row>
    <row r="2302">
      <c r="A2302" s="3" t="str">
        <f>CtryCode&amp;"|"&amp;$C2302</f>
        <v>EGY|gdppc</v>
      </c>
      <c r="B2302" s="3" t="str">
        <f>CtryCode</f>
        <v>EGY</v>
      </c>
      <c r="C2302" s="3" t="inlineStr">
        <is>
          <t>gdppc</t>
        </is>
      </c>
      <c r="D2302" s="3" t="inlineStr">
        <is>
          <t>USD per capita</t>
        </is>
      </c>
      <c r="E2302" s="3" t="inlineStr">
        <is>
          <t>GDP per capita, previous year from 2023 (legacy row 2429)</t>
        </is>
      </c>
      <c r="G2302" s="197">
        <f>INDEX(WEOVal,MATCH(CtryCode&amp;"|gdppc",WEOKey,0),MATCH(G$2284,WEOYear,0))</f>
        <v>5279.64212470033</v>
      </c>
      <c r="H2302" s="197">
        <f t="shared" ref="H2302:Z2302" si="205">INDEX(WEOVal,MATCH(CtryCode&amp;"|gdppc",WEOKey,0),MATCH(H$2284-1,WEOYear,0))</f>
        <v>5279.64212470033</v>
      </c>
      <c r="I2302" s="197">
        <f t="shared" si="205"/>
        <v>5394.853306598134</v>
      </c>
      <c r="J2302" s="197">
        <f t="shared" si="205"/>
        <v>5451.713777628463</v>
      </c>
      <c r="K2302" s="197">
        <f t="shared" si="205"/>
        <v>5622.605781682968</v>
      </c>
      <c r="L2302" s="197">
        <f t="shared" si="205"/>
        <v>5746.066408201303</v>
      </c>
      <c r="M2302" s="197">
        <f t="shared" si="205"/>
        <v>5905.447530860896</v>
      </c>
      <c r="N2302" s="197">
        <f t="shared" si="205"/>
        <v>6110.130121366667</v>
      </c>
      <c r="O2302" s="197">
        <f t="shared" si="205"/>
        <v>6303.414256069495</v>
      </c>
      <c r="P2302" s="197">
        <f t="shared" si="205"/>
        <v>6416.133801607107</v>
      </c>
      <c r="Q2302" s="197">
        <f t="shared" si="205"/>
        <v>6464.793787228349</v>
      </c>
      <c r="R2302" s="197">
        <f t="shared" si="205"/>
        <v>6510.519487229759</v>
      </c>
      <c r="S2302" s="197">
        <f t="shared" si="205"/>
        <v>6553.24191894933</v>
      </c>
      <c r="T2302" s="197">
        <f t="shared" si="205"/>
        <v>6592.89618031066</v>
      </c>
      <c r="U2302" s="197">
        <f t="shared" si="205"/>
        <v>6629.421613422475</v>
      </c>
      <c r="V2302" s="197">
        <f t="shared" si="205"/>
        <v>6662.761958575635</v>
      </c>
      <c r="W2302" s="197">
        <f t="shared" si="205"/>
        <v>6692.865498092618</v>
      </c>
      <c r="X2302" s="197">
        <f t="shared" si="205"/>
        <v>6719.68518951674</v>
      </c>
      <c r="Y2302" s="197">
        <f t="shared" si="205"/>
        <v>6743.17878766279</v>
      </c>
      <c r="Z2302" s="197">
        <f t="shared" si="205"/>
        <v>6763.308955087503</v>
      </c>
    </row>
    <row r="2303">
      <c r="A2303" s="3" t="str">
        <f>CtryCode&amp;"|"&amp;$C2303</f>
        <v>EGY|incx</v>
      </c>
      <c r="B2303" s="3" t="str">
        <f>CtryCode</f>
        <v>EGY</v>
      </c>
      <c r="C2303" s="3" t="inlineStr">
        <is>
          <t>incx</t>
        </is>
      </c>
      <c r="D2303" s="3" t="inlineStr">
        <is>
          <t>ln (capped)</t>
        </is>
      </c>
      <c r="E2303" s="3" t="inlineStr">
        <is>
          <t>ln GDP per capita, capped (legacy row 2431)</t>
        </is>
      </c>
      <c r="G2303" s="197">
        <f t="shared" ref="G2303:Z2303" si="206">MIN(IncfLnCap,LN(G2302))</f>
        <v>8.571613594990362</v>
      </c>
      <c r="H2303" s="197">
        <f t="shared" si="206"/>
        <v>8.571613594990362</v>
      </c>
      <c r="I2303" s="197">
        <f t="shared" si="206"/>
        <v>8.593200686701271</v>
      </c>
      <c r="J2303" s="197">
        <f t="shared" si="206"/>
        <v>8.603685292837527</v>
      </c>
      <c r="K2303" s="197">
        <f t="shared" si="206"/>
        <v>8.634550497650793</v>
      </c>
      <c r="L2303" s="197">
        <f t="shared" si="206"/>
        <v>8.656270796764705</v>
      </c>
      <c r="M2303" s="197">
        <f t="shared" si="206"/>
        <v>8.683630514220441</v>
      </c>
      <c r="N2303" s="197">
        <f t="shared" si="206"/>
        <v>8.717703348398231</v>
      </c>
      <c r="O2303" s="197">
        <f t="shared" si="206"/>
        <v>8.748846710988104</v>
      </c>
      <c r="P2303" s="197">
        <f t="shared" si="206"/>
        <v>8.766571003694098</v>
      </c>
      <c r="Q2303" s="197">
        <f t="shared" si="206"/>
        <v>8.774126393903485</v>
      </c>
      <c r="R2303" s="197">
        <f t="shared" si="206"/>
        <v>8.781174530364481</v>
      </c>
      <c r="S2303" s="197">
        <f t="shared" si="206"/>
        <v>8.787715155640129</v>
      </c>
      <c r="T2303" s="197">
        <f t="shared" si="206"/>
        <v>8.793748012032037</v>
      </c>
      <c r="U2303" s="197">
        <f t="shared" si="206"/>
        <v>8.799272841579972</v>
      </c>
      <c r="V2303" s="197">
        <f t="shared" si="206"/>
        <v>8.804289386061473</v>
      </c>
      <c r="W2303" s="197">
        <f t="shared" si="206"/>
        <v>8.808797386991444</v>
      </c>
      <c r="X2303" s="197">
        <f t="shared" si="206"/>
        <v>8.812796585621745</v>
      </c>
      <c r="Y2303" s="197">
        <f t="shared" si="206"/>
        <v>8.81628672294081</v>
      </c>
      <c r="Z2303" s="197">
        <f t="shared" si="206"/>
        <v>8.819267539673225</v>
      </c>
    </row>
    <row r="2304">
      <c r="A2304" s="3" t="str">
        <f>CtryCode&amp;"|"&amp;$C2304</f>
        <v>EGY|incp</v>
      </c>
      <c r="B2304" s="3" t="str">
        <f>CtryCode</f>
        <v>EGY</v>
      </c>
      <c r="C2304" s="3" t="inlineStr">
        <is>
          <t>incp</t>
        </is>
      </c>
      <c r="D2304" s="3" t="inlineStr">
        <is>
          <t>factor</t>
        </is>
      </c>
      <c r="E2304" s="3" t="inlineStr">
        <is>
          <t>income factor before the switch IncElAdj (legacy rows 2432-2433)</t>
        </is>
      </c>
      <c r="G2304" s="197">
        <f t="shared" ref="G2304:Z2304" si="207">MAX(0,(((IncfA*G2303+IncfB)*G2303+IncfC)*G2303+IncfD)*G2303+IncfE)/IncfNorm</f>
        <v>1.0271517247196045</v>
      </c>
      <c r="H2304" s="197">
        <f t="shared" si="207"/>
        <v>1.0271517247196045</v>
      </c>
      <c r="I2304" s="197">
        <f t="shared" si="207"/>
        <v>1.0205698358851585</v>
      </c>
      <c r="J2304" s="197">
        <f t="shared" si="207"/>
        <v>1.0173344288523731</v>
      </c>
      <c r="K2304" s="197">
        <f t="shared" si="207"/>
        <v>1.007668332253767</v>
      </c>
      <c r="L2304" s="197">
        <f t="shared" si="207"/>
        <v>1.000744287175505</v>
      </c>
      <c r="M2304" s="197">
        <f t="shared" si="207"/>
        <v>0.9918864890118915</v>
      </c>
      <c r="N2304" s="197">
        <f t="shared" si="207"/>
        <v>0.9806554033004542</v>
      </c>
      <c r="O2304" s="197">
        <f t="shared" si="207"/>
        <v>0.9702094039925202</v>
      </c>
      <c r="P2304" s="197">
        <f t="shared" si="207"/>
        <v>0.9641926590771335</v>
      </c>
      <c r="Q2304" s="197">
        <f t="shared" si="207"/>
        <v>0.9616128712271763</v>
      </c>
      <c r="R2304" s="197">
        <f t="shared" si="207"/>
        <v>0.9591984478540744</v>
      </c>
      <c r="S2304" s="197">
        <f t="shared" si="207"/>
        <v>0.9569512544451144</v>
      </c>
      <c r="T2304" s="197">
        <f t="shared" si="207"/>
        <v>0.9548729785957675</v>
      </c>
      <c r="U2304" s="197">
        <f t="shared" si="207"/>
        <v>0.9529651408614581</v>
      </c>
      <c r="V2304" s="197">
        <f t="shared" si="207"/>
        <v>0.95122910490338</v>
      </c>
      <c r="W2304" s="197">
        <f t="shared" si="207"/>
        <v>0.9496660868922406</v>
      </c>
      <c r="X2304" s="197">
        <f t="shared" si="207"/>
        <v>0.9482771641380243</v>
      </c>
      <c r="Y2304" s="197">
        <f t="shared" si="207"/>
        <v>0.9470632829155444</v>
      </c>
      <c r="Z2304" s="197">
        <f t="shared" si="207"/>
        <v>0.946025265458484</v>
      </c>
    </row>
    <row r="2305">
      <c r="A2305" s="3" t="str">
        <f>CtryCode&amp;"|"&amp;$C2305</f>
        <v>EGY|incf</v>
      </c>
      <c r="B2305" s="3" t="str">
        <f>CtryCode</f>
        <v>EGY</v>
      </c>
      <c r="C2305" s="3" t="inlineStr">
        <is>
          <t>incf</t>
        </is>
      </c>
      <c r="D2305" s="3" t="inlineStr">
        <is>
          <t>factor</t>
        </is>
      </c>
      <c r="E2305" s="3" t="inlineStr">
        <is>
          <t>income-dependent factor on GDP elasticities (macro block)</t>
        </is>
      </c>
      <c r="G2305" s="197">
        <f t="shared" ref="G2305:Z2305" si="208">IF(LEFT(PsIncElAdj,3)="Yes",G2304,1)</f>
        <v>1.0271517247196045</v>
      </c>
      <c r="H2305" s="197">
        <f t="shared" si="208"/>
        <v>1.0271517247196045</v>
      </c>
      <c r="I2305" s="197">
        <f t="shared" si="208"/>
        <v>1.0205698358851585</v>
      </c>
      <c r="J2305" s="197">
        <f t="shared" si="208"/>
        <v>1.0173344288523731</v>
      </c>
      <c r="K2305" s="197">
        <f t="shared" si="208"/>
        <v>1.007668332253767</v>
      </c>
      <c r="L2305" s="197">
        <f t="shared" si="208"/>
        <v>1.000744287175505</v>
      </c>
      <c r="M2305" s="197">
        <f t="shared" si="208"/>
        <v>0.9918864890118915</v>
      </c>
      <c r="N2305" s="197">
        <f t="shared" si="208"/>
        <v>0.9806554033004542</v>
      </c>
      <c r="O2305" s="197">
        <f t="shared" si="208"/>
        <v>0.9702094039925202</v>
      </c>
      <c r="P2305" s="197">
        <f t="shared" si="208"/>
        <v>0.9641926590771335</v>
      </c>
      <c r="Q2305" s="197">
        <f t="shared" si="208"/>
        <v>0.9616128712271763</v>
      </c>
      <c r="R2305" s="197">
        <f t="shared" si="208"/>
        <v>0.9591984478540744</v>
      </c>
      <c r="S2305" s="197">
        <f t="shared" si="208"/>
        <v>0.9569512544451144</v>
      </c>
      <c r="T2305" s="197">
        <f t="shared" si="208"/>
        <v>0.9548729785957675</v>
      </c>
      <c r="U2305" s="197">
        <f t="shared" si="208"/>
        <v>0.9529651408614581</v>
      </c>
      <c r="V2305" s="197">
        <f t="shared" si="208"/>
        <v>0.95122910490338</v>
      </c>
      <c r="W2305" s="197">
        <f t="shared" si="208"/>
        <v>0.9496660868922406</v>
      </c>
      <c r="X2305" s="197">
        <f t="shared" si="208"/>
        <v>0.9482771641380243</v>
      </c>
      <c r="Y2305" s="197">
        <f t="shared" si="208"/>
        <v>0.9470632829155444</v>
      </c>
      <c r="Z2305" s="197">
        <f t="shared" si="208"/>
        <v>0.946025265458484</v>
      </c>
    </row>
    <row r="2306">
      <c r="A2306" s="3" t="str">
        <f>CtryCode&amp;"|"&amp;$C2306</f>
        <v>EGY|shock</v>
      </c>
      <c r="B2306" s="3" t="str">
        <f>CtryCode</f>
        <v>EGY</v>
      </c>
      <c r="C2306" s="3" t="inlineStr">
        <is>
          <t>shock</t>
        </is>
      </c>
      <c r="D2306" s="3" t="inlineStr">
        <is>
          <t>share</t>
        </is>
      </c>
      <c r="E2306" s="3" t="inlineStr">
        <is>
          <t>exogenous shock on energy consumption (legacy calibration, 2023-2024)</t>
        </is>
      </c>
      <c r="G2306" s="197" t="n">
        <v>0</v>
      </c>
      <c r="H2306" s="197" t="n">
        <v>-0.2081330830204422</v>
      </c>
      <c r="I2306" s="197" t="n">
        <v>0.09237142857142856</v>
      </c>
      <c r="J2306" s="197" t="n">
        <v>0</v>
      </c>
      <c r="K2306" s="197" t="n">
        <v>0</v>
      </c>
      <c r="L2306" s="197" t="n">
        <v>0</v>
      </c>
      <c r="M2306" s="197" t="n">
        <v>0</v>
      </c>
      <c r="N2306" s="197" t="n">
        <v>0</v>
      </c>
      <c r="O2306" s="197" t="n">
        <v>0</v>
      </c>
      <c r="P2306" s="197" t="n">
        <v>0</v>
      </c>
      <c r="Q2306" s="197" t="n">
        <v>0</v>
      </c>
      <c r="R2306" s="197" t="n">
        <v>0</v>
      </c>
      <c r="S2306" s="197" t="n">
        <v>0</v>
      </c>
      <c r="T2306" s="197" t="n">
        <v>0</v>
      </c>
      <c r="U2306" s="197" t="n">
        <v>0</v>
      </c>
      <c r="V2306" s="197" t="n">
        <v>0</v>
      </c>
      <c r="W2306" s="197" t="n">
        <v>0</v>
      </c>
      <c r="X2306" s="197" t="n">
        <v>0</v>
      </c>
      <c r="Y2306" s="197" t="n">
        <v>0</v>
      </c>
      <c r="Z2306" s="197" t="n">
        <v>0</v>
      </c>
    </row>
    <row r="2307">
      <c r="A2307" s="3" t="str">
        <f>CtryCode&amp;"|"&amp;$C2307</f>
        <v>EGY|pret|coa</v>
      </c>
      <c r="B2307" s="3" t="str">
        <f>CtryCode</f>
        <v>EGY</v>
      </c>
      <c r="C2307" s="3" t="inlineStr">
        <is>
          <t>pret|coa</t>
        </is>
      </c>
      <c r="D2307" s="3" t="inlineStr">
        <is>
          <t>MW</t>
        </is>
      </c>
      <c r="E2307" s="3" t="inlineStr">
        <is>
          <t>planned retirement, nameplate (K5; used if planned_retirement = Yes)</t>
        </is>
      </c>
      <c r="G2307" s="197" t="n">
        <v>0</v>
      </c>
      <c r="H2307" s="197" t="n">
        <v>0</v>
      </c>
      <c r="I2307" s="197" t="n">
        <v>0</v>
      </c>
      <c r="J2307" s="197" t="n">
        <v>0</v>
      </c>
      <c r="K2307" s="197" t="n">
        <v>0</v>
      </c>
      <c r="L2307" s="197" t="n">
        <v>0</v>
      </c>
      <c r="M2307" s="197" t="n">
        <v>0</v>
      </c>
      <c r="N2307" s="197" t="n">
        <v>0</v>
      </c>
      <c r="O2307" s="197" t="n">
        <v>0</v>
      </c>
      <c r="P2307" s="197" t="n">
        <v>0</v>
      </c>
      <c r="Q2307" s="197" t="n">
        <v>0</v>
      </c>
      <c r="R2307" s="197" t="n">
        <v>0</v>
      </c>
      <c r="S2307" s="197" t="n">
        <v>0</v>
      </c>
      <c r="T2307" s="197" t="n">
        <v>0</v>
      </c>
      <c r="U2307" s="197" t="n">
        <v>0</v>
      </c>
      <c r="V2307" s="197" t="n">
        <v>0</v>
      </c>
      <c r="W2307" s="197" t="n">
        <v>0</v>
      </c>
      <c r="X2307" s="197" t="n">
        <v>0</v>
      </c>
      <c r="Y2307" s="197" t="n">
        <v>0</v>
      </c>
      <c r="Z2307" s="197" t="n">
        <v>0</v>
      </c>
    </row>
    <row r="2308">
      <c r="A2308" s="3" t="str">
        <f>CtryCode&amp;"|"&amp;$C2308</f>
        <v>EGY|pret|nga</v>
      </c>
      <c r="B2308" s="3" t="str">
        <f>CtryCode</f>
        <v>EGY</v>
      </c>
      <c r="C2308" s="3" t="inlineStr">
        <is>
          <t>pret|nga</t>
        </is>
      </c>
      <c r="D2308" s="3" t="inlineStr">
        <is>
          <t>MW</t>
        </is>
      </c>
      <c r="E2308" s="3" t="inlineStr">
        <is>
          <t>planned retirement, nameplate (K5; used if planned_retirement = Yes)</t>
        </is>
      </c>
      <c r="G2308" s="197" t="n">
        <v>0</v>
      </c>
      <c r="H2308" s="197" t="n">
        <v>0</v>
      </c>
      <c r="I2308" s="197" t="n">
        <v>0</v>
      </c>
      <c r="J2308" s="197" t="n">
        <v>0</v>
      </c>
      <c r="K2308" s="197" t="n">
        <v>0</v>
      </c>
      <c r="L2308" s="197" t="n">
        <v>0</v>
      </c>
      <c r="M2308" s="197" t="n">
        <v>0</v>
      </c>
      <c r="N2308" s="197" t="n">
        <v>0</v>
      </c>
      <c r="O2308" s="197" t="n">
        <v>0</v>
      </c>
      <c r="P2308" s="197" t="n">
        <v>0</v>
      </c>
      <c r="Q2308" s="197" t="n">
        <v>0</v>
      </c>
      <c r="R2308" s="197" t="n">
        <v>0</v>
      </c>
      <c r="S2308" s="197" t="n">
        <v>0</v>
      </c>
      <c r="T2308" s="197" t="n">
        <v>0</v>
      </c>
      <c r="U2308" s="197" t="n">
        <v>0</v>
      </c>
      <c r="V2308" s="197" t="n">
        <v>0</v>
      </c>
      <c r="W2308" s="197" t="n">
        <v>0</v>
      </c>
      <c r="X2308" s="197" t="n">
        <v>0</v>
      </c>
      <c r="Y2308" s="197" t="n">
        <v>0</v>
      </c>
      <c r="Z2308" s="197" t="n">
        <v>0</v>
      </c>
    </row>
    <row r="2309">
      <c r="A2309" s="3" t="str">
        <f>CtryCode&amp;"|"&amp;$C2309</f>
        <v>EGY|pret|oop</v>
      </c>
      <c r="B2309" s="3" t="str">
        <f>CtryCode</f>
        <v>EGY</v>
      </c>
      <c r="C2309" s="3" t="inlineStr">
        <is>
          <t>pret|oop</t>
        </is>
      </c>
      <c r="D2309" s="3" t="inlineStr">
        <is>
          <t>MW</t>
        </is>
      </c>
      <c r="E2309" s="3" t="inlineStr">
        <is>
          <t>planned retirement, nameplate (K5; used if planned_retirement = Yes)</t>
        </is>
      </c>
      <c r="G2309" s="197" t="n">
        <v>0</v>
      </c>
      <c r="H2309" s="197" t="n">
        <v>0</v>
      </c>
      <c r="I2309" s="197" t="n">
        <v>0</v>
      </c>
      <c r="J2309" s="197" t="n">
        <v>0</v>
      </c>
      <c r="K2309" s="197" t="n">
        <v>0</v>
      </c>
      <c r="L2309" s="197" t="n">
        <v>0</v>
      </c>
      <c r="M2309" s="197" t="n">
        <v>0</v>
      </c>
      <c r="N2309" s="197" t="n">
        <v>0</v>
      </c>
      <c r="O2309" s="197" t="n">
        <v>0</v>
      </c>
      <c r="P2309" s="197" t="n">
        <v>0</v>
      </c>
      <c r="Q2309" s="197" t="n">
        <v>0</v>
      </c>
      <c r="R2309" s="197" t="n">
        <v>0</v>
      </c>
      <c r="S2309" s="197" t="n">
        <v>0</v>
      </c>
      <c r="T2309" s="197" t="n">
        <v>0</v>
      </c>
      <c r="U2309" s="197" t="n">
        <v>0</v>
      </c>
      <c r="V2309" s="197" t="n">
        <v>0</v>
      </c>
      <c r="W2309" s="197" t="n">
        <v>0</v>
      </c>
      <c r="X2309" s="197" t="n">
        <v>0</v>
      </c>
      <c r="Y2309" s="197" t="n">
        <v>0</v>
      </c>
      <c r="Z2309" s="197" t="n">
        <v>0</v>
      </c>
    </row>
    <row r="2310">
      <c r="A2310" s="3" t="str">
        <f>CtryCode&amp;"|"&amp;$C2310</f>
        <v>EGY|pret|nuc</v>
      </c>
      <c r="B2310" s="3" t="str">
        <f>CtryCode</f>
        <v>EGY</v>
      </c>
      <c r="C2310" s="3" t="inlineStr">
        <is>
          <t>pret|nuc</t>
        </is>
      </c>
      <c r="D2310" s="3" t="inlineStr">
        <is>
          <t>MW</t>
        </is>
      </c>
      <c r="E2310" s="3" t="inlineStr">
        <is>
          <t>planned retirement, nameplate (K5; used if planned_retirement = Yes)</t>
        </is>
      </c>
      <c r="G2310" s="197" t="n">
        <v>0</v>
      </c>
      <c r="H2310" s="197" t="n">
        <v>0</v>
      </c>
      <c r="I2310" s="197" t="n">
        <v>0</v>
      </c>
      <c r="J2310" s="197" t="n">
        <v>0</v>
      </c>
      <c r="K2310" s="197" t="n">
        <v>0</v>
      </c>
      <c r="L2310" s="197" t="n">
        <v>0</v>
      </c>
      <c r="M2310" s="197" t="n">
        <v>0</v>
      </c>
      <c r="N2310" s="197" t="n">
        <v>0</v>
      </c>
      <c r="O2310" s="197" t="n">
        <v>0</v>
      </c>
      <c r="P2310" s="197" t="n">
        <v>0</v>
      </c>
      <c r="Q2310" s="197" t="n">
        <v>0</v>
      </c>
      <c r="R2310" s="197" t="n">
        <v>0</v>
      </c>
      <c r="S2310" s="197" t="n">
        <v>0</v>
      </c>
      <c r="T2310" s="197" t="n">
        <v>0</v>
      </c>
      <c r="U2310" s="197" t="n">
        <v>0</v>
      </c>
      <c r="V2310" s="197" t="n">
        <v>0</v>
      </c>
      <c r="W2310" s="197" t="n">
        <v>0</v>
      </c>
      <c r="X2310" s="197" t="n">
        <v>0</v>
      </c>
      <c r="Y2310" s="197" t="n">
        <v>0</v>
      </c>
      <c r="Z2310" s="197" t="n">
        <v>0</v>
      </c>
    </row>
    <row r="2311">
      <c r="A2311" s="3" t="str">
        <f>CtryCode&amp;"|"&amp;$C2311</f>
        <v>EGY|pret|wnd</v>
      </c>
      <c r="B2311" s="3" t="str">
        <f>CtryCode</f>
        <v>EGY</v>
      </c>
      <c r="C2311" s="3" t="inlineStr">
        <is>
          <t>pret|wnd</t>
        </is>
      </c>
      <c r="D2311" s="3" t="inlineStr">
        <is>
          <t>MW</t>
        </is>
      </c>
      <c r="E2311" s="3" t="inlineStr">
        <is>
          <t>planned retirement, nameplate (K5; used if planned_retirement = Yes)</t>
        </is>
      </c>
      <c r="G2311" s="197" t="n">
        <v>0</v>
      </c>
      <c r="H2311" s="197" t="n">
        <v>0</v>
      </c>
      <c r="I2311" s="197" t="n">
        <v>0</v>
      </c>
      <c r="J2311" s="197" t="n">
        <v>0</v>
      </c>
      <c r="K2311" s="197" t="n">
        <v>0</v>
      </c>
      <c r="L2311" s="197" t="n">
        <v>0</v>
      </c>
      <c r="M2311" s="197" t="n">
        <v>0</v>
      </c>
      <c r="N2311" s="197" t="n">
        <v>0</v>
      </c>
      <c r="O2311" s="197" t="n">
        <v>0</v>
      </c>
      <c r="P2311" s="197" t="n">
        <v>0</v>
      </c>
      <c r="Q2311" s="197" t="n">
        <v>0</v>
      </c>
      <c r="R2311" s="197" t="n">
        <v>0</v>
      </c>
      <c r="S2311" s="197" t="n">
        <v>0</v>
      </c>
      <c r="T2311" s="197" t="n">
        <v>0</v>
      </c>
      <c r="U2311" s="197" t="n">
        <v>0</v>
      </c>
      <c r="V2311" s="197" t="n">
        <v>0</v>
      </c>
      <c r="W2311" s="197" t="n">
        <v>0</v>
      </c>
      <c r="X2311" s="197" t="n">
        <v>0</v>
      </c>
      <c r="Y2311" s="197" t="n">
        <v>0</v>
      </c>
      <c r="Z2311" s="197" t="n">
        <v>0</v>
      </c>
    </row>
    <row r="2312">
      <c r="A2312" s="3" t="str">
        <f>CtryCode&amp;"|"&amp;$C2312</f>
        <v>EGY|pret|sol</v>
      </c>
      <c r="B2312" s="3" t="str">
        <f>CtryCode</f>
        <v>EGY</v>
      </c>
      <c r="C2312" s="3" t="inlineStr">
        <is>
          <t>pret|sol</t>
        </is>
      </c>
      <c r="D2312" s="3" t="inlineStr">
        <is>
          <t>MW</t>
        </is>
      </c>
      <c r="E2312" s="3" t="inlineStr">
        <is>
          <t>planned retirement, nameplate (K5; used if planned_retirement = Yes)</t>
        </is>
      </c>
      <c r="G2312" s="197" t="n">
        <v>0</v>
      </c>
      <c r="H2312" s="197" t="n">
        <v>0</v>
      </c>
      <c r="I2312" s="197" t="n">
        <v>0</v>
      </c>
      <c r="J2312" s="197" t="n">
        <v>0</v>
      </c>
      <c r="K2312" s="197" t="n">
        <v>0</v>
      </c>
      <c r="L2312" s="197" t="n">
        <v>0</v>
      </c>
      <c r="M2312" s="197" t="n">
        <v>0</v>
      </c>
      <c r="N2312" s="197" t="n">
        <v>0</v>
      </c>
      <c r="O2312" s="197" t="n">
        <v>0</v>
      </c>
      <c r="P2312" s="197" t="n">
        <v>0</v>
      </c>
      <c r="Q2312" s="197" t="n">
        <v>0</v>
      </c>
      <c r="R2312" s="197" t="n">
        <v>0</v>
      </c>
      <c r="S2312" s="197" t="n">
        <v>0</v>
      </c>
      <c r="T2312" s="197" t="n">
        <v>0</v>
      </c>
      <c r="U2312" s="197" t="n">
        <v>0</v>
      </c>
      <c r="V2312" s="197" t="n">
        <v>0</v>
      </c>
      <c r="W2312" s="197" t="n">
        <v>0</v>
      </c>
      <c r="X2312" s="197" t="n">
        <v>0</v>
      </c>
      <c r="Y2312" s="197" t="n">
        <v>0</v>
      </c>
      <c r="Z2312" s="197" t="n">
        <v>0</v>
      </c>
    </row>
    <row r="2313">
      <c r="A2313" s="3" t="str">
        <f>CtryCode&amp;"|"&amp;$C2313</f>
        <v>EGY|pret|hyd</v>
      </c>
      <c r="B2313" s="3" t="str">
        <f>CtryCode</f>
        <v>EGY</v>
      </c>
      <c r="C2313" s="3" t="inlineStr">
        <is>
          <t>pret|hyd</t>
        </is>
      </c>
      <c r="D2313" s="3" t="inlineStr">
        <is>
          <t>MW</t>
        </is>
      </c>
      <c r="E2313" s="3" t="inlineStr">
        <is>
          <t>planned retirement, nameplate (K5; used if planned_retirement = Yes)</t>
        </is>
      </c>
      <c r="G2313" s="197" t="n">
        <v>0</v>
      </c>
      <c r="H2313" s="197" t="n">
        <v>0</v>
      </c>
      <c r="I2313" s="197" t="n">
        <v>0</v>
      </c>
      <c r="J2313" s="197" t="n">
        <v>0</v>
      </c>
      <c r="K2313" s="197" t="n">
        <v>0</v>
      </c>
      <c r="L2313" s="197" t="n">
        <v>0</v>
      </c>
      <c r="M2313" s="197" t="n">
        <v>0</v>
      </c>
      <c r="N2313" s="197" t="n">
        <v>0</v>
      </c>
      <c r="O2313" s="197" t="n">
        <v>0</v>
      </c>
      <c r="P2313" s="197" t="n">
        <v>0</v>
      </c>
      <c r="Q2313" s="197" t="n">
        <v>0</v>
      </c>
      <c r="R2313" s="197" t="n">
        <v>0</v>
      </c>
      <c r="S2313" s="197" t="n">
        <v>0</v>
      </c>
      <c r="T2313" s="197" t="n">
        <v>0</v>
      </c>
      <c r="U2313" s="197" t="n">
        <v>0</v>
      </c>
      <c r="V2313" s="197" t="n">
        <v>0</v>
      </c>
      <c r="W2313" s="197" t="n">
        <v>0</v>
      </c>
      <c r="X2313" s="197" t="n">
        <v>0</v>
      </c>
      <c r="Y2313" s="197" t="n">
        <v>0</v>
      </c>
      <c r="Z2313" s="197" t="n">
        <v>0</v>
      </c>
    </row>
    <row r="2314">
      <c r="A2314" s="3" t="str">
        <f>CtryCode&amp;"|"&amp;$C2314</f>
        <v>EGY|pret|ore</v>
      </c>
      <c r="B2314" s="3" t="str">
        <f>CtryCode</f>
        <v>EGY</v>
      </c>
      <c r="C2314" s="3" t="inlineStr">
        <is>
          <t>pret|ore</t>
        </is>
      </c>
      <c r="D2314" s="3" t="inlineStr">
        <is>
          <t>MW</t>
        </is>
      </c>
      <c r="E2314" s="3" t="inlineStr">
        <is>
          <t>planned retirement, nameplate (K5; used if planned_retirement = Yes)</t>
        </is>
      </c>
      <c r="G2314" s="197" t="n">
        <v>0</v>
      </c>
      <c r="H2314" s="197" t="n">
        <v>0</v>
      </c>
      <c r="I2314" s="197" t="n">
        <v>0</v>
      </c>
      <c r="J2314" s="197" t="n">
        <v>0</v>
      </c>
      <c r="K2314" s="197" t="n">
        <v>0</v>
      </c>
      <c r="L2314" s="197" t="n">
        <v>0</v>
      </c>
      <c r="M2314" s="197" t="n">
        <v>0</v>
      </c>
      <c r="N2314" s="197" t="n">
        <v>0</v>
      </c>
      <c r="O2314" s="197" t="n">
        <v>0</v>
      </c>
      <c r="P2314" s="197" t="n">
        <v>0</v>
      </c>
      <c r="Q2314" s="197" t="n">
        <v>0</v>
      </c>
      <c r="R2314" s="197" t="n">
        <v>0</v>
      </c>
      <c r="S2314" s="197" t="n">
        <v>0</v>
      </c>
      <c r="T2314" s="197" t="n">
        <v>0</v>
      </c>
      <c r="U2314" s="197" t="n">
        <v>0</v>
      </c>
      <c r="V2314" s="197" t="n">
        <v>0</v>
      </c>
      <c r="W2314" s="197" t="n">
        <v>0</v>
      </c>
      <c r="X2314" s="197" t="n">
        <v>0</v>
      </c>
      <c r="Y2314" s="197" t="n">
        <v>0</v>
      </c>
      <c r="Z2314" s="197" t="n">
        <v>0</v>
      </c>
    </row>
    <row r="2315">
      <c r="A2315" s="3" t="str">
        <f>CtryCode&amp;"|"&amp;$C2315</f>
        <v>EGY|pret|bio</v>
      </c>
      <c r="B2315" s="3" t="str">
        <f>CtryCode</f>
        <v>EGY</v>
      </c>
      <c r="C2315" s="3" t="inlineStr">
        <is>
          <t>pret|bio</t>
        </is>
      </c>
      <c r="D2315" s="3" t="inlineStr">
        <is>
          <t>MW</t>
        </is>
      </c>
      <c r="E2315" s="3" t="inlineStr">
        <is>
          <t>planned retirement, nameplate (K5; used if planned_retirement = Yes)</t>
        </is>
      </c>
      <c r="G2315" s="197" t="n">
        <v>0</v>
      </c>
      <c r="H2315" s="197" t="n">
        <v>0</v>
      </c>
      <c r="I2315" s="197" t="n">
        <v>0</v>
      </c>
      <c r="J2315" s="197" t="n">
        <v>0</v>
      </c>
      <c r="K2315" s="197" t="n">
        <v>0</v>
      </c>
      <c r="L2315" s="197" t="n">
        <v>0</v>
      </c>
      <c r="M2315" s="197" t="n">
        <v>0</v>
      </c>
      <c r="N2315" s="197" t="n">
        <v>0</v>
      </c>
      <c r="O2315" s="197" t="n">
        <v>0</v>
      </c>
      <c r="P2315" s="197" t="n">
        <v>0</v>
      </c>
      <c r="Q2315" s="197" t="n">
        <v>0</v>
      </c>
      <c r="R2315" s="197" t="n">
        <v>0</v>
      </c>
      <c r="S2315" s="197" t="n">
        <v>0</v>
      </c>
      <c r="T2315" s="197" t="n">
        <v>0</v>
      </c>
      <c r="U2315" s="197" t="n">
        <v>0</v>
      </c>
      <c r="V2315" s="197" t="n">
        <v>0</v>
      </c>
      <c r="W2315" s="197" t="n">
        <v>0</v>
      </c>
      <c r="X2315" s="197" t="n">
        <v>0</v>
      </c>
      <c r="Y2315" s="197" t="n">
        <v>0</v>
      </c>
      <c r="Z2315" s="197" t="n">
        <v>0</v>
      </c>
    </row>
    <row r="2316">
      <c r="A2316" s="3" t="str">
        <f>CtryCode&amp;"|"&amp;$C2316</f>
        <v>EGY|tcf|coa|low</v>
      </c>
      <c r="B2316" s="3" t="str">
        <f>CtryCode</f>
        <v>EGY</v>
      </c>
      <c r="C2316" s="3" t="inlineStr">
        <is>
          <t>tcf|coa|low</t>
        </is>
      </c>
      <c r="D2316" s="3" t="inlineStr">
        <is>
          <t>factor</t>
        </is>
      </c>
      <c r="E2316" s="3" t="inlineStr">
        <is>
          <t>capex time factor, decline scenario low (Power rows 303-330; medium for non-renewables)</t>
        </is>
      </c>
      <c r="F2316" s="39" t="n">
        <v>283</v>
      </c>
      <c r="G2316" s="197" t="n">
        <v>1</v>
      </c>
      <c r="H2316" s="197" t="n">
        <v>1</v>
      </c>
      <c r="I2316" s="197" t="n">
        <v>1</v>
      </c>
      <c r="J2316" s="197" t="n">
        <v>1</v>
      </c>
      <c r="K2316" s="197" t="n">
        <v>1</v>
      </c>
      <c r="L2316" s="197" t="n">
        <v>1</v>
      </c>
      <c r="M2316" s="197" t="n">
        <v>1</v>
      </c>
      <c r="N2316" s="197" t="n">
        <v>1</v>
      </c>
      <c r="O2316" s="197" t="n">
        <v>1</v>
      </c>
      <c r="P2316" s="197" t="n">
        <v>1</v>
      </c>
      <c r="Q2316" s="197" t="n">
        <v>1</v>
      </c>
      <c r="R2316" s="197" t="n">
        <v>1</v>
      </c>
      <c r="S2316" s="197" t="n">
        <v>1</v>
      </c>
      <c r="T2316" s="197" t="n">
        <v>1</v>
      </c>
      <c r="U2316" s="197" t="n">
        <v>1</v>
      </c>
      <c r="V2316" s="197" t="n">
        <v>1</v>
      </c>
      <c r="W2316" s="197" t="n">
        <v>1</v>
      </c>
      <c r="X2316" s="197" t="n">
        <v>1</v>
      </c>
      <c r="Y2316" s="197" t="n">
        <v>1</v>
      </c>
      <c r="Z2316" s="197" t="n">
        <v>1</v>
      </c>
    </row>
    <row r="2317">
      <c r="A2317" s="3" t="str">
        <f>CtryCode&amp;"|"&amp;$C2317</f>
        <v>EGY|tcf|coa|med</v>
      </c>
      <c r="B2317" s="3" t="str">
        <f>CtryCode</f>
        <v>EGY</v>
      </c>
      <c r="C2317" s="3" t="inlineStr">
        <is>
          <t>tcf|coa|med</t>
        </is>
      </c>
      <c r="D2317" s="3" t="inlineStr">
        <is>
          <t>factor</t>
        </is>
      </c>
      <c r="E2317" s="3" t="inlineStr">
        <is>
          <t>capex time factor, decline scenario med (Power rows 303-330; medium for non-renewables)</t>
        </is>
      </c>
      <c r="F2317" s="39" t="n">
        <v>283</v>
      </c>
      <c r="G2317" s="197" t="n">
        <v>1</v>
      </c>
      <c r="H2317" s="197" t="n">
        <v>1</v>
      </c>
      <c r="I2317" s="197" t="n">
        <v>1</v>
      </c>
      <c r="J2317" s="197" t="n">
        <v>1</v>
      </c>
      <c r="K2317" s="197" t="n">
        <v>1</v>
      </c>
      <c r="L2317" s="197" t="n">
        <v>1</v>
      </c>
      <c r="M2317" s="197" t="n">
        <v>1</v>
      </c>
      <c r="N2317" s="197" t="n">
        <v>1</v>
      </c>
      <c r="O2317" s="197" t="n">
        <v>1</v>
      </c>
      <c r="P2317" s="197" t="n">
        <v>1</v>
      </c>
      <c r="Q2317" s="197" t="n">
        <v>1</v>
      </c>
      <c r="R2317" s="197" t="n">
        <v>1</v>
      </c>
      <c r="S2317" s="197" t="n">
        <v>1</v>
      </c>
      <c r="T2317" s="197" t="n">
        <v>1</v>
      </c>
      <c r="U2317" s="197" t="n">
        <v>1</v>
      </c>
      <c r="V2317" s="197" t="n">
        <v>1</v>
      </c>
      <c r="W2317" s="197" t="n">
        <v>1</v>
      </c>
      <c r="X2317" s="197" t="n">
        <v>1</v>
      </c>
      <c r="Y2317" s="197" t="n">
        <v>1</v>
      </c>
      <c r="Z2317" s="197" t="n">
        <v>1</v>
      </c>
    </row>
    <row r="2318">
      <c r="A2318" s="3" t="str">
        <f>CtryCode&amp;"|"&amp;$C2318</f>
        <v>EGY|tcf|coa|hgh</v>
      </c>
      <c r="B2318" s="3" t="str">
        <f>CtryCode</f>
        <v>EGY</v>
      </c>
      <c r="C2318" s="3" t="inlineStr">
        <is>
          <t>tcf|coa|hgh</t>
        </is>
      </c>
      <c r="D2318" s="3" t="inlineStr">
        <is>
          <t>factor</t>
        </is>
      </c>
      <c r="E2318" s="3" t="inlineStr">
        <is>
          <t>capex time factor, decline scenario hgh (Power rows 303-330; medium for non-renewables)</t>
        </is>
      </c>
      <c r="F2318" s="39" t="n">
        <v>283</v>
      </c>
      <c r="G2318" s="197" t="n">
        <v>1</v>
      </c>
      <c r="H2318" s="197" t="n">
        <v>1</v>
      </c>
      <c r="I2318" s="197" t="n">
        <v>1</v>
      </c>
      <c r="J2318" s="197" t="n">
        <v>1</v>
      </c>
      <c r="K2318" s="197" t="n">
        <v>1</v>
      </c>
      <c r="L2318" s="197" t="n">
        <v>1</v>
      </c>
      <c r="M2318" s="197" t="n">
        <v>1</v>
      </c>
      <c r="N2318" s="197" t="n">
        <v>1</v>
      </c>
      <c r="O2318" s="197" t="n">
        <v>1</v>
      </c>
      <c r="P2318" s="197" t="n">
        <v>1</v>
      </c>
      <c r="Q2318" s="197" t="n">
        <v>1</v>
      </c>
      <c r="R2318" s="197" t="n">
        <v>1</v>
      </c>
      <c r="S2318" s="197" t="n">
        <v>1</v>
      </c>
      <c r="T2318" s="197" t="n">
        <v>1</v>
      </c>
      <c r="U2318" s="197" t="n">
        <v>1</v>
      </c>
      <c r="V2318" s="197" t="n">
        <v>1</v>
      </c>
      <c r="W2318" s="197" t="n">
        <v>1</v>
      </c>
      <c r="X2318" s="197" t="n">
        <v>1</v>
      </c>
      <c r="Y2318" s="197" t="n">
        <v>1</v>
      </c>
      <c r="Z2318" s="197" t="n">
        <v>1</v>
      </c>
    </row>
    <row r="2319">
      <c r="A2319" s="3" t="str">
        <f>CtryCode&amp;"|"&amp;$C2319</f>
        <v>EGY|tcf|coa|vhg</v>
      </c>
      <c r="B2319" s="3" t="str">
        <f>CtryCode</f>
        <v>EGY</v>
      </c>
      <c r="C2319" s="3" t="inlineStr">
        <is>
          <t>tcf|coa|vhg</t>
        </is>
      </c>
      <c r="D2319" s="3" t="inlineStr">
        <is>
          <t>factor</t>
        </is>
      </c>
      <c r="E2319" s="3" t="inlineStr">
        <is>
          <t>capex time factor, decline scenario vhg (Power rows 303-330; medium for non-renewables)</t>
        </is>
      </c>
      <c r="F2319" s="39" t="n">
        <v>283</v>
      </c>
      <c r="G2319" s="197" t="n">
        <v>1</v>
      </c>
      <c r="H2319" s="197" t="n">
        <v>1</v>
      </c>
      <c r="I2319" s="197" t="n">
        <v>1</v>
      </c>
      <c r="J2319" s="197" t="n">
        <v>1</v>
      </c>
      <c r="K2319" s="197" t="n">
        <v>1</v>
      </c>
      <c r="L2319" s="197" t="n">
        <v>1</v>
      </c>
      <c r="M2319" s="197" t="n">
        <v>1</v>
      </c>
      <c r="N2319" s="197" t="n">
        <v>1</v>
      </c>
      <c r="O2319" s="197" t="n">
        <v>1</v>
      </c>
      <c r="P2319" s="197" t="n">
        <v>1</v>
      </c>
      <c r="Q2319" s="197" t="n">
        <v>1</v>
      </c>
      <c r="R2319" s="197" t="n">
        <v>1</v>
      </c>
      <c r="S2319" s="197" t="n">
        <v>1</v>
      </c>
      <c r="T2319" s="197" t="n">
        <v>1</v>
      </c>
      <c r="U2319" s="197" t="n">
        <v>1</v>
      </c>
      <c r="V2319" s="197" t="n">
        <v>1</v>
      </c>
      <c r="W2319" s="197" t="n">
        <v>1</v>
      </c>
      <c r="X2319" s="197" t="n">
        <v>1</v>
      </c>
      <c r="Y2319" s="197" t="n">
        <v>1</v>
      </c>
      <c r="Z2319" s="197" t="n">
        <v>1</v>
      </c>
    </row>
    <row r="2320">
      <c r="A2320" s="3" t="str">
        <f>CtryCode&amp;"|"&amp;$C2320</f>
        <v>EGY|tcf|nga|low</v>
      </c>
      <c r="B2320" s="3" t="str">
        <f>CtryCode</f>
        <v>EGY</v>
      </c>
      <c r="C2320" s="3" t="inlineStr">
        <is>
          <t>tcf|nga|low</t>
        </is>
      </c>
      <c r="D2320" s="3" t="inlineStr">
        <is>
          <t>factor</t>
        </is>
      </c>
      <c r="E2320" s="3" t="inlineStr">
        <is>
          <t>capex time factor, decline scenario low (Power rows 303-330; medium for non-renewables)</t>
        </is>
      </c>
      <c r="F2320" s="39" t="n">
        <v>288</v>
      </c>
      <c r="G2320" s="197" t="n">
        <v>1</v>
      </c>
      <c r="H2320" s="197" t="n">
        <v>1</v>
      </c>
      <c r="I2320" s="197" t="n">
        <v>1</v>
      </c>
      <c r="J2320" s="197" t="n">
        <v>1</v>
      </c>
      <c r="K2320" s="197" t="n">
        <v>1</v>
      </c>
      <c r="L2320" s="197" t="n">
        <v>1</v>
      </c>
      <c r="M2320" s="197" t="n">
        <v>1</v>
      </c>
      <c r="N2320" s="197" t="n">
        <v>1</v>
      </c>
      <c r="O2320" s="197" t="n">
        <v>1</v>
      </c>
      <c r="P2320" s="197" t="n">
        <v>1</v>
      </c>
      <c r="Q2320" s="197" t="n">
        <v>1</v>
      </c>
      <c r="R2320" s="197" t="n">
        <v>1</v>
      </c>
      <c r="S2320" s="197" t="n">
        <v>1</v>
      </c>
      <c r="T2320" s="197" t="n">
        <v>1</v>
      </c>
      <c r="U2320" s="197" t="n">
        <v>1</v>
      </c>
      <c r="V2320" s="197" t="n">
        <v>1</v>
      </c>
      <c r="W2320" s="197" t="n">
        <v>1</v>
      </c>
      <c r="X2320" s="197" t="n">
        <v>1</v>
      </c>
      <c r="Y2320" s="197" t="n">
        <v>1</v>
      </c>
      <c r="Z2320" s="197" t="n">
        <v>1</v>
      </c>
    </row>
    <row r="2321">
      <c r="A2321" s="3" t="str">
        <f>CtryCode&amp;"|"&amp;$C2321</f>
        <v>EGY|tcf|nga|med</v>
      </c>
      <c r="B2321" s="3" t="str">
        <f>CtryCode</f>
        <v>EGY</v>
      </c>
      <c r="C2321" s="3" t="inlineStr">
        <is>
          <t>tcf|nga|med</t>
        </is>
      </c>
      <c r="D2321" s="3" t="inlineStr">
        <is>
          <t>factor</t>
        </is>
      </c>
      <c r="E2321" s="3" t="inlineStr">
        <is>
          <t>capex time factor, decline scenario med (Power rows 303-330; medium for non-renewables)</t>
        </is>
      </c>
      <c r="F2321" s="39" t="n">
        <v>288</v>
      </c>
      <c r="G2321" s="197" t="n">
        <v>1</v>
      </c>
      <c r="H2321" s="197" t="n">
        <v>1</v>
      </c>
      <c r="I2321" s="197" t="n">
        <v>1</v>
      </c>
      <c r="J2321" s="197" t="n">
        <v>1</v>
      </c>
      <c r="K2321" s="197" t="n">
        <v>1</v>
      </c>
      <c r="L2321" s="197" t="n">
        <v>1</v>
      </c>
      <c r="M2321" s="197" t="n">
        <v>1</v>
      </c>
      <c r="N2321" s="197" t="n">
        <v>1</v>
      </c>
      <c r="O2321" s="197" t="n">
        <v>1</v>
      </c>
      <c r="P2321" s="197" t="n">
        <v>1</v>
      </c>
      <c r="Q2321" s="197" t="n">
        <v>1</v>
      </c>
      <c r="R2321" s="197" t="n">
        <v>1</v>
      </c>
      <c r="S2321" s="197" t="n">
        <v>1</v>
      </c>
      <c r="T2321" s="197" t="n">
        <v>1</v>
      </c>
      <c r="U2321" s="197" t="n">
        <v>1</v>
      </c>
      <c r="V2321" s="197" t="n">
        <v>1</v>
      </c>
      <c r="W2321" s="197" t="n">
        <v>1</v>
      </c>
      <c r="X2321" s="197" t="n">
        <v>1</v>
      </c>
      <c r="Y2321" s="197" t="n">
        <v>1</v>
      </c>
      <c r="Z2321" s="197" t="n">
        <v>1</v>
      </c>
    </row>
    <row r="2322">
      <c r="A2322" s="3" t="str">
        <f>CtryCode&amp;"|"&amp;$C2322</f>
        <v>EGY|tcf|nga|hgh</v>
      </c>
      <c r="B2322" s="3" t="str">
        <f>CtryCode</f>
        <v>EGY</v>
      </c>
      <c r="C2322" s="3" t="inlineStr">
        <is>
          <t>tcf|nga|hgh</t>
        </is>
      </c>
      <c r="D2322" s="3" t="inlineStr">
        <is>
          <t>factor</t>
        </is>
      </c>
      <c r="E2322" s="3" t="inlineStr">
        <is>
          <t>capex time factor, decline scenario hgh (Power rows 303-330; medium for non-renewables)</t>
        </is>
      </c>
      <c r="F2322" s="39" t="n">
        <v>288</v>
      </c>
      <c r="G2322" s="197" t="n">
        <v>1</v>
      </c>
      <c r="H2322" s="197" t="n">
        <v>1</v>
      </c>
      <c r="I2322" s="197" t="n">
        <v>1</v>
      </c>
      <c r="J2322" s="197" t="n">
        <v>1</v>
      </c>
      <c r="K2322" s="197" t="n">
        <v>1</v>
      </c>
      <c r="L2322" s="197" t="n">
        <v>1</v>
      </c>
      <c r="M2322" s="197" t="n">
        <v>1</v>
      </c>
      <c r="N2322" s="197" t="n">
        <v>1</v>
      </c>
      <c r="O2322" s="197" t="n">
        <v>1</v>
      </c>
      <c r="P2322" s="197" t="n">
        <v>1</v>
      </c>
      <c r="Q2322" s="197" t="n">
        <v>1</v>
      </c>
      <c r="R2322" s="197" t="n">
        <v>1</v>
      </c>
      <c r="S2322" s="197" t="n">
        <v>1</v>
      </c>
      <c r="T2322" s="197" t="n">
        <v>1</v>
      </c>
      <c r="U2322" s="197" t="n">
        <v>1</v>
      </c>
      <c r="V2322" s="197" t="n">
        <v>1</v>
      </c>
      <c r="W2322" s="197" t="n">
        <v>1</v>
      </c>
      <c r="X2322" s="197" t="n">
        <v>1</v>
      </c>
      <c r="Y2322" s="197" t="n">
        <v>1</v>
      </c>
      <c r="Z2322" s="197" t="n">
        <v>1</v>
      </c>
    </row>
    <row r="2323">
      <c r="A2323" s="3" t="str">
        <f>CtryCode&amp;"|"&amp;$C2323</f>
        <v>EGY|tcf|nga|vhg</v>
      </c>
      <c r="B2323" s="3" t="str">
        <f>CtryCode</f>
        <v>EGY</v>
      </c>
      <c r="C2323" s="3" t="inlineStr">
        <is>
          <t>tcf|nga|vhg</t>
        </is>
      </c>
      <c r="D2323" s="3" t="inlineStr">
        <is>
          <t>factor</t>
        </is>
      </c>
      <c r="E2323" s="3" t="inlineStr">
        <is>
          <t>capex time factor, decline scenario vhg (Power rows 303-330; medium for non-renewables)</t>
        </is>
      </c>
      <c r="F2323" s="39" t="n">
        <v>288</v>
      </c>
      <c r="G2323" s="197" t="n">
        <v>1</v>
      </c>
      <c r="H2323" s="197" t="n">
        <v>1</v>
      </c>
      <c r="I2323" s="197" t="n">
        <v>1</v>
      </c>
      <c r="J2323" s="197" t="n">
        <v>1</v>
      </c>
      <c r="K2323" s="197" t="n">
        <v>1</v>
      </c>
      <c r="L2323" s="197" t="n">
        <v>1</v>
      </c>
      <c r="M2323" s="197" t="n">
        <v>1</v>
      </c>
      <c r="N2323" s="197" t="n">
        <v>1</v>
      </c>
      <c r="O2323" s="197" t="n">
        <v>1</v>
      </c>
      <c r="P2323" s="197" t="n">
        <v>1</v>
      </c>
      <c r="Q2323" s="197" t="n">
        <v>1</v>
      </c>
      <c r="R2323" s="197" t="n">
        <v>1</v>
      </c>
      <c r="S2323" s="197" t="n">
        <v>1</v>
      </c>
      <c r="T2323" s="197" t="n">
        <v>1</v>
      </c>
      <c r="U2323" s="197" t="n">
        <v>1</v>
      </c>
      <c r="V2323" s="197" t="n">
        <v>1</v>
      </c>
      <c r="W2323" s="197" t="n">
        <v>1</v>
      </c>
      <c r="X2323" s="197" t="n">
        <v>1</v>
      </c>
      <c r="Y2323" s="197" t="n">
        <v>1</v>
      </c>
      <c r="Z2323" s="197" t="n">
        <v>1</v>
      </c>
    </row>
    <row r="2324">
      <c r="A2324" s="3" t="str">
        <f>CtryCode&amp;"|"&amp;$C2324</f>
        <v>EGY|tcf|oop|low</v>
      </c>
      <c r="B2324" s="3" t="str">
        <f>CtryCode</f>
        <v>EGY</v>
      </c>
      <c r="C2324" s="3" t="inlineStr">
        <is>
          <t>tcf|oop|low</t>
        </is>
      </c>
      <c r="D2324" s="3" t="inlineStr">
        <is>
          <t>factor</t>
        </is>
      </c>
      <c r="E2324" s="3" t="inlineStr">
        <is>
          <t>capex time factor, decline scenario low (Power rows 303-330; medium for non-renewables)</t>
        </is>
      </c>
      <c r="F2324" s="39" t="n">
        <v>290</v>
      </c>
      <c r="G2324" s="197" t="n">
        <v>1</v>
      </c>
      <c r="H2324" s="197" t="n">
        <v>1</v>
      </c>
      <c r="I2324" s="197" t="n">
        <v>1</v>
      </c>
      <c r="J2324" s="197" t="n">
        <v>1</v>
      </c>
      <c r="K2324" s="197" t="n">
        <v>1</v>
      </c>
      <c r="L2324" s="197" t="n">
        <v>1</v>
      </c>
      <c r="M2324" s="197" t="n">
        <v>1</v>
      </c>
      <c r="N2324" s="197" t="n">
        <v>1</v>
      </c>
      <c r="O2324" s="197" t="n">
        <v>1</v>
      </c>
      <c r="P2324" s="197" t="n">
        <v>1</v>
      </c>
      <c r="Q2324" s="197" t="n">
        <v>1</v>
      </c>
      <c r="R2324" s="197" t="n">
        <v>1</v>
      </c>
      <c r="S2324" s="197" t="n">
        <v>1</v>
      </c>
      <c r="T2324" s="197" t="n">
        <v>1</v>
      </c>
      <c r="U2324" s="197" t="n">
        <v>1</v>
      </c>
      <c r="V2324" s="197" t="n">
        <v>1</v>
      </c>
      <c r="W2324" s="197" t="n">
        <v>1</v>
      </c>
      <c r="X2324" s="197" t="n">
        <v>1</v>
      </c>
      <c r="Y2324" s="197" t="n">
        <v>1</v>
      </c>
      <c r="Z2324" s="197" t="n">
        <v>1</v>
      </c>
    </row>
    <row r="2325">
      <c r="A2325" s="3" t="str">
        <f>CtryCode&amp;"|"&amp;$C2325</f>
        <v>EGY|tcf|oop|med</v>
      </c>
      <c r="B2325" s="3" t="str">
        <f>CtryCode</f>
        <v>EGY</v>
      </c>
      <c r="C2325" s="3" t="inlineStr">
        <is>
          <t>tcf|oop|med</t>
        </is>
      </c>
      <c r="D2325" s="3" t="inlineStr">
        <is>
          <t>factor</t>
        </is>
      </c>
      <c r="E2325" s="3" t="inlineStr">
        <is>
          <t>capex time factor, decline scenario med (Power rows 303-330; medium for non-renewables)</t>
        </is>
      </c>
      <c r="F2325" s="39" t="n">
        <v>290</v>
      </c>
      <c r="G2325" s="197" t="n">
        <v>1</v>
      </c>
      <c r="H2325" s="197" t="n">
        <v>1</v>
      </c>
      <c r="I2325" s="197" t="n">
        <v>1</v>
      </c>
      <c r="J2325" s="197" t="n">
        <v>1</v>
      </c>
      <c r="K2325" s="197" t="n">
        <v>1</v>
      </c>
      <c r="L2325" s="197" t="n">
        <v>1</v>
      </c>
      <c r="M2325" s="197" t="n">
        <v>1</v>
      </c>
      <c r="N2325" s="197" t="n">
        <v>1</v>
      </c>
      <c r="O2325" s="197" t="n">
        <v>1</v>
      </c>
      <c r="P2325" s="197" t="n">
        <v>1</v>
      </c>
      <c r="Q2325" s="197" t="n">
        <v>1</v>
      </c>
      <c r="R2325" s="197" t="n">
        <v>1</v>
      </c>
      <c r="S2325" s="197" t="n">
        <v>1</v>
      </c>
      <c r="T2325" s="197" t="n">
        <v>1</v>
      </c>
      <c r="U2325" s="197" t="n">
        <v>1</v>
      </c>
      <c r="V2325" s="197" t="n">
        <v>1</v>
      </c>
      <c r="W2325" s="197" t="n">
        <v>1</v>
      </c>
      <c r="X2325" s="197" t="n">
        <v>1</v>
      </c>
      <c r="Y2325" s="197" t="n">
        <v>1</v>
      </c>
      <c r="Z2325" s="197" t="n">
        <v>1</v>
      </c>
    </row>
    <row r="2326">
      <c r="A2326" s="3" t="str">
        <f>CtryCode&amp;"|"&amp;$C2326</f>
        <v>EGY|tcf|oop|hgh</v>
      </c>
      <c r="B2326" s="3" t="str">
        <f>CtryCode</f>
        <v>EGY</v>
      </c>
      <c r="C2326" s="3" t="inlineStr">
        <is>
          <t>tcf|oop|hgh</t>
        </is>
      </c>
      <c r="D2326" s="3" t="inlineStr">
        <is>
          <t>factor</t>
        </is>
      </c>
      <c r="E2326" s="3" t="inlineStr">
        <is>
          <t>capex time factor, decline scenario hgh (Power rows 303-330; medium for non-renewables)</t>
        </is>
      </c>
      <c r="F2326" s="39" t="n">
        <v>290</v>
      </c>
      <c r="G2326" s="197" t="n">
        <v>1</v>
      </c>
      <c r="H2326" s="197" t="n">
        <v>1</v>
      </c>
      <c r="I2326" s="197" t="n">
        <v>1</v>
      </c>
      <c r="J2326" s="197" t="n">
        <v>1</v>
      </c>
      <c r="K2326" s="197" t="n">
        <v>1</v>
      </c>
      <c r="L2326" s="197" t="n">
        <v>1</v>
      </c>
      <c r="M2326" s="197" t="n">
        <v>1</v>
      </c>
      <c r="N2326" s="197" t="n">
        <v>1</v>
      </c>
      <c r="O2326" s="197" t="n">
        <v>1</v>
      </c>
      <c r="P2326" s="197" t="n">
        <v>1</v>
      </c>
      <c r="Q2326" s="197" t="n">
        <v>1</v>
      </c>
      <c r="R2326" s="197" t="n">
        <v>1</v>
      </c>
      <c r="S2326" s="197" t="n">
        <v>1</v>
      </c>
      <c r="T2326" s="197" t="n">
        <v>1</v>
      </c>
      <c r="U2326" s="197" t="n">
        <v>1</v>
      </c>
      <c r="V2326" s="197" t="n">
        <v>1</v>
      </c>
      <c r="W2326" s="197" t="n">
        <v>1</v>
      </c>
      <c r="X2326" s="197" t="n">
        <v>1</v>
      </c>
      <c r="Y2326" s="197" t="n">
        <v>1</v>
      </c>
      <c r="Z2326" s="197" t="n">
        <v>1</v>
      </c>
    </row>
    <row r="2327">
      <c r="A2327" s="3" t="str">
        <f>CtryCode&amp;"|"&amp;$C2327</f>
        <v>EGY|tcf|oop|vhg</v>
      </c>
      <c r="B2327" s="3" t="str">
        <f>CtryCode</f>
        <v>EGY</v>
      </c>
      <c r="C2327" s="3" t="inlineStr">
        <is>
          <t>tcf|oop|vhg</t>
        </is>
      </c>
      <c r="D2327" s="3" t="inlineStr">
        <is>
          <t>factor</t>
        </is>
      </c>
      <c r="E2327" s="3" t="inlineStr">
        <is>
          <t>capex time factor, decline scenario vhg (Power rows 303-330; medium for non-renewables)</t>
        </is>
      </c>
      <c r="F2327" s="39" t="n">
        <v>290</v>
      </c>
      <c r="G2327" s="197" t="n">
        <v>1</v>
      </c>
      <c r="H2327" s="197" t="n">
        <v>1</v>
      </c>
      <c r="I2327" s="197" t="n">
        <v>1</v>
      </c>
      <c r="J2327" s="197" t="n">
        <v>1</v>
      </c>
      <c r="K2327" s="197" t="n">
        <v>1</v>
      </c>
      <c r="L2327" s="197" t="n">
        <v>1</v>
      </c>
      <c r="M2327" s="197" t="n">
        <v>1</v>
      </c>
      <c r="N2327" s="197" t="n">
        <v>1</v>
      </c>
      <c r="O2327" s="197" t="n">
        <v>1</v>
      </c>
      <c r="P2327" s="197" t="n">
        <v>1</v>
      </c>
      <c r="Q2327" s="197" t="n">
        <v>1</v>
      </c>
      <c r="R2327" s="197" t="n">
        <v>1</v>
      </c>
      <c r="S2327" s="197" t="n">
        <v>1</v>
      </c>
      <c r="T2327" s="197" t="n">
        <v>1</v>
      </c>
      <c r="U2327" s="197" t="n">
        <v>1</v>
      </c>
      <c r="V2327" s="197" t="n">
        <v>1</v>
      </c>
      <c r="W2327" s="197" t="n">
        <v>1</v>
      </c>
      <c r="X2327" s="197" t="n">
        <v>1</v>
      </c>
      <c r="Y2327" s="197" t="n">
        <v>1</v>
      </c>
      <c r="Z2327" s="197" t="n">
        <v>1</v>
      </c>
    </row>
    <row r="2328">
      <c r="A2328" s="3" t="str">
        <f>CtryCode&amp;"|"&amp;$C2328</f>
        <v>EGY|tcf|nuc|low</v>
      </c>
      <c r="B2328" s="3" t="str">
        <f>CtryCode</f>
        <v>EGY</v>
      </c>
      <c r="C2328" s="3" t="inlineStr">
        <is>
          <t>tcf|nuc|low</t>
        </is>
      </c>
      <c r="D2328" s="3" t="inlineStr">
        <is>
          <t>factor</t>
        </is>
      </c>
      <c r="E2328" s="3" t="inlineStr">
        <is>
          <t>capex time factor, decline scenario low (Power rows 303-330; medium for non-renewables)</t>
        </is>
      </c>
      <c r="F2328" s="39" t="n">
        <v>289</v>
      </c>
      <c r="G2328" s="197" t="n">
        <v>1</v>
      </c>
      <c r="H2328" s="197" t="n">
        <v>1</v>
      </c>
      <c r="I2328" s="197" t="n">
        <v>1</v>
      </c>
      <c r="J2328" s="197" t="n">
        <v>1</v>
      </c>
      <c r="K2328" s="197" t="n">
        <v>1</v>
      </c>
      <c r="L2328" s="197" t="n">
        <v>1</v>
      </c>
      <c r="M2328" s="197" t="n">
        <v>1</v>
      </c>
      <c r="N2328" s="197" t="n">
        <v>1</v>
      </c>
      <c r="O2328" s="197" t="n">
        <v>1</v>
      </c>
      <c r="P2328" s="197" t="n">
        <v>1</v>
      </c>
      <c r="Q2328" s="197" t="n">
        <v>1</v>
      </c>
      <c r="R2328" s="197" t="n">
        <v>1</v>
      </c>
      <c r="S2328" s="197" t="n">
        <v>1</v>
      </c>
      <c r="T2328" s="197" t="n">
        <v>1</v>
      </c>
      <c r="U2328" s="197" t="n">
        <v>1</v>
      </c>
      <c r="V2328" s="197" t="n">
        <v>1</v>
      </c>
      <c r="W2328" s="197" t="n">
        <v>1</v>
      </c>
      <c r="X2328" s="197" t="n">
        <v>1</v>
      </c>
      <c r="Y2328" s="197" t="n">
        <v>1</v>
      </c>
      <c r="Z2328" s="197" t="n">
        <v>1</v>
      </c>
    </row>
    <row r="2329">
      <c r="A2329" s="3" t="str">
        <f>CtryCode&amp;"|"&amp;$C2329</f>
        <v>EGY|tcf|nuc|med</v>
      </c>
      <c r="B2329" s="3" t="str">
        <f>CtryCode</f>
        <v>EGY</v>
      </c>
      <c r="C2329" s="3" t="inlineStr">
        <is>
          <t>tcf|nuc|med</t>
        </is>
      </c>
      <c r="D2329" s="3" t="inlineStr">
        <is>
          <t>factor</t>
        </is>
      </c>
      <c r="E2329" s="3" t="inlineStr">
        <is>
          <t>capex time factor, decline scenario med (Power rows 303-330; medium for non-renewables)</t>
        </is>
      </c>
      <c r="F2329" s="39" t="n">
        <v>289</v>
      </c>
      <c r="G2329" s="197" t="n">
        <v>1</v>
      </c>
      <c r="H2329" s="197" t="n">
        <v>1</v>
      </c>
      <c r="I2329" s="197" t="n">
        <v>1</v>
      </c>
      <c r="J2329" s="197" t="n">
        <v>1</v>
      </c>
      <c r="K2329" s="197" t="n">
        <v>1</v>
      </c>
      <c r="L2329" s="197" t="n">
        <v>1</v>
      </c>
      <c r="M2329" s="197" t="n">
        <v>1</v>
      </c>
      <c r="N2329" s="197" t="n">
        <v>1</v>
      </c>
      <c r="O2329" s="197" t="n">
        <v>1</v>
      </c>
      <c r="P2329" s="197" t="n">
        <v>1</v>
      </c>
      <c r="Q2329" s="197" t="n">
        <v>1</v>
      </c>
      <c r="R2329" s="197" t="n">
        <v>1</v>
      </c>
      <c r="S2329" s="197" t="n">
        <v>1</v>
      </c>
      <c r="T2329" s="197" t="n">
        <v>1</v>
      </c>
      <c r="U2329" s="197" t="n">
        <v>1</v>
      </c>
      <c r="V2329" s="197" t="n">
        <v>1</v>
      </c>
      <c r="W2329" s="197" t="n">
        <v>1</v>
      </c>
      <c r="X2329" s="197" t="n">
        <v>1</v>
      </c>
      <c r="Y2329" s="197" t="n">
        <v>1</v>
      </c>
      <c r="Z2329" s="197" t="n">
        <v>1</v>
      </c>
    </row>
    <row r="2330">
      <c r="A2330" s="3" t="str">
        <f>CtryCode&amp;"|"&amp;$C2330</f>
        <v>EGY|tcf|nuc|hgh</v>
      </c>
      <c r="B2330" s="3" t="str">
        <f>CtryCode</f>
        <v>EGY</v>
      </c>
      <c r="C2330" s="3" t="inlineStr">
        <is>
          <t>tcf|nuc|hgh</t>
        </is>
      </c>
      <c r="D2330" s="3" t="inlineStr">
        <is>
          <t>factor</t>
        </is>
      </c>
      <c r="E2330" s="3" t="inlineStr">
        <is>
          <t>capex time factor, decline scenario hgh (Power rows 303-330; medium for non-renewables)</t>
        </is>
      </c>
      <c r="F2330" s="39" t="n">
        <v>289</v>
      </c>
      <c r="G2330" s="197" t="n">
        <v>1</v>
      </c>
      <c r="H2330" s="197" t="n">
        <v>1</v>
      </c>
      <c r="I2330" s="197" t="n">
        <v>1</v>
      </c>
      <c r="J2330" s="197" t="n">
        <v>1</v>
      </c>
      <c r="K2330" s="197" t="n">
        <v>1</v>
      </c>
      <c r="L2330" s="197" t="n">
        <v>1</v>
      </c>
      <c r="M2330" s="197" t="n">
        <v>1</v>
      </c>
      <c r="N2330" s="197" t="n">
        <v>1</v>
      </c>
      <c r="O2330" s="197" t="n">
        <v>1</v>
      </c>
      <c r="P2330" s="197" t="n">
        <v>1</v>
      </c>
      <c r="Q2330" s="197" t="n">
        <v>1</v>
      </c>
      <c r="R2330" s="197" t="n">
        <v>1</v>
      </c>
      <c r="S2330" s="197" t="n">
        <v>1</v>
      </c>
      <c r="T2330" s="197" t="n">
        <v>1</v>
      </c>
      <c r="U2330" s="197" t="n">
        <v>1</v>
      </c>
      <c r="V2330" s="197" t="n">
        <v>1</v>
      </c>
      <c r="W2330" s="197" t="n">
        <v>1</v>
      </c>
      <c r="X2330" s="197" t="n">
        <v>1</v>
      </c>
      <c r="Y2330" s="197" t="n">
        <v>1</v>
      </c>
      <c r="Z2330" s="197" t="n">
        <v>1</v>
      </c>
    </row>
    <row r="2331">
      <c r="A2331" s="3" t="str">
        <f>CtryCode&amp;"|"&amp;$C2331</f>
        <v>EGY|tcf|nuc|vhg</v>
      </c>
      <c r="B2331" s="3" t="str">
        <f>CtryCode</f>
        <v>EGY</v>
      </c>
      <c r="C2331" s="3" t="inlineStr">
        <is>
          <t>tcf|nuc|vhg</t>
        </is>
      </c>
      <c r="D2331" s="3" t="inlineStr">
        <is>
          <t>factor</t>
        </is>
      </c>
      <c r="E2331" s="3" t="inlineStr">
        <is>
          <t>capex time factor, decline scenario vhg (Power rows 303-330; medium for non-renewables)</t>
        </is>
      </c>
      <c r="F2331" s="39" t="n">
        <v>289</v>
      </c>
      <c r="G2331" s="197" t="n">
        <v>1</v>
      </c>
      <c r="H2331" s="197" t="n">
        <v>1</v>
      </c>
      <c r="I2331" s="197" t="n">
        <v>1</v>
      </c>
      <c r="J2331" s="197" t="n">
        <v>1</v>
      </c>
      <c r="K2331" s="197" t="n">
        <v>1</v>
      </c>
      <c r="L2331" s="197" t="n">
        <v>1</v>
      </c>
      <c r="M2331" s="197" t="n">
        <v>1</v>
      </c>
      <c r="N2331" s="197" t="n">
        <v>1</v>
      </c>
      <c r="O2331" s="197" t="n">
        <v>1</v>
      </c>
      <c r="P2331" s="197" t="n">
        <v>1</v>
      </c>
      <c r="Q2331" s="197" t="n">
        <v>1</v>
      </c>
      <c r="R2331" s="197" t="n">
        <v>1</v>
      </c>
      <c r="S2331" s="197" t="n">
        <v>1</v>
      </c>
      <c r="T2331" s="197" t="n">
        <v>1</v>
      </c>
      <c r="U2331" s="197" t="n">
        <v>1</v>
      </c>
      <c r="V2331" s="197" t="n">
        <v>1</v>
      </c>
      <c r="W2331" s="197" t="n">
        <v>1</v>
      </c>
      <c r="X2331" s="197" t="n">
        <v>1</v>
      </c>
      <c r="Y2331" s="197" t="n">
        <v>1</v>
      </c>
      <c r="Z2331" s="197" t="n">
        <v>1</v>
      </c>
    </row>
    <row r="2332">
      <c r="A2332" s="3" t="str">
        <f>CtryCode&amp;"|"&amp;$C2332</f>
        <v>EGY|tcf|wnd|low</v>
      </c>
      <c r="B2332" s="3" t="str">
        <f>CtryCode</f>
        <v>EGY</v>
      </c>
      <c r="C2332" s="3" t="inlineStr">
        <is>
          <t>tcf|wnd|low</t>
        </is>
      </c>
      <c r="D2332" s="3" t="inlineStr">
        <is>
          <t>factor</t>
        </is>
      </c>
      <c r="E2332" s="3" t="inlineStr">
        <is>
          <t>capex time factor, decline scenario low (Power rows 303-330; renewables)</t>
        </is>
      </c>
      <c r="F2332" s="39" t="n">
        <v>303</v>
      </c>
      <c r="G2332" s="197" t="n">
        <v>1.05</v>
      </c>
      <c r="H2332" s="197" t="n">
        <v>1</v>
      </c>
      <c r="I2332" s="197" t="n">
        <v>0.9872463899119981</v>
      </c>
      <c r="J2332" s="197" t="n">
        <v>0.9745047635445467</v>
      </c>
      <c r="K2332" s="197" t="n">
        <v>0.9617557340312141</v>
      </c>
      <c r="L2332" s="197" t="n">
        <v>0.9489779888988401</v>
      </c>
      <c r="M2332" s="197" t="n">
        <v>0.9361482414056052</v>
      </c>
      <c r="N2332" s="197" t="n">
        <v>0.9232412419447966</v>
      </c>
      <c r="O2332" s="197" t="n">
        <v>0.9102298713184046</v>
      </c>
      <c r="P2332" s="197" t="n">
        <v>0.9034304357393883</v>
      </c>
      <c r="Q2332" s="197" t="n">
        <v>0.8965496322984786</v>
      </c>
      <c r="R2332" s="197" t="n">
        <v>0.889579749280021</v>
      </c>
      <c r="S2332" s="197" t="n">
        <v>0.8825129215297708</v>
      </c>
      <c r="T2332" s="197" t="n">
        <v>0.8753411932416794</v>
      </c>
      <c r="U2332" s="197" t="n">
        <v>0.8680565926704116</v>
      </c>
      <c r="V2332" s="197" t="n">
        <v>0.8606512190871507</v>
      </c>
      <c r="W2332" s="197" t="n">
        <v>0.8531173419152013</v>
      </c>
      <c r="X2332" s="197" t="n">
        <v>0.8454475115106124</v>
      </c>
      <c r="Y2332" s="197" t="n">
        <v>0.836710375517475</v>
      </c>
      <c r="Z2332" s="197" t="n">
        <v>0.8319806889630947</v>
      </c>
    </row>
    <row r="2333">
      <c r="A2333" s="3" t="str">
        <f>CtryCode&amp;"|"&amp;$C2333</f>
        <v>EGY|tcf|wnd|med</v>
      </c>
      <c r="B2333" s="3" t="str">
        <f>CtryCode</f>
        <v>EGY</v>
      </c>
      <c r="C2333" s="3" t="inlineStr">
        <is>
          <t>tcf|wnd|med</t>
        </is>
      </c>
      <c r="D2333" s="3" t="inlineStr">
        <is>
          <t>factor</t>
        </is>
      </c>
      <c r="E2333" s="3" t="inlineStr">
        <is>
          <t>capex time factor, decline scenario med (Power rows 303-330; renewables)</t>
        </is>
      </c>
      <c r="F2333" s="39" t="n">
        <v>296</v>
      </c>
      <c r="G2333" s="197" t="n">
        <v>1.05</v>
      </c>
      <c r="H2333" s="197" t="n">
        <v>1</v>
      </c>
      <c r="I2333" s="197" t="n">
        <v>0.993</v>
      </c>
      <c r="J2333" s="197" t="n">
        <v>0.985</v>
      </c>
      <c r="K2333" s="197" t="n">
        <v>0.978</v>
      </c>
      <c r="L2333" s="197" t="n">
        <v>0.971</v>
      </c>
      <c r="M2333" s="197" t="n">
        <v>0.963</v>
      </c>
      <c r="N2333" s="197" t="n">
        <v>0.956</v>
      </c>
      <c r="O2333" s="197" t="n">
        <v>0.949</v>
      </c>
      <c r="P2333" s="197" t="n">
        <v>0.946</v>
      </c>
      <c r="Q2333" s="197" t="n">
        <v>0.9429999999999999</v>
      </c>
      <c r="R2333" s="197" t="n">
        <v>0.9399999999999999</v>
      </c>
      <c r="S2333" s="197" t="n">
        <v>0.9370000000000001</v>
      </c>
      <c r="T2333" s="197" t="n">
        <v>0.9340000000000001</v>
      </c>
      <c r="U2333" s="197" t="n">
        <v>0.9320000000000001</v>
      </c>
      <c r="V2333" s="197" t="n">
        <v>0.929</v>
      </c>
      <c r="W2333" s="197" t="n">
        <v>0.926</v>
      </c>
      <c r="X2333" s="197" t="n">
        <v>0.923</v>
      </c>
      <c r="Y2333" s="197" t="n">
        <v>0.92</v>
      </c>
      <c r="Z2333" s="197" t="n">
        <v>0.918</v>
      </c>
    </row>
    <row r="2334">
      <c r="A2334" s="3" t="str">
        <f>CtryCode&amp;"|"&amp;$C2334</f>
        <v>EGY|tcf|wnd|hgh</v>
      </c>
      <c r="B2334" s="3" t="str">
        <f>CtryCode</f>
        <v>EGY</v>
      </c>
      <c r="C2334" s="3" t="inlineStr">
        <is>
          <t>tcf|wnd|hgh</t>
        </is>
      </c>
      <c r="D2334" s="3" t="inlineStr">
        <is>
          <t>factor</t>
        </is>
      </c>
      <c r="E2334" s="3" t="inlineStr">
        <is>
          <t>capex time factor, decline scenario hgh (Power rows 303-330; renewables)</t>
        </is>
      </c>
      <c r="F2334" s="39" t="n">
        <v>298</v>
      </c>
      <c r="G2334" s="197" t="n">
        <v>1.05</v>
      </c>
      <c r="H2334" s="197" t="n">
        <v>1</v>
      </c>
      <c r="I2334" s="197" t="n">
        <v>0.991</v>
      </c>
      <c r="J2334" s="197" t="n">
        <v>0.981</v>
      </c>
      <c r="K2334" s="197" t="n">
        <v>0.972</v>
      </c>
      <c r="L2334" s="197" t="n">
        <v>0.962</v>
      </c>
      <c r="M2334" s="197" t="n">
        <v>0.953</v>
      </c>
      <c r="N2334" s="197" t="n">
        <v>0.944</v>
      </c>
      <c r="O2334" s="197" t="n">
        <v>0.9340000000000001</v>
      </c>
      <c r="P2334" s="197" t="n">
        <v>0.931</v>
      </c>
      <c r="Q2334" s="197" t="n">
        <v>0.929</v>
      </c>
      <c r="R2334" s="197" t="n">
        <v>0.926</v>
      </c>
      <c r="S2334" s="197" t="n">
        <v>0.923</v>
      </c>
      <c r="T2334" s="197" t="n">
        <v>0.92</v>
      </c>
      <c r="U2334" s="197" t="n">
        <v>0.917</v>
      </c>
      <c r="V2334" s="197" t="n">
        <v>0.914</v>
      </c>
      <c r="W2334" s="197" t="n">
        <v>0.912</v>
      </c>
      <c r="X2334" s="197" t="n">
        <v>0.909</v>
      </c>
      <c r="Y2334" s="197" t="n">
        <v>0.906</v>
      </c>
      <c r="Z2334" s="197" t="n">
        <v>0.903</v>
      </c>
    </row>
    <row r="2335">
      <c r="A2335" s="3" t="str">
        <f>CtryCode&amp;"|"&amp;$C2335</f>
        <v>EGY|tcf|wnd|vhg</v>
      </c>
      <c r="B2335" s="3" t="str">
        <f>CtryCode</f>
        <v>EGY</v>
      </c>
      <c r="C2335" s="3" t="inlineStr">
        <is>
          <t>tcf|wnd|vhg</t>
        </is>
      </c>
      <c r="D2335" s="3" t="inlineStr">
        <is>
          <t>factor</t>
        </is>
      </c>
      <c r="E2335" s="3" t="inlineStr">
        <is>
          <t>capex time factor, decline scenario vhg (Power rows 303-330; renewables)</t>
        </is>
      </c>
      <c r="F2335" s="39" t="n">
        <v>306</v>
      </c>
      <c r="G2335" s="197" t="n">
        <v>1.05</v>
      </c>
      <c r="H2335" s="197" t="n">
        <v>1</v>
      </c>
      <c r="I2335" s="197" t="n">
        <v>0.9661327622033293</v>
      </c>
      <c r="J2335" s="197" t="n">
        <v>0.9333531514248019</v>
      </c>
      <c r="K2335" s="197" t="n">
        <v>0.9016231666762236</v>
      </c>
      <c r="L2335" s="197" t="n">
        <v>0.8709060151058424</v>
      </c>
      <c r="M2335" s="197" t="n">
        <v>0.8411660770883409</v>
      </c>
      <c r="N2335" s="197" t="n">
        <v>0.8123688738373945</v>
      </c>
      <c r="O2335" s="197" t="n">
        <v>0.7844810376275374</v>
      </c>
      <c r="P2335" s="197" t="n">
        <v>0.7702408220435155</v>
      </c>
      <c r="Q2335" s="197" t="n">
        <v>0.7562201974840098</v>
      </c>
      <c r="R2335" s="197" t="n">
        <v>0.7424144180815946</v>
      </c>
      <c r="S2335" s="197" t="n">
        <v>0.7288188085524435</v>
      </c>
      <c r="T2335" s="197" t="n">
        <v>0.7154287652985656</v>
      </c>
      <c r="U2335" s="197" t="n">
        <v>0.7022397577975581</v>
      </c>
      <c r="V2335" s="197" t="n">
        <v>0.6892473302930997</v>
      </c>
      <c r="W2335" s="197" t="n">
        <v>0.676447103798161</v>
      </c>
      <c r="X2335" s="197" t="n">
        <v>0.6638347784212593</v>
      </c>
      <c r="Y2335" s="197" t="n">
        <v>0.6509366880812065</v>
      </c>
      <c r="Z2335" s="197" t="n">
        <v>0.6453762051146339</v>
      </c>
    </row>
    <row r="2336">
      <c r="A2336" s="3" t="str">
        <f>CtryCode&amp;"|"&amp;$C2336</f>
        <v>EGY|tcf|sol|low</v>
      </c>
      <c r="B2336" s="3" t="str">
        <f>CtryCode</f>
        <v>EGY</v>
      </c>
      <c r="C2336" s="3" t="inlineStr">
        <is>
          <t>tcf|sol|low</t>
        </is>
      </c>
      <c r="D2336" s="3" t="inlineStr">
        <is>
          <t>factor</t>
        </is>
      </c>
      <c r="E2336" s="3" t="inlineStr">
        <is>
          <t>capex time factor, decline scenario low (Power rows 303-330; renewables)</t>
        </is>
      </c>
      <c r="F2336" s="39" t="n">
        <v>299</v>
      </c>
      <c r="G2336" s="197" t="n">
        <v>1.05</v>
      </c>
      <c r="H2336" s="197" t="n">
        <v>1</v>
      </c>
      <c r="I2336" s="197" t="n">
        <v>0.966240013154417</v>
      </c>
      <c r="J2336" s="197" t="n">
        <v>0.9335612871648102</v>
      </c>
      <c r="K2336" s="197" t="n">
        <v>0.9019140889879969</v>
      </c>
      <c r="L2336" s="197" t="n">
        <v>0.871246932935094</v>
      </c>
      <c r="M2336" s="197" t="n">
        <v>0.8415058122297105</v>
      </c>
      <c r="N2336" s="197" t="n">
        <v>0.8126332845096993</v>
      </c>
      <c r="O2336" s="197" t="n">
        <v>0.7845673990062629</v>
      </c>
      <c r="P2336" s="197" t="n">
        <v>0.7712818879213821</v>
      </c>
      <c r="Q2336" s="197" t="n">
        <v>0.7579794574718421</v>
      </c>
      <c r="R2336" s="197" t="n">
        <v>0.7446065407265806</v>
      </c>
      <c r="S2336" s="197" t="n">
        <v>0.7310989814163319</v>
      </c>
      <c r="T2336" s="197" t="n">
        <v>0.717380547921982</v>
      </c>
      <c r="U2336" s="197" t="n">
        <v>0.7033616826008344</v>
      </c>
      <c r="V2336" s="197" t="n">
        <v>0.6889388008008226</v>
      </c>
      <c r="W2336" s="197" t="n">
        <v>0.6739945923654419</v>
      </c>
      <c r="X2336" s="197" t="n">
        <v>0.6583999222907814</v>
      </c>
      <c r="Y2336" s="197" t="n">
        <v>0.6446911753519258</v>
      </c>
      <c r="Z2336" s="197" t="n">
        <v>0.636746066968185</v>
      </c>
    </row>
    <row r="2337">
      <c r="A2337" s="3" t="str">
        <f>CtryCode&amp;"|"&amp;$C2337</f>
        <v>EGY|tcf|sol|med</v>
      </c>
      <c r="B2337" s="3" t="str">
        <f>CtryCode</f>
        <v>EGY</v>
      </c>
      <c r="C2337" s="3" t="inlineStr">
        <is>
          <t>tcf|sol|med</t>
        </is>
      </c>
      <c r="D2337" s="3" t="inlineStr">
        <is>
          <t>factor</t>
        </is>
      </c>
      <c r="E2337" s="3" t="inlineStr">
        <is>
          <t>capex time factor, decline scenario med (Power rows 303-330; renewables)</t>
        </is>
      </c>
      <c r="F2337" s="39" t="n">
        <v>295</v>
      </c>
      <c r="G2337" s="197" t="n">
        <v>1.05</v>
      </c>
      <c r="H2337" s="197" t="n">
        <v>1</v>
      </c>
      <c r="I2337" s="197" t="n">
        <v>0.955</v>
      </c>
      <c r="J2337" s="197" t="n">
        <v>0.909</v>
      </c>
      <c r="K2337" s="197" t="n">
        <v>0.864</v>
      </c>
      <c r="L2337" s="197" t="n">
        <v>0.8179999999999999</v>
      </c>
      <c r="M2337" s="197" t="n">
        <v>0.773</v>
      </c>
      <c r="N2337" s="197" t="n">
        <v>0.727</v>
      </c>
      <c r="O2337" s="197" t="n">
        <v>0.6820000000000001</v>
      </c>
      <c r="P2337" s="197" t="n">
        <v>0.671</v>
      </c>
      <c r="Q2337" s="197" t="n">
        <v>0.66</v>
      </c>
      <c r="R2337" s="197" t="n">
        <v>0.65</v>
      </c>
      <c r="S2337" s="197" t="n">
        <v>0.639</v>
      </c>
      <c r="T2337" s="197" t="n">
        <v>0.628</v>
      </c>
      <c r="U2337" s="197" t="n">
        <v>0.618</v>
      </c>
      <c r="V2337" s="197" t="n">
        <v>0.607</v>
      </c>
      <c r="W2337" s="197" t="n">
        <v>0.597</v>
      </c>
      <c r="X2337" s="197" t="n">
        <v>0.586</v>
      </c>
      <c r="Y2337" s="197" t="n">
        <v>0.575</v>
      </c>
      <c r="Z2337" s="197" t="n">
        <v>0.5649999999999999</v>
      </c>
    </row>
    <row r="2338">
      <c r="A2338" s="3" t="str">
        <f>CtryCode&amp;"|"&amp;$C2338</f>
        <v>EGY|tcf|sol|hgh</v>
      </c>
      <c r="B2338" s="3" t="str">
        <f>CtryCode</f>
        <v>EGY</v>
      </c>
      <c r="C2338" s="3" t="inlineStr">
        <is>
          <t>tcf|sol|hgh</t>
        </is>
      </c>
      <c r="D2338" s="3" t="inlineStr">
        <is>
          <t>factor</t>
        </is>
      </c>
      <c r="E2338" s="3" t="inlineStr">
        <is>
          <t>capex time factor, decline scenario hgh (Power rows 303-330; renewables)</t>
        </is>
      </c>
      <c r="F2338" s="39" t="n">
        <v>297</v>
      </c>
      <c r="G2338" s="197" t="n">
        <v>1.05</v>
      </c>
      <c r="H2338" s="197" t="n">
        <v>1</v>
      </c>
      <c r="I2338" s="197" t="n">
        <v>0.947</v>
      </c>
      <c r="J2338" s="197" t="n">
        <v>0.894</v>
      </c>
      <c r="K2338" s="197" t="n">
        <v>0.84</v>
      </c>
      <c r="L2338" s="197" t="n">
        <v>0.787</v>
      </c>
      <c r="M2338" s="197" t="n">
        <v>0.734</v>
      </c>
      <c r="N2338" s="197" t="n">
        <v>0.681</v>
      </c>
      <c r="O2338" s="197" t="n">
        <v>0.628</v>
      </c>
      <c r="P2338" s="197" t="n">
        <v>0.618</v>
      </c>
      <c r="Q2338" s="197" t="n">
        <v>0.609</v>
      </c>
      <c r="R2338" s="197" t="n">
        <v>0.599</v>
      </c>
      <c r="S2338" s="197" t="n">
        <v>0.589</v>
      </c>
      <c r="T2338" s="197" t="n">
        <v>0.58</v>
      </c>
      <c r="U2338" s="197" t="n">
        <v>0.57</v>
      </c>
      <c r="V2338" s="197" t="n">
        <v>0.5610000000000001</v>
      </c>
      <c r="W2338" s="197" t="n">
        <v>0.551</v>
      </c>
      <c r="X2338" s="197" t="n">
        <v>0.541</v>
      </c>
      <c r="Y2338" s="197" t="n">
        <v>0.532</v>
      </c>
      <c r="Z2338" s="197" t="n">
        <v>0.522</v>
      </c>
    </row>
    <row r="2339">
      <c r="A2339" s="3" t="str">
        <f>CtryCode&amp;"|"&amp;$C2339</f>
        <v>EGY|tcf|sol|vhg</v>
      </c>
      <c r="B2339" s="3" t="str">
        <f>CtryCode</f>
        <v>EGY</v>
      </c>
      <c r="C2339" s="3" t="inlineStr">
        <is>
          <t>tcf|sol|vhg</t>
        </is>
      </c>
      <c r="D2339" s="3" t="inlineStr">
        <is>
          <t>factor</t>
        </is>
      </c>
      <c r="E2339" s="3" t="inlineStr">
        <is>
          <t>capex time factor, decline scenario vhg (Power rows 303-330; renewables)</t>
        </is>
      </c>
      <c r="F2339" s="39" t="n">
        <v>302</v>
      </c>
      <c r="G2339" s="197" t="n">
        <v>1.05</v>
      </c>
      <c r="H2339" s="197" t="n">
        <v>1</v>
      </c>
      <c r="I2339" s="197" t="n">
        <v>0.9330741059432807</v>
      </c>
      <c r="J2339" s="197" t="n">
        <v>0.8705966736556069</v>
      </c>
      <c r="K2339" s="197" t="n">
        <v>0.8122677871775824</v>
      </c>
      <c r="L2339" s="197" t="n">
        <v>0.757807174398323</v>
      </c>
      <c r="M2339" s="197" t="n">
        <v>0.7069528480877715</v>
      </c>
      <c r="N2339" s="197" t="n">
        <v>0.6594598336015948</v>
      </c>
      <c r="O2339" s="197" t="n">
        <v>0.6150989778531668</v>
      </c>
      <c r="P2339" s="197" t="n">
        <v>0.5969771861025548</v>
      </c>
      <c r="Q2339" s="197" t="n">
        <v>0.5792881723447934</v>
      </c>
      <c r="R2339" s="197" t="n">
        <v>0.5620015697707713</v>
      </c>
      <c r="S2339" s="197" t="n">
        <v>0.5450844883766747</v>
      </c>
      <c r="T2339" s="197" t="n">
        <v>0.5285010572881801</v>
      </c>
      <c r="U2339" s="197" t="n">
        <v>0.5122119550871179</v>
      </c>
      <c r="V2339" s="197" t="n">
        <v>0.4961739603910411</v>
      </c>
      <c r="W2339" s="197" t="n">
        <v>0.4803395741609171</v>
      </c>
      <c r="X2339" s="197" t="n">
        <v>0.4646567908808699</v>
      </c>
      <c r="Y2339" s="197" t="n">
        <v>0.4501576366423864</v>
      </c>
      <c r="Z2339" s="197" t="n">
        <v>0.4438764285741999</v>
      </c>
    </row>
    <row r="2340">
      <c r="A2340" s="3" t="str">
        <f>CtryCode&amp;"|"&amp;$C2340</f>
        <v>EGY|tcf|hyd|low</v>
      </c>
      <c r="B2340" s="3" t="str">
        <f>CtryCode</f>
        <v>EGY</v>
      </c>
      <c r="C2340" s="3" t="inlineStr">
        <is>
          <t>tcf|hyd|low</t>
        </is>
      </c>
      <c r="D2340" s="3" t="inlineStr">
        <is>
          <t>factor</t>
        </is>
      </c>
      <c r="E2340" s="3" t="inlineStr">
        <is>
          <t>capex time factor, decline scenario low (Power rows 303-330; renewables)</t>
        </is>
      </c>
      <c r="F2340" s="39" t="n">
        <v>284</v>
      </c>
      <c r="G2340" s="197" t="n">
        <v>1</v>
      </c>
      <c r="H2340" s="197" t="n">
        <v>1</v>
      </c>
      <c r="I2340" s="197" t="n">
        <v>1</v>
      </c>
      <c r="J2340" s="197" t="n">
        <v>1</v>
      </c>
      <c r="K2340" s="197" t="n">
        <v>1</v>
      </c>
      <c r="L2340" s="197" t="n">
        <v>1</v>
      </c>
      <c r="M2340" s="197" t="n">
        <v>1</v>
      </c>
      <c r="N2340" s="197" t="n">
        <v>1</v>
      </c>
      <c r="O2340" s="197" t="n">
        <v>1</v>
      </c>
      <c r="P2340" s="197" t="n">
        <v>1</v>
      </c>
      <c r="Q2340" s="197" t="n">
        <v>1</v>
      </c>
      <c r="R2340" s="197" t="n">
        <v>1</v>
      </c>
      <c r="S2340" s="197" t="n">
        <v>1</v>
      </c>
      <c r="T2340" s="197" t="n">
        <v>1</v>
      </c>
      <c r="U2340" s="197" t="n">
        <v>1</v>
      </c>
      <c r="V2340" s="197" t="n">
        <v>1</v>
      </c>
      <c r="W2340" s="197" t="n">
        <v>1</v>
      </c>
      <c r="X2340" s="197" t="n">
        <v>1</v>
      </c>
      <c r="Y2340" s="197" t="n">
        <v>1</v>
      </c>
      <c r="Z2340" s="197" t="n">
        <v>1</v>
      </c>
    </row>
    <row r="2341">
      <c r="A2341" s="3" t="str">
        <f>CtryCode&amp;"|"&amp;$C2341</f>
        <v>EGY|tcf|hyd|med</v>
      </c>
      <c r="B2341" s="3" t="str">
        <f>CtryCode</f>
        <v>EGY</v>
      </c>
      <c r="C2341" s="3" t="inlineStr">
        <is>
          <t>tcf|hyd|med</t>
        </is>
      </c>
      <c r="D2341" s="3" t="inlineStr">
        <is>
          <t>factor</t>
        </is>
      </c>
      <c r="E2341" s="3" t="inlineStr">
        <is>
          <t>capex time factor, decline scenario med (Power rows 303-330; renewables)</t>
        </is>
      </c>
      <c r="F2341" s="39" t="n">
        <v>285</v>
      </c>
      <c r="G2341" s="197" t="n">
        <v>1</v>
      </c>
      <c r="H2341" s="197" t="n">
        <v>1</v>
      </c>
      <c r="I2341" s="197" t="n">
        <v>1</v>
      </c>
      <c r="J2341" s="197" t="n">
        <v>1</v>
      </c>
      <c r="K2341" s="197" t="n">
        <v>1</v>
      </c>
      <c r="L2341" s="197" t="n">
        <v>1</v>
      </c>
      <c r="M2341" s="197" t="n">
        <v>1</v>
      </c>
      <c r="N2341" s="197" t="n">
        <v>1</v>
      </c>
      <c r="O2341" s="197" t="n">
        <v>1</v>
      </c>
      <c r="P2341" s="197" t="n">
        <v>1</v>
      </c>
      <c r="Q2341" s="197" t="n">
        <v>1</v>
      </c>
      <c r="R2341" s="197" t="n">
        <v>1</v>
      </c>
      <c r="S2341" s="197" t="n">
        <v>1</v>
      </c>
      <c r="T2341" s="197" t="n">
        <v>1</v>
      </c>
      <c r="U2341" s="197" t="n">
        <v>1</v>
      </c>
      <c r="V2341" s="197" t="n">
        <v>1</v>
      </c>
      <c r="W2341" s="197" t="n">
        <v>1</v>
      </c>
      <c r="X2341" s="197" t="n">
        <v>1</v>
      </c>
      <c r="Y2341" s="197" t="n">
        <v>1</v>
      </c>
      <c r="Z2341" s="197" t="n">
        <v>1</v>
      </c>
    </row>
    <row r="2342">
      <c r="A2342" s="3" t="str">
        <f>CtryCode&amp;"|"&amp;$C2342</f>
        <v>EGY|tcf|hyd|hgh</v>
      </c>
      <c r="B2342" s="3" t="str">
        <f>CtryCode</f>
        <v>EGY</v>
      </c>
      <c r="C2342" s="3" t="inlineStr">
        <is>
          <t>tcf|hyd|hgh</t>
        </is>
      </c>
      <c r="D2342" s="3" t="inlineStr">
        <is>
          <t>factor</t>
        </is>
      </c>
      <c r="E2342" s="3" t="inlineStr">
        <is>
          <t>capex time factor, decline scenario hgh (Power rows 303-330; renewables)</t>
        </is>
      </c>
      <c r="F2342" s="39" t="n">
        <v>286</v>
      </c>
      <c r="G2342" s="197" t="n">
        <v>1</v>
      </c>
      <c r="H2342" s="197" t="n">
        <v>1</v>
      </c>
      <c r="I2342" s="197" t="n">
        <v>1</v>
      </c>
      <c r="J2342" s="197" t="n">
        <v>1</v>
      </c>
      <c r="K2342" s="197" t="n">
        <v>1</v>
      </c>
      <c r="L2342" s="197" t="n">
        <v>1</v>
      </c>
      <c r="M2342" s="197" t="n">
        <v>1</v>
      </c>
      <c r="N2342" s="197" t="n">
        <v>1</v>
      </c>
      <c r="O2342" s="197" t="n">
        <v>1</v>
      </c>
      <c r="P2342" s="197" t="n">
        <v>1</v>
      </c>
      <c r="Q2342" s="197" t="n">
        <v>1</v>
      </c>
      <c r="R2342" s="197" t="n">
        <v>1</v>
      </c>
      <c r="S2342" s="197" t="n">
        <v>1</v>
      </c>
      <c r="T2342" s="197" t="n">
        <v>1</v>
      </c>
      <c r="U2342" s="197" t="n">
        <v>1</v>
      </c>
      <c r="V2342" s="197" t="n">
        <v>1</v>
      </c>
      <c r="W2342" s="197" t="n">
        <v>1</v>
      </c>
      <c r="X2342" s="197" t="n">
        <v>1</v>
      </c>
      <c r="Y2342" s="197" t="n">
        <v>1</v>
      </c>
      <c r="Z2342" s="197" t="n">
        <v>1</v>
      </c>
    </row>
    <row r="2343">
      <c r="A2343" s="3" t="str">
        <f>CtryCode&amp;"|"&amp;$C2343</f>
        <v>EGY|tcf|hyd|vhg</v>
      </c>
      <c r="B2343" s="3" t="str">
        <f>CtryCode</f>
        <v>EGY</v>
      </c>
      <c r="C2343" s="3" t="inlineStr">
        <is>
          <t>tcf|hyd|vhg</t>
        </is>
      </c>
      <c r="D2343" s="3" t="inlineStr">
        <is>
          <t>factor</t>
        </is>
      </c>
      <c r="E2343" s="3" t="inlineStr">
        <is>
          <t>capex time factor, decline scenario vhg (Power rows 303-330; renewables)</t>
        </is>
      </c>
      <c r="F2343" s="39" t="n">
        <v>287</v>
      </c>
      <c r="G2343" s="197" t="n">
        <v>1</v>
      </c>
      <c r="H2343" s="197" t="n">
        <v>1</v>
      </c>
      <c r="I2343" s="197" t="n">
        <v>1</v>
      </c>
      <c r="J2343" s="197" t="n">
        <v>1</v>
      </c>
      <c r="K2343" s="197" t="n">
        <v>1</v>
      </c>
      <c r="L2343" s="197" t="n">
        <v>1</v>
      </c>
      <c r="M2343" s="197" t="n">
        <v>1</v>
      </c>
      <c r="N2343" s="197" t="n">
        <v>1</v>
      </c>
      <c r="O2343" s="197" t="n">
        <v>1</v>
      </c>
      <c r="P2343" s="197" t="n">
        <v>1</v>
      </c>
      <c r="Q2343" s="197" t="n">
        <v>1</v>
      </c>
      <c r="R2343" s="197" t="n">
        <v>1</v>
      </c>
      <c r="S2343" s="197" t="n">
        <v>1</v>
      </c>
      <c r="T2343" s="197" t="n">
        <v>1</v>
      </c>
      <c r="U2343" s="197" t="n">
        <v>1</v>
      </c>
      <c r="V2343" s="197" t="n">
        <v>1</v>
      </c>
      <c r="W2343" s="197" t="n">
        <v>1</v>
      </c>
      <c r="X2343" s="197" t="n">
        <v>1</v>
      </c>
      <c r="Y2343" s="197" t="n">
        <v>1</v>
      </c>
      <c r="Z2343" s="197" t="n">
        <v>1</v>
      </c>
    </row>
    <row r="2344">
      <c r="A2344" s="3" t="str">
        <f>CtryCode&amp;"|"&amp;$C2344</f>
        <v>EGY|tcf|ore|low</v>
      </c>
      <c r="B2344" s="3" t="str">
        <f>CtryCode</f>
        <v>EGY</v>
      </c>
      <c r="C2344" s="3" t="inlineStr">
        <is>
          <t>tcf|ore|low</t>
        </is>
      </c>
      <c r="D2344" s="3" t="inlineStr">
        <is>
          <t>factor</t>
        </is>
      </c>
      <c r="E2344" s="3" t="inlineStr">
        <is>
          <t>capex time factor, decline scenario low (Power rows 303-330; renewables)</t>
        </is>
      </c>
      <c r="F2344" s="39" t="n">
        <v>291</v>
      </c>
      <c r="G2344" s="197" t="n">
        <v>1</v>
      </c>
      <c r="H2344" s="197" t="n">
        <v>1</v>
      </c>
      <c r="I2344" s="197" t="n">
        <v>1</v>
      </c>
      <c r="J2344" s="197" t="n">
        <v>1</v>
      </c>
      <c r="K2344" s="197" t="n">
        <v>1</v>
      </c>
      <c r="L2344" s="197" t="n">
        <v>1</v>
      </c>
      <c r="M2344" s="197" t="n">
        <v>1</v>
      </c>
      <c r="N2344" s="197" t="n">
        <v>1</v>
      </c>
      <c r="O2344" s="197" t="n">
        <v>1</v>
      </c>
      <c r="P2344" s="197" t="n">
        <v>1</v>
      </c>
      <c r="Q2344" s="197" t="n">
        <v>1</v>
      </c>
      <c r="R2344" s="197" t="n">
        <v>1</v>
      </c>
      <c r="S2344" s="197" t="n">
        <v>1</v>
      </c>
      <c r="T2344" s="197" t="n">
        <v>1</v>
      </c>
      <c r="U2344" s="197" t="n">
        <v>1</v>
      </c>
      <c r="V2344" s="197" t="n">
        <v>1</v>
      </c>
      <c r="W2344" s="197" t="n">
        <v>1</v>
      </c>
      <c r="X2344" s="197" t="n">
        <v>1</v>
      </c>
      <c r="Y2344" s="197" t="n">
        <v>1</v>
      </c>
      <c r="Z2344" s="197" t="n">
        <v>1</v>
      </c>
    </row>
    <row r="2345">
      <c r="A2345" s="3" t="str">
        <f>CtryCode&amp;"|"&amp;$C2345</f>
        <v>EGY|tcf|ore|med</v>
      </c>
      <c r="B2345" s="3" t="str">
        <f>CtryCode</f>
        <v>EGY</v>
      </c>
      <c r="C2345" s="3" t="inlineStr">
        <is>
          <t>tcf|ore|med</t>
        </is>
      </c>
      <c r="D2345" s="3" t="inlineStr">
        <is>
          <t>factor</t>
        </is>
      </c>
      <c r="E2345" s="3" t="inlineStr">
        <is>
          <t>capex time factor, decline scenario med (Power rows 303-330; renewables)</t>
        </is>
      </c>
      <c r="F2345" s="39" t="n">
        <v>292</v>
      </c>
      <c r="G2345" s="197" t="n">
        <v>1</v>
      </c>
      <c r="H2345" s="197" t="n">
        <v>1</v>
      </c>
      <c r="I2345" s="197" t="n">
        <v>1</v>
      </c>
      <c r="J2345" s="197" t="n">
        <v>1</v>
      </c>
      <c r="K2345" s="197" t="n">
        <v>1</v>
      </c>
      <c r="L2345" s="197" t="n">
        <v>1</v>
      </c>
      <c r="M2345" s="197" t="n">
        <v>1</v>
      </c>
      <c r="N2345" s="197" t="n">
        <v>1</v>
      </c>
      <c r="O2345" s="197" t="n">
        <v>1</v>
      </c>
      <c r="P2345" s="197" t="n">
        <v>1</v>
      </c>
      <c r="Q2345" s="197" t="n">
        <v>1</v>
      </c>
      <c r="R2345" s="197" t="n">
        <v>1</v>
      </c>
      <c r="S2345" s="197" t="n">
        <v>1</v>
      </c>
      <c r="T2345" s="197" t="n">
        <v>1</v>
      </c>
      <c r="U2345" s="197" t="n">
        <v>1</v>
      </c>
      <c r="V2345" s="197" t="n">
        <v>1</v>
      </c>
      <c r="W2345" s="197" t="n">
        <v>1</v>
      </c>
      <c r="X2345" s="197" t="n">
        <v>1</v>
      </c>
      <c r="Y2345" s="197" t="n">
        <v>1</v>
      </c>
      <c r="Z2345" s="197" t="n">
        <v>1</v>
      </c>
    </row>
    <row r="2346">
      <c r="A2346" s="3" t="str">
        <f>CtryCode&amp;"|"&amp;$C2346</f>
        <v>EGY|tcf|ore|hgh</v>
      </c>
      <c r="B2346" s="3" t="str">
        <f>CtryCode</f>
        <v>EGY</v>
      </c>
      <c r="C2346" s="3" t="inlineStr">
        <is>
          <t>tcf|ore|hgh</t>
        </is>
      </c>
      <c r="D2346" s="3" t="inlineStr">
        <is>
          <t>factor</t>
        </is>
      </c>
      <c r="E2346" s="3" t="inlineStr">
        <is>
          <t>capex time factor, decline scenario hgh (Power rows 303-330; renewables)</t>
        </is>
      </c>
      <c r="F2346" s="39" t="n">
        <v>293</v>
      </c>
      <c r="G2346" s="197" t="n">
        <v>1</v>
      </c>
      <c r="H2346" s="197" t="n">
        <v>1</v>
      </c>
      <c r="I2346" s="197" t="n">
        <v>1</v>
      </c>
      <c r="J2346" s="197" t="n">
        <v>1</v>
      </c>
      <c r="K2346" s="197" t="n">
        <v>1</v>
      </c>
      <c r="L2346" s="197" t="n">
        <v>1</v>
      </c>
      <c r="M2346" s="197" t="n">
        <v>1</v>
      </c>
      <c r="N2346" s="197" t="n">
        <v>1</v>
      </c>
      <c r="O2346" s="197" t="n">
        <v>1</v>
      </c>
      <c r="P2346" s="197" t="n">
        <v>1</v>
      </c>
      <c r="Q2346" s="197" t="n">
        <v>1</v>
      </c>
      <c r="R2346" s="197" t="n">
        <v>1</v>
      </c>
      <c r="S2346" s="197" t="n">
        <v>1</v>
      </c>
      <c r="T2346" s="197" t="n">
        <v>1</v>
      </c>
      <c r="U2346" s="197" t="n">
        <v>1</v>
      </c>
      <c r="V2346" s="197" t="n">
        <v>1</v>
      </c>
      <c r="W2346" s="197" t="n">
        <v>1</v>
      </c>
      <c r="X2346" s="197" t="n">
        <v>1</v>
      </c>
      <c r="Y2346" s="197" t="n">
        <v>1</v>
      </c>
      <c r="Z2346" s="197" t="n">
        <v>1</v>
      </c>
    </row>
    <row r="2347">
      <c r="A2347" s="3" t="str">
        <f>CtryCode&amp;"|"&amp;$C2347</f>
        <v>EGY|tcf|ore|vhg</v>
      </c>
      <c r="B2347" s="3" t="str">
        <f>CtryCode</f>
        <v>EGY</v>
      </c>
      <c r="C2347" s="3" t="inlineStr">
        <is>
          <t>tcf|ore|vhg</t>
        </is>
      </c>
      <c r="D2347" s="3" t="inlineStr">
        <is>
          <t>factor</t>
        </is>
      </c>
      <c r="E2347" s="3" t="inlineStr">
        <is>
          <t>capex time factor, decline scenario vhg (Power rows 303-330; renewables)</t>
        </is>
      </c>
      <c r="F2347" s="39" t="n">
        <v>292</v>
      </c>
      <c r="G2347" s="197" t="n">
        <v>1</v>
      </c>
      <c r="H2347" s="197" t="n">
        <v>1</v>
      </c>
      <c r="I2347" s="197" t="n">
        <v>1</v>
      </c>
      <c r="J2347" s="197" t="n">
        <v>1</v>
      </c>
      <c r="K2347" s="197" t="n">
        <v>1</v>
      </c>
      <c r="L2347" s="197" t="n">
        <v>1</v>
      </c>
      <c r="M2347" s="197" t="n">
        <v>1</v>
      </c>
      <c r="N2347" s="197" t="n">
        <v>1</v>
      </c>
      <c r="O2347" s="197" t="n">
        <v>1</v>
      </c>
      <c r="P2347" s="197" t="n">
        <v>1</v>
      </c>
      <c r="Q2347" s="197" t="n">
        <v>1</v>
      </c>
      <c r="R2347" s="197" t="n">
        <v>1</v>
      </c>
      <c r="S2347" s="197" t="n">
        <v>1</v>
      </c>
      <c r="T2347" s="197" t="n">
        <v>1</v>
      </c>
      <c r="U2347" s="197" t="n">
        <v>1</v>
      </c>
      <c r="V2347" s="197" t="n">
        <v>1</v>
      </c>
      <c r="W2347" s="197" t="n">
        <v>1</v>
      </c>
      <c r="X2347" s="197" t="n">
        <v>1</v>
      </c>
      <c r="Y2347" s="197" t="n">
        <v>1</v>
      </c>
      <c r="Z2347" s="197" t="n">
        <v>1</v>
      </c>
    </row>
    <row r="2348">
      <c r="A2348" s="3" t="str">
        <f>CtryCode&amp;"|"&amp;$C2348</f>
        <v>EGY|tcf|bio|low</v>
      </c>
      <c r="B2348" s="3" t="str">
        <f>CtryCode</f>
        <v>EGY</v>
      </c>
      <c r="C2348" s="3" t="inlineStr">
        <is>
          <t>tcf|bio|low</t>
        </is>
      </c>
      <c r="D2348" s="3" t="inlineStr">
        <is>
          <t>factor</t>
        </is>
      </c>
      <c r="E2348" s="3" t="inlineStr">
        <is>
          <t>capex time factor, decline scenario low (Power rows 303-330; renewables)</t>
        </is>
      </c>
      <c r="F2348" s="39" t="n">
        <v>279</v>
      </c>
      <c r="G2348" s="197" t="n">
        <v>1</v>
      </c>
      <c r="H2348" s="197" t="n">
        <v>1</v>
      </c>
      <c r="I2348" s="197" t="n">
        <v>1</v>
      </c>
      <c r="J2348" s="197" t="n">
        <v>1</v>
      </c>
      <c r="K2348" s="197" t="n">
        <v>1</v>
      </c>
      <c r="L2348" s="197" t="n">
        <v>1</v>
      </c>
      <c r="M2348" s="197" t="n">
        <v>1</v>
      </c>
      <c r="N2348" s="197" t="n">
        <v>1</v>
      </c>
      <c r="O2348" s="197" t="n">
        <v>1</v>
      </c>
      <c r="P2348" s="197" t="n">
        <v>1</v>
      </c>
      <c r="Q2348" s="197" t="n">
        <v>1</v>
      </c>
      <c r="R2348" s="197" t="n">
        <v>1</v>
      </c>
      <c r="S2348" s="197" t="n">
        <v>1</v>
      </c>
      <c r="T2348" s="197" t="n">
        <v>1</v>
      </c>
      <c r="U2348" s="197" t="n">
        <v>1</v>
      </c>
      <c r="V2348" s="197" t="n">
        <v>1</v>
      </c>
      <c r="W2348" s="197" t="n">
        <v>1</v>
      </c>
      <c r="X2348" s="197" t="n">
        <v>1</v>
      </c>
      <c r="Y2348" s="197" t="n">
        <v>1</v>
      </c>
      <c r="Z2348" s="197" t="n">
        <v>1</v>
      </c>
    </row>
    <row r="2349">
      <c r="A2349" s="3" t="str">
        <f>CtryCode&amp;"|"&amp;$C2349</f>
        <v>EGY|tcf|bio|med</v>
      </c>
      <c r="B2349" s="3" t="str">
        <f>CtryCode</f>
        <v>EGY</v>
      </c>
      <c r="C2349" s="3" t="inlineStr">
        <is>
          <t>tcf|bio|med</t>
        </is>
      </c>
      <c r="D2349" s="3" t="inlineStr">
        <is>
          <t>factor</t>
        </is>
      </c>
      <c r="E2349" s="3" t="inlineStr">
        <is>
          <t>capex time factor, decline scenario med (Power rows 303-330; renewables)</t>
        </is>
      </c>
      <c r="F2349" s="39" t="n">
        <v>280</v>
      </c>
      <c r="G2349" s="197" t="n">
        <v>1</v>
      </c>
      <c r="H2349" s="197" t="n">
        <v>1</v>
      </c>
      <c r="I2349" s="197" t="n">
        <v>1</v>
      </c>
      <c r="J2349" s="197" t="n">
        <v>1</v>
      </c>
      <c r="K2349" s="197" t="n">
        <v>1</v>
      </c>
      <c r="L2349" s="197" t="n">
        <v>1</v>
      </c>
      <c r="M2349" s="197" t="n">
        <v>1</v>
      </c>
      <c r="N2349" s="197" t="n">
        <v>1</v>
      </c>
      <c r="O2349" s="197" t="n">
        <v>1</v>
      </c>
      <c r="P2349" s="197" t="n">
        <v>1</v>
      </c>
      <c r="Q2349" s="197" t="n">
        <v>1</v>
      </c>
      <c r="R2349" s="197" t="n">
        <v>1</v>
      </c>
      <c r="S2349" s="197" t="n">
        <v>1</v>
      </c>
      <c r="T2349" s="197" t="n">
        <v>1</v>
      </c>
      <c r="U2349" s="197" t="n">
        <v>1</v>
      </c>
      <c r="V2349" s="197" t="n">
        <v>1</v>
      </c>
      <c r="W2349" s="197" t="n">
        <v>1</v>
      </c>
      <c r="X2349" s="197" t="n">
        <v>1</v>
      </c>
      <c r="Y2349" s="197" t="n">
        <v>1</v>
      </c>
      <c r="Z2349" s="197" t="n">
        <v>1</v>
      </c>
    </row>
    <row r="2350">
      <c r="A2350" s="3" t="str">
        <f>CtryCode&amp;"|"&amp;$C2350</f>
        <v>EGY|tcf|bio|hgh</v>
      </c>
      <c r="B2350" s="3" t="str">
        <f>CtryCode</f>
        <v>EGY</v>
      </c>
      <c r="C2350" s="3" t="inlineStr">
        <is>
          <t>tcf|bio|hgh</t>
        </is>
      </c>
      <c r="D2350" s="3" t="inlineStr">
        <is>
          <t>factor</t>
        </is>
      </c>
      <c r="E2350" s="3" t="inlineStr">
        <is>
          <t>capex time factor, decline scenario hgh (Power rows 303-330; renewables)</t>
        </is>
      </c>
      <c r="F2350" s="39" t="n">
        <v>281</v>
      </c>
      <c r="G2350" s="197" t="n">
        <v>1</v>
      </c>
      <c r="H2350" s="197" t="n">
        <v>1</v>
      </c>
      <c r="I2350" s="197" t="n">
        <v>1</v>
      </c>
      <c r="J2350" s="197" t="n">
        <v>1</v>
      </c>
      <c r="K2350" s="197" t="n">
        <v>1</v>
      </c>
      <c r="L2350" s="197" t="n">
        <v>1</v>
      </c>
      <c r="M2350" s="197" t="n">
        <v>1</v>
      </c>
      <c r="N2350" s="197" t="n">
        <v>1</v>
      </c>
      <c r="O2350" s="197" t="n">
        <v>1</v>
      </c>
      <c r="P2350" s="197" t="n">
        <v>1</v>
      </c>
      <c r="Q2350" s="197" t="n">
        <v>1</v>
      </c>
      <c r="R2350" s="197" t="n">
        <v>1</v>
      </c>
      <c r="S2350" s="197" t="n">
        <v>1</v>
      </c>
      <c r="T2350" s="197" t="n">
        <v>1</v>
      </c>
      <c r="U2350" s="197" t="n">
        <v>1</v>
      </c>
      <c r="V2350" s="197" t="n">
        <v>1</v>
      </c>
      <c r="W2350" s="197" t="n">
        <v>1</v>
      </c>
      <c r="X2350" s="197" t="n">
        <v>1</v>
      </c>
      <c r="Y2350" s="197" t="n">
        <v>1</v>
      </c>
      <c r="Z2350" s="197" t="n">
        <v>1</v>
      </c>
    </row>
    <row r="2351">
      <c r="A2351" s="3" t="str">
        <f>CtryCode&amp;"|"&amp;$C2351</f>
        <v>EGY|tcf|bio|vhg</v>
      </c>
      <c r="B2351" s="3" t="str">
        <f>CtryCode</f>
        <v>EGY</v>
      </c>
      <c r="C2351" s="3" t="inlineStr">
        <is>
          <t>tcf|bio|vhg</t>
        </is>
      </c>
      <c r="D2351" s="3" t="inlineStr">
        <is>
          <t>factor</t>
        </is>
      </c>
      <c r="E2351" s="3" t="inlineStr">
        <is>
          <t>capex time factor, decline scenario vhg (Power rows 303-330; renewables)</t>
        </is>
      </c>
      <c r="F2351" s="39" t="n">
        <v>282</v>
      </c>
      <c r="G2351" s="197" t="n">
        <v>1</v>
      </c>
      <c r="H2351" s="197" t="n">
        <v>1</v>
      </c>
      <c r="I2351" s="197" t="n">
        <v>1</v>
      </c>
      <c r="J2351" s="197" t="n">
        <v>1</v>
      </c>
      <c r="K2351" s="197" t="n">
        <v>1</v>
      </c>
      <c r="L2351" s="197" t="n">
        <v>1</v>
      </c>
      <c r="M2351" s="197" t="n">
        <v>1</v>
      </c>
      <c r="N2351" s="197" t="n">
        <v>1</v>
      </c>
      <c r="O2351" s="197" t="n">
        <v>1</v>
      </c>
      <c r="P2351" s="197" t="n">
        <v>1</v>
      </c>
      <c r="Q2351" s="197" t="n">
        <v>1</v>
      </c>
      <c r="R2351" s="197" t="n">
        <v>1</v>
      </c>
      <c r="S2351" s="197" t="n">
        <v>1</v>
      </c>
      <c r="T2351" s="197" t="n">
        <v>1</v>
      </c>
      <c r="U2351" s="197" t="n">
        <v>1</v>
      </c>
      <c r="V2351" s="197" t="n">
        <v>1</v>
      </c>
      <c r="W2351" s="197" t="n">
        <v>1</v>
      </c>
      <c r="X2351" s="197" t="n">
        <v>1</v>
      </c>
      <c r="Y2351" s="197" t="n">
        <v>1</v>
      </c>
      <c r="Z2351" s="197" t="n">
        <v>1</v>
      </c>
    </row>
    <row r="2352"/>
    <row r="2353"/>
    <row r="2354"/>
    <row r="2355"/>
    <row r="2356">
      <c r="A2356" s="4" t="inlineStr">
        <is>
          <t>Power parameters of the country (data step; legacy rows 3596-3993; keys as the former tab PowerParams)</t>
        </is>
      </c>
      <c r="B2356" s="5" t="n"/>
      <c r="C2356" s="5" t="n"/>
      <c r="D2356" s="5" t="n"/>
      <c r="E2356" s="5" t="n"/>
      <c r="F2356" s="5" t="n"/>
      <c r="G2356" s="5" t="n"/>
      <c r="H2356" s="5" t="n"/>
      <c r="I2356" s="5" t="n"/>
      <c r="J2356" s="5" t="n"/>
      <c r="K2356" s="5" t="n"/>
      <c r="L2356" s="5" t="n"/>
      <c r="M2356" s="5" t="n"/>
      <c r="N2356" s="5" t="n"/>
      <c r="O2356" s="5" t="n"/>
      <c r="P2356" s="5" t="n"/>
      <c r="Q2356" s="5" t="n"/>
      <c r="R2356" s="5" t="n"/>
      <c r="S2356" s="5" t="n"/>
      <c r="T2356" s="5" t="n"/>
      <c r="U2356" s="5" t="n"/>
      <c r="V2356" s="5" t="n"/>
      <c r="W2356" s="5" t="n"/>
      <c r="X2356" s="5" t="n"/>
      <c r="Y2356" s="5" t="n"/>
      <c r="Z2356" s="5" t="n"/>
      <c r="AA2356" s="5" t="n"/>
      <c r="AB2356" s="5" t="n"/>
      <c r="AC2356" s="5" t="n"/>
      <c r="AD2356" s="5" t="n"/>
      <c r="AE2356" s="5" t="n"/>
      <c r="AF2356" s="5" t="n"/>
      <c r="AG2356" s="5" t="n"/>
      <c r="AH2356" s="5" t="n"/>
      <c r="AI2356" s="5" t="n"/>
      <c r="AJ2356" s="5" t="n"/>
      <c r="AK2356" s="5" t="n"/>
      <c r="AL2356" s="5" t="n"/>
      <c r="AM2356" s="5" t="n"/>
      <c r="AN2356" s="5" t="n"/>
      <c r="AO2356" s="5" t="n"/>
      <c r="AP2356" s="5" t="n"/>
      <c r="AQ2356" s="5" t="n"/>
      <c r="AR2356" s="5" t="n"/>
      <c r="AS2356" s="5" t="n"/>
      <c r="AT2356" s="5" t="n"/>
      <c r="AU2356" s="5" t="n"/>
      <c r="AV2356" s="5" t="n"/>
      <c r="AW2356" s="5" t="n"/>
      <c r="AX2356" s="5" t="n"/>
      <c r="AY2356" s="5" t="n"/>
      <c r="AZ2356" s="5" t="n"/>
      <c r="BA2356" s="5" t="n"/>
      <c r="BB2356" s="5" t="n"/>
      <c r="BC2356" s="5" t="n"/>
      <c r="BD2356" s="5" t="n"/>
      <c r="BE2356" s="5" t="n"/>
      <c r="BF2356" s="5" t="n"/>
      <c r="BG2356" s="5" t="n"/>
      <c r="BH2356" s="5" t="n"/>
      <c r="BI2356" s="5" t="n"/>
      <c r="BJ2356" s="5" t="n"/>
      <c r="BK2356" s="5" t="n"/>
      <c r="BL2356" s="5" t="n"/>
      <c r="BM2356" s="5" t="n"/>
      <c r="BN2356" s="5" t="n"/>
      <c r="BO2356" s="5" t="n"/>
      <c r="BP2356" s="5" t="n"/>
      <c r="BQ2356" s="5" t="n"/>
      <c r="BR2356" s="5" t="n"/>
      <c r="BS2356" s="5" t="n"/>
      <c r="BT2356" s="5" t="n"/>
      <c r="BU2356" s="5" t="n"/>
      <c r="BV2356" s="5" t="n"/>
      <c r="BW2356" s="5" t="n"/>
      <c r="BX2356" s="5" t="n"/>
      <c r="BY2356" s="5" t="n"/>
      <c r="BZ2356" s="5" t="n"/>
      <c r="CA2356" s="5" t="n"/>
      <c r="CB2356" s="5" t="n"/>
      <c r="CC2356" s="5" t="n"/>
      <c r="CD2356" s="5" t="n"/>
      <c r="CE2356" s="5" t="n"/>
      <c r="CF2356" s="5" t="n"/>
      <c r="CG2356" s="5" t="n"/>
      <c r="CH2356" s="5" t="n"/>
      <c r="CI2356" s="5" t="n"/>
      <c r="CJ2356" s="5" t="n"/>
      <c r="CK2356" s="5" t="n"/>
      <c r="CL2356" s="5" t="n"/>
      <c r="CM2356" s="5" t="n"/>
      <c r="CN2356" s="5" t="n"/>
      <c r="CO2356" s="5" t="n"/>
      <c r="CP2356" s="5" t="n"/>
      <c r="CQ2356" s="5" t="n"/>
      <c r="CR2356" s="5" t="n"/>
      <c r="CS2356" s="5" t="n"/>
      <c r="CT2356" s="5" t="n"/>
      <c r="CU2356" s="5" t="n"/>
      <c r="CV2356" s="5" t="n"/>
      <c r="CW2356" s="5" t="n"/>
      <c r="CX2356" s="5" t="n"/>
      <c r="CY2356" s="5" t="n"/>
      <c r="CZ2356" s="5" t="n"/>
      <c r="DA2356" s="5" t="n"/>
      <c r="DB2356" s="5" t="n"/>
      <c r="DC2356" s="5" t="n"/>
      <c r="DD2356" s="5" t="n"/>
      <c r="DE2356" s="5" t="n"/>
      <c r="DF2356" s="5" t="n"/>
      <c r="DG2356" s="5" t="n"/>
      <c r="DH2356" s="5" t="n"/>
      <c r="DI2356" s="5" t="n"/>
      <c r="DJ2356" s="5" t="n"/>
      <c r="DK2356" s="5" t="n"/>
      <c r="DL2356" s="5" t="n"/>
      <c r="DM2356" s="5" t="n"/>
      <c r="DN2356" s="5" t="n"/>
      <c r="DO2356" s="5" t="n"/>
      <c r="DP2356" s="5" t="n"/>
      <c r="DQ2356" s="5" t="n"/>
      <c r="DR2356" s="5" t="n"/>
      <c r="DS2356" s="5" t="n"/>
      <c r="DT2356" s="5" t="n"/>
      <c r="DU2356" s="5" t="n"/>
      <c r="DV2356" s="5" t="n"/>
      <c r="DW2356" s="5" t="n"/>
      <c r="DX2356" s="5" t="n"/>
      <c r="DY2356" s="5" t="n"/>
      <c r="DZ2356" s="5" t="n"/>
      <c r="EA2356" s="5" t="n"/>
      <c r="EB2356" s="5" t="n"/>
      <c r="EC2356" s="5" t="n"/>
      <c r="ED2356" s="5" t="n"/>
      <c r="EE2356" s="5" t="n"/>
      <c r="EF2356" s="5" t="n"/>
      <c r="EG2356" s="5" t="n"/>
      <c r="EH2356" s="5" t="n"/>
      <c r="EI2356" s="5" t="n"/>
      <c r="EJ2356" s="5" t="n"/>
      <c r="EK2356" s="5" t="n"/>
      <c r="EL2356" s="5" t="n"/>
      <c r="EM2356" s="5" t="n"/>
      <c r="EN2356" s="5" t="n"/>
      <c r="EO2356" s="5" t="n"/>
      <c r="EP2356" s="5" t="n"/>
      <c r="EQ2356" s="5" t="n"/>
      <c r="ER2356" s="5" t="n"/>
      <c r="ES2356" s="5" t="n"/>
      <c r="ET2356" s="5" t="n"/>
      <c r="EU2356" s="5" t="n"/>
      <c r="EV2356" s="5" t="n"/>
      <c r="EW2356" s="5" t="n"/>
      <c r="EX2356" s="5" t="n"/>
      <c r="EY2356" s="5" t="n"/>
      <c r="EZ2356" s="5" t="n"/>
      <c r="FA2356" s="5" t="n"/>
      <c r="FB2356" s="5" t="n"/>
      <c r="FC2356" s="5" t="n"/>
      <c r="FD2356" s="5" t="n"/>
      <c r="FE2356" s="5" t="n"/>
      <c r="FF2356" s="5" t="n"/>
      <c r="FG2356" s="5" t="n"/>
      <c r="FH2356" s="5" t="n"/>
      <c r="FI2356" s="5" t="n"/>
      <c r="FJ2356" s="5" t="n"/>
      <c r="FK2356" s="5" t="n"/>
      <c r="FL2356" s="5" t="n"/>
      <c r="FM2356" s="5" t="n"/>
      <c r="FN2356" s="5" t="n"/>
      <c r="FO2356" s="5" t="n"/>
    </row>
    <row r="2357">
      <c r="A2357" s="3" t="inlineStr">
        <is>
          <t>Transmission costs: Power G20:G21; settings: Inputs_pset; shares of final power demand: Balances (electricity; legacy rows 3719-3748); generation / consumption = base-year generation / final demand.</t>
        </is>
      </c>
    </row>
    <row r="2358">
      <c r="A2358" s="7" t="inlineStr">
        <is>
          <t>key</t>
        </is>
      </c>
      <c r="B2358" s="7" t="inlineStr">
        <is>
          <t>country</t>
        </is>
      </c>
      <c r="C2358" s="7" t="inlineStr">
        <is>
          <t>item</t>
        </is>
      </c>
      <c r="D2358" s="7" t="inlineStr">
        <is>
          <t>value</t>
        </is>
      </c>
      <c r="E2358" s="7" t="inlineStr">
        <is>
          <t>unit</t>
        </is>
      </c>
      <c r="F2358" s="7" t="inlineStr">
        <is>
          <t>description</t>
        </is>
      </c>
      <c r="G2358" s="7" t="inlineStr">
        <is>
          <t>legacy row</t>
        </is>
      </c>
    </row>
    <row r="2359">
      <c r="A2359" s="3" t="str">
        <f>CtryCode&amp;"|"&amp;$C2359</f>
        <v>EGY|tmc|res</v>
      </c>
      <c r="B2359" s="3" t="str">
        <f>CtryCode</f>
        <v>EGY</v>
      </c>
      <c r="C2359" s="3" t="inlineStr">
        <is>
          <t>tmc|res</t>
        </is>
      </c>
      <c r="D2359" s="197" t="n">
        <v>0.04</v>
      </c>
      <c r="E2359" s="3" t="inlineStr">
        <is>
          <t>$/kWh</t>
        </is>
      </c>
      <c r="F2359" s="3" t="inlineStr">
        <is>
          <t>transmission and distribution, residential (G1)</t>
        </is>
      </c>
      <c r="G2359" s="3" t="inlineStr">
        <is>
          <t>3599</t>
        </is>
      </c>
    </row>
    <row r="2360">
      <c r="A2360" s="3" t="str">
        <f>CtryCode&amp;"|"&amp;$C2360</f>
        <v>EGY|tmc|ind</v>
      </c>
      <c r="B2360" s="3" t="str">
        <f>CtryCode</f>
        <v>EGY</v>
      </c>
      <c r="C2360" s="3" t="inlineStr">
        <is>
          <t>tmc|ind</t>
        </is>
      </c>
      <c r="D2360" s="197" t="n">
        <v>0.015</v>
      </c>
      <c r="E2360" s="3" t="inlineStr">
        <is>
          <t>$/kWh</t>
        </is>
      </c>
      <c r="F2360" s="3" t="inlineStr">
        <is>
          <t>transmission and distribution, industrial (G2)</t>
        </is>
      </c>
      <c r="G2360" s="3" t="inlineStr">
        <is>
          <t>3628</t>
        </is>
      </c>
    </row>
    <row r="2361">
      <c r="A2361" s="3" t="str">
        <f>CtryCode&amp;"|"&amp;$C2361</f>
        <v>EGY|pass</v>
      </c>
      <c r="B2361" s="3" t="str">
        <f>CtryCode</f>
        <v>EGY</v>
      </c>
      <c r="C2361" s="3" t="inlineStr">
        <is>
          <t>pass</t>
        </is>
      </c>
      <c r="D2361" s="197">
        <f>PsPass</f>
        <v>1.0</v>
      </c>
      <c r="E2361" s="3" t="inlineStr">
        <is>
          <t>share</t>
        </is>
      </c>
      <c r="F2361" s="3" t="inlineStr">
        <is>
          <t>pass-through of supply-cost changes to end users (G1)</t>
        </is>
      </c>
      <c r="G2361" s="3" t="inlineStr">
        <is>
          <t>3596</t>
        </is>
      </c>
    </row>
    <row r="2362">
      <c r="A2362" s="3" t="str">
        <f>CtryCode&amp;"|"&amp;$C2362</f>
        <v>EGY|gen_per_cons</v>
      </c>
      <c r="B2362" s="3" t="str">
        <f>CtryCode</f>
        <v>EGY</v>
      </c>
      <c r="C2362" s="3" t="inlineStr">
        <is>
          <t>gen_per_cons</t>
        </is>
      </c>
      <c r="D2362" s="197">
        <f>$D$2382/$D$2381</f>
        <v>1.2661263924178658</v>
      </c>
      <c r="E2362" s="3" t="inlineStr">
        <is>
          <t>ratio</t>
        </is>
      </c>
      <c r="F2362" s="3" t="inlineStr">
        <is>
          <t>generation / final consumption (H2, base year)</t>
        </is>
      </c>
      <c r="G2362" s="3" t="inlineStr">
        <is>
          <t>3723</t>
        </is>
      </c>
    </row>
    <row r="2363">
      <c r="A2363" s="3" t="str">
        <f>CtryCode&amp;"|"&amp;$C2363</f>
        <v>EGY|dlf_ren</v>
      </c>
      <c r="B2363" s="3" t="str">
        <f>CtryCode</f>
        <v>EGY</v>
      </c>
      <c r="C2363" s="3" t="inlineStr">
        <is>
          <t>dlf_ren</t>
        </is>
      </c>
      <c r="D2363" s="197">
        <f>PsDlfRen</f>
        <v>8.435036725735763</v>
      </c>
      <c r="E2363" s="3" t="inlineStr">
        <is>
          <t>years</t>
        </is>
      </c>
      <c r="F2363" s="3" t="inlineStr">
        <is>
          <t>discounted lifetime of renewables (J2)</t>
        </is>
      </c>
      <c r="G2363" s="3" t="inlineStr">
        <is>
          <t>3883</t>
        </is>
      </c>
    </row>
    <row r="2364">
      <c r="A2364" s="3" t="str">
        <f>CtryCode&amp;"|"&amp;$C2364</f>
        <v>EGY|st_alloc</v>
      </c>
      <c r="B2364" s="3" t="str">
        <f>CtryCode</f>
        <v>EGY</v>
      </c>
      <c r="C2364" s="3" t="inlineStr">
        <is>
          <t>st_alloc</t>
        </is>
      </c>
      <c r="D2364" s="197">
        <f>PsSTAlloc</f>
        <v>1.0</v>
      </c>
      <c r="E2364" s="3" t="inlineStr">
        <is>
          <t>share</t>
        </is>
      </c>
      <c r="F2364" s="3" t="inlineStr">
        <is>
          <t>allocation of short-term storage cost to VRE (J1)</t>
        </is>
      </c>
      <c r="G2364" s="3" t="inlineStr">
        <is>
          <t>3871</t>
        </is>
      </c>
    </row>
    <row r="2365">
      <c r="A2365" s="3" t="str">
        <f>CtryCode&amp;"|"&amp;$C2365</f>
        <v>EGY|st_marg_hours</v>
      </c>
      <c r="B2365" s="3" t="str">
        <f>CtryCode</f>
        <v>EGY</v>
      </c>
      <c r="C2365" s="3" t="inlineStr">
        <is>
          <t>st_marg_hours</t>
        </is>
      </c>
      <c r="D2365" s="197">
        <f>StMargFactor*PsSTHours</f>
        <v>18.0</v>
      </c>
      <c r="E2365" s="3" t="inlineStr">
        <is>
          <t>hours</t>
        </is>
      </c>
      <c r="F2365" s="3" t="inlineStr">
        <is>
          <t>marginal hours of short-term storage per unit VRE (J1)</t>
        </is>
      </c>
      <c r="G2365" s="3" t="inlineStr">
        <is>
          <t>3873</t>
        </is>
      </c>
    </row>
    <row r="2366">
      <c r="A2366" s="3" t="str">
        <f>CtryCode&amp;"|"&amp;$C2366</f>
        <v>EGY|st_ratio</v>
      </c>
      <c r="B2366" s="3" t="str">
        <f>CtryCode</f>
        <v>EGY</v>
      </c>
      <c r="C2366" s="3" t="inlineStr">
        <is>
          <t>st_ratio</t>
        </is>
      </c>
      <c r="D2366" s="197">
        <f>PsSTRatio</f>
        <v>2.0</v>
      </c>
      <c r="E2366" s="3" t="inlineStr">
        <is>
          <t>hours</t>
        </is>
      </c>
      <c r="F2366" s="3" t="inlineStr">
        <is>
          <t>kWh storage per kW interface (J1)</t>
        </is>
      </c>
      <c r="G2366" s="3" t="inlineStr">
        <is>
          <t>3874</t>
        </is>
      </c>
    </row>
    <row r="2367">
      <c r="A2367" s="3" t="str">
        <f>CtryCode&amp;"|"&amp;$C2367</f>
        <v>EGY|lt_start</v>
      </c>
      <c r="B2367" s="3" t="str">
        <f>CtryCode</f>
        <v>EGY</v>
      </c>
      <c r="C2367" s="3" t="inlineStr">
        <is>
          <t>lt_start</t>
        </is>
      </c>
      <c r="D2367" s="197">
        <f>PsLTStart</f>
        <v>0.75</v>
      </c>
      <c r="E2367" s="3" t="inlineStr">
        <is>
          <t>share</t>
        </is>
      </c>
      <c r="F2367" s="3" t="inlineStr">
        <is>
          <t>VRE share where long-term storage starts (J1)</t>
        </is>
      </c>
      <c r="G2367" s="3" t="inlineStr">
        <is>
          <t>3877</t>
        </is>
      </c>
    </row>
    <row r="2368">
      <c r="A2368" s="3" t="str">
        <f>CtryCode&amp;"|"&amp;$C2368</f>
        <v>EGY|lt_alloc</v>
      </c>
      <c r="B2368" s="3" t="str">
        <f>CtryCode</f>
        <v>EGY</v>
      </c>
      <c r="C2368" s="3" t="inlineStr">
        <is>
          <t>lt_alloc</t>
        </is>
      </c>
      <c r="D2368" s="197">
        <f>PsLTAlloc</f>
        <v>0.33</v>
      </c>
      <c r="E2368" s="3" t="inlineStr">
        <is>
          <t>share</t>
        </is>
      </c>
      <c r="F2368" s="3" t="inlineStr">
        <is>
          <t>allocation of long-term storage cost to VRE (J1)</t>
        </is>
      </c>
      <c r="G2368" s="3" t="inlineStr">
        <is>
          <t>3876</t>
        </is>
      </c>
    </row>
    <row r="2369">
      <c r="A2369" s="3" t="str">
        <f>CtryCode&amp;"|"&amp;$C2369</f>
        <v>EGY|sh_nxp</v>
      </c>
      <c r="B2369" s="3" t="str">
        <f>CtryCode</f>
        <v>EGY</v>
      </c>
      <c r="C2369" s="3" t="inlineStr">
        <is>
          <t>sh_nxp</t>
        </is>
      </c>
      <c r="D2369" s="197">
        <f>IF($D$2381=0,0,-($D$2383+$D$2384)/$D$2381)</f>
        <v>0.009384967024643587</v>
      </c>
      <c r="E2369" s="3" t="inlineStr">
        <is>
          <t>share</t>
        </is>
      </c>
      <c r="F2369" s="3" t="inlineStr">
        <is>
          <t>net exports / final demand, base year (H2)</t>
        </is>
      </c>
      <c r="G2369" s="3" t="inlineStr">
        <is>
          <t>3719</t>
        </is>
      </c>
    </row>
    <row r="2370">
      <c r="A2370" s="3" t="str">
        <f>CtryCode&amp;"|"&amp;$C2370</f>
        <v>EGY|sh_tsd</v>
      </c>
      <c r="B2370" s="3" t="str">
        <f>CtryCode</f>
        <v>EGY</v>
      </c>
      <c r="C2370" s="3" t="inlineStr">
        <is>
          <t>sh_tsd</t>
        </is>
      </c>
      <c r="D2370" s="197">
        <f>IF($D$2381=0,0,-($D$2385+$D$2386+$D$2387)/$D$2381)</f>
        <v>0.21678067621038186</v>
      </c>
      <c r="E2370" s="3" t="inlineStr">
        <is>
          <t>share</t>
        </is>
      </c>
      <c r="F2370" s="3" t="inlineStr">
        <is>
          <t>transmission and statistical differences / final demand (H2)</t>
        </is>
      </c>
      <c r="G2370" s="3" t="inlineStr">
        <is>
          <t>3720</t>
        </is>
      </c>
    </row>
    <row r="2371">
      <c r="A2371" s="3" t="str">
        <f>CtryCode&amp;"|"&amp;$C2371</f>
        <v>EGY|sh_eou</v>
      </c>
      <c r="B2371" s="3" t="str">
        <f>CtryCode</f>
        <v>EGY</v>
      </c>
      <c r="C2371" s="3" t="inlineStr">
        <is>
          <t>sh_eou</t>
        </is>
      </c>
      <c r="D2371" s="197">
        <f>IF($D$2381=0,0,-$D$2388/$D$2381)</f>
        <v>0.039960748030381334</v>
      </c>
      <c r="E2371" s="3" t="inlineStr">
        <is>
          <t>share</t>
        </is>
      </c>
      <c r="F2371" s="3" t="inlineStr">
        <is>
          <t>energy industry own use / final demand (H2)</t>
        </is>
      </c>
      <c r="G2371" s="3" t="inlineStr">
        <is>
          <t>3721</t>
        </is>
      </c>
    </row>
    <row r="2372">
      <c r="A2372" s="3" t="str">
        <f>CtryCode&amp;"|"&amp;$C2372</f>
        <v>EGY|sh_add</v>
      </c>
      <c r="B2372" s="3" t="str">
        <f>CtryCode</f>
        <v>EGY</v>
      </c>
      <c r="C2372" s="3" t="inlineStr">
        <is>
          <t>sh_add</t>
        </is>
      </c>
      <c r="D2372" s="197">
        <f>$D$2362-1-$D$2369-$D$2370-$D$2371</f>
        <v>1.1524590656786238e-09</v>
      </c>
      <c r="E2372" s="3" t="inlineStr">
        <is>
          <t>share</t>
        </is>
      </c>
      <c r="F2372" s="3" t="inlineStr">
        <is>
          <t>additional statistical difference / final demand (H2)</t>
        </is>
      </c>
      <c r="G2372" s="3" t="inlineStr">
        <is>
          <t>3722</t>
        </is>
      </c>
    </row>
    <row r="2373">
      <c r="A2373" s="3" t="str">
        <f>CtryCode&amp;"|"&amp;$C2373</f>
        <v>EGY|extra_eff</v>
      </c>
      <c r="B2373" s="3" t="str">
        <f>CtryCode</f>
        <v>EGY</v>
      </c>
      <c r="C2373" s="3" t="inlineStr">
        <is>
          <t>extra_eff</t>
        </is>
      </c>
      <c r="D2373" s="197">
        <f>PsAddEff</f>
        <v>0.0</v>
      </c>
      <c r="E2373" s="3" t="inlineStr">
        <is>
          <t>share</t>
        </is>
      </c>
      <c r="F2373" s="3" t="inlineStr">
        <is>
          <t>additional efficiency improvement of power demand (H2; not in legacy 465: 0)</t>
        </is>
      </c>
      <c r="G2373" s="3" t="inlineStr">
        <is>
          <t>3719</t>
        </is>
      </c>
    </row>
    <row r="2374">
      <c r="A2374" s="3" t="str">
        <f>CtryCode&amp;"|"&amp;$C2374</f>
        <v>EGY|maxcf_cg</v>
      </c>
      <c r="B2374" s="3" t="str">
        <f>CtryCode</f>
        <v>EGY</v>
      </c>
      <c r="C2374" s="3" t="inlineStr">
        <is>
          <t>maxcf_cg</t>
        </is>
      </c>
      <c r="D2374" s="197">
        <f>PsMaxCoalCF</f>
        <v>0.9</v>
      </c>
      <c r="E2374" s="3" t="inlineStr">
        <is>
          <t>share</t>
        </is>
      </c>
      <c r="F2374" s="3" t="inlineStr">
        <is>
          <t>maximum capacity factor of coal and gas (I2)</t>
        </is>
      </c>
      <c r="G2374" s="3" t="inlineStr">
        <is>
          <t>3783</t>
        </is>
      </c>
    </row>
    <row r="2375">
      <c r="A2375" s="3" t="str">
        <f>CtryCode&amp;"|"&amp;$C2375</f>
        <v>EGY|k_dispatch</v>
      </c>
      <c r="B2375" s="3" t="str">
        <f>CtryCode</f>
        <v>EGY</v>
      </c>
      <c r="C2375" s="3" t="inlineStr">
        <is>
          <t>k_dispatch</t>
        </is>
      </c>
      <c r="D2375" s="197">
        <f>PsKDisp</f>
        <v>2.0</v>
      </c>
      <c r="E2375" s="3" t="inlineStr">
        <is>
          <t>factor</t>
        </is>
      </c>
      <c r="F2375" s="3" t="inlineStr">
        <is>
          <t>logit K parameter, dispatch (H2)</t>
        </is>
      </c>
      <c r="G2375" s="3" t="inlineStr">
        <is>
          <t>3720</t>
        </is>
      </c>
    </row>
    <row r="2376">
      <c r="A2376" s="3" t="str">
        <f>CtryCode&amp;"|"&amp;$C2376</f>
        <v>EGY|k_invest</v>
      </c>
      <c r="B2376" s="3" t="str">
        <f>CtryCode</f>
        <v>EGY</v>
      </c>
      <c r="C2376" s="3" t="inlineStr">
        <is>
          <t>k_invest</t>
        </is>
      </c>
      <c r="D2376" s="197">
        <f>PsKInv</f>
        <v>2.0</v>
      </c>
      <c r="E2376" s="3" t="inlineStr">
        <is>
          <t>factor</t>
        </is>
      </c>
      <c r="F2376" s="3" t="inlineStr">
        <is>
          <t>logit K parameter, investment (H2)</t>
        </is>
      </c>
      <c r="G2376" s="3" t="inlineStr">
        <is>
          <t>3721</t>
        </is>
      </c>
    </row>
    <row r="2377">
      <c r="A2377" s="3" t="str">
        <f>CtryCode&amp;"|"&amp;$C2377</f>
        <v>EGY|min_cost</v>
      </c>
      <c r="B2377" s="3" t="str">
        <f>CtryCode</f>
        <v>EGY</v>
      </c>
      <c r="C2377" s="3" t="inlineStr">
        <is>
          <t>min_cost</t>
        </is>
      </c>
      <c r="D2377" s="197">
        <f>PsMinCost</f>
        <v>0.01</v>
      </c>
      <c r="E2377" s="3" t="inlineStr">
        <is>
          <t>$/kWh</t>
        </is>
      </c>
      <c r="F2377" s="3" t="inlineStr">
        <is>
          <t>minimum cost in the logits (E1 column K)</t>
        </is>
      </c>
      <c r="G2377" s="3" t="inlineStr">
        <is>
          <t>3463</t>
        </is>
      </c>
    </row>
    <row r="2378">
      <c r="A2378" s="3" t="str">
        <f>CtryCode&amp;"|"&amp;$C2378</f>
        <v>EGY|early_max</v>
      </c>
      <c r="B2378" s="3" t="str">
        <f>CtryCode</f>
        <v>EGY</v>
      </c>
      <c r="C2378" s="3" t="inlineStr">
        <is>
          <t>early_max</t>
        </is>
      </c>
      <c r="D2378" s="197">
        <f>EarlyMaxShare</f>
        <v>0.8</v>
      </c>
      <c r="E2378" s="3" t="inlineStr">
        <is>
          <t>share</t>
        </is>
      </c>
      <c r="F2378" s="3" t="inlineStr">
        <is>
          <t>maximum early coal retirement, share of coal effective capacity (K4)</t>
        </is>
      </c>
      <c r="G2378" s="3" t="inlineStr">
        <is>
          <t>3975</t>
        </is>
      </c>
    </row>
    <row r="2379">
      <c r="A2379" s="3" t="str">
        <f>CtryCode&amp;"|"&amp;$C2379</f>
        <v>EGY|early_factor</v>
      </c>
      <c r="B2379" s="3" t="str">
        <f>CtryCode</f>
        <v>EGY</v>
      </c>
      <c r="C2379" s="3" t="inlineStr">
        <is>
          <t>early_factor</t>
        </is>
      </c>
      <c r="D2379" s="197">
        <f>IF(PsEarlyBL="Yes",PsEarlyMax,0)</f>
        <v>0.8</v>
      </c>
      <c r="E2379" s="3" t="inlineStr">
        <is>
          <t>share</t>
        </is>
      </c>
      <c r="F2379" s="3" t="inlineStr">
        <is>
          <t>factor on cost-based early coal retirement (K5)</t>
        </is>
      </c>
      <c r="G2379" s="3" t="inlineStr">
        <is>
          <t>3993</t>
        </is>
      </c>
    </row>
    <row r="2380">
      <c r="A2380" s="3" t="str">
        <f>CtryCode&amp;"|"&amp;$C2380</f>
        <v>EGY|ktoe_gwh</v>
      </c>
      <c r="B2380" s="3" t="str">
        <f>CtryCode</f>
        <v>EGY</v>
      </c>
      <c r="C2380" s="3" t="inlineStr">
        <is>
          <t>ktoe_gwh</t>
        </is>
      </c>
      <c r="D2380" s="197">
        <f>KtoeGWh</f>
        <v>11.63</v>
      </c>
      <c r="E2380" s="3" t="inlineStr">
        <is>
          <t>GWh/ktoe</t>
        </is>
      </c>
      <c r="F2380" s="3" t="inlineStr">
        <is>
          <t>GWh per ktoe</t>
        </is>
      </c>
      <c r="G2380" s="3" t="inlineStr"/>
    </row>
    <row r="2381">
      <c r="A2381" s="3" t="str">
        <f>CtryCode&amp;"|"&amp;$C2381</f>
        <v>EGY|dem</v>
      </c>
      <c r="B2381" s="3" t="str">
        <f>CtryCode</f>
        <v>EGY</v>
      </c>
      <c r="C2381" s="3" t="inlineStr">
        <is>
          <t>dem</t>
        </is>
      </c>
      <c r="D2381" s="197">
        <f>SUM($D$2389:$D$2403)</f>
        <v>14392.220630551412</v>
      </c>
      <c r="E2381" s="3" t="inlineStr">
        <is>
          <t>ktoe</t>
        </is>
      </c>
      <c r="F2381" s="3" t="inlineStr">
        <is>
          <t>final power demand (sum of the demand flows)</t>
        </is>
      </c>
      <c r="G2381" s="3" t="inlineStr"/>
    </row>
    <row r="2382">
      <c r="A2382" s="3" t="str">
        <f>CtryCode&amp;"|"&amp;$C2382</f>
        <v>EGY|gen_ktoe</v>
      </c>
      <c r="B2382" s="3" t="str">
        <f>CtryCode</f>
        <v>EGY</v>
      </c>
      <c r="C2382" s="3" t="inlineStr">
        <is>
          <t>gen_ktoe</t>
        </is>
      </c>
      <c r="D2382" s="197">
        <f>SUM('Constants and Mappings'!$T$2269:$T$2277)*HoursYr/Thousand/KtoeGWh</f>
        <v>18222.37038584204</v>
      </c>
      <c r="E2382" s="3" t="inlineStr">
        <is>
          <t>ktoe</t>
        </is>
      </c>
      <c r="F2382" s="3" t="inlineStr">
        <is>
          <t>base-year generation, ktoe</t>
        </is>
      </c>
      <c r="G2382" s="3" t="inlineStr"/>
    </row>
    <row r="2383">
      <c r="A2383" s="3" t="str">
        <f>CtryCode&amp;"|"&amp;$C2383</f>
        <v>EGY|bal|imports</v>
      </c>
      <c r="B2383" s="3" t="str">
        <f>CtryCode</f>
        <v>EGY</v>
      </c>
      <c r="C2383" s="3" t="inlineStr">
        <is>
          <t>bal|imports</t>
        </is>
      </c>
      <c r="D2383" s="197" t="n">
        <v>15.74249701985867</v>
      </c>
      <c r="E2383" s="3" t="inlineStr">
        <is>
          <t>ktoe</t>
        </is>
      </c>
      <c r="F2383" s="3" t="inlineStr">
        <is>
          <t>Balances, electricity, flow imports</t>
        </is>
      </c>
      <c r="G2383" s="3" t="inlineStr"/>
    </row>
    <row r="2384">
      <c r="A2384" s="3" t="str">
        <f>CtryCode&amp;"|"&amp;$C2384</f>
        <v>EGY|bal|exports</v>
      </c>
      <c r="B2384" s="3" t="str">
        <f>CtryCode</f>
        <v>EGY</v>
      </c>
      <c r="C2384" s="3" t="inlineStr">
        <is>
          <t>bal|exports</t>
        </is>
      </c>
      <c r="D2384" s="197" t="n">
        <v>-150.8130130489788</v>
      </c>
      <c r="E2384" s="3" t="inlineStr">
        <is>
          <t>ktoe</t>
        </is>
      </c>
      <c r="F2384" s="3" t="inlineStr">
        <is>
          <t>Balances, electricity, flow exports</t>
        </is>
      </c>
      <c r="G2384" s="3" t="inlineStr"/>
    </row>
    <row r="2385">
      <c r="A2385" s="3" t="str">
        <f>CtryCode&amp;"|"&amp;$C2385</f>
        <v>EGY|bal|statdiff</v>
      </c>
      <c r="B2385" s="3" t="str">
        <f>CtryCode</f>
        <v>EGY</v>
      </c>
      <c r="C2385" s="3" t="inlineStr">
        <is>
          <t>bal|statdiff</t>
        </is>
      </c>
      <c r="D2385" s="197" t="n">
        <v>806.2319385065948</v>
      </c>
      <c r="E2385" s="3" t="inlineStr">
        <is>
          <t>ktoe</t>
        </is>
      </c>
      <c r="F2385" s="3" t="inlineStr">
        <is>
          <t>Balances, electricity, flow statdiff</t>
        </is>
      </c>
      <c r="G2385" s="3" t="inlineStr"/>
    </row>
    <row r="2386">
      <c r="A2386" s="3" t="str">
        <f>CtryCode&amp;"|"&amp;$C2386</f>
        <v>EGY|bal|transfer</v>
      </c>
      <c r="B2386" s="3" t="str">
        <f>CtryCode</f>
        <v>EGY</v>
      </c>
      <c r="C2386" s="3" t="inlineStr">
        <is>
          <t>bal|transfer</t>
        </is>
      </c>
      <c r="D2386" s="197" t="n">
        <v>0</v>
      </c>
      <c r="E2386" s="3" t="inlineStr">
        <is>
          <t>ktoe</t>
        </is>
      </c>
      <c r="F2386" s="3" t="inlineStr">
        <is>
          <t>Balances, electricity, flow transfer</t>
        </is>
      </c>
      <c r="G2386" s="3" t="inlineStr"/>
    </row>
    <row r="2387">
      <c r="A2387" s="3" t="str">
        <f>CtryCode&amp;"|"&amp;$C2387</f>
        <v>EGY|bal|distloss</v>
      </c>
      <c r="B2387" s="3" t="str">
        <f>CtryCode</f>
        <v>EGY</v>
      </c>
      <c r="C2387" s="3" t="inlineStr">
        <is>
          <t>bal|distloss</t>
        </is>
      </c>
      <c r="D2387" s="197" t="n">
        <v>-3926.187258966538</v>
      </c>
      <c r="E2387" s="3" t="inlineStr">
        <is>
          <t>ktoe</t>
        </is>
      </c>
      <c r="F2387" s="3" t="inlineStr">
        <is>
          <t>Balances, electricity, flow distloss</t>
        </is>
      </c>
      <c r="G2387" s="3" t="inlineStr"/>
    </row>
    <row r="2388">
      <c r="A2388" s="3" t="str">
        <f>CtryCode&amp;"|"&amp;$C2388</f>
        <v>EGY|bal|ownuse</v>
      </c>
      <c r="B2388" s="3" t="str">
        <f>CtryCode</f>
        <v>EGY</v>
      </c>
      <c r="C2388" s="3" t="inlineStr">
        <is>
          <t>bal|ownuse</t>
        </is>
      </c>
      <c r="D2388" s="197" t="n">
        <v>-575.1239022151209</v>
      </c>
      <c r="E2388" s="3" t="inlineStr">
        <is>
          <t>ktoe</t>
        </is>
      </c>
      <c r="F2388" s="3" t="inlineStr">
        <is>
          <t>Balances, electricity, flow ownuse</t>
        </is>
      </c>
      <c r="G2388" s="3" t="inlineStr"/>
    </row>
    <row r="2389">
      <c r="A2389" s="3" t="str">
        <f>CtryCode&amp;"|"&amp;$C2389</f>
        <v>EGY|bal|road</v>
      </c>
      <c r="B2389" s="3" t="str">
        <f>CtryCode</f>
        <v>EGY</v>
      </c>
      <c r="C2389" s="3" t="inlineStr">
        <is>
          <t>bal|road</t>
        </is>
      </c>
      <c r="D2389" s="197" t="n">
        <v>0</v>
      </c>
      <c r="E2389" s="3" t="inlineStr">
        <is>
          <t>ktoe</t>
        </is>
      </c>
      <c r="F2389" s="3" t="inlineStr">
        <is>
          <t>Balances, electricity, flow road</t>
        </is>
      </c>
      <c r="G2389" s="3" t="inlineStr"/>
    </row>
    <row r="2390">
      <c r="A2390" s="3" t="str">
        <f>CtryCode&amp;"|"&amp;$C2390</f>
        <v>EGY|bal|rail</v>
      </c>
      <c r="B2390" s="3" t="str">
        <f>CtryCode</f>
        <v>EGY</v>
      </c>
      <c r="C2390" s="3" t="inlineStr">
        <is>
          <t>bal|rail</t>
        </is>
      </c>
      <c r="D2390" s="197" t="n">
        <v>43.29324915009079</v>
      </c>
      <c r="E2390" s="3" t="inlineStr">
        <is>
          <t>ktoe</t>
        </is>
      </c>
      <c r="F2390" s="3" t="inlineStr">
        <is>
          <t>Balances, electricity, flow rail</t>
        </is>
      </c>
      <c r="G2390" s="3" t="inlineStr"/>
    </row>
    <row r="2391">
      <c r="A2391" s="3" t="str">
        <f>CtryCode&amp;"|"&amp;$C2391</f>
        <v>EGY|bal|domesair</v>
      </c>
      <c r="B2391" s="3" t="str">
        <f>CtryCode</f>
        <v>EGY</v>
      </c>
      <c r="C2391" s="3" t="inlineStr">
        <is>
          <t>bal|domesair</t>
        </is>
      </c>
      <c r="D2391" s="197" t="n">
        <v>0</v>
      </c>
      <c r="E2391" s="3" t="inlineStr">
        <is>
          <t>ktoe</t>
        </is>
      </c>
      <c r="F2391" s="3" t="inlineStr">
        <is>
          <t>Balances, electricity, flow domesair</t>
        </is>
      </c>
      <c r="G2391" s="3" t="inlineStr"/>
    </row>
    <row r="2392">
      <c r="A2392" s="3" t="str">
        <f>CtryCode&amp;"|"&amp;$C2392</f>
        <v>EGY|bal|domesnav</v>
      </c>
      <c r="B2392" s="3" t="str">
        <f>CtryCode</f>
        <v>EGY</v>
      </c>
      <c r="C2392" s="3" t="inlineStr">
        <is>
          <t>bal|domesnav</t>
        </is>
      </c>
      <c r="D2392" s="197" t="n">
        <v>0</v>
      </c>
      <c r="E2392" s="3" t="inlineStr">
        <is>
          <t>ktoe</t>
        </is>
      </c>
      <c r="F2392" s="3" t="inlineStr">
        <is>
          <t>Balances, electricity, flow domesnav</t>
        </is>
      </c>
      <c r="G2392" s="3" t="inlineStr"/>
    </row>
    <row r="2393">
      <c r="A2393" s="3" t="str">
        <f>CtryCode&amp;"|"&amp;$C2393</f>
        <v>EGY|bal|resident</v>
      </c>
      <c r="B2393" s="3" t="str">
        <f>CtryCode</f>
        <v>EGY</v>
      </c>
      <c r="C2393" s="3" t="inlineStr">
        <is>
          <t>bal|resident</t>
        </is>
      </c>
      <c r="D2393" s="197" t="n">
        <v>5771.968329881539</v>
      </c>
      <c r="E2393" s="3" t="inlineStr">
        <is>
          <t>ktoe</t>
        </is>
      </c>
      <c r="F2393" s="3" t="inlineStr">
        <is>
          <t>Balances, electricity, flow resident</t>
        </is>
      </c>
      <c r="G2393" s="3" t="inlineStr"/>
    </row>
    <row r="2394">
      <c r="A2394" s="3" t="str">
        <f>CtryCode&amp;"|"&amp;$C2394</f>
        <v>EGY|bal|food_forest</v>
      </c>
      <c r="B2394" s="3" t="str">
        <f>CtryCode</f>
        <v>EGY</v>
      </c>
      <c r="C2394" s="3" t="inlineStr">
        <is>
          <t>bal|food_forest</t>
        </is>
      </c>
      <c r="D2394" s="197" t="n">
        <v>1192.529587338073</v>
      </c>
      <c r="E2394" s="3" t="inlineStr">
        <is>
          <t>ktoe</t>
        </is>
      </c>
      <c r="F2394" s="3" t="inlineStr">
        <is>
          <t>Balances, electricity, flow food_forest</t>
        </is>
      </c>
      <c r="G2394" s="3" t="inlineStr"/>
    </row>
    <row r="2395">
      <c r="A2395" s="3" t="str">
        <f>CtryCode&amp;"|"&amp;$C2395</f>
        <v>EGY|bal|services</v>
      </c>
      <c r="B2395" s="3" t="str">
        <f>CtryCode</f>
        <v>EGY</v>
      </c>
      <c r="C2395" s="3" t="inlineStr">
        <is>
          <t>bal|services</t>
        </is>
      </c>
      <c r="D2395" s="197" t="n">
        <v>3778.525028349402</v>
      </c>
      <c r="E2395" s="3" t="inlineStr">
        <is>
          <t>ktoe</t>
        </is>
      </c>
      <c r="F2395" s="3" t="inlineStr">
        <is>
          <t>Balances, electricity, flow services</t>
        </is>
      </c>
      <c r="G2395" s="3" t="inlineStr"/>
    </row>
    <row r="2396">
      <c r="A2396" s="3" t="str">
        <f>CtryCode&amp;"|"&amp;$C2396</f>
        <v>EGY|bal|mining_chemicals</v>
      </c>
      <c r="B2396" s="3" t="str">
        <f>CtryCode</f>
        <v>EGY</v>
      </c>
      <c r="C2396" s="3" t="inlineStr">
        <is>
          <t>bal|mining_chemicals</t>
        </is>
      </c>
      <c r="D2396" s="197" t="n">
        <v>401.0063671821847</v>
      </c>
      <c r="E2396" s="3" t="inlineStr">
        <is>
          <t>ktoe</t>
        </is>
      </c>
      <c r="F2396" s="3" t="inlineStr">
        <is>
          <t>Balances, electricity, flow mining_chemicals</t>
        </is>
      </c>
      <c r="G2396" s="3" t="inlineStr"/>
    </row>
    <row r="2397">
      <c r="A2397" s="3" t="str">
        <f>CtryCode&amp;"|"&amp;$C2397</f>
        <v>EGY|bal|ironstl</v>
      </c>
      <c r="B2397" s="3" t="str">
        <f>CtryCode</f>
        <v>EGY</v>
      </c>
      <c r="C2397" s="3" t="inlineStr">
        <is>
          <t>bal|ironstl</t>
        </is>
      </c>
      <c r="D2397" s="197" t="n">
        <v>748.8236066568924</v>
      </c>
      <c r="E2397" s="3" t="inlineStr">
        <is>
          <t>ktoe</t>
        </is>
      </c>
      <c r="F2397" s="3" t="inlineStr">
        <is>
          <t>Balances, electricity, flow ironstl</t>
        </is>
      </c>
      <c r="G2397" s="3" t="inlineStr"/>
    </row>
    <row r="2398">
      <c r="A2398" s="3" t="str">
        <f>CtryCode&amp;"|"&amp;$C2398</f>
        <v>EGY|bal|nonferrmet</v>
      </c>
      <c r="B2398" s="3" t="str">
        <f>CtryCode</f>
        <v>EGY</v>
      </c>
      <c r="C2398" s="3" t="inlineStr">
        <is>
          <t>bal|nonferrmet</t>
        </is>
      </c>
      <c r="D2398" s="197" t="n">
        <v>6.353271970598906</v>
      </c>
      <c r="E2398" s="3" t="inlineStr">
        <is>
          <t>ktoe</t>
        </is>
      </c>
      <c r="F2398" s="3" t="inlineStr">
        <is>
          <t>Balances, electricity, flow nonferrmet</t>
        </is>
      </c>
      <c r="G2398" s="3" t="inlineStr"/>
    </row>
    <row r="2399">
      <c r="A2399" s="3" t="str">
        <f>CtryCode&amp;"|"&amp;$C2399</f>
        <v>EGY|bal|machinery</v>
      </c>
      <c r="B2399" s="3" t="str">
        <f>CtryCode</f>
        <v>EGY</v>
      </c>
      <c r="C2399" s="3" t="inlineStr">
        <is>
          <t>bal|machinery</t>
        </is>
      </c>
      <c r="D2399" s="197" t="n">
        <v>585.4799029458944</v>
      </c>
      <c r="E2399" s="3" t="inlineStr">
        <is>
          <t>ktoe</t>
        </is>
      </c>
      <c r="F2399" s="3" t="inlineStr">
        <is>
          <t>Balances, electricity, flow machinery</t>
        </is>
      </c>
      <c r="G2399" s="3" t="inlineStr"/>
    </row>
    <row r="2400">
      <c r="A2400" s="3" t="str">
        <f>CtryCode&amp;"|"&amp;$C2400</f>
        <v>EGY|bal|cement</v>
      </c>
      <c r="B2400" s="3" t="str">
        <f>CtryCode</f>
        <v>EGY</v>
      </c>
      <c r="C2400" s="3" t="inlineStr">
        <is>
          <t>bal|cement</t>
        </is>
      </c>
      <c r="D2400" s="197" t="n">
        <v>1165.402076739667</v>
      </c>
      <c r="E2400" s="3" t="inlineStr">
        <is>
          <t>ktoe</t>
        </is>
      </c>
      <c r="F2400" s="3" t="inlineStr">
        <is>
          <t>Balances, electricity, flow cement</t>
        </is>
      </c>
      <c r="G2400" s="3" t="inlineStr"/>
    </row>
    <row r="2401">
      <c r="A2401" s="3" t="str">
        <f>CtryCode&amp;"|"&amp;$C2401</f>
        <v>EGY|bal|other_manufact</v>
      </c>
      <c r="B2401" s="3" t="str">
        <f>CtryCode</f>
        <v>EGY</v>
      </c>
      <c r="C2401" s="3" t="inlineStr">
        <is>
          <t>bal|other_manufact</t>
        </is>
      </c>
      <c r="D2401" s="197" t="n">
        <v>698.8392103370692</v>
      </c>
      <c r="E2401" s="3" t="inlineStr">
        <is>
          <t>ktoe</t>
        </is>
      </c>
      <c r="F2401" s="3" t="inlineStr">
        <is>
          <t>Balances, electricity, flow other_manufact</t>
        </is>
      </c>
      <c r="G2401" s="3" t="inlineStr"/>
    </row>
    <row r="2402">
      <c r="A2402" s="3" t="str">
        <f>CtryCode&amp;"|"&amp;$C2402</f>
        <v>EGY|bal|construc</v>
      </c>
      <c r="B2402" s="3" t="str">
        <f>CtryCode</f>
        <v>EGY</v>
      </c>
      <c r="C2402" s="3" t="inlineStr">
        <is>
          <t>bal|construc</t>
        </is>
      </c>
      <c r="D2402" s="197" t="n">
        <v>0</v>
      </c>
      <c r="E2402" s="3" t="inlineStr">
        <is>
          <t>ktoe</t>
        </is>
      </c>
      <c r="F2402" s="3" t="inlineStr">
        <is>
          <t>Balances, electricity, flow construc</t>
        </is>
      </c>
      <c r="G2402" s="3" t="inlineStr"/>
    </row>
    <row r="2403">
      <c r="A2403" s="3" t="str">
        <f>CtryCode&amp;"|"&amp;$C2403</f>
        <v>EGY|bal|ononspec</v>
      </c>
      <c r="B2403" s="3" t="str">
        <f>CtryCode</f>
        <v>EGY</v>
      </c>
      <c r="C2403" s="3" t="inlineStr">
        <is>
          <t>bal|ononspec</t>
        </is>
      </c>
      <c r="D2403" s="197" t="n">
        <v>0</v>
      </c>
      <c r="E2403" s="3" t="inlineStr">
        <is>
          <t>ktoe</t>
        </is>
      </c>
      <c r="F2403" s="3" t="inlineStr">
        <is>
          <t>Balances, electricity, flow ononspec</t>
        </is>
      </c>
      <c r="G2403" s="3" t="inlineStr"/>
    </row>
    <row r="2404"/>
    <row r="2405"/>
    <row r="2406"/>
    <row r="2407"/>
    <row r="2408">
      <c r="A2408" s="4" t="inlineStr">
        <is>
          <t>Non-CO2 combustion emission factors by legacy EF code (data step; legacy Mitigation rows 1052-1663)</t>
        </is>
      </c>
      <c r="B2408" s="5" t="n"/>
      <c r="C2408" s="5" t="n"/>
      <c r="D2408" s="5" t="n"/>
      <c r="E2408" s="5" t="n"/>
      <c r="F2408" s="5" t="n"/>
      <c r="G2408" s="5" t="n"/>
      <c r="H2408" s="5" t="n"/>
      <c r="I2408" s="5" t="n"/>
      <c r="J2408" s="5" t="n"/>
      <c r="K2408" s="5" t="n"/>
      <c r="L2408" s="5" t="n"/>
      <c r="M2408" s="5" t="n"/>
      <c r="N2408" s="5" t="n"/>
      <c r="O2408" s="5" t="n"/>
      <c r="P2408" s="5" t="n"/>
      <c r="Q2408" s="5" t="n"/>
      <c r="R2408" s="5" t="n"/>
      <c r="S2408" s="5" t="n"/>
      <c r="T2408" s="5" t="n"/>
      <c r="U2408" s="5" t="n"/>
      <c r="V2408" s="5" t="n"/>
      <c r="W2408" s="5" t="n"/>
      <c r="X2408" s="5" t="n"/>
      <c r="Y2408" s="5" t="n"/>
      <c r="Z2408" s="5" t="n"/>
      <c r="AA2408" s="5" t="n"/>
      <c r="AB2408" s="5" t="n"/>
      <c r="AC2408" s="5" t="n"/>
      <c r="AD2408" s="5" t="n"/>
      <c r="AE2408" s="5" t="n"/>
      <c r="AF2408" s="5" t="n"/>
      <c r="AG2408" s="5" t="n"/>
      <c r="AH2408" s="5" t="n"/>
      <c r="AI2408" s="5" t="n"/>
      <c r="AJ2408" s="5" t="n"/>
      <c r="AK2408" s="5" t="n"/>
      <c r="AL2408" s="5" t="n"/>
      <c r="AM2408" s="5" t="n"/>
      <c r="AN2408" s="5" t="n"/>
      <c r="AO2408" s="5" t="n"/>
      <c r="AP2408" s="5" t="n"/>
      <c r="AQ2408" s="5" t="n"/>
      <c r="AR2408" s="5" t="n"/>
      <c r="AS2408" s="5" t="n"/>
      <c r="AT2408" s="5" t="n"/>
      <c r="AU2408" s="5" t="n"/>
      <c r="AV2408" s="5" t="n"/>
      <c r="AW2408" s="5" t="n"/>
      <c r="AX2408" s="5" t="n"/>
      <c r="AY2408" s="5" t="n"/>
      <c r="AZ2408" s="5" t="n"/>
      <c r="BA2408" s="5" t="n"/>
      <c r="BB2408" s="5" t="n"/>
      <c r="BC2408" s="5" t="n"/>
      <c r="BD2408" s="5" t="n"/>
      <c r="BE2408" s="5" t="n"/>
      <c r="BF2408" s="5" t="n"/>
      <c r="BG2408" s="5" t="n"/>
      <c r="BH2408" s="5" t="n"/>
      <c r="BI2408" s="5" t="n"/>
      <c r="BJ2408" s="5" t="n"/>
      <c r="BK2408" s="5" t="n"/>
      <c r="BL2408" s="5" t="n"/>
      <c r="BM2408" s="5" t="n"/>
      <c r="BN2408" s="5" t="n"/>
      <c r="BO2408" s="5" t="n"/>
      <c r="BP2408" s="5" t="n"/>
      <c r="BQ2408" s="5" t="n"/>
      <c r="BR2408" s="5" t="n"/>
      <c r="BS2408" s="5" t="n"/>
      <c r="BT2408" s="5" t="n"/>
      <c r="BU2408" s="5" t="n"/>
      <c r="BV2408" s="5" t="n"/>
      <c r="BW2408" s="5" t="n"/>
      <c r="BX2408" s="5" t="n"/>
      <c r="BY2408" s="5" t="n"/>
      <c r="BZ2408" s="5" t="n"/>
      <c r="CA2408" s="5" t="n"/>
      <c r="CB2408" s="5" t="n"/>
      <c r="CC2408" s="5" t="n"/>
      <c r="CD2408" s="5" t="n"/>
      <c r="CE2408" s="5" t="n"/>
      <c r="CF2408" s="5" t="n"/>
      <c r="CG2408" s="5" t="n"/>
      <c r="CH2408" s="5" t="n"/>
      <c r="CI2408" s="5" t="n"/>
      <c r="CJ2408" s="5" t="n"/>
      <c r="CK2408" s="5" t="n"/>
      <c r="CL2408" s="5" t="n"/>
      <c r="CM2408" s="5" t="n"/>
      <c r="CN2408" s="5" t="n"/>
      <c r="CO2408" s="5" t="n"/>
      <c r="CP2408" s="5" t="n"/>
      <c r="CQ2408" s="5" t="n"/>
      <c r="CR2408" s="5" t="n"/>
      <c r="CS2408" s="5" t="n"/>
      <c r="CT2408" s="5" t="n"/>
      <c r="CU2408" s="5" t="n"/>
      <c r="CV2408" s="5" t="n"/>
      <c r="CW2408" s="5" t="n"/>
      <c r="CX2408" s="5" t="n"/>
      <c r="CY2408" s="5" t="n"/>
      <c r="CZ2408" s="5" t="n"/>
      <c r="DA2408" s="5" t="n"/>
      <c r="DB2408" s="5" t="n"/>
      <c r="DC2408" s="5" t="n"/>
      <c r="DD2408" s="5" t="n"/>
      <c r="DE2408" s="5" t="n"/>
      <c r="DF2408" s="5" t="n"/>
      <c r="DG2408" s="5" t="n"/>
      <c r="DH2408" s="5" t="n"/>
      <c r="DI2408" s="5" t="n"/>
      <c r="DJ2408" s="5" t="n"/>
      <c r="DK2408" s="5" t="n"/>
      <c r="DL2408" s="5" t="n"/>
      <c r="DM2408" s="5" t="n"/>
      <c r="DN2408" s="5" t="n"/>
      <c r="DO2408" s="5" t="n"/>
      <c r="DP2408" s="5" t="n"/>
      <c r="DQ2408" s="5" t="n"/>
      <c r="DR2408" s="5" t="n"/>
      <c r="DS2408" s="5" t="n"/>
      <c r="DT2408" s="5" t="n"/>
      <c r="DU2408" s="5" t="n"/>
      <c r="DV2408" s="5" t="n"/>
      <c r="DW2408" s="5" t="n"/>
      <c r="DX2408" s="5" t="n"/>
      <c r="DY2408" s="5" t="n"/>
      <c r="DZ2408" s="5" t="n"/>
      <c r="EA2408" s="5" t="n"/>
      <c r="EB2408" s="5" t="n"/>
      <c r="EC2408" s="5" t="n"/>
      <c r="ED2408" s="5" t="n"/>
      <c r="EE2408" s="5" t="n"/>
      <c r="EF2408" s="5" t="n"/>
      <c r="EG2408" s="5" t="n"/>
      <c r="EH2408" s="5" t="n"/>
      <c r="EI2408" s="5" t="n"/>
      <c r="EJ2408" s="5" t="n"/>
      <c r="EK2408" s="5" t="n"/>
      <c r="EL2408" s="5" t="n"/>
      <c r="EM2408" s="5" t="n"/>
      <c r="EN2408" s="5" t="n"/>
      <c r="EO2408" s="5" t="n"/>
      <c r="EP2408" s="5" t="n"/>
      <c r="EQ2408" s="5" t="n"/>
      <c r="ER2408" s="5" t="n"/>
      <c r="ES2408" s="5" t="n"/>
      <c r="ET2408" s="5" t="n"/>
      <c r="EU2408" s="5" t="n"/>
      <c r="EV2408" s="5" t="n"/>
      <c r="EW2408" s="5" t="n"/>
      <c r="EX2408" s="5" t="n"/>
      <c r="EY2408" s="5" t="n"/>
      <c r="EZ2408" s="5" t="n"/>
      <c r="FA2408" s="5" t="n"/>
      <c r="FB2408" s="5" t="n"/>
      <c r="FC2408" s="5" t="n"/>
      <c r="FD2408" s="5" t="n"/>
      <c r="FE2408" s="5" t="n"/>
      <c r="FF2408" s="5" t="n"/>
      <c r="FG2408" s="5" t="n"/>
      <c r="FH2408" s="5" t="n"/>
      <c r="FI2408" s="5" t="n"/>
      <c r="FJ2408" s="5" t="n"/>
      <c r="FK2408" s="5" t="n"/>
      <c r="FL2408" s="5" t="n"/>
      <c r="FM2408" s="5" t="n"/>
      <c r="FN2408" s="5" t="n"/>
      <c r="FO2408" s="5" t="n"/>
    </row>
    <row r="2409">
      <c r="A2409" s="3" t="inlineStr">
        <is>
          <t>From sheet EF_PM (GAINS, kt/PJ x EFtPerKtoe), as legacy Mitigation rows 1052-1663 F, I, L: the factor of the country, else of its World Bank region (CtryReg), else of the world, else 0; other energy (oen) takes the maximum of the fuel across the other subsectors (legacy note; issue I147); navigation (not in legacy) its GAINS factors (bug L22). Inputs ch4a to ap1_co and Inputs_power ap0_ to ap1_ read this table by key (NCEfKey).</t>
        </is>
      </c>
    </row>
    <row r="2410">
      <c r="A2410" s="7" t="inlineStr">
        <is>
          <t>Key (legacy EF code: subsector.fuel.pollutant)</t>
        </is>
      </c>
      <c r="B2410" s="7" t="inlineStr">
        <is>
          <t>Legacy EF subsector</t>
        </is>
      </c>
      <c r="C2410" s="7" t="inlineStr">
        <is>
          <t>Fuel</t>
        </is>
      </c>
      <c r="D2410" s="7" t="inlineStr">
        <is>
          <t>Pollutant</t>
        </is>
      </c>
      <c r="E2410" s="7" t="inlineStr">
        <is>
          <t>Code: country</t>
        </is>
      </c>
      <c r="F2410" s="7" t="inlineStr">
        <is>
          <t>Code: region (CtryReg)</t>
        </is>
      </c>
      <c r="G2410" s="7" t="inlineStr">
        <is>
          <t>Code: world</t>
        </is>
      </c>
      <c r="H2410" s="7" t="inlineStr">
        <is>
          <t>Code used (other energy: the maximum across the other subsectors)</t>
        </is>
      </c>
      <c r="I2410" s="7" t="inlineStr">
        <is>
          <t>FE in: base-year factor (t/ktoe)</t>
        </is>
      </c>
      <c r="J2410" s="7" t="inlineStr">
        <is>
          <t>FE fin: final factor (t/ktoe)</t>
        </is>
      </c>
    </row>
    <row r="2411">
      <c r="A2411" s="3" t="str">
        <f>$B2411&amp;"."&amp;$C2411&amp;"."&amp;$D2411</f>
        <v>pow.coa.pm2</v>
      </c>
      <c r="B2411" s="8" t="inlineStr">
        <is>
          <t>pow</t>
        </is>
      </c>
      <c r="C2411" s="8" t="inlineStr">
        <is>
          <t>coa</t>
        </is>
      </c>
      <c r="D2411" s="8" t="inlineStr">
        <is>
          <t>pm2</t>
        </is>
      </c>
      <c r="E2411" s="3" t="str">
        <f>CodePrefix&amp;"ef."&amp;$A2411</f>
        <v>egy.mit.ef.pow.coa.pm2</v>
      </c>
      <c r="F2411" s="3" t="str">
        <f>CtryReg&amp;".mit.ef."&amp;$A2411</f>
        <v>mea.mit.ef.pow.coa.pm2</v>
      </c>
      <c r="G2411" s="3" t="str">
        <f>"wld.mit.ef."&amp;$A2411</f>
        <v>wld.mit.ef.pow.coa.pm2</v>
      </c>
      <c r="H2411" s="3" t="inlineStr">
        <is>
          <t>mea.mit.ef.pow.coa.pm2</t>
        </is>
      </c>
      <c r="I2411" s="236" t="n">
        <v>0.417570498</v>
      </c>
      <c r="J2411" s="236" t="n">
        <v>0.3001642524</v>
      </c>
    </row>
    <row r="2412">
      <c r="A2412" s="3" t="str">
        <f>$B2412&amp;"."&amp;$C2412&amp;"."&amp;$D2412</f>
        <v>pow.nga.pm2</v>
      </c>
      <c r="B2412" s="8" t="inlineStr">
        <is>
          <t>pow</t>
        </is>
      </c>
      <c r="C2412" s="8" t="inlineStr">
        <is>
          <t>nga</t>
        </is>
      </c>
      <c r="D2412" s="8" t="inlineStr">
        <is>
          <t>pm2</t>
        </is>
      </c>
      <c r="E2412" s="3" t="str">
        <f>CodePrefix&amp;"ef."&amp;$A2412</f>
        <v>egy.mit.ef.pow.nga.pm2</v>
      </c>
      <c r="F2412" s="3" t="str">
        <f>CtryReg&amp;".mit.ef."&amp;$A2412</f>
        <v>mea.mit.ef.pow.nga.pm2</v>
      </c>
      <c r="G2412" s="3" t="str">
        <f>"wld.mit.ef."&amp;$A2412</f>
        <v>wld.mit.ef.pow.nga.pm2</v>
      </c>
      <c r="H2412" s="3" t="inlineStr">
        <is>
          <t>egy.mit.ef.pow.nga.pm2</t>
        </is>
      </c>
      <c r="I2412" s="236" t="n">
        <v>0.0041868</v>
      </c>
      <c r="J2412" s="236" t="n">
        <v>0.0041868</v>
      </c>
    </row>
    <row r="2413">
      <c r="A2413" s="3" t="str">
        <f>$B2413&amp;"."&amp;$C2413&amp;"."&amp;$D2413</f>
        <v>pow.oop.pm2</v>
      </c>
      <c r="B2413" s="8" t="inlineStr">
        <is>
          <t>pow</t>
        </is>
      </c>
      <c r="C2413" s="8" t="inlineStr">
        <is>
          <t>oop</t>
        </is>
      </c>
      <c r="D2413" s="8" t="inlineStr">
        <is>
          <t>pm2</t>
        </is>
      </c>
      <c r="E2413" s="3" t="str">
        <f>CodePrefix&amp;"ef."&amp;$A2413</f>
        <v>egy.mit.ef.pow.oop.pm2</v>
      </c>
      <c r="F2413" s="3" t="str">
        <f>CtryReg&amp;".mit.ef."&amp;$A2413</f>
        <v>mea.mit.ef.pow.oop.pm2</v>
      </c>
      <c r="G2413" s="3" t="str">
        <f>"wld.mit.ef."&amp;$A2413</f>
        <v>wld.mit.ef.pow.oop.pm2</v>
      </c>
      <c r="H2413" s="3" t="inlineStr">
        <is>
          <t>egy.mit.ef.pow.oop.pm2</t>
        </is>
      </c>
      <c r="I2413" s="236" t="n">
        <v>0.27256068</v>
      </c>
      <c r="J2413" s="236" t="n">
        <v>0.27256068</v>
      </c>
    </row>
    <row r="2414">
      <c r="A2414" s="3" t="str">
        <f>$B2414&amp;"."&amp;$C2414&amp;"."&amp;$D2414</f>
        <v>pow.bio.pm2</v>
      </c>
      <c r="B2414" s="8" t="inlineStr">
        <is>
          <t>pow</t>
        </is>
      </c>
      <c r="C2414" s="8" t="inlineStr">
        <is>
          <t>bio</t>
        </is>
      </c>
      <c r="D2414" s="8" t="inlineStr">
        <is>
          <t>pm2</t>
        </is>
      </c>
      <c r="E2414" s="3" t="str">
        <f>CodePrefix&amp;"ef."&amp;$A2414</f>
        <v>egy.mit.ef.pow.bio.pm2</v>
      </c>
      <c r="F2414" s="3" t="str">
        <f>CtryReg&amp;".mit.ef."&amp;$A2414</f>
        <v>mea.mit.ef.pow.bio.pm2</v>
      </c>
      <c r="G2414" s="3" t="str">
        <f>"wld.mit.ef."&amp;$A2414</f>
        <v>wld.mit.ef.pow.bio.pm2</v>
      </c>
      <c r="H2414" s="3" t="inlineStr">
        <is>
          <t>wld.mit.ef.pow.bio.pm2</t>
        </is>
      </c>
      <c r="I2414" s="236" t="n">
        <v>0</v>
      </c>
      <c r="J2414" s="236" t="n">
        <v>0</v>
      </c>
    </row>
    <row r="2415">
      <c r="A2415" s="3" t="str">
        <f>$B2415&amp;"."&amp;$C2415&amp;"."&amp;$D2415</f>
        <v>rod.gso.pm2</v>
      </c>
      <c r="B2415" s="8" t="inlineStr">
        <is>
          <t>rod</t>
        </is>
      </c>
      <c r="C2415" s="8" t="inlineStr">
        <is>
          <t>gso</t>
        </is>
      </c>
      <c r="D2415" s="8" t="inlineStr">
        <is>
          <t>pm2</t>
        </is>
      </c>
      <c r="E2415" s="3" t="str">
        <f>CodePrefix&amp;"ef."&amp;$A2415</f>
        <v>egy.mit.ef.rod.gso.pm2</v>
      </c>
      <c r="F2415" s="3" t="str">
        <f>CtryReg&amp;".mit.ef."&amp;$A2415</f>
        <v>mea.mit.ef.rod.gso.pm2</v>
      </c>
      <c r="G2415" s="3" t="str">
        <f>"wld.mit.ef."&amp;$A2415</f>
        <v>wld.mit.ef.rod.gso.pm2</v>
      </c>
      <c r="H2415" s="3" t="inlineStr">
        <is>
          <t>egy.mit.ef.rod.gso.pm2</t>
        </is>
      </c>
      <c r="I2415" s="236" t="n">
        <v>1.2722722236</v>
      </c>
      <c r="J2415" s="236" t="n">
        <v>0.8307490428000001</v>
      </c>
    </row>
    <row r="2416">
      <c r="A2416" s="3" t="str">
        <f>$B2416&amp;"."&amp;$C2416&amp;"."&amp;$D2416</f>
        <v>rod.die.pm2</v>
      </c>
      <c r="B2416" s="8" t="inlineStr">
        <is>
          <t>rod</t>
        </is>
      </c>
      <c r="C2416" s="8" t="inlineStr">
        <is>
          <t>die</t>
        </is>
      </c>
      <c r="D2416" s="8" t="inlineStr">
        <is>
          <t>pm2</t>
        </is>
      </c>
      <c r="E2416" s="3" t="str">
        <f>CodePrefix&amp;"ef."&amp;$A2416</f>
        <v>egy.mit.ef.rod.die.pm2</v>
      </c>
      <c r="F2416" s="3" t="str">
        <f>CtryReg&amp;".mit.ef."&amp;$A2416</f>
        <v>mea.mit.ef.rod.die.pm2</v>
      </c>
      <c r="G2416" s="3" t="str">
        <f>"wld.mit.ef."&amp;$A2416</f>
        <v>wld.mit.ef.rod.die.pm2</v>
      </c>
      <c r="H2416" s="3" t="inlineStr">
        <is>
          <t>egy.mit.ef.rod.die.pm2</t>
        </is>
      </c>
      <c r="I2416" s="236" t="n">
        <v>4.446134578800001</v>
      </c>
      <c r="J2416" s="236" t="n">
        <v>4.441943592</v>
      </c>
    </row>
    <row r="2417">
      <c r="A2417" s="3" t="str">
        <f>$B2417&amp;"."&amp;$C2417&amp;"."&amp;$D2417</f>
        <v>rod.lpg.pm2</v>
      </c>
      <c r="B2417" s="8" t="inlineStr">
        <is>
          <t>rod</t>
        </is>
      </c>
      <c r="C2417" s="8" t="inlineStr">
        <is>
          <t>lpg</t>
        </is>
      </c>
      <c r="D2417" s="8" t="inlineStr">
        <is>
          <t>pm2</t>
        </is>
      </c>
      <c r="E2417" s="3" t="str">
        <f>CodePrefix&amp;"ef."&amp;$A2417</f>
        <v>egy.mit.ef.rod.lpg.pm2</v>
      </c>
      <c r="F2417" s="3" t="str">
        <f>CtryReg&amp;".mit.ef."&amp;$A2417</f>
        <v>mea.mit.ef.rod.lpg.pm2</v>
      </c>
      <c r="G2417" s="3" t="str">
        <f>"wld.mit.ef."&amp;$A2417</f>
        <v>wld.mit.ef.rod.lpg.pm2</v>
      </c>
      <c r="H2417" s="3" t="inlineStr">
        <is>
          <t>mea.mit.ef.rod.lpg.pm2</t>
        </is>
      </c>
      <c r="I2417" s="236" t="n">
        <v>0.041868</v>
      </c>
      <c r="J2417" s="236" t="n">
        <v>0.0194769936</v>
      </c>
    </row>
    <row r="2418">
      <c r="A2418" s="3" t="str">
        <f>$B2418&amp;"."&amp;$C2418&amp;"."&amp;$D2418</f>
        <v>rod.ker.pm2</v>
      </c>
      <c r="B2418" s="8" t="inlineStr">
        <is>
          <t>rod</t>
        </is>
      </c>
      <c r="C2418" s="8" t="inlineStr">
        <is>
          <t>ker</t>
        </is>
      </c>
      <c r="D2418" s="8" t="inlineStr">
        <is>
          <t>pm2</t>
        </is>
      </c>
      <c r="E2418" s="3" t="str">
        <f>CodePrefix&amp;"ef."&amp;$A2418</f>
        <v>egy.mit.ef.rod.ker.pm2</v>
      </c>
      <c r="F2418" s="3" t="str">
        <f>CtryReg&amp;".mit.ef."&amp;$A2418</f>
        <v>mea.mit.ef.rod.ker.pm2</v>
      </c>
      <c r="G2418" s="3" t="str">
        <f>"wld.mit.ef."&amp;$A2418</f>
        <v>wld.mit.ef.rod.ker.pm2</v>
      </c>
      <c r="H2418" s="3" t="inlineStr">
        <is>
          <t>wld.mit.ef.rod.ker.pm2</t>
        </is>
      </c>
      <c r="I2418" s="236" t="n">
        <v>0</v>
      </c>
      <c r="J2418" s="236" t="n">
        <v>0</v>
      </c>
    </row>
    <row r="2419">
      <c r="A2419" s="3" t="str">
        <f>$B2419&amp;"."&amp;$C2419&amp;"."&amp;$D2419</f>
        <v>rod.nga.pm2</v>
      </c>
      <c r="B2419" s="8" t="inlineStr">
        <is>
          <t>rod</t>
        </is>
      </c>
      <c r="C2419" s="8" t="inlineStr">
        <is>
          <t>nga</t>
        </is>
      </c>
      <c r="D2419" s="8" t="inlineStr">
        <is>
          <t>pm2</t>
        </is>
      </c>
      <c r="E2419" s="3" t="str">
        <f>CodePrefix&amp;"ef."&amp;$A2419</f>
        <v>egy.mit.ef.rod.nga.pm2</v>
      </c>
      <c r="F2419" s="3" t="str">
        <f>CtryReg&amp;".mit.ef."&amp;$A2419</f>
        <v>mea.mit.ef.rod.nga.pm2</v>
      </c>
      <c r="G2419" s="3" t="str">
        <f>"wld.mit.ef."&amp;$A2419</f>
        <v>wld.mit.ef.rod.nga.pm2</v>
      </c>
      <c r="H2419" s="3" t="inlineStr">
        <is>
          <t>egy.mit.ef.rod.nga.pm2</t>
        </is>
      </c>
      <c r="I2419" s="236" t="n">
        <v>0.0555002208</v>
      </c>
      <c r="J2419" s="236" t="n">
        <v>0.0465237216</v>
      </c>
    </row>
    <row r="2420">
      <c r="A2420" s="3" t="str">
        <f>$B2420&amp;"."&amp;$C2420&amp;"."&amp;$D2420</f>
        <v>ral.die.pm2</v>
      </c>
      <c r="B2420" s="8" t="inlineStr">
        <is>
          <t>ral</t>
        </is>
      </c>
      <c r="C2420" s="8" t="inlineStr">
        <is>
          <t>die</t>
        </is>
      </c>
      <c r="D2420" s="8" t="inlineStr">
        <is>
          <t>pm2</t>
        </is>
      </c>
      <c r="E2420" s="3" t="str">
        <f>CodePrefix&amp;"ef."&amp;$A2420</f>
        <v>egy.mit.ef.ral.die.pm2</v>
      </c>
      <c r="F2420" s="3" t="str">
        <f>CtryReg&amp;".mit.ef."&amp;$A2420</f>
        <v>mea.mit.ef.ral.die.pm2</v>
      </c>
      <c r="G2420" s="3" t="str">
        <f>"wld.mit.ef."&amp;$A2420</f>
        <v>wld.mit.ef.ral.die.pm2</v>
      </c>
      <c r="H2420" s="3" t="inlineStr">
        <is>
          <t>mea.mit.ef.ral.die.pm2</t>
        </is>
      </c>
      <c r="I2420" s="236" t="n">
        <v>4.1072508</v>
      </c>
      <c r="J2420" s="236" t="n">
        <v>4.1072508</v>
      </c>
    </row>
    <row r="2421">
      <c r="A2421" s="3" t="str">
        <f>$B2421&amp;"."&amp;$C2421&amp;"."&amp;$D2421</f>
        <v>avi.jfu.pm2</v>
      </c>
      <c r="B2421" s="8" t="inlineStr">
        <is>
          <t>avi</t>
        </is>
      </c>
      <c r="C2421" s="8" t="inlineStr">
        <is>
          <t>jfu</t>
        </is>
      </c>
      <c r="D2421" s="8" t="inlineStr">
        <is>
          <t>pm2</t>
        </is>
      </c>
      <c r="E2421" s="3" t="str">
        <f>CodePrefix&amp;"ef."&amp;$A2421</f>
        <v>egy.mit.ef.avi.jfu.pm2</v>
      </c>
      <c r="F2421" s="3" t="str">
        <f>CtryReg&amp;".mit.ef."&amp;$A2421</f>
        <v>mea.mit.ef.avi.jfu.pm2</v>
      </c>
      <c r="G2421" s="3" t="str">
        <f>"wld.mit.ef."&amp;$A2421</f>
        <v>wld.mit.ef.avi.jfu.pm2</v>
      </c>
      <c r="H2421" s="3" t="inlineStr">
        <is>
          <t>egy.mit.ef.avi.jfu.pm2</t>
        </is>
      </c>
      <c r="I2421" s="236" t="n">
        <v>0.014905008</v>
      </c>
      <c r="J2421" s="236" t="n">
        <v>0.014905008</v>
      </c>
    </row>
    <row r="2422">
      <c r="A2422" s="3" t="str">
        <f>$B2422&amp;"."&amp;$C2422&amp;"."&amp;$D2422</f>
        <v>res.coa.pm2</v>
      </c>
      <c r="B2422" s="8" t="inlineStr">
        <is>
          <t>res</t>
        </is>
      </c>
      <c r="C2422" s="8" t="inlineStr">
        <is>
          <t>coa</t>
        </is>
      </c>
      <c r="D2422" s="8" t="inlineStr">
        <is>
          <t>pm2</t>
        </is>
      </c>
      <c r="E2422" s="3" t="str">
        <f>CodePrefix&amp;"ef."&amp;$A2422</f>
        <v>egy.mit.ef.res.coa.pm2</v>
      </c>
      <c r="F2422" s="3" t="str">
        <f>CtryReg&amp;".mit.ef."&amp;$A2422</f>
        <v>mea.mit.ef.res.coa.pm2</v>
      </c>
      <c r="G2422" s="3" t="str">
        <f>"wld.mit.ef."&amp;$A2422</f>
        <v>wld.mit.ef.res.coa.pm2</v>
      </c>
      <c r="H2422" s="3" t="inlineStr">
        <is>
          <t>mea.mit.ef.res.coa.pm2</t>
        </is>
      </c>
      <c r="I2422" s="236" t="n">
        <v>17.25767559</v>
      </c>
      <c r="J2422" s="236" t="n">
        <v>17.25767559</v>
      </c>
    </row>
    <row r="2423">
      <c r="A2423" s="3" t="str">
        <f>$B2423&amp;"."&amp;$C2423&amp;"."&amp;$D2423</f>
        <v>res.nga.pm2</v>
      </c>
      <c r="B2423" s="8" t="inlineStr">
        <is>
          <t>res</t>
        </is>
      </c>
      <c r="C2423" s="8" t="inlineStr">
        <is>
          <t>nga</t>
        </is>
      </c>
      <c r="D2423" s="8" t="inlineStr">
        <is>
          <t>pm2</t>
        </is>
      </c>
      <c r="E2423" s="3" t="str">
        <f>CodePrefix&amp;"ef."&amp;$A2423</f>
        <v>egy.mit.ef.res.nga.pm2</v>
      </c>
      <c r="F2423" s="3" t="str">
        <f>CtryReg&amp;".mit.ef."&amp;$A2423</f>
        <v>mea.mit.ef.res.nga.pm2</v>
      </c>
      <c r="G2423" s="3" t="str">
        <f>"wld.mit.ef."&amp;$A2423</f>
        <v>wld.mit.ef.res.nga.pm2</v>
      </c>
      <c r="H2423" s="3" t="inlineStr">
        <is>
          <t>egy.mit.ef.res.nga.pm2</t>
        </is>
      </c>
      <c r="I2423" s="236" t="n">
        <v>0.0041868</v>
      </c>
      <c r="J2423" s="236" t="n">
        <v>0.0041868</v>
      </c>
    </row>
    <row r="2424">
      <c r="A2424" s="3" t="str">
        <f>$B2424&amp;"."&amp;$C2424&amp;"."&amp;$D2424</f>
        <v>res.oop.pm2</v>
      </c>
      <c r="B2424" s="8" t="inlineStr">
        <is>
          <t>res</t>
        </is>
      </c>
      <c r="C2424" s="8" t="inlineStr">
        <is>
          <t>oop</t>
        </is>
      </c>
      <c r="D2424" s="8" t="inlineStr">
        <is>
          <t>pm2</t>
        </is>
      </c>
      <c r="E2424" s="3" t="str">
        <f>CodePrefix&amp;"ef."&amp;$A2424</f>
        <v>egy.mit.ef.res.oop.pm2</v>
      </c>
      <c r="F2424" s="3" t="str">
        <f>CtryReg&amp;".mit.ef."&amp;$A2424</f>
        <v>mea.mit.ef.res.oop.pm2</v>
      </c>
      <c r="G2424" s="3" t="str">
        <f>"wld.mit.ef."&amp;$A2424</f>
        <v>wld.mit.ef.res.oop.pm2</v>
      </c>
      <c r="H2424" s="3" t="inlineStr">
        <is>
          <t>wld.mit.ef.res.oop.pm2</t>
        </is>
      </c>
      <c r="I2424" s="236" t="n">
        <v>0</v>
      </c>
      <c r="J2424" s="236" t="n">
        <v>0</v>
      </c>
    </row>
    <row r="2425">
      <c r="A2425" s="3" t="str">
        <f>$B2425&amp;"."&amp;$C2425&amp;"."&amp;$D2425</f>
        <v>res.lpg.pm2</v>
      </c>
      <c r="B2425" s="8" t="inlineStr">
        <is>
          <t>res</t>
        </is>
      </c>
      <c r="C2425" s="8" t="inlineStr">
        <is>
          <t>lpg</t>
        </is>
      </c>
      <c r="D2425" s="8" t="inlineStr">
        <is>
          <t>pm2</t>
        </is>
      </c>
      <c r="E2425" s="3" t="str">
        <f>CodePrefix&amp;"ef."&amp;$A2425</f>
        <v>egy.mit.ef.res.lpg.pm2</v>
      </c>
      <c r="F2425" s="3" t="str">
        <f>CtryReg&amp;".mit.ef."&amp;$A2425</f>
        <v>mea.mit.ef.res.lpg.pm2</v>
      </c>
      <c r="G2425" s="3" t="str">
        <f>"wld.mit.ef."&amp;$A2425</f>
        <v>wld.mit.ef.res.lpg.pm2</v>
      </c>
      <c r="H2425" s="3" t="inlineStr">
        <is>
          <t>mea.mit.ef.res.lpg.pm2</t>
        </is>
      </c>
      <c r="I2425" s="236" t="n">
        <v>0.0125604</v>
      </c>
      <c r="J2425" s="236" t="n">
        <v>0.0125604</v>
      </c>
    </row>
    <row r="2426">
      <c r="A2426" s="3" t="str">
        <f>$B2426&amp;"."&amp;$C2426&amp;"."&amp;$D2426</f>
        <v>res.ker.pm2</v>
      </c>
      <c r="B2426" s="8" t="inlineStr">
        <is>
          <t>res</t>
        </is>
      </c>
      <c r="C2426" s="8" t="inlineStr">
        <is>
          <t>ker</t>
        </is>
      </c>
      <c r="D2426" s="8" t="inlineStr">
        <is>
          <t>pm2</t>
        </is>
      </c>
      <c r="E2426" s="3" t="str">
        <f>CodePrefix&amp;"ef."&amp;$A2426</f>
        <v>egy.mit.ef.res.ker.pm2</v>
      </c>
      <c r="F2426" s="3" t="str">
        <f>CtryReg&amp;".mit.ef."&amp;$A2426</f>
        <v>mea.mit.ef.res.ker.pm2</v>
      </c>
      <c r="G2426" s="3" t="str">
        <f>"wld.mit.ef."&amp;$A2426</f>
        <v>wld.mit.ef.res.ker.pm2</v>
      </c>
      <c r="H2426" s="3" t="inlineStr">
        <is>
          <t>mea.mit.ef.res.ker.pm2</t>
        </is>
      </c>
      <c r="I2426" s="236" t="n">
        <v>1.4763326688</v>
      </c>
      <c r="J2426" s="236" t="n">
        <v>1.1945484684</v>
      </c>
    </row>
    <row r="2427">
      <c r="A2427" s="3" t="str">
        <f>$B2427&amp;"."&amp;$C2427&amp;"."&amp;$D2427</f>
        <v>res.bio.pm2</v>
      </c>
      <c r="B2427" s="8" t="inlineStr">
        <is>
          <t>res</t>
        </is>
      </c>
      <c r="C2427" s="8" t="inlineStr">
        <is>
          <t>bio</t>
        </is>
      </c>
      <c r="D2427" s="8" t="inlineStr">
        <is>
          <t>pm2</t>
        </is>
      </c>
      <c r="E2427" s="3" t="str">
        <f>CodePrefix&amp;"ef."&amp;$A2427</f>
        <v>egy.mit.ef.res.bio.pm2</v>
      </c>
      <c r="F2427" s="3" t="str">
        <f>CtryReg&amp;".mit.ef."&amp;$A2427</f>
        <v>mea.mit.ef.res.bio.pm2</v>
      </c>
      <c r="G2427" s="3" t="str">
        <f>"wld.mit.ef."&amp;$A2427</f>
        <v>wld.mit.ef.res.bio.pm2</v>
      </c>
      <c r="H2427" s="3" t="inlineStr">
        <is>
          <t>egy.mit.ef.res.bio.pm2</t>
        </is>
      </c>
      <c r="I2427" s="236" t="n">
        <v>20.002060188</v>
      </c>
      <c r="J2427" s="236" t="n">
        <v>14.7961512</v>
      </c>
    </row>
    <row r="2428">
      <c r="A2428" s="3" t="str">
        <f>$B2428&amp;"."&amp;$C2428&amp;"."&amp;$D2428</f>
        <v>cst.coa.pm2</v>
      </c>
      <c r="B2428" s="8" t="inlineStr">
        <is>
          <t>cst</t>
        </is>
      </c>
      <c r="C2428" s="8" t="inlineStr">
        <is>
          <t>coa</t>
        </is>
      </c>
      <c r="D2428" s="8" t="inlineStr">
        <is>
          <t>pm2</t>
        </is>
      </c>
      <c r="E2428" s="3" t="str">
        <f>CodePrefix&amp;"ef."&amp;$A2428</f>
        <v>egy.mit.ef.cst.coa.pm2</v>
      </c>
      <c r="F2428" s="3" t="str">
        <f>CtryReg&amp;".mit.ef."&amp;$A2428</f>
        <v>mea.mit.ef.cst.coa.pm2</v>
      </c>
      <c r="G2428" s="3" t="str">
        <f>"wld.mit.ef."&amp;$A2428</f>
        <v>wld.mit.ef.cst.coa.pm2</v>
      </c>
      <c r="H2428" s="3" t="inlineStr">
        <is>
          <t>wld.mit.ef.cst.coa.pm2</t>
        </is>
      </c>
      <c r="I2428" s="236" t="n">
        <v>0</v>
      </c>
      <c r="J2428" s="236" t="n">
        <v>0</v>
      </c>
    </row>
    <row r="2429">
      <c r="A2429" s="3" t="str">
        <f>$B2429&amp;"."&amp;$C2429&amp;"."&amp;$D2429</f>
        <v>cst.nga.pm2</v>
      </c>
      <c r="B2429" s="8" t="inlineStr">
        <is>
          <t>cst</t>
        </is>
      </c>
      <c r="C2429" s="8" t="inlineStr">
        <is>
          <t>nga</t>
        </is>
      </c>
      <c r="D2429" s="8" t="inlineStr">
        <is>
          <t>pm2</t>
        </is>
      </c>
      <c r="E2429" s="3" t="str">
        <f>CodePrefix&amp;"ef."&amp;$A2429</f>
        <v>egy.mit.ef.cst.nga.pm2</v>
      </c>
      <c r="F2429" s="3" t="str">
        <f>CtryReg&amp;".mit.ef."&amp;$A2429</f>
        <v>mea.mit.ef.cst.nga.pm2</v>
      </c>
      <c r="G2429" s="3" t="str">
        <f>"wld.mit.ef."&amp;$A2429</f>
        <v>wld.mit.ef.cst.nga.pm2</v>
      </c>
      <c r="H2429" s="3" t="inlineStr">
        <is>
          <t>wld.mit.ef.cst.nga.pm2</t>
        </is>
      </c>
      <c r="I2429" s="236" t="n">
        <v>0</v>
      </c>
      <c r="J2429" s="236" t="n">
        <v>0</v>
      </c>
    </row>
    <row r="2430">
      <c r="A2430" s="3" t="str">
        <f>$B2430&amp;"."&amp;$C2430&amp;"."&amp;$D2430</f>
        <v>cst.oop.pm2</v>
      </c>
      <c r="B2430" s="8" t="inlineStr">
        <is>
          <t>cst</t>
        </is>
      </c>
      <c r="C2430" s="8" t="inlineStr">
        <is>
          <t>oop</t>
        </is>
      </c>
      <c r="D2430" s="8" t="inlineStr">
        <is>
          <t>pm2</t>
        </is>
      </c>
      <c r="E2430" s="3" t="str">
        <f>CodePrefix&amp;"ef."&amp;$A2430</f>
        <v>egy.mit.ef.cst.oop.pm2</v>
      </c>
      <c r="F2430" s="3" t="str">
        <f>CtryReg&amp;".mit.ef."&amp;$A2430</f>
        <v>mea.mit.ef.cst.oop.pm2</v>
      </c>
      <c r="G2430" s="3" t="str">
        <f>"wld.mit.ef."&amp;$A2430</f>
        <v>wld.mit.ef.cst.oop.pm2</v>
      </c>
      <c r="H2430" s="3" t="inlineStr">
        <is>
          <t>wld.mit.ef.cst.oop.pm2</t>
        </is>
      </c>
      <c r="I2430" s="236" t="n">
        <v>0</v>
      </c>
      <c r="J2430" s="236" t="n">
        <v>0</v>
      </c>
    </row>
    <row r="2431">
      <c r="A2431" s="3" t="str">
        <f>$B2431&amp;"."&amp;$C2431&amp;"."&amp;$D2431</f>
        <v>cst.gso.pm2</v>
      </c>
      <c r="B2431" s="8" t="inlineStr">
        <is>
          <t>cst</t>
        </is>
      </c>
      <c r="C2431" s="8" t="inlineStr">
        <is>
          <t>gso</t>
        </is>
      </c>
      <c r="D2431" s="8" t="inlineStr">
        <is>
          <t>pm2</t>
        </is>
      </c>
      <c r="E2431" s="3" t="str">
        <f>CodePrefix&amp;"ef."&amp;$A2431</f>
        <v>egy.mit.ef.cst.gso.pm2</v>
      </c>
      <c r="F2431" s="3" t="str">
        <f>CtryReg&amp;".mit.ef."&amp;$A2431</f>
        <v>mea.mit.ef.cst.gso.pm2</v>
      </c>
      <c r="G2431" s="3" t="str">
        <f>"wld.mit.ef."&amp;$A2431</f>
        <v>wld.mit.ef.cst.gso.pm2</v>
      </c>
      <c r="H2431" s="3" t="inlineStr">
        <is>
          <t>egy.mit.ef.cst.gso.pm2</t>
        </is>
      </c>
      <c r="I2431" s="236" t="n">
        <v>1.1717345952</v>
      </c>
      <c r="J2431" s="236" t="n">
        <v>1.1717345952</v>
      </c>
    </row>
    <row r="2432">
      <c r="A2432" s="3" t="str">
        <f>$B2432&amp;"."&amp;$C2432&amp;"."&amp;$D2432</f>
        <v>cst.die.pm2</v>
      </c>
      <c r="B2432" s="8" t="inlineStr">
        <is>
          <t>cst</t>
        </is>
      </c>
      <c r="C2432" s="8" t="inlineStr">
        <is>
          <t>die</t>
        </is>
      </c>
      <c r="D2432" s="8" t="inlineStr">
        <is>
          <t>pm2</t>
        </is>
      </c>
      <c r="E2432" s="3" t="str">
        <f>CodePrefix&amp;"ef."&amp;$A2432</f>
        <v>egy.mit.ef.cst.die.pm2</v>
      </c>
      <c r="F2432" s="3" t="str">
        <f>CtryReg&amp;".mit.ef."&amp;$A2432</f>
        <v>mea.mit.ef.cst.die.pm2</v>
      </c>
      <c r="G2432" s="3" t="str">
        <f>"wld.mit.ef."&amp;$A2432</f>
        <v>wld.mit.ef.cst.die.pm2</v>
      </c>
      <c r="H2432" s="3" t="inlineStr">
        <is>
          <t>egy.mit.ef.cst.die.pm2</t>
        </is>
      </c>
      <c r="I2432" s="236" t="n">
        <v>5.13971568</v>
      </c>
      <c r="J2432" s="236" t="n">
        <v>5.13971568</v>
      </c>
    </row>
    <row r="2433">
      <c r="A2433" s="3" t="str">
        <f>$B2433&amp;"."&amp;$C2433&amp;"."&amp;$D2433</f>
        <v>cst.lpg.pm2</v>
      </c>
      <c r="B2433" s="8" t="inlineStr">
        <is>
          <t>cst</t>
        </is>
      </c>
      <c r="C2433" s="8" t="inlineStr">
        <is>
          <t>lpg</t>
        </is>
      </c>
      <c r="D2433" s="8" t="inlineStr">
        <is>
          <t>pm2</t>
        </is>
      </c>
      <c r="E2433" s="3" t="str">
        <f>CodePrefix&amp;"ef."&amp;$A2433</f>
        <v>egy.mit.ef.cst.lpg.pm2</v>
      </c>
      <c r="F2433" s="3" t="str">
        <f>CtryReg&amp;".mit.ef."&amp;$A2433</f>
        <v>mea.mit.ef.cst.lpg.pm2</v>
      </c>
      <c r="G2433" s="3" t="str">
        <f>"wld.mit.ef."&amp;$A2433</f>
        <v>wld.mit.ef.cst.lpg.pm2</v>
      </c>
      <c r="H2433" s="3" t="inlineStr">
        <is>
          <t>egy.mit.ef.cst.lpg.pm2</t>
        </is>
      </c>
      <c r="I2433" s="236" t="n">
        <v>1.1717345952</v>
      </c>
      <c r="J2433" s="236" t="n">
        <v>1.1717345952</v>
      </c>
    </row>
    <row r="2434">
      <c r="A2434" s="3" t="str">
        <f>$B2434&amp;"."&amp;$C2434&amp;"."&amp;$D2434</f>
        <v>cst.ker.pm2</v>
      </c>
      <c r="B2434" s="8" t="inlineStr">
        <is>
          <t>cst</t>
        </is>
      </c>
      <c r="C2434" s="8" t="inlineStr">
        <is>
          <t>ker</t>
        </is>
      </c>
      <c r="D2434" s="8" t="inlineStr">
        <is>
          <t>pm2</t>
        </is>
      </c>
      <c r="E2434" s="3" t="str">
        <f>CodePrefix&amp;"ef."&amp;$A2434</f>
        <v>egy.mit.ef.cst.ker.pm2</v>
      </c>
      <c r="F2434" s="3" t="str">
        <f>CtryReg&amp;".mit.ef."&amp;$A2434</f>
        <v>mea.mit.ef.cst.ker.pm2</v>
      </c>
      <c r="G2434" s="3" t="str">
        <f>"wld.mit.ef."&amp;$A2434</f>
        <v>wld.mit.ef.cst.ker.pm2</v>
      </c>
      <c r="H2434" s="3" t="inlineStr">
        <is>
          <t>egy.mit.ef.cst.ker.pm2</t>
        </is>
      </c>
      <c r="I2434" s="236" t="n">
        <v>1.1717345952</v>
      </c>
      <c r="J2434" s="236" t="n">
        <v>1.1717345952</v>
      </c>
    </row>
    <row r="2435">
      <c r="A2435" s="3" t="str">
        <f>$B2435&amp;"."&amp;$C2435&amp;"."&amp;$D2435</f>
        <v>cst.bio.pm2</v>
      </c>
      <c r="B2435" s="8" t="inlineStr">
        <is>
          <t>cst</t>
        </is>
      </c>
      <c r="C2435" s="8" t="inlineStr">
        <is>
          <t>bio</t>
        </is>
      </c>
      <c r="D2435" s="8" t="inlineStr">
        <is>
          <t>pm2</t>
        </is>
      </c>
      <c r="E2435" s="3" t="str">
        <f>CodePrefix&amp;"ef."&amp;$A2435</f>
        <v>egy.mit.ef.cst.bio.pm2</v>
      </c>
      <c r="F2435" s="3" t="str">
        <f>CtryReg&amp;".mit.ef."&amp;$A2435</f>
        <v>mea.mit.ef.cst.bio.pm2</v>
      </c>
      <c r="G2435" s="3" t="str">
        <f>"wld.mit.ef."&amp;$A2435</f>
        <v>wld.mit.ef.cst.bio.pm2</v>
      </c>
      <c r="H2435" s="3" t="inlineStr">
        <is>
          <t>wld.mit.ef.cst.bio.pm2</t>
        </is>
      </c>
      <c r="I2435" s="236" t="n">
        <v>0</v>
      </c>
      <c r="J2435" s="236" t="n">
        <v>0</v>
      </c>
    </row>
    <row r="2436">
      <c r="A2436" s="3" t="str">
        <f>$B2436&amp;"."&amp;$C2436&amp;"."&amp;$D2436</f>
        <v>srv.coa.pm2</v>
      </c>
      <c r="B2436" s="8" t="inlineStr">
        <is>
          <t>srv</t>
        </is>
      </c>
      <c r="C2436" s="8" t="inlineStr">
        <is>
          <t>coa</t>
        </is>
      </c>
      <c r="D2436" s="8" t="inlineStr">
        <is>
          <t>pm2</t>
        </is>
      </c>
      <c r="E2436" s="3" t="str">
        <f>CodePrefix&amp;"ef."&amp;$A2436</f>
        <v>egy.mit.ef.srv.coa.pm2</v>
      </c>
      <c r="F2436" s="3" t="str">
        <f>CtryReg&amp;".mit.ef."&amp;$A2436</f>
        <v>mea.mit.ef.srv.coa.pm2</v>
      </c>
      <c r="G2436" s="3" t="str">
        <f>"wld.mit.ef."&amp;$A2436</f>
        <v>wld.mit.ef.srv.coa.pm2</v>
      </c>
      <c r="H2436" s="3" t="inlineStr">
        <is>
          <t>wld.mit.ef.srv.coa.pm2</t>
        </is>
      </c>
      <c r="I2436" s="236" t="n">
        <v>0</v>
      </c>
      <c r="J2436" s="236" t="n">
        <v>0</v>
      </c>
    </row>
    <row r="2437">
      <c r="A2437" s="3" t="str">
        <f>$B2437&amp;"."&amp;$C2437&amp;"."&amp;$D2437</f>
        <v>srv.nga.pm2</v>
      </c>
      <c r="B2437" s="8" t="inlineStr">
        <is>
          <t>srv</t>
        </is>
      </c>
      <c r="C2437" s="8" t="inlineStr">
        <is>
          <t>nga</t>
        </is>
      </c>
      <c r="D2437" s="8" t="inlineStr">
        <is>
          <t>pm2</t>
        </is>
      </c>
      <c r="E2437" s="3" t="str">
        <f>CodePrefix&amp;"ef."&amp;$A2437</f>
        <v>egy.mit.ef.srv.nga.pm2</v>
      </c>
      <c r="F2437" s="3" t="str">
        <f>CtryReg&amp;".mit.ef."&amp;$A2437</f>
        <v>mea.mit.ef.srv.nga.pm2</v>
      </c>
      <c r="G2437" s="3" t="str">
        <f>"wld.mit.ef."&amp;$A2437</f>
        <v>wld.mit.ef.srv.nga.pm2</v>
      </c>
      <c r="H2437" s="3" t="inlineStr">
        <is>
          <t>mea.mit.ef.srv.nga.pm2</t>
        </is>
      </c>
      <c r="I2437" s="236" t="n">
        <v>0.0041868</v>
      </c>
      <c r="J2437" s="236" t="n">
        <v>0.0041868</v>
      </c>
    </row>
    <row r="2438">
      <c r="A2438" s="3" t="str">
        <f>$B2438&amp;"."&amp;$C2438&amp;"."&amp;$D2438</f>
        <v>srv.oop.pm2</v>
      </c>
      <c r="B2438" s="8" t="inlineStr">
        <is>
          <t>srv</t>
        </is>
      </c>
      <c r="C2438" s="8" t="inlineStr">
        <is>
          <t>oop</t>
        </is>
      </c>
      <c r="D2438" s="8" t="inlineStr">
        <is>
          <t>pm2</t>
        </is>
      </c>
      <c r="E2438" s="3" t="str">
        <f>CodePrefix&amp;"ef."&amp;$A2438</f>
        <v>egy.mit.ef.srv.oop.pm2</v>
      </c>
      <c r="F2438" s="3" t="str">
        <f>CtryReg&amp;".mit.ef."&amp;$A2438</f>
        <v>mea.mit.ef.srv.oop.pm2</v>
      </c>
      <c r="G2438" s="3" t="str">
        <f>"wld.mit.ef."&amp;$A2438</f>
        <v>wld.mit.ef.srv.oop.pm2</v>
      </c>
      <c r="H2438" s="3" t="inlineStr">
        <is>
          <t>mea.mit.ef.srv.oop.pm2</t>
        </is>
      </c>
      <c r="I2438" s="236" t="n">
        <v>0.36791505</v>
      </c>
      <c r="J2438" s="236" t="n">
        <v>0.3380841000000001</v>
      </c>
    </row>
    <row r="2439">
      <c r="A2439" s="3" t="str">
        <f>$B2439&amp;"."&amp;$C2439&amp;"."&amp;$D2439</f>
        <v>srv.gso.pm2</v>
      </c>
      <c r="B2439" s="8" t="inlineStr">
        <is>
          <t>srv</t>
        </is>
      </c>
      <c r="C2439" s="8" t="inlineStr">
        <is>
          <t>gso</t>
        </is>
      </c>
      <c r="D2439" s="8" t="inlineStr">
        <is>
          <t>pm2</t>
        </is>
      </c>
      <c r="E2439" s="3" t="str">
        <f>CodePrefix&amp;"ef."&amp;$A2439</f>
        <v>egy.mit.ef.srv.gso.pm2</v>
      </c>
      <c r="F2439" s="3" t="str">
        <f>CtryReg&amp;".mit.ef."&amp;$A2439</f>
        <v>mea.mit.ef.srv.gso.pm2</v>
      </c>
      <c r="G2439" s="3" t="str">
        <f>"wld.mit.ef."&amp;$A2439</f>
        <v>wld.mit.ef.srv.gso.pm2</v>
      </c>
      <c r="H2439" s="3" t="inlineStr">
        <is>
          <t>mea.mit.ef.srv.gso.pm2</t>
        </is>
      </c>
      <c r="I2439" s="236" t="n">
        <v>0.020934</v>
      </c>
      <c r="J2439" s="236" t="n">
        <v>0.020934</v>
      </c>
    </row>
    <row r="2440">
      <c r="A2440" s="3" t="str">
        <f>$B2440&amp;"."&amp;$C2440&amp;"."&amp;$D2440</f>
        <v>srv.die.pm2</v>
      </c>
      <c r="B2440" s="8" t="inlineStr">
        <is>
          <t>srv</t>
        </is>
      </c>
      <c r="C2440" s="8" t="inlineStr">
        <is>
          <t>die</t>
        </is>
      </c>
      <c r="D2440" s="8" t="inlineStr">
        <is>
          <t>pm2</t>
        </is>
      </c>
      <c r="E2440" s="3" t="str">
        <f>CodePrefix&amp;"ef."&amp;$A2440</f>
        <v>egy.mit.ef.srv.die.pm2</v>
      </c>
      <c r="F2440" s="3" t="str">
        <f>CtryReg&amp;".mit.ef."&amp;$A2440</f>
        <v>mea.mit.ef.srv.die.pm2</v>
      </c>
      <c r="G2440" s="3" t="str">
        <f>"wld.mit.ef."&amp;$A2440</f>
        <v>wld.mit.ef.srv.die.pm2</v>
      </c>
      <c r="H2440" s="3" t="inlineStr">
        <is>
          <t>mea.mit.ef.srv.die.pm2</t>
        </is>
      </c>
      <c r="I2440" s="236" t="n">
        <v>0.0287549424</v>
      </c>
      <c r="J2440" s="236" t="n">
        <v>0.0264228948</v>
      </c>
    </row>
    <row r="2441">
      <c r="A2441" s="3" t="str">
        <f>$B2441&amp;"."&amp;$C2441&amp;"."&amp;$D2441</f>
        <v>srv.lpg.pm2</v>
      </c>
      <c r="B2441" s="8" t="inlineStr">
        <is>
          <t>srv</t>
        </is>
      </c>
      <c r="C2441" s="8" t="inlineStr">
        <is>
          <t>lpg</t>
        </is>
      </c>
      <c r="D2441" s="8" t="inlineStr">
        <is>
          <t>pm2</t>
        </is>
      </c>
      <c r="E2441" s="3" t="str">
        <f>CodePrefix&amp;"ef."&amp;$A2441</f>
        <v>egy.mit.ef.srv.lpg.pm2</v>
      </c>
      <c r="F2441" s="3" t="str">
        <f>CtryReg&amp;".mit.ef."&amp;$A2441</f>
        <v>mea.mit.ef.srv.lpg.pm2</v>
      </c>
      <c r="G2441" s="3" t="str">
        <f>"wld.mit.ef."&amp;$A2441</f>
        <v>wld.mit.ef.srv.lpg.pm2</v>
      </c>
      <c r="H2441" s="3" t="inlineStr">
        <is>
          <t>mea.mit.ef.srv.lpg.pm2</t>
        </is>
      </c>
      <c r="I2441" s="236" t="n">
        <v>0.0125604</v>
      </c>
      <c r="J2441" s="236" t="n">
        <v>0.0125604</v>
      </c>
    </row>
    <row r="2442">
      <c r="A2442" s="3" t="str">
        <f>$B2442&amp;"."&amp;$C2442&amp;"."&amp;$D2442</f>
        <v>srv.ker.pm2</v>
      </c>
      <c r="B2442" s="8" t="inlineStr">
        <is>
          <t>srv</t>
        </is>
      </c>
      <c r="C2442" s="8" t="inlineStr">
        <is>
          <t>ker</t>
        </is>
      </c>
      <c r="D2442" s="8" t="inlineStr">
        <is>
          <t>pm2</t>
        </is>
      </c>
      <c r="E2442" s="3" t="str">
        <f>CodePrefix&amp;"ef."&amp;$A2442</f>
        <v>egy.mit.ef.srv.ker.pm2</v>
      </c>
      <c r="F2442" s="3" t="str">
        <f>CtryReg&amp;".mit.ef."&amp;$A2442</f>
        <v>mea.mit.ef.srv.ker.pm2</v>
      </c>
      <c r="G2442" s="3" t="str">
        <f>"wld.mit.ef."&amp;$A2442</f>
        <v>wld.mit.ef.srv.ker.pm2</v>
      </c>
      <c r="H2442" s="3" t="inlineStr">
        <is>
          <t>mea.mit.ef.srv.ker.pm2</t>
        </is>
      </c>
      <c r="I2442" s="236" t="n">
        <v>0.020934</v>
      </c>
      <c r="J2442" s="236" t="n">
        <v>0.020934</v>
      </c>
    </row>
    <row r="2443">
      <c r="A2443" s="3" t="str">
        <f>$B2443&amp;"."&amp;$C2443&amp;"."&amp;$D2443</f>
        <v>srv.bio.pm2</v>
      </c>
      <c r="B2443" s="8" t="inlineStr">
        <is>
          <t>srv</t>
        </is>
      </c>
      <c r="C2443" s="8" t="inlineStr">
        <is>
          <t>bio</t>
        </is>
      </c>
      <c r="D2443" s="8" t="inlineStr">
        <is>
          <t>pm2</t>
        </is>
      </c>
      <c r="E2443" s="3" t="str">
        <f>CodePrefix&amp;"ef."&amp;$A2443</f>
        <v>egy.mit.ef.srv.bio.pm2</v>
      </c>
      <c r="F2443" s="3" t="str">
        <f>CtryReg&amp;".mit.ef."&amp;$A2443</f>
        <v>mea.mit.ef.srv.bio.pm2</v>
      </c>
      <c r="G2443" s="3" t="str">
        <f>"wld.mit.ef."&amp;$A2443</f>
        <v>wld.mit.ef.srv.bio.pm2</v>
      </c>
      <c r="H2443" s="3" t="inlineStr">
        <is>
          <t>mea.mit.ef.srv.bio.pm2</t>
        </is>
      </c>
      <c r="I2443" s="236" t="n">
        <v>7.783508221200001</v>
      </c>
      <c r="J2443" s="236" t="n">
        <v>6.1711254864</v>
      </c>
    </row>
    <row r="2444">
      <c r="A2444" s="3" t="str">
        <f>$B2444&amp;"."&amp;$C2444&amp;"."&amp;$D2444</f>
        <v>mnf.coa.pm2</v>
      </c>
      <c r="B2444" s="8" t="inlineStr">
        <is>
          <t>mnf</t>
        </is>
      </c>
      <c r="C2444" s="8" t="inlineStr">
        <is>
          <t>coa</t>
        </is>
      </c>
      <c r="D2444" s="8" t="inlineStr">
        <is>
          <t>pm2</t>
        </is>
      </c>
      <c r="E2444" s="3" t="str">
        <f>CodePrefix&amp;"ef."&amp;$A2444</f>
        <v>egy.mit.ef.mnf.coa.pm2</v>
      </c>
      <c r="F2444" s="3" t="str">
        <f>CtryReg&amp;".mit.ef."&amp;$A2444</f>
        <v>mea.mit.ef.mnf.coa.pm2</v>
      </c>
      <c r="G2444" s="3" t="str">
        <f>"wld.mit.ef."&amp;$A2444</f>
        <v>wld.mit.ef.mnf.coa.pm2</v>
      </c>
      <c r="H2444" s="3" t="inlineStr">
        <is>
          <t>egy.mit.ef.mnf.coa.pm2</t>
        </is>
      </c>
      <c r="I2444" s="236" t="n">
        <v>0.1073997936</v>
      </c>
      <c r="J2444" s="236" t="n">
        <v>0.0796496832</v>
      </c>
    </row>
    <row r="2445">
      <c r="A2445" s="3" t="str">
        <f>$B2445&amp;"."&amp;$C2445&amp;"."&amp;$D2445</f>
        <v>mnf.nga.pm2</v>
      </c>
      <c r="B2445" s="8" t="inlineStr">
        <is>
          <t>mnf</t>
        </is>
      </c>
      <c r="C2445" s="8" t="inlineStr">
        <is>
          <t>nga</t>
        </is>
      </c>
      <c r="D2445" s="8" t="inlineStr">
        <is>
          <t>pm2</t>
        </is>
      </c>
      <c r="E2445" s="3" t="str">
        <f>CodePrefix&amp;"ef."&amp;$A2445</f>
        <v>egy.mit.ef.mnf.nga.pm2</v>
      </c>
      <c r="F2445" s="3" t="str">
        <f>CtryReg&amp;".mit.ef."&amp;$A2445</f>
        <v>mea.mit.ef.mnf.nga.pm2</v>
      </c>
      <c r="G2445" s="3" t="str">
        <f>"wld.mit.ef."&amp;$A2445</f>
        <v>wld.mit.ef.mnf.nga.pm2</v>
      </c>
      <c r="H2445" s="3" t="inlineStr">
        <is>
          <t>egy.mit.ef.mnf.nga.pm2</t>
        </is>
      </c>
      <c r="I2445" s="236" t="n">
        <v>0.0041868</v>
      </c>
      <c r="J2445" s="236" t="n">
        <v>0.0041868</v>
      </c>
    </row>
    <row r="2446">
      <c r="A2446" s="3" t="str">
        <f>$B2446&amp;"."&amp;$C2446&amp;"."&amp;$D2446</f>
        <v>mnf.oop.pm2</v>
      </c>
      <c r="B2446" s="8" t="inlineStr">
        <is>
          <t>mnf</t>
        </is>
      </c>
      <c r="C2446" s="8" t="inlineStr">
        <is>
          <t>oop</t>
        </is>
      </c>
      <c r="D2446" s="8" t="inlineStr">
        <is>
          <t>pm2</t>
        </is>
      </c>
      <c r="E2446" s="3" t="str">
        <f>CodePrefix&amp;"ef."&amp;$A2446</f>
        <v>egy.mit.ef.mnf.oop.pm2</v>
      </c>
      <c r="F2446" s="3" t="str">
        <f>CtryReg&amp;".mit.ef."&amp;$A2446</f>
        <v>mea.mit.ef.mnf.oop.pm2</v>
      </c>
      <c r="G2446" s="3" t="str">
        <f>"wld.mit.ef."&amp;$A2446</f>
        <v>wld.mit.ef.mnf.oop.pm2</v>
      </c>
      <c r="H2446" s="3" t="inlineStr">
        <is>
          <t>egy.mit.ef.mnf.oop.pm2</t>
        </is>
      </c>
      <c r="I2446" s="236" t="n">
        <v>0.304212888</v>
      </c>
      <c r="J2446" s="236" t="n">
        <v>0.3042087012</v>
      </c>
    </row>
    <row r="2447">
      <c r="A2447" s="3" t="str">
        <f>$B2447&amp;"."&amp;$C2447&amp;"."&amp;$D2447</f>
        <v>mnf.gso.pm2</v>
      </c>
      <c r="B2447" s="8" t="inlineStr">
        <is>
          <t>mnf</t>
        </is>
      </c>
      <c r="C2447" s="8" t="inlineStr">
        <is>
          <t>gso</t>
        </is>
      </c>
      <c r="D2447" s="8" t="inlineStr">
        <is>
          <t>pm2</t>
        </is>
      </c>
      <c r="E2447" s="3" t="str">
        <f>CodePrefix&amp;"ef."&amp;$A2447</f>
        <v>egy.mit.ef.mnf.gso.pm2</v>
      </c>
      <c r="F2447" s="3" t="str">
        <f>CtryReg&amp;".mit.ef."&amp;$A2447</f>
        <v>mea.mit.ef.mnf.gso.pm2</v>
      </c>
      <c r="G2447" s="3" t="str">
        <f>"wld.mit.ef."&amp;$A2447</f>
        <v>wld.mit.ef.mnf.gso.pm2</v>
      </c>
      <c r="H2447" s="3" t="inlineStr">
        <is>
          <t>egy.mit.ef.mnf.gso.pm2</t>
        </is>
      </c>
      <c r="I2447" s="236" t="n">
        <v>0.020934</v>
      </c>
      <c r="J2447" s="236" t="n">
        <v>0.020934</v>
      </c>
    </row>
    <row r="2448">
      <c r="A2448" s="3" t="str">
        <f>$B2448&amp;"."&amp;$C2448&amp;"."&amp;$D2448</f>
        <v>mnf.die.pm2</v>
      </c>
      <c r="B2448" s="8" t="inlineStr">
        <is>
          <t>mnf</t>
        </is>
      </c>
      <c r="C2448" s="8" t="inlineStr">
        <is>
          <t>die</t>
        </is>
      </c>
      <c r="D2448" s="8" t="inlineStr">
        <is>
          <t>pm2</t>
        </is>
      </c>
      <c r="E2448" s="3" t="str">
        <f>CodePrefix&amp;"ef."&amp;$A2448</f>
        <v>egy.mit.ef.mnf.die.pm2</v>
      </c>
      <c r="F2448" s="3" t="str">
        <f>CtryReg&amp;".mit.ef."&amp;$A2448</f>
        <v>mea.mit.ef.mnf.die.pm2</v>
      </c>
      <c r="G2448" s="3" t="str">
        <f>"wld.mit.ef."&amp;$A2448</f>
        <v>wld.mit.ef.mnf.die.pm2</v>
      </c>
      <c r="H2448" s="3" t="inlineStr">
        <is>
          <t>egy.mit.ef.mnf.die.pm2</t>
        </is>
      </c>
      <c r="I2448" s="236" t="n">
        <v>0.0077372064</v>
      </c>
      <c r="J2448" s="236" t="n">
        <v>0.0077372064</v>
      </c>
    </row>
    <row r="2449">
      <c r="A2449" s="3" t="str">
        <f>$B2449&amp;"."&amp;$C2449&amp;"."&amp;$D2449</f>
        <v>mnf.lpg.pm2</v>
      </c>
      <c r="B2449" s="8" t="inlineStr">
        <is>
          <t>mnf</t>
        </is>
      </c>
      <c r="C2449" s="8" t="inlineStr">
        <is>
          <t>lpg</t>
        </is>
      </c>
      <c r="D2449" s="8" t="inlineStr">
        <is>
          <t>pm2</t>
        </is>
      </c>
      <c r="E2449" s="3" t="str">
        <f>CodePrefix&amp;"ef."&amp;$A2449</f>
        <v>egy.mit.ef.mnf.lpg.pm2</v>
      </c>
      <c r="F2449" s="3" t="str">
        <f>CtryReg&amp;".mit.ef."&amp;$A2449</f>
        <v>mea.mit.ef.mnf.lpg.pm2</v>
      </c>
      <c r="G2449" s="3" t="str">
        <f>"wld.mit.ef."&amp;$A2449</f>
        <v>wld.mit.ef.mnf.lpg.pm2</v>
      </c>
      <c r="H2449" s="3" t="inlineStr">
        <is>
          <t>mea.mit.ef.mnf.lpg.pm2</t>
        </is>
      </c>
      <c r="I2449" s="236" t="n">
        <v>0.0083736</v>
      </c>
      <c r="J2449" s="236" t="n">
        <v>0.0083736</v>
      </c>
    </row>
    <row r="2450">
      <c r="A2450" s="3" t="str">
        <f>$B2450&amp;"."&amp;$C2450&amp;"."&amp;$D2450</f>
        <v>mnf.ker.pm2</v>
      </c>
      <c r="B2450" s="8" t="inlineStr">
        <is>
          <t>mnf</t>
        </is>
      </c>
      <c r="C2450" s="8" t="inlineStr">
        <is>
          <t>ker</t>
        </is>
      </c>
      <c r="D2450" s="8" t="inlineStr">
        <is>
          <t>pm2</t>
        </is>
      </c>
      <c r="E2450" s="3" t="str">
        <f>CodePrefix&amp;"ef."&amp;$A2450</f>
        <v>egy.mit.ef.mnf.ker.pm2</v>
      </c>
      <c r="F2450" s="3" t="str">
        <f>CtryReg&amp;".mit.ef."&amp;$A2450</f>
        <v>mea.mit.ef.mnf.ker.pm2</v>
      </c>
      <c r="G2450" s="3" t="str">
        <f>"wld.mit.ef."&amp;$A2450</f>
        <v>wld.mit.ef.mnf.ker.pm2</v>
      </c>
      <c r="H2450" s="3" t="inlineStr">
        <is>
          <t>egy.mit.ef.mnf.ker.pm2</t>
        </is>
      </c>
      <c r="I2450" s="236" t="n">
        <v>0.020934</v>
      </c>
      <c r="J2450" s="236" t="n">
        <v>0.020934</v>
      </c>
    </row>
    <row r="2451">
      <c r="A2451" s="3" t="str">
        <f>$B2451&amp;"."&amp;$C2451&amp;"."&amp;$D2451</f>
        <v>mnf.bio.pm2</v>
      </c>
      <c r="B2451" s="8" t="inlineStr">
        <is>
          <t>mnf</t>
        </is>
      </c>
      <c r="C2451" s="8" t="inlineStr">
        <is>
          <t>bio</t>
        </is>
      </c>
      <c r="D2451" s="8" t="inlineStr">
        <is>
          <t>pm2</t>
        </is>
      </c>
      <c r="E2451" s="3" t="str">
        <f>CodePrefix&amp;"ef."&amp;$A2451</f>
        <v>egy.mit.ef.mnf.bio.pm2</v>
      </c>
      <c r="F2451" s="3" t="str">
        <f>CtryReg&amp;".mit.ef."&amp;$A2451</f>
        <v>mea.mit.ef.mnf.bio.pm2</v>
      </c>
      <c r="G2451" s="3" t="str">
        <f>"wld.mit.ef."&amp;$A2451</f>
        <v>wld.mit.ef.mnf.bio.pm2</v>
      </c>
      <c r="H2451" s="3" t="inlineStr">
        <is>
          <t>mea.mit.ef.mnf.bio.pm2</t>
        </is>
      </c>
      <c r="I2451" s="236" t="n">
        <v>6.2980860096</v>
      </c>
      <c r="J2451" s="236" t="n">
        <v>4.139405424</v>
      </c>
    </row>
    <row r="2452">
      <c r="A2452" s="3" t="str">
        <f>$B2452&amp;"."&amp;$C2452&amp;"."&amp;$D2452</f>
        <v>omn.coa.pm2</v>
      </c>
      <c r="B2452" s="8" t="inlineStr">
        <is>
          <t>omn</t>
        </is>
      </c>
      <c r="C2452" s="8" t="inlineStr">
        <is>
          <t>coa</t>
        </is>
      </c>
      <c r="D2452" s="8" t="inlineStr">
        <is>
          <t>pm2</t>
        </is>
      </c>
      <c r="E2452" s="3" t="str">
        <f>CodePrefix&amp;"ef."&amp;$A2452</f>
        <v>egy.mit.ef.omn.coa.pm2</v>
      </c>
      <c r="F2452" s="3" t="str">
        <f>CtryReg&amp;".mit.ef."&amp;$A2452</f>
        <v>mea.mit.ef.omn.coa.pm2</v>
      </c>
      <c r="G2452" s="3" t="str">
        <f>"wld.mit.ef."&amp;$A2452</f>
        <v>wld.mit.ef.omn.coa.pm2</v>
      </c>
      <c r="H2452" s="3" t="inlineStr">
        <is>
          <t>wld.mit.ef.omn.coa.pm2</t>
        </is>
      </c>
      <c r="I2452" s="236" t="n">
        <v>0</v>
      </c>
      <c r="J2452" s="236" t="n">
        <v>0</v>
      </c>
    </row>
    <row r="2453">
      <c r="A2453" s="3" t="str">
        <f>$B2453&amp;"."&amp;$C2453&amp;"."&amp;$D2453</f>
        <v>omn.nga.pm2</v>
      </c>
      <c r="B2453" s="8" t="inlineStr">
        <is>
          <t>omn</t>
        </is>
      </c>
      <c r="C2453" s="8" t="inlineStr">
        <is>
          <t>nga</t>
        </is>
      </c>
      <c r="D2453" s="8" t="inlineStr">
        <is>
          <t>pm2</t>
        </is>
      </c>
      <c r="E2453" s="3" t="str">
        <f>CodePrefix&amp;"ef."&amp;$A2453</f>
        <v>egy.mit.ef.omn.nga.pm2</v>
      </c>
      <c r="F2453" s="3" t="str">
        <f>CtryReg&amp;".mit.ef."&amp;$A2453</f>
        <v>mea.mit.ef.omn.nga.pm2</v>
      </c>
      <c r="G2453" s="3" t="str">
        <f>"wld.mit.ef."&amp;$A2453</f>
        <v>wld.mit.ef.omn.nga.pm2</v>
      </c>
      <c r="H2453" s="3" t="inlineStr">
        <is>
          <t>egy.mit.ef.omn.nga.pm2</t>
        </is>
      </c>
      <c r="I2453" s="236" t="n">
        <v>0.0041868</v>
      </c>
      <c r="J2453" s="236" t="n">
        <v>0.0041868</v>
      </c>
    </row>
    <row r="2454">
      <c r="A2454" s="3" t="str">
        <f>$B2454&amp;"."&amp;$C2454&amp;"."&amp;$D2454</f>
        <v>omn.oop.pm2</v>
      </c>
      <c r="B2454" s="8" t="inlineStr">
        <is>
          <t>omn</t>
        </is>
      </c>
      <c r="C2454" s="8" t="inlineStr">
        <is>
          <t>oop</t>
        </is>
      </c>
      <c r="D2454" s="8" t="inlineStr">
        <is>
          <t>pm2</t>
        </is>
      </c>
      <c r="E2454" s="3" t="str">
        <f>CodePrefix&amp;"ef."&amp;$A2454</f>
        <v>egy.mit.ef.omn.oop.pm2</v>
      </c>
      <c r="F2454" s="3" t="str">
        <f>CtryReg&amp;".mit.ef."&amp;$A2454</f>
        <v>mea.mit.ef.omn.oop.pm2</v>
      </c>
      <c r="G2454" s="3" t="str">
        <f>"wld.mit.ef."&amp;$A2454</f>
        <v>wld.mit.ef.omn.oop.pm2</v>
      </c>
      <c r="H2454" s="3" t="inlineStr">
        <is>
          <t>egy.mit.ef.omn.oop.pm2</t>
        </is>
      </c>
      <c r="I2454" s="236" t="n">
        <v>0.304212888</v>
      </c>
      <c r="J2454" s="236" t="n">
        <v>0.304212888</v>
      </c>
    </row>
    <row r="2455">
      <c r="A2455" s="3" t="str">
        <f>$B2455&amp;"."&amp;$C2455&amp;"."&amp;$D2455</f>
        <v>omn.gso.pm2</v>
      </c>
      <c r="B2455" s="8" t="inlineStr">
        <is>
          <t>omn</t>
        </is>
      </c>
      <c r="C2455" s="8" t="inlineStr">
        <is>
          <t>gso</t>
        </is>
      </c>
      <c r="D2455" s="8" t="inlineStr">
        <is>
          <t>pm2</t>
        </is>
      </c>
      <c r="E2455" s="3" t="str">
        <f>CodePrefix&amp;"ef."&amp;$A2455</f>
        <v>egy.mit.ef.omn.gso.pm2</v>
      </c>
      <c r="F2455" s="3" t="str">
        <f>CtryReg&amp;".mit.ef."&amp;$A2455</f>
        <v>mea.mit.ef.omn.gso.pm2</v>
      </c>
      <c r="G2455" s="3" t="str">
        <f>"wld.mit.ef."&amp;$A2455</f>
        <v>wld.mit.ef.omn.gso.pm2</v>
      </c>
      <c r="H2455" s="3" t="inlineStr">
        <is>
          <t>egy.mit.ef.omn.gso.pm2</t>
        </is>
      </c>
      <c r="I2455" s="236" t="n">
        <v>0.020934</v>
      </c>
      <c r="J2455" s="236" t="n">
        <v>0.020934</v>
      </c>
    </row>
    <row r="2456">
      <c r="A2456" s="3" t="str">
        <f>$B2456&amp;"."&amp;$C2456&amp;"."&amp;$D2456</f>
        <v>omn.die.pm2</v>
      </c>
      <c r="B2456" s="8" t="inlineStr">
        <is>
          <t>omn</t>
        </is>
      </c>
      <c r="C2456" s="8" t="inlineStr">
        <is>
          <t>die</t>
        </is>
      </c>
      <c r="D2456" s="8" t="inlineStr">
        <is>
          <t>pm2</t>
        </is>
      </c>
      <c r="E2456" s="3" t="str">
        <f>CodePrefix&amp;"ef."&amp;$A2456</f>
        <v>egy.mit.ef.omn.die.pm2</v>
      </c>
      <c r="F2456" s="3" t="str">
        <f>CtryReg&amp;".mit.ef."&amp;$A2456</f>
        <v>mea.mit.ef.omn.die.pm2</v>
      </c>
      <c r="G2456" s="3" t="str">
        <f>"wld.mit.ef."&amp;$A2456</f>
        <v>wld.mit.ef.omn.die.pm2</v>
      </c>
      <c r="H2456" s="3" t="inlineStr">
        <is>
          <t>mea.mit.ef.omn.die.pm2</t>
        </is>
      </c>
      <c r="I2456" s="236" t="n">
        <v>0.007833502799999999</v>
      </c>
      <c r="J2456" s="236" t="n">
        <v>0.007833502799999999</v>
      </c>
    </row>
    <row r="2457">
      <c r="A2457" s="3" t="str">
        <f>$B2457&amp;"."&amp;$C2457&amp;"."&amp;$D2457</f>
        <v>omn.lpg.pm2</v>
      </c>
      <c r="B2457" s="8" t="inlineStr">
        <is>
          <t>omn</t>
        </is>
      </c>
      <c r="C2457" s="8" t="inlineStr">
        <is>
          <t>lpg</t>
        </is>
      </c>
      <c r="D2457" s="8" t="inlineStr">
        <is>
          <t>pm2</t>
        </is>
      </c>
      <c r="E2457" s="3" t="str">
        <f>CodePrefix&amp;"ef."&amp;$A2457</f>
        <v>egy.mit.ef.omn.lpg.pm2</v>
      </c>
      <c r="F2457" s="3" t="str">
        <f>CtryReg&amp;".mit.ef."&amp;$A2457</f>
        <v>mea.mit.ef.omn.lpg.pm2</v>
      </c>
      <c r="G2457" s="3" t="str">
        <f>"wld.mit.ef."&amp;$A2457</f>
        <v>wld.mit.ef.omn.lpg.pm2</v>
      </c>
      <c r="H2457" s="3" t="inlineStr">
        <is>
          <t>mea.mit.ef.omn.lpg.pm2</t>
        </is>
      </c>
      <c r="I2457" s="236" t="n">
        <v>0.0083736</v>
      </c>
      <c r="J2457" s="236" t="n">
        <v>0.0083736</v>
      </c>
    </row>
    <row r="2458">
      <c r="A2458" s="3" t="str">
        <f>$B2458&amp;"."&amp;$C2458&amp;"."&amp;$D2458</f>
        <v>omn.ker.pm2</v>
      </c>
      <c r="B2458" s="8" t="inlineStr">
        <is>
          <t>omn</t>
        </is>
      </c>
      <c r="C2458" s="8" t="inlineStr">
        <is>
          <t>ker</t>
        </is>
      </c>
      <c r="D2458" s="8" t="inlineStr">
        <is>
          <t>pm2</t>
        </is>
      </c>
      <c r="E2458" s="3" t="str">
        <f>CodePrefix&amp;"ef."&amp;$A2458</f>
        <v>egy.mit.ef.omn.ker.pm2</v>
      </c>
      <c r="F2458" s="3" t="str">
        <f>CtryReg&amp;".mit.ef."&amp;$A2458</f>
        <v>mea.mit.ef.omn.ker.pm2</v>
      </c>
      <c r="G2458" s="3" t="str">
        <f>"wld.mit.ef."&amp;$A2458</f>
        <v>wld.mit.ef.omn.ker.pm2</v>
      </c>
      <c r="H2458" s="3" t="inlineStr">
        <is>
          <t>egy.mit.ef.omn.ker.pm2</t>
        </is>
      </c>
      <c r="I2458" s="236" t="n">
        <v>0.020934</v>
      </c>
      <c r="J2458" s="236" t="n">
        <v>0.020934</v>
      </c>
    </row>
    <row r="2459">
      <c r="A2459" s="3" t="str">
        <f>$B2459&amp;"."&amp;$C2459&amp;"."&amp;$D2459</f>
        <v>omn.bio.pm2</v>
      </c>
      <c r="B2459" s="8" t="inlineStr">
        <is>
          <t>omn</t>
        </is>
      </c>
      <c r="C2459" s="8" t="inlineStr">
        <is>
          <t>bio</t>
        </is>
      </c>
      <c r="D2459" s="8" t="inlineStr">
        <is>
          <t>pm2</t>
        </is>
      </c>
      <c r="E2459" s="3" t="str">
        <f>CodePrefix&amp;"ef."&amp;$A2459</f>
        <v>egy.mit.ef.omn.bio.pm2</v>
      </c>
      <c r="F2459" s="3" t="str">
        <f>CtryReg&amp;".mit.ef."&amp;$A2459</f>
        <v>mea.mit.ef.omn.bio.pm2</v>
      </c>
      <c r="G2459" s="3" t="str">
        <f>"wld.mit.ef."&amp;$A2459</f>
        <v>wld.mit.ef.omn.bio.pm2</v>
      </c>
      <c r="H2459" s="3" t="inlineStr">
        <is>
          <t>mea.mit.ef.omn.bio.pm2</t>
        </is>
      </c>
      <c r="I2459" s="236" t="n">
        <v>6.2980860096</v>
      </c>
      <c r="J2459" s="236" t="n">
        <v>4.139405424</v>
      </c>
    </row>
    <row r="2460">
      <c r="A2460" s="3" t="str">
        <f>$B2460&amp;"."&amp;$C2460&amp;"."&amp;$D2460</f>
        <v>foo.coa.pm2</v>
      </c>
      <c r="B2460" s="8" t="inlineStr">
        <is>
          <t>foo</t>
        </is>
      </c>
      <c r="C2460" s="8" t="inlineStr">
        <is>
          <t>coa</t>
        </is>
      </c>
      <c r="D2460" s="8" t="inlineStr">
        <is>
          <t>pm2</t>
        </is>
      </c>
      <c r="E2460" s="3" t="str">
        <f>CodePrefix&amp;"ef."&amp;$A2460</f>
        <v>egy.mit.ef.foo.coa.pm2</v>
      </c>
      <c r="F2460" s="3" t="str">
        <f>CtryReg&amp;".mit.ef."&amp;$A2460</f>
        <v>mea.mit.ef.foo.coa.pm2</v>
      </c>
      <c r="G2460" s="3" t="str">
        <f>"wld.mit.ef."&amp;$A2460</f>
        <v>wld.mit.ef.foo.coa.pm2</v>
      </c>
      <c r="H2460" s="3" t="inlineStr">
        <is>
          <t>wld.mit.ef.foo.coa.pm2</t>
        </is>
      </c>
      <c r="I2460" s="236" t="n">
        <v>0</v>
      </c>
      <c r="J2460" s="236" t="n">
        <v>0</v>
      </c>
    </row>
    <row r="2461">
      <c r="A2461" s="3" t="str">
        <f>$B2461&amp;"."&amp;$C2461&amp;"."&amp;$D2461</f>
        <v>foo.nga.pm2</v>
      </c>
      <c r="B2461" s="8" t="inlineStr">
        <is>
          <t>foo</t>
        </is>
      </c>
      <c r="C2461" s="8" t="inlineStr">
        <is>
          <t>nga</t>
        </is>
      </c>
      <c r="D2461" s="8" t="inlineStr">
        <is>
          <t>pm2</t>
        </is>
      </c>
      <c r="E2461" s="3" t="str">
        <f>CodePrefix&amp;"ef."&amp;$A2461</f>
        <v>egy.mit.ef.foo.nga.pm2</v>
      </c>
      <c r="F2461" s="3" t="str">
        <f>CtryReg&amp;".mit.ef."&amp;$A2461</f>
        <v>mea.mit.ef.foo.nga.pm2</v>
      </c>
      <c r="G2461" s="3" t="str">
        <f>"wld.mit.ef."&amp;$A2461</f>
        <v>wld.mit.ef.foo.nga.pm2</v>
      </c>
      <c r="H2461" s="3" t="inlineStr">
        <is>
          <t>egy.mit.ef.foo.nga.pm2</t>
        </is>
      </c>
      <c r="I2461" s="236" t="n">
        <v>0.0041868</v>
      </c>
      <c r="J2461" s="236" t="n">
        <v>0.0041868</v>
      </c>
    </row>
    <row r="2462">
      <c r="A2462" s="3" t="str">
        <f>$B2462&amp;"."&amp;$C2462&amp;"."&amp;$D2462</f>
        <v>foo.oop.pm2</v>
      </c>
      <c r="B2462" s="8" t="inlineStr">
        <is>
          <t>foo</t>
        </is>
      </c>
      <c r="C2462" s="8" t="inlineStr">
        <is>
          <t>oop</t>
        </is>
      </c>
      <c r="D2462" s="8" t="inlineStr">
        <is>
          <t>pm2</t>
        </is>
      </c>
      <c r="E2462" s="3" t="str">
        <f>CodePrefix&amp;"ef."&amp;$A2462</f>
        <v>egy.mit.ef.foo.oop.pm2</v>
      </c>
      <c r="F2462" s="3" t="str">
        <f>CtryReg&amp;".mit.ef."&amp;$A2462</f>
        <v>mea.mit.ef.foo.oop.pm2</v>
      </c>
      <c r="G2462" s="3" t="str">
        <f>"wld.mit.ef."&amp;$A2462</f>
        <v>wld.mit.ef.foo.oop.pm2</v>
      </c>
      <c r="H2462" s="3" t="inlineStr">
        <is>
          <t>egy.mit.ef.foo.oop.pm2</t>
        </is>
      </c>
      <c r="I2462" s="236" t="n">
        <v>0.304212888</v>
      </c>
      <c r="J2462" s="236" t="n">
        <v>0.304212888</v>
      </c>
    </row>
    <row r="2463">
      <c r="A2463" s="3" t="str">
        <f>$B2463&amp;"."&amp;$C2463&amp;"."&amp;$D2463</f>
        <v>foo.gso.pm2</v>
      </c>
      <c r="B2463" s="8" t="inlineStr">
        <is>
          <t>foo</t>
        </is>
      </c>
      <c r="C2463" s="8" t="inlineStr">
        <is>
          <t>gso</t>
        </is>
      </c>
      <c r="D2463" s="8" t="inlineStr">
        <is>
          <t>pm2</t>
        </is>
      </c>
      <c r="E2463" s="3" t="str">
        <f>CodePrefix&amp;"ef."&amp;$A2463</f>
        <v>egy.mit.ef.foo.gso.pm2</v>
      </c>
      <c r="F2463" s="3" t="str">
        <f>CtryReg&amp;".mit.ef."&amp;$A2463</f>
        <v>mea.mit.ef.foo.gso.pm2</v>
      </c>
      <c r="G2463" s="3" t="str">
        <f>"wld.mit.ef."&amp;$A2463</f>
        <v>wld.mit.ef.foo.gso.pm2</v>
      </c>
      <c r="H2463" s="3" t="inlineStr">
        <is>
          <t>egy.mit.ef.foo.gso.pm2</t>
        </is>
      </c>
      <c r="I2463" s="236" t="n">
        <v>0.020934</v>
      </c>
      <c r="J2463" s="236" t="n">
        <v>0.020934</v>
      </c>
    </row>
    <row r="2464">
      <c r="A2464" s="3" t="str">
        <f>$B2464&amp;"."&amp;$C2464&amp;"."&amp;$D2464</f>
        <v>foo.die.pm2</v>
      </c>
      <c r="B2464" s="8" t="inlineStr">
        <is>
          <t>foo</t>
        </is>
      </c>
      <c r="C2464" s="8" t="inlineStr">
        <is>
          <t>die</t>
        </is>
      </c>
      <c r="D2464" s="8" t="inlineStr">
        <is>
          <t>pm2</t>
        </is>
      </c>
      <c r="E2464" s="3" t="str">
        <f>CodePrefix&amp;"ef."&amp;$A2464</f>
        <v>egy.mit.ef.foo.die.pm2</v>
      </c>
      <c r="F2464" s="3" t="str">
        <f>CtryReg&amp;".mit.ef."&amp;$A2464</f>
        <v>mea.mit.ef.foo.die.pm2</v>
      </c>
      <c r="G2464" s="3" t="str">
        <f>"wld.mit.ef."&amp;$A2464</f>
        <v>wld.mit.ef.foo.die.pm2</v>
      </c>
      <c r="H2464" s="3" t="inlineStr">
        <is>
          <t>mea.mit.ef.foo.die.pm2</t>
        </is>
      </c>
      <c r="I2464" s="236" t="n">
        <v>0.007833502799999999</v>
      </c>
      <c r="J2464" s="236" t="n">
        <v>0.007833502799999999</v>
      </c>
    </row>
    <row r="2465">
      <c r="A2465" s="3" t="str">
        <f>$B2465&amp;"."&amp;$C2465&amp;"."&amp;$D2465</f>
        <v>foo.lpg.pm2</v>
      </c>
      <c r="B2465" s="8" t="inlineStr">
        <is>
          <t>foo</t>
        </is>
      </c>
      <c r="C2465" s="8" t="inlineStr">
        <is>
          <t>lpg</t>
        </is>
      </c>
      <c r="D2465" s="8" t="inlineStr">
        <is>
          <t>pm2</t>
        </is>
      </c>
      <c r="E2465" s="3" t="str">
        <f>CodePrefix&amp;"ef."&amp;$A2465</f>
        <v>egy.mit.ef.foo.lpg.pm2</v>
      </c>
      <c r="F2465" s="3" t="str">
        <f>CtryReg&amp;".mit.ef."&amp;$A2465</f>
        <v>mea.mit.ef.foo.lpg.pm2</v>
      </c>
      <c r="G2465" s="3" t="str">
        <f>"wld.mit.ef."&amp;$A2465</f>
        <v>wld.mit.ef.foo.lpg.pm2</v>
      </c>
      <c r="H2465" s="3" t="inlineStr">
        <is>
          <t>mea.mit.ef.foo.lpg.pm2</t>
        </is>
      </c>
      <c r="I2465" s="236" t="n">
        <v>0.0083736</v>
      </c>
      <c r="J2465" s="236" t="n">
        <v>0.0083736</v>
      </c>
    </row>
    <row r="2466">
      <c r="A2466" s="3" t="str">
        <f>$B2466&amp;"."&amp;$C2466&amp;"."&amp;$D2466</f>
        <v>foo.ker.pm2</v>
      </c>
      <c r="B2466" s="8" t="inlineStr">
        <is>
          <t>foo</t>
        </is>
      </c>
      <c r="C2466" s="8" t="inlineStr">
        <is>
          <t>ker</t>
        </is>
      </c>
      <c r="D2466" s="8" t="inlineStr">
        <is>
          <t>pm2</t>
        </is>
      </c>
      <c r="E2466" s="3" t="str">
        <f>CodePrefix&amp;"ef."&amp;$A2466</f>
        <v>egy.mit.ef.foo.ker.pm2</v>
      </c>
      <c r="F2466" s="3" t="str">
        <f>CtryReg&amp;".mit.ef."&amp;$A2466</f>
        <v>mea.mit.ef.foo.ker.pm2</v>
      </c>
      <c r="G2466" s="3" t="str">
        <f>"wld.mit.ef."&amp;$A2466</f>
        <v>wld.mit.ef.foo.ker.pm2</v>
      </c>
      <c r="H2466" s="3" t="inlineStr">
        <is>
          <t>egy.mit.ef.foo.ker.pm2</t>
        </is>
      </c>
      <c r="I2466" s="236" t="n">
        <v>0.020934</v>
      </c>
      <c r="J2466" s="236" t="n">
        <v>0.020934</v>
      </c>
    </row>
    <row r="2467">
      <c r="A2467" s="3" t="str">
        <f>$B2467&amp;"."&amp;$C2467&amp;"."&amp;$D2467</f>
        <v>foo.bio.pm2</v>
      </c>
      <c r="B2467" s="8" t="inlineStr">
        <is>
          <t>foo</t>
        </is>
      </c>
      <c r="C2467" s="8" t="inlineStr">
        <is>
          <t>bio</t>
        </is>
      </c>
      <c r="D2467" s="8" t="inlineStr">
        <is>
          <t>pm2</t>
        </is>
      </c>
      <c r="E2467" s="3" t="str">
        <f>CodePrefix&amp;"ef."&amp;$A2467</f>
        <v>egy.mit.ef.foo.bio.pm2</v>
      </c>
      <c r="F2467" s="3" t="str">
        <f>CtryReg&amp;".mit.ef."&amp;$A2467</f>
        <v>mea.mit.ef.foo.bio.pm2</v>
      </c>
      <c r="G2467" s="3" t="str">
        <f>"wld.mit.ef."&amp;$A2467</f>
        <v>wld.mit.ef.foo.bio.pm2</v>
      </c>
      <c r="H2467" s="3" t="inlineStr">
        <is>
          <t>egy.mit.ef.foo.bio.pm2</t>
        </is>
      </c>
      <c r="I2467" s="236" t="n">
        <v>19.4814692892</v>
      </c>
      <c r="J2467" s="236" t="n">
        <v>17.1151820388</v>
      </c>
    </row>
    <row r="2468">
      <c r="A2468" s="3" t="str">
        <f>$B2468&amp;"."&amp;$C2468&amp;"."&amp;$D2468</f>
        <v>oen.coa.pm2</v>
      </c>
      <c r="B2468" s="8" t="inlineStr">
        <is>
          <t>oen</t>
        </is>
      </c>
      <c r="C2468" s="8" t="inlineStr">
        <is>
          <t>coa</t>
        </is>
      </c>
      <c r="D2468" s="8" t="inlineStr">
        <is>
          <t>pm2</t>
        </is>
      </c>
      <c r="H2468" s="3" t="inlineStr">
        <is>
          <t>max</t>
        </is>
      </c>
      <c r="I2468" s="236">
        <f>_xlfn.MAXIFS($I$2411:$I$2467,$C$2411:$C$2467,$C2468)</f>
        <v>17.25767559</v>
      </c>
      <c r="J2468" s="236">
        <f>_xlfn.MAXIFS($J$2411:$J$2467,$C$2411:$C$2467,$C2468)</f>
        <v>17.25767559</v>
      </c>
    </row>
    <row r="2469">
      <c r="A2469" s="3" t="str">
        <f>$B2469&amp;"."&amp;$C2469&amp;"."&amp;$D2469</f>
        <v>oen.nga.pm2</v>
      </c>
      <c r="B2469" s="8" t="inlineStr">
        <is>
          <t>oen</t>
        </is>
      </c>
      <c r="C2469" s="8" t="inlineStr">
        <is>
          <t>nga</t>
        </is>
      </c>
      <c r="D2469" s="8" t="inlineStr">
        <is>
          <t>pm2</t>
        </is>
      </c>
      <c r="H2469" s="3" t="inlineStr">
        <is>
          <t>max</t>
        </is>
      </c>
      <c r="I2469" s="236">
        <f>_xlfn.MAXIFS($I$2411:$I$2467,$C$2411:$C$2467,$C2469)</f>
        <v>0.0555002208</v>
      </c>
      <c r="J2469" s="236">
        <f>_xlfn.MAXIFS($J$2411:$J$2467,$C$2411:$C$2467,$C2469)</f>
        <v>0.0465237216</v>
      </c>
    </row>
    <row r="2470">
      <c r="A2470" s="3" t="str">
        <f>$B2470&amp;"."&amp;$C2470&amp;"."&amp;$D2470</f>
        <v>oen.oop.pm2</v>
      </c>
      <c r="B2470" s="8" t="inlineStr">
        <is>
          <t>oen</t>
        </is>
      </c>
      <c r="C2470" s="8" t="inlineStr">
        <is>
          <t>oop</t>
        </is>
      </c>
      <c r="D2470" s="8" t="inlineStr">
        <is>
          <t>pm2</t>
        </is>
      </c>
      <c r="H2470" s="3" t="inlineStr">
        <is>
          <t>max</t>
        </is>
      </c>
      <c r="I2470" s="236">
        <f>_xlfn.MAXIFS($I$2411:$I$2467,$C$2411:$C$2467,$C2470)</f>
        <v>0.36791505</v>
      </c>
      <c r="J2470" s="236">
        <f>_xlfn.MAXIFS($J$2411:$J$2467,$C$2411:$C$2467,$C2470)</f>
        <v>0.3380841000000001</v>
      </c>
    </row>
    <row r="2471">
      <c r="A2471" s="3" t="str">
        <f>$B2471&amp;"."&amp;$C2471&amp;"."&amp;$D2471</f>
        <v>oen.gso.pm2</v>
      </c>
      <c r="B2471" s="8" t="inlineStr">
        <is>
          <t>oen</t>
        </is>
      </c>
      <c r="C2471" s="8" t="inlineStr">
        <is>
          <t>gso</t>
        </is>
      </c>
      <c r="D2471" s="8" t="inlineStr">
        <is>
          <t>pm2</t>
        </is>
      </c>
      <c r="H2471" s="3" t="inlineStr">
        <is>
          <t>max</t>
        </is>
      </c>
      <c r="I2471" s="236">
        <f>_xlfn.MAXIFS($I$2411:$I$2467,$C$2411:$C$2467,$C2471)</f>
        <v>1.2722722236</v>
      </c>
      <c r="J2471" s="236">
        <f>_xlfn.MAXIFS($J$2411:$J$2467,$C$2411:$C$2467,$C2471)</f>
        <v>1.1717345952</v>
      </c>
    </row>
    <row r="2472">
      <c r="A2472" s="3" t="str">
        <f>$B2472&amp;"."&amp;$C2472&amp;"."&amp;$D2472</f>
        <v>oen.die.pm2</v>
      </c>
      <c r="B2472" s="8" t="inlineStr">
        <is>
          <t>oen</t>
        </is>
      </c>
      <c r="C2472" s="8" t="inlineStr">
        <is>
          <t>die</t>
        </is>
      </c>
      <c r="D2472" s="8" t="inlineStr">
        <is>
          <t>pm2</t>
        </is>
      </c>
      <c r="H2472" s="3" t="inlineStr">
        <is>
          <t>max</t>
        </is>
      </c>
      <c r="I2472" s="236">
        <f>_xlfn.MAXIFS($I$2411:$I$2467,$C$2411:$C$2467,$C2472)</f>
        <v>5.13971568</v>
      </c>
      <c r="J2472" s="236">
        <f>_xlfn.MAXIFS($J$2411:$J$2467,$C$2411:$C$2467,$C2472)</f>
        <v>5.13971568</v>
      </c>
    </row>
    <row r="2473">
      <c r="A2473" s="3" t="str">
        <f>$B2473&amp;"."&amp;$C2473&amp;"."&amp;$D2473</f>
        <v>oen.lpg.pm2</v>
      </c>
      <c r="B2473" s="8" t="inlineStr">
        <is>
          <t>oen</t>
        </is>
      </c>
      <c r="C2473" s="8" t="inlineStr">
        <is>
          <t>lpg</t>
        </is>
      </c>
      <c r="D2473" s="8" t="inlineStr">
        <is>
          <t>pm2</t>
        </is>
      </c>
      <c r="H2473" s="3" t="inlineStr">
        <is>
          <t>max</t>
        </is>
      </c>
      <c r="I2473" s="236">
        <f>_xlfn.MAXIFS($I$2411:$I$2467,$C$2411:$C$2467,$C2473)</f>
        <v>1.1717345952</v>
      </c>
      <c r="J2473" s="236">
        <f>_xlfn.MAXIFS($J$2411:$J$2467,$C$2411:$C$2467,$C2473)</f>
        <v>1.1717345952</v>
      </c>
    </row>
    <row r="2474">
      <c r="A2474" s="3" t="str">
        <f>$B2474&amp;"."&amp;$C2474&amp;"."&amp;$D2474</f>
        <v>oen.ker.pm2</v>
      </c>
      <c r="B2474" s="8" t="inlineStr">
        <is>
          <t>oen</t>
        </is>
      </c>
      <c r="C2474" s="8" t="inlineStr">
        <is>
          <t>ker</t>
        </is>
      </c>
      <c r="D2474" s="8" t="inlineStr">
        <is>
          <t>pm2</t>
        </is>
      </c>
      <c r="H2474" s="3" t="inlineStr">
        <is>
          <t>max</t>
        </is>
      </c>
      <c r="I2474" s="236">
        <f>_xlfn.MAXIFS($I$2411:$I$2467,$C$2411:$C$2467,$C2474)</f>
        <v>1.4763326688</v>
      </c>
      <c r="J2474" s="236">
        <f>_xlfn.MAXIFS($J$2411:$J$2467,$C$2411:$C$2467,$C2474)</f>
        <v>1.1945484684</v>
      </c>
    </row>
    <row r="2475">
      <c r="A2475" s="3" t="str">
        <f>$B2475&amp;"."&amp;$C2475&amp;"."&amp;$D2475</f>
        <v>oen.bio.pm2</v>
      </c>
      <c r="B2475" s="8" t="inlineStr">
        <is>
          <t>oen</t>
        </is>
      </c>
      <c r="C2475" s="8" t="inlineStr">
        <is>
          <t>bio</t>
        </is>
      </c>
      <c r="D2475" s="8" t="inlineStr">
        <is>
          <t>pm2</t>
        </is>
      </c>
      <c r="H2475" s="3" t="inlineStr">
        <is>
          <t>max</t>
        </is>
      </c>
      <c r="I2475" s="236">
        <f>_xlfn.MAXIFS($I$2411:$I$2467,$C$2411:$C$2467,$C2475)</f>
        <v>20.002060188</v>
      </c>
      <c r="J2475" s="236">
        <f>_xlfn.MAXIFS($J$2411:$J$2467,$C$2411:$C$2467,$C2475)</f>
        <v>17.1151820388</v>
      </c>
    </row>
    <row r="2476">
      <c r="A2476" s="3" t="str">
        <f>$B2476&amp;"."&amp;$C2476&amp;"."&amp;$D2476</f>
        <v>nav.die.pm2</v>
      </c>
      <c r="B2476" s="8" t="inlineStr">
        <is>
          <t>nav</t>
        </is>
      </c>
      <c r="C2476" s="8" t="inlineStr">
        <is>
          <t>die</t>
        </is>
      </c>
      <c r="D2476" s="8" t="inlineStr">
        <is>
          <t>pm2</t>
        </is>
      </c>
      <c r="E2476" s="3" t="str">
        <f>CodePrefix&amp;"ef."&amp;$A2476</f>
        <v>egy.mit.ef.nav.die.pm2</v>
      </c>
      <c r="F2476" s="3" t="str">
        <f>CtryReg&amp;".mit.ef."&amp;$A2476</f>
        <v>mea.mit.ef.nav.die.pm2</v>
      </c>
      <c r="G2476" s="3" t="str">
        <f>"wld.mit.ef."&amp;$A2476</f>
        <v>wld.mit.ef.nav.die.pm2</v>
      </c>
      <c r="H2476" s="3" t="inlineStr">
        <is>
          <t>egy.mit.ef.nav.die.pm2</t>
        </is>
      </c>
      <c r="I2476" s="236" t="n">
        <v>4.0318884</v>
      </c>
      <c r="J2476" s="236" t="n">
        <v>4.0318884</v>
      </c>
    </row>
    <row r="2477">
      <c r="A2477" s="3" t="str">
        <f>$B2477&amp;"."&amp;$C2477&amp;"."&amp;$D2477</f>
        <v>nav.oop.pm2</v>
      </c>
      <c r="B2477" s="8" t="inlineStr">
        <is>
          <t>nav</t>
        </is>
      </c>
      <c r="C2477" s="8" t="inlineStr">
        <is>
          <t>oop</t>
        </is>
      </c>
      <c r="D2477" s="8" t="inlineStr">
        <is>
          <t>pm2</t>
        </is>
      </c>
      <c r="E2477" s="3" t="str">
        <f>CodePrefix&amp;"ef."&amp;$A2477</f>
        <v>egy.mit.ef.nav.oop.pm2</v>
      </c>
      <c r="F2477" s="3" t="str">
        <f>CtryReg&amp;".mit.ef."&amp;$A2477</f>
        <v>mea.mit.ef.nav.oop.pm2</v>
      </c>
      <c r="G2477" s="3" t="str">
        <f>"wld.mit.ef."&amp;$A2477</f>
        <v>wld.mit.ef.nav.oop.pm2</v>
      </c>
      <c r="H2477" s="3" t="inlineStr">
        <is>
          <t>egy.mit.ef.nav.oop.pm2</t>
        </is>
      </c>
      <c r="I2477" s="236" t="n">
        <v>5.49768708</v>
      </c>
      <c r="J2477" s="236" t="n">
        <v>5.49768708</v>
      </c>
    </row>
    <row r="2478">
      <c r="A2478" s="3" t="str">
        <f>$B2478&amp;"."&amp;$C2478&amp;"."&amp;$D2478</f>
        <v>pow.coa.nox</v>
      </c>
      <c r="B2478" s="8" t="inlineStr">
        <is>
          <t>pow</t>
        </is>
      </c>
      <c r="C2478" s="8" t="inlineStr">
        <is>
          <t>coa</t>
        </is>
      </c>
      <c r="D2478" s="8" t="inlineStr">
        <is>
          <t>nox</t>
        </is>
      </c>
      <c r="E2478" s="3" t="str">
        <f>CodePrefix&amp;"ef."&amp;$A2478</f>
        <v>egy.mit.ef.pow.coa.nox</v>
      </c>
      <c r="F2478" s="3" t="str">
        <f>CtryReg&amp;".mit.ef."&amp;$A2478</f>
        <v>mea.mit.ef.pow.coa.nox</v>
      </c>
      <c r="G2478" s="3" t="str">
        <f>"wld.mit.ef."&amp;$A2478</f>
        <v>wld.mit.ef.pow.coa.nox</v>
      </c>
      <c r="H2478" s="3" t="inlineStr">
        <is>
          <t>mea.mit.ef.pow.coa.nox</t>
        </is>
      </c>
      <c r="I2478" s="236" t="n">
        <v>6.120963435600001</v>
      </c>
      <c r="J2478" s="236" t="n">
        <v>5.369847328800001</v>
      </c>
    </row>
    <row r="2479">
      <c r="A2479" s="3" t="str">
        <f>$B2479&amp;"."&amp;$C2479&amp;"."&amp;$D2479</f>
        <v>pow.nga.nox</v>
      </c>
      <c r="B2479" s="8" t="inlineStr">
        <is>
          <t>pow</t>
        </is>
      </c>
      <c r="C2479" s="8" t="inlineStr">
        <is>
          <t>nga</t>
        </is>
      </c>
      <c r="D2479" s="8" t="inlineStr">
        <is>
          <t>nox</t>
        </is>
      </c>
      <c r="E2479" s="3" t="str">
        <f>CodePrefix&amp;"ef."&amp;$A2479</f>
        <v>egy.mit.ef.pow.nga.nox</v>
      </c>
      <c r="F2479" s="3" t="str">
        <f>CtryReg&amp;".mit.ef."&amp;$A2479</f>
        <v>mea.mit.ef.pow.nga.nox</v>
      </c>
      <c r="G2479" s="3" t="str">
        <f>"wld.mit.ef."&amp;$A2479</f>
        <v>wld.mit.ef.pow.nga.nox</v>
      </c>
      <c r="H2479" s="3" t="inlineStr">
        <is>
          <t>egy.mit.ef.pow.nga.nox</t>
        </is>
      </c>
      <c r="I2479" s="236" t="n">
        <v>3.2920850268</v>
      </c>
      <c r="J2479" s="236" t="n">
        <v>2.9525606676</v>
      </c>
    </row>
    <row r="2480">
      <c r="A2480" s="3" t="str">
        <f>$B2480&amp;"."&amp;$C2480&amp;"."&amp;$D2480</f>
        <v>pow.oop.nox</v>
      </c>
      <c r="B2480" s="8" t="inlineStr">
        <is>
          <t>pow</t>
        </is>
      </c>
      <c r="C2480" s="8" t="inlineStr">
        <is>
          <t>oop</t>
        </is>
      </c>
      <c r="D2480" s="8" t="inlineStr">
        <is>
          <t>nox</t>
        </is>
      </c>
      <c r="E2480" s="3" t="str">
        <f>CodePrefix&amp;"ef."&amp;$A2480</f>
        <v>egy.mit.ef.pow.oop.nox</v>
      </c>
      <c r="F2480" s="3" t="str">
        <f>CtryReg&amp;".mit.ef."&amp;$A2480</f>
        <v>mea.mit.ef.pow.oop.nox</v>
      </c>
      <c r="G2480" s="3" t="str">
        <f>"wld.mit.ef."&amp;$A2480</f>
        <v>wld.mit.ef.pow.oop.nox</v>
      </c>
      <c r="H2480" s="3" t="inlineStr">
        <is>
          <t>egy.mit.ef.pow.oop.nox</t>
        </is>
      </c>
      <c r="I2480" s="236" t="n">
        <v>4.5006802092</v>
      </c>
      <c r="J2480" s="236" t="n">
        <v>4.3819718688</v>
      </c>
    </row>
    <row r="2481">
      <c r="A2481" s="3" t="str">
        <f>$B2481&amp;"."&amp;$C2481&amp;"."&amp;$D2481</f>
        <v>pow.bio.nox</v>
      </c>
      <c r="B2481" s="8" t="inlineStr">
        <is>
          <t>pow</t>
        </is>
      </c>
      <c r="C2481" s="8" t="inlineStr">
        <is>
          <t>bio</t>
        </is>
      </c>
      <c r="D2481" s="8" t="inlineStr">
        <is>
          <t>nox</t>
        </is>
      </c>
      <c r="E2481" s="3" t="str">
        <f>CodePrefix&amp;"ef."&amp;$A2481</f>
        <v>egy.mit.ef.pow.bio.nox</v>
      </c>
      <c r="F2481" s="3" t="str">
        <f>CtryReg&amp;".mit.ef."&amp;$A2481</f>
        <v>mea.mit.ef.pow.bio.nox</v>
      </c>
      <c r="G2481" s="3" t="str">
        <f>"wld.mit.ef."&amp;$A2481</f>
        <v>wld.mit.ef.pow.bio.nox</v>
      </c>
      <c r="H2481" s="3" t="inlineStr">
        <is>
          <t>wld.mit.ef.pow.bio.nox</t>
        </is>
      </c>
      <c r="I2481" s="236" t="n">
        <v>0</v>
      </c>
      <c r="J2481" s="236" t="n">
        <v>0</v>
      </c>
    </row>
    <row r="2482">
      <c r="A2482" s="3" t="str">
        <f>$B2482&amp;"."&amp;$C2482&amp;"."&amp;$D2482</f>
        <v>rod.gso.nox</v>
      </c>
      <c r="B2482" s="8" t="inlineStr">
        <is>
          <t>rod</t>
        </is>
      </c>
      <c r="C2482" s="8" t="inlineStr">
        <is>
          <t>gso</t>
        </is>
      </c>
      <c r="D2482" s="8" t="inlineStr">
        <is>
          <t>nox</t>
        </is>
      </c>
      <c r="E2482" s="3" t="str">
        <f>CodePrefix&amp;"ef."&amp;$A2482</f>
        <v>egy.mit.ef.rod.gso.nox</v>
      </c>
      <c r="F2482" s="3" t="str">
        <f>CtryReg&amp;".mit.ef."&amp;$A2482</f>
        <v>mea.mit.ef.rod.gso.nox</v>
      </c>
      <c r="G2482" s="3" t="str">
        <f>"wld.mit.ef."&amp;$A2482</f>
        <v>wld.mit.ef.rod.gso.nox</v>
      </c>
      <c r="H2482" s="3" t="inlineStr">
        <is>
          <t>egy.mit.ef.rod.gso.nox</t>
        </is>
      </c>
      <c r="I2482" s="236" t="n">
        <v>20.5277171148</v>
      </c>
      <c r="J2482" s="236" t="n">
        <v>9.188878816800001</v>
      </c>
    </row>
    <row r="2483">
      <c r="A2483" s="3" t="str">
        <f>$B2483&amp;"."&amp;$C2483&amp;"."&amp;$D2483</f>
        <v>rod.die.nox</v>
      </c>
      <c r="B2483" s="8" t="inlineStr">
        <is>
          <t>rod</t>
        </is>
      </c>
      <c r="C2483" s="8" t="inlineStr">
        <is>
          <t>die</t>
        </is>
      </c>
      <c r="D2483" s="8" t="inlineStr">
        <is>
          <t>nox</t>
        </is>
      </c>
      <c r="E2483" s="3" t="str">
        <f>CodePrefix&amp;"ef."&amp;$A2483</f>
        <v>egy.mit.ef.rod.die.nox</v>
      </c>
      <c r="F2483" s="3" t="str">
        <f>CtryReg&amp;".mit.ef."&amp;$A2483</f>
        <v>mea.mit.ef.rod.die.nox</v>
      </c>
      <c r="G2483" s="3" t="str">
        <f>"wld.mit.ef."&amp;$A2483</f>
        <v>wld.mit.ef.rod.die.nox</v>
      </c>
      <c r="H2483" s="3" t="inlineStr">
        <is>
          <t>egy.mit.ef.rod.die.nox</t>
        </is>
      </c>
      <c r="I2483" s="236" t="n">
        <v>39.75231366360001</v>
      </c>
      <c r="J2483" s="236" t="n">
        <v>38.19025626480001</v>
      </c>
    </row>
    <row r="2484">
      <c r="A2484" s="3" t="str">
        <f>$B2484&amp;"."&amp;$C2484&amp;"."&amp;$D2484</f>
        <v>rod.lpg.nox</v>
      </c>
      <c r="B2484" s="8" t="inlineStr">
        <is>
          <t>rod</t>
        </is>
      </c>
      <c r="C2484" s="8" t="inlineStr">
        <is>
          <t>lpg</t>
        </is>
      </c>
      <c r="D2484" s="8" t="inlineStr">
        <is>
          <t>nox</t>
        </is>
      </c>
      <c r="E2484" s="3" t="str">
        <f>CodePrefix&amp;"ef."&amp;$A2484</f>
        <v>egy.mit.ef.rod.lpg.nox</v>
      </c>
      <c r="F2484" s="3" t="str">
        <f>CtryReg&amp;".mit.ef."&amp;$A2484</f>
        <v>mea.mit.ef.rod.lpg.nox</v>
      </c>
      <c r="G2484" s="3" t="str">
        <f>"wld.mit.ef."&amp;$A2484</f>
        <v>wld.mit.ef.rod.lpg.nox</v>
      </c>
      <c r="H2484" s="3" t="inlineStr">
        <is>
          <t>mea.mit.ef.rod.lpg.nox</t>
        </is>
      </c>
      <c r="I2484" s="236" t="n">
        <v>10.1736351108</v>
      </c>
      <c r="J2484" s="236" t="n">
        <v>3.7666085652</v>
      </c>
    </row>
    <row r="2485">
      <c r="A2485" s="3" t="str">
        <f>$B2485&amp;"."&amp;$C2485&amp;"."&amp;$D2485</f>
        <v>rod.ker.nox</v>
      </c>
      <c r="B2485" s="8" t="inlineStr">
        <is>
          <t>rod</t>
        </is>
      </c>
      <c r="C2485" s="8" t="inlineStr">
        <is>
          <t>ker</t>
        </is>
      </c>
      <c r="D2485" s="8" t="inlineStr">
        <is>
          <t>nox</t>
        </is>
      </c>
      <c r="E2485" s="3" t="str">
        <f>CodePrefix&amp;"ef."&amp;$A2485</f>
        <v>egy.mit.ef.rod.ker.nox</v>
      </c>
      <c r="F2485" s="3" t="str">
        <f>CtryReg&amp;".mit.ef."&amp;$A2485</f>
        <v>mea.mit.ef.rod.ker.nox</v>
      </c>
      <c r="G2485" s="3" t="str">
        <f>"wld.mit.ef."&amp;$A2485</f>
        <v>wld.mit.ef.rod.ker.nox</v>
      </c>
      <c r="H2485" s="3" t="inlineStr">
        <is>
          <t>wld.mit.ef.rod.ker.nox</t>
        </is>
      </c>
      <c r="I2485" s="236" t="n">
        <v>0</v>
      </c>
      <c r="J2485" s="236" t="n">
        <v>0</v>
      </c>
    </row>
    <row r="2486">
      <c r="A2486" s="3" t="str">
        <f>$B2486&amp;"."&amp;$C2486&amp;"."&amp;$D2486</f>
        <v>rod.nga.nox</v>
      </c>
      <c r="B2486" s="8" t="inlineStr">
        <is>
          <t>rod</t>
        </is>
      </c>
      <c r="C2486" s="8" t="inlineStr">
        <is>
          <t>nga</t>
        </is>
      </c>
      <c r="D2486" s="8" t="inlineStr">
        <is>
          <t>nox</t>
        </is>
      </c>
      <c r="E2486" s="3" t="str">
        <f>CodePrefix&amp;"ef."&amp;$A2486</f>
        <v>egy.mit.ef.rod.nga.nox</v>
      </c>
      <c r="F2486" s="3" t="str">
        <f>CtryReg&amp;".mit.ef."&amp;$A2486</f>
        <v>mea.mit.ef.rod.nga.nox</v>
      </c>
      <c r="G2486" s="3" t="str">
        <f>"wld.mit.ef."&amp;$A2486</f>
        <v>wld.mit.ef.rod.nga.nox</v>
      </c>
      <c r="H2486" s="3" t="inlineStr">
        <is>
          <t>egy.mit.ef.rod.nga.nox</t>
        </is>
      </c>
      <c r="I2486" s="236" t="n">
        <v>15.2091538992</v>
      </c>
      <c r="J2486" s="236" t="n">
        <v>10.9600878096</v>
      </c>
    </row>
    <row r="2487">
      <c r="A2487" s="3" t="str">
        <f>$B2487&amp;"."&amp;$C2487&amp;"."&amp;$D2487</f>
        <v>ral.die.nox</v>
      </c>
      <c r="B2487" s="8" t="inlineStr">
        <is>
          <t>ral</t>
        </is>
      </c>
      <c r="C2487" s="8" t="inlineStr">
        <is>
          <t>die</t>
        </is>
      </c>
      <c r="D2487" s="8" t="inlineStr">
        <is>
          <t>nox</t>
        </is>
      </c>
      <c r="E2487" s="3" t="str">
        <f>CodePrefix&amp;"ef."&amp;$A2487</f>
        <v>egy.mit.ef.ral.die.nox</v>
      </c>
      <c r="F2487" s="3" t="str">
        <f>CtryReg&amp;".mit.ef."&amp;$A2487</f>
        <v>mea.mit.ef.ral.die.nox</v>
      </c>
      <c r="G2487" s="3" t="str">
        <f>"wld.mit.ef."&amp;$A2487</f>
        <v>wld.mit.ef.ral.die.nox</v>
      </c>
      <c r="H2487" s="3" t="inlineStr">
        <is>
          <t>mea.mit.ef.ral.die.nox</t>
        </is>
      </c>
      <c r="I2487" s="236" t="n">
        <v>46.05480000000001</v>
      </c>
      <c r="J2487" s="236" t="n">
        <v>46.05480000000001</v>
      </c>
    </row>
    <row r="2488">
      <c r="A2488" s="3" t="str">
        <f>$B2488&amp;"."&amp;$C2488&amp;"."&amp;$D2488</f>
        <v>avi.jfu.nox</v>
      </c>
      <c r="B2488" s="8" t="inlineStr">
        <is>
          <t>avi</t>
        </is>
      </c>
      <c r="C2488" s="8" t="inlineStr">
        <is>
          <t>jfu</t>
        </is>
      </c>
      <c r="D2488" s="8" t="inlineStr">
        <is>
          <t>nox</t>
        </is>
      </c>
      <c r="E2488" s="3" t="str">
        <f>CodePrefix&amp;"ef."&amp;$A2488</f>
        <v>egy.mit.ef.avi.jfu.nox</v>
      </c>
      <c r="F2488" s="3" t="str">
        <f>CtryReg&amp;".mit.ef."&amp;$A2488</f>
        <v>mea.mit.ef.avi.jfu.nox</v>
      </c>
      <c r="G2488" s="3" t="str">
        <f>"wld.mit.ef."&amp;$A2488</f>
        <v>wld.mit.ef.avi.jfu.nox</v>
      </c>
      <c r="H2488" s="3" t="inlineStr">
        <is>
          <t>egy.mit.ef.avi.jfu.nox</t>
        </is>
      </c>
      <c r="I2488" s="236" t="n">
        <v>1.25604</v>
      </c>
      <c r="J2488" s="236" t="n">
        <v>1.25604</v>
      </c>
    </row>
    <row r="2489">
      <c r="A2489" s="3" t="str">
        <f>$B2489&amp;"."&amp;$C2489&amp;"."&amp;$D2489</f>
        <v>res.coa.nox</v>
      </c>
      <c r="B2489" s="8" t="inlineStr">
        <is>
          <t>res</t>
        </is>
      </c>
      <c r="C2489" s="8" t="inlineStr">
        <is>
          <t>coa</t>
        </is>
      </c>
      <c r="D2489" s="8" t="inlineStr">
        <is>
          <t>nox</t>
        </is>
      </c>
      <c r="E2489" s="3" t="str">
        <f>CodePrefix&amp;"ef."&amp;$A2489</f>
        <v>egy.mit.ef.res.coa.nox</v>
      </c>
      <c r="F2489" s="3" t="str">
        <f>CtryReg&amp;".mit.ef."&amp;$A2489</f>
        <v>mea.mit.ef.res.coa.nox</v>
      </c>
      <c r="G2489" s="3" t="str">
        <f>"wld.mit.ef."&amp;$A2489</f>
        <v>wld.mit.ef.res.coa.nox</v>
      </c>
      <c r="H2489" s="3" t="inlineStr">
        <is>
          <t>mea.mit.ef.res.coa.nox</t>
        </is>
      </c>
      <c r="I2489" s="236" t="n">
        <v>3.34944</v>
      </c>
      <c r="J2489" s="236" t="n">
        <v>3.34944</v>
      </c>
    </row>
    <row r="2490">
      <c r="A2490" s="3" t="str">
        <f>$B2490&amp;"."&amp;$C2490&amp;"."&amp;$D2490</f>
        <v>res.nga.nox</v>
      </c>
      <c r="B2490" s="8" t="inlineStr">
        <is>
          <t>res</t>
        </is>
      </c>
      <c r="C2490" s="8" t="inlineStr">
        <is>
          <t>nga</t>
        </is>
      </c>
      <c r="D2490" s="8" t="inlineStr">
        <is>
          <t>nox</t>
        </is>
      </c>
      <c r="E2490" s="3" t="str">
        <f>CodePrefix&amp;"ef."&amp;$A2490</f>
        <v>egy.mit.ef.res.nga.nox</v>
      </c>
      <c r="F2490" s="3" t="str">
        <f>CtryReg&amp;".mit.ef."&amp;$A2490</f>
        <v>mea.mit.ef.res.nga.nox</v>
      </c>
      <c r="G2490" s="3" t="str">
        <f>"wld.mit.ef."&amp;$A2490</f>
        <v>wld.mit.ef.res.nga.nox</v>
      </c>
      <c r="H2490" s="3" t="inlineStr">
        <is>
          <t>egy.mit.ef.res.nga.nox</t>
        </is>
      </c>
      <c r="I2490" s="236" t="n">
        <v>2.51208</v>
      </c>
      <c r="J2490" s="236" t="n">
        <v>2.51208</v>
      </c>
    </row>
    <row r="2491">
      <c r="A2491" s="3" t="str">
        <f>$B2491&amp;"."&amp;$C2491&amp;"."&amp;$D2491</f>
        <v>res.oop.nox</v>
      </c>
      <c r="B2491" s="8" t="inlineStr">
        <is>
          <t>res</t>
        </is>
      </c>
      <c r="C2491" s="8" t="inlineStr">
        <is>
          <t>oop</t>
        </is>
      </c>
      <c r="D2491" s="8" t="inlineStr">
        <is>
          <t>nox</t>
        </is>
      </c>
      <c r="E2491" s="3" t="str">
        <f>CodePrefix&amp;"ef."&amp;$A2491</f>
        <v>egy.mit.ef.res.oop.nox</v>
      </c>
      <c r="F2491" s="3" t="str">
        <f>CtryReg&amp;".mit.ef."&amp;$A2491</f>
        <v>mea.mit.ef.res.oop.nox</v>
      </c>
      <c r="G2491" s="3" t="str">
        <f>"wld.mit.ef."&amp;$A2491</f>
        <v>wld.mit.ef.res.oop.nox</v>
      </c>
      <c r="H2491" s="3" t="inlineStr">
        <is>
          <t>wld.mit.ef.res.oop.nox</t>
        </is>
      </c>
      <c r="I2491" s="236" t="n">
        <v>0</v>
      </c>
      <c r="J2491" s="236" t="n">
        <v>0</v>
      </c>
    </row>
    <row r="2492">
      <c r="A2492" s="3" t="str">
        <f>$B2492&amp;"."&amp;$C2492&amp;"."&amp;$D2492</f>
        <v>res.lpg.nox</v>
      </c>
      <c r="B2492" s="8" t="inlineStr">
        <is>
          <t>res</t>
        </is>
      </c>
      <c r="C2492" s="8" t="inlineStr">
        <is>
          <t>lpg</t>
        </is>
      </c>
      <c r="D2492" s="8" t="inlineStr">
        <is>
          <t>nox</t>
        </is>
      </c>
      <c r="E2492" s="3" t="str">
        <f>CodePrefix&amp;"ef."&amp;$A2492</f>
        <v>egy.mit.ef.res.lpg.nox</v>
      </c>
      <c r="F2492" s="3" t="str">
        <f>CtryReg&amp;".mit.ef."&amp;$A2492</f>
        <v>mea.mit.ef.res.lpg.nox</v>
      </c>
      <c r="G2492" s="3" t="str">
        <f>"wld.mit.ef."&amp;$A2492</f>
        <v>wld.mit.ef.res.lpg.nox</v>
      </c>
      <c r="H2492" s="3" t="inlineStr">
        <is>
          <t>mea.mit.ef.res.lpg.nox</t>
        </is>
      </c>
      <c r="I2492" s="236" t="n">
        <v>2.51208</v>
      </c>
      <c r="J2492" s="236" t="n">
        <v>2.51208</v>
      </c>
    </row>
    <row r="2493">
      <c r="A2493" s="3" t="str">
        <f>$B2493&amp;"."&amp;$C2493&amp;"."&amp;$D2493</f>
        <v>res.ker.nox</v>
      </c>
      <c r="B2493" s="8" t="inlineStr">
        <is>
          <t>res</t>
        </is>
      </c>
      <c r="C2493" s="8" t="inlineStr">
        <is>
          <t>ker</t>
        </is>
      </c>
      <c r="D2493" s="8" t="inlineStr">
        <is>
          <t>nox</t>
        </is>
      </c>
      <c r="E2493" s="3" t="str">
        <f>CodePrefix&amp;"ef."&amp;$A2493</f>
        <v>egy.mit.ef.res.ker.nox</v>
      </c>
      <c r="F2493" s="3" t="str">
        <f>CtryReg&amp;".mit.ef."&amp;$A2493</f>
        <v>mea.mit.ef.res.ker.nox</v>
      </c>
      <c r="G2493" s="3" t="str">
        <f>"wld.mit.ef."&amp;$A2493</f>
        <v>wld.mit.ef.res.ker.nox</v>
      </c>
      <c r="H2493" s="3" t="inlineStr">
        <is>
          <t>mea.mit.ef.res.ker.nox</t>
        </is>
      </c>
      <c r="I2493" s="236" t="n">
        <v>2.51208</v>
      </c>
      <c r="J2493" s="236" t="n">
        <v>2.4853975236</v>
      </c>
    </row>
    <row r="2494">
      <c r="A2494" s="3" t="str">
        <f>$B2494&amp;"."&amp;$C2494&amp;"."&amp;$D2494</f>
        <v>res.bio.nox</v>
      </c>
      <c r="B2494" s="8" t="inlineStr">
        <is>
          <t>res</t>
        </is>
      </c>
      <c r="C2494" s="8" t="inlineStr">
        <is>
          <t>bio</t>
        </is>
      </c>
      <c r="D2494" s="8" t="inlineStr">
        <is>
          <t>nox</t>
        </is>
      </c>
      <c r="E2494" s="3" t="str">
        <f>CodePrefix&amp;"ef."&amp;$A2494</f>
        <v>egy.mit.ef.res.bio.nox</v>
      </c>
      <c r="F2494" s="3" t="str">
        <f>CtryReg&amp;".mit.ef."&amp;$A2494</f>
        <v>mea.mit.ef.res.bio.nox</v>
      </c>
      <c r="G2494" s="3" t="str">
        <f>"wld.mit.ef."&amp;$A2494</f>
        <v>wld.mit.ef.res.bio.nox</v>
      </c>
      <c r="H2494" s="3" t="inlineStr">
        <is>
          <t>egy.mit.ef.res.bio.nox</t>
        </is>
      </c>
      <c r="I2494" s="236" t="n">
        <v>2.51208</v>
      </c>
      <c r="J2494" s="236" t="n">
        <v>2.51208</v>
      </c>
    </row>
    <row r="2495">
      <c r="A2495" s="3" t="str">
        <f>$B2495&amp;"."&amp;$C2495&amp;"."&amp;$D2495</f>
        <v>cst.coa.nox</v>
      </c>
      <c r="B2495" s="8" t="inlineStr">
        <is>
          <t>cst</t>
        </is>
      </c>
      <c r="C2495" s="8" t="inlineStr">
        <is>
          <t>coa</t>
        </is>
      </c>
      <c r="D2495" s="8" t="inlineStr">
        <is>
          <t>nox</t>
        </is>
      </c>
      <c r="E2495" s="3" t="str">
        <f>CodePrefix&amp;"ef."&amp;$A2495</f>
        <v>egy.mit.ef.cst.coa.nox</v>
      </c>
      <c r="F2495" s="3" t="str">
        <f>CtryReg&amp;".mit.ef."&amp;$A2495</f>
        <v>mea.mit.ef.cst.coa.nox</v>
      </c>
      <c r="G2495" s="3" t="str">
        <f>"wld.mit.ef."&amp;$A2495</f>
        <v>wld.mit.ef.cst.coa.nox</v>
      </c>
      <c r="H2495" s="3" t="inlineStr">
        <is>
          <t>wld.mit.ef.cst.coa.nox</t>
        </is>
      </c>
      <c r="I2495" s="236" t="n">
        <v>0</v>
      </c>
      <c r="J2495" s="236" t="n">
        <v>0</v>
      </c>
    </row>
    <row r="2496">
      <c r="A2496" s="3" t="str">
        <f>$B2496&amp;"."&amp;$C2496&amp;"."&amp;$D2496</f>
        <v>cst.nga.nox</v>
      </c>
      <c r="B2496" s="8" t="inlineStr">
        <is>
          <t>cst</t>
        </is>
      </c>
      <c r="C2496" s="8" t="inlineStr">
        <is>
          <t>nga</t>
        </is>
      </c>
      <c r="D2496" s="8" t="inlineStr">
        <is>
          <t>nox</t>
        </is>
      </c>
      <c r="E2496" s="3" t="str">
        <f>CodePrefix&amp;"ef."&amp;$A2496</f>
        <v>egy.mit.ef.cst.nga.nox</v>
      </c>
      <c r="F2496" s="3" t="str">
        <f>CtryReg&amp;".mit.ef."&amp;$A2496</f>
        <v>mea.mit.ef.cst.nga.nox</v>
      </c>
      <c r="G2496" s="3" t="str">
        <f>"wld.mit.ef."&amp;$A2496</f>
        <v>wld.mit.ef.cst.nga.nox</v>
      </c>
      <c r="H2496" s="3" t="inlineStr">
        <is>
          <t>wld.mit.ef.cst.nga.nox</t>
        </is>
      </c>
      <c r="I2496" s="236" t="n">
        <v>0</v>
      </c>
      <c r="J2496" s="236" t="n">
        <v>0</v>
      </c>
    </row>
    <row r="2497">
      <c r="A2497" s="3" t="str">
        <f>$B2497&amp;"."&amp;$C2497&amp;"."&amp;$D2497</f>
        <v>cst.oop.nox</v>
      </c>
      <c r="B2497" s="8" t="inlineStr">
        <is>
          <t>cst</t>
        </is>
      </c>
      <c r="C2497" s="8" t="inlineStr">
        <is>
          <t>oop</t>
        </is>
      </c>
      <c r="D2497" s="8" t="inlineStr">
        <is>
          <t>nox</t>
        </is>
      </c>
      <c r="E2497" s="3" t="str">
        <f>CodePrefix&amp;"ef."&amp;$A2497</f>
        <v>egy.mit.ef.cst.oop.nox</v>
      </c>
      <c r="F2497" s="3" t="str">
        <f>CtryReg&amp;".mit.ef."&amp;$A2497</f>
        <v>mea.mit.ef.cst.oop.nox</v>
      </c>
      <c r="G2497" s="3" t="str">
        <f>"wld.mit.ef."&amp;$A2497</f>
        <v>wld.mit.ef.cst.oop.nox</v>
      </c>
      <c r="H2497" s="3" t="inlineStr">
        <is>
          <t>wld.mit.ef.cst.oop.nox</t>
        </is>
      </c>
      <c r="I2497" s="236" t="n">
        <v>0</v>
      </c>
      <c r="J2497" s="236" t="n">
        <v>0</v>
      </c>
    </row>
    <row r="2498">
      <c r="A2498" s="3" t="str">
        <f>$B2498&amp;"."&amp;$C2498&amp;"."&amp;$D2498</f>
        <v>cst.gso.nox</v>
      </c>
      <c r="B2498" s="8" t="inlineStr">
        <is>
          <t>cst</t>
        </is>
      </c>
      <c r="C2498" s="8" t="inlineStr">
        <is>
          <t>gso</t>
        </is>
      </c>
      <c r="D2498" s="8" t="inlineStr">
        <is>
          <t>nox</t>
        </is>
      </c>
      <c r="E2498" s="3" t="str">
        <f>CodePrefix&amp;"ef."&amp;$A2498</f>
        <v>egy.mit.ef.cst.gso.nox</v>
      </c>
      <c r="F2498" s="3" t="str">
        <f>CtryReg&amp;".mit.ef."&amp;$A2498</f>
        <v>mea.mit.ef.cst.gso.nox</v>
      </c>
      <c r="G2498" s="3" t="str">
        <f>"wld.mit.ef."&amp;$A2498</f>
        <v>wld.mit.ef.cst.gso.nox</v>
      </c>
      <c r="H2498" s="3" t="inlineStr">
        <is>
          <t>egy.mit.ef.cst.gso.nox</t>
        </is>
      </c>
      <c r="I2498" s="236" t="n">
        <v>33.49440000000001</v>
      </c>
      <c r="J2498" s="236" t="n">
        <v>33.49440000000001</v>
      </c>
    </row>
    <row r="2499">
      <c r="A2499" s="3" t="str">
        <f>$B2499&amp;"."&amp;$C2499&amp;"."&amp;$D2499</f>
        <v>cst.die.nox</v>
      </c>
      <c r="B2499" s="8" t="inlineStr">
        <is>
          <t>cst</t>
        </is>
      </c>
      <c r="C2499" s="8" t="inlineStr">
        <is>
          <t>die</t>
        </is>
      </c>
      <c r="D2499" s="8" t="inlineStr">
        <is>
          <t>nox</t>
        </is>
      </c>
      <c r="E2499" s="3" t="str">
        <f>CodePrefix&amp;"ef."&amp;$A2499</f>
        <v>egy.mit.ef.cst.die.nox</v>
      </c>
      <c r="F2499" s="3" t="str">
        <f>CtryReg&amp;".mit.ef."&amp;$A2499</f>
        <v>mea.mit.ef.cst.die.nox</v>
      </c>
      <c r="G2499" s="3" t="str">
        <f>"wld.mit.ef."&amp;$A2499</f>
        <v>wld.mit.ef.cst.die.nox</v>
      </c>
      <c r="H2499" s="3" t="inlineStr">
        <is>
          <t>egy.mit.ef.cst.die.nox</t>
        </is>
      </c>
      <c r="I2499" s="236" t="n">
        <v>46.05480000000001</v>
      </c>
      <c r="J2499" s="236" t="n">
        <v>46.05480000000001</v>
      </c>
    </row>
    <row r="2500">
      <c r="A2500" s="3" t="str">
        <f>$B2500&amp;"."&amp;$C2500&amp;"."&amp;$D2500</f>
        <v>cst.lpg.nox</v>
      </c>
      <c r="B2500" s="8" t="inlineStr">
        <is>
          <t>cst</t>
        </is>
      </c>
      <c r="C2500" s="8" t="inlineStr">
        <is>
          <t>lpg</t>
        </is>
      </c>
      <c r="D2500" s="8" t="inlineStr">
        <is>
          <t>nox</t>
        </is>
      </c>
      <c r="E2500" s="3" t="str">
        <f>CodePrefix&amp;"ef."&amp;$A2500</f>
        <v>egy.mit.ef.cst.lpg.nox</v>
      </c>
      <c r="F2500" s="3" t="str">
        <f>CtryReg&amp;".mit.ef."&amp;$A2500</f>
        <v>mea.mit.ef.cst.lpg.nox</v>
      </c>
      <c r="G2500" s="3" t="str">
        <f>"wld.mit.ef."&amp;$A2500</f>
        <v>wld.mit.ef.cst.lpg.nox</v>
      </c>
      <c r="H2500" s="3" t="inlineStr">
        <is>
          <t>egy.mit.ef.cst.lpg.nox</t>
        </is>
      </c>
      <c r="I2500" s="236" t="n">
        <v>33.49440000000001</v>
      </c>
      <c r="J2500" s="236" t="n">
        <v>33.49440000000001</v>
      </c>
    </row>
    <row r="2501">
      <c r="A2501" s="3" t="str">
        <f>$B2501&amp;"."&amp;$C2501&amp;"."&amp;$D2501</f>
        <v>cst.ker.nox</v>
      </c>
      <c r="B2501" s="8" t="inlineStr">
        <is>
          <t>cst</t>
        </is>
      </c>
      <c r="C2501" s="8" t="inlineStr">
        <is>
          <t>ker</t>
        </is>
      </c>
      <c r="D2501" s="8" t="inlineStr">
        <is>
          <t>nox</t>
        </is>
      </c>
      <c r="E2501" s="3" t="str">
        <f>CodePrefix&amp;"ef."&amp;$A2501</f>
        <v>egy.mit.ef.cst.ker.nox</v>
      </c>
      <c r="F2501" s="3" t="str">
        <f>CtryReg&amp;".mit.ef."&amp;$A2501</f>
        <v>mea.mit.ef.cst.ker.nox</v>
      </c>
      <c r="G2501" s="3" t="str">
        <f>"wld.mit.ef."&amp;$A2501</f>
        <v>wld.mit.ef.cst.ker.nox</v>
      </c>
      <c r="H2501" s="3" t="inlineStr">
        <is>
          <t>egy.mit.ef.cst.ker.nox</t>
        </is>
      </c>
      <c r="I2501" s="236" t="n">
        <v>33.49440000000001</v>
      </c>
      <c r="J2501" s="236" t="n">
        <v>33.49440000000001</v>
      </c>
    </row>
    <row r="2502">
      <c r="A2502" s="3" t="str">
        <f>$B2502&amp;"."&amp;$C2502&amp;"."&amp;$D2502</f>
        <v>cst.bio.nox</v>
      </c>
      <c r="B2502" s="8" t="inlineStr">
        <is>
          <t>cst</t>
        </is>
      </c>
      <c r="C2502" s="8" t="inlineStr">
        <is>
          <t>bio</t>
        </is>
      </c>
      <c r="D2502" s="8" t="inlineStr">
        <is>
          <t>nox</t>
        </is>
      </c>
      <c r="E2502" s="3" t="str">
        <f>CodePrefix&amp;"ef."&amp;$A2502</f>
        <v>egy.mit.ef.cst.bio.nox</v>
      </c>
      <c r="F2502" s="3" t="str">
        <f>CtryReg&amp;".mit.ef."&amp;$A2502</f>
        <v>mea.mit.ef.cst.bio.nox</v>
      </c>
      <c r="G2502" s="3" t="str">
        <f>"wld.mit.ef."&amp;$A2502</f>
        <v>wld.mit.ef.cst.bio.nox</v>
      </c>
      <c r="H2502" s="3" t="inlineStr">
        <is>
          <t>wld.mit.ef.cst.bio.nox</t>
        </is>
      </c>
      <c r="I2502" s="236" t="n">
        <v>0</v>
      </c>
      <c r="J2502" s="236" t="n">
        <v>0</v>
      </c>
    </row>
    <row r="2503">
      <c r="A2503" s="3" t="str">
        <f>$B2503&amp;"."&amp;$C2503&amp;"."&amp;$D2503</f>
        <v>srv.coa.nox</v>
      </c>
      <c r="B2503" s="8" t="inlineStr">
        <is>
          <t>srv</t>
        </is>
      </c>
      <c r="C2503" s="8" t="inlineStr">
        <is>
          <t>coa</t>
        </is>
      </c>
      <c r="D2503" s="8" t="inlineStr">
        <is>
          <t>nox</t>
        </is>
      </c>
      <c r="E2503" s="3" t="str">
        <f>CodePrefix&amp;"ef."&amp;$A2503</f>
        <v>egy.mit.ef.srv.coa.nox</v>
      </c>
      <c r="F2503" s="3" t="str">
        <f>CtryReg&amp;".mit.ef."&amp;$A2503</f>
        <v>mea.mit.ef.srv.coa.nox</v>
      </c>
      <c r="G2503" s="3" t="str">
        <f>"wld.mit.ef."&amp;$A2503</f>
        <v>wld.mit.ef.srv.coa.nox</v>
      </c>
      <c r="H2503" s="3" t="inlineStr">
        <is>
          <t>wld.mit.ef.srv.coa.nox</t>
        </is>
      </c>
      <c r="I2503" s="236" t="n">
        <v>0</v>
      </c>
      <c r="J2503" s="236" t="n">
        <v>0</v>
      </c>
    </row>
    <row r="2504">
      <c r="A2504" s="3" t="str">
        <f>$B2504&amp;"."&amp;$C2504&amp;"."&amp;$D2504</f>
        <v>srv.nga.nox</v>
      </c>
      <c r="B2504" s="8" t="inlineStr">
        <is>
          <t>srv</t>
        </is>
      </c>
      <c r="C2504" s="8" t="inlineStr">
        <is>
          <t>nga</t>
        </is>
      </c>
      <c r="D2504" s="8" t="inlineStr">
        <is>
          <t>nox</t>
        </is>
      </c>
      <c r="E2504" s="3" t="str">
        <f>CodePrefix&amp;"ef."&amp;$A2504</f>
        <v>egy.mit.ef.srv.nga.nox</v>
      </c>
      <c r="F2504" s="3" t="str">
        <f>CtryReg&amp;".mit.ef."&amp;$A2504</f>
        <v>mea.mit.ef.srv.nga.nox</v>
      </c>
      <c r="G2504" s="3" t="str">
        <f>"wld.mit.ef."&amp;$A2504</f>
        <v>wld.mit.ef.srv.nga.nox</v>
      </c>
      <c r="H2504" s="3" t="inlineStr">
        <is>
          <t>mea.mit.ef.srv.nga.nox</t>
        </is>
      </c>
      <c r="I2504" s="236" t="n">
        <v>2.51208</v>
      </c>
      <c r="J2504" s="236" t="n">
        <v>2.51208</v>
      </c>
    </row>
    <row r="2505">
      <c r="A2505" s="3" t="str">
        <f>$B2505&amp;"."&amp;$C2505&amp;"."&amp;$D2505</f>
        <v>srv.oop.nox</v>
      </c>
      <c r="B2505" s="8" t="inlineStr">
        <is>
          <t>srv</t>
        </is>
      </c>
      <c r="C2505" s="8" t="inlineStr">
        <is>
          <t>oop</t>
        </is>
      </c>
      <c r="D2505" s="8" t="inlineStr">
        <is>
          <t>nox</t>
        </is>
      </c>
      <c r="E2505" s="3" t="str">
        <f>CodePrefix&amp;"ef."&amp;$A2505</f>
        <v>egy.mit.ef.srv.oop.nox</v>
      </c>
      <c r="F2505" s="3" t="str">
        <f>CtryReg&amp;".mit.ef."&amp;$A2505</f>
        <v>mea.mit.ef.srv.oop.nox</v>
      </c>
      <c r="G2505" s="3" t="str">
        <f>"wld.mit.ef."&amp;$A2505</f>
        <v>wld.mit.ef.srv.oop.nox</v>
      </c>
      <c r="H2505" s="3" t="inlineStr">
        <is>
          <t>mea.mit.ef.srv.oop.nox</t>
        </is>
      </c>
      <c r="I2505" s="236" t="n">
        <v>6.698880000000001</v>
      </c>
      <c r="J2505" s="236" t="n">
        <v>6.698880000000001</v>
      </c>
    </row>
    <row r="2506">
      <c r="A2506" s="3" t="str">
        <f>$B2506&amp;"."&amp;$C2506&amp;"."&amp;$D2506</f>
        <v>srv.gso.nox</v>
      </c>
      <c r="B2506" s="8" t="inlineStr">
        <is>
          <t>srv</t>
        </is>
      </c>
      <c r="C2506" s="8" t="inlineStr">
        <is>
          <t>gso</t>
        </is>
      </c>
      <c r="D2506" s="8" t="inlineStr">
        <is>
          <t>nox</t>
        </is>
      </c>
      <c r="E2506" s="3" t="str">
        <f>CodePrefix&amp;"ef."&amp;$A2506</f>
        <v>egy.mit.ef.srv.gso.nox</v>
      </c>
      <c r="F2506" s="3" t="str">
        <f>CtryReg&amp;".mit.ef."&amp;$A2506</f>
        <v>mea.mit.ef.srv.gso.nox</v>
      </c>
      <c r="G2506" s="3" t="str">
        <f>"wld.mit.ef."&amp;$A2506</f>
        <v>wld.mit.ef.srv.gso.nox</v>
      </c>
      <c r="H2506" s="3" t="inlineStr">
        <is>
          <t>mea.mit.ef.srv.gso.nox</t>
        </is>
      </c>
      <c r="I2506" s="236" t="n">
        <v>2.51208</v>
      </c>
      <c r="J2506" s="236" t="n">
        <v>2.51208</v>
      </c>
    </row>
    <row r="2507">
      <c r="A2507" s="3" t="str">
        <f>$B2507&amp;"."&amp;$C2507&amp;"."&amp;$D2507</f>
        <v>srv.die.nox</v>
      </c>
      <c r="B2507" s="8" t="inlineStr">
        <is>
          <t>srv</t>
        </is>
      </c>
      <c r="C2507" s="8" t="inlineStr">
        <is>
          <t>die</t>
        </is>
      </c>
      <c r="D2507" s="8" t="inlineStr">
        <is>
          <t>nox</t>
        </is>
      </c>
      <c r="E2507" s="3" t="str">
        <f>CodePrefix&amp;"ef."&amp;$A2507</f>
        <v>egy.mit.ef.srv.die.nox</v>
      </c>
      <c r="F2507" s="3" t="str">
        <f>CtryReg&amp;".mit.ef."&amp;$A2507</f>
        <v>mea.mit.ef.srv.die.nox</v>
      </c>
      <c r="G2507" s="3" t="str">
        <f>"wld.mit.ef."&amp;$A2507</f>
        <v>wld.mit.ef.srv.die.nox</v>
      </c>
      <c r="H2507" s="3" t="inlineStr">
        <is>
          <t>mea.mit.ef.srv.die.nox</t>
        </is>
      </c>
      <c r="I2507" s="236" t="n">
        <v>2.51208</v>
      </c>
      <c r="J2507" s="236" t="n">
        <v>2.51208</v>
      </c>
    </row>
    <row r="2508">
      <c r="A2508" s="3" t="str">
        <f>$B2508&amp;"."&amp;$C2508&amp;"."&amp;$D2508</f>
        <v>srv.lpg.nox</v>
      </c>
      <c r="B2508" s="8" t="inlineStr">
        <is>
          <t>srv</t>
        </is>
      </c>
      <c r="C2508" s="8" t="inlineStr">
        <is>
          <t>lpg</t>
        </is>
      </c>
      <c r="D2508" s="8" t="inlineStr">
        <is>
          <t>nox</t>
        </is>
      </c>
      <c r="E2508" s="3" t="str">
        <f>CodePrefix&amp;"ef."&amp;$A2508</f>
        <v>egy.mit.ef.srv.lpg.nox</v>
      </c>
      <c r="F2508" s="3" t="str">
        <f>CtryReg&amp;".mit.ef."&amp;$A2508</f>
        <v>mea.mit.ef.srv.lpg.nox</v>
      </c>
      <c r="G2508" s="3" t="str">
        <f>"wld.mit.ef."&amp;$A2508</f>
        <v>wld.mit.ef.srv.lpg.nox</v>
      </c>
      <c r="H2508" s="3" t="inlineStr">
        <is>
          <t>mea.mit.ef.srv.lpg.nox</t>
        </is>
      </c>
      <c r="I2508" s="236" t="n">
        <v>2.51208</v>
      </c>
      <c r="J2508" s="236" t="n">
        <v>2.51208</v>
      </c>
    </row>
    <row r="2509">
      <c r="A2509" s="3" t="str">
        <f>$B2509&amp;"."&amp;$C2509&amp;"."&amp;$D2509</f>
        <v>srv.ker.nox</v>
      </c>
      <c r="B2509" s="8" t="inlineStr">
        <is>
          <t>srv</t>
        </is>
      </c>
      <c r="C2509" s="8" t="inlineStr">
        <is>
          <t>ker</t>
        </is>
      </c>
      <c r="D2509" s="8" t="inlineStr">
        <is>
          <t>nox</t>
        </is>
      </c>
      <c r="E2509" s="3" t="str">
        <f>CodePrefix&amp;"ef."&amp;$A2509</f>
        <v>egy.mit.ef.srv.ker.nox</v>
      </c>
      <c r="F2509" s="3" t="str">
        <f>CtryReg&amp;".mit.ef."&amp;$A2509</f>
        <v>mea.mit.ef.srv.ker.nox</v>
      </c>
      <c r="G2509" s="3" t="str">
        <f>"wld.mit.ef."&amp;$A2509</f>
        <v>wld.mit.ef.srv.ker.nox</v>
      </c>
      <c r="H2509" s="3" t="inlineStr">
        <is>
          <t>mea.mit.ef.srv.ker.nox</t>
        </is>
      </c>
      <c r="I2509" s="236" t="n">
        <v>2.51208</v>
      </c>
      <c r="J2509" s="236" t="n">
        <v>2.51208</v>
      </c>
    </row>
    <row r="2510">
      <c r="A2510" s="3" t="str">
        <f>$B2510&amp;"."&amp;$C2510&amp;"."&amp;$D2510</f>
        <v>srv.bio.nox</v>
      </c>
      <c r="B2510" s="8" t="inlineStr">
        <is>
          <t>srv</t>
        </is>
      </c>
      <c r="C2510" s="8" t="inlineStr">
        <is>
          <t>bio</t>
        </is>
      </c>
      <c r="D2510" s="8" t="inlineStr">
        <is>
          <t>nox</t>
        </is>
      </c>
      <c r="E2510" s="3" t="str">
        <f>CodePrefix&amp;"ef."&amp;$A2510</f>
        <v>egy.mit.ef.srv.bio.nox</v>
      </c>
      <c r="F2510" s="3" t="str">
        <f>CtryReg&amp;".mit.ef."&amp;$A2510</f>
        <v>mea.mit.ef.srv.bio.nox</v>
      </c>
      <c r="G2510" s="3" t="str">
        <f>"wld.mit.ef."&amp;$A2510</f>
        <v>wld.mit.ef.srv.bio.nox</v>
      </c>
      <c r="H2510" s="3" t="inlineStr">
        <is>
          <t>mea.mit.ef.srv.bio.nox</t>
        </is>
      </c>
      <c r="I2510" s="236" t="n">
        <v>2.51208</v>
      </c>
      <c r="J2510" s="236" t="n">
        <v>2.51208</v>
      </c>
    </row>
    <row r="2511">
      <c r="A2511" s="3" t="str">
        <f>$B2511&amp;"."&amp;$C2511&amp;"."&amp;$D2511</f>
        <v>mnf.coa.nox</v>
      </c>
      <c r="B2511" s="8" t="inlineStr">
        <is>
          <t>mnf</t>
        </is>
      </c>
      <c r="C2511" s="8" t="inlineStr">
        <is>
          <t>coa</t>
        </is>
      </c>
      <c r="D2511" s="8" t="inlineStr">
        <is>
          <t>nox</t>
        </is>
      </c>
      <c r="E2511" s="3" t="str">
        <f>CodePrefix&amp;"ef."&amp;$A2511</f>
        <v>egy.mit.ef.mnf.coa.nox</v>
      </c>
      <c r="F2511" s="3" t="str">
        <f>CtryReg&amp;".mit.ef."&amp;$A2511</f>
        <v>mea.mit.ef.mnf.coa.nox</v>
      </c>
      <c r="G2511" s="3" t="str">
        <f>"wld.mit.ef."&amp;$A2511</f>
        <v>wld.mit.ef.mnf.coa.nox</v>
      </c>
      <c r="H2511" s="3" t="inlineStr">
        <is>
          <t>egy.mit.ef.mnf.coa.nox</t>
        </is>
      </c>
      <c r="I2511" s="236" t="n">
        <v>1.2560441868</v>
      </c>
      <c r="J2511" s="236" t="n">
        <v>1.25604</v>
      </c>
    </row>
    <row r="2512">
      <c r="A2512" s="3" t="str">
        <f>$B2512&amp;"."&amp;$C2512&amp;"."&amp;$D2512</f>
        <v>mnf.nga.nox</v>
      </c>
      <c r="B2512" s="8" t="inlineStr">
        <is>
          <t>mnf</t>
        </is>
      </c>
      <c r="C2512" s="8" t="inlineStr">
        <is>
          <t>nga</t>
        </is>
      </c>
      <c r="D2512" s="8" t="inlineStr">
        <is>
          <t>nox</t>
        </is>
      </c>
      <c r="E2512" s="3" t="str">
        <f>CodePrefix&amp;"ef."&amp;$A2512</f>
        <v>egy.mit.ef.mnf.nga.nox</v>
      </c>
      <c r="F2512" s="3" t="str">
        <f>CtryReg&amp;".mit.ef."&amp;$A2512</f>
        <v>mea.mit.ef.mnf.nga.nox</v>
      </c>
      <c r="G2512" s="3" t="str">
        <f>"wld.mit.ef."&amp;$A2512</f>
        <v>wld.mit.ef.mnf.nga.nox</v>
      </c>
      <c r="H2512" s="3" t="inlineStr">
        <is>
          <t>egy.mit.ef.mnf.nga.nox</t>
        </is>
      </c>
      <c r="I2512" s="236" t="n">
        <v>4.186800000000001</v>
      </c>
      <c r="J2512" s="236" t="n">
        <v>4.186611594</v>
      </c>
    </row>
    <row r="2513">
      <c r="A2513" s="3" t="str">
        <f>$B2513&amp;"."&amp;$C2513&amp;"."&amp;$D2513</f>
        <v>mnf.oop.nox</v>
      </c>
      <c r="B2513" s="8" t="inlineStr">
        <is>
          <t>mnf</t>
        </is>
      </c>
      <c r="C2513" s="8" t="inlineStr">
        <is>
          <t>oop</t>
        </is>
      </c>
      <c r="D2513" s="8" t="inlineStr">
        <is>
          <t>nox</t>
        </is>
      </c>
      <c r="E2513" s="3" t="str">
        <f>CodePrefix&amp;"ef."&amp;$A2513</f>
        <v>egy.mit.ef.mnf.oop.nox</v>
      </c>
      <c r="F2513" s="3" t="str">
        <f>CtryReg&amp;".mit.ef."&amp;$A2513</f>
        <v>mea.mit.ef.mnf.oop.nox</v>
      </c>
      <c r="G2513" s="3" t="str">
        <f>"wld.mit.ef."&amp;$A2513</f>
        <v>wld.mit.ef.mnf.oop.nox</v>
      </c>
      <c r="H2513" s="3" t="inlineStr">
        <is>
          <t>egy.mit.ef.mnf.oop.nox</t>
        </is>
      </c>
      <c r="I2513" s="236" t="n">
        <v>7.95492</v>
      </c>
      <c r="J2513" s="236" t="n">
        <v>6.173939016</v>
      </c>
    </row>
    <row r="2514">
      <c r="A2514" s="3" t="str">
        <f>$B2514&amp;"."&amp;$C2514&amp;"."&amp;$D2514</f>
        <v>mnf.gso.nox</v>
      </c>
      <c r="B2514" s="8" t="inlineStr">
        <is>
          <t>mnf</t>
        </is>
      </c>
      <c r="C2514" s="8" t="inlineStr">
        <is>
          <t>gso</t>
        </is>
      </c>
      <c r="D2514" s="8" t="inlineStr">
        <is>
          <t>nox</t>
        </is>
      </c>
      <c r="E2514" s="3" t="str">
        <f>CodePrefix&amp;"ef."&amp;$A2514</f>
        <v>egy.mit.ef.mnf.gso.nox</v>
      </c>
      <c r="F2514" s="3" t="str">
        <f>CtryReg&amp;".mit.ef."&amp;$A2514</f>
        <v>mea.mit.ef.mnf.gso.nox</v>
      </c>
      <c r="G2514" s="3" t="str">
        <f>"wld.mit.ef."&amp;$A2514</f>
        <v>wld.mit.ef.mnf.gso.nox</v>
      </c>
      <c r="H2514" s="3" t="inlineStr">
        <is>
          <t>egy.mit.ef.mnf.gso.nox</t>
        </is>
      </c>
      <c r="I2514" s="236" t="n">
        <v>2.93076</v>
      </c>
      <c r="J2514" s="236" t="n">
        <v>2.93076</v>
      </c>
    </row>
    <row r="2515">
      <c r="A2515" s="3" t="str">
        <f>$B2515&amp;"."&amp;$C2515&amp;"."&amp;$D2515</f>
        <v>mnf.die.nox</v>
      </c>
      <c r="B2515" s="8" t="inlineStr">
        <is>
          <t>mnf</t>
        </is>
      </c>
      <c r="C2515" s="8" t="inlineStr">
        <is>
          <t>die</t>
        </is>
      </c>
      <c r="D2515" s="8" t="inlineStr">
        <is>
          <t>nox</t>
        </is>
      </c>
      <c r="E2515" s="3" t="str">
        <f>CodePrefix&amp;"ef."&amp;$A2515</f>
        <v>egy.mit.ef.mnf.die.nox</v>
      </c>
      <c r="F2515" s="3" t="str">
        <f>CtryReg&amp;".mit.ef."&amp;$A2515</f>
        <v>mea.mit.ef.mnf.die.nox</v>
      </c>
      <c r="G2515" s="3" t="str">
        <f>"wld.mit.ef."&amp;$A2515</f>
        <v>wld.mit.ef.mnf.die.nox</v>
      </c>
      <c r="H2515" s="3" t="inlineStr">
        <is>
          <t>egy.mit.ef.mnf.die.nox</t>
        </is>
      </c>
      <c r="I2515" s="236" t="n">
        <v>6.2802</v>
      </c>
      <c r="J2515" s="236" t="n">
        <v>6.2802</v>
      </c>
    </row>
    <row r="2516">
      <c r="A2516" s="3" t="str">
        <f>$B2516&amp;"."&amp;$C2516&amp;"."&amp;$D2516</f>
        <v>mnf.lpg.nox</v>
      </c>
      <c r="B2516" s="8" t="inlineStr">
        <is>
          <t>mnf</t>
        </is>
      </c>
      <c r="C2516" s="8" t="inlineStr">
        <is>
          <t>lpg</t>
        </is>
      </c>
      <c r="D2516" s="8" t="inlineStr">
        <is>
          <t>nox</t>
        </is>
      </c>
      <c r="E2516" s="3" t="str">
        <f>CodePrefix&amp;"ef."&amp;$A2516</f>
        <v>egy.mit.ef.mnf.lpg.nox</v>
      </c>
      <c r="F2516" s="3" t="str">
        <f>CtryReg&amp;".mit.ef."&amp;$A2516</f>
        <v>mea.mit.ef.mnf.lpg.nox</v>
      </c>
      <c r="G2516" s="3" t="str">
        <f>"wld.mit.ef."&amp;$A2516</f>
        <v>wld.mit.ef.mnf.lpg.nox</v>
      </c>
      <c r="H2516" s="3" t="inlineStr">
        <is>
          <t>mea.mit.ef.mnf.lpg.nox</t>
        </is>
      </c>
      <c r="I2516" s="236" t="n">
        <v>2.93076</v>
      </c>
      <c r="J2516" s="236" t="n">
        <v>2.93076</v>
      </c>
    </row>
    <row r="2517">
      <c r="A2517" s="3" t="str">
        <f>$B2517&amp;"."&amp;$C2517&amp;"."&amp;$D2517</f>
        <v>mnf.ker.nox</v>
      </c>
      <c r="B2517" s="8" t="inlineStr">
        <is>
          <t>mnf</t>
        </is>
      </c>
      <c r="C2517" s="8" t="inlineStr">
        <is>
          <t>ker</t>
        </is>
      </c>
      <c r="D2517" s="8" t="inlineStr">
        <is>
          <t>nox</t>
        </is>
      </c>
      <c r="E2517" s="3" t="str">
        <f>CodePrefix&amp;"ef."&amp;$A2517</f>
        <v>egy.mit.ef.mnf.ker.nox</v>
      </c>
      <c r="F2517" s="3" t="str">
        <f>CtryReg&amp;".mit.ef."&amp;$A2517</f>
        <v>mea.mit.ef.mnf.ker.nox</v>
      </c>
      <c r="G2517" s="3" t="str">
        <f>"wld.mit.ef."&amp;$A2517</f>
        <v>wld.mit.ef.mnf.ker.nox</v>
      </c>
      <c r="H2517" s="3" t="inlineStr">
        <is>
          <t>egy.mit.ef.mnf.ker.nox</t>
        </is>
      </c>
      <c r="I2517" s="236" t="n">
        <v>2.93076</v>
      </c>
      <c r="J2517" s="236" t="n">
        <v>2.93076</v>
      </c>
    </row>
    <row r="2518">
      <c r="A2518" s="3" t="str">
        <f>$B2518&amp;"."&amp;$C2518&amp;"."&amp;$D2518</f>
        <v>mnf.bio.nox</v>
      </c>
      <c r="B2518" s="8" t="inlineStr">
        <is>
          <t>mnf</t>
        </is>
      </c>
      <c r="C2518" s="8" t="inlineStr">
        <is>
          <t>bio</t>
        </is>
      </c>
      <c r="D2518" s="8" t="inlineStr">
        <is>
          <t>nox</t>
        </is>
      </c>
      <c r="E2518" s="3" t="str">
        <f>CodePrefix&amp;"ef."&amp;$A2518</f>
        <v>egy.mit.ef.mnf.bio.nox</v>
      </c>
      <c r="F2518" s="3" t="str">
        <f>CtryReg&amp;".mit.ef."&amp;$A2518</f>
        <v>mea.mit.ef.mnf.bio.nox</v>
      </c>
      <c r="G2518" s="3" t="str">
        <f>"wld.mit.ef."&amp;$A2518</f>
        <v>wld.mit.ef.mnf.bio.nox</v>
      </c>
      <c r="H2518" s="3" t="inlineStr">
        <is>
          <t>mea.mit.ef.mnf.bio.nox</t>
        </is>
      </c>
      <c r="I2518" s="236" t="n">
        <v>5.44284</v>
      </c>
      <c r="J2518" s="236" t="n">
        <v>5.44284</v>
      </c>
    </row>
    <row r="2519">
      <c r="A2519" s="3" t="str">
        <f>$B2519&amp;"."&amp;$C2519&amp;"."&amp;$D2519</f>
        <v>omn.coa.nox</v>
      </c>
      <c r="B2519" s="8" t="inlineStr">
        <is>
          <t>omn</t>
        </is>
      </c>
      <c r="C2519" s="8" t="inlineStr">
        <is>
          <t>coa</t>
        </is>
      </c>
      <c r="D2519" s="8" t="inlineStr">
        <is>
          <t>nox</t>
        </is>
      </c>
      <c r="E2519" s="3" t="str">
        <f>CodePrefix&amp;"ef."&amp;$A2519</f>
        <v>egy.mit.ef.omn.coa.nox</v>
      </c>
      <c r="F2519" s="3" t="str">
        <f>CtryReg&amp;".mit.ef."&amp;$A2519</f>
        <v>mea.mit.ef.omn.coa.nox</v>
      </c>
      <c r="G2519" s="3" t="str">
        <f>"wld.mit.ef."&amp;$A2519</f>
        <v>wld.mit.ef.omn.coa.nox</v>
      </c>
      <c r="H2519" s="3" t="inlineStr">
        <is>
          <t>wld.mit.ef.omn.coa.nox</t>
        </is>
      </c>
      <c r="I2519" s="236" t="n">
        <v>0</v>
      </c>
      <c r="J2519" s="236" t="n">
        <v>0</v>
      </c>
    </row>
    <row r="2520">
      <c r="A2520" s="3" t="str">
        <f>$B2520&amp;"."&amp;$C2520&amp;"."&amp;$D2520</f>
        <v>omn.nga.nox</v>
      </c>
      <c r="B2520" s="8" t="inlineStr">
        <is>
          <t>omn</t>
        </is>
      </c>
      <c r="C2520" s="8" t="inlineStr">
        <is>
          <t>nga</t>
        </is>
      </c>
      <c r="D2520" s="8" t="inlineStr">
        <is>
          <t>nox</t>
        </is>
      </c>
      <c r="E2520" s="3" t="str">
        <f>CodePrefix&amp;"ef."&amp;$A2520</f>
        <v>egy.mit.ef.omn.nga.nox</v>
      </c>
      <c r="F2520" s="3" t="str">
        <f>CtryReg&amp;".mit.ef."&amp;$A2520</f>
        <v>mea.mit.ef.omn.nga.nox</v>
      </c>
      <c r="G2520" s="3" t="str">
        <f>"wld.mit.ef."&amp;$A2520</f>
        <v>wld.mit.ef.omn.nga.nox</v>
      </c>
      <c r="H2520" s="3" t="inlineStr">
        <is>
          <t>egy.mit.ef.omn.nga.nox</t>
        </is>
      </c>
      <c r="I2520" s="236" t="n">
        <v>4.186800000000001</v>
      </c>
      <c r="J2520" s="236" t="n">
        <v>4.186800000000001</v>
      </c>
    </row>
    <row r="2521">
      <c r="A2521" s="3" t="str">
        <f>$B2521&amp;"."&amp;$C2521&amp;"."&amp;$D2521</f>
        <v>omn.oop.nox</v>
      </c>
      <c r="B2521" s="8" t="inlineStr">
        <is>
          <t>omn</t>
        </is>
      </c>
      <c r="C2521" s="8" t="inlineStr">
        <is>
          <t>oop</t>
        </is>
      </c>
      <c r="D2521" s="8" t="inlineStr">
        <is>
          <t>nox</t>
        </is>
      </c>
      <c r="E2521" s="3" t="str">
        <f>CodePrefix&amp;"ef."&amp;$A2521</f>
        <v>egy.mit.ef.omn.oop.nox</v>
      </c>
      <c r="F2521" s="3" t="str">
        <f>CtryReg&amp;".mit.ef."&amp;$A2521</f>
        <v>mea.mit.ef.omn.oop.nox</v>
      </c>
      <c r="G2521" s="3" t="str">
        <f>"wld.mit.ef."&amp;$A2521</f>
        <v>wld.mit.ef.omn.oop.nox</v>
      </c>
      <c r="H2521" s="3" t="inlineStr">
        <is>
          <t>egy.mit.ef.omn.oop.nox</t>
        </is>
      </c>
      <c r="I2521" s="236" t="n">
        <v>7.95492</v>
      </c>
      <c r="J2521" s="236" t="n">
        <v>4.772952</v>
      </c>
    </row>
    <row r="2522">
      <c r="A2522" s="3" t="str">
        <f>$B2522&amp;"."&amp;$C2522&amp;"."&amp;$D2522</f>
        <v>omn.gso.nox</v>
      </c>
      <c r="B2522" s="8" t="inlineStr">
        <is>
          <t>omn</t>
        </is>
      </c>
      <c r="C2522" s="8" t="inlineStr">
        <is>
          <t>gso</t>
        </is>
      </c>
      <c r="D2522" s="8" t="inlineStr">
        <is>
          <t>nox</t>
        </is>
      </c>
      <c r="E2522" s="3" t="str">
        <f>CodePrefix&amp;"ef."&amp;$A2522</f>
        <v>egy.mit.ef.omn.gso.nox</v>
      </c>
      <c r="F2522" s="3" t="str">
        <f>CtryReg&amp;".mit.ef."&amp;$A2522</f>
        <v>mea.mit.ef.omn.gso.nox</v>
      </c>
      <c r="G2522" s="3" t="str">
        <f>"wld.mit.ef."&amp;$A2522</f>
        <v>wld.mit.ef.omn.gso.nox</v>
      </c>
      <c r="H2522" s="3" t="inlineStr">
        <is>
          <t>egy.mit.ef.omn.gso.nox</t>
        </is>
      </c>
      <c r="I2522" s="236" t="n">
        <v>2.93076</v>
      </c>
      <c r="J2522" s="236" t="n">
        <v>2.93076</v>
      </c>
    </row>
    <row r="2523">
      <c r="A2523" s="3" t="str">
        <f>$B2523&amp;"."&amp;$C2523&amp;"."&amp;$D2523</f>
        <v>omn.die.nox</v>
      </c>
      <c r="B2523" s="8" t="inlineStr">
        <is>
          <t>omn</t>
        </is>
      </c>
      <c r="C2523" s="8" t="inlineStr">
        <is>
          <t>die</t>
        </is>
      </c>
      <c r="D2523" s="8" t="inlineStr">
        <is>
          <t>nox</t>
        </is>
      </c>
      <c r="E2523" s="3" t="str">
        <f>CodePrefix&amp;"ef."&amp;$A2523</f>
        <v>egy.mit.ef.omn.die.nox</v>
      </c>
      <c r="F2523" s="3" t="str">
        <f>CtryReg&amp;".mit.ef."&amp;$A2523</f>
        <v>mea.mit.ef.omn.die.nox</v>
      </c>
      <c r="G2523" s="3" t="str">
        <f>"wld.mit.ef."&amp;$A2523</f>
        <v>wld.mit.ef.omn.die.nox</v>
      </c>
      <c r="H2523" s="3" t="inlineStr">
        <is>
          <t>mea.mit.ef.omn.die.nox</t>
        </is>
      </c>
      <c r="I2523" s="236" t="n">
        <v>6.2802</v>
      </c>
      <c r="J2523" s="236" t="n">
        <v>6.2802</v>
      </c>
    </row>
    <row r="2524">
      <c r="A2524" s="3" t="str">
        <f>$B2524&amp;"."&amp;$C2524&amp;"."&amp;$D2524</f>
        <v>omn.lpg.nox</v>
      </c>
      <c r="B2524" s="8" t="inlineStr">
        <is>
          <t>omn</t>
        </is>
      </c>
      <c r="C2524" s="8" t="inlineStr">
        <is>
          <t>lpg</t>
        </is>
      </c>
      <c r="D2524" s="8" t="inlineStr">
        <is>
          <t>nox</t>
        </is>
      </c>
      <c r="E2524" s="3" t="str">
        <f>CodePrefix&amp;"ef."&amp;$A2524</f>
        <v>egy.mit.ef.omn.lpg.nox</v>
      </c>
      <c r="F2524" s="3" t="str">
        <f>CtryReg&amp;".mit.ef."&amp;$A2524</f>
        <v>mea.mit.ef.omn.lpg.nox</v>
      </c>
      <c r="G2524" s="3" t="str">
        <f>"wld.mit.ef."&amp;$A2524</f>
        <v>wld.mit.ef.omn.lpg.nox</v>
      </c>
      <c r="H2524" s="3" t="inlineStr">
        <is>
          <t>mea.mit.ef.omn.lpg.nox</t>
        </is>
      </c>
      <c r="I2524" s="236" t="n">
        <v>2.93076</v>
      </c>
      <c r="J2524" s="236" t="n">
        <v>2.93076</v>
      </c>
    </row>
    <row r="2525">
      <c r="A2525" s="3" t="str">
        <f>$B2525&amp;"."&amp;$C2525&amp;"."&amp;$D2525</f>
        <v>omn.ker.nox</v>
      </c>
      <c r="B2525" s="8" t="inlineStr">
        <is>
          <t>omn</t>
        </is>
      </c>
      <c r="C2525" s="8" t="inlineStr">
        <is>
          <t>ker</t>
        </is>
      </c>
      <c r="D2525" s="8" t="inlineStr">
        <is>
          <t>nox</t>
        </is>
      </c>
      <c r="E2525" s="3" t="str">
        <f>CodePrefix&amp;"ef."&amp;$A2525</f>
        <v>egy.mit.ef.omn.ker.nox</v>
      </c>
      <c r="F2525" s="3" t="str">
        <f>CtryReg&amp;".mit.ef."&amp;$A2525</f>
        <v>mea.mit.ef.omn.ker.nox</v>
      </c>
      <c r="G2525" s="3" t="str">
        <f>"wld.mit.ef."&amp;$A2525</f>
        <v>wld.mit.ef.omn.ker.nox</v>
      </c>
      <c r="H2525" s="3" t="inlineStr">
        <is>
          <t>egy.mit.ef.omn.ker.nox</t>
        </is>
      </c>
      <c r="I2525" s="236" t="n">
        <v>2.93076</v>
      </c>
      <c r="J2525" s="236" t="n">
        <v>2.93076</v>
      </c>
    </row>
    <row r="2526">
      <c r="A2526" s="3" t="str">
        <f>$B2526&amp;"."&amp;$C2526&amp;"."&amp;$D2526</f>
        <v>omn.bio.nox</v>
      </c>
      <c r="B2526" s="8" t="inlineStr">
        <is>
          <t>omn</t>
        </is>
      </c>
      <c r="C2526" s="8" t="inlineStr">
        <is>
          <t>bio</t>
        </is>
      </c>
      <c r="D2526" s="8" t="inlineStr">
        <is>
          <t>nox</t>
        </is>
      </c>
      <c r="E2526" s="3" t="str">
        <f>CodePrefix&amp;"ef."&amp;$A2526</f>
        <v>egy.mit.ef.omn.bio.nox</v>
      </c>
      <c r="F2526" s="3" t="str">
        <f>CtryReg&amp;".mit.ef."&amp;$A2526</f>
        <v>mea.mit.ef.omn.bio.nox</v>
      </c>
      <c r="G2526" s="3" t="str">
        <f>"wld.mit.ef."&amp;$A2526</f>
        <v>wld.mit.ef.omn.bio.nox</v>
      </c>
      <c r="H2526" s="3" t="inlineStr">
        <is>
          <t>mea.mit.ef.omn.bio.nox</t>
        </is>
      </c>
      <c r="I2526" s="236" t="n">
        <v>5.44284</v>
      </c>
      <c r="J2526" s="236" t="n">
        <v>5.44284</v>
      </c>
    </row>
    <row r="2527">
      <c r="A2527" s="3" t="str">
        <f>$B2527&amp;"."&amp;$C2527&amp;"."&amp;$D2527</f>
        <v>foo.coa.nox</v>
      </c>
      <c r="B2527" s="8" t="inlineStr">
        <is>
          <t>foo</t>
        </is>
      </c>
      <c r="C2527" s="8" t="inlineStr">
        <is>
          <t>coa</t>
        </is>
      </c>
      <c r="D2527" s="8" t="inlineStr">
        <is>
          <t>nox</t>
        </is>
      </c>
      <c r="E2527" s="3" t="str">
        <f>CodePrefix&amp;"ef."&amp;$A2527</f>
        <v>egy.mit.ef.foo.coa.nox</v>
      </c>
      <c r="F2527" s="3" t="str">
        <f>CtryReg&amp;".mit.ef."&amp;$A2527</f>
        <v>mea.mit.ef.foo.coa.nox</v>
      </c>
      <c r="G2527" s="3" t="str">
        <f>"wld.mit.ef."&amp;$A2527</f>
        <v>wld.mit.ef.foo.coa.nox</v>
      </c>
      <c r="H2527" s="3" t="inlineStr">
        <is>
          <t>wld.mit.ef.foo.coa.nox</t>
        </is>
      </c>
      <c r="I2527" s="236" t="n">
        <v>0</v>
      </c>
      <c r="J2527" s="236" t="n">
        <v>0</v>
      </c>
    </row>
    <row r="2528">
      <c r="A2528" s="3" t="str">
        <f>$B2528&amp;"."&amp;$C2528&amp;"."&amp;$D2528</f>
        <v>foo.nga.nox</v>
      </c>
      <c r="B2528" s="8" t="inlineStr">
        <is>
          <t>foo</t>
        </is>
      </c>
      <c r="C2528" s="8" t="inlineStr">
        <is>
          <t>nga</t>
        </is>
      </c>
      <c r="D2528" s="8" t="inlineStr">
        <is>
          <t>nox</t>
        </is>
      </c>
      <c r="E2528" s="3" t="str">
        <f>CodePrefix&amp;"ef."&amp;$A2528</f>
        <v>egy.mit.ef.foo.nga.nox</v>
      </c>
      <c r="F2528" s="3" t="str">
        <f>CtryReg&amp;".mit.ef."&amp;$A2528</f>
        <v>mea.mit.ef.foo.nga.nox</v>
      </c>
      <c r="G2528" s="3" t="str">
        <f>"wld.mit.ef."&amp;$A2528</f>
        <v>wld.mit.ef.foo.nga.nox</v>
      </c>
      <c r="H2528" s="3" t="inlineStr">
        <is>
          <t>egy.mit.ef.foo.nga.nox</t>
        </is>
      </c>
      <c r="I2528" s="236" t="n">
        <v>4.186800000000001</v>
      </c>
      <c r="J2528" s="236" t="n">
        <v>4.186800000000001</v>
      </c>
    </row>
    <row r="2529">
      <c r="A2529" s="3" t="str">
        <f>$B2529&amp;"."&amp;$C2529&amp;"."&amp;$D2529</f>
        <v>foo.oop.nox</v>
      </c>
      <c r="B2529" s="8" t="inlineStr">
        <is>
          <t>foo</t>
        </is>
      </c>
      <c r="C2529" s="8" t="inlineStr">
        <is>
          <t>oop</t>
        </is>
      </c>
      <c r="D2529" s="8" t="inlineStr">
        <is>
          <t>nox</t>
        </is>
      </c>
      <c r="E2529" s="3" t="str">
        <f>CodePrefix&amp;"ef."&amp;$A2529</f>
        <v>egy.mit.ef.foo.oop.nox</v>
      </c>
      <c r="F2529" s="3" t="str">
        <f>CtryReg&amp;".mit.ef."&amp;$A2529</f>
        <v>mea.mit.ef.foo.oop.nox</v>
      </c>
      <c r="G2529" s="3" t="str">
        <f>"wld.mit.ef."&amp;$A2529</f>
        <v>wld.mit.ef.foo.oop.nox</v>
      </c>
      <c r="H2529" s="3" t="inlineStr">
        <is>
          <t>egy.mit.ef.foo.oop.nox</t>
        </is>
      </c>
      <c r="I2529" s="236" t="n">
        <v>7.95492</v>
      </c>
      <c r="J2529" s="236" t="n">
        <v>4.772952</v>
      </c>
    </row>
    <row r="2530">
      <c r="A2530" s="3" t="str">
        <f>$B2530&amp;"."&amp;$C2530&amp;"."&amp;$D2530</f>
        <v>foo.gso.nox</v>
      </c>
      <c r="B2530" s="8" t="inlineStr">
        <is>
          <t>foo</t>
        </is>
      </c>
      <c r="C2530" s="8" t="inlineStr">
        <is>
          <t>gso</t>
        </is>
      </c>
      <c r="D2530" s="8" t="inlineStr">
        <is>
          <t>nox</t>
        </is>
      </c>
      <c r="E2530" s="3" t="str">
        <f>CodePrefix&amp;"ef."&amp;$A2530</f>
        <v>egy.mit.ef.foo.gso.nox</v>
      </c>
      <c r="F2530" s="3" t="str">
        <f>CtryReg&amp;".mit.ef."&amp;$A2530</f>
        <v>mea.mit.ef.foo.gso.nox</v>
      </c>
      <c r="G2530" s="3" t="str">
        <f>"wld.mit.ef."&amp;$A2530</f>
        <v>wld.mit.ef.foo.gso.nox</v>
      </c>
      <c r="H2530" s="3" t="inlineStr">
        <is>
          <t>egy.mit.ef.foo.gso.nox</t>
        </is>
      </c>
      <c r="I2530" s="236" t="n">
        <v>2.93076</v>
      </c>
      <c r="J2530" s="236" t="n">
        <v>2.93076</v>
      </c>
    </row>
    <row r="2531">
      <c r="A2531" s="3" t="str">
        <f>$B2531&amp;"."&amp;$C2531&amp;"."&amp;$D2531</f>
        <v>foo.die.nox</v>
      </c>
      <c r="B2531" s="8" t="inlineStr">
        <is>
          <t>foo</t>
        </is>
      </c>
      <c r="C2531" s="8" t="inlineStr">
        <is>
          <t>die</t>
        </is>
      </c>
      <c r="D2531" s="8" t="inlineStr">
        <is>
          <t>nox</t>
        </is>
      </c>
      <c r="E2531" s="3" t="str">
        <f>CodePrefix&amp;"ef."&amp;$A2531</f>
        <v>egy.mit.ef.foo.die.nox</v>
      </c>
      <c r="F2531" s="3" t="str">
        <f>CtryReg&amp;".mit.ef."&amp;$A2531</f>
        <v>mea.mit.ef.foo.die.nox</v>
      </c>
      <c r="G2531" s="3" t="str">
        <f>"wld.mit.ef."&amp;$A2531</f>
        <v>wld.mit.ef.foo.die.nox</v>
      </c>
      <c r="H2531" s="3" t="inlineStr">
        <is>
          <t>mea.mit.ef.foo.die.nox</t>
        </is>
      </c>
      <c r="I2531" s="236" t="n">
        <v>6.2802</v>
      </c>
      <c r="J2531" s="236" t="n">
        <v>6.2802</v>
      </c>
    </row>
    <row r="2532">
      <c r="A2532" s="3" t="str">
        <f>$B2532&amp;"."&amp;$C2532&amp;"."&amp;$D2532</f>
        <v>foo.lpg.nox</v>
      </c>
      <c r="B2532" s="8" t="inlineStr">
        <is>
          <t>foo</t>
        </is>
      </c>
      <c r="C2532" s="8" t="inlineStr">
        <is>
          <t>lpg</t>
        </is>
      </c>
      <c r="D2532" s="8" t="inlineStr">
        <is>
          <t>nox</t>
        </is>
      </c>
      <c r="E2532" s="3" t="str">
        <f>CodePrefix&amp;"ef."&amp;$A2532</f>
        <v>egy.mit.ef.foo.lpg.nox</v>
      </c>
      <c r="F2532" s="3" t="str">
        <f>CtryReg&amp;".mit.ef."&amp;$A2532</f>
        <v>mea.mit.ef.foo.lpg.nox</v>
      </c>
      <c r="G2532" s="3" t="str">
        <f>"wld.mit.ef."&amp;$A2532</f>
        <v>wld.mit.ef.foo.lpg.nox</v>
      </c>
      <c r="H2532" s="3" t="inlineStr">
        <is>
          <t>mea.mit.ef.foo.lpg.nox</t>
        </is>
      </c>
      <c r="I2532" s="236" t="n">
        <v>2.93076</v>
      </c>
      <c r="J2532" s="236" t="n">
        <v>2.93076</v>
      </c>
    </row>
    <row r="2533">
      <c r="A2533" s="3" t="str">
        <f>$B2533&amp;"."&amp;$C2533&amp;"."&amp;$D2533</f>
        <v>foo.ker.nox</v>
      </c>
      <c r="B2533" s="8" t="inlineStr">
        <is>
          <t>foo</t>
        </is>
      </c>
      <c r="C2533" s="8" t="inlineStr">
        <is>
          <t>ker</t>
        </is>
      </c>
      <c r="D2533" s="8" t="inlineStr">
        <is>
          <t>nox</t>
        </is>
      </c>
      <c r="E2533" s="3" t="str">
        <f>CodePrefix&amp;"ef."&amp;$A2533</f>
        <v>egy.mit.ef.foo.ker.nox</v>
      </c>
      <c r="F2533" s="3" t="str">
        <f>CtryReg&amp;".mit.ef."&amp;$A2533</f>
        <v>mea.mit.ef.foo.ker.nox</v>
      </c>
      <c r="G2533" s="3" t="str">
        <f>"wld.mit.ef."&amp;$A2533</f>
        <v>wld.mit.ef.foo.ker.nox</v>
      </c>
      <c r="H2533" s="3" t="inlineStr">
        <is>
          <t>egy.mit.ef.foo.ker.nox</t>
        </is>
      </c>
      <c r="I2533" s="236" t="n">
        <v>2.93076</v>
      </c>
      <c r="J2533" s="236" t="n">
        <v>2.93076</v>
      </c>
    </row>
    <row r="2534">
      <c r="A2534" s="3" t="str">
        <f>$B2534&amp;"."&amp;$C2534&amp;"."&amp;$D2534</f>
        <v>foo.bio.nox</v>
      </c>
      <c r="B2534" s="8" t="inlineStr">
        <is>
          <t>foo</t>
        </is>
      </c>
      <c r="C2534" s="8" t="inlineStr">
        <is>
          <t>bio</t>
        </is>
      </c>
      <c r="D2534" s="8" t="inlineStr">
        <is>
          <t>nox</t>
        </is>
      </c>
      <c r="E2534" s="3" t="str">
        <f>CodePrefix&amp;"ef."&amp;$A2534</f>
        <v>egy.mit.ef.foo.bio.nox</v>
      </c>
      <c r="F2534" s="3" t="str">
        <f>CtryReg&amp;".mit.ef."&amp;$A2534</f>
        <v>mea.mit.ef.foo.bio.nox</v>
      </c>
      <c r="G2534" s="3" t="str">
        <f>"wld.mit.ef."&amp;$A2534</f>
        <v>wld.mit.ef.foo.bio.nox</v>
      </c>
      <c r="H2534" s="3" t="inlineStr">
        <is>
          <t>egy.mit.ef.foo.bio.nox</t>
        </is>
      </c>
      <c r="I2534" s="236" t="n">
        <v>2.8826997228</v>
      </c>
      <c r="J2534" s="236" t="n">
        <v>2.51208</v>
      </c>
    </row>
    <row r="2535">
      <c r="A2535" s="3" t="str">
        <f>$B2535&amp;"."&amp;$C2535&amp;"."&amp;$D2535</f>
        <v>oen.coa.nox</v>
      </c>
      <c r="B2535" s="8" t="inlineStr">
        <is>
          <t>oen</t>
        </is>
      </c>
      <c r="C2535" s="8" t="inlineStr">
        <is>
          <t>coa</t>
        </is>
      </c>
      <c r="D2535" s="8" t="inlineStr">
        <is>
          <t>nox</t>
        </is>
      </c>
      <c r="H2535" s="3" t="inlineStr">
        <is>
          <t>max</t>
        </is>
      </c>
      <c r="I2535" s="236">
        <f>_xlfn.MAXIFS($I$2478:$I$2534,$C$2478:$C$2534,$C2535)</f>
        <v>6.120963435600001</v>
      </c>
      <c r="J2535" s="236">
        <f>_xlfn.MAXIFS($J$2478:$J$2534,$C$2478:$C$2534,$C2535)</f>
        <v>5.369847328800001</v>
      </c>
    </row>
    <row r="2536">
      <c r="A2536" s="3" t="str">
        <f>$B2536&amp;"."&amp;$C2536&amp;"."&amp;$D2536</f>
        <v>oen.nga.nox</v>
      </c>
      <c r="B2536" s="8" t="inlineStr">
        <is>
          <t>oen</t>
        </is>
      </c>
      <c r="C2536" s="8" t="inlineStr">
        <is>
          <t>nga</t>
        </is>
      </c>
      <c r="D2536" s="8" t="inlineStr">
        <is>
          <t>nox</t>
        </is>
      </c>
      <c r="H2536" s="3" t="inlineStr">
        <is>
          <t>max</t>
        </is>
      </c>
      <c r="I2536" s="236">
        <f>_xlfn.MAXIFS($I$2478:$I$2534,$C$2478:$C$2534,$C2536)</f>
        <v>15.2091538992</v>
      </c>
      <c r="J2536" s="236">
        <f>_xlfn.MAXIFS($J$2478:$J$2534,$C$2478:$C$2534,$C2536)</f>
        <v>10.9600878096</v>
      </c>
    </row>
    <row r="2537">
      <c r="A2537" s="3" t="str">
        <f>$B2537&amp;"."&amp;$C2537&amp;"."&amp;$D2537</f>
        <v>oen.oop.nox</v>
      </c>
      <c r="B2537" s="8" t="inlineStr">
        <is>
          <t>oen</t>
        </is>
      </c>
      <c r="C2537" s="8" t="inlineStr">
        <is>
          <t>oop</t>
        </is>
      </c>
      <c r="D2537" s="8" t="inlineStr">
        <is>
          <t>nox</t>
        </is>
      </c>
      <c r="H2537" s="3" t="inlineStr">
        <is>
          <t>max</t>
        </is>
      </c>
      <c r="I2537" s="236">
        <f>_xlfn.MAXIFS($I$2478:$I$2534,$C$2478:$C$2534,$C2537)</f>
        <v>7.95492</v>
      </c>
      <c r="J2537" s="236">
        <f>_xlfn.MAXIFS($J$2478:$J$2534,$C$2478:$C$2534,$C2537)</f>
        <v>6.698880000000001</v>
      </c>
    </row>
    <row r="2538">
      <c r="A2538" s="3" t="str">
        <f>$B2538&amp;"."&amp;$C2538&amp;"."&amp;$D2538</f>
        <v>oen.gso.nox</v>
      </c>
      <c r="B2538" s="8" t="inlineStr">
        <is>
          <t>oen</t>
        </is>
      </c>
      <c r="C2538" s="8" t="inlineStr">
        <is>
          <t>gso</t>
        </is>
      </c>
      <c r="D2538" s="8" t="inlineStr">
        <is>
          <t>nox</t>
        </is>
      </c>
      <c r="H2538" s="3" t="inlineStr">
        <is>
          <t>max</t>
        </is>
      </c>
      <c r="I2538" s="236">
        <f>_xlfn.MAXIFS($I$2478:$I$2534,$C$2478:$C$2534,$C2538)</f>
        <v>33.49440000000001</v>
      </c>
      <c r="J2538" s="236">
        <f>_xlfn.MAXIFS($J$2478:$J$2534,$C$2478:$C$2534,$C2538)</f>
        <v>33.49440000000001</v>
      </c>
    </row>
    <row r="2539">
      <c r="A2539" s="3" t="str">
        <f>$B2539&amp;"."&amp;$C2539&amp;"."&amp;$D2539</f>
        <v>oen.die.nox</v>
      </c>
      <c r="B2539" s="8" t="inlineStr">
        <is>
          <t>oen</t>
        </is>
      </c>
      <c r="C2539" s="8" t="inlineStr">
        <is>
          <t>die</t>
        </is>
      </c>
      <c r="D2539" s="8" t="inlineStr">
        <is>
          <t>nox</t>
        </is>
      </c>
      <c r="H2539" s="3" t="inlineStr">
        <is>
          <t>max</t>
        </is>
      </c>
      <c r="I2539" s="236">
        <f>_xlfn.MAXIFS($I$2478:$I$2534,$C$2478:$C$2534,$C2539)</f>
        <v>46.05480000000001</v>
      </c>
      <c r="J2539" s="236">
        <f>_xlfn.MAXIFS($J$2478:$J$2534,$C$2478:$C$2534,$C2539)</f>
        <v>46.05480000000001</v>
      </c>
    </row>
    <row r="2540">
      <c r="A2540" s="3" t="str">
        <f>$B2540&amp;"."&amp;$C2540&amp;"."&amp;$D2540</f>
        <v>oen.lpg.nox</v>
      </c>
      <c r="B2540" s="8" t="inlineStr">
        <is>
          <t>oen</t>
        </is>
      </c>
      <c r="C2540" s="8" t="inlineStr">
        <is>
          <t>lpg</t>
        </is>
      </c>
      <c r="D2540" s="8" t="inlineStr">
        <is>
          <t>nox</t>
        </is>
      </c>
      <c r="H2540" s="3" t="inlineStr">
        <is>
          <t>max</t>
        </is>
      </c>
      <c r="I2540" s="236">
        <f>_xlfn.MAXIFS($I$2478:$I$2534,$C$2478:$C$2534,$C2540)</f>
        <v>33.49440000000001</v>
      </c>
      <c r="J2540" s="236">
        <f>_xlfn.MAXIFS($J$2478:$J$2534,$C$2478:$C$2534,$C2540)</f>
        <v>33.49440000000001</v>
      </c>
    </row>
    <row r="2541">
      <c r="A2541" s="3" t="str">
        <f>$B2541&amp;"."&amp;$C2541&amp;"."&amp;$D2541</f>
        <v>oen.ker.nox</v>
      </c>
      <c r="B2541" s="8" t="inlineStr">
        <is>
          <t>oen</t>
        </is>
      </c>
      <c r="C2541" s="8" t="inlineStr">
        <is>
          <t>ker</t>
        </is>
      </c>
      <c r="D2541" s="8" t="inlineStr">
        <is>
          <t>nox</t>
        </is>
      </c>
      <c r="H2541" s="3" t="inlineStr">
        <is>
          <t>max</t>
        </is>
      </c>
      <c r="I2541" s="236">
        <f>_xlfn.MAXIFS($I$2478:$I$2534,$C$2478:$C$2534,$C2541)</f>
        <v>33.49440000000001</v>
      </c>
      <c r="J2541" s="236">
        <f>_xlfn.MAXIFS($J$2478:$J$2534,$C$2478:$C$2534,$C2541)</f>
        <v>33.49440000000001</v>
      </c>
    </row>
    <row r="2542">
      <c r="A2542" s="3" t="str">
        <f>$B2542&amp;"."&amp;$C2542&amp;"."&amp;$D2542</f>
        <v>oen.bio.nox</v>
      </c>
      <c r="B2542" s="8" t="inlineStr">
        <is>
          <t>oen</t>
        </is>
      </c>
      <c r="C2542" s="8" t="inlineStr">
        <is>
          <t>bio</t>
        </is>
      </c>
      <c r="D2542" s="8" t="inlineStr">
        <is>
          <t>nox</t>
        </is>
      </c>
      <c r="H2542" s="3" t="inlineStr">
        <is>
          <t>max</t>
        </is>
      </c>
      <c r="I2542" s="236">
        <f>_xlfn.MAXIFS($I$2478:$I$2534,$C$2478:$C$2534,$C2542)</f>
        <v>5.44284</v>
      </c>
      <c r="J2542" s="236">
        <f>_xlfn.MAXIFS($J$2478:$J$2534,$C$2478:$C$2534,$C2542)</f>
        <v>5.44284</v>
      </c>
    </row>
    <row r="2543">
      <c r="A2543" s="3" t="str">
        <f>$B2543&amp;"."&amp;$C2543&amp;"."&amp;$D2543</f>
        <v>nav.die.nox</v>
      </c>
      <c r="B2543" s="8" t="inlineStr">
        <is>
          <t>nav</t>
        </is>
      </c>
      <c r="C2543" s="8" t="inlineStr">
        <is>
          <t>die</t>
        </is>
      </c>
      <c r="D2543" s="8" t="inlineStr">
        <is>
          <t>nox</t>
        </is>
      </c>
      <c r="E2543" s="3" t="str">
        <f>CodePrefix&amp;"ef."&amp;$A2543</f>
        <v>egy.mit.ef.nav.die.nox</v>
      </c>
      <c r="F2543" s="3" t="str">
        <f>CtryReg&amp;".mit.ef."&amp;$A2543</f>
        <v>mea.mit.ef.nav.die.nox</v>
      </c>
      <c r="G2543" s="3" t="str">
        <f>"wld.mit.ef."&amp;$A2543</f>
        <v>wld.mit.ef.nav.die.nox</v>
      </c>
      <c r="H2543" s="3" t="inlineStr">
        <is>
          <t>egy.mit.ef.nav.die.nox</t>
        </is>
      </c>
      <c r="I2543" s="236" t="n">
        <v>46.05480000000001</v>
      </c>
      <c r="J2543" s="236" t="n">
        <v>46.05480000000001</v>
      </c>
    </row>
    <row r="2544">
      <c r="A2544" s="3" t="str">
        <f>$B2544&amp;"."&amp;$C2544&amp;"."&amp;$D2544</f>
        <v>nav.oop.nox</v>
      </c>
      <c r="B2544" s="8" t="inlineStr">
        <is>
          <t>nav</t>
        </is>
      </c>
      <c r="C2544" s="8" t="inlineStr">
        <is>
          <t>oop</t>
        </is>
      </c>
      <c r="D2544" s="8" t="inlineStr">
        <is>
          <t>nox</t>
        </is>
      </c>
      <c r="E2544" s="3" t="str">
        <f>CodePrefix&amp;"ef."&amp;$A2544</f>
        <v>egy.mit.ef.nav.oop.nox</v>
      </c>
      <c r="F2544" s="3" t="str">
        <f>CtryReg&amp;".mit.ef."&amp;$A2544</f>
        <v>mea.mit.ef.nav.oop.nox</v>
      </c>
      <c r="G2544" s="3" t="str">
        <f>"wld.mit.ef."&amp;$A2544</f>
        <v>wld.mit.ef.nav.oop.nox</v>
      </c>
      <c r="H2544" s="3" t="inlineStr">
        <is>
          <t>egy.mit.ef.nav.oop.nox</t>
        </is>
      </c>
      <c r="I2544" s="236" t="n">
        <v>54.42128244000001</v>
      </c>
      <c r="J2544" s="236" t="n">
        <v>47.17937448</v>
      </c>
    </row>
    <row r="2545">
      <c r="A2545" s="3" t="str">
        <f>$B2545&amp;"."&amp;$C2545&amp;"."&amp;$D2545</f>
        <v>pow.coa.so2</v>
      </c>
      <c r="B2545" s="8" t="inlineStr">
        <is>
          <t>pow</t>
        </is>
      </c>
      <c r="C2545" s="8" t="inlineStr">
        <is>
          <t>coa</t>
        </is>
      </c>
      <c r="D2545" s="8" t="inlineStr">
        <is>
          <t>so2</t>
        </is>
      </c>
      <c r="E2545" s="3" t="str">
        <f>CodePrefix&amp;"ef."&amp;$A2545</f>
        <v>egy.mit.ef.pow.coa.so2</v>
      </c>
      <c r="F2545" s="3" t="str">
        <f>CtryReg&amp;".mit.ef."&amp;$A2545</f>
        <v>mea.mit.ef.pow.coa.so2</v>
      </c>
      <c r="G2545" s="3" t="str">
        <f>"wld.mit.ef."&amp;$A2545</f>
        <v>wld.mit.ef.pow.coa.so2</v>
      </c>
      <c r="H2545" s="3" t="inlineStr">
        <is>
          <t>mea.mit.ef.pow.coa.so2</t>
        </is>
      </c>
      <c r="I2545" s="236" t="n">
        <v>24.6151727244</v>
      </c>
      <c r="J2545" s="236" t="n">
        <v>23.6808631836</v>
      </c>
    </row>
    <row r="2546">
      <c r="A2546" s="3" t="str">
        <f>$B2546&amp;"."&amp;$C2546&amp;"."&amp;$D2546</f>
        <v>pow.nga.so2</v>
      </c>
      <c r="B2546" s="8" t="inlineStr">
        <is>
          <t>pow</t>
        </is>
      </c>
      <c r="C2546" s="8" t="inlineStr">
        <is>
          <t>nga</t>
        </is>
      </c>
      <c r="D2546" s="8" t="inlineStr">
        <is>
          <t>so2</t>
        </is>
      </c>
      <c r="E2546" s="3" t="str">
        <f>CodePrefix&amp;"ef."&amp;$A2546</f>
        <v>egy.mit.ef.pow.nga.so2</v>
      </c>
      <c r="F2546" s="3" t="str">
        <f>CtryReg&amp;".mit.ef."&amp;$A2546</f>
        <v>mea.mit.ef.pow.nga.so2</v>
      </c>
      <c r="G2546" s="3" t="str">
        <f>"wld.mit.ef."&amp;$A2546</f>
        <v>wld.mit.ef.pow.nga.so2</v>
      </c>
      <c r="H2546" s="3" t="inlineStr">
        <is>
          <t>egy.mit.ef.pow.nga.so2</t>
        </is>
      </c>
      <c r="I2546" s="236" t="n">
        <v>0.0348886044</v>
      </c>
      <c r="J2546" s="236" t="n">
        <v>0.0348886044</v>
      </c>
    </row>
    <row r="2547">
      <c r="A2547" s="3" t="str">
        <f>$B2547&amp;"."&amp;$C2547&amp;"."&amp;$D2547</f>
        <v>pow.oop.so2</v>
      </c>
      <c r="B2547" s="8" t="inlineStr">
        <is>
          <t>pow</t>
        </is>
      </c>
      <c r="C2547" s="8" t="inlineStr">
        <is>
          <t>oop</t>
        </is>
      </c>
      <c r="D2547" s="8" t="inlineStr">
        <is>
          <t>so2</t>
        </is>
      </c>
      <c r="E2547" s="3" t="str">
        <f>CodePrefix&amp;"ef."&amp;$A2547</f>
        <v>egy.mit.ef.pow.oop.so2</v>
      </c>
      <c r="F2547" s="3" t="str">
        <f>CtryReg&amp;".mit.ef."&amp;$A2547</f>
        <v>mea.mit.ef.pow.oop.so2</v>
      </c>
      <c r="G2547" s="3" t="str">
        <f>"wld.mit.ef."&amp;$A2547</f>
        <v>wld.mit.ef.pow.oop.so2</v>
      </c>
      <c r="H2547" s="3" t="inlineStr">
        <is>
          <t>egy.mit.ef.pow.oop.so2</t>
        </is>
      </c>
      <c r="I2547" s="236" t="n">
        <v>32.96131569</v>
      </c>
      <c r="J2547" s="236" t="n">
        <v>24.2312682852</v>
      </c>
    </row>
    <row r="2548">
      <c r="A2548" s="3" t="str">
        <f>$B2548&amp;"."&amp;$C2548&amp;"."&amp;$D2548</f>
        <v>pow.bio.so2</v>
      </c>
      <c r="B2548" s="8" t="inlineStr">
        <is>
          <t>pow</t>
        </is>
      </c>
      <c r="C2548" s="8" t="inlineStr">
        <is>
          <t>bio</t>
        </is>
      </c>
      <c r="D2548" s="8" t="inlineStr">
        <is>
          <t>so2</t>
        </is>
      </c>
      <c r="E2548" s="3" t="str">
        <f>CodePrefix&amp;"ef."&amp;$A2548</f>
        <v>egy.mit.ef.pow.bio.so2</v>
      </c>
      <c r="F2548" s="3" t="str">
        <f>CtryReg&amp;".mit.ef."&amp;$A2548</f>
        <v>mea.mit.ef.pow.bio.so2</v>
      </c>
      <c r="G2548" s="3" t="str">
        <f>"wld.mit.ef."&amp;$A2548</f>
        <v>wld.mit.ef.pow.bio.so2</v>
      </c>
      <c r="H2548" s="3" t="inlineStr">
        <is>
          <t>wld.mit.ef.pow.bio.so2</t>
        </is>
      </c>
      <c r="I2548" s="236" t="n">
        <v>0</v>
      </c>
      <c r="J2548" s="236" t="n">
        <v>0</v>
      </c>
    </row>
    <row r="2549">
      <c r="A2549" s="3" t="str">
        <f>$B2549&amp;"."&amp;$C2549&amp;"."&amp;$D2549</f>
        <v>rod.gso.so2</v>
      </c>
      <c r="B2549" s="8" t="inlineStr">
        <is>
          <t>rod</t>
        </is>
      </c>
      <c r="C2549" s="8" t="inlineStr">
        <is>
          <t>gso</t>
        </is>
      </c>
      <c r="D2549" s="8" t="inlineStr">
        <is>
          <t>so2</t>
        </is>
      </c>
      <c r="E2549" s="3" t="str">
        <f>CodePrefix&amp;"ef."&amp;$A2549</f>
        <v>egy.mit.ef.rod.gso.so2</v>
      </c>
      <c r="F2549" s="3" t="str">
        <f>CtryReg&amp;".mit.ef."&amp;$A2549</f>
        <v>mea.mit.ef.rod.gso.so2</v>
      </c>
      <c r="G2549" s="3" t="str">
        <f>"wld.mit.ef."&amp;$A2549</f>
        <v>wld.mit.ef.rod.gso.so2</v>
      </c>
      <c r="H2549" s="3" t="inlineStr">
        <is>
          <t>egy.mit.ef.rod.gso.so2</t>
        </is>
      </c>
      <c r="I2549" s="236" t="n">
        <v>0.9101726388000001</v>
      </c>
      <c r="J2549" s="236" t="n">
        <v>0.9101726388000001</v>
      </c>
    </row>
    <row r="2550">
      <c r="A2550" s="3" t="str">
        <f>$B2550&amp;"."&amp;$C2550&amp;"."&amp;$D2550</f>
        <v>rod.die.so2</v>
      </c>
      <c r="B2550" s="8" t="inlineStr">
        <is>
          <t>rod</t>
        </is>
      </c>
      <c r="C2550" s="8" t="inlineStr">
        <is>
          <t>die</t>
        </is>
      </c>
      <c r="D2550" s="8" t="inlineStr">
        <is>
          <t>so2</t>
        </is>
      </c>
      <c r="E2550" s="3" t="str">
        <f>CodePrefix&amp;"ef."&amp;$A2550</f>
        <v>egy.mit.ef.rod.die.so2</v>
      </c>
      <c r="F2550" s="3" t="str">
        <f>CtryReg&amp;".mit.ef."&amp;$A2550</f>
        <v>mea.mit.ef.rod.die.so2</v>
      </c>
      <c r="G2550" s="3" t="str">
        <f>"wld.mit.ef."&amp;$A2550</f>
        <v>wld.mit.ef.rod.die.so2</v>
      </c>
      <c r="H2550" s="3" t="inlineStr">
        <is>
          <t>egy.mit.ef.rod.die.so2</t>
        </is>
      </c>
      <c r="I2550" s="236" t="n">
        <v>0.8866177020000001</v>
      </c>
      <c r="J2550" s="236" t="n">
        <v>0.0630490212</v>
      </c>
    </row>
    <row r="2551">
      <c r="A2551" s="3" t="str">
        <f>$B2551&amp;"."&amp;$C2551&amp;"."&amp;$D2551</f>
        <v>rod.lpg.so2</v>
      </c>
      <c r="B2551" s="8" t="inlineStr">
        <is>
          <t>rod</t>
        </is>
      </c>
      <c r="C2551" s="8" t="inlineStr">
        <is>
          <t>lpg</t>
        </is>
      </c>
      <c r="D2551" s="8" t="inlineStr">
        <is>
          <t>so2</t>
        </is>
      </c>
      <c r="E2551" s="3" t="str">
        <f>CodePrefix&amp;"ef."&amp;$A2551</f>
        <v>egy.mit.ef.rod.lpg.so2</v>
      </c>
      <c r="F2551" s="3" t="str">
        <f>CtryReg&amp;".mit.ef."&amp;$A2551</f>
        <v>mea.mit.ef.rod.lpg.so2</v>
      </c>
      <c r="G2551" s="3" t="str">
        <f>"wld.mit.ef."&amp;$A2551</f>
        <v>wld.mit.ef.rod.lpg.so2</v>
      </c>
      <c r="H2551" s="3" t="inlineStr">
        <is>
          <t>wld.mit.ef.rod.lpg.so2</t>
        </is>
      </c>
      <c r="I2551" s="236" t="n">
        <v>0</v>
      </c>
      <c r="J2551" s="236" t="n">
        <v>0</v>
      </c>
    </row>
    <row r="2552">
      <c r="A2552" s="3" t="str">
        <f>$B2552&amp;"."&amp;$C2552&amp;"."&amp;$D2552</f>
        <v>rod.ker.so2</v>
      </c>
      <c r="B2552" s="8" t="inlineStr">
        <is>
          <t>rod</t>
        </is>
      </c>
      <c r="C2552" s="8" t="inlineStr">
        <is>
          <t>ker</t>
        </is>
      </c>
      <c r="D2552" s="8" t="inlineStr">
        <is>
          <t>so2</t>
        </is>
      </c>
      <c r="E2552" s="3" t="str">
        <f>CodePrefix&amp;"ef."&amp;$A2552</f>
        <v>egy.mit.ef.rod.ker.so2</v>
      </c>
      <c r="F2552" s="3" t="str">
        <f>CtryReg&amp;".mit.ef."&amp;$A2552</f>
        <v>mea.mit.ef.rod.ker.so2</v>
      </c>
      <c r="G2552" s="3" t="str">
        <f>"wld.mit.ef."&amp;$A2552</f>
        <v>wld.mit.ef.rod.ker.so2</v>
      </c>
      <c r="H2552" s="3" t="inlineStr">
        <is>
          <t>wld.mit.ef.rod.ker.so2</t>
        </is>
      </c>
      <c r="I2552" s="236" t="n">
        <v>0</v>
      </c>
      <c r="J2552" s="236" t="n">
        <v>0</v>
      </c>
    </row>
    <row r="2553">
      <c r="A2553" s="3" t="str">
        <f>$B2553&amp;"."&amp;$C2553&amp;"."&amp;$D2553</f>
        <v>rod.nga.so2</v>
      </c>
      <c r="B2553" s="8" t="inlineStr">
        <is>
          <t>rod</t>
        </is>
      </c>
      <c r="C2553" s="8" t="inlineStr">
        <is>
          <t>nga</t>
        </is>
      </c>
      <c r="D2553" s="8" t="inlineStr">
        <is>
          <t>so2</t>
        </is>
      </c>
      <c r="E2553" s="3" t="str">
        <f>CodePrefix&amp;"ef."&amp;$A2553</f>
        <v>egy.mit.ef.rod.nga.so2</v>
      </c>
      <c r="F2553" s="3" t="str">
        <f>CtryReg&amp;".mit.ef."&amp;$A2553</f>
        <v>mea.mit.ef.rod.nga.so2</v>
      </c>
      <c r="G2553" s="3" t="str">
        <f>"wld.mit.ef."&amp;$A2553</f>
        <v>wld.mit.ef.rod.nga.so2</v>
      </c>
      <c r="H2553" s="3" t="inlineStr">
        <is>
          <t>egy.mit.ef.rod.nga.so2</t>
        </is>
      </c>
      <c r="I2553" s="236" t="n">
        <v>0.0348886044</v>
      </c>
      <c r="J2553" s="236" t="n">
        <v>0.0348886044</v>
      </c>
    </row>
    <row r="2554">
      <c r="A2554" s="3" t="str">
        <f>$B2554&amp;"."&amp;$C2554&amp;"."&amp;$D2554</f>
        <v>ral.die.so2</v>
      </c>
      <c r="B2554" s="8" t="inlineStr">
        <is>
          <t>ral</t>
        </is>
      </c>
      <c r="C2554" s="8" t="inlineStr">
        <is>
          <t>die</t>
        </is>
      </c>
      <c r="D2554" s="8" t="inlineStr">
        <is>
          <t>so2</t>
        </is>
      </c>
      <c r="E2554" s="3" t="str">
        <f>CodePrefix&amp;"ef."&amp;$A2554</f>
        <v>egy.mit.ef.ral.die.so2</v>
      </c>
      <c r="F2554" s="3" t="str">
        <f>CtryReg&amp;".mit.ef."&amp;$A2554</f>
        <v>mea.mit.ef.ral.die.so2</v>
      </c>
      <c r="G2554" s="3" t="str">
        <f>"wld.mit.ef."&amp;$A2554</f>
        <v>wld.mit.ef.ral.die.so2</v>
      </c>
      <c r="H2554" s="3" t="inlineStr">
        <is>
          <t>mea.mit.ef.ral.die.so2</t>
        </is>
      </c>
      <c r="I2554" s="236" t="n">
        <v>0.8866177020000001</v>
      </c>
      <c r="J2554" s="236" t="n">
        <v>0.8866177020000001</v>
      </c>
    </row>
    <row r="2555">
      <c r="A2555" s="3" t="str">
        <f>$B2555&amp;"."&amp;$C2555&amp;"."&amp;$D2555</f>
        <v>avi.jfu.so2</v>
      </c>
      <c r="B2555" s="8" t="inlineStr">
        <is>
          <t>avi</t>
        </is>
      </c>
      <c r="C2555" s="8" t="inlineStr">
        <is>
          <t>jfu</t>
        </is>
      </c>
      <c r="D2555" s="8" t="inlineStr">
        <is>
          <t>so2</t>
        </is>
      </c>
      <c r="E2555" s="3" t="str">
        <f>CodePrefix&amp;"ef."&amp;$A2555</f>
        <v>egy.mit.ef.avi.jfu.so2</v>
      </c>
      <c r="F2555" s="3" t="str">
        <f>CtryReg&amp;".mit.ef."&amp;$A2555</f>
        <v>mea.mit.ef.avi.jfu.so2</v>
      </c>
      <c r="G2555" s="3" t="str">
        <f>"wld.mit.ef."&amp;$A2555</f>
        <v>wld.mit.ef.avi.jfu.so2</v>
      </c>
      <c r="H2555" s="3" t="inlineStr">
        <is>
          <t>egy.mit.ef.avi.jfu.so2</t>
        </is>
      </c>
      <c r="I2555" s="236" t="n">
        <v>0.09504036</v>
      </c>
      <c r="J2555" s="236" t="n">
        <v>0.09504036</v>
      </c>
    </row>
    <row r="2556">
      <c r="A2556" s="3" t="str">
        <f>$B2556&amp;"."&amp;$C2556&amp;"."&amp;$D2556</f>
        <v>res.coa.so2</v>
      </c>
      <c r="B2556" s="8" t="inlineStr">
        <is>
          <t>res</t>
        </is>
      </c>
      <c r="C2556" s="8" t="inlineStr">
        <is>
          <t>coa</t>
        </is>
      </c>
      <c r="D2556" s="8" t="inlineStr">
        <is>
          <t>so2</t>
        </is>
      </c>
      <c r="E2556" s="3" t="str">
        <f>CodePrefix&amp;"ef."&amp;$A2556</f>
        <v>egy.mit.ef.res.coa.so2</v>
      </c>
      <c r="F2556" s="3" t="str">
        <f>CtryReg&amp;".mit.ef."&amp;$A2556</f>
        <v>mea.mit.ef.res.coa.so2</v>
      </c>
      <c r="G2556" s="3" t="str">
        <f>"wld.mit.ef."&amp;$A2556</f>
        <v>wld.mit.ef.res.coa.so2</v>
      </c>
      <c r="H2556" s="3" t="inlineStr">
        <is>
          <t>mea.mit.ef.res.coa.so2</t>
        </is>
      </c>
      <c r="I2556" s="236" t="n">
        <v>27.206642826</v>
      </c>
      <c r="J2556" s="236" t="n">
        <v>27.206642826</v>
      </c>
    </row>
    <row r="2557">
      <c r="A2557" s="3" t="str">
        <f>$B2557&amp;"."&amp;$C2557&amp;"."&amp;$D2557</f>
        <v>res.nga.so2</v>
      </c>
      <c r="B2557" s="8" t="inlineStr">
        <is>
          <t>res</t>
        </is>
      </c>
      <c r="C2557" s="8" t="inlineStr">
        <is>
          <t>nga</t>
        </is>
      </c>
      <c r="D2557" s="8" t="inlineStr">
        <is>
          <t>so2</t>
        </is>
      </c>
      <c r="E2557" s="3" t="str">
        <f>CodePrefix&amp;"ef."&amp;$A2557</f>
        <v>egy.mit.ef.res.nga.so2</v>
      </c>
      <c r="F2557" s="3" t="str">
        <f>CtryReg&amp;".mit.ef."&amp;$A2557</f>
        <v>mea.mit.ef.res.nga.so2</v>
      </c>
      <c r="G2557" s="3" t="str">
        <f>"wld.mit.ef."&amp;$A2557</f>
        <v>wld.mit.ef.res.nga.so2</v>
      </c>
      <c r="H2557" s="3" t="inlineStr">
        <is>
          <t>egy.mit.ef.res.nga.so2</t>
        </is>
      </c>
      <c r="I2557" s="236" t="n">
        <v>0.0348886044</v>
      </c>
      <c r="J2557" s="236" t="n">
        <v>0.0348886044</v>
      </c>
    </row>
    <row r="2558">
      <c r="A2558" s="3" t="str">
        <f>$B2558&amp;"."&amp;$C2558&amp;"."&amp;$D2558</f>
        <v>res.oop.so2</v>
      </c>
      <c r="B2558" s="8" t="inlineStr">
        <is>
          <t>res</t>
        </is>
      </c>
      <c r="C2558" s="8" t="inlineStr">
        <is>
          <t>oop</t>
        </is>
      </c>
      <c r="D2558" s="8" t="inlineStr">
        <is>
          <t>so2</t>
        </is>
      </c>
      <c r="E2558" s="3" t="str">
        <f>CodePrefix&amp;"ef."&amp;$A2558</f>
        <v>egy.mit.ef.res.oop.so2</v>
      </c>
      <c r="F2558" s="3" t="str">
        <f>CtryReg&amp;".mit.ef."&amp;$A2558</f>
        <v>mea.mit.ef.res.oop.so2</v>
      </c>
      <c r="G2558" s="3" t="str">
        <f>"wld.mit.ef."&amp;$A2558</f>
        <v>wld.mit.ef.res.oop.so2</v>
      </c>
      <c r="H2558" s="3" t="inlineStr">
        <is>
          <t>wld.mit.ef.res.oop.so2</t>
        </is>
      </c>
      <c r="I2558" s="236" t="n">
        <v>0</v>
      </c>
      <c r="J2558" s="236" t="n">
        <v>0</v>
      </c>
    </row>
    <row r="2559">
      <c r="A2559" s="3" t="str">
        <f>$B2559&amp;"."&amp;$C2559&amp;"."&amp;$D2559</f>
        <v>res.lpg.so2</v>
      </c>
      <c r="B2559" s="8" t="inlineStr">
        <is>
          <t>res</t>
        </is>
      </c>
      <c r="C2559" s="8" t="inlineStr">
        <is>
          <t>lpg</t>
        </is>
      </c>
      <c r="D2559" s="8" t="inlineStr">
        <is>
          <t>so2</t>
        </is>
      </c>
      <c r="E2559" s="3" t="str">
        <f>CodePrefix&amp;"ef."&amp;$A2559</f>
        <v>egy.mit.ef.res.lpg.so2</v>
      </c>
      <c r="F2559" s="3" t="str">
        <f>CtryReg&amp;".mit.ef."&amp;$A2559</f>
        <v>mea.mit.ef.res.lpg.so2</v>
      </c>
      <c r="G2559" s="3" t="str">
        <f>"wld.mit.ef."&amp;$A2559</f>
        <v>wld.mit.ef.res.lpg.so2</v>
      </c>
      <c r="H2559" s="3" t="inlineStr">
        <is>
          <t>wld.mit.ef.res.lpg.so2</t>
        </is>
      </c>
      <c r="I2559" s="236" t="n">
        <v>0</v>
      </c>
      <c r="J2559" s="236" t="n">
        <v>0</v>
      </c>
    </row>
    <row r="2560">
      <c r="A2560" s="3" t="str">
        <f>$B2560&amp;"."&amp;$C2560&amp;"."&amp;$D2560</f>
        <v>res.ker.so2</v>
      </c>
      <c r="B2560" s="8" t="inlineStr">
        <is>
          <t>res</t>
        </is>
      </c>
      <c r="C2560" s="8" t="inlineStr">
        <is>
          <t>ker</t>
        </is>
      </c>
      <c r="D2560" s="8" t="inlineStr">
        <is>
          <t>so2</t>
        </is>
      </c>
      <c r="E2560" s="3" t="str">
        <f>CodePrefix&amp;"ef."&amp;$A2560</f>
        <v>egy.mit.ef.res.ker.so2</v>
      </c>
      <c r="F2560" s="3" t="str">
        <f>CtryReg&amp;".mit.ef."&amp;$A2560</f>
        <v>mea.mit.ef.res.ker.so2</v>
      </c>
      <c r="G2560" s="3" t="str">
        <f>"wld.mit.ef."&amp;$A2560</f>
        <v>wld.mit.ef.res.ker.so2</v>
      </c>
      <c r="H2560" s="3" t="inlineStr">
        <is>
          <t>mea.mit.ef.res.ker.so2</t>
        </is>
      </c>
      <c r="I2560" s="236" t="n">
        <v>0.397725066</v>
      </c>
      <c r="J2560" s="236" t="n">
        <v>0.3225217644</v>
      </c>
    </row>
    <row r="2561">
      <c r="A2561" s="3" t="str">
        <f>$B2561&amp;"."&amp;$C2561&amp;"."&amp;$D2561</f>
        <v>res.bio.so2</v>
      </c>
      <c r="B2561" s="8" t="inlineStr">
        <is>
          <t>res</t>
        </is>
      </c>
      <c r="C2561" s="8" t="inlineStr">
        <is>
          <t>bio</t>
        </is>
      </c>
      <c r="D2561" s="8" t="inlineStr">
        <is>
          <t>so2</t>
        </is>
      </c>
      <c r="E2561" s="3" t="str">
        <f>CodePrefix&amp;"ef."&amp;$A2561</f>
        <v>egy.mit.ef.res.bio.so2</v>
      </c>
      <c r="F2561" s="3" t="str">
        <f>CtryReg&amp;".mit.ef."&amp;$A2561</f>
        <v>mea.mit.ef.res.bio.so2</v>
      </c>
      <c r="G2561" s="3" t="str">
        <f>"wld.mit.ef."&amp;$A2561</f>
        <v>wld.mit.ef.res.bio.so2</v>
      </c>
      <c r="H2561" s="3" t="inlineStr">
        <is>
          <t>egy.mit.ef.res.bio.so2</t>
        </is>
      </c>
      <c r="I2561" s="236" t="n">
        <v>1.0467</v>
      </c>
      <c r="J2561" s="236" t="n">
        <v>1.0467</v>
      </c>
    </row>
    <row r="2562">
      <c r="A2562" s="3" t="str">
        <f>$B2562&amp;"."&amp;$C2562&amp;"."&amp;$D2562</f>
        <v>cst.coa.so2</v>
      </c>
      <c r="B2562" s="8" t="inlineStr">
        <is>
          <t>cst</t>
        </is>
      </c>
      <c r="C2562" s="8" t="inlineStr">
        <is>
          <t>coa</t>
        </is>
      </c>
      <c r="D2562" s="8" t="inlineStr">
        <is>
          <t>so2</t>
        </is>
      </c>
      <c r="E2562" s="3" t="str">
        <f>CodePrefix&amp;"ef."&amp;$A2562</f>
        <v>egy.mit.ef.cst.coa.so2</v>
      </c>
      <c r="F2562" s="3" t="str">
        <f>CtryReg&amp;".mit.ef."&amp;$A2562</f>
        <v>mea.mit.ef.cst.coa.so2</v>
      </c>
      <c r="G2562" s="3" t="str">
        <f>"wld.mit.ef."&amp;$A2562</f>
        <v>wld.mit.ef.cst.coa.so2</v>
      </c>
      <c r="H2562" s="3" t="inlineStr">
        <is>
          <t>wld.mit.ef.cst.coa.so2</t>
        </is>
      </c>
      <c r="I2562" s="236" t="n">
        <v>0</v>
      </c>
      <c r="J2562" s="236" t="n">
        <v>0</v>
      </c>
    </row>
    <row r="2563">
      <c r="A2563" s="3" t="str">
        <f>$B2563&amp;"."&amp;$C2563&amp;"."&amp;$D2563</f>
        <v>cst.nga.so2</v>
      </c>
      <c r="B2563" s="8" t="inlineStr">
        <is>
          <t>cst</t>
        </is>
      </c>
      <c r="C2563" s="8" t="inlineStr">
        <is>
          <t>nga</t>
        </is>
      </c>
      <c r="D2563" s="8" t="inlineStr">
        <is>
          <t>so2</t>
        </is>
      </c>
      <c r="E2563" s="3" t="str">
        <f>CodePrefix&amp;"ef."&amp;$A2563</f>
        <v>egy.mit.ef.cst.nga.so2</v>
      </c>
      <c r="F2563" s="3" t="str">
        <f>CtryReg&amp;".mit.ef."&amp;$A2563</f>
        <v>mea.mit.ef.cst.nga.so2</v>
      </c>
      <c r="G2563" s="3" t="str">
        <f>"wld.mit.ef."&amp;$A2563</f>
        <v>wld.mit.ef.cst.nga.so2</v>
      </c>
      <c r="H2563" s="3" t="inlineStr">
        <is>
          <t>wld.mit.ef.cst.nga.so2</t>
        </is>
      </c>
      <c r="I2563" s="236" t="n">
        <v>0</v>
      </c>
      <c r="J2563" s="236" t="n">
        <v>0</v>
      </c>
    </row>
    <row r="2564">
      <c r="A2564" s="3" t="str">
        <f>$B2564&amp;"."&amp;$C2564&amp;"."&amp;$D2564</f>
        <v>cst.oop.so2</v>
      </c>
      <c r="B2564" s="8" t="inlineStr">
        <is>
          <t>cst</t>
        </is>
      </c>
      <c r="C2564" s="8" t="inlineStr">
        <is>
          <t>oop</t>
        </is>
      </c>
      <c r="D2564" s="8" t="inlineStr">
        <is>
          <t>so2</t>
        </is>
      </c>
      <c r="E2564" s="3" t="str">
        <f>CodePrefix&amp;"ef."&amp;$A2564</f>
        <v>egy.mit.ef.cst.oop.so2</v>
      </c>
      <c r="F2564" s="3" t="str">
        <f>CtryReg&amp;".mit.ef."&amp;$A2564</f>
        <v>mea.mit.ef.cst.oop.so2</v>
      </c>
      <c r="G2564" s="3" t="str">
        <f>"wld.mit.ef."&amp;$A2564</f>
        <v>wld.mit.ef.cst.oop.so2</v>
      </c>
      <c r="H2564" s="3" t="inlineStr">
        <is>
          <t>wld.mit.ef.cst.oop.so2</t>
        </is>
      </c>
      <c r="I2564" s="236" t="n">
        <v>0</v>
      </c>
      <c r="J2564" s="236" t="n">
        <v>0</v>
      </c>
    </row>
    <row r="2565">
      <c r="A2565" s="3" t="str">
        <f>$B2565&amp;"."&amp;$C2565&amp;"."&amp;$D2565</f>
        <v>cst.gso.so2</v>
      </c>
      <c r="B2565" s="8" t="inlineStr">
        <is>
          <t>cst</t>
        </is>
      </c>
      <c r="C2565" s="8" t="inlineStr">
        <is>
          <t>gso</t>
        </is>
      </c>
      <c r="D2565" s="8" t="inlineStr">
        <is>
          <t>so2</t>
        </is>
      </c>
      <c r="E2565" s="3" t="str">
        <f>CodePrefix&amp;"ef."&amp;$A2565</f>
        <v>egy.mit.ef.cst.gso.so2</v>
      </c>
      <c r="F2565" s="3" t="str">
        <f>CtryReg&amp;".mit.ef."&amp;$A2565</f>
        <v>mea.mit.ef.cst.gso.so2</v>
      </c>
      <c r="G2565" s="3" t="str">
        <f>"wld.mit.ef."&amp;$A2565</f>
        <v>wld.mit.ef.cst.gso.so2</v>
      </c>
      <c r="H2565" s="3" t="inlineStr">
        <is>
          <t>egy.mit.ef.cst.gso.so2</t>
        </is>
      </c>
      <c r="I2565" s="236" t="n">
        <v>0.9101726388000001</v>
      </c>
      <c r="J2565" s="236" t="n">
        <v>0.9101726388000001</v>
      </c>
    </row>
    <row r="2566">
      <c r="A2566" s="3" t="str">
        <f>$B2566&amp;"."&amp;$C2566&amp;"."&amp;$D2566</f>
        <v>cst.die.so2</v>
      </c>
      <c r="B2566" s="8" t="inlineStr">
        <is>
          <t>cst</t>
        </is>
      </c>
      <c r="C2566" s="8" t="inlineStr">
        <is>
          <t>die</t>
        </is>
      </c>
      <c r="D2566" s="8" t="inlineStr">
        <is>
          <t>so2</t>
        </is>
      </c>
      <c r="E2566" s="3" t="str">
        <f>CodePrefix&amp;"ef."&amp;$A2566</f>
        <v>egy.mit.ef.cst.die.so2</v>
      </c>
      <c r="F2566" s="3" t="str">
        <f>CtryReg&amp;".mit.ef."&amp;$A2566</f>
        <v>mea.mit.ef.cst.die.so2</v>
      </c>
      <c r="G2566" s="3" t="str">
        <f>"wld.mit.ef."&amp;$A2566</f>
        <v>wld.mit.ef.cst.die.so2</v>
      </c>
      <c r="H2566" s="3" t="inlineStr">
        <is>
          <t>egy.mit.ef.cst.die.so2</t>
        </is>
      </c>
      <c r="I2566" s="236" t="n">
        <v>0.8866177020000001</v>
      </c>
      <c r="J2566" s="236" t="n">
        <v>0.8866177020000001</v>
      </c>
    </row>
    <row r="2567">
      <c r="A2567" s="3" t="str">
        <f>$B2567&amp;"."&amp;$C2567&amp;"."&amp;$D2567</f>
        <v>cst.lpg.so2</v>
      </c>
      <c r="B2567" s="8" t="inlineStr">
        <is>
          <t>cst</t>
        </is>
      </c>
      <c r="C2567" s="8" t="inlineStr">
        <is>
          <t>lpg</t>
        </is>
      </c>
      <c r="D2567" s="8" t="inlineStr">
        <is>
          <t>so2</t>
        </is>
      </c>
      <c r="E2567" s="3" t="str">
        <f>CodePrefix&amp;"ef."&amp;$A2567</f>
        <v>egy.mit.ef.cst.lpg.so2</v>
      </c>
      <c r="F2567" s="3" t="str">
        <f>CtryReg&amp;".mit.ef."&amp;$A2567</f>
        <v>mea.mit.ef.cst.lpg.so2</v>
      </c>
      <c r="G2567" s="3" t="str">
        <f>"wld.mit.ef."&amp;$A2567</f>
        <v>wld.mit.ef.cst.lpg.so2</v>
      </c>
      <c r="H2567" s="3" t="inlineStr">
        <is>
          <t>wld.mit.ef.cst.lpg.so2</t>
        </is>
      </c>
      <c r="I2567" s="236" t="n">
        <v>0</v>
      </c>
      <c r="J2567" s="236" t="n">
        <v>0</v>
      </c>
    </row>
    <row r="2568">
      <c r="A2568" s="3" t="str">
        <f>$B2568&amp;"."&amp;$C2568&amp;"."&amp;$D2568</f>
        <v>cst.ker.so2</v>
      </c>
      <c r="B2568" s="8" t="inlineStr">
        <is>
          <t>cst</t>
        </is>
      </c>
      <c r="C2568" s="8" t="inlineStr">
        <is>
          <t>ker</t>
        </is>
      </c>
      <c r="D2568" s="8" t="inlineStr">
        <is>
          <t>so2</t>
        </is>
      </c>
      <c r="E2568" s="3" t="str">
        <f>CodePrefix&amp;"ef."&amp;$A2568</f>
        <v>egy.mit.ef.cst.ker.so2</v>
      </c>
      <c r="F2568" s="3" t="str">
        <f>CtryReg&amp;".mit.ef."&amp;$A2568</f>
        <v>mea.mit.ef.cst.ker.so2</v>
      </c>
      <c r="G2568" s="3" t="str">
        <f>"wld.mit.ef."&amp;$A2568</f>
        <v>wld.mit.ef.cst.ker.so2</v>
      </c>
      <c r="H2568" s="3" t="inlineStr">
        <is>
          <t>egy.mit.ef.cst.ker.so2</t>
        </is>
      </c>
      <c r="I2568" s="236" t="n">
        <v>0.9101726388000001</v>
      </c>
      <c r="J2568" s="236" t="n">
        <v>0.9101726388000001</v>
      </c>
    </row>
    <row r="2569">
      <c r="A2569" s="3" t="str">
        <f>$B2569&amp;"."&amp;$C2569&amp;"."&amp;$D2569</f>
        <v>cst.bio.so2</v>
      </c>
      <c r="B2569" s="8" t="inlineStr">
        <is>
          <t>cst</t>
        </is>
      </c>
      <c r="C2569" s="8" t="inlineStr">
        <is>
          <t>bio</t>
        </is>
      </c>
      <c r="D2569" s="8" t="inlineStr">
        <is>
          <t>so2</t>
        </is>
      </c>
      <c r="E2569" s="3" t="str">
        <f>CodePrefix&amp;"ef."&amp;$A2569</f>
        <v>egy.mit.ef.cst.bio.so2</v>
      </c>
      <c r="F2569" s="3" t="str">
        <f>CtryReg&amp;".mit.ef."&amp;$A2569</f>
        <v>mea.mit.ef.cst.bio.so2</v>
      </c>
      <c r="G2569" s="3" t="str">
        <f>"wld.mit.ef."&amp;$A2569</f>
        <v>wld.mit.ef.cst.bio.so2</v>
      </c>
      <c r="H2569" s="3" t="inlineStr">
        <is>
          <t>wld.mit.ef.cst.bio.so2</t>
        </is>
      </c>
      <c r="I2569" s="236" t="n">
        <v>0</v>
      </c>
      <c r="J2569" s="236" t="n">
        <v>0</v>
      </c>
    </row>
    <row r="2570">
      <c r="A2570" s="3" t="str">
        <f>$B2570&amp;"."&amp;$C2570&amp;"."&amp;$D2570</f>
        <v>srv.coa.so2</v>
      </c>
      <c r="B2570" s="8" t="inlineStr">
        <is>
          <t>srv</t>
        </is>
      </c>
      <c r="C2570" s="8" t="inlineStr">
        <is>
          <t>coa</t>
        </is>
      </c>
      <c r="D2570" s="8" t="inlineStr">
        <is>
          <t>so2</t>
        </is>
      </c>
      <c r="E2570" s="3" t="str">
        <f>CodePrefix&amp;"ef."&amp;$A2570</f>
        <v>egy.mit.ef.srv.coa.so2</v>
      </c>
      <c r="F2570" s="3" t="str">
        <f>CtryReg&amp;".mit.ef."&amp;$A2570</f>
        <v>mea.mit.ef.srv.coa.so2</v>
      </c>
      <c r="G2570" s="3" t="str">
        <f>"wld.mit.ef."&amp;$A2570</f>
        <v>wld.mit.ef.srv.coa.so2</v>
      </c>
      <c r="H2570" s="3" t="inlineStr">
        <is>
          <t>wld.mit.ef.srv.coa.so2</t>
        </is>
      </c>
      <c r="I2570" s="236" t="n">
        <v>0</v>
      </c>
      <c r="J2570" s="236" t="n">
        <v>0</v>
      </c>
    </row>
    <row r="2571">
      <c r="A2571" s="3" t="str">
        <f>$B2571&amp;"."&amp;$C2571&amp;"."&amp;$D2571</f>
        <v>srv.nga.so2</v>
      </c>
      <c r="B2571" s="8" t="inlineStr">
        <is>
          <t>srv</t>
        </is>
      </c>
      <c r="C2571" s="8" t="inlineStr">
        <is>
          <t>nga</t>
        </is>
      </c>
      <c r="D2571" s="8" t="inlineStr">
        <is>
          <t>so2</t>
        </is>
      </c>
      <c r="E2571" s="3" t="str">
        <f>CodePrefix&amp;"ef."&amp;$A2571</f>
        <v>egy.mit.ef.srv.nga.so2</v>
      </c>
      <c r="F2571" s="3" t="str">
        <f>CtryReg&amp;".mit.ef."&amp;$A2571</f>
        <v>mea.mit.ef.srv.nga.so2</v>
      </c>
      <c r="G2571" s="3" t="str">
        <f>"wld.mit.ef."&amp;$A2571</f>
        <v>wld.mit.ef.srv.nga.so2</v>
      </c>
      <c r="H2571" s="3" t="inlineStr">
        <is>
          <t>mea.mit.ef.srv.nga.so2</t>
        </is>
      </c>
      <c r="I2571" s="236" t="n">
        <v>0.0348886044</v>
      </c>
      <c r="J2571" s="236" t="n">
        <v>0.0348886044</v>
      </c>
    </row>
    <row r="2572">
      <c r="A2572" s="3" t="str">
        <f>$B2572&amp;"."&amp;$C2572&amp;"."&amp;$D2572</f>
        <v>srv.oop.so2</v>
      </c>
      <c r="B2572" s="8" t="inlineStr">
        <is>
          <t>srv</t>
        </is>
      </c>
      <c r="C2572" s="8" t="inlineStr">
        <is>
          <t>oop</t>
        </is>
      </c>
      <c r="D2572" s="8" t="inlineStr">
        <is>
          <t>so2</t>
        </is>
      </c>
      <c r="E2572" s="3" t="str">
        <f>CodePrefix&amp;"ef."&amp;$A2572</f>
        <v>egy.mit.ef.srv.oop.so2</v>
      </c>
      <c r="F2572" s="3" t="str">
        <f>CtryReg&amp;".mit.ef."&amp;$A2572</f>
        <v>mea.mit.ef.srv.oop.so2</v>
      </c>
      <c r="G2572" s="3" t="str">
        <f>"wld.mit.ef."&amp;$A2572</f>
        <v>wld.mit.ef.srv.oop.so2</v>
      </c>
      <c r="H2572" s="3" t="inlineStr">
        <is>
          <t>mea.mit.ef.srv.oop.so2</t>
        </is>
      </c>
      <c r="I2572" s="236" t="n">
        <v>34.3014936228</v>
      </c>
      <c r="J2572" s="236" t="n">
        <v>26.230553208</v>
      </c>
    </row>
    <row r="2573">
      <c r="A2573" s="3" t="str">
        <f>$B2573&amp;"."&amp;$C2573&amp;"."&amp;$D2573</f>
        <v>srv.gso.so2</v>
      </c>
      <c r="B2573" s="8" t="inlineStr">
        <is>
          <t>srv</t>
        </is>
      </c>
      <c r="C2573" s="8" t="inlineStr">
        <is>
          <t>gso</t>
        </is>
      </c>
      <c r="D2573" s="8" t="inlineStr">
        <is>
          <t>so2</t>
        </is>
      </c>
      <c r="E2573" s="3" t="str">
        <f>CodePrefix&amp;"ef."&amp;$A2573</f>
        <v>egy.mit.ef.srv.gso.so2</v>
      </c>
      <c r="F2573" s="3" t="str">
        <f>CtryReg&amp;".mit.ef."&amp;$A2573</f>
        <v>mea.mit.ef.srv.gso.so2</v>
      </c>
      <c r="G2573" s="3" t="str">
        <f>"wld.mit.ef."&amp;$A2573</f>
        <v>wld.mit.ef.srv.gso.so2</v>
      </c>
      <c r="H2573" s="3" t="inlineStr">
        <is>
          <t>mea.mit.ef.srv.gso.so2</t>
        </is>
      </c>
      <c r="I2573" s="236" t="n">
        <v>0.1869113124</v>
      </c>
      <c r="J2573" s="236" t="n">
        <v>0.1869113124</v>
      </c>
    </row>
    <row r="2574">
      <c r="A2574" s="3" t="str">
        <f>$B2574&amp;"."&amp;$C2574&amp;"."&amp;$D2574</f>
        <v>srv.die.so2</v>
      </c>
      <c r="B2574" s="8" t="inlineStr">
        <is>
          <t>srv</t>
        </is>
      </c>
      <c r="C2574" s="8" t="inlineStr">
        <is>
          <t>die</t>
        </is>
      </c>
      <c r="D2574" s="8" t="inlineStr">
        <is>
          <t>so2</t>
        </is>
      </c>
      <c r="E2574" s="3" t="str">
        <f>CodePrefix&amp;"ef."&amp;$A2574</f>
        <v>egy.mit.ef.srv.die.so2</v>
      </c>
      <c r="F2574" s="3" t="str">
        <f>CtryReg&amp;".mit.ef."&amp;$A2574</f>
        <v>mea.mit.ef.srv.die.so2</v>
      </c>
      <c r="G2574" s="3" t="str">
        <f>"wld.mit.ef."&amp;$A2574</f>
        <v>wld.mit.ef.srv.die.so2</v>
      </c>
      <c r="H2574" s="3" t="inlineStr">
        <is>
          <t>mea.mit.ef.srv.die.so2</t>
        </is>
      </c>
      <c r="I2574" s="236" t="n">
        <v>3.9223156572</v>
      </c>
      <c r="J2574" s="236" t="n">
        <v>3.9223156572</v>
      </c>
    </row>
    <row r="2575">
      <c r="A2575" s="3" t="str">
        <f>$B2575&amp;"."&amp;$C2575&amp;"."&amp;$D2575</f>
        <v>srv.lpg.so2</v>
      </c>
      <c r="B2575" s="8" t="inlineStr">
        <is>
          <t>srv</t>
        </is>
      </c>
      <c r="C2575" s="8" t="inlineStr">
        <is>
          <t>lpg</t>
        </is>
      </c>
      <c r="D2575" s="8" t="inlineStr">
        <is>
          <t>so2</t>
        </is>
      </c>
      <c r="E2575" s="3" t="str">
        <f>CodePrefix&amp;"ef."&amp;$A2575</f>
        <v>egy.mit.ef.srv.lpg.so2</v>
      </c>
      <c r="F2575" s="3" t="str">
        <f>CtryReg&amp;".mit.ef."&amp;$A2575</f>
        <v>mea.mit.ef.srv.lpg.so2</v>
      </c>
      <c r="G2575" s="3" t="str">
        <f>"wld.mit.ef."&amp;$A2575</f>
        <v>wld.mit.ef.srv.lpg.so2</v>
      </c>
      <c r="H2575" s="3" t="inlineStr">
        <is>
          <t>wld.mit.ef.srv.lpg.so2</t>
        </is>
      </c>
      <c r="I2575" s="236" t="n">
        <v>0</v>
      </c>
      <c r="J2575" s="236" t="n">
        <v>0</v>
      </c>
    </row>
    <row r="2576">
      <c r="A2576" s="3" t="str">
        <f>$B2576&amp;"."&amp;$C2576&amp;"."&amp;$D2576</f>
        <v>srv.ker.so2</v>
      </c>
      <c r="B2576" s="8" t="inlineStr">
        <is>
          <t>srv</t>
        </is>
      </c>
      <c r="C2576" s="8" t="inlineStr">
        <is>
          <t>ker</t>
        </is>
      </c>
      <c r="D2576" s="8" t="inlineStr">
        <is>
          <t>so2</t>
        </is>
      </c>
      <c r="E2576" s="3" t="str">
        <f>CodePrefix&amp;"ef."&amp;$A2576</f>
        <v>egy.mit.ef.srv.ker.so2</v>
      </c>
      <c r="F2576" s="3" t="str">
        <f>CtryReg&amp;".mit.ef."&amp;$A2576</f>
        <v>mea.mit.ef.srv.ker.so2</v>
      </c>
      <c r="G2576" s="3" t="str">
        <f>"wld.mit.ef."&amp;$A2576</f>
        <v>wld.mit.ef.srv.ker.so2</v>
      </c>
      <c r="H2576" s="3" t="inlineStr">
        <is>
          <t>mea.mit.ef.srv.ker.so2</t>
        </is>
      </c>
      <c r="I2576" s="236" t="n">
        <v>0.1869113124</v>
      </c>
      <c r="J2576" s="236" t="n">
        <v>0.1869113124</v>
      </c>
    </row>
    <row r="2577">
      <c r="A2577" s="3" t="str">
        <f>$B2577&amp;"."&amp;$C2577&amp;"."&amp;$D2577</f>
        <v>srv.bio.so2</v>
      </c>
      <c r="B2577" s="8" t="inlineStr">
        <is>
          <t>srv</t>
        </is>
      </c>
      <c r="C2577" s="8" t="inlineStr">
        <is>
          <t>bio</t>
        </is>
      </c>
      <c r="D2577" s="8" t="inlineStr">
        <is>
          <t>so2</t>
        </is>
      </c>
      <c r="E2577" s="3" t="str">
        <f>CodePrefix&amp;"ef."&amp;$A2577</f>
        <v>egy.mit.ef.srv.bio.so2</v>
      </c>
      <c r="F2577" s="3" t="str">
        <f>CtryReg&amp;".mit.ef."&amp;$A2577</f>
        <v>mea.mit.ef.srv.bio.so2</v>
      </c>
      <c r="G2577" s="3" t="str">
        <f>"wld.mit.ef."&amp;$A2577</f>
        <v>wld.mit.ef.srv.bio.so2</v>
      </c>
      <c r="H2577" s="3" t="inlineStr">
        <is>
          <t>mea.mit.ef.srv.bio.so2</t>
        </is>
      </c>
      <c r="I2577" s="236" t="n">
        <v>1.0467</v>
      </c>
      <c r="J2577" s="236" t="n">
        <v>1.0467</v>
      </c>
    </row>
    <row r="2578">
      <c r="A2578" s="3" t="str">
        <f>$B2578&amp;"."&amp;$C2578&amp;"."&amp;$D2578</f>
        <v>mnf.coa.so2</v>
      </c>
      <c r="B2578" s="8" t="inlineStr">
        <is>
          <t>mnf</t>
        </is>
      </c>
      <c r="C2578" s="8" t="inlineStr">
        <is>
          <t>coa</t>
        </is>
      </c>
      <c r="D2578" s="8" t="inlineStr">
        <is>
          <t>so2</t>
        </is>
      </c>
      <c r="E2578" s="3" t="str">
        <f>CodePrefix&amp;"ef."&amp;$A2578</f>
        <v>egy.mit.ef.mnf.coa.so2</v>
      </c>
      <c r="F2578" s="3" t="str">
        <f>CtryReg&amp;".mit.ef."&amp;$A2578</f>
        <v>mea.mit.ef.mnf.coa.so2</v>
      </c>
      <c r="G2578" s="3" t="str">
        <f>"wld.mit.ef."&amp;$A2578</f>
        <v>wld.mit.ef.mnf.coa.so2</v>
      </c>
      <c r="H2578" s="3" t="inlineStr">
        <is>
          <t>egy.mit.ef.mnf.coa.so2</t>
        </is>
      </c>
      <c r="I2578" s="236" t="n">
        <v>1.511497602</v>
      </c>
      <c r="J2578" s="236" t="n">
        <v>1.5114808548</v>
      </c>
    </row>
    <row r="2579">
      <c r="A2579" s="3" t="str">
        <f>$B2579&amp;"."&amp;$C2579&amp;"."&amp;$D2579</f>
        <v>mnf.nga.so2</v>
      </c>
      <c r="B2579" s="8" t="inlineStr">
        <is>
          <t>mnf</t>
        </is>
      </c>
      <c r="C2579" s="8" t="inlineStr">
        <is>
          <t>nga</t>
        </is>
      </c>
      <c r="D2579" s="8" t="inlineStr">
        <is>
          <t>so2</t>
        </is>
      </c>
      <c r="E2579" s="3" t="str">
        <f>CodePrefix&amp;"ef."&amp;$A2579</f>
        <v>egy.mit.ef.mnf.nga.so2</v>
      </c>
      <c r="F2579" s="3" t="str">
        <f>CtryReg&amp;".mit.ef."&amp;$A2579</f>
        <v>mea.mit.ef.mnf.nga.so2</v>
      </c>
      <c r="G2579" s="3" t="str">
        <f>"wld.mit.ef."&amp;$A2579</f>
        <v>wld.mit.ef.mnf.nga.so2</v>
      </c>
      <c r="H2579" s="3" t="inlineStr">
        <is>
          <t>egy.mit.ef.mnf.nga.so2</t>
        </is>
      </c>
      <c r="I2579" s="236" t="n">
        <v>0.0348886044</v>
      </c>
      <c r="J2579" s="236" t="n">
        <v>0.0348886044</v>
      </c>
    </row>
    <row r="2580">
      <c r="A2580" s="3" t="str">
        <f>$B2580&amp;"."&amp;$C2580&amp;"."&amp;$D2580</f>
        <v>mnf.oop.so2</v>
      </c>
      <c r="B2580" s="8" t="inlineStr">
        <is>
          <t>mnf</t>
        </is>
      </c>
      <c r="C2580" s="8" t="inlineStr">
        <is>
          <t>oop</t>
        </is>
      </c>
      <c r="D2580" s="8" t="inlineStr">
        <is>
          <t>so2</t>
        </is>
      </c>
      <c r="E2580" s="3" t="str">
        <f>CodePrefix&amp;"ef."&amp;$A2580</f>
        <v>egy.mit.ef.mnf.oop.so2</v>
      </c>
      <c r="F2580" s="3" t="str">
        <f>CtryReg&amp;".mit.ef."&amp;$A2580</f>
        <v>mea.mit.ef.mnf.oop.so2</v>
      </c>
      <c r="G2580" s="3" t="str">
        <f>"wld.mit.ef."&amp;$A2580</f>
        <v>wld.mit.ef.mnf.oop.so2</v>
      </c>
      <c r="H2580" s="3" t="inlineStr">
        <is>
          <t>egy.mit.ef.mnf.oop.so2</t>
        </is>
      </c>
      <c r="I2580" s="236" t="n">
        <v>35.5878</v>
      </c>
      <c r="J2580" s="236" t="n">
        <v>27.2137143312</v>
      </c>
    </row>
    <row r="2581">
      <c r="A2581" s="3" t="str">
        <f>$B2581&amp;"."&amp;$C2581&amp;"."&amp;$D2581</f>
        <v>mnf.gso.so2</v>
      </c>
      <c r="B2581" s="8" t="inlineStr">
        <is>
          <t>mnf</t>
        </is>
      </c>
      <c r="C2581" s="8" t="inlineStr">
        <is>
          <t>gso</t>
        </is>
      </c>
      <c r="D2581" s="8" t="inlineStr">
        <is>
          <t>so2</t>
        </is>
      </c>
      <c r="E2581" s="3" t="str">
        <f>CodePrefix&amp;"ef."&amp;$A2581</f>
        <v>egy.mit.ef.mnf.gso.so2</v>
      </c>
      <c r="F2581" s="3" t="str">
        <f>CtryReg&amp;".mit.ef."&amp;$A2581</f>
        <v>mea.mit.ef.mnf.gso.so2</v>
      </c>
      <c r="G2581" s="3" t="str">
        <f>"wld.mit.ef."&amp;$A2581</f>
        <v>wld.mit.ef.mnf.gso.so2</v>
      </c>
      <c r="H2581" s="3" t="inlineStr">
        <is>
          <t>egy.mit.ef.mnf.gso.so2</t>
        </is>
      </c>
      <c r="I2581" s="236" t="n">
        <v>0.9101726388000001</v>
      </c>
      <c r="J2581" s="236" t="n">
        <v>0.9101726388000001</v>
      </c>
    </row>
    <row r="2582">
      <c r="A2582" s="3" t="str">
        <f>$B2582&amp;"."&amp;$C2582&amp;"."&amp;$D2582</f>
        <v>mnf.die.so2</v>
      </c>
      <c r="B2582" s="8" t="inlineStr">
        <is>
          <t>mnf</t>
        </is>
      </c>
      <c r="C2582" s="8" t="inlineStr">
        <is>
          <t>die</t>
        </is>
      </c>
      <c r="D2582" s="8" t="inlineStr">
        <is>
          <t>so2</t>
        </is>
      </c>
      <c r="E2582" s="3" t="str">
        <f>CodePrefix&amp;"ef."&amp;$A2582</f>
        <v>egy.mit.ef.mnf.die.so2</v>
      </c>
      <c r="F2582" s="3" t="str">
        <f>CtryReg&amp;".mit.ef."&amp;$A2582</f>
        <v>mea.mit.ef.mnf.die.so2</v>
      </c>
      <c r="G2582" s="3" t="str">
        <f>"wld.mit.ef."&amp;$A2582</f>
        <v>wld.mit.ef.mnf.die.so2</v>
      </c>
      <c r="H2582" s="3" t="inlineStr">
        <is>
          <t>egy.mit.ef.mnf.die.so2</t>
        </is>
      </c>
      <c r="I2582" s="236" t="n">
        <v>3.9405156768</v>
      </c>
      <c r="J2582" s="236" t="n">
        <v>3.9405156768</v>
      </c>
    </row>
    <row r="2583">
      <c r="A2583" s="3" t="str">
        <f>$B2583&amp;"."&amp;$C2583&amp;"."&amp;$D2583</f>
        <v>mnf.lpg.so2</v>
      </c>
      <c r="B2583" s="8" t="inlineStr">
        <is>
          <t>mnf</t>
        </is>
      </c>
      <c r="C2583" s="8" t="inlineStr">
        <is>
          <t>lpg</t>
        </is>
      </c>
      <c r="D2583" s="8" t="inlineStr">
        <is>
          <t>so2</t>
        </is>
      </c>
      <c r="E2583" s="3" t="str">
        <f>CodePrefix&amp;"ef."&amp;$A2583</f>
        <v>egy.mit.ef.mnf.lpg.so2</v>
      </c>
      <c r="F2583" s="3" t="str">
        <f>CtryReg&amp;".mit.ef."&amp;$A2583</f>
        <v>mea.mit.ef.mnf.lpg.so2</v>
      </c>
      <c r="G2583" s="3" t="str">
        <f>"wld.mit.ef."&amp;$A2583</f>
        <v>wld.mit.ef.mnf.lpg.so2</v>
      </c>
      <c r="H2583" s="3" t="inlineStr">
        <is>
          <t>wld.mit.ef.mnf.lpg.so2</t>
        </is>
      </c>
      <c r="I2583" s="236" t="n">
        <v>0</v>
      </c>
      <c r="J2583" s="236" t="n">
        <v>0</v>
      </c>
    </row>
    <row r="2584">
      <c r="A2584" s="3" t="str">
        <f>$B2584&amp;"."&amp;$C2584&amp;"."&amp;$D2584</f>
        <v>mnf.ker.so2</v>
      </c>
      <c r="B2584" s="8" t="inlineStr">
        <is>
          <t>mnf</t>
        </is>
      </c>
      <c r="C2584" s="8" t="inlineStr">
        <is>
          <t>ker</t>
        </is>
      </c>
      <c r="D2584" s="8" t="inlineStr">
        <is>
          <t>so2</t>
        </is>
      </c>
      <c r="E2584" s="3" t="str">
        <f>CodePrefix&amp;"ef."&amp;$A2584</f>
        <v>egy.mit.ef.mnf.ker.so2</v>
      </c>
      <c r="F2584" s="3" t="str">
        <f>CtryReg&amp;".mit.ef."&amp;$A2584</f>
        <v>mea.mit.ef.mnf.ker.so2</v>
      </c>
      <c r="G2584" s="3" t="str">
        <f>"wld.mit.ef."&amp;$A2584</f>
        <v>wld.mit.ef.mnf.ker.so2</v>
      </c>
      <c r="H2584" s="3" t="inlineStr">
        <is>
          <t>egy.mit.ef.mnf.ker.so2</t>
        </is>
      </c>
      <c r="I2584" s="236" t="n">
        <v>0.9101726388000001</v>
      </c>
      <c r="J2584" s="236" t="n">
        <v>0.9101726388000001</v>
      </c>
    </row>
    <row r="2585">
      <c r="A2585" s="3" t="str">
        <f>$B2585&amp;"."&amp;$C2585&amp;"."&amp;$D2585</f>
        <v>mnf.bio.so2</v>
      </c>
      <c r="B2585" s="8" t="inlineStr">
        <is>
          <t>mnf</t>
        </is>
      </c>
      <c r="C2585" s="8" t="inlineStr">
        <is>
          <t>bio</t>
        </is>
      </c>
      <c r="D2585" s="8" t="inlineStr">
        <is>
          <t>so2</t>
        </is>
      </c>
      <c r="E2585" s="3" t="str">
        <f>CodePrefix&amp;"ef."&amp;$A2585</f>
        <v>egy.mit.ef.mnf.bio.so2</v>
      </c>
      <c r="F2585" s="3" t="str">
        <f>CtryReg&amp;".mit.ef."&amp;$A2585</f>
        <v>mea.mit.ef.mnf.bio.so2</v>
      </c>
      <c r="G2585" s="3" t="str">
        <f>"wld.mit.ef."&amp;$A2585</f>
        <v>wld.mit.ef.mnf.bio.so2</v>
      </c>
      <c r="H2585" s="3" t="inlineStr">
        <is>
          <t>mea.mit.ef.mnf.bio.so2</t>
        </is>
      </c>
      <c r="I2585" s="236" t="n">
        <v>1.0467</v>
      </c>
      <c r="J2585" s="236" t="n">
        <v>1.0467</v>
      </c>
    </row>
    <row r="2586">
      <c r="A2586" s="3" t="str">
        <f>$B2586&amp;"."&amp;$C2586&amp;"."&amp;$D2586</f>
        <v>omn.coa.so2</v>
      </c>
      <c r="B2586" s="8" t="inlineStr">
        <is>
          <t>omn</t>
        </is>
      </c>
      <c r="C2586" s="8" t="inlineStr">
        <is>
          <t>coa</t>
        </is>
      </c>
      <c r="D2586" s="8" t="inlineStr">
        <is>
          <t>so2</t>
        </is>
      </c>
      <c r="E2586" s="3" t="str">
        <f>CodePrefix&amp;"ef."&amp;$A2586</f>
        <v>egy.mit.ef.omn.coa.so2</v>
      </c>
      <c r="F2586" s="3" t="str">
        <f>CtryReg&amp;".mit.ef."&amp;$A2586</f>
        <v>mea.mit.ef.omn.coa.so2</v>
      </c>
      <c r="G2586" s="3" t="str">
        <f>"wld.mit.ef."&amp;$A2586</f>
        <v>wld.mit.ef.omn.coa.so2</v>
      </c>
      <c r="H2586" s="3" t="inlineStr">
        <is>
          <t>wld.mit.ef.omn.coa.so2</t>
        </is>
      </c>
      <c r="I2586" s="236" t="n">
        <v>0</v>
      </c>
      <c r="J2586" s="236" t="n">
        <v>0</v>
      </c>
    </row>
    <row r="2587">
      <c r="A2587" s="3" t="str">
        <f>$B2587&amp;"."&amp;$C2587&amp;"."&amp;$D2587</f>
        <v>omn.nga.so2</v>
      </c>
      <c r="B2587" s="8" t="inlineStr">
        <is>
          <t>omn</t>
        </is>
      </c>
      <c r="C2587" s="8" t="inlineStr">
        <is>
          <t>nga</t>
        </is>
      </c>
      <c r="D2587" s="8" t="inlineStr">
        <is>
          <t>so2</t>
        </is>
      </c>
      <c r="E2587" s="3" t="str">
        <f>CodePrefix&amp;"ef."&amp;$A2587</f>
        <v>egy.mit.ef.omn.nga.so2</v>
      </c>
      <c r="F2587" s="3" t="str">
        <f>CtryReg&amp;".mit.ef."&amp;$A2587</f>
        <v>mea.mit.ef.omn.nga.so2</v>
      </c>
      <c r="G2587" s="3" t="str">
        <f>"wld.mit.ef."&amp;$A2587</f>
        <v>wld.mit.ef.omn.nga.so2</v>
      </c>
      <c r="H2587" s="3" t="inlineStr">
        <is>
          <t>egy.mit.ef.omn.nga.so2</t>
        </is>
      </c>
      <c r="I2587" s="236" t="n">
        <v>0.0348886044</v>
      </c>
      <c r="J2587" s="236" t="n">
        <v>0.0348886044</v>
      </c>
    </row>
    <row r="2588">
      <c r="A2588" s="3" t="str">
        <f>$B2588&amp;"."&amp;$C2588&amp;"."&amp;$D2588</f>
        <v>omn.oop.so2</v>
      </c>
      <c r="B2588" s="8" t="inlineStr">
        <is>
          <t>omn</t>
        </is>
      </c>
      <c r="C2588" s="8" t="inlineStr">
        <is>
          <t>oop</t>
        </is>
      </c>
      <c r="D2588" s="8" t="inlineStr">
        <is>
          <t>so2</t>
        </is>
      </c>
      <c r="E2588" s="3" t="str">
        <f>CodePrefix&amp;"ef."&amp;$A2588</f>
        <v>egy.mit.ef.omn.oop.so2</v>
      </c>
      <c r="F2588" s="3" t="str">
        <f>CtryReg&amp;".mit.ef."&amp;$A2588</f>
        <v>mea.mit.ef.omn.oop.so2</v>
      </c>
      <c r="G2588" s="3" t="str">
        <f>"wld.mit.ef."&amp;$A2588</f>
        <v>wld.mit.ef.omn.oop.so2</v>
      </c>
      <c r="H2588" s="3" t="inlineStr">
        <is>
          <t>egy.mit.ef.omn.oop.so2</t>
        </is>
      </c>
      <c r="I2588" s="236" t="n">
        <v>35.5878</v>
      </c>
      <c r="J2588" s="236" t="n">
        <v>27.2142</v>
      </c>
    </row>
    <row r="2589">
      <c r="A2589" s="3" t="str">
        <f>$B2589&amp;"."&amp;$C2589&amp;"."&amp;$D2589</f>
        <v>omn.gso.so2</v>
      </c>
      <c r="B2589" s="8" t="inlineStr">
        <is>
          <t>omn</t>
        </is>
      </c>
      <c r="C2589" s="8" t="inlineStr">
        <is>
          <t>gso</t>
        </is>
      </c>
      <c r="D2589" s="8" t="inlineStr">
        <is>
          <t>so2</t>
        </is>
      </c>
      <c r="E2589" s="3" t="str">
        <f>CodePrefix&amp;"ef."&amp;$A2589</f>
        <v>egy.mit.ef.omn.gso.so2</v>
      </c>
      <c r="F2589" s="3" t="str">
        <f>CtryReg&amp;".mit.ef."&amp;$A2589</f>
        <v>mea.mit.ef.omn.gso.so2</v>
      </c>
      <c r="G2589" s="3" t="str">
        <f>"wld.mit.ef."&amp;$A2589</f>
        <v>wld.mit.ef.omn.gso.so2</v>
      </c>
      <c r="H2589" s="3" t="inlineStr">
        <is>
          <t>egy.mit.ef.omn.gso.so2</t>
        </is>
      </c>
      <c r="I2589" s="236" t="n">
        <v>0.9101726388000001</v>
      </c>
      <c r="J2589" s="236" t="n">
        <v>0.9101726388000001</v>
      </c>
    </row>
    <row r="2590">
      <c r="A2590" s="3" t="str">
        <f>$B2590&amp;"."&amp;$C2590&amp;"."&amp;$D2590</f>
        <v>omn.die.so2</v>
      </c>
      <c r="B2590" s="8" t="inlineStr">
        <is>
          <t>omn</t>
        </is>
      </c>
      <c r="C2590" s="8" t="inlineStr">
        <is>
          <t>die</t>
        </is>
      </c>
      <c r="D2590" s="8" t="inlineStr">
        <is>
          <t>so2</t>
        </is>
      </c>
      <c r="E2590" s="3" t="str">
        <f>CodePrefix&amp;"ef."&amp;$A2590</f>
        <v>egy.mit.ef.omn.die.so2</v>
      </c>
      <c r="F2590" s="3" t="str">
        <f>CtryReg&amp;".mit.ef."&amp;$A2590</f>
        <v>mea.mit.ef.omn.die.so2</v>
      </c>
      <c r="G2590" s="3" t="str">
        <f>"wld.mit.ef."&amp;$A2590</f>
        <v>wld.mit.ef.omn.die.so2</v>
      </c>
      <c r="H2590" s="3" t="inlineStr">
        <is>
          <t>mea.mit.ef.omn.die.so2</t>
        </is>
      </c>
      <c r="I2590" s="236" t="n">
        <v>3.7691541396</v>
      </c>
      <c r="J2590" s="236" t="n">
        <v>3.7691541396</v>
      </c>
    </row>
    <row r="2591">
      <c r="A2591" s="3" t="str">
        <f>$B2591&amp;"."&amp;$C2591&amp;"."&amp;$D2591</f>
        <v>omn.lpg.so2</v>
      </c>
      <c r="B2591" s="8" t="inlineStr">
        <is>
          <t>omn</t>
        </is>
      </c>
      <c r="C2591" s="8" t="inlineStr">
        <is>
          <t>lpg</t>
        </is>
      </c>
      <c r="D2591" s="8" t="inlineStr">
        <is>
          <t>so2</t>
        </is>
      </c>
      <c r="E2591" s="3" t="str">
        <f>CodePrefix&amp;"ef."&amp;$A2591</f>
        <v>egy.mit.ef.omn.lpg.so2</v>
      </c>
      <c r="F2591" s="3" t="str">
        <f>CtryReg&amp;".mit.ef."&amp;$A2591</f>
        <v>mea.mit.ef.omn.lpg.so2</v>
      </c>
      <c r="G2591" s="3" t="str">
        <f>"wld.mit.ef."&amp;$A2591</f>
        <v>wld.mit.ef.omn.lpg.so2</v>
      </c>
      <c r="H2591" s="3" t="inlineStr">
        <is>
          <t>wld.mit.ef.omn.lpg.so2</t>
        </is>
      </c>
      <c r="I2591" s="236" t="n">
        <v>0</v>
      </c>
      <c r="J2591" s="236" t="n">
        <v>0</v>
      </c>
    </row>
    <row r="2592">
      <c r="A2592" s="3" t="str">
        <f>$B2592&amp;"."&amp;$C2592&amp;"."&amp;$D2592</f>
        <v>omn.ker.so2</v>
      </c>
      <c r="B2592" s="8" t="inlineStr">
        <is>
          <t>omn</t>
        </is>
      </c>
      <c r="C2592" s="8" t="inlineStr">
        <is>
          <t>ker</t>
        </is>
      </c>
      <c r="D2592" s="8" t="inlineStr">
        <is>
          <t>so2</t>
        </is>
      </c>
      <c r="E2592" s="3" t="str">
        <f>CodePrefix&amp;"ef."&amp;$A2592</f>
        <v>egy.mit.ef.omn.ker.so2</v>
      </c>
      <c r="F2592" s="3" t="str">
        <f>CtryReg&amp;".mit.ef."&amp;$A2592</f>
        <v>mea.mit.ef.omn.ker.so2</v>
      </c>
      <c r="G2592" s="3" t="str">
        <f>"wld.mit.ef."&amp;$A2592</f>
        <v>wld.mit.ef.omn.ker.so2</v>
      </c>
      <c r="H2592" s="3" t="inlineStr">
        <is>
          <t>egy.mit.ef.omn.ker.so2</t>
        </is>
      </c>
      <c r="I2592" s="236" t="n">
        <v>0.9101726388000001</v>
      </c>
      <c r="J2592" s="236" t="n">
        <v>0.9101726388000001</v>
      </c>
    </row>
    <row r="2593">
      <c r="A2593" s="3" t="str">
        <f>$B2593&amp;"."&amp;$C2593&amp;"."&amp;$D2593</f>
        <v>omn.bio.so2</v>
      </c>
      <c r="B2593" s="8" t="inlineStr">
        <is>
          <t>omn</t>
        </is>
      </c>
      <c r="C2593" s="8" t="inlineStr">
        <is>
          <t>bio</t>
        </is>
      </c>
      <c r="D2593" s="8" t="inlineStr">
        <is>
          <t>so2</t>
        </is>
      </c>
      <c r="E2593" s="3" t="str">
        <f>CodePrefix&amp;"ef."&amp;$A2593</f>
        <v>egy.mit.ef.omn.bio.so2</v>
      </c>
      <c r="F2593" s="3" t="str">
        <f>CtryReg&amp;".mit.ef."&amp;$A2593</f>
        <v>mea.mit.ef.omn.bio.so2</v>
      </c>
      <c r="G2593" s="3" t="str">
        <f>"wld.mit.ef."&amp;$A2593</f>
        <v>wld.mit.ef.omn.bio.so2</v>
      </c>
      <c r="H2593" s="3" t="inlineStr">
        <is>
          <t>mea.mit.ef.omn.bio.so2</t>
        </is>
      </c>
      <c r="I2593" s="236" t="n">
        <v>1.0467</v>
      </c>
      <c r="J2593" s="236" t="n">
        <v>1.0467</v>
      </c>
    </row>
    <row r="2594">
      <c r="A2594" s="3" t="str">
        <f>$B2594&amp;"."&amp;$C2594&amp;"."&amp;$D2594</f>
        <v>foo.coa.so2</v>
      </c>
      <c r="B2594" s="8" t="inlineStr">
        <is>
          <t>foo</t>
        </is>
      </c>
      <c r="C2594" s="8" t="inlineStr">
        <is>
          <t>coa</t>
        </is>
      </c>
      <c r="D2594" s="8" t="inlineStr">
        <is>
          <t>so2</t>
        </is>
      </c>
      <c r="E2594" s="3" t="str">
        <f>CodePrefix&amp;"ef."&amp;$A2594</f>
        <v>egy.mit.ef.foo.coa.so2</v>
      </c>
      <c r="F2594" s="3" t="str">
        <f>CtryReg&amp;".mit.ef."&amp;$A2594</f>
        <v>mea.mit.ef.foo.coa.so2</v>
      </c>
      <c r="G2594" s="3" t="str">
        <f>"wld.mit.ef."&amp;$A2594</f>
        <v>wld.mit.ef.foo.coa.so2</v>
      </c>
      <c r="H2594" s="3" t="inlineStr">
        <is>
          <t>wld.mit.ef.foo.coa.so2</t>
        </is>
      </c>
      <c r="I2594" s="236" t="n">
        <v>0</v>
      </c>
      <c r="J2594" s="236" t="n">
        <v>0</v>
      </c>
    </row>
    <row r="2595">
      <c r="A2595" s="3" t="str">
        <f>$B2595&amp;"."&amp;$C2595&amp;"."&amp;$D2595</f>
        <v>foo.nga.so2</v>
      </c>
      <c r="B2595" s="8" t="inlineStr">
        <is>
          <t>foo</t>
        </is>
      </c>
      <c r="C2595" s="8" t="inlineStr">
        <is>
          <t>nga</t>
        </is>
      </c>
      <c r="D2595" s="8" t="inlineStr">
        <is>
          <t>so2</t>
        </is>
      </c>
      <c r="E2595" s="3" t="str">
        <f>CodePrefix&amp;"ef."&amp;$A2595</f>
        <v>egy.mit.ef.foo.nga.so2</v>
      </c>
      <c r="F2595" s="3" t="str">
        <f>CtryReg&amp;".mit.ef."&amp;$A2595</f>
        <v>mea.mit.ef.foo.nga.so2</v>
      </c>
      <c r="G2595" s="3" t="str">
        <f>"wld.mit.ef."&amp;$A2595</f>
        <v>wld.mit.ef.foo.nga.so2</v>
      </c>
      <c r="H2595" s="3" t="inlineStr">
        <is>
          <t>egy.mit.ef.foo.nga.so2</t>
        </is>
      </c>
      <c r="I2595" s="236" t="n">
        <v>0.0348886044</v>
      </c>
      <c r="J2595" s="236" t="n">
        <v>0.0348886044</v>
      </c>
    </row>
    <row r="2596">
      <c r="A2596" s="3" t="str">
        <f>$B2596&amp;"."&amp;$C2596&amp;"."&amp;$D2596</f>
        <v>foo.oop.so2</v>
      </c>
      <c r="B2596" s="8" t="inlineStr">
        <is>
          <t>foo</t>
        </is>
      </c>
      <c r="C2596" s="8" t="inlineStr">
        <is>
          <t>oop</t>
        </is>
      </c>
      <c r="D2596" s="8" t="inlineStr">
        <is>
          <t>so2</t>
        </is>
      </c>
      <c r="E2596" s="3" t="str">
        <f>CodePrefix&amp;"ef."&amp;$A2596</f>
        <v>egy.mit.ef.foo.oop.so2</v>
      </c>
      <c r="F2596" s="3" t="str">
        <f>CtryReg&amp;".mit.ef."&amp;$A2596</f>
        <v>mea.mit.ef.foo.oop.so2</v>
      </c>
      <c r="G2596" s="3" t="str">
        <f>"wld.mit.ef."&amp;$A2596</f>
        <v>wld.mit.ef.foo.oop.so2</v>
      </c>
      <c r="H2596" s="3" t="inlineStr">
        <is>
          <t>egy.mit.ef.foo.oop.so2</t>
        </is>
      </c>
      <c r="I2596" s="236" t="n">
        <v>35.5878</v>
      </c>
      <c r="J2596" s="236" t="n">
        <v>27.2142</v>
      </c>
    </row>
    <row r="2597">
      <c r="A2597" s="3" t="str">
        <f>$B2597&amp;"."&amp;$C2597&amp;"."&amp;$D2597</f>
        <v>foo.gso.so2</v>
      </c>
      <c r="B2597" s="8" t="inlineStr">
        <is>
          <t>foo</t>
        </is>
      </c>
      <c r="C2597" s="8" t="inlineStr">
        <is>
          <t>gso</t>
        </is>
      </c>
      <c r="D2597" s="8" t="inlineStr">
        <is>
          <t>so2</t>
        </is>
      </c>
      <c r="E2597" s="3" t="str">
        <f>CodePrefix&amp;"ef."&amp;$A2597</f>
        <v>egy.mit.ef.foo.gso.so2</v>
      </c>
      <c r="F2597" s="3" t="str">
        <f>CtryReg&amp;".mit.ef."&amp;$A2597</f>
        <v>mea.mit.ef.foo.gso.so2</v>
      </c>
      <c r="G2597" s="3" t="str">
        <f>"wld.mit.ef."&amp;$A2597</f>
        <v>wld.mit.ef.foo.gso.so2</v>
      </c>
      <c r="H2597" s="3" t="inlineStr">
        <is>
          <t>egy.mit.ef.foo.gso.so2</t>
        </is>
      </c>
      <c r="I2597" s="236" t="n">
        <v>0.9101726388000001</v>
      </c>
      <c r="J2597" s="236" t="n">
        <v>0.9101726388000001</v>
      </c>
    </row>
    <row r="2598">
      <c r="A2598" s="3" t="str">
        <f>$B2598&amp;"."&amp;$C2598&amp;"."&amp;$D2598</f>
        <v>foo.die.so2</v>
      </c>
      <c r="B2598" s="8" t="inlineStr">
        <is>
          <t>foo</t>
        </is>
      </c>
      <c r="C2598" s="8" t="inlineStr">
        <is>
          <t>die</t>
        </is>
      </c>
      <c r="D2598" s="8" t="inlineStr">
        <is>
          <t>so2</t>
        </is>
      </c>
      <c r="E2598" s="3" t="str">
        <f>CodePrefix&amp;"ef."&amp;$A2598</f>
        <v>egy.mit.ef.foo.die.so2</v>
      </c>
      <c r="F2598" s="3" t="str">
        <f>CtryReg&amp;".mit.ef."&amp;$A2598</f>
        <v>mea.mit.ef.foo.die.so2</v>
      </c>
      <c r="G2598" s="3" t="str">
        <f>"wld.mit.ef."&amp;$A2598</f>
        <v>wld.mit.ef.foo.die.so2</v>
      </c>
      <c r="H2598" s="3" t="inlineStr">
        <is>
          <t>mea.mit.ef.foo.die.so2</t>
        </is>
      </c>
      <c r="I2598" s="236" t="n">
        <v>3.7691541396</v>
      </c>
      <c r="J2598" s="236" t="n">
        <v>3.7691541396</v>
      </c>
    </row>
    <row r="2599">
      <c r="A2599" s="3" t="str">
        <f>$B2599&amp;"."&amp;$C2599&amp;"."&amp;$D2599</f>
        <v>foo.lpg.so2</v>
      </c>
      <c r="B2599" s="8" t="inlineStr">
        <is>
          <t>foo</t>
        </is>
      </c>
      <c r="C2599" s="8" t="inlineStr">
        <is>
          <t>lpg</t>
        </is>
      </c>
      <c r="D2599" s="8" t="inlineStr">
        <is>
          <t>so2</t>
        </is>
      </c>
      <c r="E2599" s="3" t="str">
        <f>CodePrefix&amp;"ef."&amp;$A2599</f>
        <v>egy.mit.ef.foo.lpg.so2</v>
      </c>
      <c r="F2599" s="3" t="str">
        <f>CtryReg&amp;".mit.ef."&amp;$A2599</f>
        <v>mea.mit.ef.foo.lpg.so2</v>
      </c>
      <c r="G2599" s="3" t="str">
        <f>"wld.mit.ef."&amp;$A2599</f>
        <v>wld.mit.ef.foo.lpg.so2</v>
      </c>
      <c r="H2599" s="3" t="inlineStr">
        <is>
          <t>wld.mit.ef.foo.lpg.so2</t>
        </is>
      </c>
      <c r="I2599" s="236" t="n">
        <v>0</v>
      </c>
      <c r="J2599" s="236" t="n">
        <v>0</v>
      </c>
    </row>
    <row r="2600">
      <c r="A2600" s="3" t="str">
        <f>$B2600&amp;"."&amp;$C2600&amp;"."&amp;$D2600</f>
        <v>foo.ker.so2</v>
      </c>
      <c r="B2600" s="8" t="inlineStr">
        <is>
          <t>foo</t>
        </is>
      </c>
      <c r="C2600" s="8" t="inlineStr">
        <is>
          <t>ker</t>
        </is>
      </c>
      <c r="D2600" s="8" t="inlineStr">
        <is>
          <t>so2</t>
        </is>
      </c>
      <c r="E2600" s="3" t="str">
        <f>CodePrefix&amp;"ef."&amp;$A2600</f>
        <v>egy.mit.ef.foo.ker.so2</v>
      </c>
      <c r="F2600" s="3" t="str">
        <f>CtryReg&amp;".mit.ef."&amp;$A2600</f>
        <v>mea.mit.ef.foo.ker.so2</v>
      </c>
      <c r="G2600" s="3" t="str">
        <f>"wld.mit.ef."&amp;$A2600</f>
        <v>wld.mit.ef.foo.ker.so2</v>
      </c>
      <c r="H2600" s="3" t="inlineStr">
        <is>
          <t>egy.mit.ef.foo.ker.so2</t>
        </is>
      </c>
      <c r="I2600" s="236" t="n">
        <v>0.9101726388000001</v>
      </c>
      <c r="J2600" s="236" t="n">
        <v>0.9101726388000001</v>
      </c>
    </row>
    <row r="2601">
      <c r="A2601" s="3" t="str">
        <f>$B2601&amp;"."&amp;$C2601&amp;"."&amp;$D2601</f>
        <v>foo.bio.so2</v>
      </c>
      <c r="B2601" s="8" t="inlineStr">
        <is>
          <t>foo</t>
        </is>
      </c>
      <c r="C2601" s="8" t="inlineStr">
        <is>
          <t>bio</t>
        </is>
      </c>
      <c r="D2601" s="8" t="inlineStr">
        <is>
          <t>so2</t>
        </is>
      </c>
      <c r="E2601" s="3" t="str">
        <f>CodePrefix&amp;"ef."&amp;$A2601</f>
        <v>egy.mit.ef.foo.bio.so2</v>
      </c>
      <c r="F2601" s="3" t="str">
        <f>CtryReg&amp;".mit.ef."&amp;$A2601</f>
        <v>mea.mit.ef.foo.bio.so2</v>
      </c>
      <c r="G2601" s="3" t="str">
        <f>"wld.mit.ef."&amp;$A2601</f>
        <v>wld.mit.ef.foo.bio.so2</v>
      </c>
      <c r="H2601" s="3" t="inlineStr">
        <is>
          <t>egy.mit.ef.foo.bio.so2</t>
        </is>
      </c>
      <c r="I2601" s="236" t="n">
        <v>1.0467</v>
      </c>
      <c r="J2601" s="236" t="n">
        <v>1.0467</v>
      </c>
    </row>
    <row r="2602">
      <c r="A2602" s="3" t="str">
        <f>$B2602&amp;"."&amp;$C2602&amp;"."&amp;$D2602</f>
        <v>oen.coa.so2</v>
      </c>
      <c r="B2602" s="8" t="inlineStr">
        <is>
          <t>oen</t>
        </is>
      </c>
      <c r="C2602" s="8" t="inlineStr">
        <is>
          <t>coa</t>
        </is>
      </c>
      <c r="D2602" s="8" t="inlineStr">
        <is>
          <t>so2</t>
        </is>
      </c>
      <c r="H2602" s="3" t="inlineStr">
        <is>
          <t>max</t>
        </is>
      </c>
      <c r="I2602" s="236">
        <f>_xlfn.MAXIFS($I$2545:$I$2601,$C$2545:$C$2601,$C2602)</f>
        <v>27.206642826</v>
      </c>
      <c r="J2602" s="236">
        <f>_xlfn.MAXIFS($J$2545:$J$2601,$C$2545:$C$2601,$C2602)</f>
        <v>27.206642826</v>
      </c>
    </row>
    <row r="2603">
      <c r="A2603" s="3" t="str">
        <f>$B2603&amp;"."&amp;$C2603&amp;"."&amp;$D2603</f>
        <v>oen.nga.so2</v>
      </c>
      <c r="B2603" s="8" t="inlineStr">
        <is>
          <t>oen</t>
        </is>
      </c>
      <c r="C2603" s="8" t="inlineStr">
        <is>
          <t>nga</t>
        </is>
      </c>
      <c r="D2603" s="8" t="inlineStr">
        <is>
          <t>so2</t>
        </is>
      </c>
      <c r="H2603" s="3" t="inlineStr">
        <is>
          <t>max</t>
        </is>
      </c>
      <c r="I2603" s="236">
        <f>_xlfn.MAXIFS($I$2545:$I$2601,$C$2545:$C$2601,$C2603)</f>
        <v>0.0348886044</v>
      </c>
      <c r="J2603" s="236">
        <f>_xlfn.MAXIFS($J$2545:$J$2601,$C$2545:$C$2601,$C2603)</f>
        <v>0.0348886044</v>
      </c>
    </row>
    <row r="2604">
      <c r="A2604" s="3" t="str">
        <f>$B2604&amp;"."&amp;$C2604&amp;"."&amp;$D2604</f>
        <v>oen.oop.so2</v>
      </c>
      <c r="B2604" s="8" t="inlineStr">
        <is>
          <t>oen</t>
        </is>
      </c>
      <c r="C2604" s="8" t="inlineStr">
        <is>
          <t>oop</t>
        </is>
      </c>
      <c r="D2604" s="8" t="inlineStr">
        <is>
          <t>so2</t>
        </is>
      </c>
      <c r="H2604" s="3" t="inlineStr">
        <is>
          <t>max</t>
        </is>
      </c>
      <c r="I2604" s="236">
        <f>_xlfn.MAXIFS($I$2545:$I$2601,$C$2545:$C$2601,$C2604)</f>
        <v>35.5878</v>
      </c>
      <c r="J2604" s="236">
        <f>_xlfn.MAXIFS($J$2545:$J$2601,$C$2545:$C$2601,$C2604)</f>
        <v>27.2142</v>
      </c>
    </row>
    <row r="2605">
      <c r="A2605" s="3" t="str">
        <f>$B2605&amp;"."&amp;$C2605&amp;"."&amp;$D2605</f>
        <v>oen.gso.so2</v>
      </c>
      <c r="B2605" s="8" t="inlineStr">
        <is>
          <t>oen</t>
        </is>
      </c>
      <c r="C2605" s="8" t="inlineStr">
        <is>
          <t>gso</t>
        </is>
      </c>
      <c r="D2605" s="8" t="inlineStr">
        <is>
          <t>so2</t>
        </is>
      </c>
      <c r="H2605" s="3" t="inlineStr">
        <is>
          <t>max</t>
        </is>
      </c>
      <c r="I2605" s="236">
        <f>_xlfn.MAXIFS($I$2545:$I$2601,$C$2545:$C$2601,$C2605)</f>
        <v>0.9101726388000001</v>
      </c>
      <c r="J2605" s="236">
        <f>_xlfn.MAXIFS($J$2545:$J$2601,$C$2545:$C$2601,$C2605)</f>
        <v>0.9101726388000001</v>
      </c>
    </row>
    <row r="2606">
      <c r="A2606" s="3" t="str">
        <f>$B2606&amp;"."&amp;$C2606&amp;"."&amp;$D2606</f>
        <v>oen.die.so2</v>
      </c>
      <c r="B2606" s="8" t="inlineStr">
        <is>
          <t>oen</t>
        </is>
      </c>
      <c r="C2606" s="8" t="inlineStr">
        <is>
          <t>die</t>
        </is>
      </c>
      <c r="D2606" s="8" t="inlineStr">
        <is>
          <t>so2</t>
        </is>
      </c>
      <c r="H2606" s="3" t="inlineStr">
        <is>
          <t>max</t>
        </is>
      </c>
      <c r="I2606" s="236">
        <f>_xlfn.MAXIFS($I$2545:$I$2601,$C$2545:$C$2601,$C2606)</f>
        <v>3.9405156768</v>
      </c>
      <c r="J2606" s="236">
        <f>_xlfn.MAXIFS($J$2545:$J$2601,$C$2545:$C$2601,$C2606)</f>
        <v>3.9405156768</v>
      </c>
    </row>
    <row r="2607">
      <c r="A2607" s="3" t="str">
        <f>$B2607&amp;"."&amp;$C2607&amp;"."&amp;$D2607</f>
        <v>oen.lpg.so2</v>
      </c>
      <c r="B2607" s="8" t="inlineStr">
        <is>
          <t>oen</t>
        </is>
      </c>
      <c r="C2607" s="8" t="inlineStr">
        <is>
          <t>lpg</t>
        </is>
      </c>
      <c r="D2607" s="8" t="inlineStr">
        <is>
          <t>so2</t>
        </is>
      </c>
      <c r="H2607" s="3" t="inlineStr">
        <is>
          <t>max</t>
        </is>
      </c>
      <c r="I2607" s="236">
        <f>_xlfn.MAXIFS($I$2545:$I$2601,$C$2545:$C$2601,$C2607)</f>
        <v>0.0</v>
      </c>
      <c r="J2607" s="236">
        <f>_xlfn.MAXIFS($J$2545:$J$2601,$C$2545:$C$2601,$C2607)</f>
        <v>0.0</v>
      </c>
    </row>
    <row r="2608">
      <c r="A2608" s="3" t="str">
        <f>$B2608&amp;"."&amp;$C2608&amp;"."&amp;$D2608</f>
        <v>oen.ker.so2</v>
      </c>
      <c r="B2608" s="8" t="inlineStr">
        <is>
          <t>oen</t>
        </is>
      </c>
      <c r="C2608" s="8" t="inlineStr">
        <is>
          <t>ker</t>
        </is>
      </c>
      <c r="D2608" s="8" t="inlineStr">
        <is>
          <t>so2</t>
        </is>
      </c>
      <c r="H2608" s="3" t="inlineStr">
        <is>
          <t>max</t>
        </is>
      </c>
      <c r="I2608" s="236">
        <f>_xlfn.MAXIFS($I$2545:$I$2601,$C$2545:$C$2601,$C2608)</f>
        <v>0.9101726388000001</v>
      </c>
      <c r="J2608" s="236">
        <f>_xlfn.MAXIFS($J$2545:$J$2601,$C$2545:$C$2601,$C2608)</f>
        <v>0.9101726388000001</v>
      </c>
    </row>
    <row r="2609">
      <c r="A2609" s="3" t="str">
        <f>$B2609&amp;"."&amp;$C2609&amp;"."&amp;$D2609</f>
        <v>oen.bio.so2</v>
      </c>
      <c r="B2609" s="8" t="inlineStr">
        <is>
          <t>oen</t>
        </is>
      </c>
      <c r="C2609" s="8" t="inlineStr">
        <is>
          <t>bio</t>
        </is>
      </c>
      <c r="D2609" s="8" t="inlineStr">
        <is>
          <t>so2</t>
        </is>
      </c>
      <c r="H2609" s="3" t="inlineStr">
        <is>
          <t>max</t>
        </is>
      </c>
      <c r="I2609" s="236">
        <f>_xlfn.MAXIFS($I$2545:$I$2601,$C$2545:$C$2601,$C2609)</f>
        <v>1.0467</v>
      </c>
      <c r="J2609" s="236">
        <f>_xlfn.MAXIFS($J$2545:$J$2601,$C$2545:$C$2601,$C2609)</f>
        <v>1.0467</v>
      </c>
    </row>
    <row r="2610">
      <c r="A2610" s="3" t="str">
        <f>$B2610&amp;"."&amp;$C2610&amp;"."&amp;$D2610</f>
        <v>nav.die.so2</v>
      </c>
      <c r="B2610" s="8" t="inlineStr">
        <is>
          <t>nav</t>
        </is>
      </c>
      <c r="C2610" s="8" t="inlineStr">
        <is>
          <t>die</t>
        </is>
      </c>
      <c r="D2610" s="8" t="inlineStr">
        <is>
          <t>so2</t>
        </is>
      </c>
      <c r="E2610" s="3" t="str">
        <f>CodePrefix&amp;"ef."&amp;$A2610</f>
        <v>egy.mit.ef.nav.die.so2</v>
      </c>
      <c r="F2610" s="3" t="str">
        <f>CtryReg&amp;".mit.ef."&amp;$A2610</f>
        <v>mea.mit.ef.nav.die.so2</v>
      </c>
      <c r="G2610" s="3" t="str">
        <f>"wld.mit.ef."&amp;$A2610</f>
        <v>wld.mit.ef.nav.die.so2</v>
      </c>
      <c r="H2610" s="3" t="inlineStr">
        <is>
          <t>egy.mit.ef.nav.die.so2</t>
        </is>
      </c>
      <c r="I2610" s="236" t="n">
        <v>0.8866177020000001</v>
      </c>
      <c r="J2610" s="236" t="n">
        <v>0.8866177020000001</v>
      </c>
    </row>
    <row r="2611">
      <c r="A2611" s="3" t="str">
        <f>$B2611&amp;"."&amp;$C2611&amp;"."&amp;$D2611</f>
        <v>nav.oop.so2</v>
      </c>
      <c r="B2611" s="8" t="inlineStr">
        <is>
          <t>nav</t>
        </is>
      </c>
      <c r="C2611" s="8" t="inlineStr">
        <is>
          <t>oop</t>
        </is>
      </c>
      <c r="D2611" s="8" t="inlineStr">
        <is>
          <t>so2</t>
        </is>
      </c>
      <c r="E2611" s="3" t="str">
        <f>CodePrefix&amp;"ef."&amp;$A2611</f>
        <v>egy.mit.ef.nav.oop.so2</v>
      </c>
      <c r="F2611" s="3" t="str">
        <f>CtryReg&amp;".mit.ef."&amp;$A2611</f>
        <v>mea.mit.ef.nav.oop.so2</v>
      </c>
      <c r="G2611" s="3" t="str">
        <f>"wld.mit.ef."&amp;$A2611</f>
        <v>wld.mit.ef.nav.oop.so2</v>
      </c>
      <c r="H2611" s="3" t="inlineStr">
        <is>
          <t>egy.mit.ef.nav.oop.so2</t>
        </is>
      </c>
      <c r="I2611" s="236" t="n">
        <v>50.44337445240001</v>
      </c>
      <c r="J2611" s="236" t="n">
        <v>10.0886765652</v>
      </c>
    </row>
    <row r="2612">
      <c r="A2612" s="3" t="str">
        <f>$B2612&amp;"."&amp;$C2612&amp;"."&amp;$D2612</f>
        <v>pow.coa.voc</v>
      </c>
      <c r="B2612" s="8" t="inlineStr">
        <is>
          <t>pow</t>
        </is>
      </c>
      <c r="C2612" s="8" t="inlineStr">
        <is>
          <t>coa</t>
        </is>
      </c>
      <c r="D2612" s="8" t="inlineStr">
        <is>
          <t>voc</t>
        </is>
      </c>
      <c r="E2612" s="3" t="str">
        <f>CodePrefix&amp;"ef."&amp;$A2612</f>
        <v>egy.mit.ef.pow.coa.voc</v>
      </c>
      <c r="F2612" s="3" t="str">
        <f>CtryReg&amp;".mit.ef."&amp;$A2612</f>
        <v>mea.mit.ef.pow.coa.voc</v>
      </c>
      <c r="G2612" s="3" t="str">
        <f>"wld.mit.ef."&amp;$A2612</f>
        <v>wld.mit.ef.pow.coa.voc</v>
      </c>
      <c r="H2612" s="3" t="inlineStr">
        <is>
          <t>mea.mit.ef.pow.coa.voc</t>
        </is>
      </c>
      <c r="I2612" s="236" t="n">
        <v>0.0824297184</v>
      </c>
      <c r="J2612" s="236" t="n">
        <v>0.041868</v>
      </c>
    </row>
    <row r="2613">
      <c r="A2613" s="3" t="str">
        <f>$B2613&amp;"."&amp;$C2613&amp;"."&amp;$D2613</f>
        <v>pow.nga.voc</v>
      </c>
      <c r="B2613" s="8" t="inlineStr">
        <is>
          <t>pow</t>
        </is>
      </c>
      <c r="C2613" s="8" t="inlineStr">
        <is>
          <t>nga</t>
        </is>
      </c>
      <c r="D2613" s="8" t="inlineStr">
        <is>
          <t>voc</t>
        </is>
      </c>
      <c r="E2613" s="3" t="str">
        <f>CodePrefix&amp;"ef."&amp;$A2613</f>
        <v>egy.mit.ef.pow.nga.voc</v>
      </c>
      <c r="F2613" s="3" t="str">
        <f>CtryReg&amp;".mit.ef."&amp;$A2613</f>
        <v>mea.mit.ef.pow.nga.voc</v>
      </c>
      <c r="G2613" s="3" t="str">
        <f>"wld.mit.ef."&amp;$A2613</f>
        <v>wld.mit.ef.pow.nga.voc</v>
      </c>
      <c r="H2613" s="3" t="inlineStr">
        <is>
          <t>egy.mit.ef.pow.nga.voc</t>
        </is>
      </c>
      <c r="I2613" s="236" t="n">
        <v>0.0588371004</v>
      </c>
      <c r="J2613" s="236" t="n">
        <v>0.05600682360000001</v>
      </c>
    </row>
    <row r="2614">
      <c r="A2614" s="3" t="str">
        <f>$B2614&amp;"."&amp;$C2614&amp;"."&amp;$D2614</f>
        <v>pow.oop.voc</v>
      </c>
      <c r="B2614" s="8" t="inlineStr">
        <is>
          <t>pow</t>
        </is>
      </c>
      <c r="C2614" s="8" t="inlineStr">
        <is>
          <t>oop</t>
        </is>
      </c>
      <c r="D2614" s="8" t="inlineStr">
        <is>
          <t>voc</t>
        </is>
      </c>
      <c r="E2614" s="3" t="str">
        <f>CodePrefix&amp;"ef."&amp;$A2614</f>
        <v>egy.mit.ef.pow.oop.voc</v>
      </c>
      <c r="F2614" s="3" t="str">
        <f>CtryReg&amp;".mit.ef."&amp;$A2614</f>
        <v>mea.mit.ef.pow.oop.voc</v>
      </c>
      <c r="G2614" s="3" t="str">
        <f>"wld.mit.ef."&amp;$A2614</f>
        <v>wld.mit.ef.pow.oop.voc</v>
      </c>
      <c r="H2614" s="3" t="inlineStr">
        <is>
          <t>egy.mit.ef.pow.oop.voc</t>
        </is>
      </c>
      <c r="I2614" s="236" t="n">
        <v>0.144486468</v>
      </c>
      <c r="J2614" s="236" t="n">
        <v>0.1042806276</v>
      </c>
    </row>
    <row r="2615">
      <c r="A2615" s="3" t="str">
        <f>$B2615&amp;"."&amp;$C2615&amp;"."&amp;$D2615</f>
        <v>pow.bio.voc</v>
      </c>
      <c r="B2615" s="8" t="inlineStr">
        <is>
          <t>pow</t>
        </is>
      </c>
      <c r="C2615" s="8" t="inlineStr">
        <is>
          <t>bio</t>
        </is>
      </c>
      <c r="D2615" s="8" t="inlineStr">
        <is>
          <t>voc</t>
        </is>
      </c>
      <c r="E2615" s="3" t="str">
        <f>CodePrefix&amp;"ef."&amp;$A2615</f>
        <v>egy.mit.ef.pow.bio.voc</v>
      </c>
      <c r="F2615" s="3" t="str">
        <f>CtryReg&amp;".mit.ef."&amp;$A2615</f>
        <v>mea.mit.ef.pow.bio.voc</v>
      </c>
      <c r="G2615" s="3" t="str">
        <f>"wld.mit.ef."&amp;$A2615</f>
        <v>wld.mit.ef.pow.bio.voc</v>
      </c>
      <c r="H2615" s="3" t="inlineStr">
        <is>
          <t>wld.mit.ef.pow.bio.voc</t>
        </is>
      </c>
      <c r="I2615" s="236" t="n">
        <v>0</v>
      </c>
      <c r="J2615" s="236" t="n">
        <v>0</v>
      </c>
    </row>
    <row r="2616">
      <c r="A2616" s="3" t="str">
        <f>$B2616&amp;"."&amp;$C2616&amp;"."&amp;$D2616</f>
        <v>rod.gso.voc</v>
      </c>
      <c r="B2616" s="8" t="inlineStr">
        <is>
          <t>rod</t>
        </is>
      </c>
      <c r="C2616" s="8" t="inlineStr">
        <is>
          <t>gso</t>
        </is>
      </c>
      <c r="D2616" s="8" t="inlineStr">
        <is>
          <t>voc</t>
        </is>
      </c>
      <c r="E2616" s="3" t="str">
        <f>CodePrefix&amp;"ef."&amp;$A2616</f>
        <v>egy.mit.ef.rod.gso.voc</v>
      </c>
      <c r="F2616" s="3" t="str">
        <f>CtryReg&amp;".mit.ef."&amp;$A2616</f>
        <v>mea.mit.ef.rod.gso.voc</v>
      </c>
      <c r="G2616" s="3" t="str">
        <f>"wld.mit.ef."&amp;$A2616</f>
        <v>wld.mit.ef.rod.gso.voc</v>
      </c>
      <c r="H2616" s="3" t="inlineStr">
        <is>
          <t>egy.mit.ef.rod.gso.voc</t>
        </is>
      </c>
      <c r="I2616" s="236" t="n">
        <v>23.2692253812</v>
      </c>
      <c r="J2616" s="236" t="n">
        <v>9.7249190076</v>
      </c>
    </row>
    <row r="2617">
      <c r="A2617" s="3" t="str">
        <f>$B2617&amp;"."&amp;$C2617&amp;"."&amp;$D2617</f>
        <v>rod.die.voc</v>
      </c>
      <c r="B2617" s="8" t="inlineStr">
        <is>
          <t>rod</t>
        </is>
      </c>
      <c r="C2617" s="8" t="inlineStr">
        <is>
          <t>die</t>
        </is>
      </c>
      <c r="D2617" s="8" t="inlineStr">
        <is>
          <t>voc</t>
        </is>
      </c>
      <c r="E2617" s="3" t="str">
        <f>CodePrefix&amp;"ef."&amp;$A2617</f>
        <v>egy.mit.ef.rod.die.voc</v>
      </c>
      <c r="F2617" s="3" t="str">
        <f>CtryReg&amp;".mit.ef."&amp;$A2617</f>
        <v>mea.mit.ef.rod.die.voc</v>
      </c>
      <c r="G2617" s="3" t="str">
        <f>"wld.mit.ef."&amp;$A2617</f>
        <v>wld.mit.ef.rod.die.voc</v>
      </c>
      <c r="H2617" s="3" t="inlineStr">
        <is>
          <t>egy.mit.ef.rod.die.voc</t>
        </is>
      </c>
      <c r="I2617" s="236" t="n">
        <v>4.427126506800001</v>
      </c>
      <c r="J2617" s="236" t="n">
        <v>4.226901170400001</v>
      </c>
    </row>
    <row r="2618">
      <c r="A2618" s="3" t="str">
        <f>$B2618&amp;"."&amp;$C2618&amp;"."&amp;$D2618</f>
        <v>rod.lpg.voc</v>
      </c>
      <c r="B2618" s="8" t="inlineStr">
        <is>
          <t>rod</t>
        </is>
      </c>
      <c r="C2618" s="8" t="inlineStr">
        <is>
          <t>lpg</t>
        </is>
      </c>
      <c r="D2618" s="8" t="inlineStr">
        <is>
          <t>voc</t>
        </is>
      </c>
      <c r="E2618" s="3" t="str">
        <f>CodePrefix&amp;"ef."&amp;$A2618</f>
        <v>egy.mit.ef.rod.lpg.voc</v>
      </c>
      <c r="F2618" s="3" t="str">
        <f>CtryReg&amp;".mit.ef."&amp;$A2618</f>
        <v>mea.mit.ef.rod.lpg.voc</v>
      </c>
      <c r="G2618" s="3" t="str">
        <f>"wld.mit.ef."&amp;$A2618</f>
        <v>wld.mit.ef.rod.lpg.voc</v>
      </c>
      <c r="H2618" s="3" t="inlineStr">
        <is>
          <t>mea.mit.ef.rod.lpg.voc</t>
        </is>
      </c>
      <c r="I2618" s="236" t="n">
        <v>8.560582488000001</v>
      </c>
      <c r="J2618" s="236" t="n">
        <v>3.2021148816</v>
      </c>
    </row>
    <row r="2619">
      <c r="A2619" s="3" t="str">
        <f>$B2619&amp;"."&amp;$C2619&amp;"."&amp;$D2619</f>
        <v>rod.ker.voc</v>
      </c>
      <c r="B2619" s="8" t="inlineStr">
        <is>
          <t>rod</t>
        </is>
      </c>
      <c r="C2619" s="8" t="inlineStr">
        <is>
          <t>ker</t>
        </is>
      </c>
      <c r="D2619" s="8" t="inlineStr">
        <is>
          <t>voc</t>
        </is>
      </c>
      <c r="E2619" s="3" t="str">
        <f>CodePrefix&amp;"ef."&amp;$A2619</f>
        <v>egy.mit.ef.rod.ker.voc</v>
      </c>
      <c r="F2619" s="3" t="str">
        <f>CtryReg&amp;".mit.ef."&amp;$A2619</f>
        <v>mea.mit.ef.rod.ker.voc</v>
      </c>
      <c r="G2619" s="3" t="str">
        <f>"wld.mit.ef."&amp;$A2619</f>
        <v>wld.mit.ef.rod.ker.voc</v>
      </c>
      <c r="H2619" s="3" t="inlineStr">
        <is>
          <t>wld.mit.ef.rod.ker.voc</t>
        </is>
      </c>
      <c r="I2619" s="236" t="n">
        <v>0</v>
      </c>
      <c r="J2619" s="236" t="n">
        <v>0</v>
      </c>
    </row>
    <row r="2620">
      <c r="A2620" s="3" t="str">
        <f>$B2620&amp;"."&amp;$C2620&amp;"."&amp;$D2620</f>
        <v>rod.nga.voc</v>
      </c>
      <c r="B2620" s="8" t="inlineStr">
        <is>
          <t>rod</t>
        </is>
      </c>
      <c r="C2620" s="8" t="inlineStr">
        <is>
          <t>nga</t>
        </is>
      </c>
      <c r="D2620" s="8" t="inlineStr">
        <is>
          <t>voc</t>
        </is>
      </c>
      <c r="E2620" s="3" t="str">
        <f>CodePrefix&amp;"ef."&amp;$A2620</f>
        <v>egy.mit.ef.rod.nga.voc</v>
      </c>
      <c r="F2620" s="3" t="str">
        <f>CtryReg&amp;".mit.ef."&amp;$A2620</f>
        <v>mea.mit.ef.rod.nga.voc</v>
      </c>
      <c r="G2620" s="3" t="str">
        <f>"wld.mit.ef."&amp;$A2620</f>
        <v>wld.mit.ef.rod.nga.voc</v>
      </c>
      <c r="H2620" s="3" t="inlineStr">
        <is>
          <t>egy.mit.ef.rod.nga.voc</t>
        </is>
      </c>
      <c r="I2620" s="236" t="n">
        <v>15.2091538992</v>
      </c>
      <c r="J2620" s="236" t="n">
        <v>9.755976690000001</v>
      </c>
    </row>
    <row r="2621">
      <c r="A2621" s="3" t="str">
        <f>$B2621&amp;"."&amp;$C2621&amp;"."&amp;$D2621</f>
        <v>ral.die.voc</v>
      </c>
      <c r="B2621" s="8" t="inlineStr">
        <is>
          <t>ral</t>
        </is>
      </c>
      <c r="C2621" s="8" t="inlineStr">
        <is>
          <t>die</t>
        </is>
      </c>
      <c r="D2621" s="8" t="inlineStr">
        <is>
          <t>voc</t>
        </is>
      </c>
      <c r="E2621" s="3" t="str">
        <f>CodePrefix&amp;"ef."&amp;$A2621</f>
        <v>egy.mit.ef.ral.die.voc</v>
      </c>
      <c r="F2621" s="3" t="str">
        <f>CtryReg&amp;".mit.ef."&amp;$A2621</f>
        <v>mea.mit.ef.ral.die.voc</v>
      </c>
      <c r="G2621" s="3" t="str">
        <f>"wld.mit.ef."&amp;$A2621</f>
        <v>wld.mit.ef.ral.die.voc</v>
      </c>
      <c r="H2621" s="3" t="inlineStr">
        <is>
          <t>mea.mit.ef.ral.die.voc</t>
        </is>
      </c>
      <c r="I2621" s="236" t="n">
        <v>7.95492</v>
      </c>
      <c r="J2621" s="236" t="n">
        <v>7.95492</v>
      </c>
    </row>
    <row r="2622">
      <c r="A2622" s="3" t="str">
        <f>$B2622&amp;"."&amp;$C2622&amp;"."&amp;$D2622</f>
        <v>avi.jfu.voc</v>
      </c>
      <c r="B2622" s="8" t="inlineStr">
        <is>
          <t>avi</t>
        </is>
      </c>
      <c r="C2622" s="8" t="inlineStr">
        <is>
          <t>jfu</t>
        </is>
      </c>
      <c r="D2622" s="8" t="inlineStr">
        <is>
          <t>voc</t>
        </is>
      </c>
      <c r="E2622" s="3" t="str">
        <f>CodePrefix&amp;"ef."&amp;$A2622</f>
        <v>egy.mit.ef.avi.jfu.voc</v>
      </c>
      <c r="F2622" s="3" t="str">
        <f>CtryReg&amp;".mit.ef."&amp;$A2622</f>
        <v>mea.mit.ef.avi.jfu.voc</v>
      </c>
      <c r="G2622" s="3" t="str">
        <f>"wld.mit.ef."&amp;$A2622</f>
        <v>wld.mit.ef.avi.jfu.voc</v>
      </c>
      <c r="H2622" s="3" t="inlineStr">
        <is>
          <t>egy.mit.ef.avi.jfu.voc</t>
        </is>
      </c>
      <c r="I2622" s="236" t="n">
        <v>1.67472</v>
      </c>
      <c r="J2622" s="236" t="n">
        <v>1.67472</v>
      </c>
    </row>
    <row r="2623">
      <c r="A2623" s="3" t="str">
        <f>$B2623&amp;"."&amp;$C2623&amp;"."&amp;$D2623</f>
        <v>res.coa.voc</v>
      </c>
      <c r="B2623" s="8" t="inlineStr">
        <is>
          <t>res</t>
        </is>
      </c>
      <c r="C2623" s="8" t="inlineStr">
        <is>
          <t>coa</t>
        </is>
      </c>
      <c r="D2623" s="8" t="inlineStr">
        <is>
          <t>voc</t>
        </is>
      </c>
      <c r="E2623" s="3" t="str">
        <f>CodePrefix&amp;"ef."&amp;$A2623</f>
        <v>egy.mit.ef.res.coa.voc</v>
      </c>
      <c r="F2623" s="3" t="str">
        <f>CtryReg&amp;".mit.ef."&amp;$A2623</f>
        <v>mea.mit.ef.res.coa.voc</v>
      </c>
      <c r="G2623" s="3" t="str">
        <f>"wld.mit.ef."&amp;$A2623</f>
        <v>wld.mit.ef.res.coa.voc</v>
      </c>
      <c r="H2623" s="3" t="inlineStr">
        <is>
          <t>mea.mit.ef.res.coa.voc</t>
        </is>
      </c>
      <c r="I2623" s="236" t="n">
        <v>7.226416800000001</v>
      </c>
      <c r="J2623" s="236" t="n">
        <v>7.226416800000001</v>
      </c>
    </row>
    <row r="2624">
      <c r="A2624" s="3" t="str">
        <f>$B2624&amp;"."&amp;$C2624&amp;"."&amp;$D2624</f>
        <v>res.nga.voc</v>
      </c>
      <c r="B2624" s="8" t="inlineStr">
        <is>
          <t>res</t>
        </is>
      </c>
      <c r="C2624" s="8" t="inlineStr">
        <is>
          <t>nga</t>
        </is>
      </c>
      <c r="D2624" s="8" t="inlineStr">
        <is>
          <t>voc</t>
        </is>
      </c>
      <c r="E2624" s="3" t="str">
        <f>CodePrefix&amp;"ef."&amp;$A2624</f>
        <v>egy.mit.ef.res.nga.voc</v>
      </c>
      <c r="F2624" s="3" t="str">
        <f>CtryReg&amp;".mit.ef."&amp;$A2624</f>
        <v>mea.mit.ef.res.nga.voc</v>
      </c>
      <c r="G2624" s="3" t="str">
        <f>"wld.mit.ef."&amp;$A2624</f>
        <v>wld.mit.ef.res.nga.voc</v>
      </c>
      <c r="H2624" s="3" t="inlineStr">
        <is>
          <t>egy.mit.ef.res.nga.voc</t>
        </is>
      </c>
      <c r="I2624" s="236" t="n">
        <v>0.083736</v>
      </c>
      <c r="J2624" s="236" t="n">
        <v>0.083736</v>
      </c>
    </row>
    <row r="2625">
      <c r="A2625" s="3" t="str">
        <f>$B2625&amp;"."&amp;$C2625&amp;"."&amp;$D2625</f>
        <v>res.oop.voc</v>
      </c>
      <c r="B2625" s="8" t="inlineStr">
        <is>
          <t>res</t>
        </is>
      </c>
      <c r="C2625" s="8" t="inlineStr">
        <is>
          <t>oop</t>
        </is>
      </c>
      <c r="D2625" s="8" t="inlineStr">
        <is>
          <t>voc</t>
        </is>
      </c>
      <c r="E2625" s="3" t="str">
        <f>CodePrefix&amp;"ef."&amp;$A2625</f>
        <v>egy.mit.ef.res.oop.voc</v>
      </c>
      <c r="F2625" s="3" t="str">
        <f>CtryReg&amp;".mit.ef."&amp;$A2625</f>
        <v>mea.mit.ef.res.oop.voc</v>
      </c>
      <c r="G2625" s="3" t="str">
        <f>"wld.mit.ef."&amp;$A2625</f>
        <v>wld.mit.ef.res.oop.voc</v>
      </c>
      <c r="H2625" s="3" t="inlineStr">
        <is>
          <t>wld.mit.ef.res.oop.voc</t>
        </is>
      </c>
      <c r="I2625" s="236" t="n">
        <v>0</v>
      </c>
      <c r="J2625" s="236" t="n">
        <v>0</v>
      </c>
    </row>
    <row r="2626">
      <c r="A2626" s="3" t="str">
        <f>$B2626&amp;"."&amp;$C2626&amp;"."&amp;$D2626</f>
        <v>res.lpg.voc</v>
      </c>
      <c r="B2626" s="8" t="inlineStr">
        <is>
          <t>res</t>
        </is>
      </c>
      <c r="C2626" s="8" t="inlineStr">
        <is>
          <t>lpg</t>
        </is>
      </c>
      <c r="D2626" s="8" t="inlineStr">
        <is>
          <t>voc</t>
        </is>
      </c>
      <c r="E2626" s="3" t="str">
        <f>CodePrefix&amp;"ef."&amp;$A2626</f>
        <v>egy.mit.ef.res.lpg.voc</v>
      </c>
      <c r="F2626" s="3" t="str">
        <f>CtryReg&amp;".mit.ef."&amp;$A2626</f>
        <v>mea.mit.ef.res.lpg.voc</v>
      </c>
      <c r="G2626" s="3" t="str">
        <f>"wld.mit.ef."&amp;$A2626</f>
        <v>wld.mit.ef.res.lpg.voc</v>
      </c>
      <c r="H2626" s="3" t="inlineStr">
        <is>
          <t>mea.mit.ef.res.lpg.voc</t>
        </is>
      </c>
      <c r="I2626" s="236" t="n">
        <v>0.125604</v>
      </c>
      <c r="J2626" s="236" t="n">
        <v>0.125604</v>
      </c>
    </row>
    <row r="2627">
      <c r="A2627" s="3" t="str">
        <f>$B2627&amp;"."&amp;$C2627&amp;"."&amp;$D2627</f>
        <v>res.ker.voc</v>
      </c>
      <c r="B2627" s="8" t="inlineStr">
        <is>
          <t>res</t>
        </is>
      </c>
      <c r="C2627" s="8" t="inlineStr">
        <is>
          <t>ker</t>
        </is>
      </c>
      <c r="D2627" s="8" t="inlineStr">
        <is>
          <t>voc</t>
        </is>
      </c>
      <c r="E2627" s="3" t="str">
        <f>CodePrefix&amp;"ef."&amp;$A2627</f>
        <v>egy.mit.ef.res.ker.voc</v>
      </c>
      <c r="F2627" s="3" t="str">
        <f>CtryReg&amp;".mit.ef."&amp;$A2627</f>
        <v>mea.mit.ef.res.ker.voc</v>
      </c>
      <c r="G2627" s="3" t="str">
        <f>"wld.mit.ef."&amp;$A2627</f>
        <v>wld.mit.ef.res.ker.voc</v>
      </c>
      <c r="H2627" s="3" t="inlineStr">
        <is>
          <t>mea.mit.ef.res.ker.voc</t>
        </is>
      </c>
      <c r="I2627" s="236" t="n">
        <v>0.08878528079999999</v>
      </c>
      <c r="J2627" s="236" t="n">
        <v>0.083736</v>
      </c>
    </row>
    <row r="2628">
      <c r="A2628" s="3" t="str">
        <f>$B2628&amp;"."&amp;$C2628&amp;"."&amp;$D2628</f>
        <v>res.bio.voc</v>
      </c>
      <c r="B2628" s="8" t="inlineStr">
        <is>
          <t>res</t>
        </is>
      </c>
      <c r="C2628" s="8" t="inlineStr">
        <is>
          <t>bio</t>
        </is>
      </c>
      <c r="D2628" s="8" t="inlineStr">
        <is>
          <t>voc</t>
        </is>
      </c>
      <c r="E2628" s="3" t="str">
        <f>CodePrefix&amp;"ef."&amp;$A2628</f>
        <v>egy.mit.ef.res.bio.voc</v>
      </c>
      <c r="F2628" s="3" t="str">
        <f>CtryReg&amp;".mit.ef."&amp;$A2628</f>
        <v>mea.mit.ef.res.bio.voc</v>
      </c>
      <c r="G2628" s="3" t="str">
        <f>"wld.mit.ef."&amp;$A2628</f>
        <v>wld.mit.ef.res.bio.voc</v>
      </c>
      <c r="H2628" s="3" t="inlineStr">
        <is>
          <t>egy.mit.ef.res.bio.voc</t>
        </is>
      </c>
      <c r="I2628" s="236" t="n">
        <v>83.736</v>
      </c>
      <c r="J2628" s="236" t="n">
        <v>29.5085664</v>
      </c>
    </row>
    <row r="2629">
      <c r="A2629" s="3" t="str">
        <f>$B2629&amp;"."&amp;$C2629&amp;"."&amp;$D2629</f>
        <v>cst.coa.voc</v>
      </c>
      <c r="B2629" s="8" t="inlineStr">
        <is>
          <t>cst</t>
        </is>
      </c>
      <c r="C2629" s="8" t="inlineStr">
        <is>
          <t>coa</t>
        </is>
      </c>
      <c r="D2629" s="8" t="inlineStr">
        <is>
          <t>voc</t>
        </is>
      </c>
      <c r="E2629" s="3" t="str">
        <f>CodePrefix&amp;"ef."&amp;$A2629</f>
        <v>egy.mit.ef.cst.coa.voc</v>
      </c>
      <c r="F2629" s="3" t="str">
        <f>CtryReg&amp;".mit.ef."&amp;$A2629</f>
        <v>mea.mit.ef.cst.coa.voc</v>
      </c>
      <c r="G2629" s="3" t="str">
        <f>"wld.mit.ef."&amp;$A2629</f>
        <v>wld.mit.ef.cst.coa.voc</v>
      </c>
      <c r="H2629" s="3" t="inlineStr">
        <is>
          <t>wld.mit.ef.cst.coa.voc</t>
        </is>
      </c>
      <c r="I2629" s="236" t="n">
        <v>0</v>
      </c>
      <c r="J2629" s="236" t="n">
        <v>0</v>
      </c>
    </row>
    <row r="2630">
      <c r="A2630" s="3" t="str">
        <f>$B2630&amp;"."&amp;$C2630&amp;"."&amp;$D2630</f>
        <v>cst.nga.voc</v>
      </c>
      <c r="B2630" s="8" t="inlineStr">
        <is>
          <t>cst</t>
        </is>
      </c>
      <c r="C2630" s="8" t="inlineStr">
        <is>
          <t>nga</t>
        </is>
      </c>
      <c r="D2630" s="8" t="inlineStr">
        <is>
          <t>voc</t>
        </is>
      </c>
      <c r="E2630" s="3" t="str">
        <f>CodePrefix&amp;"ef."&amp;$A2630</f>
        <v>egy.mit.ef.cst.nga.voc</v>
      </c>
      <c r="F2630" s="3" t="str">
        <f>CtryReg&amp;".mit.ef."&amp;$A2630</f>
        <v>mea.mit.ef.cst.nga.voc</v>
      </c>
      <c r="G2630" s="3" t="str">
        <f>"wld.mit.ef."&amp;$A2630</f>
        <v>wld.mit.ef.cst.nga.voc</v>
      </c>
      <c r="H2630" s="3" t="inlineStr">
        <is>
          <t>wld.mit.ef.cst.nga.voc</t>
        </is>
      </c>
      <c r="I2630" s="236" t="n">
        <v>0</v>
      </c>
      <c r="J2630" s="236" t="n">
        <v>0</v>
      </c>
    </row>
    <row r="2631">
      <c r="A2631" s="3" t="str">
        <f>$B2631&amp;"."&amp;$C2631&amp;"."&amp;$D2631</f>
        <v>cst.oop.voc</v>
      </c>
      <c r="B2631" s="8" t="inlineStr">
        <is>
          <t>cst</t>
        </is>
      </c>
      <c r="C2631" s="8" t="inlineStr">
        <is>
          <t>oop</t>
        </is>
      </c>
      <c r="D2631" s="8" t="inlineStr">
        <is>
          <t>voc</t>
        </is>
      </c>
      <c r="E2631" s="3" t="str">
        <f>CodePrefix&amp;"ef."&amp;$A2631</f>
        <v>egy.mit.ef.cst.oop.voc</v>
      </c>
      <c r="F2631" s="3" t="str">
        <f>CtryReg&amp;".mit.ef."&amp;$A2631</f>
        <v>mea.mit.ef.cst.oop.voc</v>
      </c>
      <c r="G2631" s="3" t="str">
        <f>"wld.mit.ef."&amp;$A2631</f>
        <v>wld.mit.ef.cst.oop.voc</v>
      </c>
      <c r="H2631" s="3" t="inlineStr">
        <is>
          <t>wld.mit.ef.cst.oop.voc</t>
        </is>
      </c>
      <c r="I2631" s="236" t="n">
        <v>0</v>
      </c>
      <c r="J2631" s="236" t="n">
        <v>0</v>
      </c>
    </row>
    <row r="2632">
      <c r="A2632" s="3" t="str">
        <f>$B2632&amp;"."&amp;$C2632&amp;"."&amp;$D2632</f>
        <v>cst.gso.voc</v>
      </c>
      <c r="B2632" s="8" t="inlineStr">
        <is>
          <t>cst</t>
        </is>
      </c>
      <c r="C2632" s="8" t="inlineStr">
        <is>
          <t>gso</t>
        </is>
      </c>
      <c r="D2632" s="8" t="inlineStr">
        <is>
          <t>voc</t>
        </is>
      </c>
      <c r="E2632" s="3" t="str">
        <f>CodePrefix&amp;"ef."&amp;$A2632</f>
        <v>egy.mit.ef.cst.gso.voc</v>
      </c>
      <c r="F2632" s="3" t="str">
        <f>CtryReg&amp;".mit.ef."&amp;$A2632</f>
        <v>mea.mit.ef.cst.gso.voc</v>
      </c>
      <c r="G2632" s="3" t="str">
        <f>"wld.mit.ef."&amp;$A2632</f>
        <v>wld.mit.ef.cst.gso.voc</v>
      </c>
      <c r="H2632" s="3" t="inlineStr">
        <is>
          <t>egy.mit.ef.cst.gso.voc</t>
        </is>
      </c>
      <c r="I2632" s="236" t="n">
        <v>33.49440000000001</v>
      </c>
      <c r="J2632" s="236" t="n">
        <v>33.49440000000001</v>
      </c>
    </row>
    <row r="2633">
      <c r="A2633" s="3" t="str">
        <f>$B2633&amp;"."&amp;$C2633&amp;"."&amp;$D2633</f>
        <v>cst.die.voc</v>
      </c>
      <c r="B2633" s="8" t="inlineStr">
        <is>
          <t>cst</t>
        </is>
      </c>
      <c r="C2633" s="8" t="inlineStr">
        <is>
          <t>die</t>
        </is>
      </c>
      <c r="D2633" s="8" t="inlineStr">
        <is>
          <t>voc</t>
        </is>
      </c>
      <c r="E2633" s="3" t="str">
        <f>CodePrefix&amp;"ef."&amp;$A2633</f>
        <v>egy.mit.ef.cst.die.voc</v>
      </c>
      <c r="F2633" s="3" t="str">
        <f>CtryReg&amp;".mit.ef."&amp;$A2633</f>
        <v>mea.mit.ef.cst.die.voc</v>
      </c>
      <c r="G2633" s="3" t="str">
        <f>"wld.mit.ef."&amp;$A2633</f>
        <v>wld.mit.ef.cst.die.voc</v>
      </c>
      <c r="H2633" s="3" t="inlineStr">
        <is>
          <t>egy.mit.ef.cst.die.voc</t>
        </is>
      </c>
      <c r="I2633" s="236" t="n">
        <v>7.95492</v>
      </c>
      <c r="J2633" s="236" t="n">
        <v>7.95492</v>
      </c>
    </row>
    <row r="2634">
      <c r="A2634" s="3" t="str">
        <f>$B2634&amp;"."&amp;$C2634&amp;"."&amp;$D2634</f>
        <v>cst.lpg.voc</v>
      </c>
      <c r="B2634" s="8" t="inlineStr">
        <is>
          <t>cst</t>
        </is>
      </c>
      <c r="C2634" s="8" t="inlineStr">
        <is>
          <t>lpg</t>
        </is>
      </c>
      <c r="D2634" s="8" t="inlineStr">
        <is>
          <t>voc</t>
        </is>
      </c>
      <c r="E2634" s="3" t="str">
        <f>CodePrefix&amp;"ef."&amp;$A2634</f>
        <v>egy.mit.ef.cst.lpg.voc</v>
      </c>
      <c r="F2634" s="3" t="str">
        <f>CtryReg&amp;".mit.ef."&amp;$A2634</f>
        <v>mea.mit.ef.cst.lpg.voc</v>
      </c>
      <c r="G2634" s="3" t="str">
        <f>"wld.mit.ef."&amp;$A2634</f>
        <v>wld.mit.ef.cst.lpg.voc</v>
      </c>
      <c r="H2634" s="3" t="inlineStr">
        <is>
          <t>egy.mit.ef.cst.lpg.voc</t>
        </is>
      </c>
      <c r="I2634" s="236" t="n">
        <v>28.47024</v>
      </c>
      <c r="J2634" s="236" t="n">
        <v>28.47024</v>
      </c>
    </row>
    <row r="2635">
      <c r="A2635" s="3" t="str">
        <f>$B2635&amp;"."&amp;$C2635&amp;"."&amp;$D2635</f>
        <v>cst.ker.voc</v>
      </c>
      <c r="B2635" s="8" t="inlineStr">
        <is>
          <t>cst</t>
        </is>
      </c>
      <c r="C2635" s="8" t="inlineStr">
        <is>
          <t>ker</t>
        </is>
      </c>
      <c r="D2635" s="8" t="inlineStr">
        <is>
          <t>voc</t>
        </is>
      </c>
      <c r="E2635" s="3" t="str">
        <f>CodePrefix&amp;"ef."&amp;$A2635</f>
        <v>egy.mit.ef.cst.ker.voc</v>
      </c>
      <c r="F2635" s="3" t="str">
        <f>CtryReg&amp;".mit.ef."&amp;$A2635</f>
        <v>mea.mit.ef.cst.ker.voc</v>
      </c>
      <c r="G2635" s="3" t="str">
        <f>"wld.mit.ef."&amp;$A2635</f>
        <v>wld.mit.ef.cst.ker.voc</v>
      </c>
      <c r="H2635" s="3" t="inlineStr">
        <is>
          <t>egy.mit.ef.cst.ker.voc</t>
        </is>
      </c>
      <c r="I2635" s="236" t="n">
        <v>33.49440000000001</v>
      </c>
      <c r="J2635" s="236" t="n">
        <v>33.49440000000001</v>
      </c>
    </row>
    <row r="2636">
      <c r="A2636" s="3" t="str">
        <f>$B2636&amp;"."&amp;$C2636&amp;"."&amp;$D2636</f>
        <v>cst.bio.voc</v>
      </c>
      <c r="B2636" s="8" t="inlineStr">
        <is>
          <t>cst</t>
        </is>
      </c>
      <c r="C2636" s="8" t="inlineStr">
        <is>
          <t>bio</t>
        </is>
      </c>
      <c r="D2636" s="8" t="inlineStr">
        <is>
          <t>voc</t>
        </is>
      </c>
      <c r="E2636" s="3" t="str">
        <f>CodePrefix&amp;"ef."&amp;$A2636</f>
        <v>egy.mit.ef.cst.bio.voc</v>
      </c>
      <c r="F2636" s="3" t="str">
        <f>CtryReg&amp;".mit.ef."&amp;$A2636</f>
        <v>mea.mit.ef.cst.bio.voc</v>
      </c>
      <c r="G2636" s="3" t="str">
        <f>"wld.mit.ef."&amp;$A2636</f>
        <v>wld.mit.ef.cst.bio.voc</v>
      </c>
      <c r="H2636" s="3" t="inlineStr">
        <is>
          <t>wld.mit.ef.cst.bio.voc</t>
        </is>
      </c>
      <c r="I2636" s="236" t="n">
        <v>0</v>
      </c>
      <c r="J2636" s="236" t="n">
        <v>0</v>
      </c>
    </row>
    <row r="2637">
      <c r="A2637" s="3" t="str">
        <f>$B2637&amp;"."&amp;$C2637&amp;"."&amp;$D2637</f>
        <v>srv.coa.voc</v>
      </c>
      <c r="B2637" s="8" t="inlineStr">
        <is>
          <t>srv</t>
        </is>
      </c>
      <c r="C2637" s="8" t="inlineStr">
        <is>
          <t>coa</t>
        </is>
      </c>
      <c r="D2637" s="8" t="inlineStr">
        <is>
          <t>voc</t>
        </is>
      </c>
      <c r="E2637" s="3" t="str">
        <f>CodePrefix&amp;"ef."&amp;$A2637</f>
        <v>egy.mit.ef.srv.coa.voc</v>
      </c>
      <c r="F2637" s="3" t="str">
        <f>CtryReg&amp;".mit.ef."&amp;$A2637</f>
        <v>mea.mit.ef.srv.coa.voc</v>
      </c>
      <c r="G2637" s="3" t="str">
        <f>"wld.mit.ef."&amp;$A2637</f>
        <v>wld.mit.ef.srv.coa.voc</v>
      </c>
      <c r="H2637" s="3" t="inlineStr">
        <is>
          <t>wld.mit.ef.srv.coa.voc</t>
        </is>
      </c>
      <c r="I2637" s="236" t="n">
        <v>0</v>
      </c>
      <c r="J2637" s="236" t="n">
        <v>0</v>
      </c>
    </row>
    <row r="2638">
      <c r="A2638" s="3" t="str">
        <f>$B2638&amp;"."&amp;$C2638&amp;"."&amp;$D2638</f>
        <v>srv.nga.voc</v>
      </c>
      <c r="B2638" s="8" t="inlineStr">
        <is>
          <t>srv</t>
        </is>
      </c>
      <c r="C2638" s="8" t="inlineStr">
        <is>
          <t>nga</t>
        </is>
      </c>
      <c r="D2638" s="8" t="inlineStr">
        <is>
          <t>voc</t>
        </is>
      </c>
      <c r="E2638" s="3" t="str">
        <f>CodePrefix&amp;"ef."&amp;$A2638</f>
        <v>egy.mit.ef.srv.nga.voc</v>
      </c>
      <c r="F2638" s="3" t="str">
        <f>CtryReg&amp;".mit.ef."&amp;$A2638</f>
        <v>mea.mit.ef.srv.nga.voc</v>
      </c>
      <c r="G2638" s="3" t="str">
        <f>"wld.mit.ef."&amp;$A2638</f>
        <v>wld.mit.ef.srv.nga.voc</v>
      </c>
      <c r="H2638" s="3" t="inlineStr">
        <is>
          <t>mea.mit.ef.srv.nga.voc</t>
        </is>
      </c>
      <c r="I2638" s="236" t="n">
        <v>0.083736</v>
      </c>
      <c r="J2638" s="236" t="n">
        <v>0.083736</v>
      </c>
    </row>
    <row r="2639">
      <c r="A2639" s="3" t="str">
        <f>$B2639&amp;"."&amp;$C2639&amp;"."&amp;$D2639</f>
        <v>srv.oop.voc</v>
      </c>
      <c r="B2639" s="8" t="inlineStr">
        <is>
          <t>srv</t>
        </is>
      </c>
      <c r="C2639" s="8" t="inlineStr">
        <is>
          <t>oop</t>
        </is>
      </c>
      <c r="D2639" s="8" t="inlineStr">
        <is>
          <t>voc</t>
        </is>
      </c>
      <c r="E2639" s="3" t="str">
        <f>CodePrefix&amp;"ef."&amp;$A2639</f>
        <v>egy.mit.ef.srv.oop.voc</v>
      </c>
      <c r="F2639" s="3" t="str">
        <f>CtryReg&amp;".mit.ef."&amp;$A2639</f>
        <v>mea.mit.ef.srv.oop.voc</v>
      </c>
      <c r="G2639" s="3" t="str">
        <f>"wld.mit.ef."&amp;$A2639</f>
        <v>wld.mit.ef.srv.oop.voc</v>
      </c>
      <c r="H2639" s="3" t="inlineStr">
        <is>
          <t>mea.mit.ef.srv.oop.voc</t>
        </is>
      </c>
      <c r="I2639" s="236" t="n">
        <v>0.125604</v>
      </c>
      <c r="J2639" s="236" t="n">
        <v>0.125604</v>
      </c>
    </row>
    <row r="2640">
      <c r="A2640" s="3" t="str">
        <f>$B2640&amp;"."&amp;$C2640&amp;"."&amp;$D2640</f>
        <v>srv.gso.voc</v>
      </c>
      <c r="B2640" s="8" t="inlineStr">
        <is>
          <t>srv</t>
        </is>
      </c>
      <c r="C2640" s="8" t="inlineStr">
        <is>
          <t>gso</t>
        </is>
      </c>
      <c r="D2640" s="8" t="inlineStr">
        <is>
          <t>voc</t>
        </is>
      </c>
      <c r="E2640" s="3" t="str">
        <f>CodePrefix&amp;"ef."&amp;$A2640</f>
        <v>egy.mit.ef.srv.gso.voc</v>
      </c>
      <c r="F2640" s="3" t="str">
        <f>CtryReg&amp;".mit.ef."&amp;$A2640</f>
        <v>mea.mit.ef.srv.gso.voc</v>
      </c>
      <c r="G2640" s="3" t="str">
        <f>"wld.mit.ef."&amp;$A2640</f>
        <v>wld.mit.ef.srv.gso.voc</v>
      </c>
      <c r="H2640" s="3" t="inlineStr">
        <is>
          <t>mea.mit.ef.srv.gso.voc</t>
        </is>
      </c>
      <c r="I2640" s="236" t="n">
        <v>0.083736</v>
      </c>
      <c r="J2640" s="236" t="n">
        <v>0.083736</v>
      </c>
    </row>
    <row r="2641">
      <c r="A2641" s="3" t="str">
        <f>$B2641&amp;"."&amp;$C2641&amp;"."&amp;$D2641</f>
        <v>srv.die.voc</v>
      </c>
      <c r="B2641" s="8" t="inlineStr">
        <is>
          <t>srv</t>
        </is>
      </c>
      <c r="C2641" s="8" t="inlineStr">
        <is>
          <t>die</t>
        </is>
      </c>
      <c r="D2641" s="8" t="inlineStr">
        <is>
          <t>voc</t>
        </is>
      </c>
      <c r="E2641" s="3" t="str">
        <f>CodePrefix&amp;"ef."&amp;$A2641</f>
        <v>egy.mit.ef.srv.die.voc</v>
      </c>
      <c r="F2641" s="3" t="str">
        <f>CtryReg&amp;".mit.ef."&amp;$A2641</f>
        <v>mea.mit.ef.srv.die.voc</v>
      </c>
      <c r="G2641" s="3" t="str">
        <f>"wld.mit.ef."&amp;$A2641</f>
        <v>wld.mit.ef.srv.die.voc</v>
      </c>
      <c r="H2641" s="3" t="inlineStr">
        <is>
          <t>mea.mit.ef.srv.die.voc</t>
        </is>
      </c>
      <c r="I2641" s="236" t="n">
        <v>0.125604</v>
      </c>
      <c r="J2641" s="236" t="n">
        <v>0.125604</v>
      </c>
    </row>
    <row r="2642">
      <c r="A2642" s="3" t="str">
        <f>$B2642&amp;"."&amp;$C2642&amp;"."&amp;$D2642</f>
        <v>srv.lpg.voc</v>
      </c>
      <c r="B2642" s="8" t="inlineStr">
        <is>
          <t>srv</t>
        </is>
      </c>
      <c r="C2642" s="8" t="inlineStr">
        <is>
          <t>lpg</t>
        </is>
      </c>
      <c r="D2642" s="8" t="inlineStr">
        <is>
          <t>voc</t>
        </is>
      </c>
      <c r="E2642" s="3" t="str">
        <f>CodePrefix&amp;"ef."&amp;$A2642</f>
        <v>egy.mit.ef.srv.lpg.voc</v>
      </c>
      <c r="F2642" s="3" t="str">
        <f>CtryReg&amp;".mit.ef."&amp;$A2642</f>
        <v>mea.mit.ef.srv.lpg.voc</v>
      </c>
      <c r="G2642" s="3" t="str">
        <f>"wld.mit.ef."&amp;$A2642</f>
        <v>wld.mit.ef.srv.lpg.voc</v>
      </c>
      <c r="H2642" s="3" t="inlineStr">
        <is>
          <t>mea.mit.ef.srv.lpg.voc</t>
        </is>
      </c>
      <c r="I2642" s="236" t="n">
        <v>0.125604</v>
      </c>
      <c r="J2642" s="236" t="n">
        <v>0.125604</v>
      </c>
    </row>
    <row r="2643">
      <c r="A2643" s="3" t="str">
        <f>$B2643&amp;"."&amp;$C2643&amp;"."&amp;$D2643</f>
        <v>srv.ker.voc</v>
      </c>
      <c r="B2643" s="8" t="inlineStr">
        <is>
          <t>srv</t>
        </is>
      </c>
      <c r="C2643" s="8" t="inlineStr">
        <is>
          <t>ker</t>
        </is>
      </c>
      <c r="D2643" s="8" t="inlineStr">
        <is>
          <t>voc</t>
        </is>
      </c>
      <c r="E2643" s="3" t="str">
        <f>CodePrefix&amp;"ef."&amp;$A2643</f>
        <v>egy.mit.ef.srv.ker.voc</v>
      </c>
      <c r="F2643" s="3" t="str">
        <f>CtryReg&amp;".mit.ef."&amp;$A2643</f>
        <v>mea.mit.ef.srv.ker.voc</v>
      </c>
      <c r="G2643" s="3" t="str">
        <f>"wld.mit.ef."&amp;$A2643</f>
        <v>wld.mit.ef.srv.ker.voc</v>
      </c>
      <c r="H2643" s="3" t="inlineStr">
        <is>
          <t>mea.mit.ef.srv.ker.voc</t>
        </is>
      </c>
      <c r="I2643" s="236" t="n">
        <v>0.083736</v>
      </c>
      <c r="J2643" s="236" t="n">
        <v>0.083736</v>
      </c>
    </row>
    <row r="2644">
      <c r="A2644" s="3" t="str">
        <f>$B2644&amp;"."&amp;$C2644&amp;"."&amp;$D2644</f>
        <v>srv.bio.voc</v>
      </c>
      <c r="B2644" s="8" t="inlineStr">
        <is>
          <t>srv</t>
        </is>
      </c>
      <c r="C2644" s="8" t="inlineStr">
        <is>
          <t>bio</t>
        </is>
      </c>
      <c r="D2644" s="8" t="inlineStr">
        <is>
          <t>voc</t>
        </is>
      </c>
      <c r="E2644" s="3" t="str">
        <f>CodePrefix&amp;"ef."&amp;$A2644</f>
        <v>egy.mit.ef.srv.bio.voc</v>
      </c>
      <c r="F2644" s="3" t="str">
        <f>CtryReg&amp;".mit.ef."&amp;$A2644</f>
        <v>mea.mit.ef.srv.bio.voc</v>
      </c>
      <c r="G2644" s="3" t="str">
        <f>"wld.mit.ef."&amp;$A2644</f>
        <v>wld.mit.ef.srv.bio.voc</v>
      </c>
      <c r="H2644" s="3" t="inlineStr">
        <is>
          <t>mea.mit.ef.srv.bio.voc</t>
        </is>
      </c>
      <c r="I2644" s="236" t="n">
        <v>4.097830500000001</v>
      </c>
      <c r="J2644" s="236" t="n">
        <v>3.584947500000001</v>
      </c>
    </row>
    <row r="2645">
      <c r="A2645" s="3" t="str">
        <f>$B2645&amp;"."&amp;$C2645&amp;"."&amp;$D2645</f>
        <v>mnf.coa.voc</v>
      </c>
      <c r="B2645" s="8" t="inlineStr">
        <is>
          <t>mnf</t>
        </is>
      </c>
      <c r="C2645" s="8" t="inlineStr">
        <is>
          <t>coa</t>
        </is>
      </c>
      <c r="D2645" s="8" t="inlineStr">
        <is>
          <t>voc</t>
        </is>
      </c>
      <c r="E2645" s="3" t="str">
        <f>CodePrefix&amp;"ef."&amp;$A2645</f>
        <v>egy.mit.ef.mnf.coa.voc</v>
      </c>
      <c r="F2645" s="3" t="str">
        <f>CtryReg&amp;".mit.ef."&amp;$A2645</f>
        <v>mea.mit.ef.mnf.coa.voc</v>
      </c>
      <c r="G2645" s="3" t="str">
        <f>"wld.mit.ef."&amp;$A2645</f>
        <v>wld.mit.ef.mnf.coa.voc</v>
      </c>
      <c r="H2645" s="3" t="inlineStr">
        <is>
          <t>egy.mit.ef.mnf.coa.voc</t>
        </is>
      </c>
      <c r="I2645" s="236" t="n">
        <v>0.4186800000000001</v>
      </c>
      <c r="J2645" s="236" t="n">
        <v>0.4186800000000001</v>
      </c>
    </row>
    <row r="2646">
      <c r="A2646" s="3" t="str">
        <f>$B2646&amp;"."&amp;$C2646&amp;"."&amp;$D2646</f>
        <v>mnf.nga.voc</v>
      </c>
      <c r="B2646" s="8" t="inlineStr">
        <is>
          <t>mnf</t>
        </is>
      </c>
      <c r="C2646" s="8" t="inlineStr">
        <is>
          <t>nga</t>
        </is>
      </c>
      <c r="D2646" s="8" t="inlineStr">
        <is>
          <t>voc</t>
        </is>
      </c>
      <c r="E2646" s="3" t="str">
        <f>CodePrefix&amp;"ef."&amp;$A2646</f>
        <v>egy.mit.ef.mnf.nga.voc</v>
      </c>
      <c r="F2646" s="3" t="str">
        <f>CtryReg&amp;".mit.ef."&amp;$A2646</f>
        <v>mea.mit.ef.mnf.nga.voc</v>
      </c>
      <c r="G2646" s="3" t="str">
        <f>"wld.mit.ef."&amp;$A2646</f>
        <v>wld.mit.ef.mnf.nga.voc</v>
      </c>
      <c r="H2646" s="3" t="inlineStr">
        <is>
          <t>egy.mit.ef.mnf.nga.voc</t>
        </is>
      </c>
      <c r="I2646" s="236" t="n">
        <v>0.083736</v>
      </c>
      <c r="J2646" s="236" t="n">
        <v>0.08373181320000002</v>
      </c>
    </row>
    <row r="2647">
      <c r="A2647" s="3" t="str">
        <f>$B2647&amp;"."&amp;$C2647&amp;"."&amp;$D2647</f>
        <v>mnf.oop.voc</v>
      </c>
      <c r="B2647" s="8" t="inlineStr">
        <is>
          <t>mnf</t>
        </is>
      </c>
      <c r="C2647" s="8" t="inlineStr">
        <is>
          <t>oop</t>
        </is>
      </c>
      <c r="D2647" s="8" t="inlineStr">
        <is>
          <t>voc</t>
        </is>
      </c>
      <c r="E2647" s="3" t="str">
        <f>CodePrefix&amp;"ef."&amp;$A2647</f>
        <v>egy.mit.ef.mnf.oop.voc</v>
      </c>
      <c r="F2647" s="3" t="str">
        <f>CtryReg&amp;".mit.ef."&amp;$A2647</f>
        <v>mea.mit.ef.mnf.oop.voc</v>
      </c>
      <c r="G2647" s="3" t="str">
        <f>"wld.mit.ef."&amp;$A2647</f>
        <v>wld.mit.ef.mnf.oop.voc</v>
      </c>
      <c r="H2647" s="3" t="inlineStr">
        <is>
          <t>egy.mit.ef.mnf.oop.voc</t>
        </is>
      </c>
      <c r="I2647" s="236" t="n">
        <v>0.20934</v>
      </c>
      <c r="J2647" s="236" t="n">
        <v>0.2093358132</v>
      </c>
    </row>
    <row r="2648">
      <c r="A2648" s="3" t="str">
        <f>$B2648&amp;"."&amp;$C2648&amp;"."&amp;$D2648</f>
        <v>mnf.gso.voc</v>
      </c>
      <c r="B2648" s="8" t="inlineStr">
        <is>
          <t>mnf</t>
        </is>
      </c>
      <c r="C2648" s="8" t="inlineStr">
        <is>
          <t>gso</t>
        </is>
      </c>
      <c r="D2648" s="8" t="inlineStr">
        <is>
          <t>voc</t>
        </is>
      </c>
      <c r="E2648" s="3" t="str">
        <f>CodePrefix&amp;"ef."&amp;$A2648</f>
        <v>egy.mit.ef.mnf.gso.voc</v>
      </c>
      <c r="F2648" s="3" t="str">
        <f>CtryReg&amp;".mit.ef."&amp;$A2648</f>
        <v>mea.mit.ef.mnf.gso.voc</v>
      </c>
      <c r="G2648" s="3" t="str">
        <f>"wld.mit.ef."&amp;$A2648</f>
        <v>wld.mit.ef.mnf.gso.voc</v>
      </c>
      <c r="H2648" s="3" t="inlineStr">
        <is>
          <t>egy.mit.ef.mnf.gso.voc</t>
        </is>
      </c>
      <c r="I2648" s="236" t="n">
        <v>0.10467</v>
      </c>
      <c r="J2648" s="236" t="n">
        <v>0.10467</v>
      </c>
    </row>
    <row r="2649">
      <c r="A2649" s="3" t="str">
        <f>$B2649&amp;"."&amp;$C2649&amp;"."&amp;$D2649</f>
        <v>mnf.die.voc</v>
      </c>
      <c r="B2649" s="8" t="inlineStr">
        <is>
          <t>mnf</t>
        </is>
      </c>
      <c r="C2649" s="8" t="inlineStr">
        <is>
          <t>die</t>
        </is>
      </c>
      <c r="D2649" s="8" t="inlineStr">
        <is>
          <t>voc</t>
        </is>
      </c>
      <c r="E2649" s="3" t="str">
        <f>CodePrefix&amp;"ef."&amp;$A2649</f>
        <v>egy.mit.ef.mnf.die.voc</v>
      </c>
      <c r="F2649" s="3" t="str">
        <f>CtryReg&amp;".mit.ef."&amp;$A2649</f>
        <v>mea.mit.ef.mnf.die.voc</v>
      </c>
      <c r="G2649" s="3" t="str">
        <f>"wld.mit.ef."&amp;$A2649</f>
        <v>wld.mit.ef.mnf.die.voc</v>
      </c>
      <c r="H2649" s="3" t="inlineStr">
        <is>
          <t>egy.mit.ef.mnf.die.voc</t>
        </is>
      </c>
      <c r="I2649" s="236" t="n">
        <v>0.167472</v>
      </c>
      <c r="J2649" s="236" t="n">
        <v>0.167472</v>
      </c>
    </row>
    <row r="2650">
      <c r="A2650" s="3" t="str">
        <f>$B2650&amp;"."&amp;$C2650&amp;"."&amp;$D2650</f>
        <v>mnf.lpg.voc</v>
      </c>
      <c r="B2650" s="8" t="inlineStr">
        <is>
          <t>mnf</t>
        </is>
      </c>
      <c r="C2650" s="8" t="inlineStr">
        <is>
          <t>lpg</t>
        </is>
      </c>
      <c r="D2650" s="8" t="inlineStr">
        <is>
          <t>voc</t>
        </is>
      </c>
      <c r="E2650" s="3" t="str">
        <f>CodePrefix&amp;"ef."&amp;$A2650</f>
        <v>egy.mit.ef.mnf.lpg.voc</v>
      </c>
      <c r="F2650" s="3" t="str">
        <f>CtryReg&amp;".mit.ef."&amp;$A2650</f>
        <v>mea.mit.ef.mnf.lpg.voc</v>
      </c>
      <c r="G2650" s="3" t="str">
        <f>"wld.mit.ef."&amp;$A2650</f>
        <v>wld.mit.ef.mnf.lpg.voc</v>
      </c>
      <c r="H2650" s="3" t="inlineStr">
        <is>
          <t>wld.mit.ef.mnf.lpg.voc</t>
        </is>
      </c>
      <c r="I2650" s="236" t="n">
        <v>0</v>
      </c>
      <c r="J2650" s="236" t="n">
        <v>0</v>
      </c>
    </row>
    <row r="2651">
      <c r="A2651" s="3" t="str">
        <f>$B2651&amp;"."&amp;$C2651&amp;"."&amp;$D2651</f>
        <v>mnf.ker.voc</v>
      </c>
      <c r="B2651" s="8" t="inlineStr">
        <is>
          <t>mnf</t>
        </is>
      </c>
      <c r="C2651" s="8" t="inlineStr">
        <is>
          <t>ker</t>
        </is>
      </c>
      <c r="D2651" s="8" t="inlineStr">
        <is>
          <t>voc</t>
        </is>
      </c>
      <c r="E2651" s="3" t="str">
        <f>CodePrefix&amp;"ef."&amp;$A2651</f>
        <v>egy.mit.ef.mnf.ker.voc</v>
      </c>
      <c r="F2651" s="3" t="str">
        <f>CtryReg&amp;".mit.ef."&amp;$A2651</f>
        <v>mea.mit.ef.mnf.ker.voc</v>
      </c>
      <c r="G2651" s="3" t="str">
        <f>"wld.mit.ef."&amp;$A2651</f>
        <v>wld.mit.ef.mnf.ker.voc</v>
      </c>
      <c r="H2651" s="3" t="inlineStr">
        <is>
          <t>egy.mit.ef.mnf.ker.voc</t>
        </is>
      </c>
      <c r="I2651" s="236" t="n">
        <v>0.10467</v>
      </c>
      <c r="J2651" s="236" t="n">
        <v>0.10467</v>
      </c>
    </row>
    <row r="2652">
      <c r="A2652" s="3" t="str">
        <f>$B2652&amp;"."&amp;$C2652&amp;"."&amp;$D2652</f>
        <v>mnf.bio.voc</v>
      </c>
      <c r="B2652" s="8" t="inlineStr">
        <is>
          <t>mnf</t>
        </is>
      </c>
      <c r="C2652" s="8" t="inlineStr">
        <is>
          <t>bio</t>
        </is>
      </c>
      <c r="D2652" s="8" t="inlineStr">
        <is>
          <t>voc</t>
        </is>
      </c>
      <c r="E2652" s="3" t="str">
        <f>CodePrefix&amp;"ef."&amp;$A2652</f>
        <v>egy.mit.ef.mnf.bio.voc</v>
      </c>
      <c r="F2652" s="3" t="str">
        <f>CtryReg&amp;".mit.ef."&amp;$A2652</f>
        <v>mea.mit.ef.mnf.bio.voc</v>
      </c>
      <c r="G2652" s="3" t="str">
        <f>"wld.mit.ef."&amp;$A2652</f>
        <v>wld.mit.ef.mnf.bio.voc</v>
      </c>
      <c r="H2652" s="3" t="inlineStr">
        <is>
          <t>mea.mit.ef.mnf.bio.voc</t>
        </is>
      </c>
      <c r="I2652" s="236" t="n">
        <v>2.1837846384</v>
      </c>
      <c r="J2652" s="236" t="n">
        <v>2.009664</v>
      </c>
    </row>
    <row r="2653">
      <c r="A2653" s="3" t="str">
        <f>$B2653&amp;"."&amp;$C2653&amp;"."&amp;$D2653</f>
        <v>omn.coa.voc</v>
      </c>
      <c r="B2653" s="8" t="inlineStr">
        <is>
          <t>omn</t>
        </is>
      </c>
      <c r="C2653" s="8" t="inlineStr">
        <is>
          <t>coa</t>
        </is>
      </c>
      <c r="D2653" s="8" t="inlineStr">
        <is>
          <t>voc</t>
        </is>
      </c>
      <c r="E2653" s="3" t="str">
        <f>CodePrefix&amp;"ef."&amp;$A2653</f>
        <v>egy.mit.ef.omn.coa.voc</v>
      </c>
      <c r="F2653" s="3" t="str">
        <f>CtryReg&amp;".mit.ef."&amp;$A2653</f>
        <v>mea.mit.ef.omn.coa.voc</v>
      </c>
      <c r="G2653" s="3" t="str">
        <f>"wld.mit.ef."&amp;$A2653</f>
        <v>wld.mit.ef.omn.coa.voc</v>
      </c>
      <c r="H2653" s="3" t="inlineStr">
        <is>
          <t>wld.mit.ef.omn.coa.voc</t>
        </is>
      </c>
      <c r="I2653" s="236" t="n">
        <v>0</v>
      </c>
      <c r="J2653" s="236" t="n">
        <v>0</v>
      </c>
    </row>
    <row r="2654">
      <c r="A2654" s="3" t="str">
        <f>$B2654&amp;"."&amp;$C2654&amp;"."&amp;$D2654</f>
        <v>omn.nga.voc</v>
      </c>
      <c r="B2654" s="8" t="inlineStr">
        <is>
          <t>omn</t>
        </is>
      </c>
      <c r="C2654" s="8" t="inlineStr">
        <is>
          <t>nga</t>
        </is>
      </c>
      <c r="D2654" s="8" t="inlineStr">
        <is>
          <t>voc</t>
        </is>
      </c>
      <c r="E2654" s="3" t="str">
        <f>CodePrefix&amp;"ef."&amp;$A2654</f>
        <v>egy.mit.ef.omn.nga.voc</v>
      </c>
      <c r="F2654" s="3" t="str">
        <f>CtryReg&amp;".mit.ef."&amp;$A2654</f>
        <v>mea.mit.ef.omn.nga.voc</v>
      </c>
      <c r="G2654" s="3" t="str">
        <f>"wld.mit.ef."&amp;$A2654</f>
        <v>wld.mit.ef.omn.nga.voc</v>
      </c>
      <c r="H2654" s="3" t="inlineStr">
        <is>
          <t>egy.mit.ef.omn.nga.voc</t>
        </is>
      </c>
      <c r="I2654" s="236" t="n">
        <v>0.083736</v>
      </c>
      <c r="J2654" s="236" t="n">
        <v>0.083736</v>
      </c>
    </row>
    <row r="2655">
      <c r="A2655" s="3" t="str">
        <f>$B2655&amp;"."&amp;$C2655&amp;"."&amp;$D2655</f>
        <v>omn.oop.voc</v>
      </c>
      <c r="B2655" s="8" t="inlineStr">
        <is>
          <t>omn</t>
        </is>
      </c>
      <c r="C2655" s="8" t="inlineStr">
        <is>
          <t>oop</t>
        </is>
      </c>
      <c r="D2655" s="8" t="inlineStr">
        <is>
          <t>voc</t>
        </is>
      </c>
      <c r="E2655" s="3" t="str">
        <f>CodePrefix&amp;"ef."&amp;$A2655</f>
        <v>egy.mit.ef.omn.oop.voc</v>
      </c>
      <c r="F2655" s="3" t="str">
        <f>CtryReg&amp;".mit.ef."&amp;$A2655</f>
        <v>mea.mit.ef.omn.oop.voc</v>
      </c>
      <c r="G2655" s="3" t="str">
        <f>"wld.mit.ef."&amp;$A2655</f>
        <v>wld.mit.ef.omn.oop.voc</v>
      </c>
      <c r="H2655" s="3" t="inlineStr">
        <is>
          <t>egy.mit.ef.omn.oop.voc</t>
        </is>
      </c>
      <c r="I2655" s="236" t="n">
        <v>0.20934</v>
      </c>
      <c r="J2655" s="236" t="n">
        <v>0.20934</v>
      </c>
    </row>
    <row r="2656">
      <c r="A2656" s="3" t="str">
        <f>$B2656&amp;"."&amp;$C2656&amp;"."&amp;$D2656</f>
        <v>omn.gso.voc</v>
      </c>
      <c r="B2656" s="8" t="inlineStr">
        <is>
          <t>omn</t>
        </is>
      </c>
      <c r="C2656" s="8" t="inlineStr">
        <is>
          <t>gso</t>
        </is>
      </c>
      <c r="D2656" s="8" t="inlineStr">
        <is>
          <t>voc</t>
        </is>
      </c>
      <c r="E2656" s="3" t="str">
        <f>CodePrefix&amp;"ef."&amp;$A2656</f>
        <v>egy.mit.ef.omn.gso.voc</v>
      </c>
      <c r="F2656" s="3" t="str">
        <f>CtryReg&amp;".mit.ef."&amp;$A2656</f>
        <v>mea.mit.ef.omn.gso.voc</v>
      </c>
      <c r="G2656" s="3" t="str">
        <f>"wld.mit.ef."&amp;$A2656</f>
        <v>wld.mit.ef.omn.gso.voc</v>
      </c>
      <c r="H2656" s="3" t="inlineStr">
        <is>
          <t>egy.mit.ef.omn.gso.voc</t>
        </is>
      </c>
      <c r="I2656" s="236" t="n">
        <v>0.10467</v>
      </c>
      <c r="J2656" s="236" t="n">
        <v>0.10467</v>
      </c>
    </row>
    <row r="2657">
      <c r="A2657" s="3" t="str">
        <f>$B2657&amp;"."&amp;$C2657&amp;"."&amp;$D2657</f>
        <v>omn.die.voc</v>
      </c>
      <c r="B2657" s="8" t="inlineStr">
        <is>
          <t>omn</t>
        </is>
      </c>
      <c r="C2657" s="8" t="inlineStr">
        <is>
          <t>die</t>
        </is>
      </c>
      <c r="D2657" s="8" t="inlineStr">
        <is>
          <t>voc</t>
        </is>
      </c>
      <c r="E2657" s="3" t="str">
        <f>CodePrefix&amp;"ef."&amp;$A2657</f>
        <v>egy.mit.ef.omn.die.voc</v>
      </c>
      <c r="F2657" s="3" t="str">
        <f>CtryReg&amp;".mit.ef."&amp;$A2657</f>
        <v>mea.mit.ef.omn.die.voc</v>
      </c>
      <c r="G2657" s="3" t="str">
        <f>"wld.mit.ef."&amp;$A2657</f>
        <v>wld.mit.ef.omn.die.voc</v>
      </c>
      <c r="H2657" s="3" t="inlineStr">
        <is>
          <t>mea.mit.ef.omn.die.voc</t>
        </is>
      </c>
      <c r="I2657" s="236" t="n">
        <v>0.167472</v>
      </c>
      <c r="J2657" s="236" t="n">
        <v>0.167472</v>
      </c>
    </row>
    <row r="2658">
      <c r="A2658" s="3" t="str">
        <f>$B2658&amp;"."&amp;$C2658&amp;"."&amp;$D2658</f>
        <v>omn.lpg.voc</v>
      </c>
      <c r="B2658" s="8" t="inlineStr">
        <is>
          <t>omn</t>
        </is>
      </c>
      <c r="C2658" s="8" t="inlineStr">
        <is>
          <t>lpg</t>
        </is>
      </c>
      <c r="D2658" s="8" t="inlineStr">
        <is>
          <t>voc</t>
        </is>
      </c>
      <c r="E2658" s="3" t="str">
        <f>CodePrefix&amp;"ef."&amp;$A2658</f>
        <v>egy.mit.ef.omn.lpg.voc</v>
      </c>
      <c r="F2658" s="3" t="str">
        <f>CtryReg&amp;".mit.ef."&amp;$A2658</f>
        <v>mea.mit.ef.omn.lpg.voc</v>
      </c>
      <c r="G2658" s="3" t="str">
        <f>"wld.mit.ef."&amp;$A2658</f>
        <v>wld.mit.ef.omn.lpg.voc</v>
      </c>
      <c r="H2658" s="3" t="inlineStr">
        <is>
          <t>wld.mit.ef.omn.lpg.voc</t>
        </is>
      </c>
      <c r="I2658" s="236" t="n">
        <v>0</v>
      </c>
      <c r="J2658" s="236" t="n">
        <v>0</v>
      </c>
    </row>
    <row r="2659">
      <c r="A2659" s="3" t="str">
        <f>$B2659&amp;"."&amp;$C2659&amp;"."&amp;$D2659</f>
        <v>omn.ker.voc</v>
      </c>
      <c r="B2659" s="8" t="inlineStr">
        <is>
          <t>omn</t>
        </is>
      </c>
      <c r="C2659" s="8" t="inlineStr">
        <is>
          <t>ker</t>
        </is>
      </c>
      <c r="D2659" s="8" t="inlineStr">
        <is>
          <t>voc</t>
        </is>
      </c>
      <c r="E2659" s="3" t="str">
        <f>CodePrefix&amp;"ef."&amp;$A2659</f>
        <v>egy.mit.ef.omn.ker.voc</v>
      </c>
      <c r="F2659" s="3" t="str">
        <f>CtryReg&amp;".mit.ef."&amp;$A2659</f>
        <v>mea.mit.ef.omn.ker.voc</v>
      </c>
      <c r="G2659" s="3" t="str">
        <f>"wld.mit.ef."&amp;$A2659</f>
        <v>wld.mit.ef.omn.ker.voc</v>
      </c>
      <c r="H2659" s="3" t="inlineStr">
        <is>
          <t>egy.mit.ef.omn.ker.voc</t>
        </is>
      </c>
      <c r="I2659" s="236" t="n">
        <v>0.10467</v>
      </c>
      <c r="J2659" s="236" t="n">
        <v>0.10467</v>
      </c>
    </row>
    <row r="2660">
      <c r="A2660" s="3" t="str">
        <f>$B2660&amp;"."&amp;$C2660&amp;"."&amp;$D2660</f>
        <v>omn.bio.voc</v>
      </c>
      <c r="B2660" s="8" t="inlineStr">
        <is>
          <t>omn</t>
        </is>
      </c>
      <c r="C2660" s="8" t="inlineStr">
        <is>
          <t>bio</t>
        </is>
      </c>
      <c r="D2660" s="8" t="inlineStr">
        <is>
          <t>voc</t>
        </is>
      </c>
      <c r="E2660" s="3" t="str">
        <f>CodePrefix&amp;"ef."&amp;$A2660</f>
        <v>egy.mit.ef.omn.bio.voc</v>
      </c>
      <c r="F2660" s="3" t="str">
        <f>CtryReg&amp;".mit.ef."&amp;$A2660</f>
        <v>mea.mit.ef.omn.bio.voc</v>
      </c>
      <c r="G2660" s="3" t="str">
        <f>"wld.mit.ef."&amp;$A2660</f>
        <v>wld.mit.ef.omn.bio.voc</v>
      </c>
      <c r="H2660" s="3" t="inlineStr">
        <is>
          <t>mea.mit.ef.omn.bio.voc</t>
        </is>
      </c>
      <c r="I2660" s="236" t="n">
        <v>2.19534858</v>
      </c>
      <c r="J2660" s="236" t="n">
        <v>2.009664</v>
      </c>
    </row>
    <row r="2661">
      <c r="A2661" s="3" t="str">
        <f>$B2661&amp;"."&amp;$C2661&amp;"."&amp;$D2661</f>
        <v>foo.coa.voc</v>
      </c>
      <c r="B2661" s="8" t="inlineStr">
        <is>
          <t>foo</t>
        </is>
      </c>
      <c r="C2661" s="8" t="inlineStr">
        <is>
          <t>coa</t>
        </is>
      </c>
      <c r="D2661" s="8" t="inlineStr">
        <is>
          <t>voc</t>
        </is>
      </c>
      <c r="E2661" s="3" t="str">
        <f>CodePrefix&amp;"ef."&amp;$A2661</f>
        <v>egy.mit.ef.foo.coa.voc</v>
      </c>
      <c r="F2661" s="3" t="str">
        <f>CtryReg&amp;".mit.ef."&amp;$A2661</f>
        <v>mea.mit.ef.foo.coa.voc</v>
      </c>
      <c r="G2661" s="3" t="str">
        <f>"wld.mit.ef."&amp;$A2661</f>
        <v>wld.mit.ef.foo.coa.voc</v>
      </c>
      <c r="H2661" s="3" t="inlineStr">
        <is>
          <t>wld.mit.ef.foo.coa.voc</t>
        </is>
      </c>
      <c r="I2661" s="236" t="n">
        <v>0</v>
      </c>
      <c r="J2661" s="236" t="n">
        <v>0</v>
      </c>
    </row>
    <row r="2662">
      <c r="A2662" s="3" t="str">
        <f>$B2662&amp;"."&amp;$C2662&amp;"."&amp;$D2662</f>
        <v>foo.nga.voc</v>
      </c>
      <c r="B2662" s="8" t="inlineStr">
        <is>
          <t>foo</t>
        </is>
      </c>
      <c r="C2662" s="8" t="inlineStr">
        <is>
          <t>nga</t>
        </is>
      </c>
      <c r="D2662" s="8" t="inlineStr">
        <is>
          <t>voc</t>
        </is>
      </c>
      <c r="E2662" s="3" t="str">
        <f>CodePrefix&amp;"ef."&amp;$A2662</f>
        <v>egy.mit.ef.foo.nga.voc</v>
      </c>
      <c r="F2662" s="3" t="str">
        <f>CtryReg&amp;".mit.ef."&amp;$A2662</f>
        <v>mea.mit.ef.foo.nga.voc</v>
      </c>
      <c r="G2662" s="3" t="str">
        <f>"wld.mit.ef."&amp;$A2662</f>
        <v>wld.mit.ef.foo.nga.voc</v>
      </c>
      <c r="H2662" s="3" t="inlineStr">
        <is>
          <t>egy.mit.ef.foo.nga.voc</t>
        </is>
      </c>
      <c r="I2662" s="236" t="n">
        <v>0.083736</v>
      </c>
      <c r="J2662" s="236" t="n">
        <v>0.083736</v>
      </c>
    </row>
    <row r="2663">
      <c r="A2663" s="3" t="str">
        <f>$B2663&amp;"."&amp;$C2663&amp;"."&amp;$D2663</f>
        <v>foo.oop.voc</v>
      </c>
      <c r="B2663" s="8" t="inlineStr">
        <is>
          <t>foo</t>
        </is>
      </c>
      <c r="C2663" s="8" t="inlineStr">
        <is>
          <t>oop</t>
        </is>
      </c>
      <c r="D2663" s="8" t="inlineStr">
        <is>
          <t>voc</t>
        </is>
      </c>
      <c r="E2663" s="3" t="str">
        <f>CodePrefix&amp;"ef."&amp;$A2663</f>
        <v>egy.mit.ef.foo.oop.voc</v>
      </c>
      <c r="F2663" s="3" t="str">
        <f>CtryReg&amp;".mit.ef."&amp;$A2663</f>
        <v>mea.mit.ef.foo.oop.voc</v>
      </c>
      <c r="G2663" s="3" t="str">
        <f>"wld.mit.ef."&amp;$A2663</f>
        <v>wld.mit.ef.foo.oop.voc</v>
      </c>
      <c r="H2663" s="3" t="inlineStr">
        <is>
          <t>egy.mit.ef.foo.oop.voc</t>
        </is>
      </c>
      <c r="I2663" s="236" t="n">
        <v>0.20934</v>
      </c>
      <c r="J2663" s="236" t="n">
        <v>0.20934</v>
      </c>
    </row>
    <row r="2664">
      <c r="A2664" s="3" t="str">
        <f>$B2664&amp;"."&amp;$C2664&amp;"."&amp;$D2664</f>
        <v>foo.gso.voc</v>
      </c>
      <c r="B2664" s="8" t="inlineStr">
        <is>
          <t>foo</t>
        </is>
      </c>
      <c r="C2664" s="8" t="inlineStr">
        <is>
          <t>gso</t>
        </is>
      </c>
      <c r="D2664" s="8" t="inlineStr">
        <is>
          <t>voc</t>
        </is>
      </c>
      <c r="E2664" s="3" t="str">
        <f>CodePrefix&amp;"ef."&amp;$A2664</f>
        <v>egy.mit.ef.foo.gso.voc</v>
      </c>
      <c r="F2664" s="3" t="str">
        <f>CtryReg&amp;".mit.ef."&amp;$A2664</f>
        <v>mea.mit.ef.foo.gso.voc</v>
      </c>
      <c r="G2664" s="3" t="str">
        <f>"wld.mit.ef."&amp;$A2664</f>
        <v>wld.mit.ef.foo.gso.voc</v>
      </c>
      <c r="H2664" s="3" t="inlineStr">
        <is>
          <t>egy.mit.ef.foo.gso.voc</t>
        </is>
      </c>
      <c r="I2664" s="236" t="n">
        <v>0.10467</v>
      </c>
      <c r="J2664" s="236" t="n">
        <v>0.10467</v>
      </c>
    </row>
    <row r="2665">
      <c r="A2665" s="3" t="str">
        <f>$B2665&amp;"."&amp;$C2665&amp;"."&amp;$D2665</f>
        <v>foo.die.voc</v>
      </c>
      <c r="B2665" s="8" t="inlineStr">
        <is>
          <t>foo</t>
        </is>
      </c>
      <c r="C2665" s="8" t="inlineStr">
        <is>
          <t>die</t>
        </is>
      </c>
      <c r="D2665" s="8" t="inlineStr">
        <is>
          <t>voc</t>
        </is>
      </c>
      <c r="E2665" s="3" t="str">
        <f>CodePrefix&amp;"ef."&amp;$A2665</f>
        <v>egy.mit.ef.foo.die.voc</v>
      </c>
      <c r="F2665" s="3" t="str">
        <f>CtryReg&amp;".mit.ef."&amp;$A2665</f>
        <v>mea.mit.ef.foo.die.voc</v>
      </c>
      <c r="G2665" s="3" t="str">
        <f>"wld.mit.ef."&amp;$A2665</f>
        <v>wld.mit.ef.foo.die.voc</v>
      </c>
      <c r="H2665" s="3" t="inlineStr">
        <is>
          <t>mea.mit.ef.foo.die.voc</t>
        </is>
      </c>
      <c r="I2665" s="236" t="n">
        <v>0.167472</v>
      </c>
      <c r="J2665" s="236" t="n">
        <v>0.167472</v>
      </c>
    </row>
    <row r="2666">
      <c r="A2666" s="3" t="str">
        <f>$B2666&amp;"."&amp;$C2666&amp;"."&amp;$D2666</f>
        <v>foo.lpg.voc</v>
      </c>
      <c r="B2666" s="8" t="inlineStr">
        <is>
          <t>foo</t>
        </is>
      </c>
      <c r="C2666" s="8" t="inlineStr">
        <is>
          <t>lpg</t>
        </is>
      </c>
      <c r="D2666" s="8" t="inlineStr">
        <is>
          <t>voc</t>
        </is>
      </c>
      <c r="E2666" s="3" t="str">
        <f>CodePrefix&amp;"ef."&amp;$A2666</f>
        <v>egy.mit.ef.foo.lpg.voc</v>
      </c>
      <c r="F2666" s="3" t="str">
        <f>CtryReg&amp;".mit.ef."&amp;$A2666</f>
        <v>mea.mit.ef.foo.lpg.voc</v>
      </c>
      <c r="G2666" s="3" t="str">
        <f>"wld.mit.ef."&amp;$A2666</f>
        <v>wld.mit.ef.foo.lpg.voc</v>
      </c>
      <c r="H2666" s="3" t="inlineStr">
        <is>
          <t>wld.mit.ef.foo.lpg.voc</t>
        </is>
      </c>
      <c r="I2666" s="236" t="n">
        <v>0</v>
      </c>
      <c r="J2666" s="236" t="n">
        <v>0</v>
      </c>
    </row>
    <row r="2667">
      <c r="A2667" s="3" t="str">
        <f>$B2667&amp;"."&amp;$C2667&amp;"."&amp;$D2667</f>
        <v>foo.ker.voc</v>
      </c>
      <c r="B2667" s="8" t="inlineStr">
        <is>
          <t>foo</t>
        </is>
      </c>
      <c r="C2667" s="8" t="inlineStr">
        <is>
          <t>ker</t>
        </is>
      </c>
      <c r="D2667" s="8" t="inlineStr">
        <is>
          <t>voc</t>
        </is>
      </c>
      <c r="E2667" s="3" t="str">
        <f>CodePrefix&amp;"ef."&amp;$A2667</f>
        <v>egy.mit.ef.foo.ker.voc</v>
      </c>
      <c r="F2667" s="3" t="str">
        <f>CtryReg&amp;".mit.ef."&amp;$A2667</f>
        <v>mea.mit.ef.foo.ker.voc</v>
      </c>
      <c r="G2667" s="3" t="str">
        <f>"wld.mit.ef."&amp;$A2667</f>
        <v>wld.mit.ef.foo.ker.voc</v>
      </c>
      <c r="H2667" s="3" t="inlineStr">
        <is>
          <t>egy.mit.ef.foo.ker.voc</t>
        </is>
      </c>
      <c r="I2667" s="236" t="n">
        <v>0.10467</v>
      </c>
      <c r="J2667" s="236" t="n">
        <v>0.10467</v>
      </c>
    </row>
    <row r="2668">
      <c r="A2668" s="3" t="str">
        <f>$B2668&amp;"."&amp;$C2668&amp;"."&amp;$D2668</f>
        <v>foo.bio.voc</v>
      </c>
      <c r="B2668" s="8" t="inlineStr">
        <is>
          <t>foo</t>
        </is>
      </c>
      <c r="C2668" s="8" t="inlineStr">
        <is>
          <t>bio</t>
        </is>
      </c>
      <c r="D2668" s="8" t="inlineStr">
        <is>
          <t>voc</t>
        </is>
      </c>
      <c r="E2668" s="3" t="str">
        <f>CodePrefix&amp;"ef."&amp;$A2668</f>
        <v>egy.mit.ef.foo.bio.voc</v>
      </c>
      <c r="F2668" s="3" t="str">
        <f>CtryReg&amp;".mit.ef."&amp;$A2668</f>
        <v>mea.mit.ef.foo.bio.voc</v>
      </c>
      <c r="G2668" s="3" t="str">
        <f>"wld.mit.ef."&amp;$A2668</f>
        <v>wld.mit.ef.foo.bio.voc</v>
      </c>
      <c r="H2668" s="3" t="inlineStr">
        <is>
          <t>egy.mit.ef.foo.bio.voc</t>
        </is>
      </c>
      <c r="I2668" s="236" t="n">
        <v>36.19739808</v>
      </c>
      <c r="J2668" s="236" t="n">
        <v>31.2059076804</v>
      </c>
    </row>
    <row r="2669">
      <c r="A2669" s="3" t="str">
        <f>$B2669&amp;"."&amp;$C2669&amp;"."&amp;$D2669</f>
        <v>oen.coa.voc</v>
      </c>
      <c r="B2669" s="8" t="inlineStr">
        <is>
          <t>oen</t>
        </is>
      </c>
      <c r="C2669" s="8" t="inlineStr">
        <is>
          <t>coa</t>
        </is>
      </c>
      <c r="D2669" s="8" t="inlineStr">
        <is>
          <t>voc</t>
        </is>
      </c>
      <c r="H2669" s="3" t="inlineStr">
        <is>
          <t>max</t>
        </is>
      </c>
      <c r="I2669" s="236">
        <f>_xlfn.MAXIFS($I$2612:$I$2668,$C$2612:$C$2668,$C2669)</f>
        <v>7.226416800000001</v>
      </c>
      <c r="J2669" s="236">
        <f>_xlfn.MAXIFS($J$2612:$J$2668,$C$2612:$C$2668,$C2669)</f>
        <v>7.226416800000001</v>
      </c>
    </row>
    <row r="2670">
      <c r="A2670" s="3" t="str">
        <f>$B2670&amp;"."&amp;$C2670&amp;"."&amp;$D2670</f>
        <v>oen.nga.voc</v>
      </c>
      <c r="B2670" s="8" t="inlineStr">
        <is>
          <t>oen</t>
        </is>
      </c>
      <c r="C2670" s="8" t="inlineStr">
        <is>
          <t>nga</t>
        </is>
      </c>
      <c r="D2670" s="8" t="inlineStr">
        <is>
          <t>voc</t>
        </is>
      </c>
      <c r="H2670" s="3" t="inlineStr">
        <is>
          <t>max</t>
        </is>
      </c>
      <c r="I2670" s="236">
        <f>_xlfn.MAXIFS($I$2612:$I$2668,$C$2612:$C$2668,$C2670)</f>
        <v>15.2091538992</v>
      </c>
      <c r="J2670" s="236">
        <f>_xlfn.MAXIFS($J$2612:$J$2668,$C$2612:$C$2668,$C2670)</f>
        <v>9.75597669</v>
      </c>
    </row>
    <row r="2671">
      <c r="A2671" s="3" t="str">
        <f>$B2671&amp;"."&amp;$C2671&amp;"."&amp;$D2671</f>
        <v>oen.oop.voc</v>
      </c>
      <c r="B2671" s="8" t="inlineStr">
        <is>
          <t>oen</t>
        </is>
      </c>
      <c r="C2671" s="8" t="inlineStr">
        <is>
          <t>oop</t>
        </is>
      </c>
      <c r="D2671" s="8" t="inlineStr">
        <is>
          <t>voc</t>
        </is>
      </c>
      <c r="H2671" s="3" t="inlineStr">
        <is>
          <t>max</t>
        </is>
      </c>
      <c r="I2671" s="236">
        <f>_xlfn.MAXIFS($I$2612:$I$2668,$C$2612:$C$2668,$C2671)</f>
        <v>0.20934</v>
      </c>
      <c r="J2671" s="236">
        <f>_xlfn.MAXIFS($J$2612:$J$2668,$C$2612:$C$2668,$C2671)</f>
        <v>0.20934</v>
      </c>
    </row>
    <row r="2672">
      <c r="A2672" s="3" t="str">
        <f>$B2672&amp;"."&amp;$C2672&amp;"."&amp;$D2672</f>
        <v>oen.gso.voc</v>
      </c>
      <c r="B2672" s="8" t="inlineStr">
        <is>
          <t>oen</t>
        </is>
      </c>
      <c r="C2672" s="8" t="inlineStr">
        <is>
          <t>gso</t>
        </is>
      </c>
      <c r="D2672" s="8" t="inlineStr">
        <is>
          <t>voc</t>
        </is>
      </c>
      <c r="H2672" s="3" t="inlineStr">
        <is>
          <t>max</t>
        </is>
      </c>
      <c r="I2672" s="236">
        <f>_xlfn.MAXIFS($I$2612:$I$2668,$C$2612:$C$2668,$C2672)</f>
        <v>33.49440000000001</v>
      </c>
      <c r="J2672" s="236">
        <f>_xlfn.MAXIFS($J$2612:$J$2668,$C$2612:$C$2668,$C2672)</f>
        <v>33.49440000000001</v>
      </c>
    </row>
    <row r="2673">
      <c r="A2673" s="3" t="str">
        <f>$B2673&amp;"."&amp;$C2673&amp;"."&amp;$D2673</f>
        <v>oen.die.voc</v>
      </c>
      <c r="B2673" s="8" t="inlineStr">
        <is>
          <t>oen</t>
        </is>
      </c>
      <c r="C2673" s="8" t="inlineStr">
        <is>
          <t>die</t>
        </is>
      </c>
      <c r="D2673" s="8" t="inlineStr">
        <is>
          <t>voc</t>
        </is>
      </c>
      <c r="H2673" s="3" t="inlineStr">
        <is>
          <t>max</t>
        </is>
      </c>
      <c r="I2673" s="236">
        <f>_xlfn.MAXIFS($I$2612:$I$2668,$C$2612:$C$2668,$C2673)</f>
        <v>7.95492</v>
      </c>
      <c r="J2673" s="236">
        <f>_xlfn.MAXIFS($J$2612:$J$2668,$C$2612:$C$2668,$C2673)</f>
        <v>7.95492</v>
      </c>
    </row>
    <row r="2674">
      <c r="A2674" s="3" t="str">
        <f>$B2674&amp;"."&amp;$C2674&amp;"."&amp;$D2674</f>
        <v>oen.lpg.voc</v>
      </c>
      <c r="B2674" s="8" t="inlineStr">
        <is>
          <t>oen</t>
        </is>
      </c>
      <c r="C2674" s="8" t="inlineStr">
        <is>
          <t>lpg</t>
        </is>
      </c>
      <c r="D2674" s="8" t="inlineStr">
        <is>
          <t>voc</t>
        </is>
      </c>
      <c r="H2674" s="3" t="inlineStr">
        <is>
          <t>max</t>
        </is>
      </c>
      <c r="I2674" s="236">
        <f>_xlfn.MAXIFS($I$2612:$I$2668,$C$2612:$C$2668,$C2674)</f>
        <v>28.47024</v>
      </c>
      <c r="J2674" s="236">
        <f>_xlfn.MAXIFS($J$2612:$J$2668,$C$2612:$C$2668,$C2674)</f>
        <v>28.47024</v>
      </c>
    </row>
    <row r="2675">
      <c r="A2675" s="3" t="str">
        <f>$B2675&amp;"."&amp;$C2675&amp;"."&amp;$D2675</f>
        <v>oen.ker.voc</v>
      </c>
      <c r="B2675" s="8" t="inlineStr">
        <is>
          <t>oen</t>
        </is>
      </c>
      <c r="C2675" s="8" t="inlineStr">
        <is>
          <t>ker</t>
        </is>
      </c>
      <c r="D2675" s="8" t="inlineStr">
        <is>
          <t>voc</t>
        </is>
      </c>
      <c r="H2675" s="3" t="inlineStr">
        <is>
          <t>max</t>
        </is>
      </c>
      <c r="I2675" s="236">
        <f>_xlfn.MAXIFS($I$2612:$I$2668,$C$2612:$C$2668,$C2675)</f>
        <v>33.49440000000001</v>
      </c>
      <c r="J2675" s="236">
        <f>_xlfn.MAXIFS($J$2612:$J$2668,$C$2612:$C$2668,$C2675)</f>
        <v>33.49440000000001</v>
      </c>
    </row>
    <row r="2676">
      <c r="A2676" s="3" t="str">
        <f>$B2676&amp;"."&amp;$C2676&amp;"."&amp;$D2676</f>
        <v>oen.bio.voc</v>
      </c>
      <c r="B2676" s="8" t="inlineStr">
        <is>
          <t>oen</t>
        </is>
      </c>
      <c r="C2676" s="8" t="inlineStr">
        <is>
          <t>bio</t>
        </is>
      </c>
      <c r="D2676" s="8" t="inlineStr">
        <is>
          <t>voc</t>
        </is>
      </c>
      <c r="H2676" s="3" t="inlineStr">
        <is>
          <t>max</t>
        </is>
      </c>
      <c r="I2676" s="236">
        <f>_xlfn.MAXIFS($I$2612:$I$2668,$C$2612:$C$2668,$C2676)</f>
        <v>83.736</v>
      </c>
      <c r="J2676" s="236">
        <f>_xlfn.MAXIFS($J$2612:$J$2668,$C$2612:$C$2668,$C2676)</f>
        <v>31.2059076804</v>
      </c>
    </row>
    <row r="2677">
      <c r="A2677" s="3" t="str">
        <f>$B2677&amp;"."&amp;$C2677&amp;"."&amp;$D2677</f>
        <v>nav.die.voc</v>
      </c>
      <c r="B2677" s="8" t="inlineStr">
        <is>
          <t>nav</t>
        </is>
      </c>
      <c r="C2677" s="8" t="inlineStr">
        <is>
          <t>die</t>
        </is>
      </c>
      <c r="D2677" s="8" t="inlineStr">
        <is>
          <t>voc</t>
        </is>
      </c>
      <c r="E2677" s="3" t="str">
        <f>CodePrefix&amp;"ef."&amp;$A2677</f>
        <v>egy.mit.ef.nav.die.voc</v>
      </c>
      <c r="F2677" s="3" t="str">
        <f>CtryReg&amp;".mit.ef."&amp;$A2677</f>
        <v>mea.mit.ef.nav.die.voc</v>
      </c>
      <c r="G2677" s="3" t="str">
        <f>"wld.mit.ef."&amp;$A2677</f>
        <v>wld.mit.ef.nav.die.voc</v>
      </c>
      <c r="H2677" s="3" t="inlineStr">
        <is>
          <t>egy.mit.ef.nav.die.voc</t>
        </is>
      </c>
      <c r="I2677" s="236" t="n">
        <v>7.95492</v>
      </c>
      <c r="J2677" s="236" t="n">
        <v>7.95492</v>
      </c>
    </row>
    <row r="2678">
      <c r="A2678" s="3" t="str">
        <f>$B2678&amp;"."&amp;$C2678&amp;"."&amp;$D2678</f>
        <v>nav.oop.voc</v>
      </c>
      <c r="B2678" s="8" t="inlineStr">
        <is>
          <t>nav</t>
        </is>
      </c>
      <c r="C2678" s="8" t="inlineStr">
        <is>
          <t>oop</t>
        </is>
      </c>
      <c r="D2678" s="8" t="inlineStr">
        <is>
          <t>voc</t>
        </is>
      </c>
      <c r="E2678" s="3" t="str">
        <f>CodePrefix&amp;"ef."&amp;$A2678</f>
        <v>egy.mit.ef.nav.oop.voc</v>
      </c>
      <c r="F2678" s="3" t="str">
        <f>CtryReg&amp;".mit.ef."&amp;$A2678</f>
        <v>mea.mit.ef.nav.oop.voc</v>
      </c>
      <c r="G2678" s="3" t="str">
        <f>"wld.mit.ef."&amp;$A2678</f>
        <v>wld.mit.ef.nav.oop.voc</v>
      </c>
      <c r="H2678" s="3" t="inlineStr">
        <is>
          <t>egy.mit.ef.nav.oop.voc</t>
        </is>
      </c>
      <c r="I2678" s="236" t="n">
        <v>1.25604</v>
      </c>
      <c r="J2678" s="236" t="n">
        <v>1.25604</v>
      </c>
    </row>
    <row r="2679">
      <c r="A2679" s="3" t="str">
        <f>$B2679&amp;"."&amp;$C2679&amp;"."&amp;$D2679</f>
        <v>pow.coa.bc</v>
      </c>
      <c r="B2679" s="8" t="inlineStr">
        <is>
          <t>pow</t>
        </is>
      </c>
      <c r="C2679" s="8" t="inlineStr">
        <is>
          <t>coa</t>
        </is>
      </c>
      <c r="D2679" s="8" t="inlineStr">
        <is>
          <t>bc</t>
        </is>
      </c>
      <c r="E2679" s="3" t="str">
        <f>CodePrefix&amp;"ef."&amp;$A2679</f>
        <v>egy.mit.ef.pow.coa.bc</v>
      </c>
      <c r="F2679" s="3" t="str">
        <f>CtryReg&amp;".mit.ef."&amp;$A2679</f>
        <v>mea.mit.ef.pow.coa.bc</v>
      </c>
      <c r="G2679" s="3" t="str">
        <f>"wld.mit.ef."&amp;$A2679</f>
        <v>wld.mit.ef.pow.coa.bc</v>
      </c>
      <c r="H2679" s="3" t="inlineStr">
        <is>
          <t>mea.mit.ef.pow.coa.bc</t>
        </is>
      </c>
      <c r="I2679" s="236" t="n">
        <v>0.0027591012</v>
      </c>
      <c r="J2679" s="236" t="n">
        <v>0.0021394548</v>
      </c>
    </row>
    <row r="2680">
      <c r="A2680" s="3" t="str">
        <f>$B2680&amp;"."&amp;$C2680&amp;"."&amp;$D2680</f>
        <v>pow.nga.bc</v>
      </c>
      <c r="B2680" s="8" t="inlineStr">
        <is>
          <t>pow</t>
        </is>
      </c>
      <c r="C2680" s="8" t="inlineStr">
        <is>
          <t>nga</t>
        </is>
      </c>
      <c r="D2680" s="8" t="inlineStr">
        <is>
          <t>bc</t>
        </is>
      </c>
      <c r="E2680" s="3" t="str">
        <f>CodePrefix&amp;"ef."&amp;$A2680</f>
        <v>egy.mit.ef.pow.nga.bc</v>
      </c>
      <c r="F2680" s="3" t="str">
        <f>CtryReg&amp;".mit.ef."&amp;$A2680</f>
        <v>mea.mit.ef.pow.nga.bc</v>
      </c>
      <c r="G2680" s="3" t="str">
        <f>"wld.mit.ef."&amp;$A2680</f>
        <v>wld.mit.ef.pow.nga.bc</v>
      </c>
      <c r="H2680" s="3" t="inlineStr">
        <is>
          <t>egy.mit.ef.pow.nga.bc</t>
        </is>
      </c>
      <c r="I2680" s="236" t="n">
        <v>0.0002805156</v>
      </c>
      <c r="J2680" s="236" t="n">
        <v>0.0002805156</v>
      </c>
    </row>
    <row r="2681">
      <c r="A2681" s="3" t="str">
        <f>$B2681&amp;"."&amp;$C2681&amp;"."&amp;$D2681</f>
        <v>pow.oop.bc</v>
      </c>
      <c r="B2681" s="8" t="inlineStr">
        <is>
          <t>pow</t>
        </is>
      </c>
      <c r="C2681" s="8" t="inlineStr">
        <is>
          <t>oop</t>
        </is>
      </c>
      <c r="D2681" s="8" t="inlineStr">
        <is>
          <t>bc</t>
        </is>
      </c>
      <c r="E2681" s="3" t="str">
        <f>CodePrefix&amp;"ef."&amp;$A2681</f>
        <v>egy.mit.ef.pow.oop.bc</v>
      </c>
      <c r="F2681" s="3" t="str">
        <f>CtryReg&amp;".mit.ef."&amp;$A2681</f>
        <v>mea.mit.ef.pow.oop.bc</v>
      </c>
      <c r="G2681" s="3" t="str">
        <f>"wld.mit.ef."&amp;$A2681</f>
        <v>wld.mit.ef.pow.oop.bc</v>
      </c>
      <c r="H2681" s="3" t="inlineStr">
        <is>
          <t>egy.mit.ef.pow.oop.bc</t>
        </is>
      </c>
      <c r="I2681" s="236" t="n">
        <v>0.0265108176</v>
      </c>
      <c r="J2681" s="236" t="n">
        <v>0.0265108176</v>
      </c>
    </row>
    <row r="2682">
      <c r="A2682" s="3" t="str">
        <f>$B2682&amp;"."&amp;$C2682&amp;"."&amp;$D2682</f>
        <v>pow.bio.bc</v>
      </c>
      <c r="B2682" s="8" t="inlineStr">
        <is>
          <t>pow</t>
        </is>
      </c>
      <c r="C2682" s="8" t="inlineStr">
        <is>
          <t>bio</t>
        </is>
      </c>
      <c r="D2682" s="8" t="inlineStr">
        <is>
          <t>bc</t>
        </is>
      </c>
      <c r="E2682" s="3" t="str">
        <f>CodePrefix&amp;"ef."&amp;$A2682</f>
        <v>egy.mit.ef.pow.bio.bc</v>
      </c>
      <c r="F2682" s="3" t="str">
        <f>CtryReg&amp;".mit.ef."&amp;$A2682</f>
        <v>mea.mit.ef.pow.bio.bc</v>
      </c>
      <c r="G2682" s="3" t="str">
        <f>"wld.mit.ef."&amp;$A2682</f>
        <v>wld.mit.ef.pow.bio.bc</v>
      </c>
      <c r="H2682" s="3" t="inlineStr">
        <is>
          <t>wld.mit.ef.pow.bio.bc</t>
        </is>
      </c>
      <c r="I2682" s="236" t="n">
        <v>0</v>
      </c>
      <c r="J2682" s="236" t="n">
        <v>0</v>
      </c>
    </row>
    <row r="2683">
      <c r="A2683" s="3" t="str">
        <f>$B2683&amp;"."&amp;$C2683&amp;"."&amp;$D2683</f>
        <v>rod.gso.bc</v>
      </c>
      <c r="B2683" s="8" t="inlineStr">
        <is>
          <t>rod</t>
        </is>
      </c>
      <c r="C2683" s="8" t="inlineStr">
        <is>
          <t>gso</t>
        </is>
      </c>
      <c r="D2683" s="8" t="inlineStr">
        <is>
          <t>bc</t>
        </is>
      </c>
      <c r="E2683" s="3" t="str">
        <f>CodePrefix&amp;"ef."&amp;$A2683</f>
        <v>egy.mit.ef.rod.gso.bc</v>
      </c>
      <c r="F2683" s="3" t="str">
        <f>CtryReg&amp;".mit.ef."&amp;$A2683</f>
        <v>mea.mit.ef.rod.gso.bc</v>
      </c>
      <c r="G2683" s="3" t="str">
        <f>"wld.mit.ef."&amp;$A2683</f>
        <v>wld.mit.ef.rod.gso.bc</v>
      </c>
      <c r="H2683" s="3" t="inlineStr">
        <is>
          <t>egy.mit.ef.rod.gso.bc</t>
        </is>
      </c>
      <c r="I2683" s="236" t="n">
        <v>0.2401464744</v>
      </c>
      <c r="J2683" s="236" t="n">
        <v>0.2285448516</v>
      </c>
    </row>
    <row r="2684">
      <c r="A2684" s="3" t="str">
        <f>$B2684&amp;"."&amp;$C2684&amp;"."&amp;$D2684</f>
        <v>rod.die.bc</v>
      </c>
      <c r="B2684" s="8" t="inlineStr">
        <is>
          <t>rod</t>
        </is>
      </c>
      <c r="C2684" s="8" t="inlineStr">
        <is>
          <t>die</t>
        </is>
      </c>
      <c r="D2684" s="8" t="inlineStr">
        <is>
          <t>bc</t>
        </is>
      </c>
      <c r="E2684" s="3" t="str">
        <f>CodePrefix&amp;"ef."&amp;$A2684</f>
        <v>egy.mit.ef.rod.die.bc</v>
      </c>
      <c r="F2684" s="3" t="str">
        <f>CtryReg&amp;".mit.ef."&amp;$A2684</f>
        <v>mea.mit.ef.rod.die.bc</v>
      </c>
      <c r="G2684" s="3" t="str">
        <f>"wld.mit.ef."&amp;$A2684</f>
        <v>wld.mit.ef.rod.die.bc</v>
      </c>
      <c r="H2684" s="3" t="inlineStr">
        <is>
          <t>egy.mit.ef.rod.die.bc</t>
        </is>
      </c>
      <c r="I2684" s="236" t="n">
        <v>2.27667717</v>
      </c>
      <c r="J2684" s="236" t="n">
        <v>2.2675248252</v>
      </c>
    </row>
    <row r="2685">
      <c r="A2685" s="3" t="str">
        <f>$B2685&amp;"."&amp;$C2685&amp;"."&amp;$D2685</f>
        <v>rod.lpg.bc</v>
      </c>
      <c r="B2685" s="8" t="inlineStr">
        <is>
          <t>rod</t>
        </is>
      </c>
      <c r="C2685" s="8" t="inlineStr">
        <is>
          <t>lpg</t>
        </is>
      </c>
      <c r="D2685" s="8" t="inlineStr">
        <is>
          <t>bc</t>
        </is>
      </c>
      <c r="E2685" s="3" t="str">
        <f>CodePrefix&amp;"ef."&amp;$A2685</f>
        <v>egy.mit.ef.rod.lpg.bc</v>
      </c>
      <c r="F2685" s="3" t="str">
        <f>CtryReg&amp;".mit.ef."&amp;$A2685</f>
        <v>mea.mit.ef.rod.lpg.bc</v>
      </c>
      <c r="G2685" s="3" t="str">
        <f>"wld.mit.ef."&amp;$A2685</f>
        <v>wld.mit.ef.rod.lpg.bc</v>
      </c>
      <c r="H2685" s="3" t="inlineStr">
        <is>
          <t>mea.mit.ef.rod.lpg.bc</t>
        </is>
      </c>
      <c r="I2685" s="236" t="n">
        <v>0.0105004944</v>
      </c>
      <c r="J2685" s="236" t="n">
        <v>0.007565547600000001</v>
      </c>
    </row>
    <row r="2686">
      <c r="A2686" s="3" t="str">
        <f>$B2686&amp;"."&amp;$C2686&amp;"."&amp;$D2686</f>
        <v>rod.ker.bc</v>
      </c>
      <c r="B2686" s="8" t="inlineStr">
        <is>
          <t>rod</t>
        </is>
      </c>
      <c r="C2686" s="8" t="inlineStr">
        <is>
          <t>ker</t>
        </is>
      </c>
      <c r="D2686" s="8" t="inlineStr">
        <is>
          <t>bc</t>
        </is>
      </c>
      <c r="E2686" s="3" t="str">
        <f>CodePrefix&amp;"ef."&amp;$A2686</f>
        <v>egy.mit.ef.rod.ker.bc</v>
      </c>
      <c r="F2686" s="3" t="str">
        <f>CtryReg&amp;".mit.ef."&amp;$A2686</f>
        <v>mea.mit.ef.rod.ker.bc</v>
      </c>
      <c r="G2686" s="3" t="str">
        <f>"wld.mit.ef."&amp;$A2686</f>
        <v>wld.mit.ef.rod.ker.bc</v>
      </c>
      <c r="H2686" s="3" t="inlineStr">
        <is>
          <t>wld.mit.ef.rod.ker.bc</t>
        </is>
      </c>
      <c r="I2686" s="236" t="n">
        <v>0</v>
      </c>
      <c r="J2686" s="236" t="n">
        <v>0</v>
      </c>
    </row>
    <row r="2687">
      <c r="A2687" s="3" t="str">
        <f>$B2687&amp;"."&amp;$C2687&amp;"."&amp;$D2687</f>
        <v>rod.nga.bc</v>
      </c>
      <c r="B2687" s="8" t="inlineStr">
        <is>
          <t>rod</t>
        </is>
      </c>
      <c r="C2687" s="8" t="inlineStr">
        <is>
          <t>nga</t>
        </is>
      </c>
      <c r="D2687" s="8" t="inlineStr">
        <is>
          <t>bc</t>
        </is>
      </c>
      <c r="E2687" s="3" t="str">
        <f>CodePrefix&amp;"ef."&amp;$A2687</f>
        <v>egy.mit.ef.rod.nga.bc</v>
      </c>
      <c r="F2687" s="3" t="str">
        <f>CtryReg&amp;".mit.ef."&amp;$A2687</f>
        <v>mea.mit.ef.rod.nga.bc</v>
      </c>
      <c r="G2687" s="3" t="str">
        <f>"wld.mit.ef."&amp;$A2687</f>
        <v>wld.mit.ef.rod.nga.bc</v>
      </c>
      <c r="H2687" s="3" t="inlineStr">
        <is>
          <t>egy.mit.ef.rod.nga.bc</t>
        </is>
      </c>
      <c r="I2687" s="236" t="n">
        <v>0.011911446</v>
      </c>
      <c r="J2687" s="236" t="n">
        <v>0.011639304</v>
      </c>
    </row>
    <row r="2688">
      <c r="A2688" s="3" t="str">
        <f>$B2688&amp;"."&amp;$C2688&amp;"."&amp;$D2688</f>
        <v>ral.die.bc</v>
      </c>
      <c r="B2688" s="8" t="inlineStr">
        <is>
          <t>ral</t>
        </is>
      </c>
      <c r="C2688" s="8" t="inlineStr">
        <is>
          <t>die</t>
        </is>
      </c>
      <c r="D2688" s="8" t="inlineStr">
        <is>
          <t>bc</t>
        </is>
      </c>
      <c r="E2688" s="3" t="str">
        <f>CodePrefix&amp;"ef."&amp;$A2688</f>
        <v>egy.mit.ef.ral.die.bc</v>
      </c>
      <c r="F2688" s="3" t="str">
        <f>CtryReg&amp;".mit.ef."&amp;$A2688</f>
        <v>mea.mit.ef.ral.die.bc</v>
      </c>
      <c r="G2688" s="3" t="str">
        <f>"wld.mit.ef."&amp;$A2688</f>
        <v>wld.mit.ef.ral.die.bc</v>
      </c>
      <c r="H2688" s="3" t="inlineStr">
        <is>
          <t>mea.mit.ef.ral.die.bc</t>
        </is>
      </c>
      <c r="I2688" s="236" t="n">
        <v>1.87108092</v>
      </c>
      <c r="J2688" s="236" t="n">
        <v>1.87108092</v>
      </c>
    </row>
    <row r="2689">
      <c r="A2689" s="3" t="str">
        <f>$B2689&amp;"."&amp;$C2689&amp;"."&amp;$D2689</f>
        <v>avi.jfu.bc</v>
      </c>
      <c r="B2689" s="8" t="inlineStr">
        <is>
          <t>avi</t>
        </is>
      </c>
      <c r="C2689" s="8" t="inlineStr">
        <is>
          <t>jfu</t>
        </is>
      </c>
      <c r="D2689" s="8" t="inlineStr">
        <is>
          <t>bc</t>
        </is>
      </c>
      <c r="E2689" s="3" t="str">
        <f>CodePrefix&amp;"ef."&amp;$A2689</f>
        <v>egy.mit.ef.avi.jfu.bc</v>
      </c>
      <c r="F2689" s="3" t="str">
        <f>CtryReg&amp;".mit.ef."&amp;$A2689</f>
        <v>mea.mit.ef.avi.jfu.bc</v>
      </c>
      <c r="G2689" s="3" t="str">
        <f>"wld.mit.ef."&amp;$A2689</f>
        <v>wld.mit.ef.avi.jfu.bc</v>
      </c>
      <c r="H2689" s="3" t="inlineStr">
        <is>
          <t>egy.mit.ef.avi.jfu.bc</t>
        </is>
      </c>
      <c r="I2689" s="236" t="n">
        <v>0.002700486</v>
      </c>
      <c r="J2689" s="236" t="n">
        <v>0.002700486</v>
      </c>
    </row>
    <row r="2690">
      <c r="A2690" s="3" t="str">
        <f>$B2690&amp;"."&amp;$C2690&amp;"."&amp;$D2690</f>
        <v>res.coa.bc</v>
      </c>
      <c r="B2690" s="8" t="inlineStr">
        <is>
          <t>res</t>
        </is>
      </c>
      <c r="C2690" s="8" t="inlineStr">
        <is>
          <t>coa</t>
        </is>
      </c>
      <c r="D2690" s="8" t="inlineStr">
        <is>
          <t>bc</t>
        </is>
      </c>
      <c r="E2690" s="3" t="str">
        <f>CodePrefix&amp;"ef."&amp;$A2690</f>
        <v>egy.mit.ef.res.coa.bc</v>
      </c>
      <c r="F2690" s="3" t="str">
        <f>CtryReg&amp;".mit.ef."&amp;$A2690</f>
        <v>mea.mit.ef.res.coa.bc</v>
      </c>
      <c r="G2690" s="3" t="str">
        <f>"wld.mit.ef."&amp;$A2690</f>
        <v>wld.mit.ef.res.coa.bc</v>
      </c>
      <c r="H2690" s="3" t="inlineStr">
        <is>
          <t>mea.mit.ef.res.coa.bc</t>
        </is>
      </c>
      <c r="I2690" s="236" t="n">
        <v>7.345573128</v>
      </c>
      <c r="J2690" s="236" t="n">
        <v>7.345573128</v>
      </c>
    </row>
    <row r="2691">
      <c r="A2691" s="3" t="str">
        <f>$B2691&amp;"."&amp;$C2691&amp;"."&amp;$D2691</f>
        <v>res.nga.bc</v>
      </c>
      <c r="B2691" s="8" t="inlineStr">
        <is>
          <t>res</t>
        </is>
      </c>
      <c r="C2691" s="8" t="inlineStr">
        <is>
          <t>nga</t>
        </is>
      </c>
      <c r="D2691" s="8" t="inlineStr">
        <is>
          <t>bc</t>
        </is>
      </c>
      <c r="E2691" s="3" t="str">
        <f>CodePrefix&amp;"ef."&amp;$A2691</f>
        <v>egy.mit.ef.res.nga.bc</v>
      </c>
      <c r="F2691" s="3" t="str">
        <f>CtryReg&amp;".mit.ef."&amp;$A2691</f>
        <v>mea.mit.ef.res.nga.bc</v>
      </c>
      <c r="G2691" s="3" t="str">
        <f>"wld.mit.ef."&amp;$A2691</f>
        <v>wld.mit.ef.res.nga.bc</v>
      </c>
      <c r="H2691" s="3" t="inlineStr">
        <is>
          <t>egy.mit.ef.res.nga.bc</t>
        </is>
      </c>
      <c r="I2691" s="236" t="n">
        <v>0.0002805156</v>
      </c>
      <c r="J2691" s="236" t="n">
        <v>0.0002805156</v>
      </c>
    </row>
    <row r="2692">
      <c r="A2692" s="3" t="str">
        <f>$B2692&amp;"."&amp;$C2692&amp;"."&amp;$D2692</f>
        <v>res.oop.bc</v>
      </c>
      <c r="B2692" s="8" t="inlineStr">
        <is>
          <t>res</t>
        </is>
      </c>
      <c r="C2692" s="8" t="inlineStr">
        <is>
          <t>oop</t>
        </is>
      </c>
      <c r="D2692" s="8" t="inlineStr">
        <is>
          <t>bc</t>
        </is>
      </c>
      <c r="E2692" s="3" t="str">
        <f>CodePrefix&amp;"ef."&amp;$A2692</f>
        <v>egy.mit.ef.res.oop.bc</v>
      </c>
      <c r="F2692" s="3" t="str">
        <f>CtryReg&amp;".mit.ef."&amp;$A2692</f>
        <v>mea.mit.ef.res.oop.bc</v>
      </c>
      <c r="G2692" s="3" t="str">
        <f>"wld.mit.ef."&amp;$A2692</f>
        <v>wld.mit.ef.res.oop.bc</v>
      </c>
      <c r="H2692" s="3" t="inlineStr">
        <is>
          <t>wld.mit.ef.res.oop.bc</t>
        </is>
      </c>
      <c r="I2692" s="236" t="n">
        <v>0</v>
      </c>
      <c r="J2692" s="236" t="n">
        <v>0</v>
      </c>
    </row>
    <row r="2693">
      <c r="A2693" s="3" t="str">
        <f>$B2693&amp;"."&amp;$C2693&amp;"."&amp;$D2693</f>
        <v>res.lpg.bc</v>
      </c>
      <c r="B2693" s="8" t="inlineStr">
        <is>
          <t>res</t>
        </is>
      </c>
      <c r="C2693" s="8" t="inlineStr">
        <is>
          <t>lpg</t>
        </is>
      </c>
      <c r="D2693" s="8" t="inlineStr">
        <is>
          <t>bc</t>
        </is>
      </c>
      <c r="E2693" s="3" t="str">
        <f>CodePrefix&amp;"ef."&amp;$A2693</f>
        <v>egy.mit.ef.res.lpg.bc</v>
      </c>
      <c r="F2693" s="3" t="str">
        <f>CtryReg&amp;".mit.ef."&amp;$A2693</f>
        <v>mea.mit.ef.res.lpg.bc</v>
      </c>
      <c r="G2693" s="3" t="str">
        <f>"wld.mit.ef."&amp;$A2693</f>
        <v>wld.mit.ef.res.lpg.bc</v>
      </c>
      <c r="H2693" s="3" t="inlineStr">
        <is>
          <t>mea.mit.ef.res.lpg.bc</t>
        </is>
      </c>
      <c r="I2693" s="236" t="n">
        <v>0.0008415468</v>
      </c>
      <c r="J2693" s="236" t="n">
        <v>0.0008415468</v>
      </c>
    </row>
    <row r="2694">
      <c r="A2694" s="3" t="str">
        <f>$B2694&amp;"."&amp;$C2694&amp;"."&amp;$D2694</f>
        <v>res.ker.bc</v>
      </c>
      <c r="B2694" s="8" t="inlineStr">
        <is>
          <t>res</t>
        </is>
      </c>
      <c r="C2694" s="8" t="inlineStr">
        <is>
          <t>ker</t>
        </is>
      </c>
      <c r="D2694" s="8" t="inlineStr">
        <is>
          <t>bc</t>
        </is>
      </c>
      <c r="E2694" s="3" t="str">
        <f>CodePrefix&amp;"ef."&amp;$A2694</f>
        <v>egy.mit.ef.res.ker.bc</v>
      </c>
      <c r="F2694" s="3" t="str">
        <f>CtryReg&amp;".mit.ef."&amp;$A2694</f>
        <v>mea.mit.ef.res.ker.bc</v>
      </c>
      <c r="G2694" s="3" t="str">
        <f>"wld.mit.ef."&amp;$A2694</f>
        <v>wld.mit.ef.res.ker.bc</v>
      </c>
      <c r="H2694" s="3" t="inlineStr">
        <is>
          <t>mea.mit.ef.res.ker.bc</t>
        </is>
      </c>
      <c r="I2694" s="236" t="n">
        <v>1.2161272356</v>
      </c>
      <c r="J2694" s="236" t="n">
        <v>0.9556371000000001</v>
      </c>
    </row>
    <row r="2695">
      <c r="A2695" s="3" t="str">
        <f>$B2695&amp;"."&amp;$C2695&amp;"."&amp;$D2695</f>
        <v>res.bio.bc</v>
      </c>
      <c r="B2695" s="8" t="inlineStr">
        <is>
          <t>res</t>
        </is>
      </c>
      <c r="C2695" s="8" t="inlineStr">
        <is>
          <t>bio</t>
        </is>
      </c>
      <c r="D2695" s="8" t="inlineStr">
        <is>
          <t>bc</t>
        </is>
      </c>
      <c r="E2695" s="3" t="str">
        <f>CodePrefix&amp;"ef."&amp;$A2695</f>
        <v>egy.mit.ef.res.bio.bc</v>
      </c>
      <c r="F2695" s="3" t="str">
        <f>CtryReg&amp;".mit.ef."&amp;$A2695</f>
        <v>mea.mit.ef.res.bio.bc</v>
      </c>
      <c r="G2695" s="3" t="str">
        <f>"wld.mit.ef."&amp;$A2695</f>
        <v>wld.mit.ef.res.bio.bc</v>
      </c>
      <c r="H2695" s="3" t="inlineStr">
        <is>
          <t>egy.mit.ef.res.bio.bc</t>
        </is>
      </c>
      <c r="I2695" s="236" t="n">
        <v>3.12282945</v>
      </c>
      <c r="J2695" s="236" t="n">
        <v>1.25604</v>
      </c>
    </row>
    <row r="2696">
      <c r="A2696" s="3" t="str">
        <f>$B2696&amp;"."&amp;$C2696&amp;"."&amp;$D2696</f>
        <v>cst.coa.bc</v>
      </c>
      <c r="B2696" s="8" t="inlineStr">
        <is>
          <t>cst</t>
        </is>
      </c>
      <c r="C2696" s="8" t="inlineStr">
        <is>
          <t>coa</t>
        </is>
      </c>
      <c r="D2696" s="8" t="inlineStr">
        <is>
          <t>bc</t>
        </is>
      </c>
      <c r="E2696" s="3" t="str">
        <f>CodePrefix&amp;"ef."&amp;$A2696</f>
        <v>egy.mit.ef.cst.coa.bc</v>
      </c>
      <c r="F2696" s="3" t="str">
        <f>CtryReg&amp;".mit.ef."&amp;$A2696</f>
        <v>mea.mit.ef.cst.coa.bc</v>
      </c>
      <c r="G2696" s="3" t="str">
        <f>"wld.mit.ef."&amp;$A2696</f>
        <v>wld.mit.ef.cst.coa.bc</v>
      </c>
      <c r="H2696" s="3" t="inlineStr">
        <is>
          <t>wld.mit.ef.cst.coa.bc</t>
        </is>
      </c>
      <c r="I2696" s="236" t="n">
        <v>0</v>
      </c>
      <c r="J2696" s="236" t="n">
        <v>0</v>
      </c>
    </row>
    <row r="2697">
      <c r="A2697" s="3" t="str">
        <f>$B2697&amp;"."&amp;$C2697&amp;"."&amp;$D2697</f>
        <v>cst.nga.bc</v>
      </c>
      <c r="B2697" s="8" t="inlineStr">
        <is>
          <t>cst</t>
        </is>
      </c>
      <c r="C2697" s="8" t="inlineStr">
        <is>
          <t>nga</t>
        </is>
      </c>
      <c r="D2697" s="8" t="inlineStr">
        <is>
          <t>bc</t>
        </is>
      </c>
      <c r="E2697" s="3" t="str">
        <f>CodePrefix&amp;"ef."&amp;$A2697</f>
        <v>egy.mit.ef.cst.nga.bc</v>
      </c>
      <c r="F2697" s="3" t="str">
        <f>CtryReg&amp;".mit.ef."&amp;$A2697</f>
        <v>mea.mit.ef.cst.nga.bc</v>
      </c>
      <c r="G2697" s="3" t="str">
        <f>"wld.mit.ef."&amp;$A2697</f>
        <v>wld.mit.ef.cst.nga.bc</v>
      </c>
      <c r="H2697" s="3" t="inlineStr">
        <is>
          <t>wld.mit.ef.cst.nga.bc</t>
        </is>
      </c>
      <c r="I2697" s="236" t="n">
        <v>0</v>
      </c>
      <c r="J2697" s="236" t="n">
        <v>0</v>
      </c>
    </row>
    <row r="2698">
      <c r="A2698" s="3" t="str">
        <f>$B2698&amp;"."&amp;$C2698&amp;"."&amp;$D2698</f>
        <v>cst.oop.bc</v>
      </c>
      <c r="B2698" s="8" t="inlineStr">
        <is>
          <t>cst</t>
        </is>
      </c>
      <c r="C2698" s="8" t="inlineStr">
        <is>
          <t>oop</t>
        </is>
      </c>
      <c r="D2698" s="8" t="inlineStr">
        <is>
          <t>bc</t>
        </is>
      </c>
      <c r="E2698" s="3" t="str">
        <f>CodePrefix&amp;"ef."&amp;$A2698</f>
        <v>egy.mit.ef.cst.oop.bc</v>
      </c>
      <c r="F2698" s="3" t="str">
        <f>CtryReg&amp;".mit.ef."&amp;$A2698</f>
        <v>mea.mit.ef.cst.oop.bc</v>
      </c>
      <c r="G2698" s="3" t="str">
        <f>"wld.mit.ef."&amp;$A2698</f>
        <v>wld.mit.ef.cst.oop.bc</v>
      </c>
      <c r="H2698" s="3" t="inlineStr">
        <is>
          <t>wld.mit.ef.cst.oop.bc</t>
        </is>
      </c>
      <c r="I2698" s="236" t="n">
        <v>0</v>
      </c>
      <c r="J2698" s="236" t="n">
        <v>0</v>
      </c>
    </row>
    <row r="2699">
      <c r="A2699" s="3" t="str">
        <f>$B2699&amp;"."&amp;$C2699&amp;"."&amp;$D2699</f>
        <v>cst.gso.bc</v>
      </c>
      <c r="B2699" s="8" t="inlineStr">
        <is>
          <t>cst</t>
        </is>
      </c>
      <c r="C2699" s="8" t="inlineStr">
        <is>
          <t>gso</t>
        </is>
      </c>
      <c r="D2699" s="8" t="inlineStr">
        <is>
          <t>bc</t>
        </is>
      </c>
      <c r="E2699" s="3" t="str">
        <f>CodePrefix&amp;"ef."&amp;$A2699</f>
        <v>egy.mit.ef.cst.gso.bc</v>
      </c>
      <c r="F2699" s="3" t="str">
        <f>CtryReg&amp;".mit.ef."&amp;$A2699</f>
        <v>mea.mit.ef.cst.gso.bc</v>
      </c>
      <c r="G2699" s="3" t="str">
        <f>"wld.mit.ef."&amp;$A2699</f>
        <v>wld.mit.ef.cst.gso.bc</v>
      </c>
      <c r="H2699" s="3" t="inlineStr">
        <is>
          <t>egy.mit.ef.cst.gso.bc</t>
        </is>
      </c>
      <c r="I2699" s="236" t="n">
        <v>0.21227076</v>
      </c>
      <c r="J2699" s="236" t="n">
        <v>0.21227076</v>
      </c>
    </row>
    <row r="2700">
      <c r="A2700" s="3" t="str">
        <f>$B2700&amp;"."&amp;$C2700&amp;"."&amp;$D2700</f>
        <v>cst.die.bc</v>
      </c>
      <c r="B2700" s="8" t="inlineStr">
        <is>
          <t>cst</t>
        </is>
      </c>
      <c r="C2700" s="8" t="inlineStr">
        <is>
          <t>die</t>
        </is>
      </c>
      <c r="D2700" s="8" t="inlineStr">
        <is>
          <t>bc</t>
        </is>
      </c>
      <c r="E2700" s="3" t="str">
        <f>CodePrefix&amp;"ef."&amp;$A2700</f>
        <v>egy.mit.ef.cst.die.bc</v>
      </c>
      <c r="F2700" s="3" t="str">
        <f>CtryReg&amp;".mit.ef."&amp;$A2700</f>
        <v>mea.mit.ef.cst.die.bc</v>
      </c>
      <c r="G2700" s="3" t="str">
        <f>"wld.mit.ef."&amp;$A2700</f>
        <v>wld.mit.ef.cst.die.bc</v>
      </c>
      <c r="H2700" s="3" t="inlineStr">
        <is>
          <t>egy.mit.ef.cst.die.bc</t>
        </is>
      </c>
      <c r="I2700" s="236" t="n">
        <v>2.512749888</v>
      </c>
      <c r="J2700" s="236" t="n">
        <v>2.512749888</v>
      </c>
    </row>
    <row r="2701">
      <c r="A2701" s="3" t="str">
        <f>$B2701&amp;"."&amp;$C2701&amp;"."&amp;$D2701</f>
        <v>cst.lpg.bc</v>
      </c>
      <c r="B2701" s="8" t="inlineStr">
        <is>
          <t>cst</t>
        </is>
      </c>
      <c r="C2701" s="8" t="inlineStr">
        <is>
          <t>lpg</t>
        </is>
      </c>
      <c r="D2701" s="8" t="inlineStr">
        <is>
          <t>bc</t>
        </is>
      </c>
      <c r="E2701" s="3" t="str">
        <f>CodePrefix&amp;"ef."&amp;$A2701</f>
        <v>egy.mit.ef.cst.lpg.bc</v>
      </c>
      <c r="F2701" s="3" t="str">
        <f>CtryReg&amp;".mit.ef."&amp;$A2701</f>
        <v>mea.mit.ef.cst.lpg.bc</v>
      </c>
      <c r="G2701" s="3" t="str">
        <f>"wld.mit.ef."&amp;$A2701</f>
        <v>wld.mit.ef.cst.lpg.bc</v>
      </c>
      <c r="H2701" s="3" t="inlineStr">
        <is>
          <t>egy.mit.ef.cst.lpg.bc</t>
        </is>
      </c>
      <c r="I2701" s="236" t="n">
        <v>0.21227076</v>
      </c>
      <c r="J2701" s="236" t="n">
        <v>0.21227076</v>
      </c>
    </row>
    <row r="2702">
      <c r="A2702" s="3" t="str">
        <f>$B2702&amp;"."&amp;$C2702&amp;"."&amp;$D2702</f>
        <v>cst.ker.bc</v>
      </c>
      <c r="B2702" s="8" t="inlineStr">
        <is>
          <t>cst</t>
        </is>
      </c>
      <c r="C2702" s="8" t="inlineStr">
        <is>
          <t>ker</t>
        </is>
      </c>
      <c r="D2702" s="8" t="inlineStr">
        <is>
          <t>bc</t>
        </is>
      </c>
      <c r="E2702" s="3" t="str">
        <f>CodePrefix&amp;"ef."&amp;$A2702</f>
        <v>egy.mit.ef.cst.ker.bc</v>
      </c>
      <c r="F2702" s="3" t="str">
        <f>CtryReg&amp;".mit.ef."&amp;$A2702</f>
        <v>mea.mit.ef.cst.ker.bc</v>
      </c>
      <c r="G2702" s="3" t="str">
        <f>"wld.mit.ef."&amp;$A2702</f>
        <v>wld.mit.ef.cst.ker.bc</v>
      </c>
      <c r="H2702" s="3" t="inlineStr">
        <is>
          <t>egy.mit.ef.cst.ker.bc</t>
        </is>
      </c>
      <c r="I2702" s="236" t="n">
        <v>0.21227076</v>
      </c>
      <c r="J2702" s="236" t="n">
        <v>0.21227076</v>
      </c>
    </row>
    <row r="2703">
      <c r="A2703" s="3" t="str">
        <f>$B2703&amp;"."&amp;$C2703&amp;"."&amp;$D2703</f>
        <v>cst.bio.bc</v>
      </c>
      <c r="B2703" s="8" t="inlineStr">
        <is>
          <t>cst</t>
        </is>
      </c>
      <c r="C2703" s="8" t="inlineStr">
        <is>
          <t>bio</t>
        </is>
      </c>
      <c r="D2703" s="8" t="inlineStr">
        <is>
          <t>bc</t>
        </is>
      </c>
      <c r="E2703" s="3" t="str">
        <f>CodePrefix&amp;"ef."&amp;$A2703</f>
        <v>egy.mit.ef.cst.bio.bc</v>
      </c>
      <c r="F2703" s="3" t="str">
        <f>CtryReg&amp;".mit.ef."&amp;$A2703</f>
        <v>mea.mit.ef.cst.bio.bc</v>
      </c>
      <c r="G2703" s="3" t="str">
        <f>"wld.mit.ef."&amp;$A2703</f>
        <v>wld.mit.ef.cst.bio.bc</v>
      </c>
      <c r="H2703" s="3" t="inlineStr">
        <is>
          <t>wld.mit.ef.cst.bio.bc</t>
        </is>
      </c>
      <c r="I2703" s="236" t="n">
        <v>0</v>
      </c>
      <c r="J2703" s="236" t="n">
        <v>0</v>
      </c>
    </row>
    <row r="2704">
      <c r="A2704" s="3" t="str">
        <f>$B2704&amp;"."&amp;$C2704&amp;"."&amp;$D2704</f>
        <v>srv.coa.bc</v>
      </c>
      <c r="B2704" s="8" t="inlineStr">
        <is>
          <t>srv</t>
        </is>
      </c>
      <c r="C2704" s="8" t="inlineStr">
        <is>
          <t>coa</t>
        </is>
      </c>
      <c r="D2704" s="8" t="inlineStr">
        <is>
          <t>bc</t>
        </is>
      </c>
      <c r="E2704" s="3" t="str">
        <f>CodePrefix&amp;"ef."&amp;$A2704</f>
        <v>egy.mit.ef.srv.coa.bc</v>
      </c>
      <c r="F2704" s="3" t="str">
        <f>CtryReg&amp;".mit.ef."&amp;$A2704</f>
        <v>mea.mit.ef.srv.coa.bc</v>
      </c>
      <c r="G2704" s="3" t="str">
        <f>"wld.mit.ef."&amp;$A2704</f>
        <v>wld.mit.ef.srv.coa.bc</v>
      </c>
      <c r="H2704" s="3" t="inlineStr">
        <is>
          <t>wld.mit.ef.srv.coa.bc</t>
        </is>
      </c>
      <c r="I2704" s="236" t="n">
        <v>0</v>
      </c>
      <c r="J2704" s="236" t="n">
        <v>0</v>
      </c>
    </row>
    <row r="2705">
      <c r="A2705" s="3" t="str">
        <f>$B2705&amp;"."&amp;$C2705&amp;"."&amp;$D2705</f>
        <v>srv.nga.bc</v>
      </c>
      <c r="B2705" s="8" t="inlineStr">
        <is>
          <t>srv</t>
        </is>
      </c>
      <c r="C2705" s="8" t="inlineStr">
        <is>
          <t>nga</t>
        </is>
      </c>
      <c r="D2705" s="8" t="inlineStr">
        <is>
          <t>bc</t>
        </is>
      </c>
      <c r="E2705" s="3" t="str">
        <f>CodePrefix&amp;"ef."&amp;$A2705</f>
        <v>egy.mit.ef.srv.nga.bc</v>
      </c>
      <c r="F2705" s="3" t="str">
        <f>CtryReg&amp;".mit.ef."&amp;$A2705</f>
        <v>mea.mit.ef.srv.nga.bc</v>
      </c>
      <c r="G2705" s="3" t="str">
        <f>"wld.mit.ef."&amp;$A2705</f>
        <v>wld.mit.ef.srv.nga.bc</v>
      </c>
      <c r="H2705" s="3" t="inlineStr">
        <is>
          <t>mea.mit.ef.srv.nga.bc</t>
        </is>
      </c>
      <c r="I2705" s="236" t="n">
        <v>0.0002805156</v>
      </c>
      <c r="J2705" s="236" t="n">
        <v>0.0002805156</v>
      </c>
    </row>
    <row r="2706">
      <c r="A2706" s="3" t="str">
        <f>$B2706&amp;"."&amp;$C2706&amp;"."&amp;$D2706</f>
        <v>srv.oop.bc</v>
      </c>
      <c r="B2706" s="8" t="inlineStr">
        <is>
          <t>srv</t>
        </is>
      </c>
      <c r="C2706" s="8" t="inlineStr">
        <is>
          <t>oop</t>
        </is>
      </c>
      <c r="D2706" s="8" t="inlineStr">
        <is>
          <t>bc</t>
        </is>
      </c>
      <c r="E2706" s="3" t="str">
        <f>CodePrefix&amp;"ef."&amp;$A2706</f>
        <v>egy.mit.ef.srv.oop.bc</v>
      </c>
      <c r="F2706" s="3" t="str">
        <f>CtryReg&amp;".mit.ef."&amp;$A2706</f>
        <v>mea.mit.ef.srv.oop.bc</v>
      </c>
      <c r="G2706" s="3" t="str">
        <f>"wld.mit.ef."&amp;$A2706</f>
        <v>wld.mit.ef.srv.oop.bc</v>
      </c>
      <c r="H2706" s="3" t="inlineStr">
        <is>
          <t>mea.mit.ef.srv.oop.bc</t>
        </is>
      </c>
      <c r="I2706" s="236" t="n">
        <v>0.282797406</v>
      </c>
      <c r="J2706" s="236" t="n">
        <v>0.279217692</v>
      </c>
    </row>
    <row r="2707">
      <c r="A2707" s="3" t="str">
        <f>$B2707&amp;"."&amp;$C2707&amp;"."&amp;$D2707</f>
        <v>srv.gso.bc</v>
      </c>
      <c r="B2707" s="8" t="inlineStr">
        <is>
          <t>srv</t>
        </is>
      </c>
      <c r="C2707" s="8" t="inlineStr">
        <is>
          <t>gso</t>
        </is>
      </c>
      <c r="D2707" s="8" t="inlineStr">
        <is>
          <t>bc</t>
        </is>
      </c>
      <c r="E2707" s="3" t="str">
        <f>CodePrefix&amp;"ef."&amp;$A2707</f>
        <v>egy.mit.ef.srv.gso.bc</v>
      </c>
      <c r="F2707" s="3" t="str">
        <f>CtryReg&amp;".mit.ef."&amp;$A2707</f>
        <v>mea.mit.ef.srv.gso.bc</v>
      </c>
      <c r="G2707" s="3" t="str">
        <f>"wld.mit.ef."&amp;$A2707</f>
        <v>wld.mit.ef.srv.gso.bc</v>
      </c>
      <c r="H2707" s="3" t="inlineStr">
        <is>
          <t>mea.mit.ef.srv.gso.bc</t>
        </is>
      </c>
      <c r="I2707" s="236" t="n">
        <v>0.0167472</v>
      </c>
      <c r="J2707" s="236" t="n">
        <v>0.0167472</v>
      </c>
    </row>
    <row r="2708">
      <c r="A2708" s="3" t="str">
        <f>$B2708&amp;"."&amp;$C2708&amp;"."&amp;$D2708</f>
        <v>srv.die.bc</v>
      </c>
      <c r="B2708" s="8" t="inlineStr">
        <is>
          <t>srv</t>
        </is>
      </c>
      <c r="C2708" s="8" t="inlineStr">
        <is>
          <t>die</t>
        </is>
      </c>
      <c r="D2708" s="8" t="inlineStr">
        <is>
          <t>bc</t>
        </is>
      </c>
      <c r="E2708" s="3" t="str">
        <f>CodePrefix&amp;"ef."&amp;$A2708</f>
        <v>egy.mit.ef.srv.die.bc</v>
      </c>
      <c r="F2708" s="3" t="str">
        <f>CtryReg&amp;".mit.ef."&amp;$A2708</f>
        <v>mea.mit.ef.srv.die.bc</v>
      </c>
      <c r="G2708" s="3" t="str">
        <f>"wld.mit.ef."&amp;$A2708</f>
        <v>wld.mit.ef.srv.die.bc</v>
      </c>
      <c r="H2708" s="3" t="inlineStr">
        <is>
          <t>mea.mit.ef.srv.die.bc</t>
        </is>
      </c>
      <c r="I2708" s="236" t="n">
        <v>0.0221021172</v>
      </c>
      <c r="J2708" s="236" t="n">
        <v>0.0218216016</v>
      </c>
    </row>
    <row r="2709">
      <c r="A2709" s="3" t="str">
        <f>$B2709&amp;"."&amp;$C2709&amp;"."&amp;$D2709</f>
        <v>srv.lpg.bc</v>
      </c>
      <c r="B2709" s="8" t="inlineStr">
        <is>
          <t>srv</t>
        </is>
      </c>
      <c r="C2709" s="8" t="inlineStr">
        <is>
          <t>lpg</t>
        </is>
      </c>
      <c r="D2709" s="8" t="inlineStr">
        <is>
          <t>bc</t>
        </is>
      </c>
      <c r="E2709" s="3" t="str">
        <f>CodePrefix&amp;"ef."&amp;$A2709</f>
        <v>egy.mit.ef.srv.lpg.bc</v>
      </c>
      <c r="F2709" s="3" t="str">
        <f>CtryReg&amp;".mit.ef."&amp;$A2709</f>
        <v>mea.mit.ef.srv.lpg.bc</v>
      </c>
      <c r="G2709" s="3" t="str">
        <f>"wld.mit.ef."&amp;$A2709</f>
        <v>wld.mit.ef.srv.lpg.bc</v>
      </c>
      <c r="H2709" s="3" t="inlineStr">
        <is>
          <t>mea.mit.ef.srv.lpg.bc</t>
        </is>
      </c>
      <c r="I2709" s="236" t="n">
        <v>0.0008415468</v>
      </c>
      <c r="J2709" s="236" t="n">
        <v>0.0008415468</v>
      </c>
    </row>
    <row r="2710">
      <c r="A2710" s="3" t="str">
        <f>$B2710&amp;"."&amp;$C2710&amp;"."&amp;$D2710</f>
        <v>srv.ker.bc</v>
      </c>
      <c r="B2710" s="8" t="inlineStr">
        <is>
          <t>srv</t>
        </is>
      </c>
      <c r="C2710" s="8" t="inlineStr">
        <is>
          <t>ker</t>
        </is>
      </c>
      <c r="D2710" s="8" t="inlineStr">
        <is>
          <t>bc</t>
        </is>
      </c>
      <c r="E2710" s="3" t="str">
        <f>CodePrefix&amp;"ef."&amp;$A2710</f>
        <v>egy.mit.ef.srv.ker.bc</v>
      </c>
      <c r="F2710" s="3" t="str">
        <f>CtryReg&amp;".mit.ef."&amp;$A2710</f>
        <v>mea.mit.ef.srv.ker.bc</v>
      </c>
      <c r="G2710" s="3" t="str">
        <f>"wld.mit.ef."&amp;$A2710</f>
        <v>wld.mit.ef.srv.ker.bc</v>
      </c>
      <c r="H2710" s="3" t="inlineStr">
        <is>
          <t>mea.mit.ef.srv.ker.bc</t>
        </is>
      </c>
      <c r="I2710" s="236" t="n">
        <v>0.0167472</v>
      </c>
      <c r="J2710" s="236" t="n">
        <v>0.0167472</v>
      </c>
    </row>
    <row r="2711">
      <c r="A2711" s="3" t="str">
        <f>$B2711&amp;"."&amp;$C2711&amp;"."&amp;$D2711</f>
        <v>srv.bio.bc</v>
      </c>
      <c r="B2711" s="8" t="inlineStr">
        <is>
          <t>srv</t>
        </is>
      </c>
      <c r="C2711" s="8" t="inlineStr">
        <is>
          <t>bio</t>
        </is>
      </c>
      <c r="D2711" s="8" t="inlineStr">
        <is>
          <t>bc</t>
        </is>
      </c>
      <c r="E2711" s="3" t="str">
        <f>CodePrefix&amp;"ef."&amp;$A2711</f>
        <v>egy.mit.ef.srv.bio.bc</v>
      </c>
      <c r="F2711" s="3" t="str">
        <f>CtryReg&amp;".mit.ef."&amp;$A2711</f>
        <v>mea.mit.ef.srv.bio.bc</v>
      </c>
      <c r="G2711" s="3" t="str">
        <f>"wld.mit.ef."&amp;$A2711</f>
        <v>wld.mit.ef.srv.bio.bc</v>
      </c>
      <c r="H2711" s="3" t="inlineStr">
        <is>
          <t>mea.mit.ef.srv.bio.bc</t>
        </is>
      </c>
      <c r="I2711" s="236" t="n">
        <v>0.8149689936</v>
      </c>
      <c r="J2711" s="236" t="n">
        <v>0.684416196</v>
      </c>
    </row>
    <row r="2712">
      <c r="A2712" s="3" t="str">
        <f>$B2712&amp;"."&amp;$C2712&amp;"."&amp;$D2712</f>
        <v>mnf.coa.bc</v>
      </c>
      <c r="B2712" s="8" t="inlineStr">
        <is>
          <t>mnf</t>
        </is>
      </c>
      <c r="C2712" s="8" t="inlineStr">
        <is>
          <t>coa</t>
        </is>
      </c>
      <c r="D2712" s="8" t="inlineStr">
        <is>
          <t>bc</t>
        </is>
      </c>
      <c r="E2712" s="3" t="str">
        <f>CodePrefix&amp;"ef."&amp;$A2712</f>
        <v>egy.mit.ef.mnf.coa.bc</v>
      </c>
      <c r="F2712" s="3" t="str">
        <f>CtryReg&amp;".mit.ef."&amp;$A2712</f>
        <v>mea.mit.ef.mnf.coa.bc</v>
      </c>
      <c r="G2712" s="3" t="str">
        <f>"wld.mit.ef."&amp;$A2712</f>
        <v>wld.mit.ef.mnf.coa.bc</v>
      </c>
      <c r="H2712" s="3" t="inlineStr">
        <is>
          <t>egy.mit.ef.mnf.coa.bc</t>
        </is>
      </c>
      <c r="I2712" s="236" t="n">
        <v>0.0008876016000000001</v>
      </c>
      <c r="J2712" s="236" t="n">
        <v>0.0006615144000000001</v>
      </c>
    </row>
    <row r="2713">
      <c r="A2713" s="3" t="str">
        <f>$B2713&amp;"."&amp;$C2713&amp;"."&amp;$D2713</f>
        <v>mnf.nga.bc</v>
      </c>
      <c r="B2713" s="8" t="inlineStr">
        <is>
          <t>mnf</t>
        </is>
      </c>
      <c r="C2713" s="8" t="inlineStr">
        <is>
          <t>nga</t>
        </is>
      </c>
      <c r="D2713" s="8" t="inlineStr">
        <is>
          <t>bc</t>
        </is>
      </c>
      <c r="E2713" s="3" t="str">
        <f>CodePrefix&amp;"ef."&amp;$A2713</f>
        <v>egy.mit.ef.mnf.nga.bc</v>
      </c>
      <c r="F2713" s="3" t="str">
        <f>CtryReg&amp;".mit.ef."&amp;$A2713</f>
        <v>mea.mit.ef.mnf.nga.bc</v>
      </c>
      <c r="G2713" s="3" t="str">
        <f>"wld.mit.ef."&amp;$A2713</f>
        <v>wld.mit.ef.mnf.nga.bc</v>
      </c>
      <c r="H2713" s="3" t="inlineStr">
        <is>
          <t>egy.mit.ef.mnf.nga.bc</t>
        </is>
      </c>
      <c r="I2713" s="236" t="n">
        <v>0.0002805156</v>
      </c>
      <c r="J2713" s="236" t="n">
        <v>0.0002805156</v>
      </c>
    </row>
    <row r="2714">
      <c r="A2714" s="3" t="str">
        <f>$B2714&amp;"."&amp;$C2714&amp;"."&amp;$D2714</f>
        <v>mnf.oop.bc</v>
      </c>
      <c r="B2714" s="8" t="inlineStr">
        <is>
          <t>mnf</t>
        </is>
      </c>
      <c r="C2714" s="8" t="inlineStr">
        <is>
          <t>oop</t>
        </is>
      </c>
      <c r="D2714" s="8" t="inlineStr">
        <is>
          <t>bc</t>
        </is>
      </c>
      <c r="E2714" s="3" t="str">
        <f>CodePrefix&amp;"ef."&amp;$A2714</f>
        <v>egy.mit.ef.mnf.oop.bc</v>
      </c>
      <c r="F2714" s="3" t="str">
        <f>CtryReg&amp;".mit.ef."&amp;$A2714</f>
        <v>mea.mit.ef.mnf.oop.bc</v>
      </c>
      <c r="G2714" s="3" t="str">
        <f>"wld.mit.ef."&amp;$A2714</f>
        <v>wld.mit.ef.mnf.oop.bc</v>
      </c>
      <c r="H2714" s="3" t="inlineStr">
        <is>
          <t>egy.mit.ef.mnf.oop.bc</t>
        </is>
      </c>
      <c r="I2714" s="236" t="n">
        <v>0.0295881156</v>
      </c>
      <c r="J2714" s="236" t="n">
        <v>0.0295881156</v>
      </c>
    </row>
    <row r="2715">
      <c r="A2715" s="3" t="str">
        <f>$B2715&amp;"."&amp;$C2715&amp;"."&amp;$D2715</f>
        <v>mnf.gso.bc</v>
      </c>
      <c r="B2715" s="8" t="inlineStr">
        <is>
          <t>mnf</t>
        </is>
      </c>
      <c r="C2715" s="8" t="inlineStr">
        <is>
          <t>gso</t>
        </is>
      </c>
      <c r="D2715" s="8" t="inlineStr">
        <is>
          <t>bc</t>
        </is>
      </c>
      <c r="E2715" s="3" t="str">
        <f>CodePrefix&amp;"ef."&amp;$A2715</f>
        <v>egy.mit.ef.mnf.gso.bc</v>
      </c>
      <c r="F2715" s="3" t="str">
        <f>CtryReg&amp;".mit.ef."&amp;$A2715</f>
        <v>mea.mit.ef.mnf.gso.bc</v>
      </c>
      <c r="G2715" s="3" t="str">
        <f>"wld.mit.ef."&amp;$A2715</f>
        <v>wld.mit.ef.mnf.gso.bc</v>
      </c>
      <c r="H2715" s="3" t="inlineStr">
        <is>
          <t>egy.mit.ef.mnf.gso.bc</t>
        </is>
      </c>
      <c r="I2715" s="236" t="n">
        <v>0.001402578</v>
      </c>
      <c r="J2715" s="236" t="n">
        <v>0.001402578</v>
      </c>
    </row>
    <row r="2716">
      <c r="A2716" s="3" t="str">
        <f>$B2716&amp;"."&amp;$C2716&amp;"."&amp;$D2716</f>
        <v>mnf.die.bc</v>
      </c>
      <c r="B2716" s="8" t="inlineStr">
        <is>
          <t>mnf</t>
        </is>
      </c>
      <c r="C2716" s="8" t="inlineStr">
        <is>
          <t>die</t>
        </is>
      </c>
      <c r="D2716" s="8" t="inlineStr">
        <is>
          <t>bc</t>
        </is>
      </c>
      <c r="E2716" s="3" t="str">
        <f>CodePrefix&amp;"ef."&amp;$A2716</f>
        <v>egy.mit.ef.mnf.die.bc</v>
      </c>
      <c r="F2716" s="3" t="str">
        <f>CtryReg&amp;".mit.ef."&amp;$A2716</f>
        <v>mea.mit.ef.mnf.die.bc</v>
      </c>
      <c r="G2716" s="3" t="str">
        <f>"wld.mit.ef."&amp;$A2716</f>
        <v>wld.mit.ef.mnf.die.bc</v>
      </c>
      <c r="H2716" s="3" t="inlineStr">
        <is>
          <t>egy.mit.ef.mnf.die.bc</t>
        </is>
      </c>
      <c r="I2716" s="236" t="n">
        <v>0.004375206</v>
      </c>
      <c r="J2716" s="236" t="n">
        <v>0.004375206</v>
      </c>
    </row>
    <row r="2717">
      <c r="A2717" s="3" t="str">
        <f>$B2717&amp;"."&amp;$C2717&amp;"."&amp;$D2717</f>
        <v>mnf.lpg.bc</v>
      </c>
      <c r="B2717" s="8" t="inlineStr">
        <is>
          <t>mnf</t>
        </is>
      </c>
      <c r="C2717" s="8" t="inlineStr">
        <is>
          <t>lpg</t>
        </is>
      </c>
      <c r="D2717" s="8" t="inlineStr">
        <is>
          <t>bc</t>
        </is>
      </c>
      <c r="E2717" s="3" t="str">
        <f>CodePrefix&amp;"ef."&amp;$A2717</f>
        <v>egy.mit.ef.mnf.lpg.bc</v>
      </c>
      <c r="F2717" s="3" t="str">
        <f>CtryReg&amp;".mit.ef."&amp;$A2717</f>
        <v>mea.mit.ef.mnf.lpg.bc</v>
      </c>
      <c r="G2717" s="3" t="str">
        <f>"wld.mit.ef."&amp;$A2717</f>
        <v>wld.mit.ef.mnf.lpg.bc</v>
      </c>
      <c r="H2717" s="3" t="inlineStr">
        <is>
          <t>mea.mit.ef.mnf.lpg.bc</t>
        </is>
      </c>
      <c r="I2717" s="236" t="n">
        <v>0.0005610312000000001</v>
      </c>
      <c r="J2717" s="236" t="n">
        <v>0.0005610312000000001</v>
      </c>
    </row>
    <row r="2718">
      <c r="A2718" s="3" t="str">
        <f>$B2718&amp;"."&amp;$C2718&amp;"."&amp;$D2718</f>
        <v>mnf.ker.bc</v>
      </c>
      <c r="B2718" s="8" t="inlineStr">
        <is>
          <t>mnf</t>
        </is>
      </c>
      <c r="C2718" s="8" t="inlineStr">
        <is>
          <t>ker</t>
        </is>
      </c>
      <c r="D2718" s="8" t="inlineStr">
        <is>
          <t>bc</t>
        </is>
      </c>
      <c r="E2718" s="3" t="str">
        <f>CodePrefix&amp;"ef."&amp;$A2718</f>
        <v>egy.mit.ef.mnf.ker.bc</v>
      </c>
      <c r="F2718" s="3" t="str">
        <f>CtryReg&amp;".mit.ef."&amp;$A2718</f>
        <v>mea.mit.ef.mnf.ker.bc</v>
      </c>
      <c r="G2718" s="3" t="str">
        <f>"wld.mit.ef."&amp;$A2718</f>
        <v>wld.mit.ef.mnf.ker.bc</v>
      </c>
      <c r="H2718" s="3" t="inlineStr">
        <is>
          <t>egy.mit.ef.mnf.ker.bc</t>
        </is>
      </c>
      <c r="I2718" s="236" t="n">
        <v>0.001402578</v>
      </c>
      <c r="J2718" s="236" t="n">
        <v>0.001402578</v>
      </c>
    </row>
    <row r="2719">
      <c r="A2719" s="3" t="str">
        <f>$B2719&amp;"."&amp;$C2719&amp;"."&amp;$D2719</f>
        <v>mnf.bio.bc</v>
      </c>
      <c r="B2719" s="8" t="inlineStr">
        <is>
          <t>mnf</t>
        </is>
      </c>
      <c r="C2719" s="8" t="inlineStr">
        <is>
          <t>bio</t>
        </is>
      </c>
      <c r="D2719" s="8" t="inlineStr">
        <is>
          <t>bc</t>
        </is>
      </c>
      <c r="E2719" s="3" t="str">
        <f>CodePrefix&amp;"ef."&amp;$A2719</f>
        <v>egy.mit.ef.mnf.bio.bc</v>
      </c>
      <c r="F2719" s="3" t="str">
        <f>CtryReg&amp;".mit.ef."&amp;$A2719</f>
        <v>mea.mit.ef.mnf.bio.bc</v>
      </c>
      <c r="G2719" s="3" t="str">
        <f>"wld.mit.ef."&amp;$A2719</f>
        <v>wld.mit.ef.mnf.bio.bc</v>
      </c>
      <c r="H2719" s="3" t="inlineStr">
        <is>
          <t>mea.mit.ef.mnf.bio.bc</t>
        </is>
      </c>
      <c r="I2719" s="236" t="n">
        <v>0.3287014812</v>
      </c>
      <c r="J2719" s="236" t="n">
        <v>0.2188524096</v>
      </c>
    </row>
    <row r="2720">
      <c r="A2720" s="3" t="str">
        <f>$B2720&amp;"."&amp;$C2720&amp;"."&amp;$D2720</f>
        <v>omn.coa.bc</v>
      </c>
      <c r="B2720" s="8" t="inlineStr">
        <is>
          <t>omn</t>
        </is>
      </c>
      <c r="C2720" s="8" t="inlineStr">
        <is>
          <t>coa</t>
        </is>
      </c>
      <c r="D2720" s="8" t="inlineStr">
        <is>
          <t>bc</t>
        </is>
      </c>
      <c r="E2720" s="3" t="str">
        <f>CodePrefix&amp;"ef."&amp;$A2720</f>
        <v>egy.mit.ef.omn.coa.bc</v>
      </c>
      <c r="F2720" s="3" t="str">
        <f>CtryReg&amp;".mit.ef."&amp;$A2720</f>
        <v>mea.mit.ef.omn.coa.bc</v>
      </c>
      <c r="G2720" s="3" t="str">
        <f>"wld.mit.ef."&amp;$A2720</f>
        <v>wld.mit.ef.omn.coa.bc</v>
      </c>
      <c r="H2720" s="3" t="inlineStr">
        <is>
          <t>wld.mit.ef.omn.coa.bc</t>
        </is>
      </c>
      <c r="I2720" s="236" t="n">
        <v>0</v>
      </c>
      <c r="J2720" s="236" t="n">
        <v>0</v>
      </c>
    </row>
    <row r="2721">
      <c r="A2721" s="3" t="str">
        <f>$B2721&amp;"."&amp;$C2721&amp;"."&amp;$D2721</f>
        <v>omn.nga.bc</v>
      </c>
      <c r="B2721" s="8" t="inlineStr">
        <is>
          <t>omn</t>
        </is>
      </c>
      <c r="C2721" s="8" t="inlineStr">
        <is>
          <t>nga</t>
        </is>
      </c>
      <c r="D2721" s="8" t="inlineStr">
        <is>
          <t>bc</t>
        </is>
      </c>
      <c r="E2721" s="3" t="str">
        <f>CodePrefix&amp;"ef."&amp;$A2721</f>
        <v>egy.mit.ef.omn.nga.bc</v>
      </c>
      <c r="F2721" s="3" t="str">
        <f>CtryReg&amp;".mit.ef."&amp;$A2721</f>
        <v>mea.mit.ef.omn.nga.bc</v>
      </c>
      <c r="G2721" s="3" t="str">
        <f>"wld.mit.ef."&amp;$A2721</f>
        <v>wld.mit.ef.omn.nga.bc</v>
      </c>
      <c r="H2721" s="3" t="inlineStr">
        <is>
          <t>egy.mit.ef.omn.nga.bc</t>
        </is>
      </c>
      <c r="I2721" s="236" t="n">
        <v>0.0002805156</v>
      </c>
      <c r="J2721" s="236" t="n">
        <v>0.0002805156</v>
      </c>
    </row>
    <row r="2722">
      <c r="A2722" s="3" t="str">
        <f>$B2722&amp;"."&amp;$C2722&amp;"."&amp;$D2722</f>
        <v>omn.oop.bc</v>
      </c>
      <c r="B2722" s="8" t="inlineStr">
        <is>
          <t>omn</t>
        </is>
      </c>
      <c r="C2722" s="8" t="inlineStr">
        <is>
          <t>oop</t>
        </is>
      </c>
      <c r="D2722" s="8" t="inlineStr">
        <is>
          <t>bc</t>
        </is>
      </c>
      <c r="E2722" s="3" t="str">
        <f>CodePrefix&amp;"ef."&amp;$A2722</f>
        <v>egy.mit.ef.omn.oop.bc</v>
      </c>
      <c r="F2722" s="3" t="str">
        <f>CtryReg&amp;".mit.ef."&amp;$A2722</f>
        <v>mea.mit.ef.omn.oop.bc</v>
      </c>
      <c r="G2722" s="3" t="str">
        <f>"wld.mit.ef."&amp;$A2722</f>
        <v>wld.mit.ef.omn.oop.bc</v>
      </c>
      <c r="H2722" s="3" t="inlineStr">
        <is>
          <t>egy.mit.ef.omn.oop.bc</t>
        </is>
      </c>
      <c r="I2722" s="236" t="n">
        <v>0.0295881156</v>
      </c>
      <c r="J2722" s="236" t="n">
        <v>0.0295881156</v>
      </c>
    </row>
    <row r="2723">
      <c r="A2723" s="3" t="str">
        <f>$B2723&amp;"."&amp;$C2723&amp;"."&amp;$D2723</f>
        <v>omn.gso.bc</v>
      </c>
      <c r="B2723" s="8" t="inlineStr">
        <is>
          <t>omn</t>
        </is>
      </c>
      <c r="C2723" s="8" t="inlineStr">
        <is>
          <t>gso</t>
        </is>
      </c>
      <c r="D2723" s="8" t="inlineStr">
        <is>
          <t>bc</t>
        </is>
      </c>
      <c r="E2723" s="3" t="str">
        <f>CodePrefix&amp;"ef."&amp;$A2723</f>
        <v>egy.mit.ef.omn.gso.bc</v>
      </c>
      <c r="F2723" s="3" t="str">
        <f>CtryReg&amp;".mit.ef."&amp;$A2723</f>
        <v>mea.mit.ef.omn.gso.bc</v>
      </c>
      <c r="G2723" s="3" t="str">
        <f>"wld.mit.ef."&amp;$A2723</f>
        <v>wld.mit.ef.omn.gso.bc</v>
      </c>
      <c r="H2723" s="3" t="inlineStr">
        <is>
          <t>egy.mit.ef.omn.gso.bc</t>
        </is>
      </c>
      <c r="I2723" s="236" t="n">
        <v>0.001402578</v>
      </c>
      <c r="J2723" s="236" t="n">
        <v>0.001402578</v>
      </c>
    </row>
    <row r="2724">
      <c r="A2724" s="3" t="str">
        <f>$B2724&amp;"."&amp;$C2724&amp;"."&amp;$D2724</f>
        <v>omn.die.bc</v>
      </c>
      <c r="B2724" s="8" t="inlineStr">
        <is>
          <t>omn</t>
        </is>
      </c>
      <c r="C2724" s="8" t="inlineStr">
        <is>
          <t>die</t>
        </is>
      </c>
      <c r="D2724" s="8" t="inlineStr">
        <is>
          <t>bc</t>
        </is>
      </c>
      <c r="E2724" s="3" t="str">
        <f>CodePrefix&amp;"ef."&amp;$A2724</f>
        <v>egy.mit.ef.omn.die.bc</v>
      </c>
      <c r="F2724" s="3" t="str">
        <f>CtryReg&amp;".mit.ef."&amp;$A2724</f>
        <v>mea.mit.ef.omn.die.bc</v>
      </c>
      <c r="G2724" s="3" t="str">
        <f>"wld.mit.ef."&amp;$A2724</f>
        <v>wld.mit.ef.omn.die.bc</v>
      </c>
      <c r="H2724" s="3" t="inlineStr">
        <is>
          <t>mea.mit.ef.omn.die.bc</t>
        </is>
      </c>
      <c r="I2724" s="236" t="n">
        <v>0.0043835796</v>
      </c>
      <c r="J2724" s="236" t="n">
        <v>0.0043835796</v>
      </c>
    </row>
    <row r="2725">
      <c r="A2725" s="3" t="str">
        <f>$B2725&amp;"."&amp;$C2725&amp;"."&amp;$D2725</f>
        <v>omn.lpg.bc</v>
      </c>
      <c r="B2725" s="8" t="inlineStr">
        <is>
          <t>omn</t>
        </is>
      </c>
      <c r="C2725" s="8" t="inlineStr">
        <is>
          <t>lpg</t>
        </is>
      </c>
      <c r="D2725" s="8" t="inlineStr">
        <is>
          <t>bc</t>
        </is>
      </c>
      <c r="E2725" s="3" t="str">
        <f>CodePrefix&amp;"ef."&amp;$A2725</f>
        <v>egy.mit.ef.omn.lpg.bc</v>
      </c>
      <c r="F2725" s="3" t="str">
        <f>CtryReg&amp;".mit.ef."&amp;$A2725</f>
        <v>mea.mit.ef.omn.lpg.bc</v>
      </c>
      <c r="G2725" s="3" t="str">
        <f>"wld.mit.ef."&amp;$A2725</f>
        <v>wld.mit.ef.omn.lpg.bc</v>
      </c>
      <c r="H2725" s="3" t="inlineStr">
        <is>
          <t>mea.mit.ef.omn.lpg.bc</t>
        </is>
      </c>
      <c r="I2725" s="236" t="n">
        <v>0.0005610312000000001</v>
      </c>
      <c r="J2725" s="236" t="n">
        <v>0.0005610312000000001</v>
      </c>
    </row>
    <row r="2726">
      <c r="A2726" s="3" t="str">
        <f>$B2726&amp;"."&amp;$C2726&amp;"."&amp;$D2726</f>
        <v>omn.ker.bc</v>
      </c>
      <c r="B2726" s="8" t="inlineStr">
        <is>
          <t>omn</t>
        </is>
      </c>
      <c r="C2726" s="8" t="inlineStr">
        <is>
          <t>ker</t>
        </is>
      </c>
      <c r="D2726" s="8" t="inlineStr">
        <is>
          <t>bc</t>
        </is>
      </c>
      <c r="E2726" s="3" t="str">
        <f>CodePrefix&amp;"ef."&amp;$A2726</f>
        <v>egy.mit.ef.omn.ker.bc</v>
      </c>
      <c r="F2726" s="3" t="str">
        <f>CtryReg&amp;".mit.ef."&amp;$A2726</f>
        <v>mea.mit.ef.omn.ker.bc</v>
      </c>
      <c r="G2726" s="3" t="str">
        <f>"wld.mit.ef."&amp;$A2726</f>
        <v>wld.mit.ef.omn.ker.bc</v>
      </c>
      <c r="H2726" s="3" t="inlineStr">
        <is>
          <t>egy.mit.ef.omn.ker.bc</t>
        </is>
      </c>
      <c r="I2726" s="236" t="n">
        <v>0.001402578</v>
      </c>
      <c r="J2726" s="236" t="n">
        <v>0.001402578</v>
      </c>
    </row>
    <row r="2727">
      <c r="A2727" s="3" t="str">
        <f>$B2727&amp;"."&amp;$C2727&amp;"."&amp;$D2727</f>
        <v>omn.bio.bc</v>
      </c>
      <c r="B2727" s="8" t="inlineStr">
        <is>
          <t>omn</t>
        </is>
      </c>
      <c r="C2727" s="8" t="inlineStr">
        <is>
          <t>bio</t>
        </is>
      </c>
      <c r="D2727" s="8" t="inlineStr">
        <is>
          <t>bc</t>
        </is>
      </c>
      <c r="E2727" s="3" t="str">
        <f>CodePrefix&amp;"ef."&amp;$A2727</f>
        <v>egy.mit.ef.omn.bio.bc</v>
      </c>
      <c r="F2727" s="3" t="str">
        <f>CtryReg&amp;".mit.ef."&amp;$A2727</f>
        <v>mea.mit.ef.omn.bio.bc</v>
      </c>
      <c r="G2727" s="3" t="str">
        <f>"wld.mit.ef."&amp;$A2727</f>
        <v>wld.mit.ef.omn.bio.bc</v>
      </c>
      <c r="H2727" s="3" t="inlineStr">
        <is>
          <t>mea.mit.ef.omn.bio.bc</t>
        </is>
      </c>
      <c r="I2727" s="236" t="n">
        <v>0.3287014812</v>
      </c>
      <c r="J2727" s="236" t="n">
        <v>0.2188524096</v>
      </c>
    </row>
    <row r="2728">
      <c r="A2728" s="3" t="str">
        <f>$B2728&amp;"."&amp;$C2728&amp;"."&amp;$D2728</f>
        <v>foo.coa.bc</v>
      </c>
      <c r="B2728" s="8" t="inlineStr">
        <is>
          <t>foo</t>
        </is>
      </c>
      <c r="C2728" s="8" t="inlineStr">
        <is>
          <t>coa</t>
        </is>
      </c>
      <c r="D2728" s="8" t="inlineStr">
        <is>
          <t>bc</t>
        </is>
      </c>
      <c r="E2728" s="3" t="str">
        <f>CodePrefix&amp;"ef."&amp;$A2728</f>
        <v>egy.mit.ef.foo.coa.bc</v>
      </c>
      <c r="F2728" s="3" t="str">
        <f>CtryReg&amp;".mit.ef."&amp;$A2728</f>
        <v>mea.mit.ef.foo.coa.bc</v>
      </c>
      <c r="G2728" s="3" t="str">
        <f>"wld.mit.ef."&amp;$A2728</f>
        <v>wld.mit.ef.foo.coa.bc</v>
      </c>
      <c r="H2728" s="3" t="inlineStr">
        <is>
          <t>wld.mit.ef.foo.coa.bc</t>
        </is>
      </c>
      <c r="I2728" s="236" t="n">
        <v>0</v>
      </c>
      <c r="J2728" s="236" t="n">
        <v>0</v>
      </c>
    </row>
    <row r="2729">
      <c r="A2729" s="3" t="str">
        <f>$B2729&amp;"."&amp;$C2729&amp;"."&amp;$D2729</f>
        <v>foo.nga.bc</v>
      </c>
      <c r="B2729" s="8" t="inlineStr">
        <is>
          <t>foo</t>
        </is>
      </c>
      <c r="C2729" s="8" t="inlineStr">
        <is>
          <t>nga</t>
        </is>
      </c>
      <c r="D2729" s="8" t="inlineStr">
        <is>
          <t>bc</t>
        </is>
      </c>
      <c r="E2729" s="3" t="str">
        <f>CodePrefix&amp;"ef."&amp;$A2729</f>
        <v>egy.mit.ef.foo.nga.bc</v>
      </c>
      <c r="F2729" s="3" t="str">
        <f>CtryReg&amp;".mit.ef."&amp;$A2729</f>
        <v>mea.mit.ef.foo.nga.bc</v>
      </c>
      <c r="G2729" s="3" t="str">
        <f>"wld.mit.ef."&amp;$A2729</f>
        <v>wld.mit.ef.foo.nga.bc</v>
      </c>
      <c r="H2729" s="3" t="inlineStr">
        <is>
          <t>egy.mit.ef.foo.nga.bc</t>
        </is>
      </c>
      <c r="I2729" s="236" t="n">
        <v>0.0002805156</v>
      </c>
      <c r="J2729" s="236" t="n">
        <v>0.0002805156</v>
      </c>
    </row>
    <row r="2730">
      <c r="A2730" s="3" t="str">
        <f>$B2730&amp;"."&amp;$C2730&amp;"."&amp;$D2730</f>
        <v>foo.oop.bc</v>
      </c>
      <c r="B2730" s="8" t="inlineStr">
        <is>
          <t>foo</t>
        </is>
      </c>
      <c r="C2730" s="8" t="inlineStr">
        <is>
          <t>oop</t>
        </is>
      </c>
      <c r="D2730" s="8" t="inlineStr">
        <is>
          <t>bc</t>
        </is>
      </c>
      <c r="E2730" s="3" t="str">
        <f>CodePrefix&amp;"ef."&amp;$A2730</f>
        <v>egy.mit.ef.foo.oop.bc</v>
      </c>
      <c r="F2730" s="3" t="str">
        <f>CtryReg&amp;".mit.ef."&amp;$A2730</f>
        <v>mea.mit.ef.foo.oop.bc</v>
      </c>
      <c r="G2730" s="3" t="str">
        <f>"wld.mit.ef."&amp;$A2730</f>
        <v>wld.mit.ef.foo.oop.bc</v>
      </c>
      <c r="H2730" s="3" t="inlineStr">
        <is>
          <t>egy.mit.ef.foo.oop.bc</t>
        </is>
      </c>
      <c r="I2730" s="236" t="n">
        <v>0.0295881156</v>
      </c>
      <c r="J2730" s="236" t="n">
        <v>0.0295881156</v>
      </c>
    </row>
    <row r="2731">
      <c r="A2731" s="3" t="str">
        <f>$B2731&amp;"."&amp;$C2731&amp;"."&amp;$D2731</f>
        <v>foo.gso.bc</v>
      </c>
      <c r="B2731" s="8" t="inlineStr">
        <is>
          <t>foo</t>
        </is>
      </c>
      <c r="C2731" s="8" t="inlineStr">
        <is>
          <t>gso</t>
        </is>
      </c>
      <c r="D2731" s="8" t="inlineStr">
        <is>
          <t>bc</t>
        </is>
      </c>
      <c r="E2731" s="3" t="str">
        <f>CodePrefix&amp;"ef."&amp;$A2731</f>
        <v>egy.mit.ef.foo.gso.bc</v>
      </c>
      <c r="F2731" s="3" t="str">
        <f>CtryReg&amp;".mit.ef."&amp;$A2731</f>
        <v>mea.mit.ef.foo.gso.bc</v>
      </c>
      <c r="G2731" s="3" t="str">
        <f>"wld.mit.ef."&amp;$A2731</f>
        <v>wld.mit.ef.foo.gso.bc</v>
      </c>
      <c r="H2731" s="3" t="inlineStr">
        <is>
          <t>egy.mit.ef.foo.gso.bc</t>
        </is>
      </c>
      <c r="I2731" s="236" t="n">
        <v>0.001402578</v>
      </c>
      <c r="J2731" s="236" t="n">
        <v>0.001402578</v>
      </c>
    </row>
    <row r="2732">
      <c r="A2732" s="3" t="str">
        <f>$B2732&amp;"."&amp;$C2732&amp;"."&amp;$D2732</f>
        <v>foo.die.bc</v>
      </c>
      <c r="B2732" s="8" t="inlineStr">
        <is>
          <t>foo</t>
        </is>
      </c>
      <c r="C2732" s="8" t="inlineStr">
        <is>
          <t>die</t>
        </is>
      </c>
      <c r="D2732" s="8" t="inlineStr">
        <is>
          <t>bc</t>
        </is>
      </c>
      <c r="E2732" s="3" t="str">
        <f>CodePrefix&amp;"ef."&amp;$A2732</f>
        <v>egy.mit.ef.foo.die.bc</v>
      </c>
      <c r="F2732" s="3" t="str">
        <f>CtryReg&amp;".mit.ef."&amp;$A2732</f>
        <v>mea.mit.ef.foo.die.bc</v>
      </c>
      <c r="G2732" s="3" t="str">
        <f>"wld.mit.ef."&amp;$A2732</f>
        <v>wld.mit.ef.foo.die.bc</v>
      </c>
      <c r="H2732" s="3" t="inlineStr">
        <is>
          <t>mea.mit.ef.foo.die.bc</t>
        </is>
      </c>
      <c r="I2732" s="236" t="n">
        <v>0.0043835796</v>
      </c>
      <c r="J2732" s="236" t="n">
        <v>0.0043835796</v>
      </c>
    </row>
    <row r="2733">
      <c r="A2733" s="3" t="str">
        <f>$B2733&amp;"."&amp;$C2733&amp;"."&amp;$D2733</f>
        <v>foo.lpg.bc</v>
      </c>
      <c r="B2733" s="8" t="inlineStr">
        <is>
          <t>foo</t>
        </is>
      </c>
      <c r="C2733" s="8" t="inlineStr">
        <is>
          <t>lpg</t>
        </is>
      </c>
      <c r="D2733" s="8" t="inlineStr">
        <is>
          <t>bc</t>
        </is>
      </c>
      <c r="E2733" s="3" t="str">
        <f>CodePrefix&amp;"ef."&amp;$A2733</f>
        <v>egy.mit.ef.foo.lpg.bc</v>
      </c>
      <c r="F2733" s="3" t="str">
        <f>CtryReg&amp;".mit.ef."&amp;$A2733</f>
        <v>mea.mit.ef.foo.lpg.bc</v>
      </c>
      <c r="G2733" s="3" t="str">
        <f>"wld.mit.ef."&amp;$A2733</f>
        <v>wld.mit.ef.foo.lpg.bc</v>
      </c>
      <c r="H2733" s="3" t="inlineStr">
        <is>
          <t>mea.mit.ef.foo.lpg.bc</t>
        </is>
      </c>
      <c r="I2733" s="236" t="n">
        <v>0.0005610312000000001</v>
      </c>
      <c r="J2733" s="236" t="n">
        <v>0.0005610312000000001</v>
      </c>
    </row>
    <row r="2734">
      <c r="A2734" s="3" t="str">
        <f>$B2734&amp;"."&amp;$C2734&amp;"."&amp;$D2734</f>
        <v>foo.ker.bc</v>
      </c>
      <c r="B2734" s="8" t="inlineStr">
        <is>
          <t>foo</t>
        </is>
      </c>
      <c r="C2734" s="8" t="inlineStr">
        <is>
          <t>ker</t>
        </is>
      </c>
      <c r="D2734" s="8" t="inlineStr">
        <is>
          <t>bc</t>
        </is>
      </c>
      <c r="E2734" s="3" t="str">
        <f>CodePrefix&amp;"ef."&amp;$A2734</f>
        <v>egy.mit.ef.foo.ker.bc</v>
      </c>
      <c r="F2734" s="3" t="str">
        <f>CtryReg&amp;".mit.ef."&amp;$A2734</f>
        <v>mea.mit.ef.foo.ker.bc</v>
      </c>
      <c r="G2734" s="3" t="str">
        <f>"wld.mit.ef."&amp;$A2734</f>
        <v>wld.mit.ef.foo.ker.bc</v>
      </c>
      <c r="H2734" s="3" t="inlineStr">
        <is>
          <t>egy.mit.ef.foo.ker.bc</t>
        </is>
      </c>
      <c r="I2734" s="236" t="n">
        <v>0.001402578</v>
      </c>
      <c r="J2734" s="236" t="n">
        <v>0.001402578</v>
      </c>
    </row>
    <row r="2735">
      <c r="A2735" s="3" t="str">
        <f>$B2735&amp;"."&amp;$C2735&amp;"."&amp;$D2735</f>
        <v>foo.bio.bc</v>
      </c>
      <c r="B2735" s="8" t="inlineStr">
        <is>
          <t>foo</t>
        </is>
      </c>
      <c r="C2735" s="8" t="inlineStr">
        <is>
          <t>bio</t>
        </is>
      </c>
      <c r="D2735" s="8" t="inlineStr">
        <is>
          <t>bc</t>
        </is>
      </c>
      <c r="E2735" s="3" t="str">
        <f>CodePrefix&amp;"ef."&amp;$A2735</f>
        <v>egy.mit.ef.foo.bio.bc</v>
      </c>
      <c r="F2735" s="3" t="str">
        <f>CtryReg&amp;".mit.ef."&amp;$A2735</f>
        <v>mea.mit.ef.foo.bio.bc</v>
      </c>
      <c r="G2735" s="3" t="str">
        <f>"wld.mit.ef."&amp;$A2735</f>
        <v>wld.mit.ef.foo.bio.bc</v>
      </c>
      <c r="H2735" s="3" t="inlineStr">
        <is>
          <t>egy.mit.ef.foo.bio.bc</t>
        </is>
      </c>
      <c r="I2735" s="236" t="n">
        <v>2.936152598400001</v>
      </c>
      <c r="J2735" s="236" t="n">
        <v>2.6007061824</v>
      </c>
    </row>
    <row r="2736">
      <c r="A2736" s="3" t="str">
        <f>$B2736&amp;"."&amp;$C2736&amp;"."&amp;$D2736</f>
        <v>oen.coa.bc</v>
      </c>
      <c r="B2736" s="8" t="inlineStr">
        <is>
          <t>oen</t>
        </is>
      </c>
      <c r="C2736" s="8" t="inlineStr">
        <is>
          <t>coa</t>
        </is>
      </c>
      <c r="D2736" s="8" t="inlineStr">
        <is>
          <t>bc</t>
        </is>
      </c>
      <c r="H2736" s="3" t="inlineStr">
        <is>
          <t>max</t>
        </is>
      </c>
      <c r="I2736" s="236">
        <f>_xlfn.MAXIFS($I$2679:$I$2735,$C$2679:$C$2735,$C2736)</f>
        <v>7.345573128</v>
      </c>
      <c r="J2736" s="236">
        <f>_xlfn.MAXIFS($J$2679:$J$2735,$C$2679:$C$2735,$C2736)</f>
        <v>7.345573128</v>
      </c>
    </row>
    <row r="2737">
      <c r="A2737" s="3" t="str">
        <f>$B2737&amp;"."&amp;$C2737&amp;"."&amp;$D2737</f>
        <v>oen.nga.bc</v>
      </c>
      <c r="B2737" s="8" t="inlineStr">
        <is>
          <t>oen</t>
        </is>
      </c>
      <c r="C2737" s="8" t="inlineStr">
        <is>
          <t>nga</t>
        </is>
      </c>
      <c r="D2737" s="8" t="inlineStr">
        <is>
          <t>bc</t>
        </is>
      </c>
      <c r="H2737" s="3" t="inlineStr">
        <is>
          <t>max</t>
        </is>
      </c>
      <c r="I2737" s="236">
        <f>_xlfn.MAXIFS($I$2679:$I$2735,$C$2679:$C$2735,$C2737)</f>
        <v>0.011911446</v>
      </c>
      <c r="J2737" s="236">
        <f>_xlfn.MAXIFS($J$2679:$J$2735,$C$2679:$C$2735,$C2737)</f>
        <v>0.011639304</v>
      </c>
    </row>
    <row r="2738">
      <c r="A2738" s="3" t="str">
        <f>$B2738&amp;"."&amp;$C2738&amp;"."&amp;$D2738</f>
        <v>oen.oop.bc</v>
      </c>
      <c r="B2738" s="8" t="inlineStr">
        <is>
          <t>oen</t>
        </is>
      </c>
      <c r="C2738" s="8" t="inlineStr">
        <is>
          <t>oop</t>
        </is>
      </c>
      <c r="D2738" s="8" t="inlineStr">
        <is>
          <t>bc</t>
        </is>
      </c>
      <c r="H2738" s="3" t="inlineStr">
        <is>
          <t>max</t>
        </is>
      </c>
      <c r="I2738" s="236">
        <f>_xlfn.MAXIFS($I$2679:$I$2735,$C$2679:$C$2735,$C2738)</f>
        <v>0.282797406</v>
      </c>
      <c r="J2738" s="236">
        <f>_xlfn.MAXIFS($J$2679:$J$2735,$C$2679:$C$2735,$C2738)</f>
        <v>0.279217692</v>
      </c>
    </row>
    <row r="2739">
      <c r="A2739" s="3" t="str">
        <f>$B2739&amp;"."&amp;$C2739&amp;"."&amp;$D2739</f>
        <v>oen.gso.bc</v>
      </c>
      <c r="B2739" s="8" t="inlineStr">
        <is>
          <t>oen</t>
        </is>
      </c>
      <c r="C2739" s="8" t="inlineStr">
        <is>
          <t>gso</t>
        </is>
      </c>
      <c r="D2739" s="8" t="inlineStr">
        <is>
          <t>bc</t>
        </is>
      </c>
      <c r="H2739" s="3" t="inlineStr">
        <is>
          <t>max</t>
        </is>
      </c>
      <c r="I2739" s="236">
        <f>_xlfn.MAXIFS($I$2679:$I$2735,$C$2679:$C$2735,$C2739)</f>
        <v>0.2401464744</v>
      </c>
      <c r="J2739" s="236">
        <f>_xlfn.MAXIFS($J$2679:$J$2735,$C$2679:$C$2735,$C2739)</f>
        <v>0.2285448516</v>
      </c>
    </row>
    <row r="2740">
      <c r="A2740" s="3" t="str">
        <f>$B2740&amp;"."&amp;$C2740&amp;"."&amp;$D2740</f>
        <v>oen.die.bc</v>
      </c>
      <c r="B2740" s="8" t="inlineStr">
        <is>
          <t>oen</t>
        </is>
      </c>
      <c r="C2740" s="8" t="inlineStr">
        <is>
          <t>die</t>
        </is>
      </c>
      <c r="D2740" s="8" t="inlineStr">
        <is>
          <t>bc</t>
        </is>
      </c>
      <c r="H2740" s="3" t="inlineStr">
        <is>
          <t>max</t>
        </is>
      </c>
      <c r="I2740" s="236">
        <f>_xlfn.MAXIFS($I$2679:$I$2735,$C$2679:$C$2735,$C2740)</f>
        <v>2.512749888</v>
      </c>
      <c r="J2740" s="236">
        <f>_xlfn.MAXIFS($J$2679:$J$2735,$C$2679:$C$2735,$C2740)</f>
        <v>2.512749888</v>
      </c>
    </row>
    <row r="2741">
      <c r="A2741" s="3" t="str">
        <f>$B2741&amp;"."&amp;$C2741&amp;"."&amp;$D2741</f>
        <v>oen.lpg.bc</v>
      </c>
      <c r="B2741" s="8" t="inlineStr">
        <is>
          <t>oen</t>
        </is>
      </c>
      <c r="C2741" s="8" t="inlineStr">
        <is>
          <t>lpg</t>
        </is>
      </c>
      <c r="D2741" s="8" t="inlineStr">
        <is>
          <t>bc</t>
        </is>
      </c>
      <c r="H2741" s="3" t="inlineStr">
        <is>
          <t>max</t>
        </is>
      </c>
      <c r="I2741" s="236">
        <f>_xlfn.MAXIFS($I$2679:$I$2735,$C$2679:$C$2735,$C2741)</f>
        <v>0.21227076</v>
      </c>
      <c r="J2741" s="236">
        <f>_xlfn.MAXIFS($J$2679:$J$2735,$C$2679:$C$2735,$C2741)</f>
        <v>0.21227076</v>
      </c>
    </row>
    <row r="2742">
      <c r="A2742" s="3" t="str">
        <f>$B2742&amp;"."&amp;$C2742&amp;"."&amp;$D2742</f>
        <v>oen.ker.bc</v>
      </c>
      <c r="B2742" s="8" t="inlineStr">
        <is>
          <t>oen</t>
        </is>
      </c>
      <c r="C2742" s="8" t="inlineStr">
        <is>
          <t>ker</t>
        </is>
      </c>
      <c r="D2742" s="8" t="inlineStr">
        <is>
          <t>bc</t>
        </is>
      </c>
      <c r="H2742" s="3" t="inlineStr">
        <is>
          <t>max</t>
        </is>
      </c>
      <c r="I2742" s="236">
        <f>_xlfn.MAXIFS($I$2679:$I$2735,$C$2679:$C$2735,$C2742)</f>
        <v>1.2161272356</v>
      </c>
      <c r="J2742" s="236">
        <f>_xlfn.MAXIFS($J$2679:$J$2735,$C$2679:$C$2735,$C2742)</f>
        <v>0.9556371000000001</v>
      </c>
    </row>
    <row r="2743">
      <c r="A2743" s="3" t="str">
        <f>$B2743&amp;"."&amp;$C2743&amp;"."&amp;$D2743</f>
        <v>oen.bio.bc</v>
      </c>
      <c r="B2743" s="8" t="inlineStr">
        <is>
          <t>oen</t>
        </is>
      </c>
      <c r="C2743" s="8" t="inlineStr">
        <is>
          <t>bio</t>
        </is>
      </c>
      <c r="D2743" s="8" t="inlineStr">
        <is>
          <t>bc</t>
        </is>
      </c>
      <c r="H2743" s="3" t="inlineStr">
        <is>
          <t>max</t>
        </is>
      </c>
      <c r="I2743" s="236">
        <f>_xlfn.MAXIFS($I$2679:$I$2735,$C$2679:$C$2735,$C2743)</f>
        <v>3.12282945</v>
      </c>
      <c r="J2743" s="236">
        <f>_xlfn.MAXIFS($J$2679:$J$2735,$C$2679:$C$2735,$C2743)</f>
        <v>2.6007061824</v>
      </c>
    </row>
    <row r="2744">
      <c r="A2744" s="3" t="str">
        <f>$B2744&amp;"."&amp;$C2744&amp;"."&amp;$D2744</f>
        <v>nav.die.bc</v>
      </c>
      <c r="B2744" s="8" t="inlineStr">
        <is>
          <t>nav</t>
        </is>
      </c>
      <c r="C2744" s="8" t="inlineStr">
        <is>
          <t>die</t>
        </is>
      </c>
      <c r="D2744" s="8" t="inlineStr">
        <is>
          <t>bc</t>
        </is>
      </c>
      <c r="E2744" s="3" t="str">
        <f>CodePrefix&amp;"ef."&amp;$A2744</f>
        <v>egy.mit.ef.nav.die.bc</v>
      </c>
      <c r="F2744" s="3" t="str">
        <f>CtryReg&amp;".mit.ef."&amp;$A2744</f>
        <v>mea.mit.ef.nav.die.bc</v>
      </c>
      <c r="G2744" s="3" t="str">
        <f>"wld.mit.ef."&amp;$A2744</f>
        <v>wld.mit.ef.nav.die.bc</v>
      </c>
      <c r="H2744" s="3" t="inlineStr">
        <is>
          <t>egy.mit.ef.nav.die.bc</t>
        </is>
      </c>
      <c r="I2744" s="236" t="n">
        <v>1.65755412</v>
      </c>
      <c r="J2744" s="236" t="n">
        <v>1.65755412</v>
      </c>
    </row>
    <row r="2745">
      <c r="A2745" s="3" t="str">
        <f>$B2745&amp;"."&amp;$C2745&amp;"."&amp;$D2745</f>
        <v>nav.oop.bc</v>
      </c>
      <c r="B2745" s="8" t="inlineStr">
        <is>
          <t>nav</t>
        </is>
      </c>
      <c r="C2745" s="8" t="inlineStr">
        <is>
          <t>oop</t>
        </is>
      </c>
      <c r="D2745" s="8" t="inlineStr">
        <is>
          <t>bc</t>
        </is>
      </c>
      <c r="E2745" s="3" t="str">
        <f>CodePrefix&amp;"ef."&amp;$A2745</f>
        <v>egy.mit.ef.nav.oop.bc</v>
      </c>
      <c r="F2745" s="3" t="str">
        <f>CtryReg&amp;".mit.ef."&amp;$A2745</f>
        <v>mea.mit.ef.nav.oop.bc</v>
      </c>
      <c r="G2745" s="3" t="str">
        <f>"wld.mit.ef."&amp;$A2745</f>
        <v>wld.mit.ef.nav.oop.bc</v>
      </c>
      <c r="H2745" s="3" t="inlineStr">
        <is>
          <t>egy.mit.ef.nav.oop.bc</t>
        </is>
      </c>
      <c r="I2745" s="236" t="n">
        <v>2.3036485356</v>
      </c>
      <c r="J2745" s="236" t="n">
        <v>2.1677826888</v>
      </c>
    </row>
    <row r="2746">
      <c r="A2746" s="3" t="str">
        <f>$B2746&amp;"."&amp;$C2746&amp;"."&amp;$D2746</f>
        <v>pow.coa.oc</v>
      </c>
      <c r="B2746" s="8" t="inlineStr">
        <is>
          <t>pow</t>
        </is>
      </c>
      <c r="C2746" s="8" t="inlineStr">
        <is>
          <t>coa</t>
        </is>
      </c>
      <c r="D2746" s="8" t="inlineStr">
        <is>
          <t>oc</t>
        </is>
      </c>
      <c r="E2746" s="3" t="str">
        <f>CodePrefix&amp;"ef."&amp;$A2746</f>
        <v>egy.mit.ef.pow.coa.oc</v>
      </c>
      <c r="F2746" s="3" t="str">
        <f>CtryReg&amp;".mit.ef."&amp;$A2746</f>
        <v>mea.mit.ef.pow.coa.oc</v>
      </c>
      <c r="G2746" s="3" t="str">
        <f>"wld.mit.ef."&amp;$A2746</f>
        <v>wld.mit.ef.pow.coa.oc</v>
      </c>
      <c r="H2746" s="3" t="inlineStr">
        <is>
          <t>mea.mit.ef.pow.coa.oc</t>
        </is>
      </c>
      <c r="I2746" s="236" t="n">
        <v>0.0015867972</v>
      </c>
      <c r="J2746" s="236" t="n">
        <v>0.0010508868</v>
      </c>
    </row>
    <row r="2747">
      <c r="A2747" s="3" t="str">
        <f>$B2747&amp;"."&amp;$C2747&amp;"."&amp;$D2747</f>
        <v>pow.nga.oc</v>
      </c>
      <c r="B2747" s="8" t="inlineStr">
        <is>
          <t>pow</t>
        </is>
      </c>
      <c r="C2747" s="8" t="inlineStr">
        <is>
          <t>nga</t>
        </is>
      </c>
      <c r="D2747" s="8" t="inlineStr">
        <is>
          <t>oc</t>
        </is>
      </c>
      <c r="E2747" s="3" t="str">
        <f>CodePrefix&amp;"ef."&amp;$A2747</f>
        <v>egy.mit.ef.pow.nga.oc</v>
      </c>
      <c r="F2747" s="3" t="str">
        <f>CtryReg&amp;".mit.ef."&amp;$A2747</f>
        <v>mea.mit.ef.pow.nga.oc</v>
      </c>
      <c r="G2747" s="3" t="str">
        <f>"wld.mit.ef."&amp;$A2747</f>
        <v>wld.mit.ef.pow.nga.oc</v>
      </c>
      <c r="H2747" s="3" t="inlineStr">
        <is>
          <t>egy.mit.ef.pow.nga.oc</t>
        </is>
      </c>
      <c r="I2747" s="236" t="n">
        <v>0.0031401</v>
      </c>
      <c r="J2747" s="236" t="n">
        <v>0.0031401</v>
      </c>
    </row>
    <row r="2748">
      <c r="A2748" s="3" t="str">
        <f>$B2748&amp;"."&amp;$C2748&amp;"."&amp;$D2748</f>
        <v>pow.oop.oc</v>
      </c>
      <c r="B2748" s="8" t="inlineStr">
        <is>
          <t>pow</t>
        </is>
      </c>
      <c r="C2748" s="8" t="inlineStr">
        <is>
          <t>oop</t>
        </is>
      </c>
      <c r="D2748" s="8" t="inlineStr">
        <is>
          <t>oc</t>
        </is>
      </c>
      <c r="E2748" s="3" t="str">
        <f>CodePrefix&amp;"ef."&amp;$A2748</f>
        <v>egy.mit.ef.pow.oop.oc</v>
      </c>
      <c r="F2748" s="3" t="str">
        <f>CtryReg&amp;".mit.ef."&amp;$A2748</f>
        <v>mea.mit.ef.pow.oop.oc</v>
      </c>
      <c r="G2748" s="3" t="str">
        <f>"wld.mit.ef."&amp;$A2748</f>
        <v>wld.mit.ef.pow.oop.oc</v>
      </c>
      <c r="H2748" s="3" t="inlineStr">
        <is>
          <t>egy.mit.ef.pow.oop.oc</t>
        </is>
      </c>
      <c r="I2748" s="236" t="n">
        <v>0.0110992068</v>
      </c>
      <c r="J2748" s="236" t="n">
        <v>0.0110992068</v>
      </c>
    </row>
    <row r="2749">
      <c r="A2749" s="3" t="str">
        <f>$B2749&amp;"."&amp;$C2749&amp;"."&amp;$D2749</f>
        <v>pow.bio.oc</v>
      </c>
      <c r="B2749" s="8" t="inlineStr">
        <is>
          <t>pow</t>
        </is>
      </c>
      <c r="C2749" s="8" t="inlineStr">
        <is>
          <t>bio</t>
        </is>
      </c>
      <c r="D2749" s="8" t="inlineStr">
        <is>
          <t>oc</t>
        </is>
      </c>
      <c r="E2749" s="3" t="str">
        <f>CodePrefix&amp;"ef."&amp;$A2749</f>
        <v>egy.mit.ef.pow.bio.oc</v>
      </c>
      <c r="F2749" s="3" t="str">
        <f>CtryReg&amp;".mit.ef."&amp;$A2749</f>
        <v>mea.mit.ef.pow.bio.oc</v>
      </c>
      <c r="G2749" s="3" t="str">
        <f>"wld.mit.ef."&amp;$A2749</f>
        <v>wld.mit.ef.pow.bio.oc</v>
      </c>
      <c r="H2749" s="3" t="inlineStr">
        <is>
          <t>wld.mit.ef.pow.bio.oc</t>
        </is>
      </c>
      <c r="I2749" s="236" t="n">
        <v>0</v>
      </c>
      <c r="J2749" s="236" t="n">
        <v>0</v>
      </c>
    </row>
    <row r="2750">
      <c r="A2750" s="3" t="str">
        <f>$B2750&amp;"."&amp;$C2750&amp;"."&amp;$D2750</f>
        <v>rod.gso.oc</v>
      </c>
      <c r="B2750" s="8" t="inlineStr">
        <is>
          <t>rod</t>
        </is>
      </c>
      <c r="C2750" s="8" t="inlineStr">
        <is>
          <t>gso</t>
        </is>
      </c>
      <c r="D2750" s="8" t="inlineStr">
        <is>
          <t>oc</t>
        </is>
      </c>
      <c r="E2750" s="3" t="str">
        <f>CodePrefix&amp;"ef."&amp;$A2750</f>
        <v>egy.mit.ef.rod.gso.oc</v>
      </c>
      <c r="F2750" s="3" t="str">
        <f>CtryReg&amp;".mit.ef."&amp;$A2750</f>
        <v>mea.mit.ef.rod.gso.oc</v>
      </c>
      <c r="G2750" s="3" t="str">
        <f>"wld.mit.ef."&amp;$A2750</f>
        <v>wld.mit.ef.rod.gso.oc</v>
      </c>
      <c r="H2750" s="3" t="inlineStr">
        <is>
          <t>egy.mit.ef.rod.gso.oc</t>
        </is>
      </c>
      <c r="I2750" s="236" t="n">
        <v>0.7007070348000001</v>
      </c>
      <c r="J2750" s="236" t="n">
        <v>0.4100677524</v>
      </c>
    </row>
    <row r="2751">
      <c r="A2751" s="3" t="str">
        <f>$B2751&amp;"."&amp;$C2751&amp;"."&amp;$D2751</f>
        <v>rod.die.oc</v>
      </c>
      <c r="B2751" s="8" t="inlineStr">
        <is>
          <t>rod</t>
        </is>
      </c>
      <c r="C2751" s="8" t="inlineStr">
        <is>
          <t>die</t>
        </is>
      </c>
      <c r="D2751" s="8" t="inlineStr">
        <is>
          <t>oc</t>
        </is>
      </c>
      <c r="E2751" s="3" t="str">
        <f>CodePrefix&amp;"ef."&amp;$A2751</f>
        <v>egy.mit.ef.rod.die.oc</v>
      </c>
      <c r="F2751" s="3" t="str">
        <f>CtryReg&amp;".mit.ef."&amp;$A2751</f>
        <v>mea.mit.ef.rod.die.oc</v>
      </c>
      <c r="G2751" s="3" t="str">
        <f>"wld.mit.ef."&amp;$A2751</f>
        <v>wld.mit.ef.rod.die.oc</v>
      </c>
      <c r="H2751" s="3" t="inlineStr">
        <is>
          <t>egy.mit.ef.rod.die.oc</t>
        </is>
      </c>
      <c r="I2751" s="236" t="n">
        <v>1.5881034816</v>
      </c>
      <c r="J2751" s="236" t="n">
        <v>1.5828239268</v>
      </c>
    </row>
    <row r="2752">
      <c r="A2752" s="3" t="str">
        <f>$B2752&amp;"."&amp;$C2752&amp;"."&amp;$D2752</f>
        <v>rod.lpg.oc</v>
      </c>
      <c r="B2752" s="8" t="inlineStr">
        <is>
          <t>rod</t>
        </is>
      </c>
      <c r="C2752" s="8" t="inlineStr">
        <is>
          <t>lpg</t>
        </is>
      </c>
      <c r="D2752" s="8" t="inlineStr">
        <is>
          <t>oc</t>
        </is>
      </c>
      <c r="E2752" s="3" t="str">
        <f>CodePrefix&amp;"ef."&amp;$A2752</f>
        <v>egy.mit.ef.rod.lpg.oc</v>
      </c>
      <c r="F2752" s="3" t="str">
        <f>CtryReg&amp;".mit.ef."&amp;$A2752</f>
        <v>mea.mit.ef.rod.lpg.oc</v>
      </c>
      <c r="G2752" s="3" t="str">
        <f>"wld.mit.ef."&amp;$A2752</f>
        <v>wld.mit.ef.rod.lpg.oc</v>
      </c>
      <c r="H2752" s="3" t="inlineStr">
        <is>
          <t>mea.mit.ef.rod.lpg.oc</t>
        </is>
      </c>
      <c r="I2752" s="236" t="n">
        <v>0.0205823088</v>
      </c>
      <c r="J2752" s="236" t="n">
        <v>0.0076869648</v>
      </c>
    </row>
    <row r="2753">
      <c r="A2753" s="3" t="str">
        <f>$B2753&amp;"."&amp;$C2753&amp;"."&amp;$D2753</f>
        <v>rod.ker.oc</v>
      </c>
      <c r="B2753" s="8" t="inlineStr">
        <is>
          <t>rod</t>
        </is>
      </c>
      <c r="C2753" s="8" t="inlineStr">
        <is>
          <t>ker</t>
        </is>
      </c>
      <c r="D2753" s="8" t="inlineStr">
        <is>
          <t>oc</t>
        </is>
      </c>
      <c r="E2753" s="3" t="str">
        <f>CodePrefix&amp;"ef."&amp;$A2753</f>
        <v>egy.mit.ef.rod.ker.oc</v>
      </c>
      <c r="F2753" s="3" t="str">
        <f>CtryReg&amp;".mit.ef."&amp;$A2753</f>
        <v>mea.mit.ef.rod.ker.oc</v>
      </c>
      <c r="G2753" s="3" t="str">
        <f>"wld.mit.ef."&amp;$A2753</f>
        <v>wld.mit.ef.rod.ker.oc</v>
      </c>
      <c r="H2753" s="3" t="inlineStr">
        <is>
          <t>wld.mit.ef.rod.ker.oc</t>
        </is>
      </c>
      <c r="I2753" s="236" t="n">
        <v>0</v>
      </c>
      <c r="J2753" s="236" t="n">
        <v>0</v>
      </c>
    </row>
    <row r="2754">
      <c r="A2754" s="3" t="str">
        <f>$B2754&amp;"."&amp;$C2754&amp;"."&amp;$D2754</f>
        <v>rod.nga.oc</v>
      </c>
      <c r="B2754" s="8" t="inlineStr">
        <is>
          <t>rod</t>
        </is>
      </c>
      <c r="C2754" s="8" t="inlineStr">
        <is>
          <t>nga</t>
        </is>
      </c>
      <c r="D2754" s="8" t="inlineStr">
        <is>
          <t>oc</t>
        </is>
      </c>
      <c r="E2754" s="3" t="str">
        <f>CodePrefix&amp;"ef."&amp;$A2754</f>
        <v>egy.mit.ef.rod.nga.oc</v>
      </c>
      <c r="F2754" s="3" t="str">
        <f>CtryReg&amp;".mit.ef."&amp;$A2754</f>
        <v>mea.mit.ef.rod.nga.oc</v>
      </c>
      <c r="G2754" s="3" t="str">
        <f>"wld.mit.ef."&amp;$A2754</f>
        <v>wld.mit.ef.rod.nga.oc</v>
      </c>
      <c r="H2754" s="3" t="inlineStr">
        <is>
          <t>egy.mit.ef.rod.nga.oc</t>
        </is>
      </c>
      <c r="I2754" s="236" t="n">
        <v>0.0285874704</v>
      </c>
      <c r="J2754" s="236" t="n">
        <v>0.0230567076</v>
      </c>
    </row>
    <row r="2755">
      <c r="A2755" s="3" t="str">
        <f>$B2755&amp;"."&amp;$C2755&amp;"."&amp;$D2755</f>
        <v>ral.die.oc</v>
      </c>
      <c r="B2755" s="8" t="inlineStr">
        <is>
          <t>ral</t>
        </is>
      </c>
      <c r="C2755" s="8" t="inlineStr">
        <is>
          <t>die</t>
        </is>
      </c>
      <c r="D2755" s="8" t="inlineStr">
        <is>
          <t>oc</t>
        </is>
      </c>
      <c r="E2755" s="3" t="str">
        <f>CodePrefix&amp;"ef."&amp;$A2755</f>
        <v>egy.mit.ef.ral.die.oc</v>
      </c>
      <c r="F2755" s="3" t="str">
        <f>CtryReg&amp;".mit.ef."&amp;$A2755</f>
        <v>mea.mit.ef.ral.die.oc</v>
      </c>
      <c r="G2755" s="3" t="str">
        <f>"wld.mit.ef."&amp;$A2755</f>
        <v>wld.mit.ef.ral.die.oc</v>
      </c>
      <c r="H2755" s="3" t="inlineStr">
        <is>
          <t>mea.mit.ef.ral.die.oc</t>
        </is>
      </c>
      <c r="I2755" s="236" t="n">
        <v>1.04963076</v>
      </c>
      <c r="J2755" s="236" t="n">
        <v>1.04963076</v>
      </c>
    </row>
    <row r="2756">
      <c r="A2756" s="3" t="str">
        <f>$B2756&amp;"."&amp;$C2756&amp;"."&amp;$D2756</f>
        <v>avi.jfu.oc</v>
      </c>
      <c r="B2756" s="8" t="inlineStr">
        <is>
          <t>avi</t>
        </is>
      </c>
      <c r="C2756" s="8" t="inlineStr">
        <is>
          <t>jfu</t>
        </is>
      </c>
      <c r="D2756" s="8" t="inlineStr">
        <is>
          <t>oc</t>
        </is>
      </c>
      <c r="E2756" s="3" t="str">
        <f>CodePrefix&amp;"ef."&amp;$A2756</f>
        <v>egy.mit.ef.avi.jfu.oc</v>
      </c>
      <c r="F2756" s="3" t="str">
        <f>CtryReg&amp;".mit.ef."&amp;$A2756</f>
        <v>mea.mit.ef.avi.jfu.oc</v>
      </c>
      <c r="G2756" s="3" t="str">
        <f>"wld.mit.ef."&amp;$A2756</f>
        <v>wld.mit.ef.avi.jfu.oc</v>
      </c>
      <c r="H2756" s="3" t="inlineStr">
        <is>
          <t>egy.mit.ef.avi.jfu.oc</t>
        </is>
      </c>
      <c r="I2756" s="236" t="n">
        <v>0.00900162</v>
      </c>
      <c r="J2756" s="236" t="n">
        <v>0.00900162</v>
      </c>
    </row>
    <row r="2757">
      <c r="A2757" s="3" t="str">
        <f>$B2757&amp;"."&amp;$C2757&amp;"."&amp;$D2757</f>
        <v>res.coa.oc</v>
      </c>
      <c r="B2757" s="8" t="inlineStr">
        <is>
          <t>res</t>
        </is>
      </c>
      <c r="C2757" s="8" t="inlineStr">
        <is>
          <t>coa</t>
        </is>
      </c>
      <c r="D2757" s="8" t="inlineStr">
        <is>
          <t>oc</t>
        </is>
      </c>
      <c r="E2757" s="3" t="str">
        <f>CodePrefix&amp;"ef."&amp;$A2757</f>
        <v>egy.mit.ef.res.coa.oc</v>
      </c>
      <c r="F2757" s="3" t="str">
        <f>CtryReg&amp;".mit.ef."&amp;$A2757</f>
        <v>mea.mit.ef.res.coa.oc</v>
      </c>
      <c r="G2757" s="3" t="str">
        <f>"wld.mit.ef."&amp;$A2757</f>
        <v>wld.mit.ef.res.coa.oc</v>
      </c>
      <c r="H2757" s="3" t="inlineStr">
        <is>
          <t>mea.mit.ef.res.coa.oc</t>
        </is>
      </c>
      <c r="I2757" s="236" t="n">
        <v>6.436283904000001</v>
      </c>
      <c r="J2757" s="236" t="n">
        <v>6.436283904000001</v>
      </c>
    </row>
    <row r="2758">
      <c r="A2758" s="3" t="str">
        <f>$B2758&amp;"."&amp;$C2758&amp;"."&amp;$D2758</f>
        <v>res.nga.oc</v>
      </c>
      <c r="B2758" s="8" t="inlineStr">
        <is>
          <t>res</t>
        </is>
      </c>
      <c r="C2758" s="8" t="inlineStr">
        <is>
          <t>nga</t>
        </is>
      </c>
      <c r="D2758" s="8" t="inlineStr">
        <is>
          <t>oc</t>
        </is>
      </c>
      <c r="E2758" s="3" t="str">
        <f>CodePrefix&amp;"ef."&amp;$A2758</f>
        <v>egy.mit.ef.res.nga.oc</v>
      </c>
      <c r="F2758" s="3" t="str">
        <f>CtryReg&amp;".mit.ef."&amp;$A2758</f>
        <v>mea.mit.ef.res.nga.oc</v>
      </c>
      <c r="G2758" s="3" t="str">
        <f>"wld.mit.ef."&amp;$A2758</f>
        <v>wld.mit.ef.res.nga.oc</v>
      </c>
      <c r="H2758" s="3" t="inlineStr">
        <is>
          <t>egy.mit.ef.res.nga.oc</t>
        </is>
      </c>
      <c r="I2758" s="236" t="n">
        <v>0.0031401</v>
      </c>
      <c r="J2758" s="236" t="n">
        <v>0.0031401</v>
      </c>
    </row>
    <row r="2759">
      <c r="A2759" s="3" t="str">
        <f>$B2759&amp;"."&amp;$C2759&amp;"."&amp;$D2759</f>
        <v>res.oop.oc</v>
      </c>
      <c r="B2759" s="8" t="inlineStr">
        <is>
          <t>res</t>
        </is>
      </c>
      <c r="C2759" s="8" t="inlineStr">
        <is>
          <t>oop</t>
        </is>
      </c>
      <c r="D2759" s="8" t="inlineStr">
        <is>
          <t>oc</t>
        </is>
      </c>
      <c r="E2759" s="3" t="str">
        <f>CodePrefix&amp;"ef."&amp;$A2759</f>
        <v>egy.mit.ef.res.oop.oc</v>
      </c>
      <c r="F2759" s="3" t="str">
        <f>CtryReg&amp;".mit.ef."&amp;$A2759</f>
        <v>mea.mit.ef.res.oop.oc</v>
      </c>
      <c r="G2759" s="3" t="str">
        <f>"wld.mit.ef."&amp;$A2759</f>
        <v>wld.mit.ef.res.oop.oc</v>
      </c>
      <c r="H2759" s="3" t="inlineStr">
        <is>
          <t>wld.mit.ef.res.oop.oc</t>
        </is>
      </c>
      <c r="I2759" s="236" t="n">
        <v>0</v>
      </c>
      <c r="J2759" s="236" t="n">
        <v>0</v>
      </c>
    </row>
    <row r="2760">
      <c r="A2760" s="3" t="str">
        <f>$B2760&amp;"."&amp;$C2760&amp;"."&amp;$D2760</f>
        <v>res.lpg.oc</v>
      </c>
      <c r="B2760" s="8" t="inlineStr">
        <is>
          <t>res</t>
        </is>
      </c>
      <c r="C2760" s="8" t="inlineStr">
        <is>
          <t>lpg</t>
        </is>
      </c>
      <c r="D2760" s="8" t="inlineStr">
        <is>
          <t>oc</t>
        </is>
      </c>
      <c r="E2760" s="3" t="str">
        <f>CodePrefix&amp;"ef."&amp;$A2760</f>
        <v>egy.mit.ef.res.lpg.oc</v>
      </c>
      <c r="F2760" s="3" t="str">
        <f>CtryReg&amp;".mit.ef."&amp;$A2760</f>
        <v>mea.mit.ef.res.lpg.oc</v>
      </c>
      <c r="G2760" s="3" t="str">
        <f>"wld.mit.ef."&amp;$A2760</f>
        <v>wld.mit.ef.res.lpg.oc</v>
      </c>
      <c r="H2760" s="3" t="inlineStr">
        <is>
          <t>wld.mit.ef.res.lpg.oc</t>
        </is>
      </c>
      <c r="I2760" s="236" t="n">
        <v>0</v>
      </c>
      <c r="J2760" s="236" t="n">
        <v>0</v>
      </c>
    </row>
    <row r="2761">
      <c r="A2761" s="3" t="str">
        <f>$B2761&amp;"."&amp;$C2761&amp;"."&amp;$D2761</f>
        <v>res.ker.oc</v>
      </c>
      <c r="B2761" s="8" t="inlineStr">
        <is>
          <t>res</t>
        </is>
      </c>
      <c r="C2761" s="8" t="inlineStr">
        <is>
          <t>ker</t>
        </is>
      </c>
      <c r="D2761" s="8" t="inlineStr">
        <is>
          <t>oc</t>
        </is>
      </c>
      <c r="E2761" s="3" t="str">
        <f>CodePrefix&amp;"ef."&amp;$A2761</f>
        <v>egy.mit.ef.res.ker.oc</v>
      </c>
      <c r="F2761" s="3" t="str">
        <f>CtryReg&amp;".mit.ef."&amp;$A2761</f>
        <v>mea.mit.ef.res.ker.oc</v>
      </c>
      <c r="G2761" s="3" t="str">
        <f>"wld.mit.ef."&amp;$A2761</f>
        <v>wld.mit.ef.res.ker.oc</v>
      </c>
      <c r="H2761" s="3" t="inlineStr">
        <is>
          <t>mea.mit.ef.res.ker.oc</t>
        </is>
      </c>
      <c r="I2761" s="236" t="n">
        <v>0.1791824796</v>
      </c>
      <c r="J2761" s="236" t="n">
        <v>0.1733083992</v>
      </c>
    </row>
    <row r="2762">
      <c r="A2762" s="3" t="str">
        <f>$B2762&amp;"."&amp;$C2762&amp;"."&amp;$D2762</f>
        <v>res.bio.oc</v>
      </c>
      <c r="B2762" s="8" t="inlineStr">
        <is>
          <t>res</t>
        </is>
      </c>
      <c r="C2762" s="8" t="inlineStr">
        <is>
          <t>bio</t>
        </is>
      </c>
      <c r="D2762" s="8" t="inlineStr">
        <is>
          <t>oc</t>
        </is>
      </c>
      <c r="E2762" s="3" t="str">
        <f>CodePrefix&amp;"ef."&amp;$A2762</f>
        <v>egy.mit.ef.res.bio.oc</v>
      </c>
      <c r="F2762" s="3" t="str">
        <f>CtryReg&amp;".mit.ef."&amp;$A2762</f>
        <v>mea.mit.ef.res.bio.oc</v>
      </c>
      <c r="G2762" s="3" t="str">
        <f>"wld.mit.ef."&amp;$A2762</f>
        <v>wld.mit.ef.res.bio.oc</v>
      </c>
      <c r="H2762" s="3" t="inlineStr">
        <is>
          <t>egy.mit.ef.res.bio.oc</t>
        </is>
      </c>
      <c r="I2762" s="236" t="n">
        <v>8.7955624512</v>
      </c>
      <c r="J2762" s="236" t="n">
        <v>7.1112798</v>
      </c>
    </row>
    <row r="2763">
      <c r="A2763" s="3" t="str">
        <f>$B2763&amp;"."&amp;$C2763&amp;"."&amp;$D2763</f>
        <v>cst.coa.oc</v>
      </c>
      <c r="B2763" s="8" t="inlineStr">
        <is>
          <t>cst</t>
        </is>
      </c>
      <c r="C2763" s="8" t="inlineStr">
        <is>
          <t>coa</t>
        </is>
      </c>
      <c r="D2763" s="8" t="inlineStr">
        <is>
          <t>oc</t>
        </is>
      </c>
      <c r="E2763" s="3" t="str">
        <f>CodePrefix&amp;"ef."&amp;$A2763</f>
        <v>egy.mit.ef.cst.coa.oc</v>
      </c>
      <c r="F2763" s="3" t="str">
        <f>CtryReg&amp;".mit.ef."&amp;$A2763</f>
        <v>mea.mit.ef.cst.coa.oc</v>
      </c>
      <c r="G2763" s="3" t="str">
        <f>"wld.mit.ef."&amp;$A2763</f>
        <v>wld.mit.ef.cst.coa.oc</v>
      </c>
      <c r="H2763" s="3" t="inlineStr">
        <is>
          <t>wld.mit.ef.cst.coa.oc</t>
        </is>
      </c>
      <c r="I2763" s="236" t="n">
        <v>0</v>
      </c>
      <c r="J2763" s="236" t="n">
        <v>0</v>
      </c>
    </row>
    <row r="2764">
      <c r="A2764" s="3" t="str">
        <f>$B2764&amp;"."&amp;$C2764&amp;"."&amp;$D2764</f>
        <v>cst.nga.oc</v>
      </c>
      <c r="B2764" s="8" t="inlineStr">
        <is>
          <t>cst</t>
        </is>
      </c>
      <c r="C2764" s="8" t="inlineStr">
        <is>
          <t>nga</t>
        </is>
      </c>
      <c r="D2764" s="8" t="inlineStr">
        <is>
          <t>oc</t>
        </is>
      </c>
      <c r="E2764" s="3" t="str">
        <f>CodePrefix&amp;"ef."&amp;$A2764</f>
        <v>egy.mit.ef.cst.nga.oc</v>
      </c>
      <c r="F2764" s="3" t="str">
        <f>CtryReg&amp;".mit.ef."&amp;$A2764</f>
        <v>mea.mit.ef.cst.nga.oc</v>
      </c>
      <c r="G2764" s="3" t="str">
        <f>"wld.mit.ef."&amp;$A2764</f>
        <v>wld.mit.ef.cst.nga.oc</v>
      </c>
      <c r="H2764" s="3" t="inlineStr">
        <is>
          <t>wld.mit.ef.cst.nga.oc</t>
        </is>
      </c>
      <c r="I2764" s="236" t="n">
        <v>0</v>
      </c>
      <c r="J2764" s="236" t="n">
        <v>0</v>
      </c>
    </row>
    <row r="2765">
      <c r="A2765" s="3" t="str">
        <f>$B2765&amp;"."&amp;$C2765&amp;"."&amp;$D2765</f>
        <v>cst.oop.oc</v>
      </c>
      <c r="B2765" s="8" t="inlineStr">
        <is>
          <t>cst</t>
        </is>
      </c>
      <c r="C2765" s="8" t="inlineStr">
        <is>
          <t>oop</t>
        </is>
      </c>
      <c r="D2765" s="8" t="inlineStr">
        <is>
          <t>oc</t>
        </is>
      </c>
      <c r="E2765" s="3" t="str">
        <f>CodePrefix&amp;"ef."&amp;$A2765</f>
        <v>egy.mit.ef.cst.oop.oc</v>
      </c>
      <c r="F2765" s="3" t="str">
        <f>CtryReg&amp;".mit.ef."&amp;$A2765</f>
        <v>mea.mit.ef.cst.oop.oc</v>
      </c>
      <c r="G2765" s="3" t="str">
        <f>"wld.mit.ef."&amp;$A2765</f>
        <v>wld.mit.ef.cst.oop.oc</v>
      </c>
      <c r="H2765" s="3" t="inlineStr">
        <is>
          <t>wld.mit.ef.cst.oop.oc</t>
        </is>
      </c>
      <c r="I2765" s="236" t="n">
        <v>0</v>
      </c>
      <c r="J2765" s="236" t="n">
        <v>0</v>
      </c>
    </row>
    <row r="2766">
      <c r="A2766" s="3" t="str">
        <f>$B2766&amp;"."&amp;$C2766&amp;"."&amp;$D2766</f>
        <v>cst.gso.oc</v>
      </c>
      <c r="B2766" s="8" t="inlineStr">
        <is>
          <t>cst</t>
        </is>
      </c>
      <c r="C2766" s="8" t="inlineStr">
        <is>
          <t>gso</t>
        </is>
      </c>
      <c r="D2766" s="8" t="inlineStr">
        <is>
          <t>oc</t>
        </is>
      </c>
      <c r="E2766" s="3" t="str">
        <f>CodePrefix&amp;"ef."&amp;$A2766</f>
        <v>egy.mit.ef.cst.gso.oc</v>
      </c>
      <c r="F2766" s="3" t="str">
        <f>CtryReg&amp;".mit.ef."&amp;$A2766</f>
        <v>mea.mit.ef.cst.gso.oc</v>
      </c>
      <c r="G2766" s="3" t="str">
        <f>"wld.mit.ef."&amp;$A2766</f>
        <v>wld.mit.ef.cst.gso.oc</v>
      </c>
      <c r="H2766" s="3" t="inlineStr">
        <is>
          <t>egy.mit.ef.cst.gso.oc</t>
        </is>
      </c>
      <c r="I2766" s="236" t="n">
        <v>0.7075692</v>
      </c>
      <c r="J2766" s="236" t="n">
        <v>0.7075692</v>
      </c>
    </row>
    <row r="2767">
      <c r="A2767" s="3" t="str">
        <f>$B2767&amp;"."&amp;$C2767&amp;"."&amp;$D2767</f>
        <v>cst.die.oc</v>
      </c>
      <c r="B2767" s="8" t="inlineStr">
        <is>
          <t>cst</t>
        </is>
      </c>
      <c r="C2767" s="8" t="inlineStr">
        <is>
          <t>die</t>
        </is>
      </c>
      <c r="D2767" s="8" t="inlineStr">
        <is>
          <t>oc</t>
        </is>
      </c>
      <c r="E2767" s="3" t="str">
        <f>CodePrefix&amp;"ef."&amp;$A2767</f>
        <v>egy.mit.ef.cst.die.oc</v>
      </c>
      <c r="F2767" s="3" t="str">
        <f>CtryReg&amp;".mit.ef."&amp;$A2767</f>
        <v>mea.mit.ef.cst.die.oc</v>
      </c>
      <c r="G2767" s="3" t="str">
        <f>"wld.mit.ef."&amp;$A2767</f>
        <v>wld.mit.ef.cst.die.oc</v>
      </c>
      <c r="H2767" s="3" t="inlineStr">
        <is>
          <t>egy.mit.ef.cst.die.oc</t>
        </is>
      </c>
      <c r="I2767" s="236" t="n">
        <v>1.14215904</v>
      </c>
      <c r="J2767" s="236" t="n">
        <v>1.14215904</v>
      </c>
    </row>
    <row r="2768">
      <c r="A2768" s="3" t="str">
        <f>$B2768&amp;"."&amp;$C2768&amp;"."&amp;$D2768</f>
        <v>cst.lpg.oc</v>
      </c>
      <c r="B2768" s="8" t="inlineStr">
        <is>
          <t>cst</t>
        </is>
      </c>
      <c r="C2768" s="8" t="inlineStr">
        <is>
          <t>lpg</t>
        </is>
      </c>
      <c r="D2768" s="8" t="inlineStr">
        <is>
          <t>oc</t>
        </is>
      </c>
      <c r="E2768" s="3" t="str">
        <f>CodePrefix&amp;"ef."&amp;$A2768</f>
        <v>egy.mit.ef.cst.lpg.oc</v>
      </c>
      <c r="F2768" s="3" t="str">
        <f>CtryReg&amp;".mit.ef."&amp;$A2768</f>
        <v>mea.mit.ef.cst.lpg.oc</v>
      </c>
      <c r="G2768" s="3" t="str">
        <f>"wld.mit.ef."&amp;$A2768</f>
        <v>wld.mit.ef.cst.lpg.oc</v>
      </c>
      <c r="H2768" s="3" t="inlineStr">
        <is>
          <t>egy.mit.ef.cst.lpg.oc</t>
        </is>
      </c>
      <c r="I2768" s="236" t="n">
        <v>0.7075692</v>
      </c>
      <c r="J2768" s="236" t="n">
        <v>0.7075692</v>
      </c>
    </row>
    <row r="2769">
      <c r="A2769" s="3" t="str">
        <f>$B2769&amp;"."&amp;$C2769&amp;"."&amp;$D2769</f>
        <v>cst.ker.oc</v>
      </c>
      <c r="B2769" s="8" t="inlineStr">
        <is>
          <t>cst</t>
        </is>
      </c>
      <c r="C2769" s="8" t="inlineStr">
        <is>
          <t>ker</t>
        </is>
      </c>
      <c r="D2769" s="8" t="inlineStr">
        <is>
          <t>oc</t>
        </is>
      </c>
      <c r="E2769" s="3" t="str">
        <f>CodePrefix&amp;"ef."&amp;$A2769</f>
        <v>egy.mit.ef.cst.ker.oc</v>
      </c>
      <c r="F2769" s="3" t="str">
        <f>CtryReg&amp;".mit.ef."&amp;$A2769</f>
        <v>mea.mit.ef.cst.ker.oc</v>
      </c>
      <c r="G2769" s="3" t="str">
        <f>"wld.mit.ef."&amp;$A2769</f>
        <v>wld.mit.ef.cst.ker.oc</v>
      </c>
      <c r="H2769" s="3" t="inlineStr">
        <is>
          <t>egy.mit.ef.cst.ker.oc</t>
        </is>
      </c>
      <c r="I2769" s="236" t="n">
        <v>0.7075692</v>
      </c>
      <c r="J2769" s="236" t="n">
        <v>0.7075692</v>
      </c>
    </row>
    <row r="2770">
      <c r="A2770" s="3" t="str">
        <f>$B2770&amp;"."&amp;$C2770&amp;"."&amp;$D2770</f>
        <v>cst.bio.oc</v>
      </c>
      <c r="B2770" s="8" t="inlineStr">
        <is>
          <t>cst</t>
        </is>
      </c>
      <c r="C2770" s="8" t="inlineStr">
        <is>
          <t>bio</t>
        </is>
      </c>
      <c r="D2770" s="8" t="inlineStr">
        <is>
          <t>oc</t>
        </is>
      </c>
      <c r="E2770" s="3" t="str">
        <f>CodePrefix&amp;"ef."&amp;$A2770</f>
        <v>egy.mit.ef.cst.bio.oc</v>
      </c>
      <c r="F2770" s="3" t="str">
        <f>CtryReg&amp;".mit.ef."&amp;$A2770</f>
        <v>mea.mit.ef.cst.bio.oc</v>
      </c>
      <c r="G2770" s="3" t="str">
        <f>"wld.mit.ef."&amp;$A2770</f>
        <v>wld.mit.ef.cst.bio.oc</v>
      </c>
      <c r="H2770" s="3" t="inlineStr">
        <is>
          <t>wld.mit.ef.cst.bio.oc</t>
        </is>
      </c>
      <c r="I2770" s="236" t="n">
        <v>0</v>
      </c>
      <c r="J2770" s="236" t="n">
        <v>0</v>
      </c>
    </row>
    <row r="2771">
      <c r="A2771" s="3" t="str">
        <f>$B2771&amp;"."&amp;$C2771&amp;"."&amp;$D2771</f>
        <v>srv.coa.oc</v>
      </c>
      <c r="B2771" s="8" t="inlineStr">
        <is>
          <t>srv</t>
        </is>
      </c>
      <c r="C2771" s="8" t="inlineStr">
        <is>
          <t>coa</t>
        </is>
      </c>
      <c r="D2771" s="8" t="inlineStr">
        <is>
          <t>oc</t>
        </is>
      </c>
      <c r="E2771" s="3" t="str">
        <f>CodePrefix&amp;"ef."&amp;$A2771</f>
        <v>egy.mit.ef.srv.coa.oc</v>
      </c>
      <c r="F2771" s="3" t="str">
        <f>CtryReg&amp;".mit.ef."&amp;$A2771</f>
        <v>mea.mit.ef.srv.coa.oc</v>
      </c>
      <c r="G2771" s="3" t="str">
        <f>"wld.mit.ef."&amp;$A2771</f>
        <v>wld.mit.ef.srv.coa.oc</v>
      </c>
      <c r="H2771" s="3" t="inlineStr">
        <is>
          <t>wld.mit.ef.srv.coa.oc</t>
        </is>
      </c>
      <c r="I2771" s="236" t="n">
        <v>0</v>
      </c>
      <c r="J2771" s="236" t="n">
        <v>0</v>
      </c>
    </row>
    <row r="2772">
      <c r="A2772" s="3" t="str">
        <f>$B2772&amp;"."&amp;$C2772&amp;"."&amp;$D2772</f>
        <v>srv.nga.oc</v>
      </c>
      <c r="B2772" s="8" t="inlineStr">
        <is>
          <t>srv</t>
        </is>
      </c>
      <c r="C2772" s="8" t="inlineStr">
        <is>
          <t>nga</t>
        </is>
      </c>
      <c r="D2772" s="8" t="inlineStr">
        <is>
          <t>oc</t>
        </is>
      </c>
      <c r="E2772" s="3" t="str">
        <f>CodePrefix&amp;"ef."&amp;$A2772</f>
        <v>egy.mit.ef.srv.nga.oc</v>
      </c>
      <c r="F2772" s="3" t="str">
        <f>CtryReg&amp;".mit.ef."&amp;$A2772</f>
        <v>mea.mit.ef.srv.nga.oc</v>
      </c>
      <c r="G2772" s="3" t="str">
        <f>"wld.mit.ef."&amp;$A2772</f>
        <v>wld.mit.ef.srv.nga.oc</v>
      </c>
      <c r="H2772" s="3" t="inlineStr">
        <is>
          <t>mea.mit.ef.srv.nga.oc</t>
        </is>
      </c>
      <c r="I2772" s="236" t="n">
        <v>0.0031401</v>
      </c>
      <c r="J2772" s="236" t="n">
        <v>0.0031401</v>
      </c>
    </row>
    <row r="2773">
      <c r="A2773" s="3" t="str">
        <f>$B2773&amp;"."&amp;$C2773&amp;"."&amp;$D2773</f>
        <v>srv.oop.oc</v>
      </c>
      <c r="B2773" s="8" t="inlineStr">
        <is>
          <t>srv</t>
        </is>
      </c>
      <c r="C2773" s="8" t="inlineStr">
        <is>
          <t>oop</t>
        </is>
      </c>
      <c r="D2773" s="8" t="inlineStr">
        <is>
          <t>oc</t>
        </is>
      </c>
      <c r="E2773" s="3" t="str">
        <f>CodePrefix&amp;"ef."&amp;$A2773</f>
        <v>egy.mit.ef.srv.oop.oc</v>
      </c>
      <c r="F2773" s="3" t="str">
        <f>CtryReg&amp;".mit.ef."&amp;$A2773</f>
        <v>mea.mit.ef.srv.oop.oc</v>
      </c>
      <c r="G2773" s="3" t="str">
        <f>"wld.mit.ef."&amp;$A2773</f>
        <v>wld.mit.ef.srv.oop.oc</v>
      </c>
      <c r="H2773" s="3" t="inlineStr">
        <is>
          <t>mea.mit.ef.srv.oop.oc</t>
        </is>
      </c>
      <c r="I2773" s="236" t="n">
        <v>0.015512094</v>
      </c>
      <c r="J2773" s="236" t="n">
        <v>0.015114348</v>
      </c>
    </row>
    <row r="2774">
      <c r="A2774" s="3" t="str">
        <f>$B2774&amp;"."&amp;$C2774&amp;"."&amp;$D2774</f>
        <v>srv.gso.oc</v>
      </c>
      <c r="B2774" s="8" t="inlineStr">
        <is>
          <t>srv</t>
        </is>
      </c>
      <c r="C2774" s="8" t="inlineStr">
        <is>
          <t>gso</t>
        </is>
      </c>
      <c r="D2774" s="8" t="inlineStr">
        <is>
          <t>oc</t>
        </is>
      </c>
      <c r="E2774" s="3" t="str">
        <f>CodePrefix&amp;"ef."&amp;$A2774</f>
        <v>egy.mit.ef.srv.gso.oc</v>
      </c>
      <c r="F2774" s="3" t="str">
        <f>CtryReg&amp;".mit.ef."&amp;$A2774</f>
        <v>mea.mit.ef.srv.gso.oc</v>
      </c>
      <c r="G2774" s="3" t="str">
        <f>"wld.mit.ef."&amp;$A2774</f>
        <v>wld.mit.ef.srv.gso.oc</v>
      </c>
      <c r="H2774" s="3" t="inlineStr">
        <is>
          <t>mea.mit.ef.srv.gso.oc</t>
        </is>
      </c>
      <c r="I2774" s="236" t="n">
        <v>0.0031401</v>
      </c>
      <c r="J2774" s="236" t="n">
        <v>0.0031401</v>
      </c>
    </row>
    <row r="2775">
      <c r="A2775" s="3" t="str">
        <f>$B2775&amp;"."&amp;$C2775&amp;"."&amp;$D2775</f>
        <v>srv.die.oc</v>
      </c>
      <c r="B2775" s="8" t="inlineStr">
        <is>
          <t>srv</t>
        </is>
      </c>
      <c r="C2775" s="8" t="inlineStr">
        <is>
          <t>die</t>
        </is>
      </c>
      <c r="D2775" s="8" t="inlineStr">
        <is>
          <t>oc</t>
        </is>
      </c>
      <c r="E2775" s="3" t="str">
        <f>CodePrefix&amp;"ef."&amp;$A2775</f>
        <v>egy.mit.ef.srv.die.oc</v>
      </c>
      <c r="F2775" s="3" t="str">
        <f>CtryReg&amp;".mit.ef."&amp;$A2775</f>
        <v>mea.mit.ef.srv.die.oc</v>
      </c>
      <c r="G2775" s="3" t="str">
        <f>"wld.mit.ef."&amp;$A2775</f>
        <v>wld.mit.ef.srv.die.oc</v>
      </c>
      <c r="H2775" s="3" t="inlineStr">
        <is>
          <t>mea.mit.ef.srv.die.oc</t>
        </is>
      </c>
      <c r="I2775" s="236" t="n">
        <v>0.0054554004</v>
      </c>
      <c r="J2775" s="236" t="n">
        <v>0.005317236</v>
      </c>
    </row>
    <row r="2776">
      <c r="A2776" s="3" t="str">
        <f>$B2776&amp;"."&amp;$C2776&amp;"."&amp;$D2776</f>
        <v>srv.lpg.oc</v>
      </c>
      <c r="B2776" s="8" t="inlineStr">
        <is>
          <t>srv</t>
        </is>
      </c>
      <c r="C2776" s="8" t="inlineStr">
        <is>
          <t>lpg</t>
        </is>
      </c>
      <c r="D2776" s="8" t="inlineStr">
        <is>
          <t>oc</t>
        </is>
      </c>
      <c r="E2776" s="3" t="str">
        <f>CodePrefix&amp;"ef."&amp;$A2776</f>
        <v>egy.mit.ef.srv.lpg.oc</v>
      </c>
      <c r="F2776" s="3" t="str">
        <f>CtryReg&amp;".mit.ef."&amp;$A2776</f>
        <v>mea.mit.ef.srv.lpg.oc</v>
      </c>
      <c r="G2776" s="3" t="str">
        <f>"wld.mit.ef."&amp;$A2776</f>
        <v>wld.mit.ef.srv.lpg.oc</v>
      </c>
      <c r="H2776" s="3" t="inlineStr">
        <is>
          <t>wld.mit.ef.srv.lpg.oc</t>
        </is>
      </c>
      <c r="I2776" s="236" t="n">
        <v>0</v>
      </c>
      <c r="J2776" s="236" t="n">
        <v>0</v>
      </c>
    </row>
    <row r="2777">
      <c r="A2777" s="3" t="str">
        <f>$B2777&amp;"."&amp;$C2777&amp;"."&amp;$D2777</f>
        <v>srv.ker.oc</v>
      </c>
      <c r="B2777" s="8" t="inlineStr">
        <is>
          <t>srv</t>
        </is>
      </c>
      <c r="C2777" s="8" t="inlineStr">
        <is>
          <t>ker</t>
        </is>
      </c>
      <c r="D2777" s="8" t="inlineStr">
        <is>
          <t>oc</t>
        </is>
      </c>
      <c r="E2777" s="3" t="str">
        <f>CodePrefix&amp;"ef."&amp;$A2777</f>
        <v>egy.mit.ef.srv.ker.oc</v>
      </c>
      <c r="F2777" s="3" t="str">
        <f>CtryReg&amp;".mit.ef."&amp;$A2777</f>
        <v>mea.mit.ef.srv.ker.oc</v>
      </c>
      <c r="G2777" s="3" t="str">
        <f>"wld.mit.ef."&amp;$A2777</f>
        <v>wld.mit.ef.srv.ker.oc</v>
      </c>
      <c r="H2777" s="3" t="inlineStr">
        <is>
          <t>mea.mit.ef.srv.ker.oc</t>
        </is>
      </c>
      <c r="I2777" s="236" t="n">
        <v>0.0031401</v>
      </c>
      <c r="J2777" s="236" t="n">
        <v>0.0031401</v>
      </c>
    </row>
    <row r="2778">
      <c r="A2778" s="3" t="str">
        <f>$B2778&amp;"."&amp;$C2778&amp;"."&amp;$D2778</f>
        <v>srv.bio.oc</v>
      </c>
      <c r="B2778" s="8" t="inlineStr">
        <is>
          <t>srv</t>
        </is>
      </c>
      <c r="C2778" s="8" t="inlineStr">
        <is>
          <t>bio</t>
        </is>
      </c>
      <c r="D2778" s="8" t="inlineStr">
        <is>
          <t>oc</t>
        </is>
      </c>
      <c r="E2778" s="3" t="str">
        <f>CodePrefix&amp;"ef."&amp;$A2778</f>
        <v>egy.mit.ef.srv.bio.oc</v>
      </c>
      <c r="F2778" s="3" t="str">
        <f>CtryReg&amp;".mit.ef."&amp;$A2778</f>
        <v>mea.mit.ef.srv.bio.oc</v>
      </c>
      <c r="G2778" s="3" t="str">
        <f>"wld.mit.ef."&amp;$A2778</f>
        <v>wld.mit.ef.srv.bio.oc</v>
      </c>
      <c r="H2778" s="3" t="inlineStr">
        <is>
          <t>mea.mit.ef.srv.bio.oc</t>
        </is>
      </c>
      <c r="I2778" s="236" t="n">
        <v>3.418689672</v>
      </c>
      <c r="J2778" s="236" t="n">
        <v>2.5743502764</v>
      </c>
    </row>
    <row r="2779">
      <c r="A2779" s="3" t="str">
        <f>$B2779&amp;"."&amp;$C2779&amp;"."&amp;$D2779</f>
        <v>mnf.coa.oc</v>
      </c>
      <c r="B2779" s="8" t="inlineStr">
        <is>
          <t>mnf</t>
        </is>
      </c>
      <c r="C2779" s="8" t="inlineStr">
        <is>
          <t>coa</t>
        </is>
      </c>
      <c r="D2779" s="8" t="inlineStr">
        <is>
          <t>oc</t>
        </is>
      </c>
      <c r="E2779" s="3" t="str">
        <f>CodePrefix&amp;"ef."&amp;$A2779</f>
        <v>egy.mit.ef.mnf.coa.oc</v>
      </c>
      <c r="F2779" s="3" t="str">
        <f>CtryReg&amp;".mit.ef."&amp;$A2779</f>
        <v>mea.mit.ef.mnf.coa.oc</v>
      </c>
      <c r="G2779" s="3" t="str">
        <f>"wld.mit.ef."&amp;$A2779</f>
        <v>wld.mit.ef.mnf.coa.oc</v>
      </c>
      <c r="H2779" s="3" t="inlineStr">
        <is>
          <t>mea.mit.ef.mnf.coa.oc</t>
        </is>
      </c>
      <c r="I2779" s="236" t="n">
        <v>0.0018673128</v>
      </c>
      <c r="J2779" s="236" t="n">
        <v>0.000565218</v>
      </c>
    </row>
    <row r="2780">
      <c r="A2780" s="3" t="str">
        <f>$B2780&amp;"."&amp;$C2780&amp;"."&amp;$D2780</f>
        <v>mnf.nga.oc</v>
      </c>
      <c r="B2780" s="8" t="inlineStr">
        <is>
          <t>mnf</t>
        </is>
      </c>
      <c r="C2780" s="8" t="inlineStr">
        <is>
          <t>nga</t>
        </is>
      </c>
      <c r="D2780" s="8" t="inlineStr">
        <is>
          <t>oc</t>
        </is>
      </c>
      <c r="E2780" s="3" t="str">
        <f>CodePrefix&amp;"ef."&amp;$A2780</f>
        <v>egy.mit.ef.mnf.nga.oc</v>
      </c>
      <c r="F2780" s="3" t="str">
        <f>CtryReg&amp;".mit.ef."&amp;$A2780</f>
        <v>mea.mit.ef.mnf.nga.oc</v>
      </c>
      <c r="G2780" s="3" t="str">
        <f>"wld.mit.ef."&amp;$A2780</f>
        <v>wld.mit.ef.mnf.nga.oc</v>
      </c>
      <c r="H2780" s="3" t="inlineStr">
        <is>
          <t>egy.mit.ef.mnf.nga.oc</t>
        </is>
      </c>
      <c r="I2780" s="236" t="n">
        <v>0.0031401</v>
      </c>
      <c r="J2780" s="236" t="n">
        <v>0.0031401</v>
      </c>
    </row>
    <row r="2781">
      <c r="A2781" s="3" t="str">
        <f>$B2781&amp;"."&amp;$C2781&amp;"."&amp;$D2781</f>
        <v>mnf.oop.oc</v>
      </c>
      <c r="B2781" s="8" t="inlineStr">
        <is>
          <t>mnf</t>
        </is>
      </c>
      <c r="C2781" s="8" t="inlineStr">
        <is>
          <t>oop</t>
        </is>
      </c>
      <c r="D2781" s="8" t="inlineStr">
        <is>
          <t>oc</t>
        </is>
      </c>
      <c r="E2781" s="3" t="str">
        <f>CodePrefix&amp;"ef."&amp;$A2781</f>
        <v>egy.mit.ef.mnf.oop.oc</v>
      </c>
      <c r="F2781" s="3" t="str">
        <f>CtryReg&amp;".mit.ef."&amp;$A2781</f>
        <v>mea.mit.ef.mnf.oop.oc</v>
      </c>
      <c r="G2781" s="3" t="str">
        <f>"wld.mit.ef."&amp;$A2781</f>
        <v>wld.mit.ef.mnf.oop.oc</v>
      </c>
      <c r="H2781" s="3" t="inlineStr">
        <is>
          <t>egy.mit.ef.mnf.oop.oc</t>
        </is>
      </c>
      <c r="I2781" s="236" t="n">
        <v>0.0123845544</v>
      </c>
      <c r="J2781" s="236" t="n">
        <v>0.0123845544</v>
      </c>
    </row>
    <row r="2782">
      <c r="A2782" s="3" t="str">
        <f>$B2782&amp;"."&amp;$C2782&amp;"."&amp;$D2782</f>
        <v>mnf.gso.oc</v>
      </c>
      <c r="B2782" s="8" t="inlineStr">
        <is>
          <t>mnf</t>
        </is>
      </c>
      <c r="C2782" s="8" t="inlineStr">
        <is>
          <t>gso</t>
        </is>
      </c>
      <c r="D2782" s="8" t="inlineStr">
        <is>
          <t>oc</t>
        </is>
      </c>
      <c r="E2782" s="3" t="str">
        <f>CodePrefix&amp;"ef."&amp;$A2782</f>
        <v>egy.mit.ef.mnf.gso.oc</v>
      </c>
      <c r="F2782" s="3" t="str">
        <f>CtryReg&amp;".mit.ef."&amp;$A2782</f>
        <v>mea.mit.ef.mnf.gso.oc</v>
      </c>
      <c r="G2782" s="3" t="str">
        <f>"wld.mit.ef."&amp;$A2782</f>
        <v>wld.mit.ef.mnf.gso.oc</v>
      </c>
      <c r="H2782" s="3" t="inlineStr">
        <is>
          <t>egy.mit.ef.mnf.gso.oc</t>
        </is>
      </c>
      <c r="I2782" s="236" t="n">
        <v>0.0157005</v>
      </c>
      <c r="J2782" s="236" t="n">
        <v>0.0157005</v>
      </c>
    </row>
    <row r="2783">
      <c r="A2783" s="3" t="str">
        <f>$B2783&amp;"."&amp;$C2783&amp;"."&amp;$D2783</f>
        <v>mnf.die.oc</v>
      </c>
      <c r="B2783" s="8" t="inlineStr">
        <is>
          <t>mnf</t>
        </is>
      </c>
      <c r="C2783" s="8" t="inlineStr">
        <is>
          <t>die</t>
        </is>
      </c>
      <c r="D2783" s="8" t="inlineStr">
        <is>
          <t>oc</t>
        </is>
      </c>
      <c r="E2783" s="3" t="str">
        <f>CodePrefix&amp;"ef."&amp;$A2783</f>
        <v>egy.mit.ef.mnf.die.oc</v>
      </c>
      <c r="F2783" s="3" t="str">
        <f>CtryReg&amp;".mit.ef."&amp;$A2783</f>
        <v>mea.mit.ef.mnf.die.oc</v>
      </c>
      <c r="G2783" s="3" t="str">
        <f>"wld.mit.ef."&amp;$A2783</f>
        <v>wld.mit.ef.mnf.die.oc</v>
      </c>
      <c r="H2783" s="3" t="inlineStr">
        <is>
          <t>egy.mit.ef.mnf.die.oc</t>
        </is>
      </c>
      <c r="I2783" s="236" t="n">
        <v>0.0006615144000000001</v>
      </c>
      <c r="J2783" s="236" t="n">
        <v>0.0006615144000000001</v>
      </c>
    </row>
    <row r="2784">
      <c r="A2784" s="3" t="str">
        <f>$B2784&amp;"."&amp;$C2784&amp;"."&amp;$D2784</f>
        <v>mnf.lpg.oc</v>
      </c>
      <c r="B2784" s="8" t="inlineStr">
        <is>
          <t>mnf</t>
        </is>
      </c>
      <c r="C2784" s="8" t="inlineStr">
        <is>
          <t>lpg</t>
        </is>
      </c>
      <c r="D2784" s="8" t="inlineStr">
        <is>
          <t>oc</t>
        </is>
      </c>
      <c r="E2784" s="3" t="str">
        <f>CodePrefix&amp;"ef."&amp;$A2784</f>
        <v>egy.mit.ef.mnf.lpg.oc</v>
      </c>
      <c r="F2784" s="3" t="str">
        <f>CtryReg&amp;".mit.ef."&amp;$A2784</f>
        <v>mea.mit.ef.mnf.lpg.oc</v>
      </c>
      <c r="G2784" s="3" t="str">
        <f>"wld.mit.ef."&amp;$A2784</f>
        <v>wld.mit.ef.mnf.lpg.oc</v>
      </c>
      <c r="H2784" s="3" t="inlineStr">
        <is>
          <t>wld.mit.ef.mnf.lpg.oc</t>
        </is>
      </c>
      <c r="I2784" s="236" t="n">
        <v>0</v>
      </c>
      <c r="J2784" s="236" t="n">
        <v>0</v>
      </c>
    </row>
    <row r="2785">
      <c r="A2785" s="3" t="str">
        <f>$B2785&amp;"."&amp;$C2785&amp;"."&amp;$D2785</f>
        <v>mnf.ker.oc</v>
      </c>
      <c r="B2785" s="8" t="inlineStr">
        <is>
          <t>mnf</t>
        </is>
      </c>
      <c r="C2785" s="8" t="inlineStr">
        <is>
          <t>ker</t>
        </is>
      </c>
      <c r="D2785" s="8" t="inlineStr">
        <is>
          <t>oc</t>
        </is>
      </c>
      <c r="E2785" s="3" t="str">
        <f>CodePrefix&amp;"ef."&amp;$A2785</f>
        <v>egy.mit.ef.mnf.ker.oc</v>
      </c>
      <c r="F2785" s="3" t="str">
        <f>CtryReg&amp;".mit.ef."&amp;$A2785</f>
        <v>mea.mit.ef.mnf.ker.oc</v>
      </c>
      <c r="G2785" s="3" t="str">
        <f>"wld.mit.ef."&amp;$A2785</f>
        <v>wld.mit.ef.mnf.ker.oc</v>
      </c>
      <c r="H2785" s="3" t="inlineStr">
        <is>
          <t>egy.mit.ef.mnf.ker.oc</t>
        </is>
      </c>
      <c r="I2785" s="236" t="n">
        <v>0.0157005</v>
      </c>
      <c r="J2785" s="236" t="n">
        <v>0.0157005</v>
      </c>
    </row>
    <row r="2786">
      <c r="A2786" s="3" t="str">
        <f>$B2786&amp;"."&amp;$C2786&amp;"."&amp;$D2786</f>
        <v>mnf.bio.oc</v>
      </c>
      <c r="B2786" s="8" t="inlineStr">
        <is>
          <t>mnf</t>
        </is>
      </c>
      <c r="C2786" s="8" t="inlineStr">
        <is>
          <t>bio</t>
        </is>
      </c>
      <c r="D2786" s="8" t="inlineStr">
        <is>
          <t>oc</t>
        </is>
      </c>
      <c r="E2786" s="3" t="str">
        <f>CodePrefix&amp;"ef."&amp;$A2786</f>
        <v>egy.mit.ef.mnf.bio.oc</v>
      </c>
      <c r="F2786" s="3" t="str">
        <f>CtryReg&amp;".mit.ef."&amp;$A2786</f>
        <v>mea.mit.ef.mnf.bio.oc</v>
      </c>
      <c r="G2786" s="3" t="str">
        <f>"wld.mit.ef."&amp;$A2786</f>
        <v>wld.mit.ef.mnf.bio.oc</v>
      </c>
      <c r="H2786" s="3" t="inlineStr">
        <is>
          <t>mea.mit.ef.mnf.bio.oc</t>
        </is>
      </c>
      <c r="I2786" s="236" t="n">
        <v>0.4871425536</v>
      </c>
      <c r="J2786" s="236" t="n">
        <v>0.313507584</v>
      </c>
    </row>
    <row r="2787">
      <c r="A2787" s="3" t="str">
        <f>$B2787&amp;"."&amp;$C2787&amp;"."&amp;$D2787</f>
        <v>omn.coa.oc</v>
      </c>
      <c r="B2787" s="8" t="inlineStr">
        <is>
          <t>omn</t>
        </is>
      </c>
      <c r="C2787" s="8" t="inlineStr">
        <is>
          <t>coa</t>
        </is>
      </c>
      <c r="D2787" s="8" t="inlineStr">
        <is>
          <t>oc</t>
        </is>
      </c>
      <c r="E2787" s="3" t="str">
        <f>CodePrefix&amp;"ef."&amp;$A2787</f>
        <v>egy.mit.ef.omn.coa.oc</v>
      </c>
      <c r="F2787" s="3" t="str">
        <f>CtryReg&amp;".mit.ef."&amp;$A2787</f>
        <v>mea.mit.ef.omn.coa.oc</v>
      </c>
      <c r="G2787" s="3" t="str">
        <f>"wld.mit.ef."&amp;$A2787</f>
        <v>wld.mit.ef.omn.coa.oc</v>
      </c>
      <c r="H2787" s="3" t="inlineStr">
        <is>
          <t>wld.mit.ef.omn.coa.oc</t>
        </is>
      </c>
      <c r="I2787" s="236" t="n">
        <v>0</v>
      </c>
      <c r="J2787" s="236" t="n">
        <v>0</v>
      </c>
    </row>
    <row r="2788">
      <c r="A2788" s="3" t="str">
        <f>$B2788&amp;"."&amp;$C2788&amp;"."&amp;$D2788</f>
        <v>omn.nga.oc</v>
      </c>
      <c r="B2788" s="8" t="inlineStr">
        <is>
          <t>omn</t>
        </is>
      </c>
      <c r="C2788" s="8" t="inlineStr">
        <is>
          <t>nga</t>
        </is>
      </c>
      <c r="D2788" s="8" t="inlineStr">
        <is>
          <t>oc</t>
        </is>
      </c>
      <c r="E2788" s="3" t="str">
        <f>CodePrefix&amp;"ef."&amp;$A2788</f>
        <v>egy.mit.ef.omn.nga.oc</v>
      </c>
      <c r="F2788" s="3" t="str">
        <f>CtryReg&amp;".mit.ef."&amp;$A2788</f>
        <v>mea.mit.ef.omn.nga.oc</v>
      </c>
      <c r="G2788" s="3" t="str">
        <f>"wld.mit.ef."&amp;$A2788</f>
        <v>wld.mit.ef.omn.nga.oc</v>
      </c>
      <c r="H2788" s="3" t="inlineStr">
        <is>
          <t>egy.mit.ef.omn.nga.oc</t>
        </is>
      </c>
      <c r="I2788" s="236" t="n">
        <v>0.0031401</v>
      </c>
      <c r="J2788" s="236" t="n">
        <v>0.0031401</v>
      </c>
    </row>
    <row r="2789">
      <c r="A2789" s="3" t="str">
        <f>$B2789&amp;"."&amp;$C2789&amp;"."&amp;$D2789</f>
        <v>omn.oop.oc</v>
      </c>
      <c r="B2789" s="8" t="inlineStr">
        <is>
          <t>omn</t>
        </is>
      </c>
      <c r="C2789" s="8" t="inlineStr">
        <is>
          <t>oop</t>
        </is>
      </c>
      <c r="D2789" s="8" t="inlineStr">
        <is>
          <t>oc</t>
        </is>
      </c>
      <c r="E2789" s="3" t="str">
        <f>CodePrefix&amp;"ef."&amp;$A2789</f>
        <v>egy.mit.ef.omn.oop.oc</v>
      </c>
      <c r="F2789" s="3" t="str">
        <f>CtryReg&amp;".mit.ef."&amp;$A2789</f>
        <v>mea.mit.ef.omn.oop.oc</v>
      </c>
      <c r="G2789" s="3" t="str">
        <f>"wld.mit.ef."&amp;$A2789</f>
        <v>wld.mit.ef.omn.oop.oc</v>
      </c>
      <c r="H2789" s="3" t="inlineStr">
        <is>
          <t>egy.mit.ef.omn.oop.oc</t>
        </is>
      </c>
      <c r="I2789" s="236" t="n">
        <v>0.0123845544</v>
      </c>
      <c r="J2789" s="236" t="n">
        <v>0.0123845544</v>
      </c>
    </row>
    <row r="2790">
      <c r="A2790" s="3" t="str">
        <f>$B2790&amp;"."&amp;$C2790&amp;"."&amp;$D2790</f>
        <v>omn.gso.oc</v>
      </c>
      <c r="B2790" s="8" t="inlineStr">
        <is>
          <t>omn</t>
        </is>
      </c>
      <c r="C2790" s="8" t="inlineStr">
        <is>
          <t>gso</t>
        </is>
      </c>
      <c r="D2790" s="8" t="inlineStr">
        <is>
          <t>oc</t>
        </is>
      </c>
      <c r="E2790" s="3" t="str">
        <f>CodePrefix&amp;"ef."&amp;$A2790</f>
        <v>egy.mit.ef.omn.gso.oc</v>
      </c>
      <c r="F2790" s="3" t="str">
        <f>CtryReg&amp;".mit.ef."&amp;$A2790</f>
        <v>mea.mit.ef.omn.gso.oc</v>
      </c>
      <c r="G2790" s="3" t="str">
        <f>"wld.mit.ef."&amp;$A2790</f>
        <v>wld.mit.ef.omn.gso.oc</v>
      </c>
      <c r="H2790" s="3" t="inlineStr">
        <is>
          <t>egy.mit.ef.omn.gso.oc</t>
        </is>
      </c>
      <c r="I2790" s="236" t="n">
        <v>0.0157005</v>
      </c>
      <c r="J2790" s="236" t="n">
        <v>0.0157005</v>
      </c>
    </row>
    <row r="2791">
      <c r="A2791" s="3" t="str">
        <f>$B2791&amp;"."&amp;$C2791&amp;"."&amp;$D2791</f>
        <v>omn.die.oc</v>
      </c>
      <c r="B2791" s="8" t="inlineStr">
        <is>
          <t>omn</t>
        </is>
      </c>
      <c r="C2791" s="8" t="inlineStr">
        <is>
          <t>die</t>
        </is>
      </c>
      <c r="D2791" s="8" t="inlineStr">
        <is>
          <t>oc</t>
        </is>
      </c>
      <c r="E2791" s="3" t="str">
        <f>CodePrefix&amp;"ef."&amp;$A2791</f>
        <v>egy.mit.ef.omn.die.oc</v>
      </c>
      <c r="F2791" s="3" t="str">
        <f>CtryReg&amp;".mit.ef."&amp;$A2791</f>
        <v>mea.mit.ef.omn.die.oc</v>
      </c>
      <c r="G2791" s="3" t="str">
        <f>"wld.mit.ef."&amp;$A2791</f>
        <v>wld.mit.ef.omn.die.oc</v>
      </c>
      <c r="H2791" s="3" t="inlineStr">
        <is>
          <t>mea.mit.ef.omn.die.oc</t>
        </is>
      </c>
      <c r="I2791" s="236" t="n">
        <v>0.0006657012000000001</v>
      </c>
      <c r="J2791" s="236" t="n">
        <v>0.0006657012000000001</v>
      </c>
    </row>
    <row r="2792">
      <c r="A2792" s="3" t="str">
        <f>$B2792&amp;"."&amp;$C2792&amp;"."&amp;$D2792</f>
        <v>omn.lpg.oc</v>
      </c>
      <c r="B2792" s="8" t="inlineStr">
        <is>
          <t>omn</t>
        </is>
      </c>
      <c r="C2792" s="8" t="inlineStr">
        <is>
          <t>lpg</t>
        </is>
      </c>
      <c r="D2792" s="8" t="inlineStr">
        <is>
          <t>oc</t>
        </is>
      </c>
      <c r="E2792" s="3" t="str">
        <f>CodePrefix&amp;"ef."&amp;$A2792</f>
        <v>egy.mit.ef.omn.lpg.oc</v>
      </c>
      <c r="F2792" s="3" t="str">
        <f>CtryReg&amp;".mit.ef."&amp;$A2792</f>
        <v>mea.mit.ef.omn.lpg.oc</v>
      </c>
      <c r="G2792" s="3" t="str">
        <f>"wld.mit.ef."&amp;$A2792</f>
        <v>wld.mit.ef.omn.lpg.oc</v>
      </c>
      <c r="H2792" s="3" t="inlineStr">
        <is>
          <t>wld.mit.ef.omn.lpg.oc</t>
        </is>
      </c>
      <c r="I2792" s="236" t="n">
        <v>0</v>
      </c>
      <c r="J2792" s="236" t="n">
        <v>0</v>
      </c>
    </row>
    <row r="2793">
      <c r="A2793" s="3" t="str">
        <f>$B2793&amp;"."&amp;$C2793&amp;"."&amp;$D2793</f>
        <v>omn.ker.oc</v>
      </c>
      <c r="B2793" s="8" t="inlineStr">
        <is>
          <t>omn</t>
        </is>
      </c>
      <c r="C2793" s="8" t="inlineStr">
        <is>
          <t>ker</t>
        </is>
      </c>
      <c r="D2793" s="8" t="inlineStr">
        <is>
          <t>oc</t>
        </is>
      </c>
      <c r="E2793" s="3" t="str">
        <f>CodePrefix&amp;"ef."&amp;$A2793</f>
        <v>egy.mit.ef.omn.ker.oc</v>
      </c>
      <c r="F2793" s="3" t="str">
        <f>CtryReg&amp;".mit.ef."&amp;$A2793</f>
        <v>mea.mit.ef.omn.ker.oc</v>
      </c>
      <c r="G2793" s="3" t="str">
        <f>"wld.mit.ef."&amp;$A2793</f>
        <v>wld.mit.ef.omn.ker.oc</v>
      </c>
      <c r="H2793" s="3" t="inlineStr">
        <is>
          <t>egy.mit.ef.omn.ker.oc</t>
        </is>
      </c>
      <c r="I2793" s="236" t="n">
        <v>0.0157005</v>
      </c>
      <c r="J2793" s="236" t="n">
        <v>0.0157005</v>
      </c>
    </row>
    <row r="2794">
      <c r="A2794" s="3" t="str">
        <f>$B2794&amp;"."&amp;$C2794&amp;"."&amp;$D2794</f>
        <v>omn.bio.oc</v>
      </c>
      <c r="B2794" s="8" t="inlineStr">
        <is>
          <t>omn</t>
        </is>
      </c>
      <c r="C2794" s="8" t="inlineStr">
        <is>
          <t>bio</t>
        </is>
      </c>
      <c r="D2794" s="8" t="inlineStr">
        <is>
          <t>oc</t>
        </is>
      </c>
      <c r="E2794" s="3" t="str">
        <f>CodePrefix&amp;"ef."&amp;$A2794</f>
        <v>egy.mit.ef.omn.bio.oc</v>
      </c>
      <c r="F2794" s="3" t="str">
        <f>CtryReg&amp;".mit.ef."&amp;$A2794</f>
        <v>mea.mit.ef.omn.bio.oc</v>
      </c>
      <c r="G2794" s="3" t="str">
        <f>"wld.mit.ef."&amp;$A2794</f>
        <v>wld.mit.ef.omn.bio.oc</v>
      </c>
      <c r="H2794" s="3" t="inlineStr">
        <is>
          <t>mea.mit.ef.omn.bio.oc</t>
        </is>
      </c>
      <c r="I2794" s="236" t="n">
        <v>0.4871425536</v>
      </c>
      <c r="J2794" s="236" t="n">
        <v>0.313507584</v>
      </c>
    </row>
    <row r="2795">
      <c r="A2795" s="3" t="str">
        <f>$B2795&amp;"."&amp;$C2795&amp;"."&amp;$D2795</f>
        <v>foo.coa.oc</v>
      </c>
      <c r="B2795" s="8" t="inlineStr">
        <is>
          <t>foo</t>
        </is>
      </c>
      <c r="C2795" s="8" t="inlineStr">
        <is>
          <t>coa</t>
        </is>
      </c>
      <c r="D2795" s="8" t="inlineStr">
        <is>
          <t>oc</t>
        </is>
      </c>
      <c r="E2795" s="3" t="str">
        <f>CodePrefix&amp;"ef."&amp;$A2795</f>
        <v>egy.mit.ef.foo.coa.oc</v>
      </c>
      <c r="F2795" s="3" t="str">
        <f>CtryReg&amp;".mit.ef."&amp;$A2795</f>
        <v>mea.mit.ef.foo.coa.oc</v>
      </c>
      <c r="G2795" s="3" t="str">
        <f>"wld.mit.ef."&amp;$A2795</f>
        <v>wld.mit.ef.foo.coa.oc</v>
      </c>
      <c r="H2795" s="3" t="inlineStr">
        <is>
          <t>wld.mit.ef.foo.coa.oc</t>
        </is>
      </c>
      <c r="I2795" s="236" t="n">
        <v>0</v>
      </c>
      <c r="J2795" s="236" t="n">
        <v>0</v>
      </c>
    </row>
    <row r="2796">
      <c r="A2796" s="3" t="str">
        <f>$B2796&amp;"."&amp;$C2796&amp;"."&amp;$D2796</f>
        <v>foo.nga.oc</v>
      </c>
      <c r="B2796" s="8" t="inlineStr">
        <is>
          <t>foo</t>
        </is>
      </c>
      <c r="C2796" s="8" t="inlineStr">
        <is>
          <t>nga</t>
        </is>
      </c>
      <c r="D2796" s="8" t="inlineStr">
        <is>
          <t>oc</t>
        </is>
      </c>
      <c r="E2796" s="3" t="str">
        <f>CodePrefix&amp;"ef."&amp;$A2796</f>
        <v>egy.mit.ef.foo.nga.oc</v>
      </c>
      <c r="F2796" s="3" t="str">
        <f>CtryReg&amp;".mit.ef."&amp;$A2796</f>
        <v>mea.mit.ef.foo.nga.oc</v>
      </c>
      <c r="G2796" s="3" t="str">
        <f>"wld.mit.ef."&amp;$A2796</f>
        <v>wld.mit.ef.foo.nga.oc</v>
      </c>
      <c r="H2796" s="3" t="inlineStr">
        <is>
          <t>egy.mit.ef.foo.nga.oc</t>
        </is>
      </c>
      <c r="I2796" s="236" t="n">
        <v>0.0031401</v>
      </c>
      <c r="J2796" s="236" t="n">
        <v>0.0031401</v>
      </c>
    </row>
    <row r="2797">
      <c r="A2797" s="3" t="str">
        <f>$B2797&amp;"."&amp;$C2797&amp;"."&amp;$D2797</f>
        <v>foo.oop.oc</v>
      </c>
      <c r="B2797" s="8" t="inlineStr">
        <is>
          <t>foo</t>
        </is>
      </c>
      <c r="C2797" s="8" t="inlineStr">
        <is>
          <t>oop</t>
        </is>
      </c>
      <c r="D2797" s="8" t="inlineStr">
        <is>
          <t>oc</t>
        </is>
      </c>
      <c r="E2797" s="3" t="str">
        <f>CodePrefix&amp;"ef."&amp;$A2797</f>
        <v>egy.mit.ef.foo.oop.oc</v>
      </c>
      <c r="F2797" s="3" t="str">
        <f>CtryReg&amp;".mit.ef."&amp;$A2797</f>
        <v>mea.mit.ef.foo.oop.oc</v>
      </c>
      <c r="G2797" s="3" t="str">
        <f>"wld.mit.ef."&amp;$A2797</f>
        <v>wld.mit.ef.foo.oop.oc</v>
      </c>
      <c r="H2797" s="3" t="inlineStr">
        <is>
          <t>egy.mit.ef.foo.oop.oc</t>
        </is>
      </c>
      <c r="I2797" s="236" t="n">
        <v>0.0123845544</v>
      </c>
      <c r="J2797" s="236" t="n">
        <v>0.0123845544</v>
      </c>
    </row>
    <row r="2798">
      <c r="A2798" s="3" t="str">
        <f>$B2798&amp;"."&amp;$C2798&amp;"."&amp;$D2798</f>
        <v>foo.gso.oc</v>
      </c>
      <c r="B2798" s="8" t="inlineStr">
        <is>
          <t>foo</t>
        </is>
      </c>
      <c r="C2798" s="8" t="inlineStr">
        <is>
          <t>gso</t>
        </is>
      </c>
      <c r="D2798" s="8" t="inlineStr">
        <is>
          <t>oc</t>
        </is>
      </c>
      <c r="E2798" s="3" t="str">
        <f>CodePrefix&amp;"ef."&amp;$A2798</f>
        <v>egy.mit.ef.foo.gso.oc</v>
      </c>
      <c r="F2798" s="3" t="str">
        <f>CtryReg&amp;".mit.ef."&amp;$A2798</f>
        <v>mea.mit.ef.foo.gso.oc</v>
      </c>
      <c r="G2798" s="3" t="str">
        <f>"wld.mit.ef."&amp;$A2798</f>
        <v>wld.mit.ef.foo.gso.oc</v>
      </c>
      <c r="H2798" s="3" t="inlineStr">
        <is>
          <t>egy.mit.ef.foo.gso.oc</t>
        </is>
      </c>
      <c r="I2798" s="236" t="n">
        <v>0.0157005</v>
      </c>
      <c r="J2798" s="236" t="n">
        <v>0.0157005</v>
      </c>
    </row>
    <row r="2799">
      <c r="A2799" s="3" t="str">
        <f>$B2799&amp;"."&amp;$C2799&amp;"."&amp;$D2799</f>
        <v>foo.die.oc</v>
      </c>
      <c r="B2799" s="8" t="inlineStr">
        <is>
          <t>foo</t>
        </is>
      </c>
      <c r="C2799" s="8" t="inlineStr">
        <is>
          <t>die</t>
        </is>
      </c>
      <c r="D2799" s="8" t="inlineStr">
        <is>
          <t>oc</t>
        </is>
      </c>
      <c r="E2799" s="3" t="str">
        <f>CodePrefix&amp;"ef."&amp;$A2799</f>
        <v>egy.mit.ef.foo.die.oc</v>
      </c>
      <c r="F2799" s="3" t="str">
        <f>CtryReg&amp;".mit.ef."&amp;$A2799</f>
        <v>mea.mit.ef.foo.die.oc</v>
      </c>
      <c r="G2799" s="3" t="str">
        <f>"wld.mit.ef."&amp;$A2799</f>
        <v>wld.mit.ef.foo.die.oc</v>
      </c>
      <c r="H2799" s="3" t="inlineStr">
        <is>
          <t>mea.mit.ef.foo.die.oc</t>
        </is>
      </c>
      <c r="I2799" s="236" t="n">
        <v>0.0006657012000000001</v>
      </c>
      <c r="J2799" s="236" t="n">
        <v>0.0006657012000000001</v>
      </c>
    </row>
    <row r="2800">
      <c r="A2800" s="3" t="str">
        <f>$B2800&amp;"."&amp;$C2800&amp;"."&amp;$D2800</f>
        <v>foo.lpg.oc</v>
      </c>
      <c r="B2800" s="8" t="inlineStr">
        <is>
          <t>foo</t>
        </is>
      </c>
      <c r="C2800" s="8" t="inlineStr">
        <is>
          <t>lpg</t>
        </is>
      </c>
      <c r="D2800" s="8" t="inlineStr">
        <is>
          <t>oc</t>
        </is>
      </c>
      <c r="E2800" s="3" t="str">
        <f>CodePrefix&amp;"ef."&amp;$A2800</f>
        <v>egy.mit.ef.foo.lpg.oc</v>
      </c>
      <c r="F2800" s="3" t="str">
        <f>CtryReg&amp;".mit.ef."&amp;$A2800</f>
        <v>mea.mit.ef.foo.lpg.oc</v>
      </c>
      <c r="G2800" s="3" t="str">
        <f>"wld.mit.ef."&amp;$A2800</f>
        <v>wld.mit.ef.foo.lpg.oc</v>
      </c>
      <c r="H2800" s="3" t="inlineStr">
        <is>
          <t>wld.mit.ef.foo.lpg.oc</t>
        </is>
      </c>
      <c r="I2800" s="236" t="n">
        <v>0</v>
      </c>
      <c r="J2800" s="236" t="n">
        <v>0</v>
      </c>
    </row>
    <row r="2801">
      <c r="A2801" s="3" t="str">
        <f>$B2801&amp;"."&amp;$C2801&amp;"."&amp;$D2801</f>
        <v>foo.ker.oc</v>
      </c>
      <c r="B2801" s="8" t="inlineStr">
        <is>
          <t>foo</t>
        </is>
      </c>
      <c r="C2801" s="8" t="inlineStr">
        <is>
          <t>ker</t>
        </is>
      </c>
      <c r="D2801" s="8" t="inlineStr">
        <is>
          <t>oc</t>
        </is>
      </c>
      <c r="E2801" s="3" t="str">
        <f>CodePrefix&amp;"ef."&amp;$A2801</f>
        <v>egy.mit.ef.foo.ker.oc</v>
      </c>
      <c r="F2801" s="3" t="str">
        <f>CtryReg&amp;".mit.ef."&amp;$A2801</f>
        <v>mea.mit.ef.foo.ker.oc</v>
      </c>
      <c r="G2801" s="3" t="str">
        <f>"wld.mit.ef."&amp;$A2801</f>
        <v>wld.mit.ef.foo.ker.oc</v>
      </c>
      <c r="H2801" s="3" t="inlineStr">
        <is>
          <t>egy.mit.ef.foo.ker.oc</t>
        </is>
      </c>
      <c r="I2801" s="236" t="n">
        <v>0.0157005</v>
      </c>
      <c r="J2801" s="236" t="n">
        <v>0.0157005</v>
      </c>
    </row>
    <row r="2802">
      <c r="A2802" s="3" t="str">
        <f>$B2802&amp;"."&amp;$C2802&amp;"."&amp;$D2802</f>
        <v>foo.bio.oc</v>
      </c>
      <c r="B2802" s="8" t="inlineStr">
        <is>
          <t>foo</t>
        </is>
      </c>
      <c r="C2802" s="8" t="inlineStr">
        <is>
          <t>bio</t>
        </is>
      </c>
      <c r="D2802" s="8" t="inlineStr">
        <is>
          <t>oc</t>
        </is>
      </c>
      <c r="E2802" s="3" t="str">
        <f>CodePrefix&amp;"ef."&amp;$A2802</f>
        <v>egy.mit.ef.foo.bio.oc</v>
      </c>
      <c r="F2802" s="3" t="str">
        <f>CtryReg&amp;".mit.ef."&amp;$A2802</f>
        <v>mea.mit.ef.foo.bio.oc</v>
      </c>
      <c r="G2802" s="3" t="str">
        <f>"wld.mit.ef."&amp;$A2802</f>
        <v>wld.mit.ef.foo.bio.oc</v>
      </c>
      <c r="H2802" s="3" t="inlineStr">
        <is>
          <t>egy.mit.ef.foo.bio.oc</t>
        </is>
      </c>
      <c r="I2802" s="236" t="n">
        <v>8.627135860800001</v>
      </c>
      <c r="J2802" s="236" t="n">
        <v>7.3463393124</v>
      </c>
    </row>
    <row r="2803">
      <c r="A2803" s="3" t="str">
        <f>$B2803&amp;"."&amp;$C2803&amp;"."&amp;$D2803</f>
        <v>oen.coa.oc</v>
      </c>
      <c r="B2803" s="8" t="inlineStr">
        <is>
          <t>oen</t>
        </is>
      </c>
      <c r="C2803" s="8" t="inlineStr">
        <is>
          <t>coa</t>
        </is>
      </c>
      <c r="D2803" s="8" t="inlineStr">
        <is>
          <t>oc</t>
        </is>
      </c>
      <c r="H2803" s="3" t="inlineStr">
        <is>
          <t>max</t>
        </is>
      </c>
      <c r="I2803" s="236">
        <f>_xlfn.MAXIFS($I$2746:$I$2802,$C$2746:$C$2802,$C2803)</f>
        <v>6.436283904000001</v>
      </c>
      <c r="J2803" s="236">
        <f>_xlfn.MAXIFS($J$2746:$J$2802,$C$2746:$C$2802,$C2803)</f>
        <v>6.436283904000001</v>
      </c>
    </row>
    <row r="2804">
      <c r="A2804" s="3" t="str">
        <f>$B2804&amp;"."&amp;$C2804&amp;"."&amp;$D2804</f>
        <v>oen.nga.oc</v>
      </c>
      <c r="B2804" s="8" t="inlineStr">
        <is>
          <t>oen</t>
        </is>
      </c>
      <c r="C2804" s="8" t="inlineStr">
        <is>
          <t>nga</t>
        </is>
      </c>
      <c r="D2804" s="8" t="inlineStr">
        <is>
          <t>oc</t>
        </is>
      </c>
      <c r="H2804" s="3" t="inlineStr">
        <is>
          <t>max</t>
        </is>
      </c>
      <c r="I2804" s="236">
        <f>_xlfn.MAXIFS($I$2746:$I$2802,$C$2746:$C$2802,$C2804)</f>
        <v>0.0285874704</v>
      </c>
      <c r="J2804" s="236">
        <f>_xlfn.MAXIFS($J$2746:$J$2802,$C$2746:$C$2802,$C2804)</f>
        <v>0.0230567076</v>
      </c>
    </row>
    <row r="2805">
      <c r="A2805" s="3" t="str">
        <f>$B2805&amp;"."&amp;$C2805&amp;"."&amp;$D2805</f>
        <v>oen.oop.oc</v>
      </c>
      <c r="B2805" s="8" t="inlineStr">
        <is>
          <t>oen</t>
        </is>
      </c>
      <c r="C2805" s="8" t="inlineStr">
        <is>
          <t>oop</t>
        </is>
      </c>
      <c r="D2805" s="8" t="inlineStr">
        <is>
          <t>oc</t>
        </is>
      </c>
      <c r="H2805" s="3" t="inlineStr">
        <is>
          <t>max</t>
        </is>
      </c>
      <c r="I2805" s="236">
        <f>_xlfn.MAXIFS($I$2746:$I$2802,$C$2746:$C$2802,$C2805)</f>
        <v>0.015512094</v>
      </c>
      <c r="J2805" s="236">
        <f>_xlfn.MAXIFS($J$2746:$J$2802,$C$2746:$C$2802,$C2805)</f>
        <v>0.015114348</v>
      </c>
    </row>
    <row r="2806">
      <c r="A2806" s="3" t="str">
        <f>$B2806&amp;"."&amp;$C2806&amp;"."&amp;$D2806</f>
        <v>oen.gso.oc</v>
      </c>
      <c r="B2806" s="8" t="inlineStr">
        <is>
          <t>oen</t>
        </is>
      </c>
      <c r="C2806" s="8" t="inlineStr">
        <is>
          <t>gso</t>
        </is>
      </c>
      <c r="D2806" s="8" t="inlineStr">
        <is>
          <t>oc</t>
        </is>
      </c>
      <c r="H2806" s="3" t="inlineStr">
        <is>
          <t>max</t>
        </is>
      </c>
      <c r="I2806" s="236">
        <f>_xlfn.MAXIFS($I$2746:$I$2802,$C$2746:$C$2802,$C2806)</f>
        <v>0.7075692</v>
      </c>
      <c r="J2806" s="236">
        <f>_xlfn.MAXIFS($J$2746:$J$2802,$C$2746:$C$2802,$C2806)</f>
        <v>0.7075692</v>
      </c>
    </row>
    <row r="2807">
      <c r="A2807" s="3" t="str">
        <f>$B2807&amp;"."&amp;$C2807&amp;"."&amp;$D2807</f>
        <v>oen.die.oc</v>
      </c>
      <c r="B2807" s="8" t="inlineStr">
        <is>
          <t>oen</t>
        </is>
      </c>
      <c r="C2807" s="8" t="inlineStr">
        <is>
          <t>die</t>
        </is>
      </c>
      <c r="D2807" s="8" t="inlineStr">
        <is>
          <t>oc</t>
        </is>
      </c>
      <c r="H2807" s="3" t="inlineStr">
        <is>
          <t>max</t>
        </is>
      </c>
      <c r="I2807" s="236">
        <f>_xlfn.MAXIFS($I$2746:$I$2802,$C$2746:$C$2802,$C2807)</f>
        <v>1.5881034816</v>
      </c>
      <c r="J2807" s="236">
        <f>_xlfn.MAXIFS($J$2746:$J$2802,$C$2746:$C$2802,$C2807)</f>
        <v>1.5828239268</v>
      </c>
    </row>
    <row r="2808">
      <c r="A2808" s="3" t="str">
        <f>$B2808&amp;"."&amp;$C2808&amp;"."&amp;$D2808</f>
        <v>oen.lpg.oc</v>
      </c>
      <c r="B2808" s="8" t="inlineStr">
        <is>
          <t>oen</t>
        </is>
      </c>
      <c r="C2808" s="8" t="inlineStr">
        <is>
          <t>lpg</t>
        </is>
      </c>
      <c r="D2808" s="8" t="inlineStr">
        <is>
          <t>oc</t>
        </is>
      </c>
      <c r="H2808" s="3" t="inlineStr">
        <is>
          <t>max</t>
        </is>
      </c>
      <c r="I2808" s="236">
        <f>_xlfn.MAXIFS($I$2746:$I$2802,$C$2746:$C$2802,$C2808)</f>
        <v>0.7075692</v>
      </c>
      <c r="J2808" s="236">
        <f>_xlfn.MAXIFS($J$2746:$J$2802,$C$2746:$C$2802,$C2808)</f>
        <v>0.7075692</v>
      </c>
    </row>
    <row r="2809">
      <c r="A2809" s="3" t="str">
        <f>$B2809&amp;"."&amp;$C2809&amp;"."&amp;$D2809</f>
        <v>oen.ker.oc</v>
      </c>
      <c r="B2809" s="8" t="inlineStr">
        <is>
          <t>oen</t>
        </is>
      </c>
      <c r="C2809" s="8" t="inlineStr">
        <is>
          <t>ker</t>
        </is>
      </c>
      <c r="D2809" s="8" t="inlineStr">
        <is>
          <t>oc</t>
        </is>
      </c>
      <c r="H2809" s="3" t="inlineStr">
        <is>
          <t>max</t>
        </is>
      </c>
      <c r="I2809" s="236">
        <f>_xlfn.MAXIFS($I$2746:$I$2802,$C$2746:$C$2802,$C2809)</f>
        <v>0.7075692</v>
      </c>
      <c r="J2809" s="236">
        <f>_xlfn.MAXIFS($J$2746:$J$2802,$C$2746:$C$2802,$C2809)</f>
        <v>0.7075692</v>
      </c>
    </row>
    <row r="2810">
      <c r="A2810" s="3" t="str">
        <f>$B2810&amp;"."&amp;$C2810&amp;"."&amp;$D2810</f>
        <v>oen.bio.oc</v>
      </c>
      <c r="B2810" s="8" t="inlineStr">
        <is>
          <t>oen</t>
        </is>
      </c>
      <c r="C2810" s="8" t="inlineStr">
        <is>
          <t>bio</t>
        </is>
      </c>
      <c r="D2810" s="8" t="inlineStr">
        <is>
          <t>oc</t>
        </is>
      </c>
      <c r="H2810" s="3" t="inlineStr">
        <is>
          <t>max</t>
        </is>
      </c>
      <c r="I2810" s="236">
        <f>_xlfn.MAXIFS($I$2746:$I$2802,$C$2746:$C$2802,$C2810)</f>
        <v>8.7955624512</v>
      </c>
      <c r="J2810" s="236">
        <f>_xlfn.MAXIFS($J$2746:$J$2802,$C$2746:$C$2802,$C2810)</f>
        <v>7.3463393124</v>
      </c>
    </row>
    <row r="2811">
      <c r="A2811" s="3" t="str">
        <f>$B2811&amp;"."&amp;$C2811&amp;"."&amp;$D2811</f>
        <v>nav.die.oc</v>
      </c>
      <c r="B2811" s="8" t="inlineStr">
        <is>
          <t>nav</t>
        </is>
      </c>
      <c r="C2811" s="8" t="inlineStr">
        <is>
          <t>die</t>
        </is>
      </c>
      <c r="D2811" s="8" t="inlineStr">
        <is>
          <t>oc</t>
        </is>
      </c>
      <c r="E2811" s="3" t="str">
        <f>CodePrefix&amp;"ef."&amp;$A2811</f>
        <v>egy.mit.ef.nav.die.oc</v>
      </c>
      <c r="F2811" s="3" t="str">
        <f>CtryReg&amp;".mit.ef."&amp;$A2811</f>
        <v>mea.mit.ef.nav.die.oc</v>
      </c>
      <c r="G2811" s="3" t="str">
        <f>"wld.mit.ef."&amp;$A2811</f>
        <v>wld.mit.ef.nav.die.oc</v>
      </c>
      <c r="H2811" s="3" t="inlineStr">
        <is>
          <t>egy.mit.ef.nav.die.oc</t>
        </is>
      </c>
      <c r="I2811" s="236" t="n">
        <v>1.16476776</v>
      </c>
      <c r="J2811" s="236" t="n">
        <v>1.16476776</v>
      </c>
    </row>
    <row r="2812">
      <c r="A2812" s="3" t="str">
        <f>$B2812&amp;"."&amp;$C2812&amp;"."&amp;$D2812</f>
        <v>nav.oop.oc</v>
      </c>
      <c r="B2812" s="8" t="inlineStr">
        <is>
          <t>nav</t>
        </is>
      </c>
      <c r="C2812" s="8" t="inlineStr">
        <is>
          <t>oop</t>
        </is>
      </c>
      <c r="D2812" s="8" t="inlineStr">
        <is>
          <t>oc</t>
        </is>
      </c>
      <c r="E2812" s="3" t="str">
        <f>CodePrefix&amp;"ef."&amp;$A2812</f>
        <v>egy.mit.ef.nav.oop.oc</v>
      </c>
      <c r="F2812" s="3" t="str">
        <f>CtryReg&amp;".mit.ef."&amp;$A2812</f>
        <v>mea.mit.ef.nav.oop.oc</v>
      </c>
      <c r="G2812" s="3" t="str">
        <f>"wld.mit.ef."&amp;$A2812</f>
        <v>wld.mit.ef.nav.oop.oc</v>
      </c>
      <c r="H2812" s="3" t="inlineStr">
        <is>
          <t>egy.mit.ef.nav.oop.oc</t>
        </is>
      </c>
      <c r="I2812" s="236" t="n">
        <v>1.4658321744</v>
      </c>
      <c r="J2812" s="236" t="n">
        <v>1.2544992576</v>
      </c>
    </row>
    <row r="2813">
      <c r="A2813" s="3" t="str">
        <f>$B2813&amp;"."&amp;$C2813&amp;"."&amp;$D2813</f>
        <v>pow.coa.ch4</v>
      </c>
      <c r="B2813" s="8" t="inlineStr">
        <is>
          <t>pow</t>
        </is>
      </c>
      <c r="C2813" s="8" t="inlineStr">
        <is>
          <t>coa</t>
        </is>
      </c>
      <c r="D2813" s="8" t="inlineStr">
        <is>
          <t>ch4</t>
        </is>
      </c>
      <c r="E2813" s="3" t="str">
        <f>CodePrefix&amp;"ef."&amp;$A2813</f>
        <v>egy.mit.ef.pow.coa.ch4</v>
      </c>
      <c r="F2813" s="3" t="str">
        <f>CtryReg&amp;".mit.ef."&amp;$A2813</f>
        <v>mea.mit.ef.pow.coa.ch4</v>
      </c>
      <c r="G2813" s="3" t="str">
        <f>"wld.mit.ef."&amp;$A2813</f>
        <v>wld.mit.ef.pow.coa.ch4</v>
      </c>
      <c r="H2813" s="3" t="inlineStr">
        <is>
          <t>mea.mit.ef.pow.coa.ch4</t>
        </is>
      </c>
      <c r="I2813" s="236" t="n">
        <v>0.041868</v>
      </c>
      <c r="J2813" s="236" t="n">
        <v>0.0413195292</v>
      </c>
    </row>
    <row r="2814">
      <c r="A2814" s="3" t="str">
        <f>$B2814&amp;"."&amp;$C2814&amp;"."&amp;$D2814</f>
        <v>pow.nga.ch4</v>
      </c>
      <c r="B2814" s="8" t="inlineStr">
        <is>
          <t>pow</t>
        </is>
      </c>
      <c r="C2814" s="8" t="inlineStr">
        <is>
          <t>nga</t>
        </is>
      </c>
      <c r="D2814" s="8" t="inlineStr">
        <is>
          <t>ch4</t>
        </is>
      </c>
      <c r="E2814" s="3" t="str">
        <f>CodePrefix&amp;"ef."&amp;$A2814</f>
        <v>egy.mit.ef.pow.nga.ch4</v>
      </c>
      <c r="F2814" s="3" t="str">
        <f>CtryReg&amp;".mit.ef."&amp;$A2814</f>
        <v>mea.mit.ef.pow.nga.ch4</v>
      </c>
      <c r="G2814" s="3" t="str">
        <f>"wld.mit.ef."&amp;$A2814</f>
        <v>wld.mit.ef.pow.nga.ch4</v>
      </c>
      <c r="H2814" s="3" t="inlineStr">
        <is>
          <t>egy.mit.ef.pow.nga.ch4</t>
        </is>
      </c>
      <c r="I2814" s="236" t="n">
        <v>1.925928</v>
      </c>
      <c r="J2814" s="236" t="n">
        <v>1.925928</v>
      </c>
    </row>
    <row r="2815">
      <c r="A2815" s="3" t="str">
        <f>$B2815&amp;"."&amp;$C2815&amp;"."&amp;$D2815</f>
        <v>pow.oop.ch4</v>
      </c>
      <c r="B2815" s="8" t="inlineStr">
        <is>
          <t>pow</t>
        </is>
      </c>
      <c r="C2815" s="8" t="inlineStr">
        <is>
          <t>oop</t>
        </is>
      </c>
      <c r="D2815" s="8" t="inlineStr">
        <is>
          <t>ch4</t>
        </is>
      </c>
      <c r="E2815" s="3" t="str">
        <f>CodePrefix&amp;"ef."&amp;$A2815</f>
        <v>egy.mit.ef.pow.oop.ch4</v>
      </c>
      <c r="F2815" s="3" t="str">
        <f>CtryReg&amp;".mit.ef."&amp;$A2815</f>
        <v>mea.mit.ef.pow.oop.ch4</v>
      </c>
      <c r="G2815" s="3" t="str">
        <f>"wld.mit.ef."&amp;$A2815</f>
        <v>wld.mit.ef.pow.oop.ch4</v>
      </c>
      <c r="H2815" s="3" t="inlineStr">
        <is>
          <t>egy.mit.ef.pow.oop.ch4</t>
        </is>
      </c>
      <c r="I2815" s="236" t="n">
        <v>0.125604</v>
      </c>
      <c r="J2815" s="236" t="n">
        <v>0.125604</v>
      </c>
    </row>
    <row r="2816">
      <c r="A2816" s="3" t="str">
        <f>$B2816&amp;"."&amp;$C2816&amp;"."&amp;$D2816</f>
        <v>pow.bio.ch4</v>
      </c>
      <c r="B2816" s="8" t="inlineStr">
        <is>
          <t>pow</t>
        </is>
      </c>
      <c r="C2816" s="8" t="inlineStr">
        <is>
          <t>bio</t>
        </is>
      </c>
      <c r="D2816" s="8" t="inlineStr">
        <is>
          <t>ch4</t>
        </is>
      </c>
      <c r="E2816" s="3" t="str">
        <f>CodePrefix&amp;"ef."&amp;$A2816</f>
        <v>egy.mit.ef.pow.bio.ch4</v>
      </c>
      <c r="F2816" s="3" t="str">
        <f>CtryReg&amp;".mit.ef."&amp;$A2816</f>
        <v>mea.mit.ef.pow.bio.ch4</v>
      </c>
      <c r="G2816" s="3" t="str">
        <f>"wld.mit.ef."&amp;$A2816</f>
        <v>wld.mit.ef.pow.bio.ch4</v>
      </c>
      <c r="H2816" s="3" t="inlineStr">
        <is>
          <t>wld.mit.ef.pow.bio.ch4</t>
        </is>
      </c>
      <c r="I2816" s="236" t="n">
        <v>0</v>
      </c>
      <c r="J2816" s="236" t="n">
        <v>0</v>
      </c>
    </row>
    <row r="2817">
      <c r="A2817" s="3" t="str">
        <f>$B2817&amp;"."&amp;$C2817&amp;"."&amp;$D2817</f>
        <v>rod.gso.ch4</v>
      </c>
      <c r="B2817" s="8" t="inlineStr">
        <is>
          <t>rod</t>
        </is>
      </c>
      <c r="C2817" s="8" t="inlineStr">
        <is>
          <t>gso</t>
        </is>
      </c>
      <c r="D2817" s="8" t="inlineStr">
        <is>
          <t>ch4</t>
        </is>
      </c>
      <c r="E2817" s="3" t="str">
        <f>CodePrefix&amp;"ef."&amp;$A2817</f>
        <v>egy.mit.ef.rod.gso.ch4</v>
      </c>
      <c r="F2817" s="3" t="str">
        <f>CtryReg&amp;".mit.ef."&amp;$A2817</f>
        <v>mea.mit.ef.rod.gso.ch4</v>
      </c>
      <c r="G2817" s="3" t="str">
        <f>"wld.mit.ef."&amp;$A2817</f>
        <v>wld.mit.ef.rod.gso.ch4</v>
      </c>
      <c r="H2817" s="3" t="inlineStr">
        <is>
          <t>egy.mit.ef.rod.gso.ch4</t>
        </is>
      </c>
      <c r="I2817" s="236" t="n">
        <v>2.00432583</v>
      </c>
      <c r="J2817" s="236" t="n">
        <v>0.6985633932</v>
      </c>
    </row>
    <row r="2818">
      <c r="A2818" s="3" t="str">
        <f>$B2818&amp;"."&amp;$C2818&amp;"."&amp;$D2818</f>
        <v>rod.die.ch4</v>
      </c>
      <c r="B2818" s="8" t="inlineStr">
        <is>
          <t>rod</t>
        </is>
      </c>
      <c r="C2818" s="8" t="inlineStr">
        <is>
          <t>die</t>
        </is>
      </c>
      <c r="D2818" s="8" t="inlineStr">
        <is>
          <t>ch4</t>
        </is>
      </c>
      <c r="E2818" s="3" t="str">
        <f>CodePrefix&amp;"ef."&amp;$A2818</f>
        <v>egy.mit.ef.rod.die.ch4</v>
      </c>
      <c r="F2818" s="3" t="str">
        <f>CtryReg&amp;".mit.ef."&amp;$A2818</f>
        <v>mea.mit.ef.rod.die.ch4</v>
      </c>
      <c r="G2818" s="3" t="str">
        <f>"wld.mit.ef."&amp;$A2818</f>
        <v>wld.mit.ef.rod.die.ch4</v>
      </c>
      <c r="H2818" s="3" t="inlineStr">
        <is>
          <t>egy.mit.ef.rod.die.ch4</t>
        </is>
      </c>
      <c r="I2818" s="236" t="n">
        <v>0.6458557680000001</v>
      </c>
      <c r="J2818" s="236" t="n">
        <v>0.6134541228</v>
      </c>
    </row>
    <row r="2819">
      <c r="A2819" s="3" t="str">
        <f>$B2819&amp;"."&amp;$C2819&amp;"."&amp;$D2819</f>
        <v>rod.lpg.ch4</v>
      </c>
      <c r="B2819" s="8" t="inlineStr">
        <is>
          <t>rod</t>
        </is>
      </c>
      <c r="C2819" s="8" t="inlineStr">
        <is>
          <t>lpg</t>
        </is>
      </c>
      <c r="D2819" s="8" t="inlineStr">
        <is>
          <t>ch4</t>
        </is>
      </c>
      <c r="E2819" s="3" t="str">
        <f>CodePrefix&amp;"ef."&amp;$A2819</f>
        <v>egy.mit.ef.rod.lpg.ch4</v>
      </c>
      <c r="F2819" s="3" t="str">
        <f>CtryReg&amp;".mit.ef."&amp;$A2819</f>
        <v>mea.mit.ef.rod.lpg.ch4</v>
      </c>
      <c r="G2819" s="3" t="str">
        <f>"wld.mit.ef."&amp;$A2819</f>
        <v>wld.mit.ef.rod.lpg.ch4</v>
      </c>
      <c r="H2819" s="3" t="inlineStr">
        <is>
          <t>mea.mit.ef.rod.lpg.ch4</t>
        </is>
      </c>
      <c r="I2819" s="236" t="n">
        <v>1.1160292212</v>
      </c>
      <c r="J2819" s="236" t="n">
        <v>1.027985004</v>
      </c>
    </row>
    <row r="2820">
      <c r="A2820" s="3" t="str">
        <f>$B2820&amp;"."&amp;$C2820&amp;"."&amp;$D2820</f>
        <v>rod.ker.ch4</v>
      </c>
      <c r="B2820" s="8" t="inlineStr">
        <is>
          <t>rod</t>
        </is>
      </c>
      <c r="C2820" s="8" t="inlineStr">
        <is>
          <t>ker</t>
        </is>
      </c>
      <c r="D2820" s="8" t="inlineStr">
        <is>
          <t>ch4</t>
        </is>
      </c>
      <c r="E2820" s="3" t="str">
        <f>CodePrefix&amp;"ef."&amp;$A2820</f>
        <v>egy.mit.ef.rod.ker.ch4</v>
      </c>
      <c r="F2820" s="3" t="str">
        <f>CtryReg&amp;".mit.ef."&amp;$A2820</f>
        <v>mea.mit.ef.rod.ker.ch4</v>
      </c>
      <c r="G2820" s="3" t="str">
        <f>"wld.mit.ef."&amp;$A2820</f>
        <v>wld.mit.ef.rod.ker.ch4</v>
      </c>
      <c r="H2820" s="3" t="inlineStr">
        <is>
          <t>wld.mit.ef.rod.ker.ch4</t>
        </is>
      </c>
      <c r="I2820" s="236" t="n">
        <v>0</v>
      </c>
      <c r="J2820" s="236" t="n">
        <v>0</v>
      </c>
    </row>
    <row r="2821">
      <c r="A2821" s="3" t="str">
        <f>$B2821&amp;"."&amp;$C2821&amp;"."&amp;$D2821</f>
        <v>rod.nga.ch4</v>
      </c>
      <c r="B2821" s="8" t="inlineStr">
        <is>
          <t>rod</t>
        </is>
      </c>
      <c r="C2821" s="8" t="inlineStr">
        <is>
          <t>nga</t>
        </is>
      </c>
      <c r="D2821" s="8" t="inlineStr">
        <is>
          <t>ch4</t>
        </is>
      </c>
      <c r="E2821" s="3" t="str">
        <f>CodePrefix&amp;"ef."&amp;$A2821</f>
        <v>egy.mit.ef.rod.nga.ch4</v>
      </c>
      <c r="F2821" s="3" t="str">
        <f>CtryReg&amp;".mit.ef."&amp;$A2821</f>
        <v>mea.mit.ef.rod.nga.ch4</v>
      </c>
      <c r="G2821" s="3" t="str">
        <f>"wld.mit.ef."&amp;$A2821</f>
        <v>wld.mit.ef.rod.nga.ch4</v>
      </c>
      <c r="H2821" s="3" t="inlineStr">
        <is>
          <t>egy.mit.ef.rod.nga.ch4</t>
        </is>
      </c>
      <c r="I2821" s="236" t="n">
        <v>15.0485189436</v>
      </c>
      <c r="J2821" s="236" t="n">
        <v>8.8725367692</v>
      </c>
    </row>
    <row r="2822">
      <c r="A2822" s="3" t="str">
        <f>$B2822&amp;"."&amp;$C2822&amp;"."&amp;$D2822</f>
        <v>ral.die.ch4</v>
      </c>
      <c r="B2822" s="8" t="inlineStr">
        <is>
          <t>ral</t>
        </is>
      </c>
      <c r="C2822" s="8" t="inlineStr">
        <is>
          <t>die</t>
        </is>
      </c>
      <c r="D2822" s="8" t="inlineStr">
        <is>
          <t>ch4</t>
        </is>
      </c>
      <c r="E2822" s="3" t="str">
        <f>CodePrefix&amp;"ef."&amp;$A2822</f>
        <v>egy.mit.ef.ral.die.ch4</v>
      </c>
      <c r="F2822" s="3" t="str">
        <f>CtryReg&amp;".mit.ef."&amp;$A2822</f>
        <v>mea.mit.ef.ral.die.ch4</v>
      </c>
      <c r="G2822" s="3" t="str">
        <f>"wld.mit.ef."&amp;$A2822</f>
        <v>wld.mit.ef.ral.die.ch4</v>
      </c>
      <c r="H2822" s="3" t="inlineStr">
        <is>
          <t>mea.mit.ef.ral.die.ch4</t>
        </is>
      </c>
      <c r="I2822" s="236" t="n">
        <v>0.1737522</v>
      </c>
      <c r="J2822" s="236" t="n">
        <v>0.1737522</v>
      </c>
    </row>
    <row r="2823">
      <c r="A2823" s="3" t="str">
        <f>$B2823&amp;"."&amp;$C2823&amp;"."&amp;$D2823</f>
        <v>avi.jfu.ch4</v>
      </c>
      <c r="B2823" s="8" t="inlineStr">
        <is>
          <t>avi</t>
        </is>
      </c>
      <c r="C2823" s="8" t="inlineStr">
        <is>
          <t>jfu</t>
        </is>
      </c>
      <c r="D2823" s="8" t="inlineStr">
        <is>
          <t>ch4</t>
        </is>
      </c>
      <c r="E2823" s="3" t="str">
        <f>CodePrefix&amp;"ef."&amp;$A2823</f>
        <v>egy.mit.ef.avi.jfu.ch4</v>
      </c>
      <c r="F2823" s="3" t="str">
        <f>CtryReg&amp;".mit.ef."&amp;$A2823</f>
        <v>mea.mit.ef.avi.jfu.ch4</v>
      </c>
      <c r="G2823" s="3" t="str">
        <f>"wld.mit.ef."&amp;$A2823</f>
        <v>wld.mit.ef.avi.jfu.ch4</v>
      </c>
      <c r="H2823" s="3" t="inlineStr">
        <is>
          <t>egy.mit.ef.avi.jfu.ch4</t>
        </is>
      </c>
      <c r="I2823" s="236" t="n">
        <v>0.020934</v>
      </c>
      <c r="J2823" s="236" t="n">
        <v>0.020934</v>
      </c>
    </row>
    <row r="2824">
      <c r="A2824" s="3" t="str">
        <f>$B2824&amp;"."&amp;$C2824&amp;"."&amp;$D2824</f>
        <v>res.coa.ch4</v>
      </c>
      <c r="B2824" s="8" t="inlineStr">
        <is>
          <t>res</t>
        </is>
      </c>
      <c r="C2824" s="8" t="inlineStr">
        <is>
          <t>coa</t>
        </is>
      </c>
      <c r="D2824" s="8" t="inlineStr">
        <is>
          <t>ch4</t>
        </is>
      </c>
      <c r="E2824" s="3" t="str">
        <f>CodePrefix&amp;"ef."&amp;$A2824</f>
        <v>egy.mit.ef.res.coa.ch4</v>
      </c>
      <c r="F2824" s="3" t="str">
        <f>CtryReg&amp;".mit.ef."&amp;$A2824</f>
        <v>mea.mit.ef.res.coa.ch4</v>
      </c>
      <c r="G2824" s="3" t="str">
        <f>"wld.mit.ef."&amp;$A2824</f>
        <v>wld.mit.ef.res.coa.ch4</v>
      </c>
      <c r="H2824" s="3" t="inlineStr">
        <is>
          <t>mea.mit.ef.res.coa.ch4</t>
        </is>
      </c>
      <c r="I2824" s="236" t="n">
        <v>1.03686102</v>
      </c>
      <c r="J2824" s="236" t="n">
        <v>1.03686102</v>
      </c>
    </row>
    <row r="2825">
      <c r="A2825" s="3" t="str">
        <f>$B2825&amp;"."&amp;$C2825&amp;"."&amp;$D2825</f>
        <v>res.nga.ch4</v>
      </c>
      <c r="B2825" s="8" t="inlineStr">
        <is>
          <t>res</t>
        </is>
      </c>
      <c r="C2825" s="8" t="inlineStr">
        <is>
          <t>nga</t>
        </is>
      </c>
      <c r="D2825" s="8" t="inlineStr">
        <is>
          <t>ch4</t>
        </is>
      </c>
      <c r="E2825" s="3" t="str">
        <f>CodePrefix&amp;"ef."&amp;$A2825</f>
        <v>egy.mit.ef.res.nga.ch4</v>
      </c>
      <c r="F2825" s="3" t="str">
        <f>CtryReg&amp;".mit.ef."&amp;$A2825</f>
        <v>mea.mit.ef.res.nga.ch4</v>
      </c>
      <c r="G2825" s="3" t="str">
        <f>"wld.mit.ef."&amp;$A2825</f>
        <v>wld.mit.ef.res.nga.ch4</v>
      </c>
      <c r="H2825" s="3" t="inlineStr">
        <is>
          <t>egy.mit.ef.res.nga.ch4</t>
        </is>
      </c>
      <c r="I2825" s="236" t="n">
        <v>8.373600000000001</v>
      </c>
      <c r="J2825" s="236" t="n">
        <v>8.373600000000001</v>
      </c>
    </row>
    <row r="2826">
      <c r="A2826" s="3" t="str">
        <f>$B2826&amp;"."&amp;$C2826&amp;"."&amp;$D2826</f>
        <v>res.oop.ch4</v>
      </c>
      <c r="B2826" s="8" t="inlineStr">
        <is>
          <t>res</t>
        </is>
      </c>
      <c r="C2826" s="8" t="inlineStr">
        <is>
          <t>oop</t>
        </is>
      </c>
      <c r="D2826" s="8" t="inlineStr">
        <is>
          <t>ch4</t>
        </is>
      </c>
      <c r="E2826" s="3" t="str">
        <f>CodePrefix&amp;"ef."&amp;$A2826</f>
        <v>egy.mit.ef.res.oop.ch4</v>
      </c>
      <c r="F2826" s="3" t="str">
        <f>CtryReg&amp;".mit.ef."&amp;$A2826</f>
        <v>mea.mit.ef.res.oop.ch4</v>
      </c>
      <c r="G2826" s="3" t="str">
        <f>"wld.mit.ef."&amp;$A2826</f>
        <v>wld.mit.ef.res.oop.ch4</v>
      </c>
      <c r="H2826" s="3" t="inlineStr">
        <is>
          <t>wld.mit.ef.res.oop.ch4</t>
        </is>
      </c>
      <c r="I2826" s="236" t="n">
        <v>0</v>
      </c>
      <c r="J2826" s="236" t="n">
        <v>0</v>
      </c>
    </row>
    <row r="2827">
      <c r="A2827" s="3" t="str">
        <f>$B2827&amp;"."&amp;$C2827&amp;"."&amp;$D2827</f>
        <v>res.lpg.ch4</v>
      </c>
      <c r="B2827" s="8" t="inlineStr">
        <is>
          <t>res</t>
        </is>
      </c>
      <c r="C2827" s="8" t="inlineStr">
        <is>
          <t>lpg</t>
        </is>
      </c>
      <c r="D2827" s="8" t="inlineStr">
        <is>
          <t>ch4</t>
        </is>
      </c>
      <c r="E2827" s="3" t="str">
        <f>CodePrefix&amp;"ef."&amp;$A2827</f>
        <v>egy.mit.ef.res.lpg.ch4</v>
      </c>
      <c r="F2827" s="3" t="str">
        <f>CtryReg&amp;".mit.ef."&amp;$A2827</f>
        <v>mea.mit.ef.res.lpg.ch4</v>
      </c>
      <c r="G2827" s="3" t="str">
        <f>"wld.mit.ef."&amp;$A2827</f>
        <v>wld.mit.ef.res.lpg.ch4</v>
      </c>
      <c r="H2827" s="3" t="inlineStr">
        <is>
          <t>mea.mit.ef.res.lpg.ch4</t>
        </is>
      </c>
      <c r="I2827" s="236" t="n">
        <v>0.041868</v>
      </c>
      <c r="J2827" s="236" t="n">
        <v>0.041868</v>
      </c>
    </row>
    <row r="2828">
      <c r="A2828" s="3" t="str">
        <f>$B2828&amp;"."&amp;$C2828&amp;"."&amp;$D2828</f>
        <v>res.ker.ch4</v>
      </c>
      <c r="B2828" s="8" t="inlineStr">
        <is>
          <t>res</t>
        </is>
      </c>
      <c r="C2828" s="8" t="inlineStr">
        <is>
          <t>ker</t>
        </is>
      </c>
      <c r="D2828" s="8" t="inlineStr">
        <is>
          <t>ch4</t>
        </is>
      </c>
      <c r="E2828" s="3" t="str">
        <f>CodePrefix&amp;"ef."&amp;$A2828</f>
        <v>egy.mit.ef.res.ker.ch4</v>
      </c>
      <c r="F2828" s="3" t="str">
        <f>CtryReg&amp;".mit.ef."&amp;$A2828</f>
        <v>mea.mit.ef.res.ker.ch4</v>
      </c>
      <c r="G2828" s="3" t="str">
        <f>"wld.mit.ef."&amp;$A2828</f>
        <v>wld.mit.ef.res.ker.ch4</v>
      </c>
      <c r="H2828" s="3" t="inlineStr">
        <is>
          <t>mea.mit.ef.res.ker.ch4</t>
        </is>
      </c>
      <c r="I2828" s="236" t="n">
        <v>0.1259012628</v>
      </c>
      <c r="J2828" s="236" t="n">
        <v>0.125604</v>
      </c>
    </row>
    <row r="2829">
      <c r="A2829" s="3" t="str">
        <f>$B2829&amp;"."&amp;$C2829&amp;"."&amp;$D2829</f>
        <v>res.bio.ch4</v>
      </c>
      <c r="B2829" s="8" t="inlineStr">
        <is>
          <t>res</t>
        </is>
      </c>
      <c r="C2829" s="8" t="inlineStr">
        <is>
          <t>bio</t>
        </is>
      </c>
      <c r="D2829" s="8" t="inlineStr">
        <is>
          <t>ch4</t>
        </is>
      </c>
      <c r="E2829" s="3" t="str">
        <f>CodePrefix&amp;"ef."&amp;$A2829</f>
        <v>egy.mit.ef.res.bio.ch4</v>
      </c>
      <c r="F2829" s="3" t="str">
        <f>CtryReg&amp;".mit.ef."&amp;$A2829</f>
        <v>mea.mit.ef.res.bio.ch4</v>
      </c>
      <c r="G2829" s="3" t="str">
        <f>"wld.mit.ef."&amp;$A2829</f>
        <v>wld.mit.ef.res.bio.ch4</v>
      </c>
      <c r="H2829" s="3" t="inlineStr">
        <is>
          <t>egy.mit.ef.res.bio.ch4</t>
        </is>
      </c>
      <c r="I2829" s="236" t="n">
        <v>16.7472</v>
      </c>
      <c r="J2829" s="236" t="n">
        <v>10.7454222</v>
      </c>
    </row>
    <row r="2830">
      <c r="A2830" s="3" t="str">
        <f>$B2830&amp;"."&amp;$C2830&amp;"."&amp;$D2830</f>
        <v>cst.coa.ch4</v>
      </c>
      <c r="B2830" s="8" t="inlineStr">
        <is>
          <t>cst</t>
        </is>
      </c>
      <c r="C2830" s="8" t="inlineStr">
        <is>
          <t>coa</t>
        </is>
      </c>
      <c r="D2830" s="8" t="inlineStr">
        <is>
          <t>ch4</t>
        </is>
      </c>
      <c r="E2830" s="3" t="str">
        <f>CodePrefix&amp;"ef."&amp;$A2830</f>
        <v>egy.mit.ef.cst.coa.ch4</v>
      </c>
      <c r="F2830" s="3" t="str">
        <f>CtryReg&amp;".mit.ef."&amp;$A2830</f>
        <v>mea.mit.ef.cst.coa.ch4</v>
      </c>
      <c r="G2830" s="3" t="str">
        <f>"wld.mit.ef."&amp;$A2830</f>
        <v>wld.mit.ef.cst.coa.ch4</v>
      </c>
      <c r="H2830" s="3" t="inlineStr">
        <is>
          <t>wld.mit.ef.cst.coa.ch4</t>
        </is>
      </c>
      <c r="I2830" s="236" t="n">
        <v>0</v>
      </c>
      <c r="J2830" s="236" t="n">
        <v>0</v>
      </c>
    </row>
    <row r="2831">
      <c r="A2831" s="3" t="str">
        <f>$B2831&amp;"."&amp;$C2831&amp;"."&amp;$D2831</f>
        <v>cst.nga.ch4</v>
      </c>
      <c r="B2831" s="8" t="inlineStr">
        <is>
          <t>cst</t>
        </is>
      </c>
      <c r="C2831" s="8" t="inlineStr">
        <is>
          <t>nga</t>
        </is>
      </c>
      <c r="D2831" s="8" t="inlineStr">
        <is>
          <t>ch4</t>
        </is>
      </c>
      <c r="E2831" s="3" t="str">
        <f>CodePrefix&amp;"ef."&amp;$A2831</f>
        <v>egy.mit.ef.cst.nga.ch4</v>
      </c>
      <c r="F2831" s="3" t="str">
        <f>CtryReg&amp;".mit.ef."&amp;$A2831</f>
        <v>mea.mit.ef.cst.nga.ch4</v>
      </c>
      <c r="G2831" s="3" t="str">
        <f>"wld.mit.ef."&amp;$A2831</f>
        <v>wld.mit.ef.cst.nga.ch4</v>
      </c>
      <c r="H2831" s="3" t="inlineStr">
        <is>
          <t>wld.mit.ef.cst.nga.ch4</t>
        </is>
      </c>
      <c r="I2831" s="236" t="n">
        <v>0</v>
      </c>
      <c r="J2831" s="236" t="n">
        <v>0</v>
      </c>
    </row>
    <row r="2832">
      <c r="A2832" s="3" t="str">
        <f>$B2832&amp;"."&amp;$C2832&amp;"."&amp;$D2832</f>
        <v>cst.oop.ch4</v>
      </c>
      <c r="B2832" s="8" t="inlineStr">
        <is>
          <t>cst</t>
        </is>
      </c>
      <c r="C2832" s="8" t="inlineStr">
        <is>
          <t>oop</t>
        </is>
      </c>
      <c r="D2832" s="8" t="inlineStr">
        <is>
          <t>ch4</t>
        </is>
      </c>
      <c r="E2832" s="3" t="str">
        <f>CodePrefix&amp;"ef."&amp;$A2832</f>
        <v>egy.mit.ef.cst.oop.ch4</v>
      </c>
      <c r="F2832" s="3" t="str">
        <f>CtryReg&amp;".mit.ef."&amp;$A2832</f>
        <v>mea.mit.ef.cst.oop.ch4</v>
      </c>
      <c r="G2832" s="3" t="str">
        <f>"wld.mit.ef."&amp;$A2832</f>
        <v>wld.mit.ef.cst.oop.ch4</v>
      </c>
      <c r="H2832" s="3" t="inlineStr">
        <is>
          <t>wld.mit.ef.cst.oop.ch4</t>
        </is>
      </c>
      <c r="I2832" s="236" t="n">
        <v>0</v>
      </c>
      <c r="J2832" s="236" t="n">
        <v>0</v>
      </c>
    </row>
    <row r="2833">
      <c r="A2833" s="3" t="str">
        <f>$B2833&amp;"."&amp;$C2833&amp;"."&amp;$D2833</f>
        <v>cst.gso.ch4</v>
      </c>
      <c r="B2833" s="8" t="inlineStr">
        <is>
          <t>cst</t>
        </is>
      </c>
      <c r="C2833" s="8" t="inlineStr">
        <is>
          <t>gso</t>
        </is>
      </c>
      <c r="D2833" s="8" t="inlineStr">
        <is>
          <t>ch4</t>
        </is>
      </c>
      <c r="E2833" s="3" t="str">
        <f>CodePrefix&amp;"ef."&amp;$A2833</f>
        <v>egy.mit.ef.cst.gso.ch4</v>
      </c>
      <c r="F2833" s="3" t="str">
        <f>CtryReg&amp;".mit.ef."&amp;$A2833</f>
        <v>mea.mit.ef.cst.gso.ch4</v>
      </c>
      <c r="G2833" s="3" t="str">
        <f>"wld.mit.ef."&amp;$A2833</f>
        <v>wld.mit.ef.cst.gso.ch4</v>
      </c>
      <c r="H2833" s="3" t="inlineStr">
        <is>
          <t>egy.mit.ef.cst.gso.ch4</t>
        </is>
      </c>
      <c r="I2833" s="236" t="n">
        <v>4.186800000000001</v>
      </c>
      <c r="J2833" s="236" t="n">
        <v>4.186800000000001</v>
      </c>
    </row>
    <row r="2834">
      <c r="A2834" s="3" t="str">
        <f>$B2834&amp;"."&amp;$C2834&amp;"."&amp;$D2834</f>
        <v>cst.die.ch4</v>
      </c>
      <c r="B2834" s="8" t="inlineStr">
        <is>
          <t>cst</t>
        </is>
      </c>
      <c r="C2834" s="8" t="inlineStr">
        <is>
          <t>die</t>
        </is>
      </c>
      <c r="D2834" s="8" t="inlineStr">
        <is>
          <t>ch4</t>
        </is>
      </c>
      <c r="E2834" s="3" t="str">
        <f>CodePrefix&amp;"ef."&amp;$A2834</f>
        <v>egy.mit.ef.cst.die.ch4</v>
      </c>
      <c r="F2834" s="3" t="str">
        <f>CtryReg&amp;".mit.ef."&amp;$A2834</f>
        <v>mea.mit.ef.cst.die.ch4</v>
      </c>
      <c r="G2834" s="3" t="str">
        <f>"wld.mit.ef."&amp;$A2834</f>
        <v>wld.mit.ef.cst.die.ch4</v>
      </c>
      <c r="H2834" s="3" t="inlineStr">
        <is>
          <t>egy.mit.ef.cst.die.ch4</t>
        </is>
      </c>
      <c r="I2834" s="236" t="n">
        <v>0.1737522</v>
      </c>
      <c r="J2834" s="236" t="n">
        <v>0.1737522</v>
      </c>
    </row>
    <row r="2835">
      <c r="A2835" s="3" t="str">
        <f>$B2835&amp;"."&amp;$C2835&amp;"."&amp;$D2835</f>
        <v>cst.lpg.ch4</v>
      </c>
      <c r="B2835" s="8" t="inlineStr">
        <is>
          <t>cst</t>
        </is>
      </c>
      <c r="C2835" s="8" t="inlineStr">
        <is>
          <t>lpg</t>
        </is>
      </c>
      <c r="D2835" s="8" t="inlineStr">
        <is>
          <t>ch4</t>
        </is>
      </c>
      <c r="E2835" s="3" t="str">
        <f>CodePrefix&amp;"ef."&amp;$A2835</f>
        <v>egy.mit.ef.cst.lpg.ch4</v>
      </c>
      <c r="F2835" s="3" t="str">
        <f>CtryReg&amp;".mit.ef."&amp;$A2835</f>
        <v>mea.mit.ef.cst.lpg.ch4</v>
      </c>
      <c r="G2835" s="3" t="str">
        <f>"wld.mit.ef."&amp;$A2835</f>
        <v>wld.mit.ef.cst.lpg.ch4</v>
      </c>
      <c r="H2835" s="3" t="inlineStr">
        <is>
          <t>egy.mit.ef.cst.lpg.ch4</t>
        </is>
      </c>
      <c r="I2835" s="236" t="n">
        <v>3.34944</v>
      </c>
      <c r="J2835" s="236" t="n">
        <v>3.34944</v>
      </c>
    </row>
    <row r="2836">
      <c r="A2836" s="3" t="str">
        <f>$B2836&amp;"."&amp;$C2836&amp;"."&amp;$D2836</f>
        <v>cst.ker.ch4</v>
      </c>
      <c r="B2836" s="8" t="inlineStr">
        <is>
          <t>cst</t>
        </is>
      </c>
      <c r="C2836" s="8" t="inlineStr">
        <is>
          <t>ker</t>
        </is>
      </c>
      <c r="D2836" s="8" t="inlineStr">
        <is>
          <t>ch4</t>
        </is>
      </c>
      <c r="E2836" s="3" t="str">
        <f>CodePrefix&amp;"ef."&amp;$A2836</f>
        <v>egy.mit.ef.cst.ker.ch4</v>
      </c>
      <c r="F2836" s="3" t="str">
        <f>CtryReg&amp;".mit.ef."&amp;$A2836</f>
        <v>mea.mit.ef.cst.ker.ch4</v>
      </c>
      <c r="G2836" s="3" t="str">
        <f>"wld.mit.ef."&amp;$A2836</f>
        <v>wld.mit.ef.cst.ker.ch4</v>
      </c>
      <c r="H2836" s="3" t="inlineStr">
        <is>
          <t>egy.mit.ef.cst.ker.ch4</t>
        </is>
      </c>
      <c r="I2836" s="236" t="n">
        <v>4.186800000000001</v>
      </c>
      <c r="J2836" s="236" t="n">
        <v>4.186800000000001</v>
      </c>
    </row>
    <row r="2837">
      <c r="A2837" s="3" t="str">
        <f>$B2837&amp;"."&amp;$C2837&amp;"."&amp;$D2837</f>
        <v>cst.bio.ch4</v>
      </c>
      <c r="B2837" s="8" t="inlineStr">
        <is>
          <t>cst</t>
        </is>
      </c>
      <c r="C2837" s="8" t="inlineStr">
        <is>
          <t>bio</t>
        </is>
      </c>
      <c r="D2837" s="8" t="inlineStr">
        <is>
          <t>ch4</t>
        </is>
      </c>
      <c r="E2837" s="3" t="str">
        <f>CodePrefix&amp;"ef."&amp;$A2837</f>
        <v>egy.mit.ef.cst.bio.ch4</v>
      </c>
      <c r="F2837" s="3" t="str">
        <f>CtryReg&amp;".mit.ef."&amp;$A2837</f>
        <v>mea.mit.ef.cst.bio.ch4</v>
      </c>
      <c r="G2837" s="3" t="str">
        <f>"wld.mit.ef."&amp;$A2837</f>
        <v>wld.mit.ef.cst.bio.ch4</v>
      </c>
      <c r="H2837" s="3" t="inlineStr">
        <is>
          <t>wld.mit.ef.cst.bio.ch4</t>
        </is>
      </c>
      <c r="I2837" s="236" t="n">
        <v>0</v>
      </c>
      <c r="J2837" s="236" t="n">
        <v>0</v>
      </c>
    </row>
    <row r="2838">
      <c r="A2838" s="3" t="str">
        <f>$B2838&amp;"."&amp;$C2838&amp;"."&amp;$D2838</f>
        <v>srv.coa.ch4</v>
      </c>
      <c r="B2838" s="8" t="inlineStr">
        <is>
          <t>srv</t>
        </is>
      </c>
      <c r="C2838" s="8" t="inlineStr">
        <is>
          <t>coa</t>
        </is>
      </c>
      <c r="D2838" s="8" t="inlineStr">
        <is>
          <t>ch4</t>
        </is>
      </c>
      <c r="E2838" s="3" t="str">
        <f>CodePrefix&amp;"ef."&amp;$A2838</f>
        <v>egy.mit.ef.srv.coa.ch4</v>
      </c>
      <c r="F2838" s="3" t="str">
        <f>CtryReg&amp;".mit.ef."&amp;$A2838</f>
        <v>mea.mit.ef.srv.coa.ch4</v>
      </c>
      <c r="G2838" s="3" t="str">
        <f>"wld.mit.ef."&amp;$A2838</f>
        <v>wld.mit.ef.srv.coa.ch4</v>
      </c>
      <c r="H2838" s="3" t="inlineStr">
        <is>
          <t>wld.mit.ef.srv.coa.ch4</t>
        </is>
      </c>
      <c r="I2838" s="236" t="n">
        <v>0</v>
      </c>
      <c r="J2838" s="236" t="n">
        <v>0</v>
      </c>
    </row>
    <row r="2839">
      <c r="A2839" s="3" t="str">
        <f>$B2839&amp;"."&amp;$C2839&amp;"."&amp;$D2839</f>
        <v>srv.nga.ch4</v>
      </c>
      <c r="B2839" s="8" t="inlineStr">
        <is>
          <t>srv</t>
        </is>
      </c>
      <c r="C2839" s="8" t="inlineStr">
        <is>
          <t>nga</t>
        </is>
      </c>
      <c r="D2839" s="8" t="inlineStr">
        <is>
          <t>ch4</t>
        </is>
      </c>
      <c r="E2839" s="3" t="str">
        <f>CodePrefix&amp;"ef."&amp;$A2839</f>
        <v>egy.mit.ef.srv.nga.ch4</v>
      </c>
      <c r="F2839" s="3" t="str">
        <f>CtryReg&amp;".mit.ef."&amp;$A2839</f>
        <v>mea.mit.ef.srv.nga.ch4</v>
      </c>
      <c r="G2839" s="3" t="str">
        <f>"wld.mit.ef."&amp;$A2839</f>
        <v>wld.mit.ef.srv.nga.ch4</v>
      </c>
      <c r="H2839" s="3" t="inlineStr">
        <is>
          <t>mea.mit.ef.srv.nga.ch4</t>
        </is>
      </c>
      <c r="I2839" s="236" t="n">
        <v>8.373600000000001</v>
      </c>
      <c r="J2839" s="236" t="n">
        <v>8.373600000000001</v>
      </c>
    </row>
    <row r="2840">
      <c r="A2840" s="3" t="str">
        <f>$B2840&amp;"."&amp;$C2840&amp;"."&amp;$D2840</f>
        <v>srv.oop.ch4</v>
      </c>
      <c r="B2840" s="8" t="inlineStr">
        <is>
          <t>srv</t>
        </is>
      </c>
      <c r="C2840" s="8" t="inlineStr">
        <is>
          <t>oop</t>
        </is>
      </c>
      <c r="D2840" s="8" t="inlineStr">
        <is>
          <t>ch4</t>
        </is>
      </c>
      <c r="E2840" s="3" t="str">
        <f>CodePrefix&amp;"ef."&amp;$A2840</f>
        <v>egy.mit.ef.srv.oop.ch4</v>
      </c>
      <c r="F2840" s="3" t="str">
        <f>CtryReg&amp;".mit.ef."&amp;$A2840</f>
        <v>mea.mit.ef.srv.oop.ch4</v>
      </c>
      <c r="G2840" s="3" t="str">
        <f>"wld.mit.ef."&amp;$A2840</f>
        <v>wld.mit.ef.srv.oop.ch4</v>
      </c>
      <c r="H2840" s="3" t="inlineStr">
        <is>
          <t>mea.mit.ef.srv.oop.ch4</t>
        </is>
      </c>
      <c r="I2840" s="236" t="n">
        <v>0.125604</v>
      </c>
      <c r="J2840" s="236" t="n">
        <v>0.125604</v>
      </c>
    </row>
    <row r="2841">
      <c r="A2841" s="3" t="str">
        <f>$B2841&amp;"."&amp;$C2841&amp;"."&amp;$D2841</f>
        <v>srv.gso.ch4</v>
      </c>
      <c r="B2841" s="8" t="inlineStr">
        <is>
          <t>srv</t>
        </is>
      </c>
      <c r="C2841" s="8" t="inlineStr">
        <is>
          <t>gso</t>
        </is>
      </c>
      <c r="D2841" s="8" t="inlineStr">
        <is>
          <t>ch4</t>
        </is>
      </c>
      <c r="E2841" s="3" t="str">
        <f>CodePrefix&amp;"ef."&amp;$A2841</f>
        <v>egy.mit.ef.srv.gso.ch4</v>
      </c>
      <c r="F2841" s="3" t="str">
        <f>CtryReg&amp;".mit.ef."&amp;$A2841</f>
        <v>mea.mit.ef.srv.gso.ch4</v>
      </c>
      <c r="G2841" s="3" t="str">
        <f>"wld.mit.ef."&amp;$A2841</f>
        <v>wld.mit.ef.srv.gso.ch4</v>
      </c>
      <c r="H2841" s="3" t="inlineStr">
        <is>
          <t>mea.mit.ef.srv.gso.ch4</t>
        </is>
      </c>
      <c r="I2841" s="236" t="n">
        <v>0.125604</v>
      </c>
      <c r="J2841" s="236" t="n">
        <v>0.125604</v>
      </c>
    </row>
    <row r="2842">
      <c r="A2842" s="3" t="str">
        <f>$B2842&amp;"."&amp;$C2842&amp;"."&amp;$D2842</f>
        <v>srv.die.ch4</v>
      </c>
      <c r="B2842" s="8" t="inlineStr">
        <is>
          <t>srv</t>
        </is>
      </c>
      <c r="C2842" s="8" t="inlineStr">
        <is>
          <t>die</t>
        </is>
      </c>
      <c r="D2842" s="8" t="inlineStr">
        <is>
          <t>ch4</t>
        </is>
      </c>
      <c r="E2842" s="3" t="str">
        <f>CodePrefix&amp;"ef."&amp;$A2842</f>
        <v>egy.mit.ef.srv.die.ch4</v>
      </c>
      <c r="F2842" s="3" t="str">
        <f>CtryReg&amp;".mit.ef."&amp;$A2842</f>
        <v>mea.mit.ef.srv.die.ch4</v>
      </c>
      <c r="G2842" s="3" t="str">
        <f>"wld.mit.ef."&amp;$A2842</f>
        <v>wld.mit.ef.srv.die.ch4</v>
      </c>
      <c r="H2842" s="3" t="inlineStr">
        <is>
          <t>mea.mit.ef.srv.die.ch4</t>
        </is>
      </c>
      <c r="I2842" s="236" t="n">
        <v>0.125604</v>
      </c>
      <c r="J2842" s="236" t="n">
        <v>0.125604</v>
      </c>
    </row>
    <row r="2843">
      <c r="A2843" s="3" t="str">
        <f>$B2843&amp;"."&amp;$C2843&amp;"."&amp;$D2843</f>
        <v>srv.lpg.ch4</v>
      </c>
      <c r="B2843" s="8" t="inlineStr">
        <is>
          <t>srv</t>
        </is>
      </c>
      <c r="C2843" s="8" t="inlineStr">
        <is>
          <t>lpg</t>
        </is>
      </c>
      <c r="D2843" s="8" t="inlineStr">
        <is>
          <t>ch4</t>
        </is>
      </c>
      <c r="E2843" s="3" t="str">
        <f>CodePrefix&amp;"ef."&amp;$A2843</f>
        <v>egy.mit.ef.srv.lpg.ch4</v>
      </c>
      <c r="F2843" s="3" t="str">
        <f>CtryReg&amp;".mit.ef."&amp;$A2843</f>
        <v>mea.mit.ef.srv.lpg.ch4</v>
      </c>
      <c r="G2843" s="3" t="str">
        <f>"wld.mit.ef."&amp;$A2843</f>
        <v>wld.mit.ef.srv.lpg.ch4</v>
      </c>
      <c r="H2843" s="3" t="inlineStr">
        <is>
          <t>mea.mit.ef.srv.lpg.ch4</t>
        </is>
      </c>
      <c r="I2843" s="236" t="n">
        <v>0.041868</v>
      </c>
      <c r="J2843" s="236" t="n">
        <v>0.041868</v>
      </c>
    </row>
    <row r="2844">
      <c r="A2844" s="3" t="str">
        <f>$B2844&amp;"."&amp;$C2844&amp;"."&amp;$D2844</f>
        <v>srv.ker.ch4</v>
      </c>
      <c r="B2844" s="8" t="inlineStr">
        <is>
          <t>srv</t>
        </is>
      </c>
      <c r="C2844" s="8" t="inlineStr">
        <is>
          <t>ker</t>
        </is>
      </c>
      <c r="D2844" s="8" t="inlineStr">
        <is>
          <t>ch4</t>
        </is>
      </c>
      <c r="E2844" s="3" t="str">
        <f>CodePrefix&amp;"ef."&amp;$A2844</f>
        <v>egy.mit.ef.srv.ker.ch4</v>
      </c>
      <c r="F2844" s="3" t="str">
        <f>CtryReg&amp;".mit.ef."&amp;$A2844</f>
        <v>mea.mit.ef.srv.ker.ch4</v>
      </c>
      <c r="G2844" s="3" t="str">
        <f>"wld.mit.ef."&amp;$A2844</f>
        <v>wld.mit.ef.srv.ker.ch4</v>
      </c>
      <c r="H2844" s="3" t="inlineStr">
        <is>
          <t>mea.mit.ef.srv.ker.ch4</t>
        </is>
      </c>
      <c r="I2844" s="236" t="n">
        <v>0.125604</v>
      </c>
      <c r="J2844" s="236" t="n">
        <v>0.125604</v>
      </c>
    </row>
    <row r="2845">
      <c r="A2845" s="3" t="str">
        <f>$B2845&amp;"."&amp;$C2845&amp;"."&amp;$D2845</f>
        <v>srv.bio.ch4</v>
      </c>
      <c r="B2845" s="8" t="inlineStr">
        <is>
          <t>srv</t>
        </is>
      </c>
      <c r="C2845" s="8" t="inlineStr">
        <is>
          <t>bio</t>
        </is>
      </c>
      <c r="D2845" s="8" t="inlineStr">
        <is>
          <t>ch4</t>
        </is>
      </c>
      <c r="E2845" s="3" t="str">
        <f>CodePrefix&amp;"ef."&amp;$A2845</f>
        <v>egy.mit.ef.srv.bio.ch4</v>
      </c>
      <c r="F2845" s="3" t="str">
        <f>CtryReg&amp;".mit.ef."&amp;$A2845</f>
        <v>mea.mit.ef.srv.bio.ch4</v>
      </c>
      <c r="G2845" s="3" t="str">
        <f>"wld.mit.ef."&amp;$A2845</f>
        <v>wld.mit.ef.srv.bio.ch4</v>
      </c>
      <c r="H2845" s="3" t="inlineStr">
        <is>
          <t>mea.mit.ef.srv.bio.ch4</t>
        </is>
      </c>
      <c r="I2845" s="236" t="n">
        <v>1.2204522</v>
      </c>
      <c r="J2845" s="236" t="n">
        <v>1.015299</v>
      </c>
    </row>
    <row r="2846">
      <c r="A2846" s="3" t="str">
        <f>$B2846&amp;"."&amp;$C2846&amp;"."&amp;$D2846</f>
        <v>mnf.coa.ch4</v>
      </c>
      <c r="B2846" s="8" t="inlineStr">
        <is>
          <t>mnf</t>
        </is>
      </c>
      <c r="C2846" s="8" t="inlineStr">
        <is>
          <t>coa</t>
        </is>
      </c>
      <c r="D2846" s="8" t="inlineStr">
        <is>
          <t>ch4</t>
        </is>
      </c>
      <c r="E2846" s="3" t="str">
        <f>CodePrefix&amp;"ef."&amp;$A2846</f>
        <v>egy.mit.ef.mnf.coa.ch4</v>
      </c>
      <c r="F2846" s="3" t="str">
        <f>CtryReg&amp;".mit.ef."&amp;$A2846</f>
        <v>mea.mit.ef.mnf.coa.ch4</v>
      </c>
      <c r="G2846" s="3" t="str">
        <f>"wld.mit.ef."&amp;$A2846</f>
        <v>wld.mit.ef.mnf.coa.ch4</v>
      </c>
      <c r="H2846" s="3" t="inlineStr">
        <is>
          <t>egy.mit.ef.mnf.coa.ch4</t>
        </is>
      </c>
      <c r="I2846" s="236" t="n">
        <v>0.4186800000000001</v>
      </c>
      <c r="J2846" s="236" t="n">
        <v>0.4186800000000001</v>
      </c>
    </row>
    <row r="2847">
      <c r="A2847" s="3" t="str">
        <f>$B2847&amp;"."&amp;$C2847&amp;"."&amp;$D2847</f>
        <v>mnf.nga.ch4</v>
      </c>
      <c r="B2847" s="8" t="inlineStr">
        <is>
          <t>mnf</t>
        </is>
      </c>
      <c r="C2847" s="8" t="inlineStr">
        <is>
          <t>nga</t>
        </is>
      </c>
      <c r="D2847" s="8" t="inlineStr">
        <is>
          <t>ch4</t>
        </is>
      </c>
      <c r="E2847" s="3" t="str">
        <f>CodePrefix&amp;"ef."&amp;$A2847</f>
        <v>egy.mit.ef.mnf.nga.ch4</v>
      </c>
      <c r="F2847" s="3" t="str">
        <f>CtryReg&amp;".mit.ef."&amp;$A2847</f>
        <v>mea.mit.ef.mnf.nga.ch4</v>
      </c>
      <c r="G2847" s="3" t="str">
        <f>"wld.mit.ef."&amp;$A2847</f>
        <v>wld.mit.ef.mnf.nga.ch4</v>
      </c>
      <c r="H2847" s="3" t="inlineStr">
        <is>
          <t>egy.mit.ef.mnf.nga.ch4</t>
        </is>
      </c>
      <c r="I2847" s="236" t="n">
        <v>1.9701992232</v>
      </c>
      <c r="J2847" s="236" t="n">
        <v>1.9373244696</v>
      </c>
    </row>
    <row r="2848">
      <c r="A2848" s="3" t="str">
        <f>$B2848&amp;"."&amp;$C2848&amp;"."&amp;$D2848</f>
        <v>mnf.oop.ch4</v>
      </c>
      <c r="B2848" s="8" t="inlineStr">
        <is>
          <t>mnf</t>
        </is>
      </c>
      <c r="C2848" s="8" t="inlineStr">
        <is>
          <t>oop</t>
        </is>
      </c>
      <c r="D2848" s="8" t="inlineStr">
        <is>
          <t>ch4</t>
        </is>
      </c>
      <c r="E2848" s="3" t="str">
        <f>CodePrefix&amp;"ef."&amp;$A2848</f>
        <v>egy.mit.ef.mnf.oop.ch4</v>
      </c>
      <c r="F2848" s="3" t="str">
        <f>CtryReg&amp;".mit.ef."&amp;$A2848</f>
        <v>mea.mit.ef.mnf.oop.ch4</v>
      </c>
      <c r="G2848" s="3" t="str">
        <f>"wld.mit.ef."&amp;$A2848</f>
        <v>wld.mit.ef.mnf.oop.ch4</v>
      </c>
      <c r="H2848" s="3" t="inlineStr">
        <is>
          <t>egy.mit.ef.mnf.oop.ch4</t>
        </is>
      </c>
      <c r="I2848" s="236" t="n">
        <v>0.125604</v>
      </c>
      <c r="J2848" s="236" t="n">
        <v>0.1255998132</v>
      </c>
    </row>
    <row r="2849">
      <c r="A2849" s="3" t="str">
        <f>$B2849&amp;"."&amp;$C2849&amp;"."&amp;$D2849</f>
        <v>mnf.gso.ch4</v>
      </c>
      <c r="B2849" s="8" t="inlineStr">
        <is>
          <t>mnf</t>
        </is>
      </c>
      <c r="C2849" s="8" t="inlineStr">
        <is>
          <t>gso</t>
        </is>
      </c>
      <c r="D2849" s="8" t="inlineStr">
        <is>
          <t>ch4</t>
        </is>
      </c>
      <c r="E2849" s="3" t="str">
        <f>CodePrefix&amp;"ef."&amp;$A2849</f>
        <v>egy.mit.ef.mnf.gso.ch4</v>
      </c>
      <c r="F2849" s="3" t="str">
        <f>CtryReg&amp;".mit.ef."&amp;$A2849</f>
        <v>mea.mit.ef.mnf.gso.ch4</v>
      </c>
      <c r="G2849" s="3" t="str">
        <f>"wld.mit.ef."&amp;$A2849</f>
        <v>wld.mit.ef.mnf.gso.ch4</v>
      </c>
      <c r="H2849" s="3" t="inlineStr">
        <is>
          <t>egy.mit.ef.mnf.gso.ch4</t>
        </is>
      </c>
      <c r="I2849" s="236" t="n">
        <v>0.125604</v>
      </c>
      <c r="J2849" s="236" t="n">
        <v>0.125604</v>
      </c>
    </row>
    <row r="2850">
      <c r="A2850" s="3" t="str">
        <f>$B2850&amp;"."&amp;$C2850&amp;"."&amp;$D2850</f>
        <v>mnf.die.ch4</v>
      </c>
      <c r="B2850" s="8" t="inlineStr">
        <is>
          <t>mnf</t>
        </is>
      </c>
      <c r="C2850" s="8" t="inlineStr">
        <is>
          <t>die</t>
        </is>
      </c>
      <c r="D2850" s="8" t="inlineStr">
        <is>
          <t>ch4</t>
        </is>
      </c>
      <c r="E2850" s="3" t="str">
        <f>CodePrefix&amp;"ef."&amp;$A2850</f>
        <v>egy.mit.ef.mnf.die.ch4</v>
      </c>
      <c r="F2850" s="3" t="str">
        <f>CtryReg&amp;".mit.ef."&amp;$A2850</f>
        <v>mea.mit.ef.mnf.die.ch4</v>
      </c>
      <c r="G2850" s="3" t="str">
        <f>"wld.mit.ef."&amp;$A2850</f>
        <v>wld.mit.ef.mnf.die.ch4</v>
      </c>
      <c r="H2850" s="3" t="inlineStr">
        <is>
          <t>egy.mit.ef.mnf.die.ch4</t>
        </is>
      </c>
      <c r="I2850" s="236" t="n">
        <v>0.125604</v>
      </c>
      <c r="J2850" s="236" t="n">
        <v>0.125604</v>
      </c>
    </row>
    <row r="2851">
      <c r="A2851" s="3" t="str">
        <f>$B2851&amp;"."&amp;$C2851&amp;"."&amp;$D2851</f>
        <v>mnf.lpg.ch4</v>
      </c>
      <c r="B2851" s="8" t="inlineStr">
        <is>
          <t>mnf</t>
        </is>
      </c>
      <c r="C2851" s="8" t="inlineStr">
        <is>
          <t>lpg</t>
        </is>
      </c>
      <c r="D2851" s="8" t="inlineStr">
        <is>
          <t>ch4</t>
        </is>
      </c>
      <c r="E2851" s="3" t="str">
        <f>CodePrefix&amp;"ef."&amp;$A2851</f>
        <v>egy.mit.ef.mnf.lpg.ch4</v>
      </c>
      <c r="F2851" s="3" t="str">
        <f>CtryReg&amp;".mit.ef."&amp;$A2851</f>
        <v>mea.mit.ef.mnf.lpg.ch4</v>
      </c>
      <c r="G2851" s="3" t="str">
        <f>"wld.mit.ef."&amp;$A2851</f>
        <v>wld.mit.ef.mnf.lpg.ch4</v>
      </c>
      <c r="H2851" s="3" t="inlineStr">
        <is>
          <t>mea.mit.ef.mnf.lpg.ch4</t>
        </is>
      </c>
      <c r="I2851" s="236" t="n">
        <v>0.041868</v>
      </c>
      <c r="J2851" s="236" t="n">
        <v>0.041868</v>
      </c>
    </row>
    <row r="2852">
      <c r="A2852" s="3" t="str">
        <f>$B2852&amp;"."&amp;$C2852&amp;"."&amp;$D2852</f>
        <v>mnf.ker.ch4</v>
      </c>
      <c r="B2852" s="8" t="inlineStr">
        <is>
          <t>mnf</t>
        </is>
      </c>
      <c r="C2852" s="8" t="inlineStr">
        <is>
          <t>ker</t>
        </is>
      </c>
      <c r="D2852" s="8" t="inlineStr">
        <is>
          <t>ch4</t>
        </is>
      </c>
      <c r="E2852" s="3" t="str">
        <f>CodePrefix&amp;"ef."&amp;$A2852</f>
        <v>egy.mit.ef.mnf.ker.ch4</v>
      </c>
      <c r="F2852" s="3" t="str">
        <f>CtryReg&amp;".mit.ef."&amp;$A2852</f>
        <v>mea.mit.ef.mnf.ker.ch4</v>
      </c>
      <c r="G2852" s="3" t="str">
        <f>"wld.mit.ef."&amp;$A2852</f>
        <v>wld.mit.ef.mnf.ker.ch4</v>
      </c>
      <c r="H2852" s="3" t="inlineStr">
        <is>
          <t>egy.mit.ef.mnf.ker.ch4</t>
        </is>
      </c>
      <c r="I2852" s="236" t="n">
        <v>0.125604</v>
      </c>
      <c r="J2852" s="236" t="n">
        <v>0.125604</v>
      </c>
    </row>
    <row r="2853">
      <c r="A2853" s="3" t="str">
        <f>$B2853&amp;"."&amp;$C2853&amp;"."&amp;$D2853</f>
        <v>mnf.bio.ch4</v>
      </c>
      <c r="B2853" s="8" t="inlineStr">
        <is>
          <t>mnf</t>
        </is>
      </c>
      <c r="C2853" s="8" t="inlineStr">
        <is>
          <t>bio</t>
        </is>
      </c>
      <c r="D2853" s="8" t="inlineStr">
        <is>
          <t>ch4</t>
        </is>
      </c>
      <c r="E2853" s="3" t="str">
        <f>CodePrefix&amp;"ef."&amp;$A2853</f>
        <v>egy.mit.ef.mnf.bio.ch4</v>
      </c>
      <c r="F2853" s="3" t="str">
        <f>CtryReg&amp;".mit.ef."&amp;$A2853</f>
        <v>mea.mit.ef.mnf.bio.ch4</v>
      </c>
      <c r="G2853" s="3" t="str">
        <f>"wld.mit.ef."&amp;$A2853</f>
        <v>wld.mit.ef.mnf.bio.ch4</v>
      </c>
      <c r="H2853" s="3" t="inlineStr">
        <is>
          <t>mea.mit.ef.mnf.bio.ch4</t>
        </is>
      </c>
      <c r="I2853" s="236" t="n">
        <v>0.460548</v>
      </c>
      <c r="J2853" s="236" t="n">
        <v>0.460548</v>
      </c>
    </row>
    <row r="2854">
      <c r="A2854" s="3" t="str">
        <f>$B2854&amp;"."&amp;$C2854&amp;"."&amp;$D2854</f>
        <v>omn.coa.ch4</v>
      </c>
      <c r="B2854" s="8" t="inlineStr">
        <is>
          <t>omn</t>
        </is>
      </c>
      <c r="C2854" s="8" t="inlineStr">
        <is>
          <t>coa</t>
        </is>
      </c>
      <c r="D2854" s="8" t="inlineStr">
        <is>
          <t>ch4</t>
        </is>
      </c>
      <c r="E2854" s="3" t="str">
        <f>CodePrefix&amp;"ef."&amp;$A2854</f>
        <v>egy.mit.ef.omn.coa.ch4</v>
      </c>
      <c r="F2854" s="3" t="str">
        <f>CtryReg&amp;".mit.ef."&amp;$A2854</f>
        <v>mea.mit.ef.omn.coa.ch4</v>
      </c>
      <c r="G2854" s="3" t="str">
        <f>"wld.mit.ef."&amp;$A2854</f>
        <v>wld.mit.ef.omn.coa.ch4</v>
      </c>
      <c r="H2854" s="3" t="inlineStr">
        <is>
          <t>wld.mit.ef.omn.coa.ch4</t>
        </is>
      </c>
      <c r="I2854" s="236" t="n">
        <v>0</v>
      </c>
      <c r="J2854" s="236" t="n">
        <v>0</v>
      </c>
    </row>
    <row r="2855">
      <c r="A2855" s="3" t="str">
        <f>$B2855&amp;"."&amp;$C2855&amp;"."&amp;$D2855</f>
        <v>omn.nga.ch4</v>
      </c>
      <c r="B2855" s="8" t="inlineStr">
        <is>
          <t>omn</t>
        </is>
      </c>
      <c r="C2855" s="8" t="inlineStr">
        <is>
          <t>nga</t>
        </is>
      </c>
      <c r="D2855" s="8" t="inlineStr">
        <is>
          <t>ch4</t>
        </is>
      </c>
      <c r="E2855" s="3" t="str">
        <f>CodePrefix&amp;"ef."&amp;$A2855</f>
        <v>egy.mit.ef.omn.nga.ch4</v>
      </c>
      <c r="F2855" s="3" t="str">
        <f>CtryReg&amp;".mit.ef."&amp;$A2855</f>
        <v>mea.mit.ef.omn.nga.ch4</v>
      </c>
      <c r="G2855" s="3" t="str">
        <f>"wld.mit.ef."&amp;$A2855</f>
        <v>wld.mit.ef.omn.nga.ch4</v>
      </c>
      <c r="H2855" s="3" t="inlineStr">
        <is>
          <t>egy.mit.ef.omn.nga.ch4</t>
        </is>
      </c>
      <c r="I2855" s="236" t="n">
        <v>1.9703792556</v>
      </c>
      <c r="J2855" s="236" t="n">
        <v>1.925928</v>
      </c>
    </row>
    <row r="2856">
      <c r="A2856" s="3" t="str">
        <f>$B2856&amp;"."&amp;$C2856&amp;"."&amp;$D2856</f>
        <v>omn.oop.ch4</v>
      </c>
      <c r="B2856" s="8" t="inlineStr">
        <is>
          <t>omn</t>
        </is>
      </c>
      <c r="C2856" s="8" t="inlineStr">
        <is>
          <t>oop</t>
        </is>
      </c>
      <c r="D2856" s="8" t="inlineStr">
        <is>
          <t>ch4</t>
        </is>
      </c>
      <c r="E2856" s="3" t="str">
        <f>CodePrefix&amp;"ef."&amp;$A2856</f>
        <v>egy.mit.ef.omn.oop.ch4</v>
      </c>
      <c r="F2856" s="3" t="str">
        <f>CtryReg&amp;".mit.ef."&amp;$A2856</f>
        <v>mea.mit.ef.omn.oop.ch4</v>
      </c>
      <c r="G2856" s="3" t="str">
        <f>"wld.mit.ef."&amp;$A2856</f>
        <v>wld.mit.ef.omn.oop.ch4</v>
      </c>
      <c r="H2856" s="3" t="inlineStr">
        <is>
          <t>egy.mit.ef.omn.oop.ch4</t>
        </is>
      </c>
      <c r="I2856" s="236" t="n">
        <v>0.125604</v>
      </c>
      <c r="J2856" s="236" t="n">
        <v>0.125604</v>
      </c>
    </row>
    <row r="2857">
      <c r="A2857" s="3" t="str">
        <f>$B2857&amp;"."&amp;$C2857&amp;"."&amp;$D2857</f>
        <v>omn.gso.ch4</v>
      </c>
      <c r="B2857" s="8" t="inlineStr">
        <is>
          <t>omn</t>
        </is>
      </c>
      <c r="C2857" s="8" t="inlineStr">
        <is>
          <t>gso</t>
        </is>
      </c>
      <c r="D2857" s="8" t="inlineStr">
        <is>
          <t>ch4</t>
        </is>
      </c>
      <c r="E2857" s="3" t="str">
        <f>CodePrefix&amp;"ef."&amp;$A2857</f>
        <v>egy.mit.ef.omn.gso.ch4</v>
      </c>
      <c r="F2857" s="3" t="str">
        <f>CtryReg&amp;".mit.ef."&amp;$A2857</f>
        <v>mea.mit.ef.omn.gso.ch4</v>
      </c>
      <c r="G2857" s="3" t="str">
        <f>"wld.mit.ef."&amp;$A2857</f>
        <v>wld.mit.ef.omn.gso.ch4</v>
      </c>
      <c r="H2857" s="3" t="inlineStr">
        <is>
          <t>egy.mit.ef.omn.gso.ch4</t>
        </is>
      </c>
      <c r="I2857" s="236" t="n">
        <v>0.125604</v>
      </c>
      <c r="J2857" s="236" t="n">
        <v>0.125604</v>
      </c>
    </row>
    <row r="2858">
      <c r="A2858" s="3" t="str">
        <f>$B2858&amp;"."&amp;$C2858&amp;"."&amp;$D2858</f>
        <v>omn.die.ch4</v>
      </c>
      <c r="B2858" s="8" t="inlineStr">
        <is>
          <t>omn</t>
        </is>
      </c>
      <c r="C2858" s="8" t="inlineStr">
        <is>
          <t>die</t>
        </is>
      </c>
      <c r="D2858" s="8" t="inlineStr">
        <is>
          <t>ch4</t>
        </is>
      </c>
      <c r="E2858" s="3" t="str">
        <f>CodePrefix&amp;"ef."&amp;$A2858</f>
        <v>egy.mit.ef.omn.die.ch4</v>
      </c>
      <c r="F2858" s="3" t="str">
        <f>CtryReg&amp;".mit.ef."&amp;$A2858</f>
        <v>mea.mit.ef.omn.die.ch4</v>
      </c>
      <c r="G2858" s="3" t="str">
        <f>"wld.mit.ef."&amp;$A2858</f>
        <v>wld.mit.ef.omn.die.ch4</v>
      </c>
      <c r="H2858" s="3" t="inlineStr">
        <is>
          <t>mea.mit.ef.omn.die.ch4</t>
        </is>
      </c>
      <c r="I2858" s="236" t="n">
        <v>0.125604</v>
      </c>
      <c r="J2858" s="236" t="n">
        <v>0.125604</v>
      </c>
    </row>
    <row r="2859">
      <c r="A2859" s="3" t="str">
        <f>$B2859&amp;"."&amp;$C2859&amp;"."&amp;$D2859</f>
        <v>omn.lpg.ch4</v>
      </c>
      <c r="B2859" s="8" t="inlineStr">
        <is>
          <t>omn</t>
        </is>
      </c>
      <c r="C2859" s="8" t="inlineStr">
        <is>
          <t>lpg</t>
        </is>
      </c>
      <c r="D2859" s="8" t="inlineStr">
        <is>
          <t>ch4</t>
        </is>
      </c>
      <c r="E2859" s="3" t="str">
        <f>CodePrefix&amp;"ef."&amp;$A2859</f>
        <v>egy.mit.ef.omn.lpg.ch4</v>
      </c>
      <c r="F2859" s="3" t="str">
        <f>CtryReg&amp;".mit.ef."&amp;$A2859</f>
        <v>mea.mit.ef.omn.lpg.ch4</v>
      </c>
      <c r="G2859" s="3" t="str">
        <f>"wld.mit.ef."&amp;$A2859</f>
        <v>wld.mit.ef.omn.lpg.ch4</v>
      </c>
      <c r="H2859" s="3" t="inlineStr">
        <is>
          <t>mea.mit.ef.omn.lpg.ch4</t>
        </is>
      </c>
      <c r="I2859" s="236" t="n">
        <v>0.041868</v>
      </c>
      <c r="J2859" s="236" t="n">
        <v>0.041868</v>
      </c>
    </row>
    <row r="2860">
      <c r="A2860" s="3" t="str">
        <f>$B2860&amp;"."&amp;$C2860&amp;"."&amp;$D2860</f>
        <v>omn.ker.ch4</v>
      </c>
      <c r="B2860" s="8" t="inlineStr">
        <is>
          <t>omn</t>
        </is>
      </c>
      <c r="C2860" s="8" t="inlineStr">
        <is>
          <t>ker</t>
        </is>
      </c>
      <c r="D2860" s="8" t="inlineStr">
        <is>
          <t>ch4</t>
        </is>
      </c>
      <c r="E2860" s="3" t="str">
        <f>CodePrefix&amp;"ef."&amp;$A2860</f>
        <v>egy.mit.ef.omn.ker.ch4</v>
      </c>
      <c r="F2860" s="3" t="str">
        <f>CtryReg&amp;".mit.ef."&amp;$A2860</f>
        <v>mea.mit.ef.omn.ker.ch4</v>
      </c>
      <c r="G2860" s="3" t="str">
        <f>"wld.mit.ef."&amp;$A2860</f>
        <v>wld.mit.ef.omn.ker.ch4</v>
      </c>
      <c r="H2860" s="3" t="inlineStr">
        <is>
          <t>egy.mit.ef.omn.ker.ch4</t>
        </is>
      </c>
      <c r="I2860" s="236" t="n">
        <v>0.125604</v>
      </c>
      <c r="J2860" s="236" t="n">
        <v>0.125604</v>
      </c>
    </row>
    <row r="2861">
      <c r="A2861" s="3" t="str">
        <f>$B2861&amp;"."&amp;$C2861&amp;"."&amp;$D2861</f>
        <v>omn.bio.ch4</v>
      </c>
      <c r="B2861" s="8" t="inlineStr">
        <is>
          <t>omn</t>
        </is>
      </c>
      <c r="C2861" s="8" t="inlineStr">
        <is>
          <t>bio</t>
        </is>
      </c>
      <c r="D2861" s="8" t="inlineStr">
        <is>
          <t>ch4</t>
        </is>
      </c>
      <c r="E2861" s="3" t="str">
        <f>CodePrefix&amp;"ef."&amp;$A2861</f>
        <v>egy.mit.ef.omn.bio.ch4</v>
      </c>
      <c r="F2861" s="3" t="str">
        <f>CtryReg&amp;".mit.ef."&amp;$A2861</f>
        <v>mea.mit.ef.omn.bio.ch4</v>
      </c>
      <c r="G2861" s="3" t="str">
        <f>"wld.mit.ef."&amp;$A2861</f>
        <v>wld.mit.ef.omn.bio.ch4</v>
      </c>
      <c r="H2861" s="3" t="inlineStr">
        <is>
          <t>mea.mit.ef.omn.bio.ch4</t>
        </is>
      </c>
      <c r="I2861" s="236" t="n">
        <v>0.460548</v>
      </c>
      <c r="J2861" s="236" t="n">
        <v>0.460548</v>
      </c>
    </row>
    <row r="2862">
      <c r="A2862" s="3" t="str">
        <f>$B2862&amp;"."&amp;$C2862&amp;"."&amp;$D2862</f>
        <v>foo.coa.ch4</v>
      </c>
      <c r="B2862" s="8" t="inlineStr">
        <is>
          <t>foo</t>
        </is>
      </c>
      <c r="C2862" s="8" t="inlineStr">
        <is>
          <t>coa</t>
        </is>
      </c>
      <c r="D2862" s="8" t="inlineStr">
        <is>
          <t>ch4</t>
        </is>
      </c>
      <c r="E2862" s="3" t="str">
        <f>CodePrefix&amp;"ef."&amp;$A2862</f>
        <v>egy.mit.ef.foo.coa.ch4</v>
      </c>
      <c r="F2862" s="3" t="str">
        <f>CtryReg&amp;".mit.ef."&amp;$A2862</f>
        <v>mea.mit.ef.foo.coa.ch4</v>
      </c>
      <c r="G2862" s="3" t="str">
        <f>"wld.mit.ef."&amp;$A2862</f>
        <v>wld.mit.ef.foo.coa.ch4</v>
      </c>
      <c r="H2862" s="3" t="inlineStr">
        <is>
          <t>wld.mit.ef.foo.coa.ch4</t>
        </is>
      </c>
      <c r="I2862" s="236" t="n">
        <v>0</v>
      </c>
      <c r="J2862" s="236" t="n">
        <v>0</v>
      </c>
    </row>
    <row r="2863">
      <c r="A2863" s="3" t="str">
        <f>$B2863&amp;"."&amp;$C2863&amp;"."&amp;$D2863</f>
        <v>foo.nga.ch4</v>
      </c>
      <c r="B2863" s="8" t="inlineStr">
        <is>
          <t>foo</t>
        </is>
      </c>
      <c r="C2863" s="8" t="inlineStr">
        <is>
          <t>nga</t>
        </is>
      </c>
      <c r="D2863" s="8" t="inlineStr">
        <is>
          <t>ch4</t>
        </is>
      </c>
      <c r="E2863" s="3" t="str">
        <f>CodePrefix&amp;"ef."&amp;$A2863</f>
        <v>egy.mit.ef.foo.nga.ch4</v>
      </c>
      <c r="F2863" s="3" t="str">
        <f>CtryReg&amp;".mit.ef."&amp;$A2863</f>
        <v>mea.mit.ef.foo.nga.ch4</v>
      </c>
      <c r="G2863" s="3" t="str">
        <f>"wld.mit.ef."&amp;$A2863</f>
        <v>wld.mit.ef.foo.nga.ch4</v>
      </c>
      <c r="H2863" s="3" t="inlineStr">
        <is>
          <t>egy.mit.ef.foo.nga.ch4</t>
        </is>
      </c>
      <c r="I2863" s="236" t="n">
        <v>1.9703792556</v>
      </c>
      <c r="J2863" s="236" t="n">
        <v>1.925928</v>
      </c>
    </row>
    <row r="2864">
      <c r="A2864" s="3" t="str">
        <f>$B2864&amp;"."&amp;$C2864&amp;"."&amp;$D2864</f>
        <v>foo.oop.ch4</v>
      </c>
      <c r="B2864" s="8" t="inlineStr">
        <is>
          <t>foo</t>
        </is>
      </c>
      <c r="C2864" s="8" t="inlineStr">
        <is>
          <t>oop</t>
        </is>
      </c>
      <c r="D2864" s="8" t="inlineStr">
        <is>
          <t>ch4</t>
        </is>
      </c>
      <c r="E2864" s="3" t="str">
        <f>CodePrefix&amp;"ef."&amp;$A2864</f>
        <v>egy.mit.ef.foo.oop.ch4</v>
      </c>
      <c r="F2864" s="3" t="str">
        <f>CtryReg&amp;".mit.ef."&amp;$A2864</f>
        <v>mea.mit.ef.foo.oop.ch4</v>
      </c>
      <c r="G2864" s="3" t="str">
        <f>"wld.mit.ef."&amp;$A2864</f>
        <v>wld.mit.ef.foo.oop.ch4</v>
      </c>
      <c r="H2864" s="3" t="inlineStr">
        <is>
          <t>egy.mit.ef.foo.oop.ch4</t>
        </is>
      </c>
      <c r="I2864" s="236" t="n">
        <v>0.125604</v>
      </c>
      <c r="J2864" s="236" t="n">
        <v>0.125604</v>
      </c>
    </row>
    <row r="2865">
      <c r="A2865" s="3" t="str">
        <f>$B2865&amp;"."&amp;$C2865&amp;"."&amp;$D2865</f>
        <v>foo.gso.ch4</v>
      </c>
      <c r="B2865" s="8" t="inlineStr">
        <is>
          <t>foo</t>
        </is>
      </c>
      <c r="C2865" s="8" t="inlineStr">
        <is>
          <t>gso</t>
        </is>
      </c>
      <c r="D2865" s="8" t="inlineStr">
        <is>
          <t>ch4</t>
        </is>
      </c>
      <c r="E2865" s="3" t="str">
        <f>CodePrefix&amp;"ef."&amp;$A2865</f>
        <v>egy.mit.ef.foo.gso.ch4</v>
      </c>
      <c r="F2865" s="3" t="str">
        <f>CtryReg&amp;".mit.ef."&amp;$A2865</f>
        <v>mea.mit.ef.foo.gso.ch4</v>
      </c>
      <c r="G2865" s="3" t="str">
        <f>"wld.mit.ef."&amp;$A2865</f>
        <v>wld.mit.ef.foo.gso.ch4</v>
      </c>
      <c r="H2865" s="3" t="inlineStr">
        <is>
          <t>egy.mit.ef.foo.gso.ch4</t>
        </is>
      </c>
      <c r="I2865" s="236" t="n">
        <v>0.125604</v>
      </c>
      <c r="J2865" s="236" t="n">
        <v>0.125604</v>
      </c>
    </row>
    <row r="2866">
      <c r="A2866" s="3" t="str">
        <f>$B2866&amp;"."&amp;$C2866&amp;"."&amp;$D2866</f>
        <v>foo.die.ch4</v>
      </c>
      <c r="B2866" s="8" t="inlineStr">
        <is>
          <t>foo</t>
        </is>
      </c>
      <c r="C2866" s="8" t="inlineStr">
        <is>
          <t>die</t>
        </is>
      </c>
      <c r="D2866" s="8" t="inlineStr">
        <is>
          <t>ch4</t>
        </is>
      </c>
      <c r="E2866" s="3" t="str">
        <f>CodePrefix&amp;"ef."&amp;$A2866</f>
        <v>egy.mit.ef.foo.die.ch4</v>
      </c>
      <c r="F2866" s="3" t="str">
        <f>CtryReg&amp;".mit.ef."&amp;$A2866</f>
        <v>mea.mit.ef.foo.die.ch4</v>
      </c>
      <c r="G2866" s="3" t="str">
        <f>"wld.mit.ef."&amp;$A2866</f>
        <v>wld.mit.ef.foo.die.ch4</v>
      </c>
      <c r="H2866" s="3" t="inlineStr">
        <is>
          <t>mea.mit.ef.foo.die.ch4</t>
        </is>
      </c>
      <c r="I2866" s="236" t="n">
        <v>0.125604</v>
      </c>
      <c r="J2866" s="236" t="n">
        <v>0.125604</v>
      </c>
    </row>
    <row r="2867">
      <c r="A2867" s="3" t="str">
        <f>$B2867&amp;"."&amp;$C2867&amp;"."&amp;$D2867</f>
        <v>foo.lpg.ch4</v>
      </c>
      <c r="B2867" s="8" t="inlineStr">
        <is>
          <t>foo</t>
        </is>
      </c>
      <c r="C2867" s="8" t="inlineStr">
        <is>
          <t>lpg</t>
        </is>
      </c>
      <c r="D2867" s="8" t="inlineStr">
        <is>
          <t>ch4</t>
        </is>
      </c>
      <c r="E2867" s="3" t="str">
        <f>CodePrefix&amp;"ef."&amp;$A2867</f>
        <v>egy.mit.ef.foo.lpg.ch4</v>
      </c>
      <c r="F2867" s="3" t="str">
        <f>CtryReg&amp;".mit.ef."&amp;$A2867</f>
        <v>mea.mit.ef.foo.lpg.ch4</v>
      </c>
      <c r="G2867" s="3" t="str">
        <f>"wld.mit.ef."&amp;$A2867</f>
        <v>wld.mit.ef.foo.lpg.ch4</v>
      </c>
      <c r="H2867" s="3" t="inlineStr">
        <is>
          <t>mea.mit.ef.foo.lpg.ch4</t>
        </is>
      </c>
      <c r="I2867" s="236" t="n">
        <v>0.041868</v>
      </c>
      <c r="J2867" s="236" t="n">
        <v>0.041868</v>
      </c>
    </row>
    <row r="2868">
      <c r="A2868" s="3" t="str">
        <f>$B2868&amp;"."&amp;$C2868&amp;"."&amp;$D2868</f>
        <v>foo.ker.ch4</v>
      </c>
      <c r="B2868" s="8" t="inlineStr">
        <is>
          <t>foo</t>
        </is>
      </c>
      <c r="C2868" s="8" t="inlineStr">
        <is>
          <t>ker</t>
        </is>
      </c>
      <c r="D2868" s="8" t="inlineStr">
        <is>
          <t>ch4</t>
        </is>
      </c>
      <c r="E2868" s="3" t="str">
        <f>CodePrefix&amp;"ef."&amp;$A2868</f>
        <v>egy.mit.ef.foo.ker.ch4</v>
      </c>
      <c r="F2868" s="3" t="str">
        <f>CtryReg&amp;".mit.ef."&amp;$A2868</f>
        <v>mea.mit.ef.foo.ker.ch4</v>
      </c>
      <c r="G2868" s="3" t="str">
        <f>"wld.mit.ef."&amp;$A2868</f>
        <v>wld.mit.ef.foo.ker.ch4</v>
      </c>
      <c r="H2868" s="3" t="inlineStr">
        <is>
          <t>egy.mit.ef.foo.ker.ch4</t>
        </is>
      </c>
      <c r="I2868" s="236" t="n">
        <v>0.125604</v>
      </c>
      <c r="J2868" s="236" t="n">
        <v>0.125604</v>
      </c>
    </row>
    <row r="2869">
      <c r="A2869" s="3" t="str">
        <f>$B2869&amp;"."&amp;$C2869&amp;"."&amp;$D2869</f>
        <v>foo.bio.ch4</v>
      </c>
      <c r="B2869" s="8" t="inlineStr">
        <is>
          <t>foo</t>
        </is>
      </c>
      <c r="C2869" s="8" t="inlineStr">
        <is>
          <t>bio</t>
        </is>
      </c>
      <c r="D2869" s="8" t="inlineStr">
        <is>
          <t>ch4</t>
        </is>
      </c>
      <c r="E2869" s="3" t="str">
        <f>CodePrefix&amp;"ef."&amp;$A2869</f>
        <v>egy.mit.ef.foo.bio.ch4</v>
      </c>
      <c r="F2869" s="3" t="str">
        <f>CtryReg&amp;".mit.ef."&amp;$A2869</f>
        <v>mea.mit.ef.foo.bio.ch4</v>
      </c>
      <c r="G2869" s="3" t="str">
        <f>"wld.mit.ef."&amp;$A2869</f>
        <v>wld.mit.ef.foo.bio.ch4</v>
      </c>
      <c r="H2869" s="3" t="inlineStr">
        <is>
          <t>egy.mit.ef.foo.bio.ch4</t>
        </is>
      </c>
      <c r="I2869" s="236" t="n">
        <v>11.92212234</v>
      </c>
      <c r="J2869" s="236" t="n">
        <v>10.1028237624</v>
      </c>
    </row>
    <row r="2870">
      <c r="A2870" s="3" t="str">
        <f>$B2870&amp;"."&amp;$C2870&amp;"."&amp;$D2870</f>
        <v>oen.coa.ch4</v>
      </c>
      <c r="B2870" s="8" t="inlineStr">
        <is>
          <t>oen</t>
        </is>
      </c>
      <c r="C2870" s="8" t="inlineStr">
        <is>
          <t>coa</t>
        </is>
      </c>
      <c r="D2870" s="8" t="inlineStr">
        <is>
          <t>ch4</t>
        </is>
      </c>
      <c r="H2870" s="3" t="inlineStr">
        <is>
          <t>max</t>
        </is>
      </c>
      <c r="I2870" s="236">
        <f>_xlfn.MAXIFS($I$2813:$I$2869,$C$2813:$C$2869,$C2870)</f>
        <v>1.03686102</v>
      </c>
      <c r="J2870" s="236">
        <f>_xlfn.MAXIFS($J$2813:$J$2869,$C$2813:$C$2869,$C2870)</f>
        <v>1.03686102</v>
      </c>
    </row>
    <row r="2871">
      <c r="A2871" s="3" t="str">
        <f>$B2871&amp;"."&amp;$C2871&amp;"."&amp;$D2871</f>
        <v>oen.nga.ch4</v>
      </c>
      <c r="B2871" s="8" t="inlineStr">
        <is>
          <t>oen</t>
        </is>
      </c>
      <c r="C2871" s="8" t="inlineStr">
        <is>
          <t>nga</t>
        </is>
      </c>
      <c r="D2871" s="8" t="inlineStr">
        <is>
          <t>ch4</t>
        </is>
      </c>
      <c r="H2871" s="3" t="inlineStr">
        <is>
          <t>max</t>
        </is>
      </c>
      <c r="I2871" s="236">
        <f>_xlfn.MAXIFS($I$2813:$I$2869,$C$2813:$C$2869,$C2871)</f>
        <v>15.0485189436</v>
      </c>
      <c r="J2871" s="236">
        <f>_xlfn.MAXIFS($J$2813:$J$2869,$C$2813:$C$2869,$C2871)</f>
        <v>8.8725367692</v>
      </c>
    </row>
    <row r="2872">
      <c r="A2872" s="3" t="str">
        <f>$B2872&amp;"."&amp;$C2872&amp;"."&amp;$D2872</f>
        <v>oen.oop.ch4</v>
      </c>
      <c r="B2872" s="8" t="inlineStr">
        <is>
          <t>oen</t>
        </is>
      </c>
      <c r="C2872" s="8" t="inlineStr">
        <is>
          <t>oop</t>
        </is>
      </c>
      <c r="D2872" s="8" t="inlineStr">
        <is>
          <t>ch4</t>
        </is>
      </c>
      <c r="H2872" s="3" t="inlineStr">
        <is>
          <t>max</t>
        </is>
      </c>
      <c r="I2872" s="236">
        <f>_xlfn.MAXIFS($I$2813:$I$2869,$C$2813:$C$2869,$C2872)</f>
        <v>0.125604</v>
      </c>
      <c r="J2872" s="236">
        <f>_xlfn.MAXIFS($J$2813:$J$2869,$C$2813:$C$2869,$C2872)</f>
        <v>0.125604</v>
      </c>
    </row>
    <row r="2873">
      <c r="A2873" s="3" t="str">
        <f>$B2873&amp;"."&amp;$C2873&amp;"."&amp;$D2873</f>
        <v>oen.gso.ch4</v>
      </c>
      <c r="B2873" s="8" t="inlineStr">
        <is>
          <t>oen</t>
        </is>
      </c>
      <c r="C2873" s="8" t="inlineStr">
        <is>
          <t>gso</t>
        </is>
      </c>
      <c r="D2873" s="8" t="inlineStr">
        <is>
          <t>ch4</t>
        </is>
      </c>
      <c r="H2873" s="3" t="inlineStr">
        <is>
          <t>max</t>
        </is>
      </c>
      <c r="I2873" s="236">
        <f>_xlfn.MAXIFS($I$2813:$I$2869,$C$2813:$C$2869,$C2873)</f>
        <v>4.186800000000001</v>
      </c>
      <c r="J2873" s="236">
        <f>_xlfn.MAXIFS($J$2813:$J$2869,$C$2813:$C$2869,$C2873)</f>
        <v>4.186800000000001</v>
      </c>
    </row>
    <row r="2874">
      <c r="A2874" s="3" t="str">
        <f>$B2874&amp;"."&amp;$C2874&amp;"."&amp;$D2874</f>
        <v>oen.die.ch4</v>
      </c>
      <c r="B2874" s="8" t="inlineStr">
        <is>
          <t>oen</t>
        </is>
      </c>
      <c r="C2874" s="8" t="inlineStr">
        <is>
          <t>die</t>
        </is>
      </c>
      <c r="D2874" s="8" t="inlineStr">
        <is>
          <t>ch4</t>
        </is>
      </c>
      <c r="H2874" s="3" t="inlineStr">
        <is>
          <t>max</t>
        </is>
      </c>
      <c r="I2874" s="236">
        <f>_xlfn.MAXIFS($I$2813:$I$2869,$C$2813:$C$2869,$C2874)</f>
        <v>0.6458557680000001</v>
      </c>
      <c r="J2874" s="236">
        <f>_xlfn.MAXIFS($J$2813:$J$2869,$C$2813:$C$2869,$C2874)</f>
        <v>0.6134541228</v>
      </c>
    </row>
    <row r="2875">
      <c r="A2875" s="3" t="str">
        <f>$B2875&amp;"."&amp;$C2875&amp;"."&amp;$D2875</f>
        <v>oen.lpg.ch4</v>
      </c>
      <c r="B2875" s="8" t="inlineStr">
        <is>
          <t>oen</t>
        </is>
      </c>
      <c r="C2875" s="8" t="inlineStr">
        <is>
          <t>lpg</t>
        </is>
      </c>
      <c r="D2875" s="8" t="inlineStr">
        <is>
          <t>ch4</t>
        </is>
      </c>
      <c r="H2875" s="3" t="inlineStr">
        <is>
          <t>max</t>
        </is>
      </c>
      <c r="I2875" s="236">
        <f>_xlfn.MAXIFS($I$2813:$I$2869,$C$2813:$C$2869,$C2875)</f>
        <v>3.34944</v>
      </c>
      <c r="J2875" s="236">
        <f>_xlfn.MAXIFS($J$2813:$J$2869,$C$2813:$C$2869,$C2875)</f>
        <v>3.34944</v>
      </c>
    </row>
    <row r="2876">
      <c r="A2876" s="3" t="str">
        <f>$B2876&amp;"."&amp;$C2876&amp;"."&amp;$D2876</f>
        <v>oen.ker.ch4</v>
      </c>
      <c r="B2876" s="8" t="inlineStr">
        <is>
          <t>oen</t>
        </is>
      </c>
      <c r="C2876" s="8" t="inlineStr">
        <is>
          <t>ker</t>
        </is>
      </c>
      <c r="D2876" s="8" t="inlineStr">
        <is>
          <t>ch4</t>
        </is>
      </c>
      <c r="H2876" s="3" t="inlineStr">
        <is>
          <t>max</t>
        </is>
      </c>
      <c r="I2876" s="236">
        <f>_xlfn.MAXIFS($I$2813:$I$2869,$C$2813:$C$2869,$C2876)</f>
        <v>4.186800000000001</v>
      </c>
      <c r="J2876" s="236">
        <f>_xlfn.MAXIFS($J$2813:$J$2869,$C$2813:$C$2869,$C2876)</f>
        <v>4.186800000000001</v>
      </c>
    </row>
    <row r="2877">
      <c r="A2877" s="3" t="str">
        <f>$B2877&amp;"."&amp;$C2877&amp;"."&amp;$D2877</f>
        <v>oen.bio.ch4</v>
      </c>
      <c r="B2877" s="8" t="inlineStr">
        <is>
          <t>oen</t>
        </is>
      </c>
      <c r="C2877" s="8" t="inlineStr">
        <is>
          <t>bio</t>
        </is>
      </c>
      <c r="D2877" s="8" t="inlineStr">
        <is>
          <t>ch4</t>
        </is>
      </c>
      <c r="H2877" s="3" t="inlineStr">
        <is>
          <t>max</t>
        </is>
      </c>
      <c r="I2877" s="236">
        <f>_xlfn.MAXIFS($I$2813:$I$2869,$C$2813:$C$2869,$C2877)</f>
        <v>16.7472</v>
      </c>
      <c r="J2877" s="236">
        <f>_xlfn.MAXIFS($J$2813:$J$2869,$C$2813:$C$2869,$C2877)</f>
        <v>10.7454222</v>
      </c>
    </row>
    <row r="2878">
      <c r="A2878" s="3" t="str">
        <f>$B2878&amp;"."&amp;$C2878&amp;"."&amp;$D2878</f>
        <v>nav.die.ch4</v>
      </c>
      <c r="B2878" s="8" t="inlineStr">
        <is>
          <t>nav</t>
        </is>
      </c>
      <c r="C2878" s="8" t="inlineStr">
        <is>
          <t>die</t>
        </is>
      </c>
      <c r="D2878" s="8" t="inlineStr">
        <is>
          <t>ch4</t>
        </is>
      </c>
      <c r="E2878" s="3" t="str">
        <f>CodePrefix&amp;"ef."&amp;$A2878</f>
        <v>egy.mit.ef.nav.die.ch4</v>
      </c>
      <c r="F2878" s="3" t="str">
        <f>CtryReg&amp;".mit.ef."&amp;$A2878</f>
        <v>mea.mit.ef.nav.die.ch4</v>
      </c>
      <c r="G2878" s="3" t="str">
        <f>"wld.mit.ef."&amp;$A2878</f>
        <v>wld.mit.ef.nav.die.ch4</v>
      </c>
      <c r="H2878" s="3" t="inlineStr">
        <is>
          <t>egy.mit.ef.nav.die.ch4</t>
        </is>
      </c>
      <c r="I2878" s="236" t="n">
        <v>0.293076</v>
      </c>
      <c r="J2878" s="236" t="n">
        <v>0.293076</v>
      </c>
    </row>
    <row r="2879">
      <c r="A2879" s="3" t="str">
        <f>$B2879&amp;"."&amp;$C2879&amp;"."&amp;$D2879</f>
        <v>nav.oop.ch4</v>
      </c>
      <c r="B2879" s="8" t="inlineStr">
        <is>
          <t>nav</t>
        </is>
      </c>
      <c r="C2879" s="8" t="inlineStr">
        <is>
          <t>oop</t>
        </is>
      </c>
      <c r="D2879" s="8" t="inlineStr">
        <is>
          <t>ch4</t>
        </is>
      </c>
      <c r="E2879" s="3" t="str">
        <f>CodePrefix&amp;"ef."&amp;$A2879</f>
        <v>egy.mit.ef.nav.oop.ch4</v>
      </c>
      <c r="F2879" s="3" t="str">
        <f>CtryReg&amp;".mit.ef."&amp;$A2879</f>
        <v>mea.mit.ef.nav.oop.ch4</v>
      </c>
      <c r="G2879" s="3" t="str">
        <f>"wld.mit.ef."&amp;$A2879</f>
        <v>wld.mit.ef.nav.oop.ch4</v>
      </c>
      <c r="H2879" s="3" t="inlineStr">
        <is>
          <t>egy.mit.ef.nav.oop.ch4</t>
        </is>
      </c>
      <c r="I2879" s="236" t="n">
        <v>0.293076</v>
      </c>
      <c r="J2879" s="236" t="n">
        <v>0.293076</v>
      </c>
    </row>
    <row r="2880">
      <c r="A2880" s="3" t="str">
        <f>$B2880&amp;"."&amp;$C2880&amp;"."&amp;$D2880</f>
        <v>pow.coa.co</v>
      </c>
      <c r="B2880" s="8" t="inlineStr">
        <is>
          <t>pow</t>
        </is>
      </c>
      <c r="C2880" s="8" t="inlineStr">
        <is>
          <t>coa</t>
        </is>
      </c>
      <c r="D2880" s="8" t="inlineStr">
        <is>
          <t>co</t>
        </is>
      </c>
      <c r="E2880" s="3" t="str">
        <f>CodePrefix&amp;"ef."&amp;$A2880</f>
        <v>egy.mit.ef.pow.coa.co</v>
      </c>
      <c r="F2880" s="3" t="str">
        <f>CtryReg&amp;".mit.ef."&amp;$A2880</f>
        <v>mea.mit.ef.pow.coa.co</v>
      </c>
      <c r="G2880" s="3" t="str">
        <f>"wld.mit.ef."&amp;$A2880</f>
        <v>wld.mit.ef.pow.coa.co</v>
      </c>
      <c r="H2880" s="3" t="inlineStr">
        <is>
          <t>mea.mit.ef.pow.coa.co</t>
        </is>
      </c>
      <c r="I2880" s="236" t="n">
        <v>0.286523658</v>
      </c>
      <c r="J2880" s="236" t="n">
        <v>0.2507348916</v>
      </c>
    </row>
    <row r="2881">
      <c r="A2881" s="3" t="str">
        <f>$B2881&amp;"."&amp;$C2881&amp;"."&amp;$D2881</f>
        <v>pow.nga.co</v>
      </c>
      <c r="B2881" s="8" t="inlineStr">
        <is>
          <t>pow</t>
        </is>
      </c>
      <c r="C2881" s="8" t="inlineStr">
        <is>
          <t>nga</t>
        </is>
      </c>
      <c r="D2881" s="8" t="inlineStr">
        <is>
          <t>co</t>
        </is>
      </c>
      <c r="E2881" s="3" t="str">
        <f>CodePrefix&amp;"ef."&amp;$A2881</f>
        <v>egy.mit.ef.pow.nga.co</v>
      </c>
      <c r="F2881" s="3" t="str">
        <f>CtryReg&amp;".mit.ef."&amp;$A2881</f>
        <v>mea.mit.ef.pow.nga.co</v>
      </c>
      <c r="G2881" s="3" t="str">
        <f>"wld.mit.ef."&amp;$A2881</f>
        <v>wld.mit.ef.pow.nga.co</v>
      </c>
      <c r="H2881" s="3" t="inlineStr">
        <is>
          <t>egy.mit.ef.pow.nga.co</t>
        </is>
      </c>
      <c r="I2881" s="236" t="n">
        <v>0.5713851564</v>
      </c>
      <c r="J2881" s="236" t="n">
        <v>0.5459168520000001</v>
      </c>
    </row>
    <row r="2882">
      <c r="A2882" s="3" t="str">
        <f>$B2882&amp;"."&amp;$C2882&amp;"."&amp;$D2882</f>
        <v>pow.oop.co</v>
      </c>
      <c r="B2882" s="8" t="inlineStr">
        <is>
          <t>pow</t>
        </is>
      </c>
      <c r="C2882" s="8" t="inlineStr">
        <is>
          <t>oop</t>
        </is>
      </c>
      <c r="D2882" s="8" t="inlineStr">
        <is>
          <t>co</t>
        </is>
      </c>
      <c r="E2882" s="3" t="str">
        <f>CodePrefix&amp;"ef."&amp;$A2882</f>
        <v>egy.mit.ef.pow.oop.co</v>
      </c>
      <c r="F2882" s="3" t="str">
        <f>CtryReg&amp;".mit.ef."&amp;$A2882</f>
        <v>mea.mit.ef.pow.oop.co</v>
      </c>
      <c r="G2882" s="3" t="str">
        <f>"wld.mit.ef."&amp;$A2882</f>
        <v>wld.mit.ef.pow.oop.co</v>
      </c>
      <c r="H2882" s="3" t="inlineStr">
        <is>
          <t>egy.mit.ef.pow.oop.co</t>
        </is>
      </c>
      <c r="I2882" s="236" t="n">
        <v>0.5199335712000001</v>
      </c>
      <c r="J2882" s="236" t="n">
        <v>0.4529196504</v>
      </c>
    </row>
    <row r="2883">
      <c r="A2883" s="3" t="str">
        <f>$B2883&amp;"."&amp;$C2883&amp;"."&amp;$D2883</f>
        <v>pow.bio.co</v>
      </c>
      <c r="B2883" s="8" t="inlineStr">
        <is>
          <t>pow</t>
        </is>
      </c>
      <c r="C2883" s="8" t="inlineStr">
        <is>
          <t>bio</t>
        </is>
      </c>
      <c r="D2883" s="8" t="inlineStr">
        <is>
          <t>co</t>
        </is>
      </c>
      <c r="E2883" s="3" t="str">
        <f>CodePrefix&amp;"ef."&amp;$A2883</f>
        <v>egy.mit.ef.pow.bio.co</v>
      </c>
      <c r="F2883" s="3" t="str">
        <f>CtryReg&amp;".mit.ef."&amp;$A2883</f>
        <v>mea.mit.ef.pow.bio.co</v>
      </c>
      <c r="G2883" s="3" t="str">
        <f>"wld.mit.ef."&amp;$A2883</f>
        <v>wld.mit.ef.pow.bio.co</v>
      </c>
      <c r="H2883" s="3" t="inlineStr">
        <is>
          <t>wld.mit.ef.pow.bio.co</t>
        </is>
      </c>
      <c r="I2883" s="236" t="n">
        <v>0</v>
      </c>
      <c r="J2883" s="236" t="n">
        <v>0</v>
      </c>
    </row>
    <row r="2884">
      <c r="A2884" s="3" t="str">
        <f>$B2884&amp;"."&amp;$C2884&amp;"."&amp;$D2884</f>
        <v>rod.gso.co</v>
      </c>
      <c r="B2884" s="8" t="inlineStr">
        <is>
          <t>rod</t>
        </is>
      </c>
      <c r="C2884" s="8" t="inlineStr">
        <is>
          <t>gso</t>
        </is>
      </c>
      <c r="D2884" s="8" t="inlineStr">
        <is>
          <t>co</t>
        </is>
      </c>
      <c r="E2884" s="3" t="str">
        <f>CodePrefix&amp;"ef."&amp;$A2884</f>
        <v>egy.mit.ef.rod.gso.co</v>
      </c>
      <c r="F2884" s="3" t="str">
        <f>CtryReg&amp;".mit.ef."&amp;$A2884</f>
        <v>mea.mit.ef.rod.gso.co</v>
      </c>
      <c r="G2884" s="3" t="str">
        <f>"wld.mit.ef."&amp;$A2884</f>
        <v>wld.mit.ef.rod.gso.co</v>
      </c>
      <c r="H2884" s="3" t="inlineStr">
        <is>
          <t>egy.mit.ef.rod.gso.co</t>
        </is>
      </c>
      <c r="I2884" s="236" t="n">
        <v>217.7039954808</v>
      </c>
      <c r="J2884" s="236" t="n">
        <v>119.5699377852</v>
      </c>
    </row>
    <row r="2885">
      <c r="A2885" s="3" t="str">
        <f>$B2885&amp;"."&amp;$C2885&amp;"."&amp;$D2885</f>
        <v>rod.die.co</v>
      </c>
      <c r="B2885" s="8" t="inlineStr">
        <is>
          <t>rod</t>
        </is>
      </c>
      <c r="C2885" s="8" t="inlineStr">
        <is>
          <t>die</t>
        </is>
      </c>
      <c r="D2885" s="8" t="inlineStr">
        <is>
          <t>co</t>
        </is>
      </c>
      <c r="E2885" s="3" t="str">
        <f>CodePrefix&amp;"ef."&amp;$A2885</f>
        <v>egy.mit.ef.rod.die.co</v>
      </c>
      <c r="F2885" s="3" t="str">
        <f>CtryReg&amp;".mit.ef."&amp;$A2885</f>
        <v>mea.mit.ef.rod.die.co</v>
      </c>
      <c r="G2885" s="3" t="str">
        <f>"wld.mit.ef."&amp;$A2885</f>
        <v>wld.mit.ef.rod.die.co</v>
      </c>
      <c r="H2885" s="3" t="inlineStr">
        <is>
          <t>egy.mit.ef.rod.die.co</t>
        </is>
      </c>
      <c r="I2885" s="236" t="n">
        <v>32.454964098</v>
      </c>
      <c r="J2885" s="236" t="n">
        <v>31.0344163524</v>
      </c>
    </row>
    <row r="2886">
      <c r="A2886" s="3" t="str">
        <f>$B2886&amp;"."&amp;$C2886&amp;"."&amp;$D2886</f>
        <v>rod.lpg.co</v>
      </c>
      <c r="B2886" s="8" t="inlineStr">
        <is>
          <t>rod</t>
        </is>
      </c>
      <c r="C2886" s="8" t="inlineStr">
        <is>
          <t>lpg</t>
        </is>
      </c>
      <c r="D2886" s="8" t="inlineStr">
        <is>
          <t>co</t>
        </is>
      </c>
      <c r="E2886" s="3" t="str">
        <f>CodePrefix&amp;"ef."&amp;$A2886</f>
        <v>egy.mit.ef.rod.lpg.co</v>
      </c>
      <c r="F2886" s="3" t="str">
        <f>CtryReg&amp;".mit.ef."&amp;$A2886</f>
        <v>mea.mit.ef.rod.lpg.co</v>
      </c>
      <c r="G2886" s="3" t="str">
        <f>"wld.mit.ef."&amp;$A2886</f>
        <v>wld.mit.ef.rod.lpg.co</v>
      </c>
      <c r="H2886" s="3" t="inlineStr">
        <is>
          <t>mea.mit.ef.rod.lpg.co</t>
        </is>
      </c>
      <c r="I2886" s="236" t="n">
        <v>21.6075221424</v>
      </c>
      <c r="J2886" s="236" t="n">
        <v>10.4833368936</v>
      </c>
    </row>
    <row r="2887">
      <c r="A2887" s="3" t="str">
        <f>$B2887&amp;"."&amp;$C2887&amp;"."&amp;$D2887</f>
        <v>rod.ker.co</v>
      </c>
      <c r="B2887" s="8" t="inlineStr">
        <is>
          <t>rod</t>
        </is>
      </c>
      <c r="C2887" s="8" t="inlineStr">
        <is>
          <t>ker</t>
        </is>
      </c>
      <c r="D2887" s="8" t="inlineStr">
        <is>
          <t>co</t>
        </is>
      </c>
      <c r="E2887" s="3" t="str">
        <f>CodePrefix&amp;"ef."&amp;$A2887</f>
        <v>egy.mit.ef.rod.ker.co</v>
      </c>
      <c r="F2887" s="3" t="str">
        <f>CtryReg&amp;".mit.ef."&amp;$A2887</f>
        <v>mea.mit.ef.rod.ker.co</v>
      </c>
      <c r="G2887" s="3" t="str">
        <f>"wld.mit.ef."&amp;$A2887</f>
        <v>wld.mit.ef.rod.ker.co</v>
      </c>
      <c r="H2887" s="3" t="inlineStr">
        <is>
          <t>wld.mit.ef.rod.ker.co</t>
        </is>
      </c>
      <c r="I2887" s="236" t="n">
        <v>0</v>
      </c>
      <c r="J2887" s="236" t="n">
        <v>0</v>
      </c>
    </row>
    <row r="2888">
      <c r="A2888" s="3" t="str">
        <f>$B2888&amp;"."&amp;$C2888&amp;"."&amp;$D2888</f>
        <v>rod.nga.co</v>
      </c>
      <c r="B2888" s="8" t="inlineStr">
        <is>
          <t>rod</t>
        </is>
      </c>
      <c r="C2888" s="8" t="inlineStr">
        <is>
          <t>nga</t>
        </is>
      </c>
      <c r="D2888" s="8" t="inlineStr">
        <is>
          <t>co</t>
        </is>
      </c>
      <c r="E2888" s="3" t="str">
        <f>CodePrefix&amp;"ef."&amp;$A2888</f>
        <v>egy.mit.ef.rod.nga.co</v>
      </c>
      <c r="F2888" s="3" t="str">
        <f>CtryReg&amp;".mit.ef."&amp;$A2888</f>
        <v>mea.mit.ef.rod.nga.co</v>
      </c>
      <c r="G2888" s="3" t="str">
        <f>"wld.mit.ef."&amp;$A2888</f>
        <v>wld.mit.ef.rod.nga.co</v>
      </c>
      <c r="H2888" s="3" t="inlineStr">
        <is>
          <t>egy.mit.ef.rod.nga.co</t>
        </is>
      </c>
      <c r="I2888" s="236" t="n">
        <v>18.9072999108</v>
      </c>
      <c r="J2888" s="236" t="n">
        <v>14.325722352</v>
      </c>
    </row>
    <row r="2889">
      <c r="A2889" s="3" t="str">
        <f>$B2889&amp;"."&amp;$C2889&amp;"."&amp;$D2889</f>
        <v>ral.die.co</v>
      </c>
      <c r="B2889" s="8" t="inlineStr">
        <is>
          <t>ral</t>
        </is>
      </c>
      <c r="C2889" s="8" t="inlineStr">
        <is>
          <t>die</t>
        </is>
      </c>
      <c r="D2889" s="8" t="inlineStr">
        <is>
          <t>co</t>
        </is>
      </c>
      <c r="E2889" s="3" t="str">
        <f>CodePrefix&amp;"ef."&amp;$A2889</f>
        <v>egy.mit.ef.ral.die.co</v>
      </c>
      <c r="F2889" s="3" t="str">
        <f>CtryReg&amp;".mit.ef."&amp;$A2889</f>
        <v>mea.mit.ef.ral.die.co</v>
      </c>
      <c r="G2889" s="3" t="str">
        <f>"wld.mit.ef."&amp;$A2889</f>
        <v>wld.mit.ef.ral.die.co</v>
      </c>
      <c r="H2889" s="3" t="inlineStr">
        <is>
          <t>mea.mit.ef.ral.die.co</t>
        </is>
      </c>
      <c r="I2889" s="236" t="n">
        <v>10.467</v>
      </c>
      <c r="J2889" s="236" t="n">
        <v>10.467</v>
      </c>
    </row>
    <row r="2890">
      <c r="A2890" s="3" t="str">
        <f>$B2890&amp;"."&amp;$C2890&amp;"."&amp;$D2890</f>
        <v>avi.jfu.co</v>
      </c>
      <c r="B2890" s="8" t="inlineStr">
        <is>
          <t>avi</t>
        </is>
      </c>
      <c r="C2890" s="8" t="inlineStr">
        <is>
          <t>jfu</t>
        </is>
      </c>
      <c r="D2890" s="8" t="inlineStr">
        <is>
          <t>co</t>
        </is>
      </c>
      <c r="E2890" s="3" t="str">
        <f>CodePrefix&amp;"ef."&amp;$A2890</f>
        <v>egy.mit.ef.avi.jfu.co</v>
      </c>
      <c r="F2890" s="3" t="str">
        <f>CtryReg&amp;".mit.ef."&amp;$A2890</f>
        <v>mea.mit.ef.avi.jfu.co</v>
      </c>
      <c r="G2890" s="3" t="str">
        <f>"wld.mit.ef."&amp;$A2890</f>
        <v>wld.mit.ef.avi.jfu.co</v>
      </c>
      <c r="H2890" s="3" t="inlineStr">
        <is>
          <t>wld.mit.ef.avi.jfu.co</t>
        </is>
      </c>
      <c r="I2890" s="236" t="n">
        <v>0</v>
      </c>
      <c r="J2890" s="236" t="n">
        <v>0</v>
      </c>
    </row>
    <row r="2891">
      <c r="A2891" s="3" t="str">
        <f>$B2891&amp;"."&amp;$C2891&amp;"."&amp;$D2891</f>
        <v>res.coa.co</v>
      </c>
      <c r="B2891" s="8" t="inlineStr">
        <is>
          <t>res</t>
        </is>
      </c>
      <c r="C2891" s="8" t="inlineStr">
        <is>
          <t>coa</t>
        </is>
      </c>
      <c r="D2891" s="8" t="inlineStr">
        <is>
          <t>co</t>
        </is>
      </c>
      <c r="E2891" s="3" t="str">
        <f>CodePrefix&amp;"ef."&amp;$A2891</f>
        <v>egy.mit.ef.res.coa.co</v>
      </c>
      <c r="F2891" s="3" t="str">
        <f>CtryReg&amp;".mit.ef."&amp;$A2891</f>
        <v>mea.mit.ef.res.coa.co</v>
      </c>
      <c r="G2891" s="3" t="str">
        <f>"wld.mit.ef."&amp;$A2891</f>
        <v>wld.mit.ef.res.coa.co</v>
      </c>
      <c r="H2891" s="3" t="inlineStr">
        <is>
          <t>mea.mit.ef.res.coa.co</t>
        </is>
      </c>
      <c r="I2891" s="236" t="n">
        <v>187.422102</v>
      </c>
      <c r="J2891" s="236" t="n">
        <v>187.422102</v>
      </c>
    </row>
    <row r="2892">
      <c r="A2892" s="3" t="str">
        <f>$B2892&amp;"."&amp;$C2892&amp;"."&amp;$D2892</f>
        <v>res.nga.co</v>
      </c>
      <c r="B2892" s="8" t="inlineStr">
        <is>
          <t>res</t>
        </is>
      </c>
      <c r="C2892" s="8" t="inlineStr">
        <is>
          <t>nga</t>
        </is>
      </c>
      <c r="D2892" s="8" t="inlineStr">
        <is>
          <t>co</t>
        </is>
      </c>
      <c r="E2892" s="3" t="str">
        <f>CodePrefix&amp;"ef."&amp;$A2892</f>
        <v>egy.mit.ef.res.nga.co</v>
      </c>
      <c r="F2892" s="3" t="str">
        <f>CtryReg&amp;".mit.ef."&amp;$A2892</f>
        <v>mea.mit.ef.res.nga.co</v>
      </c>
      <c r="G2892" s="3" t="str">
        <f>"wld.mit.ef."&amp;$A2892</f>
        <v>wld.mit.ef.res.nga.co</v>
      </c>
      <c r="H2892" s="3" t="inlineStr">
        <is>
          <t>egy.mit.ef.res.nga.co</t>
        </is>
      </c>
      <c r="I2892" s="236" t="n">
        <v>1.297908</v>
      </c>
      <c r="J2892" s="236" t="n">
        <v>1.297908</v>
      </c>
    </row>
    <row r="2893">
      <c r="A2893" s="3" t="str">
        <f>$B2893&amp;"."&amp;$C2893&amp;"."&amp;$D2893</f>
        <v>res.oop.co</v>
      </c>
      <c r="B2893" s="8" t="inlineStr">
        <is>
          <t>res</t>
        </is>
      </c>
      <c r="C2893" s="8" t="inlineStr">
        <is>
          <t>oop</t>
        </is>
      </c>
      <c r="D2893" s="8" t="inlineStr">
        <is>
          <t>co</t>
        </is>
      </c>
      <c r="E2893" s="3" t="str">
        <f>CodePrefix&amp;"ef."&amp;$A2893</f>
        <v>egy.mit.ef.res.oop.co</v>
      </c>
      <c r="F2893" s="3" t="str">
        <f>CtryReg&amp;".mit.ef."&amp;$A2893</f>
        <v>mea.mit.ef.res.oop.co</v>
      </c>
      <c r="G2893" s="3" t="str">
        <f>"wld.mit.ef."&amp;$A2893</f>
        <v>wld.mit.ef.res.oop.co</v>
      </c>
      <c r="H2893" s="3" t="inlineStr">
        <is>
          <t>wld.mit.ef.res.oop.co</t>
        </is>
      </c>
      <c r="I2893" s="236" t="n">
        <v>0</v>
      </c>
      <c r="J2893" s="236" t="n">
        <v>0</v>
      </c>
    </row>
    <row r="2894">
      <c r="A2894" s="3" t="str">
        <f>$B2894&amp;"."&amp;$C2894&amp;"."&amp;$D2894</f>
        <v>res.lpg.co</v>
      </c>
      <c r="B2894" s="8" t="inlineStr">
        <is>
          <t>res</t>
        </is>
      </c>
      <c r="C2894" s="8" t="inlineStr">
        <is>
          <t>lpg</t>
        </is>
      </c>
      <c r="D2894" s="8" t="inlineStr">
        <is>
          <t>co</t>
        </is>
      </c>
      <c r="E2894" s="3" t="str">
        <f>CodePrefix&amp;"ef."&amp;$A2894</f>
        <v>egy.mit.ef.res.lpg.co</v>
      </c>
      <c r="F2894" s="3" t="str">
        <f>CtryReg&amp;".mit.ef."&amp;$A2894</f>
        <v>mea.mit.ef.res.lpg.co</v>
      </c>
      <c r="G2894" s="3" t="str">
        <f>"wld.mit.ef."&amp;$A2894</f>
        <v>wld.mit.ef.res.lpg.co</v>
      </c>
      <c r="H2894" s="3" t="inlineStr">
        <is>
          <t>mea.mit.ef.res.lpg.co</t>
        </is>
      </c>
      <c r="I2894" s="236" t="n">
        <v>1.67472</v>
      </c>
      <c r="J2894" s="236" t="n">
        <v>1.67472</v>
      </c>
    </row>
    <row r="2895">
      <c r="A2895" s="3" t="str">
        <f>$B2895&amp;"."&amp;$C2895&amp;"."&amp;$D2895</f>
        <v>res.ker.co</v>
      </c>
      <c r="B2895" s="8" t="inlineStr">
        <is>
          <t>res</t>
        </is>
      </c>
      <c r="C2895" s="8" t="inlineStr">
        <is>
          <t>ker</t>
        </is>
      </c>
      <c r="D2895" s="8" t="inlineStr">
        <is>
          <t>co</t>
        </is>
      </c>
      <c r="E2895" s="3" t="str">
        <f>CodePrefix&amp;"ef."&amp;$A2895</f>
        <v>egy.mit.ef.res.ker.co</v>
      </c>
      <c r="F2895" s="3" t="str">
        <f>CtryReg&amp;".mit.ef."&amp;$A2895</f>
        <v>mea.mit.ef.res.ker.co</v>
      </c>
      <c r="G2895" s="3" t="str">
        <f>"wld.mit.ef."&amp;$A2895</f>
        <v>wld.mit.ef.res.ker.co</v>
      </c>
      <c r="H2895" s="3" t="inlineStr">
        <is>
          <t>mea.mit.ef.res.ker.co</t>
        </is>
      </c>
      <c r="I2895" s="236" t="n">
        <v>1.7138623932</v>
      </c>
      <c r="J2895" s="236" t="n">
        <v>1.67472</v>
      </c>
    </row>
    <row r="2896">
      <c r="A2896" s="3" t="str">
        <f>$B2896&amp;"."&amp;$C2896&amp;"."&amp;$D2896</f>
        <v>res.bio.co</v>
      </c>
      <c r="B2896" s="8" t="inlineStr">
        <is>
          <t>res</t>
        </is>
      </c>
      <c r="C2896" s="8" t="inlineStr">
        <is>
          <t>bio</t>
        </is>
      </c>
      <c r="D2896" s="8" t="inlineStr">
        <is>
          <t>co</t>
        </is>
      </c>
      <c r="E2896" s="3" t="str">
        <f>CodePrefix&amp;"ef."&amp;$A2896</f>
        <v>egy.mit.ef.res.bio.co</v>
      </c>
      <c r="F2896" s="3" t="str">
        <f>CtryReg&amp;".mit.ef."&amp;$A2896</f>
        <v>mea.mit.ef.res.bio.co</v>
      </c>
      <c r="G2896" s="3" t="str">
        <f>"wld.mit.ef."&amp;$A2896</f>
        <v>wld.mit.ef.res.bio.co</v>
      </c>
      <c r="H2896" s="3" t="inlineStr">
        <is>
          <t>egy.mit.ef.res.bio.co</t>
        </is>
      </c>
      <c r="I2896" s="236" t="n">
        <v>251.208</v>
      </c>
      <c r="J2896" s="236" t="n">
        <v>251.208</v>
      </c>
    </row>
    <row r="2897">
      <c r="A2897" s="3" t="str">
        <f>$B2897&amp;"."&amp;$C2897&amp;"."&amp;$D2897</f>
        <v>cst.coa.co</v>
      </c>
      <c r="B2897" s="8" t="inlineStr">
        <is>
          <t>cst</t>
        </is>
      </c>
      <c r="C2897" s="8" t="inlineStr">
        <is>
          <t>coa</t>
        </is>
      </c>
      <c r="D2897" s="8" t="inlineStr">
        <is>
          <t>co</t>
        </is>
      </c>
      <c r="E2897" s="3" t="str">
        <f>CodePrefix&amp;"ef."&amp;$A2897</f>
        <v>egy.mit.ef.cst.coa.co</v>
      </c>
      <c r="F2897" s="3" t="str">
        <f>CtryReg&amp;".mit.ef."&amp;$A2897</f>
        <v>mea.mit.ef.cst.coa.co</v>
      </c>
      <c r="G2897" s="3" t="str">
        <f>"wld.mit.ef."&amp;$A2897</f>
        <v>wld.mit.ef.cst.coa.co</v>
      </c>
      <c r="H2897" s="3" t="inlineStr">
        <is>
          <t>wld.mit.ef.cst.coa.co</t>
        </is>
      </c>
      <c r="I2897" s="236" t="n">
        <v>0</v>
      </c>
      <c r="J2897" s="236" t="n">
        <v>0</v>
      </c>
    </row>
    <row r="2898">
      <c r="A2898" s="3" t="str">
        <f>$B2898&amp;"."&amp;$C2898&amp;"."&amp;$D2898</f>
        <v>cst.nga.co</v>
      </c>
      <c r="B2898" s="8" t="inlineStr">
        <is>
          <t>cst</t>
        </is>
      </c>
      <c r="C2898" s="8" t="inlineStr">
        <is>
          <t>nga</t>
        </is>
      </c>
      <c r="D2898" s="8" t="inlineStr">
        <is>
          <t>co</t>
        </is>
      </c>
      <c r="E2898" s="3" t="str">
        <f>CodePrefix&amp;"ef."&amp;$A2898</f>
        <v>egy.mit.ef.cst.nga.co</v>
      </c>
      <c r="F2898" s="3" t="str">
        <f>CtryReg&amp;".mit.ef."&amp;$A2898</f>
        <v>mea.mit.ef.cst.nga.co</v>
      </c>
      <c r="G2898" s="3" t="str">
        <f>"wld.mit.ef."&amp;$A2898</f>
        <v>wld.mit.ef.cst.nga.co</v>
      </c>
      <c r="H2898" s="3" t="inlineStr">
        <is>
          <t>wld.mit.ef.cst.nga.co</t>
        </is>
      </c>
      <c r="I2898" s="236" t="n">
        <v>0</v>
      </c>
      <c r="J2898" s="236" t="n">
        <v>0</v>
      </c>
    </row>
    <row r="2899">
      <c r="A2899" s="3" t="str">
        <f>$B2899&amp;"."&amp;$C2899&amp;"."&amp;$D2899</f>
        <v>cst.oop.co</v>
      </c>
      <c r="B2899" s="8" t="inlineStr">
        <is>
          <t>cst</t>
        </is>
      </c>
      <c r="C2899" s="8" t="inlineStr">
        <is>
          <t>oop</t>
        </is>
      </c>
      <c r="D2899" s="8" t="inlineStr">
        <is>
          <t>co</t>
        </is>
      </c>
      <c r="E2899" s="3" t="str">
        <f>CodePrefix&amp;"ef."&amp;$A2899</f>
        <v>egy.mit.ef.cst.oop.co</v>
      </c>
      <c r="F2899" s="3" t="str">
        <f>CtryReg&amp;".mit.ef."&amp;$A2899</f>
        <v>mea.mit.ef.cst.oop.co</v>
      </c>
      <c r="G2899" s="3" t="str">
        <f>"wld.mit.ef."&amp;$A2899</f>
        <v>wld.mit.ef.cst.oop.co</v>
      </c>
      <c r="H2899" s="3" t="inlineStr">
        <is>
          <t>wld.mit.ef.cst.oop.co</t>
        </is>
      </c>
      <c r="I2899" s="236" t="n">
        <v>0</v>
      </c>
      <c r="J2899" s="236" t="n">
        <v>0</v>
      </c>
    </row>
    <row r="2900">
      <c r="A2900" s="3" t="str">
        <f>$B2900&amp;"."&amp;$C2900&amp;"."&amp;$D2900</f>
        <v>cst.gso.co</v>
      </c>
      <c r="B2900" s="8" t="inlineStr">
        <is>
          <t>cst</t>
        </is>
      </c>
      <c r="C2900" s="8" t="inlineStr">
        <is>
          <t>gso</t>
        </is>
      </c>
      <c r="D2900" s="8" t="inlineStr">
        <is>
          <t>co</t>
        </is>
      </c>
      <c r="E2900" s="3" t="str">
        <f>CodePrefix&amp;"ef."&amp;$A2900</f>
        <v>egy.mit.ef.cst.gso.co</v>
      </c>
      <c r="F2900" s="3" t="str">
        <f>CtryReg&amp;".mit.ef."&amp;$A2900</f>
        <v>mea.mit.ef.cst.gso.co</v>
      </c>
      <c r="G2900" s="3" t="str">
        <f>"wld.mit.ef."&amp;$A2900</f>
        <v>wld.mit.ef.cst.gso.co</v>
      </c>
      <c r="H2900" s="3" t="inlineStr">
        <is>
          <t>egy.mit.ef.cst.gso.co</t>
        </is>
      </c>
      <c r="I2900" s="236" t="n">
        <v>1130.436</v>
      </c>
      <c r="J2900" s="236" t="n">
        <v>1130.436</v>
      </c>
    </row>
    <row r="2901">
      <c r="A2901" s="3" t="str">
        <f>$B2901&amp;"."&amp;$C2901&amp;"."&amp;$D2901</f>
        <v>cst.die.co</v>
      </c>
      <c r="B2901" s="8" t="inlineStr">
        <is>
          <t>cst</t>
        </is>
      </c>
      <c r="C2901" s="8" t="inlineStr">
        <is>
          <t>die</t>
        </is>
      </c>
      <c r="D2901" s="8" t="inlineStr">
        <is>
          <t>co</t>
        </is>
      </c>
      <c r="E2901" s="3" t="str">
        <f>CodePrefix&amp;"ef."&amp;$A2901</f>
        <v>egy.mit.ef.cst.die.co</v>
      </c>
      <c r="F2901" s="3" t="str">
        <f>CtryReg&amp;".mit.ef."&amp;$A2901</f>
        <v>mea.mit.ef.cst.die.co</v>
      </c>
      <c r="G2901" s="3" t="str">
        <f>"wld.mit.ef."&amp;$A2901</f>
        <v>wld.mit.ef.cst.die.co</v>
      </c>
      <c r="H2901" s="3" t="inlineStr">
        <is>
          <t>egy.mit.ef.cst.die.co</t>
        </is>
      </c>
      <c r="I2901" s="236" t="n">
        <v>15.49116</v>
      </c>
      <c r="J2901" s="236" t="n">
        <v>15.49116</v>
      </c>
    </row>
    <row r="2902">
      <c r="A2902" s="3" t="str">
        <f>$B2902&amp;"."&amp;$C2902&amp;"."&amp;$D2902</f>
        <v>cst.lpg.co</v>
      </c>
      <c r="B2902" s="8" t="inlineStr">
        <is>
          <t>cst</t>
        </is>
      </c>
      <c r="C2902" s="8" t="inlineStr">
        <is>
          <t>lpg</t>
        </is>
      </c>
      <c r="D2902" s="8" t="inlineStr">
        <is>
          <t>co</t>
        </is>
      </c>
      <c r="E2902" s="3" t="str">
        <f>CodePrefix&amp;"ef."&amp;$A2902</f>
        <v>egy.mit.ef.cst.lpg.co</v>
      </c>
      <c r="F2902" s="3" t="str">
        <f>CtryReg&amp;".mit.ef."&amp;$A2902</f>
        <v>mea.mit.ef.cst.lpg.co</v>
      </c>
      <c r="G2902" s="3" t="str">
        <f>"wld.mit.ef."&amp;$A2902</f>
        <v>wld.mit.ef.cst.lpg.co</v>
      </c>
      <c r="H2902" s="3" t="inlineStr">
        <is>
          <t>egy.mit.ef.cst.lpg.co</t>
        </is>
      </c>
      <c r="I2902" s="236" t="n">
        <v>1130.436</v>
      </c>
      <c r="J2902" s="236" t="n">
        <v>1130.436</v>
      </c>
    </row>
    <row r="2903">
      <c r="A2903" s="3" t="str">
        <f>$B2903&amp;"."&amp;$C2903&amp;"."&amp;$D2903</f>
        <v>cst.ker.co</v>
      </c>
      <c r="B2903" s="8" t="inlineStr">
        <is>
          <t>cst</t>
        </is>
      </c>
      <c r="C2903" s="8" t="inlineStr">
        <is>
          <t>ker</t>
        </is>
      </c>
      <c r="D2903" s="8" t="inlineStr">
        <is>
          <t>co</t>
        </is>
      </c>
      <c r="E2903" s="3" t="str">
        <f>CodePrefix&amp;"ef."&amp;$A2903</f>
        <v>egy.mit.ef.cst.ker.co</v>
      </c>
      <c r="F2903" s="3" t="str">
        <f>CtryReg&amp;".mit.ef."&amp;$A2903</f>
        <v>mea.mit.ef.cst.ker.co</v>
      </c>
      <c r="G2903" s="3" t="str">
        <f>"wld.mit.ef."&amp;$A2903</f>
        <v>wld.mit.ef.cst.ker.co</v>
      </c>
      <c r="H2903" s="3" t="inlineStr">
        <is>
          <t>egy.mit.ef.cst.ker.co</t>
        </is>
      </c>
      <c r="I2903" s="236" t="n">
        <v>1130.436</v>
      </c>
      <c r="J2903" s="236" t="n">
        <v>1130.436</v>
      </c>
    </row>
    <row r="2904">
      <c r="A2904" s="3" t="str">
        <f>$B2904&amp;"."&amp;$C2904&amp;"."&amp;$D2904</f>
        <v>cst.bio.co</v>
      </c>
      <c r="B2904" s="8" t="inlineStr">
        <is>
          <t>cst</t>
        </is>
      </c>
      <c r="C2904" s="8" t="inlineStr">
        <is>
          <t>bio</t>
        </is>
      </c>
      <c r="D2904" s="8" t="inlineStr">
        <is>
          <t>co</t>
        </is>
      </c>
      <c r="E2904" s="3" t="str">
        <f>CodePrefix&amp;"ef."&amp;$A2904</f>
        <v>egy.mit.ef.cst.bio.co</v>
      </c>
      <c r="F2904" s="3" t="str">
        <f>CtryReg&amp;".mit.ef."&amp;$A2904</f>
        <v>mea.mit.ef.cst.bio.co</v>
      </c>
      <c r="G2904" s="3" t="str">
        <f>"wld.mit.ef."&amp;$A2904</f>
        <v>wld.mit.ef.cst.bio.co</v>
      </c>
      <c r="H2904" s="3" t="inlineStr">
        <is>
          <t>wld.mit.ef.cst.bio.co</t>
        </is>
      </c>
      <c r="I2904" s="236" t="n">
        <v>0</v>
      </c>
      <c r="J2904" s="236" t="n">
        <v>0</v>
      </c>
    </row>
    <row r="2905">
      <c r="A2905" s="3" t="str">
        <f>$B2905&amp;"."&amp;$C2905&amp;"."&amp;$D2905</f>
        <v>srv.coa.co</v>
      </c>
      <c r="B2905" s="8" t="inlineStr">
        <is>
          <t>srv</t>
        </is>
      </c>
      <c r="C2905" s="8" t="inlineStr">
        <is>
          <t>coa</t>
        </is>
      </c>
      <c r="D2905" s="8" t="inlineStr">
        <is>
          <t>co</t>
        </is>
      </c>
      <c r="E2905" s="3" t="str">
        <f>CodePrefix&amp;"ef."&amp;$A2905</f>
        <v>egy.mit.ef.srv.coa.co</v>
      </c>
      <c r="F2905" s="3" t="str">
        <f>CtryReg&amp;".mit.ef."&amp;$A2905</f>
        <v>mea.mit.ef.srv.coa.co</v>
      </c>
      <c r="G2905" s="3" t="str">
        <f>"wld.mit.ef."&amp;$A2905</f>
        <v>wld.mit.ef.srv.coa.co</v>
      </c>
      <c r="H2905" s="3" t="inlineStr">
        <is>
          <t>wld.mit.ef.srv.coa.co</t>
        </is>
      </c>
      <c r="I2905" s="236" t="n">
        <v>0</v>
      </c>
      <c r="J2905" s="236" t="n">
        <v>0</v>
      </c>
    </row>
    <row r="2906">
      <c r="A2906" s="3" t="str">
        <f>$B2906&amp;"."&amp;$C2906&amp;"."&amp;$D2906</f>
        <v>srv.nga.co</v>
      </c>
      <c r="B2906" s="8" t="inlineStr">
        <is>
          <t>srv</t>
        </is>
      </c>
      <c r="C2906" s="8" t="inlineStr">
        <is>
          <t>nga</t>
        </is>
      </c>
      <c r="D2906" s="8" t="inlineStr">
        <is>
          <t>co</t>
        </is>
      </c>
      <c r="E2906" s="3" t="str">
        <f>CodePrefix&amp;"ef."&amp;$A2906</f>
        <v>egy.mit.ef.srv.nga.co</v>
      </c>
      <c r="F2906" s="3" t="str">
        <f>CtryReg&amp;".mit.ef."&amp;$A2906</f>
        <v>mea.mit.ef.srv.nga.co</v>
      </c>
      <c r="G2906" s="3" t="str">
        <f>"wld.mit.ef."&amp;$A2906</f>
        <v>wld.mit.ef.srv.nga.co</v>
      </c>
      <c r="H2906" s="3" t="inlineStr">
        <is>
          <t>mea.mit.ef.srv.nga.co</t>
        </is>
      </c>
      <c r="I2906" s="236" t="n">
        <v>1.297908</v>
      </c>
      <c r="J2906" s="236" t="n">
        <v>1.297908</v>
      </c>
    </row>
    <row r="2907">
      <c r="A2907" s="3" t="str">
        <f>$B2907&amp;"."&amp;$C2907&amp;"."&amp;$D2907</f>
        <v>srv.oop.co</v>
      </c>
      <c r="B2907" s="8" t="inlineStr">
        <is>
          <t>srv</t>
        </is>
      </c>
      <c r="C2907" s="8" t="inlineStr">
        <is>
          <t>oop</t>
        </is>
      </c>
      <c r="D2907" s="8" t="inlineStr">
        <is>
          <t>co</t>
        </is>
      </c>
      <c r="E2907" s="3" t="str">
        <f>CodePrefix&amp;"ef."&amp;$A2907</f>
        <v>egy.mit.ef.srv.oop.co</v>
      </c>
      <c r="F2907" s="3" t="str">
        <f>CtryReg&amp;".mit.ef."&amp;$A2907</f>
        <v>mea.mit.ef.srv.oop.co</v>
      </c>
      <c r="G2907" s="3" t="str">
        <f>"wld.mit.ef."&amp;$A2907</f>
        <v>wld.mit.ef.srv.oop.co</v>
      </c>
      <c r="H2907" s="3" t="inlineStr">
        <is>
          <t>mea.mit.ef.srv.oop.co</t>
        </is>
      </c>
      <c r="I2907" s="236" t="n">
        <v>1.73281185</v>
      </c>
      <c r="J2907" s="236" t="n">
        <v>1.6652997</v>
      </c>
    </row>
    <row r="2908">
      <c r="A2908" s="3" t="str">
        <f>$B2908&amp;"."&amp;$C2908&amp;"."&amp;$D2908</f>
        <v>srv.gso.co</v>
      </c>
      <c r="B2908" s="8" t="inlineStr">
        <is>
          <t>srv</t>
        </is>
      </c>
      <c r="C2908" s="8" t="inlineStr">
        <is>
          <t>gso</t>
        </is>
      </c>
      <c r="D2908" s="8" t="inlineStr">
        <is>
          <t>co</t>
        </is>
      </c>
      <c r="E2908" s="3" t="str">
        <f>CodePrefix&amp;"ef."&amp;$A2908</f>
        <v>egy.mit.ef.srv.gso.co</v>
      </c>
      <c r="F2908" s="3" t="str">
        <f>CtryReg&amp;".mit.ef."&amp;$A2908</f>
        <v>mea.mit.ef.srv.gso.co</v>
      </c>
      <c r="G2908" s="3" t="str">
        <f>"wld.mit.ef."&amp;$A2908</f>
        <v>wld.mit.ef.srv.gso.co</v>
      </c>
      <c r="H2908" s="3" t="inlineStr">
        <is>
          <t>mea.mit.ef.srv.gso.co</t>
        </is>
      </c>
      <c r="I2908" s="236" t="n">
        <v>1.67472</v>
      </c>
      <c r="J2908" s="236" t="n">
        <v>1.67472</v>
      </c>
    </row>
    <row r="2909">
      <c r="A2909" s="3" t="str">
        <f>$B2909&amp;"."&amp;$C2909&amp;"."&amp;$D2909</f>
        <v>srv.die.co</v>
      </c>
      <c r="B2909" s="8" t="inlineStr">
        <is>
          <t>srv</t>
        </is>
      </c>
      <c r="C2909" s="8" t="inlineStr">
        <is>
          <t>die</t>
        </is>
      </c>
      <c r="D2909" s="8" t="inlineStr">
        <is>
          <t>co</t>
        </is>
      </c>
      <c r="E2909" s="3" t="str">
        <f>CodePrefix&amp;"ef."&amp;$A2909</f>
        <v>egy.mit.ef.srv.die.co</v>
      </c>
      <c r="F2909" s="3" t="str">
        <f>CtryReg&amp;".mit.ef."&amp;$A2909</f>
        <v>mea.mit.ef.srv.die.co</v>
      </c>
      <c r="G2909" s="3" t="str">
        <f>"wld.mit.ef."&amp;$A2909</f>
        <v>wld.mit.ef.srv.die.co</v>
      </c>
      <c r="H2909" s="3" t="inlineStr">
        <is>
          <t>mea.mit.ef.srv.die.co</t>
        </is>
      </c>
      <c r="I2909" s="236" t="n">
        <v>1.73281185</v>
      </c>
      <c r="J2909" s="236" t="n">
        <v>1.6652997</v>
      </c>
    </row>
    <row r="2910">
      <c r="A2910" s="3" t="str">
        <f>$B2910&amp;"."&amp;$C2910&amp;"."&amp;$D2910</f>
        <v>srv.lpg.co</v>
      </c>
      <c r="B2910" s="8" t="inlineStr">
        <is>
          <t>srv</t>
        </is>
      </c>
      <c r="C2910" s="8" t="inlineStr">
        <is>
          <t>lpg</t>
        </is>
      </c>
      <c r="D2910" s="8" t="inlineStr">
        <is>
          <t>co</t>
        </is>
      </c>
      <c r="E2910" s="3" t="str">
        <f>CodePrefix&amp;"ef."&amp;$A2910</f>
        <v>egy.mit.ef.srv.lpg.co</v>
      </c>
      <c r="F2910" s="3" t="str">
        <f>CtryReg&amp;".mit.ef."&amp;$A2910</f>
        <v>mea.mit.ef.srv.lpg.co</v>
      </c>
      <c r="G2910" s="3" t="str">
        <f>"wld.mit.ef."&amp;$A2910</f>
        <v>wld.mit.ef.srv.lpg.co</v>
      </c>
      <c r="H2910" s="3" t="inlineStr">
        <is>
          <t>mea.mit.ef.srv.lpg.co</t>
        </is>
      </c>
      <c r="I2910" s="236" t="n">
        <v>1.67472</v>
      </c>
      <c r="J2910" s="236" t="n">
        <v>1.67472</v>
      </c>
    </row>
    <row r="2911">
      <c r="A2911" s="3" t="str">
        <f>$B2911&amp;"."&amp;$C2911&amp;"."&amp;$D2911</f>
        <v>srv.ker.co</v>
      </c>
      <c r="B2911" s="8" t="inlineStr">
        <is>
          <t>srv</t>
        </is>
      </c>
      <c r="C2911" s="8" t="inlineStr">
        <is>
          <t>ker</t>
        </is>
      </c>
      <c r="D2911" s="8" t="inlineStr">
        <is>
          <t>co</t>
        </is>
      </c>
      <c r="E2911" s="3" t="str">
        <f>CodePrefix&amp;"ef."&amp;$A2911</f>
        <v>egy.mit.ef.srv.ker.co</v>
      </c>
      <c r="F2911" s="3" t="str">
        <f>CtryReg&amp;".mit.ef."&amp;$A2911</f>
        <v>mea.mit.ef.srv.ker.co</v>
      </c>
      <c r="G2911" s="3" t="str">
        <f>"wld.mit.ef."&amp;$A2911</f>
        <v>wld.mit.ef.srv.ker.co</v>
      </c>
      <c r="H2911" s="3" t="inlineStr">
        <is>
          <t>mea.mit.ef.srv.ker.co</t>
        </is>
      </c>
      <c r="I2911" s="236" t="n">
        <v>1.67472</v>
      </c>
      <c r="J2911" s="236" t="n">
        <v>1.67472</v>
      </c>
    </row>
    <row r="2912">
      <c r="A2912" s="3" t="str">
        <f>$B2912&amp;"."&amp;$C2912&amp;"."&amp;$D2912</f>
        <v>srv.bio.co</v>
      </c>
      <c r="B2912" s="8" t="inlineStr">
        <is>
          <t>srv</t>
        </is>
      </c>
      <c r="C2912" s="8" t="inlineStr">
        <is>
          <t>bio</t>
        </is>
      </c>
      <c r="D2912" s="8" t="inlineStr">
        <is>
          <t>co</t>
        </is>
      </c>
      <c r="E2912" s="3" t="str">
        <f>CodePrefix&amp;"ef."&amp;$A2912</f>
        <v>egy.mit.ef.srv.bio.co</v>
      </c>
      <c r="F2912" s="3" t="str">
        <f>CtryReg&amp;".mit.ef."&amp;$A2912</f>
        <v>mea.mit.ef.srv.bio.co</v>
      </c>
      <c r="G2912" s="3" t="str">
        <f>"wld.mit.ef."&amp;$A2912</f>
        <v>wld.mit.ef.srv.bio.co</v>
      </c>
      <c r="H2912" s="3" t="inlineStr">
        <is>
          <t>mea.mit.ef.srv.bio.co</t>
        </is>
      </c>
      <c r="I2912" s="236" t="n">
        <v>14.297922</v>
      </c>
      <c r="J2912" s="236" t="n">
        <v>12.24639</v>
      </c>
    </row>
    <row r="2913">
      <c r="A2913" s="3" t="str">
        <f>$B2913&amp;"."&amp;$C2913&amp;"."&amp;$D2913</f>
        <v>mnf.coa.co</v>
      </c>
      <c r="B2913" s="8" t="inlineStr">
        <is>
          <t>mnf</t>
        </is>
      </c>
      <c r="C2913" s="8" t="inlineStr">
        <is>
          <t>coa</t>
        </is>
      </c>
      <c r="D2913" s="8" t="inlineStr">
        <is>
          <t>co</t>
        </is>
      </c>
      <c r="E2913" s="3" t="str">
        <f>CodePrefix&amp;"ef."&amp;$A2913</f>
        <v>egy.mit.ef.mnf.coa.co</v>
      </c>
      <c r="F2913" s="3" t="str">
        <f>CtryReg&amp;".mit.ef."&amp;$A2913</f>
        <v>mea.mit.ef.mnf.coa.co</v>
      </c>
      <c r="G2913" s="3" t="str">
        <f>"wld.mit.ef."&amp;$A2913</f>
        <v>wld.mit.ef.mnf.coa.co</v>
      </c>
      <c r="H2913" s="3" t="inlineStr">
        <is>
          <t>egy.mit.ef.mnf.coa.co</t>
        </is>
      </c>
      <c r="I2913" s="236" t="n">
        <v>4.186800000000001</v>
      </c>
      <c r="J2913" s="236" t="n">
        <v>4.186795813200001</v>
      </c>
    </row>
    <row r="2914">
      <c r="A2914" s="3" t="str">
        <f>$B2914&amp;"."&amp;$C2914&amp;"."&amp;$D2914</f>
        <v>mnf.nga.co</v>
      </c>
      <c r="B2914" s="8" t="inlineStr">
        <is>
          <t>mnf</t>
        </is>
      </c>
      <c r="C2914" s="8" t="inlineStr">
        <is>
          <t>nga</t>
        </is>
      </c>
      <c r="D2914" s="8" t="inlineStr">
        <is>
          <t>co</t>
        </is>
      </c>
      <c r="E2914" s="3" t="str">
        <f>CodePrefix&amp;"ef."&amp;$A2914</f>
        <v>egy.mit.ef.mnf.nga.co</v>
      </c>
      <c r="F2914" s="3" t="str">
        <f>CtryReg&amp;".mit.ef."&amp;$A2914</f>
        <v>mea.mit.ef.mnf.nga.co</v>
      </c>
      <c r="G2914" s="3" t="str">
        <f>"wld.mit.ef."&amp;$A2914</f>
        <v>wld.mit.ef.mnf.nga.co</v>
      </c>
      <c r="H2914" s="3" t="inlineStr">
        <is>
          <t>egy.mit.ef.mnf.nga.co</t>
        </is>
      </c>
      <c r="I2914" s="236" t="n">
        <v>1.46538</v>
      </c>
      <c r="J2914" s="236" t="n">
        <v>1.4653130112</v>
      </c>
    </row>
    <row r="2915">
      <c r="A2915" s="3" t="str">
        <f>$B2915&amp;"."&amp;$C2915&amp;"."&amp;$D2915</f>
        <v>mnf.oop.co</v>
      </c>
      <c r="B2915" s="8" t="inlineStr">
        <is>
          <t>mnf</t>
        </is>
      </c>
      <c r="C2915" s="8" t="inlineStr">
        <is>
          <t>oop</t>
        </is>
      </c>
      <c r="D2915" s="8" t="inlineStr">
        <is>
          <t>co</t>
        </is>
      </c>
      <c r="E2915" s="3" t="str">
        <f>CodePrefix&amp;"ef."&amp;$A2915</f>
        <v>egy.mit.ef.mnf.oop.co</v>
      </c>
      <c r="F2915" s="3" t="str">
        <f>CtryReg&amp;".mit.ef."&amp;$A2915</f>
        <v>mea.mit.ef.mnf.oop.co</v>
      </c>
      <c r="G2915" s="3" t="str">
        <f>"wld.mit.ef."&amp;$A2915</f>
        <v>wld.mit.ef.mnf.oop.co</v>
      </c>
      <c r="H2915" s="3" t="inlineStr">
        <is>
          <t>egy.mit.ef.mnf.oop.co</t>
        </is>
      </c>
      <c r="I2915" s="236" t="n">
        <v>1.67472</v>
      </c>
      <c r="J2915" s="236" t="n">
        <v>1.6746906924</v>
      </c>
    </row>
    <row r="2916">
      <c r="A2916" s="3" t="str">
        <f>$B2916&amp;"."&amp;$C2916&amp;"."&amp;$D2916</f>
        <v>mnf.gso.co</v>
      </c>
      <c r="B2916" s="8" t="inlineStr">
        <is>
          <t>mnf</t>
        </is>
      </c>
      <c r="C2916" s="8" t="inlineStr">
        <is>
          <t>gso</t>
        </is>
      </c>
      <c r="D2916" s="8" t="inlineStr">
        <is>
          <t>co</t>
        </is>
      </c>
      <c r="E2916" s="3" t="str">
        <f>CodePrefix&amp;"ef."&amp;$A2916</f>
        <v>egy.mit.ef.mnf.gso.co</v>
      </c>
      <c r="F2916" s="3" t="str">
        <f>CtryReg&amp;".mit.ef."&amp;$A2916</f>
        <v>mea.mit.ef.mnf.gso.co</v>
      </c>
      <c r="G2916" s="3" t="str">
        <f>"wld.mit.ef."&amp;$A2916</f>
        <v>wld.mit.ef.mnf.gso.co</v>
      </c>
      <c r="H2916" s="3" t="inlineStr">
        <is>
          <t>egy.mit.ef.mnf.gso.co</t>
        </is>
      </c>
      <c r="I2916" s="236" t="n">
        <v>1.67472</v>
      </c>
      <c r="J2916" s="236" t="n">
        <v>1.67472</v>
      </c>
    </row>
    <row r="2917">
      <c r="A2917" s="3" t="str">
        <f>$B2917&amp;"."&amp;$C2917&amp;"."&amp;$D2917</f>
        <v>mnf.die.co</v>
      </c>
      <c r="B2917" s="8" t="inlineStr">
        <is>
          <t>mnf</t>
        </is>
      </c>
      <c r="C2917" s="8" t="inlineStr">
        <is>
          <t>die</t>
        </is>
      </c>
      <c r="D2917" s="8" t="inlineStr">
        <is>
          <t>co</t>
        </is>
      </c>
      <c r="E2917" s="3" t="str">
        <f>CodePrefix&amp;"ef."&amp;$A2917</f>
        <v>egy.mit.ef.mnf.die.co</v>
      </c>
      <c r="F2917" s="3" t="str">
        <f>CtryReg&amp;".mit.ef."&amp;$A2917</f>
        <v>mea.mit.ef.mnf.die.co</v>
      </c>
      <c r="G2917" s="3" t="str">
        <f>"wld.mit.ef."&amp;$A2917</f>
        <v>wld.mit.ef.mnf.die.co</v>
      </c>
      <c r="H2917" s="3" t="inlineStr">
        <is>
          <t>egy.mit.ef.mnf.die.co</t>
        </is>
      </c>
      <c r="I2917" s="236" t="n">
        <v>1.67472</v>
      </c>
      <c r="J2917" s="236" t="n">
        <v>1.67472</v>
      </c>
    </row>
    <row r="2918">
      <c r="A2918" s="3" t="str">
        <f>$B2918&amp;"."&amp;$C2918&amp;"."&amp;$D2918</f>
        <v>mnf.lpg.co</v>
      </c>
      <c r="B2918" s="8" t="inlineStr">
        <is>
          <t>mnf</t>
        </is>
      </c>
      <c r="C2918" s="8" t="inlineStr">
        <is>
          <t>lpg</t>
        </is>
      </c>
      <c r="D2918" s="8" t="inlineStr">
        <is>
          <t>co</t>
        </is>
      </c>
      <c r="E2918" s="3" t="str">
        <f>CodePrefix&amp;"ef."&amp;$A2918</f>
        <v>egy.mit.ef.mnf.lpg.co</v>
      </c>
      <c r="F2918" s="3" t="str">
        <f>CtryReg&amp;".mit.ef."&amp;$A2918</f>
        <v>mea.mit.ef.mnf.lpg.co</v>
      </c>
      <c r="G2918" s="3" t="str">
        <f>"wld.mit.ef."&amp;$A2918</f>
        <v>wld.mit.ef.mnf.lpg.co</v>
      </c>
      <c r="H2918" s="3" t="inlineStr">
        <is>
          <t>mea.mit.ef.mnf.lpg.co</t>
        </is>
      </c>
      <c r="I2918" s="236" t="n">
        <v>0.62802</v>
      </c>
      <c r="J2918" s="236" t="n">
        <v>0.62802</v>
      </c>
    </row>
    <row r="2919">
      <c r="A2919" s="3" t="str">
        <f>$B2919&amp;"."&amp;$C2919&amp;"."&amp;$D2919</f>
        <v>mnf.ker.co</v>
      </c>
      <c r="B2919" s="8" t="inlineStr">
        <is>
          <t>mnf</t>
        </is>
      </c>
      <c r="C2919" s="8" t="inlineStr">
        <is>
          <t>ker</t>
        </is>
      </c>
      <c r="D2919" s="8" t="inlineStr">
        <is>
          <t>co</t>
        </is>
      </c>
      <c r="E2919" s="3" t="str">
        <f>CodePrefix&amp;"ef."&amp;$A2919</f>
        <v>egy.mit.ef.mnf.ker.co</v>
      </c>
      <c r="F2919" s="3" t="str">
        <f>CtryReg&amp;".mit.ef."&amp;$A2919</f>
        <v>mea.mit.ef.mnf.ker.co</v>
      </c>
      <c r="G2919" s="3" t="str">
        <f>"wld.mit.ef."&amp;$A2919</f>
        <v>wld.mit.ef.mnf.ker.co</v>
      </c>
      <c r="H2919" s="3" t="inlineStr">
        <is>
          <t>egy.mit.ef.mnf.ker.co</t>
        </is>
      </c>
      <c r="I2919" s="236" t="n">
        <v>1.67472</v>
      </c>
      <c r="J2919" s="236" t="n">
        <v>1.67472</v>
      </c>
    </row>
    <row r="2920">
      <c r="A2920" s="3" t="str">
        <f>$B2920&amp;"."&amp;$C2920&amp;"."&amp;$D2920</f>
        <v>mnf.bio.co</v>
      </c>
      <c r="B2920" s="8" t="inlineStr">
        <is>
          <t>mnf</t>
        </is>
      </c>
      <c r="C2920" s="8" t="inlineStr">
        <is>
          <t>bio</t>
        </is>
      </c>
      <c r="D2920" s="8" t="inlineStr">
        <is>
          <t>co</t>
        </is>
      </c>
      <c r="E2920" s="3" t="str">
        <f>CodePrefix&amp;"ef."&amp;$A2920</f>
        <v>egy.mit.ef.mnf.bio.co</v>
      </c>
      <c r="F2920" s="3" t="str">
        <f>CtryReg&amp;".mit.ef."&amp;$A2920</f>
        <v>mea.mit.ef.mnf.bio.co</v>
      </c>
      <c r="G2920" s="3" t="str">
        <f>"wld.mit.ef."&amp;$A2920</f>
        <v>wld.mit.ef.mnf.bio.co</v>
      </c>
      <c r="H2920" s="3" t="inlineStr">
        <is>
          <t>mea.mit.ef.mnf.bio.co</t>
        </is>
      </c>
      <c r="I2920" s="236" t="n">
        <v>12.5604</v>
      </c>
      <c r="J2920" s="236" t="n">
        <v>12.5604</v>
      </c>
    </row>
    <row r="2921">
      <c r="A2921" s="3" t="str">
        <f>$B2921&amp;"."&amp;$C2921&amp;"."&amp;$D2921</f>
        <v>omn.coa.co</v>
      </c>
      <c r="B2921" s="8" t="inlineStr">
        <is>
          <t>omn</t>
        </is>
      </c>
      <c r="C2921" s="8" t="inlineStr">
        <is>
          <t>coa</t>
        </is>
      </c>
      <c r="D2921" s="8" t="inlineStr">
        <is>
          <t>co</t>
        </is>
      </c>
      <c r="E2921" s="3" t="str">
        <f>CodePrefix&amp;"ef."&amp;$A2921</f>
        <v>egy.mit.ef.omn.coa.co</v>
      </c>
      <c r="F2921" s="3" t="str">
        <f>CtryReg&amp;".mit.ef."&amp;$A2921</f>
        <v>mea.mit.ef.omn.coa.co</v>
      </c>
      <c r="G2921" s="3" t="str">
        <f>"wld.mit.ef."&amp;$A2921</f>
        <v>wld.mit.ef.omn.coa.co</v>
      </c>
      <c r="H2921" s="3" t="inlineStr">
        <is>
          <t>wld.mit.ef.omn.coa.co</t>
        </is>
      </c>
      <c r="I2921" s="236" t="n">
        <v>0</v>
      </c>
      <c r="J2921" s="236" t="n">
        <v>0</v>
      </c>
    </row>
    <row r="2922">
      <c r="A2922" s="3" t="str">
        <f>$B2922&amp;"."&amp;$C2922&amp;"."&amp;$D2922</f>
        <v>omn.nga.co</v>
      </c>
      <c r="B2922" s="8" t="inlineStr">
        <is>
          <t>omn</t>
        </is>
      </c>
      <c r="C2922" s="8" t="inlineStr">
        <is>
          <t>nga</t>
        </is>
      </c>
      <c r="D2922" s="8" t="inlineStr">
        <is>
          <t>co</t>
        </is>
      </c>
      <c r="E2922" s="3" t="str">
        <f>CodePrefix&amp;"ef."&amp;$A2922</f>
        <v>egy.mit.ef.omn.nga.co</v>
      </c>
      <c r="F2922" s="3" t="str">
        <f>CtryReg&amp;".mit.ef."&amp;$A2922</f>
        <v>mea.mit.ef.omn.nga.co</v>
      </c>
      <c r="G2922" s="3" t="str">
        <f>"wld.mit.ef."&amp;$A2922</f>
        <v>wld.mit.ef.omn.nga.co</v>
      </c>
      <c r="H2922" s="3" t="inlineStr">
        <is>
          <t>egy.mit.ef.omn.nga.co</t>
        </is>
      </c>
      <c r="I2922" s="236" t="n">
        <v>1.46538</v>
      </c>
      <c r="J2922" s="236" t="n">
        <v>1.46538</v>
      </c>
    </row>
    <row r="2923">
      <c r="A2923" s="3" t="str">
        <f>$B2923&amp;"."&amp;$C2923&amp;"."&amp;$D2923</f>
        <v>omn.oop.co</v>
      </c>
      <c r="B2923" s="8" t="inlineStr">
        <is>
          <t>omn</t>
        </is>
      </c>
      <c r="C2923" s="8" t="inlineStr">
        <is>
          <t>oop</t>
        </is>
      </c>
      <c r="D2923" s="8" t="inlineStr">
        <is>
          <t>co</t>
        </is>
      </c>
      <c r="E2923" s="3" t="str">
        <f>CodePrefix&amp;"ef."&amp;$A2923</f>
        <v>egy.mit.ef.omn.oop.co</v>
      </c>
      <c r="F2923" s="3" t="str">
        <f>CtryReg&amp;".mit.ef."&amp;$A2923</f>
        <v>mea.mit.ef.omn.oop.co</v>
      </c>
      <c r="G2923" s="3" t="str">
        <f>"wld.mit.ef."&amp;$A2923</f>
        <v>wld.mit.ef.omn.oop.co</v>
      </c>
      <c r="H2923" s="3" t="inlineStr">
        <is>
          <t>egy.mit.ef.omn.oop.co</t>
        </is>
      </c>
      <c r="I2923" s="236" t="n">
        <v>1.67472</v>
      </c>
      <c r="J2923" s="236" t="n">
        <v>1.67472</v>
      </c>
    </row>
    <row r="2924">
      <c r="A2924" s="3" t="str">
        <f>$B2924&amp;"."&amp;$C2924&amp;"."&amp;$D2924</f>
        <v>omn.gso.co</v>
      </c>
      <c r="B2924" s="8" t="inlineStr">
        <is>
          <t>omn</t>
        </is>
      </c>
      <c r="C2924" s="8" t="inlineStr">
        <is>
          <t>gso</t>
        </is>
      </c>
      <c r="D2924" s="8" t="inlineStr">
        <is>
          <t>co</t>
        </is>
      </c>
      <c r="E2924" s="3" t="str">
        <f>CodePrefix&amp;"ef."&amp;$A2924</f>
        <v>egy.mit.ef.omn.gso.co</v>
      </c>
      <c r="F2924" s="3" t="str">
        <f>CtryReg&amp;".mit.ef."&amp;$A2924</f>
        <v>mea.mit.ef.omn.gso.co</v>
      </c>
      <c r="G2924" s="3" t="str">
        <f>"wld.mit.ef."&amp;$A2924</f>
        <v>wld.mit.ef.omn.gso.co</v>
      </c>
      <c r="H2924" s="3" t="inlineStr">
        <is>
          <t>egy.mit.ef.omn.gso.co</t>
        </is>
      </c>
      <c r="I2924" s="236" t="n">
        <v>1.67472</v>
      </c>
      <c r="J2924" s="236" t="n">
        <v>1.67472</v>
      </c>
    </row>
    <row r="2925">
      <c r="A2925" s="3" t="str">
        <f>$B2925&amp;"."&amp;$C2925&amp;"."&amp;$D2925</f>
        <v>omn.die.co</v>
      </c>
      <c r="B2925" s="8" t="inlineStr">
        <is>
          <t>omn</t>
        </is>
      </c>
      <c r="C2925" s="8" t="inlineStr">
        <is>
          <t>die</t>
        </is>
      </c>
      <c r="D2925" s="8" t="inlineStr">
        <is>
          <t>co</t>
        </is>
      </c>
      <c r="E2925" s="3" t="str">
        <f>CodePrefix&amp;"ef."&amp;$A2925</f>
        <v>egy.mit.ef.omn.die.co</v>
      </c>
      <c r="F2925" s="3" t="str">
        <f>CtryReg&amp;".mit.ef."&amp;$A2925</f>
        <v>mea.mit.ef.omn.die.co</v>
      </c>
      <c r="G2925" s="3" t="str">
        <f>"wld.mit.ef."&amp;$A2925</f>
        <v>wld.mit.ef.omn.die.co</v>
      </c>
      <c r="H2925" s="3" t="inlineStr">
        <is>
          <t>mea.mit.ef.omn.die.co</t>
        </is>
      </c>
      <c r="I2925" s="236" t="n">
        <v>1.67472</v>
      </c>
      <c r="J2925" s="236" t="n">
        <v>1.67472</v>
      </c>
    </row>
    <row r="2926">
      <c r="A2926" s="3" t="str">
        <f>$B2926&amp;"."&amp;$C2926&amp;"."&amp;$D2926</f>
        <v>omn.lpg.co</v>
      </c>
      <c r="B2926" s="8" t="inlineStr">
        <is>
          <t>omn</t>
        </is>
      </c>
      <c r="C2926" s="8" t="inlineStr">
        <is>
          <t>lpg</t>
        </is>
      </c>
      <c r="D2926" s="8" t="inlineStr">
        <is>
          <t>co</t>
        </is>
      </c>
      <c r="E2926" s="3" t="str">
        <f>CodePrefix&amp;"ef."&amp;$A2926</f>
        <v>egy.mit.ef.omn.lpg.co</v>
      </c>
      <c r="F2926" s="3" t="str">
        <f>CtryReg&amp;".mit.ef."&amp;$A2926</f>
        <v>mea.mit.ef.omn.lpg.co</v>
      </c>
      <c r="G2926" s="3" t="str">
        <f>"wld.mit.ef."&amp;$A2926</f>
        <v>wld.mit.ef.omn.lpg.co</v>
      </c>
      <c r="H2926" s="3" t="inlineStr">
        <is>
          <t>mea.mit.ef.omn.lpg.co</t>
        </is>
      </c>
      <c r="I2926" s="236" t="n">
        <v>0.62802</v>
      </c>
      <c r="J2926" s="236" t="n">
        <v>0.62802</v>
      </c>
    </row>
    <row r="2927">
      <c r="A2927" s="3" t="str">
        <f>$B2927&amp;"."&amp;$C2927&amp;"."&amp;$D2927</f>
        <v>omn.ker.co</v>
      </c>
      <c r="B2927" s="8" t="inlineStr">
        <is>
          <t>omn</t>
        </is>
      </c>
      <c r="C2927" s="8" t="inlineStr">
        <is>
          <t>ker</t>
        </is>
      </c>
      <c r="D2927" s="8" t="inlineStr">
        <is>
          <t>co</t>
        </is>
      </c>
      <c r="E2927" s="3" t="str">
        <f>CodePrefix&amp;"ef."&amp;$A2927</f>
        <v>egy.mit.ef.omn.ker.co</v>
      </c>
      <c r="F2927" s="3" t="str">
        <f>CtryReg&amp;".mit.ef."&amp;$A2927</f>
        <v>mea.mit.ef.omn.ker.co</v>
      </c>
      <c r="G2927" s="3" t="str">
        <f>"wld.mit.ef."&amp;$A2927</f>
        <v>wld.mit.ef.omn.ker.co</v>
      </c>
      <c r="H2927" s="3" t="inlineStr">
        <is>
          <t>egy.mit.ef.omn.ker.co</t>
        </is>
      </c>
      <c r="I2927" s="236" t="n">
        <v>1.67472</v>
      </c>
      <c r="J2927" s="236" t="n">
        <v>1.67472</v>
      </c>
    </row>
    <row r="2928">
      <c r="A2928" s="3" t="str">
        <f>$B2928&amp;"."&amp;$C2928&amp;"."&amp;$D2928</f>
        <v>omn.bio.co</v>
      </c>
      <c r="B2928" s="8" t="inlineStr">
        <is>
          <t>omn</t>
        </is>
      </c>
      <c r="C2928" s="8" t="inlineStr">
        <is>
          <t>bio</t>
        </is>
      </c>
      <c r="D2928" s="8" t="inlineStr">
        <is>
          <t>co</t>
        </is>
      </c>
      <c r="E2928" s="3" t="str">
        <f>CodePrefix&amp;"ef."&amp;$A2928</f>
        <v>egy.mit.ef.omn.bio.co</v>
      </c>
      <c r="F2928" s="3" t="str">
        <f>CtryReg&amp;".mit.ef."&amp;$A2928</f>
        <v>mea.mit.ef.omn.bio.co</v>
      </c>
      <c r="G2928" s="3" t="str">
        <f>"wld.mit.ef."&amp;$A2928</f>
        <v>wld.mit.ef.omn.bio.co</v>
      </c>
      <c r="H2928" s="3" t="inlineStr">
        <is>
          <t>mea.mit.ef.omn.bio.co</t>
        </is>
      </c>
      <c r="I2928" s="236" t="n">
        <v>12.5604</v>
      </c>
      <c r="J2928" s="236" t="n">
        <v>12.5604</v>
      </c>
    </row>
    <row r="2929">
      <c r="A2929" s="3" t="str">
        <f>$B2929&amp;"."&amp;$C2929&amp;"."&amp;$D2929</f>
        <v>foo.coa.co</v>
      </c>
      <c r="B2929" s="8" t="inlineStr">
        <is>
          <t>foo</t>
        </is>
      </c>
      <c r="C2929" s="8" t="inlineStr">
        <is>
          <t>coa</t>
        </is>
      </c>
      <c r="D2929" s="8" t="inlineStr">
        <is>
          <t>co</t>
        </is>
      </c>
      <c r="E2929" s="3" t="str">
        <f>CodePrefix&amp;"ef."&amp;$A2929</f>
        <v>egy.mit.ef.foo.coa.co</v>
      </c>
      <c r="F2929" s="3" t="str">
        <f>CtryReg&amp;".mit.ef."&amp;$A2929</f>
        <v>mea.mit.ef.foo.coa.co</v>
      </c>
      <c r="G2929" s="3" t="str">
        <f>"wld.mit.ef."&amp;$A2929</f>
        <v>wld.mit.ef.foo.coa.co</v>
      </c>
      <c r="H2929" s="3" t="inlineStr">
        <is>
          <t>wld.mit.ef.foo.coa.co</t>
        </is>
      </c>
      <c r="I2929" s="236" t="n">
        <v>0</v>
      </c>
      <c r="J2929" s="236" t="n">
        <v>0</v>
      </c>
    </row>
    <row r="2930">
      <c r="A2930" s="3" t="str">
        <f>$B2930&amp;"."&amp;$C2930&amp;"."&amp;$D2930</f>
        <v>foo.nga.co</v>
      </c>
      <c r="B2930" s="8" t="inlineStr">
        <is>
          <t>foo</t>
        </is>
      </c>
      <c r="C2930" s="8" t="inlineStr">
        <is>
          <t>nga</t>
        </is>
      </c>
      <c r="D2930" s="8" t="inlineStr">
        <is>
          <t>co</t>
        </is>
      </c>
      <c r="E2930" s="3" t="str">
        <f>CodePrefix&amp;"ef."&amp;$A2930</f>
        <v>egy.mit.ef.foo.nga.co</v>
      </c>
      <c r="F2930" s="3" t="str">
        <f>CtryReg&amp;".mit.ef."&amp;$A2930</f>
        <v>mea.mit.ef.foo.nga.co</v>
      </c>
      <c r="G2930" s="3" t="str">
        <f>"wld.mit.ef."&amp;$A2930</f>
        <v>wld.mit.ef.foo.nga.co</v>
      </c>
      <c r="H2930" s="3" t="inlineStr">
        <is>
          <t>egy.mit.ef.foo.nga.co</t>
        </is>
      </c>
      <c r="I2930" s="236" t="n">
        <v>1.46538</v>
      </c>
      <c r="J2930" s="236" t="n">
        <v>1.46538</v>
      </c>
    </row>
    <row r="2931">
      <c r="A2931" s="3" t="str">
        <f>$B2931&amp;"."&amp;$C2931&amp;"."&amp;$D2931</f>
        <v>foo.oop.co</v>
      </c>
      <c r="B2931" s="8" t="inlineStr">
        <is>
          <t>foo</t>
        </is>
      </c>
      <c r="C2931" s="8" t="inlineStr">
        <is>
          <t>oop</t>
        </is>
      </c>
      <c r="D2931" s="8" t="inlineStr">
        <is>
          <t>co</t>
        </is>
      </c>
      <c r="E2931" s="3" t="str">
        <f>CodePrefix&amp;"ef."&amp;$A2931</f>
        <v>egy.mit.ef.foo.oop.co</v>
      </c>
      <c r="F2931" s="3" t="str">
        <f>CtryReg&amp;".mit.ef."&amp;$A2931</f>
        <v>mea.mit.ef.foo.oop.co</v>
      </c>
      <c r="G2931" s="3" t="str">
        <f>"wld.mit.ef."&amp;$A2931</f>
        <v>wld.mit.ef.foo.oop.co</v>
      </c>
      <c r="H2931" s="3" t="inlineStr">
        <is>
          <t>egy.mit.ef.foo.oop.co</t>
        </is>
      </c>
      <c r="I2931" s="236" t="n">
        <v>1.67472</v>
      </c>
      <c r="J2931" s="236" t="n">
        <v>1.67472</v>
      </c>
    </row>
    <row r="2932">
      <c r="A2932" s="3" t="str">
        <f>$B2932&amp;"."&amp;$C2932&amp;"."&amp;$D2932</f>
        <v>foo.gso.co</v>
      </c>
      <c r="B2932" s="8" t="inlineStr">
        <is>
          <t>foo</t>
        </is>
      </c>
      <c r="C2932" s="8" t="inlineStr">
        <is>
          <t>gso</t>
        </is>
      </c>
      <c r="D2932" s="8" t="inlineStr">
        <is>
          <t>co</t>
        </is>
      </c>
      <c r="E2932" s="3" t="str">
        <f>CodePrefix&amp;"ef."&amp;$A2932</f>
        <v>egy.mit.ef.foo.gso.co</v>
      </c>
      <c r="F2932" s="3" t="str">
        <f>CtryReg&amp;".mit.ef."&amp;$A2932</f>
        <v>mea.mit.ef.foo.gso.co</v>
      </c>
      <c r="G2932" s="3" t="str">
        <f>"wld.mit.ef."&amp;$A2932</f>
        <v>wld.mit.ef.foo.gso.co</v>
      </c>
      <c r="H2932" s="3" t="inlineStr">
        <is>
          <t>egy.mit.ef.foo.gso.co</t>
        </is>
      </c>
      <c r="I2932" s="236" t="n">
        <v>1.67472</v>
      </c>
      <c r="J2932" s="236" t="n">
        <v>1.67472</v>
      </c>
    </row>
    <row r="2933">
      <c r="A2933" s="3" t="str">
        <f>$B2933&amp;"."&amp;$C2933&amp;"."&amp;$D2933</f>
        <v>foo.die.co</v>
      </c>
      <c r="B2933" s="8" t="inlineStr">
        <is>
          <t>foo</t>
        </is>
      </c>
      <c r="C2933" s="8" t="inlineStr">
        <is>
          <t>die</t>
        </is>
      </c>
      <c r="D2933" s="8" t="inlineStr">
        <is>
          <t>co</t>
        </is>
      </c>
      <c r="E2933" s="3" t="str">
        <f>CodePrefix&amp;"ef."&amp;$A2933</f>
        <v>egy.mit.ef.foo.die.co</v>
      </c>
      <c r="F2933" s="3" t="str">
        <f>CtryReg&amp;".mit.ef."&amp;$A2933</f>
        <v>mea.mit.ef.foo.die.co</v>
      </c>
      <c r="G2933" s="3" t="str">
        <f>"wld.mit.ef."&amp;$A2933</f>
        <v>wld.mit.ef.foo.die.co</v>
      </c>
      <c r="H2933" s="3" t="inlineStr">
        <is>
          <t>mea.mit.ef.foo.die.co</t>
        </is>
      </c>
      <c r="I2933" s="236" t="n">
        <v>1.67472</v>
      </c>
      <c r="J2933" s="236" t="n">
        <v>1.67472</v>
      </c>
    </row>
    <row r="2934">
      <c r="A2934" s="3" t="str">
        <f>$B2934&amp;"."&amp;$C2934&amp;"."&amp;$D2934</f>
        <v>foo.lpg.co</v>
      </c>
      <c r="B2934" s="8" t="inlineStr">
        <is>
          <t>foo</t>
        </is>
      </c>
      <c r="C2934" s="8" t="inlineStr">
        <is>
          <t>lpg</t>
        </is>
      </c>
      <c r="D2934" s="8" t="inlineStr">
        <is>
          <t>co</t>
        </is>
      </c>
      <c r="E2934" s="3" t="str">
        <f>CodePrefix&amp;"ef."&amp;$A2934</f>
        <v>egy.mit.ef.foo.lpg.co</v>
      </c>
      <c r="F2934" s="3" t="str">
        <f>CtryReg&amp;".mit.ef."&amp;$A2934</f>
        <v>mea.mit.ef.foo.lpg.co</v>
      </c>
      <c r="G2934" s="3" t="str">
        <f>"wld.mit.ef."&amp;$A2934</f>
        <v>wld.mit.ef.foo.lpg.co</v>
      </c>
      <c r="H2934" s="3" t="inlineStr">
        <is>
          <t>mea.mit.ef.foo.lpg.co</t>
        </is>
      </c>
      <c r="I2934" s="236" t="n">
        <v>0.62802</v>
      </c>
      <c r="J2934" s="236" t="n">
        <v>0.62802</v>
      </c>
    </row>
    <row r="2935">
      <c r="A2935" s="3" t="str">
        <f>$B2935&amp;"."&amp;$C2935&amp;"."&amp;$D2935</f>
        <v>foo.ker.co</v>
      </c>
      <c r="B2935" s="8" t="inlineStr">
        <is>
          <t>foo</t>
        </is>
      </c>
      <c r="C2935" s="8" t="inlineStr">
        <is>
          <t>ker</t>
        </is>
      </c>
      <c r="D2935" s="8" t="inlineStr">
        <is>
          <t>co</t>
        </is>
      </c>
      <c r="E2935" s="3" t="str">
        <f>CodePrefix&amp;"ef."&amp;$A2935</f>
        <v>egy.mit.ef.foo.ker.co</v>
      </c>
      <c r="F2935" s="3" t="str">
        <f>CtryReg&amp;".mit.ef."&amp;$A2935</f>
        <v>mea.mit.ef.foo.ker.co</v>
      </c>
      <c r="G2935" s="3" t="str">
        <f>"wld.mit.ef."&amp;$A2935</f>
        <v>wld.mit.ef.foo.ker.co</v>
      </c>
      <c r="H2935" s="3" t="inlineStr">
        <is>
          <t>egy.mit.ef.foo.ker.co</t>
        </is>
      </c>
      <c r="I2935" s="236" t="n">
        <v>1.67472</v>
      </c>
      <c r="J2935" s="236" t="n">
        <v>1.67472</v>
      </c>
    </row>
    <row r="2936">
      <c r="A2936" s="3" t="str">
        <f>$B2936&amp;"."&amp;$C2936&amp;"."&amp;$D2936</f>
        <v>foo.bio.co</v>
      </c>
      <c r="B2936" s="8" t="inlineStr">
        <is>
          <t>foo</t>
        </is>
      </c>
      <c r="C2936" s="8" t="inlineStr">
        <is>
          <t>bio</t>
        </is>
      </c>
      <c r="D2936" s="8" t="inlineStr">
        <is>
          <t>co</t>
        </is>
      </c>
      <c r="E2936" s="3" t="str">
        <f>CodePrefix&amp;"ef."&amp;$A2936</f>
        <v>egy.mit.ef.foo.bio.co</v>
      </c>
      <c r="F2936" s="3" t="str">
        <f>CtryReg&amp;".mit.ef."&amp;$A2936</f>
        <v>mea.mit.ef.foo.bio.co</v>
      </c>
      <c r="G2936" s="3" t="str">
        <f>"wld.mit.ef."&amp;$A2936</f>
        <v>wld.mit.ef.foo.bio.co</v>
      </c>
      <c r="H2936" s="3" t="inlineStr">
        <is>
          <t>egy.mit.ef.foo.bio.co</t>
        </is>
      </c>
      <c r="I2936" s="236" t="n">
        <v>238.773204</v>
      </c>
      <c r="J2936" s="236" t="n">
        <v>206.9376099732</v>
      </c>
    </row>
    <row r="2937">
      <c r="A2937" s="3" t="str">
        <f>$B2937&amp;"."&amp;$C2937&amp;"."&amp;$D2937</f>
        <v>oen.coa.co</v>
      </c>
      <c r="B2937" s="8" t="inlineStr">
        <is>
          <t>oen</t>
        </is>
      </c>
      <c r="C2937" s="8" t="inlineStr">
        <is>
          <t>coa</t>
        </is>
      </c>
      <c r="D2937" s="8" t="inlineStr">
        <is>
          <t>co</t>
        </is>
      </c>
      <c r="H2937" s="3" t="inlineStr">
        <is>
          <t>max</t>
        </is>
      </c>
      <c r="I2937" s="236">
        <f>_xlfn.MAXIFS($I$2880:$I$2936,$C$2880:$C$2936,$C2937)</f>
        <v>187.422102</v>
      </c>
      <c r="J2937" s="236">
        <f>_xlfn.MAXIFS($J$2880:$J$2936,$C$2880:$C$2936,$C2937)</f>
        <v>187.422102</v>
      </c>
    </row>
    <row r="2938">
      <c r="A2938" s="3" t="str">
        <f>$B2938&amp;"."&amp;$C2938&amp;"."&amp;$D2938</f>
        <v>oen.nga.co</v>
      </c>
      <c r="B2938" s="8" t="inlineStr">
        <is>
          <t>oen</t>
        </is>
      </c>
      <c r="C2938" s="8" t="inlineStr">
        <is>
          <t>nga</t>
        </is>
      </c>
      <c r="D2938" s="8" t="inlineStr">
        <is>
          <t>co</t>
        </is>
      </c>
      <c r="H2938" s="3" t="inlineStr">
        <is>
          <t>max</t>
        </is>
      </c>
      <c r="I2938" s="236">
        <f>_xlfn.MAXIFS($I$2880:$I$2936,$C$2880:$C$2936,$C2938)</f>
        <v>18.9072999108</v>
      </c>
      <c r="J2938" s="236">
        <f>_xlfn.MAXIFS($J$2880:$J$2936,$C$2880:$C$2936,$C2938)</f>
        <v>14.325722352</v>
      </c>
    </row>
    <row r="2939">
      <c r="A2939" s="3" t="str">
        <f>$B2939&amp;"."&amp;$C2939&amp;"."&amp;$D2939</f>
        <v>oen.oop.co</v>
      </c>
      <c r="B2939" s="8" t="inlineStr">
        <is>
          <t>oen</t>
        </is>
      </c>
      <c r="C2939" s="8" t="inlineStr">
        <is>
          <t>oop</t>
        </is>
      </c>
      <c r="D2939" s="8" t="inlineStr">
        <is>
          <t>co</t>
        </is>
      </c>
      <c r="H2939" s="3" t="inlineStr">
        <is>
          <t>max</t>
        </is>
      </c>
      <c r="I2939" s="236">
        <f>_xlfn.MAXIFS($I$2880:$I$2936,$C$2880:$C$2936,$C2939)</f>
        <v>1.73281185</v>
      </c>
      <c r="J2939" s="236">
        <f>_xlfn.MAXIFS($J$2880:$J$2936,$C$2880:$C$2936,$C2939)</f>
        <v>1.67472</v>
      </c>
    </row>
    <row r="2940">
      <c r="A2940" s="3" t="str">
        <f>$B2940&amp;"."&amp;$C2940&amp;"."&amp;$D2940</f>
        <v>oen.gso.co</v>
      </c>
      <c r="B2940" s="8" t="inlineStr">
        <is>
          <t>oen</t>
        </is>
      </c>
      <c r="C2940" s="8" t="inlineStr">
        <is>
          <t>gso</t>
        </is>
      </c>
      <c r="D2940" s="8" t="inlineStr">
        <is>
          <t>co</t>
        </is>
      </c>
      <c r="H2940" s="3" t="inlineStr">
        <is>
          <t>max</t>
        </is>
      </c>
      <c r="I2940" s="236">
        <f>_xlfn.MAXIFS($I$2880:$I$2936,$C$2880:$C$2936,$C2940)</f>
        <v>1130.436</v>
      </c>
      <c r="J2940" s="236">
        <f>_xlfn.MAXIFS($J$2880:$J$2936,$C$2880:$C$2936,$C2940)</f>
        <v>1130.436</v>
      </c>
    </row>
    <row r="2941">
      <c r="A2941" s="3" t="str">
        <f>$B2941&amp;"."&amp;$C2941&amp;"."&amp;$D2941</f>
        <v>oen.die.co</v>
      </c>
      <c r="B2941" s="8" t="inlineStr">
        <is>
          <t>oen</t>
        </is>
      </c>
      <c r="C2941" s="8" t="inlineStr">
        <is>
          <t>die</t>
        </is>
      </c>
      <c r="D2941" s="8" t="inlineStr">
        <is>
          <t>co</t>
        </is>
      </c>
      <c r="H2941" s="3" t="inlineStr">
        <is>
          <t>max</t>
        </is>
      </c>
      <c r="I2941" s="236">
        <f>_xlfn.MAXIFS($I$2880:$I$2936,$C$2880:$C$2936,$C2941)</f>
        <v>32.454964098</v>
      </c>
      <c r="J2941" s="236">
        <f>_xlfn.MAXIFS($J$2880:$J$2936,$C$2880:$C$2936,$C2941)</f>
        <v>31.0344163524</v>
      </c>
    </row>
    <row r="2942">
      <c r="A2942" s="3" t="str">
        <f>$B2942&amp;"."&amp;$C2942&amp;"."&amp;$D2942</f>
        <v>oen.lpg.co</v>
      </c>
      <c r="B2942" s="8" t="inlineStr">
        <is>
          <t>oen</t>
        </is>
      </c>
      <c r="C2942" s="8" t="inlineStr">
        <is>
          <t>lpg</t>
        </is>
      </c>
      <c r="D2942" s="8" t="inlineStr">
        <is>
          <t>co</t>
        </is>
      </c>
      <c r="H2942" s="3" t="inlineStr">
        <is>
          <t>max</t>
        </is>
      </c>
      <c r="I2942" s="236">
        <f>_xlfn.MAXIFS($I$2880:$I$2936,$C$2880:$C$2936,$C2942)</f>
        <v>1130.436</v>
      </c>
      <c r="J2942" s="236">
        <f>_xlfn.MAXIFS($J$2880:$J$2936,$C$2880:$C$2936,$C2942)</f>
        <v>1130.436</v>
      </c>
    </row>
    <row r="2943">
      <c r="A2943" s="3" t="str">
        <f>$B2943&amp;"."&amp;$C2943&amp;"."&amp;$D2943</f>
        <v>oen.ker.co</v>
      </c>
      <c r="B2943" s="8" t="inlineStr">
        <is>
          <t>oen</t>
        </is>
      </c>
      <c r="C2943" s="8" t="inlineStr">
        <is>
          <t>ker</t>
        </is>
      </c>
      <c r="D2943" s="8" t="inlineStr">
        <is>
          <t>co</t>
        </is>
      </c>
      <c r="H2943" s="3" t="inlineStr">
        <is>
          <t>max</t>
        </is>
      </c>
      <c r="I2943" s="236">
        <f>_xlfn.MAXIFS($I$2880:$I$2936,$C$2880:$C$2936,$C2943)</f>
        <v>1130.436</v>
      </c>
      <c r="J2943" s="236">
        <f>_xlfn.MAXIFS($J$2880:$J$2936,$C$2880:$C$2936,$C2943)</f>
        <v>1130.436</v>
      </c>
    </row>
    <row r="2944">
      <c r="A2944" s="3" t="str">
        <f>$B2944&amp;"."&amp;$C2944&amp;"."&amp;$D2944</f>
        <v>oen.bio.co</v>
      </c>
      <c r="B2944" s="8" t="inlineStr">
        <is>
          <t>oen</t>
        </is>
      </c>
      <c r="C2944" s="8" t="inlineStr">
        <is>
          <t>bio</t>
        </is>
      </c>
      <c r="D2944" s="8" t="inlineStr">
        <is>
          <t>co</t>
        </is>
      </c>
      <c r="H2944" s="3" t="inlineStr">
        <is>
          <t>max</t>
        </is>
      </c>
      <c r="I2944" s="236">
        <f>_xlfn.MAXIFS($I$2880:$I$2936,$C$2880:$C$2936,$C2944)</f>
        <v>251.208</v>
      </c>
      <c r="J2944" s="236">
        <f>_xlfn.MAXIFS($J$2880:$J$2936,$C$2880:$C$2936,$C2944)</f>
        <v>251.208</v>
      </c>
    </row>
    <row r="2945">
      <c r="A2945" s="3" t="str">
        <f>$B2945&amp;"."&amp;$C2945&amp;"."&amp;$D2945</f>
        <v>nav.die.co</v>
      </c>
      <c r="B2945" s="8" t="inlineStr">
        <is>
          <t>nav</t>
        </is>
      </c>
      <c r="C2945" s="8" t="inlineStr">
        <is>
          <t>die</t>
        </is>
      </c>
      <c r="D2945" s="8" t="inlineStr">
        <is>
          <t>co</t>
        </is>
      </c>
      <c r="E2945" s="3" t="str">
        <f>CodePrefix&amp;"ef."&amp;$A2945</f>
        <v>egy.mit.ef.nav.die.co</v>
      </c>
      <c r="F2945" s="3" t="str">
        <f>CtryReg&amp;".mit.ef."&amp;$A2945</f>
        <v>mea.mit.ef.nav.die.co</v>
      </c>
      <c r="G2945" s="3" t="str">
        <f>"wld.mit.ef."&amp;$A2945</f>
        <v>wld.mit.ef.nav.die.co</v>
      </c>
      <c r="H2945" s="3" t="inlineStr">
        <is>
          <t>egy.mit.ef.nav.die.co</t>
        </is>
      </c>
      <c r="I2945" s="236" t="n">
        <v>10.467</v>
      </c>
      <c r="J2945" s="236" t="n">
        <v>10.467</v>
      </c>
    </row>
    <row r="2946">
      <c r="A2946" s="3" t="str">
        <f>$B2946&amp;"."&amp;$C2946&amp;"."&amp;$D2946</f>
        <v>nav.oop.co</v>
      </c>
      <c r="B2946" s="8" t="inlineStr">
        <is>
          <t>nav</t>
        </is>
      </c>
      <c r="C2946" s="8" t="inlineStr">
        <is>
          <t>oop</t>
        </is>
      </c>
      <c r="D2946" s="8" t="inlineStr">
        <is>
          <t>co</t>
        </is>
      </c>
      <c r="E2946" s="3" t="str">
        <f>CodePrefix&amp;"ef."&amp;$A2946</f>
        <v>egy.mit.ef.nav.oop.co</v>
      </c>
      <c r="F2946" s="3" t="str">
        <f>CtryReg&amp;".mit.ef."&amp;$A2946</f>
        <v>mea.mit.ef.nav.oop.co</v>
      </c>
      <c r="G2946" s="3" t="str">
        <f>"wld.mit.ef."&amp;$A2946</f>
        <v>wld.mit.ef.nav.oop.co</v>
      </c>
      <c r="H2946" s="3" t="inlineStr">
        <is>
          <t>egy.mit.ef.nav.oop.co</t>
        </is>
      </c>
      <c r="I2946" s="236" t="n">
        <v>10.467</v>
      </c>
      <c r="J2946" s="236" t="n">
        <v>10.467</v>
      </c>
    </row>
  </sheetData>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D12"/>
  <sheetViews>
    <sheetView tabSelected="0" zoomScale="80" workbookViewId="0">
      <selection activeCell="A1" sqref="A1"/>
    </sheetView>
  </sheetViews>
  <sheetFormatPr baseColWidth="8" defaultRowHeight="15"/>
  <cols>
    <col width="30" customWidth="1" min="1" max="1"/>
    <col width="80" customWidth="1" min="2" max="2"/>
    <col width="16" customWidth="1" min="3" max="3"/>
    <col width="44" customWidth="1" min="4" max="4"/>
  </cols>
  <sheetData>
    <row r="1"/>
    <row r="2">
      <c r="A2" s="1" t="inlineStr">
        <is>
          <t>Distribution data: the data tabs of legacy CPAT used by the distribution module (DATA_DISTN)</t>
        </is>
      </c>
      <c r="B2" s="2" t="n"/>
      <c r="C2" s="2" t="n"/>
      <c r="D2" s="2" t="n"/>
    </row>
    <row r="3">
      <c r="A3" s="3" t="inlineStr">
        <is>
          <t>The tabs of this group (following this divider). In legacy CPAT: Yes = the same tab, Partly = a tab with part of this content, No = new in this workbook.</t>
        </is>
      </c>
    </row>
    <row r="4"/>
    <row r="5">
      <c r="A5" s="7" t="inlineStr">
        <is>
          <t>Tab</t>
        </is>
      </c>
      <c r="B5" s="7" t="inlineStr">
        <is>
          <t>Content</t>
        </is>
      </c>
      <c r="C5" s="7" t="inlineStr">
        <is>
          <t>In legacy CPAT</t>
        </is>
      </c>
      <c r="D5" s="7" t="inlineStr">
        <is>
          <t>Legacy tab</t>
        </is>
      </c>
    </row>
    <row r="6">
      <c r="A6" s="3" t="inlineStr">
        <is>
          <t>DistMapping</t>
        </is>
      </c>
      <c r="B6" s="3" t="inlineStr">
        <is>
          <t>Recycling choices, IO fuel groups, Gini weights, input-output tables of the country (formulas), GDP deflator of all countries (bottom)</t>
        </is>
      </c>
      <c r="C6" s="3" t="inlineStr">
        <is>
          <t>Partly</t>
        </is>
      </c>
      <c r="D6" s="3" t="inlineStr">
        <is>
          <t>Mapping (position); legacy Distribution rows 184-210, C.I, C.IX; WEO NGDP_D rows</t>
        </is>
      </c>
    </row>
    <row r="7">
      <c r="A7" s="3" t="inlineStr">
        <is>
          <t>IO_GTAP</t>
        </is>
      </c>
      <c r="B7" s="3" t="inlineStr">
        <is>
          <t>GTAP input-output data by series and sector (legacy table unchanged)</t>
        </is>
      </c>
      <c r="C7" s="3" t="inlineStr">
        <is>
          <t>Yes</t>
        </is>
      </c>
      <c r="D7" s="3" t="inlineStr">
        <is>
          <t>IO_GTAP (same layout)</t>
        </is>
      </c>
    </row>
    <row r="8">
      <c r="A8" s="3" t="inlineStr">
        <is>
          <t>HHSurvey</t>
        </is>
      </c>
      <c r="B8" s="3" t="inlineStr">
        <is>
          <t>Household budget survey by decile, sample and statistic (legacy table unchanged)</t>
        </is>
      </c>
      <c r="C8" s="3" t="inlineStr">
        <is>
          <t>Yes</t>
        </is>
      </c>
      <c r="D8" s="3" t="inlineStr">
        <is>
          <t>HHSurvey (same layout)</t>
        </is>
      </c>
    </row>
    <row r="9">
      <c r="A9" s="3" t="inlineStr">
        <is>
          <t>HH_Elast</t>
        </is>
      </c>
      <c r="B9" s="3" t="inlineStr">
        <is>
          <t>Own-price elasticities by decile, all countries (legacy table unchanged)</t>
        </is>
      </c>
      <c r="C9" s="3" t="inlineStr">
        <is>
          <t>Yes</t>
        </is>
      </c>
      <c r="D9" s="3" t="inlineStr">
        <is>
          <t>HH_Elast (same layout)</t>
        </is>
      </c>
    </row>
    <row r="10">
      <c r="A10" s="3" t="inlineStr">
        <is>
          <t>ASPIRE</t>
        </is>
      </c>
      <c r="B10" s="3" t="inlineStr">
        <is>
          <t>Social protection benefits by quintile (legacy table unchanged)</t>
        </is>
      </c>
      <c r="C10" s="3" t="inlineStr">
        <is>
          <t>Yes</t>
        </is>
      </c>
      <c r="D10" s="3" t="inlineStr">
        <is>
          <t>ASPIRE (same layout)</t>
        </is>
      </c>
    </row>
    <row r="11">
      <c r="A11" s="3" t="inlineStr">
        <is>
          <t>WHOCooking</t>
        </is>
      </c>
      <c r="B11" s="3" t="inlineStr">
        <is>
          <t>Main cooking fuel and its share (legacy table unchanged)</t>
        </is>
      </c>
      <c r="C11" s="3" t="inlineStr">
        <is>
          <t>Yes</t>
        </is>
      </c>
      <c r="D11" s="3" t="inlineStr">
        <is>
          <t>WHOCooking (same layout)</t>
        </is>
      </c>
    </row>
    <row r="12">
      <c r="A12" s="3" t="inlineStr">
        <is>
          <t>GDPRatios</t>
        </is>
      </c>
      <c r="B12" s="3" t="inlineStr">
        <is>
          <t>WDI ratios to GDP, all countries (legacy table unchanged; key column right)</t>
        </is>
      </c>
      <c r="C12" s="3" t="inlineStr">
        <is>
          <t>Yes</t>
        </is>
      </c>
      <c r="D12" s="3" t="inlineStr">
        <is>
          <t>GDPRatios (same layout)</t>
        </is>
      </c>
    </row>
  </sheetData>
  <pageMargins left="0.75" right="0.75" top="1" bottom="1" header="0.5" footer="0.5"/>
</worksheet>
</file>

<file path=xl/worksheets/sheet8.xml><?xml version="1.0" encoding="utf-8"?>
<worksheet xmlns="http://schemas.openxmlformats.org/spreadsheetml/2006/main">
  <sheetPr>
    <tabColor rgb="00DCE6F1"/>
    <outlinePr summaryBelow="1" summaryRight="1"/>
    <pageSetUpPr/>
  </sheetPr>
  <dimension ref="A1:BM167"/>
  <sheetViews>
    <sheetView tabSelected="0" zoomScale="80" workbookViewId="0">
      <selection activeCell="A1" sqref="A1"/>
    </sheetView>
  </sheetViews>
  <sheetFormatPr baseColWidth="8" defaultRowHeight="15"/>
  <cols>
    <col width="34" customWidth="1" min="1" max="1"/>
  </cols>
  <sheetData>
    <row r="1">
      <c r="A1" s="3" t="inlineStr">
        <is>
          <t>Source: legacy Distribution rows 184-210 (choices), C.I (fuel groups, input-output tables of the selected country), C.IX (Lorenz fit); legacy WEO (GDP deflator, bottom); extract_distn.py</t>
        </is>
      </c>
    </row>
    <row r="2">
      <c r="A2" s="1" t="inlineStr">
        <is>
          <t>DistMapping - recycling choices, IO fuel groups, Gini weights, input-output tables, GDP deflator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row>
    <row r="3">
      <c r="A3" s="30" t="inlineStr">
        <is>
          <t>key</t>
        </is>
      </c>
      <c r="B3" s="30" t="inlineStr">
        <is>
          <t>kind</t>
        </is>
      </c>
      <c r="C3" s="30" t="inlineStr">
        <is>
          <t>label</t>
        </is>
      </c>
      <c r="D3" s="30" t="inlineStr">
        <is>
          <t>code</t>
        </is>
      </c>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row>
    <row r="4">
      <c r="A4" s="3" t="inlineStr">
        <is>
          <t>infra|All Infr.</t>
        </is>
      </c>
      <c r="B4" s="3" t="inlineStr">
        <is>
          <t>infra</t>
        </is>
      </c>
      <c r="C4" s="3" t="inlineStr">
        <is>
          <t>All Infr.</t>
        </is>
      </c>
      <c r="D4" s="3" t="inlineStr">
        <is>
          <t>all_acs_share</t>
        </is>
      </c>
    </row>
    <row r="5">
      <c r="A5" s="3" t="inlineStr">
        <is>
          <t>infra|ICT Infr.</t>
        </is>
      </c>
      <c r="B5" s="3" t="inlineStr">
        <is>
          <t>infra</t>
        </is>
      </c>
      <c r="C5" s="3" t="inlineStr">
        <is>
          <t>ICT Infr.</t>
        </is>
      </c>
      <c r="D5" s="3" t="inlineStr">
        <is>
          <t>ICT_acs_share</t>
        </is>
      </c>
    </row>
    <row r="6">
      <c r="A6" s="3" t="inlineStr">
        <is>
          <t>infra|Electricity Infr.</t>
        </is>
      </c>
      <c r="B6" s="3" t="inlineStr">
        <is>
          <t>infra</t>
        </is>
      </c>
      <c r="C6" s="3" t="inlineStr">
        <is>
          <t>Electricity Infr.</t>
        </is>
      </c>
      <c r="D6" s="3" t="inlineStr">
        <is>
          <t>ely_acs_share</t>
        </is>
      </c>
    </row>
    <row r="7">
      <c r="A7" s="3" t="inlineStr">
        <is>
          <t>infra|Water Infr.</t>
        </is>
      </c>
      <c r="B7" s="3" t="inlineStr">
        <is>
          <t>infra</t>
        </is>
      </c>
      <c r="C7" s="3" t="inlineStr">
        <is>
          <t>Water Infr.</t>
        </is>
      </c>
      <c r="D7" s="3" t="inlineStr">
        <is>
          <t>wtr_acs_share</t>
        </is>
      </c>
    </row>
    <row r="8">
      <c r="A8" s="3" t="inlineStr">
        <is>
          <t>infra|Sanitation Infr.</t>
        </is>
      </c>
      <c r="B8" s="3" t="inlineStr">
        <is>
          <t>infra</t>
        </is>
      </c>
      <c r="C8" s="3" t="inlineStr">
        <is>
          <t>Sanitation Infr.</t>
        </is>
      </c>
      <c r="D8" s="3" t="inlineStr">
        <is>
          <t>sani_acs_share</t>
        </is>
      </c>
    </row>
    <row r="9">
      <c r="A9" s="3" t="inlineStr">
        <is>
          <t>infra|Public Transport Infr.</t>
        </is>
      </c>
      <c r="B9" s="3" t="inlineStr">
        <is>
          <t>infra</t>
        </is>
      </c>
      <c r="C9" s="3" t="inlineStr">
        <is>
          <t>Public Transport Infr.</t>
        </is>
      </c>
      <c r="D9" s="3" t="inlineStr">
        <is>
          <t>transp_pub_acs_share</t>
        </is>
      </c>
    </row>
    <row r="10">
      <c r="A10" s="3" t="inlineStr">
        <is>
          <t>aspire|Active Labor Market</t>
        </is>
      </c>
      <c r="B10" s="3" t="inlineStr">
        <is>
          <t>aspire</t>
        </is>
      </c>
      <c r="C10" s="3" t="inlineStr">
        <is>
          <t>Active Labor Market</t>
        </is>
      </c>
      <c r="D10" s="3" t="inlineStr">
        <is>
          <t>per_lm_ac.avt_q</t>
        </is>
      </c>
    </row>
    <row r="11">
      <c r="A11" s="3" t="inlineStr">
        <is>
          <t>aspire|All Labor Market</t>
        </is>
      </c>
      <c r="B11" s="3" t="inlineStr">
        <is>
          <t>aspire</t>
        </is>
      </c>
      <c r="C11" s="3" t="inlineStr">
        <is>
          <t>All Labor Market</t>
        </is>
      </c>
      <c r="D11" s="3" t="inlineStr">
        <is>
          <t>per_lm_alllm.avt_q</t>
        </is>
      </c>
    </row>
    <row r="12">
      <c r="A12" s="3" t="inlineStr">
        <is>
          <t>aspire|All Social Assistance</t>
        </is>
      </c>
      <c r="B12" s="3" t="inlineStr">
        <is>
          <t>aspire</t>
        </is>
      </c>
      <c r="C12" s="3" t="inlineStr">
        <is>
          <t>All Social Assistance</t>
        </is>
      </c>
      <c r="D12" s="3" t="inlineStr">
        <is>
          <t>per_sa_allsa.avt_q</t>
        </is>
      </c>
    </row>
    <row r="13">
      <c r="A13" s="3" t="inlineStr">
        <is>
          <t>aspire|All Social Insurance</t>
        </is>
      </c>
      <c r="B13" s="3" t="inlineStr">
        <is>
          <t>aspire</t>
        </is>
      </c>
      <c r="C13" s="3" t="inlineStr">
        <is>
          <t>All Social Insurance</t>
        </is>
      </c>
      <c r="D13" s="3" t="inlineStr">
        <is>
          <t>per_si_allsi.avt_q</t>
        </is>
      </c>
    </row>
    <row r="14">
      <c r="A14" s="3" t="inlineStr">
        <is>
          <t>aspire|All Social Protection and Labor</t>
        </is>
      </c>
      <c r="B14" s="3" t="inlineStr">
        <is>
          <t>aspire</t>
        </is>
      </c>
      <c r="C14" s="3" t="inlineStr">
        <is>
          <t>All Social Protection and Labor</t>
        </is>
      </c>
      <c r="D14" s="3" t="inlineStr">
        <is>
          <t>per_allsp.avt_q</t>
        </is>
      </c>
    </row>
    <row r="15">
      <c r="A15" s="3" t="inlineStr">
        <is>
          <t>aspire|Cash Transfers</t>
        </is>
      </c>
      <c r="B15" s="3" t="inlineStr">
        <is>
          <t>aspire</t>
        </is>
      </c>
      <c r="C15" s="3" t="inlineStr">
        <is>
          <t>Cash Transfers</t>
        </is>
      </c>
      <c r="D15" s="3" t="inlineStr">
        <is>
          <t>per_sa_ct.avt_q</t>
        </is>
      </c>
    </row>
    <row r="16">
      <c r="A16" s="3" t="inlineStr">
        <is>
          <t>aspire|Conditional Cash Transfers</t>
        </is>
      </c>
      <c r="B16" s="3" t="inlineStr">
        <is>
          <t>aspire</t>
        </is>
      </c>
      <c r="C16" s="3" t="inlineStr">
        <is>
          <t>Conditional Cash Transfers</t>
        </is>
      </c>
      <c r="D16" s="3" t="inlineStr">
        <is>
          <t>per_sa_cc.avt_q</t>
        </is>
      </c>
    </row>
    <row r="17">
      <c r="A17" s="3" t="inlineStr">
        <is>
          <t>aspire|Contributory Pensions</t>
        </is>
      </c>
      <c r="B17" s="3" t="inlineStr">
        <is>
          <t>aspire</t>
        </is>
      </c>
      <c r="C17" s="3" t="inlineStr">
        <is>
          <t>Contributory Pensions</t>
        </is>
      </c>
      <c r="D17" s="3" t="inlineStr">
        <is>
          <t>per_si_cp.avt_q</t>
        </is>
      </c>
    </row>
    <row r="18">
      <c r="A18" s="3" t="inlineStr">
        <is>
          <t>aspire|Fee waivers and targeted subsidies</t>
        </is>
      </c>
      <c r="B18" s="3" t="inlineStr">
        <is>
          <t>aspire</t>
        </is>
      </c>
      <c r="C18" s="3" t="inlineStr">
        <is>
          <t>Fee waivers and targeted subsidies</t>
        </is>
      </c>
      <c r="D18" s="3" t="inlineStr">
        <is>
          <t>per_sa_fw.avt_q</t>
        </is>
      </c>
    </row>
    <row r="19">
      <c r="A19" s="3" t="inlineStr">
        <is>
          <t>aspire|In-Kind</t>
        </is>
      </c>
      <c r="B19" s="3" t="inlineStr">
        <is>
          <t>aspire</t>
        </is>
      </c>
      <c r="C19" s="3" t="inlineStr">
        <is>
          <t>In-Kind</t>
        </is>
      </c>
      <c r="D19" s="3" t="inlineStr">
        <is>
          <t>per_sa_ik.avt_q</t>
        </is>
      </c>
    </row>
    <row r="20">
      <c r="A20" s="3" t="inlineStr">
        <is>
          <t>aspire|Other Social Assistance</t>
        </is>
      </c>
      <c r="B20" s="3" t="inlineStr">
        <is>
          <t>aspire</t>
        </is>
      </c>
      <c r="C20" s="3" t="inlineStr">
        <is>
          <t>Other Social Assistance</t>
        </is>
      </c>
      <c r="D20" s="3" t="inlineStr">
        <is>
          <t>per_sa_os.avt_q</t>
        </is>
      </c>
    </row>
    <row r="21">
      <c r="A21" s="3" t="inlineStr">
        <is>
          <t>aspire|Other Social Insurance</t>
        </is>
      </c>
      <c r="B21" s="3" t="inlineStr">
        <is>
          <t>aspire</t>
        </is>
      </c>
      <c r="C21" s="3" t="inlineStr">
        <is>
          <t>Other Social Insurance</t>
        </is>
      </c>
      <c r="D21" s="3" t="inlineStr">
        <is>
          <t>per_si_ss.avt_q</t>
        </is>
      </c>
    </row>
    <row r="22">
      <c r="A22" s="3" t="inlineStr">
        <is>
          <t>aspire|Passive Labor Market</t>
        </is>
      </c>
      <c r="B22" s="3" t="inlineStr">
        <is>
          <t>aspire</t>
        </is>
      </c>
      <c r="C22" s="3" t="inlineStr">
        <is>
          <t>Passive Labor Market</t>
        </is>
      </c>
      <c r="D22" s="3" t="inlineStr">
        <is>
          <t>per_lm_pa.avt_q</t>
        </is>
      </c>
    </row>
    <row r="23">
      <c r="A23" s="3" t="inlineStr">
        <is>
          <t>aspire|Public Works</t>
        </is>
      </c>
      <c r="B23" s="3" t="inlineStr">
        <is>
          <t>aspire</t>
        </is>
      </c>
      <c r="C23" s="3" t="inlineStr">
        <is>
          <t>Public Works</t>
        </is>
      </c>
      <c r="D23" s="3" t="inlineStr">
        <is>
          <t>per_sa_pw.avt_q</t>
        </is>
      </c>
    </row>
    <row r="24">
      <c r="A24" s="3" t="inlineStr">
        <is>
          <t>aspire|School Feeding</t>
        </is>
      </c>
      <c r="B24" s="3" t="inlineStr">
        <is>
          <t>aspire</t>
        </is>
      </c>
      <c r="C24" s="3" t="inlineStr">
        <is>
          <t>School Feeding</t>
        </is>
      </c>
      <c r="D24" s="3" t="inlineStr">
        <is>
          <t>per_sa_sf.avt_q</t>
        </is>
      </c>
    </row>
    <row r="25">
      <c r="A25" s="3" t="inlineStr">
        <is>
          <t>aspire|Social Pensions</t>
        </is>
      </c>
      <c r="B25" s="3" t="inlineStr">
        <is>
          <t>aspire</t>
        </is>
      </c>
      <c r="C25" s="3" t="inlineStr">
        <is>
          <t>Social Pensions</t>
        </is>
      </c>
      <c r="D25" s="3" t="inlineStr">
        <is>
          <t>per_sa_sp.avt_q</t>
        </is>
      </c>
    </row>
    <row r="26"/>
    <row r="27">
      <c r="A27" s="6" t="inlineStr">
        <is>
          <t>IO fuel groups</t>
        </is>
      </c>
    </row>
    <row r="28">
      <c r="A28" s="3" t="inlineStr">
        <is>
          <t>coa</t>
        </is>
      </c>
      <c r="B28" s="3" t="inlineStr">
        <is>
          <t>Coal</t>
        </is>
      </c>
    </row>
    <row r="29">
      <c r="A29" s="3" t="inlineStr">
        <is>
          <t>ely</t>
        </is>
      </c>
      <c r="B29" s="3" t="inlineStr">
        <is>
          <t>Electricity</t>
        </is>
      </c>
    </row>
    <row r="30">
      <c r="A30" s="3" t="inlineStr">
        <is>
          <t>nga</t>
        </is>
      </c>
      <c r="B30" s="3" t="inlineStr">
        <is>
          <t>Natural gas</t>
        </is>
      </c>
    </row>
    <row r="31">
      <c r="A31" s="3" t="inlineStr">
        <is>
          <t>oil</t>
        </is>
      </c>
      <c r="B31" s="3" t="inlineStr">
        <is>
          <t>Crude and other oil</t>
        </is>
      </c>
    </row>
    <row r="32">
      <c r="A32" s="3" t="inlineStr">
        <is>
          <t>p_c</t>
        </is>
      </c>
      <c r="B32" s="3" t="inlineStr">
        <is>
          <t>Refined products (gasoline, diesel, LPG, kerosene)</t>
        </is>
      </c>
    </row>
    <row r="33"/>
    <row r="34">
      <c r="A34" s="6" t="inlineStr">
        <is>
          <t>Gini weights W_d by decile (legacy LINEST fit L = a x^2 + b x: Gini = 1 - sum of decile consumption shares x W_d)</t>
        </is>
      </c>
    </row>
    <row r="35">
      <c r="B35" s="25" t="n">
        <v>1</v>
      </c>
      <c r="C35" s="25" t="n">
        <v>2</v>
      </c>
      <c r="D35" s="25" t="n">
        <v>3</v>
      </c>
      <c r="E35" s="25" t="n">
        <v>4</v>
      </c>
      <c r="F35" s="25" t="n">
        <v>5</v>
      </c>
      <c r="G35" s="25" t="n">
        <v>6</v>
      </c>
      <c r="H35" s="25" t="n">
        <v>7</v>
      </c>
      <c r="I35" s="25" t="n">
        <v>8</v>
      </c>
      <c r="J35" s="25" t="n">
        <v>9</v>
      </c>
      <c r="K35" s="25" t="n">
        <v>10</v>
      </c>
    </row>
    <row r="36">
      <c r="A36" s="3" t="inlineStr">
        <is>
          <t>DGiniW</t>
        </is>
      </c>
      <c r="B36" s="236" t="n">
        <v>1.787148594378</v>
      </c>
      <c r="C36" s="236" t="n">
        <v>1.709017889741</v>
      </c>
      <c r="D36" s="236" t="n">
        <v>1.567968845077</v>
      </c>
      <c r="E36" s="236" t="n">
        <v>1.379213824997</v>
      </c>
      <c r="F36" s="236" t="n">
        <v>1.15796519411</v>
      </c>
      <c r="G36" s="236" t="n">
        <v>0.919435317026</v>
      </c>
      <c r="H36" s="236" t="n">
        <v>0.678836558355</v>
      </c>
      <c r="I36" s="236" t="n">
        <v>0.451381282707</v>
      </c>
      <c r="J36" s="236" t="n">
        <v>0.252281854691</v>
      </c>
      <c r="K36" s="236" t="n">
        <v>0.096750638919</v>
      </c>
    </row>
    <row r="37"/>
    <row r="38">
      <c r="A38" s="6" t="inlineStr">
        <is>
          <t>Input-output data of the selected country (IO_GTAP; USD m, GTAP year) by GTAP sector</t>
        </is>
      </c>
    </row>
    <row r="39">
      <c r="A39" s="6" t="inlineStr">
        <is>
          <t>Sector</t>
        </is>
      </c>
      <c r="B39" s="6" t="inlineStr">
        <is>
          <t>afs</t>
        </is>
      </c>
      <c r="C39" s="6" t="inlineStr">
        <is>
          <t>atp</t>
        </is>
      </c>
      <c r="D39" s="6" t="inlineStr">
        <is>
          <t>b_t</t>
        </is>
      </c>
      <c r="E39" s="6" t="inlineStr">
        <is>
          <t>bph</t>
        </is>
      </c>
      <c r="F39" s="6" t="inlineStr">
        <is>
          <t>c_b</t>
        </is>
      </c>
      <c r="G39" s="6" t="inlineStr">
        <is>
          <t>chm</t>
        </is>
      </c>
      <c r="H39" s="6" t="inlineStr">
        <is>
          <t>cmn</t>
        </is>
      </c>
      <c r="I39" s="6" t="inlineStr">
        <is>
          <t>cmt</t>
        </is>
      </c>
      <c r="J39" s="6" t="inlineStr">
        <is>
          <t>cns</t>
        </is>
      </c>
      <c r="K39" s="6" t="inlineStr">
        <is>
          <t>coa</t>
        </is>
      </c>
      <c r="L39" s="6" t="inlineStr">
        <is>
          <t>ctl</t>
        </is>
      </c>
      <c r="M39" s="6" t="inlineStr">
        <is>
          <t>dwe</t>
        </is>
      </c>
      <c r="N39" s="6" t="inlineStr">
        <is>
          <t>edu</t>
        </is>
      </c>
      <c r="O39" s="6" t="inlineStr">
        <is>
          <t>eeq</t>
        </is>
      </c>
      <c r="P39" s="6" t="inlineStr">
        <is>
          <t>ele</t>
        </is>
      </c>
      <c r="Q39" s="6" t="inlineStr">
        <is>
          <t>ely</t>
        </is>
      </c>
      <c r="R39" s="6" t="inlineStr">
        <is>
          <t>fmp</t>
        </is>
      </c>
      <c r="S39" s="6" t="inlineStr">
        <is>
          <t>frs</t>
        </is>
      </c>
      <c r="T39" s="6" t="inlineStr">
        <is>
          <t>fsh</t>
        </is>
      </c>
      <c r="U39" s="6" t="inlineStr">
        <is>
          <t>gro</t>
        </is>
      </c>
      <c r="V39" s="6" t="inlineStr">
        <is>
          <t>hht</t>
        </is>
      </c>
      <c r="W39" s="6" t="inlineStr">
        <is>
          <t>i_s</t>
        </is>
      </c>
      <c r="X39" s="6" t="inlineStr">
        <is>
          <t>ins</t>
        </is>
      </c>
      <c r="Y39" s="6" t="inlineStr">
        <is>
          <t>lea</t>
        </is>
      </c>
      <c r="Z39" s="6" t="inlineStr">
        <is>
          <t>lum</t>
        </is>
      </c>
      <c r="AA39" s="6" t="inlineStr">
        <is>
          <t>mil</t>
        </is>
      </c>
      <c r="AB39" s="6" t="inlineStr">
        <is>
          <t>mvh</t>
        </is>
      </c>
      <c r="AC39" s="6" t="inlineStr">
        <is>
          <t>nfm</t>
        </is>
      </c>
      <c r="AD39" s="6" t="inlineStr">
        <is>
          <t>nga</t>
        </is>
      </c>
      <c r="AE39" s="6" t="inlineStr">
        <is>
          <t>nmm</t>
        </is>
      </c>
      <c r="AF39" s="6" t="inlineStr">
        <is>
          <t>oap</t>
        </is>
      </c>
      <c r="AG39" s="6" t="inlineStr">
        <is>
          <t>obs</t>
        </is>
      </c>
      <c r="AH39" s="6" t="inlineStr">
        <is>
          <t>ocr</t>
        </is>
      </c>
      <c r="AI39" s="6" t="inlineStr">
        <is>
          <t>ofd</t>
        </is>
      </c>
      <c r="AJ39" s="6" t="inlineStr">
        <is>
          <t>ofi</t>
        </is>
      </c>
      <c r="AK39" s="6" t="inlineStr">
        <is>
          <t>oil</t>
        </is>
      </c>
      <c r="AL39" s="6" t="inlineStr">
        <is>
          <t>ome</t>
        </is>
      </c>
      <c r="AM39" s="6" t="inlineStr">
        <is>
          <t>omf</t>
        </is>
      </c>
      <c r="AN39" s="6" t="inlineStr">
        <is>
          <t>omt</t>
        </is>
      </c>
      <c r="AO39" s="6" t="inlineStr">
        <is>
          <t>osd</t>
        </is>
      </c>
      <c r="AP39" s="6" t="inlineStr">
        <is>
          <t>osg</t>
        </is>
      </c>
      <c r="AQ39" s="6" t="inlineStr">
        <is>
          <t>otn</t>
        </is>
      </c>
      <c r="AR39" s="6" t="inlineStr">
        <is>
          <t>otp</t>
        </is>
      </c>
      <c r="AS39" s="6" t="inlineStr">
        <is>
          <t>oxt</t>
        </is>
      </c>
      <c r="AT39" s="6" t="inlineStr">
        <is>
          <t>p_c</t>
        </is>
      </c>
      <c r="AU39" s="6" t="inlineStr">
        <is>
          <t>pcr</t>
        </is>
      </c>
      <c r="AV39" s="6" t="inlineStr">
        <is>
          <t>pdr</t>
        </is>
      </c>
      <c r="AW39" s="6" t="inlineStr">
        <is>
          <t>pfb</t>
        </is>
      </c>
      <c r="AX39" s="6" t="inlineStr">
        <is>
          <t>ppp</t>
        </is>
      </c>
      <c r="AY39" s="6" t="inlineStr">
        <is>
          <t>rmk</t>
        </is>
      </c>
      <c r="AZ39" s="6" t="inlineStr">
        <is>
          <t>ros</t>
        </is>
      </c>
      <c r="BA39" s="6" t="inlineStr">
        <is>
          <t>rpp</t>
        </is>
      </c>
      <c r="BB39" s="6" t="inlineStr">
        <is>
          <t>rsa</t>
        </is>
      </c>
      <c r="BC39" s="6" t="inlineStr">
        <is>
          <t>sgr</t>
        </is>
      </c>
      <c r="BD39" s="6" t="inlineStr">
        <is>
          <t>tex</t>
        </is>
      </c>
      <c r="BE39" s="6" t="inlineStr">
        <is>
          <t>trd</t>
        </is>
      </c>
      <c r="BF39" s="6" t="inlineStr">
        <is>
          <t>v_f</t>
        </is>
      </c>
      <c r="BG39" s="6" t="inlineStr">
        <is>
          <t>vol</t>
        </is>
      </c>
      <c r="BH39" s="6" t="inlineStr">
        <is>
          <t>wap</t>
        </is>
      </c>
      <c r="BI39" s="6" t="inlineStr">
        <is>
          <t>whs</t>
        </is>
      </c>
      <c r="BJ39" s="6" t="inlineStr">
        <is>
          <t>wht</t>
        </is>
      </c>
      <c r="BK39" s="6" t="inlineStr">
        <is>
          <t>wol</t>
        </is>
      </c>
      <c r="BL39" s="6" t="inlineStr">
        <is>
          <t>wtp</t>
        </is>
      </c>
      <c r="BM39" s="6" t="inlineStr">
        <is>
          <t>wtr</t>
        </is>
      </c>
    </row>
    <row r="40">
      <c r="A40" s="3" t="inlineStr">
        <is>
          <t>Category (legacy rows 668-736)</t>
        </is>
      </c>
      <c r="B40" s="3" t="inlineStr">
        <is>
          <t>ret</t>
        </is>
      </c>
      <c r="C40" s="3" t="inlineStr">
        <is>
          <t>tpu</t>
        </is>
      </c>
      <c r="D40" s="3" t="inlineStr">
        <is>
          <t>food</t>
        </is>
      </c>
      <c r="E40" s="3" t="inlineStr">
        <is>
          <t>pha</t>
        </is>
      </c>
      <c r="F40" s="3" t="inlineStr">
        <is>
          <t>food</t>
        </is>
      </c>
      <c r="G40" s="3" t="inlineStr">
        <is>
          <t>che</t>
        </is>
      </c>
      <c r="H40" s="3" t="inlineStr">
        <is>
          <t>com</t>
        </is>
      </c>
      <c r="I40" s="3" t="inlineStr">
        <is>
          <t>food</t>
        </is>
      </c>
      <c r="J40" s="3" t="inlineStr">
        <is>
          <t>hou</t>
        </is>
      </c>
      <c r="K40" s="3" t="inlineStr">
        <is>
          <t>coa</t>
        </is>
      </c>
      <c r="L40" s="3" t="inlineStr">
        <is>
          <t>food</t>
        </is>
      </c>
      <c r="M40" s="3" t="inlineStr">
        <is>
          <t>hou</t>
        </is>
      </c>
      <c r="N40" s="3" t="inlineStr">
        <is>
          <t>edu</t>
        </is>
      </c>
      <c r="O40" s="3" t="inlineStr">
        <is>
          <t>app</t>
        </is>
      </c>
      <c r="P40" s="3" t="inlineStr">
        <is>
          <t>app</t>
        </is>
      </c>
      <c r="Q40" s="3" t="inlineStr">
        <is>
          <t>ely</t>
        </is>
      </c>
      <c r="R40" s="3" t="inlineStr">
        <is>
          <t>app</t>
        </is>
      </c>
      <c r="S40" s="3" t="inlineStr">
        <is>
          <t>hou</t>
        </is>
      </c>
      <c r="T40" s="3" t="inlineStr">
        <is>
          <t>food</t>
        </is>
      </c>
      <c r="U40" s="3" t="inlineStr">
        <is>
          <t>food</t>
        </is>
      </c>
      <c r="V40" s="3" t="inlineStr">
        <is>
          <t>hea</t>
        </is>
      </c>
      <c r="W40" s="3" t="inlineStr">
        <is>
          <t>hou</t>
        </is>
      </c>
      <c r="X40" s="3" t="inlineStr">
        <is>
          <t>oth</t>
        </is>
      </c>
      <c r="Y40" s="3" t="inlineStr">
        <is>
          <t>clo</t>
        </is>
      </c>
      <c r="Z40" s="3" t="inlineStr">
        <is>
          <t>pap</t>
        </is>
      </c>
      <c r="AA40" s="3" t="inlineStr">
        <is>
          <t>food</t>
        </is>
      </c>
      <c r="AB40" s="3" t="inlineStr">
        <is>
          <t>teq</t>
        </is>
      </c>
      <c r="AC40" s="3" t="inlineStr">
        <is>
          <t>app</t>
        </is>
      </c>
      <c r="AD40" s="3" t="inlineStr">
        <is>
          <t>nga</t>
        </is>
      </c>
      <c r="AE40" s="3" t="inlineStr">
        <is>
          <t>hou</t>
        </is>
      </c>
      <c r="AF40" s="3" t="inlineStr">
        <is>
          <t>food</t>
        </is>
      </c>
      <c r="AG40" s="3" t="inlineStr">
        <is>
          <t>oth</t>
        </is>
      </c>
      <c r="AH40" s="3" t="inlineStr">
        <is>
          <t>food</t>
        </is>
      </c>
      <c r="AI40" s="3" t="inlineStr">
        <is>
          <t>food</t>
        </is>
      </c>
      <c r="AJ40" s="3" t="inlineStr">
        <is>
          <t>oth</t>
        </is>
      </c>
      <c r="AK40" s="3" t="inlineStr">
        <is>
          <t>oil</t>
        </is>
      </c>
      <c r="AL40" s="3" t="inlineStr">
        <is>
          <t>app</t>
        </is>
      </c>
      <c r="AM40" s="3" t="inlineStr">
        <is>
          <t>hou</t>
        </is>
      </c>
      <c r="AN40" s="3" t="inlineStr">
        <is>
          <t>food</t>
        </is>
      </c>
      <c r="AO40" s="3" t="inlineStr">
        <is>
          <t>food</t>
        </is>
      </c>
      <c r="AP40" s="3" t="inlineStr">
        <is>
          <t>oth</t>
        </is>
      </c>
      <c r="AQ40" s="3" t="inlineStr">
        <is>
          <t>teq</t>
        </is>
      </c>
      <c r="AR40" s="3" t="inlineStr">
        <is>
          <t>tpu</t>
        </is>
      </c>
      <c r="AS40" s="3" t="inlineStr">
        <is>
          <t>app</t>
        </is>
      </c>
      <c r="AT40" s="3" t="inlineStr">
        <is>
          <t>p_c</t>
        </is>
      </c>
      <c r="AU40" s="3" t="inlineStr">
        <is>
          <t>food</t>
        </is>
      </c>
      <c r="AV40" s="3" t="inlineStr">
        <is>
          <t>food</t>
        </is>
      </c>
      <c r="AW40" s="3" t="inlineStr">
        <is>
          <t>food</t>
        </is>
      </c>
      <c r="AX40" s="3" t="inlineStr">
        <is>
          <t>pap</t>
        </is>
      </c>
      <c r="AY40" s="3" t="inlineStr">
        <is>
          <t>food</t>
        </is>
      </c>
      <c r="AZ40" s="3" t="inlineStr">
        <is>
          <t>ret</t>
        </is>
      </c>
      <c r="BA40" s="3" t="inlineStr">
        <is>
          <t>che</t>
        </is>
      </c>
      <c r="BB40" s="3" t="inlineStr">
        <is>
          <t>oth</t>
        </is>
      </c>
      <c r="BC40" s="3" t="inlineStr">
        <is>
          <t>food</t>
        </is>
      </c>
      <c r="BD40" s="3" t="inlineStr">
        <is>
          <t>clo</t>
        </is>
      </c>
      <c r="BE40" s="3" t="inlineStr">
        <is>
          <t>teq</t>
        </is>
      </c>
      <c r="BF40" s="3" t="inlineStr">
        <is>
          <t>food</t>
        </is>
      </c>
      <c r="BG40" s="3" t="inlineStr">
        <is>
          <t>food</t>
        </is>
      </c>
      <c r="BH40" s="3" t="inlineStr">
        <is>
          <t>clo</t>
        </is>
      </c>
      <c r="BI40" s="3" t="inlineStr">
        <is>
          <t>tpu</t>
        </is>
      </c>
      <c r="BJ40" s="3" t="inlineStr">
        <is>
          <t>food</t>
        </is>
      </c>
      <c r="BK40" s="3" t="inlineStr">
        <is>
          <t>clo</t>
        </is>
      </c>
      <c r="BL40" s="3" t="inlineStr">
        <is>
          <t>tpu</t>
        </is>
      </c>
      <c r="BM40" s="3" t="inlineStr">
        <is>
          <t>hou</t>
        </is>
      </c>
    </row>
    <row r="41">
      <c r="A41" s="3" t="inlineStr">
        <is>
          <t>totd</t>
        </is>
      </c>
      <c r="B41" s="197">
        <f t="shared" ref="B41:BM41" si="0">INDEX(DIOVal,MATCH(LOWER(CtryCode)&amp;"."&amp;$A41,DIOKey,0),MATCH(B$39,DIOSec,0))</f>
        <v>10334.47269823589</v>
      </c>
      <c r="C41" s="197">
        <f t="shared" si="0"/>
        <v>1604.464402031461</v>
      </c>
      <c r="D41" s="197">
        <f t="shared" si="0"/>
        <v>11183.14129482666</v>
      </c>
      <c r="E41" s="197">
        <f t="shared" si="0"/>
        <v>1525.610097198183</v>
      </c>
      <c r="F41" s="197">
        <f t="shared" si="0"/>
        <v>1293.527043024197</v>
      </c>
      <c r="G41" s="197">
        <f t="shared" si="0"/>
        <v>3870.522076884561</v>
      </c>
      <c r="H41" s="197">
        <f t="shared" si="0"/>
        <v>21649.41789959593</v>
      </c>
      <c r="I41" s="197">
        <f t="shared" si="0"/>
        <v>2404.540123171093</v>
      </c>
      <c r="J41" s="197">
        <f t="shared" si="0"/>
        <v>28321.26976845879</v>
      </c>
      <c r="K41" s="197">
        <f t="shared" si="0"/>
        <v>6.621297409927089e-06</v>
      </c>
      <c r="L41" s="197">
        <f t="shared" si="0"/>
        <v>1264.068444272853</v>
      </c>
      <c r="M41" s="197">
        <f t="shared" si="0"/>
        <v>14576.24755136988</v>
      </c>
      <c r="N41" s="197">
        <f t="shared" si="0"/>
        <v>10894.77460837184</v>
      </c>
      <c r="O41" s="197">
        <f t="shared" si="0"/>
        <v>66.5039907064501</v>
      </c>
      <c r="P41" s="197">
        <f t="shared" si="0"/>
        <v>2969.371862943045</v>
      </c>
      <c r="Q41" s="197">
        <f t="shared" si="0"/>
        <v>4436.953508487993</v>
      </c>
      <c r="R41" s="197">
        <f t="shared" si="0"/>
        <v>2207.035755522029</v>
      </c>
      <c r="S41" s="197">
        <f t="shared" si="0"/>
        <v>8.004794074334129</v>
      </c>
      <c r="T41" s="197">
        <f t="shared" si="0"/>
        <v>3745.236261940081</v>
      </c>
      <c r="U41" s="197">
        <f t="shared" si="0"/>
        <v>2253.927513630106</v>
      </c>
      <c r="V41" s="197">
        <f t="shared" si="0"/>
        <v>21377.28850708352</v>
      </c>
      <c r="W41" s="197">
        <f t="shared" si="0"/>
        <v>495.0509788520914</v>
      </c>
      <c r="X41" s="197">
        <f t="shared" si="0"/>
        <v>4782.676354637457</v>
      </c>
      <c r="Y41" s="197">
        <f t="shared" si="0"/>
        <v>147.6816547300288</v>
      </c>
      <c r="Z41" s="197">
        <f t="shared" si="0"/>
        <v>4640.623062089335</v>
      </c>
      <c r="AA41" s="197">
        <f t="shared" si="0"/>
        <v>6066.978174256439</v>
      </c>
      <c r="AB41" s="197">
        <f t="shared" si="0"/>
        <v>5386.761274112234</v>
      </c>
      <c r="AC41" s="197">
        <f t="shared" si="0"/>
        <v>836.2772617822806</v>
      </c>
      <c r="AD41" s="197">
        <f t="shared" si="0"/>
        <v>148.8553771715045</v>
      </c>
      <c r="AE41" s="197">
        <f t="shared" si="0"/>
        <v>4374.762863841401</v>
      </c>
      <c r="AF41" s="197">
        <f t="shared" si="0"/>
        <v>1421.270322379124</v>
      </c>
      <c r="AG41" s="197">
        <f t="shared" si="0"/>
        <v>1185.33164804436</v>
      </c>
      <c r="AH41" s="197">
        <f t="shared" si="0"/>
        <v>33.91058776406614</v>
      </c>
      <c r="AI41" s="197">
        <f t="shared" si="0"/>
        <v>19992.36566714972</v>
      </c>
      <c r="AJ41" s="197">
        <f t="shared" si="0"/>
        <v>7357.771332232982</v>
      </c>
      <c r="AK41" s="197">
        <f t="shared" si="0"/>
        <v>23.17207007429741</v>
      </c>
      <c r="AL41" s="197">
        <f t="shared" si="0"/>
        <v>210.0572811898904</v>
      </c>
      <c r="AM41" s="197">
        <f t="shared" si="0"/>
        <v>406.4527604548755</v>
      </c>
      <c r="AN41" s="197">
        <f t="shared" si="0"/>
        <v>1067.389995361521</v>
      </c>
      <c r="AO41" s="197">
        <f t="shared" si="0"/>
        <v>1300.127804549988</v>
      </c>
      <c r="AP41" s="197">
        <f t="shared" si="0"/>
        <v>17117.53821304604</v>
      </c>
      <c r="AQ41" s="197">
        <f t="shared" si="0"/>
        <v>1003.656650665733</v>
      </c>
      <c r="AR41" s="197">
        <f t="shared" si="0"/>
        <v>12145.91256444627</v>
      </c>
      <c r="AS41" s="197">
        <f t="shared" si="0"/>
        <v>223.1329683100353</v>
      </c>
      <c r="AT41" s="197">
        <f t="shared" si="0"/>
        <v>5525.574469448149</v>
      </c>
      <c r="AU41" s="197">
        <f t="shared" si="0"/>
        <v>4363.206095527078</v>
      </c>
      <c r="AV41" s="197">
        <f t="shared" si="0"/>
        <v>1348.71084320599</v>
      </c>
      <c r="AW41" s="197">
        <f t="shared" si="0"/>
        <v>1459.10920732968</v>
      </c>
      <c r="AX41" s="197">
        <f t="shared" si="0"/>
        <v>1714.795530615099</v>
      </c>
      <c r="AY41" s="197">
        <f t="shared" si="0"/>
        <v>1301.643058444392</v>
      </c>
      <c r="AZ41" s="197">
        <f t="shared" si="0"/>
        <v>12720.48758282992</v>
      </c>
      <c r="BA41" s="197">
        <f t="shared" si="0"/>
        <v>1340.63418289072</v>
      </c>
      <c r="BB41" s="197">
        <f t="shared" si="0"/>
        <v>2518.303714215355</v>
      </c>
      <c r="BC41" s="197">
        <f t="shared" si="0"/>
        <v>1306.54261908066</v>
      </c>
      <c r="BD41" s="197">
        <f t="shared" si="0"/>
        <v>8595.58320961504</v>
      </c>
      <c r="BE41" s="197">
        <f t="shared" si="0"/>
        <v>19036.6174676148</v>
      </c>
      <c r="BF41" s="197">
        <f t="shared" si="0"/>
        <v>11540.90444771099</v>
      </c>
      <c r="BG41" s="197">
        <f t="shared" si="0"/>
        <v>50.55708513876996</v>
      </c>
      <c r="BH41" s="197">
        <f t="shared" si="0"/>
        <v>20142.7637849824</v>
      </c>
      <c r="BI41" s="197">
        <f t="shared" si="0"/>
        <v>2493.655545454463</v>
      </c>
      <c r="BJ41" s="197">
        <f t="shared" si="0"/>
        <v>3435.549539296141</v>
      </c>
      <c r="BK41" s="197">
        <f t="shared" si="0"/>
        <v>15.24328682386711</v>
      </c>
      <c r="BL41" s="197">
        <f t="shared" si="0"/>
        <v>781.2282820118077</v>
      </c>
      <c r="BM41" s="197">
        <f t="shared" si="0"/>
        <v>1247.660987567918</v>
      </c>
    </row>
    <row r="42">
      <c r="A42" s="3" t="inlineStr">
        <is>
          <t>exports</t>
        </is>
      </c>
      <c r="B42" s="197">
        <f t="shared" ref="B42:BM42" si="1">INDEX(DIOVal,MATCH(LOWER(CtryCode)&amp;"."&amp;$A42,DIOKey,0),MATCH(B$39,DIOSec,0))</f>
        <v>296.271891600559</v>
      </c>
      <c r="C42" s="197">
        <f t="shared" si="1"/>
        <v>1457.267402403502</v>
      </c>
      <c r="D42" s="197">
        <f t="shared" si="1"/>
        <v>284.050826670863</v>
      </c>
      <c r="E42" s="197">
        <f t="shared" si="1"/>
        <v>413.7084008221779</v>
      </c>
      <c r="F42" s="197">
        <f t="shared" si="1"/>
        <v>7.226412121393301</v>
      </c>
      <c r="G42" s="197">
        <f t="shared" si="1"/>
        <v>3762.377545275176</v>
      </c>
      <c r="H42" s="197">
        <f t="shared" si="1"/>
        <v>1433.886526643713</v>
      </c>
      <c r="I42" s="197">
        <f t="shared" si="1"/>
        <v>68.74257740466028</v>
      </c>
      <c r="J42" s="197">
        <f t="shared" si="1"/>
        <v>1094.085940181609</v>
      </c>
      <c r="K42" s="197">
        <f t="shared" si="1"/>
        <v>0.2251545605612314</v>
      </c>
      <c r="L42" s="197">
        <f t="shared" si="1"/>
        <v>9.788125868149953</v>
      </c>
      <c r="M42" s="197">
        <f t="shared" si="1"/>
        <v>2.860247900621051e-18</v>
      </c>
      <c r="N42" s="197">
        <f t="shared" si="1"/>
        <v>510.4291222444472</v>
      </c>
      <c r="O42" s="197">
        <f t="shared" si="1"/>
        <v>1546.369098105046</v>
      </c>
      <c r="P42" s="197">
        <f t="shared" si="1"/>
        <v>913.9247070600035</v>
      </c>
      <c r="Q42" s="197">
        <f t="shared" si="1"/>
        <v>31.4630295250102</v>
      </c>
      <c r="R42" s="197">
        <f t="shared" si="1"/>
        <v>371.4862449912014</v>
      </c>
      <c r="S42" s="197">
        <f t="shared" si="1"/>
        <v>3.726675096957718</v>
      </c>
      <c r="T42" s="197">
        <f t="shared" si="1"/>
        <v>109.7585379518032</v>
      </c>
      <c r="U42" s="197">
        <f t="shared" si="1"/>
        <v>17.38953737356017</v>
      </c>
      <c r="V42" s="197">
        <f t="shared" si="1"/>
        <v>348.8805465207298</v>
      </c>
      <c r="W42" s="197">
        <f t="shared" si="1"/>
        <v>918.8942617145678</v>
      </c>
      <c r="X42" s="197">
        <f t="shared" si="1"/>
        <v>262.9269735059963</v>
      </c>
      <c r="Y42" s="197">
        <f t="shared" si="1"/>
        <v>227.6853976228593</v>
      </c>
      <c r="Z42" s="197">
        <f t="shared" si="1"/>
        <v>178.9540791951099</v>
      </c>
      <c r="AA42" s="197">
        <f t="shared" si="1"/>
        <v>475.2857405332416</v>
      </c>
      <c r="AB42" s="197">
        <f t="shared" si="1"/>
        <v>277.8205701467425</v>
      </c>
      <c r="AC42" s="197">
        <f t="shared" si="1"/>
        <v>1692.946537648581</v>
      </c>
      <c r="AD42" s="197">
        <f t="shared" si="1"/>
        <v>1034.696576702019</v>
      </c>
      <c r="AE42" s="197">
        <f t="shared" si="1"/>
        <v>1426.517250708339</v>
      </c>
      <c r="AF42" s="197">
        <f t="shared" si="1"/>
        <v>42.22383495060884</v>
      </c>
      <c r="AG42" s="197">
        <f t="shared" si="1"/>
        <v>1426.738868959493</v>
      </c>
      <c r="AH42" s="197">
        <f t="shared" si="1"/>
        <v>264.429461802159</v>
      </c>
      <c r="AI42" s="197">
        <f t="shared" si="1"/>
        <v>1862.407673911097</v>
      </c>
      <c r="AJ42" s="197">
        <f t="shared" si="1"/>
        <v>313.7932523509113</v>
      </c>
      <c r="AK42" s="197">
        <f t="shared" si="1"/>
        <v>6672.418470390672</v>
      </c>
      <c r="AL42" s="197">
        <f t="shared" si="1"/>
        <v>195.6277862995585</v>
      </c>
      <c r="AM42" s="197">
        <f t="shared" si="1"/>
        <v>359.2826355192473</v>
      </c>
      <c r="AN42" s="197">
        <f t="shared" si="1"/>
        <v>18.01463163681852</v>
      </c>
      <c r="AO42" s="197">
        <f t="shared" si="1"/>
        <v>85.83733459391432</v>
      </c>
      <c r="AP42" s="197">
        <f t="shared" si="1"/>
        <v>200.5369827201623</v>
      </c>
      <c r="AQ42" s="197">
        <f t="shared" si="1"/>
        <v>51.48878141902152</v>
      </c>
      <c r="AR42" s="197">
        <f t="shared" si="1"/>
        <v>8063.06064086591</v>
      </c>
      <c r="AS42" s="197">
        <f t="shared" si="1"/>
        <v>678.063610587255</v>
      </c>
      <c r="AT42" s="197">
        <f t="shared" si="1"/>
        <v>2341.234427585464</v>
      </c>
      <c r="AU42" s="197">
        <f t="shared" si="1"/>
        <v>79.68458985736929</v>
      </c>
      <c r="AV42" s="197">
        <f t="shared" si="1"/>
        <v>7.599025899540455</v>
      </c>
      <c r="AW42" s="197">
        <f t="shared" si="1"/>
        <v>156.8289691807273</v>
      </c>
      <c r="AX42" s="197">
        <f t="shared" si="1"/>
        <v>685.4081857865456</v>
      </c>
      <c r="AY42" s="197">
        <f t="shared" si="1"/>
        <v>7.121434433845842</v>
      </c>
      <c r="AZ42" s="197">
        <f t="shared" si="1"/>
        <v>1139.565878513439</v>
      </c>
      <c r="BA42" s="197">
        <f t="shared" si="1"/>
        <v>852.8387990173746</v>
      </c>
      <c r="BB42" s="197">
        <f t="shared" si="1"/>
        <v>86.69010438010785</v>
      </c>
      <c r="BC42" s="197">
        <f t="shared" si="1"/>
        <v>372.4998080338462</v>
      </c>
      <c r="BD42" s="197">
        <f t="shared" si="1"/>
        <v>2097.800090698511</v>
      </c>
      <c r="BE42" s="197">
        <f t="shared" si="1"/>
        <v>474.9209413670048</v>
      </c>
      <c r="BF42" s="197">
        <f t="shared" si="1"/>
        <v>2535.257971745432</v>
      </c>
      <c r="BG42" s="197">
        <f t="shared" si="1"/>
        <v>192.317533638872</v>
      </c>
      <c r="BH42" s="197">
        <f t="shared" si="1"/>
        <v>3137.7162560565</v>
      </c>
      <c r="BI42" s="197">
        <f t="shared" si="1"/>
        <v>848.4691281295385</v>
      </c>
      <c r="BJ42" s="197">
        <f t="shared" si="1"/>
        <v>17.80401478883522</v>
      </c>
      <c r="BK42" s="197">
        <f t="shared" si="1"/>
        <v>51.98281157695158</v>
      </c>
      <c r="BL42" s="197">
        <f t="shared" si="1"/>
        <v>215.0857269878217</v>
      </c>
      <c r="BM42" s="197">
        <f t="shared" si="1"/>
        <v>25.89221814425625</v>
      </c>
    </row>
    <row r="43">
      <c r="A43" s="3" t="inlineStr">
        <is>
          <t>hhd</t>
        </is>
      </c>
      <c r="B43" s="197">
        <f t="shared" ref="B43:BM43" si="2">INDEX(DIOVal,MATCH(LOWER(CtryCode)&amp;"."&amp;$A43,DIOKey,0),MATCH(B$39,DIOSec,0))</f>
        <v>10287.5962905064</v>
      </c>
      <c r="C43" s="197">
        <f t="shared" si="2"/>
        <v>1403.097671837783</v>
      </c>
      <c r="D43" s="197">
        <f t="shared" si="2"/>
        <v>11181.21020091318</v>
      </c>
      <c r="E43" s="197">
        <f t="shared" si="2"/>
        <v>1472.639384287796</v>
      </c>
      <c r="F43" s="197">
        <f t="shared" si="2"/>
        <v>1287.682388630199</v>
      </c>
      <c r="G43" s="197">
        <f t="shared" si="2"/>
        <v>3587.94983345561</v>
      </c>
      <c r="H43" s="197">
        <f t="shared" si="2"/>
        <v>19221.39294981499</v>
      </c>
      <c r="I43" s="197">
        <f t="shared" si="2"/>
        <v>2385.994136661412</v>
      </c>
      <c r="J43" s="197">
        <f t="shared" si="2"/>
        <v>2714.02385904994</v>
      </c>
      <c r="K43" s="197">
        <f t="shared" si="2"/>
        <v>6.621297409925693e-06</v>
      </c>
      <c r="L43" s="197">
        <f t="shared" si="2"/>
        <v>1254.342714038582</v>
      </c>
      <c r="M43" s="197">
        <f t="shared" si="2"/>
        <v>14564.55509327812</v>
      </c>
      <c r="N43" s="197">
        <f t="shared" si="2"/>
        <v>4618.192019275322</v>
      </c>
      <c r="O43" s="197">
        <f t="shared" si="2"/>
        <v>25.19724637143274</v>
      </c>
      <c r="P43" s="197">
        <f t="shared" si="2"/>
        <v>2621.242312454111</v>
      </c>
      <c r="Q43" s="197">
        <f t="shared" si="2"/>
        <v>4436.953508487993</v>
      </c>
      <c r="R43" s="197">
        <f t="shared" si="2"/>
        <v>638.4316320070935</v>
      </c>
      <c r="S43" s="197">
        <f t="shared" si="2"/>
        <v>1.858765724901019</v>
      </c>
      <c r="T43" s="197">
        <f t="shared" si="2"/>
        <v>3715.460708059009</v>
      </c>
      <c r="U43" s="197">
        <f t="shared" si="2"/>
        <v>2245.318540645385</v>
      </c>
      <c r="V43" s="197">
        <f t="shared" si="2"/>
        <v>6187.302910392417</v>
      </c>
      <c r="W43" s="197">
        <f t="shared" si="2"/>
        <v>435.1547097451709</v>
      </c>
      <c r="X43" s="197">
        <f t="shared" si="2"/>
        <v>4775.91938276479</v>
      </c>
      <c r="Y43" s="197">
        <f t="shared" si="2"/>
        <v>140.6122263755086</v>
      </c>
      <c r="Z43" s="197">
        <f t="shared" si="2"/>
        <v>4263.230068087334</v>
      </c>
      <c r="AA43" s="197">
        <f t="shared" si="2"/>
        <v>6020.733528679571</v>
      </c>
      <c r="AB43" s="197">
        <f t="shared" si="2"/>
        <v>4084.914216861602</v>
      </c>
      <c r="AC43" s="197">
        <f t="shared" si="2"/>
        <v>661.1984639992813</v>
      </c>
      <c r="AD43" s="197">
        <f t="shared" si="2"/>
        <v>148.8553771715045</v>
      </c>
      <c r="AE43" s="197">
        <f t="shared" si="2"/>
        <v>4144.499701683644</v>
      </c>
      <c r="AF43" s="197">
        <f t="shared" si="2"/>
        <v>1410.375759481042</v>
      </c>
      <c r="AG43" s="197">
        <f t="shared" si="2"/>
        <v>625.803043597114</v>
      </c>
      <c r="AH43" s="197">
        <f t="shared" si="2"/>
        <v>33.88278170407487</v>
      </c>
      <c r="AI43" s="197">
        <f t="shared" si="2"/>
        <v>19824.22147904799</v>
      </c>
      <c r="AJ43" s="197">
        <f t="shared" si="2"/>
        <v>6924.028851860749</v>
      </c>
      <c r="AK43" s="197">
        <f t="shared" si="2"/>
        <v>23.17207007429741</v>
      </c>
      <c r="AL43" s="197">
        <f t="shared" si="2"/>
        <v>65.31985537169729</v>
      </c>
      <c r="AM43" s="197">
        <f t="shared" si="2"/>
        <v>240.1923188355705</v>
      </c>
      <c r="AN43" s="197">
        <f t="shared" si="2"/>
        <v>1059.290969714765</v>
      </c>
      <c r="AO43" s="197">
        <f t="shared" si="2"/>
        <v>1294.256086138921</v>
      </c>
      <c r="AP43" s="197">
        <f t="shared" si="2"/>
        <v>1858.368172551902</v>
      </c>
      <c r="AQ43" s="197">
        <f t="shared" si="2"/>
        <v>622.5570837994075</v>
      </c>
      <c r="AR43" s="197">
        <f t="shared" si="2"/>
        <v>11277.54621941355</v>
      </c>
      <c r="AS43" s="197">
        <f t="shared" si="2"/>
        <v>220.9501182557025</v>
      </c>
      <c r="AT43" s="197">
        <f t="shared" si="2"/>
        <v>5525.574469448149</v>
      </c>
      <c r="AU43" s="197">
        <f t="shared" si="2"/>
        <v>4325.098549597541</v>
      </c>
      <c r="AV43" s="197">
        <f t="shared" si="2"/>
        <v>1342.617225664612</v>
      </c>
      <c r="AW43" s="197">
        <f t="shared" si="2"/>
        <v>1452.522828736476</v>
      </c>
      <c r="AX43" s="197">
        <f t="shared" si="2"/>
        <v>1455.942622755077</v>
      </c>
      <c r="AY43" s="197">
        <f t="shared" si="2"/>
        <v>1291.572974584992</v>
      </c>
      <c r="AZ43" s="197">
        <f t="shared" si="2"/>
        <v>12627.7930806804</v>
      </c>
      <c r="BA43" s="197">
        <f t="shared" si="2"/>
        <v>1146.92710133988</v>
      </c>
      <c r="BB43" s="197">
        <f t="shared" si="2"/>
        <v>2319.648196961056</v>
      </c>
      <c r="BC43" s="197">
        <f t="shared" si="2"/>
        <v>1295.250021851018</v>
      </c>
      <c r="BD43" s="197">
        <f t="shared" si="2"/>
        <v>8534.429572637737</v>
      </c>
      <c r="BE43" s="197">
        <f t="shared" si="2"/>
        <v>15650.20722511918</v>
      </c>
      <c r="BF43" s="197">
        <f t="shared" si="2"/>
        <v>11488.77498722335</v>
      </c>
      <c r="BG43" s="197">
        <f t="shared" si="2"/>
        <v>50.1829172774557</v>
      </c>
      <c r="BH43" s="197">
        <f t="shared" si="2"/>
        <v>19933.47835732484</v>
      </c>
      <c r="BI43" s="197">
        <f t="shared" si="2"/>
        <v>2390.745260931696</v>
      </c>
      <c r="BJ43" s="197">
        <f t="shared" si="2"/>
        <v>3422.23169393556</v>
      </c>
      <c r="BK43" s="197">
        <f t="shared" si="2"/>
        <v>11.96672053568368</v>
      </c>
      <c r="BL43" s="197">
        <f t="shared" si="2"/>
        <v>634.1506332746521</v>
      </c>
      <c r="BM43" s="197">
        <f t="shared" si="2"/>
        <v>956.776777747375</v>
      </c>
    </row>
    <row r="44">
      <c r="A44" s="3" t="inlineStr">
        <is>
          <t>coa.leontiefs</t>
        </is>
      </c>
      <c r="B44" s="197">
        <f t="shared" ref="B44:BM44" si="3">INDEX(DIOVal,MATCH(LOWER(CtryCode)&amp;"."&amp;$A44,DIOKey,0),MATCH(B$39,DIOSec,0))</f>
        <v>0.0007129377637879556</v>
      </c>
      <c r="C44" s="197">
        <f t="shared" si="3"/>
        <v>0.004088605657663693</v>
      </c>
      <c r="D44" s="197">
        <f t="shared" si="3"/>
        <v>0.001542912509386966</v>
      </c>
      <c r="E44" s="197">
        <f t="shared" si="3"/>
        <v>0.002368409181834419</v>
      </c>
      <c r="F44" s="197">
        <f t="shared" si="3"/>
        <v>0.001025582418508183</v>
      </c>
      <c r="G44" s="197">
        <f t="shared" si="3"/>
        <v>0.005287378040852384</v>
      </c>
      <c r="H44" s="197">
        <f t="shared" si="3"/>
        <v>0.000761235813447522</v>
      </c>
      <c r="I44" s="197">
        <f t="shared" si="3"/>
        <v>0.0003008319895944772</v>
      </c>
      <c r="J44" s="197">
        <f t="shared" si="3"/>
        <v>0.005036665168036726</v>
      </c>
      <c r="K44" s="197">
        <f t="shared" si="3"/>
        <v>1.0461093117009</v>
      </c>
      <c r="L44" s="197">
        <f t="shared" si="3"/>
        <v>0.0008754092027816993</v>
      </c>
      <c r="M44" s="197">
        <f t="shared" si="3"/>
        <v>0.0003287845094835152</v>
      </c>
      <c r="N44" s="197">
        <f t="shared" si="3"/>
        <v>0.001043874750018219</v>
      </c>
      <c r="O44" s="197">
        <f t="shared" si="3"/>
        <v>0.006256646543876123</v>
      </c>
      <c r="P44" s="197">
        <f t="shared" si="3"/>
        <v>0.003828370357961633</v>
      </c>
      <c r="Q44" s="197">
        <f t="shared" si="3"/>
        <v>0.004874895112752501</v>
      </c>
      <c r="R44" s="197">
        <f t="shared" si="3"/>
        <v>0.007081874209282093</v>
      </c>
      <c r="S44" s="197">
        <f t="shared" si="3"/>
        <v>0.001861736470468403</v>
      </c>
      <c r="T44" s="197">
        <f t="shared" si="3"/>
        <v>0.0006229492731009915</v>
      </c>
      <c r="U44" s="197">
        <f t="shared" si="3"/>
        <v>0.0008569495821966864</v>
      </c>
      <c r="V44" s="197">
        <f t="shared" si="3"/>
        <v>0.001887485709405886</v>
      </c>
      <c r="W44" s="197">
        <f t="shared" si="3"/>
        <v>0.009146830693650658</v>
      </c>
      <c r="X44" s="197">
        <f t="shared" si="3"/>
        <v>0.000444221217354367</v>
      </c>
      <c r="Y44" s="197">
        <f t="shared" si="3"/>
        <v>0.002565539317698928</v>
      </c>
      <c r="Z44" s="197">
        <f t="shared" si="3"/>
        <v>0.003493253500694854</v>
      </c>
      <c r="AA44" s="197">
        <f t="shared" si="3"/>
        <v>0.0006990029613078567</v>
      </c>
      <c r="AB44" s="197">
        <f t="shared" si="3"/>
        <v>0.005368924997139766</v>
      </c>
      <c r="AC44" s="197">
        <f t="shared" si="3"/>
        <v>0.01054477313562873</v>
      </c>
      <c r="AD44" s="197">
        <f t="shared" si="3"/>
        <v>0.001859400258682018</v>
      </c>
      <c r="AE44" s="197">
        <f t="shared" si="3"/>
        <v>0.002150281239221664</v>
      </c>
      <c r="AF44" s="197">
        <f t="shared" si="3"/>
        <v>0.0009942120662847975</v>
      </c>
      <c r="AG44" s="197">
        <f t="shared" si="3"/>
        <v>0.00106223183629002</v>
      </c>
      <c r="AH44" s="197">
        <f t="shared" si="3"/>
        <v>0.0003240892271274163</v>
      </c>
      <c r="AI44" s="197">
        <f t="shared" si="3"/>
        <v>0.002309129975204069</v>
      </c>
      <c r="AJ44" s="197">
        <f t="shared" si="3"/>
        <v>0.0003613077126071591</v>
      </c>
      <c r="AK44" s="197">
        <f t="shared" si="3"/>
        <v>0.0004297021645209693</v>
      </c>
      <c r="AL44" s="197">
        <f t="shared" si="3"/>
        <v>0.00725718497984098</v>
      </c>
      <c r="AM44" s="197">
        <f t="shared" si="3"/>
        <v>0.009914531192904355</v>
      </c>
      <c r="AN44" s="197">
        <f t="shared" si="3"/>
        <v>0.0002045056530604656</v>
      </c>
      <c r="AO44" s="197">
        <f t="shared" si="3"/>
        <v>0.0006190704083802993</v>
      </c>
      <c r="AP44" s="197">
        <f t="shared" si="3"/>
        <v>0.002029651021591062</v>
      </c>
      <c r="AQ44" s="197">
        <f t="shared" si="3"/>
        <v>0.005513131486705574</v>
      </c>
      <c r="AR44" s="197">
        <f t="shared" si="3"/>
        <v>0.003006928951498297</v>
      </c>
      <c r="AS44" s="197">
        <f t="shared" si="3"/>
        <v>0.003198610245865014</v>
      </c>
      <c r="AT44" s="197">
        <f t="shared" si="3"/>
        <v>0.004448280826549838</v>
      </c>
      <c r="AU44" s="197">
        <f t="shared" si="3"/>
        <v>0.001164115256672819</v>
      </c>
      <c r="AV44" s="197">
        <f t="shared" si="3"/>
        <v>0.0007290675303790922</v>
      </c>
      <c r="AW44" s="197">
        <f t="shared" si="3"/>
        <v>0.00215088666159818</v>
      </c>
      <c r="AX44" s="197">
        <f t="shared" si="3"/>
        <v>0.00307260975838893</v>
      </c>
      <c r="AY44" s="197">
        <f t="shared" si="3"/>
        <v>0.0008693263799723181</v>
      </c>
      <c r="AZ44" s="197">
        <f t="shared" si="3"/>
        <v>0.001142083368639247</v>
      </c>
      <c r="BA44" s="197">
        <f t="shared" si="3"/>
        <v>0.0052659858552337</v>
      </c>
      <c r="BB44" s="197">
        <f t="shared" si="3"/>
        <v>0.0003224778103073781</v>
      </c>
      <c r="BC44" s="197">
        <f t="shared" si="3"/>
        <v>0.001935426977415401</v>
      </c>
      <c r="BD44" s="197">
        <f t="shared" si="3"/>
        <v>0.001739838844425585</v>
      </c>
      <c r="BE44" s="197">
        <f t="shared" si="3"/>
        <v>0.0006970785130301204</v>
      </c>
      <c r="BF44" s="197">
        <f t="shared" si="3"/>
        <v>0.0006420599698373184</v>
      </c>
      <c r="BG44" s="197">
        <f t="shared" si="3"/>
        <v>0.0005941626275526843</v>
      </c>
      <c r="BH44" s="197">
        <f t="shared" si="3"/>
        <v>0.001952750933395483</v>
      </c>
      <c r="BI44" s="197">
        <f t="shared" si="3"/>
        <v>0.002258194383248012</v>
      </c>
      <c r="BJ44" s="197">
        <f t="shared" si="3"/>
        <v>0.001139773747886094</v>
      </c>
      <c r="BK44" s="197">
        <f t="shared" si="3"/>
        <v>0.002938120685801643</v>
      </c>
      <c r="BL44" s="197">
        <f t="shared" si="3"/>
        <v>0.004015237398823932</v>
      </c>
      <c r="BM44" s="197">
        <f t="shared" si="3"/>
        <v>0.003858863512923773</v>
      </c>
    </row>
    <row r="45">
      <c r="A45" s="3" t="inlineStr">
        <is>
          <t>ely.leontiefs</t>
        </is>
      </c>
      <c r="B45" s="197">
        <f t="shared" ref="B45:BM45" si="4">INDEX(DIOVal,MATCH(LOWER(CtryCode)&amp;"."&amp;$A45,DIOKey,0),MATCH(B$39,DIOSec,0))</f>
        <v>0.005189900565540753</v>
      </c>
      <c r="C45" s="197">
        <f t="shared" si="4"/>
        <v>0.002444904699293938</v>
      </c>
      <c r="D45" s="197">
        <f t="shared" si="4"/>
        <v>0.001755291758489319</v>
      </c>
      <c r="E45" s="197">
        <f t="shared" si="4"/>
        <v>0.003507686839602052</v>
      </c>
      <c r="F45" s="197">
        <f t="shared" si="4"/>
        <v>0.002020498987638969</v>
      </c>
      <c r="G45" s="197">
        <f t="shared" si="4"/>
        <v>0.01067729961544262</v>
      </c>
      <c r="H45" s="197">
        <f t="shared" si="4"/>
        <v>0.001484972651194107</v>
      </c>
      <c r="I45" s="197">
        <f t="shared" si="4"/>
        <v>0.001526766599831298</v>
      </c>
      <c r="J45" s="197">
        <f t="shared" si="4"/>
        <v>0.00457245464580802</v>
      </c>
      <c r="K45" s="197">
        <f t="shared" si="4"/>
        <v>0.005488031966133671</v>
      </c>
      <c r="L45" s="197">
        <f t="shared" si="4"/>
        <v>0.001858677713646185</v>
      </c>
      <c r="M45" s="197">
        <f t="shared" si="4"/>
        <v>0.0003987774031577402</v>
      </c>
      <c r="N45" s="197">
        <f t="shared" si="4"/>
        <v>0.00581873571424533</v>
      </c>
      <c r="O45" s="197">
        <f t="shared" si="4"/>
        <v>0.008124595319353441</v>
      </c>
      <c r="P45" s="197">
        <f t="shared" si="4"/>
        <v>0.01112140190702001</v>
      </c>
      <c r="Q45" s="197">
        <f t="shared" si="4"/>
        <v>0.9954662477745693</v>
      </c>
      <c r="R45" s="197">
        <f t="shared" si="4"/>
        <v>0.006739026930596399</v>
      </c>
      <c r="S45" s="197">
        <f t="shared" si="4"/>
        <v>0.003175112596691931</v>
      </c>
      <c r="T45" s="197">
        <f t="shared" si="4"/>
        <v>0.005487400676454088</v>
      </c>
      <c r="U45" s="197">
        <f t="shared" si="4"/>
        <v>0.001888078838233873</v>
      </c>
      <c r="V45" s="197">
        <f t="shared" si="4"/>
        <v>0.004425941824993473</v>
      </c>
      <c r="W45" s="197">
        <f t="shared" si="4"/>
        <v>0.02190174220601668</v>
      </c>
      <c r="X45" s="197">
        <f t="shared" si="4"/>
        <v>0.00138473600464869</v>
      </c>
      <c r="Y45" s="197">
        <f t="shared" si="4"/>
        <v>0.002809568323158351</v>
      </c>
      <c r="Z45" s="197">
        <f t="shared" si="4"/>
        <v>0.004228370603128207</v>
      </c>
      <c r="AA45" s="197">
        <f t="shared" si="4"/>
        <v>0.001665720066001897</v>
      </c>
      <c r="AB45" s="197">
        <f t="shared" si="4"/>
        <v>0.006167002273299519</v>
      </c>
      <c r="AC45" s="197">
        <f t="shared" si="4"/>
        <v>0.01339079664960365</v>
      </c>
      <c r="AD45" s="197">
        <f t="shared" si="4"/>
        <v>0.0004461695845161375</v>
      </c>
      <c r="AE45" s="197">
        <f t="shared" si="4"/>
        <v>0.004706570986434342</v>
      </c>
      <c r="AF45" s="197">
        <f t="shared" si="4"/>
        <v>0.001930288006990038</v>
      </c>
      <c r="AG45" s="197">
        <f t="shared" si="4"/>
        <v>0.002063858936189266</v>
      </c>
      <c r="AH45" s="197">
        <f t="shared" si="4"/>
        <v>0.0007259830908526467</v>
      </c>
      <c r="AI45" s="197">
        <f t="shared" si="4"/>
        <v>0.003206090562498223</v>
      </c>
      <c r="AJ45" s="197">
        <f t="shared" si="4"/>
        <v>0.001538888468116083</v>
      </c>
      <c r="AK45" s="197">
        <f t="shared" si="4"/>
        <v>0.0004941423578690712</v>
      </c>
      <c r="AL45" s="197">
        <f t="shared" si="4"/>
        <v>0.008229415628821329</v>
      </c>
      <c r="AM45" s="197">
        <f t="shared" si="4"/>
        <v>0.01885443094216665</v>
      </c>
      <c r="AN45" s="197">
        <f t="shared" si="4"/>
        <v>0.0008293391056409145</v>
      </c>
      <c r="AO45" s="197">
        <f t="shared" si="4"/>
        <v>0.001314409146301669</v>
      </c>
      <c r="AP45" s="197">
        <f t="shared" si="4"/>
        <v>0.004504022482721678</v>
      </c>
      <c r="AQ45" s="197">
        <f t="shared" si="4"/>
        <v>0.006975402899908803</v>
      </c>
      <c r="AR45" s="197">
        <f t="shared" si="4"/>
        <v>0.0025103079673546</v>
      </c>
      <c r="AS45" s="197">
        <f t="shared" si="4"/>
        <v>0.01480154972119718</v>
      </c>
      <c r="AT45" s="197">
        <f t="shared" si="4"/>
        <v>0.0006530980782115763</v>
      </c>
      <c r="AU45" s="197">
        <f t="shared" si="4"/>
        <v>0.002038648993644669</v>
      </c>
      <c r="AV45" s="197">
        <f t="shared" si="4"/>
        <v>0.001369966309371191</v>
      </c>
      <c r="AW45" s="197">
        <f t="shared" si="4"/>
        <v>0.004239040785835113</v>
      </c>
      <c r="AX45" s="197">
        <f t="shared" si="4"/>
        <v>0.008807164222472958</v>
      </c>
      <c r="AY45" s="197">
        <f t="shared" si="4"/>
        <v>0.001851348334704938</v>
      </c>
      <c r="AZ45" s="197">
        <f t="shared" si="4"/>
        <v>0.005095780802479053</v>
      </c>
      <c r="BA45" s="197">
        <f t="shared" si="4"/>
        <v>0.00689113066712316</v>
      </c>
      <c r="BB45" s="197">
        <f t="shared" si="4"/>
        <v>0.004096312652584443</v>
      </c>
      <c r="BC45" s="197">
        <f t="shared" si="4"/>
        <v>0.002871978227192091</v>
      </c>
      <c r="BD45" s="197">
        <f t="shared" si="4"/>
        <v>0.003287127908195085</v>
      </c>
      <c r="BE45" s="197">
        <f t="shared" si="4"/>
        <v>0.003992134284835022</v>
      </c>
      <c r="BF45" s="197">
        <f t="shared" si="4"/>
        <v>0.001309398149147419</v>
      </c>
      <c r="BG45" s="197">
        <f t="shared" si="4"/>
        <v>0.001310414823662987</v>
      </c>
      <c r="BH45" s="197">
        <f t="shared" si="4"/>
        <v>0.002790571883328238</v>
      </c>
      <c r="BI45" s="197">
        <f t="shared" si="4"/>
        <v>0.003918815407250791</v>
      </c>
      <c r="BJ45" s="197">
        <f t="shared" si="4"/>
        <v>0.002469190364587747</v>
      </c>
      <c r="BK45" s="197">
        <f t="shared" si="4"/>
        <v>0.003712038510032808</v>
      </c>
      <c r="BL45" s="197">
        <f t="shared" si="4"/>
        <v>0.002798489892575406</v>
      </c>
      <c r="BM45" s="197">
        <f t="shared" si="4"/>
        <v>0.01316572173557418</v>
      </c>
    </row>
    <row r="46">
      <c r="A46" s="3" t="inlineStr">
        <is>
          <t>nga.leontiefs</t>
        </is>
      </c>
      <c r="B46" s="197">
        <f t="shared" ref="B46:BM46" si="5">INDEX(DIOVal,MATCH(LOWER(CtryCode)&amp;"."&amp;$A46,DIOKey,0),MATCH(B$39,DIOSec,0))</f>
        <v>0.002817411225688473</v>
      </c>
      <c r="C46" s="197">
        <f t="shared" si="5"/>
        <v>0.009844347536442673</v>
      </c>
      <c r="D46" s="197">
        <f t="shared" si="5"/>
        <v>0.002255254412946644</v>
      </c>
      <c r="E46" s="197">
        <f t="shared" si="5"/>
        <v>0.02052713544832418</v>
      </c>
      <c r="F46" s="197">
        <f t="shared" si="5"/>
        <v>0.003391500565193991</v>
      </c>
      <c r="G46" s="197">
        <f t="shared" si="5"/>
        <v>0.03605668287055942</v>
      </c>
      <c r="H46" s="197">
        <f t="shared" si="5"/>
        <v>0.001343841189546408</v>
      </c>
      <c r="I46" s="197">
        <f t="shared" si="5"/>
        <v>0.001286674876574157</v>
      </c>
      <c r="J46" s="197">
        <f t="shared" si="5"/>
        <v>0.006514764023249673</v>
      </c>
      <c r="K46" s="197">
        <f t="shared" si="5"/>
        <v>0.0058772465066583</v>
      </c>
      <c r="L46" s="197">
        <f t="shared" si="5"/>
        <v>0.002786704773600321</v>
      </c>
      <c r="M46" s="197">
        <f t="shared" si="5"/>
        <v>0.0005578546258635284</v>
      </c>
      <c r="N46" s="197">
        <f t="shared" si="5"/>
        <v>0.003694438757878034</v>
      </c>
      <c r="O46" s="197">
        <f t="shared" si="5"/>
        <v>0.008099192057394608</v>
      </c>
      <c r="P46" s="197">
        <f t="shared" si="5"/>
        <v>0.007857583588835582</v>
      </c>
      <c r="Q46" s="197">
        <f t="shared" si="5"/>
        <v>0.3346548962706095</v>
      </c>
      <c r="R46" s="197">
        <f t="shared" si="5"/>
        <v>0.0113453278251489</v>
      </c>
      <c r="S46" s="197">
        <f t="shared" si="5"/>
        <v>0.003123311269029697</v>
      </c>
      <c r="T46" s="197">
        <f t="shared" si="5"/>
        <v>0.003188919753665136</v>
      </c>
      <c r="U46" s="197">
        <f t="shared" si="5"/>
        <v>0.003142747028409746</v>
      </c>
      <c r="V46" s="197">
        <f t="shared" si="5"/>
        <v>0.004942026702162683</v>
      </c>
      <c r="W46" s="197">
        <f t="shared" si="5"/>
        <v>0.02315565003473067</v>
      </c>
      <c r="X46" s="197">
        <f t="shared" si="5"/>
        <v>0.001057183299549809</v>
      </c>
      <c r="Y46" s="197">
        <f t="shared" si="5"/>
        <v>0.004212665139156289</v>
      </c>
      <c r="Z46" s="197">
        <f t="shared" si="5"/>
        <v>0.005704504418707216</v>
      </c>
      <c r="AA46" s="197">
        <f t="shared" si="5"/>
        <v>0.002125459808230732</v>
      </c>
      <c r="AB46" s="197">
        <f t="shared" si="5"/>
        <v>0.007065479442535169</v>
      </c>
      <c r="AC46" s="197">
        <f t="shared" si="5"/>
        <v>0.01404065541258281</v>
      </c>
      <c r="AD46" s="197">
        <f t="shared" si="5"/>
        <v>1.06711752715816</v>
      </c>
      <c r="AE46" s="197">
        <f t="shared" si="5"/>
        <v>0.007276738013653888</v>
      </c>
      <c r="AF46" s="197">
        <f t="shared" si="5"/>
        <v>0.003079627896430888</v>
      </c>
      <c r="AG46" s="197">
        <f t="shared" si="5"/>
        <v>0.001870310306018242</v>
      </c>
      <c r="AH46" s="197">
        <f t="shared" si="5"/>
        <v>0.00109372237063502</v>
      </c>
      <c r="AI46" s="197">
        <f t="shared" si="5"/>
        <v>0.005267505173879806</v>
      </c>
      <c r="AJ46" s="197">
        <f t="shared" si="5"/>
        <v>0.001004952437566963</v>
      </c>
      <c r="AK46" s="197">
        <f t="shared" si="5"/>
        <v>0.006626224413593992</v>
      </c>
      <c r="AL46" s="197">
        <f t="shared" si="5"/>
        <v>0.00804895055694959</v>
      </c>
      <c r="AM46" s="197">
        <f t="shared" si="5"/>
        <v>0.02345993988287854</v>
      </c>
      <c r="AN46" s="197">
        <f t="shared" si="5"/>
        <v>0.0007718512590685859</v>
      </c>
      <c r="AO46" s="197">
        <f t="shared" si="5"/>
        <v>0.002240068575796437</v>
      </c>
      <c r="AP46" s="197">
        <f t="shared" si="5"/>
        <v>0.003589643107759637</v>
      </c>
      <c r="AQ46" s="197">
        <f t="shared" si="5"/>
        <v>0.007065766464090403</v>
      </c>
      <c r="AR46" s="197">
        <f t="shared" si="5"/>
        <v>0.007521063800485964</v>
      </c>
      <c r="AS46" s="197">
        <f t="shared" si="5"/>
        <v>0.01357123853053823</v>
      </c>
      <c r="AT46" s="197">
        <f t="shared" si="5"/>
        <v>0.01120999360978483</v>
      </c>
      <c r="AU46" s="197">
        <f t="shared" si="5"/>
        <v>0.003362761003769149</v>
      </c>
      <c r="AV46" s="197">
        <f t="shared" si="5"/>
        <v>0.002527595782330507</v>
      </c>
      <c r="AW46" s="197">
        <f t="shared" si="5"/>
        <v>0.007348875334645737</v>
      </c>
      <c r="AX46" s="197">
        <f t="shared" si="5"/>
        <v>0.01102916606553573</v>
      </c>
      <c r="AY46" s="197">
        <f t="shared" si="5"/>
        <v>0.002916892315325817</v>
      </c>
      <c r="AZ46" s="197">
        <f t="shared" si="5"/>
        <v>0.00402765414609381</v>
      </c>
      <c r="BA46" s="197">
        <f t="shared" si="5"/>
        <v>0.02643244691287596</v>
      </c>
      <c r="BB46" s="197">
        <f t="shared" si="5"/>
        <v>0.001848888765815128</v>
      </c>
      <c r="BC46" s="197">
        <f t="shared" si="5"/>
        <v>0.005016211077663093</v>
      </c>
      <c r="BD46" s="197">
        <f t="shared" si="5"/>
        <v>0.003888211161240639</v>
      </c>
      <c r="BE46" s="197">
        <f t="shared" si="5"/>
        <v>0.002163806615735708</v>
      </c>
      <c r="BF46" s="197">
        <f t="shared" si="5"/>
        <v>0.002236968606100039</v>
      </c>
      <c r="BG46" s="197">
        <f t="shared" si="5"/>
        <v>0.002220156575308069</v>
      </c>
      <c r="BH46" s="197">
        <f t="shared" si="5"/>
        <v>0.00397337402449126</v>
      </c>
      <c r="BI46" s="197">
        <f t="shared" si="5"/>
        <v>0.003826749876633153</v>
      </c>
      <c r="BJ46" s="197">
        <f t="shared" si="5"/>
        <v>0.00380857014944323</v>
      </c>
      <c r="BK46" s="197">
        <f t="shared" si="5"/>
        <v>0.004488370357928635</v>
      </c>
      <c r="BL46" s="197">
        <f t="shared" si="5"/>
        <v>0.01008913683465942</v>
      </c>
      <c r="BM46" s="197">
        <f t="shared" si="5"/>
        <v>0.008712255822348514</v>
      </c>
    </row>
    <row r="47">
      <c r="A47" s="3" t="inlineStr">
        <is>
          <t>oil.leontiefs</t>
        </is>
      </c>
      <c r="B47" s="197">
        <f t="shared" ref="B47:BM47" si="6">INDEX(DIOVal,MATCH(LOWER(CtryCode)&amp;"."&amp;$A47,DIOKey,0),MATCH(B$39,DIOSec,0))</f>
        <v>0.01071654071439239</v>
      </c>
      <c r="C47" s="197">
        <f t="shared" si="6"/>
        <v>0.2196354026572705</v>
      </c>
      <c r="D47" s="197">
        <f t="shared" si="6"/>
        <v>0.01147736380956983</v>
      </c>
      <c r="E47" s="197">
        <f t="shared" si="6"/>
        <v>0.02642512345324839</v>
      </c>
      <c r="F47" s="197">
        <f t="shared" si="6"/>
        <v>0.03498637901008057</v>
      </c>
      <c r="G47" s="197">
        <f t="shared" si="6"/>
        <v>0.1376497010554332</v>
      </c>
      <c r="H47" s="197">
        <f t="shared" si="6"/>
        <v>0.007701126934701616</v>
      </c>
      <c r="I47" s="197">
        <f t="shared" si="6"/>
        <v>0.006511589055709717</v>
      </c>
      <c r="J47" s="197">
        <f t="shared" si="6"/>
        <v>0.03362889060633843</v>
      </c>
      <c r="K47" s="197">
        <f t="shared" si="6"/>
        <v>0.03812116162177002</v>
      </c>
      <c r="L47" s="197">
        <f t="shared" si="6"/>
        <v>0.02814321299555246</v>
      </c>
      <c r="M47" s="197">
        <f t="shared" si="6"/>
        <v>0.002372433248388115</v>
      </c>
      <c r="N47" s="197">
        <f t="shared" si="6"/>
        <v>0.01589570468860546</v>
      </c>
      <c r="O47" s="197">
        <f t="shared" si="6"/>
        <v>0.03617572330822446</v>
      </c>
      <c r="P47" s="197">
        <f t="shared" si="6"/>
        <v>0.03004483301123832</v>
      </c>
      <c r="Q47" s="197">
        <f t="shared" si="6"/>
        <v>0.4749699300268975</v>
      </c>
      <c r="R47" s="197">
        <f t="shared" si="6"/>
        <v>0.05046672417539657</v>
      </c>
      <c r="S47" s="197">
        <f t="shared" si="6"/>
        <v>0.0413120355844022</v>
      </c>
      <c r="T47" s="197">
        <f t="shared" si="6"/>
        <v>0.02148199305574658</v>
      </c>
      <c r="U47" s="197">
        <f t="shared" si="6"/>
        <v>0.03089544185735456</v>
      </c>
      <c r="V47" s="197">
        <f t="shared" si="6"/>
        <v>0.02077299775370239</v>
      </c>
      <c r="W47" s="197">
        <f t="shared" si="6"/>
        <v>0.08770337304997161</v>
      </c>
      <c r="X47" s="197">
        <f t="shared" si="6"/>
        <v>0.009093375687158385</v>
      </c>
      <c r="Y47" s="197">
        <f t="shared" si="6"/>
        <v>0.0229207498988162</v>
      </c>
      <c r="Z47" s="197">
        <f t="shared" si="6"/>
        <v>0.03476374906733615</v>
      </c>
      <c r="AA47" s="197">
        <f t="shared" si="6"/>
        <v>0.01137321609211582</v>
      </c>
      <c r="AB47" s="197">
        <f t="shared" si="6"/>
        <v>0.03164768113427975</v>
      </c>
      <c r="AC47" s="197">
        <f t="shared" si="6"/>
        <v>0.06117161272991188</v>
      </c>
      <c r="AD47" s="197">
        <f t="shared" si="6"/>
        <v>0.0380804426270069</v>
      </c>
      <c r="AE47" s="197">
        <f t="shared" si="6"/>
        <v>0.04114009983847246</v>
      </c>
      <c r="AF47" s="197">
        <f t="shared" si="6"/>
        <v>0.02903113024128803</v>
      </c>
      <c r="AG47" s="197">
        <f t="shared" si="6"/>
        <v>0.01376091201321939</v>
      </c>
      <c r="AH47" s="197">
        <f t="shared" si="6"/>
        <v>0.01008577098033035</v>
      </c>
      <c r="AI47" s="197">
        <f t="shared" si="6"/>
        <v>0.03577697907748396</v>
      </c>
      <c r="AJ47" s="197">
        <f t="shared" si="6"/>
        <v>0.00667321543411646</v>
      </c>
      <c r="AK47" s="197">
        <f t="shared" si="6"/>
        <v>1.02071946831331</v>
      </c>
      <c r="AL47" s="197">
        <f t="shared" si="6"/>
        <v>0.03282615401594492</v>
      </c>
      <c r="AM47" s="197">
        <f t="shared" si="6"/>
        <v>0.08717540902689191</v>
      </c>
      <c r="AN47" s="197">
        <f t="shared" si="6"/>
        <v>0.004294992604141202</v>
      </c>
      <c r="AO47" s="197">
        <f t="shared" si="6"/>
        <v>0.02201606043283395</v>
      </c>
      <c r="AP47" s="197">
        <f t="shared" si="6"/>
        <v>0.01940156387429923</v>
      </c>
      <c r="AQ47" s="197">
        <f t="shared" si="6"/>
        <v>0.02786803139605073</v>
      </c>
      <c r="AR47" s="197">
        <f t="shared" si="6"/>
        <v>0.1761043561626366</v>
      </c>
      <c r="AS47" s="197">
        <f t="shared" si="6"/>
        <v>0.1529204233695721</v>
      </c>
      <c r="AT47" s="197">
        <f t="shared" si="6"/>
        <v>0.9083966554785544</v>
      </c>
      <c r="AU47" s="197">
        <f t="shared" si="6"/>
        <v>0.02793892079488201</v>
      </c>
      <c r="AV47" s="197">
        <f t="shared" si="6"/>
        <v>0.02408325225814711</v>
      </c>
      <c r="AW47" s="197">
        <f t="shared" si="6"/>
        <v>0.07281895681579398</v>
      </c>
      <c r="AX47" s="197">
        <f t="shared" si="6"/>
        <v>0.04672633035952233</v>
      </c>
      <c r="AY47" s="197">
        <f t="shared" si="6"/>
        <v>0.02701296060603589</v>
      </c>
      <c r="AZ47" s="197">
        <f t="shared" si="6"/>
        <v>0.01614614449906178</v>
      </c>
      <c r="BA47" s="197">
        <f t="shared" si="6"/>
        <v>0.03811563960189785</v>
      </c>
      <c r="BB47" s="197">
        <f t="shared" si="6"/>
        <v>0.006927121403067594</v>
      </c>
      <c r="BC47" s="197">
        <f t="shared" si="6"/>
        <v>0.03975604852740468</v>
      </c>
      <c r="BD47" s="197">
        <f t="shared" si="6"/>
        <v>0.02620387608408191</v>
      </c>
      <c r="BE47" s="197">
        <f t="shared" si="6"/>
        <v>0.01540371277490718</v>
      </c>
      <c r="BF47" s="197">
        <f t="shared" si="6"/>
        <v>0.0212017269396388</v>
      </c>
      <c r="BG47" s="197">
        <f t="shared" si="6"/>
        <v>0.02120230361222654</v>
      </c>
      <c r="BH47" s="197">
        <f t="shared" si="6"/>
        <v>0.01957194383818571</v>
      </c>
      <c r="BI47" s="197">
        <f t="shared" si="6"/>
        <v>0.01667470821742641</v>
      </c>
      <c r="BJ47" s="197">
        <f t="shared" si="6"/>
        <v>0.03936502093765794</v>
      </c>
      <c r="BK47" s="197">
        <f t="shared" si="6"/>
        <v>0.05282203895122881</v>
      </c>
      <c r="BL47" s="197">
        <f t="shared" si="6"/>
        <v>0.1803318654740079</v>
      </c>
      <c r="BM47" s="197">
        <f t="shared" si="6"/>
        <v>0.04021774719837681</v>
      </c>
    </row>
    <row r="48">
      <c r="A48" s="3" t="inlineStr">
        <is>
          <t>p_c.leontiefs</t>
        </is>
      </c>
      <c r="B48" s="197">
        <f t="shared" ref="B48:BM48" si="7">INDEX(DIOVal,MATCH(LOWER(CtryCode)&amp;"."&amp;$A48,DIOKey,0),MATCH(B$39,DIOSec,0))</f>
        <v>0.01512399801412685</v>
      </c>
      <c r="C48" s="197">
        <f t="shared" si="7"/>
        <v>0.3061035669607718</v>
      </c>
      <c r="D48" s="197">
        <f t="shared" si="7"/>
        <v>0.01691144417092878</v>
      </c>
      <c r="E48" s="197">
        <f t="shared" si="7"/>
        <v>0.03878981176705611</v>
      </c>
      <c r="F48" s="197">
        <f t="shared" si="7"/>
        <v>0.04687706628337879</v>
      </c>
      <c r="G48" s="197">
        <f t="shared" si="7"/>
        <v>0.1952503023840406</v>
      </c>
      <c r="H48" s="197">
        <f t="shared" si="7"/>
        <v>0.01133848843141551</v>
      </c>
      <c r="I48" s="197">
        <f t="shared" si="7"/>
        <v>0.008911924158080247</v>
      </c>
      <c r="J48" s="197">
        <f t="shared" si="7"/>
        <v>0.05358302002681031</v>
      </c>
      <c r="K48" s="197">
        <f t="shared" si="7"/>
        <v>0.05561450707198071</v>
      </c>
      <c r="L48" s="197">
        <f t="shared" si="7"/>
        <v>0.03742625951148524</v>
      </c>
      <c r="M48" s="197">
        <f t="shared" si="7"/>
        <v>0.00361331730002384</v>
      </c>
      <c r="N48" s="197">
        <f t="shared" si="7"/>
        <v>0.02266179230308214</v>
      </c>
      <c r="O48" s="197">
        <f t="shared" si="7"/>
        <v>0.05742327147226952</v>
      </c>
      <c r="P48" s="197">
        <f t="shared" si="7"/>
        <v>0.04503134039392521</v>
      </c>
      <c r="Q48" s="197">
        <f t="shared" si="7"/>
        <v>0.5768674452079603</v>
      </c>
      <c r="R48" s="197">
        <f t="shared" si="7"/>
        <v>0.07999526509723158</v>
      </c>
      <c r="S48" s="197">
        <f t="shared" si="7"/>
        <v>0.05979155030607706</v>
      </c>
      <c r="T48" s="197">
        <f t="shared" si="7"/>
        <v>0.02816188190001883</v>
      </c>
      <c r="U48" s="197">
        <f t="shared" si="7"/>
        <v>0.0432347247372389</v>
      </c>
      <c r="V48" s="197">
        <f t="shared" si="7"/>
        <v>0.02995023811048382</v>
      </c>
      <c r="W48" s="197">
        <f t="shared" si="7"/>
        <v>0.1347684946853535</v>
      </c>
      <c r="X48" s="197">
        <f t="shared" si="7"/>
        <v>0.01314960576230055</v>
      </c>
      <c r="Y48" s="197">
        <f t="shared" si="7"/>
        <v>0.03621951933008721</v>
      </c>
      <c r="Z48" s="197">
        <f t="shared" si="7"/>
        <v>0.05249452934714824</v>
      </c>
      <c r="AA48" s="197">
        <f t="shared" si="7"/>
        <v>0.01693299605119284</v>
      </c>
      <c r="AB48" s="197">
        <f t="shared" si="7"/>
        <v>0.04985245963982825</v>
      </c>
      <c r="AC48" s="197">
        <f t="shared" si="7"/>
        <v>0.1028136915194218</v>
      </c>
      <c r="AD48" s="197">
        <f t="shared" si="7"/>
        <v>0.04631279470613656</v>
      </c>
      <c r="AE48" s="197">
        <f t="shared" si="7"/>
        <v>0.05840577646027158</v>
      </c>
      <c r="AF48" s="197">
        <f t="shared" si="7"/>
        <v>0.04054555943888968</v>
      </c>
      <c r="AG48" s="197">
        <f t="shared" si="7"/>
        <v>0.02078786516581139</v>
      </c>
      <c r="AH48" s="197">
        <f t="shared" si="7"/>
        <v>0.01475122109149793</v>
      </c>
      <c r="AI48" s="197">
        <f t="shared" si="7"/>
        <v>0.05178204668853109</v>
      </c>
      <c r="AJ48" s="197">
        <f t="shared" si="7"/>
        <v>0.009892094562737664</v>
      </c>
      <c r="AK48" s="197">
        <f t="shared" si="7"/>
        <v>0.0124045075813004</v>
      </c>
      <c r="AL48" s="197">
        <f t="shared" si="7"/>
        <v>0.057454005629827</v>
      </c>
      <c r="AM48" s="197">
        <f t="shared" si="7"/>
        <v>0.1379570750461765</v>
      </c>
      <c r="AN48" s="197">
        <f t="shared" si="7"/>
        <v>0.005863477459335114</v>
      </c>
      <c r="AO48" s="197">
        <f t="shared" si="7"/>
        <v>0.03024333780789112</v>
      </c>
      <c r="AP48" s="197">
        <f t="shared" si="7"/>
        <v>0.02978437347371211</v>
      </c>
      <c r="AQ48" s="197">
        <f t="shared" si="7"/>
        <v>0.04475743887408047</v>
      </c>
      <c r="AR48" s="197">
        <f t="shared" si="7"/>
        <v>0.2286275348470731</v>
      </c>
      <c r="AS48" s="197">
        <f t="shared" si="7"/>
        <v>0.1998992426065419</v>
      </c>
      <c r="AT48" s="197">
        <f t="shared" si="7"/>
        <v>1.04570745735351</v>
      </c>
      <c r="AU48" s="197">
        <f t="shared" si="7"/>
        <v>0.03981192648479416</v>
      </c>
      <c r="AV48" s="197">
        <f t="shared" si="7"/>
        <v>0.03447190664686378</v>
      </c>
      <c r="AW48" s="197">
        <f t="shared" si="7"/>
        <v>0.1021753933731896</v>
      </c>
      <c r="AX48" s="197">
        <f t="shared" si="7"/>
        <v>0.06916428069967563</v>
      </c>
      <c r="AY48" s="197">
        <f t="shared" si="7"/>
        <v>0.03899337567254526</v>
      </c>
      <c r="AZ48" s="197">
        <f t="shared" si="7"/>
        <v>0.02383200425787302</v>
      </c>
      <c r="BA48" s="197">
        <f t="shared" si="7"/>
        <v>0.05894958009016666</v>
      </c>
      <c r="BB48" s="197">
        <f t="shared" si="7"/>
        <v>0.009935272556762572</v>
      </c>
      <c r="BC48" s="197">
        <f t="shared" si="7"/>
        <v>0.05707643154694231</v>
      </c>
      <c r="BD48" s="197">
        <f t="shared" si="7"/>
        <v>0.0366340887824334</v>
      </c>
      <c r="BE48" s="197">
        <f t="shared" si="7"/>
        <v>0.0225918166522188</v>
      </c>
      <c r="BF48" s="197">
        <f t="shared" si="7"/>
        <v>0.03040498345866758</v>
      </c>
      <c r="BG48" s="197">
        <f t="shared" si="7"/>
        <v>0.02893726759865048</v>
      </c>
      <c r="BH48" s="197">
        <f t="shared" si="7"/>
        <v>0.0292588495934465</v>
      </c>
      <c r="BI48" s="197">
        <f t="shared" si="7"/>
        <v>0.0251794029356979</v>
      </c>
      <c r="BJ48" s="197">
        <f t="shared" si="7"/>
        <v>0.05417118432158361</v>
      </c>
      <c r="BK48" s="197">
        <f t="shared" si="7"/>
        <v>0.07352393742541173</v>
      </c>
      <c r="BL48" s="197">
        <f t="shared" si="7"/>
        <v>0.2668171205415965</v>
      </c>
      <c r="BM48" s="197">
        <f t="shared" si="7"/>
        <v>0.05718286000313826</v>
      </c>
    </row>
    <row r="49">
      <c r="A49" s="3" t="inlineStr">
        <is>
          <t>output</t>
        </is>
      </c>
      <c r="B49" s="197">
        <f t="shared" ref="B49:BM49" si="8">INDEX(DIOVal,MATCH(LOWER(CtryCode)&amp;"."&amp;$A49,DIOKey,0),MATCH(B$39,DIOSec,0))</f>
        <v>11251.68101768571</v>
      </c>
      <c r="C49" s="197">
        <f t="shared" si="8"/>
        <v>3638.647783320249</v>
      </c>
      <c r="D49" s="197">
        <f t="shared" si="8"/>
        <v>12265.31606745908</v>
      </c>
      <c r="E49" s="197">
        <f t="shared" si="8"/>
        <v>2998.729869699881</v>
      </c>
      <c r="F49" s="197">
        <f t="shared" si="8"/>
        <v>2622.18517417264</v>
      </c>
      <c r="G49" s="197">
        <f t="shared" si="8"/>
        <v>11384.10001343628</v>
      </c>
      <c r="H49" s="197">
        <f t="shared" si="8"/>
        <v>26373.82356256246</v>
      </c>
      <c r="I49" s="197">
        <f t="shared" si="8"/>
        <v>3204.923644068971</v>
      </c>
      <c r="J49" s="197">
        <f t="shared" si="8"/>
        <v>31827.38148438366</v>
      </c>
      <c r="K49" s="197">
        <f t="shared" si="8"/>
        <v>0.3586108844028645</v>
      </c>
      <c r="L49" s="197">
        <f t="shared" si="8"/>
        <v>1540.576071570031</v>
      </c>
      <c r="M49" s="197">
        <f t="shared" si="8"/>
        <v>15173.00655898254</v>
      </c>
      <c r="N49" s="197">
        <f t="shared" si="8"/>
        <v>13904.61364160128</v>
      </c>
      <c r="O49" s="197">
        <f t="shared" si="8"/>
        <v>1736.855878903702</v>
      </c>
      <c r="P49" s="197">
        <f t="shared" si="8"/>
        <v>7156.388567774538</v>
      </c>
      <c r="Q49" s="197">
        <f t="shared" si="8"/>
        <v>10759.24191777595</v>
      </c>
      <c r="R49" s="197">
        <f t="shared" si="8"/>
        <v>7677.827517271953</v>
      </c>
      <c r="S49" s="197">
        <f t="shared" si="8"/>
        <v>7.416085752545581</v>
      </c>
      <c r="T49" s="197">
        <f t="shared" si="8"/>
        <v>4995.682056827297</v>
      </c>
      <c r="U49" s="197">
        <f t="shared" si="8"/>
        <v>5749.541580269509</v>
      </c>
      <c r="V49" s="197">
        <f t="shared" si="8"/>
        <v>23019.82710972295</v>
      </c>
      <c r="W49" s="197">
        <f t="shared" si="8"/>
        <v>3363.16535338051</v>
      </c>
      <c r="X49" s="197">
        <f t="shared" si="8"/>
        <v>6044.193560665437</v>
      </c>
      <c r="Y49" s="197">
        <f t="shared" si="8"/>
        <v>1452.914622381694</v>
      </c>
      <c r="Z49" s="197">
        <f t="shared" si="8"/>
        <v>5670.504154767611</v>
      </c>
      <c r="AA49" s="197">
        <f t="shared" si="8"/>
        <v>8224.2489545944</v>
      </c>
      <c r="AB49" s="197">
        <f t="shared" si="8"/>
        <v>6465.030017211342</v>
      </c>
      <c r="AC49" s="197">
        <f t="shared" si="8"/>
        <v>5802.059926658519</v>
      </c>
      <c r="AD49" s="197">
        <f t="shared" si="8"/>
        <v>4854.862266876281</v>
      </c>
      <c r="AE49" s="197">
        <f t="shared" si="8"/>
        <v>12465.5011882891</v>
      </c>
      <c r="AF49" s="197">
        <f t="shared" si="8"/>
        <v>1546.234939710219</v>
      </c>
      <c r="AG49" s="197">
        <f t="shared" si="8"/>
        <v>10184.88907237095</v>
      </c>
      <c r="AH49" s="197">
        <f t="shared" si="8"/>
        <v>407.7838197636175</v>
      </c>
      <c r="AI49" s="197">
        <f t="shared" si="8"/>
        <v>28583.22182427202</v>
      </c>
      <c r="AJ49" s="197">
        <f t="shared" si="8"/>
        <v>11905.9982250425</v>
      </c>
      <c r="AK49" s="197">
        <f t="shared" si="8"/>
        <v>18104.19371069481</v>
      </c>
      <c r="AL49" s="197">
        <f t="shared" si="8"/>
        <v>689.5967913363048</v>
      </c>
      <c r="AM49" s="197">
        <f t="shared" si="8"/>
        <v>1999.513132236743</v>
      </c>
      <c r="AN49" s="197">
        <f t="shared" si="8"/>
        <v>1581.110020893049</v>
      </c>
      <c r="AO49" s="197">
        <f t="shared" si="8"/>
        <v>3310.293411676508</v>
      </c>
      <c r="AP49" s="197">
        <f t="shared" si="8"/>
        <v>18195.87830626978</v>
      </c>
      <c r="AQ49" s="197">
        <f t="shared" si="8"/>
        <v>1696.299902277059</v>
      </c>
      <c r="AR49" s="197">
        <f t="shared" si="8"/>
        <v>22798.54360989081</v>
      </c>
      <c r="AS49" s="197">
        <f t="shared" si="8"/>
        <v>1202.800638418359</v>
      </c>
      <c r="AT49" s="197">
        <f t="shared" si="8"/>
        <v>15290.73568798998</v>
      </c>
      <c r="AU49" s="197">
        <f t="shared" si="8"/>
        <v>4727.420671543173</v>
      </c>
      <c r="AV49" s="197">
        <f t="shared" si="8"/>
        <v>6461.814523111291</v>
      </c>
      <c r="AW49" s="197">
        <f t="shared" si="8"/>
        <v>3961.067908892622</v>
      </c>
      <c r="AX49" s="197">
        <f t="shared" si="8"/>
        <v>3318.323954120063</v>
      </c>
      <c r="AY49" s="197">
        <f t="shared" si="8"/>
        <v>1838.401718374173</v>
      </c>
      <c r="AZ49" s="197">
        <f t="shared" si="8"/>
        <v>14424.38775146996</v>
      </c>
      <c r="BA49" s="197">
        <f t="shared" si="8"/>
        <v>3505.456237351073</v>
      </c>
      <c r="BB49" s="197">
        <f t="shared" si="8"/>
        <v>4463.302583550999</v>
      </c>
      <c r="BC49" s="197">
        <f t="shared" si="8"/>
        <v>2135.361527779695</v>
      </c>
      <c r="BD49" s="197">
        <f t="shared" si="8"/>
        <v>24709.35585397993</v>
      </c>
      <c r="BE49" s="197">
        <f t="shared" si="8"/>
        <v>26943.66388223795</v>
      </c>
      <c r="BF49" s="197">
        <f t="shared" si="8"/>
        <v>19834.28676003992</v>
      </c>
      <c r="BG49" s="197">
        <f t="shared" si="8"/>
        <v>419.9716206852342</v>
      </c>
      <c r="BH49" s="197">
        <f t="shared" si="8"/>
        <v>26555.4367266728</v>
      </c>
      <c r="BI49" s="197">
        <f t="shared" si="8"/>
        <v>4387.911183377291</v>
      </c>
      <c r="BJ49" s="197">
        <f t="shared" si="8"/>
        <v>6070.168994113447</v>
      </c>
      <c r="BK49" s="197">
        <f t="shared" si="8"/>
        <v>46.66968618418917</v>
      </c>
      <c r="BL49" s="197">
        <f t="shared" si="8"/>
        <v>2031.780319428982</v>
      </c>
      <c r="BM49" s="197">
        <f t="shared" si="8"/>
        <v>3724.015698675872</v>
      </c>
    </row>
    <row r="50">
      <c r="A50" s="3" t="inlineStr">
        <is>
          <t>Fuel sector (1: embedded use is 0)</t>
        </is>
      </c>
      <c r="B50" s="39">
        <f t="shared" ref="B50:BM50" si="9">IF(ISNUMBER(MATCH(B$40,DGroupKey,0)),1,0)</f>
        <v>0.0</v>
      </c>
      <c r="C50" s="39">
        <f t="shared" si="9"/>
        <v>0.0</v>
      </c>
      <c r="D50" s="39">
        <f t="shared" si="9"/>
        <v>0.0</v>
      </c>
      <c r="E50" s="39">
        <f t="shared" si="9"/>
        <v>0.0</v>
      </c>
      <c r="F50" s="39">
        <f t="shared" si="9"/>
        <v>0.0</v>
      </c>
      <c r="G50" s="39">
        <f t="shared" si="9"/>
        <v>0.0</v>
      </c>
      <c r="H50" s="39">
        <f t="shared" si="9"/>
        <v>0.0</v>
      </c>
      <c r="I50" s="39">
        <f t="shared" si="9"/>
        <v>0.0</v>
      </c>
      <c r="J50" s="39">
        <f t="shared" si="9"/>
        <v>0.0</v>
      </c>
      <c r="K50" s="39">
        <f t="shared" si="9"/>
        <v>1.0</v>
      </c>
      <c r="L50" s="39">
        <f t="shared" si="9"/>
        <v>0.0</v>
      </c>
      <c r="M50" s="39">
        <f t="shared" si="9"/>
        <v>0.0</v>
      </c>
      <c r="N50" s="39">
        <f t="shared" si="9"/>
        <v>0.0</v>
      </c>
      <c r="O50" s="39">
        <f t="shared" si="9"/>
        <v>0.0</v>
      </c>
      <c r="P50" s="39">
        <f t="shared" si="9"/>
        <v>0.0</v>
      </c>
      <c r="Q50" s="39">
        <f t="shared" si="9"/>
        <v>1.0</v>
      </c>
      <c r="R50" s="39">
        <f t="shared" si="9"/>
        <v>0.0</v>
      </c>
      <c r="S50" s="39">
        <f t="shared" si="9"/>
        <v>0.0</v>
      </c>
      <c r="T50" s="39">
        <f t="shared" si="9"/>
        <v>0.0</v>
      </c>
      <c r="U50" s="39">
        <f t="shared" si="9"/>
        <v>0.0</v>
      </c>
      <c r="V50" s="39">
        <f t="shared" si="9"/>
        <v>0.0</v>
      </c>
      <c r="W50" s="39">
        <f t="shared" si="9"/>
        <v>0.0</v>
      </c>
      <c r="X50" s="39">
        <f t="shared" si="9"/>
        <v>0.0</v>
      </c>
      <c r="Y50" s="39">
        <f t="shared" si="9"/>
        <v>0.0</v>
      </c>
      <c r="Z50" s="39">
        <f t="shared" si="9"/>
        <v>0.0</v>
      </c>
      <c r="AA50" s="39">
        <f t="shared" si="9"/>
        <v>0.0</v>
      </c>
      <c r="AB50" s="39">
        <f t="shared" si="9"/>
        <v>0.0</v>
      </c>
      <c r="AC50" s="39">
        <f t="shared" si="9"/>
        <v>0.0</v>
      </c>
      <c r="AD50" s="39">
        <f t="shared" si="9"/>
        <v>1.0</v>
      </c>
      <c r="AE50" s="39">
        <f t="shared" si="9"/>
        <v>0.0</v>
      </c>
      <c r="AF50" s="39">
        <f t="shared" si="9"/>
        <v>0.0</v>
      </c>
      <c r="AG50" s="39">
        <f t="shared" si="9"/>
        <v>0.0</v>
      </c>
      <c r="AH50" s="39">
        <f t="shared" si="9"/>
        <v>0.0</v>
      </c>
      <c r="AI50" s="39">
        <f t="shared" si="9"/>
        <v>0.0</v>
      </c>
      <c r="AJ50" s="39">
        <f t="shared" si="9"/>
        <v>0.0</v>
      </c>
      <c r="AK50" s="39">
        <f t="shared" si="9"/>
        <v>1.0</v>
      </c>
      <c r="AL50" s="39">
        <f t="shared" si="9"/>
        <v>0.0</v>
      </c>
      <c r="AM50" s="39">
        <f t="shared" si="9"/>
        <v>0.0</v>
      </c>
      <c r="AN50" s="39">
        <f t="shared" si="9"/>
        <v>0.0</v>
      </c>
      <c r="AO50" s="39">
        <f t="shared" si="9"/>
        <v>0.0</v>
      </c>
      <c r="AP50" s="39">
        <f t="shared" si="9"/>
        <v>0.0</v>
      </c>
      <c r="AQ50" s="39">
        <f t="shared" si="9"/>
        <v>0.0</v>
      </c>
      <c r="AR50" s="39">
        <f t="shared" si="9"/>
        <v>0.0</v>
      </c>
      <c r="AS50" s="39">
        <f t="shared" si="9"/>
        <v>0.0</v>
      </c>
      <c r="AT50" s="39">
        <f t="shared" si="9"/>
        <v>1.0</v>
      </c>
      <c r="AU50" s="39">
        <f t="shared" si="9"/>
        <v>0.0</v>
      </c>
      <c r="AV50" s="39">
        <f t="shared" si="9"/>
        <v>0.0</v>
      </c>
      <c r="AW50" s="39">
        <f t="shared" si="9"/>
        <v>0.0</v>
      </c>
      <c r="AX50" s="39">
        <f t="shared" si="9"/>
        <v>0.0</v>
      </c>
      <c r="AY50" s="39">
        <f t="shared" si="9"/>
        <v>0.0</v>
      </c>
      <c r="AZ50" s="39">
        <f t="shared" si="9"/>
        <v>0.0</v>
      </c>
      <c r="BA50" s="39">
        <f t="shared" si="9"/>
        <v>0.0</v>
      </c>
      <c r="BB50" s="39">
        <f t="shared" si="9"/>
        <v>0.0</v>
      </c>
      <c r="BC50" s="39">
        <f t="shared" si="9"/>
        <v>0.0</v>
      </c>
      <c r="BD50" s="39">
        <f t="shared" si="9"/>
        <v>0.0</v>
      </c>
      <c r="BE50" s="39">
        <f t="shared" si="9"/>
        <v>0.0</v>
      </c>
      <c r="BF50" s="39">
        <f t="shared" si="9"/>
        <v>0.0</v>
      </c>
      <c r="BG50" s="39">
        <f t="shared" si="9"/>
        <v>0.0</v>
      </c>
      <c r="BH50" s="39">
        <f t="shared" si="9"/>
        <v>0.0</v>
      </c>
      <c r="BI50" s="39">
        <f t="shared" si="9"/>
        <v>0.0</v>
      </c>
      <c r="BJ50" s="39">
        <f t="shared" si="9"/>
        <v>0.0</v>
      </c>
      <c r="BK50" s="39">
        <f t="shared" si="9"/>
        <v>0.0</v>
      </c>
      <c r="BL50" s="39">
        <f t="shared" si="9"/>
        <v>0.0</v>
      </c>
      <c r="BM50" s="39">
        <f t="shared" si="9"/>
        <v>0.0</v>
      </c>
    </row>
    <row r="51">
      <c r="A51" s="3" t="inlineStr">
        <is>
          <t>Demand + exports, non-fuel sectors</t>
        </is>
      </c>
      <c r="B51" s="226">
        <f t="shared" ref="B51:BM51" si="10">(B41+B42)*(1-B50)</f>
        <v>10630.74458983645</v>
      </c>
      <c r="C51" s="226">
        <f t="shared" si="10"/>
        <v>3061.731804434963</v>
      </c>
      <c r="D51" s="226">
        <f t="shared" si="10"/>
        <v>11467.192121497523</v>
      </c>
      <c r="E51" s="226">
        <f t="shared" si="10"/>
        <v>1939.318498020361</v>
      </c>
      <c r="F51" s="226">
        <f t="shared" si="10"/>
        <v>1300.7534551455901</v>
      </c>
      <c r="G51" s="226">
        <f t="shared" si="10"/>
        <v>7632.899622159737</v>
      </c>
      <c r="H51" s="226">
        <f t="shared" si="10"/>
        <v>23083.304426239643</v>
      </c>
      <c r="I51" s="226">
        <f t="shared" si="10"/>
        <v>2473.282700575753</v>
      </c>
      <c r="J51" s="226">
        <f t="shared" si="10"/>
        <v>29415.3557086404</v>
      </c>
      <c r="K51" s="226">
        <f t="shared" si="10"/>
        <v>0.0</v>
      </c>
      <c r="L51" s="226">
        <f t="shared" si="10"/>
        <v>1273.856570141003</v>
      </c>
      <c r="M51" s="226">
        <f t="shared" si="10"/>
        <v>14576.24755136988</v>
      </c>
      <c r="N51" s="226">
        <f t="shared" si="10"/>
        <v>11405.203730616287</v>
      </c>
      <c r="O51" s="226">
        <f t="shared" si="10"/>
        <v>1612.8730888114962</v>
      </c>
      <c r="P51" s="226">
        <f t="shared" si="10"/>
        <v>3883.2965700030486</v>
      </c>
      <c r="Q51" s="226">
        <f t="shared" si="10"/>
        <v>0.0</v>
      </c>
      <c r="R51" s="226">
        <f t="shared" si="10"/>
        <v>2578.5220005132305</v>
      </c>
      <c r="S51" s="226">
        <f t="shared" si="10"/>
        <v>11.731469171291847</v>
      </c>
      <c r="T51" s="226">
        <f t="shared" si="10"/>
        <v>3854.994799891884</v>
      </c>
      <c r="U51" s="226">
        <f t="shared" si="10"/>
        <v>2271.317051003666</v>
      </c>
      <c r="V51" s="226">
        <f t="shared" si="10"/>
        <v>21726.169053604248</v>
      </c>
      <c r="W51" s="226">
        <f t="shared" si="10"/>
        <v>1413.9452405666593</v>
      </c>
      <c r="X51" s="226">
        <f t="shared" si="10"/>
        <v>5045.603328143453</v>
      </c>
      <c r="Y51" s="226">
        <f t="shared" si="10"/>
        <v>375.3670523528881</v>
      </c>
      <c r="Z51" s="226">
        <f t="shared" si="10"/>
        <v>4819.577141284444</v>
      </c>
      <c r="AA51" s="226">
        <f t="shared" si="10"/>
        <v>6542.263914789681</v>
      </c>
      <c r="AB51" s="226">
        <f t="shared" si="10"/>
        <v>5664.581844258976</v>
      </c>
      <c r="AC51" s="226">
        <f t="shared" si="10"/>
        <v>2529.2237994308616</v>
      </c>
      <c r="AD51" s="226">
        <f t="shared" si="10"/>
        <v>0.0</v>
      </c>
      <c r="AE51" s="226">
        <f t="shared" si="10"/>
        <v>5801.28011454974</v>
      </c>
      <c r="AF51" s="226">
        <f t="shared" si="10"/>
        <v>1463.4941573297328</v>
      </c>
      <c r="AG51" s="226">
        <f t="shared" si="10"/>
        <v>2612.0705170038527</v>
      </c>
      <c r="AH51" s="226">
        <f t="shared" si="10"/>
        <v>298.3400495662251</v>
      </c>
      <c r="AI51" s="226">
        <f t="shared" si="10"/>
        <v>21854.773341060816</v>
      </c>
      <c r="AJ51" s="226">
        <f t="shared" si="10"/>
        <v>7671.5645845838935</v>
      </c>
      <c r="AK51" s="226">
        <f t="shared" si="10"/>
        <v>0.0</v>
      </c>
      <c r="AL51" s="226">
        <f t="shared" si="10"/>
        <v>405.6850674894489</v>
      </c>
      <c r="AM51" s="226">
        <f t="shared" si="10"/>
        <v>765.7353959741229</v>
      </c>
      <c r="AN51" s="226">
        <f t="shared" si="10"/>
        <v>1085.4046269983394</v>
      </c>
      <c r="AO51" s="226">
        <f t="shared" si="10"/>
        <v>1385.9651391439024</v>
      </c>
      <c r="AP51" s="226">
        <f t="shared" si="10"/>
        <v>17318.0751957662</v>
      </c>
      <c r="AQ51" s="226">
        <f t="shared" si="10"/>
        <v>1055.1454320847545</v>
      </c>
      <c r="AR51" s="226">
        <f t="shared" si="10"/>
        <v>20208.973205312177</v>
      </c>
      <c r="AS51" s="226">
        <f t="shared" si="10"/>
        <v>901.1965788972902</v>
      </c>
      <c r="AT51" s="226">
        <f t="shared" si="10"/>
        <v>0.0</v>
      </c>
      <c r="AU51" s="226">
        <f t="shared" si="10"/>
        <v>4442.890685384447</v>
      </c>
      <c r="AV51" s="226">
        <f t="shared" si="10"/>
        <v>1356.3098691055304</v>
      </c>
      <c r="AW51" s="226">
        <f t="shared" si="10"/>
        <v>1615.9381765104072</v>
      </c>
      <c r="AX51" s="226">
        <f t="shared" si="10"/>
        <v>2400.2037164016447</v>
      </c>
      <c r="AY51" s="226">
        <f t="shared" si="10"/>
        <v>1308.764492878238</v>
      </c>
      <c r="AZ51" s="226">
        <f t="shared" si="10"/>
        <v>13860.053461343357</v>
      </c>
      <c r="BA51" s="226">
        <f t="shared" si="10"/>
        <v>2193.472981908095</v>
      </c>
      <c r="BB51" s="226">
        <f t="shared" si="10"/>
        <v>2604.9938185954625</v>
      </c>
      <c r="BC51" s="226">
        <f t="shared" si="10"/>
        <v>1679.0424271145062</v>
      </c>
      <c r="BD51" s="226">
        <f t="shared" si="10"/>
        <v>10693.383300313551</v>
      </c>
      <c r="BE51" s="226">
        <f t="shared" si="10"/>
        <v>19511.538408981804</v>
      </c>
      <c r="BF51" s="226">
        <f t="shared" si="10"/>
        <v>14076.162419456421</v>
      </c>
      <c r="BG51" s="226">
        <f t="shared" si="10"/>
        <v>242.87461877764196</v>
      </c>
      <c r="BH51" s="226">
        <f t="shared" si="10"/>
        <v>23280.4800410389</v>
      </c>
      <c r="BI51" s="226">
        <f t="shared" si="10"/>
        <v>3342.124673584002</v>
      </c>
      <c r="BJ51" s="226">
        <f t="shared" si="10"/>
        <v>3453.353554084976</v>
      </c>
      <c r="BK51" s="226">
        <f t="shared" si="10"/>
        <v>67.2260984008187</v>
      </c>
      <c r="BL51" s="226">
        <f t="shared" si="10"/>
        <v>996.3140089996293</v>
      </c>
      <c r="BM51" s="226">
        <f t="shared" si="10"/>
        <v>1273.5532057121743</v>
      </c>
    </row>
    <row r="52">
      <c r="A52" s="3" t="inlineStr">
        <is>
          <t>Household demand x Leontief coa</t>
        </is>
      </c>
      <c r="B52" s="196">
        <f t="shared" ref="B52:BM52" si="11">B43*B44</f>
        <v>7.3344158941069</v>
      </c>
      <c r="C52" s="196">
        <f t="shared" si="11"/>
        <v>5.736713079330715</v>
      </c>
      <c r="D52" s="196">
        <f t="shared" si="11"/>
        <v>17.251629089074097</v>
      </c>
      <c r="E52" s="196">
        <f t="shared" si="11"/>
        <v>3.487812639278202</v>
      </c>
      <c r="F52" s="196">
        <f t="shared" si="11"/>
        <v>1.3206244184017535</v>
      </c>
      <c r="G52" s="196">
        <f t="shared" si="11"/>
        <v>18.97084716109316</v>
      </c>
      <c r="H52" s="196">
        <f t="shared" si="11"/>
        <v>14.632012697746877</v>
      </c>
      <c r="I52" s="196">
        <f t="shared" si="11"/>
        <v>0.7177833632926096</v>
      </c>
      <c r="J52" s="196">
        <f t="shared" si="11"/>
        <v>13.669629436097448</v>
      </c>
      <c r="K52" s="196">
        <f t="shared" si="11"/>
        <v>6.926600876064319e-06</v>
      </c>
      <c r="L52" s="196">
        <f t="shared" si="11"/>
        <v>1.098063155311548</v>
      </c>
      <c r="M52" s="196">
        <f t="shared" si="11"/>
        <v>4.78860010218908</v>
      </c>
      <c r="N52" s="196">
        <f t="shared" si="11"/>
        <v>4.820814039657161</v>
      </c>
      <c r="O52" s="196">
        <f t="shared" si="11"/>
        <v>0.15765026442501984</v>
      </c>
      <c r="P52" s="196">
        <f t="shared" si="11"/>
        <v>10.035086370034124</v>
      </c>
      <c r="Q52" s="196">
        <f t="shared" si="11"/>
        <v>21.629682974038175</v>
      </c>
      <c r="R52" s="196">
        <f t="shared" si="11"/>
        <v>4.5212925091009115</v>
      </c>
      <c r="S52" s="196">
        <f t="shared" si="11"/>
        <v>0.0034605319401048657</v>
      </c>
      <c r="T52" s="196">
        <f t="shared" si="11"/>
        <v>2.314543547320655</v>
      </c>
      <c r="U52" s="196">
        <f t="shared" si="11"/>
        <v>1.9241247853045365</v>
      </c>
      <c r="V52" s="196">
        <f t="shared" si="11"/>
        <v>11.678445823131135</v>
      </c>
      <c r="W52" s="196">
        <f t="shared" si="11"/>
        <v>3.9802864555837725</v>
      </c>
      <c r="X52" s="196">
        <f t="shared" si="11"/>
        <v>2.121564722198092</v>
      </c>
      <c r="Y52" s="196">
        <f t="shared" si="11"/>
        <v>0.3607461953155496</v>
      </c>
      <c r="Z52" s="196">
        <f t="shared" si="11"/>
        <v>14.89254335961364</v>
      </c>
      <c r="AA52" s="196">
        <f t="shared" si="11"/>
        <v>4.208510565792521</v>
      </c>
      <c r="AB52" s="196">
        <f t="shared" si="11"/>
        <v>21.93159805007987</v>
      </c>
      <c r="AC52" s="196">
        <f t="shared" si="11"/>
        <v>6.972187800498602</v>
      </c>
      <c r="AD52" s="196">
        <f t="shared" si="11"/>
        <v>0.27678172681890484</v>
      </c>
      <c r="AE52" s="196">
        <f t="shared" si="11"/>
        <v>8.911839954490123</v>
      </c>
      <c r="AF52" s="196">
        <f t="shared" si="11"/>
        <v>1.4022125980716373</v>
      </c>
      <c r="AG52" s="196">
        <f t="shared" si="11"/>
        <v>0.6647479161560458</v>
      </c>
      <c r="AH52" s="196">
        <f t="shared" si="11"/>
        <v>0.010981044535400586</v>
      </c>
      <c r="AI52" s="196">
        <f t="shared" si="11"/>
        <v>45.776704052354056</v>
      </c>
      <c r="AJ52" s="196">
        <f t="shared" si="11"/>
        <v>2.501705026491781</v>
      </c>
      <c r="AK52" s="196">
        <f t="shared" si="11"/>
        <v>0.009957088667357174</v>
      </c>
      <c r="AL52" s="196">
        <f t="shared" si="11"/>
        <v>0.4740382732888667</v>
      </c>
      <c r="AM52" s="196">
        <f t="shared" si="11"/>
        <v>2.3813942373912917</v>
      </c>
      <c r="AN52" s="196">
        <f t="shared" si="11"/>
        <v>0.2166309915425719</v>
      </c>
      <c r="AO52" s="196">
        <f t="shared" si="11"/>
        <v>0.8012356437947097</v>
      </c>
      <c r="AP52" s="196">
        <f t="shared" si="11"/>
        <v>3.7718388599122834</v>
      </c>
      <c r="AQ52" s="196">
        <f t="shared" si="11"/>
        <v>3.432239060966114</v>
      </c>
      <c r="AR52" s="196">
        <f t="shared" si="11"/>
        <v>33.910780229014776</v>
      </c>
      <c r="AS52" s="196">
        <f t="shared" si="11"/>
        <v>0.7067333120777765</v>
      </c>
      <c r="AT52" s="196">
        <f t="shared" si="11"/>
        <v>24.579306968119493</v>
      </c>
      <c r="AU52" s="196">
        <f t="shared" si="11"/>
        <v>5.034913208199979</v>
      </c>
      <c r="AV52" s="196">
        <f t="shared" si="11"/>
        <v>0.9788586249597271</v>
      </c>
      <c r="AW52" s="196">
        <f t="shared" si="11"/>
        <v>3.124211977996144</v>
      </c>
      <c r="AX52" s="196">
        <f t="shared" si="11"/>
        <v>4.473543510331623</v>
      </c>
      <c r="AY52" s="196">
        <f t="shared" si="11"/>
        <v>1.1227984584660498</v>
      </c>
      <c r="AZ52" s="196">
        <f t="shared" si="11"/>
        <v>14.421992460062846</v>
      </c>
      <c r="BA52" s="196">
        <f t="shared" si="11"/>
        <v>6.039701892639997</v>
      </c>
      <c r="BB52" s="196">
        <f t="shared" si="11"/>
        <v>0.748035071239459</v>
      </c>
      <c r="BC52" s="196">
        <f t="shared" si="11"/>
        <v>2.5068618347883476</v>
      </c>
      <c r="BD52" s="196">
        <f t="shared" si="11"/>
        <v>14.84853208548958</v>
      </c>
      <c r="BE52" s="196">
        <f t="shared" si="11"/>
        <v>10.909423181099324</v>
      </c>
      <c r="BF52" s="196">
        <f t="shared" si="11"/>
        <v>7.376482521764363</v>
      </c>
      <c r="BG52" s="196">
        <f t="shared" si="11"/>
        <v>0.029816813987832074</v>
      </c>
      <c r="BH52" s="196">
        <f t="shared" si="11"/>
        <v>38.92511846808473</v>
      </c>
      <c r="BI52" s="196">
        <f t="shared" si="11"/>
        <v>5.398767520012759</v>
      </c>
      <c r="BJ52" s="196">
        <f t="shared" si="11"/>
        <v>3.900569843931509</v>
      </c>
      <c r="BK52" s="196">
        <f t="shared" si="11"/>
        <v>0.03515966914709954</v>
      </c>
      <c r="BL52" s="196">
        <f t="shared" si="11"/>
        <v>2.546265339212263</v>
      </c>
      <c r="BM52" s="196">
        <f t="shared" si="11"/>
        <v>3.6920709976621238</v>
      </c>
    </row>
    <row r="53">
      <c r="A53" s="3" t="inlineStr">
        <is>
          <t>Household demand x Leontief ely</t>
        </is>
      </c>
      <c r="B53" s="196">
        <f t="shared" ref="B53:BM53" si="12">B43*B45</f>
        <v>53.39160180615412</v>
      </c>
      <c r="C53" s="196">
        <f t="shared" si="12"/>
        <v>3.43044009144458</v>
      </c>
      <c r="D53" s="196">
        <f t="shared" si="12"/>
        <v>19.62628611559961</v>
      </c>
      <c r="E53" s="196">
        <f t="shared" si="12"/>
        <v>5.16555778774597</v>
      </c>
      <c r="F53" s="196">
        <f t="shared" si="12"/>
        <v>2.6017609626278464</v>
      </c>
      <c r="G53" s="196">
        <f t="shared" si="12"/>
        <v>38.309615376983</v>
      </c>
      <c r="H53" s="196">
        <f t="shared" si="12"/>
        <v>28.543242848330483</v>
      </c>
      <c r="I53" s="196">
        <f t="shared" si="12"/>
        <v>3.6428561552479577</v>
      </c>
      <c r="J53" s="196">
        <f t="shared" si="12"/>
        <v>12.409751003146708</v>
      </c>
      <c r="K53" s="196">
        <f t="shared" si="12"/>
        <v>3.633789184295029e-08</v>
      </c>
      <c r="L53" s="196">
        <f t="shared" si="12"/>
        <v>2.3314188478579823</v>
      </c>
      <c r="M53" s="196">
        <f t="shared" si="12"/>
        <v>5.808015458245288</v>
      </c>
      <c r="N53" s="196">
        <f t="shared" si="12"/>
        <v>26.872038837800073</v>
      </c>
      <c r="O53" s="196">
        <f t="shared" si="12"/>
        <v>0.20471742992993794</v>
      </c>
      <c r="P53" s="196">
        <f t="shared" si="12"/>
        <v>29.151889252488694</v>
      </c>
      <c r="Q53" s="196">
        <f t="shared" si="12"/>
        <v>4416.837460644752</v>
      </c>
      <c r="R53" s="196">
        <f t="shared" si="12"/>
        <v>4.302407961440413</v>
      </c>
      <c r="S53" s="196">
        <f t="shared" si="12"/>
        <v>0.0059017904674324335</v>
      </c>
      <c r="T53" s="196">
        <f t="shared" si="12"/>
        <v>20.38822160274159</v>
      </c>
      <c r="U53" s="196">
        <f t="shared" si="12"/>
        <v>4.239338421686713</v>
      </c>
      <c r="V53" s="196">
        <f t="shared" si="12"/>
        <v>27.384642735009642</v>
      </c>
      <c r="W53" s="196">
        <f t="shared" si="12"/>
        <v>9.53064627257275</v>
      </c>
      <c r="X53" s="196">
        <f t="shared" si="12"/>
        <v>6.613387524613953</v>
      </c>
      <c r="Y53" s="196">
        <f t="shared" si="12"/>
        <v>0.3950596570734002</v>
      </c>
      <c r="Z53" s="196">
        <f t="shared" si="12"/>
        <v>18.026516694272747</v>
      </c>
      <c r="AA53" s="196">
        <f t="shared" si="12"/>
        <v>10.028856650771969</v>
      </c>
      <c r="AB53" s="196">
        <f t="shared" si="12"/>
        <v>25.191675261619025</v>
      </c>
      <c r="AC53" s="196">
        <f t="shared" si="12"/>
        <v>8.853974176444657</v>
      </c>
      <c r="AD53" s="196">
        <f t="shared" si="12"/>
        <v>0.0664147417856031</v>
      </c>
      <c r="AE53" s="196">
        <f t="shared" si="12"/>
        <v>19.506382049230027</v>
      </c>
      <c r="AF53" s="196">
        <f t="shared" si="12"/>
        <v>2.7224314138757215</v>
      </c>
      <c r="AG53" s="196">
        <f t="shared" si="12"/>
        <v>1.2915692038223443</v>
      </c>
      <c r="AH53" s="196">
        <f t="shared" si="12"/>
        <v>0.024598326588209783</v>
      </c>
      <c r="AI53" s="196">
        <f t="shared" si="12"/>
        <v>63.558249392850314</v>
      </c>
      <c r="AJ53" s="196">
        <f t="shared" si="12"/>
        <v>10.655308153031548</v>
      </c>
      <c r="AK53" s="196">
        <f t="shared" si="12"/>
        <v>0.011450301343220667</v>
      </c>
      <c r="AL53" s="196">
        <f t="shared" si="12"/>
        <v>0.5375442386681945</v>
      </c>
      <c r="AM53" s="196">
        <f t="shared" si="12"/>
        <v>4.5286894883241375</v>
      </c>
      <c r="AN53" s="196">
        <f t="shared" si="12"/>
        <v>0.8785114254367402</v>
      </c>
      <c r="AO53" s="196">
        <f t="shared" si="12"/>
        <v>1.7011820372775988</v>
      </c>
      <c r="AP53" s="196">
        <f t="shared" si="12"/>
        <v>8.370132030348165</v>
      </c>
      <c r="AQ53" s="196">
        <f t="shared" si="12"/>
        <v>4.342586487693154</v>
      </c>
      <c r="AR53" s="196">
        <f t="shared" si="12"/>
        <v>28.310114126803583</v>
      </c>
      <c r="AS53" s="196">
        <f t="shared" si="12"/>
        <v>3.2704041612661774</v>
      </c>
      <c r="AT53" s="196">
        <f t="shared" si="12"/>
        <v>3.608742067011536</v>
      </c>
      <c r="AU53" s="196">
        <f t="shared" si="12"/>
        <v>8.817357805551044</v>
      </c>
      <c r="AV53" s="196">
        <f t="shared" si="12"/>
        <v>1.839340365541936</v>
      </c>
      <c r="AW53" s="196">
        <f t="shared" si="12"/>
        <v>6.157303513370512</v>
      </c>
      <c r="AX53" s="196">
        <f t="shared" si="12"/>
        <v>12.822725777101958</v>
      </c>
      <c r="AY53" s="196">
        <f t="shared" si="12"/>
        <v>2.391151475647828</v>
      </c>
      <c r="AZ53" s="196">
        <f t="shared" si="12"/>
        <v>64.348465558209</v>
      </c>
      <c r="BA53" s="196">
        <f t="shared" si="12"/>
        <v>7.903624520997919</v>
      </c>
      <c r="BB53" s="196">
        <f t="shared" si="12"/>
        <v>9.502004258756262</v>
      </c>
      <c r="BC53" s="196">
        <f t="shared" si="12"/>
        <v>3.7199298615262033</v>
      </c>
      <c r="BD53" s="196">
        <f t="shared" si="12"/>
        <v>28.053761628742958</v>
      </c>
      <c r="BE53" s="196">
        <f t="shared" si="12"/>
        <v>62.47772882817106</v>
      </c>
      <c r="BF53" s="196">
        <f t="shared" si="12"/>
        <v>15.043380704241418</v>
      </c>
      <c r="BG53" s="196">
        <f t="shared" si="12"/>
        <v>0.06576043869503137</v>
      </c>
      <c r="BH53" s="196">
        <f t="shared" si="12"/>
        <v>55.62580424088265</v>
      </c>
      <c r="BI53" s="196">
        <f t="shared" si="12"/>
        <v>9.368889363350943</v>
      </c>
      <c r="BJ53" s="196">
        <f t="shared" si="12"/>
        <v>8.450141524052489</v>
      </c>
      <c r="BK53" s="196">
        <f t="shared" si="12"/>
        <v>0.04442092746725825</v>
      </c>
      <c r="BL53" s="196">
        <f t="shared" si="12"/>
        <v>1.7746641375894068</v>
      </c>
      <c r="BM53" s="196">
        <f t="shared" si="12"/>
        <v>12.596656818881241</v>
      </c>
    </row>
    <row r="54">
      <c r="A54" s="3" t="inlineStr">
        <is>
          <t>Household demand x Leontief nga</t>
        </is>
      </c>
      <c r="B54" s="196">
        <f t="shared" ref="B54:BM54" si="13">B43*B46</f>
        <v>28.984389274223826</v>
      </c>
      <c r="C54" s="196">
        <f t="shared" si="13"/>
        <v>13.81258110914473</v>
      </c>
      <c r="D54" s="196">
        <f t="shared" si="13"/>
        <v>25.21647364769348</v>
      </c>
      <c r="E54" s="196">
        <f t="shared" si="13"/>
        <v>30.22906810781231</v>
      </c>
      <c r="F54" s="196">
        <f t="shared" si="13"/>
        <v>4.367175548829668</v>
      </c>
      <c r="G54" s="196">
        <f t="shared" si="13"/>
        <v>129.36956930038542</v>
      </c>
      <c r="H54" s="196">
        <f t="shared" si="13"/>
        <v>25.830499566418315</v>
      </c>
      <c r="I54" s="196">
        <f t="shared" si="13"/>
        <v>3.0699987112954847</v>
      </c>
      <c r="J54" s="196">
        <f t="shared" si="13"/>
        <v>17.68122499517979</v>
      </c>
      <c r="K54" s="196">
        <f t="shared" si="13"/>
        <v>3.8914997072031434e-08</v>
      </c>
      <c r="L54" s="196">
        <f t="shared" si="13"/>
        <v>3.495482828942099</v>
      </c>
      <c r="M54" s="196">
        <f t="shared" si="13"/>
        <v>8.124904432429414</v>
      </c>
      <c r="N54" s="196">
        <f t="shared" si="13"/>
        <v>17.06162758733377</v>
      </c>
      <c r="O54" s="196">
        <f t="shared" si="13"/>
        <v>0.20407733767972316</v>
      </c>
      <c r="P54" s="196">
        <f t="shared" si="13"/>
        <v>20.596630576700854</v>
      </c>
      <c r="Q54" s="196">
        <f t="shared" si="13"/>
        <v>1484.8482161405661</v>
      </c>
      <c r="R54" s="196">
        <f t="shared" si="13"/>
        <v>7.243216159065301</v>
      </c>
      <c r="S54" s="196">
        <f t="shared" si="13"/>
        <v>0.005805503935069506</v>
      </c>
      <c r="T54" s="196">
        <f t="shared" si="13"/>
        <v>11.848306045896027</v>
      </c>
      <c r="U54" s="196">
        <f t="shared" si="13"/>
        <v>7.056468171446591</v>
      </c>
      <c r="V54" s="196">
        <f t="shared" si="13"/>
        <v>30.577816197528207</v>
      </c>
      <c r="W54" s="196">
        <f t="shared" si="13"/>
        <v>10.07629016982398</v>
      </c>
      <c r="X54" s="196">
        <f t="shared" si="13"/>
        <v>5.049022211455167</v>
      </c>
      <c r="Y54" s="196">
        <f t="shared" si="13"/>
        <v>0.5923522241912575</v>
      </c>
      <c r="Z54" s="196">
        <f t="shared" si="13"/>
        <v>24.31961476136966</v>
      </c>
      <c r="AA54" s="196">
        <f t="shared" si="13"/>
        <v>12.796827131275618</v>
      </c>
      <c r="AB54" s="196">
        <f t="shared" si="13"/>
        <v>28.8618774237553</v>
      </c>
      <c r="AC54" s="196">
        <f t="shared" si="13"/>
        <v>9.28365979234295</v>
      </c>
      <c r="AD54" s="196">
        <f t="shared" si="13"/>
        <v>158.84618199145112</v>
      </c>
      <c r="AE54" s="196">
        <f t="shared" si="13"/>
        <v>30.158438526818575</v>
      </c>
      <c r="AF54" s="196">
        <f t="shared" si="13"/>
        <v>4.343432533347717</v>
      </c>
      <c r="AG54" s="196">
        <f t="shared" si="13"/>
        <v>1.1704458819772654</v>
      </c>
      <c r="AH54" s="196">
        <f t="shared" si="13"/>
        <v>0.03705835632908965</v>
      </c>
      <c r="AI54" s="196">
        <f t="shared" si="13"/>
        <v>104.42418920902446</v>
      </c>
      <c r="AJ54" s="196">
        <f t="shared" si="13"/>
        <v>6.95831967246144</v>
      </c>
      <c r="AK54" s="196">
        <f t="shared" si="13"/>
        <v>0.15354333643982024</v>
      </c>
      <c r="AL54" s="196">
        <f t="shared" si="13"/>
        <v>0.5257562862738895</v>
      </c>
      <c r="AM54" s="196">
        <f t="shared" si="13"/>
        <v>5.634897360211679</v>
      </c>
      <c r="AN54" s="196">
        <f t="shared" si="13"/>
        <v>0.8176150686943245</v>
      </c>
      <c r="AO54" s="196">
        <f t="shared" si="13"/>
        <v>2.899222387593084</v>
      </c>
      <c r="AP54" s="196">
        <f t="shared" si="13"/>
        <v>6.670878502280807</v>
      </c>
      <c r="AQ54" s="196">
        <f t="shared" si="13"/>
        <v>4.398842964691772</v>
      </c>
      <c r="AR54" s="196">
        <f t="shared" si="13"/>
        <v>84.81914462913859</v>
      </c>
      <c r="AS54" s="196">
        <f t="shared" si="13"/>
        <v>2.9985667581987685</v>
      </c>
      <c r="AT54" s="196">
        <f t="shared" si="13"/>
        <v>61.94165449290395</v>
      </c>
      <c r="AU54" s="196">
        <f t="shared" si="13"/>
        <v>14.544272740045118</v>
      </c>
      <c r="AV54" s="196">
        <f t="shared" si="13"/>
        <v>3.3935936368741597</v>
      </c>
      <c r="AW54" s="196">
        <f t="shared" si="13"/>
        <v>10.674409189111342</v>
      </c>
      <c r="AX54" s="196">
        <f t="shared" si="13"/>
        <v>16.057832968257383</v>
      </c>
      <c r="AY54" s="196">
        <f t="shared" si="13"/>
        <v>3.7673792842494698</v>
      </c>
      <c r="AZ54" s="196">
        <f t="shared" si="13"/>
        <v>50.86038315741714</v>
      </c>
      <c r="BA54" s="196">
        <f t="shared" si="13"/>
        <v>30.316089719105086</v>
      </c>
      <c r="BB54" s="196">
        <f t="shared" si="13"/>
        <v>4.288771492004614</v>
      </c>
      <c r="BC54" s="196">
        <f t="shared" si="13"/>
        <v>6.49724750795244</v>
      </c>
      <c r="BD54" s="196">
        <f t="shared" si="13"/>
        <v>33.18366431915222</v>
      </c>
      <c r="BE54" s="196">
        <f t="shared" si="13"/>
        <v>33.86402193134766</v>
      </c>
      <c r="BF54" s="196">
        <f t="shared" si="13"/>
        <v>25.70002896896601</v>
      </c>
      <c r="BG54" s="196">
        <f t="shared" si="13"/>
        <v>0.11141393376168418</v>
      </c>
      <c r="BH54" s="196">
        <f t="shared" si="13"/>
        <v>79.20316512275322</v>
      </c>
      <c r="BI54" s="196">
        <f t="shared" si="13"/>
        <v>9.148784132331663</v>
      </c>
      <c r="BJ54" s="196">
        <f t="shared" si="13"/>
        <v>13.033809474001515</v>
      </c>
      <c r="BK54" s="196">
        <f t="shared" si="13"/>
        <v>0.0537110737339785</v>
      </c>
      <c r="BL54" s="196">
        <f t="shared" si="13"/>
        <v>6.398032512893891</v>
      </c>
      <c r="BM54" s="196">
        <f t="shared" si="13"/>
        <v>8.335684052617419</v>
      </c>
    </row>
    <row r="55">
      <c r="A55" s="3" t="inlineStr">
        <is>
          <t>Household demand x Leontief oil</t>
        </is>
      </c>
      <c r="B55" s="196">
        <f t="shared" ref="B55:BM55" si="14">B43*B47</f>
        <v>110.24744450044398</v>
      </c>
      <c r="C55" s="196">
        <f t="shared" si="14"/>
        <v>308.16992212157027</v>
      </c>
      <c r="D55" s="196">
        <f t="shared" si="14"/>
        <v>128.33081730715395</v>
      </c>
      <c r="E55" s="196">
        <f t="shared" si="14"/>
        <v>38.9146775319207</v>
      </c>
      <c r="F55" s="196">
        <f t="shared" si="14"/>
        <v>45.05134409322201</v>
      </c>
      <c r="G55" s="196">
        <f t="shared" si="14"/>
        <v>493.88022197705607</v>
      </c>
      <c r="H55" s="196">
        <f t="shared" si="14"/>
        <v>148.02638696830397</v>
      </c>
      <c r="I55" s="196">
        <f t="shared" si="14"/>
        <v>15.536613307272006</v>
      </c>
      <c r="J55" s="196">
        <f t="shared" si="14"/>
        <v>91.26961145898291</v>
      </c>
      <c r="K55" s="196">
        <f t="shared" si="14"/>
        <v>2.5241154870958457e-07</v>
      </c>
      <c r="L55" s="196">
        <f t="shared" si="14"/>
        <v>35.30123417060717</v>
      </c>
      <c r="M55" s="196">
        <f t="shared" si="14"/>
        <v>34.55343475127348</v>
      </c>
      <c r="N55" s="196">
        <f t="shared" si="14"/>
        <v>73.40941653367506</v>
      </c>
      <c r="O55" s="196">
        <f t="shared" si="14"/>
        <v>0.9115286128621136</v>
      </c>
      <c r="P55" s="196">
        <f t="shared" si="14"/>
        <v>78.75478755967595</v>
      </c>
      <c r="Q55" s="196">
        <f t="shared" si="14"/>
        <v>2107.419497459139</v>
      </c>
      <c r="R55" s="196">
        <f t="shared" si="14"/>
        <v>32.21955307735028</v>
      </c>
      <c r="S55" s="196">
        <f t="shared" si="14"/>
        <v>0.07678939577017804</v>
      </c>
      <c r="T55" s="196">
        <f t="shared" si="14"/>
        <v>79.8155011294229</v>
      </c>
      <c r="U55" s="196">
        <f t="shared" si="14"/>
        <v>69.37010842374968</v>
      </c>
      <c r="V55" s="196">
        <f t="shared" si="14"/>
        <v>128.52882945905793</v>
      </c>
      <c r="W55" s="196">
        <f t="shared" si="14"/>
        <v>38.16453584323284</v>
      </c>
      <c r="X55" s="196">
        <f t="shared" si="14"/>
        <v>43.429229199061815</v>
      </c>
      <c r="Y55" s="196">
        <f t="shared" si="14"/>
        <v>3.2229376734687594</v>
      </c>
      <c r="Z55" s="196">
        <f t="shared" si="14"/>
        <v>148.2058603033105</v>
      </c>
      <c r="AA55" s="196">
        <f t="shared" si="14"/>
        <v>68.47510345471976</v>
      </c>
      <c r="AB55" s="196">
        <f t="shared" si="14"/>
        <v>129.27806259612208</v>
      </c>
      <c r="AC55" s="196">
        <f t="shared" si="14"/>
        <v>40.44657637737662</v>
      </c>
      <c r="AD55" s="196">
        <f t="shared" si="14"/>
        <v>5.668478650100949</v>
      </c>
      <c r="AE55" s="196">
        <f t="shared" si="14"/>
        <v>170.50513150778443</v>
      </c>
      <c r="AF55" s="196">
        <f t="shared" si="14"/>
        <v>40.944802362649654</v>
      </c>
      <c r="AG55" s="196">
        <f t="shared" si="14"/>
        <v>8.611620620544782</v>
      </c>
      <c r="AH55" s="196">
        <f t="shared" si="14"/>
        <v>0.3417339764438265</v>
      </c>
      <c r="AI55" s="196">
        <f t="shared" si="14"/>
        <v>709.2507570833079</v>
      </c>
      <c r="AJ55" s="196">
        <f t="shared" si="14"/>
        <v>46.205536200504824</v>
      </c>
      <c r="AK55" s="196">
        <f t="shared" si="14"/>
        <v>23.652183045955613</v>
      </c>
      <c r="AL55" s="196">
        <f t="shared" si="14"/>
        <v>2.1441996327305826</v>
      </c>
      <c r="AM55" s="196">
        <f t="shared" si="14"/>
        <v>20.938863639608492</v>
      </c>
      <c r="AN55" s="196">
        <f t="shared" si="14"/>
        <v>4.549646880558478</v>
      </c>
      <c r="AO55" s="196">
        <f t="shared" si="14"/>
        <v>28.494420207997628</v>
      </c>
      <c r="AP55" s="196">
        <f t="shared" si="14"/>
        <v>36.055248801730464</v>
      </c>
      <c r="AQ55" s="196">
        <f t="shared" si="14"/>
        <v>17.34944035715567</v>
      </c>
      <c r="AR55" s="196">
        <f t="shared" si="14"/>
        <v>1986.0250160641997</v>
      </c>
      <c r="AS55" s="196">
        <f t="shared" si="14"/>
        <v>33.787785627219044</v>
      </c>
      <c r="AT55" s="196">
        <f t="shared" si="14"/>
        <v>5019.413367644386</v>
      </c>
      <c r="AU55" s="196">
        <f t="shared" si="14"/>
        <v>120.83858580726476</v>
      </c>
      <c r="AV55" s="196">
        <f t="shared" si="14"/>
        <v>32.33458933181448</v>
      </c>
      <c r="AW55" s="196">
        <f t="shared" si="14"/>
        <v>105.77119713971635</v>
      </c>
      <c r="AX55" s="196">
        <f t="shared" si="14"/>
        <v>68.03085597536312</v>
      </c>
      <c r="AY55" s="196">
        <f t="shared" si="14"/>
        <v>34.88920988228498</v>
      </c>
      <c r="AZ55" s="196">
        <f t="shared" si="14"/>
        <v>203.89017178491824</v>
      </c>
      <c r="BA55" s="196">
        <f t="shared" si="14"/>
        <v>43.71586004432024</v>
      </c>
      <c r="BB55" s="196">
        <f t="shared" si="14"/>
        <v>16.06848467275608</v>
      </c>
      <c r="BC55" s="196">
        <f t="shared" si="14"/>
        <v>51.49402272383104</v>
      </c>
      <c r="BD55" s="196">
        <f t="shared" si="14"/>
        <v>223.63513496972337</v>
      </c>
      <c r="BE55" s="196">
        <f t="shared" si="14"/>
        <v>241.07129696351296</v>
      </c>
      <c r="BF55" s="196">
        <f t="shared" si="14"/>
        <v>243.58187015006175</v>
      </c>
      <c r="BG55" s="196">
        <f t="shared" si="14"/>
        <v>1.0639934482638647</v>
      </c>
      <c r="BH55" s="196">
        <f t="shared" si="14"/>
        <v>390.1369189092521</v>
      </c>
      <c r="BI55" s="196">
        <f t="shared" si="14"/>
        <v>39.864979648231</v>
      </c>
      <c r="BJ55" s="196">
        <f t="shared" si="14"/>
        <v>134.71622228528992</v>
      </c>
      <c r="BK55" s="196">
        <f t="shared" si="14"/>
        <v>0.632106578254353</v>
      </c>
      <c r="BL55" s="196">
        <f t="shared" si="14"/>
        <v>114.35756668994148</v>
      </c>
      <c r="BM55" s="196">
        <f t="shared" si="14"/>
        <v>38.47940657272149</v>
      </c>
    </row>
    <row r="56">
      <c r="A56" s="3" t="inlineStr">
        <is>
          <t>Household demand x Leontief p_c</t>
        </is>
      </c>
      <c r="B56" s="196">
        <f t="shared" ref="B56:BM56" si="15">B43*B48</f>
        <v>155.58958586775756</v>
      </c>
      <c r="C56" s="196">
        <f t="shared" si="15"/>
        <v>429.49320214389985</v>
      </c>
      <c r="D56" s="196">
        <f t="shared" si="15"/>
        <v>189.0904120761626</v>
      </c>
      <c r="E56" s="196">
        <f t="shared" si="15"/>
        <v>57.12340451727701</v>
      </c>
      <c r="F56" s="196">
        <f t="shared" si="15"/>
        <v>60.36277268375736</v>
      </c>
      <c r="G56" s="196">
        <f t="shared" si="15"/>
        <v>700.548289920976</v>
      </c>
      <c r="H56" s="196">
        <f t="shared" si="15"/>
        <v>217.94154159716888</v>
      </c>
      <c r="I56" s="196">
        <f t="shared" si="15"/>
        <v>21.26379878755066</v>
      </c>
      <c r="J56" s="196">
        <f t="shared" si="15"/>
        <v>145.42559479271392</v>
      </c>
      <c r="K56" s="196">
        <f t="shared" si="15"/>
        <v>3.6824019163e-07</v>
      </c>
      <c r="L56" s="196">
        <f t="shared" si="15"/>
        <v>46.94535593194869</v>
      </c>
      <c r="M56" s="196">
        <f t="shared" si="15"/>
        <v>52.62635888569216</v>
      </c>
      <c r="N56" s="196">
        <f t="shared" si="15"/>
        <v>104.65650835656886</v>
      </c>
      <c r="O56" s="196">
        <f t="shared" si="15"/>
        <v>1.4469083187404403</v>
      </c>
      <c r="P56" s="196">
        <f t="shared" si="15"/>
        <v>118.03805482708073</v>
      </c>
      <c r="Q56" s="196">
        <f t="shared" si="15"/>
        <v>2559.5340349479643</v>
      </c>
      <c r="R56" s="196">
        <f t="shared" si="15"/>
        <v>51.07150764886565</v>
      </c>
      <c r="S56" s="196">
        <f t="shared" si="15"/>
        <v>0.11113848434763107</v>
      </c>
      <c r="T56" s="196">
        <f t="shared" si="15"/>
        <v>104.63436566451816</v>
      </c>
      <c r="U56" s="196">
        <f t="shared" si="15"/>
        <v>97.07572905222216</v>
      </c>
      <c r="V56" s="196">
        <f t="shared" si="15"/>
        <v>185.31119542794244</v>
      </c>
      <c r="W56" s="196">
        <f t="shared" si="15"/>
        <v>58.645145187598615</v>
      </c>
      <c r="X56" s="196">
        <f t="shared" si="15"/>
        <v>62.80145703588677</v>
      </c>
      <c r="Y56" s="196">
        <f t="shared" si="15"/>
        <v>5.092907251254333</v>
      </c>
      <c r="Z56" s="196">
        <f t="shared" si="15"/>
        <v>223.79625592285535</v>
      </c>
      <c r="AA56" s="196">
        <f t="shared" si="15"/>
        <v>101.9490570664155</v>
      </c>
      <c r="AB56" s="196">
        <f t="shared" si="15"/>
        <v>203.64302112825365</v>
      </c>
      <c r="AC56" s="196">
        <f t="shared" si="15"/>
        <v>67.98025491073763</v>
      </c>
      <c r="AD56" s="196">
        <f t="shared" si="15"/>
        <v>6.893908523848415</v>
      </c>
      <c r="AE56" s="196">
        <f t="shared" si="15"/>
        <v>242.06272311619716</v>
      </c>
      <c r="AF56" s="196">
        <f t="shared" si="15"/>
        <v>57.18447418720777</v>
      </c>
      <c r="AG56" s="196">
        <f t="shared" si="15"/>
        <v>13.009109290651192</v>
      </c>
      <c r="AH56" s="196">
        <f t="shared" si="15"/>
        <v>0.4998124041117694</v>
      </c>
      <c r="AI56" s="196">
        <f t="shared" si="15"/>
        <v>1026.5387621918437</v>
      </c>
      <c r="AJ56" s="196">
        <f t="shared" si="15"/>
        <v>68.49314815773042</v>
      </c>
      <c r="AK56" s="196">
        <f t="shared" si="15"/>
        <v>0.28743811891104637</v>
      </c>
      <c r="AL56" s="196">
        <f t="shared" si="15"/>
        <v>3.752887338264981</v>
      </c>
      <c r="AM56" s="196">
        <f t="shared" si="15"/>
        <v>33.13622975511395</v>
      </c>
      <c r="AN56" s="196">
        <f t="shared" si="15"/>
        <v>6.211128723799759</v>
      </c>
      <c r="AO56" s="196">
        <f t="shared" si="15"/>
        <v>39.14262402301842</v>
      </c>
      <c r="AP56" s="196">
        <f t="shared" si="15"/>
        <v>55.350331702945724</v>
      </c>
      <c r="AQ56" s="196">
        <f t="shared" si="15"/>
        <v>27.86406062377777</v>
      </c>
      <c r="AR56" s="196">
        <f t="shared" si="15"/>
        <v>2578.357591268449</v>
      </c>
      <c r="AS56" s="196">
        <f t="shared" si="15"/>
        <v>44.1677612931408</v>
      </c>
      <c r="AT56" s="196">
        <f t="shared" si="15"/>
        <v>5778.134428864093</v>
      </c>
      <c r="AU56" s="196">
        <f t="shared" si="15"/>
        <v>172.19050549606715</v>
      </c>
      <c r="AV56" s="196">
        <f t="shared" si="15"/>
        <v>46.28257566558175</v>
      </c>
      <c r="AW56" s="196">
        <f t="shared" si="15"/>
        <v>148.41209140968752</v>
      </c>
      <c r="AX56" s="196">
        <f t="shared" si="15"/>
        <v>100.6992242428541</v>
      </c>
      <c r="AY56" s="196">
        <f t="shared" si="15"/>
        <v>50.36279020649934</v>
      </c>
      <c r="AZ56" s="196">
        <f t="shared" si="15"/>
        <v>300.9456184663147</v>
      </c>
      <c r="BA56" s="196">
        <f t="shared" si="15"/>
        <v>67.61087101801795</v>
      </c>
      <c r="BB56" s="196">
        <f t="shared" si="15"/>
        <v>23.04633707261096</v>
      </c>
      <c r="BC56" s="196">
        <f t="shared" si="15"/>
        <v>73.92824920835515</v>
      </c>
      <c r="BD56" s="196">
        <f t="shared" si="15"/>
        <v>312.651050671436</v>
      </c>
      <c r="BE56" s="196">
        <f t="shared" si="15"/>
        <v>353.56661219912246</v>
      </c>
      <c r="BF56" s="196">
        <f t="shared" si="15"/>
        <v>349.3160134468798</v>
      </c>
      <c r="BG56" s="196">
        <f t="shared" si="15"/>
        <v>1.452156506138676</v>
      </c>
      <c r="BH56" s="196">
        <f t="shared" si="15"/>
        <v>583.2306451311885</v>
      </c>
      <c r="BI56" s="196">
        <f t="shared" si="15"/>
        <v>60.197538241609394</v>
      </c>
      <c r="BJ56" s="196">
        <f t="shared" si="15"/>
        <v>185.38634388334853</v>
      </c>
      <c r="BK56" s="196">
        <f t="shared" si="15"/>
        <v>0.8798404118529963</v>
      </c>
      <c r="BL56" s="196">
        <f t="shared" si="15"/>
        <v>169.20224595997263</v>
      </c>
      <c r="BM56" s="196">
        <f t="shared" si="15"/>
        <v>54.71123253618188</v>
      </c>
    </row>
    <row r="57"/>
    <row r="58">
      <c r="A58" s="6" t="inlineStr">
        <is>
          <t>Deflator ratio (ResultsYear / GTAP year)</t>
        </is>
      </c>
      <c r="B58" s="39">
        <f>INDEX(DIOVal,MATCH(LOWER(CtryCode)&amp;".hhd",DIOKey,0),MATCH("year",DIOSec,0))</f>
        <v>2014.0</v>
      </c>
      <c r="C58" s="196">
        <f>INDEX(DDeflVal,MATCH(CtryCode&amp;".NGDP_D.A",DDeflKey,0),MATCH('Constants and Mappings'!$C$8,DDeflYear,0))</f>
        <v>234.718325</v>
      </c>
      <c r="D58" s="196">
        <f>INDEX(DDeflVal,MATCH(CtryCode&amp;".NGDP_D.A",DDeflKey,0),MATCH($B58,DDeflYear,0))</f>
        <v>41.125541</v>
      </c>
      <c r="E58" s="197">
        <f>$C58/$D58</f>
        <v>5.707361393738261</v>
      </c>
      <c r="F58" s="3" t="inlineStr">
        <is>
          <t>B: GTAP year; C, D: GDP deflator of ResultsYear and of the GTAP year; E: ratio</t>
        </is>
      </c>
    </row>
    <row r="59"/>
    <row r="60">
      <c r="A60" s="6" t="inlineStr">
        <is>
          <t>Total use of each fuel group (USD m, ref-year prices: embedded + own demand x deflator ratio; legacy rows 588-600)</t>
        </is>
      </c>
    </row>
    <row r="61">
      <c r="A61" s="3" t="inlineStr">
        <is>
          <t>coa</t>
        </is>
      </c>
      <c r="B61" s="195">
        <f>$E$58*(SUMPRODUCT($B$51:$BM$51,$B$44:$BM$44)+INDEX($B$41:$BM$41,MATCH($A61,$B$39:$BM$39,0)))</f>
        <v>4536.891030792704</v>
      </c>
    </row>
    <row r="62">
      <c r="A62" s="3" t="inlineStr">
        <is>
          <t>ely</t>
        </is>
      </c>
      <c r="B62" s="195">
        <f>$E$58*(SUMPRODUCT($B$51:$BM$51,$B$45:$BM$45)+INDEX($B$41:$BM$41,MATCH($A62,$B$39:$BM$39,0)))</f>
        <v>33447.72780890642</v>
      </c>
    </row>
    <row r="63">
      <c r="A63" s="3" t="inlineStr">
        <is>
          <t>nga</t>
        </is>
      </c>
      <c r="B63" s="195">
        <f>$E$58*(SUMPRODUCT($B$51:$BM$51,$B$46:$BM$46)+INDEX($B$41:$BM$41,MATCH($A63,$B$39:$BM$39,0)))</f>
        <v>11798.433973155421</v>
      </c>
    </row>
    <row r="64">
      <c r="A64" s="3" t="inlineStr">
        <is>
          <t>oil</t>
        </is>
      </c>
      <c r="B64" s="195">
        <f>$E$58*(SUMPRODUCT($B$51:$BM$51,$B$47:$BM$47)+INDEX($B$41:$BM$41,MATCH($A64,$B$39:$BM$39,0)))</f>
        <v>74758.30848596065</v>
      </c>
    </row>
    <row r="65">
      <c r="A65" s="3" t="inlineStr">
        <is>
          <t>p_c</t>
        </is>
      </c>
      <c r="B65" s="195">
        <f>$E$58*(SUMPRODUCT($B$51:$BM$51,$B$48:$BM$48)+INDEX($B$41:$BM$41,MATCH($A65,$B$39:$BM$39,0)))</f>
        <v>137702.83258765674</v>
      </c>
    </row>
    <row r="66"/>
    <row r="67">
      <c r="A67" s="6" t="inlineStr">
        <is>
          <t>Household-demand weighted Leontief coefficients of the consumption categories (legacy rows 668-736)</t>
        </is>
      </c>
    </row>
    <row r="68">
      <c r="A68" s="6" t="inlineStr">
        <is>
          <t>Category</t>
        </is>
      </c>
      <c r="B68" s="6" t="inlineStr">
        <is>
          <t>coa</t>
        </is>
      </c>
      <c r="C68" s="6" t="inlineStr">
        <is>
          <t>ely</t>
        </is>
      </c>
      <c r="D68" s="6" t="inlineStr">
        <is>
          <t>nga</t>
        </is>
      </c>
      <c r="E68" s="6" t="inlineStr">
        <is>
          <t>oil</t>
        </is>
      </c>
      <c r="F68" s="6" t="inlineStr">
        <is>
          <t>p_c</t>
        </is>
      </c>
    </row>
    <row r="69">
      <c r="A69" s="3" t="inlineStr">
        <is>
          <t>app</t>
        </is>
      </c>
      <c r="B69" s="240">
        <f>SUMIF($B$40:$BM$40,$A69,$B$52:$BM$52)/SUMIF($B$40:$BM$40,$A69,$B$43:$BM$43)</f>
        <v>0.0054029190794760195</v>
      </c>
      <c r="C69" s="240">
        <f>SUMIF($B$40:$BM$40,$A69,$B$53:$BM$53)/SUMIF($B$40:$BM$40,$A69,$B$43:$BM$43)</f>
        <v>0.01094452271948225</v>
      </c>
      <c r="D69" s="240">
        <f>SUMIF($B$40:$BM$40,$A69,$B$54:$BM$54)/SUMIF($B$40:$BM$40,$A69,$B$43:$BM$43)</f>
        <v>0.00965232247326348</v>
      </c>
      <c r="E69" s="240">
        <f>SUMIF($B$40:$BM$40,$A69,$B$55:$BM$55)/SUMIF($B$40:$BM$40,$A69,$B$43:$BM$43)</f>
        <v>0.04448235430381747</v>
      </c>
      <c r="F69" s="240">
        <f>SUMIF($B$40:$BM$40,$A69,$B$56:$BM$56)/SUMIF($B$40:$BM$40,$A69,$B$43:$BM$43)</f>
        <v>0.06768298375929442</v>
      </c>
    </row>
    <row r="70">
      <c r="A70" s="3" t="inlineStr">
        <is>
          <t>che</t>
        </is>
      </c>
      <c r="B70" s="240">
        <f>SUMIF($B$40:$BM$40,$A70,$B$52:$BM$52)/SUMIF($B$40:$BM$40,$A70,$B$43:$BM$43)</f>
        <v>0.0052821962213920595</v>
      </c>
      <c r="C70" s="240">
        <f>SUMIF($B$40:$BM$40,$A70,$B$53:$BM$53)/SUMIF($B$40:$BM$40,$A70,$B$43:$BM$43)</f>
        <v>0.009760177621169147</v>
      </c>
      <c r="D70" s="240">
        <f>SUMIF($B$40:$BM$40,$A70,$B$54:$BM$54)/SUMIF($B$40:$BM$40,$A70,$B$43:$BM$43)</f>
        <v>0.03372540854145509</v>
      </c>
      <c r="E70" s="240">
        <f>SUMIF($B$40:$BM$40,$A70,$B$55:$BM$55)/SUMIF($B$40:$BM$40,$A70,$B$43:$BM$43)</f>
        <v>0.1135396103055414</v>
      </c>
      <c r="F70" s="240">
        <f>SUMIF($B$40:$BM$40,$A70,$B$56:$BM$56)/SUMIF($B$40:$BM$40,$A70,$B$43:$BM$43)</f>
        <v>0.1622342399849876</v>
      </c>
    </row>
    <row r="71">
      <c r="A71" s="3" t="inlineStr">
        <is>
          <t>clo</t>
        </is>
      </c>
      <c r="B71" s="240">
        <f>SUMIF($B$40:$BM$40,$A71,$B$52:$BM$52)/SUMIF($B$40:$BM$40,$A71,$B$43:$BM$43)</f>
        <v>0.0018926846580589662</v>
      </c>
      <c r="C71" s="240">
        <f>SUMIF($B$40:$BM$40,$A71,$B$53:$BM$53)/SUMIF($B$40:$BM$40,$A71,$B$43:$BM$43)</f>
        <v>0.002939120037197447</v>
      </c>
      <c r="D71" s="240">
        <f>SUMIF($B$40:$BM$40,$A71,$B$54:$BM$54)/SUMIF($B$40:$BM$40,$A71,$B$43:$BM$43)</f>
        <v>0.003949370016872939</v>
      </c>
      <c r="E71" s="240">
        <f>SUMIF($B$40:$BM$40,$A71,$B$55:$BM$55)/SUMIF($B$40:$BM$40,$A71,$B$43:$BM$43)</f>
        <v>0.021579894876972205</v>
      </c>
      <c r="F71" s="240">
        <f>SUMIF($B$40:$BM$40,$A71,$B$56:$BM$56)/SUMIF($B$40:$BM$40,$A71,$B$43:$BM$43)</f>
        <v>0.0315108001951727</v>
      </c>
    </row>
    <row r="72">
      <c r="A72" s="3" t="inlineStr">
        <is>
          <t>com</t>
        </is>
      </c>
      <c r="B72" s="240">
        <f>SUMIF($B$40:$BM$40,$A72,$B$52:$BM$52)/SUMIF($B$40:$BM$40,$A72,$B$43:$BM$43)</f>
        <v>0.000761235813447522</v>
      </c>
      <c r="C72" s="240">
        <f>SUMIF($B$40:$BM$40,$A72,$B$53:$BM$53)/SUMIF($B$40:$BM$40,$A72,$B$43:$BM$43)</f>
        <v>0.001484972651194107</v>
      </c>
      <c r="D72" s="240">
        <f>SUMIF($B$40:$BM$40,$A72,$B$54:$BM$54)/SUMIF($B$40:$BM$40,$A72,$B$43:$BM$43)</f>
        <v>0.001343841189546408</v>
      </c>
      <c r="E72" s="240">
        <f>SUMIF($B$40:$BM$40,$A72,$B$55:$BM$55)/SUMIF($B$40:$BM$40,$A72,$B$43:$BM$43)</f>
        <v>0.007701126934701616</v>
      </c>
      <c r="F72" s="240">
        <f>SUMIF($B$40:$BM$40,$A72,$B$56:$BM$56)/SUMIF($B$40:$BM$40,$A72,$B$43:$BM$43)</f>
        <v>0.01133848843141551</v>
      </c>
    </row>
    <row r="73">
      <c r="A73" s="3" t="inlineStr">
        <is>
          <t>edu</t>
        </is>
      </c>
      <c r="B73" s="240">
        <f>SUMIF($B$40:$BM$40,$A73,$B$52:$BM$52)/SUMIF($B$40:$BM$40,$A73,$B$43:$BM$43)</f>
        <v>0.001043874750018219</v>
      </c>
      <c r="C73" s="240">
        <f>SUMIF($B$40:$BM$40,$A73,$B$53:$BM$53)/SUMIF($B$40:$BM$40,$A73,$B$43:$BM$43)</f>
        <v>0.00581873571424533</v>
      </c>
      <c r="D73" s="240">
        <f>SUMIF($B$40:$BM$40,$A73,$B$54:$BM$54)/SUMIF($B$40:$BM$40,$A73,$B$43:$BM$43)</f>
        <v>0.0036944387578780337</v>
      </c>
      <c r="E73" s="240">
        <f>SUMIF($B$40:$BM$40,$A73,$B$55:$BM$55)/SUMIF($B$40:$BM$40,$A73,$B$43:$BM$43)</f>
        <v>0.01589570468860546</v>
      </c>
      <c r="F73" s="240">
        <f>SUMIF($B$40:$BM$40,$A73,$B$56:$BM$56)/SUMIF($B$40:$BM$40,$A73,$B$43:$BM$43)</f>
        <v>0.02266179230308214</v>
      </c>
    </row>
    <row r="74">
      <c r="A74" s="3" t="inlineStr">
        <is>
          <t>food</t>
        </is>
      </c>
      <c r="B74" s="240">
        <f>SUMIF($B$40:$BM$40,$A74,$B$52:$BM$52)/SUMIF($B$40:$BM$40,$A74,$B$43:$BM$43)</f>
        <v>0.0013238571033324473</v>
      </c>
      <c r="C74" s="240">
        <f>SUMIF($B$40:$BM$40,$A74,$B$53:$BM$53)/SUMIF($B$40:$BM$40,$A74,$B$43:$BM$43)</f>
        <v>0.0023334079054166427</v>
      </c>
      <c r="D74" s="240">
        <f>SUMIF($B$40:$BM$40,$A74,$B$54:$BM$54)/SUMIF($B$40:$BM$40,$A74,$B$43:$BM$43)</f>
        <v>0.0033790384405820357</v>
      </c>
      <c r="E74" s="240">
        <f>SUMIF($B$40:$BM$40,$A74,$B$55:$BM$55)/SUMIF($B$40:$BM$40,$A74,$B$43:$BM$43)</f>
        <v>0.025531889474492527</v>
      </c>
      <c r="F74" s="240">
        <f>SUMIF($B$40:$BM$40,$A74,$B$56:$BM$56)/SUMIF($B$40:$BM$40,$A74,$B$43:$BM$43)</f>
        <v>0.036373290127549654</v>
      </c>
    </row>
    <row r="75">
      <c r="A75" s="3" t="inlineStr">
        <is>
          <t>hea</t>
        </is>
      </c>
      <c r="B75" s="240">
        <f>SUMIF($B$40:$BM$40,$A75,$B$52:$BM$52)/SUMIF($B$40:$BM$40,$A75,$B$43:$BM$43)</f>
        <v>0.001887485709405886</v>
      </c>
      <c r="C75" s="240">
        <f>SUMIF($B$40:$BM$40,$A75,$B$53:$BM$53)/SUMIF($B$40:$BM$40,$A75,$B$43:$BM$43)</f>
        <v>0.004425941824993473</v>
      </c>
      <c r="D75" s="240">
        <f>SUMIF($B$40:$BM$40,$A75,$B$54:$BM$54)/SUMIF($B$40:$BM$40,$A75,$B$43:$BM$43)</f>
        <v>0.004942026702162683</v>
      </c>
      <c r="E75" s="240">
        <f>SUMIF($B$40:$BM$40,$A75,$B$55:$BM$55)/SUMIF($B$40:$BM$40,$A75,$B$43:$BM$43)</f>
        <v>0.020772997753702387</v>
      </c>
      <c r="F75" s="240">
        <f>SUMIF($B$40:$BM$40,$A75,$B$56:$BM$56)/SUMIF($B$40:$BM$40,$A75,$B$43:$BM$43)</f>
        <v>0.02995023811048382</v>
      </c>
    </row>
    <row r="76">
      <c r="A76" s="3" t="inlineStr">
        <is>
          <t>hou</t>
        </is>
      </c>
      <c r="B76" s="240">
        <f>SUMIF($B$40:$BM$40,$A76,$B$52:$BM$52)/SUMIF($B$40:$BM$40,$A76,$B$43:$BM$43)</f>
        <v>0.0016232459700043858</v>
      </c>
      <c r="C76" s="240">
        <f>SUMIF($B$40:$BM$40,$A76,$B$53:$BM$53)/SUMIF($B$40:$BM$40,$A76,$B$43:$BM$43)</f>
        <v>0.0027924652777554645</v>
      </c>
      <c r="D76" s="240">
        <f>SUMIF($B$40:$BM$40,$A76,$B$54:$BM$54)/SUMIF($B$40:$BM$40,$A76,$B$43:$BM$43)</f>
        <v>0.003470400857094524</v>
      </c>
      <c r="E76" s="240">
        <f>SUMIF($B$40:$BM$40,$A76,$B$55:$BM$55)/SUMIF($B$40:$BM$40,$A76,$B$43:$BM$43)</f>
        <v>0.017087510385928657</v>
      </c>
      <c r="F76" s="240">
        <f>SUMIF($B$40:$BM$40,$A76,$B$56:$BM$56)/SUMIF($B$40:$BM$40,$A76,$B$43:$BM$43)</f>
        <v>0.025446366169795866</v>
      </c>
    </row>
    <row r="77">
      <c r="A77" s="3" t="inlineStr">
        <is>
          <t>oth</t>
        </is>
      </c>
      <c r="B77" s="240">
        <f>SUMIF($B$40:$BM$40,$A77,$B$52:$BM$52)/SUMIF($B$40:$BM$40,$A77,$B$43:$BM$43)</f>
        <v>0.0005942819727799153</v>
      </c>
      <c r="C77" s="240">
        <f>SUMIF($B$40:$BM$40,$A77,$B$53:$BM$53)/SUMIF($B$40:$BM$40,$A77,$B$43:$BM$43)</f>
        <v>0.0022075202431470825</v>
      </c>
      <c r="D77" s="240">
        <f>SUMIF($B$40:$BM$40,$A77,$B$54:$BM$54)/SUMIF($B$40:$BM$40,$A77,$B$43:$BM$43)</f>
        <v>0.0014625410557989197</v>
      </c>
      <c r="E77" s="240">
        <f>SUMIF($B$40:$BM$40,$A77,$B$55:$BM$55)/SUMIF($B$40:$BM$40,$A77,$B$43:$BM$43)</f>
        <v>0.009111260089463839</v>
      </c>
      <c r="F77" s="240">
        <f>SUMIF($B$40:$BM$40,$A77,$B$56:$BM$56)/SUMIF($B$40:$BM$40,$A77,$B$43:$BM$43)</f>
        <v>0.013493911694180967</v>
      </c>
    </row>
    <row r="78">
      <c r="A78" s="3" t="inlineStr">
        <is>
          <t>pap</t>
        </is>
      </c>
      <c r="B78" s="240">
        <f>SUMIF($B$40:$BM$40,$A78,$B$52:$BM$52)/SUMIF($B$40:$BM$40,$A78,$B$43:$BM$43)</f>
        <v>0.0033861692795103754</v>
      </c>
      <c r="C78" s="240">
        <f>SUMIF($B$40:$BM$40,$A78,$B$53:$BM$53)/SUMIF($B$40:$BM$40,$A78,$B$43:$BM$43)</f>
        <v>0.005394004367234928</v>
      </c>
      <c r="D78" s="240">
        <f>SUMIF($B$40:$BM$40,$A78,$B$54:$BM$54)/SUMIF($B$40:$BM$40,$A78,$B$43:$BM$43)</f>
        <v>0.00706001547991019</v>
      </c>
      <c r="E78" s="240">
        <f>SUMIF($B$40:$BM$40,$A78,$B$55:$BM$55)/SUMIF($B$40:$BM$40,$A78,$B$43:$BM$43)</f>
        <v>0.03780909022469521</v>
      </c>
      <c r="F78" s="240">
        <f>SUMIF($B$40:$BM$40,$A78,$B$56:$BM$56)/SUMIF($B$40:$BM$40,$A78,$B$43:$BM$43)</f>
        <v>0.05673818534720842</v>
      </c>
    </row>
    <row r="79">
      <c r="A79" s="3" t="inlineStr">
        <is>
          <t>pha</t>
        </is>
      </c>
      <c r="B79" s="240">
        <f>SUMIF($B$40:$BM$40,$A79,$B$52:$BM$52)/SUMIF($B$40:$BM$40,$A79,$B$43:$BM$43)</f>
        <v>0.002368409181834419</v>
      </c>
      <c r="C79" s="240">
        <f>SUMIF($B$40:$BM$40,$A79,$B$53:$BM$53)/SUMIF($B$40:$BM$40,$A79,$B$43:$BM$43)</f>
        <v>0.003507686839602052</v>
      </c>
      <c r="D79" s="240">
        <f>SUMIF($B$40:$BM$40,$A79,$B$54:$BM$54)/SUMIF($B$40:$BM$40,$A79,$B$43:$BM$43)</f>
        <v>0.02052713544832418</v>
      </c>
      <c r="E79" s="240">
        <f>SUMIF($B$40:$BM$40,$A79,$B$55:$BM$55)/SUMIF($B$40:$BM$40,$A79,$B$43:$BM$43)</f>
        <v>0.026425123453248385</v>
      </c>
      <c r="F79" s="240">
        <f>SUMIF($B$40:$BM$40,$A79,$B$56:$BM$56)/SUMIF($B$40:$BM$40,$A79,$B$43:$BM$43)</f>
        <v>0.03878981176705611</v>
      </c>
    </row>
    <row r="80">
      <c r="A80" s="3" t="inlineStr">
        <is>
          <t>ret</t>
        </is>
      </c>
      <c r="B80" s="240">
        <f>SUMIF($B$40:$BM$40,$A80,$B$52:$BM$52)/SUMIF($B$40:$BM$40,$A80,$B$43:$BM$43)</f>
        <v>0.00094942346393318</v>
      </c>
      <c r="C80" s="240">
        <f>SUMIF($B$40:$BM$40,$A80,$B$53:$BM$53)/SUMIF($B$40:$BM$40,$A80,$B$43:$BM$43)</f>
        <v>0.005138034770310573</v>
      </c>
      <c r="D80" s="240">
        <f>SUMIF($B$40:$BM$40,$A80,$B$54:$BM$54)/SUMIF($B$40:$BM$40,$A80,$B$43:$BM$43)</f>
        <v>0.0034843297287383496</v>
      </c>
      <c r="E80" s="240">
        <f>SUMIF($B$40:$BM$40,$A80,$B$55:$BM$55)/SUMIF($B$40:$BM$40,$A80,$B$43:$BM$43)</f>
        <v>0.01370858732517766</v>
      </c>
      <c r="F80" s="240">
        <f>SUMIF($B$40:$BM$40,$A80,$B$56:$BM$56)/SUMIF($B$40:$BM$40,$A80,$B$43:$BM$43)</f>
        <v>0.019922646608314127</v>
      </c>
    </row>
    <row r="81">
      <c r="A81" s="3" t="inlineStr">
        <is>
          <t>teq</t>
        </is>
      </c>
      <c r="B81" s="240">
        <f>SUMIF($B$40:$BM$40,$A81,$B$52:$BM$52)/SUMIF($B$40:$BM$40,$A81,$B$43:$BM$43)</f>
        <v>0.0017817974798162882</v>
      </c>
      <c r="C81" s="240">
        <f>SUMIF($B$40:$BM$40,$A81,$B$53:$BM$53)/SUMIF($B$40:$BM$40,$A81,$B$43:$BM$43)</f>
        <v>0.004519768325301077</v>
      </c>
      <c r="D81" s="240">
        <f>SUMIF($B$40:$BM$40,$A81,$B$54:$BM$54)/SUMIF($B$40:$BM$40,$A81,$B$43:$BM$43)</f>
        <v>0.0032972690002345067</v>
      </c>
      <c r="E81" s="240">
        <f>SUMIF($B$40:$BM$40,$A81,$B$55:$BM$55)/SUMIF($B$40:$BM$40,$A81,$B$43:$BM$43)</f>
        <v>0.019044352204787188</v>
      </c>
      <c r="F81" s="240">
        <f>SUMIF($B$40:$BM$40,$A81,$B$56:$BM$56)/SUMIF($B$40:$BM$40,$A81,$B$43:$BM$43)</f>
        <v>0.028739705915398893</v>
      </c>
    </row>
    <row r="82">
      <c r="A82" s="3" t="inlineStr">
        <is>
          <t>tpu</t>
        </is>
      </c>
      <c r="B82" s="240">
        <f>SUMIF($B$40:$BM$40,$A82,$B$52:$BM$52)/SUMIF($B$40:$BM$40,$A82,$B$43:$BM$43)</f>
        <v>0.00303030184366144</v>
      </c>
      <c r="C82" s="240">
        <f>SUMIF($B$40:$BM$40,$A82,$B$53:$BM$53)/SUMIF($B$40:$BM$40,$A82,$B$43:$BM$43)</f>
        <v>0.0027305083623357174</v>
      </c>
      <c r="D82" s="240">
        <f>SUMIF($B$40:$BM$40,$A82,$B$54:$BM$54)/SUMIF($B$40:$BM$40,$A82,$B$43:$BM$43)</f>
        <v>0.007269953401361655</v>
      </c>
      <c r="E82" s="240">
        <f>SUMIF($B$40:$BM$40,$A82,$B$55:$BM$55)/SUMIF($B$40:$BM$40,$A82,$B$43:$BM$43)</f>
        <v>0.15589515024443917</v>
      </c>
      <c r="F82" s="240">
        <f>SUMIF($B$40:$BM$40,$A82,$B$56:$BM$56)/SUMIF($B$40:$BM$40,$A82,$B$43:$BM$43)</f>
        <v>0.20612157377815288</v>
      </c>
    </row>
    <row r="83"/>
    <row r="84">
      <c r="A84" s="6" t="inlineStr">
        <is>
          <t>GTAP sectors (rows; legacy Distribution D.VI): code, name, CPAT sector (data/distn_gtapmap.csv), household demand, exports, output, fuel sector, Leontief coefficients</t>
        </is>
      </c>
    </row>
    <row r="85">
      <c r="A85" s="6" t="inlineStr">
        <is>
          <t>Sector</t>
        </is>
      </c>
      <c r="B85" s="6" t="inlineStr">
        <is>
          <t>Name</t>
        </is>
      </c>
      <c r="C85" s="6" t="inlineStr">
        <is>
          <t>CPAT sector</t>
        </is>
      </c>
      <c r="D85" s="6" t="inlineStr">
        <is>
          <t>hhd</t>
        </is>
      </c>
      <c r="E85" s="6" t="inlineStr">
        <is>
          <t>exports</t>
        </is>
      </c>
      <c r="F85" s="6" t="inlineStr">
        <is>
          <t>output</t>
        </is>
      </c>
      <c r="G85" s="6" t="inlineStr">
        <is>
          <t>fuel</t>
        </is>
      </c>
      <c r="H85" s="6" t="inlineStr">
        <is>
          <t>coa</t>
        </is>
      </c>
      <c r="I85" s="6" t="inlineStr">
        <is>
          <t>ely</t>
        </is>
      </c>
      <c r="J85" s="6" t="inlineStr">
        <is>
          <t>nga</t>
        </is>
      </c>
      <c r="K85" s="6" t="inlineStr">
        <is>
          <t>oil</t>
        </is>
      </c>
      <c r="L85" s="6" t="inlineStr">
        <is>
          <t>p_c</t>
        </is>
      </c>
    </row>
    <row r="86">
      <c r="A86" s="3" t="inlineStr">
        <is>
          <t>afs</t>
        </is>
      </c>
      <c r="B86" s="3" t="inlineStr">
        <is>
          <t>Hotels</t>
        </is>
      </c>
      <c r="C86" s="3" t="inlineStr">
        <is>
          <t>srv</t>
        </is>
      </c>
      <c r="D86" s="195">
        <f>B$43</f>
        <v>10287.5962905064</v>
      </c>
      <c r="E86" s="195">
        <f>B$42</f>
        <v>296.271891600559</v>
      </c>
      <c r="F86" s="195">
        <f>B$49</f>
        <v>11251.68101768571</v>
      </c>
      <c r="G86" s="39">
        <f>B$50</f>
        <v>0.0</v>
      </c>
      <c r="H86" s="240">
        <f>B$44</f>
        <v>0.0007129377637879556</v>
      </c>
      <c r="I86" s="240">
        <f>B$45</f>
        <v>0.005189900565540753</v>
      </c>
      <c r="J86" s="240">
        <f>B$46</f>
        <v>0.002817411225688473</v>
      </c>
      <c r="K86" s="240">
        <f>B$47</f>
        <v>0.01071654071439239</v>
      </c>
      <c r="L86" s="240">
        <f>B$48</f>
        <v>0.01512399801412685</v>
      </c>
    </row>
    <row r="87">
      <c r="A87" s="3" t="inlineStr">
        <is>
          <t>atp</t>
        </is>
      </c>
      <c r="B87" s="3" t="inlineStr">
        <is>
          <t>Air transport</t>
        </is>
      </c>
      <c r="C87" s="3" t="inlineStr">
        <is>
          <t>avi</t>
        </is>
      </c>
      <c r="D87" s="195">
        <f>C$43</f>
        <v>1403.097671837783</v>
      </c>
      <c r="E87" s="195">
        <f>C$42</f>
        <v>1457.267402403502</v>
      </c>
      <c r="F87" s="195">
        <f>C$49</f>
        <v>3638.647783320249</v>
      </c>
      <c r="G87" s="39">
        <f>C$50</f>
        <v>0.0</v>
      </c>
      <c r="H87" s="240">
        <f>C$44</f>
        <v>0.004088605657663693</v>
      </c>
      <c r="I87" s="240">
        <f>C$45</f>
        <v>0.002444904699293938</v>
      </c>
      <c r="J87" s="240">
        <f>C$46</f>
        <v>0.009844347536442673</v>
      </c>
      <c r="K87" s="240">
        <f>C$47</f>
        <v>0.2196354026572705</v>
      </c>
      <c r="L87" s="240">
        <f>C$48</f>
        <v>0.3061035669607718</v>
      </c>
    </row>
    <row r="88">
      <c r="A88" s="3" t="inlineStr">
        <is>
          <t>b_t</t>
        </is>
      </c>
      <c r="B88" s="3" t="inlineStr">
        <is>
          <t>Beverages &amp; Tobacco</t>
        </is>
      </c>
      <c r="C88" s="3" t="inlineStr">
        <is>
          <t>foo</t>
        </is>
      </c>
      <c r="D88" s="195">
        <f>D$43</f>
        <v>11181.21020091318</v>
      </c>
      <c r="E88" s="195">
        <f>D$42</f>
        <v>284.050826670863</v>
      </c>
      <c r="F88" s="195">
        <f>D$49</f>
        <v>12265.31606745908</v>
      </c>
      <c r="G88" s="39">
        <f>D$50</f>
        <v>0.0</v>
      </c>
      <c r="H88" s="240">
        <f>D$44</f>
        <v>0.001542912509386966</v>
      </c>
      <c r="I88" s="240">
        <f>D$45</f>
        <v>0.001755291758489319</v>
      </c>
      <c r="J88" s="240">
        <f>D$46</f>
        <v>0.002255254412946644</v>
      </c>
      <c r="K88" s="240">
        <f>D$47</f>
        <v>0.01147736380956983</v>
      </c>
      <c r="L88" s="240">
        <f>D$48</f>
        <v>0.01691144417092878</v>
      </c>
    </row>
    <row r="89">
      <c r="A89" s="3" t="inlineStr">
        <is>
          <t>bph</t>
        </is>
      </c>
      <c r="B89" s="3" t="inlineStr">
        <is>
          <t>Pharmaceuticals</t>
        </is>
      </c>
      <c r="C89" s="3" t="inlineStr">
        <is>
          <t>mch</t>
        </is>
      </c>
      <c r="D89" s="195">
        <f>E$43</f>
        <v>1472.639384287796</v>
      </c>
      <c r="E89" s="195">
        <f>E$42</f>
        <v>413.7084008221779</v>
      </c>
      <c r="F89" s="195">
        <f>E$49</f>
        <v>2998.729869699881</v>
      </c>
      <c r="G89" s="39">
        <f>E$50</f>
        <v>0.0</v>
      </c>
      <c r="H89" s="240">
        <f>E$44</f>
        <v>0.002368409181834419</v>
      </c>
      <c r="I89" s="240">
        <f>E$45</f>
        <v>0.003507686839602052</v>
      </c>
      <c r="J89" s="240">
        <f>E$46</f>
        <v>0.02052713544832418</v>
      </c>
      <c r="K89" s="240">
        <f>E$47</f>
        <v>0.02642512345324839</v>
      </c>
      <c r="L89" s="240">
        <f>E$48</f>
        <v>0.03878981176705611</v>
      </c>
    </row>
    <row r="90">
      <c r="A90" s="3" t="inlineStr">
        <is>
          <t>c_b</t>
        </is>
      </c>
      <c r="B90" s="3" t="inlineStr">
        <is>
          <t>Cane &amp; Beet</t>
        </is>
      </c>
      <c r="C90" s="3" t="inlineStr">
        <is>
          <t>foo</t>
        </is>
      </c>
      <c r="D90" s="195">
        <f>F$43</f>
        <v>1287.682388630199</v>
      </c>
      <c r="E90" s="195">
        <f>F$42</f>
        <v>7.226412121393301</v>
      </c>
      <c r="F90" s="195">
        <f>F$49</f>
        <v>2622.18517417264</v>
      </c>
      <c r="G90" s="39">
        <f>F$50</f>
        <v>0.0</v>
      </c>
      <c r="H90" s="240">
        <f>F$44</f>
        <v>0.001025582418508183</v>
      </c>
      <c r="I90" s="240">
        <f>F$45</f>
        <v>0.002020498987638969</v>
      </c>
      <c r="J90" s="240">
        <f>F$46</f>
        <v>0.003391500565193991</v>
      </c>
      <c r="K90" s="240">
        <f>F$47</f>
        <v>0.03498637901008057</v>
      </c>
      <c r="L90" s="240">
        <f>F$48</f>
        <v>0.04687706628337879</v>
      </c>
    </row>
    <row r="91">
      <c r="A91" s="3" t="inlineStr">
        <is>
          <t>chm</t>
        </is>
      </c>
      <c r="B91" s="3" t="inlineStr">
        <is>
          <t>Chemicals</t>
        </is>
      </c>
      <c r="C91" s="3" t="inlineStr">
        <is>
          <t>mch</t>
        </is>
      </c>
      <c r="D91" s="195">
        <f>G$43</f>
        <v>3587.94983345561</v>
      </c>
      <c r="E91" s="195">
        <f>G$42</f>
        <v>3762.377545275176</v>
      </c>
      <c r="F91" s="195">
        <f>G$49</f>
        <v>11384.10001343628</v>
      </c>
      <c r="G91" s="39">
        <f>G$50</f>
        <v>0.0</v>
      </c>
      <c r="H91" s="240">
        <f>G$44</f>
        <v>0.005287378040852384</v>
      </c>
      <c r="I91" s="240">
        <f>G$45</f>
        <v>0.01067729961544262</v>
      </c>
      <c r="J91" s="240">
        <f>G$46</f>
        <v>0.03605668287055942</v>
      </c>
      <c r="K91" s="240">
        <f>G$47</f>
        <v>0.1376497010554332</v>
      </c>
      <c r="L91" s="240">
        <f>G$48</f>
        <v>0.1952503023840406</v>
      </c>
    </row>
    <row r="92">
      <c r="A92" s="3" t="inlineStr">
        <is>
          <t>cmn</t>
        </is>
      </c>
      <c r="B92" s="3" t="inlineStr">
        <is>
          <t>Telecomms</t>
        </is>
      </c>
      <c r="C92" s="3" t="inlineStr">
        <is>
          <t>srv</t>
        </is>
      </c>
      <c r="D92" s="195">
        <f>H$43</f>
        <v>19221.39294981499</v>
      </c>
      <c r="E92" s="195">
        <f>H$42</f>
        <v>1433.886526643713</v>
      </c>
      <c r="F92" s="195">
        <f>H$49</f>
        <v>26373.82356256246</v>
      </c>
      <c r="G92" s="39">
        <f>H$50</f>
        <v>0.0</v>
      </c>
      <c r="H92" s="240">
        <f>H$44</f>
        <v>0.000761235813447522</v>
      </c>
      <c r="I92" s="240">
        <f>H$45</f>
        <v>0.001484972651194107</v>
      </c>
      <c r="J92" s="240">
        <f>H$46</f>
        <v>0.001343841189546408</v>
      </c>
      <c r="K92" s="240">
        <f>H$47</f>
        <v>0.007701126934701616</v>
      </c>
      <c r="L92" s="240">
        <f>H$48</f>
        <v>0.01133848843141551</v>
      </c>
    </row>
    <row r="93">
      <c r="A93" s="3" t="inlineStr">
        <is>
          <t>cmt</t>
        </is>
      </c>
      <c r="B93" s="3" t="inlineStr">
        <is>
          <t>Cattle Meat</t>
        </is>
      </c>
      <c r="C93" s="3" t="inlineStr">
        <is>
          <t>foo</t>
        </is>
      </c>
      <c r="D93" s="195">
        <f>I$43</f>
        <v>2385.994136661412</v>
      </c>
      <c r="E93" s="195">
        <f>I$42</f>
        <v>68.74257740466028</v>
      </c>
      <c r="F93" s="195">
        <f>I$49</f>
        <v>3204.923644068971</v>
      </c>
      <c r="G93" s="39">
        <f>I$50</f>
        <v>0.0</v>
      </c>
      <c r="H93" s="240">
        <f>I$44</f>
        <v>0.0003008319895944772</v>
      </c>
      <c r="I93" s="240">
        <f>I$45</f>
        <v>0.001526766599831298</v>
      </c>
      <c r="J93" s="240">
        <f>I$46</f>
        <v>0.001286674876574157</v>
      </c>
      <c r="K93" s="240">
        <f>I$47</f>
        <v>0.006511589055709717</v>
      </c>
      <c r="L93" s="240">
        <f>I$48</f>
        <v>0.008911924158080247</v>
      </c>
    </row>
    <row r="94">
      <c r="A94" s="3" t="inlineStr">
        <is>
          <t>cns</t>
        </is>
      </c>
      <c r="B94" s="3" t="inlineStr">
        <is>
          <t>Construction</t>
        </is>
      </c>
      <c r="C94" s="3" t="inlineStr">
        <is>
          <t>cst</t>
        </is>
      </c>
      <c r="D94" s="195">
        <f>J$43</f>
        <v>2714.02385904994</v>
      </c>
      <c r="E94" s="195">
        <f>J$42</f>
        <v>1094.085940181609</v>
      </c>
      <c r="F94" s="195">
        <f>J$49</f>
        <v>31827.38148438366</v>
      </c>
      <c r="G94" s="39">
        <f>J$50</f>
        <v>0.0</v>
      </c>
      <c r="H94" s="240">
        <f>J$44</f>
        <v>0.005036665168036726</v>
      </c>
      <c r="I94" s="240">
        <f>J$45</f>
        <v>0.00457245464580802</v>
      </c>
      <c r="J94" s="240">
        <f>J$46</f>
        <v>0.006514764023249673</v>
      </c>
      <c r="K94" s="240">
        <f>J$47</f>
        <v>0.03362889060633843</v>
      </c>
      <c r="L94" s="240">
        <f>J$48</f>
        <v>0.05358302002681031</v>
      </c>
    </row>
    <row r="95">
      <c r="A95" s="3" t="inlineStr">
        <is>
          <t>coa</t>
        </is>
      </c>
      <c r="B95" s="3" t="inlineStr">
        <is>
          <t>Coal</t>
        </is>
      </c>
      <c r="C95" s="3" t="inlineStr">
        <is>
          <t>foo</t>
        </is>
      </c>
      <c r="D95" s="195">
        <f>K$43</f>
        <v>6.621297409925693e-06</v>
      </c>
      <c r="E95" s="195">
        <f>K$42</f>
        <v>0.2251545605612314</v>
      </c>
      <c r="F95" s="195">
        <f>K$49</f>
        <v>0.3586108844028645</v>
      </c>
      <c r="G95" s="39">
        <f>K$50</f>
        <v>1.0</v>
      </c>
      <c r="H95" s="240">
        <f>K$44</f>
        <v>1.0461093117009</v>
      </c>
      <c r="I95" s="240">
        <f>K$45</f>
        <v>0.005488031966133671</v>
      </c>
      <c r="J95" s="240">
        <f>K$46</f>
        <v>0.0058772465066583</v>
      </c>
      <c r="K95" s="240">
        <f>K$47</f>
        <v>0.03812116162177002</v>
      </c>
      <c r="L95" s="240">
        <f>K$48</f>
        <v>0.05561450707198071</v>
      </c>
    </row>
    <row r="96">
      <c r="A96" s="3" t="inlineStr">
        <is>
          <t>ctl</t>
        </is>
      </c>
      <c r="B96" s="3" t="inlineStr">
        <is>
          <t>Cattle</t>
        </is>
      </c>
      <c r="C96" s="3" t="inlineStr">
        <is>
          <t>foo</t>
        </is>
      </c>
      <c r="D96" s="195">
        <f>L$43</f>
        <v>1254.342714038582</v>
      </c>
      <c r="E96" s="195">
        <f>L$42</f>
        <v>9.788125868149953</v>
      </c>
      <c r="F96" s="195">
        <f>L$49</f>
        <v>1540.576071570031</v>
      </c>
      <c r="G96" s="39">
        <f>L$50</f>
        <v>0.0</v>
      </c>
      <c r="H96" s="240">
        <f>L$44</f>
        <v>0.0008754092027816993</v>
      </c>
      <c r="I96" s="240">
        <f>L$45</f>
        <v>0.001858677713646185</v>
      </c>
      <c r="J96" s="240">
        <f>L$46</f>
        <v>0.002786704773600321</v>
      </c>
      <c r="K96" s="240">
        <f>L$47</f>
        <v>0.02814321299555246</v>
      </c>
      <c r="L96" s="240">
        <f>L$48</f>
        <v>0.03742625951148524</v>
      </c>
    </row>
    <row r="97">
      <c r="A97" s="3" t="inlineStr">
        <is>
          <t>dwe</t>
        </is>
      </c>
      <c r="B97" s="3" t="inlineStr">
        <is>
          <t>Housing rent</t>
        </is>
      </c>
      <c r="C97" s="3" t="inlineStr">
        <is>
          <t>srv</t>
        </is>
      </c>
      <c r="D97" s="195">
        <f>M$43</f>
        <v>14564.55509327812</v>
      </c>
      <c r="E97" s="195">
        <f>M$42</f>
        <v>2.860247900621051e-18</v>
      </c>
      <c r="F97" s="195">
        <f>M$49</f>
        <v>15173.00655898254</v>
      </c>
      <c r="G97" s="39">
        <f>M$50</f>
        <v>0.0</v>
      </c>
      <c r="H97" s="240">
        <f>M$44</f>
        <v>0.0003287845094835152</v>
      </c>
      <c r="I97" s="240">
        <f>M$45</f>
        <v>0.0003987774031577402</v>
      </c>
      <c r="J97" s="240">
        <f>M$46</f>
        <v>0.0005578546258635284</v>
      </c>
      <c r="K97" s="240">
        <f>M$47</f>
        <v>0.002372433248388115</v>
      </c>
      <c r="L97" s="240">
        <f>M$48</f>
        <v>0.00361331730002384</v>
      </c>
    </row>
    <row r="98">
      <c r="A98" s="3" t="inlineStr">
        <is>
          <t>edu</t>
        </is>
      </c>
      <c r="B98" s="3" t="inlineStr">
        <is>
          <t>Education</t>
        </is>
      </c>
      <c r="C98" s="3" t="inlineStr">
        <is>
          <t>srv</t>
        </is>
      </c>
      <c r="D98" s="195">
        <f>N$43</f>
        <v>4618.192019275322</v>
      </c>
      <c r="E98" s="195">
        <f>N$42</f>
        <v>510.4291222444472</v>
      </c>
      <c r="F98" s="195">
        <f>N$49</f>
        <v>13904.61364160128</v>
      </c>
      <c r="G98" s="39">
        <f>N$50</f>
        <v>0.0</v>
      </c>
      <c r="H98" s="240">
        <f>N$44</f>
        <v>0.001043874750018219</v>
      </c>
      <c r="I98" s="240">
        <f>N$45</f>
        <v>0.00581873571424533</v>
      </c>
      <c r="J98" s="240">
        <f>N$46</f>
        <v>0.003694438757878034</v>
      </c>
      <c r="K98" s="240">
        <f>N$47</f>
        <v>0.01589570468860546</v>
      </c>
      <c r="L98" s="240">
        <f>N$48</f>
        <v>0.02266179230308214</v>
      </c>
    </row>
    <row r="99">
      <c r="A99" s="3" t="inlineStr">
        <is>
          <t>eeq</t>
        </is>
      </c>
      <c r="B99" s="3" t="inlineStr">
        <is>
          <t>Electrical equipment</t>
        </is>
      </c>
      <c r="C99" s="3" t="inlineStr">
        <is>
          <t>mac</t>
        </is>
      </c>
      <c r="D99" s="195">
        <f>O$43</f>
        <v>25.19724637143274</v>
      </c>
      <c r="E99" s="195">
        <f>O$42</f>
        <v>1546.369098105046</v>
      </c>
      <c r="F99" s="195">
        <f>O$49</f>
        <v>1736.855878903702</v>
      </c>
      <c r="G99" s="39">
        <f>O$50</f>
        <v>0.0</v>
      </c>
      <c r="H99" s="240">
        <f>O$44</f>
        <v>0.006256646543876123</v>
      </c>
      <c r="I99" s="240">
        <f>O$45</f>
        <v>0.008124595319353441</v>
      </c>
      <c r="J99" s="240">
        <f>O$46</f>
        <v>0.008099192057394608</v>
      </c>
      <c r="K99" s="240">
        <f>O$47</f>
        <v>0.03617572330822446</v>
      </c>
      <c r="L99" s="240">
        <f>O$48</f>
        <v>0.05742327147226952</v>
      </c>
    </row>
    <row r="100">
      <c r="A100" s="3" t="inlineStr">
        <is>
          <t>ele</t>
        </is>
      </c>
      <c r="B100" s="3" t="inlineStr">
        <is>
          <t>Computer equipment</t>
        </is>
      </c>
      <c r="C100" s="3" t="inlineStr">
        <is>
          <t>mac</t>
        </is>
      </c>
      <c r="D100" s="195">
        <f>P$43</f>
        <v>2621.242312454111</v>
      </c>
      <c r="E100" s="195">
        <f>P$42</f>
        <v>913.9247070600035</v>
      </c>
      <c r="F100" s="195">
        <f>P$49</f>
        <v>7156.388567774538</v>
      </c>
      <c r="G100" s="39">
        <f>P$50</f>
        <v>0.0</v>
      </c>
      <c r="H100" s="240">
        <f>P$44</f>
        <v>0.003828370357961633</v>
      </c>
      <c r="I100" s="240">
        <f>P$45</f>
        <v>0.01112140190702001</v>
      </c>
      <c r="J100" s="240">
        <f>P$46</f>
        <v>0.007857583588835582</v>
      </c>
      <c r="K100" s="240">
        <f>P$47</f>
        <v>0.03004483301123832</v>
      </c>
      <c r="L100" s="240">
        <f>P$48</f>
        <v>0.04503134039392521</v>
      </c>
    </row>
    <row r="101">
      <c r="A101" s="3" t="inlineStr">
        <is>
          <t>ely</t>
        </is>
      </c>
      <c r="B101" s="3" t="inlineStr">
        <is>
          <t>Electricity supply</t>
        </is>
      </c>
      <c r="C101" s="3" t="inlineStr">
        <is>
          <t>pow</t>
        </is>
      </c>
      <c r="D101" s="195">
        <f>Q$43</f>
        <v>4436.953508487993</v>
      </c>
      <c r="E101" s="195">
        <f>Q$42</f>
        <v>31.4630295250102</v>
      </c>
      <c r="F101" s="195">
        <f>Q$49</f>
        <v>10759.24191777595</v>
      </c>
      <c r="G101" s="39">
        <f>Q$50</f>
        <v>1.0</v>
      </c>
      <c r="H101" s="240">
        <f>Q$44</f>
        <v>0.004874895112752501</v>
      </c>
      <c r="I101" s="240">
        <f>Q$45</f>
        <v>0.9954662477745693</v>
      </c>
      <c r="J101" s="240">
        <f>Q$46</f>
        <v>0.3346548962706095</v>
      </c>
      <c r="K101" s="240">
        <f>Q$47</f>
        <v>0.4749699300268975</v>
      </c>
      <c r="L101" s="240">
        <f>Q$48</f>
        <v>0.5768674452079603</v>
      </c>
    </row>
    <row r="102">
      <c r="A102" s="3" t="inlineStr">
        <is>
          <t>fmp</t>
        </is>
      </c>
      <c r="B102" s="3" t="inlineStr">
        <is>
          <t>Fabricated metals</t>
        </is>
      </c>
      <c r="C102" s="3" t="inlineStr">
        <is>
          <t>mac</t>
        </is>
      </c>
      <c r="D102" s="195">
        <f>R$43</f>
        <v>638.4316320070935</v>
      </c>
      <c r="E102" s="195">
        <f>R$42</f>
        <v>371.4862449912014</v>
      </c>
      <c r="F102" s="195">
        <f>R$49</f>
        <v>7677.827517271953</v>
      </c>
      <c r="G102" s="39">
        <f>R$50</f>
        <v>0.0</v>
      </c>
      <c r="H102" s="240">
        <f>R$44</f>
        <v>0.007081874209282093</v>
      </c>
      <c r="I102" s="240">
        <f>R$45</f>
        <v>0.006739026930596399</v>
      </c>
      <c r="J102" s="240">
        <f>R$46</f>
        <v>0.0113453278251489</v>
      </c>
      <c r="K102" s="240">
        <f>R$47</f>
        <v>0.05046672417539657</v>
      </c>
      <c r="L102" s="240">
        <f>R$48</f>
        <v>0.07999526509723158</v>
      </c>
    </row>
    <row r="103">
      <c r="A103" s="3" t="inlineStr">
        <is>
          <t>frs</t>
        </is>
      </c>
      <c r="B103" s="3" t="inlineStr">
        <is>
          <t>Forestry</t>
        </is>
      </c>
      <c r="C103" s="3" t="inlineStr">
        <is>
          <t>foo</t>
        </is>
      </c>
      <c r="D103" s="195">
        <f>S$43</f>
        <v>1.858765724901019</v>
      </c>
      <c r="E103" s="195">
        <f>S$42</f>
        <v>3.726675096957718</v>
      </c>
      <c r="F103" s="195">
        <f>S$49</f>
        <v>7.416085752545581</v>
      </c>
      <c r="G103" s="39">
        <f>S$50</f>
        <v>0.0</v>
      </c>
      <c r="H103" s="240">
        <f>S$44</f>
        <v>0.001861736470468403</v>
      </c>
      <c r="I103" s="240">
        <f>S$45</f>
        <v>0.003175112596691931</v>
      </c>
      <c r="J103" s="240">
        <f>S$46</f>
        <v>0.003123311269029697</v>
      </c>
      <c r="K103" s="240">
        <f>S$47</f>
        <v>0.0413120355844022</v>
      </c>
      <c r="L103" s="240">
        <f>S$48</f>
        <v>0.05979155030607706</v>
      </c>
    </row>
    <row r="104">
      <c r="A104" s="3" t="inlineStr">
        <is>
          <t>fsh</t>
        </is>
      </c>
      <c r="B104" s="3" t="inlineStr">
        <is>
          <t>Fishing</t>
        </is>
      </c>
      <c r="C104" s="3" t="inlineStr">
        <is>
          <t>foo</t>
        </is>
      </c>
      <c r="D104" s="195">
        <f>T$43</f>
        <v>3715.460708059009</v>
      </c>
      <c r="E104" s="195">
        <f>T$42</f>
        <v>109.7585379518032</v>
      </c>
      <c r="F104" s="195">
        <f>T$49</f>
        <v>4995.682056827297</v>
      </c>
      <c r="G104" s="39">
        <f>T$50</f>
        <v>0.0</v>
      </c>
      <c r="H104" s="240">
        <f>T$44</f>
        <v>0.0006229492731009915</v>
      </c>
      <c r="I104" s="240">
        <f>T$45</f>
        <v>0.005487400676454088</v>
      </c>
      <c r="J104" s="240">
        <f>T$46</f>
        <v>0.003188919753665136</v>
      </c>
      <c r="K104" s="240">
        <f>T$47</f>
        <v>0.02148199305574658</v>
      </c>
      <c r="L104" s="240">
        <f>T$48</f>
        <v>0.02816188190001883</v>
      </c>
    </row>
    <row r="105">
      <c r="A105" s="3" t="inlineStr">
        <is>
          <t>gro</t>
        </is>
      </c>
      <c r="B105" s="3" t="inlineStr">
        <is>
          <t>Other grains</t>
        </is>
      </c>
      <c r="C105" s="3" t="inlineStr">
        <is>
          <t>foo</t>
        </is>
      </c>
      <c r="D105" s="195">
        <f>U$43</f>
        <v>2245.318540645385</v>
      </c>
      <c r="E105" s="195">
        <f>U$42</f>
        <v>17.38953737356017</v>
      </c>
      <c r="F105" s="195">
        <f>U$49</f>
        <v>5749.541580269509</v>
      </c>
      <c r="G105" s="39">
        <f>U$50</f>
        <v>0.0</v>
      </c>
      <c r="H105" s="240">
        <f>U$44</f>
        <v>0.0008569495821966864</v>
      </c>
      <c r="I105" s="240">
        <f>U$45</f>
        <v>0.001888078838233873</v>
      </c>
      <c r="J105" s="240">
        <f>U$46</f>
        <v>0.003142747028409746</v>
      </c>
      <c r="K105" s="240">
        <f>U$47</f>
        <v>0.03089544185735456</v>
      </c>
      <c r="L105" s="240">
        <f>U$48</f>
        <v>0.0432347247372389</v>
      </c>
    </row>
    <row r="106">
      <c r="A106" s="3" t="inlineStr">
        <is>
          <t>hht</t>
        </is>
      </c>
      <c r="B106" s="3" t="inlineStr">
        <is>
          <t>Human health &amp; social work</t>
        </is>
      </c>
      <c r="C106" s="3" t="inlineStr">
        <is>
          <t>srv</t>
        </is>
      </c>
      <c r="D106" s="195">
        <f>V$43</f>
        <v>6187.302910392417</v>
      </c>
      <c r="E106" s="195">
        <f>V$42</f>
        <v>348.8805465207298</v>
      </c>
      <c r="F106" s="195">
        <f>V$49</f>
        <v>23019.82710972295</v>
      </c>
      <c r="G106" s="39">
        <f>V$50</f>
        <v>0.0</v>
      </c>
      <c r="H106" s="240">
        <f>V$44</f>
        <v>0.001887485709405886</v>
      </c>
      <c r="I106" s="240">
        <f>V$45</f>
        <v>0.004425941824993473</v>
      </c>
      <c r="J106" s="240">
        <f>V$46</f>
        <v>0.004942026702162683</v>
      </c>
      <c r="K106" s="240">
        <f>V$47</f>
        <v>0.02077299775370239</v>
      </c>
      <c r="L106" s="240">
        <f>V$48</f>
        <v>0.02995023811048382</v>
      </c>
    </row>
    <row r="107">
      <c r="A107" s="3" t="inlineStr">
        <is>
          <t>i_s</t>
        </is>
      </c>
      <c r="B107" s="3" t="inlineStr">
        <is>
          <t>Iron &amp; Steel</t>
        </is>
      </c>
      <c r="C107" s="3" t="inlineStr">
        <is>
          <t>irn</t>
        </is>
      </c>
      <c r="D107" s="195">
        <f>W$43</f>
        <v>435.1547097451709</v>
      </c>
      <c r="E107" s="195">
        <f>W$42</f>
        <v>918.8942617145678</v>
      </c>
      <c r="F107" s="195">
        <f>W$49</f>
        <v>3363.16535338051</v>
      </c>
      <c r="G107" s="39">
        <f>W$50</f>
        <v>0.0</v>
      </c>
      <c r="H107" s="240">
        <f>W$44</f>
        <v>0.009146830693650658</v>
      </c>
      <c r="I107" s="240">
        <f>W$45</f>
        <v>0.02190174220601668</v>
      </c>
      <c r="J107" s="240">
        <f>W$46</f>
        <v>0.02315565003473067</v>
      </c>
      <c r="K107" s="240">
        <f>W$47</f>
        <v>0.08770337304997161</v>
      </c>
      <c r="L107" s="240">
        <f>W$48</f>
        <v>0.1347684946853535</v>
      </c>
    </row>
    <row r="108">
      <c r="A108" s="3" t="inlineStr">
        <is>
          <t>ins</t>
        </is>
      </c>
      <c r="B108" s="3" t="inlineStr">
        <is>
          <t>Insurance</t>
        </is>
      </c>
      <c r="C108" s="3" t="inlineStr">
        <is>
          <t>srv</t>
        </is>
      </c>
      <c r="D108" s="195">
        <f>X$43</f>
        <v>4775.91938276479</v>
      </c>
      <c r="E108" s="195">
        <f>X$42</f>
        <v>262.9269735059963</v>
      </c>
      <c r="F108" s="195">
        <f>X$49</f>
        <v>6044.193560665437</v>
      </c>
      <c r="G108" s="39">
        <f>X$50</f>
        <v>0.0</v>
      </c>
      <c r="H108" s="240">
        <f>X$44</f>
        <v>0.000444221217354367</v>
      </c>
      <c r="I108" s="240">
        <f>X$45</f>
        <v>0.00138473600464869</v>
      </c>
      <c r="J108" s="240">
        <f>X$46</f>
        <v>0.001057183299549809</v>
      </c>
      <c r="K108" s="240">
        <f>X$47</f>
        <v>0.009093375687158385</v>
      </c>
      <c r="L108" s="240">
        <f>X$48</f>
        <v>0.01314960576230055</v>
      </c>
    </row>
    <row r="109">
      <c r="A109" s="3" t="inlineStr">
        <is>
          <t>lea</t>
        </is>
      </c>
      <c r="B109" s="3" t="inlineStr">
        <is>
          <t>Leather</t>
        </is>
      </c>
      <c r="C109" s="3" t="inlineStr">
        <is>
          <t>omn</t>
        </is>
      </c>
      <c r="D109" s="195">
        <f>Y$43</f>
        <v>140.6122263755086</v>
      </c>
      <c r="E109" s="195">
        <f>Y$42</f>
        <v>227.6853976228593</v>
      </c>
      <c r="F109" s="195">
        <f>Y$49</f>
        <v>1452.914622381694</v>
      </c>
      <c r="G109" s="39">
        <f>Y$50</f>
        <v>0.0</v>
      </c>
      <c r="H109" s="240">
        <f>Y$44</f>
        <v>0.002565539317698928</v>
      </c>
      <c r="I109" s="240">
        <f>Y$45</f>
        <v>0.002809568323158351</v>
      </c>
      <c r="J109" s="240">
        <f>Y$46</f>
        <v>0.004212665139156289</v>
      </c>
      <c r="K109" s="240">
        <f>Y$47</f>
        <v>0.0229207498988162</v>
      </c>
      <c r="L109" s="240">
        <f>Y$48</f>
        <v>0.03621951933008721</v>
      </c>
    </row>
    <row r="110">
      <c r="A110" s="3" t="inlineStr">
        <is>
          <t>lum</t>
        </is>
      </c>
      <c r="B110" s="3" t="inlineStr">
        <is>
          <t>Lumber</t>
        </is>
      </c>
      <c r="C110" s="3" t="inlineStr">
        <is>
          <t>foo</t>
        </is>
      </c>
      <c r="D110" s="195">
        <f>Z$43</f>
        <v>4263.230068087334</v>
      </c>
      <c r="E110" s="195">
        <f>Z$42</f>
        <v>178.9540791951099</v>
      </c>
      <c r="F110" s="195">
        <f>Z$49</f>
        <v>5670.504154767611</v>
      </c>
      <c r="G110" s="39">
        <f>Z$50</f>
        <v>0.0</v>
      </c>
      <c r="H110" s="240">
        <f>Z$44</f>
        <v>0.003493253500694854</v>
      </c>
      <c r="I110" s="240">
        <f>Z$45</f>
        <v>0.004228370603128207</v>
      </c>
      <c r="J110" s="240">
        <f>Z$46</f>
        <v>0.005704504418707216</v>
      </c>
      <c r="K110" s="240">
        <f>Z$47</f>
        <v>0.03476374906733615</v>
      </c>
      <c r="L110" s="240">
        <f>Z$48</f>
        <v>0.05249452934714824</v>
      </c>
    </row>
    <row r="111">
      <c r="A111" s="3" t="inlineStr">
        <is>
          <t>mil</t>
        </is>
      </c>
      <c r="B111" s="3" t="inlineStr">
        <is>
          <t>Dairy</t>
        </is>
      </c>
      <c r="C111" s="3" t="inlineStr">
        <is>
          <t>foo</t>
        </is>
      </c>
      <c r="D111" s="195">
        <f>AA$43</f>
        <v>6020.733528679571</v>
      </c>
      <c r="E111" s="195">
        <f>AA$42</f>
        <v>475.2857405332416</v>
      </c>
      <c r="F111" s="195">
        <f>AA$49</f>
        <v>8224.2489545944</v>
      </c>
      <c r="G111" s="39">
        <f>AA$50</f>
        <v>0.0</v>
      </c>
      <c r="H111" s="240">
        <f>AA$44</f>
        <v>0.0006990029613078567</v>
      </c>
      <c r="I111" s="240">
        <f>AA$45</f>
        <v>0.001665720066001897</v>
      </c>
      <c r="J111" s="240">
        <f>AA$46</f>
        <v>0.002125459808230732</v>
      </c>
      <c r="K111" s="240">
        <f>AA$47</f>
        <v>0.01137321609211582</v>
      </c>
      <c r="L111" s="240">
        <f>AA$48</f>
        <v>0.01693299605119284</v>
      </c>
    </row>
    <row r="112">
      <c r="A112" s="3" t="inlineStr">
        <is>
          <t>mvh</t>
        </is>
      </c>
      <c r="B112" s="3" t="inlineStr">
        <is>
          <t>Motor vehicles</t>
        </is>
      </c>
      <c r="C112" s="3" t="inlineStr">
        <is>
          <t>mac</t>
        </is>
      </c>
      <c r="D112" s="195">
        <f>AB$43</f>
        <v>4084.914216861602</v>
      </c>
      <c r="E112" s="195">
        <f>AB$42</f>
        <v>277.8205701467425</v>
      </c>
      <c r="F112" s="195">
        <f>AB$49</f>
        <v>6465.030017211342</v>
      </c>
      <c r="G112" s="39">
        <f>AB$50</f>
        <v>0.0</v>
      </c>
      <c r="H112" s="240">
        <f>AB$44</f>
        <v>0.005368924997139766</v>
      </c>
      <c r="I112" s="240">
        <f>AB$45</f>
        <v>0.006167002273299519</v>
      </c>
      <c r="J112" s="240">
        <f>AB$46</f>
        <v>0.007065479442535169</v>
      </c>
      <c r="K112" s="240">
        <f>AB$47</f>
        <v>0.03164768113427975</v>
      </c>
      <c r="L112" s="240">
        <f>AB$48</f>
        <v>0.04985245963982825</v>
      </c>
    </row>
    <row r="113">
      <c r="A113" s="3" t="inlineStr">
        <is>
          <t>nfm</t>
        </is>
      </c>
      <c r="B113" s="3" t="inlineStr">
        <is>
          <t>Non-Ferrous Metals</t>
        </is>
      </c>
      <c r="C113" s="3" t="inlineStr">
        <is>
          <t>nfm</t>
        </is>
      </c>
      <c r="D113" s="195">
        <f>AC$43</f>
        <v>661.1984639992813</v>
      </c>
      <c r="E113" s="195">
        <f>AC$42</f>
        <v>1692.946537648581</v>
      </c>
      <c r="F113" s="195">
        <f>AC$49</f>
        <v>5802.059926658519</v>
      </c>
      <c r="G113" s="39">
        <f>AC$50</f>
        <v>0.0</v>
      </c>
      <c r="H113" s="240">
        <f>AC$44</f>
        <v>0.01054477313562873</v>
      </c>
      <c r="I113" s="240">
        <f>AC$45</f>
        <v>0.01339079664960365</v>
      </c>
      <c r="J113" s="240">
        <f>AC$46</f>
        <v>0.01404065541258281</v>
      </c>
      <c r="K113" s="240">
        <f>AC$47</f>
        <v>0.06117161272991188</v>
      </c>
      <c r="L113" s="240">
        <f>AC$48</f>
        <v>0.1028136915194218</v>
      </c>
    </row>
    <row r="114">
      <c r="A114" s="3" t="inlineStr">
        <is>
          <t>nga</t>
        </is>
      </c>
      <c r="B114" s="3" t="inlineStr">
        <is>
          <t>Natural gas</t>
        </is>
      </c>
      <c r="C114" s="3" t="inlineStr">
        <is>
          <t>pow</t>
        </is>
      </c>
      <c r="D114" s="195">
        <f>AD$43</f>
        <v>148.8553771715045</v>
      </c>
      <c r="E114" s="195">
        <f>AD$42</f>
        <v>1034.696576702019</v>
      </c>
      <c r="F114" s="195">
        <f>AD$49</f>
        <v>4854.862266876281</v>
      </c>
      <c r="G114" s="39">
        <f>AD$50</f>
        <v>1.0</v>
      </c>
      <c r="H114" s="240">
        <f>AD$44</f>
        <v>0.001859400258682018</v>
      </c>
      <c r="I114" s="240">
        <f>AD$45</f>
        <v>0.0004461695845161375</v>
      </c>
      <c r="J114" s="240">
        <f>AD$46</f>
        <v>1.06711752715816</v>
      </c>
      <c r="K114" s="240">
        <f>AD$47</f>
        <v>0.0380804426270069</v>
      </c>
      <c r="L114" s="240">
        <f>AD$48</f>
        <v>0.04631279470613656</v>
      </c>
    </row>
    <row r="115">
      <c r="A115" s="3" t="inlineStr">
        <is>
          <t>nmm</t>
        </is>
      </c>
      <c r="B115" s="3" t="inlineStr">
        <is>
          <t>Non-metallic minerals</t>
        </is>
      </c>
      <c r="C115" s="3" t="inlineStr">
        <is>
          <t>cem</t>
        </is>
      </c>
      <c r="D115" s="195">
        <f>AE$43</f>
        <v>4144.499701683644</v>
      </c>
      <c r="E115" s="195">
        <f>AE$42</f>
        <v>1426.517250708339</v>
      </c>
      <c r="F115" s="195">
        <f>AE$49</f>
        <v>12465.5011882891</v>
      </c>
      <c r="G115" s="39">
        <f>AE$50</f>
        <v>0.0</v>
      </c>
      <c r="H115" s="240">
        <f>AE$44</f>
        <v>0.002150281239221664</v>
      </c>
      <c r="I115" s="240">
        <f>AE$45</f>
        <v>0.004706570986434342</v>
      </c>
      <c r="J115" s="240">
        <f>AE$46</f>
        <v>0.007276738013653888</v>
      </c>
      <c r="K115" s="240">
        <f>AE$47</f>
        <v>0.04114009983847246</v>
      </c>
      <c r="L115" s="240">
        <f>AE$48</f>
        <v>0.05840577646027158</v>
      </c>
    </row>
    <row r="116">
      <c r="A116" s="3" t="inlineStr">
        <is>
          <t>oap</t>
        </is>
      </c>
      <c r="B116" s="3" t="inlineStr">
        <is>
          <t>Other Animal Products</t>
        </is>
      </c>
      <c r="C116" s="3" t="inlineStr">
        <is>
          <t>foo</t>
        </is>
      </c>
      <c r="D116" s="195">
        <f>AF$43</f>
        <v>1410.375759481042</v>
      </c>
      <c r="E116" s="195">
        <f>AF$42</f>
        <v>42.22383495060884</v>
      </c>
      <c r="F116" s="195">
        <f>AF$49</f>
        <v>1546.234939710219</v>
      </c>
      <c r="G116" s="39">
        <f>AF$50</f>
        <v>0.0</v>
      </c>
      <c r="H116" s="240">
        <f>AF$44</f>
        <v>0.0009942120662847975</v>
      </c>
      <c r="I116" s="240">
        <f>AF$45</f>
        <v>0.001930288006990038</v>
      </c>
      <c r="J116" s="240">
        <f>AF$46</f>
        <v>0.003079627896430888</v>
      </c>
      <c r="K116" s="240">
        <f>AF$47</f>
        <v>0.02903113024128803</v>
      </c>
      <c r="L116" s="240">
        <f>AF$48</f>
        <v>0.04054555943888968</v>
      </c>
    </row>
    <row r="117">
      <c r="A117" s="3" t="inlineStr">
        <is>
          <t>obs</t>
        </is>
      </c>
      <c r="B117" s="3" t="inlineStr">
        <is>
          <t>Other Business Services</t>
        </is>
      </c>
      <c r="C117" s="3" t="inlineStr">
        <is>
          <t>srv</t>
        </is>
      </c>
      <c r="D117" s="195">
        <f>AG$43</f>
        <v>625.803043597114</v>
      </c>
      <c r="E117" s="195">
        <f>AG$42</f>
        <v>1426.738868959493</v>
      </c>
      <c r="F117" s="195">
        <f>AG$49</f>
        <v>10184.88907237095</v>
      </c>
      <c r="G117" s="39">
        <f>AG$50</f>
        <v>0.0</v>
      </c>
      <c r="H117" s="240">
        <f>AG$44</f>
        <v>0.00106223183629002</v>
      </c>
      <c r="I117" s="240">
        <f>AG$45</f>
        <v>0.002063858936189266</v>
      </c>
      <c r="J117" s="240">
        <f>AG$46</f>
        <v>0.001870310306018242</v>
      </c>
      <c r="K117" s="240">
        <f>AG$47</f>
        <v>0.01376091201321939</v>
      </c>
      <c r="L117" s="240">
        <f>AG$48</f>
        <v>0.02078786516581139</v>
      </c>
    </row>
    <row r="118">
      <c r="A118" s="3" t="inlineStr">
        <is>
          <t>ocr</t>
        </is>
      </c>
      <c r="B118" s="3" t="inlineStr">
        <is>
          <t>Other Crops</t>
        </is>
      </c>
      <c r="C118" s="3" t="inlineStr">
        <is>
          <t>foo</t>
        </is>
      </c>
      <c r="D118" s="195">
        <f>AH$43</f>
        <v>33.88278170407487</v>
      </c>
      <c r="E118" s="195">
        <f>AH$42</f>
        <v>264.429461802159</v>
      </c>
      <c r="F118" s="195">
        <f>AH$49</f>
        <v>407.7838197636175</v>
      </c>
      <c r="G118" s="39">
        <f>AH$50</f>
        <v>0.0</v>
      </c>
      <c r="H118" s="240">
        <f>AH$44</f>
        <v>0.0003240892271274163</v>
      </c>
      <c r="I118" s="240">
        <f>AH$45</f>
        <v>0.0007259830908526467</v>
      </c>
      <c r="J118" s="240">
        <f>AH$46</f>
        <v>0.00109372237063502</v>
      </c>
      <c r="K118" s="240">
        <f>AH$47</f>
        <v>0.01008577098033035</v>
      </c>
      <c r="L118" s="240">
        <f>AH$48</f>
        <v>0.01475122109149793</v>
      </c>
    </row>
    <row r="119">
      <c r="A119" s="3" t="inlineStr">
        <is>
          <t>ofd</t>
        </is>
      </c>
      <c r="B119" s="3" t="inlineStr">
        <is>
          <t>Other Food</t>
        </is>
      </c>
      <c r="C119" s="3" t="inlineStr">
        <is>
          <t>foo</t>
        </is>
      </c>
      <c r="D119" s="195">
        <f>AI$43</f>
        <v>19824.22147904799</v>
      </c>
      <c r="E119" s="195">
        <f>AI$42</f>
        <v>1862.407673911097</v>
      </c>
      <c r="F119" s="195">
        <f>AI$49</f>
        <v>28583.22182427202</v>
      </c>
      <c r="G119" s="39">
        <f>AI$50</f>
        <v>0.0</v>
      </c>
      <c r="H119" s="240">
        <f>AI$44</f>
        <v>0.002309129975204069</v>
      </c>
      <c r="I119" s="240">
        <f>AI$45</f>
        <v>0.003206090562498223</v>
      </c>
      <c r="J119" s="240">
        <f>AI$46</f>
        <v>0.005267505173879806</v>
      </c>
      <c r="K119" s="240">
        <f>AI$47</f>
        <v>0.03577697907748396</v>
      </c>
      <c r="L119" s="240">
        <f>AI$48</f>
        <v>0.05178204668853109</v>
      </c>
    </row>
    <row r="120">
      <c r="A120" s="3" t="inlineStr">
        <is>
          <t>ofi</t>
        </is>
      </c>
      <c r="B120" s="3" t="inlineStr">
        <is>
          <t>Other financial intermediation</t>
        </is>
      </c>
      <c r="C120" s="3" t="inlineStr">
        <is>
          <t>srv</t>
        </is>
      </c>
      <c r="D120" s="195">
        <f>AJ$43</f>
        <v>6924.028851860749</v>
      </c>
      <c r="E120" s="195">
        <f>AJ$42</f>
        <v>313.7932523509113</v>
      </c>
      <c r="F120" s="195">
        <f>AJ$49</f>
        <v>11905.9982250425</v>
      </c>
      <c r="G120" s="39">
        <f>AJ$50</f>
        <v>0.0</v>
      </c>
      <c r="H120" s="240">
        <f>AJ$44</f>
        <v>0.0003613077126071591</v>
      </c>
      <c r="I120" s="240">
        <f>AJ$45</f>
        <v>0.001538888468116083</v>
      </c>
      <c r="J120" s="240">
        <f>AJ$46</f>
        <v>0.001004952437566963</v>
      </c>
      <c r="K120" s="240">
        <f>AJ$47</f>
        <v>0.00667321543411646</v>
      </c>
      <c r="L120" s="240">
        <f>AJ$48</f>
        <v>0.009892094562737664</v>
      </c>
    </row>
    <row r="121">
      <c r="A121" s="3" t="inlineStr">
        <is>
          <t>oil</t>
        </is>
      </c>
      <c r="B121" s="3" t="inlineStr">
        <is>
          <t>Oil</t>
        </is>
      </c>
      <c r="C121" s="3" t="inlineStr">
        <is>
          <t>ftr</t>
        </is>
      </c>
      <c r="D121" s="195">
        <f>AK$43</f>
        <v>23.17207007429741</v>
      </c>
      <c r="E121" s="195">
        <f>AK$42</f>
        <v>6672.418470390672</v>
      </c>
      <c r="F121" s="195">
        <f>AK$49</f>
        <v>18104.19371069481</v>
      </c>
      <c r="G121" s="39">
        <f>AK$50</f>
        <v>1.0</v>
      </c>
      <c r="H121" s="240">
        <f>AK$44</f>
        <v>0.0004297021645209693</v>
      </c>
      <c r="I121" s="240">
        <f>AK$45</f>
        <v>0.0004941423578690712</v>
      </c>
      <c r="J121" s="240">
        <f>AK$46</f>
        <v>0.006626224413593992</v>
      </c>
      <c r="K121" s="240">
        <f>AK$47</f>
        <v>1.02071946831331</v>
      </c>
      <c r="L121" s="240">
        <f>AK$48</f>
        <v>0.0124045075813004</v>
      </c>
    </row>
    <row r="122">
      <c r="A122" s="3" t="inlineStr">
        <is>
          <t>ome</t>
        </is>
      </c>
      <c r="B122" s="3" t="inlineStr">
        <is>
          <t>Machinery</t>
        </is>
      </c>
      <c r="C122" s="3" t="inlineStr">
        <is>
          <t>mac</t>
        </is>
      </c>
      <c r="D122" s="195">
        <f>AL$43</f>
        <v>65.31985537169729</v>
      </c>
      <c r="E122" s="195">
        <f>AL$42</f>
        <v>195.6277862995585</v>
      </c>
      <c r="F122" s="195">
        <f>AL$49</f>
        <v>689.5967913363048</v>
      </c>
      <c r="G122" s="39">
        <f>AL$50</f>
        <v>0.0</v>
      </c>
      <c r="H122" s="240">
        <f>AL$44</f>
        <v>0.00725718497984098</v>
      </c>
      <c r="I122" s="240">
        <f>AL$45</f>
        <v>0.008229415628821329</v>
      </c>
      <c r="J122" s="240">
        <f>AL$46</f>
        <v>0.00804895055694959</v>
      </c>
      <c r="K122" s="240">
        <f>AL$47</f>
        <v>0.03282615401594492</v>
      </c>
      <c r="L122" s="240">
        <f>AL$48</f>
        <v>0.057454005629827</v>
      </c>
    </row>
    <row r="123">
      <c r="A123" s="3" t="inlineStr">
        <is>
          <t>omf</t>
        </is>
      </c>
      <c r="B123" s="3" t="inlineStr">
        <is>
          <t>Other Manufacturing</t>
        </is>
      </c>
      <c r="C123" s="3" t="inlineStr">
        <is>
          <t>srv</t>
        </is>
      </c>
      <c r="D123" s="195">
        <f>AM$43</f>
        <v>240.1923188355705</v>
      </c>
      <c r="E123" s="195">
        <f>AM$42</f>
        <v>359.2826355192473</v>
      </c>
      <c r="F123" s="195">
        <f>AM$49</f>
        <v>1999.513132236743</v>
      </c>
      <c r="G123" s="39">
        <f>AM$50</f>
        <v>0.0</v>
      </c>
      <c r="H123" s="240">
        <f>AM$44</f>
        <v>0.009914531192904355</v>
      </c>
      <c r="I123" s="240">
        <f>AM$45</f>
        <v>0.01885443094216665</v>
      </c>
      <c r="J123" s="240">
        <f>AM$46</f>
        <v>0.02345993988287854</v>
      </c>
      <c r="K123" s="240">
        <f>AM$47</f>
        <v>0.08717540902689191</v>
      </c>
      <c r="L123" s="240">
        <f>AM$48</f>
        <v>0.1379570750461765</v>
      </c>
    </row>
    <row r="124">
      <c r="A124" s="3" t="inlineStr">
        <is>
          <t>omt</t>
        </is>
      </c>
      <c r="B124" s="3" t="inlineStr">
        <is>
          <t>Other Meat</t>
        </is>
      </c>
      <c r="C124" s="3" t="inlineStr">
        <is>
          <t>foo</t>
        </is>
      </c>
      <c r="D124" s="195">
        <f>AN$43</f>
        <v>1059.290969714765</v>
      </c>
      <c r="E124" s="195">
        <f>AN$42</f>
        <v>18.01463163681852</v>
      </c>
      <c r="F124" s="195">
        <f>AN$49</f>
        <v>1581.110020893049</v>
      </c>
      <c r="G124" s="39">
        <f>AN$50</f>
        <v>0.0</v>
      </c>
      <c r="H124" s="240">
        <f>AN$44</f>
        <v>0.0002045056530604656</v>
      </c>
      <c r="I124" s="240">
        <f>AN$45</f>
        <v>0.0008293391056409145</v>
      </c>
      <c r="J124" s="240">
        <f>AN$46</f>
        <v>0.0007718512590685859</v>
      </c>
      <c r="K124" s="240">
        <f>AN$47</f>
        <v>0.004294992604141202</v>
      </c>
      <c r="L124" s="240">
        <f>AN$48</f>
        <v>0.005863477459335114</v>
      </c>
    </row>
    <row r="125">
      <c r="A125" s="3" t="inlineStr">
        <is>
          <t>osd</t>
        </is>
      </c>
      <c r="B125" s="3" t="inlineStr">
        <is>
          <t>Oil Seeds</t>
        </is>
      </c>
      <c r="C125" s="3" t="inlineStr">
        <is>
          <t>foo</t>
        </is>
      </c>
      <c r="D125" s="195">
        <f>AO$43</f>
        <v>1294.256086138921</v>
      </c>
      <c r="E125" s="195">
        <f>AO$42</f>
        <v>85.83733459391432</v>
      </c>
      <c r="F125" s="195">
        <f>AO$49</f>
        <v>3310.293411676508</v>
      </c>
      <c r="G125" s="39">
        <f>AO$50</f>
        <v>0.0</v>
      </c>
      <c r="H125" s="240">
        <f>AO$44</f>
        <v>0.0006190704083802993</v>
      </c>
      <c r="I125" s="240">
        <f>AO$45</f>
        <v>0.001314409146301669</v>
      </c>
      <c r="J125" s="240">
        <f>AO$46</f>
        <v>0.002240068575796437</v>
      </c>
      <c r="K125" s="240">
        <f>AO$47</f>
        <v>0.02201606043283395</v>
      </c>
      <c r="L125" s="240">
        <f>AO$48</f>
        <v>0.03024333780789112</v>
      </c>
    </row>
    <row r="126">
      <c r="A126" s="3" t="inlineStr">
        <is>
          <t>osg</t>
        </is>
      </c>
      <c r="B126" s="3" t="inlineStr">
        <is>
          <t>Government services</t>
        </is>
      </c>
      <c r="C126" s="3" t="inlineStr">
        <is>
          <t>srv</t>
        </is>
      </c>
      <c r="D126" s="195">
        <f>AP$43</f>
        <v>1858.368172551902</v>
      </c>
      <c r="E126" s="195">
        <f>AP$42</f>
        <v>200.5369827201623</v>
      </c>
      <c r="F126" s="195">
        <f>AP$49</f>
        <v>18195.87830626978</v>
      </c>
      <c r="G126" s="39">
        <f>AP$50</f>
        <v>0.0</v>
      </c>
      <c r="H126" s="240">
        <f>AP$44</f>
        <v>0.002029651021591062</v>
      </c>
      <c r="I126" s="240">
        <f>AP$45</f>
        <v>0.004504022482721678</v>
      </c>
      <c r="J126" s="240">
        <f>AP$46</f>
        <v>0.003589643107759637</v>
      </c>
      <c r="K126" s="240">
        <f>AP$47</f>
        <v>0.01940156387429923</v>
      </c>
      <c r="L126" s="240">
        <f>AP$48</f>
        <v>0.02978437347371211</v>
      </c>
    </row>
    <row r="127">
      <c r="A127" s="3" t="inlineStr">
        <is>
          <t>otn</t>
        </is>
      </c>
      <c r="B127" s="3" t="inlineStr">
        <is>
          <t>Other transport equipment</t>
        </is>
      </c>
      <c r="C127" s="3" t="inlineStr">
        <is>
          <t>mac</t>
        </is>
      </c>
      <c r="D127" s="195">
        <f>AQ$43</f>
        <v>622.5570837994075</v>
      </c>
      <c r="E127" s="195">
        <f>AQ$42</f>
        <v>51.48878141902152</v>
      </c>
      <c r="F127" s="195">
        <f>AQ$49</f>
        <v>1696.299902277059</v>
      </c>
      <c r="G127" s="39">
        <f>AQ$50</f>
        <v>0.0</v>
      </c>
      <c r="H127" s="240">
        <f>AQ$44</f>
        <v>0.005513131486705574</v>
      </c>
      <c r="I127" s="240">
        <f>AQ$45</f>
        <v>0.006975402899908803</v>
      </c>
      <c r="J127" s="240">
        <f>AQ$46</f>
        <v>0.007065766464090403</v>
      </c>
      <c r="K127" s="240">
        <f>AQ$47</f>
        <v>0.02786803139605073</v>
      </c>
      <c r="L127" s="240">
        <f>AQ$48</f>
        <v>0.04475743887408047</v>
      </c>
    </row>
    <row r="128">
      <c r="A128" s="3" t="inlineStr">
        <is>
          <t>otp</t>
        </is>
      </c>
      <c r="B128" s="3" t="inlineStr">
        <is>
          <t>Land transport</t>
        </is>
      </c>
      <c r="C128" s="3" t="inlineStr">
        <is>
          <t>nav</t>
        </is>
      </c>
      <c r="D128" s="195">
        <f>AR$43</f>
        <v>11277.54621941355</v>
      </c>
      <c r="E128" s="195">
        <f>AR$42</f>
        <v>8063.06064086591</v>
      </c>
      <c r="F128" s="195">
        <f>AR$49</f>
        <v>22798.54360989081</v>
      </c>
      <c r="G128" s="39">
        <f>AR$50</f>
        <v>0.0</v>
      </c>
      <c r="H128" s="240">
        <f>AR$44</f>
        <v>0.003006928951498297</v>
      </c>
      <c r="I128" s="240">
        <f>AR$45</f>
        <v>0.0025103079673546</v>
      </c>
      <c r="J128" s="240">
        <f>AR$46</f>
        <v>0.007521063800485964</v>
      </c>
      <c r="K128" s="240">
        <f>AR$47</f>
        <v>0.1761043561626366</v>
      </c>
      <c r="L128" s="240">
        <f>AR$48</f>
        <v>0.2286275348470731</v>
      </c>
    </row>
    <row r="129">
      <c r="A129" s="3" t="inlineStr">
        <is>
          <t>oxt</t>
        </is>
      </c>
      <c r="B129" s="3" t="inlineStr">
        <is>
          <t>Other Mining</t>
        </is>
      </c>
      <c r="C129" s="3" t="inlineStr">
        <is>
          <t>mch</t>
        </is>
      </c>
      <c r="D129" s="195">
        <f>AS$43</f>
        <v>220.9501182557025</v>
      </c>
      <c r="E129" s="195">
        <f>AS$42</f>
        <v>678.063610587255</v>
      </c>
      <c r="F129" s="195">
        <f>AS$49</f>
        <v>1202.800638418359</v>
      </c>
      <c r="G129" s="39">
        <f>AS$50</f>
        <v>0.0</v>
      </c>
      <c r="H129" s="240">
        <f>AS$44</f>
        <v>0.003198610245865014</v>
      </c>
      <c r="I129" s="240">
        <f>AS$45</f>
        <v>0.01480154972119718</v>
      </c>
      <c r="J129" s="240">
        <f>AS$46</f>
        <v>0.01357123853053823</v>
      </c>
      <c r="K129" s="240">
        <f>AS$47</f>
        <v>0.1529204233695721</v>
      </c>
      <c r="L129" s="240">
        <f>AS$48</f>
        <v>0.1998992426065419</v>
      </c>
    </row>
    <row r="130">
      <c r="A130" s="3" t="inlineStr">
        <is>
          <t>p_c</t>
        </is>
      </c>
      <c r="B130" s="3" t="inlineStr">
        <is>
          <t>Petroleum &amp; Coke</t>
        </is>
      </c>
      <c r="C130" s="3" t="inlineStr">
        <is>
          <t>ftr</t>
        </is>
      </c>
      <c r="D130" s="195">
        <f>AT$43</f>
        <v>5525.574469448149</v>
      </c>
      <c r="E130" s="195">
        <f>AT$42</f>
        <v>2341.234427585464</v>
      </c>
      <c r="F130" s="195">
        <f>AT$49</f>
        <v>15290.73568798998</v>
      </c>
      <c r="G130" s="39">
        <f>AT$50</f>
        <v>1.0</v>
      </c>
      <c r="H130" s="240">
        <f>AT$44</f>
        <v>0.004448280826549838</v>
      </c>
      <c r="I130" s="240">
        <f>AT$45</f>
        <v>0.0006530980782115763</v>
      </c>
      <c r="J130" s="240">
        <f>AT$46</f>
        <v>0.01120999360978483</v>
      </c>
      <c r="K130" s="240">
        <f>AT$47</f>
        <v>0.9083966554785544</v>
      </c>
      <c r="L130" s="240">
        <f>AT$48</f>
        <v>1.04570745735351</v>
      </c>
    </row>
    <row r="131">
      <c r="A131" s="3" t="inlineStr">
        <is>
          <t>pcr</t>
        </is>
      </c>
      <c r="B131" s="3" t="inlineStr">
        <is>
          <t>Processed Rice</t>
        </is>
      </c>
      <c r="C131" s="3" t="inlineStr">
        <is>
          <t>foo</t>
        </is>
      </c>
      <c r="D131" s="195">
        <f>AU$43</f>
        <v>4325.098549597541</v>
      </c>
      <c r="E131" s="195">
        <f>AU$42</f>
        <v>79.68458985736929</v>
      </c>
      <c r="F131" s="195">
        <f>AU$49</f>
        <v>4727.420671543173</v>
      </c>
      <c r="G131" s="39">
        <f>AU$50</f>
        <v>0.0</v>
      </c>
      <c r="H131" s="240">
        <f>AU$44</f>
        <v>0.001164115256672819</v>
      </c>
      <c r="I131" s="240">
        <f>AU$45</f>
        <v>0.002038648993644669</v>
      </c>
      <c r="J131" s="240">
        <f>AU$46</f>
        <v>0.003362761003769149</v>
      </c>
      <c r="K131" s="240">
        <f>AU$47</f>
        <v>0.02793892079488201</v>
      </c>
      <c r="L131" s="240">
        <f>AU$48</f>
        <v>0.03981192648479416</v>
      </c>
    </row>
    <row r="132">
      <c r="A132" s="3" t="inlineStr">
        <is>
          <t>pdr</t>
        </is>
      </c>
      <c r="B132" s="3" t="inlineStr">
        <is>
          <t>Rice</t>
        </is>
      </c>
      <c r="C132" s="3" t="inlineStr">
        <is>
          <t>foo</t>
        </is>
      </c>
      <c r="D132" s="195">
        <f>AV$43</f>
        <v>1342.617225664612</v>
      </c>
      <c r="E132" s="195">
        <f>AV$42</f>
        <v>7.599025899540455</v>
      </c>
      <c r="F132" s="195">
        <f>AV$49</f>
        <v>6461.814523111291</v>
      </c>
      <c r="G132" s="39">
        <f>AV$50</f>
        <v>0.0</v>
      </c>
      <c r="H132" s="240">
        <f>AV$44</f>
        <v>0.0007290675303790922</v>
      </c>
      <c r="I132" s="240">
        <f>AV$45</f>
        <v>0.001369966309371191</v>
      </c>
      <c r="J132" s="240">
        <f>AV$46</f>
        <v>0.002527595782330507</v>
      </c>
      <c r="K132" s="240">
        <f>AV$47</f>
        <v>0.02408325225814711</v>
      </c>
      <c r="L132" s="240">
        <f>AV$48</f>
        <v>0.03447190664686378</v>
      </c>
    </row>
    <row r="133">
      <c r="A133" s="3" t="inlineStr">
        <is>
          <t>pfb</t>
        </is>
      </c>
      <c r="B133" s="3" t="inlineStr">
        <is>
          <t>Fibres crops</t>
        </is>
      </c>
      <c r="C133" s="3" t="inlineStr">
        <is>
          <t>foo</t>
        </is>
      </c>
      <c r="D133" s="195">
        <f>AW$43</f>
        <v>1452.522828736476</v>
      </c>
      <c r="E133" s="195">
        <f>AW$42</f>
        <v>156.8289691807273</v>
      </c>
      <c r="F133" s="195">
        <f>AW$49</f>
        <v>3961.067908892622</v>
      </c>
      <c r="G133" s="39">
        <f>AW$50</f>
        <v>0.0</v>
      </c>
      <c r="H133" s="240">
        <f>AW$44</f>
        <v>0.00215088666159818</v>
      </c>
      <c r="I133" s="240">
        <f>AW$45</f>
        <v>0.004239040785835113</v>
      </c>
      <c r="J133" s="240">
        <f>AW$46</f>
        <v>0.007348875334645737</v>
      </c>
      <c r="K133" s="240">
        <f>AW$47</f>
        <v>0.07281895681579398</v>
      </c>
      <c r="L133" s="240">
        <f>AW$48</f>
        <v>0.1021753933731896</v>
      </c>
    </row>
    <row r="134">
      <c r="A134" s="3" t="inlineStr">
        <is>
          <t>ppp</t>
        </is>
      </c>
      <c r="B134" s="3" t="inlineStr">
        <is>
          <t>Paper</t>
        </is>
      </c>
      <c r="C134" s="3" t="inlineStr">
        <is>
          <t>omn</t>
        </is>
      </c>
      <c r="D134" s="195">
        <f>AX$43</f>
        <v>1455.942622755077</v>
      </c>
      <c r="E134" s="195">
        <f>AX$42</f>
        <v>685.4081857865456</v>
      </c>
      <c r="F134" s="195">
        <f>AX$49</f>
        <v>3318.323954120063</v>
      </c>
      <c r="G134" s="39">
        <f>AX$50</f>
        <v>0.0</v>
      </c>
      <c r="H134" s="240">
        <f>AX$44</f>
        <v>0.00307260975838893</v>
      </c>
      <c r="I134" s="240">
        <f>AX$45</f>
        <v>0.008807164222472958</v>
      </c>
      <c r="J134" s="240">
        <f>AX$46</f>
        <v>0.01102916606553573</v>
      </c>
      <c r="K134" s="240">
        <f>AX$47</f>
        <v>0.04672633035952233</v>
      </c>
      <c r="L134" s="240">
        <f>AX$48</f>
        <v>0.06916428069967563</v>
      </c>
    </row>
    <row r="135">
      <c r="A135" s="3" t="inlineStr">
        <is>
          <t>rmk</t>
        </is>
      </c>
      <c r="B135" s="3" t="inlineStr">
        <is>
          <t>Raw milk</t>
        </is>
      </c>
      <c r="C135" s="3" t="inlineStr">
        <is>
          <t>foo</t>
        </is>
      </c>
      <c r="D135" s="195">
        <f>AY$43</f>
        <v>1291.572974584992</v>
      </c>
      <c r="E135" s="195">
        <f>AY$42</f>
        <v>7.121434433845842</v>
      </c>
      <c r="F135" s="195">
        <f>AY$49</f>
        <v>1838.401718374173</v>
      </c>
      <c r="G135" s="39">
        <f>AY$50</f>
        <v>0.0</v>
      </c>
      <c r="H135" s="240">
        <f>AY$44</f>
        <v>0.0008693263799723181</v>
      </c>
      <c r="I135" s="240">
        <f>AY$45</f>
        <v>0.001851348334704938</v>
      </c>
      <c r="J135" s="240">
        <f>AY$46</f>
        <v>0.002916892315325817</v>
      </c>
      <c r="K135" s="240">
        <f>AY$47</f>
        <v>0.02701296060603589</v>
      </c>
      <c r="L135" s="240">
        <f>AY$48</f>
        <v>0.03899337567254526</v>
      </c>
    </row>
    <row r="136">
      <c r="A136" s="3" t="inlineStr">
        <is>
          <t>ros</t>
        </is>
      </c>
      <c r="B136" s="3" t="inlineStr">
        <is>
          <t>Recreation</t>
        </is>
      </c>
      <c r="C136" s="3" t="inlineStr">
        <is>
          <t>res</t>
        </is>
      </c>
      <c r="D136" s="195">
        <f>AZ$43</f>
        <v>12627.7930806804</v>
      </c>
      <c r="E136" s="195">
        <f>AZ$42</f>
        <v>1139.565878513439</v>
      </c>
      <c r="F136" s="195">
        <f>AZ$49</f>
        <v>14424.38775146996</v>
      </c>
      <c r="G136" s="39">
        <f>AZ$50</f>
        <v>0.0</v>
      </c>
      <c r="H136" s="240">
        <f>AZ$44</f>
        <v>0.001142083368639247</v>
      </c>
      <c r="I136" s="240">
        <f>AZ$45</f>
        <v>0.005095780802479053</v>
      </c>
      <c r="J136" s="240">
        <f>AZ$46</f>
        <v>0.00402765414609381</v>
      </c>
      <c r="K136" s="240">
        <f>AZ$47</f>
        <v>0.01614614449906178</v>
      </c>
      <c r="L136" s="240">
        <f>AZ$48</f>
        <v>0.02383200425787302</v>
      </c>
    </row>
    <row r="137">
      <c r="A137" s="3" t="inlineStr">
        <is>
          <t>rpp</t>
        </is>
      </c>
      <c r="B137" s="3" t="inlineStr">
        <is>
          <t>Rubber &amp; plastics</t>
        </is>
      </c>
      <c r="C137" s="3" t="inlineStr">
        <is>
          <t>omn</t>
        </is>
      </c>
      <c r="D137" s="195">
        <f>BA$43</f>
        <v>1146.92710133988</v>
      </c>
      <c r="E137" s="195">
        <f>BA$42</f>
        <v>852.8387990173746</v>
      </c>
      <c r="F137" s="195">
        <f>BA$49</f>
        <v>3505.456237351073</v>
      </c>
      <c r="G137" s="39">
        <f>BA$50</f>
        <v>0.0</v>
      </c>
      <c r="H137" s="240">
        <f>BA$44</f>
        <v>0.0052659858552337</v>
      </c>
      <c r="I137" s="240">
        <f>BA$45</f>
        <v>0.00689113066712316</v>
      </c>
      <c r="J137" s="240">
        <f>BA$46</f>
        <v>0.02643244691287596</v>
      </c>
      <c r="K137" s="240">
        <f>BA$47</f>
        <v>0.03811563960189785</v>
      </c>
      <c r="L137" s="240">
        <f>BA$48</f>
        <v>0.05894958009016666</v>
      </c>
    </row>
    <row r="138">
      <c r="A138" s="3" t="inlineStr">
        <is>
          <t>rsa</t>
        </is>
      </c>
      <c r="B138" s="3" t="inlineStr">
        <is>
          <t>Real estate activities</t>
        </is>
      </c>
      <c r="C138" s="3" t="inlineStr">
        <is>
          <t>srv</t>
        </is>
      </c>
      <c r="D138" s="195">
        <f>BB$43</f>
        <v>2319.648196961056</v>
      </c>
      <c r="E138" s="195">
        <f>BB$42</f>
        <v>86.69010438010785</v>
      </c>
      <c r="F138" s="195">
        <f>BB$49</f>
        <v>4463.302583550999</v>
      </c>
      <c r="G138" s="39">
        <f>BB$50</f>
        <v>0.0</v>
      </c>
      <c r="H138" s="240">
        <f>BB$44</f>
        <v>0.0003224778103073781</v>
      </c>
      <c r="I138" s="240">
        <f>BB$45</f>
        <v>0.004096312652584443</v>
      </c>
      <c r="J138" s="240">
        <f>BB$46</f>
        <v>0.001848888765815128</v>
      </c>
      <c r="K138" s="240">
        <f>BB$47</f>
        <v>0.006927121403067594</v>
      </c>
      <c r="L138" s="240">
        <f>BB$48</f>
        <v>0.009935272556762572</v>
      </c>
    </row>
    <row r="139">
      <c r="A139" s="3" t="inlineStr">
        <is>
          <t>sgr</t>
        </is>
      </c>
      <c r="B139" s="3" t="inlineStr">
        <is>
          <t>Sugar and molasses</t>
        </is>
      </c>
      <c r="C139" s="3" t="inlineStr">
        <is>
          <t>foo</t>
        </is>
      </c>
      <c r="D139" s="195">
        <f>BC$43</f>
        <v>1295.250021851018</v>
      </c>
      <c r="E139" s="195">
        <f>BC$42</f>
        <v>372.4998080338462</v>
      </c>
      <c r="F139" s="195">
        <f>BC$49</f>
        <v>2135.361527779695</v>
      </c>
      <c r="G139" s="39">
        <f>BC$50</f>
        <v>0.0</v>
      </c>
      <c r="H139" s="240">
        <f>BC$44</f>
        <v>0.001935426977415401</v>
      </c>
      <c r="I139" s="240">
        <f>BC$45</f>
        <v>0.002871978227192091</v>
      </c>
      <c r="J139" s="240">
        <f>BC$46</f>
        <v>0.005016211077663093</v>
      </c>
      <c r="K139" s="240">
        <f>BC$47</f>
        <v>0.03975604852740468</v>
      </c>
      <c r="L139" s="240">
        <f>BC$48</f>
        <v>0.05707643154694231</v>
      </c>
    </row>
    <row r="140">
      <c r="A140" s="3" t="inlineStr">
        <is>
          <t>tex</t>
        </is>
      </c>
      <c r="B140" s="3" t="inlineStr">
        <is>
          <t>Textiles</t>
        </is>
      </c>
      <c r="C140" s="3" t="inlineStr">
        <is>
          <t>omn</t>
        </is>
      </c>
      <c r="D140" s="195">
        <f>BD$43</f>
        <v>8534.429572637737</v>
      </c>
      <c r="E140" s="195">
        <f>BD$42</f>
        <v>2097.800090698511</v>
      </c>
      <c r="F140" s="195">
        <f>BD$49</f>
        <v>24709.35585397993</v>
      </c>
      <c r="G140" s="39">
        <f>BD$50</f>
        <v>0.0</v>
      </c>
      <c r="H140" s="240">
        <f>BD$44</f>
        <v>0.001739838844425585</v>
      </c>
      <c r="I140" s="240">
        <f>BD$45</f>
        <v>0.003287127908195085</v>
      </c>
      <c r="J140" s="240">
        <f>BD$46</f>
        <v>0.003888211161240639</v>
      </c>
      <c r="K140" s="240">
        <f>BD$47</f>
        <v>0.02620387608408191</v>
      </c>
      <c r="L140" s="240">
        <f>BD$48</f>
        <v>0.0366340887824334</v>
      </c>
    </row>
    <row r="141">
      <c r="A141" s="3" t="inlineStr">
        <is>
          <t>trd</t>
        </is>
      </c>
      <c r="B141" s="3" t="inlineStr">
        <is>
          <t>Vehicles repair</t>
        </is>
      </c>
      <c r="C141" s="3" t="inlineStr">
        <is>
          <t>srv</t>
        </is>
      </c>
      <c r="D141" s="195">
        <f>BE$43</f>
        <v>15650.20722511918</v>
      </c>
      <c r="E141" s="195">
        <f>BE$42</f>
        <v>474.9209413670048</v>
      </c>
      <c r="F141" s="195">
        <f>BE$49</f>
        <v>26943.66388223795</v>
      </c>
      <c r="G141" s="39">
        <f>BE$50</f>
        <v>0.0</v>
      </c>
      <c r="H141" s="240">
        <f>BE$44</f>
        <v>0.0006970785130301204</v>
      </c>
      <c r="I141" s="240">
        <f>BE$45</f>
        <v>0.003992134284835022</v>
      </c>
      <c r="J141" s="240">
        <f>BE$46</f>
        <v>0.002163806615735708</v>
      </c>
      <c r="K141" s="240">
        <f>BE$47</f>
        <v>0.01540371277490718</v>
      </c>
      <c r="L141" s="240">
        <f>BE$48</f>
        <v>0.0225918166522188</v>
      </c>
    </row>
    <row r="142">
      <c r="A142" s="3" t="inlineStr">
        <is>
          <t>v_f</t>
        </is>
      </c>
      <c r="B142" s="3" t="inlineStr">
        <is>
          <t>Veg &amp; fruit</t>
        </is>
      </c>
      <c r="C142" s="3" t="inlineStr">
        <is>
          <t>foo</t>
        </is>
      </c>
      <c r="D142" s="195">
        <f>BF$43</f>
        <v>11488.77498722335</v>
      </c>
      <c r="E142" s="195">
        <f>BF$42</f>
        <v>2535.257971745432</v>
      </c>
      <c r="F142" s="195">
        <f>BF$49</f>
        <v>19834.28676003992</v>
      </c>
      <c r="G142" s="39">
        <f>BF$50</f>
        <v>0.0</v>
      </c>
      <c r="H142" s="240">
        <f>BF$44</f>
        <v>0.0006420599698373184</v>
      </c>
      <c r="I142" s="240">
        <f>BF$45</f>
        <v>0.001309398149147419</v>
      </c>
      <c r="J142" s="240">
        <f>BF$46</f>
        <v>0.002236968606100039</v>
      </c>
      <c r="K142" s="240">
        <f>BF$47</f>
        <v>0.0212017269396388</v>
      </c>
      <c r="L142" s="240">
        <f>BF$48</f>
        <v>0.03040498345866758</v>
      </c>
    </row>
    <row r="143">
      <c r="A143" s="3" t="inlineStr">
        <is>
          <t>vol</t>
        </is>
      </c>
      <c r="B143" s="3" t="inlineStr">
        <is>
          <t>Vegetable Oils</t>
        </is>
      </c>
      <c r="C143" s="3" t="inlineStr">
        <is>
          <t>foo</t>
        </is>
      </c>
      <c r="D143" s="195">
        <f>BG$43</f>
        <v>50.1829172774557</v>
      </c>
      <c r="E143" s="195">
        <f>BG$42</f>
        <v>192.317533638872</v>
      </c>
      <c r="F143" s="195">
        <f>BG$49</f>
        <v>419.9716206852342</v>
      </c>
      <c r="G143" s="39">
        <f>BG$50</f>
        <v>0.0</v>
      </c>
      <c r="H143" s="240">
        <f>BG$44</f>
        <v>0.0005941626275526843</v>
      </c>
      <c r="I143" s="240">
        <f>BG$45</f>
        <v>0.001310414823662987</v>
      </c>
      <c r="J143" s="240">
        <f>BG$46</f>
        <v>0.002220156575308069</v>
      </c>
      <c r="K143" s="240">
        <f>BG$47</f>
        <v>0.02120230361222654</v>
      </c>
      <c r="L143" s="240">
        <f>BG$48</f>
        <v>0.02893726759865048</v>
      </c>
    </row>
    <row r="144">
      <c r="A144" s="3" t="inlineStr">
        <is>
          <t>wap</t>
        </is>
      </c>
      <c r="B144" s="3" t="inlineStr">
        <is>
          <t>Apparel</t>
        </is>
      </c>
      <c r="C144" s="3" t="inlineStr">
        <is>
          <t>omn</t>
        </is>
      </c>
      <c r="D144" s="195">
        <f>BH$43</f>
        <v>19933.47835732484</v>
      </c>
      <c r="E144" s="195">
        <f>BH$42</f>
        <v>3137.7162560565</v>
      </c>
      <c r="F144" s="195">
        <f>BH$49</f>
        <v>26555.4367266728</v>
      </c>
      <c r="G144" s="39">
        <f>BH$50</f>
        <v>0.0</v>
      </c>
      <c r="H144" s="240">
        <f>BH$44</f>
        <v>0.001952750933395483</v>
      </c>
      <c r="I144" s="240">
        <f>BH$45</f>
        <v>0.002790571883328238</v>
      </c>
      <c r="J144" s="240">
        <f>BH$46</f>
        <v>0.00397337402449126</v>
      </c>
      <c r="K144" s="240">
        <f>BH$47</f>
        <v>0.01957194383818571</v>
      </c>
      <c r="L144" s="240">
        <f>BH$48</f>
        <v>0.0292588495934465</v>
      </c>
    </row>
    <row r="145">
      <c r="A145" s="3" t="inlineStr">
        <is>
          <t>whs</t>
        </is>
      </c>
      <c r="B145" s="3" t="inlineStr">
        <is>
          <t>Warehousing</t>
        </is>
      </c>
      <c r="C145" s="3" t="inlineStr">
        <is>
          <t>srv</t>
        </is>
      </c>
      <c r="D145" s="195">
        <f>BI$43</f>
        <v>2390.745260931696</v>
      </c>
      <c r="E145" s="195">
        <f>BI$42</f>
        <v>848.4691281295385</v>
      </c>
      <c r="F145" s="195">
        <f>BI$49</f>
        <v>4387.911183377291</v>
      </c>
      <c r="G145" s="39">
        <f>BI$50</f>
        <v>0.0</v>
      </c>
      <c r="H145" s="240">
        <f>BI$44</f>
        <v>0.002258194383248012</v>
      </c>
      <c r="I145" s="240">
        <f>BI$45</f>
        <v>0.003918815407250791</v>
      </c>
      <c r="J145" s="240">
        <f>BI$46</f>
        <v>0.003826749876633153</v>
      </c>
      <c r="K145" s="240">
        <f>BI$47</f>
        <v>0.01667470821742641</v>
      </c>
      <c r="L145" s="240">
        <f>BI$48</f>
        <v>0.0251794029356979</v>
      </c>
    </row>
    <row r="146">
      <c r="A146" s="3" t="inlineStr">
        <is>
          <t>wht</t>
        </is>
      </c>
      <c r="B146" s="3" t="inlineStr">
        <is>
          <t>Wheat</t>
        </is>
      </c>
      <c r="C146" s="3" t="inlineStr">
        <is>
          <t>foo</t>
        </is>
      </c>
      <c r="D146" s="195">
        <f>BJ$43</f>
        <v>3422.23169393556</v>
      </c>
      <c r="E146" s="195">
        <f>BJ$42</f>
        <v>17.80401478883522</v>
      </c>
      <c r="F146" s="195">
        <f>BJ$49</f>
        <v>6070.168994113447</v>
      </c>
      <c r="G146" s="39">
        <f>BJ$50</f>
        <v>0.0</v>
      </c>
      <c r="H146" s="240">
        <f>BJ$44</f>
        <v>0.001139773747886094</v>
      </c>
      <c r="I146" s="240">
        <f>BJ$45</f>
        <v>0.002469190364587747</v>
      </c>
      <c r="J146" s="240">
        <f>BJ$46</f>
        <v>0.00380857014944323</v>
      </c>
      <c r="K146" s="240">
        <f>BJ$47</f>
        <v>0.03936502093765794</v>
      </c>
      <c r="L146" s="240">
        <f>BJ$48</f>
        <v>0.05417118432158361</v>
      </c>
    </row>
    <row r="147">
      <c r="A147" s="3" t="inlineStr">
        <is>
          <t>wol</t>
        </is>
      </c>
      <c r="B147" s="3" t="inlineStr">
        <is>
          <t>Wool</t>
        </is>
      </c>
      <c r="C147" s="3" t="inlineStr">
        <is>
          <t>foo</t>
        </is>
      </c>
      <c r="D147" s="195">
        <f>BK$43</f>
        <v>11.96672053568368</v>
      </c>
      <c r="E147" s="195">
        <f>BK$42</f>
        <v>51.98281157695158</v>
      </c>
      <c r="F147" s="195">
        <f>BK$49</f>
        <v>46.66968618418917</v>
      </c>
      <c r="G147" s="39">
        <f>BK$50</f>
        <v>0.0</v>
      </c>
      <c r="H147" s="240">
        <f>BK$44</f>
        <v>0.002938120685801643</v>
      </c>
      <c r="I147" s="240">
        <f>BK$45</f>
        <v>0.003712038510032808</v>
      </c>
      <c r="J147" s="240">
        <f>BK$46</f>
        <v>0.004488370357928635</v>
      </c>
      <c r="K147" s="240">
        <f>BK$47</f>
        <v>0.05282203895122881</v>
      </c>
      <c r="L147" s="240">
        <f>BK$48</f>
        <v>0.07352393742541173</v>
      </c>
    </row>
    <row r="148">
      <c r="A148" s="3" t="inlineStr">
        <is>
          <t>wtp</t>
        </is>
      </c>
      <c r="B148" s="3" t="inlineStr">
        <is>
          <t>Water transport</t>
        </is>
      </c>
      <c r="C148" s="3" t="inlineStr">
        <is>
          <t>nav</t>
        </is>
      </c>
      <c r="D148" s="195">
        <f>BL$43</f>
        <v>634.1506332746521</v>
      </c>
      <c r="E148" s="195">
        <f>BL$42</f>
        <v>215.0857269878217</v>
      </c>
      <c r="F148" s="195">
        <f>BL$49</f>
        <v>2031.780319428982</v>
      </c>
      <c r="G148" s="39">
        <f>BL$50</f>
        <v>0.0</v>
      </c>
      <c r="H148" s="240">
        <f>BL$44</f>
        <v>0.004015237398823932</v>
      </c>
      <c r="I148" s="240">
        <f>BL$45</f>
        <v>0.002798489892575406</v>
      </c>
      <c r="J148" s="240">
        <f>BL$46</f>
        <v>0.01008913683465942</v>
      </c>
      <c r="K148" s="240">
        <f>BL$47</f>
        <v>0.1803318654740079</v>
      </c>
      <c r="L148" s="240">
        <f>BL$48</f>
        <v>0.2668171205415965</v>
      </c>
    </row>
    <row r="149">
      <c r="A149" s="3" t="inlineStr">
        <is>
          <t>wtr</t>
        </is>
      </c>
      <c r="B149" s="3" t="inlineStr">
        <is>
          <t>Water supply</t>
        </is>
      </c>
      <c r="C149" s="3" t="inlineStr">
        <is>
          <t>srv</t>
        </is>
      </c>
      <c r="D149" s="195">
        <f>BM$43</f>
        <v>956.776777747375</v>
      </c>
      <c r="E149" s="195">
        <f>BM$42</f>
        <v>25.89221814425625</v>
      </c>
      <c r="F149" s="195">
        <f>BM$49</f>
        <v>3724.015698675872</v>
      </c>
      <c r="G149" s="39">
        <f>BM$50</f>
        <v>0.0</v>
      </c>
      <c r="H149" s="240">
        <f>BM$44</f>
        <v>0.003858863512923773</v>
      </c>
      <c r="I149" s="240">
        <f>BM$45</f>
        <v>0.01316572173557418</v>
      </c>
      <c r="J149" s="240">
        <f>BM$46</f>
        <v>0.008712255822348514</v>
      </c>
      <c r="K149" s="240">
        <f>BM$47</f>
        <v>0.04021774719837681</v>
      </c>
      <c r="L149" s="240">
        <f>BM$48</f>
        <v>0.05718286000313826</v>
      </c>
    </row>
    <row r="150"/>
    <row r="151">
      <c r="A151" s="6" t="inlineStr">
        <is>
          <t>Pass-through of input costs to output prices by CPAT sector (legacy Distribution I470:I486; data/distn_passthrough.csv; power 1, fix D26)</t>
        </is>
      </c>
    </row>
    <row r="152">
      <c r="A152" s="3" t="inlineStr">
        <is>
          <t>pow</t>
        </is>
      </c>
      <c r="B152" s="3" t="inlineStr">
        <is>
          <t>Electricity production</t>
        </is>
      </c>
      <c r="C152" s="196" t="n">
        <v>1</v>
      </c>
    </row>
    <row r="153">
      <c r="A153" s="3" t="inlineStr">
        <is>
          <t>ral</t>
        </is>
      </c>
      <c r="B153" s="3" t="inlineStr">
        <is>
          <t>Rail</t>
        </is>
      </c>
      <c r="C153" s="196" t="n">
        <v>0.905</v>
      </c>
    </row>
    <row r="154">
      <c r="A154" s="3" t="inlineStr">
        <is>
          <t>rod</t>
        </is>
      </c>
      <c r="B154" s="3" t="inlineStr">
        <is>
          <t>Road</t>
        </is>
      </c>
      <c r="C154" s="196" t="n">
        <v>0.905</v>
      </c>
    </row>
    <row r="155">
      <c r="A155" s="3" t="inlineStr">
        <is>
          <t>avi</t>
        </is>
      </c>
      <c r="B155" s="3" t="inlineStr">
        <is>
          <t>Domestic aviation</t>
        </is>
      </c>
      <c r="C155" s="196" t="n">
        <v>0.905</v>
      </c>
    </row>
    <row r="156">
      <c r="A156" s="3" t="inlineStr">
        <is>
          <t>nav</t>
        </is>
      </c>
      <c r="B156" s="3" t="inlineStr">
        <is>
          <t>Domestic navigation</t>
        </is>
      </c>
      <c r="C156" s="196" t="n">
        <v>0.905</v>
      </c>
    </row>
    <row r="157">
      <c r="A157" s="3" t="inlineStr">
        <is>
          <t>res</t>
        </is>
      </c>
      <c r="B157" s="3" t="inlineStr">
        <is>
          <t>Residential sector</t>
        </is>
      </c>
      <c r="C157" s="196" t="n">
        <v>0.905</v>
      </c>
    </row>
    <row r="158">
      <c r="A158" s="3" t="inlineStr">
        <is>
          <t>foo</t>
        </is>
      </c>
      <c r="B158" s="3" t="inlineStr">
        <is>
          <t>Food &amp; forestry</t>
        </is>
      </c>
      <c r="C158" s="196" t="n">
        <v>0.681</v>
      </c>
    </row>
    <row r="159">
      <c r="A159" s="3" t="inlineStr">
        <is>
          <t>srv</t>
        </is>
      </c>
      <c r="B159" s="3" t="inlineStr">
        <is>
          <t>Services (public &amp; private)</t>
        </is>
      </c>
      <c r="C159" s="196" t="n">
        <v>0.963</v>
      </c>
    </row>
    <row r="160">
      <c r="A160" s="3" t="inlineStr">
        <is>
          <t>mch</t>
        </is>
      </c>
      <c r="B160" s="3" t="inlineStr">
        <is>
          <t>Mining &amp; Chemicals</t>
        </is>
      </c>
      <c r="C160" s="196" t="n">
        <v>0.711</v>
      </c>
    </row>
    <row r="161">
      <c r="A161" s="3" t="inlineStr">
        <is>
          <t>irn</t>
        </is>
      </c>
      <c r="B161" s="3" t="inlineStr">
        <is>
          <t>Iron and steel</t>
        </is>
      </c>
      <c r="C161" s="196" t="n">
        <v>0.711</v>
      </c>
    </row>
    <row r="162">
      <c r="A162" s="3" t="inlineStr">
        <is>
          <t>nfm</t>
        </is>
      </c>
      <c r="B162" s="3" t="inlineStr">
        <is>
          <t>Non-ferrous metals</t>
        </is>
      </c>
      <c r="C162" s="196" t="n">
        <v>0.711</v>
      </c>
    </row>
    <row r="163">
      <c r="A163" s="3" t="inlineStr">
        <is>
          <t>mac</t>
        </is>
      </c>
      <c r="B163" s="3" t="inlineStr">
        <is>
          <t>Machinery</t>
        </is>
      </c>
      <c r="C163" s="196" t="n">
        <v>0.6919999999999999</v>
      </c>
    </row>
    <row r="164">
      <c r="A164" s="3" t="inlineStr">
        <is>
          <t>cem</t>
        </is>
      </c>
      <c r="B164" s="3" t="inlineStr">
        <is>
          <t>Cement</t>
        </is>
      </c>
      <c r="C164" s="196" t="n">
        <v>0.775</v>
      </c>
    </row>
    <row r="165">
      <c r="A165" s="3" t="inlineStr">
        <is>
          <t>omn</t>
        </is>
      </c>
      <c r="B165" s="3" t="inlineStr">
        <is>
          <t>Other manufacturing</t>
        </is>
      </c>
      <c r="C165" s="196" t="n">
        <v>0.6919999999999999</v>
      </c>
    </row>
    <row r="166">
      <c r="A166" s="3" t="inlineStr">
        <is>
          <t>cst</t>
        </is>
      </c>
      <c r="B166" s="3" t="inlineStr">
        <is>
          <t>Construction</t>
        </is>
      </c>
      <c r="C166" s="196" t="n">
        <v>0.6919999999999999</v>
      </c>
    </row>
    <row r="167">
      <c r="A167" s="3" t="inlineStr">
        <is>
          <t>ftr</t>
        </is>
      </c>
      <c r="B167" s="3" t="inlineStr">
        <is>
          <t>Fuel transformation &amp; transportation</t>
        </is>
      </c>
      <c r="C167" s="196" t="n">
        <v>0.327</v>
      </c>
    </row>
  </sheetData>
  <pageMargins left="0.75" right="0.75" top="1" bottom="1" header="0.5" footer="0.5"/>
</worksheet>
</file>

<file path=xl/worksheets/sheet9.xml><?xml version="1.0" encoding="utf-8"?>
<worksheet xmlns="http://schemas.openxmlformats.org/spreadsheetml/2006/main">
  <sheetPr>
    <tabColor rgb="00DCE6F1"/>
    <outlinePr summaryBelow="1" summaryRight="1"/>
    <pageSetUpPr/>
  </sheetPr>
  <dimension ref="A1:BP14"/>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IO_GTAP, extract_legacy_tables.py. Legacy table unchanged: paste the legacy data rows (all countries) at A4</t>
        </is>
      </c>
    </row>
    <row r="2">
      <c r="A2" s="1" t="inlineStr">
        <is>
          <t>IO_GTAP - GTAP input-output data by series (rows) and sector (columns), USD m, GTAP year</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row>
    <row r="3">
      <c r="A3" s="188" t="inlineStr">
        <is>
          <t>dis</t>
        </is>
      </c>
      <c r="B3" s="188" t="inlineStr">
        <is>
          <t>iso3</t>
        </is>
      </c>
      <c r="C3" s="188" t="inlineStr">
        <is>
          <t>year</t>
        </is>
      </c>
      <c r="D3" s="188" t="inlineStr">
        <is>
          <t>sector</t>
        </is>
      </c>
      <c r="E3" s="188" t="inlineStr">
        <is>
          <t>afs</t>
        </is>
      </c>
      <c r="F3" s="188" t="inlineStr">
        <is>
          <t>atp</t>
        </is>
      </c>
      <c r="G3" s="188" t="inlineStr">
        <is>
          <t>b_t</t>
        </is>
      </c>
      <c r="H3" s="188" t="inlineStr">
        <is>
          <t>bph</t>
        </is>
      </c>
      <c r="I3" s="188" t="inlineStr">
        <is>
          <t>c_b</t>
        </is>
      </c>
      <c r="J3" s="188" t="inlineStr">
        <is>
          <t>chm</t>
        </is>
      </c>
      <c r="K3" s="188" t="inlineStr">
        <is>
          <t>cmn</t>
        </is>
      </c>
      <c r="L3" s="188" t="inlineStr">
        <is>
          <t>cmt</t>
        </is>
      </c>
      <c r="M3" s="188" t="inlineStr">
        <is>
          <t>cns</t>
        </is>
      </c>
      <c r="N3" s="188" t="inlineStr">
        <is>
          <t>coa</t>
        </is>
      </c>
      <c r="O3" s="188" t="inlineStr">
        <is>
          <t>ctl</t>
        </is>
      </c>
      <c r="P3" s="188" t="inlineStr">
        <is>
          <t>dwe</t>
        </is>
      </c>
      <c r="Q3" s="188" t="inlineStr">
        <is>
          <t>edu</t>
        </is>
      </c>
      <c r="R3" s="188" t="inlineStr">
        <is>
          <t>eeq</t>
        </is>
      </c>
      <c r="S3" s="188" t="inlineStr">
        <is>
          <t>ele</t>
        </is>
      </c>
      <c r="T3" s="188" t="inlineStr">
        <is>
          <t>ely</t>
        </is>
      </c>
      <c r="U3" s="188" t="inlineStr">
        <is>
          <t>fmp</t>
        </is>
      </c>
      <c r="V3" s="188" t="inlineStr">
        <is>
          <t>frs</t>
        </is>
      </c>
      <c r="W3" s="188" t="inlineStr">
        <is>
          <t>fsh</t>
        </is>
      </c>
      <c r="X3" s="188" t="inlineStr">
        <is>
          <t>gro</t>
        </is>
      </c>
      <c r="Y3" s="188" t="inlineStr">
        <is>
          <t>hht</t>
        </is>
      </c>
      <c r="Z3" s="188" t="inlineStr">
        <is>
          <t>i_s</t>
        </is>
      </c>
      <c r="AA3" s="188" t="inlineStr">
        <is>
          <t>ins</t>
        </is>
      </c>
      <c r="AB3" s="188" t="inlineStr">
        <is>
          <t>lea</t>
        </is>
      </c>
      <c r="AC3" s="188" t="inlineStr">
        <is>
          <t>lum</t>
        </is>
      </c>
      <c r="AD3" s="188" t="inlineStr">
        <is>
          <t>mil</t>
        </is>
      </c>
      <c r="AE3" s="188" t="inlineStr">
        <is>
          <t>mvh</t>
        </is>
      </c>
      <c r="AF3" s="188" t="inlineStr">
        <is>
          <t>nfm</t>
        </is>
      </c>
      <c r="AG3" s="188" t="inlineStr">
        <is>
          <t>nga</t>
        </is>
      </c>
      <c r="AH3" s="188" t="inlineStr">
        <is>
          <t>nmm</t>
        </is>
      </c>
      <c r="AI3" s="188" t="inlineStr">
        <is>
          <t>oap</t>
        </is>
      </c>
      <c r="AJ3" s="188" t="inlineStr">
        <is>
          <t>obs</t>
        </is>
      </c>
      <c r="AK3" s="188" t="inlineStr">
        <is>
          <t>ocr</t>
        </is>
      </c>
      <c r="AL3" s="188" t="inlineStr">
        <is>
          <t>ofd</t>
        </is>
      </c>
      <c r="AM3" s="188" t="inlineStr">
        <is>
          <t>ofi</t>
        </is>
      </c>
      <c r="AN3" s="188" t="inlineStr">
        <is>
          <t>oil</t>
        </is>
      </c>
      <c r="AO3" s="188" t="inlineStr">
        <is>
          <t>ome</t>
        </is>
      </c>
      <c r="AP3" s="188" t="inlineStr">
        <is>
          <t>omf</t>
        </is>
      </c>
      <c r="AQ3" s="188" t="inlineStr">
        <is>
          <t>omt</t>
        </is>
      </c>
      <c r="AR3" s="188" t="inlineStr">
        <is>
          <t>osd</t>
        </is>
      </c>
      <c r="AS3" s="188" t="inlineStr">
        <is>
          <t>osg</t>
        </is>
      </c>
      <c r="AT3" s="188" t="inlineStr">
        <is>
          <t>otn</t>
        </is>
      </c>
      <c r="AU3" s="188" t="inlineStr">
        <is>
          <t>otp</t>
        </is>
      </c>
      <c r="AV3" s="188" t="inlineStr">
        <is>
          <t>oxt</t>
        </is>
      </c>
      <c r="AW3" s="188" t="inlineStr">
        <is>
          <t>p_c</t>
        </is>
      </c>
      <c r="AX3" s="188" t="inlineStr">
        <is>
          <t>pcr</t>
        </is>
      </c>
      <c r="AY3" s="188" t="inlineStr">
        <is>
          <t>pdr</t>
        </is>
      </c>
      <c r="AZ3" s="188" t="inlineStr">
        <is>
          <t>pfb</t>
        </is>
      </c>
      <c r="BA3" s="188" t="inlineStr">
        <is>
          <t>ppp</t>
        </is>
      </c>
      <c r="BB3" s="188" t="inlineStr">
        <is>
          <t>rmk</t>
        </is>
      </c>
      <c r="BC3" s="188" t="inlineStr">
        <is>
          <t>ros</t>
        </is>
      </c>
      <c r="BD3" s="188" t="inlineStr">
        <is>
          <t>rpp</t>
        </is>
      </c>
      <c r="BE3" s="188" t="inlineStr">
        <is>
          <t>rsa</t>
        </is>
      </c>
      <c r="BF3" s="188" t="inlineStr">
        <is>
          <t>sgr</t>
        </is>
      </c>
      <c r="BG3" s="188" t="inlineStr">
        <is>
          <t>tex</t>
        </is>
      </c>
      <c r="BH3" s="188" t="inlineStr">
        <is>
          <t>trd</t>
        </is>
      </c>
      <c r="BI3" s="188" t="inlineStr">
        <is>
          <t>v_f</t>
        </is>
      </c>
      <c r="BJ3" s="188" t="inlineStr">
        <is>
          <t>vol</t>
        </is>
      </c>
      <c r="BK3" s="188" t="inlineStr">
        <is>
          <t>wap</t>
        </is>
      </c>
      <c r="BL3" s="188" t="inlineStr">
        <is>
          <t>whs</t>
        </is>
      </c>
      <c r="BM3" s="188" t="inlineStr">
        <is>
          <t>wht</t>
        </is>
      </c>
      <c r="BN3" s="188" t="inlineStr">
        <is>
          <t>wol</t>
        </is>
      </c>
      <c r="BO3" s="188" t="inlineStr">
        <is>
          <t>wtp</t>
        </is>
      </c>
      <c r="BP3" s="188" t="inlineStr">
        <is>
          <t>wtr</t>
        </is>
      </c>
    </row>
    <row r="4">
      <c r="A4" s="3" t="inlineStr">
        <is>
          <t>egy.domcons</t>
        </is>
      </c>
      <c r="B4" s="3" t="inlineStr">
        <is>
          <t>egy</t>
        </is>
      </c>
      <c r="C4" s="3" t="n">
        <v>2014</v>
      </c>
      <c r="D4" s="3" t="inlineStr">
        <is>
          <t>DOMCONS</t>
        </is>
      </c>
      <c r="E4" s="3" t="n"/>
      <c r="F4" s="3" t="n"/>
      <c r="G4" s="3" t="n"/>
      <c r="H4" s="3" t="n"/>
      <c r="I4" s="3" t="n"/>
      <c r="J4" s="3" t="n"/>
      <c r="K4" s="3" t="n"/>
      <c r="L4" s="3" t="n"/>
      <c r="M4" s="3" t="n"/>
      <c r="N4" s="3" t="n">
        <v>58.94241840902728</v>
      </c>
      <c r="O4" s="3" t="n"/>
      <c r="P4" s="3" t="n"/>
      <c r="Q4" s="3" t="n"/>
      <c r="R4" s="3" t="n"/>
      <c r="S4" s="3" t="n"/>
      <c r="T4" s="3" t="n">
        <v>6457.446844347404</v>
      </c>
      <c r="U4" s="3" t="n"/>
      <c r="V4" s="3" t="n"/>
      <c r="W4" s="3" t="n"/>
      <c r="X4" s="3" t="n"/>
      <c r="Y4" s="3" t="n"/>
      <c r="Z4" s="3" t="n"/>
      <c r="AA4" s="3" t="n"/>
      <c r="AB4" s="3" t="n"/>
      <c r="AC4" s="3" t="n"/>
      <c r="AD4" s="3" t="n"/>
      <c r="AE4" s="3" t="n"/>
      <c r="AF4" s="3" t="n"/>
      <c r="AG4" s="3" t="n">
        <v>4190.719220865701</v>
      </c>
      <c r="AH4" s="3" t="n"/>
      <c r="AI4" s="3" t="n"/>
      <c r="AJ4" s="3" t="n"/>
      <c r="AK4" s="3" t="n"/>
      <c r="AL4" s="3" t="n"/>
      <c r="AM4" s="3" t="n"/>
      <c r="AN4" s="3" t="n">
        <v>13051.85258315135</v>
      </c>
      <c r="AO4" s="3" t="n"/>
      <c r="AP4" s="3" t="n"/>
      <c r="AQ4" s="3" t="n"/>
      <c r="AR4" s="3" t="n"/>
      <c r="AS4" s="3" t="n"/>
      <c r="AT4" s="3" t="n"/>
      <c r="AU4" s="3" t="n"/>
      <c r="AV4" s="3" t="n"/>
      <c r="AW4" s="3" t="n">
        <v>14681.13401617087</v>
      </c>
      <c r="AX4" s="3" t="n"/>
      <c r="AY4" s="3" t="n"/>
      <c r="AZ4" s="3" t="n"/>
      <c r="BA4" s="3" t="n"/>
      <c r="BB4" s="3" t="n"/>
      <c r="BC4" s="3" t="n"/>
      <c r="BD4" s="3" t="n"/>
      <c r="BE4" s="3" t="n"/>
      <c r="BF4" s="3" t="n"/>
      <c r="BG4" s="3" t="n"/>
      <c r="BH4" s="3" t="n"/>
      <c r="BI4" s="3" t="n"/>
      <c r="BJ4" s="3" t="n"/>
      <c r="BK4" s="3" t="n"/>
      <c r="BL4" s="3" t="n"/>
      <c r="BM4" s="3" t="n"/>
      <c r="BN4" s="3" t="n"/>
      <c r="BO4" s="3" t="n"/>
      <c r="BP4" s="3" t="n"/>
    </row>
    <row r="5">
      <c r="A5" s="3" t="inlineStr">
        <is>
          <t>egy.exports</t>
        </is>
      </c>
      <c r="B5" s="3" t="inlineStr">
        <is>
          <t>egy</t>
        </is>
      </c>
      <c r="C5" s="3" t="n">
        <v>2014</v>
      </c>
      <c r="D5" s="3" t="inlineStr">
        <is>
          <t>Exports</t>
        </is>
      </c>
      <c r="E5" s="3" t="n">
        <v>296.271891600559</v>
      </c>
      <c r="F5" s="3" t="n">
        <v>1457.267402403502</v>
      </c>
      <c r="G5" s="3" t="n">
        <v>284.050826670863</v>
      </c>
      <c r="H5" s="3" t="n">
        <v>413.7084008221779</v>
      </c>
      <c r="I5" s="3" t="n">
        <v>7.226412121393301</v>
      </c>
      <c r="J5" s="3" t="n">
        <v>3762.377545275176</v>
      </c>
      <c r="K5" s="3" t="n">
        <v>1433.886526643713</v>
      </c>
      <c r="L5" s="3" t="n">
        <v>68.74257740466028</v>
      </c>
      <c r="M5" s="3" t="n">
        <v>1094.085940181609</v>
      </c>
      <c r="N5" s="3" t="n">
        <v>0.2251545605612314</v>
      </c>
      <c r="O5" s="3" t="n">
        <v>9.788125868149953</v>
      </c>
      <c r="P5" s="3" t="n">
        <v>2.860247900621051e-18</v>
      </c>
      <c r="Q5" s="3" t="n">
        <v>510.4291222444472</v>
      </c>
      <c r="R5" s="3" t="n">
        <v>1546.369098105046</v>
      </c>
      <c r="S5" s="3" t="n">
        <v>913.9247070600035</v>
      </c>
      <c r="T5" s="3" t="n">
        <v>31.4630295250102</v>
      </c>
      <c r="U5" s="3" t="n">
        <v>371.4862449912014</v>
      </c>
      <c r="V5" s="3" t="n">
        <v>3.726675096957718</v>
      </c>
      <c r="W5" s="3" t="n">
        <v>109.7585379518032</v>
      </c>
      <c r="X5" s="3" t="n">
        <v>17.38953737356017</v>
      </c>
      <c r="Y5" s="3" t="n">
        <v>348.8805465207298</v>
      </c>
      <c r="Z5" s="3" t="n">
        <v>918.8942617145678</v>
      </c>
      <c r="AA5" s="3" t="n">
        <v>262.9269735059963</v>
      </c>
      <c r="AB5" s="3" t="n">
        <v>227.6853976228593</v>
      </c>
      <c r="AC5" s="3" t="n">
        <v>178.9540791951099</v>
      </c>
      <c r="AD5" s="3" t="n">
        <v>475.2857405332416</v>
      </c>
      <c r="AE5" s="3" t="n">
        <v>277.8205701467425</v>
      </c>
      <c r="AF5" s="3" t="n">
        <v>1692.946537648581</v>
      </c>
      <c r="AG5" s="3" t="n">
        <v>1034.696576702019</v>
      </c>
      <c r="AH5" s="3" t="n">
        <v>1426.517250708339</v>
      </c>
      <c r="AI5" s="3" t="n">
        <v>42.22383495060884</v>
      </c>
      <c r="AJ5" s="3" t="n">
        <v>1426.738868959493</v>
      </c>
      <c r="AK5" s="3" t="n">
        <v>264.429461802159</v>
      </c>
      <c r="AL5" s="3" t="n">
        <v>1862.407673911097</v>
      </c>
      <c r="AM5" s="3" t="n">
        <v>313.7932523509113</v>
      </c>
      <c r="AN5" s="3" t="n">
        <v>6672.418470390672</v>
      </c>
      <c r="AO5" s="3" t="n">
        <v>195.6277862995585</v>
      </c>
      <c r="AP5" s="3" t="n">
        <v>359.2826355192473</v>
      </c>
      <c r="AQ5" s="3" t="n">
        <v>18.01463163681852</v>
      </c>
      <c r="AR5" s="3" t="n">
        <v>85.83733459391432</v>
      </c>
      <c r="AS5" s="3" t="n">
        <v>200.5369827201623</v>
      </c>
      <c r="AT5" s="3" t="n">
        <v>51.48878141902152</v>
      </c>
      <c r="AU5" s="3" t="n">
        <v>8063.06064086591</v>
      </c>
      <c r="AV5" s="3" t="n">
        <v>678.063610587255</v>
      </c>
      <c r="AW5" s="3" t="n">
        <v>2341.234427585464</v>
      </c>
      <c r="AX5" s="3" t="n">
        <v>79.68458985736929</v>
      </c>
      <c r="AY5" s="3" t="n">
        <v>7.599025899540455</v>
      </c>
      <c r="AZ5" s="3" t="n">
        <v>156.8289691807273</v>
      </c>
      <c r="BA5" s="3" t="n">
        <v>685.4081857865456</v>
      </c>
      <c r="BB5" s="3" t="n">
        <v>7.121434433845842</v>
      </c>
      <c r="BC5" s="3" t="n">
        <v>1139.565878513439</v>
      </c>
      <c r="BD5" s="3" t="n">
        <v>852.8387990173746</v>
      </c>
      <c r="BE5" s="3" t="n">
        <v>86.69010438010785</v>
      </c>
      <c r="BF5" s="3" t="n">
        <v>372.4998080338462</v>
      </c>
      <c r="BG5" s="3" t="n">
        <v>2097.800090698511</v>
      </c>
      <c r="BH5" s="3" t="n">
        <v>474.9209413670048</v>
      </c>
      <c r="BI5" s="3" t="n">
        <v>2535.257971745432</v>
      </c>
      <c r="BJ5" s="3" t="n">
        <v>192.317533638872</v>
      </c>
      <c r="BK5" s="3" t="n">
        <v>3137.7162560565</v>
      </c>
      <c r="BL5" s="3" t="n">
        <v>848.4691281295385</v>
      </c>
      <c r="BM5" s="3" t="n">
        <v>17.80401478883522</v>
      </c>
      <c r="BN5" s="3" t="n">
        <v>51.98281157695158</v>
      </c>
      <c r="BO5" s="3" t="n">
        <v>215.0857269878217</v>
      </c>
      <c r="BP5" s="3" t="n">
        <v>25.89221814425625</v>
      </c>
    </row>
    <row r="6">
      <c r="A6" s="3" t="inlineStr">
        <is>
          <t>egy.hhd</t>
        </is>
      </c>
      <c r="B6" s="3" t="inlineStr">
        <is>
          <t>egy</t>
        </is>
      </c>
      <c r="C6" s="3" t="n">
        <v>2014</v>
      </c>
      <c r="D6" s="3" t="inlineStr">
        <is>
          <t>HHD</t>
        </is>
      </c>
      <c r="E6" s="3" t="n">
        <v>10287.5962905064</v>
      </c>
      <c r="F6" s="3" t="n">
        <v>1403.097671837783</v>
      </c>
      <c r="G6" s="3" t="n">
        <v>11181.21020091318</v>
      </c>
      <c r="H6" s="3" t="n">
        <v>1472.639384287796</v>
      </c>
      <c r="I6" s="3" t="n">
        <v>1287.682388630199</v>
      </c>
      <c r="J6" s="3" t="n">
        <v>3587.94983345561</v>
      </c>
      <c r="K6" s="3" t="n">
        <v>19221.39294981499</v>
      </c>
      <c r="L6" s="3" t="n">
        <v>2385.994136661412</v>
      </c>
      <c r="M6" s="3" t="n">
        <v>2714.02385904994</v>
      </c>
      <c r="N6" s="3" t="n">
        <v>6.621297409925693e-06</v>
      </c>
      <c r="O6" s="3" t="n">
        <v>1254.342714038582</v>
      </c>
      <c r="P6" s="3" t="n">
        <v>14564.55509327812</v>
      </c>
      <c r="Q6" s="3" t="n">
        <v>4618.192019275322</v>
      </c>
      <c r="R6" s="3" t="n">
        <v>25.19724637143274</v>
      </c>
      <c r="S6" s="3" t="n">
        <v>2621.242312454111</v>
      </c>
      <c r="T6" s="3" t="n">
        <v>4436.953508487993</v>
      </c>
      <c r="U6" s="3" t="n">
        <v>638.4316320070935</v>
      </c>
      <c r="V6" s="3" t="n">
        <v>1.858765724901019</v>
      </c>
      <c r="W6" s="3" t="n">
        <v>3715.460708059009</v>
      </c>
      <c r="X6" s="3" t="n">
        <v>2245.318540645385</v>
      </c>
      <c r="Y6" s="3" t="n">
        <v>6187.302910392417</v>
      </c>
      <c r="Z6" s="3" t="n">
        <v>435.1547097451709</v>
      </c>
      <c r="AA6" s="3" t="n">
        <v>4775.91938276479</v>
      </c>
      <c r="AB6" s="3" t="n">
        <v>140.6122263755086</v>
      </c>
      <c r="AC6" s="3" t="n">
        <v>4263.230068087334</v>
      </c>
      <c r="AD6" s="3" t="n">
        <v>6020.733528679571</v>
      </c>
      <c r="AE6" s="3" t="n">
        <v>4084.914216861602</v>
      </c>
      <c r="AF6" s="3" t="n">
        <v>661.1984639992813</v>
      </c>
      <c r="AG6" s="3" t="n">
        <v>148.8553771715045</v>
      </c>
      <c r="AH6" s="3" t="n">
        <v>4144.499701683644</v>
      </c>
      <c r="AI6" s="3" t="n">
        <v>1410.375759481042</v>
      </c>
      <c r="AJ6" s="3" t="n">
        <v>625.803043597114</v>
      </c>
      <c r="AK6" s="3" t="n">
        <v>33.88278170407487</v>
      </c>
      <c r="AL6" s="3" t="n">
        <v>19824.22147904799</v>
      </c>
      <c r="AM6" s="3" t="n">
        <v>6924.028851860749</v>
      </c>
      <c r="AN6" s="3" t="n">
        <v>23.17207007429741</v>
      </c>
      <c r="AO6" s="3" t="n">
        <v>65.31985537169729</v>
      </c>
      <c r="AP6" s="3" t="n">
        <v>240.1923188355705</v>
      </c>
      <c r="AQ6" s="3" t="n">
        <v>1059.290969714765</v>
      </c>
      <c r="AR6" s="3" t="n">
        <v>1294.256086138921</v>
      </c>
      <c r="AS6" s="3" t="n">
        <v>1858.368172551902</v>
      </c>
      <c r="AT6" s="3" t="n">
        <v>622.5570837994075</v>
      </c>
      <c r="AU6" s="3" t="n">
        <v>11277.54621941355</v>
      </c>
      <c r="AV6" s="3" t="n">
        <v>220.9501182557025</v>
      </c>
      <c r="AW6" s="3" t="n">
        <v>5525.574469448149</v>
      </c>
      <c r="AX6" s="3" t="n">
        <v>4325.098549597541</v>
      </c>
      <c r="AY6" s="3" t="n">
        <v>1342.617225664612</v>
      </c>
      <c r="AZ6" s="3" t="n">
        <v>1452.522828736476</v>
      </c>
      <c r="BA6" s="3" t="n">
        <v>1455.942622755077</v>
      </c>
      <c r="BB6" s="3" t="n">
        <v>1291.572974584992</v>
      </c>
      <c r="BC6" s="3" t="n">
        <v>12627.7930806804</v>
      </c>
      <c r="BD6" s="3" t="n">
        <v>1146.92710133988</v>
      </c>
      <c r="BE6" s="3" t="n">
        <v>2319.648196961056</v>
      </c>
      <c r="BF6" s="3" t="n">
        <v>1295.250021851018</v>
      </c>
      <c r="BG6" s="3" t="n">
        <v>8534.429572637737</v>
      </c>
      <c r="BH6" s="3" t="n">
        <v>15650.20722511918</v>
      </c>
      <c r="BI6" s="3" t="n">
        <v>11488.77498722335</v>
      </c>
      <c r="BJ6" s="3" t="n">
        <v>50.1829172774557</v>
      </c>
      <c r="BK6" s="3" t="n">
        <v>19933.47835732484</v>
      </c>
      <c r="BL6" s="3" t="n">
        <v>2390.745260931696</v>
      </c>
      <c r="BM6" s="3" t="n">
        <v>3422.23169393556</v>
      </c>
      <c r="BN6" s="3" t="n">
        <v>11.96672053568368</v>
      </c>
      <c r="BO6" s="3" t="n">
        <v>634.1506332746521</v>
      </c>
      <c r="BP6" s="3" t="n">
        <v>956.776777747375</v>
      </c>
    </row>
    <row r="7">
      <c r="A7" s="3" t="inlineStr">
        <is>
          <t>egy.imports</t>
        </is>
      </c>
      <c r="B7" s="3" t="inlineStr">
        <is>
          <t>egy</t>
        </is>
      </c>
      <c r="C7" s="3" t="n">
        <v>2014</v>
      </c>
      <c r="D7" s="3" t="inlineStr">
        <is>
          <t>Imports</t>
        </is>
      </c>
      <c r="E7" s="3" t="n">
        <v>225.6132915528554</v>
      </c>
      <c r="F7" s="3" t="n">
        <v>829.2370651195428</v>
      </c>
      <c r="G7" s="3" t="n">
        <v>837.7744039529781</v>
      </c>
      <c r="H7" s="3" t="n">
        <v>2301.042730192752</v>
      </c>
      <c r="I7" s="3" t="n">
        <v>23.46176087731059</v>
      </c>
      <c r="J7" s="3" t="n">
        <v>7035.501775459183</v>
      </c>
      <c r="K7" s="3" t="n">
        <v>777.9246164592347</v>
      </c>
      <c r="L7" s="3" t="n">
        <v>1477.576162117462</v>
      </c>
      <c r="M7" s="3" t="n">
        <v>378.6803011673441</v>
      </c>
      <c r="N7" s="3" t="n">
        <v>58.80028202937117</v>
      </c>
      <c r="O7" s="3" t="n">
        <v>115.2856940072279</v>
      </c>
      <c r="P7" s="3" t="n">
        <v>2.860247900621051e-18</v>
      </c>
      <c r="Q7" s="3" t="n">
        <v>1471.311364354872</v>
      </c>
      <c r="R7" s="3" t="n">
        <v>2822.44174658057</v>
      </c>
      <c r="S7" s="3" t="n">
        <v>3639.995739882958</v>
      </c>
      <c r="T7" s="3" t="n">
        <v>14.78419181297699</v>
      </c>
      <c r="U7" s="3" t="n">
        <v>1713.751126126669</v>
      </c>
      <c r="V7" s="3" t="n">
        <v>32.08445920370786</v>
      </c>
      <c r="W7" s="3" t="n">
        <v>11.08781741840254</v>
      </c>
      <c r="X7" s="3" t="n">
        <v>2000.87711669723</v>
      </c>
      <c r="Y7" s="3" t="n">
        <v>232.2785492383619</v>
      </c>
      <c r="Z7" s="3" t="n">
        <v>5142.577459297207</v>
      </c>
      <c r="AA7" s="3" t="n">
        <v>1042.893724130515</v>
      </c>
      <c r="AB7" s="3" t="n">
        <v>649.0887284263224</v>
      </c>
      <c r="AC7" s="3" t="n">
        <v>1823.758377947598</v>
      </c>
      <c r="AD7" s="3" t="n">
        <v>890.6463426585564</v>
      </c>
      <c r="AE7" s="3" t="n">
        <v>5490.24547568178</v>
      </c>
      <c r="AF7" s="3" t="n">
        <v>2469.58636328757</v>
      </c>
      <c r="AG7" s="3" t="n">
        <v>4.136560781409536</v>
      </c>
      <c r="AH7" s="3" t="n">
        <v>1181.196712353105</v>
      </c>
      <c r="AI7" s="3" t="n">
        <v>121.6362647752686</v>
      </c>
      <c r="AJ7" s="3" t="n">
        <v>3157.845809132734</v>
      </c>
      <c r="AK7" s="3" t="n">
        <v>567.270894601233</v>
      </c>
      <c r="AL7" s="3" t="n">
        <v>1899.522658763341</v>
      </c>
      <c r="AM7" s="3" t="n">
        <v>297.0109641362932</v>
      </c>
      <c r="AN7" s="3" t="n">
        <v>1532.035799009949</v>
      </c>
      <c r="AO7" s="3" t="n">
        <v>5825.369713892235</v>
      </c>
      <c r="AP7" s="3" t="n">
        <v>1029.951658515595</v>
      </c>
      <c r="AQ7" s="3" t="n">
        <v>182.8503253676615</v>
      </c>
      <c r="AR7" s="3" t="n">
        <v>1177.571346309639</v>
      </c>
      <c r="AS7" s="3" t="n">
        <v>176.1030553817598</v>
      </c>
      <c r="AT7" s="3" t="n">
        <v>572.3833829913992</v>
      </c>
      <c r="AU7" s="3" t="n">
        <v>988.4662475454617</v>
      </c>
      <c r="AV7" s="3" t="n">
        <v>798.281994437657</v>
      </c>
      <c r="AW7" s="3" t="n">
        <v>6990.443409689182</v>
      </c>
      <c r="AX7" s="3" t="n">
        <v>26.83395772759104</v>
      </c>
      <c r="AY7" s="3" t="n">
        <v>0.5262347751798772</v>
      </c>
      <c r="AZ7" s="3" t="n">
        <v>186.7185252393692</v>
      </c>
      <c r="BA7" s="3" t="n">
        <v>1651.049379833046</v>
      </c>
      <c r="BB7" s="3" t="n">
        <v>0.9547300740301952</v>
      </c>
      <c r="BC7" s="3" t="n">
        <v>483.117123104316</v>
      </c>
      <c r="BD7" s="3" t="n">
        <v>2054.655959924634</v>
      </c>
      <c r="BE7" s="3" t="n">
        <v>106.213429297124</v>
      </c>
      <c r="BF7" s="3" t="n">
        <v>665.6984267290351</v>
      </c>
      <c r="BG7" s="3" t="n">
        <v>3453.186872074795</v>
      </c>
      <c r="BH7" s="3" t="n">
        <v>415.5894224639433</v>
      </c>
      <c r="BI7" s="3" t="n">
        <v>1062.749088370483</v>
      </c>
      <c r="BJ7" s="3" t="n">
        <v>2582.34004707674</v>
      </c>
      <c r="BK7" s="3" t="n">
        <v>1562.676381952479</v>
      </c>
      <c r="BL7" s="3" t="n">
        <v>155.5339809891226</v>
      </c>
      <c r="BM7" s="3" t="n">
        <v>3184.174941381182</v>
      </c>
      <c r="BN7" s="3" t="n">
        <v>59.80125789951776</v>
      </c>
      <c r="BO7" s="3" t="n">
        <v>72.85498774693602</v>
      </c>
      <c r="BP7" s="3" t="n">
        <v>20.0964282671108</v>
      </c>
    </row>
    <row r="8">
      <c r="A8" s="3" t="inlineStr">
        <is>
          <t>egy.output</t>
        </is>
      </c>
      <c r="B8" s="3" t="inlineStr">
        <is>
          <t>egy</t>
        </is>
      </c>
      <c r="C8" s="3" t="n">
        <v>2014</v>
      </c>
      <c r="D8" s="3" t="inlineStr">
        <is>
          <t>Output</t>
        </is>
      </c>
      <c r="E8" s="3" t="n">
        <v>11251.68101768571</v>
      </c>
      <c r="F8" s="3" t="n">
        <v>3638.647783320249</v>
      </c>
      <c r="G8" s="3" t="n">
        <v>12265.31606745908</v>
      </c>
      <c r="H8" s="3" t="n">
        <v>2998.729869699881</v>
      </c>
      <c r="I8" s="3" t="n">
        <v>2622.18517417264</v>
      </c>
      <c r="J8" s="3" t="n">
        <v>11384.10001343628</v>
      </c>
      <c r="K8" s="3" t="n">
        <v>26373.82356256246</v>
      </c>
      <c r="L8" s="3" t="n">
        <v>3204.923644068971</v>
      </c>
      <c r="M8" s="3" t="n">
        <v>31827.38148438366</v>
      </c>
      <c r="N8" s="3" t="n">
        <v>0.3586108844028645</v>
      </c>
      <c r="O8" s="3" t="n">
        <v>1540.576071570031</v>
      </c>
      <c r="P8" s="3" t="n">
        <v>15173.00655898254</v>
      </c>
      <c r="Q8" s="3" t="n">
        <v>13904.61364160128</v>
      </c>
      <c r="R8" s="3" t="n">
        <v>1736.855878903702</v>
      </c>
      <c r="S8" s="3" t="n">
        <v>7156.388567774538</v>
      </c>
      <c r="T8" s="3" t="n">
        <v>10759.24191777595</v>
      </c>
      <c r="U8" s="3" t="n">
        <v>7677.827517271953</v>
      </c>
      <c r="V8" s="3" t="n">
        <v>7.416085752545581</v>
      </c>
      <c r="W8" s="3" t="n">
        <v>4995.682056827297</v>
      </c>
      <c r="X8" s="3" t="n">
        <v>5749.541580269509</v>
      </c>
      <c r="Y8" s="3" t="n">
        <v>23019.82710972295</v>
      </c>
      <c r="Z8" s="3" t="n">
        <v>3363.16535338051</v>
      </c>
      <c r="AA8" s="3" t="n">
        <v>6044.193560665437</v>
      </c>
      <c r="AB8" s="3" t="n">
        <v>1452.914622381694</v>
      </c>
      <c r="AC8" s="3" t="n">
        <v>5670.504154767611</v>
      </c>
      <c r="AD8" s="3" t="n">
        <v>8224.248954594401</v>
      </c>
      <c r="AE8" s="3" t="n">
        <v>6465.030017211342</v>
      </c>
      <c r="AF8" s="3" t="n">
        <v>5802.059926658519</v>
      </c>
      <c r="AG8" s="3" t="n">
        <v>4854.862266876281</v>
      </c>
      <c r="AH8" s="3" t="n">
        <v>12465.5011882891</v>
      </c>
      <c r="AI8" s="3" t="n">
        <v>1546.234939710219</v>
      </c>
      <c r="AJ8" s="3" t="n">
        <v>10184.88907237095</v>
      </c>
      <c r="AK8" s="3" t="n">
        <v>407.7838197636175</v>
      </c>
      <c r="AL8" s="3" t="n">
        <v>28583.22182427202</v>
      </c>
      <c r="AM8" s="3" t="n">
        <v>11905.9982250425</v>
      </c>
      <c r="AN8" s="3" t="n">
        <v>18104.19371069481</v>
      </c>
      <c r="AO8" s="3" t="n">
        <v>689.5967913363048</v>
      </c>
      <c r="AP8" s="3" t="n">
        <v>1999.513132236743</v>
      </c>
      <c r="AQ8" s="3" t="n">
        <v>1581.110020893049</v>
      </c>
      <c r="AR8" s="3" t="n">
        <v>3310.293411676508</v>
      </c>
      <c r="AS8" s="3" t="n">
        <v>18195.87830626978</v>
      </c>
      <c r="AT8" s="3" t="n">
        <v>1696.299902277059</v>
      </c>
      <c r="AU8" s="3" t="n">
        <v>22798.54360989081</v>
      </c>
      <c r="AV8" s="3" t="n">
        <v>1202.800638418359</v>
      </c>
      <c r="AW8" s="3" t="n">
        <v>15290.73568798998</v>
      </c>
      <c r="AX8" s="3" t="n">
        <v>4727.420671543173</v>
      </c>
      <c r="AY8" s="3" t="n">
        <v>6461.814523111291</v>
      </c>
      <c r="AZ8" s="3" t="n">
        <v>3961.067908892622</v>
      </c>
      <c r="BA8" s="3" t="n">
        <v>3318.323954120063</v>
      </c>
      <c r="BB8" s="3" t="n">
        <v>1838.401718374173</v>
      </c>
      <c r="BC8" s="3" t="n">
        <v>14424.38775146996</v>
      </c>
      <c r="BD8" s="3" t="n">
        <v>3505.456237351073</v>
      </c>
      <c r="BE8" s="3" t="n">
        <v>4463.302583550999</v>
      </c>
      <c r="BF8" s="3" t="n">
        <v>2135.361527779695</v>
      </c>
      <c r="BG8" s="3" t="n">
        <v>24709.35585397993</v>
      </c>
      <c r="BH8" s="3" t="n">
        <v>26943.66388223795</v>
      </c>
      <c r="BI8" s="3" t="n">
        <v>19834.28676003992</v>
      </c>
      <c r="BJ8" s="3" t="n">
        <v>419.9716206852342</v>
      </c>
      <c r="BK8" s="3" t="n">
        <v>26555.4367266728</v>
      </c>
      <c r="BL8" s="3" t="n">
        <v>4387.911183377291</v>
      </c>
      <c r="BM8" s="3" t="n">
        <v>6070.168994113447</v>
      </c>
      <c r="BN8" s="3" t="n">
        <v>46.66968618418917</v>
      </c>
      <c r="BO8" s="3" t="n">
        <v>2031.780319428982</v>
      </c>
      <c r="BP8" s="3" t="n">
        <v>3724.015698675872</v>
      </c>
    </row>
    <row r="9">
      <c r="A9" s="3" t="inlineStr">
        <is>
          <t>egy.totd</t>
        </is>
      </c>
      <c r="B9" s="3" t="inlineStr">
        <is>
          <t>egy</t>
        </is>
      </c>
      <c r="C9" s="3" t="n">
        <v>2014</v>
      </c>
      <c r="D9" s="3" t="inlineStr">
        <is>
          <t>TOTD</t>
        </is>
      </c>
      <c r="E9" s="3" t="n">
        <v>10334.47269823589</v>
      </c>
      <c r="F9" s="3" t="n">
        <v>1604.464402031461</v>
      </c>
      <c r="G9" s="3" t="n">
        <v>11183.14129482666</v>
      </c>
      <c r="H9" s="3" t="n">
        <v>1525.610097198183</v>
      </c>
      <c r="I9" s="3" t="n">
        <v>1293.527043024197</v>
      </c>
      <c r="J9" s="3" t="n">
        <v>3870.522076884561</v>
      </c>
      <c r="K9" s="3" t="n">
        <v>21649.41789959593</v>
      </c>
      <c r="L9" s="3" t="n">
        <v>2404.540123171093</v>
      </c>
      <c r="M9" s="3" t="n">
        <v>28321.26976845879</v>
      </c>
      <c r="N9" s="3" t="n">
        <v>6.621297409927089e-06</v>
      </c>
      <c r="O9" s="3" t="n">
        <v>1264.068444272853</v>
      </c>
      <c r="P9" s="3" t="n">
        <v>14576.24755136988</v>
      </c>
      <c r="Q9" s="3" t="n">
        <v>10894.77460837184</v>
      </c>
      <c r="R9" s="3" t="n">
        <v>66.5039907064501</v>
      </c>
      <c r="S9" s="3" t="n">
        <v>2969.371862943045</v>
      </c>
      <c r="T9" s="3" t="n">
        <v>4436.953508487993</v>
      </c>
      <c r="U9" s="3" t="n">
        <v>2207.035755522029</v>
      </c>
      <c r="V9" s="3" t="n">
        <v>8.004794074334129</v>
      </c>
      <c r="W9" s="3" t="n">
        <v>3745.236261940081</v>
      </c>
      <c r="X9" s="3" t="n">
        <v>2253.927513630106</v>
      </c>
      <c r="Y9" s="3" t="n">
        <v>21377.28850708352</v>
      </c>
      <c r="Z9" s="3" t="n">
        <v>495.0509788520914</v>
      </c>
      <c r="AA9" s="3" t="n">
        <v>4782.676354637457</v>
      </c>
      <c r="AB9" s="3" t="n">
        <v>147.6816547300288</v>
      </c>
      <c r="AC9" s="3" t="n">
        <v>4640.623062089335</v>
      </c>
      <c r="AD9" s="3" t="n">
        <v>6066.978174256439</v>
      </c>
      <c r="AE9" s="3" t="n">
        <v>5386.761274112234</v>
      </c>
      <c r="AF9" s="3" t="n">
        <v>836.2772617822806</v>
      </c>
      <c r="AG9" s="3" t="n">
        <v>148.8553771715045</v>
      </c>
      <c r="AH9" s="3" t="n">
        <v>4374.762863841401</v>
      </c>
      <c r="AI9" s="3" t="n">
        <v>1421.270322379124</v>
      </c>
      <c r="AJ9" s="3" t="n">
        <v>1185.33164804436</v>
      </c>
      <c r="AK9" s="3" t="n">
        <v>33.91058776406614</v>
      </c>
      <c r="AL9" s="3" t="n">
        <v>19992.36566714972</v>
      </c>
      <c r="AM9" s="3" t="n">
        <v>7357.771332232982</v>
      </c>
      <c r="AN9" s="3" t="n">
        <v>23.17207007429741</v>
      </c>
      <c r="AO9" s="3" t="n">
        <v>210.0572811898904</v>
      </c>
      <c r="AP9" s="3" t="n">
        <v>406.4527604548755</v>
      </c>
      <c r="AQ9" s="3" t="n">
        <v>1067.389995361521</v>
      </c>
      <c r="AR9" s="3" t="n">
        <v>1300.127804549988</v>
      </c>
      <c r="AS9" s="3" t="n">
        <v>17117.53821304604</v>
      </c>
      <c r="AT9" s="3" t="n">
        <v>1003.656650665733</v>
      </c>
      <c r="AU9" s="3" t="n">
        <v>12145.91256444627</v>
      </c>
      <c r="AV9" s="3" t="n">
        <v>223.1329683100353</v>
      </c>
      <c r="AW9" s="3" t="n">
        <v>5525.574469448149</v>
      </c>
      <c r="AX9" s="3" t="n">
        <v>4363.206095527078</v>
      </c>
      <c r="AY9" s="3" t="n">
        <v>1348.71084320599</v>
      </c>
      <c r="AZ9" s="3" t="n">
        <v>1459.10920732968</v>
      </c>
      <c r="BA9" s="3" t="n">
        <v>1714.795530615099</v>
      </c>
      <c r="BB9" s="3" t="n">
        <v>1301.643058444392</v>
      </c>
      <c r="BC9" s="3" t="n">
        <v>12720.48758282992</v>
      </c>
      <c r="BD9" s="3" t="n">
        <v>1340.63418289072</v>
      </c>
      <c r="BE9" s="3" t="n">
        <v>2518.303714215355</v>
      </c>
      <c r="BF9" s="3" t="n">
        <v>1306.54261908066</v>
      </c>
      <c r="BG9" s="3" t="n">
        <v>8595.583209615041</v>
      </c>
      <c r="BH9" s="3" t="n">
        <v>19036.6174676148</v>
      </c>
      <c r="BI9" s="3" t="n">
        <v>11540.90444771099</v>
      </c>
      <c r="BJ9" s="3" t="n">
        <v>50.55708513876996</v>
      </c>
      <c r="BK9" s="3" t="n">
        <v>20142.7637849824</v>
      </c>
      <c r="BL9" s="3" t="n">
        <v>2493.655545454463</v>
      </c>
      <c r="BM9" s="3" t="n">
        <v>3435.549539296141</v>
      </c>
      <c r="BN9" s="3" t="n">
        <v>15.24328682386711</v>
      </c>
      <c r="BO9" s="3" t="n">
        <v>781.2282820118077</v>
      </c>
      <c r="BP9" s="3" t="n">
        <v>1247.660987567918</v>
      </c>
    </row>
    <row r="10">
      <c r="A10" s="3" t="inlineStr">
        <is>
          <t>egy.coa.leontiefs</t>
        </is>
      </c>
      <c r="B10" s="3" t="inlineStr">
        <is>
          <t>egy</t>
        </is>
      </c>
      <c r="C10" s="3" t="n">
        <v>2014</v>
      </c>
      <c r="D10" s="3" t="inlineStr">
        <is>
          <t>coa</t>
        </is>
      </c>
      <c r="E10" s="3" t="n">
        <v>0.0007129377637879556</v>
      </c>
      <c r="F10" s="3" t="n">
        <v>0.004088605657663693</v>
      </c>
      <c r="G10" s="3" t="n">
        <v>0.001542912509386966</v>
      </c>
      <c r="H10" s="3" t="n">
        <v>0.002368409181834419</v>
      </c>
      <c r="I10" s="3" t="n">
        <v>0.001025582418508183</v>
      </c>
      <c r="J10" s="3" t="n">
        <v>0.005287378040852384</v>
      </c>
      <c r="K10" s="3" t="n">
        <v>0.000761235813447522</v>
      </c>
      <c r="L10" s="3" t="n">
        <v>0.0003008319895944772</v>
      </c>
      <c r="M10" s="3" t="n">
        <v>0.005036665168036726</v>
      </c>
      <c r="N10" s="3" t="n">
        <v>1.0461093117009</v>
      </c>
      <c r="O10" s="3" t="n">
        <v>0.0008754092027816993</v>
      </c>
      <c r="P10" s="3" t="n">
        <v>0.0003287845094835152</v>
      </c>
      <c r="Q10" s="3" t="n">
        <v>0.001043874750018219</v>
      </c>
      <c r="R10" s="3" t="n">
        <v>0.006256646543876123</v>
      </c>
      <c r="S10" s="3" t="n">
        <v>0.003828370357961633</v>
      </c>
      <c r="T10" s="3" t="n">
        <v>0.004874895112752501</v>
      </c>
      <c r="U10" s="3" t="n">
        <v>0.007081874209282093</v>
      </c>
      <c r="V10" s="3" t="n">
        <v>0.001861736470468403</v>
      </c>
      <c r="W10" s="3" t="n">
        <v>0.0006229492731009915</v>
      </c>
      <c r="X10" s="3" t="n">
        <v>0.0008569495821966864</v>
      </c>
      <c r="Y10" s="3" t="n">
        <v>0.001887485709405886</v>
      </c>
      <c r="Z10" s="3" t="n">
        <v>0.009146830693650658</v>
      </c>
      <c r="AA10" s="3" t="n">
        <v>0.000444221217354367</v>
      </c>
      <c r="AB10" s="3" t="n">
        <v>0.002565539317698928</v>
      </c>
      <c r="AC10" s="3" t="n">
        <v>0.003493253500694854</v>
      </c>
      <c r="AD10" s="3" t="n">
        <v>0.0006990029613078567</v>
      </c>
      <c r="AE10" s="3" t="n">
        <v>0.005368924997139766</v>
      </c>
      <c r="AF10" s="3" t="n">
        <v>0.01054477313562873</v>
      </c>
      <c r="AG10" s="3" t="n">
        <v>0.001859400258682018</v>
      </c>
      <c r="AH10" s="3" t="n">
        <v>0.002150281239221664</v>
      </c>
      <c r="AI10" s="3" t="n">
        <v>0.0009942120662847975</v>
      </c>
      <c r="AJ10" s="3" t="n">
        <v>0.00106223183629002</v>
      </c>
      <c r="AK10" s="3" t="n">
        <v>0.0003240892271274163</v>
      </c>
      <c r="AL10" s="3" t="n">
        <v>0.002309129975204069</v>
      </c>
      <c r="AM10" s="3" t="n">
        <v>0.0003613077126071591</v>
      </c>
      <c r="AN10" s="3" t="n">
        <v>0.0004297021645209693</v>
      </c>
      <c r="AO10" s="3" t="n">
        <v>0.00725718497984098</v>
      </c>
      <c r="AP10" s="3" t="n">
        <v>0.009914531192904355</v>
      </c>
      <c r="AQ10" s="3" t="n">
        <v>0.0002045056530604656</v>
      </c>
      <c r="AR10" s="3" t="n">
        <v>0.0006190704083802993</v>
      </c>
      <c r="AS10" s="3" t="n">
        <v>0.002029651021591062</v>
      </c>
      <c r="AT10" s="3" t="n">
        <v>0.005513131486705574</v>
      </c>
      <c r="AU10" s="3" t="n">
        <v>0.003006928951498297</v>
      </c>
      <c r="AV10" s="3" t="n">
        <v>0.003198610245865014</v>
      </c>
      <c r="AW10" s="3" t="n">
        <v>0.004448280826549838</v>
      </c>
      <c r="AX10" s="3" t="n">
        <v>0.001164115256672819</v>
      </c>
      <c r="AY10" s="3" t="n">
        <v>0.0007290675303790922</v>
      </c>
      <c r="AZ10" s="3" t="n">
        <v>0.00215088666159818</v>
      </c>
      <c r="BA10" s="3" t="n">
        <v>0.00307260975838893</v>
      </c>
      <c r="BB10" s="3" t="n">
        <v>0.0008693263799723181</v>
      </c>
      <c r="BC10" s="3" t="n">
        <v>0.001142083368639247</v>
      </c>
      <c r="BD10" s="3" t="n">
        <v>0.0052659858552337</v>
      </c>
      <c r="BE10" s="3" t="n">
        <v>0.0003224778103073781</v>
      </c>
      <c r="BF10" s="3" t="n">
        <v>0.001935426977415401</v>
      </c>
      <c r="BG10" s="3" t="n">
        <v>0.001739838844425585</v>
      </c>
      <c r="BH10" s="3" t="n">
        <v>0.0006970785130301204</v>
      </c>
      <c r="BI10" s="3" t="n">
        <v>0.0006420599698373184</v>
      </c>
      <c r="BJ10" s="3" t="n">
        <v>0.0005941626275526843</v>
      </c>
      <c r="BK10" s="3" t="n">
        <v>0.001952750933395483</v>
      </c>
      <c r="BL10" s="3" t="n">
        <v>0.002258194383248012</v>
      </c>
      <c r="BM10" s="3" t="n">
        <v>0.001139773747886094</v>
      </c>
      <c r="BN10" s="3" t="n">
        <v>0.002938120685801643</v>
      </c>
      <c r="BO10" s="3" t="n">
        <v>0.004015237398823932</v>
      </c>
      <c r="BP10" s="3" t="n">
        <v>0.003858863512923773</v>
      </c>
    </row>
    <row r="11">
      <c r="A11" s="3" t="inlineStr">
        <is>
          <t>egy.ely.leontiefs</t>
        </is>
      </c>
      <c r="B11" s="3" t="inlineStr">
        <is>
          <t>egy</t>
        </is>
      </c>
      <c r="C11" s="3" t="n">
        <v>2014</v>
      </c>
      <c r="D11" s="3" t="inlineStr">
        <is>
          <t>ely</t>
        </is>
      </c>
      <c r="E11" s="3" t="n">
        <v>0.005189900565540753</v>
      </c>
      <c r="F11" s="3" t="n">
        <v>0.002444904699293938</v>
      </c>
      <c r="G11" s="3" t="n">
        <v>0.001755291758489319</v>
      </c>
      <c r="H11" s="3" t="n">
        <v>0.003507686839602052</v>
      </c>
      <c r="I11" s="3" t="n">
        <v>0.002020498987638969</v>
      </c>
      <c r="J11" s="3" t="n">
        <v>0.01067729961544262</v>
      </c>
      <c r="K11" s="3" t="n">
        <v>0.001484972651194107</v>
      </c>
      <c r="L11" s="3" t="n">
        <v>0.001526766599831298</v>
      </c>
      <c r="M11" s="3" t="n">
        <v>0.00457245464580802</v>
      </c>
      <c r="N11" s="3" t="n">
        <v>0.005488031966133671</v>
      </c>
      <c r="O11" s="3" t="n">
        <v>0.001858677713646185</v>
      </c>
      <c r="P11" s="3" t="n">
        <v>0.0003987774031577402</v>
      </c>
      <c r="Q11" s="3" t="n">
        <v>0.00581873571424533</v>
      </c>
      <c r="R11" s="3" t="n">
        <v>0.008124595319353441</v>
      </c>
      <c r="S11" s="3" t="n">
        <v>0.01112140190702001</v>
      </c>
      <c r="T11" s="3" t="n">
        <v>0.9954662477745693</v>
      </c>
      <c r="U11" s="3" t="n">
        <v>0.006739026930596399</v>
      </c>
      <c r="V11" s="3" t="n">
        <v>0.003175112596691931</v>
      </c>
      <c r="W11" s="3" t="n">
        <v>0.005487400676454088</v>
      </c>
      <c r="X11" s="3" t="n">
        <v>0.001888078838233873</v>
      </c>
      <c r="Y11" s="3" t="n">
        <v>0.004425941824993473</v>
      </c>
      <c r="Z11" s="3" t="n">
        <v>0.02190174220601668</v>
      </c>
      <c r="AA11" s="3" t="n">
        <v>0.00138473600464869</v>
      </c>
      <c r="AB11" s="3" t="n">
        <v>0.002809568323158351</v>
      </c>
      <c r="AC11" s="3" t="n">
        <v>0.004228370603128207</v>
      </c>
      <c r="AD11" s="3" t="n">
        <v>0.001665720066001897</v>
      </c>
      <c r="AE11" s="3" t="n">
        <v>0.006167002273299519</v>
      </c>
      <c r="AF11" s="3" t="n">
        <v>0.01339079664960365</v>
      </c>
      <c r="AG11" s="3" t="n">
        <v>0.0004461695845161375</v>
      </c>
      <c r="AH11" s="3" t="n">
        <v>0.004706570986434342</v>
      </c>
      <c r="AI11" s="3" t="n">
        <v>0.001930288006990038</v>
      </c>
      <c r="AJ11" s="3" t="n">
        <v>0.002063858936189266</v>
      </c>
      <c r="AK11" s="3" t="n">
        <v>0.0007259830908526467</v>
      </c>
      <c r="AL11" s="3" t="n">
        <v>0.003206090562498223</v>
      </c>
      <c r="AM11" s="3" t="n">
        <v>0.001538888468116083</v>
      </c>
      <c r="AN11" s="3" t="n">
        <v>0.0004941423578690712</v>
      </c>
      <c r="AO11" s="3" t="n">
        <v>0.008229415628821329</v>
      </c>
      <c r="AP11" s="3" t="n">
        <v>0.01885443094216665</v>
      </c>
      <c r="AQ11" s="3" t="n">
        <v>0.0008293391056409145</v>
      </c>
      <c r="AR11" s="3" t="n">
        <v>0.001314409146301669</v>
      </c>
      <c r="AS11" s="3" t="n">
        <v>0.004504022482721678</v>
      </c>
      <c r="AT11" s="3" t="n">
        <v>0.006975402899908803</v>
      </c>
      <c r="AU11" s="3" t="n">
        <v>0.0025103079673546</v>
      </c>
      <c r="AV11" s="3" t="n">
        <v>0.01480154972119718</v>
      </c>
      <c r="AW11" s="3" t="n">
        <v>0.0006530980782115763</v>
      </c>
      <c r="AX11" s="3" t="n">
        <v>0.002038648993644669</v>
      </c>
      <c r="AY11" s="3" t="n">
        <v>0.001369966309371191</v>
      </c>
      <c r="AZ11" s="3" t="n">
        <v>0.004239040785835113</v>
      </c>
      <c r="BA11" s="3" t="n">
        <v>0.008807164222472958</v>
      </c>
      <c r="BB11" s="3" t="n">
        <v>0.001851348334704938</v>
      </c>
      <c r="BC11" s="3" t="n">
        <v>0.005095780802479053</v>
      </c>
      <c r="BD11" s="3" t="n">
        <v>0.00689113066712316</v>
      </c>
      <c r="BE11" s="3" t="n">
        <v>0.004096312652584443</v>
      </c>
      <c r="BF11" s="3" t="n">
        <v>0.002871978227192091</v>
      </c>
      <c r="BG11" s="3" t="n">
        <v>0.003287127908195085</v>
      </c>
      <c r="BH11" s="3" t="n">
        <v>0.003992134284835022</v>
      </c>
      <c r="BI11" s="3" t="n">
        <v>0.001309398149147419</v>
      </c>
      <c r="BJ11" s="3" t="n">
        <v>0.001310414823662987</v>
      </c>
      <c r="BK11" s="3" t="n">
        <v>0.002790571883328238</v>
      </c>
      <c r="BL11" s="3" t="n">
        <v>0.003918815407250791</v>
      </c>
      <c r="BM11" s="3" t="n">
        <v>0.002469190364587747</v>
      </c>
      <c r="BN11" s="3" t="n">
        <v>0.003712038510032808</v>
      </c>
      <c r="BO11" s="3" t="n">
        <v>0.002798489892575406</v>
      </c>
      <c r="BP11" s="3" t="n">
        <v>0.01316572173557418</v>
      </c>
    </row>
    <row r="12">
      <c r="A12" s="3" t="inlineStr">
        <is>
          <t>egy.nga.leontiefs</t>
        </is>
      </c>
      <c r="B12" s="3" t="inlineStr">
        <is>
          <t>egy</t>
        </is>
      </c>
      <c r="C12" s="3" t="n">
        <v>2014</v>
      </c>
      <c r="D12" s="3" t="inlineStr">
        <is>
          <t>nga</t>
        </is>
      </c>
      <c r="E12" s="3" t="n">
        <v>0.002817411225688473</v>
      </c>
      <c r="F12" s="3" t="n">
        <v>0.009844347536442673</v>
      </c>
      <c r="G12" s="3" t="n">
        <v>0.002255254412946644</v>
      </c>
      <c r="H12" s="3" t="n">
        <v>0.02052713544832418</v>
      </c>
      <c r="I12" s="3" t="n">
        <v>0.003391500565193991</v>
      </c>
      <c r="J12" s="3" t="n">
        <v>0.03605668287055942</v>
      </c>
      <c r="K12" s="3" t="n">
        <v>0.001343841189546408</v>
      </c>
      <c r="L12" s="3" t="n">
        <v>0.001286674876574157</v>
      </c>
      <c r="M12" s="3" t="n">
        <v>0.006514764023249673</v>
      </c>
      <c r="N12" s="3" t="n">
        <v>0.0058772465066583</v>
      </c>
      <c r="O12" s="3" t="n">
        <v>0.002786704773600321</v>
      </c>
      <c r="P12" s="3" t="n">
        <v>0.0005578546258635284</v>
      </c>
      <c r="Q12" s="3" t="n">
        <v>0.003694438757878034</v>
      </c>
      <c r="R12" s="3" t="n">
        <v>0.008099192057394608</v>
      </c>
      <c r="S12" s="3" t="n">
        <v>0.007857583588835582</v>
      </c>
      <c r="T12" s="3" t="n">
        <v>0.3346548962706095</v>
      </c>
      <c r="U12" s="3" t="n">
        <v>0.0113453278251489</v>
      </c>
      <c r="V12" s="3" t="n">
        <v>0.003123311269029697</v>
      </c>
      <c r="W12" s="3" t="n">
        <v>0.003188919753665136</v>
      </c>
      <c r="X12" s="3" t="n">
        <v>0.003142747028409746</v>
      </c>
      <c r="Y12" s="3" t="n">
        <v>0.004942026702162683</v>
      </c>
      <c r="Z12" s="3" t="n">
        <v>0.02315565003473067</v>
      </c>
      <c r="AA12" s="3" t="n">
        <v>0.001057183299549809</v>
      </c>
      <c r="AB12" s="3" t="n">
        <v>0.004212665139156289</v>
      </c>
      <c r="AC12" s="3" t="n">
        <v>0.005704504418707216</v>
      </c>
      <c r="AD12" s="3" t="n">
        <v>0.002125459808230732</v>
      </c>
      <c r="AE12" s="3" t="n">
        <v>0.007065479442535169</v>
      </c>
      <c r="AF12" s="3" t="n">
        <v>0.01404065541258281</v>
      </c>
      <c r="AG12" s="3" t="n">
        <v>1.06711752715816</v>
      </c>
      <c r="AH12" s="3" t="n">
        <v>0.007276738013653888</v>
      </c>
      <c r="AI12" s="3" t="n">
        <v>0.003079627896430888</v>
      </c>
      <c r="AJ12" s="3" t="n">
        <v>0.001870310306018242</v>
      </c>
      <c r="AK12" s="3" t="n">
        <v>0.00109372237063502</v>
      </c>
      <c r="AL12" s="3" t="n">
        <v>0.005267505173879806</v>
      </c>
      <c r="AM12" s="3" t="n">
        <v>0.001004952437566963</v>
      </c>
      <c r="AN12" s="3" t="n">
        <v>0.006626224413593992</v>
      </c>
      <c r="AO12" s="3" t="n">
        <v>0.00804895055694959</v>
      </c>
      <c r="AP12" s="3" t="n">
        <v>0.02345993988287854</v>
      </c>
      <c r="AQ12" s="3" t="n">
        <v>0.0007718512590685859</v>
      </c>
      <c r="AR12" s="3" t="n">
        <v>0.002240068575796437</v>
      </c>
      <c r="AS12" s="3" t="n">
        <v>0.003589643107759637</v>
      </c>
      <c r="AT12" s="3" t="n">
        <v>0.007065766464090403</v>
      </c>
      <c r="AU12" s="3" t="n">
        <v>0.007521063800485964</v>
      </c>
      <c r="AV12" s="3" t="n">
        <v>0.01357123853053823</v>
      </c>
      <c r="AW12" s="3" t="n">
        <v>0.01120999360978483</v>
      </c>
      <c r="AX12" s="3" t="n">
        <v>0.003362761003769149</v>
      </c>
      <c r="AY12" s="3" t="n">
        <v>0.002527595782330507</v>
      </c>
      <c r="AZ12" s="3" t="n">
        <v>0.007348875334645737</v>
      </c>
      <c r="BA12" s="3" t="n">
        <v>0.01102916606553573</v>
      </c>
      <c r="BB12" s="3" t="n">
        <v>0.002916892315325817</v>
      </c>
      <c r="BC12" s="3" t="n">
        <v>0.00402765414609381</v>
      </c>
      <c r="BD12" s="3" t="n">
        <v>0.02643244691287596</v>
      </c>
      <c r="BE12" s="3" t="n">
        <v>0.001848888765815128</v>
      </c>
      <c r="BF12" s="3" t="n">
        <v>0.005016211077663093</v>
      </c>
      <c r="BG12" s="3" t="n">
        <v>0.003888211161240639</v>
      </c>
      <c r="BH12" s="3" t="n">
        <v>0.002163806615735708</v>
      </c>
      <c r="BI12" s="3" t="n">
        <v>0.002236968606100039</v>
      </c>
      <c r="BJ12" s="3" t="n">
        <v>0.002220156575308069</v>
      </c>
      <c r="BK12" s="3" t="n">
        <v>0.00397337402449126</v>
      </c>
      <c r="BL12" s="3" t="n">
        <v>0.003826749876633153</v>
      </c>
      <c r="BM12" s="3" t="n">
        <v>0.00380857014944323</v>
      </c>
      <c r="BN12" s="3" t="n">
        <v>0.004488370357928635</v>
      </c>
      <c r="BO12" s="3" t="n">
        <v>0.01008913683465942</v>
      </c>
      <c r="BP12" s="3" t="n">
        <v>0.008712255822348514</v>
      </c>
    </row>
    <row r="13">
      <c r="A13" s="3" t="inlineStr">
        <is>
          <t>egy.oil.leontiefs</t>
        </is>
      </c>
      <c r="B13" s="3" t="inlineStr">
        <is>
          <t>egy</t>
        </is>
      </c>
      <c r="C13" s="3" t="n">
        <v>2014</v>
      </c>
      <c r="D13" s="3" t="inlineStr">
        <is>
          <t>oil</t>
        </is>
      </c>
      <c r="E13" s="3" t="n">
        <v>0.01071654071439239</v>
      </c>
      <c r="F13" s="3" t="n">
        <v>0.2196354026572705</v>
      </c>
      <c r="G13" s="3" t="n">
        <v>0.01147736380956983</v>
      </c>
      <c r="H13" s="3" t="n">
        <v>0.02642512345324839</v>
      </c>
      <c r="I13" s="3" t="n">
        <v>0.03498637901008057</v>
      </c>
      <c r="J13" s="3" t="n">
        <v>0.1376497010554332</v>
      </c>
      <c r="K13" s="3" t="n">
        <v>0.007701126934701616</v>
      </c>
      <c r="L13" s="3" t="n">
        <v>0.006511589055709717</v>
      </c>
      <c r="M13" s="3" t="n">
        <v>0.03362889060633843</v>
      </c>
      <c r="N13" s="3" t="n">
        <v>0.03812116162177002</v>
      </c>
      <c r="O13" s="3" t="n">
        <v>0.02814321299555246</v>
      </c>
      <c r="P13" s="3" t="n">
        <v>0.002372433248388115</v>
      </c>
      <c r="Q13" s="3" t="n">
        <v>0.01589570468860546</v>
      </c>
      <c r="R13" s="3" t="n">
        <v>0.03617572330822446</v>
      </c>
      <c r="S13" s="3" t="n">
        <v>0.03004483301123832</v>
      </c>
      <c r="T13" s="3" t="n">
        <v>0.4749699300268975</v>
      </c>
      <c r="U13" s="3" t="n">
        <v>0.05046672417539657</v>
      </c>
      <c r="V13" s="3" t="n">
        <v>0.0413120355844022</v>
      </c>
      <c r="W13" s="3" t="n">
        <v>0.02148199305574658</v>
      </c>
      <c r="X13" s="3" t="n">
        <v>0.03089544185735456</v>
      </c>
      <c r="Y13" s="3" t="n">
        <v>0.02077299775370239</v>
      </c>
      <c r="Z13" s="3" t="n">
        <v>0.08770337304997161</v>
      </c>
      <c r="AA13" s="3" t="n">
        <v>0.009093375687158385</v>
      </c>
      <c r="AB13" s="3" t="n">
        <v>0.0229207498988162</v>
      </c>
      <c r="AC13" s="3" t="n">
        <v>0.03476374906733615</v>
      </c>
      <c r="AD13" s="3" t="n">
        <v>0.01137321609211582</v>
      </c>
      <c r="AE13" s="3" t="n">
        <v>0.03164768113427975</v>
      </c>
      <c r="AF13" s="3" t="n">
        <v>0.06117161272991188</v>
      </c>
      <c r="AG13" s="3" t="n">
        <v>0.0380804426270069</v>
      </c>
      <c r="AH13" s="3" t="n">
        <v>0.04114009983847246</v>
      </c>
      <c r="AI13" s="3" t="n">
        <v>0.02903113024128803</v>
      </c>
      <c r="AJ13" s="3" t="n">
        <v>0.01376091201321939</v>
      </c>
      <c r="AK13" s="3" t="n">
        <v>0.01008577098033035</v>
      </c>
      <c r="AL13" s="3" t="n">
        <v>0.03577697907748396</v>
      </c>
      <c r="AM13" s="3" t="n">
        <v>0.00667321543411646</v>
      </c>
      <c r="AN13" s="3" t="n">
        <v>1.02071946831331</v>
      </c>
      <c r="AO13" s="3" t="n">
        <v>0.03282615401594492</v>
      </c>
      <c r="AP13" s="3" t="n">
        <v>0.08717540902689191</v>
      </c>
      <c r="AQ13" s="3" t="n">
        <v>0.004294992604141202</v>
      </c>
      <c r="AR13" s="3" t="n">
        <v>0.02201606043283395</v>
      </c>
      <c r="AS13" s="3" t="n">
        <v>0.01940156387429923</v>
      </c>
      <c r="AT13" s="3" t="n">
        <v>0.02786803139605073</v>
      </c>
      <c r="AU13" s="3" t="n">
        <v>0.1761043561626366</v>
      </c>
      <c r="AV13" s="3" t="n">
        <v>0.1529204233695721</v>
      </c>
      <c r="AW13" s="3" t="n">
        <v>0.9083966554785544</v>
      </c>
      <c r="AX13" s="3" t="n">
        <v>0.02793892079488201</v>
      </c>
      <c r="AY13" s="3" t="n">
        <v>0.02408325225814711</v>
      </c>
      <c r="AZ13" s="3" t="n">
        <v>0.07281895681579398</v>
      </c>
      <c r="BA13" s="3" t="n">
        <v>0.04672633035952233</v>
      </c>
      <c r="BB13" s="3" t="n">
        <v>0.02701296060603589</v>
      </c>
      <c r="BC13" s="3" t="n">
        <v>0.01614614449906178</v>
      </c>
      <c r="BD13" s="3" t="n">
        <v>0.03811563960189785</v>
      </c>
      <c r="BE13" s="3" t="n">
        <v>0.006927121403067594</v>
      </c>
      <c r="BF13" s="3" t="n">
        <v>0.03975604852740468</v>
      </c>
      <c r="BG13" s="3" t="n">
        <v>0.02620387608408191</v>
      </c>
      <c r="BH13" s="3" t="n">
        <v>0.01540371277490718</v>
      </c>
      <c r="BI13" s="3" t="n">
        <v>0.0212017269396388</v>
      </c>
      <c r="BJ13" s="3" t="n">
        <v>0.02120230361222654</v>
      </c>
      <c r="BK13" s="3" t="n">
        <v>0.01957194383818571</v>
      </c>
      <c r="BL13" s="3" t="n">
        <v>0.01667470821742641</v>
      </c>
      <c r="BM13" s="3" t="n">
        <v>0.03936502093765794</v>
      </c>
      <c r="BN13" s="3" t="n">
        <v>0.05282203895122881</v>
      </c>
      <c r="BO13" s="3" t="n">
        <v>0.1803318654740079</v>
      </c>
      <c r="BP13" s="3" t="n">
        <v>0.04021774719837681</v>
      </c>
    </row>
    <row r="14">
      <c r="A14" s="3" t="inlineStr">
        <is>
          <t>egy.p_c.leontiefs</t>
        </is>
      </c>
      <c r="B14" s="3" t="inlineStr">
        <is>
          <t>egy</t>
        </is>
      </c>
      <c r="C14" s="3" t="n">
        <v>2014</v>
      </c>
      <c r="D14" s="3" t="inlineStr">
        <is>
          <t>p_c</t>
        </is>
      </c>
      <c r="E14" s="3" t="n">
        <v>0.01512399801412685</v>
      </c>
      <c r="F14" s="3" t="n">
        <v>0.3061035669607718</v>
      </c>
      <c r="G14" s="3" t="n">
        <v>0.01691144417092878</v>
      </c>
      <c r="H14" s="3" t="n">
        <v>0.03878981176705611</v>
      </c>
      <c r="I14" s="3" t="n">
        <v>0.04687706628337879</v>
      </c>
      <c r="J14" s="3" t="n">
        <v>0.1952503023840406</v>
      </c>
      <c r="K14" s="3" t="n">
        <v>0.01133848843141551</v>
      </c>
      <c r="L14" s="3" t="n">
        <v>0.008911924158080247</v>
      </c>
      <c r="M14" s="3" t="n">
        <v>0.05358302002681031</v>
      </c>
      <c r="N14" s="3" t="n">
        <v>0.05561450707198071</v>
      </c>
      <c r="O14" s="3" t="n">
        <v>0.03742625951148524</v>
      </c>
      <c r="P14" s="3" t="n">
        <v>0.00361331730002384</v>
      </c>
      <c r="Q14" s="3" t="n">
        <v>0.02266179230308214</v>
      </c>
      <c r="R14" s="3" t="n">
        <v>0.05742327147226952</v>
      </c>
      <c r="S14" s="3" t="n">
        <v>0.04503134039392521</v>
      </c>
      <c r="T14" s="3" t="n">
        <v>0.5768674452079603</v>
      </c>
      <c r="U14" s="3" t="n">
        <v>0.07999526509723158</v>
      </c>
      <c r="V14" s="3" t="n">
        <v>0.05979155030607706</v>
      </c>
      <c r="W14" s="3" t="n">
        <v>0.02816188190001883</v>
      </c>
      <c r="X14" s="3" t="n">
        <v>0.0432347247372389</v>
      </c>
      <c r="Y14" s="3" t="n">
        <v>0.02995023811048382</v>
      </c>
      <c r="Z14" s="3" t="n">
        <v>0.1347684946853535</v>
      </c>
      <c r="AA14" s="3" t="n">
        <v>0.01314960576230055</v>
      </c>
      <c r="AB14" s="3" t="n">
        <v>0.03621951933008721</v>
      </c>
      <c r="AC14" s="3" t="n">
        <v>0.05249452934714824</v>
      </c>
      <c r="AD14" s="3" t="n">
        <v>0.01693299605119284</v>
      </c>
      <c r="AE14" s="3" t="n">
        <v>0.04985245963982825</v>
      </c>
      <c r="AF14" s="3" t="n">
        <v>0.1028136915194218</v>
      </c>
      <c r="AG14" s="3" t="n">
        <v>0.04631279470613656</v>
      </c>
      <c r="AH14" s="3" t="n">
        <v>0.05840577646027158</v>
      </c>
      <c r="AI14" s="3" t="n">
        <v>0.04054555943888968</v>
      </c>
      <c r="AJ14" s="3" t="n">
        <v>0.02078786516581139</v>
      </c>
      <c r="AK14" s="3" t="n">
        <v>0.01475122109149793</v>
      </c>
      <c r="AL14" s="3" t="n">
        <v>0.05178204668853109</v>
      </c>
      <c r="AM14" s="3" t="n">
        <v>0.009892094562737664</v>
      </c>
      <c r="AN14" s="3" t="n">
        <v>0.0124045075813004</v>
      </c>
      <c r="AO14" s="3" t="n">
        <v>0.057454005629827</v>
      </c>
      <c r="AP14" s="3" t="n">
        <v>0.1379570750461765</v>
      </c>
      <c r="AQ14" s="3" t="n">
        <v>0.005863477459335114</v>
      </c>
      <c r="AR14" s="3" t="n">
        <v>0.03024333780789112</v>
      </c>
      <c r="AS14" s="3" t="n">
        <v>0.02978437347371211</v>
      </c>
      <c r="AT14" s="3" t="n">
        <v>0.04475743887408047</v>
      </c>
      <c r="AU14" s="3" t="n">
        <v>0.2286275348470731</v>
      </c>
      <c r="AV14" s="3" t="n">
        <v>0.1998992426065419</v>
      </c>
      <c r="AW14" s="3" t="n">
        <v>1.04570745735351</v>
      </c>
      <c r="AX14" s="3" t="n">
        <v>0.03981192648479416</v>
      </c>
      <c r="AY14" s="3" t="n">
        <v>0.03447190664686378</v>
      </c>
      <c r="AZ14" s="3" t="n">
        <v>0.1021753933731896</v>
      </c>
      <c r="BA14" s="3" t="n">
        <v>0.06916428069967563</v>
      </c>
      <c r="BB14" s="3" t="n">
        <v>0.03899337567254526</v>
      </c>
      <c r="BC14" s="3" t="n">
        <v>0.02383200425787302</v>
      </c>
      <c r="BD14" s="3" t="n">
        <v>0.05894958009016666</v>
      </c>
      <c r="BE14" s="3" t="n">
        <v>0.009935272556762572</v>
      </c>
      <c r="BF14" s="3" t="n">
        <v>0.05707643154694231</v>
      </c>
      <c r="BG14" s="3" t="n">
        <v>0.0366340887824334</v>
      </c>
      <c r="BH14" s="3" t="n">
        <v>0.0225918166522188</v>
      </c>
      <c r="BI14" s="3" t="n">
        <v>0.03040498345866758</v>
      </c>
      <c r="BJ14" s="3" t="n">
        <v>0.02893726759865048</v>
      </c>
      <c r="BK14" s="3" t="n">
        <v>0.0292588495934465</v>
      </c>
      <c r="BL14" s="3" t="n">
        <v>0.0251794029356979</v>
      </c>
      <c r="BM14" s="3" t="n">
        <v>0.05417118432158361</v>
      </c>
      <c r="BN14" s="3" t="n">
        <v>0.07352393742541173</v>
      </c>
      <c r="BO14" s="3" t="n">
        <v>0.2668171205415965</v>
      </c>
      <c r="BP14" s="3" t="n">
        <v>0.05718286000313826</v>
      </c>
    </row>
  </sheetData>
  <pageMargins left="0.75" right="0.75" top="1" bottom="1" header="0.5" footer="0.5"/>
</worksheet>
</file>

<file path=xl/worksheets/sheet10.xml><?xml version="1.0" encoding="utf-8"?>
<worksheet xmlns="http://schemas.openxmlformats.org/spreadsheetml/2006/main">
  <sheetPr>
    <tabColor rgb="00DCE6F1"/>
    <outlinePr summaryBelow="1" summaryRight="1"/>
    <pageSetUpPr/>
  </sheetPr>
  <dimension ref="A1:BP135"/>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HHSurvey, extract_legacy_tables.py. Legacy table unchanged: paste the legacy data rows (all countries) at A4</t>
        </is>
      </c>
    </row>
    <row r="2">
      <c r="A2" s="1" t="inlineStr">
        <is>
          <t>HHSurvey - household budget survey by sample, statistic and decile (shares in %, population, consumption)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row>
    <row r="3">
      <c r="A3" s="188" t="inlineStr">
        <is>
          <t>code</t>
        </is>
      </c>
      <c r="B3" s="188" t="inlineStr">
        <is>
          <t>iso3</t>
        </is>
      </c>
      <c r="C3" s="188" t="inlineStr">
        <is>
          <t>year</t>
        </is>
      </c>
      <c r="D3" s="188" t="inlineStr">
        <is>
          <t>sample</t>
        </is>
      </c>
      <c r="E3" s="188" t="inlineStr">
        <is>
          <t>type</t>
        </is>
      </c>
      <c r="F3" s="188" t="inlineStr">
        <is>
          <t>stat_type</t>
        </is>
      </c>
      <c r="G3" s="188" t="inlineStr">
        <is>
          <t>quant_cons</t>
        </is>
      </c>
      <c r="H3" s="188" t="inlineStr">
        <is>
          <t>appliances_share</t>
        </is>
      </c>
      <c r="I3" s="188" t="inlineStr">
        <is>
          <t>ccl_share</t>
        </is>
      </c>
      <c r="J3" s="188" t="inlineStr">
        <is>
          <t>chemicals_share</t>
        </is>
      </c>
      <c r="K3" s="188" t="inlineStr">
        <is>
          <t>clothing_share</t>
        </is>
      </c>
      <c r="L3" s="188" t="inlineStr">
        <is>
          <t>coa_share</t>
        </is>
      </c>
      <c r="M3" s="188" t="inlineStr">
        <is>
          <t>communications_share</t>
        </is>
      </c>
      <c r="N3" s="188" t="inlineStr">
        <is>
          <t>die_share</t>
        </is>
      </c>
      <c r="O3" s="188" t="inlineStr">
        <is>
          <t>education_share</t>
        </is>
      </c>
      <c r="P3" s="188" t="inlineStr">
        <is>
          <t>ethanol_share</t>
        </is>
      </c>
      <c r="Q3" s="188" t="inlineStr">
        <is>
          <t>ely_share</t>
        </is>
      </c>
      <c r="R3" s="188" t="inlineStr">
        <is>
          <t>food_share</t>
        </is>
      </c>
      <c r="S3" s="188" t="inlineStr">
        <is>
          <t>fwd_share</t>
        </is>
      </c>
      <c r="T3" s="188" t="inlineStr">
        <is>
          <t>gso_share</t>
        </is>
      </c>
      <c r="U3" s="188" t="inlineStr">
        <is>
          <t>health_srv_share</t>
        </is>
      </c>
      <c r="V3" s="188" t="inlineStr">
        <is>
          <t>housing_share</t>
        </is>
      </c>
      <c r="W3" s="188" t="inlineStr">
        <is>
          <t>ker_share</t>
        </is>
      </c>
      <c r="X3" s="188" t="inlineStr">
        <is>
          <t>lpg_share</t>
        </is>
      </c>
      <c r="Y3" s="188" t="inlineStr">
        <is>
          <t>nga_share</t>
        </is>
      </c>
      <c r="Z3" s="188" t="inlineStr">
        <is>
          <t>oil_share</t>
        </is>
      </c>
      <c r="AA3" s="188" t="inlineStr">
        <is>
          <t>other_share</t>
        </is>
      </c>
      <c r="AB3" s="188" t="inlineStr">
        <is>
          <t>paper_share</t>
        </is>
      </c>
      <c r="AC3" s="188" t="inlineStr">
        <is>
          <t>pharma_share</t>
        </is>
      </c>
      <c r="AD3" s="188" t="inlineStr">
        <is>
          <t>rectourism_share</t>
        </is>
      </c>
      <c r="AE3" s="188" t="inlineStr">
        <is>
          <t>transp_eqt_share</t>
        </is>
      </c>
      <c r="AF3" s="188" t="inlineStr">
        <is>
          <t>transp_pub_share</t>
        </is>
      </c>
      <c r="AG3" s="188" t="inlineStr">
        <is>
          <t>dec_1_p1</t>
        </is>
      </c>
      <c r="AH3" s="188" t="inlineStr">
        <is>
          <t>dec_1_p99</t>
        </is>
      </c>
      <c r="AI3" s="188" t="inlineStr">
        <is>
          <t>dec_2_p1</t>
        </is>
      </c>
      <c r="AJ3" s="188" t="inlineStr">
        <is>
          <t>dec_2_p99</t>
        </is>
      </c>
      <c r="AK3" s="188" t="inlineStr">
        <is>
          <t>dec_3_p1</t>
        </is>
      </c>
      <c r="AL3" s="188" t="inlineStr">
        <is>
          <t>dec_3_p99</t>
        </is>
      </c>
      <c r="AM3" s="188" t="inlineStr">
        <is>
          <t>dec_4_p1</t>
        </is>
      </c>
      <c r="AN3" s="188" t="inlineStr">
        <is>
          <t>dec_4_p99</t>
        </is>
      </c>
      <c r="AO3" s="188" t="inlineStr">
        <is>
          <t>dec_5_p1</t>
        </is>
      </c>
      <c r="AP3" s="188" t="inlineStr">
        <is>
          <t>dec_5_p99</t>
        </is>
      </c>
      <c r="AQ3" s="188" t="inlineStr">
        <is>
          <t>dec_6_p1</t>
        </is>
      </c>
      <c r="AR3" s="188" t="inlineStr">
        <is>
          <t>dec_6_p99</t>
        </is>
      </c>
      <c r="AS3" s="188" t="inlineStr">
        <is>
          <t>dec_7_p1</t>
        </is>
      </c>
      <c r="AT3" s="188" t="inlineStr">
        <is>
          <t>dec_7_p99</t>
        </is>
      </c>
      <c r="AU3" s="188" t="inlineStr">
        <is>
          <t>dec_8_p1</t>
        </is>
      </c>
      <c r="AV3" s="188" t="inlineStr">
        <is>
          <t>dec_8_p99</t>
        </is>
      </c>
      <c r="AW3" s="188" t="inlineStr">
        <is>
          <t>dec_9_p1</t>
        </is>
      </c>
      <c r="AX3" s="188" t="inlineStr">
        <is>
          <t>dec_9_p99</t>
        </is>
      </c>
      <c r="AY3" s="188" t="inlineStr">
        <is>
          <t>dec_10_p1</t>
        </is>
      </c>
      <c r="AZ3" s="188" t="inlineStr">
        <is>
          <t>dec_10_p99</t>
        </is>
      </c>
      <c r="BA3" s="188" t="inlineStr">
        <is>
          <t>cons_pc_acrent</t>
        </is>
      </c>
      <c r="BB3" s="188" t="inlineStr">
        <is>
          <t>popw</t>
        </is>
      </c>
      <c r="BC3" s="188" t="inlineStr">
        <is>
          <t>cons_pct_acct</t>
        </is>
      </c>
      <c r="BD3" s="188" t="inlineStr">
        <is>
          <t>mean_cons_pct_acct</t>
        </is>
      </c>
      <c r="BE3" s="188" t="inlineStr">
        <is>
          <t>ely_acs_share</t>
        </is>
      </c>
      <c r="BF3" s="188" t="inlineStr">
        <is>
          <t>ICT_acs_share</t>
        </is>
      </c>
      <c r="BG3" s="188" t="inlineStr">
        <is>
          <t>sani_acs_share</t>
        </is>
      </c>
      <c r="BH3" s="188" t="inlineStr">
        <is>
          <t>wtr_acs_share</t>
        </is>
      </c>
      <c r="BI3" s="188" t="inlineStr">
        <is>
          <t>transp_pub_acs_share</t>
        </is>
      </c>
      <c r="BJ3" s="188" t="inlineStr">
        <is>
          <t>all_acs_share</t>
        </is>
      </c>
      <c r="BK3" s="188" t="inlineStr">
        <is>
          <t>pct_belowpl_215</t>
        </is>
      </c>
      <c r="BL3" s="188" t="inlineStr">
        <is>
          <t>pct_belowpl_365</t>
        </is>
      </c>
      <c r="BM3" s="188" t="inlineStr">
        <is>
          <t>pct_belowpl_685</t>
        </is>
      </c>
      <c r="BN3" s="188" t="inlineStr">
        <is>
          <t>pit_share_region</t>
        </is>
      </c>
      <c r="BO3" s="188" t="inlineStr">
        <is>
          <t>pit_share_income</t>
        </is>
      </c>
      <c r="BP3" s="188" t="inlineStr">
        <is>
          <t>indv</t>
        </is>
      </c>
    </row>
    <row r="4">
      <c r="A4" s="3" t="inlineStr">
        <is>
          <t>EGY.distn.bsh.dec.ove.mean.1</t>
        </is>
      </c>
      <c r="B4" s="3" t="inlineStr">
        <is>
          <t>EGY</t>
        </is>
      </c>
      <c r="C4" s="3" t="n">
        <v>2017</v>
      </c>
      <c r="D4" s="3" t="inlineStr">
        <is>
          <t>Overall</t>
        </is>
      </c>
      <c r="E4" s="3" t="inlineStr">
        <is>
          <t>Deciles</t>
        </is>
      </c>
      <c r="F4" s="3" t="inlineStr">
        <is>
          <t>mean</t>
        </is>
      </c>
      <c r="G4" s="3" t="n">
        <v>1</v>
      </c>
      <c r="H4" s="3" t="n">
        <v>1.766008374799827</v>
      </c>
      <c r="I4" s="3" t="n">
        <v>0.008972285854091861</v>
      </c>
      <c r="J4" s="3" t="n">
        <v>4.335157393902526</v>
      </c>
      <c r="K4" s="3" t="n">
        <v>5.894355083362552</v>
      </c>
      <c r="L4" s="3" t="n">
        <v>0</v>
      </c>
      <c r="M4" s="3" t="n">
        <v>2.157799654135039</v>
      </c>
      <c r="N4" s="3" t="n">
        <v>0</v>
      </c>
      <c r="O4" s="3" t="n">
        <v>3.011256367521506</v>
      </c>
      <c r="P4" s="3" t="n">
        <v>0</v>
      </c>
      <c r="Q4" s="3" t="n">
        <v>3.712045329134182</v>
      </c>
      <c r="R4" s="3" t="n">
        <v>54.74704086178337</v>
      </c>
      <c r="S4" s="3" t="n">
        <v>0.0005429776007029374</v>
      </c>
      <c r="T4" s="3" t="n">
        <v>0.3072914120511118</v>
      </c>
      <c r="U4" s="3" t="n">
        <v>3.100624216212652</v>
      </c>
      <c r="V4" s="3" t="n">
        <v>5.278205790744135</v>
      </c>
      <c r="W4" s="3" t="n">
        <v>2.006084896631058e-05</v>
      </c>
      <c r="X4" s="3" t="n">
        <v>2.694859520556745</v>
      </c>
      <c r="Y4" s="3" t="n">
        <v>0.282187156405089</v>
      </c>
      <c r="Z4" s="3" t="n">
        <v>0.09712614609950582</v>
      </c>
      <c r="AA4" s="3" t="n">
        <v>0.01320430520523822</v>
      </c>
      <c r="AB4" s="3" t="n">
        <v>2.308943506097492</v>
      </c>
      <c r="AC4" s="3" t="n">
        <v>4.987936987979491</v>
      </c>
      <c r="AD4" s="3" t="n">
        <v>6.730070930830855</v>
      </c>
      <c r="AE4" s="3" t="n">
        <v>0.3198399756022873</v>
      </c>
      <c r="AF4" s="3" t="n">
        <v>4.727904906281875</v>
      </c>
      <c r="AG4" s="3" t="n">
        <v>3284.867085440053</v>
      </c>
      <c r="AH4" s="3" t="n">
        <v>7041.922338820292</v>
      </c>
      <c r="AI4" s="3" t="n">
        <v>7290.641492055284</v>
      </c>
      <c r="AJ4" s="3" t="n">
        <v>8977.185970582192</v>
      </c>
      <c r="AK4" s="3" t="n">
        <v>8805.500086151451</v>
      </c>
      <c r="AL4" s="3" t="n">
        <v>10197.23585459306</v>
      </c>
      <c r="AM4" s="3" t="n">
        <v>9770.57070773731</v>
      </c>
      <c r="AN4" s="3" t="n">
        <v>10221.34861148717</v>
      </c>
      <c r="AO4" s="3" t="n">
        <v>11592.9598886192</v>
      </c>
      <c r="AP4" s="3" t="n">
        <v>12929.54103846364</v>
      </c>
      <c r="AQ4" s="3" t="n">
        <v>12539.41922189185</v>
      </c>
      <c r="AR4" s="3" t="n">
        <v>13935.2931848602</v>
      </c>
      <c r="AS4" s="3" t="n">
        <v>13974.45245620602</v>
      </c>
      <c r="AT4" s="3" t="n">
        <v>15280.87412951979</v>
      </c>
      <c r="AU4" s="3" t="n">
        <v>15743.84080543486</v>
      </c>
      <c r="AV4" s="3" t="n">
        <v>18052.78482027878</v>
      </c>
      <c r="AW4" s="3" t="n">
        <v>19369.7216719559</v>
      </c>
      <c r="AX4" s="3" t="n">
        <v>21950.23542414831</v>
      </c>
      <c r="AY4" s="3" t="n">
        <v>22419.64419083155</v>
      </c>
      <c r="AZ4" s="3" t="n">
        <v>62042.89542542038</v>
      </c>
      <c r="BA4" s="3" t="n">
        <v>5229.795845510605</v>
      </c>
      <c r="BB4" s="3" t="n">
        <v>10019634.4156528</v>
      </c>
      <c r="BC4" s="3" t="n">
        <v>99.05058566087752</v>
      </c>
      <c r="BD4" s="3" t="n">
        <v>99.25585788808931</v>
      </c>
      <c r="BE4" s="3" t="n">
        <v>108.5431687328018</v>
      </c>
      <c r="BF4" s="3" t="n">
        <v>33.73025377231187</v>
      </c>
      <c r="BG4" s="3" t="n">
        <v>43.33268028600122</v>
      </c>
      <c r="BH4" s="3" t="n">
        <v>98.10372939287598</v>
      </c>
      <c r="BI4" s="3" t="n">
        <v>112.3432208076044</v>
      </c>
      <c r="BJ4" s="3" t="n">
        <v>72.13515435239665</v>
      </c>
      <c r="BK4" s="3" t="n">
        <v>0.1722385234612402</v>
      </c>
      <c r="BL4" s="3" t="n">
        <v>2.952546415633076</v>
      </c>
      <c r="BM4" s="3" t="n">
        <v>10.04293397704175</v>
      </c>
      <c r="BN4" s="3" t="n">
        <v>0.7253567491489524</v>
      </c>
      <c r="BO4" s="3" t="n">
        <v>0.7971604541615283</v>
      </c>
      <c r="BP4" s="3" t="n">
        <v>1.554105228546389</v>
      </c>
    </row>
    <row r="5">
      <c r="A5" s="3" t="inlineStr">
        <is>
          <t>EGY.distn.bsh.dec.ove.mean.2</t>
        </is>
      </c>
      <c r="B5" s="3" t="inlineStr">
        <is>
          <t>EGY</t>
        </is>
      </c>
      <c r="C5" s="3" t="n">
        <v>2017</v>
      </c>
      <c r="D5" s="3" t="inlineStr">
        <is>
          <t>Overall</t>
        </is>
      </c>
      <c r="E5" s="3" t="inlineStr">
        <is>
          <t>Deciles</t>
        </is>
      </c>
      <c r="F5" s="3" t="inlineStr">
        <is>
          <t>mean</t>
        </is>
      </c>
      <c r="G5" s="3" t="n">
        <v>2</v>
      </c>
      <c r="H5" s="3" t="n">
        <v>1.687001961738131</v>
      </c>
      <c r="I5" s="3" t="n">
        <v>0.005275528355739282</v>
      </c>
      <c r="J5" s="3" t="n">
        <v>3.903287614956028</v>
      </c>
      <c r="K5" s="3" t="n">
        <v>5.471786154454486</v>
      </c>
      <c r="L5" s="3" t="n">
        <v>0</v>
      </c>
      <c r="M5" s="3" t="n">
        <v>2.355827564164615</v>
      </c>
      <c r="N5" s="3" t="n">
        <v>0</v>
      </c>
      <c r="O5" s="3" t="n">
        <v>3.957750786102442</v>
      </c>
      <c r="P5" s="3" t="n">
        <v>0</v>
      </c>
      <c r="Q5" s="3" t="n">
        <v>3.386868851149091</v>
      </c>
      <c r="R5" s="3" t="n">
        <v>60.14796088091948</v>
      </c>
      <c r="S5" s="3" t="n">
        <v>0.0002630032683272198</v>
      </c>
      <c r="T5" s="3" t="n">
        <v>0.3634314778750612</v>
      </c>
      <c r="U5" s="3" t="n">
        <v>3.13699879102626</v>
      </c>
      <c r="V5" s="3" t="n">
        <v>4.391657946102145</v>
      </c>
      <c r="W5" s="3" t="n">
        <v>2.31277343073516e-05</v>
      </c>
      <c r="X5" s="3" t="n">
        <v>2.327398467235654</v>
      </c>
      <c r="Y5" s="3" t="n">
        <v>0.2736742872823609</v>
      </c>
      <c r="Z5" s="3" t="n">
        <v>0.1007562641845746</v>
      </c>
      <c r="AA5" s="3" t="n">
        <v>0.008680877436395992</v>
      </c>
      <c r="AB5" s="3" t="n">
        <v>2.287591174637332</v>
      </c>
      <c r="AC5" s="3" t="n">
        <v>4.889717531576539</v>
      </c>
      <c r="AD5" s="3" t="n">
        <v>6.677071026618527</v>
      </c>
      <c r="AE5" s="3" t="n">
        <v>0.3070576305100366</v>
      </c>
      <c r="AF5" s="3" t="n">
        <v>4.275215797477652</v>
      </c>
      <c r="AG5" s="3" t="n">
        <v>3049.417084164682</v>
      </c>
      <c r="AH5" s="3" t="n">
        <v>7210.699304776766</v>
      </c>
      <c r="AI5" s="3" t="n">
        <v>6635.207198241528</v>
      </c>
      <c r="AJ5" s="3" t="n">
        <v>8561.636567752999</v>
      </c>
      <c r="AK5" s="3" t="n">
        <v>8722.005145092466</v>
      </c>
      <c r="AL5" s="3" t="n">
        <v>9005.076316392244</v>
      </c>
      <c r="AM5" s="3" t="n">
        <v>9616.376140246386</v>
      </c>
      <c r="AN5" s="3" t="n">
        <v>11677.67306419512</v>
      </c>
      <c r="AO5" s="3" t="n">
        <v>11347.61232970206</v>
      </c>
      <c r="AP5" s="3" t="n">
        <v>11766.32237311873</v>
      </c>
      <c r="AQ5" s="3" t="n">
        <v>12624.15329163449</v>
      </c>
      <c r="AR5" s="3" t="n">
        <v>14170.42456084506</v>
      </c>
      <c r="AS5" s="3" t="n">
        <v>14544.58356894667</v>
      </c>
      <c r="AT5" s="3" t="n">
        <v>15251.92590462845</v>
      </c>
      <c r="AU5" s="3" t="n">
        <v>15388.24784349773</v>
      </c>
      <c r="AV5" s="3" t="n">
        <v>17883.03836179229</v>
      </c>
      <c r="AW5" s="3" t="n">
        <v>18174.77996508524</v>
      </c>
      <c r="AX5" s="3" t="n">
        <v>23470.86395229714</v>
      </c>
      <c r="AY5" s="3" t="n">
        <v>24406.3263308545</v>
      </c>
      <c r="AZ5" s="3" t="n">
        <v>64433.55768082018</v>
      </c>
      <c r="BA5" s="3" t="n">
        <v>6664.219350658041</v>
      </c>
      <c r="BB5" s="3" t="n">
        <v>9844692.959651062</v>
      </c>
      <c r="BC5" s="3" t="n">
        <v>106.1440056581326</v>
      </c>
      <c r="BD5" s="3" t="n">
        <v>110.6544188797062</v>
      </c>
      <c r="BE5" s="3" t="n">
        <v>106.8816833003266</v>
      </c>
      <c r="BF5" s="3" t="n">
        <v>42.57212594957358</v>
      </c>
      <c r="BG5" s="3" t="n">
        <v>59.36021473333332</v>
      </c>
      <c r="BH5" s="3" t="n">
        <v>106.6441247795286</v>
      </c>
      <c r="BI5" s="3" t="n">
        <v>113.2845798303483</v>
      </c>
      <c r="BJ5" s="3" t="n">
        <v>79.16133762104785</v>
      </c>
      <c r="BK5" s="3" t="n">
        <v>0.009768418296139893</v>
      </c>
      <c r="BL5" s="3" t="n">
        <v>0.01144219643198663</v>
      </c>
      <c r="BM5" s="3" t="n">
        <v>10.9639066411321</v>
      </c>
      <c r="BN5" s="3" t="n">
        <v>1.937427387991892</v>
      </c>
      <c r="BO5" s="3" t="n">
        <v>2.097133686970587</v>
      </c>
      <c r="BP5" s="3" t="n">
        <v>1.650793347705662</v>
      </c>
    </row>
    <row r="6">
      <c r="A6" s="3" t="inlineStr">
        <is>
          <t>EGY.distn.bsh.dec.ove.mean.3</t>
        </is>
      </c>
      <c r="B6" s="3" t="inlineStr">
        <is>
          <t>EGY</t>
        </is>
      </c>
      <c r="C6" s="3" t="n">
        <v>2017</v>
      </c>
      <c r="D6" s="3" t="inlineStr">
        <is>
          <t>Overall</t>
        </is>
      </c>
      <c r="E6" s="3" t="inlineStr">
        <is>
          <t>Deciles</t>
        </is>
      </c>
      <c r="F6" s="3" t="inlineStr">
        <is>
          <t>mean</t>
        </is>
      </c>
      <c r="G6" s="3" t="n">
        <v>3</v>
      </c>
      <c r="H6" s="3" t="n">
        <v>1.646477129158556</v>
      </c>
      <c r="I6" s="3" t="n">
        <v>0.005536103266420564</v>
      </c>
      <c r="J6" s="3" t="n">
        <v>3.547759828916818</v>
      </c>
      <c r="K6" s="3" t="n">
        <v>6.528549486315583</v>
      </c>
      <c r="L6" s="3" t="n">
        <v>0</v>
      </c>
      <c r="M6" s="3" t="n">
        <v>2.358357100159775</v>
      </c>
      <c r="N6" s="3" t="n">
        <v>0</v>
      </c>
      <c r="O6" s="3" t="n">
        <v>4.183615218859813</v>
      </c>
      <c r="P6" s="3" t="n">
        <v>0</v>
      </c>
      <c r="Q6" s="3" t="n">
        <v>3.497795166354107</v>
      </c>
      <c r="R6" s="3" t="n">
        <v>54.88894381063543</v>
      </c>
      <c r="S6" s="3" t="n">
        <v>0.0003015261950831715</v>
      </c>
      <c r="T6" s="3" t="n">
        <v>0.4383492152433479</v>
      </c>
      <c r="U6" s="3" t="n">
        <v>3.863126546156606</v>
      </c>
      <c r="V6" s="3" t="n">
        <v>4.909615697853694</v>
      </c>
      <c r="W6" s="3" t="n">
        <v>1.025382966777586e-05</v>
      </c>
      <c r="X6" s="3" t="n">
        <v>2.130473774838007</v>
      </c>
      <c r="Y6" s="3" t="n">
        <v>0.2901272404518894</v>
      </c>
      <c r="Z6" s="3" t="n">
        <v>0.1377627988064387</v>
      </c>
      <c r="AA6" s="3" t="n">
        <v>0.00639690532183328</v>
      </c>
      <c r="AB6" s="3" t="n">
        <v>2.223298547282257</v>
      </c>
      <c r="AC6" s="3" t="n">
        <v>4.867343814939004</v>
      </c>
      <c r="AD6" s="3" t="n">
        <v>6.733738915995465</v>
      </c>
      <c r="AE6" s="3" t="n">
        <v>0.3082615124490389</v>
      </c>
      <c r="AF6" s="3" t="n">
        <v>4.403088027312691</v>
      </c>
      <c r="AG6" s="3" t="n">
        <v>3045.263592962258</v>
      </c>
      <c r="AH6" s="3" t="n">
        <v>7394.219132725927</v>
      </c>
      <c r="AI6" s="3" t="n">
        <v>7072.692741512383</v>
      </c>
      <c r="AJ6" s="3" t="n">
        <v>8942.020949332309</v>
      </c>
      <c r="AK6" s="3" t="n">
        <v>8390.863811637073</v>
      </c>
      <c r="AL6" s="3" t="n">
        <v>9057.590781089077</v>
      </c>
      <c r="AM6" s="3" t="n">
        <v>9943.364997086021</v>
      </c>
      <c r="AN6" s="3" t="n">
        <v>11305.44281408684</v>
      </c>
      <c r="AO6" s="3" t="n">
        <v>11287.31290642404</v>
      </c>
      <c r="AP6" s="3" t="n">
        <v>12722.65028428574</v>
      </c>
      <c r="AQ6" s="3" t="n">
        <v>12705.44680672171</v>
      </c>
      <c r="AR6" s="3" t="n">
        <v>13307.2171458402</v>
      </c>
      <c r="AS6" s="3" t="n">
        <v>14013.04813029593</v>
      </c>
      <c r="AT6" s="3" t="n">
        <v>14463.29047441997</v>
      </c>
      <c r="AU6" s="3" t="n">
        <v>14737.69390065195</v>
      </c>
      <c r="AV6" s="3" t="n">
        <v>17205.94823741838</v>
      </c>
      <c r="AW6" s="3" t="n">
        <v>19071.16363003358</v>
      </c>
      <c r="AX6" s="3" t="n">
        <v>21505.82805468619</v>
      </c>
      <c r="AY6" s="3" t="n">
        <v>23283.08857957927</v>
      </c>
      <c r="AZ6" s="3" t="n">
        <v>61617.43159785987</v>
      </c>
      <c r="BA6" s="3" t="n">
        <v>8231.77085402133</v>
      </c>
      <c r="BB6" s="3" t="n">
        <v>11193191.0523655</v>
      </c>
      <c r="BC6" s="3" t="n">
        <v>98.8501161771065</v>
      </c>
      <c r="BD6" s="3" t="n">
        <v>106.7579087732066</v>
      </c>
      <c r="BE6" s="3" t="n">
        <v>99.55397923907489</v>
      </c>
      <c r="BF6" s="3" t="n">
        <v>50.11263091112448</v>
      </c>
      <c r="BG6" s="3" t="n">
        <v>61.08246427262218</v>
      </c>
      <c r="BH6" s="3" t="n">
        <v>104.0142106237021</v>
      </c>
      <c r="BI6" s="3" t="n">
        <v>105.2886716309844</v>
      </c>
      <c r="BJ6" s="3" t="n">
        <v>88.02387000783635</v>
      </c>
      <c r="BK6" s="3" t="n">
        <v>0</v>
      </c>
      <c r="BL6" s="3" t="n">
        <v>0.0069918600519042</v>
      </c>
      <c r="BM6" s="3" t="n">
        <v>10.35979093925238</v>
      </c>
      <c r="BN6" s="3" t="n">
        <v>3.121445882288276</v>
      </c>
      <c r="BO6" s="3" t="n">
        <v>2.734869773704853</v>
      </c>
      <c r="BP6" s="3" t="n">
        <v>1.607977987240215</v>
      </c>
    </row>
    <row r="7">
      <c r="A7" s="3" t="inlineStr">
        <is>
          <t>EGY.distn.bsh.dec.ove.mean.4</t>
        </is>
      </c>
      <c r="B7" s="3" t="inlineStr">
        <is>
          <t>EGY</t>
        </is>
      </c>
      <c r="C7" s="3" t="n">
        <v>2017</v>
      </c>
      <c r="D7" s="3" t="inlineStr">
        <is>
          <t>Overall</t>
        </is>
      </c>
      <c r="E7" s="3" t="inlineStr">
        <is>
          <t>Deciles</t>
        </is>
      </c>
      <c r="F7" s="3" t="inlineStr">
        <is>
          <t>mean</t>
        </is>
      </c>
      <c r="G7" s="3" t="n">
        <v>4</v>
      </c>
      <c r="H7" s="3" t="n">
        <v>1.573848583252808</v>
      </c>
      <c r="I7" s="3" t="n">
        <v>0.003798138806261724</v>
      </c>
      <c r="J7" s="3" t="n">
        <v>3.688085587945468</v>
      </c>
      <c r="K7" s="3" t="n">
        <v>5.919737389803546</v>
      </c>
      <c r="L7" s="3" t="n">
        <v>0</v>
      </c>
      <c r="M7" s="3" t="n">
        <v>2.84920950416005</v>
      </c>
      <c r="N7" s="3" t="n">
        <v>0</v>
      </c>
      <c r="O7" s="3" t="n">
        <v>4.083467576544287</v>
      </c>
      <c r="P7" s="3" t="n">
        <v>0</v>
      </c>
      <c r="Q7" s="3" t="n">
        <v>3.387531902277361</v>
      </c>
      <c r="R7" s="3" t="n">
        <v>55.26396301343223</v>
      </c>
      <c r="S7" s="3" t="n">
        <v>0.0002250685189376403</v>
      </c>
      <c r="T7" s="3" t="n">
        <v>0.4438330576453658</v>
      </c>
      <c r="U7" s="3" t="n">
        <v>3.736270442398291</v>
      </c>
      <c r="V7" s="3" t="n">
        <v>4.236477508341399</v>
      </c>
      <c r="W7" s="3" t="n">
        <v>5.664333263088894e-05</v>
      </c>
      <c r="X7" s="3" t="n">
        <v>1.83262970949107</v>
      </c>
      <c r="Y7" s="3" t="n">
        <v>0.3060726892600179</v>
      </c>
      <c r="Z7" s="3" t="n">
        <v>0.1000572456953289</v>
      </c>
      <c r="AA7" s="3" t="n">
        <v>0.008878163437640569</v>
      </c>
      <c r="AB7" s="3" t="n">
        <v>2.081118305284449</v>
      </c>
      <c r="AC7" s="3" t="n">
        <v>5.093816903982407</v>
      </c>
      <c r="AD7" s="3" t="n">
        <v>6.44107671846312</v>
      </c>
      <c r="AE7" s="3" t="n">
        <v>0.2822208009506809</v>
      </c>
      <c r="AF7" s="3" t="n">
        <v>4.364343456112674</v>
      </c>
      <c r="AG7" s="3" t="n">
        <v>3259.638005120841</v>
      </c>
      <c r="AH7" s="3" t="n">
        <v>6876.122081287644</v>
      </c>
      <c r="AI7" s="3" t="n">
        <v>7433.686721946206</v>
      </c>
      <c r="AJ7" s="3" t="n">
        <v>8497.339398212731</v>
      </c>
      <c r="AK7" s="3" t="n">
        <v>8343.239899569697</v>
      </c>
      <c r="AL7" s="3" t="n">
        <v>10134.83495025679</v>
      </c>
      <c r="AM7" s="3" t="n">
        <v>9664.56459703269</v>
      </c>
      <c r="AN7" s="3" t="n">
        <v>11123.01636265601</v>
      </c>
      <c r="AO7" s="3" t="n">
        <v>11077.40283633949</v>
      </c>
      <c r="AP7" s="3" t="n">
        <v>11280.81459532385</v>
      </c>
      <c r="AQ7" s="3" t="n">
        <v>11971.59683753122</v>
      </c>
      <c r="AR7" s="3" t="n">
        <v>14132.34653792709</v>
      </c>
      <c r="AS7" s="3" t="n">
        <v>12977.12921502182</v>
      </c>
      <c r="AT7" s="3" t="n">
        <v>16173.52382031899</v>
      </c>
      <c r="AU7" s="3" t="n">
        <v>15720.39302706207</v>
      </c>
      <c r="AV7" s="3" t="n">
        <v>19361.36063944632</v>
      </c>
      <c r="AW7" s="3" t="n">
        <v>19427.98311377678</v>
      </c>
      <c r="AX7" s="3" t="n">
        <v>23594.50502401075</v>
      </c>
      <c r="AY7" s="3" t="n">
        <v>23180.06623305237</v>
      </c>
      <c r="AZ7" s="3" t="n">
        <v>62978.69731319421</v>
      </c>
      <c r="BA7" s="3" t="n">
        <v>9811.9494347979</v>
      </c>
      <c r="BB7" s="3" t="n">
        <v>10068725.52885237</v>
      </c>
      <c r="BC7" s="3" t="n">
        <v>101.7726192539897</v>
      </c>
      <c r="BD7" s="3" t="n">
        <v>110.7863744444099</v>
      </c>
      <c r="BE7" s="3" t="n">
        <v>105.0163773616307</v>
      </c>
      <c r="BF7" s="3" t="n">
        <v>62.03311392744042</v>
      </c>
      <c r="BG7" s="3" t="n">
        <v>65.56696652956582</v>
      </c>
      <c r="BH7" s="3" t="n">
        <v>98.89189984220715</v>
      </c>
      <c r="BI7" s="3" t="n">
        <v>100.1240749608079</v>
      </c>
      <c r="BJ7" s="3" t="n">
        <v>89.62614181341716</v>
      </c>
      <c r="BK7" s="3" t="n">
        <v>0</v>
      </c>
      <c r="BL7" s="3" t="n">
        <v>0</v>
      </c>
      <c r="BM7" s="3" t="n">
        <v>4.985866452897354</v>
      </c>
      <c r="BN7" s="3" t="n">
        <v>3.559525145732059</v>
      </c>
      <c r="BO7" s="3" t="n">
        <v>3.853938406001936</v>
      </c>
      <c r="BP7" s="3" t="n">
        <v>1.474492328255828</v>
      </c>
    </row>
    <row r="8">
      <c r="A8" s="3" t="inlineStr">
        <is>
          <t>EGY.distn.bsh.dec.ove.mean.5</t>
        </is>
      </c>
      <c r="B8" s="3" t="inlineStr">
        <is>
          <t>EGY</t>
        </is>
      </c>
      <c r="C8" s="3" t="n">
        <v>2017</v>
      </c>
      <c r="D8" s="3" t="inlineStr">
        <is>
          <t>Overall</t>
        </is>
      </c>
      <c r="E8" s="3" t="inlineStr">
        <is>
          <t>Deciles</t>
        </is>
      </c>
      <c r="F8" s="3" t="inlineStr">
        <is>
          <t>mean</t>
        </is>
      </c>
      <c r="G8" s="3" t="n">
        <v>5</v>
      </c>
      <c r="H8" s="3" t="n">
        <v>1.725126495756191</v>
      </c>
      <c r="I8" s="3" t="n">
        <v>0.002971054699347749</v>
      </c>
      <c r="J8" s="3" t="n">
        <v>3.905485138570505</v>
      </c>
      <c r="K8" s="3" t="n">
        <v>5.913980379684545</v>
      </c>
      <c r="L8" s="3" t="n">
        <v>0</v>
      </c>
      <c r="M8" s="3" t="n">
        <v>2.81776071861358</v>
      </c>
      <c r="N8" s="3" t="n">
        <v>0</v>
      </c>
      <c r="O8" s="3" t="n">
        <v>4.532320636499002</v>
      </c>
      <c r="P8" s="3" t="n">
        <v>0</v>
      </c>
      <c r="Q8" s="3" t="n">
        <v>3.283684020389247</v>
      </c>
      <c r="R8" s="3" t="n">
        <v>53.63971768526643</v>
      </c>
      <c r="S8" s="3" t="n">
        <v>0.0001570193897184696</v>
      </c>
      <c r="T8" s="3" t="n">
        <v>0.5191852813277069</v>
      </c>
      <c r="U8" s="3" t="n">
        <v>4.087280685607818</v>
      </c>
      <c r="V8" s="3" t="n">
        <v>4.868466768478282</v>
      </c>
      <c r="W8" s="3" t="n">
        <v>5.556458977537802e-05</v>
      </c>
      <c r="X8" s="3" t="n">
        <v>1.725676179389963</v>
      </c>
      <c r="Y8" s="3" t="n">
        <v>0.3095759689400425</v>
      </c>
      <c r="Z8" s="3" t="n">
        <v>0.1435739677683258</v>
      </c>
      <c r="AA8" s="3" t="n">
        <v>0.02119457126783093</v>
      </c>
      <c r="AB8" s="3" t="n">
        <v>2.072884247469281</v>
      </c>
      <c r="AC8" s="3" t="n">
        <v>5.759874219332057</v>
      </c>
      <c r="AD8" s="3" t="n">
        <v>7.060733162832125</v>
      </c>
      <c r="AE8" s="3" t="n">
        <v>0.3702097954533903</v>
      </c>
      <c r="AF8" s="3" t="n">
        <v>4.409127048373255</v>
      </c>
      <c r="AG8" s="3" t="n">
        <v>3023.968526714703</v>
      </c>
      <c r="AH8" s="3" t="n">
        <v>7000.020631641471</v>
      </c>
      <c r="AI8" s="3" t="n">
        <v>6960.098504780863</v>
      </c>
      <c r="AJ8" s="3" t="n">
        <v>8137.028634823032</v>
      </c>
      <c r="AK8" s="3" t="n">
        <v>8771.177140243077</v>
      </c>
      <c r="AL8" s="3" t="n">
        <v>9254.072629672093</v>
      </c>
      <c r="AM8" s="3" t="n">
        <v>9645.046656336293</v>
      </c>
      <c r="AN8" s="3" t="n">
        <v>11137.53690358389</v>
      </c>
      <c r="AO8" s="3" t="n">
        <v>11211.4281741539</v>
      </c>
      <c r="AP8" s="3" t="n">
        <v>12358.91146763047</v>
      </c>
      <c r="AQ8" s="3" t="n">
        <v>12787.18890412171</v>
      </c>
      <c r="AR8" s="3" t="n">
        <v>14506.98831987037</v>
      </c>
      <c r="AS8" s="3" t="n">
        <v>13615.31882609899</v>
      </c>
      <c r="AT8" s="3" t="n">
        <v>14408.95944716001</v>
      </c>
      <c r="AU8" s="3" t="n">
        <v>15694.85073924274</v>
      </c>
      <c r="AV8" s="3" t="n">
        <v>17190.46014981804</v>
      </c>
      <c r="AW8" s="3" t="n">
        <v>18256.53920974649</v>
      </c>
      <c r="AX8" s="3" t="n">
        <v>23196.46804746119</v>
      </c>
      <c r="AY8" s="3" t="n">
        <v>22614.90663463968</v>
      </c>
      <c r="AZ8" s="3" t="n">
        <v>64448.38014315964</v>
      </c>
      <c r="BA8" s="3" t="n">
        <v>10348.65136596754</v>
      </c>
      <c r="BB8" s="3" t="n">
        <v>10271899.02576059</v>
      </c>
      <c r="BC8" s="3" t="n">
        <v>112.495228492016</v>
      </c>
      <c r="BD8" s="3" t="n">
        <v>101.0380261093324</v>
      </c>
      <c r="BE8" s="3" t="n">
        <v>101.4152066118859</v>
      </c>
      <c r="BF8" s="3" t="n">
        <v>62.15294619894589</v>
      </c>
      <c r="BG8" s="3" t="n">
        <v>72.99242027848632</v>
      </c>
      <c r="BH8" s="3" t="n">
        <v>103.4972236291165</v>
      </c>
      <c r="BI8" s="3" t="n">
        <v>112.8303315874618</v>
      </c>
      <c r="BJ8" s="3" t="n">
        <v>87.16385777420584</v>
      </c>
      <c r="BK8" s="3" t="n">
        <v>0</v>
      </c>
      <c r="BL8" s="3" t="n">
        <v>0</v>
      </c>
      <c r="BM8" s="3" t="n">
        <v>0.6795031884565179</v>
      </c>
      <c r="BN8" s="3" t="n">
        <v>5.148956313293371</v>
      </c>
      <c r="BO8" s="3" t="n">
        <v>4.765978912856215</v>
      </c>
      <c r="BP8" s="3" t="n">
        <v>1.478502421244499</v>
      </c>
    </row>
    <row r="9">
      <c r="A9" s="3" t="inlineStr">
        <is>
          <t>EGY.distn.bsh.dec.ove.mean.6</t>
        </is>
      </c>
      <c r="B9" s="3" t="inlineStr">
        <is>
          <t>EGY</t>
        </is>
      </c>
      <c r="C9" s="3" t="n">
        <v>2017</v>
      </c>
      <c r="D9" s="3" t="inlineStr">
        <is>
          <t>Overall</t>
        </is>
      </c>
      <c r="E9" s="3" t="inlineStr">
        <is>
          <t>Deciles</t>
        </is>
      </c>
      <c r="F9" s="3" t="inlineStr">
        <is>
          <t>mean</t>
        </is>
      </c>
      <c r="G9" s="3" t="n">
        <v>6</v>
      </c>
      <c r="H9" s="3" t="n">
        <v>1.708652065747803</v>
      </c>
      <c r="I9" s="3" t="n">
        <v>0.002813506292504625</v>
      </c>
      <c r="J9" s="3" t="n">
        <v>3.647551284295499</v>
      </c>
      <c r="K9" s="3" t="n">
        <v>5.836763018421928</v>
      </c>
      <c r="L9" s="3" t="n">
        <v>0</v>
      </c>
      <c r="M9" s="3" t="n">
        <v>2.932486752491358</v>
      </c>
      <c r="N9" s="3" t="n">
        <v>0</v>
      </c>
      <c r="O9" s="3" t="n">
        <v>4.190290836482684</v>
      </c>
      <c r="P9" s="3" t="n">
        <v>1.111313838520578e-05</v>
      </c>
      <c r="Q9" s="3" t="n">
        <v>3.325231592484532</v>
      </c>
      <c r="R9" s="3" t="n">
        <v>58.59896922996741</v>
      </c>
      <c r="S9" s="3" t="n">
        <v>0.000146975327400632</v>
      </c>
      <c r="T9" s="3" t="n">
        <v>0.5448284951671503</v>
      </c>
      <c r="U9" s="3" t="n">
        <v>3.990510875212586</v>
      </c>
      <c r="V9" s="3" t="n">
        <v>4.701816149799177</v>
      </c>
      <c r="W9" s="3" t="n">
        <v>4.71952851194733e-05</v>
      </c>
      <c r="X9" s="3" t="n">
        <v>1.633304084782344</v>
      </c>
      <c r="Y9" s="3" t="n">
        <v>0.3219813663113051</v>
      </c>
      <c r="Z9" s="3" t="n">
        <v>0.1417776951189099</v>
      </c>
      <c r="AA9" s="3" t="n">
        <v>0.01570393205339196</v>
      </c>
      <c r="AB9" s="3" t="n">
        <v>1.8745313532496</v>
      </c>
      <c r="AC9" s="3" t="n">
        <v>6.70946085031017</v>
      </c>
      <c r="AD9" s="3" t="n">
        <v>6.625041807555788</v>
      </c>
      <c r="AE9" s="3" t="n">
        <v>0.4604905769234013</v>
      </c>
      <c r="AF9" s="3" t="n">
        <v>4.663335561988159</v>
      </c>
      <c r="AG9" s="3" t="n">
        <v>3024.83826656246</v>
      </c>
      <c r="AH9" s="3" t="n">
        <v>6843.311891839009</v>
      </c>
      <c r="AI9" s="3" t="n">
        <v>6841.057534415119</v>
      </c>
      <c r="AJ9" s="3" t="n">
        <v>8837.108238391707</v>
      </c>
      <c r="AK9" s="3" t="n">
        <v>8172.64626853617</v>
      </c>
      <c r="AL9" s="3" t="n">
        <v>9715.997959675575</v>
      </c>
      <c r="AM9" s="3" t="n">
        <v>10293.92634964975</v>
      </c>
      <c r="AN9" s="3" t="n">
        <v>10893.7355704088</v>
      </c>
      <c r="AO9" s="3" t="n">
        <v>10368.18352779025</v>
      </c>
      <c r="AP9" s="3" t="n">
        <v>11959.71019811855</v>
      </c>
      <c r="AQ9" s="3" t="n">
        <v>12712.38303587434</v>
      </c>
      <c r="AR9" s="3" t="n">
        <v>13888.52627172722</v>
      </c>
      <c r="AS9" s="3" t="n">
        <v>14711.55077290364</v>
      </c>
      <c r="AT9" s="3" t="n">
        <v>16112.71791601223</v>
      </c>
      <c r="AU9" s="3" t="n">
        <v>16650.91050466262</v>
      </c>
      <c r="AV9" s="3" t="n">
        <v>19209.68587822813</v>
      </c>
      <c r="AW9" s="3" t="n">
        <v>19006.91510565412</v>
      </c>
      <c r="AX9" s="3" t="n">
        <v>22011.4971498683</v>
      </c>
      <c r="AY9" s="3" t="n">
        <v>21998.57220850775</v>
      </c>
      <c r="AZ9" s="3" t="n">
        <v>60425.23690395147</v>
      </c>
      <c r="BA9" s="3" t="n">
        <v>11013.48040473238</v>
      </c>
      <c r="BB9" s="3" t="n">
        <v>11280762.58198201</v>
      </c>
      <c r="BC9" s="3" t="n">
        <v>106.7097290639191</v>
      </c>
      <c r="BD9" s="3" t="n">
        <v>108.8297327212424</v>
      </c>
      <c r="BE9" s="3" t="n">
        <v>113.9504422085771</v>
      </c>
      <c r="BF9" s="3" t="n">
        <v>72.17323326708102</v>
      </c>
      <c r="BG9" s="3" t="n">
        <v>72.15252501998313</v>
      </c>
      <c r="BH9" s="3" t="n">
        <v>112.5469315403119</v>
      </c>
      <c r="BI9" s="3" t="n">
        <v>98.38004610753426</v>
      </c>
      <c r="BJ9" s="3" t="n">
        <v>94.5554357683431</v>
      </c>
      <c r="BK9" s="3" t="n">
        <v>0</v>
      </c>
      <c r="BL9" s="3" t="n">
        <v>0</v>
      </c>
      <c r="BM9" s="3" t="n">
        <v>0.1625183701526515</v>
      </c>
      <c r="BN9" s="3" t="n">
        <v>6.039836618038678</v>
      </c>
      <c r="BO9" s="3" t="n">
        <v>6.671844201629153</v>
      </c>
      <c r="BP9" s="3" t="n">
        <v>1.656216469277894</v>
      </c>
    </row>
    <row r="10">
      <c r="A10" s="3" t="inlineStr">
        <is>
          <t>EGY.distn.bsh.dec.ove.mean.7</t>
        </is>
      </c>
      <c r="B10" s="3" t="inlineStr">
        <is>
          <t>EGY</t>
        </is>
      </c>
      <c r="C10" s="3" t="n">
        <v>2017</v>
      </c>
      <c r="D10" s="3" t="inlineStr">
        <is>
          <t>Overall</t>
        </is>
      </c>
      <c r="E10" s="3" t="inlineStr">
        <is>
          <t>Deciles</t>
        </is>
      </c>
      <c r="F10" s="3" t="inlineStr">
        <is>
          <t>mean</t>
        </is>
      </c>
      <c r="G10" s="3" t="n">
        <v>7</v>
      </c>
      <c r="H10" s="3" t="n">
        <v>1.826843177700504</v>
      </c>
      <c r="I10" s="3" t="n">
        <v>0.003155810564119262</v>
      </c>
      <c r="J10" s="3" t="n">
        <v>3.562231684885988</v>
      </c>
      <c r="K10" s="3" t="n">
        <v>6.084616596331362</v>
      </c>
      <c r="L10" s="3" t="n">
        <v>0</v>
      </c>
      <c r="M10" s="3" t="n">
        <v>2.738933527178865</v>
      </c>
      <c r="N10" s="3" t="n">
        <v>0</v>
      </c>
      <c r="O10" s="3" t="n">
        <v>4.364224661446584</v>
      </c>
      <c r="P10" s="3" t="n">
        <v>0</v>
      </c>
      <c r="Q10" s="3" t="n">
        <v>3.474154547664536</v>
      </c>
      <c r="R10" s="3" t="n">
        <v>53.0939564116925</v>
      </c>
      <c r="S10" s="3" t="n">
        <v>0.0001556319992623173</v>
      </c>
      <c r="T10" s="3" t="n">
        <v>0.602673754502311</v>
      </c>
      <c r="U10" s="3" t="n">
        <v>4.865474624770215</v>
      </c>
      <c r="V10" s="3" t="n">
        <v>4.643985162651326</v>
      </c>
      <c r="W10" s="3" t="n">
        <v>2.14499410754248e-05</v>
      </c>
      <c r="X10" s="3" t="n">
        <v>1.577294513587133</v>
      </c>
      <c r="Y10" s="3" t="n">
        <v>0.367259138208968</v>
      </c>
      <c r="Z10" s="3" t="n">
        <v>0.1363019885731651</v>
      </c>
      <c r="AA10" s="3" t="n">
        <v>0.01442919216470675</v>
      </c>
      <c r="AB10" s="3" t="n">
        <v>1.676694001209762</v>
      </c>
      <c r="AC10" s="3" t="n">
        <v>6.368293100572019</v>
      </c>
      <c r="AD10" s="3" t="n">
        <v>6.260730221908514</v>
      </c>
      <c r="AE10" s="3" t="n">
        <v>0.5022852434263316</v>
      </c>
      <c r="AF10" s="3" t="n">
        <v>5.160042403112024</v>
      </c>
      <c r="AG10" s="3" t="n">
        <v>3009.97014157143</v>
      </c>
      <c r="AH10" s="3" t="n">
        <v>7248.978034356647</v>
      </c>
      <c r="AI10" s="3" t="n">
        <v>7248.95634351893</v>
      </c>
      <c r="AJ10" s="3" t="n">
        <v>7955.847536956827</v>
      </c>
      <c r="AK10" s="3" t="n">
        <v>8000.539851681863</v>
      </c>
      <c r="AL10" s="3" t="n">
        <v>8939.934263510697</v>
      </c>
      <c r="AM10" s="3" t="n">
        <v>9093.114003886662</v>
      </c>
      <c r="AN10" s="3" t="n">
        <v>11503.35640117463</v>
      </c>
      <c r="AO10" s="3" t="n">
        <v>10113.5353262776</v>
      </c>
      <c r="AP10" s="3" t="n">
        <v>11422.89289408506</v>
      </c>
      <c r="AQ10" s="3" t="n">
        <v>12657.31346835658</v>
      </c>
      <c r="AR10" s="3" t="n">
        <v>12656.36968212083</v>
      </c>
      <c r="AS10" s="3" t="n">
        <v>13015.37678283858</v>
      </c>
      <c r="AT10" s="3" t="n">
        <v>15328.95419953047</v>
      </c>
      <c r="AU10" s="3" t="n">
        <v>15473.3779590583</v>
      </c>
      <c r="AV10" s="3" t="n">
        <v>18001.59499828793</v>
      </c>
      <c r="AW10" s="3" t="n">
        <v>16938.13607216611</v>
      </c>
      <c r="AX10" s="3" t="n">
        <v>22760.89831627849</v>
      </c>
      <c r="AY10" s="3" t="n">
        <v>23848.28293164271</v>
      </c>
      <c r="AZ10" s="3" t="n">
        <v>67124.45129412823</v>
      </c>
      <c r="BA10" s="3" t="n">
        <v>13822.56724671844</v>
      </c>
      <c r="BB10" s="3" t="n">
        <v>10490081.38109066</v>
      </c>
      <c r="BC10" s="3" t="n">
        <v>106.8464917521687</v>
      </c>
      <c r="BD10" s="3" t="n">
        <v>101.8698711107823</v>
      </c>
      <c r="BE10" s="3" t="n">
        <v>104.6763257889325</v>
      </c>
      <c r="BF10" s="3" t="n">
        <v>66.64624457893022</v>
      </c>
      <c r="BG10" s="3" t="n">
        <v>77.95440718217877</v>
      </c>
      <c r="BH10" s="3" t="n">
        <v>105.6680323583917</v>
      </c>
      <c r="BI10" s="3" t="n">
        <v>105.9415054745322</v>
      </c>
      <c r="BJ10" s="3" t="n">
        <v>96.80980676428182</v>
      </c>
      <c r="BK10" s="3" t="n">
        <v>0</v>
      </c>
      <c r="BL10" s="3" t="n">
        <v>0</v>
      </c>
      <c r="BM10" s="3" t="n">
        <v>0.03041914839866566</v>
      </c>
      <c r="BN10" s="3" t="n">
        <v>8.389685158911739</v>
      </c>
      <c r="BO10" s="3" t="n">
        <v>7.845784765630955</v>
      </c>
      <c r="BP10" s="3" t="n">
        <v>1.586647896642029</v>
      </c>
    </row>
    <row r="11">
      <c r="A11" s="3" t="inlineStr">
        <is>
          <t>EGY.distn.bsh.dec.ove.mean.8</t>
        </is>
      </c>
      <c r="B11" s="3" t="inlineStr">
        <is>
          <t>EGY</t>
        </is>
      </c>
      <c r="C11" s="3" t="n">
        <v>2017</v>
      </c>
      <c r="D11" s="3" t="inlineStr">
        <is>
          <t>Overall</t>
        </is>
      </c>
      <c r="E11" s="3" t="inlineStr">
        <is>
          <t>Deciles</t>
        </is>
      </c>
      <c r="F11" s="3" t="inlineStr">
        <is>
          <t>mean</t>
        </is>
      </c>
      <c r="G11" s="3" t="n">
        <v>8</v>
      </c>
      <c r="H11" s="3" t="n">
        <v>1.803187564475103</v>
      </c>
      <c r="I11" s="3" t="n">
        <v>0.003072615814745173</v>
      </c>
      <c r="J11" s="3" t="n">
        <v>3.594762182214807</v>
      </c>
      <c r="K11" s="3" t="n">
        <v>5.142765903758193</v>
      </c>
      <c r="L11" s="3" t="n">
        <v>0</v>
      </c>
      <c r="M11" s="3" t="n">
        <v>2.940037838598913</v>
      </c>
      <c r="N11" s="3" t="n">
        <v>0</v>
      </c>
      <c r="O11" s="3" t="n">
        <v>3.766819951823366</v>
      </c>
      <c r="P11" s="3" t="n">
        <v>1.093220405367977e-05</v>
      </c>
      <c r="Q11" s="3" t="n">
        <v>3.732985348611389</v>
      </c>
      <c r="R11" s="3" t="n">
        <v>56.26386677476895</v>
      </c>
      <c r="S11" s="3" t="n">
        <v>0.0001812714676722596</v>
      </c>
      <c r="T11" s="3" t="n">
        <v>0.6562984442710446</v>
      </c>
      <c r="U11" s="3" t="n">
        <v>4.761244714429979</v>
      </c>
      <c r="V11" s="3" t="n">
        <v>4.511854044597572</v>
      </c>
      <c r="W11" s="3" t="n">
        <v>8.350073475788093e-05</v>
      </c>
      <c r="X11" s="3" t="n">
        <v>1.394601011209233</v>
      </c>
      <c r="Y11" s="3" t="n">
        <v>0.4517651975680243</v>
      </c>
      <c r="Z11" s="3" t="n">
        <v>0.1407971882519195</v>
      </c>
      <c r="AA11" s="3" t="n">
        <v>0.01880679092085949</v>
      </c>
      <c r="AB11" s="3" t="n">
        <v>1.315641344837324</v>
      </c>
      <c r="AC11" s="3" t="n">
        <v>8.495614219344079</v>
      </c>
      <c r="AD11" s="3" t="n">
        <v>6.357486274713655</v>
      </c>
      <c r="AE11" s="3" t="n">
        <v>0.6281290874394987</v>
      </c>
      <c r="AF11" s="3" t="n">
        <v>5.022442879264235</v>
      </c>
      <c r="AG11" s="3" t="n">
        <v>3256.223323603545</v>
      </c>
      <c r="AH11" s="3" t="n">
        <v>6747.846663938505</v>
      </c>
      <c r="AI11" s="3" t="n">
        <v>6807.199003178665</v>
      </c>
      <c r="AJ11" s="3" t="n">
        <v>7944.237375892305</v>
      </c>
      <c r="AK11" s="3" t="n">
        <v>7860.931051581305</v>
      </c>
      <c r="AL11" s="3" t="n">
        <v>8923.266899201879</v>
      </c>
      <c r="AM11" s="3" t="n">
        <v>9989.741896746988</v>
      </c>
      <c r="AN11" s="3" t="n">
        <v>10703.46295070177</v>
      </c>
      <c r="AO11" s="3" t="n">
        <v>10617.65229597944</v>
      </c>
      <c r="AP11" s="3" t="n">
        <v>12275.63969763872</v>
      </c>
      <c r="AQ11" s="3" t="n">
        <v>12409.93508907382</v>
      </c>
      <c r="AR11" s="3" t="n">
        <v>13883.03658999559</v>
      </c>
      <c r="AS11" s="3" t="n">
        <v>13406.26703939591</v>
      </c>
      <c r="AT11" s="3" t="n">
        <v>15414.69695224632</v>
      </c>
      <c r="AU11" s="3" t="n">
        <v>14596.11763538622</v>
      </c>
      <c r="AV11" s="3" t="n">
        <v>18751.03384612282</v>
      </c>
      <c r="AW11" s="3" t="n">
        <v>18106.26201214001</v>
      </c>
      <c r="AX11" s="3" t="n">
        <v>23277.04576626557</v>
      </c>
      <c r="AY11" s="3" t="n">
        <v>23813.54263448228</v>
      </c>
      <c r="AZ11" s="3" t="n">
        <v>65091.18654466428</v>
      </c>
      <c r="BA11" s="3" t="n">
        <v>15870.82947068008</v>
      </c>
      <c r="BB11" s="3" t="n">
        <v>10973133.14838653</v>
      </c>
      <c r="BC11" s="3" t="n">
        <v>105.0611204095697</v>
      </c>
      <c r="BD11" s="3" t="n">
        <v>105.6819849655146</v>
      </c>
      <c r="BE11" s="3" t="n">
        <v>111.3451763986349</v>
      </c>
      <c r="BF11" s="3" t="n">
        <v>66.04033662971123</v>
      </c>
      <c r="BG11" s="3" t="n">
        <v>81.01506472305702</v>
      </c>
      <c r="BH11" s="3" t="n">
        <v>99.1927842430853</v>
      </c>
      <c r="BI11" s="3" t="n">
        <v>101.287020838571</v>
      </c>
      <c r="BJ11" s="3" t="n">
        <v>98.15134740705967</v>
      </c>
      <c r="BK11" s="3" t="n">
        <v>0</v>
      </c>
      <c r="BL11" s="3" t="n">
        <v>0</v>
      </c>
      <c r="BM11" s="3" t="n">
        <v>0.0170894920332294</v>
      </c>
      <c r="BN11" s="3" t="n">
        <v>10.50429215844493</v>
      </c>
      <c r="BO11" s="3" t="n">
        <v>9.907194165979185</v>
      </c>
      <c r="BP11" s="3" t="n">
        <v>1.609180938690977</v>
      </c>
    </row>
    <row r="12">
      <c r="A12" s="3" t="inlineStr">
        <is>
          <t>EGY.distn.bsh.dec.ove.mean.9</t>
        </is>
      </c>
      <c r="B12" s="3" t="inlineStr">
        <is>
          <t>EGY</t>
        </is>
      </c>
      <c r="C12" s="3" t="n">
        <v>2017</v>
      </c>
      <c r="D12" s="3" t="inlineStr">
        <is>
          <t>Overall</t>
        </is>
      </c>
      <c r="E12" s="3" t="inlineStr">
        <is>
          <t>Deciles</t>
        </is>
      </c>
      <c r="F12" s="3" t="inlineStr">
        <is>
          <t>mean</t>
        </is>
      </c>
      <c r="G12" s="3" t="n">
        <v>9</v>
      </c>
      <c r="H12" s="3" t="n">
        <v>1.616605589734594</v>
      </c>
      <c r="I12" s="3" t="n">
        <v>0.002414081599480624</v>
      </c>
      <c r="J12" s="3" t="n">
        <v>3.834347749521078</v>
      </c>
      <c r="K12" s="3" t="n">
        <v>5.317439198272186</v>
      </c>
      <c r="L12" s="3" t="n">
        <v>0</v>
      </c>
      <c r="M12" s="3" t="n">
        <v>3.3388321277603</v>
      </c>
      <c r="N12" s="3" t="n">
        <v>0</v>
      </c>
      <c r="O12" s="3" t="n">
        <v>2.805541538265012</v>
      </c>
      <c r="P12" s="3" t="n">
        <v>1.019291858880588e-05</v>
      </c>
      <c r="Q12" s="3" t="n">
        <v>3.779666341079871</v>
      </c>
      <c r="R12" s="3" t="n">
        <v>57.86960534862124</v>
      </c>
      <c r="S12" s="3" t="n">
        <v>0.0001092866035295061</v>
      </c>
      <c r="T12" s="3" t="n">
        <v>0.6239586490343902</v>
      </c>
      <c r="U12" s="3" t="n">
        <v>5.170576710304974</v>
      </c>
      <c r="V12" s="3" t="n">
        <v>4.335967957364566</v>
      </c>
      <c r="W12" s="3" t="n">
        <v>0.0001169612213283473</v>
      </c>
      <c r="X12" s="3" t="n">
        <v>1.218710064472423</v>
      </c>
      <c r="Y12" s="3" t="n">
        <v>0.4378395966992205</v>
      </c>
      <c r="Z12" s="3" t="n">
        <v>0.1453771914869463</v>
      </c>
      <c r="AA12" s="3" t="n">
        <v>0.01678854584899467</v>
      </c>
      <c r="AB12" s="3" t="n">
        <v>1.16966240035313</v>
      </c>
      <c r="AC12" s="3" t="n">
        <v>8.38656177548674</v>
      </c>
      <c r="AD12" s="3" t="n">
        <v>6.54637748306788</v>
      </c>
      <c r="AE12" s="3" t="n">
        <v>0.6674309606235401</v>
      </c>
      <c r="AF12" s="3" t="n">
        <v>4.452612465887027</v>
      </c>
      <c r="AG12" s="3" t="n">
        <v>3101.266787516058</v>
      </c>
      <c r="AH12" s="3" t="n">
        <v>6994.33008865273</v>
      </c>
      <c r="AI12" s="3" t="n">
        <v>7255.834882271272</v>
      </c>
      <c r="AJ12" s="3" t="n">
        <v>8977.574184888568</v>
      </c>
      <c r="AK12" s="3" t="n">
        <v>8800.070613677721</v>
      </c>
      <c r="AL12" s="3" t="n">
        <v>10117.23614521216</v>
      </c>
      <c r="AM12" s="3" t="n">
        <v>10378.99533135812</v>
      </c>
      <c r="AN12" s="3" t="n">
        <v>10590.6381545903</v>
      </c>
      <c r="AO12" s="3" t="n">
        <v>10369.40406627624</v>
      </c>
      <c r="AP12" s="3" t="n">
        <v>12195.30911698787</v>
      </c>
      <c r="AQ12" s="3" t="n">
        <v>11980.11614521886</v>
      </c>
      <c r="AR12" s="3" t="n">
        <v>13229.43390420157</v>
      </c>
      <c r="AS12" s="3" t="n">
        <v>12727.14490180132</v>
      </c>
      <c r="AT12" s="3" t="n">
        <v>14954.50669896501</v>
      </c>
      <c r="AU12" s="3" t="n">
        <v>15394.40180142597</v>
      </c>
      <c r="AV12" s="3" t="n">
        <v>18517.39679783379</v>
      </c>
      <c r="AW12" s="3" t="n">
        <v>18258.30518483755</v>
      </c>
      <c r="AX12" s="3" t="n">
        <v>24256.58049443336</v>
      </c>
      <c r="AY12" s="3" t="n">
        <v>22937.10688991337</v>
      </c>
      <c r="AZ12" s="3" t="n">
        <v>69079.66395200108</v>
      </c>
      <c r="BA12" s="3" t="n">
        <v>18901.24609034973</v>
      </c>
      <c r="BB12" s="3" t="n">
        <v>10076191.43934877</v>
      </c>
      <c r="BC12" s="3" t="n">
        <v>102.447442829918</v>
      </c>
      <c r="BD12" s="3" t="n">
        <v>105.4462077989589</v>
      </c>
      <c r="BE12" s="3" t="n">
        <v>115.1115820194545</v>
      </c>
      <c r="BF12" s="3" t="n">
        <v>61.93607059053042</v>
      </c>
      <c r="BG12" s="3" t="n">
        <v>86.15869938208473</v>
      </c>
      <c r="BH12" s="3" t="n">
        <v>108.4451394712694</v>
      </c>
      <c r="BI12" s="3" t="n">
        <v>112.2415530310165</v>
      </c>
      <c r="BJ12" s="3" t="n">
        <v>94.32746500488091</v>
      </c>
      <c r="BK12" s="3" t="n">
        <v>0</v>
      </c>
      <c r="BL12" s="3" t="n">
        <v>0</v>
      </c>
      <c r="BM12" s="3" t="n">
        <v>0</v>
      </c>
      <c r="BN12" s="3" t="n">
        <v>15.14040290845966</v>
      </c>
      <c r="BO12" s="3" t="n">
        <v>14.1615804376602</v>
      </c>
      <c r="BP12" s="3" t="n">
        <v>1.468192662945402</v>
      </c>
    </row>
    <row r="13">
      <c r="A13" s="3" t="inlineStr">
        <is>
          <t>EGY.distn.bsh.dec.ove.mean.10</t>
        </is>
      </c>
      <c r="B13" s="3" t="inlineStr">
        <is>
          <t>EGY</t>
        </is>
      </c>
      <c r="C13" s="3" t="n">
        <v>2017</v>
      </c>
      <c r="D13" s="3" t="inlineStr">
        <is>
          <t>Overall</t>
        </is>
      </c>
      <c r="E13" s="3" t="inlineStr">
        <is>
          <t>Deciles</t>
        </is>
      </c>
      <c r="F13" s="3" t="inlineStr">
        <is>
          <t>mean</t>
        </is>
      </c>
      <c r="G13" s="3" t="n">
        <v>10</v>
      </c>
      <c r="H13" s="3" t="n">
        <v>1.81191845283884</v>
      </c>
      <c r="I13" s="3" t="n">
        <v>0.001229517296736008</v>
      </c>
      <c r="J13" s="3" t="n">
        <v>3.592745237163517</v>
      </c>
      <c r="K13" s="3" t="n">
        <v>4.334247475279468</v>
      </c>
      <c r="L13" s="3" t="n">
        <v>0</v>
      </c>
      <c r="M13" s="3" t="n">
        <v>3.307686146005401</v>
      </c>
      <c r="N13" s="3" t="n">
        <v>0</v>
      </c>
      <c r="O13" s="3" t="n">
        <v>1.507083340828483</v>
      </c>
      <c r="P13" s="3" t="n">
        <v>1.044158536726559e-05</v>
      </c>
      <c r="Q13" s="3" t="n">
        <v>4.002968860751649</v>
      </c>
      <c r="R13" s="3" t="n">
        <v>49.3584802410227</v>
      </c>
      <c r="S13" s="3" t="n">
        <v>7.186900733242571e-05</v>
      </c>
      <c r="T13" s="3" t="n">
        <v>0.7929790490161215</v>
      </c>
      <c r="U13" s="3" t="n">
        <v>6.172779303944749</v>
      </c>
      <c r="V13" s="3" t="n">
        <v>6.158221180655897</v>
      </c>
      <c r="W13" s="3" t="n">
        <v>7.729617097477897e-05</v>
      </c>
      <c r="X13" s="3" t="n">
        <v>1.042225812638144</v>
      </c>
      <c r="Y13" s="3" t="n">
        <v>0.5982937195619367</v>
      </c>
      <c r="Z13" s="3" t="n">
        <v>0.1607863587485316</v>
      </c>
      <c r="AA13" s="3" t="n">
        <v>0.02918058537600647</v>
      </c>
      <c r="AB13" s="3" t="n">
        <v>0.8703866205236135</v>
      </c>
      <c r="AC13" s="3" t="n">
        <v>10.25090802816321</v>
      </c>
      <c r="AD13" s="3" t="n">
        <v>8.109378932868312</v>
      </c>
      <c r="AE13" s="3" t="n">
        <v>0.8891845125962775</v>
      </c>
      <c r="AF13" s="3" t="n">
        <v>4.219645087947561</v>
      </c>
      <c r="AG13" s="3" t="n">
        <v>2941.278478175567</v>
      </c>
      <c r="AH13" s="3" t="n">
        <v>7565.852565437638</v>
      </c>
      <c r="AI13" s="3" t="n">
        <v>6627.437658286723</v>
      </c>
      <c r="AJ13" s="3" t="n">
        <v>8959.395598090587</v>
      </c>
      <c r="AK13" s="3" t="n">
        <v>9132.481007366707</v>
      </c>
      <c r="AL13" s="3" t="n">
        <v>9069.620950508017</v>
      </c>
      <c r="AM13" s="3" t="n">
        <v>9718.953301597559</v>
      </c>
      <c r="AN13" s="3" t="n">
        <v>10104.19784063982</v>
      </c>
      <c r="AO13" s="3" t="n">
        <v>10800.61181375475</v>
      </c>
      <c r="AP13" s="3" t="n">
        <v>12610.07443233341</v>
      </c>
      <c r="AQ13" s="3" t="n">
        <v>12684.43526680742</v>
      </c>
      <c r="AR13" s="3" t="n">
        <v>13716.69148003959</v>
      </c>
      <c r="AS13" s="3" t="n">
        <v>12792.70009929752</v>
      </c>
      <c r="AT13" s="3" t="n">
        <v>14713.09881925464</v>
      </c>
      <c r="AU13" s="3" t="n">
        <v>15350.47252045145</v>
      </c>
      <c r="AV13" s="3" t="n">
        <v>16951.31460157735</v>
      </c>
      <c r="AW13" s="3" t="n">
        <v>19544.65643700607</v>
      </c>
      <c r="AX13" s="3" t="n">
        <v>23966.4493310755</v>
      </c>
      <c r="AY13" s="3" t="n">
        <v>24545.46383970357</v>
      </c>
      <c r="AZ13" s="3" t="n">
        <v>67381.6534345642</v>
      </c>
      <c r="BA13" s="3" t="n">
        <v>26289.38845322327</v>
      </c>
      <c r="BB13" s="3" t="n">
        <v>9724646.691829609</v>
      </c>
      <c r="BC13" s="3" t="n">
        <v>107.9392331334331</v>
      </c>
      <c r="BD13" s="3" t="n">
        <v>106.3900592009785</v>
      </c>
      <c r="BE13" s="3" t="n">
        <v>111.1055109657118</v>
      </c>
      <c r="BF13" s="3" t="n">
        <v>55.25222741764828</v>
      </c>
      <c r="BG13" s="3" t="n">
        <v>97.55837373170249</v>
      </c>
      <c r="BH13" s="3" t="n">
        <v>107.6786996439537</v>
      </c>
      <c r="BI13" s="3" t="n">
        <v>107.8200269496485</v>
      </c>
      <c r="BJ13" s="3" t="n">
        <v>100</v>
      </c>
      <c r="BK13" s="3" t="n">
        <v>0</v>
      </c>
      <c r="BL13" s="3" t="n">
        <v>0</v>
      </c>
      <c r="BM13" s="3" t="n">
        <v>0</v>
      </c>
      <c r="BN13" s="3" t="n">
        <v>56.45336553632127</v>
      </c>
      <c r="BO13" s="3" t="n">
        <v>54.55282910211606</v>
      </c>
      <c r="BP13" s="3" t="n">
        <v>1.46062579287271</v>
      </c>
    </row>
    <row r="14">
      <c r="A14" s="3" t="inlineStr">
        <is>
          <t>EGY.distn.bsh.bkt.ove.mean.9999</t>
        </is>
      </c>
      <c r="B14" s="3" t="inlineStr">
        <is>
          <t>EGY</t>
        </is>
      </c>
      <c r="C14" s="3" t="n">
        <v>2017</v>
      </c>
      <c r="D14" s="3" t="inlineStr">
        <is>
          <t>Overall</t>
        </is>
      </c>
      <c r="E14" s="3" t="inlineStr">
        <is>
          <t>Basket</t>
        </is>
      </c>
      <c r="F14" s="3" t="inlineStr">
        <is>
          <t>mean</t>
        </is>
      </c>
      <c r="G14" s="3" t="n">
        <v>9999</v>
      </c>
      <c r="H14" s="3" t="n">
        <v>1.782613265734116</v>
      </c>
      <c r="I14" s="3" t="n">
        <v>0.004144400853571502</v>
      </c>
      <c r="J14" s="3" t="n">
        <v>3.9046625971507</v>
      </c>
      <c r="K14" s="3" t="n">
        <v>6.00420117948453</v>
      </c>
      <c r="L14" s="3" t="n">
        <v>0</v>
      </c>
      <c r="M14" s="3" t="n">
        <v>2.563023409007497</v>
      </c>
      <c r="N14" s="3" t="n">
        <v>0</v>
      </c>
      <c r="O14" s="3" t="n">
        <v>3.49854772575318</v>
      </c>
      <c r="P14" s="3" t="n">
        <v>0</v>
      </c>
      <c r="Q14" s="3" t="n">
        <v>3.490902409272224</v>
      </c>
      <c r="R14" s="3" t="n">
        <v>51.8128488496741</v>
      </c>
      <c r="S14" s="3" t="n">
        <v>0.000212283327245439</v>
      </c>
      <c r="T14" s="3" t="n">
        <v>0.5208881509900787</v>
      </c>
      <c r="U14" s="3" t="n">
        <v>4.157783414867927</v>
      </c>
      <c r="V14" s="3" t="n">
        <v>4.710904769314109</v>
      </c>
      <c r="W14" s="3" t="n">
        <v>5.635903503367759e-05</v>
      </c>
      <c r="X14" s="3" t="n">
        <v>1.810489457862631</v>
      </c>
      <c r="Y14" s="3" t="n">
        <v>0.3453107879330201</v>
      </c>
      <c r="Z14" s="3" t="n">
        <v>0.1310662779441212</v>
      </c>
      <c r="AA14" s="3" t="n">
        <v>0.01548090547624008</v>
      </c>
      <c r="AB14" s="3" t="n">
        <v>1.644605827342005</v>
      </c>
      <c r="AC14" s="3" t="n">
        <v>6.94411620690552</v>
      </c>
      <c r="AD14" s="3" t="n">
        <v>7.420266050821613</v>
      </c>
      <c r="AE14" s="3" t="n">
        <v>0.4393549299814003</v>
      </c>
      <c r="AF14" s="3" t="n">
        <v>4.426857756813401</v>
      </c>
      <c r="AG14" s="3" t="n">
        <v>3339.895195078017</v>
      </c>
      <c r="AH14" s="3" t="n">
        <v>6580.031641111667</v>
      </c>
      <c r="AI14" s="3" t="n">
        <v>6783.065656911625</v>
      </c>
      <c r="AJ14" s="3" t="n">
        <v>8908.371446592606</v>
      </c>
      <c r="AK14" s="3" t="n">
        <v>8828.231342154011</v>
      </c>
      <c r="AL14" s="3" t="n">
        <v>9271.712108306747</v>
      </c>
      <c r="AM14" s="3" t="n">
        <v>9889.252034325698</v>
      </c>
      <c r="AN14" s="3" t="n">
        <v>10452.97038040623</v>
      </c>
      <c r="AO14" s="3" t="n">
        <v>10409.94659872658</v>
      </c>
      <c r="AP14" s="3" t="n">
        <v>12938.00819268877</v>
      </c>
      <c r="AQ14" s="3" t="n">
        <v>11660.49965779137</v>
      </c>
      <c r="AR14" s="3" t="n">
        <v>13331.20205780051</v>
      </c>
      <c r="AS14" s="3" t="n">
        <v>14701.0809163218</v>
      </c>
      <c r="AT14" s="3" t="n">
        <v>15529.15930302914</v>
      </c>
      <c r="AU14" s="3" t="n">
        <v>15201.81598530918</v>
      </c>
      <c r="AV14" s="3" t="n">
        <v>18186.0736229898</v>
      </c>
      <c r="AW14" s="3" t="n">
        <v>19010.56462876854</v>
      </c>
      <c r="AX14" s="3" t="n">
        <v>24148.66710689433</v>
      </c>
      <c r="AY14" s="3" t="n">
        <v>21911.67335236428</v>
      </c>
      <c r="AZ14" s="3" t="n">
        <v>66508.30838479658</v>
      </c>
      <c r="BA14" s="3" t="n">
        <v>12360.82122482531</v>
      </c>
      <c r="BB14" s="3" t="n">
        <v>111444648.1893204</v>
      </c>
      <c r="BC14" s="3" t="n">
        <v>101.0141814633028</v>
      </c>
      <c r="BD14" s="3" t="n">
        <v>105.2260697054448</v>
      </c>
      <c r="BE14" s="3" t="n">
        <v>104.5200998499327</v>
      </c>
      <c r="BF14" s="3" t="n">
        <v>59.8891342352054</v>
      </c>
      <c r="BG14" s="3" t="n">
        <v>69.33338559116301</v>
      </c>
      <c r="BH14" s="3" t="n">
        <v>99.27903878274498</v>
      </c>
      <c r="BI14" s="3" t="n">
        <v>104.0431611059369</v>
      </c>
      <c r="BJ14" s="3" t="n">
        <v>92.69068206899749</v>
      </c>
      <c r="BK14" s="3" t="n">
        <v>0.1733035445446577</v>
      </c>
      <c r="BL14" s="3" t="n">
        <v>3.094282689391095</v>
      </c>
      <c r="BM14" s="3" t="n">
        <v>34.64228355022107</v>
      </c>
      <c r="BN14" s="3" t="n">
        <v>0</v>
      </c>
      <c r="BO14" s="3" t="n">
        <v>0</v>
      </c>
      <c r="BP14" s="3" t="n">
        <v>0</v>
      </c>
    </row>
    <row r="15">
      <c r="A15" s="3" t="inlineStr">
        <is>
          <t>EGY.distn.bsh.dec.ove.median.1</t>
        </is>
      </c>
      <c r="B15" s="3" t="inlineStr">
        <is>
          <t>EGY</t>
        </is>
      </c>
      <c r="C15" s="3" t="n">
        <v>2017</v>
      </c>
      <c r="D15" s="3" t="inlineStr">
        <is>
          <t>Overall</t>
        </is>
      </c>
      <c r="E15" s="3" t="inlineStr">
        <is>
          <t>Deciles</t>
        </is>
      </c>
      <c r="F15" s="3" t="inlineStr">
        <is>
          <t>median</t>
        </is>
      </c>
      <c r="G15" s="3" t="n">
        <v>1</v>
      </c>
      <c r="H15" s="3" t="n">
        <v>1.378506204907314</v>
      </c>
      <c r="I15" s="3" t="n">
        <v>0</v>
      </c>
      <c r="J15" s="3" t="n">
        <v>3.962040924357106</v>
      </c>
      <c r="K15" s="3" t="n">
        <v>4.995910423187938</v>
      </c>
      <c r="L15" s="3" t="n">
        <v>0</v>
      </c>
      <c r="M15" s="3" t="n">
        <v>1.877241774513555</v>
      </c>
      <c r="N15" s="3" t="n">
        <v>0</v>
      </c>
      <c r="O15" s="3" t="n">
        <v>1.717465419558823</v>
      </c>
      <c r="P15" s="3" t="n">
        <v>0</v>
      </c>
      <c r="Q15" s="3" t="n">
        <v>3.473975848683206</v>
      </c>
      <c r="R15" s="3" t="n">
        <v>57.80112441381636</v>
      </c>
      <c r="S15" s="3" t="n">
        <v>0</v>
      </c>
      <c r="T15" s="3" t="n">
        <v>0</v>
      </c>
      <c r="U15" s="3" t="n">
        <v>1.675834116177354</v>
      </c>
      <c r="V15" s="3" t="n">
        <v>3.133335525502499</v>
      </c>
      <c r="W15" s="3" t="n">
        <v>0</v>
      </c>
      <c r="X15" s="3" t="n">
        <v>3.041130074725535</v>
      </c>
      <c r="Y15" s="3" t="n">
        <v>0</v>
      </c>
      <c r="Z15" s="3" t="n">
        <v>0</v>
      </c>
      <c r="AA15" s="3" t="n">
        <v>0</v>
      </c>
      <c r="AB15" s="3" t="n">
        <v>1.74549941183325</v>
      </c>
      <c r="AC15" s="3" t="n">
        <v>3.240085349403311</v>
      </c>
      <c r="AD15" s="3" t="n">
        <v>5.99617104972064</v>
      </c>
      <c r="AE15" s="3" t="n">
        <v>0</v>
      </c>
      <c r="AF15" s="3" t="n">
        <v>3.31245775852489</v>
      </c>
      <c r="AG15" s="3" t="n">
        <v>3218.622939401776</v>
      </c>
      <c r="AH15" s="3" t="n">
        <v>6714.171320143911</v>
      </c>
      <c r="AI15" s="3" t="n">
        <v>7496.985833847503</v>
      </c>
      <c r="AJ15" s="3" t="n">
        <v>7935.34082406833</v>
      </c>
      <c r="AK15" s="3" t="n">
        <v>7988.045623472777</v>
      </c>
      <c r="AL15" s="3" t="n">
        <v>10366.35418514654</v>
      </c>
      <c r="AM15" s="3" t="n">
        <v>10251.53692006614</v>
      </c>
      <c r="AN15" s="3" t="n">
        <v>10833.61916302873</v>
      </c>
      <c r="AO15" s="3" t="n">
        <v>11559.74933692673</v>
      </c>
      <c r="AP15" s="3" t="n">
        <v>12666.51451964585</v>
      </c>
      <c r="AQ15" s="3" t="n">
        <v>12190.54621250354</v>
      </c>
      <c r="AR15" s="3" t="n">
        <v>12985.92073884725</v>
      </c>
      <c r="AS15" s="3" t="n">
        <v>14527.07614901368</v>
      </c>
      <c r="AT15" s="3" t="n">
        <v>15981.31366676363</v>
      </c>
      <c r="AU15" s="3" t="n">
        <v>15327.29021983564</v>
      </c>
      <c r="AV15" s="3" t="n">
        <v>18672.45137116182</v>
      </c>
      <c r="AW15" s="3" t="n">
        <v>17701.56340048228</v>
      </c>
      <c r="AX15" s="3" t="n">
        <v>24445.52931963978</v>
      </c>
      <c r="AY15" s="3" t="n">
        <v>22393.60293763406</v>
      </c>
      <c r="AZ15" s="3" t="n">
        <v>66453.44213797666</v>
      </c>
      <c r="BA15" s="3" t="n">
        <v>5089.174996173062</v>
      </c>
      <c r="BB15" s="3" t="n">
        <v>9772260.199535001</v>
      </c>
      <c r="BC15" s="3" t="n">
        <v>0</v>
      </c>
      <c r="BD15" s="3" t="n">
        <v>0</v>
      </c>
      <c r="BE15" s="3" t="n">
        <v>0</v>
      </c>
      <c r="BF15" s="3" t="n">
        <v>0</v>
      </c>
      <c r="BG15" s="3" t="n">
        <v>0</v>
      </c>
      <c r="BH15" s="3" t="n">
        <v>0</v>
      </c>
      <c r="BI15" s="3" t="n">
        <v>0</v>
      </c>
      <c r="BJ15" s="3" t="n">
        <v>0</v>
      </c>
      <c r="BK15" s="3" t="n">
        <v>0.1672417460003284</v>
      </c>
      <c r="BL15" s="3" t="n">
        <v>3.079492061065388</v>
      </c>
      <c r="BM15" s="3" t="n">
        <v>10.2583640573019</v>
      </c>
      <c r="BN15" s="3" t="n">
        <v>0.7603030467165631</v>
      </c>
      <c r="BO15" s="3" t="n">
        <v>0.7658666701584049</v>
      </c>
      <c r="BP15" s="3" t="n">
        <v>1.60375696504293</v>
      </c>
    </row>
    <row r="16">
      <c r="A16" s="3" t="inlineStr">
        <is>
          <t>EGY.distn.bsh.dec.ove.median.2</t>
        </is>
      </c>
      <c r="B16" s="3" t="inlineStr">
        <is>
          <t>EGY</t>
        </is>
      </c>
      <c r="C16" s="3" t="n">
        <v>2017</v>
      </c>
      <c r="D16" s="3" t="inlineStr">
        <is>
          <t>Overall</t>
        </is>
      </c>
      <c r="E16" s="3" t="inlineStr">
        <is>
          <t>Deciles</t>
        </is>
      </c>
      <c r="F16" s="3" t="inlineStr">
        <is>
          <t>median</t>
        </is>
      </c>
      <c r="G16" s="3" t="n">
        <v>2</v>
      </c>
      <c r="H16" s="3" t="n">
        <v>1.143526659470593</v>
      </c>
      <c r="I16" s="3" t="n">
        <v>0</v>
      </c>
      <c r="J16" s="3" t="n">
        <v>3.366193754152637</v>
      </c>
      <c r="K16" s="3" t="n">
        <v>5.361235036822102</v>
      </c>
      <c r="L16" s="3" t="n">
        <v>0</v>
      </c>
      <c r="M16" s="3" t="n">
        <v>1.861046351652297</v>
      </c>
      <c r="N16" s="3" t="n">
        <v>0</v>
      </c>
      <c r="O16" s="3" t="n">
        <v>2.281996932766659</v>
      </c>
      <c r="P16" s="3" t="n">
        <v>0</v>
      </c>
      <c r="Q16" s="3" t="n">
        <v>2.886072060406475</v>
      </c>
      <c r="R16" s="3" t="n">
        <v>59.42588543458852</v>
      </c>
      <c r="S16" s="3" t="n">
        <v>0</v>
      </c>
      <c r="T16" s="3" t="n">
        <v>0</v>
      </c>
      <c r="U16" s="3" t="n">
        <v>2.070513400185086</v>
      </c>
      <c r="V16" s="3" t="n">
        <v>3.038999593632544</v>
      </c>
      <c r="W16" s="3" t="n">
        <v>0</v>
      </c>
      <c r="X16" s="3" t="n">
        <v>2.349755477712775</v>
      </c>
      <c r="Y16" s="3" t="n">
        <v>0</v>
      </c>
      <c r="Z16" s="3" t="n">
        <v>0</v>
      </c>
      <c r="AA16" s="3" t="n">
        <v>0</v>
      </c>
      <c r="AB16" s="3" t="n">
        <v>1.852913285956671</v>
      </c>
      <c r="AC16" s="3" t="n">
        <v>3.450986925764509</v>
      </c>
      <c r="AD16" s="3" t="n">
        <v>5.782764492854939</v>
      </c>
      <c r="AE16" s="3" t="n">
        <v>0</v>
      </c>
      <c r="AF16" s="3" t="n">
        <v>3.458774879774642</v>
      </c>
      <c r="AG16" s="3" t="n">
        <v>2912.996719902188</v>
      </c>
      <c r="AH16" s="3" t="n">
        <v>7419.577115347694</v>
      </c>
      <c r="AI16" s="3" t="n">
        <v>7659.970909159933</v>
      </c>
      <c r="AJ16" s="3" t="n">
        <v>7879.346197408448</v>
      </c>
      <c r="AK16" s="3" t="n">
        <v>8423.845351036667</v>
      </c>
      <c r="AL16" s="3" t="n">
        <v>10051.06137503474</v>
      </c>
      <c r="AM16" s="3" t="n">
        <v>9290.742683897166</v>
      </c>
      <c r="AN16" s="3" t="n">
        <v>10309.61973784575</v>
      </c>
      <c r="AO16" s="3" t="n">
        <v>11281.18526363228</v>
      </c>
      <c r="AP16" s="3" t="n">
        <v>11914.24783749224</v>
      </c>
      <c r="AQ16" s="3" t="n">
        <v>12920.47215951647</v>
      </c>
      <c r="AR16" s="3" t="n">
        <v>14009.89997783292</v>
      </c>
      <c r="AS16" s="3" t="n">
        <v>14495.24628758769</v>
      </c>
      <c r="AT16" s="3" t="n">
        <v>15970.74080142356</v>
      </c>
      <c r="AU16" s="3" t="n">
        <v>15884.25589161227</v>
      </c>
      <c r="AV16" s="3" t="n">
        <v>17184.54519394982</v>
      </c>
      <c r="AW16" s="3" t="n">
        <v>19386.98943196273</v>
      </c>
      <c r="AX16" s="3" t="n">
        <v>22790.66075526916</v>
      </c>
      <c r="AY16" s="3" t="n">
        <v>24042.5537179533</v>
      </c>
      <c r="AZ16" s="3" t="n">
        <v>65216.3511774971</v>
      </c>
      <c r="BA16" s="3" t="n">
        <v>6603.929959640446</v>
      </c>
      <c r="BB16" s="3" t="n">
        <v>10357877.16113633</v>
      </c>
      <c r="BC16" s="3" t="n">
        <v>0</v>
      </c>
      <c r="BD16" s="3" t="n">
        <v>0</v>
      </c>
      <c r="BE16" s="3" t="n">
        <v>0</v>
      </c>
      <c r="BF16" s="3" t="n">
        <v>0</v>
      </c>
      <c r="BG16" s="3" t="n">
        <v>0</v>
      </c>
      <c r="BH16" s="3" t="n">
        <v>0</v>
      </c>
      <c r="BI16" s="3" t="n">
        <v>0</v>
      </c>
      <c r="BJ16" s="3" t="n">
        <v>0</v>
      </c>
      <c r="BK16" s="3" t="n">
        <v>0.009536688801169235</v>
      </c>
      <c r="BL16" s="3" t="n">
        <v>0.01119675816036557</v>
      </c>
      <c r="BM16" s="3" t="n">
        <v>10.0957742172625</v>
      </c>
      <c r="BN16" s="3" t="n">
        <v>1.864832055642756</v>
      </c>
      <c r="BO16" s="3" t="n">
        <v>1.825126886678592</v>
      </c>
      <c r="BP16" s="3" t="n">
        <v>1.545441466943892</v>
      </c>
    </row>
    <row r="17">
      <c r="A17" s="3" t="inlineStr">
        <is>
          <t>EGY.distn.bsh.dec.ove.median.3</t>
        </is>
      </c>
      <c r="B17" s="3" t="inlineStr">
        <is>
          <t>EGY</t>
        </is>
      </c>
      <c r="C17" s="3" t="n">
        <v>2017</v>
      </c>
      <c r="D17" s="3" t="inlineStr">
        <is>
          <t>Overall</t>
        </is>
      </c>
      <c r="E17" s="3" t="inlineStr">
        <is>
          <t>Deciles</t>
        </is>
      </c>
      <c r="F17" s="3" t="inlineStr">
        <is>
          <t>median</t>
        </is>
      </c>
      <c r="G17" s="3" t="n">
        <v>3</v>
      </c>
      <c r="H17" s="3" t="n">
        <v>1.278656070596817</v>
      </c>
      <c r="I17" s="3" t="n">
        <v>0</v>
      </c>
      <c r="J17" s="3" t="n">
        <v>3.611899005946893</v>
      </c>
      <c r="K17" s="3" t="n">
        <v>5.309378741721986</v>
      </c>
      <c r="L17" s="3" t="n">
        <v>0</v>
      </c>
      <c r="M17" s="3" t="n">
        <v>2.145638949469517</v>
      </c>
      <c r="N17" s="3" t="n">
        <v>0</v>
      </c>
      <c r="O17" s="3" t="n">
        <v>2.495519839893436</v>
      </c>
      <c r="P17" s="3" t="n">
        <v>0</v>
      </c>
      <c r="Q17" s="3" t="n">
        <v>3.102147373574481</v>
      </c>
      <c r="R17" s="3" t="n">
        <v>56.83815912622988</v>
      </c>
      <c r="S17" s="3" t="n">
        <v>0</v>
      </c>
      <c r="T17" s="3" t="n">
        <v>0</v>
      </c>
      <c r="U17" s="3" t="n">
        <v>2.046801839752106</v>
      </c>
      <c r="V17" s="3" t="n">
        <v>3.035314405342609</v>
      </c>
      <c r="W17" s="3" t="n">
        <v>0</v>
      </c>
      <c r="X17" s="3" t="n">
        <v>2.068377263811327</v>
      </c>
      <c r="Y17" s="3" t="n">
        <v>0</v>
      </c>
      <c r="Z17" s="3" t="n">
        <v>0</v>
      </c>
      <c r="AA17" s="3" t="n">
        <v>0</v>
      </c>
      <c r="AB17" s="3" t="n">
        <v>1.905887202680967</v>
      </c>
      <c r="AC17" s="3" t="n">
        <v>3.547996176897341</v>
      </c>
      <c r="AD17" s="3" t="n">
        <v>6.153282232834301</v>
      </c>
      <c r="AE17" s="3" t="n">
        <v>0</v>
      </c>
      <c r="AF17" s="3" t="n">
        <v>3.286259012747682</v>
      </c>
      <c r="AG17" s="3" t="n">
        <v>3094.01281531091</v>
      </c>
      <c r="AH17" s="3" t="n">
        <v>6633.045282326698</v>
      </c>
      <c r="AI17" s="3" t="n">
        <v>7379.038466069329</v>
      </c>
      <c r="AJ17" s="3" t="n">
        <v>8557.195793131854</v>
      </c>
      <c r="AK17" s="3" t="n">
        <v>7875.021643285879</v>
      </c>
      <c r="AL17" s="3" t="n">
        <v>10394.95923081376</v>
      </c>
      <c r="AM17" s="3" t="n">
        <v>9195.944157133505</v>
      </c>
      <c r="AN17" s="3" t="n">
        <v>10167.18369014027</v>
      </c>
      <c r="AO17" s="3" t="n">
        <v>10205.11692139485</v>
      </c>
      <c r="AP17" s="3" t="n">
        <v>11289.95991494385</v>
      </c>
      <c r="AQ17" s="3" t="n">
        <v>12221.42776731875</v>
      </c>
      <c r="AR17" s="3" t="n">
        <v>14514.86481456006</v>
      </c>
      <c r="AS17" s="3" t="n">
        <v>14500.03285494882</v>
      </c>
      <c r="AT17" s="3" t="n">
        <v>14668.75989796472</v>
      </c>
      <c r="AU17" s="3" t="n">
        <v>16268.21735949288</v>
      </c>
      <c r="AV17" s="3" t="n">
        <v>17298.54002146178</v>
      </c>
      <c r="AW17" s="3" t="n">
        <v>18173.40935532557</v>
      </c>
      <c r="AX17" s="3" t="n">
        <v>24145.79830791731</v>
      </c>
      <c r="AY17" s="3" t="n">
        <v>24200.92865626734</v>
      </c>
      <c r="AZ17" s="3" t="n">
        <v>67578.13043930786</v>
      </c>
      <c r="BA17" s="3" t="n">
        <v>8435.515917731498</v>
      </c>
      <c r="BB17" s="3" t="n">
        <v>10188035.99730234</v>
      </c>
      <c r="BC17" s="3" t="n">
        <v>0</v>
      </c>
      <c r="BD17" s="3" t="n">
        <v>0</v>
      </c>
      <c r="BE17" s="3" t="n">
        <v>0</v>
      </c>
      <c r="BF17" s="3" t="n">
        <v>0</v>
      </c>
      <c r="BG17" s="3" t="n">
        <v>0</v>
      </c>
      <c r="BH17" s="3" t="n">
        <v>0</v>
      </c>
      <c r="BI17" s="3" t="n">
        <v>0</v>
      </c>
      <c r="BJ17" s="3" t="n">
        <v>0</v>
      </c>
      <c r="BK17" s="3" t="n">
        <v>0</v>
      </c>
      <c r="BL17" s="3" t="n">
        <v>0.006903355147358165</v>
      </c>
      <c r="BM17" s="3" t="n">
        <v>9.476392397327482</v>
      </c>
      <c r="BN17" s="3" t="n">
        <v>3.145699237570593</v>
      </c>
      <c r="BO17" s="3" t="n">
        <v>2.728119546732119</v>
      </c>
      <c r="BP17" s="3" t="n">
        <v>1.477377004953122</v>
      </c>
    </row>
    <row r="18">
      <c r="A18" s="3" t="inlineStr">
        <is>
          <t>EGY.distn.bsh.dec.ove.median.4</t>
        </is>
      </c>
      <c r="B18" s="3" t="inlineStr">
        <is>
          <t>EGY</t>
        </is>
      </c>
      <c r="C18" s="3" t="n">
        <v>2017</v>
      </c>
      <c r="D18" s="3" t="inlineStr">
        <is>
          <t>Overall</t>
        </is>
      </c>
      <c r="E18" s="3" t="inlineStr">
        <is>
          <t>Deciles</t>
        </is>
      </c>
      <c r="F18" s="3" t="inlineStr">
        <is>
          <t>median</t>
        </is>
      </c>
      <c r="G18" s="3" t="n">
        <v>4</v>
      </c>
      <c r="H18" s="3" t="n">
        <v>1.184138646729489</v>
      </c>
      <c r="I18" s="3" t="n">
        <v>0</v>
      </c>
      <c r="J18" s="3" t="n">
        <v>3.411252834251572</v>
      </c>
      <c r="K18" s="3" t="n">
        <v>6.041574135683108</v>
      </c>
      <c r="L18" s="3" t="n">
        <v>0</v>
      </c>
      <c r="M18" s="3" t="n">
        <v>2.255433986006588</v>
      </c>
      <c r="N18" s="3" t="n">
        <v>0</v>
      </c>
      <c r="O18" s="3" t="n">
        <v>2.385794783100502</v>
      </c>
      <c r="P18" s="3" t="n">
        <v>0</v>
      </c>
      <c r="Q18" s="3" t="n">
        <v>3.015684961923241</v>
      </c>
      <c r="R18" s="3" t="n">
        <v>56.78161099433078</v>
      </c>
      <c r="S18" s="3" t="n">
        <v>0</v>
      </c>
      <c r="T18" s="3" t="n">
        <v>0</v>
      </c>
      <c r="U18" s="3" t="n">
        <v>2.16131347337449</v>
      </c>
      <c r="V18" s="3" t="n">
        <v>3.013096064281543</v>
      </c>
      <c r="W18" s="3" t="n">
        <v>0</v>
      </c>
      <c r="X18" s="3" t="n">
        <v>1.932613902511775</v>
      </c>
      <c r="Y18" s="3" t="n">
        <v>0</v>
      </c>
      <c r="Z18" s="3" t="n">
        <v>0</v>
      </c>
      <c r="AA18" s="3" t="n">
        <v>0</v>
      </c>
      <c r="AB18" s="3" t="n">
        <v>1.585488314409917</v>
      </c>
      <c r="AC18" s="3" t="n">
        <v>3.703274526575935</v>
      </c>
      <c r="AD18" s="3" t="n">
        <v>6.342843910930913</v>
      </c>
      <c r="AE18" s="3" t="n">
        <v>0</v>
      </c>
      <c r="AF18" s="3" t="n">
        <v>3.705096872123838</v>
      </c>
      <c r="AG18" s="3" t="n">
        <v>2942.689415625902</v>
      </c>
      <c r="AH18" s="3" t="n">
        <v>7383.389273000902</v>
      </c>
      <c r="AI18" s="3" t="n">
        <v>7129.710115297349</v>
      </c>
      <c r="AJ18" s="3" t="n">
        <v>8203.301088466214</v>
      </c>
      <c r="AK18" s="3" t="n">
        <v>8134.046761110698</v>
      </c>
      <c r="AL18" s="3" t="n">
        <v>9289.100732074083</v>
      </c>
      <c r="AM18" s="3" t="n">
        <v>10408.44133254014</v>
      </c>
      <c r="AN18" s="3" t="n">
        <v>11452.58648349156</v>
      </c>
      <c r="AO18" s="3" t="n">
        <v>11250.92512086394</v>
      </c>
      <c r="AP18" s="3" t="n">
        <v>11876.21579578233</v>
      </c>
      <c r="AQ18" s="3" t="n">
        <v>11263.39404740533</v>
      </c>
      <c r="AR18" s="3" t="n">
        <v>14704.43263182643</v>
      </c>
      <c r="AS18" s="3" t="n">
        <v>14459.26206381143</v>
      </c>
      <c r="AT18" s="3" t="n">
        <v>16651.22476970892</v>
      </c>
      <c r="AU18" s="3" t="n">
        <v>16119.09620192664</v>
      </c>
      <c r="AV18" s="3" t="n">
        <v>17356.97594046567</v>
      </c>
      <c r="AW18" s="3" t="n">
        <v>18525.25064334342</v>
      </c>
      <c r="AX18" s="3" t="n">
        <v>24655.56667140566</v>
      </c>
      <c r="AY18" s="3" t="n">
        <v>23476.43288320806</v>
      </c>
      <c r="AZ18" s="3" t="n">
        <v>69062.35129969414</v>
      </c>
      <c r="BA18" s="3" t="n">
        <v>9067.704508587183</v>
      </c>
      <c r="BB18" s="3" t="n">
        <v>11236703.4712575</v>
      </c>
      <c r="BC18" s="3" t="n">
        <v>0</v>
      </c>
      <c r="BD18" s="3" t="n">
        <v>0</v>
      </c>
      <c r="BE18" s="3" t="n">
        <v>0</v>
      </c>
      <c r="BF18" s="3" t="n">
        <v>0</v>
      </c>
      <c r="BG18" s="3" t="n">
        <v>0</v>
      </c>
      <c r="BH18" s="3" t="n">
        <v>0</v>
      </c>
      <c r="BI18" s="3" t="n">
        <v>0</v>
      </c>
      <c r="BJ18" s="3" t="n">
        <v>0</v>
      </c>
      <c r="BK18" s="3" t="n">
        <v>0</v>
      </c>
      <c r="BL18" s="3" t="n">
        <v>0</v>
      </c>
      <c r="BM18" s="3" t="n">
        <v>5.088265595221801</v>
      </c>
      <c r="BN18" s="3" t="n">
        <v>3.565980890175075</v>
      </c>
      <c r="BO18" s="3" t="n">
        <v>4.016593724603763</v>
      </c>
      <c r="BP18" s="3" t="n">
        <v>1.47658613104759</v>
      </c>
    </row>
    <row r="19">
      <c r="A19" s="3" t="inlineStr">
        <is>
          <t>EGY.distn.bsh.dec.ove.median.5</t>
        </is>
      </c>
      <c r="B19" s="3" t="inlineStr">
        <is>
          <t>EGY</t>
        </is>
      </c>
      <c r="C19" s="3" t="n">
        <v>2017</v>
      </c>
      <c r="D19" s="3" t="inlineStr">
        <is>
          <t>Overall</t>
        </is>
      </c>
      <c r="E19" s="3" t="inlineStr">
        <is>
          <t>Deciles</t>
        </is>
      </c>
      <c r="F19" s="3" t="inlineStr">
        <is>
          <t>median</t>
        </is>
      </c>
      <c r="G19" s="3" t="n">
        <v>5</v>
      </c>
      <c r="H19" s="3" t="n">
        <v>1.308403511543886</v>
      </c>
      <c r="I19" s="3" t="n">
        <v>0</v>
      </c>
      <c r="J19" s="3" t="n">
        <v>3.657983627814393</v>
      </c>
      <c r="K19" s="3" t="n">
        <v>6.022113132479049</v>
      </c>
      <c r="L19" s="3" t="n">
        <v>0</v>
      </c>
      <c r="M19" s="3" t="n">
        <v>2.405473592717658</v>
      </c>
      <c r="N19" s="3" t="n">
        <v>0</v>
      </c>
      <c r="O19" s="3" t="n">
        <v>2.419438054796442</v>
      </c>
      <c r="P19" s="3" t="n">
        <v>0</v>
      </c>
      <c r="Q19" s="3" t="n">
        <v>3.025172006467911</v>
      </c>
      <c r="R19" s="3" t="n">
        <v>58.85846782274411</v>
      </c>
      <c r="S19" s="3" t="n">
        <v>0</v>
      </c>
      <c r="T19" s="3" t="n">
        <v>0</v>
      </c>
      <c r="U19" s="3" t="n">
        <v>2.455401166273199</v>
      </c>
      <c r="V19" s="3" t="n">
        <v>2.936783714873984</v>
      </c>
      <c r="W19" s="3" t="n">
        <v>0</v>
      </c>
      <c r="X19" s="3" t="n">
        <v>1.857401547535205</v>
      </c>
      <c r="Y19" s="3" t="n">
        <v>0</v>
      </c>
      <c r="Z19" s="3" t="n">
        <v>0</v>
      </c>
      <c r="AA19" s="3" t="n">
        <v>0</v>
      </c>
      <c r="AB19" s="3" t="n">
        <v>1.923833821657227</v>
      </c>
      <c r="AC19" s="3" t="n">
        <v>4.109721125558164</v>
      </c>
      <c r="AD19" s="3" t="n">
        <v>6.085040172803794</v>
      </c>
      <c r="AE19" s="3" t="n">
        <v>0</v>
      </c>
      <c r="AF19" s="3" t="n">
        <v>4.034988869583575</v>
      </c>
      <c r="AG19" s="3" t="n">
        <v>3054.946868471781</v>
      </c>
      <c r="AH19" s="3" t="n">
        <v>6575.006342634682</v>
      </c>
      <c r="AI19" s="3" t="n">
        <v>6770.852234564487</v>
      </c>
      <c r="AJ19" s="3" t="n">
        <v>8934.718118881343</v>
      </c>
      <c r="AK19" s="3" t="n">
        <v>7996.978081843321</v>
      </c>
      <c r="AL19" s="3" t="n">
        <v>9737.909862307541</v>
      </c>
      <c r="AM19" s="3" t="n">
        <v>10169.45265110032</v>
      </c>
      <c r="AN19" s="3" t="n">
        <v>11253.89945326983</v>
      </c>
      <c r="AO19" s="3" t="n">
        <v>10658.55354856629</v>
      </c>
      <c r="AP19" s="3" t="n">
        <v>11840.8913753749</v>
      </c>
      <c r="AQ19" s="3" t="n">
        <v>11486.65966527157</v>
      </c>
      <c r="AR19" s="3" t="n">
        <v>14624.84654209742</v>
      </c>
      <c r="AS19" s="3" t="n">
        <v>12728.00473003288</v>
      </c>
      <c r="AT19" s="3" t="n">
        <v>15078.60838589326</v>
      </c>
      <c r="AU19" s="3" t="n">
        <v>14730.44090428181</v>
      </c>
      <c r="AV19" s="3" t="n">
        <v>17558.907458106</v>
      </c>
      <c r="AW19" s="3" t="n">
        <v>19114.81760646389</v>
      </c>
      <c r="AX19" s="3" t="n">
        <v>24753.70725726009</v>
      </c>
      <c r="AY19" s="3" t="n">
        <v>21470.54018429567</v>
      </c>
      <c r="AZ19" s="3" t="n">
        <v>63501.34308403289</v>
      </c>
      <c r="BA19" s="3" t="n">
        <v>10296.98193266225</v>
      </c>
      <c r="BB19" s="3" t="n">
        <v>10583735.05892978</v>
      </c>
      <c r="BC19" s="3" t="n">
        <v>0</v>
      </c>
      <c r="BD19" s="3" t="n">
        <v>0</v>
      </c>
      <c r="BE19" s="3" t="n">
        <v>0</v>
      </c>
      <c r="BF19" s="3" t="n">
        <v>0</v>
      </c>
      <c r="BG19" s="3" t="n">
        <v>0</v>
      </c>
      <c r="BH19" s="3" t="n">
        <v>0</v>
      </c>
      <c r="BI19" s="3" t="n">
        <v>0</v>
      </c>
      <c r="BJ19" s="3" t="n">
        <v>0</v>
      </c>
      <c r="BK19" s="3" t="n">
        <v>0</v>
      </c>
      <c r="BL19" s="3" t="n">
        <v>0</v>
      </c>
      <c r="BM19" s="3" t="n">
        <v>0.6961583543269299</v>
      </c>
      <c r="BN19" s="3" t="n">
        <v>5.505974032457489</v>
      </c>
      <c r="BO19" s="3" t="n">
        <v>5.175163711618689</v>
      </c>
      <c r="BP19" s="3" t="n">
        <v>1.513197382409146</v>
      </c>
    </row>
    <row r="20">
      <c r="A20" s="3" t="inlineStr">
        <is>
          <t>EGY.distn.bsh.dec.ove.median.6</t>
        </is>
      </c>
      <c r="B20" s="3" t="inlineStr">
        <is>
          <t>EGY</t>
        </is>
      </c>
      <c r="C20" s="3" t="n">
        <v>2017</v>
      </c>
      <c r="D20" s="3" t="inlineStr">
        <is>
          <t>Overall</t>
        </is>
      </c>
      <c r="E20" s="3" t="inlineStr">
        <is>
          <t>Deciles</t>
        </is>
      </c>
      <c r="F20" s="3" t="inlineStr">
        <is>
          <t>median</t>
        </is>
      </c>
      <c r="G20" s="3" t="n">
        <v>6</v>
      </c>
      <c r="H20" s="3" t="n">
        <v>1.236691069620647</v>
      </c>
      <c r="I20" s="3" t="n">
        <v>0</v>
      </c>
      <c r="J20" s="3" t="n">
        <v>3.706169399236817</v>
      </c>
      <c r="K20" s="3" t="n">
        <v>5.444488462799545</v>
      </c>
      <c r="L20" s="3" t="n">
        <v>0</v>
      </c>
      <c r="M20" s="3" t="n">
        <v>2.351928967292523</v>
      </c>
      <c r="N20" s="3" t="n">
        <v>0</v>
      </c>
      <c r="O20" s="3" t="n">
        <v>1.749157858339707</v>
      </c>
      <c r="P20" s="3" t="n">
        <v>0</v>
      </c>
      <c r="Q20" s="3" t="n">
        <v>3.067013076463899</v>
      </c>
      <c r="R20" s="3" t="n">
        <v>57.19549483745864</v>
      </c>
      <c r="S20" s="3" t="n">
        <v>0</v>
      </c>
      <c r="T20" s="3" t="n">
        <v>0</v>
      </c>
      <c r="U20" s="3" t="n">
        <v>2.695395653428213</v>
      </c>
      <c r="V20" s="3" t="n">
        <v>2.846792257145518</v>
      </c>
      <c r="W20" s="3" t="n">
        <v>0</v>
      </c>
      <c r="X20" s="3" t="n">
        <v>1.64717283321337</v>
      </c>
      <c r="Y20" s="3" t="n">
        <v>0</v>
      </c>
      <c r="Z20" s="3" t="n">
        <v>0</v>
      </c>
      <c r="AA20" s="3" t="n">
        <v>0</v>
      </c>
      <c r="AB20" s="3" t="n">
        <v>1.506068865389754</v>
      </c>
      <c r="AC20" s="3" t="n">
        <v>4.361860259264778</v>
      </c>
      <c r="AD20" s="3" t="n">
        <v>6.388937710646855</v>
      </c>
      <c r="AE20" s="3" t="n">
        <v>0</v>
      </c>
      <c r="AF20" s="3" t="n">
        <v>4.050846457863214</v>
      </c>
      <c r="AG20" s="3" t="n">
        <v>3364.918892613223</v>
      </c>
      <c r="AH20" s="3" t="n">
        <v>6989.888476530133</v>
      </c>
      <c r="AI20" s="3" t="n">
        <v>6703.429947231711</v>
      </c>
      <c r="AJ20" s="3" t="n">
        <v>8703.769013933055</v>
      </c>
      <c r="AK20" s="3" t="n">
        <v>8151.053440369039</v>
      </c>
      <c r="AL20" s="3" t="n">
        <v>10383.17503680776</v>
      </c>
      <c r="AM20" s="3" t="n">
        <v>9455.284266084831</v>
      </c>
      <c r="AN20" s="3" t="n">
        <v>10259.78007750413</v>
      </c>
      <c r="AO20" s="3" t="n">
        <v>10982.53308727621</v>
      </c>
      <c r="AP20" s="3" t="n">
        <v>12374.97476259905</v>
      </c>
      <c r="AQ20" s="3" t="n">
        <v>11431.78901374508</v>
      </c>
      <c r="AR20" s="3" t="n">
        <v>14620.86983806229</v>
      </c>
      <c r="AS20" s="3" t="n">
        <v>14196.63521400508</v>
      </c>
      <c r="AT20" s="3" t="n">
        <v>15896.9632625058</v>
      </c>
      <c r="AU20" s="3" t="n">
        <v>15380.78541732988</v>
      </c>
      <c r="AV20" s="3" t="n">
        <v>19112.32986656008</v>
      </c>
      <c r="AW20" s="3" t="n">
        <v>17680.72965287491</v>
      </c>
      <c r="AX20" s="3" t="n">
        <v>21891.68319340429</v>
      </c>
      <c r="AY20" s="3" t="n">
        <v>21683.88907331666</v>
      </c>
      <c r="AZ20" s="3" t="n">
        <v>69396.43694605604</v>
      </c>
      <c r="BA20" s="3" t="n">
        <v>11792.2592211266</v>
      </c>
      <c r="BB20" s="3" t="n">
        <v>10240872.87386611</v>
      </c>
      <c r="BC20" s="3" t="n">
        <v>0</v>
      </c>
      <c r="BD20" s="3" t="n">
        <v>0</v>
      </c>
      <c r="BE20" s="3" t="n">
        <v>0</v>
      </c>
      <c r="BF20" s="3" t="n">
        <v>0</v>
      </c>
      <c r="BG20" s="3" t="n">
        <v>0</v>
      </c>
      <c r="BH20" s="3" t="n">
        <v>0</v>
      </c>
      <c r="BI20" s="3" t="n">
        <v>0</v>
      </c>
      <c r="BJ20" s="3" t="n">
        <v>0</v>
      </c>
      <c r="BK20" s="3" t="n">
        <v>0</v>
      </c>
      <c r="BL20" s="3" t="n">
        <v>0</v>
      </c>
      <c r="BM20" s="3" t="n">
        <v>0.1499723054198887</v>
      </c>
      <c r="BN20" s="3" t="n">
        <v>6.136830083843632</v>
      </c>
      <c r="BO20" s="3" t="n">
        <v>6.413815441869148</v>
      </c>
      <c r="BP20" s="3" t="n">
        <v>1.647771404386502</v>
      </c>
    </row>
    <row r="21">
      <c r="A21" s="3" t="inlineStr">
        <is>
          <t>EGY.distn.bsh.dec.ove.median.7</t>
        </is>
      </c>
      <c r="B21" s="3" t="inlineStr">
        <is>
          <t>EGY</t>
        </is>
      </c>
      <c r="C21" s="3" t="n">
        <v>2017</v>
      </c>
      <c r="D21" s="3" t="inlineStr">
        <is>
          <t>Overall</t>
        </is>
      </c>
      <c r="E21" s="3" t="inlineStr">
        <is>
          <t>Deciles</t>
        </is>
      </c>
      <c r="F21" s="3" t="inlineStr">
        <is>
          <t>median</t>
        </is>
      </c>
      <c r="G21" s="3" t="n">
        <v>7</v>
      </c>
      <c r="H21" s="3" t="n">
        <v>1.170913300539822</v>
      </c>
      <c r="I21" s="3" t="n">
        <v>0</v>
      </c>
      <c r="J21" s="3" t="n">
        <v>3.674409273194379</v>
      </c>
      <c r="K21" s="3" t="n">
        <v>5.66462389345647</v>
      </c>
      <c r="L21" s="3" t="n">
        <v>0</v>
      </c>
      <c r="M21" s="3" t="n">
        <v>2.628818129945878</v>
      </c>
      <c r="N21" s="3" t="n">
        <v>0</v>
      </c>
      <c r="O21" s="3" t="n">
        <v>0.7283571665064783</v>
      </c>
      <c r="P21" s="3" t="n">
        <v>0</v>
      </c>
      <c r="Q21" s="3" t="n">
        <v>2.98248155966272</v>
      </c>
      <c r="R21" s="3" t="n">
        <v>55.44893885210313</v>
      </c>
      <c r="S21" s="3" t="n">
        <v>0</v>
      </c>
      <c r="T21" s="3" t="n">
        <v>0</v>
      </c>
      <c r="U21" s="3" t="n">
        <v>3.157515047648515</v>
      </c>
      <c r="V21" s="3" t="n">
        <v>2.815338980614735</v>
      </c>
      <c r="W21" s="3" t="n">
        <v>0</v>
      </c>
      <c r="X21" s="3" t="n">
        <v>1.56164070874491</v>
      </c>
      <c r="Y21" s="3" t="n">
        <v>0</v>
      </c>
      <c r="Z21" s="3" t="n">
        <v>0</v>
      </c>
      <c r="AA21" s="3" t="n">
        <v>0</v>
      </c>
      <c r="AB21" s="3" t="n">
        <v>1.219037470562587</v>
      </c>
      <c r="AC21" s="3" t="n">
        <v>4.770783641297846</v>
      </c>
      <c r="AD21" s="3" t="n">
        <v>6.345172945198234</v>
      </c>
      <c r="AE21" s="3" t="n">
        <v>0</v>
      </c>
      <c r="AF21" s="3" t="n">
        <v>4.174653893938769</v>
      </c>
      <c r="AG21" s="3" t="n">
        <v>3161.223150422111</v>
      </c>
      <c r="AH21" s="3" t="n">
        <v>6556.775874603182</v>
      </c>
      <c r="AI21" s="3" t="n">
        <v>7425.674659799783</v>
      </c>
      <c r="AJ21" s="3" t="n">
        <v>8625.374203029105</v>
      </c>
      <c r="AK21" s="3" t="n">
        <v>7938.289168690037</v>
      </c>
      <c r="AL21" s="3" t="n">
        <v>9920.23057227654</v>
      </c>
      <c r="AM21" s="3" t="n">
        <v>9228.572423347356</v>
      </c>
      <c r="AN21" s="3" t="n">
        <v>10377.47109524366</v>
      </c>
      <c r="AO21" s="3" t="n">
        <v>11041.63327165563</v>
      </c>
      <c r="AP21" s="3" t="n">
        <v>11594.23908854481</v>
      </c>
      <c r="AQ21" s="3" t="n">
        <v>11755.47761965187</v>
      </c>
      <c r="AR21" s="3" t="n">
        <v>13286.98135089175</v>
      </c>
      <c r="AS21" s="3" t="n">
        <v>13040.86627606142</v>
      </c>
      <c r="AT21" s="3" t="n">
        <v>14958.56534156711</v>
      </c>
      <c r="AU21" s="3" t="n">
        <v>16000.62005846071</v>
      </c>
      <c r="AV21" s="3" t="n">
        <v>18758.53656077389</v>
      </c>
      <c r="AW21" s="3" t="n">
        <v>17923.90680988895</v>
      </c>
      <c r="AX21" s="3" t="n">
        <v>23551.46996764599</v>
      </c>
      <c r="AY21" s="3" t="n">
        <v>24081.357291262</v>
      </c>
      <c r="AZ21" s="3" t="n">
        <v>62341.33868802439</v>
      </c>
      <c r="BA21" s="3" t="n">
        <v>13757.22813714085</v>
      </c>
      <c r="BB21" s="3" t="n">
        <v>9847221.413679557</v>
      </c>
      <c r="BC21" s="3" t="n">
        <v>0</v>
      </c>
      <c r="BD21" s="3" t="n">
        <v>0</v>
      </c>
      <c r="BE21" s="3" t="n">
        <v>0</v>
      </c>
      <c r="BF21" s="3" t="n">
        <v>0</v>
      </c>
      <c r="BG21" s="3" t="n">
        <v>0</v>
      </c>
      <c r="BH21" s="3" t="n">
        <v>0</v>
      </c>
      <c r="BI21" s="3" t="n">
        <v>0</v>
      </c>
      <c r="BJ21" s="3" t="n">
        <v>0</v>
      </c>
      <c r="BK21" s="3" t="n">
        <v>0</v>
      </c>
      <c r="BL21" s="3" t="n">
        <v>0</v>
      </c>
      <c r="BM21" s="3" t="n">
        <v>0.03171118439985462</v>
      </c>
      <c r="BN21" s="3" t="n">
        <v>7.923891598065369</v>
      </c>
      <c r="BO21" s="3" t="n">
        <v>8.072444670612034</v>
      </c>
      <c r="BP21" s="3" t="n">
        <v>1.499234158336577</v>
      </c>
    </row>
    <row r="22">
      <c r="A22" s="3" t="inlineStr">
        <is>
          <t>EGY.distn.bsh.dec.ove.median.8</t>
        </is>
      </c>
      <c r="B22" s="3" t="inlineStr">
        <is>
          <t>EGY</t>
        </is>
      </c>
      <c r="C22" s="3" t="n">
        <v>2017</v>
      </c>
      <c r="D22" s="3" t="inlineStr">
        <is>
          <t>Overall</t>
        </is>
      </c>
      <c r="E22" s="3" t="inlineStr">
        <is>
          <t>Deciles</t>
        </is>
      </c>
      <c r="F22" s="3" t="inlineStr">
        <is>
          <t>median</t>
        </is>
      </c>
      <c r="G22" s="3" t="n">
        <v>8</v>
      </c>
      <c r="H22" s="3" t="n">
        <v>1.075561479329238</v>
      </c>
      <c r="I22" s="3" t="n">
        <v>0</v>
      </c>
      <c r="J22" s="3" t="n">
        <v>3.520542326976587</v>
      </c>
      <c r="K22" s="3" t="n">
        <v>4.372334511371294</v>
      </c>
      <c r="L22" s="3" t="n">
        <v>0</v>
      </c>
      <c r="M22" s="3" t="n">
        <v>2.645695465058866</v>
      </c>
      <c r="N22" s="3" t="n">
        <v>0</v>
      </c>
      <c r="O22" s="3" t="n">
        <v>0</v>
      </c>
      <c r="P22" s="3" t="n">
        <v>0</v>
      </c>
      <c r="Q22" s="3" t="n">
        <v>3.110057622608414</v>
      </c>
      <c r="R22" s="3" t="n">
        <v>55.3048756072772</v>
      </c>
      <c r="S22" s="3" t="n">
        <v>0</v>
      </c>
      <c r="T22" s="3" t="n">
        <v>0</v>
      </c>
      <c r="U22" s="3" t="n">
        <v>3.074683734709939</v>
      </c>
      <c r="V22" s="3" t="n">
        <v>3.282604131458466</v>
      </c>
      <c r="W22" s="3" t="n">
        <v>0</v>
      </c>
      <c r="X22" s="3" t="n">
        <v>1.367942586146349</v>
      </c>
      <c r="Y22" s="3" t="n">
        <v>0</v>
      </c>
      <c r="Z22" s="3" t="n">
        <v>0</v>
      </c>
      <c r="AA22" s="3" t="n">
        <v>0</v>
      </c>
      <c r="AB22" s="3" t="n">
        <v>0.8016294608513658</v>
      </c>
      <c r="AC22" s="3" t="n">
        <v>5.607914428741509</v>
      </c>
      <c r="AD22" s="3" t="n">
        <v>5.484537925579732</v>
      </c>
      <c r="AE22" s="3" t="n">
        <v>0</v>
      </c>
      <c r="AF22" s="3" t="n">
        <v>3.779726091683994</v>
      </c>
      <c r="AG22" s="3" t="n">
        <v>2987.002603839882</v>
      </c>
      <c r="AH22" s="3" t="n">
        <v>7547.623482775587</v>
      </c>
      <c r="AI22" s="3" t="n">
        <v>7153.599995482652</v>
      </c>
      <c r="AJ22" s="3" t="n">
        <v>8074.82170373648</v>
      </c>
      <c r="AK22" s="3" t="n">
        <v>8476.322123564851</v>
      </c>
      <c r="AL22" s="3" t="n">
        <v>9429.97693197254</v>
      </c>
      <c r="AM22" s="3" t="n">
        <v>10178.37820108568</v>
      </c>
      <c r="AN22" s="3" t="n">
        <v>11041.11929989821</v>
      </c>
      <c r="AO22" s="3" t="n">
        <v>11193.5570713645</v>
      </c>
      <c r="AP22" s="3" t="n">
        <v>12723.97470075124</v>
      </c>
      <c r="AQ22" s="3" t="n">
        <v>11607.40023553066</v>
      </c>
      <c r="AR22" s="3" t="n">
        <v>14518.55164627881</v>
      </c>
      <c r="AS22" s="3" t="n">
        <v>12723.78821401245</v>
      </c>
      <c r="AT22" s="3" t="n">
        <v>14447.89056098764</v>
      </c>
      <c r="AU22" s="3" t="n">
        <v>15897.39435822857</v>
      </c>
      <c r="AV22" s="3" t="n">
        <v>18220.17711160219</v>
      </c>
      <c r="AW22" s="3" t="n">
        <v>18161.56326145058</v>
      </c>
      <c r="AX22" s="3" t="n">
        <v>22550.86363131824</v>
      </c>
      <c r="AY22" s="3" t="n">
        <v>21392.30636029106</v>
      </c>
      <c r="AZ22" s="3" t="n">
        <v>64457.64058201504</v>
      </c>
      <c r="BA22" s="3" t="n">
        <v>15329.51348087146</v>
      </c>
      <c r="BB22" s="3" t="n">
        <v>11098593.81349436</v>
      </c>
      <c r="BC22" s="3" t="n">
        <v>0</v>
      </c>
      <c r="BD22" s="3" t="n">
        <v>0</v>
      </c>
      <c r="BE22" s="3" t="n">
        <v>0</v>
      </c>
      <c r="BF22" s="3" t="n">
        <v>0</v>
      </c>
      <c r="BG22" s="3" t="n">
        <v>0</v>
      </c>
      <c r="BH22" s="3" t="n">
        <v>0</v>
      </c>
      <c r="BI22" s="3" t="n">
        <v>0</v>
      </c>
      <c r="BJ22" s="3" t="n">
        <v>0</v>
      </c>
      <c r="BK22" s="3" t="n">
        <v>0</v>
      </c>
      <c r="BL22" s="3" t="n">
        <v>0</v>
      </c>
      <c r="BM22" s="3" t="n">
        <v>0.01697807521159917</v>
      </c>
      <c r="BN22" s="3" t="n">
        <v>10.37255065597539</v>
      </c>
      <c r="BO22" s="3" t="n">
        <v>9.894852524001124</v>
      </c>
      <c r="BP22" s="3" t="n">
        <v>1.574717942741828</v>
      </c>
    </row>
    <row r="23">
      <c r="A23" s="3" t="inlineStr">
        <is>
          <t>EGY.distn.bsh.dec.ove.median.9</t>
        </is>
      </c>
      <c r="B23" s="3" t="inlineStr">
        <is>
          <t>EGY</t>
        </is>
      </c>
      <c r="C23" s="3" t="n">
        <v>2017</v>
      </c>
      <c r="D23" s="3" t="inlineStr">
        <is>
          <t>Overall</t>
        </is>
      </c>
      <c r="E23" s="3" t="inlineStr">
        <is>
          <t>Deciles</t>
        </is>
      </c>
      <c r="F23" s="3" t="inlineStr">
        <is>
          <t>median</t>
        </is>
      </c>
      <c r="G23" s="3" t="n">
        <v>9</v>
      </c>
      <c r="H23" s="3" t="n">
        <v>1.228970703896416</v>
      </c>
      <c r="I23" s="3" t="n">
        <v>0</v>
      </c>
      <c r="J23" s="3" t="n">
        <v>3.435952841513448</v>
      </c>
      <c r="K23" s="3" t="n">
        <v>4.278490599667157</v>
      </c>
      <c r="L23" s="3" t="n">
        <v>0</v>
      </c>
      <c r="M23" s="3" t="n">
        <v>2.489797747960616</v>
      </c>
      <c r="N23" s="3" t="n">
        <v>0</v>
      </c>
      <c r="O23" s="3" t="n">
        <v>0</v>
      </c>
      <c r="P23" s="3" t="n">
        <v>0</v>
      </c>
      <c r="Q23" s="3" t="n">
        <v>3.318238988263145</v>
      </c>
      <c r="R23" s="3" t="n">
        <v>52.23837435643863</v>
      </c>
      <c r="S23" s="3" t="n">
        <v>0</v>
      </c>
      <c r="T23" s="3" t="n">
        <v>0</v>
      </c>
      <c r="U23" s="3" t="n">
        <v>3.363567849808065</v>
      </c>
      <c r="V23" s="3" t="n">
        <v>3.014306779380007</v>
      </c>
      <c r="W23" s="3" t="n">
        <v>0</v>
      </c>
      <c r="X23" s="3" t="n">
        <v>1.237615922414984</v>
      </c>
      <c r="Y23" s="3" t="n">
        <v>0</v>
      </c>
      <c r="Z23" s="3" t="n">
        <v>0</v>
      </c>
      <c r="AA23" s="3" t="n">
        <v>0</v>
      </c>
      <c r="AB23" s="3" t="n">
        <v>0.6280632204383446</v>
      </c>
      <c r="AC23" s="3" t="n">
        <v>6.714936265708041</v>
      </c>
      <c r="AD23" s="3" t="n">
        <v>5.201814008869318</v>
      </c>
      <c r="AE23" s="3" t="n">
        <v>0</v>
      </c>
      <c r="AF23" s="3" t="n">
        <v>4.017227878232507</v>
      </c>
      <c r="AG23" s="3" t="n">
        <v>3350.190385051921</v>
      </c>
      <c r="AH23" s="3" t="n">
        <v>6967.198404800316</v>
      </c>
      <c r="AI23" s="3" t="n">
        <v>7148.678358656461</v>
      </c>
      <c r="AJ23" s="3" t="n">
        <v>8183.897736699044</v>
      </c>
      <c r="AK23" s="3" t="n">
        <v>9042.446086032594</v>
      </c>
      <c r="AL23" s="3" t="n">
        <v>9132.260086515671</v>
      </c>
      <c r="AM23" s="3" t="n">
        <v>9432.58259119269</v>
      </c>
      <c r="AN23" s="3" t="n">
        <v>11431.44781241799</v>
      </c>
      <c r="AO23" s="3" t="n">
        <v>10549.74268984354</v>
      </c>
      <c r="AP23" s="3" t="n">
        <v>13059.33876712408</v>
      </c>
      <c r="AQ23" s="3" t="n">
        <v>11867.87107315474</v>
      </c>
      <c r="AR23" s="3" t="n">
        <v>12908.05918037489</v>
      </c>
      <c r="AS23" s="3" t="n">
        <v>13084.51109470964</v>
      </c>
      <c r="AT23" s="3" t="n">
        <v>14408.53466031028</v>
      </c>
      <c r="AU23" s="3" t="n">
        <v>16663.60966634649</v>
      </c>
      <c r="AV23" s="3" t="n">
        <v>19560.25066596221</v>
      </c>
      <c r="AW23" s="3" t="n">
        <v>19407.0677868254</v>
      </c>
      <c r="AX23" s="3" t="n">
        <v>23148.98002835057</v>
      </c>
      <c r="AY23" s="3" t="n">
        <v>21864.55190379317</v>
      </c>
      <c r="AZ23" s="3" t="n">
        <v>69016.59191115077</v>
      </c>
      <c r="BA23" s="3" t="n">
        <v>18170.75912647455</v>
      </c>
      <c r="BB23" s="3" t="n">
        <v>11058873.31927031</v>
      </c>
      <c r="BC23" s="3" t="n">
        <v>0</v>
      </c>
      <c r="BD23" s="3" t="n">
        <v>0</v>
      </c>
      <c r="BE23" s="3" t="n">
        <v>0</v>
      </c>
      <c r="BF23" s="3" t="n">
        <v>0</v>
      </c>
      <c r="BG23" s="3" t="n">
        <v>0</v>
      </c>
      <c r="BH23" s="3" t="n">
        <v>0</v>
      </c>
      <c r="BI23" s="3" t="n">
        <v>0</v>
      </c>
      <c r="BJ23" s="3" t="n">
        <v>0</v>
      </c>
      <c r="BK23" s="3" t="n">
        <v>0</v>
      </c>
      <c r="BL23" s="3" t="n">
        <v>0</v>
      </c>
      <c r="BM23" s="3" t="n">
        <v>0</v>
      </c>
      <c r="BN23" s="3" t="n">
        <v>14.40148177810288</v>
      </c>
      <c r="BO23" s="3" t="n">
        <v>15.1900824276944</v>
      </c>
      <c r="BP23" s="3" t="n">
        <v>1.547636131154802</v>
      </c>
    </row>
    <row r="24">
      <c r="A24" s="3" t="inlineStr">
        <is>
          <t>EGY.distn.bsh.dec.ove.median.10</t>
        </is>
      </c>
      <c r="B24" s="3" t="inlineStr">
        <is>
          <t>EGY</t>
        </is>
      </c>
      <c r="C24" s="3" t="n">
        <v>2017</v>
      </c>
      <c r="D24" s="3" t="inlineStr">
        <is>
          <t>Overall</t>
        </is>
      </c>
      <c r="E24" s="3" t="inlineStr">
        <is>
          <t>Deciles</t>
        </is>
      </c>
      <c r="F24" s="3" t="inlineStr">
        <is>
          <t>median</t>
        </is>
      </c>
      <c r="G24" s="3" t="n">
        <v>10</v>
      </c>
      <c r="H24" s="3" t="n">
        <v>1.002357281235842</v>
      </c>
      <c r="I24" s="3" t="n">
        <v>0</v>
      </c>
      <c r="J24" s="3" t="n">
        <v>3.604316497605888</v>
      </c>
      <c r="K24" s="3" t="n">
        <v>3.319043779319986</v>
      </c>
      <c r="L24" s="3" t="n">
        <v>0</v>
      </c>
      <c r="M24" s="3" t="n">
        <v>2.582769976517536</v>
      </c>
      <c r="N24" s="3" t="n">
        <v>0</v>
      </c>
      <c r="O24" s="3" t="n">
        <v>0</v>
      </c>
      <c r="P24" s="3" t="n">
        <v>0</v>
      </c>
      <c r="Q24" s="3" t="n">
        <v>3.229790017798468</v>
      </c>
      <c r="R24" s="3" t="n">
        <v>53.40317365230101</v>
      </c>
      <c r="S24" s="3" t="n">
        <v>0</v>
      </c>
      <c r="T24" s="3" t="n">
        <v>0</v>
      </c>
      <c r="U24" s="3" t="n">
        <v>3.303807472538042</v>
      </c>
      <c r="V24" s="3" t="n">
        <v>4.040054832306422</v>
      </c>
      <c r="W24" s="3" t="n">
        <v>0</v>
      </c>
      <c r="X24" s="3" t="n">
        <v>0</v>
      </c>
      <c r="Y24" s="3" t="n">
        <v>0.3565615447165646</v>
      </c>
      <c r="Z24" s="3" t="n">
        <v>0</v>
      </c>
      <c r="AA24" s="3" t="n">
        <v>0</v>
      </c>
      <c r="AB24" s="3" t="n">
        <v>0.4191187911442383</v>
      </c>
      <c r="AC24" s="3" t="n">
        <v>7.06157062996287</v>
      </c>
      <c r="AD24" s="3" t="n">
        <v>4.441626234852251</v>
      </c>
      <c r="AE24" s="3" t="n">
        <v>0</v>
      </c>
      <c r="AF24" s="3" t="n">
        <v>3.838194130744883</v>
      </c>
      <c r="AG24" s="3" t="n">
        <v>3133.24551655811</v>
      </c>
      <c r="AH24" s="3" t="n">
        <v>7399.251711873515</v>
      </c>
      <c r="AI24" s="3" t="n">
        <v>7634.44709172886</v>
      </c>
      <c r="AJ24" s="3" t="n">
        <v>8070.717149861206</v>
      </c>
      <c r="AK24" s="3" t="n">
        <v>9001.274520174731</v>
      </c>
      <c r="AL24" s="3" t="n">
        <v>9488.352350525616</v>
      </c>
      <c r="AM24" s="3" t="n">
        <v>9749.656881862093</v>
      </c>
      <c r="AN24" s="3" t="n">
        <v>11391.94198191169</v>
      </c>
      <c r="AO24" s="3" t="n">
        <v>10903.26432568032</v>
      </c>
      <c r="AP24" s="3" t="n">
        <v>11253.91705210606</v>
      </c>
      <c r="AQ24" s="3" t="n">
        <v>11446.75109952804</v>
      </c>
      <c r="AR24" s="3" t="n">
        <v>14534.37024373109</v>
      </c>
      <c r="AS24" s="3" t="n">
        <v>14360.40904383992</v>
      </c>
      <c r="AT24" s="3" t="n">
        <v>14561.8642723776</v>
      </c>
      <c r="AU24" s="3" t="n">
        <v>14643.69662039541</v>
      </c>
      <c r="AV24" s="3" t="n">
        <v>17757.87455001514</v>
      </c>
      <c r="AW24" s="3" t="n">
        <v>17312.532289881</v>
      </c>
      <c r="AX24" s="3" t="n">
        <v>23585.72212342483</v>
      </c>
      <c r="AY24" s="3" t="n">
        <v>22033.49468438531</v>
      </c>
      <c r="AZ24" s="3" t="n">
        <v>63229.80209901652</v>
      </c>
      <c r="BA24" s="3" t="n">
        <v>25928.25689214894</v>
      </c>
      <c r="BB24" s="3" t="n">
        <v>10473918.35036369</v>
      </c>
      <c r="BC24" s="3" t="n">
        <v>0</v>
      </c>
      <c r="BD24" s="3" t="n">
        <v>0</v>
      </c>
      <c r="BE24" s="3" t="n">
        <v>0</v>
      </c>
      <c r="BF24" s="3" t="n">
        <v>0</v>
      </c>
      <c r="BG24" s="3" t="n">
        <v>0</v>
      </c>
      <c r="BH24" s="3" t="n">
        <v>0</v>
      </c>
      <c r="BI24" s="3" t="n">
        <v>0</v>
      </c>
      <c r="BJ24" s="3" t="n">
        <v>0</v>
      </c>
      <c r="BK24" s="3" t="n">
        <v>0</v>
      </c>
      <c r="BL24" s="3" t="n">
        <v>0</v>
      </c>
      <c r="BM24" s="3" t="n">
        <v>0</v>
      </c>
      <c r="BN24" s="3" t="n">
        <v>53.57288370343105</v>
      </c>
      <c r="BO24" s="3" t="n">
        <v>54.49385178872859</v>
      </c>
      <c r="BP24" s="3" t="n">
        <v>1.440833338543215</v>
      </c>
    </row>
    <row r="25">
      <c r="A25" s="3" t="inlineStr">
        <is>
          <t>EGY.distn.bsh.bkt.ove.median.9999</t>
        </is>
      </c>
      <c r="B25" s="3" t="inlineStr">
        <is>
          <t>EGY</t>
        </is>
      </c>
      <c r="C25" s="3" t="n">
        <v>2017</v>
      </c>
      <c r="D25" s="3" t="inlineStr">
        <is>
          <t>Overall</t>
        </is>
      </c>
      <c r="E25" s="3" t="inlineStr">
        <is>
          <t>Basket</t>
        </is>
      </c>
      <c r="F25" s="3" t="inlineStr">
        <is>
          <t>median</t>
        </is>
      </c>
      <c r="G25" s="3" t="n">
        <v>9999</v>
      </c>
      <c r="H25" s="3" t="n">
        <v>1.208726618288266</v>
      </c>
      <c r="I25" s="3" t="n">
        <v>0</v>
      </c>
      <c r="J25" s="3" t="n">
        <v>3.361999111487858</v>
      </c>
      <c r="K25" s="3" t="n">
        <v>4.832608213381616</v>
      </c>
      <c r="L25" s="3" t="n">
        <v>0</v>
      </c>
      <c r="M25" s="3" t="n">
        <v>2.305855213338965</v>
      </c>
      <c r="N25" s="3" t="n">
        <v>0</v>
      </c>
      <c r="O25" s="3" t="n">
        <v>1.053152106017054</v>
      </c>
      <c r="P25" s="3" t="n">
        <v>0</v>
      </c>
      <c r="Q25" s="3" t="n">
        <v>3.158334647651799</v>
      </c>
      <c r="R25" s="3" t="n">
        <v>53.26916971216185</v>
      </c>
      <c r="S25" s="3" t="n">
        <v>0</v>
      </c>
      <c r="T25" s="3" t="n">
        <v>0</v>
      </c>
      <c r="U25" s="3" t="n">
        <v>2.50326067404316</v>
      </c>
      <c r="V25" s="3" t="n">
        <v>3.007252656747568</v>
      </c>
      <c r="W25" s="3" t="n">
        <v>0</v>
      </c>
      <c r="X25" s="3" t="n">
        <v>1.806776386702903</v>
      </c>
      <c r="Y25" s="3" t="n">
        <v>0</v>
      </c>
      <c r="Z25" s="3" t="n">
        <v>0</v>
      </c>
      <c r="AA25" s="3" t="n">
        <v>0</v>
      </c>
      <c r="AB25" s="3" t="n">
        <v>1.38575285891334</v>
      </c>
      <c r="AC25" s="3" t="n">
        <v>4.433156155770461</v>
      </c>
      <c r="AD25" s="3" t="n">
        <v>5.342508571289995</v>
      </c>
      <c r="AE25" s="3" t="n">
        <v>0</v>
      </c>
      <c r="AF25" s="3" t="n">
        <v>4.001296019936489</v>
      </c>
      <c r="AG25" s="3" t="n">
        <v>3015.149838733471</v>
      </c>
      <c r="AH25" s="3" t="n">
        <v>7448.505137231127</v>
      </c>
      <c r="AI25" s="3" t="n">
        <v>7309.748701551236</v>
      </c>
      <c r="AJ25" s="3" t="n">
        <v>8351.466625376786</v>
      </c>
      <c r="AK25" s="3" t="n">
        <v>8375.758048558755</v>
      </c>
      <c r="AL25" s="3" t="n">
        <v>9744.041605454971</v>
      </c>
      <c r="AM25" s="3" t="n">
        <v>10400.08692101675</v>
      </c>
      <c r="AN25" s="3" t="n">
        <v>10044.42639807492</v>
      </c>
      <c r="AO25" s="3" t="n">
        <v>10366.03105608284</v>
      </c>
      <c r="AP25" s="3" t="n">
        <v>13040.03563202475</v>
      </c>
      <c r="AQ25" s="3" t="n">
        <v>12651.03107248942</v>
      </c>
      <c r="AR25" s="3" t="n">
        <v>14279.71071160171</v>
      </c>
      <c r="AS25" s="3" t="n">
        <v>13796.05320433053</v>
      </c>
      <c r="AT25" s="3" t="n">
        <v>16185.69789185143</v>
      </c>
      <c r="AU25" s="3" t="n">
        <v>15420.8665793279</v>
      </c>
      <c r="AV25" s="3" t="n">
        <v>19592.76363335937</v>
      </c>
      <c r="AW25" s="3" t="n">
        <v>17024.81244547418</v>
      </c>
      <c r="AX25" s="3" t="n">
        <v>21735.13024183289</v>
      </c>
      <c r="AY25" s="3" t="n">
        <v>22486.88187487484</v>
      </c>
      <c r="AZ25" s="3" t="n">
        <v>67277.61615325375</v>
      </c>
      <c r="BA25" s="3" t="n">
        <v>11107.41904141976</v>
      </c>
      <c r="BB25" s="3" t="n">
        <v>109469635.9794998</v>
      </c>
      <c r="BC25" s="3" t="n">
        <v>0</v>
      </c>
      <c r="BD25" s="3" t="n">
        <v>0</v>
      </c>
      <c r="BE25" s="3" t="n">
        <v>0</v>
      </c>
      <c r="BF25" s="3" t="n">
        <v>0</v>
      </c>
      <c r="BG25" s="3" t="n">
        <v>0</v>
      </c>
      <c r="BH25" s="3" t="n">
        <v>0</v>
      </c>
      <c r="BI25" s="3" t="n">
        <v>0</v>
      </c>
      <c r="BJ25" s="3" t="n">
        <v>0</v>
      </c>
      <c r="BK25" s="3" t="n">
        <v>0.1720909988466304</v>
      </c>
      <c r="BL25" s="3" t="n">
        <v>2.858270906855246</v>
      </c>
      <c r="BM25" s="3" t="n">
        <v>35.02419333497839</v>
      </c>
      <c r="BN25" s="3" t="n">
        <v>0</v>
      </c>
      <c r="BO25" s="3" t="n">
        <v>0</v>
      </c>
      <c r="BP25" s="3" t="n">
        <v>0</v>
      </c>
    </row>
    <row r="26">
      <c r="A26" s="3" t="inlineStr">
        <is>
          <t>EGY.distn.bsh.dec.ove.p25.1</t>
        </is>
      </c>
      <c r="B26" s="3" t="inlineStr">
        <is>
          <t>EGY</t>
        </is>
      </c>
      <c r="C26" s="3" t="n">
        <v>2017</v>
      </c>
      <c r="D26" s="3" t="inlineStr">
        <is>
          <t>Overall</t>
        </is>
      </c>
      <c r="E26" s="3" t="inlineStr">
        <is>
          <t>Deciles</t>
        </is>
      </c>
      <c r="F26" s="3" t="inlineStr">
        <is>
          <t>p25</t>
        </is>
      </c>
      <c r="G26" s="3" t="n">
        <v>1</v>
      </c>
      <c r="H26" s="3" t="n">
        <v>0.7738017020561148</v>
      </c>
      <c r="I26" s="3" t="n">
        <v>0</v>
      </c>
      <c r="J26" s="3" t="n">
        <v>2.835966430950685</v>
      </c>
      <c r="K26" s="3" t="n">
        <v>2.812544972890985</v>
      </c>
      <c r="L26" s="3" t="n">
        <v>0</v>
      </c>
      <c r="M26" s="3" t="n">
        <v>1.181513109258385</v>
      </c>
      <c r="N26" s="3" t="n">
        <v>0</v>
      </c>
      <c r="O26" s="3" t="n">
        <v>0.4718697913531077</v>
      </c>
      <c r="P26" s="3" t="n">
        <v>0</v>
      </c>
      <c r="Q26" s="3" t="n">
        <v>2.17474988785179</v>
      </c>
      <c r="R26" s="3" t="n">
        <v>48.6696813047862</v>
      </c>
      <c r="S26" s="3" t="n">
        <v>0</v>
      </c>
      <c r="T26" s="3" t="n">
        <v>0</v>
      </c>
      <c r="U26" s="3" t="n">
        <v>0.5758735784253032</v>
      </c>
      <c r="V26" s="3" t="n">
        <v>1.798903895083377</v>
      </c>
      <c r="W26" s="3" t="n">
        <v>0</v>
      </c>
      <c r="X26" s="3" t="n">
        <v>1.918837099030511</v>
      </c>
      <c r="Y26" s="3" t="n">
        <v>0</v>
      </c>
      <c r="Z26" s="3" t="n">
        <v>0</v>
      </c>
      <c r="AA26" s="3" t="n">
        <v>0</v>
      </c>
      <c r="AB26" s="3" t="n">
        <v>1.040789201530382</v>
      </c>
      <c r="AC26" s="3" t="n">
        <v>1.543887332323498</v>
      </c>
      <c r="AD26" s="3" t="n">
        <v>3.747510929979066</v>
      </c>
      <c r="AE26" s="3" t="n">
        <v>0</v>
      </c>
      <c r="AF26" s="3" t="n">
        <v>2.067448410588944</v>
      </c>
      <c r="AG26" s="3" t="n">
        <v>3285.320067365331</v>
      </c>
      <c r="AH26" s="3" t="n">
        <v>6722.348530483366</v>
      </c>
      <c r="AI26" s="3" t="n">
        <v>7424.935520981895</v>
      </c>
      <c r="AJ26" s="3" t="n">
        <v>9009.008967595948</v>
      </c>
      <c r="AK26" s="3" t="n">
        <v>8868.999409673648</v>
      </c>
      <c r="AL26" s="3" t="n">
        <v>9539.654580987795</v>
      </c>
      <c r="AM26" s="3" t="n">
        <v>10293.91255206237</v>
      </c>
      <c r="AN26" s="3" t="n">
        <v>10404.32394583046</v>
      </c>
      <c r="AO26" s="3" t="n">
        <v>10332.70992789852</v>
      </c>
      <c r="AP26" s="3" t="n">
        <v>13005.68763806849</v>
      </c>
      <c r="AQ26" s="3" t="n">
        <v>12109.77256477164</v>
      </c>
      <c r="AR26" s="3" t="n">
        <v>14045.71210671282</v>
      </c>
      <c r="AS26" s="3" t="n">
        <v>14318.48109772393</v>
      </c>
      <c r="AT26" s="3" t="n">
        <v>16644.78438997469</v>
      </c>
      <c r="AU26" s="3" t="n">
        <v>15122.99859577452</v>
      </c>
      <c r="AV26" s="3" t="n">
        <v>18498.17174071172</v>
      </c>
      <c r="AW26" s="3" t="n">
        <v>18503.22969719458</v>
      </c>
      <c r="AX26" s="3" t="n">
        <v>24208.64702432543</v>
      </c>
      <c r="AY26" s="3" t="n">
        <v>22251.13792356107</v>
      </c>
      <c r="AZ26" s="3" t="n">
        <v>65557.32919222544</v>
      </c>
      <c r="BA26" s="3" t="n">
        <v>4771.66252528602</v>
      </c>
      <c r="BB26" s="3" t="n">
        <v>11219240.86933755</v>
      </c>
      <c r="BC26" s="3" t="n">
        <v>0</v>
      </c>
      <c r="BD26" s="3" t="n">
        <v>0</v>
      </c>
      <c r="BE26" s="3" t="n">
        <v>109.393750032156</v>
      </c>
      <c r="BF26" s="3" t="n">
        <v>27.18921983286967</v>
      </c>
      <c r="BG26" s="3" t="n">
        <v>36.37322669224365</v>
      </c>
      <c r="BH26" s="3" t="n">
        <v>83.68527796746271</v>
      </c>
      <c r="BI26" s="3" t="n">
        <v>108.5639401325044</v>
      </c>
      <c r="BJ26" s="3" t="n">
        <v>78.33637474176356</v>
      </c>
      <c r="BK26" s="3" t="n">
        <v>0.1675921689437421</v>
      </c>
      <c r="BL26" s="3" t="n">
        <v>3.029632438138145</v>
      </c>
      <c r="BM26" s="3" t="n">
        <v>11.00560693181745</v>
      </c>
      <c r="BN26" s="3" t="n">
        <v>0</v>
      </c>
      <c r="BO26" s="3" t="n">
        <v>0</v>
      </c>
      <c r="BP26" s="3" t="n">
        <v>0</v>
      </c>
    </row>
    <row r="27">
      <c r="A27" s="3" t="inlineStr">
        <is>
          <t>EGY.distn.bsh.dec.ove.p25.2</t>
        </is>
      </c>
      <c r="B27" s="3" t="inlineStr">
        <is>
          <t>EGY</t>
        </is>
      </c>
      <c r="C27" s="3" t="n">
        <v>2017</v>
      </c>
      <c r="D27" s="3" t="inlineStr">
        <is>
          <t>Overall</t>
        </is>
      </c>
      <c r="E27" s="3" t="inlineStr">
        <is>
          <t>Deciles</t>
        </is>
      </c>
      <c r="F27" s="3" t="inlineStr">
        <is>
          <t>p25</t>
        </is>
      </c>
      <c r="G27" s="3" t="n">
        <v>2</v>
      </c>
      <c r="H27" s="3" t="n">
        <v>0.6804661793755945</v>
      </c>
      <c r="I27" s="3" t="n">
        <v>0</v>
      </c>
      <c r="J27" s="3" t="n">
        <v>3.099215490549264</v>
      </c>
      <c r="K27" s="3" t="n">
        <v>3.359598036292753</v>
      </c>
      <c r="L27" s="3" t="n">
        <v>0</v>
      </c>
      <c r="M27" s="3" t="n">
        <v>1.325237957041979</v>
      </c>
      <c r="N27" s="3" t="n">
        <v>0</v>
      </c>
      <c r="O27" s="3" t="n">
        <v>0.5083261161124332</v>
      </c>
      <c r="P27" s="3" t="n">
        <v>0</v>
      </c>
      <c r="Q27" s="3" t="n">
        <v>2.185804966707028</v>
      </c>
      <c r="R27" s="3" t="n">
        <v>49.21433722175625</v>
      </c>
      <c r="S27" s="3" t="n">
        <v>0</v>
      </c>
      <c r="T27" s="3" t="n">
        <v>0</v>
      </c>
      <c r="U27" s="3" t="n">
        <v>0.643464820335402</v>
      </c>
      <c r="V27" s="3" t="n">
        <v>1.953242577999973</v>
      </c>
      <c r="W27" s="3" t="n">
        <v>0</v>
      </c>
      <c r="X27" s="3" t="n">
        <v>1.638542799769267</v>
      </c>
      <c r="Y27" s="3" t="n">
        <v>0</v>
      </c>
      <c r="Z27" s="3" t="n">
        <v>0</v>
      </c>
      <c r="AA27" s="3" t="n">
        <v>0</v>
      </c>
      <c r="AB27" s="3" t="n">
        <v>0.9874680562177216</v>
      </c>
      <c r="AC27" s="3" t="n">
        <v>1.491661525671811</v>
      </c>
      <c r="AD27" s="3" t="n">
        <v>3.821995144176167</v>
      </c>
      <c r="AE27" s="3" t="n">
        <v>0</v>
      </c>
      <c r="AF27" s="3" t="n">
        <v>2.164072717181431</v>
      </c>
      <c r="AG27" s="3" t="n">
        <v>3278.321931485591</v>
      </c>
      <c r="AH27" s="3" t="n">
        <v>7459.127757887295</v>
      </c>
      <c r="AI27" s="3" t="n">
        <v>6909.179698573543</v>
      </c>
      <c r="AJ27" s="3" t="n">
        <v>8170.977118594247</v>
      </c>
      <c r="AK27" s="3" t="n">
        <v>8883.798303908792</v>
      </c>
      <c r="AL27" s="3" t="n">
        <v>9323.488669833936</v>
      </c>
      <c r="AM27" s="3" t="n">
        <v>9888.451498523827</v>
      </c>
      <c r="AN27" s="3" t="n">
        <v>10984.81339954006</v>
      </c>
      <c r="AO27" s="3" t="n">
        <v>10864.05031606451</v>
      </c>
      <c r="AP27" s="3" t="n">
        <v>12849.53813901029</v>
      </c>
      <c r="AQ27" s="3" t="n">
        <v>12917.29694788657</v>
      </c>
      <c r="AR27" s="3" t="n">
        <v>14474.30010185288</v>
      </c>
      <c r="AS27" s="3" t="n">
        <v>14656.64867997647</v>
      </c>
      <c r="AT27" s="3" t="n">
        <v>16241.55617558572</v>
      </c>
      <c r="AU27" s="3" t="n">
        <v>15278.20638754028</v>
      </c>
      <c r="AV27" s="3" t="n">
        <v>17599.97366323041</v>
      </c>
      <c r="AW27" s="3" t="n">
        <v>18460.38216670537</v>
      </c>
      <c r="AX27" s="3" t="n">
        <v>22249.5423257271</v>
      </c>
      <c r="AY27" s="3" t="n">
        <v>21840.48246498969</v>
      </c>
      <c r="AZ27" s="3" t="n">
        <v>63066.06534253638</v>
      </c>
      <c r="BA27" s="3" t="n">
        <v>6512.206998494465</v>
      </c>
      <c r="BB27" s="3" t="n">
        <v>10905480.57513867</v>
      </c>
      <c r="BC27" s="3" t="n">
        <v>0</v>
      </c>
      <c r="BD27" s="3" t="n">
        <v>0</v>
      </c>
      <c r="BE27" s="3" t="n">
        <v>105.0385631173108</v>
      </c>
      <c r="BF27" s="3" t="n">
        <v>44.2243811714935</v>
      </c>
      <c r="BG27" s="3" t="n">
        <v>64.53500224321461</v>
      </c>
      <c r="BH27" s="3" t="n">
        <v>102.0676518500052</v>
      </c>
      <c r="BI27" s="3" t="n">
        <v>104.7810202318518</v>
      </c>
      <c r="BJ27" s="3" t="n">
        <v>86.37914960347646</v>
      </c>
      <c r="BK27" s="3" t="n">
        <v>0.009767253455876906</v>
      </c>
      <c r="BL27" s="3" t="n">
        <v>0.01173586878541249</v>
      </c>
      <c r="BM27" s="3" t="n">
        <v>9.902603010464603</v>
      </c>
      <c r="BN27" s="3" t="n">
        <v>0</v>
      </c>
      <c r="BO27" s="3" t="n">
        <v>0</v>
      </c>
      <c r="BP27" s="3" t="n">
        <v>0</v>
      </c>
    </row>
    <row r="28">
      <c r="A28" s="3" t="inlineStr">
        <is>
          <t>EGY.distn.bsh.dec.ove.p25.3</t>
        </is>
      </c>
      <c r="B28" s="3" t="inlineStr">
        <is>
          <t>EGY</t>
        </is>
      </c>
      <c r="C28" s="3" t="n">
        <v>2017</v>
      </c>
      <c r="D28" s="3" t="inlineStr">
        <is>
          <t>Overall</t>
        </is>
      </c>
      <c r="E28" s="3" t="inlineStr">
        <is>
          <t>Deciles</t>
        </is>
      </c>
      <c r="F28" s="3" t="inlineStr">
        <is>
          <t>p25</t>
        </is>
      </c>
      <c r="G28" s="3" t="n">
        <v>3</v>
      </c>
      <c r="H28" s="3" t="n">
        <v>0.7657322790445923</v>
      </c>
      <c r="I28" s="3" t="n">
        <v>0</v>
      </c>
      <c r="J28" s="3" t="n">
        <v>2.815791352947913</v>
      </c>
      <c r="K28" s="3" t="n">
        <v>3.309537711304097</v>
      </c>
      <c r="L28" s="3" t="n">
        <v>0</v>
      </c>
      <c r="M28" s="3" t="n">
        <v>1.318831630105417</v>
      </c>
      <c r="N28" s="3" t="n">
        <v>0</v>
      </c>
      <c r="O28" s="3" t="n">
        <v>0.4081540430050591</v>
      </c>
      <c r="P28" s="3" t="n">
        <v>0</v>
      </c>
      <c r="Q28" s="3" t="n">
        <v>2.17068369160525</v>
      </c>
      <c r="R28" s="3" t="n">
        <v>52.86776385540028</v>
      </c>
      <c r="S28" s="3" t="n">
        <v>0</v>
      </c>
      <c r="T28" s="3" t="n">
        <v>0</v>
      </c>
      <c r="U28" s="3" t="n">
        <v>0.8332894006099441</v>
      </c>
      <c r="V28" s="3" t="n">
        <v>1.848471059348309</v>
      </c>
      <c r="W28" s="3" t="n">
        <v>0</v>
      </c>
      <c r="X28" s="3" t="n">
        <v>1.291239251019976</v>
      </c>
      <c r="Y28" s="3" t="n">
        <v>0</v>
      </c>
      <c r="Z28" s="3" t="n">
        <v>0</v>
      </c>
      <c r="AA28" s="3" t="n">
        <v>0</v>
      </c>
      <c r="AB28" s="3" t="n">
        <v>0.9340116544527106</v>
      </c>
      <c r="AC28" s="3" t="n">
        <v>1.607436046223937</v>
      </c>
      <c r="AD28" s="3" t="n">
        <v>4.452619810570934</v>
      </c>
      <c r="AE28" s="3" t="n">
        <v>0</v>
      </c>
      <c r="AF28" s="3" t="n">
        <v>2.169384758831987</v>
      </c>
      <c r="AG28" s="3" t="n">
        <v>3013.205052909568</v>
      </c>
      <c r="AH28" s="3" t="n">
        <v>6879.149562684135</v>
      </c>
      <c r="AI28" s="3" t="n">
        <v>6668.618267968453</v>
      </c>
      <c r="AJ28" s="3" t="n">
        <v>8443.053105646914</v>
      </c>
      <c r="AK28" s="3" t="n">
        <v>8096.080857481187</v>
      </c>
      <c r="AL28" s="3" t="n">
        <v>10392.58014454859</v>
      </c>
      <c r="AM28" s="3" t="n">
        <v>9235.328007692477</v>
      </c>
      <c r="AN28" s="3" t="n">
        <v>11596.185216404</v>
      </c>
      <c r="AO28" s="3" t="n">
        <v>10741.40578559386</v>
      </c>
      <c r="AP28" s="3" t="n">
        <v>11402.91065381108</v>
      </c>
      <c r="AQ28" s="3" t="n">
        <v>12000.36762562257</v>
      </c>
      <c r="AR28" s="3" t="n">
        <v>12728.14436807955</v>
      </c>
      <c r="AS28" s="3" t="n">
        <v>14628.55265438665</v>
      </c>
      <c r="AT28" s="3" t="n">
        <v>14741.37034297428</v>
      </c>
      <c r="AU28" s="3" t="n">
        <v>15308.76050716771</v>
      </c>
      <c r="AV28" s="3" t="n">
        <v>18857.49003921574</v>
      </c>
      <c r="AW28" s="3" t="n">
        <v>17470.99335576395</v>
      </c>
      <c r="AX28" s="3" t="n">
        <v>22257.64913987311</v>
      </c>
      <c r="AY28" s="3" t="n">
        <v>22866.15888803438</v>
      </c>
      <c r="AZ28" s="3" t="n">
        <v>61179.38289751054</v>
      </c>
      <c r="BA28" s="3" t="n">
        <v>7603.078669771854</v>
      </c>
      <c r="BB28" s="3" t="n">
        <v>11291712.35472059</v>
      </c>
      <c r="BC28" s="3" t="n">
        <v>0</v>
      </c>
      <c r="BD28" s="3" t="n">
        <v>0</v>
      </c>
      <c r="BE28" s="3" t="n">
        <v>108.0911408837404</v>
      </c>
      <c r="BF28" s="3" t="n">
        <v>54.77714797027924</v>
      </c>
      <c r="BG28" s="3" t="n">
        <v>72.91318996175274</v>
      </c>
      <c r="BH28" s="3" t="n">
        <v>109.2873978841241</v>
      </c>
      <c r="BI28" s="3" t="n">
        <v>102.9319820855977</v>
      </c>
      <c r="BJ28" s="3" t="n">
        <v>93.23881415703431</v>
      </c>
      <c r="BK28" s="3" t="n">
        <v>0</v>
      </c>
      <c r="BL28" s="3" t="n">
        <v>0.006479740003984756</v>
      </c>
      <c r="BM28" s="3" t="n">
        <v>10.61122439522412</v>
      </c>
      <c r="BN28" s="3" t="n">
        <v>0</v>
      </c>
      <c r="BO28" s="3" t="n">
        <v>0</v>
      </c>
      <c r="BP28" s="3" t="n">
        <v>0</v>
      </c>
    </row>
    <row r="29">
      <c r="A29" s="3" t="inlineStr">
        <is>
          <t>EGY.distn.bsh.dec.ove.p25.4</t>
        </is>
      </c>
      <c r="B29" s="3" t="inlineStr">
        <is>
          <t>EGY</t>
        </is>
      </c>
      <c r="C29" s="3" t="n">
        <v>2017</v>
      </c>
      <c r="D29" s="3" t="inlineStr">
        <is>
          <t>Overall</t>
        </is>
      </c>
      <c r="E29" s="3" t="inlineStr">
        <is>
          <t>Deciles</t>
        </is>
      </c>
      <c r="F29" s="3" t="inlineStr">
        <is>
          <t>p25</t>
        </is>
      </c>
      <c r="G29" s="3" t="n">
        <v>4</v>
      </c>
      <c r="H29" s="3" t="n">
        <v>0.7895708339344103</v>
      </c>
      <c r="I29" s="3" t="n">
        <v>0</v>
      </c>
      <c r="J29" s="3" t="n">
        <v>2.904817460352627</v>
      </c>
      <c r="K29" s="3" t="n">
        <v>3.520633167704103</v>
      </c>
      <c r="L29" s="3" t="n">
        <v>0</v>
      </c>
      <c r="M29" s="3" t="n">
        <v>1.317280205228957</v>
      </c>
      <c r="N29" s="3" t="n">
        <v>0</v>
      </c>
      <c r="O29" s="3" t="n">
        <v>0</v>
      </c>
      <c r="P29" s="3" t="n">
        <v>0</v>
      </c>
      <c r="Q29" s="3" t="n">
        <v>2.099257719057613</v>
      </c>
      <c r="R29" s="3" t="n">
        <v>51.8229425199202</v>
      </c>
      <c r="S29" s="3" t="n">
        <v>0</v>
      </c>
      <c r="T29" s="3" t="n">
        <v>0</v>
      </c>
      <c r="U29" s="3" t="n">
        <v>0.935561358100228</v>
      </c>
      <c r="V29" s="3" t="n">
        <v>1.710871222691541</v>
      </c>
      <c r="W29" s="3" t="n">
        <v>0</v>
      </c>
      <c r="X29" s="3" t="n">
        <v>1.042274527202517</v>
      </c>
      <c r="Y29" s="3" t="n">
        <v>0</v>
      </c>
      <c r="Z29" s="3" t="n">
        <v>0</v>
      </c>
      <c r="AA29" s="3" t="n">
        <v>0</v>
      </c>
      <c r="AB29" s="3" t="n">
        <v>0.8144315808067014</v>
      </c>
      <c r="AC29" s="3" t="n">
        <v>1.704200550433507</v>
      </c>
      <c r="AD29" s="3" t="n">
        <v>4.277513156697587</v>
      </c>
      <c r="AE29" s="3" t="n">
        <v>0</v>
      </c>
      <c r="AF29" s="3" t="n">
        <v>2.31640929641127</v>
      </c>
      <c r="AG29" s="3" t="n">
        <v>3313.434190969352</v>
      </c>
      <c r="AH29" s="3" t="n">
        <v>6929.982516974473</v>
      </c>
      <c r="AI29" s="3" t="n">
        <v>7304.809714024882</v>
      </c>
      <c r="AJ29" s="3" t="n">
        <v>7890.572794539916</v>
      </c>
      <c r="AK29" s="3" t="n">
        <v>7859.56206051252</v>
      </c>
      <c r="AL29" s="3" t="n">
        <v>9512.749952893859</v>
      </c>
      <c r="AM29" s="3" t="n">
        <v>9496.864923165875</v>
      </c>
      <c r="AN29" s="3" t="n">
        <v>11227.85943453731</v>
      </c>
      <c r="AO29" s="3" t="n">
        <v>10720.43174863693</v>
      </c>
      <c r="AP29" s="3" t="n">
        <v>11801.67108498413</v>
      </c>
      <c r="AQ29" s="3" t="n">
        <v>12394.07300544725</v>
      </c>
      <c r="AR29" s="3" t="n">
        <v>13611.178301795</v>
      </c>
      <c r="AS29" s="3" t="n">
        <v>13418.02378191787</v>
      </c>
      <c r="AT29" s="3" t="n">
        <v>16728.89264163266</v>
      </c>
      <c r="AU29" s="3" t="n">
        <v>16044.51191506685</v>
      </c>
      <c r="AV29" s="3" t="n">
        <v>19380.11875195036</v>
      </c>
      <c r="AW29" s="3" t="n">
        <v>18143.50394922859</v>
      </c>
      <c r="AX29" s="3" t="n">
        <v>24722.48029189248</v>
      </c>
      <c r="AY29" s="3" t="n">
        <v>24533.12869656366</v>
      </c>
      <c r="AZ29" s="3" t="n">
        <v>62673.30187376515</v>
      </c>
      <c r="BA29" s="3" t="n">
        <v>8244.707520321681</v>
      </c>
      <c r="BB29" s="3" t="n">
        <v>9867798.8679602</v>
      </c>
      <c r="BC29" s="3" t="n">
        <v>0</v>
      </c>
      <c r="BD29" s="3" t="n">
        <v>0</v>
      </c>
      <c r="BE29" s="3" t="n">
        <v>110.9643664837208</v>
      </c>
      <c r="BF29" s="3" t="n">
        <v>54.3189376673491</v>
      </c>
      <c r="BG29" s="3" t="n">
        <v>76.43830768846342</v>
      </c>
      <c r="BH29" s="3" t="n">
        <v>96.1333616648879</v>
      </c>
      <c r="BI29" s="3" t="n">
        <v>113.3357503618084</v>
      </c>
      <c r="BJ29" s="3" t="n">
        <v>91.97871497534072</v>
      </c>
      <c r="BK29" s="3" t="n">
        <v>0</v>
      </c>
      <c r="BL29" s="3" t="n">
        <v>0</v>
      </c>
      <c r="BM29" s="3" t="n">
        <v>4.701960475736303</v>
      </c>
      <c r="BN29" s="3" t="n">
        <v>0</v>
      </c>
      <c r="BO29" s="3" t="n">
        <v>0</v>
      </c>
      <c r="BP29" s="3" t="n">
        <v>0</v>
      </c>
    </row>
    <row r="30">
      <c r="A30" s="3" t="inlineStr">
        <is>
          <t>EGY.distn.bsh.dec.ove.p25.5</t>
        </is>
      </c>
      <c r="B30" s="3" t="inlineStr">
        <is>
          <t>EGY</t>
        </is>
      </c>
      <c r="C30" s="3" t="n">
        <v>2017</v>
      </c>
      <c r="D30" s="3" t="inlineStr">
        <is>
          <t>Overall</t>
        </is>
      </c>
      <c r="E30" s="3" t="inlineStr">
        <is>
          <t>Deciles</t>
        </is>
      </c>
      <c r="F30" s="3" t="inlineStr">
        <is>
          <t>p25</t>
        </is>
      </c>
      <c r="G30" s="3" t="n">
        <v>5</v>
      </c>
      <c r="H30" s="3" t="n">
        <v>0.724148470350694</v>
      </c>
      <c r="I30" s="3" t="n">
        <v>0</v>
      </c>
      <c r="J30" s="3" t="n">
        <v>2.686897908057465</v>
      </c>
      <c r="K30" s="3" t="n">
        <v>3.713454849571226</v>
      </c>
      <c r="L30" s="3" t="n">
        <v>0</v>
      </c>
      <c r="M30" s="3" t="n">
        <v>1.381527057119826</v>
      </c>
      <c r="N30" s="3" t="n">
        <v>0</v>
      </c>
      <c r="O30" s="3" t="n">
        <v>0</v>
      </c>
      <c r="P30" s="3" t="n">
        <v>0</v>
      </c>
      <c r="Q30" s="3" t="n">
        <v>2.149403859994824</v>
      </c>
      <c r="R30" s="3" t="n">
        <v>50.14478053215102</v>
      </c>
      <c r="S30" s="3" t="n">
        <v>0</v>
      </c>
      <c r="T30" s="3" t="n">
        <v>0</v>
      </c>
      <c r="U30" s="3" t="n">
        <v>0.9455135355067555</v>
      </c>
      <c r="V30" s="3" t="n">
        <v>2.126590860336787</v>
      </c>
      <c r="W30" s="3" t="n">
        <v>0</v>
      </c>
      <c r="X30" s="3" t="n">
        <v>0.09023873716412217</v>
      </c>
      <c r="Y30" s="3" t="n">
        <v>0</v>
      </c>
      <c r="Z30" s="3" t="n">
        <v>0</v>
      </c>
      <c r="AA30" s="3" t="n">
        <v>0</v>
      </c>
      <c r="AB30" s="3" t="n">
        <v>0.7277733781768236</v>
      </c>
      <c r="AC30" s="3" t="n">
        <v>1.871027050688038</v>
      </c>
      <c r="AD30" s="3" t="n">
        <v>4.020071842408863</v>
      </c>
      <c r="AE30" s="3" t="n">
        <v>0</v>
      </c>
      <c r="AF30" s="3" t="n">
        <v>2.118504483427194</v>
      </c>
      <c r="AG30" s="3" t="n">
        <v>3235.179471991237</v>
      </c>
      <c r="AH30" s="3" t="n">
        <v>7585.346798396148</v>
      </c>
      <c r="AI30" s="3" t="n">
        <v>7228.908416353103</v>
      </c>
      <c r="AJ30" s="3" t="n">
        <v>8481.838267015375</v>
      </c>
      <c r="AK30" s="3" t="n">
        <v>9074.010623821589</v>
      </c>
      <c r="AL30" s="3" t="n">
        <v>10345.97048569437</v>
      </c>
      <c r="AM30" s="3" t="n">
        <v>10145.80760007417</v>
      </c>
      <c r="AN30" s="3" t="n">
        <v>11160.51640138992</v>
      </c>
      <c r="AO30" s="3" t="n">
        <v>10365.46600071054</v>
      </c>
      <c r="AP30" s="3" t="n">
        <v>12043.46755295539</v>
      </c>
      <c r="AQ30" s="3" t="n">
        <v>13057.7674330368</v>
      </c>
      <c r="AR30" s="3" t="n">
        <v>14126.67895145262</v>
      </c>
      <c r="AS30" s="3" t="n">
        <v>12950.7601565546</v>
      </c>
      <c r="AT30" s="3" t="n">
        <v>16042.34041391772</v>
      </c>
      <c r="AU30" s="3" t="n">
        <v>16128.48487000758</v>
      </c>
      <c r="AV30" s="3" t="n">
        <v>18572.48063557599</v>
      </c>
      <c r="AW30" s="3" t="n">
        <v>17487.86671631004</v>
      </c>
      <c r="AX30" s="3" t="n">
        <v>22639.5759758905</v>
      </c>
      <c r="AY30" s="3" t="n">
        <v>22406.46185507933</v>
      </c>
      <c r="AZ30" s="3" t="n">
        <v>64558.25468284312</v>
      </c>
      <c r="BA30" s="3" t="n">
        <v>10428.08358267519</v>
      </c>
      <c r="BB30" s="3" t="n">
        <v>10807106.68925031</v>
      </c>
      <c r="BC30" s="3" t="n">
        <v>0</v>
      </c>
      <c r="BD30" s="3" t="n">
        <v>0</v>
      </c>
      <c r="BE30" s="3" t="n">
        <v>106.4201014143518</v>
      </c>
      <c r="BF30" s="3" t="n">
        <v>58.4453576056946</v>
      </c>
      <c r="BG30" s="3" t="n">
        <v>77.77490754440724</v>
      </c>
      <c r="BH30" s="3" t="n">
        <v>105.1010298204282</v>
      </c>
      <c r="BI30" s="3" t="n">
        <v>109.0295298717768</v>
      </c>
      <c r="BJ30" s="3" t="n">
        <v>86.57075740892883</v>
      </c>
      <c r="BK30" s="3" t="n">
        <v>0</v>
      </c>
      <c r="BL30" s="3" t="n">
        <v>0</v>
      </c>
      <c r="BM30" s="3" t="n">
        <v>0.6447202418866023</v>
      </c>
      <c r="BN30" s="3" t="n">
        <v>0</v>
      </c>
      <c r="BO30" s="3" t="n">
        <v>0</v>
      </c>
      <c r="BP30" s="3" t="n">
        <v>0</v>
      </c>
    </row>
    <row r="31">
      <c r="A31" s="3" t="inlineStr">
        <is>
          <t>EGY.distn.bsh.dec.ove.p25.6</t>
        </is>
      </c>
      <c r="B31" s="3" t="inlineStr">
        <is>
          <t>EGY</t>
        </is>
      </c>
      <c r="C31" s="3" t="n">
        <v>2017</v>
      </c>
      <c r="D31" s="3" t="inlineStr">
        <is>
          <t>Overall</t>
        </is>
      </c>
      <c r="E31" s="3" t="inlineStr">
        <is>
          <t>Deciles</t>
        </is>
      </c>
      <c r="F31" s="3" t="inlineStr">
        <is>
          <t>p25</t>
        </is>
      </c>
      <c r="G31" s="3" t="n">
        <v>6</v>
      </c>
      <c r="H31" s="3" t="n">
        <v>0.7428163239385113</v>
      </c>
      <c r="I31" s="3" t="n">
        <v>0</v>
      </c>
      <c r="J31" s="3" t="n">
        <v>2.83132099516465</v>
      </c>
      <c r="K31" s="3" t="n">
        <v>3.217270951000853</v>
      </c>
      <c r="L31" s="3" t="n">
        <v>0</v>
      </c>
      <c r="M31" s="3" t="n">
        <v>1.536032825736565</v>
      </c>
      <c r="N31" s="3" t="n">
        <v>0</v>
      </c>
      <c r="O31" s="3" t="n">
        <v>0</v>
      </c>
      <c r="P31" s="3" t="n">
        <v>0</v>
      </c>
      <c r="Q31" s="3" t="n">
        <v>2.201837566254399</v>
      </c>
      <c r="R31" s="3" t="n">
        <v>45.49444209026692</v>
      </c>
      <c r="S31" s="3" t="n">
        <v>0</v>
      </c>
      <c r="T31" s="3" t="n">
        <v>0</v>
      </c>
      <c r="U31" s="3" t="n">
        <v>1.174193812168266</v>
      </c>
      <c r="V31" s="3" t="n">
        <v>1.959083777828956</v>
      </c>
      <c r="W31" s="3" t="n">
        <v>0</v>
      </c>
      <c r="X31" s="3" t="n">
        <v>0</v>
      </c>
      <c r="Y31" s="3" t="n">
        <v>0</v>
      </c>
      <c r="Z31" s="3" t="n">
        <v>0</v>
      </c>
      <c r="AA31" s="3" t="n">
        <v>0</v>
      </c>
      <c r="AB31" s="3" t="n">
        <v>0.6206795448121385</v>
      </c>
      <c r="AC31" s="3" t="n">
        <v>2.120962583539391</v>
      </c>
      <c r="AD31" s="3" t="n">
        <v>3.758482662295887</v>
      </c>
      <c r="AE31" s="3" t="n">
        <v>0</v>
      </c>
      <c r="AF31" s="3" t="n">
        <v>2.186631254514301</v>
      </c>
      <c r="AG31" s="3" t="n">
        <v>2959.636871510101</v>
      </c>
      <c r="AH31" s="3" t="n">
        <v>6924.029322468986</v>
      </c>
      <c r="AI31" s="3" t="n">
        <v>7019.286558989325</v>
      </c>
      <c r="AJ31" s="3" t="n">
        <v>8269.913742294015</v>
      </c>
      <c r="AK31" s="3" t="n">
        <v>8463.420291468334</v>
      </c>
      <c r="AL31" s="3" t="n">
        <v>8990.018930963239</v>
      </c>
      <c r="AM31" s="3" t="n">
        <v>9189.639462559739</v>
      </c>
      <c r="AN31" s="3" t="n">
        <v>11210.99914416686</v>
      </c>
      <c r="AO31" s="3" t="n">
        <v>11509.7073170707</v>
      </c>
      <c r="AP31" s="3" t="n">
        <v>11206.68202455715</v>
      </c>
      <c r="AQ31" s="3" t="n">
        <v>12921.99080005712</v>
      </c>
      <c r="AR31" s="3" t="n">
        <v>12848.97406286754</v>
      </c>
      <c r="AS31" s="3" t="n">
        <v>13268.5015116914</v>
      </c>
      <c r="AT31" s="3" t="n">
        <v>14593.89048272048</v>
      </c>
      <c r="AU31" s="3" t="n">
        <v>16357.13261192814</v>
      </c>
      <c r="AV31" s="3" t="n">
        <v>18011.56932188421</v>
      </c>
      <c r="AW31" s="3" t="n">
        <v>17109.38906664851</v>
      </c>
      <c r="AX31" s="3" t="n">
        <v>23962.20185974278</v>
      </c>
      <c r="AY31" s="3" t="n">
        <v>22596.6093627618</v>
      </c>
      <c r="AZ31" s="3" t="n">
        <v>62924.87189891136</v>
      </c>
      <c r="BA31" s="3" t="n">
        <v>11340.27944085063</v>
      </c>
      <c r="BB31" s="3" t="n">
        <v>9811215.710097795</v>
      </c>
      <c r="BC31" s="3" t="n">
        <v>0</v>
      </c>
      <c r="BD31" s="3" t="n">
        <v>0</v>
      </c>
      <c r="BE31" s="3" t="n">
        <v>113.0988849585036</v>
      </c>
      <c r="BF31" s="3" t="n">
        <v>60.60996393332604</v>
      </c>
      <c r="BG31" s="3" t="n">
        <v>78.83938897991133</v>
      </c>
      <c r="BH31" s="3" t="n">
        <v>97.80327695513344</v>
      </c>
      <c r="BI31" s="3" t="n">
        <v>98.59969683543795</v>
      </c>
      <c r="BJ31" s="3" t="n">
        <v>95.56792045223054</v>
      </c>
      <c r="BK31" s="3" t="n">
        <v>0</v>
      </c>
      <c r="BL31" s="3" t="n">
        <v>0</v>
      </c>
      <c r="BM31" s="3" t="n">
        <v>0.1646549320909727</v>
      </c>
      <c r="BN31" s="3" t="n">
        <v>0</v>
      </c>
      <c r="BO31" s="3" t="n">
        <v>0</v>
      </c>
      <c r="BP31" s="3" t="n">
        <v>0</v>
      </c>
    </row>
    <row r="32">
      <c r="A32" s="3" t="inlineStr">
        <is>
          <t>EGY.distn.bsh.dec.ove.p25.7</t>
        </is>
      </c>
      <c r="B32" s="3" t="inlineStr">
        <is>
          <t>EGY</t>
        </is>
      </c>
      <c r="C32" s="3" t="n">
        <v>2017</v>
      </c>
      <c r="D32" s="3" t="inlineStr">
        <is>
          <t>Overall</t>
        </is>
      </c>
      <c r="E32" s="3" t="inlineStr">
        <is>
          <t>Deciles</t>
        </is>
      </c>
      <c r="F32" s="3" t="inlineStr">
        <is>
          <t>p25</t>
        </is>
      </c>
      <c r="G32" s="3" t="n">
        <v>7</v>
      </c>
      <c r="H32" s="3" t="n">
        <v>0.6854601993022966</v>
      </c>
      <c r="I32" s="3" t="n">
        <v>0</v>
      </c>
      <c r="J32" s="3" t="n">
        <v>2.782225745574843</v>
      </c>
      <c r="K32" s="3" t="n">
        <v>2.467488083195275</v>
      </c>
      <c r="L32" s="3" t="n">
        <v>0</v>
      </c>
      <c r="M32" s="3" t="n">
        <v>1.685208108020052</v>
      </c>
      <c r="N32" s="3" t="n">
        <v>0</v>
      </c>
      <c r="O32" s="3" t="n">
        <v>0</v>
      </c>
      <c r="P32" s="3" t="n">
        <v>0</v>
      </c>
      <c r="Q32" s="3" t="n">
        <v>2.233457537859086</v>
      </c>
      <c r="R32" s="3" t="n">
        <v>49.3235419669798</v>
      </c>
      <c r="S32" s="3" t="n">
        <v>0</v>
      </c>
      <c r="T32" s="3" t="n">
        <v>0</v>
      </c>
      <c r="U32" s="3" t="n">
        <v>1.198977719392209</v>
      </c>
      <c r="V32" s="3" t="n">
        <v>1.675178938375683</v>
      </c>
      <c r="W32" s="3" t="n">
        <v>0</v>
      </c>
      <c r="X32" s="3" t="n">
        <v>0</v>
      </c>
      <c r="Y32" s="3" t="n">
        <v>0</v>
      </c>
      <c r="Z32" s="3" t="n">
        <v>0</v>
      </c>
      <c r="AA32" s="3" t="n">
        <v>0</v>
      </c>
      <c r="AB32" s="3" t="n">
        <v>0.3686818791296761</v>
      </c>
      <c r="AC32" s="3" t="n">
        <v>2.097053536241082</v>
      </c>
      <c r="AD32" s="3" t="n">
        <v>3.61598032032364</v>
      </c>
      <c r="AE32" s="3" t="n">
        <v>0</v>
      </c>
      <c r="AF32" s="3" t="n">
        <v>2.472224942190044</v>
      </c>
      <c r="AG32" s="3" t="n">
        <v>3345.203631162811</v>
      </c>
      <c r="AH32" s="3" t="n">
        <v>7582.945591900666</v>
      </c>
      <c r="AI32" s="3" t="n">
        <v>6991.856112647992</v>
      </c>
      <c r="AJ32" s="3" t="n">
        <v>9075.740983242747</v>
      </c>
      <c r="AK32" s="3" t="n">
        <v>8153.310982914137</v>
      </c>
      <c r="AL32" s="3" t="n">
        <v>9690.722537839989</v>
      </c>
      <c r="AM32" s="3" t="n">
        <v>9493.847049384516</v>
      </c>
      <c r="AN32" s="3" t="n">
        <v>11588.88220296275</v>
      </c>
      <c r="AO32" s="3" t="n">
        <v>10979.95800593571</v>
      </c>
      <c r="AP32" s="3" t="n">
        <v>11577.56033645734</v>
      </c>
      <c r="AQ32" s="3" t="n">
        <v>12230.43417541896</v>
      </c>
      <c r="AR32" s="3" t="n">
        <v>13816.61795051937</v>
      </c>
      <c r="AS32" s="3" t="n">
        <v>13827.84064075647</v>
      </c>
      <c r="AT32" s="3" t="n">
        <v>15112.12680192632</v>
      </c>
      <c r="AU32" s="3" t="n">
        <v>16118.40979198297</v>
      </c>
      <c r="AV32" s="3" t="n">
        <v>17873.12822303431</v>
      </c>
      <c r="AW32" s="3" t="n">
        <v>17806.14928011487</v>
      </c>
      <c r="AX32" s="3" t="n">
        <v>24137.65590644816</v>
      </c>
      <c r="AY32" s="3" t="n">
        <v>22717.82810477164</v>
      </c>
      <c r="AZ32" s="3" t="n">
        <v>63681.85282413418</v>
      </c>
      <c r="BA32" s="3" t="n">
        <v>12703.36024065538</v>
      </c>
      <c r="BB32" s="3" t="n">
        <v>10836167.46523402</v>
      </c>
      <c r="BC32" s="3" t="n">
        <v>0</v>
      </c>
      <c r="BD32" s="3" t="n">
        <v>0</v>
      </c>
      <c r="BE32" s="3" t="n">
        <v>111.2148579341695</v>
      </c>
      <c r="BF32" s="3" t="n">
        <v>57.75265683682854</v>
      </c>
      <c r="BG32" s="3" t="n">
        <v>79.99013823547298</v>
      </c>
      <c r="BH32" s="3" t="n">
        <v>99.49116602470286</v>
      </c>
      <c r="BI32" s="3" t="n">
        <v>104.9257316542461</v>
      </c>
      <c r="BJ32" s="3" t="n">
        <v>98.43459708208763</v>
      </c>
      <c r="BK32" s="3" t="n">
        <v>0</v>
      </c>
      <c r="BL32" s="3" t="n">
        <v>0</v>
      </c>
      <c r="BM32" s="3" t="n">
        <v>0.03085314422456015</v>
      </c>
      <c r="BN32" s="3" t="n">
        <v>0</v>
      </c>
      <c r="BO32" s="3" t="n">
        <v>0</v>
      </c>
      <c r="BP32" s="3" t="n">
        <v>0</v>
      </c>
    </row>
    <row r="33">
      <c r="A33" s="3" t="inlineStr">
        <is>
          <t>EGY.distn.bsh.dec.ove.p25.8</t>
        </is>
      </c>
      <c r="B33" s="3" t="inlineStr">
        <is>
          <t>EGY</t>
        </is>
      </c>
      <c r="C33" s="3" t="n">
        <v>2017</v>
      </c>
      <c r="D33" s="3" t="inlineStr">
        <is>
          <t>Overall</t>
        </is>
      </c>
      <c r="E33" s="3" t="inlineStr">
        <is>
          <t>Deciles</t>
        </is>
      </c>
      <c r="F33" s="3" t="inlineStr">
        <is>
          <t>p25</t>
        </is>
      </c>
      <c r="G33" s="3" t="n">
        <v>8</v>
      </c>
      <c r="H33" s="3" t="n">
        <v>0.6413352766935342</v>
      </c>
      <c r="I33" s="3" t="n">
        <v>0</v>
      </c>
      <c r="J33" s="3" t="n">
        <v>2.907442187121051</v>
      </c>
      <c r="K33" s="3" t="n">
        <v>2.398799463715378</v>
      </c>
      <c r="L33" s="3" t="n">
        <v>0</v>
      </c>
      <c r="M33" s="3" t="n">
        <v>1.567759941164959</v>
      </c>
      <c r="N33" s="3" t="n">
        <v>0</v>
      </c>
      <c r="O33" s="3" t="n">
        <v>0</v>
      </c>
      <c r="P33" s="3" t="n">
        <v>0</v>
      </c>
      <c r="Q33" s="3" t="n">
        <v>2.171701717837072</v>
      </c>
      <c r="R33" s="3" t="n">
        <v>43.23403840864649</v>
      </c>
      <c r="S33" s="3" t="n">
        <v>0</v>
      </c>
      <c r="T33" s="3" t="n">
        <v>0</v>
      </c>
      <c r="U33" s="3" t="n">
        <v>1.510176212244082</v>
      </c>
      <c r="V33" s="3" t="n">
        <v>2.062040646173116</v>
      </c>
      <c r="W33" s="3" t="n">
        <v>0</v>
      </c>
      <c r="X33" s="3" t="n">
        <v>0</v>
      </c>
      <c r="Y33" s="3" t="n">
        <v>0</v>
      </c>
      <c r="Z33" s="3" t="n">
        <v>0</v>
      </c>
      <c r="AA33" s="3" t="n">
        <v>0</v>
      </c>
      <c r="AB33" s="3" t="n">
        <v>0.2734037000294436</v>
      </c>
      <c r="AC33" s="3" t="n">
        <v>2.218583710681239</v>
      </c>
      <c r="AD33" s="3" t="n">
        <v>3.33337777160185</v>
      </c>
      <c r="AE33" s="3" t="n">
        <v>0</v>
      </c>
      <c r="AF33" s="3" t="n">
        <v>2.286124381440388</v>
      </c>
      <c r="AG33" s="3" t="n">
        <v>3233.701542059845</v>
      </c>
      <c r="AH33" s="3" t="n">
        <v>7535.128164593172</v>
      </c>
      <c r="AI33" s="3" t="n">
        <v>7574.221806137539</v>
      </c>
      <c r="AJ33" s="3" t="n">
        <v>8845.454096824624</v>
      </c>
      <c r="AK33" s="3" t="n">
        <v>8571.40908595494</v>
      </c>
      <c r="AL33" s="3" t="n">
        <v>9418.305847617621</v>
      </c>
      <c r="AM33" s="3" t="n">
        <v>9739.244519393587</v>
      </c>
      <c r="AN33" s="3" t="n">
        <v>11421.86041682789</v>
      </c>
      <c r="AO33" s="3" t="n">
        <v>10190.69949758511</v>
      </c>
      <c r="AP33" s="3" t="n">
        <v>12979.69629629699</v>
      </c>
      <c r="AQ33" s="3" t="n">
        <v>12672.70606252681</v>
      </c>
      <c r="AR33" s="3" t="n">
        <v>13285.55115531203</v>
      </c>
      <c r="AS33" s="3" t="n">
        <v>12670.43574327254</v>
      </c>
      <c r="AT33" s="3" t="n">
        <v>16706.31593637033</v>
      </c>
      <c r="AU33" s="3" t="n">
        <v>16266.13663289546</v>
      </c>
      <c r="AV33" s="3" t="n">
        <v>18957.09070548366</v>
      </c>
      <c r="AW33" s="3" t="n">
        <v>17600.63655925714</v>
      </c>
      <c r="AX33" s="3" t="n">
        <v>24424.97631927133</v>
      </c>
      <c r="AY33" s="3" t="n">
        <v>23221.87419640068</v>
      </c>
      <c r="AZ33" s="3" t="n">
        <v>68040.98435468883</v>
      </c>
      <c r="BA33" s="3" t="n">
        <v>14517.08605908291</v>
      </c>
      <c r="BB33" s="3" t="n">
        <v>10838842.36050261</v>
      </c>
      <c r="BC33" s="3" t="n">
        <v>0</v>
      </c>
      <c r="BD33" s="3" t="n">
        <v>0</v>
      </c>
      <c r="BE33" s="3" t="n">
        <v>100.9543141951192</v>
      </c>
      <c r="BF33" s="3" t="n">
        <v>54.062746934491</v>
      </c>
      <c r="BG33" s="3" t="n">
        <v>84.21425912914187</v>
      </c>
      <c r="BH33" s="3" t="n">
        <v>107.6563045504283</v>
      </c>
      <c r="BI33" s="3" t="n">
        <v>104.7129240029337</v>
      </c>
      <c r="BJ33" s="3" t="n">
        <v>86.37252384722794</v>
      </c>
      <c r="BK33" s="3" t="n">
        <v>0</v>
      </c>
      <c r="BL33" s="3" t="n">
        <v>0</v>
      </c>
      <c r="BM33" s="3" t="n">
        <v>0.01806691306234052</v>
      </c>
      <c r="BN33" s="3" t="n">
        <v>0</v>
      </c>
      <c r="BO33" s="3" t="n">
        <v>0</v>
      </c>
      <c r="BP33" s="3" t="n">
        <v>0</v>
      </c>
    </row>
    <row r="34">
      <c r="A34" s="3" t="inlineStr">
        <is>
          <t>EGY.distn.bsh.dec.ove.p25.9</t>
        </is>
      </c>
      <c r="B34" s="3" t="inlineStr">
        <is>
          <t>EGY</t>
        </is>
      </c>
      <c r="C34" s="3" t="n">
        <v>2017</v>
      </c>
      <c r="D34" s="3" t="inlineStr">
        <is>
          <t>Overall</t>
        </is>
      </c>
      <c r="E34" s="3" t="inlineStr">
        <is>
          <t>Deciles</t>
        </is>
      </c>
      <c r="F34" s="3" t="inlineStr">
        <is>
          <t>p25</t>
        </is>
      </c>
      <c r="G34" s="3" t="n">
        <v>9</v>
      </c>
      <c r="H34" s="3" t="n">
        <v>0.5859557557588656</v>
      </c>
      <c r="I34" s="3" t="n">
        <v>0</v>
      </c>
      <c r="J34" s="3" t="n">
        <v>2.524649508132838</v>
      </c>
      <c r="K34" s="3" t="n">
        <v>1.819554373597082</v>
      </c>
      <c r="L34" s="3" t="n">
        <v>0</v>
      </c>
      <c r="M34" s="3" t="n">
        <v>1.383126338415268</v>
      </c>
      <c r="N34" s="3" t="n">
        <v>0</v>
      </c>
      <c r="O34" s="3" t="n">
        <v>0</v>
      </c>
      <c r="P34" s="3" t="n">
        <v>0</v>
      </c>
      <c r="Q34" s="3" t="n">
        <v>2.261585656781844</v>
      </c>
      <c r="R34" s="3" t="n">
        <v>48.04453908416791</v>
      </c>
      <c r="S34" s="3" t="n">
        <v>0</v>
      </c>
      <c r="T34" s="3" t="n">
        <v>0</v>
      </c>
      <c r="U34" s="3" t="n">
        <v>1.210491591825971</v>
      </c>
      <c r="V34" s="3" t="n">
        <v>2.061509664914129</v>
      </c>
      <c r="W34" s="3" t="n">
        <v>0</v>
      </c>
      <c r="X34" s="3" t="n">
        <v>0</v>
      </c>
      <c r="Y34" s="3" t="n">
        <v>0</v>
      </c>
      <c r="Z34" s="3" t="n">
        <v>0</v>
      </c>
      <c r="AA34" s="3" t="n">
        <v>0</v>
      </c>
      <c r="AB34" s="3" t="n">
        <v>0.1842575051782431</v>
      </c>
      <c r="AC34" s="3" t="n">
        <v>2.237848953681964</v>
      </c>
      <c r="AD34" s="3" t="n">
        <v>2.925487738346656</v>
      </c>
      <c r="AE34" s="3" t="n">
        <v>0</v>
      </c>
      <c r="AF34" s="3" t="n">
        <v>2.163074390015905</v>
      </c>
      <c r="AG34" s="3" t="n">
        <v>3271.591875854449</v>
      </c>
      <c r="AH34" s="3" t="n">
        <v>7530.072818813919</v>
      </c>
      <c r="AI34" s="3" t="n">
        <v>6909.308631665614</v>
      </c>
      <c r="AJ34" s="3" t="n">
        <v>8815.462038343161</v>
      </c>
      <c r="AK34" s="3" t="n">
        <v>7926.976041367942</v>
      </c>
      <c r="AL34" s="3" t="n">
        <v>9367.666873932958</v>
      </c>
      <c r="AM34" s="3" t="n">
        <v>10025.04811630674</v>
      </c>
      <c r="AN34" s="3" t="n">
        <v>10953.95915617881</v>
      </c>
      <c r="AO34" s="3" t="n">
        <v>10649.3594171244</v>
      </c>
      <c r="AP34" s="3" t="n">
        <v>12419.3511274213</v>
      </c>
      <c r="AQ34" s="3" t="n">
        <v>12812.77316872329</v>
      </c>
      <c r="AR34" s="3" t="n">
        <v>14243.55376077919</v>
      </c>
      <c r="AS34" s="3" t="n">
        <v>14244.13929107261</v>
      </c>
      <c r="AT34" s="3" t="n">
        <v>16323.34814864534</v>
      </c>
      <c r="AU34" s="3" t="n">
        <v>16699.26455663668</v>
      </c>
      <c r="AV34" s="3" t="n">
        <v>17722.4259457993</v>
      </c>
      <c r="AW34" s="3" t="n">
        <v>17740.19525295445</v>
      </c>
      <c r="AX34" s="3" t="n">
        <v>21537.44760768932</v>
      </c>
      <c r="AY34" s="3" t="n">
        <v>21883.67739240314</v>
      </c>
      <c r="AZ34" s="3" t="n">
        <v>63765.63366002738</v>
      </c>
      <c r="BA34" s="3" t="n">
        <v>15148.76500025217</v>
      </c>
      <c r="BB34" s="3" t="n">
        <v>10877871.98273869</v>
      </c>
      <c r="BC34" s="3" t="n">
        <v>0</v>
      </c>
      <c r="BD34" s="3" t="n">
        <v>0</v>
      </c>
      <c r="BE34" s="3" t="n">
        <v>110.6253173126798</v>
      </c>
      <c r="BF34" s="3" t="n">
        <v>55.78765682551104</v>
      </c>
      <c r="BG34" s="3" t="n">
        <v>85.66184864685931</v>
      </c>
      <c r="BH34" s="3" t="n">
        <v>106.3611759702172</v>
      </c>
      <c r="BI34" s="3" t="n">
        <v>112.0121313092442</v>
      </c>
      <c r="BJ34" s="3" t="n">
        <v>99.59187807853687</v>
      </c>
      <c r="BK34" s="3" t="n">
        <v>0</v>
      </c>
      <c r="BL34" s="3" t="n">
        <v>0</v>
      </c>
      <c r="BM34" s="3" t="n">
        <v>0</v>
      </c>
      <c r="BN34" s="3" t="n">
        <v>0</v>
      </c>
      <c r="BO34" s="3" t="n">
        <v>0</v>
      </c>
      <c r="BP34" s="3" t="n">
        <v>0</v>
      </c>
    </row>
    <row r="35">
      <c r="A35" s="3" t="inlineStr">
        <is>
          <t>EGY.distn.bsh.dec.ove.p25.10</t>
        </is>
      </c>
      <c r="B35" s="3" t="inlineStr">
        <is>
          <t>EGY</t>
        </is>
      </c>
      <c r="C35" s="3" t="n">
        <v>2017</v>
      </c>
      <c r="D35" s="3" t="inlineStr">
        <is>
          <t>Overall</t>
        </is>
      </c>
      <c r="E35" s="3" t="inlineStr">
        <is>
          <t>Deciles</t>
        </is>
      </c>
      <c r="F35" s="3" t="inlineStr">
        <is>
          <t>p25</t>
        </is>
      </c>
      <c r="G35" s="3" t="n">
        <v>10</v>
      </c>
      <c r="H35" s="3" t="n">
        <v>0.5357704071455348</v>
      </c>
      <c r="I35" s="3" t="n">
        <v>0</v>
      </c>
      <c r="J35" s="3" t="n">
        <v>2.653628305374431</v>
      </c>
      <c r="K35" s="3" t="n">
        <v>1.270298564763905</v>
      </c>
      <c r="L35" s="3" t="n">
        <v>0</v>
      </c>
      <c r="M35" s="3" t="n">
        <v>1.482279153565742</v>
      </c>
      <c r="N35" s="3" t="n">
        <v>0</v>
      </c>
      <c r="O35" s="3" t="n">
        <v>0</v>
      </c>
      <c r="P35" s="3" t="n">
        <v>0</v>
      </c>
      <c r="Q35" s="3" t="n">
        <v>2.244509907504375</v>
      </c>
      <c r="R35" s="3" t="n">
        <v>45.38613669088227</v>
      </c>
      <c r="S35" s="3" t="n">
        <v>0</v>
      </c>
      <c r="T35" s="3" t="n">
        <v>0</v>
      </c>
      <c r="U35" s="3" t="n">
        <v>1.475067940883683</v>
      </c>
      <c r="V35" s="3" t="n">
        <v>2.002567798816307</v>
      </c>
      <c r="W35" s="3" t="n">
        <v>0</v>
      </c>
      <c r="X35" s="3" t="n">
        <v>0</v>
      </c>
      <c r="Y35" s="3" t="n">
        <v>0</v>
      </c>
      <c r="Z35" s="3" t="n">
        <v>0</v>
      </c>
      <c r="AA35" s="3" t="n">
        <v>0</v>
      </c>
      <c r="AB35" s="3" t="n">
        <v>0.147702124356621</v>
      </c>
      <c r="AC35" s="3" t="n">
        <v>2.406791301560946</v>
      </c>
      <c r="AD35" s="3" t="n">
        <v>2.470516337137194</v>
      </c>
      <c r="AE35" s="3" t="n">
        <v>0</v>
      </c>
      <c r="AF35" s="3" t="n">
        <v>1.980328750598723</v>
      </c>
      <c r="AG35" s="3" t="n">
        <v>3169.97964894173</v>
      </c>
      <c r="AH35" s="3" t="n">
        <v>6629.809653308901</v>
      </c>
      <c r="AI35" s="3" t="n">
        <v>6733.687517160318</v>
      </c>
      <c r="AJ35" s="3" t="n">
        <v>9082.738911860317</v>
      </c>
      <c r="AK35" s="3" t="n">
        <v>8780.489272624431</v>
      </c>
      <c r="AL35" s="3" t="n">
        <v>10105.73544657059</v>
      </c>
      <c r="AM35" s="3" t="n">
        <v>10081.28589602717</v>
      </c>
      <c r="AN35" s="3" t="n">
        <v>10710.36441420472</v>
      </c>
      <c r="AO35" s="3" t="n">
        <v>10817.1492715857</v>
      </c>
      <c r="AP35" s="3" t="n">
        <v>12964.09903797559</v>
      </c>
      <c r="AQ35" s="3" t="n">
        <v>12225.09651267126</v>
      </c>
      <c r="AR35" s="3" t="n">
        <v>14348.60845942848</v>
      </c>
      <c r="AS35" s="3" t="n">
        <v>12666.83573773248</v>
      </c>
      <c r="AT35" s="3" t="n">
        <v>15687.38278552048</v>
      </c>
      <c r="AU35" s="3" t="n">
        <v>15875.34716418103</v>
      </c>
      <c r="AV35" s="3" t="n">
        <v>17241.78839739268</v>
      </c>
      <c r="AW35" s="3" t="n">
        <v>18090.23638550148</v>
      </c>
      <c r="AX35" s="3" t="n">
        <v>23956.92031497683</v>
      </c>
      <c r="AY35" s="3" t="n">
        <v>22715.83771554882</v>
      </c>
      <c r="AZ35" s="3" t="n">
        <v>61570.62837255235</v>
      </c>
      <c r="BA35" s="3" t="n">
        <v>21569.56983444604</v>
      </c>
      <c r="BB35" s="3" t="n">
        <v>11204486.8522335</v>
      </c>
      <c r="BC35" s="3" t="n">
        <v>0</v>
      </c>
      <c r="BD35" s="3" t="n">
        <v>0</v>
      </c>
      <c r="BE35" s="3" t="n">
        <v>108.6832845183948</v>
      </c>
      <c r="BF35" s="3" t="n">
        <v>50.43787732183119</v>
      </c>
      <c r="BG35" s="3" t="n">
        <v>96.14004190331137</v>
      </c>
      <c r="BH35" s="3" t="n">
        <v>99.39391363918941</v>
      </c>
      <c r="BI35" s="3" t="n">
        <v>97.85833461715345</v>
      </c>
      <c r="BJ35" s="3" t="n">
        <v>93.49512359790978</v>
      </c>
      <c r="BK35" s="3" t="n">
        <v>0</v>
      </c>
      <c r="BL35" s="3" t="n">
        <v>0</v>
      </c>
      <c r="BM35" s="3" t="n">
        <v>0</v>
      </c>
      <c r="BN35" s="3" t="n">
        <v>0</v>
      </c>
      <c r="BO35" s="3" t="n">
        <v>0</v>
      </c>
      <c r="BP35" s="3" t="n">
        <v>0</v>
      </c>
    </row>
    <row r="36">
      <c r="A36" s="3" t="inlineStr">
        <is>
          <t>EGY.distn.bsh.bkt.ove.p25.9999</t>
        </is>
      </c>
      <c r="B36" s="3" t="inlineStr">
        <is>
          <t>EGY</t>
        </is>
      </c>
      <c r="C36" s="3" t="n">
        <v>2017</v>
      </c>
      <c r="D36" s="3" t="inlineStr">
        <is>
          <t>Overall</t>
        </is>
      </c>
      <c r="E36" s="3" t="inlineStr">
        <is>
          <t>Basket</t>
        </is>
      </c>
      <c r="F36" s="3" t="inlineStr">
        <is>
          <t>p25</t>
        </is>
      </c>
      <c r="G36" s="3" t="n">
        <v>9999</v>
      </c>
      <c r="H36" s="3" t="n">
        <v>0.6281572204998236</v>
      </c>
      <c r="I36" s="3" t="n">
        <v>0</v>
      </c>
      <c r="J36" s="3" t="n">
        <v>2.74358369986596</v>
      </c>
      <c r="K36" s="3" t="n">
        <v>2.514372630107833</v>
      </c>
      <c r="L36" s="3" t="n">
        <v>0</v>
      </c>
      <c r="M36" s="3" t="n">
        <v>1.313504703246164</v>
      </c>
      <c r="N36" s="3" t="n">
        <v>0</v>
      </c>
      <c r="O36" s="3" t="n">
        <v>0</v>
      </c>
      <c r="P36" s="3" t="n">
        <v>0</v>
      </c>
      <c r="Q36" s="3" t="n">
        <v>2.249868302706854</v>
      </c>
      <c r="R36" s="3" t="n">
        <v>49.56233916146615</v>
      </c>
      <c r="S36" s="3" t="n">
        <v>0</v>
      </c>
      <c r="T36" s="3" t="n">
        <v>0</v>
      </c>
      <c r="U36" s="3" t="n">
        <v>1.033932925142766</v>
      </c>
      <c r="V36" s="3" t="n">
        <v>2.000694497931005</v>
      </c>
      <c r="W36" s="3" t="n">
        <v>0</v>
      </c>
      <c r="X36" s="3" t="n">
        <v>0</v>
      </c>
      <c r="Y36" s="3" t="n">
        <v>0</v>
      </c>
      <c r="Z36" s="3" t="n">
        <v>0</v>
      </c>
      <c r="AA36" s="3" t="n">
        <v>0</v>
      </c>
      <c r="AB36" s="3" t="n">
        <v>0.4881782976760939</v>
      </c>
      <c r="AC36" s="3" t="n">
        <v>1.731559508413489</v>
      </c>
      <c r="AD36" s="3" t="n">
        <v>3.508057563506498</v>
      </c>
      <c r="AE36" s="3" t="n">
        <v>0</v>
      </c>
      <c r="AF36" s="3" t="n">
        <v>2.038801443967827</v>
      </c>
      <c r="AG36" s="3" t="n">
        <v>3226.79290414035</v>
      </c>
      <c r="AH36" s="3" t="n">
        <v>6624.034143210628</v>
      </c>
      <c r="AI36" s="3" t="n">
        <v>7324.007950670332</v>
      </c>
      <c r="AJ36" s="3" t="n">
        <v>8591.808239691261</v>
      </c>
      <c r="AK36" s="3" t="n">
        <v>8302.638931423055</v>
      </c>
      <c r="AL36" s="3" t="n">
        <v>9296.07423789005</v>
      </c>
      <c r="AM36" s="3" t="n">
        <v>9492.060263408222</v>
      </c>
      <c r="AN36" s="3" t="n">
        <v>10259.94360030313</v>
      </c>
      <c r="AO36" s="3" t="n">
        <v>10574.96948092094</v>
      </c>
      <c r="AP36" s="3" t="n">
        <v>12246.97254143513</v>
      </c>
      <c r="AQ36" s="3" t="n">
        <v>11868.88070892114</v>
      </c>
      <c r="AR36" s="3" t="n">
        <v>14009.14082673453</v>
      </c>
      <c r="AS36" s="3" t="n">
        <v>13701.21567916623</v>
      </c>
      <c r="AT36" s="3" t="n">
        <v>16794.01821821145</v>
      </c>
      <c r="AU36" s="3" t="n">
        <v>14840.26174821258</v>
      </c>
      <c r="AV36" s="3" t="n">
        <v>19139.49124019827</v>
      </c>
      <c r="AW36" s="3" t="n">
        <v>16977.89396305794</v>
      </c>
      <c r="AX36" s="3" t="n">
        <v>23782.61035590291</v>
      </c>
      <c r="AY36" s="3" t="n">
        <v>24555.87373801461</v>
      </c>
      <c r="AZ36" s="3" t="n">
        <v>61630.27330230859</v>
      </c>
      <c r="BA36" s="3" t="n">
        <v>7928.080980427386</v>
      </c>
      <c r="BB36" s="3" t="n">
        <v>99119795.00318915</v>
      </c>
      <c r="BC36" s="3" t="n">
        <v>0</v>
      </c>
      <c r="BD36" s="3" t="n">
        <v>0</v>
      </c>
      <c r="BE36" s="3" t="n">
        <v>0</v>
      </c>
      <c r="BF36" s="3" t="n">
        <v>0</v>
      </c>
      <c r="BG36" s="3" t="n">
        <v>0</v>
      </c>
      <c r="BH36" s="3" t="n">
        <v>0</v>
      </c>
      <c r="BI36" s="3" t="n">
        <v>0</v>
      </c>
      <c r="BJ36" s="3" t="n">
        <v>0</v>
      </c>
      <c r="BK36" s="3" t="n">
        <v>0.1699182167841621</v>
      </c>
      <c r="BL36" s="3" t="n">
        <v>2.978981338800941</v>
      </c>
      <c r="BM36" s="3" t="n">
        <v>39.51820607376286</v>
      </c>
      <c r="BN36" s="3" t="n">
        <v>0</v>
      </c>
      <c r="BO36" s="3" t="n">
        <v>0</v>
      </c>
      <c r="BP36" s="3" t="n">
        <v>0</v>
      </c>
    </row>
    <row r="37">
      <c r="A37" s="3" t="inlineStr">
        <is>
          <t>EGY.distn.bsh.dec.ove.p75.1</t>
        </is>
      </c>
      <c r="B37" s="3" t="inlineStr">
        <is>
          <t>EGY</t>
        </is>
      </c>
      <c r="C37" s="3" t="n">
        <v>2017</v>
      </c>
      <c r="D37" s="3" t="inlineStr">
        <is>
          <t>Overall</t>
        </is>
      </c>
      <c r="E37" s="3" t="inlineStr">
        <is>
          <t>Deciles</t>
        </is>
      </c>
      <c r="F37" s="3" t="inlineStr">
        <is>
          <t>p75</t>
        </is>
      </c>
      <c r="G37" s="3" t="n">
        <v>1</v>
      </c>
      <c r="H37" s="3" t="n">
        <v>1.957471038922421</v>
      </c>
      <c r="I37" s="3" t="n">
        <v>0</v>
      </c>
      <c r="J37" s="3" t="n">
        <v>5.244856436153234</v>
      </c>
      <c r="K37" s="3" t="n">
        <v>7.988578745035845</v>
      </c>
      <c r="L37" s="3" t="n">
        <v>0</v>
      </c>
      <c r="M37" s="3" t="n">
        <v>2.85051534729077</v>
      </c>
      <c r="N37" s="3" t="n">
        <v>0</v>
      </c>
      <c r="O37" s="3" t="n">
        <v>3.678179042481929</v>
      </c>
      <c r="P37" s="3" t="n">
        <v>0</v>
      </c>
      <c r="Q37" s="3" t="n">
        <v>4.484599741305569</v>
      </c>
      <c r="R37" s="3" t="n">
        <v>69.14058347255582</v>
      </c>
      <c r="S37" s="3" t="n">
        <v>0</v>
      </c>
      <c r="T37" s="3" t="n">
        <v>0</v>
      </c>
      <c r="U37" s="3" t="n">
        <v>3.831678422282673</v>
      </c>
      <c r="V37" s="3" t="n">
        <v>5.58446141822338</v>
      </c>
      <c r="W37" s="3" t="n">
        <v>0</v>
      </c>
      <c r="X37" s="3" t="n">
        <v>3.829968876932207</v>
      </c>
      <c r="Y37" s="3" t="n">
        <v>0</v>
      </c>
      <c r="Z37" s="3" t="n">
        <v>0</v>
      </c>
      <c r="AA37" s="3" t="n">
        <v>0</v>
      </c>
      <c r="AB37" s="3" t="n">
        <v>3.021103084461062</v>
      </c>
      <c r="AC37" s="3" t="n">
        <v>5.745162242110645</v>
      </c>
      <c r="AD37" s="3" t="n">
        <v>9.313920955149676</v>
      </c>
      <c r="AE37" s="3" t="n">
        <v>0</v>
      </c>
      <c r="AF37" s="3" t="n">
        <v>5.660553658692708</v>
      </c>
      <c r="AG37" s="3" t="n">
        <v>3185.81174821076</v>
      </c>
      <c r="AH37" s="3" t="n">
        <v>7498.341943233804</v>
      </c>
      <c r="AI37" s="3" t="n">
        <v>7340.537319870634</v>
      </c>
      <c r="AJ37" s="3" t="n">
        <v>7891.900874281448</v>
      </c>
      <c r="AK37" s="3" t="n">
        <v>8351.400459083925</v>
      </c>
      <c r="AL37" s="3" t="n">
        <v>10345.89898230025</v>
      </c>
      <c r="AM37" s="3" t="n">
        <v>9697.259276698229</v>
      </c>
      <c r="AN37" s="3" t="n">
        <v>11475.24442126432</v>
      </c>
      <c r="AO37" s="3" t="n">
        <v>10337.16606731146</v>
      </c>
      <c r="AP37" s="3" t="n">
        <v>12311.26350925215</v>
      </c>
      <c r="AQ37" s="3" t="n">
        <v>12565.54165500533</v>
      </c>
      <c r="AR37" s="3" t="n">
        <v>14716.46462475201</v>
      </c>
      <c r="AS37" s="3" t="n">
        <v>14519.5953630335</v>
      </c>
      <c r="AT37" s="3" t="n">
        <v>14725.72302075703</v>
      </c>
      <c r="AU37" s="3" t="n">
        <v>14930.4945620058</v>
      </c>
      <c r="AV37" s="3" t="n">
        <v>18398.03029636533</v>
      </c>
      <c r="AW37" s="3" t="n">
        <v>19284.64778172894</v>
      </c>
      <c r="AX37" s="3" t="n">
        <v>24367.16559490841</v>
      </c>
      <c r="AY37" s="3" t="n">
        <v>22010.75511909079</v>
      </c>
      <c r="AZ37" s="3" t="n">
        <v>68600.61541108524</v>
      </c>
      <c r="BA37" s="3" t="n">
        <v>5526.562361644365</v>
      </c>
      <c r="BB37" s="3" t="n">
        <v>11181927.27176582</v>
      </c>
      <c r="BC37" s="3" t="n">
        <v>0</v>
      </c>
      <c r="BD37" s="3" t="n">
        <v>0</v>
      </c>
      <c r="BE37" s="3" t="n">
        <v>113.8952267317526</v>
      </c>
      <c r="BF37" s="3" t="n">
        <v>38.00417087196833</v>
      </c>
      <c r="BG37" s="3" t="n">
        <v>55.49634862876458</v>
      </c>
      <c r="BH37" s="3" t="n">
        <v>97.62769319918753</v>
      </c>
      <c r="BI37" s="3" t="n">
        <v>108.8798671845358</v>
      </c>
      <c r="BJ37" s="3" t="n">
        <v>80.65508419145723</v>
      </c>
      <c r="BK37" s="3" t="n">
        <v>0.1653331359634123</v>
      </c>
      <c r="BL37" s="3" t="n">
        <v>3.166430630769438</v>
      </c>
      <c r="BM37" s="3" t="n">
        <v>11.21947482667269</v>
      </c>
      <c r="BN37" s="3" t="n">
        <v>0</v>
      </c>
      <c r="BO37" s="3" t="n">
        <v>0</v>
      </c>
      <c r="BP37" s="3" t="n">
        <v>0</v>
      </c>
    </row>
    <row r="38">
      <c r="A38" s="3" t="inlineStr">
        <is>
          <t>EGY.distn.bsh.dec.ove.p75.2</t>
        </is>
      </c>
      <c r="B38" s="3" t="inlineStr">
        <is>
          <t>EGY</t>
        </is>
      </c>
      <c r="C38" s="3" t="n">
        <v>2017</v>
      </c>
      <c r="D38" s="3" t="inlineStr">
        <is>
          <t>Overall</t>
        </is>
      </c>
      <c r="E38" s="3" t="inlineStr">
        <is>
          <t>Deciles</t>
        </is>
      </c>
      <c r="F38" s="3" t="inlineStr">
        <is>
          <t>p75</t>
        </is>
      </c>
      <c r="G38" s="3" t="n">
        <v>2</v>
      </c>
      <c r="H38" s="3" t="n">
        <v>2.043053460475704</v>
      </c>
      <c r="I38" s="3" t="n">
        <v>0</v>
      </c>
      <c r="J38" s="3" t="n">
        <v>4.874573320770249</v>
      </c>
      <c r="K38" s="3" t="n">
        <v>8.941619819738651</v>
      </c>
      <c r="L38" s="3" t="n">
        <v>0</v>
      </c>
      <c r="M38" s="3" t="n">
        <v>3.009795407444107</v>
      </c>
      <c r="N38" s="3" t="n">
        <v>0</v>
      </c>
      <c r="O38" s="3" t="n">
        <v>5.174125645524692</v>
      </c>
      <c r="P38" s="3" t="n">
        <v>0</v>
      </c>
      <c r="Q38" s="3" t="n">
        <v>4.123853531538755</v>
      </c>
      <c r="R38" s="3" t="n">
        <v>65.18219966664806</v>
      </c>
      <c r="S38" s="3" t="n">
        <v>0</v>
      </c>
      <c r="T38" s="3" t="n">
        <v>0</v>
      </c>
      <c r="U38" s="3" t="n">
        <v>4.158517032290509</v>
      </c>
      <c r="V38" s="3" t="n">
        <v>4.418965682618224</v>
      </c>
      <c r="W38" s="3" t="n">
        <v>0</v>
      </c>
      <c r="X38" s="3" t="n">
        <v>3.181847138858112</v>
      </c>
      <c r="Y38" s="3" t="n">
        <v>0</v>
      </c>
      <c r="Z38" s="3" t="n">
        <v>0</v>
      </c>
      <c r="AA38" s="3" t="n">
        <v>0</v>
      </c>
      <c r="AB38" s="3" t="n">
        <v>3.204071313026316</v>
      </c>
      <c r="AC38" s="3" t="n">
        <v>6.84714592112822</v>
      </c>
      <c r="AD38" s="3" t="n">
        <v>8.394077301132551</v>
      </c>
      <c r="AE38" s="3" t="n">
        <v>0</v>
      </c>
      <c r="AF38" s="3" t="n">
        <v>5.701221553493566</v>
      </c>
      <c r="AG38" s="3" t="n">
        <v>2927.136813024665</v>
      </c>
      <c r="AH38" s="3" t="n">
        <v>7636.909883952342</v>
      </c>
      <c r="AI38" s="3" t="n">
        <v>7636.620476556962</v>
      </c>
      <c r="AJ38" s="3" t="n">
        <v>8379.478692164028</v>
      </c>
      <c r="AK38" s="3" t="n">
        <v>8942.579636050657</v>
      </c>
      <c r="AL38" s="3" t="n">
        <v>9066.838280884356</v>
      </c>
      <c r="AM38" s="3" t="n">
        <v>10260.06683287027</v>
      </c>
      <c r="AN38" s="3" t="n">
        <v>11000.58532041743</v>
      </c>
      <c r="AO38" s="3" t="n">
        <v>10544.27616320257</v>
      </c>
      <c r="AP38" s="3" t="n">
        <v>13064.33713614045</v>
      </c>
      <c r="AQ38" s="3" t="n">
        <v>12699.55096810727</v>
      </c>
      <c r="AR38" s="3" t="n">
        <v>13991.5806688735</v>
      </c>
      <c r="AS38" s="3" t="n">
        <v>13585.57730472689</v>
      </c>
      <c r="AT38" s="3" t="n">
        <v>14616.76544125196</v>
      </c>
      <c r="AU38" s="3" t="n">
        <v>15357.33387758528</v>
      </c>
      <c r="AV38" s="3" t="n">
        <v>19341.77271907066</v>
      </c>
      <c r="AW38" s="3" t="n">
        <v>18497.93379268483</v>
      </c>
      <c r="AX38" s="3" t="n">
        <v>21751.5963484055</v>
      </c>
      <c r="AY38" s="3" t="n">
        <v>22406.34224423992</v>
      </c>
      <c r="AZ38" s="3" t="n">
        <v>63506.8950521648</v>
      </c>
      <c r="BA38" s="3" t="n">
        <v>7065.255841121972</v>
      </c>
      <c r="BB38" s="3" t="n">
        <v>10310338.57592364</v>
      </c>
      <c r="BC38" s="3" t="n">
        <v>0</v>
      </c>
      <c r="BD38" s="3" t="n">
        <v>0</v>
      </c>
      <c r="BE38" s="3" t="n">
        <v>110.8063408391614</v>
      </c>
      <c r="BF38" s="3" t="n">
        <v>50.6222207367257</v>
      </c>
      <c r="BG38" s="3" t="n">
        <v>66.51196172228181</v>
      </c>
      <c r="BH38" s="3" t="n">
        <v>104.6344888167734</v>
      </c>
      <c r="BI38" s="3" t="n">
        <v>101.1619861867407</v>
      </c>
      <c r="BJ38" s="3" t="n">
        <v>93.73738652062711</v>
      </c>
      <c r="BK38" s="3" t="n">
        <v>0.01005655391577032</v>
      </c>
      <c r="BL38" s="3" t="n">
        <v>0.01229316691875488</v>
      </c>
      <c r="BM38" s="3" t="n">
        <v>10.2782096151264</v>
      </c>
      <c r="BN38" s="3" t="n">
        <v>0</v>
      </c>
      <c r="BO38" s="3" t="n">
        <v>0</v>
      </c>
      <c r="BP38" s="3" t="n">
        <v>0</v>
      </c>
    </row>
    <row r="39">
      <c r="A39" s="3" t="inlineStr">
        <is>
          <t>EGY.distn.bsh.dec.ove.p75.3</t>
        </is>
      </c>
      <c r="B39" s="3" t="inlineStr">
        <is>
          <t>EGY</t>
        </is>
      </c>
      <c r="C39" s="3" t="n">
        <v>2017</v>
      </c>
      <c r="D39" s="3" t="inlineStr">
        <is>
          <t>Overall</t>
        </is>
      </c>
      <c r="E39" s="3" t="inlineStr">
        <is>
          <t>Deciles</t>
        </is>
      </c>
      <c r="F39" s="3" t="inlineStr">
        <is>
          <t>p75</t>
        </is>
      </c>
      <c r="G39" s="3" t="n">
        <v>3</v>
      </c>
      <c r="H39" s="3" t="n">
        <v>1.980036593290307</v>
      </c>
      <c r="I39" s="3" t="n">
        <v>0</v>
      </c>
      <c r="J39" s="3" t="n">
        <v>4.298866639580118</v>
      </c>
      <c r="K39" s="3" t="n">
        <v>8.782915495953805</v>
      </c>
      <c r="L39" s="3" t="n">
        <v>0</v>
      </c>
      <c r="M39" s="3" t="n">
        <v>3.033775631427543</v>
      </c>
      <c r="N39" s="3" t="n">
        <v>0</v>
      </c>
      <c r="O39" s="3" t="n">
        <v>6.475686646320821</v>
      </c>
      <c r="P39" s="3" t="n">
        <v>0</v>
      </c>
      <c r="Q39" s="3" t="n">
        <v>4.097642490764975</v>
      </c>
      <c r="R39" s="3" t="n">
        <v>64.78680125535155</v>
      </c>
      <c r="S39" s="3" t="n">
        <v>0</v>
      </c>
      <c r="T39" s="3" t="n">
        <v>0</v>
      </c>
      <c r="U39" s="3" t="n">
        <v>4.490143746524718</v>
      </c>
      <c r="V39" s="3" t="n">
        <v>4.95174189485874</v>
      </c>
      <c r="W39" s="3" t="n">
        <v>0</v>
      </c>
      <c r="X39" s="3" t="n">
        <v>2.826769542929933</v>
      </c>
      <c r="Y39" s="3" t="n">
        <v>0</v>
      </c>
      <c r="Z39" s="3" t="n">
        <v>0</v>
      </c>
      <c r="AA39" s="3" t="n">
        <v>0</v>
      </c>
      <c r="AB39" s="3" t="n">
        <v>3.237204092513115</v>
      </c>
      <c r="AC39" s="3" t="n">
        <v>6.705128209317096</v>
      </c>
      <c r="AD39" s="3" t="n">
        <v>9.074154078899806</v>
      </c>
      <c r="AE39" s="3" t="n">
        <v>0</v>
      </c>
      <c r="AF39" s="3" t="n">
        <v>5.890395030630222</v>
      </c>
      <c r="AG39" s="3" t="n">
        <v>2920.075988860288</v>
      </c>
      <c r="AH39" s="3" t="n">
        <v>7255.000492296752</v>
      </c>
      <c r="AI39" s="3" t="n">
        <v>6650.783098955038</v>
      </c>
      <c r="AJ39" s="3" t="n">
        <v>8258.892824261216</v>
      </c>
      <c r="AK39" s="3" t="n">
        <v>8749.934866677784</v>
      </c>
      <c r="AL39" s="3" t="n">
        <v>9776.882371733378</v>
      </c>
      <c r="AM39" s="3" t="n">
        <v>10383.48840914119</v>
      </c>
      <c r="AN39" s="3" t="n">
        <v>10280.58623560507</v>
      </c>
      <c r="AO39" s="3" t="n">
        <v>10637.90550143527</v>
      </c>
      <c r="AP39" s="3" t="n">
        <v>13037.79890379388</v>
      </c>
      <c r="AQ39" s="3" t="n">
        <v>12110.31852611616</v>
      </c>
      <c r="AR39" s="3" t="n">
        <v>13347.87461348789</v>
      </c>
      <c r="AS39" s="3" t="n">
        <v>12690.21739859447</v>
      </c>
      <c r="AT39" s="3" t="n">
        <v>14649.1778640233</v>
      </c>
      <c r="AU39" s="3" t="n">
        <v>16466.77317278376</v>
      </c>
      <c r="AV39" s="3" t="n">
        <v>19436.42221638536</v>
      </c>
      <c r="AW39" s="3" t="n">
        <v>17049.3521424801</v>
      </c>
      <c r="AX39" s="3" t="n">
        <v>22564.08555558358</v>
      </c>
      <c r="AY39" s="3" t="n">
        <v>22288.41874186674</v>
      </c>
      <c r="AZ39" s="3" t="n">
        <v>63136.97866945824</v>
      </c>
      <c r="BA39" s="3" t="n">
        <v>8945.450005916116</v>
      </c>
      <c r="BB39" s="3" t="n">
        <v>10242647.62366372</v>
      </c>
      <c r="BC39" s="3" t="n">
        <v>0</v>
      </c>
      <c r="BD39" s="3" t="n">
        <v>0</v>
      </c>
      <c r="BE39" s="3" t="n">
        <v>109.1785175627265</v>
      </c>
      <c r="BF39" s="3" t="n">
        <v>55.76090794977882</v>
      </c>
      <c r="BG39" s="3" t="n">
        <v>69.81225330579811</v>
      </c>
      <c r="BH39" s="3" t="n">
        <v>103.347070569655</v>
      </c>
      <c r="BI39" s="3" t="n">
        <v>107.459009875834</v>
      </c>
      <c r="BJ39" s="3" t="n">
        <v>97.92231994470545</v>
      </c>
      <c r="BK39" s="3" t="n">
        <v>0</v>
      </c>
      <c r="BL39" s="3" t="n">
        <v>0.00710223828046614</v>
      </c>
      <c r="BM39" s="3" t="n">
        <v>10.65442213260742</v>
      </c>
      <c r="BN39" s="3" t="n">
        <v>0</v>
      </c>
      <c r="BO39" s="3" t="n">
        <v>0</v>
      </c>
      <c r="BP39" s="3" t="n">
        <v>0</v>
      </c>
    </row>
    <row r="40">
      <c r="A40" s="3" t="inlineStr">
        <is>
          <t>EGY.distn.bsh.dec.ove.p75.4</t>
        </is>
      </c>
      <c r="B40" s="3" t="inlineStr">
        <is>
          <t>EGY</t>
        </is>
      </c>
      <c r="C40" s="3" t="n">
        <v>2017</v>
      </c>
      <c r="D40" s="3" t="inlineStr">
        <is>
          <t>Overall</t>
        </is>
      </c>
      <c r="E40" s="3" t="inlineStr">
        <is>
          <t>Deciles</t>
        </is>
      </c>
      <c r="F40" s="3" t="inlineStr">
        <is>
          <t>p75</t>
        </is>
      </c>
      <c r="G40" s="3" t="n">
        <v>4</v>
      </c>
      <c r="H40" s="3" t="n">
        <v>2.209024781499585</v>
      </c>
      <c r="I40" s="3" t="n">
        <v>0</v>
      </c>
      <c r="J40" s="3" t="n">
        <v>4.669498784223463</v>
      </c>
      <c r="K40" s="3" t="n">
        <v>8.351919318827177</v>
      </c>
      <c r="L40" s="3" t="n">
        <v>0</v>
      </c>
      <c r="M40" s="3" t="n">
        <v>3.362246618954059</v>
      </c>
      <c r="N40" s="3" t="n">
        <v>0</v>
      </c>
      <c r="O40" s="3" t="n">
        <v>6.528718972607013</v>
      </c>
      <c r="P40" s="3" t="n">
        <v>0</v>
      </c>
      <c r="Q40" s="3" t="n">
        <v>3.733912497222509</v>
      </c>
      <c r="R40" s="3" t="n">
        <v>64.55047386411702</v>
      </c>
      <c r="S40" s="3" t="n">
        <v>0</v>
      </c>
      <c r="T40" s="3" t="n">
        <v>0</v>
      </c>
      <c r="U40" s="3" t="n">
        <v>5.073986558106773</v>
      </c>
      <c r="V40" s="3" t="n">
        <v>5.111798563589444</v>
      </c>
      <c r="W40" s="3" t="n">
        <v>0</v>
      </c>
      <c r="X40" s="3" t="n">
        <v>2.449037339071132</v>
      </c>
      <c r="Y40" s="3" t="n">
        <v>0</v>
      </c>
      <c r="Z40" s="3" t="n">
        <v>0</v>
      </c>
      <c r="AA40" s="3" t="n">
        <v>0</v>
      </c>
      <c r="AB40" s="3" t="n">
        <v>2.959194211416329</v>
      </c>
      <c r="AC40" s="3" t="n">
        <v>7.627077623042604</v>
      </c>
      <c r="AD40" s="3" t="n">
        <v>8.188033566038788</v>
      </c>
      <c r="AE40" s="3" t="n">
        <v>0</v>
      </c>
      <c r="AF40" s="3" t="n">
        <v>5.97097947404329</v>
      </c>
      <c r="AG40" s="3" t="n">
        <v>3132.932945086618</v>
      </c>
      <c r="AH40" s="3" t="n">
        <v>6624.094665689456</v>
      </c>
      <c r="AI40" s="3" t="n">
        <v>6924.786364160552</v>
      </c>
      <c r="AJ40" s="3" t="n">
        <v>8826.461137464903</v>
      </c>
      <c r="AK40" s="3" t="n">
        <v>8969.05161489445</v>
      </c>
      <c r="AL40" s="3" t="n">
        <v>9388.643011158385</v>
      </c>
      <c r="AM40" s="3" t="n">
        <v>9617.375434289732</v>
      </c>
      <c r="AN40" s="3" t="n">
        <v>10117.91670126619</v>
      </c>
      <c r="AO40" s="3" t="n">
        <v>11602.22151816684</v>
      </c>
      <c r="AP40" s="3" t="n">
        <v>11707.23416202996</v>
      </c>
      <c r="AQ40" s="3" t="n">
        <v>12521.83294485311</v>
      </c>
      <c r="AR40" s="3" t="n">
        <v>14025.14887863546</v>
      </c>
      <c r="AS40" s="3" t="n">
        <v>14667.85780078963</v>
      </c>
      <c r="AT40" s="3" t="n">
        <v>16551.50577591009</v>
      </c>
      <c r="AU40" s="3" t="n">
        <v>15950.15532964506</v>
      </c>
      <c r="AV40" s="3" t="n">
        <v>18813.20128265438</v>
      </c>
      <c r="AW40" s="3" t="n">
        <v>17597.81718840019</v>
      </c>
      <c r="AX40" s="3" t="n">
        <v>24099.0365183053</v>
      </c>
      <c r="AY40" s="3" t="n">
        <v>22707.00971335455</v>
      </c>
      <c r="AZ40" s="3" t="n">
        <v>63333.98876376824</v>
      </c>
      <c r="BA40" s="3" t="n">
        <v>9208.494884884891</v>
      </c>
      <c r="BB40" s="3" t="n">
        <v>11073445.47590699</v>
      </c>
      <c r="BC40" s="3" t="n">
        <v>0</v>
      </c>
      <c r="BD40" s="3" t="n">
        <v>0</v>
      </c>
      <c r="BE40" s="3" t="n">
        <v>112.6574833370672</v>
      </c>
      <c r="BF40" s="3" t="n">
        <v>61.33431681475829</v>
      </c>
      <c r="BG40" s="3" t="n">
        <v>78.48835563627699</v>
      </c>
      <c r="BH40" s="3" t="n">
        <v>101.4353357289194</v>
      </c>
      <c r="BI40" s="3" t="n">
        <v>106.3223312816222</v>
      </c>
      <c r="BJ40" s="3" t="n">
        <v>96.79129815155817</v>
      </c>
      <c r="BK40" s="3" t="n">
        <v>0</v>
      </c>
      <c r="BL40" s="3" t="n">
        <v>0</v>
      </c>
      <c r="BM40" s="3" t="n">
        <v>4.858484248153345</v>
      </c>
      <c r="BN40" s="3" t="n">
        <v>0</v>
      </c>
      <c r="BO40" s="3" t="n">
        <v>0</v>
      </c>
      <c r="BP40" s="3" t="n">
        <v>0</v>
      </c>
    </row>
    <row r="41">
      <c r="A41" s="3" t="inlineStr">
        <is>
          <t>EGY.distn.bsh.dec.ove.p75.5</t>
        </is>
      </c>
      <c r="B41" s="3" t="inlineStr">
        <is>
          <t>EGY</t>
        </is>
      </c>
      <c r="C41" s="3" t="n">
        <v>2017</v>
      </c>
      <c r="D41" s="3" t="inlineStr">
        <is>
          <t>Overall</t>
        </is>
      </c>
      <c r="E41" s="3" t="inlineStr">
        <is>
          <t>Deciles</t>
        </is>
      </c>
      <c r="F41" s="3" t="inlineStr">
        <is>
          <t>p75</t>
        </is>
      </c>
      <c r="G41" s="3" t="n">
        <v>5</v>
      </c>
      <c r="H41" s="3" t="n">
        <v>2.234913382254715</v>
      </c>
      <c r="I41" s="3" t="n">
        <v>0</v>
      </c>
      <c r="J41" s="3" t="n">
        <v>4.243660364226559</v>
      </c>
      <c r="K41" s="3" t="n">
        <v>8.653536981187937</v>
      </c>
      <c r="L41" s="3" t="n">
        <v>0</v>
      </c>
      <c r="M41" s="3" t="n">
        <v>3.825813986748904</v>
      </c>
      <c r="N41" s="3" t="n">
        <v>0</v>
      </c>
      <c r="O41" s="3" t="n">
        <v>6.855984913091683</v>
      </c>
      <c r="P41" s="3" t="n">
        <v>0</v>
      </c>
      <c r="Q41" s="3" t="n">
        <v>4.123141203747419</v>
      </c>
      <c r="R41" s="3" t="n">
        <v>62.81294126951603</v>
      </c>
      <c r="S41" s="3" t="n">
        <v>0</v>
      </c>
      <c r="T41" s="3" t="n">
        <v>0</v>
      </c>
      <c r="U41" s="3" t="n">
        <v>5.091684490613137</v>
      </c>
      <c r="V41" s="3" t="n">
        <v>4.78062356519232</v>
      </c>
      <c r="W41" s="3" t="n">
        <v>0</v>
      </c>
      <c r="X41" s="3" t="n">
        <v>2.351228569164279</v>
      </c>
      <c r="Y41" s="3" t="n">
        <v>0.5660329026886206</v>
      </c>
      <c r="Z41" s="3" t="n">
        <v>0</v>
      </c>
      <c r="AA41" s="3" t="n">
        <v>0</v>
      </c>
      <c r="AB41" s="3" t="n">
        <v>2.82277385198474</v>
      </c>
      <c r="AC41" s="3" t="n">
        <v>7.469387888812697</v>
      </c>
      <c r="AD41" s="3" t="n">
        <v>8.701676344900054</v>
      </c>
      <c r="AE41" s="3" t="n">
        <v>0</v>
      </c>
      <c r="AF41" s="3" t="n">
        <v>6.016690527168073</v>
      </c>
      <c r="AG41" s="3" t="n">
        <v>2991.189853414474</v>
      </c>
      <c r="AH41" s="3" t="n">
        <v>7569.044980597222</v>
      </c>
      <c r="AI41" s="3" t="n">
        <v>7266.695888078656</v>
      </c>
      <c r="AJ41" s="3" t="n">
        <v>7904.531179184294</v>
      </c>
      <c r="AK41" s="3" t="n">
        <v>9135.082010712405</v>
      </c>
      <c r="AL41" s="3" t="n">
        <v>9560.21263187628</v>
      </c>
      <c r="AM41" s="3" t="n">
        <v>10088.03538095828</v>
      </c>
      <c r="AN41" s="3" t="n">
        <v>11562.75446440061</v>
      </c>
      <c r="AO41" s="3" t="n">
        <v>10288.4402173165</v>
      </c>
      <c r="AP41" s="3" t="n">
        <v>12158.51706140967</v>
      </c>
      <c r="AQ41" s="3" t="n">
        <v>12145.57119002097</v>
      </c>
      <c r="AR41" s="3" t="n">
        <v>13497.78580830457</v>
      </c>
      <c r="AS41" s="3" t="n">
        <v>14316.57244599559</v>
      </c>
      <c r="AT41" s="3" t="n">
        <v>16513.7290546433</v>
      </c>
      <c r="AU41" s="3" t="n">
        <v>15820.37545093834</v>
      </c>
      <c r="AV41" s="3" t="n">
        <v>18030.88888271036</v>
      </c>
      <c r="AW41" s="3" t="n">
        <v>17034.64108451265</v>
      </c>
      <c r="AX41" s="3" t="n">
        <v>21610.04195063517</v>
      </c>
      <c r="AY41" s="3" t="n">
        <v>24635.16233419752</v>
      </c>
      <c r="AZ41" s="3" t="n">
        <v>59785.90703368495</v>
      </c>
      <c r="BA41" s="3" t="n">
        <v>10638.91960668415</v>
      </c>
      <c r="BB41" s="3" t="n">
        <v>11293955.56122193</v>
      </c>
      <c r="BC41" s="3" t="n">
        <v>0</v>
      </c>
      <c r="BD41" s="3" t="n">
        <v>0</v>
      </c>
      <c r="BE41" s="3" t="n">
        <v>101.6274951421327</v>
      </c>
      <c r="BF41" s="3" t="n">
        <v>69.46865459012766</v>
      </c>
      <c r="BG41" s="3" t="n">
        <v>85.97823435588117</v>
      </c>
      <c r="BH41" s="3" t="n">
        <v>108.0431641820222</v>
      </c>
      <c r="BI41" s="3" t="n">
        <v>112.3136182348239</v>
      </c>
      <c r="BJ41" s="3" t="n">
        <v>101.5121858436332</v>
      </c>
      <c r="BK41" s="3" t="n">
        <v>0</v>
      </c>
      <c r="BL41" s="3" t="n">
        <v>0</v>
      </c>
      <c r="BM41" s="3" t="n">
        <v>0.6643062316040075</v>
      </c>
      <c r="BN41" s="3" t="n">
        <v>0</v>
      </c>
      <c r="BO41" s="3" t="n">
        <v>0</v>
      </c>
      <c r="BP41" s="3" t="n">
        <v>0</v>
      </c>
    </row>
    <row r="42">
      <c r="A42" s="3" t="inlineStr">
        <is>
          <t>EGY.distn.bsh.dec.ove.p75.6</t>
        </is>
      </c>
      <c r="B42" s="3" t="inlineStr">
        <is>
          <t>EGY</t>
        </is>
      </c>
      <c r="C42" s="3" t="n">
        <v>2017</v>
      </c>
      <c r="D42" s="3" t="inlineStr">
        <is>
          <t>Overall</t>
        </is>
      </c>
      <c r="E42" s="3" t="inlineStr">
        <is>
          <t>Deciles</t>
        </is>
      </c>
      <c r="F42" s="3" t="inlineStr">
        <is>
          <t>p75</t>
        </is>
      </c>
      <c r="G42" s="3" t="n">
        <v>6</v>
      </c>
      <c r="H42" s="3" t="n">
        <v>2.079703596366952</v>
      </c>
      <c r="I42" s="3" t="n">
        <v>0</v>
      </c>
      <c r="J42" s="3" t="n">
        <v>4.471759765777997</v>
      </c>
      <c r="K42" s="3" t="n">
        <v>7.883789044116251</v>
      </c>
      <c r="L42" s="3" t="n">
        <v>0</v>
      </c>
      <c r="M42" s="3" t="n">
        <v>3.886682523805735</v>
      </c>
      <c r="N42" s="3" t="n">
        <v>0</v>
      </c>
      <c r="O42" s="3" t="n">
        <v>6.515209422333507</v>
      </c>
      <c r="P42" s="3" t="n">
        <v>0</v>
      </c>
      <c r="Q42" s="3" t="n">
        <v>3.938379193930158</v>
      </c>
      <c r="R42" s="3" t="n">
        <v>67.63642100656207</v>
      </c>
      <c r="S42" s="3" t="n">
        <v>0</v>
      </c>
      <c r="T42" s="3" t="n">
        <v>0</v>
      </c>
      <c r="U42" s="3" t="n">
        <v>5.624045902684828</v>
      </c>
      <c r="V42" s="3" t="n">
        <v>5.100361993626047</v>
      </c>
      <c r="W42" s="3" t="n">
        <v>0</v>
      </c>
      <c r="X42" s="3" t="n">
        <v>2.345521796475255</v>
      </c>
      <c r="Y42" s="3" t="n">
        <v>0.5944405213443578</v>
      </c>
      <c r="Z42" s="3" t="n">
        <v>0</v>
      </c>
      <c r="AA42" s="3" t="n">
        <v>0</v>
      </c>
      <c r="AB42" s="3" t="n">
        <v>2.849143128233005</v>
      </c>
      <c r="AC42" s="3" t="n">
        <v>9.091647136941253</v>
      </c>
      <c r="AD42" s="3" t="n">
        <v>8.3693907658601</v>
      </c>
      <c r="AE42" s="3" t="n">
        <v>0</v>
      </c>
      <c r="AF42" s="3" t="n">
        <v>5.564854884039643</v>
      </c>
      <c r="AG42" s="3" t="n">
        <v>2983.164593520494</v>
      </c>
      <c r="AH42" s="3" t="n">
        <v>7276.260876482633</v>
      </c>
      <c r="AI42" s="3" t="n">
        <v>7676.688791006066</v>
      </c>
      <c r="AJ42" s="3" t="n">
        <v>9091.484167521048</v>
      </c>
      <c r="AK42" s="3" t="n">
        <v>8861.698466546632</v>
      </c>
      <c r="AL42" s="3" t="n">
        <v>9183.145312081466</v>
      </c>
      <c r="AM42" s="3" t="n">
        <v>10007.33419426181</v>
      </c>
      <c r="AN42" s="3" t="n">
        <v>10451.90068982037</v>
      </c>
      <c r="AO42" s="3" t="n">
        <v>10774.85564324556</v>
      </c>
      <c r="AP42" s="3" t="n">
        <v>12065.50050894633</v>
      </c>
      <c r="AQ42" s="3" t="n">
        <v>11391.08789445069</v>
      </c>
      <c r="AR42" s="3" t="n">
        <v>12981.16725459736</v>
      </c>
      <c r="AS42" s="3" t="n">
        <v>14254.58524970257</v>
      </c>
      <c r="AT42" s="3" t="n">
        <v>14900.52680283819</v>
      </c>
      <c r="AU42" s="3" t="n">
        <v>16258.93062383634</v>
      </c>
      <c r="AV42" s="3" t="n">
        <v>18220.38435249821</v>
      </c>
      <c r="AW42" s="3" t="n">
        <v>17506.62135016077</v>
      </c>
      <c r="AX42" s="3" t="n">
        <v>21580.82112671495</v>
      </c>
      <c r="AY42" s="3" t="n">
        <v>21795.94775875102</v>
      </c>
      <c r="AZ42" s="3" t="n">
        <v>65398.39747317811</v>
      </c>
      <c r="BA42" s="3" t="n">
        <v>12015.98297233811</v>
      </c>
      <c r="BB42" s="3" t="n">
        <v>10449659.95490799</v>
      </c>
      <c r="BC42" s="3" t="n">
        <v>0</v>
      </c>
      <c r="BD42" s="3" t="n">
        <v>0</v>
      </c>
      <c r="BE42" s="3" t="n">
        <v>108.1463696586457</v>
      </c>
      <c r="BF42" s="3" t="n">
        <v>78.19832844052836</v>
      </c>
      <c r="BG42" s="3" t="n">
        <v>83.76319210379792</v>
      </c>
      <c r="BH42" s="3" t="n">
        <v>112.6762945981849</v>
      </c>
      <c r="BI42" s="3" t="n">
        <v>98.33404092560231</v>
      </c>
      <c r="BJ42" s="3" t="n">
        <v>101.7290872962773</v>
      </c>
      <c r="BK42" s="3" t="n">
        <v>0</v>
      </c>
      <c r="BL42" s="3" t="n">
        <v>0</v>
      </c>
      <c r="BM42" s="3" t="n">
        <v>0.1585115590325069</v>
      </c>
      <c r="BN42" s="3" t="n">
        <v>0</v>
      </c>
      <c r="BO42" s="3" t="n">
        <v>0</v>
      </c>
      <c r="BP42" s="3" t="n">
        <v>0</v>
      </c>
    </row>
    <row r="43">
      <c r="A43" s="3" t="inlineStr">
        <is>
          <t>EGY.distn.bsh.dec.ove.p75.7</t>
        </is>
      </c>
      <c r="B43" s="3" t="inlineStr">
        <is>
          <t>EGY</t>
        </is>
      </c>
      <c r="C43" s="3" t="n">
        <v>2017</v>
      </c>
      <c r="D43" s="3" t="inlineStr">
        <is>
          <t>Overall</t>
        </is>
      </c>
      <c r="E43" s="3" t="inlineStr">
        <is>
          <t>Deciles</t>
        </is>
      </c>
      <c r="F43" s="3" t="inlineStr">
        <is>
          <t>p75</t>
        </is>
      </c>
      <c r="G43" s="3" t="n">
        <v>7</v>
      </c>
      <c r="H43" s="3" t="n">
        <v>2.09536753346762</v>
      </c>
      <c r="I43" s="3" t="n">
        <v>0</v>
      </c>
      <c r="J43" s="3" t="n">
        <v>4.135056754039037</v>
      </c>
      <c r="K43" s="3" t="n">
        <v>7.829166155830248</v>
      </c>
      <c r="L43" s="3" t="n">
        <v>0</v>
      </c>
      <c r="M43" s="3" t="n">
        <v>3.885326324170422</v>
      </c>
      <c r="N43" s="3" t="n">
        <v>0</v>
      </c>
      <c r="O43" s="3" t="n">
        <v>5.779945393518525</v>
      </c>
      <c r="P43" s="3" t="n">
        <v>0</v>
      </c>
      <c r="Q43" s="3" t="n">
        <v>4.386334541898809</v>
      </c>
      <c r="R43" s="3" t="n">
        <v>64.38029036329293</v>
      </c>
      <c r="S43" s="3" t="n">
        <v>0</v>
      </c>
      <c r="T43" s="3" t="n">
        <v>0</v>
      </c>
      <c r="U43" s="3" t="n">
        <v>6.244459034219815</v>
      </c>
      <c r="V43" s="3" t="n">
        <v>5.35328392649637</v>
      </c>
      <c r="W43" s="3" t="n">
        <v>0</v>
      </c>
      <c r="X43" s="3" t="n">
        <v>2.143066359925527</v>
      </c>
      <c r="Y43" s="3" t="n">
        <v>0.6104280029663651</v>
      </c>
      <c r="Z43" s="3" t="n">
        <v>0</v>
      </c>
      <c r="AA43" s="3" t="n">
        <v>0</v>
      </c>
      <c r="AB43" s="3" t="n">
        <v>2.455238104118021</v>
      </c>
      <c r="AC43" s="3" t="n">
        <v>8.772046819577437</v>
      </c>
      <c r="AD43" s="3" t="n">
        <v>8.80976921450579</v>
      </c>
      <c r="AE43" s="3" t="n">
        <v>0</v>
      </c>
      <c r="AF43" s="3" t="n">
        <v>6.250412588117505</v>
      </c>
      <c r="AG43" s="3" t="n">
        <v>2936.207045657143</v>
      </c>
      <c r="AH43" s="3" t="n">
        <v>7257.385818606979</v>
      </c>
      <c r="AI43" s="3" t="n">
        <v>6680.316149257839</v>
      </c>
      <c r="AJ43" s="3" t="n">
        <v>7821.597016367604</v>
      </c>
      <c r="AK43" s="3" t="n">
        <v>9140.230761292009</v>
      </c>
      <c r="AL43" s="3" t="n">
        <v>9956.589052152605</v>
      </c>
      <c r="AM43" s="3" t="n">
        <v>9473.970192955507</v>
      </c>
      <c r="AN43" s="3" t="n">
        <v>10914.33806550865</v>
      </c>
      <c r="AO43" s="3" t="n">
        <v>10616.72152075274</v>
      </c>
      <c r="AP43" s="3" t="n">
        <v>12000.52217547903</v>
      </c>
      <c r="AQ43" s="3" t="n">
        <v>11695.35257771958</v>
      </c>
      <c r="AR43" s="3" t="n">
        <v>13444.89468978314</v>
      </c>
      <c r="AS43" s="3" t="n">
        <v>12942.41069292891</v>
      </c>
      <c r="AT43" s="3" t="n">
        <v>15587.48761493548</v>
      </c>
      <c r="AU43" s="3" t="n">
        <v>15975.87608685366</v>
      </c>
      <c r="AV43" s="3" t="n">
        <v>17222.80129557266</v>
      </c>
      <c r="AW43" s="3" t="n">
        <v>19403.48126468383</v>
      </c>
      <c r="AX43" s="3" t="n">
        <v>21901.60848766781</v>
      </c>
      <c r="AY43" s="3" t="n">
        <v>24172.95996098995</v>
      </c>
      <c r="AZ43" s="3" t="n">
        <v>66412.09000252641</v>
      </c>
      <c r="BA43" s="3" t="n">
        <v>13589.78862412024</v>
      </c>
      <c r="BB43" s="3" t="n">
        <v>10024778.26647443</v>
      </c>
      <c r="BC43" s="3" t="n">
        <v>0</v>
      </c>
      <c r="BD43" s="3" t="n">
        <v>0</v>
      </c>
      <c r="BE43" s="3" t="n">
        <v>99.57891616600581</v>
      </c>
      <c r="BF43" s="3" t="n">
        <v>71.70307993821584</v>
      </c>
      <c r="BG43" s="3" t="n">
        <v>94.16967788066974</v>
      </c>
      <c r="BH43" s="3" t="n">
        <v>102.7836851248487</v>
      </c>
      <c r="BI43" s="3" t="n">
        <v>98.56871729679666</v>
      </c>
      <c r="BJ43" s="3" t="n">
        <v>104.415946944649</v>
      </c>
      <c r="BK43" s="3" t="n">
        <v>0</v>
      </c>
      <c r="BL43" s="3" t="n">
        <v>0</v>
      </c>
      <c r="BM43" s="3" t="n">
        <v>0.03111929225815159</v>
      </c>
      <c r="BN43" s="3" t="n">
        <v>0</v>
      </c>
      <c r="BO43" s="3" t="n">
        <v>0</v>
      </c>
      <c r="BP43" s="3" t="n">
        <v>0</v>
      </c>
    </row>
    <row r="44">
      <c r="A44" s="3" t="inlineStr">
        <is>
          <t>EGY.distn.bsh.dec.ove.p75.8</t>
        </is>
      </c>
      <c r="B44" s="3" t="inlineStr">
        <is>
          <t>EGY</t>
        </is>
      </c>
      <c r="C44" s="3" t="n">
        <v>2017</v>
      </c>
      <c r="D44" s="3" t="inlineStr">
        <is>
          <t>Overall</t>
        </is>
      </c>
      <c r="E44" s="3" t="inlineStr">
        <is>
          <t>Deciles</t>
        </is>
      </c>
      <c r="F44" s="3" t="inlineStr">
        <is>
          <t>p75</t>
        </is>
      </c>
      <c r="G44" s="3" t="n">
        <v>8</v>
      </c>
      <c r="H44" s="3" t="n">
        <v>1.950565210178997</v>
      </c>
      <c r="I44" s="3" t="n">
        <v>0</v>
      </c>
      <c r="J44" s="3" t="n">
        <v>4.424558749267963</v>
      </c>
      <c r="K44" s="3" t="n">
        <v>7.439060164366879</v>
      </c>
      <c r="L44" s="3" t="n">
        <v>0</v>
      </c>
      <c r="M44" s="3" t="n">
        <v>4.364700391578761</v>
      </c>
      <c r="N44" s="3" t="n">
        <v>0</v>
      </c>
      <c r="O44" s="3" t="n">
        <v>4.661429946005198</v>
      </c>
      <c r="P44" s="3" t="n">
        <v>0</v>
      </c>
      <c r="Q44" s="3" t="n">
        <v>4.250848977798611</v>
      </c>
      <c r="R44" s="3" t="n">
        <v>66.1941909430375</v>
      </c>
      <c r="S44" s="3" t="n">
        <v>0</v>
      </c>
      <c r="T44" s="3" t="n">
        <v>0</v>
      </c>
      <c r="U44" s="3" t="n">
        <v>6.386733304684721</v>
      </c>
      <c r="V44" s="3" t="n">
        <v>5.58803462923481</v>
      </c>
      <c r="W44" s="3" t="n">
        <v>0</v>
      </c>
      <c r="X44" s="3" t="n">
        <v>2.4505815639816</v>
      </c>
      <c r="Y44" s="3" t="n">
        <v>0.6584782427914853</v>
      </c>
      <c r="Z44" s="3" t="n">
        <v>0</v>
      </c>
      <c r="AA44" s="3" t="n">
        <v>0</v>
      </c>
      <c r="AB44" s="3" t="n">
        <v>2.105194165952879</v>
      </c>
      <c r="AC44" s="3" t="n">
        <v>11.90880362440524</v>
      </c>
      <c r="AD44" s="3" t="n">
        <v>8.632728303002919</v>
      </c>
      <c r="AE44" s="3" t="n">
        <v>0</v>
      </c>
      <c r="AF44" s="3" t="n">
        <v>6.527944202183029</v>
      </c>
      <c r="AG44" s="3" t="n">
        <v>3126.707792586389</v>
      </c>
      <c r="AH44" s="3" t="n">
        <v>7022.076656672884</v>
      </c>
      <c r="AI44" s="3" t="n">
        <v>7401.002808735964</v>
      </c>
      <c r="AJ44" s="3" t="n">
        <v>8919.095962279578</v>
      </c>
      <c r="AK44" s="3" t="n">
        <v>8613.552510484982</v>
      </c>
      <c r="AL44" s="3" t="n">
        <v>9325.852041791073</v>
      </c>
      <c r="AM44" s="3" t="n">
        <v>10272.5959186527</v>
      </c>
      <c r="AN44" s="3" t="n">
        <v>11152.9515211301</v>
      </c>
      <c r="AO44" s="3" t="n">
        <v>11369.07618487014</v>
      </c>
      <c r="AP44" s="3" t="n">
        <v>12002.65634565639</v>
      </c>
      <c r="AQ44" s="3" t="n">
        <v>11673.54185804701</v>
      </c>
      <c r="AR44" s="3" t="n">
        <v>12950.89338637005</v>
      </c>
      <c r="AS44" s="3" t="n">
        <v>14338.18050430917</v>
      </c>
      <c r="AT44" s="3" t="n">
        <v>14631.73535867137</v>
      </c>
      <c r="AU44" s="3" t="n">
        <v>16368.52067217776</v>
      </c>
      <c r="AV44" s="3" t="n">
        <v>17655.01686721376</v>
      </c>
      <c r="AW44" s="3" t="n">
        <v>17801.75220381766</v>
      </c>
      <c r="AX44" s="3" t="n">
        <v>22688.56784056052</v>
      </c>
      <c r="AY44" s="3" t="n">
        <v>21616.82436721623</v>
      </c>
      <c r="AZ44" s="3" t="n">
        <v>65588.97974989194</v>
      </c>
      <c r="BA44" s="3" t="n">
        <v>16824.95803672995</v>
      </c>
      <c r="BB44" s="3" t="n">
        <v>10159205.73220991</v>
      </c>
      <c r="BC44" s="3" t="n">
        <v>0</v>
      </c>
      <c r="BD44" s="3" t="n">
        <v>0</v>
      </c>
      <c r="BE44" s="3" t="n">
        <v>104.2612657064858</v>
      </c>
      <c r="BF44" s="3" t="n">
        <v>75.78612711142563</v>
      </c>
      <c r="BG44" s="3" t="n">
        <v>94.27323440046112</v>
      </c>
      <c r="BH44" s="3" t="n">
        <v>104.1633953886678</v>
      </c>
      <c r="BI44" s="3" t="n">
        <v>108.1167182795495</v>
      </c>
      <c r="BJ44" s="3" t="n">
        <v>97.65678996284153</v>
      </c>
      <c r="BK44" s="3" t="n">
        <v>0</v>
      </c>
      <c r="BL44" s="3" t="n">
        <v>0</v>
      </c>
      <c r="BM44" s="3" t="n">
        <v>0.01839138581008379</v>
      </c>
      <c r="BN44" s="3" t="n">
        <v>0</v>
      </c>
      <c r="BO44" s="3" t="n">
        <v>0</v>
      </c>
      <c r="BP44" s="3" t="n">
        <v>0</v>
      </c>
    </row>
    <row r="45">
      <c r="A45" s="3" t="inlineStr">
        <is>
          <t>EGY.distn.bsh.dec.ove.p75.9</t>
        </is>
      </c>
      <c r="B45" s="3" t="inlineStr">
        <is>
          <t>EGY</t>
        </is>
      </c>
      <c r="C45" s="3" t="n">
        <v>2017</v>
      </c>
      <c r="D45" s="3" t="inlineStr">
        <is>
          <t>Overall</t>
        </is>
      </c>
      <c r="E45" s="3" t="inlineStr">
        <is>
          <t>Deciles</t>
        </is>
      </c>
      <c r="F45" s="3" t="inlineStr">
        <is>
          <t>p75</t>
        </is>
      </c>
      <c r="G45" s="3" t="n">
        <v>9</v>
      </c>
      <c r="H45" s="3" t="n">
        <v>2.070457014509688</v>
      </c>
      <c r="I45" s="3" t="n">
        <v>0</v>
      </c>
      <c r="J45" s="3" t="n">
        <v>4.251456146050774</v>
      </c>
      <c r="K45" s="3" t="n">
        <v>6.979937002005753</v>
      </c>
      <c r="L45" s="3" t="n">
        <v>0</v>
      </c>
      <c r="M45" s="3" t="n">
        <v>4.296137476233661</v>
      </c>
      <c r="N45" s="3" t="n">
        <v>0</v>
      </c>
      <c r="O45" s="3" t="n">
        <v>2.743461618579272</v>
      </c>
      <c r="P45" s="3" t="n">
        <v>0</v>
      </c>
      <c r="Q45" s="3" t="n">
        <v>4.278519676422768</v>
      </c>
      <c r="R45" s="3" t="n">
        <v>65.15090935166236</v>
      </c>
      <c r="S45" s="3" t="n">
        <v>0</v>
      </c>
      <c r="T45" s="3" t="n">
        <v>0</v>
      </c>
      <c r="U45" s="3" t="n">
        <v>6.062015788377844</v>
      </c>
      <c r="V45" s="3" t="n">
        <v>5.174983143545376</v>
      </c>
      <c r="W45" s="3" t="n">
        <v>0</v>
      </c>
      <c r="X45" s="3" t="n">
        <v>2.076860681807636</v>
      </c>
      <c r="Y45" s="3" t="n">
        <v>0.7330862042002592</v>
      </c>
      <c r="Z45" s="3" t="n">
        <v>0</v>
      </c>
      <c r="AA45" s="3" t="n">
        <v>0</v>
      </c>
      <c r="AB45" s="3" t="n">
        <v>1.483342891608223</v>
      </c>
      <c r="AC45" s="3" t="n">
        <v>11.78133081497576</v>
      </c>
      <c r="AD45" s="3" t="n">
        <v>8.682380369997926</v>
      </c>
      <c r="AE45" s="3" t="n">
        <v>0</v>
      </c>
      <c r="AF45" s="3" t="n">
        <v>6.128574761281985</v>
      </c>
      <c r="AG45" s="3" t="n">
        <v>3360.304788245823</v>
      </c>
      <c r="AH45" s="3" t="n">
        <v>7067.090415058058</v>
      </c>
      <c r="AI45" s="3" t="n">
        <v>6713.572392445339</v>
      </c>
      <c r="AJ45" s="3" t="n">
        <v>8798.10604261042</v>
      </c>
      <c r="AK45" s="3" t="n">
        <v>9062.935023332706</v>
      </c>
      <c r="AL45" s="3" t="n">
        <v>9215.405502738908</v>
      </c>
      <c r="AM45" s="3" t="n">
        <v>10061.37113066204</v>
      </c>
      <c r="AN45" s="3" t="n">
        <v>10405.44092023335</v>
      </c>
      <c r="AO45" s="3" t="n">
        <v>11623.79036860103</v>
      </c>
      <c r="AP45" s="3" t="n">
        <v>12894.83959402806</v>
      </c>
      <c r="AQ45" s="3" t="n">
        <v>12419.39607137895</v>
      </c>
      <c r="AR45" s="3" t="n">
        <v>13623.5775286341</v>
      </c>
      <c r="AS45" s="3" t="n">
        <v>12976.74136220221</v>
      </c>
      <c r="AT45" s="3" t="n">
        <v>16571.71124209322</v>
      </c>
      <c r="AU45" s="3" t="n">
        <v>16598.2051168648</v>
      </c>
      <c r="AV45" s="3" t="n">
        <v>18302.35394438812</v>
      </c>
      <c r="AW45" s="3" t="n">
        <v>17159.99339916314</v>
      </c>
      <c r="AX45" s="3" t="n">
        <v>22262.71999069113</v>
      </c>
      <c r="AY45" s="3" t="n">
        <v>22406.6839320383</v>
      </c>
      <c r="AZ45" s="3" t="n">
        <v>63875.29014524943</v>
      </c>
      <c r="BA45" s="3" t="n">
        <v>18528.836349519</v>
      </c>
      <c r="BB45" s="3" t="n">
        <v>11334798.62690986</v>
      </c>
      <c r="BC45" s="3" t="n">
        <v>0</v>
      </c>
      <c r="BD45" s="3" t="n">
        <v>0</v>
      </c>
      <c r="BE45" s="3" t="n">
        <v>102.1443838207408</v>
      </c>
      <c r="BF45" s="3" t="n">
        <v>65.85326593840946</v>
      </c>
      <c r="BG45" s="3" t="n">
        <v>92.47037355895702</v>
      </c>
      <c r="BH45" s="3" t="n">
        <v>99.16575348695176</v>
      </c>
      <c r="BI45" s="3" t="n">
        <v>109.9950608612369</v>
      </c>
      <c r="BJ45" s="3" t="n">
        <v>93.80644598764825</v>
      </c>
      <c r="BK45" s="3" t="n">
        <v>0</v>
      </c>
      <c r="BL45" s="3" t="n">
        <v>0</v>
      </c>
      <c r="BM45" s="3" t="n">
        <v>0</v>
      </c>
      <c r="BN45" s="3" t="n">
        <v>0</v>
      </c>
      <c r="BO45" s="3" t="n">
        <v>0</v>
      </c>
      <c r="BP45" s="3" t="n">
        <v>0</v>
      </c>
    </row>
    <row r="46">
      <c r="A46" s="3" t="inlineStr">
        <is>
          <t>EGY.distn.bsh.dec.ove.p75.10</t>
        </is>
      </c>
      <c r="B46" s="3" t="inlineStr">
        <is>
          <t>EGY</t>
        </is>
      </c>
      <c r="C46" s="3" t="n">
        <v>2017</v>
      </c>
      <c r="D46" s="3" t="inlineStr">
        <is>
          <t>Overall</t>
        </is>
      </c>
      <c r="E46" s="3" t="inlineStr">
        <is>
          <t>Deciles</t>
        </is>
      </c>
      <c r="F46" s="3" t="inlineStr">
        <is>
          <t>p75</t>
        </is>
      </c>
      <c r="G46" s="3" t="n">
        <v>10</v>
      </c>
      <c r="H46" s="3" t="n">
        <v>2.138236911907208</v>
      </c>
      <c r="I46" s="3" t="n">
        <v>0</v>
      </c>
      <c r="J46" s="3" t="n">
        <v>4.85543539471561</v>
      </c>
      <c r="K46" s="3" t="n">
        <v>5.994548512084888</v>
      </c>
      <c r="L46" s="3" t="n">
        <v>0</v>
      </c>
      <c r="M46" s="3" t="n">
        <v>4.185772867989453</v>
      </c>
      <c r="N46" s="3" t="n">
        <v>0</v>
      </c>
      <c r="O46" s="3" t="n">
        <v>0</v>
      </c>
      <c r="P46" s="3" t="n">
        <v>0</v>
      </c>
      <c r="Q46" s="3" t="n">
        <v>4.749770026646138</v>
      </c>
      <c r="R46" s="3" t="n">
        <v>59.0059707246857</v>
      </c>
      <c r="S46" s="3" t="n">
        <v>0</v>
      </c>
      <c r="T46" s="3" t="n">
        <v>0</v>
      </c>
      <c r="U46" s="3" t="n">
        <v>7.238294657614914</v>
      </c>
      <c r="V46" s="3" t="n">
        <v>7.206640229949982</v>
      </c>
      <c r="W46" s="3" t="n">
        <v>0</v>
      </c>
      <c r="X46" s="3" t="n">
        <v>2.08949082374322</v>
      </c>
      <c r="Y46" s="3" t="n">
        <v>0.9131478562704274</v>
      </c>
      <c r="Z46" s="3" t="n">
        <v>0</v>
      </c>
      <c r="AA46" s="3" t="n">
        <v>0</v>
      </c>
      <c r="AB46" s="3" t="n">
        <v>0.9882856261251934</v>
      </c>
      <c r="AC46" s="3" t="n">
        <v>16.11671066297489</v>
      </c>
      <c r="AD46" s="3" t="n">
        <v>10.18748404299606</v>
      </c>
      <c r="AE46" s="3" t="n">
        <v>0</v>
      </c>
      <c r="AF46" s="3" t="n">
        <v>6.311598457663919</v>
      </c>
      <c r="AG46" s="3" t="n">
        <v>3048.367544440638</v>
      </c>
      <c r="AH46" s="3" t="n">
        <v>7402.944193671145</v>
      </c>
      <c r="AI46" s="3" t="n">
        <v>6909.488677286504</v>
      </c>
      <c r="AJ46" s="3" t="n">
        <v>8886.250619463428</v>
      </c>
      <c r="AK46" s="3" t="n">
        <v>7972.186534310134</v>
      </c>
      <c r="AL46" s="3" t="n">
        <v>8931.66063908692</v>
      </c>
      <c r="AM46" s="3" t="n">
        <v>10350.47738436889</v>
      </c>
      <c r="AN46" s="3" t="n">
        <v>11625.65889246468</v>
      </c>
      <c r="AO46" s="3" t="n">
        <v>11626.56908813169</v>
      </c>
      <c r="AP46" s="3" t="n">
        <v>12509.96341739999</v>
      </c>
      <c r="AQ46" s="3" t="n">
        <v>12978.57199563539</v>
      </c>
      <c r="AR46" s="3" t="n">
        <v>13031.68888591127</v>
      </c>
      <c r="AS46" s="3" t="n">
        <v>14348.11495640099</v>
      </c>
      <c r="AT46" s="3" t="n">
        <v>16164.97681919356</v>
      </c>
      <c r="AU46" s="3" t="n">
        <v>16813.11671920818</v>
      </c>
      <c r="AV46" s="3" t="n">
        <v>19306.86263038349</v>
      </c>
      <c r="AW46" s="3" t="n">
        <v>19241.26938941943</v>
      </c>
      <c r="AX46" s="3" t="n">
        <v>21471.83666273628</v>
      </c>
      <c r="AY46" s="3" t="n">
        <v>22580.3158538513</v>
      </c>
      <c r="AZ46" s="3" t="n">
        <v>65719.65613100253</v>
      </c>
      <c r="BA46" s="3" t="n">
        <v>29650.44606615336</v>
      </c>
      <c r="BB46" s="3" t="n">
        <v>10591983.55883046</v>
      </c>
      <c r="BC46" s="3" t="n">
        <v>0</v>
      </c>
      <c r="BD46" s="3" t="n">
        <v>0</v>
      </c>
      <c r="BE46" s="3" t="n">
        <v>114.0488229551105</v>
      </c>
      <c r="BF46" s="3" t="n">
        <v>61.7824884466923</v>
      </c>
      <c r="BG46" s="3" t="n">
        <v>102.041978715815</v>
      </c>
      <c r="BH46" s="3" t="n">
        <v>105.484171727952</v>
      </c>
      <c r="BI46" s="3" t="n">
        <v>101.7406896842361</v>
      </c>
      <c r="BJ46" s="3" t="n">
        <v>96.83963359238092</v>
      </c>
      <c r="BK46" s="3" t="n">
        <v>0</v>
      </c>
      <c r="BL46" s="3" t="n">
        <v>0</v>
      </c>
      <c r="BM46" s="3" t="n">
        <v>0</v>
      </c>
      <c r="BN46" s="3" t="n">
        <v>0</v>
      </c>
      <c r="BO46" s="3" t="n">
        <v>0</v>
      </c>
      <c r="BP46" s="3" t="n">
        <v>0</v>
      </c>
    </row>
    <row r="47">
      <c r="A47" s="3" t="inlineStr">
        <is>
          <t>EGY.distn.bsh.bkt.ove.p75.9999</t>
        </is>
      </c>
      <c r="B47" s="3" t="inlineStr">
        <is>
          <t>EGY</t>
        </is>
      </c>
      <c r="C47" s="3" t="n">
        <v>2017</v>
      </c>
      <c r="D47" s="3" t="inlineStr">
        <is>
          <t>Overall</t>
        </is>
      </c>
      <c r="E47" s="3" t="inlineStr">
        <is>
          <t>Basket</t>
        </is>
      </c>
      <c r="F47" s="3" t="inlineStr">
        <is>
          <t>p75</t>
        </is>
      </c>
      <c r="G47" s="3" t="n">
        <v>9999</v>
      </c>
      <c r="H47" s="3" t="n">
        <v>2.071309595142169</v>
      </c>
      <c r="I47" s="3" t="n">
        <v>0</v>
      </c>
      <c r="J47" s="3" t="n">
        <v>4.323927938597741</v>
      </c>
      <c r="K47" s="3" t="n">
        <v>8.346024735816437</v>
      </c>
      <c r="L47" s="3" t="n">
        <v>0</v>
      </c>
      <c r="M47" s="3" t="n">
        <v>3.870797494863823</v>
      </c>
      <c r="N47" s="3" t="n">
        <v>0</v>
      </c>
      <c r="O47" s="3" t="n">
        <v>5.279450819577201</v>
      </c>
      <c r="P47" s="3" t="n">
        <v>0</v>
      </c>
      <c r="Q47" s="3" t="n">
        <v>4.031742622750766</v>
      </c>
      <c r="R47" s="3" t="n">
        <v>58.84172320437069</v>
      </c>
      <c r="S47" s="3" t="n">
        <v>0</v>
      </c>
      <c r="T47" s="3" t="n">
        <v>0</v>
      </c>
      <c r="U47" s="3" t="n">
        <v>5.344058183552008</v>
      </c>
      <c r="V47" s="3" t="n">
        <v>5.826332561726746</v>
      </c>
      <c r="W47" s="3" t="n">
        <v>0</v>
      </c>
      <c r="X47" s="3" t="n">
        <v>2.740773225298546</v>
      </c>
      <c r="Y47" s="3" t="n">
        <v>0.6093034529921685</v>
      </c>
      <c r="Z47" s="3" t="n">
        <v>0</v>
      </c>
      <c r="AA47" s="3" t="n">
        <v>0</v>
      </c>
      <c r="AB47" s="3" t="n">
        <v>2.388948144192817</v>
      </c>
      <c r="AC47" s="3" t="n">
        <v>9.806383238565738</v>
      </c>
      <c r="AD47" s="3" t="n">
        <v>9.048657365846372</v>
      </c>
      <c r="AE47" s="3" t="n">
        <v>0</v>
      </c>
      <c r="AF47" s="3" t="n">
        <v>6.022669224776098</v>
      </c>
      <c r="AG47" s="3" t="n">
        <v>3209.429574102711</v>
      </c>
      <c r="AH47" s="3" t="n">
        <v>7209.376938936982</v>
      </c>
      <c r="AI47" s="3" t="n">
        <v>7321.013214187024</v>
      </c>
      <c r="AJ47" s="3" t="n">
        <v>8693.517655780486</v>
      </c>
      <c r="AK47" s="3" t="n">
        <v>8838.559835150896</v>
      </c>
      <c r="AL47" s="3" t="n">
        <v>10380.99909278851</v>
      </c>
      <c r="AM47" s="3" t="n">
        <v>9329.530997866639</v>
      </c>
      <c r="AN47" s="3" t="n">
        <v>10271.698811865</v>
      </c>
      <c r="AO47" s="3" t="n">
        <v>11215.91636428228</v>
      </c>
      <c r="AP47" s="3" t="n">
        <v>11353.47643658697</v>
      </c>
      <c r="AQ47" s="3" t="n">
        <v>11806.72430400696</v>
      </c>
      <c r="AR47" s="3" t="n">
        <v>12688.32362491229</v>
      </c>
      <c r="AS47" s="3" t="n">
        <v>14402.22807870708</v>
      </c>
      <c r="AT47" s="3" t="n">
        <v>14448.30608846607</v>
      </c>
      <c r="AU47" s="3" t="n">
        <v>15266.94987127577</v>
      </c>
      <c r="AV47" s="3" t="n">
        <v>18990.3266519534</v>
      </c>
      <c r="AW47" s="3" t="n">
        <v>18920.19067273572</v>
      </c>
      <c r="AX47" s="3" t="n">
        <v>21645.68084566153</v>
      </c>
      <c r="AY47" s="3" t="n">
        <v>23383.39469647198</v>
      </c>
      <c r="AZ47" s="3" t="n">
        <v>66253.09976057477</v>
      </c>
      <c r="BA47" s="3" t="n">
        <v>15198.54609493461</v>
      </c>
      <c r="BB47" s="3" t="n">
        <v>107807691.104876</v>
      </c>
      <c r="BC47" s="3" t="n">
        <v>0</v>
      </c>
      <c r="BD47" s="3" t="n">
        <v>0</v>
      </c>
      <c r="BE47" s="3" t="n">
        <v>0</v>
      </c>
      <c r="BF47" s="3" t="n">
        <v>0</v>
      </c>
      <c r="BG47" s="3" t="n">
        <v>0</v>
      </c>
      <c r="BH47" s="3" t="n">
        <v>0</v>
      </c>
      <c r="BI47" s="3" t="n">
        <v>0</v>
      </c>
      <c r="BJ47" s="3" t="n">
        <v>0</v>
      </c>
      <c r="BK47" s="3" t="n">
        <v>0.186951495726541</v>
      </c>
      <c r="BL47" s="3" t="n">
        <v>3.043612881063158</v>
      </c>
      <c r="BM47" s="3" t="n">
        <v>38.92615180090094</v>
      </c>
      <c r="BN47" s="3" t="n">
        <v>0</v>
      </c>
      <c r="BO47" s="3" t="n">
        <v>0</v>
      </c>
      <c r="BP47" s="3" t="n">
        <v>0</v>
      </c>
    </row>
    <row r="48">
      <c r="A48" s="3" t="inlineStr">
        <is>
          <t>EGY.distn.bsh.dec.rur.mean.1</t>
        </is>
      </c>
      <c r="B48" s="3" t="inlineStr">
        <is>
          <t>EGY</t>
        </is>
      </c>
      <c r="C48" s="3" t="n">
        <v>2017</v>
      </c>
      <c r="D48" s="3" t="inlineStr">
        <is>
          <t>Rural</t>
        </is>
      </c>
      <c r="E48" s="3" t="inlineStr">
        <is>
          <t>Deciles</t>
        </is>
      </c>
      <c r="F48" s="3" t="inlineStr">
        <is>
          <t>mean</t>
        </is>
      </c>
      <c r="G48" s="3" t="n">
        <v>1</v>
      </c>
      <c r="H48" s="3" t="n">
        <v>1.879542788049068</v>
      </c>
      <c r="I48" s="3" t="n">
        <v>0.01555293480840495</v>
      </c>
      <c r="J48" s="3" t="n">
        <v>4.407434376136224</v>
      </c>
      <c r="K48" s="3" t="n">
        <v>5.648843930760583</v>
      </c>
      <c r="L48" s="3" t="n">
        <v>0</v>
      </c>
      <c r="M48" s="3" t="n">
        <v>2.068840523814151</v>
      </c>
      <c r="N48" s="3" t="n">
        <v>0</v>
      </c>
      <c r="O48" s="3" t="n">
        <v>2.380105194916422</v>
      </c>
      <c r="P48" s="3" t="n">
        <v>0</v>
      </c>
      <c r="Q48" s="3" t="n">
        <v>3.867463341514283</v>
      </c>
      <c r="R48" s="3" t="n">
        <v>59.01859060132116</v>
      </c>
      <c r="S48" s="3" t="n">
        <v>0.0007504727775062445</v>
      </c>
      <c r="T48" s="3" t="n">
        <v>0.2915665238860788</v>
      </c>
      <c r="U48" s="3" t="n">
        <v>3.541135047022626</v>
      </c>
      <c r="V48" s="3" t="n">
        <v>4.140983234779765</v>
      </c>
      <c r="W48" s="3" t="n">
        <v>3.289626598349788e-05</v>
      </c>
      <c r="X48" s="3" t="n">
        <v>3.168428222432481</v>
      </c>
      <c r="Y48" s="3" t="n">
        <v>0.04944062147035148</v>
      </c>
      <c r="Z48" s="3" t="n">
        <v>0.0954658668812858</v>
      </c>
      <c r="AA48" s="3" t="n">
        <v>0.01285345989779803</v>
      </c>
      <c r="AB48" s="3" t="n">
        <v>2.138886207885075</v>
      </c>
      <c r="AC48" s="3" t="n">
        <v>5.214189093061323</v>
      </c>
      <c r="AD48" s="3" t="n">
        <v>6.335779204762412</v>
      </c>
      <c r="AE48" s="3" t="n">
        <v>0.2034198686967544</v>
      </c>
      <c r="AF48" s="3" t="n">
        <v>4.388985495668153</v>
      </c>
      <c r="AG48" s="3" t="n">
        <v>3378.652123990567</v>
      </c>
      <c r="AH48" s="3" t="n">
        <v>7471.17142139834</v>
      </c>
      <c r="AI48" s="3" t="n">
        <v>6972.733182902024</v>
      </c>
      <c r="AJ48" s="3" t="n">
        <v>7851.924568628444</v>
      </c>
      <c r="AK48" s="3" t="n">
        <v>8887.381745052919</v>
      </c>
      <c r="AL48" s="3" t="n">
        <v>8942.567781009802</v>
      </c>
      <c r="AM48" s="3" t="n">
        <v>10430.50896695785</v>
      </c>
      <c r="AN48" s="3" t="n">
        <v>10808.06384922891</v>
      </c>
      <c r="AO48" s="3" t="n">
        <v>10128.94504687619</v>
      </c>
      <c r="AP48" s="3" t="n">
        <v>12263.28850716471</v>
      </c>
      <c r="AQ48" s="3" t="n">
        <v>12784.51059172011</v>
      </c>
      <c r="AR48" s="3" t="n">
        <v>13611.45757038676</v>
      </c>
      <c r="AS48" s="3" t="n">
        <v>12854.03713969838</v>
      </c>
      <c r="AT48" s="3" t="n">
        <v>14661.26864451147</v>
      </c>
      <c r="AU48" s="3" t="n">
        <v>15890.74108119491</v>
      </c>
      <c r="AV48" s="3" t="n">
        <v>17478.0745260561</v>
      </c>
      <c r="AW48" s="3" t="n">
        <v>18618.26835564033</v>
      </c>
      <c r="AX48" s="3" t="n">
        <v>22359.70100345452</v>
      </c>
      <c r="AY48" s="3" t="n">
        <v>22241.40073602146</v>
      </c>
      <c r="AZ48" s="3" t="n">
        <v>61599.23640904943</v>
      </c>
      <c r="BA48" s="3" t="n">
        <v>4933.522185744353</v>
      </c>
      <c r="BB48" s="3" t="n">
        <v>5573784.109320075</v>
      </c>
      <c r="BC48" s="3" t="n">
        <v>113.2358142760992</v>
      </c>
      <c r="BD48" s="3" t="n">
        <v>100.6553019858855</v>
      </c>
      <c r="BE48" s="3" t="n">
        <v>109.9055024626813</v>
      </c>
      <c r="BF48" s="3" t="n">
        <v>24.21496365864058</v>
      </c>
      <c r="BG48" s="3" t="n">
        <v>25.53087143681882</v>
      </c>
      <c r="BH48" s="3" t="n">
        <v>92.86881399865615</v>
      </c>
      <c r="BI48" s="3" t="n">
        <v>101.4656511164438</v>
      </c>
      <c r="BJ48" s="3" t="n">
        <v>67.9794772576432</v>
      </c>
      <c r="BK48" s="3" t="n">
        <v>0.1046328634193131</v>
      </c>
      <c r="BL48" s="3" t="n">
        <v>2.053358193953617</v>
      </c>
      <c r="BM48" s="3" t="n">
        <v>5.806212292864665</v>
      </c>
      <c r="BN48" s="3" t="n">
        <v>0</v>
      </c>
      <c r="BO48" s="3" t="n">
        <v>0</v>
      </c>
      <c r="BP48" s="3" t="n">
        <v>0</v>
      </c>
    </row>
    <row r="49">
      <c r="A49" s="3" t="inlineStr">
        <is>
          <t>EGY.distn.bsh.dec.rur.mean.2</t>
        </is>
      </c>
      <c r="B49" s="3" t="inlineStr">
        <is>
          <t>EGY</t>
        </is>
      </c>
      <c r="C49" s="3" t="n">
        <v>2017</v>
      </c>
      <c r="D49" s="3" t="inlineStr">
        <is>
          <t>Rural</t>
        </is>
      </c>
      <c r="E49" s="3" t="inlineStr">
        <is>
          <t>Deciles</t>
        </is>
      </c>
      <c r="F49" s="3" t="inlineStr">
        <is>
          <t>mean</t>
        </is>
      </c>
      <c r="G49" s="3" t="n">
        <v>2</v>
      </c>
      <c r="H49" s="3" t="n">
        <v>1.743539221804992</v>
      </c>
      <c r="I49" s="3" t="n">
        <v>0.007973368485374202</v>
      </c>
      <c r="J49" s="3" t="n">
        <v>3.710899103846873</v>
      </c>
      <c r="K49" s="3" t="n">
        <v>5.755690762190004</v>
      </c>
      <c r="L49" s="3" t="n">
        <v>0</v>
      </c>
      <c r="M49" s="3" t="n">
        <v>1.877990330512614</v>
      </c>
      <c r="N49" s="3" t="n">
        <v>0</v>
      </c>
      <c r="O49" s="3" t="n">
        <v>3.295123449749078</v>
      </c>
      <c r="P49" s="3" t="n">
        <v>0</v>
      </c>
      <c r="Q49" s="3" t="n">
        <v>3.591988846398894</v>
      </c>
      <c r="R49" s="3" t="n">
        <v>61.08300123197901</v>
      </c>
      <c r="S49" s="3" t="n">
        <v>0.000421790567605348</v>
      </c>
      <c r="T49" s="3" t="n">
        <v>0.3522783865105002</v>
      </c>
      <c r="U49" s="3" t="n">
        <v>3.489106094071634</v>
      </c>
      <c r="V49" s="3" t="n">
        <v>3.622059386932924</v>
      </c>
      <c r="W49" s="3" t="n">
        <v>0</v>
      </c>
      <c r="X49" s="3" t="n">
        <v>2.645794505935402</v>
      </c>
      <c r="Y49" s="3" t="n">
        <v>0.06623382352392303</v>
      </c>
      <c r="Z49" s="3" t="n">
        <v>0.1046386823851101</v>
      </c>
      <c r="AA49" s="3" t="n">
        <v>0.003818489555440318</v>
      </c>
      <c r="AB49" s="3" t="n">
        <v>2.269921053268085</v>
      </c>
      <c r="AC49" s="3" t="n">
        <v>4.761194953012367</v>
      </c>
      <c r="AD49" s="3" t="n">
        <v>6.408673286599216</v>
      </c>
      <c r="AE49" s="3" t="n">
        <v>0.172133940844579</v>
      </c>
      <c r="AF49" s="3" t="n">
        <v>3.621816317248966</v>
      </c>
      <c r="AG49" s="3" t="n">
        <v>3123.702881257146</v>
      </c>
      <c r="AH49" s="3" t="n">
        <v>7107.671084121166</v>
      </c>
      <c r="AI49" s="3" t="n">
        <v>7371.220167078771</v>
      </c>
      <c r="AJ49" s="3" t="n">
        <v>8296.916499812756</v>
      </c>
      <c r="AK49" s="3" t="n">
        <v>8825.281361569692</v>
      </c>
      <c r="AL49" s="3" t="n">
        <v>9834.330935687032</v>
      </c>
      <c r="AM49" s="3" t="n">
        <v>9000.904532128814</v>
      </c>
      <c r="AN49" s="3" t="n">
        <v>11043.88114901835</v>
      </c>
      <c r="AO49" s="3" t="n">
        <v>11650.8035639857</v>
      </c>
      <c r="AP49" s="3" t="n">
        <v>12984.08760885443</v>
      </c>
      <c r="AQ49" s="3" t="n">
        <v>12370.02534048088</v>
      </c>
      <c r="AR49" s="3" t="n">
        <v>14649.9378502527</v>
      </c>
      <c r="AS49" s="3" t="n">
        <v>13075.75684939222</v>
      </c>
      <c r="AT49" s="3" t="n">
        <v>15870.51045227865</v>
      </c>
      <c r="AU49" s="3" t="n">
        <v>16318.21888428035</v>
      </c>
      <c r="AV49" s="3" t="n">
        <v>16964.8673282142</v>
      </c>
      <c r="AW49" s="3" t="n">
        <v>17449.49333611837</v>
      </c>
      <c r="AX49" s="3" t="n">
        <v>22507.77005690436</v>
      </c>
      <c r="AY49" s="3" t="n">
        <v>22506.26146486241</v>
      </c>
      <c r="AZ49" s="3" t="n">
        <v>69661.5250116103</v>
      </c>
      <c r="BA49" s="3" t="n">
        <v>6059.764558952622</v>
      </c>
      <c r="BB49" s="3" t="n">
        <v>5414998.267393229</v>
      </c>
      <c r="BC49" s="3" t="n">
        <v>114.9510293927291</v>
      </c>
      <c r="BD49" s="3" t="n">
        <v>113.3000017991243</v>
      </c>
      <c r="BE49" s="3" t="n">
        <v>107.4009909430729</v>
      </c>
      <c r="BF49" s="3" t="n">
        <v>34.06017458958388</v>
      </c>
      <c r="BG49" s="3" t="n">
        <v>40.79339784358035</v>
      </c>
      <c r="BH49" s="3" t="n">
        <v>96.30998091529598</v>
      </c>
      <c r="BI49" s="3" t="n">
        <v>107.1457723397145</v>
      </c>
      <c r="BJ49" s="3" t="n">
        <v>73.22720768583567</v>
      </c>
      <c r="BK49" s="3" t="n">
        <v>0</v>
      </c>
      <c r="BL49" s="3" t="n">
        <v>0.0009156104448590429</v>
      </c>
      <c r="BM49" s="3" t="n">
        <v>6.114472118556734</v>
      </c>
      <c r="BN49" s="3" t="n">
        <v>0</v>
      </c>
      <c r="BO49" s="3" t="n">
        <v>0</v>
      </c>
      <c r="BP49" s="3" t="n">
        <v>0</v>
      </c>
    </row>
    <row r="50">
      <c r="A50" s="3" t="inlineStr">
        <is>
          <t>EGY.distn.bsh.dec.rur.mean.3</t>
        </is>
      </c>
      <c r="B50" s="3" t="inlineStr">
        <is>
          <t>EGY</t>
        </is>
      </c>
      <c r="C50" s="3" t="n">
        <v>2017</v>
      </c>
      <c r="D50" s="3" t="inlineStr">
        <is>
          <t>Rural</t>
        </is>
      </c>
      <c r="E50" s="3" t="inlineStr">
        <is>
          <t>Deciles</t>
        </is>
      </c>
      <c r="F50" s="3" t="inlineStr">
        <is>
          <t>mean</t>
        </is>
      </c>
      <c r="G50" s="3" t="n">
        <v>3</v>
      </c>
      <c r="H50" s="3" t="n">
        <v>1.783154080679662</v>
      </c>
      <c r="I50" s="3" t="n">
        <v>0.007343745383681627</v>
      </c>
      <c r="J50" s="3" t="n">
        <v>3.740036054884253</v>
      </c>
      <c r="K50" s="3" t="n">
        <v>6.071616161624573</v>
      </c>
      <c r="L50" s="3" t="n">
        <v>0</v>
      </c>
      <c r="M50" s="3" t="n">
        <v>2.388587749388407</v>
      </c>
      <c r="N50" s="3" t="n">
        <v>0</v>
      </c>
      <c r="O50" s="3" t="n">
        <v>3.810587473766784</v>
      </c>
      <c r="P50" s="3" t="n">
        <v>0</v>
      </c>
      <c r="Q50" s="3" t="n">
        <v>3.197052444148484</v>
      </c>
      <c r="R50" s="3" t="n">
        <v>57.54600454081508</v>
      </c>
      <c r="S50" s="3" t="n">
        <v>0.0003465330906707626</v>
      </c>
      <c r="T50" s="3" t="n">
        <v>0.4305511282743019</v>
      </c>
      <c r="U50" s="3" t="n">
        <v>3.45640662153002</v>
      </c>
      <c r="V50" s="3" t="n">
        <v>4.045728750312001</v>
      </c>
      <c r="W50" s="3" t="n">
        <v>2.218534492813698e-05</v>
      </c>
      <c r="X50" s="3" t="n">
        <v>2.460524590613363</v>
      </c>
      <c r="Y50" s="3" t="n">
        <v>0.07055568294267385</v>
      </c>
      <c r="Z50" s="3" t="n">
        <v>0.1220848323878889</v>
      </c>
      <c r="AA50" s="3" t="n">
        <v>0.009855990014688674</v>
      </c>
      <c r="AB50" s="3" t="n">
        <v>2.066329520690246</v>
      </c>
      <c r="AC50" s="3" t="n">
        <v>4.800484408332764</v>
      </c>
      <c r="AD50" s="3" t="n">
        <v>5.981697087937182</v>
      </c>
      <c r="AE50" s="3" t="n">
        <v>0.3055482489577888</v>
      </c>
      <c r="AF50" s="3" t="n">
        <v>3.499513445572404</v>
      </c>
      <c r="AG50" s="3" t="n">
        <v>3027.119831737212</v>
      </c>
      <c r="AH50" s="3" t="n">
        <v>6905.739072999658</v>
      </c>
      <c r="AI50" s="3" t="n">
        <v>7358.767416420277</v>
      </c>
      <c r="AJ50" s="3" t="n">
        <v>8605.482879486093</v>
      </c>
      <c r="AK50" s="3" t="n">
        <v>8680.775766811172</v>
      </c>
      <c r="AL50" s="3" t="n">
        <v>9226.64714480433</v>
      </c>
      <c r="AM50" s="3" t="n">
        <v>9332.602851269643</v>
      </c>
      <c r="AN50" s="3" t="n">
        <v>11494.40572249524</v>
      </c>
      <c r="AO50" s="3" t="n">
        <v>10811.08310406592</v>
      </c>
      <c r="AP50" s="3" t="n">
        <v>11226.58762194724</v>
      </c>
      <c r="AQ50" s="3" t="n">
        <v>11634.87992630616</v>
      </c>
      <c r="AR50" s="3" t="n">
        <v>14554.61619634195</v>
      </c>
      <c r="AS50" s="3" t="n">
        <v>13249.87532728047</v>
      </c>
      <c r="AT50" s="3" t="n">
        <v>16461.06486880496</v>
      </c>
      <c r="AU50" s="3" t="n">
        <v>15102.65739799393</v>
      </c>
      <c r="AV50" s="3" t="n">
        <v>18567.82114371687</v>
      </c>
      <c r="AW50" s="3" t="n">
        <v>18095.80664114627</v>
      </c>
      <c r="AX50" s="3" t="n">
        <v>23139.88627186662</v>
      </c>
      <c r="AY50" s="3" t="n">
        <v>22088.07568601376</v>
      </c>
      <c r="AZ50" s="3" t="n">
        <v>69606.1119690114</v>
      </c>
      <c r="BA50" s="3" t="n">
        <v>7036.150878595643</v>
      </c>
      <c r="BB50" s="3" t="n">
        <v>6004874.284119667</v>
      </c>
      <c r="BC50" s="3" t="n">
        <v>110.1493717700752</v>
      </c>
      <c r="BD50" s="3" t="n">
        <v>98.96751518021746</v>
      </c>
      <c r="BE50" s="3" t="n">
        <v>115.3197338549867</v>
      </c>
      <c r="BF50" s="3" t="n">
        <v>41.02374689637558</v>
      </c>
      <c r="BG50" s="3" t="n">
        <v>45.23142807969286</v>
      </c>
      <c r="BH50" s="3" t="n">
        <v>103.9611452963183</v>
      </c>
      <c r="BI50" s="3" t="n">
        <v>100.6089165676101</v>
      </c>
      <c r="BJ50" s="3" t="n">
        <v>78.6857330333069</v>
      </c>
      <c r="BK50" s="3" t="n">
        <v>0</v>
      </c>
      <c r="BL50" s="3" t="n">
        <v>0</v>
      </c>
      <c r="BM50" s="3" t="n">
        <v>5.520655727690078</v>
      </c>
      <c r="BN50" s="3" t="n">
        <v>0</v>
      </c>
      <c r="BO50" s="3" t="n">
        <v>0</v>
      </c>
      <c r="BP50" s="3" t="n">
        <v>0</v>
      </c>
    </row>
    <row r="51">
      <c r="A51" s="3" t="inlineStr">
        <is>
          <t>EGY.distn.bsh.dec.rur.mean.4</t>
        </is>
      </c>
      <c r="B51" s="3" t="inlineStr">
        <is>
          <t>EGY</t>
        </is>
      </c>
      <c r="C51" s="3" t="n">
        <v>2017</v>
      </c>
      <c r="D51" s="3" t="inlineStr">
        <is>
          <t>Rural</t>
        </is>
      </c>
      <c r="E51" s="3" t="inlineStr">
        <is>
          <t>Deciles</t>
        </is>
      </c>
      <c r="F51" s="3" t="inlineStr">
        <is>
          <t>mean</t>
        </is>
      </c>
      <c r="G51" s="3" t="n">
        <v>4</v>
      </c>
      <c r="H51" s="3" t="n">
        <v>1.814822037192709</v>
      </c>
      <c r="I51" s="3" t="n">
        <v>0.007678296619090623</v>
      </c>
      <c r="J51" s="3" t="n">
        <v>3.222358134307143</v>
      </c>
      <c r="K51" s="3" t="n">
        <v>6.487014324470495</v>
      </c>
      <c r="L51" s="3" t="n">
        <v>0</v>
      </c>
      <c r="M51" s="3" t="n">
        <v>2.269783097855518</v>
      </c>
      <c r="N51" s="3" t="n">
        <v>0</v>
      </c>
      <c r="O51" s="3" t="n">
        <v>3.788506218926283</v>
      </c>
      <c r="P51" s="3" t="n">
        <v>0</v>
      </c>
      <c r="Q51" s="3" t="n">
        <v>3.322595810946034</v>
      </c>
      <c r="R51" s="3" t="n">
        <v>56.57975535275786</v>
      </c>
      <c r="S51" s="3" t="n">
        <v>0.0003835159771422782</v>
      </c>
      <c r="T51" s="3" t="n">
        <v>0.5021903726059321</v>
      </c>
      <c r="U51" s="3" t="n">
        <v>4.264732759864678</v>
      </c>
      <c r="V51" s="3" t="n">
        <v>3.303126995766689</v>
      </c>
      <c r="W51" s="3" t="n">
        <v>0</v>
      </c>
      <c r="X51" s="3" t="n">
        <v>2.460623513645465</v>
      </c>
      <c r="Y51" s="3" t="n">
        <v>0.06137762731811509</v>
      </c>
      <c r="Z51" s="3" t="n">
        <v>0.1499945772592889</v>
      </c>
      <c r="AA51" s="3" t="n">
        <v>0.007568271205781139</v>
      </c>
      <c r="AB51" s="3" t="n">
        <v>2.144627571134747</v>
      </c>
      <c r="AC51" s="3" t="n">
        <v>5.223400228207054</v>
      </c>
      <c r="AD51" s="3" t="n">
        <v>6.225836621662298</v>
      </c>
      <c r="AE51" s="3" t="n">
        <v>0.349534937636663</v>
      </c>
      <c r="AF51" s="3" t="n">
        <v>4.036251934519123</v>
      </c>
      <c r="AG51" s="3" t="n">
        <v>3013.538746647256</v>
      </c>
      <c r="AH51" s="3" t="n">
        <v>6925.737530666831</v>
      </c>
      <c r="AI51" s="3" t="n">
        <v>7291.76283814373</v>
      </c>
      <c r="AJ51" s="3" t="n">
        <v>8919.056135536621</v>
      </c>
      <c r="AK51" s="3" t="n">
        <v>8772.093221310262</v>
      </c>
      <c r="AL51" s="3" t="n">
        <v>9122.446001952576</v>
      </c>
      <c r="AM51" s="3" t="n">
        <v>10159.4115933642</v>
      </c>
      <c r="AN51" s="3" t="n">
        <v>10897.40005918215</v>
      </c>
      <c r="AO51" s="3" t="n">
        <v>11222.33076623017</v>
      </c>
      <c r="AP51" s="3" t="n">
        <v>12031.91814152317</v>
      </c>
      <c r="AQ51" s="3" t="n">
        <v>12709.9155287156</v>
      </c>
      <c r="AR51" s="3" t="n">
        <v>12679.15987467552</v>
      </c>
      <c r="AS51" s="3" t="n">
        <v>13361.34814470414</v>
      </c>
      <c r="AT51" s="3" t="n">
        <v>16107.81585612933</v>
      </c>
      <c r="AU51" s="3" t="n">
        <v>16518.7606209052</v>
      </c>
      <c r="AV51" s="3" t="n">
        <v>19255.07629717338</v>
      </c>
      <c r="AW51" s="3" t="n">
        <v>17750.13487798643</v>
      </c>
      <c r="AX51" s="3" t="n">
        <v>24126.96161944191</v>
      </c>
      <c r="AY51" s="3" t="n">
        <v>22803.60122401038</v>
      </c>
      <c r="AZ51" s="3" t="n">
        <v>66220.69899341058</v>
      </c>
      <c r="BA51" s="3" t="n">
        <v>8169.529035932927</v>
      </c>
      <c r="BB51" s="3" t="n">
        <v>5466352.08139727</v>
      </c>
      <c r="BC51" s="3" t="n">
        <v>101.3676094032961</v>
      </c>
      <c r="BD51" s="3" t="n">
        <v>108.4809100188616</v>
      </c>
      <c r="BE51" s="3" t="n">
        <v>102.8737969790564</v>
      </c>
      <c r="BF51" s="3" t="n">
        <v>46.39452777125397</v>
      </c>
      <c r="BG51" s="3" t="n">
        <v>49.98767233427176</v>
      </c>
      <c r="BH51" s="3" t="n">
        <v>103.7472710065317</v>
      </c>
      <c r="BI51" s="3" t="n">
        <v>111.0620995578718</v>
      </c>
      <c r="BJ51" s="3" t="n">
        <v>86.77285473491706</v>
      </c>
      <c r="BK51" s="3" t="n">
        <v>0</v>
      </c>
      <c r="BL51" s="3" t="n">
        <v>0</v>
      </c>
      <c r="BM51" s="3" t="n">
        <v>4.866408787030422</v>
      </c>
      <c r="BN51" s="3" t="n">
        <v>0</v>
      </c>
      <c r="BO51" s="3" t="n">
        <v>0</v>
      </c>
      <c r="BP51" s="3" t="n">
        <v>0</v>
      </c>
    </row>
    <row r="52">
      <c r="A52" s="3" t="inlineStr">
        <is>
          <t>EGY.distn.bsh.dec.rur.mean.5</t>
        </is>
      </c>
      <c r="B52" s="3" t="inlineStr">
        <is>
          <t>EGY</t>
        </is>
      </c>
      <c r="C52" s="3" t="n">
        <v>2017</v>
      </c>
      <c r="D52" s="3" t="inlineStr">
        <is>
          <t>Rural</t>
        </is>
      </c>
      <c r="E52" s="3" t="inlineStr">
        <is>
          <t>Deciles</t>
        </is>
      </c>
      <c r="F52" s="3" t="inlineStr">
        <is>
          <t>mean</t>
        </is>
      </c>
      <c r="G52" s="3" t="n">
        <v>5</v>
      </c>
      <c r="H52" s="3" t="n">
        <v>1.693917688693682</v>
      </c>
      <c r="I52" s="3" t="n">
        <v>0.005538568632057609</v>
      </c>
      <c r="J52" s="3" t="n">
        <v>3.478166845463198</v>
      </c>
      <c r="K52" s="3" t="n">
        <v>6.542085610837093</v>
      </c>
      <c r="L52" s="3" t="n">
        <v>0</v>
      </c>
      <c r="M52" s="3" t="n">
        <v>2.286926611391667</v>
      </c>
      <c r="N52" s="3" t="n">
        <v>0</v>
      </c>
      <c r="O52" s="3" t="n">
        <v>4.081073586579905</v>
      </c>
      <c r="P52" s="3" t="n">
        <v>0</v>
      </c>
      <c r="Q52" s="3" t="n">
        <v>3.263704457931803</v>
      </c>
      <c r="R52" s="3" t="n">
        <v>56.37307689781229</v>
      </c>
      <c r="S52" s="3" t="n">
        <v>0.000257195056654545</v>
      </c>
      <c r="T52" s="3" t="n">
        <v>0.4182961888003599</v>
      </c>
      <c r="U52" s="3" t="n">
        <v>4.050190276689155</v>
      </c>
      <c r="V52" s="3" t="n">
        <v>3.153568078743218</v>
      </c>
      <c r="W52" s="3" t="n">
        <v>0.0001168976601605742</v>
      </c>
      <c r="X52" s="3" t="n">
        <v>2.334039158460947</v>
      </c>
      <c r="Y52" s="3" t="n">
        <v>0.06734831964254501</v>
      </c>
      <c r="Z52" s="3" t="n">
        <v>0.1141126506102825</v>
      </c>
      <c r="AA52" s="3" t="n">
        <v>0.009854633185376507</v>
      </c>
      <c r="AB52" s="3" t="n">
        <v>2.091416534501572</v>
      </c>
      <c r="AC52" s="3" t="n">
        <v>5.48532312079687</v>
      </c>
      <c r="AD52" s="3" t="n">
        <v>5.877138914107699</v>
      </c>
      <c r="AE52" s="3" t="n">
        <v>0.275382914603985</v>
      </c>
      <c r="AF52" s="3" t="n">
        <v>4.269437227121559</v>
      </c>
      <c r="AG52" s="3" t="n">
        <v>3110.673951807619</v>
      </c>
      <c r="AH52" s="3" t="n">
        <v>6807.005619617777</v>
      </c>
      <c r="AI52" s="3" t="n">
        <v>7580.031645515594</v>
      </c>
      <c r="AJ52" s="3" t="n">
        <v>8161.065486557213</v>
      </c>
      <c r="AK52" s="3" t="n">
        <v>8510.075336843094</v>
      </c>
      <c r="AL52" s="3" t="n">
        <v>10118.23557176915</v>
      </c>
      <c r="AM52" s="3" t="n">
        <v>9653.451459573216</v>
      </c>
      <c r="AN52" s="3" t="n">
        <v>11624.55617760668</v>
      </c>
      <c r="AO52" s="3" t="n">
        <v>10212.76581625311</v>
      </c>
      <c r="AP52" s="3" t="n">
        <v>11627.53088372302</v>
      </c>
      <c r="AQ52" s="3" t="n">
        <v>12608.75239713226</v>
      </c>
      <c r="AR52" s="3" t="n">
        <v>14360.01588670645</v>
      </c>
      <c r="AS52" s="3" t="n">
        <v>13673.36513868734</v>
      </c>
      <c r="AT52" s="3" t="n">
        <v>14726.40516331438</v>
      </c>
      <c r="AU52" s="3" t="n">
        <v>14561.34308217871</v>
      </c>
      <c r="AV52" s="3" t="n">
        <v>18730.36522306412</v>
      </c>
      <c r="AW52" s="3" t="n">
        <v>18004.6743569318</v>
      </c>
      <c r="AX52" s="3" t="n">
        <v>24055.76021507601</v>
      </c>
      <c r="AY52" s="3" t="n">
        <v>22908.67182328919</v>
      </c>
      <c r="AZ52" s="3" t="n">
        <v>67036.81392662725</v>
      </c>
      <c r="BA52" s="3" t="n">
        <v>9297.91647447429</v>
      </c>
      <c r="BB52" s="3" t="n">
        <v>5425208.03895509</v>
      </c>
      <c r="BC52" s="3" t="n">
        <v>108.1589039330696</v>
      </c>
      <c r="BD52" s="3" t="n">
        <v>111.7694591374601</v>
      </c>
      <c r="BE52" s="3" t="n">
        <v>101.1704432901827</v>
      </c>
      <c r="BF52" s="3" t="n">
        <v>57.59766761198263</v>
      </c>
      <c r="BG52" s="3" t="n">
        <v>52.39844345936175</v>
      </c>
      <c r="BH52" s="3" t="n">
        <v>102.6780259772527</v>
      </c>
      <c r="BI52" s="3" t="n">
        <v>109.9798137595374</v>
      </c>
      <c r="BJ52" s="3" t="n">
        <v>88.66235543078997</v>
      </c>
      <c r="BK52" s="3" t="n">
        <v>0</v>
      </c>
      <c r="BL52" s="3" t="n">
        <v>0</v>
      </c>
      <c r="BM52" s="3" t="n">
        <v>1.478656701951139</v>
      </c>
      <c r="BN52" s="3" t="n">
        <v>0</v>
      </c>
      <c r="BO52" s="3" t="n">
        <v>0</v>
      </c>
      <c r="BP52" s="3" t="n">
        <v>0</v>
      </c>
    </row>
    <row r="53">
      <c r="A53" s="3" t="inlineStr">
        <is>
          <t>EGY.distn.bsh.dec.rur.mean.6</t>
        </is>
      </c>
      <c r="B53" s="3" t="inlineStr">
        <is>
          <t>EGY</t>
        </is>
      </c>
      <c r="C53" s="3" t="n">
        <v>2017</v>
      </c>
      <c r="D53" s="3" t="inlineStr">
        <is>
          <t>Rural</t>
        </is>
      </c>
      <c r="E53" s="3" t="inlineStr">
        <is>
          <t>Deciles</t>
        </is>
      </c>
      <c r="F53" s="3" t="inlineStr">
        <is>
          <t>mean</t>
        </is>
      </c>
      <c r="G53" s="3" t="n">
        <v>6</v>
      </c>
      <c r="H53" s="3" t="n">
        <v>1.781387452988999</v>
      </c>
      <c r="I53" s="3" t="n">
        <v>0.004099945481844555</v>
      </c>
      <c r="J53" s="3" t="n">
        <v>3.551867479539571</v>
      </c>
      <c r="K53" s="3" t="n">
        <v>6.756671550230346</v>
      </c>
      <c r="L53" s="3" t="n">
        <v>0</v>
      </c>
      <c r="M53" s="3" t="n">
        <v>2.319866899889963</v>
      </c>
      <c r="N53" s="3" t="n">
        <v>0</v>
      </c>
      <c r="O53" s="3" t="n">
        <v>4.239665084498549</v>
      </c>
      <c r="P53" s="3" t="n">
        <v>0</v>
      </c>
      <c r="Q53" s="3" t="n">
        <v>3.514304313962979</v>
      </c>
      <c r="R53" s="3" t="n">
        <v>57.52235665888539</v>
      </c>
      <c r="S53" s="3" t="n">
        <v>0.000208005606832865</v>
      </c>
      <c r="T53" s="3" t="n">
        <v>0.499599354680722</v>
      </c>
      <c r="U53" s="3" t="n">
        <v>4.166882356326603</v>
      </c>
      <c r="V53" s="3" t="n">
        <v>3.913224116241119</v>
      </c>
      <c r="W53" s="3" t="n">
        <v>6.73178202163453e-05</v>
      </c>
      <c r="X53" s="3" t="n">
        <v>2.044491115226444</v>
      </c>
      <c r="Y53" s="3" t="n">
        <v>0.0685397927184544</v>
      </c>
      <c r="Z53" s="3" t="n">
        <v>0.1447447949277801</v>
      </c>
      <c r="AA53" s="3" t="n">
        <v>0.01228655600403062</v>
      </c>
      <c r="AB53" s="3" t="n">
        <v>2.047573808742969</v>
      </c>
      <c r="AC53" s="3" t="n">
        <v>5.840034720957946</v>
      </c>
      <c r="AD53" s="3" t="n">
        <v>5.815207033626367</v>
      </c>
      <c r="AE53" s="3" t="n">
        <v>0.3905795558215163</v>
      </c>
      <c r="AF53" s="3" t="n">
        <v>4.054665777796236</v>
      </c>
      <c r="AG53" s="3" t="n">
        <v>3097.312239742299</v>
      </c>
      <c r="AH53" s="3" t="n">
        <v>7585.862579074212</v>
      </c>
      <c r="AI53" s="3" t="n">
        <v>7364.164956476047</v>
      </c>
      <c r="AJ53" s="3" t="n">
        <v>8081.603687031365</v>
      </c>
      <c r="AK53" s="3" t="n">
        <v>8998.651723124573</v>
      </c>
      <c r="AL53" s="3" t="n">
        <v>8972.961025528222</v>
      </c>
      <c r="AM53" s="3" t="n">
        <v>10369.0472524417</v>
      </c>
      <c r="AN53" s="3" t="n">
        <v>10308.70931152674</v>
      </c>
      <c r="AO53" s="3" t="n">
        <v>10078.69810741954</v>
      </c>
      <c r="AP53" s="3" t="n">
        <v>12691.12767951443</v>
      </c>
      <c r="AQ53" s="3" t="n">
        <v>12527.11168699228</v>
      </c>
      <c r="AR53" s="3" t="n">
        <v>12911.92015682981</v>
      </c>
      <c r="AS53" s="3" t="n">
        <v>13696.5692498501</v>
      </c>
      <c r="AT53" s="3" t="n">
        <v>16712.26887151249</v>
      </c>
      <c r="AU53" s="3" t="n">
        <v>15308.25262646806</v>
      </c>
      <c r="AV53" s="3" t="n">
        <v>18128.75813668915</v>
      </c>
      <c r="AW53" s="3" t="n">
        <v>16908.69622700946</v>
      </c>
      <c r="AX53" s="3" t="n">
        <v>23320.97802727169</v>
      </c>
      <c r="AY53" s="3" t="n">
        <v>22216.53111740764</v>
      </c>
      <c r="AZ53" s="3" t="n">
        <v>62984.80588244528</v>
      </c>
      <c r="BA53" s="3" t="n">
        <v>9907.063542247186</v>
      </c>
      <c r="BB53" s="3" t="n">
        <v>5871779.921327601</v>
      </c>
      <c r="BC53" s="3" t="n">
        <v>111.4753535111628</v>
      </c>
      <c r="BD53" s="3" t="n">
        <v>105.723975072752</v>
      </c>
      <c r="BE53" s="3" t="n">
        <v>107.4779674915355</v>
      </c>
      <c r="BF53" s="3" t="n">
        <v>59.77377507937019</v>
      </c>
      <c r="BG53" s="3" t="n">
        <v>61.92393654731241</v>
      </c>
      <c r="BH53" s="3" t="n">
        <v>99.80333809638152</v>
      </c>
      <c r="BI53" s="3" t="n">
        <v>109.3503739031083</v>
      </c>
      <c r="BJ53" s="3" t="n">
        <v>84.65564962687053</v>
      </c>
      <c r="BK53" s="3" t="n">
        <v>0</v>
      </c>
      <c r="BL53" s="3" t="n">
        <v>0</v>
      </c>
      <c r="BM53" s="3" t="n">
        <v>0.1619962411815478</v>
      </c>
      <c r="BN53" s="3" t="n">
        <v>0</v>
      </c>
      <c r="BO53" s="3" t="n">
        <v>0</v>
      </c>
      <c r="BP53" s="3" t="n">
        <v>0</v>
      </c>
    </row>
    <row r="54">
      <c r="A54" s="3" t="inlineStr">
        <is>
          <t>EGY.distn.bsh.dec.rur.mean.7</t>
        </is>
      </c>
      <c r="B54" s="3" t="inlineStr">
        <is>
          <t>EGY</t>
        </is>
      </c>
      <c r="C54" s="3" t="n">
        <v>2017</v>
      </c>
      <c r="D54" s="3" t="inlineStr">
        <is>
          <t>Rural</t>
        </is>
      </c>
      <c r="E54" s="3" t="inlineStr">
        <is>
          <t>Deciles</t>
        </is>
      </c>
      <c r="F54" s="3" t="inlineStr">
        <is>
          <t>mean</t>
        </is>
      </c>
      <c r="G54" s="3" t="n">
        <v>7</v>
      </c>
      <c r="H54" s="3" t="n">
        <v>2.014264312191511</v>
      </c>
      <c r="I54" s="3" t="n">
        <v>0.005589543788052097</v>
      </c>
      <c r="J54" s="3" t="n">
        <v>3.83131277790851</v>
      </c>
      <c r="K54" s="3" t="n">
        <v>6.652801593058796</v>
      </c>
      <c r="L54" s="3" t="n">
        <v>0</v>
      </c>
      <c r="M54" s="3" t="n">
        <v>2.361444602796878</v>
      </c>
      <c r="N54" s="3" t="n">
        <v>0</v>
      </c>
      <c r="O54" s="3" t="n">
        <v>3.603877187274332</v>
      </c>
      <c r="P54" s="3" t="n">
        <v>0</v>
      </c>
      <c r="Q54" s="3" t="n">
        <v>3.172059660006232</v>
      </c>
      <c r="R54" s="3" t="n">
        <v>56.70125084338451</v>
      </c>
      <c r="S54" s="3" t="n">
        <v>0.0002914197021998647</v>
      </c>
      <c r="T54" s="3" t="n">
        <v>0.5474447959043053</v>
      </c>
      <c r="U54" s="3" t="n">
        <v>4.870229694314116</v>
      </c>
      <c r="V54" s="3" t="n">
        <v>3.542149476569108</v>
      </c>
      <c r="W54" s="3" t="n">
        <v>0</v>
      </c>
      <c r="X54" s="3" t="n">
        <v>2.051631443345378</v>
      </c>
      <c r="Y54" s="3" t="n">
        <v>0.0728758852755465</v>
      </c>
      <c r="Z54" s="3" t="n">
        <v>0.1389675588726499</v>
      </c>
      <c r="AA54" s="3" t="n">
        <v>0.01504468097281721</v>
      </c>
      <c r="AB54" s="3" t="n">
        <v>1.572120461159425</v>
      </c>
      <c r="AC54" s="3" t="n">
        <v>6.683201533633145</v>
      </c>
      <c r="AD54" s="3" t="n">
        <v>5.960076320508481</v>
      </c>
      <c r="AE54" s="3" t="n">
        <v>0.3911387443237112</v>
      </c>
      <c r="AF54" s="3" t="n">
        <v>4.268766428231986</v>
      </c>
      <c r="AG54" s="3" t="n">
        <v>3187.181167301248</v>
      </c>
      <c r="AH54" s="3" t="n">
        <v>6686.983188381203</v>
      </c>
      <c r="AI54" s="3" t="n">
        <v>6931.343652228615</v>
      </c>
      <c r="AJ54" s="3" t="n">
        <v>9108.540689383237</v>
      </c>
      <c r="AK54" s="3" t="n">
        <v>8964.055995981411</v>
      </c>
      <c r="AL54" s="3" t="n">
        <v>9233.289671010596</v>
      </c>
      <c r="AM54" s="3" t="n">
        <v>9607.585491563217</v>
      </c>
      <c r="AN54" s="3" t="n">
        <v>10039.41735536058</v>
      </c>
      <c r="AO54" s="3" t="n">
        <v>10662.89756736766</v>
      </c>
      <c r="AP54" s="3" t="n">
        <v>12081.86192731641</v>
      </c>
      <c r="AQ54" s="3" t="n">
        <v>11665.40182991152</v>
      </c>
      <c r="AR54" s="3" t="n">
        <v>14362.33914198251</v>
      </c>
      <c r="AS54" s="3" t="n">
        <v>13452.54444943</v>
      </c>
      <c r="AT54" s="3" t="n">
        <v>15199.63282691582</v>
      </c>
      <c r="AU54" s="3" t="n">
        <v>16267.71045166085</v>
      </c>
      <c r="AV54" s="3" t="n">
        <v>18369.45601477085</v>
      </c>
      <c r="AW54" s="3" t="n">
        <v>18053.22920257498</v>
      </c>
      <c r="AX54" s="3" t="n">
        <v>22982.60707276563</v>
      </c>
      <c r="AY54" s="3" t="n">
        <v>21416.86818458256</v>
      </c>
      <c r="AZ54" s="3" t="n">
        <v>68406.32333612177</v>
      </c>
      <c r="BA54" s="3" t="n">
        <v>11600.95726950613</v>
      </c>
      <c r="BB54" s="3" t="n">
        <v>6015692.788052627</v>
      </c>
      <c r="BC54" s="3" t="n">
        <v>100.0278416526882</v>
      </c>
      <c r="BD54" s="3" t="n">
        <v>103.8909553701832</v>
      </c>
      <c r="BE54" s="3" t="n">
        <v>109.3012614577778</v>
      </c>
      <c r="BF54" s="3" t="n">
        <v>60.71108865901572</v>
      </c>
      <c r="BG54" s="3" t="n">
        <v>62.85229990598851</v>
      </c>
      <c r="BH54" s="3" t="n">
        <v>96.42485760030462</v>
      </c>
      <c r="BI54" s="3" t="n">
        <v>100.383868208766</v>
      </c>
      <c r="BJ54" s="3" t="n">
        <v>87.92761433442986</v>
      </c>
      <c r="BK54" s="3" t="n">
        <v>0</v>
      </c>
      <c r="BL54" s="3" t="n">
        <v>0</v>
      </c>
      <c r="BM54" s="3" t="n">
        <v>0.01895893886688871</v>
      </c>
      <c r="BN54" s="3" t="n">
        <v>0</v>
      </c>
      <c r="BO54" s="3" t="n">
        <v>0</v>
      </c>
      <c r="BP54" s="3" t="n">
        <v>0</v>
      </c>
    </row>
    <row r="55">
      <c r="A55" s="3" t="inlineStr">
        <is>
          <t>EGY.distn.bsh.dec.rur.mean.8</t>
        </is>
      </c>
      <c r="B55" s="3" t="inlineStr">
        <is>
          <t>EGY</t>
        </is>
      </c>
      <c r="C55" s="3" t="n">
        <v>2017</v>
      </c>
      <c r="D55" s="3" t="inlineStr">
        <is>
          <t>Rural</t>
        </is>
      </c>
      <c r="E55" s="3" t="inlineStr">
        <is>
          <t>Deciles</t>
        </is>
      </c>
      <c r="F55" s="3" t="inlineStr">
        <is>
          <t>mean</t>
        </is>
      </c>
      <c r="G55" s="3" t="n">
        <v>8</v>
      </c>
      <c r="H55" s="3" t="n">
        <v>1.85100529953291</v>
      </c>
      <c r="I55" s="3" t="n">
        <v>0.003416288618904363</v>
      </c>
      <c r="J55" s="3" t="n">
        <v>3.422393562325169</v>
      </c>
      <c r="K55" s="3" t="n">
        <v>5.471219155276308</v>
      </c>
      <c r="L55" s="3" t="n">
        <v>0</v>
      </c>
      <c r="M55" s="3" t="n">
        <v>2.357398675368995</v>
      </c>
      <c r="N55" s="3" t="n">
        <v>0</v>
      </c>
      <c r="O55" s="3" t="n">
        <v>3.523736867141016</v>
      </c>
      <c r="P55" s="3" t="n">
        <v>0</v>
      </c>
      <c r="Q55" s="3" t="n">
        <v>3.342433409705069</v>
      </c>
      <c r="R55" s="3" t="n">
        <v>56.43542931684811</v>
      </c>
      <c r="S55" s="3" t="n">
        <v>0.0001810826505013663</v>
      </c>
      <c r="T55" s="3" t="n">
        <v>0.6617335873039887</v>
      </c>
      <c r="U55" s="3" t="n">
        <v>5.324684178535967</v>
      </c>
      <c r="V55" s="3" t="n">
        <v>4.05932318337402</v>
      </c>
      <c r="W55" s="3" t="n">
        <v>0</v>
      </c>
      <c r="X55" s="3" t="n">
        <v>2.124692707137839</v>
      </c>
      <c r="Y55" s="3" t="n">
        <v>0.08091666072106744</v>
      </c>
      <c r="Z55" s="3" t="n">
        <v>0.1512495690405913</v>
      </c>
      <c r="AA55" s="3" t="n">
        <v>0.01347173601110624</v>
      </c>
      <c r="AB55" s="3" t="n">
        <v>1.42957103397246</v>
      </c>
      <c r="AC55" s="3" t="n">
        <v>6.876931679120071</v>
      </c>
      <c r="AD55" s="3" t="n">
        <v>6.069795297797183</v>
      </c>
      <c r="AE55" s="3" t="n">
        <v>0.4998074201018744</v>
      </c>
      <c r="AF55" s="3" t="n">
        <v>4.302822858194474</v>
      </c>
      <c r="AG55" s="3" t="n">
        <v>3358.592340028888</v>
      </c>
      <c r="AH55" s="3" t="n">
        <v>6642.258338598397</v>
      </c>
      <c r="AI55" s="3" t="n">
        <v>7330.908475853444</v>
      </c>
      <c r="AJ55" s="3" t="n">
        <v>8190.039933217939</v>
      </c>
      <c r="AK55" s="3" t="n">
        <v>8559.277081212742</v>
      </c>
      <c r="AL55" s="3" t="n">
        <v>10202.92570261668</v>
      </c>
      <c r="AM55" s="3" t="n">
        <v>10255.86877813608</v>
      </c>
      <c r="AN55" s="3" t="n">
        <v>10070.2458483368</v>
      </c>
      <c r="AO55" s="3" t="n">
        <v>10269.67136882735</v>
      </c>
      <c r="AP55" s="3" t="n">
        <v>11475.00471624555</v>
      </c>
      <c r="AQ55" s="3" t="n">
        <v>12620.83434080264</v>
      </c>
      <c r="AR55" s="3" t="n">
        <v>14650.02021634386</v>
      </c>
      <c r="AS55" s="3" t="n">
        <v>12991.23881482131</v>
      </c>
      <c r="AT55" s="3" t="n">
        <v>15590.57835767925</v>
      </c>
      <c r="AU55" s="3" t="n">
        <v>15380.57839146046</v>
      </c>
      <c r="AV55" s="3" t="n">
        <v>19131.75580530737</v>
      </c>
      <c r="AW55" s="3" t="n">
        <v>17267.38556292779</v>
      </c>
      <c r="AX55" s="3" t="n">
        <v>22602.80555461948</v>
      </c>
      <c r="AY55" s="3" t="n">
        <v>21808.9272343351</v>
      </c>
      <c r="AZ55" s="3" t="n">
        <v>65086.83678547428</v>
      </c>
      <c r="BA55" s="3" t="n">
        <v>12407.28319683883</v>
      </c>
      <c r="BB55" s="3" t="n">
        <v>5786366.546880573</v>
      </c>
      <c r="BC55" s="3" t="n">
        <v>108.4265293972479</v>
      </c>
      <c r="BD55" s="3" t="n">
        <v>108.9638076525568</v>
      </c>
      <c r="BE55" s="3" t="n">
        <v>99.45359586967436</v>
      </c>
      <c r="BF55" s="3" t="n">
        <v>51.9846968342076</v>
      </c>
      <c r="BG55" s="3" t="n">
        <v>66.61747606208678</v>
      </c>
      <c r="BH55" s="3" t="n">
        <v>102.0724556657892</v>
      </c>
      <c r="BI55" s="3" t="n">
        <v>101.5256590300757</v>
      </c>
      <c r="BJ55" s="3" t="n">
        <v>85.63572709566586</v>
      </c>
      <c r="BK55" s="3" t="n">
        <v>0</v>
      </c>
      <c r="BL55" s="3" t="n">
        <v>0</v>
      </c>
      <c r="BM55" s="3" t="n">
        <v>0</v>
      </c>
      <c r="BN55" s="3" t="n">
        <v>0</v>
      </c>
      <c r="BO55" s="3" t="n">
        <v>0</v>
      </c>
      <c r="BP55" s="3" t="n">
        <v>0</v>
      </c>
    </row>
    <row r="56">
      <c r="A56" s="3" t="inlineStr">
        <is>
          <t>EGY.distn.bsh.dec.rur.mean.9</t>
        </is>
      </c>
      <c r="B56" s="3" t="inlineStr">
        <is>
          <t>EGY</t>
        </is>
      </c>
      <c r="C56" s="3" t="n">
        <v>2017</v>
      </c>
      <c r="D56" s="3" t="inlineStr">
        <is>
          <t>Rural</t>
        </is>
      </c>
      <c r="E56" s="3" t="inlineStr">
        <is>
          <t>Deciles</t>
        </is>
      </c>
      <c r="F56" s="3" t="inlineStr">
        <is>
          <t>mean</t>
        </is>
      </c>
      <c r="G56" s="3" t="n">
        <v>9</v>
      </c>
      <c r="H56" s="3" t="n">
        <v>1.715754127308399</v>
      </c>
      <c r="I56" s="3" t="n">
        <v>0.004574763410416949</v>
      </c>
      <c r="J56" s="3" t="n">
        <v>3.624933342482892</v>
      </c>
      <c r="K56" s="3" t="n">
        <v>5.462987734924165</v>
      </c>
      <c r="L56" s="3" t="n">
        <v>0</v>
      </c>
      <c r="M56" s="3" t="n">
        <v>2.184786713076266</v>
      </c>
      <c r="N56" s="3" t="n">
        <v>0</v>
      </c>
      <c r="O56" s="3" t="n">
        <v>2.433773750698195</v>
      </c>
      <c r="P56" s="3" t="n">
        <v>0</v>
      </c>
      <c r="Q56" s="3" t="n">
        <v>3.410669087922874</v>
      </c>
      <c r="R56" s="3" t="n">
        <v>52.49740541900011</v>
      </c>
      <c r="S56" s="3" t="n">
        <v>0.0002607206848363123</v>
      </c>
      <c r="T56" s="3" t="n">
        <v>0.5748146476947085</v>
      </c>
      <c r="U56" s="3" t="n">
        <v>5.479746215279581</v>
      </c>
      <c r="V56" s="3" t="n">
        <v>4.007110149869988</v>
      </c>
      <c r="W56" s="3" t="n">
        <v>4.277761527397158e-05</v>
      </c>
      <c r="X56" s="3" t="n">
        <v>2.30369773914465</v>
      </c>
      <c r="Y56" s="3" t="n">
        <v>0.06013406157575685</v>
      </c>
      <c r="Z56" s="3" t="n">
        <v>0.1560199706149037</v>
      </c>
      <c r="AA56" s="3" t="n">
        <v>0.007885962520881711</v>
      </c>
      <c r="AB56" s="3" t="n">
        <v>1.207919092581116</v>
      </c>
      <c r="AC56" s="3" t="n">
        <v>9.224486937155069</v>
      </c>
      <c r="AD56" s="3" t="n">
        <v>5.57335042549055</v>
      </c>
      <c r="AE56" s="3" t="n">
        <v>0.5886828662129374</v>
      </c>
      <c r="AF56" s="3" t="n">
        <v>4.013243384355132</v>
      </c>
      <c r="AG56" s="3" t="n">
        <v>3371.519721841804</v>
      </c>
      <c r="AH56" s="3" t="n">
        <v>7288.496972464044</v>
      </c>
      <c r="AI56" s="3" t="n">
        <v>7050.359268881925</v>
      </c>
      <c r="AJ56" s="3" t="n">
        <v>9013.831579040549</v>
      </c>
      <c r="AK56" s="3" t="n">
        <v>7994.129407307228</v>
      </c>
      <c r="AL56" s="3" t="n">
        <v>9446.07527182078</v>
      </c>
      <c r="AM56" s="3" t="n">
        <v>10358.15198842817</v>
      </c>
      <c r="AN56" s="3" t="n">
        <v>11111.13642135086</v>
      </c>
      <c r="AO56" s="3" t="n">
        <v>10358.03189288936</v>
      </c>
      <c r="AP56" s="3" t="n">
        <v>11916.27780781064</v>
      </c>
      <c r="AQ56" s="3" t="n">
        <v>12622.04382636643</v>
      </c>
      <c r="AR56" s="3" t="n">
        <v>13388.42440453765</v>
      </c>
      <c r="AS56" s="3" t="n">
        <v>14253.04049329172</v>
      </c>
      <c r="AT56" s="3" t="n">
        <v>14678.15557169608</v>
      </c>
      <c r="AU56" s="3" t="n">
        <v>16488.38286986342</v>
      </c>
      <c r="AV56" s="3" t="n">
        <v>16841.41260793924</v>
      </c>
      <c r="AW56" s="3" t="n">
        <v>18102.97727384483</v>
      </c>
      <c r="AX56" s="3" t="n">
        <v>21847.68615402274</v>
      </c>
      <c r="AY56" s="3" t="n">
        <v>23916.61379762855</v>
      </c>
      <c r="AZ56" s="3" t="n">
        <v>62133.22071913427</v>
      </c>
      <c r="BA56" s="3" t="n">
        <v>14484.34245577603</v>
      </c>
      <c r="BB56" s="3" t="n">
        <v>5528665.514331621</v>
      </c>
      <c r="BC56" s="3" t="n">
        <v>100.8856335240929</v>
      </c>
      <c r="BD56" s="3" t="n">
        <v>110.7748993306819</v>
      </c>
      <c r="BE56" s="3" t="n">
        <v>109.1297055307918</v>
      </c>
      <c r="BF56" s="3" t="n">
        <v>48.82158057044648</v>
      </c>
      <c r="BG56" s="3" t="n">
        <v>70.67943441671939</v>
      </c>
      <c r="BH56" s="3" t="n">
        <v>98.71577638725911</v>
      </c>
      <c r="BI56" s="3" t="n">
        <v>105.9739374711002</v>
      </c>
      <c r="BJ56" s="3" t="n">
        <v>84.03216877464148</v>
      </c>
      <c r="BK56" s="3" t="n">
        <v>0</v>
      </c>
      <c r="BL56" s="3" t="n">
        <v>0</v>
      </c>
      <c r="BM56" s="3" t="n">
        <v>0.0009433534929313604</v>
      </c>
      <c r="BN56" s="3" t="n">
        <v>0</v>
      </c>
      <c r="BO56" s="3" t="n">
        <v>0</v>
      </c>
      <c r="BP56" s="3" t="n">
        <v>0</v>
      </c>
    </row>
    <row r="57">
      <c r="A57" s="3" t="inlineStr">
        <is>
          <t>EGY.distn.bsh.dec.rur.mean.10</t>
        </is>
      </c>
      <c r="B57" s="3" t="inlineStr">
        <is>
          <t>EGY</t>
        </is>
      </c>
      <c r="C57" s="3" t="n">
        <v>2017</v>
      </c>
      <c r="D57" s="3" t="inlineStr">
        <is>
          <t>Rural</t>
        </is>
      </c>
      <c r="E57" s="3" t="inlineStr">
        <is>
          <t>Deciles</t>
        </is>
      </c>
      <c r="F57" s="3" t="inlineStr">
        <is>
          <t>mean</t>
        </is>
      </c>
      <c r="G57" s="3" t="n">
        <v>10</v>
      </c>
      <c r="H57" s="3" t="n">
        <v>2.045723422883226</v>
      </c>
      <c r="I57" s="3" t="n">
        <v>0.004602943055539408</v>
      </c>
      <c r="J57" s="3" t="n">
        <v>3.413248296702931</v>
      </c>
      <c r="K57" s="3" t="n">
        <v>4.14296493299701</v>
      </c>
      <c r="L57" s="3" t="n">
        <v>0</v>
      </c>
      <c r="M57" s="3" t="n">
        <v>2.160597313855024</v>
      </c>
      <c r="N57" s="3" t="n">
        <v>0</v>
      </c>
      <c r="O57" s="3" t="n">
        <v>1.298150068093604</v>
      </c>
      <c r="P57" s="3" t="n">
        <v>0</v>
      </c>
      <c r="Q57" s="3" t="n">
        <v>3.949383935315841</v>
      </c>
      <c r="R57" s="3" t="n">
        <v>51.63652343217402</v>
      </c>
      <c r="S57" s="3" t="n">
        <v>0.0002197149610442684</v>
      </c>
      <c r="T57" s="3" t="n">
        <v>0.5075134516052643</v>
      </c>
      <c r="U57" s="3" t="n">
        <v>6.96639209189749</v>
      </c>
      <c r="V57" s="3" t="n">
        <v>4.782574213216113</v>
      </c>
      <c r="W57" s="3" t="n">
        <v>0.0001606829772746656</v>
      </c>
      <c r="X57" s="3" t="n">
        <v>2.175246489471406</v>
      </c>
      <c r="Y57" s="3" t="n">
        <v>0.06076379107470515</v>
      </c>
      <c r="Z57" s="3" t="n">
        <v>0.1309022859293773</v>
      </c>
      <c r="AA57" s="3" t="n">
        <v>0.01688506449086971</v>
      </c>
      <c r="AB57" s="3" t="n">
        <v>0.6885025091385351</v>
      </c>
      <c r="AC57" s="3" t="n">
        <v>12.19646634843558</v>
      </c>
      <c r="AD57" s="3" t="n">
        <v>5.941046080577915</v>
      </c>
      <c r="AE57" s="3" t="n">
        <v>0.5267192930544984</v>
      </c>
      <c r="AF57" s="3" t="n">
        <v>3.648139712101226</v>
      </c>
      <c r="AG57" s="3" t="n">
        <v>3192.934240908668</v>
      </c>
      <c r="AH57" s="3" t="n">
        <v>6939.851219087104</v>
      </c>
      <c r="AI57" s="3" t="n">
        <v>6667.742257868333</v>
      </c>
      <c r="AJ57" s="3" t="n">
        <v>8013.614057843788</v>
      </c>
      <c r="AK57" s="3" t="n">
        <v>8694.774273439754</v>
      </c>
      <c r="AL57" s="3" t="n">
        <v>10012.12190858504</v>
      </c>
      <c r="AM57" s="3" t="n">
        <v>9533.201973844327</v>
      </c>
      <c r="AN57" s="3" t="n">
        <v>10308.45717355779</v>
      </c>
      <c r="AO57" s="3" t="n">
        <v>10582.42877190829</v>
      </c>
      <c r="AP57" s="3" t="n">
        <v>12979.83846610877</v>
      </c>
      <c r="AQ57" s="3" t="n">
        <v>12987.56357787329</v>
      </c>
      <c r="AR57" s="3" t="n">
        <v>13108.19287407336</v>
      </c>
      <c r="AS57" s="3" t="n">
        <v>13967.04129792631</v>
      </c>
      <c r="AT57" s="3" t="n">
        <v>15045.01771215191</v>
      </c>
      <c r="AU57" s="3" t="n">
        <v>14469.51239648827</v>
      </c>
      <c r="AV57" s="3" t="n">
        <v>19365.52429752972</v>
      </c>
      <c r="AW57" s="3" t="n">
        <v>17189.81504733429</v>
      </c>
      <c r="AX57" s="3" t="n">
        <v>22424.93848968775</v>
      </c>
      <c r="AY57" s="3" t="n">
        <v>24434.02012317436</v>
      </c>
      <c r="AZ57" s="3" t="n">
        <v>63288.83449740396</v>
      </c>
      <c r="BA57" s="3" t="n">
        <v>21796.62360205073</v>
      </c>
      <c r="BB57" s="3" t="n">
        <v>6113359.319069593</v>
      </c>
      <c r="BC57" s="3" t="n">
        <v>103.5936390033904</v>
      </c>
      <c r="BD57" s="3" t="n">
        <v>109.6009485051644</v>
      </c>
      <c r="BE57" s="3" t="n">
        <v>106.1515205341598</v>
      </c>
      <c r="BF57" s="3" t="n">
        <v>37.69190283797357</v>
      </c>
      <c r="BG57" s="3" t="n">
        <v>67.34640449026713</v>
      </c>
      <c r="BH57" s="3" t="n">
        <v>97.13481702868303</v>
      </c>
      <c r="BI57" s="3" t="n">
        <v>99.97436715526322</v>
      </c>
      <c r="BJ57" s="3" t="n">
        <v>80.05990278103917</v>
      </c>
      <c r="BK57" s="3" t="n">
        <v>0</v>
      </c>
      <c r="BL57" s="3" t="n">
        <v>0</v>
      </c>
      <c r="BM57" s="3" t="n">
        <v>0</v>
      </c>
      <c r="BN57" s="3" t="n">
        <v>0</v>
      </c>
      <c r="BO57" s="3" t="n">
        <v>0</v>
      </c>
      <c r="BP57" s="3" t="n">
        <v>0</v>
      </c>
    </row>
    <row r="58">
      <c r="A58" s="3" t="inlineStr">
        <is>
          <t>EGY.distn.bsh.bkt.rur.mean.9999</t>
        </is>
      </c>
      <c r="B58" s="3" t="inlineStr">
        <is>
          <t>EGY</t>
        </is>
      </c>
      <c r="C58" s="3" t="n">
        <v>2017</v>
      </c>
      <c r="D58" s="3" t="inlineStr">
        <is>
          <t>Rural</t>
        </is>
      </c>
      <c r="E58" s="3" t="inlineStr">
        <is>
          <t>Basket</t>
        </is>
      </c>
      <c r="F58" s="3" t="inlineStr">
        <is>
          <t>mean</t>
        </is>
      </c>
      <c r="G58" s="3" t="n">
        <v>9999</v>
      </c>
      <c r="H58" s="3" t="n">
        <v>1.816141424444008</v>
      </c>
      <c r="I58" s="3" t="n">
        <v>0.006681622990447581</v>
      </c>
      <c r="J58" s="3" t="n">
        <v>3.592612314099672</v>
      </c>
      <c r="K58" s="3" t="n">
        <v>6.097139487990662</v>
      </c>
      <c r="L58" s="3" t="n">
        <v>0</v>
      </c>
      <c r="M58" s="3" t="n">
        <v>2.400468122593723</v>
      </c>
      <c r="N58" s="3" t="n">
        <v>0</v>
      </c>
      <c r="O58" s="3" t="n">
        <v>2.985442763340571</v>
      </c>
      <c r="P58" s="3" t="n">
        <v>0</v>
      </c>
      <c r="Q58" s="3" t="n">
        <v>3.722971704224237</v>
      </c>
      <c r="R58" s="3" t="n">
        <v>61.14838534838243</v>
      </c>
      <c r="S58" s="3" t="n">
        <v>0.0003277565972418044</v>
      </c>
      <c r="T58" s="3" t="n">
        <v>0.4554884466998885</v>
      </c>
      <c r="U58" s="3" t="n">
        <v>4.528581805231499</v>
      </c>
      <c r="V58" s="3" t="n">
        <v>3.952000501822543</v>
      </c>
      <c r="W58" s="3" t="n">
        <v>4.200346815603528e-05</v>
      </c>
      <c r="X58" s="3" t="n">
        <v>2.206085716172975</v>
      </c>
      <c r="Y58" s="3" t="n">
        <v>0.06048503101918802</v>
      </c>
      <c r="Z58" s="3" t="n">
        <v>0.125545193193915</v>
      </c>
      <c r="AA58" s="3" t="n">
        <v>0.01056292993279169</v>
      </c>
      <c r="AB58" s="3" t="n">
        <v>1.774567622657703</v>
      </c>
      <c r="AC58" s="3" t="n">
        <v>6.203470957159648</v>
      </c>
      <c r="AD58" s="3" t="n">
        <v>6.225398258048809</v>
      </c>
      <c r="AE58" s="3" t="n">
        <v>0.3731325850332927</v>
      </c>
      <c r="AF58" s="3" t="n">
        <v>4.060442764245239</v>
      </c>
      <c r="AG58" s="3" t="n">
        <v>2942.186513130131</v>
      </c>
      <c r="AH58" s="3" t="n">
        <v>6584.46989530181</v>
      </c>
      <c r="AI58" s="3" t="n">
        <v>6959.493931676864</v>
      </c>
      <c r="AJ58" s="3" t="n">
        <v>8399.24682287243</v>
      </c>
      <c r="AK58" s="3" t="n">
        <v>8808.102963445694</v>
      </c>
      <c r="AL58" s="3" t="n">
        <v>8929.238665245168</v>
      </c>
      <c r="AM58" s="3" t="n">
        <v>9042.207263547703</v>
      </c>
      <c r="AN58" s="3" t="n">
        <v>10296.50139349338</v>
      </c>
      <c r="AO58" s="3" t="n">
        <v>10574.56787224998</v>
      </c>
      <c r="AP58" s="3" t="n">
        <v>11568.74338823366</v>
      </c>
      <c r="AQ58" s="3" t="n">
        <v>12945.09383300554</v>
      </c>
      <c r="AR58" s="3" t="n">
        <v>12860.85927447783</v>
      </c>
      <c r="AS58" s="3" t="n">
        <v>14177.69390117239</v>
      </c>
      <c r="AT58" s="3" t="n">
        <v>14413.21010719153</v>
      </c>
      <c r="AU58" s="3" t="n">
        <v>16004.3009255273</v>
      </c>
      <c r="AV58" s="3" t="n">
        <v>19445.39225050695</v>
      </c>
      <c r="AW58" s="3" t="n">
        <v>18247.88089003641</v>
      </c>
      <c r="AX58" s="3" t="n">
        <v>22423.58531956414</v>
      </c>
      <c r="AY58" s="3" t="n">
        <v>22527.92816618873</v>
      </c>
      <c r="AZ58" s="3" t="n">
        <v>60719.73617335122</v>
      </c>
      <c r="BA58" s="3" t="n">
        <v>11544.74971588157</v>
      </c>
      <c r="BB58" s="3" t="n">
        <v>59610014.46141548</v>
      </c>
      <c r="BC58" s="3" t="n">
        <v>100.6849495248542</v>
      </c>
      <c r="BD58" s="3" t="n">
        <v>100.991709979419</v>
      </c>
      <c r="BE58" s="3" t="n">
        <v>104.1232481671806</v>
      </c>
      <c r="BF58" s="3" t="n">
        <v>43.1320422665343</v>
      </c>
      <c r="BG58" s="3" t="n">
        <v>54.50032648911969</v>
      </c>
      <c r="BH58" s="3" t="n">
        <v>104.8126344886617</v>
      </c>
      <c r="BI58" s="3" t="n">
        <v>100.9711152136449</v>
      </c>
      <c r="BJ58" s="3" t="n">
        <v>84.68814243797399</v>
      </c>
      <c r="BK58" s="3" t="n">
        <v>0.1112318501023122</v>
      </c>
      <c r="BL58" s="3" t="n">
        <v>2.180687230696674</v>
      </c>
      <c r="BM58" s="3" t="n">
        <v>23.14606288758049</v>
      </c>
      <c r="BN58" s="3" t="n">
        <v>0</v>
      </c>
      <c r="BO58" s="3" t="n">
        <v>0</v>
      </c>
      <c r="BP58" s="3" t="n">
        <v>0</v>
      </c>
    </row>
    <row r="59">
      <c r="A59" s="3" t="inlineStr">
        <is>
          <t>EGY.distn.bsh.dec.rur.median.1</t>
        </is>
      </c>
      <c r="B59" s="3" t="inlineStr">
        <is>
          <t>EGY</t>
        </is>
      </c>
      <c r="C59" s="3" t="n">
        <v>2017</v>
      </c>
      <c r="D59" s="3" t="inlineStr">
        <is>
          <t>Rural</t>
        </is>
      </c>
      <c r="E59" s="3" t="inlineStr">
        <is>
          <t>Deciles</t>
        </is>
      </c>
      <c r="F59" s="3" t="inlineStr">
        <is>
          <t>median</t>
        </is>
      </c>
      <c r="G59" s="3" t="n">
        <v>1</v>
      </c>
      <c r="H59" s="3" t="n">
        <v>1.48728116923684</v>
      </c>
      <c r="I59" s="3" t="n">
        <v>0</v>
      </c>
      <c r="J59" s="3" t="n">
        <v>4.308914406315617</v>
      </c>
      <c r="K59" s="3" t="n">
        <v>4.783582844479373</v>
      </c>
      <c r="L59" s="3" t="n">
        <v>0</v>
      </c>
      <c r="M59" s="3" t="n">
        <v>1.614794348668019</v>
      </c>
      <c r="N59" s="3" t="n">
        <v>0</v>
      </c>
      <c r="O59" s="3" t="n">
        <v>1.633220388241174</v>
      </c>
      <c r="P59" s="3" t="n">
        <v>0</v>
      </c>
      <c r="Q59" s="3" t="n">
        <v>3.422702383431903</v>
      </c>
      <c r="R59" s="3" t="n">
        <v>59.27914236948254</v>
      </c>
      <c r="S59" s="3" t="n">
        <v>0</v>
      </c>
      <c r="T59" s="3" t="n">
        <v>0</v>
      </c>
      <c r="U59" s="3" t="n">
        <v>1.80455154355662</v>
      </c>
      <c r="V59" s="3" t="n">
        <v>2.799722198901798</v>
      </c>
      <c r="W59" s="3" t="n">
        <v>0</v>
      </c>
      <c r="X59" s="3" t="n">
        <v>3.201285284117966</v>
      </c>
      <c r="Y59" s="3" t="n">
        <v>0</v>
      </c>
      <c r="Z59" s="3" t="n">
        <v>0</v>
      </c>
      <c r="AA59" s="3" t="n">
        <v>0</v>
      </c>
      <c r="AB59" s="3" t="n">
        <v>1.61443035418406</v>
      </c>
      <c r="AC59" s="3" t="n">
        <v>3.210936571783727</v>
      </c>
      <c r="AD59" s="3" t="n">
        <v>5.790705695941838</v>
      </c>
      <c r="AE59" s="3" t="n">
        <v>0</v>
      </c>
      <c r="AF59" s="3" t="n">
        <v>3.165445508145185</v>
      </c>
      <c r="AG59" s="3" t="n">
        <v>3327.582008881138</v>
      </c>
      <c r="AH59" s="3" t="n">
        <v>6823.452446957276</v>
      </c>
      <c r="AI59" s="3" t="n">
        <v>7335.476779510605</v>
      </c>
      <c r="AJ59" s="3" t="n">
        <v>8681.63738753227</v>
      </c>
      <c r="AK59" s="3" t="n">
        <v>8283.629242766408</v>
      </c>
      <c r="AL59" s="3" t="n">
        <v>10226.3215255241</v>
      </c>
      <c r="AM59" s="3" t="n">
        <v>10400.28268199822</v>
      </c>
      <c r="AN59" s="3" t="n">
        <v>11487.65369609091</v>
      </c>
      <c r="AO59" s="3" t="n">
        <v>11156.67070419268</v>
      </c>
      <c r="AP59" s="3" t="n">
        <v>12537.47416530387</v>
      </c>
      <c r="AQ59" s="3" t="n">
        <v>11623.68114795731</v>
      </c>
      <c r="AR59" s="3" t="n">
        <v>14513.45694905697</v>
      </c>
      <c r="AS59" s="3" t="n">
        <v>14204.40760280477</v>
      </c>
      <c r="AT59" s="3" t="n">
        <v>14440.68821924251</v>
      </c>
      <c r="AU59" s="3" t="n">
        <v>16054.98856550938</v>
      </c>
      <c r="AV59" s="3" t="n">
        <v>19377.28025869377</v>
      </c>
      <c r="AW59" s="3" t="n">
        <v>18147.94030019684</v>
      </c>
      <c r="AX59" s="3" t="n">
        <v>23231.89796085186</v>
      </c>
      <c r="AY59" s="3" t="n">
        <v>22497.88164401732</v>
      </c>
      <c r="AZ59" s="3" t="n">
        <v>63278.01271050655</v>
      </c>
      <c r="BA59" s="3" t="n">
        <v>5284.478669840136</v>
      </c>
      <c r="BB59" s="3" t="n">
        <v>5366901.537916499</v>
      </c>
      <c r="BC59" s="3" t="n">
        <v>0</v>
      </c>
      <c r="BD59" s="3" t="n">
        <v>0</v>
      </c>
      <c r="BE59" s="3" t="n">
        <v>0</v>
      </c>
      <c r="BF59" s="3" t="n">
        <v>0</v>
      </c>
      <c r="BG59" s="3" t="n">
        <v>0</v>
      </c>
      <c r="BH59" s="3" t="n">
        <v>0</v>
      </c>
      <c r="BI59" s="3" t="n">
        <v>0</v>
      </c>
      <c r="BJ59" s="3" t="n">
        <v>0</v>
      </c>
      <c r="BK59" s="3" t="n">
        <v>0.1103077438032915</v>
      </c>
      <c r="BL59" s="3" t="n">
        <v>2.254105788071563</v>
      </c>
      <c r="BM59" s="3" t="n">
        <v>5.803889190634352</v>
      </c>
      <c r="BN59" s="3" t="n">
        <v>0</v>
      </c>
      <c r="BO59" s="3" t="n">
        <v>0</v>
      </c>
      <c r="BP59" s="3" t="n">
        <v>0</v>
      </c>
    </row>
    <row r="60">
      <c r="A60" s="3" t="inlineStr">
        <is>
          <t>EGY.distn.bsh.dec.rur.median.2</t>
        </is>
      </c>
      <c r="B60" s="3" t="inlineStr">
        <is>
          <t>EGY</t>
        </is>
      </c>
      <c r="C60" s="3" t="n">
        <v>2017</v>
      </c>
      <c r="D60" s="3" t="inlineStr">
        <is>
          <t>Rural</t>
        </is>
      </c>
      <c r="E60" s="3" t="inlineStr">
        <is>
          <t>Deciles</t>
        </is>
      </c>
      <c r="F60" s="3" t="inlineStr">
        <is>
          <t>median</t>
        </is>
      </c>
      <c r="G60" s="3" t="n">
        <v>2</v>
      </c>
      <c r="H60" s="3" t="n">
        <v>1.461240024631035</v>
      </c>
      <c r="I60" s="3" t="n">
        <v>0</v>
      </c>
      <c r="J60" s="3" t="n">
        <v>4.009513508873408</v>
      </c>
      <c r="K60" s="3" t="n">
        <v>5.664970941143962</v>
      </c>
      <c r="L60" s="3" t="n">
        <v>0</v>
      </c>
      <c r="M60" s="3" t="n">
        <v>1.770658647790014</v>
      </c>
      <c r="N60" s="3" t="n">
        <v>0</v>
      </c>
      <c r="O60" s="3" t="n">
        <v>2.191301315352046</v>
      </c>
      <c r="P60" s="3" t="n">
        <v>0</v>
      </c>
      <c r="Q60" s="3" t="n">
        <v>3.206987309758732</v>
      </c>
      <c r="R60" s="3" t="n">
        <v>60.14663299838884</v>
      </c>
      <c r="S60" s="3" t="n">
        <v>0</v>
      </c>
      <c r="T60" s="3" t="n">
        <v>0</v>
      </c>
      <c r="U60" s="3" t="n">
        <v>1.89847093607844</v>
      </c>
      <c r="V60" s="3" t="n">
        <v>2.57784735013468</v>
      </c>
      <c r="W60" s="3" t="n">
        <v>0</v>
      </c>
      <c r="X60" s="3" t="n">
        <v>2.641619471766926</v>
      </c>
      <c r="Y60" s="3" t="n">
        <v>0</v>
      </c>
      <c r="Z60" s="3" t="n">
        <v>0</v>
      </c>
      <c r="AA60" s="3" t="n">
        <v>0</v>
      </c>
      <c r="AB60" s="3" t="n">
        <v>1.67976591108794</v>
      </c>
      <c r="AC60" s="3" t="n">
        <v>3.827286911003166</v>
      </c>
      <c r="AD60" s="3" t="n">
        <v>5.644094410584632</v>
      </c>
      <c r="AE60" s="3" t="n">
        <v>0</v>
      </c>
      <c r="AF60" s="3" t="n">
        <v>3.519910083672918</v>
      </c>
      <c r="AG60" s="3" t="n">
        <v>2991.7328094154</v>
      </c>
      <c r="AH60" s="3" t="n">
        <v>7481.088986572329</v>
      </c>
      <c r="AI60" s="3" t="n">
        <v>7026.436193147663</v>
      </c>
      <c r="AJ60" s="3" t="n">
        <v>8154.529867981087</v>
      </c>
      <c r="AK60" s="3" t="n">
        <v>8910.419962080914</v>
      </c>
      <c r="AL60" s="3" t="n">
        <v>9379.244675104148</v>
      </c>
      <c r="AM60" s="3" t="n">
        <v>10329.09196657183</v>
      </c>
      <c r="AN60" s="3" t="n">
        <v>11371.60716109363</v>
      </c>
      <c r="AO60" s="3" t="n">
        <v>10797.00609133562</v>
      </c>
      <c r="AP60" s="3" t="n">
        <v>11856.583757448</v>
      </c>
      <c r="AQ60" s="3" t="n">
        <v>12291.51682492089</v>
      </c>
      <c r="AR60" s="3" t="n">
        <v>12792.21958468534</v>
      </c>
      <c r="AS60" s="3" t="n">
        <v>13824.57148693835</v>
      </c>
      <c r="AT60" s="3" t="n">
        <v>16119.43317757957</v>
      </c>
      <c r="AU60" s="3" t="n">
        <v>14490.56292015838</v>
      </c>
      <c r="AV60" s="3" t="n">
        <v>17422.62713025557</v>
      </c>
      <c r="AW60" s="3" t="n">
        <v>17110.81902505346</v>
      </c>
      <c r="AX60" s="3" t="n">
        <v>22233.6420659934</v>
      </c>
      <c r="AY60" s="3" t="n">
        <v>24157.4595584178</v>
      </c>
      <c r="AZ60" s="3" t="n">
        <v>64656.59239699091</v>
      </c>
      <c r="BA60" s="3" t="n">
        <v>6062.387845382551</v>
      </c>
      <c r="BB60" s="3" t="n">
        <v>5739570.190706473</v>
      </c>
      <c r="BC60" s="3" t="n">
        <v>0</v>
      </c>
      <c r="BD60" s="3" t="n">
        <v>0</v>
      </c>
      <c r="BE60" s="3" t="n">
        <v>0</v>
      </c>
      <c r="BF60" s="3" t="n">
        <v>0</v>
      </c>
      <c r="BG60" s="3" t="n">
        <v>0</v>
      </c>
      <c r="BH60" s="3" t="n">
        <v>0</v>
      </c>
      <c r="BI60" s="3" t="n">
        <v>0</v>
      </c>
      <c r="BJ60" s="3" t="n">
        <v>0</v>
      </c>
      <c r="BK60" s="3" t="n">
        <v>0</v>
      </c>
      <c r="BL60" s="3" t="n">
        <v>0.0009096010519927233</v>
      </c>
      <c r="BM60" s="3" t="n">
        <v>5.623826572517187</v>
      </c>
      <c r="BN60" s="3" t="n">
        <v>0</v>
      </c>
      <c r="BO60" s="3" t="n">
        <v>0</v>
      </c>
      <c r="BP60" s="3" t="n">
        <v>0</v>
      </c>
    </row>
    <row r="61">
      <c r="A61" s="3" t="inlineStr">
        <is>
          <t>EGY.distn.bsh.dec.rur.median.3</t>
        </is>
      </c>
      <c r="B61" s="3" t="inlineStr">
        <is>
          <t>EGY</t>
        </is>
      </c>
      <c r="C61" s="3" t="n">
        <v>2017</v>
      </c>
      <c r="D61" s="3" t="inlineStr">
        <is>
          <t>Rural</t>
        </is>
      </c>
      <c r="E61" s="3" t="inlineStr">
        <is>
          <t>Deciles</t>
        </is>
      </c>
      <c r="F61" s="3" t="inlineStr">
        <is>
          <t>median</t>
        </is>
      </c>
      <c r="G61" s="3" t="n">
        <v>3</v>
      </c>
      <c r="H61" s="3" t="n">
        <v>1.402533167096077</v>
      </c>
      <c r="I61" s="3" t="n">
        <v>0</v>
      </c>
      <c r="J61" s="3" t="n">
        <v>3.836679888945719</v>
      </c>
      <c r="K61" s="3" t="n">
        <v>5.893054249137055</v>
      </c>
      <c r="L61" s="3" t="n">
        <v>0</v>
      </c>
      <c r="M61" s="3" t="n">
        <v>1.993524443681328</v>
      </c>
      <c r="N61" s="3" t="n">
        <v>0</v>
      </c>
      <c r="O61" s="3" t="n">
        <v>2.38495251423165</v>
      </c>
      <c r="P61" s="3" t="n">
        <v>0</v>
      </c>
      <c r="Q61" s="3" t="n">
        <v>3.181507170932408</v>
      </c>
      <c r="R61" s="3" t="n">
        <v>62.66704383742404</v>
      </c>
      <c r="S61" s="3" t="n">
        <v>0</v>
      </c>
      <c r="T61" s="3" t="n">
        <v>0</v>
      </c>
      <c r="U61" s="3" t="n">
        <v>2.243809165034638</v>
      </c>
      <c r="V61" s="3" t="n">
        <v>2.688544043848722</v>
      </c>
      <c r="W61" s="3" t="n">
        <v>0</v>
      </c>
      <c r="X61" s="3" t="n">
        <v>2.536951812989911</v>
      </c>
      <c r="Y61" s="3" t="n">
        <v>0</v>
      </c>
      <c r="Z61" s="3" t="n">
        <v>0</v>
      </c>
      <c r="AA61" s="3" t="n">
        <v>0</v>
      </c>
      <c r="AB61" s="3" t="n">
        <v>1.894629574797646</v>
      </c>
      <c r="AC61" s="3" t="n">
        <v>3.742886579661932</v>
      </c>
      <c r="AD61" s="3" t="n">
        <v>5.452926594302952</v>
      </c>
      <c r="AE61" s="3" t="n">
        <v>0</v>
      </c>
      <c r="AF61" s="3" t="n">
        <v>3.321911796231173</v>
      </c>
      <c r="AG61" s="3" t="n">
        <v>2967.234614799598</v>
      </c>
      <c r="AH61" s="3" t="n">
        <v>6909.345568790613</v>
      </c>
      <c r="AI61" s="3" t="n">
        <v>7608.046979464606</v>
      </c>
      <c r="AJ61" s="3" t="n">
        <v>8092.036223470639</v>
      </c>
      <c r="AK61" s="3" t="n">
        <v>8444.217840420179</v>
      </c>
      <c r="AL61" s="3" t="n">
        <v>9734.266438201004</v>
      </c>
      <c r="AM61" s="3" t="n">
        <v>9390.244930314313</v>
      </c>
      <c r="AN61" s="3" t="n">
        <v>10134.27257725162</v>
      </c>
      <c r="AO61" s="3" t="n">
        <v>11462.49329930577</v>
      </c>
      <c r="AP61" s="3" t="n">
        <v>12027.95707072619</v>
      </c>
      <c r="AQ61" s="3" t="n">
        <v>12203.84152438317</v>
      </c>
      <c r="AR61" s="3" t="n">
        <v>14688.54350765664</v>
      </c>
      <c r="AS61" s="3" t="n">
        <v>14448.25982386806</v>
      </c>
      <c r="AT61" s="3" t="n">
        <v>16075.7912032577</v>
      </c>
      <c r="AU61" s="3" t="n">
        <v>15042.5366507912</v>
      </c>
      <c r="AV61" s="3" t="n">
        <v>17420.15763067376</v>
      </c>
      <c r="AW61" s="3" t="n">
        <v>19270.73268403048</v>
      </c>
      <c r="AX61" s="3" t="n">
        <v>24054.33485452478</v>
      </c>
      <c r="AY61" s="3" t="n">
        <v>21676.00924611981</v>
      </c>
      <c r="AZ61" s="3" t="n">
        <v>64957.68050782838</v>
      </c>
      <c r="BA61" s="3" t="n">
        <v>7973.433543014773</v>
      </c>
      <c r="BB61" s="3" t="n">
        <v>5466096.545410013</v>
      </c>
      <c r="BC61" s="3" t="n">
        <v>0</v>
      </c>
      <c r="BD61" s="3" t="n">
        <v>0</v>
      </c>
      <c r="BE61" s="3" t="n">
        <v>0</v>
      </c>
      <c r="BF61" s="3" t="n">
        <v>0</v>
      </c>
      <c r="BG61" s="3" t="n">
        <v>0</v>
      </c>
      <c r="BH61" s="3" t="n">
        <v>0</v>
      </c>
      <c r="BI61" s="3" t="n">
        <v>0</v>
      </c>
      <c r="BJ61" s="3" t="n">
        <v>0</v>
      </c>
      <c r="BK61" s="3" t="n">
        <v>0</v>
      </c>
      <c r="BL61" s="3" t="n">
        <v>0</v>
      </c>
      <c r="BM61" s="3" t="n">
        <v>5.850434055332041</v>
      </c>
      <c r="BN61" s="3" t="n">
        <v>0</v>
      </c>
      <c r="BO61" s="3" t="n">
        <v>0</v>
      </c>
      <c r="BP61" s="3" t="n">
        <v>0</v>
      </c>
    </row>
    <row r="62">
      <c r="A62" s="3" t="inlineStr">
        <is>
          <t>EGY.distn.bsh.dec.rur.median.4</t>
        </is>
      </c>
      <c r="B62" s="3" t="inlineStr">
        <is>
          <t>EGY</t>
        </is>
      </c>
      <c r="C62" s="3" t="n">
        <v>2017</v>
      </c>
      <c r="D62" s="3" t="inlineStr">
        <is>
          <t>Rural</t>
        </is>
      </c>
      <c r="E62" s="3" t="inlineStr">
        <is>
          <t>Deciles</t>
        </is>
      </c>
      <c r="F62" s="3" t="inlineStr">
        <is>
          <t>median</t>
        </is>
      </c>
      <c r="G62" s="3" t="n">
        <v>4</v>
      </c>
      <c r="H62" s="3" t="n">
        <v>1.510559979804385</v>
      </c>
      <c r="I62" s="3" t="n">
        <v>0</v>
      </c>
      <c r="J62" s="3" t="n">
        <v>3.638895383354332</v>
      </c>
      <c r="K62" s="3" t="n">
        <v>6.112249715556259</v>
      </c>
      <c r="L62" s="3" t="n">
        <v>0</v>
      </c>
      <c r="M62" s="3" t="n">
        <v>1.771208132818291</v>
      </c>
      <c r="N62" s="3" t="n">
        <v>0</v>
      </c>
      <c r="O62" s="3" t="n">
        <v>2.302198662735547</v>
      </c>
      <c r="P62" s="3" t="n">
        <v>0</v>
      </c>
      <c r="Q62" s="3" t="n">
        <v>2.761373483114368</v>
      </c>
      <c r="R62" s="3" t="n">
        <v>63.54605580109454</v>
      </c>
      <c r="S62" s="3" t="n">
        <v>0</v>
      </c>
      <c r="T62" s="3" t="n">
        <v>0</v>
      </c>
      <c r="U62" s="3" t="n">
        <v>2.331953080070631</v>
      </c>
      <c r="V62" s="3" t="n">
        <v>2.846071396283368</v>
      </c>
      <c r="W62" s="3" t="n">
        <v>0</v>
      </c>
      <c r="X62" s="3" t="n">
        <v>2.098236121403254</v>
      </c>
      <c r="Y62" s="3" t="n">
        <v>0</v>
      </c>
      <c r="Z62" s="3" t="n">
        <v>0</v>
      </c>
      <c r="AA62" s="3" t="n">
        <v>0</v>
      </c>
      <c r="AB62" s="3" t="n">
        <v>1.743335433955483</v>
      </c>
      <c r="AC62" s="3" t="n">
        <v>3.626713271679357</v>
      </c>
      <c r="AD62" s="3" t="n">
        <v>5.142018157249882</v>
      </c>
      <c r="AE62" s="3" t="n">
        <v>0</v>
      </c>
      <c r="AF62" s="3" t="n">
        <v>3.056738719105228</v>
      </c>
      <c r="AG62" s="3" t="n">
        <v>3125.155010789897</v>
      </c>
      <c r="AH62" s="3" t="n">
        <v>6950.032839362264</v>
      </c>
      <c r="AI62" s="3" t="n">
        <v>7010.397278485828</v>
      </c>
      <c r="AJ62" s="3" t="n">
        <v>7879.297249574995</v>
      </c>
      <c r="AK62" s="3" t="n">
        <v>9095.740083936445</v>
      </c>
      <c r="AL62" s="3" t="n">
        <v>9288.207306020753</v>
      </c>
      <c r="AM62" s="3" t="n">
        <v>10172.38612244634</v>
      </c>
      <c r="AN62" s="3" t="n">
        <v>10805.18731546359</v>
      </c>
      <c r="AO62" s="3" t="n">
        <v>10786.28775267941</v>
      </c>
      <c r="AP62" s="3" t="n">
        <v>12078.14869390355</v>
      </c>
      <c r="AQ62" s="3" t="n">
        <v>11579.89892880221</v>
      </c>
      <c r="AR62" s="3" t="n">
        <v>13002.17561542855</v>
      </c>
      <c r="AS62" s="3" t="n">
        <v>14129.18733255999</v>
      </c>
      <c r="AT62" s="3" t="n">
        <v>15591.52969571491</v>
      </c>
      <c r="AU62" s="3" t="n">
        <v>14763.47708459444</v>
      </c>
      <c r="AV62" s="3" t="n">
        <v>19068.15172113705</v>
      </c>
      <c r="AW62" s="3" t="n">
        <v>17849.55992292268</v>
      </c>
      <c r="AX62" s="3" t="n">
        <v>22075.2832753787</v>
      </c>
      <c r="AY62" s="3" t="n">
        <v>23233.27017238655</v>
      </c>
      <c r="AZ62" s="3" t="n">
        <v>68703.32974047841</v>
      </c>
      <c r="BA62" s="3" t="n">
        <v>8669.571510102634</v>
      </c>
      <c r="BB62" s="3" t="n">
        <v>5393186.738159982</v>
      </c>
      <c r="BC62" s="3" t="n">
        <v>0</v>
      </c>
      <c r="BD62" s="3" t="n">
        <v>0</v>
      </c>
      <c r="BE62" s="3" t="n">
        <v>0</v>
      </c>
      <c r="BF62" s="3" t="n">
        <v>0</v>
      </c>
      <c r="BG62" s="3" t="n">
        <v>0</v>
      </c>
      <c r="BH62" s="3" t="n">
        <v>0</v>
      </c>
      <c r="BI62" s="3" t="n">
        <v>0</v>
      </c>
      <c r="BJ62" s="3" t="n">
        <v>0</v>
      </c>
      <c r="BK62" s="3" t="n">
        <v>0</v>
      </c>
      <c r="BL62" s="3" t="n">
        <v>0</v>
      </c>
      <c r="BM62" s="3" t="n">
        <v>5.152018568482261</v>
      </c>
      <c r="BN62" s="3" t="n">
        <v>0</v>
      </c>
      <c r="BO62" s="3" t="n">
        <v>0</v>
      </c>
      <c r="BP62" s="3" t="n">
        <v>0</v>
      </c>
    </row>
    <row r="63">
      <c r="A63" s="3" t="inlineStr">
        <is>
          <t>EGY.distn.bsh.dec.rur.median.5</t>
        </is>
      </c>
      <c r="B63" s="3" t="inlineStr">
        <is>
          <t>EGY</t>
        </is>
      </c>
      <c r="C63" s="3" t="n">
        <v>2017</v>
      </c>
      <c r="D63" s="3" t="inlineStr">
        <is>
          <t>Rural</t>
        </is>
      </c>
      <c r="E63" s="3" t="inlineStr">
        <is>
          <t>Deciles</t>
        </is>
      </c>
      <c r="F63" s="3" t="inlineStr">
        <is>
          <t>median</t>
        </is>
      </c>
      <c r="G63" s="3" t="n">
        <v>5</v>
      </c>
      <c r="H63" s="3" t="n">
        <v>1.37509927191643</v>
      </c>
      <c r="I63" s="3" t="n">
        <v>0</v>
      </c>
      <c r="J63" s="3" t="n">
        <v>3.327737426441126</v>
      </c>
      <c r="K63" s="3" t="n">
        <v>6.106353956445692</v>
      </c>
      <c r="L63" s="3" t="n">
        <v>0</v>
      </c>
      <c r="M63" s="3" t="n">
        <v>1.903515745497081</v>
      </c>
      <c r="N63" s="3" t="n">
        <v>0</v>
      </c>
      <c r="O63" s="3" t="n">
        <v>2.431964739873667</v>
      </c>
      <c r="P63" s="3" t="n">
        <v>0</v>
      </c>
      <c r="Q63" s="3" t="n">
        <v>2.81331562827911</v>
      </c>
      <c r="R63" s="3" t="n">
        <v>61.09738977544102</v>
      </c>
      <c r="S63" s="3" t="n">
        <v>0</v>
      </c>
      <c r="T63" s="3" t="n">
        <v>0</v>
      </c>
      <c r="U63" s="3" t="n">
        <v>2.493008736940191</v>
      </c>
      <c r="V63" s="3" t="n">
        <v>2.658682682964364</v>
      </c>
      <c r="W63" s="3" t="n">
        <v>0</v>
      </c>
      <c r="X63" s="3" t="n">
        <v>2.023848573156787</v>
      </c>
      <c r="Y63" s="3" t="n">
        <v>0</v>
      </c>
      <c r="Z63" s="3" t="n">
        <v>0</v>
      </c>
      <c r="AA63" s="3" t="n">
        <v>0</v>
      </c>
      <c r="AB63" s="3" t="n">
        <v>1.666239090081381</v>
      </c>
      <c r="AC63" s="3" t="n">
        <v>4.336739997980281</v>
      </c>
      <c r="AD63" s="3" t="n">
        <v>5.351467313020843</v>
      </c>
      <c r="AE63" s="3" t="n">
        <v>0</v>
      </c>
      <c r="AF63" s="3" t="n">
        <v>3.485786912912344</v>
      </c>
      <c r="AG63" s="3" t="n">
        <v>3003.254313903754</v>
      </c>
      <c r="AH63" s="3" t="n">
        <v>7163.029557770173</v>
      </c>
      <c r="AI63" s="3" t="n">
        <v>6867.030639653784</v>
      </c>
      <c r="AJ63" s="3" t="n">
        <v>8864.167857072889</v>
      </c>
      <c r="AK63" s="3" t="n">
        <v>8989.934722410459</v>
      </c>
      <c r="AL63" s="3" t="n">
        <v>9921.910647423832</v>
      </c>
      <c r="AM63" s="3" t="n">
        <v>10430.25726433338</v>
      </c>
      <c r="AN63" s="3" t="n">
        <v>11248.24526664152</v>
      </c>
      <c r="AO63" s="3" t="n">
        <v>10058.87415446453</v>
      </c>
      <c r="AP63" s="3" t="n">
        <v>11557.92340229804</v>
      </c>
      <c r="AQ63" s="3" t="n">
        <v>12196.29579654705</v>
      </c>
      <c r="AR63" s="3" t="n">
        <v>13736.57592579182</v>
      </c>
      <c r="AS63" s="3" t="n">
        <v>14201.30071170495</v>
      </c>
      <c r="AT63" s="3" t="n">
        <v>16630.17826310145</v>
      </c>
      <c r="AU63" s="3" t="n">
        <v>15485.01557878284</v>
      </c>
      <c r="AV63" s="3" t="n">
        <v>18955.50380681632</v>
      </c>
      <c r="AW63" s="3" t="n">
        <v>19259.87909372392</v>
      </c>
      <c r="AX63" s="3" t="n">
        <v>22615.58202521443</v>
      </c>
      <c r="AY63" s="3" t="n">
        <v>22346.59566183163</v>
      </c>
      <c r="AZ63" s="3" t="n">
        <v>62791.39131228075</v>
      </c>
      <c r="BA63" s="3" t="n">
        <v>9675.240722397753</v>
      </c>
      <c r="BB63" s="3" t="n">
        <v>5741877.071995287</v>
      </c>
      <c r="BC63" s="3" t="n">
        <v>0</v>
      </c>
      <c r="BD63" s="3" t="n">
        <v>0</v>
      </c>
      <c r="BE63" s="3" t="n">
        <v>0</v>
      </c>
      <c r="BF63" s="3" t="n">
        <v>0</v>
      </c>
      <c r="BG63" s="3" t="n">
        <v>0</v>
      </c>
      <c r="BH63" s="3" t="n">
        <v>0</v>
      </c>
      <c r="BI63" s="3" t="n">
        <v>0</v>
      </c>
      <c r="BJ63" s="3" t="n">
        <v>0</v>
      </c>
      <c r="BK63" s="3" t="n">
        <v>0</v>
      </c>
      <c r="BL63" s="3" t="n">
        <v>0</v>
      </c>
      <c r="BM63" s="3" t="n">
        <v>1.638782441723484</v>
      </c>
      <c r="BN63" s="3" t="n">
        <v>0</v>
      </c>
      <c r="BO63" s="3" t="n">
        <v>0</v>
      </c>
      <c r="BP63" s="3" t="n">
        <v>0</v>
      </c>
    </row>
    <row r="64">
      <c r="A64" s="3" t="inlineStr">
        <is>
          <t>EGY.distn.bsh.dec.rur.median.6</t>
        </is>
      </c>
      <c r="B64" s="3" t="inlineStr">
        <is>
          <t>EGY</t>
        </is>
      </c>
      <c r="C64" s="3" t="n">
        <v>2017</v>
      </c>
      <c r="D64" s="3" t="inlineStr">
        <is>
          <t>Rural</t>
        </is>
      </c>
      <c r="E64" s="3" t="inlineStr">
        <is>
          <t>Deciles</t>
        </is>
      </c>
      <c r="F64" s="3" t="inlineStr">
        <is>
          <t>median</t>
        </is>
      </c>
      <c r="G64" s="3" t="n">
        <v>6</v>
      </c>
      <c r="H64" s="3" t="n">
        <v>1.37428996002444</v>
      </c>
      <c r="I64" s="3" t="n">
        <v>0</v>
      </c>
      <c r="J64" s="3" t="n">
        <v>3.381053003644841</v>
      </c>
      <c r="K64" s="3" t="n">
        <v>5.75935178775106</v>
      </c>
      <c r="L64" s="3" t="n">
        <v>0</v>
      </c>
      <c r="M64" s="3" t="n">
        <v>2.136336536778042</v>
      </c>
      <c r="N64" s="3" t="n">
        <v>0</v>
      </c>
      <c r="O64" s="3" t="n">
        <v>2.199553154560215</v>
      </c>
      <c r="P64" s="3" t="n">
        <v>0</v>
      </c>
      <c r="Q64" s="3" t="n">
        <v>2.77734199891756</v>
      </c>
      <c r="R64" s="3" t="n">
        <v>56.11775066962185</v>
      </c>
      <c r="S64" s="3" t="n">
        <v>0</v>
      </c>
      <c r="T64" s="3" t="n">
        <v>0</v>
      </c>
      <c r="U64" s="3" t="n">
        <v>2.755884108980662</v>
      </c>
      <c r="V64" s="3" t="n">
        <v>2.889674722580108</v>
      </c>
      <c r="W64" s="3" t="n">
        <v>0</v>
      </c>
      <c r="X64" s="3" t="n">
        <v>1.885796673777364</v>
      </c>
      <c r="Y64" s="3" t="n">
        <v>0</v>
      </c>
      <c r="Z64" s="3" t="n">
        <v>0</v>
      </c>
      <c r="AA64" s="3" t="n">
        <v>0</v>
      </c>
      <c r="AB64" s="3" t="n">
        <v>1.823210903997863</v>
      </c>
      <c r="AC64" s="3" t="n">
        <v>4.535740911362669</v>
      </c>
      <c r="AD64" s="3" t="n">
        <v>4.782079585193398</v>
      </c>
      <c r="AE64" s="3" t="n">
        <v>0</v>
      </c>
      <c r="AF64" s="3" t="n">
        <v>3.391561638963165</v>
      </c>
      <c r="AG64" s="3" t="n">
        <v>3389.235370942994</v>
      </c>
      <c r="AH64" s="3" t="n">
        <v>6552.735356377631</v>
      </c>
      <c r="AI64" s="3" t="n">
        <v>7485.708485821543</v>
      </c>
      <c r="AJ64" s="3" t="n">
        <v>9027.277079663992</v>
      </c>
      <c r="AK64" s="3" t="n">
        <v>8042.209478014095</v>
      </c>
      <c r="AL64" s="3" t="n">
        <v>8955.74306251226</v>
      </c>
      <c r="AM64" s="3" t="n">
        <v>9750.329076325088</v>
      </c>
      <c r="AN64" s="3" t="n">
        <v>10301.99280583183</v>
      </c>
      <c r="AO64" s="3" t="n">
        <v>10476.28242625459</v>
      </c>
      <c r="AP64" s="3" t="n">
        <v>11837.24099090797</v>
      </c>
      <c r="AQ64" s="3" t="n">
        <v>13004.7502842356</v>
      </c>
      <c r="AR64" s="3" t="n">
        <v>14107.79789594896</v>
      </c>
      <c r="AS64" s="3" t="n">
        <v>13828.80879749241</v>
      </c>
      <c r="AT64" s="3" t="n">
        <v>14432.86560576559</v>
      </c>
      <c r="AU64" s="3" t="n">
        <v>16756.90512581134</v>
      </c>
      <c r="AV64" s="3" t="n">
        <v>19531.94096265162</v>
      </c>
      <c r="AW64" s="3" t="n">
        <v>17655.21938574902</v>
      </c>
      <c r="AX64" s="3" t="n">
        <v>22174.23380440087</v>
      </c>
      <c r="AY64" s="3" t="n">
        <v>21810.33572484199</v>
      </c>
      <c r="AZ64" s="3" t="n">
        <v>66087.67949042149</v>
      </c>
      <c r="BA64" s="3" t="n">
        <v>10968.24995403195</v>
      </c>
      <c r="BB64" s="3" t="n">
        <v>5666456.055387895</v>
      </c>
      <c r="BC64" s="3" t="n">
        <v>0</v>
      </c>
      <c r="BD64" s="3" t="n">
        <v>0</v>
      </c>
      <c r="BE64" s="3" t="n">
        <v>0</v>
      </c>
      <c r="BF64" s="3" t="n">
        <v>0</v>
      </c>
      <c r="BG64" s="3" t="n">
        <v>0</v>
      </c>
      <c r="BH64" s="3" t="n">
        <v>0</v>
      </c>
      <c r="BI64" s="3" t="n">
        <v>0</v>
      </c>
      <c r="BJ64" s="3" t="n">
        <v>0</v>
      </c>
      <c r="BK64" s="3" t="n">
        <v>0</v>
      </c>
      <c r="BL64" s="3" t="n">
        <v>0</v>
      </c>
      <c r="BM64" s="3" t="n">
        <v>0.1623681450834109</v>
      </c>
      <c r="BN64" s="3" t="n">
        <v>0</v>
      </c>
      <c r="BO64" s="3" t="n">
        <v>0</v>
      </c>
      <c r="BP64" s="3" t="n">
        <v>0</v>
      </c>
    </row>
    <row r="65">
      <c r="A65" s="3" t="inlineStr">
        <is>
          <t>EGY.distn.bsh.dec.rur.median.7</t>
        </is>
      </c>
      <c r="B65" s="3" t="inlineStr">
        <is>
          <t>EGY</t>
        </is>
      </c>
      <c r="C65" s="3" t="n">
        <v>2017</v>
      </c>
      <c r="D65" s="3" t="inlineStr">
        <is>
          <t>Rural</t>
        </is>
      </c>
      <c r="E65" s="3" t="inlineStr">
        <is>
          <t>Deciles</t>
        </is>
      </c>
      <c r="F65" s="3" t="inlineStr">
        <is>
          <t>median</t>
        </is>
      </c>
      <c r="G65" s="3" t="n">
        <v>7</v>
      </c>
      <c r="H65" s="3" t="n">
        <v>1.320836190816756</v>
      </c>
      <c r="I65" s="3" t="n">
        <v>0</v>
      </c>
      <c r="J65" s="3" t="n">
        <v>3.548791035020778</v>
      </c>
      <c r="K65" s="3" t="n">
        <v>5.870094993520564</v>
      </c>
      <c r="L65" s="3" t="n">
        <v>0</v>
      </c>
      <c r="M65" s="3" t="n">
        <v>2.129370504771262</v>
      </c>
      <c r="N65" s="3" t="n">
        <v>0</v>
      </c>
      <c r="O65" s="3" t="n">
        <v>1.523876299988216</v>
      </c>
      <c r="P65" s="3" t="n">
        <v>0</v>
      </c>
      <c r="Q65" s="3" t="n">
        <v>3.151918291439229</v>
      </c>
      <c r="R65" s="3" t="n">
        <v>59.85188057396782</v>
      </c>
      <c r="S65" s="3" t="n">
        <v>0</v>
      </c>
      <c r="T65" s="3" t="n">
        <v>0</v>
      </c>
      <c r="U65" s="3" t="n">
        <v>3.028930130688496</v>
      </c>
      <c r="V65" s="3" t="n">
        <v>2.675042635377266</v>
      </c>
      <c r="W65" s="3" t="n">
        <v>0</v>
      </c>
      <c r="X65" s="3" t="n">
        <v>2.155399255869772</v>
      </c>
      <c r="Y65" s="3" t="n">
        <v>0</v>
      </c>
      <c r="Z65" s="3" t="n">
        <v>0</v>
      </c>
      <c r="AA65" s="3" t="n">
        <v>0</v>
      </c>
      <c r="AB65" s="3" t="n">
        <v>1.368415759529486</v>
      </c>
      <c r="AC65" s="3" t="n">
        <v>5.299072360591554</v>
      </c>
      <c r="AD65" s="3" t="n">
        <v>5.399543728138108</v>
      </c>
      <c r="AE65" s="3" t="n">
        <v>0</v>
      </c>
      <c r="AF65" s="3" t="n">
        <v>3.464416037015854</v>
      </c>
      <c r="AG65" s="3" t="n">
        <v>3349.174706190552</v>
      </c>
      <c r="AH65" s="3" t="n">
        <v>7088.658936437178</v>
      </c>
      <c r="AI65" s="3" t="n">
        <v>7306.61220256008</v>
      </c>
      <c r="AJ65" s="3" t="n">
        <v>8948.760991032488</v>
      </c>
      <c r="AK65" s="3" t="n">
        <v>8954.189413041629</v>
      </c>
      <c r="AL65" s="3" t="n">
        <v>9129.76239348528</v>
      </c>
      <c r="AM65" s="3" t="n">
        <v>10378.69255770903</v>
      </c>
      <c r="AN65" s="3" t="n">
        <v>11457.81352183496</v>
      </c>
      <c r="AO65" s="3" t="n">
        <v>10819.18626120474</v>
      </c>
      <c r="AP65" s="3" t="n">
        <v>11752.62498499051</v>
      </c>
      <c r="AQ65" s="3" t="n">
        <v>12145.87310189392</v>
      </c>
      <c r="AR65" s="3" t="n">
        <v>13615.66880012239</v>
      </c>
      <c r="AS65" s="3" t="n">
        <v>13814.81672344097</v>
      </c>
      <c r="AT65" s="3" t="n">
        <v>16438.27240026292</v>
      </c>
      <c r="AU65" s="3" t="n">
        <v>15215.1749405828</v>
      </c>
      <c r="AV65" s="3" t="n">
        <v>18100.79392364293</v>
      </c>
      <c r="AW65" s="3" t="n">
        <v>18222.86217061924</v>
      </c>
      <c r="AX65" s="3" t="n">
        <v>24302.76780471616</v>
      </c>
      <c r="AY65" s="3" t="n">
        <v>24665.62713802225</v>
      </c>
      <c r="AZ65" s="3" t="n">
        <v>62038.27095809983</v>
      </c>
      <c r="BA65" s="3" t="n">
        <v>11751.81586849617</v>
      </c>
      <c r="BB65" s="3" t="n">
        <v>5541824.287677153</v>
      </c>
      <c r="BC65" s="3" t="n">
        <v>0</v>
      </c>
      <c r="BD65" s="3" t="n">
        <v>0</v>
      </c>
      <c r="BE65" s="3" t="n">
        <v>0</v>
      </c>
      <c r="BF65" s="3" t="n">
        <v>0</v>
      </c>
      <c r="BG65" s="3" t="n">
        <v>0</v>
      </c>
      <c r="BH65" s="3" t="n">
        <v>0</v>
      </c>
      <c r="BI65" s="3" t="n">
        <v>0</v>
      </c>
      <c r="BJ65" s="3" t="n">
        <v>0</v>
      </c>
      <c r="BK65" s="3" t="n">
        <v>0</v>
      </c>
      <c r="BL65" s="3" t="n">
        <v>0</v>
      </c>
      <c r="BM65" s="3" t="n">
        <v>0.01838345885421001</v>
      </c>
      <c r="BN65" s="3" t="n">
        <v>0</v>
      </c>
      <c r="BO65" s="3" t="n">
        <v>0</v>
      </c>
      <c r="BP65" s="3" t="n">
        <v>0</v>
      </c>
    </row>
    <row r="66">
      <c r="A66" s="3" t="inlineStr">
        <is>
          <t>EGY.distn.bsh.dec.rur.median.8</t>
        </is>
      </c>
      <c r="B66" s="3" t="inlineStr">
        <is>
          <t>EGY</t>
        </is>
      </c>
      <c r="C66" s="3" t="n">
        <v>2017</v>
      </c>
      <c r="D66" s="3" t="inlineStr">
        <is>
          <t>Rural</t>
        </is>
      </c>
      <c r="E66" s="3" t="inlineStr">
        <is>
          <t>Deciles</t>
        </is>
      </c>
      <c r="F66" s="3" t="inlineStr">
        <is>
          <t>median</t>
        </is>
      </c>
      <c r="G66" s="3" t="n">
        <v>8</v>
      </c>
      <c r="H66" s="3" t="n">
        <v>1.21579453304146</v>
      </c>
      <c r="I66" s="3" t="n">
        <v>0</v>
      </c>
      <c r="J66" s="3" t="n">
        <v>3.359104533306472</v>
      </c>
      <c r="K66" s="3" t="n">
        <v>4.960951232280988</v>
      </c>
      <c r="L66" s="3" t="n">
        <v>0</v>
      </c>
      <c r="M66" s="3" t="n">
        <v>1.966966219549632</v>
      </c>
      <c r="N66" s="3" t="n">
        <v>0</v>
      </c>
      <c r="O66" s="3" t="n">
        <v>0.3546220686651765</v>
      </c>
      <c r="P66" s="3" t="n">
        <v>0</v>
      </c>
      <c r="Q66" s="3" t="n">
        <v>2.958431907793146</v>
      </c>
      <c r="R66" s="3" t="n">
        <v>55.49901742634258</v>
      </c>
      <c r="S66" s="3" t="n">
        <v>0</v>
      </c>
      <c r="T66" s="3" t="n">
        <v>0</v>
      </c>
      <c r="U66" s="3" t="n">
        <v>3.430080669770841</v>
      </c>
      <c r="V66" s="3" t="n">
        <v>2.874248351403986</v>
      </c>
      <c r="W66" s="3" t="n">
        <v>0</v>
      </c>
      <c r="X66" s="3" t="n">
        <v>1.974147203546092</v>
      </c>
      <c r="Y66" s="3" t="n">
        <v>0</v>
      </c>
      <c r="Z66" s="3" t="n">
        <v>0</v>
      </c>
      <c r="AA66" s="3" t="n">
        <v>0</v>
      </c>
      <c r="AB66" s="3" t="n">
        <v>0.9071912082791376</v>
      </c>
      <c r="AC66" s="3" t="n">
        <v>5.396686098074188</v>
      </c>
      <c r="AD66" s="3" t="n">
        <v>4.578857423282525</v>
      </c>
      <c r="AE66" s="3" t="n">
        <v>0</v>
      </c>
      <c r="AF66" s="3" t="n">
        <v>3.361332460778623</v>
      </c>
      <c r="AG66" s="3" t="n">
        <v>3351.74900388363</v>
      </c>
      <c r="AH66" s="3" t="n">
        <v>7457.384971429053</v>
      </c>
      <c r="AI66" s="3" t="n">
        <v>7152.171616362612</v>
      </c>
      <c r="AJ66" s="3" t="n">
        <v>7935.147520813448</v>
      </c>
      <c r="AK66" s="3" t="n">
        <v>8713.936314955097</v>
      </c>
      <c r="AL66" s="3" t="n">
        <v>10030.92311300581</v>
      </c>
      <c r="AM66" s="3" t="n">
        <v>9727.740018550374</v>
      </c>
      <c r="AN66" s="3" t="n">
        <v>10204.97448167629</v>
      </c>
      <c r="AO66" s="3" t="n">
        <v>10921.46925719009</v>
      </c>
      <c r="AP66" s="3" t="n">
        <v>12959.8942359083</v>
      </c>
      <c r="AQ66" s="3" t="n">
        <v>13035.3772228318</v>
      </c>
      <c r="AR66" s="3" t="n">
        <v>13582.83929372094</v>
      </c>
      <c r="AS66" s="3" t="n">
        <v>13596.42712358516</v>
      </c>
      <c r="AT66" s="3" t="n">
        <v>15558.85743585987</v>
      </c>
      <c r="AU66" s="3" t="n">
        <v>14699.2203872763</v>
      </c>
      <c r="AV66" s="3" t="n">
        <v>17394.71112648653</v>
      </c>
      <c r="AW66" s="3" t="n">
        <v>17702.04644989743</v>
      </c>
      <c r="AX66" s="3" t="n">
        <v>22671.77560456988</v>
      </c>
      <c r="AY66" s="3" t="n">
        <v>24423.56305812338</v>
      </c>
      <c r="AZ66" s="3" t="n">
        <v>67672.94383568596</v>
      </c>
      <c r="BA66" s="3" t="n">
        <v>12235.6735317841</v>
      </c>
      <c r="BB66" s="3" t="n">
        <v>5577707.445405637</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row>
    <row r="67">
      <c r="A67" s="3" t="inlineStr">
        <is>
          <t>EGY.distn.bsh.dec.rur.median.9</t>
        </is>
      </c>
      <c r="B67" s="3" t="inlineStr">
        <is>
          <t>EGY</t>
        </is>
      </c>
      <c r="C67" s="3" t="n">
        <v>2017</v>
      </c>
      <c r="D67" s="3" t="inlineStr">
        <is>
          <t>Rural</t>
        </is>
      </c>
      <c r="E67" s="3" t="inlineStr">
        <is>
          <t>Deciles</t>
        </is>
      </c>
      <c r="F67" s="3" t="inlineStr">
        <is>
          <t>median</t>
        </is>
      </c>
      <c r="G67" s="3" t="n">
        <v>9</v>
      </c>
      <c r="H67" s="3" t="n">
        <v>1.483604168752145</v>
      </c>
      <c r="I67" s="3" t="n">
        <v>0</v>
      </c>
      <c r="J67" s="3" t="n">
        <v>3.291683458866502</v>
      </c>
      <c r="K67" s="3" t="n">
        <v>4.853268027509521</v>
      </c>
      <c r="L67" s="3" t="n">
        <v>0</v>
      </c>
      <c r="M67" s="3" t="n">
        <v>2.089193251902297</v>
      </c>
      <c r="N67" s="3" t="n">
        <v>0</v>
      </c>
      <c r="O67" s="3" t="n">
        <v>0</v>
      </c>
      <c r="P67" s="3" t="n">
        <v>0</v>
      </c>
      <c r="Q67" s="3" t="n">
        <v>3.069115707800886</v>
      </c>
      <c r="R67" s="3" t="n">
        <v>53.90373896040448</v>
      </c>
      <c r="S67" s="3" t="n">
        <v>0</v>
      </c>
      <c r="T67" s="3" t="n">
        <v>0</v>
      </c>
      <c r="U67" s="3" t="n">
        <v>3.85211566272346</v>
      </c>
      <c r="V67" s="3" t="n">
        <v>2.841252275311784</v>
      </c>
      <c r="W67" s="3" t="n">
        <v>0</v>
      </c>
      <c r="X67" s="3" t="n">
        <v>1.927313032310592</v>
      </c>
      <c r="Y67" s="3" t="n">
        <v>0</v>
      </c>
      <c r="Z67" s="3" t="n">
        <v>0</v>
      </c>
      <c r="AA67" s="3" t="n">
        <v>0</v>
      </c>
      <c r="AB67" s="3" t="n">
        <v>0.5297455104749258</v>
      </c>
      <c r="AC67" s="3" t="n">
        <v>7.22473861540908</v>
      </c>
      <c r="AD67" s="3" t="n">
        <v>4.727913216928446</v>
      </c>
      <c r="AE67" s="3" t="n">
        <v>0</v>
      </c>
      <c r="AF67" s="3" t="n">
        <v>3.492268922900089</v>
      </c>
      <c r="AG67" s="3" t="n">
        <v>3217.230235360561</v>
      </c>
      <c r="AH67" s="3" t="n">
        <v>7344.199330578407</v>
      </c>
      <c r="AI67" s="3" t="n">
        <v>7019.273875552086</v>
      </c>
      <c r="AJ67" s="3" t="n">
        <v>8128.316357293405</v>
      </c>
      <c r="AK67" s="3" t="n">
        <v>8216.479579314988</v>
      </c>
      <c r="AL67" s="3" t="n">
        <v>9453.589514093866</v>
      </c>
      <c r="AM67" s="3" t="n">
        <v>10228.57371849096</v>
      </c>
      <c r="AN67" s="3" t="n">
        <v>10887.48250423395</v>
      </c>
      <c r="AO67" s="3" t="n">
        <v>10984.88574217937</v>
      </c>
      <c r="AP67" s="3" t="n">
        <v>12702.45495425988</v>
      </c>
      <c r="AQ67" s="3" t="n">
        <v>12107.54757603293</v>
      </c>
      <c r="AR67" s="3" t="n">
        <v>13891.80574828627</v>
      </c>
      <c r="AS67" s="3" t="n">
        <v>12789.81856857691</v>
      </c>
      <c r="AT67" s="3" t="n">
        <v>15138.43647057111</v>
      </c>
      <c r="AU67" s="3" t="n">
        <v>16715.78321453829</v>
      </c>
      <c r="AV67" s="3" t="n">
        <v>18878.87202690229</v>
      </c>
      <c r="AW67" s="3" t="n">
        <v>19469.36727498588</v>
      </c>
      <c r="AX67" s="3" t="n">
        <v>22699.38648915751</v>
      </c>
      <c r="AY67" s="3" t="n">
        <v>23002.73301211483</v>
      </c>
      <c r="AZ67" s="3" t="n">
        <v>59957.55401454535</v>
      </c>
      <c r="BA67" s="3" t="n">
        <v>15051.56902021822</v>
      </c>
      <c r="BB67" s="3" t="n">
        <v>6121188.636912081</v>
      </c>
      <c r="BC67" s="3" t="n">
        <v>0</v>
      </c>
      <c r="BD67" s="3" t="n">
        <v>0</v>
      </c>
      <c r="BE67" s="3" t="n">
        <v>0</v>
      </c>
      <c r="BF67" s="3" t="n">
        <v>0</v>
      </c>
      <c r="BG67" s="3" t="n">
        <v>0</v>
      </c>
      <c r="BH67" s="3" t="n">
        <v>0</v>
      </c>
      <c r="BI67" s="3" t="n">
        <v>0</v>
      </c>
      <c r="BJ67" s="3" t="n">
        <v>0</v>
      </c>
      <c r="BK67" s="3" t="n">
        <v>0</v>
      </c>
      <c r="BL67" s="3" t="n">
        <v>0</v>
      </c>
      <c r="BM67" s="3" t="n">
        <v>0.0009177540056470731</v>
      </c>
      <c r="BN67" s="3" t="n">
        <v>0</v>
      </c>
      <c r="BO67" s="3" t="n">
        <v>0</v>
      </c>
      <c r="BP67" s="3" t="n">
        <v>0</v>
      </c>
    </row>
    <row r="68">
      <c r="A68" s="3" t="inlineStr">
        <is>
          <t>EGY.distn.bsh.dec.rur.median.10</t>
        </is>
      </c>
      <c r="B68" s="3" t="inlineStr">
        <is>
          <t>EGY</t>
        </is>
      </c>
      <c r="C68" s="3" t="n">
        <v>2017</v>
      </c>
      <c r="D68" s="3" t="inlineStr">
        <is>
          <t>Rural</t>
        </is>
      </c>
      <c r="E68" s="3" t="inlineStr">
        <is>
          <t>Deciles</t>
        </is>
      </c>
      <c r="F68" s="3" t="inlineStr">
        <is>
          <t>median</t>
        </is>
      </c>
      <c r="G68" s="3" t="n">
        <v>10</v>
      </c>
      <c r="H68" s="3" t="n">
        <v>1.115781288793642</v>
      </c>
      <c r="I68" s="3" t="n">
        <v>0</v>
      </c>
      <c r="J68" s="3" t="n">
        <v>3.31583591471074</v>
      </c>
      <c r="K68" s="3" t="n">
        <v>3.639966504479763</v>
      </c>
      <c r="L68" s="3" t="n">
        <v>0</v>
      </c>
      <c r="M68" s="3" t="n">
        <v>1.801180663128085</v>
      </c>
      <c r="N68" s="3" t="n">
        <v>0</v>
      </c>
      <c r="O68" s="3" t="n">
        <v>0</v>
      </c>
      <c r="P68" s="3" t="n">
        <v>0</v>
      </c>
      <c r="Q68" s="3" t="n">
        <v>3.32194939263865</v>
      </c>
      <c r="R68" s="3" t="n">
        <v>52.75570129740493</v>
      </c>
      <c r="S68" s="3" t="n">
        <v>0</v>
      </c>
      <c r="T68" s="3" t="n">
        <v>0</v>
      </c>
      <c r="U68" s="3" t="n">
        <v>4.514735474220257</v>
      </c>
      <c r="V68" s="3" t="n">
        <v>3.00425132192377</v>
      </c>
      <c r="W68" s="3" t="n">
        <v>0</v>
      </c>
      <c r="X68" s="3" t="n">
        <v>1.903115278266622</v>
      </c>
      <c r="Y68" s="3" t="n">
        <v>0</v>
      </c>
      <c r="Z68" s="3" t="n">
        <v>0</v>
      </c>
      <c r="AA68" s="3" t="n">
        <v>0</v>
      </c>
      <c r="AB68" s="3" t="n">
        <v>0.3132346308362707</v>
      </c>
      <c r="AC68" s="3" t="n">
        <v>9.39694260403987</v>
      </c>
      <c r="AD68" s="3" t="n">
        <v>3.311887226530847</v>
      </c>
      <c r="AE68" s="3" t="n">
        <v>0</v>
      </c>
      <c r="AF68" s="3" t="n">
        <v>3.179474726479571</v>
      </c>
      <c r="AG68" s="3" t="n">
        <v>3134.756106510445</v>
      </c>
      <c r="AH68" s="3" t="n">
        <v>7497.797946519181</v>
      </c>
      <c r="AI68" s="3" t="n">
        <v>6946.950530131756</v>
      </c>
      <c r="AJ68" s="3" t="n">
        <v>8654.754673256555</v>
      </c>
      <c r="AK68" s="3" t="n">
        <v>8297.690250464708</v>
      </c>
      <c r="AL68" s="3" t="n">
        <v>9943.595613504855</v>
      </c>
      <c r="AM68" s="3" t="n">
        <v>9272.896864104201</v>
      </c>
      <c r="AN68" s="3" t="n">
        <v>10121.0846943334</v>
      </c>
      <c r="AO68" s="3" t="n">
        <v>10527.03940395303</v>
      </c>
      <c r="AP68" s="3" t="n">
        <v>11428.30914825243</v>
      </c>
      <c r="AQ68" s="3" t="n">
        <v>11602.49158310839</v>
      </c>
      <c r="AR68" s="3" t="n">
        <v>13413.96700116593</v>
      </c>
      <c r="AS68" s="3" t="n">
        <v>14757.26071153716</v>
      </c>
      <c r="AT68" s="3" t="n">
        <v>15379.20009643491</v>
      </c>
      <c r="AU68" s="3" t="n">
        <v>16592.58970909331</v>
      </c>
      <c r="AV68" s="3" t="n">
        <v>19019.78273917975</v>
      </c>
      <c r="AW68" s="3" t="n">
        <v>17255.0966784171</v>
      </c>
      <c r="AX68" s="3" t="n">
        <v>21853.23699884207</v>
      </c>
      <c r="AY68" s="3" t="n">
        <v>24908.04340802242</v>
      </c>
      <c r="AZ68" s="3" t="n">
        <v>62279.87314552744</v>
      </c>
      <c r="BA68" s="3" t="n">
        <v>20646.15462857715</v>
      </c>
      <c r="BB68" s="3" t="n">
        <v>5306424.173523231</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row>
    <row r="69">
      <c r="A69" s="3" t="inlineStr">
        <is>
          <t>EGY.distn.bsh.bkt.rur.median.9999</t>
        </is>
      </c>
      <c r="B69" s="3" t="inlineStr">
        <is>
          <t>EGY</t>
        </is>
      </c>
      <c r="C69" s="3" t="n">
        <v>2017</v>
      </c>
      <c r="D69" s="3" t="inlineStr">
        <is>
          <t>Rural</t>
        </is>
      </c>
      <c r="E69" s="3" t="inlineStr">
        <is>
          <t>Basket</t>
        </is>
      </c>
      <c r="F69" s="3" t="inlineStr">
        <is>
          <t>median</t>
        </is>
      </c>
      <c r="G69" s="3" t="n">
        <v>9999</v>
      </c>
      <c r="H69" s="3" t="n">
        <v>1.434050335293254</v>
      </c>
      <c r="I69" s="3" t="n">
        <v>0</v>
      </c>
      <c r="J69" s="3" t="n">
        <v>3.313473807883792</v>
      </c>
      <c r="K69" s="3" t="n">
        <v>5.702342201125252</v>
      </c>
      <c r="L69" s="3" t="n">
        <v>0</v>
      </c>
      <c r="M69" s="3" t="n">
        <v>2.046873017260361</v>
      </c>
      <c r="N69" s="3" t="n">
        <v>0</v>
      </c>
      <c r="O69" s="3" t="n">
        <v>1.276793334139586</v>
      </c>
      <c r="P69" s="3" t="n">
        <v>0</v>
      </c>
      <c r="Q69" s="3" t="n">
        <v>3.203349585496655</v>
      </c>
      <c r="R69" s="3" t="n">
        <v>58.54766116930022</v>
      </c>
      <c r="S69" s="3" t="n">
        <v>0</v>
      </c>
      <c r="T69" s="3" t="n">
        <v>0</v>
      </c>
      <c r="U69" s="3" t="n">
        <v>2.900366684142716</v>
      </c>
      <c r="V69" s="3" t="n">
        <v>2.810070626269715</v>
      </c>
      <c r="W69" s="3" t="n">
        <v>0</v>
      </c>
      <c r="X69" s="3" t="n">
        <v>2.354507112197841</v>
      </c>
      <c r="Y69" s="3" t="n">
        <v>0</v>
      </c>
      <c r="Z69" s="3" t="n">
        <v>0</v>
      </c>
      <c r="AA69" s="3" t="n">
        <v>0</v>
      </c>
      <c r="AB69" s="3" t="n">
        <v>1.484634771901026</v>
      </c>
      <c r="AC69" s="3" t="n">
        <v>4.900739678820707</v>
      </c>
      <c r="AD69" s="3" t="n">
        <v>5.253028716790255</v>
      </c>
      <c r="AE69" s="3" t="n">
        <v>0</v>
      </c>
      <c r="AF69" s="3" t="n">
        <v>3.25161102067685</v>
      </c>
      <c r="AG69" s="3" t="n">
        <v>3064.369400030032</v>
      </c>
      <c r="AH69" s="3" t="n">
        <v>6953.410032018049</v>
      </c>
      <c r="AI69" s="3" t="n">
        <v>7371.271800387754</v>
      </c>
      <c r="AJ69" s="3" t="n">
        <v>8353.231916214696</v>
      </c>
      <c r="AK69" s="3" t="n">
        <v>8194.653149602324</v>
      </c>
      <c r="AL69" s="3" t="n">
        <v>10260.60811316047</v>
      </c>
      <c r="AM69" s="3" t="n">
        <v>9478.645757941445</v>
      </c>
      <c r="AN69" s="3" t="n">
        <v>10167.40281634394</v>
      </c>
      <c r="AO69" s="3" t="n">
        <v>10937.08651774669</v>
      </c>
      <c r="AP69" s="3" t="n">
        <v>11732.81090568795</v>
      </c>
      <c r="AQ69" s="3" t="n">
        <v>12071.73908115319</v>
      </c>
      <c r="AR69" s="3" t="n">
        <v>12668.52578277356</v>
      </c>
      <c r="AS69" s="3" t="n">
        <v>13809.37369580644</v>
      </c>
      <c r="AT69" s="3" t="n">
        <v>16236.01414166167</v>
      </c>
      <c r="AU69" s="3" t="n">
        <v>15621.68219544173</v>
      </c>
      <c r="AV69" s="3" t="n">
        <v>17668.43891294604</v>
      </c>
      <c r="AW69" s="3" t="n">
        <v>17470.77582776868</v>
      </c>
      <c r="AX69" s="3" t="n">
        <v>21789.25550570814</v>
      </c>
      <c r="AY69" s="3" t="n">
        <v>24507.88254632934</v>
      </c>
      <c r="AZ69" s="3" t="n">
        <v>66868.6675002026</v>
      </c>
      <c r="BA69" s="3" t="n">
        <v>10432.43788029654</v>
      </c>
      <c r="BB69" s="3" t="n">
        <v>52649796.97064371</v>
      </c>
      <c r="BC69" s="3" t="n">
        <v>0</v>
      </c>
      <c r="BD69" s="3" t="n">
        <v>0</v>
      </c>
      <c r="BE69" s="3" t="n">
        <v>0</v>
      </c>
      <c r="BF69" s="3" t="n">
        <v>0</v>
      </c>
      <c r="BG69" s="3" t="n">
        <v>0</v>
      </c>
      <c r="BH69" s="3" t="n">
        <v>0</v>
      </c>
      <c r="BI69" s="3" t="n">
        <v>0</v>
      </c>
      <c r="BJ69" s="3" t="n">
        <v>0</v>
      </c>
      <c r="BK69" s="3" t="n">
        <v>0.1117288469590187</v>
      </c>
      <c r="BL69" s="3" t="n">
        <v>2.178532854466492</v>
      </c>
      <c r="BM69" s="3" t="n">
        <v>22.4904565002707</v>
      </c>
      <c r="BN69" s="3" t="n">
        <v>0</v>
      </c>
      <c r="BO69" s="3" t="n">
        <v>0</v>
      </c>
      <c r="BP69" s="3" t="n">
        <v>0</v>
      </c>
    </row>
    <row r="70">
      <c r="A70" s="3" t="inlineStr">
        <is>
          <t>EGY.distn.bsh.dec.rur.p25.1</t>
        </is>
      </c>
      <c r="B70" s="3" t="inlineStr">
        <is>
          <t>EGY</t>
        </is>
      </c>
      <c r="C70" s="3" t="n">
        <v>2017</v>
      </c>
      <c r="D70" s="3" t="inlineStr">
        <is>
          <t>Rural</t>
        </is>
      </c>
      <c r="E70" s="3" t="inlineStr">
        <is>
          <t>Deciles</t>
        </is>
      </c>
      <c r="F70" s="3" t="inlineStr">
        <is>
          <t>p25</t>
        </is>
      </c>
      <c r="G70" s="3" t="n">
        <v>1</v>
      </c>
      <c r="H70" s="3" t="n">
        <v>0.8819664603798246</v>
      </c>
      <c r="I70" s="3" t="n">
        <v>0</v>
      </c>
      <c r="J70" s="3" t="n">
        <v>3.288510927174988</v>
      </c>
      <c r="K70" s="3" t="n">
        <v>2.834112872753304</v>
      </c>
      <c r="L70" s="3" t="n">
        <v>0</v>
      </c>
      <c r="M70" s="3" t="n">
        <v>1.163044847470052</v>
      </c>
      <c r="N70" s="3" t="n">
        <v>0</v>
      </c>
      <c r="O70" s="3" t="n">
        <v>0.4905435905527449</v>
      </c>
      <c r="P70" s="3" t="n">
        <v>0</v>
      </c>
      <c r="Q70" s="3" t="n">
        <v>2.471609986502208</v>
      </c>
      <c r="R70" s="3" t="n">
        <v>54.53543992654</v>
      </c>
      <c r="S70" s="3" t="n">
        <v>0</v>
      </c>
      <c r="T70" s="3" t="n">
        <v>0</v>
      </c>
      <c r="U70" s="3" t="n">
        <v>0.6704593887320287</v>
      </c>
      <c r="V70" s="3" t="n">
        <v>1.83751824952262</v>
      </c>
      <c r="W70" s="3" t="n">
        <v>0</v>
      </c>
      <c r="X70" s="3" t="n">
        <v>2.466032405929611</v>
      </c>
      <c r="Y70" s="3" t="n">
        <v>0</v>
      </c>
      <c r="Z70" s="3" t="n">
        <v>0</v>
      </c>
      <c r="AA70" s="3" t="n">
        <v>0</v>
      </c>
      <c r="AB70" s="3" t="n">
        <v>0.8727540906334719</v>
      </c>
      <c r="AC70" s="3" t="n">
        <v>1.67861619392749</v>
      </c>
      <c r="AD70" s="3" t="n">
        <v>3.322509771326815</v>
      </c>
      <c r="AE70" s="3" t="n">
        <v>0</v>
      </c>
      <c r="AF70" s="3" t="n">
        <v>2.247068949776951</v>
      </c>
      <c r="AG70" s="3" t="n">
        <v>2959.234325763757</v>
      </c>
      <c r="AH70" s="3" t="n">
        <v>7175.615161423856</v>
      </c>
      <c r="AI70" s="3" t="n">
        <v>7038.183959171222</v>
      </c>
      <c r="AJ70" s="3" t="n">
        <v>8752.463487600569</v>
      </c>
      <c r="AK70" s="3" t="n">
        <v>8674.492156713195</v>
      </c>
      <c r="AL70" s="3" t="n">
        <v>8932.6428931264</v>
      </c>
      <c r="AM70" s="3" t="n">
        <v>10359.5260132748</v>
      </c>
      <c r="AN70" s="3" t="n">
        <v>11252.04411573541</v>
      </c>
      <c r="AO70" s="3" t="n">
        <v>10872.72946245215</v>
      </c>
      <c r="AP70" s="3" t="n">
        <v>12479.83210151419</v>
      </c>
      <c r="AQ70" s="3" t="n">
        <v>11464.33726049638</v>
      </c>
      <c r="AR70" s="3" t="n">
        <v>14699.3546926704</v>
      </c>
      <c r="AS70" s="3" t="n">
        <v>14734.56083290015</v>
      </c>
      <c r="AT70" s="3" t="n">
        <v>16190.2144695426</v>
      </c>
      <c r="AU70" s="3" t="n">
        <v>15207.39086466198</v>
      </c>
      <c r="AV70" s="3" t="n">
        <v>18681.25575387639</v>
      </c>
      <c r="AW70" s="3" t="n">
        <v>17104.34099051828</v>
      </c>
      <c r="AX70" s="3" t="n">
        <v>21653.69925225009</v>
      </c>
      <c r="AY70" s="3" t="n">
        <v>24072.74965150696</v>
      </c>
      <c r="AZ70" s="3" t="n">
        <v>68868.71290838803</v>
      </c>
      <c r="BA70" s="3" t="n">
        <v>4298.226723857321</v>
      </c>
      <c r="BB70" s="3" t="n">
        <v>5781546.973847773</v>
      </c>
      <c r="BC70" s="3" t="n">
        <v>0</v>
      </c>
      <c r="BD70" s="3" t="n">
        <v>0</v>
      </c>
      <c r="BE70" s="3" t="n">
        <v>111.8662948250758</v>
      </c>
      <c r="BF70" s="3" t="n">
        <v>17.64080961156496</v>
      </c>
      <c r="BG70" s="3" t="n">
        <v>22.27593252527172</v>
      </c>
      <c r="BH70" s="3" t="n">
        <v>88.5866806655161</v>
      </c>
      <c r="BI70" s="3" t="n">
        <v>98.40088651908626</v>
      </c>
      <c r="BJ70" s="3" t="n">
        <v>71.99154440459978</v>
      </c>
      <c r="BK70" s="3" t="n">
        <v>0.1144269929788106</v>
      </c>
      <c r="BL70" s="3" t="n">
        <v>2.285117625551613</v>
      </c>
      <c r="BM70" s="3" t="n">
        <v>5.679278629772406</v>
      </c>
      <c r="BN70" s="3" t="n">
        <v>0</v>
      </c>
      <c r="BO70" s="3" t="n">
        <v>0</v>
      </c>
      <c r="BP70" s="3" t="n">
        <v>0</v>
      </c>
    </row>
    <row r="71">
      <c r="A71" s="3" t="inlineStr">
        <is>
          <t>EGY.distn.bsh.dec.rur.p25.2</t>
        </is>
      </c>
      <c r="B71" s="3" t="inlineStr">
        <is>
          <t>EGY</t>
        </is>
      </c>
      <c r="C71" s="3" t="n">
        <v>2017</v>
      </c>
      <c r="D71" s="3" t="inlineStr">
        <is>
          <t>Rural</t>
        </is>
      </c>
      <c r="E71" s="3" t="inlineStr">
        <is>
          <t>Deciles</t>
        </is>
      </c>
      <c r="F71" s="3" t="inlineStr">
        <is>
          <t>p25</t>
        </is>
      </c>
      <c r="G71" s="3" t="n">
        <v>2</v>
      </c>
      <c r="H71" s="3" t="n">
        <v>0.9565021660404819</v>
      </c>
      <c r="I71" s="3" t="n">
        <v>0</v>
      </c>
      <c r="J71" s="3" t="n">
        <v>3.329690513319304</v>
      </c>
      <c r="K71" s="3" t="n">
        <v>3.508885065278323</v>
      </c>
      <c r="L71" s="3" t="n">
        <v>0</v>
      </c>
      <c r="M71" s="3" t="n">
        <v>1.121067628606908</v>
      </c>
      <c r="N71" s="3" t="n">
        <v>0</v>
      </c>
      <c r="O71" s="3" t="n">
        <v>0.4831317497019152</v>
      </c>
      <c r="P71" s="3" t="n">
        <v>0</v>
      </c>
      <c r="Q71" s="3" t="n">
        <v>2.46437586981571</v>
      </c>
      <c r="R71" s="3" t="n">
        <v>51.24121649444363</v>
      </c>
      <c r="S71" s="3" t="n">
        <v>0</v>
      </c>
      <c r="T71" s="3" t="n">
        <v>0</v>
      </c>
      <c r="U71" s="3" t="n">
        <v>0.8511470401630826</v>
      </c>
      <c r="V71" s="3" t="n">
        <v>1.730010652314289</v>
      </c>
      <c r="W71" s="3" t="n">
        <v>0</v>
      </c>
      <c r="X71" s="3" t="n">
        <v>2.1541549313999</v>
      </c>
      <c r="Y71" s="3" t="n">
        <v>0</v>
      </c>
      <c r="Z71" s="3" t="n">
        <v>0</v>
      </c>
      <c r="AA71" s="3" t="n">
        <v>0</v>
      </c>
      <c r="AB71" s="3" t="n">
        <v>1.092964399085277</v>
      </c>
      <c r="AC71" s="3" t="n">
        <v>1.753951437168021</v>
      </c>
      <c r="AD71" s="3" t="n">
        <v>3.797984641351693</v>
      </c>
      <c r="AE71" s="3" t="n">
        <v>0</v>
      </c>
      <c r="AF71" s="3" t="n">
        <v>1.890497984645884</v>
      </c>
      <c r="AG71" s="3" t="n">
        <v>3248.166624501672</v>
      </c>
      <c r="AH71" s="3" t="n">
        <v>7185.558963543115</v>
      </c>
      <c r="AI71" s="3" t="n">
        <v>6962.510576593189</v>
      </c>
      <c r="AJ71" s="3" t="n">
        <v>8605.3533803726</v>
      </c>
      <c r="AK71" s="3" t="n">
        <v>8844.424601298017</v>
      </c>
      <c r="AL71" s="3" t="n">
        <v>9367.79026631353</v>
      </c>
      <c r="AM71" s="3" t="n">
        <v>10346.3251701233</v>
      </c>
      <c r="AN71" s="3" t="n">
        <v>10866.46453648186</v>
      </c>
      <c r="AO71" s="3" t="n">
        <v>10601.46446321735</v>
      </c>
      <c r="AP71" s="3" t="n">
        <v>12620.98636812133</v>
      </c>
      <c r="AQ71" s="3" t="n">
        <v>12619.66592988956</v>
      </c>
      <c r="AR71" s="3" t="n">
        <v>13536.86812186636</v>
      </c>
      <c r="AS71" s="3" t="n">
        <v>13232.58362152223</v>
      </c>
      <c r="AT71" s="3" t="n">
        <v>15021.04846556249</v>
      </c>
      <c r="AU71" s="3" t="n">
        <v>15741.87351157434</v>
      </c>
      <c r="AV71" s="3" t="n">
        <v>19512.51515281862</v>
      </c>
      <c r="AW71" s="3" t="n">
        <v>17037.55946340417</v>
      </c>
      <c r="AX71" s="3" t="n">
        <v>21838.03283109644</v>
      </c>
      <c r="AY71" s="3" t="n">
        <v>23761.50330759705</v>
      </c>
      <c r="AZ71" s="3" t="n">
        <v>65831.17751921788</v>
      </c>
      <c r="BA71" s="3" t="n">
        <v>6268.287628664768</v>
      </c>
      <c r="BB71" s="3" t="n">
        <v>5620270.154851249</v>
      </c>
      <c r="BC71" s="3" t="n">
        <v>0</v>
      </c>
      <c r="BD71" s="3" t="n">
        <v>0</v>
      </c>
      <c r="BE71" s="3" t="n">
        <v>111.0128224035691</v>
      </c>
      <c r="BF71" s="3" t="n">
        <v>28.63529548824817</v>
      </c>
      <c r="BG71" s="3" t="n">
        <v>44.245486658975</v>
      </c>
      <c r="BH71" s="3" t="n">
        <v>94.01196004765846</v>
      </c>
      <c r="BI71" s="3" t="n">
        <v>106.707421339255</v>
      </c>
      <c r="BJ71" s="3" t="n">
        <v>81.61870529786017</v>
      </c>
      <c r="BK71" s="3" t="n">
        <v>0</v>
      </c>
      <c r="BL71" s="3" t="n">
        <v>0.0008956397925411993</v>
      </c>
      <c r="BM71" s="3" t="n">
        <v>5.866595090243464</v>
      </c>
      <c r="BN71" s="3" t="n">
        <v>0</v>
      </c>
      <c r="BO71" s="3" t="n">
        <v>0</v>
      </c>
      <c r="BP71" s="3" t="n">
        <v>0</v>
      </c>
    </row>
    <row r="72">
      <c r="A72" s="3" t="inlineStr">
        <is>
          <t>EGY.distn.bsh.dec.rur.p25.3</t>
        </is>
      </c>
      <c r="B72" s="3" t="inlineStr">
        <is>
          <t>EGY</t>
        </is>
      </c>
      <c r="C72" s="3" t="n">
        <v>2017</v>
      </c>
      <c r="D72" s="3" t="inlineStr">
        <is>
          <t>Rural</t>
        </is>
      </c>
      <c r="E72" s="3" t="inlineStr">
        <is>
          <t>Deciles</t>
        </is>
      </c>
      <c r="F72" s="3" t="inlineStr">
        <is>
          <t>p25</t>
        </is>
      </c>
      <c r="G72" s="3" t="n">
        <v>3</v>
      </c>
      <c r="H72" s="3" t="n">
        <v>0.8331061618160586</v>
      </c>
      <c r="I72" s="3" t="n">
        <v>0</v>
      </c>
      <c r="J72" s="3" t="n">
        <v>2.780799328332877</v>
      </c>
      <c r="K72" s="3" t="n">
        <v>3.597182871382139</v>
      </c>
      <c r="L72" s="3" t="n">
        <v>0</v>
      </c>
      <c r="M72" s="3" t="n">
        <v>1.403144377257368</v>
      </c>
      <c r="N72" s="3" t="n">
        <v>0</v>
      </c>
      <c r="O72" s="3" t="n">
        <v>0.4590845569493429</v>
      </c>
      <c r="P72" s="3" t="n">
        <v>0</v>
      </c>
      <c r="Q72" s="3" t="n">
        <v>2.255610550042567</v>
      </c>
      <c r="R72" s="3" t="n">
        <v>55.31477484898461</v>
      </c>
      <c r="S72" s="3" t="n">
        <v>0</v>
      </c>
      <c r="T72" s="3" t="n">
        <v>0</v>
      </c>
      <c r="U72" s="3" t="n">
        <v>0.9899738481329031</v>
      </c>
      <c r="V72" s="3" t="n">
        <v>1.821179332648773</v>
      </c>
      <c r="W72" s="3" t="n">
        <v>0</v>
      </c>
      <c r="X72" s="3" t="n">
        <v>1.853210052732859</v>
      </c>
      <c r="Y72" s="3" t="n">
        <v>0</v>
      </c>
      <c r="Z72" s="3" t="n">
        <v>0</v>
      </c>
      <c r="AA72" s="3" t="n">
        <v>0</v>
      </c>
      <c r="AB72" s="3" t="n">
        <v>0.8660086856730849</v>
      </c>
      <c r="AC72" s="3" t="n">
        <v>1.832251220761464</v>
      </c>
      <c r="AD72" s="3" t="n">
        <v>3.942467596938123</v>
      </c>
      <c r="AE72" s="3" t="n">
        <v>0</v>
      </c>
      <c r="AF72" s="3" t="n">
        <v>2.131787806348804</v>
      </c>
      <c r="AG72" s="3" t="n">
        <v>3141.233525701318</v>
      </c>
      <c r="AH72" s="3" t="n">
        <v>7384.185871941771</v>
      </c>
      <c r="AI72" s="3" t="n">
        <v>7002.231934521572</v>
      </c>
      <c r="AJ72" s="3" t="n">
        <v>8338.676799135426</v>
      </c>
      <c r="AK72" s="3" t="n">
        <v>7884.463250394756</v>
      </c>
      <c r="AL72" s="3" t="n">
        <v>9157.342546585423</v>
      </c>
      <c r="AM72" s="3" t="n">
        <v>10066.14957401952</v>
      </c>
      <c r="AN72" s="3" t="n">
        <v>10973.71062825048</v>
      </c>
      <c r="AO72" s="3" t="n">
        <v>10115.9900888694</v>
      </c>
      <c r="AP72" s="3" t="n">
        <v>12909.11908611378</v>
      </c>
      <c r="AQ72" s="3" t="n">
        <v>12557.28656201771</v>
      </c>
      <c r="AR72" s="3" t="n">
        <v>13304.3206506243</v>
      </c>
      <c r="AS72" s="3" t="n">
        <v>13347.30148590158</v>
      </c>
      <c r="AT72" s="3" t="n">
        <v>14573.49145479383</v>
      </c>
      <c r="AU72" s="3" t="n">
        <v>16018.11380451977</v>
      </c>
      <c r="AV72" s="3" t="n">
        <v>19246.04014252999</v>
      </c>
      <c r="AW72" s="3" t="n">
        <v>17376.64765031182</v>
      </c>
      <c r="AX72" s="3" t="n">
        <v>23608.01587710946</v>
      </c>
      <c r="AY72" s="3" t="n">
        <v>22517.30366518794</v>
      </c>
      <c r="AZ72" s="3" t="n">
        <v>66997.00874795196</v>
      </c>
      <c r="BA72" s="3" t="n">
        <v>7529.634207063305</v>
      </c>
      <c r="BB72" s="3" t="n">
        <v>5606498.917722633</v>
      </c>
      <c r="BC72" s="3" t="n">
        <v>0</v>
      </c>
      <c r="BD72" s="3" t="n">
        <v>0</v>
      </c>
      <c r="BE72" s="3" t="n">
        <v>113.8715929116216</v>
      </c>
      <c r="BF72" s="3" t="n">
        <v>39.33191029796527</v>
      </c>
      <c r="BG72" s="3" t="n">
        <v>55.82216768074404</v>
      </c>
      <c r="BH72" s="3" t="n">
        <v>97.6671116630615</v>
      </c>
      <c r="BI72" s="3" t="n">
        <v>111.0971366189662</v>
      </c>
      <c r="BJ72" s="3" t="n">
        <v>79.71722728395015</v>
      </c>
      <c r="BK72" s="3" t="n">
        <v>0</v>
      </c>
      <c r="BL72" s="3" t="n">
        <v>0</v>
      </c>
      <c r="BM72" s="3" t="n">
        <v>5.945033558373851</v>
      </c>
      <c r="BN72" s="3" t="n">
        <v>0</v>
      </c>
      <c r="BO72" s="3" t="n">
        <v>0</v>
      </c>
      <c r="BP72" s="3" t="n">
        <v>0</v>
      </c>
    </row>
    <row r="73">
      <c r="A73" s="3" t="inlineStr">
        <is>
          <t>EGY.distn.bsh.dec.rur.p25.4</t>
        </is>
      </c>
      <c r="B73" s="3" t="inlineStr">
        <is>
          <t>EGY</t>
        </is>
      </c>
      <c r="C73" s="3" t="n">
        <v>2017</v>
      </c>
      <c r="D73" s="3" t="inlineStr">
        <is>
          <t>Rural</t>
        </is>
      </c>
      <c r="E73" s="3" t="inlineStr">
        <is>
          <t>Deciles</t>
        </is>
      </c>
      <c r="F73" s="3" t="inlineStr">
        <is>
          <t>p25</t>
        </is>
      </c>
      <c r="G73" s="3" t="n">
        <v>4</v>
      </c>
      <c r="H73" s="3" t="n">
        <v>0.873860332525966</v>
      </c>
      <c r="I73" s="3" t="n">
        <v>0</v>
      </c>
      <c r="J73" s="3" t="n">
        <v>2.67194528000898</v>
      </c>
      <c r="K73" s="3" t="n">
        <v>3.958793434635922</v>
      </c>
      <c r="L73" s="3" t="n">
        <v>0</v>
      </c>
      <c r="M73" s="3" t="n">
        <v>1.290819276986823</v>
      </c>
      <c r="N73" s="3" t="n">
        <v>0</v>
      </c>
      <c r="O73" s="3" t="n">
        <v>0.3450255978175976</v>
      </c>
      <c r="P73" s="3" t="n">
        <v>0</v>
      </c>
      <c r="Q73" s="3" t="n">
        <v>2.068118660594242</v>
      </c>
      <c r="R73" s="3" t="n">
        <v>55.59540772325067</v>
      </c>
      <c r="S73" s="3" t="n">
        <v>0</v>
      </c>
      <c r="T73" s="3" t="n">
        <v>0</v>
      </c>
      <c r="U73" s="3" t="n">
        <v>1.038150497883431</v>
      </c>
      <c r="V73" s="3" t="n">
        <v>1.848442113672521</v>
      </c>
      <c r="W73" s="3" t="n">
        <v>0</v>
      </c>
      <c r="X73" s="3" t="n">
        <v>1.830501041336938</v>
      </c>
      <c r="Y73" s="3" t="n">
        <v>0</v>
      </c>
      <c r="Z73" s="3" t="n">
        <v>0</v>
      </c>
      <c r="AA73" s="3" t="n">
        <v>0</v>
      </c>
      <c r="AB73" s="3" t="n">
        <v>0.9000781276051747</v>
      </c>
      <c r="AC73" s="3" t="n">
        <v>1.932979061422326</v>
      </c>
      <c r="AD73" s="3" t="n">
        <v>3.70682067146599</v>
      </c>
      <c r="AE73" s="3" t="n">
        <v>0</v>
      </c>
      <c r="AF73" s="3" t="n">
        <v>2.182131737966523</v>
      </c>
      <c r="AG73" s="3" t="n">
        <v>3271.286178876943</v>
      </c>
      <c r="AH73" s="3" t="n">
        <v>7214.088532877663</v>
      </c>
      <c r="AI73" s="3" t="n">
        <v>7311.661146148425</v>
      </c>
      <c r="AJ73" s="3" t="n">
        <v>8858.966560166125</v>
      </c>
      <c r="AK73" s="3" t="n">
        <v>8997.496898378864</v>
      </c>
      <c r="AL73" s="3" t="n">
        <v>9238.695690715909</v>
      </c>
      <c r="AM73" s="3" t="n">
        <v>9988.384530947951</v>
      </c>
      <c r="AN73" s="3" t="n">
        <v>11373.10607886852</v>
      </c>
      <c r="AO73" s="3" t="n">
        <v>10484.69368078107</v>
      </c>
      <c r="AP73" s="3" t="n">
        <v>12374.80274969883</v>
      </c>
      <c r="AQ73" s="3" t="n">
        <v>11234.95235774812</v>
      </c>
      <c r="AR73" s="3" t="n">
        <v>14236.12075166452</v>
      </c>
      <c r="AS73" s="3" t="n">
        <v>12705.27194902577</v>
      </c>
      <c r="AT73" s="3" t="n">
        <v>16573.60751750925</v>
      </c>
      <c r="AU73" s="3" t="n">
        <v>14444.20735218994</v>
      </c>
      <c r="AV73" s="3" t="n">
        <v>18500.61529607552</v>
      </c>
      <c r="AW73" s="3" t="n">
        <v>17912.93774200287</v>
      </c>
      <c r="AX73" s="3" t="n">
        <v>24206.77773629135</v>
      </c>
      <c r="AY73" s="3" t="n">
        <v>24461.2276442861</v>
      </c>
      <c r="AZ73" s="3" t="n">
        <v>64689.09574743935</v>
      </c>
      <c r="BA73" s="3" t="n">
        <v>7574.96867973486</v>
      </c>
      <c r="BB73" s="3" t="n">
        <v>5564184.545082458</v>
      </c>
      <c r="BC73" s="3" t="n">
        <v>0</v>
      </c>
      <c r="BD73" s="3" t="n">
        <v>0</v>
      </c>
      <c r="BE73" s="3" t="n">
        <v>108.3731465319502</v>
      </c>
      <c r="BF73" s="3" t="n">
        <v>44.08433352544426</v>
      </c>
      <c r="BG73" s="3" t="n">
        <v>54.91144163011691</v>
      </c>
      <c r="BH73" s="3" t="n">
        <v>105.2111229636766</v>
      </c>
      <c r="BI73" s="3" t="n">
        <v>109.8857742232573</v>
      </c>
      <c r="BJ73" s="3" t="n">
        <v>90.90076644367775</v>
      </c>
      <c r="BK73" s="3" t="n">
        <v>0</v>
      </c>
      <c r="BL73" s="3" t="n">
        <v>0</v>
      </c>
      <c r="BM73" s="3" t="n">
        <v>5.220283827268799</v>
      </c>
      <c r="BN73" s="3" t="n">
        <v>0</v>
      </c>
      <c r="BO73" s="3" t="n">
        <v>0</v>
      </c>
      <c r="BP73" s="3" t="n">
        <v>0</v>
      </c>
    </row>
    <row r="74">
      <c r="A74" s="3" t="inlineStr">
        <is>
          <t>EGY.distn.bsh.dec.rur.p25.5</t>
        </is>
      </c>
      <c r="B74" s="3" t="inlineStr">
        <is>
          <t>EGY</t>
        </is>
      </c>
      <c r="C74" s="3" t="n">
        <v>2017</v>
      </c>
      <c r="D74" s="3" t="inlineStr">
        <is>
          <t>Rural</t>
        </is>
      </c>
      <c r="E74" s="3" t="inlineStr">
        <is>
          <t>Deciles</t>
        </is>
      </c>
      <c r="F74" s="3" t="inlineStr">
        <is>
          <t>p25</t>
        </is>
      </c>
      <c r="G74" s="3" t="n">
        <v>5</v>
      </c>
      <c r="H74" s="3" t="n">
        <v>0.9068380905279697</v>
      </c>
      <c r="I74" s="3" t="n">
        <v>0</v>
      </c>
      <c r="J74" s="3" t="n">
        <v>2.730655028476403</v>
      </c>
      <c r="K74" s="3" t="n">
        <v>3.51867786661454</v>
      </c>
      <c r="L74" s="3" t="n">
        <v>0</v>
      </c>
      <c r="M74" s="3" t="n">
        <v>1.219855263228372</v>
      </c>
      <c r="N74" s="3" t="n">
        <v>0</v>
      </c>
      <c r="O74" s="3" t="n">
        <v>0.1641297943384261</v>
      </c>
      <c r="P74" s="3" t="n">
        <v>0</v>
      </c>
      <c r="Q74" s="3" t="n">
        <v>2.181138782757898</v>
      </c>
      <c r="R74" s="3" t="n">
        <v>53.72127247515511</v>
      </c>
      <c r="S74" s="3" t="n">
        <v>0</v>
      </c>
      <c r="T74" s="3" t="n">
        <v>0</v>
      </c>
      <c r="U74" s="3" t="n">
        <v>1.16456958956847</v>
      </c>
      <c r="V74" s="3" t="n">
        <v>1.653078295519448</v>
      </c>
      <c r="W74" s="3" t="n">
        <v>0</v>
      </c>
      <c r="X74" s="3" t="n">
        <v>1.601352277530274</v>
      </c>
      <c r="Y74" s="3" t="n">
        <v>0</v>
      </c>
      <c r="Z74" s="3" t="n">
        <v>0</v>
      </c>
      <c r="AA74" s="3" t="n">
        <v>0</v>
      </c>
      <c r="AB74" s="3" t="n">
        <v>0.7690543641021508</v>
      </c>
      <c r="AC74" s="3" t="n">
        <v>1.944328836029404</v>
      </c>
      <c r="AD74" s="3" t="n">
        <v>4.10229520891504</v>
      </c>
      <c r="AE74" s="3" t="n">
        <v>0</v>
      </c>
      <c r="AF74" s="3" t="n">
        <v>1.972697039942402</v>
      </c>
      <c r="AG74" s="3" t="n">
        <v>2973.49330174616</v>
      </c>
      <c r="AH74" s="3" t="n">
        <v>7405.68770369112</v>
      </c>
      <c r="AI74" s="3" t="n">
        <v>7336.813397316611</v>
      </c>
      <c r="AJ74" s="3" t="n">
        <v>8312.687883793718</v>
      </c>
      <c r="AK74" s="3" t="n">
        <v>8940.049162668691</v>
      </c>
      <c r="AL74" s="3" t="n">
        <v>9151.643781143976</v>
      </c>
      <c r="AM74" s="3" t="n">
        <v>9286.830297239965</v>
      </c>
      <c r="AN74" s="3" t="n">
        <v>11561.80028561231</v>
      </c>
      <c r="AO74" s="3" t="n">
        <v>10376.07566412292</v>
      </c>
      <c r="AP74" s="3" t="n">
        <v>11940.17478006483</v>
      </c>
      <c r="AQ74" s="3" t="n">
        <v>12637.56683712472</v>
      </c>
      <c r="AR74" s="3" t="n">
        <v>14264.68642629846</v>
      </c>
      <c r="AS74" s="3" t="n">
        <v>13837.52785914198</v>
      </c>
      <c r="AT74" s="3" t="n">
        <v>16236.62596938523</v>
      </c>
      <c r="AU74" s="3" t="n">
        <v>16598.39960050679</v>
      </c>
      <c r="AV74" s="3" t="n">
        <v>19013.48784439154</v>
      </c>
      <c r="AW74" s="3" t="n">
        <v>19066.53135960264</v>
      </c>
      <c r="AX74" s="3" t="n">
        <v>24784.66065107813</v>
      </c>
      <c r="AY74" s="3" t="n">
        <v>23435.74967215426</v>
      </c>
      <c r="AZ74" s="3" t="n">
        <v>62885.8452889447</v>
      </c>
      <c r="BA74" s="3" t="n">
        <v>8839.551327391438</v>
      </c>
      <c r="BB74" s="3" t="n">
        <v>5532691.259139989</v>
      </c>
      <c r="BC74" s="3" t="n">
        <v>0</v>
      </c>
      <c r="BD74" s="3" t="n">
        <v>0</v>
      </c>
      <c r="BE74" s="3" t="n">
        <v>115.1565224526452</v>
      </c>
      <c r="BF74" s="3" t="n">
        <v>47.63926381463689</v>
      </c>
      <c r="BG74" s="3" t="n">
        <v>60.58895860970417</v>
      </c>
      <c r="BH74" s="3" t="n">
        <v>93.51552960269819</v>
      </c>
      <c r="BI74" s="3" t="n">
        <v>110.7402065196945</v>
      </c>
      <c r="BJ74" s="3" t="n">
        <v>79.89354808190137</v>
      </c>
      <c r="BK74" s="3" t="n">
        <v>0</v>
      </c>
      <c r="BL74" s="3" t="n">
        <v>0</v>
      </c>
      <c r="BM74" s="3" t="n">
        <v>1.522669904143106</v>
      </c>
      <c r="BN74" s="3" t="n">
        <v>0</v>
      </c>
      <c r="BO74" s="3" t="n">
        <v>0</v>
      </c>
      <c r="BP74" s="3" t="n">
        <v>0</v>
      </c>
    </row>
    <row r="75">
      <c r="A75" s="3" t="inlineStr">
        <is>
          <t>EGY.distn.bsh.dec.rur.p25.6</t>
        </is>
      </c>
      <c r="B75" s="3" t="inlineStr">
        <is>
          <t>EGY</t>
        </is>
      </c>
      <c r="C75" s="3" t="n">
        <v>2017</v>
      </c>
      <c r="D75" s="3" t="inlineStr">
        <is>
          <t>Rural</t>
        </is>
      </c>
      <c r="E75" s="3" t="inlineStr">
        <is>
          <t>Deciles</t>
        </is>
      </c>
      <c r="F75" s="3" t="inlineStr">
        <is>
          <t>p25</t>
        </is>
      </c>
      <c r="G75" s="3" t="n">
        <v>6</v>
      </c>
      <c r="H75" s="3" t="n">
        <v>0.7556350179749561</v>
      </c>
      <c r="I75" s="3" t="n">
        <v>0</v>
      </c>
      <c r="J75" s="3" t="n">
        <v>2.643727387005365</v>
      </c>
      <c r="K75" s="3" t="n">
        <v>3.627373980204516</v>
      </c>
      <c r="L75" s="3" t="n">
        <v>0</v>
      </c>
      <c r="M75" s="3" t="n">
        <v>1.322183731798407</v>
      </c>
      <c r="N75" s="3" t="n">
        <v>0</v>
      </c>
      <c r="O75" s="3" t="n">
        <v>0</v>
      </c>
      <c r="P75" s="3" t="n">
        <v>0</v>
      </c>
      <c r="Q75" s="3" t="n">
        <v>2.116954271301482</v>
      </c>
      <c r="R75" s="3" t="n">
        <v>49.88817960129487</v>
      </c>
      <c r="S75" s="3" t="n">
        <v>0</v>
      </c>
      <c r="T75" s="3" t="n">
        <v>0</v>
      </c>
      <c r="U75" s="3" t="n">
        <v>1.203983880270934</v>
      </c>
      <c r="V75" s="3" t="n">
        <v>1.795653188523039</v>
      </c>
      <c r="W75" s="3" t="n">
        <v>0</v>
      </c>
      <c r="X75" s="3" t="n">
        <v>1.710626649668211</v>
      </c>
      <c r="Y75" s="3" t="n">
        <v>0</v>
      </c>
      <c r="Z75" s="3" t="n">
        <v>0</v>
      </c>
      <c r="AA75" s="3" t="n">
        <v>0</v>
      </c>
      <c r="AB75" s="3" t="n">
        <v>0.6018888837895042</v>
      </c>
      <c r="AC75" s="3" t="n">
        <v>2.227467810121258</v>
      </c>
      <c r="AD75" s="3" t="n">
        <v>3.532338855930989</v>
      </c>
      <c r="AE75" s="3" t="n">
        <v>0</v>
      </c>
      <c r="AF75" s="3" t="n">
        <v>2.117739139271263</v>
      </c>
      <c r="AG75" s="3" t="n">
        <v>3007.388877808648</v>
      </c>
      <c r="AH75" s="3" t="n">
        <v>7341.243734632222</v>
      </c>
      <c r="AI75" s="3" t="n">
        <v>7384.866546206437</v>
      </c>
      <c r="AJ75" s="3" t="n">
        <v>9029.697860647188</v>
      </c>
      <c r="AK75" s="3" t="n">
        <v>8129.997132346426</v>
      </c>
      <c r="AL75" s="3" t="n">
        <v>9870.319744523422</v>
      </c>
      <c r="AM75" s="3" t="n">
        <v>9983.678124321603</v>
      </c>
      <c r="AN75" s="3" t="n">
        <v>11054.71879209154</v>
      </c>
      <c r="AO75" s="3" t="n">
        <v>11619.34165413451</v>
      </c>
      <c r="AP75" s="3" t="n">
        <v>12364.26078725326</v>
      </c>
      <c r="AQ75" s="3" t="n">
        <v>12894.35668215364</v>
      </c>
      <c r="AR75" s="3" t="n">
        <v>13525.13539238486</v>
      </c>
      <c r="AS75" s="3" t="n">
        <v>14144.09629822231</v>
      </c>
      <c r="AT75" s="3" t="n">
        <v>15553.9015078231</v>
      </c>
      <c r="AU75" s="3" t="n">
        <v>16703.60319116961</v>
      </c>
      <c r="AV75" s="3" t="n">
        <v>18087.79261588857</v>
      </c>
      <c r="AW75" s="3" t="n">
        <v>18309.47337461021</v>
      </c>
      <c r="AX75" s="3" t="n">
        <v>23813.92249164537</v>
      </c>
      <c r="AY75" s="3" t="n">
        <v>23908.20822981522</v>
      </c>
      <c r="AZ75" s="3" t="n">
        <v>60148.98447840447</v>
      </c>
      <c r="BA75" s="3" t="n">
        <v>9727.338380921838</v>
      </c>
      <c r="BB75" s="3" t="n">
        <v>6079177.528418214</v>
      </c>
      <c r="BC75" s="3" t="n">
        <v>0</v>
      </c>
      <c r="BD75" s="3" t="n">
        <v>0</v>
      </c>
      <c r="BE75" s="3" t="n">
        <v>111.434917304994</v>
      </c>
      <c r="BF75" s="3" t="n">
        <v>43.42203522911311</v>
      </c>
      <c r="BG75" s="3" t="n">
        <v>60.59258732239253</v>
      </c>
      <c r="BH75" s="3" t="n">
        <v>94.53235647952754</v>
      </c>
      <c r="BI75" s="3" t="n">
        <v>112.3170358896705</v>
      </c>
      <c r="BJ75" s="3" t="n">
        <v>80.88728721272011</v>
      </c>
      <c r="BK75" s="3" t="n">
        <v>0</v>
      </c>
      <c r="BL75" s="3" t="n">
        <v>0</v>
      </c>
      <c r="BM75" s="3" t="n">
        <v>0.1809215797651122</v>
      </c>
      <c r="BN75" s="3" t="n">
        <v>0</v>
      </c>
      <c r="BO75" s="3" t="n">
        <v>0</v>
      </c>
      <c r="BP75" s="3" t="n">
        <v>0</v>
      </c>
    </row>
    <row r="76">
      <c r="A76" s="3" t="inlineStr">
        <is>
          <t>EGY.distn.bsh.dec.rur.p25.7</t>
        </is>
      </c>
      <c r="B76" s="3" t="inlineStr">
        <is>
          <t>EGY</t>
        </is>
      </c>
      <c r="C76" s="3" t="n">
        <v>2017</v>
      </c>
      <c r="D76" s="3" t="inlineStr">
        <is>
          <t>Rural</t>
        </is>
      </c>
      <c r="E76" s="3" t="inlineStr">
        <is>
          <t>Deciles</t>
        </is>
      </c>
      <c r="F76" s="3" t="inlineStr">
        <is>
          <t>p25</t>
        </is>
      </c>
      <c r="G76" s="3" t="n">
        <v>7</v>
      </c>
      <c r="H76" s="3" t="n">
        <v>0.8462949296003931</v>
      </c>
      <c r="I76" s="3" t="n">
        <v>0</v>
      </c>
      <c r="J76" s="3" t="n">
        <v>2.714552943893692</v>
      </c>
      <c r="K76" s="3" t="n">
        <v>3.057099219993807</v>
      </c>
      <c r="L76" s="3" t="n">
        <v>0</v>
      </c>
      <c r="M76" s="3" t="n">
        <v>1.369518837896862</v>
      </c>
      <c r="N76" s="3" t="n">
        <v>0</v>
      </c>
      <c r="O76" s="3" t="n">
        <v>0</v>
      </c>
      <c r="P76" s="3" t="n">
        <v>0</v>
      </c>
      <c r="Q76" s="3" t="n">
        <v>2.142276127294787</v>
      </c>
      <c r="R76" s="3" t="n">
        <v>48.43887031551881</v>
      </c>
      <c r="S76" s="3" t="n">
        <v>0</v>
      </c>
      <c r="T76" s="3" t="n">
        <v>0</v>
      </c>
      <c r="U76" s="3" t="n">
        <v>1.451009789053891</v>
      </c>
      <c r="V76" s="3" t="n">
        <v>1.729181448883781</v>
      </c>
      <c r="W76" s="3" t="n">
        <v>0</v>
      </c>
      <c r="X76" s="3" t="n">
        <v>1.433220159498147</v>
      </c>
      <c r="Y76" s="3" t="n">
        <v>0</v>
      </c>
      <c r="Z76" s="3" t="n">
        <v>0</v>
      </c>
      <c r="AA76" s="3" t="n">
        <v>0</v>
      </c>
      <c r="AB76" s="3" t="n">
        <v>0.4092151316858754</v>
      </c>
      <c r="AC76" s="3" t="n">
        <v>2.209590450065215</v>
      </c>
      <c r="AD76" s="3" t="n">
        <v>3.379363739000295</v>
      </c>
      <c r="AE76" s="3" t="n">
        <v>0</v>
      </c>
      <c r="AF76" s="3" t="n">
        <v>2.212211193849907</v>
      </c>
      <c r="AG76" s="3" t="n">
        <v>3092.947471207231</v>
      </c>
      <c r="AH76" s="3" t="n">
        <v>7377.483116128445</v>
      </c>
      <c r="AI76" s="3" t="n">
        <v>6986.4992516348</v>
      </c>
      <c r="AJ76" s="3" t="n">
        <v>8437.152242654931</v>
      </c>
      <c r="AK76" s="3" t="n">
        <v>8965.857275582724</v>
      </c>
      <c r="AL76" s="3" t="n">
        <v>9804.374549225828</v>
      </c>
      <c r="AM76" s="3" t="n">
        <v>9761.841460942123</v>
      </c>
      <c r="AN76" s="3" t="n">
        <v>10635.18293457202</v>
      </c>
      <c r="AO76" s="3" t="n">
        <v>11260.17825049246</v>
      </c>
      <c r="AP76" s="3" t="n">
        <v>12327.95035757027</v>
      </c>
      <c r="AQ76" s="3" t="n">
        <v>12700.03483195295</v>
      </c>
      <c r="AR76" s="3" t="n">
        <v>13892.00327621676</v>
      </c>
      <c r="AS76" s="3" t="n">
        <v>13197.71188840348</v>
      </c>
      <c r="AT76" s="3" t="n">
        <v>15778.48284626058</v>
      </c>
      <c r="AU76" s="3" t="n">
        <v>15409.33703564095</v>
      </c>
      <c r="AV76" s="3" t="n">
        <v>19367.89352005492</v>
      </c>
      <c r="AW76" s="3" t="n">
        <v>19472.12765881354</v>
      </c>
      <c r="AX76" s="3" t="n">
        <v>22629.01950151182</v>
      </c>
      <c r="AY76" s="3" t="n">
        <v>22495.2634296171</v>
      </c>
      <c r="AZ76" s="3" t="n">
        <v>61276.13797153246</v>
      </c>
      <c r="BA76" s="3" t="n">
        <v>10664.59443981246</v>
      </c>
      <c r="BB76" s="3" t="n">
        <v>5315129.713888857</v>
      </c>
      <c r="BC76" s="3" t="n">
        <v>0</v>
      </c>
      <c r="BD76" s="3" t="n">
        <v>0</v>
      </c>
      <c r="BE76" s="3" t="n">
        <v>110.2115406817438</v>
      </c>
      <c r="BF76" s="3" t="n">
        <v>45.28358618802291</v>
      </c>
      <c r="BG76" s="3" t="n">
        <v>62.02859811701488</v>
      </c>
      <c r="BH76" s="3" t="n">
        <v>105.6263813048113</v>
      </c>
      <c r="BI76" s="3" t="n">
        <v>105.8963945331932</v>
      </c>
      <c r="BJ76" s="3" t="n">
        <v>85.71151012265659</v>
      </c>
      <c r="BK76" s="3" t="n">
        <v>0</v>
      </c>
      <c r="BL76" s="3" t="n">
        <v>0</v>
      </c>
      <c r="BM76" s="3" t="n">
        <v>0.01903071310299621</v>
      </c>
      <c r="BN76" s="3" t="n">
        <v>0</v>
      </c>
      <c r="BO76" s="3" t="n">
        <v>0</v>
      </c>
      <c r="BP76" s="3" t="n">
        <v>0</v>
      </c>
    </row>
    <row r="77">
      <c r="A77" s="3" t="inlineStr">
        <is>
          <t>EGY.distn.bsh.dec.rur.p25.8</t>
        </is>
      </c>
      <c r="B77" s="3" t="inlineStr">
        <is>
          <t>EGY</t>
        </is>
      </c>
      <c r="C77" s="3" t="n">
        <v>2017</v>
      </c>
      <c r="D77" s="3" t="inlineStr">
        <is>
          <t>Rural</t>
        </is>
      </c>
      <c r="E77" s="3" t="inlineStr">
        <is>
          <t>Deciles</t>
        </is>
      </c>
      <c r="F77" s="3" t="inlineStr">
        <is>
          <t>p25</t>
        </is>
      </c>
      <c r="G77" s="3" t="n">
        <v>8</v>
      </c>
      <c r="H77" s="3" t="n">
        <v>0.8156321769845901</v>
      </c>
      <c r="I77" s="3" t="n">
        <v>0</v>
      </c>
      <c r="J77" s="3" t="n">
        <v>2.726936613019731</v>
      </c>
      <c r="K77" s="3" t="n">
        <v>2.616468092179528</v>
      </c>
      <c r="L77" s="3" t="n">
        <v>0</v>
      </c>
      <c r="M77" s="3" t="n">
        <v>1.191208368177684</v>
      </c>
      <c r="N77" s="3" t="n">
        <v>0</v>
      </c>
      <c r="O77" s="3" t="n">
        <v>0</v>
      </c>
      <c r="P77" s="3" t="n">
        <v>0</v>
      </c>
      <c r="Q77" s="3" t="n">
        <v>2.079820344700965</v>
      </c>
      <c r="R77" s="3" t="n">
        <v>45.76088417166174</v>
      </c>
      <c r="S77" s="3" t="n">
        <v>0</v>
      </c>
      <c r="T77" s="3" t="n">
        <v>0</v>
      </c>
      <c r="U77" s="3" t="n">
        <v>1.596790253211635</v>
      </c>
      <c r="V77" s="3" t="n">
        <v>1.721459698430887</v>
      </c>
      <c r="W77" s="3" t="n">
        <v>0</v>
      </c>
      <c r="X77" s="3" t="n">
        <v>1.550862251121445</v>
      </c>
      <c r="Y77" s="3" t="n">
        <v>0</v>
      </c>
      <c r="Z77" s="3" t="n">
        <v>0</v>
      </c>
      <c r="AA77" s="3" t="n">
        <v>0</v>
      </c>
      <c r="AB77" s="3" t="n">
        <v>0.2368410757466924</v>
      </c>
      <c r="AC77" s="3" t="n">
        <v>2.577189671928649</v>
      </c>
      <c r="AD77" s="3" t="n">
        <v>3.197868692881628</v>
      </c>
      <c r="AE77" s="3" t="n">
        <v>0</v>
      </c>
      <c r="AF77" s="3" t="n">
        <v>2.177341451561754</v>
      </c>
      <c r="AG77" s="3" t="n">
        <v>3364.574634590304</v>
      </c>
      <c r="AH77" s="3" t="n">
        <v>6581.486364332386</v>
      </c>
      <c r="AI77" s="3" t="n">
        <v>6814.308339874845</v>
      </c>
      <c r="AJ77" s="3" t="n">
        <v>8870.366669146686</v>
      </c>
      <c r="AK77" s="3" t="n">
        <v>8458.761078525764</v>
      </c>
      <c r="AL77" s="3" t="n">
        <v>10145.34623273126</v>
      </c>
      <c r="AM77" s="3" t="n">
        <v>10100.71448835823</v>
      </c>
      <c r="AN77" s="3" t="n">
        <v>10841.08825405197</v>
      </c>
      <c r="AO77" s="3" t="n">
        <v>10800.34872239811</v>
      </c>
      <c r="AP77" s="3" t="n">
        <v>12478.20659375728</v>
      </c>
      <c r="AQ77" s="3" t="n">
        <v>12686.95582964709</v>
      </c>
      <c r="AR77" s="3" t="n">
        <v>14644.49189183645</v>
      </c>
      <c r="AS77" s="3" t="n">
        <v>13166.65799237157</v>
      </c>
      <c r="AT77" s="3" t="n">
        <v>16402.72842680536</v>
      </c>
      <c r="AU77" s="3" t="n">
        <v>16405.80050681533</v>
      </c>
      <c r="AV77" s="3" t="n">
        <v>18725.8751938587</v>
      </c>
      <c r="AW77" s="3" t="n">
        <v>18366.61376642244</v>
      </c>
      <c r="AX77" s="3" t="n">
        <v>23157.22851298859</v>
      </c>
      <c r="AY77" s="3" t="n">
        <v>24477.32036784673</v>
      </c>
      <c r="AZ77" s="3" t="n">
        <v>68508.68582495295</v>
      </c>
      <c r="BA77" s="3" t="n">
        <v>12116.08227093478</v>
      </c>
      <c r="BB77" s="3" t="n">
        <v>5766604.407660319</v>
      </c>
      <c r="BC77" s="3" t="n">
        <v>0</v>
      </c>
      <c r="BD77" s="3" t="n">
        <v>0</v>
      </c>
      <c r="BE77" s="3" t="n">
        <v>103.6833935873293</v>
      </c>
      <c r="BF77" s="3" t="n">
        <v>35.51132850525553</v>
      </c>
      <c r="BG77" s="3" t="n">
        <v>65.83006193014164</v>
      </c>
      <c r="BH77" s="3" t="n">
        <v>105.290970937993</v>
      </c>
      <c r="BI77" s="3" t="n">
        <v>95.81916329370939</v>
      </c>
      <c r="BJ77" s="3" t="n">
        <v>79.25001274520348</v>
      </c>
      <c r="BK77" s="3" t="n">
        <v>0</v>
      </c>
      <c r="BL77" s="3" t="n">
        <v>0</v>
      </c>
      <c r="BM77" s="3" t="n">
        <v>0</v>
      </c>
      <c r="BN77" s="3" t="n">
        <v>0</v>
      </c>
      <c r="BO77" s="3" t="n">
        <v>0</v>
      </c>
      <c r="BP77" s="3" t="n">
        <v>0</v>
      </c>
    </row>
    <row r="78">
      <c r="A78" s="3" t="inlineStr">
        <is>
          <t>EGY.distn.bsh.dec.rur.p25.9</t>
        </is>
      </c>
      <c r="B78" s="3" t="inlineStr">
        <is>
          <t>EGY</t>
        </is>
      </c>
      <c r="C78" s="3" t="n">
        <v>2017</v>
      </c>
      <c r="D78" s="3" t="inlineStr">
        <is>
          <t>Rural</t>
        </is>
      </c>
      <c r="E78" s="3" t="inlineStr">
        <is>
          <t>Deciles</t>
        </is>
      </c>
      <c r="F78" s="3" t="inlineStr">
        <is>
          <t>p25</t>
        </is>
      </c>
      <c r="G78" s="3" t="n">
        <v>9</v>
      </c>
      <c r="H78" s="3" t="n">
        <v>0.7258201494366244</v>
      </c>
      <c r="I78" s="3" t="n">
        <v>0</v>
      </c>
      <c r="J78" s="3" t="n">
        <v>2.578959386112237</v>
      </c>
      <c r="K78" s="3" t="n">
        <v>1.788014647448539</v>
      </c>
      <c r="L78" s="3" t="n">
        <v>0</v>
      </c>
      <c r="M78" s="3" t="n">
        <v>1.158681508494567</v>
      </c>
      <c r="N78" s="3" t="n">
        <v>0</v>
      </c>
      <c r="O78" s="3" t="n">
        <v>0</v>
      </c>
      <c r="P78" s="3" t="n">
        <v>0</v>
      </c>
      <c r="Q78" s="3" t="n">
        <v>2.31413761189741</v>
      </c>
      <c r="R78" s="3" t="n">
        <v>51.94019482255649</v>
      </c>
      <c r="S78" s="3" t="n">
        <v>0</v>
      </c>
      <c r="T78" s="3" t="n">
        <v>0</v>
      </c>
      <c r="U78" s="3" t="n">
        <v>1.774613314516678</v>
      </c>
      <c r="V78" s="3" t="n">
        <v>1.896911327180339</v>
      </c>
      <c r="W78" s="3" t="n">
        <v>0</v>
      </c>
      <c r="X78" s="3" t="n">
        <v>1.442342194362897</v>
      </c>
      <c r="Y78" s="3" t="n">
        <v>0</v>
      </c>
      <c r="Z78" s="3" t="n">
        <v>0</v>
      </c>
      <c r="AA78" s="3" t="n">
        <v>0</v>
      </c>
      <c r="AB78" s="3" t="n">
        <v>0.1283911126422244</v>
      </c>
      <c r="AC78" s="3" t="n">
        <v>3.228267717363897</v>
      </c>
      <c r="AD78" s="3" t="n">
        <v>3.136461911300297</v>
      </c>
      <c r="AE78" s="3" t="n">
        <v>0</v>
      </c>
      <c r="AF78" s="3" t="n">
        <v>2.131955557104857</v>
      </c>
      <c r="AG78" s="3" t="n">
        <v>3083.057650913164</v>
      </c>
      <c r="AH78" s="3" t="n">
        <v>7369.119666061114</v>
      </c>
      <c r="AI78" s="3" t="n">
        <v>6916.418334893633</v>
      </c>
      <c r="AJ78" s="3" t="n">
        <v>8337.821142280005</v>
      </c>
      <c r="AK78" s="3" t="n">
        <v>8661.464781861107</v>
      </c>
      <c r="AL78" s="3" t="n">
        <v>10364.22269276934</v>
      </c>
      <c r="AM78" s="3" t="n">
        <v>9002.76237150067</v>
      </c>
      <c r="AN78" s="3" t="n">
        <v>10398.30600279011</v>
      </c>
      <c r="AO78" s="3" t="n">
        <v>10236.89587697402</v>
      </c>
      <c r="AP78" s="3" t="n">
        <v>11484.69686953106</v>
      </c>
      <c r="AQ78" s="3" t="n">
        <v>12644.46473227912</v>
      </c>
      <c r="AR78" s="3" t="n">
        <v>13894.29409522852</v>
      </c>
      <c r="AS78" s="3" t="n">
        <v>13078.57194884678</v>
      </c>
      <c r="AT78" s="3" t="n">
        <v>14569.94871435593</v>
      </c>
      <c r="AU78" s="3" t="n">
        <v>14687.97922692193</v>
      </c>
      <c r="AV78" s="3" t="n">
        <v>17575.16464158036</v>
      </c>
      <c r="AW78" s="3" t="n">
        <v>19252.92044820283</v>
      </c>
      <c r="AX78" s="3" t="n">
        <v>22126.11125806921</v>
      </c>
      <c r="AY78" s="3" t="n">
        <v>23727.93958343789</v>
      </c>
      <c r="AZ78" s="3" t="n">
        <v>66291.60712857085</v>
      </c>
      <c r="BA78" s="3" t="n">
        <v>15668.75027773006</v>
      </c>
      <c r="BB78" s="3" t="n">
        <v>5640979.85862345</v>
      </c>
      <c r="BC78" s="3" t="n">
        <v>0</v>
      </c>
      <c r="BD78" s="3" t="n">
        <v>0</v>
      </c>
      <c r="BE78" s="3" t="n">
        <v>103.839833094937</v>
      </c>
      <c r="BF78" s="3" t="n">
        <v>31.43735737378439</v>
      </c>
      <c r="BG78" s="3" t="n">
        <v>65.88729738052631</v>
      </c>
      <c r="BH78" s="3" t="n">
        <v>98.30091154130513</v>
      </c>
      <c r="BI78" s="3" t="n">
        <v>106.6568768519575</v>
      </c>
      <c r="BJ78" s="3" t="n">
        <v>78.41106748105555</v>
      </c>
      <c r="BK78" s="3" t="n">
        <v>0</v>
      </c>
      <c r="BL78" s="3" t="n">
        <v>0</v>
      </c>
      <c r="BM78" s="3" t="n">
        <v>0.0008875657648593861</v>
      </c>
      <c r="BN78" s="3" t="n">
        <v>0</v>
      </c>
      <c r="BO78" s="3" t="n">
        <v>0</v>
      </c>
      <c r="BP78" s="3" t="n">
        <v>0</v>
      </c>
    </row>
    <row r="79">
      <c r="A79" s="3" t="inlineStr">
        <is>
          <t>EGY.distn.bsh.dec.rur.p25.10</t>
        </is>
      </c>
      <c r="B79" s="3" t="inlineStr">
        <is>
          <t>EGY</t>
        </is>
      </c>
      <c r="C79" s="3" t="n">
        <v>2017</v>
      </c>
      <c r="D79" s="3" t="inlineStr">
        <is>
          <t>Rural</t>
        </is>
      </c>
      <c r="E79" s="3" t="inlineStr">
        <is>
          <t>Deciles</t>
        </is>
      </c>
      <c r="F79" s="3" t="inlineStr">
        <is>
          <t>p25</t>
        </is>
      </c>
      <c r="G79" s="3" t="n">
        <v>10</v>
      </c>
      <c r="H79" s="3" t="n">
        <v>0.6796588266222295</v>
      </c>
      <c r="I79" s="3" t="n">
        <v>0</v>
      </c>
      <c r="J79" s="3" t="n">
        <v>2.484660637628038</v>
      </c>
      <c r="K79" s="3" t="n">
        <v>1.49312426629318</v>
      </c>
      <c r="L79" s="3" t="n">
        <v>0</v>
      </c>
      <c r="M79" s="3" t="n">
        <v>0.7902686014925187</v>
      </c>
      <c r="N79" s="3" t="n">
        <v>0</v>
      </c>
      <c r="O79" s="3" t="n">
        <v>0</v>
      </c>
      <c r="P79" s="3" t="n">
        <v>0</v>
      </c>
      <c r="Q79" s="3" t="n">
        <v>2.473821699772414</v>
      </c>
      <c r="R79" s="3" t="n">
        <v>48.96066226252194</v>
      </c>
      <c r="S79" s="3" t="n">
        <v>0</v>
      </c>
      <c r="T79" s="3" t="n">
        <v>0</v>
      </c>
      <c r="U79" s="3" t="n">
        <v>2.005090366988155</v>
      </c>
      <c r="V79" s="3" t="n">
        <v>1.823523391545276</v>
      </c>
      <c r="W79" s="3" t="n">
        <v>0</v>
      </c>
      <c r="X79" s="3" t="n">
        <v>1.423773934124988</v>
      </c>
      <c r="Y79" s="3" t="n">
        <v>0</v>
      </c>
      <c r="Z79" s="3" t="n">
        <v>0</v>
      </c>
      <c r="AA79" s="3" t="n">
        <v>0</v>
      </c>
      <c r="AB79" s="3" t="n">
        <v>0.09072586950999256</v>
      </c>
      <c r="AC79" s="3" t="n">
        <v>4.096141290264702</v>
      </c>
      <c r="AD79" s="3" t="n">
        <v>2.002945366776206</v>
      </c>
      <c r="AE79" s="3" t="n">
        <v>0</v>
      </c>
      <c r="AF79" s="3" t="n">
        <v>1.806877780138819</v>
      </c>
      <c r="AG79" s="3" t="n">
        <v>3105.736436708758</v>
      </c>
      <c r="AH79" s="3" t="n">
        <v>6957.077022961633</v>
      </c>
      <c r="AI79" s="3" t="n">
        <v>7499.830696515999</v>
      </c>
      <c r="AJ79" s="3" t="n">
        <v>8534.661425956956</v>
      </c>
      <c r="AK79" s="3" t="n">
        <v>8745.766393550755</v>
      </c>
      <c r="AL79" s="3" t="n">
        <v>8981.216674384854</v>
      </c>
      <c r="AM79" s="3" t="n">
        <v>10281.91381266181</v>
      </c>
      <c r="AN79" s="3" t="n">
        <v>10637.44421458036</v>
      </c>
      <c r="AO79" s="3" t="n">
        <v>11053.7703786579</v>
      </c>
      <c r="AP79" s="3" t="n">
        <v>12184.57336080205</v>
      </c>
      <c r="AQ79" s="3" t="n">
        <v>11724.38399357474</v>
      </c>
      <c r="AR79" s="3" t="n">
        <v>14366.9690729824</v>
      </c>
      <c r="AS79" s="3" t="n">
        <v>13807.08699757033</v>
      </c>
      <c r="AT79" s="3" t="n">
        <v>15780.9929830795</v>
      </c>
      <c r="AU79" s="3" t="n">
        <v>15700.27693193594</v>
      </c>
      <c r="AV79" s="3" t="n">
        <v>17359.26455854861</v>
      </c>
      <c r="AW79" s="3" t="n">
        <v>18714.49945424946</v>
      </c>
      <c r="AX79" s="3" t="n">
        <v>22000.63272952678</v>
      </c>
      <c r="AY79" s="3" t="n">
        <v>23237.89552860125</v>
      </c>
      <c r="AZ79" s="3" t="n">
        <v>60802.49114693158</v>
      </c>
      <c r="BA79" s="3" t="n">
        <v>18504.11931799008</v>
      </c>
      <c r="BB79" s="3" t="n">
        <v>5975540.900829902</v>
      </c>
      <c r="BC79" s="3" t="n">
        <v>0</v>
      </c>
      <c r="BD79" s="3" t="n">
        <v>0</v>
      </c>
      <c r="BE79" s="3" t="n">
        <v>103.0748819663087</v>
      </c>
      <c r="BF79" s="3" t="n">
        <v>36.72971688568696</v>
      </c>
      <c r="BG79" s="3" t="n">
        <v>71.11373328236667</v>
      </c>
      <c r="BH79" s="3" t="n">
        <v>108.9945224015929</v>
      </c>
      <c r="BI79" s="3" t="n">
        <v>97.15046330512939</v>
      </c>
      <c r="BJ79" s="3" t="n">
        <v>89.47134893142105</v>
      </c>
      <c r="BK79" s="3" t="n">
        <v>0</v>
      </c>
      <c r="BL79" s="3" t="n">
        <v>0</v>
      </c>
      <c r="BM79" s="3" t="n">
        <v>0</v>
      </c>
      <c r="BN79" s="3" t="n">
        <v>0</v>
      </c>
      <c r="BO79" s="3" t="n">
        <v>0</v>
      </c>
      <c r="BP79" s="3" t="n">
        <v>0</v>
      </c>
    </row>
    <row r="80">
      <c r="A80" s="3" t="inlineStr">
        <is>
          <t>EGY.distn.bsh.bkt.rur.p25.9999</t>
        </is>
      </c>
      <c r="B80" s="3" t="inlineStr">
        <is>
          <t>EGY</t>
        </is>
      </c>
      <c r="C80" s="3" t="n">
        <v>2017</v>
      </c>
      <c r="D80" s="3" t="inlineStr">
        <is>
          <t>Rural</t>
        </is>
      </c>
      <c r="E80" s="3" t="inlineStr">
        <is>
          <t>Basket</t>
        </is>
      </c>
      <c r="F80" s="3" t="inlineStr">
        <is>
          <t>p25</t>
        </is>
      </c>
      <c r="G80" s="3" t="n">
        <v>9999</v>
      </c>
      <c r="H80" s="3" t="n">
        <v>0.8512524787229776</v>
      </c>
      <c r="I80" s="3" t="n">
        <v>0</v>
      </c>
      <c r="J80" s="3" t="n">
        <v>2.911755823735559</v>
      </c>
      <c r="K80" s="3" t="n">
        <v>3.0639963228176</v>
      </c>
      <c r="L80" s="3" t="n">
        <v>0</v>
      </c>
      <c r="M80" s="3" t="n">
        <v>1.273815110048398</v>
      </c>
      <c r="N80" s="3" t="n">
        <v>0</v>
      </c>
      <c r="O80" s="3" t="n">
        <v>0</v>
      </c>
      <c r="P80" s="3" t="n">
        <v>0</v>
      </c>
      <c r="Q80" s="3" t="n">
        <v>2.34264897066469</v>
      </c>
      <c r="R80" s="3" t="n">
        <v>49.96356168038999</v>
      </c>
      <c r="S80" s="3" t="n">
        <v>0</v>
      </c>
      <c r="T80" s="3" t="n">
        <v>0</v>
      </c>
      <c r="U80" s="3" t="n">
        <v>1.098794644083898</v>
      </c>
      <c r="V80" s="3" t="n">
        <v>1.817201909510676</v>
      </c>
      <c r="W80" s="3" t="n">
        <v>0</v>
      </c>
      <c r="X80" s="3" t="n">
        <v>1.56162161570527</v>
      </c>
      <c r="Y80" s="3" t="n">
        <v>0</v>
      </c>
      <c r="Z80" s="3" t="n">
        <v>0</v>
      </c>
      <c r="AA80" s="3" t="n">
        <v>0</v>
      </c>
      <c r="AB80" s="3" t="n">
        <v>0.4747740485909658</v>
      </c>
      <c r="AC80" s="3" t="n">
        <v>2.056512780393212</v>
      </c>
      <c r="AD80" s="3" t="n">
        <v>3.130325985288155</v>
      </c>
      <c r="AE80" s="3" t="n">
        <v>0</v>
      </c>
      <c r="AF80" s="3" t="n">
        <v>1.958643499810107</v>
      </c>
      <c r="AG80" s="3" t="n">
        <v>3119.858051606495</v>
      </c>
      <c r="AH80" s="3" t="n">
        <v>7239.998548818987</v>
      </c>
      <c r="AI80" s="3" t="n">
        <v>6878.773175711648</v>
      </c>
      <c r="AJ80" s="3" t="n">
        <v>8992.819624788666</v>
      </c>
      <c r="AK80" s="3" t="n">
        <v>8815.163933499371</v>
      </c>
      <c r="AL80" s="3" t="n">
        <v>8915.775967122494</v>
      </c>
      <c r="AM80" s="3" t="n">
        <v>10221.51113453548</v>
      </c>
      <c r="AN80" s="3" t="n">
        <v>11345.51191252385</v>
      </c>
      <c r="AO80" s="3" t="n">
        <v>10474.14679945215</v>
      </c>
      <c r="AP80" s="3" t="n">
        <v>11210.74486421762</v>
      </c>
      <c r="AQ80" s="3" t="n">
        <v>11449.76769297225</v>
      </c>
      <c r="AR80" s="3" t="n">
        <v>14276.78553260283</v>
      </c>
      <c r="AS80" s="3" t="n">
        <v>13161.10476136815</v>
      </c>
      <c r="AT80" s="3" t="n">
        <v>15655.87330176436</v>
      </c>
      <c r="AU80" s="3" t="n">
        <v>14506.05599689474</v>
      </c>
      <c r="AV80" s="3" t="n">
        <v>18624.35446340886</v>
      </c>
      <c r="AW80" s="3" t="n">
        <v>18009.63816217854</v>
      </c>
      <c r="AX80" s="3" t="n">
        <v>21738.00269514007</v>
      </c>
      <c r="AY80" s="3" t="n">
        <v>23539.63570520687</v>
      </c>
      <c r="AZ80" s="3" t="n">
        <v>65949.33528335769</v>
      </c>
      <c r="BA80" s="3" t="n">
        <v>7199.500585199835</v>
      </c>
      <c r="BB80" s="3" t="n">
        <v>58584046.08576764</v>
      </c>
      <c r="BC80" s="3" t="n">
        <v>0</v>
      </c>
      <c r="BD80" s="3" t="n">
        <v>0</v>
      </c>
      <c r="BE80" s="3" t="n">
        <v>104.0346043999468</v>
      </c>
      <c r="BF80" s="3" t="n">
        <v>30.38264830738795</v>
      </c>
      <c r="BG80" s="3" t="n">
        <v>37.78329048207146</v>
      </c>
      <c r="BH80" s="3" t="n">
        <v>98.02777941366971</v>
      </c>
      <c r="BI80" s="3" t="n">
        <v>108.9393892048384</v>
      </c>
      <c r="BJ80" s="3" t="n">
        <v>76.54694242513858</v>
      </c>
      <c r="BK80" s="3" t="n">
        <v>0.1117609361055826</v>
      </c>
      <c r="BL80" s="3" t="n">
        <v>2.179723019675362</v>
      </c>
      <c r="BM80" s="3" t="n">
        <v>22.43750828554506</v>
      </c>
      <c r="BN80" s="3" t="n">
        <v>0</v>
      </c>
      <c r="BO80" s="3" t="n">
        <v>0</v>
      </c>
      <c r="BP80" s="3" t="n">
        <v>0</v>
      </c>
    </row>
    <row r="81">
      <c r="A81" s="3" t="inlineStr">
        <is>
          <t>EGY.distn.bsh.dec.rur.p75.1</t>
        </is>
      </c>
      <c r="B81" s="3" t="inlineStr">
        <is>
          <t>EGY</t>
        </is>
      </c>
      <c r="C81" s="3" t="n">
        <v>2017</v>
      </c>
      <c r="D81" s="3" t="inlineStr">
        <is>
          <t>Rural</t>
        </is>
      </c>
      <c r="E81" s="3" t="inlineStr">
        <is>
          <t>Deciles</t>
        </is>
      </c>
      <c r="F81" s="3" t="inlineStr">
        <is>
          <t>p75</t>
        </is>
      </c>
      <c r="G81" s="3" t="n">
        <v>1</v>
      </c>
      <c r="H81" s="3" t="n">
        <v>2.121503425416351</v>
      </c>
      <c r="I81" s="3" t="n">
        <v>0</v>
      </c>
      <c r="J81" s="3" t="n">
        <v>5.449127493737197</v>
      </c>
      <c r="K81" s="3" t="n">
        <v>7.828398706531472</v>
      </c>
      <c r="L81" s="3" t="n">
        <v>0</v>
      </c>
      <c r="M81" s="3" t="n">
        <v>2.253201436003756</v>
      </c>
      <c r="N81" s="3" t="n">
        <v>0</v>
      </c>
      <c r="O81" s="3" t="n">
        <v>3.685558913379709</v>
      </c>
      <c r="P81" s="3" t="n">
        <v>0</v>
      </c>
      <c r="Q81" s="3" t="n">
        <v>4.069107822138723</v>
      </c>
      <c r="R81" s="3" t="n">
        <v>73.75884846694778</v>
      </c>
      <c r="S81" s="3" t="n">
        <v>0</v>
      </c>
      <c r="T81" s="3" t="n">
        <v>0</v>
      </c>
      <c r="U81" s="3" t="n">
        <v>3.958867463274541</v>
      </c>
      <c r="V81" s="3" t="n">
        <v>4.286682955654166</v>
      </c>
      <c r="W81" s="3" t="n">
        <v>0</v>
      </c>
      <c r="X81" s="3" t="n">
        <v>4.012404684713061</v>
      </c>
      <c r="Y81" s="3" t="n">
        <v>0</v>
      </c>
      <c r="Z81" s="3" t="n">
        <v>0</v>
      </c>
      <c r="AA81" s="3" t="n">
        <v>0</v>
      </c>
      <c r="AB81" s="3" t="n">
        <v>2.589892050097357</v>
      </c>
      <c r="AC81" s="3" t="n">
        <v>5.906768958084071</v>
      </c>
      <c r="AD81" s="3" t="n">
        <v>7.997918325643231</v>
      </c>
      <c r="AE81" s="3" t="n">
        <v>0</v>
      </c>
      <c r="AF81" s="3" t="n">
        <v>5.108135187242202</v>
      </c>
      <c r="AG81" s="3" t="n">
        <v>3107.269150995436</v>
      </c>
      <c r="AH81" s="3" t="n">
        <v>7574.542672400985</v>
      </c>
      <c r="AI81" s="3" t="n">
        <v>6965.588355144139</v>
      </c>
      <c r="AJ81" s="3" t="n">
        <v>8059.874004920957</v>
      </c>
      <c r="AK81" s="3" t="n">
        <v>8881.574166543242</v>
      </c>
      <c r="AL81" s="3" t="n">
        <v>9563.048458588781</v>
      </c>
      <c r="AM81" s="3" t="n">
        <v>9096.283935617595</v>
      </c>
      <c r="AN81" s="3" t="n">
        <v>11407.68027243465</v>
      </c>
      <c r="AO81" s="3" t="n">
        <v>11295.41158997088</v>
      </c>
      <c r="AP81" s="3" t="n">
        <v>12771.89979973864</v>
      </c>
      <c r="AQ81" s="3" t="n">
        <v>13097.84193795977</v>
      </c>
      <c r="AR81" s="3" t="n">
        <v>13185.40763758046</v>
      </c>
      <c r="AS81" s="3" t="n">
        <v>13997.87500179226</v>
      </c>
      <c r="AT81" s="3" t="n">
        <v>15901.15974496308</v>
      </c>
      <c r="AU81" s="3" t="n">
        <v>15951.18112414437</v>
      </c>
      <c r="AV81" s="3" t="n">
        <v>19286.22350433524</v>
      </c>
      <c r="AW81" s="3" t="n">
        <v>17061.4546202096</v>
      </c>
      <c r="AX81" s="3" t="n">
        <v>23084.03619863075</v>
      </c>
      <c r="AY81" s="3" t="n">
        <v>22548.95697740564</v>
      </c>
      <c r="AZ81" s="3" t="n">
        <v>66748.43283717982</v>
      </c>
      <c r="BA81" s="3" t="n">
        <v>5393.445262095554</v>
      </c>
      <c r="BB81" s="3" t="n">
        <v>5583742.685945012</v>
      </c>
      <c r="BC81" s="3" t="n">
        <v>0</v>
      </c>
      <c r="BD81" s="3" t="n">
        <v>0</v>
      </c>
      <c r="BE81" s="3" t="n">
        <v>99.80919167176626</v>
      </c>
      <c r="BF81" s="3" t="n">
        <v>22.35060183356437</v>
      </c>
      <c r="BG81" s="3" t="n">
        <v>33.30402436356406</v>
      </c>
      <c r="BH81" s="3" t="n">
        <v>90.30700566590804</v>
      </c>
      <c r="BI81" s="3" t="n">
        <v>97.6087179086868</v>
      </c>
      <c r="BJ81" s="3" t="n">
        <v>73.22016197510843</v>
      </c>
      <c r="BK81" s="3" t="n">
        <v>0.10580463051868</v>
      </c>
      <c r="BL81" s="3" t="n">
        <v>2.274041562117209</v>
      </c>
      <c r="BM81" s="3" t="n">
        <v>6.190309072596481</v>
      </c>
      <c r="BN81" s="3" t="n">
        <v>0</v>
      </c>
      <c r="BO81" s="3" t="n">
        <v>0</v>
      </c>
      <c r="BP81" s="3" t="n">
        <v>0</v>
      </c>
    </row>
    <row r="82">
      <c r="A82" s="3" t="inlineStr">
        <is>
          <t>EGY.distn.bsh.dec.rur.p75.2</t>
        </is>
      </c>
      <c r="B82" s="3" t="inlineStr">
        <is>
          <t>EGY</t>
        </is>
      </c>
      <c r="C82" s="3" t="n">
        <v>2017</v>
      </c>
      <c r="D82" s="3" t="inlineStr">
        <is>
          <t>Rural</t>
        </is>
      </c>
      <c r="E82" s="3" t="inlineStr">
        <is>
          <t>Deciles</t>
        </is>
      </c>
      <c r="F82" s="3" t="inlineStr">
        <is>
          <t>p75</t>
        </is>
      </c>
      <c r="G82" s="3" t="n">
        <v>2</v>
      </c>
      <c r="H82" s="3" t="n">
        <v>2.338964059746026</v>
      </c>
      <c r="I82" s="3" t="n">
        <v>0</v>
      </c>
      <c r="J82" s="3" t="n">
        <v>4.284437081063662</v>
      </c>
      <c r="K82" s="3" t="n">
        <v>8.452584290870112</v>
      </c>
      <c r="L82" s="3" t="n">
        <v>0</v>
      </c>
      <c r="M82" s="3" t="n">
        <v>2.661023060258562</v>
      </c>
      <c r="N82" s="3" t="n">
        <v>0</v>
      </c>
      <c r="O82" s="3" t="n">
        <v>4.46804747058388</v>
      </c>
      <c r="P82" s="3" t="n">
        <v>0</v>
      </c>
      <c r="Q82" s="3" t="n">
        <v>4.46303604304261</v>
      </c>
      <c r="R82" s="3" t="n">
        <v>70.22446923949626</v>
      </c>
      <c r="S82" s="3" t="n">
        <v>0</v>
      </c>
      <c r="T82" s="3" t="n">
        <v>0</v>
      </c>
      <c r="U82" s="3" t="n">
        <v>4.175327614490414</v>
      </c>
      <c r="V82" s="3" t="n">
        <v>4.488481095591601</v>
      </c>
      <c r="W82" s="3" t="n">
        <v>0</v>
      </c>
      <c r="X82" s="3" t="n">
        <v>3.115028769979909</v>
      </c>
      <c r="Y82" s="3" t="n">
        <v>0</v>
      </c>
      <c r="Z82" s="3" t="n">
        <v>0</v>
      </c>
      <c r="AA82" s="3" t="n">
        <v>0</v>
      </c>
      <c r="AB82" s="3" t="n">
        <v>2.869959505520926</v>
      </c>
      <c r="AC82" s="3" t="n">
        <v>6.236501737727999</v>
      </c>
      <c r="AD82" s="3" t="n">
        <v>8.186994138576212</v>
      </c>
      <c r="AE82" s="3" t="n">
        <v>0</v>
      </c>
      <c r="AF82" s="3" t="n">
        <v>5.137479051633485</v>
      </c>
      <c r="AG82" s="3" t="n">
        <v>2927.106686714121</v>
      </c>
      <c r="AH82" s="3" t="n">
        <v>6786.831437949329</v>
      </c>
      <c r="AI82" s="3" t="n">
        <v>6796.701193136723</v>
      </c>
      <c r="AJ82" s="3" t="n">
        <v>8839.363987218541</v>
      </c>
      <c r="AK82" s="3" t="n">
        <v>8850.053475181756</v>
      </c>
      <c r="AL82" s="3" t="n">
        <v>10220.22521181679</v>
      </c>
      <c r="AM82" s="3" t="n">
        <v>9560.877836213405</v>
      </c>
      <c r="AN82" s="3" t="n">
        <v>11085.53348529711</v>
      </c>
      <c r="AO82" s="3" t="n">
        <v>11033.74304988785</v>
      </c>
      <c r="AP82" s="3" t="n">
        <v>11206.62673019689</v>
      </c>
      <c r="AQ82" s="3" t="n">
        <v>11556.8535450149</v>
      </c>
      <c r="AR82" s="3" t="n">
        <v>13997.57303691565</v>
      </c>
      <c r="AS82" s="3" t="n">
        <v>13392.34427897082</v>
      </c>
      <c r="AT82" s="3" t="n">
        <v>16429.82327323474</v>
      </c>
      <c r="AU82" s="3" t="n">
        <v>15602.83099960104</v>
      </c>
      <c r="AV82" s="3" t="n">
        <v>18567.37295651195</v>
      </c>
      <c r="AW82" s="3" t="n">
        <v>17994.3971916207</v>
      </c>
      <c r="AX82" s="3" t="n">
        <v>21273.82854887714</v>
      </c>
      <c r="AY82" s="3" t="n">
        <v>23621.08091247674</v>
      </c>
      <c r="AZ82" s="3" t="n">
        <v>61170.28891133571</v>
      </c>
      <c r="BA82" s="3" t="n">
        <v>6586.272514619409</v>
      </c>
      <c r="BB82" s="3" t="n">
        <v>5534452.856603616</v>
      </c>
      <c r="BC82" s="3" t="n">
        <v>0</v>
      </c>
      <c r="BD82" s="3" t="n">
        <v>0</v>
      </c>
      <c r="BE82" s="3" t="n">
        <v>108.3265824803271</v>
      </c>
      <c r="BF82" s="3" t="n">
        <v>35.61950770525125</v>
      </c>
      <c r="BG82" s="3" t="n">
        <v>33.45698801207365</v>
      </c>
      <c r="BH82" s="3" t="n">
        <v>94.72222335826262</v>
      </c>
      <c r="BI82" s="3" t="n">
        <v>111.6932760797039</v>
      </c>
      <c r="BJ82" s="3" t="n">
        <v>71.7707011717676</v>
      </c>
      <c r="BK82" s="3" t="n">
        <v>0</v>
      </c>
      <c r="BL82" s="3" t="n">
        <v>0.0009255778728380929</v>
      </c>
      <c r="BM82" s="3" t="n">
        <v>5.887095110475398</v>
      </c>
      <c r="BN82" s="3" t="n">
        <v>0</v>
      </c>
      <c r="BO82" s="3" t="n">
        <v>0</v>
      </c>
      <c r="BP82" s="3" t="n">
        <v>0</v>
      </c>
    </row>
    <row r="83">
      <c r="A83" s="3" t="inlineStr">
        <is>
          <t>EGY.distn.bsh.dec.rur.p75.3</t>
        </is>
      </c>
      <c r="B83" s="3" t="inlineStr">
        <is>
          <t>EGY</t>
        </is>
      </c>
      <c r="C83" s="3" t="n">
        <v>2017</v>
      </c>
      <c r="D83" s="3" t="inlineStr">
        <is>
          <t>Rural</t>
        </is>
      </c>
      <c r="E83" s="3" t="inlineStr">
        <is>
          <t>Deciles</t>
        </is>
      </c>
      <c r="F83" s="3" t="inlineStr">
        <is>
          <t>p75</t>
        </is>
      </c>
      <c r="G83" s="3" t="n">
        <v>3</v>
      </c>
      <c r="H83" s="3" t="n">
        <v>2.086182609541641</v>
      </c>
      <c r="I83" s="3" t="n">
        <v>0</v>
      </c>
      <c r="J83" s="3" t="n">
        <v>4.261219743203609</v>
      </c>
      <c r="K83" s="3" t="n">
        <v>8.811077941821825</v>
      </c>
      <c r="L83" s="3" t="n">
        <v>0</v>
      </c>
      <c r="M83" s="3" t="n">
        <v>2.684325212558679</v>
      </c>
      <c r="N83" s="3" t="n">
        <v>0</v>
      </c>
      <c r="O83" s="3" t="n">
        <v>5.019990184048726</v>
      </c>
      <c r="P83" s="3" t="n">
        <v>0</v>
      </c>
      <c r="Q83" s="3" t="n">
        <v>4.262264179220852</v>
      </c>
      <c r="R83" s="3" t="n">
        <v>71.09173713945674</v>
      </c>
      <c r="S83" s="3" t="n">
        <v>0</v>
      </c>
      <c r="T83" s="3" t="n">
        <v>0</v>
      </c>
      <c r="U83" s="3" t="n">
        <v>3.82772728335458</v>
      </c>
      <c r="V83" s="3" t="n">
        <v>4.175156346550755</v>
      </c>
      <c r="W83" s="3" t="n">
        <v>0</v>
      </c>
      <c r="X83" s="3" t="n">
        <v>2.891111439584703</v>
      </c>
      <c r="Y83" s="3" t="n">
        <v>0</v>
      </c>
      <c r="Z83" s="3" t="n">
        <v>0</v>
      </c>
      <c r="AA83" s="3" t="n">
        <v>0</v>
      </c>
      <c r="AB83" s="3" t="n">
        <v>2.966123498675879</v>
      </c>
      <c r="AC83" s="3" t="n">
        <v>6.442915840992806</v>
      </c>
      <c r="AD83" s="3" t="n">
        <v>7.679915812882158</v>
      </c>
      <c r="AE83" s="3" t="n">
        <v>0</v>
      </c>
      <c r="AF83" s="3" t="n">
        <v>4.356201513682873</v>
      </c>
      <c r="AG83" s="3" t="n">
        <v>3376.483362759759</v>
      </c>
      <c r="AH83" s="3" t="n">
        <v>7032.842351630655</v>
      </c>
      <c r="AI83" s="3" t="n">
        <v>6645.601998133324</v>
      </c>
      <c r="AJ83" s="3" t="n">
        <v>8609.142449671344</v>
      </c>
      <c r="AK83" s="3" t="n">
        <v>8243.679801276934</v>
      </c>
      <c r="AL83" s="3" t="n">
        <v>9588.779496630144</v>
      </c>
      <c r="AM83" s="3" t="n">
        <v>9977.973341070754</v>
      </c>
      <c r="AN83" s="3" t="n">
        <v>10802.10771900159</v>
      </c>
      <c r="AO83" s="3" t="n">
        <v>11244.64307136447</v>
      </c>
      <c r="AP83" s="3" t="n">
        <v>12003.85934784116</v>
      </c>
      <c r="AQ83" s="3" t="n">
        <v>11810.80758916363</v>
      </c>
      <c r="AR83" s="3" t="n">
        <v>13142.6190034713</v>
      </c>
      <c r="AS83" s="3" t="n">
        <v>13979.35318584101</v>
      </c>
      <c r="AT83" s="3" t="n">
        <v>15340.7246752963</v>
      </c>
      <c r="AU83" s="3" t="n">
        <v>15007.80792073793</v>
      </c>
      <c r="AV83" s="3" t="n">
        <v>19600.88548056983</v>
      </c>
      <c r="AW83" s="3" t="n">
        <v>17741.69147482707</v>
      </c>
      <c r="AX83" s="3" t="n">
        <v>24641.38921116015</v>
      </c>
      <c r="AY83" s="3" t="n">
        <v>23538.22306339722</v>
      </c>
      <c r="AZ83" s="3" t="n">
        <v>61709.6653516147</v>
      </c>
      <c r="BA83" s="3" t="n">
        <v>7726.981884309232</v>
      </c>
      <c r="BB83" s="3" t="n">
        <v>5326173.086563638</v>
      </c>
      <c r="BC83" s="3" t="n">
        <v>0</v>
      </c>
      <c r="BD83" s="3" t="n">
        <v>0</v>
      </c>
      <c r="BE83" s="3" t="n">
        <v>105.7174992787992</v>
      </c>
      <c r="BF83" s="3" t="n">
        <v>42.4763297727304</v>
      </c>
      <c r="BG83" s="3" t="n">
        <v>47.08456305709296</v>
      </c>
      <c r="BH83" s="3" t="n">
        <v>91.74072752725387</v>
      </c>
      <c r="BI83" s="3" t="n">
        <v>102.9463801881475</v>
      </c>
      <c r="BJ83" s="3" t="n">
        <v>81.91249472812193</v>
      </c>
      <c r="BK83" s="3" t="n">
        <v>0</v>
      </c>
      <c r="BL83" s="3" t="n">
        <v>0</v>
      </c>
      <c r="BM83" s="3" t="n">
        <v>5.643230336367372</v>
      </c>
      <c r="BN83" s="3" t="n">
        <v>0</v>
      </c>
      <c r="BO83" s="3" t="n">
        <v>0</v>
      </c>
      <c r="BP83" s="3" t="n">
        <v>0</v>
      </c>
    </row>
    <row r="84">
      <c r="A84" s="3" t="inlineStr">
        <is>
          <t>EGY.distn.bsh.dec.rur.p75.4</t>
        </is>
      </c>
      <c r="B84" s="3" t="inlineStr">
        <is>
          <t>EGY</t>
        </is>
      </c>
      <c r="C84" s="3" t="n">
        <v>2017</v>
      </c>
      <c r="D84" s="3" t="inlineStr">
        <is>
          <t>Rural</t>
        </is>
      </c>
      <c r="E84" s="3" t="inlineStr">
        <is>
          <t>Deciles</t>
        </is>
      </c>
      <c r="F84" s="3" t="inlineStr">
        <is>
          <t>p75</t>
        </is>
      </c>
      <c r="G84" s="3" t="n">
        <v>4</v>
      </c>
      <c r="H84" s="3" t="n">
        <v>2.276429729540433</v>
      </c>
      <c r="I84" s="3" t="n">
        <v>0</v>
      </c>
      <c r="J84" s="3" t="n">
        <v>4.203116592607138</v>
      </c>
      <c r="K84" s="3" t="n">
        <v>8.323610851327965</v>
      </c>
      <c r="L84" s="3" t="n">
        <v>0</v>
      </c>
      <c r="M84" s="3" t="n">
        <v>2.970762399077263</v>
      </c>
      <c r="N84" s="3" t="n">
        <v>0</v>
      </c>
      <c r="O84" s="3" t="n">
        <v>5.860669249561097</v>
      </c>
      <c r="P84" s="3" t="n">
        <v>0</v>
      </c>
      <c r="Q84" s="3" t="n">
        <v>4.211389633116121</v>
      </c>
      <c r="R84" s="3" t="n">
        <v>64.22328010647907</v>
      </c>
      <c r="S84" s="3" t="n">
        <v>0</v>
      </c>
      <c r="T84" s="3" t="n">
        <v>0</v>
      </c>
      <c r="U84" s="3" t="n">
        <v>4.784528126156267</v>
      </c>
      <c r="V84" s="3" t="n">
        <v>3.862156047549723</v>
      </c>
      <c r="W84" s="3" t="n">
        <v>0</v>
      </c>
      <c r="X84" s="3" t="n">
        <v>2.780726936470997</v>
      </c>
      <c r="Y84" s="3" t="n">
        <v>0</v>
      </c>
      <c r="Z84" s="3" t="n">
        <v>0</v>
      </c>
      <c r="AA84" s="3" t="n">
        <v>0</v>
      </c>
      <c r="AB84" s="3" t="n">
        <v>2.701803553155623</v>
      </c>
      <c r="AC84" s="3" t="n">
        <v>6.857826619515223</v>
      </c>
      <c r="AD84" s="3" t="n">
        <v>8.018417733621849</v>
      </c>
      <c r="AE84" s="3" t="n">
        <v>0</v>
      </c>
      <c r="AF84" s="3" t="n">
        <v>4.757268213026767</v>
      </c>
      <c r="AG84" s="3" t="n">
        <v>3143.551249017924</v>
      </c>
      <c r="AH84" s="3" t="n">
        <v>7360.581290293695</v>
      </c>
      <c r="AI84" s="3" t="n">
        <v>6741.570709829382</v>
      </c>
      <c r="AJ84" s="3" t="n">
        <v>8181.804806613827</v>
      </c>
      <c r="AK84" s="3" t="n">
        <v>8527.035066513807</v>
      </c>
      <c r="AL84" s="3" t="n">
        <v>9360.026158593721</v>
      </c>
      <c r="AM84" s="3" t="n">
        <v>10267.60044887517</v>
      </c>
      <c r="AN84" s="3" t="n">
        <v>11564.03990929305</v>
      </c>
      <c r="AO84" s="3" t="n">
        <v>11482.67221799873</v>
      </c>
      <c r="AP84" s="3" t="n">
        <v>12749.3897735878</v>
      </c>
      <c r="AQ84" s="3" t="n">
        <v>11842.4796779831</v>
      </c>
      <c r="AR84" s="3" t="n">
        <v>14632.66913481666</v>
      </c>
      <c r="AS84" s="3" t="n">
        <v>14336.5595835901</v>
      </c>
      <c r="AT84" s="3" t="n">
        <v>15125.45972137845</v>
      </c>
      <c r="AU84" s="3" t="n">
        <v>15880.80942404806</v>
      </c>
      <c r="AV84" s="3" t="n">
        <v>18360.25629073552</v>
      </c>
      <c r="AW84" s="3" t="n">
        <v>18385.20273175927</v>
      </c>
      <c r="AX84" s="3" t="n">
        <v>23099.37925692443</v>
      </c>
      <c r="AY84" s="3" t="n">
        <v>22507.55559447701</v>
      </c>
      <c r="AZ84" s="3" t="n">
        <v>64595.09800604633</v>
      </c>
      <c r="BA84" s="3" t="n">
        <v>8382.121573090115</v>
      </c>
      <c r="BB84" s="3" t="n">
        <v>5406737.564899863</v>
      </c>
      <c r="BC84" s="3" t="n">
        <v>0</v>
      </c>
      <c r="BD84" s="3" t="n">
        <v>0</v>
      </c>
      <c r="BE84" s="3" t="n">
        <v>102.1156120377642</v>
      </c>
      <c r="BF84" s="3" t="n">
        <v>48.61379891775935</v>
      </c>
      <c r="BG84" s="3" t="n">
        <v>47.77150748688735</v>
      </c>
      <c r="BH84" s="3" t="n">
        <v>94.80073499086062</v>
      </c>
      <c r="BI84" s="3" t="n">
        <v>100.3163383576972</v>
      </c>
      <c r="BJ84" s="3" t="n">
        <v>78.0585910519553</v>
      </c>
      <c r="BK84" s="3" t="n">
        <v>0</v>
      </c>
      <c r="BL84" s="3" t="n">
        <v>0</v>
      </c>
      <c r="BM84" s="3" t="n">
        <v>5.363383767827015</v>
      </c>
      <c r="BN84" s="3" t="n">
        <v>0</v>
      </c>
      <c r="BO84" s="3" t="n">
        <v>0</v>
      </c>
      <c r="BP84" s="3" t="n">
        <v>0</v>
      </c>
    </row>
    <row r="85">
      <c r="A85" s="3" t="inlineStr">
        <is>
          <t>EGY.distn.bsh.dec.rur.p75.5</t>
        </is>
      </c>
      <c r="B85" s="3" t="inlineStr">
        <is>
          <t>EGY</t>
        </is>
      </c>
      <c r="C85" s="3" t="n">
        <v>2017</v>
      </c>
      <c r="D85" s="3" t="inlineStr">
        <is>
          <t>Rural</t>
        </is>
      </c>
      <c r="E85" s="3" t="inlineStr">
        <is>
          <t>Deciles</t>
        </is>
      </c>
      <c r="F85" s="3" t="inlineStr">
        <is>
          <t>p75</t>
        </is>
      </c>
      <c r="G85" s="3" t="n">
        <v>5</v>
      </c>
      <c r="H85" s="3" t="n">
        <v>2.168106366849409</v>
      </c>
      <c r="I85" s="3" t="n">
        <v>0</v>
      </c>
      <c r="J85" s="3" t="n">
        <v>3.917208910635335</v>
      </c>
      <c r="K85" s="3" t="n">
        <v>8.613726828040512</v>
      </c>
      <c r="L85" s="3" t="n">
        <v>0</v>
      </c>
      <c r="M85" s="3" t="n">
        <v>2.955876332815959</v>
      </c>
      <c r="N85" s="3" t="n">
        <v>0</v>
      </c>
      <c r="O85" s="3" t="n">
        <v>5.642549123002355</v>
      </c>
      <c r="P85" s="3" t="n">
        <v>0</v>
      </c>
      <c r="Q85" s="3" t="n">
        <v>3.873252677539819</v>
      </c>
      <c r="R85" s="3" t="n">
        <v>61.84886656597514</v>
      </c>
      <c r="S85" s="3" t="n">
        <v>0</v>
      </c>
      <c r="T85" s="3" t="n">
        <v>0</v>
      </c>
      <c r="U85" s="3" t="n">
        <v>5.346568823570568</v>
      </c>
      <c r="V85" s="3" t="n">
        <v>3.69603018571835</v>
      </c>
      <c r="W85" s="3" t="n">
        <v>0</v>
      </c>
      <c r="X85" s="3" t="n">
        <v>2.594000062622074</v>
      </c>
      <c r="Y85" s="3" t="n">
        <v>0</v>
      </c>
      <c r="Z85" s="3" t="n">
        <v>0</v>
      </c>
      <c r="AA85" s="3" t="n">
        <v>0</v>
      </c>
      <c r="AB85" s="3" t="n">
        <v>2.643309144621449</v>
      </c>
      <c r="AC85" s="3" t="n">
        <v>8.057840806142979</v>
      </c>
      <c r="AD85" s="3" t="n">
        <v>7.161626904612502</v>
      </c>
      <c r="AE85" s="3" t="n">
        <v>0</v>
      </c>
      <c r="AF85" s="3" t="n">
        <v>5.429144150265621</v>
      </c>
      <c r="AG85" s="3" t="n">
        <v>3376.417701287192</v>
      </c>
      <c r="AH85" s="3" t="n">
        <v>7226.409836179296</v>
      </c>
      <c r="AI85" s="3" t="n">
        <v>7455.128400835966</v>
      </c>
      <c r="AJ85" s="3" t="n">
        <v>8829.168972293792</v>
      </c>
      <c r="AK85" s="3" t="n">
        <v>8314.461086478967</v>
      </c>
      <c r="AL85" s="3" t="n">
        <v>9940.798217796333</v>
      </c>
      <c r="AM85" s="3" t="n">
        <v>10332.49463293625</v>
      </c>
      <c r="AN85" s="3" t="n">
        <v>10680.07765415861</v>
      </c>
      <c r="AO85" s="3" t="n">
        <v>11238.60371635554</v>
      </c>
      <c r="AP85" s="3" t="n">
        <v>12034.30138300963</v>
      </c>
      <c r="AQ85" s="3" t="n">
        <v>11346.13113359503</v>
      </c>
      <c r="AR85" s="3" t="n">
        <v>14356.15801481921</v>
      </c>
      <c r="AS85" s="3" t="n">
        <v>13321.71767401852</v>
      </c>
      <c r="AT85" s="3" t="n">
        <v>16542.3204197886</v>
      </c>
      <c r="AU85" s="3" t="n">
        <v>16787.44242832968</v>
      </c>
      <c r="AV85" s="3" t="n">
        <v>19185.61370913898</v>
      </c>
      <c r="AW85" s="3" t="n">
        <v>19071.826087871</v>
      </c>
      <c r="AX85" s="3" t="n">
        <v>22295.98381815878</v>
      </c>
      <c r="AY85" s="3" t="n">
        <v>24682.34639534875</v>
      </c>
      <c r="AZ85" s="3" t="n">
        <v>61236.05201415979</v>
      </c>
      <c r="BA85" s="3" t="n">
        <v>9225.818714164046</v>
      </c>
      <c r="BB85" s="3" t="n">
        <v>6064942.985524151</v>
      </c>
      <c r="BC85" s="3" t="n">
        <v>0</v>
      </c>
      <c r="BD85" s="3" t="n">
        <v>0</v>
      </c>
      <c r="BE85" s="3" t="n">
        <v>110.9354940832787</v>
      </c>
      <c r="BF85" s="3" t="n">
        <v>53.54575364350855</v>
      </c>
      <c r="BG85" s="3" t="n">
        <v>46.04732549359228</v>
      </c>
      <c r="BH85" s="3" t="n">
        <v>109.0494051971461</v>
      </c>
      <c r="BI85" s="3" t="n">
        <v>108.0895932477946</v>
      </c>
      <c r="BJ85" s="3" t="n">
        <v>81.61042174271518</v>
      </c>
      <c r="BK85" s="3" t="n">
        <v>0</v>
      </c>
      <c r="BL85" s="3" t="n">
        <v>0</v>
      </c>
      <c r="BM85" s="3" t="n">
        <v>1.43924957473074</v>
      </c>
      <c r="BN85" s="3" t="n">
        <v>0</v>
      </c>
      <c r="BO85" s="3" t="n">
        <v>0</v>
      </c>
      <c r="BP85" s="3" t="n">
        <v>0</v>
      </c>
    </row>
    <row r="86">
      <c r="A86" s="3" t="inlineStr">
        <is>
          <t>EGY.distn.bsh.dec.rur.p75.6</t>
        </is>
      </c>
      <c r="B86" s="3" t="inlineStr">
        <is>
          <t>EGY</t>
        </is>
      </c>
      <c r="C86" s="3" t="n">
        <v>2017</v>
      </c>
      <c r="D86" s="3" t="inlineStr">
        <is>
          <t>Rural</t>
        </is>
      </c>
      <c r="E86" s="3" t="inlineStr">
        <is>
          <t>Deciles</t>
        </is>
      </c>
      <c r="F86" s="3" t="inlineStr">
        <is>
          <t>p75</t>
        </is>
      </c>
      <c r="G86" s="3" t="n">
        <v>6</v>
      </c>
      <c r="H86" s="3" t="n">
        <v>2.091711407633234</v>
      </c>
      <c r="I86" s="3" t="n">
        <v>0</v>
      </c>
      <c r="J86" s="3" t="n">
        <v>4.296755232356738</v>
      </c>
      <c r="K86" s="3" t="n">
        <v>9.272423783952723</v>
      </c>
      <c r="L86" s="3" t="n">
        <v>0</v>
      </c>
      <c r="M86" s="3" t="n">
        <v>2.959431264123172</v>
      </c>
      <c r="N86" s="3" t="n">
        <v>0</v>
      </c>
      <c r="O86" s="3" t="n">
        <v>5.893868869471757</v>
      </c>
      <c r="P86" s="3" t="n">
        <v>0</v>
      </c>
      <c r="Q86" s="3" t="n">
        <v>4.05092300230066</v>
      </c>
      <c r="R86" s="3" t="n">
        <v>66.02688248680438</v>
      </c>
      <c r="S86" s="3" t="n">
        <v>0</v>
      </c>
      <c r="T86" s="3" t="n">
        <v>0</v>
      </c>
      <c r="U86" s="3" t="n">
        <v>5.467021285613704</v>
      </c>
      <c r="V86" s="3" t="n">
        <v>4.477212027199157</v>
      </c>
      <c r="W86" s="3" t="n">
        <v>0</v>
      </c>
      <c r="X86" s="3" t="n">
        <v>2.509308059553296</v>
      </c>
      <c r="Y86" s="3" t="n">
        <v>0</v>
      </c>
      <c r="Z86" s="3" t="n">
        <v>0</v>
      </c>
      <c r="AA86" s="3" t="n">
        <v>0</v>
      </c>
      <c r="AB86" s="3" t="n">
        <v>2.751698489791818</v>
      </c>
      <c r="AC86" s="3" t="n">
        <v>8.557412487455409</v>
      </c>
      <c r="AD86" s="3" t="n">
        <v>7.041930194609423</v>
      </c>
      <c r="AE86" s="3" t="n">
        <v>0</v>
      </c>
      <c r="AF86" s="3" t="n">
        <v>5.404415846330756</v>
      </c>
      <c r="AG86" s="3" t="n">
        <v>3025.081123332867</v>
      </c>
      <c r="AH86" s="3" t="n">
        <v>7103.946597379115</v>
      </c>
      <c r="AI86" s="3" t="n">
        <v>7390.793009068698</v>
      </c>
      <c r="AJ86" s="3" t="n">
        <v>9109.260757388387</v>
      </c>
      <c r="AK86" s="3" t="n">
        <v>8488.16338061689</v>
      </c>
      <c r="AL86" s="3" t="n">
        <v>9050.526935700005</v>
      </c>
      <c r="AM86" s="3" t="n">
        <v>10120.96175305537</v>
      </c>
      <c r="AN86" s="3" t="n">
        <v>10519.92799759222</v>
      </c>
      <c r="AO86" s="3" t="n">
        <v>11587.25578318905</v>
      </c>
      <c r="AP86" s="3" t="n">
        <v>11294.06130768316</v>
      </c>
      <c r="AQ86" s="3" t="n">
        <v>11671.60371707554</v>
      </c>
      <c r="AR86" s="3" t="n">
        <v>13904.99326967113</v>
      </c>
      <c r="AS86" s="3" t="n">
        <v>13653.26220505212</v>
      </c>
      <c r="AT86" s="3" t="n">
        <v>14870.59707015138</v>
      </c>
      <c r="AU86" s="3" t="n">
        <v>16066.60697557372</v>
      </c>
      <c r="AV86" s="3" t="n">
        <v>16914.94559816525</v>
      </c>
      <c r="AW86" s="3" t="n">
        <v>18217.30435426838</v>
      </c>
      <c r="AX86" s="3" t="n">
        <v>23811.64691811652</v>
      </c>
      <c r="AY86" s="3" t="n">
        <v>23056.30397272171</v>
      </c>
      <c r="AZ86" s="3" t="n">
        <v>60667.25036504197</v>
      </c>
      <c r="BA86" s="3" t="n">
        <v>10433.90125872925</v>
      </c>
      <c r="BB86" s="3" t="n">
        <v>6133306.483035807</v>
      </c>
      <c r="BC86" s="3" t="n">
        <v>0</v>
      </c>
      <c r="BD86" s="3" t="n">
        <v>0</v>
      </c>
      <c r="BE86" s="3" t="n">
        <v>99.91737204265078</v>
      </c>
      <c r="BF86" s="3" t="n">
        <v>68.24355515912747</v>
      </c>
      <c r="BG86" s="3" t="n">
        <v>57.51112284163438</v>
      </c>
      <c r="BH86" s="3" t="n">
        <v>92.14131881571996</v>
      </c>
      <c r="BI86" s="3" t="n">
        <v>101.7087280516259</v>
      </c>
      <c r="BJ86" s="3" t="n">
        <v>83.31991677313044</v>
      </c>
      <c r="BK86" s="3" t="n">
        <v>0</v>
      </c>
      <c r="BL86" s="3" t="n">
        <v>0</v>
      </c>
      <c r="BM86" s="3" t="n">
        <v>0.1653544917027024</v>
      </c>
      <c r="BN86" s="3" t="n">
        <v>0</v>
      </c>
      <c r="BO86" s="3" t="n">
        <v>0</v>
      </c>
      <c r="BP86" s="3" t="n">
        <v>0</v>
      </c>
    </row>
    <row r="87">
      <c r="A87" s="3" t="inlineStr">
        <is>
          <t>EGY.distn.bsh.dec.rur.p75.7</t>
        </is>
      </c>
      <c r="B87" s="3" t="inlineStr">
        <is>
          <t>EGY</t>
        </is>
      </c>
      <c r="C87" s="3" t="n">
        <v>2017</v>
      </c>
      <c r="D87" s="3" t="inlineStr">
        <is>
          <t>Rural</t>
        </is>
      </c>
      <c r="E87" s="3" t="inlineStr">
        <is>
          <t>Deciles</t>
        </is>
      </c>
      <c r="F87" s="3" t="inlineStr">
        <is>
          <t>p75</t>
        </is>
      </c>
      <c r="G87" s="3" t="n">
        <v>7</v>
      </c>
      <c r="H87" s="3" t="n">
        <v>2.366536336583922</v>
      </c>
      <c r="I87" s="3" t="n">
        <v>0</v>
      </c>
      <c r="J87" s="3" t="n">
        <v>4.272161638828692</v>
      </c>
      <c r="K87" s="3" t="n">
        <v>9.175332503707997</v>
      </c>
      <c r="L87" s="3" t="n">
        <v>0</v>
      </c>
      <c r="M87" s="3" t="n">
        <v>3.24031961483983</v>
      </c>
      <c r="N87" s="3" t="n">
        <v>0</v>
      </c>
      <c r="O87" s="3" t="n">
        <v>5.673953159399779</v>
      </c>
      <c r="P87" s="3" t="n">
        <v>0</v>
      </c>
      <c r="Q87" s="3" t="n">
        <v>3.992512420074338</v>
      </c>
      <c r="R87" s="3" t="n">
        <v>69.11552602217441</v>
      </c>
      <c r="S87" s="3" t="n">
        <v>0</v>
      </c>
      <c r="T87" s="3" t="n">
        <v>0</v>
      </c>
      <c r="U87" s="3" t="n">
        <v>6.077241582445433</v>
      </c>
      <c r="V87" s="3" t="n">
        <v>4.385171815098237</v>
      </c>
      <c r="W87" s="3" t="n">
        <v>0</v>
      </c>
      <c r="X87" s="3" t="n">
        <v>2.517145474528539</v>
      </c>
      <c r="Y87" s="3" t="n">
        <v>0</v>
      </c>
      <c r="Z87" s="3" t="n">
        <v>0</v>
      </c>
      <c r="AA87" s="3" t="n">
        <v>0</v>
      </c>
      <c r="AB87" s="3" t="n">
        <v>2.655844433181243</v>
      </c>
      <c r="AC87" s="3" t="n">
        <v>9.56813735693118</v>
      </c>
      <c r="AD87" s="3" t="n">
        <v>7.055740197930694</v>
      </c>
      <c r="AE87" s="3" t="n">
        <v>0</v>
      </c>
      <c r="AF87" s="3" t="n">
        <v>5.169231724293776</v>
      </c>
      <c r="AG87" s="3" t="n">
        <v>3193.746403728077</v>
      </c>
      <c r="AH87" s="3" t="n">
        <v>7024.770828050038</v>
      </c>
      <c r="AI87" s="3" t="n">
        <v>6729.314937285816</v>
      </c>
      <c r="AJ87" s="3" t="n">
        <v>7946.530534119684</v>
      </c>
      <c r="AK87" s="3" t="n">
        <v>8171.026293858015</v>
      </c>
      <c r="AL87" s="3" t="n">
        <v>9364.913005317165</v>
      </c>
      <c r="AM87" s="3" t="n">
        <v>10144.41841535331</v>
      </c>
      <c r="AN87" s="3" t="n">
        <v>10459.99975196949</v>
      </c>
      <c r="AO87" s="3" t="n">
        <v>10471.91325261577</v>
      </c>
      <c r="AP87" s="3" t="n">
        <v>11991.01700855015</v>
      </c>
      <c r="AQ87" s="3" t="n">
        <v>12490.7918967914</v>
      </c>
      <c r="AR87" s="3" t="n">
        <v>13366.63990915022</v>
      </c>
      <c r="AS87" s="3" t="n">
        <v>13058.05281613788</v>
      </c>
      <c r="AT87" s="3" t="n">
        <v>16049.34733585564</v>
      </c>
      <c r="AU87" s="3" t="n">
        <v>16360.03075360947</v>
      </c>
      <c r="AV87" s="3" t="n">
        <v>17085.01495125972</v>
      </c>
      <c r="AW87" s="3" t="n">
        <v>18190.22628087566</v>
      </c>
      <c r="AX87" s="3" t="n">
        <v>24471.94511720533</v>
      </c>
      <c r="AY87" s="3" t="n">
        <v>24350.16377026946</v>
      </c>
      <c r="AZ87" s="3" t="n">
        <v>66129.23833755021</v>
      </c>
      <c r="BA87" s="3" t="n">
        <v>11906.17624198047</v>
      </c>
      <c r="BB87" s="3" t="n">
        <v>5748196.454067176</v>
      </c>
      <c r="BC87" s="3" t="n">
        <v>0</v>
      </c>
      <c r="BD87" s="3" t="n">
        <v>0</v>
      </c>
      <c r="BE87" s="3" t="n">
        <v>111.5895797246501</v>
      </c>
      <c r="BF87" s="3" t="n">
        <v>69.33663362596117</v>
      </c>
      <c r="BG87" s="3" t="n">
        <v>63.85171380434032</v>
      </c>
      <c r="BH87" s="3" t="n">
        <v>97.56259137748962</v>
      </c>
      <c r="BI87" s="3" t="n">
        <v>107.4472432197727</v>
      </c>
      <c r="BJ87" s="3" t="n">
        <v>87.63243601739613</v>
      </c>
      <c r="BK87" s="3" t="n">
        <v>0</v>
      </c>
      <c r="BL87" s="3" t="n">
        <v>0</v>
      </c>
      <c r="BM87" s="3" t="n">
        <v>0.01967781871411689</v>
      </c>
      <c r="BN87" s="3" t="n">
        <v>0</v>
      </c>
      <c r="BO87" s="3" t="n">
        <v>0</v>
      </c>
      <c r="BP87" s="3" t="n">
        <v>0</v>
      </c>
    </row>
    <row r="88">
      <c r="A88" s="3" t="inlineStr">
        <is>
          <t>EGY.distn.bsh.dec.rur.p75.8</t>
        </is>
      </c>
      <c r="B88" s="3" t="inlineStr">
        <is>
          <t>EGY</t>
        </is>
      </c>
      <c r="C88" s="3" t="n">
        <v>2017</v>
      </c>
      <c r="D88" s="3" t="inlineStr">
        <is>
          <t>Rural</t>
        </is>
      </c>
      <c r="E88" s="3" t="inlineStr">
        <is>
          <t>Deciles</t>
        </is>
      </c>
      <c r="F88" s="3" t="inlineStr">
        <is>
          <t>p75</t>
        </is>
      </c>
      <c r="G88" s="3" t="n">
        <v>8</v>
      </c>
      <c r="H88" s="3" t="n">
        <v>2.112646276249508</v>
      </c>
      <c r="I88" s="3" t="n">
        <v>0</v>
      </c>
      <c r="J88" s="3" t="n">
        <v>4.088702153321063</v>
      </c>
      <c r="K88" s="3" t="n">
        <v>7.92190113212497</v>
      </c>
      <c r="L88" s="3" t="n">
        <v>0</v>
      </c>
      <c r="M88" s="3" t="n">
        <v>3.434226057625578</v>
      </c>
      <c r="N88" s="3" t="n">
        <v>0</v>
      </c>
      <c r="O88" s="3" t="n">
        <v>4.512815019695694</v>
      </c>
      <c r="P88" s="3" t="n">
        <v>0</v>
      </c>
      <c r="Q88" s="3" t="n">
        <v>3.942492128505248</v>
      </c>
      <c r="R88" s="3" t="n">
        <v>61.72727200430419</v>
      </c>
      <c r="S88" s="3" t="n">
        <v>0</v>
      </c>
      <c r="T88" s="3" t="n">
        <v>0</v>
      </c>
      <c r="U88" s="3" t="n">
        <v>6.213198627236415</v>
      </c>
      <c r="V88" s="3" t="n">
        <v>4.193145164087568</v>
      </c>
      <c r="W88" s="3" t="n">
        <v>0</v>
      </c>
      <c r="X88" s="3" t="n">
        <v>2.868190897955269</v>
      </c>
      <c r="Y88" s="3" t="n">
        <v>0</v>
      </c>
      <c r="Z88" s="3" t="n">
        <v>0</v>
      </c>
      <c r="AA88" s="3" t="n">
        <v>0</v>
      </c>
      <c r="AB88" s="3" t="n">
        <v>2.429632045592576</v>
      </c>
      <c r="AC88" s="3" t="n">
        <v>9.537975033533742</v>
      </c>
      <c r="AD88" s="3" t="n">
        <v>7.454457689913101</v>
      </c>
      <c r="AE88" s="3" t="n">
        <v>0</v>
      </c>
      <c r="AF88" s="3" t="n">
        <v>5.726067425319558</v>
      </c>
      <c r="AG88" s="3" t="n">
        <v>3126.16433026189</v>
      </c>
      <c r="AH88" s="3" t="n">
        <v>6907.190822760825</v>
      </c>
      <c r="AI88" s="3" t="n">
        <v>7014.790010646056</v>
      </c>
      <c r="AJ88" s="3" t="n">
        <v>8565.092658033496</v>
      </c>
      <c r="AK88" s="3" t="n">
        <v>8536.322153636042</v>
      </c>
      <c r="AL88" s="3" t="n">
        <v>9065.675048886551</v>
      </c>
      <c r="AM88" s="3" t="n">
        <v>9312.669680869498</v>
      </c>
      <c r="AN88" s="3" t="n">
        <v>10329.35940544273</v>
      </c>
      <c r="AO88" s="3" t="n">
        <v>10478.9045188184</v>
      </c>
      <c r="AP88" s="3" t="n">
        <v>12436.15896620712</v>
      </c>
      <c r="AQ88" s="3" t="n">
        <v>11991.90619184587</v>
      </c>
      <c r="AR88" s="3" t="n">
        <v>14296.74948200156</v>
      </c>
      <c r="AS88" s="3" t="n">
        <v>12899.61386274397</v>
      </c>
      <c r="AT88" s="3" t="n">
        <v>15802.82637269462</v>
      </c>
      <c r="AU88" s="3" t="n">
        <v>15805.15896797304</v>
      </c>
      <c r="AV88" s="3" t="n">
        <v>19426.74473253289</v>
      </c>
      <c r="AW88" s="3" t="n">
        <v>17820.46965311633</v>
      </c>
      <c r="AX88" s="3" t="n">
        <v>24740.10452358846</v>
      </c>
      <c r="AY88" s="3" t="n">
        <v>24308.03727369553</v>
      </c>
      <c r="AZ88" s="3" t="n">
        <v>65974.4498730148</v>
      </c>
      <c r="BA88" s="3" t="n">
        <v>13942.80930646767</v>
      </c>
      <c r="BB88" s="3" t="n">
        <v>5585177.695491428</v>
      </c>
      <c r="BC88" s="3" t="n">
        <v>0</v>
      </c>
      <c r="BD88" s="3" t="n">
        <v>0</v>
      </c>
      <c r="BE88" s="3" t="n">
        <v>112.2126175426431</v>
      </c>
      <c r="BF88" s="3" t="n">
        <v>65.69669502260906</v>
      </c>
      <c r="BG88" s="3" t="n">
        <v>67.55315929284313</v>
      </c>
      <c r="BH88" s="3" t="n">
        <v>99.0516831249266</v>
      </c>
      <c r="BI88" s="3" t="n">
        <v>107.9034649515061</v>
      </c>
      <c r="BJ88" s="3" t="n">
        <v>93.92255761216137</v>
      </c>
      <c r="BK88" s="3" t="n">
        <v>0</v>
      </c>
      <c r="BL88" s="3" t="n">
        <v>0</v>
      </c>
      <c r="BM88" s="3" t="n">
        <v>0</v>
      </c>
      <c r="BN88" s="3" t="n">
        <v>0</v>
      </c>
      <c r="BO88" s="3" t="n">
        <v>0</v>
      </c>
      <c r="BP88" s="3" t="n">
        <v>0</v>
      </c>
    </row>
    <row r="89">
      <c r="A89" s="3" t="inlineStr">
        <is>
          <t>EGY.distn.bsh.dec.rur.p75.9</t>
        </is>
      </c>
      <c r="B89" s="3" t="inlineStr">
        <is>
          <t>EGY</t>
        </is>
      </c>
      <c r="C89" s="3" t="n">
        <v>2017</v>
      </c>
      <c r="D89" s="3" t="inlineStr">
        <is>
          <t>Rural</t>
        </is>
      </c>
      <c r="E89" s="3" t="inlineStr">
        <is>
          <t>Deciles</t>
        </is>
      </c>
      <c r="F89" s="3" t="inlineStr">
        <is>
          <t>p75</t>
        </is>
      </c>
      <c r="G89" s="3" t="n">
        <v>9</v>
      </c>
      <c r="H89" s="3" t="n">
        <v>1.985676332354208</v>
      </c>
      <c r="I89" s="3" t="n">
        <v>0</v>
      </c>
      <c r="J89" s="3" t="n">
        <v>4.173797180796484</v>
      </c>
      <c r="K89" s="3" t="n">
        <v>7.418025761586676</v>
      </c>
      <c r="L89" s="3" t="n">
        <v>0</v>
      </c>
      <c r="M89" s="3" t="n">
        <v>2.992620362930807</v>
      </c>
      <c r="N89" s="3" t="n">
        <v>0</v>
      </c>
      <c r="O89" s="3" t="n">
        <v>2.813626470799947</v>
      </c>
      <c r="P89" s="3" t="n">
        <v>0</v>
      </c>
      <c r="Q89" s="3" t="n">
        <v>4.435023704239409</v>
      </c>
      <c r="R89" s="3" t="n">
        <v>63.58325526116545</v>
      </c>
      <c r="S89" s="3" t="n">
        <v>0</v>
      </c>
      <c r="T89" s="3" t="n">
        <v>0</v>
      </c>
      <c r="U89" s="3" t="n">
        <v>6.629806807401549</v>
      </c>
      <c r="V89" s="3" t="n">
        <v>4.418917276520281</v>
      </c>
      <c r="W89" s="3" t="n">
        <v>0</v>
      </c>
      <c r="X89" s="3" t="n">
        <v>2.562284693899233</v>
      </c>
      <c r="Y89" s="3" t="n">
        <v>0</v>
      </c>
      <c r="Z89" s="3" t="n">
        <v>0</v>
      </c>
      <c r="AA89" s="3" t="n">
        <v>0</v>
      </c>
      <c r="AB89" s="3" t="n">
        <v>1.884863352294998</v>
      </c>
      <c r="AC89" s="3" t="n">
        <v>11.88694079192091</v>
      </c>
      <c r="AD89" s="3" t="n">
        <v>6.719708963132988</v>
      </c>
      <c r="AE89" s="3" t="n">
        <v>0</v>
      </c>
      <c r="AF89" s="3" t="n">
        <v>5.332416003277523</v>
      </c>
      <c r="AG89" s="3" t="n">
        <v>3358.391906731891</v>
      </c>
      <c r="AH89" s="3" t="n">
        <v>7449.947516273271</v>
      </c>
      <c r="AI89" s="3" t="n">
        <v>6854.626503762007</v>
      </c>
      <c r="AJ89" s="3" t="n">
        <v>7949.005316879692</v>
      </c>
      <c r="AK89" s="3" t="n">
        <v>7857.361925337397</v>
      </c>
      <c r="AL89" s="3" t="n">
        <v>10209.69105490579</v>
      </c>
      <c r="AM89" s="3" t="n">
        <v>9343.899393633928</v>
      </c>
      <c r="AN89" s="3" t="n">
        <v>10853.57005678563</v>
      </c>
      <c r="AO89" s="3" t="n">
        <v>10593.16220643436</v>
      </c>
      <c r="AP89" s="3" t="n">
        <v>12170.22137709749</v>
      </c>
      <c r="AQ89" s="3" t="n">
        <v>11904.30224984661</v>
      </c>
      <c r="AR89" s="3" t="n">
        <v>14297.17129750287</v>
      </c>
      <c r="AS89" s="3" t="n">
        <v>14483.66334115811</v>
      </c>
      <c r="AT89" s="3" t="n">
        <v>15573.22097692239</v>
      </c>
      <c r="AU89" s="3" t="n">
        <v>16539.95953983319</v>
      </c>
      <c r="AV89" s="3" t="n">
        <v>18087.4547771695</v>
      </c>
      <c r="AW89" s="3" t="n">
        <v>17924.86355589709</v>
      </c>
      <c r="AX89" s="3" t="n">
        <v>24751.35274947593</v>
      </c>
      <c r="AY89" s="3" t="n">
        <v>24609.00078322117</v>
      </c>
      <c r="AZ89" s="3" t="n">
        <v>61710.17896449831</v>
      </c>
      <c r="BA89" s="3" t="n">
        <v>16426.69684008475</v>
      </c>
      <c r="BB89" s="3" t="n">
        <v>5725879.713136326</v>
      </c>
      <c r="BC89" s="3" t="n">
        <v>0</v>
      </c>
      <c r="BD89" s="3" t="n">
        <v>0</v>
      </c>
      <c r="BE89" s="3" t="n">
        <v>101.168884177647</v>
      </c>
      <c r="BF89" s="3" t="n">
        <v>53.64425476561064</v>
      </c>
      <c r="BG89" s="3" t="n">
        <v>69.38261491563408</v>
      </c>
      <c r="BH89" s="3" t="n">
        <v>101.6020239702675</v>
      </c>
      <c r="BI89" s="3" t="n">
        <v>113.3522222439661</v>
      </c>
      <c r="BJ89" s="3" t="n">
        <v>84.08613483267872</v>
      </c>
      <c r="BK89" s="3" t="n">
        <v>0</v>
      </c>
      <c r="BL89" s="3" t="n">
        <v>0</v>
      </c>
      <c r="BM89" s="3" t="n">
        <v>0.0009731269702216772</v>
      </c>
      <c r="BN89" s="3" t="n">
        <v>0</v>
      </c>
      <c r="BO89" s="3" t="n">
        <v>0</v>
      </c>
      <c r="BP89" s="3" t="n">
        <v>0</v>
      </c>
    </row>
    <row r="90">
      <c r="A90" s="3" t="inlineStr">
        <is>
          <t>EGY.distn.bsh.dec.rur.p75.10</t>
        </is>
      </c>
      <c r="B90" s="3" t="inlineStr">
        <is>
          <t>EGY</t>
        </is>
      </c>
      <c r="C90" s="3" t="n">
        <v>2017</v>
      </c>
      <c r="D90" s="3" t="inlineStr">
        <is>
          <t>Rural</t>
        </is>
      </c>
      <c r="E90" s="3" t="inlineStr">
        <is>
          <t>Deciles</t>
        </is>
      </c>
      <c r="F90" s="3" t="inlineStr">
        <is>
          <t>p75</t>
        </is>
      </c>
      <c r="G90" s="3" t="n">
        <v>10</v>
      </c>
      <c r="H90" s="3" t="n">
        <v>1.946619928231938</v>
      </c>
      <c r="I90" s="3" t="n">
        <v>0</v>
      </c>
      <c r="J90" s="3" t="n">
        <v>3.957154096858485</v>
      </c>
      <c r="K90" s="3" t="n">
        <v>6.583318870974362</v>
      </c>
      <c r="L90" s="3" t="n">
        <v>0</v>
      </c>
      <c r="M90" s="3" t="n">
        <v>3.160191089969322</v>
      </c>
      <c r="N90" s="3" t="n">
        <v>0</v>
      </c>
      <c r="O90" s="3" t="n">
        <v>0</v>
      </c>
      <c r="P90" s="3" t="n">
        <v>0</v>
      </c>
      <c r="Q90" s="3" t="n">
        <v>4.669781914161849</v>
      </c>
      <c r="R90" s="3" t="n">
        <v>67.43559388559044</v>
      </c>
      <c r="S90" s="3" t="n">
        <v>0</v>
      </c>
      <c r="T90" s="3" t="n">
        <v>0</v>
      </c>
      <c r="U90" s="3" t="n">
        <v>9.475141898492833</v>
      </c>
      <c r="V90" s="3" t="n">
        <v>4.900677650723964</v>
      </c>
      <c r="W90" s="3" t="n">
        <v>0</v>
      </c>
      <c r="X90" s="3" t="n">
        <v>2.859259189834306</v>
      </c>
      <c r="Y90" s="3" t="n">
        <v>0</v>
      </c>
      <c r="Z90" s="3" t="n">
        <v>0</v>
      </c>
      <c r="AA90" s="3" t="n">
        <v>0</v>
      </c>
      <c r="AB90" s="3" t="n">
        <v>0.7401264884086468</v>
      </c>
      <c r="AC90" s="3" t="n">
        <v>16.72969230383748</v>
      </c>
      <c r="AD90" s="3" t="n">
        <v>5.571426760173327</v>
      </c>
      <c r="AE90" s="3" t="n">
        <v>0</v>
      </c>
      <c r="AF90" s="3" t="n">
        <v>5.060310895656469</v>
      </c>
      <c r="AG90" s="3" t="n">
        <v>3231.552925541233</v>
      </c>
      <c r="AH90" s="3" t="n">
        <v>6893.551508546368</v>
      </c>
      <c r="AI90" s="3" t="n">
        <v>7045.107281025015</v>
      </c>
      <c r="AJ90" s="3" t="n">
        <v>7985.215819803818</v>
      </c>
      <c r="AK90" s="3" t="n">
        <v>8472.176003827359</v>
      </c>
      <c r="AL90" s="3" t="n">
        <v>9130.678907388445</v>
      </c>
      <c r="AM90" s="3" t="n">
        <v>9652.495062624439</v>
      </c>
      <c r="AN90" s="3" t="n">
        <v>10693.5549459328</v>
      </c>
      <c r="AO90" s="3" t="n">
        <v>11585.26081975061</v>
      </c>
      <c r="AP90" s="3" t="n">
        <v>12291.65021834638</v>
      </c>
      <c r="AQ90" s="3" t="n">
        <v>13061.97037077702</v>
      </c>
      <c r="AR90" s="3" t="n">
        <v>13516.73593154308</v>
      </c>
      <c r="AS90" s="3" t="n">
        <v>14696.37878302758</v>
      </c>
      <c r="AT90" s="3" t="n">
        <v>15263.7112579543</v>
      </c>
      <c r="AU90" s="3" t="n">
        <v>14993.8542409255</v>
      </c>
      <c r="AV90" s="3" t="n">
        <v>19379.15534588497</v>
      </c>
      <c r="AW90" s="3" t="n">
        <v>18014.83139575618</v>
      </c>
      <c r="AX90" s="3" t="n">
        <v>24455.02527797807</v>
      </c>
      <c r="AY90" s="3" t="n">
        <v>22785.59436276164</v>
      </c>
      <c r="AZ90" s="3" t="n">
        <v>64604.17550912727</v>
      </c>
      <c r="BA90" s="3" t="n">
        <v>22712.74843351927</v>
      </c>
      <c r="BB90" s="3" t="n">
        <v>5269702.389916779</v>
      </c>
      <c r="BC90" s="3" t="n">
        <v>0</v>
      </c>
      <c r="BD90" s="3" t="n">
        <v>0</v>
      </c>
      <c r="BE90" s="3" t="n">
        <v>100.6171881247397</v>
      </c>
      <c r="BF90" s="3" t="n">
        <v>33.75142824097412</v>
      </c>
      <c r="BG90" s="3" t="n">
        <v>77.53116518323033</v>
      </c>
      <c r="BH90" s="3" t="n">
        <v>99.16559597067717</v>
      </c>
      <c r="BI90" s="3" t="n">
        <v>108.7321507636825</v>
      </c>
      <c r="BJ90" s="3" t="n">
        <v>88.57554422660114</v>
      </c>
      <c r="BK90" s="3" t="n">
        <v>0</v>
      </c>
      <c r="BL90" s="3" t="n">
        <v>0</v>
      </c>
      <c r="BM90" s="3" t="n">
        <v>0</v>
      </c>
      <c r="BN90" s="3" t="n">
        <v>0</v>
      </c>
      <c r="BO90" s="3" t="n">
        <v>0</v>
      </c>
      <c r="BP90" s="3" t="n">
        <v>0</v>
      </c>
    </row>
    <row r="91">
      <c r="A91" s="3" t="inlineStr">
        <is>
          <t>EGY.distn.bsh.bkt.rur.p75.9999</t>
        </is>
      </c>
      <c r="B91" s="3" t="inlineStr">
        <is>
          <t>EGY</t>
        </is>
      </c>
      <c r="C91" s="3" t="n">
        <v>2017</v>
      </c>
      <c r="D91" s="3" t="inlineStr">
        <is>
          <t>Rural</t>
        </is>
      </c>
      <c r="E91" s="3" t="inlineStr">
        <is>
          <t>Basket</t>
        </is>
      </c>
      <c r="F91" s="3" t="inlineStr">
        <is>
          <t>p75</t>
        </is>
      </c>
      <c r="G91" s="3" t="n">
        <v>9999</v>
      </c>
      <c r="H91" s="3" t="n">
        <v>2.205028350677238</v>
      </c>
      <c r="I91" s="3" t="n">
        <v>0</v>
      </c>
      <c r="J91" s="3" t="n">
        <v>4.368225224956338</v>
      </c>
      <c r="K91" s="3" t="n">
        <v>8.048180989325463</v>
      </c>
      <c r="L91" s="3" t="n">
        <v>0</v>
      </c>
      <c r="M91" s="3" t="n">
        <v>2.960907054359516</v>
      </c>
      <c r="N91" s="3" t="n">
        <v>0</v>
      </c>
      <c r="O91" s="3" t="n">
        <v>4.389620189596467</v>
      </c>
      <c r="P91" s="3" t="n">
        <v>0</v>
      </c>
      <c r="Q91" s="3" t="n">
        <v>3.802337102633754</v>
      </c>
      <c r="R91" s="3" t="n">
        <v>69.6095003315156</v>
      </c>
      <c r="S91" s="3" t="n">
        <v>0</v>
      </c>
      <c r="T91" s="3" t="n">
        <v>0</v>
      </c>
      <c r="U91" s="3" t="n">
        <v>6.052392990157411</v>
      </c>
      <c r="V91" s="3" t="n">
        <v>4.640618993536627</v>
      </c>
      <c r="W91" s="3" t="n">
        <v>0</v>
      </c>
      <c r="X91" s="3" t="n">
        <v>2.855054518479904</v>
      </c>
      <c r="Y91" s="3" t="n">
        <v>0</v>
      </c>
      <c r="Z91" s="3" t="n">
        <v>0</v>
      </c>
      <c r="AA91" s="3" t="n">
        <v>0</v>
      </c>
      <c r="AB91" s="3" t="n">
        <v>2.727026196258284</v>
      </c>
      <c r="AC91" s="3" t="n">
        <v>9.269287608518733</v>
      </c>
      <c r="AD91" s="3" t="n">
        <v>7.44429696161826</v>
      </c>
      <c r="AE91" s="3" t="n">
        <v>0</v>
      </c>
      <c r="AF91" s="3" t="n">
        <v>5.040184462786416</v>
      </c>
      <c r="AG91" s="3" t="n">
        <v>3141.562374352947</v>
      </c>
      <c r="AH91" s="3" t="n">
        <v>6653.593328063416</v>
      </c>
      <c r="AI91" s="3" t="n">
        <v>7194.525356066729</v>
      </c>
      <c r="AJ91" s="3" t="n">
        <v>8555.184014929002</v>
      </c>
      <c r="AK91" s="3" t="n">
        <v>8714.728683850155</v>
      </c>
      <c r="AL91" s="3" t="n">
        <v>10031.72037661441</v>
      </c>
      <c r="AM91" s="3" t="n">
        <v>10270.43893582807</v>
      </c>
      <c r="AN91" s="3" t="n">
        <v>10458.37467278957</v>
      </c>
      <c r="AO91" s="3" t="n">
        <v>10956.90518706764</v>
      </c>
      <c r="AP91" s="3" t="n">
        <v>12942.20413044333</v>
      </c>
      <c r="AQ91" s="3" t="n">
        <v>11242.31885438297</v>
      </c>
      <c r="AR91" s="3" t="n">
        <v>13648.17306902294</v>
      </c>
      <c r="AS91" s="3" t="n">
        <v>13845.17606362669</v>
      </c>
      <c r="AT91" s="3" t="n">
        <v>15473.82700785691</v>
      </c>
      <c r="AU91" s="3" t="n">
        <v>14507.64372515176</v>
      </c>
      <c r="AV91" s="3" t="n">
        <v>18799.14553482844</v>
      </c>
      <c r="AW91" s="3" t="n">
        <v>18706.76944532719</v>
      </c>
      <c r="AX91" s="3" t="n">
        <v>24102.56361128245</v>
      </c>
      <c r="AY91" s="3" t="n">
        <v>21419.36214075318</v>
      </c>
      <c r="AZ91" s="3" t="n">
        <v>60932.44340437668</v>
      </c>
      <c r="BA91" s="3" t="n">
        <v>13818.18706110118</v>
      </c>
      <c r="BB91" s="3" t="n">
        <v>57127589.12858727</v>
      </c>
      <c r="BC91" s="3" t="n">
        <v>0</v>
      </c>
      <c r="BD91" s="3" t="n">
        <v>0</v>
      </c>
      <c r="BE91" s="3" t="n">
        <v>112.622368429383</v>
      </c>
      <c r="BF91" s="3" t="n">
        <v>49.04574185434628</v>
      </c>
      <c r="BG91" s="3" t="n">
        <v>64.86856247875168</v>
      </c>
      <c r="BH91" s="3" t="n">
        <v>106.4948017116398</v>
      </c>
      <c r="BI91" s="3" t="n">
        <v>109.2450070999273</v>
      </c>
      <c r="BJ91" s="3" t="n">
        <v>88.06160981835841</v>
      </c>
      <c r="BK91" s="3" t="n">
        <v>0.1072291176030526</v>
      </c>
      <c r="BL91" s="3" t="n">
        <v>2.263277706214861</v>
      </c>
      <c r="BM91" s="3" t="n">
        <v>25.8247065884298</v>
      </c>
      <c r="BN91" s="3" t="n">
        <v>0</v>
      </c>
      <c r="BO91" s="3" t="n">
        <v>0</v>
      </c>
      <c r="BP91" s="3" t="n">
        <v>0</v>
      </c>
    </row>
    <row r="92">
      <c r="A92" s="3" t="inlineStr">
        <is>
          <t>EGY.distn.bsh.dec.urb.mean.1</t>
        </is>
      </c>
      <c r="B92" s="3" t="inlineStr">
        <is>
          <t>EGY</t>
        </is>
      </c>
      <c r="C92" s="3" t="n">
        <v>2017</v>
      </c>
      <c r="D92" s="3" t="inlineStr">
        <is>
          <t>Urban</t>
        </is>
      </c>
      <c r="E92" s="3" t="inlineStr">
        <is>
          <t>Deciles</t>
        </is>
      </c>
      <c r="F92" s="3" t="inlineStr">
        <is>
          <t>mean</t>
        </is>
      </c>
      <c r="G92" s="3" t="n">
        <v>1</v>
      </c>
      <c r="H92" s="3" t="n">
        <v>1.406479713587425</v>
      </c>
      <c r="I92" s="3" t="n">
        <v>0.001956484445209635</v>
      </c>
      <c r="J92" s="3" t="n">
        <v>3.859606449162937</v>
      </c>
      <c r="K92" s="3" t="n">
        <v>5.788188276734385</v>
      </c>
      <c r="L92" s="3" t="n">
        <v>0</v>
      </c>
      <c r="M92" s="3" t="n">
        <v>2.802392415357902</v>
      </c>
      <c r="N92" s="3" t="n">
        <v>0</v>
      </c>
      <c r="O92" s="3" t="n">
        <v>3.581388363015296</v>
      </c>
      <c r="P92" s="3" t="n">
        <v>0</v>
      </c>
      <c r="Q92" s="3" t="n">
        <v>3.50862828797979</v>
      </c>
      <c r="R92" s="3" t="n">
        <v>50.28865905182924</v>
      </c>
      <c r="S92" s="3" t="n">
        <v>0.0001025869353139969</v>
      </c>
      <c r="T92" s="3" t="n">
        <v>0.2695428887603223</v>
      </c>
      <c r="U92" s="3" t="n">
        <v>2.727963794432852</v>
      </c>
      <c r="V92" s="3" t="n">
        <v>7.562840251723933</v>
      </c>
      <c r="W92" s="3" t="n">
        <v>3.057457689145249e-05</v>
      </c>
      <c r="X92" s="3" t="n">
        <v>1.800705597403009</v>
      </c>
      <c r="Y92" s="3" t="n">
        <v>0.6877607875078939</v>
      </c>
      <c r="Z92" s="3" t="n">
        <v>0.09111105669078215</v>
      </c>
      <c r="AA92" s="3" t="n">
        <v>0.01703797498077337</v>
      </c>
      <c r="AB92" s="3" t="n">
        <v>2.665820555588964</v>
      </c>
      <c r="AC92" s="3" t="n">
        <v>5.412801876630739</v>
      </c>
      <c r="AD92" s="3" t="n">
        <v>8.050482691733727</v>
      </c>
      <c r="AE92" s="3" t="n">
        <v>0.4826238173688837</v>
      </c>
      <c r="AF92" s="3" t="n">
        <v>5.453473711416941</v>
      </c>
      <c r="AG92" s="3" t="n">
        <v>3278.347344730077</v>
      </c>
      <c r="AH92" s="3" t="n">
        <v>7280.397149035593</v>
      </c>
      <c r="AI92" s="3" t="n">
        <v>7576.232672701008</v>
      </c>
      <c r="AJ92" s="3" t="n">
        <v>9098.840725285867</v>
      </c>
      <c r="AK92" s="3" t="n">
        <v>8658.961724531488</v>
      </c>
      <c r="AL92" s="3" t="n">
        <v>9038.561889318205</v>
      </c>
      <c r="AM92" s="3" t="n">
        <v>9571.941636521269</v>
      </c>
      <c r="AN92" s="3" t="n">
        <v>10771.96050403157</v>
      </c>
      <c r="AO92" s="3" t="n">
        <v>11458.37509526254</v>
      </c>
      <c r="AP92" s="3" t="n">
        <v>12745.32716397629</v>
      </c>
      <c r="AQ92" s="3" t="n">
        <v>13035.76742582495</v>
      </c>
      <c r="AR92" s="3" t="n">
        <v>13696.19182461367</v>
      </c>
      <c r="AS92" s="3" t="n">
        <v>13306.40236740478</v>
      </c>
      <c r="AT92" s="3" t="n">
        <v>16277.69742592215</v>
      </c>
      <c r="AU92" s="3" t="n">
        <v>16800.91602342295</v>
      </c>
      <c r="AV92" s="3" t="n">
        <v>18228.84490741307</v>
      </c>
      <c r="AW92" s="3" t="n">
        <v>18129.47843889926</v>
      </c>
      <c r="AX92" s="3" t="n">
        <v>21825.59378213148</v>
      </c>
      <c r="AY92" s="3" t="n">
        <v>21448.08240490891</v>
      </c>
      <c r="AZ92" s="3" t="n">
        <v>64506.89539490456</v>
      </c>
      <c r="BA92" s="3" t="n">
        <v>5576.405312782244</v>
      </c>
      <c r="BB92" s="3" t="n">
        <v>4841787.433900648</v>
      </c>
      <c r="BC92" s="3" t="n">
        <v>105.9088689404328</v>
      </c>
      <c r="BD92" s="3" t="n">
        <v>112.2802059689877</v>
      </c>
      <c r="BE92" s="3" t="n">
        <v>104.6139646361246</v>
      </c>
      <c r="BF92" s="3" t="n">
        <v>50.21828502861805</v>
      </c>
      <c r="BG92" s="3" t="n">
        <v>84.85808292613201</v>
      </c>
      <c r="BH92" s="3" t="n">
        <v>110.545439966316</v>
      </c>
      <c r="BI92" s="3" t="n">
        <v>108.6943599043629</v>
      </c>
      <c r="BJ92" s="3" t="n">
        <v>85.17951781181102</v>
      </c>
      <c r="BK92" s="3" t="n">
        <v>0.05817502900194463</v>
      </c>
      <c r="BL92" s="3" t="n">
        <v>0.8947195287149901</v>
      </c>
      <c r="BM92" s="3" t="n">
        <v>4.783781557634601</v>
      </c>
      <c r="BN92" s="3" t="n">
        <v>0</v>
      </c>
      <c r="BO92" s="3" t="n">
        <v>0</v>
      </c>
      <c r="BP92" s="3" t="n">
        <v>0</v>
      </c>
    </row>
    <row r="93">
      <c r="A93" s="3" t="inlineStr">
        <is>
          <t>EGY.distn.bsh.dec.urb.mean.2</t>
        </is>
      </c>
      <c r="B93" s="3" t="inlineStr">
        <is>
          <t>EGY</t>
        </is>
      </c>
      <c r="C93" s="3" t="n">
        <v>2017</v>
      </c>
      <c r="D93" s="3" t="inlineStr">
        <is>
          <t>Urban</t>
        </is>
      </c>
      <c r="E93" s="3" t="inlineStr">
        <is>
          <t>Deciles</t>
        </is>
      </c>
      <c r="F93" s="3" t="inlineStr">
        <is>
          <t>mean</t>
        </is>
      </c>
      <c r="G93" s="3" t="n">
        <v>2</v>
      </c>
      <c r="H93" s="3" t="n">
        <v>1.478938258051624</v>
      </c>
      <c r="I93" s="3" t="n">
        <v>0.001658623423106147</v>
      </c>
      <c r="J93" s="3" t="n">
        <v>4.035731092288587</v>
      </c>
      <c r="K93" s="3" t="n">
        <v>5.290477310071092</v>
      </c>
      <c r="L93" s="3" t="n">
        <v>0</v>
      </c>
      <c r="M93" s="3" t="n">
        <v>2.983586746309121</v>
      </c>
      <c r="N93" s="3" t="n">
        <v>0</v>
      </c>
      <c r="O93" s="3" t="n">
        <v>4.86927099904424</v>
      </c>
      <c r="P93" s="3" t="n">
        <v>0</v>
      </c>
      <c r="Q93" s="3" t="n">
        <v>3.144219266306857</v>
      </c>
      <c r="R93" s="3" t="n">
        <v>54.68651558939138</v>
      </c>
      <c r="S93" s="3" t="n">
        <v>8.93900032324092e-05</v>
      </c>
      <c r="T93" s="3" t="n">
        <v>0.3751478204494353</v>
      </c>
      <c r="U93" s="3" t="n">
        <v>3.144467735235403</v>
      </c>
      <c r="V93" s="3" t="n">
        <v>6.562739246369291</v>
      </c>
      <c r="W93" s="3" t="n">
        <v>0</v>
      </c>
      <c r="X93" s="3" t="n">
        <v>1.373806195635202</v>
      </c>
      <c r="Y93" s="3" t="n">
        <v>0.6238276536683514</v>
      </c>
      <c r="Z93" s="3" t="n">
        <v>0.09873493832354194</v>
      </c>
      <c r="AA93" s="3" t="n">
        <v>0.008922739322782942</v>
      </c>
      <c r="AB93" s="3" t="n">
        <v>2.206540594002662</v>
      </c>
      <c r="AC93" s="3" t="n">
        <v>5.279252080605115</v>
      </c>
      <c r="AD93" s="3" t="n">
        <v>7.297287178777459</v>
      </c>
      <c r="AE93" s="3" t="n">
        <v>0.3318845419552245</v>
      </c>
      <c r="AF93" s="3" t="n">
        <v>5.298752165750614</v>
      </c>
      <c r="AG93" s="3" t="n">
        <v>3219.849026782012</v>
      </c>
      <c r="AH93" s="3" t="n">
        <v>6639.230728641232</v>
      </c>
      <c r="AI93" s="3" t="n">
        <v>7612.016944237319</v>
      </c>
      <c r="AJ93" s="3" t="n">
        <v>8747.98703672289</v>
      </c>
      <c r="AK93" s="3" t="n">
        <v>8072.420186296193</v>
      </c>
      <c r="AL93" s="3" t="n">
        <v>8962.184467482008</v>
      </c>
      <c r="AM93" s="3" t="n">
        <v>10355.81881836377</v>
      </c>
      <c r="AN93" s="3" t="n">
        <v>10997.45063721844</v>
      </c>
      <c r="AO93" s="3" t="n">
        <v>11322.46032739725</v>
      </c>
      <c r="AP93" s="3" t="n">
        <v>12106.77524159981</v>
      </c>
      <c r="AQ93" s="3" t="n">
        <v>11506.93885353854</v>
      </c>
      <c r="AR93" s="3" t="n">
        <v>12824.80698338589</v>
      </c>
      <c r="AS93" s="3" t="n">
        <v>13949.43100364645</v>
      </c>
      <c r="AT93" s="3" t="n">
        <v>16672.72999496936</v>
      </c>
      <c r="AU93" s="3" t="n">
        <v>14689.408619579</v>
      </c>
      <c r="AV93" s="3" t="n">
        <v>17945.98481991749</v>
      </c>
      <c r="AW93" s="3" t="n">
        <v>17257.58657348521</v>
      </c>
      <c r="AX93" s="3" t="n">
        <v>21865.02729394018</v>
      </c>
      <c r="AY93" s="3" t="n">
        <v>23939.36561768999</v>
      </c>
      <c r="AZ93" s="3" t="n">
        <v>61493.48340737818</v>
      </c>
      <c r="BA93" s="3" t="n">
        <v>7855.410870197133</v>
      </c>
      <c r="BB93" s="3" t="n">
        <v>4668418.364431513</v>
      </c>
      <c r="BC93" s="3" t="n">
        <v>113.0908634406791</v>
      </c>
      <c r="BD93" s="3" t="n">
        <v>104.9556822846209</v>
      </c>
      <c r="BE93" s="3" t="n">
        <v>108.0708313870642</v>
      </c>
      <c r="BF93" s="3" t="n">
        <v>60.41642968676575</v>
      </c>
      <c r="BG93" s="3" t="n">
        <v>83.90669750886865</v>
      </c>
      <c r="BH93" s="3" t="n">
        <v>104.9341883251284</v>
      </c>
      <c r="BI93" s="3" t="n">
        <v>107.2837061707555</v>
      </c>
      <c r="BJ93" s="3" t="n">
        <v>93.37305951633226</v>
      </c>
      <c r="BK93" s="3" t="n">
        <v>0.009723889878464863</v>
      </c>
      <c r="BL93" s="3" t="n">
        <v>0.0172826100895799</v>
      </c>
      <c r="BM93" s="3" t="n">
        <v>4.39891975906143</v>
      </c>
      <c r="BN93" s="3" t="n">
        <v>0</v>
      </c>
      <c r="BO93" s="3" t="n">
        <v>0</v>
      </c>
      <c r="BP93" s="3" t="n">
        <v>0</v>
      </c>
    </row>
    <row r="94">
      <c r="A94" s="3" t="inlineStr">
        <is>
          <t>EGY.distn.bsh.dec.urb.mean.3</t>
        </is>
      </c>
      <c r="B94" s="3" t="inlineStr">
        <is>
          <t>EGY</t>
        </is>
      </c>
      <c r="C94" s="3" t="n">
        <v>2017</v>
      </c>
      <c r="D94" s="3" t="inlineStr">
        <is>
          <t>Urban</t>
        </is>
      </c>
      <c r="E94" s="3" t="inlineStr">
        <is>
          <t>Deciles</t>
        </is>
      </c>
      <c r="F94" s="3" t="inlineStr">
        <is>
          <t>mean</t>
        </is>
      </c>
      <c r="G94" s="3" t="n">
        <v>3</v>
      </c>
      <c r="H94" s="3" t="n">
        <v>1.579660620631174</v>
      </c>
      <c r="I94" s="3" t="n">
        <v>0.001604146809532131</v>
      </c>
      <c r="J94" s="3" t="n">
        <v>4.299874027359845</v>
      </c>
      <c r="K94" s="3" t="n">
        <v>5.646795218579949</v>
      </c>
      <c r="L94" s="3" t="n">
        <v>0</v>
      </c>
      <c r="M94" s="3" t="n">
        <v>3.216185739062827</v>
      </c>
      <c r="N94" s="3" t="n">
        <v>0</v>
      </c>
      <c r="O94" s="3" t="n">
        <v>4.927164644842925</v>
      </c>
      <c r="P94" s="3" t="n">
        <v>0</v>
      </c>
      <c r="Q94" s="3" t="n">
        <v>3.546514713218922</v>
      </c>
      <c r="R94" s="3" t="n">
        <v>54.93958389809689</v>
      </c>
      <c r="S94" s="3" t="n">
        <v>9.33673695504109e-05</v>
      </c>
      <c r="T94" s="3" t="n">
        <v>0.4217052355517419</v>
      </c>
      <c r="U94" s="3" t="n">
        <v>3.573736582121935</v>
      </c>
      <c r="V94" s="3" t="n">
        <v>6.094820615868968</v>
      </c>
      <c r="W94" s="3" t="n">
        <v>2.099876924889973e-05</v>
      </c>
      <c r="X94" s="3" t="n">
        <v>1.14829708067043</v>
      </c>
      <c r="Y94" s="3" t="n">
        <v>0.6668359792783647</v>
      </c>
      <c r="Z94" s="3" t="n">
        <v>0.08159321032578108</v>
      </c>
      <c r="AA94" s="3" t="n">
        <v>0.00596610590053803</v>
      </c>
      <c r="AB94" s="3" t="n">
        <v>2.346060659591815</v>
      </c>
      <c r="AC94" s="3" t="n">
        <v>5.511018645426944</v>
      </c>
      <c r="AD94" s="3" t="n">
        <v>7.634982134715038</v>
      </c>
      <c r="AE94" s="3" t="n">
        <v>0.2796382758003821</v>
      </c>
      <c r="AF94" s="3" t="n">
        <v>5.402066902549256</v>
      </c>
      <c r="AG94" s="3" t="n">
        <v>3255.568655869142</v>
      </c>
      <c r="AH94" s="3" t="n">
        <v>7243.082976141972</v>
      </c>
      <c r="AI94" s="3" t="n">
        <v>7613.506896123557</v>
      </c>
      <c r="AJ94" s="3" t="n">
        <v>8983.35159834606</v>
      </c>
      <c r="AK94" s="3" t="n">
        <v>8521.438693923446</v>
      </c>
      <c r="AL94" s="3" t="n">
        <v>9404.23673114944</v>
      </c>
      <c r="AM94" s="3" t="n">
        <v>9500.842416994785</v>
      </c>
      <c r="AN94" s="3" t="n">
        <v>10938.88671134883</v>
      </c>
      <c r="AO94" s="3" t="n">
        <v>11034.20845218516</v>
      </c>
      <c r="AP94" s="3" t="n">
        <v>11865.32645893647</v>
      </c>
      <c r="AQ94" s="3" t="n">
        <v>11835.18286659118</v>
      </c>
      <c r="AR94" s="3" t="n">
        <v>14098.26582860544</v>
      </c>
      <c r="AS94" s="3" t="n">
        <v>14354.34164615751</v>
      </c>
      <c r="AT94" s="3" t="n">
        <v>14699.49407655992</v>
      </c>
      <c r="AU94" s="3" t="n">
        <v>16747.78302827366</v>
      </c>
      <c r="AV94" s="3" t="n">
        <v>16946.34514293856</v>
      </c>
      <c r="AW94" s="3" t="n">
        <v>18521.94693098999</v>
      </c>
      <c r="AX94" s="3" t="n">
        <v>22778.09356957669</v>
      </c>
      <c r="AY94" s="3" t="n">
        <v>21414.86734556777</v>
      </c>
      <c r="AZ94" s="3" t="n">
        <v>66297.14516935598</v>
      </c>
      <c r="BA94" s="3" t="n">
        <v>9064.053028973141</v>
      </c>
      <c r="BB94" s="3" t="n">
        <v>4737444.457435225</v>
      </c>
      <c r="BC94" s="3" t="n">
        <v>106.8865194446273</v>
      </c>
      <c r="BD94" s="3" t="n">
        <v>105.7176943755785</v>
      </c>
      <c r="BE94" s="3" t="n">
        <v>101.9997172411625</v>
      </c>
      <c r="BF94" s="3" t="n">
        <v>66.23560900650008</v>
      </c>
      <c r="BG94" s="3" t="n">
        <v>87.12586834928591</v>
      </c>
      <c r="BH94" s="3" t="n">
        <v>100.7482305530832</v>
      </c>
      <c r="BI94" s="3" t="n">
        <v>107.1787773229293</v>
      </c>
      <c r="BJ94" s="3" t="n">
        <v>103.0508306438568</v>
      </c>
      <c r="BK94" s="3" t="n">
        <v>0</v>
      </c>
      <c r="BL94" s="3" t="n">
        <v>0</v>
      </c>
      <c r="BM94" s="3" t="n">
        <v>2.391382233681854</v>
      </c>
      <c r="BN94" s="3" t="n">
        <v>0</v>
      </c>
      <c r="BO94" s="3" t="n">
        <v>0</v>
      </c>
      <c r="BP94" s="3" t="n">
        <v>0</v>
      </c>
    </row>
    <row r="95">
      <c r="A95" s="3" t="inlineStr">
        <is>
          <t>EGY.distn.bsh.dec.urb.mean.4</t>
        </is>
      </c>
      <c r="B95" s="3" t="inlineStr">
        <is>
          <t>EGY</t>
        </is>
      </c>
      <c r="C95" s="3" t="n">
        <v>2017</v>
      </c>
      <c r="D95" s="3" t="inlineStr">
        <is>
          <t>Urban</t>
        </is>
      </c>
      <c r="E95" s="3" t="inlineStr">
        <is>
          <t>Deciles</t>
        </is>
      </c>
      <c r="F95" s="3" t="inlineStr">
        <is>
          <t>mean</t>
        </is>
      </c>
      <c r="G95" s="3" t="n">
        <v>4</v>
      </c>
      <c r="H95" s="3" t="n">
        <v>1.438140938714075</v>
      </c>
      <c r="I95" s="3" t="n">
        <v>0.001751653900032016</v>
      </c>
      <c r="J95" s="3" t="n">
        <v>3.855579775249678</v>
      </c>
      <c r="K95" s="3" t="n">
        <v>5.833992855619473</v>
      </c>
      <c r="L95" s="3" t="n">
        <v>0</v>
      </c>
      <c r="M95" s="3" t="n">
        <v>3.500513009862275</v>
      </c>
      <c r="N95" s="3" t="n">
        <v>0</v>
      </c>
      <c r="O95" s="3" t="n">
        <v>4.898994750812172</v>
      </c>
      <c r="P95" s="3" t="n">
        <v>0</v>
      </c>
      <c r="Q95" s="3" t="n">
        <v>3.37031551423195</v>
      </c>
      <c r="R95" s="3" t="n">
        <v>53.59061538458439</v>
      </c>
      <c r="S95" s="3" t="n">
        <v>9.455513597453047e-05</v>
      </c>
      <c r="T95" s="3" t="n">
        <v>0.5134639156998676</v>
      </c>
      <c r="U95" s="3" t="n">
        <v>3.664944372111041</v>
      </c>
      <c r="V95" s="3" t="n">
        <v>5.743713527118524</v>
      </c>
      <c r="W95" s="3" t="n">
        <v>0</v>
      </c>
      <c r="X95" s="3" t="n">
        <v>1.001363574083863</v>
      </c>
      <c r="Y95" s="3" t="n">
        <v>0.66211152764166</v>
      </c>
      <c r="Z95" s="3" t="n">
        <v>0.1184980415093156</v>
      </c>
      <c r="AA95" s="3" t="n">
        <v>0.02574078635111931</v>
      </c>
      <c r="AB95" s="3" t="n">
        <v>2.255719141962442</v>
      </c>
      <c r="AC95" s="3" t="n">
        <v>5.696852283929538</v>
      </c>
      <c r="AD95" s="3" t="n">
        <v>7.388859087346549</v>
      </c>
      <c r="AE95" s="3" t="n">
        <v>0.3124178714326925</v>
      </c>
      <c r="AF95" s="3" t="n">
        <v>5.56174321840419</v>
      </c>
      <c r="AG95" s="3" t="n">
        <v>2995.056248199709</v>
      </c>
      <c r="AH95" s="3" t="n">
        <v>7085.89100954311</v>
      </c>
      <c r="AI95" s="3" t="n">
        <v>6923.261758819506</v>
      </c>
      <c r="AJ95" s="3" t="n">
        <v>8757.482605743447</v>
      </c>
      <c r="AK95" s="3" t="n">
        <v>8641.996267177898</v>
      </c>
      <c r="AL95" s="3" t="n">
        <v>9551.040066046129</v>
      </c>
      <c r="AM95" s="3" t="n">
        <v>8959.10949878563</v>
      </c>
      <c r="AN95" s="3" t="n">
        <v>10382.98870328586</v>
      </c>
      <c r="AO95" s="3" t="n">
        <v>11237.49823718734</v>
      </c>
      <c r="AP95" s="3" t="n">
        <v>11806.18748223704</v>
      </c>
      <c r="AQ95" s="3" t="n">
        <v>11810.60554764288</v>
      </c>
      <c r="AR95" s="3" t="n">
        <v>13475.77690013865</v>
      </c>
      <c r="AS95" s="3" t="n">
        <v>13007.90074716519</v>
      </c>
      <c r="AT95" s="3" t="n">
        <v>15286.00891802419</v>
      </c>
      <c r="AU95" s="3" t="n">
        <v>15553.76119763793</v>
      </c>
      <c r="AV95" s="3" t="n">
        <v>19196.56646494801</v>
      </c>
      <c r="AW95" s="3" t="n">
        <v>18913.33806163037</v>
      </c>
      <c r="AX95" s="3" t="n">
        <v>23180.2357192353</v>
      </c>
      <c r="AY95" s="3" t="n">
        <v>21766.95114721996</v>
      </c>
      <c r="AZ95" s="3" t="n">
        <v>68998.42970069731</v>
      </c>
      <c r="BA95" s="3" t="n">
        <v>9668.56497878586</v>
      </c>
      <c r="BB95" s="3" t="n">
        <v>4841156.469836667</v>
      </c>
      <c r="BC95" s="3" t="n">
        <v>103.1782346022424</v>
      </c>
      <c r="BD95" s="3" t="n">
        <v>105.1534096523448</v>
      </c>
      <c r="BE95" s="3" t="n">
        <v>110.9174725766966</v>
      </c>
      <c r="BF95" s="3" t="n">
        <v>74.63855616257442</v>
      </c>
      <c r="BG95" s="3" t="n">
        <v>97.34874423531596</v>
      </c>
      <c r="BH95" s="3" t="n">
        <v>106.3904640947406</v>
      </c>
      <c r="BI95" s="3" t="n">
        <v>101.8009261709263</v>
      </c>
      <c r="BJ95" s="3" t="n">
        <v>92.49080418474472</v>
      </c>
      <c r="BK95" s="3" t="n">
        <v>0</v>
      </c>
      <c r="BL95" s="3" t="n">
        <v>0</v>
      </c>
      <c r="BM95" s="3" t="n">
        <v>0.4755690945474217</v>
      </c>
      <c r="BN95" s="3" t="n">
        <v>0</v>
      </c>
      <c r="BO95" s="3" t="n">
        <v>0</v>
      </c>
      <c r="BP95" s="3" t="n">
        <v>0</v>
      </c>
    </row>
    <row r="96">
      <c r="A96" s="3" t="inlineStr">
        <is>
          <t>EGY.distn.bsh.dec.urb.mean.5</t>
        </is>
      </c>
      <c r="B96" s="3" t="inlineStr">
        <is>
          <t>EGY</t>
        </is>
      </c>
      <c r="C96" s="3" t="n">
        <v>2017</v>
      </c>
      <c r="D96" s="3" t="inlineStr">
        <is>
          <t>Urban</t>
        </is>
      </c>
      <c r="E96" s="3" t="inlineStr">
        <is>
          <t>Deciles</t>
        </is>
      </c>
      <c r="F96" s="3" t="inlineStr">
        <is>
          <t>mean</t>
        </is>
      </c>
      <c r="G96" s="3" t="n">
        <v>5</v>
      </c>
      <c r="H96" s="3" t="n">
        <v>1.644102060412781</v>
      </c>
      <c r="I96" s="3" t="n">
        <v>0.001113548627772823</v>
      </c>
      <c r="J96" s="3" t="n">
        <v>3.715555173573866</v>
      </c>
      <c r="K96" s="3" t="n">
        <v>5.954256367048343</v>
      </c>
      <c r="L96" s="3" t="n">
        <v>0</v>
      </c>
      <c r="M96" s="3" t="n">
        <v>3.419989137790385</v>
      </c>
      <c r="N96" s="3" t="n">
        <v>0</v>
      </c>
      <c r="O96" s="3" t="n">
        <v>5.051296073719004</v>
      </c>
      <c r="P96" s="3" t="n">
        <v>1.115787579038284e-05</v>
      </c>
      <c r="Q96" s="3" t="n">
        <v>3.258861072211628</v>
      </c>
      <c r="R96" s="3" t="n">
        <v>49.62643713248794</v>
      </c>
      <c r="S96" s="3" t="n">
        <v>6.172964070958628e-05</v>
      </c>
      <c r="T96" s="3" t="n">
        <v>0.5346352862778803</v>
      </c>
      <c r="U96" s="3" t="n">
        <v>4.178712721290958</v>
      </c>
      <c r="V96" s="3" t="n">
        <v>5.677320321323283</v>
      </c>
      <c r="W96" s="3" t="n">
        <v>8.948061455702401e-05</v>
      </c>
      <c r="X96" s="3" t="n">
        <v>0.8351083776448905</v>
      </c>
      <c r="Y96" s="3" t="n">
        <v>0.7397480520928004</v>
      </c>
      <c r="Z96" s="3" t="n">
        <v>0.1411824876897014</v>
      </c>
      <c r="AA96" s="3" t="n">
        <v>0.02151419172999757</v>
      </c>
      <c r="AB96" s="3" t="n">
        <v>2.081301717929057</v>
      </c>
      <c r="AC96" s="3" t="n">
        <v>5.81871826406898</v>
      </c>
      <c r="AD96" s="3" t="n">
        <v>7.593032399479918</v>
      </c>
      <c r="AE96" s="3" t="n">
        <v>0.4844005751590944</v>
      </c>
      <c r="AF96" s="3" t="n">
        <v>5.709372994583853</v>
      </c>
      <c r="AG96" s="3" t="n">
        <v>3001.552656705774</v>
      </c>
      <c r="AH96" s="3" t="n">
        <v>7488.952407594425</v>
      </c>
      <c r="AI96" s="3" t="n">
        <v>7152.520007461505</v>
      </c>
      <c r="AJ96" s="3" t="n">
        <v>9096.220237343474</v>
      </c>
      <c r="AK96" s="3" t="n">
        <v>8628.54396720608</v>
      </c>
      <c r="AL96" s="3" t="n">
        <v>8939.817133683777</v>
      </c>
      <c r="AM96" s="3" t="n">
        <v>9334.026329511205</v>
      </c>
      <c r="AN96" s="3" t="n">
        <v>10677.67895293399</v>
      </c>
      <c r="AO96" s="3" t="n">
        <v>11613.70025061522</v>
      </c>
      <c r="AP96" s="3" t="n">
        <v>12336.08313858582</v>
      </c>
      <c r="AQ96" s="3" t="n">
        <v>13018.2229646758</v>
      </c>
      <c r="AR96" s="3" t="n">
        <v>12664.61628542947</v>
      </c>
      <c r="AS96" s="3" t="n">
        <v>12767.20688580634</v>
      </c>
      <c r="AT96" s="3" t="n">
        <v>15970.98166989707</v>
      </c>
      <c r="AU96" s="3" t="n">
        <v>15559.56102255351</v>
      </c>
      <c r="AV96" s="3" t="n">
        <v>18902.39039899169</v>
      </c>
      <c r="AW96" s="3" t="n">
        <v>17326.96525805135</v>
      </c>
      <c r="AX96" s="3" t="n">
        <v>22992.71386105355</v>
      </c>
      <c r="AY96" s="3" t="n">
        <v>22704.73702539147</v>
      </c>
      <c r="AZ96" s="3" t="n">
        <v>67271.06329374388</v>
      </c>
      <c r="BA96" s="3" t="n">
        <v>12306.80850271767</v>
      </c>
      <c r="BB96" s="3" t="n">
        <v>5144929.641129108</v>
      </c>
      <c r="BC96" s="3" t="n">
        <v>103.7736366230459</v>
      </c>
      <c r="BD96" s="3" t="n">
        <v>104.9792611748776</v>
      </c>
      <c r="BE96" s="3" t="n">
        <v>106.4889897998136</v>
      </c>
      <c r="BF96" s="3" t="n">
        <v>75.91915549005824</v>
      </c>
      <c r="BG96" s="3" t="n">
        <v>100.6327530726751</v>
      </c>
      <c r="BH96" s="3" t="n">
        <v>114.6070400707726</v>
      </c>
      <c r="BI96" s="3" t="n">
        <v>112.7256039930631</v>
      </c>
      <c r="BJ96" s="3" t="n">
        <v>99.13786768896981</v>
      </c>
      <c r="BK96" s="3" t="n">
        <v>0</v>
      </c>
      <c r="BL96" s="3" t="n">
        <v>0</v>
      </c>
      <c r="BM96" s="3" t="n">
        <v>0.1594404395327699</v>
      </c>
      <c r="BN96" s="3" t="n">
        <v>0</v>
      </c>
      <c r="BO96" s="3" t="n">
        <v>0</v>
      </c>
      <c r="BP96" s="3" t="n">
        <v>0</v>
      </c>
    </row>
    <row r="97">
      <c r="A97" s="3" t="inlineStr">
        <is>
          <t>EGY.distn.bsh.dec.urb.mean.6</t>
        </is>
      </c>
      <c r="B97" s="3" t="inlineStr">
        <is>
          <t>EGY</t>
        </is>
      </c>
      <c r="C97" s="3" t="n">
        <v>2017</v>
      </c>
      <c r="D97" s="3" t="inlineStr">
        <is>
          <t>Urban</t>
        </is>
      </c>
      <c r="E97" s="3" t="inlineStr">
        <is>
          <t>Deciles</t>
        </is>
      </c>
      <c r="F97" s="3" t="inlineStr">
        <is>
          <t>mean</t>
        </is>
      </c>
      <c r="G97" s="3" t="n">
        <v>6</v>
      </c>
      <c r="H97" s="3" t="n">
        <v>1.727584664231415</v>
      </c>
      <c r="I97" s="3" t="n">
        <v>0.001509358611017021</v>
      </c>
      <c r="J97" s="3" t="n">
        <v>3.95868799741065</v>
      </c>
      <c r="K97" s="3" t="n">
        <v>5.440843202223457</v>
      </c>
      <c r="L97" s="3" t="n">
        <v>0</v>
      </c>
      <c r="M97" s="3" t="n">
        <v>3.405343589258015</v>
      </c>
      <c r="N97" s="3" t="n">
        <v>0</v>
      </c>
      <c r="O97" s="3" t="n">
        <v>4.968768232307118</v>
      </c>
      <c r="P97" s="3" t="n">
        <v>0</v>
      </c>
      <c r="Q97" s="3" t="n">
        <v>3.194300825401655</v>
      </c>
      <c r="R97" s="3" t="n">
        <v>49.58087345949172</v>
      </c>
      <c r="S97" s="3" t="n">
        <v>7.769269871801007e-05</v>
      </c>
      <c r="T97" s="3" t="n">
        <v>0.6277574930915607</v>
      </c>
      <c r="U97" s="3" t="n">
        <v>3.860329069907246</v>
      </c>
      <c r="V97" s="3" t="n">
        <v>5.266579163857599</v>
      </c>
      <c r="W97" s="3" t="n">
        <v>4.762885111246307e-05</v>
      </c>
      <c r="X97" s="3" t="n">
        <v>0.9189575157516005</v>
      </c>
      <c r="Y97" s="3" t="n">
        <v>0.7153393123218852</v>
      </c>
      <c r="Z97" s="3" t="n">
        <v>0.09909727704958457</v>
      </c>
      <c r="AA97" s="3" t="n">
        <v>0.01656340082934805</v>
      </c>
      <c r="AB97" s="3" t="n">
        <v>1.781297339892507</v>
      </c>
      <c r="AC97" s="3" t="n">
        <v>5.949829609545847</v>
      </c>
      <c r="AD97" s="3" t="n">
        <v>8.278101967338477</v>
      </c>
      <c r="AE97" s="3" t="n">
        <v>0.5394054899643626</v>
      </c>
      <c r="AF97" s="3" t="n">
        <v>5.770748024595594</v>
      </c>
      <c r="AG97" s="3" t="n">
        <v>3350.266907321499</v>
      </c>
      <c r="AH97" s="3" t="n">
        <v>7187.634922896146</v>
      </c>
      <c r="AI97" s="3" t="n">
        <v>7099.720638251235</v>
      </c>
      <c r="AJ97" s="3" t="n">
        <v>8079.168482928388</v>
      </c>
      <c r="AK97" s="3" t="n">
        <v>8799.890905651493</v>
      </c>
      <c r="AL97" s="3" t="n">
        <v>9390.185527855157</v>
      </c>
      <c r="AM97" s="3" t="n">
        <v>9705.896497642911</v>
      </c>
      <c r="AN97" s="3" t="n">
        <v>10317.28997578243</v>
      </c>
      <c r="AO97" s="3" t="n">
        <v>10995.89961793621</v>
      </c>
      <c r="AP97" s="3" t="n">
        <v>12555.58295273702</v>
      </c>
      <c r="AQ97" s="3" t="n">
        <v>11281.18137164024</v>
      </c>
      <c r="AR97" s="3" t="n">
        <v>12875.66428514192</v>
      </c>
      <c r="AS97" s="3" t="n">
        <v>12943.53477770019</v>
      </c>
      <c r="AT97" s="3" t="n">
        <v>15147.61720750208</v>
      </c>
      <c r="AU97" s="3" t="n">
        <v>16255.92639892116</v>
      </c>
      <c r="AV97" s="3" t="n">
        <v>18801.01288434693</v>
      </c>
      <c r="AW97" s="3" t="n">
        <v>17923.69242009565</v>
      </c>
      <c r="AX97" s="3" t="n">
        <v>23289.28917038052</v>
      </c>
      <c r="AY97" s="3" t="n">
        <v>23182.91203700042</v>
      </c>
      <c r="AZ97" s="3" t="n">
        <v>63814.97113769357</v>
      </c>
      <c r="BA97" s="3" t="n">
        <v>12178.47428356027</v>
      </c>
      <c r="BB97" s="3" t="n">
        <v>5043578.349066657</v>
      </c>
      <c r="BC97" s="3" t="n">
        <v>106.0471540280817</v>
      </c>
      <c r="BD97" s="3" t="n">
        <v>103.0877351746194</v>
      </c>
      <c r="BE97" s="3" t="n">
        <v>107.8370358087325</v>
      </c>
      <c r="BF97" s="3" t="n">
        <v>72.81372272459045</v>
      </c>
      <c r="BG97" s="3" t="n">
        <v>104.0947058110674</v>
      </c>
      <c r="BH97" s="3" t="n">
        <v>112.4040244633153</v>
      </c>
      <c r="BI97" s="3" t="n">
        <v>100.7375893063174</v>
      </c>
      <c r="BJ97" s="3" t="n">
        <v>93.92731961967152</v>
      </c>
      <c r="BK97" s="3" t="n">
        <v>0</v>
      </c>
      <c r="BL97" s="3" t="n">
        <v>0</v>
      </c>
      <c r="BM97" s="3" t="n">
        <v>0.02347655891243356</v>
      </c>
      <c r="BN97" s="3" t="n">
        <v>0</v>
      </c>
      <c r="BO97" s="3" t="n">
        <v>0</v>
      </c>
      <c r="BP97" s="3" t="n">
        <v>0</v>
      </c>
    </row>
    <row r="98">
      <c r="A98" s="3" t="inlineStr">
        <is>
          <t>EGY.distn.bsh.dec.urb.mean.7</t>
        </is>
      </c>
      <c r="B98" s="3" t="inlineStr">
        <is>
          <t>EGY</t>
        </is>
      </c>
      <c r="C98" s="3" t="n">
        <v>2017</v>
      </c>
      <c r="D98" s="3" t="inlineStr">
        <is>
          <t>Urban</t>
        </is>
      </c>
      <c r="E98" s="3" t="inlineStr">
        <is>
          <t>Deciles</t>
        </is>
      </c>
      <c r="F98" s="3" t="inlineStr">
        <is>
          <t>mean</t>
        </is>
      </c>
      <c r="G98" s="3" t="n">
        <v>7</v>
      </c>
      <c r="H98" s="3" t="n">
        <v>1.467432779770233</v>
      </c>
      <c r="I98" s="3" t="n">
        <v>0.001280984020675005</v>
      </c>
      <c r="J98" s="3" t="n">
        <v>3.955724822338273</v>
      </c>
      <c r="K98" s="3" t="n">
        <v>5.239192599875411</v>
      </c>
      <c r="L98" s="3" t="n">
        <v>0</v>
      </c>
      <c r="M98" s="3" t="n">
        <v>3.460926556957324</v>
      </c>
      <c r="N98" s="3" t="n">
        <v>0</v>
      </c>
      <c r="O98" s="3" t="n">
        <v>4.147078460580068</v>
      </c>
      <c r="P98" s="3" t="n">
        <v>2.206589582189387e-05</v>
      </c>
      <c r="Q98" s="3" t="n">
        <v>3.48229865519626</v>
      </c>
      <c r="R98" s="3" t="n">
        <v>54.1584501539852</v>
      </c>
      <c r="S98" s="3" t="n">
        <v>6.955873676954575e-05</v>
      </c>
      <c r="T98" s="3" t="n">
        <v>0.7083697101153292</v>
      </c>
      <c r="U98" s="3" t="n">
        <v>4.345705396655585</v>
      </c>
      <c r="V98" s="3" t="n">
        <v>5.048197532680843</v>
      </c>
      <c r="W98" s="3" t="n">
        <v>0.0001139971565937287</v>
      </c>
      <c r="X98" s="3" t="n">
        <v>0.8470828425386413</v>
      </c>
      <c r="Y98" s="3" t="n">
        <v>0.790185407949289</v>
      </c>
      <c r="Z98" s="3" t="n">
        <v>0.1568094309630284</v>
      </c>
      <c r="AA98" s="3" t="n">
        <v>0.02176151206746412</v>
      </c>
      <c r="AB98" s="3" t="n">
        <v>1.501636892658589</v>
      </c>
      <c r="AC98" s="3" t="n">
        <v>7.158059901865499</v>
      </c>
      <c r="AD98" s="3" t="n">
        <v>7.858132312629517</v>
      </c>
      <c r="AE98" s="3" t="n">
        <v>0.6289289840687433</v>
      </c>
      <c r="AF98" s="3" t="n">
        <v>5.00252188246222</v>
      </c>
      <c r="AG98" s="3" t="n">
        <v>3009.565304733319</v>
      </c>
      <c r="AH98" s="3" t="n">
        <v>6848.84721183865</v>
      </c>
      <c r="AI98" s="3" t="n">
        <v>7136.302446232919</v>
      </c>
      <c r="AJ98" s="3" t="n">
        <v>9002.407734828386</v>
      </c>
      <c r="AK98" s="3" t="n">
        <v>7891.610462451076</v>
      </c>
      <c r="AL98" s="3" t="n">
        <v>9655.59122433174</v>
      </c>
      <c r="AM98" s="3" t="n">
        <v>10219.53374184321</v>
      </c>
      <c r="AN98" s="3" t="n">
        <v>10070.72972005673</v>
      </c>
      <c r="AO98" s="3" t="n">
        <v>11189.76906177477</v>
      </c>
      <c r="AP98" s="3" t="n">
        <v>12862.94576069983</v>
      </c>
      <c r="AQ98" s="3" t="n">
        <v>12292.77366673564</v>
      </c>
      <c r="AR98" s="3" t="n">
        <v>14575.19275884287</v>
      </c>
      <c r="AS98" s="3" t="n">
        <v>14065.66306337685</v>
      </c>
      <c r="AT98" s="3" t="n">
        <v>15484.35201663198</v>
      </c>
      <c r="AU98" s="3" t="n">
        <v>15834.58899327419</v>
      </c>
      <c r="AV98" s="3" t="n">
        <v>17896.30104706673</v>
      </c>
      <c r="AW98" s="3" t="n">
        <v>19539.43232921777</v>
      </c>
      <c r="AX98" s="3" t="n">
        <v>21803.50205073362</v>
      </c>
      <c r="AY98" s="3" t="n">
        <v>22784.04955227495</v>
      </c>
      <c r="AZ98" s="3" t="n">
        <v>66566.6755580396</v>
      </c>
      <c r="BA98" s="3" t="n">
        <v>13626.94387792811</v>
      </c>
      <c r="BB98" s="3" t="n">
        <v>5185587.618878794</v>
      </c>
      <c r="BC98" s="3" t="n">
        <v>104.7108640614043</v>
      </c>
      <c r="BD98" s="3" t="n">
        <v>106.9591193835959</v>
      </c>
      <c r="BE98" s="3" t="n">
        <v>100.3365892219351</v>
      </c>
      <c r="BF98" s="3" t="n">
        <v>83.786860541986</v>
      </c>
      <c r="BG98" s="3" t="n">
        <v>93.30731696136208</v>
      </c>
      <c r="BH98" s="3" t="n">
        <v>102.781446441185</v>
      </c>
      <c r="BI98" s="3" t="n">
        <v>110.4868630444865</v>
      </c>
      <c r="BJ98" s="3" t="n">
        <v>98.16557689163074</v>
      </c>
      <c r="BK98" s="3" t="n">
        <v>0</v>
      </c>
      <c r="BL98" s="3" t="n">
        <v>0</v>
      </c>
      <c r="BM98" s="3" t="n">
        <v>0.02210540917174365</v>
      </c>
      <c r="BN98" s="3" t="n">
        <v>0</v>
      </c>
      <c r="BO98" s="3" t="n">
        <v>0</v>
      </c>
      <c r="BP98" s="3" t="n">
        <v>0</v>
      </c>
    </row>
    <row r="99">
      <c r="A99" s="3" t="inlineStr">
        <is>
          <t>EGY.distn.bsh.dec.urb.mean.8</t>
        </is>
      </c>
      <c r="B99" s="3" t="inlineStr">
        <is>
          <t>EGY</t>
        </is>
      </c>
      <c r="C99" s="3" t="n">
        <v>2017</v>
      </c>
      <c r="D99" s="3" t="inlineStr">
        <is>
          <t>Urban</t>
        </is>
      </c>
      <c r="E99" s="3" t="inlineStr">
        <is>
          <t>Deciles</t>
        </is>
      </c>
      <c r="F99" s="3" t="inlineStr">
        <is>
          <t>mean</t>
        </is>
      </c>
      <c r="G99" s="3" t="n">
        <v>8</v>
      </c>
      <c r="H99" s="3" t="n">
        <v>1.532597040872661</v>
      </c>
      <c r="I99" s="3" t="n">
        <v>0.0006902001366605895</v>
      </c>
      <c r="J99" s="3" t="n">
        <v>3.516689989365252</v>
      </c>
      <c r="K99" s="3" t="n">
        <v>5.15883895202653</v>
      </c>
      <c r="L99" s="3" t="n">
        <v>0</v>
      </c>
      <c r="M99" s="3" t="n">
        <v>3.762459271450832</v>
      </c>
      <c r="N99" s="3" t="n">
        <v>0</v>
      </c>
      <c r="O99" s="3" t="n">
        <v>3.929417818624535</v>
      </c>
      <c r="P99" s="3" t="n">
        <v>2.276111896551118e-05</v>
      </c>
      <c r="Q99" s="3" t="n">
        <v>3.315478643515518</v>
      </c>
      <c r="R99" s="3" t="n">
        <v>51.8727817348059</v>
      </c>
      <c r="S99" s="3" t="n">
        <v>4.417270701176272e-05</v>
      </c>
      <c r="T99" s="3" t="n">
        <v>0.6539821515664413</v>
      </c>
      <c r="U99" s="3" t="n">
        <v>4.327791853830504</v>
      </c>
      <c r="V99" s="3" t="n">
        <v>5.224436507946487</v>
      </c>
      <c r="W99" s="3" t="n">
        <v>9.516305044387459e-05</v>
      </c>
      <c r="X99" s="3" t="n">
        <v>0.6648054508428634</v>
      </c>
      <c r="Y99" s="3" t="n">
        <v>0.8123749896338174</v>
      </c>
      <c r="Z99" s="3" t="n">
        <v>0.1381110065076412</v>
      </c>
      <c r="AA99" s="3" t="n">
        <v>0.02623941949153772</v>
      </c>
      <c r="AB99" s="3" t="n">
        <v>1.406724885501867</v>
      </c>
      <c r="AC99" s="3" t="n">
        <v>7.653871648660164</v>
      </c>
      <c r="AD99" s="3" t="n">
        <v>7.809472263552117</v>
      </c>
      <c r="AE99" s="3" t="n">
        <v>0.649497518718396</v>
      </c>
      <c r="AF99" s="3" t="n">
        <v>5.44372524733314</v>
      </c>
      <c r="AG99" s="3" t="n">
        <v>3188.091901494486</v>
      </c>
      <c r="AH99" s="3" t="n">
        <v>7165.457389534701</v>
      </c>
      <c r="AI99" s="3" t="n">
        <v>7203.165613322515</v>
      </c>
      <c r="AJ99" s="3" t="n">
        <v>8959.534586454878</v>
      </c>
      <c r="AK99" s="3" t="n">
        <v>8795.317991951581</v>
      </c>
      <c r="AL99" s="3" t="n">
        <v>9298.580766984944</v>
      </c>
      <c r="AM99" s="3" t="n">
        <v>9538.586753075193</v>
      </c>
      <c r="AN99" s="3" t="n">
        <v>10087.41754046144</v>
      </c>
      <c r="AO99" s="3" t="n">
        <v>10565.52223067405</v>
      </c>
      <c r="AP99" s="3" t="n">
        <v>11484.74830728934</v>
      </c>
      <c r="AQ99" s="3" t="n">
        <v>11767.41487093963</v>
      </c>
      <c r="AR99" s="3" t="n">
        <v>14063.43772484867</v>
      </c>
      <c r="AS99" s="3" t="n">
        <v>13962.12665755139</v>
      </c>
      <c r="AT99" s="3" t="n">
        <v>16275.41306183335</v>
      </c>
      <c r="AU99" s="3" t="n">
        <v>15539.4644248474</v>
      </c>
      <c r="AV99" s="3" t="n">
        <v>18531.70784670694</v>
      </c>
      <c r="AW99" s="3" t="n">
        <v>18239.23155466785</v>
      </c>
      <c r="AX99" s="3" t="n">
        <v>23460.42739894646</v>
      </c>
      <c r="AY99" s="3" t="n">
        <v>23726.32156089085</v>
      </c>
      <c r="AZ99" s="3" t="n">
        <v>65085.64957067763</v>
      </c>
      <c r="BA99" s="3" t="n">
        <v>16170.27675442859</v>
      </c>
      <c r="BB99" s="3" t="n">
        <v>5086177.899528419</v>
      </c>
      <c r="BC99" s="3" t="n">
        <v>109.8006948000316</v>
      </c>
      <c r="BD99" s="3" t="n">
        <v>104.4701720736976</v>
      </c>
      <c r="BE99" s="3" t="n">
        <v>99.24029025916792</v>
      </c>
      <c r="BF99" s="3" t="n">
        <v>74.63252794757535</v>
      </c>
      <c r="BG99" s="3" t="n">
        <v>98.24273695795291</v>
      </c>
      <c r="BH99" s="3" t="n">
        <v>101.7984348749562</v>
      </c>
      <c r="BI99" s="3" t="n">
        <v>111.8900175286287</v>
      </c>
      <c r="BJ99" s="3" t="n">
        <v>100</v>
      </c>
      <c r="BK99" s="3" t="n">
        <v>0</v>
      </c>
      <c r="BL99" s="3" t="n">
        <v>0</v>
      </c>
      <c r="BM99" s="3" t="n">
        <v>0</v>
      </c>
      <c r="BN99" s="3" t="n">
        <v>0</v>
      </c>
      <c r="BO99" s="3" t="n">
        <v>0</v>
      </c>
      <c r="BP99" s="3" t="n">
        <v>0</v>
      </c>
    </row>
    <row r="100">
      <c r="A100" s="3" t="inlineStr">
        <is>
          <t>EGY.distn.bsh.dec.urb.mean.9</t>
        </is>
      </c>
      <c r="B100" s="3" t="inlineStr">
        <is>
          <t>EGY</t>
        </is>
      </c>
      <c r="C100" s="3" t="n">
        <v>2017</v>
      </c>
      <c r="D100" s="3" t="inlineStr">
        <is>
          <t>Urban</t>
        </is>
      </c>
      <c r="E100" s="3" t="inlineStr">
        <is>
          <t>Deciles</t>
        </is>
      </c>
      <c r="F100" s="3" t="inlineStr">
        <is>
          <t>mean</t>
        </is>
      </c>
      <c r="G100" s="3" t="n">
        <v>9</v>
      </c>
      <c r="H100" s="3" t="n">
        <v>1.525701086796876</v>
      </c>
      <c r="I100" s="3" t="n">
        <v>0.0007901590948311167</v>
      </c>
      <c r="J100" s="3" t="n">
        <v>4.001793937492299</v>
      </c>
      <c r="K100" s="3" t="n">
        <v>4.71232379697724</v>
      </c>
      <c r="L100" s="3" t="n">
        <v>0</v>
      </c>
      <c r="M100" s="3" t="n">
        <v>3.407882764997598</v>
      </c>
      <c r="N100" s="3" t="n">
        <v>0</v>
      </c>
      <c r="O100" s="3" t="n">
        <v>3.111730533757314</v>
      </c>
      <c r="P100" s="3" t="n">
        <v>1.144946765685178e-05</v>
      </c>
      <c r="Q100" s="3" t="n">
        <v>3.395065631496123</v>
      </c>
      <c r="R100" s="3" t="n">
        <v>48.90375045953306</v>
      </c>
      <c r="S100" s="3" t="n">
        <v>4.246102115928841e-05</v>
      </c>
      <c r="T100" s="3" t="n">
        <v>0.8851381269176575</v>
      </c>
      <c r="U100" s="3" t="n">
        <v>4.896382127048065</v>
      </c>
      <c r="V100" s="3" t="n">
        <v>5.932094789432771</v>
      </c>
      <c r="W100" s="3" t="n">
        <v>5.841549273350686e-05</v>
      </c>
      <c r="X100" s="3" t="n">
        <v>0.6792537367587077</v>
      </c>
      <c r="Y100" s="3" t="n">
        <v>0.8142971553635064</v>
      </c>
      <c r="Z100" s="3" t="n">
        <v>0.1623018730372033</v>
      </c>
      <c r="AA100" s="3" t="n">
        <v>0.02654157830596322</v>
      </c>
      <c r="AB100" s="3" t="n">
        <v>1.069737940108425</v>
      </c>
      <c r="AC100" s="3" t="n">
        <v>9.073586740752766</v>
      </c>
      <c r="AD100" s="3" t="n">
        <v>8.563572861649023</v>
      </c>
      <c r="AE100" s="3" t="n">
        <v>0.6228843863914955</v>
      </c>
      <c r="AF100" s="3" t="n">
        <v>4.872865590819524</v>
      </c>
      <c r="AG100" s="3" t="n">
        <v>3282.329725234623</v>
      </c>
      <c r="AH100" s="3" t="n">
        <v>7194.045121949504</v>
      </c>
      <c r="AI100" s="3" t="n">
        <v>7632.028778620507</v>
      </c>
      <c r="AJ100" s="3" t="n">
        <v>8947.828698002633</v>
      </c>
      <c r="AK100" s="3" t="n">
        <v>8505.88335730956</v>
      </c>
      <c r="AL100" s="3" t="n">
        <v>10389.20179784977</v>
      </c>
      <c r="AM100" s="3" t="n">
        <v>10004.5617685551</v>
      </c>
      <c r="AN100" s="3" t="n">
        <v>10802.89247557431</v>
      </c>
      <c r="AO100" s="3" t="n">
        <v>11533.84748445972</v>
      </c>
      <c r="AP100" s="3" t="n">
        <v>12487.63675904447</v>
      </c>
      <c r="AQ100" s="3" t="n">
        <v>12100.054155717</v>
      </c>
      <c r="AR100" s="3" t="n">
        <v>13139.74855182032</v>
      </c>
      <c r="AS100" s="3" t="n">
        <v>12871.06333197991</v>
      </c>
      <c r="AT100" s="3" t="n">
        <v>15617.61500187364</v>
      </c>
      <c r="AU100" s="3" t="n">
        <v>16751.22117148066</v>
      </c>
      <c r="AV100" s="3" t="n">
        <v>17401.41618465087</v>
      </c>
      <c r="AW100" s="3" t="n">
        <v>18290.33001306162</v>
      </c>
      <c r="AX100" s="3" t="n">
        <v>21557.0915363974</v>
      </c>
      <c r="AY100" s="3" t="n">
        <v>24581.06941080797</v>
      </c>
      <c r="AZ100" s="3" t="n">
        <v>69153.40520275115</v>
      </c>
      <c r="BA100" s="3" t="n">
        <v>20466.09162619826</v>
      </c>
      <c r="BB100" s="3" t="n">
        <v>4816875.549151202</v>
      </c>
      <c r="BC100" s="3" t="n">
        <v>110.1567572002314</v>
      </c>
      <c r="BD100" s="3" t="n">
        <v>99.21859680834756</v>
      </c>
      <c r="BE100" s="3" t="n">
        <v>109.9148801739095</v>
      </c>
      <c r="BF100" s="3" t="n">
        <v>72.31025928676829</v>
      </c>
      <c r="BG100" s="3" t="n">
        <v>99.7063028853364</v>
      </c>
      <c r="BH100" s="3" t="n">
        <v>106.7979302432796</v>
      </c>
      <c r="BI100" s="3" t="n">
        <v>104.4256939346342</v>
      </c>
      <c r="BJ100" s="3" t="n">
        <v>101.7985440826464</v>
      </c>
      <c r="BK100" s="3" t="n">
        <v>0</v>
      </c>
      <c r="BL100" s="3" t="n">
        <v>0</v>
      </c>
      <c r="BM100" s="3" t="n">
        <v>0</v>
      </c>
      <c r="BN100" s="3" t="n">
        <v>0</v>
      </c>
      <c r="BO100" s="3" t="n">
        <v>0</v>
      </c>
      <c r="BP100" s="3" t="n">
        <v>0</v>
      </c>
    </row>
    <row r="101">
      <c r="A101" s="3" t="inlineStr">
        <is>
          <t>EGY.distn.bsh.dec.urb.mean.10</t>
        </is>
      </c>
      <c r="B101" s="3" t="inlineStr">
        <is>
          <t>EGY</t>
        </is>
      </c>
      <c r="C101" s="3" t="n">
        <v>2017</v>
      </c>
      <c r="D101" s="3" t="inlineStr">
        <is>
          <t>Urban</t>
        </is>
      </c>
      <c r="E101" s="3" t="inlineStr">
        <is>
          <t>Deciles</t>
        </is>
      </c>
      <c r="F101" s="3" t="inlineStr">
        <is>
          <t>mean</t>
        </is>
      </c>
      <c r="G101" s="3" t="n">
        <v>10</v>
      </c>
      <c r="H101" s="3" t="n">
        <v>1.814462380780436</v>
      </c>
      <c r="I101" s="3" t="n">
        <v>0.0001683473335211106</v>
      </c>
      <c r="J101" s="3" t="n">
        <v>3.622610065193862</v>
      </c>
      <c r="K101" s="3" t="n">
        <v>4.40406530896871</v>
      </c>
      <c r="L101" s="3" t="n">
        <v>0</v>
      </c>
      <c r="M101" s="3" t="n">
        <v>3.598121535622743</v>
      </c>
      <c r="N101" s="3" t="n">
        <v>0</v>
      </c>
      <c r="O101" s="3" t="n">
        <v>1.458811000622698</v>
      </c>
      <c r="P101" s="3" t="n">
        <v>0</v>
      </c>
      <c r="Q101" s="3" t="n">
        <v>3.688032890334222</v>
      </c>
      <c r="R101" s="3" t="n">
        <v>45.79037624779301</v>
      </c>
      <c r="S101" s="3" t="n">
        <v>1.101581564126862e-05</v>
      </c>
      <c r="T101" s="3" t="n">
        <v>0.938242929089205</v>
      </c>
      <c r="U101" s="3" t="n">
        <v>6.155809236851525</v>
      </c>
      <c r="V101" s="3" t="n">
        <v>6.570738775935115</v>
      </c>
      <c r="W101" s="3" t="n">
        <v>0.0001226204738901597</v>
      </c>
      <c r="X101" s="3" t="n">
        <v>0.5101655763607087</v>
      </c>
      <c r="Y101" s="3" t="n">
        <v>0.8497180735606183</v>
      </c>
      <c r="Z101" s="3" t="n">
        <v>0.1716202493077057</v>
      </c>
      <c r="AA101" s="3" t="n">
        <v>0.03849670867135808</v>
      </c>
      <c r="AB101" s="3" t="n">
        <v>0.8940440446665473</v>
      </c>
      <c r="AC101" s="3" t="n">
        <v>10.3261786652089</v>
      </c>
      <c r="AD101" s="3" t="n">
        <v>7.97314257556411</v>
      </c>
      <c r="AE101" s="3" t="n">
        <v>0.9819556324226685</v>
      </c>
      <c r="AF101" s="3" t="n">
        <v>4.464739297593931</v>
      </c>
      <c r="AG101" s="3" t="n">
        <v>2961.288234062465</v>
      </c>
      <c r="AH101" s="3" t="n">
        <v>7349.835037511338</v>
      </c>
      <c r="AI101" s="3" t="n">
        <v>7450.464365444781</v>
      </c>
      <c r="AJ101" s="3" t="n">
        <v>8498.691868027294</v>
      </c>
      <c r="AK101" s="3" t="n">
        <v>7939.378844968765</v>
      </c>
      <c r="AL101" s="3" t="n">
        <v>10328.90231541585</v>
      </c>
      <c r="AM101" s="3" t="n">
        <v>8975.919694492854</v>
      </c>
      <c r="AN101" s="3" t="n">
        <v>10194.29858282245</v>
      </c>
      <c r="AO101" s="3" t="n">
        <v>11493.5034574752</v>
      </c>
      <c r="AP101" s="3" t="n">
        <v>11599.87730494741</v>
      </c>
      <c r="AQ101" s="3" t="n">
        <v>11998.13651579505</v>
      </c>
      <c r="AR101" s="3" t="n">
        <v>13418.289545879</v>
      </c>
      <c r="AS101" s="3" t="n">
        <v>13680.66663748695</v>
      </c>
      <c r="AT101" s="3" t="n">
        <v>14833.14589433525</v>
      </c>
      <c r="AU101" s="3" t="n">
        <v>16028.82353116573</v>
      </c>
      <c r="AV101" s="3" t="n">
        <v>18807.19859399144</v>
      </c>
      <c r="AW101" s="3" t="n">
        <v>18116.50746568761</v>
      </c>
      <c r="AX101" s="3" t="n">
        <v>22855.8487453777</v>
      </c>
      <c r="AY101" s="3" t="n">
        <v>24736.23713904522</v>
      </c>
      <c r="AZ101" s="3" t="n">
        <v>64831.35326871424</v>
      </c>
      <c r="BA101" s="3" t="n">
        <v>29648.67802255559</v>
      </c>
      <c r="BB101" s="3" t="n">
        <v>5155854.65385274</v>
      </c>
      <c r="BC101" s="3" t="n">
        <v>108.3665211781242</v>
      </c>
      <c r="BD101" s="3" t="n">
        <v>99.10951766597481</v>
      </c>
      <c r="BE101" s="3" t="n">
        <v>111.0553993396804</v>
      </c>
      <c r="BF101" s="3" t="n">
        <v>66.81798608558697</v>
      </c>
      <c r="BG101" s="3" t="n">
        <v>101.5969308721721</v>
      </c>
      <c r="BH101" s="3" t="n">
        <v>109.3754226834644</v>
      </c>
      <c r="BI101" s="3" t="n">
        <v>100.9373129134795</v>
      </c>
      <c r="BJ101" s="3" t="n">
        <v>100</v>
      </c>
      <c r="BK101" s="3" t="n">
        <v>0</v>
      </c>
      <c r="BL101" s="3" t="n">
        <v>0</v>
      </c>
      <c r="BM101" s="3" t="n">
        <v>0</v>
      </c>
      <c r="BN101" s="3" t="n">
        <v>0</v>
      </c>
      <c r="BO101" s="3" t="n">
        <v>0</v>
      </c>
      <c r="BP101" s="3" t="n">
        <v>0</v>
      </c>
    </row>
    <row r="102">
      <c r="A102" s="3" t="inlineStr">
        <is>
          <t>EGY.distn.bsh.bkt.urb.mean.9999</t>
        </is>
      </c>
      <c r="B102" s="3" t="inlineStr">
        <is>
          <t>EGY</t>
        </is>
      </c>
      <c r="C102" s="3" t="n">
        <v>2017</v>
      </c>
      <c r="D102" s="3" t="inlineStr">
        <is>
          <t>Urban</t>
        </is>
      </c>
      <c r="E102" s="3" t="inlineStr">
        <is>
          <t>Basket</t>
        </is>
      </c>
      <c r="F102" s="3" t="inlineStr">
        <is>
          <t>mean</t>
        </is>
      </c>
      <c r="G102" s="3" t="n">
        <v>9999</v>
      </c>
      <c r="H102" s="3" t="n">
        <v>1.616531983961096</v>
      </c>
      <c r="I102" s="3" t="n">
        <v>0.001296788606991301</v>
      </c>
      <c r="J102" s="3" t="n">
        <v>3.50512555898268</v>
      </c>
      <c r="K102" s="3" t="n">
        <v>5.129490144439544</v>
      </c>
      <c r="L102" s="3" t="n">
        <v>0</v>
      </c>
      <c r="M102" s="3" t="n">
        <v>3.34487991749259</v>
      </c>
      <c r="N102" s="3" t="n">
        <v>0</v>
      </c>
      <c r="O102" s="3" t="n">
        <v>4.176010141939908</v>
      </c>
      <c r="P102" s="3" t="n">
        <v>1.050577545687243e-05</v>
      </c>
      <c r="Q102" s="3" t="n">
        <v>3.666418500573745</v>
      </c>
      <c r="R102" s="3" t="n">
        <v>52.06411321897684</v>
      </c>
      <c r="S102" s="3" t="n">
        <v>6.009230577329918e-05</v>
      </c>
      <c r="T102" s="3" t="n">
        <v>0.6106017671972369</v>
      </c>
      <c r="U102" s="3" t="n">
        <v>3.708616735580621</v>
      </c>
      <c r="V102" s="3" t="n">
        <v>6.184989881441936</v>
      </c>
      <c r="W102" s="3" t="n">
        <v>5.321617435078656e-05</v>
      </c>
      <c r="X102" s="3" t="n">
        <v>0.9468639471765407</v>
      </c>
      <c r="Y102" s="3" t="n">
        <v>0.7696822594638876</v>
      </c>
      <c r="Z102" s="3" t="n">
        <v>0.1205009461164062</v>
      </c>
      <c r="AA102" s="3" t="n">
        <v>0.02239024384106416</v>
      </c>
      <c r="AB102" s="3" t="n">
        <v>1.952908481988179</v>
      </c>
      <c r="AC102" s="3" t="n">
        <v>6.721801019753862</v>
      </c>
      <c r="AD102" s="3" t="n">
        <v>7.602593254063746</v>
      </c>
      <c r="AE102" s="3" t="n">
        <v>0.5558793991676326</v>
      </c>
      <c r="AF102" s="3" t="n">
        <v>5.345932721715458</v>
      </c>
      <c r="AG102" s="3" t="n">
        <v>3303.056784459858</v>
      </c>
      <c r="AH102" s="3" t="n">
        <v>6914.061108838398</v>
      </c>
      <c r="AI102" s="3" t="n">
        <v>7500.09638670295</v>
      </c>
      <c r="AJ102" s="3" t="n">
        <v>8176.296821258574</v>
      </c>
      <c r="AK102" s="3" t="n">
        <v>8082.390912003963</v>
      </c>
      <c r="AL102" s="3" t="n">
        <v>9634.377255924135</v>
      </c>
      <c r="AM102" s="3" t="n">
        <v>9940.877723371517</v>
      </c>
      <c r="AN102" s="3" t="n">
        <v>11055.70286992031</v>
      </c>
      <c r="AO102" s="3" t="n">
        <v>11385.56747261146</v>
      </c>
      <c r="AP102" s="3" t="n">
        <v>12496.69373182923</v>
      </c>
      <c r="AQ102" s="3" t="n">
        <v>11713.89062554833</v>
      </c>
      <c r="AR102" s="3" t="n">
        <v>13976.52098455292</v>
      </c>
      <c r="AS102" s="3" t="n">
        <v>14672.38235974089</v>
      </c>
      <c r="AT102" s="3" t="n">
        <v>16270.65273864596</v>
      </c>
      <c r="AU102" s="3" t="n">
        <v>16051.59394074786</v>
      </c>
      <c r="AV102" s="3" t="n">
        <v>17070.66113050323</v>
      </c>
      <c r="AW102" s="3" t="n">
        <v>19043.64920727939</v>
      </c>
      <c r="AX102" s="3" t="n">
        <v>23955.18288369919</v>
      </c>
      <c r="AY102" s="3" t="n">
        <v>23038.45477303847</v>
      </c>
      <c r="AZ102" s="3" t="n">
        <v>68615.248590905</v>
      </c>
      <c r="BA102" s="3" t="n">
        <v>13464.85369783162</v>
      </c>
      <c r="BB102" s="3" t="n">
        <v>45332695.43971653</v>
      </c>
      <c r="BC102" s="3" t="n">
        <v>103.2755981636229</v>
      </c>
      <c r="BD102" s="3" t="n">
        <v>114.286567249594</v>
      </c>
      <c r="BE102" s="3" t="n">
        <v>104.651601263841</v>
      </c>
      <c r="BF102" s="3" t="n">
        <v>71.16984242439106</v>
      </c>
      <c r="BG102" s="3" t="n">
        <v>103.5409811388122</v>
      </c>
      <c r="BH102" s="3" t="n">
        <v>104.9394689345304</v>
      </c>
      <c r="BI102" s="3" t="n">
        <v>107.7957461492504</v>
      </c>
      <c r="BJ102" s="3" t="n">
        <v>99.14565121943185</v>
      </c>
      <c r="BK102" s="3" t="n">
        <v>0.06475913504424334</v>
      </c>
      <c r="BL102" s="3" t="n">
        <v>0.9402154434068776</v>
      </c>
      <c r="BM102" s="3" t="n">
        <v>12.33560448079956</v>
      </c>
      <c r="BN102" s="3" t="n">
        <v>0</v>
      </c>
      <c r="BO102" s="3" t="n">
        <v>0</v>
      </c>
      <c r="BP102" s="3" t="n">
        <v>0</v>
      </c>
    </row>
    <row r="103">
      <c r="A103" s="3" t="inlineStr">
        <is>
          <t>EGY.distn.bsh.dec.urb.median.1</t>
        </is>
      </c>
      <c r="B103" s="3" t="inlineStr">
        <is>
          <t>EGY</t>
        </is>
      </c>
      <c r="C103" s="3" t="n">
        <v>2017</v>
      </c>
      <c r="D103" s="3" t="inlineStr">
        <is>
          <t>Urban</t>
        </is>
      </c>
      <c r="E103" s="3" t="inlineStr">
        <is>
          <t>Deciles</t>
        </is>
      </c>
      <c r="F103" s="3" t="inlineStr">
        <is>
          <t>median</t>
        </is>
      </c>
      <c r="G103" s="3" t="n">
        <v>1</v>
      </c>
      <c r="H103" s="3" t="n">
        <v>0.9377688300290243</v>
      </c>
      <c r="I103" s="3" t="n">
        <v>0</v>
      </c>
      <c r="J103" s="3" t="n">
        <v>3.623277665528713</v>
      </c>
      <c r="K103" s="3" t="n">
        <v>4.885631834327412</v>
      </c>
      <c r="L103" s="3" t="n">
        <v>0</v>
      </c>
      <c r="M103" s="3" t="n">
        <v>2.230107402563002</v>
      </c>
      <c r="N103" s="3" t="n">
        <v>0</v>
      </c>
      <c r="O103" s="3" t="n">
        <v>2.14007773403138</v>
      </c>
      <c r="P103" s="3" t="n">
        <v>0</v>
      </c>
      <c r="Q103" s="3" t="n">
        <v>3.137002460902138</v>
      </c>
      <c r="R103" s="3" t="n">
        <v>54.75937458770916</v>
      </c>
      <c r="S103" s="3" t="n">
        <v>0</v>
      </c>
      <c r="T103" s="3" t="n">
        <v>0</v>
      </c>
      <c r="U103" s="3" t="n">
        <v>1.185533618142648</v>
      </c>
      <c r="V103" s="3" t="n">
        <v>4.384947760572637</v>
      </c>
      <c r="W103" s="3" t="n">
        <v>0</v>
      </c>
      <c r="X103" s="3" t="n">
        <v>1.849592176534645</v>
      </c>
      <c r="Y103" s="3" t="n">
        <v>0</v>
      </c>
      <c r="Z103" s="3" t="n">
        <v>0</v>
      </c>
      <c r="AA103" s="3" t="n">
        <v>0</v>
      </c>
      <c r="AB103" s="3" t="n">
        <v>1.932721611815014</v>
      </c>
      <c r="AC103" s="3" t="n">
        <v>3.407145785044932</v>
      </c>
      <c r="AD103" s="3" t="n">
        <v>7.848318232604409</v>
      </c>
      <c r="AE103" s="3" t="n">
        <v>0</v>
      </c>
      <c r="AF103" s="3" t="n">
        <v>3.993413128365753</v>
      </c>
      <c r="AG103" s="3" t="n">
        <v>3200.633448283144</v>
      </c>
      <c r="AH103" s="3" t="n">
        <v>6849.214195426696</v>
      </c>
      <c r="AI103" s="3" t="n">
        <v>6822.084833686852</v>
      </c>
      <c r="AJ103" s="3" t="n">
        <v>8152.721622338751</v>
      </c>
      <c r="AK103" s="3" t="n">
        <v>8149.846310236561</v>
      </c>
      <c r="AL103" s="3" t="n">
        <v>10013.902837914</v>
      </c>
      <c r="AM103" s="3" t="n">
        <v>10240.72658535323</v>
      </c>
      <c r="AN103" s="3" t="n">
        <v>11411.7432425741</v>
      </c>
      <c r="AO103" s="3" t="n">
        <v>10601.31425328386</v>
      </c>
      <c r="AP103" s="3" t="n">
        <v>11281.89529718076</v>
      </c>
      <c r="AQ103" s="3" t="n">
        <v>11234.71126804035</v>
      </c>
      <c r="AR103" s="3" t="n">
        <v>13504.70146254258</v>
      </c>
      <c r="AS103" s="3" t="n">
        <v>13748.74109311351</v>
      </c>
      <c r="AT103" s="3" t="n">
        <v>16339.86434615439</v>
      </c>
      <c r="AU103" s="3" t="n">
        <v>16217.51836636958</v>
      </c>
      <c r="AV103" s="3" t="n">
        <v>17029.67227202711</v>
      </c>
      <c r="AW103" s="3" t="n">
        <v>19171.0036463197</v>
      </c>
      <c r="AX103" s="3" t="n">
        <v>24063.19705720575</v>
      </c>
      <c r="AY103" s="3" t="n">
        <v>24700.10759248939</v>
      </c>
      <c r="AZ103" s="3" t="n">
        <v>63096.62842263588</v>
      </c>
      <c r="BA103" s="3" t="n">
        <v>5483.120712953306</v>
      </c>
      <c r="BB103" s="3" t="n">
        <v>4888303.497385175</v>
      </c>
      <c r="BC103" s="3" t="n">
        <v>0</v>
      </c>
      <c r="BD103" s="3" t="n">
        <v>0</v>
      </c>
      <c r="BE103" s="3" t="n">
        <v>0</v>
      </c>
      <c r="BF103" s="3" t="n">
        <v>0</v>
      </c>
      <c r="BG103" s="3" t="n">
        <v>0</v>
      </c>
      <c r="BH103" s="3" t="n">
        <v>0</v>
      </c>
      <c r="BI103" s="3" t="n">
        <v>0</v>
      </c>
      <c r="BJ103" s="3" t="n">
        <v>0</v>
      </c>
      <c r="BK103" s="3" t="n">
        <v>0.0537582416503292</v>
      </c>
      <c r="BL103" s="3" t="n">
        <v>0.8462996837687129</v>
      </c>
      <c r="BM103" s="3" t="n">
        <v>4.939104271599406</v>
      </c>
      <c r="BN103" s="3" t="n">
        <v>0</v>
      </c>
      <c r="BO103" s="3" t="n">
        <v>0</v>
      </c>
      <c r="BP103" s="3" t="n">
        <v>0</v>
      </c>
    </row>
    <row r="104">
      <c r="A104" s="3" t="inlineStr">
        <is>
          <t>EGY.distn.bsh.dec.urb.median.2</t>
        </is>
      </c>
      <c r="B104" s="3" t="inlineStr">
        <is>
          <t>EGY</t>
        </is>
      </c>
      <c r="C104" s="3" t="n">
        <v>2017</v>
      </c>
      <c r="D104" s="3" t="inlineStr">
        <is>
          <t>Urban</t>
        </is>
      </c>
      <c r="E104" s="3" t="inlineStr">
        <is>
          <t>Deciles</t>
        </is>
      </c>
      <c r="F104" s="3" t="inlineStr">
        <is>
          <t>median</t>
        </is>
      </c>
      <c r="G104" s="3" t="n">
        <v>2</v>
      </c>
      <c r="H104" s="3" t="n">
        <v>1.04435582720085</v>
      </c>
      <c r="I104" s="3" t="n">
        <v>0</v>
      </c>
      <c r="J104" s="3" t="n">
        <v>3.781019206037327</v>
      </c>
      <c r="K104" s="3" t="n">
        <v>4.690774159496685</v>
      </c>
      <c r="L104" s="3" t="n">
        <v>0</v>
      </c>
      <c r="M104" s="3" t="n">
        <v>2.423339839661082</v>
      </c>
      <c r="N104" s="3" t="n">
        <v>0</v>
      </c>
      <c r="O104" s="3" t="n">
        <v>2.615177533751215</v>
      </c>
      <c r="P104" s="3" t="n">
        <v>0</v>
      </c>
      <c r="Q104" s="3" t="n">
        <v>2.97747955200596</v>
      </c>
      <c r="R104" s="3" t="n">
        <v>55.74031401346232</v>
      </c>
      <c r="S104" s="3" t="n">
        <v>0</v>
      </c>
      <c r="T104" s="3" t="n">
        <v>0</v>
      </c>
      <c r="U104" s="3" t="n">
        <v>1.701609111475476</v>
      </c>
      <c r="V104" s="3" t="n">
        <v>3.668518591920011</v>
      </c>
      <c r="W104" s="3" t="n">
        <v>0</v>
      </c>
      <c r="X104" s="3" t="n">
        <v>1.131331277766552</v>
      </c>
      <c r="Y104" s="3" t="n">
        <v>0</v>
      </c>
      <c r="Z104" s="3" t="n">
        <v>0</v>
      </c>
      <c r="AA104" s="3" t="n">
        <v>0</v>
      </c>
      <c r="AB104" s="3" t="n">
        <v>1.976443239779793</v>
      </c>
      <c r="AC104" s="3" t="n">
        <v>3.269532349336777</v>
      </c>
      <c r="AD104" s="3" t="n">
        <v>6.54736908969617</v>
      </c>
      <c r="AE104" s="3" t="n">
        <v>0</v>
      </c>
      <c r="AF104" s="3" t="n">
        <v>4.706100000021872</v>
      </c>
      <c r="AG104" s="3" t="n">
        <v>2969.469266041179</v>
      </c>
      <c r="AH104" s="3" t="n">
        <v>6713.761824833917</v>
      </c>
      <c r="AI104" s="3" t="n">
        <v>7590.325918924516</v>
      </c>
      <c r="AJ104" s="3" t="n">
        <v>8968.765214492258</v>
      </c>
      <c r="AK104" s="3" t="n">
        <v>8852.430646310358</v>
      </c>
      <c r="AL104" s="3" t="n">
        <v>9791.889630715463</v>
      </c>
      <c r="AM104" s="3" t="n">
        <v>9368.250803070241</v>
      </c>
      <c r="AN104" s="3" t="n">
        <v>10325.4887107137</v>
      </c>
      <c r="AO104" s="3" t="n">
        <v>10097.35977610459</v>
      </c>
      <c r="AP104" s="3" t="n">
        <v>11829.78602822982</v>
      </c>
      <c r="AQ104" s="3" t="n">
        <v>11774.63192730174</v>
      </c>
      <c r="AR104" s="3" t="n">
        <v>13110.41139683974</v>
      </c>
      <c r="AS104" s="3" t="n">
        <v>14432.2840629655</v>
      </c>
      <c r="AT104" s="3" t="n">
        <v>15332.45627853744</v>
      </c>
      <c r="AU104" s="3" t="n">
        <v>16777.52730819812</v>
      </c>
      <c r="AV104" s="3" t="n">
        <v>18880.90026505053</v>
      </c>
      <c r="AW104" s="3" t="n">
        <v>18991.39218719675</v>
      </c>
      <c r="AX104" s="3" t="n">
        <v>23652.94450283041</v>
      </c>
      <c r="AY104" s="3" t="n">
        <v>23480.16679381862</v>
      </c>
      <c r="AZ104" s="3" t="n">
        <v>62813.81461516273</v>
      </c>
      <c r="BA104" s="3" t="n">
        <v>8355.646183170831</v>
      </c>
      <c r="BB104" s="3" t="n">
        <v>4721403.131429086</v>
      </c>
      <c r="BC104" s="3" t="n">
        <v>0</v>
      </c>
      <c r="BD104" s="3" t="n">
        <v>0</v>
      </c>
      <c r="BE104" s="3" t="n">
        <v>0</v>
      </c>
      <c r="BF104" s="3" t="n">
        <v>0</v>
      </c>
      <c r="BG104" s="3" t="n">
        <v>0</v>
      </c>
      <c r="BH104" s="3" t="n">
        <v>0</v>
      </c>
      <c r="BI104" s="3" t="n">
        <v>0</v>
      </c>
      <c r="BJ104" s="3" t="n">
        <v>0</v>
      </c>
      <c r="BK104" s="3" t="n">
        <v>0.008752534072980617</v>
      </c>
      <c r="BL104" s="3" t="n">
        <v>0.0164387731709831</v>
      </c>
      <c r="BM104" s="3" t="n">
        <v>5.068501282073416</v>
      </c>
      <c r="BN104" s="3" t="n">
        <v>0</v>
      </c>
      <c r="BO104" s="3" t="n">
        <v>0</v>
      </c>
      <c r="BP104" s="3" t="n">
        <v>0</v>
      </c>
    </row>
    <row r="105">
      <c r="A105" s="3" t="inlineStr">
        <is>
          <t>EGY.distn.bsh.dec.urb.median.3</t>
        </is>
      </c>
      <c r="B105" s="3" t="inlineStr">
        <is>
          <t>EGY</t>
        </is>
      </c>
      <c r="C105" s="3" t="n">
        <v>2017</v>
      </c>
      <c r="D105" s="3" t="inlineStr">
        <is>
          <t>Urban</t>
        </is>
      </c>
      <c r="E105" s="3" t="inlineStr">
        <is>
          <t>Deciles</t>
        </is>
      </c>
      <c r="F105" s="3" t="inlineStr">
        <is>
          <t>median</t>
        </is>
      </c>
      <c r="G105" s="3" t="n">
        <v>3</v>
      </c>
      <c r="H105" s="3" t="n">
        <v>1.154239119309041</v>
      </c>
      <c r="I105" s="3" t="n">
        <v>0</v>
      </c>
      <c r="J105" s="3" t="n">
        <v>3.723034473533169</v>
      </c>
      <c r="K105" s="3" t="n">
        <v>5.766428137984581</v>
      </c>
      <c r="L105" s="3" t="n">
        <v>0</v>
      </c>
      <c r="M105" s="3" t="n">
        <v>2.592621184021349</v>
      </c>
      <c r="N105" s="3" t="n">
        <v>0</v>
      </c>
      <c r="O105" s="3" t="n">
        <v>2.567302079747271</v>
      </c>
      <c r="P105" s="3" t="n">
        <v>0</v>
      </c>
      <c r="Q105" s="3" t="n">
        <v>2.98706597966688</v>
      </c>
      <c r="R105" s="3" t="n">
        <v>51.32317071977239</v>
      </c>
      <c r="S105" s="3" t="n">
        <v>0</v>
      </c>
      <c r="T105" s="3" t="n">
        <v>0</v>
      </c>
      <c r="U105" s="3" t="n">
        <v>1.796227848403493</v>
      </c>
      <c r="V105" s="3" t="n">
        <v>3.315935272439682</v>
      </c>
      <c r="W105" s="3" t="n">
        <v>0</v>
      </c>
      <c r="X105" s="3" t="n">
        <v>0.9269700520693536</v>
      </c>
      <c r="Y105" s="3" t="n">
        <v>0.4364111198080227</v>
      </c>
      <c r="Z105" s="3" t="n">
        <v>0</v>
      </c>
      <c r="AA105" s="3" t="n">
        <v>0</v>
      </c>
      <c r="AB105" s="3" t="n">
        <v>1.770876478773422</v>
      </c>
      <c r="AC105" s="3" t="n">
        <v>3.168110772057152</v>
      </c>
      <c r="AD105" s="3" t="n">
        <v>6.567175915566351</v>
      </c>
      <c r="AE105" s="3" t="n">
        <v>0</v>
      </c>
      <c r="AF105" s="3" t="n">
        <v>4.201292091738882</v>
      </c>
      <c r="AG105" s="3" t="n">
        <v>3046.17786467131</v>
      </c>
      <c r="AH105" s="3" t="n">
        <v>7195.075924677774</v>
      </c>
      <c r="AI105" s="3" t="n">
        <v>6980.148908464393</v>
      </c>
      <c r="AJ105" s="3" t="n">
        <v>8604.767660135358</v>
      </c>
      <c r="AK105" s="3" t="n">
        <v>8232.478883982005</v>
      </c>
      <c r="AL105" s="3" t="n">
        <v>9951.189502106163</v>
      </c>
      <c r="AM105" s="3" t="n">
        <v>9592.027297212222</v>
      </c>
      <c r="AN105" s="3" t="n">
        <v>11166.56595544474</v>
      </c>
      <c r="AO105" s="3" t="n">
        <v>11170.49322206166</v>
      </c>
      <c r="AP105" s="3" t="n">
        <v>12177.27981730671</v>
      </c>
      <c r="AQ105" s="3" t="n">
        <v>12887.38028808066</v>
      </c>
      <c r="AR105" s="3" t="n">
        <v>13018.77290799873</v>
      </c>
      <c r="AS105" s="3" t="n">
        <v>12744.91514749183</v>
      </c>
      <c r="AT105" s="3" t="n">
        <v>16251.36042177787</v>
      </c>
      <c r="AU105" s="3" t="n">
        <v>16475.67735702228</v>
      </c>
      <c r="AV105" s="3" t="n">
        <v>18967.1274130203</v>
      </c>
      <c r="AW105" s="3" t="n">
        <v>18055.1618969971</v>
      </c>
      <c r="AX105" s="3" t="n">
        <v>23388.47504988202</v>
      </c>
      <c r="AY105" s="3" t="n">
        <v>24289.74457347913</v>
      </c>
      <c r="AZ105" s="3" t="n">
        <v>68130.66243005599</v>
      </c>
      <c r="BA105" s="3" t="n">
        <v>8430.627239203244</v>
      </c>
      <c r="BB105" s="3" t="n">
        <v>5045151.797887708</v>
      </c>
      <c r="BC105" s="3" t="n">
        <v>0</v>
      </c>
      <c r="BD105" s="3" t="n">
        <v>0</v>
      </c>
      <c r="BE105" s="3" t="n">
        <v>0</v>
      </c>
      <c r="BF105" s="3" t="n">
        <v>0</v>
      </c>
      <c r="BG105" s="3" t="n">
        <v>0</v>
      </c>
      <c r="BH105" s="3" t="n">
        <v>0</v>
      </c>
      <c r="BI105" s="3" t="n">
        <v>0</v>
      </c>
      <c r="BJ105" s="3" t="n">
        <v>0</v>
      </c>
      <c r="BK105" s="3" t="n">
        <v>0</v>
      </c>
      <c r="BL105" s="3" t="n">
        <v>0</v>
      </c>
      <c r="BM105" s="3" t="n">
        <v>2.413003059226762</v>
      </c>
      <c r="BN105" s="3" t="n">
        <v>0</v>
      </c>
      <c r="BO105" s="3" t="n">
        <v>0</v>
      </c>
      <c r="BP105" s="3" t="n">
        <v>0</v>
      </c>
    </row>
    <row r="106">
      <c r="A106" s="3" t="inlineStr">
        <is>
          <t>EGY.distn.bsh.dec.urb.median.4</t>
        </is>
      </c>
      <c r="B106" s="3" t="inlineStr">
        <is>
          <t>EGY</t>
        </is>
      </c>
      <c r="C106" s="3" t="n">
        <v>2017</v>
      </c>
      <c r="D106" s="3" t="inlineStr">
        <is>
          <t>Urban</t>
        </is>
      </c>
      <c r="E106" s="3" t="inlineStr">
        <is>
          <t>Deciles</t>
        </is>
      </c>
      <c r="F106" s="3" t="inlineStr">
        <is>
          <t>median</t>
        </is>
      </c>
      <c r="G106" s="3" t="n">
        <v>4</v>
      </c>
      <c r="H106" s="3" t="n">
        <v>1.047006731520806</v>
      </c>
      <c r="I106" s="3" t="n">
        <v>0</v>
      </c>
      <c r="J106" s="3" t="n">
        <v>3.637958531178313</v>
      </c>
      <c r="K106" s="3" t="n">
        <v>5.389813366905698</v>
      </c>
      <c r="L106" s="3" t="n">
        <v>0</v>
      </c>
      <c r="M106" s="3" t="n">
        <v>2.854586790855235</v>
      </c>
      <c r="N106" s="3" t="n">
        <v>0</v>
      </c>
      <c r="O106" s="3" t="n">
        <v>2.490369229865156</v>
      </c>
      <c r="P106" s="3" t="n">
        <v>0</v>
      </c>
      <c r="Q106" s="3" t="n">
        <v>3.132812869145421</v>
      </c>
      <c r="R106" s="3" t="n">
        <v>56.95195604864511</v>
      </c>
      <c r="S106" s="3" t="n">
        <v>0</v>
      </c>
      <c r="T106" s="3" t="n">
        <v>0</v>
      </c>
      <c r="U106" s="3" t="n">
        <v>2.051515558596269</v>
      </c>
      <c r="V106" s="3" t="n">
        <v>3.33477090852051</v>
      </c>
      <c r="W106" s="3" t="n">
        <v>0</v>
      </c>
      <c r="X106" s="3" t="n">
        <v>0</v>
      </c>
      <c r="Y106" s="3" t="n">
        <v>0.5025822201673994</v>
      </c>
      <c r="Z106" s="3" t="n">
        <v>0</v>
      </c>
      <c r="AA106" s="3" t="n">
        <v>0</v>
      </c>
      <c r="AB106" s="3" t="n">
        <v>1.709719083873896</v>
      </c>
      <c r="AC106" s="3" t="n">
        <v>3.644651144817041</v>
      </c>
      <c r="AD106" s="3" t="n">
        <v>6.805961232617658</v>
      </c>
      <c r="AE106" s="3" t="n">
        <v>0</v>
      </c>
      <c r="AF106" s="3" t="n">
        <v>4.567550700374055</v>
      </c>
      <c r="AG106" s="3" t="n">
        <v>3226.904090378365</v>
      </c>
      <c r="AH106" s="3" t="n">
        <v>7145.60033110008</v>
      </c>
      <c r="AI106" s="3" t="n">
        <v>6956.364852466615</v>
      </c>
      <c r="AJ106" s="3" t="n">
        <v>8048.086536240005</v>
      </c>
      <c r="AK106" s="3" t="n">
        <v>8617.367576653187</v>
      </c>
      <c r="AL106" s="3" t="n">
        <v>9209.171148476185</v>
      </c>
      <c r="AM106" s="3" t="n">
        <v>9968.390989162011</v>
      </c>
      <c r="AN106" s="3" t="n">
        <v>11183.73717685274</v>
      </c>
      <c r="AO106" s="3" t="n">
        <v>10764.98629782779</v>
      </c>
      <c r="AP106" s="3" t="n">
        <v>11222.79228285321</v>
      </c>
      <c r="AQ106" s="3" t="n">
        <v>12880.04524415934</v>
      </c>
      <c r="AR106" s="3" t="n">
        <v>14180.44977429001</v>
      </c>
      <c r="AS106" s="3" t="n">
        <v>12976.22031325508</v>
      </c>
      <c r="AT106" s="3" t="n">
        <v>16401.7453416073</v>
      </c>
      <c r="AU106" s="3" t="n">
        <v>15850.44054148158</v>
      </c>
      <c r="AV106" s="3" t="n">
        <v>19275.82289450234</v>
      </c>
      <c r="AW106" s="3" t="n">
        <v>18721.99086135904</v>
      </c>
      <c r="AX106" s="3" t="n">
        <v>22762.07095814856</v>
      </c>
      <c r="AY106" s="3" t="n">
        <v>24564.59567069327</v>
      </c>
      <c r="AZ106" s="3" t="n">
        <v>66807.45297302106</v>
      </c>
      <c r="BA106" s="3" t="n">
        <v>10684.71962114231</v>
      </c>
      <c r="BB106" s="3" t="n">
        <v>4523878.248847989</v>
      </c>
      <c r="BC106" s="3" t="n">
        <v>0</v>
      </c>
      <c r="BD106" s="3" t="n">
        <v>0</v>
      </c>
      <c r="BE106" s="3" t="n">
        <v>0</v>
      </c>
      <c r="BF106" s="3" t="n">
        <v>0</v>
      </c>
      <c r="BG106" s="3" t="n">
        <v>0</v>
      </c>
      <c r="BH106" s="3" t="n">
        <v>0</v>
      </c>
      <c r="BI106" s="3" t="n">
        <v>0</v>
      </c>
      <c r="BJ106" s="3" t="n">
        <v>0</v>
      </c>
      <c r="BK106" s="3" t="n">
        <v>0</v>
      </c>
      <c r="BL106" s="3" t="n">
        <v>0</v>
      </c>
      <c r="BM106" s="3" t="n">
        <v>0.4897543117697883</v>
      </c>
      <c r="BN106" s="3" t="n">
        <v>0</v>
      </c>
      <c r="BO106" s="3" t="n">
        <v>0</v>
      </c>
      <c r="BP106" s="3" t="n">
        <v>0</v>
      </c>
    </row>
    <row r="107">
      <c r="A107" s="3" t="inlineStr">
        <is>
          <t>EGY.distn.bsh.dec.urb.median.5</t>
        </is>
      </c>
      <c r="B107" s="3" t="inlineStr">
        <is>
          <t>EGY</t>
        </is>
      </c>
      <c r="C107" s="3" t="n">
        <v>2017</v>
      </c>
      <c r="D107" s="3" t="inlineStr">
        <is>
          <t>Urban</t>
        </is>
      </c>
      <c r="E107" s="3" t="inlineStr">
        <is>
          <t>Deciles</t>
        </is>
      </c>
      <c r="F107" s="3" t="inlineStr">
        <is>
          <t>median</t>
        </is>
      </c>
      <c r="G107" s="3" t="n">
        <v>5</v>
      </c>
      <c r="H107" s="3" t="n">
        <v>1.013981725359556</v>
      </c>
      <c r="I107" s="3" t="n">
        <v>0</v>
      </c>
      <c r="J107" s="3" t="n">
        <v>4.033456471228621</v>
      </c>
      <c r="K107" s="3" t="n">
        <v>5.234344424510177</v>
      </c>
      <c r="L107" s="3" t="n">
        <v>0</v>
      </c>
      <c r="M107" s="3" t="n">
        <v>3.03898311211727</v>
      </c>
      <c r="N107" s="3" t="n">
        <v>0</v>
      </c>
      <c r="O107" s="3" t="n">
        <v>1.736226023604935</v>
      </c>
      <c r="P107" s="3" t="n">
        <v>0</v>
      </c>
      <c r="Q107" s="3" t="n">
        <v>3.074614347536409</v>
      </c>
      <c r="R107" s="3" t="n">
        <v>51.62828275161414</v>
      </c>
      <c r="S107" s="3" t="n">
        <v>0</v>
      </c>
      <c r="T107" s="3" t="n">
        <v>0</v>
      </c>
      <c r="U107" s="3" t="n">
        <v>2.021576119002613</v>
      </c>
      <c r="V107" s="3" t="n">
        <v>3.436199941273937</v>
      </c>
      <c r="W107" s="3" t="n">
        <v>0</v>
      </c>
      <c r="X107" s="3" t="n">
        <v>0</v>
      </c>
      <c r="Y107" s="3" t="n">
        <v>0.6195888292090533</v>
      </c>
      <c r="Z107" s="3" t="n">
        <v>0</v>
      </c>
      <c r="AA107" s="3" t="n">
        <v>0</v>
      </c>
      <c r="AB107" s="3" t="n">
        <v>1.581468452365263</v>
      </c>
      <c r="AC107" s="3" t="n">
        <v>4.309811836330552</v>
      </c>
      <c r="AD107" s="3" t="n">
        <v>6.642575027937998</v>
      </c>
      <c r="AE107" s="3" t="n">
        <v>0</v>
      </c>
      <c r="AF107" s="3" t="n">
        <v>4.573174621368508</v>
      </c>
      <c r="AG107" s="3" t="n">
        <v>3102.124770331652</v>
      </c>
      <c r="AH107" s="3" t="n">
        <v>7041.250794171146</v>
      </c>
      <c r="AI107" s="3" t="n">
        <v>7318.14858248709</v>
      </c>
      <c r="AJ107" s="3" t="n">
        <v>8066.031581371162</v>
      </c>
      <c r="AK107" s="3" t="n">
        <v>8714.553709047324</v>
      </c>
      <c r="AL107" s="3" t="n">
        <v>9912.80156868909</v>
      </c>
      <c r="AM107" s="3" t="n">
        <v>9956.260931576746</v>
      </c>
      <c r="AN107" s="3" t="n">
        <v>10969.0919033811</v>
      </c>
      <c r="AO107" s="3" t="n">
        <v>10759.64574423364</v>
      </c>
      <c r="AP107" s="3" t="n">
        <v>11501.36833310678</v>
      </c>
      <c r="AQ107" s="3" t="n">
        <v>11320.98436403215</v>
      </c>
      <c r="AR107" s="3" t="n">
        <v>13585.50300307071</v>
      </c>
      <c r="AS107" s="3" t="n">
        <v>13292.76238413141</v>
      </c>
      <c r="AT107" s="3" t="n">
        <v>15596.40302863157</v>
      </c>
      <c r="AU107" s="3" t="n">
        <v>15179.01245455457</v>
      </c>
      <c r="AV107" s="3" t="n">
        <v>19317.99646599136</v>
      </c>
      <c r="AW107" s="3" t="n">
        <v>17424.89922541062</v>
      </c>
      <c r="AX107" s="3" t="n">
        <v>22434.50759401823</v>
      </c>
      <c r="AY107" s="3" t="n">
        <v>22468.10741390363</v>
      </c>
      <c r="AZ107" s="3" t="n">
        <v>67726.34980012663</v>
      </c>
      <c r="BA107" s="3" t="n">
        <v>10913.73064350117</v>
      </c>
      <c r="BB107" s="3" t="n">
        <v>4846082.998497639</v>
      </c>
      <c r="BC107" s="3" t="n">
        <v>0</v>
      </c>
      <c r="BD107" s="3" t="n">
        <v>0</v>
      </c>
      <c r="BE107" s="3" t="n">
        <v>0</v>
      </c>
      <c r="BF107" s="3" t="n">
        <v>0</v>
      </c>
      <c r="BG107" s="3" t="n">
        <v>0</v>
      </c>
      <c r="BH107" s="3" t="n">
        <v>0</v>
      </c>
      <c r="BI107" s="3" t="n">
        <v>0</v>
      </c>
      <c r="BJ107" s="3" t="n">
        <v>0</v>
      </c>
      <c r="BK107" s="3" t="n">
        <v>0</v>
      </c>
      <c r="BL107" s="3" t="n">
        <v>0</v>
      </c>
      <c r="BM107" s="3" t="n">
        <v>0.1582038998875581</v>
      </c>
      <c r="BN107" s="3" t="n">
        <v>0</v>
      </c>
      <c r="BO107" s="3" t="n">
        <v>0</v>
      </c>
      <c r="BP107" s="3" t="n">
        <v>0</v>
      </c>
    </row>
    <row r="108">
      <c r="A108" s="3" t="inlineStr">
        <is>
          <t>EGY.distn.bsh.dec.urb.median.6</t>
        </is>
      </c>
      <c r="B108" s="3" t="inlineStr">
        <is>
          <t>EGY</t>
        </is>
      </c>
      <c r="C108" s="3" t="n">
        <v>2017</v>
      </c>
      <c r="D108" s="3" t="inlineStr">
        <is>
          <t>Urban</t>
        </is>
      </c>
      <c r="E108" s="3" t="inlineStr">
        <is>
          <t>Deciles</t>
        </is>
      </c>
      <c r="F108" s="3" t="inlineStr">
        <is>
          <t>median</t>
        </is>
      </c>
      <c r="G108" s="3" t="n">
        <v>6</v>
      </c>
      <c r="H108" s="3" t="n">
        <v>1.104646280163098</v>
      </c>
      <c r="I108" s="3" t="n">
        <v>0</v>
      </c>
      <c r="J108" s="3" t="n">
        <v>3.492203330475841</v>
      </c>
      <c r="K108" s="3" t="n">
        <v>4.627547296004127</v>
      </c>
      <c r="L108" s="3" t="n">
        <v>0</v>
      </c>
      <c r="M108" s="3" t="n">
        <v>3.182182248966974</v>
      </c>
      <c r="N108" s="3" t="n">
        <v>0</v>
      </c>
      <c r="O108" s="3" t="n">
        <v>1.174740354249812</v>
      </c>
      <c r="P108" s="3" t="n">
        <v>0</v>
      </c>
      <c r="Q108" s="3" t="n">
        <v>2.964796106920555</v>
      </c>
      <c r="R108" s="3" t="n">
        <v>50.00213095085955</v>
      </c>
      <c r="S108" s="3" t="n">
        <v>0</v>
      </c>
      <c r="T108" s="3" t="n">
        <v>0</v>
      </c>
      <c r="U108" s="3" t="n">
        <v>2.395555541011248</v>
      </c>
      <c r="V108" s="3" t="n">
        <v>3.423497904641501</v>
      </c>
      <c r="W108" s="3" t="n">
        <v>0</v>
      </c>
      <c r="X108" s="3" t="n">
        <v>0</v>
      </c>
      <c r="Y108" s="3" t="n">
        <v>0.5622873168961131</v>
      </c>
      <c r="Z108" s="3" t="n">
        <v>0</v>
      </c>
      <c r="AA108" s="3" t="n">
        <v>0</v>
      </c>
      <c r="AB108" s="3" t="n">
        <v>1.450497273773181</v>
      </c>
      <c r="AC108" s="3" t="n">
        <v>4.626311982123299</v>
      </c>
      <c r="AD108" s="3" t="n">
        <v>7.021835812440608</v>
      </c>
      <c r="AE108" s="3" t="n">
        <v>0</v>
      </c>
      <c r="AF108" s="3" t="n">
        <v>4.22416553236252</v>
      </c>
      <c r="AG108" s="3" t="n">
        <v>2933.722974129167</v>
      </c>
      <c r="AH108" s="3" t="n">
        <v>6834.621827624223</v>
      </c>
      <c r="AI108" s="3" t="n">
        <v>7003.233837131294</v>
      </c>
      <c r="AJ108" s="3" t="n">
        <v>8301.518903805027</v>
      </c>
      <c r="AK108" s="3" t="n">
        <v>8322.586308675693</v>
      </c>
      <c r="AL108" s="3" t="n">
        <v>9373.908555534468</v>
      </c>
      <c r="AM108" s="3" t="n">
        <v>9828.456477134947</v>
      </c>
      <c r="AN108" s="3" t="n">
        <v>11282.15720522443</v>
      </c>
      <c r="AO108" s="3" t="n">
        <v>11468.25518978312</v>
      </c>
      <c r="AP108" s="3" t="n">
        <v>12784.98161668575</v>
      </c>
      <c r="AQ108" s="3" t="n">
        <v>12156.72913349627</v>
      </c>
      <c r="AR108" s="3" t="n">
        <v>13306.54057742961</v>
      </c>
      <c r="AS108" s="3" t="n">
        <v>14588.19854117661</v>
      </c>
      <c r="AT108" s="3" t="n">
        <v>14709.79076304229</v>
      </c>
      <c r="AU108" s="3" t="n">
        <v>14660.53371732988</v>
      </c>
      <c r="AV108" s="3" t="n">
        <v>17193.97331184547</v>
      </c>
      <c r="AW108" s="3" t="n">
        <v>19653.69187307803</v>
      </c>
      <c r="AX108" s="3" t="n">
        <v>23536.9008744442</v>
      </c>
      <c r="AY108" s="3" t="n">
        <v>23336.82728011291</v>
      </c>
      <c r="AZ108" s="3" t="n">
        <v>65618.11303814877</v>
      </c>
      <c r="BA108" s="3" t="n">
        <v>13347.51613715355</v>
      </c>
      <c r="BB108" s="3" t="n">
        <v>4844929.107128082</v>
      </c>
      <c r="BC108" s="3" t="n">
        <v>0</v>
      </c>
      <c r="BD108" s="3" t="n">
        <v>0</v>
      </c>
      <c r="BE108" s="3" t="n">
        <v>0</v>
      </c>
      <c r="BF108" s="3" t="n">
        <v>0</v>
      </c>
      <c r="BG108" s="3" t="n">
        <v>0</v>
      </c>
      <c r="BH108" s="3" t="n">
        <v>0</v>
      </c>
      <c r="BI108" s="3" t="n">
        <v>0</v>
      </c>
      <c r="BJ108" s="3" t="n">
        <v>0</v>
      </c>
      <c r="BK108" s="3" t="n">
        <v>0</v>
      </c>
      <c r="BL108" s="3" t="n">
        <v>0</v>
      </c>
      <c r="BM108" s="3" t="n">
        <v>0.02627473050491403</v>
      </c>
      <c r="BN108" s="3" t="n">
        <v>0</v>
      </c>
      <c r="BO108" s="3" t="n">
        <v>0</v>
      </c>
      <c r="BP108" s="3" t="n">
        <v>0</v>
      </c>
    </row>
    <row r="109">
      <c r="A109" s="3" t="inlineStr">
        <is>
          <t>EGY.distn.bsh.dec.urb.median.7</t>
        </is>
      </c>
      <c r="B109" s="3" t="inlineStr">
        <is>
          <t>EGY</t>
        </is>
      </c>
      <c r="C109" s="3" t="n">
        <v>2017</v>
      </c>
      <c r="D109" s="3" t="inlineStr">
        <is>
          <t>Urban</t>
        </is>
      </c>
      <c r="E109" s="3" t="inlineStr">
        <is>
          <t>Deciles</t>
        </is>
      </c>
      <c r="F109" s="3" t="inlineStr">
        <is>
          <t>median</t>
        </is>
      </c>
      <c r="G109" s="3" t="n">
        <v>7</v>
      </c>
      <c r="H109" s="3" t="n">
        <v>0.9800106535369716</v>
      </c>
      <c r="I109" s="3" t="n">
        <v>0</v>
      </c>
      <c r="J109" s="3" t="n">
        <v>3.535139663256198</v>
      </c>
      <c r="K109" s="3" t="n">
        <v>4.608626522224703</v>
      </c>
      <c r="L109" s="3" t="n">
        <v>0</v>
      </c>
      <c r="M109" s="3" t="n">
        <v>3.399582516800006</v>
      </c>
      <c r="N109" s="3" t="n">
        <v>0</v>
      </c>
      <c r="O109" s="3" t="n">
        <v>0</v>
      </c>
      <c r="P109" s="3" t="n">
        <v>0</v>
      </c>
      <c r="Q109" s="3" t="n">
        <v>2.93638251233805</v>
      </c>
      <c r="R109" s="3" t="n">
        <v>53.46319068258492</v>
      </c>
      <c r="S109" s="3" t="n">
        <v>0</v>
      </c>
      <c r="T109" s="3" t="n">
        <v>0</v>
      </c>
      <c r="U109" s="3" t="n">
        <v>2.838642510999582</v>
      </c>
      <c r="V109" s="3" t="n">
        <v>3.361752578748446</v>
      </c>
      <c r="W109" s="3" t="n">
        <v>0</v>
      </c>
      <c r="X109" s="3" t="n">
        <v>0</v>
      </c>
      <c r="Y109" s="3" t="n">
        <v>0.5362167226219038</v>
      </c>
      <c r="Z109" s="3" t="n">
        <v>0</v>
      </c>
      <c r="AA109" s="3" t="n">
        <v>0</v>
      </c>
      <c r="AB109" s="3" t="n">
        <v>1.08747769993822</v>
      </c>
      <c r="AC109" s="3" t="n">
        <v>4.993701434040557</v>
      </c>
      <c r="AD109" s="3" t="n">
        <v>7.005772020778979</v>
      </c>
      <c r="AE109" s="3" t="n">
        <v>0</v>
      </c>
      <c r="AF109" s="3" t="n">
        <v>4.237315531695015</v>
      </c>
      <c r="AG109" s="3" t="n">
        <v>3346.463413131501</v>
      </c>
      <c r="AH109" s="3" t="n">
        <v>7159.881727656369</v>
      </c>
      <c r="AI109" s="3" t="n">
        <v>7453.934318006014</v>
      </c>
      <c r="AJ109" s="3" t="n">
        <v>7953.468499035158</v>
      </c>
      <c r="AK109" s="3" t="n">
        <v>8931.015456134492</v>
      </c>
      <c r="AL109" s="3" t="n">
        <v>10181.0112103113</v>
      </c>
      <c r="AM109" s="3" t="n">
        <v>10108.57742019413</v>
      </c>
      <c r="AN109" s="3" t="n">
        <v>10616.65071734636</v>
      </c>
      <c r="AO109" s="3" t="n">
        <v>11504.66566680836</v>
      </c>
      <c r="AP109" s="3" t="n">
        <v>11530.14145836843</v>
      </c>
      <c r="AQ109" s="3" t="n">
        <v>12607.71614294939</v>
      </c>
      <c r="AR109" s="3" t="n">
        <v>13547.74273638573</v>
      </c>
      <c r="AS109" s="3" t="n">
        <v>14758.81454562518</v>
      </c>
      <c r="AT109" s="3" t="n">
        <v>15791.30813921831</v>
      </c>
      <c r="AU109" s="3" t="n">
        <v>14975.71511649181</v>
      </c>
      <c r="AV109" s="3" t="n">
        <v>19621.68989862997</v>
      </c>
      <c r="AW109" s="3" t="n">
        <v>19493.38919880051</v>
      </c>
      <c r="AX109" s="3" t="n">
        <v>23369.37194460359</v>
      </c>
      <c r="AY109" s="3" t="n">
        <v>22274.18442085391</v>
      </c>
      <c r="AZ109" s="3" t="n">
        <v>67637.07118113464</v>
      </c>
      <c r="BA109" s="3" t="n">
        <v>14950.9703958655</v>
      </c>
      <c r="BB109" s="3" t="n">
        <v>4917773.610322626</v>
      </c>
      <c r="BC109" s="3" t="n">
        <v>0</v>
      </c>
      <c r="BD109" s="3" t="n">
        <v>0</v>
      </c>
      <c r="BE109" s="3" t="n">
        <v>0</v>
      </c>
      <c r="BF109" s="3" t="n">
        <v>0</v>
      </c>
      <c r="BG109" s="3" t="n">
        <v>0</v>
      </c>
      <c r="BH109" s="3" t="n">
        <v>0</v>
      </c>
      <c r="BI109" s="3" t="n">
        <v>0</v>
      </c>
      <c r="BJ109" s="3" t="n">
        <v>0</v>
      </c>
      <c r="BK109" s="3" t="n">
        <v>0</v>
      </c>
      <c r="BL109" s="3" t="n">
        <v>0</v>
      </c>
      <c r="BM109" s="3" t="n">
        <v>0.02441948195862544</v>
      </c>
      <c r="BN109" s="3" t="n">
        <v>0</v>
      </c>
      <c r="BO109" s="3" t="n">
        <v>0</v>
      </c>
      <c r="BP109" s="3" t="n">
        <v>0</v>
      </c>
    </row>
    <row r="110">
      <c r="A110" s="3" t="inlineStr">
        <is>
          <t>EGY.distn.bsh.dec.urb.median.8</t>
        </is>
      </c>
      <c r="B110" s="3" t="inlineStr">
        <is>
          <t>EGY</t>
        </is>
      </c>
      <c r="C110" s="3" t="n">
        <v>2017</v>
      </c>
      <c r="D110" s="3" t="inlineStr">
        <is>
          <t>Urban</t>
        </is>
      </c>
      <c r="E110" s="3" t="inlineStr">
        <is>
          <t>Deciles</t>
        </is>
      </c>
      <c r="F110" s="3" t="inlineStr">
        <is>
          <t>median</t>
        </is>
      </c>
      <c r="G110" s="3" t="n">
        <v>8</v>
      </c>
      <c r="H110" s="3" t="n">
        <v>1.185722486685184</v>
      </c>
      <c r="I110" s="3" t="n">
        <v>0</v>
      </c>
      <c r="J110" s="3" t="n">
        <v>3.534803390875344</v>
      </c>
      <c r="K110" s="3" t="n">
        <v>4.704477326343446</v>
      </c>
      <c r="L110" s="3" t="n">
        <v>0</v>
      </c>
      <c r="M110" s="3" t="n">
        <v>3.370478371622864</v>
      </c>
      <c r="N110" s="3" t="n">
        <v>0</v>
      </c>
      <c r="O110" s="3" t="n">
        <v>0</v>
      </c>
      <c r="P110" s="3" t="n">
        <v>0</v>
      </c>
      <c r="Q110" s="3" t="n">
        <v>3.114883742614853</v>
      </c>
      <c r="R110" s="3" t="n">
        <v>51.16965462466641</v>
      </c>
      <c r="S110" s="3" t="n">
        <v>0</v>
      </c>
      <c r="T110" s="3" t="n">
        <v>0</v>
      </c>
      <c r="U110" s="3" t="n">
        <v>2.446215060297095</v>
      </c>
      <c r="V110" s="3" t="n">
        <v>3.274776135533552</v>
      </c>
      <c r="W110" s="3" t="n">
        <v>0</v>
      </c>
      <c r="X110" s="3" t="n">
        <v>0</v>
      </c>
      <c r="Y110" s="3" t="n">
        <v>0.5887055331358768</v>
      </c>
      <c r="Z110" s="3" t="n">
        <v>0</v>
      </c>
      <c r="AA110" s="3" t="n">
        <v>0</v>
      </c>
      <c r="AB110" s="3" t="n">
        <v>0.8555107080810881</v>
      </c>
      <c r="AC110" s="3" t="n">
        <v>5.163781120901588</v>
      </c>
      <c r="AD110" s="3" t="n">
        <v>6.898768008424198</v>
      </c>
      <c r="AE110" s="3" t="n">
        <v>0</v>
      </c>
      <c r="AF110" s="3" t="n">
        <v>4.834096003422552</v>
      </c>
      <c r="AG110" s="3" t="n">
        <v>3012.368733897295</v>
      </c>
      <c r="AH110" s="3" t="n">
        <v>7622.565503574564</v>
      </c>
      <c r="AI110" s="3" t="n">
        <v>7352.386598538894</v>
      </c>
      <c r="AJ110" s="3" t="n">
        <v>8562.414251246315</v>
      </c>
      <c r="AK110" s="3" t="n">
        <v>8992.414598905287</v>
      </c>
      <c r="AL110" s="3" t="n">
        <v>10262.35265002452</v>
      </c>
      <c r="AM110" s="3" t="n">
        <v>9013.842468655026</v>
      </c>
      <c r="AN110" s="3" t="n">
        <v>11497.78929454032</v>
      </c>
      <c r="AO110" s="3" t="n">
        <v>10963.61816433469</v>
      </c>
      <c r="AP110" s="3" t="n">
        <v>11296.25398520982</v>
      </c>
      <c r="AQ110" s="3" t="n">
        <v>12666.33035013613</v>
      </c>
      <c r="AR110" s="3" t="n">
        <v>12836.85601325438</v>
      </c>
      <c r="AS110" s="3" t="n">
        <v>13900.30541339585</v>
      </c>
      <c r="AT110" s="3" t="n">
        <v>16261.80127839427</v>
      </c>
      <c r="AU110" s="3" t="n">
        <v>16653.50956788014</v>
      </c>
      <c r="AV110" s="3" t="n">
        <v>19198.91888117948</v>
      </c>
      <c r="AW110" s="3" t="n">
        <v>18053.6287793441</v>
      </c>
      <c r="AX110" s="3" t="n">
        <v>24585.20872751034</v>
      </c>
      <c r="AY110" s="3" t="n">
        <v>23106.5036705333</v>
      </c>
      <c r="AZ110" s="3" t="n">
        <v>61715.57572310707</v>
      </c>
      <c r="BA110" s="3" t="n">
        <v>16465.21294634744</v>
      </c>
      <c r="BB110" s="3" t="n">
        <v>4604820.566679876</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row>
    <row r="111">
      <c r="A111" s="3" t="inlineStr">
        <is>
          <t>EGY.distn.bsh.dec.urb.median.9</t>
        </is>
      </c>
      <c r="B111" s="3" t="inlineStr">
        <is>
          <t>EGY</t>
        </is>
      </c>
      <c r="C111" s="3" t="n">
        <v>2017</v>
      </c>
      <c r="D111" s="3" t="inlineStr">
        <is>
          <t>Urban</t>
        </is>
      </c>
      <c r="E111" s="3" t="inlineStr">
        <is>
          <t>Deciles</t>
        </is>
      </c>
      <c r="F111" s="3" t="inlineStr">
        <is>
          <t>median</t>
        </is>
      </c>
      <c r="G111" s="3" t="n">
        <v>9</v>
      </c>
      <c r="H111" s="3" t="n">
        <v>1.013627943063808</v>
      </c>
      <c r="I111" s="3" t="n">
        <v>0</v>
      </c>
      <c r="J111" s="3" t="n">
        <v>3.60346998584608</v>
      </c>
      <c r="K111" s="3" t="n">
        <v>3.919631256921438</v>
      </c>
      <c r="L111" s="3" t="n">
        <v>0</v>
      </c>
      <c r="M111" s="3" t="n">
        <v>3.34118658623651</v>
      </c>
      <c r="N111" s="3" t="n">
        <v>0</v>
      </c>
      <c r="O111" s="3" t="n">
        <v>0</v>
      </c>
      <c r="P111" s="3" t="n">
        <v>0</v>
      </c>
      <c r="Q111" s="3" t="n">
        <v>3.326942922762379</v>
      </c>
      <c r="R111" s="3" t="n">
        <v>49.49754173791959</v>
      </c>
      <c r="S111" s="3" t="n">
        <v>0</v>
      </c>
      <c r="T111" s="3" t="n">
        <v>0</v>
      </c>
      <c r="U111" s="3" t="n">
        <v>2.931116127703692</v>
      </c>
      <c r="V111" s="3" t="n">
        <v>3.387929521056481</v>
      </c>
      <c r="W111" s="3" t="n">
        <v>0</v>
      </c>
      <c r="X111" s="3" t="n">
        <v>0</v>
      </c>
      <c r="Y111" s="3" t="n">
        <v>0.6696368208097668</v>
      </c>
      <c r="Z111" s="3" t="n">
        <v>0</v>
      </c>
      <c r="AA111" s="3" t="n">
        <v>0</v>
      </c>
      <c r="AB111" s="3" t="n">
        <v>0.7465415550323826</v>
      </c>
      <c r="AC111" s="3" t="n">
        <v>5.844421528288859</v>
      </c>
      <c r="AD111" s="3" t="n">
        <v>6.154526815058002</v>
      </c>
      <c r="AE111" s="3" t="n">
        <v>0</v>
      </c>
      <c r="AF111" s="3" t="n">
        <v>4.311837948906517</v>
      </c>
      <c r="AG111" s="3" t="n">
        <v>3070.646794993412</v>
      </c>
      <c r="AH111" s="3" t="n">
        <v>6596.562415289902</v>
      </c>
      <c r="AI111" s="3" t="n">
        <v>6848.652230664247</v>
      </c>
      <c r="AJ111" s="3" t="n">
        <v>8162.690773414604</v>
      </c>
      <c r="AK111" s="3" t="n">
        <v>7904.693156909119</v>
      </c>
      <c r="AL111" s="3" t="n">
        <v>9159.684768874031</v>
      </c>
      <c r="AM111" s="3" t="n">
        <v>10052.25403777426</v>
      </c>
      <c r="AN111" s="3" t="n">
        <v>10427.55320255983</v>
      </c>
      <c r="AO111" s="3" t="n">
        <v>10901.57347565953</v>
      </c>
      <c r="AP111" s="3" t="n">
        <v>12941.78048250755</v>
      </c>
      <c r="AQ111" s="3" t="n">
        <v>11689.798743861</v>
      </c>
      <c r="AR111" s="3" t="n">
        <v>13783.20570317122</v>
      </c>
      <c r="AS111" s="3" t="n">
        <v>14202.48706313368</v>
      </c>
      <c r="AT111" s="3" t="n">
        <v>15820.46059468556</v>
      </c>
      <c r="AU111" s="3" t="n">
        <v>15039.82626027611</v>
      </c>
      <c r="AV111" s="3" t="n">
        <v>18743.28486544441</v>
      </c>
      <c r="AW111" s="3" t="n">
        <v>18284.80450167855</v>
      </c>
      <c r="AX111" s="3" t="n">
        <v>24292.15528832839</v>
      </c>
      <c r="AY111" s="3" t="n">
        <v>22167.07995267432</v>
      </c>
      <c r="AZ111" s="3" t="n">
        <v>64924.2870770507</v>
      </c>
      <c r="BA111" s="3" t="n">
        <v>20527.12044686463</v>
      </c>
      <c r="BB111" s="3" t="n">
        <v>4932800.330916537</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row>
    <row r="112">
      <c r="A112" s="3" t="inlineStr">
        <is>
          <t>EGY.distn.bsh.dec.urb.median.10</t>
        </is>
      </c>
      <c r="B112" s="3" t="inlineStr">
        <is>
          <t>EGY</t>
        </is>
      </c>
      <c r="C112" s="3" t="n">
        <v>2017</v>
      </c>
      <c r="D112" s="3" t="inlineStr">
        <is>
          <t>Urban</t>
        </is>
      </c>
      <c r="E112" s="3" t="inlineStr">
        <is>
          <t>Deciles</t>
        </is>
      </c>
      <c r="F112" s="3" t="inlineStr">
        <is>
          <t>median</t>
        </is>
      </c>
      <c r="G112" s="3" t="n">
        <v>10</v>
      </c>
      <c r="H112" s="3" t="n">
        <v>0.9316054589705239</v>
      </c>
      <c r="I112" s="3" t="n">
        <v>0</v>
      </c>
      <c r="J112" s="3" t="n">
        <v>3.340495662787628</v>
      </c>
      <c r="K112" s="3" t="n">
        <v>3.658326061648808</v>
      </c>
      <c r="L112" s="3" t="n">
        <v>0</v>
      </c>
      <c r="M112" s="3" t="n">
        <v>3.355223414306912</v>
      </c>
      <c r="N112" s="3" t="n">
        <v>0</v>
      </c>
      <c r="O112" s="3" t="n">
        <v>0</v>
      </c>
      <c r="P112" s="3" t="n">
        <v>0</v>
      </c>
      <c r="Q112" s="3" t="n">
        <v>3.540083848468412</v>
      </c>
      <c r="R112" s="3" t="n">
        <v>47.90777194800108</v>
      </c>
      <c r="S112" s="3" t="n">
        <v>0</v>
      </c>
      <c r="T112" s="3" t="n">
        <v>0</v>
      </c>
      <c r="U112" s="3" t="n">
        <v>3.240758781425315</v>
      </c>
      <c r="V112" s="3" t="n">
        <v>4.843969412577867</v>
      </c>
      <c r="W112" s="3" t="n">
        <v>0</v>
      </c>
      <c r="X112" s="3" t="n">
        <v>0</v>
      </c>
      <c r="Y112" s="3" t="n">
        <v>0.6577667018747972</v>
      </c>
      <c r="Z112" s="3" t="n">
        <v>0</v>
      </c>
      <c r="AA112" s="3" t="n">
        <v>0</v>
      </c>
      <c r="AB112" s="3" t="n">
        <v>0.5115760575520599</v>
      </c>
      <c r="AC112" s="3" t="n">
        <v>6.606411049987799</v>
      </c>
      <c r="AD112" s="3" t="n">
        <v>5.381421650366891</v>
      </c>
      <c r="AE112" s="3" t="n">
        <v>0</v>
      </c>
      <c r="AF112" s="3" t="n">
        <v>3.236417231947789</v>
      </c>
      <c r="AG112" s="3" t="n">
        <v>3229.060996175184</v>
      </c>
      <c r="AH112" s="3" t="n">
        <v>7315.142863226341</v>
      </c>
      <c r="AI112" s="3" t="n">
        <v>6897.865159196043</v>
      </c>
      <c r="AJ112" s="3" t="n">
        <v>8020.644572990542</v>
      </c>
      <c r="AK112" s="3" t="n">
        <v>9120.925143129405</v>
      </c>
      <c r="AL112" s="3" t="n">
        <v>9220.979625657747</v>
      </c>
      <c r="AM112" s="3" t="n">
        <v>9914.504197590002</v>
      </c>
      <c r="AN112" s="3" t="n">
        <v>11022.89006651337</v>
      </c>
      <c r="AO112" s="3" t="n">
        <v>10613.7891465539</v>
      </c>
      <c r="AP112" s="3" t="n">
        <v>12313.2697680051</v>
      </c>
      <c r="AQ112" s="3" t="n">
        <v>13040.71509445805</v>
      </c>
      <c r="AR112" s="3" t="n">
        <v>13835.78978540147</v>
      </c>
      <c r="AS112" s="3" t="n">
        <v>12948.67707262025</v>
      </c>
      <c r="AT112" s="3" t="n">
        <v>15098.55138661627</v>
      </c>
      <c r="AU112" s="3" t="n">
        <v>15087.3244617266</v>
      </c>
      <c r="AV112" s="3" t="n">
        <v>18556.12076497992</v>
      </c>
      <c r="AW112" s="3" t="n">
        <v>19109.49955930852</v>
      </c>
      <c r="AX112" s="3" t="n">
        <v>22277.71354115789</v>
      </c>
      <c r="AY112" s="3" t="n">
        <v>21868.49062717914</v>
      </c>
      <c r="AZ112" s="3" t="n">
        <v>66601.8984059661</v>
      </c>
      <c r="BA112" s="3" t="n">
        <v>28062.79533502803</v>
      </c>
      <c r="BB112" s="3" t="n">
        <v>4633359.78146908</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row>
    <row r="113">
      <c r="A113" s="3" t="inlineStr">
        <is>
          <t>EGY.distn.bsh.bkt.urb.median.9999</t>
        </is>
      </c>
      <c r="B113" s="3" t="inlineStr">
        <is>
          <t>EGY</t>
        </is>
      </c>
      <c r="C113" s="3" t="n">
        <v>2017</v>
      </c>
      <c r="D113" s="3" t="inlineStr">
        <is>
          <t>Urban</t>
        </is>
      </c>
      <c r="E113" s="3" t="inlineStr">
        <is>
          <t>Basket</t>
        </is>
      </c>
      <c r="F113" s="3" t="inlineStr">
        <is>
          <t>median</t>
        </is>
      </c>
      <c r="G113" s="3" t="n">
        <v>9999</v>
      </c>
      <c r="H113" s="3" t="n">
        <v>1.053634196363762</v>
      </c>
      <c r="I113" s="3" t="n">
        <v>0</v>
      </c>
      <c r="J113" s="3" t="n">
        <v>3.750880404055577</v>
      </c>
      <c r="K113" s="3" t="n">
        <v>4.782324826013898</v>
      </c>
      <c r="L113" s="3" t="n">
        <v>0</v>
      </c>
      <c r="M113" s="3" t="n">
        <v>2.826839460494359</v>
      </c>
      <c r="N113" s="3" t="n">
        <v>0</v>
      </c>
      <c r="O113" s="3" t="n">
        <v>0.7297627962395346</v>
      </c>
      <c r="P113" s="3" t="n">
        <v>0</v>
      </c>
      <c r="Q113" s="3" t="n">
        <v>2.901348547921766</v>
      </c>
      <c r="R113" s="3" t="n">
        <v>52.28299450666782</v>
      </c>
      <c r="S113" s="3" t="n">
        <v>0</v>
      </c>
      <c r="T113" s="3" t="n">
        <v>0</v>
      </c>
      <c r="U113" s="3" t="n">
        <v>2.275514331504608</v>
      </c>
      <c r="V113" s="3" t="n">
        <v>3.452386742046157</v>
      </c>
      <c r="W113" s="3" t="n">
        <v>0</v>
      </c>
      <c r="X113" s="3" t="n">
        <v>0</v>
      </c>
      <c r="Y113" s="3" t="n">
        <v>0.547986077588596</v>
      </c>
      <c r="Z113" s="3" t="n">
        <v>0</v>
      </c>
      <c r="AA113" s="3" t="n">
        <v>0</v>
      </c>
      <c r="AB113" s="3" t="n">
        <v>1.332375986328218</v>
      </c>
      <c r="AC113" s="3" t="n">
        <v>4.573971089275358</v>
      </c>
      <c r="AD113" s="3" t="n">
        <v>7.079999799078545</v>
      </c>
      <c r="AE113" s="3" t="n">
        <v>0</v>
      </c>
      <c r="AF113" s="3" t="n">
        <v>3.95956442862303</v>
      </c>
      <c r="AG113" s="3" t="n">
        <v>2953.309401848003</v>
      </c>
      <c r="AH113" s="3" t="n">
        <v>6898.104097739876</v>
      </c>
      <c r="AI113" s="3" t="n">
        <v>6842.647400461347</v>
      </c>
      <c r="AJ113" s="3" t="n">
        <v>7836.543204158506</v>
      </c>
      <c r="AK113" s="3" t="n">
        <v>8304.521324011987</v>
      </c>
      <c r="AL113" s="3" t="n">
        <v>10338.03310466856</v>
      </c>
      <c r="AM113" s="3" t="n">
        <v>10420.11535090985</v>
      </c>
      <c r="AN113" s="3" t="n">
        <v>10430.00482291589</v>
      </c>
      <c r="AO113" s="3" t="n">
        <v>10225.36998197354</v>
      </c>
      <c r="AP113" s="3" t="n">
        <v>12701.72308958768</v>
      </c>
      <c r="AQ113" s="3" t="n">
        <v>12758.56495520179</v>
      </c>
      <c r="AR113" s="3" t="n">
        <v>13443.54832270773</v>
      </c>
      <c r="AS113" s="3" t="n">
        <v>13168.08479428204</v>
      </c>
      <c r="AT113" s="3" t="n">
        <v>16149.53194801926</v>
      </c>
      <c r="AU113" s="3" t="n">
        <v>16314.30014820964</v>
      </c>
      <c r="AV113" s="3" t="n">
        <v>18778.46465707691</v>
      </c>
      <c r="AW113" s="3" t="n">
        <v>17926.22047698282</v>
      </c>
      <c r="AX113" s="3" t="n">
        <v>23163.50888445272</v>
      </c>
      <c r="AY113" s="3" t="n">
        <v>23004.25697324622</v>
      </c>
      <c r="AZ113" s="3" t="n">
        <v>60251.18683696853</v>
      </c>
      <c r="BA113" s="3" t="n">
        <v>12731.90663490109</v>
      </c>
      <c r="BB113" s="3" t="n">
        <v>48969570.4540723</v>
      </c>
      <c r="BC113" s="3" t="n">
        <v>0</v>
      </c>
      <c r="BD113" s="3" t="n">
        <v>0</v>
      </c>
      <c r="BE113" s="3" t="n">
        <v>0</v>
      </c>
      <c r="BF113" s="3" t="n">
        <v>0</v>
      </c>
      <c r="BG113" s="3" t="n">
        <v>0</v>
      </c>
      <c r="BH113" s="3" t="n">
        <v>0</v>
      </c>
      <c r="BI113" s="3" t="n">
        <v>0</v>
      </c>
      <c r="BJ113" s="3" t="n">
        <v>0</v>
      </c>
      <c r="BK113" s="3" t="n">
        <v>0.0667914863159166</v>
      </c>
      <c r="BL113" s="3" t="n">
        <v>0.9354828545392385</v>
      </c>
      <c r="BM113" s="3" t="n">
        <v>13.44499953004947</v>
      </c>
      <c r="BN113" s="3" t="n">
        <v>0</v>
      </c>
      <c r="BO113" s="3" t="n">
        <v>0</v>
      </c>
      <c r="BP113" s="3" t="n">
        <v>0</v>
      </c>
    </row>
    <row r="114">
      <c r="A114" s="3" t="inlineStr">
        <is>
          <t>EGY.distn.bsh.dec.urb.p25.1</t>
        </is>
      </c>
      <c r="B114" s="3" t="inlineStr">
        <is>
          <t>EGY</t>
        </is>
      </c>
      <c r="C114" s="3" t="n">
        <v>2017</v>
      </c>
      <c r="D114" s="3" t="inlineStr">
        <is>
          <t>Urban</t>
        </is>
      </c>
      <c r="E114" s="3" t="inlineStr">
        <is>
          <t>Deciles</t>
        </is>
      </c>
      <c r="F114" s="3" t="inlineStr">
        <is>
          <t>p25</t>
        </is>
      </c>
      <c r="G114" s="3" t="n">
        <v>1</v>
      </c>
      <c r="H114" s="3" t="n">
        <v>0.4719077570407701</v>
      </c>
      <c r="I114" s="3" t="n">
        <v>0</v>
      </c>
      <c r="J114" s="3" t="n">
        <v>2.86553684068578</v>
      </c>
      <c r="K114" s="3" t="n">
        <v>2.825850110827349</v>
      </c>
      <c r="L114" s="3" t="n">
        <v>0</v>
      </c>
      <c r="M114" s="3" t="n">
        <v>1.396545541996967</v>
      </c>
      <c r="N114" s="3" t="n">
        <v>0</v>
      </c>
      <c r="O114" s="3" t="n">
        <v>0.3014043853904021</v>
      </c>
      <c r="P114" s="3" t="n">
        <v>0</v>
      </c>
      <c r="Q114" s="3" t="n">
        <v>2.098306276954903</v>
      </c>
      <c r="R114" s="3" t="n">
        <v>47.2235948160695</v>
      </c>
      <c r="S114" s="3" t="n">
        <v>0</v>
      </c>
      <c r="T114" s="3" t="n">
        <v>0</v>
      </c>
      <c r="U114" s="3" t="n">
        <v>0.3201142921822244</v>
      </c>
      <c r="V114" s="3" t="n">
        <v>2.24053903205608</v>
      </c>
      <c r="W114" s="3" t="n">
        <v>0</v>
      </c>
      <c r="X114" s="3" t="n">
        <v>0</v>
      </c>
      <c r="Y114" s="3" t="n">
        <v>0</v>
      </c>
      <c r="Z114" s="3" t="n">
        <v>0</v>
      </c>
      <c r="AA114" s="3" t="n">
        <v>0</v>
      </c>
      <c r="AB114" s="3" t="n">
        <v>1.196750564128967</v>
      </c>
      <c r="AC114" s="3" t="n">
        <v>1.103077207820615</v>
      </c>
      <c r="AD114" s="3" t="n">
        <v>4.930345543171319</v>
      </c>
      <c r="AE114" s="3" t="n">
        <v>0</v>
      </c>
      <c r="AF114" s="3" t="n">
        <v>2.316589191166567</v>
      </c>
      <c r="AG114" s="3" t="n">
        <v>3342.91488888657</v>
      </c>
      <c r="AH114" s="3" t="n">
        <v>7013.231680590118</v>
      </c>
      <c r="AI114" s="3" t="n">
        <v>7616.845514762502</v>
      </c>
      <c r="AJ114" s="3" t="n">
        <v>8559.66822570072</v>
      </c>
      <c r="AK114" s="3" t="n">
        <v>8758.353739904616</v>
      </c>
      <c r="AL114" s="3" t="n">
        <v>10262.93136460105</v>
      </c>
      <c r="AM114" s="3" t="n">
        <v>10094.46066282541</v>
      </c>
      <c r="AN114" s="3" t="n">
        <v>11276.07659017435</v>
      </c>
      <c r="AO114" s="3" t="n">
        <v>10596.10306252344</v>
      </c>
      <c r="AP114" s="3" t="n">
        <v>12994.29302673212</v>
      </c>
      <c r="AQ114" s="3" t="n">
        <v>12409.88421782012</v>
      </c>
      <c r="AR114" s="3" t="n">
        <v>14278.43458554483</v>
      </c>
      <c r="AS114" s="3" t="n">
        <v>13413.9306003103</v>
      </c>
      <c r="AT114" s="3" t="n">
        <v>15562.00623118428</v>
      </c>
      <c r="AU114" s="3" t="n">
        <v>16586.16039501621</v>
      </c>
      <c r="AV114" s="3" t="n">
        <v>16894.07469823248</v>
      </c>
      <c r="AW114" s="3" t="n">
        <v>17813.47665388262</v>
      </c>
      <c r="AX114" s="3" t="n">
        <v>24473.83144455624</v>
      </c>
      <c r="AY114" s="3" t="n">
        <v>22950.22264227791</v>
      </c>
      <c r="AZ114" s="3" t="n">
        <v>68812.13859398523</v>
      </c>
      <c r="BA114" s="3" t="n">
        <v>4995.035975624333</v>
      </c>
      <c r="BB114" s="3" t="n">
        <v>5175270.835336247</v>
      </c>
      <c r="BC114" s="3" t="n">
        <v>0</v>
      </c>
      <c r="BD114" s="3" t="n">
        <v>0</v>
      </c>
      <c r="BE114" s="3" t="n">
        <v>110.9559359478421</v>
      </c>
      <c r="BF114" s="3" t="n">
        <v>46.32629738542488</v>
      </c>
      <c r="BG114" s="3" t="n">
        <v>80.83909553712718</v>
      </c>
      <c r="BH114" s="3" t="n">
        <v>92.3327722486531</v>
      </c>
      <c r="BI114" s="3" t="n">
        <v>95.47483728889361</v>
      </c>
      <c r="BJ114" s="3" t="n">
        <v>83.59935245802389</v>
      </c>
      <c r="BK114" s="3" t="n">
        <v>0.05625313335623235</v>
      </c>
      <c r="BL114" s="3" t="n">
        <v>0.8726332441895978</v>
      </c>
      <c r="BM114" s="3" t="n">
        <v>4.716497072936726</v>
      </c>
      <c r="BN114" s="3" t="n">
        <v>0</v>
      </c>
      <c r="BO114" s="3" t="n">
        <v>0</v>
      </c>
      <c r="BP114" s="3" t="n">
        <v>0</v>
      </c>
    </row>
    <row r="115">
      <c r="A115" s="3" t="inlineStr">
        <is>
          <t>EGY.distn.bsh.dec.urb.p25.2</t>
        </is>
      </c>
      <c r="B115" s="3" t="inlineStr">
        <is>
          <t>EGY</t>
        </is>
      </c>
      <c r="C115" s="3" t="n">
        <v>2017</v>
      </c>
      <c r="D115" s="3" t="inlineStr">
        <is>
          <t>Urban</t>
        </is>
      </c>
      <c r="E115" s="3" t="inlineStr">
        <is>
          <t>Deciles</t>
        </is>
      </c>
      <c r="F115" s="3" t="inlineStr">
        <is>
          <t>p25</t>
        </is>
      </c>
      <c r="G115" s="3" t="n">
        <v>2</v>
      </c>
      <c r="H115" s="3" t="n">
        <v>0.5888782514003692</v>
      </c>
      <c r="I115" s="3" t="n">
        <v>0</v>
      </c>
      <c r="J115" s="3" t="n">
        <v>2.876593356385888</v>
      </c>
      <c r="K115" s="3" t="n">
        <v>3.10048391049839</v>
      </c>
      <c r="L115" s="3" t="n">
        <v>0</v>
      </c>
      <c r="M115" s="3" t="n">
        <v>1.677813109051806</v>
      </c>
      <c r="N115" s="3" t="n">
        <v>0</v>
      </c>
      <c r="O115" s="3" t="n">
        <v>0.5069524972735793</v>
      </c>
      <c r="P115" s="3" t="n">
        <v>0</v>
      </c>
      <c r="Q115" s="3" t="n">
        <v>1.925258226059577</v>
      </c>
      <c r="R115" s="3" t="n">
        <v>47.70645433402755</v>
      </c>
      <c r="S115" s="3" t="n">
        <v>0</v>
      </c>
      <c r="T115" s="3" t="n">
        <v>0</v>
      </c>
      <c r="U115" s="3" t="n">
        <v>0.4297508135505154</v>
      </c>
      <c r="V115" s="3" t="n">
        <v>2.137770293569461</v>
      </c>
      <c r="W115" s="3" t="n">
        <v>0</v>
      </c>
      <c r="X115" s="3" t="n">
        <v>0</v>
      </c>
      <c r="Y115" s="3" t="n">
        <v>0</v>
      </c>
      <c r="Z115" s="3" t="n">
        <v>0</v>
      </c>
      <c r="AA115" s="3" t="n">
        <v>0</v>
      </c>
      <c r="AB115" s="3" t="n">
        <v>1.051306778833898</v>
      </c>
      <c r="AC115" s="3" t="n">
        <v>1.25674411011159</v>
      </c>
      <c r="AD115" s="3" t="n">
        <v>4.794816799469589</v>
      </c>
      <c r="AE115" s="3" t="n">
        <v>0</v>
      </c>
      <c r="AF115" s="3" t="n">
        <v>2.636538957024227</v>
      </c>
      <c r="AG115" s="3" t="n">
        <v>3081.223124535141</v>
      </c>
      <c r="AH115" s="3" t="n">
        <v>7374.769729122164</v>
      </c>
      <c r="AI115" s="3" t="n">
        <v>6697.126917936311</v>
      </c>
      <c r="AJ115" s="3" t="n">
        <v>8776.865232583699</v>
      </c>
      <c r="AK115" s="3" t="n">
        <v>7926.128977556505</v>
      </c>
      <c r="AL115" s="3" t="n">
        <v>9099.018054991904</v>
      </c>
      <c r="AM115" s="3" t="n">
        <v>9733.267353757727</v>
      </c>
      <c r="AN115" s="3" t="n">
        <v>10646.82153802232</v>
      </c>
      <c r="AO115" s="3" t="n">
        <v>11578.32260572786</v>
      </c>
      <c r="AP115" s="3" t="n">
        <v>12798.0852526502</v>
      </c>
      <c r="AQ115" s="3" t="n">
        <v>11441.09674077989</v>
      </c>
      <c r="AR115" s="3" t="n">
        <v>14345.69327847215</v>
      </c>
      <c r="AS115" s="3" t="n">
        <v>12670.80237493877</v>
      </c>
      <c r="AT115" s="3" t="n">
        <v>15880.11527994008</v>
      </c>
      <c r="AU115" s="3" t="n">
        <v>16582.41471479756</v>
      </c>
      <c r="AV115" s="3" t="n">
        <v>18349.58208206579</v>
      </c>
      <c r="AW115" s="3" t="n">
        <v>19541.54621018148</v>
      </c>
      <c r="AX115" s="3" t="n">
        <v>21915.27485017501</v>
      </c>
      <c r="AY115" s="3" t="n">
        <v>24518.70678332477</v>
      </c>
      <c r="AZ115" s="3" t="n">
        <v>67355.3627462911</v>
      </c>
      <c r="BA115" s="3" t="n">
        <v>7256.561484335021</v>
      </c>
      <c r="BB115" s="3" t="n">
        <v>4496347.495506212</v>
      </c>
      <c r="BC115" s="3" t="n">
        <v>0</v>
      </c>
      <c r="BD115" s="3" t="n">
        <v>0</v>
      </c>
      <c r="BE115" s="3" t="n">
        <v>99.93689931870111</v>
      </c>
      <c r="BF115" s="3" t="n">
        <v>66.07328100765361</v>
      </c>
      <c r="BG115" s="3" t="n">
        <v>87.35423282159601</v>
      </c>
      <c r="BH115" s="3" t="n">
        <v>114.740061315705</v>
      </c>
      <c r="BI115" s="3" t="n">
        <v>99.50465320042845</v>
      </c>
      <c r="BJ115" s="3" t="n">
        <v>98.41507635035723</v>
      </c>
      <c r="BK115" s="3" t="n">
        <v>0.01017240137170758</v>
      </c>
      <c r="BL115" s="3" t="n">
        <v>0.01708577710096236</v>
      </c>
      <c r="BM115" s="3" t="n">
        <v>4.722836678594985</v>
      </c>
      <c r="BN115" s="3" t="n">
        <v>0</v>
      </c>
      <c r="BO115" s="3" t="n">
        <v>0</v>
      </c>
      <c r="BP115" s="3" t="n">
        <v>0</v>
      </c>
    </row>
    <row r="116">
      <c r="A116" s="3" t="inlineStr">
        <is>
          <t>EGY.distn.bsh.dec.urb.p25.3</t>
        </is>
      </c>
      <c r="B116" s="3" t="inlineStr">
        <is>
          <t>EGY</t>
        </is>
      </c>
      <c r="C116" s="3" t="n">
        <v>2017</v>
      </c>
      <c r="D116" s="3" t="inlineStr">
        <is>
          <t>Urban</t>
        </is>
      </c>
      <c r="E116" s="3" t="inlineStr">
        <is>
          <t>Deciles</t>
        </is>
      </c>
      <c r="F116" s="3" t="inlineStr">
        <is>
          <t>p25</t>
        </is>
      </c>
      <c r="G116" s="3" t="n">
        <v>3</v>
      </c>
      <c r="H116" s="3" t="n">
        <v>0.5464984277600916</v>
      </c>
      <c r="I116" s="3" t="n">
        <v>0</v>
      </c>
      <c r="J116" s="3" t="n">
        <v>3.05854236559612</v>
      </c>
      <c r="K116" s="3" t="n">
        <v>3.57146757685595</v>
      </c>
      <c r="L116" s="3" t="n">
        <v>0</v>
      </c>
      <c r="M116" s="3" t="n">
        <v>1.651840605812793</v>
      </c>
      <c r="N116" s="3" t="n">
        <v>0</v>
      </c>
      <c r="O116" s="3" t="n">
        <v>0</v>
      </c>
      <c r="P116" s="3" t="n">
        <v>0</v>
      </c>
      <c r="Q116" s="3" t="n">
        <v>2.166273660715494</v>
      </c>
      <c r="R116" s="3" t="n">
        <v>49.86923110315256</v>
      </c>
      <c r="S116" s="3" t="n">
        <v>0</v>
      </c>
      <c r="T116" s="3" t="n">
        <v>0</v>
      </c>
      <c r="U116" s="3" t="n">
        <v>0.691129836083928</v>
      </c>
      <c r="V116" s="3" t="n">
        <v>2.378381614049391</v>
      </c>
      <c r="W116" s="3" t="n">
        <v>0</v>
      </c>
      <c r="X116" s="3" t="n">
        <v>0</v>
      </c>
      <c r="Y116" s="3" t="n">
        <v>0</v>
      </c>
      <c r="Z116" s="3" t="n">
        <v>0</v>
      </c>
      <c r="AA116" s="3" t="n">
        <v>0</v>
      </c>
      <c r="AB116" s="3" t="n">
        <v>1.044952424889449</v>
      </c>
      <c r="AC116" s="3" t="n">
        <v>1.280915770029878</v>
      </c>
      <c r="AD116" s="3" t="n">
        <v>4.609054629608576</v>
      </c>
      <c r="AE116" s="3" t="n">
        <v>0</v>
      </c>
      <c r="AF116" s="3" t="n">
        <v>2.332716349259309</v>
      </c>
      <c r="AG116" s="3" t="n">
        <v>3141.292446316337</v>
      </c>
      <c r="AH116" s="3" t="n">
        <v>6569.548552154813</v>
      </c>
      <c r="AI116" s="3" t="n">
        <v>6776.405871501452</v>
      </c>
      <c r="AJ116" s="3" t="n">
        <v>8323.238002909673</v>
      </c>
      <c r="AK116" s="3" t="n">
        <v>7849.886441057241</v>
      </c>
      <c r="AL116" s="3" t="n">
        <v>9843.847619357257</v>
      </c>
      <c r="AM116" s="3" t="n">
        <v>9190.834210810328</v>
      </c>
      <c r="AN116" s="3" t="n">
        <v>10904.69324845583</v>
      </c>
      <c r="AO116" s="3" t="n">
        <v>11112.27256987491</v>
      </c>
      <c r="AP116" s="3" t="n">
        <v>11777.21861888156</v>
      </c>
      <c r="AQ116" s="3" t="n">
        <v>12434.70117922841</v>
      </c>
      <c r="AR116" s="3" t="n">
        <v>12673.10227595847</v>
      </c>
      <c r="AS116" s="3" t="n">
        <v>14001.22204110729</v>
      </c>
      <c r="AT116" s="3" t="n">
        <v>14972.35179259798</v>
      </c>
      <c r="AU116" s="3" t="n">
        <v>16179.51569275214</v>
      </c>
      <c r="AV116" s="3" t="n">
        <v>19311.08480527506</v>
      </c>
      <c r="AW116" s="3" t="n">
        <v>16967.60836690384</v>
      </c>
      <c r="AX116" s="3" t="n">
        <v>23274.05622953687</v>
      </c>
      <c r="AY116" s="3" t="n">
        <v>22672.87326337522</v>
      </c>
      <c r="AZ116" s="3" t="n">
        <v>65440.47317946635</v>
      </c>
      <c r="BA116" s="3" t="n">
        <v>8649.16504388569</v>
      </c>
      <c r="BB116" s="3" t="n">
        <v>5044864.386109928</v>
      </c>
      <c r="BC116" s="3" t="n">
        <v>0</v>
      </c>
      <c r="BD116" s="3" t="n">
        <v>0</v>
      </c>
      <c r="BE116" s="3" t="n">
        <v>103.5715058905609</v>
      </c>
      <c r="BF116" s="3" t="n">
        <v>71.88288290254812</v>
      </c>
      <c r="BG116" s="3" t="n">
        <v>98.02299016027754</v>
      </c>
      <c r="BH116" s="3" t="n">
        <v>113.1899166613178</v>
      </c>
      <c r="BI116" s="3" t="n">
        <v>101.9946400465139</v>
      </c>
      <c r="BJ116" s="3" t="n">
        <v>104.5243455870059</v>
      </c>
      <c r="BK116" s="3" t="n">
        <v>0</v>
      </c>
      <c r="BL116" s="3" t="n">
        <v>0</v>
      </c>
      <c r="BM116" s="3" t="n">
        <v>2.513655736092254</v>
      </c>
      <c r="BN116" s="3" t="n">
        <v>0</v>
      </c>
      <c r="BO116" s="3" t="n">
        <v>0</v>
      </c>
      <c r="BP116" s="3" t="n">
        <v>0</v>
      </c>
    </row>
    <row r="117">
      <c r="A117" s="3" t="inlineStr">
        <is>
          <t>EGY.distn.bsh.dec.urb.p25.4</t>
        </is>
      </c>
      <c r="B117" s="3" t="inlineStr">
        <is>
          <t>EGY</t>
        </is>
      </c>
      <c r="C117" s="3" t="n">
        <v>2017</v>
      </c>
      <c r="D117" s="3" t="inlineStr">
        <is>
          <t>Urban</t>
        </is>
      </c>
      <c r="E117" s="3" t="inlineStr">
        <is>
          <t>Deciles</t>
        </is>
      </c>
      <c r="F117" s="3" t="inlineStr">
        <is>
          <t>p25</t>
        </is>
      </c>
      <c r="G117" s="3" t="n">
        <v>4</v>
      </c>
      <c r="H117" s="3" t="n">
        <v>0.5241941718679748</v>
      </c>
      <c r="I117" s="3" t="n">
        <v>0</v>
      </c>
      <c r="J117" s="3" t="n">
        <v>2.668592577891155</v>
      </c>
      <c r="K117" s="3" t="n">
        <v>3.095940555381834</v>
      </c>
      <c r="L117" s="3" t="n">
        <v>0</v>
      </c>
      <c r="M117" s="3" t="n">
        <v>1.790947950293682</v>
      </c>
      <c r="N117" s="3" t="n">
        <v>0</v>
      </c>
      <c r="O117" s="3" t="n">
        <v>0</v>
      </c>
      <c r="P117" s="3" t="n">
        <v>0</v>
      </c>
      <c r="Q117" s="3" t="n">
        <v>2.046962729765029</v>
      </c>
      <c r="R117" s="3" t="n">
        <v>42.29347036240966</v>
      </c>
      <c r="S117" s="3" t="n">
        <v>0</v>
      </c>
      <c r="T117" s="3" t="n">
        <v>0</v>
      </c>
      <c r="U117" s="3" t="n">
        <v>0.6480267689998865</v>
      </c>
      <c r="V117" s="3" t="n">
        <v>1.827676564625593</v>
      </c>
      <c r="W117" s="3" t="n">
        <v>0</v>
      </c>
      <c r="X117" s="3" t="n">
        <v>0</v>
      </c>
      <c r="Y117" s="3" t="n">
        <v>0</v>
      </c>
      <c r="Z117" s="3" t="n">
        <v>0</v>
      </c>
      <c r="AA117" s="3" t="n">
        <v>0</v>
      </c>
      <c r="AB117" s="3" t="n">
        <v>0.7807246526733411</v>
      </c>
      <c r="AC117" s="3" t="n">
        <v>1.674706022369607</v>
      </c>
      <c r="AD117" s="3" t="n">
        <v>4.343907071016517</v>
      </c>
      <c r="AE117" s="3" t="n">
        <v>0</v>
      </c>
      <c r="AF117" s="3" t="n">
        <v>2.546237712964815</v>
      </c>
      <c r="AG117" s="3" t="n">
        <v>3372.298165940461</v>
      </c>
      <c r="AH117" s="3" t="n">
        <v>7047.831314290849</v>
      </c>
      <c r="AI117" s="3" t="n">
        <v>6809.299290107212</v>
      </c>
      <c r="AJ117" s="3" t="n">
        <v>8272.412503053318</v>
      </c>
      <c r="AK117" s="3" t="n">
        <v>8340.321853139627</v>
      </c>
      <c r="AL117" s="3" t="n">
        <v>9847.64221887402</v>
      </c>
      <c r="AM117" s="3" t="n">
        <v>9819.432097284598</v>
      </c>
      <c r="AN117" s="3" t="n">
        <v>11074.04460967623</v>
      </c>
      <c r="AO117" s="3" t="n">
        <v>11633.17167219714</v>
      </c>
      <c r="AP117" s="3" t="n">
        <v>12040.8703968271</v>
      </c>
      <c r="AQ117" s="3" t="n">
        <v>12268.83141293509</v>
      </c>
      <c r="AR117" s="3" t="n">
        <v>12722.04256375778</v>
      </c>
      <c r="AS117" s="3" t="n">
        <v>13380.77352953311</v>
      </c>
      <c r="AT117" s="3" t="n">
        <v>14751.00062728363</v>
      </c>
      <c r="AU117" s="3" t="n">
        <v>14597.56393950381</v>
      </c>
      <c r="AV117" s="3" t="n">
        <v>17426.55444174871</v>
      </c>
      <c r="AW117" s="3" t="n">
        <v>18643.85864622352</v>
      </c>
      <c r="AX117" s="3" t="n">
        <v>23057.84224130299</v>
      </c>
      <c r="AY117" s="3" t="n">
        <v>24911.01114043608</v>
      </c>
      <c r="AZ117" s="3" t="n">
        <v>63660.00407104324</v>
      </c>
      <c r="BA117" s="3" t="n">
        <v>10337.87740950398</v>
      </c>
      <c r="BB117" s="3" t="n">
        <v>5009795.432343637</v>
      </c>
      <c r="BC117" s="3" t="n">
        <v>0</v>
      </c>
      <c r="BD117" s="3" t="n">
        <v>0</v>
      </c>
      <c r="BE117" s="3" t="n">
        <v>104.2564915578208</v>
      </c>
      <c r="BF117" s="3" t="n">
        <v>73.71987378137715</v>
      </c>
      <c r="BG117" s="3" t="n">
        <v>100.9208848360502</v>
      </c>
      <c r="BH117" s="3" t="n">
        <v>111.4120840301721</v>
      </c>
      <c r="BI117" s="3" t="n">
        <v>112.8025045049477</v>
      </c>
      <c r="BJ117" s="3" t="n">
        <v>100</v>
      </c>
      <c r="BK117" s="3" t="n">
        <v>0</v>
      </c>
      <c r="BL117" s="3" t="n">
        <v>0</v>
      </c>
      <c r="BM117" s="3" t="n">
        <v>0.5128935731022747</v>
      </c>
      <c r="BN117" s="3" t="n">
        <v>0</v>
      </c>
      <c r="BO117" s="3" t="n">
        <v>0</v>
      </c>
      <c r="BP117" s="3" t="n">
        <v>0</v>
      </c>
    </row>
    <row r="118">
      <c r="A118" s="3" t="inlineStr">
        <is>
          <t>EGY.distn.bsh.dec.urb.p25.5</t>
        </is>
      </c>
      <c r="B118" s="3" t="inlineStr">
        <is>
          <t>EGY</t>
        </is>
      </c>
      <c r="C118" s="3" t="n">
        <v>2017</v>
      </c>
      <c r="D118" s="3" t="inlineStr">
        <is>
          <t>Urban</t>
        </is>
      </c>
      <c r="E118" s="3" t="inlineStr">
        <is>
          <t>Deciles</t>
        </is>
      </c>
      <c r="F118" s="3" t="inlineStr">
        <is>
          <t>p25</t>
        </is>
      </c>
      <c r="G118" s="3" t="n">
        <v>5</v>
      </c>
      <c r="H118" s="3" t="n">
        <v>0.6047107841455935</v>
      </c>
      <c r="I118" s="3" t="n">
        <v>0</v>
      </c>
      <c r="J118" s="3" t="n">
        <v>2.730146795488802</v>
      </c>
      <c r="K118" s="3" t="n">
        <v>3.030907378042797</v>
      </c>
      <c r="L118" s="3" t="n">
        <v>0</v>
      </c>
      <c r="M118" s="3" t="n">
        <v>1.873474512912118</v>
      </c>
      <c r="N118" s="3" t="n">
        <v>0</v>
      </c>
      <c r="O118" s="3" t="n">
        <v>0</v>
      </c>
      <c r="P118" s="3" t="n">
        <v>0</v>
      </c>
      <c r="Q118" s="3" t="n">
        <v>2.111931478017782</v>
      </c>
      <c r="R118" s="3" t="n">
        <v>42.48183566033422</v>
      </c>
      <c r="S118" s="3" t="n">
        <v>0</v>
      </c>
      <c r="T118" s="3" t="n">
        <v>0</v>
      </c>
      <c r="U118" s="3" t="n">
        <v>0.8853883903493516</v>
      </c>
      <c r="V118" s="3" t="n">
        <v>2.069872847465969</v>
      </c>
      <c r="W118" s="3" t="n">
        <v>0</v>
      </c>
      <c r="X118" s="3" t="n">
        <v>0</v>
      </c>
      <c r="Y118" s="3" t="n">
        <v>0</v>
      </c>
      <c r="Z118" s="3" t="n">
        <v>0</v>
      </c>
      <c r="AA118" s="3" t="n">
        <v>0</v>
      </c>
      <c r="AB118" s="3" t="n">
        <v>0.7283139039901562</v>
      </c>
      <c r="AC118" s="3" t="n">
        <v>1.770601618303124</v>
      </c>
      <c r="AD118" s="3" t="n">
        <v>5.04449285679326</v>
      </c>
      <c r="AE118" s="3" t="n">
        <v>0</v>
      </c>
      <c r="AF118" s="3" t="n">
        <v>2.706083066818501</v>
      </c>
      <c r="AG118" s="3" t="n">
        <v>3235.161741596423</v>
      </c>
      <c r="AH118" s="3" t="n">
        <v>6900.685199115027</v>
      </c>
      <c r="AI118" s="3" t="n">
        <v>7530.463692944047</v>
      </c>
      <c r="AJ118" s="3" t="n">
        <v>9107.993403196184</v>
      </c>
      <c r="AK118" s="3" t="n">
        <v>8509.983572949177</v>
      </c>
      <c r="AL118" s="3" t="n">
        <v>9135.363677921021</v>
      </c>
      <c r="AM118" s="3" t="n">
        <v>9606.21999967766</v>
      </c>
      <c r="AN118" s="3" t="n">
        <v>10738.3619793634</v>
      </c>
      <c r="AO118" s="3" t="n">
        <v>10785.43426872679</v>
      </c>
      <c r="AP118" s="3" t="n">
        <v>12785.68213472616</v>
      </c>
      <c r="AQ118" s="3" t="n">
        <v>11983.71265780001</v>
      </c>
      <c r="AR118" s="3" t="n">
        <v>14552.62443386341</v>
      </c>
      <c r="AS118" s="3" t="n">
        <v>13934.60568327091</v>
      </c>
      <c r="AT118" s="3" t="n">
        <v>15999.92393127775</v>
      </c>
      <c r="AU118" s="3" t="n">
        <v>15057.4381487834</v>
      </c>
      <c r="AV118" s="3" t="n">
        <v>18796.88073421713</v>
      </c>
      <c r="AW118" s="3" t="n">
        <v>19377.24616836995</v>
      </c>
      <c r="AX118" s="3" t="n">
        <v>24687.32602112425</v>
      </c>
      <c r="AY118" s="3" t="n">
        <v>21689.52160534968</v>
      </c>
      <c r="AZ118" s="3" t="n">
        <v>62643.65708872039</v>
      </c>
      <c r="BA118" s="3" t="n">
        <v>10688.50579571048</v>
      </c>
      <c r="BB118" s="3" t="n">
        <v>4744662.477799003</v>
      </c>
      <c r="BC118" s="3" t="n">
        <v>0</v>
      </c>
      <c r="BD118" s="3" t="n">
        <v>0</v>
      </c>
      <c r="BE118" s="3" t="n">
        <v>111.7379453021927</v>
      </c>
      <c r="BF118" s="3" t="n">
        <v>71.7073605876667</v>
      </c>
      <c r="BG118" s="3" t="n">
        <v>99.51885911548173</v>
      </c>
      <c r="BH118" s="3" t="n">
        <v>103.9551039969136</v>
      </c>
      <c r="BI118" s="3" t="n">
        <v>111.4991816591942</v>
      </c>
      <c r="BJ118" s="3" t="n">
        <v>100</v>
      </c>
      <c r="BK118" s="3" t="n">
        <v>0</v>
      </c>
      <c r="BL118" s="3" t="n">
        <v>0</v>
      </c>
      <c r="BM118" s="3" t="n">
        <v>0.1555354455649365</v>
      </c>
      <c r="BN118" s="3" t="n">
        <v>0</v>
      </c>
      <c r="BO118" s="3" t="n">
        <v>0</v>
      </c>
      <c r="BP118" s="3" t="n">
        <v>0</v>
      </c>
    </row>
    <row r="119">
      <c r="A119" s="3" t="inlineStr">
        <is>
          <t>EGY.distn.bsh.dec.urb.p25.6</t>
        </is>
      </c>
      <c r="B119" s="3" t="inlineStr">
        <is>
          <t>EGY</t>
        </is>
      </c>
      <c r="C119" s="3" t="n">
        <v>2017</v>
      </c>
      <c r="D119" s="3" t="inlineStr">
        <is>
          <t>Urban</t>
        </is>
      </c>
      <c r="E119" s="3" t="inlineStr">
        <is>
          <t>Deciles</t>
        </is>
      </c>
      <c r="F119" s="3" t="inlineStr">
        <is>
          <t>p25</t>
        </is>
      </c>
      <c r="G119" s="3" t="n">
        <v>6</v>
      </c>
      <c r="H119" s="3" t="n">
        <v>0.5567441544043495</v>
      </c>
      <c r="I119" s="3" t="n">
        <v>0</v>
      </c>
      <c r="J119" s="3" t="n">
        <v>2.972495603763789</v>
      </c>
      <c r="K119" s="3" t="n">
        <v>2.73043231007956</v>
      </c>
      <c r="L119" s="3" t="n">
        <v>0</v>
      </c>
      <c r="M119" s="3" t="n">
        <v>2.17862533616072</v>
      </c>
      <c r="N119" s="3" t="n">
        <v>0</v>
      </c>
      <c r="O119" s="3" t="n">
        <v>0</v>
      </c>
      <c r="P119" s="3" t="n">
        <v>0</v>
      </c>
      <c r="Q119" s="3" t="n">
        <v>2.212268652977946</v>
      </c>
      <c r="R119" s="3" t="n">
        <v>44.1343426145207</v>
      </c>
      <c r="S119" s="3" t="n">
        <v>0</v>
      </c>
      <c r="T119" s="3" t="n">
        <v>0</v>
      </c>
      <c r="U119" s="3" t="n">
        <v>0.9038056054037183</v>
      </c>
      <c r="V119" s="3" t="n">
        <v>2.006234815582736</v>
      </c>
      <c r="W119" s="3" t="n">
        <v>0</v>
      </c>
      <c r="X119" s="3" t="n">
        <v>0</v>
      </c>
      <c r="Y119" s="3" t="n">
        <v>0</v>
      </c>
      <c r="Z119" s="3" t="n">
        <v>0</v>
      </c>
      <c r="AA119" s="3" t="n">
        <v>0</v>
      </c>
      <c r="AB119" s="3" t="n">
        <v>0.5381656337107202</v>
      </c>
      <c r="AC119" s="3" t="n">
        <v>1.68889727031187</v>
      </c>
      <c r="AD119" s="3" t="n">
        <v>4.768808176046241</v>
      </c>
      <c r="AE119" s="3" t="n">
        <v>0</v>
      </c>
      <c r="AF119" s="3" t="n">
        <v>3.05813303053988</v>
      </c>
      <c r="AG119" s="3" t="n">
        <v>3109.156559193445</v>
      </c>
      <c r="AH119" s="3" t="n">
        <v>6871.13484105938</v>
      </c>
      <c r="AI119" s="3" t="n">
        <v>7620.165919358904</v>
      </c>
      <c r="AJ119" s="3" t="n">
        <v>8885.72733847089</v>
      </c>
      <c r="AK119" s="3" t="n">
        <v>8381.593601391181</v>
      </c>
      <c r="AL119" s="3" t="n">
        <v>10150.40549050428</v>
      </c>
      <c r="AM119" s="3" t="n">
        <v>10378.51798577738</v>
      </c>
      <c r="AN119" s="3" t="n">
        <v>11172.99298371709</v>
      </c>
      <c r="AO119" s="3" t="n">
        <v>11585.26174270499</v>
      </c>
      <c r="AP119" s="3" t="n">
        <v>12300.67940790537</v>
      </c>
      <c r="AQ119" s="3" t="n">
        <v>12393.57731822013</v>
      </c>
      <c r="AR119" s="3" t="n">
        <v>13206.98333640464</v>
      </c>
      <c r="AS119" s="3" t="n">
        <v>12686.50494047045</v>
      </c>
      <c r="AT119" s="3" t="n">
        <v>15881.39942611578</v>
      </c>
      <c r="AU119" s="3" t="n">
        <v>15158.62322743033</v>
      </c>
      <c r="AV119" s="3" t="n">
        <v>18868.49117389333</v>
      </c>
      <c r="AW119" s="3" t="n">
        <v>18352.02151106511</v>
      </c>
      <c r="AX119" s="3" t="n">
        <v>21408.50629382786</v>
      </c>
      <c r="AY119" s="3" t="n">
        <v>23477.27816276482</v>
      </c>
      <c r="AZ119" s="3" t="n">
        <v>69132.71598122317</v>
      </c>
      <c r="BA119" s="3" t="n">
        <v>11689.20721855557</v>
      </c>
      <c r="BB119" s="3" t="n">
        <v>4883175.597827747</v>
      </c>
      <c r="BC119" s="3" t="n">
        <v>0</v>
      </c>
      <c r="BD119" s="3" t="n">
        <v>0</v>
      </c>
      <c r="BE119" s="3" t="n">
        <v>100.3100457239414</v>
      </c>
      <c r="BF119" s="3" t="n">
        <v>66.08639029230773</v>
      </c>
      <c r="BG119" s="3" t="n">
        <v>96.4750546972999</v>
      </c>
      <c r="BH119" s="3" t="n">
        <v>100</v>
      </c>
      <c r="BI119" s="3" t="n">
        <v>100.207314326558</v>
      </c>
      <c r="BJ119" s="3" t="n">
        <v>101.386138949572</v>
      </c>
      <c r="BK119" s="3" t="n">
        <v>0</v>
      </c>
      <c r="BL119" s="3" t="n">
        <v>0</v>
      </c>
      <c r="BM119" s="3" t="n">
        <v>0.02355376676466164</v>
      </c>
      <c r="BN119" s="3" t="n">
        <v>0</v>
      </c>
      <c r="BO119" s="3" t="n">
        <v>0</v>
      </c>
      <c r="BP119" s="3" t="n">
        <v>0</v>
      </c>
    </row>
    <row r="120">
      <c r="A120" s="3" t="inlineStr">
        <is>
          <t>EGY.distn.bsh.dec.urb.p25.7</t>
        </is>
      </c>
      <c r="B120" s="3" t="inlineStr">
        <is>
          <t>EGY</t>
        </is>
      </c>
      <c r="C120" s="3" t="n">
        <v>2017</v>
      </c>
      <c r="D120" s="3" t="inlineStr">
        <is>
          <t>Urban</t>
        </is>
      </c>
      <c r="E120" s="3" t="inlineStr">
        <is>
          <t>Deciles</t>
        </is>
      </c>
      <c r="F120" s="3" t="inlineStr">
        <is>
          <t>p25</t>
        </is>
      </c>
      <c r="G120" s="3" t="n">
        <v>7</v>
      </c>
      <c r="H120" s="3" t="n">
        <v>0.5085881841428089</v>
      </c>
      <c r="I120" s="3" t="n">
        <v>0</v>
      </c>
      <c r="J120" s="3" t="n">
        <v>2.49678610142536</v>
      </c>
      <c r="K120" s="3" t="n">
        <v>2.362606694994247</v>
      </c>
      <c r="L120" s="3" t="n">
        <v>0</v>
      </c>
      <c r="M120" s="3" t="n">
        <v>1.856736959546421</v>
      </c>
      <c r="N120" s="3" t="n">
        <v>0</v>
      </c>
      <c r="O120" s="3" t="n">
        <v>0</v>
      </c>
      <c r="P120" s="3" t="n">
        <v>0</v>
      </c>
      <c r="Q120" s="3" t="n">
        <v>2.164887057936281</v>
      </c>
      <c r="R120" s="3" t="n">
        <v>46.3731349831364</v>
      </c>
      <c r="S120" s="3" t="n">
        <v>0</v>
      </c>
      <c r="T120" s="3" t="n">
        <v>0</v>
      </c>
      <c r="U120" s="3" t="n">
        <v>1.036803406980608</v>
      </c>
      <c r="V120" s="3" t="n">
        <v>1.9659627892426</v>
      </c>
      <c r="W120" s="3" t="n">
        <v>0</v>
      </c>
      <c r="X120" s="3" t="n">
        <v>0</v>
      </c>
      <c r="Y120" s="3" t="n">
        <v>0</v>
      </c>
      <c r="Z120" s="3" t="n">
        <v>0</v>
      </c>
      <c r="AA120" s="3" t="n">
        <v>0</v>
      </c>
      <c r="AB120" s="3" t="n">
        <v>0.4174193852047136</v>
      </c>
      <c r="AC120" s="3" t="n">
        <v>1.626531953774621</v>
      </c>
      <c r="AD120" s="3" t="n">
        <v>3.877091729200715</v>
      </c>
      <c r="AE120" s="3" t="n">
        <v>0</v>
      </c>
      <c r="AF120" s="3" t="n">
        <v>2.683718635755227</v>
      </c>
      <c r="AG120" s="3" t="n">
        <v>2929.175467003864</v>
      </c>
      <c r="AH120" s="3" t="n">
        <v>7548.677181098265</v>
      </c>
      <c r="AI120" s="3" t="n">
        <v>6676.024277661651</v>
      </c>
      <c r="AJ120" s="3" t="n">
        <v>8372.589862919918</v>
      </c>
      <c r="AK120" s="3" t="n">
        <v>8743.444959368704</v>
      </c>
      <c r="AL120" s="3" t="n">
        <v>9196.076567497001</v>
      </c>
      <c r="AM120" s="3" t="n">
        <v>10240.42164635116</v>
      </c>
      <c r="AN120" s="3" t="n">
        <v>10243.80771326035</v>
      </c>
      <c r="AO120" s="3" t="n">
        <v>11240.44566306601</v>
      </c>
      <c r="AP120" s="3" t="n">
        <v>12742.74442443511</v>
      </c>
      <c r="AQ120" s="3" t="n">
        <v>11842.12101579978</v>
      </c>
      <c r="AR120" s="3" t="n">
        <v>12991.24188236091</v>
      </c>
      <c r="AS120" s="3" t="n">
        <v>14755.06230171692</v>
      </c>
      <c r="AT120" s="3" t="n">
        <v>15387.70342985963</v>
      </c>
      <c r="AU120" s="3" t="n">
        <v>16016.1619626782</v>
      </c>
      <c r="AV120" s="3" t="n">
        <v>17012.66959691828</v>
      </c>
      <c r="AW120" s="3" t="n">
        <v>17630.23178959553</v>
      </c>
      <c r="AX120" s="3" t="n">
        <v>22857.98635046932</v>
      </c>
      <c r="AY120" s="3" t="n">
        <v>24943.23843990821</v>
      </c>
      <c r="AZ120" s="3" t="n">
        <v>64706.20426836907</v>
      </c>
      <c r="BA120" s="3" t="n">
        <v>14400.42536059411</v>
      </c>
      <c r="BB120" s="3" t="n">
        <v>5122055.664108579</v>
      </c>
      <c r="BC120" s="3" t="n">
        <v>0</v>
      </c>
      <c r="BD120" s="3" t="n">
        <v>0</v>
      </c>
      <c r="BE120" s="3" t="n">
        <v>102.8205444578195</v>
      </c>
      <c r="BF120" s="3" t="n">
        <v>69.35155294778269</v>
      </c>
      <c r="BG120" s="3" t="n">
        <v>96.39333347497376</v>
      </c>
      <c r="BH120" s="3" t="n">
        <v>108.5144175198932</v>
      </c>
      <c r="BI120" s="3" t="n">
        <v>102.1167382526645</v>
      </c>
      <c r="BJ120" s="3" t="n">
        <v>101.2191232342032</v>
      </c>
      <c r="BK120" s="3" t="n">
        <v>0</v>
      </c>
      <c r="BL120" s="3" t="n">
        <v>0</v>
      </c>
      <c r="BM120" s="3" t="n">
        <v>0.0213700499184711</v>
      </c>
      <c r="BN120" s="3" t="n">
        <v>0</v>
      </c>
      <c r="BO120" s="3" t="n">
        <v>0</v>
      </c>
      <c r="BP120" s="3" t="n">
        <v>0</v>
      </c>
    </row>
    <row r="121">
      <c r="A121" s="3" t="inlineStr">
        <is>
          <t>EGY.distn.bsh.dec.urb.p25.8</t>
        </is>
      </c>
      <c r="B121" s="3" t="inlineStr">
        <is>
          <t>EGY</t>
        </is>
      </c>
      <c r="C121" s="3" t="n">
        <v>2017</v>
      </c>
      <c r="D121" s="3" t="inlineStr">
        <is>
          <t>Urban</t>
        </is>
      </c>
      <c r="E121" s="3" t="inlineStr">
        <is>
          <t>Deciles</t>
        </is>
      </c>
      <c r="F121" s="3" t="inlineStr">
        <is>
          <t>p25</t>
        </is>
      </c>
      <c r="G121" s="3" t="n">
        <v>8</v>
      </c>
      <c r="H121" s="3" t="n">
        <v>0.597797945916881</v>
      </c>
      <c r="I121" s="3" t="n">
        <v>0</v>
      </c>
      <c r="J121" s="3" t="n">
        <v>2.618366448627615</v>
      </c>
      <c r="K121" s="3" t="n">
        <v>2.394668645701383</v>
      </c>
      <c r="L121" s="3" t="n">
        <v>0</v>
      </c>
      <c r="M121" s="3" t="n">
        <v>2.140162206225658</v>
      </c>
      <c r="N121" s="3" t="n">
        <v>0</v>
      </c>
      <c r="O121" s="3" t="n">
        <v>0</v>
      </c>
      <c r="P121" s="3" t="n">
        <v>0</v>
      </c>
      <c r="Q121" s="3" t="n">
        <v>1.945721760345374</v>
      </c>
      <c r="R121" s="3" t="n">
        <v>42.72957217132143</v>
      </c>
      <c r="S121" s="3" t="n">
        <v>0</v>
      </c>
      <c r="T121" s="3" t="n">
        <v>0</v>
      </c>
      <c r="U121" s="3" t="n">
        <v>1.040010838504597</v>
      </c>
      <c r="V121" s="3" t="n">
        <v>1.973785586675267</v>
      </c>
      <c r="W121" s="3" t="n">
        <v>0</v>
      </c>
      <c r="X121" s="3" t="n">
        <v>0</v>
      </c>
      <c r="Y121" s="3" t="n">
        <v>0</v>
      </c>
      <c r="Z121" s="3" t="n">
        <v>0</v>
      </c>
      <c r="AA121" s="3" t="n">
        <v>0</v>
      </c>
      <c r="AB121" s="3" t="n">
        <v>0.3114723679271075</v>
      </c>
      <c r="AC121" s="3" t="n">
        <v>1.689027810500551</v>
      </c>
      <c r="AD121" s="3" t="n">
        <v>4.083172076957492</v>
      </c>
      <c r="AE121" s="3" t="n">
        <v>0</v>
      </c>
      <c r="AF121" s="3" t="n">
        <v>2.311061018373755</v>
      </c>
      <c r="AG121" s="3" t="n">
        <v>3167.238886877174</v>
      </c>
      <c r="AH121" s="3" t="n">
        <v>7434.197960909443</v>
      </c>
      <c r="AI121" s="3" t="n">
        <v>7274.706706190377</v>
      </c>
      <c r="AJ121" s="3" t="n">
        <v>7956.597061789487</v>
      </c>
      <c r="AK121" s="3" t="n">
        <v>8520.352389943544</v>
      </c>
      <c r="AL121" s="3" t="n">
        <v>10377.69066088136</v>
      </c>
      <c r="AM121" s="3" t="n">
        <v>9032.813577794157</v>
      </c>
      <c r="AN121" s="3" t="n">
        <v>10642.95655101731</v>
      </c>
      <c r="AO121" s="3" t="n">
        <v>10650.47408810061</v>
      </c>
      <c r="AP121" s="3" t="n">
        <v>11433.68804091222</v>
      </c>
      <c r="AQ121" s="3" t="n">
        <v>12222.93588940229</v>
      </c>
      <c r="AR121" s="3" t="n">
        <v>13120.84330630389</v>
      </c>
      <c r="AS121" s="3" t="n">
        <v>14415.83973190202</v>
      </c>
      <c r="AT121" s="3" t="n">
        <v>15643.34367400101</v>
      </c>
      <c r="AU121" s="3" t="n">
        <v>15814.57039525315</v>
      </c>
      <c r="AV121" s="3" t="n">
        <v>18028.08463360394</v>
      </c>
      <c r="AW121" s="3" t="n">
        <v>18804.74708411354</v>
      </c>
      <c r="AX121" s="3" t="n">
        <v>23241.91422246249</v>
      </c>
      <c r="AY121" s="3" t="n">
        <v>21651.36215815183</v>
      </c>
      <c r="AZ121" s="3" t="n">
        <v>67793.90677242073</v>
      </c>
      <c r="BA121" s="3" t="n">
        <v>14394.44346367546</v>
      </c>
      <c r="BB121" s="3" t="n">
        <v>4713185.071654051</v>
      </c>
      <c r="BC121" s="3" t="n">
        <v>0</v>
      </c>
      <c r="BD121" s="3" t="n">
        <v>0</v>
      </c>
      <c r="BE121" s="3" t="n">
        <v>105.8951297391126</v>
      </c>
      <c r="BF121" s="3" t="n">
        <v>65.66449755994448</v>
      </c>
      <c r="BG121" s="3" t="n">
        <v>99.23230761781274</v>
      </c>
      <c r="BH121" s="3" t="n">
        <v>98.68504536534094</v>
      </c>
      <c r="BI121" s="3" t="n">
        <v>96.90366680615305</v>
      </c>
      <c r="BJ121" s="3" t="n">
        <v>100</v>
      </c>
      <c r="BK121" s="3" t="n">
        <v>0</v>
      </c>
      <c r="BL121" s="3" t="n">
        <v>0</v>
      </c>
      <c r="BM121" s="3" t="n">
        <v>0</v>
      </c>
      <c r="BN121" s="3" t="n">
        <v>0</v>
      </c>
      <c r="BO121" s="3" t="n">
        <v>0</v>
      </c>
      <c r="BP121" s="3" t="n">
        <v>0</v>
      </c>
    </row>
    <row r="122">
      <c r="A122" s="3" t="inlineStr">
        <is>
          <t>EGY.distn.bsh.dec.urb.p25.9</t>
        </is>
      </c>
      <c r="B122" s="3" t="inlineStr">
        <is>
          <t>EGY</t>
        </is>
      </c>
      <c r="C122" s="3" t="n">
        <v>2017</v>
      </c>
      <c r="D122" s="3" t="inlineStr">
        <is>
          <t>Urban</t>
        </is>
      </c>
      <c r="E122" s="3" t="inlineStr">
        <is>
          <t>Deciles</t>
        </is>
      </c>
      <c r="F122" s="3" t="inlineStr">
        <is>
          <t>p25</t>
        </is>
      </c>
      <c r="G122" s="3" t="n">
        <v>9</v>
      </c>
      <c r="H122" s="3" t="n">
        <v>0.4806096312167208</v>
      </c>
      <c r="I122" s="3" t="n">
        <v>0</v>
      </c>
      <c r="J122" s="3" t="n">
        <v>2.417061875900593</v>
      </c>
      <c r="K122" s="3" t="n">
        <v>1.387523581794196</v>
      </c>
      <c r="L122" s="3" t="n">
        <v>0</v>
      </c>
      <c r="M122" s="3" t="n">
        <v>1.797216430068919</v>
      </c>
      <c r="N122" s="3" t="n">
        <v>0</v>
      </c>
      <c r="O122" s="3" t="n">
        <v>0</v>
      </c>
      <c r="P122" s="3" t="n">
        <v>0</v>
      </c>
      <c r="Q122" s="3" t="n">
        <v>2.282584556631356</v>
      </c>
      <c r="R122" s="3" t="n">
        <v>45.81112706500751</v>
      </c>
      <c r="S122" s="3" t="n">
        <v>0</v>
      </c>
      <c r="T122" s="3" t="n">
        <v>0</v>
      </c>
      <c r="U122" s="3" t="n">
        <v>1.119861289516471</v>
      </c>
      <c r="V122" s="3" t="n">
        <v>2.051158246316071</v>
      </c>
      <c r="W122" s="3" t="n">
        <v>0</v>
      </c>
      <c r="X122" s="3" t="n">
        <v>0</v>
      </c>
      <c r="Y122" s="3" t="n">
        <v>0</v>
      </c>
      <c r="Z122" s="3" t="n">
        <v>0</v>
      </c>
      <c r="AA122" s="3" t="n">
        <v>0</v>
      </c>
      <c r="AB122" s="3" t="n">
        <v>0.2632279360432977</v>
      </c>
      <c r="AC122" s="3" t="n">
        <v>1.772710105101854</v>
      </c>
      <c r="AD122" s="3" t="n">
        <v>3.785101009906156</v>
      </c>
      <c r="AE122" s="3" t="n">
        <v>0</v>
      </c>
      <c r="AF122" s="3" t="n">
        <v>2.118796688447481</v>
      </c>
      <c r="AG122" s="3" t="n">
        <v>3179.397915700329</v>
      </c>
      <c r="AH122" s="3" t="n">
        <v>7424.047667203389</v>
      </c>
      <c r="AI122" s="3" t="n">
        <v>6661.221710107245</v>
      </c>
      <c r="AJ122" s="3" t="n">
        <v>8030.679209090515</v>
      </c>
      <c r="AK122" s="3" t="n">
        <v>7938.834672485799</v>
      </c>
      <c r="AL122" s="3" t="n">
        <v>9800.863945572397</v>
      </c>
      <c r="AM122" s="3" t="n">
        <v>10430.11717297188</v>
      </c>
      <c r="AN122" s="3" t="n">
        <v>10619.38885524415</v>
      </c>
      <c r="AO122" s="3" t="n">
        <v>10137.82314777552</v>
      </c>
      <c r="AP122" s="3" t="n">
        <v>12175.96802439947</v>
      </c>
      <c r="AQ122" s="3" t="n">
        <v>11441.55400804591</v>
      </c>
      <c r="AR122" s="3" t="n">
        <v>13014.51036473335</v>
      </c>
      <c r="AS122" s="3" t="n">
        <v>14258.42845656139</v>
      </c>
      <c r="AT122" s="3" t="n">
        <v>14858.56396227108</v>
      </c>
      <c r="AU122" s="3" t="n">
        <v>15491.21811568471</v>
      </c>
      <c r="AV122" s="3" t="n">
        <v>17252.70704120606</v>
      </c>
      <c r="AW122" s="3" t="n">
        <v>18083.18854197502</v>
      </c>
      <c r="AX122" s="3" t="n">
        <v>21860.29330839273</v>
      </c>
      <c r="AY122" s="3" t="n">
        <v>23138.2810134118</v>
      </c>
      <c r="AZ122" s="3" t="n">
        <v>68731.76682656549</v>
      </c>
      <c r="BA122" s="3" t="n">
        <v>17120.75322199837</v>
      </c>
      <c r="BB122" s="3" t="n">
        <v>4843879.215140653</v>
      </c>
      <c r="BC122" s="3" t="n">
        <v>0</v>
      </c>
      <c r="BD122" s="3" t="n">
        <v>0</v>
      </c>
      <c r="BE122" s="3" t="n">
        <v>101.38006429918</v>
      </c>
      <c r="BF122" s="3" t="n">
        <v>55.47805224114853</v>
      </c>
      <c r="BG122" s="3" t="n">
        <v>103.0078934644257</v>
      </c>
      <c r="BH122" s="3" t="n">
        <v>105.5264183730012</v>
      </c>
      <c r="BI122" s="3" t="n">
        <v>101.7344888370354</v>
      </c>
      <c r="BJ122" s="3" t="n">
        <v>101.502715959904</v>
      </c>
      <c r="BK122" s="3" t="n">
        <v>0</v>
      </c>
      <c r="BL122" s="3" t="n">
        <v>0</v>
      </c>
      <c r="BM122" s="3" t="n">
        <v>0</v>
      </c>
      <c r="BN122" s="3" t="n">
        <v>0</v>
      </c>
      <c r="BO122" s="3" t="n">
        <v>0</v>
      </c>
      <c r="BP122" s="3" t="n">
        <v>0</v>
      </c>
    </row>
    <row r="123">
      <c r="A123" s="3" t="inlineStr">
        <is>
          <t>EGY.distn.bsh.dec.urb.p25.10</t>
        </is>
      </c>
      <c r="B123" s="3" t="inlineStr">
        <is>
          <t>EGY</t>
        </is>
      </c>
      <c r="C123" s="3" t="n">
        <v>2017</v>
      </c>
      <c r="D123" s="3" t="inlineStr">
        <is>
          <t>Urban</t>
        </is>
      </c>
      <c r="E123" s="3" t="inlineStr">
        <is>
          <t>Deciles</t>
        </is>
      </c>
      <c r="F123" s="3" t="inlineStr">
        <is>
          <t>p25</t>
        </is>
      </c>
      <c r="G123" s="3" t="n">
        <v>10</v>
      </c>
      <c r="H123" s="3" t="n">
        <v>0.4109750805811432</v>
      </c>
      <c r="I123" s="3" t="n">
        <v>0</v>
      </c>
      <c r="J123" s="3" t="n">
        <v>2.621740785063296</v>
      </c>
      <c r="K123" s="3" t="n">
        <v>1.243191449045226</v>
      </c>
      <c r="L123" s="3" t="n">
        <v>0</v>
      </c>
      <c r="M123" s="3" t="n">
        <v>1.794497163215595</v>
      </c>
      <c r="N123" s="3" t="n">
        <v>0</v>
      </c>
      <c r="O123" s="3" t="n">
        <v>0</v>
      </c>
      <c r="P123" s="3" t="n">
        <v>0</v>
      </c>
      <c r="Q123" s="3" t="n">
        <v>2.313138763473529</v>
      </c>
      <c r="R123" s="3" t="n">
        <v>38.06554659193346</v>
      </c>
      <c r="S123" s="3" t="n">
        <v>0</v>
      </c>
      <c r="T123" s="3" t="n">
        <v>0</v>
      </c>
      <c r="U123" s="3" t="n">
        <v>1.342794948595964</v>
      </c>
      <c r="V123" s="3" t="n">
        <v>2.244297822461609</v>
      </c>
      <c r="W123" s="3" t="n">
        <v>0</v>
      </c>
      <c r="X123" s="3" t="n">
        <v>0</v>
      </c>
      <c r="Y123" s="3" t="n">
        <v>0</v>
      </c>
      <c r="Z123" s="3" t="n">
        <v>0</v>
      </c>
      <c r="AA123" s="3" t="n">
        <v>0</v>
      </c>
      <c r="AB123" s="3" t="n">
        <v>0.2013111387726182</v>
      </c>
      <c r="AC123" s="3" t="n">
        <v>1.518962661218489</v>
      </c>
      <c r="AD123" s="3" t="n">
        <v>2.167533550393142</v>
      </c>
      <c r="AE123" s="3" t="n">
        <v>0</v>
      </c>
      <c r="AF123" s="3" t="n">
        <v>1.581492172596558</v>
      </c>
      <c r="AG123" s="3" t="n">
        <v>3277.948837487385</v>
      </c>
      <c r="AH123" s="3" t="n">
        <v>7474.487974950569</v>
      </c>
      <c r="AI123" s="3" t="n">
        <v>6758.666403515813</v>
      </c>
      <c r="AJ123" s="3" t="n">
        <v>8463.062440881604</v>
      </c>
      <c r="AK123" s="3" t="n">
        <v>8100.319413383072</v>
      </c>
      <c r="AL123" s="3" t="n">
        <v>9539.081102345184</v>
      </c>
      <c r="AM123" s="3" t="n">
        <v>9487.265268301157</v>
      </c>
      <c r="AN123" s="3" t="n">
        <v>10029.39202094795</v>
      </c>
      <c r="AO123" s="3" t="n">
        <v>10268.11468037957</v>
      </c>
      <c r="AP123" s="3" t="n">
        <v>12760.02550003197</v>
      </c>
      <c r="AQ123" s="3" t="n">
        <v>11940.19052016388</v>
      </c>
      <c r="AR123" s="3" t="n">
        <v>14684.24810487079</v>
      </c>
      <c r="AS123" s="3" t="n">
        <v>14144.67436325882</v>
      </c>
      <c r="AT123" s="3" t="n">
        <v>16253.75803460862</v>
      </c>
      <c r="AU123" s="3" t="n">
        <v>14721.06204316728</v>
      </c>
      <c r="AV123" s="3" t="n">
        <v>18510.38358509354</v>
      </c>
      <c r="AW123" s="3" t="n">
        <v>17881.59775814134</v>
      </c>
      <c r="AX123" s="3" t="n">
        <v>22521.47440537804</v>
      </c>
      <c r="AY123" s="3" t="n">
        <v>22439.54178590102</v>
      </c>
      <c r="AZ123" s="3" t="n">
        <v>64459.74923487646</v>
      </c>
      <c r="BA123" s="3" t="n">
        <v>24499.62558688422</v>
      </c>
      <c r="BB123" s="3" t="n">
        <v>4851293.945201941</v>
      </c>
      <c r="BC123" s="3" t="n">
        <v>0</v>
      </c>
      <c r="BD123" s="3" t="n">
        <v>0</v>
      </c>
      <c r="BE123" s="3" t="n">
        <v>106.5715167293449</v>
      </c>
      <c r="BF123" s="3" t="n">
        <v>53.0226365819051</v>
      </c>
      <c r="BG123" s="3" t="n">
        <v>108.9044503416831</v>
      </c>
      <c r="BH123" s="3" t="n">
        <v>107.3730515730933</v>
      </c>
      <c r="BI123" s="3" t="n">
        <v>105.9241952748359</v>
      </c>
      <c r="BJ123" s="3" t="n">
        <v>94.70654033875542</v>
      </c>
      <c r="BK123" s="3" t="n">
        <v>0</v>
      </c>
      <c r="BL123" s="3" t="n">
        <v>0</v>
      </c>
      <c r="BM123" s="3" t="n">
        <v>0</v>
      </c>
      <c r="BN123" s="3" t="n">
        <v>0</v>
      </c>
      <c r="BO123" s="3" t="n">
        <v>0</v>
      </c>
      <c r="BP123" s="3" t="n">
        <v>0</v>
      </c>
    </row>
    <row r="124">
      <c r="A124" s="3" t="inlineStr">
        <is>
          <t>EGY.distn.bsh.bkt.urb.p25.9999</t>
        </is>
      </c>
      <c r="B124" s="3" t="inlineStr">
        <is>
          <t>EGY</t>
        </is>
      </c>
      <c r="C124" s="3" t="n">
        <v>2017</v>
      </c>
      <c r="D124" s="3" t="inlineStr">
        <is>
          <t>Urban</t>
        </is>
      </c>
      <c r="E124" s="3" t="inlineStr">
        <is>
          <t>Basket</t>
        </is>
      </c>
      <c r="F124" s="3" t="inlineStr">
        <is>
          <t>p25</t>
        </is>
      </c>
      <c r="G124" s="3" t="n">
        <v>9999</v>
      </c>
      <c r="H124" s="3" t="n">
        <v>0.5450913368411092</v>
      </c>
      <c r="I124" s="3" t="n">
        <v>0</v>
      </c>
      <c r="J124" s="3" t="n">
        <v>2.706603217404329</v>
      </c>
      <c r="K124" s="3" t="n">
        <v>2.458580748917545</v>
      </c>
      <c r="L124" s="3" t="n">
        <v>0</v>
      </c>
      <c r="M124" s="3" t="n">
        <v>1.689381659013224</v>
      </c>
      <c r="N124" s="3" t="n">
        <v>0</v>
      </c>
      <c r="O124" s="3" t="n">
        <v>0</v>
      </c>
      <c r="P124" s="3" t="n">
        <v>0</v>
      </c>
      <c r="Q124" s="3" t="n">
        <v>2.029103480791504</v>
      </c>
      <c r="R124" s="3" t="n">
        <v>47.17314994627534</v>
      </c>
      <c r="S124" s="3" t="n">
        <v>0</v>
      </c>
      <c r="T124" s="3" t="n">
        <v>0</v>
      </c>
      <c r="U124" s="3" t="n">
        <v>0.7592042305749597</v>
      </c>
      <c r="V124" s="3" t="n">
        <v>2.063447716490492</v>
      </c>
      <c r="W124" s="3" t="n">
        <v>0</v>
      </c>
      <c r="X124" s="3" t="n">
        <v>0</v>
      </c>
      <c r="Y124" s="3" t="n">
        <v>0</v>
      </c>
      <c r="Z124" s="3" t="n">
        <v>0</v>
      </c>
      <c r="AA124" s="3" t="n">
        <v>0</v>
      </c>
      <c r="AB124" s="3" t="n">
        <v>0.4848460857912745</v>
      </c>
      <c r="AC124" s="3" t="n">
        <v>1.430406216146682</v>
      </c>
      <c r="AD124" s="3" t="n">
        <v>4.461271813088777</v>
      </c>
      <c r="AE124" s="3" t="n">
        <v>0</v>
      </c>
      <c r="AF124" s="3" t="n">
        <v>2.632739395034061</v>
      </c>
      <c r="AG124" s="3" t="n">
        <v>3061.080675901052</v>
      </c>
      <c r="AH124" s="3" t="n">
        <v>7362.088819317411</v>
      </c>
      <c r="AI124" s="3" t="n">
        <v>7105.794153345981</v>
      </c>
      <c r="AJ124" s="3" t="n">
        <v>8597.843196932608</v>
      </c>
      <c r="AK124" s="3" t="n">
        <v>8883.087315324183</v>
      </c>
      <c r="AL124" s="3" t="n">
        <v>9517.488673927046</v>
      </c>
      <c r="AM124" s="3" t="n">
        <v>10304.89058663787</v>
      </c>
      <c r="AN124" s="3" t="n">
        <v>11182.92222692889</v>
      </c>
      <c r="AO124" s="3" t="n">
        <v>10180.75015397179</v>
      </c>
      <c r="AP124" s="3" t="n">
        <v>11783.56299020182</v>
      </c>
      <c r="AQ124" s="3" t="n">
        <v>12746.56414936202</v>
      </c>
      <c r="AR124" s="3" t="n">
        <v>14248.6330036554</v>
      </c>
      <c r="AS124" s="3" t="n">
        <v>13117.81092240709</v>
      </c>
      <c r="AT124" s="3" t="n">
        <v>16092.93584034413</v>
      </c>
      <c r="AU124" s="3" t="n">
        <v>14649.87916907313</v>
      </c>
      <c r="AV124" s="3" t="n">
        <v>18495.59038682541</v>
      </c>
      <c r="AW124" s="3" t="n">
        <v>17388.13899364657</v>
      </c>
      <c r="AX124" s="3" t="n">
        <v>21631.27866509606</v>
      </c>
      <c r="AY124" s="3" t="n">
        <v>22798.61198157114</v>
      </c>
      <c r="AZ124" s="3" t="n">
        <v>68824.65210855207</v>
      </c>
      <c r="BA124" s="3" t="n">
        <v>9568.716157706727</v>
      </c>
      <c r="BB124" s="3" t="n">
        <v>51142807.75689438</v>
      </c>
      <c r="BC124" s="3" t="n">
        <v>0</v>
      </c>
      <c r="BD124" s="3" t="n">
        <v>0</v>
      </c>
      <c r="BE124" s="3" t="n">
        <v>102.1481712404067</v>
      </c>
      <c r="BF124" s="3" t="n">
        <v>58.61090346179337</v>
      </c>
      <c r="BG124" s="3" t="n">
        <v>87.01806388386203</v>
      </c>
      <c r="BH124" s="3" t="n">
        <v>99.98957297784305</v>
      </c>
      <c r="BI124" s="3" t="n">
        <v>107.9683706448994</v>
      </c>
      <c r="BJ124" s="3" t="n">
        <v>92.8333587885775</v>
      </c>
      <c r="BK124" s="3" t="n">
        <v>0.06948280090779486</v>
      </c>
      <c r="BL124" s="3" t="n">
        <v>0.8499539116178682</v>
      </c>
      <c r="BM124" s="3" t="n">
        <v>12.32658343224748</v>
      </c>
      <c r="BN124" s="3" t="n">
        <v>0</v>
      </c>
      <c r="BO124" s="3" t="n">
        <v>0</v>
      </c>
      <c r="BP124" s="3" t="n">
        <v>0</v>
      </c>
    </row>
    <row r="125">
      <c r="A125" s="3" t="inlineStr">
        <is>
          <t>EGY.distn.bsh.dec.urb.p75.1</t>
        </is>
      </c>
      <c r="B125" s="3" t="inlineStr">
        <is>
          <t>EGY</t>
        </is>
      </c>
      <c r="C125" s="3" t="n">
        <v>2017</v>
      </c>
      <c r="D125" s="3" t="inlineStr">
        <is>
          <t>Urban</t>
        </is>
      </c>
      <c r="E125" s="3" t="inlineStr">
        <is>
          <t>Deciles</t>
        </is>
      </c>
      <c r="F125" s="3" t="inlineStr">
        <is>
          <t>p75</t>
        </is>
      </c>
      <c r="G125" s="3" t="n">
        <v>1</v>
      </c>
      <c r="H125" s="3" t="n">
        <v>1.584239861338389</v>
      </c>
      <c r="I125" s="3" t="n">
        <v>0</v>
      </c>
      <c r="J125" s="3" t="n">
        <v>4.749000535445972</v>
      </c>
      <c r="K125" s="3" t="n">
        <v>7.237736720789006</v>
      </c>
      <c r="L125" s="3" t="n">
        <v>0</v>
      </c>
      <c r="M125" s="3" t="n">
        <v>3.528830614856044</v>
      </c>
      <c r="N125" s="3" t="n">
        <v>0</v>
      </c>
      <c r="O125" s="3" t="n">
        <v>4.631736143835418</v>
      </c>
      <c r="P125" s="3" t="n">
        <v>0</v>
      </c>
      <c r="Q125" s="3" t="n">
        <v>4.339325253145236</v>
      </c>
      <c r="R125" s="3" t="n">
        <v>63.2983055633004</v>
      </c>
      <c r="S125" s="3" t="n">
        <v>0</v>
      </c>
      <c r="T125" s="3" t="n">
        <v>0</v>
      </c>
      <c r="U125" s="3" t="n">
        <v>3.472741561644274</v>
      </c>
      <c r="V125" s="3" t="n">
        <v>10.04678493446174</v>
      </c>
      <c r="W125" s="3" t="n">
        <v>0</v>
      </c>
      <c r="X125" s="3" t="n">
        <v>3.016239535458655</v>
      </c>
      <c r="Y125" s="3" t="n">
        <v>1.281007697738585</v>
      </c>
      <c r="Z125" s="3" t="n">
        <v>0</v>
      </c>
      <c r="AA125" s="3" t="n">
        <v>0</v>
      </c>
      <c r="AB125" s="3" t="n">
        <v>3.574897248446655</v>
      </c>
      <c r="AC125" s="3" t="n">
        <v>7.033237219041357</v>
      </c>
      <c r="AD125" s="3" t="n">
        <v>10.40456237637828</v>
      </c>
      <c r="AE125" s="3" t="n">
        <v>0</v>
      </c>
      <c r="AF125" s="3" t="n">
        <v>6.564730732486395</v>
      </c>
      <c r="AG125" s="3" t="n">
        <v>3044.509801703259</v>
      </c>
      <c r="AH125" s="3" t="n">
        <v>7256.467127776522</v>
      </c>
      <c r="AI125" s="3" t="n">
        <v>6773.445182315582</v>
      </c>
      <c r="AJ125" s="3" t="n">
        <v>7842.89313967131</v>
      </c>
      <c r="AK125" s="3" t="n">
        <v>8638.59285652266</v>
      </c>
      <c r="AL125" s="3" t="n">
        <v>9483.923947026549</v>
      </c>
      <c r="AM125" s="3" t="n">
        <v>10189.44619335624</v>
      </c>
      <c r="AN125" s="3" t="n">
        <v>10940.73770305076</v>
      </c>
      <c r="AO125" s="3" t="n">
        <v>11668.5828168564</v>
      </c>
      <c r="AP125" s="3" t="n">
        <v>12271.74027017406</v>
      </c>
      <c r="AQ125" s="3" t="n">
        <v>12172.40364889504</v>
      </c>
      <c r="AR125" s="3" t="n">
        <v>14613.60587751977</v>
      </c>
      <c r="AS125" s="3" t="n">
        <v>13140.92565663169</v>
      </c>
      <c r="AT125" s="3" t="n">
        <v>16025.01462023455</v>
      </c>
      <c r="AU125" s="3" t="n">
        <v>15761.45500967912</v>
      </c>
      <c r="AV125" s="3" t="n">
        <v>19208.89161999473</v>
      </c>
      <c r="AW125" s="3" t="n">
        <v>17599.54780027005</v>
      </c>
      <c r="AX125" s="3" t="n">
        <v>22653.24768274272</v>
      </c>
      <c r="AY125" s="3" t="n">
        <v>23611.89360748979</v>
      </c>
      <c r="AZ125" s="3" t="n">
        <v>65578.38087598843</v>
      </c>
      <c r="BA125" s="3" t="n">
        <v>6639.159456472126</v>
      </c>
      <c r="BB125" s="3" t="n">
        <v>4906588.41375474</v>
      </c>
      <c r="BC125" s="3" t="n">
        <v>0</v>
      </c>
      <c r="BD125" s="3" t="n">
        <v>0</v>
      </c>
      <c r="BE125" s="3" t="n">
        <v>102.1322091205874</v>
      </c>
      <c r="BF125" s="3" t="n">
        <v>61.43359830340231</v>
      </c>
      <c r="BG125" s="3" t="n">
        <v>92.63105283463112</v>
      </c>
      <c r="BH125" s="3" t="n">
        <v>106.9945306770665</v>
      </c>
      <c r="BI125" s="3" t="n">
        <v>100.7203102395966</v>
      </c>
      <c r="BJ125" s="3" t="n">
        <v>100</v>
      </c>
      <c r="BK125" s="3" t="n">
        <v>0.05305840175231352</v>
      </c>
      <c r="BL125" s="3" t="n">
        <v>0.87543580692373</v>
      </c>
      <c r="BM125" s="3" t="n">
        <v>4.731480983497922</v>
      </c>
      <c r="BN125" s="3" t="n">
        <v>0</v>
      </c>
      <c r="BO125" s="3" t="n">
        <v>0</v>
      </c>
      <c r="BP125" s="3" t="n">
        <v>0</v>
      </c>
    </row>
    <row r="126">
      <c r="A126" s="3" t="inlineStr">
        <is>
          <t>EGY.distn.bsh.dec.urb.p75.2</t>
        </is>
      </c>
      <c r="B126" s="3" t="inlineStr">
        <is>
          <t>EGY</t>
        </is>
      </c>
      <c r="C126" s="3" t="n">
        <v>2017</v>
      </c>
      <c r="D126" s="3" t="inlineStr">
        <is>
          <t>Urban</t>
        </is>
      </c>
      <c r="E126" s="3" t="inlineStr">
        <is>
          <t>Deciles</t>
        </is>
      </c>
      <c r="F126" s="3" t="inlineStr">
        <is>
          <t>p75</t>
        </is>
      </c>
      <c r="G126" s="3" t="n">
        <v>2</v>
      </c>
      <c r="H126" s="3" t="n">
        <v>1.779574418630698</v>
      </c>
      <c r="I126" s="3" t="n">
        <v>0</v>
      </c>
      <c r="J126" s="3" t="n">
        <v>4.62636517255716</v>
      </c>
      <c r="K126" s="3" t="n">
        <v>7.955571637650775</v>
      </c>
      <c r="L126" s="3" t="n">
        <v>0</v>
      </c>
      <c r="M126" s="3" t="n">
        <v>3.93075291722504</v>
      </c>
      <c r="N126" s="3" t="n">
        <v>0</v>
      </c>
      <c r="O126" s="3" t="n">
        <v>7.378497722692085</v>
      </c>
      <c r="P126" s="3" t="n">
        <v>0</v>
      </c>
      <c r="Q126" s="3" t="n">
        <v>4.261581064612134</v>
      </c>
      <c r="R126" s="3" t="n">
        <v>64.36606383673058</v>
      </c>
      <c r="S126" s="3" t="n">
        <v>0</v>
      </c>
      <c r="T126" s="3" t="n">
        <v>0</v>
      </c>
      <c r="U126" s="3" t="n">
        <v>3.698433957617021</v>
      </c>
      <c r="V126" s="3" t="n">
        <v>8.400679672290826</v>
      </c>
      <c r="W126" s="3" t="n">
        <v>0</v>
      </c>
      <c r="X126" s="3" t="n">
        <v>2.52258669756156</v>
      </c>
      <c r="Y126" s="3" t="n">
        <v>1.233541326881185</v>
      </c>
      <c r="Z126" s="3" t="n">
        <v>0</v>
      </c>
      <c r="AA126" s="3" t="n">
        <v>0</v>
      </c>
      <c r="AB126" s="3" t="n">
        <v>2.997153643926099</v>
      </c>
      <c r="AC126" s="3" t="n">
        <v>6.900444201738687</v>
      </c>
      <c r="AD126" s="3" t="n">
        <v>9.44701788775969</v>
      </c>
      <c r="AE126" s="3" t="n">
        <v>0</v>
      </c>
      <c r="AF126" s="3" t="n">
        <v>6.638157476657285</v>
      </c>
      <c r="AG126" s="3" t="n">
        <v>3158.263411839642</v>
      </c>
      <c r="AH126" s="3" t="n">
        <v>6811.824980328045</v>
      </c>
      <c r="AI126" s="3" t="n">
        <v>6784.263560781828</v>
      </c>
      <c r="AJ126" s="3" t="n">
        <v>8678.700156599638</v>
      </c>
      <c r="AK126" s="3" t="n">
        <v>8943.519995118369</v>
      </c>
      <c r="AL126" s="3" t="n">
        <v>9502.014208230956</v>
      </c>
      <c r="AM126" s="3" t="n">
        <v>9054.695344478288</v>
      </c>
      <c r="AN126" s="3" t="n">
        <v>10507.3290095477</v>
      </c>
      <c r="AO126" s="3" t="n">
        <v>10761.10611536974</v>
      </c>
      <c r="AP126" s="3" t="n">
        <v>12404.07383828829</v>
      </c>
      <c r="AQ126" s="3" t="n">
        <v>12436.07157603932</v>
      </c>
      <c r="AR126" s="3" t="n">
        <v>12660.08426906292</v>
      </c>
      <c r="AS126" s="3" t="n">
        <v>13984.63235346978</v>
      </c>
      <c r="AT126" s="3" t="n">
        <v>15451.88195147561</v>
      </c>
      <c r="AU126" s="3" t="n">
        <v>16402.50245918585</v>
      </c>
      <c r="AV126" s="3" t="n">
        <v>17528.91003812394</v>
      </c>
      <c r="AW126" s="3" t="n">
        <v>19157.37181620427</v>
      </c>
      <c r="AX126" s="3" t="n">
        <v>24086.07798812041</v>
      </c>
      <c r="AY126" s="3" t="n">
        <v>21564.98897908865</v>
      </c>
      <c r="AZ126" s="3" t="n">
        <v>68915.83562317103</v>
      </c>
      <c r="BA126" s="3" t="n">
        <v>8575.054576793238</v>
      </c>
      <c r="BB126" s="3" t="n">
        <v>4465420.318767379</v>
      </c>
      <c r="BC126" s="3" t="n">
        <v>0</v>
      </c>
      <c r="BD126" s="3" t="n">
        <v>0</v>
      </c>
      <c r="BE126" s="3" t="n">
        <v>99.92470021213684</v>
      </c>
      <c r="BF126" s="3" t="n">
        <v>69.85389985784803</v>
      </c>
      <c r="BG126" s="3" t="n">
        <v>98.46100744512941</v>
      </c>
      <c r="BH126" s="3" t="n">
        <v>115.7026710363315</v>
      </c>
      <c r="BI126" s="3" t="n">
        <v>101.4118974587241</v>
      </c>
      <c r="BJ126" s="3" t="n">
        <v>103.0911939424597</v>
      </c>
      <c r="BK126" s="3" t="n">
        <v>0.00980619185302781</v>
      </c>
      <c r="BL126" s="3" t="n">
        <v>0.01826858319465116</v>
      </c>
      <c r="BM126" s="3" t="n">
        <v>4.418606406281159</v>
      </c>
      <c r="BN126" s="3" t="n">
        <v>0</v>
      </c>
      <c r="BO126" s="3" t="n">
        <v>0</v>
      </c>
      <c r="BP126" s="3" t="n">
        <v>0</v>
      </c>
    </row>
    <row r="127">
      <c r="A127" s="3" t="inlineStr">
        <is>
          <t>EGY.distn.bsh.dec.urb.p75.3</t>
        </is>
      </c>
      <c r="B127" s="3" t="inlineStr">
        <is>
          <t>EGY</t>
        </is>
      </c>
      <c r="C127" s="3" t="n">
        <v>2017</v>
      </c>
      <c r="D127" s="3" t="inlineStr">
        <is>
          <t>Urban</t>
        </is>
      </c>
      <c r="E127" s="3" t="inlineStr">
        <is>
          <t>Deciles</t>
        </is>
      </c>
      <c r="F127" s="3" t="inlineStr">
        <is>
          <t>p75</t>
        </is>
      </c>
      <c r="G127" s="3" t="n">
        <v>3</v>
      </c>
      <c r="H127" s="3" t="n">
        <v>1.969597667296175</v>
      </c>
      <c r="I127" s="3" t="n">
        <v>0</v>
      </c>
      <c r="J127" s="3" t="n">
        <v>4.492528919090041</v>
      </c>
      <c r="K127" s="3" t="n">
        <v>7.833462098288147</v>
      </c>
      <c r="L127" s="3" t="n">
        <v>0</v>
      </c>
      <c r="M127" s="3" t="n">
        <v>4.084157721325412</v>
      </c>
      <c r="N127" s="3" t="n">
        <v>0</v>
      </c>
      <c r="O127" s="3" t="n">
        <v>7.541857182451182</v>
      </c>
      <c r="P127" s="3" t="n">
        <v>0</v>
      </c>
      <c r="Q127" s="3" t="n">
        <v>4.135737968223649</v>
      </c>
      <c r="R127" s="3" t="n">
        <v>64.77864062046019</v>
      </c>
      <c r="S127" s="3" t="n">
        <v>0</v>
      </c>
      <c r="T127" s="3" t="n">
        <v>0</v>
      </c>
      <c r="U127" s="3" t="n">
        <v>4.432976631248104</v>
      </c>
      <c r="V127" s="3" t="n">
        <v>7.969232812013777</v>
      </c>
      <c r="W127" s="3" t="n">
        <v>0</v>
      </c>
      <c r="X127" s="3" t="n">
        <v>2.318290229709647</v>
      </c>
      <c r="Y127" s="3" t="n">
        <v>1.074727683434314</v>
      </c>
      <c r="Z127" s="3" t="n">
        <v>0</v>
      </c>
      <c r="AA127" s="3" t="n">
        <v>0</v>
      </c>
      <c r="AB127" s="3" t="n">
        <v>3.161227891020149</v>
      </c>
      <c r="AC127" s="3" t="n">
        <v>6.914477802122193</v>
      </c>
      <c r="AD127" s="3" t="n">
        <v>9.159274132954653</v>
      </c>
      <c r="AE127" s="3" t="n">
        <v>0</v>
      </c>
      <c r="AF127" s="3" t="n">
        <v>6.313891184117702</v>
      </c>
      <c r="AG127" s="3" t="n">
        <v>3006.615695805381</v>
      </c>
      <c r="AH127" s="3" t="n">
        <v>6631.967891952027</v>
      </c>
      <c r="AI127" s="3" t="n">
        <v>7581.020025107643</v>
      </c>
      <c r="AJ127" s="3" t="n">
        <v>8593.180691098802</v>
      </c>
      <c r="AK127" s="3" t="n">
        <v>9111.640011696967</v>
      </c>
      <c r="AL127" s="3" t="n">
        <v>9880.923256760594</v>
      </c>
      <c r="AM127" s="3" t="n">
        <v>9851.718895647795</v>
      </c>
      <c r="AN127" s="3" t="n">
        <v>10795.51497722056</v>
      </c>
      <c r="AO127" s="3" t="n">
        <v>11349.20356842302</v>
      </c>
      <c r="AP127" s="3" t="n">
        <v>12259.09132950381</v>
      </c>
      <c r="AQ127" s="3" t="n">
        <v>11304.89315510613</v>
      </c>
      <c r="AR127" s="3" t="n">
        <v>12718.8981818959</v>
      </c>
      <c r="AS127" s="3" t="n">
        <v>13097.74438913934</v>
      </c>
      <c r="AT127" s="3" t="n">
        <v>14796.02132436135</v>
      </c>
      <c r="AU127" s="3" t="n">
        <v>15888.19519346378</v>
      </c>
      <c r="AV127" s="3" t="n">
        <v>17534.17059934893</v>
      </c>
      <c r="AW127" s="3" t="n">
        <v>18364.45465383301</v>
      </c>
      <c r="AX127" s="3" t="n">
        <v>22548.0000427126</v>
      </c>
      <c r="AY127" s="3" t="n">
        <v>23012.69733767707</v>
      </c>
      <c r="AZ127" s="3" t="n">
        <v>69278.45663200587</v>
      </c>
      <c r="BA127" s="3" t="n">
        <v>10153.52982664678</v>
      </c>
      <c r="BB127" s="3" t="n">
        <v>4830979.153226181</v>
      </c>
      <c r="BC127" s="3" t="n">
        <v>0</v>
      </c>
      <c r="BD127" s="3" t="n">
        <v>0</v>
      </c>
      <c r="BE127" s="3" t="n">
        <v>100.5931785277601</v>
      </c>
      <c r="BF127" s="3" t="n">
        <v>71.03928392085206</v>
      </c>
      <c r="BG127" s="3" t="n">
        <v>92.57069927309821</v>
      </c>
      <c r="BH127" s="3" t="n">
        <v>112.4961248835747</v>
      </c>
      <c r="BI127" s="3" t="n">
        <v>105.9658180376026</v>
      </c>
      <c r="BJ127" s="3" t="n">
        <v>97.47651452779932</v>
      </c>
      <c r="BK127" s="3" t="n">
        <v>0</v>
      </c>
      <c r="BL127" s="3" t="n">
        <v>0</v>
      </c>
      <c r="BM127" s="3" t="n">
        <v>2.58590733992521</v>
      </c>
      <c r="BN127" s="3" t="n">
        <v>0</v>
      </c>
      <c r="BO127" s="3" t="n">
        <v>0</v>
      </c>
      <c r="BP127" s="3" t="n">
        <v>0</v>
      </c>
    </row>
    <row r="128">
      <c r="A128" s="3" t="inlineStr">
        <is>
          <t>EGY.distn.bsh.dec.urb.p75.4</t>
        </is>
      </c>
      <c r="B128" s="3" t="inlineStr">
        <is>
          <t>EGY</t>
        </is>
      </c>
      <c r="C128" s="3" t="n">
        <v>2017</v>
      </c>
      <c r="D128" s="3" t="inlineStr">
        <is>
          <t>Urban</t>
        </is>
      </c>
      <c r="E128" s="3" t="inlineStr">
        <is>
          <t>Deciles</t>
        </is>
      </c>
      <c r="F128" s="3" t="inlineStr">
        <is>
          <t>p75</t>
        </is>
      </c>
      <c r="G128" s="3" t="n">
        <v>4</v>
      </c>
      <c r="H128" s="3" t="n">
        <v>1.765673305445714</v>
      </c>
      <c r="I128" s="3" t="n">
        <v>0</v>
      </c>
      <c r="J128" s="3" t="n">
        <v>4.732120633688965</v>
      </c>
      <c r="K128" s="3" t="n">
        <v>7.760977651083446</v>
      </c>
      <c r="L128" s="3" t="n">
        <v>0</v>
      </c>
      <c r="M128" s="3" t="n">
        <v>4.146821618206571</v>
      </c>
      <c r="N128" s="3" t="n">
        <v>0</v>
      </c>
      <c r="O128" s="3" t="n">
        <v>7.328677315869112</v>
      </c>
      <c r="P128" s="3" t="n">
        <v>0</v>
      </c>
      <c r="Q128" s="3" t="n">
        <v>4.001084244935788</v>
      </c>
      <c r="R128" s="3" t="n">
        <v>59.4411613620087</v>
      </c>
      <c r="S128" s="3" t="n">
        <v>0</v>
      </c>
      <c r="T128" s="3" t="n">
        <v>0</v>
      </c>
      <c r="U128" s="3" t="n">
        <v>3.95235258114672</v>
      </c>
      <c r="V128" s="3" t="n">
        <v>6.972494646342918</v>
      </c>
      <c r="W128" s="3" t="n">
        <v>0</v>
      </c>
      <c r="X128" s="3" t="n">
        <v>2.12366137597422</v>
      </c>
      <c r="Y128" s="3" t="n">
        <v>1.106130639573334</v>
      </c>
      <c r="Z128" s="3" t="n">
        <v>0</v>
      </c>
      <c r="AA128" s="3" t="n">
        <v>0</v>
      </c>
      <c r="AB128" s="3" t="n">
        <v>3.346372789135978</v>
      </c>
      <c r="AC128" s="3" t="n">
        <v>8.310950097573983</v>
      </c>
      <c r="AD128" s="3" t="n">
        <v>9.647105098471831</v>
      </c>
      <c r="AE128" s="3" t="n">
        <v>0</v>
      </c>
      <c r="AF128" s="3" t="n">
        <v>7.469054952534191</v>
      </c>
      <c r="AG128" s="3" t="n">
        <v>3098.104002394471</v>
      </c>
      <c r="AH128" s="3" t="n">
        <v>7032.592819163147</v>
      </c>
      <c r="AI128" s="3" t="n">
        <v>7291.276194541628</v>
      </c>
      <c r="AJ128" s="3" t="n">
        <v>9044.490243259479</v>
      </c>
      <c r="AK128" s="3" t="n">
        <v>7950.246591964609</v>
      </c>
      <c r="AL128" s="3" t="n">
        <v>9147.448804771955</v>
      </c>
      <c r="AM128" s="3" t="n">
        <v>9999.011343379751</v>
      </c>
      <c r="AN128" s="3" t="n">
        <v>10189.64259963662</v>
      </c>
      <c r="AO128" s="3" t="n">
        <v>10968.33601958249</v>
      </c>
      <c r="AP128" s="3" t="n">
        <v>12231.7623979207</v>
      </c>
      <c r="AQ128" s="3" t="n">
        <v>11707.76077946908</v>
      </c>
      <c r="AR128" s="3" t="n">
        <v>14267.07830655681</v>
      </c>
      <c r="AS128" s="3" t="n">
        <v>14618.68858774215</v>
      </c>
      <c r="AT128" s="3" t="n">
        <v>14773.61882573627</v>
      </c>
      <c r="AU128" s="3" t="n">
        <v>16108.80915306236</v>
      </c>
      <c r="AV128" s="3" t="n">
        <v>19521.33048141416</v>
      </c>
      <c r="AW128" s="3" t="n">
        <v>17843.08597443698</v>
      </c>
      <c r="AX128" s="3" t="n">
        <v>23056.01270949429</v>
      </c>
      <c r="AY128" s="3" t="n">
        <v>22772.0259375582</v>
      </c>
      <c r="AZ128" s="3" t="n">
        <v>66437.26951516538</v>
      </c>
      <c r="BA128" s="3" t="n">
        <v>10787.47271119129</v>
      </c>
      <c r="BB128" s="3" t="n">
        <v>4457230.730736872</v>
      </c>
      <c r="BC128" s="3" t="n">
        <v>0</v>
      </c>
      <c r="BD128" s="3" t="n">
        <v>0</v>
      </c>
      <c r="BE128" s="3" t="n">
        <v>109.3425545624931</v>
      </c>
      <c r="BF128" s="3" t="n">
        <v>74.50577625802482</v>
      </c>
      <c r="BG128" s="3" t="n">
        <v>108.1698857295229</v>
      </c>
      <c r="BH128" s="3" t="n">
        <v>99.98194600545158</v>
      </c>
      <c r="BI128" s="3" t="n">
        <v>108.4744592768626</v>
      </c>
      <c r="BJ128" s="3" t="n">
        <v>102.1749845435985</v>
      </c>
      <c r="BK128" s="3" t="n">
        <v>0</v>
      </c>
      <c r="BL128" s="3" t="n">
        <v>0</v>
      </c>
      <c r="BM128" s="3" t="n">
        <v>0.4955190311753012</v>
      </c>
      <c r="BN128" s="3" t="n">
        <v>0</v>
      </c>
      <c r="BO128" s="3" t="n">
        <v>0</v>
      </c>
      <c r="BP128" s="3" t="n">
        <v>0</v>
      </c>
    </row>
    <row r="129">
      <c r="A129" s="3" t="inlineStr">
        <is>
          <t>EGY.distn.bsh.dec.urb.p75.5</t>
        </is>
      </c>
      <c r="B129" s="3" t="inlineStr">
        <is>
          <t>EGY</t>
        </is>
      </c>
      <c r="C129" s="3" t="n">
        <v>2017</v>
      </c>
      <c r="D129" s="3" t="inlineStr">
        <is>
          <t>Urban</t>
        </is>
      </c>
      <c r="E129" s="3" t="inlineStr">
        <is>
          <t>Deciles</t>
        </is>
      </c>
      <c r="F129" s="3" t="inlineStr">
        <is>
          <t>p75</t>
        </is>
      </c>
      <c r="G129" s="3" t="n">
        <v>5</v>
      </c>
      <c r="H129" s="3" t="n">
        <v>1.940023900575575</v>
      </c>
      <c r="I129" s="3" t="n">
        <v>0</v>
      </c>
      <c r="J129" s="3" t="n">
        <v>4.849584650458309</v>
      </c>
      <c r="K129" s="3" t="n">
        <v>8.435617934304153</v>
      </c>
      <c r="L129" s="3" t="n">
        <v>0</v>
      </c>
      <c r="M129" s="3" t="n">
        <v>4.801764963473806</v>
      </c>
      <c r="N129" s="3" t="n">
        <v>0</v>
      </c>
      <c r="O129" s="3" t="n">
        <v>7.715644630086841</v>
      </c>
      <c r="P129" s="3" t="n">
        <v>0</v>
      </c>
      <c r="Q129" s="3" t="n">
        <v>4.344446723555984</v>
      </c>
      <c r="R129" s="3" t="n">
        <v>59.47765855607474</v>
      </c>
      <c r="S129" s="3" t="n">
        <v>0</v>
      </c>
      <c r="T129" s="3" t="n">
        <v>0</v>
      </c>
      <c r="U129" s="3" t="n">
        <v>4.830119399185668</v>
      </c>
      <c r="V129" s="3" t="n">
        <v>7.013294135730863</v>
      </c>
      <c r="W129" s="3" t="n">
        <v>0</v>
      </c>
      <c r="X129" s="3" t="n">
        <v>2.000407535803884</v>
      </c>
      <c r="Y129" s="3" t="n">
        <v>1.131756874422579</v>
      </c>
      <c r="Z129" s="3" t="n">
        <v>0</v>
      </c>
      <c r="AA129" s="3" t="n">
        <v>0</v>
      </c>
      <c r="AB129" s="3" t="n">
        <v>3.067422384600033</v>
      </c>
      <c r="AC129" s="3" t="n">
        <v>8.425323564013041</v>
      </c>
      <c r="AD129" s="3" t="n">
        <v>10.31758479371214</v>
      </c>
      <c r="AE129" s="3" t="n">
        <v>0</v>
      </c>
      <c r="AF129" s="3" t="n">
        <v>6.636763990801986</v>
      </c>
      <c r="AG129" s="3" t="n">
        <v>2937.425168431841</v>
      </c>
      <c r="AH129" s="3" t="n">
        <v>7588.980606038431</v>
      </c>
      <c r="AI129" s="3" t="n">
        <v>7144.891821199279</v>
      </c>
      <c r="AJ129" s="3" t="n">
        <v>8184.961358100393</v>
      </c>
      <c r="AK129" s="3" t="n">
        <v>8286.099109018851</v>
      </c>
      <c r="AL129" s="3" t="n">
        <v>9760.046519246007</v>
      </c>
      <c r="AM129" s="3" t="n">
        <v>9554.276417605566</v>
      </c>
      <c r="AN129" s="3" t="n">
        <v>11127.48646145973</v>
      </c>
      <c r="AO129" s="3" t="n">
        <v>10177.97412243691</v>
      </c>
      <c r="AP129" s="3" t="n">
        <v>13059.25779846937</v>
      </c>
      <c r="AQ129" s="3" t="n">
        <v>12292.3232675783</v>
      </c>
      <c r="AR129" s="3" t="n">
        <v>14067.50775207675</v>
      </c>
      <c r="AS129" s="3" t="n">
        <v>13957.94923705594</v>
      </c>
      <c r="AT129" s="3" t="n">
        <v>14864.70107394791</v>
      </c>
      <c r="AU129" s="3" t="n">
        <v>15105.17059130751</v>
      </c>
      <c r="AV129" s="3" t="n">
        <v>17474.58167716092</v>
      </c>
      <c r="AW129" s="3" t="n">
        <v>18117.40822285125</v>
      </c>
      <c r="AX129" s="3" t="n">
        <v>23365.04348471791</v>
      </c>
      <c r="AY129" s="3" t="n">
        <v>23745.08032688867</v>
      </c>
      <c r="AZ129" s="3" t="n">
        <v>68197.11324717985</v>
      </c>
      <c r="BA129" s="3" t="n">
        <v>12957.93061623894</v>
      </c>
      <c r="BB129" s="3" t="n">
        <v>5055519.4039403</v>
      </c>
      <c r="BC129" s="3" t="n">
        <v>0</v>
      </c>
      <c r="BD129" s="3" t="n">
        <v>0</v>
      </c>
      <c r="BE129" s="3" t="n">
        <v>114.4531458749393</v>
      </c>
      <c r="BF129" s="3" t="n">
        <v>79.38630716421851</v>
      </c>
      <c r="BG129" s="3" t="n">
        <v>98.22783882990554</v>
      </c>
      <c r="BH129" s="3" t="n">
        <v>115.7997463746071</v>
      </c>
      <c r="BI129" s="3" t="n">
        <v>96.85932628073425</v>
      </c>
      <c r="BJ129" s="3" t="n">
        <v>107.4366208225707</v>
      </c>
      <c r="BK129" s="3" t="n">
        <v>0</v>
      </c>
      <c r="BL129" s="3" t="n">
        <v>0</v>
      </c>
      <c r="BM129" s="3" t="n">
        <v>0.1497126590675845</v>
      </c>
      <c r="BN129" s="3" t="n">
        <v>0</v>
      </c>
      <c r="BO129" s="3" t="n">
        <v>0</v>
      </c>
      <c r="BP129" s="3" t="n">
        <v>0</v>
      </c>
    </row>
    <row r="130">
      <c r="A130" s="3" t="inlineStr">
        <is>
          <t>EGY.distn.bsh.dec.urb.p75.6</t>
        </is>
      </c>
      <c r="B130" s="3" t="inlineStr">
        <is>
          <t>EGY</t>
        </is>
      </c>
      <c r="C130" s="3" t="n">
        <v>2017</v>
      </c>
      <c r="D130" s="3" t="inlineStr">
        <is>
          <t>Urban</t>
        </is>
      </c>
      <c r="E130" s="3" t="inlineStr">
        <is>
          <t>Deciles</t>
        </is>
      </c>
      <c r="F130" s="3" t="inlineStr">
        <is>
          <t>p75</t>
        </is>
      </c>
      <c r="G130" s="3" t="n">
        <v>6</v>
      </c>
      <c r="H130" s="3" t="n">
        <v>2.040105650561902</v>
      </c>
      <c r="I130" s="3" t="n">
        <v>0</v>
      </c>
      <c r="J130" s="3" t="n">
        <v>4.641148607287318</v>
      </c>
      <c r="K130" s="3" t="n">
        <v>6.707170322283462</v>
      </c>
      <c r="L130" s="3" t="n">
        <v>0</v>
      </c>
      <c r="M130" s="3" t="n">
        <v>4.787133653833044</v>
      </c>
      <c r="N130" s="3" t="n">
        <v>0</v>
      </c>
      <c r="O130" s="3" t="n">
        <v>7.009076668338608</v>
      </c>
      <c r="P130" s="3" t="n">
        <v>0</v>
      </c>
      <c r="Q130" s="3" t="n">
        <v>4.060934994853223</v>
      </c>
      <c r="R130" s="3" t="n">
        <v>59.39865421624279</v>
      </c>
      <c r="S130" s="3" t="n">
        <v>0</v>
      </c>
      <c r="T130" s="3" t="n">
        <v>0</v>
      </c>
      <c r="U130" s="3" t="n">
        <v>4.531139471646313</v>
      </c>
      <c r="V130" s="3" t="n">
        <v>6.685543580880938</v>
      </c>
      <c r="W130" s="3" t="n">
        <v>0</v>
      </c>
      <c r="X130" s="3" t="n">
        <v>1.594126458075206</v>
      </c>
      <c r="Y130" s="3" t="n">
        <v>1.107837468116922</v>
      </c>
      <c r="Z130" s="3" t="n">
        <v>0</v>
      </c>
      <c r="AA130" s="3" t="n">
        <v>0</v>
      </c>
      <c r="AB130" s="3" t="n">
        <v>2.917178380687186</v>
      </c>
      <c r="AC130" s="3" t="n">
        <v>9.788741945868537</v>
      </c>
      <c r="AD130" s="3" t="n">
        <v>9.151183816005547</v>
      </c>
      <c r="AE130" s="3" t="n">
        <v>0</v>
      </c>
      <c r="AF130" s="3" t="n">
        <v>7.246656723278962</v>
      </c>
      <c r="AG130" s="3" t="n">
        <v>2934.584721379156</v>
      </c>
      <c r="AH130" s="3" t="n">
        <v>7239.489344413484</v>
      </c>
      <c r="AI130" s="3" t="n">
        <v>7457.937807215821</v>
      </c>
      <c r="AJ130" s="3" t="n">
        <v>8628.695256784325</v>
      </c>
      <c r="AK130" s="3" t="n">
        <v>7902.750525785075</v>
      </c>
      <c r="AL130" s="3" t="n">
        <v>10220.51427247376</v>
      </c>
      <c r="AM130" s="3" t="n">
        <v>10142.66358954972</v>
      </c>
      <c r="AN130" s="3" t="n">
        <v>10099.63986598831</v>
      </c>
      <c r="AO130" s="3" t="n">
        <v>10761.29239431537</v>
      </c>
      <c r="AP130" s="3" t="n">
        <v>11461.91847233745</v>
      </c>
      <c r="AQ130" s="3" t="n">
        <v>12314.98504238026</v>
      </c>
      <c r="AR130" s="3" t="n">
        <v>14238.19329795271</v>
      </c>
      <c r="AS130" s="3" t="n">
        <v>13320.14524545082</v>
      </c>
      <c r="AT130" s="3" t="n">
        <v>15450.10241659397</v>
      </c>
      <c r="AU130" s="3" t="n">
        <v>16411.7255122522</v>
      </c>
      <c r="AV130" s="3" t="n">
        <v>16932.52587500376</v>
      </c>
      <c r="AW130" s="3" t="n">
        <v>18560.59003867926</v>
      </c>
      <c r="AX130" s="3" t="n">
        <v>23522.41375315176</v>
      </c>
      <c r="AY130" s="3" t="n">
        <v>24357.57015355239</v>
      </c>
      <c r="AZ130" s="3" t="n">
        <v>60877.70202694021</v>
      </c>
      <c r="BA130" s="3" t="n">
        <v>13848.39421559488</v>
      </c>
      <c r="BB130" s="3" t="n">
        <v>5109114.543481561</v>
      </c>
      <c r="BC130" s="3" t="n">
        <v>0</v>
      </c>
      <c r="BD130" s="3" t="n">
        <v>0</v>
      </c>
      <c r="BE130" s="3" t="n">
        <v>114.3163360937909</v>
      </c>
      <c r="BF130" s="3" t="n">
        <v>81.54074349005775</v>
      </c>
      <c r="BG130" s="3" t="n">
        <v>103.1569945558898</v>
      </c>
      <c r="BH130" s="3" t="n">
        <v>111.3378448215212</v>
      </c>
      <c r="BI130" s="3" t="n">
        <v>105.239465033982</v>
      </c>
      <c r="BJ130" s="3" t="n">
        <v>101.9190286418983</v>
      </c>
      <c r="BK130" s="3" t="n">
        <v>0</v>
      </c>
      <c r="BL130" s="3" t="n">
        <v>0</v>
      </c>
      <c r="BM130" s="3" t="n">
        <v>0.0231479331150288</v>
      </c>
      <c r="BN130" s="3" t="n">
        <v>0</v>
      </c>
      <c r="BO130" s="3" t="n">
        <v>0</v>
      </c>
      <c r="BP130" s="3" t="n">
        <v>0</v>
      </c>
    </row>
    <row r="131">
      <c r="A131" s="3" t="inlineStr">
        <is>
          <t>EGY.distn.bsh.dec.urb.p75.7</t>
        </is>
      </c>
      <c r="B131" s="3" t="inlineStr">
        <is>
          <t>EGY</t>
        </is>
      </c>
      <c r="C131" s="3" t="n">
        <v>2017</v>
      </c>
      <c r="D131" s="3" t="inlineStr">
        <is>
          <t>Urban</t>
        </is>
      </c>
      <c r="E131" s="3" t="inlineStr">
        <is>
          <t>Deciles</t>
        </is>
      </c>
      <c r="F131" s="3" t="inlineStr">
        <is>
          <t>p75</t>
        </is>
      </c>
      <c r="G131" s="3" t="n">
        <v>7</v>
      </c>
      <c r="H131" s="3" t="n">
        <v>1.779325100818208</v>
      </c>
      <c r="I131" s="3" t="n">
        <v>0</v>
      </c>
      <c r="J131" s="3" t="n">
        <v>4.623703822664824</v>
      </c>
      <c r="K131" s="3" t="n">
        <v>7.039483876240557</v>
      </c>
      <c r="L131" s="3" t="n">
        <v>0</v>
      </c>
      <c r="M131" s="3" t="n">
        <v>4.966919378719608</v>
      </c>
      <c r="N131" s="3" t="n">
        <v>0</v>
      </c>
      <c r="O131" s="3" t="n">
        <v>6.75718056865666</v>
      </c>
      <c r="P131" s="3" t="n">
        <v>0</v>
      </c>
      <c r="Q131" s="3" t="n">
        <v>4.251352689920855</v>
      </c>
      <c r="R131" s="3" t="n">
        <v>62.33164670646229</v>
      </c>
      <c r="S131" s="3" t="n">
        <v>0</v>
      </c>
      <c r="T131" s="3" t="n">
        <v>0</v>
      </c>
      <c r="U131" s="3" t="n">
        <v>5.404765444328885</v>
      </c>
      <c r="V131" s="3" t="n">
        <v>6.235292532983832</v>
      </c>
      <c r="W131" s="3" t="n">
        <v>0</v>
      </c>
      <c r="X131" s="3" t="n">
        <v>1.547754384255441</v>
      </c>
      <c r="Y131" s="3" t="n">
        <v>1.135533539019147</v>
      </c>
      <c r="Z131" s="3" t="n">
        <v>0</v>
      </c>
      <c r="AA131" s="3" t="n">
        <v>0</v>
      </c>
      <c r="AB131" s="3" t="n">
        <v>2.360146166942007</v>
      </c>
      <c r="AC131" s="3" t="n">
        <v>11.41394435360626</v>
      </c>
      <c r="AD131" s="3" t="n">
        <v>10.54352365004429</v>
      </c>
      <c r="AE131" s="3" t="n">
        <v>0</v>
      </c>
      <c r="AF131" s="3" t="n">
        <v>7.325894101549562</v>
      </c>
      <c r="AG131" s="3" t="n">
        <v>3304.897715768953</v>
      </c>
      <c r="AH131" s="3" t="n">
        <v>6883.597413104429</v>
      </c>
      <c r="AI131" s="3" t="n">
        <v>7082.735474109969</v>
      </c>
      <c r="AJ131" s="3" t="n">
        <v>8622.47703495729</v>
      </c>
      <c r="AK131" s="3" t="n">
        <v>8598.632362226192</v>
      </c>
      <c r="AL131" s="3" t="n">
        <v>9360.503567877602</v>
      </c>
      <c r="AM131" s="3" t="n">
        <v>9641.481070685631</v>
      </c>
      <c r="AN131" s="3" t="n">
        <v>10654.1821810417</v>
      </c>
      <c r="AO131" s="3" t="n">
        <v>10480.8014297719</v>
      </c>
      <c r="AP131" s="3" t="n">
        <v>12666.10490983408</v>
      </c>
      <c r="AQ131" s="3" t="n">
        <v>12030.56677401556</v>
      </c>
      <c r="AR131" s="3" t="n">
        <v>14461.04810766855</v>
      </c>
      <c r="AS131" s="3" t="n">
        <v>12963.22900217828</v>
      </c>
      <c r="AT131" s="3" t="n">
        <v>15063.6793788158</v>
      </c>
      <c r="AU131" s="3" t="n">
        <v>16663.58807475461</v>
      </c>
      <c r="AV131" s="3" t="n">
        <v>19563.45285293036</v>
      </c>
      <c r="AW131" s="3" t="n">
        <v>17895.24998681381</v>
      </c>
      <c r="AX131" s="3" t="n">
        <v>24255.25985648427</v>
      </c>
      <c r="AY131" s="3" t="n">
        <v>24708.86533054614</v>
      </c>
      <c r="AZ131" s="3" t="n">
        <v>68387.01279454527</v>
      </c>
      <c r="BA131" s="3" t="n">
        <v>15763.33056169368</v>
      </c>
      <c r="BB131" s="3" t="n">
        <v>4872506.5558301</v>
      </c>
      <c r="BC131" s="3" t="n">
        <v>0</v>
      </c>
      <c r="BD131" s="3" t="n">
        <v>0</v>
      </c>
      <c r="BE131" s="3" t="n">
        <v>111.9552131688399</v>
      </c>
      <c r="BF131" s="3" t="n">
        <v>85.84228344486579</v>
      </c>
      <c r="BG131" s="3" t="n">
        <v>100</v>
      </c>
      <c r="BH131" s="3" t="n">
        <v>109.0516600711904</v>
      </c>
      <c r="BI131" s="3" t="n">
        <v>108.4994053004074</v>
      </c>
      <c r="BJ131" s="3" t="n">
        <v>105.5815638558548</v>
      </c>
      <c r="BK131" s="3" t="n">
        <v>0</v>
      </c>
      <c r="BL131" s="3" t="n">
        <v>0</v>
      </c>
      <c r="BM131" s="3" t="n">
        <v>0.02470530360974354</v>
      </c>
      <c r="BN131" s="3" t="n">
        <v>0</v>
      </c>
      <c r="BO131" s="3" t="n">
        <v>0</v>
      </c>
      <c r="BP131" s="3" t="n">
        <v>0</v>
      </c>
    </row>
    <row r="132">
      <c r="A132" s="3" t="inlineStr">
        <is>
          <t>EGY.distn.bsh.dec.urb.p75.8</t>
        </is>
      </c>
      <c r="B132" s="3" t="inlineStr">
        <is>
          <t>EGY</t>
        </is>
      </c>
      <c r="C132" s="3" t="n">
        <v>2017</v>
      </c>
      <c r="D132" s="3" t="inlineStr">
        <is>
          <t>Urban</t>
        </is>
      </c>
      <c r="E132" s="3" t="inlineStr">
        <is>
          <t>Deciles</t>
        </is>
      </c>
      <c r="F132" s="3" t="inlineStr">
        <is>
          <t>p75</t>
        </is>
      </c>
      <c r="G132" s="3" t="n">
        <v>8</v>
      </c>
      <c r="H132" s="3" t="n">
        <v>1.951361633169629</v>
      </c>
      <c r="I132" s="3" t="n">
        <v>0</v>
      </c>
      <c r="J132" s="3" t="n">
        <v>4.580448076968003</v>
      </c>
      <c r="K132" s="3" t="n">
        <v>7.515266456183141</v>
      </c>
      <c r="L132" s="3" t="n">
        <v>0</v>
      </c>
      <c r="M132" s="3" t="n">
        <v>4.949333047182325</v>
      </c>
      <c r="N132" s="3" t="n">
        <v>0</v>
      </c>
      <c r="O132" s="3" t="n">
        <v>4.759604048201874</v>
      </c>
      <c r="P132" s="3" t="n">
        <v>0</v>
      </c>
      <c r="Q132" s="3" t="n">
        <v>4.355448721679749</v>
      </c>
      <c r="R132" s="3" t="n">
        <v>62.94871817486268</v>
      </c>
      <c r="S132" s="3" t="n">
        <v>0</v>
      </c>
      <c r="T132" s="3" t="n">
        <v>0</v>
      </c>
      <c r="U132" s="3" t="n">
        <v>5.243616638266079</v>
      </c>
      <c r="V132" s="3" t="n">
        <v>6.762181843784966</v>
      </c>
      <c r="W132" s="3" t="n">
        <v>0</v>
      </c>
      <c r="X132" s="3" t="n">
        <v>1.256009235279389</v>
      </c>
      <c r="Y132" s="3" t="n">
        <v>1.207644899041202</v>
      </c>
      <c r="Z132" s="3" t="n">
        <v>0</v>
      </c>
      <c r="AA132" s="3" t="n">
        <v>0</v>
      </c>
      <c r="AB132" s="3" t="n">
        <v>2.037746571910886</v>
      </c>
      <c r="AC132" s="3" t="n">
        <v>10.06645686541076</v>
      </c>
      <c r="AD132" s="3" t="n">
        <v>10.50102705347293</v>
      </c>
      <c r="AE132" s="3" t="n">
        <v>0</v>
      </c>
      <c r="AF132" s="3" t="n">
        <v>7.355175884569391</v>
      </c>
      <c r="AG132" s="3" t="n">
        <v>3371.159007882185</v>
      </c>
      <c r="AH132" s="3" t="n">
        <v>7314.321190599918</v>
      </c>
      <c r="AI132" s="3" t="n">
        <v>6784.329788057566</v>
      </c>
      <c r="AJ132" s="3" t="n">
        <v>8298.87227452035</v>
      </c>
      <c r="AK132" s="3" t="n">
        <v>9045.819267816651</v>
      </c>
      <c r="AL132" s="3" t="n">
        <v>10007.7770085072</v>
      </c>
      <c r="AM132" s="3" t="n">
        <v>9388.802989665579</v>
      </c>
      <c r="AN132" s="3" t="n">
        <v>11624.38061281676</v>
      </c>
      <c r="AO132" s="3" t="n">
        <v>11177.43688600568</v>
      </c>
      <c r="AP132" s="3" t="n">
        <v>11762.15731698722</v>
      </c>
      <c r="AQ132" s="3" t="n">
        <v>12915.23700461214</v>
      </c>
      <c r="AR132" s="3" t="n">
        <v>13133.49222528434</v>
      </c>
      <c r="AS132" s="3" t="n">
        <v>13507.69883085036</v>
      </c>
      <c r="AT132" s="3" t="n">
        <v>16454.85728417174</v>
      </c>
      <c r="AU132" s="3" t="n">
        <v>15631.73166358382</v>
      </c>
      <c r="AV132" s="3" t="n">
        <v>17893.95311627878</v>
      </c>
      <c r="AW132" s="3" t="n">
        <v>17104.9172328839</v>
      </c>
      <c r="AX132" s="3" t="n">
        <v>21787.96864155076</v>
      </c>
      <c r="AY132" s="3" t="n">
        <v>21991.26553656027</v>
      </c>
      <c r="AZ132" s="3" t="n">
        <v>66676.53558051425</v>
      </c>
      <c r="BA132" s="3" t="n">
        <v>19561.15814702116</v>
      </c>
      <c r="BB132" s="3" t="n">
        <v>5067992.468565418</v>
      </c>
      <c r="BC132" s="3" t="n">
        <v>0</v>
      </c>
      <c r="BD132" s="3" t="n">
        <v>0</v>
      </c>
      <c r="BE132" s="3" t="n">
        <v>112.8860660186377</v>
      </c>
      <c r="BF132" s="3" t="n">
        <v>78.17576939612979</v>
      </c>
      <c r="BG132" s="3" t="n">
        <v>106.8475499750524</v>
      </c>
      <c r="BH132" s="3" t="n">
        <v>99.43945832781623</v>
      </c>
      <c r="BI132" s="3" t="n">
        <v>97.5969511246836</v>
      </c>
      <c r="BJ132" s="3" t="n">
        <v>108.5272984277698</v>
      </c>
      <c r="BK132" s="3" t="n">
        <v>0</v>
      </c>
      <c r="BL132" s="3" t="n">
        <v>0</v>
      </c>
      <c r="BM132" s="3" t="n">
        <v>0</v>
      </c>
      <c r="BN132" s="3" t="n">
        <v>0</v>
      </c>
      <c r="BO132" s="3" t="n">
        <v>0</v>
      </c>
      <c r="BP132" s="3" t="n">
        <v>0</v>
      </c>
    </row>
    <row r="133">
      <c r="A133" s="3" t="inlineStr">
        <is>
          <t>EGY.distn.bsh.dec.urb.p75.9</t>
        </is>
      </c>
      <c r="B133" s="3" t="inlineStr">
        <is>
          <t>EGY</t>
        </is>
      </c>
      <c r="C133" s="3" t="n">
        <v>2017</v>
      </c>
      <c r="D133" s="3" t="inlineStr">
        <is>
          <t>Urban</t>
        </is>
      </c>
      <c r="E133" s="3" t="inlineStr">
        <is>
          <t>Deciles</t>
        </is>
      </c>
      <c r="F133" s="3" t="inlineStr">
        <is>
          <t>p75</t>
        </is>
      </c>
      <c r="G133" s="3" t="n">
        <v>9</v>
      </c>
      <c r="H133" s="3" t="n">
        <v>1.85440398265669</v>
      </c>
      <c r="I133" s="3" t="n">
        <v>0</v>
      </c>
      <c r="J133" s="3" t="n">
        <v>4.669682419713809</v>
      </c>
      <c r="K133" s="3" t="n">
        <v>6.55710189634449</v>
      </c>
      <c r="L133" s="3" t="n">
        <v>0</v>
      </c>
      <c r="M133" s="3" t="n">
        <v>4.742226101112756</v>
      </c>
      <c r="N133" s="3" t="n">
        <v>0</v>
      </c>
      <c r="O133" s="3" t="n">
        <v>1.368381467060747</v>
      </c>
      <c r="P133" s="3" t="n">
        <v>0</v>
      </c>
      <c r="Q133" s="3" t="n">
        <v>4.175596860462218</v>
      </c>
      <c r="R133" s="3" t="n">
        <v>60.11886721938274</v>
      </c>
      <c r="S133" s="3" t="n">
        <v>0</v>
      </c>
      <c r="T133" s="3" t="n">
        <v>0</v>
      </c>
      <c r="U133" s="3" t="n">
        <v>5.635749355169679</v>
      </c>
      <c r="V133" s="3" t="n">
        <v>6.704105384732188</v>
      </c>
      <c r="W133" s="3" t="n">
        <v>0</v>
      </c>
      <c r="X133" s="3" t="n">
        <v>1.187764119383584</v>
      </c>
      <c r="Y133" s="3" t="n">
        <v>1.165503345131686</v>
      </c>
      <c r="Z133" s="3" t="n">
        <v>0</v>
      </c>
      <c r="AA133" s="3" t="n">
        <v>0</v>
      </c>
      <c r="AB133" s="3" t="n">
        <v>1.612929918884535</v>
      </c>
      <c r="AC133" s="3" t="n">
        <v>12.5931155661495</v>
      </c>
      <c r="AD133" s="3" t="n">
        <v>11.41270223544242</v>
      </c>
      <c r="AE133" s="3" t="n">
        <v>0</v>
      </c>
      <c r="AF133" s="3" t="n">
        <v>6.906712187683859</v>
      </c>
      <c r="AG133" s="3" t="n">
        <v>3332.420869251902</v>
      </c>
      <c r="AH133" s="3" t="n">
        <v>7049.728169568512</v>
      </c>
      <c r="AI133" s="3" t="n">
        <v>7545.592889797793</v>
      </c>
      <c r="AJ133" s="3" t="n">
        <v>8774.636445637918</v>
      </c>
      <c r="AK133" s="3" t="n">
        <v>8089.698085542824</v>
      </c>
      <c r="AL133" s="3" t="n">
        <v>9431.397575288522</v>
      </c>
      <c r="AM133" s="3" t="n">
        <v>9016.859523817458</v>
      </c>
      <c r="AN133" s="3" t="n">
        <v>10264.32373235033</v>
      </c>
      <c r="AO133" s="3" t="n">
        <v>10615.59137046653</v>
      </c>
      <c r="AP133" s="3" t="n">
        <v>11451.81555179516</v>
      </c>
      <c r="AQ133" s="3" t="n">
        <v>11384.8780214351</v>
      </c>
      <c r="AR133" s="3" t="n">
        <v>14449.65845083761</v>
      </c>
      <c r="AS133" s="3" t="n">
        <v>13076.59309127246</v>
      </c>
      <c r="AT133" s="3" t="n">
        <v>14401.9080806052</v>
      </c>
      <c r="AU133" s="3" t="n">
        <v>15501.95325486975</v>
      </c>
      <c r="AV133" s="3" t="n">
        <v>17613.29954800514</v>
      </c>
      <c r="AW133" s="3" t="n">
        <v>18469.48961371629</v>
      </c>
      <c r="AX133" s="3" t="n">
        <v>21352.65806512301</v>
      </c>
      <c r="AY133" s="3" t="n">
        <v>21793.98732156843</v>
      </c>
      <c r="AZ133" s="3" t="n">
        <v>63641.21790438169</v>
      </c>
      <c r="BA133" s="3" t="n">
        <v>20937.35201089377</v>
      </c>
      <c r="BB133" s="3" t="n">
        <v>4845394.215580224</v>
      </c>
      <c r="BC133" s="3" t="n">
        <v>0</v>
      </c>
      <c r="BD133" s="3" t="n">
        <v>0</v>
      </c>
      <c r="BE133" s="3" t="n">
        <v>108.4936986816877</v>
      </c>
      <c r="BF133" s="3" t="n">
        <v>71.7446734533588</v>
      </c>
      <c r="BG133" s="3" t="n">
        <v>103.6722303620714</v>
      </c>
      <c r="BH133" s="3" t="n">
        <v>103.4247483554482</v>
      </c>
      <c r="BI133" s="3" t="n">
        <v>95.58387804687274</v>
      </c>
      <c r="BJ133" s="3" t="n">
        <v>96.4651647948223</v>
      </c>
      <c r="BK133" s="3" t="n">
        <v>0</v>
      </c>
      <c r="BL133" s="3" t="n">
        <v>0</v>
      </c>
      <c r="BM133" s="3" t="n">
        <v>0</v>
      </c>
      <c r="BN133" s="3" t="n">
        <v>0</v>
      </c>
      <c r="BO133" s="3" t="n">
        <v>0</v>
      </c>
      <c r="BP133" s="3" t="n">
        <v>0</v>
      </c>
    </row>
    <row r="134">
      <c r="A134" s="3" t="inlineStr">
        <is>
          <t>EGY.distn.bsh.dec.urb.p75.10</t>
        </is>
      </c>
      <c r="B134" s="3" t="inlineStr">
        <is>
          <t>EGY</t>
        </is>
      </c>
      <c r="C134" s="3" t="n">
        <v>2017</v>
      </c>
      <c r="D134" s="3" t="inlineStr">
        <is>
          <t>Urban</t>
        </is>
      </c>
      <c r="E134" s="3" t="inlineStr">
        <is>
          <t>Deciles</t>
        </is>
      </c>
      <c r="F134" s="3" t="inlineStr">
        <is>
          <t>p75</t>
        </is>
      </c>
      <c r="G134" s="3" t="n">
        <v>10</v>
      </c>
      <c r="H134" s="3" t="n">
        <v>1.968635806293981</v>
      </c>
      <c r="I134" s="3" t="n">
        <v>0</v>
      </c>
      <c r="J134" s="3" t="n">
        <v>4.784058383419447</v>
      </c>
      <c r="K134" s="3" t="n">
        <v>6.837577644178013</v>
      </c>
      <c r="L134" s="3" t="n">
        <v>0</v>
      </c>
      <c r="M134" s="3" t="n">
        <v>5.145875432222721</v>
      </c>
      <c r="N134" s="3" t="n">
        <v>0</v>
      </c>
      <c r="O134" s="3" t="n">
        <v>0</v>
      </c>
      <c r="P134" s="3" t="n">
        <v>0</v>
      </c>
      <c r="Q134" s="3" t="n">
        <v>4.912767971142244</v>
      </c>
      <c r="R134" s="3" t="n">
        <v>55.62254826492627</v>
      </c>
      <c r="S134" s="3" t="n">
        <v>0</v>
      </c>
      <c r="T134" s="3" t="n">
        <v>0</v>
      </c>
      <c r="U134" s="3" t="n">
        <v>6.728072173873316</v>
      </c>
      <c r="V134" s="3" t="n">
        <v>8.02576496871233</v>
      </c>
      <c r="W134" s="3" t="n">
        <v>0</v>
      </c>
      <c r="X134" s="3" t="n">
        <v>0.7935103566359527</v>
      </c>
      <c r="Y134" s="3" t="n">
        <v>1.178309243821758</v>
      </c>
      <c r="Z134" s="3" t="n">
        <v>0</v>
      </c>
      <c r="AA134" s="3" t="n">
        <v>0</v>
      </c>
      <c r="AB134" s="3" t="n">
        <v>1.036825187004047</v>
      </c>
      <c r="AC134" s="3" t="n">
        <v>15.98740513055931</v>
      </c>
      <c r="AD134" s="3" t="n">
        <v>11.73321720756119</v>
      </c>
      <c r="AE134" s="3" t="n">
        <v>0</v>
      </c>
      <c r="AF134" s="3" t="n">
        <v>5.979334192658839</v>
      </c>
      <c r="AG134" s="3" t="n">
        <v>3325.608780165795</v>
      </c>
      <c r="AH134" s="3" t="n">
        <v>6806.889405142332</v>
      </c>
      <c r="AI134" s="3" t="n">
        <v>7563.405496709353</v>
      </c>
      <c r="AJ134" s="3" t="n">
        <v>8925.762274899371</v>
      </c>
      <c r="AK134" s="3" t="n">
        <v>9085.401915362536</v>
      </c>
      <c r="AL134" s="3" t="n">
        <v>9463.370717827402</v>
      </c>
      <c r="AM134" s="3" t="n">
        <v>9137.099551177365</v>
      </c>
      <c r="AN134" s="3" t="n">
        <v>10690.47086480967</v>
      </c>
      <c r="AO134" s="3" t="n">
        <v>10733.57530741653</v>
      </c>
      <c r="AP134" s="3" t="n">
        <v>11733.78231441896</v>
      </c>
      <c r="AQ134" s="3" t="n">
        <v>12416.89299843341</v>
      </c>
      <c r="AR134" s="3" t="n">
        <v>13102.93702486171</v>
      </c>
      <c r="AS134" s="3" t="n">
        <v>13609.37901348762</v>
      </c>
      <c r="AT134" s="3" t="n">
        <v>16341.33624174113</v>
      </c>
      <c r="AU134" s="3" t="n">
        <v>15699.14070531341</v>
      </c>
      <c r="AV134" s="3" t="n">
        <v>19093.27298857493</v>
      </c>
      <c r="AW134" s="3" t="n">
        <v>18635.76919137331</v>
      </c>
      <c r="AX134" s="3" t="n">
        <v>24719.61957887155</v>
      </c>
      <c r="AY134" s="3" t="n">
        <v>24403.81032489589</v>
      </c>
      <c r="AZ134" s="3" t="n">
        <v>69344.53301083371</v>
      </c>
      <c r="BA134" s="3" t="n">
        <v>31143.89574915942</v>
      </c>
      <c r="BB134" s="3" t="n">
        <v>4540131.046426151</v>
      </c>
      <c r="BC134" s="3" t="n">
        <v>0</v>
      </c>
      <c r="BD134" s="3" t="n">
        <v>0</v>
      </c>
      <c r="BE134" s="3" t="n">
        <v>104.7915677419277</v>
      </c>
      <c r="BF134" s="3" t="n">
        <v>79.84112105587361</v>
      </c>
      <c r="BG134" s="3" t="n">
        <v>101.4402929793339</v>
      </c>
      <c r="BH134" s="3" t="n">
        <v>114.6165759043751</v>
      </c>
      <c r="BI134" s="3" t="n">
        <v>89.10320254051146</v>
      </c>
      <c r="BJ134" s="3" t="n">
        <v>101.5980434394244</v>
      </c>
      <c r="BK134" s="3" t="n">
        <v>0</v>
      </c>
      <c r="BL134" s="3" t="n">
        <v>0</v>
      </c>
      <c r="BM134" s="3" t="n">
        <v>0</v>
      </c>
      <c r="BN134" s="3" t="n">
        <v>0</v>
      </c>
      <c r="BO134" s="3" t="n">
        <v>0</v>
      </c>
      <c r="BP134" s="3" t="n">
        <v>0</v>
      </c>
    </row>
    <row r="135">
      <c r="A135" s="3" t="inlineStr">
        <is>
          <t>EGY.distn.bsh.bkt.urb.p75.9999</t>
        </is>
      </c>
      <c r="B135" s="3" t="inlineStr">
        <is>
          <t>EGY</t>
        </is>
      </c>
      <c r="C135" s="3" t="n">
        <v>2017</v>
      </c>
      <c r="D135" s="3" t="inlineStr">
        <is>
          <t>Urban</t>
        </is>
      </c>
      <c r="E135" s="3" t="inlineStr">
        <is>
          <t>Basket</t>
        </is>
      </c>
      <c r="F135" s="3" t="inlineStr">
        <is>
          <t>p75</t>
        </is>
      </c>
      <c r="G135" s="3" t="n">
        <v>9999</v>
      </c>
      <c r="H135" s="3" t="n">
        <v>1.844513989827146</v>
      </c>
      <c r="I135" s="3" t="n">
        <v>0</v>
      </c>
      <c r="J135" s="3" t="n">
        <v>4.68607745637645</v>
      </c>
      <c r="K135" s="3" t="n">
        <v>7.711117530760135</v>
      </c>
      <c r="L135" s="3" t="n">
        <v>0</v>
      </c>
      <c r="M135" s="3" t="n">
        <v>4.734017449444194</v>
      </c>
      <c r="N135" s="3" t="n">
        <v>0</v>
      </c>
      <c r="O135" s="3" t="n">
        <v>6.28172579509125</v>
      </c>
      <c r="P135" s="3" t="n">
        <v>0</v>
      </c>
      <c r="Q135" s="3" t="n">
        <v>4.279581645341334</v>
      </c>
      <c r="R135" s="3" t="n">
        <v>64.36136095749374</v>
      </c>
      <c r="S135" s="3" t="n">
        <v>0</v>
      </c>
      <c r="T135" s="3" t="n">
        <v>0</v>
      </c>
      <c r="U135" s="3" t="n">
        <v>4.540075662010297</v>
      </c>
      <c r="V135" s="3" t="n">
        <v>6.876974540166478</v>
      </c>
      <c r="W135" s="3" t="n">
        <v>0</v>
      </c>
      <c r="X135" s="3" t="n">
        <v>2.002445492170907</v>
      </c>
      <c r="Y135" s="3" t="n">
        <v>1.120297624777616</v>
      </c>
      <c r="Z135" s="3" t="n">
        <v>0</v>
      </c>
      <c r="AA135" s="3" t="n">
        <v>0</v>
      </c>
      <c r="AB135" s="3" t="n">
        <v>2.505876687006911</v>
      </c>
      <c r="AC135" s="3" t="n">
        <v>9.724161214192325</v>
      </c>
      <c r="AD135" s="3" t="n">
        <v>9.667953395191285</v>
      </c>
      <c r="AE135" s="3" t="n">
        <v>0</v>
      </c>
      <c r="AF135" s="3" t="n">
        <v>7.166726727713425</v>
      </c>
      <c r="AG135" s="3" t="n">
        <v>3212.342671377733</v>
      </c>
      <c r="AH135" s="3" t="n">
        <v>6858.028866300284</v>
      </c>
      <c r="AI135" s="3" t="n">
        <v>7495.641904769119</v>
      </c>
      <c r="AJ135" s="3" t="n">
        <v>8217.819229306888</v>
      </c>
      <c r="AK135" s="3" t="n">
        <v>8055.570374112405</v>
      </c>
      <c r="AL135" s="3" t="n">
        <v>9348.900512050015</v>
      </c>
      <c r="AM135" s="3" t="n">
        <v>9317.774954384022</v>
      </c>
      <c r="AN135" s="3" t="n">
        <v>11277.13526650113</v>
      </c>
      <c r="AO135" s="3" t="n">
        <v>11368.54107142639</v>
      </c>
      <c r="AP135" s="3" t="n">
        <v>11767.71388820731</v>
      </c>
      <c r="AQ135" s="3" t="n">
        <v>12001.46738358671</v>
      </c>
      <c r="AR135" s="3" t="n">
        <v>13937.68221766529</v>
      </c>
      <c r="AS135" s="3" t="n">
        <v>14192.98051918628</v>
      </c>
      <c r="AT135" s="3" t="n">
        <v>14795.27368845279</v>
      </c>
      <c r="AU135" s="3" t="n">
        <v>14711.81801778787</v>
      </c>
      <c r="AV135" s="3" t="n">
        <v>19287.10090209036</v>
      </c>
      <c r="AW135" s="3" t="n">
        <v>18780.97195922659</v>
      </c>
      <c r="AX135" s="3" t="n">
        <v>22794.15415681941</v>
      </c>
      <c r="AY135" s="3" t="n">
        <v>24385.27683933775</v>
      </c>
      <c r="AZ135" s="3" t="n">
        <v>63177.23984131386</v>
      </c>
      <c r="BA135" s="3" t="n">
        <v>16357.01904244141</v>
      </c>
      <c r="BB135" s="3" t="n">
        <v>45338024.6255315</v>
      </c>
      <c r="BC135" s="3" t="n">
        <v>0</v>
      </c>
      <c r="BD135" s="3" t="n">
        <v>0</v>
      </c>
      <c r="BE135" s="3" t="n">
        <v>110.4133617860322</v>
      </c>
      <c r="BF135" s="3" t="n">
        <v>76.23268739324368</v>
      </c>
      <c r="BG135" s="3" t="n">
        <v>110.6529287634092</v>
      </c>
      <c r="BH135" s="3" t="n">
        <v>105.9905530301083</v>
      </c>
      <c r="BI135" s="3" t="n">
        <v>98.15985094683357</v>
      </c>
      <c r="BJ135" s="3" t="n">
        <v>97.21370117794848</v>
      </c>
      <c r="BK135" s="3" t="n">
        <v>0.0629021161247685</v>
      </c>
      <c r="BL135" s="3" t="n">
        <v>0.8957104646503673</v>
      </c>
      <c r="BM135" s="3" t="n">
        <v>12.75335643596894</v>
      </c>
      <c r="BN135" s="3" t="n">
        <v>0</v>
      </c>
      <c r="BO135" s="3" t="n">
        <v>0</v>
      </c>
      <c r="BP135" s="3" t="n">
        <v>0</v>
      </c>
    </row>
  </sheetData>
  <pageMargins left="0.75" right="0.75" top="1" bottom="1" header="0.5" footer="0.5"/>
</worksheet>
</file>

<file path=xl/worksheets/sheet11.xml><?xml version="1.0" encoding="utf-8"?>
<worksheet xmlns="http://schemas.openxmlformats.org/spreadsheetml/2006/main">
  <sheetPr>
    <tabColor rgb="00DCE6F1"/>
    <outlinePr summaryBelow="1" summaryRight="1"/>
    <pageSetUpPr/>
  </sheetPr>
  <dimension ref="A1:AE2401"/>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HH_Elast, extract_legacy_tables.py. Legacy table unchanged: paste the legacy data rows (all countries) at A4</t>
        </is>
      </c>
    </row>
    <row r="2">
      <c r="A2" s="1" t="inlineStr">
        <is>
          <t>HH_Elast - own-price elasticities by decile (overall, mean), all countries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88" t="inlineStr">
        <is>
          <t>code</t>
        </is>
      </c>
      <c r="B3" s="188" t="inlineStr">
        <is>
          <t>iso3</t>
        </is>
      </c>
      <c r="C3" s="188" t="inlineStr">
        <is>
          <t>year</t>
        </is>
      </c>
      <c r="D3" s="188" t="inlineStr">
        <is>
          <t>sample</t>
        </is>
      </c>
      <c r="E3" s="188" t="inlineStr">
        <is>
          <t>type</t>
        </is>
      </c>
      <c r="F3" s="188" t="inlineStr">
        <is>
          <t>stat_type</t>
        </is>
      </c>
      <c r="G3" s="188" t="inlineStr">
        <is>
          <t>quant_cons</t>
        </is>
      </c>
      <c r="H3" s="188" t="inlineStr">
        <is>
          <t>ely_elasticity</t>
        </is>
      </c>
      <c r="I3" s="188" t="inlineStr">
        <is>
          <t>nga_elasticity</t>
        </is>
      </c>
      <c r="J3" s="188" t="inlineStr">
        <is>
          <t>gso_elasticity</t>
        </is>
      </c>
      <c r="K3" s="188" t="inlineStr">
        <is>
          <t>die_elasticity</t>
        </is>
      </c>
      <c r="L3" s="188" t="inlineStr">
        <is>
          <t>coa_elasticity</t>
        </is>
      </c>
      <c r="M3" s="188" t="inlineStr">
        <is>
          <t>oil_elasticity</t>
        </is>
      </c>
      <c r="N3" s="188" t="inlineStr">
        <is>
          <t>lpg_elasticity</t>
        </is>
      </c>
      <c r="O3" s="188" t="inlineStr">
        <is>
          <t>ker_elasticity</t>
        </is>
      </c>
      <c r="P3" s="188" t="inlineStr">
        <is>
          <t>ccl_elasticity</t>
        </is>
      </c>
      <c r="Q3" s="188" t="inlineStr">
        <is>
          <t>fwd_elasticity</t>
        </is>
      </c>
      <c r="R3" s="188" t="inlineStr">
        <is>
          <t>appliances_elasticity</t>
        </is>
      </c>
      <c r="S3" s="188" t="inlineStr">
        <is>
          <t>chemicals_elasticity</t>
        </is>
      </c>
      <c r="T3" s="188" t="inlineStr">
        <is>
          <t>clothing_elasticity</t>
        </is>
      </c>
      <c r="U3" s="188" t="inlineStr">
        <is>
          <t>communications_elasticity</t>
        </is>
      </c>
      <c r="V3" s="188" t="inlineStr">
        <is>
          <t>education_elasticity</t>
        </is>
      </c>
      <c r="W3" s="188" t="inlineStr">
        <is>
          <t>food_elasticity</t>
        </is>
      </c>
      <c r="X3" s="188" t="inlineStr">
        <is>
          <t>health_srv_elasticity</t>
        </is>
      </c>
      <c r="Y3" s="188" t="inlineStr">
        <is>
          <t>housing_elasticity</t>
        </is>
      </c>
      <c r="Z3" s="188" t="inlineStr">
        <is>
          <t>other_elasticity</t>
        </is>
      </c>
      <c r="AA3" s="188" t="inlineStr">
        <is>
          <t>paper_elasticity</t>
        </is>
      </c>
      <c r="AB3" s="188" t="inlineStr">
        <is>
          <t>pharma_elasticity</t>
        </is>
      </c>
      <c r="AC3" s="188" t="inlineStr">
        <is>
          <t>rectourism_elasticity</t>
        </is>
      </c>
      <c r="AD3" s="188" t="inlineStr">
        <is>
          <t>transp_eqt_elasticity</t>
        </is>
      </c>
      <c r="AE3" s="188" t="inlineStr">
        <is>
          <t>transp_pub_elasticity</t>
        </is>
      </c>
    </row>
    <row r="4">
      <c r="A4" s="3" t="inlineStr">
        <is>
          <t>ABW.distn.dec.ove.mean.1</t>
        </is>
      </c>
      <c r="B4" s="3" t="inlineStr">
        <is>
          <t>ABW</t>
        </is>
      </c>
      <c r="C4" s="3" t="n">
        <v>2005</v>
      </c>
      <c r="D4" s="3" t="inlineStr">
        <is>
          <t>Overall</t>
        </is>
      </c>
      <c r="E4" s="3" t="inlineStr">
        <is>
          <t>Deciles</t>
        </is>
      </c>
      <c r="F4" s="3" t="inlineStr">
        <is>
          <t>mean</t>
        </is>
      </c>
      <c r="G4" s="3" t="n">
        <v>1</v>
      </c>
      <c r="H4" s="3" t="n">
        <v>-0.7878549098968506</v>
      </c>
      <c r="I4" s="3" t="n">
        <v>-0.7878549098968506</v>
      </c>
      <c r="J4" s="3" t="n">
        <v>-0.8883962808771336</v>
      </c>
      <c r="K4" s="3" t="n">
        <v>-0.8883962808771336</v>
      </c>
      <c r="L4" s="3" t="n">
        <v>-0.7878549098968506</v>
      </c>
      <c r="M4" s="3" t="n">
        <v>-0.7878549098968506</v>
      </c>
      <c r="N4" s="3" t="n">
        <v>-0.7878549098968506</v>
      </c>
      <c r="O4" s="3" t="n">
        <v>-0.7878549098968506</v>
      </c>
      <c r="P4" s="3" t="n">
        <v>-0.7878549098968506</v>
      </c>
      <c r="Q4" s="3" t="n">
        <v>-0.7878549098968506</v>
      </c>
      <c r="R4" s="3" t="n">
        <v>-0.7732356596500316</v>
      </c>
      <c r="S4" s="3" t="n">
        <v>-1.408805674694954</v>
      </c>
      <c r="T4" s="3" t="n">
        <v>-0.7095591730259835</v>
      </c>
      <c r="U4" s="3" t="n">
        <v>-0.8883962808771336</v>
      </c>
      <c r="V4" s="3" t="n">
        <v>-0.681934451803248</v>
      </c>
      <c r="W4" s="3" t="n">
        <v>-0.5702875047288043</v>
      </c>
      <c r="X4" s="3" t="n">
        <v>-1.356243993373627</v>
      </c>
      <c r="Y4" s="3" t="n">
        <v>-0.7878549098968506</v>
      </c>
      <c r="Z4" s="3" t="n">
        <v>-1.408805674694954</v>
      </c>
      <c r="AA4" s="3" t="n">
        <v>-1.408805674694954</v>
      </c>
      <c r="AB4" s="3" t="n">
        <v>-1.356243993373627</v>
      </c>
      <c r="AC4" s="3" t="n">
        <v>-2.123991362592007</v>
      </c>
      <c r="AD4" s="3" t="n">
        <v>-0.8883962808771336</v>
      </c>
      <c r="AE4" s="3" t="n">
        <v>-0.8883962808771336</v>
      </c>
    </row>
    <row r="5">
      <c r="A5" s="3" t="inlineStr">
        <is>
          <t>ABW.distn.dec.ove.mean.2</t>
        </is>
      </c>
      <c r="B5" s="3" t="inlineStr">
        <is>
          <t>ABW</t>
        </is>
      </c>
      <c r="C5" s="3" t="n">
        <v>2005</v>
      </c>
      <c r="D5" s="3" t="inlineStr">
        <is>
          <t>Overall</t>
        </is>
      </c>
      <c r="E5" s="3" t="inlineStr">
        <is>
          <t>Deciles</t>
        </is>
      </c>
      <c r="F5" s="3" t="inlineStr">
        <is>
          <t>mean</t>
        </is>
      </c>
      <c r="G5" s="3" t="n">
        <v>2</v>
      </c>
      <c r="H5" s="3" t="n">
        <v>-0.7878549098968506</v>
      </c>
      <c r="I5" s="3" t="n">
        <v>-0.7878549098968506</v>
      </c>
      <c r="J5" s="3" t="n">
        <v>-0.8883962808771336</v>
      </c>
      <c r="K5" s="3" t="n">
        <v>-0.8883962808771336</v>
      </c>
      <c r="L5" s="3" t="n">
        <v>-0.7878549098968506</v>
      </c>
      <c r="M5" s="3" t="n">
        <v>-0.7878549098968506</v>
      </c>
      <c r="N5" s="3" t="n">
        <v>-0.7878549098968506</v>
      </c>
      <c r="O5" s="3" t="n">
        <v>-0.7878549098968506</v>
      </c>
      <c r="P5" s="3" t="n">
        <v>-0.7878549098968506</v>
      </c>
      <c r="Q5" s="3" t="n">
        <v>-0.7878549098968506</v>
      </c>
      <c r="R5" s="3" t="n">
        <v>-0.7732356596500316</v>
      </c>
      <c r="S5" s="3" t="n">
        <v>-1.408805674694954</v>
      </c>
      <c r="T5" s="3" t="n">
        <v>-0.7095591730259835</v>
      </c>
      <c r="U5" s="3" t="n">
        <v>-0.8883962808771336</v>
      </c>
      <c r="V5" s="3" t="n">
        <v>-0.681934451803248</v>
      </c>
      <c r="W5" s="3" t="n">
        <v>-0.5702875047288043</v>
      </c>
      <c r="X5" s="3" t="n">
        <v>-1.356243993373627</v>
      </c>
      <c r="Y5" s="3" t="n">
        <v>-0.7878549098968506</v>
      </c>
      <c r="Z5" s="3" t="n">
        <v>-1.408805674694954</v>
      </c>
      <c r="AA5" s="3" t="n">
        <v>-1.408805674694954</v>
      </c>
      <c r="AB5" s="3" t="n">
        <v>-1.356243993373627</v>
      </c>
      <c r="AC5" s="3" t="n">
        <v>-2.123991362592007</v>
      </c>
      <c r="AD5" s="3" t="n">
        <v>-0.8883962808771336</v>
      </c>
      <c r="AE5" s="3" t="n">
        <v>-0.8883962808771336</v>
      </c>
    </row>
    <row r="6">
      <c r="A6" s="3" t="inlineStr">
        <is>
          <t>ABW.distn.dec.ove.mean.3</t>
        </is>
      </c>
      <c r="B6" s="3" t="inlineStr">
        <is>
          <t>ABW</t>
        </is>
      </c>
      <c r="C6" s="3" t="n">
        <v>2005</v>
      </c>
      <c r="D6" s="3" t="inlineStr">
        <is>
          <t>Overall</t>
        </is>
      </c>
      <c r="E6" s="3" t="inlineStr">
        <is>
          <t>Deciles</t>
        </is>
      </c>
      <c r="F6" s="3" t="inlineStr">
        <is>
          <t>mean</t>
        </is>
      </c>
      <c r="G6" s="3" t="n">
        <v>3</v>
      </c>
      <c r="H6" s="3" t="n">
        <v>-0.7878549098968506</v>
      </c>
      <c r="I6" s="3" t="n">
        <v>-0.7878549098968506</v>
      </c>
      <c r="J6" s="3" t="n">
        <v>-0.8883962808771336</v>
      </c>
      <c r="K6" s="3" t="n">
        <v>-0.8883962808771336</v>
      </c>
      <c r="L6" s="3" t="n">
        <v>-0.7878549098968506</v>
      </c>
      <c r="M6" s="3" t="n">
        <v>-0.7878549098968506</v>
      </c>
      <c r="N6" s="3" t="n">
        <v>-0.7878549098968506</v>
      </c>
      <c r="O6" s="3" t="n">
        <v>-0.7878549098968506</v>
      </c>
      <c r="P6" s="3" t="n">
        <v>-0.7878549098968506</v>
      </c>
      <c r="Q6" s="3" t="n">
        <v>-0.7878549098968506</v>
      </c>
      <c r="R6" s="3" t="n">
        <v>-0.7732356596500316</v>
      </c>
      <c r="S6" s="3" t="n">
        <v>-1.408805674694954</v>
      </c>
      <c r="T6" s="3" t="n">
        <v>-0.7095591730259835</v>
      </c>
      <c r="U6" s="3" t="n">
        <v>-0.8883962808771336</v>
      </c>
      <c r="V6" s="3" t="n">
        <v>-0.681934451803248</v>
      </c>
      <c r="W6" s="3" t="n">
        <v>-0.5702875047288043</v>
      </c>
      <c r="X6" s="3" t="n">
        <v>-1.356243993373627</v>
      </c>
      <c r="Y6" s="3" t="n">
        <v>-0.7878549098968506</v>
      </c>
      <c r="Z6" s="3" t="n">
        <v>-1.408805674694954</v>
      </c>
      <c r="AA6" s="3" t="n">
        <v>-1.408805674694954</v>
      </c>
      <c r="AB6" s="3" t="n">
        <v>-1.356243993373627</v>
      </c>
      <c r="AC6" s="3" t="n">
        <v>-2.123991362592007</v>
      </c>
      <c r="AD6" s="3" t="n">
        <v>-0.8883962808771336</v>
      </c>
      <c r="AE6" s="3" t="n">
        <v>-0.8883962808771336</v>
      </c>
    </row>
    <row r="7">
      <c r="A7" s="3" t="inlineStr">
        <is>
          <t>ABW.distn.dec.ove.mean.4</t>
        </is>
      </c>
      <c r="B7" s="3" t="inlineStr">
        <is>
          <t>ABW</t>
        </is>
      </c>
      <c r="C7" s="3" t="n">
        <v>2005</v>
      </c>
      <c r="D7" s="3" t="inlineStr">
        <is>
          <t>Overall</t>
        </is>
      </c>
      <c r="E7" s="3" t="inlineStr">
        <is>
          <t>Deciles</t>
        </is>
      </c>
      <c r="F7" s="3" t="inlineStr">
        <is>
          <t>mean</t>
        </is>
      </c>
      <c r="G7" s="3" t="n">
        <v>4</v>
      </c>
      <c r="H7" s="3" t="n">
        <v>-0.7816170251115839</v>
      </c>
      <c r="I7" s="3" t="n">
        <v>-0.7816170251115839</v>
      </c>
      <c r="J7" s="3" t="n">
        <v>-0.8454680810583398</v>
      </c>
      <c r="K7" s="3" t="n">
        <v>-0.8454680810583398</v>
      </c>
      <c r="L7" s="3" t="n">
        <v>-0.7816170251115839</v>
      </c>
      <c r="M7" s="3" t="n">
        <v>-0.7816170251115839</v>
      </c>
      <c r="N7" s="3" t="n">
        <v>-0.7816170251115839</v>
      </c>
      <c r="O7" s="3" t="n">
        <v>-0.7816170251115839</v>
      </c>
      <c r="P7" s="3" t="n">
        <v>-0.7816170251115839</v>
      </c>
      <c r="Q7" s="3" t="n">
        <v>-0.7816170251115839</v>
      </c>
      <c r="R7" s="3" t="n">
        <v>-0.7697659489956308</v>
      </c>
      <c r="S7" s="3" t="n">
        <v>-0.9595531871978272</v>
      </c>
      <c r="T7" s="3" t="n">
        <v>-0.7081063859006191</v>
      </c>
      <c r="U7" s="3" t="n">
        <v>-0.8454680810583398</v>
      </c>
      <c r="V7" s="3" t="n">
        <v>-0.6750000017754575</v>
      </c>
      <c r="W7" s="3" t="n">
        <v>-0.4799574455048176</v>
      </c>
      <c r="X7" s="3" t="n">
        <v>-0.9571489362006492</v>
      </c>
      <c r="Y7" s="3" t="n">
        <v>-0.7816170251115839</v>
      </c>
      <c r="Z7" s="3" t="n">
        <v>-0.9595531871978272</v>
      </c>
      <c r="AA7" s="3" t="n">
        <v>-0.9595531871978272</v>
      </c>
      <c r="AB7" s="3" t="n">
        <v>-0.9571489362006492</v>
      </c>
      <c r="AC7" s="3" t="n">
        <v>-1.025723396463597</v>
      </c>
      <c r="AD7" s="3" t="n">
        <v>-0.8454680810583398</v>
      </c>
      <c r="AE7" s="3" t="n">
        <v>-0.8454680810583398</v>
      </c>
    </row>
    <row r="8">
      <c r="A8" s="3" t="inlineStr">
        <is>
          <t>ABW.distn.dec.ove.mean.5</t>
        </is>
      </c>
      <c r="B8" s="3" t="inlineStr">
        <is>
          <t>ABW</t>
        </is>
      </c>
      <c r="C8" s="3" t="n">
        <v>2005</v>
      </c>
      <c r="D8" s="3" t="inlineStr">
        <is>
          <t>Overall</t>
        </is>
      </c>
      <c r="E8" s="3" t="inlineStr">
        <is>
          <t>Deciles</t>
        </is>
      </c>
      <c r="F8" s="3" t="inlineStr">
        <is>
          <t>mean</t>
        </is>
      </c>
      <c r="G8" s="3" t="n">
        <v>5</v>
      </c>
      <c r="H8" s="3" t="n">
        <v>-0.7816170251115839</v>
      </c>
      <c r="I8" s="3" t="n">
        <v>-0.7816170251115839</v>
      </c>
      <c r="J8" s="3" t="n">
        <v>-0.8454680810583398</v>
      </c>
      <c r="K8" s="3" t="n">
        <v>-0.8454680810583398</v>
      </c>
      <c r="L8" s="3" t="n">
        <v>-0.7816170251115839</v>
      </c>
      <c r="M8" s="3" t="n">
        <v>-0.7816170251115839</v>
      </c>
      <c r="N8" s="3" t="n">
        <v>-0.7816170251115839</v>
      </c>
      <c r="O8" s="3" t="n">
        <v>-0.7816170251115839</v>
      </c>
      <c r="P8" s="3" t="n">
        <v>-0.7816170251115839</v>
      </c>
      <c r="Q8" s="3" t="n">
        <v>-0.7816170251115839</v>
      </c>
      <c r="R8" s="3" t="n">
        <v>-0.7697659489956308</v>
      </c>
      <c r="S8" s="3" t="n">
        <v>-0.9595531871978272</v>
      </c>
      <c r="T8" s="3" t="n">
        <v>-0.7081063859006191</v>
      </c>
      <c r="U8" s="3" t="n">
        <v>-0.8454680810583398</v>
      </c>
      <c r="V8" s="3" t="n">
        <v>-0.6750000017754575</v>
      </c>
      <c r="W8" s="3" t="n">
        <v>-0.4799574455048176</v>
      </c>
      <c r="X8" s="3" t="n">
        <v>-0.9571489362006492</v>
      </c>
      <c r="Y8" s="3" t="n">
        <v>-0.7816170251115839</v>
      </c>
      <c r="Z8" s="3" t="n">
        <v>-0.9595531871978272</v>
      </c>
      <c r="AA8" s="3" t="n">
        <v>-0.9595531871978272</v>
      </c>
      <c r="AB8" s="3" t="n">
        <v>-0.9571489362006492</v>
      </c>
      <c r="AC8" s="3" t="n">
        <v>-1.025723396463597</v>
      </c>
      <c r="AD8" s="3" t="n">
        <v>-0.8454680810583398</v>
      </c>
      <c r="AE8" s="3" t="n">
        <v>-0.8454680810583398</v>
      </c>
    </row>
    <row r="9">
      <c r="A9" s="3" t="inlineStr">
        <is>
          <t>ABW.distn.dec.ove.mean.6</t>
        </is>
      </c>
      <c r="B9" s="3" t="inlineStr">
        <is>
          <t>ABW</t>
        </is>
      </c>
      <c r="C9" s="3" t="n">
        <v>2005</v>
      </c>
      <c r="D9" s="3" t="inlineStr">
        <is>
          <t>Overall</t>
        </is>
      </c>
      <c r="E9" s="3" t="inlineStr">
        <is>
          <t>Deciles</t>
        </is>
      </c>
      <c r="F9" s="3" t="inlineStr">
        <is>
          <t>mean</t>
        </is>
      </c>
      <c r="G9" s="3" t="n">
        <v>6</v>
      </c>
      <c r="H9" s="3" t="n">
        <v>-0.7816170251115839</v>
      </c>
      <c r="I9" s="3" t="n">
        <v>-0.7816170251115839</v>
      </c>
      <c r="J9" s="3" t="n">
        <v>-0.8454680810583398</v>
      </c>
      <c r="K9" s="3" t="n">
        <v>-0.8454680810583398</v>
      </c>
      <c r="L9" s="3" t="n">
        <v>-0.7816170251115839</v>
      </c>
      <c r="M9" s="3" t="n">
        <v>-0.7816170251115839</v>
      </c>
      <c r="N9" s="3" t="n">
        <v>-0.7816170251115839</v>
      </c>
      <c r="O9" s="3" t="n">
        <v>-0.7816170251115839</v>
      </c>
      <c r="P9" s="3" t="n">
        <v>-0.7816170251115839</v>
      </c>
      <c r="Q9" s="3" t="n">
        <v>-0.7816170251115839</v>
      </c>
      <c r="R9" s="3" t="n">
        <v>-0.7697659489956308</v>
      </c>
      <c r="S9" s="3" t="n">
        <v>-0.9595531871978272</v>
      </c>
      <c r="T9" s="3" t="n">
        <v>-0.7081063859006191</v>
      </c>
      <c r="U9" s="3" t="n">
        <v>-0.8454680810583398</v>
      </c>
      <c r="V9" s="3" t="n">
        <v>-0.6750000017754575</v>
      </c>
      <c r="W9" s="3" t="n">
        <v>-0.4799574455048176</v>
      </c>
      <c r="X9" s="3" t="n">
        <v>-0.9571489362006492</v>
      </c>
      <c r="Y9" s="3" t="n">
        <v>-0.7816170251115839</v>
      </c>
      <c r="Z9" s="3" t="n">
        <v>-0.9595531871978272</v>
      </c>
      <c r="AA9" s="3" t="n">
        <v>-0.9595531871978272</v>
      </c>
      <c r="AB9" s="3" t="n">
        <v>-0.9571489362006492</v>
      </c>
      <c r="AC9" s="3" t="n">
        <v>-1.025723396463597</v>
      </c>
      <c r="AD9" s="3" t="n">
        <v>-0.8454680810583398</v>
      </c>
      <c r="AE9" s="3" t="n">
        <v>-0.8454680810583398</v>
      </c>
    </row>
    <row r="10">
      <c r="A10" s="3" t="inlineStr">
        <is>
          <t>ABW.distn.dec.ove.mean.7</t>
        </is>
      </c>
      <c r="B10" s="3" t="inlineStr">
        <is>
          <t>ABW</t>
        </is>
      </c>
      <c r="C10" s="3" t="n">
        <v>2005</v>
      </c>
      <c r="D10" s="3" t="inlineStr">
        <is>
          <t>Overall</t>
        </is>
      </c>
      <c r="E10" s="3" t="inlineStr">
        <is>
          <t>Deciles</t>
        </is>
      </c>
      <c r="F10" s="3" t="inlineStr">
        <is>
          <t>mean</t>
        </is>
      </c>
      <c r="G10" s="3" t="n">
        <v>7</v>
      </c>
      <c r="H10" s="3" t="n">
        <v>-0.7816170251115839</v>
      </c>
      <c r="I10" s="3" t="n">
        <v>-0.7816170251115839</v>
      </c>
      <c r="J10" s="3" t="n">
        <v>-0.8454680810583398</v>
      </c>
      <c r="K10" s="3" t="n">
        <v>-0.8454680810583398</v>
      </c>
      <c r="L10" s="3" t="n">
        <v>-0.7816170251115839</v>
      </c>
      <c r="M10" s="3" t="n">
        <v>-0.7816170251115839</v>
      </c>
      <c r="N10" s="3" t="n">
        <v>-0.7816170251115839</v>
      </c>
      <c r="O10" s="3" t="n">
        <v>-0.7816170251115839</v>
      </c>
      <c r="P10" s="3" t="n">
        <v>-0.7816170251115839</v>
      </c>
      <c r="Q10" s="3" t="n">
        <v>-0.7816170251115839</v>
      </c>
      <c r="R10" s="3" t="n">
        <v>-0.7697659489956308</v>
      </c>
      <c r="S10" s="3" t="n">
        <v>-0.9595531871978272</v>
      </c>
      <c r="T10" s="3" t="n">
        <v>-0.7081063859006191</v>
      </c>
      <c r="U10" s="3" t="n">
        <v>-0.8454680810583398</v>
      </c>
      <c r="V10" s="3" t="n">
        <v>-0.6750000017754575</v>
      </c>
      <c r="W10" s="3" t="n">
        <v>-0.4799574455048176</v>
      </c>
      <c r="X10" s="3" t="n">
        <v>-0.9571489362006492</v>
      </c>
      <c r="Y10" s="3" t="n">
        <v>-0.7816170251115839</v>
      </c>
      <c r="Z10" s="3" t="n">
        <v>-0.9595531871978272</v>
      </c>
      <c r="AA10" s="3" t="n">
        <v>-0.9595531871978272</v>
      </c>
      <c r="AB10" s="3" t="n">
        <v>-0.9571489362006492</v>
      </c>
      <c r="AC10" s="3" t="n">
        <v>-1.025723396463597</v>
      </c>
      <c r="AD10" s="3" t="n">
        <v>-0.8454680810583398</v>
      </c>
      <c r="AE10" s="3" t="n">
        <v>-0.8454680810583398</v>
      </c>
    </row>
    <row r="11">
      <c r="A11" s="3" t="inlineStr">
        <is>
          <t>ABW.distn.dec.ove.mean.8</t>
        </is>
      </c>
      <c r="B11" s="3" t="inlineStr">
        <is>
          <t>ABW</t>
        </is>
      </c>
      <c r="C11" s="3" t="n">
        <v>2005</v>
      </c>
      <c r="D11" s="3" t="inlineStr">
        <is>
          <t>Overall</t>
        </is>
      </c>
      <c r="E11" s="3" t="inlineStr">
        <is>
          <t>Deciles</t>
        </is>
      </c>
      <c r="F11" s="3" t="inlineStr">
        <is>
          <t>mean</t>
        </is>
      </c>
      <c r="G11" s="3" t="n">
        <v>8</v>
      </c>
      <c r="H11" s="3" t="n">
        <v>-0.7819935831617801</v>
      </c>
      <c r="I11" s="3" t="n">
        <v>-0.7819935831617801</v>
      </c>
      <c r="J11" s="3" t="n">
        <v>-0.8477488045996808</v>
      </c>
      <c r="K11" s="3" t="n">
        <v>-0.8477488045996808</v>
      </c>
      <c r="L11" s="3" t="n">
        <v>-0.7819935831617801</v>
      </c>
      <c r="M11" s="3" t="n">
        <v>-0.7819935831617801</v>
      </c>
      <c r="N11" s="3" t="n">
        <v>-0.7819935831617801</v>
      </c>
      <c r="O11" s="3" t="n">
        <v>-0.7819935831617801</v>
      </c>
      <c r="P11" s="3" t="n">
        <v>-0.7819935831617801</v>
      </c>
      <c r="Q11" s="3" t="n">
        <v>-0.7819935831617801</v>
      </c>
      <c r="R11" s="3" t="n">
        <v>-0.7700191178220384</v>
      </c>
      <c r="S11" s="3" t="n">
        <v>-0.9684819490351575</v>
      </c>
      <c r="T11" s="3" t="n">
        <v>-0.70814722142321</v>
      </c>
      <c r="U11" s="3" t="n">
        <v>-0.8477488045996808</v>
      </c>
      <c r="V11" s="3" t="n">
        <v>-0.6756977857427394</v>
      </c>
      <c r="W11" s="3" t="n">
        <v>-0.4928101326556916</v>
      </c>
      <c r="X11" s="3" t="n">
        <v>-0.9658704755154062</v>
      </c>
      <c r="Y11" s="3" t="n">
        <v>-0.7819935831617801</v>
      </c>
      <c r="Z11" s="3" t="n">
        <v>-0.9684819490351575</v>
      </c>
      <c r="AA11" s="3" t="n">
        <v>-0.9684819490351575</v>
      </c>
      <c r="AB11" s="3" t="n">
        <v>-0.9658704755154062</v>
      </c>
      <c r="AC11" s="3" t="n">
        <v>-1.04035159628442</v>
      </c>
      <c r="AD11" s="3" t="n">
        <v>-0.8477488045996808</v>
      </c>
      <c r="AE11" s="3" t="n">
        <v>-0.8477488045996808</v>
      </c>
    </row>
    <row r="12">
      <c r="A12" s="3" t="inlineStr">
        <is>
          <t>ABW.distn.dec.ove.mean.9</t>
        </is>
      </c>
      <c r="B12" s="3" t="inlineStr">
        <is>
          <t>ABW</t>
        </is>
      </c>
      <c r="C12" s="3" t="n">
        <v>2005</v>
      </c>
      <c r="D12" s="3" t="inlineStr">
        <is>
          <t>Overall</t>
        </is>
      </c>
      <c r="E12" s="3" t="inlineStr">
        <is>
          <t>Deciles</t>
        </is>
      </c>
      <c r="F12" s="3" t="inlineStr">
        <is>
          <t>mean</t>
        </is>
      </c>
      <c r="G12" s="3" t="n">
        <v>9</v>
      </c>
      <c r="H12" s="3" t="n">
        <v>-0.7819935831617801</v>
      </c>
      <c r="I12" s="3" t="n">
        <v>-0.7819935831617801</v>
      </c>
      <c r="J12" s="3" t="n">
        <v>-0.8477488045996808</v>
      </c>
      <c r="K12" s="3" t="n">
        <v>-0.8477488045996808</v>
      </c>
      <c r="L12" s="3" t="n">
        <v>-0.7819935831617801</v>
      </c>
      <c r="M12" s="3" t="n">
        <v>-0.7819935831617801</v>
      </c>
      <c r="N12" s="3" t="n">
        <v>-0.7819935831617801</v>
      </c>
      <c r="O12" s="3" t="n">
        <v>-0.7819935831617801</v>
      </c>
      <c r="P12" s="3" t="n">
        <v>-0.7819935831617801</v>
      </c>
      <c r="Q12" s="3" t="n">
        <v>-0.7819935831617801</v>
      </c>
      <c r="R12" s="3" t="n">
        <v>-0.7700191178220384</v>
      </c>
      <c r="S12" s="3" t="n">
        <v>-0.9684819490351575</v>
      </c>
      <c r="T12" s="3" t="n">
        <v>-0.70814722142321</v>
      </c>
      <c r="U12" s="3" t="n">
        <v>-0.8477488045996808</v>
      </c>
      <c r="V12" s="3" t="n">
        <v>-0.6756977857427394</v>
      </c>
      <c r="W12" s="3" t="n">
        <v>-0.4928101326556916</v>
      </c>
      <c r="X12" s="3" t="n">
        <v>-0.9658704755154062</v>
      </c>
      <c r="Y12" s="3" t="n">
        <v>-0.7819935831617801</v>
      </c>
      <c r="Z12" s="3" t="n">
        <v>-0.9684819490351575</v>
      </c>
      <c r="AA12" s="3" t="n">
        <v>-0.9684819490351575</v>
      </c>
      <c r="AB12" s="3" t="n">
        <v>-0.9658704755154062</v>
      </c>
      <c r="AC12" s="3" t="n">
        <v>-1.04035159628442</v>
      </c>
      <c r="AD12" s="3" t="n">
        <v>-0.8477488045996808</v>
      </c>
      <c r="AE12" s="3" t="n">
        <v>-0.8477488045996808</v>
      </c>
    </row>
    <row r="13">
      <c r="A13" s="3" t="inlineStr">
        <is>
          <t>ABW.distn.dec.ove.mean.10</t>
        </is>
      </c>
      <c r="B13" s="3" t="inlineStr">
        <is>
          <t>ABW</t>
        </is>
      </c>
      <c r="C13" s="3" t="n">
        <v>2005</v>
      </c>
      <c r="D13" s="3" t="inlineStr">
        <is>
          <t>Overall</t>
        </is>
      </c>
      <c r="E13" s="3" t="inlineStr">
        <is>
          <t>Deciles</t>
        </is>
      </c>
      <c r="F13" s="3" t="inlineStr">
        <is>
          <t>mean</t>
        </is>
      </c>
      <c r="G13" s="3" t="n">
        <v>10</v>
      </c>
      <c r="H13" s="3" t="n">
        <v>-0.7819935831617801</v>
      </c>
      <c r="I13" s="3" t="n">
        <v>-0.7819935831617801</v>
      </c>
      <c r="J13" s="3" t="n">
        <v>-0.8477488045996808</v>
      </c>
      <c r="K13" s="3" t="n">
        <v>-0.8477488045996808</v>
      </c>
      <c r="L13" s="3" t="n">
        <v>-0.7819935831617801</v>
      </c>
      <c r="M13" s="3" t="n">
        <v>-0.7819935831617801</v>
      </c>
      <c r="N13" s="3" t="n">
        <v>-0.7819935831617801</v>
      </c>
      <c r="O13" s="3" t="n">
        <v>-0.7819935831617801</v>
      </c>
      <c r="P13" s="3" t="n">
        <v>-0.7819935831617801</v>
      </c>
      <c r="Q13" s="3" t="n">
        <v>-0.7819935831617801</v>
      </c>
      <c r="R13" s="3" t="n">
        <v>-0.7700191178220384</v>
      </c>
      <c r="S13" s="3" t="n">
        <v>-0.9684819490351575</v>
      </c>
      <c r="T13" s="3" t="n">
        <v>-0.70814722142321</v>
      </c>
      <c r="U13" s="3" t="n">
        <v>-0.8477488045996808</v>
      </c>
      <c r="V13" s="3" t="n">
        <v>-0.6756977857427394</v>
      </c>
      <c r="W13" s="3" t="n">
        <v>-0.4928101326556916</v>
      </c>
      <c r="X13" s="3" t="n">
        <v>-0.9658704755154062</v>
      </c>
      <c r="Y13" s="3" t="n">
        <v>-0.7819935831617801</v>
      </c>
      <c r="Z13" s="3" t="n">
        <v>-0.9684819490351575</v>
      </c>
      <c r="AA13" s="3" t="n">
        <v>-0.9684819490351575</v>
      </c>
      <c r="AB13" s="3" t="n">
        <v>-0.9658704755154062</v>
      </c>
      <c r="AC13" s="3" t="n">
        <v>-1.04035159628442</v>
      </c>
      <c r="AD13" s="3" t="n">
        <v>-0.8477488045996808</v>
      </c>
      <c r="AE13" s="3" t="n">
        <v>-0.8477488045996808</v>
      </c>
    </row>
    <row r="14">
      <c r="A14" s="3" t="inlineStr">
        <is>
          <t>ABW.distn.bkt.ove.mean.9999</t>
        </is>
      </c>
      <c r="B14" s="3" t="inlineStr">
        <is>
          <t>ABW</t>
        </is>
      </c>
      <c r="C14" s="3" t="n">
        <v>2005</v>
      </c>
      <c r="D14" s="3" t="inlineStr">
        <is>
          <t>Overall</t>
        </is>
      </c>
      <c r="E14" s="3" t="inlineStr">
        <is>
          <t>Basket</t>
        </is>
      </c>
      <c r="F14" s="3" t="inlineStr">
        <is>
          <t>mean</t>
        </is>
      </c>
      <c r="G14" s="3" t="n">
        <v>9999</v>
      </c>
      <c r="H14" s="3" t="n">
        <v>-0.7836013613863194</v>
      </c>
      <c r="I14" s="3" t="n">
        <v>-0.7836013613863194</v>
      </c>
      <c r="J14" s="3" t="n">
        <v>-0.8590307616172953</v>
      </c>
      <c r="K14" s="3" t="n">
        <v>-0.8590307616172953</v>
      </c>
      <c r="L14" s="3" t="n">
        <v>-0.7836013613863194</v>
      </c>
      <c r="M14" s="3" t="n">
        <v>-0.7836013613863194</v>
      </c>
      <c r="N14" s="3" t="n">
        <v>-0.7836013613863194</v>
      </c>
      <c r="O14" s="3" t="n">
        <v>-0.7836013613863194</v>
      </c>
      <c r="P14" s="3" t="n">
        <v>-0.7836013613863194</v>
      </c>
      <c r="Q14" s="3" t="n">
        <v>-0.7836013613863194</v>
      </c>
      <c r="R14" s="3" t="n">
        <v>-0.7708828220976159</v>
      </c>
      <c r="S14" s="3" t="n">
        <v>-1.097007578991829</v>
      </c>
      <c r="T14" s="3" t="n">
        <v>-0.7085544974245923</v>
      </c>
      <c r="U14" s="3" t="n">
        <v>-0.8590307616172953</v>
      </c>
      <c r="V14" s="3" t="n">
        <v>-0.6772896647453308</v>
      </c>
      <c r="W14" s="3" t="n">
        <v>-0.5109122699879586</v>
      </c>
      <c r="X14" s="3" t="n">
        <v>-1.079493910708326</v>
      </c>
      <c r="Y14" s="3" t="n">
        <v>-0.7836013613863194</v>
      </c>
      <c r="Z14" s="3" t="n">
        <v>-1.097007578991829</v>
      </c>
      <c r="AA14" s="3" t="n">
        <v>-1.097007578991829</v>
      </c>
      <c r="AB14" s="3" t="n">
        <v>-1.079493910708326</v>
      </c>
      <c r="AC14" s="3" t="n">
        <v>-1.359592239907447</v>
      </c>
      <c r="AD14" s="3" t="n">
        <v>-0.8590307616172953</v>
      </c>
      <c r="AE14" s="3" t="n">
        <v>-0.8590307616172953</v>
      </c>
    </row>
    <row r="15">
      <c r="A15" s="3" t="inlineStr">
        <is>
          <t>AFG.distn.dec.ove.mean.1</t>
        </is>
      </c>
      <c r="B15" s="3" t="inlineStr">
        <is>
          <t>AFG</t>
        </is>
      </c>
      <c r="C15" s="3" t="n">
        <v>2005</v>
      </c>
      <c r="D15" s="3" t="inlineStr">
        <is>
          <t>Overall</t>
        </is>
      </c>
      <c r="E15" s="3" t="inlineStr">
        <is>
          <t>Deciles</t>
        </is>
      </c>
      <c r="F15" s="3" t="inlineStr">
        <is>
          <t>mean</t>
        </is>
      </c>
      <c r="G15" s="3" t="n">
        <v>1</v>
      </c>
      <c r="H15" s="3" t="n">
        <v>-0.7974043921990828</v>
      </c>
      <c r="I15" s="3" t="n">
        <v>-0.7974043921990828</v>
      </c>
      <c r="J15" s="3" t="n">
        <v>-0.9631780900738456</v>
      </c>
      <c r="K15" s="3" t="n">
        <v>-0.9631780900738456</v>
      </c>
      <c r="L15" s="3" t="n">
        <v>-0.7974043921990828</v>
      </c>
      <c r="M15" s="3" t="n">
        <v>-0.7974043921990828</v>
      </c>
      <c r="N15" s="3" t="n">
        <v>-0.7974043921990828</v>
      </c>
      <c r="O15" s="3" t="n">
        <v>-0.7974043921990828</v>
      </c>
      <c r="P15" s="3" t="n">
        <v>-0.7974043921990828</v>
      </c>
      <c r="Q15" s="3" t="n">
        <v>-0.7974043921990828</v>
      </c>
      <c r="R15" s="3" t="n">
        <v>-0.7785389450463381</v>
      </c>
      <c r="S15" s="3" t="n">
        <v>-2.848487377166748</v>
      </c>
      <c r="T15" s="3" t="n">
        <v>-0.7115022106604143</v>
      </c>
      <c r="U15" s="3" t="n">
        <v>-0.9631780900738456</v>
      </c>
      <c r="V15" s="3" t="n">
        <v>-0.6916698109019886</v>
      </c>
      <c r="W15" s="3" t="n">
        <v>-0.7076836770231073</v>
      </c>
      <c r="X15" s="3" t="n">
        <v>-2.538359203121879</v>
      </c>
      <c r="Y15" s="3" t="n">
        <v>-0.7974043921990828</v>
      </c>
      <c r="Z15" s="3" t="n">
        <v>-2.848487377166748</v>
      </c>
      <c r="AA15" s="3" t="n">
        <v>-2.848487377166748</v>
      </c>
      <c r="AB15" s="3" t="n">
        <v>-2.538359203121879</v>
      </c>
      <c r="AC15" s="3" t="n">
        <v>-6.556386882608587</v>
      </c>
      <c r="AD15" s="3" t="n">
        <v>-0.9631780900738456</v>
      </c>
      <c r="AE15" s="3" t="n">
        <v>-0.9631780900738456</v>
      </c>
    </row>
    <row r="16">
      <c r="A16" s="3" t="inlineStr">
        <is>
          <t>AFG.distn.dec.ove.mean.2</t>
        </is>
      </c>
      <c r="B16" s="3" t="inlineStr">
        <is>
          <t>AFG</t>
        </is>
      </c>
      <c r="C16" s="3" t="n">
        <v>2005</v>
      </c>
      <c r="D16" s="3" t="inlineStr">
        <is>
          <t>Overall</t>
        </is>
      </c>
      <c r="E16" s="3" t="inlineStr">
        <is>
          <t>Deciles</t>
        </is>
      </c>
      <c r="F16" s="3" t="inlineStr">
        <is>
          <t>mean</t>
        </is>
      </c>
      <c r="G16" s="3" t="n">
        <v>2</v>
      </c>
      <c r="H16" s="3" t="n">
        <v>-0.7974043921990828</v>
      </c>
      <c r="I16" s="3" t="n">
        <v>-0.7974043921990828</v>
      </c>
      <c r="J16" s="3" t="n">
        <v>-0.9631780900738456</v>
      </c>
      <c r="K16" s="3" t="n">
        <v>-0.9631780900738456</v>
      </c>
      <c r="L16" s="3" t="n">
        <v>-0.7974043921990828</v>
      </c>
      <c r="M16" s="3" t="n">
        <v>-0.7974043921990828</v>
      </c>
      <c r="N16" s="3" t="n">
        <v>-0.7974043921990828</v>
      </c>
      <c r="O16" s="3" t="n">
        <v>-0.7974043921990828</v>
      </c>
      <c r="P16" s="3" t="n">
        <v>-0.7974043921990828</v>
      </c>
      <c r="Q16" s="3" t="n">
        <v>-0.7974043921990828</v>
      </c>
      <c r="R16" s="3" t="n">
        <v>-0.7785389450463381</v>
      </c>
      <c r="S16" s="3" t="n">
        <v>-2.848487377166748</v>
      </c>
      <c r="T16" s="3" t="n">
        <v>-0.7115022106604143</v>
      </c>
      <c r="U16" s="3" t="n">
        <v>-0.9631780900738456</v>
      </c>
      <c r="V16" s="3" t="n">
        <v>-0.6916698109019886</v>
      </c>
      <c r="W16" s="3" t="n">
        <v>-0.7076836770231073</v>
      </c>
      <c r="X16" s="3" t="n">
        <v>-2.538359203121879</v>
      </c>
      <c r="Y16" s="3" t="n">
        <v>-0.7974043921990828</v>
      </c>
      <c r="Z16" s="3" t="n">
        <v>-2.848487377166748</v>
      </c>
      <c r="AA16" s="3" t="n">
        <v>-2.848487377166748</v>
      </c>
      <c r="AB16" s="3" t="n">
        <v>-2.538359203121879</v>
      </c>
      <c r="AC16" s="3" t="n">
        <v>-6.556386882608587</v>
      </c>
      <c r="AD16" s="3" t="n">
        <v>-0.9631780900738456</v>
      </c>
      <c r="AE16" s="3" t="n">
        <v>-0.9631780900738456</v>
      </c>
    </row>
    <row r="17">
      <c r="A17" s="3" t="inlineStr">
        <is>
          <t>AFG.distn.dec.ove.mean.3</t>
        </is>
      </c>
      <c r="B17" s="3" t="inlineStr">
        <is>
          <t>AFG</t>
        </is>
      </c>
      <c r="C17" s="3" t="n">
        <v>2005</v>
      </c>
      <c r="D17" s="3" t="inlineStr">
        <is>
          <t>Overall</t>
        </is>
      </c>
      <c r="E17" s="3" t="inlineStr">
        <is>
          <t>Deciles</t>
        </is>
      </c>
      <c r="F17" s="3" t="inlineStr">
        <is>
          <t>mean</t>
        </is>
      </c>
      <c r="G17" s="3" t="n">
        <v>3</v>
      </c>
      <c r="H17" s="3" t="n">
        <v>-0.7974043921990828</v>
      </c>
      <c r="I17" s="3" t="n">
        <v>-0.7974043921990828</v>
      </c>
      <c r="J17" s="3" t="n">
        <v>-0.9631780900738456</v>
      </c>
      <c r="K17" s="3" t="n">
        <v>-0.9631780900738456</v>
      </c>
      <c r="L17" s="3" t="n">
        <v>-0.7974043921990828</v>
      </c>
      <c r="M17" s="3" t="n">
        <v>-0.7974043921990828</v>
      </c>
      <c r="N17" s="3" t="n">
        <v>-0.7974043921990828</v>
      </c>
      <c r="O17" s="3" t="n">
        <v>-0.7974043921990828</v>
      </c>
      <c r="P17" s="3" t="n">
        <v>-0.7974043921990828</v>
      </c>
      <c r="Q17" s="3" t="n">
        <v>-0.7974043921990828</v>
      </c>
      <c r="R17" s="3" t="n">
        <v>-0.7785389450463381</v>
      </c>
      <c r="S17" s="3" t="n">
        <v>-2.848487377166748</v>
      </c>
      <c r="T17" s="3" t="n">
        <v>-0.7115022106604143</v>
      </c>
      <c r="U17" s="3" t="n">
        <v>-0.9631780900738456</v>
      </c>
      <c r="V17" s="3" t="n">
        <v>-0.6916698109019886</v>
      </c>
      <c r="W17" s="3" t="n">
        <v>-0.7076836770231073</v>
      </c>
      <c r="X17" s="3" t="n">
        <v>-2.538359203121879</v>
      </c>
      <c r="Y17" s="3" t="n">
        <v>-0.7974043921990828</v>
      </c>
      <c r="Z17" s="3" t="n">
        <v>-2.848487377166748</v>
      </c>
      <c r="AA17" s="3" t="n">
        <v>-2.848487377166748</v>
      </c>
      <c r="AB17" s="3" t="n">
        <v>-2.538359203121879</v>
      </c>
      <c r="AC17" s="3" t="n">
        <v>-6.556386882608587</v>
      </c>
      <c r="AD17" s="3" t="n">
        <v>-0.9631780900738456</v>
      </c>
      <c r="AE17" s="3" t="n">
        <v>-0.9631780900738456</v>
      </c>
    </row>
    <row r="18">
      <c r="A18" s="3" t="inlineStr">
        <is>
          <t>AFG.distn.dec.ove.mean.4</t>
        </is>
      </c>
      <c r="B18" s="3" t="inlineStr">
        <is>
          <t>AFG</t>
        </is>
      </c>
      <c r="C18" s="3" t="n">
        <v>2005</v>
      </c>
      <c r="D18" s="3" t="inlineStr">
        <is>
          <t>Overall</t>
        </is>
      </c>
      <c r="E18" s="3" t="inlineStr">
        <is>
          <t>Deciles</t>
        </is>
      </c>
      <c r="F18" s="3" t="inlineStr">
        <is>
          <t>mean</t>
        </is>
      </c>
      <c r="G18" s="3" t="n">
        <v>4</v>
      </c>
      <c r="H18" s="3" t="n">
        <v>-0.7910909165035594</v>
      </c>
      <c r="I18" s="3" t="n">
        <v>-0.7910909165035594</v>
      </c>
      <c r="J18" s="3" t="n">
        <v>-0.9166363667358052</v>
      </c>
      <c r="K18" s="3" t="n">
        <v>-0.9166363667358052</v>
      </c>
      <c r="L18" s="3" t="n">
        <v>-0.7910909165035594</v>
      </c>
      <c r="M18" s="3" t="n">
        <v>-0.7910909165035594</v>
      </c>
      <c r="N18" s="3" t="n">
        <v>-0.7910909165035594</v>
      </c>
      <c r="O18" s="3" t="n">
        <v>-0.7910909165035594</v>
      </c>
      <c r="P18" s="3" t="n">
        <v>-0.7910909165035594</v>
      </c>
      <c r="Q18" s="3" t="n">
        <v>-0.7910909165035594</v>
      </c>
      <c r="R18" s="3" t="n">
        <v>-0.7750454463741996</v>
      </c>
      <c r="S18" s="3" t="n">
        <v>-1.940136329694228</v>
      </c>
      <c r="T18" s="3" t="n">
        <v>-0.7100454406304793</v>
      </c>
      <c r="U18" s="3" t="n">
        <v>-0.9166363667358052</v>
      </c>
      <c r="V18" s="3" t="n">
        <v>-0.6846363652836193</v>
      </c>
      <c r="W18" s="3" t="n">
        <v>-0.5955909084190022</v>
      </c>
      <c r="X18" s="3" t="n">
        <v>-1.791409107771787</v>
      </c>
      <c r="Y18" s="3" t="n">
        <v>-0.7910909165035594</v>
      </c>
      <c r="Z18" s="3" t="n">
        <v>-1.940136329694228</v>
      </c>
      <c r="AA18" s="3" t="n">
        <v>-1.940136329694228</v>
      </c>
      <c r="AB18" s="3" t="n">
        <v>-1.791409107771787</v>
      </c>
      <c r="AC18" s="3" t="n">
        <v>-3.166227286512202</v>
      </c>
      <c r="AD18" s="3" t="n">
        <v>-0.9166363667358052</v>
      </c>
      <c r="AE18" s="3" t="n">
        <v>-0.9166363667358052</v>
      </c>
    </row>
    <row r="19">
      <c r="A19" s="3" t="inlineStr">
        <is>
          <t>AFG.distn.dec.ove.mean.5</t>
        </is>
      </c>
      <c r="B19" s="3" t="inlineStr">
        <is>
          <t>AFG</t>
        </is>
      </c>
      <c r="C19" s="3" t="n">
        <v>2005</v>
      </c>
      <c r="D19" s="3" t="inlineStr">
        <is>
          <t>Overall</t>
        </is>
      </c>
      <c r="E19" s="3" t="inlineStr">
        <is>
          <t>Deciles</t>
        </is>
      </c>
      <c r="F19" s="3" t="inlineStr">
        <is>
          <t>mean</t>
        </is>
      </c>
      <c r="G19" s="3" t="n">
        <v>5</v>
      </c>
      <c r="H19" s="3" t="n">
        <v>-0.7910909165035594</v>
      </c>
      <c r="I19" s="3" t="n">
        <v>-0.7910909165035594</v>
      </c>
      <c r="J19" s="3" t="n">
        <v>-0.9166363667358052</v>
      </c>
      <c r="K19" s="3" t="n">
        <v>-0.9166363667358052</v>
      </c>
      <c r="L19" s="3" t="n">
        <v>-0.7910909165035594</v>
      </c>
      <c r="M19" s="3" t="n">
        <v>-0.7910909165035594</v>
      </c>
      <c r="N19" s="3" t="n">
        <v>-0.7910909165035594</v>
      </c>
      <c r="O19" s="3" t="n">
        <v>-0.7910909165035594</v>
      </c>
      <c r="P19" s="3" t="n">
        <v>-0.7910909165035594</v>
      </c>
      <c r="Q19" s="3" t="n">
        <v>-0.7910909165035594</v>
      </c>
      <c r="R19" s="3" t="n">
        <v>-0.7750454463741996</v>
      </c>
      <c r="S19" s="3" t="n">
        <v>-1.940136329694228</v>
      </c>
      <c r="T19" s="3" t="n">
        <v>-0.7100454406304793</v>
      </c>
      <c r="U19" s="3" t="n">
        <v>-0.9166363667358052</v>
      </c>
      <c r="V19" s="3" t="n">
        <v>-0.6846363652836193</v>
      </c>
      <c r="W19" s="3" t="n">
        <v>-0.5955909084190022</v>
      </c>
      <c r="X19" s="3" t="n">
        <v>-1.791409107771787</v>
      </c>
      <c r="Y19" s="3" t="n">
        <v>-0.7910909165035594</v>
      </c>
      <c r="Z19" s="3" t="n">
        <v>-1.940136329694228</v>
      </c>
      <c r="AA19" s="3" t="n">
        <v>-1.940136329694228</v>
      </c>
      <c r="AB19" s="3" t="n">
        <v>-1.791409107771787</v>
      </c>
      <c r="AC19" s="3" t="n">
        <v>-3.166227286512202</v>
      </c>
      <c r="AD19" s="3" t="n">
        <v>-0.9166363667358052</v>
      </c>
      <c r="AE19" s="3" t="n">
        <v>-0.9166363667358052</v>
      </c>
    </row>
    <row r="20">
      <c r="A20" s="3" t="inlineStr">
        <is>
          <t>AFG.distn.dec.ove.mean.6</t>
        </is>
      </c>
      <c r="B20" s="3" t="inlineStr">
        <is>
          <t>AFG</t>
        </is>
      </c>
      <c r="C20" s="3" t="n">
        <v>2005</v>
      </c>
      <c r="D20" s="3" t="inlineStr">
        <is>
          <t>Overall</t>
        </is>
      </c>
      <c r="E20" s="3" t="inlineStr">
        <is>
          <t>Deciles</t>
        </is>
      </c>
      <c r="F20" s="3" t="inlineStr">
        <is>
          <t>mean</t>
        </is>
      </c>
      <c r="G20" s="3" t="n">
        <v>6</v>
      </c>
      <c r="H20" s="3" t="n">
        <v>-0.7910909165035594</v>
      </c>
      <c r="I20" s="3" t="n">
        <v>-0.7910909165035594</v>
      </c>
      <c r="J20" s="3" t="n">
        <v>-0.9166363667358052</v>
      </c>
      <c r="K20" s="3" t="n">
        <v>-0.9166363667358052</v>
      </c>
      <c r="L20" s="3" t="n">
        <v>-0.7910909165035594</v>
      </c>
      <c r="M20" s="3" t="n">
        <v>-0.7910909165035594</v>
      </c>
      <c r="N20" s="3" t="n">
        <v>-0.7910909165035594</v>
      </c>
      <c r="O20" s="3" t="n">
        <v>-0.7910909165035594</v>
      </c>
      <c r="P20" s="3" t="n">
        <v>-0.7910909165035594</v>
      </c>
      <c r="Q20" s="3" t="n">
        <v>-0.7910909165035594</v>
      </c>
      <c r="R20" s="3" t="n">
        <v>-0.7750454463741996</v>
      </c>
      <c r="S20" s="3" t="n">
        <v>-1.940136329694228</v>
      </c>
      <c r="T20" s="3" t="n">
        <v>-0.7100454406304793</v>
      </c>
      <c r="U20" s="3" t="n">
        <v>-0.9166363667358052</v>
      </c>
      <c r="V20" s="3" t="n">
        <v>-0.6846363652836193</v>
      </c>
      <c r="W20" s="3" t="n">
        <v>-0.5955909084190022</v>
      </c>
      <c r="X20" s="3" t="n">
        <v>-1.791409107771787</v>
      </c>
      <c r="Y20" s="3" t="n">
        <v>-0.7910909165035594</v>
      </c>
      <c r="Z20" s="3" t="n">
        <v>-1.940136329694228</v>
      </c>
      <c r="AA20" s="3" t="n">
        <v>-1.940136329694228</v>
      </c>
      <c r="AB20" s="3" t="n">
        <v>-1.791409107771787</v>
      </c>
      <c r="AC20" s="3" t="n">
        <v>-3.166227286512202</v>
      </c>
      <c r="AD20" s="3" t="n">
        <v>-0.9166363667358052</v>
      </c>
      <c r="AE20" s="3" t="n">
        <v>-0.9166363667358052</v>
      </c>
    </row>
    <row r="21">
      <c r="A21" s="3" t="inlineStr">
        <is>
          <t>AFG.distn.dec.ove.mean.7</t>
        </is>
      </c>
      <c r="B21" s="3" t="inlineStr">
        <is>
          <t>AFG</t>
        </is>
      </c>
      <c r="C21" s="3" t="n">
        <v>2005</v>
      </c>
      <c r="D21" s="3" t="inlineStr">
        <is>
          <t>Overall</t>
        </is>
      </c>
      <c r="E21" s="3" t="inlineStr">
        <is>
          <t>Deciles</t>
        </is>
      </c>
      <c r="F21" s="3" t="inlineStr">
        <is>
          <t>mean</t>
        </is>
      </c>
      <c r="G21" s="3" t="n">
        <v>7</v>
      </c>
      <c r="H21" s="3" t="n">
        <v>-0.7910909165035594</v>
      </c>
      <c r="I21" s="3" t="n">
        <v>-0.7910909165035594</v>
      </c>
      <c r="J21" s="3" t="n">
        <v>-0.9166363667358052</v>
      </c>
      <c r="K21" s="3" t="n">
        <v>-0.9166363667358052</v>
      </c>
      <c r="L21" s="3" t="n">
        <v>-0.7910909165035594</v>
      </c>
      <c r="M21" s="3" t="n">
        <v>-0.7910909165035594</v>
      </c>
      <c r="N21" s="3" t="n">
        <v>-0.7910909165035594</v>
      </c>
      <c r="O21" s="3" t="n">
        <v>-0.7910909165035594</v>
      </c>
      <c r="P21" s="3" t="n">
        <v>-0.7910909165035594</v>
      </c>
      <c r="Q21" s="3" t="n">
        <v>-0.7910909165035594</v>
      </c>
      <c r="R21" s="3" t="n">
        <v>-0.7750454463741996</v>
      </c>
      <c r="S21" s="3" t="n">
        <v>-1.940136329694228</v>
      </c>
      <c r="T21" s="3" t="n">
        <v>-0.7100454406304793</v>
      </c>
      <c r="U21" s="3" t="n">
        <v>-0.9166363667358052</v>
      </c>
      <c r="V21" s="3" t="n">
        <v>-0.6846363652836193</v>
      </c>
      <c r="W21" s="3" t="n">
        <v>-0.5955909084190022</v>
      </c>
      <c r="X21" s="3" t="n">
        <v>-1.791409107771787</v>
      </c>
      <c r="Y21" s="3" t="n">
        <v>-0.7910909165035594</v>
      </c>
      <c r="Z21" s="3" t="n">
        <v>-1.940136329694228</v>
      </c>
      <c r="AA21" s="3" t="n">
        <v>-1.940136329694228</v>
      </c>
      <c r="AB21" s="3" t="n">
        <v>-1.791409107771787</v>
      </c>
      <c r="AC21" s="3" t="n">
        <v>-3.166227286512202</v>
      </c>
      <c r="AD21" s="3" t="n">
        <v>-0.9166363667358052</v>
      </c>
      <c r="AE21" s="3" t="n">
        <v>-0.9166363667358052</v>
      </c>
    </row>
    <row r="22">
      <c r="A22" s="3" t="inlineStr">
        <is>
          <t>AFG.distn.dec.ove.mean.8</t>
        </is>
      </c>
      <c r="B22" s="3" t="inlineStr">
        <is>
          <t>AFG</t>
        </is>
      </c>
      <c r="C22" s="3" t="n">
        <v>2005</v>
      </c>
      <c r="D22" s="3" t="inlineStr">
        <is>
          <t>Overall</t>
        </is>
      </c>
      <c r="E22" s="3" t="inlineStr">
        <is>
          <t>Deciles</t>
        </is>
      </c>
      <c r="F22" s="3" t="inlineStr">
        <is>
          <t>mean</t>
        </is>
      </c>
      <c r="G22" s="3" t="n">
        <v>8</v>
      </c>
      <c r="H22" s="3" t="n">
        <v>-0.7914720340208574</v>
      </c>
      <c r="I22" s="3" t="n">
        <v>-0.7914720340208574</v>
      </c>
      <c r="J22" s="3" t="n">
        <v>-0.9191090735522184</v>
      </c>
      <c r="K22" s="3" t="n">
        <v>-0.9191090735522184</v>
      </c>
      <c r="L22" s="3" t="n">
        <v>-0.7914720340208574</v>
      </c>
      <c r="M22" s="3" t="n">
        <v>-0.7914720340208574</v>
      </c>
      <c r="N22" s="3" t="n">
        <v>-0.7914720340208574</v>
      </c>
      <c r="O22" s="3" t="n">
        <v>-0.7914720340208574</v>
      </c>
      <c r="P22" s="3" t="n">
        <v>-0.7914720340208574</v>
      </c>
      <c r="Q22" s="3" t="n">
        <v>-0.7914720340208574</v>
      </c>
      <c r="R22" s="3" t="n">
        <v>-0.7753003591840918</v>
      </c>
      <c r="S22" s="3" t="n">
        <v>-1.958189584992149</v>
      </c>
      <c r="T22" s="3" t="n">
        <v>-0.7100863836028359</v>
      </c>
      <c r="U22" s="3" t="n">
        <v>-0.9191090735522184</v>
      </c>
      <c r="V22" s="3" t="n">
        <v>-0.6853441162542864</v>
      </c>
      <c r="W22" s="3" t="n">
        <v>-0.6115401116284457</v>
      </c>
      <c r="X22" s="3" t="n">
        <v>-1.807732414115559</v>
      </c>
      <c r="Y22" s="3" t="n">
        <v>-0.7914720340208574</v>
      </c>
      <c r="Z22" s="3" t="n">
        <v>-1.958189584992149</v>
      </c>
      <c r="AA22" s="3" t="n">
        <v>-1.958189584992149</v>
      </c>
      <c r="AB22" s="3" t="n">
        <v>-1.807732414115559</v>
      </c>
      <c r="AC22" s="3" t="n">
        <v>-3.211381879719821</v>
      </c>
      <c r="AD22" s="3" t="n">
        <v>-0.9191090735522184</v>
      </c>
      <c r="AE22" s="3" t="n">
        <v>-0.9191090735522184</v>
      </c>
    </row>
    <row r="23">
      <c r="A23" s="3" t="inlineStr">
        <is>
          <t>AFG.distn.dec.ove.mean.9</t>
        </is>
      </c>
      <c r="B23" s="3" t="inlineStr">
        <is>
          <t>AFG</t>
        </is>
      </c>
      <c r="C23" s="3" t="n">
        <v>2005</v>
      </c>
      <c r="D23" s="3" t="inlineStr">
        <is>
          <t>Overall</t>
        </is>
      </c>
      <c r="E23" s="3" t="inlineStr">
        <is>
          <t>Deciles</t>
        </is>
      </c>
      <c r="F23" s="3" t="inlineStr">
        <is>
          <t>mean</t>
        </is>
      </c>
      <c r="G23" s="3" t="n">
        <v>9</v>
      </c>
      <c r="H23" s="3" t="n">
        <v>-0.7914720340208574</v>
      </c>
      <c r="I23" s="3" t="n">
        <v>-0.7914720340208574</v>
      </c>
      <c r="J23" s="3" t="n">
        <v>-0.9191090735522184</v>
      </c>
      <c r="K23" s="3" t="n">
        <v>-0.9191090735522184</v>
      </c>
      <c r="L23" s="3" t="n">
        <v>-0.7914720340208574</v>
      </c>
      <c r="M23" s="3" t="n">
        <v>-0.7914720340208574</v>
      </c>
      <c r="N23" s="3" t="n">
        <v>-0.7914720340208574</v>
      </c>
      <c r="O23" s="3" t="n">
        <v>-0.7914720340208574</v>
      </c>
      <c r="P23" s="3" t="n">
        <v>-0.7914720340208574</v>
      </c>
      <c r="Q23" s="3" t="n">
        <v>-0.7914720340208574</v>
      </c>
      <c r="R23" s="3" t="n">
        <v>-0.7753003591840918</v>
      </c>
      <c r="S23" s="3" t="n">
        <v>-1.958189584992149</v>
      </c>
      <c r="T23" s="3" t="n">
        <v>-0.7100863836028359</v>
      </c>
      <c r="U23" s="3" t="n">
        <v>-0.9191090735522184</v>
      </c>
      <c r="V23" s="3" t="n">
        <v>-0.6853441162542864</v>
      </c>
      <c r="W23" s="3" t="n">
        <v>-0.6115401116284457</v>
      </c>
      <c r="X23" s="3" t="n">
        <v>-1.807732414115559</v>
      </c>
      <c r="Y23" s="3" t="n">
        <v>-0.7914720340208574</v>
      </c>
      <c r="Z23" s="3" t="n">
        <v>-1.958189584992149</v>
      </c>
      <c r="AA23" s="3" t="n">
        <v>-1.958189584992149</v>
      </c>
      <c r="AB23" s="3" t="n">
        <v>-1.807732414115559</v>
      </c>
      <c r="AC23" s="3" t="n">
        <v>-3.211381879719821</v>
      </c>
      <c r="AD23" s="3" t="n">
        <v>-0.9191090735522184</v>
      </c>
      <c r="AE23" s="3" t="n">
        <v>-0.9191090735522184</v>
      </c>
    </row>
    <row r="24">
      <c r="A24" s="3" t="inlineStr">
        <is>
          <t>AFG.distn.dec.ove.mean.10</t>
        </is>
      </c>
      <c r="B24" s="3" t="inlineStr">
        <is>
          <t>AFG</t>
        </is>
      </c>
      <c r="C24" s="3" t="n">
        <v>2005</v>
      </c>
      <c r="D24" s="3" t="inlineStr">
        <is>
          <t>Overall</t>
        </is>
      </c>
      <c r="E24" s="3" t="inlineStr">
        <is>
          <t>Deciles</t>
        </is>
      </c>
      <c r="F24" s="3" t="inlineStr">
        <is>
          <t>mean</t>
        </is>
      </c>
      <c r="G24" s="3" t="n">
        <v>10</v>
      </c>
      <c r="H24" s="3" t="n">
        <v>-0.7914720340208574</v>
      </c>
      <c r="I24" s="3" t="n">
        <v>-0.7914720340208574</v>
      </c>
      <c r="J24" s="3" t="n">
        <v>-0.9191090735522184</v>
      </c>
      <c r="K24" s="3" t="n">
        <v>-0.9191090735522184</v>
      </c>
      <c r="L24" s="3" t="n">
        <v>-0.7914720340208574</v>
      </c>
      <c r="M24" s="3" t="n">
        <v>-0.7914720340208574</v>
      </c>
      <c r="N24" s="3" t="n">
        <v>-0.7914720340208574</v>
      </c>
      <c r="O24" s="3" t="n">
        <v>-0.7914720340208574</v>
      </c>
      <c r="P24" s="3" t="n">
        <v>-0.7914720340208574</v>
      </c>
      <c r="Q24" s="3" t="n">
        <v>-0.7914720340208574</v>
      </c>
      <c r="R24" s="3" t="n">
        <v>-0.7753003591840918</v>
      </c>
      <c r="S24" s="3" t="n">
        <v>-1.958189584992149</v>
      </c>
      <c r="T24" s="3" t="n">
        <v>-0.7100863836028359</v>
      </c>
      <c r="U24" s="3" t="n">
        <v>-0.9191090735522184</v>
      </c>
      <c r="V24" s="3" t="n">
        <v>-0.6853441162542864</v>
      </c>
      <c r="W24" s="3" t="n">
        <v>-0.6115401116284457</v>
      </c>
      <c r="X24" s="3" t="n">
        <v>-1.807732414115559</v>
      </c>
      <c r="Y24" s="3" t="n">
        <v>-0.7914720340208574</v>
      </c>
      <c r="Z24" s="3" t="n">
        <v>-1.958189584992149</v>
      </c>
      <c r="AA24" s="3" t="n">
        <v>-1.958189584992149</v>
      </c>
      <c r="AB24" s="3" t="n">
        <v>-1.807732414115559</v>
      </c>
      <c r="AC24" s="3" t="n">
        <v>-3.211381879719821</v>
      </c>
      <c r="AD24" s="3" t="n">
        <v>-0.9191090735522184</v>
      </c>
      <c r="AE24" s="3" t="n">
        <v>-0.9191090735522184</v>
      </c>
    </row>
    <row r="25">
      <c r="A25" s="3" t="inlineStr">
        <is>
          <t>AFG.distn.bkt.ove.mean.9999</t>
        </is>
      </c>
      <c r="B25" s="3" t="inlineStr">
        <is>
          <t>AFG</t>
        </is>
      </c>
      <c r="C25" s="3" t="n">
        <v>2005</v>
      </c>
      <c r="D25" s="3" t="inlineStr">
        <is>
          <t>Overall</t>
        </is>
      </c>
      <c r="E25" s="3" t="inlineStr">
        <is>
          <t>Basket</t>
        </is>
      </c>
      <c r="F25" s="3" t="inlineStr">
        <is>
          <t>mean</t>
        </is>
      </c>
      <c r="G25" s="3" t="n">
        <v>9999</v>
      </c>
      <c r="H25" s="3" t="n">
        <v>-0.7930992977185682</v>
      </c>
      <c r="I25" s="3" t="n">
        <v>-0.7930992977185682</v>
      </c>
      <c r="J25" s="3" t="n">
        <v>-0.9313406971367922</v>
      </c>
      <c r="K25" s="3" t="n">
        <v>-0.9313406971367922</v>
      </c>
      <c r="L25" s="3" t="n">
        <v>-0.7930992977185682</v>
      </c>
      <c r="M25" s="3" t="n">
        <v>-0.7930992977185682</v>
      </c>
      <c r="N25" s="3" t="n">
        <v>-0.7930992977185682</v>
      </c>
      <c r="O25" s="3" t="n">
        <v>-0.7930992977185682</v>
      </c>
      <c r="P25" s="3" t="n">
        <v>-0.7930992977185682</v>
      </c>
      <c r="Q25" s="3" t="n">
        <v>-0.7930992977185682</v>
      </c>
      <c r="R25" s="3" t="n">
        <v>-0.7761699828234586</v>
      </c>
      <c r="S25" s="3" t="n">
        <v>-2.218057627027685</v>
      </c>
      <c r="T25" s="3" t="n">
        <v>-0.7104947621172125</v>
      </c>
      <c r="U25" s="3" t="n">
        <v>-0.9313406971367922</v>
      </c>
      <c r="V25" s="3" t="n">
        <v>-0.6869587058370764</v>
      </c>
      <c r="W25" s="3" t="n">
        <v>-0.6340034956281836</v>
      </c>
      <c r="X25" s="3" t="n">
        <v>-2.020391117442738</v>
      </c>
      <c r="Y25" s="3" t="n">
        <v>-0.7930992977185682</v>
      </c>
      <c r="Z25" s="3" t="n">
        <v>-2.218057627027685</v>
      </c>
      <c r="AA25" s="3" t="n">
        <v>-2.218057627027685</v>
      </c>
      <c r="AB25" s="3" t="n">
        <v>-2.020391117442738</v>
      </c>
      <c r="AC25" s="3" t="n">
        <v>-4.196821532466195</v>
      </c>
      <c r="AD25" s="3" t="n">
        <v>-0.9313406971367922</v>
      </c>
      <c r="AE25" s="3" t="n">
        <v>-0.9313406971367922</v>
      </c>
    </row>
    <row r="26">
      <c r="A26" s="3" t="inlineStr">
        <is>
          <t>AGO.distn.dec.ove.mean.1</t>
        </is>
      </c>
      <c r="B26" s="3" t="inlineStr">
        <is>
          <t>AGO</t>
        </is>
      </c>
      <c r="C26" s="3" t="n">
        <v>2005</v>
      </c>
      <c r="D26" s="3" t="inlineStr">
        <is>
          <t>Overall</t>
        </is>
      </c>
      <c r="E26" s="3" t="inlineStr">
        <is>
          <t>Deciles</t>
        </is>
      </c>
      <c r="F26" s="3" t="inlineStr">
        <is>
          <t>mean</t>
        </is>
      </c>
      <c r="G26" s="3" t="n">
        <v>1</v>
      </c>
      <c r="H26" s="3" t="n">
        <v>-0.7973127365112305</v>
      </c>
      <c r="I26" s="3" t="n">
        <v>-0.7973127365112305</v>
      </c>
      <c r="J26" s="3" t="n">
        <v>-0.9583063125610352</v>
      </c>
      <c r="K26" s="3" t="n">
        <v>-0.9583063125610352</v>
      </c>
      <c r="L26" s="3" t="n">
        <v>-0.7973127365112305</v>
      </c>
      <c r="M26" s="3" t="n">
        <v>-0.7973127365112305</v>
      </c>
      <c r="N26" s="3" t="n">
        <v>-0.7973127365112305</v>
      </c>
      <c r="O26" s="3" t="n">
        <v>-0.7973127365112305</v>
      </c>
      <c r="P26" s="3" t="n">
        <v>-0.7973127365112305</v>
      </c>
      <c r="Q26" s="3" t="n">
        <v>-0.7973127365112305</v>
      </c>
      <c r="R26" s="3" t="n">
        <v>-0.7784932851791382</v>
      </c>
      <c r="S26" s="3" t="n">
        <v>-2.403425693511963</v>
      </c>
      <c r="T26" s="3" t="n">
        <v>-0.7114566564559937</v>
      </c>
      <c r="U26" s="3" t="n">
        <v>-0.9583063125610352</v>
      </c>
      <c r="V26" s="3" t="n">
        <v>-0.6920371651649475</v>
      </c>
      <c r="W26" s="3" t="n">
        <v>-0.7093579769134521</v>
      </c>
      <c r="X26" s="3" t="n">
        <v>-2.268556594848633</v>
      </c>
      <c r="Y26" s="3" t="n">
        <v>-0.7973127365112305</v>
      </c>
      <c r="Z26" s="3" t="n">
        <v>-2.403425693511963</v>
      </c>
      <c r="AA26" s="3" t="n">
        <v>-2.403425693511963</v>
      </c>
      <c r="AB26" s="3" t="n">
        <v>-2.268556594848633</v>
      </c>
      <c r="AC26" s="3" t="n">
        <v>-19.82719421386719</v>
      </c>
      <c r="AD26" s="3" t="n">
        <v>-0.9583063125610352</v>
      </c>
      <c r="AE26" s="3" t="n">
        <v>-0.9583063125610352</v>
      </c>
    </row>
    <row r="27">
      <c r="A27" s="3" t="inlineStr">
        <is>
          <t>AGO.distn.dec.ove.mean.2</t>
        </is>
      </c>
      <c r="B27" s="3" t="inlineStr">
        <is>
          <t>AGO</t>
        </is>
      </c>
      <c r="C27" s="3" t="n">
        <v>2005</v>
      </c>
      <c r="D27" s="3" t="inlineStr">
        <is>
          <t>Overall</t>
        </is>
      </c>
      <c r="E27" s="3" t="inlineStr">
        <is>
          <t>Deciles</t>
        </is>
      </c>
      <c r="F27" s="3" t="inlineStr">
        <is>
          <t>mean</t>
        </is>
      </c>
      <c r="G27" s="3" t="n">
        <v>2</v>
      </c>
      <c r="H27" s="3" t="n">
        <v>-0.7973127365112305</v>
      </c>
      <c r="I27" s="3" t="n">
        <v>-0.7973127365112305</v>
      </c>
      <c r="J27" s="3" t="n">
        <v>-0.9583063125610352</v>
      </c>
      <c r="K27" s="3" t="n">
        <v>-0.9583063125610352</v>
      </c>
      <c r="L27" s="3" t="n">
        <v>-0.7973127365112305</v>
      </c>
      <c r="M27" s="3" t="n">
        <v>-0.7973127365112305</v>
      </c>
      <c r="N27" s="3" t="n">
        <v>-0.7973127365112305</v>
      </c>
      <c r="O27" s="3" t="n">
        <v>-0.7973127365112305</v>
      </c>
      <c r="P27" s="3" t="n">
        <v>-0.7973127365112305</v>
      </c>
      <c r="Q27" s="3" t="n">
        <v>-0.7973127365112305</v>
      </c>
      <c r="R27" s="3" t="n">
        <v>-0.7784932851791382</v>
      </c>
      <c r="S27" s="3" t="n">
        <v>-2.403425693511963</v>
      </c>
      <c r="T27" s="3" t="n">
        <v>-0.7114566564559937</v>
      </c>
      <c r="U27" s="3" t="n">
        <v>-0.9583063125610352</v>
      </c>
      <c r="V27" s="3" t="n">
        <v>-0.6920371651649475</v>
      </c>
      <c r="W27" s="3" t="n">
        <v>-0.7093579769134521</v>
      </c>
      <c r="X27" s="3" t="n">
        <v>-2.268556594848633</v>
      </c>
      <c r="Y27" s="3" t="n">
        <v>-0.7973127365112305</v>
      </c>
      <c r="Z27" s="3" t="n">
        <v>-2.403425693511963</v>
      </c>
      <c r="AA27" s="3" t="n">
        <v>-2.403425693511963</v>
      </c>
      <c r="AB27" s="3" t="n">
        <v>-2.268556594848633</v>
      </c>
      <c r="AC27" s="3" t="n">
        <v>-19.82719421386719</v>
      </c>
      <c r="AD27" s="3" t="n">
        <v>-0.9583063125610352</v>
      </c>
      <c r="AE27" s="3" t="n">
        <v>-0.9583063125610352</v>
      </c>
    </row>
    <row r="28">
      <c r="A28" s="3" t="inlineStr">
        <is>
          <t>AGO.distn.dec.ove.mean.3</t>
        </is>
      </c>
      <c r="B28" s="3" t="inlineStr">
        <is>
          <t>AGO</t>
        </is>
      </c>
      <c r="C28" s="3" t="n">
        <v>2005</v>
      </c>
      <c r="D28" s="3" t="inlineStr">
        <is>
          <t>Overall</t>
        </is>
      </c>
      <c r="E28" s="3" t="inlineStr">
        <is>
          <t>Deciles</t>
        </is>
      </c>
      <c r="F28" s="3" t="inlineStr">
        <is>
          <t>mean</t>
        </is>
      </c>
      <c r="G28" s="3" t="n">
        <v>3</v>
      </c>
      <c r="H28" s="3" t="n">
        <v>-0.7973127365112305</v>
      </c>
      <c r="I28" s="3" t="n">
        <v>-0.7973127365112305</v>
      </c>
      <c r="J28" s="3" t="n">
        <v>-0.9583063125610352</v>
      </c>
      <c r="K28" s="3" t="n">
        <v>-0.9583063125610352</v>
      </c>
      <c r="L28" s="3" t="n">
        <v>-0.7973127365112305</v>
      </c>
      <c r="M28" s="3" t="n">
        <v>-0.7973127365112305</v>
      </c>
      <c r="N28" s="3" t="n">
        <v>-0.7973127365112305</v>
      </c>
      <c r="O28" s="3" t="n">
        <v>-0.7973127365112305</v>
      </c>
      <c r="P28" s="3" t="n">
        <v>-0.7973127365112305</v>
      </c>
      <c r="Q28" s="3" t="n">
        <v>-0.7973127365112305</v>
      </c>
      <c r="R28" s="3" t="n">
        <v>-0.7784932851791382</v>
      </c>
      <c r="S28" s="3" t="n">
        <v>-2.403425693511963</v>
      </c>
      <c r="T28" s="3" t="n">
        <v>-0.7114566564559937</v>
      </c>
      <c r="U28" s="3" t="n">
        <v>-0.9583063125610352</v>
      </c>
      <c r="V28" s="3" t="n">
        <v>-0.6920371651649475</v>
      </c>
      <c r="W28" s="3" t="n">
        <v>-0.7093579769134521</v>
      </c>
      <c r="X28" s="3" t="n">
        <v>-2.268556594848633</v>
      </c>
      <c r="Y28" s="3" t="n">
        <v>-0.7973127365112305</v>
      </c>
      <c r="Z28" s="3" t="n">
        <v>-2.403425693511963</v>
      </c>
      <c r="AA28" s="3" t="n">
        <v>-2.403425693511963</v>
      </c>
      <c r="AB28" s="3" t="n">
        <v>-2.268556594848633</v>
      </c>
      <c r="AC28" s="3" t="n">
        <v>-19.82719421386719</v>
      </c>
      <c r="AD28" s="3" t="n">
        <v>-0.9583063125610352</v>
      </c>
      <c r="AE28" s="3" t="n">
        <v>-0.9583063125610352</v>
      </c>
    </row>
    <row r="29">
      <c r="A29" s="3" t="inlineStr">
        <is>
          <t>AGO.distn.dec.ove.mean.4</t>
        </is>
      </c>
      <c r="B29" s="3" t="inlineStr">
        <is>
          <t>AGO</t>
        </is>
      </c>
      <c r="C29" s="3" t="n">
        <v>2005</v>
      </c>
      <c r="D29" s="3" t="inlineStr">
        <is>
          <t>Overall</t>
        </is>
      </c>
      <c r="E29" s="3" t="inlineStr">
        <is>
          <t>Deciles</t>
        </is>
      </c>
      <c r="F29" s="3" t="inlineStr">
        <is>
          <t>mean</t>
        </is>
      </c>
      <c r="G29" s="3" t="n">
        <v>4</v>
      </c>
      <c r="H29" s="3" t="n">
        <v>-0.7910000085830688</v>
      </c>
      <c r="I29" s="3" t="n">
        <v>-0.7910000085830688</v>
      </c>
      <c r="J29" s="3" t="n">
        <v>-0.9120000004768372</v>
      </c>
      <c r="K29" s="3" t="n">
        <v>-0.9120000004768372</v>
      </c>
      <c r="L29" s="3" t="n">
        <v>-0.7910000085830688</v>
      </c>
      <c r="M29" s="3" t="n">
        <v>-0.7910000085830688</v>
      </c>
      <c r="N29" s="3" t="n">
        <v>-0.7910000085830688</v>
      </c>
      <c r="O29" s="3" t="n">
        <v>-0.7910000085830688</v>
      </c>
      <c r="P29" s="3" t="n">
        <v>-0.7910000085830688</v>
      </c>
      <c r="Q29" s="3" t="n">
        <v>-0.7910000085830688</v>
      </c>
      <c r="R29" s="3" t="n">
        <v>-0.7749999761581421</v>
      </c>
      <c r="S29" s="3" t="n">
        <v>-1.63699996471405</v>
      </c>
      <c r="T29" s="3" t="n">
        <v>-0.7099999785423279</v>
      </c>
      <c r="U29" s="3" t="n">
        <v>-0.9120000004768372</v>
      </c>
      <c r="V29" s="3" t="n">
        <v>-0.6850000023841858</v>
      </c>
      <c r="W29" s="3" t="n">
        <v>-0.5970000028610229</v>
      </c>
      <c r="X29" s="3" t="n">
        <v>-1.60099995136261</v>
      </c>
      <c r="Y29" s="3" t="n">
        <v>-0.7910000085830688</v>
      </c>
      <c r="Z29" s="3" t="n">
        <v>-1.63699996471405</v>
      </c>
      <c r="AA29" s="3" t="n">
        <v>-1.63699996471405</v>
      </c>
      <c r="AB29" s="3" t="n">
        <v>-1.60099995136261</v>
      </c>
      <c r="AC29" s="3" t="n">
        <v>-9.574999809265137</v>
      </c>
      <c r="AD29" s="3" t="n">
        <v>-0.9120000004768372</v>
      </c>
      <c r="AE29" s="3" t="n">
        <v>-0.9120000004768372</v>
      </c>
    </row>
    <row r="30">
      <c r="A30" s="3" t="inlineStr">
        <is>
          <t>AGO.distn.dec.ove.mean.5</t>
        </is>
      </c>
      <c r="B30" s="3" t="inlineStr">
        <is>
          <t>AGO</t>
        </is>
      </c>
      <c r="C30" s="3" t="n">
        <v>2005</v>
      </c>
      <c r="D30" s="3" t="inlineStr">
        <is>
          <t>Overall</t>
        </is>
      </c>
      <c r="E30" s="3" t="inlineStr">
        <is>
          <t>Deciles</t>
        </is>
      </c>
      <c r="F30" s="3" t="inlineStr">
        <is>
          <t>mean</t>
        </is>
      </c>
      <c r="G30" s="3" t="n">
        <v>5</v>
      </c>
      <c r="H30" s="3" t="n">
        <v>-0.7910000085830688</v>
      </c>
      <c r="I30" s="3" t="n">
        <v>-0.7910000085830688</v>
      </c>
      <c r="J30" s="3" t="n">
        <v>-0.9120000004768372</v>
      </c>
      <c r="K30" s="3" t="n">
        <v>-0.9120000004768372</v>
      </c>
      <c r="L30" s="3" t="n">
        <v>-0.7910000085830688</v>
      </c>
      <c r="M30" s="3" t="n">
        <v>-0.7910000085830688</v>
      </c>
      <c r="N30" s="3" t="n">
        <v>-0.7910000085830688</v>
      </c>
      <c r="O30" s="3" t="n">
        <v>-0.7910000085830688</v>
      </c>
      <c r="P30" s="3" t="n">
        <v>-0.7910000085830688</v>
      </c>
      <c r="Q30" s="3" t="n">
        <v>-0.7910000085830688</v>
      </c>
      <c r="R30" s="3" t="n">
        <v>-0.7749999761581421</v>
      </c>
      <c r="S30" s="3" t="n">
        <v>-1.63699996471405</v>
      </c>
      <c r="T30" s="3" t="n">
        <v>-0.7099999785423279</v>
      </c>
      <c r="U30" s="3" t="n">
        <v>-0.9120000004768372</v>
      </c>
      <c r="V30" s="3" t="n">
        <v>-0.6850000023841858</v>
      </c>
      <c r="W30" s="3" t="n">
        <v>-0.5970000028610229</v>
      </c>
      <c r="X30" s="3" t="n">
        <v>-1.60099995136261</v>
      </c>
      <c r="Y30" s="3" t="n">
        <v>-0.7910000085830688</v>
      </c>
      <c r="Z30" s="3" t="n">
        <v>-1.63699996471405</v>
      </c>
      <c r="AA30" s="3" t="n">
        <v>-1.63699996471405</v>
      </c>
      <c r="AB30" s="3" t="n">
        <v>-1.60099995136261</v>
      </c>
      <c r="AC30" s="3" t="n">
        <v>-9.574999809265137</v>
      </c>
      <c r="AD30" s="3" t="n">
        <v>-0.9120000004768372</v>
      </c>
      <c r="AE30" s="3" t="n">
        <v>-0.9120000004768372</v>
      </c>
    </row>
    <row r="31">
      <c r="A31" s="3" t="inlineStr">
        <is>
          <t>AGO.distn.dec.ove.mean.6</t>
        </is>
      </c>
      <c r="B31" s="3" t="inlineStr">
        <is>
          <t>AGO</t>
        </is>
      </c>
      <c r="C31" s="3" t="n">
        <v>2005</v>
      </c>
      <c r="D31" s="3" t="inlineStr">
        <is>
          <t>Overall</t>
        </is>
      </c>
      <c r="E31" s="3" t="inlineStr">
        <is>
          <t>Deciles</t>
        </is>
      </c>
      <c r="F31" s="3" t="inlineStr">
        <is>
          <t>mean</t>
        </is>
      </c>
      <c r="G31" s="3" t="n">
        <v>6</v>
      </c>
      <c r="H31" s="3" t="n">
        <v>-0.7910000085830688</v>
      </c>
      <c r="I31" s="3" t="n">
        <v>-0.7910000085830688</v>
      </c>
      <c r="J31" s="3" t="n">
        <v>-0.9120000004768372</v>
      </c>
      <c r="K31" s="3" t="n">
        <v>-0.9120000004768372</v>
      </c>
      <c r="L31" s="3" t="n">
        <v>-0.7910000085830688</v>
      </c>
      <c r="M31" s="3" t="n">
        <v>-0.7910000085830688</v>
      </c>
      <c r="N31" s="3" t="n">
        <v>-0.7910000085830688</v>
      </c>
      <c r="O31" s="3" t="n">
        <v>-0.7910000085830688</v>
      </c>
      <c r="P31" s="3" t="n">
        <v>-0.7910000085830688</v>
      </c>
      <c r="Q31" s="3" t="n">
        <v>-0.7910000085830688</v>
      </c>
      <c r="R31" s="3" t="n">
        <v>-0.7749999761581421</v>
      </c>
      <c r="S31" s="3" t="n">
        <v>-1.63699996471405</v>
      </c>
      <c r="T31" s="3" t="n">
        <v>-0.7099999785423279</v>
      </c>
      <c r="U31" s="3" t="n">
        <v>-0.9120000004768372</v>
      </c>
      <c r="V31" s="3" t="n">
        <v>-0.6850000023841858</v>
      </c>
      <c r="W31" s="3" t="n">
        <v>-0.5970000028610229</v>
      </c>
      <c r="X31" s="3" t="n">
        <v>-1.60099995136261</v>
      </c>
      <c r="Y31" s="3" t="n">
        <v>-0.7910000085830688</v>
      </c>
      <c r="Z31" s="3" t="n">
        <v>-1.63699996471405</v>
      </c>
      <c r="AA31" s="3" t="n">
        <v>-1.63699996471405</v>
      </c>
      <c r="AB31" s="3" t="n">
        <v>-1.60099995136261</v>
      </c>
      <c r="AC31" s="3" t="n">
        <v>-9.574999809265137</v>
      </c>
      <c r="AD31" s="3" t="n">
        <v>-0.9120000004768372</v>
      </c>
      <c r="AE31" s="3" t="n">
        <v>-0.9120000004768372</v>
      </c>
    </row>
    <row r="32">
      <c r="A32" s="3" t="inlineStr">
        <is>
          <t>AGO.distn.dec.ove.mean.7</t>
        </is>
      </c>
      <c r="B32" s="3" t="inlineStr">
        <is>
          <t>AGO</t>
        </is>
      </c>
      <c r="C32" s="3" t="n">
        <v>2005</v>
      </c>
      <c r="D32" s="3" t="inlineStr">
        <is>
          <t>Overall</t>
        </is>
      </c>
      <c r="E32" s="3" t="inlineStr">
        <is>
          <t>Deciles</t>
        </is>
      </c>
      <c r="F32" s="3" t="inlineStr">
        <is>
          <t>mean</t>
        </is>
      </c>
      <c r="G32" s="3" t="n">
        <v>7</v>
      </c>
      <c r="H32" s="3" t="n">
        <v>-0.7910000085830688</v>
      </c>
      <c r="I32" s="3" t="n">
        <v>-0.7910000085830688</v>
      </c>
      <c r="J32" s="3" t="n">
        <v>-0.9120000004768372</v>
      </c>
      <c r="K32" s="3" t="n">
        <v>-0.9120000004768372</v>
      </c>
      <c r="L32" s="3" t="n">
        <v>-0.7910000085830688</v>
      </c>
      <c r="M32" s="3" t="n">
        <v>-0.7910000085830688</v>
      </c>
      <c r="N32" s="3" t="n">
        <v>-0.7910000085830688</v>
      </c>
      <c r="O32" s="3" t="n">
        <v>-0.7910000085830688</v>
      </c>
      <c r="P32" s="3" t="n">
        <v>-0.7910000085830688</v>
      </c>
      <c r="Q32" s="3" t="n">
        <v>-0.7910000085830688</v>
      </c>
      <c r="R32" s="3" t="n">
        <v>-0.7749999761581421</v>
      </c>
      <c r="S32" s="3" t="n">
        <v>-1.63699996471405</v>
      </c>
      <c r="T32" s="3" t="n">
        <v>-0.7099999785423279</v>
      </c>
      <c r="U32" s="3" t="n">
        <v>-0.9120000004768372</v>
      </c>
      <c r="V32" s="3" t="n">
        <v>-0.6850000023841858</v>
      </c>
      <c r="W32" s="3" t="n">
        <v>-0.5970000028610229</v>
      </c>
      <c r="X32" s="3" t="n">
        <v>-1.60099995136261</v>
      </c>
      <c r="Y32" s="3" t="n">
        <v>-0.7910000085830688</v>
      </c>
      <c r="Z32" s="3" t="n">
        <v>-1.63699996471405</v>
      </c>
      <c r="AA32" s="3" t="n">
        <v>-1.63699996471405</v>
      </c>
      <c r="AB32" s="3" t="n">
        <v>-1.60099995136261</v>
      </c>
      <c r="AC32" s="3" t="n">
        <v>-9.574999809265137</v>
      </c>
      <c r="AD32" s="3" t="n">
        <v>-0.9120000004768372</v>
      </c>
      <c r="AE32" s="3" t="n">
        <v>-0.9120000004768372</v>
      </c>
    </row>
    <row r="33">
      <c r="A33" s="3" t="inlineStr">
        <is>
          <t>AGO.distn.dec.ove.mean.8</t>
        </is>
      </c>
      <c r="B33" s="3" t="inlineStr">
        <is>
          <t>AGO</t>
        </is>
      </c>
      <c r="C33" s="3" t="n">
        <v>2005</v>
      </c>
      <c r="D33" s="3" t="inlineStr">
        <is>
          <t>Overall</t>
        </is>
      </c>
      <c r="E33" s="3" t="inlineStr">
        <is>
          <t>Deciles</t>
        </is>
      </c>
      <c r="F33" s="3" t="inlineStr">
        <is>
          <t>mean</t>
        </is>
      </c>
      <c r="G33" s="3" t="n">
        <v>8</v>
      </c>
      <c r="H33" s="3" t="n">
        <v>-0.7913810610771179</v>
      </c>
      <c r="I33" s="3" t="n">
        <v>-0.7913810610771179</v>
      </c>
      <c r="J33" s="3" t="n">
        <v>-0.9144601821899414</v>
      </c>
      <c r="K33" s="3" t="n">
        <v>-0.9144601821899414</v>
      </c>
      <c r="L33" s="3" t="n">
        <v>-0.7913810610771179</v>
      </c>
      <c r="M33" s="3" t="n">
        <v>-0.7913810610771179</v>
      </c>
      <c r="N33" s="3" t="n">
        <v>-0.7913810610771179</v>
      </c>
      <c r="O33" s="3" t="n">
        <v>-0.7913810610771179</v>
      </c>
      <c r="P33" s="3" t="n">
        <v>-0.7913810610771179</v>
      </c>
      <c r="Q33" s="3" t="n">
        <v>-0.7913810610771179</v>
      </c>
      <c r="R33" s="3" t="n">
        <v>-0.7752549052238464</v>
      </c>
      <c r="S33" s="3" t="n">
        <v>-1.65223240852356</v>
      </c>
      <c r="T33" s="3" t="n">
        <v>-0.7100409269332886</v>
      </c>
      <c r="U33" s="3" t="n">
        <v>-0.9144601821899414</v>
      </c>
      <c r="V33" s="3" t="n">
        <v>-0.6857081055641174</v>
      </c>
      <c r="W33" s="3" t="n">
        <v>-0.6129869222640991</v>
      </c>
      <c r="X33" s="3" t="n">
        <v>-1.615588307380676</v>
      </c>
      <c r="Y33" s="3" t="n">
        <v>-0.7913810610771179</v>
      </c>
      <c r="Z33" s="3" t="n">
        <v>-1.65223240852356</v>
      </c>
      <c r="AA33" s="3" t="n">
        <v>-1.65223240852356</v>
      </c>
      <c r="AB33" s="3" t="n">
        <v>-1.615588307380676</v>
      </c>
      <c r="AC33" s="3" t="n">
        <v>-9.711552619934082</v>
      </c>
      <c r="AD33" s="3" t="n">
        <v>-0.9144601821899414</v>
      </c>
      <c r="AE33" s="3" t="n">
        <v>-0.9144601821899414</v>
      </c>
    </row>
    <row r="34">
      <c r="A34" s="3" t="inlineStr">
        <is>
          <t>AGO.distn.dec.ove.mean.9</t>
        </is>
      </c>
      <c r="B34" s="3" t="inlineStr">
        <is>
          <t>AGO</t>
        </is>
      </c>
      <c r="C34" s="3" t="n">
        <v>2005</v>
      </c>
      <c r="D34" s="3" t="inlineStr">
        <is>
          <t>Overall</t>
        </is>
      </c>
      <c r="E34" s="3" t="inlineStr">
        <is>
          <t>Deciles</t>
        </is>
      </c>
      <c r="F34" s="3" t="inlineStr">
        <is>
          <t>mean</t>
        </is>
      </c>
      <c r="G34" s="3" t="n">
        <v>9</v>
      </c>
      <c r="H34" s="3" t="n">
        <v>-0.7913810610771179</v>
      </c>
      <c r="I34" s="3" t="n">
        <v>-0.7913810610771179</v>
      </c>
      <c r="J34" s="3" t="n">
        <v>-0.9144601821899414</v>
      </c>
      <c r="K34" s="3" t="n">
        <v>-0.9144601821899414</v>
      </c>
      <c r="L34" s="3" t="n">
        <v>-0.7913810610771179</v>
      </c>
      <c r="M34" s="3" t="n">
        <v>-0.7913810610771179</v>
      </c>
      <c r="N34" s="3" t="n">
        <v>-0.7913810610771179</v>
      </c>
      <c r="O34" s="3" t="n">
        <v>-0.7913810610771179</v>
      </c>
      <c r="P34" s="3" t="n">
        <v>-0.7913810610771179</v>
      </c>
      <c r="Q34" s="3" t="n">
        <v>-0.7913810610771179</v>
      </c>
      <c r="R34" s="3" t="n">
        <v>-0.7752549052238464</v>
      </c>
      <c r="S34" s="3" t="n">
        <v>-1.65223240852356</v>
      </c>
      <c r="T34" s="3" t="n">
        <v>-0.7100409269332886</v>
      </c>
      <c r="U34" s="3" t="n">
        <v>-0.9144601821899414</v>
      </c>
      <c r="V34" s="3" t="n">
        <v>-0.6857081055641174</v>
      </c>
      <c r="W34" s="3" t="n">
        <v>-0.6129869222640991</v>
      </c>
      <c r="X34" s="3" t="n">
        <v>-1.615588307380676</v>
      </c>
      <c r="Y34" s="3" t="n">
        <v>-0.7913810610771179</v>
      </c>
      <c r="Z34" s="3" t="n">
        <v>-1.65223240852356</v>
      </c>
      <c r="AA34" s="3" t="n">
        <v>-1.65223240852356</v>
      </c>
      <c r="AB34" s="3" t="n">
        <v>-1.615588307380676</v>
      </c>
      <c r="AC34" s="3" t="n">
        <v>-9.711552619934082</v>
      </c>
      <c r="AD34" s="3" t="n">
        <v>-0.9144601821899414</v>
      </c>
      <c r="AE34" s="3" t="n">
        <v>-0.9144601821899414</v>
      </c>
    </row>
    <row r="35">
      <c r="A35" s="3" t="inlineStr">
        <is>
          <t>AGO.distn.dec.ove.mean.10</t>
        </is>
      </c>
      <c r="B35" s="3" t="inlineStr">
        <is>
          <t>AGO</t>
        </is>
      </c>
      <c r="C35" s="3" t="n">
        <v>2005</v>
      </c>
      <c r="D35" s="3" t="inlineStr">
        <is>
          <t>Overall</t>
        </is>
      </c>
      <c r="E35" s="3" t="inlineStr">
        <is>
          <t>Deciles</t>
        </is>
      </c>
      <c r="F35" s="3" t="inlineStr">
        <is>
          <t>mean</t>
        </is>
      </c>
      <c r="G35" s="3" t="n">
        <v>10</v>
      </c>
      <c r="H35" s="3" t="n">
        <v>-0.7913810610771179</v>
      </c>
      <c r="I35" s="3" t="n">
        <v>-0.7913810610771179</v>
      </c>
      <c r="J35" s="3" t="n">
        <v>-0.9144601821899414</v>
      </c>
      <c r="K35" s="3" t="n">
        <v>-0.9144601821899414</v>
      </c>
      <c r="L35" s="3" t="n">
        <v>-0.7913810610771179</v>
      </c>
      <c r="M35" s="3" t="n">
        <v>-0.7913810610771179</v>
      </c>
      <c r="N35" s="3" t="n">
        <v>-0.7913810610771179</v>
      </c>
      <c r="O35" s="3" t="n">
        <v>-0.7913810610771179</v>
      </c>
      <c r="P35" s="3" t="n">
        <v>-0.7913810610771179</v>
      </c>
      <c r="Q35" s="3" t="n">
        <v>-0.7913810610771179</v>
      </c>
      <c r="R35" s="3" t="n">
        <v>-0.7752549052238464</v>
      </c>
      <c r="S35" s="3" t="n">
        <v>-1.65223240852356</v>
      </c>
      <c r="T35" s="3" t="n">
        <v>-0.7100409269332886</v>
      </c>
      <c r="U35" s="3" t="n">
        <v>-0.9144601821899414</v>
      </c>
      <c r="V35" s="3" t="n">
        <v>-0.6857081055641174</v>
      </c>
      <c r="W35" s="3" t="n">
        <v>-0.6129869222640991</v>
      </c>
      <c r="X35" s="3" t="n">
        <v>-1.615588307380676</v>
      </c>
      <c r="Y35" s="3" t="n">
        <v>-0.7913810610771179</v>
      </c>
      <c r="Z35" s="3" t="n">
        <v>-1.65223240852356</v>
      </c>
      <c r="AA35" s="3" t="n">
        <v>-1.65223240852356</v>
      </c>
      <c r="AB35" s="3" t="n">
        <v>-1.615588307380676</v>
      </c>
      <c r="AC35" s="3" t="n">
        <v>-9.711552619934082</v>
      </c>
      <c r="AD35" s="3" t="n">
        <v>-0.9144601821899414</v>
      </c>
      <c r="AE35" s="3" t="n">
        <v>-0.9144601821899414</v>
      </c>
    </row>
    <row r="36">
      <c r="A36" s="3" t="inlineStr">
        <is>
          <t>AGO.distn.bkt.ove.mean.9999</t>
        </is>
      </c>
      <c r="B36" s="3" t="inlineStr">
        <is>
          <t>AGO</t>
        </is>
      </c>
      <c r="C36" s="3" t="n">
        <v>2005</v>
      </c>
      <c r="D36" s="3" t="inlineStr">
        <is>
          <t>Overall</t>
        </is>
      </c>
      <c r="E36" s="3" t="inlineStr">
        <is>
          <t>Basket</t>
        </is>
      </c>
      <c r="F36" s="3" t="inlineStr">
        <is>
          <t>mean</t>
        </is>
      </c>
      <c r="G36" s="3" t="n">
        <v>9999</v>
      </c>
      <c r="H36" s="3" t="n">
        <v>-0.7930081486701965</v>
      </c>
      <c r="I36" s="3" t="n">
        <v>-0.7930081486701965</v>
      </c>
      <c r="J36" s="3" t="n">
        <v>-0.9266299605369568</v>
      </c>
      <c r="K36" s="3" t="n">
        <v>-0.9266299605369568</v>
      </c>
      <c r="L36" s="3" t="n">
        <v>-0.7930081486701965</v>
      </c>
      <c r="M36" s="3" t="n">
        <v>-0.7930081486701965</v>
      </c>
      <c r="N36" s="3" t="n">
        <v>-0.7930081486701965</v>
      </c>
      <c r="O36" s="3" t="n">
        <v>-0.7930081486701965</v>
      </c>
      <c r="P36" s="3" t="n">
        <v>-0.7930081486701965</v>
      </c>
      <c r="Q36" s="3" t="n">
        <v>-0.7930081486701965</v>
      </c>
      <c r="R36" s="3" t="n">
        <v>-0.7761244773864746</v>
      </c>
      <c r="S36" s="3" t="n">
        <v>-1.871497392654419</v>
      </c>
      <c r="T36" s="3" t="n">
        <v>-0.7104492783546448</v>
      </c>
      <c r="U36" s="3" t="n">
        <v>-0.9266299605369568</v>
      </c>
      <c r="V36" s="3" t="n">
        <v>-0.6873235702514648</v>
      </c>
      <c r="W36" s="3" t="n">
        <v>-0.6355034708976746</v>
      </c>
      <c r="X36" s="3" t="n">
        <v>-1.805643439292908</v>
      </c>
      <c r="Y36" s="3" t="n">
        <v>-0.7930081486701965</v>
      </c>
      <c r="Z36" s="3" t="n">
        <v>-1.871497392654419</v>
      </c>
      <c r="AA36" s="3" t="n">
        <v>-1.871497392654419</v>
      </c>
      <c r="AB36" s="3" t="n">
        <v>-1.805643439292908</v>
      </c>
      <c r="AC36" s="3" t="n">
        <v>-12.69162368774414</v>
      </c>
      <c r="AD36" s="3" t="n">
        <v>-0.9266299605369568</v>
      </c>
      <c r="AE36" s="3" t="n">
        <v>-0.9266299605369568</v>
      </c>
    </row>
    <row r="37">
      <c r="A37" s="3" t="inlineStr">
        <is>
          <t>ALB.distn.dec.ove.mean.1</t>
        </is>
      </c>
      <c r="B37" s="3" t="inlineStr">
        <is>
          <t>ALB</t>
        </is>
      </c>
      <c r="C37" s="3" t="n">
        <v>2005</v>
      </c>
      <c r="D37" s="3" t="inlineStr">
        <is>
          <t>Overall</t>
        </is>
      </c>
      <c r="E37" s="3" t="inlineStr">
        <is>
          <t>Deciles</t>
        </is>
      </c>
      <c r="F37" s="3" t="inlineStr">
        <is>
          <t>mean</t>
        </is>
      </c>
      <c r="G37" s="3" t="n">
        <v>1</v>
      </c>
      <c r="H37" s="3" t="n">
        <v>-0.7902569174766541</v>
      </c>
      <c r="I37" s="3" t="n">
        <v>-0.7902569174766541</v>
      </c>
      <c r="J37" s="3" t="n">
        <v>-0.9005137085914612</v>
      </c>
      <c r="K37" s="3" t="n">
        <v>-0.9005137085914612</v>
      </c>
      <c r="L37" s="3" t="n">
        <v>-0.7902569174766541</v>
      </c>
      <c r="M37" s="3" t="n">
        <v>-0.7902569174766541</v>
      </c>
      <c r="N37" s="3" t="n">
        <v>-0.7902569174766541</v>
      </c>
      <c r="O37" s="3" t="n">
        <v>-0.7902569174766541</v>
      </c>
      <c r="P37" s="3" t="n">
        <v>-0.7902569174766541</v>
      </c>
      <c r="Q37" s="3" t="n">
        <v>-0.7902569174766541</v>
      </c>
      <c r="R37" s="3" t="n">
        <v>-0.7744752764701843</v>
      </c>
      <c r="S37" s="3" t="n">
        <v>-1.487275719642639</v>
      </c>
      <c r="T37" s="3" t="n">
        <v>-0.7104546427726746</v>
      </c>
      <c r="U37" s="3" t="n">
        <v>-0.9005137085914612</v>
      </c>
      <c r="V37" s="3" t="n">
        <v>-0.6849652528762817</v>
      </c>
      <c r="W37" s="3" t="n">
        <v>-0.6273718476295471</v>
      </c>
      <c r="X37" s="3" t="n">
        <v>-1.429715037345886</v>
      </c>
      <c r="Y37" s="3" t="n">
        <v>-0.7902569174766541</v>
      </c>
      <c r="Z37" s="3" t="n">
        <v>-1.487275719642639</v>
      </c>
      <c r="AA37" s="3" t="n">
        <v>-1.487275719642639</v>
      </c>
      <c r="AB37" s="3" t="n">
        <v>-1.429715037345886</v>
      </c>
      <c r="AC37" s="3" t="n">
        <v>-2.319212436676025</v>
      </c>
      <c r="AD37" s="3" t="n">
        <v>-0.9005137085914612</v>
      </c>
      <c r="AE37" s="3" t="n">
        <v>-0.9005137085914612</v>
      </c>
    </row>
    <row r="38">
      <c r="A38" s="3" t="inlineStr">
        <is>
          <t>ALB.distn.dec.ove.mean.2</t>
        </is>
      </c>
      <c r="B38" s="3" t="inlineStr">
        <is>
          <t>ALB</t>
        </is>
      </c>
      <c r="C38" s="3" t="n">
        <v>2005</v>
      </c>
      <c r="D38" s="3" t="inlineStr">
        <is>
          <t>Overall</t>
        </is>
      </c>
      <c r="E38" s="3" t="inlineStr">
        <is>
          <t>Deciles</t>
        </is>
      </c>
      <c r="F38" s="3" t="inlineStr">
        <is>
          <t>mean</t>
        </is>
      </c>
      <c r="G38" s="3" t="n">
        <v>2</v>
      </c>
      <c r="H38" s="3" t="n">
        <v>-0.7902569174766541</v>
      </c>
      <c r="I38" s="3" t="n">
        <v>-0.7902569174766541</v>
      </c>
      <c r="J38" s="3" t="n">
        <v>-0.9005137085914612</v>
      </c>
      <c r="K38" s="3" t="n">
        <v>-0.9005137085914612</v>
      </c>
      <c r="L38" s="3" t="n">
        <v>-0.7902569174766541</v>
      </c>
      <c r="M38" s="3" t="n">
        <v>-0.7902569174766541</v>
      </c>
      <c r="N38" s="3" t="n">
        <v>-0.7902569174766541</v>
      </c>
      <c r="O38" s="3" t="n">
        <v>-0.7902569174766541</v>
      </c>
      <c r="P38" s="3" t="n">
        <v>-0.7902569174766541</v>
      </c>
      <c r="Q38" s="3" t="n">
        <v>-0.7902569174766541</v>
      </c>
      <c r="R38" s="3" t="n">
        <v>-0.7744752764701843</v>
      </c>
      <c r="S38" s="3" t="n">
        <v>-1.487275719642639</v>
      </c>
      <c r="T38" s="3" t="n">
        <v>-0.7104546427726746</v>
      </c>
      <c r="U38" s="3" t="n">
        <v>-0.9005137085914612</v>
      </c>
      <c r="V38" s="3" t="n">
        <v>-0.6849652528762817</v>
      </c>
      <c r="W38" s="3" t="n">
        <v>-0.6273718476295471</v>
      </c>
      <c r="X38" s="3" t="n">
        <v>-1.429715037345886</v>
      </c>
      <c r="Y38" s="3" t="n">
        <v>-0.7902569174766541</v>
      </c>
      <c r="Z38" s="3" t="n">
        <v>-1.487275719642639</v>
      </c>
      <c r="AA38" s="3" t="n">
        <v>-1.487275719642639</v>
      </c>
      <c r="AB38" s="3" t="n">
        <v>-1.429715037345886</v>
      </c>
      <c r="AC38" s="3" t="n">
        <v>-2.319212436676025</v>
      </c>
      <c r="AD38" s="3" t="n">
        <v>-0.9005137085914612</v>
      </c>
      <c r="AE38" s="3" t="n">
        <v>-0.9005137085914612</v>
      </c>
    </row>
    <row r="39">
      <c r="A39" s="3" t="inlineStr">
        <is>
          <t>ALB.distn.dec.ove.mean.3</t>
        </is>
      </c>
      <c r="B39" s="3" t="inlineStr">
        <is>
          <t>ALB</t>
        </is>
      </c>
      <c r="C39" s="3" t="n">
        <v>2005</v>
      </c>
      <c r="D39" s="3" t="inlineStr">
        <is>
          <t>Overall</t>
        </is>
      </c>
      <c r="E39" s="3" t="inlineStr">
        <is>
          <t>Deciles</t>
        </is>
      </c>
      <c r="F39" s="3" t="inlineStr">
        <is>
          <t>mean</t>
        </is>
      </c>
      <c r="G39" s="3" t="n">
        <v>3</v>
      </c>
      <c r="H39" s="3" t="n">
        <v>-0.7902569174766541</v>
      </c>
      <c r="I39" s="3" t="n">
        <v>-0.7902569174766541</v>
      </c>
      <c r="J39" s="3" t="n">
        <v>-0.9005137085914612</v>
      </c>
      <c r="K39" s="3" t="n">
        <v>-0.9005137085914612</v>
      </c>
      <c r="L39" s="3" t="n">
        <v>-0.7902569174766541</v>
      </c>
      <c r="M39" s="3" t="n">
        <v>-0.7902569174766541</v>
      </c>
      <c r="N39" s="3" t="n">
        <v>-0.7902569174766541</v>
      </c>
      <c r="O39" s="3" t="n">
        <v>-0.7902569174766541</v>
      </c>
      <c r="P39" s="3" t="n">
        <v>-0.7902569174766541</v>
      </c>
      <c r="Q39" s="3" t="n">
        <v>-0.7902569174766541</v>
      </c>
      <c r="R39" s="3" t="n">
        <v>-0.7744752764701843</v>
      </c>
      <c r="S39" s="3" t="n">
        <v>-1.487275719642639</v>
      </c>
      <c r="T39" s="3" t="n">
        <v>-0.7104546427726746</v>
      </c>
      <c r="U39" s="3" t="n">
        <v>-0.9005137085914612</v>
      </c>
      <c r="V39" s="3" t="n">
        <v>-0.6849652528762817</v>
      </c>
      <c r="W39" s="3" t="n">
        <v>-0.6273718476295471</v>
      </c>
      <c r="X39" s="3" t="n">
        <v>-1.429715037345886</v>
      </c>
      <c r="Y39" s="3" t="n">
        <v>-0.7902569174766541</v>
      </c>
      <c r="Z39" s="3" t="n">
        <v>-1.487275719642639</v>
      </c>
      <c r="AA39" s="3" t="n">
        <v>-1.487275719642639</v>
      </c>
      <c r="AB39" s="3" t="n">
        <v>-1.429715037345886</v>
      </c>
      <c r="AC39" s="3" t="n">
        <v>-2.319212436676025</v>
      </c>
      <c r="AD39" s="3" t="n">
        <v>-0.9005137085914612</v>
      </c>
      <c r="AE39" s="3" t="n">
        <v>-0.9005137085914612</v>
      </c>
    </row>
    <row r="40">
      <c r="A40" s="3" t="inlineStr">
        <is>
          <t>ALB.distn.dec.ove.mean.4</t>
        </is>
      </c>
      <c r="B40" s="3" t="inlineStr">
        <is>
          <t>ALB</t>
        </is>
      </c>
      <c r="C40" s="3" t="n">
        <v>2005</v>
      </c>
      <c r="D40" s="3" t="inlineStr">
        <is>
          <t>Overall</t>
        </is>
      </c>
      <c r="E40" s="3" t="inlineStr">
        <is>
          <t>Deciles</t>
        </is>
      </c>
      <c r="F40" s="3" t="inlineStr">
        <is>
          <t>mean</t>
        </is>
      </c>
      <c r="G40" s="3" t="n">
        <v>4</v>
      </c>
      <c r="H40" s="3" t="n">
        <v>-0.7839999794960022</v>
      </c>
      <c r="I40" s="3" t="n">
        <v>-0.7839999794960022</v>
      </c>
      <c r="J40" s="3" t="n">
        <v>-0.8569999933242798</v>
      </c>
      <c r="K40" s="3" t="n">
        <v>-0.8569999933242798</v>
      </c>
      <c r="L40" s="3" t="n">
        <v>-0.7839999794960022</v>
      </c>
      <c r="M40" s="3" t="n">
        <v>-0.7839999794960022</v>
      </c>
      <c r="N40" s="3" t="n">
        <v>-0.7839999794960022</v>
      </c>
      <c r="O40" s="3" t="n">
        <v>-0.7839999794960022</v>
      </c>
      <c r="P40" s="3" t="n">
        <v>-0.7839999794960022</v>
      </c>
      <c r="Q40" s="3" t="n">
        <v>-0.7839999794960022</v>
      </c>
      <c r="R40" s="3" t="n">
        <v>-0.7710000276565552</v>
      </c>
      <c r="S40" s="3" t="n">
        <v>-1.013000011444092</v>
      </c>
      <c r="T40" s="3" t="n">
        <v>-0.7089999914169312</v>
      </c>
      <c r="U40" s="3" t="n">
        <v>-0.8569999933242798</v>
      </c>
      <c r="V40" s="3" t="n">
        <v>-0.6779999732971191</v>
      </c>
      <c r="W40" s="3" t="n">
        <v>-0.5279999971389771</v>
      </c>
      <c r="X40" s="3" t="n">
        <v>-1.008999943733215</v>
      </c>
      <c r="Y40" s="3" t="n">
        <v>-0.7839999794960022</v>
      </c>
      <c r="Z40" s="3" t="n">
        <v>-1.013000011444092</v>
      </c>
      <c r="AA40" s="3" t="n">
        <v>-1.013000011444092</v>
      </c>
      <c r="AB40" s="3" t="n">
        <v>-1.008999943733215</v>
      </c>
      <c r="AC40" s="3" t="n">
        <v>-1.120000004768372</v>
      </c>
      <c r="AD40" s="3" t="n">
        <v>-0.8569999933242798</v>
      </c>
      <c r="AE40" s="3" t="n">
        <v>-0.8569999933242798</v>
      </c>
    </row>
    <row r="41">
      <c r="A41" s="3" t="inlineStr">
        <is>
          <t>ALB.distn.dec.ove.mean.5</t>
        </is>
      </c>
      <c r="B41" s="3" t="inlineStr">
        <is>
          <t>ALB</t>
        </is>
      </c>
      <c r="C41" s="3" t="n">
        <v>2005</v>
      </c>
      <c r="D41" s="3" t="inlineStr">
        <is>
          <t>Overall</t>
        </is>
      </c>
      <c r="E41" s="3" t="inlineStr">
        <is>
          <t>Deciles</t>
        </is>
      </c>
      <c r="F41" s="3" t="inlineStr">
        <is>
          <t>mean</t>
        </is>
      </c>
      <c r="G41" s="3" t="n">
        <v>5</v>
      </c>
      <c r="H41" s="3" t="n">
        <v>-0.7839999794960022</v>
      </c>
      <c r="I41" s="3" t="n">
        <v>-0.7839999794960022</v>
      </c>
      <c r="J41" s="3" t="n">
        <v>-0.8569999933242798</v>
      </c>
      <c r="K41" s="3" t="n">
        <v>-0.8569999933242798</v>
      </c>
      <c r="L41" s="3" t="n">
        <v>-0.7839999794960022</v>
      </c>
      <c r="M41" s="3" t="n">
        <v>-0.7839999794960022</v>
      </c>
      <c r="N41" s="3" t="n">
        <v>-0.7839999794960022</v>
      </c>
      <c r="O41" s="3" t="n">
        <v>-0.7839999794960022</v>
      </c>
      <c r="P41" s="3" t="n">
        <v>-0.7839999794960022</v>
      </c>
      <c r="Q41" s="3" t="n">
        <v>-0.7839999794960022</v>
      </c>
      <c r="R41" s="3" t="n">
        <v>-0.7710000276565552</v>
      </c>
      <c r="S41" s="3" t="n">
        <v>-1.013000011444092</v>
      </c>
      <c r="T41" s="3" t="n">
        <v>-0.7089999914169312</v>
      </c>
      <c r="U41" s="3" t="n">
        <v>-0.8569999933242798</v>
      </c>
      <c r="V41" s="3" t="n">
        <v>-0.6779999732971191</v>
      </c>
      <c r="W41" s="3" t="n">
        <v>-0.5279999971389771</v>
      </c>
      <c r="X41" s="3" t="n">
        <v>-1.008999943733215</v>
      </c>
      <c r="Y41" s="3" t="n">
        <v>-0.7839999794960022</v>
      </c>
      <c r="Z41" s="3" t="n">
        <v>-1.013000011444092</v>
      </c>
      <c r="AA41" s="3" t="n">
        <v>-1.013000011444092</v>
      </c>
      <c r="AB41" s="3" t="n">
        <v>-1.008999943733215</v>
      </c>
      <c r="AC41" s="3" t="n">
        <v>-1.120000004768372</v>
      </c>
      <c r="AD41" s="3" t="n">
        <v>-0.8569999933242798</v>
      </c>
      <c r="AE41" s="3" t="n">
        <v>-0.8569999933242798</v>
      </c>
    </row>
    <row r="42">
      <c r="A42" s="3" t="inlineStr">
        <is>
          <t>ALB.distn.dec.ove.mean.6</t>
        </is>
      </c>
      <c r="B42" s="3" t="inlineStr">
        <is>
          <t>ALB</t>
        </is>
      </c>
      <c r="C42" s="3" t="n">
        <v>2005</v>
      </c>
      <c r="D42" s="3" t="inlineStr">
        <is>
          <t>Overall</t>
        </is>
      </c>
      <c r="E42" s="3" t="inlineStr">
        <is>
          <t>Deciles</t>
        </is>
      </c>
      <c r="F42" s="3" t="inlineStr">
        <is>
          <t>mean</t>
        </is>
      </c>
      <c r="G42" s="3" t="n">
        <v>6</v>
      </c>
      <c r="H42" s="3" t="n">
        <v>-0.7839999794960022</v>
      </c>
      <c r="I42" s="3" t="n">
        <v>-0.7839999794960022</v>
      </c>
      <c r="J42" s="3" t="n">
        <v>-0.8569999933242798</v>
      </c>
      <c r="K42" s="3" t="n">
        <v>-0.8569999933242798</v>
      </c>
      <c r="L42" s="3" t="n">
        <v>-0.7839999794960022</v>
      </c>
      <c r="M42" s="3" t="n">
        <v>-0.7839999794960022</v>
      </c>
      <c r="N42" s="3" t="n">
        <v>-0.7839999794960022</v>
      </c>
      <c r="O42" s="3" t="n">
        <v>-0.7839999794960022</v>
      </c>
      <c r="P42" s="3" t="n">
        <v>-0.7839999794960022</v>
      </c>
      <c r="Q42" s="3" t="n">
        <v>-0.7839999794960022</v>
      </c>
      <c r="R42" s="3" t="n">
        <v>-0.7710000276565552</v>
      </c>
      <c r="S42" s="3" t="n">
        <v>-1.013000011444092</v>
      </c>
      <c r="T42" s="3" t="n">
        <v>-0.7089999914169312</v>
      </c>
      <c r="U42" s="3" t="n">
        <v>-0.8569999933242798</v>
      </c>
      <c r="V42" s="3" t="n">
        <v>-0.6779999732971191</v>
      </c>
      <c r="W42" s="3" t="n">
        <v>-0.5279999971389771</v>
      </c>
      <c r="X42" s="3" t="n">
        <v>-1.008999943733215</v>
      </c>
      <c r="Y42" s="3" t="n">
        <v>-0.7839999794960022</v>
      </c>
      <c r="Z42" s="3" t="n">
        <v>-1.013000011444092</v>
      </c>
      <c r="AA42" s="3" t="n">
        <v>-1.013000011444092</v>
      </c>
      <c r="AB42" s="3" t="n">
        <v>-1.008999943733215</v>
      </c>
      <c r="AC42" s="3" t="n">
        <v>-1.120000004768372</v>
      </c>
      <c r="AD42" s="3" t="n">
        <v>-0.8569999933242798</v>
      </c>
      <c r="AE42" s="3" t="n">
        <v>-0.8569999933242798</v>
      </c>
    </row>
    <row r="43">
      <c r="A43" s="3" t="inlineStr">
        <is>
          <t>ALB.distn.dec.ove.mean.7</t>
        </is>
      </c>
      <c r="B43" s="3" t="inlineStr">
        <is>
          <t>ALB</t>
        </is>
      </c>
      <c r="C43" s="3" t="n">
        <v>2005</v>
      </c>
      <c r="D43" s="3" t="inlineStr">
        <is>
          <t>Overall</t>
        </is>
      </c>
      <c r="E43" s="3" t="inlineStr">
        <is>
          <t>Deciles</t>
        </is>
      </c>
      <c r="F43" s="3" t="inlineStr">
        <is>
          <t>mean</t>
        </is>
      </c>
      <c r="G43" s="3" t="n">
        <v>7</v>
      </c>
      <c r="H43" s="3" t="n">
        <v>-0.7839999794960022</v>
      </c>
      <c r="I43" s="3" t="n">
        <v>-0.7839999794960022</v>
      </c>
      <c r="J43" s="3" t="n">
        <v>-0.8569999933242798</v>
      </c>
      <c r="K43" s="3" t="n">
        <v>-0.8569999933242798</v>
      </c>
      <c r="L43" s="3" t="n">
        <v>-0.7839999794960022</v>
      </c>
      <c r="M43" s="3" t="n">
        <v>-0.7839999794960022</v>
      </c>
      <c r="N43" s="3" t="n">
        <v>-0.7839999794960022</v>
      </c>
      <c r="O43" s="3" t="n">
        <v>-0.7839999794960022</v>
      </c>
      <c r="P43" s="3" t="n">
        <v>-0.7839999794960022</v>
      </c>
      <c r="Q43" s="3" t="n">
        <v>-0.7839999794960022</v>
      </c>
      <c r="R43" s="3" t="n">
        <v>-0.7710000276565552</v>
      </c>
      <c r="S43" s="3" t="n">
        <v>-1.013000011444092</v>
      </c>
      <c r="T43" s="3" t="n">
        <v>-0.7089999914169312</v>
      </c>
      <c r="U43" s="3" t="n">
        <v>-0.8569999933242798</v>
      </c>
      <c r="V43" s="3" t="n">
        <v>-0.6779999732971191</v>
      </c>
      <c r="W43" s="3" t="n">
        <v>-0.5279999971389771</v>
      </c>
      <c r="X43" s="3" t="n">
        <v>-1.008999943733215</v>
      </c>
      <c r="Y43" s="3" t="n">
        <v>-0.7839999794960022</v>
      </c>
      <c r="Z43" s="3" t="n">
        <v>-1.013000011444092</v>
      </c>
      <c r="AA43" s="3" t="n">
        <v>-1.013000011444092</v>
      </c>
      <c r="AB43" s="3" t="n">
        <v>-1.008999943733215</v>
      </c>
      <c r="AC43" s="3" t="n">
        <v>-1.120000004768372</v>
      </c>
      <c r="AD43" s="3" t="n">
        <v>-0.8569999933242798</v>
      </c>
      <c r="AE43" s="3" t="n">
        <v>-0.8569999933242798</v>
      </c>
    </row>
    <row r="44">
      <c r="A44" s="3" t="inlineStr">
        <is>
          <t>ALB.distn.dec.ove.mean.8</t>
        </is>
      </c>
      <c r="B44" s="3" t="inlineStr">
        <is>
          <t>ALB</t>
        </is>
      </c>
      <c r="C44" s="3" t="n">
        <v>2005</v>
      </c>
      <c r="D44" s="3" t="inlineStr">
        <is>
          <t>Overall</t>
        </is>
      </c>
      <c r="E44" s="3" t="inlineStr">
        <is>
          <t>Deciles</t>
        </is>
      </c>
      <c r="F44" s="3" t="inlineStr">
        <is>
          <t>mean</t>
        </is>
      </c>
      <c r="G44" s="3" t="n">
        <v>8</v>
      </c>
      <c r="H44" s="3" t="n">
        <v>-0.7843776941299438</v>
      </c>
      <c r="I44" s="3" t="n">
        <v>-0.7843776941299438</v>
      </c>
      <c r="J44" s="3" t="n">
        <v>-0.8593118190765381</v>
      </c>
      <c r="K44" s="3" t="n">
        <v>-0.8593118190765381</v>
      </c>
      <c r="L44" s="3" t="n">
        <v>-0.7843776941299438</v>
      </c>
      <c r="M44" s="3" t="n">
        <v>-0.7843776941299438</v>
      </c>
      <c r="N44" s="3" t="n">
        <v>-0.7843776941299438</v>
      </c>
      <c r="O44" s="3" t="n">
        <v>-0.7843776941299438</v>
      </c>
      <c r="P44" s="3" t="n">
        <v>-0.7843776941299438</v>
      </c>
      <c r="Q44" s="3" t="n">
        <v>-0.7843776941299438</v>
      </c>
      <c r="R44" s="3" t="n">
        <v>-0.7712535858154297</v>
      </c>
      <c r="S44" s="3" t="n">
        <v>-1.022426128387451</v>
      </c>
      <c r="T44" s="3" t="n">
        <v>-0.7090408802032471</v>
      </c>
      <c r="U44" s="3" t="n">
        <v>-0.8593118190765381</v>
      </c>
      <c r="V44" s="3" t="n">
        <v>-0.6787009239196777</v>
      </c>
      <c r="W44" s="3" t="n">
        <v>-0.5421392321586609</v>
      </c>
      <c r="X44" s="3" t="n">
        <v>-1.018193960189819</v>
      </c>
      <c r="Y44" s="3" t="n">
        <v>-0.7843776941299438</v>
      </c>
      <c r="Z44" s="3" t="n">
        <v>-1.022426128387451</v>
      </c>
      <c r="AA44" s="3" t="n">
        <v>-1.022426128387451</v>
      </c>
      <c r="AB44" s="3" t="n">
        <v>-1.018193960189819</v>
      </c>
      <c r="AC44" s="3" t="n">
        <v>-1.135972738265991</v>
      </c>
      <c r="AD44" s="3" t="n">
        <v>-0.8593118190765381</v>
      </c>
      <c r="AE44" s="3" t="n">
        <v>-0.8593118190765381</v>
      </c>
    </row>
    <row r="45">
      <c r="A45" s="3" t="inlineStr">
        <is>
          <t>ALB.distn.dec.ove.mean.9</t>
        </is>
      </c>
      <c r="B45" s="3" t="inlineStr">
        <is>
          <t>ALB</t>
        </is>
      </c>
      <c r="C45" s="3" t="n">
        <v>2005</v>
      </c>
      <c r="D45" s="3" t="inlineStr">
        <is>
          <t>Overall</t>
        </is>
      </c>
      <c r="E45" s="3" t="inlineStr">
        <is>
          <t>Deciles</t>
        </is>
      </c>
      <c r="F45" s="3" t="inlineStr">
        <is>
          <t>mean</t>
        </is>
      </c>
      <c r="G45" s="3" t="n">
        <v>9</v>
      </c>
      <c r="H45" s="3" t="n">
        <v>-0.7843776941299438</v>
      </c>
      <c r="I45" s="3" t="n">
        <v>-0.7843776941299438</v>
      </c>
      <c r="J45" s="3" t="n">
        <v>-0.8593118190765381</v>
      </c>
      <c r="K45" s="3" t="n">
        <v>-0.8593118190765381</v>
      </c>
      <c r="L45" s="3" t="n">
        <v>-0.7843776941299438</v>
      </c>
      <c r="M45" s="3" t="n">
        <v>-0.7843776941299438</v>
      </c>
      <c r="N45" s="3" t="n">
        <v>-0.7843776941299438</v>
      </c>
      <c r="O45" s="3" t="n">
        <v>-0.7843776941299438</v>
      </c>
      <c r="P45" s="3" t="n">
        <v>-0.7843776941299438</v>
      </c>
      <c r="Q45" s="3" t="n">
        <v>-0.7843776941299438</v>
      </c>
      <c r="R45" s="3" t="n">
        <v>-0.7712535858154297</v>
      </c>
      <c r="S45" s="3" t="n">
        <v>-1.022426128387451</v>
      </c>
      <c r="T45" s="3" t="n">
        <v>-0.7090408802032471</v>
      </c>
      <c r="U45" s="3" t="n">
        <v>-0.8593118190765381</v>
      </c>
      <c r="V45" s="3" t="n">
        <v>-0.6787009239196777</v>
      </c>
      <c r="W45" s="3" t="n">
        <v>-0.5421392321586609</v>
      </c>
      <c r="X45" s="3" t="n">
        <v>-1.018193960189819</v>
      </c>
      <c r="Y45" s="3" t="n">
        <v>-0.7843776941299438</v>
      </c>
      <c r="Z45" s="3" t="n">
        <v>-1.022426128387451</v>
      </c>
      <c r="AA45" s="3" t="n">
        <v>-1.022426128387451</v>
      </c>
      <c r="AB45" s="3" t="n">
        <v>-1.018193960189819</v>
      </c>
      <c r="AC45" s="3" t="n">
        <v>-1.135972738265991</v>
      </c>
      <c r="AD45" s="3" t="n">
        <v>-0.8593118190765381</v>
      </c>
      <c r="AE45" s="3" t="n">
        <v>-0.8593118190765381</v>
      </c>
    </row>
    <row r="46">
      <c r="A46" s="3" t="inlineStr">
        <is>
          <t>ALB.distn.dec.ove.mean.10</t>
        </is>
      </c>
      <c r="B46" s="3" t="inlineStr">
        <is>
          <t>ALB</t>
        </is>
      </c>
      <c r="C46" s="3" t="n">
        <v>2005</v>
      </c>
      <c r="D46" s="3" t="inlineStr">
        <is>
          <t>Overall</t>
        </is>
      </c>
      <c r="E46" s="3" t="inlineStr">
        <is>
          <t>Deciles</t>
        </is>
      </c>
      <c r="F46" s="3" t="inlineStr">
        <is>
          <t>mean</t>
        </is>
      </c>
      <c r="G46" s="3" t="n">
        <v>10</v>
      </c>
      <c r="H46" s="3" t="n">
        <v>-0.7843776941299438</v>
      </c>
      <c r="I46" s="3" t="n">
        <v>-0.7843776941299438</v>
      </c>
      <c r="J46" s="3" t="n">
        <v>-0.8593118190765381</v>
      </c>
      <c r="K46" s="3" t="n">
        <v>-0.8593118190765381</v>
      </c>
      <c r="L46" s="3" t="n">
        <v>-0.7843776941299438</v>
      </c>
      <c r="M46" s="3" t="n">
        <v>-0.7843776941299438</v>
      </c>
      <c r="N46" s="3" t="n">
        <v>-0.7843776941299438</v>
      </c>
      <c r="O46" s="3" t="n">
        <v>-0.7843776941299438</v>
      </c>
      <c r="P46" s="3" t="n">
        <v>-0.7843776941299438</v>
      </c>
      <c r="Q46" s="3" t="n">
        <v>-0.7843776941299438</v>
      </c>
      <c r="R46" s="3" t="n">
        <v>-0.7712535858154297</v>
      </c>
      <c r="S46" s="3" t="n">
        <v>-1.022426128387451</v>
      </c>
      <c r="T46" s="3" t="n">
        <v>-0.7090408802032471</v>
      </c>
      <c r="U46" s="3" t="n">
        <v>-0.8593118190765381</v>
      </c>
      <c r="V46" s="3" t="n">
        <v>-0.6787009239196777</v>
      </c>
      <c r="W46" s="3" t="n">
        <v>-0.5421392321586609</v>
      </c>
      <c r="X46" s="3" t="n">
        <v>-1.018193960189819</v>
      </c>
      <c r="Y46" s="3" t="n">
        <v>-0.7843776941299438</v>
      </c>
      <c r="Z46" s="3" t="n">
        <v>-1.022426128387451</v>
      </c>
      <c r="AA46" s="3" t="n">
        <v>-1.022426128387451</v>
      </c>
      <c r="AB46" s="3" t="n">
        <v>-1.018193960189819</v>
      </c>
      <c r="AC46" s="3" t="n">
        <v>-1.135972738265991</v>
      </c>
      <c r="AD46" s="3" t="n">
        <v>-0.8593118190765381</v>
      </c>
      <c r="AE46" s="3" t="n">
        <v>-0.8593118190765381</v>
      </c>
    </row>
    <row r="47">
      <c r="A47" s="3" t="inlineStr">
        <is>
          <t>ALB.distn.bkt.ove.mean.9999</t>
        </is>
      </c>
      <c r="B47" s="3" t="inlineStr">
        <is>
          <t>ALB</t>
        </is>
      </c>
      <c r="C47" s="3" t="n">
        <v>2005</v>
      </c>
      <c r="D47" s="3" t="inlineStr">
        <is>
          <t>Overall</t>
        </is>
      </c>
      <c r="E47" s="3" t="inlineStr">
        <is>
          <t>Basket</t>
        </is>
      </c>
      <c r="F47" s="3" t="inlineStr">
        <is>
          <t>mean</t>
        </is>
      </c>
      <c r="G47" s="3" t="n">
        <v>9999</v>
      </c>
      <c r="H47" s="3" t="n">
        <v>-0.7859903573989868</v>
      </c>
      <c r="I47" s="3" t="n">
        <v>-0.7859903573989868</v>
      </c>
      <c r="J47" s="3" t="n">
        <v>-0.8707476854324341</v>
      </c>
      <c r="K47" s="3" t="n">
        <v>-0.8707476854324341</v>
      </c>
      <c r="L47" s="3" t="n">
        <v>-0.7859903573989868</v>
      </c>
      <c r="M47" s="3" t="n">
        <v>-0.7859903573989868</v>
      </c>
      <c r="N47" s="3" t="n">
        <v>-0.7859903573989868</v>
      </c>
      <c r="O47" s="3" t="n">
        <v>-0.7859903573989868</v>
      </c>
      <c r="P47" s="3" t="n">
        <v>-0.7859903573989868</v>
      </c>
      <c r="Q47" s="3" t="n">
        <v>-0.7859903573989868</v>
      </c>
      <c r="R47" s="3" t="n">
        <v>-0.7721186876296997</v>
      </c>
      <c r="S47" s="3" t="n">
        <v>-1.158110618591309</v>
      </c>
      <c r="T47" s="3" t="n">
        <v>-0.7094486355781555</v>
      </c>
      <c r="U47" s="3" t="n">
        <v>-0.8707476854324341</v>
      </c>
      <c r="V47" s="3" t="n">
        <v>-0.6802998185157776</v>
      </c>
      <c r="W47" s="3" t="n">
        <v>-0.5620533227920532</v>
      </c>
      <c r="X47" s="3" t="n">
        <v>-1.137972712516785</v>
      </c>
      <c r="Y47" s="3" t="n">
        <v>-0.7859903573989868</v>
      </c>
      <c r="Z47" s="3" t="n">
        <v>-1.158110618591309</v>
      </c>
      <c r="AA47" s="3" t="n">
        <v>-1.158110618591309</v>
      </c>
      <c r="AB47" s="3" t="n">
        <v>-1.137972712516785</v>
      </c>
      <c r="AC47" s="3" t="n">
        <v>-1.484555602073669</v>
      </c>
      <c r="AD47" s="3" t="n">
        <v>-0.8707476854324341</v>
      </c>
      <c r="AE47" s="3" t="n">
        <v>-0.8707476854324341</v>
      </c>
    </row>
    <row r="48">
      <c r="A48" s="3" t="inlineStr">
        <is>
          <t>AND.distn.dec.ove.mean.1</t>
        </is>
      </c>
      <c r="B48" s="3" t="inlineStr">
        <is>
          <t>AND</t>
        </is>
      </c>
      <c r="C48" s="3" t="n">
        <v>2005</v>
      </c>
      <c r="D48" s="3" t="inlineStr">
        <is>
          <t>Overall</t>
        </is>
      </c>
      <c r="E48" s="3" t="inlineStr">
        <is>
          <t>Deciles</t>
        </is>
      </c>
      <c r="F48" s="3" t="inlineStr">
        <is>
          <t>mean</t>
        </is>
      </c>
      <c r="G48" s="3" t="n">
        <v>1</v>
      </c>
      <c r="H48" s="3" t="n">
        <v>-0.7878549098968506</v>
      </c>
      <c r="I48" s="3" t="n">
        <v>-0.7878549098968506</v>
      </c>
      <c r="J48" s="3" t="n">
        <v>-0.8883962808771336</v>
      </c>
      <c r="K48" s="3" t="n">
        <v>-0.8883962808771336</v>
      </c>
      <c r="L48" s="3" t="n">
        <v>-0.7878549098968506</v>
      </c>
      <c r="M48" s="3" t="n">
        <v>-0.7878549098968506</v>
      </c>
      <c r="N48" s="3" t="n">
        <v>-0.7878549098968506</v>
      </c>
      <c r="O48" s="3" t="n">
        <v>-0.7878549098968506</v>
      </c>
      <c r="P48" s="3" t="n">
        <v>-0.7878549098968506</v>
      </c>
      <c r="Q48" s="3" t="n">
        <v>-0.7878549098968506</v>
      </c>
      <c r="R48" s="3" t="n">
        <v>-0.7732356596500316</v>
      </c>
      <c r="S48" s="3" t="n">
        <v>-1.408805674694954</v>
      </c>
      <c r="T48" s="3" t="n">
        <v>-0.7095591730259835</v>
      </c>
      <c r="U48" s="3" t="n">
        <v>-0.8883962808771336</v>
      </c>
      <c r="V48" s="3" t="n">
        <v>-0.681934451803248</v>
      </c>
      <c r="W48" s="3" t="n">
        <v>-0.5702875047288043</v>
      </c>
      <c r="X48" s="3" t="n">
        <v>-1.356243993373627</v>
      </c>
      <c r="Y48" s="3" t="n">
        <v>-0.7878549098968506</v>
      </c>
      <c r="Z48" s="3" t="n">
        <v>-1.408805674694954</v>
      </c>
      <c r="AA48" s="3" t="n">
        <v>-1.408805674694954</v>
      </c>
      <c r="AB48" s="3" t="n">
        <v>-1.356243993373627</v>
      </c>
      <c r="AC48" s="3" t="n">
        <v>-2.123991362592007</v>
      </c>
      <c r="AD48" s="3" t="n">
        <v>-0.8883962808771336</v>
      </c>
      <c r="AE48" s="3" t="n">
        <v>-0.8883962808771336</v>
      </c>
    </row>
    <row r="49">
      <c r="A49" s="3" t="inlineStr">
        <is>
          <t>AND.distn.dec.ove.mean.2</t>
        </is>
      </c>
      <c r="B49" s="3" t="inlineStr">
        <is>
          <t>AND</t>
        </is>
      </c>
      <c r="C49" s="3" t="n">
        <v>2005</v>
      </c>
      <c r="D49" s="3" t="inlineStr">
        <is>
          <t>Overall</t>
        </is>
      </c>
      <c r="E49" s="3" t="inlineStr">
        <is>
          <t>Deciles</t>
        </is>
      </c>
      <c r="F49" s="3" t="inlineStr">
        <is>
          <t>mean</t>
        </is>
      </c>
      <c r="G49" s="3" t="n">
        <v>2</v>
      </c>
      <c r="H49" s="3" t="n">
        <v>-0.7878549098968506</v>
      </c>
      <c r="I49" s="3" t="n">
        <v>-0.7878549098968506</v>
      </c>
      <c r="J49" s="3" t="n">
        <v>-0.8883962808771336</v>
      </c>
      <c r="K49" s="3" t="n">
        <v>-0.8883962808771336</v>
      </c>
      <c r="L49" s="3" t="n">
        <v>-0.7878549098968506</v>
      </c>
      <c r="M49" s="3" t="n">
        <v>-0.7878549098968506</v>
      </c>
      <c r="N49" s="3" t="n">
        <v>-0.7878549098968506</v>
      </c>
      <c r="O49" s="3" t="n">
        <v>-0.7878549098968506</v>
      </c>
      <c r="P49" s="3" t="n">
        <v>-0.7878549098968506</v>
      </c>
      <c r="Q49" s="3" t="n">
        <v>-0.7878549098968506</v>
      </c>
      <c r="R49" s="3" t="n">
        <v>-0.7732356596500316</v>
      </c>
      <c r="S49" s="3" t="n">
        <v>-1.408805674694954</v>
      </c>
      <c r="T49" s="3" t="n">
        <v>-0.7095591730259835</v>
      </c>
      <c r="U49" s="3" t="n">
        <v>-0.8883962808771336</v>
      </c>
      <c r="V49" s="3" t="n">
        <v>-0.681934451803248</v>
      </c>
      <c r="W49" s="3" t="n">
        <v>-0.5702875047288043</v>
      </c>
      <c r="X49" s="3" t="n">
        <v>-1.356243993373627</v>
      </c>
      <c r="Y49" s="3" t="n">
        <v>-0.7878549098968506</v>
      </c>
      <c r="Z49" s="3" t="n">
        <v>-1.408805674694954</v>
      </c>
      <c r="AA49" s="3" t="n">
        <v>-1.408805674694954</v>
      </c>
      <c r="AB49" s="3" t="n">
        <v>-1.356243993373627</v>
      </c>
      <c r="AC49" s="3" t="n">
        <v>-2.123991362592007</v>
      </c>
      <c r="AD49" s="3" t="n">
        <v>-0.8883962808771336</v>
      </c>
      <c r="AE49" s="3" t="n">
        <v>-0.8883962808771336</v>
      </c>
    </row>
    <row r="50">
      <c r="A50" s="3" t="inlineStr">
        <is>
          <t>AND.distn.dec.ove.mean.3</t>
        </is>
      </c>
      <c r="B50" s="3" t="inlineStr">
        <is>
          <t>AND</t>
        </is>
      </c>
      <c r="C50" s="3" t="n">
        <v>2005</v>
      </c>
      <c r="D50" s="3" t="inlineStr">
        <is>
          <t>Overall</t>
        </is>
      </c>
      <c r="E50" s="3" t="inlineStr">
        <is>
          <t>Deciles</t>
        </is>
      </c>
      <c r="F50" s="3" t="inlineStr">
        <is>
          <t>mean</t>
        </is>
      </c>
      <c r="G50" s="3" t="n">
        <v>3</v>
      </c>
      <c r="H50" s="3" t="n">
        <v>-0.7878549098968506</v>
      </c>
      <c r="I50" s="3" t="n">
        <v>-0.7878549098968506</v>
      </c>
      <c r="J50" s="3" t="n">
        <v>-0.8883962808771336</v>
      </c>
      <c r="K50" s="3" t="n">
        <v>-0.8883962808771336</v>
      </c>
      <c r="L50" s="3" t="n">
        <v>-0.7878549098968506</v>
      </c>
      <c r="M50" s="3" t="n">
        <v>-0.7878549098968506</v>
      </c>
      <c r="N50" s="3" t="n">
        <v>-0.7878549098968506</v>
      </c>
      <c r="O50" s="3" t="n">
        <v>-0.7878549098968506</v>
      </c>
      <c r="P50" s="3" t="n">
        <v>-0.7878549098968506</v>
      </c>
      <c r="Q50" s="3" t="n">
        <v>-0.7878549098968506</v>
      </c>
      <c r="R50" s="3" t="n">
        <v>-0.7732356596500316</v>
      </c>
      <c r="S50" s="3" t="n">
        <v>-1.408805674694954</v>
      </c>
      <c r="T50" s="3" t="n">
        <v>-0.7095591730259835</v>
      </c>
      <c r="U50" s="3" t="n">
        <v>-0.8883962808771336</v>
      </c>
      <c r="V50" s="3" t="n">
        <v>-0.681934451803248</v>
      </c>
      <c r="W50" s="3" t="n">
        <v>-0.5702875047288043</v>
      </c>
      <c r="X50" s="3" t="n">
        <v>-1.356243993373627</v>
      </c>
      <c r="Y50" s="3" t="n">
        <v>-0.7878549098968506</v>
      </c>
      <c r="Z50" s="3" t="n">
        <v>-1.408805674694954</v>
      </c>
      <c r="AA50" s="3" t="n">
        <v>-1.408805674694954</v>
      </c>
      <c r="AB50" s="3" t="n">
        <v>-1.356243993373627</v>
      </c>
      <c r="AC50" s="3" t="n">
        <v>-2.123991362592007</v>
      </c>
      <c r="AD50" s="3" t="n">
        <v>-0.8883962808771336</v>
      </c>
      <c r="AE50" s="3" t="n">
        <v>-0.8883962808771336</v>
      </c>
    </row>
    <row r="51">
      <c r="A51" s="3" t="inlineStr">
        <is>
          <t>AND.distn.dec.ove.mean.4</t>
        </is>
      </c>
      <c r="B51" s="3" t="inlineStr">
        <is>
          <t>AND</t>
        </is>
      </c>
      <c r="C51" s="3" t="n">
        <v>2005</v>
      </c>
      <c r="D51" s="3" t="inlineStr">
        <is>
          <t>Overall</t>
        </is>
      </c>
      <c r="E51" s="3" t="inlineStr">
        <is>
          <t>Deciles</t>
        </is>
      </c>
      <c r="F51" s="3" t="inlineStr">
        <is>
          <t>mean</t>
        </is>
      </c>
      <c r="G51" s="3" t="n">
        <v>4</v>
      </c>
      <c r="H51" s="3" t="n">
        <v>-0.7816170251115839</v>
      </c>
      <c r="I51" s="3" t="n">
        <v>-0.7816170251115839</v>
      </c>
      <c r="J51" s="3" t="n">
        <v>-0.8454680810583398</v>
      </c>
      <c r="K51" s="3" t="n">
        <v>-0.8454680810583398</v>
      </c>
      <c r="L51" s="3" t="n">
        <v>-0.7816170251115839</v>
      </c>
      <c r="M51" s="3" t="n">
        <v>-0.7816170251115839</v>
      </c>
      <c r="N51" s="3" t="n">
        <v>-0.7816170251115839</v>
      </c>
      <c r="O51" s="3" t="n">
        <v>-0.7816170251115839</v>
      </c>
      <c r="P51" s="3" t="n">
        <v>-0.7816170251115839</v>
      </c>
      <c r="Q51" s="3" t="n">
        <v>-0.7816170251115839</v>
      </c>
      <c r="R51" s="3" t="n">
        <v>-0.7697659489956308</v>
      </c>
      <c r="S51" s="3" t="n">
        <v>-0.9595531871978272</v>
      </c>
      <c r="T51" s="3" t="n">
        <v>-0.7081063859006191</v>
      </c>
      <c r="U51" s="3" t="n">
        <v>-0.8454680810583398</v>
      </c>
      <c r="V51" s="3" t="n">
        <v>-0.6750000017754575</v>
      </c>
      <c r="W51" s="3" t="n">
        <v>-0.4799574455048176</v>
      </c>
      <c r="X51" s="3" t="n">
        <v>-0.9571489362006492</v>
      </c>
      <c r="Y51" s="3" t="n">
        <v>-0.7816170251115839</v>
      </c>
      <c r="Z51" s="3" t="n">
        <v>-0.9595531871978272</v>
      </c>
      <c r="AA51" s="3" t="n">
        <v>-0.9595531871978272</v>
      </c>
      <c r="AB51" s="3" t="n">
        <v>-0.9571489362006492</v>
      </c>
      <c r="AC51" s="3" t="n">
        <v>-1.025723396463597</v>
      </c>
      <c r="AD51" s="3" t="n">
        <v>-0.8454680810583398</v>
      </c>
      <c r="AE51" s="3" t="n">
        <v>-0.8454680810583398</v>
      </c>
    </row>
    <row r="52">
      <c r="A52" s="3" t="inlineStr">
        <is>
          <t>AND.distn.dec.ove.mean.5</t>
        </is>
      </c>
      <c r="B52" s="3" t="inlineStr">
        <is>
          <t>AND</t>
        </is>
      </c>
      <c r="C52" s="3" t="n">
        <v>2005</v>
      </c>
      <c r="D52" s="3" t="inlineStr">
        <is>
          <t>Overall</t>
        </is>
      </c>
      <c r="E52" s="3" t="inlineStr">
        <is>
          <t>Deciles</t>
        </is>
      </c>
      <c r="F52" s="3" t="inlineStr">
        <is>
          <t>mean</t>
        </is>
      </c>
      <c r="G52" s="3" t="n">
        <v>5</v>
      </c>
      <c r="H52" s="3" t="n">
        <v>-0.7816170251115839</v>
      </c>
      <c r="I52" s="3" t="n">
        <v>-0.7816170251115839</v>
      </c>
      <c r="J52" s="3" t="n">
        <v>-0.8454680810583398</v>
      </c>
      <c r="K52" s="3" t="n">
        <v>-0.8454680810583398</v>
      </c>
      <c r="L52" s="3" t="n">
        <v>-0.7816170251115839</v>
      </c>
      <c r="M52" s="3" t="n">
        <v>-0.7816170251115839</v>
      </c>
      <c r="N52" s="3" t="n">
        <v>-0.7816170251115839</v>
      </c>
      <c r="O52" s="3" t="n">
        <v>-0.7816170251115839</v>
      </c>
      <c r="P52" s="3" t="n">
        <v>-0.7816170251115839</v>
      </c>
      <c r="Q52" s="3" t="n">
        <v>-0.7816170251115839</v>
      </c>
      <c r="R52" s="3" t="n">
        <v>-0.7697659489956308</v>
      </c>
      <c r="S52" s="3" t="n">
        <v>-0.9595531871978272</v>
      </c>
      <c r="T52" s="3" t="n">
        <v>-0.7081063859006191</v>
      </c>
      <c r="U52" s="3" t="n">
        <v>-0.8454680810583398</v>
      </c>
      <c r="V52" s="3" t="n">
        <v>-0.6750000017754575</v>
      </c>
      <c r="W52" s="3" t="n">
        <v>-0.4799574455048176</v>
      </c>
      <c r="X52" s="3" t="n">
        <v>-0.9571489362006492</v>
      </c>
      <c r="Y52" s="3" t="n">
        <v>-0.7816170251115839</v>
      </c>
      <c r="Z52" s="3" t="n">
        <v>-0.9595531871978272</v>
      </c>
      <c r="AA52" s="3" t="n">
        <v>-0.9595531871978272</v>
      </c>
      <c r="AB52" s="3" t="n">
        <v>-0.9571489362006492</v>
      </c>
      <c r="AC52" s="3" t="n">
        <v>-1.025723396463597</v>
      </c>
      <c r="AD52" s="3" t="n">
        <v>-0.8454680810583398</v>
      </c>
      <c r="AE52" s="3" t="n">
        <v>-0.8454680810583398</v>
      </c>
    </row>
    <row r="53">
      <c r="A53" s="3" t="inlineStr">
        <is>
          <t>AND.distn.dec.ove.mean.6</t>
        </is>
      </c>
      <c r="B53" s="3" t="inlineStr">
        <is>
          <t>AND</t>
        </is>
      </c>
      <c r="C53" s="3" t="n">
        <v>2005</v>
      </c>
      <c r="D53" s="3" t="inlineStr">
        <is>
          <t>Overall</t>
        </is>
      </c>
      <c r="E53" s="3" t="inlineStr">
        <is>
          <t>Deciles</t>
        </is>
      </c>
      <c r="F53" s="3" t="inlineStr">
        <is>
          <t>mean</t>
        </is>
      </c>
      <c r="G53" s="3" t="n">
        <v>6</v>
      </c>
      <c r="H53" s="3" t="n">
        <v>-0.7816170251115839</v>
      </c>
      <c r="I53" s="3" t="n">
        <v>-0.7816170251115839</v>
      </c>
      <c r="J53" s="3" t="n">
        <v>-0.8454680810583398</v>
      </c>
      <c r="K53" s="3" t="n">
        <v>-0.8454680810583398</v>
      </c>
      <c r="L53" s="3" t="n">
        <v>-0.7816170251115839</v>
      </c>
      <c r="M53" s="3" t="n">
        <v>-0.7816170251115839</v>
      </c>
      <c r="N53" s="3" t="n">
        <v>-0.7816170251115839</v>
      </c>
      <c r="O53" s="3" t="n">
        <v>-0.7816170251115839</v>
      </c>
      <c r="P53" s="3" t="n">
        <v>-0.7816170251115839</v>
      </c>
      <c r="Q53" s="3" t="n">
        <v>-0.7816170251115839</v>
      </c>
      <c r="R53" s="3" t="n">
        <v>-0.7697659489956308</v>
      </c>
      <c r="S53" s="3" t="n">
        <v>-0.9595531871978272</v>
      </c>
      <c r="T53" s="3" t="n">
        <v>-0.7081063859006191</v>
      </c>
      <c r="U53" s="3" t="n">
        <v>-0.8454680810583398</v>
      </c>
      <c r="V53" s="3" t="n">
        <v>-0.6750000017754575</v>
      </c>
      <c r="W53" s="3" t="n">
        <v>-0.4799574455048176</v>
      </c>
      <c r="X53" s="3" t="n">
        <v>-0.9571489362006492</v>
      </c>
      <c r="Y53" s="3" t="n">
        <v>-0.7816170251115839</v>
      </c>
      <c r="Z53" s="3" t="n">
        <v>-0.9595531871978272</v>
      </c>
      <c r="AA53" s="3" t="n">
        <v>-0.9595531871978272</v>
      </c>
      <c r="AB53" s="3" t="n">
        <v>-0.9571489362006492</v>
      </c>
      <c r="AC53" s="3" t="n">
        <v>-1.025723396463597</v>
      </c>
      <c r="AD53" s="3" t="n">
        <v>-0.8454680810583398</v>
      </c>
      <c r="AE53" s="3" t="n">
        <v>-0.8454680810583398</v>
      </c>
    </row>
    <row r="54">
      <c r="A54" s="3" t="inlineStr">
        <is>
          <t>AND.distn.dec.ove.mean.7</t>
        </is>
      </c>
      <c r="B54" s="3" t="inlineStr">
        <is>
          <t>AND</t>
        </is>
      </c>
      <c r="C54" s="3" t="n">
        <v>2005</v>
      </c>
      <c r="D54" s="3" t="inlineStr">
        <is>
          <t>Overall</t>
        </is>
      </c>
      <c r="E54" s="3" t="inlineStr">
        <is>
          <t>Deciles</t>
        </is>
      </c>
      <c r="F54" s="3" t="inlineStr">
        <is>
          <t>mean</t>
        </is>
      </c>
      <c r="G54" s="3" t="n">
        <v>7</v>
      </c>
      <c r="H54" s="3" t="n">
        <v>-0.7816170251115839</v>
      </c>
      <c r="I54" s="3" t="n">
        <v>-0.7816170251115839</v>
      </c>
      <c r="J54" s="3" t="n">
        <v>-0.8454680810583398</v>
      </c>
      <c r="K54" s="3" t="n">
        <v>-0.8454680810583398</v>
      </c>
      <c r="L54" s="3" t="n">
        <v>-0.7816170251115839</v>
      </c>
      <c r="M54" s="3" t="n">
        <v>-0.7816170251115839</v>
      </c>
      <c r="N54" s="3" t="n">
        <v>-0.7816170251115839</v>
      </c>
      <c r="O54" s="3" t="n">
        <v>-0.7816170251115839</v>
      </c>
      <c r="P54" s="3" t="n">
        <v>-0.7816170251115839</v>
      </c>
      <c r="Q54" s="3" t="n">
        <v>-0.7816170251115839</v>
      </c>
      <c r="R54" s="3" t="n">
        <v>-0.7697659489956308</v>
      </c>
      <c r="S54" s="3" t="n">
        <v>-0.9595531871978272</v>
      </c>
      <c r="T54" s="3" t="n">
        <v>-0.7081063859006191</v>
      </c>
      <c r="U54" s="3" t="n">
        <v>-0.8454680810583398</v>
      </c>
      <c r="V54" s="3" t="n">
        <v>-0.6750000017754575</v>
      </c>
      <c r="W54" s="3" t="n">
        <v>-0.4799574455048176</v>
      </c>
      <c r="X54" s="3" t="n">
        <v>-0.9571489362006492</v>
      </c>
      <c r="Y54" s="3" t="n">
        <v>-0.7816170251115839</v>
      </c>
      <c r="Z54" s="3" t="n">
        <v>-0.9595531871978272</v>
      </c>
      <c r="AA54" s="3" t="n">
        <v>-0.9595531871978272</v>
      </c>
      <c r="AB54" s="3" t="n">
        <v>-0.9571489362006492</v>
      </c>
      <c r="AC54" s="3" t="n">
        <v>-1.025723396463597</v>
      </c>
      <c r="AD54" s="3" t="n">
        <v>-0.8454680810583398</v>
      </c>
      <c r="AE54" s="3" t="n">
        <v>-0.8454680810583398</v>
      </c>
    </row>
    <row r="55">
      <c r="A55" s="3" t="inlineStr">
        <is>
          <t>AND.distn.dec.ove.mean.8</t>
        </is>
      </c>
      <c r="B55" s="3" t="inlineStr">
        <is>
          <t>AND</t>
        </is>
      </c>
      <c r="C55" s="3" t="n">
        <v>2005</v>
      </c>
      <c r="D55" s="3" t="inlineStr">
        <is>
          <t>Overall</t>
        </is>
      </c>
      <c r="E55" s="3" t="inlineStr">
        <is>
          <t>Deciles</t>
        </is>
      </c>
      <c r="F55" s="3" t="inlineStr">
        <is>
          <t>mean</t>
        </is>
      </c>
      <c r="G55" s="3" t="n">
        <v>8</v>
      </c>
      <c r="H55" s="3" t="n">
        <v>-0.7819935831617801</v>
      </c>
      <c r="I55" s="3" t="n">
        <v>-0.7819935831617801</v>
      </c>
      <c r="J55" s="3" t="n">
        <v>-0.8477488045996808</v>
      </c>
      <c r="K55" s="3" t="n">
        <v>-0.8477488045996808</v>
      </c>
      <c r="L55" s="3" t="n">
        <v>-0.7819935831617801</v>
      </c>
      <c r="M55" s="3" t="n">
        <v>-0.7819935831617801</v>
      </c>
      <c r="N55" s="3" t="n">
        <v>-0.7819935831617801</v>
      </c>
      <c r="O55" s="3" t="n">
        <v>-0.7819935831617801</v>
      </c>
      <c r="P55" s="3" t="n">
        <v>-0.7819935831617801</v>
      </c>
      <c r="Q55" s="3" t="n">
        <v>-0.7819935831617801</v>
      </c>
      <c r="R55" s="3" t="n">
        <v>-0.7700191178220384</v>
      </c>
      <c r="S55" s="3" t="n">
        <v>-0.9684819490351575</v>
      </c>
      <c r="T55" s="3" t="n">
        <v>-0.70814722142321</v>
      </c>
      <c r="U55" s="3" t="n">
        <v>-0.8477488045996808</v>
      </c>
      <c r="V55" s="3" t="n">
        <v>-0.6756977857427394</v>
      </c>
      <c r="W55" s="3" t="n">
        <v>-0.4928101326556916</v>
      </c>
      <c r="X55" s="3" t="n">
        <v>-0.9658704755154062</v>
      </c>
      <c r="Y55" s="3" t="n">
        <v>-0.7819935831617801</v>
      </c>
      <c r="Z55" s="3" t="n">
        <v>-0.9684819490351575</v>
      </c>
      <c r="AA55" s="3" t="n">
        <v>-0.9684819490351575</v>
      </c>
      <c r="AB55" s="3" t="n">
        <v>-0.9658704755154062</v>
      </c>
      <c r="AC55" s="3" t="n">
        <v>-1.04035159628442</v>
      </c>
      <c r="AD55" s="3" t="n">
        <v>-0.8477488045996808</v>
      </c>
      <c r="AE55" s="3" t="n">
        <v>-0.8477488045996808</v>
      </c>
    </row>
    <row r="56">
      <c r="A56" s="3" t="inlineStr">
        <is>
          <t>AND.distn.dec.ove.mean.9</t>
        </is>
      </c>
      <c r="B56" s="3" t="inlineStr">
        <is>
          <t>AND</t>
        </is>
      </c>
      <c r="C56" s="3" t="n">
        <v>2005</v>
      </c>
      <c r="D56" s="3" t="inlineStr">
        <is>
          <t>Overall</t>
        </is>
      </c>
      <c r="E56" s="3" t="inlineStr">
        <is>
          <t>Deciles</t>
        </is>
      </c>
      <c r="F56" s="3" t="inlineStr">
        <is>
          <t>mean</t>
        </is>
      </c>
      <c r="G56" s="3" t="n">
        <v>9</v>
      </c>
      <c r="H56" s="3" t="n">
        <v>-0.7819935831617801</v>
      </c>
      <c r="I56" s="3" t="n">
        <v>-0.7819935831617801</v>
      </c>
      <c r="J56" s="3" t="n">
        <v>-0.8477488045996808</v>
      </c>
      <c r="K56" s="3" t="n">
        <v>-0.8477488045996808</v>
      </c>
      <c r="L56" s="3" t="n">
        <v>-0.7819935831617801</v>
      </c>
      <c r="M56" s="3" t="n">
        <v>-0.7819935831617801</v>
      </c>
      <c r="N56" s="3" t="n">
        <v>-0.7819935831617801</v>
      </c>
      <c r="O56" s="3" t="n">
        <v>-0.7819935831617801</v>
      </c>
      <c r="P56" s="3" t="n">
        <v>-0.7819935831617801</v>
      </c>
      <c r="Q56" s="3" t="n">
        <v>-0.7819935831617801</v>
      </c>
      <c r="R56" s="3" t="n">
        <v>-0.7700191178220384</v>
      </c>
      <c r="S56" s="3" t="n">
        <v>-0.9684819490351575</v>
      </c>
      <c r="T56" s="3" t="n">
        <v>-0.70814722142321</v>
      </c>
      <c r="U56" s="3" t="n">
        <v>-0.8477488045996808</v>
      </c>
      <c r="V56" s="3" t="n">
        <v>-0.6756977857427394</v>
      </c>
      <c r="W56" s="3" t="n">
        <v>-0.4928101326556916</v>
      </c>
      <c r="X56" s="3" t="n">
        <v>-0.9658704755154062</v>
      </c>
      <c r="Y56" s="3" t="n">
        <v>-0.7819935831617801</v>
      </c>
      <c r="Z56" s="3" t="n">
        <v>-0.9684819490351575</v>
      </c>
      <c r="AA56" s="3" t="n">
        <v>-0.9684819490351575</v>
      </c>
      <c r="AB56" s="3" t="n">
        <v>-0.9658704755154062</v>
      </c>
      <c r="AC56" s="3" t="n">
        <v>-1.04035159628442</v>
      </c>
      <c r="AD56" s="3" t="n">
        <v>-0.8477488045996808</v>
      </c>
      <c r="AE56" s="3" t="n">
        <v>-0.8477488045996808</v>
      </c>
    </row>
    <row r="57">
      <c r="A57" s="3" t="inlineStr">
        <is>
          <t>AND.distn.dec.ove.mean.10</t>
        </is>
      </c>
      <c r="B57" s="3" t="inlineStr">
        <is>
          <t>AND</t>
        </is>
      </c>
      <c r="C57" s="3" t="n">
        <v>2005</v>
      </c>
      <c r="D57" s="3" t="inlineStr">
        <is>
          <t>Overall</t>
        </is>
      </c>
      <c r="E57" s="3" t="inlineStr">
        <is>
          <t>Deciles</t>
        </is>
      </c>
      <c r="F57" s="3" t="inlineStr">
        <is>
          <t>mean</t>
        </is>
      </c>
      <c r="G57" s="3" t="n">
        <v>10</v>
      </c>
      <c r="H57" s="3" t="n">
        <v>-0.7819935831617801</v>
      </c>
      <c r="I57" s="3" t="n">
        <v>-0.7819935831617801</v>
      </c>
      <c r="J57" s="3" t="n">
        <v>-0.8477488045996808</v>
      </c>
      <c r="K57" s="3" t="n">
        <v>-0.8477488045996808</v>
      </c>
      <c r="L57" s="3" t="n">
        <v>-0.7819935831617801</v>
      </c>
      <c r="M57" s="3" t="n">
        <v>-0.7819935831617801</v>
      </c>
      <c r="N57" s="3" t="n">
        <v>-0.7819935831617801</v>
      </c>
      <c r="O57" s="3" t="n">
        <v>-0.7819935831617801</v>
      </c>
      <c r="P57" s="3" t="n">
        <v>-0.7819935831617801</v>
      </c>
      <c r="Q57" s="3" t="n">
        <v>-0.7819935831617801</v>
      </c>
      <c r="R57" s="3" t="n">
        <v>-0.7700191178220384</v>
      </c>
      <c r="S57" s="3" t="n">
        <v>-0.9684819490351575</v>
      </c>
      <c r="T57" s="3" t="n">
        <v>-0.70814722142321</v>
      </c>
      <c r="U57" s="3" t="n">
        <v>-0.8477488045996808</v>
      </c>
      <c r="V57" s="3" t="n">
        <v>-0.6756977857427394</v>
      </c>
      <c r="W57" s="3" t="n">
        <v>-0.4928101326556916</v>
      </c>
      <c r="X57" s="3" t="n">
        <v>-0.9658704755154062</v>
      </c>
      <c r="Y57" s="3" t="n">
        <v>-0.7819935831617801</v>
      </c>
      <c r="Z57" s="3" t="n">
        <v>-0.9684819490351575</v>
      </c>
      <c r="AA57" s="3" t="n">
        <v>-0.9684819490351575</v>
      </c>
      <c r="AB57" s="3" t="n">
        <v>-0.9658704755154062</v>
      </c>
      <c r="AC57" s="3" t="n">
        <v>-1.04035159628442</v>
      </c>
      <c r="AD57" s="3" t="n">
        <v>-0.8477488045996808</v>
      </c>
      <c r="AE57" s="3" t="n">
        <v>-0.8477488045996808</v>
      </c>
    </row>
    <row r="58">
      <c r="A58" s="3" t="inlineStr">
        <is>
          <t>AND.distn.bkt.ove.mean.9999</t>
        </is>
      </c>
      <c r="B58" s="3" t="inlineStr">
        <is>
          <t>AND</t>
        </is>
      </c>
      <c r="C58" s="3" t="n">
        <v>2005</v>
      </c>
      <c r="D58" s="3" t="inlineStr">
        <is>
          <t>Overall</t>
        </is>
      </c>
      <c r="E58" s="3" t="inlineStr">
        <is>
          <t>Basket</t>
        </is>
      </c>
      <c r="F58" s="3" t="inlineStr">
        <is>
          <t>mean</t>
        </is>
      </c>
      <c r="G58" s="3" t="n">
        <v>9999</v>
      </c>
      <c r="H58" s="3" t="n">
        <v>-0.7836013613863194</v>
      </c>
      <c r="I58" s="3" t="n">
        <v>-0.7836013613863194</v>
      </c>
      <c r="J58" s="3" t="n">
        <v>-0.8590307616172953</v>
      </c>
      <c r="K58" s="3" t="n">
        <v>-0.8590307616172953</v>
      </c>
      <c r="L58" s="3" t="n">
        <v>-0.7836013613863194</v>
      </c>
      <c r="M58" s="3" t="n">
        <v>-0.7836013613863194</v>
      </c>
      <c r="N58" s="3" t="n">
        <v>-0.7836013613863194</v>
      </c>
      <c r="O58" s="3" t="n">
        <v>-0.7836013613863194</v>
      </c>
      <c r="P58" s="3" t="n">
        <v>-0.7836013613863194</v>
      </c>
      <c r="Q58" s="3" t="n">
        <v>-0.7836013613863194</v>
      </c>
      <c r="R58" s="3" t="n">
        <v>-0.7708828220976159</v>
      </c>
      <c r="S58" s="3" t="n">
        <v>-1.097007578991829</v>
      </c>
      <c r="T58" s="3" t="n">
        <v>-0.7085544974245923</v>
      </c>
      <c r="U58" s="3" t="n">
        <v>-0.8590307616172953</v>
      </c>
      <c r="V58" s="3" t="n">
        <v>-0.6772896647453308</v>
      </c>
      <c r="W58" s="3" t="n">
        <v>-0.5109122699879586</v>
      </c>
      <c r="X58" s="3" t="n">
        <v>-1.079493910708326</v>
      </c>
      <c r="Y58" s="3" t="n">
        <v>-0.7836013613863194</v>
      </c>
      <c r="Z58" s="3" t="n">
        <v>-1.097007578991829</v>
      </c>
      <c r="AA58" s="3" t="n">
        <v>-1.097007578991829</v>
      </c>
      <c r="AB58" s="3" t="n">
        <v>-1.079493910708326</v>
      </c>
      <c r="AC58" s="3" t="n">
        <v>-1.359592239907447</v>
      </c>
      <c r="AD58" s="3" t="n">
        <v>-0.8590307616172953</v>
      </c>
      <c r="AE58" s="3" t="n">
        <v>-0.8590307616172953</v>
      </c>
    </row>
    <row r="59">
      <c r="A59" s="3" t="inlineStr">
        <is>
          <t>ARE.distn.dec.ove.mean.1</t>
        </is>
      </c>
      <c r="B59" s="3" t="inlineStr">
        <is>
          <t>ARE</t>
        </is>
      </c>
      <c r="C59" s="3" t="n">
        <v>2005</v>
      </c>
      <c r="D59" s="3" t="inlineStr">
        <is>
          <t>Overall</t>
        </is>
      </c>
      <c r="E59" s="3" t="inlineStr">
        <is>
          <t>Deciles</t>
        </is>
      </c>
      <c r="F59" s="3" t="inlineStr">
        <is>
          <t>mean</t>
        </is>
      </c>
      <c r="G59" s="3" t="n">
        <v>1</v>
      </c>
      <c r="H59" s="3" t="n">
        <v>-0.7878549098968506</v>
      </c>
      <c r="I59" s="3" t="n">
        <v>-0.7878549098968506</v>
      </c>
      <c r="J59" s="3" t="n">
        <v>-0.8883962808771336</v>
      </c>
      <c r="K59" s="3" t="n">
        <v>-0.8883962808771336</v>
      </c>
      <c r="L59" s="3" t="n">
        <v>-0.7878549098968506</v>
      </c>
      <c r="M59" s="3" t="n">
        <v>-0.7878549098968506</v>
      </c>
      <c r="N59" s="3" t="n">
        <v>-0.7878549098968506</v>
      </c>
      <c r="O59" s="3" t="n">
        <v>-0.7878549098968506</v>
      </c>
      <c r="P59" s="3" t="n">
        <v>-0.7878549098968506</v>
      </c>
      <c r="Q59" s="3" t="n">
        <v>-0.7878549098968506</v>
      </c>
      <c r="R59" s="3" t="n">
        <v>-0.7732356596500316</v>
      </c>
      <c r="S59" s="3" t="n">
        <v>-1.408805674694954</v>
      </c>
      <c r="T59" s="3" t="n">
        <v>-0.7095591730259835</v>
      </c>
      <c r="U59" s="3" t="n">
        <v>-0.8883962808771336</v>
      </c>
      <c r="V59" s="3" t="n">
        <v>-0.681934451803248</v>
      </c>
      <c r="W59" s="3" t="n">
        <v>-0.5702875047288043</v>
      </c>
      <c r="X59" s="3" t="n">
        <v>-1.356243993373627</v>
      </c>
      <c r="Y59" s="3" t="n">
        <v>-0.7878549098968506</v>
      </c>
      <c r="Z59" s="3" t="n">
        <v>-1.408805674694954</v>
      </c>
      <c r="AA59" s="3" t="n">
        <v>-1.408805674694954</v>
      </c>
      <c r="AB59" s="3" t="n">
        <v>-1.356243993373627</v>
      </c>
      <c r="AC59" s="3" t="n">
        <v>-2.123991362592007</v>
      </c>
      <c r="AD59" s="3" t="n">
        <v>-0.8883962808771336</v>
      </c>
      <c r="AE59" s="3" t="n">
        <v>-0.8883962808771336</v>
      </c>
    </row>
    <row r="60">
      <c r="A60" s="3" t="inlineStr">
        <is>
          <t>ARE.distn.dec.ove.mean.2</t>
        </is>
      </c>
      <c r="B60" s="3" t="inlineStr">
        <is>
          <t>ARE</t>
        </is>
      </c>
      <c r="C60" s="3" t="n">
        <v>2005</v>
      </c>
      <c r="D60" s="3" t="inlineStr">
        <is>
          <t>Overall</t>
        </is>
      </c>
      <c r="E60" s="3" t="inlineStr">
        <is>
          <t>Deciles</t>
        </is>
      </c>
      <c r="F60" s="3" t="inlineStr">
        <is>
          <t>mean</t>
        </is>
      </c>
      <c r="G60" s="3" t="n">
        <v>2</v>
      </c>
      <c r="H60" s="3" t="n">
        <v>-0.7878549098968506</v>
      </c>
      <c r="I60" s="3" t="n">
        <v>-0.7878549098968506</v>
      </c>
      <c r="J60" s="3" t="n">
        <v>-0.8883962808771336</v>
      </c>
      <c r="K60" s="3" t="n">
        <v>-0.8883962808771336</v>
      </c>
      <c r="L60" s="3" t="n">
        <v>-0.7878549098968506</v>
      </c>
      <c r="M60" s="3" t="n">
        <v>-0.7878549098968506</v>
      </c>
      <c r="N60" s="3" t="n">
        <v>-0.7878549098968506</v>
      </c>
      <c r="O60" s="3" t="n">
        <v>-0.7878549098968506</v>
      </c>
      <c r="P60" s="3" t="n">
        <v>-0.7878549098968506</v>
      </c>
      <c r="Q60" s="3" t="n">
        <v>-0.7878549098968506</v>
      </c>
      <c r="R60" s="3" t="n">
        <v>-0.7732356596500316</v>
      </c>
      <c r="S60" s="3" t="n">
        <v>-1.408805674694954</v>
      </c>
      <c r="T60" s="3" t="n">
        <v>-0.7095591730259835</v>
      </c>
      <c r="U60" s="3" t="n">
        <v>-0.8883962808771336</v>
      </c>
      <c r="V60" s="3" t="n">
        <v>-0.681934451803248</v>
      </c>
      <c r="W60" s="3" t="n">
        <v>-0.5702875047288043</v>
      </c>
      <c r="X60" s="3" t="n">
        <v>-1.356243993373627</v>
      </c>
      <c r="Y60" s="3" t="n">
        <v>-0.7878549098968506</v>
      </c>
      <c r="Z60" s="3" t="n">
        <v>-1.408805674694954</v>
      </c>
      <c r="AA60" s="3" t="n">
        <v>-1.408805674694954</v>
      </c>
      <c r="AB60" s="3" t="n">
        <v>-1.356243993373627</v>
      </c>
      <c r="AC60" s="3" t="n">
        <v>-2.123991362592007</v>
      </c>
      <c r="AD60" s="3" t="n">
        <v>-0.8883962808771336</v>
      </c>
      <c r="AE60" s="3" t="n">
        <v>-0.8883962808771336</v>
      </c>
    </row>
    <row r="61">
      <c r="A61" s="3" t="inlineStr">
        <is>
          <t>ARE.distn.dec.ove.mean.3</t>
        </is>
      </c>
      <c r="B61" s="3" t="inlineStr">
        <is>
          <t>ARE</t>
        </is>
      </c>
      <c r="C61" s="3" t="n">
        <v>2005</v>
      </c>
      <c r="D61" s="3" t="inlineStr">
        <is>
          <t>Overall</t>
        </is>
      </c>
      <c r="E61" s="3" t="inlineStr">
        <is>
          <t>Deciles</t>
        </is>
      </c>
      <c r="F61" s="3" t="inlineStr">
        <is>
          <t>mean</t>
        </is>
      </c>
      <c r="G61" s="3" t="n">
        <v>3</v>
      </c>
      <c r="H61" s="3" t="n">
        <v>-0.7878549098968506</v>
      </c>
      <c r="I61" s="3" t="n">
        <v>-0.7878549098968506</v>
      </c>
      <c r="J61" s="3" t="n">
        <v>-0.8883962808771336</v>
      </c>
      <c r="K61" s="3" t="n">
        <v>-0.8883962808771336</v>
      </c>
      <c r="L61" s="3" t="n">
        <v>-0.7878549098968506</v>
      </c>
      <c r="M61" s="3" t="n">
        <v>-0.7878549098968506</v>
      </c>
      <c r="N61" s="3" t="n">
        <v>-0.7878549098968506</v>
      </c>
      <c r="O61" s="3" t="n">
        <v>-0.7878549098968506</v>
      </c>
      <c r="P61" s="3" t="n">
        <v>-0.7878549098968506</v>
      </c>
      <c r="Q61" s="3" t="n">
        <v>-0.7878549098968506</v>
      </c>
      <c r="R61" s="3" t="n">
        <v>-0.7732356596500316</v>
      </c>
      <c r="S61" s="3" t="n">
        <v>-1.408805674694954</v>
      </c>
      <c r="T61" s="3" t="n">
        <v>-0.7095591730259835</v>
      </c>
      <c r="U61" s="3" t="n">
        <v>-0.8883962808771336</v>
      </c>
      <c r="V61" s="3" t="n">
        <v>-0.681934451803248</v>
      </c>
      <c r="W61" s="3" t="n">
        <v>-0.5702875047288043</v>
      </c>
      <c r="X61" s="3" t="n">
        <v>-1.356243993373627</v>
      </c>
      <c r="Y61" s="3" t="n">
        <v>-0.7878549098968506</v>
      </c>
      <c r="Z61" s="3" t="n">
        <v>-1.408805674694954</v>
      </c>
      <c r="AA61" s="3" t="n">
        <v>-1.408805674694954</v>
      </c>
      <c r="AB61" s="3" t="n">
        <v>-1.356243993373627</v>
      </c>
      <c r="AC61" s="3" t="n">
        <v>-2.123991362592007</v>
      </c>
      <c r="AD61" s="3" t="n">
        <v>-0.8883962808771336</v>
      </c>
      <c r="AE61" s="3" t="n">
        <v>-0.8883962808771336</v>
      </c>
    </row>
    <row r="62">
      <c r="A62" s="3" t="inlineStr">
        <is>
          <t>ARE.distn.dec.ove.mean.4</t>
        </is>
      </c>
      <c r="B62" s="3" t="inlineStr">
        <is>
          <t>ARE</t>
        </is>
      </c>
      <c r="C62" s="3" t="n">
        <v>2005</v>
      </c>
      <c r="D62" s="3" t="inlineStr">
        <is>
          <t>Overall</t>
        </is>
      </c>
      <c r="E62" s="3" t="inlineStr">
        <is>
          <t>Deciles</t>
        </is>
      </c>
      <c r="F62" s="3" t="inlineStr">
        <is>
          <t>mean</t>
        </is>
      </c>
      <c r="G62" s="3" t="n">
        <v>4</v>
      </c>
      <c r="H62" s="3" t="n">
        <v>-0.7816170251115839</v>
      </c>
      <c r="I62" s="3" t="n">
        <v>-0.7816170251115839</v>
      </c>
      <c r="J62" s="3" t="n">
        <v>-0.8454680810583398</v>
      </c>
      <c r="K62" s="3" t="n">
        <v>-0.8454680810583398</v>
      </c>
      <c r="L62" s="3" t="n">
        <v>-0.7816170251115839</v>
      </c>
      <c r="M62" s="3" t="n">
        <v>-0.7816170251115839</v>
      </c>
      <c r="N62" s="3" t="n">
        <v>-0.7816170251115839</v>
      </c>
      <c r="O62" s="3" t="n">
        <v>-0.7816170251115839</v>
      </c>
      <c r="P62" s="3" t="n">
        <v>-0.7816170251115839</v>
      </c>
      <c r="Q62" s="3" t="n">
        <v>-0.7816170251115839</v>
      </c>
      <c r="R62" s="3" t="n">
        <v>-0.7697659489956308</v>
      </c>
      <c r="S62" s="3" t="n">
        <v>-0.9595531871978272</v>
      </c>
      <c r="T62" s="3" t="n">
        <v>-0.7081063859006191</v>
      </c>
      <c r="U62" s="3" t="n">
        <v>-0.8454680810583398</v>
      </c>
      <c r="V62" s="3" t="n">
        <v>-0.6750000017754575</v>
      </c>
      <c r="W62" s="3" t="n">
        <v>-0.4799574455048176</v>
      </c>
      <c r="X62" s="3" t="n">
        <v>-0.9571489362006492</v>
      </c>
      <c r="Y62" s="3" t="n">
        <v>-0.7816170251115839</v>
      </c>
      <c r="Z62" s="3" t="n">
        <v>-0.9595531871978272</v>
      </c>
      <c r="AA62" s="3" t="n">
        <v>-0.9595531871978272</v>
      </c>
      <c r="AB62" s="3" t="n">
        <v>-0.9571489362006492</v>
      </c>
      <c r="AC62" s="3" t="n">
        <v>-1.025723396463597</v>
      </c>
      <c r="AD62" s="3" t="n">
        <v>-0.8454680810583398</v>
      </c>
      <c r="AE62" s="3" t="n">
        <v>-0.8454680810583398</v>
      </c>
    </row>
    <row r="63">
      <c r="A63" s="3" t="inlineStr">
        <is>
          <t>ARE.distn.dec.ove.mean.5</t>
        </is>
      </c>
      <c r="B63" s="3" t="inlineStr">
        <is>
          <t>ARE</t>
        </is>
      </c>
      <c r="C63" s="3" t="n">
        <v>2005</v>
      </c>
      <c r="D63" s="3" t="inlineStr">
        <is>
          <t>Overall</t>
        </is>
      </c>
      <c r="E63" s="3" t="inlineStr">
        <is>
          <t>Deciles</t>
        </is>
      </c>
      <c r="F63" s="3" t="inlineStr">
        <is>
          <t>mean</t>
        </is>
      </c>
      <c r="G63" s="3" t="n">
        <v>5</v>
      </c>
      <c r="H63" s="3" t="n">
        <v>-0.7816170251115839</v>
      </c>
      <c r="I63" s="3" t="n">
        <v>-0.7816170251115839</v>
      </c>
      <c r="J63" s="3" t="n">
        <v>-0.8454680810583398</v>
      </c>
      <c r="K63" s="3" t="n">
        <v>-0.8454680810583398</v>
      </c>
      <c r="L63" s="3" t="n">
        <v>-0.7816170251115839</v>
      </c>
      <c r="M63" s="3" t="n">
        <v>-0.7816170251115839</v>
      </c>
      <c r="N63" s="3" t="n">
        <v>-0.7816170251115839</v>
      </c>
      <c r="O63" s="3" t="n">
        <v>-0.7816170251115839</v>
      </c>
      <c r="P63" s="3" t="n">
        <v>-0.7816170251115839</v>
      </c>
      <c r="Q63" s="3" t="n">
        <v>-0.7816170251115839</v>
      </c>
      <c r="R63" s="3" t="n">
        <v>-0.7697659489956308</v>
      </c>
      <c r="S63" s="3" t="n">
        <v>-0.9595531871978272</v>
      </c>
      <c r="T63" s="3" t="n">
        <v>-0.7081063859006191</v>
      </c>
      <c r="U63" s="3" t="n">
        <v>-0.8454680810583398</v>
      </c>
      <c r="V63" s="3" t="n">
        <v>-0.6750000017754575</v>
      </c>
      <c r="W63" s="3" t="n">
        <v>-0.4799574455048176</v>
      </c>
      <c r="X63" s="3" t="n">
        <v>-0.9571489362006492</v>
      </c>
      <c r="Y63" s="3" t="n">
        <v>-0.7816170251115839</v>
      </c>
      <c r="Z63" s="3" t="n">
        <v>-0.9595531871978272</v>
      </c>
      <c r="AA63" s="3" t="n">
        <v>-0.9595531871978272</v>
      </c>
      <c r="AB63" s="3" t="n">
        <v>-0.9571489362006492</v>
      </c>
      <c r="AC63" s="3" t="n">
        <v>-1.025723396463597</v>
      </c>
      <c r="AD63" s="3" t="n">
        <v>-0.8454680810583398</v>
      </c>
      <c r="AE63" s="3" t="n">
        <v>-0.8454680810583398</v>
      </c>
    </row>
    <row r="64">
      <c r="A64" s="3" t="inlineStr">
        <is>
          <t>ARE.distn.dec.ove.mean.6</t>
        </is>
      </c>
      <c r="B64" s="3" t="inlineStr">
        <is>
          <t>ARE</t>
        </is>
      </c>
      <c r="C64" s="3" t="n">
        <v>2005</v>
      </c>
      <c r="D64" s="3" t="inlineStr">
        <is>
          <t>Overall</t>
        </is>
      </c>
      <c r="E64" s="3" t="inlineStr">
        <is>
          <t>Deciles</t>
        </is>
      </c>
      <c r="F64" s="3" t="inlineStr">
        <is>
          <t>mean</t>
        </is>
      </c>
      <c r="G64" s="3" t="n">
        <v>6</v>
      </c>
      <c r="H64" s="3" t="n">
        <v>-0.7816170251115839</v>
      </c>
      <c r="I64" s="3" t="n">
        <v>-0.7816170251115839</v>
      </c>
      <c r="J64" s="3" t="n">
        <v>-0.8454680810583398</v>
      </c>
      <c r="K64" s="3" t="n">
        <v>-0.8454680810583398</v>
      </c>
      <c r="L64" s="3" t="n">
        <v>-0.7816170251115839</v>
      </c>
      <c r="M64" s="3" t="n">
        <v>-0.7816170251115839</v>
      </c>
      <c r="N64" s="3" t="n">
        <v>-0.7816170251115839</v>
      </c>
      <c r="O64" s="3" t="n">
        <v>-0.7816170251115839</v>
      </c>
      <c r="P64" s="3" t="n">
        <v>-0.7816170251115839</v>
      </c>
      <c r="Q64" s="3" t="n">
        <v>-0.7816170251115839</v>
      </c>
      <c r="R64" s="3" t="n">
        <v>-0.7697659489956308</v>
      </c>
      <c r="S64" s="3" t="n">
        <v>-0.9595531871978272</v>
      </c>
      <c r="T64" s="3" t="n">
        <v>-0.7081063859006191</v>
      </c>
      <c r="U64" s="3" t="n">
        <v>-0.8454680810583398</v>
      </c>
      <c r="V64" s="3" t="n">
        <v>-0.6750000017754575</v>
      </c>
      <c r="W64" s="3" t="n">
        <v>-0.4799574455048176</v>
      </c>
      <c r="X64" s="3" t="n">
        <v>-0.9571489362006492</v>
      </c>
      <c r="Y64" s="3" t="n">
        <v>-0.7816170251115839</v>
      </c>
      <c r="Z64" s="3" t="n">
        <v>-0.9595531871978272</v>
      </c>
      <c r="AA64" s="3" t="n">
        <v>-0.9595531871978272</v>
      </c>
      <c r="AB64" s="3" t="n">
        <v>-0.9571489362006492</v>
      </c>
      <c r="AC64" s="3" t="n">
        <v>-1.025723396463597</v>
      </c>
      <c r="AD64" s="3" t="n">
        <v>-0.8454680810583398</v>
      </c>
      <c r="AE64" s="3" t="n">
        <v>-0.8454680810583398</v>
      </c>
    </row>
    <row r="65">
      <c r="A65" s="3" t="inlineStr">
        <is>
          <t>ARE.distn.dec.ove.mean.7</t>
        </is>
      </c>
      <c r="B65" s="3" t="inlineStr">
        <is>
          <t>ARE</t>
        </is>
      </c>
      <c r="C65" s="3" t="n">
        <v>2005</v>
      </c>
      <c r="D65" s="3" t="inlineStr">
        <is>
          <t>Overall</t>
        </is>
      </c>
      <c r="E65" s="3" t="inlineStr">
        <is>
          <t>Deciles</t>
        </is>
      </c>
      <c r="F65" s="3" t="inlineStr">
        <is>
          <t>mean</t>
        </is>
      </c>
      <c r="G65" s="3" t="n">
        <v>7</v>
      </c>
      <c r="H65" s="3" t="n">
        <v>-0.7816170251115839</v>
      </c>
      <c r="I65" s="3" t="n">
        <v>-0.7816170251115839</v>
      </c>
      <c r="J65" s="3" t="n">
        <v>-0.8454680810583398</v>
      </c>
      <c r="K65" s="3" t="n">
        <v>-0.8454680810583398</v>
      </c>
      <c r="L65" s="3" t="n">
        <v>-0.7816170251115839</v>
      </c>
      <c r="M65" s="3" t="n">
        <v>-0.7816170251115839</v>
      </c>
      <c r="N65" s="3" t="n">
        <v>-0.7816170251115839</v>
      </c>
      <c r="O65" s="3" t="n">
        <v>-0.7816170251115839</v>
      </c>
      <c r="P65" s="3" t="n">
        <v>-0.7816170251115839</v>
      </c>
      <c r="Q65" s="3" t="n">
        <v>-0.7816170251115839</v>
      </c>
      <c r="R65" s="3" t="n">
        <v>-0.7697659489956308</v>
      </c>
      <c r="S65" s="3" t="n">
        <v>-0.9595531871978272</v>
      </c>
      <c r="T65" s="3" t="n">
        <v>-0.7081063859006191</v>
      </c>
      <c r="U65" s="3" t="n">
        <v>-0.8454680810583398</v>
      </c>
      <c r="V65" s="3" t="n">
        <v>-0.6750000017754575</v>
      </c>
      <c r="W65" s="3" t="n">
        <v>-0.4799574455048176</v>
      </c>
      <c r="X65" s="3" t="n">
        <v>-0.9571489362006492</v>
      </c>
      <c r="Y65" s="3" t="n">
        <v>-0.7816170251115839</v>
      </c>
      <c r="Z65" s="3" t="n">
        <v>-0.9595531871978272</v>
      </c>
      <c r="AA65" s="3" t="n">
        <v>-0.9595531871978272</v>
      </c>
      <c r="AB65" s="3" t="n">
        <v>-0.9571489362006492</v>
      </c>
      <c r="AC65" s="3" t="n">
        <v>-1.025723396463597</v>
      </c>
      <c r="AD65" s="3" t="n">
        <v>-0.8454680810583398</v>
      </c>
      <c r="AE65" s="3" t="n">
        <v>-0.8454680810583398</v>
      </c>
    </row>
    <row r="66">
      <c r="A66" s="3" t="inlineStr">
        <is>
          <t>ARE.distn.dec.ove.mean.8</t>
        </is>
      </c>
      <c r="B66" s="3" t="inlineStr">
        <is>
          <t>ARE</t>
        </is>
      </c>
      <c r="C66" s="3" t="n">
        <v>2005</v>
      </c>
      <c r="D66" s="3" t="inlineStr">
        <is>
          <t>Overall</t>
        </is>
      </c>
      <c r="E66" s="3" t="inlineStr">
        <is>
          <t>Deciles</t>
        </is>
      </c>
      <c r="F66" s="3" t="inlineStr">
        <is>
          <t>mean</t>
        </is>
      </c>
      <c r="G66" s="3" t="n">
        <v>8</v>
      </c>
      <c r="H66" s="3" t="n">
        <v>-0.7819935831617801</v>
      </c>
      <c r="I66" s="3" t="n">
        <v>-0.7819935831617801</v>
      </c>
      <c r="J66" s="3" t="n">
        <v>-0.8477488045996808</v>
      </c>
      <c r="K66" s="3" t="n">
        <v>-0.8477488045996808</v>
      </c>
      <c r="L66" s="3" t="n">
        <v>-0.7819935831617801</v>
      </c>
      <c r="M66" s="3" t="n">
        <v>-0.7819935831617801</v>
      </c>
      <c r="N66" s="3" t="n">
        <v>-0.7819935831617801</v>
      </c>
      <c r="O66" s="3" t="n">
        <v>-0.7819935831617801</v>
      </c>
      <c r="P66" s="3" t="n">
        <v>-0.7819935831617801</v>
      </c>
      <c r="Q66" s="3" t="n">
        <v>-0.7819935831617801</v>
      </c>
      <c r="R66" s="3" t="n">
        <v>-0.7700191178220384</v>
      </c>
      <c r="S66" s="3" t="n">
        <v>-0.9684819490351575</v>
      </c>
      <c r="T66" s="3" t="n">
        <v>-0.70814722142321</v>
      </c>
      <c r="U66" s="3" t="n">
        <v>-0.8477488045996808</v>
      </c>
      <c r="V66" s="3" t="n">
        <v>-0.6756977857427394</v>
      </c>
      <c r="W66" s="3" t="n">
        <v>-0.4928101326556916</v>
      </c>
      <c r="X66" s="3" t="n">
        <v>-0.9658704755154062</v>
      </c>
      <c r="Y66" s="3" t="n">
        <v>-0.7819935831617801</v>
      </c>
      <c r="Z66" s="3" t="n">
        <v>-0.9684819490351575</v>
      </c>
      <c r="AA66" s="3" t="n">
        <v>-0.9684819490351575</v>
      </c>
      <c r="AB66" s="3" t="n">
        <v>-0.9658704755154062</v>
      </c>
      <c r="AC66" s="3" t="n">
        <v>-1.04035159628442</v>
      </c>
      <c r="AD66" s="3" t="n">
        <v>-0.8477488045996808</v>
      </c>
      <c r="AE66" s="3" t="n">
        <v>-0.8477488045996808</v>
      </c>
    </row>
    <row r="67">
      <c r="A67" s="3" t="inlineStr">
        <is>
          <t>ARE.distn.dec.ove.mean.9</t>
        </is>
      </c>
      <c r="B67" s="3" t="inlineStr">
        <is>
          <t>ARE</t>
        </is>
      </c>
      <c r="C67" s="3" t="n">
        <v>2005</v>
      </c>
      <c r="D67" s="3" t="inlineStr">
        <is>
          <t>Overall</t>
        </is>
      </c>
      <c r="E67" s="3" t="inlineStr">
        <is>
          <t>Deciles</t>
        </is>
      </c>
      <c r="F67" s="3" t="inlineStr">
        <is>
          <t>mean</t>
        </is>
      </c>
      <c r="G67" s="3" t="n">
        <v>9</v>
      </c>
      <c r="H67" s="3" t="n">
        <v>-0.7819935831617801</v>
      </c>
      <c r="I67" s="3" t="n">
        <v>-0.7819935831617801</v>
      </c>
      <c r="J67" s="3" t="n">
        <v>-0.8477488045996808</v>
      </c>
      <c r="K67" s="3" t="n">
        <v>-0.8477488045996808</v>
      </c>
      <c r="L67" s="3" t="n">
        <v>-0.7819935831617801</v>
      </c>
      <c r="M67" s="3" t="n">
        <v>-0.7819935831617801</v>
      </c>
      <c r="N67" s="3" t="n">
        <v>-0.7819935831617801</v>
      </c>
      <c r="O67" s="3" t="n">
        <v>-0.7819935831617801</v>
      </c>
      <c r="P67" s="3" t="n">
        <v>-0.7819935831617801</v>
      </c>
      <c r="Q67" s="3" t="n">
        <v>-0.7819935831617801</v>
      </c>
      <c r="R67" s="3" t="n">
        <v>-0.7700191178220384</v>
      </c>
      <c r="S67" s="3" t="n">
        <v>-0.9684819490351575</v>
      </c>
      <c r="T67" s="3" t="n">
        <v>-0.70814722142321</v>
      </c>
      <c r="U67" s="3" t="n">
        <v>-0.8477488045996808</v>
      </c>
      <c r="V67" s="3" t="n">
        <v>-0.6756977857427394</v>
      </c>
      <c r="W67" s="3" t="n">
        <v>-0.4928101326556916</v>
      </c>
      <c r="X67" s="3" t="n">
        <v>-0.9658704755154062</v>
      </c>
      <c r="Y67" s="3" t="n">
        <v>-0.7819935831617801</v>
      </c>
      <c r="Z67" s="3" t="n">
        <v>-0.9684819490351575</v>
      </c>
      <c r="AA67" s="3" t="n">
        <v>-0.9684819490351575</v>
      </c>
      <c r="AB67" s="3" t="n">
        <v>-0.9658704755154062</v>
      </c>
      <c r="AC67" s="3" t="n">
        <v>-1.04035159628442</v>
      </c>
      <c r="AD67" s="3" t="n">
        <v>-0.8477488045996808</v>
      </c>
      <c r="AE67" s="3" t="n">
        <v>-0.8477488045996808</v>
      </c>
    </row>
    <row r="68">
      <c r="A68" s="3" t="inlineStr">
        <is>
          <t>ARE.distn.dec.ove.mean.10</t>
        </is>
      </c>
      <c r="B68" s="3" t="inlineStr">
        <is>
          <t>ARE</t>
        </is>
      </c>
      <c r="C68" s="3" t="n">
        <v>2005</v>
      </c>
      <c r="D68" s="3" t="inlineStr">
        <is>
          <t>Overall</t>
        </is>
      </c>
      <c r="E68" s="3" t="inlineStr">
        <is>
          <t>Deciles</t>
        </is>
      </c>
      <c r="F68" s="3" t="inlineStr">
        <is>
          <t>mean</t>
        </is>
      </c>
      <c r="G68" s="3" t="n">
        <v>10</v>
      </c>
      <c r="H68" s="3" t="n">
        <v>-0.7819935831617801</v>
      </c>
      <c r="I68" s="3" t="n">
        <v>-0.7819935831617801</v>
      </c>
      <c r="J68" s="3" t="n">
        <v>-0.8477488045996808</v>
      </c>
      <c r="K68" s="3" t="n">
        <v>-0.8477488045996808</v>
      </c>
      <c r="L68" s="3" t="n">
        <v>-0.7819935831617801</v>
      </c>
      <c r="M68" s="3" t="n">
        <v>-0.7819935831617801</v>
      </c>
      <c r="N68" s="3" t="n">
        <v>-0.7819935831617801</v>
      </c>
      <c r="O68" s="3" t="n">
        <v>-0.7819935831617801</v>
      </c>
      <c r="P68" s="3" t="n">
        <v>-0.7819935831617801</v>
      </c>
      <c r="Q68" s="3" t="n">
        <v>-0.7819935831617801</v>
      </c>
      <c r="R68" s="3" t="n">
        <v>-0.7700191178220384</v>
      </c>
      <c r="S68" s="3" t="n">
        <v>-0.9684819490351575</v>
      </c>
      <c r="T68" s="3" t="n">
        <v>-0.70814722142321</v>
      </c>
      <c r="U68" s="3" t="n">
        <v>-0.8477488045996808</v>
      </c>
      <c r="V68" s="3" t="n">
        <v>-0.6756977857427394</v>
      </c>
      <c r="W68" s="3" t="n">
        <v>-0.4928101326556916</v>
      </c>
      <c r="X68" s="3" t="n">
        <v>-0.9658704755154062</v>
      </c>
      <c r="Y68" s="3" t="n">
        <v>-0.7819935831617801</v>
      </c>
      <c r="Z68" s="3" t="n">
        <v>-0.9684819490351575</v>
      </c>
      <c r="AA68" s="3" t="n">
        <v>-0.9684819490351575</v>
      </c>
      <c r="AB68" s="3" t="n">
        <v>-0.9658704755154062</v>
      </c>
      <c r="AC68" s="3" t="n">
        <v>-1.04035159628442</v>
      </c>
      <c r="AD68" s="3" t="n">
        <v>-0.8477488045996808</v>
      </c>
      <c r="AE68" s="3" t="n">
        <v>-0.8477488045996808</v>
      </c>
    </row>
    <row r="69">
      <c r="A69" s="3" t="inlineStr">
        <is>
          <t>ARE.distn.bkt.ove.mean.9999</t>
        </is>
      </c>
      <c r="B69" s="3" t="inlineStr">
        <is>
          <t>ARE</t>
        </is>
      </c>
      <c r="C69" s="3" t="n">
        <v>2005</v>
      </c>
      <c r="D69" s="3" t="inlineStr">
        <is>
          <t>Overall</t>
        </is>
      </c>
      <c r="E69" s="3" t="inlineStr">
        <is>
          <t>Basket</t>
        </is>
      </c>
      <c r="F69" s="3" t="inlineStr">
        <is>
          <t>mean</t>
        </is>
      </c>
      <c r="G69" s="3" t="n">
        <v>9999</v>
      </c>
      <c r="H69" s="3" t="n">
        <v>-0.7836013613863194</v>
      </c>
      <c r="I69" s="3" t="n">
        <v>-0.7836013613863194</v>
      </c>
      <c r="J69" s="3" t="n">
        <v>-0.8590307616172953</v>
      </c>
      <c r="K69" s="3" t="n">
        <v>-0.8590307616172953</v>
      </c>
      <c r="L69" s="3" t="n">
        <v>-0.7836013613863194</v>
      </c>
      <c r="M69" s="3" t="n">
        <v>-0.7836013613863194</v>
      </c>
      <c r="N69" s="3" t="n">
        <v>-0.7836013613863194</v>
      </c>
      <c r="O69" s="3" t="n">
        <v>-0.7836013613863194</v>
      </c>
      <c r="P69" s="3" t="n">
        <v>-0.7836013613863194</v>
      </c>
      <c r="Q69" s="3" t="n">
        <v>-0.7836013613863194</v>
      </c>
      <c r="R69" s="3" t="n">
        <v>-0.7708828220976159</v>
      </c>
      <c r="S69" s="3" t="n">
        <v>-1.097007578991829</v>
      </c>
      <c r="T69" s="3" t="n">
        <v>-0.7085544974245923</v>
      </c>
      <c r="U69" s="3" t="n">
        <v>-0.8590307616172953</v>
      </c>
      <c r="V69" s="3" t="n">
        <v>-0.6772896647453308</v>
      </c>
      <c r="W69" s="3" t="n">
        <v>-0.5109122699879586</v>
      </c>
      <c r="X69" s="3" t="n">
        <v>-1.079493910708326</v>
      </c>
      <c r="Y69" s="3" t="n">
        <v>-0.7836013613863194</v>
      </c>
      <c r="Z69" s="3" t="n">
        <v>-1.097007578991829</v>
      </c>
      <c r="AA69" s="3" t="n">
        <v>-1.097007578991829</v>
      </c>
      <c r="AB69" s="3" t="n">
        <v>-1.079493910708326</v>
      </c>
      <c r="AC69" s="3" t="n">
        <v>-1.359592239907447</v>
      </c>
      <c r="AD69" s="3" t="n">
        <v>-0.8590307616172953</v>
      </c>
      <c r="AE69" s="3" t="n">
        <v>-0.8590307616172953</v>
      </c>
    </row>
    <row r="70">
      <c r="A70" s="3" t="inlineStr">
        <is>
          <t>ARG.distn.dec.ove.mean.1</t>
        </is>
      </c>
      <c r="B70" s="3" t="inlineStr">
        <is>
          <t>ARG</t>
        </is>
      </c>
      <c r="C70" s="3" t="n">
        <v>2005</v>
      </c>
      <c r="D70" s="3" t="inlineStr">
        <is>
          <t>Overall</t>
        </is>
      </c>
      <c r="E70" s="3" t="inlineStr">
        <is>
          <t>Deciles</t>
        </is>
      </c>
      <c r="F70" s="3" t="inlineStr">
        <is>
          <t>mean</t>
        </is>
      </c>
      <c r="G70" s="3" t="n">
        <v>1</v>
      </c>
      <c r="H70" s="3" t="n">
        <v>-0.7882409691810608</v>
      </c>
      <c r="I70" s="3" t="n">
        <v>-0.7882409691810608</v>
      </c>
      <c r="J70" s="3" t="n">
        <v>-0.8900059461593628</v>
      </c>
      <c r="K70" s="3" t="n">
        <v>-0.8900059461593628</v>
      </c>
      <c r="L70" s="3" t="n">
        <v>-0.7882409691810608</v>
      </c>
      <c r="M70" s="3" t="n">
        <v>-0.7882409691810608</v>
      </c>
      <c r="N70" s="3" t="n">
        <v>-0.7882409691810608</v>
      </c>
      <c r="O70" s="3" t="n">
        <v>-0.7882409691810608</v>
      </c>
      <c r="P70" s="3" t="n">
        <v>-0.7882409691810608</v>
      </c>
      <c r="Q70" s="3" t="n">
        <v>-0.7882409691810608</v>
      </c>
      <c r="R70" s="3" t="n">
        <v>-0.7734707593917847</v>
      </c>
      <c r="S70" s="3" t="n">
        <v>-1.416802644729614</v>
      </c>
      <c r="T70" s="3" t="n">
        <v>-0.7094525694847107</v>
      </c>
      <c r="U70" s="3" t="n">
        <v>-0.8900059461593628</v>
      </c>
      <c r="V70" s="3" t="n">
        <v>-0.6829447150230408</v>
      </c>
      <c r="W70" s="3" t="n">
        <v>-0.5834082961082458</v>
      </c>
      <c r="X70" s="3" t="n">
        <v>-1.363117814064026</v>
      </c>
      <c r="Y70" s="3" t="n">
        <v>-0.7882409691810608</v>
      </c>
      <c r="Z70" s="3" t="n">
        <v>-1.416802644729614</v>
      </c>
      <c r="AA70" s="3" t="n">
        <v>-1.416802644729614</v>
      </c>
      <c r="AB70" s="3" t="n">
        <v>-1.363117814064026</v>
      </c>
      <c r="AC70" s="3" t="n">
        <v>-2.141129970550537</v>
      </c>
      <c r="AD70" s="3" t="n">
        <v>-0.8900059461593628</v>
      </c>
      <c r="AE70" s="3" t="n">
        <v>-0.8900059461593628</v>
      </c>
    </row>
    <row r="71">
      <c r="A71" s="3" t="inlineStr">
        <is>
          <t>ARG.distn.dec.ove.mean.2</t>
        </is>
      </c>
      <c r="B71" s="3" t="inlineStr">
        <is>
          <t>ARG</t>
        </is>
      </c>
      <c r="C71" s="3" t="n">
        <v>2005</v>
      </c>
      <c r="D71" s="3" t="inlineStr">
        <is>
          <t>Overall</t>
        </is>
      </c>
      <c r="E71" s="3" t="inlineStr">
        <is>
          <t>Deciles</t>
        </is>
      </c>
      <c r="F71" s="3" t="inlineStr">
        <is>
          <t>mean</t>
        </is>
      </c>
      <c r="G71" s="3" t="n">
        <v>2</v>
      </c>
      <c r="H71" s="3" t="n">
        <v>-0.7882409691810608</v>
      </c>
      <c r="I71" s="3" t="n">
        <v>-0.7882409691810608</v>
      </c>
      <c r="J71" s="3" t="n">
        <v>-0.8900059461593628</v>
      </c>
      <c r="K71" s="3" t="n">
        <v>-0.8900059461593628</v>
      </c>
      <c r="L71" s="3" t="n">
        <v>-0.7882409691810608</v>
      </c>
      <c r="M71" s="3" t="n">
        <v>-0.7882409691810608</v>
      </c>
      <c r="N71" s="3" t="n">
        <v>-0.7882409691810608</v>
      </c>
      <c r="O71" s="3" t="n">
        <v>-0.7882409691810608</v>
      </c>
      <c r="P71" s="3" t="n">
        <v>-0.7882409691810608</v>
      </c>
      <c r="Q71" s="3" t="n">
        <v>-0.7882409691810608</v>
      </c>
      <c r="R71" s="3" t="n">
        <v>-0.7734707593917847</v>
      </c>
      <c r="S71" s="3" t="n">
        <v>-1.416802644729614</v>
      </c>
      <c r="T71" s="3" t="n">
        <v>-0.7094525694847107</v>
      </c>
      <c r="U71" s="3" t="n">
        <v>-0.8900059461593628</v>
      </c>
      <c r="V71" s="3" t="n">
        <v>-0.6829447150230408</v>
      </c>
      <c r="W71" s="3" t="n">
        <v>-0.5834082961082458</v>
      </c>
      <c r="X71" s="3" t="n">
        <v>-1.363117814064026</v>
      </c>
      <c r="Y71" s="3" t="n">
        <v>-0.7882409691810608</v>
      </c>
      <c r="Z71" s="3" t="n">
        <v>-1.416802644729614</v>
      </c>
      <c r="AA71" s="3" t="n">
        <v>-1.416802644729614</v>
      </c>
      <c r="AB71" s="3" t="n">
        <v>-1.363117814064026</v>
      </c>
      <c r="AC71" s="3" t="n">
        <v>-2.141129970550537</v>
      </c>
      <c r="AD71" s="3" t="n">
        <v>-0.8900059461593628</v>
      </c>
      <c r="AE71" s="3" t="n">
        <v>-0.8900059461593628</v>
      </c>
    </row>
    <row r="72">
      <c r="A72" s="3" t="inlineStr">
        <is>
          <t>ARG.distn.dec.ove.mean.3</t>
        </is>
      </c>
      <c r="B72" s="3" t="inlineStr">
        <is>
          <t>ARG</t>
        </is>
      </c>
      <c r="C72" s="3" t="n">
        <v>2005</v>
      </c>
      <c r="D72" s="3" t="inlineStr">
        <is>
          <t>Overall</t>
        </is>
      </c>
      <c r="E72" s="3" t="inlineStr">
        <is>
          <t>Deciles</t>
        </is>
      </c>
      <c r="F72" s="3" t="inlineStr">
        <is>
          <t>mean</t>
        </is>
      </c>
      <c r="G72" s="3" t="n">
        <v>3</v>
      </c>
      <c r="H72" s="3" t="n">
        <v>-0.7882409691810608</v>
      </c>
      <c r="I72" s="3" t="n">
        <v>-0.7882409691810608</v>
      </c>
      <c r="J72" s="3" t="n">
        <v>-0.8900059461593628</v>
      </c>
      <c r="K72" s="3" t="n">
        <v>-0.8900059461593628</v>
      </c>
      <c r="L72" s="3" t="n">
        <v>-0.7882409691810608</v>
      </c>
      <c r="M72" s="3" t="n">
        <v>-0.7882409691810608</v>
      </c>
      <c r="N72" s="3" t="n">
        <v>-0.7882409691810608</v>
      </c>
      <c r="O72" s="3" t="n">
        <v>-0.7882409691810608</v>
      </c>
      <c r="P72" s="3" t="n">
        <v>-0.7882409691810608</v>
      </c>
      <c r="Q72" s="3" t="n">
        <v>-0.7882409691810608</v>
      </c>
      <c r="R72" s="3" t="n">
        <v>-0.7734707593917847</v>
      </c>
      <c r="S72" s="3" t="n">
        <v>-1.416802644729614</v>
      </c>
      <c r="T72" s="3" t="n">
        <v>-0.7094525694847107</v>
      </c>
      <c r="U72" s="3" t="n">
        <v>-0.8900059461593628</v>
      </c>
      <c r="V72" s="3" t="n">
        <v>-0.6829447150230408</v>
      </c>
      <c r="W72" s="3" t="n">
        <v>-0.5834082961082458</v>
      </c>
      <c r="X72" s="3" t="n">
        <v>-1.363117814064026</v>
      </c>
      <c r="Y72" s="3" t="n">
        <v>-0.7882409691810608</v>
      </c>
      <c r="Z72" s="3" t="n">
        <v>-1.416802644729614</v>
      </c>
      <c r="AA72" s="3" t="n">
        <v>-1.416802644729614</v>
      </c>
      <c r="AB72" s="3" t="n">
        <v>-1.363117814064026</v>
      </c>
      <c r="AC72" s="3" t="n">
        <v>-2.141129970550537</v>
      </c>
      <c r="AD72" s="3" t="n">
        <v>-0.8900059461593628</v>
      </c>
      <c r="AE72" s="3" t="n">
        <v>-0.8900059461593628</v>
      </c>
    </row>
    <row r="73">
      <c r="A73" s="3" t="inlineStr">
        <is>
          <t>ARG.distn.dec.ove.mean.4</t>
        </is>
      </c>
      <c r="B73" s="3" t="inlineStr">
        <is>
          <t>ARG</t>
        </is>
      </c>
      <c r="C73" s="3" t="n">
        <v>2005</v>
      </c>
      <c r="D73" s="3" t="inlineStr">
        <is>
          <t>Overall</t>
        </is>
      </c>
      <c r="E73" s="3" t="inlineStr">
        <is>
          <t>Deciles</t>
        </is>
      </c>
      <c r="F73" s="3" t="inlineStr">
        <is>
          <t>mean</t>
        </is>
      </c>
      <c r="G73" s="3" t="n">
        <v>4</v>
      </c>
      <c r="H73" s="3" t="n">
        <v>-0.7820000052452087</v>
      </c>
      <c r="I73" s="3" t="n">
        <v>-0.7820000052452087</v>
      </c>
      <c r="J73" s="3" t="n">
        <v>-0.8470000028610229</v>
      </c>
      <c r="K73" s="3" t="n">
        <v>-0.8470000028610229</v>
      </c>
      <c r="L73" s="3" t="n">
        <v>-0.7820000052452087</v>
      </c>
      <c r="M73" s="3" t="n">
        <v>-0.7820000052452087</v>
      </c>
      <c r="N73" s="3" t="n">
        <v>-0.7820000052452087</v>
      </c>
      <c r="O73" s="3" t="n">
        <v>-0.7820000052452087</v>
      </c>
      <c r="P73" s="3" t="n">
        <v>-0.7820000052452087</v>
      </c>
      <c r="Q73" s="3" t="n">
        <v>-0.7820000052452087</v>
      </c>
      <c r="R73" s="3" t="n">
        <v>-0.7699999809265137</v>
      </c>
      <c r="S73" s="3" t="n">
        <v>-0.9649999737739563</v>
      </c>
      <c r="T73" s="3" t="n">
        <v>-0.7080000042915344</v>
      </c>
      <c r="U73" s="3" t="n">
        <v>-0.8470000028610229</v>
      </c>
      <c r="V73" s="3" t="n">
        <v>-0.6759999990463257</v>
      </c>
      <c r="W73" s="3" t="n">
        <v>-0.4909999966621399</v>
      </c>
      <c r="X73" s="3" t="n">
        <v>-0.9620000123977661</v>
      </c>
      <c r="Y73" s="3" t="n">
        <v>-0.7820000052452087</v>
      </c>
      <c r="Z73" s="3" t="n">
        <v>-0.9649999737739563</v>
      </c>
      <c r="AA73" s="3" t="n">
        <v>-0.9649999737739563</v>
      </c>
      <c r="AB73" s="3" t="n">
        <v>-0.9620000123977661</v>
      </c>
      <c r="AC73" s="3" t="n">
        <v>-1.034000039100647</v>
      </c>
      <c r="AD73" s="3" t="n">
        <v>-0.8470000028610229</v>
      </c>
      <c r="AE73" s="3" t="n">
        <v>-0.8470000028610229</v>
      </c>
    </row>
    <row r="74">
      <c r="A74" s="3" t="inlineStr">
        <is>
          <t>ARG.distn.dec.ove.mean.5</t>
        </is>
      </c>
      <c r="B74" s="3" t="inlineStr">
        <is>
          <t>ARG</t>
        </is>
      </c>
      <c r="C74" s="3" t="n">
        <v>2005</v>
      </c>
      <c r="D74" s="3" t="inlineStr">
        <is>
          <t>Overall</t>
        </is>
      </c>
      <c r="E74" s="3" t="inlineStr">
        <is>
          <t>Deciles</t>
        </is>
      </c>
      <c r="F74" s="3" t="inlineStr">
        <is>
          <t>mean</t>
        </is>
      </c>
      <c r="G74" s="3" t="n">
        <v>5</v>
      </c>
      <c r="H74" s="3" t="n">
        <v>-0.7820000052452087</v>
      </c>
      <c r="I74" s="3" t="n">
        <v>-0.7820000052452087</v>
      </c>
      <c r="J74" s="3" t="n">
        <v>-0.8470000028610229</v>
      </c>
      <c r="K74" s="3" t="n">
        <v>-0.8470000028610229</v>
      </c>
      <c r="L74" s="3" t="n">
        <v>-0.7820000052452087</v>
      </c>
      <c r="M74" s="3" t="n">
        <v>-0.7820000052452087</v>
      </c>
      <c r="N74" s="3" t="n">
        <v>-0.7820000052452087</v>
      </c>
      <c r="O74" s="3" t="n">
        <v>-0.7820000052452087</v>
      </c>
      <c r="P74" s="3" t="n">
        <v>-0.7820000052452087</v>
      </c>
      <c r="Q74" s="3" t="n">
        <v>-0.7820000052452087</v>
      </c>
      <c r="R74" s="3" t="n">
        <v>-0.7699999809265137</v>
      </c>
      <c r="S74" s="3" t="n">
        <v>-0.9649999737739563</v>
      </c>
      <c r="T74" s="3" t="n">
        <v>-0.7080000042915344</v>
      </c>
      <c r="U74" s="3" t="n">
        <v>-0.8470000028610229</v>
      </c>
      <c r="V74" s="3" t="n">
        <v>-0.6759999990463257</v>
      </c>
      <c r="W74" s="3" t="n">
        <v>-0.4909999966621399</v>
      </c>
      <c r="X74" s="3" t="n">
        <v>-0.9620000123977661</v>
      </c>
      <c r="Y74" s="3" t="n">
        <v>-0.7820000052452087</v>
      </c>
      <c r="Z74" s="3" t="n">
        <v>-0.9649999737739563</v>
      </c>
      <c r="AA74" s="3" t="n">
        <v>-0.9649999737739563</v>
      </c>
      <c r="AB74" s="3" t="n">
        <v>-0.9620000123977661</v>
      </c>
      <c r="AC74" s="3" t="n">
        <v>-1.034000039100647</v>
      </c>
      <c r="AD74" s="3" t="n">
        <v>-0.8470000028610229</v>
      </c>
      <c r="AE74" s="3" t="n">
        <v>-0.8470000028610229</v>
      </c>
    </row>
    <row r="75">
      <c r="A75" s="3" t="inlineStr">
        <is>
          <t>ARG.distn.dec.ove.mean.6</t>
        </is>
      </c>
      <c r="B75" s="3" t="inlineStr">
        <is>
          <t>ARG</t>
        </is>
      </c>
      <c r="C75" s="3" t="n">
        <v>2005</v>
      </c>
      <c r="D75" s="3" t="inlineStr">
        <is>
          <t>Overall</t>
        </is>
      </c>
      <c r="E75" s="3" t="inlineStr">
        <is>
          <t>Deciles</t>
        </is>
      </c>
      <c r="F75" s="3" t="inlineStr">
        <is>
          <t>mean</t>
        </is>
      </c>
      <c r="G75" s="3" t="n">
        <v>6</v>
      </c>
      <c r="H75" s="3" t="n">
        <v>-0.7820000052452087</v>
      </c>
      <c r="I75" s="3" t="n">
        <v>-0.7820000052452087</v>
      </c>
      <c r="J75" s="3" t="n">
        <v>-0.8470000028610229</v>
      </c>
      <c r="K75" s="3" t="n">
        <v>-0.8470000028610229</v>
      </c>
      <c r="L75" s="3" t="n">
        <v>-0.7820000052452087</v>
      </c>
      <c r="M75" s="3" t="n">
        <v>-0.7820000052452087</v>
      </c>
      <c r="N75" s="3" t="n">
        <v>-0.7820000052452087</v>
      </c>
      <c r="O75" s="3" t="n">
        <v>-0.7820000052452087</v>
      </c>
      <c r="P75" s="3" t="n">
        <v>-0.7820000052452087</v>
      </c>
      <c r="Q75" s="3" t="n">
        <v>-0.7820000052452087</v>
      </c>
      <c r="R75" s="3" t="n">
        <v>-0.7699999809265137</v>
      </c>
      <c r="S75" s="3" t="n">
        <v>-0.9649999737739563</v>
      </c>
      <c r="T75" s="3" t="n">
        <v>-0.7080000042915344</v>
      </c>
      <c r="U75" s="3" t="n">
        <v>-0.8470000028610229</v>
      </c>
      <c r="V75" s="3" t="n">
        <v>-0.6759999990463257</v>
      </c>
      <c r="W75" s="3" t="n">
        <v>-0.4909999966621399</v>
      </c>
      <c r="X75" s="3" t="n">
        <v>-0.9620000123977661</v>
      </c>
      <c r="Y75" s="3" t="n">
        <v>-0.7820000052452087</v>
      </c>
      <c r="Z75" s="3" t="n">
        <v>-0.9649999737739563</v>
      </c>
      <c r="AA75" s="3" t="n">
        <v>-0.9649999737739563</v>
      </c>
      <c r="AB75" s="3" t="n">
        <v>-0.9620000123977661</v>
      </c>
      <c r="AC75" s="3" t="n">
        <v>-1.034000039100647</v>
      </c>
      <c r="AD75" s="3" t="n">
        <v>-0.8470000028610229</v>
      </c>
      <c r="AE75" s="3" t="n">
        <v>-0.8470000028610229</v>
      </c>
    </row>
    <row r="76">
      <c r="A76" s="3" t="inlineStr">
        <is>
          <t>ARG.distn.dec.ove.mean.7</t>
        </is>
      </c>
      <c r="B76" s="3" t="inlineStr">
        <is>
          <t>ARG</t>
        </is>
      </c>
      <c r="C76" s="3" t="n">
        <v>2005</v>
      </c>
      <c r="D76" s="3" t="inlineStr">
        <is>
          <t>Overall</t>
        </is>
      </c>
      <c r="E76" s="3" t="inlineStr">
        <is>
          <t>Deciles</t>
        </is>
      </c>
      <c r="F76" s="3" t="inlineStr">
        <is>
          <t>mean</t>
        </is>
      </c>
      <c r="G76" s="3" t="n">
        <v>7</v>
      </c>
      <c r="H76" s="3" t="n">
        <v>-0.7820000052452087</v>
      </c>
      <c r="I76" s="3" t="n">
        <v>-0.7820000052452087</v>
      </c>
      <c r="J76" s="3" t="n">
        <v>-0.8470000028610229</v>
      </c>
      <c r="K76" s="3" t="n">
        <v>-0.8470000028610229</v>
      </c>
      <c r="L76" s="3" t="n">
        <v>-0.7820000052452087</v>
      </c>
      <c r="M76" s="3" t="n">
        <v>-0.7820000052452087</v>
      </c>
      <c r="N76" s="3" t="n">
        <v>-0.7820000052452087</v>
      </c>
      <c r="O76" s="3" t="n">
        <v>-0.7820000052452087</v>
      </c>
      <c r="P76" s="3" t="n">
        <v>-0.7820000052452087</v>
      </c>
      <c r="Q76" s="3" t="n">
        <v>-0.7820000052452087</v>
      </c>
      <c r="R76" s="3" t="n">
        <v>-0.7699999809265137</v>
      </c>
      <c r="S76" s="3" t="n">
        <v>-0.9649999737739563</v>
      </c>
      <c r="T76" s="3" t="n">
        <v>-0.7080000042915344</v>
      </c>
      <c r="U76" s="3" t="n">
        <v>-0.8470000028610229</v>
      </c>
      <c r="V76" s="3" t="n">
        <v>-0.6759999990463257</v>
      </c>
      <c r="W76" s="3" t="n">
        <v>-0.4909999966621399</v>
      </c>
      <c r="X76" s="3" t="n">
        <v>-0.9620000123977661</v>
      </c>
      <c r="Y76" s="3" t="n">
        <v>-0.7820000052452087</v>
      </c>
      <c r="Z76" s="3" t="n">
        <v>-0.9649999737739563</v>
      </c>
      <c r="AA76" s="3" t="n">
        <v>-0.9649999737739563</v>
      </c>
      <c r="AB76" s="3" t="n">
        <v>-0.9620000123977661</v>
      </c>
      <c r="AC76" s="3" t="n">
        <v>-1.034000039100647</v>
      </c>
      <c r="AD76" s="3" t="n">
        <v>-0.8470000028610229</v>
      </c>
      <c r="AE76" s="3" t="n">
        <v>-0.8470000028610229</v>
      </c>
    </row>
    <row r="77">
      <c r="A77" s="3" t="inlineStr">
        <is>
          <t>ARG.distn.dec.ove.mean.8</t>
        </is>
      </c>
      <c r="B77" s="3" t="inlineStr">
        <is>
          <t>ARG</t>
        </is>
      </c>
      <c r="C77" s="3" t="n">
        <v>2005</v>
      </c>
      <c r="D77" s="3" t="inlineStr">
        <is>
          <t>Overall</t>
        </is>
      </c>
      <c r="E77" s="3" t="inlineStr">
        <is>
          <t>Deciles</t>
        </is>
      </c>
      <c r="F77" s="3" t="inlineStr">
        <is>
          <t>mean</t>
        </is>
      </c>
      <c r="G77" s="3" t="n">
        <v>8</v>
      </c>
      <c r="H77" s="3" t="n">
        <v>-0.782376766204834</v>
      </c>
      <c r="I77" s="3" t="n">
        <v>-0.782376766204834</v>
      </c>
      <c r="J77" s="3" t="n">
        <v>-0.849284827709198</v>
      </c>
      <c r="K77" s="3" t="n">
        <v>-0.849284827709198</v>
      </c>
      <c r="L77" s="3" t="n">
        <v>-0.782376766204834</v>
      </c>
      <c r="M77" s="3" t="n">
        <v>-0.782376766204834</v>
      </c>
      <c r="N77" s="3" t="n">
        <v>-0.782376766204834</v>
      </c>
      <c r="O77" s="3" t="n">
        <v>-0.782376766204834</v>
      </c>
      <c r="P77" s="3" t="n">
        <v>-0.782376766204834</v>
      </c>
      <c r="Q77" s="3" t="n">
        <v>-0.782376766204834</v>
      </c>
      <c r="R77" s="3" t="n">
        <v>-0.7702532410621643</v>
      </c>
      <c r="S77" s="3" t="n">
        <v>-0.9739794135093689</v>
      </c>
      <c r="T77" s="3" t="n">
        <v>-0.7080408334732056</v>
      </c>
      <c r="U77" s="3" t="n">
        <v>-0.849284827709198</v>
      </c>
      <c r="V77" s="3" t="n">
        <v>-0.6766988039016724</v>
      </c>
      <c r="W77" s="3" t="n">
        <v>-0.5041483640670776</v>
      </c>
      <c r="X77" s="3" t="n">
        <v>-0.9707657098770142</v>
      </c>
      <c r="Y77" s="3" t="n">
        <v>-0.782376766204834</v>
      </c>
      <c r="Z77" s="3" t="n">
        <v>-0.9739794135093689</v>
      </c>
      <c r="AA77" s="3" t="n">
        <v>-0.9739794135093689</v>
      </c>
      <c r="AB77" s="3" t="n">
        <v>-0.9707657098770142</v>
      </c>
      <c r="AC77" s="3" t="n">
        <v>-1.048746228218079</v>
      </c>
      <c r="AD77" s="3" t="n">
        <v>-0.849284827709198</v>
      </c>
      <c r="AE77" s="3" t="n">
        <v>-0.849284827709198</v>
      </c>
    </row>
    <row r="78">
      <c r="A78" s="3" t="inlineStr">
        <is>
          <t>ARG.distn.dec.ove.mean.9</t>
        </is>
      </c>
      <c r="B78" s="3" t="inlineStr">
        <is>
          <t>ARG</t>
        </is>
      </c>
      <c r="C78" s="3" t="n">
        <v>2005</v>
      </c>
      <c r="D78" s="3" t="inlineStr">
        <is>
          <t>Overall</t>
        </is>
      </c>
      <c r="E78" s="3" t="inlineStr">
        <is>
          <t>Deciles</t>
        </is>
      </c>
      <c r="F78" s="3" t="inlineStr">
        <is>
          <t>mean</t>
        </is>
      </c>
      <c r="G78" s="3" t="n">
        <v>9</v>
      </c>
      <c r="H78" s="3" t="n">
        <v>-0.782376766204834</v>
      </c>
      <c r="I78" s="3" t="n">
        <v>-0.782376766204834</v>
      </c>
      <c r="J78" s="3" t="n">
        <v>-0.849284827709198</v>
      </c>
      <c r="K78" s="3" t="n">
        <v>-0.849284827709198</v>
      </c>
      <c r="L78" s="3" t="n">
        <v>-0.782376766204834</v>
      </c>
      <c r="M78" s="3" t="n">
        <v>-0.782376766204834</v>
      </c>
      <c r="N78" s="3" t="n">
        <v>-0.782376766204834</v>
      </c>
      <c r="O78" s="3" t="n">
        <v>-0.782376766204834</v>
      </c>
      <c r="P78" s="3" t="n">
        <v>-0.782376766204834</v>
      </c>
      <c r="Q78" s="3" t="n">
        <v>-0.782376766204834</v>
      </c>
      <c r="R78" s="3" t="n">
        <v>-0.7702532410621643</v>
      </c>
      <c r="S78" s="3" t="n">
        <v>-0.9739794135093689</v>
      </c>
      <c r="T78" s="3" t="n">
        <v>-0.7080408334732056</v>
      </c>
      <c r="U78" s="3" t="n">
        <v>-0.849284827709198</v>
      </c>
      <c r="V78" s="3" t="n">
        <v>-0.6766988039016724</v>
      </c>
      <c r="W78" s="3" t="n">
        <v>-0.5041483640670776</v>
      </c>
      <c r="X78" s="3" t="n">
        <v>-0.9707657098770142</v>
      </c>
      <c r="Y78" s="3" t="n">
        <v>-0.782376766204834</v>
      </c>
      <c r="Z78" s="3" t="n">
        <v>-0.9739794135093689</v>
      </c>
      <c r="AA78" s="3" t="n">
        <v>-0.9739794135093689</v>
      </c>
      <c r="AB78" s="3" t="n">
        <v>-0.9707657098770142</v>
      </c>
      <c r="AC78" s="3" t="n">
        <v>-1.048746228218079</v>
      </c>
      <c r="AD78" s="3" t="n">
        <v>-0.849284827709198</v>
      </c>
      <c r="AE78" s="3" t="n">
        <v>-0.849284827709198</v>
      </c>
    </row>
    <row r="79">
      <c r="A79" s="3" t="inlineStr">
        <is>
          <t>ARG.distn.dec.ove.mean.10</t>
        </is>
      </c>
      <c r="B79" s="3" t="inlineStr">
        <is>
          <t>ARG</t>
        </is>
      </c>
      <c r="C79" s="3" t="n">
        <v>2005</v>
      </c>
      <c r="D79" s="3" t="inlineStr">
        <is>
          <t>Overall</t>
        </is>
      </c>
      <c r="E79" s="3" t="inlineStr">
        <is>
          <t>Deciles</t>
        </is>
      </c>
      <c r="F79" s="3" t="inlineStr">
        <is>
          <t>mean</t>
        </is>
      </c>
      <c r="G79" s="3" t="n">
        <v>10</v>
      </c>
      <c r="H79" s="3" t="n">
        <v>-0.782376766204834</v>
      </c>
      <c r="I79" s="3" t="n">
        <v>-0.782376766204834</v>
      </c>
      <c r="J79" s="3" t="n">
        <v>-0.849284827709198</v>
      </c>
      <c r="K79" s="3" t="n">
        <v>-0.849284827709198</v>
      </c>
      <c r="L79" s="3" t="n">
        <v>-0.782376766204834</v>
      </c>
      <c r="M79" s="3" t="n">
        <v>-0.782376766204834</v>
      </c>
      <c r="N79" s="3" t="n">
        <v>-0.782376766204834</v>
      </c>
      <c r="O79" s="3" t="n">
        <v>-0.782376766204834</v>
      </c>
      <c r="P79" s="3" t="n">
        <v>-0.782376766204834</v>
      </c>
      <c r="Q79" s="3" t="n">
        <v>-0.782376766204834</v>
      </c>
      <c r="R79" s="3" t="n">
        <v>-0.7702532410621643</v>
      </c>
      <c r="S79" s="3" t="n">
        <v>-0.9739794135093689</v>
      </c>
      <c r="T79" s="3" t="n">
        <v>-0.7080408334732056</v>
      </c>
      <c r="U79" s="3" t="n">
        <v>-0.849284827709198</v>
      </c>
      <c r="V79" s="3" t="n">
        <v>-0.6766988039016724</v>
      </c>
      <c r="W79" s="3" t="n">
        <v>-0.5041483640670776</v>
      </c>
      <c r="X79" s="3" t="n">
        <v>-0.9707657098770142</v>
      </c>
      <c r="Y79" s="3" t="n">
        <v>-0.782376766204834</v>
      </c>
      <c r="Z79" s="3" t="n">
        <v>-0.9739794135093689</v>
      </c>
      <c r="AA79" s="3" t="n">
        <v>-0.9739794135093689</v>
      </c>
      <c r="AB79" s="3" t="n">
        <v>-0.9707657098770142</v>
      </c>
      <c r="AC79" s="3" t="n">
        <v>-1.048746228218079</v>
      </c>
      <c r="AD79" s="3" t="n">
        <v>-0.849284827709198</v>
      </c>
      <c r="AE79" s="3" t="n">
        <v>-0.849284827709198</v>
      </c>
    </row>
    <row r="80">
      <c r="A80" s="3" t="inlineStr">
        <is>
          <t>ARG.distn.bkt.ove.mean.9999</t>
        </is>
      </c>
      <c r="B80" s="3" t="inlineStr">
        <is>
          <t>ARG</t>
        </is>
      </c>
      <c r="C80" s="3" t="n">
        <v>2005</v>
      </c>
      <c r="D80" s="3" t="inlineStr">
        <is>
          <t>Overall</t>
        </is>
      </c>
      <c r="E80" s="3" t="inlineStr">
        <is>
          <t>Basket</t>
        </is>
      </c>
      <c r="F80" s="3" t="inlineStr">
        <is>
          <t>mean</t>
        </is>
      </c>
      <c r="G80" s="3" t="n">
        <v>9999</v>
      </c>
      <c r="H80" s="3" t="n">
        <v>-0.7839853167533875</v>
      </c>
      <c r="I80" s="3" t="n">
        <v>-0.7839853167533875</v>
      </c>
      <c r="J80" s="3" t="n">
        <v>-0.8605872392654419</v>
      </c>
      <c r="K80" s="3" t="n">
        <v>-0.8605872392654419</v>
      </c>
      <c r="L80" s="3" t="n">
        <v>-0.7839853167533875</v>
      </c>
      <c r="M80" s="3" t="n">
        <v>-0.7839853167533875</v>
      </c>
      <c r="N80" s="3" t="n">
        <v>-0.7839853167533875</v>
      </c>
      <c r="O80" s="3" t="n">
        <v>-0.7839853167533875</v>
      </c>
      <c r="P80" s="3" t="n">
        <v>-0.7839853167533875</v>
      </c>
      <c r="Q80" s="3" t="n">
        <v>-0.7839853167533875</v>
      </c>
      <c r="R80" s="3" t="n">
        <v>-0.7711172103881836</v>
      </c>
      <c r="S80" s="3" t="n">
        <v>-1.103234648704529</v>
      </c>
      <c r="T80" s="3" t="n">
        <v>-0.708448052406311</v>
      </c>
      <c r="U80" s="3" t="n">
        <v>-0.8605872392654419</v>
      </c>
      <c r="V80" s="3" t="n">
        <v>-0.6782930493354797</v>
      </c>
      <c r="W80" s="3" t="n">
        <v>-0.5226669907569885</v>
      </c>
      <c r="X80" s="3" t="n">
        <v>-1.084965109825134</v>
      </c>
      <c r="Y80" s="3" t="n">
        <v>-0.7839853167533875</v>
      </c>
      <c r="Z80" s="3" t="n">
        <v>-1.103234648704529</v>
      </c>
      <c r="AA80" s="3" t="n">
        <v>-1.103234648704529</v>
      </c>
      <c r="AB80" s="3" t="n">
        <v>-1.084965109825134</v>
      </c>
      <c r="AC80" s="3" t="n">
        <v>-1.37056291103363</v>
      </c>
      <c r="AD80" s="3" t="n">
        <v>-0.8605872392654419</v>
      </c>
      <c r="AE80" s="3" t="n">
        <v>-0.8605872392654419</v>
      </c>
    </row>
    <row r="81">
      <c r="A81" s="3" t="inlineStr">
        <is>
          <t>ARM.distn.dec.ove.mean.1</t>
        </is>
      </c>
      <c r="B81" s="3" t="inlineStr">
        <is>
          <t>ARM</t>
        </is>
      </c>
      <c r="C81" s="3" t="n">
        <v>2005</v>
      </c>
      <c r="D81" s="3" t="inlineStr">
        <is>
          <t>Overall</t>
        </is>
      </c>
      <c r="E81" s="3" t="inlineStr">
        <is>
          <t>Deciles</t>
        </is>
      </c>
      <c r="F81" s="3" t="inlineStr">
        <is>
          <t>mean</t>
        </is>
      </c>
      <c r="G81" s="3" t="n">
        <v>1</v>
      </c>
      <c r="H81" s="3" t="n">
        <v>-0.7892489433288574</v>
      </c>
      <c r="I81" s="3" t="n">
        <v>-0.7892489433288574</v>
      </c>
      <c r="J81" s="3" t="n">
        <v>-0.8994629383087158</v>
      </c>
      <c r="K81" s="3" t="n">
        <v>-0.8994629383087158</v>
      </c>
      <c r="L81" s="3" t="n">
        <v>-0.7892489433288574</v>
      </c>
      <c r="M81" s="3" t="n">
        <v>-0.7892489433288574</v>
      </c>
      <c r="N81" s="3" t="n">
        <v>-0.7892489433288574</v>
      </c>
      <c r="O81" s="3" t="n">
        <v>-0.7892489433288574</v>
      </c>
      <c r="P81" s="3" t="n">
        <v>-0.7892489433288574</v>
      </c>
      <c r="Q81" s="3" t="n">
        <v>-0.7892489433288574</v>
      </c>
      <c r="R81" s="3" t="n">
        <v>-0.7744752764701843</v>
      </c>
      <c r="S81" s="3" t="n">
        <v>-1.474061965942383</v>
      </c>
      <c r="T81" s="3" t="n">
        <v>-0.7104546427726746</v>
      </c>
      <c r="U81" s="3" t="n">
        <v>-0.8994629383087158</v>
      </c>
      <c r="V81" s="3" t="n">
        <v>-0.6849652528762817</v>
      </c>
      <c r="W81" s="3" t="n">
        <v>-0.6214308738708496</v>
      </c>
      <c r="X81" s="3" t="n">
        <v>-1.418379306793213</v>
      </c>
      <c r="Y81" s="3" t="n">
        <v>-0.7892489433288574</v>
      </c>
      <c r="Z81" s="3" t="n">
        <v>-1.474061965942383</v>
      </c>
      <c r="AA81" s="3" t="n">
        <v>-1.474061965942383</v>
      </c>
      <c r="AB81" s="3" t="n">
        <v>-1.418379306793213</v>
      </c>
      <c r="AC81" s="3" t="n">
        <v>-2.286080837249756</v>
      </c>
      <c r="AD81" s="3" t="n">
        <v>-0.8994629383087158</v>
      </c>
      <c r="AE81" s="3" t="n">
        <v>-0.8994629383087158</v>
      </c>
    </row>
    <row r="82">
      <c r="A82" s="3" t="inlineStr">
        <is>
          <t>ARM.distn.dec.ove.mean.2</t>
        </is>
      </c>
      <c r="B82" s="3" t="inlineStr">
        <is>
          <t>ARM</t>
        </is>
      </c>
      <c r="C82" s="3" t="n">
        <v>2005</v>
      </c>
      <c r="D82" s="3" t="inlineStr">
        <is>
          <t>Overall</t>
        </is>
      </c>
      <c r="E82" s="3" t="inlineStr">
        <is>
          <t>Deciles</t>
        </is>
      </c>
      <c r="F82" s="3" t="inlineStr">
        <is>
          <t>mean</t>
        </is>
      </c>
      <c r="G82" s="3" t="n">
        <v>2</v>
      </c>
      <c r="H82" s="3" t="n">
        <v>-0.7892489433288574</v>
      </c>
      <c r="I82" s="3" t="n">
        <v>-0.7892489433288574</v>
      </c>
      <c r="J82" s="3" t="n">
        <v>-0.8994629383087158</v>
      </c>
      <c r="K82" s="3" t="n">
        <v>-0.8994629383087158</v>
      </c>
      <c r="L82" s="3" t="n">
        <v>-0.7892489433288574</v>
      </c>
      <c r="M82" s="3" t="n">
        <v>-0.7892489433288574</v>
      </c>
      <c r="N82" s="3" t="n">
        <v>-0.7892489433288574</v>
      </c>
      <c r="O82" s="3" t="n">
        <v>-0.7892489433288574</v>
      </c>
      <c r="P82" s="3" t="n">
        <v>-0.7892489433288574</v>
      </c>
      <c r="Q82" s="3" t="n">
        <v>-0.7892489433288574</v>
      </c>
      <c r="R82" s="3" t="n">
        <v>-0.7744752764701843</v>
      </c>
      <c r="S82" s="3" t="n">
        <v>-1.474061965942383</v>
      </c>
      <c r="T82" s="3" t="n">
        <v>-0.7104546427726746</v>
      </c>
      <c r="U82" s="3" t="n">
        <v>-0.8994629383087158</v>
      </c>
      <c r="V82" s="3" t="n">
        <v>-0.6849652528762817</v>
      </c>
      <c r="W82" s="3" t="n">
        <v>-0.6214308738708496</v>
      </c>
      <c r="X82" s="3" t="n">
        <v>-1.418379306793213</v>
      </c>
      <c r="Y82" s="3" t="n">
        <v>-0.7892489433288574</v>
      </c>
      <c r="Z82" s="3" t="n">
        <v>-1.474061965942383</v>
      </c>
      <c r="AA82" s="3" t="n">
        <v>-1.474061965942383</v>
      </c>
      <c r="AB82" s="3" t="n">
        <v>-1.418379306793213</v>
      </c>
      <c r="AC82" s="3" t="n">
        <v>-2.286080837249756</v>
      </c>
      <c r="AD82" s="3" t="n">
        <v>-0.8994629383087158</v>
      </c>
      <c r="AE82" s="3" t="n">
        <v>-0.8994629383087158</v>
      </c>
    </row>
    <row r="83">
      <c r="A83" s="3" t="inlineStr">
        <is>
          <t>ARM.distn.dec.ove.mean.3</t>
        </is>
      </c>
      <c r="B83" s="3" t="inlineStr">
        <is>
          <t>ARM</t>
        </is>
      </c>
      <c r="C83" s="3" t="n">
        <v>2005</v>
      </c>
      <c r="D83" s="3" t="inlineStr">
        <is>
          <t>Overall</t>
        </is>
      </c>
      <c r="E83" s="3" t="inlineStr">
        <is>
          <t>Deciles</t>
        </is>
      </c>
      <c r="F83" s="3" t="inlineStr">
        <is>
          <t>mean</t>
        </is>
      </c>
      <c r="G83" s="3" t="n">
        <v>3</v>
      </c>
      <c r="H83" s="3" t="n">
        <v>-0.7892489433288574</v>
      </c>
      <c r="I83" s="3" t="n">
        <v>-0.7892489433288574</v>
      </c>
      <c r="J83" s="3" t="n">
        <v>-0.8994629383087158</v>
      </c>
      <c r="K83" s="3" t="n">
        <v>-0.8994629383087158</v>
      </c>
      <c r="L83" s="3" t="n">
        <v>-0.7892489433288574</v>
      </c>
      <c r="M83" s="3" t="n">
        <v>-0.7892489433288574</v>
      </c>
      <c r="N83" s="3" t="n">
        <v>-0.7892489433288574</v>
      </c>
      <c r="O83" s="3" t="n">
        <v>-0.7892489433288574</v>
      </c>
      <c r="P83" s="3" t="n">
        <v>-0.7892489433288574</v>
      </c>
      <c r="Q83" s="3" t="n">
        <v>-0.7892489433288574</v>
      </c>
      <c r="R83" s="3" t="n">
        <v>-0.7744752764701843</v>
      </c>
      <c r="S83" s="3" t="n">
        <v>-1.474061965942383</v>
      </c>
      <c r="T83" s="3" t="n">
        <v>-0.7104546427726746</v>
      </c>
      <c r="U83" s="3" t="n">
        <v>-0.8994629383087158</v>
      </c>
      <c r="V83" s="3" t="n">
        <v>-0.6849652528762817</v>
      </c>
      <c r="W83" s="3" t="n">
        <v>-0.6214308738708496</v>
      </c>
      <c r="X83" s="3" t="n">
        <v>-1.418379306793213</v>
      </c>
      <c r="Y83" s="3" t="n">
        <v>-0.7892489433288574</v>
      </c>
      <c r="Z83" s="3" t="n">
        <v>-1.474061965942383</v>
      </c>
      <c r="AA83" s="3" t="n">
        <v>-1.474061965942383</v>
      </c>
      <c r="AB83" s="3" t="n">
        <v>-1.418379306793213</v>
      </c>
      <c r="AC83" s="3" t="n">
        <v>-2.286080837249756</v>
      </c>
      <c r="AD83" s="3" t="n">
        <v>-0.8994629383087158</v>
      </c>
      <c r="AE83" s="3" t="n">
        <v>-0.8994629383087158</v>
      </c>
    </row>
    <row r="84">
      <c r="A84" s="3" t="inlineStr">
        <is>
          <t>ARM.distn.dec.ove.mean.4</t>
        </is>
      </c>
      <c r="B84" s="3" t="inlineStr">
        <is>
          <t>ARM</t>
        </is>
      </c>
      <c r="C84" s="3" t="n">
        <v>2005</v>
      </c>
      <c r="D84" s="3" t="inlineStr">
        <is>
          <t>Overall</t>
        </is>
      </c>
      <c r="E84" s="3" t="inlineStr">
        <is>
          <t>Deciles</t>
        </is>
      </c>
      <c r="F84" s="3" t="inlineStr">
        <is>
          <t>mean</t>
        </is>
      </c>
      <c r="G84" s="3" t="n">
        <v>4</v>
      </c>
      <c r="H84" s="3" t="n">
        <v>-0.7829999923706055</v>
      </c>
      <c r="I84" s="3" t="n">
        <v>-0.7829999923706055</v>
      </c>
      <c r="J84" s="3" t="n">
        <v>-0.8560000061988831</v>
      </c>
      <c r="K84" s="3" t="n">
        <v>-0.8560000061988831</v>
      </c>
      <c r="L84" s="3" t="n">
        <v>-0.7829999923706055</v>
      </c>
      <c r="M84" s="3" t="n">
        <v>-0.7829999923706055</v>
      </c>
      <c r="N84" s="3" t="n">
        <v>-0.7829999923706055</v>
      </c>
      <c r="O84" s="3" t="n">
        <v>-0.7829999923706055</v>
      </c>
      <c r="P84" s="3" t="n">
        <v>-0.7829999923706055</v>
      </c>
      <c r="Q84" s="3" t="n">
        <v>-0.7829999923706055</v>
      </c>
      <c r="R84" s="3" t="n">
        <v>-0.7710000276565552</v>
      </c>
      <c r="S84" s="3" t="n">
        <v>-1.003999948501587</v>
      </c>
      <c r="T84" s="3" t="n">
        <v>-0.7089999914169312</v>
      </c>
      <c r="U84" s="3" t="n">
        <v>-0.8560000061988831</v>
      </c>
      <c r="V84" s="3" t="n">
        <v>-0.6779999732971191</v>
      </c>
      <c r="W84" s="3" t="n">
        <v>-0.5230000019073486</v>
      </c>
      <c r="X84" s="3" t="n">
        <v>-1.001000046730042</v>
      </c>
      <c r="Y84" s="3" t="n">
        <v>-0.7829999923706055</v>
      </c>
      <c r="Z84" s="3" t="n">
        <v>-1.003999948501587</v>
      </c>
      <c r="AA84" s="3" t="n">
        <v>-1.003999948501587</v>
      </c>
      <c r="AB84" s="3" t="n">
        <v>-1.001000046730042</v>
      </c>
      <c r="AC84" s="3" t="n">
        <v>-1.103999972343445</v>
      </c>
      <c r="AD84" s="3" t="n">
        <v>-0.8560000061988831</v>
      </c>
      <c r="AE84" s="3" t="n">
        <v>-0.8560000061988831</v>
      </c>
    </row>
    <row r="85">
      <c r="A85" s="3" t="inlineStr">
        <is>
          <t>ARM.distn.dec.ove.mean.5</t>
        </is>
      </c>
      <c r="B85" s="3" t="inlineStr">
        <is>
          <t>ARM</t>
        </is>
      </c>
      <c r="C85" s="3" t="n">
        <v>2005</v>
      </c>
      <c r="D85" s="3" t="inlineStr">
        <is>
          <t>Overall</t>
        </is>
      </c>
      <c r="E85" s="3" t="inlineStr">
        <is>
          <t>Deciles</t>
        </is>
      </c>
      <c r="F85" s="3" t="inlineStr">
        <is>
          <t>mean</t>
        </is>
      </c>
      <c r="G85" s="3" t="n">
        <v>5</v>
      </c>
      <c r="H85" s="3" t="n">
        <v>-0.7829999923706055</v>
      </c>
      <c r="I85" s="3" t="n">
        <v>-0.7829999923706055</v>
      </c>
      <c r="J85" s="3" t="n">
        <v>-0.8560000061988831</v>
      </c>
      <c r="K85" s="3" t="n">
        <v>-0.8560000061988831</v>
      </c>
      <c r="L85" s="3" t="n">
        <v>-0.7829999923706055</v>
      </c>
      <c r="M85" s="3" t="n">
        <v>-0.7829999923706055</v>
      </c>
      <c r="N85" s="3" t="n">
        <v>-0.7829999923706055</v>
      </c>
      <c r="O85" s="3" t="n">
        <v>-0.7829999923706055</v>
      </c>
      <c r="P85" s="3" t="n">
        <v>-0.7829999923706055</v>
      </c>
      <c r="Q85" s="3" t="n">
        <v>-0.7829999923706055</v>
      </c>
      <c r="R85" s="3" t="n">
        <v>-0.7710000276565552</v>
      </c>
      <c r="S85" s="3" t="n">
        <v>-1.003999948501587</v>
      </c>
      <c r="T85" s="3" t="n">
        <v>-0.7089999914169312</v>
      </c>
      <c r="U85" s="3" t="n">
        <v>-0.8560000061988831</v>
      </c>
      <c r="V85" s="3" t="n">
        <v>-0.6779999732971191</v>
      </c>
      <c r="W85" s="3" t="n">
        <v>-0.5230000019073486</v>
      </c>
      <c r="X85" s="3" t="n">
        <v>-1.001000046730042</v>
      </c>
      <c r="Y85" s="3" t="n">
        <v>-0.7829999923706055</v>
      </c>
      <c r="Z85" s="3" t="n">
        <v>-1.003999948501587</v>
      </c>
      <c r="AA85" s="3" t="n">
        <v>-1.003999948501587</v>
      </c>
      <c r="AB85" s="3" t="n">
        <v>-1.001000046730042</v>
      </c>
      <c r="AC85" s="3" t="n">
        <v>-1.103999972343445</v>
      </c>
      <c r="AD85" s="3" t="n">
        <v>-0.8560000061988831</v>
      </c>
      <c r="AE85" s="3" t="n">
        <v>-0.8560000061988831</v>
      </c>
    </row>
    <row r="86">
      <c r="A86" s="3" t="inlineStr">
        <is>
          <t>ARM.distn.dec.ove.mean.6</t>
        </is>
      </c>
      <c r="B86" s="3" t="inlineStr">
        <is>
          <t>ARM</t>
        </is>
      </c>
      <c r="C86" s="3" t="n">
        <v>2005</v>
      </c>
      <c r="D86" s="3" t="inlineStr">
        <is>
          <t>Overall</t>
        </is>
      </c>
      <c r="E86" s="3" t="inlineStr">
        <is>
          <t>Deciles</t>
        </is>
      </c>
      <c r="F86" s="3" t="inlineStr">
        <is>
          <t>mean</t>
        </is>
      </c>
      <c r="G86" s="3" t="n">
        <v>6</v>
      </c>
      <c r="H86" s="3" t="n">
        <v>-0.7829999923706055</v>
      </c>
      <c r="I86" s="3" t="n">
        <v>-0.7829999923706055</v>
      </c>
      <c r="J86" s="3" t="n">
        <v>-0.8560000061988831</v>
      </c>
      <c r="K86" s="3" t="n">
        <v>-0.8560000061988831</v>
      </c>
      <c r="L86" s="3" t="n">
        <v>-0.7829999923706055</v>
      </c>
      <c r="M86" s="3" t="n">
        <v>-0.7829999923706055</v>
      </c>
      <c r="N86" s="3" t="n">
        <v>-0.7829999923706055</v>
      </c>
      <c r="O86" s="3" t="n">
        <v>-0.7829999923706055</v>
      </c>
      <c r="P86" s="3" t="n">
        <v>-0.7829999923706055</v>
      </c>
      <c r="Q86" s="3" t="n">
        <v>-0.7829999923706055</v>
      </c>
      <c r="R86" s="3" t="n">
        <v>-0.7710000276565552</v>
      </c>
      <c r="S86" s="3" t="n">
        <v>-1.003999948501587</v>
      </c>
      <c r="T86" s="3" t="n">
        <v>-0.7089999914169312</v>
      </c>
      <c r="U86" s="3" t="n">
        <v>-0.8560000061988831</v>
      </c>
      <c r="V86" s="3" t="n">
        <v>-0.6779999732971191</v>
      </c>
      <c r="W86" s="3" t="n">
        <v>-0.5230000019073486</v>
      </c>
      <c r="X86" s="3" t="n">
        <v>-1.001000046730042</v>
      </c>
      <c r="Y86" s="3" t="n">
        <v>-0.7829999923706055</v>
      </c>
      <c r="Z86" s="3" t="n">
        <v>-1.003999948501587</v>
      </c>
      <c r="AA86" s="3" t="n">
        <v>-1.003999948501587</v>
      </c>
      <c r="AB86" s="3" t="n">
        <v>-1.001000046730042</v>
      </c>
      <c r="AC86" s="3" t="n">
        <v>-1.103999972343445</v>
      </c>
      <c r="AD86" s="3" t="n">
        <v>-0.8560000061988831</v>
      </c>
      <c r="AE86" s="3" t="n">
        <v>-0.8560000061988831</v>
      </c>
    </row>
    <row r="87">
      <c r="A87" s="3" t="inlineStr">
        <is>
          <t>ARM.distn.dec.ove.mean.7</t>
        </is>
      </c>
      <c r="B87" s="3" t="inlineStr">
        <is>
          <t>ARM</t>
        </is>
      </c>
      <c r="C87" s="3" t="n">
        <v>2005</v>
      </c>
      <c r="D87" s="3" t="inlineStr">
        <is>
          <t>Overall</t>
        </is>
      </c>
      <c r="E87" s="3" t="inlineStr">
        <is>
          <t>Deciles</t>
        </is>
      </c>
      <c r="F87" s="3" t="inlineStr">
        <is>
          <t>mean</t>
        </is>
      </c>
      <c r="G87" s="3" t="n">
        <v>7</v>
      </c>
      <c r="H87" s="3" t="n">
        <v>-0.7829999923706055</v>
      </c>
      <c r="I87" s="3" t="n">
        <v>-0.7829999923706055</v>
      </c>
      <c r="J87" s="3" t="n">
        <v>-0.8560000061988831</v>
      </c>
      <c r="K87" s="3" t="n">
        <v>-0.8560000061988831</v>
      </c>
      <c r="L87" s="3" t="n">
        <v>-0.7829999923706055</v>
      </c>
      <c r="M87" s="3" t="n">
        <v>-0.7829999923706055</v>
      </c>
      <c r="N87" s="3" t="n">
        <v>-0.7829999923706055</v>
      </c>
      <c r="O87" s="3" t="n">
        <v>-0.7829999923706055</v>
      </c>
      <c r="P87" s="3" t="n">
        <v>-0.7829999923706055</v>
      </c>
      <c r="Q87" s="3" t="n">
        <v>-0.7829999923706055</v>
      </c>
      <c r="R87" s="3" t="n">
        <v>-0.7710000276565552</v>
      </c>
      <c r="S87" s="3" t="n">
        <v>-1.003999948501587</v>
      </c>
      <c r="T87" s="3" t="n">
        <v>-0.7089999914169312</v>
      </c>
      <c r="U87" s="3" t="n">
        <v>-0.8560000061988831</v>
      </c>
      <c r="V87" s="3" t="n">
        <v>-0.6779999732971191</v>
      </c>
      <c r="W87" s="3" t="n">
        <v>-0.5230000019073486</v>
      </c>
      <c r="X87" s="3" t="n">
        <v>-1.001000046730042</v>
      </c>
      <c r="Y87" s="3" t="n">
        <v>-0.7829999923706055</v>
      </c>
      <c r="Z87" s="3" t="n">
        <v>-1.003999948501587</v>
      </c>
      <c r="AA87" s="3" t="n">
        <v>-1.003999948501587</v>
      </c>
      <c r="AB87" s="3" t="n">
        <v>-1.001000046730042</v>
      </c>
      <c r="AC87" s="3" t="n">
        <v>-1.103999972343445</v>
      </c>
      <c r="AD87" s="3" t="n">
        <v>-0.8560000061988831</v>
      </c>
      <c r="AE87" s="3" t="n">
        <v>-0.8560000061988831</v>
      </c>
    </row>
    <row r="88">
      <c r="A88" s="3" t="inlineStr">
        <is>
          <t>ARM.distn.dec.ove.mean.8</t>
        </is>
      </c>
      <c r="B88" s="3" t="inlineStr">
        <is>
          <t>ARM</t>
        </is>
      </c>
      <c r="C88" s="3" t="n">
        <v>2005</v>
      </c>
      <c r="D88" s="3" t="inlineStr">
        <is>
          <t>Overall</t>
        </is>
      </c>
      <c r="E88" s="3" t="inlineStr">
        <is>
          <t>Deciles</t>
        </is>
      </c>
      <c r="F88" s="3" t="inlineStr">
        <is>
          <t>mean</t>
        </is>
      </c>
      <c r="G88" s="3" t="n">
        <v>8</v>
      </c>
      <c r="H88" s="3" t="n">
        <v>-0.7833772301673889</v>
      </c>
      <c r="I88" s="3" t="n">
        <v>-0.7833772301673889</v>
      </c>
      <c r="J88" s="3" t="n">
        <v>-0.8583091497421265</v>
      </c>
      <c r="K88" s="3" t="n">
        <v>-0.8583091497421265</v>
      </c>
      <c r="L88" s="3" t="n">
        <v>-0.7833772301673889</v>
      </c>
      <c r="M88" s="3" t="n">
        <v>-0.7833772301673889</v>
      </c>
      <c r="N88" s="3" t="n">
        <v>-0.7833772301673889</v>
      </c>
      <c r="O88" s="3" t="n">
        <v>-0.7833772301673889</v>
      </c>
      <c r="P88" s="3" t="n">
        <v>-0.7833772301673889</v>
      </c>
      <c r="Q88" s="3" t="n">
        <v>-0.7833772301673889</v>
      </c>
      <c r="R88" s="3" t="n">
        <v>-0.7712535858154297</v>
      </c>
      <c r="S88" s="3" t="n">
        <v>-1.013342380523682</v>
      </c>
      <c r="T88" s="3" t="n">
        <v>-0.7090408802032471</v>
      </c>
      <c r="U88" s="3" t="n">
        <v>-0.8583091497421265</v>
      </c>
      <c r="V88" s="3" t="n">
        <v>-0.6787009239196777</v>
      </c>
      <c r="W88" s="3" t="n">
        <v>-0.5370053052902222</v>
      </c>
      <c r="X88" s="3" t="n">
        <v>-1.01012110710144</v>
      </c>
      <c r="Y88" s="3" t="n">
        <v>-0.7833772301673889</v>
      </c>
      <c r="Z88" s="3" t="n">
        <v>-1.013342380523682</v>
      </c>
      <c r="AA88" s="3" t="n">
        <v>-1.013342380523682</v>
      </c>
      <c r="AB88" s="3" t="n">
        <v>-1.01012110710144</v>
      </c>
      <c r="AC88" s="3" t="n">
        <v>-1.119744539260864</v>
      </c>
      <c r="AD88" s="3" t="n">
        <v>-0.8583091497421265</v>
      </c>
      <c r="AE88" s="3" t="n">
        <v>-0.8583091497421265</v>
      </c>
    </row>
    <row r="89">
      <c r="A89" s="3" t="inlineStr">
        <is>
          <t>ARM.distn.dec.ove.mean.9</t>
        </is>
      </c>
      <c r="B89" s="3" t="inlineStr">
        <is>
          <t>ARM</t>
        </is>
      </c>
      <c r="C89" s="3" t="n">
        <v>2005</v>
      </c>
      <c r="D89" s="3" t="inlineStr">
        <is>
          <t>Overall</t>
        </is>
      </c>
      <c r="E89" s="3" t="inlineStr">
        <is>
          <t>Deciles</t>
        </is>
      </c>
      <c r="F89" s="3" t="inlineStr">
        <is>
          <t>mean</t>
        </is>
      </c>
      <c r="G89" s="3" t="n">
        <v>9</v>
      </c>
      <c r="H89" s="3" t="n">
        <v>-0.7833772301673889</v>
      </c>
      <c r="I89" s="3" t="n">
        <v>-0.7833772301673889</v>
      </c>
      <c r="J89" s="3" t="n">
        <v>-0.8583091497421265</v>
      </c>
      <c r="K89" s="3" t="n">
        <v>-0.8583091497421265</v>
      </c>
      <c r="L89" s="3" t="n">
        <v>-0.7833772301673889</v>
      </c>
      <c r="M89" s="3" t="n">
        <v>-0.7833772301673889</v>
      </c>
      <c r="N89" s="3" t="n">
        <v>-0.7833772301673889</v>
      </c>
      <c r="O89" s="3" t="n">
        <v>-0.7833772301673889</v>
      </c>
      <c r="P89" s="3" t="n">
        <v>-0.7833772301673889</v>
      </c>
      <c r="Q89" s="3" t="n">
        <v>-0.7833772301673889</v>
      </c>
      <c r="R89" s="3" t="n">
        <v>-0.7712535858154297</v>
      </c>
      <c r="S89" s="3" t="n">
        <v>-1.013342380523682</v>
      </c>
      <c r="T89" s="3" t="n">
        <v>-0.7090408802032471</v>
      </c>
      <c r="U89" s="3" t="n">
        <v>-0.8583091497421265</v>
      </c>
      <c r="V89" s="3" t="n">
        <v>-0.6787009239196777</v>
      </c>
      <c r="W89" s="3" t="n">
        <v>-0.5370053052902222</v>
      </c>
      <c r="X89" s="3" t="n">
        <v>-1.01012110710144</v>
      </c>
      <c r="Y89" s="3" t="n">
        <v>-0.7833772301673889</v>
      </c>
      <c r="Z89" s="3" t="n">
        <v>-1.013342380523682</v>
      </c>
      <c r="AA89" s="3" t="n">
        <v>-1.013342380523682</v>
      </c>
      <c r="AB89" s="3" t="n">
        <v>-1.01012110710144</v>
      </c>
      <c r="AC89" s="3" t="n">
        <v>-1.119744539260864</v>
      </c>
      <c r="AD89" s="3" t="n">
        <v>-0.8583091497421265</v>
      </c>
      <c r="AE89" s="3" t="n">
        <v>-0.8583091497421265</v>
      </c>
    </row>
    <row r="90">
      <c r="A90" s="3" t="inlineStr">
        <is>
          <t>ARM.distn.dec.ove.mean.10</t>
        </is>
      </c>
      <c r="B90" s="3" t="inlineStr">
        <is>
          <t>ARM</t>
        </is>
      </c>
      <c r="C90" s="3" t="n">
        <v>2005</v>
      </c>
      <c r="D90" s="3" t="inlineStr">
        <is>
          <t>Overall</t>
        </is>
      </c>
      <c r="E90" s="3" t="inlineStr">
        <is>
          <t>Deciles</t>
        </is>
      </c>
      <c r="F90" s="3" t="inlineStr">
        <is>
          <t>mean</t>
        </is>
      </c>
      <c r="G90" s="3" t="n">
        <v>10</v>
      </c>
      <c r="H90" s="3" t="n">
        <v>-0.7833772301673889</v>
      </c>
      <c r="I90" s="3" t="n">
        <v>-0.7833772301673889</v>
      </c>
      <c r="J90" s="3" t="n">
        <v>-0.8583091497421265</v>
      </c>
      <c r="K90" s="3" t="n">
        <v>-0.8583091497421265</v>
      </c>
      <c r="L90" s="3" t="n">
        <v>-0.7833772301673889</v>
      </c>
      <c r="M90" s="3" t="n">
        <v>-0.7833772301673889</v>
      </c>
      <c r="N90" s="3" t="n">
        <v>-0.7833772301673889</v>
      </c>
      <c r="O90" s="3" t="n">
        <v>-0.7833772301673889</v>
      </c>
      <c r="P90" s="3" t="n">
        <v>-0.7833772301673889</v>
      </c>
      <c r="Q90" s="3" t="n">
        <v>-0.7833772301673889</v>
      </c>
      <c r="R90" s="3" t="n">
        <v>-0.7712535858154297</v>
      </c>
      <c r="S90" s="3" t="n">
        <v>-1.013342380523682</v>
      </c>
      <c r="T90" s="3" t="n">
        <v>-0.7090408802032471</v>
      </c>
      <c r="U90" s="3" t="n">
        <v>-0.8583091497421265</v>
      </c>
      <c r="V90" s="3" t="n">
        <v>-0.6787009239196777</v>
      </c>
      <c r="W90" s="3" t="n">
        <v>-0.5370053052902222</v>
      </c>
      <c r="X90" s="3" t="n">
        <v>-1.01012110710144</v>
      </c>
      <c r="Y90" s="3" t="n">
        <v>-0.7833772301673889</v>
      </c>
      <c r="Z90" s="3" t="n">
        <v>-1.013342380523682</v>
      </c>
      <c r="AA90" s="3" t="n">
        <v>-1.013342380523682</v>
      </c>
      <c r="AB90" s="3" t="n">
        <v>-1.01012110710144</v>
      </c>
      <c r="AC90" s="3" t="n">
        <v>-1.119744539260864</v>
      </c>
      <c r="AD90" s="3" t="n">
        <v>-0.8583091497421265</v>
      </c>
      <c r="AE90" s="3" t="n">
        <v>-0.8583091497421265</v>
      </c>
    </row>
    <row r="91">
      <c r="A91" s="3" t="inlineStr">
        <is>
          <t>ARM.distn.bkt.ove.mean.9999</t>
        </is>
      </c>
      <c r="B91" s="3" t="inlineStr">
        <is>
          <t>ARM</t>
        </is>
      </c>
      <c r="C91" s="3" t="n">
        <v>2005</v>
      </c>
      <c r="D91" s="3" t="inlineStr">
        <is>
          <t>Overall</t>
        </is>
      </c>
      <c r="E91" s="3" t="inlineStr">
        <is>
          <t>Basket</t>
        </is>
      </c>
      <c r="F91" s="3" t="inlineStr">
        <is>
          <t>mean</t>
        </is>
      </c>
      <c r="G91" s="3" t="n">
        <v>9999</v>
      </c>
      <c r="H91" s="3" t="n">
        <v>-0.7849878668785095</v>
      </c>
      <c r="I91" s="3" t="n">
        <v>-0.7849878668785095</v>
      </c>
      <c r="J91" s="3" t="n">
        <v>-0.869731605052948</v>
      </c>
      <c r="K91" s="3" t="n">
        <v>-0.869731605052948</v>
      </c>
      <c r="L91" s="3" t="n">
        <v>-0.7849878668785095</v>
      </c>
      <c r="M91" s="3" t="n">
        <v>-0.7849878668785095</v>
      </c>
      <c r="N91" s="3" t="n">
        <v>-0.7849878668785095</v>
      </c>
      <c r="O91" s="3" t="n">
        <v>-0.7849878668785095</v>
      </c>
      <c r="P91" s="3" t="n">
        <v>-0.7849878668785095</v>
      </c>
      <c r="Q91" s="3" t="n">
        <v>-0.7849878668785095</v>
      </c>
      <c r="R91" s="3" t="n">
        <v>-0.7721186876296997</v>
      </c>
      <c r="S91" s="3" t="n">
        <v>-1.147821307182312</v>
      </c>
      <c r="T91" s="3" t="n">
        <v>-0.7094486355781555</v>
      </c>
      <c r="U91" s="3" t="n">
        <v>-0.869731605052948</v>
      </c>
      <c r="V91" s="3" t="n">
        <v>-0.6802998185157776</v>
      </c>
      <c r="W91" s="3" t="n">
        <v>-0.5567308664321899</v>
      </c>
      <c r="X91" s="3" t="n">
        <v>-1.128950119018555</v>
      </c>
      <c r="Y91" s="3" t="n">
        <v>-0.7849878668785095</v>
      </c>
      <c r="Z91" s="3" t="n">
        <v>-1.147821307182312</v>
      </c>
      <c r="AA91" s="3" t="n">
        <v>-1.147821307182312</v>
      </c>
      <c r="AB91" s="3" t="n">
        <v>-1.128950119018555</v>
      </c>
      <c r="AC91" s="3" t="n">
        <v>-1.463347554206848</v>
      </c>
      <c r="AD91" s="3" t="n">
        <v>-0.869731605052948</v>
      </c>
      <c r="AE91" s="3" t="n">
        <v>-0.869731605052948</v>
      </c>
    </row>
    <row r="92">
      <c r="A92" s="3" t="inlineStr">
        <is>
          <t>ASM.distn.dec.ove.mean.1</t>
        </is>
      </c>
      <c r="B92" s="3" t="inlineStr">
        <is>
          <t>ASM</t>
        </is>
      </c>
      <c r="C92" s="3" t="n">
        <v>2005</v>
      </c>
      <c r="D92" s="3" t="inlineStr">
        <is>
          <t>Overall</t>
        </is>
      </c>
      <c r="E92" s="3" t="inlineStr">
        <is>
          <t>Deciles</t>
        </is>
      </c>
      <c r="F92" s="3" t="inlineStr">
        <is>
          <t>mean</t>
        </is>
      </c>
      <c r="G92" s="3" t="n">
        <v>1</v>
      </c>
      <c r="H92" s="3" t="n">
        <v>-0.7898249251501901</v>
      </c>
      <c r="I92" s="3" t="n">
        <v>-0.7898249251501901</v>
      </c>
      <c r="J92" s="3" t="n">
        <v>-0.9006037865366254</v>
      </c>
      <c r="K92" s="3" t="n">
        <v>-0.9006037865366254</v>
      </c>
      <c r="L92" s="3" t="n">
        <v>-0.7898249251501901</v>
      </c>
      <c r="M92" s="3" t="n">
        <v>-0.7898249251501901</v>
      </c>
      <c r="N92" s="3" t="n">
        <v>-0.7898249251501901</v>
      </c>
      <c r="O92" s="3" t="n">
        <v>-0.7898249251501901</v>
      </c>
      <c r="P92" s="3" t="n">
        <v>-0.7898249251501901</v>
      </c>
      <c r="Q92" s="3" t="n">
        <v>-0.7898249251501901</v>
      </c>
      <c r="R92" s="3" t="n">
        <v>-0.7744465725762504</v>
      </c>
      <c r="S92" s="3" t="n">
        <v>-1.490841317176819</v>
      </c>
      <c r="T92" s="3" t="n">
        <v>-0.7100824441228594</v>
      </c>
      <c r="U92" s="3" t="n">
        <v>-0.9006037865366254</v>
      </c>
      <c r="V92" s="3" t="n">
        <v>-0.6846477542604719</v>
      </c>
      <c r="W92" s="3" t="n">
        <v>-0.6204802887780326</v>
      </c>
      <c r="X92" s="3" t="n">
        <v>-1.433480068615505</v>
      </c>
      <c r="Y92" s="3" t="n">
        <v>-0.7898249251501901</v>
      </c>
      <c r="Z92" s="3" t="n">
        <v>-1.490841317176819</v>
      </c>
      <c r="AA92" s="3" t="n">
        <v>-1.490841317176819</v>
      </c>
      <c r="AB92" s="3" t="n">
        <v>-1.433480068615505</v>
      </c>
      <c r="AC92" s="3" t="n">
        <v>-2.345895099639892</v>
      </c>
      <c r="AD92" s="3" t="n">
        <v>-0.9006037865366254</v>
      </c>
      <c r="AE92" s="3" t="n">
        <v>-0.9006037865366254</v>
      </c>
    </row>
    <row r="93">
      <c r="A93" s="3" t="inlineStr">
        <is>
          <t>ASM.distn.dec.ove.mean.2</t>
        </is>
      </c>
      <c r="B93" s="3" t="inlineStr">
        <is>
          <t>ASM</t>
        </is>
      </c>
      <c r="C93" s="3" t="n">
        <v>2005</v>
      </c>
      <c r="D93" s="3" t="inlineStr">
        <is>
          <t>Overall</t>
        </is>
      </c>
      <c r="E93" s="3" t="inlineStr">
        <is>
          <t>Deciles</t>
        </is>
      </c>
      <c r="F93" s="3" t="inlineStr">
        <is>
          <t>mean</t>
        </is>
      </c>
      <c r="G93" s="3" t="n">
        <v>2</v>
      </c>
      <c r="H93" s="3" t="n">
        <v>-0.7898249251501901</v>
      </c>
      <c r="I93" s="3" t="n">
        <v>-0.7898249251501901</v>
      </c>
      <c r="J93" s="3" t="n">
        <v>-0.9006037865366254</v>
      </c>
      <c r="K93" s="3" t="n">
        <v>-0.9006037865366254</v>
      </c>
      <c r="L93" s="3" t="n">
        <v>-0.7898249251501901</v>
      </c>
      <c r="M93" s="3" t="n">
        <v>-0.7898249251501901</v>
      </c>
      <c r="N93" s="3" t="n">
        <v>-0.7898249251501901</v>
      </c>
      <c r="O93" s="3" t="n">
        <v>-0.7898249251501901</v>
      </c>
      <c r="P93" s="3" t="n">
        <v>-0.7898249251501901</v>
      </c>
      <c r="Q93" s="3" t="n">
        <v>-0.7898249251501901</v>
      </c>
      <c r="R93" s="3" t="n">
        <v>-0.7744465725762504</v>
      </c>
      <c r="S93" s="3" t="n">
        <v>-1.490841317176819</v>
      </c>
      <c r="T93" s="3" t="n">
        <v>-0.7100824441228594</v>
      </c>
      <c r="U93" s="3" t="n">
        <v>-0.9006037865366254</v>
      </c>
      <c r="V93" s="3" t="n">
        <v>-0.6846477542604719</v>
      </c>
      <c r="W93" s="3" t="n">
        <v>-0.6204802887780326</v>
      </c>
      <c r="X93" s="3" t="n">
        <v>-1.433480068615505</v>
      </c>
      <c r="Y93" s="3" t="n">
        <v>-0.7898249251501901</v>
      </c>
      <c r="Z93" s="3" t="n">
        <v>-1.490841317176819</v>
      </c>
      <c r="AA93" s="3" t="n">
        <v>-1.490841317176819</v>
      </c>
      <c r="AB93" s="3" t="n">
        <v>-1.433480068615505</v>
      </c>
      <c r="AC93" s="3" t="n">
        <v>-2.345895099639892</v>
      </c>
      <c r="AD93" s="3" t="n">
        <v>-0.9006037865366254</v>
      </c>
      <c r="AE93" s="3" t="n">
        <v>-0.9006037865366254</v>
      </c>
    </row>
    <row r="94">
      <c r="A94" s="3" t="inlineStr">
        <is>
          <t>ASM.distn.dec.ove.mean.3</t>
        </is>
      </c>
      <c r="B94" s="3" t="inlineStr">
        <is>
          <t>ASM</t>
        </is>
      </c>
      <c r="C94" s="3" t="n">
        <v>2005</v>
      </c>
      <c r="D94" s="3" t="inlineStr">
        <is>
          <t>Overall</t>
        </is>
      </c>
      <c r="E94" s="3" t="inlineStr">
        <is>
          <t>Deciles</t>
        </is>
      </c>
      <c r="F94" s="3" t="inlineStr">
        <is>
          <t>mean</t>
        </is>
      </c>
      <c r="G94" s="3" t="n">
        <v>3</v>
      </c>
      <c r="H94" s="3" t="n">
        <v>-0.7898249251501901</v>
      </c>
      <c r="I94" s="3" t="n">
        <v>-0.7898249251501901</v>
      </c>
      <c r="J94" s="3" t="n">
        <v>-0.9006037865366254</v>
      </c>
      <c r="K94" s="3" t="n">
        <v>-0.9006037865366254</v>
      </c>
      <c r="L94" s="3" t="n">
        <v>-0.7898249251501901</v>
      </c>
      <c r="M94" s="3" t="n">
        <v>-0.7898249251501901</v>
      </c>
      <c r="N94" s="3" t="n">
        <v>-0.7898249251501901</v>
      </c>
      <c r="O94" s="3" t="n">
        <v>-0.7898249251501901</v>
      </c>
      <c r="P94" s="3" t="n">
        <v>-0.7898249251501901</v>
      </c>
      <c r="Q94" s="3" t="n">
        <v>-0.7898249251501901</v>
      </c>
      <c r="R94" s="3" t="n">
        <v>-0.7744465725762504</v>
      </c>
      <c r="S94" s="3" t="n">
        <v>-1.490841317176819</v>
      </c>
      <c r="T94" s="3" t="n">
        <v>-0.7100824441228594</v>
      </c>
      <c r="U94" s="3" t="n">
        <v>-0.9006037865366254</v>
      </c>
      <c r="V94" s="3" t="n">
        <v>-0.6846477542604719</v>
      </c>
      <c r="W94" s="3" t="n">
        <v>-0.6204802887780326</v>
      </c>
      <c r="X94" s="3" t="n">
        <v>-1.433480068615505</v>
      </c>
      <c r="Y94" s="3" t="n">
        <v>-0.7898249251501901</v>
      </c>
      <c r="Z94" s="3" t="n">
        <v>-1.490841317176819</v>
      </c>
      <c r="AA94" s="3" t="n">
        <v>-1.490841317176819</v>
      </c>
      <c r="AB94" s="3" t="n">
        <v>-1.433480068615505</v>
      </c>
      <c r="AC94" s="3" t="n">
        <v>-2.345895099639892</v>
      </c>
      <c r="AD94" s="3" t="n">
        <v>-0.9006037865366254</v>
      </c>
      <c r="AE94" s="3" t="n">
        <v>-0.9006037865366254</v>
      </c>
    </row>
    <row r="95">
      <c r="A95" s="3" t="inlineStr">
        <is>
          <t>ASM.distn.dec.ove.mean.4</t>
        </is>
      </c>
      <c r="B95" s="3" t="inlineStr">
        <is>
          <t>ASM</t>
        </is>
      </c>
      <c r="C95" s="3" t="n">
        <v>2005</v>
      </c>
      <c r="D95" s="3" t="inlineStr">
        <is>
          <t>Overall</t>
        </is>
      </c>
      <c r="E95" s="3" t="inlineStr">
        <is>
          <t>Deciles</t>
        </is>
      </c>
      <c r="F95" s="3" t="inlineStr">
        <is>
          <t>mean</t>
        </is>
      </c>
      <c r="G95" s="3" t="n">
        <v>4</v>
      </c>
      <c r="H95" s="3" t="n">
        <v>-0.7835714289120266</v>
      </c>
      <c r="I95" s="3" t="n">
        <v>-0.7835714289120266</v>
      </c>
      <c r="J95" s="3" t="n">
        <v>-0.8570857082094465</v>
      </c>
      <c r="K95" s="3" t="n">
        <v>-0.8570857082094465</v>
      </c>
      <c r="L95" s="3" t="n">
        <v>-0.7835714289120266</v>
      </c>
      <c r="M95" s="3" t="n">
        <v>-0.7835714289120266</v>
      </c>
      <c r="N95" s="3" t="n">
        <v>-0.7835714289120266</v>
      </c>
      <c r="O95" s="3" t="n">
        <v>-0.7835714289120266</v>
      </c>
      <c r="P95" s="3" t="n">
        <v>-0.7835714289120266</v>
      </c>
      <c r="Q95" s="3" t="n">
        <v>-0.7835714289120266</v>
      </c>
      <c r="R95" s="3" t="n">
        <v>-0.7709714361599513</v>
      </c>
      <c r="S95" s="3" t="n">
        <v>-1.015428565229688</v>
      </c>
      <c r="T95" s="3" t="n">
        <v>-0.708628567627498</v>
      </c>
      <c r="U95" s="3" t="n">
        <v>-0.8570857082094465</v>
      </c>
      <c r="V95" s="3" t="n">
        <v>-0.6776857103620256</v>
      </c>
      <c r="W95" s="3" t="n">
        <v>-0.5221999968801226</v>
      </c>
      <c r="X95" s="3" t="n">
        <v>-1.011657135827201</v>
      </c>
      <c r="Y95" s="3" t="n">
        <v>-0.7835714289120266</v>
      </c>
      <c r="Z95" s="3" t="n">
        <v>-1.015428565229688</v>
      </c>
      <c r="AA95" s="3" t="n">
        <v>-1.015428565229688</v>
      </c>
      <c r="AB95" s="3" t="n">
        <v>-1.011657135827201</v>
      </c>
      <c r="AC95" s="3" t="n">
        <v>-1.132885714939662</v>
      </c>
      <c r="AD95" s="3" t="n">
        <v>-0.8570857082094465</v>
      </c>
      <c r="AE95" s="3" t="n">
        <v>-0.8570857082094465</v>
      </c>
    </row>
    <row r="96">
      <c r="A96" s="3" t="inlineStr">
        <is>
          <t>ASM.distn.dec.ove.mean.5</t>
        </is>
      </c>
      <c r="B96" s="3" t="inlineStr">
        <is>
          <t>ASM</t>
        </is>
      </c>
      <c r="C96" s="3" t="n">
        <v>2005</v>
      </c>
      <c r="D96" s="3" t="inlineStr">
        <is>
          <t>Overall</t>
        </is>
      </c>
      <c r="E96" s="3" t="inlineStr">
        <is>
          <t>Deciles</t>
        </is>
      </c>
      <c r="F96" s="3" t="inlineStr">
        <is>
          <t>mean</t>
        </is>
      </c>
      <c r="G96" s="3" t="n">
        <v>5</v>
      </c>
      <c r="H96" s="3" t="n">
        <v>-0.7835714289120266</v>
      </c>
      <c r="I96" s="3" t="n">
        <v>-0.7835714289120266</v>
      </c>
      <c r="J96" s="3" t="n">
        <v>-0.8570857082094465</v>
      </c>
      <c r="K96" s="3" t="n">
        <v>-0.8570857082094465</v>
      </c>
      <c r="L96" s="3" t="n">
        <v>-0.7835714289120266</v>
      </c>
      <c r="M96" s="3" t="n">
        <v>-0.7835714289120266</v>
      </c>
      <c r="N96" s="3" t="n">
        <v>-0.7835714289120266</v>
      </c>
      <c r="O96" s="3" t="n">
        <v>-0.7835714289120266</v>
      </c>
      <c r="P96" s="3" t="n">
        <v>-0.7835714289120266</v>
      </c>
      <c r="Q96" s="3" t="n">
        <v>-0.7835714289120266</v>
      </c>
      <c r="R96" s="3" t="n">
        <v>-0.7709714361599513</v>
      </c>
      <c r="S96" s="3" t="n">
        <v>-1.015428565229688</v>
      </c>
      <c r="T96" s="3" t="n">
        <v>-0.708628567627498</v>
      </c>
      <c r="U96" s="3" t="n">
        <v>-0.8570857082094465</v>
      </c>
      <c r="V96" s="3" t="n">
        <v>-0.6776857103620256</v>
      </c>
      <c r="W96" s="3" t="n">
        <v>-0.5221999968801226</v>
      </c>
      <c r="X96" s="3" t="n">
        <v>-1.011657135827201</v>
      </c>
      <c r="Y96" s="3" t="n">
        <v>-0.7835714289120266</v>
      </c>
      <c r="Z96" s="3" t="n">
        <v>-1.015428565229688</v>
      </c>
      <c r="AA96" s="3" t="n">
        <v>-1.015428565229688</v>
      </c>
      <c r="AB96" s="3" t="n">
        <v>-1.011657135827201</v>
      </c>
      <c r="AC96" s="3" t="n">
        <v>-1.132885714939662</v>
      </c>
      <c r="AD96" s="3" t="n">
        <v>-0.8570857082094465</v>
      </c>
      <c r="AE96" s="3" t="n">
        <v>-0.8570857082094465</v>
      </c>
    </row>
    <row r="97">
      <c r="A97" s="3" t="inlineStr">
        <is>
          <t>ASM.distn.dec.ove.mean.6</t>
        </is>
      </c>
      <c r="B97" s="3" t="inlineStr">
        <is>
          <t>ASM</t>
        </is>
      </c>
      <c r="C97" s="3" t="n">
        <v>2005</v>
      </c>
      <c r="D97" s="3" t="inlineStr">
        <is>
          <t>Overall</t>
        </is>
      </c>
      <c r="E97" s="3" t="inlineStr">
        <is>
          <t>Deciles</t>
        </is>
      </c>
      <c r="F97" s="3" t="inlineStr">
        <is>
          <t>mean</t>
        </is>
      </c>
      <c r="G97" s="3" t="n">
        <v>6</v>
      </c>
      <c r="H97" s="3" t="n">
        <v>-0.7835714289120266</v>
      </c>
      <c r="I97" s="3" t="n">
        <v>-0.7835714289120266</v>
      </c>
      <c r="J97" s="3" t="n">
        <v>-0.8570857082094465</v>
      </c>
      <c r="K97" s="3" t="n">
        <v>-0.8570857082094465</v>
      </c>
      <c r="L97" s="3" t="n">
        <v>-0.7835714289120266</v>
      </c>
      <c r="M97" s="3" t="n">
        <v>-0.7835714289120266</v>
      </c>
      <c r="N97" s="3" t="n">
        <v>-0.7835714289120266</v>
      </c>
      <c r="O97" s="3" t="n">
        <v>-0.7835714289120266</v>
      </c>
      <c r="P97" s="3" t="n">
        <v>-0.7835714289120266</v>
      </c>
      <c r="Q97" s="3" t="n">
        <v>-0.7835714289120266</v>
      </c>
      <c r="R97" s="3" t="n">
        <v>-0.7709714361599513</v>
      </c>
      <c r="S97" s="3" t="n">
        <v>-1.015428565229688</v>
      </c>
      <c r="T97" s="3" t="n">
        <v>-0.708628567627498</v>
      </c>
      <c r="U97" s="3" t="n">
        <v>-0.8570857082094465</v>
      </c>
      <c r="V97" s="3" t="n">
        <v>-0.6776857103620256</v>
      </c>
      <c r="W97" s="3" t="n">
        <v>-0.5221999968801226</v>
      </c>
      <c r="X97" s="3" t="n">
        <v>-1.011657135827201</v>
      </c>
      <c r="Y97" s="3" t="n">
        <v>-0.7835714289120266</v>
      </c>
      <c r="Z97" s="3" t="n">
        <v>-1.015428565229688</v>
      </c>
      <c r="AA97" s="3" t="n">
        <v>-1.015428565229688</v>
      </c>
      <c r="AB97" s="3" t="n">
        <v>-1.011657135827201</v>
      </c>
      <c r="AC97" s="3" t="n">
        <v>-1.132885714939662</v>
      </c>
      <c r="AD97" s="3" t="n">
        <v>-0.8570857082094465</v>
      </c>
      <c r="AE97" s="3" t="n">
        <v>-0.8570857082094465</v>
      </c>
    </row>
    <row r="98">
      <c r="A98" s="3" t="inlineStr">
        <is>
          <t>ASM.distn.dec.ove.mean.7</t>
        </is>
      </c>
      <c r="B98" s="3" t="inlineStr">
        <is>
          <t>ASM</t>
        </is>
      </c>
      <c r="C98" s="3" t="n">
        <v>2005</v>
      </c>
      <c r="D98" s="3" t="inlineStr">
        <is>
          <t>Overall</t>
        </is>
      </c>
      <c r="E98" s="3" t="inlineStr">
        <is>
          <t>Deciles</t>
        </is>
      </c>
      <c r="F98" s="3" t="inlineStr">
        <is>
          <t>mean</t>
        </is>
      </c>
      <c r="G98" s="3" t="n">
        <v>7</v>
      </c>
      <c r="H98" s="3" t="n">
        <v>-0.7835714289120266</v>
      </c>
      <c r="I98" s="3" t="n">
        <v>-0.7835714289120266</v>
      </c>
      <c r="J98" s="3" t="n">
        <v>-0.8570857082094465</v>
      </c>
      <c r="K98" s="3" t="n">
        <v>-0.8570857082094465</v>
      </c>
      <c r="L98" s="3" t="n">
        <v>-0.7835714289120266</v>
      </c>
      <c r="M98" s="3" t="n">
        <v>-0.7835714289120266</v>
      </c>
      <c r="N98" s="3" t="n">
        <v>-0.7835714289120266</v>
      </c>
      <c r="O98" s="3" t="n">
        <v>-0.7835714289120266</v>
      </c>
      <c r="P98" s="3" t="n">
        <v>-0.7835714289120266</v>
      </c>
      <c r="Q98" s="3" t="n">
        <v>-0.7835714289120266</v>
      </c>
      <c r="R98" s="3" t="n">
        <v>-0.7709714361599513</v>
      </c>
      <c r="S98" s="3" t="n">
        <v>-1.015428565229688</v>
      </c>
      <c r="T98" s="3" t="n">
        <v>-0.708628567627498</v>
      </c>
      <c r="U98" s="3" t="n">
        <v>-0.8570857082094465</v>
      </c>
      <c r="V98" s="3" t="n">
        <v>-0.6776857103620256</v>
      </c>
      <c r="W98" s="3" t="n">
        <v>-0.5221999968801226</v>
      </c>
      <c r="X98" s="3" t="n">
        <v>-1.011657135827201</v>
      </c>
      <c r="Y98" s="3" t="n">
        <v>-0.7835714289120266</v>
      </c>
      <c r="Z98" s="3" t="n">
        <v>-1.015428565229688</v>
      </c>
      <c r="AA98" s="3" t="n">
        <v>-1.015428565229688</v>
      </c>
      <c r="AB98" s="3" t="n">
        <v>-1.011657135827201</v>
      </c>
      <c r="AC98" s="3" t="n">
        <v>-1.132885714939662</v>
      </c>
      <c r="AD98" s="3" t="n">
        <v>-0.8570857082094465</v>
      </c>
      <c r="AE98" s="3" t="n">
        <v>-0.8570857082094465</v>
      </c>
    </row>
    <row r="99">
      <c r="A99" s="3" t="inlineStr">
        <is>
          <t>ASM.distn.dec.ove.mean.8</t>
        </is>
      </c>
      <c r="B99" s="3" t="inlineStr">
        <is>
          <t>ASM</t>
        </is>
      </c>
      <c r="C99" s="3" t="n">
        <v>2005</v>
      </c>
      <c r="D99" s="3" t="inlineStr">
        <is>
          <t>Overall</t>
        </is>
      </c>
      <c r="E99" s="3" t="inlineStr">
        <is>
          <t>Deciles</t>
        </is>
      </c>
      <c r="F99" s="3" t="inlineStr">
        <is>
          <t>mean</t>
        </is>
      </c>
      <c r="G99" s="3" t="n">
        <v>8</v>
      </c>
      <c r="H99" s="3" t="n">
        <v>-0.7839489357812064</v>
      </c>
      <c r="I99" s="3" t="n">
        <v>-0.7839489357812064</v>
      </c>
      <c r="J99" s="3" t="n">
        <v>-0.8593977723802839</v>
      </c>
      <c r="K99" s="3" t="n">
        <v>-0.8593977723802839</v>
      </c>
      <c r="L99" s="3" t="n">
        <v>-0.7839489357812064</v>
      </c>
      <c r="M99" s="3" t="n">
        <v>-0.7839489357812064</v>
      </c>
      <c r="N99" s="3" t="n">
        <v>-0.7839489357812064</v>
      </c>
      <c r="O99" s="3" t="n">
        <v>-0.7839489357812064</v>
      </c>
      <c r="P99" s="3" t="n">
        <v>-0.7839489357812064</v>
      </c>
      <c r="Q99" s="3" t="n">
        <v>-0.7839489357812064</v>
      </c>
      <c r="R99" s="3" t="n">
        <v>-0.7712249892098563</v>
      </c>
      <c r="S99" s="3" t="n">
        <v>-1.024877253600529</v>
      </c>
      <c r="T99" s="3" t="n">
        <v>-0.7086694342749459</v>
      </c>
      <c r="U99" s="3" t="n">
        <v>-0.8593977723802839</v>
      </c>
      <c r="V99" s="3" t="n">
        <v>-0.6783862863268171</v>
      </c>
      <c r="W99" s="3" t="n">
        <v>-0.5361838928290776</v>
      </c>
      <c r="X99" s="3" t="n">
        <v>-1.020875356878553</v>
      </c>
      <c r="Y99" s="3" t="n">
        <v>-0.7839489357812064</v>
      </c>
      <c r="Z99" s="3" t="n">
        <v>-1.024877253600529</v>
      </c>
      <c r="AA99" s="3" t="n">
        <v>-1.024877253600529</v>
      </c>
      <c r="AB99" s="3" t="n">
        <v>-1.020875356878553</v>
      </c>
      <c r="AC99" s="3" t="n">
        <v>-1.149042170388358</v>
      </c>
      <c r="AD99" s="3" t="n">
        <v>-0.8593977723802839</v>
      </c>
      <c r="AE99" s="3" t="n">
        <v>-0.8593977723802839</v>
      </c>
    </row>
    <row r="100">
      <c r="A100" s="3" t="inlineStr">
        <is>
          <t>ASM.distn.dec.ove.mean.9</t>
        </is>
      </c>
      <c r="B100" s="3" t="inlineStr">
        <is>
          <t>ASM</t>
        </is>
      </c>
      <c r="C100" s="3" t="n">
        <v>2005</v>
      </c>
      <c r="D100" s="3" t="inlineStr">
        <is>
          <t>Overall</t>
        </is>
      </c>
      <c r="E100" s="3" t="inlineStr">
        <is>
          <t>Deciles</t>
        </is>
      </c>
      <c r="F100" s="3" t="inlineStr">
        <is>
          <t>mean</t>
        </is>
      </c>
      <c r="G100" s="3" t="n">
        <v>9</v>
      </c>
      <c r="H100" s="3" t="n">
        <v>-0.7839489357812064</v>
      </c>
      <c r="I100" s="3" t="n">
        <v>-0.7839489357812064</v>
      </c>
      <c r="J100" s="3" t="n">
        <v>-0.8593977723802839</v>
      </c>
      <c r="K100" s="3" t="n">
        <v>-0.8593977723802839</v>
      </c>
      <c r="L100" s="3" t="n">
        <v>-0.7839489357812064</v>
      </c>
      <c r="M100" s="3" t="n">
        <v>-0.7839489357812064</v>
      </c>
      <c r="N100" s="3" t="n">
        <v>-0.7839489357812064</v>
      </c>
      <c r="O100" s="3" t="n">
        <v>-0.7839489357812064</v>
      </c>
      <c r="P100" s="3" t="n">
        <v>-0.7839489357812064</v>
      </c>
      <c r="Q100" s="3" t="n">
        <v>-0.7839489357812064</v>
      </c>
      <c r="R100" s="3" t="n">
        <v>-0.7712249892098563</v>
      </c>
      <c r="S100" s="3" t="n">
        <v>-1.024877253600529</v>
      </c>
      <c r="T100" s="3" t="n">
        <v>-0.7086694342749459</v>
      </c>
      <c r="U100" s="3" t="n">
        <v>-0.8593977723802839</v>
      </c>
      <c r="V100" s="3" t="n">
        <v>-0.6783862863268171</v>
      </c>
      <c r="W100" s="3" t="n">
        <v>-0.5361838928290776</v>
      </c>
      <c r="X100" s="3" t="n">
        <v>-1.020875356878553</v>
      </c>
      <c r="Y100" s="3" t="n">
        <v>-0.7839489357812064</v>
      </c>
      <c r="Z100" s="3" t="n">
        <v>-1.024877253600529</v>
      </c>
      <c r="AA100" s="3" t="n">
        <v>-1.024877253600529</v>
      </c>
      <c r="AB100" s="3" t="n">
        <v>-1.020875356878553</v>
      </c>
      <c r="AC100" s="3" t="n">
        <v>-1.149042170388358</v>
      </c>
      <c r="AD100" s="3" t="n">
        <v>-0.8593977723802839</v>
      </c>
      <c r="AE100" s="3" t="n">
        <v>-0.8593977723802839</v>
      </c>
    </row>
    <row r="101">
      <c r="A101" s="3" t="inlineStr">
        <is>
          <t>ASM.distn.dec.ove.mean.10</t>
        </is>
      </c>
      <c r="B101" s="3" t="inlineStr">
        <is>
          <t>ASM</t>
        </is>
      </c>
      <c r="C101" s="3" t="n">
        <v>2005</v>
      </c>
      <c r="D101" s="3" t="inlineStr">
        <is>
          <t>Overall</t>
        </is>
      </c>
      <c r="E101" s="3" t="inlineStr">
        <is>
          <t>Deciles</t>
        </is>
      </c>
      <c r="F101" s="3" t="inlineStr">
        <is>
          <t>mean</t>
        </is>
      </c>
      <c r="G101" s="3" t="n">
        <v>10</v>
      </c>
      <c r="H101" s="3" t="n">
        <v>-0.7839489357812064</v>
      </c>
      <c r="I101" s="3" t="n">
        <v>-0.7839489357812064</v>
      </c>
      <c r="J101" s="3" t="n">
        <v>-0.8593977723802839</v>
      </c>
      <c r="K101" s="3" t="n">
        <v>-0.8593977723802839</v>
      </c>
      <c r="L101" s="3" t="n">
        <v>-0.7839489357812064</v>
      </c>
      <c r="M101" s="3" t="n">
        <v>-0.7839489357812064</v>
      </c>
      <c r="N101" s="3" t="n">
        <v>-0.7839489357812064</v>
      </c>
      <c r="O101" s="3" t="n">
        <v>-0.7839489357812064</v>
      </c>
      <c r="P101" s="3" t="n">
        <v>-0.7839489357812064</v>
      </c>
      <c r="Q101" s="3" t="n">
        <v>-0.7839489357812064</v>
      </c>
      <c r="R101" s="3" t="n">
        <v>-0.7712249892098563</v>
      </c>
      <c r="S101" s="3" t="n">
        <v>-1.024877253600529</v>
      </c>
      <c r="T101" s="3" t="n">
        <v>-0.7086694342749459</v>
      </c>
      <c r="U101" s="3" t="n">
        <v>-0.8593977723802839</v>
      </c>
      <c r="V101" s="3" t="n">
        <v>-0.6783862863268171</v>
      </c>
      <c r="W101" s="3" t="n">
        <v>-0.5361838928290776</v>
      </c>
      <c r="X101" s="3" t="n">
        <v>-1.020875356878553</v>
      </c>
      <c r="Y101" s="3" t="n">
        <v>-0.7839489357812064</v>
      </c>
      <c r="Z101" s="3" t="n">
        <v>-1.024877253600529</v>
      </c>
      <c r="AA101" s="3" t="n">
        <v>-1.024877253600529</v>
      </c>
      <c r="AB101" s="3" t="n">
        <v>-1.020875356878553</v>
      </c>
      <c r="AC101" s="3" t="n">
        <v>-1.149042170388358</v>
      </c>
      <c r="AD101" s="3" t="n">
        <v>-0.8593977723802839</v>
      </c>
      <c r="AE101" s="3" t="n">
        <v>-0.8593977723802839</v>
      </c>
    </row>
    <row r="102">
      <c r="A102" s="3" t="inlineStr">
        <is>
          <t>ASM.distn.bkt.ove.mean.9999</t>
        </is>
      </c>
      <c r="B102" s="3" t="inlineStr">
        <is>
          <t>ASM</t>
        </is>
      </c>
      <c r="C102" s="3" t="n">
        <v>2005</v>
      </c>
      <c r="D102" s="3" t="inlineStr">
        <is>
          <t>Overall</t>
        </is>
      </c>
      <c r="E102" s="3" t="inlineStr">
        <is>
          <t>Basket</t>
        </is>
      </c>
      <c r="F102" s="3" t="inlineStr">
        <is>
          <t>mean</t>
        </is>
      </c>
      <c r="G102" s="3" t="n">
        <v>9999</v>
      </c>
      <c r="H102" s="3" t="n">
        <v>-0.7855607322284154</v>
      </c>
      <c r="I102" s="3" t="n">
        <v>-0.7855607322284154</v>
      </c>
      <c r="J102" s="3" t="n">
        <v>-0.8708347541945322</v>
      </c>
      <c r="K102" s="3" t="n">
        <v>-0.8708347541945322</v>
      </c>
      <c r="L102" s="3" t="n">
        <v>-0.7855607322284154</v>
      </c>
      <c r="M102" s="3" t="n">
        <v>-0.7855607322284154</v>
      </c>
      <c r="N102" s="3" t="n">
        <v>-0.7855607322284154</v>
      </c>
      <c r="O102" s="3" t="n">
        <v>-0.7855607322284154</v>
      </c>
      <c r="P102" s="3" t="n">
        <v>-0.7855607322284154</v>
      </c>
      <c r="Q102" s="3" t="n">
        <v>-0.7855607322284154</v>
      </c>
      <c r="R102" s="3" t="n">
        <v>-0.7720900552613394</v>
      </c>
      <c r="S102" s="3" t="n">
        <v>-1.160887002944946</v>
      </c>
      <c r="T102" s="3" t="n">
        <v>-0.7090769904000419</v>
      </c>
      <c r="U102" s="3" t="n">
        <v>-0.8708347541945322</v>
      </c>
      <c r="V102" s="3" t="n">
        <v>-0.6799844878060477</v>
      </c>
      <c r="W102" s="3" t="n">
        <v>-0.5558792540005275</v>
      </c>
      <c r="X102" s="3" t="n">
        <v>-1.140969473975045</v>
      </c>
      <c r="Y102" s="3" t="n">
        <v>-0.7855607322284154</v>
      </c>
      <c r="Z102" s="3" t="n">
        <v>-1.160887002944946</v>
      </c>
      <c r="AA102" s="3" t="n">
        <v>-1.160887002944946</v>
      </c>
      <c r="AB102" s="3" t="n">
        <v>-1.140969473975045</v>
      </c>
      <c r="AC102" s="3" t="n">
        <v>-1.501635466303144</v>
      </c>
      <c r="AD102" s="3" t="n">
        <v>-0.8708347541945322</v>
      </c>
      <c r="AE102" s="3" t="n">
        <v>-0.8708347541945322</v>
      </c>
    </row>
    <row r="103">
      <c r="A103" s="3" t="inlineStr">
        <is>
          <t>ATG.distn.dec.ove.mean.1</t>
        </is>
      </c>
      <c r="B103" s="3" t="inlineStr">
        <is>
          <t>ATG</t>
        </is>
      </c>
      <c r="C103" s="3" t="n">
        <v>2005</v>
      </c>
      <c r="D103" s="3" t="inlineStr">
        <is>
          <t>Overall</t>
        </is>
      </c>
      <c r="E103" s="3" t="inlineStr">
        <is>
          <t>Deciles</t>
        </is>
      </c>
      <c r="F103" s="3" t="inlineStr">
        <is>
          <t>mean</t>
        </is>
      </c>
      <c r="G103" s="3" t="n">
        <v>1</v>
      </c>
      <c r="H103" s="3" t="n">
        <v>-0.7878549098968506</v>
      </c>
      <c r="I103" s="3" t="n">
        <v>-0.7878549098968506</v>
      </c>
      <c r="J103" s="3" t="n">
        <v>-0.8883962808771336</v>
      </c>
      <c r="K103" s="3" t="n">
        <v>-0.8883962808771336</v>
      </c>
      <c r="L103" s="3" t="n">
        <v>-0.7878549098968506</v>
      </c>
      <c r="M103" s="3" t="n">
        <v>-0.7878549098968506</v>
      </c>
      <c r="N103" s="3" t="n">
        <v>-0.7878549098968506</v>
      </c>
      <c r="O103" s="3" t="n">
        <v>-0.7878549098968506</v>
      </c>
      <c r="P103" s="3" t="n">
        <v>-0.7878549098968506</v>
      </c>
      <c r="Q103" s="3" t="n">
        <v>-0.7878549098968506</v>
      </c>
      <c r="R103" s="3" t="n">
        <v>-0.7732356596500316</v>
      </c>
      <c r="S103" s="3" t="n">
        <v>-1.408805674694954</v>
      </c>
      <c r="T103" s="3" t="n">
        <v>-0.7095591730259835</v>
      </c>
      <c r="U103" s="3" t="n">
        <v>-0.8883962808771336</v>
      </c>
      <c r="V103" s="3" t="n">
        <v>-0.681934451803248</v>
      </c>
      <c r="W103" s="3" t="n">
        <v>-0.5702875047288043</v>
      </c>
      <c r="X103" s="3" t="n">
        <v>-1.356243993373627</v>
      </c>
      <c r="Y103" s="3" t="n">
        <v>-0.7878549098968506</v>
      </c>
      <c r="Z103" s="3" t="n">
        <v>-1.408805674694954</v>
      </c>
      <c r="AA103" s="3" t="n">
        <v>-1.408805674694954</v>
      </c>
      <c r="AB103" s="3" t="n">
        <v>-1.356243993373627</v>
      </c>
      <c r="AC103" s="3" t="n">
        <v>-2.123991362592007</v>
      </c>
      <c r="AD103" s="3" t="n">
        <v>-0.8883962808771336</v>
      </c>
      <c r="AE103" s="3" t="n">
        <v>-0.8883962808771336</v>
      </c>
    </row>
    <row r="104">
      <c r="A104" s="3" t="inlineStr">
        <is>
          <t>ATG.distn.dec.ove.mean.2</t>
        </is>
      </c>
      <c r="B104" s="3" t="inlineStr">
        <is>
          <t>ATG</t>
        </is>
      </c>
      <c r="C104" s="3" t="n">
        <v>2005</v>
      </c>
      <c r="D104" s="3" t="inlineStr">
        <is>
          <t>Overall</t>
        </is>
      </c>
      <c r="E104" s="3" t="inlineStr">
        <is>
          <t>Deciles</t>
        </is>
      </c>
      <c r="F104" s="3" t="inlineStr">
        <is>
          <t>mean</t>
        </is>
      </c>
      <c r="G104" s="3" t="n">
        <v>2</v>
      </c>
      <c r="H104" s="3" t="n">
        <v>-0.7878549098968506</v>
      </c>
      <c r="I104" s="3" t="n">
        <v>-0.7878549098968506</v>
      </c>
      <c r="J104" s="3" t="n">
        <v>-0.8883962808771336</v>
      </c>
      <c r="K104" s="3" t="n">
        <v>-0.8883962808771336</v>
      </c>
      <c r="L104" s="3" t="n">
        <v>-0.7878549098968506</v>
      </c>
      <c r="M104" s="3" t="n">
        <v>-0.7878549098968506</v>
      </c>
      <c r="N104" s="3" t="n">
        <v>-0.7878549098968506</v>
      </c>
      <c r="O104" s="3" t="n">
        <v>-0.7878549098968506</v>
      </c>
      <c r="P104" s="3" t="n">
        <v>-0.7878549098968506</v>
      </c>
      <c r="Q104" s="3" t="n">
        <v>-0.7878549098968506</v>
      </c>
      <c r="R104" s="3" t="n">
        <v>-0.7732356596500316</v>
      </c>
      <c r="S104" s="3" t="n">
        <v>-1.408805674694954</v>
      </c>
      <c r="T104" s="3" t="n">
        <v>-0.7095591730259835</v>
      </c>
      <c r="U104" s="3" t="n">
        <v>-0.8883962808771336</v>
      </c>
      <c r="V104" s="3" t="n">
        <v>-0.681934451803248</v>
      </c>
      <c r="W104" s="3" t="n">
        <v>-0.5702875047288043</v>
      </c>
      <c r="X104" s="3" t="n">
        <v>-1.356243993373627</v>
      </c>
      <c r="Y104" s="3" t="n">
        <v>-0.7878549098968506</v>
      </c>
      <c r="Z104" s="3" t="n">
        <v>-1.408805674694954</v>
      </c>
      <c r="AA104" s="3" t="n">
        <v>-1.408805674694954</v>
      </c>
      <c r="AB104" s="3" t="n">
        <v>-1.356243993373627</v>
      </c>
      <c r="AC104" s="3" t="n">
        <v>-2.123991362592007</v>
      </c>
      <c r="AD104" s="3" t="n">
        <v>-0.8883962808771336</v>
      </c>
      <c r="AE104" s="3" t="n">
        <v>-0.8883962808771336</v>
      </c>
    </row>
    <row r="105">
      <c r="A105" s="3" t="inlineStr">
        <is>
          <t>ATG.distn.dec.ove.mean.3</t>
        </is>
      </c>
      <c r="B105" s="3" t="inlineStr">
        <is>
          <t>ATG</t>
        </is>
      </c>
      <c r="C105" s="3" t="n">
        <v>2005</v>
      </c>
      <c r="D105" s="3" t="inlineStr">
        <is>
          <t>Overall</t>
        </is>
      </c>
      <c r="E105" s="3" t="inlineStr">
        <is>
          <t>Deciles</t>
        </is>
      </c>
      <c r="F105" s="3" t="inlineStr">
        <is>
          <t>mean</t>
        </is>
      </c>
      <c r="G105" s="3" t="n">
        <v>3</v>
      </c>
      <c r="H105" s="3" t="n">
        <v>-0.7878549098968506</v>
      </c>
      <c r="I105" s="3" t="n">
        <v>-0.7878549098968506</v>
      </c>
      <c r="J105" s="3" t="n">
        <v>-0.8883962808771336</v>
      </c>
      <c r="K105" s="3" t="n">
        <v>-0.8883962808771336</v>
      </c>
      <c r="L105" s="3" t="n">
        <v>-0.7878549098968506</v>
      </c>
      <c r="M105" s="3" t="n">
        <v>-0.7878549098968506</v>
      </c>
      <c r="N105" s="3" t="n">
        <v>-0.7878549098968506</v>
      </c>
      <c r="O105" s="3" t="n">
        <v>-0.7878549098968506</v>
      </c>
      <c r="P105" s="3" t="n">
        <v>-0.7878549098968506</v>
      </c>
      <c r="Q105" s="3" t="n">
        <v>-0.7878549098968506</v>
      </c>
      <c r="R105" s="3" t="n">
        <v>-0.7732356596500316</v>
      </c>
      <c r="S105" s="3" t="n">
        <v>-1.408805674694954</v>
      </c>
      <c r="T105" s="3" t="n">
        <v>-0.7095591730259835</v>
      </c>
      <c r="U105" s="3" t="n">
        <v>-0.8883962808771336</v>
      </c>
      <c r="V105" s="3" t="n">
        <v>-0.681934451803248</v>
      </c>
      <c r="W105" s="3" t="n">
        <v>-0.5702875047288043</v>
      </c>
      <c r="X105" s="3" t="n">
        <v>-1.356243993373627</v>
      </c>
      <c r="Y105" s="3" t="n">
        <v>-0.7878549098968506</v>
      </c>
      <c r="Z105" s="3" t="n">
        <v>-1.408805674694954</v>
      </c>
      <c r="AA105" s="3" t="n">
        <v>-1.408805674694954</v>
      </c>
      <c r="AB105" s="3" t="n">
        <v>-1.356243993373627</v>
      </c>
      <c r="AC105" s="3" t="n">
        <v>-2.123991362592007</v>
      </c>
      <c r="AD105" s="3" t="n">
        <v>-0.8883962808771336</v>
      </c>
      <c r="AE105" s="3" t="n">
        <v>-0.8883962808771336</v>
      </c>
    </row>
    <row r="106">
      <c r="A106" s="3" t="inlineStr">
        <is>
          <t>ATG.distn.dec.ove.mean.4</t>
        </is>
      </c>
      <c r="B106" s="3" t="inlineStr">
        <is>
          <t>ATG</t>
        </is>
      </c>
      <c r="C106" s="3" t="n">
        <v>2005</v>
      </c>
      <c r="D106" s="3" t="inlineStr">
        <is>
          <t>Overall</t>
        </is>
      </c>
      <c r="E106" s="3" t="inlineStr">
        <is>
          <t>Deciles</t>
        </is>
      </c>
      <c r="F106" s="3" t="inlineStr">
        <is>
          <t>mean</t>
        </is>
      </c>
      <c r="G106" s="3" t="n">
        <v>4</v>
      </c>
      <c r="H106" s="3" t="n">
        <v>-0.7816170251115839</v>
      </c>
      <c r="I106" s="3" t="n">
        <v>-0.7816170251115839</v>
      </c>
      <c r="J106" s="3" t="n">
        <v>-0.8454680810583398</v>
      </c>
      <c r="K106" s="3" t="n">
        <v>-0.8454680810583398</v>
      </c>
      <c r="L106" s="3" t="n">
        <v>-0.7816170251115839</v>
      </c>
      <c r="M106" s="3" t="n">
        <v>-0.7816170251115839</v>
      </c>
      <c r="N106" s="3" t="n">
        <v>-0.7816170251115839</v>
      </c>
      <c r="O106" s="3" t="n">
        <v>-0.7816170251115839</v>
      </c>
      <c r="P106" s="3" t="n">
        <v>-0.7816170251115839</v>
      </c>
      <c r="Q106" s="3" t="n">
        <v>-0.7816170251115839</v>
      </c>
      <c r="R106" s="3" t="n">
        <v>-0.7697659489956308</v>
      </c>
      <c r="S106" s="3" t="n">
        <v>-0.9595531871978272</v>
      </c>
      <c r="T106" s="3" t="n">
        <v>-0.7081063859006191</v>
      </c>
      <c r="U106" s="3" t="n">
        <v>-0.8454680810583398</v>
      </c>
      <c r="V106" s="3" t="n">
        <v>-0.6750000017754575</v>
      </c>
      <c r="W106" s="3" t="n">
        <v>-0.4799574455048176</v>
      </c>
      <c r="X106" s="3" t="n">
        <v>-0.9571489362006492</v>
      </c>
      <c r="Y106" s="3" t="n">
        <v>-0.7816170251115839</v>
      </c>
      <c r="Z106" s="3" t="n">
        <v>-0.9595531871978272</v>
      </c>
      <c r="AA106" s="3" t="n">
        <v>-0.9595531871978272</v>
      </c>
      <c r="AB106" s="3" t="n">
        <v>-0.9571489362006492</v>
      </c>
      <c r="AC106" s="3" t="n">
        <v>-1.025723396463597</v>
      </c>
      <c r="AD106" s="3" t="n">
        <v>-0.8454680810583398</v>
      </c>
      <c r="AE106" s="3" t="n">
        <v>-0.8454680810583398</v>
      </c>
    </row>
    <row r="107">
      <c r="A107" s="3" t="inlineStr">
        <is>
          <t>ATG.distn.dec.ove.mean.5</t>
        </is>
      </c>
      <c r="B107" s="3" t="inlineStr">
        <is>
          <t>ATG</t>
        </is>
      </c>
      <c r="C107" s="3" t="n">
        <v>2005</v>
      </c>
      <c r="D107" s="3" t="inlineStr">
        <is>
          <t>Overall</t>
        </is>
      </c>
      <c r="E107" s="3" t="inlineStr">
        <is>
          <t>Deciles</t>
        </is>
      </c>
      <c r="F107" s="3" t="inlineStr">
        <is>
          <t>mean</t>
        </is>
      </c>
      <c r="G107" s="3" t="n">
        <v>5</v>
      </c>
      <c r="H107" s="3" t="n">
        <v>-0.7816170251115839</v>
      </c>
      <c r="I107" s="3" t="n">
        <v>-0.7816170251115839</v>
      </c>
      <c r="J107" s="3" t="n">
        <v>-0.8454680810583398</v>
      </c>
      <c r="K107" s="3" t="n">
        <v>-0.8454680810583398</v>
      </c>
      <c r="L107" s="3" t="n">
        <v>-0.7816170251115839</v>
      </c>
      <c r="M107" s="3" t="n">
        <v>-0.7816170251115839</v>
      </c>
      <c r="N107" s="3" t="n">
        <v>-0.7816170251115839</v>
      </c>
      <c r="O107" s="3" t="n">
        <v>-0.7816170251115839</v>
      </c>
      <c r="P107" s="3" t="n">
        <v>-0.7816170251115839</v>
      </c>
      <c r="Q107" s="3" t="n">
        <v>-0.7816170251115839</v>
      </c>
      <c r="R107" s="3" t="n">
        <v>-0.7697659489956308</v>
      </c>
      <c r="S107" s="3" t="n">
        <v>-0.9595531871978272</v>
      </c>
      <c r="T107" s="3" t="n">
        <v>-0.7081063859006191</v>
      </c>
      <c r="U107" s="3" t="n">
        <v>-0.8454680810583398</v>
      </c>
      <c r="V107" s="3" t="n">
        <v>-0.6750000017754575</v>
      </c>
      <c r="W107" s="3" t="n">
        <v>-0.4799574455048176</v>
      </c>
      <c r="X107" s="3" t="n">
        <v>-0.9571489362006492</v>
      </c>
      <c r="Y107" s="3" t="n">
        <v>-0.7816170251115839</v>
      </c>
      <c r="Z107" s="3" t="n">
        <v>-0.9595531871978272</v>
      </c>
      <c r="AA107" s="3" t="n">
        <v>-0.9595531871978272</v>
      </c>
      <c r="AB107" s="3" t="n">
        <v>-0.9571489362006492</v>
      </c>
      <c r="AC107" s="3" t="n">
        <v>-1.025723396463597</v>
      </c>
      <c r="AD107" s="3" t="n">
        <v>-0.8454680810583398</v>
      </c>
      <c r="AE107" s="3" t="n">
        <v>-0.8454680810583398</v>
      </c>
    </row>
    <row r="108">
      <c r="A108" s="3" t="inlineStr">
        <is>
          <t>ATG.distn.dec.ove.mean.6</t>
        </is>
      </c>
      <c r="B108" s="3" t="inlineStr">
        <is>
          <t>ATG</t>
        </is>
      </c>
      <c r="C108" s="3" t="n">
        <v>2005</v>
      </c>
      <c r="D108" s="3" t="inlineStr">
        <is>
          <t>Overall</t>
        </is>
      </c>
      <c r="E108" s="3" t="inlineStr">
        <is>
          <t>Deciles</t>
        </is>
      </c>
      <c r="F108" s="3" t="inlineStr">
        <is>
          <t>mean</t>
        </is>
      </c>
      <c r="G108" s="3" t="n">
        <v>6</v>
      </c>
      <c r="H108" s="3" t="n">
        <v>-0.7816170251115839</v>
      </c>
      <c r="I108" s="3" t="n">
        <v>-0.7816170251115839</v>
      </c>
      <c r="J108" s="3" t="n">
        <v>-0.8454680810583398</v>
      </c>
      <c r="K108" s="3" t="n">
        <v>-0.8454680810583398</v>
      </c>
      <c r="L108" s="3" t="n">
        <v>-0.7816170251115839</v>
      </c>
      <c r="M108" s="3" t="n">
        <v>-0.7816170251115839</v>
      </c>
      <c r="N108" s="3" t="n">
        <v>-0.7816170251115839</v>
      </c>
      <c r="O108" s="3" t="n">
        <v>-0.7816170251115839</v>
      </c>
      <c r="P108" s="3" t="n">
        <v>-0.7816170251115839</v>
      </c>
      <c r="Q108" s="3" t="n">
        <v>-0.7816170251115839</v>
      </c>
      <c r="R108" s="3" t="n">
        <v>-0.7697659489956308</v>
      </c>
      <c r="S108" s="3" t="n">
        <v>-0.9595531871978272</v>
      </c>
      <c r="T108" s="3" t="n">
        <v>-0.7081063859006191</v>
      </c>
      <c r="U108" s="3" t="n">
        <v>-0.8454680810583398</v>
      </c>
      <c r="V108" s="3" t="n">
        <v>-0.6750000017754575</v>
      </c>
      <c r="W108" s="3" t="n">
        <v>-0.4799574455048176</v>
      </c>
      <c r="X108" s="3" t="n">
        <v>-0.9571489362006492</v>
      </c>
      <c r="Y108" s="3" t="n">
        <v>-0.7816170251115839</v>
      </c>
      <c r="Z108" s="3" t="n">
        <v>-0.9595531871978272</v>
      </c>
      <c r="AA108" s="3" t="n">
        <v>-0.9595531871978272</v>
      </c>
      <c r="AB108" s="3" t="n">
        <v>-0.9571489362006492</v>
      </c>
      <c r="AC108" s="3" t="n">
        <v>-1.025723396463597</v>
      </c>
      <c r="AD108" s="3" t="n">
        <v>-0.8454680810583398</v>
      </c>
      <c r="AE108" s="3" t="n">
        <v>-0.8454680810583398</v>
      </c>
    </row>
    <row r="109">
      <c r="A109" s="3" t="inlineStr">
        <is>
          <t>ATG.distn.dec.ove.mean.7</t>
        </is>
      </c>
      <c r="B109" s="3" t="inlineStr">
        <is>
          <t>ATG</t>
        </is>
      </c>
      <c r="C109" s="3" t="n">
        <v>2005</v>
      </c>
      <c r="D109" s="3" t="inlineStr">
        <is>
          <t>Overall</t>
        </is>
      </c>
      <c r="E109" s="3" t="inlineStr">
        <is>
          <t>Deciles</t>
        </is>
      </c>
      <c r="F109" s="3" t="inlineStr">
        <is>
          <t>mean</t>
        </is>
      </c>
      <c r="G109" s="3" t="n">
        <v>7</v>
      </c>
      <c r="H109" s="3" t="n">
        <v>-0.7816170251115839</v>
      </c>
      <c r="I109" s="3" t="n">
        <v>-0.7816170251115839</v>
      </c>
      <c r="J109" s="3" t="n">
        <v>-0.8454680810583398</v>
      </c>
      <c r="K109" s="3" t="n">
        <v>-0.8454680810583398</v>
      </c>
      <c r="L109" s="3" t="n">
        <v>-0.7816170251115839</v>
      </c>
      <c r="M109" s="3" t="n">
        <v>-0.7816170251115839</v>
      </c>
      <c r="N109" s="3" t="n">
        <v>-0.7816170251115839</v>
      </c>
      <c r="O109" s="3" t="n">
        <v>-0.7816170251115839</v>
      </c>
      <c r="P109" s="3" t="n">
        <v>-0.7816170251115839</v>
      </c>
      <c r="Q109" s="3" t="n">
        <v>-0.7816170251115839</v>
      </c>
      <c r="R109" s="3" t="n">
        <v>-0.7697659489956308</v>
      </c>
      <c r="S109" s="3" t="n">
        <v>-0.9595531871978272</v>
      </c>
      <c r="T109" s="3" t="n">
        <v>-0.7081063859006191</v>
      </c>
      <c r="U109" s="3" t="n">
        <v>-0.8454680810583398</v>
      </c>
      <c r="V109" s="3" t="n">
        <v>-0.6750000017754575</v>
      </c>
      <c r="W109" s="3" t="n">
        <v>-0.4799574455048176</v>
      </c>
      <c r="X109" s="3" t="n">
        <v>-0.9571489362006492</v>
      </c>
      <c r="Y109" s="3" t="n">
        <v>-0.7816170251115839</v>
      </c>
      <c r="Z109" s="3" t="n">
        <v>-0.9595531871978272</v>
      </c>
      <c r="AA109" s="3" t="n">
        <v>-0.9595531871978272</v>
      </c>
      <c r="AB109" s="3" t="n">
        <v>-0.9571489362006492</v>
      </c>
      <c r="AC109" s="3" t="n">
        <v>-1.025723396463597</v>
      </c>
      <c r="AD109" s="3" t="n">
        <v>-0.8454680810583398</v>
      </c>
      <c r="AE109" s="3" t="n">
        <v>-0.8454680810583398</v>
      </c>
    </row>
    <row r="110">
      <c r="A110" s="3" t="inlineStr">
        <is>
          <t>ATG.distn.dec.ove.mean.8</t>
        </is>
      </c>
      <c r="B110" s="3" t="inlineStr">
        <is>
          <t>ATG</t>
        </is>
      </c>
      <c r="C110" s="3" t="n">
        <v>2005</v>
      </c>
      <c r="D110" s="3" t="inlineStr">
        <is>
          <t>Overall</t>
        </is>
      </c>
      <c r="E110" s="3" t="inlineStr">
        <is>
          <t>Deciles</t>
        </is>
      </c>
      <c r="F110" s="3" t="inlineStr">
        <is>
          <t>mean</t>
        </is>
      </c>
      <c r="G110" s="3" t="n">
        <v>8</v>
      </c>
      <c r="H110" s="3" t="n">
        <v>-0.7819935831617801</v>
      </c>
      <c r="I110" s="3" t="n">
        <v>-0.7819935831617801</v>
      </c>
      <c r="J110" s="3" t="n">
        <v>-0.8477488045996808</v>
      </c>
      <c r="K110" s="3" t="n">
        <v>-0.8477488045996808</v>
      </c>
      <c r="L110" s="3" t="n">
        <v>-0.7819935831617801</v>
      </c>
      <c r="M110" s="3" t="n">
        <v>-0.7819935831617801</v>
      </c>
      <c r="N110" s="3" t="n">
        <v>-0.7819935831617801</v>
      </c>
      <c r="O110" s="3" t="n">
        <v>-0.7819935831617801</v>
      </c>
      <c r="P110" s="3" t="n">
        <v>-0.7819935831617801</v>
      </c>
      <c r="Q110" s="3" t="n">
        <v>-0.7819935831617801</v>
      </c>
      <c r="R110" s="3" t="n">
        <v>-0.7700191178220384</v>
      </c>
      <c r="S110" s="3" t="n">
        <v>-0.9684819490351575</v>
      </c>
      <c r="T110" s="3" t="n">
        <v>-0.70814722142321</v>
      </c>
      <c r="U110" s="3" t="n">
        <v>-0.8477488045996808</v>
      </c>
      <c r="V110" s="3" t="n">
        <v>-0.6756977857427394</v>
      </c>
      <c r="W110" s="3" t="n">
        <v>-0.4928101326556916</v>
      </c>
      <c r="X110" s="3" t="n">
        <v>-0.9658704755154062</v>
      </c>
      <c r="Y110" s="3" t="n">
        <v>-0.7819935831617801</v>
      </c>
      <c r="Z110" s="3" t="n">
        <v>-0.9684819490351575</v>
      </c>
      <c r="AA110" s="3" t="n">
        <v>-0.9684819490351575</v>
      </c>
      <c r="AB110" s="3" t="n">
        <v>-0.9658704755154062</v>
      </c>
      <c r="AC110" s="3" t="n">
        <v>-1.04035159628442</v>
      </c>
      <c r="AD110" s="3" t="n">
        <v>-0.8477488045996808</v>
      </c>
      <c r="AE110" s="3" t="n">
        <v>-0.8477488045996808</v>
      </c>
    </row>
    <row r="111">
      <c r="A111" s="3" t="inlineStr">
        <is>
          <t>ATG.distn.dec.ove.mean.9</t>
        </is>
      </c>
      <c r="B111" s="3" t="inlineStr">
        <is>
          <t>ATG</t>
        </is>
      </c>
      <c r="C111" s="3" t="n">
        <v>2005</v>
      </c>
      <c r="D111" s="3" t="inlineStr">
        <is>
          <t>Overall</t>
        </is>
      </c>
      <c r="E111" s="3" t="inlineStr">
        <is>
          <t>Deciles</t>
        </is>
      </c>
      <c r="F111" s="3" t="inlineStr">
        <is>
          <t>mean</t>
        </is>
      </c>
      <c r="G111" s="3" t="n">
        <v>9</v>
      </c>
      <c r="H111" s="3" t="n">
        <v>-0.7819935831617801</v>
      </c>
      <c r="I111" s="3" t="n">
        <v>-0.7819935831617801</v>
      </c>
      <c r="J111" s="3" t="n">
        <v>-0.8477488045996808</v>
      </c>
      <c r="K111" s="3" t="n">
        <v>-0.8477488045996808</v>
      </c>
      <c r="L111" s="3" t="n">
        <v>-0.7819935831617801</v>
      </c>
      <c r="M111" s="3" t="n">
        <v>-0.7819935831617801</v>
      </c>
      <c r="N111" s="3" t="n">
        <v>-0.7819935831617801</v>
      </c>
      <c r="O111" s="3" t="n">
        <v>-0.7819935831617801</v>
      </c>
      <c r="P111" s="3" t="n">
        <v>-0.7819935831617801</v>
      </c>
      <c r="Q111" s="3" t="n">
        <v>-0.7819935831617801</v>
      </c>
      <c r="R111" s="3" t="n">
        <v>-0.7700191178220384</v>
      </c>
      <c r="S111" s="3" t="n">
        <v>-0.9684819490351575</v>
      </c>
      <c r="T111" s="3" t="n">
        <v>-0.70814722142321</v>
      </c>
      <c r="U111" s="3" t="n">
        <v>-0.8477488045996808</v>
      </c>
      <c r="V111" s="3" t="n">
        <v>-0.6756977857427394</v>
      </c>
      <c r="W111" s="3" t="n">
        <v>-0.4928101326556916</v>
      </c>
      <c r="X111" s="3" t="n">
        <v>-0.9658704755154062</v>
      </c>
      <c r="Y111" s="3" t="n">
        <v>-0.7819935831617801</v>
      </c>
      <c r="Z111" s="3" t="n">
        <v>-0.9684819490351575</v>
      </c>
      <c r="AA111" s="3" t="n">
        <v>-0.9684819490351575</v>
      </c>
      <c r="AB111" s="3" t="n">
        <v>-0.9658704755154062</v>
      </c>
      <c r="AC111" s="3" t="n">
        <v>-1.04035159628442</v>
      </c>
      <c r="AD111" s="3" t="n">
        <v>-0.8477488045996808</v>
      </c>
      <c r="AE111" s="3" t="n">
        <v>-0.8477488045996808</v>
      </c>
    </row>
    <row r="112">
      <c r="A112" s="3" t="inlineStr">
        <is>
          <t>ATG.distn.dec.ove.mean.10</t>
        </is>
      </c>
      <c r="B112" s="3" t="inlineStr">
        <is>
          <t>ATG</t>
        </is>
      </c>
      <c r="C112" s="3" t="n">
        <v>2005</v>
      </c>
      <c r="D112" s="3" t="inlineStr">
        <is>
          <t>Overall</t>
        </is>
      </c>
      <c r="E112" s="3" t="inlineStr">
        <is>
          <t>Deciles</t>
        </is>
      </c>
      <c r="F112" s="3" t="inlineStr">
        <is>
          <t>mean</t>
        </is>
      </c>
      <c r="G112" s="3" t="n">
        <v>10</v>
      </c>
      <c r="H112" s="3" t="n">
        <v>-0.7819935831617801</v>
      </c>
      <c r="I112" s="3" t="n">
        <v>-0.7819935831617801</v>
      </c>
      <c r="J112" s="3" t="n">
        <v>-0.8477488045996808</v>
      </c>
      <c r="K112" s="3" t="n">
        <v>-0.8477488045996808</v>
      </c>
      <c r="L112" s="3" t="n">
        <v>-0.7819935831617801</v>
      </c>
      <c r="M112" s="3" t="n">
        <v>-0.7819935831617801</v>
      </c>
      <c r="N112" s="3" t="n">
        <v>-0.7819935831617801</v>
      </c>
      <c r="O112" s="3" t="n">
        <v>-0.7819935831617801</v>
      </c>
      <c r="P112" s="3" t="n">
        <v>-0.7819935831617801</v>
      </c>
      <c r="Q112" s="3" t="n">
        <v>-0.7819935831617801</v>
      </c>
      <c r="R112" s="3" t="n">
        <v>-0.7700191178220384</v>
      </c>
      <c r="S112" s="3" t="n">
        <v>-0.9684819490351575</v>
      </c>
      <c r="T112" s="3" t="n">
        <v>-0.70814722142321</v>
      </c>
      <c r="U112" s="3" t="n">
        <v>-0.8477488045996808</v>
      </c>
      <c r="V112" s="3" t="n">
        <v>-0.6756977857427394</v>
      </c>
      <c r="W112" s="3" t="n">
        <v>-0.4928101326556916</v>
      </c>
      <c r="X112" s="3" t="n">
        <v>-0.9658704755154062</v>
      </c>
      <c r="Y112" s="3" t="n">
        <v>-0.7819935831617801</v>
      </c>
      <c r="Z112" s="3" t="n">
        <v>-0.9684819490351575</v>
      </c>
      <c r="AA112" s="3" t="n">
        <v>-0.9684819490351575</v>
      </c>
      <c r="AB112" s="3" t="n">
        <v>-0.9658704755154062</v>
      </c>
      <c r="AC112" s="3" t="n">
        <v>-1.04035159628442</v>
      </c>
      <c r="AD112" s="3" t="n">
        <v>-0.8477488045996808</v>
      </c>
      <c r="AE112" s="3" t="n">
        <v>-0.8477488045996808</v>
      </c>
    </row>
    <row r="113">
      <c r="A113" s="3" t="inlineStr">
        <is>
          <t>ATG.distn.bkt.ove.mean.9999</t>
        </is>
      </c>
      <c r="B113" s="3" t="inlineStr">
        <is>
          <t>ATG</t>
        </is>
      </c>
      <c r="C113" s="3" t="n">
        <v>2005</v>
      </c>
      <c r="D113" s="3" t="inlineStr">
        <is>
          <t>Overall</t>
        </is>
      </c>
      <c r="E113" s="3" t="inlineStr">
        <is>
          <t>Basket</t>
        </is>
      </c>
      <c r="F113" s="3" t="inlineStr">
        <is>
          <t>mean</t>
        </is>
      </c>
      <c r="G113" s="3" t="n">
        <v>9999</v>
      </c>
      <c r="H113" s="3" t="n">
        <v>-0.7836013613863194</v>
      </c>
      <c r="I113" s="3" t="n">
        <v>-0.7836013613863194</v>
      </c>
      <c r="J113" s="3" t="n">
        <v>-0.8590307616172953</v>
      </c>
      <c r="K113" s="3" t="n">
        <v>-0.8590307616172953</v>
      </c>
      <c r="L113" s="3" t="n">
        <v>-0.7836013613863194</v>
      </c>
      <c r="M113" s="3" t="n">
        <v>-0.7836013613863194</v>
      </c>
      <c r="N113" s="3" t="n">
        <v>-0.7836013613863194</v>
      </c>
      <c r="O113" s="3" t="n">
        <v>-0.7836013613863194</v>
      </c>
      <c r="P113" s="3" t="n">
        <v>-0.7836013613863194</v>
      </c>
      <c r="Q113" s="3" t="n">
        <v>-0.7836013613863194</v>
      </c>
      <c r="R113" s="3" t="n">
        <v>-0.7708828220976159</v>
      </c>
      <c r="S113" s="3" t="n">
        <v>-1.097007578991829</v>
      </c>
      <c r="T113" s="3" t="n">
        <v>-0.7085544974245923</v>
      </c>
      <c r="U113" s="3" t="n">
        <v>-0.8590307616172953</v>
      </c>
      <c r="V113" s="3" t="n">
        <v>-0.6772896647453308</v>
      </c>
      <c r="W113" s="3" t="n">
        <v>-0.5109122699879586</v>
      </c>
      <c r="X113" s="3" t="n">
        <v>-1.079493910708326</v>
      </c>
      <c r="Y113" s="3" t="n">
        <v>-0.7836013613863194</v>
      </c>
      <c r="Z113" s="3" t="n">
        <v>-1.097007578991829</v>
      </c>
      <c r="AA113" s="3" t="n">
        <v>-1.097007578991829</v>
      </c>
      <c r="AB113" s="3" t="n">
        <v>-1.079493910708326</v>
      </c>
      <c r="AC113" s="3" t="n">
        <v>-1.359592239907447</v>
      </c>
      <c r="AD113" s="3" t="n">
        <v>-0.8590307616172953</v>
      </c>
      <c r="AE113" s="3" t="n">
        <v>-0.8590307616172953</v>
      </c>
    </row>
    <row r="114">
      <c r="A114" s="3" t="inlineStr">
        <is>
          <t>AUS.distn.dec.ove.mean.1</t>
        </is>
      </c>
      <c r="B114" s="3" t="inlineStr">
        <is>
          <t>AUS</t>
        </is>
      </c>
      <c r="C114" s="3" t="n">
        <v>2005</v>
      </c>
      <c r="D114" s="3" t="inlineStr">
        <is>
          <t>Overall</t>
        </is>
      </c>
      <c r="E114" s="3" t="inlineStr">
        <is>
          <t>Deciles</t>
        </is>
      </c>
      <c r="F114" s="3" t="inlineStr">
        <is>
          <t>mean</t>
        </is>
      </c>
      <c r="G114" s="3" t="n">
        <v>1</v>
      </c>
      <c r="H114" s="3" t="n">
        <v>-0.7882409691810608</v>
      </c>
      <c r="I114" s="3" t="n">
        <v>-0.7882409691810608</v>
      </c>
      <c r="J114" s="3" t="n">
        <v>-0.8921075463294983</v>
      </c>
      <c r="K114" s="3" t="n">
        <v>-0.8921075463294983</v>
      </c>
      <c r="L114" s="3" t="n">
        <v>-0.7882409691810608</v>
      </c>
      <c r="M114" s="3" t="n">
        <v>-0.7882409691810608</v>
      </c>
      <c r="N114" s="3" t="n">
        <v>-0.7882409691810608</v>
      </c>
      <c r="O114" s="3" t="n">
        <v>-0.7882409691810608</v>
      </c>
      <c r="P114" s="3" t="n">
        <v>-0.7882409691810608</v>
      </c>
      <c r="Q114" s="3" t="n">
        <v>-0.7882409691810608</v>
      </c>
      <c r="R114" s="3" t="n">
        <v>-0.7734707593917847</v>
      </c>
      <c r="S114" s="3" t="n">
        <v>-1.427079916000366</v>
      </c>
      <c r="T114" s="3" t="n">
        <v>-0.7094525694847107</v>
      </c>
      <c r="U114" s="3" t="n">
        <v>-0.8921075463294983</v>
      </c>
      <c r="V114" s="3" t="n">
        <v>-0.6829447150230408</v>
      </c>
      <c r="W114" s="3" t="n">
        <v>-0.591725766658783</v>
      </c>
      <c r="X114" s="3" t="n">
        <v>-1.373036503791809</v>
      </c>
      <c r="Y114" s="3" t="n">
        <v>-0.7882409691810608</v>
      </c>
      <c r="Z114" s="3" t="n">
        <v>-1.427079916000366</v>
      </c>
      <c r="AA114" s="3" t="n">
        <v>-1.427079916000366</v>
      </c>
      <c r="AB114" s="3" t="n">
        <v>-1.373036503791809</v>
      </c>
      <c r="AC114" s="3" t="n">
        <v>-2.163908004760742</v>
      </c>
      <c r="AD114" s="3" t="n">
        <v>-0.8921075463294983</v>
      </c>
      <c r="AE114" s="3" t="n">
        <v>-0.8921075463294983</v>
      </c>
    </row>
    <row r="115">
      <c r="A115" s="3" t="inlineStr">
        <is>
          <t>AUS.distn.dec.ove.mean.2</t>
        </is>
      </c>
      <c r="B115" s="3" t="inlineStr">
        <is>
          <t>AUS</t>
        </is>
      </c>
      <c r="C115" s="3" t="n">
        <v>2005</v>
      </c>
      <c r="D115" s="3" t="inlineStr">
        <is>
          <t>Overall</t>
        </is>
      </c>
      <c r="E115" s="3" t="inlineStr">
        <is>
          <t>Deciles</t>
        </is>
      </c>
      <c r="F115" s="3" t="inlineStr">
        <is>
          <t>mean</t>
        </is>
      </c>
      <c r="G115" s="3" t="n">
        <v>2</v>
      </c>
      <c r="H115" s="3" t="n">
        <v>-0.7882409691810608</v>
      </c>
      <c r="I115" s="3" t="n">
        <v>-0.7882409691810608</v>
      </c>
      <c r="J115" s="3" t="n">
        <v>-0.8921075463294983</v>
      </c>
      <c r="K115" s="3" t="n">
        <v>-0.8921075463294983</v>
      </c>
      <c r="L115" s="3" t="n">
        <v>-0.7882409691810608</v>
      </c>
      <c r="M115" s="3" t="n">
        <v>-0.7882409691810608</v>
      </c>
      <c r="N115" s="3" t="n">
        <v>-0.7882409691810608</v>
      </c>
      <c r="O115" s="3" t="n">
        <v>-0.7882409691810608</v>
      </c>
      <c r="P115" s="3" t="n">
        <v>-0.7882409691810608</v>
      </c>
      <c r="Q115" s="3" t="n">
        <v>-0.7882409691810608</v>
      </c>
      <c r="R115" s="3" t="n">
        <v>-0.7734707593917847</v>
      </c>
      <c r="S115" s="3" t="n">
        <v>-1.427079916000366</v>
      </c>
      <c r="T115" s="3" t="n">
        <v>-0.7094525694847107</v>
      </c>
      <c r="U115" s="3" t="n">
        <v>-0.8921075463294983</v>
      </c>
      <c r="V115" s="3" t="n">
        <v>-0.6829447150230408</v>
      </c>
      <c r="W115" s="3" t="n">
        <v>-0.591725766658783</v>
      </c>
      <c r="X115" s="3" t="n">
        <v>-1.373036503791809</v>
      </c>
      <c r="Y115" s="3" t="n">
        <v>-0.7882409691810608</v>
      </c>
      <c r="Z115" s="3" t="n">
        <v>-1.427079916000366</v>
      </c>
      <c r="AA115" s="3" t="n">
        <v>-1.427079916000366</v>
      </c>
      <c r="AB115" s="3" t="n">
        <v>-1.373036503791809</v>
      </c>
      <c r="AC115" s="3" t="n">
        <v>-2.163908004760742</v>
      </c>
      <c r="AD115" s="3" t="n">
        <v>-0.8921075463294983</v>
      </c>
      <c r="AE115" s="3" t="n">
        <v>-0.8921075463294983</v>
      </c>
    </row>
    <row r="116">
      <c r="A116" s="3" t="inlineStr">
        <is>
          <t>AUS.distn.dec.ove.mean.3</t>
        </is>
      </c>
      <c r="B116" s="3" t="inlineStr">
        <is>
          <t>AUS</t>
        </is>
      </c>
      <c r="C116" s="3" t="n">
        <v>2005</v>
      </c>
      <c r="D116" s="3" t="inlineStr">
        <is>
          <t>Overall</t>
        </is>
      </c>
      <c r="E116" s="3" t="inlineStr">
        <is>
          <t>Deciles</t>
        </is>
      </c>
      <c r="F116" s="3" t="inlineStr">
        <is>
          <t>mean</t>
        </is>
      </c>
      <c r="G116" s="3" t="n">
        <v>3</v>
      </c>
      <c r="H116" s="3" t="n">
        <v>-0.7882409691810608</v>
      </c>
      <c r="I116" s="3" t="n">
        <v>-0.7882409691810608</v>
      </c>
      <c r="J116" s="3" t="n">
        <v>-0.8921075463294983</v>
      </c>
      <c r="K116" s="3" t="n">
        <v>-0.8921075463294983</v>
      </c>
      <c r="L116" s="3" t="n">
        <v>-0.7882409691810608</v>
      </c>
      <c r="M116" s="3" t="n">
        <v>-0.7882409691810608</v>
      </c>
      <c r="N116" s="3" t="n">
        <v>-0.7882409691810608</v>
      </c>
      <c r="O116" s="3" t="n">
        <v>-0.7882409691810608</v>
      </c>
      <c r="P116" s="3" t="n">
        <v>-0.7882409691810608</v>
      </c>
      <c r="Q116" s="3" t="n">
        <v>-0.7882409691810608</v>
      </c>
      <c r="R116" s="3" t="n">
        <v>-0.7734707593917847</v>
      </c>
      <c r="S116" s="3" t="n">
        <v>-1.427079916000366</v>
      </c>
      <c r="T116" s="3" t="n">
        <v>-0.7094525694847107</v>
      </c>
      <c r="U116" s="3" t="n">
        <v>-0.8921075463294983</v>
      </c>
      <c r="V116" s="3" t="n">
        <v>-0.6829447150230408</v>
      </c>
      <c r="W116" s="3" t="n">
        <v>-0.591725766658783</v>
      </c>
      <c r="X116" s="3" t="n">
        <v>-1.373036503791809</v>
      </c>
      <c r="Y116" s="3" t="n">
        <v>-0.7882409691810608</v>
      </c>
      <c r="Z116" s="3" t="n">
        <v>-1.427079916000366</v>
      </c>
      <c r="AA116" s="3" t="n">
        <v>-1.427079916000366</v>
      </c>
      <c r="AB116" s="3" t="n">
        <v>-1.373036503791809</v>
      </c>
      <c r="AC116" s="3" t="n">
        <v>-2.163908004760742</v>
      </c>
      <c r="AD116" s="3" t="n">
        <v>-0.8921075463294983</v>
      </c>
      <c r="AE116" s="3" t="n">
        <v>-0.8921075463294983</v>
      </c>
    </row>
    <row r="117">
      <c r="A117" s="3" t="inlineStr">
        <is>
          <t>AUS.distn.dec.ove.mean.4</t>
        </is>
      </c>
      <c r="B117" s="3" t="inlineStr">
        <is>
          <t>AUS</t>
        </is>
      </c>
      <c r="C117" s="3" t="n">
        <v>2005</v>
      </c>
      <c r="D117" s="3" t="inlineStr">
        <is>
          <t>Overall</t>
        </is>
      </c>
      <c r="E117" s="3" t="inlineStr">
        <is>
          <t>Deciles</t>
        </is>
      </c>
      <c r="F117" s="3" t="inlineStr">
        <is>
          <t>mean</t>
        </is>
      </c>
      <c r="G117" s="3" t="n">
        <v>4</v>
      </c>
      <c r="H117" s="3" t="n">
        <v>-0.7820000052452087</v>
      </c>
      <c r="I117" s="3" t="n">
        <v>-0.7820000052452087</v>
      </c>
      <c r="J117" s="3" t="n">
        <v>-0.8489999771118164</v>
      </c>
      <c r="K117" s="3" t="n">
        <v>-0.8489999771118164</v>
      </c>
      <c r="L117" s="3" t="n">
        <v>-0.7820000052452087</v>
      </c>
      <c r="M117" s="3" t="n">
        <v>-0.7820000052452087</v>
      </c>
      <c r="N117" s="3" t="n">
        <v>-0.7820000052452087</v>
      </c>
      <c r="O117" s="3" t="n">
        <v>-0.7820000052452087</v>
      </c>
      <c r="P117" s="3" t="n">
        <v>-0.7820000052452087</v>
      </c>
      <c r="Q117" s="3" t="n">
        <v>-0.7820000052452087</v>
      </c>
      <c r="R117" s="3" t="n">
        <v>-0.7699999809265137</v>
      </c>
      <c r="S117" s="3" t="n">
        <v>-0.9720000028610229</v>
      </c>
      <c r="T117" s="3" t="n">
        <v>-0.7080000042915344</v>
      </c>
      <c r="U117" s="3" t="n">
        <v>-0.8489999771118164</v>
      </c>
      <c r="V117" s="3" t="n">
        <v>-0.6759999990463257</v>
      </c>
      <c r="W117" s="3" t="n">
        <v>-0.4979999959468842</v>
      </c>
      <c r="X117" s="3" t="n">
        <v>-0.968999981880188</v>
      </c>
      <c r="Y117" s="3" t="n">
        <v>-0.7820000052452087</v>
      </c>
      <c r="Z117" s="3" t="n">
        <v>-0.9720000028610229</v>
      </c>
      <c r="AA117" s="3" t="n">
        <v>-0.9720000028610229</v>
      </c>
      <c r="AB117" s="3" t="n">
        <v>-0.968999981880188</v>
      </c>
      <c r="AC117" s="3" t="n">
        <v>-1.044999957084656</v>
      </c>
      <c r="AD117" s="3" t="n">
        <v>-0.8489999771118164</v>
      </c>
      <c r="AE117" s="3" t="n">
        <v>-0.8489999771118164</v>
      </c>
    </row>
    <row r="118">
      <c r="A118" s="3" t="inlineStr">
        <is>
          <t>AUS.distn.dec.ove.mean.5</t>
        </is>
      </c>
      <c r="B118" s="3" t="inlineStr">
        <is>
          <t>AUS</t>
        </is>
      </c>
      <c r="C118" s="3" t="n">
        <v>2005</v>
      </c>
      <c r="D118" s="3" t="inlineStr">
        <is>
          <t>Overall</t>
        </is>
      </c>
      <c r="E118" s="3" t="inlineStr">
        <is>
          <t>Deciles</t>
        </is>
      </c>
      <c r="F118" s="3" t="inlineStr">
        <is>
          <t>mean</t>
        </is>
      </c>
      <c r="G118" s="3" t="n">
        <v>5</v>
      </c>
      <c r="H118" s="3" t="n">
        <v>-0.7820000052452087</v>
      </c>
      <c r="I118" s="3" t="n">
        <v>-0.7820000052452087</v>
      </c>
      <c r="J118" s="3" t="n">
        <v>-0.8489999771118164</v>
      </c>
      <c r="K118" s="3" t="n">
        <v>-0.8489999771118164</v>
      </c>
      <c r="L118" s="3" t="n">
        <v>-0.7820000052452087</v>
      </c>
      <c r="M118" s="3" t="n">
        <v>-0.7820000052452087</v>
      </c>
      <c r="N118" s="3" t="n">
        <v>-0.7820000052452087</v>
      </c>
      <c r="O118" s="3" t="n">
        <v>-0.7820000052452087</v>
      </c>
      <c r="P118" s="3" t="n">
        <v>-0.7820000052452087</v>
      </c>
      <c r="Q118" s="3" t="n">
        <v>-0.7820000052452087</v>
      </c>
      <c r="R118" s="3" t="n">
        <v>-0.7699999809265137</v>
      </c>
      <c r="S118" s="3" t="n">
        <v>-0.9720000028610229</v>
      </c>
      <c r="T118" s="3" t="n">
        <v>-0.7080000042915344</v>
      </c>
      <c r="U118" s="3" t="n">
        <v>-0.8489999771118164</v>
      </c>
      <c r="V118" s="3" t="n">
        <v>-0.6759999990463257</v>
      </c>
      <c r="W118" s="3" t="n">
        <v>-0.4979999959468842</v>
      </c>
      <c r="X118" s="3" t="n">
        <v>-0.968999981880188</v>
      </c>
      <c r="Y118" s="3" t="n">
        <v>-0.7820000052452087</v>
      </c>
      <c r="Z118" s="3" t="n">
        <v>-0.9720000028610229</v>
      </c>
      <c r="AA118" s="3" t="n">
        <v>-0.9720000028610229</v>
      </c>
      <c r="AB118" s="3" t="n">
        <v>-0.968999981880188</v>
      </c>
      <c r="AC118" s="3" t="n">
        <v>-1.044999957084656</v>
      </c>
      <c r="AD118" s="3" t="n">
        <v>-0.8489999771118164</v>
      </c>
      <c r="AE118" s="3" t="n">
        <v>-0.8489999771118164</v>
      </c>
    </row>
    <row r="119">
      <c r="A119" s="3" t="inlineStr">
        <is>
          <t>AUS.distn.dec.ove.mean.6</t>
        </is>
      </c>
      <c r="B119" s="3" t="inlineStr">
        <is>
          <t>AUS</t>
        </is>
      </c>
      <c r="C119" s="3" t="n">
        <v>2005</v>
      </c>
      <c r="D119" s="3" t="inlineStr">
        <is>
          <t>Overall</t>
        </is>
      </c>
      <c r="E119" s="3" t="inlineStr">
        <is>
          <t>Deciles</t>
        </is>
      </c>
      <c r="F119" s="3" t="inlineStr">
        <is>
          <t>mean</t>
        </is>
      </c>
      <c r="G119" s="3" t="n">
        <v>6</v>
      </c>
      <c r="H119" s="3" t="n">
        <v>-0.7820000052452087</v>
      </c>
      <c r="I119" s="3" t="n">
        <v>-0.7820000052452087</v>
      </c>
      <c r="J119" s="3" t="n">
        <v>-0.8489999771118164</v>
      </c>
      <c r="K119" s="3" t="n">
        <v>-0.8489999771118164</v>
      </c>
      <c r="L119" s="3" t="n">
        <v>-0.7820000052452087</v>
      </c>
      <c r="M119" s="3" t="n">
        <v>-0.7820000052452087</v>
      </c>
      <c r="N119" s="3" t="n">
        <v>-0.7820000052452087</v>
      </c>
      <c r="O119" s="3" t="n">
        <v>-0.7820000052452087</v>
      </c>
      <c r="P119" s="3" t="n">
        <v>-0.7820000052452087</v>
      </c>
      <c r="Q119" s="3" t="n">
        <v>-0.7820000052452087</v>
      </c>
      <c r="R119" s="3" t="n">
        <v>-0.7699999809265137</v>
      </c>
      <c r="S119" s="3" t="n">
        <v>-0.9720000028610229</v>
      </c>
      <c r="T119" s="3" t="n">
        <v>-0.7080000042915344</v>
      </c>
      <c r="U119" s="3" t="n">
        <v>-0.8489999771118164</v>
      </c>
      <c r="V119" s="3" t="n">
        <v>-0.6759999990463257</v>
      </c>
      <c r="W119" s="3" t="n">
        <v>-0.4979999959468842</v>
      </c>
      <c r="X119" s="3" t="n">
        <v>-0.968999981880188</v>
      </c>
      <c r="Y119" s="3" t="n">
        <v>-0.7820000052452087</v>
      </c>
      <c r="Z119" s="3" t="n">
        <v>-0.9720000028610229</v>
      </c>
      <c r="AA119" s="3" t="n">
        <v>-0.9720000028610229</v>
      </c>
      <c r="AB119" s="3" t="n">
        <v>-0.968999981880188</v>
      </c>
      <c r="AC119" s="3" t="n">
        <v>-1.044999957084656</v>
      </c>
      <c r="AD119" s="3" t="n">
        <v>-0.8489999771118164</v>
      </c>
      <c r="AE119" s="3" t="n">
        <v>-0.8489999771118164</v>
      </c>
    </row>
    <row r="120">
      <c r="A120" s="3" t="inlineStr">
        <is>
          <t>AUS.distn.dec.ove.mean.7</t>
        </is>
      </c>
      <c r="B120" s="3" t="inlineStr">
        <is>
          <t>AUS</t>
        </is>
      </c>
      <c r="C120" s="3" t="n">
        <v>2005</v>
      </c>
      <c r="D120" s="3" t="inlineStr">
        <is>
          <t>Overall</t>
        </is>
      </c>
      <c r="E120" s="3" t="inlineStr">
        <is>
          <t>Deciles</t>
        </is>
      </c>
      <c r="F120" s="3" t="inlineStr">
        <is>
          <t>mean</t>
        </is>
      </c>
      <c r="G120" s="3" t="n">
        <v>7</v>
      </c>
      <c r="H120" s="3" t="n">
        <v>-0.7820000052452087</v>
      </c>
      <c r="I120" s="3" t="n">
        <v>-0.7820000052452087</v>
      </c>
      <c r="J120" s="3" t="n">
        <v>-0.8489999771118164</v>
      </c>
      <c r="K120" s="3" t="n">
        <v>-0.8489999771118164</v>
      </c>
      <c r="L120" s="3" t="n">
        <v>-0.7820000052452087</v>
      </c>
      <c r="M120" s="3" t="n">
        <v>-0.7820000052452087</v>
      </c>
      <c r="N120" s="3" t="n">
        <v>-0.7820000052452087</v>
      </c>
      <c r="O120" s="3" t="n">
        <v>-0.7820000052452087</v>
      </c>
      <c r="P120" s="3" t="n">
        <v>-0.7820000052452087</v>
      </c>
      <c r="Q120" s="3" t="n">
        <v>-0.7820000052452087</v>
      </c>
      <c r="R120" s="3" t="n">
        <v>-0.7699999809265137</v>
      </c>
      <c r="S120" s="3" t="n">
        <v>-0.9720000028610229</v>
      </c>
      <c r="T120" s="3" t="n">
        <v>-0.7080000042915344</v>
      </c>
      <c r="U120" s="3" t="n">
        <v>-0.8489999771118164</v>
      </c>
      <c r="V120" s="3" t="n">
        <v>-0.6759999990463257</v>
      </c>
      <c r="W120" s="3" t="n">
        <v>-0.4979999959468842</v>
      </c>
      <c r="X120" s="3" t="n">
        <v>-0.968999981880188</v>
      </c>
      <c r="Y120" s="3" t="n">
        <v>-0.7820000052452087</v>
      </c>
      <c r="Z120" s="3" t="n">
        <v>-0.9720000028610229</v>
      </c>
      <c r="AA120" s="3" t="n">
        <v>-0.9720000028610229</v>
      </c>
      <c r="AB120" s="3" t="n">
        <v>-0.968999981880188</v>
      </c>
      <c r="AC120" s="3" t="n">
        <v>-1.044999957084656</v>
      </c>
      <c r="AD120" s="3" t="n">
        <v>-0.8489999771118164</v>
      </c>
      <c r="AE120" s="3" t="n">
        <v>-0.8489999771118164</v>
      </c>
    </row>
    <row r="121">
      <c r="A121" s="3" t="inlineStr">
        <is>
          <t>AUS.distn.dec.ove.mean.8</t>
        </is>
      </c>
      <c r="B121" s="3" t="inlineStr">
        <is>
          <t>AUS</t>
        </is>
      </c>
      <c r="C121" s="3" t="n">
        <v>2005</v>
      </c>
      <c r="D121" s="3" t="inlineStr">
        <is>
          <t>Overall</t>
        </is>
      </c>
      <c r="E121" s="3" t="inlineStr">
        <is>
          <t>Deciles</t>
        </is>
      </c>
      <c r="F121" s="3" t="inlineStr">
        <is>
          <t>mean</t>
        </is>
      </c>
      <c r="G121" s="3" t="n">
        <v>8</v>
      </c>
      <c r="H121" s="3" t="n">
        <v>-0.782376766204834</v>
      </c>
      <c r="I121" s="3" t="n">
        <v>-0.782376766204834</v>
      </c>
      <c r="J121" s="3" t="n">
        <v>-0.851290225982666</v>
      </c>
      <c r="K121" s="3" t="n">
        <v>-0.851290225982666</v>
      </c>
      <c r="L121" s="3" t="n">
        <v>-0.782376766204834</v>
      </c>
      <c r="M121" s="3" t="n">
        <v>-0.782376766204834</v>
      </c>
      <c r="N121" s="3" t="n">
        <v>-0.782376766204834</v>
      </c>
      <c r="O121" s="3" t="n">
        <v>-0.782376766204834</v>
      </c>
      <c r="P121" s="3" t="n">
        <v>-0.782376766204834</v>
      </c>
      <c r="Q121" s="3" t="n">
        <v>-0.782376766204834</v>
      </c>
      <c r="R121" s="3" t="n">
        <v>-0.7702532410621643</v>
      </c>
      <c r="S121" s="3" t="n">
        <v>-0.981044590473175</v>
      </c>
      <c r="T121" s="3" t="n">
        <v>-0.7080408334732056</v>
      </c>
      <c r="U121" s="3" t="n">
        <v>-0.851290225982666</v>
      </c>
      <c r="V121" s="3" t="n">
        <v>-0.6766988039016724</v>
      </c>
      <c r="W121" s="3" t="n">
        <v>-0.5113358497619629</v>
      </c>
      <c r="X121" s="3" t="n">
        <v>-0.9778295159339905</v>
      </c>
      <c r="Y121" s="3" t="n">
        <v>-0.782376766204834</v>
      </c>
      <c r="Z121" s="3" t="n">
        <v>-0.981044590473175</v>
      </c>
      <c r="AA121" s="3" t="n">
        <v>-0.981044590473175</v>
      </c>
      <c r="AB121" s="3" t="n">
        <v>-0.9778295159339905</v>
      </c>
      <c r="AC121" s="3" t="n">
        <v>-1.059903144836426</v>
      </c>
      <c r="AD121" s="3" t="n">
        <v>-0.851290225982666</v>
      </c>
      <c r="AE121" s="3" t="n">
        <v>-0.851290225982666</v>
      </c>
    </row>
    <row r="122">
      <c r="A122" s="3" t="inlineStr">
        <is>
          <t>AUS.distn.dec.ove.mean.9</t>
        </is>
      </c>
      <c r="B122" s="3" t="inlineStr">
        <is>
          <t>AUS</t>
        </is>
      </c>
      <c r="C122" s="3" t="n">
        <v>2005</v>
      </c>
      <c r="D122" s="3" t="inlineStr">
        <is>
          <t>Overall</t>
        </is>
      </c>
      <c r="E122" s="3" t="inlineStr">
        <is>
          <t>Deciles</t>
        </is>
      </c>
      <c r="F122" s="3" t="inlineStr">
        <is>
          <t>mean</t>
        </is>
      </c>
      <c r="G122" s="3" t="n">
        <v>9</v>
      </c>
      <c r="H122" s="3" t="n">
        <v>-0.782376766204834</v>
      </c>
      <c r="I122" s="3" t="n">
        <v>-0.782376766204834</v>
      </c>
      <c r="J122" s="3" t="n">
        <v>-0.851290225982666</v>
      </c>
      <c r="K122" s="3" t="n">
        <v>-0.851290225982666</v>
      </c>
      <c r="L122" s="3" t="n">
        <v>-0.782376766204834</v>
      </c>
      <c r="M122" s="3" t="n">
        <v>-0.782376766204834</v>
      </c>
      <c r="N122" s="3" t="n">
        <v>-0.782376766204834</v>
      </c>
      <c r="O122" s="3" t="n">
        <v>-0.782376766204834</v>
      </c>
      <c r="P122" s="3" t="n">
        <v>-0.782376766204834</v>
      </c>
      <c r="Q122" s="3" t="n">
        <v>-0.782376766204834</v>
      </c>
      <c r="R122" s="3" t="n">
        <v>-0.7702532410621643</v>
      </c>
      <c r="S122" s="3" t="n">
        <v>-0.981044590473175</v>
      </c>
      <c r="T122" s="3" t="n">
        <v>-0.7080408334732056</v>
      </c>
      <c r="U122" s="3" t="n">
        <v>-0.851290225982666</v>
      </c>
      <c r="V122" s="3" t="n">
        <v>-0.6766988039016724</v>
      </c>
      <c r="W122" s="3" t="n">
        <v>-0.5113358497619629</v>
      </c>
      <c r="X122" s="3" t="n">
        <v>-0.9778295159339905</v>
      </c>
      <c r="Y122" s="3" t="n">
        <v>-0.782376766204834</v>
      </c>
      <c r="Z122" s="3" t="n">
        <v>-0.981044590473175</v>
      </c>
      <c r="AA122" s="3" t="n">
        <v>-0.981044590473175</v>
      </c>
      <c r="AB122" s="3" t="n">
        <v>-0.9778295159339905</v>
      </c>
      <c r="AC122" s="3" t="n">
        <v>-1.059903144836426</v>
      </c>
      <c r="AD122" s="3" t="n">
        <v>-0.851290225982666</v>
      </c>
      <c r="AE122" s="3" t="n">
        <v>-0.851290225982666</v>
      </c>
    </row>
    <row r="123">
      <c r="A123" s="3" t="inlineStr">
        <is>
          <t>AUS.distn.dec.ove.mean.10</t>
        </is>
      </c>
      <c r="B123" s="3" t="inlineStr">
        <is>
          <t>AUS</t>
        </is>
      </c>
      <c r="C123" s="3" t="n">
        <v>2005</v>
      </c>
      <c r="D123" s="3" t="inlineStr">
        <is>
          <t>Overall</t>
        </is>
      </c>
      <c r="E123" s="3" t="inlineStr">
        <is>
          <t>Deciles</t>
        </is>
      </c>
      <c r="F123" s="3" t="inlineStr">
        <is>
          <t>mean</t>
        </is>
      </c>
      <c r="G123" s="3" t="n">
        <v>10</v>
      </c>
      <c r="H123" s="3" t="n">
        <v>-0.782376766204834</v>
      </c>
      <c r="I123" s="3" t="n">
        <v>-0.782376766204834</v>
      </c>
      <c r="J123" s="3" t="n">
        <v>-0.851290225982666</v>
      </c>
      <c r="K123" s="3" t="n">
        <v>-0.851290225982666</v>
      </c>
      <c r="L123" s="3" t="n">
        <v>-0.782376766204834</v>
      </c>
      <c r="M123" s="3" t="n">
        <v>-0.782376766204834</v>
      </c>
      <c r="N123" s="3" t="n">
        <v>-0.782376766204834</v>
      </c>
      <c r="O123" s="3" t="n">
        <v>-0.782376766204834</v>
      </c>
      <c r="P123" s="3" t="n">
        <v>-0.782376766204834</v>
      </c>
      <c r="Q123" s="3" t="n">
        <v>-0.782376766204834</v>
      </c>
      <c r="R123" s="3" t="n">
        <v>-0.7702532410621643</v>
      </c>
      <c r="S123" s="3" t="n">
        <v>-0.981044590473175</v>
      </c>
      <c r="T123" s="3" t="n">
        <v>-0.7080408334732056</v>
      </c>
      <c r="U123" s="3" t="n">
        <v>-0.851290225982666</v>
      </c>
      <c r="V123" s="3" t="n">
        <v>-0.6766988039016724</v>
      </c>
      <c r="W123" s="3" t="n">
        <v>-0.5113358497619629</v>
      </c>
      <c r="X123" s="3" t="n">
        <v>-0.9778295159339905</v>
      </c>
      <c r="Y123" s="3" t="n">
        <v>-0.782376766204834</v>
      </c>
      <c r="Z123" s="3" t="n">
        <v>-0.981044590473175</v>
      </c>
      <c r="AA123" s="3" t="n">
        <v>-0.981044590473175</v>
      </c>
      <c r="AB123" s="3" t="n">
        <v>-0.9778295159339905</v>
      </c>
      <c r="AC123" s="3" t="n">
        <v>-1.059903144836426</v>
      </c>
      <c r="AD123" s="3" t="n">
        <v>-0.851290225982666</v>
      </c>
      <c r="AE123" s="3" t="n">
        <v>-0.851290225982666</v>
      </c>
    </row>
    <row r="124">
      <c r="A124" s="3" t="inlineStr">
        <is>
          <t>AUS.distn.bkt.ove.mean.9999</t>
        </is>
      </c>
      <c r="B124" s="3" t="inlineStr">
        <is>
          <t>AUS</t>
        </is>
      </c>
      <c r="C124" s="3" t="n">
        <v>2005</v>
      </c>
      <c r="D124" s="3" t="inlineStr">
        <is>
          <t>Overall</t>
        </is>
      </c>
      <c r="E124" s="3" t="inlineStr">
        <is>
          <t>Basket</t>
        </is>
      </c>
      <c r="F124" s="3" t="inlineStr">
        <is>
          <t>mean</t>
        </is>
      </c>
      <c r="G124" s="3" t="n">
        <v>9999</v>
      </c>
      <c r="H124" s="3" t="n">
        <v>-0.7839853167533875</v>
      </c>
      <c r="I124" s="3" t="n">
        <v>-0.7839853167533875</v>
      </c>
      <c r="J124" s="3" t="n">
        <v>-0.8626193404197693</v>
      </c>
      <c r="K124" s="3" t="n">
        <v>-0.8626193404197693</v>
      </c>
      <c r="L124" s="3" t="n">
        <v>-0.7839853167533875</v>
      </c>
      <c r="M124" s="3" t="n">
        <v>-0.7839853167533875</v>
      </c>
      <c r="N124" s="3" t="n">
        <v>-0.7839853167533875</v>
      </c>
      <c r="O124" s="3" t="n">
        <v>-0.7839853167533875</v>
      </c>
      <c r="P124" s="3" t="n">
        <v>-0.7839853167533875</v>
      </c>
      <c r="Q124" s="3" t="n">
        <v>-0.7839853167533875</v>
      </c>
      <c r="R124" s="3" t="n">
        <v>-0.7711172103881836</v>
      </c>
      <c r="S124" s="3" t="n">
        <v>-1.111237406730652</v>
      </c>
      <c r="T124" s="3" t="n">
        <v>-0.708448052406311</v>
      </c>
      <c r="U124" s="3" t="n">
        <v>-0.8626193404197693</v>
      </c>
      <c r="V124" s="3" t="n">
        <v>-0.6782930493354797</v>
      </c>
      <c r="W124" s="3" t="n">
        <v>-0.530118465423584</v>
      </c>
      <c r="X124" s="3" t="n">
        <v>-1.092859745025635</v>
      </c>
      <c r="Y124" s="3" t="n">
        <v>-0.7839853167533875</v>
      </c>
      <c r="Z124" s="3" t="n">
        <v>-1.111237406730652</v>
      </c>
      <c r="AA124" s="3" t="n">
        <v>-1.111237406730652</v>
      </c>
      <c r="AB124" s="3" t="n">
        <v>-1.092859745025635</v>
      </c>
      <c r="AC124" s="3" t="n">
        <v>-1.385143280029297</v>
      </c>
      <c r="AD124" s="3" t="n">
        <v>-0.8626193404197693</v>
      </c>
      <c r="AE124" s="3" t="n">
        <v>-0.8626193404197693</v>
      </c>
    </row>
    <row r="125">
      <c r="A125" s="3" t="inlineStr">
        <is>
          <t>AUT.distn.dec.ove.mean.1</t>
        </is>
      </c>
      <c r="B125" s="3" t="inlineStr">
        <is>
          <t>AUT</t>
        </is>
      </c>
      <c r="C125" s="3" t="n">
        <v>2005</v>
      </c>
      <c r="D125" s="3" t="inlineStr">
        <is>
          <t>Overall</t>
        </is>
      </c>
      <c r="E125" s="3" t="inlineStr">
        <is>
          <t>Deciles</t>
        </is>
      </c>
      <c r="F125" s="3" t="inlineStr">
        <is>
          <t>mean</t>
        </is>
      </c>
      <c r="G125" s="3" t="n">
        <v>1</v>
      </c>
      <c r="H125" s="3" t="n">
        <v>-0.7872329354286194</v>
      </c>
      <c r="I125" s="3" t="n">
        <v>-0.7872329354286194</v>
      </c>
      <c r="J125" s="3" t="n">
        <v>-0.8837013244628906</v>
      </c>
      <c r="K125" s="3" t="n">
        <v>-0.8837013244628906</v>
      </c>
      <c r="L125" s="3" t="n">
        <v>-0.7872329354286194</v>
      </c>
      <c r="M125" s="3" t="n">
        <v>-0.7872329354286194</v>
      </c>
      <c r="N125" s="3" t="n">
        <v>-0.7872329354286194</v>
      </c>
      <c r="O125" s="3" t="n">
        <v>-0.7872329354286194</v>
      </c>
      <c r="P125" s="3" t="n">
        <v>-0.7872329354286194</v>
      </c>
      <c r="Q125" s="3" t="n">
        <v>-0.7872329354286194</v>
      </c>
      <c r="R125" s="3" t="n">
        <v>-0.772466242313385</v>
      </c>
      <c r="S125" s="3" t="n">
        <v>-1.383034229278564</v>
      </c>
      <c r="T125" s="3" t="n">
        <v>-0.7094525694847107</v>
      </c>
      <c r="U125" s="3" t="n">
        <v>-0.8837013244628906</v>
      </c>
      <c r="V125" s="3" t="n">
        <v>-0.6809241771697998</v>
      </c>
      <c r="W125" s="3" t="n">
        <v>-0.5465739965438843</v>
      </c>
      <c r="X125" s="3" t="n">
        <v>-1.331944584846497</v>
      </c>
      <c r="Y125" s="3" t="n">
        <v>-0.7872329354286194</v>
      </c>
      <c r="Z125" s="3" t="n">
        <v>-1.383034229278564</v>
      </c>
      <c r="AA125" s="3" t="n">
        <v>-1.383034229278564</v>
      </c>
      <c r="AB125" s="3" t="n">
        <v>-1.331944584846497</v>
      </c>
      <c r="AC125" s="3" t="n">
        <v>-2.062442302703857</v>
      </c>
      <c r="AD125" s="3" t="n">
        <v>-0.8837013244628906</v>
      </c>
      <c r="AE125" s="3" t="n">
        <v>-0.8837013244628906</v>
      </c>
    </row>
    <row r="126">
      <c r="A126" s="3" t="inlineStr">
        <is>
          <t>AUT.distn.dec.ove.mean.2</t>
        </is>
      </c>
      <c r="B126" s="3" t="inlineStr">
        <is>
          <t>AUT</t>
        </is>
      </c>
      <c r="C126" s="3" t="n">
        <v>2005</v>
      </c>
      <c r="D126" s="3" t="inlineStr">
        <is>
          <t>Overall</t>
        </is>
      </c>
      <c r="E126" s="3" t="inlineStr">
        <is>
          <t>Deciles</t>
        </is>
      </c>
      <c r="F126" s="3" t="inlineStr">
        <is>
          <t>mean</t>
        </is>
      </c>
      <c r="G126" s="3" t="n">
        <v>2</v>
      </c>
      <c r="H126" s="3" t="n">
        <v>-0.7872329354286194</v>
      </c>
      <c r="I126" s="3" t="n">
        <v>-0.7872329354286194</v>
      </c>
      <c r="J126" s="3" t="n">
        <v>-0.8837013244628906</v>
      </c>
      <c r="K126" s="3" t="n">
        <v>-0.8837013244628906</v>
      </c>
      <c r="L126" s="3" t="n">
        <v>-0.7872329354286194</v>
      </c>
      <c r="M126" s="3" t="n">
        <v>-0.7872329354286194</v>
      </c>
      <c r="N126" s="3" t="n">
        <v>-0.7872329354286194</v>
      </c>
      <c r="O126" s="3" t="n">
        <v>-0.7872329354286194</v>
      </c>
      <c r="P126" s="3" t="n">
        <v>-0.7872329354286194</v>
      </c>
      <c r="Q126" s="3" t="n">
        <v>-0.7872329354286194</v>
      </c>
      <c r="R126" s="3" t="n">
        <v>-0.772466242313385</v>
      </c>
      <c r="S126" s="3" t="n">
        <v>-1.383034229278564</v>
      </c>
      <c r="T126" s="3" t="n">
        <v>-0.7094525694847107</v>
      </c>
      <c r="U126" s="3" t="n">
        <v>-0.8837013244628906</v>
      </c>
      <c r="V126" s="3" t="n">
        <v>-0.6809241771697998</v>
      </c>
      <c r="W126" s="3" t="n">
        <v>-0.5465739965438843</v>
      </c>
      <c r="X126" s="3" t="n">
        <v>-1.331944584846497</v>
      </c>
      <c r="Y126" s="3" t="n">
        <v>-0.7872329354286194</v>
      </c>
      <c r="Z126" s="3" t="n">
        <v>-1.383034229278564</v>
      </c>
      <c r="AA126" s="3" t="n">
        <v>-1.383034229278564</v>
      </c>
      <c r="AB126" s="3" t="n">
        <v>-1.331944584846497</v>
      </c>
      <c r="AC126" s="3" t="n">
        <v>-2.062442302703857</v>
      </c>
      <c r="AD126" s="3" t="n">
        <v>-0.8837013244628906</v>
      </c>
      <c r="AE126" s="3" t="n">
        <v>-0.8837013244628906</v>
      </c>
    </row>
    <row r="127">
      <c r="A127" s="3" t="inlineStr">
        <is>
          <t>AUT.distn.dec.ove.mean.3</t>
        </is>
      </c>
      <c r="B127" s="3" t="inlineStr">
        <is>
          <t>AUT</t>
        </is>
      </c>
      <c r="C127" s="3" t="n">
        <v>2005</v>
      </c>
      <c r="D127" s="3" t="inlineStr">
        <is>
          <t>Overall</t>
        </is>
      </c>
      <c r="E127" s="3" t="inlineStr">
        <is>
          <t>Deciles</t>
        </is>
      </c>
      <c r="F127" s="3" t="inlineStr">
        <is>
          <t>mean</t>
        </is>
      </c>
      <c r="G127" s="3" t="n">
        <v>3</v>
      </c>
      <c r="H127" s="3" t="n">
        <v>-0.7872329354286194</v>
      </c>
      <c r="I127" s="3" t="n">
        <v>-0.7872329354286194</v>
      </c>
      <c r="J127" s="3" t="n">
        <v>-0.8837013244628906</v>
      </c>
      <c r="K127" s="3" t="n">
        <v>-0.8837013244628906</v>
      </c>
      <c r="L127" s="3" t="n">
        <v>-0.7872329354286194</v>
      </c>
      <c r="M127" s="3" t="n">
        <v>-0.7872329354286194</v>
      </c>
      <c r="N127" s="3" t="n">
        <v>-0.7872329354286194</v>
      </c>
      <c r="O127" s="3" t="n">
        <v>-0.7872329354286194</v>
      </c>
      <c r="P127" s="3" t="n">
        <v>-0.7872329354286194</v>
      </c>
      <c r="Q127" s="3" t="n">
        <v>-0.7872329354286194</v>
      </c>
      <c r="R127" s="3" t="n">
        <v>-0.772466242313385</v>
      </c>
      <c r="S127" s="3" t="n">
        <v>-1.383034229278564</v>
      </c>
      <c r="T127" s="3" t="n">
        <v>-0.7094525694847107</v>
      </c>
      <c r="U127" s="3" t="n">
        <v>-0.8837013244628906</v>
      </c>
      <c r="V127" s="3" t="n">
        <v>-0.6809241771697998</v>
      </c>
      <c r="W127" s="3" t="n">
        <v>-0.5465739965438843</v>
      </c>
      <c r="X127" s="3" t="n">
        <v>-1.331944584846497</v>
      </c>
      <c r="Y127" s="3" t="n">
        <v>-0.7872329354286194</v>
      </c>
      <c r="Z127" s="3" t="n">
        <v>-1.383034229278564</v>
      </c>
      <c r="AA127" s="3" t="n">
        <v>-1.383034229278564</v>
      </c>
      <c r="AB127" s="3" t="n">
        <v>-1.331944584846497</v>
      </c>
      <c r="AC127" s="3" t="n">
        <v>-2.062442302703857</v>
      </c>
      <c r="AD127" s="3" t="n">
        <v>-0.8837013244628906</v>
      </c>
      <c r="AE127" s="3" t="n">
        <v>-0.8837013244628906</v>
      </c>
    </row>
    <row r="128">
      <c r="A128" s="3" t="inlineStr">
        <is>
          <t>AUT.distn.dec.ove.mean.4</t>
        </is>
      </c>
      <c r="B128" s="3" t="inlineStr">
        <is>
          <t>AUT</t>
        </is>
      </c>
      <c r="C128" s="3" t="n">
        <v>2005</v>
      </c>
      <c r="D128" s="3" t="inlineStr">
        <is>
          <t>Overall</t>
        </is>
      </c>
      <c r="E128" s="3" t="inlineStr">
        <is>
          <t>Deciles</t>
        </is>
      </c>
      <c r="F128" s="3" t="inlineStr">
        <is>
          <t>mean</t>
        </is>
      </c>
      <c r="G128" s="3" t="n">
        <v>4</v>
      </c>
      <c r="H128" s="3" t="n">
        <v>-0.781000018119812</v>
      </c>
      <c r="I128" s="3" t="n">
        <v>-0.781000018119812</v>
      </c>
      <c r="J128" s="3" t="n">
        <v>-0.8410000205039978</v>
      </c>
      <c r="K128" s="3" t="n">
        <v>-0.8410000205039978</v>
      </c>
      <c r="L128" s="3" t="n">
        <v>-0.781000018119812</v>
      </c>
      <c r="M128" s="3" t="n">
        <v>-0.781000018119812</v>
      </c>
      <c r="N128" s="3" t="n">
        <v>-0.781000018119812</v>
      </c>
      <c r="O128" s="3" t="n">
        <v>-0.781000018119812</v>
      </c>
      <c r="P128" s="3" t="n">
        <v>-0.781000018119812</v>
      </c>
      <c r="Q128" s="3" t="n">
        <v>-0.781000018119812</v>
      </c>
      <c r="R128" s="3" t="n">
        <v>-0.7689999938011169</v>
      </c>
      <c r="S128" s="3" t="n">
        <v>-0.9419999718666077</v>
      </c>
      <c r="T128" s="3" t="n">
        <v>-0.7080000042915344</v>
      </c>
      <c r="U128" s="3" t="n">
        <v>-0.8410000205039978</v>
      </c>
      <c r="V128" s="3" t="n">
        <v>-0.6740000247955322</v>
      </c>
      <c r="W128" s="3" t="n">
        <v>-0.4600000083446503</v>
      </c>
      <c r="X128" s="3" t="n">
        <v>-0.9399999976158142</v>
      </c>
      <c r="Y128" s="3" t="n">
        <v>-0.781000018119812</v>
      </c>
      <c r="Z128" s="3" t="n">
        <v>-0.9419999718666077</v>
      </c>
      <c r="AA128" s="3" t="n">
        <v>-0.9419999718666077</v>
      </c>
      <c r="AB128" s="3" t="n">
        <v>-0.9399999976158142</v>
      </c>
      <c r="AC128" s="3" t="n">
        <v>-0.9959999918937683</v>
      </c>
      <c r="AD128" s="3" t="n">
        <v>-0.8410000205039978</v>
      </c>
      <c r="AE128" s="3" t="n">
        <v>-0.8410000205039978</v>
      </c>
    </row>
    <row r="129">
      <c r="A129" s="3" t="inlineStr">
        <is>
          <t>AUT.distn.dec.ove.mean.5</t>
        </is>
      </c>
      <c r="B129" s="3" t="inlineStr">
        <is>
          <t>AUT</t>
        </is>
      </c>
      <c r="C129" s="3" t="n">
        <v>2005</v>
      </c>
      <c r="D129" s="3" t="inlineStr">
        <is>
          <t>Overall</t>
        </is>
      </c>
      <c r="E129" s="3" t="inlineStr">
        <is>
          <t>Deciles</t>
        </is>
      </c>
      <c r="F129" s="3" t="inlineStr">
        <is>
          <t>mean</t>
        </is>
      </c>
      <c r="G129" s="3" t="n">
        <v>5</v>
      </c>
      <c r="H129" s="3" t="n">
        <v>-0.781000018119812</v>
      </c>
      <c r="I129" s="3" t="n">
        <v>-0.781000018119812</v>
      </c>
      <c r="J129" s="3" t="n">
        <v>-0.8410000205039978</v>
      </c>
      <c r="K129" s="3" t="n">
        <v>-0.8410000205039978</v>
      </c>
      <c r="L129" s="3" t="n">
        <v>-0.781000018119812</v>
      </c>
      <c r="M129" s="3" t="n">
        <v>-0.781000018119812</v>
      </c>
      <c r="N129" s="3" t="n">
        <v>-0.781000018119812</v>
      </c>
      <c r="O129" s="3" t="n">
        <v>-0.781000018119812</v>
      </c>
      <c r="P129" s="3" t="n">
        <v>-0.781000018119812</v>
      </c>
      <c r="Q129" s="3" t="n">
        <v>-0.781000018119812</v>
      </c>
      <c r="R129" s="3" t="n">
        <v>-0.7689999938011169</v>
      </c>
      <c r="S129" s="3" t="n">
        <v>-0.9419999718666077</v>
      </c>
      <c r="T129" s="3" t="n">
        <v>-0.7080000042915344</v>
      </c>
      <c r="U129" s="3" t="n">
        <v>-0.8410000205039978</v>
      </c>
      <c r="V129" s="3" t="n">
        <v>-0.6740000247955322</v>
      </c>
      <c r="W129" s="3" t="n">
        <v>-0.4600000083446503</v>
      </c>
      <c r="X129" s="3" t="n">
        <v>-0.9399999976158142</v>
      </c>
      <c r="Y129" s="3" t="n">
        <v>-0.781000018119812</v>
      </c>
      <c r="Z129" s="3" t="n">
        <v>-0.9419999718666077</v>
      </c>
      <c r="AA129" s="3" t="n">
        <v>-0.9419999718666077</v>
      </c>
      <c r="AB129" s="3" t="n">
        <v>-0.9399999976158142</v>
      </c>
      <c r="AC129" s="3" t="n">
        <v>-0.9959999918937683</v>
      </c>
      <c r="AD129" s="3" t="n">
        <v>-0.8410000205039978</v>
      </c>
      <c r="AE129" s="3" t="n">
        <v>-0.8410000205039978</v>
      </c>
    </row>
    <row r="130">
      <c r="A130" s="3" t="inlineStr">
        <is>
          <t>AUT.distn.dec.ove.mean.6</t>
        </is>
      </c>
      <c r="B130" s="3" t="inlineStr">
        <is>
          <t>AUT</t>
        </is>
      </c>
      <c r="C130" s="3" t="n">
        <v>2005</v>
      </c>
      <c r="D130" s="3" t="inlineStr">
        <is>
          <t>Overall</t>
        </is>
      </c>
      <c r="E130" s="3" t="inlineStr">
        <is>
          <t>Deciles</t>
        </is>
      </c>
      <c r="F130" s="3" t="inlineStr">
        <is>
          <t>mean</t>
        </is>
      </c>
      <c r="G130" s="3" t="n">
        <v>6</v>
      </c>
      <c r="H130" s="3" t="n">
        <v>-0.781000018119812</v>
      </c>
      <c r="I130" s="3" t="n">
        <v>-0.781000018119812</v>
      </c>
      <c r="J130" s="3" t="n">
        <v>-0.8410000205039978</v>
      </c>
      <c r="K130" s="3" t="n">
        <v>-0.8410000205039978</v>
      </c>
      <c r="L130" s="3" t="n">
        <v>-0.781000018119812</v>
      </c>
      <c r="M130" s="3" t="n">
        <v>-0.781000018119812</v>
      </c>
      <c r="N130" s="3" t="n">
        <v>-0.781000018119812</v>
      </c>
      <c r="O130" s="3" t="n">
        <v>-0.781000018119812</v>
      </c>
      <c r="P130" s="3" t="n">
        <v>-0.781000018119812</v>
      </c>
      <c r="Q130" s="3" t="n">
        <v>-0.781000018119812</v>
      </c>
      <c r="R130" s="3" t="n">
        <v>-0.7689999938011169</v>
      </c>
      <c r="S130" s="3" t="n">
        <v>-0.9419999718666077</v>
      </c>
      <c r="T130" s="3" t="n">
        <v>-0.7080000042915344</v>
      </c>
      <c r="U130" s="3" t="n">
        <v>-0.8410000205039978</v>
      </c>
      <c r="V130" s="3" t="n">
        <v>-0.6740000247955322</v>
      </c>
      <c r="W130" s="3" t="n">
        <v>-0.4600000083446503</v>
      </c>
      <c r="X130" s="3" t="n">
        <v>-0.9399999976158142</v>
      </c>
      <c r="Y130" s="3" t="n">
        <v>-0.781000018119812</v>
      </c>
      <c r="Z130" s="3" t="n">
        <v>-0.9419999718666077</v>
      </c>
      <c r="AA130" s="3" t="n">
        <v>-0.9419999718666077</v>
      </c>
      <c r="AB130" s="3" t="n">
        <v>-0.9399999976158142</v>
      </c>
      <c r="AC130" s="3" t="n">
        <v>-0.9959999918937683</v>
      </c>
      <c r="AD130" s="3" t="n">
        <v>-0.8410000205039978</v>
      </c>
      <c r="AE130" s="3" t="n">
        <v>-0.8410000205039978</v>
      </c>
    </row>
    <row r="131">
      <c r="A131" s="3" t="inlineStr">
        <is>
          <t>AUT.distn.dec.ove.mean.7</t>
        </is>
      </c>
      <c r="B131" s="3" t="inlineStr">
        <is>
          <t>AUT</t>
        </is>
      </c>
      <c r="C131" s="3" t="n">
        <v>2005</v>
      </c>
      <c r="D131" s="3" t="inlineStr">
        <is>
          <t>Overall</t>
        </is>
      </c>
      <c r="E131" s="3" t="inlineStr">
        <is>
          <t>Deciles</t>
        </is>
      </c>
      <c r="F131" s="3" t="inlineStr">
        <is>
          <t>mean</t>
        </is>
      </c>
      <c r="G131" s="3" t="n">
        <v>7</v>
      </c>
      <c r="H131" s="3" t="n">
        <v>-0.781000018119812</v>
      </c>
      <c r="I131" s="3" t="n">
        <v>-0.781000018119812</v>
      </c>
      <c r="J131" s="3" t="n">
        <v>-0.8410000205039978</v>
      </c>
      <c r="K131" s="3" t="n">
        <v>-0.8410000205039978</v>
      </c>
      <c r="L131" s="3" t="n">
        <v>-0.781000018119812</v>
      </c>
      <c r="M131" s="3" t="n">
        <v>-0.781000018119812</v>
      </c>
      <c r="N131" s="3" t="n">
        <v>-0.781000018119812</v>
      </c>
      <c r="O131" s="3" t="n">
        <v>-0.781000018119812</v>
      </c>
      <c r="P131" s="3" t="n">
        <v>-0.781000018119812</v>
      </c>
      <c r="Q131" s="3" t="n">
        <v>-0.781000018119812</v>
      </c>
      <c r="R131" s="3" t="n">
        <v>-0.7689999938011169</v>
      </c>
      <c r="S131" s="3" t="n">
        <v>-0.9419999718666077</v>
      </c>
      <c r="T131" s="3" t="n">
        <v>-0.7080000042915344</v>
      </c>
      <c r="U131" s="3" t="n">
        <v>-0.8410000205039978</v>
      </c>
      <c r="V131" s="3" t="n">
        <v>-0.6740000247955322</v>
      </c>
      <c r="W131" s="3" t="n">
        <v>-0.4600000083446503</v>
      </c>
      <c r="X131" s="3" t="n">
        <v>-0.9399999976158142</v>
      </c>
      <c r="Y131" s="3" t="n">
        <v>-0.781000018119812</v>
      </c>
      <c r="Z131" s="3" t="n">
        <v>-0.9419999718666077</v>
      </c>
      <c r="AA131" s="3" t="n">
        <v>-0.9419999718666077</v>
      </c>
      <c r="AB131" s="3" t="n">
        <v>-0.9399999976158142</v>
      </c>
      <c r="AC131" s="3" t="n">
        <v>-0.9959999918937683</v>
      </c>
      <c r="AD131" s="3" t="n">
        <v>-0.8410000205039978</v>
      </c>
      <c r="AE131" s="3" t="n">
        <v>-0.8410000205039978</v>
      </c>
    </row>
    <row r="132">
      <c r="A132" s="3" t="inlineStr">
        <is>
          <t>AUT.distn.dec.ove.mean.8</t>
        </is>
      </c>
      <c r="B132" s="3" t="inlineStr">
        <is>
          <t>AUT</t>
        </is>
      </c>
      <c r="C132" s="3" t="n">
        <v>2005</v>
      </c>
      <c r="D132" s="3" t="inlineStr">
        <is>
          <t>Overall</t>
        </is>
      </c>
      <c r="E132" s="3" t="inlineStr">
        <is>
          <t>Deciles</t>
        </is>
      </c>
      <c r="F132" s="3" t="inlineStr">
        <is>
          <t>mean</t>
        </is>
      </c>
      <c r="G132" s="3" t="n">
        <v>8</v>
      </c>
      <c r="H132" s="3" t="n">
        <v>-0.7813762426376343</v>
      </c>
      <c r="I132" s="3" t="n">
        <v>-0.7813762426376343</v>
      </c>
      <c r="J132" s="3" t="n">
        <v>-0.8432686924934387</v>
      </c>
      <c r="K132" s="3" t="n">
        <v>-0.8432686924934387</v>
      </c>
      <c r="L132" s="3" t="n">
        <v>-0.7813762426376343</v>
      </c>
      <c r="M132" s="3" t="n">
        <v>-0.7813762426376343</v>
      </c>
      <c r="N132" s="3" t="n">
        <v>-0.7813762426376343</v>
      </c>
      <c r="O132" s="3" t="n">
        <v>-0.7813762426376343</v>
      </c>
      <c r="P132" s="3" t="n">
        <v>-0.7813762426376343</v>
      </c>
      <c r="Q132" s="3" t="n">
        <v>-0.7813762426376343</v>
      </c>
      <c r="R132" s="3" t="n">
        <v>-0.7692528963088989</v>
      </c>
      <c r="S132" s="3" t="n">
        <v>-0.9507654309272766</v>
      </c>
      <c r="T132" s="3" t="n">
        <v>-0.7080408334732056</v>
      </c>
      <c r="U132" s="3" t="n">
        <v>-0.8432686924934387</v>
      </c>
      <c r="V132" s="3" t="n">
        <v>-0.6746967434883118</v>
      </c>
      <c r="W132" s="3" t="n">
        <v>-0.4723182618618011</v>
      </c>
      <c r="X132" s="3" t="n">
        <v>-0.9485653042793274</v>
      </c>
      <c r="Y132" s="3" t="n">
        <v>-0.7813762426376343</v>
      </c>
      <c r="Z132" s="3" t="n">
        <v>-0.9507654309272766</v>
      </c>
      <c r="AA132" s="3" t="n">
        <v>-0.9507654309272766</v>
      </c>
      <c r="AB132" s="3" t="n">
        <v>-0.9485653042793274</v>
      </c>
      <c r="AC132" s="3" t="n">
        <v>-1.010204315185547</v>
      </c>
      <c r="AD132" s="3" t="n">
        <v>-0.8432686924934387</v>
      </c>
      <c r="AE132" s="3" t="n">
        <v>-0.8432686924934387</v>
      </c>
    </row>
    <row r="133">
      <c r="A133" s="3" t="inlineStr">
        <is>
          <t>AUT.distn.dec.ove.mean.9</t>
        </is>
      </c>
      <c r="B133" s="3" t="inlineStr">
        <is>
          <t>AUT</t>
        </is>
      </c>
      <c r="C133" s="3" t="n">
        <v>2005</v>
      </c>
      <c r="D133" s="3" t="inlineStr">
        <is>
          <t>Overall</t>
        </is>
      </c>
      <c r="E133" s="3" t="inlineStr">
        <is>
          <t>Deciles</t>
        </is>
      </c>
      <c r="F133" s="3" t="inlineStr">
        <is>
          <t>mean</t>
        </is>
      </c>
      <c r="G133" s="3" t="n">
        <v>9</v>
      </c>
      <c r="H133" s="3" t="n">
        <v>-0.7813762426376343</v>
      </c>
      <c r="I133" s="3" t="n">
        <v>-0.7813762426376343</v>
      </c>
      <c r="J133" s="3" t="n">
        <v>-0.8432686924934387</v>
      </c>
      <c r="K133" s="3" t="n">
        <v>-0.8432686924934387</v>
      </c>
      <c r="L133" s="3" t="n">
        <v>-0.7813762426376343</v>
      </c>
      <c r="M133" s="3" t="n">
        <v>-0.7813762426376343</v>
      </c>
      <c r="N133" s="3" t="n">
        <v>-0.7813762426376343</v>
      </c>
      <c r="O133" s="3" t="n">
        <v>-0.7813762426376343</v>
      </c>
      <c r="P133" s="3" t="n">
        <v>-0.7813762426376343</v>
      </c>
      <c r="Q133" s="3" t="n">
        <v>-0.7813762426376343</v>
      </c>
      <c r="R133" s="3" t="n">
        <v>-0.7692528963088989</v>
      </c>
      <c r="S133" s="3" t="n">
        <v>-0.9507654309272766</v>
      </c>
      <c r="T133" s="3" t="n">
        <v>-0.7080408334732056</v>
      </c>
      <c r="U133" s="3" t="n">
        <v>-0.8432686924934387</v>
      </c>
      <c r="V133" s="3" t="n">
        <v>-0.6746967434883118</v>
      </c>
      <c r="W133" s="3" t="n">
        <v>-0.4723182618618011</v>
      </c>
      <c r="X133" s="3" t="n">
        <v>-0.9485653042793274</v>
      </c>
      <c r="Y133" s="3" t="n">
        <v>-0.7813762426376343</v>
      </c>
      <c r="Z133" s="3" t="n">
        <v>-0.9507654309272766</v>
      </c>
      <c r="AA133" s="3" t="n">
        <v>-0.9507654309272766</v>
      </c>
      <c r="AB133" s="3" t="n">
        <v>-0.9485653042793274</v>
      </c>
      <c r="AC133" s="3" t="n">
        <v>-1.010204315185547</v>
      </c>
      <c r="AD133" s="3" t="n">
        <v>-0.8432686924934387</v>
      </c>
      <c r="AE133" s="3" t="n">
        <v>-0.8432686924934387</v>
      </c>
    </row>
    <row r="134">
      <c r="A134" s="3" t="inlineStr">
        <is>
          <t>AUT.distn.dec.ove.mean.10</t>
        </is>
      </c>
      <c r="B134" s="3" t="inlineStr">
        <is>
          <t>AUT</t>
        </is>
      </c>
      <c r="C134" s="3" t="n">
        <v>2005</v>
      </c>
      <c r="D134" s="3" t="inlineStr">
        <is>
          <t>Overall</t>
        </is>
      </c>
      <c r="E134" s="3" t="inlineStr">
        <is>
          <t>Deciles</t>
        </is>
      </c>
      <c r="F134" s="3" t="inlineStr">
        <is>
          <t>mean</t>
        </is>
      </c>
      <c r="G134" s="3" t="n">
        <v>10</v>
      </c>
      <c r="H134" s="3" t="n">
        <v>-0.7813762426376343</v>
      </c>
      <c r="I134" s="3" t="n">
        <v>-0.7813762426376343</v>
      </c>
      <c r="J134" s="3" t="n">
        <v>-0.8432686924934387</v>
      </c>
      <c r="K134" s="3" t="n">
        <v>-0.8432686924934387</v>
      </c>
      <c r="L134" s="3" t="n">
        <v>-0.7813762426376343</v>
      </c>
      <c r="M134" s="3" t="n">
        <v>-0.7813762426376343</v>
      </c>
      <c r="N134" s="3" t="n">
        <v>-0.7813762426376343</v>
      </c>
      <c r="O134" s="3" t="n">
        <v>-0.7813762426376343</v>
      </c>
      <c r="P134" s="3" t="n">
        <v>-0.7813762426376343</v>
      </c>
      <c r="Q134" s="3" t="n">
        <v>-0.7813762426376343</v>
      </c>
      <c r="R134" s="3" t="n">
        <v>-0.7692528963088989</v>
      </c>
      <c r="S134" s="3" t="n">
        <v>-0.9507654309272766</v>
      </c>
      <c r="T134" s="3" t="n">
        <v>-0.7080408334732056</v>
      </c>
      <c r="U134" s="3" t="n">
        <v>-0.8432686924934387</v>
      </c>
      <c r="V134" s="3" t="n">
        <v>-0.6746967434883118</v>
      </c>
      <c r="W134" s="3" t="n">
        <v>-0.4723182618618011</v>
      </c>
      <c r="X134" s="3" t="n">
        <v>-0.9485653042793274</v>
      </c>
      <c r="Y134" s="3" t="n">
        <v>-0.7813762426376343</v>
      </c>
      <c r="Z134" s="3" t="n">
        <v>-0.9507654309272766</v>
      </c>
      <c r="AA134" s="3" t="n">
        <v>-0.9507654309272766</v>
      </c>
      <c r="AB134" s="3" t="n">
        <v>-0.9485653042793274</v>
      </c>
      <c r="AC134" s="3" t="n">
        <v>-1.010204315185547</v>
      </c>
      <c r="AD134" s="3" t="n">
        <v>-0.8432686924934387</v>
      </c>
      <c r="AE134" s="3" t="n">
        <v>-0.8432686924934387</v>
      </c>
    </row>
    <row r="135">
      <c r="A135" s="3" t="inlineStr">
        <is>
          <t>AUT.distn.bkt.ove.mean.9999</t>
        </is>
      </c>
      <c r="B135" s="3" t="inlineStr">
        <is>
          <t>AUT</t>
        </is>
      </c>
      <c r="C135" s="3" t="n">
        <v>2005</v>
      </c>
      <c r="D135" s="3" t="inlineStr">
        <is>
          <t>Overall</t>
        </is>
      </c>
      <c r="E135" s="3" t="inlineStr">
        <is>
          <t>Basket</t>
        </is>
      </c>
      <c r="F135" s="3" t="inlineStr">
        <is>
          <t>mean</t>
        </is>
      </c>
      <c r="G135" s="3" t="n">
        <v>9999</v>
      </c>
      <c r="H135" s="3" t="n">
        <v>-0.7829827666282654</v>
      </c>
      <c r="I135" s="3" t="n">
        <v>-0.7829827666282654</v>
      </c>
      <c r="J135" s="3" t="n">
        <v>-0.8544909954071045</v>
      </c>
      <c r="K135" s="3" t="n">
        <v>-0.8544909954071045</v>
      </c>
      <c r="L135" s="3" t="n">
        <v>-0.7829827666282654</v>
      </c>
      <c r="M135" s="3" t="n">
        <v>-0.7829827666282654</v>
      </c>
      <c r="N135" s="3" t="n">
        <v>-0.7829827666282654</v>
      </c>
      <c r="O135" s="3" t="n">
        <v>-0.7829827666282654</v>
      </c>
      <c r="P135" s="3" t="n">
        <v>-0.7829827666282654</v>
      </c>
      <c r="Q135" s="3" t="n">
        <v>-0.7829827666282654</v>
      </c>
      <c r="R135" s="3" t="n">
        <v>-0.7701157331466675</v>
      </c>
      <c r="S135" s="3" t="n">
        <v>-1.076939940452576</v>
      </c>
      <c r="T135" s="3" t="n">
        <v>-0.708448052406311</v>
      </c>
      <c r="U135" s="3" t="n">
        <v>-0.8544909954071045</v>
      </c>
      <c r="V135" s="3" t="n">
        <v>-0.6762862801551819</v>
      </c>
      <c r="W135" s="3" t="n">
        <v>-0.489667683839798</v>
      </c>
      <c r="X135" s="3" t="n">
        <v>-1.060153007507324</v>
      </c>
      <c r="Y135" s="3" t="n">
        <v>-0.7829827666282654</v>
      </c>
      <c r="Z135" s="3" t="n">
        <v>-1.076939940452576</v>
      </c>
      <c r="AA135" s="3" t="n">
        <v>-1.076939940452576</v>
      </c>
      <c r="AB135" s="3" t="n">
        <v>-1.060153007507324</v>
      </c>
      <c r="AC135" s="3" t="n">
        <v>-1.320194005966187</v>
      </c>
      <c r="AD135" s="3" t="n">
        <v>-0.8544909954071045</v>
      </c>
      <c r="AE135" s="3" t="n">
        <v>-0.8544909954071045</v>
      </c>
    </row>
    <row r="136">
      <c r="A136" s="3" t="inlineStr">
        <is>
          <t>AZE.distn.dec.ove.mean.1</t>
        </is>
      </c>
      <c r="B136" s="3" t="inlineStr">
        <is>
          <t>AZE</t>
        </is>
      </c>
      <c r="C136" s="3" t="n">
        <v>2005</v>
      </c>
      <c r="D136" s="3" t="inlineStr">
        <is>
          <t>Overall</t>
        </is>
      </c>
      <c r="E136" s="3" t="inlineStr">
        <is>
          <t>Deciles</t>
        </is>
      </c>
      <c r="F136" s="3" t="inlineStr">
        <is>
          <t>mean</t>
        </is>
      </c>
      <c r="G136" s="3" t="n">
        <v>1</v>
      </c>
      <c r="H136" s="3" t="n">
        <v>-0.7912648916244507</v>
      </c>
      <c r="I136" s="3" t="n">
        <v>-0.7912648916244507</v>
      </c>
      <c r="J136" s="3" t="n">
        <v>-0.9099707007408142</v>
      </c>
      <c r="K136" s="3" t="n">
        <v>-0.9099707007408142</v>
      </c>
      <c r="L136" s="3" t="n">
        <v>-0.7912648916244507</v>
      </c>
      <c r="M136" s="3" t="n">
        <v>-0.7912648916244507</v>
      </c>
      <c r="N136" s="3" t="n">
        <v>-0.7912648916244507</v>
      </c>
      <c r="O136" s="3" t="n">
        <v>-0.7912648916244507</v>
      </c>
      <c r="P136" s="3" t="n">
        <v>-0.7912648916244507</v>
      </c>
      <c r="Q136" s="3" t="n">
        <v>-0.7912648916244507</v>
      </c>
      <c r="R136" s="3" t="n">
        <v>-0.775479793548584</v>
      </c>
      <c r="S136" s="3" t="n">
        <v>-1.553344249725342</v>
      </c>
      <c r="T136" s="3" t="n">
        <v>-0.7104546427726746</v>
      </c>
      <c r="U136" s="3" t="n">
        <v>-0.9099707007408142</v>
      </c>
      <c r="V136" s="3" t="n">
        <v>-0.6859755516052246</v>
      </c>
      <c r="W136" s="3" t="n">
        <v>-0.6499477624893188</v>
      </c>
      <c r="X136" s="3" t="n">
        <v>-1.492061376571655</v>
      </c>
      <c r="Y136" s="3" t="n">
        <v>-0.7912648916244507</v>
      </c>
      <c r="Z136" s="3" t="n">
        <v>-1.553344249725342</v>
      </c>
      <c r="AA136" s="3" t="n">
        <v>-1.553344249725342</v>
      </c>
      <c r="AB136" s="3" t="n">
        <v>-1.492061376571655</v>
      </c>
      <c r="AC136" s="3" t="n">
        <v>-2.511789798736572</v>
      </c>
      <c r="AD136" s="3" t="n">
        <v>-0.9099707007408142</v>
      </c>
      <c r="AE136" s="3" t="n">
        <v>-0.9099707007408142</v>
      </c>
    </row>
    <row r="137">
      <c r="A137" s="3" t="inlineStr">
        <is>
          <t>AZE.distn.dec.ove.mean.2</t>
        </is>
      </c>
      <c r="B137" s="3" t="inlineStr">
        <is>
          <t>AZE</t>
        </is>
      </c>
      <c r="C137" s="3" t="n">
        <v>2005</v>
      </c>
      <c r="D137" s="3" t="inlineStr">
        <is>
          <t>Overall</t>
        </is>
      </c>
      <c r="E137" s="3" t="inlineStr">
        <is>
          <t>Deciles</t>
        </is>
      </c>
      <c r="F137" s="3" t="inlineStr">
        <is>
          <t>mean</t>
        </is>
      </c>
      <c r="G137" s="3" t="n">
        <v>2</v>
      </c>
      <c r="H137" s="3" t="n">
        <v>-0.7912648916244507</v>
      </c>
      <c r="I137" s="3" t="n">
        <v>-0.7912648916244507</v>
      </c>
      <c r="J137" s="3" t="n">
        <v>-0.9099707007408142</v>
      </c>
      <c r="K137" s="3" t="n">
        <v>-0.9099707007408142</v>
      </c>
      <c r="L137" s="3" t="n">
        <v>-0.7912648916244507</v>
      </c>
      <c r="M137" s="3" t="n">
        <v>-0.7912648916244507</v>
      </c>
      <c r="N137" s="3" t="n">
        <v>-0.7912648916244507</v>
      </c>
      <c r="O137" s="3" t="n">
        <v>-0.7912648916244507</v>
      </c>
      <c r="P137" s="3" t="n">
        <v>-0.7912648916244507</v>
      </c>
      <c r="Q137" s="3" t="n">
        <v>-0.7912648916244507</v>
      </c>
      <c r="R137" s="3" t="n">
        <v>-0.775479793548584</v>
      </c>
      <c r="S137" s="3" t="n">
        <v>-1.553344249725342</v>
      </c>
      <c r="T137" s="3" t="n">
        <v>-0.7104546427726746</v>
      </c>
      <c r="U137" s="3" t="n">
        <v>-0.9099707007408142</v>
      </c>
      <c r="V137" s="3" t="n">
        <v>-0.6859755516052246</v>
      </c>
      <c r="W137" s="3" t="n">
        <v>-0.6499477624893188</v>
      </c>
      <c r="X137" s="3" t="n">
        <v>-1.492061376571655</v>
      </c>
      <c r="Y137" s="3" t="n">
        <v>-0.7912648916244507</v>
      </c>
      <c r="Z137" s="3" t="n">
        <v>-1.553344249725342</v>
      </c>
      <c r="AA137" s="3" t="n">
        <v>-1.553344249725342</v>
      </c>
      <c r="AB137" s="3" t="n">
        <v>-1.492061376571655</v>
      </c>
      <c r="AC137" s="3" t="n">
        <v>-2.511789798736572</v>
      </c>
      <c r="AD137" s="3" t="n">
        <v>-0.9099707007408142</v>
      </c>
      <c r="AE137" s="3" t="n">
        <v>-0.9099707007408142</v>
      </c>
    </row>
    <row r="138">
      <c r="A138" s="3" t="inlineStr">
        <is>
          <t>AZE.distn.dec.ove.mean.3</t>
        </is>
      </c>
      <c r="B138" s="3" t="inlineStr">
        <is>
          <t>AZE</t>
        </is>
      </c>
      <c r="C138" s="3" t="n">
        <v>2005</v>
      </c>
      <c r="D138" s="3" t="inlineStr">
        <is>
          <t>Overall</t>
        </is>
      </c>
      <c r="E138" s="3" t="inlineStr">
        <is>
          <t>Deciles</t>
        </is>
      </c>
      <c r="F138" s="3" t="inlineStr">
        <is>
          <t>mean</t>
        </is>
      </c>
      <c r="G138" s="3" t="n">
        <v>3</v>
      </c>
      <c r="H138" s="3" t="n">
        <v>-0.7912648916244507</v>
      </c>
      <c r="I138" s="3" t="n">
        <v>-0.7912648916244507</v>
      </c>
      <c r="J138" s="3" t="n">
        <v>-0.9099707007408142</v>
      </c>
      <c r="K138" s="3" t="n">
        <v>-0.9099707007408142</v>
      </c>
      <c r="L138" s="3" t="n">
        <v>-0.7912648916244507</v>
      </c>
      <c r="M138" s="3" t="n">
        <v>-0.7912648916244507</v>
      </c>
      <c r="N138" s="3" t="n">
        <v>-0.7912648916244507</v>
      </c>
      <c r="O138" s="3" t="n">
        <v>-0.7912648916244507</v>
      </c>
      <c r="P138" s="3" t="n">
        <v>-0.7912648916244507</v>
      </c>
      <c r="Q138" s="3" t="n">
        <v>-0.7912648916244507</v>
      </c>
      <c r="R138" s="3" t="n">
        <v>-0.775479793548584</v>
      </c>
      <c r="S138" s="3" t="n">
        <v>-1.553344249725342</v>
      </c>
      <c r="T138" s="3" t="n">
        <v>-0.7104546427726746</v>
      </c>
      <c r="U138" s="3" t="n">
        <v>-0.9099707007408142</v>
      </c>
      <c r="V138" s="3" t="n">
        <v>-0.6859755516052246</v>
      </c>
      <c r="W138" s="3" t="n">
        <v>-0.6499477624893188</v>
      </c>
      <c r="X138" s="3" t="n">
        <v>-1.492061376571655</v>
      </c>
      <c r="Y138" s="3" t="n">
        <v>-0.7912648916244507</v>
      </c>
      <c r="Z138" s="3" t="n">
        <v>-1.553344249725342</v>
      </c>
      <c r="AA138" s="3" t="n">
        <v>-1.553344249725342</v>
      </c>
      <c r="AB138" s="3" t="n">
        <v>-1.492061376571655</v>
      </c>
      <c r="AC138" s="3" t="n">
        <v>-2.511789798736572</v>
      </c>
      <c r="AD138" s="3" t="n">
        <v>-0.9099707007408142</v>
      </c>
      <c r="AE138" s="3" t="n">
        <v>-0.9099707007408142</v>
      </c>
    </row>
    <row r="139">
      <c r="A139" s="3" t="inlineStr">
        <is>
          <t>AZE.distn.dec.ove.mean.4</t>
        </is>
      </c>
      <c r="B139" s="3" t="inlineStr">
        <is>
          <t>AZE</t>
        </is>
      </c>
      <c r="C139" s="3" t="n">
        <v>2005</v>
      </c>
      <c r="D139" s="3" t="inlineStr">
        <is>
          <t>Overall</t>
        </is>
      </c>
      <c r="E139" s="3" t="inlineStr">
        <is>
          <t>Deciles</t>
        </is>
      </c>
      <c r="F139" s="3" t="inlineStr">
        <is>
          <t>mean</t>
        </is>
      </c>
      <c r="G139" s="3" t="n">
        <v>4</v>
      </c>
      <c r="H139" s="3" t="n">
        <v>-0.7850000262260437</v>
      </c>
      <c r="I139" s="3" t="n">
        <v>-0.7850000262260437</v>
      </c>
      <c r="J139" s="3" t="n">
        <v>-0.8659999966621399</v>
      </c>
      <c r="K139" s="3" t="n">
        <v>-0.8659999966621399</v>
      </c>
      <c r="L139" s="3" t="n">
        <v>-0.7850000262260437</v>
      </c>
      <c r="M139" s="3" t="n">
        <v>-0.7850000262260437</v>
      </c>
      <c r="N139" s="3" t="n">
        <v>-0.7850000262260437</v>
      </c>
      <c r="O139" s="3" t="n">
        <v>-0.7850000262260437</v>
      </c>
      <c r="P139" s="3" t="n">
        <v>-0.7850000262260437</v>
      </c>
      <c r="Q139" s="3" t="n">
        <v>-0.7850000262260437</v>
      </c>
      <c r="R139" s="3" t="n">
        <v>-0.7720000147819519</v>
      </c>
      <c r="S139" s="3" t="n">
        <v>-1.057999968528748</v>
      </c>
      <c r="T139" s="3" t="n">
        <v>-0.7089999914169312</v>
      </c>
      <c r="U139" s="3" t="n">
        <v>-0.8659999966621399</v>
      </c>
      <c r="V139" s="3" t="n">
        <v>-0.6790000200271606</v>
      </c>
      <c r="W139" s="3" t="n">
        <v>-0.546999990940094</v>
      </c>
      <c r="X139" s="3" t="n">
        <v>-1.052999973297119</v>
      </c>
      <c r="Y139" s="3" t="n">
        <v>-0.7850000262260437</v>
      </c>
      <c r="Z139" s="3" t="n">
        <v>-1.057999968528748</v>
      </c>
      <c r="AA139" s="3" t="n">
        <v>-1.057999968528748</v>
      </c>
      <c r="AB139" s="3" t="n">
        <v>-1.052999973297119</v>
      </c>
      <c r="AC139" s="3" t="n">
        <v>-1.213000059127808</v>
      </c>
      <c r="AD139" s="3" t="n">
        <v>-0.8659999966621399</v>
      </c>
      <c r="AE139" s="3" t="n">
        <v>-0.8659999966621399</v>
      </c>
    </row>
    <row r="140">
      <c r="A140" s="3" t="inlineStr">
        <is>
          <t>AZE.distn.dec.ove.mean.5</t>
        </is>
      </c>
      <c r="B140" s="3" t="inlineStr">
        <is>
          <t>AZE</t>
        </is>
      </c>
      <c r="C140" s="3" t="n">
        <v>2005</v>
      </c>
      <c r="D140" s="3" t="inlineStr">
        <is>
          <t>Overall</t>
        </is>
      </c>
      <c r="E140" s="3" t="inlineStr">
        <is>
          <t>Deciles</t>
        </is>
      </c>
      <c r="F140" s="3" t="inlineStr">
        <is>
          <t>mean</t>
        </is>
      </c>
      <c r="G140" s="3" t="n">
        <v>5</v>
      </c>
      <c r="H140" s="3" t="n">
        <v>-0.7850000262260437</v>
      </c>
      <c r="I140" s="3" t="n">
        <v>-0.7850000262260437</v>
      </c>
      <c r="J140" s="3" t="n">
        <v>-0.8659999966621399</v>
      </c>
      <c r="K140" s="3" t="n">
        <v>-0.8659999966621399</v>
      </c>
      <c r="L140" s="3" t="n">
        <v>-0.7850000262260437</v>
      </c>
      <c r="M140" s="3" t="n">
        <v>-0.7850000262260437</v>
      </c>
      <c r="N140" s="3" t="n">
        <v>-0.7850000262260437</v>
      </c>
      <c r="O140" s="3" t="n">
        <v>-0.7850000262260437</v>
      </c>
      <c r="P140" s="3" t="n">
        <v>-0.7850000262260437</v>
      </c>
      <c r="Q140" s="3" t="n">
        <v>-0.7850000262260437</v>
      </c>
      <c r="R140" s="3" t="n">
        <v>-0.7720000147819519</v>
      </c>
      <c r="S140" s="3" t="n">
        <v>-1.057999968528748</v>
      </c>
      <c r="T140" s="3" t="n">
        <v>-0.7089999914169312</v>
      </c>
      <c r="U140" s="3" t="n">
        <v>-0.8659999966621399</v>
      </c>
      <c r="V140" s="3" t="n">
        <v>-0.6790000200271606</v>
      </c>
      <c r="W140" s="3" t="n">
        <v>-0.546999990940094</v>
      </c>
      <c r="X140" s="3" t="n">
        <v>-1.052999973297119</v>
      </c>
      <c r="Y140" s="3" t="n">
        <v>-0.7850000262260437</v>
      </c>
      <c r="Z140" s="3" t="n">
        <v>-1.057999968528748</v>
      </c>
      <c r="AA140" s="3" t="n">
        <v>-1.057999968528748</v>
      </c>
      <c r="AB140" s="3" t="n">
        <v>-1.052999973297119</v>
      </c>
      <c r="AC140" s="3" t="n">
        <v>-1.213000059127808</v>
      </c>
      <c r="AD140" s="3" t="n">
        <v>-0.8659999966621399</v>
      </c>
      <c r="AE140" s="3" t="n">
        <v>-0.8659999966621399</v>
      </c>
    </row>
    <row r="141">
      <c r="A141" s="3" t="inlineStr">
        <is>
          <t>AZE.distn.dec.ove.mean.6</t>
        </is>
      </c>
      <c r="B141" s="3" t="inlineStr">
        <is>
          <t>AZE</t>
        </is>
      </c>
      <c r="C141" s="3" t="n">
        <v>2005</v>
      </c>
      <c r="D141" s="3" t="inlineStr">
        <is>
          <t>Overall</t>
        </is>
      </c>
      <c r="E141" s="3" t="inlineStr">
        <is>
          <t>Deciles</t>
        </is>
      </c>
      <c r="F141" s="3" t="inlineStr">
        <is>
          <t>mean</t>
        </is>
      </c>
      <c r="G141" s="3" t="n">
        <v>6</v>
      </c>
      <c r="H141" s="3" t="n">
        <v>-0.7850000262260437</v>
      </c>
      <c r="I141" s="3" t="n">
        <v>-0.7850000262260437</v>
      </c>
      <c r="J141" s="3" t="n">
        <v>-0.8659999966621399</v>
      </c>
      <c r="K141" s="3" t="n">
        <v>-0.8659999966621399</v>
      </c>
      <c r="L141" s="3" t="n">
        <v>-0.7850000262260437</v>
      </c>
      <c r="M141" s="3" t="n">
        <v>-0.7850000262260437</v>
      </c>
      <c r="N141" s="3" t="n">
        <v>-0.7850000262260437</v>
      </c>
      <c r="O141" s="3" t="n">
        <v>-0.7850000262260437</v>
      </c>
      <c r="P141" s="3" t="n">
        <v>-0.7850000262260437</v>
      </c>
      <c r="Q141" s="3" t="n">
        <v>-0.7850000262260437</v>
      </c>
      <c r="R141" s="3" t="n">
        <v>-0.7720000147819519</v>
      </c>
      <c r="S141" s="3" t="n">
        <v>-1.057999968528748</v>
      </c>
      <c r="T141" s="3" t="n">
        <v>-0.7089999914169312</v>
      </c>
      <c r="U141" s="3" t="n">
        <v>-0.8659999966621399</v>
      </c>
      <c r="V141" s="3" t="n">
        <v>-0.6790000200271606</v>
      </c>
      <c r="W141" s="3" t="n">
        <v>-0.546999990940094</v>
      </c>
      <c r="X141" s="3" t="n">
        <v>-1.052999973297119</v>
      </c>
      <c r="Y141" s="3" t="n">
        <v>-0.7850000262260437</v>
      </c>
      <c r="Z141" s="3" t="n">
        <v>-1.057999968528748</v>
      </c>
      <c r="AA141" s="3" t="n">
        <v>-1.057999968528748</v>
      </c>
      <c r="AB141" s="3" t="n">
        <v>-1.052999973297119</v>
      </c>
      <c r="AC141" s="3" t="n">
        <v>-1.213000059127808</v>
      </c>
      <c r="AD141" s="3" t="n">
        <v>-0.8659999966621399</v>
      </c>
      <c r="AE141" s="3" t="n">
        <v>-0.8659999966621399</v>
      </c>
    </row>
    <row r="142">
      <c r="A142" s="3" t="inlineStr">
        <is>
          <t>AZE.distn.dec.ove.mean.7</t>
        </is>
      </c>
      <c r="B142" s="3" t="inlineStr">
        <is>
          <t>AZE</t>
        </is>
      </c>
      <c r="C142" s="3" t="n">
        <v>2005</v>
      </c>
      <c r="D142" s="3" t="inlineStr">
        <is>
          <t>Overall</t>
        </is>
      </c>
      <c r="E142" s="3" t="inlineStr">
        <is>
          <t>Deciles</t>
        </is>
      </c>
      <c r="F142" s="3" t="inlineStr">
        <is>
          <t>mean</t>
        </is>
      </c>
      <c r="G142" s="3" t="n">
        <v>7</v>
      </c>
      <c r="H142" s="3" t="n">
        <v>-0.7850000262260437</v>
      </c>
      <c r="I142" s="3" t="n">
        <v>-0.7850000262260437</v>
      </c>
      <c r="J142" s="3" t="n">
        <v>-0.8659999966621399</v>
      </c>
      <c r="K142" s="3" t="n">
        <v>-0.8659999966621399</v>
      </c>
      <c r="L142" s="3" t="n">
        <v>-0.7850000262260437</v>
      </c>
      <c r="M142" s="3" t="n">
        <v>-0.7850000262260437</v>
      </c>
      <c r="N142" s="3" t="n">
        <v>-0.7850000262260437</v>
      </c>
      <c r="O142" s="3" t="n">
        <v>-0.7850000262260437</v>
      </c>
      <c r="P142" s="3" t="n">
        <v>-0.7850000262260437</v>
      </c>
      <c r="Q142" s="3" t="n">
        <v>-0.7850000262260437</v>
      </c>
      <c r="R142" s="3" t="n">
        <v>-0.7720000147819519</v>
      </c>
      <c r="S142" s="3" t="n">
        <v>-1.057999968528748</v>
      </c>
      <c r="T142" s="3" t="n">
        <v>-0.7089999914169312</v>
      </c>
      <c r="U142" s="3" t="n">
        <v>-0.8659999966621399</v>
      </c>
      <c r="V142" s="3" t="n">
        <v>-0.6790000200271606</v>
      </c>
      <c r="W142" s="3" t="n">
        <v>-0.546999990940094</v>
      </c>
      <c r="X142" s="3" t="n">
        <v>-1.052999973297119</v>
      </c>
      <c r="Y142" s="3" t="n">
        <v>-0.7850000262260437</v>
      </c>
      <c r="Z142" s="3" t="n">
        <v>-1.057999968528748</v>
      </c>
      <c r="AA142" s="3" t="n">
        <v>-1.057999968528748</v>
      </c>
      <c r="AB142" s="3" t="n">
        <v>-1.052999973297119</v>
      </c>
      <c r="AC142" s="3" t="n">
        <v>-1.213000059127808</v>
      </c>
      <c r="AD142" s="3" t="n">
        <v>-0.8659999966621399</v>
      </c>
      <c r="AE142" s="3" t="n">
        <v>-0.8659999966621399</v>
      </c>
    </row>
    <row r="143">
      <c r="A143" s="3" t="inlineStr">
        <is>
          <t>AZE.distn.dec.ove.mean.8</t>
        </is>
      </c>
      <c r="B143" s="3" t="inlineStr">
        <is>
          <t>AZE</t>
        </is>
      </c>
      <c r="C143" s="3" t="n">
        <v>2005</v>
      </c>
      <c r="D143" s="3" t="inlineStr">
        <is>
          <t>Overall</t>
        </is>
      </c>
      <c r="E143" s="3" t="inlineStr">
        <is>
          <t>Deciles</t>
        </is>
      </c>
      <c r="F143" s="3" t="inlineStr">
        <is>
          <t>mean</t>
        </is>
      </c>
      <c r="G143" s="3" t="n">
        <v>8</v>
      </c>
      <c r="H143" s="3" t="n">
        <v>-0.7853782176971436</v>
      </c>
      <c r="I143" s="3" t="n">
        <v>-0.7853782176971436</v>
      </c>
      <c r="J143" s="3" t="n">
        <v>-0.8683360815048218</v>
      </c>
      <c r="K143" s="3" t="n">
        <v>-0.8683360815048218</v>
      </c>
      <c r="L143" s="3" t="n">
        <v>-0.7853782176971436</v>
      </c>
      <c r="M143" s="3" t="n">
        <v>-0.7853782176971436</v>
      </c>
      <c r="N143" s="3" t="n">
        <v>-0.7853782176971436</v>
      </c>
      <c r="O143" s="3" t="n">
        <v>-0.7853782176971436</v>
      </c>
      <c r="P143" s="3" t="n">
        <v>-0.7853782176971436</v>
      </c>
      <c r="Q143" s="3" t="n">
        <v>-0.7853782176971436</v>
      </c>
      <c r="R143" s="3" t="n">
        <v>-0.7722538709640503</v>
      </c>
      <c r="S143" s="3" t="n">
        <v>-1.067844748497009</v>
      </c>
      <c r="T143" s="3" t="n">
        <v>-0.7090408802032471</v>
      </c>
      <c r="U143" s="3" t="n">
        <v>-0.8683360815048218</v>
      </c>
      <c r="V143" s="3" t="n">
        <v>-0.6797019243240356</v>
      </c>
      <c r="W143" s="3" t="n">
        <v>-0.5616480112075806</v>
      </c>
      <c r="X143" s="3" t="n">
        <v>-1.062594890594482</v>
      </c>
      <c r="Y143" s="3" t="n">
        <v>-0.7853782176971436</v>
      </c>
      <c r="Z143" s="3" t="n">
        <v>-1.067844748497009</v>
      </c>
      <c r="AA143" s="3" t="n">
        <v>-1.067844748497009</v>
      </c>
      <c r="AB143" s="3" t="n">
        <v>-1.062594890594482</v>
      </c>
      <c r="AC143" s="3" t="n">
        <v>-1.23029899597168</v>
      </c>
      <c r="AD143" s="3" t="n">
        <v>-0.8683360815048218</v>
      </c>
      <c r="AE143" s="3" t="n">
        <v>-0.8683360815048218</v>
      </c>
    </row>
    <row r="144">
      <c r="A144" s="3" t="inlineStr">
        <is>
          <t>AZE.distn.dec.ove.mean.9</t>
        </is>
      </c>
      <c r="B144" s="3" t="inlineStr">
        <is>
          <t>AZE</t>
        </is>
      </c>
      <c r="C144" s="3" t="n">
        <v>2005</v>
      </c>
      <c r="D144" s="3" t="inlineStr">
        <is>
          <t>Overall</t>
        </is>
      </c>
      <c r="E144" s="3" t="inlineStr">
        <is>
          <t>Deciles</t>
        </is>
      </c>
      <c r="F144" s="3" t="inlineStr">
        <is>
          <t>mean</t>
        </is>
      </c>
      <c r="G144" s="3" t="n">
        <v>9</v>
      </c>
      <c r="H144" s="3" t="n">
        <v>-0.7853782176971436</v>
      </c>
      <c r="I144" s="3" t="n">
        <v>-0.7853782176971436</v>
      </c>
      <c r="J144" s="3" t="n">
        <v>-0.8683360815048218</v>
      </c>
      <c r="K144" s="3" t="n">
        <v>-0.8683360815048218</v>
      </c>
      <c r="L144" s="3" t="n">
        <v>-0.7853782176971436</v>
      </c>
      <c r="M144" s="3" t="n">
        <v>-0.7853782176971436</v>
      </c>
      <c r="N144" s="3" t="n">
        <v>-0.7853782176971436</v>
      </c>
      <c r="O144" s="3" t="n">
        <v>-0.7853782176971436</v>
      </c>
      <c r="P144" s="3" t="n">
        <v>-0.7853782176971436</v>
      </c>
      <c r="Q144" s="3" t="n">
        <v>-0.7853782176971436</v>
      </c>
      <c r="R144" s="3" t="n">
        <v>-0.7722538709640503</v>
      </c>
      <c r="S144" s="3" t="n">
        <v>-1.067844748497009</v>
      </c>
      <c r="T144" s="3" t="n">
        <v>-0.7090408802032471</v>
      </c>
      <c r="U144" s="3" t="n">
        <v>-0.8683360815048218</v>
      </c>
      <c r="V144" s="3" t="n">
        <v>-0.6797019243240356</v>
      </c>
      <c r="W144" s="3" t="n">
        <v>-0.5616480112075806</v>
      </c>
      <c r="X144" s="3" t="n">
        <v>-1.062594890594482</v>
      </c>
      <c r="Y144" s="3" t="n">
        <v>-0.7853782176971436</v>
      </c>
      <c r="Z144" s="3" t="n">
        <v>-1.067844748497009</v>
      </c>
      <c r="AA144" s="3" t="n">
        <v>-1.067844748497009</v>
      </c>
      <c r="AB144" s="3" t="n">
        <v>-1.062594890594482</v>
      </c>
      <c r="AC144" s="3" t="n">
        <v>-1.23029899597168</v>
      </c>
      <c r="AD144" s="3" t="n">
        <v>-0.8683360815048218</v>
      </c>
      <c r="AE144" s="3" t="n">
        <v>-0.8683360815048218</v>
      </c>
    </row>
    <row r="145">
      <c r="A145" s="3" t="inlineStr">
        <is>
          <t>AZE.distn.dec.ove.mean.10</t>
        </is>
      </c>
      <c r="B145" s="3" t="inlineStr">
        <is>
          <t>AZE</t>
        </is>
      </c>
      <c r="C145" s="3" t="n">
        <v>2005</v>
      </c>
      <c r="D145" s="3" t="inlineStr">
        <is>
          <t>Overall</t>
        </is>
      </c>
      <c r="E145" s="3" t="inlineStr">
        <is>
          <t>Deciles</t>
        </is>
      </c>
      <c r="F145" s="3" t="inlineStr">
        <is>
          <t>mean</t>
        </is>
      </c>
      <c r="G145" s="3" t="n">
        <v>10</v>
      </c>
      <c r="H145" s="3" t="n">
        <v>-0.7853782176971436</v>
      </c>
      <c r="I145" s="3" t="n">
        <v>-0.7853782176971436</v>
      </c>
      <c r="J145" s="3" t="n">
        <v>-0.8683360815048218</v>
      </c>
      <c r="K145" s="3" t="n">
        <v>-0.8683360815048218</v>
      </c>
      <c r="L145" s="3" t="n">
        <v>-0.7853782176971436</v>
      </c>
      <c r="M145" s="3" t="n">
        <v>-0.7853782176971436</v>
      </c>
      <c r="N145" s="3" t="n">
        <v>-0.7853782176971436</v>
      </c>
      <c r="O145" s="3" t="n">
        <v>-0.7853782176971436</v>
      </c>
      <c r="P145" s="3" t="n">
        <v>-0.7853782176971436</v>
      </c>
      <c r="Q145" s="3" t="n">
        <v>-0.7853782176971436</v>
      </c>
      <c r="R145" s="3" t="n">
        <v>-0.7722538709640503</v>
      </c>
      <c r="S145" s="3" t="n">
        <v>-1.067844748497009</v>
      </c>
      <c r="T145" s="3" t="n">
        <v>-0.7090408802032471</v>
      </c>
      <c r="U145" s="3" t="n">
        <v>-0.8683360815048218</v>
      </c>
      <c r="V145" s="3" t="n">
        <v>-0.6797019243240356</v>
      </c>
      <c r="W145" s="3" t="n">
        <v>-0.5616480112075806</v>
      </c>
      <c r="X145" s="3" t="n">
        <v>-1.062594890594482</v>
      </c>
      <c r="Y145" s="3" t="n">
        <v>-0.7853782176971436</v>
      </c>
      <c r="Z145" s="3" t="n">
        <v>-1.067844748497009</v>
      </c>
      <c r="AA145" s="3" t="n">
        <v>-1.067844748497009</v>
      </c>
      <c r="AB145" s="3" t="n">
        <v>-1.062594890594482</v>
      </c>
      <c r="AC145" s="3" t="n">
        <v>-1.23029899597168</v>
      </c>
      <c r="AD145" s="3" t="n">
        <v>-0.8683360815048218</v>
      </c>
      <c r="AE145" s="3" t="n">
        <v>-0.8683360815048218</v>
      </c>
    </row>
    <row r="146">
      <c r="A146" s="3" t="inlineStr">
        <is>
          <t>AZE.distn.bkt.ove.mean.9999</t>
        </is>
      </c>
      <c r="B146" s="3" t="inlineStr">
        <is>
          <t>AZE</t>
        </is>
      </c>
      <c r="C146" s="3" t="n">
        <v>2005</v>
      </c>
      <c r="D146" s="3" t="inlineStr">
        <is>
          <t>Overall</t>
        </is>
      </c>
      <c r="E146" s="3" t="inlineStr">
        <is>
          <t>Basket</t>
        </is>
      </c>
      <c r="F146" s="3" t="inlineStr">
        <is>
          <t>mean</t>
        </is>
      </c>
      <c r="G146" s="3" t="n">
        <v>9999</v>
      </c>
      <c r="H146" s="3" t="n">
        <v>-0.7869929671287537</v>
      </c>
      <c r="I146" s="3" t="n">
        <v>-0.7869929671287537</v>
      </c>
      <c r="J146" s="3" t="n">
        <v>-0.8798920512199402</v>
      </c>
      <c r="K146" s="3" t="n">
        <v>-0.8798920512199402</v>
      </c>
      <c r="L146" s="3" t="n">
        <v>-0.7869929671287537</v>
      </c>
      <c r="M146" s="3" t="n">
        <v>-0.7869929671287537</v>
      </c>
      <c r="N146" s="3" t="n">
        <v>-0.7869929671287537</v>
      </c>
      <c r="O146" s="3" t="n">
        <v>-0.7869929671287537</v>
      </c>
      <c r="P146" s="3" t="n">
        <v>-0.7869929671287537</v>
      </c>
      <c r="Q146" s="3" t="n">
        <v>-0.7869929671287537</v>
      </c>
      <c r="R146" s="3" t="n">
        <v>-0.773120105266571</v>
      </c>
      <c r="S146" s="3" t="n">
        <v>-1.209556698799133</v>
      </c>
      <c r="T146" s="3" t="n">
        <v>-0.7094486355781555</v>
      </c>
      <c r="U146" s="3" t="n">
        <v>-0.8798920512199402</v>
      </c>
      <c r="V146" s="3" t="n">
        <v>-0.6813032627105713</v>
      </c>
      <c r="W146" s="3" t="n">
        <v>-0.5822787284851074</v>
      </c>
      <c r="X146" s="3" t="n">
        <v>-1.187596917152405</v>
      </c>
      <c r="Y146" s="3" t="n">
        <v>-0.7869929671287537</v>
      </c>
      <c r="Z146" s="3" t="n">
        <v>-1.209556698799133</v>
      </c>
      <c r="AA146" s="3" t="n">
        <v>-1.209556698799133</v>
      </c>
      <c r="AB146" s="3" t="n">
        <v>-1.187596917152405</v>
      </c>
      <c r="AC146" s="3" t="n">
        <v>-1.607826709747314</v>
      </c>
      <c r="AD146" s="3" t="n">
        <v>-0.8798920512199402</v>
      </c>
      <c r="AE146" s="3" t="n">
        <v>-0.8798920512199402</v>
      </c>
    </row>
    <row r="147">
      <c r="A147" s="3" t="inlineStr">
        <is>
          <t>BDI.distn.dec.ove.mean.1</t>
        </is>
      </c>
      <c r="B147" s="3" t="inlineStr">
        <is>
          <t>BDI</t>
        </is>
      </c>
      <c r="C147" s="3" t="n">
        <v>2005</v>
      </c>
      <c r="D147" s="3" t="inlineStr">
        <is>
          <t>Overall</t>
        </is>
      </c>
      <c r="E147" s="3" t="inlineStr">
        <is>
          <t>Deciles</t>
        </is>
      </c>
      <c r="F147" s="3" t="inlineStr">
        <is>
          <t>mean</t>
        </is>
      </c>
      <c r="G147" s="3" t="n">
        <v>1</v>
      </c>
      <c r="H147" s="3" t="n">
        <v>-0.8013446927070618</v>
      </c>
      <c r="I147" s="3" t="n">
        <v>-0.8013446927070618</v>
      </c>
      <c r="J147" s="3" t="n">
        <v>-1.006641983985901</v>
      </c>
      <c r="K147" s="3" t="n">
        <v>-1.006641983985901</v>
      </c>
      <c r="L147" s="3" t="n">
        <v>-0.8013446927070618</v>
      </c>
      <c r="M147" s="3" t="n">
        <v>-0.8013446927070618</v>
      </c>
      <c r="N147" s="3" t="n">
        <v>-0.8013446927070618</v>
      </c>
      <c r="O147" s="3" t="n">
        <v>-0.8013446927070618</v>
      </c>
      <c r="P147" s="3" t="n">
        <v>-0.8013446927070618</v>
      </c>
      <c r="Q147" s="3" t="n">
        <v>-0.8013446927070618</v>
      </c>
      <c r="R147" s="3" t="n">
        <v>-0.7805023193359375</v>
      </c>
      <c r="S147" s="3" t="n">
        <v>-1.766231656074524</v>
      </c>
      <c r="T147" s="3" t="n">
        <v>-0.7124587297439575</v>
      </c>
      <c r="U147" s="3" t="n">
        <v>-1.006641983985901</v>
      </c>
      <c r="V147" s="3" t="n">
        <v>-0.6940577030181885</v>
      </c>
      <c r="W147" s="3" t="n">
        <v>-0.7319338321685791</v>
      </c>
      <c r="X147" s="3" t="n">
        <v>-1.635174512863159</v>
      </c>
      <c r="Y147" s="3" t="n">
        <v>-0.8013446927070618</v>
      </c>
      <c r="Z147" s="3" t="n">
        <v>-1.766231656074524</v>
      </c>
      <c r="AA147" s="3" t="n">
        <v>-1.766231656074524</v>
      </c>
      <c r="AB147" s="3" t="n">
        <v>-1.635174512863159</v>
      </c>
      <c r="AC147" s="3" t="n">
        <v>-2.838964462280273</v>
      </c>
      <c r="AD147" s="3" t="n">
        <v>-1.006641983985901</v>
      </c>
      <c r="AE147" s="3" t="n">
        <v>-1.006641983985901</v>
      </c>
    </row>
    <row r="148">
      <c r="A148" s="3" t="inlineStr">
        <is>
          <t>BDI.distn.dec.ove.mean.2</t>
        </is>
      </c>
      <c r="B148" s="3" t="inlineStr">
        <is>
          <t>BDI</t>
        </is>
      </c>
      <c r="C148" s="3" t="n">
        <v>2005</v>
      </c>
      <c r="D148" s="3" t="inlineStr">
        <is>
          <t>Overall</t>
        </is>
      </c>
      <c r="E148" s="3" t="inlineStr">
        <is>
          <t>Deciles</t>
        </is>
      </c>
      <c r="F148" s="3" t="inlineStr">
        <is>
          <t>mean</t>
        </is>
      </c>
      <c r="G148" s="3" t="n">
        <v>2</v>
      </c>
      <c r="H148" s="3" t="n">
        <v>-0.8013446927070618</v>
      </c>
      <c r="I148" s="3" t="n">
        <v>-0.8013446927070618</v>
      </c>
      <c r="J148" s="3" t="n">
        <v>-1.006641983985901</v>
      </c>
      <c r="K148" s="3" t="n">
        <v>-1.006641983985901</v>
      </c>
      <c r="L148" s="3" t="n">
        <v>-0.8013446927070618</v>
      </c>
      <c r="M148" s="3" t="n">
        <v>-0.8013446927070618</v>
      </c>
      <c r="N148" s="3" t="n">
        <v>-0.8013446927070618</v>
      </c>
      <c r="O148" s="3" t="n">
        <v>-0.8013446927070618</v>
      </c>
      <c r="P148" s="3" t="n">
        <v>-0.8013446927070618</v>
      </c>
      <c r="Q148" s="3" t="n">
        <v>-0.8013446927070618</v>
      </c>
      <c r="R148" s="3" t="n">
        <v>-0.7805023193359375</v>
      </c>
      <c r="S148" s="3" t="n">
        <v>-1.766231656074524</v>
      </c>
      <c r="T148" s="3" t="n">
        <v>-0.7124587297439575</v>
      </c>
      <c r="U148" s="3" t="n">
        <v>-1.006641983985901</v>
      </c>
      <c r="V148" s="3" t="n">
        <v>-0.6940577030181885</v>
      </c>
      <c r="W148" s="3" t="n">
        <v>-0.7319338321685791</v>
      </c>
      <c r="X148" s="3" t="n">
        <v>-1.635174512863159</v>
      </c>
      <c r="Y148" s="3" t="n">
        <v>-0.8013446927070618</v>
      </c>
      <c r="Z148" s="3" t="n">
        <v>-1.766231656074524</v>
      </c>
      <c r="AA148" s="3" t="n">
        <v>-1.766231656074524</v>
      </c>
      <c r="AB148" s="3" t="n">
        <v>-1.635174512863159</v>
      </c>
      <c r="AC148" s="3" t="n">
        <v>-2.838964462280273</v>
      </c>
      <c r="AD148" s="3" t="n">
        <v>-1.006641983985901</v>
      </c>
      <c r="AE148" s="3" t="n">
        <v>-1.006641983985901</v>
      </c>
    </row>
    <row r="149">
      <c r="A149" s="3" t="inlineStr">
        <is>
          <t>BDI.distn.dec.ove.mean.3</t>
        </is>
      </c>
      <c r="B149" s="3" t="inlineStr">
        <is>
          <t>BDI</t>
        </is>
      </c>
      <c r="C149" s="3" t="n">
        <v>2005</v>
      </c>
      <c r="D149" s="3" t="inlineStr">
        <is>
          <t>Overall</t>
        </is>
      </c>
      <c r="E149" s="3" t="inlineStr">
        <is>
          <t>Deciles</t>
        </is>
      </c>
      <c r="F149" s="3" t="inlineStr">
        <is>
          <t>mean</t>
        </is>
      </c>
      <c r="G149" s="3" t="n">
        <v>3</v>
      </c>
      <c r="H149" s="3" t="n">
        <v>-0.8013446927070618</v>
      </c>
      <c r="I149" s="3" t="n">
        <v>-0.8013446927070618</v>
      </c>
      <c r="J149" s="3" t="n">
        <v>-1.006641983985901</v>
      </c>
      <c r="K149" s="3" t="n">
        <v>-1.006641983985901</v>
      </c>
      <c r="L149" s="3" t="n">
        <v>-0.8013446927070618</v>
      </c>
      <c r="M149" s="3" t="n">
        <v>-0.8013446927070618</v>
      </c>
      <c r="N149" s="3" t="n">
        <v>-0.8013446927070618</v>
      </c>
      <c r="O149" s="3" t="n">
        <v>-0.8013446927070618</v>
      </c>
      <c r="P149" s="3" t="n">
        <v>-0.8013446927070618</v>
      </c>
      <c r="Q149" s="3" t="n">
        <v>-0.8013446927070618</v>
      </c>
      <c r="R149" s="3" t="n">
        <v>-0.7805023193359375</v>
      </c>
      <c r="S149" s="3" t="n">
        <v>-1.766231656074524</v>
      </c>
      <c r="T149" s="3" t="n">
        <v>-0.7124587297439575</v>
      </c>
      <c r="U149" s="3" t="n">
        <v>-1.006641983985901</v>
      </c>
      <c r="V149" s="3" t="n">
        <v>-0.6940577030181885</v>
      </c>
      <c r="W149" s="3" t="n">
        <v>-0.7319338321685791</v>
      </c>
      <c r="X149" s="3" t="n">
        <v>-1.635174512863159</v>
      </c>
      <c r="Y149" s="3" t="n">
        <v>-0.8013446927070618</v>
      </c>
      <c r="Z149" s="3" t="n">
        <v>-1.766231656074524</v>
      </c>
      <c r="AA149" s="3" t="n">
        <v>-1.766231656074524</v>
      </c>
      <c r="AB149" s="3" t="n">
        <v>-1.635174512863159</v>
      </c>
      <c r="AC149" s="3" t="n">
        <v>-2.838964462280273</v>
      </c>
      <c r="AD149" s="3" t="n">
        <v>-1.006641983985901</v>
      </c>
      <c r="AE149" s="3" t="n">
        <v>-1.006641983985901</v>
      </c>
    </row>
    <row r="150">
      <c r="A150" s="3" t="inlineStr">
        <is>
          <t>BDI.distn.dec.ove.mean.4</t>
        </is>
      </c>
      <c r="B150" s="3" t="inlineStr">
        <is>
          <t>BDI</t>
        </is>
      </c>
      <c r="C150" s="3" t="n">
        <v>2005</v>
      </c>
      <c r="D150" s="3" t="inlineStr">
        <is>
          <t>Overall</t>
        </is>
      </c>
      <c r="E150" s="3" t="inlineStr">
        <is>
          <t>Deciles</t>
        </is>
      </c>
      <c r="F150" s="3" t="inlineStr">
        <is>
          <t>mean</t>
        </is>
      </c>
      <c r="G150" s="3" t="n">
        <v>4</v>
      </c>
      <c r="H150" s="3" t="n">
        <v>-0.7950000166893005</v>
      </c>
      <c r="I150" s="3" t="n">
        <v>-0.7950000166893005</v>
      </c>
      <c r="J150" s="3" t="n">
        <v>-0.9580000042915344</v>
      </c>
      <c r="K150" s="3" t="n">
        <v>-0.9580000042915344</v>
      </c>
      <c r="L150" s="3" t="n">
        <v>-0.7950000166893005</v>
      </c>
      <c r="M150" s="3" t="n">
        <v>-0.7950000166893005</v>
      </c>
      <c r="N150" s="3" t="n">
        <v>-0.7950000166893005</v>
      </c>
      <c r="O150" s="3" t="n">
        <v>-0.7950000166893005</v>
      </c>
      <c r="P150" s="3" t="n">
        <v>-0.7950000166893005</v>
      </c>
      <c r="Q150" s="3" t="n">
        <v>-0.7950000166893005</v>
      </c>
      <c r="R150" s="3" t="n">
        <v>-0.7770000100135803</v>
      </c>
      <c r="S150" s="3" t="n">
        <v>-1.202999949455261</v>
      </c>
      <c r="T150" s="3" t="n">
        <v>-0.7110000252723694</v>
      </c>
      <c r="U150" s="3" t="n">
        <v>-0.9580000042915344</v>
      </c>
      <c r="V150" s="3" t="n">
        <v>-0.6869999766349792</v>
      </c>
      <c r="W150" s="3" t="n">
        <v>-0.6159999966621399</v>
      </c>
      <c r="X150" s="3" t="n">
        <v>-1.154000043869019</v>
      </c>
      <c r="Y150" s="3" t="n">
        <v>-0.7950000166893005</v>
      </c>
      <c r="Z150" s="3" t="n">
        <v>-1.202999949455261</v>
      </c>
      <c r="AA150" s="3" t="n">
        <v>-1.202999949455261</v>
      </c>
      <c r="AB150" s="3" t="n">
        <v>-1.154000043869019</v>
      </c>
      <c r="AC150" s="3" t="n">
        <v>-1.371000051498413</v>
      </c>
      <c r="AD150" s="3" t="n">
        <v>-0.9580000042915344</v>
      </c>
      <c r="AE150" s="3" t="n">
        <v>-0.9580000042915344</v>
      </c>
    </row>
    <row r="151">
      <c r="A151" s="3" t="inlineStr">
        <is>
          <t>BDI.distn.dec.ove.mean.5</t>
        </is>
      </c>
      <c r="B151" s="3" t="inlineStr">
        <is>
          <t>BDI</t>
        </is>
      </c>
      <c r="C151" s="3" t="n">
        <v>2005</v>
      </c>
      <c r="D151" s="3" t="inlineStr">
        <is>
          <t>Overall</t>
        </is>
      </c>
      <c r="E151" s="3" t="inlineStr">
        <is>
          <t>Deciles</t>
        </is>
      </c>
      <c r="F151" s="3" t="inlineStr">
        <is>
          <t>mean</t>
        </is>
      </c>
      <c r="G151" s="3" t="n">
        <v>5</v>
      </c>
      <c r="H151" s="3" t="n">
        <v>-0.7950000166893005</v>
      </c>
      <c r="I151" s="3" t="n">
        <v>-0.7950000166893005</v>
      </c>
      <c r="J151" s="3" t="n">
        <v>-0.9580000042915344</v>
      </c>
      <c r="K151" s="3" t="n">
        <v>-0.9580000042915344</v>
      </c>
      <c r="L151" s="3" t="n">
        <v>-0.7950000166893005</v>
      </c>
      <c r="M151" s="3" t="n">
        <v>-0.7950000166893005</v>
      </c>
      <c r="N151" s="3" t="n">
        <v>-0.7950000166893005</v>
      </c>
      <c r="O151" s="3" t="n">
        <v>-0.7950000166893005</v>
      </c>
      <c r="P151" s="3" t="n">
        <v>-0.7950000166893005</v>
      </c>
      <c r="Q151" s="3" t="n">
        <v>-0.7950000166893005</v>
      </c>
      <c r="R151" s="3" t="n">
        <v>-0.7770000100135803</v>
      </c>
      <c r="S151" s="3" t="n">
        <v>-1.202999949455261</v>
      </c>
      <c r="T151" s="3" t="n">
        <v>-0.7110000252723694</v>
      </c>
      <c r="U151" s="3" t="n">
        <v>-0.9580000042915344</v>
      </c>
      <c r="V151" s="3" t="n">
        <v>-0.6869999766349792</v>
      </c>
      <c r="W151" s="3" t="n">
        <v>-0.6159999966621399</v>
      </c>
      <c r="X151" s="3" t="n">
        <v>-1.154000043869019</v>
      </c>
      <c r="Y151" s="3" t="n">
        <v>-0.7950000166893005</v>
      </c>
      <c r="Z151" s="3" t="n">
        <v>-1.202999949455261</v>
      </c>
      <c r="AA151" s="3" t="n">
        <v>-1.202999949455261</v>
      </c>
      <c r="AB151" s="3" t="n">
        <v>-1.154000043869019</v>
      </c>
      <c r="AC151" s="3" t="n">
        <v>-1.371000051498413</v>
      </c>
      <c r="AD151" s="3" t="n">
        <v>-0.9580000042915344</v>
      </c>
      <c r="AE151" s="3" t="n">
        <v>-0.9580000042915344</v>
      </c>
    </row>
    <row r="152">
      <c r="A152" s="3" t="inlineStr">
        <is>
          <t>BDI.distn.dec.ove.mean.6</t>
        </is>
      </c>
      <c r="B152" s="3" t="inlineStr">
        <is>
          <t>BDI</t>
        </is>
      </c>
      <c r="C152" s="3" t="n">
        <v>2005</v>
      </c>
      <c r="D152" s="3" t="inlineStr">
        <is>
          <t>Overall</t>
        </is>
      </c>
      <c r="E152" s="3" t="inlineStr">
        <is>
          <t>Deciles</t>
        </is>
      </c>
      <c r="F152" s="3" t="inlineStr">
        <is>
          <t>mean</t>
        </is>
      </c>
      <c r="G152" s="3" t="n">
        <v>6</v>
      </c>
      <c r="H152" s="3" t="n">
        <v>-0.7950000166893005</v>
      </c>
      <c r="I152" s="3" t="n">
        <v>-0.7950000166893005</v>
      </c>
      <c r="J152" s="3" t="n">
        <v>-0.9580000042915344</v>
      </c>
      <c r="K152" s="3" t="n">
        <v>-0.9580000042915344</v>
      </c>
      <c r="L152" s="3" t="n">
        <v>-0.7950000166893005</v>
      </c>
      <c r="M152" s="3" t="n">
        <v>-0.7950000166893005</v>
      </c>
      <c r="N152" s="3" t="n">
        <v>-0.7950000166893005</v>
      </c>
      <c r="O152" s="3" t="n">
        <v>-0.7950000166893005</v>
      </c>
      <c r="P152" s="3" t="n">
        <v>-0.7950000166893005</v>
      </c>
      <c r="Q152" s="3" t="n">
        <v>-0.7950000166893005</v>
      </c>
      <c r="R152" s="3" t="n">
        <v>-0.7770000100135803</v>
      </c>
      <c r="S152" s="3" t="n">
        <v>-1.202999949455261</v>
      </c>
      <c r="T152" s="3" t="n">
        <v>-0.7110000252723694</v>
      </c>
      <c r="U152" s="3" t="n">
        <v>-0.9580000042915344</v>
      </c>
      <c r="V152" s="3" t="n">
        <v>-0.6869999766349792</v>
      </c>
      <c r="W152" s="3" t="n">
        <v>-0.6159999966621399</v>
      </c>
      <c r="X152" s="3" t="n">
        <v>-1.154000043869019</v>
      </c>
      <c r="Y152" s="3" t="n">
        <v>-0.7950000166893005</v>
      </c>
      <c r="Z152" s="3" t="n">
        <v>-1.202999949455261</v>
      </c>
      <c r="AA152" s="3" t="n">
        <v>-1.202999949455261</v>
      </c>
      <c r="AB152" s="3" t="n">
        <v>-1.154000043869019</v>
      </c>
      <c r="AC152" s="3" t="n">
        <v>-1.371000051498413</v>
      </c>
      <c r="AD152" s="3" t="n">
        <v>-0.9580000042915344</v>
      </c>
      <c r="AE152" s="3" t="n">
        <v>-0.9580000042915344</v>
      </c>
    </row>
    <row r="153">
      <c r="A153" s="3" t="inlineStr">
        <is>
          <t>BDI.distn.dec.ove.mean.7</t>
        </is>
      </c>
      <c r="B153" s="3" t="inlineStr">
        <is>
          <t>BDI</t>
        </is>
      </c>
      <c r="C153" s="3" t="n">
        <v>2005</v>
      </c>
      <c r="D153" s="3" t="inlineStr">
        <is>
          <t>Overall</t>
        </is>
      </c>
      <c r="E153" s="3" t="inlineStr">
        <is>
          <t>Deciles</t>
        </is>
      </c>
      <c r="F153" s="3" t="inlineStr">
        <is>
          <t>mean</t>
        </is>
      </c>
      <c r="G153" s="3" t="n">
        <v>7</v>
      </c>
      <c r="H153" s="3" t="n">
        <v>-0.7950000166893005</v>
      </c>
      <c r="I153" s="3" t="n">
        <v>-0.7950000166893005</v>
      </c>
      <c r="J153" s="3" t="n">
        <v>-0.9580000042915344</v>
      </c>
      <c r="K153" s="3" t="n">
        <v>-0.9580000042915344</v>
      </c>
      <c r="L153" s="3" t="n">
        <v>-0.7950000166893005</v>
      </c>
      <c r="M153" s="3" t="n">
        <v>-0.7950000166893005</v>
      </c>
      <c r="N153" s="3" t="n">
        <v>-0.7950000166893005</v>
      </c>
      <c r="O153" s="3" t="n">
        <v>-0.7950000166893005</v>
      </c>
      <c r="P153" s="3" t="n">
        <v>-0.7950000166893005</v>
      </c>
      <c r="Q153" s="3" t="n">
        <v>-0.7950000166893005</v>
      </c>
      <c r="R153" s="3" t="n">
        <v>-0.7770000100135803</v>
      </c>
      <c r="S153" s="3" t="n">
        <v>-1.202999949455261</v>
      </c>
      <c r="T153" s="3" t="n">
        <v>-0.7110000252723694</v>
      </c>
      <c r="U153" s="3" t="n">
        <v>-0.9580000042915344</v>
      </c>
      <c r="V153" s="3" t="n">
        <v>-0.6869999766349792</v>
      </c>
      <c r="W153" s="3" t="n">
        <v>-0.6159999966621399</v>
      </c>
      <c r="X153" s="3" t="n">
        <v>-1.154000043869019</v>
      </c>
      <c r="Y153" s="3" t="n">
        <v>-0.7950000166893005</v>
      </c>
      <c r="Z153" s="3" t="n">
        <v>-1.202999949455261</v>
      </c>
      <c r="AA153" s="3" t="n">
        <v>-1.202999949455261</v>
      </c>
      <c r="AB153" s="3" t="n">
        <v>-1.154000043869019</v>
      </c>
      <c r="AC153" s="3" t="n">
        <v>-1.371000051498413</v>
      </c>
      <c r="AD153" s="3" t="n">
        <v>-0.9580000042915344</v>
      </c>
      <c r="AE153" s="3" t="n">
        <v>-0.9580000042915344</v>
      </c>
    </row>
    <row r="154">
      <c r="A154" s="3" t="inlineStr">
        <is>
          <t>BDI.distn.dec.ove.mean.8</t>
        </is>
      </c>
      <c r="B154" s="3" t="inlineStr">
        <is>
          <t>BDI</t>
        </is>
      </c>
      <c r="C154" s="3" t="n">
        <v>2005</v>
      </c>
      <c r="D154" s="3" t="inlineStr">
        <is>
          <t>Overall</t>
        </is>
      </c>
      <c r="E154" s="3" t="inlineStr">
        <is>
          <t>Deciles</t>
        </is>
      </c>
      <c r="F154" s="3" t="inlineStr">
        <is>
          <t>mean</t>
        </is>
      </c>
      <c r="G154" s="3" t="n">
        <v>8</v>
      </c>
      <c r="H154" s="3" t="n">
        <v>-0.7953830361366272</v>
      </c>
      <c r="I154" s="3" t="n">
        <v>-0.7953830361366272</v>
      </c>
      <c r="J154" s="3" t="n">
        <v>-0.960584282875061</v>
      </c>
      <c r="K154" s="3" t="n">
        <v>-0.960584282875061</v>
      </c>
      <c r="L154" s="3" t="n">
        <v>-0.7953830361366272</v>
      </c>
      <c r="M154" s="3" t="n">
        <v>-0.7953830361366272</v>
      </c>
      <c r="N154" s="3" t="n">
        <v>-0.7953830361366272</v>
      </c>
      <c r="O154" s="3" t="n">
        <v>-0.7953830361366272</v>
      </c>
      <c r="P154" s="3" t="n">
        <v>-0.7953830361366272</v>
      </c>
      <c r="Q154" s="3" t="n">
        <v>-0.7953830361366272</v>
      </c>
      <c r="R154" s="3" t="n">
        <v>-0.7772555351257324</v>
      </c>
      <c r="S154" s="3" t="n">
        <v>-1.214194059371948</v>
      </c>
      <c r="T154" s="3" t="n">
        <v>-0.7110409736633301</v>
      </c>
      <c r="U154" s="3" t="n">
        <v>-0.960584282875061</v>
      </c>
      <c r="V154" s="3" t="n">
        <v>-0.6877102255821228</v>
      </c>
      <c r="W154" s="3" t="n">
        <v>-0.6324957609176636</v>
      </c>
      <c r="X154" s="3" t="n">
        <v>-1.164515256881714</v>
      </c>
      <c r="Y154" s="3" t="n">
        <v>-0.7953830361366272</v>
      </c>
      <c r="Z154" s="3" t="n">
        <v>-1.214194059371948</v>
      </c>
      <c r="AA154" s="3" t="n">
        <v>-1.214194059371948</v>
      </c>
      <c r="AB154" s="3" t="n">
        <v>-1.164515256881714</v>
      </c>
      <c r="AC154" s="3" t="n">
        <v>-1.390552282333374</v>
      </c>
      <c r="AD154" s="3" t="n">
        <v>-0.960584282875061</v>
      </c>
      <c r="AE154" s="3" t="n">
        <v>-0.960584282875061</v>
      </c>
    </row>
    <row r="155">
      <c r="A155" s="3" t="inlineStr">
        <is>
          <t>BDI.distn.dec.ove.mean.9</t>
        </is>
      </c>
      <c r="B155" s="3" t="inlineStr">
        <is>
          <t>BDI</t>
        </is>
      </c>
      <c r="C155" s="3" t="n">
        <v>2005</v>
      </c>
      <c r="D155" s="3" t="inlineStr">
        <is>
          <t>Overall</t>
        </is>
      </c>
      <c r="E155" s="3" t="inlineStr">
        <is>
          <t>Deciles</t>
        </is>
      </c>
      <c r="F155" s="3" t="inlineStr">
        <is>
          <t>mean</t>
        </is>
      </c>
      <c r="G155" s="3" t="n">
        <v>9</v>
      </c>
      <c r="H155" s="3" t="n">
        <v>-0.7953830361366272</v>
      </c>
      <c r="I155" s="3" t="n">
        <v>-0.7953830361366272</v>
      </c>
      <c r="J155" s="3" t="n">
        <v>-0.960584282875061</v>
      </c>
      <c r="K155" s="3" t="n">
        <v>-0.960584282875061</v>
      </c>
      <c r="L155" s="3" t="n">
        <v>-0.7953830361366272</v>
      </c>
      <c r="M155" s="3" t="n">
        <v>-0.7953830361366272</v>
      </c>
      <c r="N155" s="3" t="n">
        <v>-0.7953830361366272</v>
      </c>
      <c r="O155" s="3" t="n">
        <v>-0.7953830361366272</v>
      </c>
      <c r="P155" s="3" t="n">
        <v>-0.7953830361366272</v>
      </c>
      <c r="Q155" s="3" t="n">
        <v>-0.7953830361366272</v>
      </c>
      <c r="R155" s="3" t="n">
        <v>-0.7772555351257324</v>
      </c>
      <c r="S155" s="3" t="n">
        <v>-1.214194059371948</v>
      </c>
      <c r="T155" s="3" t="n">
        <v>-0.7110409736633301</v>
      </c>
      <c r="U155" s="3" t="n">
        <v>-0.960584282875061</v>
      </c>
      <c r="V155" s="3" t="n">
        <v>-0.6877102255821228</v>
      </c>
      <c r="W155" s="3" t="n">
        <v>-0.6324957609176636</v>
      </c>
      <c r="X155" s="3" t="n">
        <v>-1.164515256881714</v>
      </c>
      <c r="Y155" s="3" t="n">
        <v>-0.7953830361366272</v>
      </c>
      <c r="Z155" s="3" t="n">
        <v>-1.214194059371948</v>
      </c>
      <c r="AA155" s="3" t="n">
        <v>-1.214194059371948</v>
      </c>
      <c r="AB155" s="3" t="n">
        <v>-1.164515256881714</v>
      </c>
      <c r="AC155" s="3" t="n">
        <v>-1.390552282333374</v>
      </c>
      <c r="AD155" s="3" t="n">
        <v>-0.960584282875061</v>
      </c>
      <c r="AE155" s="3" t="n">
        <v>-0.960584282875061</v>
      </c>
    </row>
    <row r="156">
      <c r="A156" s="3" t="inlineStr">
        <is>
          <t>BDI.distn.dec.ove.mean.10</t>
        </is>
      </c>
      <c r="B156" s="3" t="inlineStr">
        <is>
          <t>BDI</t>
        </is>
      </c>
      <c r="C156" s="3" t="n">
        <v>2005</v>
      </c>
      <c r="D156" s="3" t="inlineStr">
        <is>
          <t>Overall</t>
        </is>
      </c>
      <c r="E156" s="3" t="inlineStr">
        <is>
          <t>Deciles</t>
        </is>
      </c>
      <c r="F156" s="3" t="inlineStr">
        <is>
          <t>mean</t>
        </is>
      </c>
      <c r="G156" s="3" t="n">
        <v>10</v>
      </c>
      <c r="H156" s="3" t="n">
        <v>-0.7953830361366272</v>
      </c>
      <c r="I156" s="3" t="n">
        <v>-0.7953830361366272</v>
      </c>
      <c r="J156" s="3" t="n">
        <v>-0.960584282875061</v>
      </c>
      <c r="K156" s="3" t="n">
        <v>-0.960584282875061</v>
      </c>
      <c r="L156" s="3" t="n">
        <v>-0.7953830361366272</v>
      </c>
      <c r="M156" s="3" t="n">
        <v>-0.7953830361366272</v>
      </c>
      <c r="N156" s="3" t="n">
        <v>-0.7953830361366272</v>
      </c>
      <c r="O156" s="3" t="n">
        <v>-0.7953830361366272</v>
      </c>
      <c r="P156" s="3" t="n">
        <v>-0.7953830361366272</v>
      </c>
      <c r="Q156" s="3" t="n">
        <v>-0.7953830361366272</v>
      </c>
      <c r="R156" s="3" t="n">
        <v>-0.7772555351257324</v>
      </c>
      <c r="S156" s="3" t="n">
        <v>-1.214194059371948</v>
      </c>
      <c r="T156" s="3" t="n">
        <v>-0.7110409736633301</v>
      </c>
      <c r="U156" s="3" t="n">
        <v>-0.960584282875061</v>
      </c>
      <c r="V156" s="3" t="n">
        <v>-0.6877102255821228</v>
      </c>
      <c r="W156" s="3" t="n">
        <v>-0.6324957609176636</v>
      </c>
      <c r="X156" s="3" t="n">
        <v>-1.164515256881714</v>
      </c>
      <c r="Y156" s="3" t="n">
        <v>-0.7953830361366272</v>
      </c>
      <c r="Z156" s="3" t="n">
        <v>-1.214194059371948</v>
      </c>
      <c r="AA156" s="3" t="n">
        <v>-1.214194059371948</v>
      </c>
      <c r="AB156" s="3" t="n">
        <v>-1.164515256881714</v>
      </c>
      <c r="AC156" s="3" t="n">
        <v>-1.390552282333374</v>
      </c>
      <c r="AD156" s="3" t="n">
        <v>-0.960584282875061</v>
      </c>
      <c r="AE156" s="3" t="n">
        <v>-0.960584282875061</v>
      </c>
    </row>
    <row r="157">
      <c r="A157" s="3" t="inlineStr">
        <is>
          <t>BDI.distn.bkt.ove.mean.9999</t>
        </is>
      </c>
      <c r="B157" s="3" t="inlineStr">
        <is>
          <t>BDI</t>
        </is>
      </c>
      <c r="C157" s="3" t="n">
        <v>2005</v>
      </c>
      <c r="D157" s="3" t="inlineStr">
        <is>
          <t>Overall</t>
        </is>
      </c>
      <c r="E157" s="3" t="inlineStr">
        <is>
          <t>Basket</t>
        </is>
      </c>
      <c r="F157" s="3" t="inlineStr">
        <is>
          <t>mean</t>
        </is>
      </c>
      <c r="G157" s="3" t="n">
        <v>9999</v>
      </c>
      <c r="H157" s="3" t="n">
        <v>-0.7970183491706848</v>
      </c>
      <c r="I157" s="3" t="n">
        <v>-0.7970183491706848</v>
      </c>
      <c r="J157" s="3" t="n">
        <v>-0.9733678698539734</v>
      </c>
      <c r="K157" s="3" t="n">
        <v>-0.9733678698539734</v>
      </c>
      <c r="L157" s="3" t="n">
        <v>-0.7970183491706848</v>
      </c>
      <c r="M157" s="3" t="n">
        <v>-0.7970183491706848</v>
      </c>
      <c r="N157" s="3" t="n">
        <v>-0.7970183491706848</v>
      </c>
      <c r="O157" s="3" t="n">
        <v>-0.7970183491706848</v>
      </c>
      <c r="P157" s="3" t="n">
        <v>-0.7970183491706848</v>
      </c>
      <c r="Q157" s="3" t="n">
        <v>-0.7970183491706848</v>
      </c>
      <c r="R157" s="3" t="n">
        <v>-0.7781273722648621</v>
      </c>
      <c r="S157" s="3" t="n">
        <v>-1.375327706336975</v>
      </c>
      <c r="T157" s="3" t="n">
        <v>-0.711449921131134</v>
      </c>
      <c r="U157" s="3" t="n">
        <v>-0.9733678698539734</v>
      </c>
      <c r="V157" s="3" t="n">
        <v>-0.6893303394317627</v>
      </c>
      <c r="W157" s="3" t="n">
        <v>-0.6557288765907288</v>
      </c>
      <c r="X157" s="3" t="n">
        <v>-1.301506996154785</v>
      </c>
      <c r="Y157" s="3" t="n">
        <v>-0.7970183491706848</v>
      </c>
      <c r="Z157" s="3" t="n">
        <v>-1.375327706336975</v>
      </c>
      <c r="AA157" s="3" t="n">
        <v>-1.375327706336975</v>
      </c>
      <c r="AB157" s="3" t="n">
        <v>-1.301506996154785</v>
      </c>
      <c r="AC157" s="3" t="n">
        <v>-1.817255020141602</v>
      </c>
      <c r="AD157" s="3" t="n">
        <v>-0.9733678698539734</v>
      </c>
      <c r="AE157" s="3" t="n">
        <v>-0.9733678698539734</v>
      </c>
    </row>
    <row r="158">
      <c r="A158" s="3" t="inlineStr">
        <is>
          <t>BEL.distn.dec.ove.mean.1</t>
        </is>
      </c>
      <c r="B158" s="3" t="inlineStr">
        <is>
          <t>BEL</t>
        </is>
      </c>
      <c r="C158" s="3" t="n">
        <v>2005</v>
      </c>
      <c r="D158" s="3" t="inlineStr">
        <is>
          <t>Overall</t>
        </is>
      </c>
      <c r="E158" s="3" t="inlineStr">
        <is>
          <t>Deciles</t>
        </is>
      </c>
      <c r="F158" s="3" t="inlineStr">
        <is>
          <t>mean</t>
        </is>
      </c>
      <c r="G158" s="3" t="n">
        <v>1</v>
      </c>
      <c r="H158" s="3" t="n">
        <v>-0.7882409691810608</v>
      </c>
      <c r="I158" s="3" t="n">
        <v>-0.7882409691810608</v>
      </c>
      <c r="J158" s="3" t="n">
        <v>-0.8910567760467529</v>
      </c>
      <c r="K158" s="3" t="n">
        <v>-0.8910567760467529</v>
      </c>
      <c r="L158" s="3" t="n">
        <v>-0.7882409691810608</v>
      </c>
      <c r="M158" s="3" t="n">
        <v>-0.7882409691810608</v>
      </c>
      <c r="N158" s="3" t="n">
        <v>-0.7882409691810608</v>
      </c>
      <c r="O158" s="3" t="n">
        <v>-0.7882409691810608</v>
      </c>
      <c r="P158" s="3" t="n">
        <v>-0.7882409691810608</v>
      </c>
      <c r="Q158" s="3" t="n">
        <v>-0.7882409691810608</v>
      </c>
      <c r="R158" s="3" t="n">
        <v>-0.7734707593917847</v>
      </c>
      <c r="S158" s="3" t="n">
        <v>-1.422675371170044</v>
      </c>
      <c r="T158" s="3" t="n">
        <v>-0.7094525694847107</v>
      </c>
      <c r="U158" s="3" t="n">
        <v>-0.8910567760467529</v>
      </c>
      <c r="V158" s="3" t="n">
        <v>-0.6829447150230408</v>
      </c>
      <c r="W158" s="3" t="n">
        <v>-0.5893493294715881</v>
      </c>
      <c r="X158" s="3" t="n">
        <v>-1.368785619735718</v>
      </c>
      <c r="Y158" s="3" t="n">
        <v>-0.7882409691810608</v>
      </c>
      <c r="Z158" s="3" t="n">
        <v>-1.422675371170044</v>
      </c>
      <c r="AA158" s="3" t="n">
        <v>-1.422675371170044</v>
      </c>
      <c r="AB158" s="3" t="n">
        <v>-1.368785619735718</v>
      </c>
      <c r="AC158" s="3" t="n">
        <v>-2.155625104904175</v>
      </c>
      <c r="AD158" s="3" t="n">
        <v>-0.8910567760467529</v>
      </c>
      <c r="AE158" s="3" t="n">
        <v>-0.8910567760467529</v>
      </c>
    </row>
    <row r="159">
      <c r="A159" s="3" t="inlineStr">
        <is>
          <t>BEL.distn.dec.ove.mean.2</t>
        </is>
      </c>
      <c r="B159" s="3" t="inlineStr">
        <is>
          <t>BEL</t>
        </is>
      </c>
      <c r="C159" s="3" t="n">
        <v>2005</v>
      </c>
      <c r="D159" s="3" t="inlineStr">
        <is>
          <t>Overall</t>
        </is>
      </c>
      <c r="E159" s="3" t="inlineStr">
        <is>
          <t>Deciles</t>
        </is>
      </c>
      <c r="F159" s="3" t="inlineStr">
        <is>
          <t>mean</t>
        </is>
      </c>
      <c r="G159" s="3" t="n">
        <v>2</v>
      </c>
      <c r="H159" s="3" t="n">
        <v>-0.7882409691810608</v>
      </c>
      <c r="I159" s="3" t="n">
        <v>-0.7882409691810608</v>
      </c>
      <c r="J159" s="3" t="n">
        <v>-0.8910567760467529</v>
      </c>
      <c r="K159" s="3" t="n">
        <v>-0.8910567760467529</v>
      </c>
      <c r="L159" s="3" t="n">
        <v>-0.7882409691810608</v>
      </c>
      <c r="M159" s="3" t="n">
        <v>-0.7882409691810608</v>
      </c>
      <c r="N159" s="3" t="n">
        <v>-0.7882409691810608</v>
      </c>
      <c r="O159" s="3" t="n">
        <v>-0.7882409691810608</v>
      </c>
      <c r="P159" s="3" t="n">
        <v>-0.7882409691810608</v>
      </c>
      <c r="Q159" s="3" t="n">
        <v>-0.7882409691810608</v>
      </c>
      <c r="R159" s="3" t="n">
        <v>-0.7734707593917847</v>
      </c>
      <c r="S159" s="3" t="n">
        <v>-1.422675371170044</v>
      </c>
      <c r="T159" s="3" t="n">
        <v>-0.7094525694847107</v>
      </c>
      <c r="U159" s="3" t="n">
        <v>-0.8910567760467529</v>
      </c>
      <c r="V159" s="3" t="n">
        <v>-0.6829447150230408</v>
      </c>
      <c r="W159" s="3" t="n">
        <v>-0.5893493294715881</v>
      </c>
      <c r="X159" s="3" t="n">
        <v>-1.368785619735718</v>
      </c>
      <c r="Y159" s="3" t="n">
        <v>-0.7882409691810608</v>
      </c>
      <c r="Z159" s="3" t="n">
        <v>-1.422675371170044</v>
      </c>
      <c r="AA159" s="3" t="n">
        <v>-1.422675371170044</v>
      </c>
      <c r="AB159" s="3" t="n">
        <v>-1.368785619735718</v>
      </c>
      <c r="AC159" s="3" t="n">
        <v>-2.155625104904175</v>
      </c>
      <c r="AD159" s="3" t="n">
        <v>-0.8910567760467529</v>
      </c>
      <c r="AE159" s="3" t="n">
        <v>-0.8910567760467529</v>
      </c>
    </row>
    <row r="160">
      <c r="A160" s="3" t="inlineStr">
        <is>
          <t>BEL.distn.dec.ove.mean.3</t>
        </is>
      </c>
      <c r="B160" s="3" t="inlineStr">
        <is>
          <t>BEL</t>
        </is>
      </c>
      <c r="C160" s="3" t="n">
        <v>2005</v>
      </c>
      <c r="D160" s="3" t="inlineStr">
        <is>
          <t>Overall</t>
        </is>
      </c>
      <c r="E160" s="3" t="inlineStr">
        <is>
          <t>Deciles</t>
        </is>
      </c>
      <c r="F160" s="3" t="inlineStr">
        <is>
          <t>mean</t>
        </is>
      </c>
      <c r="G160" s="3" t="n">
        <v>3</v>
      </c>
      <c r="H160" s="3" t="n">
        <v>-0.7882409691810608</v>
      </c>
      <c r="I160" s="3" t="n">
        <v>-0.7882409691810608</v>
      </c>
      <c r="J160" s="3" t="n">
        <v>-0.8910567760467529</v>
      </c>
      <c r="K160" s="3" t="n">
        <v>-0.8910567760467529</v>
      </c>
      <c r="L160" s="3" t="n">
        <v>-0.7882409691810608</v>
      </c>
      <c r="M160" s="3" t="n">
        <v>-0.7882409691810608</v>
      </c>
      <c r="N160" s="3" t="n">
        <v>-0.7882409691810608</v>
      </c>
      <c r="O160" s="3" t="n">
        <v>-0.7882409691810608</v>
      </c>
      <c r="P160" s="3" t="n">
        <v>-0.7882409691810608</v>
      </c>
      <c r="Q160" s="3" t="n">
        <v>-0.7882409691810608</v>
      </c>
      <c r="R160" s="3" t="n">
        <v>-0.7734707593917847</v>
      </c>
      <c r="S160" s="3" t="n">
        <v>-1.422675371170044</v>
      </c>
      <c r="T160" s="3" t="n">
        <v>-0.7094525694847107</v>
      </c>
      <c r="U160" s="3" t="n">
        <v>-0.8910567760467529</v>
      </c>
      <c r="V160" s="3" t="n">
        <v>-0.6829447150230408</v>
      </c>
      <c r="W160" s="3" t="n">
        <v>-0.5893493294715881</v>
      </c>
      <c r="X160" s="3" t="n">
        <v>-1.368785619735718</v>
      </c>
      <c r="Y160" s="3" t="n">
        <v>-0.7882409691810608</v>
      </c>
      <c r="Z160" s="3" t="n">
        <v>-1.422675371170044</v>
      </c>
      <c r="AA160" s="3" t="n">
        <v>-1.422675371170044</v>
      </c>
      <c r="AB160" s="3" t="n">
        <v>-1.368785619735718</v>
      </c>
      <c r="AC160" s="3" t="n">
        <v>-2.155625104904175</v>
      </c>
      <c r="AD160" s="3" t="n">
        <v>-0.8910567760467529</v>
      </c>
      <c r="AE160" s="3" t="n">
        <v>-0.8910567760467529</v>
      </c>
    </row>
    <row r="161">
      <c r="A161" s="3" t="inlineStr">
        <is>
          <t>BEL.distn.dec.ove.mean.4</t>
        </is>
      </c>
      <c r="B161" s="3" t="inlineStr">
        <is>
          <t>BEL</t>
        </is>
      </c>
      <c r="C161" s="3" t="n">
        <v>2005</v>
      </c>
      <c r="D161" s="3" t="inlineStr">
        <is>
          <t>Overall</t>
        </is>
      </c>
      <c r="E161" s="3" t="inlineStr">
        <is>
          <t>Deciles</t>
        </is>
      </c>
      <c r="F161" s="3" t="inlineStr">
        <is>
          <t>mean</t>
        </is>
      </c>
      <c r="G161" s="3" t="n">
        <v>4</v>
      </c>
      <c r="H161" s="3" t="n">
        <v>-0.7820000052452087</v>
      </c>
      <c r="I161" s="3" t="n">
        <v>-0.7820000052452087</v>
      </c>
      <c r="J161" s="3" t="n">
        <v>-0.8479999899864197</v>
      </c>
      <c r="K161" s="3" t="n">
        <v>-0.8479999899864197</v>
      </c>
      <c r="L161" s="3" t="n">
        <v>-0.7820000052452087</v>
      </c>
      <c r="M161" s="3" t="n">
        <v>-0.7820000052452087</v>
      </c>
      <c r="N161" s="3" t="n">
        <v>-0.7820000052452087</v>
      </c>
      <c r="O161" s="3" t="n">
        <v>-0.7820000052452087</v>
      </c>
      <c r="P161" s="3" t="n">
        <v>-0.7820000052452087</v>
      </c>
      <c r="Q161" s="3" t="n">
        <v>-0.7820000052452087</v>
      </c>
      <c r="R161" s="3" t="n">
        <v>-0.7699999809265137</v>
      </c>
      <c r="S161" s="3" t="n">
        <v>-0.968999981880188</v>
      </c>
      <c r="T161" s="3" t="n">
        <v>-0.7080000042915344</v>
      </c>
      <c r="U161" s="3" t="n">
        <v>-0.8479999899864197</v>
      </c>
      <c r="V161" s="3" t="n">
        <v>-0.6759999990463257</v>
      </c>
      <c r="W161" s="3" t="n">
        <v>-0.4959999918937683</v>
      </c>
      <c r="X161" s="3" t="n">
        <v>-0.9660000205039978</v>
      </c>
      <c r="Y161" s="3" t="n">
        <v>-0.7820000052452087</v>
      </c>
      <c r="Z161" s="3" t="n">
        <v>-0.968999981880188</v>
      </c>
      <c r="AA161" s="3" t="n">
        <v>-0.968999981880188</v>
      </c>
      <c r="AB161" s="3" t="n">
        <v>-0.9660000205039978</v>
      </c>
      <c r="AC161" s="3" t="n">
        <v>-1.041000008583069</v>
      </c>
      <c r="AD161" s="3" t="n">
        <v>-0.8479999899864197</v>
      </c>
      <c r="AE161" s="3" t="n">
        <v>-0.8479999899864197</v>
      </c>
    </row>
    <row r="162">
      <c r="A162" s="3" t="inlineStr">
        <is>
          <t>BEL.distn.dec.ove.mean.5</t>
        </is>
      </c>
      <c r="B162" s="3" t="inlineStr">
        <is>
          <t>BEL</t>
        </is>
      </c>
      <c r="C162" s="3" t="n">
        <v>2005</v>
      </c>
      <c r="D162" s="3" t="inlineStr">
        <is>
          <t>Overall</t>
        </is>
      </c>
      <c r="E162" s="3" t="inlineStr">
        <is>
          <t>Deciles</t>
        </is>
      </c>
      <c r="F162" s="3" t="inlineStr">
        <is>
          <t>mean</t>
        </is>
      </c>
      <c r="G162" s="3" t="n">
        <v>5</v>
      </c>
      <c r="H162" s="3" t="n">
        <v>-0.7820000052452087</v>
      </c>
      <c r="I162" s="3" t="n">
        <v>-0.7820000052452087</v>
      </c>
      <c r="J162" s="3" t="n">
        <v>-0.8479999899864197</v>
      </c>
      <c r="K162" s="3" t="n">
        <v>-0.8479999899864197</v>
      </c>
      <c r="L162" s="3" t="n">
        <v>-0.7820000052452087</v>
      </c>
      <c r="M162" s="3" t="n">
        <v>-0.7820000052452087</v>
      </c>
      <c r="N162" s="3" t="n">
        <v>-0.7820000052452087</v>
      </c>
      <c r="O162" s="3" t="n">
        <v>-0.7820000052452087</v>
      </c>
      <c r="P162" s="3" t="n">
        <v>-0.7820000052452087</v>
      </c>
      <c r="Q162" s="3" t="n">
        <v>-0.7820000052452087</v>
      </c>
      <c r="R162" s="3" t="n">
        <v>-0.7699999809265137</v>
      </c>
      <c r="S162" s="3" t="n">
        <v>-0.968999981880188</v>
      </c>
      <c r="T162" s="3" t="n">
        <v>-0.7080000042915344</v>
      </c>
      <c r="U162" s="3" t="n">
        <v>-0.8479999899864197</v>
      </c>
      <c r="V162" s="3" t="n">
        <v>-0.6759999990463257</v>
      </c>
      <c r="W162" s="3" t="n">
        <v>-0.4959999918937683</v>
      </c>
      <c r="X162" s="3" t="n">
        <v>-0.9660000205039978</v>
      </c>
      <c r="Y162" s="3" t="n">
        <v>-0.7820000052452087</v>
      </c>
      <c r="Z162" s="3" t="n">
        <v>-0.968999981880188</v>
      </c>
      <c r="AA162" s="3" t="n">
        <v>-0.968999981880188</v>
      </c>
      <c r="AB162" s="3" t="n">
        <v>-0.9660000205039978</v>
      </c>
      <c r="AC162" s="3" t="n">
        <v>-1.041000008583069</v>
      </c>
      <c r="AD162" s="3" t="n">
        <v>-0.8479999899864197</v>
      </c>
      <c r="AE162" s="3" t="n">
        <v>-0.8479999899864197</v>
      </c>
    </row>
    <row r="163">
      <c r="A163" s="3" t="inlineStr">
        <is>
          <t>BEL.distn.dec.ove.mean.6</t>
        </is>
      </c>
      <c r="B163" s="3" t="inlineStr">
        <is>
          <t>BEL</t>
        </is>
      </c>
      <c r="C163" s="3" t="n">
        <v>2005</v>
      </c>
      <c r="D163" s="3" t="inlineStr">
        <is>
          <t>Overall</t>
        </is>
      </c>
      <c r="E163" s="3" t="inlineStr">
        <is>
          <t>Deciles</t>
        </is>
      </c>
      <c r="F163" s="3" t="inlineStr">
        <is>
          <t>mean</t>
        </is>
      </c>
      <c r="G163" s="3" t="n">
        <v>6</v>
      </c>
      <c r="H163" s="3" t="n">
        <v>-0.7820000052452087</v>
      </c>
      <c r="I163" s="3" t="n">
        <v>-0.7820000052452087</v>
      </c>
      <c r="J163" s="3" t="n">
        <v>-0.8479999899864197</v>
      </c>
      <c r="K163" s="3" t="n">
        <v>-0.8479999899864197</v>
      </c>
      <c r="L163" s="3" t="n">
        <v>-0.7820000052452087</v>
      </c>
      <c r="M163" s="3" t="n">
        <v>-0.7820000052452087</v>
      </c>
      <c r="N163" s="3" t="n">
        <v>-0.7820000052452087</v>
      </c>
      <c r="O163" s="3" t="n">
        <v>-0.7820000052452087</v>
      </c>
      <c r="P163" s="3" t="n">
        <v>-0.7820000052452087</v>
      </c>
      <c r="Q163" s="3" t="n">
        <v>-0.7820000052452087</v>
      </c>
      <c r="R163" s="3" t="n">
        <v>-0.7699999809265137</v>
      </c>
      <c r="S163" s="3" t="n">
        <v>-0.968999981880188</v>
      </c>
      <c r="T163" s="3" t="n">
        <v>-0.7080000042915344</v>
      </c>
      <c r="U163" s="3" t="n">
        <v>-0.8479999899864197</v>
      </c>
      <c r="V163" s="3" t="n">
        <v>-0.6759999990463257</v>
      </c>
      <c r="W163" s="3" t="n">
        <v>-0.4959999918937683</v>
      </c>
      <c r="X163" s="3" t="n">
        <v>-0.9660000205039978</v>
      </c>
      <c r="Y163" s="3" t="n">
        <v>-0.7820000052452087</v>
      </c>
      <c r="Z163" s="3" t="n">
        <v>-0.968999981880188</v>
      </c>
      <c r="AA163" s="3" t="n">
        <v>-0.968999981880188</v>
      </c>
      <c r="AB163" s="3" t="n">
        <v>-0.9660000205039978</v>
      </c>
      <c r="AC163" s="3" t="n">
        <v>-1.041000008583069</v>
      </c>
      <c r="AD163" s="3" t="n">
        <v>-0.8479999899864197</v>
      </c>
      <c r="AE163" s="3" t="n">
        <v>-0.8479999899864197</v>
      </c>
    </row>
    <row r="164">
      <c r="A164" s="3" t="inlineStr">
        <is>
          <t>BEL.distn.dec.ove.mean.7</t>
        </is>
      </c>
      <c r="B164" s="3" t="inlineStr">
        <is>
          <t>BEL</t>
        </is>
      </c>
      <c r="C164" s="3" t="n">
        <v>2005</v>
      </c>
      <c r="D164" s="3" t="inlineStr">
        <is>
          <t>Overall</t>
        </is>
      </c>
      <c r="E164" s="3" t="inlineStr">
        <is>
          <t>Deciles</t>
        </is>
      </c>
      <c r="F164" s="3" t="inlineStr">
        <is>
          <t>mean</t>
        </is>
      </c>
      <c r="G164" s="3" t="n">
        <v>7</v>
      </c>
      <c r="H164" s="3" t="n">
        <v>-0.7820000052452087</v>
      </c>
      <c r="I164" s="3" t="n">
        <v>-0.7820000052452087</v>
      </c>
      <c r="J164" s="3" t="n">
        <v>-0.8479999899864197</v>
      </c>
      <c r="K164" s="3" t="n">
        <v>-0.8479999899864197</v>
      </c>
      <c r="L164" s="3" t="n">
        <v>-0.7820000052452087</v>
      </c>
      <c r="M164" s="3" t="n">
        <v>-0.7820000052452087</v>
      </c>
      <c r="N164" s="3" t="n">
        <v>-0.7820000052452087</v>
      </c>
      <c r="O164" s="3" t="n">
        <v>-0.7820000052452087</v>
      </c>
      <c r="P164" s="3" t="n">
        <v>-0.7820000052452087</v>
      </c>
      <c r="Q164" s="3" t="n">
        <v>-0.7820000052452087</v>
      </c>
      <c r="R164" s="3" t="n">
        <v>-0.7699999809265137</v>
      </c>
      <c r="S164" s="3" t="n">
        <v>-0.968999981880188</v>
      </c>
      <c r="T164" s="3" t="n">
        <v>-0.7080000042915344</v>
      </c>
      <c r="U164" s="3" t="n">
        <v>-0.8479999899864197</v>
      </c>
      <c r="V164" s="3" t="n">
        <v>-0.6759999990463257</v>
      </c>
      <c r="W164" s="3" t="n">
        <v>-0.4959999918937683</v>
      </c>
      <c r="X164" s="3" t="n">
        <v>-0.9660000205039978</v>
      </c>
      <c r="Y164" s="3" t="n">
        <v>-0.7820000052452087</v>
      </c>
      <c r="Z164" s="3" t="n">
        <v>-0.968999981880188</v>
      </c>
      <c r="AA164" s="3" t="n">
        <v>-0.968999981880188</v>
      </c>
      <c r="AB164" s="3" t="n">
        <v>-0.9660000205039978</v>
      </c>
      <c r="AC164" s="3" t="n">
        <v>-1.041000008583069</v>
      </c>
      <c r="AD164" s="3" t="n">
        <v>-0.8479999899864197</v>
      </c>
      <c r="AE164" s="3" t="n">
        <v>-0.8479999899864197</v>
      </c>
    </row>
    <row r="165">
      <c r="A165" s="3" t="inlineStr">
        <is>
          <t>BEL.distn.dec.ove.mean.8</t>
        </is>
      </c>
      <c r="B165" s="3" t="inlineStr">
        <is>
          <t>BEL</t>
        </is>
      </c>
      <c r="C165" s="3" t="n">
        <v>2005</v>
      </c>
      <c r="D165" s="3" t="inlineStr">
        <is>
          <t>Overall</t>
        </is>
      </c>
      <c r="E165" s="3" t="inlineStr">
        <is>
          <t>Deciles</t>
        </is>
      </c>
      <c r="F165" s="3" t="inlineStr">
        <is>
          <t>mean</t>
        </is>
      </c>
      <c r="G165" s="3" t="n">
        <v>8</v>
      </c>
      <c r="H165" s="3" t="n">
        <v>-0.782376766204834</v>
      </c>
      <c r="I165" s="3" t="n">
        <v>-0.782376766204834</v>
      </c>
      <c r="J165" s="3" t="n">
        <v>-0.8502875566482544</v>
      </c>
      <c r="K165" s="3" t="n">
        <v>-0.8502875566482544</v>
      </c>
      <c r="L165" s="3" t="n">
        <v>-0.782376766204834</v>
      </c>
      <c r="M165" s="3" t="n">
        <v>-0.782376766204834</v>
      </c>
      <c r="N165" s="3" t="n">
        <v>-0.782376766204834</v>
      </c>
      <c r="O165" s="3" t="n">
        <v>-0.782376766204834</v>
      </c>
      <c r="P165" s="3" t="n">
        <v>-0.782376766204834</v>
      </c>
      <c r="Q165" s="3" t="n">
        <v>-0.782376766204834</v>
      </c>
      <c r="R165" s="3" t="n">
        <v>-0.7702532410621643</v>
      </c>
      <c r="S165" s="3" t="n">
        <v>-0.9780166745185852</v>
      </c>
      <c r="T165" s="3" t="n">
        <v>-0.7080408334732056</v>
      </c>
      <c r="U165" s="3" t="n">
        <v>-0.8502875566482544</v>
      </c>
      <c r="V165" s="3" t="n">
        <v>-0.6766988039016724</v>
      </c>
      <c r="W165" s="3" t="n">
        <v>-0.5092822909355164</v>
      </c>
      <c r="X165" s="3" t="n">
        <v>-0.9748021960258484</v>
      </c>
      <c r="Y165" s="3" t="n">
        <v>-0.782376766204834</v>
      </c>
      <c r="Z165" s="3" t="n">
        <v>-0.9780166745185852</v>
      </c>
      <c r="AA165" s="3" t="n">
        <v>-0.9780166745185852</v>
      </c>
      <c r="AB165" s="3" t="n">
        <v>-0.9748021960258484</v>
      </c>
      <c r="AC165" s="3" t="n">
        <v>-1.055846095085144</v>
      </c>
      <c r="AD165" s="3" t="n">
        <v>-0.8502875566482544</v>
      </c>
      <c r="AE165" s="3" t="n">
        <v>-0.8502875566482544</v>
      </c>
    </row>
    <row r="166">
      <c r="A166" s="3" t="inlineStr">
        <is>
          <t>BEL.distn.dec.ove.mean.9</t>
        </is>
      </c>
      <c r="B166" s="3" t="inlineStr">
        <is>
          <t>BEL</t>
        </is>
      </c>
      <c r="C166" s="3" t="n">
        <v>2005</v>
      </c>
      <c r="D166" s="3" t="inlineStr">
        <is>
          <t>Overall</t>
        </is>
      </c>
      <c r="E166" s="3" t="inlineStr">
        <is>
          <t>Deciles</t>
        </is>
      </c>
      <c r="F166" s="3" t="inlineStr">
        <is>
          <t>mean</t>
        </is>
      </c>
      <c r="G166" s="3" t="n">
        <v>9</v>
      </c>
      <c r="H166" s="3" t="n">
        <v>-0.782376766204834</v>
      </c>
      <c r="I166" s="3" t="n">
        <v>-0.782376766204834</v>
      </c>
      <c r="J166" s="3" t="n">
        <v>-0.8502875566482544</v>
      </c>
      <c r="K166" s="3" t="n">
        <v>-0.8502875566482544</v>
      </c>
      <c r="L166" s="3" t="n">
        <v>-0.782376766204834</v>
      </c>
      <c r="M166" s="3" t="n">
        <v>-0.782376766204834</v>
      </c>
      <c r="N166" s="3" t="n">
        <v>-0.782376766204834</v>
      </c>
      <c r="O166" s="3" t="n">
        <v>-0.782376766204834</v>
      </c>
      <c r="P166" s="3" t="n">
        <v>-0.782376766204834</v>
      </c>
      <c r="Q166" s="3" t="n">
        <v>-0.782376766204834</v>
      </c>
      <c r="R166" s="3" t="n">
        <v>-0.7702532410621643</v>
      </c>
      <c r="S166" s="3" t="n">
        <v>-0.9780166745185852</v>
      </c>
      <c r="T166" s="3" t="n">
        <v>-0.7080408334732056</v>
      </c>
      <c r="U166" s="3" t="n">
        <v>-0.8502875566482544</v>
      </c>
      <c r="V166" s="3" t="n">
        <v>-0.6766988039016724</v>
      </c>
      <c r="W166" s="3" t="n">
        <v>-0.5092822909355164</v>
      </c>
      <c r="X166" s="3" t="n">
        <v>-0.9748021960258484</v>
      </c>
      <c r="Y166" s="3" t="n">
        <v>-0.782376766204834</v>
      </c>
      <c r="Z166" s="3" t="n">
        <v>-0.9780166745185852</v>
      </c>
      <c r="AA166" s="3" t="n">
        <v>-0.9780166745185852</v>
      </c>
      <c r="AB166" s="3" t="n">
        <v>-0.9748021960258484</v>
      </c>
      <c r="AC166" s="3" t="n">
        <v>-1.055846095085144</v>
      </c>
      <c r="AD166" s="3" t="n">
        <v>-0.8502875566482544</v>
      </c>
      <c r="AE166" s="3" t="n">
        <v>-0.8502875566482544</v>
      </c>
    </row>
    <row r="167">
      <c r="A167" s="3" t="inlineStr">
        <is>
          <t>BEL.distn.dec.ove.mean.10</t>
        </is>
      </c>
      <c r="B167" s="3" t="inlineStr">
        <is>
          <t>BEL</t>
        </is>
      </c>
      <c r="C167" s="3" t="n">
        <v>2005</v>
      </c>
      <c r="D167" s="3" t="inlineStr">
        <is>
          <t>Overall</t>
        </is>
      </c>
      <c r="E167" s="3" t="inlineStr">
        <is>
          <t>Deciles</t>
        </is>
      </c>
      <c r="F167" s="3" t="inlineStr">
        <is>
          <t>mean</t>
        </is>
      </c>
      <c r="G167" s="3" t="n">
        <v>10</v>
      </c>
      <c r="H167" s="3" t="n">
        <v>-0.782376766204834</v>
      </c>
      <c r="I167" s="3" t="n">
        <v>-0.782376766204834</v>
      </c>
      <c r="J167" s="3" t="n">
        <v>-0.8502875566482544</v>
      </c>
      <c r="K167" s="3" t="n">
        <v>-0.8502875566482544</v>
      </c>
      <c r="L167" s="3" t="n">
        <v>-0.782376766204834</v>
      </c>
      <c r="M167" s="3" t="n">
        <v>-0.782376766204834</v>
      </c>
      <c r="N167" s="3" t="n">
        <v>-0.782376766204834</v>
      </c>
      <c r="O167" s="3" t="n">
        <v>-0.782376766204834</v>
      </c>
      <c r="P167" s="3" t="n">
        <v>-0.782376766204834</v>
      </c>
      <c r="Q167" s="3" t="n">
        <v>-0.782376766204834</v>
      </c>
      <c r="R167" s="3" t="n">
        <v>-0.7702532410621643</v>
      </c>
      <c r="S167" s="3" t="n">
        <v>-0.9780166745185852</v>
      </c>
      <c r="T167" s="3" t="n">
        <v>-0.7080408334732056</v>
      </c>
      <c r="U167" s="3" t="n">
        <v>-0.8502875566482544</v>
      </c>
      <c r="V167" s="3" t="n">
        <v>-0.6766988039016724</v>
      </c>
      <c r="W167" s="3" t="n">
        <v>-0.5092822909355164</v>
      </c>
      <c r="X167" s="3" t="n">
        <v>-0.9748021960258484</v>
      </c>
      <c r="Y167" s="3" t="n">
        <v>-0.782376766204834</v>
      </c>
      <c r="Z167" s="3" t="n">
        <v>-0.9780166745185852</v>
      </c>
      <c r="AA167" s="3" t="n">
        <v>-0.9780166745185852</v>
      </c>
      <c r="AB167" s="3" t="n">
        <v>-0.9748021960258484</v>
      </c>
      <c r="AC167" s="3" t="n">
        <v>-1.055846095085144</v>
      </c>
      <c r="AD167" s="3" t="n">
        <v>-0.8502875566482544</v>
      </c>
      <c r="AE167" s="3" t="n">
        <v>-0.8502875566482544</v>
      </c>
    </row>
    <row r="168">
      <c r="A168" s="3" t="inlineStr">
        <is>
          <t>BEL.distn.bkt.ove.mean.9999</t>
        </is>
      </c>
      <c r="B168" s="3" t="inlineStr">
        <is>
          <t>BEL</t>
        </is>
      </c>
      <c r="C168" s="3" t="n">
        <v>2005</v>
      </c>
      <c r="D168" s="3" t="inlineStr">
        <is>
          <t>Overall</t>
        </is>
      </c>
      <c r="E168" s="3" t="inlineStr">
        <is>
          <t>Basket</t>
        </is>
      </c>
      <c r="F168" s="3" t="inlineStr">
        <is>
          <t>mean</t>
        </is>
      </c>
      <c r="G168" s="3" t="n">
        <v>9999</v>
      </c>
      <c r="H168" s="3" t="n">
        <v>-0.7839853167533875</v>
      </c>
      <c r="I168" s="3" t="n">
        <v>-0.7839853167533875</v>
      </c>
      <c r="J168" s="3" t="n">
        <v>-0.861603319644928</v>
      </c>
      <c r="K168" s="3" t="n">
        <v>-0.861603319644928</v>
      </c>
      <c r="L168" s="3" t="n">
        <v>-0.7839853167533875</v>
      </c>
      <c r="M168" s="3" t="n">
        <v>-0.7839853167533875</v>
      </c>
      <c r="N168" s="3" t="n">
        <v>-0.7839853167533875</v>
      </c>
      <c r="O168" s="3" t="n">
        <v>-0.7839853167533875</v>
      </c>
      <c r="P168" s="3" t="n">
        <v>-0.7839853167533875</v>
      </c>
      <c r="Q168" s="3" t="n">
        <v>-0.7839853167533875</v>
      </c>
      <c r="R168" s="3" t="n">
        <v>-0.7711172103881836</v>
      </c>
      <c r="S168" s="3" t="n">
        <v>-1.107807636260986</v>
      </c>
      <c r="T168" s="3" t="n">
        <v>-0.708448052406311</v>
      </c>
      <c r="U168" s="3" t="n">
        <v>-0.861603319644928</v>
      </c>
      <c r="V168" s="3" t="n">
        <v>-0.6782930493354797</v>
      </c>
      <c r="W168" s="3" t="n">
        <v>-0.5279895067214966</v>
      </c>
      <c r="X168" s="3" t="n">
        <v>-1.089476346969604</v>
      </c>
      <c r="Y168" s="3" t="n">
        <v>-0.7839853167533875</v>
      </c>
      <c r="Z168" s="3" t="n">
        <v>-1.107807636260986</v>
      </c>
      <c r="AA168" s="3" t="n">
        <v>-1.107807636260986</v>
      </c>
      <c r="AB168" s="3" t="n">
        <v>-1.089476346969604</v>
      </c>
      <c r="AC168" s="3" t="n">
        <v>-1.379841327667236</v>
      </c>
      <c r="AD168" s="3" t="n">
        <v>-0.861603319644928</v>
      </c>
      <c r="AE168" s="3" t="n">
        <v>-0.861603319644928</v>
      </c>
    </row>
    <row r="169">
      <c r="A169" s="3" t="inlineStr">
        <is>
          <t>BEN.distn.dec.ove.mean.1</t>
        </is>
      </c>
      <c r="B169" s="3" t="inlineStr">
        <is>
          <t>BEN</t>
        </is>
      </c>
      <c r="C169" s="3" t="n">
        <v>2005</v>
      </c>
      <c r="D169" s="3" t="inlineStr">
        <is>
          <t>Overall</t>
        </is>
      </c>
      <c r="E169" s="3" t="inlineStr">
        <is>
          <t>Deciles</t>
        </is>
      </c>
      <c r="F169" s="3" t="inlineStr">
        <is>
          <t>mean</t>
        </is>
      </c>
      <c r="G169" s="3" t="n">
        <v>1</v>
      </c>
      <c r="H169" s="3" t="n">
        <v>-0.7952967882156372</v>
      </c>
      <c r="I169" s="3" t="n">
        <v>-0.7952967882156372</v>
      </c>
      <c r="J169" s="3" t="n">
        <v>-0.9393923878669739</v>
      </c>
      <c r="K169" s="3" t="n">
        <v>-0.9393923878669739</v>
      </c>
      <c r="L169" s="3" t="n">
        <v>-0.7952967882156372</v>
      </c>
      <c r="M169" s="3" t="n">
        <v>-0.7952967882156372</v>
      </c>
      <c r="N169" s="3" t="n">
        <v>-0.7952967882156372</v>
      </c>
      <c r="O169" s="3" t="n">
        <v>-0.7952967882156372</v>
      </c>
      <c r="P169" s="3" t="n">
        <v>-0.7952967882156372</v>
      </c>
      <c r="Q169" s="3" t="n">
        <v>-0.7952967882156372</v>
      </c>
      <c r="R169" s="3" t="n">
        <v>-0.7774887681007385</v>
      </c>
      <c r="S169" s="3" t="n">
        <v>-1.917455196380615</v>
      </c>
      <c r="T169" s="3" t="n">
        <v>-0.7114566564559937</v>
      </c>
      <c r="U169" s="3" t="n">
        <v>-0.9393923878669739</v>
      </c>
      <c r="V169" s="3" t="n">
        <v>-0.6900166273117065</v>
      </c>
      <c r="W169" s="3" t="n">
        <v>-0.6939113140106201</v>
      </c>
      <c r="X169" s="3" t="n">
        <v>-1.830715298652649</v>
      </c>
      <c r="Y169" s="3" t="n">
        <v>-0.7952967882156372</v>
      </c>
      <c r="Z169" s="3" t="n">
        <v>-1.917455196380615</v>
      </c>
      <c r="AA169" s="3" t="n">
        <v>-1.917455196380615</v>
      </c>
      <c r="AB169" s="3" t="n">
        <v>-1.830715298652649</v>
      </c>
      <c r="AC169" s="3" t="n">
        <v>-4.273976802825928</v>
      </c>
      <c r="AD169" s="3" t="n">
        <v>-0.9393923878669739</v>
      </c>
      <c r="AE169" s="3" t="n">
        <v>-0.9393923878669739</v>
      </c>
    </row>
    <row r="170">
      <c r="A170" s="3" t="inlineStr">
        <is>
          <t>BEN.distn.dec.ove.mean.2</t>
        </is>
      </c>
      <c r="B170" s="3" t="inlineStr">
        <is>
          <t>BEN</t>
        </is>
      </c>
      <c r="C170" s="3" t="n">
        <v>2005</v>
      </c>
      <c r="D170" s="3" t="inlineStr">
        <is>
          <t>Overall</t>
        </is>
      </c>
      <c r="E170" s="3" t="inlineStr">
        <is>
          <t>Deciles</t>
        </is>
      </c>
      <c r="F170" s="3" t="inlineStr">
        <is>
          <t>mean</t>
        </is>
      </c>
      <c r="G170" s="3" t="n">
        <v>2</v>
      </c>
      <c r="H170" s="3" t="n">
        <v>-0.7952967882156372</v>
      </c>
      <c r="I170" s="3" t="n">
        <v>-0.7952967882156372</v>
      </c>
      <c r="J170" s="3" t="n">
        <v>-0.9393923878669739</v>
      </c>
      <c r="K170" s="3" t="n">
        <v>-0.9393923878669739</v>
      </c>
      <c r="L170" s="3" t="n">
        <v>-0.7952967882156372</v>
      </c>
      <c r="M170" s="3" t="n">
        <v>-0.7952967882156372</v>
      </c>
      <c r="N170" s="3" t="n">
        <v>-0.7952967882156372</v>
      </c>
      <c r="O170" s="3" t="n">
        <v>-0.7952967882156372</v>
      </c>
      <c r="P170" s="3" t="n">
        <v>-0.7952967882156372</v>
      </c>
      <c r="Q170" s="3" t="n">
        <v>-0.7952967882156372</v>
      </c>
      <c r="R170" s="3" t="n">
        <v>-0.7774887681007385</v>
      </c>
      <c r="S170" s="3" t="n">
        <v>-1.917455196380615</v>
      </c>
      <c r="T170" s="3" t="n">
        <v>-0.7114566564559937</v>
      </c>
      <c r="U170" s="3" t="n">
        <v>-0.9393923878669739</v>
      </c>
      <c r="V170" s="3" t="n">
        <v>-0.6900166273117065</v>
      </c>
      <c r="W170" s="3" t="n">
        <v>-0.6939113140106201</v>
      </c>
      <c r="X170" s="3" t="n">
        <v>-1.830715298652649</v>
      </c>
      <c r="Y170" s="3" t="n">
        <v>-0.7952967882156372</v>
      </c>
      <c r="Z170" s="3" t="n">
        <v>-1.917455196380615</v>
      </c>
      <c r="AA170" s="3" t="n">
        <v>-1.917455196380615</v>
      </c>
      <c r="AB170" s="3" t="n">
        <v>-1.830715298652649</v>
      </c>
      <c r="AC170" s="3" t="n">
        <v>-4.273976802825928</v>
      </c>
      <c r="AD170" s="3" t="n">
        <v>-0.9393923878669739</v>
      </c>
      <c r="AE170" s="3" t="n">
        <v>-0.9393923878669739</v>
      </c>
    </row>
    <row r="171">
      <c r="A171" s="3" t="inlineStr">
        <is>
          <t>BEN.distn.dec.ove.mean.3</t>
        </is>
      </c>
      <c r="B171" s="3" t="inlineStr">
        <is>
          <t>BEN</t>
        </is>
      </c>
      <c r="C171" s="3" t="n">
        <v>2005</v>
      </c>
      <c r="D171" s="3" t="inlineStr">
        <is>
          <t>Overall</t>
        </is>
      </c>
      <c r="E171" s="3" t="inlineStr">
        <is>
          <t>Deciles</t>
        </is>
      </c>
      <c r="F171" s="3" t="inlineStr">
        <is>
          <t>mean</t>
        </is>
      </c>
      <c r="G171" s="3" t="n">
        <v>3</v>
      </c>
      <c r="H171" s="3" t="n">
        <v>-0.7952967882156372</v>
      </c>
      <c r="I171" s="3" t="n">
        <v>-0.7952967882156372</v>
      </c>
      <c r="J171" s="3" t="n">
        <v>-0.9393923878669739</v>
      </c>
      <c r="K171" s="3" t="n">
        <v>-0.9393923878669739</v>
      </c>
      <c r="L171" s="3" t="n">
        <v>-0.7952967882156372</v>
      </c>
      <c r="M171" s="3" t="n">
        <v>-0.7952967882156372</v>
      </c>
      <c r="N171" s="3" t="n">
        <v>-0.7952967882156372</v>
      </c>
      <c r="O171" s="3" t="n">
        <v>-0.7952967882156372</v>
      </c>
      <c r="P171" s="3" t="n">
        <v>-0.7952967882156372</v>
      </c>
      <c r="Q171" s="3" t="n">
        <v>-0.7952967882156372</v>
      </c>
      <c r="R171" s="3" t="n">
        <v>-0.7774887681007385</v>
      </c>
      <c r="S171" s="3" t="n">
        <v>-1.917455196380615</v>
      </c>
      <c r="T171" s="3" t="n">
        <v>-0.7114566564559937</v>
      </c>
      <c r="U171" s="3" t="n">
        <v>-0.9393923878669739</v>
      </c>
      <c r="V171" s="3" t="n">
        <v>-0.6900166273117065</v>
      </c>
      <c r="W171" s="3" t="n">
        <v>-0.6939113140106201</v>
      </c>
      <c r="X171" s="3" t="n">
        <v>-1.830715298652649</v>
      </c>
      <c r="Y171" s="3" t="n">
        <v>-0.7952967882156372</v>
      </c>
      <c r="Z171" s="3" t="n">
        <v>-1.917455196380615</v>
      </c>
      <c r="AA171" s="3" t="n">
        <v>-1.917455196380615</v>
      </c>
      <c r="AB171" s="3" t="n">
        <v>-1.830715298652649</v>
      </c>
      <c r="AC171" s="3" t="n">
        <v>-4.273976802825928</v>
      </c>
      <c r="AD171" s="3" t="n">
        <v>-0.9393923878669739</v>
      </c>
      <c r="AE171" s="3" t="n">
        <v>-0.9393923878669739</v>
      </c>
    </row>
    <row r="172">
      <c r="A172" s="3" t="inlineStr">
        <is>
          <t>BEN.distn.dec.ove.mean.4</t>
        </is>
      </c>
      <c r="B172" s="3" t="inlineStr">
        <is>
          <t>BEN</t>
        </is>
      </c>
      <c r="C172" s="3" t="n">
        <v>2005</v>
      </c>
      <c r="D172" s="3" t="inlineStr">
        <is>
          <t>Overall</t>
        </is>
      </c>
      <c r="E172" s="3" t="inlineStr">
        <is>
          <t>Deciles</t>
        </is>
      </c>
      <c r="F172" s="3" t="inlineStr">
        <is>
          <t>mean</t>
        </is>
      </c>
      <c r="G172" s="3" t="n">
        <v>4</v>
      </c>
      <c r="H172" s="3" t="n">
        <v>-0.7889999747276306</v>
      </c>
      <c r="I172" s="3" t="n">
        <v>-0.7889999747276306</v>
      </c>
      <c r="J172" s="3" t="n">
        <v>-0.8939999938011169</v>
      </c>
      <c r="K172" s="3" t="n">
        <v>-0.8939999938011169</v>
      </c>
      <c r="L172" s="3" t="n">
        <v>-0.7889999747276306</v>
      </c>
      <c r="M172" s="3" t="n">
        <v>-0.7889999747276306</v>
      </c>
      <c r="N172" s="3" t="n">
        <v>-0.7889999747276306</v>
      </c>
      <c r="O172" s="3" t="n">
        <v>-0.7889999747276306</v>
      </c>
      <c r="P172" s="3" t="n">
        <v>-0.7889999747276306</v>
      </c>
      <c r="Q172" s="3" t="n">
        <v>-0.7889999747276306</v>
      </c>
      <c r="R172" s="3" t="n">
        <v>-0.7739999890327454</v>
      </c>
      <c r="S172" s="3" t="n">
        <v>-1.305999994277954</v>
      </c>
      <c r="T172" s="3" t="n">
        <v>-0.7099999785423279</v>
      </c>
      <c r="U172" s="3" t="n">
        <v>-0.8939999938011169</v>
      </c>
      <c r="V172" s="3" t="n">
        <v>-0.6830000281333923</v>
      </c>
      <c r="W172" s="3" t="n">
        <v>-0.5839999914169312</v>
      </c>
      <c r="X172" s="3" t="n">
        <v>-1.29200005531311</v>
      </c>
      <c r="Y172" s="3" t="n">
        <v>-0.7889999747276306</v>
      </c>
      <c r="Z172" s="3" t="n">
        <v>-1.305999994277954</v>
      </c>
      <c r="AA172" s="3" t="n">
        <v>-1.305999994277954</v>
      </c>
      <c r="AB172" s="3" t="n">
        <v>-1.29200005531311</v>
      </c>
      <c r="AC172" s="3" t="n">
        <v>-2.063999891281128</v>
      </c>
      <c r="AD172" s="3" t="n">
        <v>-0.8939999938011169</v>
      </c>
      <c r="AE172" s="3" t="n">
        <v>-0.8939999938011169</v>
      </c>
    </row>
    <row r="173">
      <c r="A173" s="3" t="inlineStr">
        <is>
          <t>BEN.distn.dec.ove.mean.5</t>
        </is>
      </c>
      <c r="B173" s="3" t="inlineStr">
        <is>
          <t>BEN</t>
        </is>
      </c>
      <c r="C173" s="3" t="n">
        <v>2005</v>
      </c>
      <c r="D173" s="3" t="inlineStr">
        <is>
          <t>Overall</t>
        </is>
      </c>
      <c r="E173" s="3" t="inlineStr">
        <is>
          <t>Deciles</t>
        </is>
      </c>
      <c r="F173" s="3" t="inlineStr">
        <is>
          <t>mean</t>
        </is>
      </c>
      <c r="G173" s="3" t="n">
        <v>5</v>
      </c>
      <c r="H173" s="3" t="n">
        <v>-0.7889999747276306</v>
      </c>
      <c r="I173" s="3" t="n">
        <v>-0.7889999747276306</v>
      </c>
      <c r="J173" s="3" t="n">
        <v>-0.8939999938011169</v>
      </c>
      <c r="K173" s="3" t="n">
        <v>-0.8939999938011169</v>
      </c>
      <c r="L173" s="3" t="n">
        <v>-0.7889999747276306</v>
      </c>
      <c r="M173" s="3" t="n">
        <v>-0.7889999747276306</v>
      </c>
      <c r="N173" s="3" t="n">
        <v>-0.7889999747276306</v>
      </c>
      <c r="O173" s="3" t="n">
        <v>-0.7889999747276306</v>
      </c>
      <c r="P173" s="3" t="n">
        <v>-0.7889999747276306</v>
      </c>
      <c r="Q173" s="3" t="n">
        <v>-0.7889999747276306</v>
      </c>
      <c r="R173" s="3" t="n">
        <v>-0.7739999890327454</v>
      </c>
      <c r="S173" s="3" t="n">
        <v>-1.305999994277954</v>
      </c>
      <c r="T173" s="3" t="n">
        <v>-0.7099999785423279</v>
      </c>
      <c r="U173" s="3" t="n">
        <v>-0.8939999938011169</v>
      </c>
      <c r="V173" s="3" t="n">
        <v>-0.6830000281333923</v>
      </c>
      <c r="W173" s="3" t="n">
        <v>-0.5839999914169312</v>
      </c>
      <c r="X173" s="3" t="n">
        <v>-1.29200005531311</v>
      </c>
      <c r="Y173" s="3" t="n">
        <v>-0.7889999747276306</v>
      </c>
      <c r="Z173" s="3" t="n">
        <v>-1.305999994277954</v>
      </c>
      <c r="AA173" s="3" t="n">
        <v>-1.305999994277954</v>
      </c>
      <c r="AB173" s="3" t="n">
        <v>-1.29200005531311</v>
      </c>
      <c r="AC173" s="3" t="n">
        <v>-2.063999891281128</v>
      </c>
      <c r="AD173" s="3" t="n">
        <v>-0.8939999938011169</v>
      </c>
      <c r="AE173" s="3" t="n">
        <v>-0.8939999938011169</v>
      </c>
    </row>
    <row r="174">
      <c r="A174" s="3" t="inlineStr">
        <is>
          <t>BEN.distn.dec.ove.mean.6</t>
        </is>
      </c>
      <c r="B174" s="3" t="inlineStr">
        <is>
          <t>BEN</t>
        </is>
      </c>
      <c r="C174" s="3" t="n">
        <v>2005</v>
      </c>
      <c r="D174" s="3" t="inlineStr">
        <is>
          <t>Overall</t>
        </is>
      </c>
      <c r="E174" s="3" t="inlineStr">
        <is>
          <t>Deciles</t>
        </is>
      </c>
      <c r="F174" s="3" t="inlineStr">
        <is>
          <t>mean</t>
        </is>
      </c>
      <c r="G174" s="3" t="n">
        <v>6</v>
      </c>
      <c r="H174" s="3" t="n">
        <v>-0.7889999747276306</v>
      </c>
      <c r="I174" s="3" t="n">
        <v>-0.7889999747276306</v>
      </c>
      <c r="J174" s="3" t="n">
        <v>-0.8939999938011169</v>
      </c>
      <c r="K174" s="3" t="n">
        <v>-0.8939999938011169</v>
      </c>
      <c r="L174" s="3" t="n">
        <v>-0.7889999747276306</v>
      </c>
      <c r="M174" s="3" t="n">
        <v>-0.7889999747276306</v>
      </c>
      <c r="N174" s="3" t="n">
        <v>-0.7889999747276306</v>
      </c>
      <c r="O174" s="3" t="n">
        <v>-0.7889999747276306</v>
      </c>
      <c r="P174" s="3" t="n">
        <v>-0.7889999747276306</v>
      </c>
      <c r="Q174" s="3" t="n">
        <v>-0.7889999747276306</v>
      </c>
      <c r="R174" s="3" t="n">
        <v>-0.7739999890327454</v>
      </c>
      <c r="S174" s="3" t="n">
        <v>-1.305999994277954</v>
      </c>
      <c r="T174" s="3" t="n">
        <v>-0.7099999785423279</v>
      </c>
      <c r="U174" s="3" t="n">
        <v>-0.8939999938011169</v>
      </c>
      <c r="V174" s="3" t="n">
        <v>-0.6830000281333923</v>
      </c>
      <c r="W174" s="3" t="n">
        <v>-0.5839999914169312</v>
      </c>
      <c r="X174" s="3" t="n">
        <v>-1.29200005531311</v>
      </c>
      <c r="Y174" s="3" t="n">
        <v>-0.7889999747276306</v>
      </c>
      <c r="Z174" s="3" t="n">
        <v>-1.305999994277954</v>
      </c>
      <c r="AA174" s="3" t="n">
        <v>-1.305999994277954</v>
      </c>
      <c r="AB174" s="3" t="n">
        <v>-1.29200005531311</v>
      </c>
      <c r="AC174" s="3" t="n">
        <v>-2.063999891281128</v>
      </c>
      <c r="AD174" s="3" t="n">
        <v>-0.8939999938011169</v>
      </c>
      <c r="AE174" s="3" t="n">
        <v>-0.8939999938011169</v>
      </c>
    </row>
    <row r="175">
      <c r="A175" s="3" t="inlineStr">
        <is>
          <t>BEN.distn.dec.ove.mean.7</t>
        </is>
      </c>
      <c r="B175" s="3" t="inlineStr">
        <is>
          <t>BEN</t>
        </is>
      </c>
      <c r="C175" s="3" t="n">
        <v>2005</v>
      </c>
      <c r="D175" s="3" t="inlineStr">
        <is>
          <t>Overall</t>
        </is>
      </c>
      <c r="E175" s="3" t="inlineStr">
        <is>
          <t>Deciles</t>
        </is>
      </c>
      <c r="F175" s="3" t="inlineStr">
        <is>
          <t>mean</t>
        </is>
      </c>
      <c r="G175" s="3" t="n">
        <v>7</v>
      </c>
      <c r="H175" s="3" t="n">
        <v>-0.7889999747276306</v>
      </c>
      <c r="I175" s="3" t="n">
        <v>-0.7889999747276306</v>
      </c>
      <c r="J175" s="3" t="n">
        <v>-0.8939999938011169</v>
      </c>
      <c r="K175" s="3" t="n">
        <v>-0.8939999938011169</v>
      </c>
      <c r="L175" s="3" t="n">
        <v>-0.7889999747276306</v>
      </c>
      <c r="M175" s="3" t="n">
        <v>-0.7889999747276306</v>
      </c>
      <c r="N175" s="3" t="n">
        <v>-0.7889999747276306</v>
      </c>
      <c r="O175" s="3" t="n">
        <v>-0.7889999747276306</v>
      </c>
      <c r="P175" s="3" t="n">
        <v>-0.7889999747276306</v>
      </c>
      <c r="Q175" s="3" t="n">
        <v>-0.7889999747276306</v>
      </c>
      <c r="R175" s="3" t="n">
        <v>-0.7739999890327454</v>
      </c>
      <c r="S175" s="3" t="n">
        <v>-1.305999994277954</v>
      </c>
      <c r="T175" s="3" t="n">
        <v>-0.7099999785423279</v>
      </c>
      <c r="U175" s="3" t="n">
        <v>-0.8939999938011169</v>
      </c>
      <c r="V175" s="3" t="n">
        <v>-0.6830000281333923</v>
      </c>
      <c r="W175" s="3" t="n">
        <v>-0.5839999914169312</v>
      </c>
      <c r="X175" s="3" t="n">
        <v>-1.29200005531311</v>
      </c>
      <c r="Y175" s="3" t="n">
        <v>-0.7889999747276306</v>
      </c>
      <c r="Z175" s="3" t="n">
        <v>-1.305999994277954</v>
      </c>
      <c r="AA175" s="3" t="n">
        <v>-1.305999994277954</v>
      </c>
      <c r="AB175" s="3" t="n">
        <v>-1.29200005531311</v>
      </c>
      <c r="AC175" s="3" t="n">
        <v>-2.063999891281128</v>
      </c>
      <c r="AD175" s="3" t="n">
        <v>-0.8939999938011169</v>
      </c>
      <c r="AE175" s="3" t="n">
        <v>-0.8939999938011169</v>
      </c>
    </row>
    <row r="176">
      <c r="A176" s="3" t="inlineStr">
        <is>
          <t>BEN.distn.dec.ove.mean.8</t>
        </is>
      </c>
      <c r="B176" s="3" t="inlineStr">
        <is>
          <t>BEN</t>
        </is>
      </c>
      <c r="C176" s="3" t="n">
        <v>2005</v>
      </c>
      <c r="D176" s="3" t="inlineStr">
        <is>
          <t>Overall</t>
        </is>
      </c>
      <c r="E176" s="3" t="inlineStr">
        <is>
          <t>Deciles</t>
        </is>
      </c>
      <c r="F176" s="3" t="inlineStr">
        <is>
          <t>mean</t>
        </is>
      </c>
      <c r="G176" s="3" t="n">
        <v>8</v>
      </c>
      <c r="H176" s="3" t="n">
        <v>-0.7893801331520081</v>
      </c>
      <c r="I176" s="3" t="n">
        <v>-0.7893801331520081</v>
      </c>
      <c r="J176" s="3" t="n">
        <v>-0.896411657333374</v>
      </c>
      <c r="K176" s="3" t="n">
        <v>-0.896411657333374</v>
      </c>
      <c r="L176" s="3" t="n">
        <v>-0.7893801331520081</v>
      </c>
      <c r="M176" s="3" t="n">
        <v>-0.7893801331520081</v>
      </c>
      <c r="N176" s="3" t="n">
        <v>-0.7893801331520081</v>
      </c>
      <c r="O176" s="3" t="n">
        <v>-0.7893801331520081</v>
      </c>
      <c r="P176" s="3" t="n">
        <v>-0.7893801331520081</v>
      </c>
      <c r="Q176" s="3" t="n">
        <v>-0.7893801331520081</v>
      </c>
      <c r="R176" s="3" t="n">
        <v>-0.7742545604705811</v>
      </c>
      <c r="S176" s="3" t="n">
        <v>-1.31815242767334</v>
      </c>
      <c r="T176" s="3" t="n">
        <v>-0.7100409269332886</v>
      </c>
      <c r="U176" s="3" t="n">
        <v>-0.896411657333374</v>
      </c>
      <c r="V176" s="3" t="n">
        <v>-0.6837060451507568</v>
      </c>
      <c r="W176" s="3" t="n">
        <v>-0.599638819694519</v>
      </c>
      <c r="X176" s="3" t="n">
        <v>-1.303772687911987</v>
      </c>
      <c r="Y176" s="3" t="n">
        <v>-0.7893801331520081</v>
      </c>
      <c r="Z176" s="3" t="n">
        <v>-1.31815242767334</v>
      </c>
      <c r="AA176" s="3" t="n">
        <v>-1.31815242767334</v>
      </c>
      <c r="AB176" s="3" t="n">
        <v>-1.303772687911987</v>
      </c>
      <c r="AC176" s="3" t="n">
        <v>-2.093435287475586</v>
      </c>
      <c r="AD176" s="3" t="n">
        <v>-0.896411657333374</v>
      </c>
      <c r="AE176" s="3" t="n">
        <v>-0.896411657333374</v>
      </c>
    </row>
    <row r="177">
      <c r="A177" s="3" t="inlineStr">
        <is>
          <t>BEN.distn.dec.ove.mean.9</t>
        </is>
      </c>
      <c r="B177" s="3" t="inlineStr">
        <is>
          <t>BEN</t>
        </is>
      </c>
      <c r="C177" s="3" t="n">
        <v>2005</v>
      </c>
      <c r="D177" s="3" t="inlineStr">
        <is>
          <t>Overall</t>
        </is>
      </c>
      <c r="E177" s="3" t="inlineStr">
        <is>
          <t>Deciles</t>
        </is>
      </c>
      <c r="F177" s="3" t="inlineStr">
        <is>
          <t>mean</t>
        </is>
      </c>
      <c r="G177" s="3" t="n">
        <v>9</v>
      </c>
      <c r="H177" s="3" t="n">
        <v>-0.7893801331520081</v>
      </c>
      <c r="I177" s="3" t="n">
        <v>-0.7893801331520081</v>
      </c>
      <c r="J177" s="3" t="n">
        <v>-0.896411657333374</v>
      </c>
      <c r="K177" s="3" t="n">
        <v>-0.896411657333374</v>
      </c>
      <c r="L177" s="3" t="n">
        <v>-0.7893801331520081</v>
      </c>
      <c r="M177" s="3" t="n">
        <v>-0.7893801331520081</v>
      </c>
      <c r="N177" s="3" t="n">
        <v>-0.7893801331520081</v>
      </c>
      <c r="O177" s="3" t="n">
        <v>-0.7893801331520081</v>
      </c>
      <c r="P177" s="3" t="n">
        <v>-0.7893801331520081</v>
      </c>
      <c r="Q177" s="3" t="n">
        <v>-0.7893801331520081</v>
      </c>
      <c r="R177" s="3" t="n">
        <v>-0.7742545604705811</v>
      </c>
      <c r="S177" s="3" t="n">
        <v>-1.31815242767334</v>
      </c>
      <c r="T177" s="3" t="n">
        <v>-0.7100409269332886</v>
      </c>
      <c r="U177" s="3" t="n">
        <v>-0.896411657333374</v>
      </c>
      <c r="V177" s="3" t="n">
        <v>-0.6837060451507568</v>
      </c>
      <c r="W177" s="3" t="n">
        <v>-0.599638819694519</v>
      </c>
      <c r="X177" s="3" t="n">
        <v>-1.303772687911987</v>
      </c>
      <c r="Y177" s="3" t="n">
        <v>-0.7893801331520081</v>
      </c>
      <c r="Z177" s="3" t="n">
        <v>-1.31815242767334</v>
      </c>
      <c r="AA177" s="3" t="n">
        <v>-1.31815242767334</v>
      </c>
      <c r="AB177" s="3" t="n">
        <v>-1.303772687911987</v>
      </c>
      <c r="AC177" s="3" t="n">
        <v>-2.093435287475586</v>
      </c>
      <c r="AD177" s="3" t="n">
        <v>-0.896411657333374</v>
      </c>
      <c r="AE177" s="3" t="n">
        <v>-0.896411657333374</v>
      </c>
    </row>
    <row r="178">
      <c r="A178" s="3" t="inlineStr">
        <is>
          <t>BEN.distn.dec.ove.mean.10</t>
        </is>
      </c>
      <c r="B178" s="3" t="inlineStr">
        <is>
          <t>BEN</t>
        </is>
      </c>
      <c r="C178" s="3" t="n">
        <v>2005</v>
      </c>
      <c r="D178" s="3" t="inlineStr">
        <is>
          <t>Overall</t>
        </is>
      </c>
      <c r="E178" s="3" t="inlineStr">
        <is>
          <t>Deciles</t>
        </is>
      </c>
      <c r="F178" s="3" t="inlineStr">
        <is>
          <t>mean</t>
        </is>
      </c>
      <c r="G178" s="3" t="n">
        <v>10</v>
      </c>
      <c r="H178" s="3" t="n">
        <v>-0.7893801331520081</v>
      </c>
      <c r="I178" s="3" t="n">
        <v>-0.7893801331520081</v>
      </c>
      <c r="J178" s="3" t="n">
        <v>-0.896411657333374</v>
      </c>
      <c r="K178" s="3" t="n">
        <v>-0.896411657333374</v>
      </c>
      <c r="L178" s="3" t="n">
        <v>-0.7893801331520081</v>
      </c>
      <c r="M178" s="3" t="n">
        <v>-0.7893801331520081</v>
      </c>
      <c r="N178" s="3" t="n">
        <v>-0.7893801331520081</v>
      </c>
      <c r="O178" s="3" t="n">
        <v>-0.7893801331520081</v>
      </c>
      <c r="P178" s="3" t="n">
        <v>-0.7893801331520081</v>
      </c>
      <c r="Q178" s="3" t="n">
        <v>-0.7893801331520081</v>
      </c>
      <c r="R178" s="3" t="n">
        <v>-0.7742545604705811</v>
      </c>
      <c r="S178" s="3" t="n">
        <v>-1.31815242767334</v>
      </c>
      <c r="T178" s="3" t="n">
        <v>-0.7100409269332886</v>
      </c>
      <c r="U178" s="3" t="n">
        <v>-0.896411657333374</v>
      </c>
      <c r="V178" s="3" t="n">
        <v>-0.6837060451507568</v>
      </c>
      <c r="W178" s="3" t="n">
        <v>-0.599638819694519</v>
      </c>
      <c r="X178" s="3" t="n">
        <v>-1.303772687911987</v>
      </c>
      <c r="Y178" s="3" t="n">
        <v>-0.7893801331520081</v>
      </c>
      <c r="Z178" s="3" t="n">
        <v>-1.31815242767334</v>
      </c>
      <c r="AA178" s="3" t="n">
        <v>-1.31815242767334</v>
      </c>
      <c r="AB178" s="3" t="n">
        <v>-1.303772687911987</v>
      </c>
      <c r="AC178" s="3" t="n">
        <v>-2.093435287475586</v>
      </c>
      <c r="AD178" s="3" t="n">
        <v>-0.896411657333374</v>
      </c>
      <c r="AE178" s="3" t="n">
        <v>-0.896411657333374</v>
      </c>
    </row>
    <row r="179">
      <c r="A179" s="3" t="inlineStr">
        <is>
          <t>BEN.distn.bkt.ove.mean.9999</t>
        </is>
      </c>
      <c r="B179" s="3" t="inlineStr">
        <is>
          <t>BEN</t>
        </is>
      </c>
      <c r="C179" s="3" t="n">
        <v>2005</v>
      </c>
      <c r="D179" s="3" t="inlineStr">
        <is>
          <t>Overall</t>
        </is>
      </c>
      <c r="E179" s="3" t="inlineStr">
        <is>
          <t>Basket</t>
        </is>
      </c>
      <c r="F179" s="3" t="inlineStr">
        <is>
          <t>mean</t>
        </is>
      </c>
      <c r="G179" s="3" t="n">
        <v>9999</v>
      </c>
      <c r="H179" s="3" t="n">
        <v>-0.7910030484199524</v>
      </c>
      <c r="I179" s="3" t="n">
        <v>-0.7910030484199524</v>
      </c>
      <c r="J179" s="3" t="n">
        <v>-0.9083412289619446</v>
      </c>
      <c r="K179" s="3" t="n">
        <v>-0.9083412289619446</v>
      </c>
      <c r="L179" s="3" t="n">
        <v>-0.7910030484199524</v>
      </c>
      <c r="M179" s="3" t="n">
        <v>-0.7910030484199524</v>
      </c>
      <c r="N179" s="3" t="n">
        <v>-0.7910030484199524</v>
      </c>
      <c r="O179" s="3" t="n">
        <v>-0.7910030484199524</v>
      </c>
      <c r="P179" s="3" t="n">
        <v>-0.7910030484199524</v>
      </c>
      <c r="Q179" s="3" t="n">
        <v>-0.7910030484199524</v>
      </c>
      <c r="R179" s="3" t="n">
        <v>-0.7751230001449585</v>
      </c>
      <c r="S179" s="3" t="n">
        <v>-1.493082284927368</v>
      </c>
      <c r="T179" s="3" t="n">
        <v>-0.7104492783546448</v>
      </c>
      <c r="U179" s="3" t="n">
        <v>-0.9083412289619446</v>
      </c>
      <c r="V179" s="3" t="n">
        <v>-0.685316801071167</v>
      </c>
      <c r="W179" s="3" t="n">
        <v>-0.6216650605201721</v>
      </c>
      <c r="X179" s="3" t="n">
        <v>-1.457146406173706</v>
      </c>
      <c r="Y179" s="3" t="n">
        <v>-0.7910030484199524</v>
      </c>
      <c r="Z179" s="3" t="n">
        <v>-1.493082284927368</v>
      </c>
      <c r="AA179" s="3" t="n">
        <v>-1.493082284927368</v>
      </c>
      <c r="AB179" s="3" t="n">
        <v>-1.457146406173706</v>
      </c>
      <c r="AC179" s="3" t="n">
        <v>-2.735823631286621</v>
      </c>
      <c r="AD179" s="3" t="n">
        <v>-0.9083412289619446</v>
      </c>
      <c r="AE179" s="3" t="n">
        <v>-0.9083412289619446</v>
      </c>
    </row>
    <row r="180">
      <c r="A180" s="3" t="inlineStr">
        <is>
          <t>BFA.distn.dec.ove.mean.1</t>
        </is>
      </c>
      <c r="B180" s="3" t="inlineStr">
        <is>
          <t>BFA</t>
        </is>
      </c>
      <c r="C180" s="3" t="n">
        <v>2005</v>
      </c>
      <c r="D180" s="3" t="inlineStr">
        <is>
          <t>Overall</t>
        </is>
      </c>
      <c r="E180" s="3" t="inlineStr">
        <is>
          <t>Deciles</t>
        </is>
      </c>
      <c r="F180" s="3" t="inlineStr">
        <is>
          <t>mean</t>
        </is>
      </c>
      <c r="G180" s="3" t="n">
        <v>1</v>
      </c>
      <c r="H180" s="3" t="n">
        <v>-0.7963047623634338</v>
      </c>
      <c r="I180" s="3" t="n">
        <v>-0.7963047623634338</v>
      </c>
      <c r="J180" s="3" t="n">
        <v>-0.9509509205818176</v>
      </c>
      <c r="K180" s="3" t="n">
        <v>-0.9509509205818176</v>
      </c>
      <c r="L180" s="3" t="n">
        <v>-0.7963047623634338</v>
      </c>
      <c r="M180" s="3" t="n">
        <v>-0.7963047623634338</v>
      </c>
      <c r="N180" s="3" t="n">
        <v>-0.7963047623634338</v>
      </c>
      <c r="O180" s="3" t="n">
        <v>-0.7963047623634338</v>
      </c>
      <c r="P180" s="3" t="n">
        <v>-0.7963047623634338</v>
      </c>
      <c r="Q180" s="3" t="n">
        <v>-0.7963047623634338</v>
      </c>
      <c r="R180" s="3" t="n">
        <v>-0.7784932851791382</v>
      </c>
      <c r="S180" s="3" t="n">
        <v>-2.175856590270996</v>
      </c>
      <c r="T180" s="3" t="n">
        <v>-0.7114566564559937</v>
      </c>
      <c r="U180" s="3" t="n">
        <v>-0.9509509205818176</v>
      </c>
      <c r="V180" s="3" t="n">
        <v>-0.6910269260406494</v>
      </c>
      <c r="W180" s="3" t="n">
        <v>-0.7046051621437073</v>
      </c>
      <c r="X180" s="3" t="n">
        <v>-2.06451416015625</v>
      </c>
      <c r="Y180" s="3" t="n">
        <v>-0.7963047623634338</v>
      </c>
      <c r="Z180" s="3" t="n">
        <v>-2.175856590270996</v>
      </c>
      <c r="AA180" s="3" t="n">
        <v>-2.175856590270996</v>
      </c>
      <c r="AB180" s="3" t="n">
        <v>-2.06451416015625</v>
      </c>
      <c r="AC180" s="3" t="n">
        <v>-7.574713230133057</v>
      </c>
      <c r="AD180" s="3" t="n">
        <v>-0.9509509205818176</v>
      </c>
      <c r="AE180" s="3" t="n">
        <v>-0.9509509205818176</v>
      </c>
    </row>
    <row r="181">
      <c r="A181" s="3" t="inlineStr">
        <is>
          <t>BFA.distn.dec.ove.mean.2</t>
        </is>
      </c>
      <c r="B181" s="3" t="inlineStr">
        <is>
          <t>BFA</t>
        </is>
      </c>
      <c r="C181" s="3" t="n">
        <v>2005</v>
      </c>
      <c r="D181" s="3" t="inlineStr">
        <is>
          <t>Overall</t>
        </is>
      </c>
      <c r="E181" s="3" t="inlineStr">
        <is>
          <t>Deciles</t>
        </is>
      </c>
      <c r="F181" s="3" t="inlineStr">
        <is>
          <t>mean</t>
        </is>
      </c>
      <c r="G181" s="3" t="n">
        <v>2</v>
      </c>
      <c r="H181" s="3" t="n">
        <v>-0.7963047623634338</v>
      </c>
      <c r="I181" s="3" t="n">
        <v>-0.7963047623634338</v>
      </c>
      <c r="J181" s="3" t="n">
        <v>-0.9509509205818176</v>
      </c>
      <c r="K181" s="3" t="n">
        <v>-0.9509509205818176</v>
      </c>
      <c r="L181" s="3" t="n">
        <v>-0.7963047623634338</v>
      </c>
      <c r="M181" s="3" t="n">
        <v>-0.7963047623634338</v>
      </c>
      <c r="N181" s="3" t="n">
        <v>-0.7963047623634338</v>
      </c>
      <c r="O181" s="3" t="n">
        <v>-0.7963047623634338</v>
      </c>
      <c r="P181" s="3" t="n">
        <v>-0.7963047623634338</v>
      </c>
      <c r="Q181" s="3" t="n">
        <v>-0.7963047623634338</v>
      </c>
      <c r="R181" s="3" t="n">
        <v>-0.7784932851791382</v>
      </c>
      <c r="S181" s="3" t="n">
        <v>-2.175856590270996</v>
      </c>
      <c r="T181" s="3" t="n">
        <v>-0.7114566564559937</v>
      </c>
      <c r="U181" s="3" t="n">
        <v>-0.9509509205818176</v>
      </c>
      <c r="V181" s="3" t="n">
        <v>-0.6910269260406494</v>
      </c>
      <c r="W181" s="3" t="n">
        <v>-0.7046051621437073</v>
      </c>
      <c r="X181" s="3" t="n">
        <v>-2.06451416015625</v>
      </c>
      <c r="Y181" s="3" t="n">
        <v>-0.7963047623634338</v>
      </c>
      <c r="Z181" s="3" t="n">
        <v>-2.175856590270996</v>
      </c>
      <c r="AA181" s="3" t="n">
        <v>-2.175856590270996</v>
      </c>
      <c r="AB181" s="3" t="n">
        <v>-2.06451416015625</v>
      </c>
      <c r="AC181" s="3" t="n">
        <v>-7.574713230133057</v>
      </c>
      <c r="AD181" s="3" t="n">
        <v>-0.9509509205818176</v>
      </c>
      <c r="AE181" s="3" t="n">
        <v>-0.9509509205818176</v>
      </c>
    </row>
    <row r="182">
      <c r="A182" s="3" t="inlineStr">
        <is>
          <t>BFA.distn.dec.ove.mean.3</t>
        </is>
      </c>
      <c r="B182" s="3" t="inlineStr">
        <is>
          <t>BFA</t>
        </is>
      </c>
      <c r="C182" s="3" t="n">
        <v>2005</v>
      </c>
      <c r="D182" s="3" t="inlineStr">
        <is>
          <t>Overall</t>
        </is>
      </c>
      <c r="E182" s="3" t="inlineStr">
        <is>
          <t>Deciles</t>
        </is>
      </c>
      <c r="F182" s="3" t="inlineStr">
        <is>
          <t>mean</t>
        </is>
      </c>
      <c r="G182" s="3" t="n">
        <v>3</v>
      </c>
      <c r="H182" s="3" t="n">
        <v>-0.7963047623634338</v>
      </c>
      <c r="I182" s="3" t="n">
        <v>-0.7963047623634338</v>
      </c>
      <c r="J182" s="3" t="n">
        <v>-0.9509509205818176</v>
      </c>
      <c r="K182" s="3" t="n">
        <v>-0.9509509205818176</v>
      </c>
      <c r="L182" s="3" t="n">
        <v>-0.7963047623634338</v>
      </c>
      <c r="M182" s="3" t="n">
        <v>-0.7963047623634338</v>
      </c>
      <c r="N182" s="3" t="n">
        <v>-0.7963047623634338</v>
      </c>
      <c r="O182" s="3" t="n">
        <v>-0.7963047623634338</v>
      </c>
      <c r="P182" s="3" t="n">
        <v>-0.7963047623634338</v>
      </c>
      <c r="Q182" s="3" t="n">
        <v>-0.7963047623634338</v>
      </c>
      <c r="R182" s="3" t="n">
        <v>-0.7784932851791382</v>
      </c>
      <c r="S182" s="3" t="n">
        <v>-2.175856590270996</v>
      </c>
      <c r="T182" s="3" t="n">
        <v>-0.7114566564559937</v>
      </c>
      <c r="U182" s="3" t="n">
        <v>-0.9509509205818176</v>
      </c>
      <c r="V182" s="3" t="n">
        <v>-0.6910269260406494</v>
      </c>
      <c r="W182" s="3" t="n">
        <v>-0.7046051621437073</v>
      </c>
      <c r="X182" s="3" t="n">
        <v>-2.06451416015625</v>
      </c>
      <c r="Y182" s="3" t="n">
        <v>-0.7963047623634338</v>
      </c>
      <c r="Z182" s="3" t="n">
        <v>-2.175856590270996</v>
      </c>
      <c r="AA182" s="3" t="n">
        <v>-2.175856590270996</v>
      </c>
      <c r="AB182" s="3" t="n">
        <v>-2.06451416015625</v>
      </c>
      <c r="AC182" s="3" t="n">
        <v>-7.574713230133057</v>
      </c>
      <c r="AD182" s="3" t="n">
        <v>-0.9509509205818176</v>
      </c>
      <c r="AE182" s="3" t="n">
        <v>-0.9509509205818176</v>
      </c>
    </row>
    <row r="183">
      <c r="A183" s="3" t="inlineStr">
        <is>
          <t>BFA.distn.dec.ove.mean.4</t>
        </is>
      </c>
      <c r="B183" s="3" t="inlineStr">
        <is>
          <t>BFA</t>
        </is>
      </c>
      <c r="C183" s="3" t="n">
        <v>2005</v>
      </c>
      <c r="D183" s="3" t="inlineStr">
        <is>
          <t>Overall</t>
        </is>
      </c>
      <c r="E183" s="3" t="inlineStr">
        <is>
          <t>Deciles</t>
        </is>
      </c>
      <c r="F183" s="3" t="inlineStr">
        <is>
          <t>mean</t>
        </is>
      </c>
      <c r="G183" s="3" t="n">
        <v>4</v>
      </c>
      <c r="H183" s="3" t="n">
        <v>-0.7900000214576721</v>
      </c>
      <c r="I183" s="3" t="n">
        <v>-0.7900000214576721</v>
      </c>
      <c r="J183" s="3" t="n">
        <v>-0.9049999713897705</v>
      </c>
      <c r="K183" s="3" t="n">
        <v>-0.9049999713897705</v>
      </c>
      <c r="L183" s="3" t="n">
        <v>-0.7900000214576721</v>
      </c>
      <c r="M183" s="3" t="n">
        <v>-0.7900000214576721</v>
      </c>
      <c r="N183" s="3" t="n">
        <v>-0.7900000214576721</v>
      </c>
      <c r="O183" s="3" t="n">
        <v>-0.7900000214576721</v>
      </c>
      <c r="P183" s="3" t="n">
        <v>-0.7900000214576721</v>
      </c>
      <c r="Q183" s="3" t="n">
        <v>-0.7900000214576721</v>
      </c>
      <c r="R183" s="3" t="n">
        <v>-0.7749999761581421</v>
      </c>
      <c r="S183" s="3" t="n">
        <v>-1.48199999332428</v>
      </c>
      <c r="T183" s="3" t="n">
        <v>-0.7099999785423279</v>
      </c>
      <c r="U183" s="3" t="n">
        <v>-0.9049999713897705</v>
      </c>
      <c r="V183" s="3" t="n">
        <v>-0.6840000152587891</v>
      </c>
      <c r="W183" s="3" t="n">
        <v>-0.5929999947547913</v>
      </c>
      <c r="X183" s="3" t="n">
        <v>-1.457000017166138</v>
      </c>
      <c r="Y183" s="3" t="n">
        <v>-0.7900000214576721</v>
      </c>
      <c r="Z183" s="3" t="n">
        <v>-1.48199999332428</v>
      </c>
      <c r="AA183" s="3" t="n">
        <v>-1.48199999332428</v>
      </c>
      <c r="AB183" s="3" t="n">
        <v>-1.457000017166138</v>
      </c>
      <c r="AC183" s="3" t="n">
        <v>-3.657999992370605</v>
      </c>
      <c r="AD183" s="3" t="n">
        <v>-0.9049999713897705</v>
      </c>
      <c r="AE183" s="3" t="n">
        <v>-0.9049999713897705</v>
      </c>
    </row>
    <row r="184">
      <c r="A184" s="3" t="inlineStr">
        <is>
          <t>BFA.distn.dec.ove.mean.5</t>
        </is>
      </c>
      <c r="B184" s="3" t="inlineStr">
        <is>
          <t>BFA</t>
        </is>
      </c>
      <c r="C184" s="3" t="n">
        <v>2005</v>
      </c>
      <c r="D184" s="3" t="inlineStr">
        <is>
          <t>Overall</t>
        </is>
      </c>
      <c r="E184" s="3" t="inlineStr">
        <is>
          <t>Deciles</t>
        </is>
      </c>
      <c r="F184" s="3" t="inlineStr">
        <is>
          <t>mean</t>
        </is>
      </c>
      <c r="G184" s="3" t="n">
        <v>5</v>
      </c>
      <c r="H184" s="3" t="n">
        <v>-0.7900000214576721</v>
      </c>
      <c r="I184" s="3" t="n">
        <v>-0.7900000214576721</v>
      </c>
      <c r="J184" s="3" t="n">
        <v>-0.9049999713897705</v>
      </c>
      <c r="K184" s="3" t="n">
        <v>-0.9049999713897705</v>
      </c>
      <c r="L184" s="3" t="n">
        <v>-0.7900000214576721</v>
      </c>
      <c r="M184" s="3" t="n">
        <v>-0.7900000214576721</v>
      </c>
      <c r="N184" s="3" t="n">
        <v>-0.7900000214576721</v>
      </c>
      <c r="O184" s="3" t="n">
        <v>-0.7900000214576721</v>
      </c>
      <c r="P184" s="3" t="n">
        <v>-0.7900000214576721</v>
      </c>
      <c r="Q184" s="3" t="n">
        <v>-0.7900000214576721</v>
      </c>
      <c r="R184" s="3" t="n">
        <v>-0.7749999761581421</v>
      </c>
      <c r="S184" s="3" t="n">
        <v>-1.48199999332428</v>
      </c>
      <c r="T184" s="3" t="n">
        <v>-0.7099999785423279</v>
      </c>
      <c r="U184" s="3" t="n">
        <v>-0.9049999713897705</v>
      </c>
      <c r="V184" s="3" t="n">
        <v>-0.6840000152587891</v>
      </c>
      <c r="W184" s="3" t="n">
        <v>-0.5929999947547913</v>
      </c>
      <c r="X184" s="3" t="n">
        <v>-1.457000017166138</v>
      </c>
      <c r="Y184" s="3" t="n">
        <v>-0.7900000214576721</v>
      </c>
      <c r="Z184" s="3" t="n">
        <v>-1.48199999332428</v>
      </c>
      <c r="AA184" s="3" t="n">
        <v>-1.48199999332428</v>
      </c>
      <c r="AB184" s="3" t="n">
        <v>-1.457000017166138</v>
      </c>
      <c r="AC184" s="3" t="n">
        <v>-3.657999992370605</v>
      </c>
      <c r="AD184" s="3" t="n">
        <v>-0.9049999713897705</v>
      </c>
      <c r="AE184" s="3" t="n">
        <v>-0.9049999713897705</v>
      </c>
    </row>
    <row r="185">
      <c r="A185" s="3" t="inlineStr">
        <is>
          <t>BFA.distn.dec.ove.mean.6</t>
        </is>
      </c>
      <c r="B185" s="3" t="inlineStr">
        <is>
          <t>BFA</t>
        </is>
      </c>
      <c r="C185" s="3" t="n">
        <v>2005</v>
      </c>
      <c r="D185" s="3" t="inlineStr">
        <is>
          <t>Overall</t>
        </is>
      </c>
      <c r="E185" s="3" t="inlineStr">
        <is>
          <t>Deciles</t>
        </is>
      </c>
      <c r="F185" s="3" t="inlineStr">
        <is>
          <t>mean</t>
        </is>
      </c>
      <c r="G185" s="3" t="n">
        <v>6</v>
      </c>
      <c r="H185" s="3" t="n">
        <v>-0.7900000214576721</v>
      </c>
      <c r="I185" s="3" t="n">
        <v>-0.7900000214576721</v>
      </c>
      <c r="J185" s="3" t="n">
        <v>-0.9049999713897705</v>
      </c>
      <c r="K185" s="3" t="n">
        <v>-0.9049999713897705</v>
      </c>
      <c r="L185" s="3" t="n">
        <v>-0.7900000214576721</v>
      </c>
      <c r="M185" s="3" t="n">
        <v>-0.7900000214576721</v>
      </c>
      <c r="N185" s="3" t="n">
        <v>-0.7900000214576721</v>
      </c>
      <c r="O185" s="3" t="n">
        <v>-0.7900000214576721</v>
      </c>
      <c r="P185" s="3" t="n">
        <v>-0.7900000214576721</v>
      </c>
      <c r="Q185" s="3" t="n">
        <v>-0.7900000214576721</v>
      </c>
      <c r="R185" s="3" t="n">
        <v>-0.7749999761581421</v>
      </c>
      <c r="S185" s="3" t="n">
        <v>-1.48199999332428</v>
      </c>
      <c r="T185" s="3" t="n">
        <v>-0.7099999785423279</v>
      </c>
      <c r="U185" s="3" t="n">
        <v>-0.9049999713897705</v>
      </c>
      <c r="V185" s="3" t="n">
        <v>-0.6840000152587891</v>
      </c>
      <c r="W185" s="3" t="n">
        <v>-0.5929999947547913</v>
      </c>
      <c r="X185" s="3" t="n">
        <v>-1.457000017166138</v>
      </c>
      <c r="Y185" s="3" t="n">
        <v>-0.7900000214576721</v>
      </c>
      <c r="Z185" s="3" t="n">
        <v>-1.48199999332428</v>
      </c>
      <c r="AA185" s="3" t="n">
        <v>-1.48199999332428</v>
      </c>
      <c r="AB185" s="3" t="n">
        <v>-1.457000017166138</v>
      </c>
      <c r="AC185" s="3" t="n">
        <v>-3.657999992370605</v>
      </c>
      <c r="AD185" s="3" t="n">
        <v>-0.9049999713897705</v>
      </c>
      <c r="AE185" s="3" t="n">
        <v>-0.9049999713897705</v>
      </c>
    </row>
    <row r="186">
      <c r="A186" s="3" t="inlineStr">
        <is>
          <t>BFA.distn.dec.ove.mean.7</t>
        </is>
      </c>
      <c r="B186" s="3" t="inlineStr">
        <is>
          <t>BFA</t>
        </is>
      </c>
      <c r="C186" s="3" t="n">
        <v>2005</v>
      </c>
      <c r="D186" s="3" t="inlineStr">
        <is>
          <t>Overall</t>
        </is>
      </c>
      <c r="E186" s="3" t="inlineStr">
        <is>
          <t>Deciles</t>
        </is>
      </c>
      <c r="F186" s="3" t="inlineStr">
        <is>
          <t>mean</t>
        </is>
      </c>
      <c r="G186" s="3" t="n">
        <v>7</v>
      </c>
      <c r="H186" s="3" t="n">
        <v>-0.7900000214576721</v>
      </c>
      <c r="I186" s="3" t="n">
        <v>-0.7900000214576721</v>
      </c>
      <c r="J186" s="3" t="n">
        <v>-0.9049999713897705</v>
      </c>
      <c r="K186" s="3" t="n">
        <v>-0.9049999713897705</v>
      </c>
      <c r="L186" s="3" t="n">
        <v>-0.7900000214576721</v>
      </c>
      <c r="M186" s="3" t="n">
        <v>-0.7900000214576721</v>
      </c>
      <c r="N186" s="3" t="n">
        <v>-0.7900000214576721</v>
      </c>
      <c r="O186" s="3" t="n">
        <v>-0.7900000214576721</v>
      </c>
      <c r="P186" s="3" t="n">
        <v>-0.7900000214576721</v>
      </c>
      <c r="Q186" s="3" t="n">
        <v>-0.7900000214576721</v>
      </c>
      <c r="R186" s="3" t="n">
        <v>-0.7749999761581421</v>
      </c>
      <c r="S186" s="3" t="n">
        <v>-1.48199999332428</v>
      </c>
      <c r="T186" s="3" t="n">
        <v>-0.7099999785423279</v>
      </c>
      <c r="U186" s="3" t="n">
        <v>-0.9049999713897705</v>
      </c>
      <c r="V186" s="3" t="n">
        <v>-0.6840000152587891</v>
      </c>
      <c r="W186" s="3" t="n">
        <v>-0.5929999947547913</v>
      </c>
      <c r="X186" s="3" t="n">
        <v>-1.457000017166138</v>
      </c>
      <c r="Y186" s="3" t="n">
        <v>-0.7900000214576721</v>
      </c>
      <c r="Z186" s="3" t="n">
        <v>-1.48199999332428</v>
      </c>
      <c r="AA186" s="3" t="n">
        <v>-1.48199999332428</v>
      </c>
      <c r="AB186" s="3" t="n">
        <v>-1.457000017166138</v>
      </c>
      <c r="AC186" s="3" t="n">
        <v>-3.657999992370605</v>
      </c>
      <c r="AD186" s="3" t="n">
        <v>-0.9049999713897705</v>
      </c>
      <c r="AE186" s="3" t="n">
        <v>-0.9049999713897705</v>
      </c>
    </row>
    <row r="187">
      <c r="A187" s="3" t="inlineStr">
        <is>
          <t>BFA.distn.dec.ove.mean.8</t>
        </is>
      </c>
      <c r="B187" s="3" t="inlineStr">
        <is>
          <t>BFA</t>
        </is>
      </c>
      <c r="C187" s="3" t="n">
        <v>2005</v>
      </c>
      <c r="D187" s="3" t="inlineStr">
        <is>
          <t>Overall</t>
        </is>
      </c>
      <c r="E187" s="3" t="inlineStr">
        <is>
          <t>Deciles</t>
        </is>
      </c>
      <c r="F187" s="3" t="inlineStr">
        <is>
          <t>mean</t>
        </is>
      </c>
      <c r="G187" s="3" t="n">
        <v>8</v>
      </c>
      <c r="H187" s="3" t="n">
        <v>-0.790380597114563</v>
      </c>
      <c r="I187" s="3" t="n">
        <v>-0.790380597114563</v>
      </c>
      <c r="J187" s="3" t="n">
        <v>-0.9074413180351257</v>
      </c>
      <c r="K187" s="3" t="n">
        <v>-0.9074413180351257</v>
      </c>
      <c r="L187" s="3" t="n">
        <v>-0.790380597114563</v>
      </c>
      <c r="M187" s="3" t="n">
        <v>-0.790380597114563</v>
      </c>
      <c r="N187" s="3" t="n">
        <v>-0.790380597114563</v>
      </c>
      <c r="O187" s="3" t="n">
        <v>-0.790380597114563</v>
      </c>
      <c r="P187" s="3" t="n">
        <v>-0.790380597114563</v>
      </c>
      <c r="Q187" s="3" t="n">
        <v>-0.790380597114563</v>
      </c>
      <c r="R187" s="3" t="n">
        <v>-0.7752549052238464</v>
      </c>
      <c r="S187" s="3" t="n">
        <v>-1.495790123939514</v>
      </c>
      <c r="T187" s="3" t="n">
        <v>-0.7100409269332886</v>
      </c>
      <c r="U187" s="3" t="n">
        <v>-0.9074413180351257</v>
      </c>
      <c r="V187" s="3" t="n">
        <v>-0.6847071051597595</v>
      </c>
      <c r="W187" s="3" t="n">
        <v>-0.6088798046112061</v>
      </c>
      <c r="X187" s="3" t="n">
        <v>-1.470276117324829</v>
      </c>
      <c r="Y187" s="3" t="n">
        <v>-0.790380597114563</v>
      </c>
      <c r="Z187" s="3" t="n">
        <v>-1.495790123939514</v>
      </c>
      <c r="AA187" s="3" t="n">
        <v>-1.495790123939514</v>
      </c>
      <c r="AB187" s="3" t="n">
        <v>-1.470276117324829</v>
      </c>
      <c r="AC187" s="3" t="n">
        <v>-3.71016788482666</v>
      </c>
      <c r="AD187" s="3" t="n">
        <v>-0.9074413180351257</v>
      </c>
      <c r="AE187" s="3" t="n">
        <v>-0.9074413180351257</v>
      </c>
    </row>
    <row r="188">
      <c r="A188" s="3" t="inlineStr">
        <is>
          <t>BFA.distn.dec.ove.mean.9</t>
        </is>
      </c>
      <c r="B188" s="3" t="inlineStr">
        <is>
          <t>BFA</t>
        </is>
      </c>
      <c r="C188" s="3" t="n">
        <v>2005</v>
      </c>
      <c r="D188" s="3" t="inlineStr">
        <is>
          <t>Overall</t>
        </is>
      </c>
      <c r="E188" s="3" t="inlineStr">
        <is>
          <t>Deciles</t>
        </is>
      </c>
      <c r="F188" s="3" t="inlineStr">
        <is>
          <t>mean</t>
        </is>
      </c>
      <c r="G188" s="3" t="n">
        <v>9</v>
      </c>
      <c r="H188" s="3" t="n">
        <v>-0.790380597114563</v>
      </c>
      <c r="I188" s="3" t="n">
        <v>-0.790380597114563</v>
      </c>
      <c r="J188" s="3" t="n">
        <v>-0.9074413180351257</v>
      </c>
      <c r="K188" s="3" t="n">
        <v>-0.9074413180351257</v>
      </c>
      <c r="L188" s="3" t="n">
        <v>-0.790380597114563</v>
      </c>
      <c r="M188" s="3" t="n">
        <v>-0.790380597114563</v>
      </c>
      <c r="N188" s="3" t="n">
        <v>-0.790380597114563</v>
      </c>
      <c r="O188" s="3" t="n">
        <v>-0.790380597114563</v>
      </c>
      <c r="P188" s="3" t="n">
        <v>-0.790380597114563</v>
      </c>
      <c r="Q188" s="3" t="n">
        <v>-0.790380597114563</v>
      </c>
      <c r="R188" s="3" t="n">
        <v>-0.7752549052238464</v>
      </c>
      <c r="S188" s="3" t="n">
        <v>-1.495790123939514</v>
      </c>
      <c r="T188" s="3" t="n">
        <v>-0.7100409269332886</v>
      </c>
      <c r="U188" s="3" t="n">
        <v>-0.9074413180351257</v>
      </c>
      <c r="V188" s="3" t="n">
        <v>-0.6847071051597595</v>
      </c>
      <c r="W188" s="3" t="n">
        <v>-0.6088798046112061</v>
      </c>
      <c r="X188" s="3" t="n">
        <v>-1.470276117324829</v>
      </c>
      <c r="Y188" s="3" t="n">
        <v>-0.790380597114563</v>
      </c>
      <c r="Z188" s="3" t="n">
        <v>-1.495790123939514</v>
      </c>
      <c r="AA188" s="3" t="n">
        <v>-1.495790123939514</v>
      </c>
      <c r="AB188" s="3" t="n">
        <v>-1.470276117324829</v>
      </c>
      <c r="AC188" s="3" t="n">
        <v>-3.71016788482666</v>
      </c>
      <c r="AD188" s="3" t="n">
        <v>-0.9074413180351257</v>
      </c>
      <c r="AE188" s="3" t="n">
        <v>-0.9074413180351257</v>
      </c>
    </row>
    <row r="189">
      <c r="A189" s="3" t="inlineStr">
        <is>
          <t>BFA.distn.dec.ove.mean.10</t>
        </is>
      </c>
      <c r="B189" s="3" t="inlineStr">
        <is>
          <t>BFA</t>
        </is>
      </c>
      <c r="C189" s="3" t="n">
        <v>2005</v>
      </c>
      <c r="D189" s="3" t="inlineStr">
        <is>
          <t>Overall</t>
        </is>
      </c>
      <c r="E189" s="3" t="inlineStr">
        <is>
          <t>Deciles</t>
        </is>
      </c>
      <c r="F189" s="3" t="inlineStr">
        <is>
          <t>mean</t>
        </is>
      </c>
      <c r="G189" s="3" t="n">
        <v>10</v>
      </c>
      <c r="H189" s="3" t="n">
        <v>-0.790380597114563</v>
      </c>
      <c r="I189" s="3" t="n">
        <v>-0.790380597114563</v>
      </c>
      <c r="J189" s="3" t="n">
        <v>-0.9074413180351257</v>
      </c>
      <c r="K189" s="3" t="n">
        <v>-0.9074413180351257</v>
      </c>
      <c r="L189" s="3" t="n">
        <v>-0.790380597114563</v>
      </c>
      <c r="M189" s="3" t="n">
        <v>-0.790380597114563</v>
      </c>
      <c r="N189" s="3" t="n">
        <v>-0.790380597114563</v>
      </c>
      <c r="O189" s="3" t="n">
        <v>-0.790380597114563</v>
      </c>
      <c r="P189" s="3" t="n">
        <v>-0.790380597114563</v>
      </c>
      <c r="Q189" s="3" t="n">
        <v>-0.790380597114563</v>
      </c>
      <c r="R189" s="3" t="n">
        <v>-0.7752549052238464</v>
      </c>
      <c r="S189" s="3" t="n">
        <v>-1.495790123939514</v>
      </c>
      <c r="T189" s="3" t="n">
        <v>-0.7100409269332886</v>
      </c>
      <c r="U189" s="3" t="n">
        <v>-0.9074413180351257</v>
      </c>
      <c r="V189" s="3" t="n">
        <v>-0.6847071051597595</v>
      </c>
      <c r="W189" s="3" t="n">
        <v>-0.6088798046112061</v>
      </c>
      <c r="X189" s="3" t="n">
        <v>-1.470276117324829</v>
      </c>
      <c r="Y189" s="3" t="n">
        <v>-0.790380597114563</v>
      </c>
      <c r="Z189" s="3" t="n">
        <v>-1.495790123939514</v>
      </c>
      <c r="AA189" s="3" t="n">
        <v>-1.495790123939514</v>
      </c>
      <c r="AB189" s="3" t="n">
        <v>-1.470276117324829</v>
      </c>
      <c r="AC189" s="3" t="n">
        <v>-3.71016788482666</v>
      </c>
      <c r="AD189" s="3" t="n">
        <v>-0.9074413180351257</v>
      </c>
      <c r="AE189" s="3" t="n">
        <v>-0.9074413180351257</v>
      </c>
    </row>
    <row r="190">
      <c r="A190" s="3" t="inlineStr">
        <is>
          <t>BFA.distn.bkt.ove.mean.9999</t>
        </is>
      </c>
      <c r="B190" s="3" t="inlineStr">
        <is>
          <t>BFA</t>
        </is>
      </c>
      <c r="C190" s="3" t="n">
        <v>2005</v>
      </c>
      <c r="D190" s="3" t="inlineStr">
        <is>
          <t>Overall</t>
        </is>
      </c>
      <c r="E190" s="3" t="inlineStr">
        <is>
          <t>Basket</t>
        </is>
      </c>
      <c r="F190" s="3" t="inlineStr">
        <is>
          <t>mean</t>
        </is>
      </c>
      <c r="G190" s="3" t="n">
        <v>9999</v>
      </c>
      <c r="H190" s="3" t="n">
        <v>-0.7920055985450745</v>
      </c>
      <c r="I190" s="3" t="n">
        <v>-0.7920055985450745</v>
      </c>
      <c r="J190" s="3" t="n">
        <v>-0.9195176362991333</v>
      </c>
      <c r="K190" s="3" t="n">
        <v>-0.9195176362991333</v>
      </c>
      <c r="L190" s="3" t="n">
        <v>-0.7920055985450745</v>
      </c>
      <c r="M190" s="3" t="n">
        <v>-0.7920055985450745</v>
      </c>
      <c r="N190" s="3" t="n">
        <v>-0.7920055985450745</v>
      </c>
      <c r="O190" s="3" t="n">
        <v>-0.7920055985450745</v>
      </c>
      <c r="P190" s="3" t="n">
        <v>-0.7920055985450745</v>
      </c>
      <c r="Q190" s="3" t="n">
        <v>-0.7920055985450745</v>
      </c>
      <c r="R190" s="3" t="n">
        <v>-0.7761244773864746</v>
      </c>
      <c r="S190" s="3" t="n">
        <v>-1.694293975830078</v>
      </c>
      <c r="T190" s="3" t="n">
        <v>-0.7104492783546448</v>
      </c>
      <c r="U190" s="3" t="n">
        <v>-0.9195176362991333</v>
      </c>
      <c r="V190" s="3" t="n">
        <v>-0.6863201856613159</v>
      </c>
      <c r="W190" s="3" t="n">
        <v>-0.631245493888855</v>
      </c>
      <c r="X190" s="3" t="n">
        <v>-1.643237113952637</v>
      </c>
      <c r="Y190" s="3" t="n">
        <v>-0.7920055985450745</v>
      </c>
      <c r="Z190" s="3" t="n">
        <v>-1.694293975830078</v>
      </c>
      <c r="AA190" s="3" t="n">
        <v>-1.694293975830078</v>
      </c>
      <c r="AB190" s="3" t="n">
        <v>-1.643237113952637</v>
      </c>
      <c r="AC190" s="3" t="n">
        <v>-4.848664283752441</v>
      </c>
      <c r="AD190" s="3" t="n">
        <v>-0.9195176362991333</v>
      </c>
      <c r="AE190" s="3" t="n">
        <v>-0.9195176362991333</v>
      </c>
    </row>
    <row r="191">
      <c r="A191" s="3" t="inlineStr">
        <is>
          <t>BGD.distn.dec.ove.mean.1</t>
        </is>
      </c>
      <c r="B191" s="3" t="inlineStr">
        <is>
          <t>BGD</t>
        </is>
      </c>
      <c r="C191" s="3" t="n">
        <v>2005</v>
      </c>
      <c r="D191" s="3" t="inlineStr">
        <is>
          <t>Overall</t>
        </is>
      </c>
      <c r="E191" s="3" t="inlineStr">
        <is>
          <t>Deciles</t>
        </is>
      </c>
      <c r="F191" s="3" t="inlineStr">
        <is>
          <t>mean</t>
        </is>
      </c>
      <c r="G191" s="3" t="n">
        <v>1</v>
      </c>
      <c r="H191" s="3" t="n">
        <v>-0.7952967882156372</v>
      </c>
      <c r="I191" s="3" t="n">
        <v>-0.7952967882156372</v>
      </c>
      <c r="J191" s="3" t="n">
        <v>-0.9383416175842285</v>
      </c>
      <c r="K191" s="3" t="n">
        <v>-0.9383416175842285</v>
      </c>
      <c r="L191" s="3" t="n">
        <v>-0.7952967882156372</v>
      </c>
      <c r="M191" s="3" t="n">
        <v>-0.7952967882156372</v>
      </c>
      <c r="N191" s="3" t="n">
        <v>-0.7952967882156372</v>
      </c>
      <c r="O191" s="3" t="n">
        <v>-0.7952967882156372</v>
      </c>
      <c r="P191" s="3" t="n">
        <v>-0.7952967882156372</v>
      </c>
      <c r="Q191" s="3" t="n">
        <v>-0.7952967882156372</v>
      </c>
      <c r="R191" s="3" t="n">
        <v>-0.7774887681007385</v>
      </c>
      <c r="S191" s="3" t="n">
        <v>-1.893964171409607</v>
      </c>
      <c r="T191" s="3" t="n">
        <v>-0.7114566564559937</v>
      </c>
      <c r="U191" s="3" t="n">
        <v>-0.9383416175842285</v>
      </c>
      <c r="V191" s="3" t="n">
        <v>-0.6900166273117065</v>
      </c>
      <c r="W191" s="3" t="n">
        <v>-0.6927230954170227</v>
      </c>
      <c r="X191" s="3" t="n">
        <v>-1.808043956756592</v>
      </c>
      <c r="Y191" s="3" t="n">
        <v>-0.7952967882156372</v>
      </c>
      <c r="Z191" s="3" t="n">
        <v>-1.893964171409607</v>
      </c>
      <c r="AA191" s="3" t="n">
        <v>-1.893964171409607</v>
      </c>
      <c r="AB191" s="3" t="n">
        <v>-1.808043956756592</v>
      </c>
      <c r="AC191" s="3" t="n">
        <v>-4.095894813537598</v>
      </c>
      <c r="AD191" s="3" t="n">
        <v>-0.9383416175842285</v>
      </c>
      <c r="AE191" s="3" t="n">
        <v>-0.9383416175842285</v>
      </c>
    </row>
    <row r="192">
      <c r="A192" s="3" t="inlineStr">
        <is>
          <t>BGD.distn.dec.ove.mean.2</t>
        </is>
      </c>
      <c r="B192" s="3" t="inlineStr">
        <is>
          <t>BGD</t>
        </is>
      </c>
      <c r="C192" s="3" t="n">
        <v>2005</v>
      </c>
      <c r="D192" s="3" t="inlineStr">
        <is>
          <t>Overall</t>
        </is>
      </c>
      <c r="E192" s="3" t="inlineStr">
        <is>
          <t>Deciles</t>
        </is>
      </c>
      <c r="F192" s="3" t="inlineStr">
        <is>
          <t>mean</t>
        </is>
      </c>
      <c r="G192" s="3" t="n">
        <v>2</v>
      </c>
      <c r="H192" s="3" t="n">
        <v>-0.7952967882156372</v>
      </c>
      <c r="I192" s="3" t="n">
        <v>-0.7952967882156372</v>
      </c>
      <c r="J192" s="3" t="n">
        <v>-0.9383416175842285</v>
      </c>
      <c r="K192" s="3" t="n">
        <v>-0.9383416175842285</v>
      </c>
      <c r="L192" s="3" t="n">
        <v>-0.7952967882156372</v>
      </c>
      <c r="M192" s="3" t="n">
        <v>-0.7952967882156372</v>
      </c>
      <c r="N192" s="3" t="n">
        <v>-0.7952967882156372</v>
      </c>
      <c r="O192" s="3" t="n">
        <v>-0.7952967882156372</v>
      </c>
      <c r="P192" s="3" t="n">
        <v>-0.7952967882156372</v>
      </c>
      <c r="Q192" s="3" t="n">
        <v>-0.7952967882156372</v>
      </c>
      <c r="R192" s="3" t="n">
        <v>-0.7774887681007385</v>
      </c>
      <c r="S192" s="3" t="n">
        <v>-1.893964171409607</v>
      </c>
      <c r="T192" s="3" t="n">
        <v>-0.7114566564559937</v>
      </c>
      <c r="U192" s="3" t="n">
        <v>-0.9383416175842285</v>
      </c>
      <c r="V192" s="3" t="n">
        <v>-0.6900166273117065</v>
      </c>
      <c r="W192" s="3" t="n">
        <v>-0.6927230954170227</v>
      </c>
      <c r="X192" s="3" t="n">
        <v>-1.808043956756592</v>
      </c>
      <c r="Y192" s="3" t="n">
        <v>-0.7952967882156372</v>
      </c>
      <c r="Z192" s="3" t="n">
        <v>-1.893964171409607</v>
      </c>
      <c r="AA192" s="3" t="n">
        <v>-1.893964171409607</v>
      </c>
      <c r="AB192" s="3" t="n">
        <v>-1.808043956756592</v>
      </c>
      <c r="AC192" s="3" t="n">
        <v>-4.095894813537598</v>
      </c>
      <c r="AD192" s="3" t="n">
        <v>-0.9383416175842285</v>
      </c>
      <c r="AE192" s="3" t="n">
        <v>-0.9383416175842285</v>
      </c>
    </row>
    <row r="193">
      <c r="A193" s="3" t="inlineStr">
        <is>
          <t>BGD.distn.dec.ove.mean.3</t>
        </is>
      </c>
      <c r="B193" s="3" t="inlineStr">
        <is>
          <t>BGD</t>
        </is>
      </c>
      <c r="C193" s="3" t="n">
        <v>2005</v>
      </c>
      <c r="D193" s="3" t="inlineStr">
        <is>
          <t>Overall</t>
        </is>
      </c>
      <c r="E193" s="3" t="inlineStr">
        <is>
          <t>Deciles</t>
        </is>
      </c>
      <c r="F193" s="3" t="inlineStr">
        <is>
          <t>mean</t>
        </is>
      </c>
      <c r="G193" s="3" t="n">
        <v>3</v>
      </c>
      <c r="H193" s="3" t="n">
        <v>-0.7952967882156372</v>
      </c>
      <c r="I193" s="3" t="n">
        <v>-0.7952967882156372</v>
      </c>
      <c r="J193" s="3" t="n">
        <v>-0.9383416175842285</v>
      </c>
      <c r="K193" s="3" t="n">
        <v>-0.9383416175842285</v>
      </c>
      <c r="L193" s="3" t="n">
        <v>-0.7952967882156372</v>
      </c>
      <c r="M193" s="3" t="n">
        <v>-0.7952967882156372</v>
      </c>
      <c r="N193" s="3" t="n">
        <v>-0.7952967882156372</v>
      </c>
      <c r="O193" s="3" t="n">
        <v>-0.7952967882156372</v>
      </c>
      <c r="P193" s="3" t="n">
        <v>-0.7952967882156372</v>
      </c>
      <c r="Q193" s="3" t="n">
        <v>-0.7952967882156372</v>
      </c>
      <c r="R193" s="3" t="n">
        <v>-0.7774887681007385</v>
      </c>
      <c r="S193" s="3" t="n">
        <v>-1.893964171409607</v>
      </c>
      <c r="T193" s="3" t="n">
        <v>-0.7114566564559937</v>
      </c>
      <c r="U193" s="3" t="n">
        <v>-0.9383416175842285</v>
      </c>
      <c r="V193" s="3" t="n">
        <v>-0.6900166273117065</v>
      </c>
      <c r="W193" s="3" t="n">
        <v>-0.6927230954170227</v>
      </c>
      <c r="X193" s="3" t="n">
        <v>-1.808043956756592</v>
      </c>
      <c r="Y193" s="3" t="n">
        <v>-0.7952967882156372</v>
      </c>
      <c r="Z193" s="3" t="n">
        <v>-1.893964171409607</v>
      </c>
      <c r="AA193" s="3" t="n">
        <v>-1.893964171409607</v>
      </c>
      <c r="AB193" s="3" t="n">
        <v>-1.808043956756592</v>
      </c>
      <c r="AC193" s="3" t="n">
        <v>-4.095894813537598</v>
      </c>
      <c r="AD193" s="3" t="n">
        <v>-0.9383416175842285</v>
      </c>
      <c r="AE193" s="3" t="n">
        <v>-0.9383416175842285</v>
      </c>
    </row>
    <row r="194">
      <c r="A194" s="3" t="inlineStr">
        <is>
          <t>BGD.distn.dec.ove.mean.4</t>
        </is>
      </c>
      <c r="B194" s="3" t="inlineStr">
        <is>
          <t>BGD</t>
        </is>
      </c>
      <c r="C194" s="3" t="n">
        <v>2005</v>
      </c>
      <c r="D194" s="3" t="inlineStr">
        <is>
          <t>Overall</t>
        </is>
      </c>
      <c r="E194" s="3" t="inlineStr">
        <is>
          <t>Deciles</t>
        </is>
      </c>
      <c r="F194" s="3" t="inlineStr">
        <is>
          <t>mean</t>
        </is>
      </c>
      <c r="G194" s="3" t="n">
        <v>4</v>
      </c>
      <c r="H194" s="3" t="n">
        <v>-0.7889999747276306</v>
      </c>
      <c r="I194" s="3" t="n">
        <v>-0.7889999747276306</v>
      </c>
      <c r="J194" s="3" t="n">
        <v>-0.8930000066757202</v>
      </c>
      <c r="K194" s="3" t="n">
        <v>-0.8930000066757202</v>
      </c>
      <c r="L194" s="3" t="n">
        <v>-0.7889999747276306</v>
      </c>
      <c r="M194" s="3" t="n">
        <v>-0.7889999747276306</v>
      </c>
      <c r="N194" s="3" t="n">
        <v>-0.7889999747276306</v>
      </c>
      <c r="O194" s="3" t="n">
        <v>-0.7889999747276306</v>
      </c>
      <c r="P194" s="3" t="n">
        <v>-0.7889999747276306</v>
      </c>
      <c r="Q194" s="3" t="n">
        <v>-0.7889999747276306</v>
      </c>
      <c r="R194" s="3" t="n">
        <v>-0.7739999890327454</v>
      </c>
      <c r="S194" s="3" t="n">
        <v>-1.289999961853027</v>
      </c>
      <c r="T194" s="3" t="n">
        <v>-0.7099999785423279</v>
      </c>
      <c r="U194" s="3" t="n">
        <v>-0.8930000066757202</v>
      </c>
      <c r="V194" s="3" t="n">
        <v>-0.6830000281333923</v>
      </c>
      <c r="W194" s="3" t="n">
        <v>-0.5830000042915344</v>
      </c>
      <c r="X194" s="3" t="n">
        <v>-1.276000022888184</v>
      </c>
      <c r="Y194" s="3" t="n">
        <v>-0.7889999747276306</v>
      </c>
      <c r="Z194" s="3" t="n">
        <v>-1.289999961853027</v>
      </c>
      <c r="AA194" s="3" t="n">
        <v>-1.289999961853027</v>
      </c>
      <c r="AB194" s="3" t="n">
        <v>-1.276000022888184</v>
      </c>
      <c r="AC194" s="3" t="n">
        <v>-1.978000044822693</v>
      </c>
      <c r="AD194" s="3" t="n">
        <v>-0.8930000066757202</v>
      </c>
      <c r="AE194" s="3" t="n">
        <v>-0.8930000066757202</v>
      </c>
    </row>
    <row r="195">
      <c r="A195" s="3" t="inlineStr">
        <is>
          <t>BGD.distn.dec.ove.mean.5</t>
        </is>
      </c>
      <c r="B195" s="3" t="inlineStr">
        <is>
          <t>BGD</t>
        </is>
      </c>
      <c r="C195" s="3" t="n">
        <v>2005</v>
      </c>
      <c r="D195" s="3" t="inlineStr">
        <is>
          <t>Overall</t>
        </is>
      </c>
      <c r="E195" s="3" t="inlineStr">
        <is>
          <t>Deciles</t>
        </is>
      </c>
      <c r="F195" s="3" t="inlineStr">
        <is>
          <t>mean</t>
        </is>
      </c>
      <c r="G195" s="3" t="n">
        <v>5</v>
      </c>
      <c r="H195" s="3" t="n">
        <v>-0.7889999747276306</v>
      </c>
      <c r="I195" s="3" t="n">
        <v>-0.7889999747276306</v>
      </c>
      <c r="J195" s="3" t="n">
        <v>-0.8930000066757202</v>
      </c>
      <c r="K195" s="3" t="n">
        <v>-0.8930000066757202</v>
      </c>
      <c r="L195" s="3" t="n">
        <v>-0.7889999747276306</v>
      </c>
      <c r="M195" s="3" t="n">
        <v>-0.7889999747276306</v>
      </c>
      <c r="N195" s="3" t="n">
        <v>-0.7889999747276306</v>
      </c>
      <c r="O195" s="3" t="n">
        <v>-0.7889999747276306</v>
      </c>
      <c r="P195" s="3" t="n">
        <v>-0.7889999747276306</v>
      </c>
      <c r="Q195" s="3" t="n">
        <v>-0.7889999747276306</v>
      </c>
      <c r="R195" s="3" t="n">
        <v>-0.7739999890327454</v>
      </c>
      <c r="S195" s="3" t="n">
        <v>-1.289999961853027</v>
      </c>
      <c r="T195" s="3" t="n">
        <v>-0.7099999785423279</v>
      </c>
      <c r="U195" s="3" t="n">
        <v>-0.8930000066757202</v>
      </c>
      <c r="V195" s="3" t="n">
        <v>-0.6830000281333923</v>
      </c>
      <c r="W195" s="3" t="n">
        <v>-0.5830000042915344</v>
      </c>
      <c r="X195" s="3" t="n">
        <v>-1.276000022888184</v>
      </c>
      <c r="Y195" s="3" t="n">
        <v>-0.7889999747276306</v>
      </c>
      <c r="Z195" s="3" t="n">
        <v>-1.289999961853027</v>
      </c>
      <c r="AA195" s="3" t="n">
        <v>-1.289999961853027</v>
      </c>
      <c r="AB195" s="3" t="n">
        <v>-1.276000022888184</v>
      </c>
      <c r="AC195" s="3" t="n">
        <v>-1.978000044822693</v>
      </c>
      <c r="AD195" s="3" t="n">
        <v>-0.8930000066757202</v>
      </c>
      <c r="AE195" s="3" t="n">
        <v>-0.8930000066757202</v>
      </c>
    </row>
    <row r="196">
      <c r="A196" s="3" t="inlineStr">
        <is>
          <t>BGD.distn.dec.ove.mean.6</t>
        </is>
      </c>
      <c r="B196" s="3" t="inlineStr">
        <is>
          <t>BGD</t>
        </is>
      </c>
      <c r="C196" s="3" t="n">
        <v>2005</v>
      </c>
      <c r="D196" s="3" t="inlineStr">
        <is>
          <t>Overall</t>
        </is>
      </c>
      <c r="E196" s="3" t="inlineStr">
        <is>
          <t>Deciles</t>
        </is>
      </c>
      <c r="F196" s="3" t="inlineStr">
        <is>
          <t>mean</t>
        </is>
      </c>
      <c r="G196" s="3" t="n">
        <v>6</v>
      </c>
      <c r="H196" s="3" t="n">
        <v>-0.7889999747276306</v>
      </c>
      <c r="I196" s="3" t="n">
        <v>-0.7889999747276306</v>
      </c>
      <c r="J196" s="3" t="n">
        <v>-0.8930000066757202</v>
      </c>
      <c r="K196" s="3" t="n">
        <v>-0.8930000066757202</v>
      </c>
      <c r="L196" s="3" t="n">
        <v>-0.7889999747276306</v>
      </c>
      <c r="M196" s="3" t="n">
        <v>-0.7889999747276306</v>
      </c>
      <c r="N196" s="3" t="n">
        <v>-0.7889999747276306</v>
      </c>
      <c r="O196" s="3" t="n">
        <v>-0.7889999747276306</v>
      </c>
      <c r="P196" s="3" t="n">
        <v>-0.7889999747276306</v>
      </c>
      <c r="Q196" s="3" t="n">
        <v>-0.7889999747276306</v>
      </c>
      <c r="R196" s="3" t="n">
        <v>-0.7739999890327454</v>
      </c>
      <c r="S196" s="3" t="n">
        <v>-1.289999961853027</v>
      </c>
      <c r="T196" s="3" t="n">
        <v>-0.7099999785423279</v>
      </c>
      <c r="U196" s="3" t="n">
        <v>-0.8930000066757202</v>
      </c>
      <c r="V196" s="3" t="n">
        <v>-0.6830000281333923</v>
      </c>
      <c r="W196" s="3" t="n">
        <v>-0.5830000042915344</v>
      </c>
      <c r="X196" s="3" t="n">
        <v>-1.276000022888184</v>
      </c>
      <c r="Y196" s="3" t="n">
        <v>-0.7889999747276306</v>
      </c>
      <c r="Z196" s="3" t="n">
        <v>-1.289999961853027</v>
      </c>
      <c r="AA196" s="3" t="n">
        <v>-1.289999961853027</v>
      </c>
      <c r="AB196" s="3" t="n">
        <v>-1.276000022888184</v>
      </c>
      <c r="AC196" s="3" t="n">
        <v>-1.978000044822693</v>
      </c>
      <c r="AD196" s="3" t="n">
        <v>-0.8930000066757202</v>
      </c>
      <c r="AE196" s="3" t="n">
        <v>-0.8930000066757202</v>
      </c>
    </row>
    <row r="197">
      <c r="A197" s="3" t="inlineStr">
        <is>
          <t>BGD.distn.dec.ove.mean.7</t>
        </is>
      </c>
      <c r="B197" s="3" t="inlineStr">
        <is>
          <t>BGD</t>
        </is>
      </c>
      <c r="C197" s="3" t="n">
        <v>2005</v>
      </c>
      <c r="D197" s="3" t="inlineStr">
        <is>
          <t>Overall</t>
        </is>
      </c>
      <c r="E197" s="3" t="inlineStr">
        <is>
          <t>Deciles</t>
        </is>
      </c>
      <c r="F197" s="3" t="inlineStr">
        <is>
          <t>mean</t>
        </is>
      </c>
      <c r="G197" s="3" t="n">
        <v>7</v>
      </c>
      <c r="H197" s="3" t="n">
        <v>-0.7889999747276306</v>
      </c>
      <c r="I197" s="3" t="n">
        <v>-0.7889999747276306</v>
      </c>
      <c r="J197" s="3" t="n">
        <v>-0.8930000066757202</v>
      </c>
      <c r="K197" s="3" t="n">
        <v>-0.8930000066757202</v>
      </c>
      <c r="L197" s="3" t="n">
        <v>-0.7889999747276306</v>
      </c>
      <c r="M197" s="3" t="n">
        <v>-0.7889999747276306</v>
      </c>
      <c r="N197" s="3" t="n">
        <v>-0.7889999747276306</v>
      </c>
      <c r="O197" s="3" t="n">
        <v>-0.7889999747276306</v>
      </c>
      <c r="P197" s="3" t="n">
        <v>-0.7889999747276306</v>
      </c>
      <c r="Q197" s="3" t="n">
        <v>-0.7889999747276306</v>
      </c>
      <c r="R197" s="3" t="n">
        <v>-0.7739999890327454</v>
      </c>
      <c r="S197" s="3" t="n">
        <v>-1.289999961853027</v>
      </c>
      <c r="T197" s="3" t="n">
        <v>-0.7099999785423279</v>
      </c>
      <c r="U197" s="3" t="n">
        <v>-0.8930000066757202</v>
      </c>
      <c r="V197" s="3" t="n">
        <v>-0.6830000281333923</v>
      </c>
      <c r="W197" s="3" t="n">
        <v>-0.5830000042915344</v>
      </c>
      <c r="X197" s="3" t="n">
        <v>-1.276000022888184</v>
      </c>
      <c r="Y197" s="3" t="n">
        <v>-0.7889999747276306</v>
      </c>
      <c r="Z197" s="3" t="n">
        <v>-1.289999961853027</v>
      </c>
      <c r="AA197" s="3" t="n">
        <v>-1.289999961853027</v>
      </c>
      <c r="AB197" s="3" t="n">
        <v>-1.276000022888184</v>
      </c>
      <c r="AC197" s="3" t="n">
        <v>-1.978000044822693</v>
      </c>
      <c r="AD197" s="3" t="n">
        <v>-0.8930000066757202</v>
      </c>
      <c r="AE197" s="3" t="n">
        <v>-0.8930000066757202</v>
      </c>
    </row>
    <row r="198">
      <c r="A198" s="3" t="inlineStr">
        <is>
          <t>BGD.distn.dec.ove.mean.8</t>
        </is>
      </c>
      <c r="B198" s="3" t="inlineStr">
        <is>
          <t>BGD</t>
        </is>
      </c>
      <c r="C198" s="3" t="n">
        <v>2005</v>
      </c>
      <c r="D198" s="3" t="inlineStr">
        <is>
          <t>Overall</t>
        </is>
      </c>
      <c r="E198" s="3" t="inlineStr">
        <is>
          <t>Deciles</t>
        </is>
      </c>
      <c r="F198" s="3" t="inlineStr">
        <is>
          <t>mean</t>
        </is>
      </c>
      <c r="G198" s="3" t="n">
        <v>8</v>
      </c>
      <c r="H198" s="3" t="n">
        <v>-0.7893801331520081</v>
      </c>
      <c r="I198" s="3" t="n">
        <v>-0.7893801331520081</v>
      </c>
      <c r="J198" s="3" t="n">
        <v>-0.8954089283943176</v>
      </c>
      <c r="K198" s="3" t="n">
        <v>-0.8954089283943176</v>
      </c>
      <c r="L198" s="3" t="n">
        <v>-0.7893801331520081</v>
      </c>
      <c r="M198" s="3" t="n">
        <v>-0.7893801331520081</v>
      </c>
      <c r="N198" s="3" t="n">
        <v>-0.7893801331520081</v>
      </c>
      <c r="O198" s="3" t="n">
        <v>-0.7893801331520081</v>
      </c>
      <c r="P198" s="3" t="n">
        <v>-0.7893801331520081</v>
      </c>
      <c r="Q198" s="3" t="n">
        <v>-0.7893801331520081</v>
      </c>
      <c r="R198" s="3" t="n">
        <v>-0.7742545604705811</v>
      </c>
      <c r="S198" s="3" t="n">
        <v>-1.302003622055054</v>
      </c>
      <c r="T198" s="3" t="n">
        <v>-0.7100409269332886</v>
      </c>
      <c r="U198" s="3" t="n">
        <v>-0.8954089283943176</v>
      </c>
      <c r="V198" s="3" t="n">
        <v>-0.6837060451507568</v>
      </c>
      <c r="W198" s="3" t="n">
        <v>-0.5986120700836182</v>
      </c>
      <c r="X198" s="3" t="n">
        <v>-1.28762686252594</v>
      </c>
      <c r="Y198" s="3" t="n">
        <v>-0.7893801331520081</v>
      </c>
      <c r="Z198" s="3" t="n">
        <v>-1.302003622055054</v>
      </c>
      <c r="AA198" s="3" t="n">
        <v>-1.302003622055054</v>
      </c>
      <c r="AB198" s="3" t="n">
        <v>-1.28762686252594</v>
      </c>
      <c r="AC198" s="3" t="n">
        <v>-2.006208896636963</v>
      </c>
      <c r="AD198" s="3" t="n">
        <v>-0.8954089283943176</v>
      </c>
      <c r="AE198" s="3" t="n">
        <v>-0.8954089283943176</v>
      </c>
    </row>
    <row r="199">
      <c r="A199" s="3" t="inlineStr">
        <is>
          <t>BGD.distn.dec.ove.mean.9</t>
        </is>
      </c>
      <c r="B199" s="3" t="inlineStr">
        <is>
          <t>BGD</t>
        </is>
      </c>
      <c r="C199" s="3" t="n">
        <v>2005</v>
      </c>
      <c r="D199" s="3" t="inlineStr">
        <is>
          <t>Overall</t>
        </is>
      </c>
      <c r="E199" s="3" t="inlineStr">
        <is>
          <t>Deciles</t>
        </is>
      </c>
      <c r="F199" s="3" t="inlineStr">
        <is>
          <t>mean</t>
        </is>
      </c>
      <c r="G199" s="3" t="n">
        <v>9</v>
      </c>
      <c r="H199" s="3" t="n">
        <v>-0.7893801331520081</v>
      </c>
      <c r="I199" s="3" t="n">
        <v>-0.7893801331520081</v>
      </c>
      <c r="J199" s="3" t="n">
        <v>-0.8954089283943176</v>
      </c>
      <c r="K199" s="3" t="n">
        <v>-0.8954089283943176</v>
      </c>
      <c r="L199" s="3" t="n">
        <v>-0.7893801331520081</v>
      </c>
      <c r="M199" s="3" t="n">
        <v>-0.7893801331520081</v>
      </c>
      <c r="N199" s="3" t="n">
        <v>-0.7893801331520081</v>
      </c>
      <c r="O199" s="3" t="n">
        <v>-0.7893801331520081</v>
      </c>
      <c r="P199" s="3" t="n">
        <v>-0.7893801331520081</v>
      </c>
      <c r="Q199" s="3" t="n">
        <v>-0.7893801331520081</v>
      </c>
      <c r="R199" s="3" t="n">
        <v>-0.7742545604705811</v>
      </c>
      <c r="S199" s="3" t="n">
        <v>-1.302003622055054</v>
      </c>
      <c r="T199" s="3" t="n">
        <v>-0.7100409269332886</v>
      </c>
      <c r="U199" s="3" t="n">
        <v>-0.8954089283943176</v>
      </c>
      <c r="V199" s="3" t="n">
        <v>-0.6837060451507568</v>
      </c>
      <c r="W199" s="3" t="n">
        <v>-0.5986120700836182</v>
      </c>
      <c r="X199" s="3" t="n">
        <v>-1.28762686252594</v>
      </c>
      <c r="Y199" s="3" t="n">
        <v>-0.7893801331520081</v>
      </c>
      <c r="Z199" s="3" t="n">
        <v>-1.302003622055054</v>
      </c>
      <c r="AA199" s="3" t="n">
        <v>-1.302003622055054</v>
      </c>
      <c r="AB199" s="3" t="n">
        <v>-1.28762686252594</v>
      </c>
      <c r="AC199" s="3" t="n">
        <v>-2.006208896636963</v>
      </c>
      <c r="AD199" s="3" t="n">
        <v>-0.8954089283943176</v>
      </c>
      <c r="AE199" s="3" t="n">
        <v>-0.8954089283943176</v>
      </c>
    </row>
    <row r="200">
      <c r="A200" s="3" t="inlineStr">
        <is>
          <t>BGD.distn.dec.ove.mean.10</t>
        </is>
      </c>
      <c r="B200" s="3" t="inlineStr">
        <is>
          <t>BGD</t>
        </is>
      </c>
      <c r="C200" s="3" t="n">
        <v>2005</v>
      </c>
      <c r="D200" s="3" t="inlineStr">
        <is>
          <t>Overall</t>
        </is>
      </c>
      <c r="E200" s="3" t="inlineStr">
        <is>
          <t>Deciles</t>
        </is>
      </c>
      <c r="F200" s="3" t="inlineStr">
        <is>
          <t>mean</t>
        </is>
      </c>
      <c r="G200" s="3" t="n">
        <v>10</v>
      </c>
      <c r="H200" s="3" t="n">
        <v>-0.7893801331520081</v>
      </c>
      <c r="I200" s="3" t="n">
        <v>-0.7893801331520081</v>
      </c>
      <c r="J200" s="3" t="n">
        <v>-0.8954089283943176</v>
      </c>
      <c r="K200" s="3" t="n">
        <v>-0.8954089283943176</v>
      </c>
      <c r="L200" s="3" t="n">
        <v>-0.7893801331520081</v>
      </c>
      <c r="M200" s="3" t="n">
        <v>-0.7893801331520081</v>
      </c>
      <c r="N200" s="3" t="n">
        <v>-0.7893801331520081</v>
      </c>
      <c r="O200" s="3" t="n">
        <v>-0.7893801331520081</v>
      </c>
      <c r="P200" s="3" t="n">
        <v>-0.7893801331520081</v>
      </c>
      <c r="Q200" s="3" t="n">
        <v>-0.7893801331520081</v>
      </c>
      <c r="R200" s="3" t="n">
        <v>-0.7742545604705811</v>
      </c>
      <c r="S200" s="3" t="n">
        <v>-1.302003622055054</v>
      </c>
      <c r="T200" s="3" t="n">
        <v>-0.7100409269332886</v>
      </c>
      <c r="U200" s="3" t="n">
        <v>-0.8954089283943176</v>
      </c>
      <c r="V200" s="3" t="n">
        <v>-0.6837060451507568</v>
      </c>
      <c r="W200" s="3" t="n">
        <v>-0.5986120700836182</v>
      </c>
      <c r="X200" s="3" t="n">
        <v>-1.28762686252594</v>
      </c>
      <c r="Y200" s="3" t="n">
        <v>-0.7893801331520081</v>
      </c>
      <c r="Z200" s="3" t="n">
        <v>-1.302003622055054</v>
      </c>
      <c r="AA200" s="3" t="n">
        <v>-1.302003622055054</v>
      </c>
      <c r="AB200" s="3" t="n">
        <v>-1.28762686252594</v>
      </c>
      <c r="AC200" s="3" t="n">
        <v>-2.006208896636963</v>
      </c>
      <c r="AD200" s="3" t="n">
        <v>-0.8954089283943176</v>
      </c>
      <c r="AE200" s="3" t="n">
        <v>-0.8954089283943176</v>
      </c>
    </row>
    <row r="201">
      <c r="A201" s="3" t="inlineStr">
        <is>
          <t>BGD.distn.bkt.ove.mean.9999</t>
        </is>
      </c>
      <c r="B201" s="3" t="inlineStr">
        <is>
          <t>BGD</t>
        </is>
      </c>
      <c r="C201" s="3" t="n">
        <v>2005</v>
      </c>
      <c r="D201" s="3" t="inlineStr">
        <is>
          <t>Overall</t>
        </is>
      </c>
      <c r="E201" s="3" t="inlineStr">
        <is>
          <t>Basket</t>
        </is>
      </c>
      <c r="F201" s="3" t="inlineStr">
        <is>
          <t>mean</t>
        </is>
      </c>
      <c r="G201" s="3" t="n">
        <v>9999</v>
      </c>
      <c r="H201" s="3" t="n">
        <v>-0.7910030484199524</v>
      </c>
      <c r="I201" s="3" t="n">
        <v>-0.7910030484199524</v>
      </c>
      <c r="J201" s="3" t="n">
        <v>-0.9073251485824585</v>
      </c>
      <c r="K201" s="3" t="n">
        <v>-0.9073251485824585</v>
      </c>
      <c r="L201" s="3" t="n">
        <v>-0.7910030484199524</v>
      </c>
      <c r="M201" s="3" t="n">
        <v>-0.7910030484199524</v>
      </c>
      <c r="N201" s="3" t="n">
        <v>-0.7910030484199524</v>
      </c>
      <c r="O201" s="3" t="n">
        <v>-0.7910030484199524</v>
      </c>
      <c r="P201" s="3" t="n">
        <v>-0.7910030484199524</v>
      </c>
      <c r="Q201" s="3" t="n">
        <v>-0.7910030484199524</v>
      </c>
      <c r="R201" s="3" t="n">
        <v>-0.7751230001449585</v>
      </c>
      <c r="S201" s="3" t="n">
        <v>-1.474790334701538</v>
      </c>
      <c r="T201" s="3" t="n">
        <v>-0.7104492783546448</v>
      </c>
      <c r="U201" s="3" t="n">
        <v>-0.9073251485824585</v>
      </c>
      <c r="V201" s="3" t="n">
        <v>-0.685316801071167</v>
      </c>
      <c r="W201" s="3" t="n">
        <v>-0.6206005811691284</v>
      </c>
      <c r="X201" s="3" t="n">
        <v>-1.439101219177246</v>
      </c>
      <c r="Y201" s="3" t="n">
        <v>-0.7910030484199524</v>
      </c>
      <c r="Z201" s="3" t="n">
        <v>-1.474790334701538</v>
      </c>
      <c r="AA201" s="3" t="n">
        <v>-1.474790334701538</v>
      </c>
      <c r="AB201" s="3" t="n">
        <v>-1.439101219177246</v>
      </c>
      <c r="AC201" s="3" t="n">
        <v>-2.621831178665161</v>
      </c>
      <c r="AD201" s="3" t="n">
        <v>-0.9073251485824585</v>
      </c>
      <c r="AE201" s="3" t="n">
        <v>-0.9073251485824585</v>
      </c>
    </row>
    <row r="202">
      <c r="A202" s="3" t="inlineStr">
        <is>
          <t>BGR.distn.dec.ove.mean.1</t>
        </is>
      </c>
      <c r="B202" s="3" t="inlineStr">
        <is>
          <t>BGR</t>
        </is>
      </c>
      <c r="C202" s="3" t="n">
        <v>2005</v>
      </c>
      <c r="D202" s="3" t="inlineStr">
        <is>
          <t>Overall</t>
        </is>
      </c>
      <c r="E202" s="3" t="inlineStr">
        <is>
          <t>Deciles</t>
        </is>
      </c>
      <c r="F202" s="3" t="inlineStr">
        <is>
          <t>mean</t>
        </is>
      </c>
      <c r="G202" s="3" t="n">
        <v>1</v>
      </c>
      <c r="H202" s="3" t="n">
        <v>-0.7882409691810608</v>
      </c>
      <c r="I202" s="3" t="n">
        <v>-0.7882409691810608</v>
      </c>
      <c r="J202" s="3" t="n">
        <v>-0.8900059461593628</v>
      </c>
      <c r="K202" s="3" t="n">
        <v>-0.8900059461593628</v>
      </c>
      <c r="L202" s="3" t="n">
        <v>-0.7882409691810608</v>
      </c>
      <c r="M202" s="3" t="n">
        <v>-0.7882409691810608</v>
      </c>
      <c r="N202" s="3" t="n">
        <v>-0.7882409691810608</v>
      </c>
      <c r="O202" s="3" t="n">
        <v>-0.7882409691810608</v>
      </c>
      <c r="P202" s="3" t="n">
        <v>-0.7882409691810608</v>
      </c>
      <c r="Q202" s="3" t="n">
        <v>-0.7882409691810608</v>
      </c>
      <c r="R202" s="3" t="n">
        <v>-0.7734707593917847</v>
      </c>
      <c r="S202" s="3" t="n">
        <v>-1.413866281509399</v>
      </c>
      <c r="T202" s="3" t="n">
        <v>-0.7094525694847107</v>
      </c>
      <c r="U202" s="3" t="n">
        <v>-0.8900059461593628</v>
      </c>
      <c r="V202" s="3" t="n">
        <v>-0.6819344758987427</v>
      </c>
      <c r="W202" s="3" t="n">
        <v>-0.5822201371192932</v>
      </c>
      <c r="X202" s="3" t="n">
        <v>-1.361700773239136</v>
      </c>
      <c r="Y202" s="3" t="n">
        <v>-0.7882409691810608</v>
      </c>
      <c r="Z202" s="3" t="n">
        <v>-1.413866281509399</v>
      </c>
      <c r="AA202" s="3" t="n">
        <v>-1.413866281509399</v>
      </c>
      <c r="AB202" s="3" t="n">
        <v>-1.361700773239136</v>
      </c>
      <c r="AC202" s="3" t="n">
        <v>-2.134917736053467</v>
      </c>
      <c r="AD202" s="3" t="n">
        <v>-0.8900059461593628</v>
      </c>
      <c r="AE202" s="3" t="n">
        <v>-0.8900059461593628</v>
      </c>
    </row>
    <row r="203">
      <c r="A203" s="3" t="inlineStr">
        <is>
          <t>BGR.distn.dec.ove.mean.2</t>
        </is>
      </c>
      <c r="B203" s="3" t="inlineStr">
        <is>
          <t>BGR</t>
        </is>
      </c>
      <c r="C203" s="3" t="n">
        <v>2005</v>
      </c>
      <c r="D203" s="3" t="inlineStr">
        <is>
          <t>Overall</t>
        </is>
      </c>
      <c r="E203" s="3" t="inlineStr">
        <is>
          <t>Deciles</t>
        </is>
      </c>
      <c r="F203" s="3" t="inlineStr">
        <is>
          <t>mean</t>
        </is>
      </c>
      <c r="G203" s="3" t="n">
        <v>2</v>
      </c>
      <c r="H203" s="3" t="n">
        <v>-0.7882409691810608</v>
      </c>
      <c r="I203" s="3" t="n">
        <v>-0.7882409691810608</v>
      </c>
      <c r="J203" s="3" t="n">
        <v>-0.8900059461593628</v>
      </c>
      <c r="K203" s="3" t="n">
        <v>-0.8900059461593628</v>
      </c>
      <c r="L203" s="3" t="n">
        <v>-0.7882409691810608</v>
      </c>
      <c r="M203" s="3" t="n">
        <v>-0.7882409691810608</v>
      </c>
      <c r="N203" s="3" t="n">
        <v>-0.7882409691810608</v>
      </c>
      <c r="O203" s="3" t="n">
        <v>-0.7882409691810608</v>
      </c>
      <c r="P203" s="3" t="n">
        <v>-0.7882409691810608</v>
      </c>
      <c r="Q203" s="3" t="n">
        <v>-0.7882409691810608</v>
      </c>
      <c r="R203" s="3" t="n">
        <v>-0.7734707593917847</v>
      </c>
      <c r="S203" s="3" t="n">
        <v>-1.413866281509399</v>
      </c>
      <c r="T203" s="3" t="n">
        <v>-0.7094525694847107</v>
      </c>
      <c r="U203" s="3" t="n">
        <v>-0.8900059461593628</v>
      </c>
      <c r="V203" s="3" t="n">
        <v>-0.6819344758987427</v>
      </c>
      <c r="W203" s="3" t="n">
        <v>-0.5822201371192932</v>
      </c>
      <c r="X203" s="3" t="n">
        <v>-1.361700773239136</v>
      </c>
      <c r="Y203" s="3" t="n">
        <v>-0.7882409691810608</v>
      </c>
      <c r="Z203" s="3" t="n">
        <v>-1.413866281509399</v>
      </c>
      <c r="AA203" s="3" t="n">
        <v>-1.413866281509399</v>
      </c>
      <c r="AB203" s="3" t="n">
        <v>-1.361700773239136</v>
      </c>
      <c r="AC203" s="3" t="n">
        <v>-2.134917736053467</v>
      </c>
      <c r="AD203" s="3" t="n">
        <v>-0.8900059461593628</v>
      </c>
      <c r="AE203" s="3" t="n">
        <v>-0.8900059461593628</v>
      </c>
    </row>
    <row r="204">
      <c r="A204" s="3" t="inlineStr">
        <is>
          <t>BGR.distn.dec.ove.mean.3</t>
        </is>
      </c>
      <c r="B204" s="3" t="inlineStr">
        <is>
          <t>BGR</t>
        </is>
      </c>
      <c r="C204" s="3" t="n">
        <v>2005</v>
      </c>
      <c r="D204" s="3" t="inlineStr">
        <is>
          <t>Overall</t>
        </is>
      </c>
      <c r="E204" s="3" t="inlineStr">
        <is>
          <t>Deciles</t>
        </is>
      </c>
      <c r="F204" s="3" t="inlineStr">
        <is>
          <t>mean</t>
        </is>
      </c>
      <c r="G204" s="3" t="n">
        <v>3</v>
      </c>
      <c r="H204" s="3" t="n">
        <v>-0.7882409691810608</v>
      </c>
      <c r="I204" s="3" t="n">
        <v>-0.7882409691810608</v>
      </c>
      <c r="J204" s="3" t="n">
        <v>-0.8900059461593628</v>
      </c>
      <c r="K204" s="3" t="n">
        <v>-0.8900059461593628</v>
      </c>
      <c r="L204" s="3" t="n">
        <v>-0.7882409691810608</v>
      </c>
      <c r="M204" s="3" t="n">
        <v>-0.7882409691810608</v>
      </c>
      <c r="N204" s="3" t="n">
        <v>-0.7882409691810608</v>
      </c>
      <c r="O204" s="3" t="n">
        <v>-0.7882409691810608</v>
      </c>
      <c r="P204" s="3" t="n">
        <v>-0.7882409691810608</v>
      </c>
      <c r="Q204" s="3" t="n">
        <v>-0.7882409691810608</v>
      </c>
      <c r="R204" s="3" t="n">
        <v>-0.7734707593917847</v>
      </c>
      <c r="S204" s="3" t="n">
        <v>-1.413866281509399</v>
      </c>
      <c r="T204" s="3" t="n">
        <v>-0.7094525694847107</v>
      </c>
      <c r="U204" s="3" t="n">
        <v>-0.8900059461593628</v>
      </c>
      <c r="V204" s="3" t="n">
        <v>-0.6819344758987427</v>
      </c>
      <c r="W204" s="3" t="n">
        <v>-0.5822201371192932</v>
      </c>
      <c r="X204" s="3" t="n">
        <v>-1.361700773239136</v>
      </c>
      <c r="Y204" s="3" t="n">
        <v>-0.7882409691810608</v>
      </c>
      <c r="Z204" s="3" t="n">
        <v>-1.413866281509399</v>
      </c>
      <c r="AA204" s="3" t="n">
        <v>-1.413866281509399</v>
      </c>
      <c r="AB204" s="3" t="n">
        <v>-1.361700773239136</v>
      </c>
      <c r="AC204" s="3" t="n">
        <v>-2.134917736053467</v>
      </c>
      <c r="AD204" s="3" t="n">
        <v>-0.8900059461593628</v>
      </c>
      <c r="AE204" s="3" t="n">
        <v>-0.8900059461593628</v>
      </c>
    </row>
    <row r="205">
      <c r="A205" s="3" t="inlineStr">
        <is>
          <t>BGR.distn.dec.ove.mean.4</t>
        </is>
      </c>
      <c r="B205" s="3" t="inlineStr">
        <is>
          <t>BGR</t>
        </is>
      </c>
      <c r="C205" s="3" t="n">
        <v>2005</v>
      </c>
      <c r="D205" s="3" t="inlineStr">
        <is>
          <t>Overall</t>
        </is>
      </c>
      <c r="E205" s="3" t="inlineStr">
        <is>
          <t>Deciles</t>
        </is>
      </c>
      <c r="F205" s="3" t="inlineStr">
        <is>
          <t>mean</t>
        </is>
      </c>
      <c r="G205" s="3" t="n">
        <v>4</v>
      </c>
      <c r="H205" s="3" t="n">
        <v>-0.7820000052452087</v>
      </c>
      <c r="I205" s="3" t="n">
        <v>-0.7820000052452087</v>
      </c>
      <c r="J205" s="3" t="n">
        <v>-0.8470000028610229</v>
      </c>
      <c r="K205" s="3" t="n">
        <v>-0.8470000028610229</v>
      </c>
      <c r="L205" s="3" t="n">
        <v>-0.7820000052452087</v>
      </c>
      <c r="M205" s="3" t="n">
        <v>-0.7820000052452087</v>
      </c>
      <c r="N205" s="3" t="n">
        <v>-0.7820000052452087</v>
      </c>
      <c r="O205" s="3" t="n">
        <v>-0.7820000052452087</v>
      </c>
      <c r="P205" s="3" t="n">
        <v>-0.7820000052452087</v>
      </c>
      <c r="Q205" s="3" t="n">
        <v>-0.7820000052452087</v>
      </c>
      <c r="R205" s="3" t="n">
        <v>-0.7699999809265137</v>
      </c>
      <c r="S205" s="3" t="n">
        <v>-0.9629999995231628</v>
      </c>
      <c r="T205" s="3" t="n">
        <v>-0.7080000042915344</v>
      </c>
      <c r="U205" s="3" t="n">
        <v>-0.8470000028610229</v>
      </c>
      <c r="V205" s="3" t="n">
        <v>-0.675000011920929</v>
      </c>
      <c r="W205" s="3" t="n">
        <v>-0.4900000095367432</v>
      </c>
      <c r="X205" s="3" t="n">
        <v>-0.9610000252723694</v>
      </c>
      <c r="Y205" s="3" t="n">
        <v>-0.7820000052452087</v>
      </c>
      <c r="Z205" s="3" t="n">
        <v>-0.9629999995231628</v>
      </c>
      <c r="AA205" s="3" t="n">
        <v>-0.9629999995231628</v>
      </c>
      <c r="AB205" s="3" t="n">
        <v>-0.9610000252723694</v>
      </c>
      <c r="AC205" s="3" t="n">
        <v>-1.031000018119812</v>
      </c>
      <c r="AD205" s="3" t="n">
        <v>-0.8470000028610229</v>
      </c>
      <c r="AE205" s="3" t="n">
        <v>-0.8470000028610229</v>
      </c>
    </row>
    <row r="206">
      <c r="A206" s="3" t="inlineStr">
        <is>
          <t>BGR.distn.dec.ove.mean.5</t>
        </is>
      </c>
      <c r="B206" s="3" t="inlineStr">
        <is>
          <t>BGR</t>
        </is>
      </c>
      <c r="C206" s="3" t="n">
        <v>2005</v>
      </c>
      <c r="D206" s="3" t="inlineStr">
        <is>
          <t>Overall</t>
        </is>
      </c>
      <c r="E206" s="3" t="inlineStr">
        <is>
          <t>Deciles</t>
        </is>
      </c>
      <c r="F206" s="3" t="inlineStr">
        <is>
          <t>mean</t>
        </is>
      </c>
      <c r="G206" s="3" t="n">
        <v>5</v>
      </c>
      <c r="H206" s="3" t="n">
        <v>-0.7820000052452087</v>
      </c>
      <c r="I206" s="3" t="n">
        <v>-0.7820000052452087</v>
      </c>
      <c r="J206" s="3" t="n">
        <v>-0.8470000028610229</v>
      </c>
      <c r="K206" s="3" t="n">
        <v>-0.8470000028610229</v>
      </c>
      <c r="L206" s="3" t="n">
        <v>-0.7820000052452087</v>
      </c>
      <c r="M206" s="3" t="n">
        <v>-0.7820000052452087</v>
      </c>
      <c r="N206" s="3" t="n">
        <v>-0.7820000052452087</v>
      </c>
      <c r="O206" s="3" t="n">
        <v>-0.7820000052452087</v>
      </c>
      <c r="P206" s="3" t="n">
        <v>-0.7820000052452087</v>
      </c>
      <c r="Q206" s="3" t="n">
        <v>-0.7820000052452087</v>
      </c>
      <c r="R206" s="3" t="n">
        <v>-0.7699999809265137</v>
      </c>
      <c r="S206" s="3" t="n">
        <v>-0.9629999995231628</v>
      </c>
      <c r="T206" s="3" t="n">
        <v>-0.7080000042915344</v>
      </c>
      <c r="U206" s="3" t="n">
        <v>-0.8470000028610229</v>
      </c>
      <c r="V206" s="3" t="n">
        <v>-0.675000011920929</v>
      </c>
      <c r="W206" s="3" t="n">
        <v>-0.4900000095367432</v>
      </c>
      <c r="X206" s="3" t="n">
        <v>-0.9610000252723694</v>
      </c>
      <c r="Y206" s="3" t="n">
        <v>-0.7820000052452087</v>
      </c>
      <c r="Z206" s="3" t="n">
        <v>-0.9629999995231628</v>
      </c>
      <c r="AA206" s="3" t="n">
        <v>-0.9629999995231628</v>
      </c>
      <c r="AB206" s="3" t="n">
        <v>-0.9610000252723694</v>
      </c>
      <c r="AC206" s="3" t="n">
        <v>-1.031000018119812</v>
      </c>
      <c r="AD206" s="3" t="n">
        <v>-0.8470000028610229</v>
      </c>
      <c r="AE206" s="3" t="n">
        <v>-0.8470000028610229</v>
      </c>
    </row>
    <row r="207">
      <c r="A207" s="3" t="inlineStr">
        <is>
          <t>BGR.distn.dec.ove.mean.6</t>
        </is>
      </c>
      <c r="B207" s="3" t="inlineStr">
        <is>
          <t>BGR</t>
        </is>
      </c>
      <c r="C207" s="3" t="n">
        <v>2005</v>
      </c>
      <c r="D207" s="3" t="inlineStr">
        <is>
          <t>Overall</t>
        </is>
      </c>
      <c r="E207" s="3" t="inlineStr">
        <is>
          <t>Deciles</t>
        </is>
      </c>
      <c r="F207" s="3" t="inlineStr">
        <is>
          <t>mean</t>
        </is>
      </c>
      <c r="G207" s="3" t="n">
        <v>6</v>
      </c>
      <c r="H207" s="3" t="n">
        <v>-0.7820000052452087</v>
      </c>
      <c r="I207" s="3" t="n">
        <v>-0.7820000052452087</v>
      </c>
      <c r="J207" s="3" t="n">
        <v>-0.8470000028610229</v>
      </c>
      <c r="K207" s="3" t="n">
        <v>-0.8470000028610229</v>
      </c>
      <c r="L207" s="3" t="n">
        <v>-0.7820000052452087</v>
      </c>
      <c r="M207" s="3" t="n">
        <v>-0.7820000052452087</v>
      </c>
      <c r="N207" s="3" t="n">
        <v>-0.7820000052452087</v>
      </c>
      <c r="O207" s="3" t="n">
        <v>-0.7820000052452087</v>
      </c>
      <c r="P207" s="3" t="n">
        <v>-0.7820000052452087</v>
      </c>
      <c r="Q207" s="3" t="n">
        <v>-0.7820000052452087</v>
      </c>
      <c r="R207" s="3" t="n">
        <v>-0.7699999809265137</v>
      </c>
      <c r="S207" s="3" t="n">
        <v>-0.9629999995231628</v>
      </c>
      <c r="T207" s="3" t="n">
        <v>-0.7080000042915344</v>
      </c>
      <c r="U207" s="3" t="n">
        <v>-0.8470000028610229</v>
      </c>
      <c r="V207" s="3" t="n">
        <v>-0.675000011920929</v>
      </c>
      <c r="W207" s="3" t="n">
        <v>-0.4900000095367432</v>
      </c>
      <c r="X207" s="3" t="n">
        <v>-0.9610000252723694</v>
      </c>
      <c r="Y207" s="3" t="n">
        <v>-0.7820000052452087</v>
      </c>
      <c r="Z207" s="3" t="n">
        <v>-0.9629999995231628</v>
      </c>
      <c r="AA207" s="3" t="n">
        <v>-0.9629999995231628</v>
      </c>
      <c r="AB207" s="3" t="n">
        <v>-0.9610000252723694</v>
      </c>
      <c r="AC207" s="3" t="n">
        <v>-1.031000018119812</v>
      </c>
      <c r="AD207" s="3" t="n">
        <v>-0.8470000028610229</v>
      </c>
      <c r="AE207" s="3" t="n">
        <v>-0.8470000028610229</v>
      </c>
    </row>
    <row r="208">
      <c r="A208" s="3" t="inlineStr">
        <is>
          <t>BGR.distn.dec.ove.mean.7</t>
        </is>
      </c>
      <c r="B208" s="3" t="inlineStr">
        <is>
          <t>BGR</t>
        </is>
      </c>
      <c r="C208" s="3" t="n">
        <v>2005</v>
      </c>
      <c r="D208" s="3" t="inlineStr">
        <is>
          <t>Overall</t>
        </is>
      </c>
      <c r="E208" s="3" t="inlineStr">
        <is>
          <t>Deciles</t>
        </is>
      </c>
      <c r="F208" s="3" t="inlineStr">
        <is>
          <t>mean</t>
        </is>
      </c>
      <c r="G208" s="3" t="n">
        <v>7</v>
      </c>
      <c r="H208" s="3" t="n">
        <v>-0.7820000052452087</v>
      </c>
      <c r="I208" s="3" t="n">
        <v>-0.7820000052452087</v>
      </c>
      <c r="J208" s="3" t="n">
        <v>-0.8470000028610229</v>
      </c>
      <c r="K208" s="3" t="n">
        <v>-0.8470000028610229</v>
      </c>
      <c r="L208" s="3" t="n">
        <v>-0.7820000052452087</v>
      </c>
      <c r="M208" s="3" t="n">
        <v>-0.7820000052452087</v>
      </c>
      <c r="N208" s="3" t="n">
        <v>-0.7820000052452087</v>
      </c>
      <c r="O208" s="3" t="n">
        <v>-0.7820000052452087</v>
      </c>
      <c r="P208" s="3" t="n">
        <v>-0.7820000052452087</v>
      </c>
      <c r="Q208" s="3" t="n">
        <v>-0.7820000052452087</v>
      </c>
      <c r="R208" s="3" t="n">
        <v>-0.7699999809265137</v>
      </c>
      <c r="S208" s="3" t="n">
        <v>-0.9629999995231628</v>
      </c>
      <c r="T208" s="3" t="n">
        <v>-0.7080000042915344</v>
      </c>
      <c r="U208" s="3" t="n">
        <v>-0.8470000028610229</v>
      </c>
      <c r="V208" s="3" t="n">
        <v>-0.675000011920929</v>
      </c>
      <c r="W208" s="3" t="n">
        <v>-0.4900000095367432</v>
      </c>
      <c r="X208" s="3" t="n">
        <v>-0.9610000252723694</v>
      </c>
      <c r="Y208" s="3" t="n">
        <v>-0.7820000052452087</v>
      </c>
      <c r="Z208" s="3" t="n">
        <v>-0.9629999995231628</v>
      </c>
      <c r="AA208" s="3" t="n">
        <v>-0.9629999995231628</v>
      </c>
      <c r="AB208" s="3" t="n">
        <v>-0.9610000252723694</v>
      </c>
      <c r="AC208" s="3" t="n">
        <v>-1.031000018119812</v>
      </c>
      <c r="AD208" s="3" t="n">
        <v>-0.8470000028610229</v>
      </c>
      <c r="AE208" s="3" t="n">
        <v>-0.8470000028610229</v>
      </c>
    </row>
    <row r="209">
      <c r="A209" s="3" t="inlineStr">
        <is>
          <t>BGR.distn.dec.ove.mean.8</t>
        </is>
      </c>
      <c r="B209" s="3" t="inlineStr">
        <is>
          <t>BGR</t>
        </is>
      </c>
      <c r="C209" s="3" t="n">
        <v>2005</v>
      </c>
      <c r="D209" s="3" t="inlineStr">
        <is>
          <t>Overall</t>
        </is>
      </c>
      <c r="E209" s="3" t="inlineStr">
        <is>
          <t>Deciles</t>
        </is>
      </c>
      <c r="F209" s="3" t="inlineStr">
        <is>
          <t>mean</t>
        </is>
      </c>
      <c r="G209" s="3" t="n">
        <v>8</v>
      </c>
      <c r="H209" s="3" t="n">
        <v>-0.782376766204834</v>
      </c>
      <c r="I209" s="3" t="n">
        <v>-0.782376766204834</v>
      </c>
      <c r="J209" s="3" t="n">
        <v>-0.849284827709198</v>
      </c>
      <c r="K209" s="3" t="n">
        <v>-0.849284827709198</v>
      </c>
      <c r="L209" s="3" t="n">
        <v>-0.782376766204834</v>
      </c>
      <c r="M209" s="3" t="n">
        <v>-0.782376766204834</v>
      </c>
      <c r="N209" s="3" t="n">
        <v>-0.782376766204834</v>
      </c>
      <c r="O209" s="3" t="n">
        <v>-0.782376766204834</v>
      </c>
      <c r="P209" s="3" t="n">
        <v>-0.782376766204834</v>
      </c>
      <c r="Q209" s="3" t="n">
        <v>-0.782376766204834</v>
      </c>
      <c r="R209" s="3" t="n">
        <v>-0.7702532410621643</v>
      </c>
      <c r="S209" s="3" t="n">
        <v>-0.9719608426094055</v>
      </c>
      <c r="T209" s="3" t="n">
        <v>-0.7080408334732056</v>
      </c>
      <c r="U209" s="3" t="n">
        <v>-0.849284827709198</v>
      </c>
      <c r="V209" s="3" t="n">
        <v>-0.6756978034973145</v>
      </c>
      <c r="W209" s="3" t="n">
        <v>-0.5031216144561768</v>
      </c>
      <c r="X209" s="3" t="n">
        <v>-0.9697566032409668</v>
      </c>
      <c r="Y209" s="3" t="n">
        <v>-0.782376766204834</v>
      </c>
      <c r="Z209" s="3" t="n">
        <v>-0.9719608426094055</v>
      </c>
      <c r="AA209" s="3" t="n">
        <v>-0.9719608426094055</v>
      </c>
      <c r="AB209" s="3" t="n">
        <v>-0.9697566032409668</v>
      </c>
      <c r="AC209" s="3" t="n">
        <v>-1.045703411102295</v>
      </c>
      <c r="AD209" s="3" t="n">
        <v>-0.849284827709198</v>
      </c>
      <c r="AE209" s="3" t="n">
        <v>-0.849284827709198</v>
      </c>
    </row>
    <row r="210">
      <c r="A210" s="3" t="inlineStr">
        <is>
          <t>BGR.distn.dec.ove.mean.9</t>
        </is>
      </c>
      <c r="B210" s="3" t="inlineStr">
        <is>
          <t>BGR</t>
        </is>
      </c>
      <c r="C210" s="3" t="n">
        <v>2005</v>
      </c>
      <c r="D210" s="3" t="inlineStr">
        <is>
          <t>Overall</t>
        </is>
      </c>
      <c r="E210" s="3" t="inlineStr">
        <is>
          <t>Deciles</t>
        </is>
      </c>
      <c r="F210" s="3" t="inlineStr">
        <is>
          <t>mean</t>
        </is>
      </c>
      <c r="G210" s="3" t="n">
        <v>9</v>
      </c>
      <c r="H210" s="3" t="n">
        <v>-0.782376766204834</v>
      </c>
      <c r="I210" s="3" t="n">
        <v>-0.782376766204834</v>
      </c>
      <c r="J210" s="3" t="n">
        <v>-0.849284827709198</v>
      </c>
      <c r="K210" s="3" t="n">
        <v>-0.849284827709198</v>
      </c>
      <c r="L210" s="3" t="n">
        <v>-0.782376766204834</v>
      </c>
      <c r="M210" s="3" t="n">
        <v>-0.782376766204834</v>
      </c>
      <c r="N210" s="3" t="n">
        <v>-0.782376766204834</v>
      </c>
      <c r="O210" s="3" t="n">
        <v>-0.782376766204834</v>
      </c>
      <c r="P210" s="3" t="n">
        <v>-0.782376766204834</v>
      </c>
      <c r="Q210" s="3" t="n">
        <v>-0.782376766204834</v>
      </c>
      <c r="R210" s="3" t="n">
        <v>-0.7702532410621643</v>
      </c>
      <c r="S210" s="3" t="n">
        <v>-0.9719608426094055</v>
      </c>
      <c r="T210" s="3" t="n">
        <v>-0.7080408334732056</v>
      </c>
      <c r="U210" s="3" t="n">
        <v>-0.849284827709198</v>
      </c>
      <c r="V210" s="3" t="n">
        <v>-0.6756978034973145</v>
      </c>
      <c r="W210" s="3" t="n">
        <v>-0.5031216144561768</v>
      </c>
      <c r="X210" s="3" t="n">
        <v>-0.9697566032409668</v>
      </c>
      <c r="Y210" s="3" t="n">
        <v>-0.782376766204834</v>
      </c>
      <c r="Z210" s="3" t="n">
        <v>-0.9719608426094055</v>
      </c>
      <c r="AA210" s="3" t="n">
        <v>-0.9719608426094055</v>
      </c>
      <c r="AB210" s="3" t="n">
        <v>-0.9697566032409668</v>
      </c>
      <c r="AC210" s="3" t="n">
        <v>-1.045703411102295</v>
      </c>
      <c r="AD210" s="3" t="n">
        <v>-0.849284827709198</v>
      </c>
      <c r="AE210" s="3" t="n">
        <v>-0.849284827709198</v>
      </c>
    </row>
    <row r="211">
      <c r="A211" s="3" t="inlineStr">
        <is>
          <t>BGR.distn.dec.ove.mean.10</t>
        </is>
      </c>
      <c r="B211" s="3" t="inlineStr">
        <is>
          <t>BGR</t>
        </is>
      </c>
      <c r="C211" s="3" t="n">
        <v>2005</v>
      </c>
      <c r="D211" s="3" t="inlineStr">
        <is>
          <t>Overall</t>
        </is>
      </c>
      <c r="E211" s="3" t="inlineStr">
        <is>
          <t>Deciles</t>
        </is>
      </c>
      <c r="F211" s="3" t="inlineStr">
        <is>
          <t>mean</t>
        </is>
      </c>
      <c r="G211" s="3" t="n">
        <v>10</v>
      </c>
      <c r="H211" s="3" t="n">
        <v>-0.782376766204834</v>
      </c>
      <c r="I211" s="3" t="n">
        <v>-0.782376766204834</v>
      </c>
      <c r="J211" s="3" t="n">
        <v>-0.849284827709198</v>
      </c>
      <c r="K211" s="3" t="n">
        <v>-0.849284827709198</v>
      </c>
      <c r="L211" s="3" t="n">
        <v>-0.782376766204834</v>
      </c>
      <c r="M211" s="3" t="n">
        <v>-0.782376766204834</v>
      </c>
      <c r="N211" s="3" t="n">
        <v>-0.782376766204834</v>
      </c>
      <c r="O211" s="3" t="n">
        <v>-0.782376766204834</v>
      </c>
      <c r="P211" s="3" t="n">
        <v>-0.782376766204834</v>
      </c>
      <c r="Q211" s="3" t="n">
        <v>-0.782376766204834</v>
      </c>
      <c r="R211" s="3" t="n">
        <v>-0.7702532410621643</v>
      </c>
      <c r="S211" s="3" t="n">
        <v>-0.9719608426094055</v>
      </c>
      <c r="T211" s="3" t="n">
        <v>-0.7080408334732056</v>
      </c>
      <c r="U211" s="3" t="n">
        <v>-0.849284827709198</v>
      </c>
      <c r="V211" s="3" t="n">
        <v>-0.6756978034973145</v>
      </c>
      <c r="W211" s="3" t="n">
        <v>-0.5031216144561768</v>
      </c>
      <c r="X211" s="3" t="n">
        <v>-0.9697566032409668</v>
      </c>
      <c r="Y211" s="3" t="n">
        <v>-0.782376766204834</v>
      </c>
      <c r="Z211" s="3" t="n">
        <v>-0.9719608426094055</v>
      </c>
      <c r="AA211" s="3" t="n">
        <v>-0.9719608426094055</v>
      </c>
      <c r="AB211" s="3" t="n">
        <v>-0.9697566032409668</v>
      </c>
      <c r="AC211" s="3" t="n">
        <v>-1.045703411102295</v>
      </c>
      <c r="AD211" s="3" t="n">
        <v>-0.849284827709198</v>
      </c>
      <c r="AE211" s="3" t="n">
        <v>-0.849284827709198</v>
      </c>
    </row>
    <row r="212">
      <c r="A212" s="3" t="inlineStr">
        <is>
          <t>BGR.distn.bkt.ove.mean.9999</t>
        </is>
      </c>
      <c r="B212" s="3" t="inlineStr">
        <is>
          <t>BGR</t>
        </is>
      </c>
      <c r="C212" s="3" t="n">
        <v>2005</v>
      </c>
      <c r="D212" s="3" t="inlineStr">
        <is>
          <t>Overall</t>
        </is>
      </c>
      <c r="E212" s="3" t="inlineStr">
        <is>
          <t>Basket</t>
        </is>
      </c>
      <c r="F212" s="3" t="inlineStr">
        <is>
          <t>mean</t>
        </is>
      </c>
      <c r="G212" s="3" t="n">
        <v>9999</v>
      </c>
      <c r="H212" s="3" t="n">
        <v>-0.7839853167533875</v>
      </c>
      <c r="I212" s="3" t="n">
        <v>-0.7839853167533875</v>
      </c>
      <c r="J212" s="3" t="n">
        <v>-0.8605872392654419</v>
      </c>
      <c r="K212" s="3" t="n">
        <v>-0.8605872392654419</v>
      </c>
      <c r="L212" s="3" t="n">
        <v>-0.7839853167533875</v>
      </c>
      <c r="M212" s="3" t="n">
        <v>-0.7839853167533875</v>
      </c>
      <c r="N212" s="3" t="n">
        <v>-0.7839853167533875</v>
      </c>
      <c r="O212" s="3" t="n">
        <v>-0.7839853167533875</v>
      </c>
      <c r="P212" s="3" t="n">
        <v>-0.7839853167533875</v>
      </c>
      <c r="Q212" s="3" t="n">
        <v>-0.7839853167533875</v>
      </c>
      <c r="R212" s="3" t="n">
        <v>-0.7711172103881836</v>
      </c>
      <c r="S212" s="3" t="n">
        <v>-1.100948095321655</v>
      </c>
      <c r="T212" s="3" t="n">
        <v>-0.708448052406311</v>
      </c>
      <c r="U212" s="3" t="n">
        <v>-0.8605872392654419</v>
      </c>
      <c r="V212" s="3" t="n">
        <v>-0.6772896647453308</v>
      </c>
      <c r="W212" s="3" t="n">
        <v>-0.5216025114059448</v>
      </c>
      <c r="X212" s="3" t="n">
        <v>-1.083837270736694</v>
      </c>
      <c r="Y212" s="3" t="n">
        <v>-0.7839853167533875</v>
      </c>
      <c r="Z212" s="3" t="n">
        <v>-1.100948095321655</v>
      </c>
      <c r="AA212" s="3" t="n">
        <v>-1.100948095321655</v>
      </c>
      <c r="AB212" s="3" t="n">
        <v>-1.083837270736694</v>
      </c>
      <c r="AC212" s="3" t="n">
        <v>-1.366586327552795</v>
      </c>
      <c r="AD212" s="3" t="n">
        <v>-0.8605872392654419</v>
      </c>
      <c r="AE212" s="3" t="n">
        <v>-0.8605872392654419</v>
      </c>
    </row>
    <row r="213">
      <c r="A213" s="3" t="inlineStr">
        <is>
          <t>BHR.distn.dec.ove.mean.1</t>
        </is>
      </c>
      <c r="B213" s="3" t="inlineStr">
        <is>
          <t>BHR</t>
        </is>
      </c>
      <c r="C213" s="3" t="n">
        <v>2005</v>
      </c>
      <c r="D213" s="3" t="inlineStr">
        <is>
          <t>Overall</t>
        </is>
      </c>
      <c r="E213" s="3" t="inlineStr">
        <is>
          <t>Deciles</t>
        </is>
      </c>
      <c r="F213" s="3" t="inlineStr">
        <is>
          <t>mean</t>
        </is>
      </c>
      <c r="G213" s="3" t="n">
        <v>1</v>
      </c>
      <c r="H213" s="3" t="n">
        <v>-0.7862249612808228</v>
      </c>
      <c r="I213" s="3" t="n">
        <v>-0.7862249612808228</v>
      </c>
      <c r="J213" s="3" t="n">
        <v>-0.8805490136146545</v>
      </c>
      <c r="K213" s="3" t="n">
        <v>-0.8805490136146545</v>
      </c>
      <c r="L213" s="3" t="n">
        <v>-0.7862249612808228</v>
      </c>
      <c r="M213" s="3" t="n">
        <v>-0.7862249612808228</v>
      </c>
      <c r="N213" s="3" t="n">
        <v>-0.7862249612808228</v>
      </c>
      <c r="O213" s="3" t="n">
        <v>-0.7862249612808228</v>
      </c>
      <c r="P213" s="3" t="n">
        <v>-0.7862249612808228</v>
      </c>
      <c r="Q213" s="3" t="n">
        <v>-0.7862249612808228</v>
      </c>
      <c r="R213" s="3" t="n">
        <v>-0.772466242313385</v>
      </c>
      <c r="S213" s="3" t="n">
        <v>-1.36835241317749</v>
      </c>
      <c r="T213" s="3" t="n">
        <v>-0.7094525694847107</v>
      </c>
      <c r="U213" s="3" t="n">
        <v>-0.8805490136146545</v>
      </c>
      <c r="V213" s="3" t="n">
        <v>-0.6799138784408569</v>
      </c>
      <c r="W213" s="3" t="n">
        <v>-0.5228099226951599</v>
      </c>
      <c r="X213" s="3" t="n">
        <v>-1.317775011062622</v>
      </c>
      <c r="Y213" s="3" t="n">
        <v>-0.7862249612808228</v>
      </c>
      <c r="Z213" s="3" t="n">
        <v>-1.36835241317749</v>
      </c>
      <c r="AA213" s="3" t="n">
        <v>-1.36835241317749</v>
      </c>
      <c r="AB213" s="3" t="n">
        <v>-1.317775011062622</v>
      </c>
      <c r="AC213" s="3" t="n">
        <v>-2.029310703277588</v>
      </c>
      <c r="AD213" s="3" t="n">
        <v>-0.8805490136146545</v>
      </c>
      <c r="AE213" s="3" t="n">
        <v>-0.8805490136146545</v>
      </c>
    </row>
    <row r="214">
      <c r="A214" s="3" t="inlineStr">
        <is>
          <t>BHR.distn.dec.ove.mean.2</t>
        </is>
      </c>
      <c r="B214" s="3" t="inlineStr">
        <is>
          <t>BHR</t>
        </is>
      </c>
      <c r="C214" s="3" t="n">
        <v>2005</v>
      </c>
      <c r="D214" s="3" t="inlineStr">
        <is>
          <t>Overall</t>
        </is>
      </c>
      <c r="E214" s="3" t="inlineStr">
        <is>
          <t>Deciles</t>
        </is>
      </c>
      <c r="F214" s="3" t="inlineStr">
        <is>
          <t>mean</t>
        </is>
      </c>
      <c r="G214" s="3" t="n">
        <v>2</v>
      </c>
      <c r="H214" s="3" t="n">
        <v>-0.7862249612808228</v>
      </c>
      <c r="I214" s="3" t="n">
        <v>-0.7862249612808228</v>
      </c>
      <c r="J214" s="3" t="n">
        <v>-0.8805490136146545</v>
      </c>
      <c r="K214" s="3" t="n">
        <v>-0.8805490136146545</v>
      </c>
      <c r="L214" s="3" t="n">
        <v>-0.7862249612808228</v>
      </c>
      <c r="M214" s="3" t="n">
        <v>-0.7862249612808228</v>
      </c>
      <c r="N214" s="3" t="n">
        <v>-0.7862249612808228</v>
      </c>
      <c r="O214" s="3" t="n">
        <v>-0.7862249612808228</v>
      </c>
      <c r="P214" s="3" t="n">
        <v>-0.7862249612808228</v>
      </c>
      <c r="Q214" s="3" t="n">
        <v>-0.7862249612808228</v>
      </c>
      <c r="R214" s="3" t="n">
        <v>-0.772466242313385</v>
      </c>
      <c r="S214" s="3" t="n">
        <v>-1.36835241317749</v>
      </c>
      <c r="T214" s="3" t="n">
        <v>-0.7094525694847107</v>
      </c>
      <c r="U214" s="3" t="n">
        <v>-0.8805490136146545</v>
      </c>
      <c r="V214" s="3" t="n">
        <v>-0.6799138784408569</v>
      </c>
      <c r="W214" s="3" t="n">
        <v>-0.5228099226951599</v>
      </c>
      <c r="X214" s="3" t="n">
        <v>-1.317775011062622</v>
      </c>
      <c r="Y214" s="3" t="n">
        <v>-0.7862249612808228</v>
      </c>
      <c r="Z214" s="3" t="n">
        <v>-1.36835241317749</v>
      </c>
      <c r="AA214" s="3" t="n">
        <v>-1.36835241317749</v>
      </c>
      <c r="AB214" s="3" t="n">
        <v>-1.317775011062622</v>
      </c>
      <c r="AC214" s="3" t="n">
        <v>-2.029310703277588</v>
      </c>
      <c r="AD214" s="3" t="n">
        <v>-0.8805490136146545</v>
      </c>
      <c r="AE214" s="3" t="n">
        <v>-0.8805490136146545</v>
      </c>
    </row>
    <row r="215">
      <c r="A215" s="3" t="inlineStr">
        <is>
          <t>BHR.distn.dec.ove.mean.3</t>
        </is>
      </c>
      <c r="B215" s="3" t="inlineStr">
        <is>
          <t>BHR</t>
        </is>
      </c>
      <c r="C215" s="3" t="n">
        <v>2005</v>
      </c>
      <c r="D215" s="3" t="inlineStr">
        <is>
          <t>Overall</t>
        </is>
      </c>
      <c r="E215" s="3" t="inlineStr">
        <is>
          <t>Deciles</t>
        </is>
      </c>
      <c r="F215" s="3" t="inlineStr">
        <is>
          <t>mean</t>
        </is>
      </c>
      <c r="G215" s="3" t="n">
        <v>3</v>
      </c>
      <c r="H215" s="3" t="n">
        <v>-0.7862249612808228</v>
      </c>
      <c r="I215" s="3" t="n">
        <v>-0.7862249612808228</v>
      </c>
      <c r="J215" s="3" t="n">
        <v>-0.8805490136146545</v>
      </c>
      <c r="K215" s="3" t="n">
        <v>-0.8805490136146545</v>
      </c>
      <c r="L215" s="3" t="n">
        <v>-0.7862249612808228</v>
      </c>
      <c r="M215" s="3" t="n">
        <v>-0.7862249612808228</v>
      </c>
      <c r="N215" s="3" t="n">
        <v>-0.7862249612808228</v>
      </c>
      <c r="O215" s="3" t="n">
        <v>-0.7862249612808228</v>
      </c>
      <c r="P215" s="3" t="n">
        <v>-0.7862249612808228</v>
      </c>
      <c r="Q215" s="3" t="n">
        <v>-0.7862249612808228</v>
      </c>
      <c r="R215" s="3" t="n">
        <v>-0.772466242313385</v>
      </c>
      <c r="S215" s="3" t="n">
        <v>-1.36835241317749</v>
      </c>
      <c r="T215" s="3" t="n">
        <v>-0.7094525694847107</v>
      </c>
      <c r="U215" s="3" t="n">
        <v>-0.8805490136146545</v>
      </c>
      <c r="V215" s="3" t="n">
        <v>-0.6799138784408569</v>
      </c>
      <c r="W215" s="3" t="n">
        <v>-0.5228099226951599</v>
      </c>
      <c r="X215" s="3" t="n">
        <v>-1.317775011062622</v>
      </c>
      <c r="Y215" s="3" t="n">
        <v>-0.7862249612808228</v>
      </c>
      <c r="Z215" s="3" t="n">
        <v>-1.36835241317749</v>
      </c>
      <c r="AA215" s="3" t="n">
        <v>-1.36835241317749</v>
      </c>
      <c r="AB215" s="3" t="n">
        <v>-1.317775011062622</v>
      </c>
      <c r="AC215" s="3" t="n">
        <v>-2.029310703277588</v>
      </c>
      <c r="AD215" s="3" t="n">
        <v>-0.8805490136146545</v>
      </c>
      <c r="AE215" s="3" t="n">
        <v>-0.8805490136146545</v>
      </c>
    </row>
    <row r="216">
      <c r="A216" s="3" t="inlineStr">
        <is>
          <t>BHR.distn.dec.ove.mean.4</t>
        </is>
      </c>
      <c r="B216" s="3" t="inlineStr">
        <is>
          <t>BHR</t>
        </is>
      </c>
      <c r="C216" s="3" t="n">
        <v>2005</v>
      </c>
      <c r="D216" s="3" t="inlineStr">
        <is>
          <t>Overall</t>
        </is>
      </c>
      <c r="E216" s="3" t="inlineStr">
        <is>
          <t>Deciles</t>
        </is>
      </c>
      <c r="F216" s="3" t="inlineStr">
        <is>
          <t>mean</t>
        </is>
      </c>
      <c r="G216" s="3" t="n">
        <v>4</v>
      </c>
      <c r="H216" s="3" t="n">
        <v>-0.7799999713897705</v>
      </c>
      <c r="I216" s="3" t="n">
        <v>-0.7799999713897705</v>
      </c>
      <c r="J216" s="3" t="n">
        <v>-0.8379999995231628</v>
      </c>
      <c r="K216" s="3" t="n">
        <v>-0.8379999995231628</v>
      </c>
      <c r="L216" s="3" t="n">
        <v>-0.7799999713897705</v>
      </c>
      <c r="M216" s="3" t="n">
        <v>-0.7799999713897705</v>
      </c>
      <c r="N216" s="3" t="n">
        <v>-0.7799999713897705</v>
      </c>
      <c r="O216" s="3" t="n">
        <v>-0.7799999713897705</v>
      </c>
      <c r="P216" s="3" t="n">
        <v>-0.7799999713897705</v>
      </c>
      <c r="Q216" s="3" t="n">
        <v>-0.7799999713897705</v>
      </c>
      <c r="R216" s="3" t="n">
        <v>-0.7689999938011169</v>
      </c>
      <c r="S216" s="3" t="n">
        <v>-0.9319999814033508</v>
      </c>
      <c r="T216" s="3" t="n">
        <v>-0.7080000042915344</v>
      </c>
      <c r="U216" s="3" t="n">
        <v>-0.8379999995231628</v>
      </c>
      <c r="V216" s="3" t="n">
        <v>-0.6729999780654907</v>
      </c>
      <c r="W216" s="3" t="n">
        <v>-0.4399999976158142</v>
      </c>
      <c r="X216" s="3" t="n">
        <v>-0.9300000071525574</v>
      </c>
      <c r="Y216" s="3" t="n">
        <v>-0.7799999713897705</v>
      </c>
      <c r="Z216" s="3" t="n">
        <v>-0.9319999814033508</v>
      </c>
      <c r="AA216" s="3" t="n">
        <v>-0.9319999814033508</v>
      </c>
      <c r="AB216" s="3" t="n">
        <v>-0.9300000071525574</v>
      </c>
      <c r="AC216" s="3" t="n">
        <v>-0.9800000190734863</v>
      </c>
      <c r="AD216" s="3" t="n">
        <v>-0.8379999995231628</v>
      </c>
      <c r="AE216" s="3" t="n">
        <v>-0.8379999995231628</v>
      </c>
    </row>
    <row r="217">
      <c r="A217" s="3" t="inlineStr">
        <is>
          <t>BHR.distn.dec.ove.mean.5</t>
        </is>
      </c>
      <c r="B217" s="3" t="inlineStr">
        <is>
          <t>BHR</t>
        </is>
      </c>
      <c r="C217" s="3" t="n">
        <v>2005</v>
      </c>
      <c r="D217" s="3" t="inlineStr">
        <is>
          <t>Overall</t>
        </is>
      </c>
      <c r="E217" s="3" t="inlineStr">
        <is>
          <t>Deciles</t>
        </is>
      </c>
      <c r="F217" s="3" t="inlineStr">
        <is>
          <t>mean</t>
        </is>
      </c>
      <c r="G217" s="3" t="n">
        <v>5</v>
      </c>
      <c r="H217" s="3" t="n">
        <v>-0.7799999713897705</v>
      </c>
      <c r="I217" s="3" t="n">
        <v>-0.7799999713897705</v>
      </c>
      <c r="J217" s="3" t="n">
        <v>-0.8379999995231628</v>
      </c>
      <c r="K217" s="3" t="n">
        <v>-0.8379999995231628</v>
      </c>
      <c r="L217" s="3" t="n">
        <v>-0.7799999713897705</v>
      </c>
      <c r="M217" s="3" t="n">
        <v>-0.7799999713897705</v>
      </c>
      <c r="N217" s="3" t="n">
        <v>-0.7799999713897705</v>
      </c>
      <c r="O217" s="3" t="n">
        <v>-0.7799999713897705</v>
      </c>
      <c r="P217" s="3" t="n">
        <v>-0.7799999713897705</v>
      </c>
      <c r="Q217" s="3" t="n">
        <v>-0.7799999713897705</v>
      </c>
      <c r="R217" s="3" t="n">
        <v>-0.7689999938011169</v>
      </c>
      <c r="S217" s="3" t="n">
        <v>-0.9319999814033508</v>
      </c>
      <c r="T217" s="3" t="n">
        <v>-0.7080000042915344</v>
      </c>
      <c r="U217" s="3" t="n">
        <v>-0.8379999995231628</v>
      </c>
      <c r="V217" s="3" t="n">
        <v>-0.6729999780654907</v>
      </c>
      <c r="W217" s="3" t="n">
        <v>-0.4399999976158142</v>
      </c>
      <c r="X217" s="3" t="n">
        <v>-0.9300000071525574</v>
      </c>
      <c r="Y217" s="3" t="n">
        <v>-0.7799999713897705</v>
      </c>
      <c r="Z217" s="3" t="n">
        <v>-0.9319999814033508</v>
      </c>
      <c r="AA217" s="3" t="n">
        <v>-0.9319999814033508</v>
      </c>
      <c r="AB217" s="3" t="n">
        <v>-0.9300000071525574</v>
      </c>
      <c r="AC217" s="3" t="n">
        <v>-0.9800000190734863</v>
      </c>
      <c r="AD217" s="3" t="n">
        <v>-0.8379999995231628</v>
      </c>
      <c r="AE217" s="3" t="n">
        <v>-0.8379999995231628</v>
      </c>
    </row>
    <row r="218">
      <c r="A218" s="3" t="inlineStr">
        <is>
          <t>BHR.distn.dec.ove.mean.6</t>
        </is>
      </c>
      <c r="B218" s="3" t="inlineStr">
        <is>
          <t>BHR</t>
        </is>
      </c>
      <c r="C218" s="3" t="n">
        <v>2005</v>
      </c>
      <c r="D218" s="3" t="inlineStr">
        <is>
          <t>Overall</t>
        </is>
      </c>
      <c r="E218" s="3" t="inlineStr">
        <is>
          <t>Deciles</t>
        </is>
      </c>
      <c r="F218" s="3" t="inlineStr">
        <is>
          <t>mean</t>
        </is>
      </c>
      <c r="G218" s="3" t="n">
        <v>6</v>
      </c>
      <c r="H218" s="3" t="n">
        <v>-0.7799999713897705</v>
      </c>
      <c r="I218" s="3" t="n">
        <v>-0.7799999713897705</v>
      </c>
      <c r="J218" s="3" t="n">
        <v>-0.8379999995231628</v>
      </c>
      <c r="K218" s="3" t="n">
        <v>-0.8379999995231628</v>
      </c>
      <c r="L218" s="3" t="n">
        <v>-0.7799999713897705</v>
      </c>
      <c r="M218" s="3" t="n">
        <v>-0.7799999713897705</v>
      </c>
      <c r="N218" s="3" t="n">
        <v>-0.7799999713897705</v>
      </c>
      <c r="O218" s="3" t="n">
        <v>-0.7799999713897705</v>
      </c>
      <c r="P218" s="3" t="n">
        <v>-0.7799999713897705</v>
      </c>
      <c r="Q218" s="3" t="n">
        <v>-0.7799999713897705</v>
      </c>
      <c r="R218" s="3" t="n">
        <v>-0.7689999938011169</v>
      </c>
      <c r="S218" s="3" t="n">
        <v>-0.9319999814033508</v>
      </c>
      <c r="T218" s="3" t="n">
        <v>-0.7080000042915344</v>
      </c>
      <c r="U218" s="3" t="n">
        <v>-0.8379999995231628</v>
      </c>
      <c r="V218" s="3" t="n">
        <v>-0.6729999780654907</v>
      </c>
      <c r="W218" s="3" t="n">
        <v>-0.4399999976158142</v>
      </c>
      <c r="X218" s="3" t="n">
        <v>-0.9300000071525574</v>
      </c>
      <c r="Y218" s="3" t="n">
        <v>-0.7799999713897705</v>
      </c>
      <c r="Z218" s="3" t="n">
        <v>-0.9319999814033508</v>
      </c>
      <c r="AA218" s="3" t="n">
        <v>-0.9319999814033508</v>
      </c>
      <c r="AB218" s="3" t="n">
        <v>-0.9300000071525574</v>
      </c>
      <c r="AC218" s="3" t="n">
        <v>-0.9800000190734863</v>
      </c>
      <c r="AD218" s="3" t="n">
        <v>-0.8379999995231628</v>
      </c>
      <c r="AE218" s="3" t="n">
        <v>-0.8379999995231628</v>
      </c>
    </row>
    <row r="219">
      <c r="A219" s="3" t="inlineStr">
        <is>
          <t>BHR.distn.dec.ove.mean.7</t>
        </is>
      </c>
      <c r="B219" s="3" t="inlineStr">
        <is>
          <t>BHR</t>
        </is>
      </c>
      <c r="C219" s="3" t="n">
        <v>2005</v>
      </c>
      <c r="D219" s="3" t="inlineStr">
        <is>
          <t>Overall</t>
        </is>
      </c>
      <c r="E219" s="3" t="inlineStr">
        <is>
          <t>Deciles</t>
        </is>
      </c>
      <c r="F219" s="3" t="inlineStr">
        <is>
          <t>mean</t>
        </is>
      </c>
      <c r="G219" s="3" t="n">
        <v>7</v>
      </c>
      <c r="H219" s="3" t="n">
        <v>-0.7799999713897705</v>
      </c>
      <c r="I219" s="3" t="n">
        <v>-0.7799999713897705</v>
      </c>
      <c r="J219" s="3" t="n">
        <v>-0.8379999995231628</v>
      </c>
      <c r="K219" s="3" t="n">
        <v>-0.8379999995231628</v>
      </c>
      <c r="L219" s="3" t="n">
        <v>-0.7799999713897705</v>
      </c>
      <c r="M219" s="3" t="n">
        <v>-0.7799999713897705</v>
      </c>
      <c r="N219" s="3" t="n">
        <v>-0.7799999713897705</v>
      </c>
      <c r="O219" s="3" t="n">
        <v>-0.7799999713897705</v>
      </c>
      <c r="P219" s="3" t="n">
        <v>-0.7799999713897705</v>
      </c>
      <c r="Q219" s="3" t="n">
        <v>-0.7799999713897705</v>
      </c>
      <c r="R219" s="3" t="n">
        <v>-0.7689999938011169</v>
      </c>
      <c r="S219" s="3" t="n">
        <v>-0.9319999814033508</v>
      </c>
      <c r="T219" s="3" t="n">
        <v>-0.7080000042915344</v>
      </c>
      <c r="U219" s="3" t="n">
        <v>-0.8379999995231628</v>
      </c>
      <c r="V219" s="3" t="n">
        <v>-0.6729999780654907</v>
      </c>
      <c r="W219" s="3" t="n">
        <v>-0.4399999976158142</v>
      </c>
      <c r="X219" s="3" t="n">
        <v>-0.9300000071525574</v>
      </c>
      <c r="Y219" s="3" t="n">
        <v>-0.7799999713897705</v>
      </c>
      <c r="Z219" s="3" t="n">
        <v>-0.9319999814033508</v>
      </c>
      <c r="AA219" s="3" t="n">
        <v>-0.9319999814033508</v>
      </c>
      <c r="AB219" s="3" t="n">
        <v>-0.9300000071525574</v>
      </c>
      <c r="AC219" s="3" t="n">
        <v>-0.9800000190734863</v>
      </c>
      <c r="AD219" s="3" t="n">
        <v>-0.8379999995231628</v>
      </c>
      <c r="AE219" s="3" t="n">
        <v>-0.8379999995231628</v>
      </c>
    </row>
    <row r="220">
      <c r="A220" s="3" t="inlineStr">
        <is>
          <t>BHR.distn.dec.ove.mean.8</t>
        </is>
      </c>
      <c r="B220" s="3" t="inlineStr">
        <is>
          <t>BHR</t>
        </is>
      </c>
      <c r="C220" s="3" t="n">
        <v>2005</v>
      </c>
      <c r="D220" s="3" t="inlineStr">
        <is>
          <t>Overall</t>
        </is>
      </c>
      <c r="E220" s="3" t="inlineStr">
        <is>
          <t>Deciles</t>
        </is>
      </c>
      <c r="F220" s="3" t="inlineStr">
        <is>
          <t>mean</t>
        </is>
      </c>
      <c r="G220" s="3" t="n">
        <v>8</v>
      </c>
      <c r="H220" s="3" t="n">
        <v>-0.7803757786750793</v>
      </c>
      <c r="I220" s="3" t="n">
        <v>-0.7803757786750793</v>
      </c>
      <c r="J220" s="3" t="n">
        <v>-0.8402605652809143</v>
      </c>
      <c r="K220" s="3" t="n">
        <v>-0.8402605652809143</v>
      </c>
      <c r="L220" s="3" t="n">
        <v>-0.7803757786750793</v>
      </c>
      <c r="M220" s="3" t="n">
        <v>-0.7803757786750793</v>
      </c>
      <c r="N220" s="3" t="n">
        <v>-0.7803757786750793</v>
      </c>
      <c r="O220" s="3" t="n">
        <v>-0.7803757786750793</v>
      </c>
      <c r="P220" s="3" t="n">
        <v>-0.7803757786750793</v>
      </c>
      <c r="Q220" s="3" t="n">
        <v>-0.7803757786750793</v>
      </c>
      <c r="R220" s="3" t="n">
        <v>-0.7692528963088989</v>
      </c>
      <c r="S220" s="3" t="n">
        <v>-0.9406723380088806</v>
      </c>
      <c r="T220" s="3" t="n">
        <v>-0.7080408334732056</v>
      </c>
      <c r="U220" s="3" t="n">
        <v>-0.8402605652809143</v>
      </c>
      <c r="V220" s="3" t="n">
        <v>-0.6736957430839539</v>
      </c>
      <c r="W220" s="3" t="n">
        <v>-0.4517826735973358</v>
      </c>
      <c r="X220" s="3" t="n">
        <v>-0.938474178314209</v>
      </c>
      <c r="Y220" s="3" t="n">
        <v>-0.7803757786750793</v>
      </c>
      <c r="Z220" s="3" t="n">
        <v>-0.9406723380088806</v>
      </c>
      <c r="AA220" s="3" t="n">
        <v>-0.9406723380088806</v>
      </c>
      <c r="AB220" s="3" t="n">
        <v>-0.938474178314209</v>
      </c>
      <c r="AC220" s="3" t="n">
        <v>-0.9939761161804199</v>
      </c>
      <c r="AD220" s="3" t="n">
        <v>-0.8402605652809143</v>
      </c>
      <c r="AE220" s="3" t="n">
        <v>-0.8402605652809143</v>
      </c>
    </row>
    <row r="221">
      <c r="A221" s="3" t="inlineStr">
        <is>
          <t>BHR.distn.dec.ove.mean.9</t>
        </is>
      </c>
      <c r="B221" s="3" t="inlineStr">
        <is>
          <t>BHR</t>
        </is>
      </c>
      <c r="C221" s="3" t="n">
        <v>2005</v>
      </c>
      <c r="D221" s="3" t="inlineStr">
        <is>
          <t>Overall</t>
        </is>
      </c>
      <c r="E221" s="3" t="inlineStr">
        <is>
          <t>Deciles</t>
        </is>
      </c>
      <c r="F221" s="3" t="inlineStr">
        <is>
          <t>mean</t>
        </is>
      </c>
      <c r="G221" s="3" t="n">
        <v>9</v>
      </c>
      <c r="H221" s="3" t="n">
        <v>-0.7803757786750793</v>
      </c>
      <c r="I221" s="3" t="n">
        <v>-0.7803757786750793</v>
      </c>
      <c r="J221" s="3" t="n">
        <v>-0.8402605652809143</v>
      </c>
      <c r="K221" s="3" t="n">
        <v>-0.8402605652809143</v>
      </c>
      <c r="L221" s="3" t="n">
        <v>-0.7803757786750793</v>
      </c>
      <c r="M221" s="3" t="n">
        <v>-0.7803757786750793</v>
      </c>
      <c r="N221" s="3" t="n">
        <v>-0.7803757786750793</v>
      </c>
      <c r="O221" s="3" t="n">
        <v>-0.7803757786750793</v>
      </c>
      <c r="P221" s="3" t="n">
        <v>-0.7803757786750793</v>
      </c>
      <c r="Q221" s="3" t="n">
        <v>-0.7803757786750793</v>
      </c>
      <c r="R221" s="3" t="n">
        <v>-0.7692528963088989</v>
      </c>
      <c r="S221" s="3" t="n">
        <v>-0.9406723380088806</v>
      </c>
      <c r="T221" s="3" t="n">
        <v>-0.7080408334732056</v>
      </c>
      <c r="U221" s="3" t="n">
        <v>-0.8402605652809143</v>
      </c>
      <c r="V221" s="3" t="n">
        <v>-0.6736957430839539</v>
      </c>
      <c r="W221" s="3" t="n">
        <v>-0.4517826735973358</v>
      </c>
      <c r="X221" s="3" t="n">
        <v>-0.938474178314209</v>
      </c>
      <c r="Y221" s="3" t="n">
        <v>-0.7803757786750793</v>
      </c>
      <c r="Z221" s="3" t="n">
        <v>-0.9406723380088806</v>
      </c>
      <c r="AA221" s="3" t="n">
        <v>-0.9406723380088806</v>
      </c>
      <c r="AB221" s="3" t="n">
        <v>-0.938474178314209</v>
      </c>
      <c r="AC221" s="3" t="n">
        <v>-0.9939761161804199</v>
      </c>
      <c r="AD221" s="3" t="n">
        <v>-0.8402605652809143</v>
      </c>
      <c r="AE221" s="3" t="n">
        <v>-0.8402605652809143</v>
      </c>
    </row>
    <row r="222">
      <c r="A222" s="3" t="inlineStr">
        <is>
          <t>BHR.distn.dec.ove.mean.10</t>
        </is>
      </c>
      <c r="B222" s="3" t="inlineStr">
        <is>
          <t>BHR</t>
        </is>
      </c>
      <c r="C222" s="3" t="n">
        <v>2005</v>
      </c>
      <c r="D222" s="3" t="inlineStr">
        <is>
          <t>Overall</t>
        </is>
      </c>
      <c r="E222" s="3" t="inlineStr">
        <is>
          <t>Deciles</t>
        </is>
      </c>
      <c r="F222" s="3" t="inlineStr">
        <is>
          <t>mean</t>
        </is>
      </c>
      <c r="G222" s="3" t="n">
        <v>10</v>
      </c>
      <c r="H222" s="3" t="n">
        <v>-0.7803757786750793</v>
      </c>
      <c r="I222" s="3" t="n">
        <v>-0.7803757786750793</v>
      </c>
      <c r="J222" s="3" t="n">
        <v>-0.8402605652809143</v>
      </c>
      <c r="K222" s="3" t="n">
        <v>-0.8402605652809143</v>
      </c>
      <c r="L222" s="3" t="n">
        <v>-0.7803757786750793</v>
      </c>
      <c r="M222" s="3" t="n">
        <v>-0.7803757786750793</v>
      </c>
      <c r="N222" s="3" t="n">
        <v>-0.7803757786750793</v>
      </c>
      <c r="O222" s="3" t="n">
        <v>-0.7803757786750793</v>
      </c>
      <c r="P222" s="3" t="n">
        <v>-0.7803757786750793</v>
      </c>
      <c r="Q222" s="3" t="n">
        <v>-0.7803757786750793</v>
      </c>
      <c r="R222" s="3" t="n">
        <v>-0.7692528963088989</v>
      </c>
      <c r="S222" s="3" t="n">
        <v>-0.9406723380088806</v>
      </c>
      <c r="T222" s="3" t="n">
        <v>-0.7080408334732056</v>
      </c>
      <c r="U222" s="3" t="n">
        <v>-0.8402605652809143</v>
      </c>
      <c r="V222" s="3" t="n">
        <v>-0.6736957430839539</v>
      </c>
      <c r="W222" s="3" t="n">
        <v>-0.4517826735973358</v>
      </c>
      <c r="X222" s="3" t="n">
        <v>-0.938474178314209</v>
      </c>
      <c r="Y222" s="3" t="n">
        <v>-0.7803757786750793</v>
      </c>
      <c r="Z222" s="3" t="n">
        <v>-0.9406723380088806</v>
      </c>
      <c r="AA222" s="3" t="n">
        <v>-0.9406723380088806</v>
      </c>
      <c r="AB222" s="3" t="n">
        <v>-0.938474178314209</v>
      </c>
      <c r="AC222" s="3" t="n">
        <v>-0.9939761161804199</v>
      </c>
      <c r="AD222" s="3" t="n">
        <v>-0.8402605652809143</v>
      </c>
      <c r="AE222" s="3" t="n">
        <v>-0.8402605652809143</v>
      </c>
    </row>
    <row r="223">
      <c r="A223" s="3" t="inlineStr">
        <is>
          <t>BHR.distn.bkt.ove.mean.9999</t>
        </is>
      </c>
      <c r="B223" s="3" t="inlineStr">
        <is>
          <t>BHR</t>
        </is>
      </c>
      <c r="C223" s="3" t="n">
        <v>2005</v>
      </c>
      <c r="D223" s="3" t="inlineStr">
        <is>
          <t>Overall</t>
        </is>
      </c>
      <c r="E223" s="3" t="inlineStr">
        <is>
          <t>Basket</t>
        </is>
      </c>
      <c r="F223" s="3" t="inlineStr">
        <is>
          <t>mean</t>
        </is>
      </c>
      <c r="G223" s="3" t="n">
        <v>9999</v>
      </c>
      <c r="H223" s="3" t="n">
        <v>-0.7819802165031433</v>
      </c>
      <c r="I223" s="3" t="n">
        <v>-0.7819802165031433</v>
      </c>
      <c r="J223" s="3" t="n">
        <v>-0.8514428734779358</v>
      </c>
      <c r="K223" s="3" t="n">
        <v>-0.8514428734779358</v>
      </c>
      <c r="L223" s="3" t="n">
        <v>-0.7819802165031433</v>
      </c>
      <c r="M223" s="3" t="n">
        <v>-0.7819802165031433</v>
      </c>
      <c r="N223" s="3" t="n">
        <v>-0.7819802165031433</v>
      </c>
      <c r="O223" s="3" t="n">
        <v>-0.7819802165031433</v>
      </c>
      <c r="P223" s="3" t="n">
        <v>-0.7819802165031433</v>
      </c>
      <c r="Q223" s="3" t="n">
        <v>-0.7819802165031433</v>
      </c>
      <c r="R223" s="3" t="n">
        <v>-0.7701157331466675</v>
      </c>
      <c r="S223" s="3" t="n">
        <v>-1.065507411956787</v>
      </c>
      <c r="T223" s="3" t="n">
        <v>-0.708448052406311</v>
      </c>
      <c r="U223" s="3" t="n">
        <v>-0.8514428734779358</v>
      </c>
      <c r="V223" s="3" t="n">
        <v>-0.675282895565033</v>
      </c>
      <c r="W223" s="3" t="n">
        <v>-0.4683777689933777</v>
      </c>
      <c r="X223" s="3" t="n">
        <v>-1.048874735832214</v>
      </c>
      <c r="Y223" s="3" t="n">
        <v>-0.7819802165031433</v>
      </c>
      <c r="Z223" s="3" t="n">
        <v>-1.065507411956787</v>
      </c>
      <c r="AA223" s="3" t="n">
        <v>-1.065507411956787</v>
      </c>
      <c r="AB223" s="3" t="n">
        <v>-1.048874735832214</v>
      </c>
      <c r="AC223" s="3" t="n">
        <v>-1.298986077308655</v>
      </c>
      <c r="AD223" s="3" t="n">
        <v>-0.8514428734779358</v>
      </c>
      <c r="AE223" s="3" t="n">
        <v>-0.8514428734779358</v>
      </c>
    </row>
    <row r="224">
      <c r="A224" s="3" t="inlineStr">
        <is>
          <t>BHS.distn.dec.ove.mean.1</t>
        </is>
      </c>
      <c r="B224" s="3" t="inlineStr">
        <is>
          <t>BHS</t>
        </is>
      </c>
      <c r="C224" s="3" t="n">
        <v>2005</v>
      </c>
      <c r="D224" s="3" t="inlineStr">
        <is>
          <t>Overall</t>
        </is>
      </c>
      <c r="E224" s="3" t="inlineStr">
        <is>
          <t>Deciles</t>
        </is>
      </c>
      <c r="F224" s="3" t="inlineStr">
        <is>
          <t>mean</t>
        </is>
      </c>
      <c r="G224" s="3" t="n">
        <v>1</v>
      </c>
      <c r="H224" s="3" t="n">
        <v>-0.7878549098968506</v>
      </c>
      <c r="I224" s="3" t="n">
        <v>-0.7878549098968506</v>
      </c>
      <c r="J224" s="3" t="n">
        <v>-0.8883962808771336</v>
      </c>
      <c r="K224" s="3" t="n">
        <v>-0.8883962808771336</v>
      </c>
      <c r="L224" s="3" t="n">
        <v>-0.7878549098968506</v>
      </c>
      <c r="M224" s="3" t="n">
        <v>-0.7878549098968506</v>
      </c>
      <c r="N224" s="3" t="n">
        <v>-0.7878549098968506</v>
      </c>
      <c r="O224" s="3" t="n">
        <v>-0.7878549098968506</v>
      </c>
      <c r="P224" s="3" t="n">
        <v>-0.7878549098968506</v>
      </c>
      <c r="Q224" s="3" t="n">
        <v>-0.7878549098968506</v>
      </c>
      <c r="R224" s="3" t="n">
        <v>-0.7732356596500316</v>
      </c>
      <c r="S224" s="3" t="n">
        <v>-1.408805674694954</v>
      </c>
      <c r="T224" s="3" t="n">
        <v>-0.7095591730259835</v>
      </c>
      <c r="U224" s="3" t="n">
        <v>-0.8883962808771336</v>
      </c>
      <c r="V224" s="3" t="n">
        <v>-0.681934451803248</v>
      </c>
      <c r="W224" s="3" t="n">
        <v>-0.5702875047288043</v>
      </c>
      <c r="X224" s="3" t="n">
        <v>-1.356243993373627</v>
      </c>
      <c r="Y224" s="3" t="n">
        <v>-0.7878549098968506</v>
      </c>
      <c r="Z224" s="3" t="n">
        <v>-1.408805674694954</v>
      </c>
      <c r="AA224" s="3" t="n">
        <v>-1.408805674694954</v>
      </c>
      <c r="AB224" s="3" t="n">
        <v>-1.356243993373627</v>
      </c>
      <c r="AC224" s="3" t="n">
        <v>-2.123991362592007</v>
      </c>
      <c r="AD224" s="3" t="n">
        <v>-0.8883962808771336</v>
      </c>
      <c r="AE224" s="3" t="n">
        <v>-0.8883962808771336</v>
      </c>
    </row>
    <row r="225">
      <c r="A225" s="3" t="inlineStr">
        <is>
          <t>BHS.distn.dec.ove.mean.2</t>
        </is>
      </c>
      <c r="B225" s="3" t="inlineStr">
        <is>
          <t>BHS</t>
        </is>
      </c>
      <c r="C225" s="3" t="n">
        <v>2005</v>
      </c>
      <c r="D225" s="3" t="inlineStr">
        <is>
          <t>Overall</t>
        </is>
      </c>
      <c r="E225" s="3" t="inlineStr">
        <is>
          <t>Deciles</t>
        </is>
      </c>
      <c r="F225" s="3" t="inlineStr">
        <is>
          <t>mean</t>
        </is>
      </c>
      <c r="G225" s="3" t="n">
        <v>2</v>
      </c>
      <c r="H225" s="3" t="n">
        <v>-0.7878549098968506</v>
      </c>
      <c r="I225" s="3" t="n">
        <v>-0.7878549098968506</v>
      </c>
      <c r="J225" s="3" t="n">
        <v>-0.8883962808771336</v>
      </c>
      <c r="K225" s="3" t="n">
        <v>-0.8883962808771336</v>
      </c>
      <c r="L225" s="3" t="n">
        <v>-0.7878549098968506</v>
      </c>
      <c r="M225" s="3" t="n">
        <v>-0.7878549098968506</v>
      </c>
      <c r="N225" s="3" t="n">
        <v>-0.7878549098968506</v>
      </c>
      <c r="O225" s="3" t="n">
        <v>-0.7878549098968506</v>
      </c>
      <c r="P225" s="3" t="n">
        <v>-0.7878549098968506</v>
      </c>
      <c r="Q225" s="3" t="n">
        <v>-0.7878549098968506</v>
      </c>
      <c r="R225" s="3" t="n">
        <v>-0.7732356596500316</v>
      </c>
      <c r="S225" s="3" t="n">
        <v>-1.408805674694954</v>
      </c>
      <c r="T225" s="3" t="n">
        <v>-0.7095591730259835</v>
      </c>
      <c r="U225" s="3" t="n">
        <v>-0.8883962808771336</v>
      </c>
      <c r="V225" s="3" t="n">
        <v>-0.681934451803248</v>
      </c>
      <c r="W225" s="3" t="n">
        <v>-0.5702875047288043</v>
      </c>
      <c r="X225" s="3" t="n">
        <v>-1.356243993373627</v>
      </c>
      <c r="Y225" s="3" t="n">
        <v>-0.7878549098968506</v>
      </c>
      <c r="Z225" s="3" t="n">
        <v>-1.408805674694954</v>
      </c>
      <c r="AA225" s="3" t="n">
        <v>-1.408805674694954</v>
      </c>
      <c r="AB225" s="3" t="n">
        <v>-1.356243993373627</v>
      </c>
      <c r="AC225" s="3" t="n">
        <v>-2.123991362592007</v>
      </c>
      <c r="AD225" s="3" t="n">
        <v>-0.8883962808771336</v>
      </c>
      <c r="AE225" s="3" t="n">
        <v>-0.8883962808771336</v>
      </c>
    </row>
    <row r="226">
      <c r="A226" s="3" t="inlineStr">
        <is>
          <t>BHS.distn.dec.ove.mean.3</t>
        </is>
      </c>
      <c r="B226" s="3" t="inlineStr">
        <is>
          <t>BHS</t>
        </is>
      </c>
      <c r="C226" s="3" t="n">
        <v>2005</v>
      </c>
      <c r="D226" s="3" t="inlineStr">
        <is>
          <t>Overall</t>
        </is>
      </c>
      <c r="E226" s="3" t="inlineStr">
        <is>
          <t>Deciles</t>
        </is>
      </c>
      <c r="F226" s="3" t="inlineStr">
        <is>
          <t>mean</t>
        </is>
      </c>
      <c r="G226" s="3" t="n">
        <v>3</v>
      </c>
      <c r="H226" s="3" t="n">
        <v>-0.7878549098968506</v>
      </c>
      <c r="I226" s="3" t="n">
        <v>-0.7878549098968506</v>
      </c>
      <c r="J226" s="3" t="n">
        <v>-0.8883962808771336</v>
      </c>
      <c r="K226" s="3" t="n">
        <v>-0.8883962808771336</v>
      </c>
      <c r="L226" s="3" t="n">
        <v>-0.7878549098968506</v>
      </c>
      <c r="M226" s="3" t="n">
        <v>-0.7878549098968506</v>
      </c>
      <c r="N226" s="3" t="n">
        <v>-0.7878549098968506</v>
      </c>
      <c r="O226" s="3" t="n">
        <v>-0.7878549098968506</v>
      </c>
      <c r="P226" s="3" t="n">
        <v>-0.7878549098968506</v>
      </c>
      <c r="Q226" s="3" t="n">
        <v>-0.7878549098968506</v>
      </c>
      <c r="R226" s="3" t="n">
        <v>-0.7732356596500316</v>
      </c>
      <c r="S226" s="3" t="n">
        <v>-1.408805674694954</v>
      </c>
      <c r="T226" s="3" t="n">
        <v>-0.7095591730259835</v>
      </c>
      <c r="U226" s="3" t="n">
        <v>-0.8883962808771336</v>
      </c>
      <c r="V226" s="3" t="n">
        <v>-0.681934451803248</v>
      </c>
      <c r="W226" s="3" t="n">
        <v>-0.5702875047288043</v>
      </c>
      <c r="X226" s="3" t="n">
        <v>-1.356243993373627</v>
      </c>
      <c r="Y226" s="3" t="n">
        <v>-0.7878549098968506</v>
      </c>
      <c r="Z226" s="3" t="n">
        <v>-1.408805674694954</v>
      </c>
      <c r="AA226" s="3" t="n">
        <v>-1.408805674694954</v>
      </c>
      <c r="AB226" s="3" t="n">
        <v>-1.356243993373627</v>
      </c>
      <c r="AC226" s="3" t="n">
        <v>-2.123991362592007</v>
      </c>
      <c r="AD226" s="3" t="n">
        <v>-0.8883962808771336</v>
      </c>
      <c r="AE226" s="3" t="n">
        <v>-0.8883962808771336</v>
      </c>
    </row>
    <row r="227">
      <c r="A227" s="3" t="inlineStr">
        <is>
          <t>BHS.distn.dec.ove.mean.4</t>
        </is>
      </c>
      <c r="B227" s="3" t="inlineStr">
        <is>
          <t>BHS</t>
        </is>
      </c>
      <c r="C227" s="3" t="n">
        <v>2005</v>
      </c>
      <c r="D227" s="3" t="inlineStr">
        <is>
          <t>Overall</t>
        </is>
      </c>
      <c r="E227" s="3" t="inlineStr">
        <is>
          <t>Deciles</t>
        </is>
      </c>
      <c r="F227" s="3" t="inlineStr">
        <is>
          <t>mean</t>
        </is>
      </c>
      <c r="G227" s="3" t="n">
        <v>4</v>
      </c>
      <c r="H227" s="3" t="n">
        <v>-0.7816170251115839</v>
      </c>
      <c r="I227" s="3" t="n">
        <v>-0.7816170251115839</v>
      </c>
      <c r="J227" s="3" t="n">
        <v>-0.8454680810583398</v>
      </c>
      <c r="K227" s="3" t="n">
        <v>-0.8454680810583398</v>
      </c>
      <c r="L227" s="3" t="n">
        <v>-0.7816170251115839</v>
      </c>
      <c r="M227" s="3" t="n">
        <v>-0.7816170251115839</v>
      </c>
      <c r="N227" s="3" t="n">
        <v>-0.7816170251115839</v>
      </c>
      <c r="O227" s="3" t="n">
        <v>-0.7816170251115839</v>
      </c>
      <c r="P227" s="3" t="n">
        <v>-0.7816170251115839</v>
      </c>
      <c r="Q227" s="3" t="n">
        <v>-0.7816170251115839</v>
      </c>
      <c r="R227" s="3" t="n">
        <v>-0.7697659489956308</v>
      </c>
      <c r="S227" s="3" t="n">
        <v>-0.9595531871978272</v>
      </c>
      <c r="T227" s="3" t="n">
        <v>-0.7081063859006191</v>
      </c>
      <c r="U227" s="3" t="n">
        <v>-0.8454680810583398</v>
      </c>
      <c r="V227" s="3" t="n">
        <v>-0.6750000017754575</v>
      </c>
      <c r="W227" s="3" t="n">
        <v>-0.4799574455048176</v>
      </c>
      <c r="X227" s="3" t="n">
        <v>-0.9571489362006492</v>
      </c>
      <c r="Y227" s="3" t="n">
        <v>-0.7816170251115839</v>
      </c>
      <c r="Z227" s="3" t="n">
        <v>-0.9595531871978272</v>
      </c>
      <c r="AA227" s="3" t="n">
        <v>-0.9595531871978272</v>
      </c>
      <c r="AB227" s="3" t="n">
        <v>-0.9571489362006492</v>
      </c>
      <c r="AC227" s="3" t="n">
        <v>-1.025723396463597</v>
      </c>
      <c r="AD227" s="3" t="n">
        <v>-0.8454680810583398</v>
      </c>
      <c r="AE227" s="3" t="n">
        <v>-0.8454680810583398</v>
      </c>
    </row>
    <row r="228">
      <c r="A228" s="3" t="inlineStr">
        <is>
          <t>BHS.distn.dec.ove.mean.5</t>
        </is>
      </c>
      <c r="B228" s="3" t="inlineStr">
        <is>
          <t>BHS</t>
        </is>
      </c>
      <c r="C228" s="3" t="n">
        <v>2005</v>
      </c>
      <c r="D228" s="3" t="inlineStr">
        <is>
          <t>Overall</t>
        </is>
      </c>
      <c r="E228" s="3" t="inlineStr">
        <is>
          <t>Deciles</t>
        </is>
      </c>
      <c r="F228" s="3" t="inlineStr">
        <is>
          <t>mean</t>
        </is>
      </c>
      <c r="G228" s="3" t="n">
        <v>5</v>
      </c>
      <c r="H228" s="3" t="n">
        <v>-0.7816170251115839</v>
      </c>
      <c r="I228" s="3" t="n">
        <v>-0.7816170251115839</v>
      </c>
      <c r="J228" s="3" t="n">
        <v>-0.8454680810583398</v>
      </c>
      <c r="K228" s="3" t="n">
        <v>-0.8454680810583398</v>
      </c>
      <c r="L228" s="3" t="n">
        <v>-0.7816170251115839</v>
      </c>
      <c r="M228" s="3" t="n">
        <v>-0.7816170251115839</v>
      </c>
      <c r="N228" s="3" t="n">
        <v>-0.7816170251115839</v>
      </c>
      <c r="O228" s="3" t="n">
        <v>-0.7816170251115839</v>
      </c>
      <c r="P228" s="3" t="n">
        <v>-0.7816170251115839</v>
      </c>
      <c r="Q228" s="3" t="n">
        <v>-0.7816170251115839</v>
      </c>
      <c r="R228" s="3" t="n">
        <v>-0.7697659489956308</v>
      </c>
      <c r="S228" s="3" t="n">
        <v>-0.9595531871978272</v>
      </c>
      <c r="T228" s="3" t="n">
        <v>-0.7081063859006191</v>
      </c>
      <c r="U228" s="3" t="n">
        <v>-0.8454680810583398</v>
      </c>
      <c r="V228" s="3" t="n">
        <v>-0.6750000017754575</v>
      </c>
      <c r="W228" s="3" t="n">
        <v>-0.4799574455048176</v>
      </c>
      <c r="X228" s="3" t="n">
        <v>-0.9571489362006492</v>
      </c>
      <c r="Y228" s="3" t="n">
        <v>-0.7816170251115839</v>
      </c>
      <c r="Z228" s="3" t="n">
        <v>-0.9595531871978272</v>
      </c>
      <c r="AA228" s="3" t="n">
        <v>-0.9595531871978272</v>
      </c>
      <c r="AB228" s="3" t="n">
        <v>-0.9571489362006492</v>
      </c>
      <c r="AC228" s="3" t="n">
        <v>-1.025723396463597</v>
      </c>
      <c r="AD228" s="3" t="n">
        <v>-0.8454680810583398</v>
      </c>
      <c r="AE228" s="3" t="n">
        <v>-0.8454680810583398</v>
      </c>
    </row>
    <row r="229">
      <c r="A229" s="3" t="inlineStr">
        <is>
          <t>BHS.distn.dec.ove.mean.6</t>
        </is>
      </c>
      <c r="B229" s="3" t="inlineStr">
        <is>
          <t>BHS</t>
        </is>
      </c>
      <c r="C229" s="3" t="n">
        <v>2005</v>
      </c>
      <c r="D229" s="3" t="inlineStr">
        <is>
          <t>Overall</t>
        </is>
      </c>
      <c r="E229" s="3" t="inlineStr">
        <is>
          <t>Deciles</t>
        </is>
      </c>
      <c r="F229" s="3" t="inlineStr">
        <is>
          <t>mean</t>
        </is>
      </c>
      <c r="G229" s="3" t="n">
        <v>6</v>
      </c>
      <c r="H229" s="3" t="n">
        <v>-0.7816170251115839</v>
      </c>
      <c r="I229" s="3" t="n">
        <v>-0.7816170251115839</v>
      </c>
      <c r="J229" s="3" t="n">
        <v>-0.8454680810583398</v>
      </c>
      <c r="K229" s="3" t="n">
        <v>-0.8454680810583398</v>
      </c>
      <c r="L229" s="3" t="n">
        <v>-0.7816170251115839</v>
      </c>
      <c r="M229" s="3" t="n">
        <v>-0.7816170251115839</v>
      </c>
      <c r="N229" s="3" t="n">
        <v>-0.7816170251115839</v>
      </c>
      <c r="O229" s="3" t="n">
        <v>-0.7816170251115839</v>
      </c>
      <c r="P229" s="3" t="n">
        <v>-0.7816170251115839</v>
      </c>
      <c r="Q229" s="3" t="n">
        <v>-0.7816170251115839</v>
      </c>
      <c r="R229" s="3" t="n">
        <v>-0.7697659489956308</v>
      </c>
      <c r="S229" s="3" t="n">
        <v>-0.9595531871978272</v>
      </c>
      <c r="T229" s="3" t="n">
        <v>-0.7081063859006191</v>
      </c>
      <c r="U229" s="3" t="n">
        <v>-0.8454680810583398</v>
      </c>
      <c r="V229" s="3" t="n">
        <v>-0.6750000017754575</v>
      </c>
      <c r="W229" s="3" t="n">
        <v>-0.4799574455048176</v>
      </c>
      <c r="X229" s="3" t="n">
        <v>-0.9571489362006492</v>
      </c>
      <c r="Y229" s="3" t="n">
        <v>-0.7816170251115839</v>
      </c>
      <c r="Z229" s="3" t="n">
        <v>-0.9595531871978272</v>
      </c>
      <c r="AA229" s="3" t="n">
        <v>-0.9595531871978272</v>
      </c>
      <c r="AB229" s="3" t="n">
        <v>-0.9571489362006492</v>
      </c>
      <c r="AC229" s="3" t="n">
        <v>-1.025723396463597</v>
      </c>
      <c r="AD229" s="3" t="n">
        <v>-0.8454680810583398</v>
      </c>
      <c r="AE229" s="3" t="n">
        <v>-0.8454680810583398</v>
      </c>
    </row>
    <row r="230">
      <c r="A230" s="3" t="inlineStr">
        <is>
          <t>BHS.distn.dec.ove.mean.7</t>
        </is>
      </c>
      <c r="B230" s="3" t="inlineStr">
        <is>
          <t>BHS</t>
        </is>
      </c>
      <c r="C230" s="3" t="n">
        <v>2005</v>
      </c>
      <c r="D230" s="3" t="inlineStr">
        <is>
          <t>Overall</t>
        </is>
      </c>
      <c r="E230" s="3" t="inlineStr">
        <is>
          <t>Deciles</t>
        </is>
      </c>
      <c r="F230" s="3" t="inlineStr">
        <is>
          <t>mean</t>
        </is>
      </c>
      <c r="G230" s="3" t="n">
        <v>7</v>
      </c>
      <c r="H230" s="3" t="n">
        <v>-0.7816170251115839</v>
      </c>
      <c r="I230" s="3" t="n">
        <v>-0.7816170251115839</v>
      </c>
      <c r="J230" s="3" t="n">
        <v>-0.8454680810583398</v>
      </c>
      <c r="K230" s="3" t="n">
        <v>-0.8454680810583398</v>
      </c>
      <c r="L230" s="3" t="n">
        <v>-0.7816170251115839</v>
      </c>
      <c r="M230" s="3" t="n">
        <v>-0.7816170251115839</v>
      </c>
      <c r="N230" s="3" t="n">
        <v>-0.7816170251115839</v>
      </c>
      <c r="O230" s="3" t="n">
        <v>-0.7816170251115839</v>
      </c>
      <c r="P230" s="3" t="n">
        <v>-0.7816170251115839</v>
      </c>
      <c r="Q230" s="3" t="n">
        <v>-0.7816170251115839</v>
      </c>
      <c r="R230" s="3" t="n">
        <v>-0.7697659489956308</v>
      </c>
      <c r="S230" s="3" t="n">
        <v>-0.9595531871978272</v>
      </c>
      <c r="T230" s="3" t="n">
        <v>-0.7081063859006191</v>
      </c>
      <c r="U230" s="3" t="n">
        <v>-0.8454680810583398</v>
      </c>
      <c r="V230" s="3" t="n">
        <v>-0.6750000017754575</v>
      </c>
      <c r="W230" s="3" t="n">
        <v>-0.4799574455048176</v>
      </c>
      <c r="X230" s="3" t="n">
        <v>-0.9571489362006492</v>
      </c>
      <c r="Y230" s="3" t="n">
        <v>-0.7816170251115839</v>
      </c>
      <c r="Z230" s="3" t="n">
        <v>-0.9595531871978272</v>
      </c>
      <c r="AA230" s="3" t="n">
        <v>-0.9595531871978272</v>
      </c>
      <c r="AB230" s="3" t="n">
        <v>-0.9571489362006492</v>
      </c>
      <c r="AC230" s="3" t="n">
        <v>-1.025723396463597</v>
      </c>
      <c r="AD230" s="3" t="n">
        <v>-0.8454680810583398</v>
      </c>
      <c r="AE230" s="3" t="n">
        <v>-0.8454680810583398</v>
      </c>
    </row>
    <row r="231">
      <c r="A231" s="3" t="inlineStr">
        <is>
          <t>BHS.distn.dec.ove.mean.8</t>
        </is>
      </c>
      <c r="B231" s="3" t="inlineStr">
        <is>
          <t>BHS</t>
        </is>
      </c>
      <c r="C231" s="3" t="n">
        <v>2005</v>
      </c>
      <c r="D231" s="3" t="inlineStr">
        <is>
          <t>Overall</t>
        </is>
      </c>
      <c r="E231" s="3" t="inlineStr">
        <is>
          <t>Deciles</t>
        </is>
      </c>
      <c r="F231" s="3" t="inlineStr">
        <is>
          <t>mean</t>
        </is>
      </c>
      <c r="G231" s="3" t="n">
        <v>8</v>
      </c>
      <c r="H231" s="3" t="n">
        <v>-0.7819935831617801</v>
      </c>
      <c r="I231" s="3" t="n">
        <v>-0.7819935831617801</v>
      </c>
      <c r="J231" s="3" t="n">
        <v>-0.8477488045996808</v>
      </c>
      <c r="K231" s="3" t="n">
        <v>-0.8477488045996808</v>
      </c>
      <c r="L231" s="3" t="n">
        <v>-0.7819935831617801</v>
      </c>
      <c r="M231" s="3" t="n">
        <v>-0.7819935831617801</v>
      </c>
      <c r="N231" s="3" t="n">
        <v>-0.7819935831617801</v>
      </c>
      <c r="O231" s="3" t="n">
        <v>-0.7819935831617801</v>
      </c>
      <c r="P231" s="3" t="n">
        <v>-0.7819935831617801</v>
      </c>
      <c r="Q231" s="3" t="n">
        <v>-0.7819935831617801</v>
      </c>
      <c r="R231" s="3" t="n">
        <v>-0.7700191178220384</v>
      </c>
      <c r="S231" s="3" t="n">
        <v>-0.9684819490351575</v>
      </c>
      <c r="T231" s="3" t="n">
        <v>-0.70814722142321</v>
      </c>
      <c r="U231" s="3" t="n">
        <v>-0.8477488045996808</v>
      </c>
      <c r="V231" s="3" t="n">
        <v>-0.6756977857427394</v>
      </c>
      <c r="W231" s="3" t="n">
        <v>-0.4928101326556916</v>
      </c>
      <c r="X231" s="3" t="n">
        <v>-0.9658704755154062</v>
      </c>
      <c r="Y231" s="3" t="n">
        <v>-0.7819935831617801</v>
      </c>
      <c r="Z231" s="3" t="n">
        <v>-0.9684819490351575</v>
      </c>
      <c r="AA231" s="3" t="n">
        <v>-0.9684819490351575</v>
      </c>
      <c r="AB231" s="3" t="n">
        <v>-0.9658704755154062</v>
      </c>
      <c r="AC231" s="3" t="n">
        <v>-1.04035159628442</v>
      </c>
      <c r="AD231" s="3" t="n">
        <v>-0.8477488045996808</v>
      </c>
      <c r="AE231" s="3" t="n">
        <v>-0.8477488045996808</v>
      </c>
    </row>
    <row r="232">
      <c r="A232" s="3" t="inlineStr">
        <is>
          <t>BHS.distn.dec.ove.mean.9</t>
        </is>
      </c>
      <c r="B232" s="3" t="inlineStr">
        <is>
          <t>BHS</t>
        </is>
      </c>
      <c r="C232" s="3" t="n">
        <v>2005</v>
      </c>
      <c r="D232" s="3" t="inlineStr">
        <is>
          <t>Overall</t>
        </is>
      </c>
      <c r="E232" s="3" t="inlineStr">
        <is>
          <t>Deciles</t>
        </is>
      </c>
      <c r="F232" s="3" t="inlineStr">
        <is>
          <t>mean</t>
        </is>
      </c>
      <c r="G232" s="3" t="n">
        <v>9</v>
      </c>
      <c r="H232" s="3" t="n">
        <v>-0.7819935831617801</v>
      </c>
      <c r="I232" s="3" t="n">
        <v>-0.7819935831617801</v>
      </c>
      <c r="J232" s="3" t="n">
        <v>-0.8477488045996808</v>
      </c>
      <c r="K232" s="3" t="n">
        <v>-0.8477488045996808</v>
      </c>
      <c r="L232" s="3" t="n">
        <v>-0.7819935831617801</v>
      </c>
      <c r="M232" s="3" t="n">
        <v>-0.7819935831617801</v>
      </c>
      <c r="N232" s="3" t="n">
        <v>-0.7819935831617801</v>
      </c>
      <c r="O232" s="3" t="n">
        <v>-0.7819935831617801</v>
      </c>
      <c r="P232" s="3" t="n">
        <v>-0.7819935831617801</v>
      </c>
      <c r="Q232" s="3" t="n">
        <v>-0.7819935831617801</v>
      </c>
      <c r="R232" s="3" t="n">
        <v>-0.7700191178220384</v>
      </c>
      <c r="S232" s="3" t="n">
        <v>-0.9684819490351575</v>
      </c>
      <c r="T232" s="3" t="n">
        <v>-0.70814722142321</v>
      </c>
      <c r="U232" s="3" t="n">
        <v>-0.8477488045996808</v>
      </c>
      <c r="V232" s="3" t="n">
        <v>-0.6756977857427394</v>
      </c>
      <c r="W232" s="3" t="n">
        <v>-0.4928101326556916</v>
      </c>
      <c r="X232" s="3" t="n">
        <v>-0.9658704755154062</v>
      </c>
      <c r="Y232" s="3" t="n">
        <v>-0.7819935831617801</v>
      </c>
      <c r="Z232" s="3" t="n">
        <v>-0.9684819490351575</v>
      </c>
      <c r="AA232" s="3" t="n">
        <v>-0.9684819490351575</v>
      </c>
      <c r="AB232" s="3" t="n">
        <v>-0.9658704755154062</v>
      </c>
      <c r="AC232" s="3" t="n">
        <v>-1.04035159628442</v>
      </c>
      <c r="AD232" s="3" t="n">
        <v>-0.8477488045996808</v>
      </c>
      <c r="AE232" s="3" t="n">
        <v>-0.8477488045996808</v>
      </c>
    </row>
    <row r="233">
      <c r="A233" s="3" t="inlineStr">
        <is>
          <t>BHS.distn.dec.ove.mean.10</t>
        </is>
      </c>
      <c r="B233" s="3" t="inlineStr">
        <is>
          <t>BHS</t>
        </is>
      </c>
      <c r="C233" s="3" t="n">
        <v>2005</v>
      </c>
      <c r="D233" s="3" t="inlineStr">
        <is>
          <t>Overall</t>
        </is>
      </c>
      <c r="E233" s="3" t="inlineStr">
        <is>
          <t>Deciles</t>
        </is>
      </c>
      <c r="F233" s="3" t="inlineStr">
        <is>
          <t>mean</t>
        </is>
      </c>
      <c r="G233" s="3" t="n">
        <v>10</v>
      </c>
      <c r="H233" s="3" t="n">
        <v>-0.7819935831617801</v>
      </c>
      <c r="I233" s="3" t="n">
        <v>-0.7819935831617801</v>
      </c>
      <c r="J233" s="3" t="n">
        <v>-0.8477488045996808</v>
      </c>
      <c r="K233" s="3" t="n">
        <v>-0.8477488045996808</v>
      </c>
      <c r="L233" s="3" t="n">
        <v>-0.7819935831617801</v>
      </c>
      <c r="M233" s="3" t="n">
        <v>-0.7819935831617801</v>
      </c>
      <c r="N233" s="3" t="n">
        <v>-0.7819935831617801</v>
      </c>
      <c r="O233" s="3" t="n">
        <v>-0.7819935831617801</v>
      </c>
      <c r="P233" s="3" t="n">
        <v>-0.7819935831617801</v>
      </c>
      <c r="Q233" s="3" t="n">
        <v>-0.7819935831617801</v>
      </c>
      <c r="R233" s="3" t="n">
        <v>-0.7700191178220384</v>
      </c>
      <c r="S233" s="3" t="n">
        <v>-0.9684819490351575</v>
      </c>
      <c r="T233" s="3" t="n">
        <v>-0.70814722142321</v>
      </c>
      <c r="U233" s="3" t="n">
        <v>-0.8477488045996808</v>
      </c>
      <c r="V233" s="3" t="n">
        <v>-0.6756977857427394</v>
      </c>
      <c r="W233" s="3" t="n">
        <v>-0.4928101326556916</v>
      </c>
      <c r="X233" s="3" t="n">
        <v>-0.9658704755154062</v>
      </c>
      <c r="Y233" s="3" t="n">
        <v>-0.7819935831617801</v>
      </c>
      <c r="Z233" s="3" t="n">
        <v>-0.9684819490351575</v>
      </c>
      <c r="AA233" s="3" t="n">
        <v>-0.9684819490351575</v>
      </c>
      <c r="AB233" s="3" t="n">
        <v>-0.9658704755154062</v>
      </c>
      <c r="AC233" s="3" t="n">
        <v>-1.04035159628442</v>
      </c>
      <c r="AD233" s="3" t="n">
        <v>-0.8477488045996808</v>
      </c>
      <c r="AE233" s="3" t="n">
        <v>-0.8477488045996808</v>
      </c>
    </row>
    <row r="234">
      <c r="A234" s="3" t="inlineStr">
        <is>
          <t>BHS.distn.bkt.ove.mean.9999</t>
        </is>
      </c>
      <c r="B234" s="3" t="inlineStr">
        <is>
          <t>BHS</t>
        </is>
      </c>
      <c r="C234" s="3" t="n">
        <v>2005</v>
      </c>
      <c r="D234" s="3" t="inlineStr">
        <is>
          <t>Overall</t>
        </is>
      </c>
      <c r="E234" s="3" t="inlineStr">
        <is>
          <t>Basket</t>
        </is>
      </c>
      <c r="F234" s="3" t="inlineStr">
        <is>
          <t>mean</t>
        </is>
      </c>
      <c r="G234" s="3" t="n">
        <v>9999</v>
      </c>
      <c r="H234" s="3" t="n">
        <v>-0.7836013613863194</v>
      </c>
      <c r="I234" s="3" t="n">
        <v>-0.7836013613863194</v>
      </c>
      <c r="J234" s="3" t="n">
        <v>-0.8590307616172953</v>
      </c>
      <c r="K234" s="3" t="n">
        <v>-0.8590307616172953</v>
      </c>
      <c r="L234" s="3" t="n">
        <v>-0.7836013613863194</v>
      </c>
      <c r="M234" s="3" t="n">
        <v>-0.7836013613863194</v>
      </c>
      <c r="N234" s="3" t="n">
        <v>-0.7836013613863194</v>
      </c>
      <c r="O234" s="3" t="n">
        <v>-0.7836013613863194</v>
      </c>
      <c r="P234" s="3" t="n">
        <v>-0.7836013613863194</v>
      </c>
      <c r="Q234" s="3" t="n">
        <v>-0.7836013613863194</v>
      </c>
      <c r="R234" s="3" t="n">
        <v>-0.7708828220976159</v>
      </c>
      <c r="S234" s="3" t="n">
        <v>-1.097007578991829</v>
      </c>
      <c r="T234" s="3" t="n">
        <v>-0.7085544974245923</v>
      </c>
      <c r="U234" s="3" t="n">
        <v>-0.8590307616172953</v>
      </c>
      <c r="V234" s="3" t="n">
        <v>-0.6772896647453308</v>
      </c>
      <c r="W234" s="3" t="n">
        <v>-0.5109122699879586</v>
      </c>
      <c r="X234" s="3" t="n">
        <v>-1.079493910708326</v>
      </c>
      <c r="Y234" s="3" t="n">
        <v>-0.7836013613863194</v>
      </c>
      <c r="Z234" s="3" t="n">
        <v>-1.097007578991829</v>
      </c>
      <c r="AA234" s="3" t="n">
        <v>-1.097007578991829</v>
      </c>
      <c r="AB234" s="3" t="n">
        <v>-1.079493910708326</v>
      </c>
      <c r="AC234" s="3" t="n">
        <v>-1.359592239907447</v>
      </c>
      <c r="AD234" s="3" t="n">
        <v>-0.8590307616172953</v>
      </c>
      <c r="AE234" s="3" t="n">
        <v>-0.8590307616172953</v>
      </c>
    </row>
    <row r="235">
      <c r="A235" s="3" t="inlineStr">
        <is>
          <t>BIH.distn.dec.ove.mean.1</t>
        </is>
      </c>
      <c r="B235" s="3" t="inlineStr">
        <is>
          <t>BIH</t>
        </is>
      </c>
      <c r="C235" s="3" t="n">
        <v>2005</v>
      </c>
      <c r="D235" s="3" t="inlineStr">
        <is>
          <t>Overall</t>
        </is>
      </c>
      <c r="E235" s="3" t="inlineStr">
        <is>
          <t>Deciles</t>
        </is>
      </c>
      <c r="F235" s="3" t="inlineStr">
        <is>
          <t>mean</t>
        </is>
      </c>
      <c r="G235" s="3" t="n">
        <v>1</v>
      </c>
      <c r="H235" s="3" t="n">
        <v>-0.7898249251501901</v>
      </c>
      <c r="I235" s="3" t="n">
        <v>-0.7898249251501901</v>
      </c>
      <c r="J235" s="3" t="n">
        <v>-0.9006037865366254</v>
      </c>
      <c r="K235" s="3" t="n">
        <v>-0.9006037865366254</v>
      </c>
      <c r="L235" s="3" t="n">
        <v>-0.7898249251501901</v>
      </c>
      <c r="M235" s="3" t="n">
        <v>-0.7898249251501901</v>
      </c>
      <c r="N235" s="3" t="n">
        <v>-0.7898249251501901</v>
      </c>
      <c r="O235" s="3" t="n">
        <v>-0.7898249251501901</v>
      </c>
      <c r="P235" s="3" t="n">
        <v>-0.7898249251501901</v>
      </c>
      <c r="Q235" s="3" t="n">
        <v>-0.7898249251501901</v>
      </c>
      <c r="R235" s="3" t="n">
        <v>-0.7744465725762504</v>
      </c>
      <c r="S235" s="3" t="n">
        <v>-1.490841317176819</v>
      </c>
      <c r="T235" s="3" t="n">
        <v>-0.7100824441228594</v>
      </c>
      <c r="U235" s="3" t="n">
        <v>-0.9006037865366254</v>
      </c>
      <c r="V235" s="3" t="n">
        <v>-0.6846477542604719</v>
      </c>
      <c r="W235" s="3" t="n">
        <v>-0.6204802887780326</v>
      </c>
      <c r="X235" s="3" t="n">
        <v>-1.433480068615505</v>
      </c>
      <c r="Y235" s="3" t="n">
        <v>-0.7898249251501901</v>
      </c>
      <c r="Z235" s="3" t="n">
        <v>-1.490841317176819</v>
      </c>
      <c r="AA235" s="3" t="n">
        <v>-1.490841317176819</v>
      </c>
      <c r="AB235" s="3" t="n">
        <v>-1.433480068615505</v>
      </c>
      <c r="AC235" s="3" t="n">
        <v>-2.345895099639892</v>
      </c>
      <c r="AD235" s="3" t="n">
        <v>-0.9006037865366254</v>
      </c>
      <c r="AE235" s="3" t="n">
        <v>-0.9006037865366254</v>
      </c>
    </row>
    <row r="236">
      <c r="A236" s="3" t="inlineStr">
        <is>
          <t>BIH.distn.dec.ove.mean.2</t>
        </is>
      </c>
      <c r="B236" s="3" t="inlineStr">
        <is>
          <t>BIH</t>
        </is>
      </c>
      <c r="C236" s="3" t="n">
        <v>2005</v>
      </c>
      <c r="D236" s="3" t="inlineStr">
        <is>
          <t>Overall</t>
        </is>
      </c>
      <c r="E236" s="3" t="inlineStr">
        <is>
          <t>Deciles</t>
        </is>
      </c>
      <c r="F236" s="3" t="inlineStr">
        <is>
          <t>mean</t>
        </is>
      </c>
      <c r="G236" s="3" t="n">
        <v>2</v>
      </c>
      <c r="H236" s="3" t="n">
        <v>-0.7898249251501901</v>
      </c>
      <c r="I236" s="3" t="n">
        <v>-0.7898249251501901</v>
      </c>
      <c r="J236" s="3" t="n">
        <v>-0.9006037865366254</v>
      </c>
      <c r="K236" s="3" t="n">
        <v>-0.9006037865366254</v>
      </c>
      <c r="L236" s="3" t="n">
        <v>-0.7898249251501901</v>
      </c>
      <c r="M236" s="3" t="n">
        <v>-0.7898249251501901</v>
      </c>
      <c r="N236" s="3" t="n">
        <v>-0.7898249251501901</v>
      </c>
      <c r="O236" s="3" t="n">
        <v>-0.7898249251501901</v>
      </c>
      <c r="P236" s="3" t="n">
        <v>-0.7898249251501901</v>
      </c>
      <c r="Q236" s="3" t="n">
        <v>-0.7898249251501901</v>
      </c>
      <c r="R236" s="3" t="n">
        <v>-0.7744465725762504</v>
      </c>
      <c r="S236" s="3" t="n">
        <v>-1.490841317176819</v>
      </c>
      <c r="T236" s="3" t="n">
        <v>-0.7100824441228594</v>
      </c>
      <c r="U236" s="3" t="n">
        <v>-0.9006037865366254</v>
      </c>
      <c r="V236" s="3" t="n">
        <v>-0.6846477542604719</v>
      </c>
      <c r="W236" s="3" t="n">
        <v>-0.6204802887780326</v>
      </c>
      <c r="X236" s="3" t="n">
        <v>-1.433480068615505</v>
      </c>
      <c r="Y236" s="3" t="n">
        <v>-0.7898249251501901</v>
      </c>
      <c r="Z236" s="3" t="n">
        <v>-1.490841317176819</v>
      </c>
      <c r="AA236" s="3" t="n">
        <v>-1.490841317176819</v>
      </c>
      <c r="AB236" s="3" t="n">
        <v>-1.433480068615505</v>
      </c>
      <c r="AC236" s="3" t="n">
        <v>-2.345895099639892</v>
      </c>
      <c r="AD236" s="3" t="n">
        <v>-0.9006037865366254</v>
      </c>
      <c r="AE236" s="3" t="n">
        <v>-0.9006037865366254</v>
      </c>
    </row>
    <row r="237">
      <c r="A237" s="3" t="inlineStr">
        <is>
          <t>BIH.distn.dec.ove.mean.3</t>
        </is>
      </c>
      <c r="B237" s="3" t="inlineStr">
        <is>
          <t>BIH</t>
        </is>
      </c>
      <c r="C237" s="3" t="n">
        <v>2005</v>
      </c>
      <c r="D237" s="3" t="inlineStr">
        <is>
          <t>Overall</t>
        </is>
      </c>
      <c r="E237" s="3" t="inlineStr">
        <is>
          <t>Deciles</t>
        </is>
      </c>
      <c r="F237" s="3" t="inlineStr">
        <is>
          <t>mean</t>
        </is>
      </c>
      <c r="G237" s="3" t="n">
        <v>3</v>
      </c>
      <c r="H237" s="3" t="n">
        <v>-0.7898249251501901</v>
      </c>
      <c r="I237" s="3" t="n">
        <v>-0.7898249251501901</v>
      </c>
      <c r="J237" s="3" t="n">
        <v>-0.9006037865366254</v>
      </c>
      <c r="K237" s="3" t="n">
        <v>-0.9006037865366254</v>
      </c>
      <c r="L237" s="3" t="n">
        <v>-0.7898249251501901</v>
      </c>
      <c r="M237" s="3" t="n">
        <v>-0.7898249251501901</v>
      </c>
      <c r="N237" s="3" t="n">
        <v>-0.7898249251501901</v>
      </c>
      <c r="O237" s="3" t="n">
        <v>-0.7898249251501901</v>
      </c>
      <c r="P237" s="3" t="n">
        <v>-0.7898249251501901</v>
      </c>
      <c r="Q237" s="3" t="n">
        <v>-0.7898249251501901</v>
      </c>
      <c r="R237" s="3" t="n">
        <v>-0.7744465725762504</v>
      </c>
      <c r="S237" s="3" t="n">
        <v>-1.490841317176819</v>
      </c>
      <c r="T237" s="3" t="n">
        <v>-0.7100824441228594</v>
      </c>
      <c r="U237" s="3" t="n">
        <v>-0.9006037865366254</v>
      </c>
      <c r="V237" s="3" t="n">
        <v>-0.6846477542604719</v>
      </c>
      <c r="W237" s="3" t="n">
        <v>-0.6204802887780326</v>
      </c>
      <c r="X237" s="3" t="n">
        <v>-1.433480068615505</v>
      </c>
      <c r="Y237" s="3" t="n">
        <v>-0.7898249251501901</v>
      </c>
      <c r="Z237" s="3" t="n">
        <v>-1.490841317176819</v>
      </c>
      <c r="AA237" s="3" t="n">
        <v>-1.490841317176819</v>
      </c>
      <c r="AB237" s="3" t="n">
        <v>-1.433480068615505</v>
      </c>
      <c r="AC237" s="3" t="n">
        <v>-2.345895099639892</v>
      </c>
      <c r="AD237" s="3" t="n">
        <v>-0.9006037865366254</v>
      </c>
      <c r="AE237" s="3" t="n">
        <v>-0.9006037865366254</v>
      </c>
    </row>
    <row r="238">
      <c r="A238" s="3" t="inlineStr">
        <is>
          <t>BIH.distn.dec.ove.mean.4</t>
        </is>
      </c>
      <c r="B238" s="3" t="inlineStr">
        <is>
          <t>BIH</t>
        </is>
      </c>
      <c r="C238" s="3" t="n">
        <v>2005</v>
      </c>
      <c r="D238" s="3" t="inlineStr">
        <is>
          <t>Overall</t>
        </is>
      </c>
      <c r="E238" s="3" t="inlineStr">
        <is>
          <t>Deciles</t>
        </is>
      </c>
      <c r="F238" s="3" t="inlineStr">
        <is>
          <t>mean</t>
        </is>
      </c>
      <c r="G238" s="3" t="n">
        <v>4</v>
      </c>
      <c r="H238" s="3" t="n">
        <v>-0.7835714289120266</v>
      </c>
      <c r="I238" s="3" t="n">
        <v>-0.7835714289120266</v>
      </c>
      <c r="J238" s="3" t="n">
        <v>-0.8570857082094465</v>
      </c>
      <c r="K238" s="3" t="n">
        <v>-0.8570857082094465</v>
      </c>
      <c r="L238" s="3" t="n">
        <v>-0.7835714289120266</v>
      </c>
      <c r="M238" s="3" t="n">
        <v>-0.7835714289120266</v>
      </c>
      <c r="N238" s="3" t="n">
        <v>-0.7835714289120266</v>
      </c>
      <c r="O238" s="3" t="n">
        <v>-0.7835714289120266</v>
      </c>
      <c r="P238" s="3" t="n">
        <v>-0.7835714289120266</v>
      </c>
      <c r="Q238" s="3" t="n">
        <v>-0.7835714289120266</v>
      </c>
      <c r="R238" s="3" t="n">
        <v>-0.7709714361599513</v>
      </c>
      <c r="S238" s="3" t="n">
        <v>-1.015428565229688</v>
      </c>
      <c r="T238" s="3" t="n">
        <v>-0.708628567627498</v>
      </c>
      <c r="U238" s="3" t="n">
        <v>-0.8570857082094465</v>
      </c>
      <c r="V238" s="3" t="n">
        <v>-0.6776857103620256</v>
      </c>
      <c r="W238" s="3" t="n">
        <v>-0.5221999968801226</v>
      </c>
      <c r="X238" s="3" t="n">
        <v>-1.011657135827201</v>
      </c>
      <c r="Y238" s="3" t="n">
        <v>-0.7835714289120266</v>
      </c>
      <c r="Z238" s="3" t="n">
        <v>-1.015428565229688</v>
      </c>
      <c r="AA238" s="3" t="n">
        <v>-1.015428565229688</v>
      </c>
      <c r="AB238" s="3" t="n">
        <v>-1.011657135827201</v>
      </c>
      <c r="AC238" s="3" t="n">
        <v>-1.132885714939662</v>
      </c>
      <c r="AD238" s="3" t="n">
        <v>-0.8570857082094465</v>
      </c>
      <c r="AE238" s="3" t="n">
        <v>-0.8570857082094465</v>
      </c>
    </row>
    <row r="239">
      <c r="A239" s="3" t="inlineStr">
        <is>
          <t>BIH.distn.dec.ove.mean.5</t>
        </is>
      </c>
      <c r="B239" s="3" t="inlineStr">
        <is>
          <t>BIH</t>
        </is>
      </c>
      <c r="C239" s="3" t="n">
        <v>2005</v>
      </c>
      <c r="D239" s="3" t="inlineStr">
        <is>
          <t>Overall</t>
        </is>
      </c>
      <c r="E239" s="3" t="inlineStr">
        <is>
          <t>Deciles</t>
        </is>
      </c>
      <c r="F239" s="3" t="inlineStr">
        <is>
          <t>mean</t>
        </is>
      </c>
      <c r="G239" s="3" t="n">
        <v>5</v>
      </c>
      <c r="H239" s="3" t="n">
        <v>-0.7835714289120266</v>
      </c>
      <c r="I239" s="3" t="n">
        <v>-0.7835714289120266</v>
      </c>
      <c r="J239" s="3" t="n">
        <v>-0.8570857082094465</v>
      </c>
      <c r="K239" s="3" t="n">
        <v>-0.8570857082094465</v>
      </c>
      <c r="L239" s="3" t="n">
        <v>-0.7835714289120266</v>
      </c>
      <c r="M239" s="3" t="n">
        <v>-0.7835714289120266</v>
      </c>
      <c r="N239" s="3" t="n">
        <v>-0.7835714289120266</v>
      </c>
      <c r="O239" s="3" t="n">
        <v>-0.7835714289120266</v>
      </c>
      <c r="P239" s="3" t="n">
        <v>-0.7835714289120266</v>
      </c>
      <c r="Q239" s="3" t="n">
        <v>-0.7835714289120266</v>
      </c>
      <c r="R239" s="3" t="n">
        <v>-0.7709714361599513</v>
      </c>
      <c r="S239" s="3" t="n">
        <v>-1.015428565229688</v>
      </c>
      <c r="T239" s="3" t="n">
        <v>-0.708628567627498</v>
      </c>
      <c r="U239" s="3" t="n">
        <v>-0.8570857082094465</v>
      </c>
      <c r="V239" s="3" t="n">
        <v>-0.6776857103620256</v>
      </c>
      <c r="W239" s="3" t="n">
        <v>-0.5221999968801226</v>
      </c>
      <c r="X239" s="3" t="n">
        <v>-1.011657135827201</v>
      </c>
      <c r="Y239" s="3" t="n">
        <v>-0.7835714289120266</v>
      </c>
      <c r="Z239" s="3" t="n">
        <v>-1.015428565229688</v>
      </c>
      <c r="AA239" s="3" t="n">
        <v>-1.015428565229688</v>
      </c>
      <c r="AB239" s="3" t="n">
        <v>-1.011657135827201</v>
      </c>
      <c r="AC239" s="3" t="n">
        <v>-1.132885714939662</v>
      </c>
      <c r="AD239" s="3" t="n">
        <v>-0.8570857082094465</v>
      </c>
      <c r="AE239" s="3" t="n">
        <v>-0.8570857082094465</v>
      </c>
    </row>
    <row r="240">
      <c r="A240" s="3" t="inlineStr">
        <is>
          <t>BIH.distn.dec.ove.mean.6</t>
        </is>
      </c>
      <c r="B240" s="3" t="inlineStr">
        <is>
          <t>BIH</t>
        </is>
      </c>
      <c r="C240" s="3" t="n">
        <v>2005</v>
      </c>
      <c r="D240" s="3" t="inlineStr">
        <is>
          <t>Overall</t>
        </is>
      </c>
      <c r="E240" s="3" t="inlineStr">
        <is>
          <t>Deciles</t>
        </is>
      </c>
      <c r="F240" s="3" t="inlineStr">
        <is>
          <t>mean</t>
        </is>
      </c>
      <c r="G240" s="3" t="n">
        <v>6</v>
      </c>
      <c r="H240" s="3" t="n">
        <v>-0.7835714289120266</v>
      </c>
      <c r="I240" s="3" t="n">
        <v>-0.7835714289120266</v>
      </c>
      <c r="J240" s="3" t="n">
        <v>-0.8570857082094465</v>
      </c>
      <c r="K240" s="3" t="n">
        <v>-0.8570857082094465</v>
      </c>
      <c r="L240" s="3" t="n">
        <v>-0.7835714289120266</v>
      </c>
      <c r="M240" s="3" t="n">
        <v>-0.7835714289120266</v>
      </c>
      <c r="N240" s="3" t="n">
        <v>-0.7835714289120266</v>
      </c>
      <c r="O240" s="3" t="n">
        <v>-0.7835714289120266</v>
      </c>
      <c r="P240" s="3" t="n">
        <v>-0.7835714289120266</v>
      </c>
      <c r="Q240" s="3" t="n">
        <v>-0.7835714289120266</v>
      </c>
      <c r="R240" s="3" t="n">
        <v>-0.7709714361599513</v>
      </c>
      <c r="S240" s="3" t="n">
        <v>-1.015428565229688</v>
      </c>
      <c r="T240" s="3" t="n">
        <v>-0.708628567627498</v>
      </c>
      <c r="U240" s="3" t="n">
        <v>-0.8570857082094465</v>
      </c>
      <c r="V240" s="3" t="n">
        <v>-0.6776857103620256</v>
      </c>
      <c r="W240" s="3" t="n">
        <v>-0.5221999968801226</v>
      </c>
      <c r="X240" s="3" t="n">
        <v>-1.011657135827201</v>
      </c>
      <c r="Y240" s="3" t="n">
        <v>-0.7835714289120266</v>
      </c>
      <c r="Z240" s="3" t="n">
        <v>-1.015428565229688</v>
      </c>
      <c r="AA240" s="3" t="n">
        <v>-1.015428565229688</v>
      </c>
      <c r="AB240" s="3" t="n">
        <v>-1.011657135827201</v>
      </c>
      <c r="AC240" s="3" t="n">
        <v>-1.132885714939662</v>
      </c>
      <c r="AD240" s="3" t="n">
        <v>-0.8570857082094465</v>
      </c>
      <c r="AE240" s="3" t="n">
        <v>-0.8570857082094465</v>
      </c>
    </row>
    <row r="241">
      <c r="A241" s="3" t="inlineStr">
        <is>
          <t>BIH.distn.dec.ove.mean.7</t>
        </is>
      </c>
      <c r="B241" s="3" t="inlineStr">
        <is>
          <t>BIH</t>
        </is>
      </c>
      <c r="C241" s="3" t="n">
        <v>2005</v>
      </c>
      <c r="D241" s="3" t="inlineStr">
        <is>
          <t>Overall</t>
        </is>
      </c>
      <c r="E241" s="3" t="inlineStr">
        <is>
          <t>Deciles</t>
        </is>
      </c>
      <c r="F241" s="3" t="inlineStr">
        <is>
          <t>mean</t>
        </is>
      </c>
      <c r="G241" s="3" t="n">
        <v>7</v>
      </c>
      <c r="H241" s="3" t="n">
        <v>-0.7835714289120266</v>
      </c>
      <c r="I241" s="3" t="n">
        <v>-0.7835714289120266</v>
      </c>
      <c r="J241" s="3" t="n">
        <v>-0.8570857082094465</v>
      </c>
      <c r="K241" s="3" t="n">
        <v>-0.8570857082094465</v>
      </c>
      <c r="L241" s="3" t="n">
        <v>-0.7835714289120266</v>
      </c>
      <c r="M241" s="3" t="n">
        <v>-0.7835714289120266</v>
      </c>
      <c r="N241" s="3" t="n">
        <v>-0.7835714289120266</v>
      </c>
      <c r="O241" s="3" t="n">
        <v>-0.7835714289120266</v>
      </c>
      <c r="P241" s="3" t="n">
        <v>-0.7835714289120266</v>
      </c>
      <c r="Q241" s="3" t="n">
        <v>-0.7835714289120266</v>
      </c>
      <c r="R241" s="3" t="n">
        <v>-0.7709714361599513</v>
      </c>
      <c r="S241" s="3" t="n">
        <v>-1.015428565229688</v>
      </c>
      <c r="T241" s="3" t="n">
        <v>-0.708628567627498</v>
      </c>
      <c r="U241" s="3" t="n">
        <v>-0.8570857082094465</v>
      </c>
      <c r="V241" s="3" t="n">
        <v>-0.6776857103620256</v>
      </c>
      <c r="W241" s="3" t="n">
        <v>-0.5221999968801226</v>
      </c>
      <c r="X241" s="3" t="n">
        <v>-1.011657135827201</v>
      </c>
      <c r="Y241" s="3" t="n">
        <v>-0.7835714289120266</v>
      </c>
      <c r="Z241" s="3" t="n">
        <v>-1.015428565229688</v>
      </c>
      <c r="AA241" s="3" t="n">
        <v>-1.015428565229688</v>
      </c>
      <c r="AB241" s="3" t="n">
        <v>-1.011657135827201</v>
      </c>
      <c r="AC241" s="3" t="n">
        <v>-1.132885714939662</v>
      </c>
      <c r="AD241" s="3" t="n">
        <v>-0.8570857082094465</v>
      </c>
      <c r="AE241" s="3" t="n">
        <v>-0.8570857082094465</v>
      </c>
    </row>
    <row r="242">
      <c r="A242" s="3" t="inlineStr">
        <is>
          <t>BIH.distn.dec.ove.mean.8</t>
        </is>
      </c>
      <c r="B242" s="3" t="inlineStr">
        <is>
          <t>BIH</t>
        </is>
      </c>
      <c r="C242" s="3" t="n">
        <v>2005</v>
      </c>
      <c r="D242" s="3" t="inlineStr">
        <is>
          <t>Overall</t>
        </is>
      </c>
      <c r="E242" s="3" t="inlineStr">
        <is>
          <t>Deciles</t>
        </is>
      </c>
      <c r="F242" s="3" t="inlineStr">
        <is>
          <t>mean</t>
        </is>
      </c>
      <c r="G242" s="3" t="n">
        <v>8</v>
      </c>
      <c r="H242" s="3" t="n">
        <v>-0.7839489357812064</v>
      </c>
      <c r="I242" s="3" t="n">
        <v>-0.7839489357812064</v>
      </c>
      <c r="J242" s="3" t="n">
        <v>-0.8593977723802839</v>
      </c>
      <c r="K242" s="3" t="n">
        <v>-0.8593977723802839</v>
      </c>
      <c r="L242" s="3" t="n">
        <v>-0.7839489357812064</v>
      </c>
      <c r="M242" s="3" t="n">
        <v>-0.7839489357812064</v>
      </c>
      <c r="N242" s="3" t="n">
        <v>-0.7839489357812064</v>
      </c>
      <c r="O242" s="3" t="n">
        <v>-0.7839489357812064</v>
      </c>
      <c r="P242" s="3" t="n">
        <v>-0.7839489357812064</v>
      </c>
      <c r="Q242" s="3" t="n">
        <v>-0.7839489357812064</v>
      </c>
      <c r="R242" s="3" t="n">
        <v>-0.7712249892098563</v>
      </c>
      <c r="S242" s="3" t="n">
        <v>-1.024877253600529</v>
      </c>
      <c r="T242" s="3" t="n">
        <v>-0.7086694342749459</v>
      </c>
      <c r="U242" s="3" t="n">
        <v>-0.8593977723802839</v>
      </c>
      <c r="V242" s="3" t="n">
        <v>-0.6783862863268171</v>
      </c>
      <c r="W242" s="3" t="n">
        <v>-0.5361838928290776</v>
      </c>
      <c r="X242" s="3" t="n">
        <v>-1.020875356878553</v>
      </c>
      <c r="Y242" s="3" t="n">
        <v>-0.7839489357812064</v>
      </c>
      <c r="Z242" s="3" t="n">
        <v>-1.024877253600529</v>
      </c>
      <c r="AA242" s="3" t="n">
        <v>-1.024877253600529</v>
      </c>
      <c r="AB242" s="3" t="n">
        <v>-1.020875356878553</v>
      </c>
      <c r="AC242" s="3" t="n">
        <v>-1.149042170388358</v>
      </c>
      <c r="AD242" s="3" t="n">
        <v>-0.8593977723802839</v>
      </c>
      <c r="AE242" s="3" t="n">
        <v>-0.8593977723802839</v>
      </c>
    </row>
    <row r="243">
      <c r="A243" s="3" t="inlineStr">
        <is>
          <t>BIH.distn.dec.ove.mean.9</t>
        </is>
      </c>
      <c r="B243" s="3" t="inlineStr">
        <is>
          <t>BIH</t>
        </is>
      </c>
      <c r="C243" s="3" t="n">
        <v>2005</v>
      </c>
      <c r="D243" s="3" t="inlineStr">
        <is>
          <t>Overall</t>
        </is>
      </c>
      <c r="E243" s="3" t="inlineStr">
        <is>
          <t>Deciles</t>
        </is>
      </c>
      <c r="F243" s="3" t="inlineStr">
        <is>
          <t>mean</t>
        </is>
      </c>
      <c r="G243" s="3" t="n">
        <v>9</v>
      </c>
      <c r="H243" s="3" t="n">
        <v>-0.7839489357812064</v>
      </c>
      <c r="I243" s="3" t="n">
        <v>-0.7839489357812064</v>
      </c>
      <c r="J243" s="3" t="n">
        <v>-0.8593977723802839</v>
      </c>
      <c r="K243" s="3" t="n">
        <v>-0.8593977723802839</v>
      </c>
      <c r="L243" s="3" t="n">
        <v>-0.7839489357812064</v>
      </c>
      <c r="M243" s="3" t="n">
        <v>-0.7839489357812064</v>
      </c>
      <c r="N243" s="3" t="n">
        <v>-0.7839489357812064</v>
      </c>
      <c r="O243" s="3" t="n">
        <v>-0.7839489357812064</v>
      </c>
      <c r="P243" s="3" t="n">
        <v>-0.7839489357812064</v>
      </c>
      <c r="Q243" s="3" t="n">
        <v>-0.7839489357812064</v>
      </c>
      <c r="R243" s="3" t="n">
        <v>-0.7712249892098563</v>
      </c>
      <c r="S243" s="3" t="n">
        <v>-1.024877253600529</v>
      </c>
      <c r="T243" s="3" t="n">
        <v>-0.7086694342749459</v>
      </c>
      <c r="U243" s="3" t="n">
        <v>-0.8593977723802839</v>
      </c>
      <c r="V243" s="3" t="n">
        <v>-0.6783862863268171</v>
      </c>
      <c r="W243" s="3" t="n">
        <v>-0.5361838928290776</v>
      </c>
      <c r="X243" s="3" t="n">
        <v>-1.020875356878553</v>
      </c>
      <c r="Y243" s="3" t="n">
        <v>-0.7839489357812064</v>
      </c>
      <c r="Z243" s="3" t="n">
        <v>-1.024877253600529</v>
      </c>
      <c r="AA243" s="3" t="n">
        <v>-1.024877253600529</v>
      </c>
      <c r="AB243" s="3" t="n">
        <v>-1.020875356878553</v>
      </c>
      <c r="AC243" s="3" t="n">
        <v>-1.149042170388358</v>
      </c>
      <c r="AD243" s="3" t="n">
        <v>-0.8593977723802839</v>
      </c>
      <c r="AE243" s="3" t="n">
        <v>-0.8593977723802839</v>
      </c>
    </row>
    <row r="244">
      <c r="A244" s="3" t="inlineStr">
        <is>
          <t>BIH.distn.dec.ove.mean.10</t>
        </is>
      </c>
      <c r="B244" s="3" t="inlineStr">
        <is>
          <t>BIH</t>
        </is>
      </c>
      <c r="C244" s="3" t="n">
        <v>2005</v>
      </c>
      <c r="D244" s="3" t="inlineStr">
        <is>
          <t>Overall</t>
        </is>
      </c>
      <c r="E244" s="3" t="inlineStr">
        <is>
          <t>Deciles</t>
        </is>
      </c>
      <c r="F244" s="3" t="inlineStr">
        <is>
          <t>mean</t>
        </is>
      </c>
      <c r="G244" s="3" t="n">
        <v>10</v>
      </c>
      <c r="H244" s="3" t="n">
        <v>-0.7839489357812064</v>
      </c>
      <c r="I244" s="3" t="n">
        <v>-0.7839489357812064</v>
      </c>
      <c r="J244" s="3" t="n">
        <v>-0.8593977723802839</v>
      </c>
      <c r="K244" s="3" t="n">
        <v>-0.8593977723802839</v>
      </c>
      <c r="L244" s="3" t="n">
        <v>-0.7839489357812064</v>
      </c>
      <c r="M244" s="3" t="n">
        <v>-0.7839489357812064</v>
      </c>
      <c r="N244" s="3" t="n">
        <v>-0.7839489357812064</v>
      </c>
      <c r="O244" s="3" t="n">
        <v>-0.7839489357812064</v>
      </c>
      <c r="P244" s="3" t="n">
        <v>-0.7839489357812064</v>
      </c>
      <c r="Q244" s="3" t="n">
        <v>-0.7839489357812064</v>
      </c>
      <c r="R244" s="3" t="n">
        <v>-0.7712249892098563</v>
      </c>
      <c r="S244" s="3" t="n">
        <v>-1.024877253600529</v>
      </c>
      <c r="T244" s="3" t="n">
        <v>-0.7086694342749459</v>
      </c>
      <c r="U244" s="3" t="n">
        <v>-0.8593977723802839</v>
      </c>
      <c r="V244" s="3" t="n">
        <v>-0.6783862863268171</v>
      </c>
      <c r="W244" s="3" t="n">
        <v>-0.5361838928290776</v>
      </c>
      <c r="X244" s="3" t="n">
        <v>-1.020875356878553</v>
      </c>
      <c r="Y244" s="3" t="n">
        <v>-0.7839489357812064</v>
      </c>
      <c r="Z244" s="3" t="n">
        <v>-1.024877253600529</v>
      </c>
      <c r="AA244" s="3" t="n">
        <v>-1.024877253600529</v>
      </c>
      <c r="AB244" s="3" t="n">
        <v>-1.020875356878553</v>
      </c>
      <c r="AC244" s="3" t="n">
        <v>-1.149042170388358</v>
      </c>
      <c r="AD244" s="3" t="n">
        <v>-0.8593977723802839</v>
      </c>
      <c r="AE244" s="3" t="n">
        <v>-0.8593977723802839</v>
      </c>
    </row>
    <row r="245">
      <c r="A245" s="3" t="inlineStr">
        <is>
          <t>BIH.distn.bkt.ove.mean.9999</t>
        </is>
      </c>
      <c r="B245" s="3" t="inlineStr">
        <is>
          <t>BIH</t>
        </is>
      </c>
      <c r="C245" s="3" t="n">
        <v>2005</v>
      </c>
      <c r="D245" s="3" t="inlineStr">
        <is>
          <t>Overall</t>
        </is>
      </c>
      <c r="E245" s="3" t="inlineStr">
        <is>
          <t>Basket</t>
        </is>
      </c>
      <c r="F245" s="3" t="inlineStr">
        <is>
          <t>mean</t>
        </is>
      </c>
      <c r="G245" s="3" t="n">
        <v>9999</v>
      </c>
      <c r="H245" s="3" t="n">
        <v>-0.7855607322284154</v>
      </c>
      <c r="I245" s="3" t="n">
        <v>-0.7855607322284154</v>
      </c>
      <c r="J245" s="3" t="n">
        <v>-0.8708347541945322</v>
      </c>
      <c r="K245" s="3" t="n">
        <v>-0.8708347541945322</v>
      </c>
      <c r="L245" s="3" t="n">
        <v>-0.7855607322284154</v>
      </c>
      <c r="M245" s="3" t="n">
        <v>-0.7855607322284154</v>
      </c>
      <c r="N245" s="3" t="n">
        <v>-0.7855607322284154</v>
      </c>
      <c r="O245" s="3" t="n">
        <v>-0.7855607322284154</v>
      </c>
      <c r="P245" s="3" t="n">
        <v>-0.7855607322284154</v>
      </c>
      <c r="Q245" s="3" t="n">
        <v>-0.7855607322284154</v>
      </c>
      <c r="R245" s="3" t="n">
        <v>-0.7720900552613394</v>
      </c>
      <c r="S245" s="3" t="n">
        <v>-1.160887002944946</v>
      </c>
      <c r="T245" s="3" t="n">
        <v>-0.7090769904000419</v>
      </c>
      <c r="U245" s="3" t="n">
        <v>-0.8708347541945322</v>
      </c>
      <c r="V245" s="3" t="n">
        <v>-0.6799844878060477</v>
      </c>
      <c r="W245" s="3" t="n">
        <v>-0.5558792540005275</v>
      </c>
      <c r="X245" s="3" t="n">
        <v>-1.140969473975045</v>
      </c>
      <c r="Y245" s="3" t="n">
        <v>-0.7855607322284154</v>
      </c>
      <c r="Z245" s="3" t="n">
        <v>-1.160887002944946</v>
      </c>
      <c r="AA245" s="3" t="n">
        <v>-1.160887002944946</v>
      </c>
      <c r="AB245" s="3" t="n">
        <v>-1.140969473975045</v>
      </c>
      <c r="AC245" s="3" t="n">
        <v>-1.501635466303144</v>
      </c>
      <c r="AD245" s="3" t="n">
        <v>-0.8708347541945322</v>
      </c>
      <c r="AE245" s="3" t="n">
        <v>-0.8708347541945322</v>
      </c>
    </row>
    <row r="246">
      <c r="A246" s="3" t="inlineStr">
        <is>
          <t>BLR.distn.dec.ove.mean.1</t>
        </is>
      </c>
      <c r="B246" s="3" t="inlineStr">
        <is>
          <t>BLR</t>
        </is>
      </c>
      <c r="C246" s="3" t="n">
        <v>2005</v>
      </c>
      <c r="D246" s="3" t="inlineStr">
        <is>
          <t>Overall</t>
        </is>
      </c>
      <c r="E246" s="3" t="inlineStr">
        <is>
          <t>Deciles</t>
        </is>
      </c>
      <c r="F246" s="3" t="inlineStr">
        <is>
          <t>mean</t>
        </is>
      </c>
      <c r="G246" s="3" t="n">
        <v>1</v>
      </c>
      <c r="H246" s="3" t="n">
        <v>-0.7882409691810608</v>
      </c>
      <c r="I246" s="3" t="n">
        <v>-0.7882409691810608</v>
      </c>
      <c r="J246" s="3" t="n">
        <v>-0.8921075463294983</v>
      </c>
      <c r="K246" s="3" t="n">
        <v>-0.8921075463294983</v>
      </c>
      <c r="L246" s="3" t="n">
        <v>-0.7882409691810608</v>
      </c>
      <c r="M246" s="3" t="n">
        <v>-0.7882409691810608</v>
      </c>
      <c r="N246" s="3" t="n">
        <v>-0.7882409691810608</v>
      </c>
      <c r="O246" s="3" t="n">
        <v>-0.7882409691810608</v>
      </c>
      <c r="P246" s="3" t="n">
        <v>-0.7882409691810608</v>
      </c>
      <c r="Q246" s="3" t="n">
        <v>-0.7882409691810608</v>
      </c>
      <c r="R246" s="3" t="n">
        <v>-0.7734707593917847</v>
      </c>
      <c r="S246" s="3" t="n">
        <v>-1.431484580039978</v>
      </c>
      <c r="T246" s="3" t="n">
        <v>-0.7094525694847107</v>
      </c>
      <c r="U246" s="3" t="n">
        <v>-0.8921075463294983</v>
      </c>
      <c r="V246" s="3" t="n">
        <v>-0.6829447150230408</v>
      </c>
      <c r="W246" s="3" t="n">
        <v>-0.5952903628349304</v>
      </c>
      <c r="X246" s="3" t="n">
        <v>-1.3772873878479</v>
      </c>
      <c r="Y246" s="3" t="n">
        <v>-0.7882409691810608</v>
      </c>
      <c r="Z246" s="3" t="n">
        <v>-1.431484580039978</v>
      </c>
      <c r="AA246" s="3" t="n">
        <v>-1.431484580039978</v>
      </c>
      <c r="AB246" s="3" t="n">
        <v>-1.3772873878479</v>
      </c>
      <c r="AC246" s="3" t="n">
        <v>-2.176332235336304</v>
      </c>
      <c r="AD246" s="3" t="n">
        <v>-0.8921075463294983</v>
      </c>
      <c r="AE246" s="3" t="n">
        <v>-0.8921075463294983</v>
      </c>
    </row>
    <row r="247">
      <c r="A247" s="3" t="inlineStr">
        <is>
          <t>BLR.distn.dec.ove.mean.2</t>
        </is>
      </c>
      <c r="B247" s="3" t="inlineStr">
        <is>
          <t>BLR</t>
        </is>
      </c>
      <c r="C247" s="3" t="n">
        <v>2005</v>
      </c>
      <c r="D247" s="3" t="inlineStr">
        <is>
          <t>Overall</t>
        </is>
      </c>
      <c r="E247" s="3" t="inlineStr">
        <is>
          <t>Deciles</t>
        </is>
      </c>
      <c r="F247" s="3" t="inlineStr">
        <is>
          <t>mean</t>
        </is>
      </c>
      <c r="G247" s="3" t="n">
        <v>2</v>
      </c>
      <c r="H247" s="3" t="n">
        <v>-0.7882409691810608</v>
      </c>
      <c r="I247" s="3" t="n">
        <v>-0.7882409691810608</v>
      </c>
      <c r="J247" s="3" t="n">
        <v>-0.8921075463294983</v>
      </c>
      <c r="K247" s="3" t="n">
        <v>-0.8921075463294983</v>
      </c>
      <c r="L247" s="3" t="n">
        <v>-0.7882409691810608</v>
      </c>
      <c r="M247" s="3" t="n">
        <v>-0.7882409691810608</v>
      </c>
      <c r="N247" s="3" t="n">
        <v>-0.7882409691810608</v>
      </c>
      <c r="O247" s="3" t="n">
        <v>-0.7882409691810608</v>
      </c>
      <c r="P247" s="3" t="n">
        <v>-0.7882409691810608</v>
      </c>
      <c r="Q247" s="3" t="n">
        <v>-0.7882409691810608</v>
      </c>
      <c r="R247" s="3" t="n">
        <v>-0.7734707593917847</v>
      </c>
      <c r="S247" s="3" t="n">
        <v>-1.431484580039978</v>
      </c>
      <c r="T247" s="3" t="n">
        <v>-0.7094525694847107</v>
      </c>
      <c r="U247" s="3" t="n">
        <v>-0.8921075463294983</v>
      </c>
      <c r="V247" s="3" t="n">
        <v>-0.6829447150230408</v>
      </c>
      <c r="W247" s="3" t="n">
        <v>-0.5952903628349304</v>
      </c>
      <c r="X247" s="3" t="n">
        <v>-1.3772873878479</v>
      </c>
      <c r="Y247" s="3" t="n">
        <v>-0.7882409691810608</v>
      </c>
      <c r="Z247" s="3" t="n">
        <v>-1.431484580039978</v>
      </c>
      <c r="AA247" s="3" t="n">
        <v>-1.431484580039978</v>
      </c>
      <c r="AB247" s="3" t="n">
        <v>-1.3772873878479</v>
      </c>
      <c r="AC247" s="3" t="n">
        <v>-2.176332235336304</v>
      </c>
      <c r="AD247" s="3" t="n">
        <v>-0.8921075463294983</v>
      </c>
      <c r="AE247" s="3" t="n">
        <v>-0.8921075463294983</v>
      </c>
    </row>
    <row r="248">
      <c r="A248" s="3" t="inlineStr">
        <is>
          <t>BLR.distn.dec.ove.mean.3</t>
        </is>
      </c>
      <c r="B248" s="3" t="inlineStr">
        <is>
          <t>BLR</t>
        </is>
      </c>
      <c r="C248" s="3" t="n">
        <v>2005</v>
      </c>
      <c r="D248" s="3" t="inlineStr">
        <is>
          <t>Overall</t>
        </is>
      </c>
      <c r="E248" s="3" t="inlineStr">
        <is>
          <t>Deciles</t>
        </is>
      </c>
      <c r="F248" s="3" t="inlineStr">
        <is>
          <t>mean</t>
        </is>
      </c>
      <c r="G248" s="3" t="n">
        <v>3</v>
      </c>
      <c r="H248" s="3" t="n">
        <v>-0.7882409691810608</v>
      </c>
      <c r="I248" s="3" t="n">
        <v>-0.7882409691810608</v>
      </c>
      <c r="J248" s="3" t="n">
        <v>-0.8921075463294983</v>
      </c>
      <c r="K248" s="3" t="n">
        <v>-0.8921075463294983</v>
      </c>
      <c r="L248" s="3" t="n">
        <v>-0.7882409691810608</v>
      </c>
      <c r="M248" s="3" t="n">
        <v>-0.7882409691810608</v>
      </c>
      <c r="N248" s="3" t="n">
        <v>-0.7882409691810608</v>
      </c>
      <c r="O248" s="3" t="n">
        <v>-0.7882409691810608</v>
      </c>
      <c r="P248" s="3" t="n">
        <v>-0.7882409691810608</v>
      </c>
      <c r="Q248" s="3" t="n">
        <v>-0.7882409691810608</v>
      </c>
      <c r="R248" s="3" t="n">
        <v>-0.7734707593917847</v>
      </c>
      <c r="S248" s="3" t="n">
        <v>-1.431484580039978</v>
      </c>
      <c r="T248" s="3" t="n">
        <v>-0.7094525694847107</v>
      </c>
      <c r="U248" s="3" t="n">
        <v>-0.8921075463294983</v>
      </c>
      <c r="V248" s="3" t="n">
        <v>-0.6829447150230408</v>
      </c>
      <c r="W248" s="3" t="n">
        <v>-0.5952903628349304</v>
      </c>
      <c r="X248" s="3" t="n">
        <v>-1.3772873878479</v>
      </c>
      <c r="Y248" s="3" t="n">
        <v>-0.7882409691810608</v>
      </c>
      <c r="Z248" s="3" t="n">
        <v>-1.431484580039978</v>
      </c>
      <c r="AA248" s="3" t="n">
        <v>-1.431484580039978</v>
      </c>
      <c r="AB248" s="3" t="n">
        <v>-1.3772873878479</v>
      </c>
      <c r="AC248" s="3" t="n">
        <v>-2.176332235336304</v>
      </c>
      <c r="AD248" s="3" t="n">
        <v>-0.8921075463294983</v>
      </c>
      <c r="AE248" s="3" t="n">
        <v>-0.8921075463294983</v>
      </c>
    </row>
    <row r="249">
      <c r="A249" s="3" t="inlineStr">
        <is>
          <t>BLR.distn.dec.ove.mean.4</t>
        </is>
      </c>
      <c r="B249" s="3" t="inlineStr">
        <is>
          <t>BLR</t>
        </is>
      </c>
      <c r="C249" s="3" t="n">
        <v>2005</v>
      </c>
      <c r="D249" s="3" t="inlineStr">
        <is>
          <t>Overall</t>
        </is>
      </c>
      <c r="E249" s="3" t="inlineStr">
        <is>
          <t>Deciles</t>
        </is>
      </c>
      <c r="F249" s="3" t="inlineStr">
        <is>
          <t>mean</t>
        </is>
      </c>
      <c r="G249" s="3" t="n">
        <v>4</v>
      </c>
      <c r="H249" s="3" t="n">
        <v>-0.7820000052452087</v>
      </c>
      <c r="I249" s="3" t="n">
        <v>-0.7820000052452087</v>
      </c>
      <c r="J249" s="3" t="n">
        <v>-0.8489999771118164</v>
      </c>
      <c r="K249" s="3" t="n">
        <v>-0.8489999771118164</v>
      </c>
      <c r="L249" s="3" t="n">
        <v>-0.7820000052452087</v>
      </c>
      <c r="M249" s="3" t="n">
        <v>-0.7820000052452087</v>
      </c>
      <c r="N249" s="3" t="n">
        <v>-0.7820000052452087</v>
      </c>
      <c r="O249" s="3" t="n">
        <v>-0.7820000052452087</v>
      </c>
      <c r="P249" s="3" t="n">
        <v>-0.7820000052452087</v>
      </c>
      <c r="Q249" s="3" t="n">
        <v>-0.7820000052452087</v>
      </c>
      <c r="R249" s="3" t="n">
        <v>-0.7699999809265137</v>
      </c>
      <c r="S249" s="3" t="n">
        <v>-0.9750000238418579</v>
      </c>
      <c r="T249" s="3" t="n">
        <v>-0.7080000042915344</v>
      </c>
      <c r="U249" s="3" t="n">
        <v>-0.8489999771118164</v>
      </c>
      <c r="V249" s="3" t="n">
        <v>-0.6759999990463257</v>
      </c>
      <c r="W249" s="3" t="n">
        <v>-0.5009999871253967</v>
      </c>
      <c r="X249" s="3" t="n">
        <v>-0.9720000028610229</v>
      </c>
      <c r="Y249" s="3" t="n">
        <v>-0.7820000052452087</v>
      </c>
      <c r="Z249" s="3" t="n">
        <v>-0.9750000238418579</v>
      </c>
      <c r="AA249" s="3" t="n">
        <v>-0.9750000238418579</v>
      </c>
      <c r="AB249" s="3" t="n">
        <v>-0.9720000028610229</v>
      </c>
      <c r="AC249" s="3" t="n">
        <v>-1.050999999046326</v>
      </c>
      <c r="AD249" s="3" t="n">
        <v>-0.8489999771118164</v>
      </c>
      <c r="AE249" s="3" t="n">
        <v>-0.8489999771118164</v>
      </c>
    </row>
    <row r="250">
      <c r="A250" s="3" t="inlineStr">
        <is>
          <t>BLR.distn.dec.ove.mean.5</t>
        </is>
      </c>
      <c r="B250" s="3" t="inlineStr">
        <is>
          <t>BLR</t>
        </is>
      </c>
      <c r="C250" s="3" t="n">
        <v>2005</v>
      </c>
      <c r="D250" s="3" t="inlineStr">
        <is>
          <t>Overall</t>
        </is>
      </c>
      <c r="E250" s="3" t="inlineStr">
        <is>
          <t>Deciles</t>
        </is>
      </c>
      <c r="F250" s="3" t="inlineStr">
        <is>
          <t>mean</t>
        </is>
      </c>
      <c r="G250" s="3" t="n">
        <v>5</v>
      </c>
      <c r="H250" s="3" t="n">
        <v>-0.7820000052452087</v>
      </c>
      <c r="I250" s="3" t="n">
        <v>-0.7820000052452087</v>
      </c>
      <c r="J250" s="3" t="n">
        <v>-0.8489999771118164</v>
      </c>
      <c r="K250" s="3" t="n">
        <v>-0.8489999771118164</v>
      </c>
      <c r="L250" s="3" t="n">
        <v>-0.7820000052452087</v>
      </c>
      <c r="M250" s="3" t="n">
        <v>-0.7820000052452087</v>
      </c>
      <c r="N250" s="3" t="n">
        <v>-0.7820000052452087</v>
      </c>
      <c r="O250" s="3" t="n">
        <v>-0.7820000052452087</v>
      </c>
      <c r="P250" s="3" t="n">
        <v>-0.7820000052452087</v>
      </c>
      <c r="Q250" s="3" t="n">
        <v>-0.7820000052452087</v>
      </c>
      <c r="R250" s="3" t="n">
        <v>-0.7699999809265137</v>
      </c>
      <c r="S250" s="3" t="n">
        <v>-0.9750000238418579</v>
      </c>
      <c r="T250" s="3" t="n">
        <v>-0.7080000042915344</v>
      </c>
      <c r="U250" s="3" t="n">
        <v>-0.8489999771118164</v>
      </c>
      <c r="V250" s="3" t="n">
        <v>-0.6759999990463257</v>
      </c>
      <c r="W250" s="3" t="n">
        <v>-0.5009999871253967</v>
      </c>
      <c r="X250" s="3" t="n">
        <v>-0.9720000028610229</v>
      </c>
      <c r="Y250" s="3" t="n">
        <v>-0.7820000052452087</v>
      </c>
      <c r="Z250" s="3" t="n">
        <v>-0.9750000238418579</v>
      </c>
      <c r="AA250" s="3" t="n">
        <v>-0.9750000238418579</v>
      </c>
      <c r="AB250" s="3" t="n">
        <v>-0.9720000028610229</v>
      </c>
      <c r="AC250" s="3" t="n">
        <v>-1.050999999046326</v>
      </c>
      <c r="AD250" s="3" t="n">
        <v>-0.8489999771118164</v>
      </c>
      <c r="AE250" s="3" t="n">
        <v>-0.8489999771118164</v>
      </c>
    </row>
    <row r="251">
      <c r="A251" s="3" t="inlineStr">
        <is>
          <t>BLR.distn.dec.ove.mean.6</t>
        </is>
      </c>
      <c r="B251" s="3" t="inlineStr">
        <is>
          <t>BLR</t>
        </is>
      </c>
      <c r="C251" s="3" t="n">
        <v>2005</v>
      </c>
      <c r="D251" s="3" t="inlineStr">
        <is>
          <t>Overall</t>
        </is>
      </c>
      <c r="E251" s="3" t="inlineStr">
        <is>
          <t>Deciles</t>
        </is>
      </c>
      <c r="F251" s="3" t="inlineStr">
        <is>
          <t>mean</t>
        </is>
      </c>
      <c r="G251" s="3" t="n">
        <v>6</v>
      </c>
      <c r="H251" s="3" t="n">
        <v>-0.7820000052452087</v>
      </c>
      <c r="I251" s="3" t="n">
        <v>-0.7820000052452087</v>
      </c>
      <c r="J251" s="3" t="n">
        <v>-0.8489999771118164</v>
      </c>
      <c r="K251" s="3" t="n">
        <v>-0.8489999771118164</v>
      </c>
      <c r="L251" s="3" t="n">
        <v>-0.7820000052452087</v>
      </c>
      <c r="M251" s="3" t="n">
        <v>-0.7820000052452087</v>
      </c>
      <c r="N251" s="3" t="n">
        <v>-0.7820000052452087</v>
      </c>
      <c r="O251" s="3" t="n">
        <v>-0.7820000052452087</v>
      </c>
      <c r="P251" s="3" t="n">
        <v>-0.7820000052452087</v>
      </c>
      <c r="Q251" s="3" t="n">
        <v>-0.7820000052452087</v>
      </c>
      <c r="R251" s="3" t="n">
        <v>-0.7699999809265137</v>
      </c>
      <c r="S251" s="3" t="n">
        <v>-0.9750000238418579</v>
      </c>
      <c r="T251" s="3" t="n">
        <v>-0.7080000042915344</v>
      </c>
      <c r="U251" s="3" t="n">
        <v>-0.8489999771118164</v>
      </c>
      <c r="V251" s="3" t="n">
        <v>-0.6759999990463257</v>
      </c>
      <c r="W251" s="3" t="n">
        <v>-0.5009999871253967</v>
      </c>
      <c r="X251" s="3" t="n">
        <v>-0.9720000028610229</v>
      </c>
      <c r="Y251" s="3" t="n">
        <v>-0.7820000052452087</v>
      </c>
      <c r="Z251" s="3" t="n">
        <v>-0.9750000238418579</v>
      </c>
      <c r="AA251" s="3" t="n">
        <v>-0.9750000238418579</v>
      </c>
      <c r="AB251" s="3" t="n">
        <v>-0.9720000028610229</v>
      </c>
      <c r="AC251" s="3" t="n">
        <v>-1.050999999046326</v>
      </c>
      <c r="AD251" s="3" t="n">
        <v>-0.8489999771118164</v>
      </c>
      <c r="AE251" s="3" t="n">
        <v>-0.8489999771118164</v>
      </c>
    </row>
    <row r="252">
      <c r="A252" s="3" t="inlineStr">
        <is>
          <t>BLR.distn.dec.ove.mean.7</t>
        </is>
      </c>
      <c r="B252" s="3" t="inlineStr">
        <is>
          <t>BLR</t>
        </is>
      </c>
      <c r="C252" s="3" t="n">
        <v>2005</v>
      </c>
      <c r="D252" s="3" t="inlineStr">
        <is>
          <t>Overall</t>
        </is>
      </c>
      <c r="E252" s="3" t="inlineStr">
        <is>
          <t>Deciles</t>
        </is>
      </c>
      <c r="F252" s="3" t="inlineStr">
        <is>
          <t>mean</t>
        </is>
      </c>
      <c r="G252" s="3" t="n">
        <v>7</v>
      </c>
      <c r="H252" s="3" t="n">
        <v>-0.7820000052452087</v>
      </c>
      <c r="I252" s="3" t="n">
        <v>-0.7820000052452087</v>
      </c>
      <c r="J252" s="3" t="n">
        <v>-0.8489999771118164</v>
      </c>
      <c r="K252" s="3" t="n">
        <v>-0.8489999771118164</v>
      </c>
      <c r="L252" s="3" t="n">
        <v>-0.7820000052452087</v>
      </c>
      <c r="M252" s="3" t="n">
        <v>-0.7820000052452087</v>
      </c>
      <c r="N252" s="3" t="n">
        <v>-0.7820000052452087</v>
      </c>
      <c r="O252" s="3" t="n">
        <v>-0.7820000052452087</v>
      </c>
      <c r="P252" s="3" t="n">
        <v>-0.7820000052452087</v>
      </c>
      <c r="Q252" s="3" t="n">
        <v>-0.7820000052452087</v>
      </c>
      <c r="R252" s="3" t="n">
        <v>-0.7699999809265137</v>
      </c>
      <c r="S252" s="3" t="n">
        <v>-0.9750000238418579</v>
      </c>
      <c r="T252" s="3" t="n">
        <v>-0.7080000042915344</v>
      </c>
      <c r="U252" s="3" t="n">
        <v>-0.8489999771118164</v>
      </c>
      <c r="V252" s="3" t="n">
        <v>-0.6759999990463257</v>
      </c>
      <c r="W252" s="3" t="n">
        <v>-0.5009999871253967</v>
      </c>
      <c r="X252" s="3" t="n">
        <v>-0.9720000028610229</v>
      </c>
      <c r="Y252" s="3" t="n">
        <v>-0.7820000052452087</v>
      </c>
      <c r="Z252" s="3" t="n">
        <v>-0.9750000238418579</v>
      </c>
      <c r="AA252" s="3" t="n">
        <v>-0.9750000238418579</v>
      </c>
      <c r="AB252" s="3" t="n">
        <v>-0.9720000028610229</v>
      </c>
      <c r="AC252" s="3" t="n">
        <v>-1.050999999046326</v>
      </c>
      <c r="AD252" s="3" t="n">
        <v>-0.8489999771118164</v>
      </c>
      <c r="AE252" s="3" t="n">
        <v>-0.8489999771118164</v>
      </c>
    </row>
    <row r="253">
      <c r="A253" s="3" t="inlineStr">
        <is>
          <t>BLR.distn.dec.ove.mean.8</t>
        </is>
      </c>
      <c r="B253" s="3" t="inlineStr">
        <is>
          <t>BLR</t>
        </is>
      </c>
      <c r="C253" s="3" t="n">
        <v>2005</v>
      </c>
      <c r="D253" s="3" t="inlineStr">
        <is>
          <t>Overall</t>
        </is>
      </c>
      <c r="E253" s="3" t="inlineStr">
        <is>
          <t>Deciles</t>
        </is>
      </c>
      <c r="F253" s="3" t="inlineStr">
        <is>
          <t>mean</t>
        </is>
      </c>
      <c r="G253" s="3" t="n">
        <v>8</v>
      </c>
      <c r="H253" s="3" t="n">
        <v>-0.782376766204834</v>
      </c>
      <c r="I253" s="3" t="n">
        <v>-0.782376766204834</v>
      </c>
      <c r="J253" s="3" t="n">
        <v>-0.851290225982666</v>
      </c>
      <c r="K253" s="3" t="n">
        <v>-0.851290225982666</v>
      </c>
      <c r="L253" s="3" t="n">
        <v>-0.782376766204834</v>
      </c>
      <c r="M253" s="3" t="n">
        <v>-0.782376766204834</v>
      </c>
      <c r="N253" s="3" t="n">
        <v>-0.782376766204834</v>
      </c>
      <c r="O253" s="3" t="n">
        <v>-0.782376766204834</v>
      </c>
      <c r="P253" s="3" t="n">
        <v>-0.782376766204834</v>
      </c>
      <c r="Q253" s="3" t="n">
        <v>-0.782376766204834</v>
      </c>
      <c r="R253" s="3" t="n">
        <v>-0.7702532410621643</v>
      </c>
      <c r="S253" s="3" t="n">
        <v>-0.9840725064277649</v>
      </c>
      <c r="T253" s="3" t="n">
        <v>-0.7080408334732056</v>
      </c>
      <c r="U253" s="3" t="n">
        <v>-0.851290225982666</v>
      </c>
      <c r="V253" s="3" t="n">
        <v>-0.6766988039016724</v>
      </c>
      <c r="W253" s="3" t="n">
        <v>-0.5144161581993103</v>
      </c>
      <c r="X253" s="3" t="n">
        <v>-0.9808568358421326</v>
      </c>
      <c r="Y253" s="3" t="n">
        <v>-0.782376766204834</v>
      </c>
      <c r="Z253" s="3" t="n">
        <v>-0.9840725064277649</v>
      </c>
      <c r="AA253" s="3" t="n">
        <v>-0.9840725064277649</v>
      </c>
      <c r="AB253" s="3" t="n">
        <v>-0.9808568358421326</v>
      </c>
      <c r="AC253" s="3" t="n">
        <v>-1.065988659858704</v>
      </c>
      <c r="AD253" s="3" t="n">
        <v>-0.851290225982666</v>
      </c>
      <c r="AE253" s="3" t="n">
        <v>-0.851290225982666</v>
      </c>
    </row>
    <row r="254">
      <c r="A254" s="3" t="inlineStr">
        <is>
          <t>BLR.distn.dec.ove.mean.9</t>
        </is>
      </c>
      <c r="B254" s="3" t="inlineStr">
        <is>
          <t>BLR</t>
        </is>
      </c>
      <c r="C254" s="3" t="n">
        <v>2005</v>
      </c>
      <c r="D254" s="3" t="inlineStr">
        <is>
          <t>Overall</t>
        </is>
      </c>
      <c r="E254" s="3" t="inlineStr">
        <is>
          <t>Deciles</t>
        </is>
      </c>
      <c r="F254" s="3" t="inlineStr">
        <is>
          <t>mean</t>
        </is>
      </c>
      <c r="G254" s="3" t="n">
        <v>9</v>
      </c>
      <c r="H254" s="3" t="n">
        <v>-0.782376766204834</v>
      </c>
      <c r="I254" s="3" t="n">
        <v>-0.782376766204834</v>
      </c>
      <c r="J254" s="3" t="n">
        <v>-0.851290225982666</v>
      </c>
      <c r="K254" s="3" t="n">
        <v>-0.851290225982666</v>
      </c>
      <c r="L254" s="3" t="n">
        <v>-0.782376766204834</v>
      </c>
      <c r="M254" s="3" t="n">
        <v>-0.782376766204834</v>
      </c>
      <c r="N254" s="3" t="n">
        <v>-0.782376766204834</v>
      </c>
      <c r="O254" s="3" t="n">
        <v>-0.782376766204834</v>
      </c>
      <c r="P254" s="3" t="n">
        <v>-0.782376766204834</v>
      </c>
      <c r="Q254" s="3" t="n">
        <v>-0.782376766204834</v>
      </c>
      <c r="R254" s="3" t="n">
        <v>-0.7702532410621643</v>
      </c>
      <c r="S254" s="3" t="n">
        <v>-0.9840725064277649</v>
      </c>
      <c r="T254" s="3" t="n">
        <v>-0.7080408334732056</v>
      </c>
      <c r="U254" s="3" t="n">
        <v>-0.851290225982666</v>
      </c>
      <c r="V254" s="3" t="n">
        <v>-0.6766988039016724</v>
      </c>
      <c r="W254" s="3" t="n">
        <v>-0.5144161581993103</v>
      </c>
      <c r="X254" s="3" t="n">
        <v>-0.9808568358421326</v>
      </c>
      <c r="Y254" s="3" t="n">
        <v>-0.782376766204834</v>
      </c>
      <c r="Z254" s="3" t="n">
        <v>-0.9840725064277649</v>
      </c>
      <c r="AA254" s="3" t="n">
        <v>-0.9840725064277649</v>
      </c>
      <c r="AB254" s="3" t="n">
        <v>-0.9808568358421326</v>
      </c>
      <c r="AC254" s="3" t="n">
        <v>-1.065988659858704</v>
      </c>
      <c r="AD254" s="3" t="n">
        <v>-0.851290225982666</v>
      </c>
      <c r="AE254" s="3" t="n">
        <v>-0.851290225982666</v>
      </c>
    </row>
    <row r="255">
      <c r="A255" s="3" t="inlineStr">
        <is>
          <t>BLR.distn.dec.ove.mean.10</t>
        </is>
      </c>
      <c r="B255" s="3" t="inlineStr">
        <is>
          <t>BLR</t>
        </is>
      </c>
      <c r="C255" s="3" t="n">
        <v>2005</v>
      </c>
      <c r="D255" s="3" t="inlineStr">
        <is>
          <t>Overall</t>
        </is>
      </c>
      <c r="E255" s="3" t="inlineStr">
        <is>
          <t>Deciles</t>
        </is>
      </c>
      <c r="F255" s="3" t="inlineStr">
        <is>
          <t>mean</t>
        </is>
      </c>
      <c r="G255" s="3" t="n">
        <v>10</v>
      </c>
      <c r="H255" s="3" t="n">
        <v>-0.782376766204834</v>
      </c>
      <c r="I255" s="3" t="n">
        <v>-0.782376766204834</v>
      </c>
      <c r="J255" s="3" t="n">
        <v>-0.851290225982666</v>
      </c>
      <c r="K255" s="3" t="n">
        <v>-0.851290225982666</v>
      </c>
      <c r="L255" s="3" t="n">
        <v>-0.782376766204834</v>
      </c>
      <c r="M255" s="3" t="n">
        <v>-0.782376766204834</v>
      </c>
      <c r="N255" s="3" t="n">
        <v>-0.782376766204834</v>
      </c>
      <c r="O255" s="3" t="n">
        <v>-0.782376766204834</v>
      </c>
      <c r="P255" s="3" t="n">
        <v>-0.782376766204834</v>
      </c>
      <c r="Q255" s="3" t="n">
        <v>-0.782376766204834</v>
      </c>
      <c r="R255" s="3" t="n">
        <v>-0.7702532410621643</v>
      </c>
      <c r="S255" s="3" t="n">
        <v>-0.9840725064277649</v>
      </c>
      <c r="T255" s="3" t="n">
        <v>-0.7080408334732056</v>
      </c>
      <c r="U255" s="3" t="n">
        <v>-0.851290225982666</v>
      </c>
      <c r="V255" s="3" t="n">
        <v>-0.6766988039016724</v>
      </c>
      <c r="W255" s="3" t="n">
        <v>-0.5144161581993103</v>
      </c>
      <c r="X255" s="3" t="n">
        <v>-0.9808568358421326</v>
      </c>
      <c r="Y255" s="3" t="n">
        <v>-0.782376766204834</v>
      </c>
      <c r="Z255" s="3" t="n">
        <v>-0.9840725064277649</v>
      </c>
      <c r="AA255" s="3" t="n">
        <v>-0.9840725064277649</v>
      </c>
      <c r="AB255" s="3" t="n">
        <v>-0.9808568358421326</v>
      </c>
      <c r="AC255" s="3" t="n">
        <v>-1.065988659858704</v>
      </c>
      <c r="AD255" s="3" t="n">
        <v>-0.851290225982666</v>
      </c>
      <c r="AE255" s="3" t="n">
        <v>-0.851290225982666</v>
      </c>
    </row>
    <row r="256">
      <c r="A256" s="3" t="inlineStr">
        <is>
          <t>BLR.distn.bkt.ove.mean.9999</t>
        </is>
      </c>
      <c r="B256" s="3" t="inlineStr">
        <is>
          <t>BLR</t>
        </is>
      </c>
      <c r="C256" s="3" t="n">
        <v>2005</v>
      </c>
      <c r="D256" s="3" t="inlineStr">
        <is>
          <t>Overall</t>
        </is>
      </c>
      <c r="E256" s="3" t="inlineStr">
        <is>
          <t>Basket</t>
        </is>
      </c>
      <c r="F256" s="3" t="inlineStr">
        <is>
          <t>mean</t>
        </is>
      </c>
      <c r="G256" s="3" t="n">
        <v>9999</v>
      </c>
      <c r="H256" s="3" t="n">
        <v>-0.7839853167533875</v>
      </c>
      <c r="I256" s="3" t="n">
        <v>-0.7839853167533875</v>
      </c>
      <c r="J256" s="3" t="n">
        <v>-0.8626193404197693</v>
      </c>
      <c r="K256" s="3" t="n">
        <v>-0.8626193404197693</v>
      </c>
      <c r="L256" s="3" t="n">
        <v>-0.7839853167533875</v>
      </c>
      <c r="M256" s="3" t="n">
        <v>-0.7839853167533875</v>
      </c>
      <c r="N256" s="3" t="n">
        <v>-0.7839853167533875</v>
      </c>
      <c r="O256" s="3" t="n">
        <v>-0.7839853167533875</v>
      </c>
      <c r="P256" s="3" t="n">
        <v>-0.7839853167533875</v>
      </c>
      <c r="Q256" s="3" t="n">
        <v>-0.7839853167533875</v>
      </c>
      <c r="R256" s="3" t="n">
        <v>-0.7711172103881836</v>
      </c>
      <c r="S256" s="3" t="n">
        <v>-1.114667177200317</v>
      </c>
      <c r="T256" s="3" t="n">
        <v>-0.708448052406311</v>
      </c>
      <c r="U256" s="3" t="n">
        <v>-0.8626193404197693</v>
      </c>
      <c r="V256" s="3" t="n">
        <v>-0.6782930493354797</v>
      </c>
      <c r="W256" s="3" t="n">
        <v>-0.5333119630813599</v>
      </c>
      <c r="X256" s="3" t="n">
        <v>-1.096243262290955</v>
      </c>
      <c r="Y256" s="3" t="n">
        <v>-0.7839853167533875</v>
      </c>
      <c r="Z256" s="3" t="n">
        <v>-1.114667177200317</v>
      </c>
      <c r="AA256" s="3" t="n">
        <v>-1.114667177200317</v>
      </c>
      <c r="AB256" s="3" t="n">
        <v>-1.096243262290955</v>
      </c>
      <c r="AC256" s="3" t="n">
        <v>-1.393096208572388</v>
      </c>
      <c r="AD256" s="3" t="n">
        <v>-0.8626193404197693</v>
      </c>
      <c r="AE256" s="3" t="n">
        <v>-0.8626193404197693</v>
      </c>
    </row>
    <row r="257">
      <c r="A257" s="3" t="inlineStr">
        <is>
          <t>BLZ.distn.dec.ove.mean.1</t>
        </is>
      </c>
      <c r="B257" s="3" t="inlineStr">
        <is>
          <t>BLZ</t>
        </is>
      </c>
      <c r="C257" s="3" t="n">
        <v>2005</v>
      </c>
      <c r="D257" s="3" t="inlineStr">
        <is>
          <t>Overall</t>
        </is>
      </c>
      <c r="E257" s="3" t="inlineStr">
        <is>
          <t>Deciles</t>
        </is>
      </c>
      <c r="F257" s="3" t="inlineStr">
        <is>
          <t>mean</t>
        </is>
      </c>
      <c r="G257" s="3" t="n">
        <v>1</v>
      </c>
      <c r="H257" s="3" t="n">
        <v>-0.7936522003851438</v>
      </c>
      <c r="I257" s="3" t="n">
        <v>-0.7936522003851438</v>
      </c>
      <c r="J257" s="3" t="n">
        <v>-0.9276126356501329</v>
      </c>
      <c r="K257" s="3" t="n">
        <v>-0.9276126356501329</v>
      </c>
      <c r="L257" s="3" t="n">
        <v>-0.7936522003851438</v>
      </c>
      <c r="M257" s="3" t="n">
        <v>-0.7936522003851438</v>
      </c>
      <c r="N257" s="3" t="n">
        <v>-0.7936522003851438</v>
      </c>
      <c r="O257" s="3" t="n">
        <v>-0.7936522003851438</v>
      </c>
      <c r="P257" s="3" t="n">
        <v>-0.7936522003851438</v>
      </c>
      <c r="Q257" s="3" t="n">
        <v>-0.7936522003851438</v>
      </c>
      <c r="R257" s="3" t="n">
        <v>-0.7764578367534437</v>
      </c>
      <c r="S257" s="3" t="n">
        <v>-1.851309371621985</v>
      </c>
      <c r="T257" s="3" t="n">
        <v>-0.7110083871766141</v>
      </c>
      <c r="U257" s="3" t="n">
        <v>-0.9276126356501329</v>
      </c>
      <c r="V257" s="3" t="n">
        <v>-0.688554396754817</v>
      </c>
      <c r="W257" s="3" t="n">
        <v>-0.6748062403578508</v>
      </c>
      <c r="X257" s="3" t="n">
        <v>-1.760538414904946</v>
      </c>
      <c r="Y257" s="3" t="n">
        <v>-0.7936522003851438</v>
      </c>
      <c r="Z257" s="3" t="n">
        <v>-1.851309371621985</v>
      </c>
      <c r="AA257" s="3" t="n">
        <v>-1.851309371621985</v>
      </c>
      <c r="AB257" s="3" t="n">
        <v>-1.760538414904946</v>
      </c>
      <c r="AC257" s="3" t="n">
        <v>-4.00243950517554</v>
      </c>
      <c r="AD257" s="3" t="n">
        <v>-0.9276126356501329</v>
      </c>
      <c r="AE257" s="3" t="n">
        <v>-0.9276126356501329</v>
      </c>
    </row>
    <row r="258">
      <c r="A258" s="3" t="inlineStr">
        <is>
          <t>BLZ.distn.dec.ove.mean.2</t>
        </is>
      </c>
      <c r="B258" s="3" t="inlineStr">
        <is>
          <t>BLZ</t>
        </is>
      </c>
      <c r="C258" s="3" t="n">
        <v>2005</v>
      </c>
      <c r="D258" s="3" t="inlineStr">
        <is>
          <t>Overall</t>
        </is>
      </c>
      <c r="E258" s="3" t="inlineStr">
        <is>
          <t>Deciles</t>
        </is>
      </c>
      <c r="F258" s="3" t="inlineStr">
        <is>
          <t>mean</t>
        </is>
      </c>
      <c r="G258" s="3" t="n">
        <v>2</v>
      </c>
      <c r="H258" s="3" t="n">
        <v>-0.7936522003851438</v>
      </c>
      <c r="I258" s="3" t="n">
        <v>-0.7936522003851438</v>
      </c>
      <c r="J258" s="3" t="n">
        <v>-0.9276126356501329</v>
      </c>
      <c r="K258" s="3" t="n">
        <v>-0.9276126356501329</v>
      </c>
      <c r="L258" s="3" t="n">
        <v>-0.7936522003851438</v>
      </c>
      <c r="M258" s="3" t="n">
        <v>-0.7936522003851438</v>
      </c>
      <c r="N258" s="3" t="n">
        <v>-0.7936522003851438</v>
      </c>
      <c r="O258" s="3" t="n">
        <v>-0.7936522003851438</v>
      </c>
      <c r="P258" s="3" t="n">
        <v>-0.7936522003851438</v>
      </c>
      <c r="Q258" s="3" t="n">
        <v>-0.7936522003851438</v>
      </c>
      <c r="R258" s="3" t="n">
        <v>-0.7764578367534437</v>
      </c>
      <c r="S258" s="3" t="n">
        <v>-1.851309371621985</v>
      </c>
      <c r="T258" s="3" t="n">
        <v>-0.7110083871766141</v>
      </c>
      <c r="U258" s="3" t="n">
        <v>-0.9276126356501329</v>
      </c>
      <c r="V258" s="3" t="n">
        <v>-0.688554396754817</v>
      </c>
      <c r="W258" s="3" t="n">
        <v>-0.6748062403578508</v>
      </c>
      <c r="X258" s="3" t="n">
        <v>-1.760538414904946</v>
      </c>
      <c r="Y258" s="3" t="n">
        <v>-0.7936522003851438</v>
      </c>
      <c r="Z258" s="3" t="n">
        <v>-1.851309371621985</v>
      </c>
      <c r="AA258" s="3" t="n">
        <v>-1.851309371621985</v>
      </c>
      <c r="AB258" s="3" t="n">
        <v>-1.760538414904946</v>
      </c>
      <c r="AC258" s="3" t="n">
        <v>-4.00243950517554</v>
      </c>
      <c r="AD258" s="3" t="n">
        <v>-0.9276126356501329</v>
      </c>
      <c r="AE258" s="3" t="n">
        <v>-0.9276126356501329</v>
      </c>
    </row>
    <row r="259">
      <c r="A259" s="3" t="inlineStr">
        <is>
          <t>BLZ.distn.dec.ove.mean.3</t>
        </is>
      </c>
      <c r="B259" s="3" t="inlineStr">
        <is>
          <t>BLZ</t>
        </is>
      </c>
      <c r="C259" s="3" t="n">
        <v>2005</v>
      </c>
      <c r="D259" s="3" t="inlineStr">
        <is>
          <t>Overall</t>
        </is>
      </c>
      <c r="E259" s="3" t="inlineStr">
        <is>
          <t>Deciles</t>
        </is>
      </c>
      <c r="F259" s="3" t="inlineStr">
        <is>
          <t>mean</t>
        </is>
      </c>
      <c r="G259" s="3" t="n">
        <v>3</v>
      </c>
      <c r="H259" s="3" t="n">
        <v>-0.7936522003851438</v>
      </c>
      <c r="I259" s="3" t="n">
        <v>-0.7936522003851438</v>
      </c>
      <c r="J259" s="3" t="n">
        <v>-0.9276126356501329</v>
      </c>
      <c r="K259" s="3" t="n">
        <v>-0.9276126356501329</v>
      </c>
      <c r="L259" s="3" t="n">
        <v>-0.7936522003851438</v>
      </c>
      <c r="M259" s="3" t="n">
        <v>-0.7936522003851438</v>
      </c>
      <c r="N259" s="3" t="n">
        <v>-0.7936522003851438</v>
      </c>
      <c r="O259" s="3" t="n">
        <v>-0.7936522003851438</v>
      </c>
      <c r="P259" s="3" t="n">
        <v>-0.7936522003851438</v>
      </c>
      <c r="Q259" s="3" t="n">
        <v>-0.7936522003851438</v>
      </c>
      <c r="R259" s="3" t="n">
        <v>-0.7764578367534437</v>
      </c>
      <c r="S259" s="3" t="n">
        <v>-1.851309371621985</v>
      </c>
      <c r="T259" s="3" t="n">
        <v>-0.7110083871766141</v>
      </c>
      <c r="U259" s="3" t="n">
        <v>-0.9276126356501329</v>
      </c>
      <c r="V259" s="3" t="n">
        <v>-0.688554396754817</v>
      </c>
      <c r="W259" s="3" t="n">
        <v>-0.6748062403578508</v>
      </c>
      <c r="X259" s="3" t="n">
        <v>-1.760538414904946</v>
      </c>
      <c r="Y259" s="3" t="n">
        <v>-0.7936522003851438</v>
      </c>
      <c r="Z259" s="3" t="n">
        <v>-1.851309371621985</v>
      </c>
      <c r="AA259" s="3" t="n">
        <v>-1.851309371621985</v>
      </c>
      <c r="AB259" s="3" t="n">
        <v>-1.760538414904946</v>
      </c>
      <c r="AC259" s="3" t="n">
        <v>-4.00243950517554</v>
      </c>
      <c r="AD259" s="3" t="n">
        <v>-0.9276126356501329</v>
      </c>
      <c r="AE259" s="3" t="n">
        <v>-0.9276126356501329</v>
      </c>
    </row>
    <row r="260">
      <c r="A260" s="3" t="inlineStr">
        <is>
          <t>BLZ.distn.dec.ove.mean.4</t>
        </is>
      </c>
      <c r="B260" s="3" t="inlineStr">
        <is>
          <t>BLZ</t>
        </is>
      </c>
      <c r="C260" s="3" t="n">
        <v>2005</v>
      </c>
      <c r="D260" s="3" t="inlineStr">
        <is>
          <t>Overall</t>
        </is>
      </c>
      <c r="E260" s="3" t="inlineStr">
        <is>
          <t>Deciles</t>
        </is>
      </c>
      <c r="F260" s="3" t="inlineStr">
        <is>
          <t>mean</t>
        </is>
      </c>
      <c r="G260" s="3" t="n">
        <v>4</v>
      </c>
      <c r="H260" s="3" t="n">
        <v>-0.7873684167861938</v>
      </c>
      <c r="I260" s="3" t="n">
        <v>-0.7873684167861938</v>
      </c>
      <c r="J260" s="3" t="n">
        <v>-0.8827894769216839</v>
      </c>
      <c r="K260" s="3" t="n">
        <v>-0.8827894769216839</v>
      </c>
      <c r="L260" s="3" t="n">
        <v>-0.7873684167861938</v>
      </c>
      <c r="M260" s="3" t="n">
        <v>-0.7873684167861938</v>
      </c>
      <c r="N260" s="3" t="n">
        <v>-0.7873684167861938</v>
      </c>
      <c r="O260" s="3" t="n">
        <v>-0.7873684167861938</v>
      </c>
      <c r="P260" s="3" t="n">
        <v>-0.7873684167861938</v>
      </c>
      <c r="Q260" s="3" t="n">
        <v>-0.7873684167861938</v>
      </c>
      <c r="R260" s="3" t="n">
        <v>-0.7729736864566803</v>
      </c>
      <c r="S260" s="3" t="n">
        <v>-1.260947363941293</v>
      </c>
      <c r="T260" s="3" t="n">
        <v>-0.7095526174495095</v>
      </c>
      <c r="U260" s="3" t="n">
        <v>-0.8827894769216839</v>
      </c>
      <c r="V260" s="3" t="n">
        <v>-0.6815526375645086</v>
      </c>
      <c r="W260" s="3" t="n">
        <v>-0.5679210565592113</v>
      </c>
      <c r="X260" s="3" t="n">
        <v>-1.242473682290629</v>
      </c>
      <c r="Y260" s="3" t="n">
        <v>-0.7873684167861938</v>
      </c>
      <c r="Z260" s="3" t="n">
        <v>-1.260947363941293</v>
      </c>
      <c r="AA260" s="3" t="n">
        <v>-1.260947363941293</v>
      </c>
      <c r="AB260" s="3" t="n">
        <v>-1.242473682290629</v>
      </c>
      <c r="AC260" s="3" t="n">
        <v>-1.932868417940642</v>
      </c>
      <c r="AD260" s="3" t="n">
        <v>-0.8827894769216839</v>
      </c>
      <c r="AE260" s="3" t="n">
        <v>-0.8827894769216839</v>
      </c>
    </row>
    <row r="261">
      <c r="A261" s="3" t="inlineStr">
        <is>
          <t>BLZ.distn.dec.ove.mean.5</t>
        </is>
      </c>
      <c r="B261" s="3" t="inlineStr">
        <is>
          <t>BLZ</t>
        </is>
      </c>
      <c r="C261" s="3" t="n">
        <v>2005</v>
      </c>
      <c r="D261" s="3" t="inlineStr">
        <is>
          <t>Overall</t>
        </is>
      </c>
      <c r="E261" s="3" t="inlineStr">
        <is>
          <t>Deciles</t>
        </is>
      </c>
      <c r="F261" s="3" t="inlineStr">
        <is>
          <t>mean</t>
        </is>
      </c>
      <c r="G261" s="3" t="n">
        <v>5</v>
      </c>
      <c r="H261" s="3" t="n">
        <v>-0.7873684167861938</v>
      </c>
      <c r="I261" s="3" t="n">
        <v>-0.7873684167861938</v>
      </c>
      <c r="J261" s="3" t="n">
        <v>-0.8827894769216839</v>
      </c>
      <c r="K261" s="3" t="n">
        <v>-0.8827894769216839</v>
      </c>
      <c r="L261" s="3" t="n">
        <v>-0.7873684167861938</v>
      </c>
      <c r="M261" s="3" t="n">
        <v>-0.7873684167861938</v>
      </c>
      <c r="N261" s="3" t="n">
        <v>-0.7873684167861938</v>
      </c>
      <c r="O261" s="3" t="n">
        <v>-0.7873684167861938</v>
      </c>
      <c r="P261" s="3" t="n">
        <v>-0.7873684167861938</v>
      </c>
      <c r="Q261" s="3" t="n">
        <v>-0.7873684167861938</v>
      </c>
      <c r="R261" s="3" t="n">
        <v>-0.7729736864566803</v>
      </c>
      <c r="S261" s="3" t="n">
        <v>-1.260947363941293</v>
      </c>
      <c r="T261" s="3" t="n">
        <v>-0.7095526174495095</v>
      </c>
      <c r="U261" s="3" t="n">
        <v>-0.8827894769216839</v>
      </c>
      <c r="V261" s="3" t="n">
        <v>-0.6815526375645086</v>
      </c>
      <c r="W261" s="3" t="n">
        <v>-0.5679210565592113</v>
      </c>
      <c r="X261" s="3" t="n">
        <v>-1.242473682290629</v>
      </c>
      <c r="Y261" s="3" t="n">
        <v>-0.7873684167861938</v>
      </c>
      <c r="Z261" s="3" t="n">
        <v>-1.260947363941293</v>
      </c>
      <c r="AA261" s="3" t="n">
        <v>-1.260947363941293</v>
      </c>
      <c r="AB261" s="3" t="n">
        <v>-1.242473682290629</v>
      </c>
      <c r="AC261" s="3" t="n">
        <v>-1.932868417940642</v>
      </c>
      <c r="AD261" s="3" t="n">
        <v>-0.8827894769216839</v>
      </c>
      <c r="AE261" s="3" t="n">
        <v>-0.8827894769216839</v>
      </c>
    </row>
    <row r="262">
      <c r="A262" s="3" t="inlineStr">
        <is>
          <t>BLZ.distn.dec.ove.mean.6</t>
        </is>
      </c>
      <c r="B262" s="3" t="inlineStr">
        <is>
          <t>BLZ</t>
        </is>
      </c>
      <c r="C262" s="3" t="n">
        <v>2005</v>
      </c>
      <c r="D262" s="3" t="inlineStr">
        <is>
          <t>Overall</t>
        </is>
      </c>
      <c r="E262" s="3" t="inlineStr">
        <is>
          <t>Deciles</t>
        </is>
      </c>
      <c r="F262" s="3" t="inlineStr">
        <is>
          <t>mean</t>
        </is>
      </c>
      <c r="G262" s="3" t="n">
        <v>6</v>
      </c>
      <c r="H262" s="3" t="n">
        <v>-0.7873684167861938</v>
      </c>
      <c r="I262" s="3" t="n">
        <v>-0.7873684167861938</v>
      </c>
      <c r="J262" s="3" t="n">
        <v>-0.8827894769216839</v>
      </c>
      <c r="K262" s="3" t="n">
        <v>-0.8827894769216839</v>
      </c>
      <c r="L262" s="3" t="n">
        <v>-0.7873684167861938</v>
      </c>
      <c r="M262" s="3" t="n">
        <v>-0.7873684167861938</v>
      </c>
      <c r="N262" s="3" t="n">
        <v>-0.7873684167861938</v>
      </c>
      <c r="O262" s="3" t="n">
        <v>-0.7873684167861938</v>
      </c>
      <c r="P262" s="3" t="n">
        <v>-0.7873684167861938</v>
      </c>
      <c r="Q262" s="3" t="n">
        <v>-0.7873684167861938</v>
      </c>
      <c r="R262" s="3" t="n">
        <v>-0.7729736864566803</v>
      </c>
      <c r="S262" s="3" t="n">
        <v>-1.260947363941293</v>
      </c>
      <c r="T262" s="3" t="n">
        <v>-0.7095526174495095</v>
      </c>
      <c r="U262" s="3" t="n">
        <v>-0.8827894769216839</v>
      </c>
      <c r="V262" s="3" t="n">
        <v>-0.6815526375645086</v>
      </c>
      <c r="W262" s="3" t="n">
        <v>-0.5679210565592113</v>
      </c>
      <c r="X262" s="3" t="n">
        <v>-1.242473682290629</v>
      </c>
      <c r="Y262" s="3" t="n">
        <v>-0.7873684167861938</v>
      </c>
      <c r="Z262" s="3" t="n">
        <v>-1.260947363941293</v>
      </c>
      <c r="AA262" s="3" t="n">
        <v>-1.260947363941293</v>
      </c>
      <c r="AB262" s="3" t="n">
        <v>-1.242473682290629</v>
      </c>
      <c r="AC262" s="3" t="n">
        <v>-1.932868417940642</v>
      </c>
      <c r="AD262" s="3" t="n">
        <v>-0.8827894769216839</v>
      </c>
      <c r="AE262" s="3" t="n">
        <v>-0.8827894769216839</v>
      </c>
    </row>
    <row r="263">
      <c r="A263" s="3" t="inlineStr">
        <is>
          <t>BLZ.distn.dec.ove.mean.7</t>
        </is>
      </c>
      <c r="B263" s="3" t="inlineStr">
        <is>
          <t>BLZ</t>
        </is>
      </c>
      <c r="C263" s="3" t="n">
        <v>2005</v>
      </c>
      <c r="D263" s="3" t="inlineStr">
        <is>
          <t>Overall</t>
        </is>
      </c>
      <c r="E263" s="3" t="inlineStr">
        <is>
          <t>Deciles</t>
        </is>
      </c>
      <c r="F263" s="3" t="inlineStr">
        <is>
          <t>mean</t>
        </is>
      </c>
      <c r="G263" s="3" t="n">
        <v>7</v>
      </c>
      <c r="H263" s="3" t="n">
        <v>-0.7873684167861938</v>
      </c>
      <c r="I263" s="3" t="n">
        <v>-0.7873684167861938</v>
      </c>
      <c r="J263" s="3" t="n">
        <v>-0.8827894769216839</v>
      </c>
      <c r="K263" s="3" t="n">
        <v>-0.8827894769216839</v>
      </c>
      <c r="L263" s="3" t="n">
        <v>-0.7873684167861938</v>
      </c>
      <c r="M263" s="3" t="n">
        <v>-0.7873684167861938</v>
      </c>
      <c r="N263" s="3" t="n">
        <v>-0.7873684167861938</v>
      </c>
      <c r="O263" s="3" t="n">
        <v>-0.7873684167861938</v>
      </c>
      <c r="P263" s="3" t="n">
        <v>-0.7873684167861938</v>
      </c>
      <c r="Q263" s="3" t="n">
        <v>-0.7873684167861938</v>
      </c>
      <c r="R263" s="3" t="n">
        <v>-0.7729736864566803</v>
      </c>
      <c r="S263" s="3" t="n">
        <v>-1.260947363941293</v>
      </c>
      <c r="T263" s="3" t="n">
        <v>-0.7095526174495095</v>
      </c>
      <c r="U263" s="3" t="n">
        <v>-0.8827894769216839</v>
      </c>
      <c r="V263" s="3" t="n">
        <v>-0.6815526375645086</v>
      </c>
      <c r="W263" s="3" t="n">
        <v>-0.5679210565592113</v>
      </c>
      <c r="X263" s="3" t="n">
        <v>-1.242473682290629</v>
      </c>
      <c r="Y263" s="3" t="n">
        <v>-0.7873684167861938</v>
      </c>
      <c r="Z263" s="3" t="n">
        <v>-1.260947363941293</v>
      </c>
      <c r="AA263" s="3" t="n">
        <v>-1.260947363941293</v>
      </c>
      <c r="AB263" s="3" t="n">
        <v>-1.242473682290629</v>
      </c>
      <c r="AC263" s="3" t="n">
        <v>-1.932868417940642</v>
      </c>
      <c r="AD263" s="3" t="n">
        <v>-0.8827894769216839</v>
      </c>
      <c r="AE263" s="3" t="n">
        <v>-0.8827894769216839</v>
      </c>
    </row>
    <row r="264">
      <c r="A264" s="3" t="inlineStr">
        <is>
          <t>BLZ.distn.dec.ove.mean.8</t>
        </is>
      </c>
      <c r="B264" s="3" t="inlineStr">
        <is>
          <t>BLZ</t>
        </is>
      </c>
      <c r="C264" s="3" t="n">
        <v>2005</v>
      </c>
      <c r="D264" s="3" t="inlineStr">
        <is>
          <t>Overall</t>
        </is>
      </c>
      <c r="E264" s="3" t="inlineStr">
        <is>
          <t>Deciles</t>
        </is>
      </c>
      <c r="F264" s="3" t="inlineStr">
        <is>
          <t>mean</t>
        </is>
      </c>
      <c r="G264" s="3" t="n">
        <v>8</v>
      </c>
      <c r="H264" s="3" t="n">
        <v>-0.7877477627051505</v>
      </c>
      <c r="I264" s="3" t="n">
        <v>-0.7877477627051505</v>
      </c>
      <c r="J264" s="3" t="n">
        <v>-0.8851708738427413</v>
      </c>
      <c r="K264" s="3" t="n">
        <v>-0.8851708738427413</v>
      </c>
      <c r="L264" s="3" t="n">
        <v>-0.7877477627051505</v>
      </c>
      <c r="M264" s="3" t="n">
        <v>-0.7877477627051505</v>
      </c>
      <c r="N264" s="3" t="n">
        <v>-0.7877477627051505</v>
      </c>
      <c r="O264" s="3" t="n">
        <v>-0.7877477627051505</v>
      </c>
      <c r="P264" s="3" t="n">
        <v>-0.7877477627051505</v>
      </c>
      <c r="Q264" s="3" t="n">
        <v>-0.7877477627051505</v>
      </c>
      <c r="R264" s="3" t="n">
        <v>-0.7732278971295607</v>
      </c>
      <c r="S264" s="3" t="n">
        <v>-1.272680619829579</v>
      </c>
      <c r="T264" s="3" t="n">
        <v>-0.7095935376066911</v>
      </c>
      <c r="U264" s="3" t="n">
        <v>-0.8851708738427413</v>
      </c>
      <c r="V264" s="3" t="n">
        <v>-0.6822572021107924</v>
      </c>
      <c r="W264" s="3" t="n">
        <v>-0.5831292993143985</v>
      </c>
      <c r="X264" s="3" t="n">
        <v>-1.253795093611667</v>
      </c>
      <c r="Y264" s="3" t="n">
        <v>-0.7877477627051505</v>
      </c>
      <c r="Z264" s="3" t="n">
        <v>-1.272680619829579</v>
      </c>
      <c r="AA264" s="3" t="n">
        <v>-1.272680619829579</v>
      </c>
      <c r="AB264" s="3" t="n">
        <v>-1.253795093611667</v>
      </c>
      <c r="AC264" s="3" t="n">
        <v>-1.960433708994012</v>
      </c>
      <c r="AD264" s="3" t="n">
        <v>-0.8851708738427413</v>
      </c>
      <c r="AE264" s="3" t="n">
        <v>-0.8851708738427413</v>
      </c>
    </row>
    <row r="265">
      <c r="A265" s="3" t="inlineStr">
        <is>
          <t>BLZ.distn.dec.ove.mean.9</t>
        </is>
      </c>
      <c r="B265" s="3" t="inlineStr">
        <is>
          <t>BLZ</t>
        </is>
      </c>
      <c r="C265" s="3" t="n">
        <v>2005</v>
      </c>
      <c r="D265" s="3" t="inlineStr">
        <is>
          <t>Overall</t>
        </is>
      </c>
      <c r="E265" s="3" t="inlineStr">
        <is>
          <t>Deciles</t>
        </is>
      </c>
      <c r="F265" s="3" t="inlineStr">
        <is>
          <t>mean</t>
        </is>
      </c>
      <c r="G265" s="3" t="n">
        <v>9</v>
      </c>
      <c r="H265" s="3" t="n">
        <v>-0.7877477627051505</v>
      </c>
      <c r="I265" s="3" t="n">
        <v>-0.7877477627051505</v>
      </c>
      <c r="J265" s="3" t="n">
        <v>-0.8851708738427413</v>
      </c>
      <c r="K265" s="3" t="n">
        <v>-0.8851708738427413</v>
      </c>
      <c r="L265" s="3" t="n">
        <v>-0.7877477627051505</v>
      </c>
      <c r="M265" s="3" t="n">
        <v>-0.7877477627051505</v>
      </c>
      <c r="N265" s="3" t="n">
        <v>-0.7877477627051505</v>
      </c>
      <c r="O265" s="3" t="n">
        <v>-0.7877477627051505</v>
      </c>
      <c r="P265" s="3" t="n">
        <v>-0.7877477627051505</v>
      </c>
      <c r="Q265" s="3" t="n">
        <v>-0.7877477627051505</v>
      </c>
      <c r="R265" s="3" t="n">
        <v>-0.7732278971295607</v>
      </c>
      <c r="S265" s="3" t="n">
        <v>-1.272680619829579</v>
      </c>
      <c r="T265" s="3" t="n">
        <v>-0.7095935376066911</v>
      </c>
      <c r="U265" s="3" t="n">
        <v>-0.8851708738427413</v>
      </c>
      <c r="V265" s="3" t="n">
        <v>-0.6822572021107924</v>
      </c>
      <c r="W265" s="3" t="n">
        <v>-0.5831292993143985</v>
      </c>
      <c r="X265" s="3" t="n">
        <v>-1.253795093611667</v>
      </c>
      <c r="Y265" s="3" t="n">
        <v>-0.7877477627051505</v>
      </c>
      <c r="Z265" s="3" t="n">
        <v>-1.272680619829579</v>
      </c>
      <c r="AA265" s="3" t="n">
        <v>-1.272680619829579</v>
      </c>
      <c r="AB265" s="3" t="n">
        <v>-1.253795093611667</v>
      </c>
      <c r="AC265" s="3" t="n">
        <v>-1.960433708994012</v>
      </c>
      <c r="AD265" s="3" t="n">
        <v>-0.8851708738427413</v>
      </c>
      <c r="AE265" s="3" t="n">
        <v>-0.8851708738427413</v>
      </c>
    </row>
    <row r="266">
      <c r="A266" s="3" t="inlineStr">
        <is>
          <t>BLZ.distn.dec.ove.mean.10</t>
        </is>
      </c>
      <c r="B266" s="3" t="inlineStr">
        <is>
          <t>BLZ</t>
        </is>
      </c>
      <c r="C266" s="3" t="n">
        <v>2005</v>
      </c>
      <c r="D266" s="3" t="inlineStr">
        <is>
          <t>Overall</t>
        </is>
      </c>
      <c r="E266" s="3" t="inlineStr">
        <is>
          <t>Deciles</t>
        </is>
      </c>
      <c r="F266" s="3" t="inlineStr">
        <is>
          <t>mean</t>
        </is>
      </c>
      <c r="G266" s="3" t="n">
        <v>10</v>
      </c>
      <c r="H266" s="3" t="n">
        <v>-0.7877477627051505</v>
      </c>
      <c r="I266" s="3" t="n">
        <v>-0.7877477627051505</v>
      </c>
      <c r="J266" s="3" t="n">
        <v>-0.8851708738427413</v>
      </c>
      <c r="K266" s="3" t="n">
        <v>-0.8851708738427413</v>
      </c>
      <c r="L266" s="3" t="n">
        <v>-0.7877477627051505</v>
      </c>
      <c r="M266" s="3" t="n">
        <v>-0.7877477627051505</v>
      </c>
      <c r="N266" s="3" t="n">
        <v>-0.7877477627051505</v>
      </c>
      <c r="O266" s="3" t="n">
        <v>-0.7877477627051505</v>
      </c>
      <c r="P266" s="3" t="n">
        <v>-0.7877477627051505</v>
      </c>
      <c r="Q266" s="3" t="n">
        <v>-0.7877477627051505</v>
      </c>
      <c r="R266" s="3" t="n">
        <v>-0.7732278971295607</v>
      </c>
      <c r="S266" s="3" t="n">
        <v>-1.272680619829579</v>
      </c>
      <c r="T266" s="3" t="n">
        <v>-0.7095935376066911</v>
      </c>
      <c r="U266" s="3" t="n">
        <v>-0.8851708738427413</v>
      </c>
      <c r="V266" s="3" t="n">
        <v>-0.6822572021107924</v>
      </c>
      <c r="W266" s="3" t="n">
        <v>-0.5831292993143985</v>
      </c>
      <c r="X266" s="3" t="n">
        <v>-1.253795093611667</v>
      </c>
      <c r="Y266" s="3" t="n">
        <v>-0.7877477627051505</v>
      </c>
      <c r="Z266" s="3" t="n">
        <v>-1.272680619829579</v>
      </c>
      <c r="AA266" s="3" t="n">
        <v>-1.272680619829579</v>
      </c>
      <c r="AB266" s="3" t="n">
        <v>-1.253795093611667</v>
      </c>
      <c r="AC266" s="3" t="n">
        <v>-1.960433708994012</v>
      </c>
      <c r="AD266" s="3" t="n">
        <v>-0.8851708738427413</v>
      </c>
      <c r="AE266" s="3" t="n">
        <v>-0.8851708738427413</v>
      </c>
    </row>
    <row r="267">
      <c r="A267" s="3" t="inlineStr">
        <is>
          <t>BLZ.distn.bkt.ove.mean.9999</t>
        </is>
      </c>
      <c r="B267" s="3" t="inlineStr">
        <is>
          <t>BLZ</t>
        </is>
      </c>
      <c r="C267" s="3" t="n">
        <v>2005</v>
      </c>
      <c r="D267" s="3" t="inlineStr">
        <is>
          <t>Overall</t>
        </is>
      </c>
      <c r="E267" s="3" t="inlineStr">
        <is>
          <t>Basket</t>
        </is>
      </c>
      <c r="F267" s="3" t="inlineStr">
        <is>
          <t>mean</t>
        </is>
      </c>
      <c r="G267" s="3" t="n">
        <v>9999</v>
      </c>
      <c r="H267" s="3" t="n">
        <v>-0.7893673542298769</v>
      </c>
      <c r="I267" s="3" t="n">
        <v>-0.7893673542298769</v>
      </c>
      <c r="J267" s="3" t="n">
        <v>-0.8969508472241854</v>
      </c>
      <c r="K267" s="3" t="n">
        <v>-0.8969508472241854</v>
      </c>
      <c r="L267" s="3" t="n">
        <v>-0.7893673542298769</v>
      </c>
      <c r="M267" s="3" t="n">
        <v>-0.7893673542298769</v>
      </c>
      <c r="N267" s="3" t="n">
        <v>-0.7893673542298769</v>
      </c>
      <c r="O267" s="3" t="n">
        <v>-0.7893673542298769</v>
      </c>
      <c r="P267" s="3" t="n">
        <v>-0.7893673542298769</v>
      </c>
      <c r="Q267" s="3" t="n">
        <v>-0.7893673542298769</v>
      </c>
      <c r="R267" s="3" t="n">
        <v>-0.7740951949044278</v>
      </c>
      <c r="S267" s="3" t="n">
        <v>-1.441575941286589</v>
      </c>
      <c r="T267" s="3" t="n">
        <v>-0.7100016239442324</v>
      </c>
      <c r="U267" s="3" t="n">
        <v>-0.8969508472241854</v>
      </c>
      <c r="V267" s="3" t="n">
        <v>-0.6838645276270414</v>
      </c>
      <c r="W267" s="3" t="n">
        <v>-0.6045490895446978</v>
      </c>
      <c r="X267" s="3" t="n">
        <v>-1.401289532059117</v>
      </c>
      <c r="Y267" s="3" t="n">
        <v>-0.7893673542298769</v>
      </c>
      <c r="Z267" s="3" t="n">
        <v>-1.441575941286589</v>
      </c>
      <c r="AA267" s="3" t="n">
        <v>-1.441575941286589</v>
      </c>
      <c r="AB267" s="3" t="n">
        <v>-1.401289532059117</v>
      </c>
      <c r="AC267" s="3" t="n">
        <v>-2.562009337701296</v>
      </c>
      <c r="AD267" s="3" t="n">
        <v>-0.8969508472241854</v>
      </c>
      <c r="AE267" s="3" t="n">
        <v>-0.8969508472241854</v>
      </c>
    </row>
    <row r="268">
      <c r="A268" s="3" t="inlineStr">
        <is>
          <t>BMU.distn.dec.ove.mean.1</t>
        </is>
      </c>
      <c r="B268" s="3" t="inlineStr">
        <is>
          <t>BMU</t>
        </is>
      </c>
      <c r="C268" s="3" t="n">
        <v>2005</v>
      </c>
      <c r="D268" s="3" t="inlineStr">
        <is>
          <t>Overall</t>
        </is>
      </c>
      <c r="E268" s="3" t="inlineStr">
        <is>
          <t>Deciles</t>
        </is>
      </c>
      <c r="F268" s="3" t="inlineStr">
        <is>
          <t>mean</t>
        </is>
      </c>
      <c r="G268" s="3" t="n">
        <v>1</v>
      </c>
      <c r="H268" s="3" t="n">
        <v>-0.7878549098968506</v>
      </c>
      <c r="I268" s="3" t="n">
        <v>-0.7878549098968506</v>
      </c>
      <c r="J268" s="3" t="n">
        <v>-0.8883962808771336</v>
      </c>
      <c r="K268" s="3" t="n">
        <v>-0.8883962808771336</v>
      </c>
      <c r="L268" s="3" t="n">
        <v>-0.7878549098968506</v>
      </c>
      <c r="M268" s="3" t="n">
        <v>-0.7878549098968506</v>
      </c>
      <c r="N268" s="3" t="n">
        <v>-0.7878549098968506</v>
      </c>
      <c r="O268" s="3" t="n">
        <v>-0.7878549098968506</v>
      </c>
      <c r="P268" s="3" t="n">
        <v>-0.7878549098968506</v>
      </c>
      <c r="Q268" s="3" t="n">
        <v>-0.7878549098968506</v>
      </c>
      <c r="R268" s="3" t="n">
        <v>-0.7732356596500316</v>
      </c>
      <c r="S268" s="3" t="n">
        <v>-1.408805674694954</v>
      </c>
      <c r="T268" s="3" t="n">
        <v>-0.7095591730259835</v>
      </c>
      <c r="U268" s="3" t="n">
        <v>-0.8883962808771336</v>
      </c>
      <c r="V268" s="3" t="n">
        <v>-0.681934451803248</v>
      </c>
      <c r="W268" s="3" t="n">
        <v>-0.5702875047288043</v>
      </c>
      <c r="X268" s="3" t="n">
        <v>-1.356243993373627</v>
      </c>
      <c r="Y268" s="3" t="n">
        <v>-0.7878549098968506</v>
      </c>
      <c r="Z268" s="3" t="n">
        <v>-1.408805674694954</v>
      </c>
      <c r="AA268" s="3" t="n">
        <v>-1.408805674694954</v>
      </c>
      <c r="AB268" s="3" t="n">
        <v>-1.356243993373627</v>
      </c>
      <c r="AC268" s="3" t="n">
        <v>-2.123991362592007</v>
      </c>
      <c r="AD268" s="3" t="n">
        <v>-0.8883962808771336</v>
      </c>
      <c r="AE268" s="3" t="n">
        <v>-0.8883962808771336</v>
      </c>
    </row>
    <row r="269">
      <c r="A269" s="3" t="inlineStr">
        <is>
          <t>BMU.distn.dec.ove.mean.2</t>
        </is>
      </c>
      <c r="B269" s="3" t="inlineStr">
        <is>
          <t>BMU</t>
        </is>
      </c>
      <c r="C269" s="3" t="n">
        <v>2005</v>
      </c>
      <c r="D269" s="3" t="inlineStr">
        <is>
          <t>Overall</t>
        </is>
      </c>
      <c r="E269" s="3" t="inlineStr">
        <is>
          <t>Deciles</t>
        </is>
      </c>
      <c r="F269" s="3" t="inlineStr">
        <is>
          <t>mean</t>
        </is>
      </c>
      <c r="G269" s="3" t="n">
        <v>2</v>
      </c>
      <c r="H269" s="3" t="n">
        <v>-0.7878549098968506</v>
      </c>
      <c r="I269" s="3" t="n">
        <v>-0.7878549098968506</v>
      </c>
      <c r="J269" s="3" t="n">
        <v>-0.8883962808771336</v>
      </c>
      <c r="K269" s="3" t="n">
        <v>-0.8883962808771336</v>
      </c>
      <c r="L269" s="3" t="n">
        <v>-0.7878549098968506</v>
      </c>
      <c r="M269" s="3" t="n">
        <v>-0.7878549098968506</v>
      </c>
      <c r="N269" s="3" t="n">
        <v>-0.7878549098968506</v>
      </c>
      <c r="O269" s="3" t="n">
        <v>-0.7878549098968506</v>
      </c>
      <c r="P269" s="3" t="n">
        <v>-0.7878549098968506</v>
      </c>
      <c r="Q269" s="3" t="n">
        <v>-0.7878549098968506</v>
      </c>
      <c r="R269" s="3" t="n">
        <v>-0.7732356596500316</v>
      </c>
      <c r="S269" s="3" t="n">
        <v>-1.408805674694954</v>
      </c>
      <c r="T269" s="3" t="n">
        <v>-0.7095591730259835</v>
      </c>
      <c r="U269" s="3" t="n">
        <v>-0.8883962808771336</v>
      </c>
      <c r="V269" s="3" t="n">
        <v>-0.681934451803248</v>
      </c>
      <c r="W269" s="3" t="n">
        <v>-0.5702875047288043</v>
      </c>
      <c r="X269" s="3" t="n">
        <v>-1.356243993373627</v>
      </c>
      <c r="Y269" s="3" t="n">
        <v>-0.7878549098968506</v>
      </c>
      <c r="Z269" s="3" t="n">
        <v>-1.408805674694954</v>
      </c>
      <c r="AA269" s="3" t="n">
        <v>-1.408805674694954</v>
      </c>
      <c r="AB269" s="3" t="n">
        <v>-1.356243993373627</v>
      </c>
      <c r="AC269" s="3" t="n">
        <v>-2.123991362592007</v>
      </c>
      <c r="AD269" s="3" t="n">
        <v>-0.8883962808771336</v>
      </c>
      <c r="AE269" s="3" t="n">
        <v>-0.8883962808771336</v>
      </c>
    </row>
    <row r="270">
      <c r="A270" s="3" t="inlineStr">
        <is>
          <t>BMU.distn.dec.ove.mean.3</t>
        </is>
      </c>
      <c r="B270" s="3" t="inlineStr">
        <is>
          <t>BMU</t>
        </is>
      </c>
      <c r="C270" s="3" t="n">
        <v>2005</v>
      </c>
      <c r="D270" s="3" t="inlineStr">
        <is>
          <t>Overall</t>
        </is>
      </c>
      <c r="E270" s="3" t="inlineStr">
        <is>
          <t>Deciles</t>
        </is>
      </c>
      <c r="F270" s="3" t="inlineStr">
        <is>
          <t>mean</t>
        </is>
      </c>
      <c r="G270" s="3" t="n">
        <v>3</v>
      </c>
      <c r="H270" s="3" t="n">
        <v>-0.7878549098968506</v>
      </c>
      <c r="I270" s="3" t="n">
        <v>-0.7878549098968506</v>
      </c>
      <c r="J270" s="3" t="n">
        <v>-0.8883962808771336</v>
      </c>
      <c r="K270" s="3" t="n">
        <v>-0.8883962808771336</v>
      </c>
      <c r="L270" s="3" t="n">
        <v>-0.7878549098968506</v>
      </c>
      <c r="M270" s="3" t="n">
        <v>-0.7878549098968506</v>
      </c>
      <c r="N270" s="3" t="n">
        <v>-0.7878549098968506</v>
      </c>
      <c r="O270" s="3" t="n">
        <v>-0.7878549098968506</v>
      </c>
      <c r="P270" s="3" t="n">
        <v>-0.7878549098968506</v>
      </c>
      <c r="Q270" s="3" t="n">
        <v>-0.7878549098968506</v>
      </c>
      <c r="R270" s="3" t="n">
        <v>-0.7732356596500316</v>
      </c>
      <c r="S270" s="3" t="n">
        <v>-1.408805674694954</v>
      </c>
      <c r="T270" s="3" t="n">
        <v>-0.7095591730259835</v>
      </c>
      <c r="U270" s="3" t="n">
        <v>-0.8883962808771336</v>
      </c>
      <c r="V270" s="3" t="n">
        <v>-0.681934451803248</v>
      </c>
      <c r="W270" s="3" t="n">
        <v>-0.5702875047288043</v>
      </c>
      <c r="X270" s="3" t="n">
        <v>-1.356243993373627</v>
      </c>
      <c r="Y270" s="3" t="n">
        <v>-0.7878549098968506</v>
      </c>
      <c r="Z270" s="3" t="n">
        <v>-1.408805674694954</v>
      </c>
      <c r="AA270" s="3" t="n">
        <v>-1.408805674694954</v>
      </c>
      <c r="AB270" s="3" t="n">
        <v>-1.356243993373627</v>
      </c>
      <c r="AC270" s="3" t="n">
        <v>-2.123991362592007</v>
      </c>
      <c r="AD270" s="3" t="n">
        <v>-0.8883962808771336</v>
      </c>
      <c r="AE270" s="3" t="n">
        <v>-0.8883962808771336</v>
      </c>
    </row>
    <row r="271">
      <c r="A271" s="3" t="inlineStr">
        <is>
          <t>BMU.distn.dec.ove.mean.4</t>
        </is>
      </c>
      <c r="B271" s="3" t="inlineStr">
        <is>
          <t>BMU</t>
        </is>
      </c>
      <c r="C271" s="3" t="n">
        <v>2005</v>
      </c>
      <c r="D271" s="3" t="inlineStr">
        <is>
          <t>Overall</t>
        </is>
      </c>
      <c r="E271" s="3" t="inlineStr">
        <is>
          <t>Deciles</t>
        </is>
      </c>
      <c r="F271" s="3" t="inlineStr">
        <is>
          <t>mean</t>
        </is>
      </c>
      <c r="G271" s="3" t="n">
        <v>4</v>
      </c>
      <c r="H271" s="3" t="n">
        <v>-0.7816170251115839</v>
      </c>
      <c r="I271" s="3" t="n">
        <v>-0.7816170251115839</v>
      </c>
      <c r="J271" s="3" t="n">
        <v>-0.8454680810583398</v>
      </c>
      <c r="K271" s="3" t="n">
        <v>-0.8454680810583398</v>
      </c>
      <c r="L271" s="3" t="n">
        <v>-0.7816170251115839</v>
      </c>
      <c r="M271" s="3" t="n">
        <v>-0.7816170251115839</v>
      </c>
      <c r="N271" s="3" t="n">
        <v>-0.7816170251115839</v>
      </c>
      <c r="O271" s="3" t="n">
        <v>-0.7816170251115839</v>
      </c>
      <c r="P271" s="3" t="n">
        <v>-0.7816170251115839</v>
      </c>
      <c r="Q271" s="3" t="n">
        <v>-0.7816170251115839</v>
      </c>
      <c r="R271" s="3" t="n">
        <v>-0.7697659489956308</v>
      </c>
      <c r="S271" s="3" t="n">
        <v>-0.9595531871978272</v>
      </c>
      <c r="T271" s="3" t="n">
        <v>-0.7081063859006191</v>
      </c>
      <c r="U271" s="3" t="n">
        <v>-0.8454680810583398</v>
      </c>
      <c r="V271" s="3" t="n">
        <v>-0.6750000017754575</v>
      </c>
      <c r="W271" s="3" t="n">
        <v>-0.4799574455048176</v>
      </c>
      <c r="X271" s="3" t="n">
        <v>-0.9571489362006492</v>
      </c>
      <c r="Y271" s="3" t="n">
        <v>-0.7816170251115839</v>
      </c>
      <c r="Z271" s="3" t="n">
        <v>-0.9595531871978272</v>
      </c>
      <c r="AA271" s="3" t="n">
        <v>-0.9595531871978272</v>
      </c>
      <c r="AB271" s="3" t="n">
        <v>-0.9571489362006492</v>
      </c>
      <c r="AC271" s="3" t="n">
        <v>-1.025723396463597</v>
      </c>
      <c r="AD271" s="3" t="n">
        <v>-0.8454680810583398</v>
      </c>
      <c r="AE271" s="3" t="n">
        <v>-0.8454680810583398</v>
      </c>
    </row>
    <row r="272">
      <c r="A272" s="3" t="inlineStr">
        <is>
          <t>BMU.distn.dec.ove.mean.5</t>
        </is>
      </c>
      <c r="B272" s="3" t="inlineStr">
        <is>
          <t>BMU</t>
        </is>
      </c>
      <c r="C272" s="3" t="n">
        <v>2005</v>
      </c>
      <c r="D272" s="3" t="inlineStr">
        <is>
          <t>Overall</t>
        </is>
      </c>
      <c r="E272" s="3" t="inlineStr">
        <is>
          <t>Deciles</t>
        </is>
      </c>
      <c r="F272" s="3" t="inlineStr">
        <is>
          <t>mean</t>
        </is>
      </c>
      <c r="G272" s="3" t="n">
        <v>5</v>
      </c>
      <c r="H272" s="3" t="n">
        <v>-0.7816170251115839</v>
      </c>
      <c r="I272" s="3" t="n">
        <v>-0.7816170251115839</v>
      </c>
      <c r="J272" s="3" t="n">
        <v>-0.8454680810583398</v>
      </c>
      <c r="K272" s="3" t="n">
        <v>-0.8454680810583398</v>
      </c>
      <c r="L272" s="3" t="n">
        <v>-0.7816170251115839</v>
      </c>
      <c r="M272" s="3" t="n">
        <v>-0.7816170251115839</v>
      </c>
      <c r="N272" s="3" t="n">
        <v>-0.7816170251115839</v>
      </c>
      <c r="O272" s="3" t="n">
        <v>-0.7816170251115839</v>
      </c>
      <c r="P272" s="3" t="n">
        <v>-0.7816170251115839</v>
      </c>
      <c r="Q272" s="3" t="n">
        <v>-0.7816170251115839</v>
      </c>
      <c r="R272" s="3" t="n">
        <v>-0.7697659489956308</v>
      </c>
      <c r="S272" s="3" t="n">
        <v>-0.9595531871978272</v>
      </c>
      <c r="T272" s="3" t="n">
        <v>-0.7081063859006191</v>
      </c>
      <c r="U272" s="3" t="n">
        <v>-0.8454680810583398</v>
      </c>
      <c r="V272" s="3" t="n">
        <v>-0.6750000017754575</v>
      </c>
      <c r="W272" s="3" t="n">
        <v>-0.4799574455048176</v>
      </c>
      <c r="X272" s="3" t="n">
        <v>-0.9571489362006492</v>
      </c>
      <c r="Y272" s="3" t="n">
        <v>-0.7816170251115839</v>
      </c>
      <c r="Z272" s="3" t="n">
        <v>-0.9595531871978272</v>
      </c>
      <c r="AA272" s="3" t="n">
        <v>-0.9595531871978272</v>
      </c>
      <c r="AB272" s="3" t="n">
        <v>-0.9571489362006492</v>
      </c>
      <c r="AC272" s="3" t="n">
        <v>-1.025723396463597</v>
      </c>
      <c r="AD272" s="3" t="n">
        <v>-0.8454680810583398</v>
      </c>
      <c r="AE272" s="3" t="n">
        <v>-0.8454680810583398</v>
      </c>
    </row>
    <row r="273">
      <c r="A273" s="3" t="inlineStr">
        <is>
          <t>BMU.distn.dec.ove.mean.6</t>
        </is>
      </c>
      <c r="B273" s="3" t="inlineStr">
        <is>
          <t>BMU</t>
        </is>
      </c>
      <c r="C273" s="3" t="n">
        <v>2005</v>
      </c>
      <c r="D273" s="3" t="inlineStr">
        <is>
          <t>Overall</t>
        </is>
      </c>
      <c r="E273" s="3" t="inlineStr">
        <is>
          <t>Deciles</t>
        </is>
      </c>
      <c r="F273" s="3" t="inlineStr">
        <is>
          <t>mean</t>
        </is>
      </c>
      <c r="G273" s="3" t="n">
        <v>6</v>
      </c>
      <c r="H273" s="3" t="n">
        <v>-0.7816170251115839</v>
      </c>
      <c r="I273" s="3" t="n">
        <v>-0.7816170251115839</v>
      </c>
      <c r="J273" s="3" t="n">
        <v>-0.8454680810583398</v>
      </c>
      <c r="K273" s="3" t="n">
        <v>-0.8454680810583398</v>
      </c>
      <c r="L273" s="3" t="n">
        <v>-0.7816170251115839</v>
      </c>
      <c r="M273" s="3" t="n">
        <v>-0.7816170251115839</v>
      </c>
      <c r="N273" s="3" t="n">
        <v>-0.7816170251115839</v>
      </c>
      <c r="O273" s="3" t="n">
        <v>-0.7816170251115839</v>
      </c>
      <c r="P273" s="3" t="n">
        <v>-0.7816170251115839</v>
      </c>
      <c r="Q273" s="3" t="n">
        <v>-0.7816170251115839</v>
      </c>
      <c r="R273" s="3" t="n">
        <v>-0.7697659489956308</v>
      </c>
      <c r="S273" s="3" t="n">
        <v>-0.9595531871978272</v>
      </c>
      <c r="T273" s="3" t="n">
        <v>-0.7081063859006191</v>
      </c>
      <c r="U273" s="3" t="n">
        <v>-0.8454680810583398</v>
      </c>
      <c r="V273" s="3" t="n">
        <v>-0.6750000017754575</v>
      </c>
      <c r="W273" s="3" t="n">
        <v>-0.4799574455048176</v>
      </c>
      <c r="X273" s="3" t="n">
        <v>-0.9571489362006492</v>
      </c>
      <c r="Y273" s="3" t="n">
        <v>-0.7816170251115839</v>
      </c>
      <c r="Z273" s="3" t="n">
        <v>-0.9595531871978272</v>
      </c>
      <c r="AA273" s="3" t="n">
        <v>-0.9595531871978272</v>
      </c>
      <c r="AB273" s="3" t="n">
        <v>-0.9571489362006492</v>
      </c>
      <c r="AC273" s="3" t="n">
        <v>-1.025723396463597</v>
      </c>
      <c r="AD273" s="3" t="n">
        <v>-0.8454680810583398</v>
      </c>
      <c r="AE273" s="3" t="n">
        <v>-0.8454680810583398</v>
      </c>
    </row>
    <row r="274">
      <c r="A274" s="3" t="inlineStr">
        <is>
          <t>BMU.distn.dec.ove.mean.7</t>
        </is>
      </c>
      <c r="B274" s="3" t="inlineStr">
        <is>
          <t>BMU</t>
        </is>
      </c>
      <c r="C274" s="3" t="n">
        <v>2005</v>
      </c>
      <c r="D274" s="3" t="inlineStr">
        <is>
          <t>Overall</t>
        </is>
      </c>
      <c r="E274" s="3" t="inlineStr">
        <is>
          <t>Deciles</t>
        </is>
      </c>
      <c r="F274" s="3" t="inlineStr">
        <is>
          <t>mean</t>
        </is>
      </c>
      <c r="G274" s="3" t="n">
        <v>7</v>
      </c>
      <c r="H274" s="3" t="n">
        <v>-0.7816170251115839</v>
      </c>
      <c r="I274" s="3" t="n">
        <v>-0.7816170251115839</v>
      </c>
      <c r="J274" s="3" t="n">
        <v>-0.8454680810583398</v>
      </c>
      <c r="K274" s="3" t="n">
        <v>-0.8454680810583398</v>
      </c>
      <c r="L274" s="3" t="n">
        <v>-0.7816170251115839</v>
      </c>
      <c r="M274" s="3" t="n">
        <v>-0.7816170251115839</v>
      </c>
      <c r="N274" s="3" t="n">
        <v>-0.7816170251115839</v>
      </c>
      <c r="O274" s="3" t="n">
        <v>-0.7816170251115839</v>
      </c>
      <c r="P274" s="3" t="n">
        <v>-0.7816170251115839</v>
      </c>
      <c r="Q274" s="3" t="n">
        <v>-0.7816170251115839</v>
      </c>
      <c r="R274" s="3" t="n">
        <v>-0.7697659489956308</v>
      </c>
      <c r="S274" s="3" t="n">
        <v>-0.9595531871978272</v>
      </c>
      <c r="T274" s="3" t="n">
        <v>-0.7081063859006191</v>
      </c>
      <c r="U274" s="3" t="n">
        <v>-0.8454680810583398</v>
      </c>
      <c r="V274" s="3" t="n">
        <v>-0.6750000017754575</v>
      </c>
      <c r="W274" s="3" t="n">
        <v>-0.4799574455048176</v>
      </c>
      <c r="X274" s="3" t="n">
        <v>-0.9571489362006492</v>
      </c>
      <c r="Y274" s="3" t="n">
        <v>-0.7816170251115839</v>
      </c>
      <c r="Z274" s="3" t="n">
        <v>-0.9595531871978272</v>
      </c>
      <c r="AA274" s="3" t="n">
        <v>-0.9595531871978272</v>
      </c>
      <c r="AB274" s="3" t="n">
        <v>-0.9571489362006492</v>
      </c>
      <c r="AC274" s="3" t="n">
        <v>-1.025723396463597</v>
      </c>
      <c r="AD274" s="3" t="n">
        <v>-0.8454680810583398</v>
      </c>
      <c r="AE274" s="3" t="n">
        <v>-0.8454680810583398</v>
      </c>
    </row>
    <row r="275">
      <c r="A275" s="3" t="inlineStr">
        <is>
          <t>BMU.distn.dec.ove.mean.8</t>
        </is>
      </c>
      <c r="B275" s="3" t="inlineStr">
        <is>
          <t>BMU</t>
        </is>
      </c>
      <c r="C275" s="3" t="n">
        <v>2005</v>
      </c>
      <c r="D275" s="3" t="inlineStr">
        <is>
          <t>Overall</t>
        </is>
      </c>
      <c r="E275" s="3" t="inlineStr">
        <is>
          <t>Deciles</t>
        </is>
      </c>
      <c r="F275" s="3" t="inlineStr">
        <is>
          <t>mean</t>
        </is>
      </c>
      <c r="G275" s="3" t="n">
        <v>8</v>
      </c>
      <c r="H275" s="3" t="n">
        <v>-0.7819935831617801</v>
      </c>
      <c r="I275" s="3" t="n">
        <v>-0.7819935831617801</v>
      </c>
      <c r="J275" s="3" t="n">
        <v>-0.8477488045996808</v>
      </c>
      <c r="K275" s="3" t="n">
        <v>-0.8477488045996808</v>
      </c>
      <c r="L275" s="3" t="n">
        <v>-0.7819935831617801</v>
      </c>
      <c r="M275" s="3" t="n">
        <v>-0.7819935831617801</v>
      </c>
      <c r="N275" s="3" t="n">
        <v>-0.7819935831617801</v>
      </c>
      <c r="O275" s="3" t="n">
        <v>-0.7819935831617801</v>
      </c>
      <c r="P275" s="3" t="n">
        <v>-0.7819935831617801</v>
      </c>
      <c r="Q275" s="3" t="n">
        <v>-0.7819935831617801</v>
      </c>
      <c r="R275" s="3" t="n">
        <v>-0.7700191178220384</v>
      </c>
      <c r="S275" s="3" t="n">
        <v>-0.9684819490351575</v>
      </c>
      <c r="T275" s="3" t="n">
        <v>-0.70814722142321</v>
      </c>
      <c r="U275" s="3" t="n">
        <v>-0.8477488045996808</v>
      </c>
      <c r="V275" s="3" t="n">
        <v>-0.6756977857427394</v>
      </c>
      <c r="W275" s="3" t="n">
        <v>-0.4928101326556916</v>
      </c>
      <c r="X275" s="3" t="n">
        <v>-0.9658704755154062</v>
      </c>
      <c r="Y275" s="3" t="n">
        <v>-0.7819935831617801</v>
      </c>
      <c r="Z275" s="3" t="n">
        <v>-0.9684819490351575</v>
      </c>
      <c r="AA275" s="3" t="n">
        <v>-0.9684819490351575</v>
      </c>
      <c r="AB275" s="3" t="n">
        <v>-0.9658704755154062</v>
      </c>
      <c r="AC275" s="3" t="n">
        <v>-1.04035159628442</v>
      </c>
      <c r="AD275" s="3" t="n">
        <v>-0.8477488045996808</v>
      </c>
      <c r="AE275" s="3" t="n">
        <v>-0.8477488045996808</v>
      </c>
    </row>
    <row r="276">
      <c r="A276" s="3" t="inlineStr">
        <is>
          <t>BMU.distn.dec.ove.mean.9</t>
        </is>
      </c>
      <c r="B276" s="3" t="inlineStr">
        <is>
          <t>BMU</t>
        </is>
      </c>
      <c r="C276" s="3" t="n">
        <v>2005</v>
      </c>
      <c r="D276" s="3" t="inlineStr">
        <is>
          <t>Overall</t>
        </is>
      </c>
      <c r="E276" s="3" t="inlineStr">
        <is>
          <t>Deciles</t>
        </is>
      </c>
      <c r="F276" s="3" t="inlineStr">
        <is>
          <t>mean</t>
        </is>
      </c>
      <c r="G276" s="3" t="n">
        <v>9</v>
      </c>
      <c r="H276" s="3" t="n">
        <v>-0.7819935831617801</v>
      </c>
      <c r="I276" s="3" t="n">
        <v>-0.7819935831617801</v>
      </c>
      <c r="J276" s="3" t="n">
        <v>-0.8477488045996808</v>
      </c>
      <c r="K276" s="3" t="n">
        <v>-0.8477488045996808</v>
      </c>
      <c r="L276" s="3" t="n">
        <v>-0.7819935831617801</v>
      </c>
      <c r="M276" s="3" t="n">
        <v>-0.7819935831617801</v>
      </c>
      <c r="N276" s="3" t="n">
        <v>-0.7819935831617801</v>
      </c>
      <c r="O276" s="3" t="n">
        <v>-0.7819935831617801</v>
      </c>
      <c r="P276" s="3" t="n">
        <v>-0.7819935831617801</v>
      </c>
      <c r="Q276" s="3" t="n">
        <v>-0.7819935831617801</v>
      </c>
      <c r="R276" s="3" t="n">
        <v>-0.7700191178220384</v>
      </c>
      <c r="S276" s="3" t="n">
        <v>-0.9684819490351575</v>
      </c>
      <c r="T276" s="3" t="n">
        <v>-0.70814722142321</v>
      </c>
      <c r="U276" s="3" t="n">
        <v>-0.8477488045996808</v>
      </c>
      <c r="V276" s="3" t="n">
        <v>-0.6756977857427394</v>
      </c>
      <c r="W276" s="3" t="n">
        <v>-0.4928101326556916</v>
      </c>
      <c r="X276" s="3" t="n">
        <v>-0.9658704755154062</v>
      </c>
      <c r="Y276" s="3" t="n">
        <v>-0.7819935831617801</v>
      </c>
      <c r="Z276" s="3" t="n">
        <v>-0.9684819490351575</v>
      </c>
      <c r="AA276" s="3" t="n">
        <v>-0.9684819490351575</v>
      </c>
      <c r="AB276" s="3" t="n">
        <v>-0.9658704755154062</v>
      </c>
      <c r="AC276" s="3" t="n">
        <v>-1.04035159628442</v>
      </c>
      <c r="AD276" s="3" t="n">
        <v>-0.8477488045996808</v>
      </c>
      <c r="AE276" s="3" t="n">
        <v>-0.8477488045996808</v>
      </c>
    </row>
    <row r="277">
      <c r="A277" s="3" t="inlineStr">
        <is>
          <t>BMU.distn.dec.ove.mean.10</t>
        </is>
      </c>
      <c r="B277" s="3" t="inlineStr">
        <is>
          <t>BMU</t>
        </is>
      </c>
      <c r="C277" s="3" t="n">
        <v>2005</v>
      </c>
      <c r="D277" s="3" t="inlineStr">
        <is>
          <t>Overall</t>
        </is>
      </c>
      <c r="E277" s="3" t="inlineStr">
        <is>
          <t>Deciles</t>
        </is>
      </c>
      <c r="F277" s="3" t="inlineStr">
        <is>
          <t>mean</t>
        </is>
      </c>
      <c r="G277" s="3" t="n">
        <v>10</v>
      </c>
      <c r="H277" s="3" t="n">
        <v>-0.7819935831617801</v>
      </c>
      <c r="I277" s="3" t="n">
        <v>-0.7819935831617801</v>
      </c>
      <c r="J277" s="3" t="n">
        <v>-0.8477488045996808</v>
      </c>
      <c r="K277" s="3" t="n">
        <v>-0.8477488045996808</v>
      </c>
      <c r="L277" s="3" t="n">
        <v>-0.7819935831617801</v>
      </c>
      <c r="M277" s="3" t="n">
        <v>-0.7819935831617801</v>
      </c>
      <c r="N277" s="3" t="n">
        <v>-0.7819935831617801</v>
      </c>
      <c r="O277" s="3" t="n">
        <v>-0.7819935831617801</v>
      </c>
      <c r="P277" s="3" t="n">
        <v>-0.7819935831617801</v>
      </c>
      <c r="Q277" s="3" t="n">
        <v>-0.7819935831617801</v>
      </c>
      <c r="R277" s="3" t="n">
        <v>-0.7700191178220384</v>
      </c>
      <c r="S277" s="3" t="n">
        <v>-0.9684819490351575</v>
      </c>
      <c r="T277" s="3" t="n">
        <v>-0.70814722142321</v>
      </c>
      <c r="U277" s="3" t="n">
        <v>-0.8477488045996808</v>
      </c>
      <c r="V277" s="3" t="n">
        <v>-0.6756977857427394</v>
      </c>
      <c r="W277" s="3" t="n">
        <v>-0.4928101326556916</v>
      </c>
      <c r="X277" s="3" t="n">
        <v>-0.9658704755154062</v>
      </c>
      <c r="Y277" s="3" t="n">
        <v>-0.7819935831617801</v>
      </c>
      <c r="Z277" s="3" t="n">
        <v>-0.9684819490351575</v>
      </c>
      <c r="AA277" s="3" t="n">
        <v>-0.9684819490351575</v>
      </c>
      <c r="AB277" s="3" t="n">
        <v>-0.9658704755154062</v>
      </c>
      <c r="AC277" s="3" t="n">
        <v>-1.04035159628442</v>
      </c>
      <c r="AD277" s="3" t="n">
        <v>-0.8477488045996808</v>
      </c>
      <c r="AE277" s="3" t="n">
        <v>-0.8477488045996808</v>
      </c>
    </row>
    <row r="278">
      <c r="A278" s="3" t="inlineStr">
        <is>
          <t>BMU.distn.bkt.ove.mean.9999</t>
        </is>
      </c>
      <c r="B278" s="3" t="inlineStr">
        <is>
          <t>BMU</t>
        </is>
      </c>
      <c r="C278" s="3" t="n">
        <v>2005</v>
      </c>
      <c r="D278" s="3" t="inlineStr">
        <is>
          <t>Overall</t>
        </is>
      </c>
      <c r="E278" s="3" t="inlineStr">
        <is>
          <t>Basket</t>
        </is>
      </c>
      <c r="F278" s="3" t="inlineStr">
        <is>
          <t>mean</t>
        </is>
      </c>
      <c r="G278" s="3" t="n">
        <v>9999</v>
      </c>
      <c r="H278" s="3" t="n">
        <v>-0.7836013613863194</v>
      </c>
      <c r="I278" s="3" t="n">
        <v>-0.7836013613863194</v>
      </c>
      <c r="J278" s="3" t="n">
        <v>-0.8590307616172953</v>
      </c>
      <c r="K278" s="3" t="n">
        <v>-0.8590307616172953</v>
      </c>
      <c r="L278" s="3" t="n">
        <v>-0.7836013613863194</v>
      </c>
      <c r="M278" s="3" t="n">
        <v>-0.7836013613863194</v>
      </c>
      <c r="N278" s="3" t="n">
        <v>-0.7836013613863194</v>
      </c>
      <c r="O278" s="3" t="n">
        <v>-0.7836013613863194</v>
      </c>
      <c r="P278" s="3" t="n">
        <v>-0.7836013613863194</v>
      </c>
      <c r="Q278" s="3" t="n">
        <v>-0.7836013613863194</v>
      </c>
      <c r="R278" s="3" t="n">
        <v>-0.7708828220976159</v>
      </c>
      <c r="S278" s="3" t="n">
        <v>-1.097007578991829</v>
      </c>
      <c r="T278" s="3" t="n">
        <v>-0.7085544974245923</v>
      </c>
      <c r="U278" s="3" t="n">
        <v>-0.8590307616172953</v>
      </c>
      <c r="V278" s="3" t="n">
        <v>-0.6772896647453308</v>
      </c>
      <c r="W278" s="3" t="n">
        <v>-0.5109122699879586</v>
      </c>
      <c r="X278" s="3" t="n">
        <v>-1.079493910708326</v>
      </c>
      <c r="Y278" s="3" t="n">
        <v>-0.7836013613863194</v>
      </c>
      <c r="Z278" s="3" t="n">
        <v>-1.097007578991829</v>
      </c>
      <c r="AA278" s="3" t="n">
        <v>-1.097007578991829</v>
      </c>
      <c r="AB278" s="3" t="n">
        <v>-1.079493910708326</v>
      </c>
      <c r="AC278" s="3" t="n">
        <v>-1.359592239907447</v>
      </c>
      <c r="AD278" s="3" t="n">
        <v>-0.8590307616172953</v>
      </c>
      <c r="AE278" s="3" t="n">
        <v>-0.8590307616172953</v>
      </c>
    </row>
    <row r="279">
      <c r="A279" s="3" t="inlineStr">
        <is>
          <t>BOL.distn.dec.ove.mean.1</t>
        </is>
      </c>
      <c r="B279" s="3" t="inlineStr">
        <is>
          <t>BOL</t>
        </is>
      </c>
      <c r="C279" s="3" t="n">
        <v>2005</v>
      </c>
      <c r="D279" s="3" t="inlineStr">
        <is>
          <t>Overall</t>
        </is>
      </c>
      <c r="E279" s="3" t="inlineStr">
        <is>
          <t>Deciles</t>
        </is>
      </c>
      <c r="F279" s="3" t="inlineStr">
        <is>
          <t>mean</t>
        </is>
      </c>
      <c r="G279" s="3" t="n">
        <v>1</v>
      </c>
      <c r="H279" s="3" t="n">
        <v>-0.7922728657722473</v>
      </c>
      <c r="I279" s="3" t="n">
        <v>-0.7922728657722473</v>
      </c>
      <c r="J279" s="3" t="n">
        <v>-0.9131230115890503</v>
      </c>
      <c r="K279" s="3" t="n">
        <v>-0.9131230115890503</v>
      </c>
      <c r="L279" s="3" t="n">
        <v>-0.7922728657722473</v>
      </c>
      <c r="M279" s="3" t="n">
        <v>-0.7922728657722473</v>
      </c>
      <c r="N279" s="3" t="n">
        <v>-0.7922728657722473</v>
      </c>
      <c r="O279" s="3" t="n">
        <v>-0.7922728657722473</v>
      </c>
      <c r="P279" s="3" t="n">
        <v>-0.7922728657722473</v>
      </c>
      <c r="Q279" s="3" t="n">
        <v>-0.7922728657722473</v>
      </c>
      <c r="R279" s="3" t="n">
        <v>-0.775479793548584</v>
      </c>
      <c r="S279" s="3" t="n">
        <v>-1.588580727577209</v>
      </c>
      <c r="T279" s="3" t="n">
        <v>-0.7104546427726746</v>
      </c>
      <c r="U279" s="3" t="n">
        <v>-0.9131230115890503</v>
      </c>
      <c r="V279" s="3" t="n">
        <v>-0.6869857907295227</v>
      </c>
      <c r="W279" s="3" t="n">
        <v>-0.6582651734352112</v>
      </c>
      <c r="X279" s="3" t="n">
        <v>-1.526068449020386</v>
      </c>
      <c r="Y279" s="3" t="n">
        <v>-0.7922728657722473</v>
      </c>
      <c r="Z279" s="3" t="n">
        <v>-1.588580727577209</v>
      </c>
      <c r="AA279" s="3" t="n">
        <v>-1.588580727577209</v>
      </c>
      <c r="AB279" s="3" t="n">
        <v>-1.526068449020386</v>
      </c>
      <c r="AC279" s="3" t="n">
        <v>-2.623608827590942</v>
      </c>
      <c r="AD279" s="3" t="n">
        <v>-0.9131230115890503</v>
      </c>
      <c r="AE279" s="3" t="n">
        <v>-0.9131230115890503</v>
      </c>
    </row>
    <row r="280">
      <c r="A280" s="3" t="inlineStr">
        <is>
          <t>BOL.distn.dec.ove.mean.2</t>
        </is>
      </c>
      <c r="B280" s="3" t="inlineStr">
        <is>
          <t>BOL</t>
        </is>
      </c>
      <c r="C280" s="3" t="n">
        <v>2005</v>
      </c>
      <c r="D280" s="3" t="inlineStr">
        <is>
          <t>Overall</t>
        </is>
      </c>
      <c r="E280" s="3" t="inlineStr">
        <is>
          <t>Deciles</t>
        </is>
      </c>
      <c r="F280" s="3" t="inlineStr">
        <is>
          <t>mean</t>
        </is>
      </c>
      <c r="G280" s="3" t="n">
        <v>2</v>
      </c>
      <c r="H280" s="3" t="n">
        <v>-0.7922728657722473</v>
      </c>
      <c r="I280" s="3" t="n">
        <v>-0.7922728657722473</v>
      </c>
      <c r="J280" s="3" t="n">
        <v>-0.9131230115890503</v>
      </c>
      <c r="K280" s="3" t="n">
        <v>-0.9131230115890503</v>
      </c>
      <c r="L280" s="3" t="n">
        <v>-0.7922728657722473</v>
      </c>
      <c r="M280" s="3" t="n">
        <v>-0.7922728657722473</v>
      </c>
      <c r="N280" s="3" t="n">
        <v>-0.7922728657722473</v>
      </c>
      <c r="O280" s="3" t="n">
        <v>-0.7922728657722473</v>
      </c>
      <c r="P280" s="3" t="n">
        <v>-0.7922728657722473</v>
      </c>
      <c r="Q280" s="3" t="n">
        <v>-0.7922728657722473</v>
      </c>
      <c r="R280" s="3" t="n">
        <v>-0.775479793548584</v>
      </c>
      <c r="S280" s="3" t="n">
        <v>-1.588580727577209</v>
      </c>
      <c r="T280" s="3" t="n">
        <v>-0.7104546427726746</v>
      </c>
      <c r="U280" s="3" t="n">
        <v>-0.9131230115890503</v>
      </c>
      <c r="V280" s="3" t="n">
        <v>-0.6869857907295227</v>
      </c>
      <c r="W280" s="3" t="n">
        <v>-0.6582651734352112</v>
      </c>
      <c r="X280" s="3" t="n">
        <v>-1.526068449020386</v>
      </c>
      <c r="Y280" s="3" t="n">
        <v>-0.7922728657722473</v>
      </c>
      <c r="Z280" s="3" t="n">
        <v>-1.588580727577209</v>
      </c>
      <c r="AA280" s="3" t="n">
        <v>-1.588580727577209</v>
      </c>
      <c r="AB280" s="3" t="n">
        <v>-1.526068449020386</v>
      </c>
      <c r="AC280" s="3" t="n">
        <v>-2.623608827590942</v>
      </c>
      <c r="AD280" s="3" t="n">
        <v>-0.9131230115890503</v>
      </c>
      <c r="AE280" s="3" t="n">
        <v>-0.9131230115890503</v>
      </c>
    </row>
    <row r="281">
      <c r="A281" s="3" t="inlineStr">
        <is>
          <t>BOL.distn.dec.ove.mean.3</t>
        </is>
      </c>
      <c r="B281" s="3" t="inlineStr">
        <is>
          <t>BOL</t>
        </is>
      </c>
      <c r="C281" s="3" t="n">
        <v>2005</v>
      </c>
      <c r="D281" s="3" t="inlineStr">
        <is>
          <t>Overall</t>
        </is>
      </c>
      <c r="E281" s="3" t="inlineStr">
        <is>
          <t>Deciles</t>
        </is>
      </c>
      <c r="F281" s="3" t="inlineStr">
        <is>
          <t>mean</t>
        </is>
      </c>
      <c r="G281" s="3" t="n">
        <v>3</v>
      </c>
      <c r="H281" s="3" t="n">
        <v>-0.7922728657722473</v>
      </c>
      <c r="I281" s="3" t="n">
        <v>-0.7922728657722473</v>
      </c>
      <c r="J281" s="3" t="n">
        <v>-0.9131230115890503</v>
      </c>
      <c r="K281" s="3" t="n">
        <v>-0.9131230115890503</v>
      </c>
      <c r="L281" s="3" t="n">
        <v>-0.7922728657722473</v>
      </c>
      <c r="M281" s="3" t="n">
        <v>-0.7922728657722473</v>
      </c>
      <c r="N281" s="3" t="n">
        <v>-0.7922728657722473</v>
      </c>
      <c r="O281" s="3" t="n">
        <v>-0.7922728657722473</v>
      </c>
      <c r="P281" s="3" t="n">
        <v>-0.7922728657722473</v>
      </c>
      <c r="Q281" s="3" t="n">
        <v>-0.7922728657722473</v>
      </c>
      <c r="R281" s="3" t="n">
        <v>-0.775479793548584</v>
      </c>
      <c r="S281" s="3" t="n">
        <v>-1.588580727577209</v>
      </c>
      <c r="T281" s="3" t="n">
        <v>-0.7104546427726746</v>
      </c>
      <c r="U281" s="3" t="n">
        <v>-0.9131230115890503</v>
      </c>
      <c r="V281" s="3" t="n">
        <v>-0.6869857907295227</v>
      </c>
      <c r="W281" s="3" t="n">
        <v>-0.6582651734352112</v>
      </c>
      <c r="X281" s="3" t="n">
        <v>-1.526068449020386</v>
      </c>
      <c r="Y281" s="3" t="n">
        <v>-0.7922728657722473</v>
      </c>
      <c r="Z281" s="3" t="n">
        <v>-1.588580727577209</v>
      </c>
      <c r="AA281" s="3" t="n">
        <v>-1.588580727577209</v>
      </c>
      <c r="AB281" s="3" t="n">
        <v>-1.526068449020386</v>
      </c>
      <c r="AC281" s="3" t="n">
        <v>-2.623608827590942</v>
      </c>
      <c r="AD281" s="3" t="n">
        <v>-0.9131230115890503</v>
      </c>
      <c r="AE281" s="3" t="n">
        <v>-0.9131230115890503</v>
      </c>
    </row>
    <row r="282">
      <c r="A282" s="3" t="inlineStr">
        <is>
          <t>BOL.distn.dec.ove.mean.4</t>
        </is>
      </c>
      <c r="B282" s="3" t="inlineStr">
        <is>
          <t>BOL</t>
        </is>
      </c>
      <c r="C282" s="3" t="n">
        <v>2005</v>
      </c>
      <c r="D282" s="3" t="inlineStr">
        <is>
          <t>Overall</t>
        </is>
      </c>
      <c r="E282" s="3" t="inlineStr">
        <is>
          <t>Deciles</t>
        </is>
      </c>
      <c r="F282" s="3" t="inlineStr">
        <is>
          <t>mean</t>
        </is>
      </c>
      <c r="G282" s="3" t="n">
        <v>4</v>
      </c>
      <c r="H282" s="3" t="n">
        <v>-0.7860000133514404</v>
      </c>
      <c r="I282" s="3" t="n">
        <v>-0.7860000133514404</v>
      </c>
      <c r="J282" s="3" t="n">
        <v>-0.8690000176429749</v>
      </c>
      <c r="K282" s="3" t="n">
        <v>-0.8690000176429749</v>
      </c>
      <c r="L282" s="3" t="n">
        <v>-0.7860000133514404</v>
      </c>
      <c r="M282" s="3" t="n">
        <v>-0.7860000133514404</v>
      </c>
      <c r="N282" s="3" t="n">
        <v>-0.7860000133514404</v>
      </c>
      <c r="O282" s="3" t="n">
        <v>-0.7860000133514404</v>
      </c>
      <c r="P282" s="3" t="n">
        <v>-0.7860000133514404</v>
      </c>
      <c r="Q282" s="3" t="n">
        <v>-0.7860000133514404</v>
      </c>
      <c r="R282" s="3" t="n">
        <v>-0.7720000147819519</v>
      </c>
      <c r="S282" s="3" t="n">
        <v>-1.082000017166138</v>
      </c>
      <c r="T282" s="3" t="n">
        <v>-0.7089999914169312</v>
      </c>
      <c r="U282" s="3" t="n">
        <v>-0.8690000176429749</v>
      </c>
      <c r="V282" s="3" t="n">
        <v>-0.6800000071525574</v>
      </c>
      <c r="W282" s="3" t="n">
        <v>-0.5540000200271606</v>
      </c>
      <c r="X282" s="3" t="n">
        <v>-1.077000021934509</v>
      </c>
      <c r="Y282" s="3" t="n">
        <v>-0.7860000133514404</v>
      </c>
      <c r="Z282" s="3" t="n">
        <v>-1.082000017166138</v>
      </c>
      <c r="AA282" s="3" t="n">
        <v>-1.082000017166138</v>
      </c>
      <c r="AB282" s="3" t="n">
        <v>-1.077000021934509</v>
      </c>
      <c r="AC282" s="3" t="n">
        <v>-1.266999959945679</v>
      </c>
      <c r="AD282" s="3" t="n">
        <v>-0.8690000176429749</v>
      </c>
      <c r="AE282" s="3" t="n">
        <v>-0.8690000176429749</v>
      </c>
    </row>
    <row r="283">
      <c r="A283" s="3" t="inlineStr">
        <is>
          <t>BOL.distn.dec.ove.mean.5</t>
        </is>
      </c>
      <c r="B283" s="3" t="inlineStr">
        <is>
          <t>BOL</t>
        </is>
      </c>
      <c r="C283" s="3" t="n">
        <v>2005</v>
      </c>
      <c r="D283" s="3" t="inlineStr">
        <is>
          <t>Overall</t>
        </is>
      </c>
      <c r="E283" s="3" t="inlineStr">
        <is>
          <t>Deciles</t>
        </is>
      </c>
      <c r="F283" s="3" t="inlineStr">
        <is>
          <t>mean</t>
        </is>
      </c>
      <c r="G283" s="3" t="n">
        <v>5</v>
      </c>
      <c r="H283" s="3" t="n">
        <v>-0.7860000133514404</v>
      </c>
      <c r="I283" s="3" t="n">
        <v>-0.7860000133514404</v>
      </c>
      <c r="J283" s="3" t="n">
        <v>-0.8690000176429749</v>
      </c>
      <c r="K283" s="3" t="n">
        <v>-0.8690000176429749</v>
      </c>
      <c r="L283" s="3" t="n">
        <v>-0.7860000133514404</v>
      </c>
      <c r="M283" s="3" t="n">
        <v>-0.7860000133514404</v>
      </c>
      <c r="N283" s="3" t="n">
        <v>-0.7860000133514404</v>
      </c>
      <c r="O283" s="3" t="n">
        <v>-0.7860000133514404</v>
      </c>
      <c r="P283" s="3" t="n">
        <v>-0.7860000133514404</v>
      </c>
      <c r="Q283" s="3" t="n">
        <v>-0.7860000133514404</v>
      </c>
      <c r="R283" s="3" t="n">
        <v>-0.7720000147819519</v>
      </c>
      <c r="S283" s="3" t="n">
        <v>-1.082000017166138</v>
      </c>
      <c r="T283" s="3" t="n">
        <v>-0.7089999914169312</v>
      </c>
      <c r="U283" s="3" t="n">
        <v>-0.8690000176429749</v>
      </c>
      <c r="V283" s="3" t="n">
        <v>-0.6800000071525574</v>
      </c>
      <c r="W283" s="3" t="n">
        <v>-0.5540000200271606</v>
      </c>
      <c r="X283" s="3" t="n">
        <v>-1.077000021934509</v>
      </c>
      <c r="Y283" s="3" t="n">
        <v>-0.7860000133514404</v>
      </c>
      <c r="Z283" s="3" t="n">
        <v>-1.082000017166138</v>
      </c>
      <c r="AA283" s="3" t="n">
        <v>-1.082000017166138</v>
      </c>
      <c r="AB283" s="3" t="n">
        <v>-1.077000021934509</v>
      </c>
      <c r="AC283" s="3" t="n">
        <v>-1.266999959945679</v>
      </c>
      <c r="AD283" s="3" t="n">
        <v>-0.8690000176429749</v>
      </c>
      <c r="AE283" s="3" t="n">
        <v>-0.8690000176429749</v>
      </c>
    </row>
    <row r="284">
      <c r="A284" s="3" t="inlineStr">
        <is>
          <t>BOL.distn.dec.ove.mean.6</t>
        </is>
      </c>
      <c r="B284" s="3" t="inlineStr">
        <is>
          <t>BOL</t>
        </is>
      </c>
      <c r="C284" s="3" t="n">
        <v>2005</v>
      </c>
      <c r="D284" s="3" t="inlineStr">
        <is>
          <t>Overall</t>
        </is>
      </c>
      <c r="E284" s="3" t="inlineStr">
        <is>
          <t>Deciles</t>
        </is>
      </c>
      <c r="F284" s="3" t="inlineStr">
        <is>
          <t>mean</t>
        </is>
      </c>
      <c r="G284" s="3" t="n">
        <v>6</v>
      </c>
      <c r="H284" s="3" t="n">
        <v>-0.7860000133514404</v>
      </c>
      <c r="I284" s="3" t="n">
        <v>-0.7860000133514404</v>
      </c>
      <c r="J284" s="3" t="n">
        <v>-0.8690000176429749</v>
      </c>
      <c r="K284" s="3" t="n">
        <v>-0.8690000176429749</v>
      </c>
      <c r="L284" s="3" t="n">
        <v>-0.7860000133514404</v>
      </c>
      <c r="M284" s="3" t="n">
        <v>-0.7860000133514404</v>
      </c>
      <c r="N284" s="3" t="n">
        <v>-0.7860000133514404</v>
      </c>
      <c r="O284" s="3" t="n">
        <v>-0.7860000133514404</v>
      </c>
      <c r="P284" s="3" t="n">
        <v>-0.7860000133514404</v>
      </c>
      <c r="Q284" s="3" t="n">
        <v>-0.7860000133514404</v>
      </c>
      <c r="R284" s="3" t="n">
        <v>-0.7720000147819519</v>
      </c>
      <c r="S284" s="3" t="n">
        <v>-1.082000017166138</v>
      </c>
      <c r="T284" s="3" t="n">
        <v>-0.7089999914169312</v>
      </c>
      <c r="U284" s="3" t="n">
        <v>-0.8690000176429749</v>
      </c>
      <c r="V284" s="3" t="n">
        <v>-0.6800000071525574</v>
      </c>
      <c r="W284" s="3" t="n">
        <v>-0.5540000200271606</v>
      </c>
      <c r="X284" s="3" t="n">
        <v>-1.077000021934509</v>
      </c>
      <c r="Y284" s="3" t="n">
        <v>-0.7860000133514404</v>
      </c>
      <c r="Z284" s="3" t="n">
        <v>-1.082000017166138</v>
      </c>
      <c r="AA284" s="3" t="n">
        <v>-1.082000017166138</v>
      </c>
      <c r="AB284" s="3" t="n">
        <v>-1.077000021934509</v>
      </c>
      <c r="AC284" s="3" t="n">
        <v>-1.266999959945679</v>
      </c>
      <c r="AD284" s="3" t="n">
        <v>-0.8690000176429749</v>
      </c>
      <c r="AE284" s="3" t="n">
        <v>-0.8690000176429749</v>
      </c>
    </row>
    <row r="285">
      <c r="A285" s="3" t="inlineStr">
        <is>
          <t>BOL.distn.dec.ove.mean.7</t>
        </is>
      </c>
      <c r="B285" s="3" t="inlineStr">
        <is>
          <t>BOL</t>
        </is>
      </c>
      <c r="C285" s="3" t="n">
        <v>2005</v>
      </c>
      <c r="D285" s="3" t="inlineStr">
        <is>
          <t>Overall</t>
        </is>
      </c>
      <c r="E285" s="3" t="inlineStr">
        <is>
          <t>Deciles</t>
        </is>
      </c>
      <c r="F285" s="3" t="inlineStr">
        <is>
          <t>mean</t>
        </is>
      </c>
      <c r="G285" s="3" t="n">
        <v>7</v>
      </c>
      <c r="H285" s="3" t="n">
        <v>-0.7860000133514404</v>
      </c>
      <c r="I285" s="3" t="n">
        <v>-0.7860000133514404</v>
      </c>
      <c r="J285" s="3" t="n">
        <v>-0.8690000176429749</v>
      </c>
      <c r="K285" s="3" t="n">
        <v>-0.8690000176429749</v>
      </c>
      <c r="L285" s="3" t="n">
        <v>-0.7860000133514404</v>
      </c>
      <c r="M285" s="3" t="n">
        <v>-0.7860000133514404</v>
      </c>
      <c r="N285" s="3" t="n">
        <v>-0.7860000133514404</v>
      </c>
      <c r="O285" s="3" t="n">
        <v>-0.7860000133514404</v>
      </c>
      <c r="P285" s="3" t="n">
        <v>-0.7860000133514404</v>
      </c>
      <c r="Q285" s="3" t="n">
        <v>-0.7860000133514404</v>
      </c>
      <c r="R285" s="3" t="n">
        <v>-0.7720000147819519</v>
      </c>
      <c r="S285" s="3" t="n">
        <v>-1.082000017166138</v>
      </c>
      <c r="T285" s="3" t="n">
        <v>-0.7089999914169312</v>
      </c>
      <c r="U285" s="3" t="n">
        <v>-0.8690000176429749</v>
      </c>
      <c r="V285" s="3" t="n">
        <v>-0.6800000071525574</v>
      </c>
      <c r="W285" s="3" t="n">
        <v>-0.5540000200271606</v>
      </c>
      <c r="X285" s="3" t="n">
        <v>-1.077000021934509</v>
      </c>
      <c r="Y285" s="3" t="n">
        <v>-0.7860000133514404</v>
      </c>
      <c r="Z285" s="3" t="n">
        <v>-1.082000017166138</v>
      </c>
      <c r="AA285" s="3" t="n">
        <v>-1.082000017166138</v>
      </c>
      <c r="AB285" s="3" t="n">
        <v>-1.077000021934509</v>
      </c>
      <c r="AC285" s="3" t="n">
        <v>-1.266999959945679</v>
      </c>
      <c r="AD285" s="3" t="n">
        <v>-0.8690000176429749</v>
      </c>
      <c r="AE285" s="3" t="n">
        <v>-0.8690000176429749</v>
      </c>
    </row>
    <row r="286">
      <c r="A286" s="3" t="inlineStr">
        <is>
          <t>BOL.distn.dec.ove.mean.8</t>
        </is>
      </c>
      <c r="B286" s="3" t="inlineStr">
        <is>
          <t>BOL</t>
        </is>
      </c>
      <c r="C286" s="3" t="n">
        <v>2005</v>
      </c>
      <c r="D286" s="3" t="inlineStr">
        <is>
          <t>Overall</t>
        </is>
      </c>
      <c r="E286" s="3" t="inlineStr">
        <is>
          <t>Deciles</t>
        </is>
      </c>
      <c r="F286" s="3" t="inlineStr">
        <is>
          <t>mean</t>
        </is>
      </c>
      <c r="G286" s="3" t="n">
        <v>8</v>
      </c>
      <c r="H286" s="3" t="n">
        <v>-0.7863786816596985</v>
      </c>
      <c r="I286" s="3" t="n">
        <v>-0.7863786816596985</v>
      </c>
      <c r="J286" s="3" t="n">
        <v>-0.8713442087173462</v>
      </c>
      <c r="K286" s="3" t="n">
        <v>-0.8713442087173462</v>
      </c>
      <c r="L286" s="3" t="n">
        <v>-0.7863786816596985</v>
      </c>
      <c r="M286" s="3" t="n">
        <v>-0.7863786816596985</v>
      </c>
      <c r="N286" s="3" t="n">
        <v>-0.7863786816596985</v>
      </c>
      <c r="O286" s="3" t="n">
        <v>-0.7863786816596985</v>
      </c>
      <c r="P286" s="3" t="n">
        <v>-0.7863786816596985</v>
      </c>
      <c r="Q286" s="3" t="n">
        <v>-0.7863786816596985</v>
      </c>
      <c r="R286" s="3" t="n">
        <v>-0.7722538709640503</v>
      </c>
      <c r="S286" s="3" t="n">
        <v>-1.092068076133728</v>
      </c>
      <c r="T286" s="3" t="n">
        <v>-0.7090408802032471</v>
      </c>
      <c r="U286" s="3" t="n">
        <v>-0.8713442087173462</v>
      </c>
      <c r="V286" s="3" t="n">
        <v>-0.6807029843330383</v>
      </c>
      <c r="W286" s="3" t="n">
        <v>-0.568835437297821</v>
      </c>
      <c r="X286" s="3" t="n">
        <v>-1.086813569068909</v>
      </c>
      <c r="Y286" s="3" t="n">
        <v>-0.7863786816596985</v>
      </c>
      <c r="Z286" s="3" t="n">
        <v>-1.092068076133728</v>
      </c>
      <c r="AA286" s="3" t="n">
        <v>-1.092068076133728</v>
      </c>
      <c r="AB286" s="3" t="n">
        <v>-1.086813569068909</v>
      </c>
      <c r="AC286" s="3" t="n">
        <v>-1.285069108009338</v>
      </c>
      <c r="AD286" s="3" t="n">
        <v>-0.8713442087173462</v>
      </c>
      <c r="AE286" s="3" t="n">
        <v>-0.8713442087173462</v>
      </c>
    </row>
    <row r="287">
      <c r="A287" s="3" t="inlineStr">
        <is>
          <t>BOL.distn.dec.ove.mean.9</t>
        </is>
      </c>
      <c r="B287" s="3" t="inlineStr">
        <is>
          <t>BOL</t>
        </is>
      </c>
      <c r="C287" s="3" t="n">
        <v>2005</v>
      </c>
      <c r="D287" s="3" t="inlineStr">
        <is>
          <t>Overall</t>
        </is>
      </c>
      <c r="E287" s="3" t="inlineStr">
        <is>
          <t>Deciles</t>
        </is>
      </c>
      <c r="F287" s="3" t="inlineStr">
        <is>
          <t>mean</t>
        </is>
      </c>
      <c r="G287" s="3" t="n">
        <v>9</v>
      </c>
      <c r="H287" s="3" t="n">
        <v>-0.7863786816596985</v>
      </c>
      <c r="I287" s="3" t="n">
        <v>-0.7863786816596985</v>
      </c>
      <c r="J287" s="3" t="n">
        <v>-0.8713442087173462</v>
      </c>
      <c r="K287" s="3" t="n">
        <v>-0.8713442087173462</v>
      </c>
      <c r="L287" s="3" t="n">
        <v>-0.7863786816596985</v>
      </c>
      <c r="M287" s="3" t="n">
        <v>-0.7863786816596985</v>
      </c>
      <c r="N287" s="3" t="n">
        <v>-0.7863786816596985</v>
      </c>
      <c r="O287" s="3" t="n">
        <v>-0.7863786816596985</v>
      </c>
      <c r="P287" s="3" t="n">
        <v>-0.7863786816596985</v>
      </c>
      <c r="Q287" s="3" t="n">
        <v>-0.7863786816596985</v>
      </c>
      <c r="R287" s="3" t="n">
        <v>-0.7722538709640503</v>
      </c>
      <c r="S287" s="3" t="n">
        <v>-1.092068076133728</v>
      </c>
      <c r="T287" s="3" t="n">
        <v>-0.7090408802032471</v>
      </c>
      <c r="U287" s="3" t="n">
        <v>-0.8713442087173462</v>
      </c>
      <c r="V287" s="3" t="n">
        <v>-0.6807029843330383</v>
      </c>
      <c r="W287" s="3" t="n">
        <v>-0.568835437297821</v>
      </c>
      <c r="X287" s="3" t="n">
        <v>-1.086813569068909</v>
      </c>
      <c r="Y287" s="3" t="n">
        <v>-0.7863786816596985</v>
      </c>
      <c r="Z287" s="3" t="n">
        <v>-1.092068076133728</v>
      </c>
      <c r="AA287" s="3" t="n">
        <v>-1.092068076133728</v>
      </c>
      <c r="AB287" s="3" t="n">
        <v>-1.086813569068909</v>
      </c>
      <c r="AC287" s="3" t="n">
        <v>-1.285069108009338</v>
      </c>
      <c r="AD287" s="3" t="n">
        <v>-0.8713442087173462</v>
      </c>
      <c r="AE287" s="3" t="n">
        <v>-0.8713442087173462</v>
      </c>
    </row>
    <row r="288">
      <c r="A288" s="3" t="inlineStr">
        <is>
          <t>BOL.distn.dec.ove.mean.10</t>
        </is>
      </c>
      <c r="B288" s="3" t="inlineStr">
        <is>
          <t>BOL</t>
        </is>
      </c>
      <c r="C288" s="3" t="n">
        <v>2005</v>
      </c>
      <c r="D288" s="3" t="inlineStr">
        <is>
          <t>Overall</t>
        </is>
      </c>
      <c r="E288" s="3" t="inlineStr">
        <is>
          <t>Deciles</t>
        </is>
      </c>
      <c r="F288" s="3" t="inlineStr">
        <is>
          <t>mean</t>
        </is>
      </c>
      <c r="G288" s="3" t="n">
        <v>10</v>
      </c>
      <c r="H288" s="3" t="n">
        <v>-0.7863786816596985</v>
      </c>
      <c r="I288" s="3" t="n">
        <v>-0.7863786816596985</v>
      </c>
      <c r="J288" s="3" t="n">
        <v>-0.8713442087173462</v>
      </c>
      <c r="K288" s="3" t="n">
        <v>-0.8713442087173462</v>
      </c>
      <c r="L288" s="3" t="n">
        <v>-0.7863786816596985</v>
      </c>
      <c r="M288" s="3" t="n">
        <v>-0.7863786816596985</v>
      </c>
      <c r="N288" s="3" t="n">
        <v>-0.7863786816596985</v>
      </c>
      <c r="O288" s="3" t="n">
        <v>-0.7863786816596985</v>
      </c>
      <c r="P288" s="3" t="n">
        <v>-0.7863786816596985</v>
      </c>
      <c r="Q288" s="3" t="n">
        <v>-0.7863786816596985</v>
      </c>
      <c r="R288" s="3" t="n">
        <v>-0.7722538709640503</v>
      </c>
      <c r="S288" s="3" t="n">
        <v>-1.092068076133728</v>
      </c>
      <c r="T288" s="3" t="n">
        <v>-0.7090408802032471</v>
      </c>
      <c r="U288" s="3" t="n">
        <v>-0.8713442087173462</v>
      </c>
      <c r="V288" s="3" t="n">
        <v>-0.6807029843330383</v>
      </c>
      <c r="W288" s="3" t="n">
        <v>-0.568835437297821</v>
      </c>
      <c r="X288" s="3" t="n">
        <v>-1.086813569068909</v>
      </c>
      <c r="Y288" s="3" t="n">
        <v>-0.7863786816596985</v>
      </c>
      <c r="Z288" s="3" t="n">
        <v>-1.092068076133728</v>
      </c>
      <c r="AA288" s="3" t="n">
        <v>-1.092068076133728</v>
      </c>
      <c r="AB288" s="3" t="n">
        <v>-1.086813569068909</v>
      </c>
      <c r="AC288" s="3" t="n">
        <v>-1.285069108009338</v>
      </c>
      <c r="AD288" s="3" t="n">
        <v>-0.8713442087173462</v>
      </c>
      <c r="AE288" s="3" t="n">
        <v>-0.8713442087173462</v>
      </c>
    </row>
    <row r="289">
      <c r="A289" s="3" t="inlineStr">
        <is>
          <t>BOL.distn.bkt.ove.mean.9999</t>
        </is>
      </c>
      <c r="B289" s="3" t="inlineStr">
        <is>
          <t>BOL</t>
        </is>
      </c>
      <c r="C289" s="3" t="n">
        <v>2005</v>
      </c>
      <c r="D289" s="3" t="inlineStr">
        <is>
          <t>Overall</t>
        </is>
      </c>
      <c r="E289" s="3" t="inlineStr">
        <is>
          <t>Basket</t>
        </is>
      </c>
      <c r="F289" s="3" t="inlineStr">
        <is>
          <t>mean</t>
        </is>
      </c>
      <c r="G289" s="3" t="n">
        <v>9999</v>
      </c>
      <c r="H289" s="3" t="n">
        <v>-0.787995457649231</v>
      </c>
      <c r="I289" s="3" t="n">
        <v>-0.787995457649231</v>
      </c>
      <c r="J289" s="3" t="n">
        <v>-0.8829401731491089</v>
      </c>
      <c r="K289" s="3" t="n">
        <v>-0.8829401731491089</v>
      </c>
      <c r="L289" s="3" t="n">
        <v>-0.787995457649231</v>
      </c>
      <c r="M289" s="3" t="n">
        <v>-0.787995457649231</v>
      </c>
      <c r="N289" s="3" t="n">
        <v>-0.787995457649231</v>
      </c>
      <c r="O289" s="3" t="n">
        <v>-0.787995457649231</v>
      </c>
      <c r="P289" s="3" t="n">
        <v>-0.787995457649231</v>
      </c>
      <c r="Q289" s="3" t="n">
        <v>-0.787995457649231</v>
      </c>
      <c r="R289" s="3" t="n">
        <v>-0.773120105266571</v>
      </c>
      <c r="S289" s="3" t="n">
        <v>-1.236994624137878</v>
      </c>
      <c r="T289" s="3" t="n">
        <v>-0.7094486355781555</v>
      </c>
      <c r="U289" s="3" t="n">
        <v>-0.8829401731491089</v>
      </c>
      <c r="V289" s="3" t="n">
        <v>-0.6823066473007202</v>
      </c>
      <c r="W289" s="3" t="n">
        <v>-0.5897302031517029</v>
      </c>
      <c r="X289" s="3" t="n">
        <v>-1.214664578437805</v>
      </c>
      <c r="Y289" s="3" t="n">
        <v>-0.787995457649231</v>
      </c>
      <c r="Z289" s="3" t="n">
        <v>-1.236994624137878</v>
      </c>
      <c r="AA289" s="3" t="n">
        <v>-1.236994624137878</v>
      </c>
      <c r="AB289" s="3" t="n">
        <v>-1.214664578437805</v>
      </c>
      <c r="AC289" s="3" t="n">
        <v>-1.679403305053711</v>
      </c>
      <c r="AD289" s="3" t="n">
        <v>-0.8829401731491089</v>
      </c>
      <c r="AE289" s="3" t="n">
        <v>-0.8829401731491089</v>
      </c>
    </row>
    <row r="290">
      <c r="A290" s="3" t="inlineStr">
        <is>
          <t>BRA.distn.dec.ove.mean.1</t>
        </is>
      </c>
      <c r="B290" s="3" t="inlineStr">
        <is>
          <t>BRA</t>
        </is>
      </c>
      <c r="C290" s="3" t="n">
        <v>2005</v>
      </c>
      <c r="D290" s="3" t="inlineStr">
        <is>
          <t>Overall</t>
        </is>
      </c>
      <c r="E290" s="3" t="inlineStr">
        <is>
          <t>Deciles</t>
        </is>
      </c>
      <c r="F290" s="3" t="inlineStr">
        <is>
          <t>mean</t>
        </is>
      </c>
      <c r="G290" s="3" t="n">
        <v>1</v>
      </c>
      <c r="H290" s="3" t="n">
        <v>-0.7892489433288574</v>
      </c>
      <c r="I290" s="3" t="n">
        <v>-0.7892489433288574</v>
      </c>
      <c r="J290" s="3" t="n">
        <v>-0.8973613977432251</v>
      </c>
      <c r="K290" s="3" t="n">
        <v>-0.8973613977432251</v>
      </c>
      <c r="L290" s="3" t="n">
        <v>-0.7892489433288574</v>
      </c>
      <c r="M290" s="3" t="n">
        <v>-0.7892489433288574</v>
      </c>
      <c r="N290" s="3" t="n">
        <v>-0.7892489433288574</v>
      </c>
      <c r="O290" s="3" t="n">
        <v>-0.7892489433288574</v>
      </c>
      <c r="P290" s="3" t="n">
        <v>-0.7892489433288574</v>
      </c>
      <c r="Q290" s="3" t="n">
        <v>-0.7892489433288574</v>
      </c>
      <c r="R290" s="3" t="n">
        <v>-0.7744752764701843</v>
      </c>
      <c r="S290" s="3" t="n">
        <v>-1.459380149841309</v>
      </c>
      <c r="T290" s="3" t="n">
        <v>-0.7104546427726746</v>
      </c>
      <c r="U290" s="3" t="n">
        <v>-0.8973613977432251</v>
      </c>
      <c r="V290" s="3" t="n">
        <v>-0.6839550137519836</v>
      </c>
      <c r="W290" s="3" t="n">
        <v>-0.6131134033203125</v>
      </c>
      <c r="X290" s="3" t="n">
        <v>-1.402792692184448</v>
      </c>
      <c r="Y290" s="3" t="n">
        <v>-0.7892489433288574</v>
      </c>
      <c r="Z290" s="3" t="n">
        <v>-1.459380149841309</v>
      </c>
      <c r="AA290" s="3" t="n">
        <v>-1.459380149841309</v>
      </c>
      <c r="AB290" s="3" t="n">
        <v>-1.402792692184448</v>
      </c>
      <c r="AC290" s="3" t="n">
        <v>-2.24466609954834</v>
      </c>
      <c r="AD290" s="3" t="n">
        <v>-0.8973613977432251</v>
      </c>
      <c r="AE290" s="3" t="n">
        <v>-0.8973613977432251</v>
      </c>
    </row>
    <row r="291">
      <c r="A291" s="3" t="inlineStr">
        <is>
          <t>BRA.distn.dec.ove.mean.2</t>
        </is>
      </c>
      <c r="B291" s="3" t="inlineStr">
        <is>
          <t>BRA</t>
        </is>
      </c>
      <c r="C291" s="3" t="n">
        <v>2005</v>
      </c>
      <c r="D291" s="3" t="inlineStr">
        <is>
          <t>Overall</t>
        </is>
      </c>
      <c r="E291" s="3" t="inlineStr">
        <is>
          <t>Deciles</t>
        </is>
      </c>
      <c r="F291" s="3" t="inlineStr">
        <is>
          <t>mean</t>
        </is>
      </c>
      <c r="G291" s="3" t="n">
        <v>2</v>
      </c>
      <c r="H291" s="3" t="n">
        <v>-0.7892489433288574</v>
      </c>
      <c r="I291" s="3" t="n">
        <v>-0.7892489433288574</v>
      </c>
      <c r="J291" s="3" t="n">
        <v>-0.8973613977432251</v>
      </c>
      <c r="K291" s="3" t="n">
        <v>-0.8973613977432251</v>
      </c>
      <c r="L291" s="3" t="n">
        <v>-0.7892489433288574</v>
      </c>
      <c r="M291" s="3" t="n">
        <v>-0.7892489433288574</v>
      </c>
      <c r="N291" s="3" t="n">
        <v>-0.7892489433288574</v>
      </c>
      <c r="O291" s="3" t="n">
        <v>-0.7892489433288574</v>
      </c>
      <c r="P291" s="3" t="n">
        <v>-0.7892489433288574</v>
      </c>
      <c r="Q291" s="3" t="n">
        <v>-0.7892489433288574</v>
      </c>
      <c r="R291" s="3" t="n">
        <v>-0.7744752764701843</v>
      </c>
      <c r="S291" s="3" t="n">
        <v>-1.459380149841309</v>
      </c>
      <c r="T291" s="3" t="n">
        <v>-0.7104546427726746</v>
      </c>
      <c r="U291" s="3" t="n">
        <v>-0.8973613977432251</v>
      </c>
      <c r="V291" s="3" t="n">
        <v>-0.6839550137519836</v>
      </c>
      <c r="W291" s="3" t="n">
        <v>-0.6131134033203125</v>
      </c>
      <c r="X291" s="3" t="n">
        <v>-1.402792692184448</v>
      </c>
      <c r="Y291" s="3" t="n">
        <v>-0.7892489433288574</v>
      </c>
      <c r="Z291" s="3" t="n">
        <v>-1.459380149841309</v>
      </c>
      <c r="AA291" s="3" t="n">
        <v>-1.459380149841309</v>
      </c>
      <c r="AB291" s="3" t="n">
        <v>-1.402792692184448</v>
      </c>
      <c r="AC291" s="3" t="n">
        <v>-2.24466609954834</v>
      </c>
      <c r="AD291" s="3" t="n">
        <v>-0.8973613977432251</v>
      </c>
      <c r="AE291" s="3" t="n">
        <v>-0.8973613977432251</v>
      </c>
    </row>
    <row r="292">
      <c r="A292" s="3" t="inlineStr">
        <is>
          <t>BRA.distn.dec.ove.mean.3</t>
        </is>
      </c>
      <c r="B292" s="3" t="inlineStr">
        <is>
          <t>BRA</t>
        </is>
      </c>
      <c r="C292" s="3" t="n">
        <v>2005</v>
      </c>
      <c r="D292" s="3" t="inlineStr">
        <is>
          <t>Overall</t>
        </is>
      </c>
      <c r="E292" s="3" t="inlineStr">
        <is>
          <t>Deciles</t>
        </is>
      </c>
      <c r="F292" s="3" t="inlineStr">
        <is>
          <t>mean</t>
        </is>
      </c>
      <c r="G292" s="3" t="n">
        <v>3</v>
      </c>
      <c r="H292" s="3" t="n">
        <v>-0.7892489433288574</v>
      </c>
      <c r="I292" s="3" t="n">
        <v>-0.7892489433288574</v>
      </c>
      <c r="J292" s="3" t="n">
        <v>-0.8973613977432251</v>
      </c>
      <c r="K292" s="3" t="n">
        <v>-0.8973613977432251</v>
      </c>
      <c r="L292" s="3" t="n">
        <v>-0.7892489433288574</v>
      </c>
      <c r="M292" s="3" t="n">
        <v>-0.7892489433288574</v>
      </c>
      <c r="N292" s="3" t="n">
        <v>-0.7892489433288574</v>
      </c>
      <c r="O292" s="3" t="n">
        <v>-0.7892489433288574</v>
      </c>
      <c r="P292" s="3" t="n">
        <v>-0.7892489433288574</v>
      </c>
      <c r="Q292" s="3" t="n">
        <v>-0.7892489433288574</v>
      </c>
      <c r="R292" s="3" t="n">
        <v>-0.7744752764701843</v>
      </c>
      <c r="S292" s="3" t="n">
        <v>-1.459380149841309</v>
      </c>
      <c r="T292" s="3" t="n">
        <v>-0.7104546427726746</v>
      </c>
      <c r="U292" s="3" t="n">
        <v>-0.8973613977432251</v>
      </c>
      <c r="V292" s="3" t="n">
        <v>-0.6839550137519836</v>
      </c>
      <c r="W292" s="3" t="n">
        <v>-0.6131134033203125</v>
      </c>
      <c r="X292" s="3" t="n">
        <v>-1.402792692184448</v>
      </c>
      <c r="Y292" s="3" t="n">
        <v>-0.7892489433288574</v>
      </c>
      <c r="Z292" s="3" t="n">
        <v>-1.459380149841309</v>
      </c>
      <c r="AA292" s="3" t="n">
        <v>-1.459380149841309</v>
      </c>
      <c r="AB292" s="3" t="n">
        <v>-1.402792692184448</v>
      </c>
      <c r="AC292" s="3" t="n">
        <v>-2.24466609954834</v>
      </c>
      <c r="AD292" s="3" t="n">
        <v>-0.8973613977432251</v>
      </c>
      <c r="AE292" s="3" t="n">
        <v>-0.8973613977432251</v>
      </c>
    </row>
    <row r="293">
      <c r="A293" s="3" t="inlineStr">
        <is>
          <t>BRA.distn.dec.ove.mean.4</t>
        </is>
      </c>
      <c r="B293" s="3" t="inlineStr">
        <is>
          <t>BRA</t>
        </is>
      </c>
      <c r="C293" s="3" t="n">
        <v>2005</v>
      </c>
      <c r="D293" s="3" t="inlineStr">
        <is>
          <t>Overall</t>
        </is>
      </c>
      <c r="E293" s="3" t="inlineStr">
        <is>
          <t>Deciles</t>
        </is>
      </c>
      <c r="F293" s="3" t="inlineStr">
        <is>
          <t>mean</t>
        </is>
      </c>
      <c r="G293" s="3" t="n">
        <v>4</v>
      </c>
      <c r="H293" s="3" t="n">
        <v>-0.7829999923706055</v>
      </c>
      <c r="I293" s="3" t="n">
        <v>-0.7829999923706055</v>
      </c>
      <c r="J293" s="3" t="n">
        <v>-0.8539999723434448</v>
      </c>
      <c r="K293" s="3" t="n">
        <v>-0.8539999723434448</v>
      </c>
      <c r="L293" s="3" t="n">
        <v>-0.7829999923706055</v>
      </c>
      <c r="M293" s="3" t="n">
        <v>-0.7829999923706055</v>
      </c>
      <c r="N293" s="3" t="n">
        <v>-0.7829999923706055</v>
      </c>
      <c r="O293" s="3" t="n">
        <v>-0.7829999923706055</v>
      </c>
      <c r="P293" s="3" t="n">
        <v>-0.7829999923706055</v>
      </c>
      <c r="Q293" s="3" t="n">
        <v>-0.7829999923706055</v>
      </c>
      <c r="R293" s="3" t="n">
        <v>-0.7710000276565552</v>
      </c>
      <c r="S293" s="3" t="n">
        <v>-0.9940000176429749</v>
      </c>
      <c r="T293" s="3" t="n">
        <v>-0.7089999914169312</v>
      </c>
      <c r="U293" s="3" t="n">
        <v>-0.8539999723434448</v>
      </c>
      <c r="V293" s="3" t="n">
        <v>-0.6769999861717224</v>
      </c>
      <c r="W293" s="3" t="n">
        <v>-0.515999972820282</v>
      </c>
      <c r="X293" s="3" t="n">
        <v>-0.9900000095367432</v>
      </c>
      <c r="Y293" s="3" t="n">
        <v>-0.7829999923706055</v>
      </c>
      <c r="Z293" s="3" t="n">
        <v>-0.9940000176429749</v>
      </c>
      <c r="AA293" s="3" t="n">
        <v>-0.9940000176429749</v>
      </c>
      <c r="AB293" s="3" t="n">
        <v>-0.9900000095367432</v>
      </c>
      <c r="AC293" s="3" t="n">
        <v>-1.083999991416931</v>
      </c>
      <c r="AD293" s="3" t="n">
        <v>-0.8539999723434448</v>
      </c>
      <c r="AE293" s="3" t="n">
        <v>-0.8539999723434448</v>
      </c>
    </row>
    <row r="294">
      <c r="A294" s="3" t="inlineStr">
        <is>
          <t>BRA.distn.dec.ove.mean.5</t>
        </is>
      </c>
      <c r="B294" s="3" t="inlineStr">
        <is>
          <t>BRA</t>
        </is>
      </c>
      <c r="C294" s="3" t="n">
        <v>2005</v>
      </c>
      <c r="D294" s="3" t="inlineStr">
        <is>
          <t>Overall</t>
        </is>
      </c>
      <c r="E294" s="3" t="inlineStr">
        <is>
          <t>Deciles</t>
        </is>
      </c>
      <c r="F294" s="3" t="inlineStr">
        <is>
          <t>mean</t>
        </is>
      </c>
      <c r="G294" s="3" t="n">
        <v>5</v>
      </c>
      <c r="H294" s="3" t="n">
        <v>-0.7829999923706055</v>
      </c>
      <c r="I294" s="3" t="n">
        <v>-0.7829999923706055</v>
      </c>
      <c r="J294" s="3" t="n">
        <v>-0.8539999723434448</v>
      </c>
      <c r="K294" s="3" t="n">
        <v>-0.8539999723434448</v>
      </c>
      <c r="L294" s="3" t="n">
        <v>-0.7829999923706055</v>
      </c>
      <c r="M294" s="3" t="n">
        <v>-0.7829999923706055</v>
      </c>
      <c r="N294" s="3" t="n">
        <v>-0.7829999923706055</v>
      </c>
      <c r="O294" s="3" t="n">
        <v>-0.7829999923706055</v>
      </c>
      <c r="P294" s="3" t="n">
        <v>-0.7829999923706055</v>
      </c>
      <c r="Q294" s="3" t="n">
        <v>-0.7829999923706055</v>
      </c>
      <c r="R294" s="3" t="n">
        <v>-0.7710000276565552</v>
      </c>
      <c r="S294" s="3" t="n">
        <v>-0.9940000176429749</v>
      </c>
      <c r="T294" s="3" t="n">
        <v>-0.7089999914169312</v>
      </c>
      <c r="U294" s="3" t="n">
        <v>-0.8539999723434448</v>
      </c>
      <c r="V294" s="3" t="n">
        <v>-0.6769999861717224</v>
      </c>
      <c r="W294" s="3" t="n">
        <v>-0.515999972820282</v>
      </c>
      <c r="X294" s="3" t="n">
        <v>-0.9900000095367432</v>
      </c>
      <c r="Y294" s="3" t="n">
        <v>-0.7829999923706055</v>
      </c>
      <c r="Z294" s="3" t="n">
        <v>-0.9940000176429749</v>
      </c>
      <c r="AA294" s="3" t="n">
        <v>-0.9940000176429749</v>
      </c>
      <c r="AB294" s="3" t="n">
        <v>-0.9900000095367432</v>
      </c>
      <c r="AC294" s="3" t="n">
        <v>-1.083999991416931</v>
      </c>
      <c r="AD294" s="3" t="n">
        <v>-0.8539999723434448</v>
      </c>
      <c r="AE294" s="3" t="n">
        <v>-0.8539999723434448</v>
      </c>
    </row>
    <row r="295">
      <c r="A295" s="3" t="inlineStr">
        <is>
          <t>BRA.distn.dec.ove.mean.6</t>
        </is>
      </c>
      <c r="B295" s="3" t="inlineStr">
        <is>
          <t>BRA</t>
        </is>
      </c>
      <c r="C295" s="3" t="n">
        <v>2005</v>
      </c>
      <c r="D295" s="3" t="inlineStr">
        <is>
          <t>Overall</t>
        </is>
      </c>
      <c r="E295" s="3" t="inlineStr">
        <is>
          <t>Deciles</t>
        </is>
      </c>
      <c r="F295" s="3" t="inlineStr">
        <is>
          <t>mean</t>
        </is>
      </c>
      <c r="G295" s="3" t="n">
        <v>6</v>
      </c>
      <c r="H295" s="3" t="n">
        <v>-0.7829999923706055</v>
      </c>
      <c r="I295" s="3" t="n">
        <v>-0.7829999923706055</v>
      </c>
      <c r="J295" s="3" t="n">
        <v>-0.8539999723434448</v>
      </c>
      <c r="K295" s="3" t="n">
        <v>-0.8539999723434448</v>
      </c>
      <c r="L295" s="3" t="n">
        <v>-0.7829999923706055</v>
      </c>
      <c r="M295" s="3" t="n">
        <v>-0.7829999923706055</v>
      </c>
      <c r="N295" s="3" t="n">
        <v>-0.7829999923706055</v>
      </c>
      <c r="O295" s="3" t="n">
        <v>-0.7829999923706055</v>
      </c>
      <c r="P295" s="3" t="n">
        <v>-0.7829999923706055</v>
      </c>
      <c r="Q295" s="3" t="n">
        <v>-0.7829999923706055</v>
      </c>
      <c r="R295" s="3" t="n">
        <v>-0.7710000276565552</v>
      </c>
      <c r="S295" s="3" t="n">
        <v>-0.9940000176429749</v>
      </c>
      <c r="T295" s="3" t="n">
        <v>-0.7089999914169312</v>
      </c>
      <c r="U295" s="3" t="n">
        <v>-0.8539999723434448</v>
      </c>
      <c r="V295" s="3" t="n">
        <v>-0.6769999861717224</v>
      </c>
      <c r="W295" s="3" t="n">
        <v>-0.515999972820282</v>
      </c>
      <c r="X295" s="3" t="n">
        <v>-0.9900000095367432</v>
      </c>
      <c r="Y295" s="3" t="n">
        <v>-0.7829999923706055</v>
      </c>
      <c r="Z295" s="3" t="n">
        <v>-0.9940000176429749</v>
      </c>
      <c r="AA295" s="3" t="n">
        <v>-0.9940000176429749</v>
      </c>
      <c r="AB295" s="3" t="n">
        <v>-0.9900000095367432</v>
      </c>
      <c r="AC295" s="3" t="n">
        <v>-1.083999991416931</v>
      </c>
      <c r="AD295" s="3" t="n">
        <v>-0.8539999723434448</v>
      </c>
      <c r="AE295" s="3" t="n">
        <v>-0.8539999723434448</v>
      </c>
    </row>
    <row r="296">
      <c r="A296" s="3" t="inlineStr">
        <is>
          <t>BRA.distn.dec.ove.mean.7</t>
        </is>
      </c>
      <c r="B296" s="3" t="inlineStr">
        <is>
          <t>BRA</t>
        </is>
      </c>
      <c r="C296" s="3" t="n">
        <v>2005</v>
      </c>
      <c r="D296" s="3" t="inlineStr">
        <is>
          <t>Overall</t>
        </is>
      </c>
      <c r="E296" s="3" t="inlineStr">
        <is>
          <t>Deciles</t>
        </is>
      </c>
      <c r="F296" s="3" t="inlineStr">
        <is>
          <t>mean</t>
        </is>
      </c>
      <c r="G296" s="3" t="n">
        <v>7</v>
      </c>
      <c r="H296" s="3" t="n">
        <v>-0.7829999923706055</v>
      </c>
      <c r="I296" s="3" t="n">
        <v>-0.7829999923706055</v>
      </c>
      <c r="J296" s="3" t="n">
        <v>-0.8539999723434448</v>
      </c>
      <c r="K296" s="3" t="n">
        <v>-0.8539999723434448</v>
      </c>
      <c r="L296" s="3" t="n">
        <v>-0.7829999923706055</v>
      </c>
      <c r="M296" s="3" t="n">
        <v>-0.7829999923706055</v>
      </c>
      <c r="N296" s="3" t="n">
        <v>-0.7829999923706055</v>
      </c>
      <c r="O296" s="3" t="n">
        <v>-0.7829999923706055</v>
      </c>
      <c r="P296" s="3" t="n">
        <v>-0.7829999923706055</v>
      </c>
      <c r="Q296" s="3" t="n">
        <v>-0.7829999923706055</v>
      </c>
      <c r="R296" s="3" t="n">
        <v>-0.7710000276565552</v>
      </c>
      <c r="S296" s="3" t="n">
        <v>-0.9940000176429749</v>
      </c>
      <c r="T296" s="3" t="n">
        <v>-0.7089999914169312</v>
      </c>
      <c r="U296" s="3" t="n">
        <v>-0.8539999723434448</v>
      </c>
      <c r="V296" s="3" t="n">
        <v>-0.6769999861717224</v>
      </c>
      <c r="W296" s="3" t="n">
        <v>-0.515999972820282</v>
      </c>
      <c r="X296" s="3" t="n">
        <v>-0.9900000095367432</v>
      </c>
      <c r="Y296" s="3" t="n">
        <v>-0.7829999923706055</v>
      </c>
      <c r="Z296" s="3" t="n">
        <v>-0.9940000176429749</v>
      </c>
      <c r="AA296" s="3" t="n">
        <v>-0.9940000176429749</v>
      </c>
      <c r="AB296" s="3" t="n">
        <v>-0.9900000095367432</v>
      </c>
      <c r="AC296" s="3" t="n">
        <v>-1.083999991416931</v>
      </c>
      <c r="AD296" s="3" t="n">
        <v>-0.8539999723434448</v>
      </c>
      <c r="AE296" s="3" t="n">
        <v>-0.8539999723434448</v>
      </c>
    </row>
    <row r="297">
      <c r="A297" s="3" t="inlineStr">
        <is>
          <t>BRA.distn.dec.ove.mean.8</t>
        </is>
      </c>
      <c r="B297" s="3" t="inlineStr">
        <is>
          <t>BRA</t>
        </is>
      </c>
      <c r="C297" s="3" t="n">
        <v>2005</v>
      </c>
      <c r="D297" s="3" t="inlineStr">
        <is>
          <t>Overall</t>
        </is>
      </c>
      <c r="E297" s="3" t="inlineStr">
        <is>
          <t>Deciles</t>
        </is>
      </c>
      <c r="F297" s="3" t="inlineStr">
        <is>
          <t>mean</t>
        </is>
      </c>
      <c r="G297" s="3" t="n">
        <v>8</v>
      </c>
      <c r="H297" s="3" t="n">
        <v>-0.7833772301673889</v>
      </c>
      <c r="I297" s="3" t="n">
        <v>-0.7833772301673889</v>
      </c>
      <c r="J297" s="3" t="n">
        <v>-0.8563037514686584</v>
      </c>
      <c r="K297" s="3" t="n">
        <v>-0.8563037514686584</v>
      </c>
      <c r="L297" s="3" t="n">
        <v>-0.7833772301673889</v>
      </c>
      <c r="M297" s="3" t="n">
        <v>-0.7833772301673889</v>
      </c>
      <c r="N297" s="3" t="n">
        <v>-0.7833772301673889</v>
      </c>
      <c r="O297" s="3" t="n">
        <v>-0.7833772301673889</v>
      </c>
      <c r="P297" s="3" t="n">
        <v>-0.7833772301673889</v>
      </c>
      <c r="Q297" s="3" t="n">
        <v>-0.7833772301673889</v>
      </c>
      <c r="R297" s="3" t="n">
        <v>-0.7712535858154297</v>
      </c>
      <c r="S297" s="3" t="n">
        <v>-1.003249287605286</v>
      </c>
      <c r="T297" s="3" t="n">
        <v>-0.7090408802032471</v>
      </c>
      <c r="U297" s="3" t="n">
        <v>-0.8563037514686584</v>
      </c>
      <c r="V297" s="3" t="n">
        <v>-0.677699863910675</v>
      </c>
      <c r="W297" s="3" t="n">
        <v>-0.5298178791999817</v>
      </c>
      <c r="X297" s="3" t="n">
        <v>-0.9990208745002747</v>
      </c>
      <c r="Y297" s="3" t="n">
        <v>-0.7833772301673889</v>
      </c>
      <c r="Z297" s="3" t="n">
        <v>-1.003249287605286</v>
      </c>
      <c r="AA297" s="3" t="n">
        <v>-1.003249287605286</v>
      </c>
      <c r="AB297" s="3" t="n">
        <v>-0.9990208745002747</v>
      </c>
      <c r="AC297" s="3" t="n">
        <v>-1.099459290504456</v>
      </c>
      <c r="AD297" s="3" t="n">
        <v>-0.8563037514686584</v>
      </c>
      <c r="AE297" s="3" t="n">
        <v>-0.8563037514686584</v>
      </c>
    </row>
    <row r="298">
      <c r="A298" s="3" t="inlineStr">
        <is>
          <t>BRA.distn.dec.ove.mean.9</t>
        </is>
      </c>
      <c r="B298" s="3" t="inlineStr">
        <is>
          <t>BRA</t>
        </is>
      </c>
      <c r="C298" s="3" t="n">
        <v>2005</v>
      </c>
      <c r="D298" s="3" t="inlineStr">
        <is>
          <t>Overall</t>
        </is>
      </c>
      <c r="E298" s="3" t="inlineStr">
        <is>
          <t>Deciles</t>
        </is>
      </c>
      <c r="F298" s="3" t="inlineStr">
        <is>
          <t>mean</t>
        </is>
      </c>
      <c r="G298" s="3" t="n">
        <v>9</v>
      </c>
      <c r="H298" s="3" t="n">
        <v>-0.7833772301673889</v>
      </c>
      <c r="I298" s="3" t="n">
        <v>-0.7833772301673889</v>
      </c>
      <c r="J298" s="3" t="n">
        <v>-0.8563037514686584</v>
      </c>
      <c r="K298" s="3" t="n">
        <v>-0.8563037514686584</v>
      </c>
      <c r="L298" s="3" t="n">
        <v>-0.7833772301673889</v>
      </c>
      <c r="M298" s="3" t="n">
        <v>-0.7833772301673889</v>
      </c>
      <c r="N298" s="3" t="n">
        <v>-0.7833772301673889</v>
      </c>
      <c r="O298" s="3" t="n">
        <v>-0.7833772301673889</v>
      </c>
      <c r="P298" s="3" t="n">
        <v>-0.7833772301673889</v>
      </c>
      <c r="Q298" s="3" t="n">
        <v>-0.7833772301673889</v>
      </c>
      <c r="R298" s="3" t="n">
        <v>-0.7712535858154297</v>
      </c>
      <c r="S298" s="3" t="n">
        <v>-1.003249287605286</v>
      </c>
      <c r="T298" s="3" t="n">
        <v>-0.7090408802032471</v>
      </c>
      <c r="U298" s="3" t="n">
        <v>-0.8563037514686584</v>
      </c>
      <c r="V298" s="3" t="n">
        <v>-0.677699863910675</v>
      </c>
      <c r="W298" s="3" t="n">
        <v>-0.5298178791999817</v>
      </c>
      <c r="X298" s="3" t="n">
        <v>-0.9990208745002747</v>
      </c>
      <c r="Y298" s="3" t="n">
        <v>-0.7833772301673889</v>
      </c>
      <c r="Z298" s="3" t="n">
        <v>-1.003249287605286</v>
      </c>
      <c r="AA298" s="3" t="n">
        <v>-1.003249287605286</v>
      </c>
      <c r="AB298" s="3" t="n">
        <v>-0.9990208745002747</v>
      </c>
      <c r="AC298" s="3" t="n">
        <v>-1.099459290504456</v>
      </c>
      <c r="AD298" s="3" t="n">
        <v>-0.8563037514686584</v>
      </c>
      <c r="AE298" s="3" t="n">
        <v>-0.8563037514686584</v>
      </c>
    </row>
    <row r="299">
      <c r="A299" s="3" t="inlineStr">
        <is>
          <t>BRA.distn.dec.ove.mean.10</t>
        </is>
      </c>
      <c r="B299" s="3" t="inlineStr">
        <is>
          <t>BRA</t>
        </is>
      </c>
      <c r="C299" s="3" t="n">
        <v>2005</v>
      </c>
      <c r="D299" s="3" t="inlineStr">
        <is>
          <t>Overall</t>
        </is>
      </c>
      <c r="E299" s="3" t="inlineStr">
        <is>
          <t>Deciles</t>
        </is>
      </c>
      <c r="F299" s="3" t="inlineStr">
        <is>
          <t>mean</t>
        </is>
      </c>
      <c r="G299" s="3" t="n">
        <v>10</v>
      </c>
      <c r="H299" s="3" t="n">
        <v>-0.7833772301673889</v>
      </c>
      <c r="I299" s="3" t="n">
        <v>-0.7833772301673889</v>
      </c>
      <c r="J299" s="3" t="n">
        <v>-0.8563037514686584</v>
      </c>
      <c r="K299" s="3" t="n">
        <v>-0.8563037514686584</v>
      </c>
      <c r="L299" s="3" t="n">
        <v>-0.7833772301673889</v>
      </c>
      <c r="M299" s="3" t="n">
        <v>-0.7833772301673889</v>
      </c>
      <c r="N299" s="3" t="n">
        <v>-0.7833772301673889</v>
      </c>
      <c r="O299" s="3" t="n">
        <v>-0.7833772301673889</v>
      </c>
      <c r="P299" s="3" t="n">
        <v>-0.7833772301673889</v>
      </c>
      <c r="Q299" s="3" t="n">
        <v>-0.7833772301673889</v>
      </c>
      <c r="R299" s="3" t="n">
        <v>-0.7712535858154297</v>
      </c>
      <c r="S299" s="3" t="n">
        <v>-1.003249287605286</v>
      </c>
      <c r="T299" s="3" t="n">
        <v>-0.7090408802032471</v>
      </c>
      <c r="U299" s="3" t="n">
        <v>-0.8563037514686584</v>
      </c>
      <c r="V299" s="3" t="n">
        <v>-0.677699863910675</v>
      </c>
      <c r="W299" s="3" t="n">
        <v>-0.5298178791999817</v>
      </c>
      <c r="X299" s="3" t="n">
        <v>-0.9990208745002747</v>
      </c>
      <c r="Y299" s="3" t="n">
        <v>-0.7833772301673889</v>
      </c>
      <c r="Z299" s="3" t="n">
        <v>-1.003249287605286</v>
      </c>
      <c r="AA299" s="3" t="n">
        <v>-1.003249287605286</v>
      </c>
      <c r="AB299" s="3" t="n">
        <v>-0.9990208745002747</v>
      </c>
      <c r="AC299" s="3" t="n">
        <v>-1.099459290504456</v>
      </c>
      <c r="AD299" s="3" t="n">
        <v>-0.8563037514686584</v>
      </c>
      <c r="AE299" s="3" t="n">
        <v>-0.8563037514686584</v>
      </c>
    </row>
    <row r="300">
      <c r="A300" s="3" t="inlineStr">
        <is>
          <t>BRA.distn.bkt.ove.mean.9999</t>
        </is>
      </c>
      <c r="B300" s="3" t="inlineStr">
        <is>
          <t>BRA</t>
        </is>
      </c>
      <c r="C300" s="3" t="n">
        <v>2005</v>
      </c>
      <c r="D300" s="3" t="inlineStr">
        <is>
          <t>Overall</t>
        </is>
      </c>
      <c r="E300" s="3" t="inlineStr">
        <is>
          <t>Basket</t>
        </is>
      </c>
      <c r="F300" s="3" t="inlineStr">
        <is>
          <t>mean</t>
        </is>
      </c>
      <c r="G300" s="3" t="n">
        <v>9999</v>
      </c>
      <c r="H300" s="3" t="n">
        <v>-0.7849878668785095</v>
      </c>
      <c r="I300" s="3" t="n">
        <v>-0.7849878668785095</v>
      </c>
      <c r="J300" s="3" t="n">
        <v>-0.8676995038986206</v>
      </c>
      <c r="K300" s="3" t="n">
        <v>-0.8676995038986206</v>
      </c>
      <c r="L300" s="3" t="n">
        <v>-0.7849878668785095</v>
      </c>
      <c r="M300" s="3" t="n">
        <v>-0.7849878668785095</v>
      </c>
      <c r="N300" s="3" t="n">
        <v>-0.7849878668785095</v>
      </c>
      <c r="O300" s="3" t="n">
        <v>-0.7849878668785095</v>
      </c>
      <c r="P300" s="3" t="n">
        <v>-0.7849878668785095</v>
      </c>
      <c r="Q300" s="3" t="n">
        <v>-0.7849878668785095</v>
      </c>
      <c r="R300" s="3" t="n">
        <v>-0.7721186876296997</v>
      </c>
      <c r="S300" s="3" t="n">
        <v>-1.136388778686523</v>
      </c>
      <c r="T300" s="3" t="n">
        <v>-0.7094486355781555</v>
      </c>
      <c r="U300" s="3" t="n">
        <v>-0.8676995038986206</v>
      </c>
      <c r="V300" s="3" t="n">
        <v>-0.6792964339256287</v>
      </c>
      <c r="W300" s="3" t="n">
        <v>-0.5492793917655945</v>
      </c>
      <c r="X300" s="3" t="n">
        <v>-1.116544127464294</v>
      </c>
      <c r="Y300" s="3" t="n">
        <v>-0.7849878668785095</v>
      </c>
      <c r="Z300" s="3" t="n">
        <v>-1.136388778686523</v>
      </c>
      <c r="AA300" s="3" t="n">
        <v>-1.136388778686523</v>
      </c>
      <c r="AB300" s="3" t="n">
        <v>-1.116544127464294</v>
      </c>
      <c r="AC300" s="3" t="n">
        <v>-1.436837673187256</v>
      </c>
      <c r="AD300" s="3" t="n">
        <v>-0.8676995038986206</v>
      </c>
      <c r="AE300" s="3" t="n">
        <v>-0.8676995038986206</v>
      </c>
    </row>
    <row r="301">
      <c r="A301" s="3" t="inlineStr">
        <is>
          <t>BRB.distn.dec.ove.mean.1</t>
        </is>
      </c>
      <c r="B301" s="3" t="inlineStr">
        <is>
          <t>BRB</t>
        </is>
      </c>
      <c r="C301" s="3" t="n">
        <v>2005</v>
      </c>
      <c r="D301" s="3" t="inlineStr">
        <is>
          <t>Overall</t>
        </is>
      </c>
      <c r="E301" s="3" t="inlineStr">
        <is>
          <t>Deciles</t>
        </is>
      </c>
      <c r="F301" s="3" t="inlineStr">
        <is>
          <t>mean</t>
        </is>
      </c>
      <c r="G301" s="3" t="n">
        <v>1</v>
      </c>
      <c r="H301" s="3" t="n">
        <v>-0.7878549098968506</v>
      </c>
      <c r="I301" s="3" t="n">
        <v>-0.7878549098968506</v>
      </c>
      <c r="J301" s="3" t="n">
        <v>-0.8883962808771336</v>
      </c>
      <c r="K301" s="3" t="n">
        <v>-0.8883962808771336</v>
      </c>
      <c r="L301" s="3" t="n">
        <v>-0.7878549098968506</v>
      </c>
      <c r="M301" s="3" t="n">
        <v>-0.7878549098968506</v>
      </c>
      <c r="N301" s="3" t="n">
        <v>-0.7878549098968506</v>
      </c>
      <c r="O301" s="3" t="n">
        <v>-0.7878549098968506</v>
      </c>
      <c r="P301" s="3" t="n">
        <v>-0.7878549098968506</v>
      </c>
      <c r="Q301" s="3" t="n">
        <v>-0.7878549098968506</v>
      </c>
      <c r="R301" s="3" t="n">
        <v>-0.7732356596500316</v>
      </c>
      <c r="S301" s="3" t="n">
        <v>-1.408805674694954</v>
      </c>
      <c r="T301" s="3" t="n">
        <v>-0.7095591730259835</v>
      </c>
      <c r="U301" s="3" t="n">
        <v>-0.8883962808771336</v>
      </c>
      <c r="V301" s="3" t="n">
        <v>-0.681934451803248</v>
      </c>
      <c r="W301" s="3" t="n">
        <v>-0.5702875047288043</v>
      </c>
      <c r="X301" s="3" t="n">
        <v>-1.356243993373627</v>
      </c>
      <c r="Y301" s="3" t="n">
        <v>-0.7878549098968506</v>
      </c>
      <c r="Z301" s="3" t="n">
        <v>-1.408805674694954</v>
      </c>
      <c r="AA301" s="3" t="n">
        <v>-1.408805674694954</v>
      </c>
      <c r="AB301" s="3" t="n">
        <v>-1.356243993373627</v>
      </c>
      <c r="AC301" s="3" t="n">
        <v>-2.123991362592007</v>
      </c>
      <c r="AD301" s="3" t="n">
        <v>-0.8883962808771336</v>
      </c>
      <c r="AE301" s="3" t="n">
        <v>-0.8883962808771336</v>
      </c>
    </row>
    <row r="302">
      <c r="A302" s="3" t="inlineStr">
        <is>
          <t>BRB.distn.dec.ove.mean.2</t>
        </is>
      </c>
      <c r="B302" s="3" t="inlineStr">
        <is>
          <t>BRB</t>
        </is>
      </c>
      <c r="C302" s="3" t="n">
        <v>2005</v>
      </c>
      <c r="D302" s="3" t="inlineStr">
        <is>
          <t>Overall</t>
        </is>
      </c>
      <c r="E302" s="3" t="inlineStr">
        <is>
          <t>Deciles</t>
        </is>
      </c>
      <c r="F302" s="3" t="inlineStr">
        <is>
          <t>mean</t>
        </is>
      </c>
      <c r="G302" s="3" t="n">
        <v>2</v>
      </c>
      <c r="H302" s="3" t="n">
        <v>-0.7878549098968506</v>
      </c>
      <c r="I302" s="3" t="n">
        <v>-0.7878549098968506</v>
      </c>
      <c r="J302" s="3" t="n">
        <v>-0.8883962808771336</v>
      </c>
      <c r="K302" s="3" t="n">
        <v>-0.8883962808771336</v>
      </c>
      <c r="L302" s="3" t="n">
        <v>-0.7878549098968506</v>
      </c>
      <c r="M302" s="3" t="n">
        <v>-0.7878549098968506</v>
      </c>
      <c r="N302" s="3" t="n">
        <v>-0.7878549098968506</v>
      </c>
      <c r="O302" s="3" t="n">
        <v>-0.7878549098968506</v>
      </c>
      <c r="P302" s="3" t="n">
        <v>-0.7878549098968506</v>
      </c>
      <c r="Q302" s="3" t="n">
        <v>-0.7878549098968506</v>
      </c>
      <c r="R302" s="3" t="n">
        <v>-0.7732356596500316</v>
      </c>
      <c r="S302" s="3" t="n">
        <v>-1.408805674694954</v>
      </c>
      <c r="T302" s="3" t="n">
        <v>-0.7095591730259835</v>
      </c>
      <c r="U302" s="3" t="n">
        <v>-0.8883962808771336</v>
      </c>
      <c r="V302" s="3" t="n">
        <v>-0.681934451803248</v>
      </c>
      <c r="W302" s="3" t="n">
        <v>-0.5702875047288043</v>
      </c>
      <c r="X302" s="3" t="n">
        <v>-1.356243993373627</v>
      </c>
      <c r="Y302" s="3" t="n">
        <v>-0.7878549098968506</v>
      </c>
      <c r="Z302" s="3" t="n">
        <v>-1.408805674694954</v>
      </c>
      <c r="AA302" s="3" t="n">
        <v>-1.408805674694954</v>
      </c>
      <c r="AB302" s="3" t="n">
        <v>-1.356243993373627</v>
      </c>
      <c r="AC302" s="3" t="n">
        <v>-2.123991362592007</v>
      </c>
      <c r="AD302" s="3" t="n">
        <v>-0.8883962808771336</v>
      </c>
      <c r="AE302" s="3" t="n">
        <v>-0.8883962808771336</v>
      </c>
    </row>
    <row r="303">
      <c r="A303" s="3" t="inlineStr">
        <is>
          <t>BRB.distn.dec.ove.mean.3</t>
        </is>
      </c>
      <c r="B303" s="3" t="inlineStr">
        <is>
          <t>BRB</t>
        </is>
      </c>
      <c r="C303" s="3" t="n">
        <v>2005</v>
      </c>
      <c r="D303" s="3" t="inlineStr">
        <is>
          <t>Overall</t>
        </is>
      </c>
      <c r="E303" s="3" t="inlineStr">
        <is>
          <t>Deciles</t>
        </is>
      </c>
      <c r="F303" s="3" t="inlineStr">
        <is>
          <t>mean</t>
        </is>
      </c>
      <c r="G303" s="3" t="n">
        <v>3</v>
      </c>
      <c r="H303" s="3" t="n">
        <v>-0.7878549098968506</v>
      </c>
      <c r="I303" s="3" t="n">
        <v>-0.7878549098968506</v>
      </c>
      <c r="J303" s="3" t="n">
        <v>-0.8883962808771336</v>
      </c>
      <c r="K303" s="3" t="n">
        <v>-0.8883962808771336</v>
      </c>
      <c r="L303" s="3" t="n">
        <v>-0.7878549098968506</v>
      </c>
      <c r="M303" s="3" t="n">
        <v>-0.7878549098968506</v>
      </c>
      <c r="N303" s="3" t="n">
        <v>-0.7878549098968506</v>
      </c>
      <c r="O303" s="3" t="n">
        <v>-0.7878549098968506</v>
      </c>
      <c r="P303" s="3" t="n">
        <v>-0.7878549098968506</v>
      </c>
      <c r="Q303" s="3" t="n">
        <v>-0.7878549098968506</v>
      </c>
      <c r="R303" s="3" t="n">
        <v>-0.7732356596500316</v>
      </c>
      <c r="S303" s="3" t="n">
        <v>-1.408805674694954</v>
      </c>
      <c r="T303" s="3" t="n">
        <v>-0.7095591730259835</v>
      </c>
      <c r="U303" s="3" t="n">
        <v>-0.8883962808771336</v>
      </c>
      <c r="V303" s="3" t="n">
        <v>-0.681934451803248</v>
      </c>
      <c r="W303" s="3" t="n">
        <v>-0.5702875047288043</v>
      </c>
      <c r="X303" s="3" t="n">
        <v>-1.356243993373627</v>
      </c>
      <c r="Y303" s="3" t="n">
        <v>-0.7878549098968506</v>
      </c>
      <c r="Z303" s="3" t="n">
        <v>-1.408805674694954</v>
      </c>
      <c r="AA303" s="3" t="n">
        <v>-1.408805674694954</v>
      </c>
      <c r="AB303" s="3" t="n">
        <v>-1.356243993373627</v>
      </c>
      <c r="AC303" s="3" t="n">
        <v>-2.123991362592007</v>
      </c>
      <c r="AD303" s="3" t="n">
        <v>-0.8883962808771336</v>
      </c>
      <c r="AE303" s="3" t="n">
        <v>-0.8883962808771336</v>
      </c>
    </row>
    <row r="304">
      <c r="A304" s="3" t="inlineStr">
        <is>
          <t>BRB.distn.dec.ove.mean.4</t>
        </is>
      </c>
      <c r="B304" s="3" t="inlineStr">
        <is>
          <t>BRB</t>
        </is>
      </c>
      <c r="C304" s="3" t="n">
        <v>2005</v>
      </c>
      <c r="D304" s="3" t="inlineStr">
        <is>
          <t>Overall</t>
        </is>
      </c>
      <c r="E304" s="3" t="inlineStr">
        <is>
          <t>Deciles</t>
        </is>
      </c>
      <c r="F304" s="3" t="inlineStr">
        <is>
          <t>mean</t>
        </is>
      </c>
      <c r="G304" s="3" t="n">
        <v>4</v>
      </c>
      <c r="H304" s="3" t="n">
        <v>-0.7816170251115839</v>
      </c>
      <c r="I304" s="3" t="n">
        <v>-0.7816170251115839</v>
      </c>
      <c r="J304" s="3" t="n">
        <v>-0.8454680810583398</v>
      </c>
      <c r="K304" s="3" t="n">
        <v>-0.8454680810583398</v>
      </c>
      <c r="L304" s="3" t="n">
        <v>-0.7816170251115839</v>
      </c>
      <c r="M304" s="3" t="n">
        <v>-0.7816170251115839</v>
      </c>
      <c r="N304" s="3" t="n">
        <v>-0.7816170251115839</v>
      </c>
      <c r="O304" s="3" t="n">
        <v>-0.7816170251115839</v>
      </c>
      <c r="P304" s="3" t="n">
        <v>-0.7816170251115839</v>
      </c>
      <c r="Q304" s="3" t="n">
        <v>-0.7816170251115839</v>
      </c>
      <c r="R304" s="3" t="n">
        <v>-0.7697659489956308</v>
      </c>
      <c r="S304" s="3" t="n">
        <v>-0.9595531871978272</v>
      </c>
      <c r="T304" s="3" t="n">
        <v>-0.7081063859006191</v>
      </c>
      <c r="U304" s="3" t="n">
        <v>-0.8454680810583398</v>
      </c>
      <c r="V304" s="3" t="n">
        <v>-0.6750000017754575</v>
      </c>
      <c r="W304" s="3" t="n">
        <v>-0.4799574455048176</v>
      </c>
      <c r="X304" s="3" t="n">
        <v>-0.9571489362006492</v>
      </c>
      <c r="Y304" s="3" t="n">
        <v>-0.7816170251115839</v>
      </c>
      <c r="Z304" s="3" t="n">
        <v>-0.9595531871978272</v>
      </c>
      <c r="AA304" s="3" t="n">
        <v>-0.9595531871978272</v>
      </c>
      <c r="AB304" s="3" t="n">
        <v>-0.9571489362006492</v>
      </c>
      <c r="AC304" s="3" t="n">
        <v>-1.025723396463597</v>
      </c>
      <c r="AD304" s="3" t="n">
        <v>-0.8454680810583398</v>
      </c>
      <c r="AE304" s="3" t="n">
        <v>-0.8454680810583398</v>
      </c>
    </row>
    <row r="305">
      <c r="A305" s="3" t="inlineStr">
        <is>
          <t>BRB.distn.dec.ove.mean.5</t>
        </is>
      </c>
      <c r="B305" s="3" t="inlineStr">
        <is>
          <t>BRB</t>
        </is>
      </c>
      <c r="C305" s="3" t="n">
        <v>2005</v>
      </c>
      <c r="D305" s="3" t="inlineStr">
        <is>
          <t>Overall</t>
        </is>
      </c>
      <c r="E305" s="3" t="inlineStr">
        <is>
          <t>Deciles</t>
        </is>
      </c>
      <c r="F305" s="3" t="inlineStr">
        <is>
          <t>mean</t>
        </is>
      </c>
      <c r="G305" s="3" t="n">
        <v>5</v>
      </c>
      <c r="H305" s="3" t="n">
        <v>-0.7816170251115839</v>
      </c>
      <c r="I305" s="3" t="n">
        <v>-0.7816170251115839</v>
      </c>
      <c r="J305" s="3" t="n">
        <v>-0.8454680810583398</v>
      </c>
      <c r="K305" s="3" t="n">
        <v>-0.8454680810583398</v>
      </c>
      <c r="L305" s="3" t="n">
        <v>-0.7816170251115839</v>
      </c>
      <c r="M305" s="3" t="n">
        <v>-0.7816170251115839</v>
      </c>
      <c r="N305" s="3" t="n">
        <v>-0.7816170251115839</v>
      </c>
      <c r="O305" s="3" t="n">
        <v>-0.7816170251115839</v>
      </c>
      <c r="P305" s="3" t="n">
        <v>-0.7816170251115839</v>
      </c>
      <c r="Q305" s="3" t="n">
        <v>-0.7816170251115839</v>
      </c>
      <c r="R305" s="3" t="n">
        <v>-0.7697659489956308</v>
      </c>
      <c r="S305" s="3" t="n">
        <v>-0.9595531871978272</v>
      </c>
      <c r="T305" s="3" t="n">
        <v>-0.7081063859006191</v>
      </c>
      <c r="U305" s="3" t="n">
        <v>-0.8454680810583398</v>
      </c>
      <c r="V305" s="3" t="n">
        <v>-0.6750000017754575</v>
      </c>
      <c r="W305" s="3" t="n">
        <v>-0.4799574455048176</v>
      </c>
      <c r="X305" s="3" t="n">
        <v>-0.9571489362006492</v>
      </c>
      <c r="Y305" s="3" t="n">
        <v>-0.7816170251115839</v>
      </c>
      <c r="Z305" s="3" t="n">
        <v>-0.9595531871978272</v>
      </c>
      <c r="AA305" s="3" t="n">
        <v>-0.9595531871978272</v>
      </c>
      <c r="AB305" s="3" t="n">
        <v>-0.9571489362006492</v>
      </c>
      <c r="AC305" s="3" t="n">
        <v>-1.025723396463597</v>
      </c>
      <c r="AD305" s="3" t="n">
        <v>-0.8454680810583398</v>
      </c>
      <c r="AE305" s="3" t="n">
        <v>-0.8454680810583398</v>
      </c>
    </row>
    <row r="306">
      <c r="A306" s="3" t="inlineStr">
        <is>
          <t>BRB.distn.dec.ove.mean.6</t>
        </is>
      </c>
      <c r="B306" s="3" t="inlineStr">
        <is>
          <t>BRB</t>
        </is>
      </c>
      <c r="C306" s="3" t="n">
        <v>2005</v>
      </c>
      <c r="D306" s="3" t="inlineStr">
        <is>
          <t>Overall</t>
        </is>
      </c>
      <c r="E306" s="3" t="inlineStr">
        <is>
          <t>Deciles</t>
        </is>
      </c>
      <c r="F306" s="3" t="inlineStr">
        <is>
          <t>mean</t>
        </is>
      </c>
      <c r="G306" s="3" t="n">
        <v>6</v>
      </c>
      <c r="H306" s="3" t="n">
        <v>-0.7816170251115839</v>
      </c>
      <c r="I306" s="3" t="n">
        <v>-0.7816170251115839</v>
      </c>
      <c r="J306" s="3" t="n">
        <v>-0.8454680810583398</v>
      </c>
      <c r="K306" s="3" t="n">
        <v>-0.8454680810583398</v>
      </c>
      <c r="L306" s="3" t="n">
        <v>-0.7816170251115839</v>
      </c>
      <c r="M306" s="3" t="n">
        <v>-0.7816170251115839</v>
      </c>
      <c r="N306" s="3" t="n">
        <v>-0.7816170251115839</v>
      </c>
      <c r="O306" s="3" t="n">
        <v>-0.7816170251115839</v>
      </c>
      <c r="P306" s="3" t="n">
        <v>-0.7816170251115839</v>
      </c>
      <c r="Q306" s="3" t="n">
        <v>-0.7816170251115839</v>
      </c>
      <c r="R306" s="3" t="n">
        <v>-0.7697659489956308</v>
      </c>
      <c r="S306" s="3" t="n">
        <v>-0.9595531871978272</v>
      </c>
      <c r="T306" s="3" t="n">
        <v>-0.7081063859006191</v>
      </c>
      <c r="U306" s="3" t="n">
        <v>-0.8454680810583398</v>
      </c>
      <c r="V306" s="3" t="n">
        <v>-0.6750000017754575</v>
      </c>
      <c r="W306" s="3" t="n">
        <v>-0.4799574455048176</v>
      </c>
      <c r="X306" s="3" t="n">
        <v>-0.9571489362006492</v>
      </c>
      <c r="Y306" s="3" t="n">
        <v>-0.7816170251115839</v>
      </c>
      <c r="Z306" s="3" t="n">
        <v>-0.9595531871978272</v>
      </c>
      <c r="AA306" s="3" t="n">
        <v>-0.9595531871978272</v>
      </c>
      <c r="AB306" s="3" t="n">
        <v>-0.9571489362006492</v>
      </c>
      <c r="AC306" s="3" t="n">
        <v>-1.025723396463597</v>
      </c>
      <c r="AD306" s="3" t="n">
        <v>-0.8454680810583398</v>
      </c>
      <c r="AE306" s="3" t="n">
        <v>-0.8454680810583398</v>
      </c>
    </row>
    <row r="307">
      <c r="A307" s="3" t="inlineStr">
        <is>
          <t>BRB.distn.dec.ove.mean.7</t>
        </is>
      </c>
      <c r="B307" s="3" t="inlineStr">
        <is>
          <t>BRB</t>
        </is>
      </c>
      <c r="C307" s="3" t="n">
        <v>2005</v>
      </c>
      <c r="D307" s="3" t="inlineStr">
        <is>
          <t>Overall</t>
        </is>
      </c>
      <c r="E307" s="3" t="inlineStr">
        <is>
          <t>Deciles</t>
        </is>
      </c>
      <c r="F307" s="3" t="inlineStr">
        <is>
          <t>mean</t>
        </is>
      </c>
      <c r="G307" s="3" t="n">
        <v>7</v>
      </c>
      <c r="H307" s="3" t="n">
        <v>-0.7816170251115839</v>
      </c>
      <c r="I307" s="3" t="n">
        <v>-0.7816170251115839</v>
      </c>
      <c r="J307" s="3" t="n">
        <v>-0.8454680810583398</v>
      </c>
      <c r="K307" s="3" t="n">
        <v>-0.8454680810583398</v>
      </c>
      <c r="L307" s="3" t="n">
        <v>-0.7816170251115839</v>
      </c>
      <c r="M307" s="3" t="n">
        <v>-0.7816170251115839</v>
      </c>
      <c r="N307" s="3" t="n">
        <v>-0.7816170251115839</v>
      </c>
      <c r="O307" s="3" t="n">
        <v>-0.7816170251115839</v>
      </c>
      <c r="P307" s="3" t="n">
        <v>-0.7816170251115839</v>
      </c>
      <c r="Q307" s="3" t="n">
        <v>-0.7816170251115839</v>
      </c>
      <c r="R307" s="3" t="n">
        <v>-0.7697659489956308</v>
      </c>
      <c r="S307" s="3" t="n">
        <v>-0.9595531871978272</v>
      </c>
      <c r="T307" s="3" t="n">
        <v>-0.7081063859006191</v>
      </c>
      <c r="U307" s="3" t="n">
        <v>-0.8454680810583398</v>
      </c>
      <c r="V307" s="3" t="n">
        <v>-0.6750000017754575</v>
      </c>
      <c r="W307" s="3" t="n">
        <v>-0.4799574455048176</v>
      </c>
      <c r="X307" s="3" t="n">
        <v>-0.9571489362006492</v>
      </c>
      <c r="Y307" s="3" t="n">
        <v>-0.7816170251115839</v>
      </c>
      <c r="Z307" s="3" t="n">
        <v>-0.9595531871978272</v>
      </c>
      <c r="AA307" s="3" t="n">
        <v>-0.9595531871978272</v>
      </c>
      <c r="AB307" s="3" t="n">
        <v>-0.9571489362006492</v>
      </c>
      <c r="AC307" s="3" t="n">
        <v>-1.025723396463597</v>
      </c>
      <c r="AD307" s="3" t="n">
        <v>-0.8454680810583398</v>
      </c>
      <c r="AE307" s="3" t="n">
        <v>-0.8454680810583398</v>
      </c>
    </row>
    <row r="308">
      <c r="A308" s="3" t="inlineStr">
        <is>
          <t>BRB.distn.dec.ove.mean.8</t>
        </is>
      </c>
      <c r="B308" s="3" t="inlineStr">
        <is>
          <t>BRB</t>
        </is>
      </c>
      <c r="C308" s="3" t="n">
        <v>2005</v>
      </c>
      <c r="D308" s="3" t="inlineStr">
        <is>
          <t>Overall</t>
        </is>
      </c>
      <c r="E308" s="3" t="inlineStr">
        <is>
          <t>Deciles</t>
        </is>
      </c>
      <c r="F308" s="3" t="inlineStr">
        <is>
          <t>mean</t>
        </is>
      </c>
      <c r="G308" s="3" t="n">
        <v>8</v>
      </c>
      <c r="H308" s="3" t="n">
        <v>-0.7819935831617801</v>
      </c>
      <c r="I308" s="3" t="n">
        <v>-0.7819935831617801</v>
      </c>
      <c r="J308" s="3" t="n">
        <v>-0.8477488045996808</v>
      </c>
      <c r="K308" s="3" t="n">
        <v>-0.8477488045996808</v>
      </c>
      <c r="L308" s="3" t="n">
        <v>-0.7819935831617801</v>
      </c>
      <c r="M308" s="3" t="n">
        <v>-0.7819935831617801</v>
      </c>
      <c r="N308" s="3" t="n">
        <v>-0.7819935831617801</v>
      </c>
      <c r="O308" s="3" t="n">
        <v>-0.7819935831617801</v>
      </c>
      <c r="P308" s="3" t="n">
        <v>-0.7819935831617801</v>
      </c>
      <c r="Q308" s="3" t="n">
        <v>-0.7819935831617801</v>
      </c>
      <c r="R308" s="3" t="n">
        <v>-0.7700191178220384</v>
      </c>
      <c r="S308" s="3" t="n">
        <v>-0.9684819490351575</v>
      </c>
      <c r="T308" s="3" t="n">
        <v>-0.70814722142321</v>
      </c>
      <c r="U308" s="3" t="n">
        <v>-0.8477488045996808</v>
      </c>
      <c r="V308" s="3" t="n">
        <v>-0.6756977857427394</v>
      </c>
      <c r="W308" s="3" t="n">
        <v>-0.4928101326556916</v>
      </c>
      <c r="X308" s="3" t="n">
        <v>-0.9658704755154062</v>
      </c>
      <c r="Y308" s="3" t="n">
        <v>-0.7819935831617801</v>
      </c>
      <c r="Z308" s="3" t="n">
        <v>-0.9684819490351575</v>
      </c>
      <c r="AA308" s="3" t="n">
        <v>-0.9684819490351575</v>
      </c>
      <c r="AB308" s="3" t="n">
        <v>-0.9658704755154062</v>
      </c>
      <c r="AC308" s="3" t="n">
        <v>-1.04035159628442</v>
      </c>
      <c r="AD308" s="3" t="n">
        <v>-0.8477488045996808</v>
      </c>
      <c r="AE308" s="3" t="n">
        <v>-0.8477488045996808</v>
      </c>
    </row>
    <row r="309">
      <c r="A309" s="3" t="inlineStr">
        <is>
          <t>BRB.distn.dec.ove.mean.9</t>
        </is>
      </c>
      <c r="B309" s="3" t="inlineStr">
        <is>
          <t>BRB</t>
        </is>
      </c>
      <c r="C309" s="3" t="n">
        <v>2005</v>
      </c>
      <c r="D309" s="3" t="inlineStr">
        <is>
          <t>Overall</t>
        </is>
      </c>
      <c r="E309" s="3" t="inlineStr">
        <is>
          <t>Deciles</t>
        </is>
      </c>
      <c r="F309" s="3" t="inlineStr">
        <is>
          <t>mean</t>
        </is>
      </c>
      <c r="G309" s="3" t="n">
        <v>9</v>
      </c>
      <c r="H309" s="3" t="n">
        <v>-0.7819935831617801</v>
      </c>
      <c r="I309" s="3" t="n">
        <v>-0.7819935831617801</v>
      </c>
      <c r="J309" s="3" t="n">
        <v>-0.8477488045996808</v>
      </c>
      <c r="K309" s="3" t="n">
        <v>-0.8477488045996808</v>
      </c>
      <c r="L309" s="3" t="n">
        <v>-0.7819935831617801</v>
      </c>
      <c r="M309" s="3" t="n">
        <v>-0.7819935831617801</v>
      </c>
      <c r="N309" s="3" t="n">
        <v>-0.7819935831617801</v>
      </c>
      <c r="O309" s="3" t="n">
        <v>-0.7819935831617801</v>
      </c>
      <c r="P309" s="3" t="n">
        <v>-0.7819935831617801</v>
      </c>
      <c r="Q309" s="3" t="n">
        <v>-0.7819935831617801</v>
      </c>
      <c r="R309" s="3" t="n">
        <v>-0.7700191178220384</v>
      </c>
      <c r="S309" s="3" t="n">
        <v>-0.9684819490351575</v>
      </c>
      <c r="T309" s="3" t="n">
        <v>-0.70814722142321</v>
      </c>
      <c r="U309" s="3" t="n">
        <v>-0.8477488045996808</v>
      </c>
      <c r="V309" s="3" t="n">
        <v>-0.6756977857427394</v>
      </c>
      <c r="W309" s="3" t="n">
        <v>-0.4928101326556916</v>
      </c>
      <c r="X309" s="3" t="n">
        <v>-0.9658704755154062</v>
      </c>
      <c r="Y309" s="3" t="n">
        <v>-0.7819935831617801</v>
      </c>
      <c r="Z309" s="3" t="n">
        <v>-0.9684819490351575</v>
      </c>
      <c r="AA309" s="3" t="n">
        <v>-0.9684819490351575</v>
      </c>
      <c r="AB309" s="3" t="n">
        <v>-0.9658704755154062</v>
      </c>
      <c r="AC309" s="3" t="n">
        <v>-1.04035159628442</v>
      </c>
      <c r="AD309" s="3" t="n">
        <v>-0.8477488045996808</v>
      </c>
      <c r="AE309" s="3" t="n">
        <v>-0.8477488045996808</v>
      </c>
    </row>
    <row r="310">
      <c r="A310" s="3" t="inlineStr">
        <is>
          <t>BRB.distn.dec.ove.mean.10</t>
        </is>
      </c>
      <c r="B310" s="3" t="inlineStr">
        <is>
          <t>BRB</t>
        </is>
      </c>
      <c r="C310" s="3" t="n">
        <v>2005</v>
      </c>
      <c r="D310" s="3" t="inlineStr">
        <is>
          <t>Overall</t>
        </is>
      </c>
      <c r="E310" s="3" t="inlineStr">
        <is>
          <t>Deciles</t>
        </is>
      </c>
      <c r="F310" s="3" t="inlineStr">
        <is>
          <t>mean</t>
        </is>
      </c>
      <c r="G310" s="3" t="n">
        <v>10</v>
      </c>
      <c r="H310" s="3" t="n">
        <v>-0.7819935831617801</v>
      </c>
      <c r="I310" s="3" t="n">
        <v>-0.7819935831617801</v>
      </c>
      <c r="J310" s="3" t="n">
        <v>-0.8477488045996808</v>
      </c>
      <c r="K310" s="3" t="n">
        <v>-0.8477488045996808</v>
      </c>
      <c r="L310" s="3" t="n">
        <v>-0.7819935831617801</v>
      </c>
      <c r="M310" s="3" t="n">
        <v>-0.7819935831617801</v>
      </c>
      <c r="N310" s="3" t="n">
        <v>-0.7819935831617801</v>
      </c>
      <c r="O310" s="3" t="n">
        <v>-0.7819935831617801</v>
      </c>
      <c r="P310" s="3" t="n">
        <v>-0.7819935831617801</v>
      </c>
      <c r="Q310" s="3" t="n">
        <v>-0.7819935831617801</v>
      </c>
      <c r="R310" s="3" t="n">
        <v>-0.7700191178220384</v>
      </c>
      <c r="S310" s="3" t="n">
        <v>-0.9684819490351575</v>
      </c>
      <c r="T310" s="3" t="n">
        <v>-0.70814722142321</v>
      </c>
      <c r="U310" s="3" t="n">
        <v>-0.8477488045996808</v>
      </c>
      <c r="V310" s="3" t="n">
        <v>-0.6756977857427394</v>
      </c>
      <c r="W310" s="3" t="n">
        <v>-0.4928101326556916</v>
      </c>
      <c r="X310" s="3" t="n">
        <v>-0.9658704755154062</v>
      </c>
      <c r="Y310" s="3" t="n">
        <v>-0.7819935831617801</v>
      </c>
      <c r="Z310" s="3" t="n">
        <v>-0.9684819490351575</v>
      </c>
      <c r="AA310" s="3" t="n">
        <v>-0.9684819490351575</v>
      </c>
      <c r="AB310" s="3" t="n">
        <v>-0.9658704755154062</v>
      </c>
      <c r="AC310" s="3" t="n">
        <v>-1.04035159628442</v>
      </c>
      <c r="AD310" s="3" t="n">
        <v>-0.8477488045996808</v>
      </c>
      <c r="AE310" s="3" t="n">
        <v>-0.8477488045996808</v>
      </c>
    </row>
    <row r="311">
      <c r="A311" s="3" t="inlineStr">
        <is>
          <t>BRB.distn.bkt.ove.mean.9999</t>
        </is>
      </c>
      <c r="B311" s="3" t="inlineStr">
        <is>
          <t>BRB</t>
        </is>
      </c>
      <c r="C311" s="3" t="n">
        <v>2005</v>
      </c>
      <c r="D311" s="3" t="inlineStr">
        <is>
          <t>Overall</t>
        </is>
      </c>
      <c r="E311" s="3" t="inlineStr">
        <is>
          <t>Basket</t>
        </is>
      </c>
      <c r="F311" s="3" t="inlineStr">
        <is>
          <t>mean</t>
        </is>
      </c>
      <c r="G311" s="3" t="n">
        <v>9999</v>
      </c>
      <c r="H311" s="3" t="n">
        <v>-0.7836013613863194</v>
      </c>
      <c r="I311" s="3" t="n">
        <v>-0.7836013613863194</v>
      </c>
      <c r="J311" s="3" t="n">
        <v>-0.8590307616172953</v>
      </c>
      <c r="K311" s="3" t="n">
        <v>-0.8590307616172953</v>
      </c>
      <c r="L311" s="3" t="n">
        <v>-0.7836013613863194</v>
      </c>
      <c r="M311" s="3" t="n">
        <v>-0.7836013613863194</v>
      </c>
      <c r="N311" s="3" t="n">
        <v>-0.7836013613863194</v>
      </c>
      <c r="O311" s="3" t="n">
        <v>-0.7836013613863194</v>
      </c>
      <c r="P311" s="3" t="n">
        <v>-0.7836013613863194</v>
      </c>
      <c r="Q311" s="3" t="n">
        <v>-0.7836013613863194</v>
      </c>
      <c r="R311" s="3" t="n">
        <v>-0.7708828220976159</v>
      </c>
      <c r="S311" s="3" t="n">
        <v>-1.097007578991829</v>
      </c>
      <c r="T311" s="3" t="n">
        <v>-0.7085544974245923</v>
      </c>
      <c r="U311" s="3" t="n">
        <v>-0.8590307616172953</v>
      </c>
      <c r="V311" s="3" t="n">
        <v>-0.6772896647453308</v>
      </c>
      <c r="W311" s="3" t="n">
        <v>-0.5109122699879586</v>
      </c>
      <c r="X311" s="3" t="n">
        <v>-1.079493910708326</v>
      </c>
      <c r="Y311" s="3" t="n">
        <v>-0.7836013613863194</v>
      </c>
      <c r="Z311" s="3" t="n">
        <v>-1.097007578991829</v>
      </c>
      <c r="AA311" s="3" t="n">
        <v>-1.097007578991829</v>
      </c>
      <c r="AB311" s="3" t="n">
        <v>-1.079493910708326</v>
      </c>
      <c r="AC311" s="3" t="n">
        <v>-1.359592239907447</v>
      </c>
      <c r="AD311" s="3" t="n">
        <v>-0.8590307616172953</v>
      </c>
      <c r="AE311" s="3" t="n">
        <v>-0.8590307616172953</v>
      </c>
    </row>
    <row r="312">
      <c r="A312" s="3" t="inlineStr">
        <is>
          <t>BRN.distn.dec.ove.mean.1</t>
        </is>
      </c>
      <c r="B312" s="3" t="inlineStr">
        <is>
          <t>BRN</t>
        </is>
      </c>
      <c r="C312" s="3" t="n">
        <v>2005</v>
      </c>
      <c r="D312" s="3" t="inlineStr">
        <is>
          <t>Overall</t>
        </is>
      </c>
      <c r="E312" s="3" t="inlineStr">
        <is>
          <t>Deciles</t>
        </is>
      </c>
      <c r="F312" s="3" t="inlineStr">
        <is>
          <t>mean</t>
        </is>
      </c>
      <c r="G312" s="3" t="n">
        <v>1</v>
      </c>
      <c r="H312" s="3" t="n">
        <v>-0.7872329354286194</v>
      </c>
      <c r="I312" s="3" t="n">
        <v>-0.7872329354286194</v>
      </c>
      <c r="J312" s="3" t="n">
        <v>-0.8826505541801453</v>
      </c>
      <c r="K312" s="3" t="n">
        <v>-0.8826505541801453</v>
      </c>
      <c r="L312" s="3" t="n">
        <v>-0.7872329354286194</v>
      </c>
      <c r="M312" s="3" t="n">
        <v>-0.7872329354286194</v>
      </c>
      <c r="N312" s="3" t="n">
        <v>-0.7872329354286194</v>
      </c>
      <c r="O312" s="3" t="n">
        <v>-0.7872329354286194</v>
      </c>
      <c r="P312" s="3" t="n">
        <v>-0.7872329354286194</v>
      </c>
      <c r="Q312" s="3" t="n">
        <v>-0.7872329354286194</v>
      </c>
      <c r="R312" s="3" t="n">
        <v>-0.772466242313385</v>
      </c>
      <c r="S312" s="3" t="n">
        <v>-1.375693321228027</v>
      </c>
      <c r="T312" s="3" t="n">
        <v>-0.7094525694847107</v>
      </c>
      <c r="U312" s="3" t="n">
        <v>-0.8826505541801453</v>
      </c>
      <c r="V312" s="3" t="n">
        <v>-0.6799138784408569</v>
      </c>
      <c r="W312" s="3" t="n">
        <v>-0.5346919298171997</v>
      </c>
      <c r="X312" s="3" t="n">
        <v>-1.324859738349915</v>
      </c>
      <c r="Y312" s="3" t="n">
        <v>-0.7872329354286194</v>
      </c>
      <c r="Z312" s="3" t="n">
        <v>-1.375693321228027</v>
      </c>
      <c r="AA312" s="3" t="n">
        <v>-1.375693321228027</v>
      </c>
      <c r="AB312" s="3" t="n">
        <v>-1.324859738349915</v>
      </c>
      <c r="AC312" s="3" t="n">
        <v>-2.045876502990723</v>
      </c>
      <c r="AD312" s="3" t="n">
        <v>-0.8826505541801453</v>
      </c>
      <c r="AE312" s="3" t="n">
        <v>-0.8826505541801453</v>
      </c>
    </row>
    <row r="313">
      <c r="A313" s="3" t="inlineStr">
        <is>
          <t>BRN.distn.dec.ove.mean.2</t>
        </is>
      </c>
      <c r="B313" s="3" t="inlineStr">
        <is>
          <t>BRN</t>
        </is>
      </c>
      <c r="C313" s="3" t="n">
        <v>2005</v>
      </c>
      <c r="D313" s="3" t="inlineStr">
        <is>
          <t>Overall</t>
        </is>
      </c>
      <c r="E313" s="3" t="inlineStr">
        <is>
          <t>Deciles</t>
        </is>
      </c>
      <c r="F313" s="3" t="inlineStr">
        <is>
          <t>mean</t>
        </is>
      </c>
      <c r="G313" s="3" t="n">
        <v>2</v>
      </c>
      <c r="H313" s="3" t="n">
        <v>-0.7872329354286194</v>
      </c>
      <c r="I313" s="3" t="n">
        <v>-0.7872329354286194</v>
      </c>
      <c r="J313" s="3" t="n">
        <v>-0.8826505541801453</v>
      </c>
      <c r="K313" s="3" t="n">
        <v>-0.8826505541801453</v>
      </c>
      <c r="L313" s="3" t="n">
        <v>-0.7872329354286194</v>
      </c>
      <c r="M313" s="3" t="n">
        <v>-0.7872329354286194</v>
      </c>
      <c r="N313" s="3" t="n">
        <v>-0.7872329354286194</v>
      </c>
      <c r="O313" s="3" t="n">
        <v>-0.7872329354286194</v>
      </c>
      <c r="P313" s="3" t="n">
        <v>-0.7872329354286194</v>
      </c>
      <c r="Q313" s="3" t="n">
        <v>-0.7872329354286194</v>
      </c>
      <c r="R313" s="3" t="n">
        <v>-0.772466242313385</v>
      </c>
      <c r="S313" s="3" t="n">
        <v>-1.375693321228027</v>
      </c>
      <c r="T313" s="3" t="n">
        <v>-0.7094525694847107</v>
      </c>
      <c r="U313" s="3" t="n">
        <v>-0.8826505541801453</v>
      </c>
      <c r="V313" s="3" t="n">
        <v>-0.6799138784408569</v>
      </c>
      <c r="W313" s="3" t="n">
        <v>-0.5346919298171997</v>
      </c>
      <c r="X313" s="3" t="n">
        <v>-1.324859738349915</v>
      </c>
      <c r="Y313" s="3" t="n">
        <v>-0.7872329354286194</v>
      </c>
      <c r="Z313" s="3" t="n">
        <v>-1.375693321228027</v>
      </c>
      <c r="AA313" s="3" t="n">
        <v>-1.375693321228027</v>
      </c>
      <c r="AB313" s="3" t="n">
        <v>-1.324859738349915</v>
      </c>
      <c r="AC313" s="3" t="n">
        <v>-2.045876502990723</v>
      </c>
      <c r="AD313" s="3" t="n">
        <v>-0.8826505541801453</v>
      </c>
      <c r="AE313" s="3" t="n">
        <v>-0.8826505541801453</v>
      </c>
    </row>
    <row r="314">
      <c r="A314" s="3" t="inlineStr">
        <is>
          <t>BRN.distn.dec.ove.mean.3</t>
        </is>
      </c>
      <c r="B314" s="3" t="inlineStr">
        <is>
          <t>BRN</t>
        </is>
      </c>
      <c r="C314" s="3" t="n">
        <v>2005</v>
      </c>
      <c r="D314" s="3" t="inlineStr">
        <is>
          <t>Overall</t>
        </is>
      </c>
      <c r="E314" s="3" t="inlineStr">
        <is>
          <t>Deciles</t>
        </is>
      </c>
      <c r="F314" s="3" t="inlineStr">
        <is>
          <t>mean</t>
        </is>
      </c>
      <c r="G314" s="3" t="n">
        <v>3</v>
      </c>
      <c r="H314" s="3" t="n">
        <v>-0.7872329354286194</v>
      </c>
      <c r="I314" s="3" t="n">
        <v>-0.7872329354286194</v>
      </c>
      <c r="J314" s="3" t="n">
        <v>-0.8826505541801453</v>
      </c>
      <c r="K314" s="3" t="n">
        <v>-0.8826505541801453</v>
      </c>
      <c r="L314" s="3" t="n">
        <v>-0.7872329354286194</v>
      </c>
      <c r="M314" s="3" t="n">
        <v>-0.7872329354286194</v>
      </c>
      <c r="N314" s="3" t="n">
        <v>-0.7872329354286194</v>
      </c>
      <c r="O314" s="3" t="n">
        <v>-0.7872329354286194</v>
      </c>
      <c r="P314" s="3" t="n">
        <v>-0.7872329354286194</v>
      </c>
      <c r="Q314" s="3" t="n">
        <v>-0.7872329354286194</v>
      </c>
      <c r="R314" s="3" t="n">
        <v>-0.772466242313385</v>
      </c>
      <c r="S314" s="3" t="n">
        <v>-1.375693321228027</v>
      </c>
      <c r="T314" s="3" t="n">
        <v>-0.7094525694847107</v>
      </c>
      <c r="U314" s="3" t="n">
        <v>-0.8826505541801453</v>
      </c>
      <c r="V314" s="3" t="n">
        <v>-0.6799138784408569</v>
      </c>
      <c r="W314" s="3" t="n">
        <v>-0.5346919298171997</v>
      </c>
      <c r="X314" s="3" t="n">
        <v>-1.324859738349915</v>
      </c>
      <c r="Y314" s="3" t="n">
        <v>-0.7872329354286194</v>
      </c>
      <c r="Z314" s="3" t="n">
        <v>-1.375693321228027</v>
      </c>
      <c r="AA314" s="3" t="n">
        <v>-1.375693321228027</v>
      </c>
      <c r="AB314" s="3" t="n">
        <v>-1.324859738349915</v>
      </c>
      <c r="AC314" s="3" t="n">
        <v>-2.045876502990723</v>
      </c>
      <c r="AD314" s="3" t="n">
        <v>-0.8826505541801453</v>
      </c>
      <c r="AE314" s="3" t="n">
        <v>-0.8826505541801453</v>
      </c>
    </row>
    <row r="315">
      <c r="A315" s="3" t="inlineStr">
        <is>
          <t>BRN.distn.dec.ove.mean.4</t>
        </is>
      </c>
      <c r="B315" s="3" t="inlineStr">
        <is>
          <t>BRN</t>
        </is>
      </c>
      <c r="C315" s="3" t="n">
        <v>2005</v>
      </c>
      <c r="D315" s="3" t="inlineStr">
        <is>
          <t>Overall</t>
        </is>
      </c>
      <c r="E315" s="3" t="inlineStr">
        <is>
          <t>Deciles</t>
        </is>
      </c>
      <c r="F315" s="3" t="inlineStr">
        <is>
          <t>mean</t>
        </is>
      </c>
      <c r="G315" s="3" t="n">
        <v>4</v>
      </c>
      <c r="H315" s="3" t="n">
        <v>-0.781000018119812</v>
      </c>
      <c r="I315" s="3" t="n">
        <v>-0.781000018119812</v>
      </c>
      <c r="J315" s="3" t="n">
        <v>-0.8399999737739563</v>
      </c>
      <c r="K315" s="3" t="n">
        <v>-0.8399999737739563</v>
      </c>
      <c r="L315" s="3" t="n">
        <v>-0.781000018119812</v>
      </c>
      <c r="M315" s="3" t="n">
        <v>-0.781000018119812</v>
      </c>
      <c r="N315" s="3" t="n">
        <v>-0.781000018119812</v>
      </c>
      <c r="O315" s="3" t="n">
        <v>-0.781000018119812</v>
      </c>
      <c r="P315" s="3" t="n">
        <v>-0.781000018119812</v>
      </c>
      <c r="Q315" s="3" t="n">
        <v>-0.781000018119812</v>
      </c>
      <c r="R315" s="3" t="n">
        <v>-0.7689999938011169</v>
      </c>
      <c r="S315" s="3" t="n">
        <v>-0.9369999766349792</v>
      </c>
      <c r="T315" s="3" t="n">
        <v>-0.7080000042915344</v>
      </c>
      <c r="U315" s="3" t="n">
        <v>-0.8399999737739563</v>
      </c>
      <c r="V315" s="3" t="n">
        <v>-0.6729999780654907</v>
      </c>
      <c r="W315" s="3" t="n">
        <v>-0.449999988079071</v>
      </c>
      <c r="X315" s="3" t="n">
        <v>-0.9350000023841858</v>
      </c>
      <c r="Y315" s="3" t="n">
        <v>-0.781000018119812</v>
      </c>
      <c r="Z315" s="3" t="n">
        <v>-0.9369999766349792</v>
      </c>
      <c r="AA315" s="3" t="n">
        <v>-0.9369999766349792</v>
      </c>
      <c r="AB315" s="3" t="n">
        <v>-0.9350000023841858</v>
      </c>
      <c r="AC315" s="3" t="n">
        <v>-0.9879999756813049</v>
      </c>
      <c r="AD315" s="3" t="n">
        <v>-0.8399999737739563</v>
      </c>
      <c r="AE315" s="3" t="n">
        <v>-0.8399999737739563</v>
      </c>
    </row>
    <row r="316">
      <c r="A316" s="3" t="inlineStr">
        <is>
          <t>BRN.distn.dec.ove.mean.5</t>
        </is>
      </c>
      <c r="B316" s="3" t="inlineStr">
        <is>
          <t>BRN</t>
        </is>
      </c>
      <c r="C316" s="3" t="n">
        <v>2005</v>
      </c>
      <c r="D316" s="3" t="inlineStr">
        <is>
          <t>Overall</t>
        </is>
      </c>
      <c r="E316" s="3" t="inlineStr">
        <is>
          <t>Deciles</t>
        </is>
      </c>
      <c r="F316" s="3" t="inlineStr">
        <is>
          <t>mean</t>
        </is>
      </c>
      <c r="G316" s="3" t="n">
        <v>5</v>
      </c>
      <c r="H316" s="3" t="n">
        <v>-0.781000018119812</v>
      </c>
      <c r="I316" s="3" t="n">
        <v>-0.781000018119812</v>
      </c>
      <c r="J316" s="3" t="n">
        <v>-0.8399999737739563</v>
      </c>
      <c r="K316" s="3" t="n">
        <v>-0.8399999737739563</v>
      </c>
      <c r="L316" s="3" t="n">
        <v>-0.781000018119812</v>
      </c>
      <c r="M316" s="3" t="n">
        <v>-0.781000018119812</v>
      </c>
      <c r="N316" s="3" t="n">
        <v>-0.781000018119812</v>
      </c>
      <c r="O316" s="3" t="n">
        <v>-0.781000018119812</v>
      </c>
      <c r="P316" s="3" t="n">
        <v>-0.781000018119812</v>
      </c>
      <c r="Q316" s="3" t="n">
        <v>-0.781000018119812</v>
      </c>
      <c r="R316" s="3" t="n">
        <v>-0.7689999938011169</v>
      </c>
      <c r="S316" s="3" t="n">
        <v>-0.9369999766349792</v>
      </c>
      <c r="T316" s="3" t="n">
        <v>-0.7080000042915344</v>
      </c>
      <c r="U316" s="3" t="n">
        <v>-0.8399999737739563</v>
      </c>
      <c r="V316" s="3" t="n">
        <v>-0.6729999780654907</v>
      </c>
      <c r="W316" s="3" t="n">
        <v>-0.449999988079071</v>
      </c>
      <c r="X316" s="3" t="n">
        <v>-0.9350000023841858</v>
      </c>
      <c r="Y316" s="3" t="n">
        <v>-0.781000018119812</v>
      </c>
      <c r="Z316" s="3" t="n">
        <v>-0.9369999766349792</v>
      </c>
      <c r="AA316" s="3" t="n">
        <v>-0.9369999766349792</v>
      </c>
      <c r="AB316" s="3" t="n">
        <v>-0.9350000023841858</v>
      </c>
      <c r="AC316" s="3" t="n">
        <v>-0.9879999756813049</v>
      </c>
      <c r="AD316" s="3" t="n">
        <v>-0.8399999737739563</v>
      </c>
      <c r="AE316" s="3" t="n">
        <v>-0.8399999737739563</v>
      </c>
    </row>
    <row r="317">
      <c r="A317" s="3" t="inlineStr">
        <is>
          <t>BRN.distn.dec.ove.mean.6</t>
        </is>
      </c>
      <c r="B317" s="3" t="inlineStr">
        <is>
          <t>BRN</t>
        </is>
      </c>
      <c r="C317" s="3" t="n">
        <v>2005</v>
      </c>
      <c r="D317" s="3" t="inlineStr">
        <is>
          <t>Overall</t>
        </is>
      </c>
      <c r="E317" s="3" t="inlineStr">
        <is>
          <t>Deciles</t>
        </is>
      </c>
      <c r="F317" s="3" t="inlineStr">
        <is>
          <t>mean</t>
        </is>
      </c>
      <c r="G317" s="3" t="n">
        <v>6</v>
      </c>
      <c r="H317" s="3" t="n">
        <v>-0.781000018119812</v>
      </c>
      <c r="I317" s="3" t="n">
        <v>-0.781000018119812</v>
      </c>
      <c r="J317" s="3" t="n">
        <v>-0.8399999737739563</v>
      </c>
      <c r="K317" s="3" t="n">
        <v>-0.8399999737739563</v>
      </c>
      <c r="L317" s="3" t="n">
        <v>-0.781000018119812</v>
      </c>
      <c r="M317" s="3" t="n">
        <v>-0.781000018119812</v>
      </c>
      <c r="N317" s="3" t="n">
        <v>-0.781000018119812</v>
      </c>
      <c r="O317" s="3" t="n">
        <v>-0.781000018119812</v>
      </c>
      <c r="P317" s="3" t="n">
        <v>-0.781000018119812</v>
      </c>
      <c r="Q317" s="3" t="n">
        <v>-0.781000018119812</v>
      </c>
      <c r="R317" s="3" t="n">
        <v>-0.7689999938011169</v>
      </c>
      <c r="S317" s="3" t="n">
        <v>-0.9369999766349792</v>
      </c>
      <c r="T317" s="3" t="n">
        <v>-0.7080000042915344</v>
      </c>
      <c r="U317" s="3" t="n">
        <v>-0.8399999737739563</v>
      </c>
      <c r="V317" s="3" t="n">
        <v>-0.6729999780654907</v>
      </c>
      <c r="W317" s="3" t="n">
        <v>-0.449999988079071</v>
      </c>
      <c r="X317" s="3" t="n">
        <v>-0.9350000023841858</v>
      </c>
      <c r="Y317" s="3" t="n">
        <v>-0.781000018119812</v>
      </c>
      <c r="Z317" s="3" t="n">
        <v>-0.9369999766349792</v>
      </c>
      <c r="AA317" s="3" t="n">
        <v>-0.9369999766349792</v>
      </c>
      <c r="AB317" s="3" t="n">
        <v>-0.9350000023841858</v>
      </c>
      <c r="AC317" s="3" t="n">
        <v>-0.9879999756813049</v>
      </c>
      <c r="AD317" s="3" t="n">
        <v>-0.8399999737739563</v>
      </c>
      <c r="AE317" s="3" t="n">
        <v>-0.8399999737739563</v>
      </c>
    </row>
    <row r="318">
      <c r="A318" s="3" t="inlineStr">
        <is>
          <t>BRN.distn.dec.ove.mean.7</t>
        </is>
      </c>
      <c r="B318" s="3" t="inlineStr">
        <is>
          <t>BRN</t>
        </is>
      </c>
      <c r="C318" s="3" t="n">
        <v>2005</v>
      </c>
      <c r="D318" s="3" t="inlineStr">
        <is>
          <t>Overall</t>
        </is>
      </c>
      <c r="E318" s="3" t="inlineStr">
        <is>
          <t>Deciles</t>
        </is>
      </c>
      <c r="F318" s="3" t="inlineStr">
        <is>
          <t>mean</t>
        </is>
      </c>
      <c r="G318" s="3" t="n">
        <v>7</v>
      </c>
      <c r="H318" s="3" t="n">
        <v>-0.781000018119812</v>
      </c>
      <c r="I318" s="3" t="n">
        <v>-0.781000018119812</v>
      </c>
      <c r="J318" s="3" t="n">
        <v>-0.8399999737739563</v>
      </c>
      <c r="K318" s="3" t="n">
        <v>-0.8399999737739563</v>
      </c>
      <c r="L318" s="3" t="n">
        <v>-0.781000018119812</v>
      </c>
      <c r="M318" s="3" t="n">
        <v>-0.781000018119812</v>
      </c>
      <c r="N318" s="3" t="n">
        <v>-0.781000018119812</v>
      </c>
      <c r="O318" s="3" t="n">
        <v>-0.781000018119812</v>
      </c>
      <c r="P318" s="3" t="n">
        <v>-0.781000018119812</v>
      </c>
      <c r="Q318" s="3" t="n">
        <v>-0.781000018119812</v>
      </c>
      <c r="R318" s="3" t="n">
        <v>-0.7689999938011169</v>
      </c>
      <c r="S318" s="3" t="n">
        <v>-0.9369999766349792</v>
      </c>
      <c r="T318" s="3" t="n">
        <v>-0.7080000042915344</v>
      </c>
      <c r="U318" s="3" t="n">
        <v>-0.8399999737739563</v>
      </c>
      <c r="V318" s="3" t="n">
        <v>-0.6729999780654907</v>
      </c>
      <c r="W318" s="3" t="n">
        <v>-0.449999988079071</v>
      </c>
      <c r="X318" s="3" t="n">
        <v>-0.9350000023841858</v>
      </c>
      <c r="Y318" s="3" t="n">
        <v>-0.781000018119812</v>
      </c>
      <c r="Z318" s="3" t="n">
        <v>-0.9369999766349792</v>
      </c>
      <c r="AA318" s="3" t="n">
        <v>-0.9369999766349792</v>
      </c>
      <c r="AB318" s="3" t="n">
        <v>-0.9350000023841858</v>
      </c>
      <c r="AC318" s="3" t="n">
        <v>-0.9879999756813049</v>
      </c>
      <c r="AD318" s="3" t="n">
        <v>-0.8399999737739563</v>
      </c>
      <c r="AE318" s="3" t="n">
        <v>-0.8399999737739563</v>
      </c>
    </row>
    <row r="319">
      <c r="A319" s="3" t="inlineStr">
        <is>
          <t>BRN.distn.dec.ove.mean.8</t>
        </is>
      </c>
      <c r="B319" s="3" t="inlineStr">
        <is>
          <t>BRN</t>
        </is>
      </c>
      <c r="C319" s="3" t="n">
        <v>2005</v>
      </c>
      <c r="D319" s="3" t="inlineStr">
        <is>
          <t>Overall</t>
        </is>
      </c>
      <c r="E319" s="3" t="inlineStr">
        <is>
          <t>Deciles</t>
        </is>
      </c>
      <c r="F319" s="3" t="inlineStr">
        <is>
          <t>mean</t>
        </is>
      </c>
      <c r="G319" s="3" t="n">
        <v>8</v>
      </c>
      <c r="H319" s="3" t="n">
        <v>-0.7813762426376343</v>
      </c>
      <c r="I319" s="3" t="n">
        <v>-0.7813762426376343</v>
      </c>
      <c r="J319" s="3" t="n">
        <v>-0.8422659635543823</v>
      </c>
      <c r="K319" s="3" t="n">
        <v>-0.8422659635543823</v>
      </c>
      <c r="L319" s="3" t="n">
        <v>-0.7813762426376343</v>
      </c>
      <c r="M319" s="3" t="n">
        <v>-0.7813762426376343</v>
      </c>
      <c r="N319" s="3" t="n">
        <v>-0.7813762426376343</v>
      </c>
      <c r="O319" s="3" t="n">
        <v>-0.7813762426376343</v>
      </c>
      <c r="P319" s="3" t="n">
        <v>-0.7813762426376343</v>
      </c>
      <c r="Q319" s="3" t="n">
        <v>-0.7813762426376343</v>
      </c>
      <c r="R319" s="3" t="n">
        <v>-0.7692528963088989</v>
      </c>
      <c r="S319" s="3" t="n">
        <v>-0.9457188844680786</v>
      </c>
      <c r="T319" s="3" t="n">
        <v>-0.7080408334732056</v>
      </c>
      <c r="U319" s="3" t="n">
        <v>-0.8422659635543823</v>
      </c>
      <c r="V319" s="3" t="n">
        <v>-0.6736957430839539</v>
      </c>
      <c r="W319" s="3" t="n">
        <v>-0.4620504677295685</v>
      </c>
      <c r="X319" s="3" t="n">
        <v>-0.9435197114944458</v>
      </c>
      <c r="Y319" s="3" t="n">
        <v>-0.7813762426376343</v>
      </c>
      <c r="Z319" s="3" t="n">
        <v>-0.9457188844680786</v>
      </c>
      <c r="AA319" s="3" t="n">
        <v>-0.9457188844680786</v>
      </c>
      <c r="AB319" s="3" t="n">
        <v>-0.9435197114944458</v>
      </c>
      <c r="AC319" s="3" t="n">
        <v>-1.002090215682983</v>
      </c>
      <c r="AD319" s="3" t="n">
        <v>-0.8422659635543823</v>
      </c>
      <c r="AE319" s="3" t="n">
        <v>-0.8422659635543823</v>
      </c>
    </row>
    <row r="320">
      <c r="A320" s="3" t="inlineStr">
        <is>
          <t>BRN.distn.dec.ove.mean.9</t>
        </is>
      </c>
      <c r="B320" s="3" t="inlineStr">
        <is>
          <t>BRN</t>
        </is>
      </c>
      <c r="C320" s="3" t="n">
        <v>2005</v>
      </c>
      <c r="D320" s="3" t="inlineStr">
        <is>
          <t>Overall</t>
        </is>
      </c>
      <c r="E320" s="3" t="inlineStr">
        <is>
          <t>Deciles</t>
        </is>
      </c>
      <c r="F320" s="3" t="inlineStr">
        <is>
          <t>mean</t>
        </is>
      </c>
      <c r="G320" s="3" t="n">
        <v>9</v>
      </c>
      <c r="H320" s="3" t="n">
        <v>-0.7813762426376343</v>
      </c>
      <c r="I320" s="3" t="n">
        <v>-0.7813762426376343</v>
      </c>
      <c r="J320" s="3" t="n">
        <v>-0.8422659635543823</v>
      </c>
      <c r="K320" s="3" t="n">
        <v>-0.8422659635543823</v>
      </c>
      <c r="L320" s="3" t="n">
        <v>-0.7813762426376343</v>
      </c>
      <c r="M320" s="3" t="n">
        <v>-0.7813762426376343</v>
      </c>
      <c r="N320" s="3" t="n">
        <v>-0.7813762426376343</v>
      </c>
      <c r="O320" s="3" t="n">
        <v>-0.7813762426376343</v>
      </c>
      <c r="P320" s="3" t="n">
        <v>-0.7813762426376343</v>
      </c>
      <c r="Q320" s="3" t="n">
        <v>-0.7813762426376343</v>
      </c>
      <c r="R320" s="3" t="n">
        <v>-0.7692528963088989</v>
      </c>
      <c r="S320" s="3" t="n">
        <v>-0.9457188844680786</v>
      </c>
      <c r="T320" s="3" t="n">
        <v>-0.7080408334732056</v>
      </c>
      <c r="U320" s="3" t="n">
        <v>-0.8422659635543823</v>
      </c>
      <c r="V320" s="3" t="n">
        <v>-0.6736957430839539</v>
      </c>
      <c r="W320" s="3" t="n">
        <v>-0.4620504677295685</v>
      </c>
      <c r="X320" s="3" t="n">
        <v>-0.9435197114944458</v>
      </c>
      <c r="Y320" s="3" t="n">
        <v>-0.7813762426376343</v>
      </c>
      <c r="Z320" s="3" t="n">
        <v>-0.9457188844680786</v>
      </c>
      <c r="AA320" s="3" t="n">
        <v>-0.9457188844680786</v>
      </c>
      <c r="AB320" s="3" t="n">
        <v>-0.9435197114944458</v>
      </c>
      <c r="AC320" s="3" t="n">
        <v>-1.002090215682983</v>
      </c>
      <c r="AD320" s="3" t="n">
        <v>-0.8422659635543823</v>
      </c>
      <c r="AE320" s="3" t="n">
        <v>-0.8422659635543823</v>
      </c>
    </row>
    <row r="321">
      <c r="A321" s="3" t="inlineStr">
        <is>
          <t>BRN.distn.dec.ove.mean.10</t>
        </is>
      </c>
      <c r="B321" s="3" t="inlineStr">
        <is>
          <t>BRN</t>
        </is>
      </c>
      <c r="C321" s="3" t="n">
        <v>2005</v>
      </c>
      <c r="D321" s="3" t="inlineStr">
        <is>
          <t>Overall</t>
        </is>
      </c>
      <c r="E321" s="3" t="inlineStr">
        <is>
          <t>Deciles</t>
        </is>
      </c>
      <c r="F321" s="3" t="inlineStr">
        <is>
          <t>mean</t>
        </is>
      </c>
      <c r="G321" s="3" t="n">
        <v>10</v>
      </c>
      <c r="H321" s="3" t="n">
        <v>-0.7813762426376343</v>
      </c>
      <c r="I321" s="3" t="n">
        <v>-0.7813762426376343</v>
      </c>
      <c r="J321" s="3" t="n">
        <v>-0.8422659635543823</v>
      </c>
      <c r="K321" s="3" t="n">
        <v>-0.8422659635543823</v>
      </c>
      <c r="L321" s="3" t="n">
        <v>-0.7813762426376343</v>
      </c>
      <c r="M321" s="3" t="n">
        <v>-0.7813762426376343</v>
      </c>
      <c r="N321" s="3" t="n">
        <v>-0.7813762426376343</v>
      </c>
      <c r="O321" s="3" t="n">
        <v>-0.7813762426376343</v>
      </c>
      <c r="P321" s="3" t="n">
        <v>-0.7813762426376343</v>
      </c>
      <c r="Q321" s="3" t="n">
        <v>-0.7813762426376343</v>
      </c>
      <c r="R321" s="3" t="n">
        <v>-0.7692528963088989</v>
      </c>
      <c r="S321" s="3" t="n">
        <v>-0.9457188844680786</v>
      </c>
      <c r="T321" s="3" t="n">
        <v>-0.7080408334732056</v>
      </c>
      <c r="U321" s="3" t="n">
        <v>-0.8422659635543823</v>
      </c>
      <c r="V321" s="3" t="n">
        <v>-0.6736957430839539</v>
      </c>
      <c r="W321" s="3" t="n">
        <v>-0.4620504677295685</v>
      </c>
      <c r="X321" s="3" t="n">
        <v>-0.9435197114944458</v>
      </c>
      <c r="Y321" s="3" t="n">
        <v>-0.7813762426376343</v>
      </c>
      <c r="Z321" s="3" t="n">
        <v>-0.9457188844680786</v>
      </c>
      <c r="AA321" s="3" t="n">
        <v>-0.9457188844680786</v>
      </c>
      <c r="AB321" s="3" t="n">
        <v>-0.9435197114944458</v>
      </c>
      <c r="AC321" s="3" t="n">
        <v>-1.002090215682983</v>
      </c>
      <c r="AD321" s="3" t="n">
        <v>-0.8422659635543823</v>
      </c>
      <c r="AE321" s="3" t="n">
        <v>-0.8422659635543823</v>
      </c>
    </row>
    <row r="322">
      <c r="A322" s="3" t="inlineStr">
        <is>
          <t>BRN.distn.bkt.ove.mean.9999</t>
        </is>
      </c>
      <c r="B322" s="3" t="inlineStr">
        <is>
          <t>BRN</t>
        </is>
      </c>
      <c r="C322" s="3" t="n">
        <v>2005</v>
      </c>
      <c r="D322" s="3" t="inlineStr">
        <is>
          <t>Overall</t>
        </is>
      </c>
      <c r="E322" s="3" t="inlineStr">
        <is>
          <t>Basket</t>
        </is>
      </c>
      <c r="F322" s="3" t="inlineStr">
        <is>
          <t>mean</t>
        </is>
      </c>
      <c r="G322" s="3" t="n">
        <v>9999</v>
      </c>
      <c r="H322" s="3" t="n">
        <v>-0.7829827666282654</v>
      </c>
      <c r="I322" s="3" t="n">
        <v>-0.7829827666282654</v>
      </c>
      <c r="J322" s="3" t="n">
        <v>-0.8534749746322632</v>
      </c>
      <c r="K322" s="3" t="n">
        <v>-0.8534749746322632</v>
      </c>
      <c r="L322" s="3" t="n">
        <v>-0.7829827666282654</v>
      </c>
      <c r="M322" s="3" t="n">
        <v>-0.7829827666282654</v>
      </c>
      <c r="N322" s="3" t="n">
        <v>-0.7829827666282654</v>
      </c>
      <c r="O322" s="3" t="n">
        <v>-0.7829827666282654</v>
      </c>
      <c r="P322" s="3" t="n">
        <v>-0.7829827666282654</v>
      </c>
      <c r="Q322" s="3" t="n">
        <v>-0.7829827666282654</v>
      </c>
      <c r="R322" s="3" t="n">
        <v>-0.7701157331466675</v>
      </c>
      <c r="S322" s="3" t="n">
        <v>-1.071223616600037</v>
      </c>
      <c r="T322" s="3" t="n">
        <v>-0.708448052406311</v>
      </c>
      <c r="U322" s="3" t="n">
        <v>-0.8534749746322632</v>
      </c>
      <c r="V322" s="3" t="n">
        <v>-0.675282895565033</v>
      </c>
      <c r="W322" s="3" t="n">
        <v>-0.4790227115154266</v>
      </c>
      <c r="X322" s="3" t="n">
        <v>-1.054513812065125</v>
      </c>
      <c r="Y322" s="3" t="n">
        <v>-0.7829827666282654</v>
      </c>
      <c r="Z322" s="3" t="n">
        <v>-1.071223616600037</v>
      </c>
      <c r="AA322" s="3" t="n">
        <v>-1.071223616600037</v>
      </c>
      <c r="AB322" s="3" t="n">
        <v>-1.054513812065125</v>
      </c>
      <c r="AC322" s="3" t="n">
        <v>-1.309589982032776</v>
      </c>
      <c r="AD322" s="3" t="n">
        <v>-0.8534749746322632</v>
      </c>
      <c r="AE322" s="3" t="n">
        <v>-0.8534749746322632</v>
      </c>
    </row>
    <row r="323">
      <c r="A323" s="3" t="inlineStr">
        <is>
          <t>BTN.distn.dec.ove.mean.1</t>
        </is>
      </c>
      <c r="B323" s="3" t="inlineStr">
        <is>
          <t>BTN</t>
        </is>
      </c>
      <c r="C323" s="3" t="n">
        <v>2005</v>
      </c>
      <c r="D323" s="3" t="inlineStr">
        <is>
          <t>Overall</t>
        </is>
      </c>
      <c r="E323" s="3" t="inlineStr">
        <is>
          <t>Deciles</t>
        </is>
      </c>
      <c r="F323" s="3" t="inlineStr">
        <is>
          <t>mean</t>
        </is>
      </c>
      <c r="G323" s="3" t="n">
        <v>1</v>
      </c>
      <c r="H323" s="3" t="n">
        <v>-0.7932808399200439</v>
      </c>
      <c r="I323" s="3" t="n">
        <v>-0.7932808399200439</v>
      </c>
      <c r="J323" s="3" t="n">
        <v>-0.924681544303894</v>
      </c>
      <c r="K323" s="3" t="n">
        <v>-0.924681544303894</v>
      </c>
      <c r="L323" s="3" t="n">
        <v>-0.7932808399200439</v>
      </c>
      <c r="M323" s="3" t="n">
        <v>-0.7932808399200439</v>
      </c>
      <c r="N323" s="3" t="n">
        <v>-0.7932808399200439</v>
      </c>
      <c r="O323" s="3" t="n">
        <v>-0.7932808399200439</v>
      </c>
      <c r="P323" s="3" t="n">
        <v>-0.7932808399200439</v>
      </c>
      <c r="Q323" s="3" t="n">
        <v>-0.7932808399200439</v>
      </c>
      <c r="R323" s="3" t="n">
        <v>-0.7764842510223389</v>
      </c>
      <c r="S323" s="3" t="n">
        <v>-1.706035971641541</v>
      </c>
      <c r="T323" s="3" t="n">
        <v>-0.7104546427726746</v>
      </c>
      <c r="U323" s="3" t="n">
        <v>-0.924681544303894</v>
      </c>
      <c r="V323" s="3" t="n">
        <v>-0.6890063881874084</v>
      </c>
      <c r="W323" s="3" t="n">
        <v>-0.6772764325141907</v>
      </c>
      <c r="X323" s="3" t="n">
        <v>-1.633757591247559</v>
      </c>
      <c r="Y323" s="3" t="n">
        <v>-0.7932808399200439</v>
      </c>
      <c r="Z323" s="3" t="n">
        <v>-1.706035971641541</v>
      </c>
      <c r="AA323" s="3" t="n">
        <v>-1.706035971641541</v>
      </c>
      <c r="AB323" s="3" t="n">
        <v>-1.633757591247559</v>
      </c>
      <c r="AC323" s="3" t="n">
        <v>-3.062602758407593</v>
      </c>
      <c r="AD323" s="3" t="n">
        <v>-0.924681544303894</v>
      </c>
      <c r="AE323" s="3" t="n">
        <v>-0.924681544303894</v>
      </c>
    </row>
    <row r="324">
      <c r="A324" s="3" t="inlineStr">
        <is>
          <t>BTN.distn.dec.ove.mean.2</t>
        </is>
      </c>
      <c r="B324" s="3" t="inlineStr">
        <is>
          <t>BTN</t>
        </is>
      </c>
      <c r="C324" s="3" t="n">
        <v>2005</v>
      </c>
      <c r="D324" s="3" t="inlineStr">
        <is>
          <t>Overall</t>
        </is>
      </c>
      <c r="E324" s="3" t="inlineStr">
        <is>
          <t>Deciles</t>
        </is>
      </c>
      <c r="F324" s="3" t="inlineStr">
        <is>
          <t>mean</t>
        </is>
      </c>
      <c r="G324" s="3" t="n">
        <v>2</v>
      </c>
      <c r="H324" s="3" t="n">
        <v>-0.7932808399200439</v>
      </c>
      <c r="I324" s="3" t="n">
        <v>-0.7932808399200439</v>
      </c>
      <c r="J324" s="3" t="n">
        <v>-0.924681544303894</v>
      </c>
      <c r="K324" s="3" t="n">
        <v>-0.924681544303894</v>
      </c>
      <c r="L324" s="3" t="n">
        <v>-0.7932808399200439</v>
      </c>
      <c r="M324" s="3" t="n">
        <v>-0.7932808399200439</v>
      </c>
      <c r="N324" s="3" t="n">
        <v>-0.7932808399200439</v>
      </c>
      <c r="O324" s="3" t="n">
        <v>-0.7932808399200439</v>
      </c>
      <c r="P324" s="3" t="n">
        <v>-0.7932808399200439</v>
      </c>
      <c r="Q324" s="3" t="n">
        <v>-0.7932808399200439</v>
      </c>
      <c r="R324" s="3" t="n">
        <v>-0.7764842510223389</v>
      </c>
      <c r="S324" s="3" t="n">
        <v>-1.706035971641541</v>
      </c>
      <c r="T324" s="3" t="n">
        <v>-0.7104546427726746</v>
      </c>
      <c r="U324" s="3" t="n">
        <v>-0.924681544303894</v>
      </c>
      <c r="V324" s="3" t="n">
        <v>-0.6890063881874084</v>
      </c>
      <c r="W324" s="3" t="n">
        <v>-0.6772764325141907</v>
      </c>
      <c r="X324" s="3" t="n">
        <v>-1.633757591247559</v>
      </c>
      <c r="Y324" s="3" t="n">
        <v>-0.7932808399200439</v>
      </c>
      <c r="Z324" s="3" t="n">
        <v>-1.706035971641541</v>
      </c>
      <c r="AA324" s="3" t="n">
        <v>-1.706035971641541</v>
      </c>
      <c r="AB324" s="3" t="n">
        <v>-1.633757591247559</v>
      </c>
      <c r="AC324" s="3" t="n">
        <v>-3.062602758407593</v>
      </c>
      <c r="AD324" s="3" t="n">
        <v>-0.924681544303894</v>
      </c>
      <c r="AE324" s="3" t="n">
        <v>-0.924681544303894</v>
      </c>
    </row>
    <row r="325">
      <c r="A325" s="3" t="inlineStr">
        <is>
          <t>BTN.distn.dec.ove.mean.3</t>
        </is>
      </c>
      <c r="B325" s="3" t="inlineStr">
        <is>
          <t>BTN</t>
        </is>
      </c>
      <c r="C325" s="3" t="n">
        <v>2005</v>
      </c>
      <c r="D325" s="3" t="inlineStr">
        <is>
          <t>Overall</t>
        </is>
      </c>
      <c r="E325" s="3" t="inlineStr">
        <is>
          <t>Deciles</t>
        </is>
      </c>
      <c r="F325" s="3" t="inlineStr">
        <is>
          <t>mean</t>
        </is>
      </c>
      <c r="G325" s="3" t="n">
        <v>3</v>
      </c>
      <c r="H325" s="3" t="n">
        <v>-0.7932808399200439</v>
      </c>
      <c r="I325" s="3" t="n">
        <v>-0.7932808399200439</v>
      </c>
      <c r="J325" s="3" t="n">
        <v>-0.924681544303894</v>
      </c>
      <c r="K325" s="3" t="n">
        <v>-0.924681544303894</v>
      </c>
      <c r="L325" s="3" t="n">
        <v>-0.7932808399200439</v>
      </c>
      <c r="M325" s="3" t="n">
        <v>-0.7932808399200439</v>
      </c>
      <c r="N325" s="3" t="n">
        <v>-0.7932808399200439</v>
      </c>
      <c r="O325" s="3" t="n">
        <v>-0.7932808399200439</v>
      </c>
      <c r="P325" s="3" t="n">
        <v>-0.7932808399200439</v>
      </c>
      <c r="Q325" s="3" t="n">
        <v>-0.7932808399200439</v>
      </c>
      <c r="R325" s="3" t="n">
        <v>-0.7764842510223389</v>
      </c>
      <c r="S325" s="3" t="n">
        <v>-1.706035971641541</v>
      </c>
      <c r="T325" s="3" t="n">
        <v>-0.7104546427726746</v>
      </c>
      <c r="U325" s="3" t="n">
        <v>-0.924681544303894</v>
      </c>
      <c r="V325" s="3" t="n">
        <v>-0.6890063881874084</v>
      </c>
      <c r="W325" s="3" t="n">
        <v>-0.6772764325141907</v>
      </c>
      <c r="X325" s="3" t="n">
        <v>-1.633757591247559</v>
      </c>
      <c r="Y325" s="3" t="n">
        <v>-0.7932808399200439</v>
      </c>
      <c r="Z325" s="3" t="n">
        <v>-1.706035971641541</v>
      </c>
      <c r="AA325" s="3" t="n">
        <v>-1.706035971641541</v>
      </c>
      <c r="AB325" s="3" t="n">
        <v>-1.633757591247559</v>
      </c>
      <c r="AC325" s="3" t="n">
        <v>-3.062602758407593</v>
      </c>
      <c r="AD325" s="3" t="n">
        <v>-0.924681544303894</v>
      </c>
      <c r="AE325" s="3" t="n">
        <v>-0.924681544303894</v>
      </c>
    </row>
    <row r="326">
      <c r="A326" s="3" t="inlineStr">
        <is>
          <t>BTN.distn.dec.ove.mean.4</t>
        </is>
      </c>
      <c r="B326" s="3" t="inlineStr">
        <is>
          <t>BTN</t>
        </is>
      </c>
      <c r="C326" s="3" t="n">
        <v>2005</v>
      </c>
      <c r="D326" s="3" t="inlineStr">
        <is>
          <t>Overall</t>
        </is>
      </c>
      <c r="E326" s="3" t="inlineStr">
        <is>
          <t>Deciles</t>
        </is>
      </c>
      <c r="F326" s="3" t="inlineStr">
        <is>
          <t>mean</t>
        </is>
      </c>
      <c r="G326" s="3" t="n">
        <v>4</v>
      </c>
      <c r="H326" s="3" t="n">
        <v>-0.7870000004768372</v>
      </c>
      <c r="I326" s="3" t="n">
        <v>-0.7870000004768372</v>
      </c>
      <c r="J326" s="3" t="n">
        <v>-0.8799999952316284</v>
      </c>
      <c r="K326" s="3" t="n">
        <v>-0.8799999952316284</v>
      </c>
      <c r="L326" s="3" t="n">
        <v>-0.7870000004768372</v>
      </c>
      <c r="M326" s="3" t="n">
        <v>-0.7870000004768372</v>
      </c>
      <c r="N326" s="3" t="n">
        <v>-0.7870000004768372</v>
      </c>
      <c r="O326" s="3" t="n">
        <v>-0.7870000004768372</v>
      </c>
      <c r="P326" s="3" t="n">
        <v>-0.7870000004768372</v>
      </c>
      <c r="Q326" s="3" t="n">
        <v>-0.7870000004768372</v>
      </c>
      <c r="R326" s="3" t="n">
        <v>-0.7730000019073486</v>
      </c>
      <c r="S326" s="3" t="n">
        <v>-1.161999940872192</v>
      </c>
      <c r="T326" s="3" t="n">
        <v>-0.7089999914169312</v>
      </c>
      <c r="U326" s="3" t="n">
        <v>-0.8799999952316284</v>
      </c>
      <c r="V326" s="3" t="n">
        <v>-0.6819999814033508</v>
      </c>
      <c r="W326" s="3" t="n">
        <v>-0.5699999928474426</v>
      </c>
      <c r="X326" s="3" t="n">
        <v>-1.152999997138977</v>
      </c>
      <c r="Y326" s="3" t="n">
        <v>-0.7870000004768372</v>
      </c>
      <c r="Z326" s="3" t="n">
        <v>-1.161999940872192</v>
      </c>
      <c r="AA326" s="3" t="n">
        <v>-1.161999940872192</v>
      </c>
      <c r="AB326" s="3" t="n">
        <v>-1.152999997138977</v>
      </c>
      <c r="AC326" s="3" t="n">
        <v>-1.478999972343445</v>
      </c>
      <c r="AD326" s="3" t="n">
        <v>-0.8799999952316284</v>
      </c>
      <c r="AE326" s="3" t="n">
        <v>-0.8799999952316284</v>
      </c>
    </row>
    <row r="327">
      <c r="A327" s="3" t="inlineStr">
        <is>
          <t>BTN.distn.dec.ove.mean.5</t>
        </is>
      </c>
      <c r="B327" s="3" t="inlineStr">
        <is>
          <t>BTN</t>
        </is>
      </c>
      <c r="C327" s="3" t="n">
        <v>2005</v>
      </c>
      <c r="D327" s="3" t="inlineStr">
        <is>
          <t>Overall</t>
        </is>
      </c>
      <c r="E327" s="3" t="inlineStr">
        <is>
          <t>Deciles</t>
        </is>
      </c>
      <c r="F327" s="3" t="inlineStr">
        <is>
          <t>mean</t>
        </is>
      </c>
      <c r="G327" s="3" t="n">
        <v>5</v>
      </c>
      <c r="H327" s="3" t="n">
        <v>-0.7870000004768372</v>
      </c>
      <c r="I327" s="3" t="n">
        <v>-0.7870000004768372</v>
      </c>
      <c r="J327" s="3" t="n">
        <v>-0.8799999952316284</v>
      </c>
      <c r="K327" s="3" t="n">
        <v>-0.8799999952316284</v>
      </c>
      <c r="L327" s="3" t="n">
        <v>-0.7870000004768372</v>
      </c>
      <c r="M327" s="3" t="n">
        <v>-0.7870000004768372</v>
      </c>
      <c r="N327" s="3" t="n">
        <v>-0.7870000004768372</v>
      </c>
      <c r="O327" s="3" t="n">
        <v>-0.7870000004768372</v>
      </c>
      <c r="P327" s="3" t="n">
        <v>-0.7870000004768372</v>
      </c>
      <c r="Q327" s="3" t="n">
        <v>-0.7870000004768372</v>
      </c>
      <c r="R327" s="3" t="n">
        <v>-0.7730000019073486</v>
      </c>
      <c r="S327" s="3" t="n">
        <v>-1.161999940872192</v>
      </c>
      <c r="T327" s="3" t="n">
        <v>-0.7089999914169312</v>
      </c>
      <c r="U327" s="3" t="n">
        <v>-0.8799999952316284</v>
      </c>
      <c r="V327" s="3" t="n">
        <v>-0.6819999814033508</v>
      </c>
      <c r="W327" s="3" t="n">
        <v>-0.5699999928474426</v>
      </c>
      <c r="X327" s="3" t="n">
        <v>-1.152999997138977</v>
      </c>
      <c r="Y327" s="3" t="n">
        <v>-0.7870000004768372</v>
      </c>
      <c r="Z327" s="3" t="n">
        <v>-1.161999940872192</v>
      </c>
      <c r="AA327" s="3" t="n">
        <v>-1.161999940872192</v>
      </c>
      <c r="AB327" s="3" t="n">
        <v>-1.152999997138977</v>
      </c>
      <c r="AC327" s="3" t="n">
        <v>-1.478999972343445</v>
      </c>
      <c r="AD327" s="3" t="n">
        <v>-0.8799999952316284</v>
      </c>
      <c r="AE327" s="3" t="n">
        <v>-0.8799999952316284</v>
      </c>
    </row>
    <row r="328">
      <c r="A328" s="3" t="inlineStr">
        <is>
          <t>BTN.distn.dec.ove.mean.6</t>
        </is>
      </c>
      <c r="B328" s="3" t="inlineStr">
        <is>
          <t>BTN</t>
        </is>
      </c>
      <c r="C328" s="3" t="n">
        <v>2005</v>
      </c>
      <c r="D328" s="3" t="inlineStr">
        <is>
          <t>Overall</t>
        </is>
      </c>
      <c r="E328" s="3" t="inlineStr">
        <is>
          <t>Deciles</t>
        </is>
      </c>
      <c r="F328" s="3" t="inlineStr">
        <is>
          <t>mean</t>
        </is>
      </c>
      <c r="G328" s="3" t="n">
        <v>6</v>
      </c>
      <c r="H328" s="3" t="n">
        <v>-0.7870000004768372</v>
      </c>
      <c r="I328" s="3" t="n">
        <v>-0.7870000004768372</v>
      </c>
      <c r="J328" s="3" t="n">
        <v>-0.8799999952316284</v>
      </c>
      <c r="K328" s="3" t="n">
        <v>-0.8799999952316284</v>
      </c>
      <c r="L328" s="3" t="n">
        <v>-0.7870000004768372</v>
      </c>
      <c r="M328" s="3" t="n">
        <v>-0.7870000004768372</v>
      </c>
      <c r="N328" s="3" t="n">
        <v>-0.7870000004768372</v>
      </c>
      <c r="O328" s="3" t="n">
        <v>-0.7870000004768372</v>
      </c>
      <c r="P328" s="3" t="n">
        <v>-0.7870000004768372</v>
      </c>
      <c r="Q328" s="3" t="n">
        <v>-0.7870000004768372</v>
      </c>
      <c r="R328" s="3" t="n">
        <v>-0.7730000019073486</v>
      </c>
      <c r="S328" s="3" t="n">
        <v>-1.161999940872192</v>
      </c>
      <c r="T328" s="3" t="n">
        <v>-0.7089999914169312</v>
      </c>
      <c r="U328" s="3" t="n">
        <v>-0.8799999952316284</v>
      </c>
      <c r="V328" s="3" t="n">
        <v>-0.6819999814033508</v>
      </c>
      <c r="W328" s="3" t="n">
        <v>-0.5699999928474426</v>
      </c>
      <c r="X328" s="3" t="n">
        <v>-1.152999997138977</v>
      </c>
      <c r="Y328" s="3" t="n">
        <v>-0.7870000004768372</v>
      </c>
      <c r="Z328" s="3" t="n">
        <v>-1.161999940872192</v>
      </c>
      <c r="AA328" s="3" t="n">
        <v>-1.161999940872192</v>
      </c>
      <c r="AB328" s="3" t="n">
        <v>-1.152999997138977</v>
      </c>
      <c r="AC328" s="3" t="n">
        <v>-1.478999972343445</v>
      </c>
      <c r="AD328" s="3" t="n">
        <v>-0.8799999952316284</v>
      </c>
      <c r="AE328" s="3" t="n">
        <v>-0.8799999952316284</v>
      </c>
    </row>
    <row r="329">
      <c r="A329" s="3" t="inlineStr">
        <is>
          <t>BTN.distn.dec.ove.mean.7</t>
        </is>
      </c>
      <c r="B329" s="3" t="inlineStr">
        <is>
          <t>BTN</t>
        </is>
      </c>
      <c r="C329" s="3" t="n">
        <v>2005</v>
      </c>
      <c r="D329" s="3" t="inlineStr">
        <is>
          <t>Overall</t>
        </is>
      </c>
      <c r="E329" s="3" t="inlineStr">
        <is>
          <t>Deciles</t>
        </is>
      </c>
      <c r="F329" s="3" t="inlineStr">
        <is>
          <t>mean</t>
        </is>
      </c>
      <c r="G329" s="3" t="n">
        <v>7</v>
      </c>
      <c r="H329" s="3" t="n">
        <v>-0.7870000004768372</v>
      </c>
      <c r="I329" s="3" t="n">
        <v>-0.7870000004768372</v>
      </c>
      <c r="J329" s="3" t="n">
        <v>-0.8799999952316284</v>
      </c>
      <c r="K329" s="3" t="n">
        <v>-0.8799999952316284</v>
      </c>
      <c r="L329" s="3" t="n">
        <v>-0.7870000004768372</v>
      </c>
      <c r="M329" s="3" t="n">
        <v>-0.7870000004768372</v>
      </c>
      <c r="N329" s="3" t="n">
        <v>-0.7870000004768372</v>
      </c>
      <c r="O329" s="3" t="n">
        <v>-0.7870000004768372</v>
      </c>
      <c r="P329" s="3" t="n">
        <v>-0.7870000004768372</v>
      </c>
      <c r="Q329" s="3" t="n">
        <v>-0.7870000004768372</v>
      </c>
      <c r="R329" s="3" t="n">
        <v>-0.7730000019073486</v>
      </c>
      <c r="S329" s="3" t="n">
        <v>-1.161999940872192</v>
      </c>
      <c r="T329" s="3" t="n">
        <v>-0.7089999914169312</v>
      </c>
      <c r="U329" s="3" t="n">
        <v>-0.8799999952316284</v>
      </c>
      <c r="V329" s="3" t="n">
        <v>-0.6819999814033508</v>
      </c>
      <c r="W329" s="3" t="n">
        <v>-0.5699999928474426</v>
      </c>
      <c r="X329" s="3" t="n">
        <v>-1.152999997138977</v>
      </c>
      <c r="Y329" s="3" t="n">
        <v>-0.7870000004768372</v>
      </c>
      <c r="Z329" s="3" t="n">
        <v>-1.161999940872192</v>
      </c>
      <c r="AA329" s="3" t="n">
        <v>-1.161999940872192</v>
      </c>
      <c r="AB329" s="3" t="n">
        <v>-1.152999997138977</v>
      </c>
      <c r="AC329" s="3" t="n">
        <v>-1.478999972343445</v>
      </c>
      <c r="AD329" s="3" t="n">
        <v>-0.8799999952316284</v>
      </c>
      <c r="AE329" s="3" t="n">
        <v>-0.8799999952316284</v>
      </c>
    </row>
    <row r="330">
      <c r="A330" s="3" t="inlineStr">
        <is>
          <t>BTN.distn.dec.ove.mean.8</t>
        </is>
      </c>
      <c r="B330" s="3" t="inlineStr">
        <is>
          <t>BTN</t>
        </is>
      </c>
      <c r="C330" s="3" t="n">
        <v>2005</v>
      </c>
      <c r="D330" s="3" t="inlineStr">
        <is>
          <t>Overall</t>
        </is>
      </c>
      <c r="E330" s="3" t="inlineStr">
        <is>
          <t>Deciles</t>
        </is>
      </c>
      <c r="F330" s="3" t="inlineStr">
        <is>
          <t>mean</t>
        </is>
      </c>
      <c r="G330" s="3" t="n">
        <v>8</v>
      </c>
      <c r="H330" s="3" t="n">
        <v>-0.7873791456222534</v>
      </c>
      <c r="I330" s="3" t="n">
        <v>-0.7873791456222534</v>
      </c>
      <c r="J330" s="3" t="n">
        <v>-0.8823738694190979</v>
      </c>
      <c r="K330" s="3" t="n">
        <v>-0.8823738694190979</v>
      </c>
      <c r="L330" s="3" t="n">
        <v>-0.7873791456222534</v>
      </c>
      <c r="M330" s="3" t="n">
        <v>-0.7873791456222534</v>
      </c>
      <c r="N330" s="3" t="n">
        <v>-0.7873791456222534</v>
      </c>
      <c r="O330" s="3" t="n">
        <v>-0.7873791456222534</v>
      </c>
      <c r="P330" s="3" t="n">
        <v>-0.7873791456222534</v>
      </c>
      <c r="Q330" s="3" t="n">
        <v>-0.7873791456222534</v>
      </c>
      <c r="R330" s="3" t="n">
        <v>-0.7732542157173157</v>
      </c>
      <c r="S330" s="3" t="n">
        <v>-1.172812581062317</v>
      </c>
      <c r="T330" s="3" t="n">
        <v>-0.7090408802032471</v>
      </c>
      <c r="U330" s="3" t="n">
        <v>-0.8823738694190979</v>
      </c>
      <c r="V330" s="3" t="n">
        <v>-0.6827050447463989</v>
      </c>
      <c r="W330" s="3" t="n">
        <v>-0.5852639079093933</v>
      </c>
      <c r="X330" s="3" t="n">
        <v>-1.163506150245667</v>
      </c>
      <c r="Y330" s="3" t="n">
        <v>-0.7873791456222534</v>
      </c>
      <c r="Z330" s="3" t="n">
        <v>-1.172812581062317</v>
      </c>
      <c r="AA330" s="3" t="n">
        <v>-1.172812581062317</v>
      </c>
      <c r="AB330" s="3" t="n">
        <v>-1.163506150245667</v>
      </c>
      <c r="AC330" s="3" t="n">
        <v>-1.500092506408691</v>
      </c>
      <c r="AD330" s="3" t="n">
        <v>-0.8823738694190979</v>
      </c>
      <c r="AE330" s="3" t="n">
        <v>-0.8823738694190979</v>
      </c>
    </row>
    <row r="331">
      <c r="A331" s="3" t="inlineStr">
        <is>
          <t>BTN.distn.dec.ove.mean.9</t>
        </is>
      </c>
      <c r="B331" s="3" t="inlineStr">
        <is>
          <t>BTN</t>
        </is>
      </c>
      <c r="C331" s="3" t="n">
        <v>2005</v>
      </c>
      <c r="D331" s="3" t="inlineStr">
        <is>
          <t>Overall</t>
        </is>
      </c>
      <c r="E331" s="3" t="inlineStr">
        <is>
          <t>Deciles</t>
        </is>
      </c>
      <c r="F331" s="3" t="inlineStr">
        <is>
          <t>mean</t>
        </is>
      </c>
      <c r="G331" s="3" t="n">
        <v>9</v>
      </c>
      <c r="H331" s="3" t="n">
        <v>-0.7873791456222534</v>
      </c>
      <c r="I331" s="3" t="n">
        <v>-0.7873791456222534</v>
      </c>
      <c r="J331" s="3" t="n">
        <v>-0.8823738694190979</v>
      </c>
      <c r="K331" s="3" t="n">
        <v>-0.8823738694190979</v>
      </c>
      <c r="L331" s="3" t="n">
        <v>-0.7873791456222534</v>
      </c>
      <c r="M331" s="3" t="n">
        <v>-0.7873791456222534</v>
      </c>
      <c r="N331" s="3" t="n">
        <v>-0.7873791456222534</v>
      </c>
      <c r="O331" s="3" t="n">
        <v>-0.7873791456222534</v>
      </c>
      <c r="P331" s="3" t="n">
        <v>-0.7873791456222534</v>
      </c>
      <c r="Q331" s="3" t="n">
        <v>-0.7873791456222534</v>
      </c>
      <c r="R331" s="3" t="n">
        <v>-0.7732542157173157</v>
      </c>
      <c r="S331" s="3" t="n">
        <v>-1.172812581062317</v>
      </c>
      <c r="T331" s="3" t="n">
        <v>-0.7090408802032471</v>
      </c>
      <c r="U331" s="3" t="n">
        <v>-0.8823738694190979</v>
      </c>
      <c r="V331" s="3" t="n">
        <v>-0.6827050447463989</v>
      </c>
      <c r="W331" s="3" t="n">
        <v>-0.5852639079093933</v>
      </c>
      <c r="X331" s="3" t="n">
        <v>-1.163506150245667</v>
      </c>
      <c r="Y331" s="3" t="n">
        <v>-0.7873791456222534</v>
      </c>
      <c r="Z331" s="3" t="n">
        <v>-1.172812581062317</v>
      </c>
      <c r="AA331" s="3" t="n">
        <v>-1.172812581062317</v>
      </c>
      <c r="AB331" s="3" t="n">
        <v>-1.163506150245667</v>
      </c>
      <c r="AC331" s="3" t="n">
        <v>-1.500092506408691</v>
      </c>
      <c r="AD331" s="3" t="n">
        <v>-0.8823738694190979</v>
      </c>
      <c r="AE331" s="3" t="n">
        <v>-0.8823738694190979</v>
      </c>
    </row>
    <row r="332">
      <c r="A332" s="3" t="inlineStr">
        <is>
          <t>BTN.distn.dec.ove.mean.10</t>
        </is>
      </c>
      <c r="B332" s="3" t="inlineStr">
        <is>
          <t>BTN</t>
        </is>
      </c>
      <c r="C332" s="3" t="n">
        <v>2005</v>
      </c>
      <c r="D332" s="3" t="inlineStr">
        <is>
          <t>Overall</t>
        </is>
      </c>
      <c r="E332" s="3" t="inlineStr">
        <is>
          <t>Deciles</t>
        </is>
      </c>
      <c r="F332" s="3" t="inlineStr">
        <is>
          <t>mean</t>
        </is>
      </c>
      <c r="G332" s="3" t="n">
        <v>10</v>
      </c>
      <c r="H332" s="3" t="n">
        <v>-0.7873791456222534</v>
      </c>
      <c r="I332" s="3" t="n">
        <v>-0.7873791456222534</v>
      </c>
      <c r="J332" s="3" t="n">
        <v>-0.8823738694190979</v>
      </c>
      <c r="K332" s="3" t="n">
        <v>-0.8823738694190979</v>
      </c>
      <c r="L332" s="3" t="n">
        <v>-0.7873791456222534</v>
      </c>
      <c r="M332" s="3" t="n">
        <v>-0.7873791456222534</v>
      </c>
      <c r="N332" s="3" t="n">
        <v>-0.7873791456222534</v>
      </c>
      <c r="O332" s="3" t="n">
        <v>-0.7873791456222534</v>
      </c>
      <c r="P332" s="3" t="n">
        <v>-0.7873791456222534</v>
      </c>
      <c r="Q332" s="3" t="n">
        <v>-0.7873791456222534</v>
      </c>
      <c r="R332" s="3" t="n">
        <v>-0.7732542157173157</v>
      </c>
      <c r="S332" s="3" t="n">
        <v>-1.172812581062317</v>
      </c>
      <c r="T332" s="3" t="n">
        <v>-0.7090408802032471</v>
      </c>
      <c r="U332" s="3" t="n">
        <v>-0.8823738694190979</v>
      </c>
      <c r="V332" s="3" t="n">
        <v>-0.6827050447463989</v>
      </c>
      <c r="W332" s="3" t="n">
        <v>-0.5852639079093933</v>
      </c>
      <c r="X332" s="3" t="n">
        <v>-1.163506150245667</v>
      </c>
      <c r="Y332" s="3" t="n">
        <v>-0.7873791456222534</v>
      </c>
      <c r="Z332" s="3" t="n">
        <v>-1.172812581062317</v>
      </c>
      <c r="AA332" s="3" t="n">
        <v>-1.172812581062317</v>
      </c>
      <c r="AB332" s="3" t="n">
        <v>-1.163506150245667</v>
      </c>
      <c r="AC332" s="3" t="n">
        <v>-1.500092506408691</v>
      </c>
      <c r="AD332" s="3" t="n">
        <v>-0.8823738694190979</v>
      </c>
      <c r="AE332" s="3" t="n">
        <v>-0.8823738694190979</v>
      </c>
    </row>
    <row r="333">
      <c r="A333" s="3" t="inlineStr">
        <is>
          <t>BTN.distn.bkt.ove.mean.9999</t>
        </is>
      </c>
      <c r="B333" s="3" t="inlineStr">
        <is>
          <t>BTN</t>
        </is>
      </c>
      <c r="C333" s="3" t="n">
        <v>2005</v>
      </c>
      <c r="D333" s="3" t="inlineStr">
        <is>
          <t>Overall</t>
        </is>
      </c>
      <c r="E333" s="3" t="inlineStr">
        <is>
          <t>Basket</t>
        </is>
      </c>
      <c r="F333" s="3" t="inlineStr">
        <is>
          <t>mean</t>
        </is>
      </c>
      <c r="G333" s="3" t="n">
        <v>9999</v>
      </c>
      <c r="H333" s="3" t="n">
        <v>-0.788998007774353</v>
      </c>
      <c r="I333" s="3" t="n">
        <v>-0.788998007774353</v>
      </c>
      <c r="J333" s="3" t="n">
        <v>-0.8941166400909424</v>
      </c>
      <c r="K333" s="3" t="n">
        <v>-0.8941166400909424</v>
      </c>
      <c r="L333" s="3" t="n">
        <v>-0.788998007774353</v>
      </c>
      <c r="M333" s="3" t="n">
        <v>-0.788998007774353</v>
      </c>
      <c r="N333" s="3" t="n">
        <v>-0.788998007774353</v>
      </c>
      <c r="O333" s="3" t="n">
        <v>-0.788998007774353</v>
      </c>
      <c r="P333" s="3" t="n">
        <v>-0.788998007774353</v>
      </c>
      <c r="Q333" s="3" t="n">
        <v>-0.788998007774353</v>
      </c>
      <c r="R333" s="3" t="n">
        <v>-0.7741215229034424</v>
      </c>
      <c r="S333" s="3" t="n">
        <v>-1.328454494476318</v>
      </c>
      <c r="T333" s="3" t="n">
        <v>-0.7094486355781555</v>
      </c>
      <c r="U333" s="3" t="n">
        <v>-0.8941166400909424</v>
      </c>
      <c r="V333" s="3" t="n">
        <v>-0.6843134164810181</v>
      </c>
      <c r="W333" s="3" t="n">
        <v>-0.6067621111869812</v>
      </c>
      <c r="X333" s="3" t="n">
        <v>-1.300379157066345</v>
      </c>
      <c r="Y333" s="3" t="n">
        <v>-0.788998007774353</v>
      </c>
      <c r="Z333" s="3" t="n">
        <v>-1.328454494476318</v>
      </c>
      <c r="AA333" s="3" t="n">
        <v>-1.328454494476318</v>
      </c>
      <c r="AB333" s="3" t="n">
        <v>-1.300379157066345</v>
      </c>
      <c r="AC333" s="3" t="n">
        <v>-1.960408568382263</v>
      </c>
      <c r="AD333" s="3" t="n">
        <v>-0.8941166400909424</v>
      </c>
      <c r="AE333" s="3" t="n">
        <v>-0.8941166400909424</v>
      </c>
    </row>
    <row r="334">
      <c r="A334" s="3" t="inlineStr">
        <is>
          <t>BWA.distn.dec.ove.mean.1</t>
        </is>
      </c>
      <c r="B334" s="3" t="inlineStr">
        <is>
          <t>BWA</t>
        </is>
      </c>
      <c r="C334" s="3" t="n">
        <v>2005</v>
      </c>
      <c r="D334" s="3" t="inlineStr">
        <is>
          <t>Overall</t>
        </is>
      </c>
      <c r="E334" s="3" t="inlineStr">
        <is>
          <t>Deciles</t>
        </is>
      </c>
      <c r="F334" s="3" t="inlineStr">
        <is>
          <t>mean</t>
        </is>
      </c>
      <c r="G334" s="3" t="n">
        <v>1</v>
      </c>
      <c r="H334" s="3" t="n">
        <v>-0.7912648916244507</v>
      </c>
      <c r="I334" s="3" t="n">
        <v>-0.7912648916244507</v>
      </c>
      <c r="J334" s="3" t="n">
        <v>-0.9110214710235596</v>
      </c>
      <c r="K334" s="3" t="n">
        <v>-0.9110214710235596</v>
      </c>
      <c r="L334" s="3" t="n">
        <v>-0.7912648916244507</v>
      </c>
      <c r="M334" s="3" t="n">
        <v>-0.7912648916244507</v>
      </c>
      <c r="N334" s="3" t="n">
        <v>-0.7912648916244507</v>
      </c>
      <c r="O334" s="3" t="n">
        <v>-0.7912648916244507</v>
      </c>
      <c r="P334" s="3" t="n">
        <v>-0.7912648916244507</v>
      </c>
      <c r="Q334" s="3" t="n">
        <v>-0.7912648916244507</v>
      </c>
      <c r="R334" s="3" t="n">
        <v>-0.775479793548584</v>
      </c>
      <c r="S334" s="3" t="n">
        <v>-1.562153339385986</v>
      </c>
      <c r="T334" s="3" t="n">
        <v>-0.7104546427726746</v>
      </c>
      <c r="U334" s="3" t="n">
        <v>-0.9110214710235596</v>
      </c>
      <c r="V334" s="3" t="n">
        <v>-0.6869857907295227</v>
      </c>
      <c r="W334" s="3" t="n">
        <v>-0.6523241400718689</v>
      </c>
      <c r="X334" s="3" t="n">
        <v>-1.500563144683838</v>
      </c>
      <c r="Y334" s="3" t="n">
        <v>-0.7912648916244507</v>
      </c>
      <c r="Z334" s="3" t="n">
        <v>-1.562153339385986</v>
      </c>
      <c r="AA334" s="3" t="n">
        <v>-1.562153339385986</v>
      </c>
      <c r="AB334" s="3" t="n">
        <v>-1.500563144683838</v>
      </c>
      <c r="AC334" s="3" t="n">
        <v>-2.536638498306274</v>
      </c>
      <c r="AD334" s="3" t="n">
        <v>-0.9110214710235596</v>
      </c>
      <c r="AE334" s="3" t="n">
        <v>-0.9110214710235596</v>
      </c>
    </row>
    <row r="335">
      <c r="A335" s="3" t="inlineStr">
        <is>
          <t>BWA.distn.dec.ove.mean.2</t>
        </is>
      </c>
      <c r="B335" s="3" t="inlineStr">
        <is>
          <t>BWA</t>
        </is>
      </c>
      <c r="C335" s="3" t="n">
        <v>2005</v>
      </c>
      <c r="D335" s="3" t="inlineStr">
        <is>
          <t>Overall</t>
        </is>
      </c>
      <c r="E335" s="3" t="inlineStr">
        <is>
          <t>Deciles</t>
        </is>
      </c>
      <c r="F335" s="3" t="inlineStr">
        <is>
          <t>mean</t>
        </is>
      </c>
      <c r="G335" s="3" t="n">
        <v>2</v>
      </c>
      <c r="H335" s="3" t="n">
        <v>-0.7912648916244507</v>
      </c>
      <c r="I335" s="3" t="n">
        <v>-0.7912648916244507</v>
      </c>
      <c r="J335" s="3" t="n">
        <v>-0.9110214710235596</v>
      </c>
      <c r="K335" s="3" t="n">
        <v>-0.9110214710235596</v>
      </c>
      <c r="L335" s="3" t="n">
        <v>-0.7912648916244507</v>
      </c>
      <c r="M335" s="3" t="n">
        <v>-0.7912648916244507</v>
      </c>
      <c r="N335" s="3" t="n">
        <v>-0.7912648916244507</v>
      </c>
      <c r="O335" s="3" t="n">
        <v>-0.7912648916244507</v>
      </c>
      <c r="P335" s="3" t="n">
        <v>-0.7912648916244507</v>
      </c>
      <c r="Q335" s="3" t="n">
        <v>-0.7912648916244507</v>
      </c>
      <c r="R335" s="3" t="n">
        <v>-0.775479793548584</v>
      </c>
      <c r="S335" s="3" t="n">
        <v>-1.562153339385986</v>
      </c>
      <c r="T335" s="3" t="n">
        <v>-0.7104546427726746</v>
      </c>
      <c r="U335" s="3" t="n">
        <v>-0.9110214710235596</v>
      </c>
      <c r="V335" s="3" t="n">
        <v>-0.6869857907295227</v>
      </c>
      <c r="W335" s="3" t="n">
        <v>-0.6523241400718689</v>
      </c>
      <c r="X335" s="3" t="n">
        <v>-1.500563144683838</v>
      </c>
      <c r="Y335" s="3" t="n">
        <v>-0.7912648916244507</v>
      </c>
      <c r="Z335" s="3" t="n">
        <v>-1.562153339385986</v>
      </c>
      <c r="AA335" s="3" t="n">
        <v>-1.562153339385986</v>
      </c>
      <c r="AB335" s="3" t="n">
        <v>-1.500563144683838</v>
      </c>
      <c r="AC335" s="3" t="n">
        <v>-2.536638498306274</v>
      </c>
      <c r="AD335" s="3" t="n">
        <v>-0.9110214710235596</v>
      </c>
      <c r="AE335" s="3" t="n">
        <v>-0.9110214710235596</v>
      </c>
    </row>
    <row r="336">
      <c r="A336" s="3" t="inlineStr">
        <is>
          <t>BWA.distn.dec.ove.mean.3</t>
        </is>
      </c>
      <c r="B336" s="3" t="inlineStr">
        <is>
          <t>BWA</t>
        </is>
      </c>
      <c r="C336" s="3" t="n">
        <v>2005</v>
      </c>
      <c r="D336" s="3" t="inlineStr">
        <is>
          <t>Overall</t>
        </is>
      </c>
      <c r="E336" s="3" t="inlineStr">
        <is>
          <t>Deciles</t>
        </is>
      </c>
      <c r="F336" s="3" t="inlineStr">
        <is>
          <t>mean</t>
        </is>
      </c>
      <c r="G336" s="3" t="n">
        <v>3</v>
      </c>
      <c r="H336" s="3" t="n">
        <v>-0.7912648916244507</v>
      </c>
      <c r="I336" s="3" t="n">
        <v>-0.7912648916244507</v>
      </c>
      <c r="J336" s="3" t="n">
        <v>-0.9110214710235596</v>
      </c>
      <c r="K336" s="3" t="n">
        <v>-0.9110214710235596</v>
      </c>
      <c r="L336" s="3" t="n">
        <v>-0.7912648916244507</v>
      </c>
      <c r="M336" s="3" t="n">
        <v>-0.7912648916244507</v>
      </c>
      <c r="N336" s="3" t="n">
        <v>-0.7912648916244507</v>
      </c>
      <c r="O336" s="3" t="n">
        <v>-0.7912648916244507</v>
      </c>
      <c r="P336" s="3" t="n">
        <v>-0.7912648916244507</v>
      </c>
      <c r="Q336" s="3" t="n">
        <v>-0.7912648916244507</v>
      </c>
      <c r="R336" s="3" t="n">
        <v>-0.775479793548584</v>
      </c>
      <c r="S336" s="3" t="n">
        <v>-1.562153339385986</v>
      </c>
      <c r="T336" s="3" t="n">
        <v>-0.7104546427726746</v>
      </c>
      <c r="U336" s="3" t="n">
        <v>-0.9110214710235596</v>
      </c>
      <c r="V336" s="3" t="n">
        <v>-0.6869857907295227</v>
      </c>
      <c r="W336" s="3" t="n">
        <v>-0.6523241400718689</v>
      </c>
      <c r="X336" s="3" t="n">
        <v>-1.500563144683838</v>
      </c>
      <c r="Y336" s="3" t="n">
        <v>-0.7912648916244507</v>
      </c>
      <c r="Z336" s="3" t="n">
        <v>-1.562153339385986</v>
      </c>
      <c r="AA336" s="3" t="n">
        <v>-1.562153339385986</v>
      </c>
      <c r="AB336" s="3" t="n">
        <v>-1.500563144683838</v>
      </c>
      <c r="AC336" s="3" t="n">
        <v>-2.536638498306274</v>
      </c>
      <c r="AD336" s="3" t="n">
        <v>-0.9110214710235596</v>
      </c>
      <c r="AE336" s="3" t="n">
        <v>-0.9110214710235596</v>
      </c>
    </row>
    <row r="337">
      <c r="A337" s="3" t="inlineStr">
        <is>
          <t>BWA.distn.dec.ove.mean.4</t>
        </is>
      </c>
      <c r="B337" s="3" t="inlineStr">
        <is>
          <t>BWA</t>
        </is>
      </c>
      <c r="C337" s="3" t="n">
        <v>2005</v>
      </c>
      <c r="D337" s="3" t="inlineStr">
        <is>
          <t>Overall</t>
        </is>
      </c>
      <c r="E337" s="3" t="inlineStr">
        <is>
          <t>Deciles</t>
        </is>
      </c>
      <c r="F337" s="3" t="inlineStr">
        <is>
          <t>mean</t>
        </is>
      </c>
      <c r="G337" s="3" t="n">
        <v>4</v>
      </c>
      <c r="H337" s="3" t="n">
        <v>-0.7850000262260437</v>
      </c>
      <c r="I337" s="3" t="n">
        <v>-0.7850000262260437</v>
      </c>
      <c r="J337" s="3" t="n">
        <v>-0.8669999837875366</v>
      </c>
      <c r="K337" s="3" t="n">
        <v>-0.8669999837875366</v>
      </c>
      <c r="L337" s="3" t="n">
        <v>-0.7850000262260437</v>
      </c>
      <c r="M337" s="3" t="n">
        <v>-0.7850000262260437</v>
      </c>
      <c r="N337" s="3" t="n">
        <v>-0.7850000262260437</v>
      </c>
      <c r="O337" s="3" t="n">
        <v>-0.7850000262260437</v>
      </c>
      <c r="P337" s="3" t="n">
        <v>-0.7850000262260437</v>
      </c>
      <c r="Q337" s="3" t="n">
        <v>-0.7850000262260437</v>
      </c>
      <c r="R337" s="3" t="n">
        <v>-0.7720000147819519</v>
      </c>
      <c r="S337" s="3" t="n">
        <v>-1.064000010490417</v>
      </c>
      <c r="T337" s="3" t="n">
        <v>-0.7089999914169312</v>
      </c>
      <c r="U337" s="3" t="n">
        <v>-0.8669999837875366</v>
      </c>
      <c r="V337" s="3" t="n">
        <v>-0.6800000071525574</v>
      </c>
      <c r="W337" s="3" t="n">
        <v>-0.5490000247955322</v>
      </c>
      <c r="X337" s="3" t="n">
        <v>-1.059000015258789</v>
      </c>
      <c r="Y337" s="3" t="n">
        <v>-0.7850000262260437</v>
      </c>
      <c r="Z337" s="3" t="n">
        <v>-1.064000010490417</v>
      </c>
      <c r="AA337" s="3" t="n">
        <v>-1.064000010490417</v>
      </c>
      <c r="AB337" s="3" t="n">
        <v>-1.059000015258789</v>
      </c>
      <c r="AC337" s="3" t="n">
        <v>-1.225000023841858</v>
      </c>
      <c r="AD337" s="3" t="n">
        <v>-0.8669999837875366</v>
      </c>
      <c r="AE337" s="3" t="n">
        <v>-0.8669999837875366</v>
      </c>
    </row>
    <row r="338">
      <c r="A338" s="3" t="inlineStr">
        <is>
          <t>BWA.distn.dec.ove.mean.5</t>
        </is>
      </c>
      <c r="B338" s="3" t="inlineStr">
        <is>
          <t>BWA</t>
        </is>
      </c>
      <c r="C338" s="3" t="n">
        <v>2005</v>
      </c>
      <c r="D338" s="3" t="inlineStr">
        <is>
          <t>Overall</t>
        </is>
      </c>
      <c r="E338" s="3" t="inlineStr">
        <is>
          <t>Deciles</t>
        </is>
      </c>
      <c r="F338" s="3" t="inlineStr">
        <is>
          <t>mean</t>
        </is>
      </c>
      <c r="G338" s="3" t="n">
        <v>5</v>
      </c>
      <c r="H338" s="3" t="n">
        <v>-0.7850000262260437</v>
      </c>
      <c r="I338" s="3" t="n">
        <v>-0.7850000262260437</v>
      </c>
      <c r="J338" s="3" t="n">
        <v>-0.8669999837875366</v>
      </c>
      <c r="K338" s="3" t="n">
        <v>-0.8669999837875366</v>
      </c>
      <c r="L338" s="3" t="n">
        <v>-0.7850000262260437</v>
      </c>
      <c r="M338" s="3" t="n">
        <v>-0.7850000262260437</v>
      </c>
      <c r="N338" s="3" t="n">
        <v>-0.7850000262260437</v>
      </c>
      <c r="O338" s="3" t="n">
        <v>-0.7850000262260437</v>
      </c>
      <c r="P338" s="3" t="n">
        <v>-0.7850000262260437</v>
      </c>
      <c r="Q338" s="3" t="n">
        <v>-0.7850000262260437</v>
      </c>
      <c r="R338" s="3" t="n">
        <v>-0.7720000147819519</v>
      </c>
      <c r="S338" s="3" t="n">
        <v>-1.064000010490417</v>
      </c>
      <c r="T338" s="3" t="n">
        <v>-0.7089999914169312</v>
      </c>
      <c r="U338" s="3" t="n">
        <v>-0.8669999837875366</v>
      </c>
      <c r="V338" s="3" t="n">
        <v>-0.6800000071525574</v>
      </c>
      <c r="W338" s="3" t="n">
        <v>-0.5490000247955322</v>
      </c>
      <c r="X338" s="3" t="n">
        <v>-1.059000015258789</v>
      </c>
      <c r="Y338" s="3" t="n">
        <v>-0.7850000262260437</v>
      </c>
      <c r="Z338" s="3" t="n">
        <v>-1.064000010490417</v>
      </c>
      <c r="AA338" s="3" t="n">
        <v>-1.064000010490417</v>
      </c>
      <c r="AB338" s="3" t="n">
        <v>-1.059000015258789</v>
      </c>
      <c r="AC338" s="3" t="n">
        <v>-1.225000023841858</v>
      </c>
      <c r="AD338" s="3" t="n">
        <v>-0.8669999837875366</v>
      </c>
      <c r="AE338" s="3" t="n">
        <v>-0.8669999837875366</v>
      </c>
    </row>
    <row r="339">
      <c r="A339" s="3" t="inlineStr">
        <is>
          <t>BWA.distn.dec.ove.mean.6</t>
        </is>
      </c>
      <c r="B339" s="3" t="inlineStr">
        <is>
          <t>BWA</t>
        </is>
      </c>
      <c r="C339" s="3" t="n">
        <v>2005</v>
      </c>
      <c r="D339" s="3" t="inlineStr">
        <is>
          <t>Overall</t>
        </is>
      </c>
      <c r="E339" s="3" t="inlineStr">
        <is>
          <t>Deciles</t>
        </is>
      </c>
      <c r="F339" s="3" t="inlineStr">
        <is>
          <t>mean</t>
        </is>
      </c>
      <c r="G339" s="3" t="n">
        <v>6</v>
      </c>
      <c r="H339" s="3" t="n">
        <v>-0.7850000262260437</v>
      </c>
      <c r="I339" s="3" t="n">
        <v>-0.7850000262260437</v>
      </c>
      <c r="J339" s="3" t="n">
        <v>-0.8669999837875366</v>
      </c>
      <c r="K339" s="3" t="n">
        <v>-0.8669999837875366</v>
      </c>
      <c r="L339" s="3" t="n">
        <v>-0.7850000262260437</v>
      </c>
      <c r="M339" s="3" t="n">
        <v>-0.7850000262260437</v>
      </c>
      <c r="N339" s="3" t="n">
        <v>-0.7850000262260437</v>
      </c>
      <c r="O339" s="3" t="n">
        <v>-0.7850000262260437</v>
      </c>
      <c r="P339" s="3" t="n">
        <v>-0.7850000262260437</v>
      </c>
      <c r="Q339" s="3" t="n">
        <v>-0.7850000262260437</v>
      </c>
      <c r="R339" s="3" t="n">
        <v>-0.7720000147819519</v>
      </c>
      <c r="S339" s="3" t="n">
        <v>-1.064000010490417</v>
      </c>
      <c r="T339" s="3" t="n">
        <v>-0.7089999914169312</v>
      </c>
      <c r="U339" s="3" t="n">
        <v>-0.8669999837875366</v>
      </c>
      <c r="V339" s="3" t="n">
        <v>-0.6800000071525574</v>
      </c>
      <c r="W339" s="3" t="n">
        <v>-0.5490000247955322</v>
      </c>
      <c r="X339" s="3" t="n">
        <v>-1.059000015258789</v>
      </c>
      <c r="Y339" s="3" t="n">
        <v>-0.7850000262260437</v>
      </c>
      <c r="Z339" s="3" t="n">
        <v>-1.064000010490417</v>
      </c>
      <c r="AA339" s="3" t="n">
        <v>-1.064000010490417</v>
      </c>
      <c r="AB339" s="3" t="n">
        <v>-1.059000015258789</v>
      </c>
      <c r="AC339" s="3" t="n">
        <v>-1.225000023841858</v>
      </c>
      <c r="AD339" s="3" t="n">
        <v>-0.8669999837875366</v>
      </c>
      <c r="AE339" s="3" t="n">
        <v>-0.8669999837875366</v>
      </c>
    </row>
    <row r="340">
      <c r="A340" s="3" t="inlineStr">
        <is>
          <t>BWA.distn.dec.ove.mean.7</t>
        </is>
      </c>
      <c r="B340" s="3" t="inlineStr">
        <is>
          <t>BWA</t>
        </is>
      </c>
      <c r="C340" s="3" t="n">
        <v>2005</v>
      </c>
      <c r="D340" s="3" t="inlineStr">
        <is>
          <t>Overall</t>
        </is>
      </c>
      <c r="E340" s="3" t="inlineStr">
        <is>
          <t>Deciles</t>
        </is>
      </c>
      <c r="F340" s="3" t="inlineStr">
        <is>
          <t>mean</t>
        </is>
      </c>
      <c r="G340" s="3" t="n">
        <v>7</v>
      </c>
      <c r="H340" s="3" t="n">
        <v>-0.7850000262260437</v>
      </c>
      <c r="I340" s="3" t="n">
        <v>-0.7850000262260437</v>
      </c>
      <c r="J340" s="3" t="n">
        <v>-0.8669999837875366</v>
      </c>
      <c r="K340" s="3" t="n">
        <v>-0.8669999837875366</v>
      </c>
      <c r="L340" s="3" t="n">
        <v>-0.7850000262260437</v>
      </c>
      <c r="M340" s="3" t="n">
        <v>-0.7850000262260437</v>
      </c>
      <c r="N340" s="3" t="n">
        <v>-0.7850000262260437</v>
      </c>
      <c r="O340" s="3" t="n">
        <v>-0.7850000262260437</v>
      </c>
      <c r="P340" s="3" t="n">
        <v>-0.7850000262260437</v>
      </c>
      <c r="Q340" s="3" t="n">
        <v>-0.7850000262260437</v>
      </c>
      <c r="R340" s="3" t="n">
        <v>-0.7720000147819519</v>
      </c>
      <c r="S340" s="3" t="n">
        <v>-1.064000010490417</v>
      </c>
      <c r="T340" s="3" t="n">
        <v>-0.7089999914169312</v>
      </c>
      <c r="U340" s="3" t="n">
        <v>-0.8669999837875366</v>
      </c>
      <c r="V340" s="3" t="n">
        <v>-0.6800000071525574</v>
      </c>
      <c r="W340" s="3" t="n">
        <v>-0.5490000247955322</v>
      </c>
      <c r="X340" s="3" t="n">
        <v>-1.059000015258789</v>
      </c>
      <c r="Y340" s="3" t="n">
        <v>-0.7850000262260437</v>
      </c>
      <c r="Z340" s="3" t="n">
        <v>-1.064000010490417</v>
      </c>
      <c r="AA340" s="3" t="n">
        <v>-1.064000010490417</v>
      </c>
      <c r="AB340" s="3" t="n">
        <v>-1.059000015258789</v>
      </c>
      <c r="AC340" s="3" t="n">
        <v>-1.225000023841858</v>
      </c>
      <c r="AD340" s="3" t="n">
        <v>-0.8669999837875366</v>
      </c>
      <c r="AE340" s="3" t="n">
        <v>-0.8669999837875366</v>
      </c>
    </row>
    <row r="341">
      <c r="A341" s="3" t="inlineStr">
        <is>
          <t>BWA.distn.dec.ove.mean.8</t>
        </is>
      </c>
      <c r="B341" s="3" t="inlineStr">
        <is>
          <t>BWA</t>
        </is>
      </c>
      <c r="C341" s="3" t="n">
        <v>2005</v>
      </c>
      <c r="D341" s="3" t="inlineStr">
        <is>
          <t>Overall</t>
        </is>
      </c>
      <c r="E341" s="3" t="inlineStr">
        <is>
          <t>Deciles</t>
        </is>
      </c>
      <c r="F341" s="3" t="inlineStr">
        <is>
          <t>mean</t>
        </is>
      </c>
      <c r="G341" s="3" t="n">
        <v>8</v>
      </c>
      <c r="H341" s="3" t="n">
        <v>-0.7853782176971436</v>
      </c>
      <c r="I341" s="3" t="n">
        <v>-0.7853782176971436</v>
      </c>
      <c r="J341" s="3" t="n">
        <v>-0.8693388104438782</v>
      </c>
      <c r="K341" s="3" t="n">
        <v>-0.8693388104438782</v>
      </c>
      <c r="L341" s="3" t="n">
        <v>-0.7853782176971436</v>
      </c>
      <c r="M341" s="3" t="n">
        <v>-0.7853782176971436</v>
      </c>
      <c r="N341" s="3" t="n">
        <v>-0.7853782176971436</v>
      </c>
      <c r="O341" s="3" t="n">
        <v>-0.7853782176971436</v>
      </c>
      <c r="P341" s="3" t="n">
        <v>-0.7853782176971436</v>
      </c>
      <c r="Q341" s="3" t="n">
        <v>-0.7853782176971436</v>
      </c>
      <c r="R341" s="3" t="n">
        <v>-0.7722538709640503</v>
      </c>
      <c r="S341" s="3" t="n">
        <v>-1.073900580406189</v>
      </c>
      <c r="T341" s="3" t="n">
        <v>-0.7090408802032471</v>
      </c>
      <c r="U341" s="3" t="n">
        <v>-0.8693388104438782</v>
      </c>
      <c r="V341" s="3" t="n">
        <v>-0.6807029843330383</v>
      </c>
      <c r="W341" s="3" t="n">
        <v>-0.5637015700340271</v>
      </c>
      <c r="X341" s="3" t="n">
        <v>-1.068649649620056</v>
      </c>
      <c r="Y341" s="3" t="n">
        <v>-0.7853782176971436</v>
      </c>
      <c r="Z341" s="3" t="n">
        <v>-1.073900580406189</v>
      </c>
      <c r="AA341" s="3" t="n">
        <v>-1.073900580406189</v>
      </c>
      <c r="AB341" s="3" t="n">
        <v>-1.068649649620056</v>
      </c>
      <c r="AC341" s="3" t="n">
        <v>-1.242470145225525</v>
      </c>
      <c r="AD341" s="3" t="n">
        <v>-0.8693388104438782</v>
      </c>
      <c r="AE341" s="3" t="n">
        <v>-0.8693388104438782</v>
      </c>
    </row>
    <row r="342">
      <c r="A342" s="3" t="inlineStr">
        <is>
          <t>BWA.distn.dec.ove.mean.9</t>
        </is>
      </c>
      <c r="B342" s="3" t="inlineStr">
        <is>
          <t>BWA</t>
        </is>
      </c>
      <c r="C342" s="3" t="n">
        <v>2005</v>
      </c>
      <c r="D342" s="3" t="inlineStr">
        <is>
          <t>Overall</t>
        </is>
      </c>
      <c r="E342" s="3" t="inlineStr">
        <is>
          <t>Deciles</t>
        </is>
      </c>
      <c r="F342" s="3" t="inlineStr">
        <is>
          <t>mean</t>
        </is>
      </c>
      <c r="G342" s="3" t="n">
        <v>9</v>
      </c>
      <c r="H342" s="3" t="n">
        <v>-0.7853782176971436</v>
      </c>
      <c r="I342" s="3" t="n">
        <v>-0.7853782176971436</v>
      </c>
      <c r="J342" s="3" t="n">
        <v>-0.8693388104438782</v>
      </c>
      <c r="K342" s="3" t="n">
        <v>-0.8693388104438782</v>
      </c>
      <c r="L342" s="3" t="n">
        <v>-0.7853782176971436</v>
      </c>
      <c r="M342" s="3" t="n">
        <v>-0.7853782176971436</v>
      </c>
      <c r="N342" s="3" t="n">
        <v>-0.7853782176971436</v>
      </c>
      <c r="O342" s="3" t="n">
        <v>-0.7853782176971436</v>
      </c>
      <c r="P342" s="3" t="n">
        <v>-0.7853782176971436</v>
      </c>
      <c r="Q342" s="3" t="n">
        <v>-0.7853782176971436</v>
      </c>
      <c r="R342" s="3" t="n">
        <v>-0.7722538709640503</v>
      </c>
      <c r="S342" s="3" t="n">
        <v>-1.073900580406189</v>
      </c>
      <c r="T342" s="3" t="n">
        <v>-0.7090408802032471</v>
      </c>
      <c r="U342" s="3" t="n">
        <v>-0.8693388104438782</v>
      </c>
      <c r="V342" s="3" t="n">
        <v>-0.6807029843330383</v>
      </c>
      <c r="W342" s="3" t="n">
        <v>-0.5637015700340271</v>
      </c>
      <c r="X342" s="3" t="n">
        <v>-1.068649649620056</v>
      </c>
      <c r="Y342" s="3" t="n">
        <v>-0.7853782176971436</v>
      </c>
      <c r="Z342" s="3" t="n">
        <v>-1.073900580406189</v>
      </c>
      <c r="AA342" s="3" t="n">
        <v>-1.073900580406189</v>
      </c>
      <c r="AB342" s="3" t="n">
        <v>-1.068649649620056</v>
      </c>
      <c r="AC342" s="3" t="n">
        <v>-1.242470145225525</v>
      </c>
      <c r="AD342" s="3" t="n">
        <v>-0.8693388104438782</v>
      </c>
      <c r="AE342" s="3" t="n">
        <v>-0.8693388104438782</v>
      </c>
    </row>
    <row r="343">
      <c r="A343" s="3" t="inlineStr">
        <is>
          <t>BWA.distn.dec.ove.mean.10</t>
        </is>
      </c>
      <c r="B343" s="3" t="inlineStr">
        <is>
          <t>BWA</t>
        </is>
      </c>
      <c r="C343" s="3" t="n">
        <v>2005</v>
      </c>
      <c r="D343" s="3" t="inlineStr">
        <is>
          <t>Overall</t>
        </is>
      </c>
      <c r="E343" s="3" t="inlineStr">
        <is>
          <t>Deciles</t>
        </is>
      </c>
      <c r="F343" s="3" t="inlineStr">
        <is>
          <t>mean</t>
        </is>
      </c>
      <c r="G343" s="3" t="n">
        <v>10</v>
      </c>
      <c r="H343" s="3" t="n">
        <v>-0.7853782176971436</v>
      </c>
      <c r="I343" s="3" t="n">
        <v>-0.7853782176971436</v>
      </c>
      <c r="J343" s="3" t="n">
        <v>-0.8693388104438782</v>
      </c>
      <c r="K343" s="3" t="n">
        <v>-0.8693388104438782</v>
      </c>
      <c r="L343" s="3" t="n">
        <v>-0.7853782176971436</v>
      </c>
      <c r="M343" s="3" t="n">
        <v>-0.7853782176971436</v>
      </c>
      <c r="N343" s="3" t="n">
        <v>-0.7853782176971436</v>
      </c>
      <c r="O343" s="3" t="n">
        <v>-0.7853782176971436</v>
      </c>
      <c r="P343" s="3" t="n">
        <v>-0.7853782176971436</v>
      </c>
      <c r="Q343" s="3" t="n">
        <v>-0.7853782176971436</v>
      </c>
      <c r="R343" s="3" t="n">
        <v>-0.7722538709640503</v>
      </c>
      <c r="S343" s="3" t="n">
        <v>-1.073900580406189</v>
      </c>
      <c r="T343" s="3" t="n">
        <v>-0.7090408802032471</v>
      </c>
      <c r="U343" s="3" t="n">
        <v>-0.8693388104438782</v>
      </c>
      <c r="V343" s="3" t="n">
        <v>-0.6807029843330383</v>
      </c>
      <c r="W343" s="3" t="n">
        <v>-0.5637015700340271</v>
      </c>
      <c r="X343" s="3" t="n">
        <v>-1.068649649620056</v>
      </c>
      <c r="Y343" s="3" t="n">
        <v>-0.7853782176971436</v>
      </c>
      <c r="Z343" s="3" t="n">
        <v>-1.073900580406189</v>
      </c>
      <c r="AA343" s="3" t="n">
        <v>-1.073900580406189</v>
      </c>
      <c r="AB343" s="3" t="n">
        <v>-1.068649649620056</v>
      </c>
      <c r="AC343" s="3" t="n">
        <v>-1.242470145225525</v>
      </c>
      <c r="AD343" s="3" t="n">
        <v>-0.8693388104438782</v>
      </c>
      <c r="AE343" s="3" t="n">
        <v>-0.8693388104438782</v>
      </c>
    </row>
    <row r="344">
      <c r="A344" s="3" t="inlineStr">
        <is>
          <t>BWA.distn.bkt.ove.mean.9999</t>
        </is>
      </c>
      <c r="B344" s="3" t="inlineStr">
        <is>
          <t>BWA</t>
        </is>
      </c>
      <c r="C344" s="3" t="n">
        <v>2005</v>
      </c>
      <c r="D344" s="3" t="inlineStr">
        <is>
          <t>Overall</t>
        </is>
      </c>
      <c r="E344" s="3" t="inlineStr">
        <is>
          <t>Basket</t>
        </is>
      </c>
      <c r="F344" s="3" t="inlineStr">
        <is>
          <t>mean</t>
        </is>
      </c>
      <c r="G344" s="3" t="n">
        <v>9999</v>
      </c>
      <c r="H344" s="3" t="n">
        <v>-0.7869929671287537</v>
      </c>
      <c r="I344" s="3" t="n">
        <v>-0.7869929671287537</v>
      </c>
      <c r="J344" s="3" t="n">
        <v>-0.8809080719947815</v>
      </c>
      <c r="K344" s="3" t="n">
        <v>-0.8809080719947815</v>
      </c>
      <c r="L344" s="3" t="n">
        <v>-0.7869929671287537</v>
      </c>
      <c r="M344" s="3" t="n">
        <v>-0.7869929671287537</v>
      </c>
      <c r="N344" s="3" t="n">
        <v>-0.7869929671287537</v>
      </c>
      <c r="O344" s="3" t="n">
        <v>-0.7869929671287537</v>
      </c>
      <c r="P344" s="3" t="n">
        <v>-0.7869929671287537</v>
      </c>
      <c r="Q344" s="3" t="n">
        <v>-0.7869929671287537</v>
      </c>
      <c r="R344" s="3" t="n">
        <v>-0.773120105266571</v>
      </c>
      <c r="S344" s="3" t="n">
        <v>-1.216416120529175</v>
      </c>
      <c r="T344" s="3" t="n">
        <v>-0.7094486355781555</v>
      </c>
      <c r="U344" s="3" t="n">
        <v>-0.8809080719947815</v>
      </c>
      <c r="V344" s="3" t="n">
        <v>-0.6823066473007202</v>
      </c>
      <c r="W344" s="3" t="n">
        <v>-0.5844077467918396</v>
      </c>
      <c r="X344" s="3" t="n">
        <v>-1.194363832473755</v>
      </c>
      <c r="Y344" s="3" t="n">
        <v>-0.7869929671287537</v>
      </c>
      <c r="Z344" s="3" t="n">
        <v>-1.216416120529175</v>
      </c>
      <c r="AA344" s="3" t="n">
        <v>-1.216416120529175</v>
      </c>
      <c r="AB344" s="3" t="n">
        <v>-1.194363832473755</v>
      </c>
      <c r="AC344" s="3" t="n">
        <v>-1.623732566833496</v>
      </c>
      <c r="AD344" s="3" t="n">
        <v>-0.8809080719947815</v>
      </c>
      <c r="AE344" s="3" t="n">
        <v>-0.8809080719947815</v>
      </c>
    </row>
    <row r="345">
      <c r="A345" s="3" t="inlineStr">
        <is>
          <t>CAF.distn.dec.ove.mean.1</t>
        </is>
      </c>
      <c r="B345" s="3" t="inlineStr">
        <is>
          <t>CAF</t>
        </is>
      </c>
      <c r="C345" s="3" t="n">
        <v>2005</v>
      </c>
      <c r="D345" s="3" t="inlineStr">
        <is>
          <t>Overall</t>
        </is>
      </c>
      <c r="E345" s="3" t="inlineStr">
        <is>
          <t>Deciles</t>
        </is>
      </c>
      <c r="F345" s="3" t="inlineStr">
        <is>
          <t>mean</t>
        </is>
      </c>
      <c r="G345" s="3" t="n">
        <v>1</v>
      </c>
      <c r="H345" s="3" t="n">
        <v>-0.7973127365112305</v>
      </c>
      <c r="I345" s="3" t="n">
        <v>-0.7973127365112305</v>
      </c>
      <c r="J345" s="3" t="n">
        <v>-0.9562047719955444</v>
      </c>
      <c r="K345" s="3" t="n">
        <v>-0.9562047719955444</v>
      </c>
      <c r="L345" s="3" t="n">
        <v>-0.7973127365112305</v>
      </c>
      <c r="M345" s="3" t="n">
        <v>-0.7973127365112305</v>
      </c>
      <c r="N345" s="3" t="n">
        <v>-0.7973127365112305</v>
      </c>
      <c r="O345" s="3" t="n">
        <v>-0.7973127365112305</v>
      </c>
      <c r="P345" s="3" t="n">
        <v>-0.7973127365112305</v>
      </c>
      <c r="Q345" s="3" t="n">
        <v>-0.7973127365112305</v>
      </c>
      <c r="R345" s="3" t="n">
        <v>-0.7784932851791382</v>
      </c>
      <c r="S345" s="3" t="n">
        <v>-2.33148455619812</v>
      </c>
      <c r="T345" s="3" t="n">
        <v>-0.7114566564559937</v>
      </c>
      <c r="U345" s="3" t="n">
        <v>-0.9562047719955444</v>
      </c>
      <c r="V345" s="3" t="n">
        <v>-0.6920371651649475</v>
      </c>
      <c r="W345" s="3" t="n">
        <v>-0.7081697583198547</v>
      </c>
      <c r="X345" s="3" t="n">
        <v>-2.203376531600952</v>
      </c>
      <c r="Y345" s="3" t="n">
        <v>-0.7973127365112305</v>
      </c>
      <c r="Z345" s="3" t="n">
        <v>-2.33148455619812</v>
      </c>
      <c r="AA345" s="3" t="n">
        <v>-2.33148455619812</v>
      </c>
      <c r="AB345" s="3" t="n">
        <v>-2.203376531600952</v>
      </c>
      <c r="AC345" s="3" t="n">
        <v>-13.22779273986816</v>
      </c>
      <c r="AD345" s="3" t="n">
        <v>-0.9562047719955444</v>
      </c>
      <c r="AE345" s="3" t="n">
        <v>-0.9562047719955444</v>
      </c>
    </row>
    <row r="346">
      <c r="A346" s="3" t="inlineStr">
        <is>
          <t>CAF.distn.dec.ove.mean.2</t>
        </is>
      </c>
      <c r="B346" s="3" t="inlineStr">
        <is>
          <t>CAF</t>
        </is>
      </c>
      <c r="C346" s="3" t="n">
        <v>2005</v>
      </c>
      <c r="D346" s="3" t="inlineStr">
        <is>
          <t>Overall</t>
        </is>
      </c>
      <c r="E346" s="3" t="inlineStr">
        <is>
          <t>Deciles</t>
        </is>
      </c>
      <c r="F346" s="3" t="inlineStr">
        <is>
          <t>mean</t>
        </is>
      </c>
      <c r="G346" s="3" t="n">
        <v>2</v>
      </c>
      <c r="H346" s="3" t="n">
        <v>-0.7973127365112305</v>
      </c>
      <c r="I346" s="3" t="n">
        <v>-0.7973127365112305</v>
      </c>
      <c r="J346" s="3" t="n">
        <v>-0.9562047719955444</v>
      </c>
      <c r="K346" s="3" t="n">
        <v>-0.9562047719955444</v>
      </c>
      <c r="L346" s="3" t="n">
        <v>-0.7973127365112305</v>
      </c>
      <c r="M346" s="3" t="n">
        <v>-0.7973127365112305</v>
      </c>
      <c r="N346" s="3" t="n">
        <v>-0.7973127365112305</v>
      </c>
      <c r="O346" s="3" t="n">
        <v>-0.7973127365112305</v>
      </c>
      <c r="P346" s="3" t="n">
        <v>-0.7973127365112305</v>
      </c>
      <c r="Q346" s="3" t="n">
        <v>-0.7973127365112305</v>
      </c>
      <c r="R346" s="3" t="n">
        <v>-0.7784932851791382</v>
      </c>
      <c r="S346" s="3" t="n">
        <v>-2.33148455619812</v>
      </c>
      <c r="T346" s="3" t="n">
        <v>-0.7114566564559937</v>
      </c>
      <c r="U346" s="3" t="n">
        <v>-0.9562047719955444</v>
      </c>
      <c r="V346" s="3" t="n">
        <v>-0.6920371651649475</v>
      </c>
      <c r="W346" s="3" t="n">
        <v>-0.7081697583198547</v>
      </c>
      <c r="X346" s="3" t="n">
        <v>-2.203376531600952</v>
      </c>
      <c r="Y346" s="3" t="n">
        <v>-0.7973127365112305</v>
      </c>
      <c r="Z346" s="3" t="n">
        <v>-2.33148455619812</v>
      </c>
      <c r="AA346" s="3" t="n">
        <v>-2.33148455619812</v>
      </c>
      <c r="AB346" s="3" t="n">
        <v>-2.203376531600952</v>
      </c>
      <c r="AC346" s="3" t="n">
        <v>-13.22779273986816</v>
      </c>
      <c r="AD346" s="3" t="n">
        <v>-0.9562047719955444</v>
      </c>
      <c r="AE346" s="3" t="n">
        <v>-0.9562047719955444</v>
      </c>
    </row>
    <row r="347">
      <c r="A347" s="3" t="inlineStr">
        <is>
          <t>CAF.distn.dec.ove.mean.3</t>
        </is>
      </c>
      <c r="B347" s="3" t="inlineStr">
        <is>
          <t>CAF</t>
        </is>
      </c>
      <c r="C347" s="3" t="n">
        <v>2005</v>
      </c>
      <c r="D347" s="3" t="inlineStr">
        <is>
          <t>Overall</t>
        </is>
      </c>
      <c r="E347" s="3" t="inlineStr">
        <is>
          <t>Deciles</t>
        </is>
      </c>
      <c r="F347" s="3" t="inlineStr">
        <is>
          <t>mean</t>
        </is>
      </c>
      <c r="G347" s="3" t="n">
        <v>3</v>
      </c>
      <c r="H347" s="3" t="n">
        <v>-0.7973127365112305</v>
      </c>
      <c r="I347" s="3" t="n">
        <v>-0.7973127365112305</v>
      </c>
      <c r="J347" s="3" t="n">
        <v>-0.9562047719955444</v>
      </c>
      <c r="K347" s="3" t="n">
        <v>-0.9562047719955444</v>
      </c>
      <c r="L347" s="3" t="n">
        <v>-0.7973127365112305</v>
      </c>
      <c r="M347" s="3" t="n">
        <v>-0.7973127365112305</v>
      </c>
      <c r="N347" s="3" t="n">
        <v>-0.7973127365112305</v>
      </c>
      <c r="O347" s="3" t="n">
        <v>-0.7973127365112305</v>
      </c>
      <c r="P347" s="3" t="n">
        <v>-0.7973127365112305</v>
      </c>
      <c r="Q347" s="3" t="n">
        <v>-0.7973127365112305</v>
      </c>
      <c r="R347" s="3" t="n">
        <v>-0.7784932851791382</v>
      </c>
      <c r="S347" s="3" t="n">
        <v>-2.33148455619812</v>
      </c>
      <c r="T347" s="3" t="n">
        <v>-0.7114566564559937</v>
      </c>
      <c r="U347" s="3" t="n">
        <v>-0.9562047719955444</v>
      </c>
      <c r="V347" s="3" t="n">
        <v>-0.6920371651649475</v>
      </c>
      <c r="W347" s="3" t="n">
        <v>-0.7081697583198547</v>
      </c>
      <c r="X347" s="3" t="n">
        <v>-2.203376531600952</v>
      </c>
      <c r="Y347" s="3" t="n">
        <v>-0.7973127365112305</v>
      </c>
      <c r="Z347" s="3" t="n">
        <v>-2.33148455619812</v>
      </c>
      <c r="AA347" s="3" t="n">
        <v>-2.33148455619812</v>
      </c>
      <c r="AB347" s="3" t="n">
        <v>-2.203376531600952</v>
      </c>
      <c r="AC347" s="3" t="n">
        <v>-13.22779273986816</v>
      </c>
      <c r="AD347" s="3" t="n">
        <v>-0.9562047719955444</v>
      </c>
      <c r="AE347" s="3" t="n">
        <v>-0.9562047719955444</v>
      </c>
    </row>
    <row r="348">
      <c r="A348" s="3" t="inlineStr">
        <is>
          <t>CAF.distn.dec.ove.mean.4</t>
        </is>
      </c>
      <c r="B348" s="3" t="inlineStr">
        <is>
          <t>CAF</t>
        </is>
      </c>
      <c r="C348" s="3" t="n">
        <v>2005</v>
      </c>
      <c r="D348" s="3" t="inlineStr">
        <is>
          <t>Overall</t>
        </is>
      </c>
      <c r="E348" s="3" t="inlineStr">
        <is>
          <t>Deciles</t>
        </is>
      </c>
      <c r="F348" s="3" t="inlineStr">
        <is>
          <t>mean</t>
        </is>
      </c>
      <c r="G348" s="3" t="n">
        <v>4</v>
      </c>
      <c r="H348" s="3" t="n">
        <v>-0.7910000085830688</v>
      </c>
      <c r="I348" s="3" t="n">
        <v>-0.7910000085830688</v>
      </c>
      <c r="J348" s="3" t="n">
        <v>-0.9100000262260437</v>
      </c>
      <c r="K348" s="3" t="n">
        <v>-0.9100000262260437</v>
      </c>
      <c r="L348" s="3" t="n">
        <v>-0.7910000085830688</v>
      </c>
      <c r="M348" s="3" t="n">
        <v>-0.7910000085830688</v>
      </c>
      <c r="N348" s="3" t="n">
        <v>-0.7910000085830688</v>
      </c>
      <c r="O348" s="3" t="n">
        <v>-0.7910000085830688</v>
      </c>
      <c r="P348" s="3" t="n">
        <v>-0.7910000085830688</v>
      </c>
      <c r="Q348" s="3" t="n">
        <v>-0.7910000085830688</v>
      </c>
      <c r="R348" s="3" t="n">
        <v>-0.7749999761581421</v>
      </c>
      <c r="S348" s="3" t="n">
        <v>-1.588000059127808</v>
      </c>
      <c r="T348" s="3" t="n">
        <v>-0.7099999785423279</v>
      </c>
      <c r="U348" s="3" t="n">
        <v>-0.9100000262260437</v>
      </c>
      <c r="V348" s="3" t="n">
        <v>-0.6850000023841858</v>
      </c>
      <c r="W348" s="3" t="n">
        <v>-0.5960000157356262</v>
      </c>
      <c r="X348" s="3" t="n">
        <v>-1.554999947547913</v>
      </c>
      <c r="Y348" s="3" t="n">
        <v>-0.7910000085830688</v>
      </c>
      <c r="Z348" s="3" t="n">
        <v>-1.588000059127808</v>
      </c>
      <c r="AA348" s="3" t="n">
        <v>-1.588000059127808</v>
      </c>
      <c r="AB348" s="3" t="n">
        <v>-1.554999947547913</v>
      </c>
      <c r="AC348" s="3" t="n">
        <v>-6.388000011444092</v>
      </c>
      <c r="AD348" s="3" t="n">
        <v>-0.9100000262260437</v>
      </c>
      <c r="AE348" s="3" t="n">
        <v>-0.9100000262260437</v>
      </c>
    </row>
    <row r="349">
      <c r="A349" s="3" t="inlineStr">
        <is>
          <t>CAF.distn.dec.ove.mean.5</t>
        </is>
      </c>
      <c r="B349" s="3" t="inlineStr">
        <is>
          <t>CAF</t>
        </is>
      </c>
      <c r="C349" s="3" t="n">
        <v>2005</v>
      </c>
      <c r="D349" s="3" t="inlineStr">
        <is>
          <t>Overall</t>
        </is>
      </c>
      <c r="E349" s="3" t="inlineStr">
        <is>
          <t>Deciles</t>
        </is>
      </c>
      <c r="F349" s="3" t="inlineStr">
        <is>
          <t>mean</t>
        </is>
      </c>
      <c r="G349" s="3" t="n">
        <v>5</v>
      </c>
      <c r="H349" s="3" t="n">
        <v>-0.7910000085830688</v>
      </c>
      <c r="I349" s="3" t="n">
        <v>-0.7910000085830688</v>
      </c>
      <c r="J349" s="3" t="n">
        <v>-0.9100000262260437</v>
      </c>
      <c r="K349" s="3" t="n">
        <v>-0.9100000262260437</v>
      </c>
      <c r="L349" s="3" t="n">
        <v>-0.7910000085830688</v>
      </c>
      <c r="M349" s="3" t="n">
        <v>-0.7910000085830688</v>
      </c>
      <c r="N349" s="3" t="n">
        <v>-0.7910000085830688</v>
      </c>
      <c r="O349" s="3" t="n">
        <v>-0.7910000085830688</v>
      </c>
      <c r="P349" s="3" t="n">
        <v>-0.7910000085830688</v>
      </c>
      <c r="Q349" s="3" t="n">
        <v>-0.7910000085830688</v>
      </c>
      <c r="R349" s="3" t="n">
        <v>-0.7749999761581421</v>
      </c>
      <c r="S349" s="3" t="n">
        <v>-1.588000059127808</v>
      </c>
      <c r="T349" s="3" t="n">
        <v>-0.7099999785423279</v>
      </c>
      <c r="U349" s="3" t="n">
        <v>-0.9100000262260437</v>
      </c>
      <c r="V349" s="3" t="n">
        <v>-0.6850000023841858</v>
      </c>
      <c r="W349" s="3" t="n">
        <v>-0.5960000157356262</v>
      </c>
      <c r="X349" s="3" t="n">
        <v>-1.554999947547913</v>
      </c>
      <c r="Y349" s="3" t="n">
        <v>-0.7910000085830688</v>
      </c>
      <c r="Z349" s="3" t="n">
        <v>-1.588000059127808</v>
      </c>
      <c r="AA349" s="3" t="n">
        <v>-1.588000059127808</v>
      </c>
      <c r="AB349" s="3" t="n">
        <v>-1.554999947547913</v>
      </c>
      <c r="AC349" s="3" t="n">
        <v>-6.388000011444092</v>
      </c>
      <c r="AD349" s="3" t="n">
        <v>-0.9100000262260437</v>
      </c>
      <c r="AE349" s="3" t="n">
        <v>-0.9100000262260437</v>
      </c>
    </row>
    <row r="350">
      <c r="A350" s="3" t="inlineStr">
        <is>
          <t>CAF.distn.dec.ove.mean.6</t>
        </is>
      </c>
      <c r="B350" s="3" t="inlineStr">
        <is>
          <t>CAF</t>
        </is>
      </c>
      <c r="C350" s="3" t="n">
        <v>2005</v>
      </c>
      <c r="D350" s="3" t="inlineStr">
        <is>
          <t>Overall</t>
        </is>
      </c>
      <c r="E350" s="3" t="inlineStr">
        <is>
          <t>Deciles</t>
        </is>
      </c>
      <c r="F350" s="3" t="inlineStr">
        <is>
          <t>mean</t>
        </is>
      </c>
      <c r="G350" s="3" t="n">
        <v>6</v>
      </c>
      <c r="H350" s="3" t="n">
        <v>-0.7910000085830688</v>
      </c>
      <c r="I350" s="3" t="n">
        <v>-0.7910000085830688</v>
      </c>
      <c r="J350" s="3" t="n">
        <v>-0.9100000262260437</v>
      </c>
      <c r="K350" s="3" t="n">
        <v>-0.9100000262260437</v>
      </c>
      <c r="L350" s="3" t="n">
        <v>-0.7910000085830688</v>
      </c>
      <c r="M350" s="3" t="n">
        <v>-0.7910000085830688</v>
      </c>
      <c r="N350" s="3" t="n">
        <v>-0.7910000085830688</v>
      </c>
      <c r="O350" s="3" t="n">
        <v>-0.7910000085830688</v>
      </c>
      <c r="P350" s="3" t="n">
        <v>-0.7910000085830688</v>
      </c>
      <c r="Q350" s="3" t="n">
        <v>-0.7910000085830688</v>
      </c>
      <c r="R350" s="3" t="n">
        <v>-0.7749999761581421</v>
      </c>
      <c r="S350" s="3" t="n">
        <v>-1.588000059127808</v>
      </c>
      <c r="T350" s="3" t="n">
        <v>-0.7099999785423279</v>
      </c>
      <c r="U350" s="3" t="n">
        <v>-0.9100000262260437</v>
      </c>
      <c r="V350" s="3" t="n">
        <v>-0.6850000023841858</v>
      </c>
      <c r="W350" s="3" t="n">
        <v>-0.5960000157356262</v>
      </c>
      <c r="X350" s="3" t="n">
        <v>-1.554999947547913</v>
      </c>
      <c r="Y350" s="3" t="n">
        <v>-0.7910000085830688</v>
      </c>
      <c r="Z350" s="3" t="n">
        <v>-1.588000059127808</v>
      </c>
      <c r="AA350" s="3" t="n">
        <v>-1.588000059127808</v>
      </c>
      <c r="AB350" s="3" t="n">
        <v>-1.554999947547913</v>
      </c>
      <c r="AC350" s="3" t="n">
        <v>-6.388000011444092</v>
      </c>
      <c r="AD350" s="3" t="n">
        <v>-0.9100000262260437</v>
      </c>
      <c r="AE350" s="3" t="n">
        <v>-0.9100000262260437</v>
      </c>
    </row>
    <row r="351">
      <c r="A351" s="3" t="inlineStr">
        <is>
          <t>CAF.distn.dec.ove.mean.7</t>
        </is>
      </c>
      <c r="B351" s="3" t="inlineStr">
        <is>
          <t>CAF</t>
        </is>
      </c>
      <c r="C351" s="3" t="n">
        <v>2005</v>
      </c>
      <c r="D351" s="3" t="inlineStr">
        <is>
          <t>Overall</t>
        </is>
      </c>
      <c r="E351" s="3" t="inlineStr">
        <is>
          <t>Deciles</t>
        </is>
      </c>
      <c r="F351" s="3" t="inlineStr">
        <is>
          <t>mean</t>
        </is>
      </c>
      <c r="G351" s="3" t="n">
        <v>7</v>
      </c>
      <c r="H351" s="3" t="n">
        <v>-0.7910000085830688</v>
      </c>
      <c r="I351" s="3" t="n">
        <v>-0.7910000085830688</v>
      </c>
      <c r="J351" s="3" t="n">
        <v>-0.9100000262260437</v>
      </c>
      <c r="K351" s="3" t="n">
        <v>-0.9100000262260437</v>
      </c>
      <c r="L351" s="3" t="n">
        <v>-0.7910000085830688</v>
      </c>
      <c r="M351" s="3" t="n">
        <v>-0.7910000085830688</v>
      </c>
      <c r="N351" s="3" t="n">
        <v>-0.7910000085830688</v>
      </c>
      <c r="O351" s="3" t="n">
        <v>-0.7910000085830688</v>
      </c>
      <c r="P351" s="3" t="n">
        <v>-0.7910000085830688</v>
      </c>
      <c r="Q351" s="3" t="n">
        <v>-0.7910000085830688</v>
      </c>
      <c r="R351" s="3" t="n">
        <v>-0.7749999761581421</v>
      </c>
      <c r="S351" s="3" t="n">
        <v>-1.588000059127808</v>
      </c>
      <c r="T351" s="3" t="n">
        <v>-0.7099999785423279</v>
      </c>
      <c r="U351" s="3" t="n">
        <v>-0.9100000262260437</v>
      </c>
      <c r="V351" s="3" t="n">
        <v>-0.6850000023841858</v>
      </c>
      <c r="W351" s="3" t="n">
        <v>-0.5960000157356262</v>
      </c>
      <c r="X351" s="3" t="n">
        <v>-1.554999947547913</v>
      </c>
      <c r="Y351" s="3" t="n">
        <v>-0.7910000085830688</v>
      </c>
      <c r="Z351" s="3" t="n">
        <v>-1.588000059127808</v>
      </c>
      <c r="AA351" s="3" t="n">
        <v>-1.588000059127808</v>
      </c>
      <c r="AB351" s="3" t="n">
        <v>-1.554999947547913</v>
      </c>
      <c r="AC351" s="3" t="n">
        <v>-6.388000011444092</v>
      </c>
      <c r="AD351" s="3" t="n">
        <v>-0.9100000262260437</v>
      </c>
      <c r="AE351" s="3" t="n">
        <v>-0.9100000262260437</v>
      </c>
    </row>
    <row r="352">
      <c r="A352" s="3" t="inlineStr">
        <is>
          <t>CAF.distn.dec.ove.mean.8</t>
        </is>
      </c>
      <c r="B352" s="3" t="inlineStr">
        <is>
          <t>CAF</t>
        </is>
      </c>
      <c r="C352" s="3" t="n">
        <v>2005</v>
      </c>
      <c r="D352" s="3" t="inlineStr">
        <is>
          <t>Overall</t>
        </is>
      </c>
      <c r="E352" s="3" t="inlineStr">
        <is>
          <t>Deciles</t>
        </is>
      </c>
      <c r="F352" s="3" t="inlineStr">
        <is>
          <t>mean</t>
        </is>
      </c>
      <c r="G352" s="3" t="n">
        <v>8</v>
      </c>
      <c r="H352" s="3" t="n">
        <v>-0.7913810610771179</v>
      </c>
      <c r="I352" s="3" t="n">
        <v>-0.7913810610771179</v>
      </c>
      <c r="J352" s="3" t="n">
        <v>-0.9124547839164734</v>
      </c>
      <c r="K352" s="3" t="n">
        <v>-0.9124547839164734</v>
      </c>
      <c r="L352" s="3" t="n">
        <v>-0.7913810610771179</v>
      </c>
      <c r="M352" s="3" t="n">
        <v>-0.7913810610771179</v>
      </c>
      <c r="N352" s="3" t="n">
        <v>-0.7913810610771179</v>
      </c>
      <c r="O352" s="3" t="n">
        <v>-0.7913810610771179</v>
      </c>
      <c r="P352" s="3" t="n">
        <v>-0.7913810610771179</v>
      </c>
      <c r="Q352" s="3" t="n">
        <v>-0.7913810610771179</v>
      </c>
      <c r="R352" s="3" t="n">
        <v>-0.7752549052238464</v>
      </c>
      <c r="S352" s="3" t="n">
        <v>-1.602776527404785</v>
      </c>
      <c r="T352" s="3" t="n">
        <v>-0.7100409269332886</v>
      </c>
      <c r="U352" s="3" t="n">
        <v>-0.9124547839164734</v>
      </c>
      <c r="V352" s="3" t="n">
        <v>-0.6857081055641174</v>
      </c>
      <c r="W352" s="3" t="n">
        <v>-0.6119601726531982</v>
      </c>
      <c r="X352" s="3" t="n">
        <v>-1.569169163703918</v>
      </c>
      <c r="Y352" s="3" t="n">
        <v>-0.7913810610771179</v>
      </c>
      <c r="Z352" s="3" t="n">
        <v>-1.602776527404785</v>
      </c>
      <c r="AA352" s="3" t="n">
        <v>-1.602776527404785</v>
      </c>
      <c r="AB352" s="3" t="n">
        <v>-1.569169163703918</v>
      </c>
      <c r="AC352" s="3" t="n">
        <v>-6.479101181030273</v>
      </c>
      <c r="AD352" s="3" t="n">
        <v>-0.9124547839164734</v>
      </c>
      <c r="AE352" s="3" t="n">
        <v>-0.9124547839164734</v>
      </c>
    </row>
    <row r="353">
      <c r="A353" s="3" t="inlineStr">
        <is>
          <t>CAF.distn.dec.ove.mean.9</t>
        </is>
      </c>
      <c r="B353" s="3" t="inlineStr">
        <is>
          <t>CAF</t>
        </is>
      </c>
      <c r="C353" s="3" t="n">
        <v>2005</v>
      </c>
      <c r="D353" s="3" t="inlineStr">
        <is>
          <t>Overall</t>
        </is>
      </c>
      <c r="E353" s="3" t="inlineStr">
        <is>
          <t>Deciles</t>
        </is>
      </c>
      <c r="F353" s="3" t="inlineStr">
        <is>
          <t>mean</t>
        </is>
      </c>
      <c r="G353" s="3" t="n">
        <v>9</v>
      </c>
      <c r="H353" s="3" t="n">
        <v>-0.7913810610771179</v>
      </c>
      <c r="I353" s="3" t="n">
        <v>-0.7913810610771179</v>
      </c>
      <c r="J353" s="3" t="n">
        <v>-0.9124547839164734</v>
      </c>
      <c r="K353" s="3" t="n">
        <v>-0.9124547839164734</v>
      </c>
      <c r="L353" s="3" t="n">
        <v>-0.7913810610771179</v>
      </c>
      <c r="M353" s="3" t="n">
        <v>-0.7913810610771179</v>
      </c>
      <c r="N353" s="3" t="n">
        <v>-0.7913810610771179</v>
      </c>
      <c r="O353" s="3" t="n">
        <v>-0.7913810610771179</v>
      </c>
      <c r="P353" s="3" t="n">
        <v>-0.7913810610771179</v>
      </c>
      <c r="Q353" s="3" t="n">
        <v>-0.7913810610771179</v>
      </c>
      <c r="R353" s="3" t="n">
        <v>-0.7752549052238464</v>
      </c>
      <c r="S353" s="3" t="n">
        <v>-1.602776527404785</v>
      </c>
      <c r="T353" s="3" t="n">
        <v>-0.7100409269332886</v>
      </c>
      <c r="U353" s="3" t="n">
        <v>-0.9124547839164734</v>
      </c>
      <c r="V353" s="3" t="n">
        <v>-0.6857081055641174</v>
      </c>
      <c r="W353" s="3" t="n">
        <v>-0.6119601726531982</v>
      </c>
      <c r="X353" s="3" t="n">
        <v>-1.569169163703918</v>
      </c>
      <c r="Y353" s="3" t="n">
        <v>-0.7913810610771179</v>
      </c>
      <c r="Z353" s="3" t="n">
        <v>-1.602776527404785</v>
      </c>
      <c r="AA353" s="3" t="n">
        <v>-1.602776527404785</v>
      </c>
      <c r="AB353" s="3" t="n">
        <v>-1.569169163703918</v>
      </c>
      <c r="AC353" s="3" t="n">
        <v>-6.479101181030273</v>
      </c>
      <c r="AD353" s="3" t="n">
        <v>-0.9124547839164734</v>
      </c>
      <c r="AE353" s="3" t="n">
        <v>-0.9124547839164734</v>
      </c>
    </row>
    <row r="354">
      <c r="A354" s="3" t="inlineStr">
        <is>
          <t>CAF.distn.dec.ove.mean.10</t>
        </is>
      </c>
      <c r="B354" s="3" t="inlineStr">
        <is>
          <t>CAF</t>
        </is>
      </c>
      <c r="C354" s="3" t="n">
        <v>2005</v>
      </c>
      <c r="D354" s="3" t="inlineStr">
        <is>
          <t>Overall</t>
        </is>
      </c>
      <c r="E354" s="3" t="inlineStr">
        <is>
          <t>Deciles</t>
        </is>
      </c>
      <c r="F354" s="3" t="inlineStr">
        <is>
          <t>mean</t>
        </is>
      </c>
      <c r="G354" s="3" t="n">
        <v>10</v>
      </c>
      <c r="H354" s="3" t="n">
        <v>-0.7913810610771179</v>
      </c>
      <c r="I354" s="3" t="n">
        <v>-0.7913810610771179</v>
      </c>
      <c r="J354" s="3" t="n">
        <v>-0.9124547839164734</v>
      </c>
      <c r="K354" s="3" t="n">
        <v>-0.9124547839164734</v>
      </c>
      <c r="L354" s="3" t="n">
        <v>-0.7913810610771179</v>
      </c>
      <c r="M354" s="3" t="n">
        <v>-0.7913810610771179</v>
      </c>
      <c r="N354" s="3" t="n">
        <v>-0.7913810610771179</v>
      </c>
      <c r="O354" s="3" t="n">
        <v>-0.7913810610771179</v>
      </c>
      <c r="P354" s="3" t="n">
        <v>-0.7913810610771179</v>
      </c>
      <c r="Q354" s="3" t="n">
        <v>-0.7913810610771179</v>
      </c>
      <c r="R354" s="3" t="n">
        <v>-0.7752549052238464</v>
      </c>
      <c r="S354" s="3" t="n">
        <v>-1.602776527404785</v>
      </c>
      <c r="T354" s="3" t="n">
        <v>-0.7100409269332886</v>
      </c>
      <c r="U354" s="3" t="n">
        <v>-0.9124547839164734</v>
      </c>
      <c r="V354" s="3" t="n">
        <v>-0.6857081055641174</v>
      </c>
      <c r="W354" s="3" t="n">
        <v>-0.6119601726531982</v>
      </c>
      <c r="X354" s="3" t="n">
        <v>-1.569169163703918</v>
      </c>
      <c r="Y354" s="3" t="n">
        <v>-0.7913810610771179</v>
      </c>
      <c r="Z354" s="3" t="n">
        <v>-1.602776527404785</v>
      </c>
      <c r="AA354" s="3" t="n">
        <v>-1.602776527404785</v>
      </c>
      <c r="AB354" s="3" t="n">
        <v>-1.569169163703918</v>
      </c>
      <c r="AC354" s="3" t="n">
        <v>-6.479101181030273</v>
      </c>
      <c r="AD354" s="3" t="n">
        <v>-0.9124547839164734</v>
      </c>
      <c r="AE354" s="3" t="n">
        <v>-0.9124547839164734</v>
      </c>
    </row>
    <row r="355">
      <c r="A355" s="3" t="inlineStr">
        <is>
          <t>CAF.distn.bkt.ove.mean.9999</t>
        </is>
      </c>
      <c r="B355" s="3" t="inlineStr">
        <is>
          <t>CAF</t>
        </is>
      </c>
      <c r="C355" s="3" t="n">
        <v>2005</v>
      </c>
      <c r="D355" s="3" t="inlineStr">
        <is>
          <t>Overall</t>
        </is>
      </c>
      <c r="E355" s="3" t="inlineStr">
        <is>
          <t>Basket</t>
        </is>
      </c>
      <c r="F355" s="3" t="inlineStr">
        <is>
          <t>mean</t>
        </is>
      </c>
      <c r="G355" s="3" t="n">
        <v>9999</v>
      </c>
      <c r="H355" s="3" t="n">
        <v>-0.7930081486701965</v>
      </c>
      <c r="I355" s="3" t="n">
        <v>-0.7930081486701965</v>
      </c>
      <c r="J355" s="3" t="n">
        <v>-0.9245978593826294</v>
      </c>
      <c r="K355" s="3" t="n">
        <v>-0.9245978593826294</v>
      </c>
      <c r="L355" s="3" t="n">
        <v>-0.7930081486701965</v>
      </c>
      <c r="M355" s="3" t="n">
        <v>-0.7930081486701965</v>
      </c>
      <c r="N355" s="3" t="n">
        <v>-0.7930081486701965</v>
      </c>
      <c r="O355" s="3" t="n">
        <v>-0.7930081486701965</v>
      </c>
      <c r="P355" s="3" t="n">
        <v>-0.7930081486701965</v>
      </c>
      <c r="Q355" s="3" t="n">
        <v>-0.7930081486701965</v>
      </c>
      <c r="R355" s="3" t="n">
        <v>-0.7761244773864746</v>
      </c>
      <c r="S355" s="3" t="n">
        <v>-1.815478324890137</v>
      </c>
      <c r="T355" s="3" t="n">
        <v>-0.7104492783546448</v>
      </c>
      <c r="U355" s="3" t="n">
        <v>-0.9245978593826294</v>
      </c>
      <c r="V355" s="3" t="n">
        <v>-0.6873235702514648</v>
      </c>
      <c r="W355" s="3" t="n">
        <v>-0.6344389915466309</v>
      </c>
      <c r="X355" s="3" t="n">
        <v>-1.753763675689697</v>
      </c>
      <c r="Y355" s="3" t="n">
        <v>-0.7930081486701965</v>
      </c>
      <c r="Z355" s="3" t="n">
        <v>-1.815478324890137</v>
      </c>
      <c r="AA355" s="3" t="n">
        <v>-1.815478324890137</v>
      </c>
      <c r="AB355" s="3" t="n">
        <v>-1.753763675689697</v>
      </c>
      <c r="AC355" s="3" t="n">
        <v>-8.467267990112305</v>
      </c>
      <c r="AD355" s="3" t="n">
        <v>-0.9245978593826294</v>
      </c>
      <c r="AE355" s="3" t="n">
        <v>-0.9245978593826294</v>
      </c>
    </row>
    <row r="356">
      <c r="A356" s="3" t="inlineStr">
        <is>
          <t>CAN.distn.dec.ove.mean.1</t>
        </is>
      </c>
      <c r="B356" s="3" t="inlineStr">
        <is>
          <t>CAN</t>
        </is>
      </c>
      <c r="C356" s="3" t="n">
        <v>2005</v>
      </c>
      <c r="D356" s="3" t="inlineStr">
        <is>
          <t>Overall</t>
        </is>
      </c>
      <c r="E356" s="3" t="inlineStr">
        <is>
          <t>Deciles</t>
        </is>
      </c>
      <c r="F356" s="3" t="inlineStr">
        <is>
          <t>mean</t>
        </is>
      </c>
      <c r="G356" s="3" t="n">
        <v>1</v>
      </c>
      <c r="H356" s="3" t="n">
        <v>-0.7882409691810608</v>
      </c>
      <c r="I356" s="3" t="n">
        <v>-0.7882409691810608</v>
      </c>
      <c r="J356" s="3" t="n">
        <v>-0.8889551758766174</v>
      </c>
      <c r="K356" s="3" t="n">
        <v>-0.8889551758766174</v>
      </c>
      <c r="L356" s="3" t="n">
        <v>-0.7882409691810608</v>
      </c>
      <c r="M356" s="3" t="n">
        <v>-0.7882409691810608</v>
      </c>
      <c r="N356" s="3" t="n">
        <v>-0.7882409691810608</v>
      </c>
      <c r="O356" s="3" t="n">
        <v>-0.7882409691810608</v>
      </c>
      <c r="P356" s="3" t="n">
        <v>-0.7882409691810608</v>
      </c>
      <c r="Q356" s="3" t="n">
        <v>-0.7882409691810608</v>
      </c>
      <c r="R356" s="3" t="n">
        <v>-0.7734707593917847</v>
      </c>
      <c r="S356" s="3" t="n">
        <v>-1.410929918289185</v>
      </c>
      <c r="T356" s="3" t="n">
        <v>-0.7094525694847107</v>
      </c>
      <c r="U356" s="3" t="n">
        <v>-0.8889551758766174</v>
      </c>
      <c r="V356" s="3" t="n">
        <v>-0.6819344758987427</v>
      </c>
      <c r="W356" s="3" t="n">
        <v>-0.578655481338501</v>
      </c>
      <c r="X356" s="3" t="n">
        <v>-1.358866930007935</v>
      </c>
      <c r="Y356" s="3" t="n">
        <v>-0.7882409691810608</v>
      </c>
      <c r="Z356" s="3" t="n">
        <v>-1.410929918289185</v>
      </c>
      <c r="AA356" s="3" t="n">
        <v>-1.410929918289185</v>
      </c>
      <c r="AB356" s="3" t="n">
        <v>-1.358866930007935</v>
      </c>
      <c r="AC356" s="3" t="n">
        <v>-2.128705501556396</v>
      </c>
      <c r="AD356" s="3" t="n">
        <v>-0.8889551758766174</v>
      </c>
      <c r="AE356" s="3" t="n">
        <v>-0.8889551758766174</v>
      </c>
    </row>
    <row r="357">
      <c r="A357" s="3" t="inlineStr">
        <is>
          <t>CAN.distn.dec.ove.mean.2</t>
        </is>
      </c>
      <c r="B357" s="3" t="inlineStr">
        <is>
          <t>CAN</t>
        </is>
      </c>
      <c r="C357" s="3" t="n">
        <v>2005</v>
      </c>
      <c r="D357" s="3" t="inlineStr">
        <is>
          <t>Overall</t>
        </is>
      </c>
      <c r="E357" s="3" t="inlineStr">
        <is>
          <t>Deciles</t>
        </is>
      </c>
      <c r="F357" s="3" t="inlineStr">
        <is>
          <t>mean</t>
        </is>
      </c>
      <c r="G357" s="3" t="n">
        <v>2</v>
      </c>
      <c r="H357" s="3" t="n">
        <v>-0.7882409691810608</v>
      </c>
      <c r="I357" s="3" t="n">
        <v>-0.7882409691810608</v>
      </c>
      <c r="J357" s="3" t="n">
        <v>-0.8889551758766174</v>
      </c>
      <c r="K357" s="3" t="n">
        <v>-0.8889551758766174</v>
      </c>
      <c r="L357" s="3" t="n">
        <v>-0.7882409691810608</v>
      </c>
      <c r="M357" s="3" t="n">
        <v>-0.7882409691810608</v>
      </c>
      <c r="N357" s="3" t="n">
        <v>-0.7882409691810608</v>
      </c>
      <c r="O357" s="3" t="n">
        <v>-0.7882409691810608</v>
      </c>
      <c r="P357" s="3" t="n">
        <v>-0.7882409691810608</v>
      </c>
      <c r="Q357" s="3" t="n">
        <v>-0.7882409691810608</v>
      </c>
      <c r="R357" s="3" t="n">
        <v>-0.7734707593917847</v>
      </c>
      <c r="S357" s="3" t="n">
        <v>-1.410929918289185</v>
      </c>
      <c r="T357" s="3" t="n">
        <v>-0.7094525694847107</v>
      </c>
      <c r="U357" s="3" t="n">
        <v>-0.8889551758766174</v>
      </c>
      <c r="V357" s="3" t="n">
        <v>-0.6819344758987427</v>
      </c>
      <c r="W357" s="3" t="n">
        <v>-0.578655481338501</v>
      </c>
      <c r="X357" s="3" t="n">
        <v>-1.358866930007935</v>
      </c>
      <c r="Y357" s="3" t="n">
        <v>-0.7882409691810608</v>
      </c>
      <c r="Z357" s="3" t="n">
        <v>-1.410929918289185</v>
      </c>
      <c r="AA357" s="3" t="n">
        <v>-1.410929918289185</v>
      </c>
      <c r="AB357" s="3" t="n">
        <v>-1.358866930007935</v>
      </c>
      <c r="AC357" s="3" t="n">
        <v>-2.128705501556396</v>
      </c>
      <c r="AD357" s="3" t="n">
        <v>-0.8889551758766174</v>
      </c>
      <c r="AE357" s="3" t="n">
        <v>-0.8889551758766174</v>
      </c>
    </row>
    <row r="358">
      <c r="A358" s="3" t="inlineStr">
        <is>
          <t>CAN.distn.dec.ove.mean.3</t>
        </is>
      </c>
      <c r="B358" s="3" t="inlineStr">
        <is>
          <t>CAN</t>
        </is>
      </c>
      <c r="C358" s="3" t="n">
        <v>2005</v>
      </c>
      <c r="D358" s="3" t="inlineStr">
        <is>
          <t>Overall</t>
        </is>
      </c>
      <c r="E358" s="3" t="inlineStr">
        <is>
          <t>Deciles</t>
        </is>
      </c>
      <c r="F358" s="3" t="inlineStr">
        <is>
          <t>mean</t>
        </is>
      </c>
      <c r="G358" s="3" t="n">
        <v>3</v>
      </c>
      <c r="H358" s="3" t="n">
        <v>-0.7882409691810608</v>
      </c>
      <c r="I358" s="3" t="n">
        <v>-0.7882409691810608</v>
      </c>
      <c r="J358" s="3" t="n">
        <v>-0.8889551758766174</v>
      </c>
      <c r="K358" s="3" t="n">
        <v>-0.8889551758766174</v>
      </c>
      <c r="L358" s="3" t="n">
        <v>-0.7882409691810608</v>
      </c>
      <c r="M358" s="3" t="n">
        <v>-0.7882409691810608</v>
      </c>
      <c r="N358" s="3" t="n">
        <v>-0.7882409691810608</v>
      </c>
      <c r="O358" s="3" t="n">
        <v>-0.7882409691810608</v>
      </c>
      <c r="P358" s="3" t="n">
        <v>-0.7882409691810608</v>
      </c>
      <c r="Q358" s="3" t="n">
        <v>-0.7882409691810608</v>
      </c>
      <c r="R358" s="3" t="n">
        <v>-0.7734707593917847</v>
      </c>
      <c r="S358" s="3" t="n">
        <v>-1.410929918289185</v>
      </c>
      <c r="T358" s="3" t="n">
        <v>-0.7094525694847107</v>
      </c>
      <c r="U358" s="3" t="n">
        <v>-0.8889551758766174</v>
      </c>
      <c r="V358" s="3" t="n">
        <v>-0.6819344758987427</v>
      </c>
      <c r="W358" s="3" t="n">
        <v>-0.578655481338501</v>
      </c>
      <c r="X358" s="3" t="n">
        <v>-1.358866930007935</v>
      </c>
      <c r="Y358" s="3" t="n">
        <v>-0.7882409691810608</v>
      </c>
      <c r="Z358" s="3" t="n">
        <v>-1.410929918289185</v>
      </c>
      <c r="AA358" s="3" t="n">
        <v>-1.410929918289185</v>
      </c>
      <c r="AB358" s="3" t="n">
        <v>-1.358866930007935</v>
      </c>
      <c r="AC358" s="3" t="n">
        <v>-2.128705501556396</v>
      </c>
      <c r="AD358" s="3" t="n">
        <v>-0.8889551758766174</v>
      </c>
      <c r="AE358" s="3" t="n">
        <v>-0.8889551758766174</v>
      </c>
    </row>
    <row r="359">
      <c r="A359" s="3" t="inlineStr">
        <is>
          <t>CAN.distn.dec.ove.mean.4</t>
        </is>
      </c>
      <c r="B359" s="3" t="inlineStr">
        <is>
          <t>CAN</t>
        </is>
      </c>
      <c r="C359" s="3" t="n">
        <v>2005</v>
      </c>
      <c r="D359" s="3" t="inlineStr">
        <is>
          <t>Overall</t>
        </is>
      </c>
      <c r="E359" s="3" t="inlineStr">
        <is>
          <t>Deciles</t>
        </is>
      </c>
      <c r="F359" s="3" t="inlineStr">
        <is>
          <t>mean</t>
        </is>
      </c>
      <c r="G359" s="3" t="n">
        <v>4</v>
      </c>
      <c r="H359" s="3" t="n">
        <v>-0.7820000052452087</v>
      </c>
      <c r="I359" s="3" t="n">
        <v>-0.7820000052452087</v>
      </c>
      <c r="J359" s="3" t="n">
        <v>-0.8460000157356262</v>
      </c>
      <c r="K359" s="3" t="n">
        <v>-0.8460000157356262</v>
      </c>
      <c r="L359" s="3" t="n">
        <v>-0.7820000052452087</v>
      </c>
      <c r="M359" s="3" t="n">
        <v>-0.7820000052452087</v>
      </c>
      <c r="N359" s="3" t="n">
        <v>-0.7820000052452087</v>
      </c>
      <c r="O359" s="3" t="n">
        <v>-0.7820000052452087</v>
      </c>
      <c r="P359" s="3" t="n">
        <v>-0.7820000052452087</v>
      </c>
      <c r="Q359" s="3" t="n">
        <v>-0.7820000052452087</v>
      </c>
      <c r="R359" s="3" t="n">
        <v>-0.7699999809265137</v>
      </c>
      <c r="S359" s="3" t="n">
        <v>-0.9610000252723694</v>
      </c>
      <c r="T359" s="3" t="n">
        <v>-0.7080000042915344</v>
      </c>
      <c r="U359" s="3" t="n">
        <v>-0.8460000157356262</v>
      </c>
      <c r="V359" s="3" t="n">
        <v>-0.675000011920929</v>
      </c>
      <c r="W359" s="3" t="n">
        <v>-0.4869999885559082</v>
      </c>
      <c r="X359" s="3" t="n">
        <v>-0.9589999914169312</v>
      </c>
      <c r="Y359" s="3" t="n">
        <v>-0.7820000052452087</v>
      </c>
      <c r="Z359" s="3" t="n">
        <v>-0.9610000252723694</v>
      </c>
      <c r="AA359" s="3" t="n">
        <v>-0.9610000252723694</v>
      </c>
      <c r="AB359" s="3" t="n">
        <v>-0.9589999914169312</v>
      </c>
      <c r="AC359" s="3" t="n">
        <v>-1.027999997138977</v>
      </c>
      <c r="AD359" s="3" t="n">
        <v>-0.8460000157356262</v>
      </c>
      <c r="AE359" s="3" t="n">
        <v>-0.8460000157356262</v>
      </c>
    </row>
    <row r="360">
      <c r="A360" s="3" t="inlineStr">
        <is>
          <t>CAN.distn.dec.ove.mean.5</t>
        </is>
      </c>
      <c r="B360" s="3" t="inlineStr">
        <is>
          <t>CAN</t>
        </is>
      </c>
      <c r="C360" s="3" t="n">
        <v>2005</v>
      </c>
      <c r="D360" s="3" t="inlineStr">
        <is>
          <t>Overall</t>
        </is>
      </c>
      <c r="E360" s="3" t="inlineStr">
        <is>
          <t>Deciles</t>
        </is>
      </c>
      <c r="F360" s="3" t="inlineStr">
        <is>
          <t>mean</t>
        </is>
      </c>
      <c r="G360" s="3" t="n">
        <v>5</v>
      </c>
      <c r="H360" s="3" t="n">
        <v>-0.7820000052452087</v>
      </c>
      <c r="I360" s="3" t="n">
        <v>-0.7820000052452087</v>
      </c>
      <c r="J360" s="3" t="n">
        <v>-0.8460000157356262</v>
      </c>
      <c r="K360" s="3" t="n">
        <v>-0.8460000157356262</v>
      </c>
      <c r="L360" s="3" t="n">
        <v>-0.7820000052452087</v>
      </c>
      <c r="M360" s="3" t="n">
        <v>-0.7820000052452087</v>
      </c>
      <c r="N360" s="3" t="n">
        <v>-0.7820000052452087</v>
      </c>
      <c r="O360" s="3" t="n">
        <v>-0.7820000052452087</v>
      </c>
      <c r="P360" s="3" t="n">
        <v>-0.7820000052452087</v>
      </c>
      <c r="Q360" s="3" t="n">
        <v>-0.7820000052452087</v>
      </c>
      <c r="R360" s="3" t="n">
        <v>-0.7699999809265137</v>
      </c>
      <c r="S360" s="3" t="n">
        <v>-0.9610000252723694</v>
      </c>
      <c r="T360" s="3" t="n">
        <v>-0.7080000042915344</v>
      </c>
      <c r="U360" s="3" t="n">
        <v>-0.8460000157356262</v>
      </c>
      <c r="V360" s="3" t="n">
        <v>-0.675000011920929</v>
      </c>
      <c r="W360" s="3" t="n">
        <v>-0.4869999885559082</v>
      </c>
      <c r="X360" s="3" t="n">
        <v>-0.9589999914169312</v>
      </c>
      <c r="Y360" s="3" t="n">
        <v>-0.7820000052452087</v>
      </c>
      <c r="Z360" s="3" t="n">
        <v>-0.9610000252723694</v>
      </c>
      <c r="AA360" s="3" t="n">
        <v>-0.9610000252723694</v>
      </c>
      <c r="AB360" s="3" t="n">
        <v>-0.9589999914169312</v>
      </c>
      <c r="AC360" s="3" t="n">
        <v>-1.027999997138977</v>
      </c>
      <c r="AD360" s="3" t="n">
        <v>-0.8460000157356262</v>
      </c>
      <c r="AE360" s="3" t="n">
        <v>-0.8460000157356262</v>
      </c>
    </row>
    <row r="361">
      <c r="A361" s="3" t="inlineStr">
        <is>
          <t>CAN.distn.dec.ove.mean.6</t>
        </is>
      </c>
      <c r="B361" s="3" t="inlineStr">
        <is>
          <t>CAN</t>
        </is>
      </c>
      <c r="C361" s="3" t="n">
        <v>2005</v>
      </c>
      <c r="D361" s="3" t="inlineStr">
        <is>
          <t>Overall</t>
        </is>
      </c>
      <c r="E361" s="3" t="inlineStr">
        <is>
          <t>Deciles</t>
        </is>
      </c>
      <c r="F361" s="3" t="inlineStr">
        <is>
          <t>mean</t>
        </is>
      </c>
      <c r="G361" s="3" t="n">
        <v>6</v>
      </c>
      <c r="H361" s="3" t="n">
        <v>-0.7820000052452087</v>
      </c>
      <c r="I361" s="3" t="n">
        <v>-0.7820000052452087</v>
      </c>
      <c r="J361" s="3" t="n">
        <v>-0.8460000157356262</v>
      </c>
      <c r="K361" s="3" t="n">
        <v>-0.8460000157356262</v>
      </c>
      <c r="L361" s="3" t="n">
        <v>-0.7820000052452087</v>
      </c>
      <c r="M361" s="3" t="n">
        <v>-0.7820000052452087</v>
      </c>
      <c r="N361" s="3" t="n">
        <v>-0.7820000052452087</v>
      </c>
      <c r="O361" s="3" t="n">
        <v>-0.7820000052452087</v>
      </c>
      <c r="P361" s="3" t="n">
        <v>-0.7820000052452087</v>
      </c>
      <c r="Q361" s="3" t="n">
        <v>-0.7820000052452087</v>
      </c>
      <c r="R361" s="3" t="n">
        <v>-0.7699999809265137</v>
      </c>
      <c r="S361" s="3" t="n">
        <v>-0.9610000252723694</v>
      </c>
      <c r="T361" s="3" t="n">
        <v>-0.7080000042915344</v>
      </c>
      <c r="U361" s="3" t="n">
        <v>-0.8460000157356262</v>
      </c>
      <c r="V361" s="3" t="n">
        <v>-0.675000011920929</v>
      </c>
      <c r="W361" s="3" t="n">
        <v>-0.4869999885559082</v>
      </c>
      <c r="X361" s="3" t="n">
        <v>-0.9589999914169312</v>
      </c>
      <c r="Y361" s="3" t="n">
        <v>-0.7820000052452087</v>
      </c>
      <c r="Z361" s="3" t="n">
        <v>-0.9610000252723694</v>
      </c>
      <c r="AA361" s="3" t="n">
        <v>-0.9610000252723694</v>
      </c>
      <c r="AB361" s="3" t="n">
        <v>-0.9589999914169312</v>
      </c>
      <c r="AC361" s="3" t="n">
        <v>-1.027999997138977</v>
      </c>
      <c r="AD361" s="3" t="n">
        <v>-0.8460000157356262</v>
      </c>
      <c r="AE361" s="3" t="n">
        <v>-0.8460000157356262</v>
      </c>
    </row>
    <row r="362">
      <c r="A362" s="3" t="inlineStr">
        <is>
          <t>CAN.distn.dec.ove.mean.7</t>
        </is>
      </c>
      <c r="B362" s="3" t="inlineStr">
        <is>
          <t>CAN</t>
        </is>
      </c>
      <c r="C362" s="3" t="n">
        <v>2005</v>
      </c>
      <c r="D362" s="3" t="inlineStr">
        <is>
          <t>Overall</t>
        </is>
      </c>
      <c r="E362" s="3" t="inlineStr">
        <is>
          <t>Deciles</t>
        </is>
      </c>
      <c r="F362" s="3" t="inlineStr">
        <is>
          <t>mean</t>
        </is>
      </c>
      <c r="G362" s="3" t="n">
        <v>7</v>
      </c>
      <c r="H362" s="3" t="n">
        <v>-0.7820000052452087</v>
      </c>
      <c r="I362" s="3" t="n">
        <v>-0.7820000052452087</v>
      </c>
      <c r="J362" s="3" t="n">
        <v>-0.8460000157356262</v>
      </c>
      <c r="K362" s="3" t="n">
        <v>-0.8460000157356262</v>
      </c>
      <c r="L362" s="3" t="n">
        <v>-0.7820000052452087</v>
      </c>
      <c r="M362" s="3" t="n">
        <v>-0.7820000052452087</v>
      </c>
      <c r="N362" s="3" t="n">
        <v>-0.7820000052452087</v>
      </c>
      <c r="O362" s="3" t="n">
        <v>-0.7820000052452087</v>
      </c>
      <c r="P362" s="3" t="n">
        <v>-0.7820000052452087</v>
      </c>
      <c r="Q362" s="3" t="n">
        <v>-0.7820000052452087</v>
      </c>
      <c r="R362" s="3" t="n">
        <v>-0.7699999809265137</v>
      </c>
      <c r="S362" s="3" t="n">
        <v>-0.9610000252723694</v>
      </c>
      <c r="T362" s="3" t="n">
        <v>-0.7080000042915344</v>
      </c>
      <c r="U362" s="3" t="n">
        <v>-0.8460000157356262</v>
      </c>
      <c r="V362" s="3" t="n">
        <v>-0.675000011920929</v>
      </c>
      <c r="W362" s="3" t="n">
        <v>-0.4869999885559082</v>
      </c>
      <c r="X362" s="3" t="n">
        <v>-0.9589999914169312</v>
      </c>
      <c r="Y362" s="3" t="n">
        <v>-0.7820000052452087</v>
      </c>
      <c r="Z362" s="3" t="n">
        <v>-0.9610000252723694</v>
      </c>
      <c r="AA362" s="3" t="n">
        <v>-0.9610000252723694</v>
      </c>
      <c r="AB362" s="3" t="n">
        <v>-0.9589999914169312</v>
      </c>
      <c r="AC362" s="3" t="n">
        <v>-1.027999997138977</v>
      </c>
      <c r="AD362" s="3" t="n">
        <v>-0.8460000157356262</v>
      </c>
      <c r="AE362" s="3" t="n">
        <v>-0.8460000157356262</v>
      </c>
    </row>
    <row r="363">
      <c r="A363" s="3" t="inlineStr">
        <is>
          <t>CAN.distn.dec.ove.mean.8</t>
        </is>
      </c>
      <c r="B363" s="3" t="inlineStr">
        <is>
          <t>CAN</t>
        </is>
      </c>
      <c r="C363" s="3" t="n">
        <v>2005</v>
      </c>
      <c r="D363" s="3" t="inlineStr">
        <is>
          <t>Overall</t>
        </is>
      </c>
      <c r="E363" s="3" t="inlineStr">
        <is>
          <t>Deciles</t>
        </is>
      </c>
      <c r="F363" s="3" t="inlineStr">
        <is>
          <t>mean</t>
        </is>
      </c>
      <c r="G363" s="3" t="n">
        <v>8</v>
      </c>
      <c r="H363" s="3" t="n">
        <v>-0.782376766204834</v>
      </c>
      <c r="I363" s="3" t="n">
        <v>-0.782376766204834</v>
      </c>
      <c r="J363" s="3" t="n">
        <v>-0.8482821583747864</v>
      </c>
      <c r="K363" s="3" t="n">
        <v>-0.8482821583747864</v>
      </c>
      <c r="L363" s="3" t="n">
        <v>-0.782376766204834</v>
      </c>
      <c r="M363" s="3" t="n">
        <v>-0.782376766204834</v>
      </c>
      <c r="N363" s="3" t="n">
        <v>-0.782376766204834</v>
      </c>
      <c r="O363" s="3" t="n">
        <v>-0.782376766204834</v>
      </c>
      <c r="P363" s="3" t="n">
        <v>-0.782376766204834</v>
      </c>
      <c r="Q363" s="3" t="n">
        <v>-0.782376766204834</v>
      </c>
      <c r="R363" s="3" t="n">
        <v>-0.7702532410621643</v>
      </c>
      <c r="S363" s="3" t="n">
        <v>-0.9699422121047974</v>
      </c>
      <c r="T363" s="3" t="n">
        <v>-0.7080408334732056</v>
      </c>
      <c r="U363" s="3" t="n">
        <v>-0.8482821583747864</v>
      </c>
      <c r="V363" s="3" t="n">
        <v>-0.6756978034973145</v>
      </c>
      <c r="W363" s="3" t="n">
        <v>-0.5000413060188293</v>
      </c>
      <c r="X363" s="3" t="n">
        <v>-0.9677383899688721</v>
      </c>
      <c r="Y363" s="3" t="n">
        <v>-0.782376766204834</v>
      </c>
      <c r="Z363" s="3" t="n">
        <v>-0.9699422121047974</v>
      </c>
      <c r="AA363" s="3" t="n">
        <v>-0.9699422121047974</v>
      </c>
      <c r="AB363" s="3" t="n">
        <v>-0.9677383899688721</v>
      </c>
      <c r="AC363" s="3" t="n">
        <v>-1.042660593986511</v>
      </c>
      <c r="AD363" s="3" t="n">
        <v>-0.8482821583747864</v>
      </c>
      <c r="AE363" s="3" t="n">
        <v>-0.8482821583747864</v>
      </c>
    </row>
    <row r="364">
      <c r="A364" s="3" t="inlineStr">
        <is>
          <t>CAN.distn.dec.ove.mean.9</t>
        </is>
      </c>
      <c r="B364" s="3" t="inlineStr">
        <is>
          <t>CAN</t>
        </is>
      </c>
      <c r="C364" s="3" t="n">
        <v>2005</v>
      </c>
      <c r="D364" s="3" t="inlineStr">
        <is>
          <t>Overall</t>
        </is>
      </c>
      <c r="E364" s="3" t="inlineStr">
        <is>
          <t>Deciles</t>
        </is>
      </c>
      <c r="F364" s="3" t="inlineStr">
        <is>
          <t>mean</t>
        </is>
      </c>
      <c r="G364" s="3" t="n">
        <v>9</v>
      </c>
      <c r="H364" s="3" t="n">
        <v>-0.782376766204834</v>
      </c>
      <c r="I364" s="3" t="n">
        <v>-0.782376766204834</v>
      </c>
      <c r="J364" s="3" t="n">
        <v>-0.8482821583747864</v>
      </c>
      <c r="K364" s="3" t="n">
        <v>-0.8482821583747864</v>
      </c>
      <c r="L364" s="3" t="n">
        <v>-0.782376766204834</v>
      </c>
      <c r="M364" s="3" t="n">
        <v>-0.782376766204834</v>
      </c>
      <c r="N364" s="3" t="n">
        <v>-0.782376766204834</v>
      </c>
      <c r="O364" s="3" t="n">
        <v>-0.782376766204834</v>
      </c>
      <c r="P364" s="3" t="n">
        <v>-0.782376766204834</v>
      </c>
      <c r="Q364" s="3" t="n">
        <v>-0.782376766204834</v>
      </c>
      <c r="R364" s="3" t="n">
        <v>-0.7702532410621643</v>
      </c>
      <c r="S364" s="3" t="n">
        <v>-0.9699422121047974</v>
      </c>
      <c r="T364" s="3" t="n">
        <v>-0.7080408334732056</v>
      </c>
      <c r="U364" s="3" t="n">
        <v>-0.8482821583747864</v>
      </c>
      <c r="V364" s="3" t="n">
        <v>-0.6756978034973145</v>
      </c>
      <c r="W364" s="3" t="n">
        <v>-0.5000413060188293</v>
      </c>
      <c r="X364" s="3" t="n">
        <v>-0.9677383899688721</v>
      </c>
      <c r="Y364" s="3" t="n">
        <v>-0.782376766204834</v>
      </c>
      <c r="Z364" s="3" t="n">
        <v>-0.9699422121047974</v>
      </c>
      <c r="AA364" s="3" t="n">
        <v>-0.9699422121047974</v>
      </c>
      <c r="AB364" s="3" t="n">
        <v>-0.9677383899688721</v>
      </c>
      <c r="AC364" s="3" t="n">
        <v>-1.042660593986511</v>
      </c>
      <c r="AD364" s="3" t="n">
        <v>-0.8482821583747864</v>
      </c>
      <c r="AE364" s="3" t="n">
        <v>-0.8482821583747864</v>
      </c>
    </row>
    <row r="365">
      <c r="A365" s="3" t="inlineStr">
        <is>
          <t>CAN.distn.dec.ove.mean.10</t>
        </is>
      </c>
      <c r="B365" s="3" t="inlineStr">
        <is>
          <t>CAN</t>
        </is>
      </c>
      <c r="C365" s="3" t="n">
        <v>2005</v>
      </c>
      <c r="D365" s="3" t="inlineStr">
        <is>
          <t>Overall</t>
        </is>
      </c>
      <c r="E365" s="3" t="inlineStr">
        <is>
          <t>Deciles</t>
        </is>
      </c>
      <c r="F365" s="3" t="inlineStr">
        <is>
          <t>mean</t>
        </is>
      </c>
      <c r="G365" s="3" t="n">
        <v>10</v>
      </c>
      <c r="H365" s="3" t="n">
        <v>-0.782376766204834</v>
      </c>
      <c r="I365" s="3" t="n">
        <v>-0.782376766204834</v>
      </c>
      <c r="J365" s="3" t="n">
        <v>-0.8482821583747864</v>
      </c>
      <c r="K365" s="3" t="n">
        <v>-0.8482821583747864</v>
      </c>
      <c r="L365" s="3" t="n">
        <v>-0.782376766204834</v>
      </c>
      <c r="M365" s="3" t="n">
        <v>-0.782376766204834</v>
      </c>
      <c r="N365" s="3" t="n">
        <v>-0.782376766204834</v>
      </c>
      <c r="O365" s="3" t="n">
        <v>-0.782376766204834</v>
      </c>
      <c r="P365" s="3" t="n">
        <v>-0.782376766204834</v>
      </c>
      <c r="Q365" s="3" t="n">
        <v>-0.782376766204834</v>
      </c>
      <c r="R365" s="3" t="n">
        <v>-0.7702532410621643</v>
      </c>
      <c r="S365" s="3" t="n">
        <v>-0.9699422121047974</v>
      </c>
      <c r="T365" s="3" t="n">
        <v>-0.7080408334732056</v>
      </c>
      <c r="U365" s="3" t="n">
        <v>-0.8482821583747864</v>
      </c>
      <c r="V365" s="3" t="n">
        <v>-0.6756978034973145</v>
      </c>
      <c r="W365" s="3" t="n">
        <v>-0.5000413060188293</v>
      </c>
      <c r="X365" s="3" t="n">
        <v>-0.9677383899688721</v>
      </c>
      <c r="Y365" s="3" t="n">
        <v>-0.782376766204834</v>
      </c>
      <c r="Z365" s="3" t="n">
        <v>-0.9699422121047974</v>
      </c>
      <c r="AA365" s="3" t="n">
        <v>-0.9699422121047974</v>
      </c>
      <c r="AB365" s="3" t="n">
        <v>-0.9677383899688721</v>
      </c>
      <c r="AC365" s="3" t="n">
        <v>-1.042660593986511</v>
      </c>
      <c r="AD365" s="3" t="n">
        <v>-0.8482821583747864</v>
      </c>
      <c r="AE365" s="3" t="n">
        <v>-0.8482821583747864</v>
      </c>
    </row>
    <row r="366">
      <c r="A366" s="3" t="inlineStr">
        <is>
          <t>CAN.distn.bkt.ove.mean.9999</t>
        </is>
      </c>
      <c r="B366" s="3" t="inlineStr">
        <is>
          <t>CAN</t>
        </is>
      </c>
      <c r="C366" s="3" t="n">
        <v>2005</v>
      </c>
      <c r="D366" s="3" t="inlineStr">
        <is>
          <t>Overall</t>
        </is>
      </c>
      <c r="E366" s="3" t="inlineStr">
        <is>
          <t>Basket</t>
        </is>
      </c>
      <c r="F366" s="3" t="inlineStr">
        <is>
          <t>mean</t>
        </is>
      </c>
      <c r="G366" s="3" t="n">
        <v>9999</v>
      </c>
      <c r="H366" s="3" t="n">
        <v>-0.7839853167533875</v>
      </c>
      <c r="I366" s="3" t="n">
        <v>-0.7839853167533875</v>
      </c>
      <c r="J366" s="3" t="n">
        <v>-0.8595712184906006</v>
      </c>
      <c r="K366" s="3" t="n">
        <v>-0.8595712184906006</v>
      </c>
      <c r="L366" s="3" t="n">
        <v>-0.7839853167533875</v>
      </c>
      <c r="M366" s="3" t="n">
        <v>-0.7839853167533875</v>
      </c>
      <c r="N366" s="3" t="n">
        <v>-0.7839853167533875</v>
      </c>
      <c r="O366" s="3" t="n">
        <v>-0.7839853167533875</v>
      </c>
      <c r="P366" s="3" t="n">
        <v>-0.7839853167533875</v>
      </c>
      <c r="Q366" s="3" t="n">
        <v>-0.7839853167533875</v>
      </c>
      <c r="R366" s="3" t="n">
        <v>-0.7711172103881836</v>
      </c>
      <c r="S366" s="3" t="n">
        <v>-1.098661661148071</v>
      </c>
      <c r="T366" s="3" t="n">
        <v>-0.708448052406311</v>
      </c>
      <c r="U366" s="3" t="n">
        <v>-0.8595712184906006</v>
      </c>
      <c r="V366" s="3" t="n">
        <v>-0.6772896647453308</v>
      </c>
      <c r="W366" s="3" t="n">
        <v>-0.5184090137481689</v>
      </c>
      <c r="X366" s="3" t="n">
        <v>-1.081581592559814</v>
      </c>
      <c r="Y366" s="3" t="n">
        <v>-0.7839853167533875</v>
      </c>
      <c r="Z366" s="3" t="n">
        <v>-1.098661661148071</v>
      </c>
      <c r="AA366" s="3" t="n">
        <v>-1.098661661148071</v>
      </c>
      <c r="AB366" s="3" t="n">
        <v>-1.081581592559814</v>
      </c>
      <c r="AC366" s="3" t="n">
        <v>-1.36260986328125</v>
      </c>
      <c r="AD366" s="3" t="n">
        <v>-0.8595712184906006</v>
      </c>
      <c r="AE366" s="3" t="n">
        <v>-0.8595712184906006</v>
      </c>
    </row>
    <row r="367">
      <c r="A367" s="3" t="inlineStr">
        <is>
          <t>CHE.distn.dec.ove.mean.1</t>
        </is>
      </c>
      <c r="B367" s="3" t="inlineStr">
        <is>
          <t>CHE</t>
        </is>
      </c>
      <c r="C367" s="3" t="n">
        <v>2005</v>
      </c>
      <c r="D367" s="3" t="inlineStr">
        <is>
          <t>Overall</t>
        </is>
      </c>
      <c r="E367" s="3" t="inlineStr">
        <is>
          <t>Deciles</t>
        </is>
      </c>
      <c r="F367" s="3" t="inlineStr">
        <is>
          <t>mean</t>
        </is>
      </c>
      <c r="G367" s="3" t="n">
        <v>1</v>
      </c>
      <c r="H367" s="3" t="n">
        <v>-0.7872329354286194</v>
      </c>
      <c r="I367" s="3" t="n">
        <v>-0.7872329354286194</v>
      </c>
      <c r="J367" s="3" t="n">
        <v>-0.8837013244628906</v>
      </c>
      <c r="K367" s="3" t="n">
        <v>-0.8837013244628906</v>
      </c>
      <c r="L367" s="3" t="n">
        <v>-0.7872329354286194</v>
      </c>
      <c r="M367" s="3" t="n">
        <v>-0.7872329354286194</v>
      </c>
      <c r="N367" s="3" t="n">
        <v>-0.7872329354286194</v>
      </c>
      <c r="O367" s="3" t="n">
        <v>-0.7872329354286194</v>
      </c>
      <c r="P367" s="3" t="n">
        <v>-0.7872329354286194</v>
      </c>
      <c r="Q367" s="3" t="n">
        <v>-0.7872329354286194</v>
      </c>
      <c r="R367" s="3" t="n">
        <v>-0.772466242313385</v>
      </c>
      <c r="S367" s="3" t="n">
        <v>-1.383034229278564</v>
      </c>
      <c r="T367" s="3" t="n">
        <v>-0.7094525694847107</v>
      </c>
      <c r="U367" s="3" t="n">
        <v>-0.8837013244628906</v>
      </c>
      <c r="V367" s="3" t="n">
        <v>-0.6809241771697998</v>
      </c>
      <c r="W367" s="3" t="n">
        <v>-0.5477621555328369</v>
      </c>
      <c r="X367" s="3" t="n">
        <v>-1.331944584846497</v>
      </c>
      <c r="Y367" s="3" t="n">
        <v>-0.7872329354286194</v>
      </c>
      <c r="Z367" s="3" t="n">
        <v>-1.383034229278564</v>
      </c>
      <c r="AA367" s="3" t="n">
        <v>-1.383034229278564</v>
      </c>
      <c r="AB367" s="3" t="n">
        <v>-1.331944584846497</v>
      </c>
      <c r="AC367" s="3" t="n">
        <v>-2.064513206481934</v>
      </c>
      <c r="AD367" s="3" t="n">
        <v>-0.8837013244628906</v>
      </c>
      <c r="AE367" s="3" t="n">
        <v>-0.8837013244628906</v>
      </c>
    </row>
    <row r="368">
      <c r="A368" s="3" t="inlineStr">
        <is>
          <t>CHE.distn.dec.ove.mean.2</t>
        </is>
      </c>
      <c r="B368" s="3" t="inlineStr">
        <is>
          <t>CHE</t>
        </is>
      </c>
      <c r="C368" s="3" t="n">
        <v>2005</v>
      </c>
      <c r="D368" s="3" t="inlineStr">
        <is>
          <t>Overall</t>
        </is>
      </c>
      <c r="E368" s="3" t="inlineStr">
        <is>
          <t>Deciles</t>
        </is>
      </c>
      <c r="F368" s="3" t="inlineStr">
        <is>
          <t>mean</t>
        </is>
      </c>
      <c r="G368" s="3" t="n">
        <v>2</v>
      </c>
      <c r="H368" s="3" t="n">
        <v>-0.7872329354286194</v>
      </c>
      <c r="I368" s="3" t="n">
        <v>-0.7872329354286194</v>
      </c>
      <c r="J368" s="3" t="n">
        <v>-0.8837013244628906</v>
      </c>
      <c r="K368" s="3" t="n">
        <v>-0.8837013244628906</v>
      </c>
      <c r="L368" s="3" t="n">
        <v>-0.7872329354286194</v>
      </c>
      <c r="M368" s="3" t="n">
        <v>-0.7872329354286194</v>
      </c>
      <c r="N368" s="3" t="n">
        <v>-0.7872329354286194</v>
      </c>
      <c r="O368" s="3" t="n">
        <v>-0.7872329354286194</v>
      </c>
      <c r="P368" s="3" t="n">
        <v>-0.7872329354286194</v>
      </c>
      <c r="Q368" s="3" t="n">
        <v>-0.7872329354286194</v>
      </c>
      <c r="R368" s="3" t="n">
        <v>-0.772466242313385</v>
      </c>
      <c r="S368" s="3" t="n">
        <v>-1.383034229278564</v>
      </c>
      <c r="T368" s="3" t="n">
        <v>-0.7094525694847107</v>
      </c>
      <c r="U368" s="3" t="n">
        <v>-0.8837013244628906</v>
      </c>
      <c r="V368" s="3" t="n">
        <v>-0.6809241771697998</v>
      </c>
      <c r="W368" s="3" t="n">
        <v>-0.5477621555328369</v>
      </c>
      <c r="X368" s="3" t="n">
        <v>-1.331944584846497</v>
      </c>
      <c r="Y368" s="3" t="n">
        <v>-0.7872329354286194</v>
      </c>
      <c r="Z368" s="3" t="n">
        <v>-1.383034229278564</v>
      </c>
      <c r="AA368" s="3" t="n">
        <v>-1.383034229278564</v>
      </c>
      <c r="AB368" s="3" t="n">
        <v>-1.331944584846497</v>
      </c>
      <c r="AC368" s="3" t="n">
        <v>-2.064513206481934</v>
      </c>
      <c r="AD368" s="3" t="n">
        <v>-0.8837013244628906</v>
      </c>
      <c r="AE368" s="3" t="n">
        <v>-0.8837013244628906</v>
      </c>
    </row>
    <row r="369">
      <c r="A369" s="3" t="inlineStr">
        <is>
          <t>CHE.distn.dec.ove.mean.3</t>
        </is>
      </c>
      <c r="B369" s="3" t="inlineStr">
        <is>
          <t>CHE</t>
        </is>
      </c>
      <c r="C369" s="3" t="n">
        <v>2005</v>
      </c>
      <c r="D369" s="3" t="inlineStr">
        <is>
          <t>Overall</t>
        </is>
      </c>
      <c r="E369" s="3" t="inlineStr">
        <is>
          <t>Deciles</t>
        </is>
      </c>
      <c r="F369" s="3" t="inlineStr">
        <is>
          <t>mean</t>
        </is>
      </c>
      <c r="G369" s="3" t="n">
        <v>3</v>
      </c>
      <c r="H369" s="3" t="n">
        <v>-0.7872329354286194</v>
      </c>
      <c r="I369" s="3" t="n">
        <v>-0.7872329354286194</v>
      </c>
      <c r="J369" s="3" t="n">
        <v>-0.8837013244628906</v>
      </c>
      <c r="K369" s="3" t="n">
        <v>-0.8837013244628906</v>
      </c>
      <c r="L369" s="3" t="n">
        <v>-0.7872329354286194</v>
      </c>
      <c r="M369" s="3" t="n">
        <v>-0.7872329354286194</v>
      </c>
      <c r="N369" s="3" t="n">
        <v>-0.7872329354286194</v>
      </c>
      <c r="O369" s="3" t="n">
        <v>-0.7872329354286194</v>
      </c>
      <c r="P369" s="3" t="n">
        <v>-0.7872329354286194</v>
      </c>
      <c r="Q369" s="3" t="n">
        <v>-0.7872329354286194</v>
      </c>
      <c r="R369" s="3" t="n">
        <v>-0.772466242313385</v>
      </c>
      <c r="S369" s="3" t="n">
        <v>-1.383034229278564</v>
      </c>
      <c r="T369" s="3" t="n">
        <v>-0.7094525694847107</v>
      </c>
      <c r="U369" s="3" t="n">
        <v>-0.8837013244628906</v>
      </c>
      <c r="V369" s="3" t="n">
        <v>-0.6809241771697998</v>
      </c>
      <c r="W369" s="3" t="n">
        <v>-0.5477621555328369</v>
      </c>
      <c r="X369" s="3" t="n">
        <v>-1.331944584846497</v>
      </c>
      <c r="Y369" s="3" t="n">
        <v>-0.7872329354286194</v>
      </c>
      <c r="Z369" s="3" t="n">
        <v>-1.383034229278564</v>
      </c>
      <c r="AA369" s="3" t="n">
        <v>-1.383034229278564</v>
      </c>
      <c r="AB369" s="3" t="n">
        <v>-1.331944584846497</v>
      </c>
      <c r="AC369" s="3" t="n">
        <v>-2.064513206481934</v>
      </c>
      <c r="AD369" s="3" t="n">
        <v>-0.8837013244628906</v>
      </c>
      <c r="AE369" s="3" t="n">
        <v>-0.8837013244628906</v>
      </c>
    </row>
    <row r="370">
      <c r="A370" s="3" t="inlineStr">
        <is>
          <t>CHE.distn.dec.ove.mean.4</t>
        </is>
      </c>
      <c r="B370" s="3" t="inlineStr">
        <is>
          <t>CHE</t>
        </is>
      </c>
      <c r="C370" s="3" t="n">
        <v>2005</v>
      </c>
      <c r="D370" s="3" t="inlineStr">
        <is>
          <t>Overall</t>
        </is>
      </c>
      <c r="E370" s="3" t="inlineStr">
        <is>
          <t>Deciles</t>
        </is>
      </c>
      <c r="F370" s="3" t="inlineStr">
        <is>
          <t>mean</t>
        </is>
      </c>
      <c r="G370" s="3" t="n">
        <v>4</v>
      </c>
      <c r="H370" s="3" t="n">
        <v>-0.781000018119812</v>
      </c>
      <c r="I370" s="3" t="n">
        <v>-0.781000018119812</v>
      </c>
      <c r="J370" s="3" t="n">
        <v>-0.8410000205039978</v>
      </c>
      <c r="K370" s="3" t="n">
        <v>-0.8410000205039978</v>
      </c>
      <c r="L370" s="3" t="n">
        <v>-0.781000018119812</v>
      </c>
      <c r="M370" s="3" t="n">
        <v>-0.781000018119812</v>
      </c>
      <c r="N370" s="3" t="n">
        <v>-0.781000018119812</v>
      </c>
      <c r="O370" s="3" t="n">
        <v>-0.781000018119812</v>
      </c>
      <c r="P370" s="3" t="n">
        <v>-0.781000018119812</v>
      </c>
      <c r="Q370" s="3" t="n">
        <v>-0.781000018119812</v>
      </c>
      <c r="R370" s="3" t="n">
        <v>-0.7689999938011169</v>
      </c>
      <c r="S370" s="3" t="n">
        <v>-0.9419999718666077</v>
      </c>
      <c r="T370" s="3" t="n">
        <v>-0.7080000042915344</v>
      </c>
      <c r="U370" s="3" t="n">
        <v>-0.8410000205039978</v>
      </c>
      <c r="V370" s="3" t="n">
        <v>-0.6740000247955322</v>
      </c>
      <c r="W370" s="3" t="n">
        <v>-0.460999995470047</v>
      </c>
      <c r="X370" s="3" t="n">
        <v>-0.9399999976158142</v>
      </c>
      <c r="Y370" s="3" t="n">
        <v>-0.781000018119812</v>
      </c>
      <c r="Z370" s="3" t="n">
        <v>-0.9419999718666077</v>
      </c>
      <c r="AA370" s="3" t="n">
        <v>-0.9419999718666077</v>
      </c>
      <c r="AB370" s="3" t="n">
        <v>-0.9399999976158142</v>
      </c>
      <c r="AC370" s="3" t="n">
        <v>-0.996999979019165</v>
      </c>
      <c r="AD370" s="3" t="n">
        <v>-0.8410000205039978</v>
      </c>
      <c r="AE370" s="3" t="n">
        <v>-0.8410000205039978</v>
      </c>
    </row>
    <row r="371">
      <c r="A371" s="3" t="inlineStr">
        <is>
          <t>CHE.distn.dec.ove.mean.5</t>
        </is>
      </c>
      <c r="B371" s="3" t="inlineStr">
        <is>
          <t>CHE</t>
        </is>
      </c>
      <c r="C371" s="3" t="n">
        <v>2005</v>
      </c>
      <c r="D371" s="3" t="inlineStr">
        <is>
          <t>Overall</t>
        </is>
      </c>
      <c r="E371" s="3" t="inlineStr">
        <is>
          <t>Deciles</t>
        </is>
      </c>
      <c r="F371" s="3" t="inlineStr">
        <is>
          <t>mean</t>
        </is>
      </c>
      <c r="G371" s="3" t="n">
        <v>5</v>
      </c>
      <c r="H371" s="3" t="n">
        <v>-0.781000018119812</v>
      </c>
      <c r="I371" s="3" t="n">
        <v>-0.781000018119812</v>
      </c>
      <c r="J371" s="3" t="n">
        <v>-0.8410000205039978</v>
      </c>
      <c r="K371" s="3" t="n">
        <v>-0.8410000205039978</v>
      </c>
      <c r="L371" s="3" t="n">
        <v>-0.781000018119812</v>
      </c>
      <c r="M371" s="3" t="n">
        <v>-0.781000018119812</v>
      </c>
      <c r="N371" s="3" t="n">
        <v>-0.781000018119812</v>
      </c>
      <c r="O371" s="3" t="n">
        <v>-0.781000018119812</v>
      </c>
      <c r="P371" s="3" t="n">
        <v>-0.781000018119812</v>
      </c>
      <c r="Q371" s="3" t="n">
        <v>-0.781000018119812</v>
      </c>
      <c r="R371" s="3" t="n">
        <v>-0.7689999938011169</v>
      </c>
      <c r="S371" s="3" t="n">
        <v>-0.9419999718666077</v>
      </c>
      <c r="T371" s="3" t="n">
        <v>-0.7080000042915344</v>
      </c>
      <c r="U371" s="3" t="n">
        <v>-0.8410000205039978</v>
      </c>
      <c r="V371" s="3" t="n">
        <v>-0.6740000247955322</v>
      </c>
      <c r="W371" s="3" t="n">
        <v>-0.460999995470047</v>
      </c>
      <c r="X371" s="3" t="n">
        <v>-0.9399999976158142</v>
      </c>
      <c r="Y371" s="3" t="n">
        <v>-0.781000018119812</v>
      </c>
      <c r="Z371" s="3" t="n">
        <v>-0.9419999718666077</v>
      </c>
      <c r="AA371" s="3" t="n">
        <v>-0.9419999718666077</v>
      </c>
      <c r="AB371" s="3" t="n">
        <v>-0.9399999976158142</v>
      </c>
      <c r="AC371" s="3" t="n">
        <v>-0.996999979019165</v>
      </c>
      <c r="AD371" s="3" t="n">
        <v>-0.8410000205039978</v>
      </c>
      <c r="AE371" s="3" t="n">
        <v>-0.8410000205039978</v>
      </c>
    </row>
    <row r="372">
      <c r="A372" s="3" t="inlineStr">
        <is>
          <t>CHE.distn.dec.ove.mean.6</t>
        </is>
      </c>
      <c r="B372" s="3" t="inlineStr">
        <is>
          <t>CHE</t>
        </is>
      </c>
      <c r="C372" s="3" t="n">
        <v>2005</v>
      </c>
      <c r="D372" s="3" t="inlineStr">
        <is>
          <t>Overall</t>
        </is>
      </c>
      <c r="E372" s="3" t="inlineStr">
        <is>
          <t>Deciles</t>
        </is>
      </c>
      <c r="F372" s="3" t="inlineStr">
        <is>
          <t>mean</t>
        </is>
      </c>
      <c r="G372" s="3" t="n">
        <v>6</v>
      </c>
      <c r="H372" s="3" t="n">
        <v>-0.781000018119812</v>
      </c>
      <c r="I372" s="3" t="n">
        <v>-0.781000018119812</v>
      </c>
      <c r="J372" s="3" t="n">
        <v>-0.8410000205039978</v>
      </c>
      <c r="K372" s="3" t="n">
        <v>-0.8410000205039978</v>
      </c>
      <c r="L372" s="3" t="n">
        <v>-0.781000018119812</v>
      </c>
      <c r="M372" s="3" t="n">
        <v>-0.781000018119812</v>
      </c>
      <c r="N372" s="3" t="n">
        <v>-0.781000018119812</v>
      </c>
      <c r="O372" s="3" t="n">
        <v>-0.781000018119812</v>
      </c>
      <c r="P372" s="3" t="n">
        <v>-0.781000018119812</v>
      </c>
      <c r="Q372" s="3" t="n">
        <v>-0.781000018119812</v>
      </c>
      <c r="R372" s="3" t="n">
        <v>-0.7689999938011169</v>
      </c>
      <c r="S372" s="3" t="n">
        <v>-0.9419999718666077</v>
      </c>
      <c r="T372" s="3" t="n">
        <v>-0.7080000042915344</v>
      </c>
      <c r="U372" s="3" t="n">
        <v>-0.8410000205039978</v>
      </c>
      <c r="V372" s="3" t="n">
        <v>-0.6740000247955322</v>
      </c>
      <c r="W372" s="3" t="n">
        <v>-0.460999995470047</v>
      </c>
      <c r="X372" s="3" t="n">
        <v>-0.9399999976158142</v>
      </c>
      <c r="Y372" s="3" t="n">
        <v>-0.781000018119812</v>
      </c>
      <c r="Z372" s="3" t="n">
        <v>-0.9419999718666077</v>
      </c>
      <c r="AA372" s="3" t="n">
        <v>-0.9419999718666077</v>
      </c>
      <c r="AB372" s="3" t="n">
        <v>-0.9399999976158142</v>
      </c>
      <c r="AC372" s="3" t="n">
        <v>-0.996999979019165</v>
      </c>
      <c r="AD372" s="3" t="n">
        <v>-0.8410000205039978</v>
      </c>
      <c r="AE372" s="3" t="n">
        <v>-0.8410000205039978</v>
      </c>
    </row>
    <row r="373">
      <c r="A373" s="3" t="inlineStr">
        <is>
          <t>CHE.distn.dec.ove.mean.7</t>
        </is>
      </c>
      <c r="B373" s="3" t="inlineStr">
        <is>
          <t>CHE</t>
        </is>
      </c>
      <c r="C373" s="3" t="n">
        <v>2005</v>
      </c>
      <c r="D373" s="3" t="inlineStr">
        <is>
          <t>Overall</t>
        </is>
      </c>
      <c r="E373" s="3" t="inlineStr">
        <is>
          <t>Deciles</t>
        </is>
      </c>
      <c r="F373" s="3" t="inlineStr">
        <is>
          <t>mean</t>
        </is>
      </c>
      <c r="G373" s="3" t="n">
        <v>7</v>
      </c>
      <c r="H373" s="3" t="n">
        <v>-0.781000018119812</v>
      </c>
      <c r="I373" s="3" t="n">
        <v>-0.781000018119812</v>
      </c>
      <c r="J373" s="3" t="n">
        <v>-0.8410000205039978</v>
      </c>
      <c r="K373" s="3" t="n">
        <v>-0.8410000205039978</v>
      </c>
      <c r="L373" s="3" t="n">
        <v>-0.781000018119812</v>
      </c>
      <c r="M373" s="3" t="n">
        <v>-0.781000018119812</v>
      </c>
      <c r="N373" s="3" t="n">
        <v>-0.781000018119812</v>
      </c>
      <c r="O373" s="3" t="n">
        <v>-0.781000018119812</v>
      </c>
      <c r="P373" s="3" t="n">
        <v>-0.781000018119812</v>
      </c>
      <c r="Q373" s="3" t="n">
        <v>-0.781000018119812</v>
      </c>
      <c r="R373" s="3" t="n">
        <v>-0.7689999938011169</v>
      </c>
      <c r="S373" s="3" t="n">
        <v>-0.9419999718666077</v>
      </c>
      <c r="T373" s="3" t="n">
        <v>-0.7080000042915344</v>
      </c>
      <c r="U373" s="3" t="n">
        <v>-0.8410000205039978</v>
      </c>
      <c r="V373" s="3" t="n">
        <v>-0.6740000247955322</v>
      </c>
      <c r="W373" s="3" t="n">
        <v>-0.460999995470047</v>
      </c>
      <c r="X373" s="3" t="n">
        <v>-0.9399999976158142</v>
      </c>
      <c r="Y373" s="3" t="n">
        <v>-0.781000018119812</v>
      </c>
      <c r="Z373" s="3" t="n">
        <v>-0.9419999718666077</v>
      </c>
      <c r="AA373" s="3" t="n">
        <v>-0.9419999718666077</v>
      </c>
      <c r="AB373" s="3" t="n">
        <v>-0.9399999976158142</v>
      </c>
      <c r="AC373" s="3" t="n">
        <v>-0.996999979019165</v>
      </c>
      <c r="AD373" s="3" t="n">
        <v>-0.8410000205039978</v>
      </c>
      <c r="AE373" s="3" t="n">
        <v>-0.8410000205039978</v>
      </c>
    </row>
    <row r="374">
      <c r="A374" s="3" t="inlineStr">
        <is>
          <t>CHE.distn.dec.ove.mean.8</t>
        </is>
      </c>
      <c r="B374" s="3" t="inlineStr">
        <is>
          <t>CHE</t>
        </is>
      </c>
      <c r="C374" s="3" t="n">
        <v>2005</v>
      </c>
      <c r="D374" s="3" t="inlineStr">
        <is>
          <t>Overall</t>
        </is>
      </c>
      <c r="E374" s="3" t="inlineStr">
        <is>
          <t>Deciles</t>
        </is>
      </c>
      <c r="F374" s="3" t="inlineStr">
        <is>
          <t>mean</t>
        </is>
      </c>
      <c r="G374" s="3" t="n">
        <v>8</v>
      </c>
      <c r="H374" s="3" t="n">
        <v>-0.7813762426376343</v>
      </c>
      <c r="I374" s="3" t="n">
        <v>-0.7813762426376343</v>
      </c>
      <c r="J374" s="3" t="n">
        <v>-0.8432686924934387</v>
      </c>
      <c r="K374" s="3" t="n">
        <v>-0.8432686924934387</v>
      </c>
      <c r="L374" s="3" t="n">
        <v>-0.7813762426376343</v>
      </c>
      <c r="M374" s="3" t="n">
        <v>-0.7813762426376343</v>
      </c>
      <c r="N374" s="3" t="n">
        <v>-0.7813762426376343</v>
      </c>
      <c r="O374" s="3" t="n">
        <v>-0.7813762426376343</v>
      </c>
      <c r="P374" s="3" t="n">
        <v>-0.7813762426376343</v>
      </c>
      <c r="Q374" s="3" t="n">
        <v>-0.7813762426376343</v>
      </c>
      <c r="R374" s="3" t="n">
        <v>-0.7692528963088989</v>
      </c>
      <c r="S374" s="3" t="n">
        <v>-0.9507654309272766</v>
      </c>
      <c r="T374" s="3" t="n">
        <v>-0.7080408334732056</v>
      </c>
      <c r="U374" s="3" t="n">
        <v>-0.8432686924934387</v>
      </c>
      <c r="V374" s="3" t="n">
        <v>-0.6746967434883118</v>
      </c>
      <c r="W374" s="3" t="n">
        <v>-0.4733450412750244</v>
      </c>
      <c r="X374" s="3" t="n">
        <v>-0.9485653042793274</v>
      </c>
      <c r="Y374" s="3" t="n">
        <v>-0.7813762426376343</v>
      </c>
      <c r="Z374" s="3" t="n">
        <v>-0.9507654309272766</v>
      </c>
      <c r="AA374" s="3" t="n">
        <v>-0.9507654309272766</v>
      </c>
      <c r="AB374" s="3" t="n">
        <v>-0.9485653042793274</v>
      </c>
      <c r="AC374" s="3" t="n">
        <v>-1.011218547821045</v>
      </c>
      <c r="AD374" s="3" t="n">
        <v>-0.8432686924934387</v>
      </c>
      <c r="AE374" s="3" t="n">
        <v>-0.8432686924934387</v>
      </c>
    </row>
    <row r="375">
      <c r="A375" s="3" t="inlineStr">
        <is>
          <t>CHE.distn.dec.ove.mean.9</t>
        </is>
      </c>
      <c r="B375" s="3" t="inlineStr">
        <is>
          <t>CHE</t>
        </is>
      </c>
      <c r="C375" s="3" t="n">
        <v>2005</v>
      </c>
      <c r="D375" s="3" t="inlineStr">
        <is>
          <t>Overall</t>
        </is>
      </c>
      <c r="E375" s="3" t="inlineStr">
        <is>
          <t>Deciles</t>
        </is>
      </c>
      <c r="F375" s="3" t="inlineStr">
        <is>
          <t>mean</t>
        </is>
      </c>
      <c r="G375" s="3" t="n">
        <v>9</v>
      </c>
      <c r="H375" s="3" t="n">
        <v>-0.7813762426376343</v>
      </c>
      <c r="I375" s="3" t="n">
        <v>-0.7813762426376343</v>
      </c>
      <c r="J375" s="3" t="n">
        <v>-0.8432686924934387</v>
      </c>
      <c r="K375" s="3" t="n">
        <v>-0.8432686924934387</v>
      </c>
      <c r="L375" s="3" t="n">
        <v>-0.7813762426376343</v>
      </c>
      <c r="M375" s="3" t="n">
        <v>-0.7813762426376343</v>
      </c>
      <c r="N375" s="3" t="n">
        <v>-0.7813762426376343</v>
      </c>
      <c r="O375" s="3" t="n">
        <v>-0.7813762426376343</v>
      </c>
      <c r="P375" s="3" t="n">
        <v>-0.7813762426376343</v>
      </c>
      <c r="Q375" s="3" t="n">
        <v>-0.7813762426376343</v>
      </c>
      <c r="R375" s="3" t="n">
        <v>-0.7692528963088989</v>
      </c>
      <c r="S375" s="3" t="n">
        <v>-0.9507654309272766</v>
      </c>
      <c r="T375" s="3" t="n">
        <v>-0.7080408334732056</v>
      </c>
      <c r="U375" s="3" t="n">
        <v>-0.8432686924934387</v>
      </c>
      <c r="V375" s="3" t="n">
        <v>-0.6746967434883118</v>
      </c>
      <c r="W375" s="3" t="n">
        <v>-0.4733450412750244</v>
      </c>
      <c r="X375" s="3" t="n">
        <v>-0.9485653042793274</v>
      </c>
      <c r="Y375" s="3" t="n">
        <v>-0.7813762426376343</v>
      </c>
      <c r="Z375" s="3" t="n">
        <v>-0.9507654309272766</v>
      </c>
      <c r="AA375" s="3" t="n">
        <v>-0.9507654309272766</v>
      </c>
      <c r="AB375" s="3" t="n">
        <v>-0.9485653042793274</v>
      </c>
      <c r="AC375" s="3" t="n">
        <v>-1.011218547821045</v>
      </c>
      <c r="AD375" s="3" t="n">
        <v>-0.8432686924934387</v>
      </c>
      <c r="AE375" s="3" t="n">
        <v>-0.8432686924934387</v>
      </c>
    </row>
    <row r="376">
      <c r="A376" s="3" t="inlineStr">
        <is>
          <t>CHE.distn.dec.ove.mean.10</t>
        </is>
      </c>
      <c r="B376" s="3" t="inlineStr">
        <is>
          <t>CHE</t>
        </is>
      </c>
      <c r="C376" s="3" t="n">
        <v>2005</v>
      </c>
      <c r="D376" s="3" t="inlineStr">
        <is>
          <t>Overall</t>
        </is>
      </c>
      <c r="E376" s="3" t="inlineStr">
        <is>
          <t>Deciles</t>
        </is>
      </c>
      <c r="F376" s="3" t="inlineStr">
        <is>
          <t>mean</t>
        </is>
      </c>
      <c r="G376" s="3" t="n">
        <v>10</v>
      </c>
      <c r="H376" s="3" t="n">
        <v>-0.7813762426376343</v>
      </c>
      <c r="I376" s="3" t="n">
        <v>-0.7813762426376343</v>
      </c>
      <c r="J376" s="3" t="n">
        <v>-0.8432686924934387</v>
      </c>
      <c r="K376" s="3" t="n">
        <v>-0.8432686924934387</v>
      </c>
      <c r="L376" s="3" t="n">
        <v>-0.7813762426376343</v>
      </c>
      <c r="M376" s="3" t="n">
        <v>-0.7813762426376343</v>
      </c>
      <c r="N376" s="3" t="n">
        <v>-0.7813762426376343</v>
      </c>
      <c r="O376" s="3" t="n">
        <v>-0.7813762426376343</v>
      </c>
      <c r="P376" s="3" t="n">
        <v>-0.7813762426376343</v>
      </c>
      <c r="Q376" s="3" t="n">
        <v>-0.7813762426376343</v>
      </c>
      <c r="R376" s="3" t="n">
        <v>-0.7692528963088989</v>
      </c>
      <c r="S376" s="3" t="n">
        <v>-0.9507654309272766</v>
      </c>
      <c r="T376" s="3" t="n">
        <v>-0.7080408334732056</v>
      </c>
      <c r="U376" s="3" t="n">
        <v>-0.8432686924934387</v>
      </c>
      <c r="V376" s="3" t="n">
        <v>-0.6746967434883118</v>
      </c>
      <c r="W376" s="3" t="n">
        <v>-0.4733450412750244</v>
      </c>
      <c r="X376" s="3" t="n">
        <v>-0.9485653042793274</v>
      </c>
      <c r="Y376" s="3" t="n">
        <v>-0.7813762426376343</v>
      </c>
      <c r="Z376" s="3" t="n">
        <v>-0.9507654309272766</v>
      </c>
      <c r="AA376" s="3" t="n">
        <v>-0.9507654309272766</v>
      </c>
      <c r="AB376" s="3" t="n">
        <v>-0.9485653042793274</v>
      </c>
      <c r="AC376" s="3" t="n">
        <v>-1.011218547821045</v>
      </c>
      <c r="AD376" s="3" t="n">
        <v>-0.8432686924934387</v>
      </c>
      <c r="AE376" s="3" t="n">
        <v>-0.8432686924934387</v>
      </c>
    </row>
    <row r="377">
      <c r="A377" s="3" t="inlineStr">
        <is>
          <t>CHE.distn.bkt.ove.mean.9999</t>
        </is>
      </c>
      <c r="B377" s="3" t="inlineStr">
        <is>
          <t>CHE</t>
        </is>
      </c>
      <c r="C377" s="3" t="n">
        <v>2005</v>
      </c>
      <c r="D377" s="3" t="inlineStr">
        <is>
          <t>Overall</t>
        </is>
      </c>
      <c r="E377" s="3" t="inlineStr">
        <is>
          <t>Basket</t>
        </is>
      </c>
      <c r="F377" s="3" t="inlineStr">
        <is>
          <t>mean</t>
        </is>
      </c>
      <c r="G377" s="3" t="n">
        <v>9999</v>
      </c>
      <c r="H377" s="3" t="n">
        <v>-0.7829827666282654</v>
      </c>
      <c r="I377" s="3" t="n">
        <v>-0.7829827666282654</v>
      </c>
      <c r="J377" s="3" t="n">
        <v>-0.8544909954071045</v>
      </c>
      <c r="K377" s="3" t="n">
        <v>-0.8544909954071045</v>
      </c>
      <c r="L377" s="3" t="n">
        <v>-0.7829827666282654</v>
      </c>
      <c r="M377" s="3" t="n">
        <v>-0.7829827666282654</v>
      </c>
      <c r="N377" s="3" t="n">
        <v>-0.7829827666282654</v>
      </c>
      <c r="O377" s="3" t="n">
        <v>-0.7829827666282654</v>
      </c>
      <c r="P377" s="3" t="n">
        <v>-0.7829827666282654</v>
      </c>
      <c r="Q377" s="3" t="n">
        <v>-0.7829827666282654</v>
      </c>
      <c r="R377" s="3" t="n">
        <v>-0.7701157331466675</v>
      </c>
      <c r="S377" s="3" t="n">
        <v>-1.076939940452576</v>
      </c>
      <c r="T377" s="3" t="n">
        <v>-0.708448052406311</v>
      </c>
      <c r="U377" s="3" t="n">
        <v>-0.8544909954071045</v>
      </c>
      <c r="V377" s="3" t="n">
        <v>-0.6762862801551819</v>
      </c>
      <c r="W377" s="3" t="n">
        <v>-0.4907321631908417</v>
      </c>
      <c r="X377" s="3" t="n">
        <v>-1.060153007507324</v>
      </c>
      <c r="Y377" s="3" t="n">
        <v>-0.7829827666282654</v>
      </c>
      <c r="Z377" s="3" t="n">
        <v>-1.076939940452576</v>
      </c>
      <c r="AA377" s="3" t="n">
        <v>-1.076939940452576</v>
      </c>
      <c r="AB377" s="3" t="n">
        <v>-1.060153007507324</v>
      </c>
      <c r="AC377" s="3" t="n">
        <v>-1.321519494056702</v>
      </c>
      <c r="AD377" s="3" t="n">
        <v>-0.8544909954071045</v>
      </c>
      <c r="AE377" s="3" t="n">
        <v>-0.8544909954071045</v>
      </c>
    </row>
    <row r="378">
      <c r="A378" s="3" t="inlineStr">
        <is>
          <t>CHI.distn.dec.ove.mean.1</t>
        </is>
      </c>
      <c r="B378" s="3" t="inlineStr">
        <is>
          <t>CHI</t>
        </is>
      </c>
      <c r="C378" s="3" t="n">
        <v>2005</v>
      </c>
      <c r="D378" s="3" t="inlineStr">
        <is>
          <t>Overall</t>
        </is>
      </c>
      <c r="E378" s="3" t="inlineStr">
        <is>
          <t>Deciles</t>
        </is>
      </c>
      <c r="F378" s="3" t="inlineStr">
        <is>
          <t>mean</t>
        </is>
      </c>
      <c r="G378" s="3" t="n">
        <v>1</v>
      </c>
      <c r="H378" s="3" t="n">
        <v>-0.7878549098968506</v>
      </c>
      <c r="I378" s="3" t="n">
        <v>-0.7878549098968506</v>
      </c>
      <c r="J378" s="3" t="n">
        <v>-0.8883962808771336</v>
      </c>
      <c r="K378" s="3" t="n">
        <v>-0.8883962808771336</v>
      </c>
      <c r="L378" s="3" t="n">
        <v>-0.7878549098968506</v>
      </c>
      <c r="M378" s="3" t="n">
        <v>-0.7878549098968506</v>
      </c>
      <c r="N378" s="3" t="n">
        <v>-0.7878549098968506</v>
      </c>
      <c r="O378" s="3" t="n">
        <v>-0.7878549098968506</v>
      </c>
      <c r="P378" s="3" t="n">
        <v>-0.7878549098968506</v>
      </c>
      <c r="Q378" s="3" t="n">
        <v>-0.7878549098968506</v>
      </c>
      <c r="R378" s="3" t="n">
        <v>-0.7732356596500316</v>
      </c>
      <c r="S378" s="3" t="n">
        <v>-1.408805674694954</v>
      </c>
      <c r="T378" s="3" t="n">
        <v>-0.7095591730259835</v>
      </c>
      <c r="U378" s="3" t="n">
        <v>-0.8883962808771336</v>
      </c>
      <c r="V378" s="3" t="n">
        <v>-0.681934451803248</v>
      </c>
      <c r="W378" s="3" t="n">
        <v>-0.5702875047288043</v>
      </c>
      <c r="X378" s="3" t="n">
        <v>-1.356243993373627</v>
      </c>
      <c r="Y378" s="3" t="n">
        <v>-0.7878549098968506</v>
      </c>
      <c r="Z378" s="3" t="n">
        <v>-1.408805674694954</v>
      </c>
      <c r="AA378" s="3" t="n">
        <v>-1.408805674694954</v>
      </c>
      <c r="AB378" s="3" t="n">
        <v>-1.356243993373627</v>
      </c>
      <c r="AC378" s="3" t="n">
        <v>-2.123991362592007</v>
      </c>
      <c r="AD378" s="3" t="n">
        <v>-0.8883962808771336</v>
      </c>
      <c r="AE378" s="3" t="n">
        <v>-0.8883962808771336</v>
      </c>
    </row>
    <row r="379">
      <c r="A379" s="3" t="inlineStr">
        <is>
          <t>CHI.distn.dec.ove.mean.2</t>
        </is>
      </c>
      <c r="B379" s="3" t="inlineStr">
        <is>
          <t>CHI</t>
        </is>
      </c>
      <c r="C379" s="3" t="n">
        <v>2005</v>
      </c>
      <c r="D379" s="3" t="inlineStr">
        <is>
          <t>Overall</t>
        </is>
      </c>
      <c r="E379" s="3" t="inlineStr">
        <is>
          <t>Deciles</t>
        </is>
      </c>
      <c r="F379" s="3" t="inlineStr">
        <is>
          <t>mean</t>
        </is>
      </c>
      <c r="G379" s="3" t="n">
        <v>2</v>
      </c>
      <c r="H379" s="3" t="n">
        <v>-0.7878549098968506</v>
      </c>
      <c r="I379" s="3" t="n">
        <v>-0.7878549098968506</v>
      </c>
      <c r="J379" s="3" t="n">
        <v>-0.8883962808771336</v>
      </c>
      <c r="K379" s="3" t="n">
        <v>-0.8883962808771336</v>
      </c>
      <c r="L379" s="3" t="n">
        <v>-0.7878549098968506</v>
      </c>
      <c r="M379" s="3" t="n">
        <v>-0.7878549098968506</v>
      </c>
      <c r="N379" s="3" t="n">
        <v>-0.7878549098968506</v>
      </c>
      <c r="O379" s="3" t="n">
        <v>-0.7878549098968506</v>
      </c>
      <c r="P379" s="3" t="n">
        <v>-0.7878549098968506</v>
      </c>
      <c r="Q379" s="3" t="n">
        <v>-0.7878549098968506</v>
      </c>
      <c r="R379" s="3" t="n">
        <v>-0.7732356596500316</v>
      </c>
      <c r="S379" s="3" t="n">
        <v>-1.408805674694954</v>
      </c>
      <c r="T379" s="3" t="n">
        <v>-0.7095591730259835</v>
      </c>
      <c r="U379" s="3" t="n">
        <v>-0.8883962808771336</v>
      </c>
      <c r="V379" s="3" t="n">
        <v>-0.681934451803248</v>
      </c>
      <c r="W379" s="3" t="n">
        <v>-0.5702875047288043</v>
      </c>
      <c r="X379" s="3" t="n">
        <v>-1.356243993373627</v>
      </c>
      <c r="Y379" s="3" t="n">
        <v>-0.7878549098968506</v>
      </c>
      <c r="Z379" s="3" t="n">
        <v>-1.408805674694954</v>
      </c>
      <c r="AA379" s="3" t="n">
        <v>-1.408805674694954</v>
      </c>
      <c r="AB379" s="3" t="n">
        <v>-1.356243993373627</v>
      </c>
      <c r="AC379" s="3" t="n">
        <v>-2.123991362592007</v>
      </c>
      <c r="AD379" s="3" t="n">
        <v>-0.8883962808771336</v>
      </c>
      <c r="AE379" s="3" t="n">
        <v>-0.8883962808771336</v>
      </c>
    </row>
    <row r="380">
      <c r="A380" s="3" t="inlineStr">
        <is>
          <t>CHI.distn.dec.ove.mean.3</t>
        </is>
      </c>
      <c r="B380" s="3" t="inlineStr">
        <is>
          <t>CHI</t>
        </is>
      </c>
      <c r="C380" s="3" t="n">
        <v>2005</v>
      </c>
      <c r="D380" s="3" t="inlineStr">
        <is>
          <t>Overall</t>
        </is>
      </c>
      <c r="E380" s="3" t="inlineStr">
        <is>
          <t>Deciles</t>
        </is>
      </c>
      <c r="F380" s="3" t="inlineStr">
        <is>
          <t>mean</t>
        </is>
      </c>
      <c r="G380" s="3" t="n">
        <v>3</v>
      </c>
      <c r="H380" s="3" t="n">
        <v>-0.7878549098968506</v>
      </c>
      <c r="I380" s="3" t="n">
        <v>-0.7878549098968506</v>
      </c>
      <c r="J380" s="3" t="n">
        <v>-0.8883962808771336</v>
      </c>
      <c r="K380" s="3" t="n">
        <v>-0.8883962808771336</v>
      </c>
      <c r="L380" s="3" t="n">
        <v>-0.7878549098968506</v>
      </c>
      <c r="M380" s="3" t="n">
        <v>-0.7878549098968506</v>
      </c>
      <c r="N380" s="3" t="n">
        <v>-0.7878549098968506</v>
      </c>
      <c r="O380" s="3" t="n">
        <v>-0.7878549098968506</v>
      </c>
      <c r="P380" s="3" t="n">
        <v>-0.7878549098968506</v>
      </c>
      <c r="Q380" s="3" t="n">
        <v>-0.7878549098968506</v>
      </c>
      <c r="R380" s="3" t="n">
        <v>-0.7732356596500316</v>
      </c>
      <c r="S380" s="3" t="n">
        <v>-1.408805674694954</v>
      </c>
      <c r="T380" s="3" t="n">
        <v>-0.7095591730259835</v>
      </c>
      <c r="U380" s="3" t="n">
        <v>-0.8883962808771336</v>
      </c>
      <c r="V380" s="3" t="n">
        <v>-0.681934451803248</v>
      </c>
      <c r="W380" s="3" t="n">
        <v>-0.5702875047288043</v>
      </c>
      <c r="X380" s="3" t="n">
        <v>-1.356243993373627</v>
      </c>
      <c r="Y380" s="3" t="n">
        <v>-0.7878549098968506</v>
      </c>
      <c r="Z380" s="3" t="n">
        <v>-1.408805674694954</v>
      </c>
      <c r="AA380" s="3" t="n">
        <v>-1.408805674694954</v>
      </c>
      <c r="AB380" s="3" t="n">
        <v>-1.356243993373627</v>
      </c>
      <c r="AC380" s="3" t="n">
        <v>-2.123991362592007</v>
      </c>
      <c r="AD380" s="3" t="n">
        <v>-0.8883962808771336</v>
      </c>
      <c r="AE380" s="3" t="n">
        <v>-0.8883962808771336</v>
      </c>
    </row>
    <row r="381">
      <c r="A381" s="3" t="inlineStr">
        <is>
          <t>CHI.distn.dec.ove.mean.4</t>
        </is>
      </c>
      <c r="B381" s="3" t="inlineStr">
        <is>
          <t>CHI</t>
        </is>
      </c>
      <c r="C381" s="3" t="n">
        <v>2005</v>
      </c>
      <c r="D381" s="3" t="inlineStr">
        <is>
          <t>Overall</t>
        </is>
      </c>
      <c r="E381" s="3" t="inlineStr">
        <is>
          <t>Deciles</t>
        </is>
      </c>
      <c r="F381" s="3" t="inlineStr">
        <is>
          <t>mean</t>
        </is>
      </c>
      <c r="G381" s="3" t="n">
        <v>4</v>
      </c>
      <c r="H381" s="3" t="n">
        <v>-0.7816170251115839</v>
      </c>
      <c r="I381" s="3" t="n">
        <v>-0.7816170251115839</v>
      </c>
      <c r="J381" s="3" t="n">
        <v>-0.8454680810583398</v>
      </c>
      <c r="K381" s="3" t="n">
        <v>-0.8454680810583398</v>
      </c>
      <c r="L381" s="3" t="n">
        <v>-0.7816170251115839</v>
      </c>
      <c r="M381" s="3" t="n">
        <v>-0.7816170251115839</v>
      </c>
      <c r="N381" s="3" t="n">
        <v>-0.7816170251115839</v>
      </c>
      <c r="O381" s="3" t="n">
        <v>-0.7816170251115839</v>
      </c>
      <c r="P381" s="3" t="n">
        <v>-0.7816170251115839</v>
      </c>
      <c r="Q381" s="3" t="n">
        <v>-0.7816170251115839</v>
      </c>
      <c r="R381" s="3" t="n">
        <v>-0.7697659489956308</v>
      </c>
      <c r="S381" s="3" t="n">
        <v>-0.9595531871978272</v>
      </c>
      <c r="T381" s="3" t="n">
        <v>-0.7081063859006191</v>
      </c>
      <c r="U381" s="3" t="n">
        <v>-0.8454680810583398</v>
      </c>
      <c r="V381" s="3" t="n">
        <v>-0.6750000017754575</v>
      </c>
      <c r="W381" s="3" t="n">
        <v>-0.4799574455048176</v>
      </c>
      <c r="X381" s="3" t="n">
        <v>-0.9571489362006492</v>
      </c>
      <c r="Y381" s="3" t="n">
        <v>-0.7816170251115839</v>
      </c>
      <c r="Z381" s="3" t="n">
        <v>-0.9595531871978272</v>
      </c>
      <c r="AA381" s="3" t="n">
        <v>-0.9595531871978272</v>
      </c>
      <c r="AB381" s="3" t="n">
        <v>-0.9571489362006492</v>
      </c>
      <c r="AC381" s="3" t="n">
        <v>-1.025723396463597</v>
      </c>
      <c r="AD381" s="3" t="n">
        <v>-0.8454680810583398</v>
      </c>
      <c r="AE381" s="3" t="n">
        <v>-0.8454680810583398</v>
      </c>
    </row>
    <row r="382">
      <c r="A382" s="3" t="inlineStr">
        <is>
          <t>CHI.distn.dec.ove.mean.5</t>
        </is>
      </c>
      <c r="B382" s="3" t="inlineStr">
        <is>
          <t>CHI</t>
        </is>
      </c>
      <c r="C382" s="3" t="n">
        <v>2005</v>
      </c>
      <c r="D382" s="3" t="inlineStr">
        <is>
          <t>Overall</t>
        </is>
      </c>
      <c r="E382" s="3" t="inlineStr">
        <is>
          <t>Deciles</t>
        </is>
      </c>
      <c r="F382" s="3" t="inlineStr">
        <is>
          <t>mean</t>
        </is>
      </c>
      <c r="G382" s="3" t="n">
        <v>5</v>
      </c>
      <c r="H382" s="3" t="n">
        <v>-0.7816170251115839</v>
      </c>
      <c r="I382" s="3" t="n">
        <v>-0.7816170251115839</v>
      </c>
      <c r="J382" s="3" t="n">
        <v>-0.8454680810583398</v>
      </c>
      <c r="K382" s="3" t="n">
        <v>-0.8454680810583398</v>
      </c>
      <c r="L382" s="3" t="n">
        <v>-0.7816170251115839</v>
      </c>
      <c r="M382" s="3" t="n">
        <v>-0.7816170251115839</v>
      </c>
      <c r="N382" s="3" t="n">
        <v>-0.7816170251115839</v>
      </c>
      <c r="O382" s="3" t="n">
        <v>-0.7816170251115839</v>
      </c>
      <c r="P382" s="3" t="n">
        <v>-0.7816170251115839</v>
      </c>
      <c r="Q382" s="3" t="n">
        <v>-0.7816170251115839</v>
      </c>
      <c r="R382" s="3" t="n">
        <v>-0.7697659489956308</v>
      </c>
      <c r="S382" s="3" t="n">
        <v>-0.9595531871978272</v>
      </c>
      <c r="T382" s="3" t="n">
        <v>-0.7081063859006191</v>
      </c>
      <c r="U382" s="3" t="n">
        <v>-0.8454680810583398</v>
      </c>
      <c r="V382" s="3" t="n">
        <v>-0.6750000017754575</v>
      </c>
      <c r="W382" s="3" t="n">
        <v>-0.4799574455048176</v>
      </c>
      <c r="X382" s="3" t="n">
        <v>-0.9571489362006492</v>
      </c>
      <c r="Y382" s="3" t="n">
        <v>-0.7816170251115839</v>
      </c>
      <c r="Z382" s="3" t="n">
        <v>-0.9595531871978272</v>
      </c>
      <c r="AA382" s="3" t="n">
        <v>-0.9595531871978272</v>
      </c>
      <c r="AB382" s="3" t="n">
        <v>-0.9571489362006492</v>
      </c>
      <c r="AC382" s="3" t="n">
        <v>-1.025723396463597</v>
      </c>
      <c r="AD382" s="3" t="n">
        <v>-0.8454680810583398</v>
      </c>
      <c r="AE382" s="3" t="n">
        <v>-0.8454680810583398</v>
      </c>
    </row>
    <row r="383">
      <c r="A383" s="3" t="inlineStr">
        <is>
          <t>CHI.distn.dec.ove.mean.6</t>
        </is>
      </c>
      <c r="B383" s="3" t="inlineStr">
        <is>
          <t>CHI</t>
        </is>
      </c>
      <c r="C383" s="3" t="n">
        <v>2005</v>
      </c>
      <c r="D383" s="3" t="inlineStr">
        <is>
          <t>Overall</t>
        </is>
      </c>
      <c r="E383" s="3" t="inlineStr">
        <is>
          <t>Deciles</t>
        </is>
      </c>
      <c r="F383" s="3" t="inlineStr">
        <is>
          <t>mean</t>
        </is>
      </c>
      <c r="G383" s="3" t="n">
        <v>6</v>
      </c>
      <c r="H383" s="3" t="n">
        <v>-0.7816170251115839</v>
      </c>
      <c r="I383" s="3" t="n">
        <v>-0.7816170251115839</v>
      </c>
      <c r="J383" s="3" t="n">
        <v>-0.8454680810583398</v>
      </c>
      <c r="K383" s="3" t="n">
        <v>-0.8454680810583398</v>
      </c>
      <c r="L383" s="3" t="n">
        <v>-0.7816170251115839</v>
      </c>
      <c r="M383" s="3" t="n">
        <v>-0.7816170251115839</v>
      </c>
      <c r="N383" s="3" t="n">
        <v>-0.7816170251115839</v>
      </c>
      <c r="O383" s="3" t="n">
        <v>-0.7816170251115839</v>
      </c>
      <c r="P383" s="3" t="n">
        <v>-0.7816170251115839</v>
      </c>
      <c r="Q383" s="3" t="n">
        <v>-0.7816170251115839</v>
      </c>
      <c r="R383" s="3" t="n">
        <v>-0.7697659489956308</v>
      </c>
      <c r="S383" s="3" t="n">
        <v>-0.9595531871978272</v>
      </c>
      <c r="T383" s="3" t="n">
        <v>-0.7081063859006191</v>
      </c>
      <c r="U383" s="3" t="n">
        <v>-0.8454680810583398</v>
      </c>
      <c r="V383" s="3" t="n">
        <v>-0.6750000017754575</v>
      </c>
      <c r="W383" s="3" t="n">
        <v>-0.4799574455048176</v>
      </c>
      <c r="X383" s="3" t="n">
        <v>-0.9571489362006492</v>
      </c>
      <c r="Y383" s="3" t="n">
        <v>-0.7816170251115839</v>
      </c>
      <c r="Z383" s="3" t="n">
        <v>-0.9595531871978272</v>
      </c>
      <c r="AA383" s="3" t="n">
        <v>-0.9595531871978272</v>
      </c>
      <c r="AB383" s="3" t="n">
        <v>-0.9571489362006492</v>
      </c>
      <c r="AC383" s="3" t="n">
        <v>-1.025723396463597</v>
      </c>
      <c r="AD383" s="3" t="n">
        <v>-0.8454680810583398</v>
      </c>
      <c r="AE383" s="3" t="n">
        <v>-0.8454680810583398</v>
      </c>
    </row>
    <row r="384">
      <c r="A384" s="3" t="inlineStr">
        <is>
          <t>CHI.distn.dec.ove.mean.7</t>
        </is>
      </c>
      <c r="B384" s="3" t="inlineStr">
        <is>
          <t>CHI</t>
        </is>
      </c>
      <c r="C384" s="3" t="n">
        <v>2005</v>
      </c>
      <c r="D384" s="3" t="inlineStr">
        <is>
          <t>Overall</t>
        </is>
      </c>
      <c r="E384" s="3" t="inlineStr">
        <is>
          <t>Deciles</t>
        </is>
      </c>
      <c r="F384" s="3" t="inlineStr">
        <is>
          <t>mean</t>
        </is>
      </c>
      <c r="G384" s="3" t="n">
        <v>7</v>
      </c>
      <c r="H384" s="3" t="n">
        <v>-0.7816170251115839</v>
      </c>
      <c r="I384" s="3" t="n">
        <v>-0.7816170251115839</v>
      </c>
      <c r="J384" s="3" t="n">
        <v>-0.8454680810583398</v>
      </c>
      <c r="K384" s="3" t="n">
        <v>-0.8454680810583398</v>
      </c>
      <c r="L384" s="3" t="n">
        <v>-0.7816170251115839</v>
      </c>
      <c r="M384" s="3" t="n">
        <v>-0.7816170251115839</v>
      </c>
      <c r="N384" s="3" t="n">
        <v>-0.7816170251115839</v>
      </c>
      <c r="O384" s="3" t="n">
        <v>-0.7816170251115839</v>
      </c>
      <c r="P384" s="3" t="n">
        <v>-0.7816170251115839</v>
      </c>
      <c r="Q384" s="3" t="n">
        <v>-0.7816170251115839</v>
      </c>
      <c r="R384" s="3" t="n">
        <v>-0.7697659489956308</v>
      </c>
      <c r="S384" s="3" t="n">
        <v>-0.9595531871978272</v>
      </c>
      <c r="T384" s="3" t="n">
        <v>-0.7081063859006191</v>
      </c>
      <c r="U384" s="3" t="n">
        <v>-0.8454680810583398</v>
      </c>
      <c r="V384" s="3" t="n">
        <v>-0.6750000017754575</v>
      </c>
      <c r="W384" s="3" t="n">
        <v>-0.4799574455048176</v>
      </c>
      <c r="X384" s="3" t="n">
        <v>-0.9571489362006492</v>
      </c>
      <c r="Y384" s="3" t="n">
        <v>-0.7816170251115839</v>
      </c>
      <c r="Z384" s="3" t="n">
        <v>-0.9595531871978272</v>
      </c>
      <c r="AA384" s="3" t="n">
        <v>-0.9595531871978272</v>
      </c>
      <c r="AB384" s="3" t="n">
        <v>-0.9571489362006492</v>
      </c>
      <c r="AC384" s="3" t="n">
        <v>-1.025723396463597</v>
      </c>
      <c r="AD384" s="3" t="n">
        <v>-0.8454680810583398</v>
      </c>
      <c r="AE384" s="3" t="n">
        <v>-0.8454680810583398</v>
      </c>
    </row>
    <row r="385">
      <c r="A385" s="3" t="inlineStr">
        <is>
          <t>CHI.distn.dec.ove.mean.8</t>
        </is>
      </c>
      <c r="B385" s="3" t="inlineStr">
        <is>
          <t>CHI</t>
        </is>
      </c>
      <c r="C385" s="3" t="n">
        <v>2005</v>
      </c>
      <c r="D385" s="3" t="inlineStr">
        <is>
          <t>Overall</t>
        </is>
      </c>
      <c r="E385" s="3" t="inlineStr">
        <is>
          <t>Deciles</t>
        </is>
      </c>
      <c r="F385" s="3" t="inlineStr">
        <is>
          <t>mean</t>
        </is>
      </c>
      <c r="G385" s="3" t="n">
        <v>8</v>
      </c>
      <c r="H385" s="3" t="n">
        <v>-0.7819935831617801</v>
      </c>
      <c r="I385" s="3" t="n">
        <v>-0.7819935831617801</v>
      </c>
      <c r="J385" s="3" t="n">
        <v>-0.8477488045996808</v>
      </c>
      <c r="K385" s="3" t="n">
        <v>-0.8477488045996808</v>
      </c>
      <c r="L385" s="3" t="n">
        <v>-0.7819935831617801</v>
      </c>
      <c r="M385" s="3" t="n">
        <v>-0.7819935831617801</v>
      </c>
      <c r="N385" s="3" t="n">
        <v>-0.7819935831617801</v>
      </c>
      <c r="O385" s="3" t="n">
        <v>-0.7819935831617801</v>
      </c>
      <c r="P385" s="3" t="n">
        <v>-0.7819935831617801</v>
      </c>
      <c r="Q385" s="3" t="n">
        <v>-0.7819935831617801</v>
      </c>
      <c r="R385" s="3" t="n">
        <v>-0.7700191178220384</v>
      </c>
      <c r="S385" s="3" t="n">
        <v>-0.9684819490351575</v>
      </c>
      <c r="T385" s="3" t="n">
        <v>-0.70814722142321</v>
      </c>
      <c r="U385" s="3" t="n">
        <v>-0.8477488045996808</v>
      </c>
      <c r="V385" s="3" t="n">
        <v>-0.6756977857427394</v>
      </c>
      <c r="W385" s="3" t="n">
        <v>-0.4928101326556916</v>
      </c>
      <c r="X385" s="3" t="n">
        <v>-0.9658704755154062</v>
      </c>
      <c r="Y385" s="3" t="n">
        <v>-0.7819935831617801</v>
      </c>
      <c r="Z385" s="3" t="n">
        <v>-0.9684819490351575</v>
      </c>
      <c r="AA385" s="3" t="n">
        <v>-0.9684819490351575</v>
      </c>
      <c r="AB385" s="3" t="n">
        <v>-0.9658704755154062</v>
      </c>
      <c r="AC385" s="3" t="n">
        <v>-1.04035159628442</v>
      </c>
      <c r="AD385" s="3" t="n">
        <v>-0.8477488045996808</v>
      </c>
      <c r="AE385" s="3" t="n">
        <v>-0.8477488045996808</v>
      </c>
    </row>
    <row r="386">
      <c r="A386" s="3" t="inlineStr">
        <is>
          <t>CHI.distn.dec.ove.mean.9</t>
        </is>
      </c>
      <c r="B386" s="3" t="inlineStr">
        <is>
          <t>CHI</t>
        </is>
      </c>
      <c r="C386" s="3" t="n">
        <v>2005</v>
      </c>
      <c r="D386" s="3" t="inlineStr">
        <is>
          <t>Overall</t>
        </is>
      </c>
      <c r="E386" s="3" t="inlineStr">
        <is>
          <t>Deciles</t>
        </is>
      </c>
      <c r="F386" s="3" t="inlineStr">
        <is>
          <t>mean</t>
        </is>
      </c>
      <c r="G386" s="3" t="n">
        <v>9</v>
      </c>
      <c r="H386" s="3" t="n">
        <v>-0.7819935831617801</v>
      </c>
      <c r="I386" s="3" t="n">
        <v>-0.7819935831617801</v>
      </c>
      <c r="J386" s="3" t="n">
        <v>-0.8477488045996808</v>
      </c>
      <c r="K386" s="3" t="n">
        <v>-0.8477488045996808</v>
      </c>
      <c r="L386" s="3" t="n">
        <v>-0.7819935831617801</v>
      </c>
      <c r="M386" s="3" t="n">
        <v>-0.7819935831617801</v>
      </c>
      <c r="N386" s="3" t="n">
        <v>-0.7819935831617801</v>
      </c>
      <c r="O386" s="3" t="n">
        <v>-0.7819935831617801</v>
      </c>
      <c r="P386" s="3" t="n">
        <v>-0.7819935831617801</v>
      </c>
      <c r="Q386" s="3" t="n">
        <v>-0.7819935831617801</v>
      </c>
      <c r="R386" s="3" t="n">
        <v>-0.7700191178220384</v>
      </c>
      <c r="S386" s="3" t="n">
        <v>-0.9684819490351575</v>
      </c>
      <c r="T386" s="3" t="n">
        <v>-0.70814722142321</v>
      </c>
      <c r="U386" s="3" t="n">
        <v>-0.8477488045996808</v>
      </c>
      <c r="V386" s="3" t="n">
        <v>-0.6756977857427394</v>
      </c>
      <c r="W386" s="3" t="n">
        <v>-0.4928101326556916</v>
      </c>
      <c r="X386" s="3" t="n">
        <v>-0.9658704755154062</v>
      </c>
      <c r="Y386" s="3" t="n">
        <v>-0.7819935831617801</v>
      </c>
      <c r="Z386" s="3" t="n">
        <v>-0.9684819490351575</v>
      </c>
      <c r="AA386" s="3" t="n">
        <v>-0.9684819490351575</v>
      </c>
      <c r="AB386" s="3" t="n">
        <v>-0.9658704755154062</v>
      </c>
      <c r="AC386" s="3" t="n">
        <v>-1.04035159628442</v>
      </c>
      <c r="AD386" s="3" t="n">
        <v>-0.8477488045996808</v>
      </c>
      <c r="AE386" s="3" t="n">
        <v>-0.8477488045996808</v>
      </c>
    </row>
    <row r="387">
      <c r="A387" s="3" t="inlineStr">
        <is>
          <t>CHI.distn.dec.ove.mean.10</t>
        </is>
      </c>
      <c r="B387" s="3" t="inlineStr">
        <is>
          <t>CHI</t>
        </is>
      </c>
      <c r="C387" s="3" t="n">
        <v>2005</v>
      </c>
      <c r="D387" s="3" t="inlineStr">
        <is>
          <t>Overall</t>
        </is>
      </c>
      <c r="E387" s="3" t="inlineStr">
        <is>
          <t>Deciles</t>
        </is>
      </c>
      <c r="F387" s="3" t="inlineStr">
        <is>
          <t>mean</t>
        </is>
      </c>
      <c r="G387" s="3" t="n">
        <v>10</v>
      </c>
      <c r="H387" s="3" t="n">
        <v>-0.7819935831617801</v>
      </c>
      <c r="I387" s="3" t="n">
        <v>-0.7819935831617801</v>
      </c>
      <c r="J387" s="3" t="n">
        <v>-0.8477488045996808</v>
      </c>
      <c r="K387" s="3" t="n">
        <v>-0.8477488045996808</v>
      </c>
      <c r="L387" s="3" t="n">
        <v>-0.7819935831617801</v>
      </c>
      <c r="M387" s="3" t="n">
        <v>-0.7819935831617801</v>
      </c>
      <c r="N387" s="3" t="n">
        <v>-0.7819935831617801</v>
      </c>
      <c r="O387" s="3" t="n">
        <v>-0.7819935831617801</v>
      </c>
      <c r="P387" s="3" t="n">
        <v>-0.7819935831617801</v>
      </c>
      <c r="Q387" s="3" t="n">
        <v>-0.7819935831617801</v>
      </c>
      <c r="R387" s="3" t="n">
        <v>-0.7700191178220384</v>
      </c>
      <c r="S387" s="3" t="n">
        <v>-0.9684819490351575</v>
      </c>
      <c r="T387" s="3" t="n">
        <v>-0.70814722142321</v>
      </c>
      <c r="U387" s="3" t="n">
        <v>-0.8477488045996808</v>
      </c>
      <c r="V387" s="3" t="n">
        <v>-0.6756977857427394</v>
      </c>
      <c r="W387" s="3" t="n">
        <v>-0.4928101326556916</v>
      </c>
      <c r="X387" s="3" t="n">
        <v>-0.9658704755154062</v>
      </c>
      <c r="Y387" s="3" t="n">
        <v>-0.7819935831617801</v>
      </c>
      <c r="Z387" s="3" t="n">
        <v>-0.9684819490351575</v>
      </c>
      <c r="AA387" s="3" t="n">
        <v>-0.9684819490351575</v>
      </c>
      <c r="AB387" s="3" t="n">
        <v>-0.9658704755154062</v>
      </c>
      <c r="AC387" s="3" t="n">
        <v>-1.04035159628442</v>
      </c>
      <c r="AD387" s="3" t="n">
        <v>-0.8477488045996808</v>
      </c>
      <c r="AE387" s="3" t="n">
        <v>-0.8477488045996808</v>
      </c>
    </row>
    <row r="388">
      <c r="A388" s="3" t="inlineStr">
        <is>
          <t>CHI.distn.bkt.ove.mean.9999</t>
        </is>
      </c>
      <c r="B388" s="3" t="inlineStr">
        <is>
          <t>CHI</t>
        </is>
      </c>
      <c r="C388" s="3" t="n">
        <v>2005</v>
      </c>
      <c r="D388" s="3" t="inlineStr">
        <is>
          <t>Overall</t>
        </is>
      </c>
      <c r="E388" s="3" t="inlineStr">
        <is>
          <t>Basket</t>
        </is>
      </c>
      <c r="F388" s="3" t="inlineStr">
        <is>
          <t>mean</t>
        </is>
      </c>
      <c r="G388" s="3" t="n">
        <v>9999</v>
      </c>
      <c r="H388" s="3" t="n">
        <v>-0.7836013613863194</v>
      </c>
      <c r="I388" s="3" t="n">
        <v>-0.7836013613863194</v>
      </c>
      <c r="J388" s="3" t="n">
        <v>-0.8590307616172953</v>
      </c>
      <c r="K388" s="3" t="n">
        <v>-0.8590307616172953</v>
      </c>
      <c r="L388" s="3" t="n">
        <v>-0.7836013613863194</v>
      </c>
      <c r="M388" s="3" t="n">
        <v>-0.7836013613863194</v>
      </c>
      <c r="N388" s="3" t="n">
        <v>-0.7836013613863194</v>
      </c>
      <c r="O388" s="3" t="n">
        <v>-0.7836013613863194</v>
      </c>
      <c r="P388" s="3" t="n">
        <v>-0.7836013613863194</v>
      </c>
      <c r="Q388" s="3" t="n">
        <v>-0.7836013613863194</v>
      </c>
      <c r="R388" s="3" t="n">
        <v>-0.7708828220976159</v>
      </c>
      <c r="S388" s="3" t="n">
        <v>-1.097007578991829</v>
      </c>
      <c r="T388" s="3" t="n">
        <v>-0.7085544974245923</v>
      </c>
      <c r="U388" s="3" t="n">
        <v>-0.8590307616172953</v>
      </c>
      <c r="V388" s="3" t="n">
        <v>-0.6772896647453308</v>
      </c>
      <c r="W388" s="3" t="n">
        <v>-0.5109122699879586</v>
      </c>
      <c r="X388" s="3" t="n">
        <v>-1.079493910708326</v>
      </c>
      <c r="Y388" s="3" t="n">
        <v>-0.7836013613863194</v>
      </c>
      <c r="Z388" s="3" t="n">
        <v>-1.097007578991829</v>
      </c>
      <c r="AA388" s="3" t="n">
        <v>-1.097007578991829</v>
      </c>
      <c r="AB388" s="3" t="n">
        <v>-1.079493910708326</v>
      </c>
      <c r="AC388" s="3" t="n">
        <v>-1.359592239907447</v>
      </c>
      <c r="AD388" s="3" t="n">
        <v>-0.8590307616172953</v>
      </c>
      <c r="AE388" s="3" t="n">
        <v>-0.8590307616172953</v>
      </c>
    </row>
    <row r="389">
      <c r="A389" s="3" t="inlineStr">
        <is>
          <t>CHL.distn.dec.ove.mean.1</t>
        </is>
      </c>
      <c r="B389" s="3" t="inlineStr">
        <is>
          <t>CHL</t>
        </is>
      </c>
      <c r="C389" s="3" t="n">
        <v>2005</v>
      </c>
      <c r="D389" s="3" t="inlineStr">
        <is>
          <t>Overall</t>
        </is>
      </c>
      <c r="E389" s="3" t="inlineStr">
        <is>
          <t>Deciles</t>
        </is>
      </c>
      <c r="F389" s="3" t="inlineStr">
        <is>
          <t>mean</t>
        </is>
      </c>
      <c r="G389" s="3" t="n">
        <v>1</v>
      </c>
      <c r="H389" s="3" t="n">
        <v>-0.7882409691810608</v>
      </c>
      <c r="I389" s="3" t="n">
        <v>-0.7882409691810608</v>
      </c>
      <c r="J389" s="3" t="n">
        <v>-0.8921075463294983</v>
      </c>
      <c r="K389" s="3" t="n">
        <v>-0.8921075463294983</v>
      </c>
      <c r="L389" s="3" t="n">
        <v>-0.7882409691810608</v>
      </c>
      <c r="M389" s="3" t="n">
        <v>-0.7882409691810608</v>
      </c>
      <c r="N389" s="3" t="n">
        <v>-0.7882409691810608</v>
      </c>
      <c r="O389" s="3" t="n">
        <v>-0.7882409691810608</v>
      </c>
      <c r="P389" s="3" t="n">
        <v>-0.7882409691810608</v>
      </c>
      <c r="Q389" s="3" t="n">
        <v>-0.7882409691810608</v>
      </c>
      <c r="R389" s="3" t="n">
        <v>-0.7734707593917847</v>
      </c>
      <c r="S389" s="3" t="n">
        <v>-1.425611734390259</v>
      </c>
      <c r="T389" s="3" t="n">
        <v>-0.7094525694847107</v>
      </c>
      <c r="U389" s="3" t="n">
        <v>-0.8921075463294983</v>
      </c>
      <c r="V389" s="3" t="n">
        <v>-0.6829447150230408</v>
      </c>
      <c r="W389" s="3" t="n">
        <v>-0.591725766658783</v>
      </c>
      <c r="X389" s="3" t="n">
        <v>-1.373036503791809</v>
      </c>
      <c r="Y389" s="3" t="n">
        <v>-0.7882409691810608</v>
      </c>
      <c r="Z389" s="3" t="n">
        <v>-1.425611734390259</v>
      </c>
      <c r="AA389" s="3" t="n">
        <v>-1.425611734390259</v>
      </c>
      <c r="AB389" s="3" t="n">
        <v>-1.373036503791809</v>
      </c>
      <c r="AC389" s="3" t="n">
        <v>-2.163908004760742</v>
      </c>
      <c r="AD389" s="3" t="n">
        <v>-0.8921075463294983</v>
      </c>
      <c r="AE389" s="3" t="n">
        <v>-0.8921075463294983</v>
      </c>
    </row>
    <row r="390">
      <c r="A390" s="3" t="inlineStr">
        <is>
          <t>CHL.distn.dec.ove.mean.2</t>
        </is>
      </c>
      <c r="B390" s="3" t="inlineStr">
        <is>
          <t>CHL</t>
        </is>
      </c>
      <c r="C390" s="3" t="n">
        <v>2005</v>
      </c>
      <c r="D390" s="3" t="inlineStr">
        <is>
          <t>Overall</t>
        </is>
      </c>
      <c r="E390" s="3" t="inlineStr">
        <is>
          <t>Deciles</t>
        </is>
      </c>
      <c r="F390" s="3" t="inlineStr">
        <is>
          <t>mean</t>
        </is>
      </c>
      <c r="G390" s="3" t="n">
        <v>2</v>
      </c>
      <c r="H390" s="3" t="n">
        <v>-0.7882409691810608</v>
      </c>
      <c r="I390" s="3" t="n">
        <v>-0.7882409691810608</v>
      </c>
      <c r="J390" s="3" t="n">
        <v>-0.8921075463294983</v>
      </c>
      <c r="K390" s="3" t="n">
        <v>-0.8921075463294983</v>
      </c>
      <c r="L390" s="3" t="n">
        <v>-0.7882409691810608</v>
      </c>
      <c r="M390" s="3" t="n">
        <v>-0.7882409691810608</v>
      </c>
      <c r="N390" s="3" t="n">
        <v>-0.7882409691810608</v>
      </c>
      <c r="O390" s="3" t="n">
        <v>-0.7882409691810608</v>
      </c>
      <c r="P390" s="3" t="n">
        <v>-0.7882409691810608</v>
      </c>
      <c r="Q390" s="3" t="n">
        <v>-0.7882409691810608</v>
      </c>
      <c r="R390" s="3" t="n">
        <v>-0.7734707593917847</v>
      </c>
      <c r="S390" s="3" t="n">
        <v>-1.425611734390259</v>
      </c>
      <c r="T390" s="3" t="n">
        <v>-0.7094525694847107</v>
      </c>
      <c r="U390" s="3" t="n">
        <v>-0.8921075463294983</v>
      </c>
      <c r="V390" s="3" t="n">
        <v>-0.6829447150230408</v>
      </c>
      <c r="W390" s="3" t="n">
        <v>-0.591725766658783</v>
      </c>
      <c r="X390" s="3" t="n">
        <v>-1.373036503791809</v>
      </c>
      <c r="Y390" s="3" t="n">
        <v>-0.7882409691810608</v>
      </c>
      <c r="Z390" s="3" t="n">
        <v>-1.425611734390259</v>
      </c>
      <c r="AA390" s="3" t="n">
        <v>-1.425611734390259</v>
      </c>
      <c r="AB390" s="3" t="n">
        <v>-1.373036503791809</v>
      </c>
      <c r="AC390" s="3" t="n">
        <v>-2.163908004760742</v>
      </c>
      <c r="AD390" s="3" t="n">
        <v>-0.8921075463294983</v>
      </c>
      <c r="AE390" s="3" t="n">
        <v>-0.8921075463294983</v>
      </c>
    </row>
    <row r="391">
      <c r="A391" s="3" t="inlineStr">
        <is>
          <t>CHL.distn.dec.ove.mean.3</t>
        </is>
      </c>
      <c r="B391" s="3" t="inlineStr">
        <is>
          <t>CHL</t>
        </is>
      </c>
      <c r="C391" s="3" t="n">
        <v>2005</v>
      </c>
      <c r="D391" s="3" t="inlineStr">
        <is>
          <t>Overall</t>
        </is>
      </c>
      <c r="E391" s="3" t="inlineStr">
        <is>
          <t>Deciles</t>
        </is>
      </c>
      <c r="F391" s="3" t="inlineStr">
        <is>
          <t>mean</t>
        </is>
      </c>
      <c r="G391" s="3" t="n">
        <v>3</v>
      </c>
      <c r="H391" s="3" t="n">
        <v>-0.7882409691810608</v>
      </c>
      <c r="I391" s="3" t="n">
        <v>-0.7882409691810608</v>
      </c>
      <c r="J391" s="3" t="n">
        <v>-0.8921075463294983</v>
      </c>
      <c r="K391" s="3" t="n">
        <v>-0.8921075463294983</v>
      </c>
      <c r="L391" s="3" t="n">
        <v>-0.7882409691810608</v>
      </c>
      <c r="M391" s="3" t="n">
        <v>-0.7882409691810608</v>
      </c>
      <c r="N391" s="3" t="n">
        <v>-0.7882409691810608</v>
      </c>
      <c r="O391" s="3" t="n">
        <v>-0.7882409691810608</v>
      </c>
      <c r="P391" s="3" t="n">
        <v>-0.7882409691810608</v>
      </c>
      <c r="Q391" s="3" t="n">
        <v>-0.7882409691810608</v>
      </c>
      <c r="R391" s="3" t="n">
        <v>-0.7734707593917847</v>
      </c>
      <c r="S391" s="3" t="n">
        <v>-1.425611734390259</v>
      </c>
      <c r="T391" s="3" t="n">
        <v>-0.7094525694847107</v>
      </c>
      <c r="U391" s="3" t="n">
        <v>-0.8921075463294983</v>
      </c>
      <c r="V391" s="3" t="n">
        <v>-0.6829447150230408</v>
      </c>
      <c r="W391" s="3" t="n">
        <v>-0.591725766658783</v>
      </c>
      <c r="X391" s="3" t="n">
        <v>-1.373036503791809</v>
      </c>
      <c r="Y391" s="3" t="n">
        <v>-0.7882409691810608</v>
      </c>
      <c r="Z391" s="3" t="n">
        <v>-1.425611734390259</v>
      </c>
      <c r="AA391" s="3" t="n">
        <v>-1.425611734390259</v>
      </c>
      <c r="AB391" s="3" t="n">
        <v>-1.373036503791809</v>
      </c>
      <c r="AC391" s="3" t="n">
        <v>-2.163908004760742</v>
      </c>
      <c r="AD391" s="3" t="n">
        <v>-0.8921075463294983</v>
      </c>
      <c r="AE391" s="3" t="n">
        <v>-0.8921075463294983</v>
      </c>
    </row>
    <row r="392">
      <c r="A392" s="3" t="inlineStr">
        <is>
          <t>CHL.distn.dec.ove.mean.4</t>
        </is>
      </c>
      <c r="B392" s="3" t="inlineStr">
        <is>
          <t>CHL</t>
        </is>
      </c>
      <c r="C392" s="3" t="n">
        <v>2005</v>
      </c>
      <c r="D392" s="3" t="inlineStr">
        <is>
          <t>Overall</t>
        </is>
      </c>
      <c r="E392" s="3" t="inlineStr">
        <is>
          <t>Deciles</t>
        </is>
      </c>
      <c r="F392" s="3" t="inlineStr">
        <is>
          <t>mean</t>
        </is>
      </c>
      <c r="G392" s="3" t="n">
        <v>4</v>
      </c>
      <c r="H392" s="3" t="n">
        <v>-0.7820000052452087</v>
      </c>
      <c r="I392" s="3" t="n">
        <v>-0.7820000052452087</v>
      </c>
      <c r="J392" s="3" t="n">
        <v>-0.8489999771118164</v>
      </c>
      <c r="K392" s="3" t="n">
        <v>-0.8489999771118164</v>
      </c>
      <c r="L392" s="3" t="n">
        <v>-0.7820000052452087</v>
      </c>
      <c r="M392" s="3" t="n">
        <v>-0.7820000052452087</v>
      </c>
      <c r="N392" s="3" t="n">
        <v>-0.7820000052452087</v>
      </c>
      <c r="O392" s="3" t="n">
        <v>-0.7820000052452087</v>
      </c>
      <c r="P392" s="3" t="n">
        <v>-0.7820000052452087</v>
      </c>
      <c r="Q392" s="3" t="n">
        <v>-0.7820000052452087</v>
      </c>
      <c r="R392" s="3" t="n">
        <v>-0.7699999809265137</v>
      </c>
      <c r="S392" s="3" t="n">
        <v>-0.9710000157356262</v>
      </c>
      <c r="T392" s="3" t="n">
        <v>-0.7080000042915344</v>
      </c>
      <c r="U392" s="3" t="n">
        <v>-0.8489999771118164</v>
      </c>
      <c r="V392" s="3" t="n">
        <v>-0.6759999990463257</v>
      </c>
      <c r="W392" s="3" t="n">
        <v>-0.4979999959468842</v>
      </c>
      <c r="X392" s="3" t="n">
        <v>-0.968999981880188</v>
      </c>
      <c r="Y392" s="3" t="n">
        <v>-0.7820000052452087</v>
      </c>
      <c r="Z392" s="3" t="n">
        <v>-0.9710000157356262</v>
      </c>
      <c r="AA392" s="3" t="n">
        <v>-0.9710000157356262</v>
      </c>
      <c r="AB392" s="3" t="n">
        <v>-0.968999981880188</v>
      </c>
      <c r="AC392" s="3" t="n">
        <v>-1.044999957084656</v>
      </c>
      <c r="AD392" s="3" t="n">
        <v>-0.8489999771118164</v>
      </c>
      <c r="AE392" s="3" t="n">
        <v>-0.8489999771118164</v>
      </c>
    </row>
    <row r="393">
      <c r="A393" s="3" t="inlineStr">
        <is>
          <t>CHL.distn.dec.ove.mean.5</t>
        </is>
      </c>
      <c r="B393" s="3" t="inlineStr">
        <is>
          <t>CHL</t>
        </is>
      </c>
      <c r="C393" s="3" t="n">
        <v>2005</v>
      </c>
      <c r="D393" s="3" t="inlineStr">
        <is>
          <t>Overall</t>
        </is>
      </c>
      <c r="E393" s="3" t="inlineStr">
        <is>
          <t>Deciles</t>
        </is>
      </c>
      <c r="F393" s="3" t="inlineStr">
        <is>
          <t>mean</t>
        </is>
      </c>
      <c r="G393" s="3" t="n">
        <v>5</v>
      </c>
      <c r="H393" s="3" t="n">
        <v>-0.7820000052452087</v>
      </c>
      <c r="I393" s="3" t="n">
        <v>-0.7820000052452087</v>
      </c>
      <c r="J393" s="3" t="n">
        <v>-0.8489999771118164</v>
      </c>
      <c r="K393" s="3" t="n">
        <v>-0.8489999771118164</v>
      </c>
      <c r="L393" s="3" t="n">
        <v>-0.7820000052452087</v>
      </c>
      <c r="M393" s="3" t="n">
        <v>-0.7820000052452087</v>
      </c>
      <c r="N393" s="3" t="n">
        <v>-0.7820000052452087</v>
      </c>
      <c r="O393" s="3" t="n">
        <v>-0.7820000052452087</v>
      </c>
      <c r="P393" s="3" t="n">
        <v>-0.7820000052452087</v>
      </c>
      <c r="Q393" s="3" t="n">
        <v>-0.7820000052452087</v>
      </c>
      <c r="R393" s="3" t="n">
        <v>-0.7699999809265137</v>
      </c>
      <c r="S393" s="3" t="n">
        <v>-0.9710000157356262</v>
      </c>
      <c r="T393" s="3" t="n">
        <v>-0.7080000042915344</v>
      </c>
      <c r="U393" s="3" t="n">
        <v>-0.8489999771118164</v>
      </c>
      <c r="V393" s="3" t="n">
        <v>-0.6759999990463257</v>
      </c>
      <c r="W393" s="3" t="n">
        <v>-0.4979999959468842</v>
      </c>
      <c r="X393" s="3" t="n">
        <v>-0.968999981880188</v>
      </c>
      <c r="Y393" s="3" t="n">
        <v>-0.7820000052452087</v>
      </c>
      <c r="Z393" s="3" t="n">
        <v>-0.9710000157356262</v>
      </c>
      <c r="AA393" s="3" t="n">
        <v>-0.9710000157356262</v>
      </c>
      <c r="AB393" s="3" t="n">
        <v>-0.968999981880188</v>
      </c>
      <c r="AC393" s="3" t="n">
        <v>-1.044999957084656</v>
      </c>
      <c r="AD393" s="3" t="n">
        <v>-0.8489999771118164</v>
      </c>
      <c r="AE393" s="3" t="n">
        <v>-0.8489999771118164</v>
      </c>
    </row>
    <row r="394">
      <c r="A394" s="3" t="inlineStr">
        <is>
          <t>CHL.distn.dec.ove.mean.6</t>
        </is>
      </c>
      <c r="B394" s="3" t="inlineStr">
        <is>
          <t>CHL</t>
        </is>
      </c>
      <c r="C394" s="3" t="n">
        <v>2005</v>
      </c>
      <c r="D394" s="3" t="inlineStr">
        <is>
          <t>Overall</t>
        </is>
      </c>
      <c r="E394" s="3" t="inlineStr">
        <is>
          <t>Deciles</t>
        </is>
      </c>
      <c r="F394" s="3" t="inlineStr">
        <is>
          <t>mean</t>
        </is>
      </c>
      <c r="G394" s="3" t="n">
        <v>6</v>
      </c>
      <c r="H394" s="3" t="n">
        <v>-0.7820000052452087</v>
      </c>
      <c r="I394" s="3" t="n">
        <v>-0.7820000052452087</v>
      </c>
      <c r="J394" s="3" t="n">
        <v>-0.8489999771118164</v>
      </c>
      <c r="K394" s="3" t="n">
        <v>-0.8489999771118164</v>
      </c>
      <c r="L394" s="3" t="n">
        <v>-0.7820000052452087</v>
      </c>
      <c r="M394" s="3" t="n">
        <v>-0.7820000052452087</v>
      </c>
      <c r="N394" s="3" t="n">
        <v>-0.7820000052452087</v>
      </c>
      <c r="O394" s="3" t="n">
        <v>-0.7820000052452087</v>
      </c>
      <c r="P394" s="3" t="n">
        <v>-0.7820000052452087</v>
      </c>
      <c r="Q394" s="3" t="n">
        <v>-0.7820000052452087</v>
      </c>
      <c r="R394" s="3" t="n">
        <v>-0.7699999809265137</v>
      </c>
      <c r="S394" s="3" t="n">
        <v>-0.9710000157356262</v>
      </c>
      <c r="T394" s="3" t="n">
        <v>-0.7080000042915344</v>
      </c>
      <c r="U394" s="3" t="n">
        <v>-0.8489999771118164</v>
      </c>
      <c r="V394" s="3" t="n">
        <v>-0.6759999990463257</v>
      </c>
      <c r="W394" s="3" t="n">
        <v>-0.4979999959468842</v>
      </c>
      <c r="X394" s="3" t="n">
        <v>-0.968999981880188</v>
      </c>
      <c r="Y394" s="3" t="n">
        <v>-0.7820000052452087</v>
      </c>
      <c r="Z394" s="3" t="n">
        <v>-0.9710000157356262</v>
      </c>
      <c r="AA394" s="3" t="n">
        <v>-0.9710000157356262</v>
      </c>
      <c r="AB394" s="3" t="n">
        <v>-0.968999981880188</v>
      </c>
      <c r="AC394" s="3" t="n">
        <v>-1.044999957084656</v>
      </c>
      <c r="AD394" s="3" t="n">
        <v>-0.8489999771118164</v>
      </c>
      <c r="AE394" s="3" t="n">
        <v>-0.8489999771118164</v>
      </c>
    </row>
    <row r="395">
      <c r="A395" s="3" t="inlineStr">
        <is>
          <t>CHL.distn.dec.ove.mean.7</t>
        </is>
      </c>
      <c r="B395" s="3" t="inlineStr">
        <is>
          <t>CHL</t>
        </is>
      </c>
      <c r="C395" s="3" t="n">
        <v>2005</v>
      </c>
      <c r="D395" s="3" t="inlineStr">
        <is>
          <t>Overall</t>
        </is>
      </c>
      <c r="E395" s="3" t="inlineStr">
        <is>
          <t>Deciles</t>
        </is>
      </c>
      <c r="F395" s="3" t="inlineStr">
        <is>
          <t>mean</t>
        </is>
      </c>
      <c r="G395" s="3" t="n">
        <v>7</v>
      </c>
      <c r="H395" s="3" t="n">
        <v>-0.7820000052452087</v>
      </c>
      <c r="I395" s="3" t="n">
        <v>-0.7820000052452087</v>
      </c>
      <c r="J395" s="3" t="n">
        <v>-0.8489999771118164</v>
      </c>
      <c r="K395" s="3" t="n">
        <v>-0.8489999771118164</v>
      </c>
      <c r="L395" s="3" t="n">
        <v>-0.7820000052452087</v>
      </c>
      <c r="M395" s="3" t="n">
        <v>-0.7820000052452087</v>
      </c>
      <c r="N395" s="3" t="n">
        <v>-0.7820000052452087</v>
      </c>
      <c r="O395" s="3" t="n">
        <v>-0.7820000052452087</v>
      </c>
      <c r="P395" s="3" t="n">
        <v>-0.7820000052452087</v>
      </c>
      <c r="Q395" s="3" t="n">
        <v>-0.7820000052452087</v>
      </c>
      <c r="R395" s="3" t="n">
        <v>-0.7699999809265137</v>
      </c>
      <c r="S395" s="3" t="n">
        <v>-0.9710000157356262</v>
      </c>
      <c r="T395" s="3" t="n">
        <v>-0.7080000042915344</v>
      </c>
      <c r="U395" s="3" t="n">
        <v>-0.8489999771118164</v>
      </c>
      <c r="V395" s="3" t="n">
        <v>-0.6759999990463257</v>
      </c>
      <c r="W395" s="3" t="n">
        <v>-0.4979999959468842</v>
      </c>
      <c r="X395" s="3" t="n">
        <v>-0.968999981880188</v>
      </c>
      <c r="Y395" s="3" t="n">
        <v>-0.7820000052452087</v>
      </c>
      <c r="Z395" s="3" t="n">
        <v>-0.9710000157356262</v>
      </c>
      <c r="AA395" s="3" t="n">
        <v>-0.9710000157356262</v>
      </c>
      <c r="AB395" s="3" t="n">
        <v>-0.968999981880188</v>
      </c>
      <c r="AC395" s="3" t="n">
        <v>-1.044999957084656</v>
      </c>
      <c r="AD395" s="3" t="n">
        <v>-0.8489999771118164</v>
      </c>
      <c r="AE395" s="3" t="n">
        <v>-0.8489999771118164</v>
      </c>
    </row>
    <row r="396">
      <c r="A396" s="3" t="inlineStr">
        <is>
          <t>CHL.distn.dec.ove.mean.8</t>
        </is>
      </c>
      <c r="B396" s="3" t="inlineStr">
        <is>
          <t>CHL</t>
        </is>
      </c>
      <c r="C396" s="3" t="n">
        <v>2005</v>
      </c>
      <c r="D396" s="3" t="inlineStr">
        <is>
          <t>Overall</t>
        </is>
      </c>
      <c r="E396" s="3" t="inlineStr">
        <is>
          <t>Deciles</t>
        </is>
      </c>
      <c r="F396" s="3" t="inlineStr">
        <is>
          <t>mean</t>
        </is>
      </c>
      <c r="G396" s="3" t="n">
        <v>8</v>
      </c>
      <c r="H396" s="3" t="n">
        <v>-0.782376766204834</v>
      </c>
      <c r="I396" s="3" t="n">
        <v>-0.782376766204834</v>
      </c>
      <c r="J396" s="3" t="n">
        <v>-0.851290225982666</v>
      </c>
      <c r="K396" s="3" t="n">
        <v>-0.851290225982666</v>
      </c>
      <c r="L396" s="3" t="n">
        <v>-0.782376766204834</v>
      </c>
      <c r="M396" s="3" t="n">
        <v>-0.782376766204834</v>
      </c>
      <c r="N396" s="3" t="n">
        <v>-0.782376766204834</v>
      </c>
      <c r="O396" s="3" t="n">
        <v>-0.782376766204834</v>
      </c>
      <c r="P396" s="3" t="n">
        <v>-0.782376766204834</v>
      </c>
      <c r="Q396" s="3" t="n">
        <v>-0.782376766204834</v>
      </c>
      <c r="R396" s="3" t="n">
        <v>-0.7702532410621643</v>
      </c>
      <c r="S396" s="3" t="n">
        <v>-0.9800352454185486</v>
      </c>
      <c r="T396" s="3" t="n">
        <v>-0.7080408334732056</v>
      </c>
      <c r="U396" s="3" t="n">
        <v>-0.851290225982666</v>
      </c>
      <c r="V396" s="3" t="n">
        <v>-0.6766988039016724</v>
      </c>
      <c r="W396" s="3" t="n">
        <v>-0.5113358497619629</v>
      </c>
      <c r="X396" s="3" t="n">
        <v>-0.9778295159339905</v>
      </c>
      <c r="Y396" s="3" t="n">
        <v>-0.782376766204834</v>
      </c>
      <c r="Z396" s="3" t="n">
        <v>-0.9800352454185486</v>
      </c>
      <c r="AA396" s="3" t="n">
        <v>-0.9800352454185486</v>
      </c>
      <c r="AB396" s="3" t="n">
        <v>-0.9778295159339905</v>
      </c>
      <c r="AC396" s="3" t="n">
        <v>-1.059903144836426</v>
      </c>
      <c r="AD396" s="3" t="n">
        <v>-0.851290225982666</v>
      </c>
      <c r="AE396" s="3" t="n">
        <v>-0.851290225982666</v>
      </c>
    </row>
    <row r="397">
      <c r="A397" s="3" t="inlineStr">
        <is>
          <t>CHL.distn.dec.ove.mean.9</t>
        </is>
      </c>
      <c r="B397" s="3" t="inlineStr">
        <is>
          <t>CHL</t>
        </is>
      </c>
      <c r="C397" s="3" t="n">
        <v>2005</v>
      </c>
      <c r="D397" s="3" t="inlineStr">
        <is>
          <t>Overall</t>
        </is>
      </c>
      <c r="E397" s="3" t="inlineStr">
        <is>
          <t>Deciles</t>
        </is>
      </c>
      <c r="F397" s="3" t="inlineStr">
        <is>
          <t>mean</t>
        </is>
      </c>
      <c r="G397" s="3" t="n">
        <v>9</v>
      </c>
      <c r="H397" s="3" t="n">
        <v>-0.782376766204834</v>
      </c>
      <c r="I397" s="3" t="n">
        <v>-0.782376766204834</v>
      </c>
      <c r="J397" s="3" t="n">
        <v>-0.851290225982666</v>
      </c>
      <c r="K397" s="3" t="n">
        <v>-0.851290225982666</v>
      </c>
      <c r="L397" s="3" t="n">
        <v>-0.782376766204834</v>
      </c>
      <c r="M397" s="3" t="n">
        <v>-0.782376766204834</v>
      </c>
      <c r="N397" s="3" t="n">
        <v>-0.782376766204834</v>
      </c>
      <c r="O397" s="3" t="n">
        <v>-0.782376766204834</v>
      </c>
      <c r="P397" s="3" t="n">
        <v>-0.782376766204834</v>
      </c>
      <c r="Q397" s="3" t="n">
        <v>-0.782376766204834</v>
      </c>
      <c r="R397" s="3" t="n">
        <v>-0.7702532410621643</v>
      </c>
      <c r="S397" s="3" t="n">
        <v>-0.9800352454185486</v>
      </c>
      <c r="T397" s="3" t="n">
        <v>-0.7080408334732056</v>
      </c>
      <c r="U397" s="3" t="n">
        <v>-0.851290225982666</v>
      </c>
      <c r="V397" s="3" t="n">
        <v>-0.6766988039016724</v>
      </c>
      <c r="W397" s="3" t="n">
        <v>-0.5113358497619629</v>
      </c>
      <c r="X397" s="3" t="n">
        <v>-0.9778295159339905</v>
      </c>
      <c r="Y397" s="3" t="n">
        <v>-0.782376766204834</v>
      </c>
      <c r="Z397" s="3" t="n">
        <v>-0.9800352454185486</v>
      </c>
      <c r="AA397" s="3" t="n">
        <v>-0.9800352454185486</v>
      </c>
      <c r="AB397" s="3" t="n">
        <v>-0.9778295159339905</v>
      </c>
      <c r="AC397" s="3" t="n">
        <v>-1.059903144836426</v>
      </c>
      <c r="AD397" s="3" t="n">
        <v>-0.851290225982666</v>
      </c>
      <c r="AE397" s="3" t="n">
        <v>-0.851290225982666</v>
      </c>
    </row>
    <row r="398">
      <c r="A398" s="3" t="inlineStr">
        <is>
          <t>CHL.distn.dec.ove.mean.10</t>
        </is>
      </c>
      <c r="B398" s="3" t="inlineStr">
        <is>
          <t>CHL</t>
        </is>
      </c>
      <c r="C398" s="3" t="n">
        <v>2005</v>
      </c>
      <c r="D398" s="3" t="inlineStr">
        <is>
          <t>Overall</t>
        </is>
      </c>
      <c r="E398" s="3" t="inlineStr">
        <is>
          <t>Deciles</t>
        </is>
      </c>
      <c r="F398" s="3" t="inlineStr">
        <is>
          <t>mean</t>
        </is>
      </c>
      <c r="G398" s="3" t="n">
        <v>10</v>
      </c>
      <c r="H398" s="3" t="n">
        <v>-0.782376766204834</v>
      </c>
      <c r="I398" s="3" t="n">
        <v>-0.782376766204834</v>
      </c>
      <c r="J398" s="3" t="n">
        <v>-0.851290225982666</v>
      </c>
      <c r="K398" s="3" t="n">
        <v>-0.851290225982666</v>
      </c>
      <c r="L398" s="3" t="n">
        <v>-0.782376766204834</v>
      </c>
      <c r="M398" s="3" t="n">
        <v>-0.782376766204834</v>
      </c>
      <c r="N398" s="3" t="n">
        <v>-0.782376766204834</v>
      </c>
      <c r="O398" s="3" t="n">
        <v>-0.782376766204834</v>
      </c>
      <c r="P398" s="3" t="n">
        <v>-0.782376766204834</v>
      </c>
      <c r="Q398" s="3" t="n">
        <v>-0.782376766204834</v>
      </c>
      <c r="R398" s="3" t="n">
        <v>-0.7702532410621643</v>
      </c>
      <c r="S398" s="3" t="n">
        <v>-0.9800352454185486</v>
      </c>
      <c r="T398" s="3" t="n">
        <v>-0.7080408334732056</v>
      </c>
      <c r="U398" s="3" t="n">
        <v>-0.851290225982666</v>
      </c>
      <c r="V398" s="3" t="n">
        <v>-0.6766988039016724</v>
      </c>
      <c r="W398" s="3" t="n">
        <v>-0.5113358497619629</v>
      </c>
      <c r="X398" s="3" t="n">
        <v>-0.9778295159339905</v>
      </c>
      <c r="Y398" s="3" t="n">
        <v>-0.782376766204834</v>
      </c>
      <c r="Z398" s="3" t="n">
        <v>-0.9800352454185486</v>
      </c>
      <c r="AA398" s="3" t="n">
        <v>-0.9800352454185486</v>
      </c>
      <c r="AB398" s="3" t="n">
        <v>-0.9778295159339905</v>
      </c>
      <c r="AC398" s="3" t="n">
        <v>-1.059903144836426</v>
      </c>
      <c r="AD398" s="3" t="n">
        <v>-0.851290225982666</v>
      </c>
      <c r="AE398" s="3" t="n">
        <v>-0.851290225982666</v>
      </c>
    </row>
    <row r="399">
      <c r="A399" s="3" t="inlineStr">
        <is>
          <t>CHL.distn.bkt.ove.mean.9999</t>
        </is>
      </c>
      <c r="B399" s="3" t="inlineStr">
        <is>
          <t>CHL</t>
        </is>
      </c>
      <c r="C399" s="3" t="n">
        <v>2005</v>
      </c>
      <c r="D399" s="3" t="inlineStr">
        <is>
          <t>Overall</t>
        </is>
      </c>
      <c r="E399" s="3" t="inlineStr">
        <is>
          <t>Basket</t>
        </is>
      </c>
      <c r="F399" s="3" t="inlineStr">
        <is>
          <t>mean</t>
        </is>
      </c>
      <c r="G399" s="3" t="n">
        <v>9999</v>
      </c>
      <c r="H399" s="3" t="n">
        <v>-0.7839853167533875</v>
      </c>
      <c r="I399" s="3" t="n">
        <v>-0.7839853167533875</v>
      </c>
      <c r="J399" s="3" t="n">
        <v>-0.8626193404197693</v>
      </c>
      <c r="K399" s="3" t="n">
        <v>-0.8626193404197693</v>
      </c>
      <c r="L399" s="3" t="n">
        <v>-0.7839853167533875</v>
      </c>
      <c r="M399" s="3" t="n">
        <v>-0.7839853167533875</v>
      </c>
      <c r="N399" s="3" t="n">
        <v>-0.7839853167533875</v>
      </c>
      <c r="O399" s="3" t="n">
        <v>-0.7839853167533875</v>
      </c>
      <c r="P399" s="3" t="n">
        <v>-0.7839853167533875</v>
      </c>
      <c r="Q399" s="3" t="n">
        <v>-0.7839853167533875</v>
      </c>
      <c r="R399" s="3" t="n">
        <v>-0.7711172103881836</v>
      </c>
      <c r="S399" s="3" t="n">
        <v>-1.11009407043457</v>
      </c>
      <c r="T399" s="3" t="n">
        <v>-0.708448052406311</v>
      </c>
      <c r="U399" s="3" t="n">
        <v>-0.8626193404197693</v>
      </c>
      <c r="V399" s="3" t="n">
        <v>-0.6782930493354797</v>
      </c>
      <c r="W399" s="3" t="n">
        <v>-0.530118465423584</v>
      </c>
      <c r="X399" s="3" t="n">
        <v>-1.092859745025635</v>
      </c>
      <c r="Y399" s="3" t="n">
        <v>-0.7839853167533875</v>
      </c>
      <c r="Z399" s="3" t="n">
        <v>-1.11009407043457</v>
      </c>
      <c r="AA399" s="3" t="n">
        <v>-1.11009407043457</v>
      </c>
      <c r="AB399" s="3" t="n">
        <v>-1.092859745025635</v>
      </c>
      <c r="AC399" s="3" t="n">
        <v>-1.385143280029297</v>
      </c>
      <c r="AD399" s="3" t="n">
        <v>-0.8626193404197693</v>
      </c>
      <c r="AE399" s="3" t="n">
        <v>-0.8626193404197693</v>
      </c>
    </row>
    <row r="400">
      <c r="A400" s="3" t="inlineStr">
        <is>
          <t>CHN.distn.dec.ove.mean.1</t>
        </is>
      </c>
      <c r="B400" s="3" t="inlineStr">
        <is>
          <t>CHN</t>
        </is>
      </c>
      <c r="C400" s="3" t="n">
        <v>2005</v>
      </c>
      <c r="D400" s="3" t="inlineStr">
        <is>
          <t>Overall</t>
        </is>
      </c>
      <c r="E400" s="3" t="inlineStr">
        <is>
          <t>Deciles</t>
        </is>
      </c>
      <c r="F400" s="3" t="inlineStr">
        <is>
          <t>mean</t>
        </is>
      </c>
      <c r="G400" s="3" t="n">
        <v>1</v>
      </c>
      <c r="H400" s="3" t="n">
        <v>-0.7932808399200439</v>
      </c>
      <c r="I400" s="3" t="n">
        <v>-0.7932808399200439</v>
      </c>
      <c r="J400" s="3" t="n">
        <v>-0.9236307740211487</v>
      </c>
      <c r="K400" s="3" t="n">
        <v>-0.9236307740211487</v>
      </c>
      <c r="L400" s="3" t="n">
        <v>-0.7932808399200439</v>
      </c>
      <c r="M400" s="3" t="n">
        <v>-0.7932808399200439</v>
      </c>
      <c r="N400" s="3" t="n">
        <v>-0.7932808399200439</v>
      </c>
      <c r="O400" s="3" t="n">
        <v>-0.7932808399200439</v>
      </c>
      <c r="P400" s="3" t="n">
        <v>-0.7932808399200439</v>
      </c>
      <c r="Q400" s="3" t="n">
        <v>-0.7932808399200439</v>
      </c>
      <c r="R400" s="3" t="n">
        <v>-0.7764842510223389</v>
      </c>
      <c r="S400" s="3" t="n">
        <v>-1.694290399551392</v>
      </c>
      <c r="T400" s="3" t="n">
        <v>-0.7104546427726746</v>
      </c>
      <c r="U400" s="3" t="n">
        <v>-0.9236307740211487</v>
      </c>
      <c r="V400" s="3" t="n">
        <v>-0.6879960894584656</v>
      </c>
      <c r="W400" s="3" t="n">
        <v>-0.676088273525238</v>
      </c>
      <c r="X400" s="3" t="n">
        <v>-1.623838782310486</v>
      </c>
      <c r="Y400" s="3" t="n">
        <v>-0.7932808399200439</v>
      </c>
      <c r="Z400" s="3" t="n">
        <v>-1.694290399551392</v>
      </c>
      <c r="AA400" s="3" t="n">
        <v>-1.694290399551392</v>
      </c>
      <c r="AB400" s="3" t="n">
        <v>-1.623838782310486</v>
      </c>
      <c r="AC400" s="3" t="n">
        <v>-3.012905359268188</v>
      </c>
      <c r="AD400" s="3" t="n">
        <v>-0.9236307740211487</v>
      </c>
      <c r="AE400" s="3" t="n">
        <v>-0.9236307740211487</v>
      </c>
    </row>
    <row r="401">
      <c r="A401" s="3" t="inlineStr">
        <is>
          <t>CHN.distn.dec.ove.mean.2</t>
        </is>
      </c>
      <c r="B401" s="3" t="inlineStr">
        <is>
          <t>CHN</t>
        </is>
      </c>
      <c r="C401" s="3" t="n">
        <v>2005</v>
      </c>
      <c r="D401" s="3" t="inlineStr">
        <is>
          <t>Overall</t>
        </is>
      </c>
      <c r="E401" s="3" t="inlineStr">
        <is>
          <t>Deciles</t>
        </is>
      </c>
      <c r="F401" s="3" t="inlineStr">
        <is>
          <t>mean</t>
        </is>
      </c>
      <c r="G401" s="3" t="n">
        <v>2</v>
      </c>
      <c r="H401" s="3" t="n">
        <v>-0.7932808399200439</v>
      </c>
      <c r="I401" s="3" t="n">
        <v>-0.7932808399200439</v>
      </c>
      <c r="J401" s="3" t="n">
        <v>-0.9236307740211487</v>
      </c>
      <c r="K401" s="3" t="n">
        <v>-0.9236307740211487</v>
      </c>
      <c r="L401" s="3" t="n">
        <v>-0.7932808399200439</v>
      </c>
      <c r="M401" s="3" t="n">
        <v>-0.7932808399200439</v>
      </c>
      <c r="N401" s="3" t="n">
        <v>-0.7932808399200439</v>
      </c>
      <c r="O401" s="3" t="n">
        <v>-0.7932808399200439</v>
      </c>
      <c r="P401" s="3" t="n">
        <v>-0.7932808399200439</v>
      </c>
      <c r="Q401" s="3" t="n">
        <v>-0.7932808399200439</v>
      </c>
      <c r="R401" s="3" t="n">
        <v>-0.7764842510223389</v>
      </c>
      <c r="S401" s="3" t="n">
        <v>-1.694290399551392</v>
      </c>
      <c r="T401" s="3" t="n">
        <v>-0.7104546427726746</v>
      </c>
      <c r="U401" s="3" t="n">
        <v>-0.9236307740211487</v>
      </c>
      <c r="V401" s="3" t="n">
        <v>-0.6879960894584656</v>
      </c>
      <c r="W401" s="3" t="n">
        <v>-0.676088273525238</v>
      </c>
      <c r="X401" s="3" t="n">
        <v>-1.623838782310486</v>
      </c>
      <c r="Y401" s="3" t="n">
        <v>-0.7932808399200439</v>
      </c>
      <c r="Z401" s="3" t="n">
        <v>-1.694290399551392</v>
      </c>
      <c r="AA401" s="3" t="n">
        <v>-1.694290399551392</v>
      </c>
      <c r="AB401" s="3" t="n">
        <v>-1.623838782310486</v>
      </c>
      <c r="AC401" s="3" t="n">
        <v>-3.012905359268188</v>
      </c>
      <c r="AD401" s="3" t="n">
        <v>-0.9236307740211487</v>
      </c>
      <c r="AE401" s="3" t="n">
        <v>-0.9236307740211487</v>
      </c>
    </row>
    <row r="402">
      <c r="A402" s="3" t="inlineStr">
        <is>
          <t>CHN.distn.dec.ove.mean.3</t>
        </is>
      </c>
      <c r="B402" s="3" t="inlineStr">
        <is>
          <t>CHN</t>
        </is>
      </c>
      <c r="C402" s="3" t="n">
        <v>2005</v>
      </c>
      <c r="D402" s="3" t="inlineStr">
        <is>
          <t>Overall</t>
        </is>
      </c>
      <c r="E402" s="3" t="inlineStr">
        <is>
          <t>Deciles</t>
        </is>
      </c>
      <c r="F402" s="3" t="inlineStr">
        <is>
          <t>mean</t>
        </is>
      </c>
      <c r="G402" s="3" t="n">
        <v>3</v>
      </c>
      <c r="H402" s="3" t="n">
        <v>-0.7932808399200439</v>
      </c>
      <c r="I402" s="3" t="n">
        <v>-0.7932808399200439</v>
      </c>
      <c r="J402" s="3" t="n">
        <v>-0.9236307740211487</v>
      </c>
      <c r="K402" s="3" t="n">
        <v>-0.9236307740211487</v>
      </c>
      <c r="L402" s="3" t="n">
        <v>-0.7932808399200439</v>
      </c>
      <c r="M402" s="3" t="n">
        <v>-0.7932808399200439</v>
      </c>
      <c r="N402" s="3" t="n">
        <v>-0.7932808399200439</v>
      </c>
      <c r="O402" s="3" t="n">
        <v>-0.7932808399200439</v>
      </c>
      <c r="P402" s="3" t="n">
        <v>-0.7932808399200439</v>
      </c>
      <c r="Q402" s="3" t="n">
        <v>-0.7932808399200439</v>
      </c>
      <c r="R402" s="3" t="n">
        <v>-0.7764842510223389</v>
      </c>
      <c r="S402" s="3" t="n">
        <v>-1.694290399551392</v>
      </c>
      <c r="T402" s="3" t="n">
        <v>-0.7104546427726746</v>
      </c>
      <c r="U402" s="3" t="n">
        <v>-0.9236307740211487</v>
      </c>
      <c r="V402" s="3" t="n">
        <v>-0.6879960894584656</v>
      </c>
      <c r="W402" s="3" t="n">
        <v>-0.676088273525238</v>
      </c>
      <c r="X402" s="3" t="n">
        <v>-1.623838782310486</v>
      </c>
      <c r="Y402" s="3" t="n">
        <v>-0.7932808399200439</v>
      </c>
      <c r="Z402" s="3" t="n">
        <v>-1.694290399551392</v>
      </c>
      <c r="AA402" s="3" t="n">
        <v>-1.694290399551392</v>
      </c>
      <c r="AB402" s="3" t="n">
        <v>-1.623838782310486</v>
      </c>
      <c r="AC402" s="3" t="n">
        <v>-3.012905359268188</v>
      </c>
      <c r="AD402" s="3" t="n">
        <v>-0.9236307740211487</v>
      </c>
      <c r="AE402" s="3" t="n">
        <v>-0.9236307740211487</v>
      </c>
    </row>
    <row r="403">
      <c r="A403" s="3" t="inlineStr">
        <is>
          <t>CHN.distn.dec.ove.mean.4</t>
        </is>
      </c>
      <c r="B403" s="3" t="inlineStr">
        <is>
          <t>CHN</t>
        </is>
      </c>
      <c r="C403" s="3" t="n">
        <v>2005</v>
      </c>
      <c r="D403" s="3" t="inlineStr">
        <is>
          <t>Overall</t>
        </is>
      </c>
      <c r="E403" s="3" t="inlineStr">
        <is>
          <t>Deciles</t>
        </is>
      </c>
      <c r="F403" s="3" t="inlineStr">
        <is>
          <t>mean</t>
        </is>
      </c>
      <c r="G403" s="3" t="n">
        <v>4</v>
      </c>
      <c r="H403" s="3" t="n">
        <v>-0.7870000004768372</v>
      </c>
      <c r="I403" s="3" t="n">
        <v>-0.7870000004768372</v>
      </c>
      <c r="J403" s="3" t="n">
        <v>-0.8790000081062317</v>
      </c>
      <c r="K403" s="3" t="n">
        <v>-0.8790000081062317</v>
      </c>
      <c r="L403" s="3" t="n">
        <v>-0.7870000004768372</v>
      </c>
      <c r="M403" s="3" t="n">
        <v>-0.7870000004768372</v>
      </c>
      <c r="N403" s="3" t="n">
        <v>-0.7870000004768372</v>
      </c>
      <c r="O403" s="3" t="n">
        <v>-0.7870000004768372</v>
      </c>
      <c r="P403" s="3" t="n">
        <v>-0.7870000004768372</v>
      </c>
      <c r="Q403" s="3" t="n">
        <v>-0.7870000004768372</v>
      </c>
      <c r="R403" s="3" t="n">
        <v>-0.7730000019073486</v>
      </c>
      <c r="S403" s="3" t="n">
        <v>-1.154000043869019</v>
      </c>
      <c r="T403" s="3" t="n">
        <v>-0.7089999914169312</v>
      </c>
      <c r="U403" s="3" t="n">
        <v>-0.8790000081062317</v>
      </c>
      <c r="V403" s="3" t="n">
        <v>-0.6809999942779541</v>
      </c>
      <c r="W403" s="3" t="n">
        <v>-0.5690000057220459</v>
      </c>
      <c r="X403" s="3" t="n">
        <v>-1.146000027656555</v>
      </c>
      <c r="Y403" s="3" t="n">
        <v>-0.7870000004768372</v>
      </c>
      <c r="Z403" s="3" t="n">
        <v>-1.154000043869019</v>
      </c>
      <c r="AA403" s="3" t="n">
        <v>-1.154000043869019</v>
      </c>
      <c r="AB403" s="3" t="n">
        <v>-1.146000027656555</v>
      </c>
      <c r="AC403" s="3" t="n">
        <v>-1.455000042915344</v>
      </c>
      <c r="AD403" s="3" t="n">
        <v>-0.8790000081062317</v>
      </c>
      <c r="AE403" s="3" t="n">
        <v>-0.8790000081062317</v>
      </c>
    </row>
    <row r="404">
      <c r="A404" s="3" t="inlineStr">
        <is>
          <t>CHN.distn.dec.ove.mean.5</t>
        </is>
      </c>
      <c r="B404" s="3" t="inlineStr">
        <is>
          <t>CHN</t>
        </is>
      </c>
      <c r="C404" s="3" t="n">
        <v>2005</v>
      </c>
      <c r="D404" s="3" t="inlineStr">
        <is>
          <t>Overall</t>
        </is>
      </c>
      <c r="E404" s="3" t="inlineStr">
        <is>
          <t>Deciles</t>
        </is>
      </c>
      <c r="F404" s="3" t="inlineStr">
        <is>
          <t>mean</t>
        </is>
      </c>
      <c r="G404" s="3" t="n">
        <v>5</v>
      </c>
      <c r="H404" s="3" t="n">
        <v>-0.7870000004768372</v>
      </c>
      <c r="I404" s="3" t="n">
        <v>-0.7870000004768372</v>
      </c>
      <c r="J404" s="3" t="n">
        <v>-0.8790000081062317</v>
      </c>
      <c r="K404" s="3" t="n">
        <v>-0.8790000081062317</v>
      </c>
      <c r="L404" s="3" t="n">
        <v>-0.7870000004768372</v>
      </c>
      <c r="M404" s="3" t="n">
        <v>-0.7870000004768372</v>
      </c>
      <c r="N404" s="3" t="n">
        <v>-0.7870000004768372</v>
      </c>
      <c r="O404" s="3" t="n">
        <v>-0.7870000004768372</v>
      </c>
      <c r="P404" s="3" t="n">
        <v>-0.7870000004768372</v>
      </c>
      <c r="Q404" s="3" t="n">
        <v>-0.7870000004768372</v>
      </c>
      <c r="R404" s="3" t="n">
        <v>-0.7730000019073486</v>
      </c>
      <c r="S404" s="3" t="n">
        <v>-1.154000043869019</v>
      </c>
      <c r="T404" s="3" t="n">
        <v>-0.7089999914169312</v>
      </c>
      <c r="U404" s="3" t="n">
        <v>-0.8790000081062317</v>
      </c>
      <c r="V404" s="3" t="n">
        <v>-0.6809999942779541</v>
      </c>
      <c r="W404" s="3" t="n">
        <v>-0.5690000057220459</v>
      </c>
      <c r="X404" s="3" t="n">
        <v>-1.146000027656555</v>
      </c>
      <c r="Y404" s="3" t="n">
        <v>-0.7870000004768372</v>
      </c>
      <c r="Z404" s="3" t="n">
        <v>-1.154000043869019</v>
      </c>
      <c r="AA404" s="3" t="n">
        <v>-1.154000043869019</v>
      </c>
      <c r="AB404" s="3" t="n">
        <v>-1.146000027656555</v>
      </c>
      <c r="AC404" s="3" t="n">
        <v>-1.455000042915344</v>
      </c>
      <c r="AD404" s="3" t="n">
        <v>-0.8790000081062317</v>
      </c>
      <c r="AE404" s="3" t="n">
        <v>-0.8790000081062317</v>
      </c>
    </row>
    <row r="405">
      <c r="A405" s="3" t="inlineStr">
        <is>
          <t>CHN.distn.dec.ove.mean.6</t>
        </is>
      </c>
      <c r="B405" s="3" t="inlineStr">
        <is>
          <t>CHN</t>
        </is>
      </c>
      <c r="C405" s="3" t="n">
        <v>2005</v>
      </c>
      <c r="D405" s="3" t="inlineStr">
        <is>
          <t>Overall</t>
        </is>
      </c>
      <c r="E405" s="3" t="inlineStr">
        <is>
          <t>Deciles</t>
        </is>
      </c>
      <c r="F405" s="3" t="inlineStr">
        <is>
          <t>mean</t>
        </is>
      </c>
      <c r="G405" s="3" t="n">
        <v>6</v>
      </c>
      <c r="H405" s="3" t="n">
        <v>-0.7870000004768372</v>
      </c>
      <c r="I405" s="3" t="n">
        <v>-0.7870000004768372</v>
      </c>
      <c r="J405" s="3" t="n">
        <v>-0.8790000081062317</v>
      </c>
      <c r="K405" s="3" t="n">
        <v>-0.8790000081062317</v>
      </c>
      <c r="L405" s="3" t="n">
        <v>-0.7870000004768372</v>
      </c>
      <c r="M405" s="3" t="n">
        <v>-0.7870000004768372</v>
      </c>
      <c r="N405" s="3" t="n">
        <v>-0.7870000004768372</v>
      </c>
      <c r="O405" s="3" t="n">
        <v>-0.7870000004768372</v>
      </c>
      <c r="P405" s="3" t="n">
        <v>-0.7870000004768372</v>
      </c>
      <c r="Q405" s="3" t="n">
        <v>-0.7870000004768372</v>
      </c>
      <c r="R405" s="3" t="n">
        <v>-0.7730000019073486</v>
      </c>
      <c r="S405" s="3" t="n">
        <v>-1.154000043869019</v>
      </c>
      <c r="T405" s="3" t="n">
        <v>-0.7089999914169312</v>
      </c>
      <c r="U405" s="3" t="n">
        <v>-0.8790000081062317</v>
      </c>
      <c r="V405" s="3" t="n">
        <v>-0.6809999942779541</v>
      </c>
      <c r="W405" s="3" t="n">
        <v>-0.5690000057220459</v>
      </c>
      <c r="X405" s="3" t="n">
        <v>-1.146000027656555</v>
      </c>
      <c r="Y405" s="3" t="n">
        <v>-0.7870000004768372</v>
      </c>
      <c r="Z405" s="3" t="n">
        <v>-1.154000043869019</v>
      </c>
      <c r="AA405" s="3" t="n">
        <v>-1.154000043869019</v>
      </c>
      <c r="AB405" s="3" t="n">
        <v>-1.146000027656555</v>
      </c>
      <c r="AC405" s="3" t="n">
        <v>-1.455000042915344</v>
      </c>
      <c r="AD405" s="3" t="n">
        <v>-0.8790000081062317</v>
      </c>
      <c r="AE405" s="3" t="n">
        <v>-0.8790000081062317</v>
      </c>
    </row>
    <row r="406">
      <c r="A406" s="3" t="inlineStr">
        <is>
          <t>CHN.distn.dec.ove.mean.7</t>
        </is>
      </c>
      <c r="B406" s="3" t="inlineStr">
        <is>
          <t>CHN</t>
        </is>
      </c>
      <c r="C406" s="3" t="n">
        <v>2005</v>
      </c>
      <c r="D406" s="3" t="inlineStr">
        <is>
          <t>Overall</t>
        </is>
      </c>
      <c r="E406" s="3" t="inlineStr">
        <is>
          <t>Deciles</t>
        </is>
      </c>
      <c r="F406" s="3" t="inlineStr">
        <is>
          <t>mean</t>
        </is>
      </c>
      <c r="G406" s="3" t="n">
        <v>7</v>
      </c>
      <c r="H406" s="3" t="n">
        <v>-0.7870000004768372</v>
      </c>
      <c r="I406" s="3" t="n">
        <v>-0.7870000004768372</v>
      </c>
      <c r="J406" s="3" t="n">
        <v>-0.8790000081062317</v>
      </c>
      <c r="K406" s="3" t="n">
        <v>-0.8790000081062317</v>
      </c>
      <c r="L406" s="3" t="n">
        <v>-0.7870000004768372</v>
      </c>
      <c r="M406" s="3" t="n">
        <v>-0.7870000004768372</v>
      </c>
      <c r="N406" s="3" t="n">
        <v>-0.7870000004768372</v>
      </c>
      <c r="O406" s="3" t="n">
        <v>-0.7870000004768372</v>
      </c>
      <c r="P406" s="3" t="n">
        <v>-0.7870000004768372</v>
      </c>
      <c r="Q406" s="3" t="n">
        <v>-0.7870000004768372</v>
      </c>
      <c r="R406" s="3" t="n">
        <v>-0.7730000019073486</v>
      </c>
      <c r="S406" s="3" t="n">
        <v>-1.154000043869019</v>
      </c>
      <c r="T406" s="3" t="n">
        <v>-0.7089999914169312</v>
      </c>
      <c r="U406" s="3" t="n">
        <v>-0.8790000081062317</v>
      </c>
      <c r="V406" s="3" t="n">
        <v>-0.6809999942779541</v>
      </c>
      <c r="W406" s="3" t="n">
        <v>-0.5690000057220459</v>
      </c>
      <c r="X406" s="3" t="n">
        <v>-1.146000027656555</v>
      </c>
      <c r="Y406" s="3" t="n">
        <v>-0.7870000004768372</v>
      </c>
      <c r="Z406" s="3" t="n">
        <v>-1.154000043869019</v>
      </c>
      <c r="AA406" s="3" t="n">
        <v>-1.154000043869019</v>
      </c>
      <c r="AB406" s="3" t="n">
        <v>-1.146000027656555</v>
      </c>
      <c r="AC406" s="3" t="n">
        <v>-1.455000042915344</v>
      </c>
      <c r="AD406" s="3" t="n">
        <v>-0.8790000081062317</v>
      </c>
      <c r="AE406" s="3" t="n">
        <v>-0.8790000081062317</v>
      </c>
    </row>
    <row r="407">
      <c r="A407" s="3" t="inlineStr">
        <is>
          <t>CHN.distn.dec.ove.mean.8</t>
        </is>
      </c>
      <c r="B407" s="3" t="inlineStr">
        <is>
          <t>CHN</t>
        </is>
      </c>
      <c r="C407" s="3" t="n">
        <v>2005</v>
      </c>
      <c r="D407" s="3" t="inlineStr">
        <is>
          <t>Overall</t>
        </is>
      </c>
      <c r="E407" s="3" t="inlineStr">
        <is>
          <t>Deciles</t>
        </is>
      </c>
      <c r="F407" s="3" t="inlineStr">
        <is>
          <t>mean</t>
        </is>
      </c>
      <c r="G407" s="3" t="n">
        <v>8</v>
      </c>
      <c r="H407" s="3" t="n">
        <v>-0.7873791456222534</v>
      </c>
      <c r="I407" s="3" t="n">
        <v>-0.7873791456222534</v>
      </c>
      <c r="J407" s="3" t="n">
        <v>-0.8813712000846863</v>
      </c>
      <c r="K407" s="3" t="n">
        <v>-0.8813712000846863</v>
      </c>
      <c r="L407" s="3" t="n">
        <v>-0.7873791456222534</v>
      </c>
      <c r="M407" s="3" t="n">
        <v>-0.7873791456222534</v>
      </c>
      <c r="N407" s="3" t="n">
        <v>-0.7873791456222534</v>
      </c>
      <c r="O407" s="3" t="n">
        <v>-0.7873791456222534</v>
      </c>
      <c r="P407" s="3" t="n">
        <v>-0.7873791456222534</v>
      </c>
      <c r="Q407" s="3" t="n">
        <v>-0.7873791456222534</v>
      </c>
      <c r="R407" s="3" t="n">
        <v>-0.7732542157173157</v>
      </c>
      <c r="S407" s="3" t="n">
        <v>-1.164738059043884</v>
      </c>
      <c r="T407" s="3" t="n">
        <v>-0.7090408802032471</v>
      </c>
      <c r="U407" s="3" t="n">
        <v>-0.8813712000846863</v>
      </c>
      <c r="V407" s="3" t="n">
        <v>-0.6817039847373962</v>
      </c>
      <c r="W407" s="3" t="n">
        <v>-0.5842371582984924</v>
      </c>
      <c r="X407" s="3" t="n">
        <v>-1.156442403793335</v>
      </c>
      <c r="Y407" s="3" t="n">
        <v>-0.7873791456222534</v>
      </c>
      <c r="Z407" s="3" t="n">
        <v>-1.164738059043884</v>
      </c>
      <c r="AA407" s="3" t="n">
        <v>-1.164738059043884</v>
      </c>
      <c r="AB407" s="3" t="n">
        <v>-1.156442403793335</v>
      </c>
      <c r="AC407" s="3" t="n">
        <v>-1.475750207901001</v>
      </c>
      <c r="AD407" s="3" t="n">
        <v>-0.8813712000846863</v>
      </c>
      <c r="AE407" s="3" t="n">
        <v>-0.8813712000846863</v>
      </c>
    </row>
    <row r="408">
      <c r="A408" s="3" t="inlineStr">
        <is>
          <t>CHN.distn.dec.ove.mean.9</t>
        </is>
      </c>
      <c r="B408" s="3" t="inlineStr">
        <is>
          <t>CHN</t>
        </is>
      </c>
      <c r="C408" s="3" t="n">
        <v>2005</v>
      </c>
      <c r="D408" s="3" t="inlineStr">
        <is>
          <t>Overall</t>
        </is>
      </c>
      <c r="E408" s="3" t="inlineStr">
        <is>
          <t>Deciles</t>
        </is>
      </c>
      <c r="F408" s="3" t="inlineStr">
        <is>
          <t>mean</t>
        </is>
      </c>
      <c r="G408" s="3" t="n">
        <v>9</v>
      </c>
      <c r="H408" s="3" t="n">
        <v>-0.7873791456222534</v>
      </c>
      <c r="I408" s="3" t="n">
        <v>-0.7873791456222534</v>
      </c>
      <c r="J408" s="3" t="n">
        <v>-0.8813712000846863</v>
      </c>
      <c r="K408" s="3" t="n">
        <v>-0.8813712000846863</v>
      </c>
      <c r="L408" s="3" t="n">
        <v>-0.7873791456222534</v>
      </c>
      <c r="M408" s="3" t="n">
        <v>-0.7873791456222534</v>
      </c>
      <c r="N408" s="3" t="n">
        <v>-0.7873791456222534</v>
      </c>
      <c r="O408" s="3" t="n">
        <v>-0.7873791456222534</v>
      </c>
      <c r="P408" s="3" t="n">
        <v>-0.7873791456222534</v>
      </c>
      <c r="Q408" s="3" t="n">
        <v>-0.7873791456222534</v>
      </c>
      <c r="R408" s="3" t="n">
        <v>-0.7732542157173157</v>
      </c>
      <c r="S408" s="3" t="n">
        <v>-1.164738059043884</v>
      </c>
      <c r="T408" s="3" t="n">
        <v>-0.7090408802032471</v>
      </c>
      <c r="U408" s="3" t="n">
        <v>-0.8813712000846863</v>
      </c>
      <c r="V408" s="3" t="n">
        <v>-0.6817039847373962</v>
      </c>
      <c r="W408" s="3" t="n">
        <v>-0.5842371582984924</v>
      </c>
      <c r="X408" s="3" t="n">
        <v>-1.156442403793335</v>
      </c>
      <c r="Y408" s="3" t="n">
        <v>-0.7873791456222534</v>
      </c>
      <c r="Z408" s="3" t="n">
        <v>-1.164738059043884</v>
      </c>
      <c r="AA408" s="3" t="n">
        <v>-1.164738059043884</v>
      </c>
      <c r="AB408" s="3" t="n">
        <v>-1.156442403793335</v>
      </c>
      <c r="AC408" s="3" t="n">
        <v>-1.475750207901001</v>
      </c>
      <c r="AD408" s="3" t="n">
        <v>-0.8813712000846863</v>
      </c>
      <c r="AE408" s="3" t="n">
        <v>-0.8813712000846863</v>
      </c>
    </row>
    <row r="409">
      <c r="A409" s="3" t="inlineStr">
        <is>
          <t>CHN.distn.dec.ove.mean.10</t>
        </is>
      </c>
      <c r="B409" s="3" t="inlineStr">
        <is>
          <t>CHN</t>
        </is>
      </c>
      <c r="C409" s="3" t="n">
        <v>2005</v>
      </c>
      <c r="D409" s="3" t="inlineStr">
        <is>
          <t>Overall</t>
        </is>
      </c>
      <c r="E409" s="3" t="inlineStr">
        <is>
          <t>Deciles</t>
        </is>
      </c>
      <c r="F409" s="3" t="inlineStr">
        <is>
          <t>mean</t>
        </is>
      </c>
      <c r="G409" s="3" t="n">
        <v>10</v>
      </c>
      <c r="H409" s="3" t="n">
        <v>-0.7873791456222534</v>
      </c>
      <c r="I409" s="3" t="n">
        <v>-0.7873791456222534</v>
      </c>
      <c r="J409" s="3" t="n">
        <v>-0.8813712000846863</v>
      </c>
      <c r="K409" s="3" t="n">
        <v>-0.8813712000846863</v>
      </c>
      <c r="L409" s="3" t="n">
        <v>-0.7873791456222534</v>
      </c>
      <c r="M409" s="3" t="n">
        <v>-0.7873791456222534</v>
      </c>
      <c r="N409" s="3" t="n">
        <v>-0.7873791456222534</v>
      </c>
      <c r="O409" s="3" t="n">
        <v>-0.7873791456222534</v>
      </c>
      <c r="P409" s="3" t="n">
        <v>-0.7873791456222534</v>
      </c>
      <c r="Q409" s="3" t="n">
        <v>-0.7873791456222534</v>
      </c>
      <c r="R409" s="3" t="n">
        <v>-0.7732542157173157</v>
      </c>
      <c r="S409" s="3" t="n">
        <v>-1.164738059043884</v>
      </c>
      <c r="T409" s="3" t="n">
        <v>-0.7090408802032471</v>
      </c>
      <c r="U409" s="3" t="n">
        <v>-0.8813712000846863</v>
      </c>
      <c r="V409" s="3" t="n">
        <v>-0.6817039847373962</v>
      </c>
      <c r="W409" s="3" t="n">
        <v>-0.5842371582984924</v>
      </c>
      <c r="X409" s="3" t="n">
        <v>-1.156442403793335</v>
      </c>
      <c r="Y409" s="3" t="n">
        <v>-0.7873791456222534</v>
      </c>
      <c r="Z409" s="3" t="n">
        <v>-1.164738059043884</v>
      </c>
      <c r="AA409" s="3" t="n">
        <v>-1.164738059043884</v>
      </c>
      <c r="AB409" s="3" t="n">
        <v>-1.156442403793335</v>
      </c>
      <c r="AC409" s="3" t="n">
        <v>-1.475750207901001</v>
      </c>
      <c r="AD409" s="3" t="n">
        <v>-0.8813712000846863</v>
      </c>
      <c r="AE409" s="3" t="n">
        <v>-0.8813712000846863</v>
      </c>
    </row>
    <row r="410">
      <c r="A410" s="3" t="inlineStr">
        <is>
          <t>CHN.distn.bkt.ove.mean.9999</t>
        </is>
      </c>
      <c r="B410" s="3" t="inlineStr">
        <is>
          <t>CHN</t>
        </is>
      </c>
      <c r="C410" s="3" t="n">
        <v>2005</v>
      </c>
      <c r="D410" s="3" t="inlineStr">
        <is>
          <t>Overall</t>
        </is>
      </c>
      <c r="E410" s="3" t="inlineStr">
        <is>
          <t>Basket</t>
        </is>
      </c>
      <c r="F410" s="3" t="inlineStr">
        <is>
          <t>mean</t>
        </is>
      </c>
      <c r="G410" s="3" t="n">
        <v>9999</v>
      </c>
      <c r="H410" s="3" t="n">
        <v>-0.788998007774353</v>
      </c>
      <c r="I410" s="3" t="n">
        <v>-0.788998007774353</v>
      </c>
      <c r="J410" s="3" t="n">
        <v>-0.8931006193161011</v>
      </c>
      <c r="K410" s="3" t="n">
        <v>-0.8931006193161011</v>
      </c>
      <c r="L410" s="3" t="n">
        <v>-0.788998007774353</v>
      </c>
      <c r="M410" s="3" t="n">
        <v>-0.788998007774353</v>
      </c>
      <c r="N410" s="3" t="n">
        <v>-0.788998007774353</v>
      </c>
      <c r="O410" s="3" t="n">
        <v>-0.788998007774353</v>
      </c>
      <c r="P410" s="3" t="n">
        <v>-0.788998007774353</v>
      </c>
      <c r="Q410" s="3" t="n">
        <v>-0.788998007774353</v>
      </c>
      <c r="R410" s="3" t="n">
        <v>-0.7741215229034424</v>
      </c>
      <c r="S410" s="3" t="n">
        <v>-1.319308519363403</v>
      </c>
      <c r="T410" s="3" t="n">
        <v>-0.7094486355781555</v>
      </c>
      <c r="U410" s="3" t="n">
        <v>-0.8931006193161011</v>
      </c>
      <c r="V410" s="3" t="n">
        <v>-0.6833100318908691</v>
      </c>
      <c r="W410" s="3" t="n">
        <v>-0.6056976318359375</v>
      </c>
      <c r="X410" s="3" t="n">
        <v>-1.292484402656555</v>
      </c>
      <c r="Y410" s="3" t="n">
        <v>-0.788998007774353</v>
      </c>
      <c r="Z410" s="3" t="n">
        <v>-1.319308519363403</v>
      </c>
      <c r="AA410" s="3" t="n">
        <v>-1.319308519363403</v>
      </c>
      <c r="AB410" s="3" t="n">
        <v>-1.292484402656555</v>
      </c>
      <c r="AC410" s="3" t="n">
        <v>-1.92859673500061</v>
      </c>
      <c r="AD410" s="3" t="n">
        <v>-0.8931006193161011</v>
      </c>
      <c r="AE410" s="3" t="n">
        <v>-0.8931006193161011</v>
      </c>
    </row>
    <row r="411">
      <c r="A411" s="3" t="inlineStr">
        <is>
          <t>CIV.distn.dec.ove.mean.1</t>
        </is>
      </c>
      <c r="B411" s="3" t="inlineStr">
        <is>
          <t>CIV</t>
        </is>
      </c>
      <c r="C411" s="3" t="n">
        <v>2005</v>
      </c>
      <c r="D411" s="3" t="inlineStr">
        <is>
          <t>Overall</t>
        </is>
      </c>
      <c r="E411" s="3" t="inlineStr">
        <is>
          <t>Deciles</t>
        </is>
      </c>
      <c r="F411" s="3" t="inlineStr">
        <is>
          <t>mean</t>
        </is>
      </c>
      <c r="G411" s="3" t="n">
        <v>1</v>
      </c>
      <c r="H411" s="3" t="n">
        <v>-0.7952967882156372</v>
      </c>
      <c r="I411" s="3" t="n">
        <v>-0.7952967882156372</v>
      </c>
      <c r="J411" s="3" t="n">
        <v>-0.9372908473014832</v>
      </c>
      <c r="K411" s="3" t="n">
        <v>-0.9372908473014832</v>
      </c>
      <c r="L411" s="3" t="n">
        <v>-0.7952967882156372</v>
      </c>
      <c r="M411" s="3" t="n">
        <v>-0.7952967882156372</v>
      </c>
      <c r="N411" s="3" t="n">
        <v>-0.7952967882156372</v>
      </c>
      <c r="O411" s="3" t="n">
        <v>-0.7952967882156372</v>
      </c>
      <c r="P411" s="3" t="n">
        <v>-0.7952967882156372</v>
      </c>
      <c r="Q411" s="3" t="n">
        <v>-0.7952967882156372</v>
      </c>
      <c r="R411" s="3" t="n">
        <v>-0.7774887681007385</v>
      </c>
      <c r="S411" s="3" t="n">
        <v>-1.888091325759888</v>
      </c>
      <c r="T411" s="3" t="n">
        <v>-0.7114566564559937</v>
      </c>
      <c r="U411" s="3" t="n">
        <v>-0.9372908473014832</v>
      </c>
      <c r="V411" s="3" t="n">
        <v>-0.6900166273117065</v>
      </c>
      <c r="W411" s="3" t="n">
        <v>-0.6927230954170227</v>
      </c>
      <c r="X411" s="3" t="n">
        <v>-1.8037930727005</v>
      </c>
      <c r="Y411" s="3" t="n">
        <v>-0.7952967882156372</v>
      </c>
      <c r="Z411" s="3" t="n">
        <v>-1.888091325759888</v>
      </c>
      <c r="AA411" s="3" t="n">
        <v>-1.888091325759888</v>
      </c>
      <c r="AB411" s="3" t="n">
        <v>-1.8037930727005</v>
      </c>
      <c r="AC411" s="3" t="n">
        <v>-4.058621406555176</v>
      </c>
      <c r="AD411" s="3" t="n">
        <v>-0.9372908473014832</v>
      </c>
      <c r="AE411" s="3" t="n">
        <v>-0.9372908473014832</v>
      </c>
    </row>
    <row r="412">
      <c r="A412" s="3" t="inlineStr">
        <is>
          <t>CIV.distn.dec.ove.mean.2</t>
        </is>
      </c>
      <c r="B412" s="3" t="inlineStr">
        <is>
          <t>CIV</t>
        </is>
      </c>
      <c r="C412" s="3" t="n">
        <v>2005</v>
      </c>
      <c r="D412" s="3" t="inlineStr">
        <is>
          <t>Overall</t>
        </is>
      </c>
      <c r="E412" s="3" t="inlineStr">
        <is>
          <t>Deciles</t>
        </is>
      </c>
      <c r="F412" s="3" t="inlineStr">
        <is>
          <t>mean</t>
        </is>
      </c>
      <c r="G412" s="3" t="n">
        <v>2</v>
      </c>
      <c r="H412" s="3" t="n">
        <v>-0.7952967882156372</v>
      </c>
      <c r="I412" s="3" t="n">
        <v>-0.7952967882156372</v>
      </c>
      <c r="J412" s="3" t="n">
        <v>-0.9372908473014832</v>
      </c>
      <c r="K412" s="3" t="n">
        <v>-0.9372908473014832</v>
      </c>
      <c r="L412" s="3" t="n">
        <v>-0.7952967882156372</v>
      </c>
      <c r="M412" s="3" t="n">
        <v>-0.7952967882156372</v>
      </c>
      <c r="N412" s="3" t="n">
        <v>-0.7952967882156372</v>
      </c>
      <c r="O412" s="3" t="n">
        <v>-0.7952967882156372</v>
      </c>
      <c r="P412" s="3" t="n">
        <v>-0.7952967882156372</v>
      </c>
      <c r="Q412" s="3" t="n">
        <v>-0.7952967882156372</v>
      </c>
      <c r="R412" s="3" t="n">
        <v>-0.7774887681007385</v>
      </c>
      <c r="S412" s="3" t="n">
        <v>-1.888091325759888</v>
      </c>
      <c r="T412" s="3" t="n">
        <v>-0.7114566564559937</v>
      </c>
      <c r="U412" s="3" t="n">
        <v>-0.9372908473014832</v>
      </c>
      <c r="V412" s="3" t="n">
        <v>-0.6900166273117065</v>
      </c>
      <c r="W412" s="3" t="n">
        <v>-0.6927230954170227</v>
      </c>
      <c r="X412" s="3" t="n">
        <v>-1.8037930727005</v>
      </c>
      <c r="Y412" s="3" t="n">
        <v>-0.7952967882156372</v>
      </c>
      <c r="Z412" s="3" t="n">
        <v>-1.888091325759888</v>
      </c>
      <c r="AA412" s="3" t="n">
        <v>-1.888091325759888</v>
      </c>
      <c r="AB412" s="3" t="n">
        <v>-1.8037930727005</v>
      </c>
      <c r="AC412" s="3" t="n">
        <v>-4.058621406555176</v>
      </c>
      <c r="AD412" s="3" t="n">
        <v>-0.9372908473014832</v>
      </c>
      <c r="AE412" s="3" t="n">
        <v>-0.9372908473014832</v>
      </c>
    </row>
    <row r="413">
      <c r="A413" s="3" t="inlineStr">
        <is>
          <t>CIV.distn.dec.ove.mean.3</t>
        </is>
      </c>
      <c r="B413" s="3" t="inlineStr">
        <is>
          <t>CIV</t>
        </is>
      </c>
      <c r="C413" s="3" t="n">
        <v>2005</v>
      </c>
      <c r="D413" s="3" t="inlineStr">
        <is>
          <t>Overall</t>
        </is>
      </c>
      <c r="E413" s="3" t="inlineStr">
        <is>
          <t>Deciles</t>
        </is>
      </c>
      <c r="F413" s="3" t="inlineStr">
        <is>
          <t>mean</t>
        </is>
      </c>
      <c r="G413" s="3" t="n">
        <v>3</v>
      </c>
      <c r="H413" s="3" t="n">
        <v>-0.7952967882156372</v>
      </c>
      <c r="I413" s="3" t="n">
        <v>-0.7952967882156372</v>
      </c>
      <c r="J413" s="3" t="n">
        <v>-0.9372908473014832</v>
      </c>
      <c r="K413" s="3" t="n">
        <v>-0.9372908473014832</v>
      </c>
      <c r="L413" s="3" t="n">
        <v>-0.7952967882156372</v>
      </c>
      <c r="M413" s="3" t="n">
        <v>-0.7952967882156372</v>
      </c>
      <c r="N413" s="3" t="n">
        <v>-0.7952967882156372</v>
      </c>
      <c r="O413" s="3" t="n">
        <v>-0.7952967882156372</v>
      </c>
      <c r="P413" s="3" t="n">
        <v>-0.7952967882156372</v>
      </c>
      <c r="Q413" s="3" t="n">
        <v>-0.7952967882156372</v>
      </c>
      <c r="R413" s="3" t="n">
        <v>-0.7774887681007385</v>
      </c>
      <c r="S413" s="3" t="n">
        <v>-1.888091325759888</v>
      </c>
      <c r="T413" s="3" t="n">
        <v>-0.7114566564559937</v>
      </c>
      <c r="U413" s="3" t="n">
        <v>-0.9372908473014832</v>
      </c>
      <c r="V413" s="3" t="n">
        <v>-0.6900166273117065</v>
      </c>
      <c r="W413" s="3" t="n">
        <v>-0.6927230954170227</v>
      </c>
      <c r="X413" s="3" t="n">
        <v>-1.8037930727005</v>
      </c>
      <c r="Y413" s="3" t="n">
        <v>-0.7952967882156372</v>
      </c>
      <c r="Z413" s="3" t="n">
        <v>-1.888091325759888</v>
      </c>
      <c r="AA413" s="3" t="n">
        <v>-1.888091325759888</v>
      </c>
      <c r="AB413" s="3" t="n">
        <v>-1.8037930727005</v>
      </c>
      <c r="AC413" s="3" t="n">
        <v>-4.058621406555176</v>
      </c>
      <c r="AD413" s="3" t="n">
        <v>-0.9372908473014832</v>
      </c>
      <c r="AE413" s="3" t="n">
        <v>-0.9372908473014832</v>
      </c>
    </row>
    <row r="414">
      <c r="A414" s="3" t="inlineStr">
        <is>
          <t>CIV.distn.dec.ove.mean.4</t>
        </is>
      </c>
      <c r="B414" s="3" t="inlineStr">
        <is>
          <t>CIV</t>
        </is>
      </c>
      <c r="C414" s="3" t="n">
        <v>2005</v>
      </c>
      <c r="D414" s="3" t="inlineStr">
        <is>
          <t>Overall</t>
        </is>
      </c>
      <c r="E414" s="3" t="inlineStr">
        <is>
          <t>Deciles</t>
        </is>
      </c>
      <c r="F414" s="3" t="inlineStr">
        <is>
          <t>mean</t>
        </is>
      </c>
      <c r="G414" s="3" t="n">
        <v>4</v>
      </c>
      <c r="H414" s="3" t="n">
        <v>-0.7889999747276306</v>
      </c>
      <c r="I414" s="3" t="n">
        <v>-0.7889999747276306</v>
      </c>
      <c r="J414" s="3" t="n">
        <v>-0.8920000195503235</v>
      </c>
      <c r="K414" s="3" t="n">
        <v>-0.8920000195503235</v>
      </c>
      <c r="L414" s="3" t="n">
        <v>-0.7889999747276306</v>
      </c>
      <c r="M414" s="3" t="n">
        <v>-0.7889999747276306</v>
      </c>
      <c r="N414" s="3" t="n">
        <v>-0.7889999747276306</v>
      </c>
      <c r="O414" s="3" t="n">
        <v>-0.7889999747276306</v>
      </c>
      <c r="P414" s="3" t="n">
        <v>-0.7889999747276306</v>
      </c>
      <c r="Q414" s="3" t="n">
        <v>-0.7889999747276306</v>
      </c>
      <c r="R414" s="3" t="n">
        <v>-0.7739999890327454</v>
      </c>
      <c r="S414" s="3" t="n">
        <v>-1.28600001335144</v>
      </c>
      <c r="T414" s="3" t="n">
        <v>-0.7099999785423279</v>
      </c>
      <c r="U414" s="3" t="n">
        <v>-0.8920000195503235</v>
      </c>
      <c r="V414" s="3" t="n">
        <v>-0.6830000281333923</v>
      </c>
      <c r="W414" s="3" t="n">
        <v>-0.5830000042915344</v>
      </c>
      <c r="X414" s="3" t="n">
        <v>-1.273000001907349</v>
      </c>
      <c r="Y414" s="3" t="n">
        <v>-0.7889999747276306</v>
      </c>
      <c r="Z414" s="3" t="n">
        <v>-1.28600001335144</v>
      </c>
      <c r="AA414" s="3" t="n">
        <v>-1.28600001335144</v>
      </c>
      <c r="AB414" s="3" t="n">
        <v>-1.273000001907349</v>
      </c>
      <c r="AC414" s="3" t="n">
        <v>-1.960000038146973</v>
      </c>
      <c r="AD414" s="3" t="n">
        <v>-0.8920000195503235</v>
      </c>
      <c r="AE414" s="3" t="n">
        <v>-0.8920000195503235</v>
      </c>
    </row>
    <row r="415">
      <c r="A415" s="3" t="inlineStr">
        <is>
          <t>CIV.distn.dec.ove.mean.5</t>
        </is>
      </c>
      <c r="B415" s="3" t="inlineStr">
        <is>
          <t>CIV</t>
        </is>
      </c>
      <c r="C415" s="3" t="n">
        <v>2005</v>
      </c>
      <c r="D415" s="3" t="inlineStr">
        <is>
          <t>Overall</t>
        </is>
      </c>
      <c r="E415" s="3" t="inlineStr">
        <is>
          <t>Deciles</t>
        </is>
      </c>
      <c r="F415" s="3" t="inlineStr">
        <is>
          <t>mean</t>
        </is>
      </c>
      <c r="G415" s="3" t="n">
        <v>5</v>
      </c>
      <c r="H415" s="3" t="n">
        <v>-0.7889999747276306</v>
      </c>
      <c r="I415" s="3" t="n">
        <v>-0.7889999747276306</v>
      </c>
      <c r="J415" s="3" t="n">
        <v>-0.8920000195503235</v>
      </c>
      <c r="K415" s="3" t="n">
        <v>-0.8920000195503235</v>
      </c>
      <c r="L415" s="3" t="n">
        <v>-0.7889999747276306</v>
      </c>
      <c r="M415" s="3" t="n">
        <v>-0.7889999747276306</v>
      </c>
      <c r="N415" s="3" t="n">
        <v>-0.7889999747276306</v>
      </c>
      <c r="O415" s="3" t="n">
        <v>-0.7889999747276306</v>
      </c>
      <c r="P415" s="3" t="n">
        <v>-0.7889999747276306</v>
      </c>
      <c r="Q415" s="3" t="n">
        <v>-0.7889999747276306</v>
      </c>
      <c r="R415" s="3" t="n">
        <v>-0.7739999890327454</v>
      </c>
      <c r="S415" s="3" t="n">
        <v>-1.28600001335144</v>
      </c>
      <c r="T415" s="3" t="n">
        <v>-0.7099999785423279</v>
      </c>
      <c r="U415" s="3" t="n">
        <v>-0.8920000195503235</v>
      </c>
      <c r="V415" s="3" t="n">
        <v>-0.6830000281333923</v>
      </c>
      <c r="W415" s="3" t="n">
        <v>-0.5830000042915344</v>
      </c>
      <c r="X415" s="3" t="n">
        <v>-1.273000001907349</v>
      </c>
      <c r="Y415" s="3" t="n">
        <v>-0.7889999747276306</v>
      </c>
      <c r="Z415" s="3" t="n">
        <v>-1.28600001335144</v>
      </c>
      <c r="AA415" s="3" t="n">
        <v>-1.28600001335144</v>
      </c>
      <c r="AB415" s="3" t="n">
        <v>-1.273000001907349</v>
      </c>
      <c r="AC415" s="3" t="n">
        <v>-1.960000038146973</v>
      </c>
      <c r="AD415" s="3" t="n">
        <v>-0.8920000195503235</v>
      </c>
      <c r="AE415" s="3" t="n">
        <v>-0.8920000195503235</v>
      </c>
    </row>
    <row r="416">
      <c r="A416" s="3" t="inlineStr">
        <is>
          <t>CIV.distn.dec.ove.mean.6</t>
        </is>
      </c>
      <c r="B416" s="3" t="inlineStr">
        <is>
          <t>CIV</t>
        </is>
      </c>
      <c r="C416" s="3" t="n">
        <v>2005</v>
      </c>
      <c r="D416" s="3" t="inlineStr">
        <is>
          <t>Overall</t>
        </is>
      </c>
      <c r="E416" s="3" t="inlineStr">
        <is>
          <t>Deciles</t>
        </is>
      </c>
      <c r="F416" s="3" t="inlineStr">
        <is>
          <t>mean</t>
        </is>
      </c>
      <c r="G416" s="3" t="n">
        <v>6</v>
      </c>
      <c r="H416" s="3" t="n">
        <v>-0.7889999747276306</v>
      </c>
      <c r="I416" s="3" t="n">
        <v>-0.7889999747276306</v>
      </c>
      <c r="J416" s="3" t="n">
        <v>-0.8920000195503235</v>
      </c>
      <c r="K416" s="3" t="n">
        <v>-0.8920000195503235</v>
      </c>
      <c r="L416" s="3" t="n">
        <v>-0.7889999747276306</v>
      </c>
      <c r="M416" s="3" t="n">
        <v>-0.7889999747276306</v>
      </c>
      <c r="N416" s="3" t="n">
        <v>-0.7889999747276306</v>
      </c>
      <c r="O416" s="3" t="n">
        <v>-0.7889999747276306</v>
      </c>
      <c r="P416" s="3" t="n">
        <v>-0.7889999747276306</v>
      </c>
      <c r="Q416" s="3" t="n">
        <v>-0.7889999747276306</v>
      </c>
      <c r="R416" s="3" t="n">
        <v>-0.7739999890327454</v>
      </c>
      <c r="S416" s="3" t="n">
        <v>-1.28600001335144</v>
      </c>
      <c r="T416" s="3" t="n">
        <v>-0.7099999785423279</v>
      </c>
      <c r="U416" s="3" t="n">
        <v>-0.8920000195503235</v>
      </c>
      <c r="V416" s="3" t="n">
        <v>-0.6830000281333923</v>
      </c>
      <c r="W416" s="3" t="n">
        <v>-0.5830000042915344</v>
      </c>
      <c r="X416" s="3" t="n">
        <v>-1.273000001907349</v>
      </c>
      <c r="Y416" s="3" t="n">
        <v>-0.7889999747276306</v>
      </c>
      <c r="Z416" s="3" t="n">
        <v>-1.28600001335144</v>
      </c>
      <c r="AA416" s="3" t="n">
        <v>-1.28600001335144</v>
      </c>
      <c r="AB416" s="3" t="n">
        <v>-1.273000001907349</v>
      </c>
      <c r="AC416" s="3" t="n">
        <v>-1.960000038146973</v>
      </c>
      <c r="AD416" s="3" t="n">
        <v>-0.8920000195503235</v>
      </c>
      <c r="AE416" s="3" t="n">
        <v>-0.8920000195503235</v>
      </c>
    </row>
    <row r="417">
      <c r="A417" s="3" t="inlineStr">
        <is>
          <t>CIV.distn.dec.ove.mean.7</t>
        </is>
      </c>
      <c r="B417" s="3" t="inlineStr">
        <is>
          <t>CIV</t>
        </is>
      </c>
      <c r="C417" s="3" t="n">
        <v>2005</v>
      </c>
      <c r="D417" s="3" t="inlineStr">
        <is>
          <t>Overall</t>
        </is>
      </c>
      <c r="E417" s="3" t="inlineStr">
        <is>
          <t>Deciles</t>
        </is>
      </c>
      <c r="F417" s="3" t="inlineStr">
        <is>
          <t>mean</t>
        </is>
      </c>
      <c r="G417" s="3" t="n">
        <v>7</v>
      </c>
      <c r="H417" s="3" t="n">
        <v>-0.7889999747276306</v>
      </c>
      <c r="I417" s="3" t="n">
        <v>-0.7889999747276306</v>
      </c>
      <c r="J417" s="3" t="n">
        <v>-0.8920000195503235</v>
      </c>
      <c r="K417" s="3" t="n">
        <v>-0.8920000195503235</v>
      </c>
      <c r="L417" s="3" t="n">
        <v>-0.7889999747276306</v>
      </c>
      <c r="M417" s="3" t="n">
        <v>-0.7889999747276306</v>
      </c>
      <c r="N417" s="3" t="n">
        <v>-0.7889999747276306</v>
      </c>
      <c r="O417" s="3" t="n">
        <v>-0.7889999747276306</v>
      </c>
      <c r="P417" s="3" t="n">
        <v>-0.7889999747276306</v>
      </c>
      <c r="Q417" s="3" t="n">
        <v>-0.7889999747276306</v>
      </c>
      <c r="R417" s="3" t="n">
        <v>-0.7739999890327454</v>
      </c>
      <c r="S417" s="3" t="n">
        <v>-1.28600001335144</v>
      </c>
      <c r="T417" s="3" t="n">
        <v>-0.7099999785423279</v>
      </c>
      <c r="U417" s="3" t="n">
        <v>-0.8920000195503235</v>
      </c>
      <c r="V417" s="3" t="n">
        <v>-0.6830000281333923</v>
      </c>
      <c r="W417" s="3" t="n">
        <v>-0.5830000042915344</v>
      </c>
      <c r="X417" s="3" t="n">
        <v>-1.273000001907349</v>
      </c>
      <c r="Y417" s="3" t="n">
        <v>-0.7889999747276306</v>
      </c>
      <c r="Z417" s="3" t="n">
        <v>-1.28600001335144</v>
      </c>
      <c r="AA417" s="3" t="n">
        <v>-1.28600001335144</v>
      </c>
      <c r="AB417" s="3" t="n">
        <v>-1.273000001907349</v>
      </c>
      <c r="AC417" s="3" t="n">
        <v>-1.960000038146973</v>
      </c>
      <c r="AD417" s="3" t="n">
        <v>-0.8920000195503235</v>
      </c>
      <c r="AE417" s="3" t="n">
        <v>-0.8920000195503235</v>
      </c>
    </row>
    <row r="418">
      <c r="A418" s="3" t="inlineStr">
        <is>
          <t>CIV.distn.dec.ove.mean.8</t>
        </is>
      </c>
      <c r="B418" s="3" t="inlineStr">
        <is>
          <t>CIV</t>
        </is>
      </c>
      <c r="C418" s="3" t="n">
        <v>2005</v>
      </c>
      <c r="D418" s="3" t="inlineStr">
        <is>
          <t>Overall</t>
        </is>
      </c>
      <c r="E418" s="3" t="inlineStr">
        <is>
          <t>Deciles</t>
        </is>
      </c>
      <c r="F418" s="3" t="inlineStr">
        <is>
          <t>mean</t>
        </is>
      </c>
      <c r="G418" s="3" t="n">
        <v>8</v>
      </c>
      <c r="H418" s="3" t="n">
        <v>-0.7893801331520081</v>
      </c>
      <c r="I418" s="3" t="n">
        <v>-0.7893801331520081</v>
      </c>
      <c r="J418" s="3" t="n">
        <v>-0.894406259059906</v>
      </c>
      <c r="K418" s="3" t="n">
        <v>-0.894406259059906</v>
      </c>
      <c r="L418" s="3" t="n">
        <v>-0.7893801331520081</v>
      </c>
      <c r="M418" s="3" t="n">
        <v>-0.7893801331520081</v>
      </c>
      <c r="N418" s="3" t="n">
        <v>-0.7893801331520081</v>
      </c>
      <c r="O418" s="3" t="n">
        <v>-0.7893801331520081</v>
      </c>
      <c r="P418" s="3" t="n">
        <v>-0.7893801331520081</v>
      </c>
      <c r="Q418" s="3" t="n">
        <v>-0.7893801331520081</v>
      </c>
      <c r="R418" s="3" t="n">
        <v>-0.7742545604705811</v>
      </c>
      <c r="S418" s="3" t="n">
        <v>-1.297966361045837</v>
      </c>
      <c r="T418" s="3" t="n">
        <v>-0.7100409269332886</v>
      </c>
      <c r="U418" s="3" t="n">
        <v>-0.894406259059906</v>
      </c>
      <c r="V418" s="3" t="n">
        <v>-0.6837060451507568</v>
      </c>
      <c r="W418" s="3" t="n">
        <v>-0.5986120700836182</v>
      </c>
      <c r="X418" s="3" t="n">
        <v>-1.284599542617798</v>
      </c>
      <c r="Y418" s="3" t="n">
        <v>-0.7893801331520081</v>
      </c>
      <c r="Z418" s="3" t="n">
        <v>-1.297966361045837</v>
      </c>
      <c r="AA418" s="3" t="n">
        <v>-1.297966361045837</v>
      </c>
      <c r="AB418" s="3" t="n">
        <v>-1.284599542617798</v>
      </c>
      <c r="AC418" s="3" t="n">
        <v>-1.98795223236084</v>
      </c>
      <c r="AD418" s="3" t="n">
        <v>-0.894406259059906</v>
      </c>
      <c r="AE418" s="3" t="n">
        <v>-0.894406259059906</v>
      </c>
    </row>
    <row r="419">
      <c r="A419" s="3" t="inlineStr">
        <is>
          <t>CIV.distn.dec.ove.mean.9</t>
        </is>
      </c>
      <c r="B419" s="3" t="inlineStr">
        <is>
          <t>CIV</t>
        </is>
      </c>
      <c r="C419" s="3" t="n">
        <v>2005</v>
      </c>
      <c r="D419" s="3" t="inlineStr">
        <is>
          <t>Overall</t>
        </is>
      </c>
      <c r="E419" s="3" t="inlineStr">
        <is>
          <t>Deciles</t>
        </is>
      </c>
      <c r="F419" s="3" t="inlineStr">
        <is>
          <t>mean</t>
        </is>
      </c>
      <c r="G419" s="3" t="n">
        <v>9</v>
      </c>
      <c r="H419" s="3" t="n">
        <v>-0.7893801331520081</v>
      </c>
      <c r="I419" s="3" t="n">
        <v>-0.7893801331520081</v>
      </c>
      <c r="J419" s="3" t="n">
        <v>-0.894406259059906</v>
      </c>
      <c r="K419" s="3" t="n">
        <v>-0.894406259059906</v>
      </c>
      <c r="L419" s="3" t="n">
        <v>-0.7893801331520081</v>
      </c>
      <c r="M419" s="3" t="n">
        <v>-0.7893801331520081</v>
      </c>
      <c r="N419" s="3" t="n">
        <v>-0.7893801331520081</v>
      </c>
      <c r="O419" s="3" t="n">
        <v>-0.7893801331520081</v>
      </c>
      <c r="P419" s="3" t="n">
        <v>-0.7893801331520081</v>
      </c>
      <c r="Q419" s="3" t="n">
        <v>-0.7893801331520081</v>
      </c>
      <c r="R419" s="3" t="n">
        <v>-0.7742545604705811</v>
      </c>
      <c r="S419" s="3" t="n">
        <v>-1.297966361045837</v>
      </c>
      <c r="T419" s="3" t="n">
        <v>-0.7100409269332886</v>
      </c>
      <c r="U419" s="3" t="n">
        <v>-0.894406259059906</v>
      </c>
      <c r="V419" s="3" t="n">
        <v>-0.6837060451507568</v>
      </c>
      <c r="W419" s="3" t="n">
        <v>-0.5986120700836182</v>
      </c>
      <c r="X419" s="3" t="n">
        <v>-1.284599542617798</v>
      </c>
      <c r="Y419" s="3" t="n">
        <v>-0.7893801331520081</v>
      </c>
      <c r="Z419" s="3" t="n">
        <v>-1.297966361045837</v>
      </c>
      <c r="AA419" s="3" t="n">
        <v>-1.297966361045837</v>
      </c>
      <c r="AB419" s="3" t="n">
        <v>-1.284599542617798</v>
      </c>
      <c r="AC419" s="3" t="n">
        <v>-1.98795223236084</v>
      </c>
      <c r="AD419" s="3" t="n">
        <v>-0.894406259059906</v>
      </c>
      <c r="AE419" s="3" t="n">
        <v>-0.894406259059906</v>
      </c>
    </row>
    <row r="420">
      <c r="A420" s="3" t="inlineStr">
        <is>
          <t>CIV.distn.dec.ove.mean.10</t>
        </is>
      </c>
      <c r="B420" s="3" t="inlineStr">
        <is>
          <t>CIV</t>
        </is>
      </c>
      <c r="C420" s="3" t="n">
        <v>2005</v>
      </c>
      <c r="D420" s="3" t="inlineStr">
        <is>
          <t>Overall</t>
        </is>
      </c>
      <c r="E420" s="3" t="inlineStr">
        <is>
          <t>Deciles</t>
        </is>
      </c>
      <c r="F420" s="3" t="inlineStr">
        <is>
          <t>mean</t>
        </is>
      </c>
      <c r="G420" s="3" t="n">
        <v>10</v>
      </c>
      <c r="H420" s="3" t="n">
        <v>-0.7893801331520081</v>
      </c>
      <c r="I420" s="3" t="n">
        <v>-0.7893801331520081</v>
      </c>
      <c r="J420" s="3" t="n">
        <v>-0.894406259059906</v>
      </c>
      <c r="K420" s="3" t="n">
        <v>-0.894406259059906</v>
      </c>
      <c r="L420" s="3" t="n">
        <v>-0.7893801331520081</v>
      </c>
      <c r="M420" s="3" t="n">
        <v>-0.7893801331520081</v>
      </c>
      <c r="N420" s="3" t="n">
        <v>-0.7893801331520081</v>
      </c>
      <c r="O420" s="3" t="n">
        <v>-0.7893801331520081</v>
      </c>
      <c r="P420" s="3" t="n">
        <v>-0.7893801331520081</v>
      </c>
      <c r="Q420" s="3" t="n">
        <v>-0.7893801331520081</v>
      </c>
      <c r="R420" s="3" t="n">
        <v>-0.7742545604705811</v>
      </c>
      <c r="S420" s="3" t="n">
        <v>-1.297966361045837</v>
      </c>
      <c r="T420" s="3" t="n">
        <v>-0.7100409269332886</v>
      </c>
      <c r="U420" s="3" t="n">
        <v>-0.894406259059906</v>
      </c>
      <c r="V420" s="3" t="n">
        <v>-0.6837060451507568</v>
      </c>
      <c r="W420" s="3" t="n">
        <v>-0.5986120700836182</v>
      </c>
      <c r="X420" s="3" t="n">
        <v>-1.284599542617798</v>
      </c>
      <c r="Y420" s="3" t="n">
        <v>-0.7893801331520081</v>
      </c>
      <c r="Z420" s="3" t="n">
        <v>-1.297966361045837</v>
      </c>
      <c r="AA420" s="3" t="n">
        <v>-1.297966361045837</v>
      </c>
      <c r="AB420" s="3" t="n">
        <v>-1.284599542617798</v>
      </c>
      <c r="AC420" s="3" t="n">
        <v>-1.98795223236084</v>
      </c>
      <c r="AD420" s="3" t="n">
        <v>-0.894406259059906</v>
      </c>
      <c r="AE420" s="3" t="n">
        <v>-0.894406259059906</v>
      </c>
    </row>
    <row r="421">
      <c r="A421" s="3" t="inlineStr">
        <is>
          <t>CIV.distn.bkt.ove.mean.9999</t>
        </is>
      </c>
      <c r="B421" s="3" t="inlineStr">
        <is>
          <t>CIV</t>
        </is>
      </c>
      <c r="C421" s="3" t="n">
        <v>2005</v>
      </c>
      <c r="D421" s="3" t="inlineStr">
        <is>
          <t>Overall</t>
        </is>
      </c>
      <c r="E421" s="3" t="inlineStr">
        <is>
          <t>Basket</t>
        </is>
      </c>
      <c r="F421" s="3" t="inlineStr">
        <is>
          <t>mean</t>
        </is>
      </c>
      <c r="G421" s="3" t="n">
        <v>9999</v>
      </c>
      <c r="H421" s="3" t="n">
        <v>-0.7910030484199524</v>
      </c>
      <c r="I421" s="3" t="n">
        <v>-0.7910030484199524</v>
      </c>
      <c r="J421" s="3" t="n">
        <v>-0.9063091278076172</v>
      </c>
      <c r="K421" s="3" t="n">
        <v>-0.9063091278076172</v>
      </c>
      <c r="L421" s="3" t="n">
        <v>-0.7910030484199524</v>
      </c>
      <c r="M421" s="3" t="n">
        <v>-0.7910030484199524</v>
      </c>
      <c r="N421" s="3" t="n">
        <v>-0.7910030484199524</v>
      </c>
      <c r="O421" s="3" t="n">
        <v>-0.7910030484199524</v>
      </c>
      <c r="P421" s="3" t="n">
        <v>-0.7910030484199524</v>
      </c>
      <c r="Q421" s="3" t="n">
        <v>-0.7910030484199524</v>
      </c>
      <c r="R421" s="3" t="n">
        <v>-0.7751230001449585</v>
      </c>
      <c r="S421" s="3" t="n">
        <v>-1.470217347145081</v>
      </c>
      <c r="T421" s="3" t="n">
        <v>-0.7104492783546448</v>
      </c>
      <c r="U421" s="3" t="n">
        <v>-0.9063091278076172</v>
      </c>
      <c r="V421" s="3" t="n">
        <v>-0.685316801071167</v>
      </c>
      <c r="W421" s="3" t="n">
        <v>-0.6206005811691284</v>
      </c>
      <c r="X421" s="3" t="n">
        <v>-1.435717821121216</v>
      </c>
      <c r="Y421" s="3" t="n">
        <v>-0.7910030484199524</v>
      </c>
      <c r="Z421" s="3" t="n">
        <v>-1.470217347145081</v>
      </c>
      <c r="AA421" s="3" t="n">
        <v>-1.470217347145081</v>
      </c>
      <c r="AB421" s="3" t="n">
        <v>-1.435717821121216</v>
      </c>
      <c r="AC421" s="3" t="n">
        <v>-2.59797215461731</v>
      </c>
      <c r="AD421" s="3" t="n">
        <v>-0.9063091278076172</v>
      </c>
      <c r="AE421" s="3" t="n">
        <v>-0.9063091278076172</v>
      </c>
    </row>
    <row r="422">
      <c r="A422" s="3" t="inlineStr">
        <is>
          <t>CMR.distn.dec.ove.mean.1</t>
        </is>
      </c>
      <c r="B422" s="3" t="inlineStr">
        <is>
          <t>CMR</t>
        </is>
      </c>
      <c r="C422" s="3" t="n">
        <v>2005</v>
      </c>
      <c r="D422" s="3" t="inlineStr">
        <is>
          <t>Overall</t>
        </is>
      </c>
      <c r="E422" s="3" t="inlineStr">
        <is>
          <t>Deciles</t>
        </is>
      </c>
      <c r="F422" s="3" t="inlineStr">
        <is>
          <t>mean</t>
        </is>
      </c>
      <c r="G422" s="3" t="n">
        <v>1</v>
      </c>
      <c r="H422" s="3" t="n">
        <v>-0.7942888140678406</v>
      </c>
      <c r="I422" s="3" t="n">
        <v>-0.7942888140678406</v>
      </c>
      <c r="J422" s="3" t="n">
        <v>-0.9299353957176208</v>
      </c>
      <c r="K422" s="3" t="n">
        <v>-0.9299353957176208</v>
      </c>
      <c r="L422" s="3" t="n">
        <v>-0.7942888140678406</v>
      </c>
      <c r="M422" s="3" t="n">
        <v>-0.7942888140678406</v>
      </c>
      <c r="N422" s="3" t="n">
        <v>-0.7942888140678406</v>
      </c>
      <c r="O422" s="3" t="n">
        <v>-0.7942888140678406</v>
      </c>
      <c r="P422" s="3" t="n">
        <v>-0.7942888140678406</v>
      </c>
      <c r="Q422" s="3" t="n">
        <v>-0.7942888140678406</v>
      </c>
      <c r="R422" s="3" t="n">
        <v>-0.7764842510223389</v>
      </c>
      <c r="S422" s="3" t="n">
        <v>-1.767699837684631</v>
      </c>
      <c r="T422" s="3" t="n">
        <v>-0.7114566564559937</v>
      </c>
      <c r="U422" s="3" t="n">
        <v>-0.9299353957176208</v>
      </c>
      <c r="V422" s="3" t="n">
        <v>-0.6890063881874084</v>
      </c>
      <c r="W422" s="3" t="n">
        <v>-0.6844056844711304</v>
      </c>
      <c r="X422" s="3" t="n">
        <v>-1.691853046417236</v>
      </c>
      <c r="Y422" s="3" t="n">
        <v>-0.7942888140678406</v>
      </c>
      <c r="Z422" s="3" t="n">
        <v>-1.767699837684631</v>
      </c>
      <c r="AA422" s="3" t="n">
        <v>-1.767699837684631</v>
      </c>
      <c r="AB422" s="3" t="n">
        <v>-1.691853046417236</v>
      </c>
      <c r="AC422" s="3" t="n">
        <v>-3.350433588027954</v>
      </c>
      <c r="AD422" s="3" t="n">
        <v>-0.9299353957176208</v>
      </c>
      <c r="AE422" s="3" t="n">
        <v>-0.9299353957176208</v>
      </c>
    </row>
    <row r="423">
      <c r="A423" s="3" t="inlineStr">
        <is>
          <t>CMR.distn.dec.ove.mean.2</t>
        </is>
      </c>
      <c r="B423" s="3" t="inlineStr">
        <is>
          <t>CMR</t>
        </is>
      </c>
      <c r="C423" s="3" t="n">
        <v>2005</v>
      </c>
      <c r="D423" s="3" t="inlineStr">
        <is>
          <t>Overall</t>
        </is>
      </c>
      <c r="E423" s="3" t="inlineStr">
        <is>
          <t>Deciles</t>
        </is>
      </c>
      <c r="F423" s="3" t="inlineStr">
        <is>
          <t>mean</t>
        </is>
      </c>
      <c r="G423" s="3" t="n">
        <v>2</v>
      </c>
      <c r="H423" s="3" t="n">
        <v>-0.7942888140678406</v>
      </c>
      <c r="I423" s="3" t="n">
        <v>-0.7942888140678406</v>
      </c>
      <c r="J423" s="3" t="n">
        <v>-0.9299353957176208</v>
      </c>
      <c r="K423" s="3" t="n">
        <v>-0.9299353957176208</v>
      </c>
      <c r="L423" s="3" t="n">
        <v>-0.7942888140678406</v>
      </c>
      <c r="M423" s="3" t="n">
        <v>-0.7942888140678406</v>
      </c>
      <c r="N423" s="3" t="n">
        <v>-0.7942888140678406</v>
      </c>
      <c r="O423" s="3" t="n">
        <v>-0.7942888140678406</v>
      </c>
      <c r="P423" s="3" t="n">
        <v>-0.7942888140678406</v>
      </c>
      <c r="Q423" s="3" t="n">
        <v>-0.7942888140678406</v>
      </c>
      <c r="R423" s="3" t="n">
        <v>-0.7764842510223389</v>
      </c>
      <c r="S423" s="3" t="n">
        <v>-1.767699837684631</v>
      </c>
      <c r="T423" s="3" t="n">
        <v>-0.7114566564559937</v>
      </c>
      <c r="U423" s="3" t="n">
        <v>-0.9299353957176208</v>
      </c>
      <c r="V423" s="3" t="n">
        <v>-0.6890063881874084</v>
      </c>
      <c r="W423" s="3" t="n">
        <v>-0.6844056844711304</v>
      </c>
      <c r="X423" s="3" t="n">
        <v>-1.691853046417236</v>
      </c>
      <c r="Y423" s="3" t="n">
        <v>-0.7942888140678406</v>
      </c>
      <c r="Z423" s="3" t="n">
        <v>-1.767699837684631</v>
      </c>
      <c r="AA423" s="3" t="n">
        <v>-1.767699837684631</v>
      </c>
      <c r="AB423" s="3" t="n">
        <v>-1.691853046417236</v>
      </c>
      <c r="AC423" s="3" t="n">
        <v>-3.350433588027954</v>
      </c>
      <c r="AD423" s="3" t="n">
        <v>-0.9299353957176208</v>
      </c>
      <c r="AE423" s="3" t="n">
        <v>-0.9299353957176208</v>
      </c>
    </row>
    <row r="424">
      <c r="A424" s="3" t="inlineStr">
        <is>
          <t>CMR.distn.dec.ove.mean.3</t>
        </is>
      </c>
      <c r="B424" s="3" t="inlineStr">
        <is>
          <t>CMR</t>
        </is>
      </c>
      <c r="C424" s="3" t="n">
        <v>2005</v>
      </c>
      <c r="D424" s="3" t="inlineStr">
        <is>
          <t>Overall</t>
        </is>
      </c>
      <c r="E424" s="3" t="inlineStr">
        <is>
          <t>Deciles</t>
        </is>
      </c>
      <c r="F424" s="3" t="inlineStr">
        <is>
          <t>mean</t>
        </is>
      </c>
      <c r="G424" s="3" t="n">
        <v>3</v>
      </c>
      <c r="H424" s="3" t="n">
        <v>-0.7942888140678406</v>
      </c>
      <c r="I424" s="3" t="n">
        <v>-0.7942888140678406</v>
      </c>
      <c r="J424" s="3" t="n">
        <v>-0.9299353957176208</v>
      </c>
      <c r="K424" s="3" t="n">
        <v>-0.9299353957176208</v>
      </c>
      <c r="L424" s="3" t="n">
        <v>-0.7942888140678406</v>
      </c>
      <c r="M424" s="3" t="n">
        <v>-0.7942888140678406</v>
      </c>
      <c r="N424" s="3" t="n">
        <v>-0.7942888140678406</v>
      </c>
      <c r="O424" s="3" t="n">
        <v>-0.7942888140678406</v>
      </c>
      <c r="P424" s="3" t="n">
        <v>-0.7942888140678406</v>
      </c>
      <c r="Q424" s="3" t="n">
        <v>-0.7942888140678406</v>
      </c>
      <c r="R424" s="3" t="n">
        <v>-0.7764842510223389</v>
      </c>
      <c r="S424" s="3" t="n">
        <v>-1.767699837684631</v>
      </c>
      <c r="T424" s="3" t="n">
        <v>-0.7114566564559937</v>
      </c>
      <c r="U424" s="3" t="n">
        <v>-0.9299353957176208</v>
      </c>
      <c r="V424" s="3" t="n">
        <v>-0.6890063881874084</v>
      </c>
      <c r="W424" s="3" t="n">
        <v>-0.6844056844711304</v>
      </c>
      <c r="X424" s="3" t="n">
        <v>-1.691853046417236</v>
      </c>
      <c r="Y424" s="3" t="n">
        <v>-0.7942888140678406</v>
      </c>
      <c r="Z424" s="3" t="n">
        <v>-1.767699837684631</v>
      </c>
      <c r="AA424" s="3" t="n">
        <v>-1.767699837684631</v>
      </c>
      <c r="AB424" s="3" t="n">
        <v>-1.691853046417236</v>
      </c>
      <c r="AC424" s="3" t="n">
        <v>-3.350433588027954</v>
      </c>
      <c r="AD424" s="3" t="n">
        <v>-0.9299353957176208</v>
      </c>
      <c r="AE424" s="3" t="n">
        <v>-0.9299353957176208</v>
      </c>
    </row>
    <row r="425">
      <c r="A425" s="3" t="inlineStr">
        <is>
          <t>CMR.distn.dec.ove.mean.4</t>
        </is>
      </c>
      <c r="B425" s="3" t="inlineStr">
        <is>
          <t>CMR</t>
        </is>
      </c>
      <c r="C425" s="3" t="n">
        <v>2005</v>
      </c>
      <c r="D425" s="3" t="inlineStr">
        <is>
          <t>Overall</t>
        </is>
      </c>
      <c r="E425" s="3" t="inlineStr">
        <is>
          <t>Deciles</t>
        </is>
      </c>
      <c r="F425" s="3" t="inlineStr">
        <is>
          <t>mean</t>
        </is>
      </c>
      <c r="G425" s="3" t="n">
        <v>4</v>
      </c>
      <c r="H425" s="3" t="n">
        <v>-0.7879999876022339</v>
      </c>
      <c r="I425" s="3" t="n">
        <v>-0.7879999876022339</v>
      </c>
      <c r="J425" s="3" t="n">
        <v>-0.8849999904632568</v>
      </c>
      <c r="K425" s="3" t="n">
        <v>-0.8849999904632568</v>
      </c>
      <c r="L425" s="3" t="n">
        <v>-0.7879999876022339</v>
      </c>
      <c r="M425" s="3" t="n">
        <v>-0.7879999876022339</v>
      </c>
      <c r="N425" s="3" t="n">
        <v>-0.7879999876022339</v>
      </c>
      <c r="O425" s="3" t="n">
        <v>-0.7879999876022339</v>
      </c>
      <c r="P425" s="3" t="n">
        <v>-0.7879999876022339</v>
      </c>
      <c r="Q425" s="3" t="n">
        <v>-0.7879999876022339</v>
      </c>
      <c r="R425" s="3" t="n">
        <v>-0.7730000019073486</v>
      </c>
      <c r="S425" s="3" t="n">
        <v>-1.203999996185303</v>
      </c>
      <c r="T425" s="3" t="n">
        <v>-0.7099999785423279</v>
      </c>
      <c r="U425" s="3" t="n">
        <v>-0.8849999904632568</v>
      </c>
      <c r="V425" s="3" t="n">
        <v>-0.6819999814033508</v>
      </c>
      <c r="W425" s="3" t="n">
        <v>-0.5759999752044678</v>
      </c>
      <c r="X425" s="3" t="n">
        <v>-1.194000005722046</v>
      </c>
      <c r="Y425" s="3" t="n">
        <v>-0.7879999876022339</v>
      </c>
      <c r="Z425" s="3" t="n">
        <v>-1.203999996185303</v>
      </c>
      <c r="AA425" s="3" t="n">
        <v>-1.203999996185303</v>
      </c>
      <c r="AB425" s="3" t="n">
        <v>-1.194000005722046</v>
      </c>
      <c r="AC425" s="3" t="n">
        <v>-1.618000030517578</v>
      </c>
      <c r="AD425" s="3" t="n">
        <v>-0.8849999904632568</v>
      </c>
      <c r="AE425" s="3" t="n">
        <v>-0.8849999904632568</v>
      </c>
    </row>
    <row r="426">
      <c r="A426" s="3" t="inlineStr">
        <is>
          <t>CMR.distn.dec.ove.mean.5</t>
        </is>
      </c>
      <c r="B426" s="3" t="inlineStr">
        <is>
          <t>CMR</t>
        </is>
      </c>
      <c r="C426" s="3" t="n">
        <v>2005</v>
      </c>
      <c r="D426" s="3" t="inlineStr">
        <is>
          <t>Overall</t>
        </is>
      </c>
      <c r="E426" s="3" t="inlineStr">
        <is>
          <t>Deciles</t>
        </is>
      </c>
      <c r="F426" s="3" t="inlineStr">
        <is>
          <t>mean</t>
        </is>
      </c>
      <c r="G426" s="3" t="n">
        <v>5</v>
      </c>
      <c r="H426" s="3" t="n">
        <v>-0.7879999876022339</v>
      </c>
      <c r="I426" s="3" t="n">
        <v>-0.7879999876022339</v>
      </c>
      <c r="J426" s="3" t="n">
        <v>-0.8849999904632568</v>
      </c>
      <c r="K426" s="3" t="n">
        <v>-0.8849999904632568</v>
      </c>
      <c r="L426" s="3" t="n">
        <v>-0.7879999876022339</v>
      </c>
      <c r="M426" s="3" t="n">
        <v>-0.7879999876022339</v>
      </c>
      <c r="N426" s="3" t="n">
        <v>-0.7879999876022339</v>
      </c>
      <c r="O426" s="3" t="n">
        <v>-0.7879999876022339</v>
      </c>
      <c r="P426" s="3" t="n">
        <v>-0.7879999876022339</v>
      </c>
      <c r="Q426" s="3" t="n">
        <v>-0.7879999876022339</v>
      </c>
      <c r="R426" s="3" t="n">
        <v>-0.7730000019073486</v>
      </c>
      <c r="S426" s="3" t="n">
        <v>-1.203999996185303</v>
      </c>
      <c r="T426" s="3" t="n">
        <v>-0.7099999785423279</v>
      </c>
      <c r="U426" s="3" t="n">
        <v>-0.8849999904632568</v>
      </c>
      <c r="V426" s="3" t="n">
        <v>-0.6819999814033508</v>
      </c>
      <c r="W426" s="3" t="n">
        <v>-0.5759999752044678</v>
      </c>
      <c r="X426" s="3" t="n">
        <v>-1.194000005722046</v>
      </c>
      <c r="Y426" s="3" t="n">
        <v>-0.7879999876022339</v>
      </c>
      <c r="Z426" s="3" t="n">
        <v>-1.203999996185303</v>
      </c>
      <c r="AA426" s="3" t="n">
        <v>-1.203999996185303</v>
      </c>
      <c r="AB426" s="3" t="n">
        <v>-1.194000005722046</v>
      </c>
      <c r="AC426" s="3" t="n">
        <v>-1.618000030517578</v>
      </c>
      <c r="AD426" s="3" t="n">
        <v>-0.8849999904632568</v>
      </c>
      <c r="AE426" s="3" t="n">
        <v>-0.8849999904632568</v>
      </c>
    </row>
    <row r="427">
      <c r="A427" s="3" t="inlineStr">
        <is>
          <t>CMR.distn.dec.ove.mean.6</t>
        </is>
      </c>
      <c r="B427" s="3" t="inlineStr">
        <is>
          <t>CMR</t>
        </is>
      </c>
      <c r="C427" s="3" t="n">
        <v>2005</v>
      </c>
      <c r="D427" s="3" t="inlineStr">
        <is>
          <t>Overall</t>
        </is>
      </c>
      <c r="E427" s="3" t="inlineStr">
        <is>
          <t>Deciles</t>
        </is>
      </c>
      <c r="F427" s="3" t="inlineStr">
        <is>
          <t>mean</t>
        </is>
      </c>
      <c r="G427" s="3" t="n">
        <v>6</v>
      </c>
      <c r="H427" s="3" t="n">
        <v>-0.7879999876022339</v>
      </c>
      <c r="I427" s="3" t="n">
        <v>-0.7879999876022339</v>
      </c>
      <c r="J427" s="3" t="n">
        <v>-0.8849999904632568</v>
      </c>
      <c r="K427" s="3" t="n">
        <v>-0.8849999904632568</v>
      </c>
      <c r="L427" s="3" t="n">
        <v>-0.7879999876022339</v>
      </c>
      <c r="M427" s="3" t="n">
        <v>-0.7879999876022339</v>
      </c>
      <c r="N427" s="3" t="n">
        <v>-0.7879999876022339</v>
      </c>
      <c r="O427" s="3" t="n">
        <v>-0.7879999876022339</v>
      </c>
      <c r="P427" s="3" t="n">
        <v>-0.7879999876022339</v>
      </c>
      <c r="Q427" s="3" t="n">
        <v>-0.7879999876022339</v>
      </c>
      <c r="R427" s="3" t="n">
        <v>-0.7730000019073486</v>
      </c>
      <c r="S427" s="3" t="n">
        <v>-1.203999996185303</v>
      </c>
      <c r="T427" s="3" t="n">
        <v>-0.7099999785423279</v>
      </c>
      <c r="U427" s="3" t="n">
        <v>-0.8849999904632568</v>
      </c>
      <c r="V427" s="3" t="n">
        <v>-0.6819999814033508</v>
      </c>
      <c r="W427" s="3" t="n">
        <v>-0.5759999752044678</v>
      </c>
      <c r="X427" s="3" t="n">
        <v>-1.194000005722046</v>
      </c>
      <c r="Y427" s="3" t="n">
        <v>-0.7879999876022339</v>
      </c>
      <c r="Z427" s="3" t="n">
        <v>-1.203999996185303</v>
      </c>
      <c r="AA427" s="3" t="n">
        <v>-1.203999996185303</v>
      </c>
      <c r="AB427" s="3" t="n">
        <v>-1.194000005722046</v>
      </c>
      <c r="AC427" s="3" t="n">
        <v>-1.618000030517578</v>
      </c>
      <c r="AD427" s="3" t="n">
        <v>-0.8849999904632568</v>
      </c>
      <c r="AE427" s="3" t="n">
        <v>-0.8849999904632568</v>
      </c>
    </row>
    <row r="428">
      <c r="A428" s="3" t="inlineStr">
        <is>
          <t>CMR.distn.dec.ove.mean.7</t>
        </is>
      </c>
      <c r="B428" s="3" t="inlineStr">
        <is>
          <t>CMR</t>
        </is>
      </c>
      <c r="C428" s="3" t="n">
        <v>2005</v>
      </c>
      <c r="D428" s="3" t="inlineStr">
        <is>
          <t>Overall</t>
        </is>
      </c>
      <c r="E428" s="3" t="inlineStr">
        <is>
          <t>Deciles</t>
        </is>
      </c>
      <c r="F428" s="3" t="inlineStr">
        <is>
          <t>mean</t>
        </is>
      </c>
      <c r="G428" s="3" t="n">
        <v>7</v>
      </c>
      <c r="H428" s="3" t="n">
        <v>-0.7879999876022339</v>
      </c>
      <c r="I428" s="3" t="n">
        <v>-0.7879999876022339</v>
      </c>
      <c r="J428" s="3" t="n">
        <v>-0.8849999904632568</v>
      </c>
      <c r="K428" s="3" t="n">
        <v>-0.8849999904632568</v>
      </c>
      <c r="L428" s="3" t="n">
        <v>-0.7879999876022339</v>
      </c>
      <c r="M428" s="3" t="n">
        <v>-0.7879999876022339</v>
      </c>
      <c r="N428" s="3" t="n">
        <v>-0.7879999876022339</v>
      </c>
      <c r="O428" s="3" t="n">
        <v>-0.7879999876022339</v>
      </c>
      <c r="P428" s="3" t="n">
        <v>-0.7879999876022339</v>
      </c>
      <c r="Q428" s="3" t="n">
        <v>-0.7879999876022339</v>
      </c>
      <c r="R428" s="3" t="n">
        <v>-0.7730000019073486</v>
      </c>
      <c r="S428" s="3" t="n">
        <v>-1.203999996185303</v>
      </c>
      <c r="T428" s="3" t="n">
        <v>-0.7099999785423279</v>
      </c>
      <c r="U428" s="3" t="n">
        <v>-0.8849999904632568</v>
      </c>
      <c r="V428" s="3" t="n">
        <v>-0.6819999814033508</v>
      </c>
      <c r="W428" s="3" t="n">
        <v>-0.5759999752044678</v>
      </c>
      <c r="X428" s="3" t="n">
        <v>-1.194000005722046</v>
      </c>
      <c r="Y428" s="3" t="n">
        <v>-0.7879999876022339</v>
      </c>
      <c r="Z428" s="3" t="n">
        <v>-1.203999996185303</v>
      </c>
      <c r="AA428" s="3" t="n">
        <v>-1.203999996185303</v>
      </c>
      <c r="AB428" s="3" t="n">
        <v>-1.194000005722046</v>
      </c>
      <c r="AC428" s="3" t="n">
        <v>-1.618000030517578</v>
      </c>
      <c r="AD428" s="3" t="n">
        <v>-0.8849999904632568</v>
      </c>
      <c r="AE428" s="3" t="n">
        <v>-0.8849999904632568</v>
      </c>
    </row>
    <row r="429">
      <c r="A429" s="3" t="inlineStr">
        <is>
          <t>CMR.distn.dec.ove.mean.8</t>
        </is>
      </c>
      <c r="B429" s="3" t="inlineStr">
        <is>
          <t>CMR</t>
        </is>
      </c>
      <c r="C429" s="3" t="n">
        <v>2005</v>
      </c>
      <c r="D429" s="3" t="inlineStr">
        <is>
          <t>Overall</t>
        </is>
      </c>
      <c r="E429" s="3" t="inlineStr">
        <is>
          <t>Deciles</t>
        </is>
      </c>
      <c r="F429" s="3" t="inlineStr">
        <is>
          <t>mean</t>
        </is>
      </c>
      <c r="G429" s="3" t="n">
        <v>8</v>
      </c>
      <c r="H429" s="3" t="n">
        <v>-0.7883796691894531</v>
      </c>
      <c r="I429" s="3" t="n">
        <v>-0.7883796691894531</v>
      </c>
      <c r="J429" s="3" t="n">
        <v>-0.8873873353004456</v>
      </c>
      <c r="K429" s="3" t="n">
        <v>-0.8873873353004456</v>
      </c>
      <c r="L429" s="3" t="n">
        <v>-0.7883796691894531</v>
      </c>
      <c r="M429" s="3" t="n">
        <v>-0.7883796691894531</v>
      </c>
      <c r="N429" s="3" t="n">
        <v>-0.7883796691894531</v>
      </c>
      <c r="O429" s="3" t="n">
        <v>-0.7883796691894531</v>
      </c>
      <c r="P429" s="3" t="n">
        <v>-0.7883796691894531</v>
      </c>
      <c r="Q429" s="3" t="n">
        <v>-0.7883796691894531</v>
      </c>
      <c r="R429" s="3" t="n">
        <v>-0.7732542157173157</v>
      </c>
      <c r="S429" s="3" t="n">
        <v>-1.215203404426575</v>
      </c>
      <c r="T429" s="3" t="n">
        <v>-0.7100409269332886</v>
      </c>
      <c r="U429" s="3" t="n">
        <v>-0.8873873353004456</v>
      </c>
      <c r="V429" s="3" t="n">
        <v>-0.6827050447463989</v>
      </c>
      <c r="W429" s="3" t="n">
        <v>-0.5914245843887329</v>
      </c>
      <c r="X429" s="3" t="n">
        <v>-1.204879760742188</v>
      </c>
      <c r="Y429" s="3" t="n">
        <v>-0.7883796691894531</v>
      </c>
      <c r="Z429" s="3" t="n">
        <v>-1.215203404426575</v>
      </c>
      <c r="AA429" s="3" t="n">
        <v>-1.215203404426575</v>
      </c>
      <c r="AB429" s="3" t="n">
        <v>-1.204879760742188</v>
      </c>
      <c r="AC429" s="3" t="n">
        <v>-1.641074776649475</v>
      </c>
      <c r="AD429" s="3" t="n">
        <v>-0.8873873353004456</v>
      </c>
      <c r="AE429" s="3" t="n">
        <v>-0.8873873353004456</v>
      </c>
    </row>
    <row r="430">
      <c r="A430" s="3" t="inlineStr">
        <is>
          <t>CMR.distn.dec.ove.mean.9</t>
        </is>
      </c>
      <c r="B430" s="3" t="inlineStr">
        <is>
          <t>CMR</t>
        </is>
      </c>
      <c r="C430" s="3" t="n">
        <v>2005</v>
      </c>
      <c r="D430" s="3" t="inlineStr">
        <is>
          <t>Overall</t>
        </is>
      </c>
      <c r="E430" s="3" t="inlineStr">
        <is>
          <t>Deciles</t>
        </is>
      </c>
      <c r="F430" s="3" t="inlineStr">
        <is>
          <t>mean</t>
        </is>
      </c>
      <c r="G430" s="3" t="n">
        <v>9</v>
      </c>
      <c r="H430" s="3" t="n">
        <v>-0.7883796691894531</v>
      </c>
      <c r="I430" s="3" t="n">
        <v>-0.7883796691894531</v>
      </c>
      <c r="J430" s="3" t="n">
        <v>-0.8873873353004456</v>
      </c>
      <c r="K430" s="3" t="n">
        <v>-0.8873873353004456</v>
      </c>
      <c r="L430" s="3" t="n">
        <v>-0.7883796691894531</v>
      </c>
      <c r="M430" s="3" t="n">
        <v>-0.7883796691894531</v>
      </c>
      <c r="N430" s="3" t="n">
        <v>-0.7883796691894531</v>
      </c>
      <c r="O430" s="3" t="n">
        <v>-0.7883796691894531</v>
      </c>
      <c r="P430" s="3" t="n">
        <v>-0.7883796691894531</v>
      </c>
      <c r="Q430" s="3" t="n">
        <v>-0.7883796691894531</v>
      </c>
      <c r="R430" s="3" t="n">
        <v>-0.7732542157173157</v>
      </c>
      <c r="S430" s="3" t="n">
        <v>-1.215203404426575</v>
      </c>
      <c r="T430" s="3" t="n">
        <v>-0.7100409269332886</v>
      </c>
      <c r="U430" s="3" t="n">
        <v>-0.8873873353004456</v>
      </c>
      <c r="V430" s="3" t="n">
        <v>-0.6827050447463989</v>
      </c>
      <c r="W430" s="3" t="n">
        <v>-0.5914245843887329</v>
      </c>
      <c r="X430" s="3" t="n">
        <v>-1.204879760742188</v>
      </c>
      <c r="Y430" s="3" t="n">
        <v>-0.7883796691894531</v>
      </c>
      <c r="Z430" s="3" t="n">
        <v>-1.215203404426575</v>
      </c>
      <c r="AA430" s="3" t="n">
        <v>-1.215203404426575</v>
      </c>
      <c r="AB430" s="3" t="n">
        <v>-1.204879760742188</v>
      </c>
      <c r="AC430" s="3" t="n">
        <v>-1.641074776649475</v>
      </c>
      <c r="AD430" s="3" t="n">
        <v>-0.8873873353004456</v>
      </c>
      <c r="AE430" s="3" t="n">
        <v>-0.8873873353004456</v>
      </c>
    </row>
    <row r="431">
      <c r="A431" s="3" t="inlineStr">
        <is>
          <t>CMR.distn.dec.ove.mean.10</t>
        </is>
      </c>
      <c r="B431" s="3" t="inlineStr">
        <is>
          <t>CMR</t>
        </is>
      </c>
      <c r="C431" s="3" t="n">
        <v>2005</v>
      </c>
      <c r="D431" s="3" t="inlineStr">
        <is>
          <t>Overall</t>
        </is>
      </c>
      <c r="E431" s="3" t="inlineStr">
        <is>
          <t>Deciles</t>
        </is>
      </c>
      <c r="F431" s="3" t="inlineStr">
        <is>
          <t>mean</t>
        </is>
      </c>
      <c r="G431" s="3" t="n">
        <v>10</v>
      </c>
      <c r="H431" s="3" t="n">
        <v>-0.7883796691894531</v>
      </c>
      <c r="I431" s="3" t="n">
        <v>-0.7883796691894531</v>
      </c>
      <c r="J431" s="3" t="n">
        <v>-0.8873873353004456</v>
      </c>
      <c r="K431" s="3" t="n">
        <v>-0.8873873353004456</v>
      </c>
      <c r="L431" s="3" t="n">
        <v>-0.7883796691894531</v>
      </c>
      <c r="M431" s="3" t="n">
        <v>-0.7883796691894531</v>
      </c>
      <c r="N431" s="3" t="n">
        <v>-0.7883796691894531</v>
      </c>
      <c r="O431" s="3" t="n">
        <v>-0.7883796691894531</v>
      </c>
      <c r="P431" s="3" t="n">
        <v>-0.7883796691894531</v>
      </c>
      <c r="Q431" s="3" t="n">
        <v>-0.7883796691894531</v>
      </c>
      <c r="R431" s="3" t="n">
        <v>-0.7732542157173157</v>
      </c>
      <c r="S431" s="3" t="n">
        <v>-1.215203404426575</v>
      </c>
      <c r="T431" s="3" t="n">
        <v>-0.7100409269332886</v>
      </c>
      <c r="U431" s="3" t="n">
        <v>-0.8873873353004456</v>
      </c>
      <c r="V431" s="3" t="n">
        <v>-0.6827050447463989</v>
      </c>
      <c r="W431" s="3" t="n">
        <v>-0.5914245843887329</v>
      </c>
      <c r="X431" s="3" t="n">
        <v>-1.204879760742188</v>
      </c>
      <c r="Y431" s="3" t="n">
        <v>-0.7883796691894531</v>
      </c>
      <c r="Z431" s="3" t="n">
        <v>-1.215203404426575</v>
      </c>
      <c r="AA431" s="3" t="n">
        <v>-1.215203404426575</v>
      </c>
      <c r="AB431" s="3" t="n">
        <v>-1.204879760742188</v>
      </c>
      <c r="AC431" s="3" t="n">
        <v>-1.641074776649475</v>
      </c>
      <c r="AD431" s="3" t="n">
        <v>-0.8873873353004456</v>
      </c>
      <c r="AE431" s="3" t="n">
        <v>-0.8873873353004456</v>
      </c>
    </row>
    <row r="432">
      <c r="A432" s="3" t="inlineStr">
        <is>
          <t>CMR.distn.bkt.ove.mean.9999</t>
        </is>
      </c>
      <c r="B432" s="3" t="inlineStr">
        <is>
          <t>CMR</t>
        </is>
      </c>
      <c r="C432" s="3" t="n">
        <v>2005</v>
      </c>
      <c r="D432" s="3" t="inlineStr">
        <is>
          <t>Overall</t>
        </is>
      </c>
      <c r="E432" s="3" t="inlineStr">
        <is>
          <t>Basket</t>
        </is>
      </c>
      <c r="F432" s="3" t="inlineStr">
        <is>
          <t>mean</t>
        </is>
      </c>
      <c r="G432" s="3" t="n">
        <v>9999</v>
      </c>
      <c r="H432" s="3" t="n">
        <v>-0.7900005578994751</v>
      </c>
      <c r="I432" s="3" t="n">
        <v>-0.7900005578994751</v>
      </c>
      <c r="J432" s="3" t="n">
        <v>-0.8991968035697937</v>
      </c>
      <c r="K432" s="3" t="n">
        <v>-0.8991968035697937</v>
      </c>
      <c r="L432" s="3" t="n">
        <v>-0.7900005578994751</v>
      </c>
      <c r="M432" s="3" t="n">
        <v>-0.7900005578994751</v>
      </c>
      <c r="N432" s="3" t="n">
        <v>-0.7900005578994751</v>
      </c>
      <c r="O432" s="3" t="n">
        <v>-0.7900005578994751</v>
      </c>
      <c r="P432" s="3" t="n">
        <v>-0.7900005578994751</v>
      </c>
      <c r="Q432" s="3" t="n">
        <v>-0.7900005578994751</v>
      </c>
      <c r="R432" s="3" t="n">
        <v>-0.7741215229034424</v>
      </c>
      <c r="S432" s="3" t="n">
        <v>-1.376470923423767</v>
      </c>
      <c r="T432" s="3" t="n">
        <v>-0.7104492783546448</v>
      </c>
      <c r="U432" s="3" t="n">
        <v>-0.8991968035697937</v>
      </c>
      <c r="V432" s="3" t="n">
        <v>-0.6843134164810181</v>
      </c>
      <c r="W432" s="3" t="n">
        <v>-0.6131490468978882</v>
      </c>
      <c r="X432" s="3" t="n">
        <v>-1.346619844436646</v>
      </c>
      <c r="Y432" s="3" t="n">
        <v>-0.7900005578994751</v>
      </c>
      <c r="Z432" s="3" t="n">
        <v>-1.376470923423767</v>
      </c>
      <c r="AA432" s="3" t="n">
        <v>-1.376470923423767</v>
      </c>
      <c r="AB432" s="3" t="n">
        <v>-1.346619844436646</v>
      </c>
      <c r="AC432" s="3" t="n">
        <v>-2.144652605056763</v>
      </c>
      <c r="AD432" s="3" t="n">
        <v>-0.8991968035697937</v>
      </c>
      <c r="AE432" s="3" t="n">
        <v>-0.8991968035697937</v>
      </c>
    </row>
    <row r="433">
      <c r="A433" s="3" t="inlineStr">
        <is>
          <t>COD.distn.dec.ove.mean.1</t>
        </is>
      </c>
      <c r="B433" s="3" t="inlineStr">
        <is>
          <t>COD</t>
        </is>
      </c>
      <c r="C433" s="3" t="n">
        <v>2005</v>
      </c>
      <c r="D433" s="3" t="inlineStr">
        <is>
          <t>Overall</t>
        </is>
      </c>
      <c r="E433" s="3" t="inlineStr">
        <is>
          <t>Deciles</t>
        </is>
      </c>
      <c r="F433" s="3" t="inlineStr">
        <is>
          <t>mean</t>
        </is>
      </c>
      <c r="G433" s="3" t="n">
        <v>1</v>
      </c>
      <c r="H433" s="3" t="n">
        <v>-0.8043686151504517</v>
      </c>
      <c r="I433" s="3" t="n">
        <v>-0.8043686151504517</v>
      </c>
      <c r="J433" s="3" t="n">
        <v>-1.06443452835083</v>
      </c>
      <c r="K433" s="3" t="n">
        <v>-1.06443452835083</v>
      </c>
      <c r="L433" s="3" t="n">
        <v>-0.8043686151504517</v>
      </c>
      <c r="M433" s="3" t="n">
        <v>-0.8043686151504517</v>
      </c>
      <c r="N433" s="3" t="n">
        <v>-0.8043686151504517</v>
      </c>
      <c r="O433" s="3" t="n">
        <v>-0.8043686151504517</v>
      </c>
      <c r="P433" s="3" t="n">
        <v>-0.8043686151504517</v>
      </c>
      <c r="Q433" s="3" t="n">
        <v>-0.8043686151504517</v>
      </c>
      <c r="R433" s="3" t="n">
        <v>-0.782511293888092</v>
      </c>
      <c r="S433" s="3" t="n">
        <v>-2.327080011367798</v>
      </c>
      <c r="T433" s="3" t="n">
        <v>-0.7124587297439575</v>
      </c>
      <c r="U433" s="3" t="n">
        <v>-1.06443452835083</v>
      </c>
      <c r="V433" s="3" t="n">
        <v>-0.6960783004760742</v>
      </c>
      <c r="W433" s="3" t="n">
        <v>-0.7450041174888611</v>
      </c>
      <c r="X433" s="3" t="n">
        <v>-1.635174512863159</v>
      </c>
      <c r="Y433" s="3" t="n">
        <v>-0.8043686151504517</v>
      </c>
      <c r="Z433" s="3" t="n">
        <v>-2.327080011367798</v>
      </c>
      <c r="AA433" s="3" t="n">
        <v>-2.327080011367798</v>
      </c>
      <c r="AB433" s="3" t="n">
        <v>-1.635174512863159</v>
      </c>
      <c r="AC433" s="3" t="n">
        <v>-5.887072086334229</v>
      </c>
      <c r="AD433" s="3" t="n">
        <v>-1.06443452835083</v>
      </c>
      <c r="AE433" s="3" t="n">
        <v>-1.06443452835083</v>
      </c>
    </row>
    <row r="434">
      <c r="A434" s="3" t="inlineStr">
        <is>
          <t>COD.distn.dec.ove.mean.2</t>
        </is>
      </c>
      <c r="B434" s="3" t="inlineStr">
        <is>
          <t>COD</t>
        </is>
      </c>
      <c r="C434" s="3" t="n">
        <v>2005</v>
      </c>
      <c r="D434" s="3" t="inlineStr">
        <is>
          <t>Overall</t>
        </is>
      </c>
      <c r="E434" s="3" t="inlineStr">
        <is>
          <t>Deciles</t>
        </is>
      </c>
      <c r="F434" s="3" t="inlineStr">
        <is>
          <t>mean</t>
        </is>
      </c>
      <c r="G434" s="3" t="n">
        <v>2</v>
      </c>
      <c r="H434" s="3" t="n">
        <v>-0.8043686151504517</v>
      </c>
      <c r="I434" s="3" t="n">
        <v>-0.8043686151504517</v>
      </c>
      <c r="J434" s="3" t="n">
        <v>-1.06443452835083</v>
      </c>
      <c r="K434" s="3" t="n">
        <v>-1.06443452835083</v>
      </c>
      <c r="L434" s="3" t="n">
        <v>-0.8043686151504517</v>
      </c>
      <c r="M434" s="3" t="n">
        <v>-0.8043686151504517</v>
      </c>
      <c r="N434" s="3" t="n">
        <v>-0.8043686151504517</v>
      </c>
      <c r="O434" s="3" t="n">
        <v>-0.8043686151504517</v>
      </c>
      <c r="P434" s="3" t="n">
        <v>-0.8043686151504517</v>
      </c>
      <c r="Q434" s="3" t="n">
        <v>-0.8043686151504517</v>
      </c>
      <c r="R434" s="3" t="n">
        <v>-0.782511293888092</v>
      </c>
      <c r="S434" s="3" t="n">
        <v>-2.327080011367798</v>
      </c>
      <c r="T434" s="3" t="n">
        <v>-0.7124587297439575</v>
      </c>
      <c r="U434" s="3" t="n">
        <v>-1.06443452835083</v>
      </c>
      <c r="V434" s="3" t="n">
        <v>-0.6960783004760742</v>
      </c>
      <c r="W434" s="3" t="n">
        <v>-0.7450041174888611</v>
      </c>
      <c r="X434" s="3" t="n">
        <v>-1.635174512863159</v>
      </c>
      <c r="Y434" s="3" t="n">
        <v>-0.8043686151504517</v>
      </c>
      <c r="Z434" s="3" t="n">
        <v>-2.327080011367798</v>
      </c>
      <c r="AA434" s="3" t="n">
        <v>-2.327080011367798</v>
      </c>
      <c r="AB434" s="3" t="n">
        <v>-1.635174512863159</v>
      </c>
      <c r="AC434" s="3" t="n">
        <v>-5.887072086334229</v>
      </c>
      <c r="AD434" s="3" t="n">
        <v>-1.06443452835083</v>
      </c>
      <c r="AE434" s="3" t="n">
        <v>-1.06443452835083</v>
      </c>
    </row>
    <row r="435">
      <c r="A435" s="3" t="inlineStr">
        <is>
          <t>COD.distn.dec.ove.mean.3</t>
        </is>
      </c>
      <c r="B435" s="3" t="inlineStr">
        <is>
          <t>COD</t>
        </is>
      </c>
      <c r="C435" s="3" t="n">
        <v>2005</v>
      </c>
      <c r="D435" s="3" t="inlineStr">
        <is>
          <t>Overall</t>
        </is>
      </c>
      <c r="E435" s="3" t="inlineStr">
        <is>
          <t>Deciles</t>
        </is>
      </c>
      <c r="F435" s="3" t="inlineStr">
        <is>
          <t>mean</t>
        </is>
      </c>
      <c r="G435" s="3" t="n">
        <v>3</v>
      </c>
      <c r="H435" s="3" t="n">
        <v>-0.8043686151504517</v>
      </c>
      <c r="I435" s="3" t="n">
        <v>-0.8043686151504517</v>
      </c>
      <c r="J435" s="3" t="n">
        <v>-1.06443452835083</v>
      </c>
      <c r="K435" s="3" t="n">
        <v>-1.06443452835083</v>
      </c>
      <c r="L435" s="3" t="n">
        <v>-0.8043686151504517</v>
      </c>
      <c r="M435" s="3" t="n">
        <v>-0.8043686151504517</v>
      </c>
      <c r="N435" s="3" t="n">
        <v>-0.8043686151504517</v>
      </c>
      <c r="O435" s="3" t="n">
        <v>-0.8043686151504517</v>
      </c>
      <c r="P435" s="3" t="n">
        <v>-0.8043686151504517</v>
      </c>
      <c r="Q435" s="3" t="n">
        <v>-0.8043686151504517</v>
      </c>
      <c r="R435" s="3" t="n">
        <v>-0.782511293888092</v>
      </c>
      <c r="S435" s="3" t="n">
        <v>-2.327080011367798</v>
      </c>
      <c r="T435" s="3" t="n">
        <v>-0.7124587297439575</v>
      </c>
      <c r="U435" s="3" t="n">
        <v>-1.06443452835083</v>
      </c>
      <c r="V435" s="3" t="n">
        <v>-0.6960783004760742</v>
      </c>
      <c r="W435" s="3" t="n">
        <v>-0.7450041174888611</v>
      </c>
      <c r="X435" s="3" t="n">
        <v>-1.635174512863159</v>
      </c>
      <c r="Y435" s="3" t="n">
        <v>-0.8043686151504517</v>
      </c>
      <c r="Z435" s="3" t="n">
        <v>-2.327080011367798</v>
      </c>
      <c r="AA435" s="3" t="n">
        <v>-2.327080011367798</v>
      </c>
      <c r="AB435" s="3" t="n">
        <v>-1.635174512863159</v>
      </c>
      <c r="AC435" s="3" t="n">
        <v>-5.887072086334229</v>
      </c>
      <c r="AD435" s="3" t="n">
        <v>-1.06443452835083</v>
      </c>
      <c r="AE435" s="3" t="n">
        <v>-1.06443452835083</v>
      </c>
    </row>
    <row r="436">
      <c r="A436" s="3" t="inlineStr">
        <is>
          <t>COD.distn.dec.ove.mean.4</t>
        </is>
      </c>
      <c r="B436" s="3" t="inlineStr">
        <is>
          <t>COD</t>
        </is>
      </c>
      <c r="C436" s="3" t="n">
        <v>2005</v>
      </c>
      <c r="D436" s="3" t="inlineStr">
        <is>
          <t>Overall</t>
        </is>
      </c>
      <c r="E436" s="3" t="inlineStr">
        <is>
          <t>Deciles</t>
        </is>
      </c>
      <c r="F436" s="3" t="inlineStr">
        <is>
          <t>mean</t>
        </is>
      </c>
      <c r="G436" s="3" t="n">
        <v>4</v>
      </c>
      <c r="H436" s="3" t="n">
        <v>-0.7979999780654907</v>
      </c>
      <c r="I436" s="3" t="n">
        <v>-0.7979999780654907</v>
      </c>
      <c r="J436" s="3" t="n">
        <v>-1.013000011444092</v>
      </c>
      <c r="K436" s="3" t="n">
        <v>-1.013000011444092</v>
      </c>
      <c r="L436" s="3" t="n">
        <v>-0.7979999780654907</v>
      </c>
      <c r="M436" s="3" t="n">
        <v>-0.7979999780654907</v>
      </c>
      <c r="N436" s="3" t="n">
        <v>-0.7979999780654907</v>
      </c>
      <c r="O436" s="3" t="n">
        <v>-0.7979999780654907</v>
      </c>
      <c r="P436" s="3" t="n">
        <v>-0.7979999780654907</v>
      </c>
      <c r="Q436" s="3" t="n">
        <v>-0.7979999780654907</v>
      </c>
      <c r="R436" s="3" t="n">
        <v>-0.7789999842643738</v>
      </c>
      <c r="S436" s="3" t="n">
        <v>-1.585000038146973</v>
      </c>
      <c r="T436" s="3" t="n">
        <v>-0.7110000252723694</v>
      </c>
      <c r="U436" s="3" t="n">
        <v>-1.013000011444092</v>
      </c>
      <c r="V436" s="3" t="n">
        <v>-0.6890000104904175</v>
      </c>
      <c r="W436" s="3" t="n">
        <v>-0.6269999742507935</v>
      </c>
      <c r="X436" s="3" t="n">
        <v>-1.154000043869019</v>
      </c>
      <c r="Y436" s="3" t="n">
        <v>-0.7979999780654907</v>
      </c>
      <c r="Z436" s="3" t="n">
        <v>-1.585000038146973</v>
      </c>
      <c r="AA436" s="3" t="n">
        <v>-1.585000038146973</v>
      </c>
      <c r="AB436" s="3" t="n">
        <v>-1.154000043869019</v>
      </c>
      <c r="AC436" s="3" t="n">
        <v>-2.842999935150146</v>
      </c>
      <c r="AD436" s="3" t="n">
        <v>-1.013000011444092</v>
      </c>
      <c r="AE436" s="3" t="n">
        <v>-1.013000011444092</v>
      </c>
    </row>
    <row r="437">
      <c r="A437" s="3" t="inlineStr">
        <is>
          <t>COD.distn.dec.ove.mean.5</t>
        </is>
      </c>
      <c r="B437" s="3" t="inlineStr">
        <is>
          <t>COD</t>
        </is>
      </c>
      <c r="C437" s="3" t="n">
        <v>2005</v>
      </c>
      <c r="D437" s="3" t="inlineStr">
        <is>
          <t>Overall</t>
        </is>
      </c>
      <c r="E437" s="3" t="inlineStr">
        <is>
          <t>Deciles</t>
        </is>
      </c>
      <c r="F437" s="3" t="inlineStr">
        <is>
          <t>mean</t>
        </is>
      </c>
      <c r="G437" s="3" t="n">
        <v>5</v>
      </c>
      <c r="H437" s="3" t="n">
        <v>-0.7979999780654907</v>
      </c>
      <c r="I437" s="3" t="n">
        <v>-0.7979999780654907</v>
      </c>
      <c r="J437" s="3" t="n">
        <v>-1.013000011444092</v>
      </c>
      <c r="K437" s="3" t="n">
        <v>-1.013000011444092</v>
      </c>
      <c r="L437" s="3" t="n">
        <v>-0.7979999780654907</v>
      </c>
      <c r="M437" s="3" t="n">
        <v>-0.7979999780654907</v>
      </c>
      <c r="N437" s="3" t="n">
        <v>-0.7979999780654907</v>
      </c>
      <c r="O437" s="3" t="n">
        <v>-0.7979999780654907</v>
      </c>
      <c r="P437" s="3" t="n">
        <v>-0.7979999780654907</v>
      </c>
      <c r="Q437" s="3" t="n">
        <v>-0.7979999780654907</v>
      </c>
      <c r="R437" s="3" t="n">
        <v>-0.7789999842643738</v>
      </c>
      <c r="S437" s="3" t="n">
        <v>-1.585000038146973</v>
      </c>
      <c r="T437" s="3" t="n">
        <v>-0.7110000252723694</v>
      </c>
      <c r="U437" s="3" t="n">
        <v>-1.013000011444092</v>
      </c>
      <c r="V437" s="3" t="n">
        <v>-0.6890000104904175</v>
      </c>
      <c r="W437" s="3" t="n">
        <v>-0.6269999742507935</v>
      </c>
      <c r="X437" s="3" t="n">
        <v>-1.154000043869019</v>
      </c>
      <c r="Y437" s="3" t="n">
        <v>-0.7979999780654907</v>
      </c>
      <c r="Z437" s="3" t="n">
        <v>-1.585000038146973</v>
      </c>
      <c r="AA437" s="3" t="n">
        <v>-1.585000038146973</v>
      </c>
      <c r="AB437" s="3" t="n">
        <v>-1.154000043869019</v>
      </c>
      <c r="AC437" s="3" t="n">
        <v>-2.842999935150146</v>
      </c>
      <c r="AD437" s="3" t="n">
        <v>-1.013000011444092</v>
      </c>
      <c r="AE437" s="3" t="n">
        <v>-1.013000011444092</v>
      </c>
    </row>
    <row r="438">
      <c r="A438" s="3" t="inlineStr">
        <is>
          <t>COD.distn.dec.ove.mean.6</t>
        </is>
      </c>
      <c r="B438" s="3" t="inlineStr">
        <is>
          <t>COD</t>
        </is>
      </c>
      <c r="C438" s="3" t="n">
        <v>2005</v>
      </c>
      <c r="D438" s="3" t="inlineStr">
        <is>
          <t>Overall</t>
        </is>
      </c>
      <c r="E438" s="3" t="inlineStr">
        <is>
          <t>Deciles</t>
        </is>
      </c>
      <c r="F438" s="3" t="inlineStr">
        <is>
          <t>mean</t>
        </is>
      </c>
      <c r="G438" s="3" t="n">
        <v>6</v>
      </c>
      <c r="H438" s="3" t="n">
        <v>-0.7979999780654907</v>
      </c>
      <c r="I438" s="3" t="n">
        <v>-0.7979999780654907</v>
      </c>
      <c r="J438" s="3" t="n">
        <v>-1.013000011444092</v>
      </c>
      <c r="K438" s="3" t="n">
        <v>-1.013000011444092</v>
      </c>
      <c r="L438" s="3" t="n">
        <v>-0.7979999780654907</v>
      </c>
      <c r="M438" s="3" t="n">
        <v>-0.7979999780654907</v>
      </c>
      <c r="N438" s="3" t="n">
        <v>-0.7979999780654907</v>
      </c>
      <c r="O438" s="3" t="n">
        <v>-0.7979999780654907</v>
      </c>
      <c r="P438" s="3" t="n">
        <v>-0.7979999780654907</v>
      </c>
      <c r="Q438" s="3" t="n">
        <v>-0.7979999780654907</v>
      </c>
      <c r="R438" s="3" t="n">
        <v>-0.7789999842643738</v>
      </c>
      <c r="S438" s="3" t="n">
        <v>-1.585000038146973</v>
      </c>
      <c r="T438" s="3" t="n">
        <v>-0.7110000252723694</v>
      </c>
      <c r="U438" s="3" t="n">
        <v>-1.013000011444092</v>
      </c>
      <c r="V438" s="3" t="n">
        <v>-0.6890000104904175</v>
      </c>
      <c r="W438" s="3" t="n">
        <v>-0.6269999742507935</v>
      </c>
      <c r="X438" s="3" t="n">
        <v>-1.154000043869019</v>
      </c>
      <c r="Y438" s="3" t="n">
        <v>-0.7979999780654907</v>
      </c>
      <c r="Z438" s="3" t="n">
        <v>-1.585000038146973</v>
      </c>
      <c r="AA438" s="3" t="n">
        <v>-1.585000038146973</v>
      </c>
      <c r="AB438" s="3" t="n">
        <v>-1.154000043869019</v>
      </c>
      <c r="AC438" s="3" t="n">
        <v>-2.842999935150146</v>
      </c>
      <c r="AD438" s="3" t="n">
        <v>-1.013000011444092</v>
      </c>
      <c r="AE438" s="3" t="n">
        <v>-1.013000011444092</v>
      </c>
    </row>
    <row r="439">
      <c r="A439" s="3" t="inlineStr">
        <is>
          <t>COD.distn.dec.ove.mean.7</t>
        </is>
      </c>
      <c r="B439" s="3" t="inlineStr">
        <is>
          <t>COD</t>
        </is>
      </c>
      <c r="C439" s="3" t="n">
        <v>2005</v>
      </c>
      <c r="D439" s="3" t="inlineStr">
        <is>
          <t>Overall</t>
        </is>
      </c>
      <c r="E439" s="3" t="inlineStr">
        <is>
          <t>Deciles</t>
        </is>
      </c>
      <c r="F439" s="3" t="inlineStr">
        <is>
          <t>mean</t>
        </is>
      </c>
      <c r="G439" s="3" t="n">
        <v>7</v>
      </c>
      <c r="H439" s="3" t="n">
        <v>-0.7979999780654907</v>
      </c>
      <c r="I439" s="3" t="n">
        <v>-0.7979999780654907</v>
      </c>
      <c r="J439" s="3" t="n">
        <v>-1.013000011444092</v>
      </c>
      <c r="K439" s="3" t="n">
        <v>-1.013000011444092</v>
      </c>
      <c r="L439" s="3" t="n">
        <v>-0.7979999780654907</v>
      </c>
      <c r="M439" s="3" t="n">
        <v>-0.7979999780654907</v>
      </c>
      <c r="N439" s="3" t="n">
        <v>-0.7979999780654907</v>
      </c>
      <c r="O439" s="3" t="n">
        <v>-0.7979999780654907</v>
      </c>
      <c r="P439" s="3" t="n">
        <v>-0.7979999780654907</v>
      </c>
      <c r="Q439" s="3" t="n">
        <v>-0.7979999780654907</v>
      </c>
      <c r="R439" s="3" t="n">
        <v>-0.7789999842643738</v>
      </c>
      <c r="S439" s="3" t="n">
        <v>-1.585000038146973</v>
      </c>
      <c r="T439" s="3" t="n">
        <v>-0.7110000252723694</v>
      </c>
      <c r="U439" s="3" t="n">
        <v>-1.013000011444092</v>
      </c>
      <c r="V439" s="3" t="n">
        <v>-0.6890000104904175</v>
      </c>
      <c r="W439" s="3" t="n">
        <v>-0.6269999742507935</v>
      </c>
      <c r="X439" s="3" t="n">
        <v>-1.154000043869019</v>
      </c>
      <c r="Y439" s="3" t="n">
        <v>-0.7979999780654907</v>
      </c>
      <c r="Z439" s="3" t="n">
        <v>-1.585000038146973</v>
      </c>
      <c r="AA439" s="3" t="n">
        <v>-1.585000038146973</v>
      </c>
      <c r="AB439" s="3" t="n">
        <v>-1.154000043869019</v>
      </c>
      <c r="AC439" s="3" t="n">
        <v>-2.842999935150146</v>
      </c>
      <c r="AD439" s="3" t="n">
        <v>-1.013000011444092</v>
      </c>
      <c r="AE439" s="3" t="n">
        <v>-1.013000011444092</v>
      </c>
    </row>
    <row r="440">
      <c r="A440" s="3" t="inlineStr">
        <is>
          <t>COD.distn.dec.ove.mean.8</t>
        </is>
      </c>
      <c r="B440" s="3" t="inlineStr">
        <is>
          <t>COD</t>
        </is>
      </c>
      <c r="C440" s="3" t="n">
        <v>2005</v>
      </c>
      <c r="D440" s="3" t="inlineStr">
        <is>
          <t>Overall</t>
        </is>
      </c>
      <c r="E440" s="3" t="inlineStr">
        <is>
          <t>Deciles</t>
        </is>
      </c>
      <c r="F440" s="3" t="inlineStr">
        <is>
          <t>mean</t>
        </is>
      </c>
      <c r="G440" s="3" t="n">
        <v>8</v>
      </c>
      <c r="H440" s="3" t="n">
        <v>-0.7983844876289368</v>
      </c>
      <c r="I440" s="3" t="n">
        <v>-0.7983844876289368</v>
      </c>
      <c r="J440" s="3" t="n">
        <v>-1.015732645988464</v>
      </c>
      <c r="K440" s="3" t="n">
        <v>-1.015732645988464</v>
      </c>
      <c r="L440" s="3" t="n">
        <v>-0.7983844876289368</v>
      </c>
      <c r="M440" s="3" t="n">
        <v>-0.7983844876289368</v>
      </c>
      <c r="N440" s="3" t="n">
        <v>-0.7983844876289368</v>
      </c>
      <c r="O440" s="3" t="n">
        <v>-0.7983844876289368</v>
      </c>
      <c r="P440" s="3" t="n">
        <v>-0.7983844876289368</v>
      </c>
      <c r="Q440" s="3" t="n">
        <v>-0.7983844876289368</v>
      </c>
      <c r="R440" s="3" t="n">
        <v>-0.7792562246322632</v>
      </c>
      <c r="S440" s="3" t="n">
        <v>-1.599748611450195</v>
      </c>
      <c r="T440" s="3" t="n">
        <v>-0.7110409736633301</v>
      </c>
      <c r="U440" s="3" t="n">
        <v>-1.015732645988464</v>
      </c>
      <c r="V440" s="3" t="n">
        <v>-0.6897122859954834</v>
      </c>
      <c r="W440" s="3" t="n">
        <v>-0.6437903046607971</v>
      </c>
      <c r="X440" s="3" t="n">
        <v>-1.164515256881714</v>
      </c>
      <c r="Y440" s="3" t="n">
        <v>-0.7983844876289368</v>
      </c>
      <c r="Z440" s="3" t="n">
        <v>-1.599748611450195</v>
      </c>
      <c r="AA440" s="3" t="n">
        <v>-1.599748611450195</v>
      </c>
      <c r="AB440" s="3" t="n">
        <v>-1.164515256881714</v>
      </c>
      <c r="AC440" s="3" t="n">
        <v>-2.883544921875</v>
      </c>
      <c r="AD440" s="3" t="n">
        <v>-1.015732645988464</v>
      </c>
      <c r="AE440" s="3" t="n">
        <v>-1.015732645988464</v>
      </c>
    </row>
    <row r="441">
      <c r="A441" s="3" t="inlineStr">
        <is>
          <t>COD.distn.dec.ove.mean.9</t>
        </is>
      </c>
      <c r="B441" s="3" t="inlineStr">
        <is>
          <t>COD</t>
        </is>
      </c>
      <c r="C441" s="3" t="n">
        <v>2005</v>
      </c>
      <c r="D441" s="3" t="inlineStr">
        <is>
          <t>Overall</t>
        </is>
      </c>
      <c r="E441" s="3" t="inlineStr">
        <is>
          <t>Deciles</t>
        </is>
      </c>
      <c r="F441" s="3" t="inlineStr">
        <is>
          <t>mean</t>
        </is>
      </c>
      <c r="G441" s="3" t="n">
        <v>9</v>
      </c>
      <c r="H441" s="3" t="n">
        <v>-0.7983844876289368</v>
      </c>
      <c r="I441" s="3" t="n">
        <v>-0.7983844876289368</v>
      </c>
      <c r="J441" s="3" t="n">
        <v>-1.015732645988464</v>
      </c>
      <c r="K441" s="3" t="n">
        <v>-1.015732645988464</v>
      </c>
      <c r="L441" s="3" t="n">
        <v>-0.7983844876289368</v>
      </c>
      <c r="M441" s="3" t="n">
        <v>-0.7983844876289368</v>
      </c>
      <c r="N441" s="3" t="n">
        <v>-0.7983844876289368</v>
      </c>
      <c r="O441" s="3" t="n">
        <v>-0.7983844876289368</v>
      </c>
      <c r="P441" s="3" t="n">
        <v>-0.7983844876289368</v>
      </c>
      <c r="Q441" s="3" t="n">
        <v>-0.7983844876289368</v>
      </c>
      <c r="R441" s="3" t="n">
        <v>-0.7792562246322632</v>
      </c>
      <c r="S441" s="3" t="n">
        <v>-1.599748611450195</v>
      </c>
      <c r="T441" s="3" t="n">
        <v>-0.7110409736633301</v>
      </c>
      <c r="U441" s="3" t="n">
        <v>-1.015732645988464</v>
      </c>
      <c r="V441" s="3" t="n">
        <v>-0.6897122859954834</v>
      </c>
      <c r="W441" s="3" t="n">
        <v>-0.6437903046607971</v>
      </c>
      <c r="X441" s="3" t="n">
        <v>-1.164515256881714</v>
      </c>
      <c r="Y441" s="3" t="n">
        <v>-0.7983844876289368</v>
      </c>
      <c r="Z441" s="3" t="n">
        <v>-1.599748611450195</v>
      </c>
      <c r="AA441" s="3" t="n">
        <v>-1.599748611450195</v>
      </c>
      <c r="AB441" s="3" t="n">
        <v>-1.164515256881714</v>
      </c>
      <c r="AC441" s="3" t="n">
        <v>-2.883544921875</v>
      </c>
      <c r="AD441" s="3" t="n">
        <v>-1.015732645988464</v>
      </c>
      <c r="AE441" s="3" t="n">
        <v>-1.015732645988464</v>
      </c>
    </row>
    <row r="442">
      <c r="A442" s="3" t="inlineStr">
        <is>
          <t>COD.distn.dec.ove.mean.10</t>
        </is>
      </c>
      <c r="B442" s="3" t="inlineStr">
        <is>
          <t>COD</t>
        </is>
      </c>
      <c r="C442" s="3" t="n">
        <v>2005</v>
      </c>
      <c r="D442" s="3" t="inlineStr">
        <is>
          <t>Overall</t>
        </is>
      </c>
      <c r="E442" s="3" t="inlineStr">
        <is>
          <t>Deciles</t>
        </is>
      </c>
      <c r="F442" s="3" t="inlineStr">
        <is>
          <t>mean</t>
        </is>
      </c>
      <c r="G442" s="3" t="n">
        <v>10</v>
      </c>
      <c r="H442" s="3" t="n">
        <v>-0.7983844876289368</v>
      </c>
      <c r="I442" s="3" t="n">
        <v>-0.7983844876289368</v>
      </c>
      <c r="J442" s="3" t="n">
        <v>-1.015732645988464</v>
      </c>
      <c r="K442" s="3" t="n">
        <v>-1.015732645988464</v>
      </c>
      <c r="L442" s="3" t="n">
        <v>-0.7983844876289368</v>
      </c>
      <c r="M442" s="3" t="n">
        <v>-0.7983844876289368</v>
      </c>
      <c r="N442" s="3" t="n">
        <v>-0.7983844876289368</v>
      </c>
      <c r="O442" s="3" t="n">
        <v>-0.7983844876289368</v>
      </c>
      <c r="P442" s="3" t="n">
        <v>-0.7983844876289368</v>
      </c>
      <c r="Q442" s="3" t="n">
        <v>-0.7983844876289368</v>
      </c>
      <c r="R442" s="3" t="n">
        <v>-0.7792562246322632</v>
      </c>
      <c r="S442" s="3" t="n">
        <v>-1.599748611450195</v>
      </c>
      <c r="T442" s="3" t="n">
        <v>-0.7110409736633301</v>
      </c>
      <c r="U442" s="3" t="n">
        <v>-1.015732645988464</v>
      </c>
      <c r="V442" s="3" t="n">
        <v>-0.6897122859954834</v>
      </c>
      <c r="W442" s="3" t="n">
        <v>-0.6437903046607971</v>
      </c>
      <c r="X442" s="3" t="n">
        <v>-1.164515256881714</v>
      </c>
      <c r="Y442" s="3" t="n">
        <v>-0.7983844876289368</v>
      </c>
      <c r="Z442" s="3" t="n">
        <v>-1.599748611450195</v>
      </c>
      <c r="AA442" s="3" t="n">
        <v>-1.599748611450195</v>
      </c>
      <c r="AB442" s="3" t="n">
        <v>-1.164515256881714</v>
      </c>
      <c r="AC442" s="3" t="n">
        <v>-2.883544921875</v>
      </c>
      <c r="AD442" s="3" t="n">
        <v>-1.015732645988464</v>
      </c>
      <c r="AE442" s="3" t="n">
        <v>-1.015732645988464</v>
      </c>
    </row>
    <row r="443">
      <c r="A443" s="3" t="inlineStr">
        <is>
          <t>COD.distn.bkt.ove.mean.9999</t>
        </is>
      </c>
      <c r="B443" s="3" t="inlineStr">
        <is>
          <t>COD</t>
        </is>
      </c>
      <c r="C443" s="3" t="n">
        <v>2005</v>
      </c>
      <c r="D443" s="3" t="inlineStr">
        <is>
          <t>Overall</t>
        </is>
      </c>
      <c r="E443" s="3" t="inlineStr">
        <is>
          <t>Basket</t>
        </is>
      </c>
      <c r="F443" s="3" t="inlineStr">
        <is>
          <t>mean</t>
        </is>
      </c>
      <c r="G443" s="3" t="n">
        <v>9999</v>
      </c>
      <c r="H443" s="3" t="n">
        <v>-0.8000259399414062</v>
      </c>
      <c r="I443" s="3" t="n">
        <v>-0.8000259399414062</v>
      </c>
      <c r="J443" s="3" t="n">
        <v>-1.029250144958496</v>
      </c>
      <c r="K443" s="3" t="n">
        <v>-1.029250144958496</v>
      </c>
      <c r="L443" s="3" t="n">
        <v>-0.8000259399414062</v>
      </c>
      <c r="M443" s="3" t="n">
        <v>-0.8000259399414062</v>
      </c>
      <c r="N443" s="3" t="n">
        <v>-0.8000259399414062</v>
      </c>
      <c r="O443" s="3" t="n">
        <v>-0.8000259399414062</v>
      </c>
      <c r="P443" s="3" t="n">
        <v>-0.8000259399414062</v>
      </c>
      <c r="Q443" s="3" t="n">
        <v>-0.8000259399414062</v>
      </c>
      <c r="R443" s="3" t="n">
        <v>-0.7801302671432495</v>
      </c>
      <c r="S443" s="3" t="n">
        <v>-1.812048554420471</v>
      </c>
      <c r="T443" s="3" t="n">
        <v>-0.711449921131134</v>
      </c>
      <c r="U443" s="3" t="n">
        <v>-1.029250144958496</v>
      </c>
      <c r="V443" s="3" t="n">
        <v>-0.6913371682167053</v>
      </c>
      <c r="W443" s="3" t="n">
        <v>-0.6674383282661438</v>
      </c>
      <c r="X443" s="3" t="n">
        <v>-1.301506996154785</v>
      </c>
      <c r="Y443" s="3" t="n">
        <v>-0.8000259399414062</v>
      </c>
      <c r="Z443" s="3" t="n">
        <v>-1.812048554420471</v>
      </c>
      <c r="AA443" s="3" t="n">
        <v>-1.812048554420471</v>
      </c>
      <c r="AB443" s="3" t="n">
        <v>-1.301506996154785</v>
      </c>
      <c r="AC443" s="3" t="n">
        <v>-3.768385171890259</v>
      </c>
      <c r="AD443" s="3" t="n">
        <v>-1.029250144958496</v>
      </c>
      <c r="AE443" s="3" t="n">
        <v>-1.029250144958496</v>
      </c>
    </row>
    <row r="444">
      <c r="A444" s="3" t="inlineStr">
        <is>
          <t>COG.distn.dec.ove.mean.1</t>
        </is>
      </c>
      <c r="B444" s="3" t="inlineStr">
        <is>
          <t>COG</t>
        </is>
      </c>
      <c r="C444" s="3" t="n">
        <v>2005</v>
      </c>
      <c r="D444" s="3" t="inlineStr">
        <is>
          <t>Overall</t>
        </is>
      </c>
      <c r="E444" s="3" t="inlineStr">
        <is>
          <t>Deciles</t>
        </is>
      </c>
      <c r="F444" s="3" t="inlineStr">
        <is>
          <t>mean</t>
        </is>
      </c>
      <c r="G444" s="3" t="n">
        <v>1</v>
      </c>
      <c r="H444" s="3" t="n">
        <v>-0.7963047623634338</v>
      </c>
      <c r="I444" s="3" t="n">
        <v>-0.7963047623634338</v>
      </c>
      <c r="J444" s="3" t="n">
        <v>-0.9467477798461914</v>
      </c>
      <c r="K444" s="3" t="n">
        <v>-0.9467477798461914</v>
      </c>
      <c r="L444" s="3" t="n">
        <v>-0.7963047623634338</v>
      </c>
      <c r="M444" s="3" t="n">
        <v>-0.7963047623634338</v>
      </c>
      <c r="N444" s="3" t="n">
        <v>-0.7963047623634338</v>
      </c>
      <c r="O444" s="3" t="n">
        <v>-0.7963047623634338</v>
      </c>
      <c r="P444" s="3" t="n">
        <v>-0.7963047623634338</v>
      </c>
      <c r="Q444" s="3" t="n">
        <v>-0.7963047623634338</v>
      </c>
      <c r="R444" s="3" t="n">
        <v>-0.7774887681007385</v>
      </c>
      <c r="S444" s="3" t="n">
        <v>-2.06133770942688</v>
      </c>
      <c r="T444" s="3" t="n">
        <v>-0.7114566564559937</v>
      </c>
      <c r="U444" s="3" t="n">
        <v>-0.9467477798461914</v>
      </c>
      <c r="V444" s="3" t="n">
        <v>-0.6910269260406494</v>
      </c>
      <c r="W444" s="3" t="n">
        <v>-0.7010405659675598</v>
      </c>
      <c r="X444" s="3" t="n">
        <v>-1.961075901985168</v>
      </c>
      <c r="Y444" s="3" t="n">
        <v>-0.7963047623634338</v>
      </c>
      <c r="Z444" s="3" t="n">
        <v>-2.06133770942688</v>
      </c>
      <c r="AA444" s="3" t="n">
        <v>-2.06133770942688</v>
      </c>
      <c r="AB444" s="3" t="n">
        <v>-1.961075901985168</v>
      </c>
      <c r="AC444" s="3" t="n">
        <v>-5.671716690063477</v>
      </c>
      <c r="AD444" s="3" t="n">
        <v>-0.9467477798461914</v>
      </c>
      <c r="AE444" s="3" t="n">
        <v>-0.9467477798461914</v>
      </c>
    </row>
    <row r="445">
      <c r="A445" s="3" t="inlineStr">
        <is>
          <t>COG.distn.dec.ove.mean.2</t>
        </is>
      </c>
      <c r="B445" s="3" t="inlineStr">
        <is>
          <t>COG</t>
        </is>
      </c>
      <c r="C445" s="3" t="n">
        <v>2005</v>
      </c>
      <c r="D445" s="3" t="inlineStr">
        <is>
          <t>Overall</t>
        </is>
      </c>
      <c r="E445" s="3" t="inlineStr">
        <is>
          <t>Deciles</t>
        </is>
      </c>
      <c r="F445" s="3" t="inlineStr">
        <is>
          <t>mean</t>
        </is>
      </c>
      <c r="G445" s="3" t="n">
        <v>2</v>
      </c>
      <c r="H445" s="3" t="n">
        <v>-0.7963047623634338</v>
      </c>
      <c r="I445" s="3" t="n">
        <v>-0.7963047623634338</v>
      </c>
      <c r="J445" s="3" t="n">
        <v>-0.9467477798461914</v>
      </c>
      <c r="K445" s="3" t="n">
        <v>-0.9467477798461914</v>
      </c>
      <c r="L445" s="3" t="n">
        <v>-0.7963047623634338</v>
      </c>
      <c r="M445" s="3" t="n">
        <v>-0.7963047623634338</v>
      </c>
      <c r="N445" s="3" t="n">
        <v>-0.7963047623634338</v>
      </c>
      <c r="O445" s="3" t="n">
        <v>-0.7963047623634338</v>
      </c>
      <c r="P445" s="3" t="n">
        <v>-0.7963047623634338</v>
      </c>
      <c r="Q445" s="3" t="n">
        <v>-0.7963047623634338</v>
      </c>
      <c r="R445" s="3" t="n">
        <v>-0.7774887681007385</v>
      </c>
      <c r="S445" s="3" t="n">
        <v>-2.06133770942688</v>
      </c>
      <c r="T445" s="3" t="n">
        <v>-0.7114566564559937</v>
      </c>
      <c r="U445" s="3" t="n">
        <v>-0.9467477798461914</v>
      </c>
      <c r="V445" s="3" t="n">
        <v>-0.6910269260406494</v>
      </c>
      <c r="W445" s="3" t="n">
        <v>-0.7010405659675598</v>
      </c>
      <c r="X445" s="3" t="n">
        <v>-1.961075901985168</v>
      </c>
      <c r="Y445" s="3" t="n">
        <v>-0.7963047623634338</v>
      </c>
      <c r="Z445" s="3" t="n">
        <v>-2.06133770942688</v>
      </c>
      <c r="AA445" s="3" t="n">
        <v>-2.06133770942688</v>
      </c>
      <c r="AB445" s="3" t="n">
        <v>-1.961075901985168</v>
      </c>
      <c r="AC445" s="3" t="n">
        <v>-5.671716690063477</v>
      </c>
      <c r="AD445" s="3" t="n">
        <v>-0.9467477798461914</v>
      </c>
      <c r="AE445" s="3" t="n">
        <v>-0.9467477798461914</v>
      </c>
    </row>
    <row r="446">
      <c r="A446" s="3" t="inlineStr">
        <is>
          <t>COG.distn.dec.ove.mean.3</t>
        </is>
      </c>
      <c r="B446" s="3" t="inlineStr">
        <is>
          <t>COG</t>
        </is>
      </c>
      <c r="C446" s="3" t="n">
        <v>2005</v>
      </c>
      <c r="D446" s="3" t="inlineStr">
        <is>
          <t>Overall</t>
        </is>
      </c>
      <c r="E446" s="3" t="inlineStr">
        <is>
          <t>Deciles</t>
        </is>
      </c>
      <c r="F446" s="3" t="inlineStr">
        <is>
          <t>mean</t>
        </is>
      </c>
      <c r="G446" s="3" t="n">
        <v>3</v>
      </c>
      <c r="H446" s="3" t="n">
        <v>-0.7963047623634338</v>
      </c>
      <c r="I446" s="3" t="n">
        <v>-0.7963047623634338</v>
      </c>
      <c r="J446" s="3" t="n">
        <v>-0.9467477798461914</v>
      </c>
      <c r="K446" s="3" t="n">
        <v>-0.9467477798461914</v>
      </c>
      <c r="L446" s="3" t="n">
        <v>-0.7963047623634338</v>
      </c>
      <c r="M446" s="3" t="n">
        <v>-0.7963047623634338</v>
      </c>
      <c r="N446" s="3" t="n">
        <v>-0.7963047623634338</v>
      </c>
      <c r="O446" s="3" t="n">
        <v>-0.7963047623634338</v>
      </c>
      <c r="P446" s="3" t="n">
        <v>-0.7963047623634338</v>
      </c>
      <c r="Q446" s="3" t="n">
        <v>-0.7963047623634338</v>
      </c>
      <c r="R446" s="3" t="n">
        <v>-0.7774887681007385</v>
      </c>
      <c r="S446" s="3" t="n">
        <v>-2.06133770942688</v>
      </c>
      <c r="T446" s="3" t="n">
        <v>-0.7114566564559937</v>
      </c>
      <c r="U446" s="3" t="n">
        <v>-0.9467477798461914</v>
      </c>
      <c r="V446" s="3" t="n">
        <v>-0.6910269260406494</v>
      </c>
      <c r="W446" s="3" t="n">
        <v>-0.7010405659675598</v>
      </c>
      <c r="X446" s="3" t="n">
        <v>-1.961075901985168</v>
      </c>
      <c r="Y446" s="3" t="n">
        <v>-0.7963047623634338</v>
      </c>
      <c r="Z446" s="3" t="n">
        <v>-2.06133770942688</v>
      </c>
      <c r="AA446" s="3" t="n">
        <v>-2.06133770942688</v>
      </c>
      <c r="AB446" s="3" t="n">
        <v>-1.961075901985168</v>
      </c>
      <c r="AC446" s="3" t="n">
        <v>-5.671716690063477</v>
      </c>
      <c r="AD446" s="3" t="n">
        <v>-0.9467477798461914</v>
      </c>
      <c r="AE446" s="3" t="n">
        <v>-0.9467477798461914</v>
      </c>
    </row>
    <row r="447">
      <c r="A447" s="3" t="inlineStr">
        <is>
          <t>COG.distn.dec.ove.mean.4</t>
        </is>
      </c>
      <c r="B447" s="3" t="inlineStr">
        <is>
          <t>COG</t>
        </is>
      </c>
      <c r="C447" s="3" t="n">
        <v>2005</v>
      </c>
      <c r="D447" s="3" t="inlineStr">
        <is>
          <t>Overall</t>
        </is>
      </c>
      <c r="E447" s="3" t="inlineStr">
        <is>
          <t>Deciles</t>
        </is>
      </c>
      <c r="F447" s="3" t="inlineStr">
        <is>
          <t>mean</t>
        </is>
      </c>
      <c r="G447" s="3" t="n">
        <v>4</v>
      </c>
      <c r="H447" s="3" t="n">
        <v>-0.7900000214576721</v>
      </c>
      <c r="I447" s="3" t="n">
        <v>-0.7900000214576721</v>
      </c>
      <c r="J447" s="3" t="n">
        <v>-0.9010000228881836</v>
      </c>
      <c r="K447" s="3" t="n">
        <v>-0.9010000228881836</v>
      </c>
      <c r="L447" s="3" t="n">
        <v>-0.7900000214576721</v>
      </c>
      <c r="M447" s="3" t="n">
        <v>-0.7900000214576721</v>
      </c>
      <c r="N447" s="3" t="n">
        <v>-0.7900000214576721</v>
      </c>
      <c r="O447" s="3" t="n">
        <v>-0.7900000214576721</v>
      </c>
      <c r="P447" s="3" t="n">
        <v>-0.7900000214576721</v>
      </c>
      <c r="Q447" s="3" t="n">
        <v>-0.7900000214576721</v>
      </c>
      <c r="R447" s="3" t="n">
        <v>-0.7739999890327454</v>
      </c>
      <c r="S447" s="3" t="n">
        <v>-1.404000043869019</v>
      </c>
      <c r="T447" s="3" t="n">
        <v>-0.7099999785423279</v>
      </c>
      <c r="U447" s="3" t="n">
        <v>-0.9010000228881836</v>
      </c>
      <c r="V447" s="3" t="n">
        <v>-0.6840000152587891</v>
      </c>
      <c r="W447" s="3" t="n">
        <v>-0.5899999737739563</v>
      </c>
      <c r="X447" s="3" t="n">
        <v>-1.383999943733215</v>
      </c>
      <c r="Y447" s="3" t="n">
        <v>-0.7900000214576721</v>
      </c>
      <c r="Z447" s="3" t="n">
        <v>-1.404000043869019</v>
      </c>
      <c r="AA447" s="3" t="n">
        <v>-1.404000043869019</v>
      </c>
      <c r="AB447" s="3" t="n">
        <v>-1.383999943733215</v>
      </c>
      <c r="AC447" s="3" t="n">
        <v>-2.739000082015991</v>
      </c>
      <c r="AD447" s="3" t="n">
        <v>-0.9010000228881836</v>
      </c>
      <c r="AE447" s="3" t="n">
        <v>-0.9010000228881836</v>
      </c>
    </row>
    <row r="448">
      <c r="A448" s="3" t="inlineStr">
        <is>
          <t>COG.distn.dec.ove.mean.5</t>
        </is>
      </c>
      <c r="B448" s="3" t="inlineStr">
        <is>
          <t>COG</t>
        </is>
      </c>
      <c r="C448" s="3" t="n">
        <v>2005</v>
      </c>
      <c r="D448" s="3" t="inlineStr">
        <is>
          <t>Overall</t>
        </is>
      </c>
      <c r="E448" s="3" t="inlineStr">
        <is>
          <t>Deciles</t>
        </is>
      </c>
      <c r="F448" s="3" t="inlineStr">
        <is>
          <t>mean</t>
        </is>
      </c>
      <c r="G448" s="3" t="n">
        <v>5</v>
      </c>
      <c r="H448" s="3" t="n">
        <v>-0.7900000214576721</v>
      </c>
      <c r="I448" s="3" t="n">
        <v>-0.7900000214576721</v>
      </c>
      <c r="J448" s="3" t="n">
        <v>-0.9010000228881836</v>
      </c>
      <c r="K448" s="3" t="n">
        <v>-0.9010000228881836</v>
      </c>
      <c r="L448" s="3" t="n">
        <v>-0.7900000214576721</v>
      </c>
      <c r="M448" s="3" t="n">
        <v>-0.7900000214576721</v>
      </c>
      <c r="N448" s="3" t="n">
        <v>-0.7900000214576721</v>
      </c>
      <c r="O448" s="3" t="n">
        <v>-0.7900000214576721</v>
      </c>
      <c r="P448" s="3" t="n">
        <v>-0.7900000214576721</v>
      </c>
      <c r="Q448" s="3" t="n">
        <v>-0.7900000214576721</v>
      </c>
      <c r="R448" s="3" t="n">
        <v>-0.7739999890327454</v>
      </c>
      <c r="S448" s="3" t="n">
        <v>-1.404000043869019</v>
      </c>
      <c r="T448" s="3" t="n">
        <v>-0.7099999785423279</v>
      </c>
      <c r="U448" s="3" t="n">
        <v>-0.9010000228881836</v>
      </c>
      <c r="V448" s="3" t="n">
        <v>-0.6840000152587891</v>
      </c>
      <c r="W448" s="3" t="n">
        <v>-0.5899999737739563</v>
      </c>
      <c r="X448" s="3" t="n">
        <v>-1.383999943733215</v>
      </c>
      <c r="Y448" s="3" t="n">
        <v>-0.7900000214576721</v>
      </c>
      <c r="Z448" s="3" t="n">
        <v>-1.404000043869019</v>
      </c>
      <c r="AA448" s="3" t="n">
        <v>-1.404000043869019</v>
      </c>
      <c r="AB448" s="3" t="n">
        <v>-1.383999943733215</v>
      </c>
      <c r="AC448" s="3" t="n">
        <v>-2.739000082015991</v>
      </c>
      <c r="AD448" s="3" t="n">
        <v>-0.9010000228881836</v>
      </c>
      <c r="AE448" s="3" t="n">
        <v>-0.9010000228881836</v>
      </c>
    </row>
    <row r="449">
      <c r="A449" s="3" t="inlineStr">
        <is>
          <t>COG.distn.dec.ove.mean.6</t>
        </is>
      </c>
      <c r="B449" s="3" t="inlineStr">
        <is>
          <t>COG</t>
        </is>
      </c>
      <c r="C449" s="3" t="n">
        <v>2005</v>
      </c>
      <c r="D449" s="3" t="inlineStr">
        <is>
          <t>Overall</t>
        </is>
      </c>
      <c r="E449" s="3" t="inlineStr">
        <is>
          <t>Deciles</t>
        </is>
      </c>
      <c r="F449" s="3" t="inlineStr">
        <is>
          <t>mean</t>
        </is>
      </c>
      <c r="G449" s="3" t="n">
        <v>6</v>
      </c>
      <c r="H449" s="3" t="n">
        <v>-0.7900000214576721</v>
      </c>
      <c r="I449" s="3" t="n">
        <v>-0.7900000214576721</v>
      </c>
      <c r="J449" s="3" t="n">
        <v>-0.9010000228881836</v>
      </c>
      <c r="K449" s="3" t="n">
        <v>-0.9010000228881836</v>
      </c>
      <c r="L449" s="3" t="n">
        <v>-0.7900000214576721</v>
      </c>
      <c r="M449" s="3" t="n">
        <v>-0.7900000214576721</v>
      </c>
      <c r="N449" s="3" t="n">
        <v>-0.7900000214576721</v>
      </c>
      <c r="O449" s="3" t="n">
        <v>-0.7900000214576721</v>
      </c>
      <c r="P449" s="3" t="n">
        <v>-0.7900000214576721</v>
      </c>
      <c r="Q449" s="3" t="n">
        <v>-0.7900000214576721</v>
      </c>
      <c r="R449" s="3" t="n">
        <v>-0.7739999890327454</v>
      </c>
      <c r="S449" s="3" t="n">
        <v>-1.404000043869019</v>
      </c>
      <c r="T449" s="3" t="n">
        <v>-0.7099999785423279</v>
      </c>
      <c r="U449" s="3" t="n">
        <v>-0.9010000228881836</v>
      </c>
      <c r="V449" s="3" t="n">
        <v>-0.6840000152587891</v>
      </c>
      <c r="W449" s="3" t="n">
        <v>-0.5899999737739563</v>
      </c>
      <c r="X449" s="3" t="n">
        <v>-1.383999943733215</v>
      </c>
      <c r="Y449" s="3" t="n">
        <v>-0.7900000214576721</v>
      </c>
      <c r="Z449" s="3" t="n">
        <v>-1.404000043869019</v>
      </c>
      <c r="AA449" s="3" t="n">
        <v>-1.404000043869019</v>
      </c>
      <c r="AB449" s="3" t="n">
        <v>-1.383999943733215</v>
      </c>
      <c r="AC449" s="3" t="n">
        <v>-2.739000082015991</v>
      </c>
      <c r="AD449" s="3" t="n">
        <v>-0.9010000228881836</v>
      </c>
      <c r="AE449" s="3" t="n">
        <v>-0.9010000228881836</v>
      </c>
    </row>
    <row r="450">
      <c r="A450" s="3" t="inlineStr">
        <is>
          <t>COG.distn.dec.ove.mean.7</t>
        </is>
      </c>
      <c r="B450" s="3" t="inlineStr">
        <is>
          <t>COG</t>
        </is>
      </c>
      <c r="C450" s="3" t="n">
        <v>2005</v>
      </c>
      <c r="D450" s="3" t="inlineStr">
        <is>
          <t>Overall</t>
        </is>
      </c>
      <c r="E450" s="3" t="inlineStr">
        <is>
          <t>Deciles</t>
        </is>
      </c>
      <c r="F450" s="3" t="inlineStr">
        <is>
          <t>mean</t>
        </is>
      </c>
      <c r="G450" s="3" t="n">
        <v>7</v>
      </c>
      <c r="H450" s="3" t="n">
        <v>-0.7900000214576721</v>
      </c>
      <c r="I450" s="3" t="n">
        <v>-0.7900000214576721</v>
      </c>
      <c r="J450" s="3" t="n">
        <v>-0.9010000228881836</v>
      </c>
      <c r="K450" s="3" t="n">
        <v>-0.9010000228881836</v>
      </c>
      <c r="L450" s="3" t="n">
        <v>-0.7900000214576721</v>
      </c>
      <c r="M450" s="3" t="n">
        <v>-0.7900000214576721</v>
      </c>
      <c r="N450" s="3" t="n">
        <v>-0.7900000214576721</v>
      </c>
      <c r="O450" s="3" t="n">
        <v>-0.7900000214576721</v>
      </c>
      <c r="P450" s="3" t="n">
        <v>-0.7900000214576721</v>
      </c>
      <c r="Q450" s="3" t="n">
        <v>-0.7900000214576721</v>
      </c>
      <c r="R450" s="3" t="n">
        <v>-0.7739999890327454</v>
      </c>
      <c r="S450" s="3" t="n">
        <v>-1.404000043869019</v>
      </c>
      <c r="T450" s="3" t="n">
        <v>-0.7099999785423279</v>
      </c>
      <c r="U450" s="3" t="n">
        <v>-0.9010000228881836</v>
      </c>
      <c r="V450" s="3" t="n">
        <v>-0.6840000152587891</v>
      </c>
      <c r="W450" s="3" t="n">
        <v>-0.5899999737739563</v>
      </c>
      <c r="X450" s="3" t="n">
        <v>-1.383999943733215</v>
      </c>
      <c r="Y450" s="3" t="n">
        <v>-0.7900000214576721</v>
      </c>
      <c r="Z450" s="3" t="n">
        <v>-1.404000043869019</v>
      </c>
      <c r="AA450" s="3" t="n">
        <v>-1.404000043869019</v>
      </c>
      <c r="AB450" s="3" t="n">
        <v>-1.383999943733215</v>
      </c>
      <c r="AC450" s="3" t="n">
        <v>-2.739000082015991</v>
      </c>
      <c r="AD450" s="3" t="n">
        <v>-0.9010000228881836</v>
      </c>
      <c r="AE450" s="3" t="n">
        <v>-0.9010000228881836</v>
      </c>
    </row>
    <row r="451">
      <c r="A451" s="3" t="inlineStr">
        <is>
          <t>COG.distn.dec.ove.mean.8</t>
        </is>
      </c>
      <c r="B451" s="3" t="inlineStr">
        <is>
          <t>COG</t>
        </is>
      </c>
      <c r="C451" s="3" t="n">
        <v>2005</v>
      </c>
      <c r="D451" s="3" t="inlineStr">
        <is>
          <t>Overall</t>
        </is>
      </c>
      <c r="E451" s="3" t="inlineStr">
        <is>
          <t>Deciles</t>
        </is>
      </c>
      <c r="F451" s="3" t="inlineStr">
        <is>
          <t>mean</t>
        </is>
      </c>
      <c r="G451" s="3" t="n">
        <v>8</v>
      </c>
      <c r="H451" s="3" t="n">
        <v>-0.790380597114563</v>
      </c>
      <c r="I451" s="3" t="n">
        <v>-0.790380597114563</v>
      </c>
      <c r="J451" s="3" t="n">
        <v>-0.9034305214881897</v>
      </c>
      <c r="K451" s="3" t="n">
        <v>-0.9034305214881897</v>
      </c>
      <c r="L451" s="3" t="n">
        <v>-0.790380597114563</v>
      </c>
      <c r="M451" s="3" t="n">
        <v>-0.790380597114563</v>
      </c>
      <c r="N451" s="3" t="n">
        <v>-0.790380597114563</v>
      </c>
      <c r="O451" s="3" t="n">
        <v>-0.790380597114563</v>
      </c>
      <c r="P451" s="3" t="n">
        <v>-0.790380597114563</v>
      </c>
      <c r="Q451" s="3" t="n">
        <v>-0.790380597114563</v>
      </c>
      <c r="R451" s="3" t="n">
        <v>-0.7742545604705811</v>
      </c>
      <c r="S451" s="3" t="n">
        <v>-1.417064428329468</v>
      </c>
      <c r="T451" s="3" t="n">
        <v>-0.7100409269332886</v>
      </c>
      <c r="U451" s="3" t="n">
        <v>-0.9034305214881897</v>
      </c>
      <c r="V451" s="3" t="n">
        <v>-0.6847071051597595</v>
      </c>
      <c r="W451" s="3" t="n">
        <v>-0.6057994961738586</v>
      </c>
      <c r="X451" s="3" t="n">
        <v>-1.396610975265503</v>
      </c>
      <c r="Y451" s="3" t="n">
        <v>-0.790380597114563</v>
      </c>
      <c r="Z451" s="3" t="n">
        <v>-1.417064428329468</v>
      </c>
      <c r="AA451" s="3" t="n">
        <v>-1.417064428329468</v>
      </c>
      <c r="AB451" s="3" t="n">
        <v>-1.396610975265503</v>
      </c>
      <c r="AC451" s="3" t="n">
        <v>-2.778061866760254</v>
      </c>
      <c r="AD451" s="3" t="n">
        <v>-0.9034305214881897</v>
      </c>
      <c r="AE451" s="3" t="n">
        <v>-0.9034305214881897</v>
      </c>
    </row>
    <row r="452">
      <c r="A452" s="3" t="inlineStr">
        <is>
          <t>COG.distn.dec.ove.mean.9</t>
        </is>
      </c>
      <c r="B452" s="3" t="inlineStr">
        <is>
          <t>COG</t>
        </is>
      </c>
      <c r="C452" s="3" t="n">
        <v>2005</v>
      </c>
      <c r="D452" s="3" t="inlineStr">
        <is>
          <t>Overall</t>
        </is>
      </c>
      <c r="E452" s="3" t="inlineStr">
        <is>
          <t>Deciles</t>
        </is>
      </c>
      <c r="F452" s="3" t="inlineStr">
        <is>
          <t>mean</t>
        </is>
      </c>
      <c r="G452" s="3" t="n">
        <v>9</v>
      </c>
      <c r="H452" s="3" t="n">
        <v>-0.790380597114563</v>
      </c>
      <c r="I452" s="3" t="n">
        <v>-0.790380597114563</v>
      </c>
      <c r="J452" s="3" t="n">
        <v>-0.9034305214881897</v>
      </c>
      <c r="K452" s="3" t="n">
        <v>-0.9034305214881897</v>
      </c>
      <c r="L452" s="3" t="n">
        <v>-0.790380597114563</v>
      </c>
      <c r="M452" s="3" t="n">
        <v>-0.790380597114563</v>
      </c>
      <c r="N452" s="3" t="n">
        <v>-0.790380597114563</v>
      </c>
      <c r="O452" s="3" t="n">
        <v>-0.790380597114563</v>
      </c>
      <c r="P452" s="3" t="n">
        <v>-0.790380597114563</v>
      </c>
      <c r="Q452" s="3" t="n">
        <v>-0.790380597114563</v>
      </c>
      <c r="R452" s="3" t="n">
        <v>-0.7742545604705811</v>
      </c>
      <c r="S452" s="3" t="n">
        <v>-1.417064428329468</v>
      </c>
      <c r="T452" s="3" t="n">
        <v>-0.7100409269332886</v>
      </c>
      <c r="U452" s="3" t="n">
        <v>-0.9034305214881897</v>
      </c>
      <c r="V452" s="3" t="n">
        <v>-0.6847071051597595</v>
      </c>
      <c r="W452" s="3" t="n">
        <v>-0.6057994961738586</v>
      </c>
      <c r="X452" s="3" t="n">
        <v>-1.396610975265503</v>
      </c>
      <c r="Y452" s="3" t="n">
        <v>-0.790380597114563</v>
      </c>
      <c r="Z452" s="3" t="n">
        <v>-1.417064428329468</v>
      </c>
      <c r="AA452" s="3" t="n">
        <v>-1.417064428329468</v>
      </c>
      <c r="AB452" s="3" t="n">
        <v>-1.396610975265503</v>
      </c>
      <c r="AC452" s="3" t="n">
        <v>-2.778061866760254</v>
      </c>
      <c r="AD452" s="3" t="n">
        <v>-0.9034305214881897</v>
      </c>
      <c r="AE452" s="3" t="n">
        <v>-0.9034305214881897</v>
      </c>
    </row>
    <row r="453">
      <c r="A453" s="3" t="inlineStr">
        <is>
          <t>COG.distn.dec.ove.mean.10</t>
        </is>
      </c>
      <c r="B453" s="3" t="inlineStr">
        <is>
          <t>COG</t>
        </is>
      </c>
      <c r="C453" s="3" t="n">
        <v>2005</v>
      </c>
      <c r="D453" s="3" t="inlineStr">
        <is>
          <t>Overall</t>
        </is>
      </c>
      <c r="E453" s="3" t="inlineStr">
        <is>
          <t>Deciles</t>
        </is>
      </c>
      <c r="F453" s="3" t="inlineStr">
        <is>
          <t>mean</t>
        </is>
      </c>
      <c r="G453" s="3" t="n">
        <v>10</v>
      </c>
      <c r="H453" s="3" t="n">
        <v>-0.790380597114563</v>
      </c>
      <c r="I453" s="3" t="n">
        <v>-0.790380597114563</v>
      </c>
      <c r="J453" s="3" t="n">
        <v>-0.9034305214881897</v>
      </c>
      <c r="K453" s="3" t="n">
        <v>-0.9034305214881897</v>
      </c>
      <c r="L453" s="3" t="n">
        <v>-0.790380597114563</v>
      </c>
      <c r="M453" s="3" t="n">
        <v>-0.790380597114563</v>
      </c>
      <c r="N453" s="3" t="n">
        <v>-0.790380597114563</v>
      </c>
      <c r="O453" s="3" t="n">
        <v>-0.790380597114563</v>
      </c>
      <c r="P453" s="3" t="n">
        <v>-0.790380597114563</v>
      </c>
      <c r="Q453" s="3" t="n">
        <v>-0.790380597114563</v>
      </c>
      <c r="R453" s="3" t="n">
        <v>-0.7742545604705811</v>
      </c>
      <c r="S453" s="3" t="n">
        <v>-1.417064428329468</v>
      </c>
      <c r="T453" s="3" t="n">
        <v>-0.7100409269332886</v>
      </c>
      <c r="U453" s="3" t="n">
        <v>-0.9034305214881897</v>
      </c>
      <c r="V453" s="3" t="n">
        <v>-0.6847071051597595</v>
      </c>
      <c r="W453" s="3" t="n">
        <v>-0.6057994961738586</v>
      </c>
      <c r="X453" s="3" t="n">
        <v>-1.396610975265503</v>
      </c>
      <c r="Y453" s="3" t="n">
        <v>-0.790380597114563</v>
      </c>
      <c r="Z453" s="3" t="n">
        <v>-1.417064428329468</v>
      </c>
      <c r="AA453" s="3" t="n">
        <v>-1.417064428329468</v>
      </c>
      <c r="AB453" s="3" t="n">
        <v>-1.396610975265503</v>
      </c>
      <c r="AC453" s="3" t="n">
        <v>-2.778061866760254</v>
      </c>
      <c r="AD453" s="3" t="n">
        <v>-0.9034305214881897</v>
      </c>
      <c r="AE453" s="3" t="n">
        <v>-0.9034305214881897</v>
      </c>
    </row>
    <row r="454">
      <c r="A454" s="3" t="inlineStr">
        <is>
          <t>COG.distn.bkt.ove.mean.9999</t>
        </is>
      </c>
      <c r="B454" s="3" t="inlineStr">
        <is>
          <t>COG</t>
        </is>
      </c>
      <c r="C454" s="3" t="n">
        <v>2005</v>
      </c>
      <c r="D454" s="3" t="inlineStr">
        <is>
          <t>Overall</t>
        </is>
      </c>
      <c r="E454" s="3" t="inlineStr">
        <is>
          <t>Basket</t>
        </is>
      </c>
      <c r="F454" s="3" t="inlineStr">
        <is>
          <t>mean</t>
        </is>
      </c>
      <c r="G454" s="3" t="n">
        <v>9999</v>
      </c>
      <c r="H454" s="3" t="n">
        <v>-0.7920055985450745</v>
      </c>
      <c r="I454" s="3" t="n">
        <v>-0.7920055985450745</v>
      </c>
      <c r="J454" s="3" t="n">
        <v>-0.9154534935951233</v>
      </c>
      <c r="K454" s="3" t="n">
        <v>-0.9154534935951233</v>
      </c>
      <c r="L454" s="3" t="n">
        <v>-0.7920055985450745</v>
      </c>
      <c r="M454" s="3" t="n">
        <v>-0.7920055985450745</v>
      </c>
      <c r="N454" s="3" t="n">
        <v>-0.7920055985450745</v>
      </c>
      <c r="O454" s="3" t="n">
        <v>-0.7920055985450745</v>
      </c>
      <c r="P454" s="3" t="n">
        <v>-0.7920055985450745</v>
      </c>
      <c r="Q454" s="3" t="n">
        <v>-0.7920055985450745</v>
      </c>
      <c r="R454" s="3" t="n">
        <v>-0.7751230001449585</v>
      </c>
      <c r="S454" s="3" t="n">
        <v>-1.605120658874512</v>
      </c>
      <c r="T454" s="3" t="n">
        <v>-0.7104492783546448</v>
      </c>
      <c r="U454" s="3" t="n">
        <v>-0.9154534935951233</v>
      </c>
      <c r="V454" s="3" t="n">
        <v>-0.6863201856613159</v>
      </c>
      <c r="W454" s="3" t="n">
        <v>-0.6280519962310791</v>
      </c>
      <c r="X454" s="3" t="n">
        <v>-1.560906052589417</v>
      </c>
      <c r="Y454" s="3" t="n">
        <v>-0.7920055985450745</v>
      </c>
      <c r="Z454" s="3" t="n">
        <v>-1.605120658874512</v>
      </c>
      <c r="AA454" s="3" t="n">
        <v>-1.605120658874512</v>
      </c>
      <c r="AB454" s="3" t="n">
        <v>-1.560906052589417</v>
      </c>
      <c r="AC454" s="3" t="n">
        <v>-3.630533695220947</v>
      </c>
      <c r="AD454" s="3" t="n">
        <v>-0.9154534935951233</v>
      </c>
      <c r="AE454" s="3" t="n">
        <v>-0.9154534935951233</v>
      </c>
    </row>
    <row r="455">
      <c r="A455" s="3" t="inlineStr">
        <is>
          <t>COL.distn.dec.ove.mean.1</t>
        </is>
      </c>
      <c r="B455" s="3" t="inlineStr">
        <is>
          <t>COL</t>
        </is>
      </c>
      <c r="C455" s="3" t="n">
        <v>2005</v>
      </c>
      <c r="D455" s="3" t="inlineStr">
        <is>
          <t>Overall</t>
        </is>
      </c>
      <c r="E455" s="3" t="inlineStr">
        <is>
          <t>Deciles</t>
        </is>
      </c>
      <c r="F455" s="3" t="inlineStr">
        <is>
          <t>mean</t>
        </is>
      </c>
      <c r="G455" s="3" t="n">
        <v>1</v>
      </c>
      <c r="H455" s="3" t="n">
        <v>-0.7902569174766541</v>
      </c>
      <c r="I455" s="3" t="n">
        <v>-0.7902569174766541</v>
      </c>
      <c r="J455" s="3" t="n">
        <v>-0.9015644788742065</v>
      </c>
      <c r="K455" s="3" t="n">
        <v>-0.9015644788742065</v>
      </c>
      <c r="L455" s="3" t="n">
        <v>-0.7902569174766541</v>
      </c>
      <c r="M455" s="3" t="n">
        <v>-0.7902569174766541</v>
      </c>
      <c r="N455" s="3" t="n">
        <v>-0.7902569174766541</v>
      </c>
      <c r="O455" s="3" t="n">
        <v>-0.7902569174766541</v>
      </c>
      <c r="P455" s="3" t="n">
        <v>-0.7902569174766541</v>
      </c>
      <c r="Q455" s="3" t="n">
        <v>-0.7902569174766541</v>
      </c>
      <c r="R455" s="3" t="n">
        <v>-0.7744752764701843</v>
      </c>
      <c r="S455" s="3" t="n">
        <v>-1.490212082862854</v>
      </c>
      <c r="T455" s="3" t="n">
        <v>-0.7104546427726746</v>
      </c>
      <c r="U455" s="3" t="n">
        <v>-0.9015644788742065</v>
      </c>
      <c r="V455" s="3" t="n">
        <v>-0.6849652528762817</v>
      </c>
      <c r="W455" s="3" t="n">
        <v>-0.6297482848167419</v>
      </c>
      <c r="X455" s="3" t="n">
        <v>-1.433965921401978</v>
      </c>
      <c r="Y455" s="3" t="n">
        <v>-0.7902569174766541</v>
      </c>
      <c r="Z455" s="3" t="n">
        <v>-1.490212082862854</v>
      </c>
      <c r="AA455" s="3" t="n">
        <v>-1.490212082862854</v>
      </c>
      <c r="AB455" s="3" t="n">
        <v>-1.433965921401978</v>
      </c>
      <c r="AC455" s="3" t="n">
        <v>-2.32956600189209</v>
      </c>
      <c r="AD455" s="3" t="n">
        <v>-0.9015644788742065</v>
      </c>
      <c r="AE455" s="3" t="n">
        <v>-0.9015644788742065</v>
      </c>
    </row>
    <row r="456">
      <c r="A456" s="3" t="inlineStr">
        <is>
          <t>COL.distn.dec.ove.mean.2</t>
        </is>
      </c>
      <c r="B456" s="3" t="inlineStr">
        <is>
          <t>COL</t>
        </is>
      </c>
      <c r="C456" s="3" t="n">
        <v>2005</v>
      </c>
      <c r="D456" s="3" t="inlineStr">
        <is>
          <t>Overall</t>
        </is>
      </c>
      <c r="E456" s="3" t="inlineStr">
        <is>
          <t>Deciles</t>
        </is>
      </c>
      <c r="F456" s="3" t="inlineStr">
        <is>
          <t>mean</t>
        </is>
      </c>
      <c r="G456" s="3" t="n">
        <v>2</v>
      </c>
      <c r="H456" s="3" t="n">
        <v>-0.7902569174766541</v>
      </c>
      <c r="I456" s="3" t="n">
        <v>-0.7902569174766541</v>
      </c>
      <c r="J456" s="3" t="n">
        <v>-0.9015644788742065</v>
      </c>
      <c r="K456" s="3" t="n">
        <v>-0.9015644788742065</v>
      </c>
      <c r="L456" s="3" t="n">
        <v>-0.7902569174766541</v>
      </c>
      <c r="M456" s="3" t="n">
        <v>-0.7902569174766541</v>
      </c>
      <c r="N456" s="3" t="n">
        <v>-0.7902569174766541</v>
      </c>
      <c r="O456" s="3" t="n">
        <v>-0.7902569174766541</v>
      </c>
      <c r="P456" s="3" t="n">
        <v>-0.7902569174766541</v>
      </c>
      <c r="Q456" s="3" t="n">
        <v>-0.7902569174766541</v>
      </c>
      <c r="R456" s="3" t="n">
        <v>-0.7744752764701843</v>
      </c>
      <c r="S456" s="3" t="n">
        <v>-1.490212082862854</v>
      </c>
      <c r="T456" s="3" t="n">
        <v>-0.7104546427726746</v>
      </c>
      <c r="U456" s="3" t="n">
        <v>-0.9015644788742065</v>
      </c>
      <c r="V456" s="3" t="n">
        <v>-0.6849652528762817</v>
      </c>
      <c r="W456" s="3" t="n">
        <v>-0.6297482848167419</v>
      </c>
      <c r="X456" s="3" t="n">
        <v>-1.433965921401978</v>
      </c>
      <c r="Y456" s="3" t="n">
        <v>-0.7902569174766541</v>
      </c>
      <c r="Z456" s="3" t="n">
        <v>-1.490212082862854</v>
      </c>
      <c r="AA456" s="3" t="n">
        <v>-1.490212082862854</v>
      </c>
      <c r="AB456" s="3" t="n">
        <v>-1.433965921401978</v>
      </c>
      <c r="AC456" s="3" t="n">
        <v>-2.32956600189209</v>
      </c>
      <c r="AD456" s="3" t="n">
        <v>-0.9015644788742065</v>
      </c>
      <c r="AE456" s="3" t="n">
        <v>-0.9015644788742065</v>
      </c>
    </row>
    <row r="457">
      <c r="A457" s="3" t="inlineStr">
        <is>
          <t>COL.distn.dec.ove.mean.3</t>
        </is>
      </c>
      <c r="B457" s="3" t="inlineStr">
        <is>
          <t>COL</t>
        </is>
      </c>
      <c r="C457" s="3" t="n">
        <v>2005</v>
      </c>
      <c r="D457" s="3" t="inlineStr">
        <is>
          <t>Overall</t>
        </is>
      </c>
      <c r="E457" s="3" t="inlineStr">
        <is>
          <t>Deciles</t>
        </is>
      </c>
      <c r="F457" s="3" t="inlineStr">
        <is>
          <t>mean</t>
        </is>
      </c>
      <c r="G457" s="3" t="n">
        <v>3</v>
      </c>
      <c r="H457" s="3" t="n">
        <v>-0.7902569174766541</v>
      </c>
      <c r="I457" s="3" t="n">
        <v>-0.7902569174766541</v>
      </c>
      <c r="J457" s="3" t="n">
        <v>-0.9015644788742065</v>
      </c>
      <c r="K457" s="3" t="n">
        <v>-0.9015644788742065</v>
      </c>
      <c r="L457" s="3" t="n">
        <v>-0.7902569174766541</v>
      </c>
      <c r="M457" s="3" t="n">
        <v>-0.7902569174766541</v>
      </c>
      <c r="N457" s="3" t="n">
        <v>-0.7902569174766541</v>
      </c>
      <c r="O457" s="3" t="n">
        <v>-0.7902569174766541</v>
      </c>
      <c r="P457" s="3" t="n">
        <v>-0.7902569174766541</v>
      </c>
      <c r="Q457" s="3" t="n">
        <v>-0.7902569174766541</v>
      </c>
      <c r="R457" s="3" t="n">
        <v>-0.7744752764701843</v>
      </c>
      <c r="S457" s="3" t="n">
        <v>-1.490212082862854</v>
      </c>
      <c r="T457" s="3" t="n">
        <v>-0.7104546427726746</v>
      </c>
      <c r="U457" s="3" t="n">
        <v>-0.9015644788742065</v>
      </c>
      <c r="V457" s="3" t="n">
        <v>-0.6849652528762817</v>
      </c>
      <c r="W457" s="3" t="n">
        <v>-0.6297482848167419</v>
      </c>
      <c r="X457" s="3" t="n">
        <v>-1.433965921401978</v>
      </c>
      <c r="Y457" s="3" t="n">
        <v>-0.7902569174766541</v>
      </c>
      <c r="Z457" s="3" t="n">
        <v>-1.490212082862854</v>
      </c>
      <c r="AA457" s="3" t="n">
        <v>-1.490212082862854</v>
      </c>
      <c r="AB457" s="3" t="n">
        <v>-1.433965921401978</v>
      </c>
      <c r="AC457" s="3" t="n">
        <v>-2.32956600189209</v>
      </c>
      <c r="AD457" s="3" t="n">
        <v>-0.9015644788742065</v>
      </c>
      <c r="AE457" s="3" t="n">
        <v>-0.9015644788742065</v>
      </c>
    </row>
    <row r="458">
      <c r="A458" s="3" t="inlineStr">
        <is>
          <t>COL.distn.dec.ove.mean.4</t>
        </is>
      </c>
      <c r="B458" s="3" t="inlineStr">
        <is>
          <t>COL</t>
        </is>
      </c>
      <c r="C458" s="3" t="n">
        <v>2005</v>
      </c>
      <c r="D458" s="3" t="inlineStr">
        <is>
          <t>Overall</t>
        </is>
      </c>
      <c r="E458" s="3" t="inlineStr">
        <is>
          <t>Deciles</t>
        </is>
      </c>
      <c r="F458" s="3" t="inlineStr">
        <is>
          <t>mean</t>
        </is>
      </c>
      <c r="G458" s="3" t="n">
        <v>4</v>
      </c>
      <c r="H458" s="3" t="n">
        <v>-0.7839999794960022</v>
      </c>
      <c r="I458" s="3" t="n">
        <v>-0.7839999794960022</v>
      </c>
      <c r="J458" s="3" t="n">
        <v>-0.8579999804496765</v>
      </c>
      <c r="K458" s="3" t="n">
        <v>-0.8579999804496765</v>
      </c>
      <c r="L458" s="3" t="n">
        <v>-0.7839999794960022</v>
      </c>
      <c r="M458" s="3" t="n">
        <v>-0.7839999794960022</v>
      </c>
      <c r="N458" s="3" t="n">
        <v>-0.7839999794960022</v>
      </c>
      <c r="O458" s="3" t="n">
        <v>-0.7839999794960022</v>
      </c>
      <c r="P458" s="3" t="n">
        <v>-0.7839999794960022</v>
      </c>
      <c r="Q458" s="3" t="n">
        <v>-0.7839999794960022</v>
      </c>
      <c r="R458" s="3" t="n">
        <v>-0.7710000276565552</v>
      </c>
      <c r="S458" s="3" t="n">
        <v>-1.014999985694885</v>
      </c>
      <c r="T458" s="3" t="n">
        <v>-0.7089999914169312</v>
      </c>
      <c r="U458" s="3" t="n">
        <v>-0.8579999804496765</v>
      </c>
      <c r="V458" s="3" t="n">
        <v>-0.6779999732971191</v>
      </c>
      <c r="W458" s="3" t="n">
        <v>-0.5299999713897705</v>
      </c>
      <c r="X458" s="3" t="n">
        <v>-1.01199996471405</v>
      </c>
      <c r="Y458" s="3" t="n">
        <v>-0.7839999794960022</v>
      </c>
      <c r="Z458" s="3" t="n">
        <v>-1.014999985694885</v>
      </c>
      <c r="AA458" s="3" t="n">
        <v>-1.014999985694885</v>
      </c>
      <c r="AB458" s="3" t="n">
        <v>-1.01199996471405</v>
      </c>
      <c r="AC458" s="3" t="n">
        <v>-1.125</v>
      </c>
      <c r="AD458" s="3" t="n">
        <v>-0.8579999804496765</v>
      </c>
      <c r="AE458" s="3" t="n">
        <v>-0.8579999804496765</v>
      </c>
    </row>
    <row r="459">
      <c r="A459" s="3" t="inlineStr">
        <is>
          <t>COL.distn.dec.ove.mean.5</t>
        </is>
      </c>
      <c r="B459" s="3" t="inlineStr">
        <is>
          <t>COL</t>
        </is>
      </c>
      <c r="C459" s="3" t="n">
        <v>2005</v>
      </c>
      <c r="D459" s="3" t="inlineStr">
        <is>
          <t>Overall</t>
        </is>
      </c>
      <c r="E459" s="3" t="inlineStr">
        <is>
          <t>Deciles</t>
        </is>
      </c>
      <c r="F459" s="3" t="inlineStr">
        <is>
          <t>mean</t>
        </is>
      </c>
      <c r="G459" s="3" t="n">
        <v>5</v>
      </c>
      <c r="H459" s="3" t="n">
        <v>-0.7839999794960022</v>
      </c>
      <c r="I459" s="3" t="n">
        <v>-0.7839999794960022</v>
      </c>
      <c r="J459" s="3" t="n">
        <v>-0.8579999804496765</v>
      </c>
      <c r="K459" s="3" t="n">
        <v>-0.8579999804496765</v>
      </c>
      <c r="L459" s="3" t="n">
        <v>-0.7839999794960022</v>
      </c>
      <c r="M459" s="3" t="n">
        <v>-0.7839999794960022</v>
      </c>
      <c r="N459" s="3" t="n">
        <v>-0.7839999794960022</v>
      </c>
      <c r="O459" s="3" t="n">
        <v>-0.7839999794960022</v>
      </c>
      <c r="P459" s="3" t="n">
        <v>-0.7839999794960022</v>
      </c>
      <c r="Q459" s="3" t="n">
        <v>-0.7839999794960022</v>
      </c>
      <c r="R459" s="3" t="n">
        <v>-0.7710000276565552</v>
      </c>
      <c r="S459" s="3" t="n">
        <v>-1.014999985694885</v>
      </c>
      <c r="T459" s="3" t="n">
        <v>-0.7089999914169312</v>
      </c>
      <c r="U459" s="3" t="n">
        <v>-0.8579999804496765</v>
      </c>
      <c r="V459" s="3" t="n">
        <v>-0.6779999732971191</v>
      </c>
      <c r="W459" s="3" t="n">
        <v>-0.5299999713897705</v>
      </c>
      <c r="X459" s="3" t="n">
        <v>-1.01199996471405</v>
      </c>
      <c r="Y459" s="3" t="n">
        <v>-0.7839999794960022</v>
      </c>
      <c r="Z459" s="3" t="n">
        <v>-1.014999985694885</v>
      </c>
      <c r="AA459" s="3" t="n">
        <v>-1.014999985694885</v>
      </c>
      <c r="AB459" s="3" t="n">
        <v>-1.01199996471405</v>
      </c>
      <c r="AC459" s="3" t="n">
        <v>-1.125</v>
      </c>
      <c r="AD459" s="3" t="n">
        <v>-0.8579999804496765</v>
      </c>
      <c r="AE459" s="3" t="n">
        <v>-0.8579999804496765</v>
      </c>
    </row>
    <row r="460">
      <c r="A460" s="3" t="inlineStr">
        <is>
          <t>COL.distn.dec.ove.mean.6</t>
        </is>
      </c>
      <c r="B460" s="3" t="inlineStr">
        <is>
          <t>COL</t>
        </is>
      </c>
      <c r="C460" s="3" t="n">
        <v>2005</v>
      </c>
      <c r="D460" s="3" t="inlineStr">
        <is>
          <t>Overall</t>
        </is>
      </c>
      <c r="E460" s="3" t="inlineStr">
        <is>
          <t>Deciles</t>
        </is>
      </c>
      <c r="F460" s="3" t="inlineStr">
        <is>
          <t>mean</t>
        </is>
      </c>
      <c r="G460" s="3" t="n">
        <v>6</v>
      </c>
      <c r="H460" s="3" t="n">
        <v>-0.7839999794960022</v>
      </c>
      <c r="I460" s="3" t="n">
        <v>-0.7839999794960022</v>
      </c>
      <c r="J460" s="3" t="n">
        <v>-0.8579999804496765</v>
      </c>
      <c r="K460" s="3" t="n">
        <v>-0.8579999804496765</v>
      </c>
      <c r="L460" s="3" t="n">
        <v>-0.7839999794960022</v>
      </c>
      <c r="M460" s="3" t="n">
        <v>-0.7839999794960022</v>
      </c>
      <c r="N460" s="3" t="n">
        <v>-0.7839999794960022</v>
      </c>
      <c r="O460" s="3" t="n">
        <v>-0.7839999794960022</v>
      </c>
      <c r="P460" s="3" t="n">
        <v>-0.7839999794960022</v>
      </c>
      <c r="Q460" s="3" t="n">
        <v>-0.7839999794960022</v>
      </c>
      <c r="R460" s="3" t="n">
        <v>-0.7710000276565552</v>
      </c>
      <c r="S460" s="3" t="n">
        <v>-1.014999985694885</v>
      </c>
      <c r="T460" s="3" t="n">
        <v>-0.7089999914169312</v>
      </c>
      <c r="U460" s="3" t="n">
        <v>-0.8579999804496765</v>
      </c>
      <c r="V460" s="3" t="n">
        <v>-0.6779999732971191</v>
      </c>
      <c r="W460" s="3" t="n">
        <v>-0.5299999713897705</v>
      </c>
      <c r="X460" s="3" t="n">
        <v>-1.01199996471405</v>
      </c>
      <c r="Y460" s="3" t="n">
        <v>-0.7839999794960022</v>
      </c>
      <c r="Z460" s="3" t="n">
        <v>-1.014999985694885</v>
      </c>
      <c r="AA460" s="3" t="n">
        <v>-1.014999985694885</v>
      </c>
      <c r="AB460" s="3" t="n">
        <v>-1.01199996471405</v>
      </c>
      <c r="AC460" s="3" t="n">
        <v>-1.125</v>
      </c>
      <c r="AD460" s="3" t="n">
        <v>-0.8579999804496765</v>
      </c>
      <c r="AE460" s="3" t="n">
        <v>-0.8579999804496765</v>
      </c>
    </row>
    <row r="461">
      <c r="A461" s="3" t="inlineStr">
        <is>
          <t>COL.distn.dec.ove.mean.7</t>
        </is>
      </c>
      <c r="B461" s="3" t="inlineStr">
        <is>
          <t>COL</t>
        </is>
      </c>
      <c r="C461" s="3" t="n">
        <v>2005</v>
      </c>
      <c r="D461" s="3" t="inlineStr">
        <is>
          <t>Overall</t>
        </is>
      </c>
      <c r="E461" s="3" t="inlineStr">
        <is>
          <t>Deciles</t>
        </is>
      </c>
      <c r="F461" s="3" t="inlineStr">
        <is>
          <t>mean</t>
        </is>
      </c>
      <c r="G461" s="3" t="n">
        <v>7</v>
      </c>
      <c r="H461" s="3" t="n">
        <v>-0.7839999794960022</v>
      </c>
      <c r="I461" s="3" t="n">
        <v>-0.7839999794960022</v>
      </c>
      <c r="J461" s="3" t="n">
        <v>-0.8579999804496765</v>
      </c>
      <c r="K461" s="3" t="n">
        <v>-0.8579999804496765</v>
      </c>
      <c r="L461" s="3" t="n">
        <v>-0.7839999794960022</v>
      </c>
      <c r="M461" s="3" t="n">
        <v>-0.7839999794960022</v>
      </c>
      <c r="N461" s="3" t="n">
        <v>-0.7839999794960022</v>
      </c>
      <c r="O461" s="3" t="n">
        <v>-0.7839999794960022</v>
      </c>
      <c r="P461" s="3" t="n">
        <v>-0.7839999794960022</v>
      </c>
      <c r="Q461" s="3" t="n">
        <v>-0.7839999794960022</v>
      </c>
      <c r="R461" s="3" t="n">
        <v>-0.7710000276565552</v>
      </c>
      <c r="S461" s="3" t="n">
        <v>-1.014999985694885</v>
      </c>
      <c r="T461" s="3" t="n">
        <v>-0.7089999914169312</v>
      </c>
      <c r="U461" s="3" t="n">
        <v>-0.8579999804496765</v>
      </c>
      <c r="V461" s="3" t="n">
        <v>-0.6779999732971191</v>
      </c>
      <c r="W461" s="3" t="n">
        <v>-0.5299999713897705</v>
      </c>
      <c r="X461" s="3" t="n">
        <v>-1.01199996471405</v>
      </c>
      <c r="Y461" s="3" t="n">
        <v>-0.7839999794960022</v>
      </c>
      <c r="Z461" s="3" t="n">
        <v>-1.014999985694885</v>
      </c>
      <c r="AA461" s="3" t="n">
        <v>-1.014999985694885</v>
      </c>
      <c r="AB461" s="3" t="n">
        <v>-1.01199996471405</v>
      </c>
      <c r="AC461" s="3" t="n">
        <v>-1.125</v>
      </c>
      <c r="AD461" s="3" t="n">
        <v>-0.8579999804496765</v>
      </c>
      <c r="AE461" s="3" t="n">
        <v>-0.8579999804496765</v>
      </c>
    </row>
    <row r="462">
      <c r="A462" s="3" t="inlineStr">
        <is>
          <t>COL.distn.dec.ove.mean.8</t>
        </is>
      </c>
      <c r="B462" s="3" t="inlineStr">
        <is>
          <t>COL</t>
        </is>
      </c>
      <c r="C462" s="3" t="n">
        <v>2005</v>
      </c>
      <c r="D462" s="3" t="inlineStr">
        <is>
          <t>Overall</t>
        </is>
      </c>
      <c r="E462" s="3" t="inlineStr">
        <is>
          <t>Deciles</t>
        </is>
      </c>
      <c r="F462" s="3" t="inlineStr">
        <is>
          <t>mean</t>
        </is>
      </c>
      <c r="G462" s="3" t="n">
        <v>8</v>
      </c>
      <c r="H462" s="3" t="n">
        <v>-0.7843776941299438</v>
      </c>
      <c r="I462" s="3" t="n">
        <v>-0.7843776941299438</v>
      </c>
      <c r="J462" s="3" t="n">
        <v>-0.8603145480155945</v>
      </c>
      <c r="K462" s="3" t="n">
        <v>-0.8603145480155945</v>
      </c>
      <c r="L462" s="3" t="n">
        <v>-0.7843776941299438</v>
      </c>
      <c r="M462" s="3" t="n">
        <v>-0.7843776941299438</v>
      </c>
      <c r="N462" s="3" t="n">
        <v>-0.7843776941299438</v>
      </c>
      <c r="O462" s="3" t="n">
        <v>-0.7843776941299438</v>
      </c>
      <c r="P462" s="3" t="n">
        <v>-0.7843776941299438</v>
      </c>
      <c r="Q462" s="3" t="n">
        <v>-0.7843776941299438</v>
      </c>
      <c r="R462" s="3" t="n">
        <v>-0.7712535858154297</v>
      </c>
      <c r="S462" s="3" t="n">
        <v>-1.024444699287415</v>
      </c>
      <c r="T462" s="3" t="n">
        <v>-0.7090408802032471</v>
      </c>
      <c r="U462" s="3" t="n">
        <v>-0.8603145480155945</v>
      </c>
      <c r="V462" s="3" t="n">
        <v>-0.6787009239196777</v>
      </c>
      <c r="W462" s="3" t="n">
        <v>-0.5441927909851074</v>
      </c>
      <c r="X462" s="3" t="n">
        <v>-1.021221280097961</v>
      </c>
      <c r="Y462" s="3" t="n">
        <v>-0.7843776941299438</v>
      </c>
      <c r="Z462" s="3" t="n">
        <v>-1.024444699287415</v>
      </c>
      <c r="AA462" s="3" t="n">
        <v>-1.024444699287415</v>
      </c>
      <c r="AB462" s="3" t="n">
        <v>-1.021221280097961</v>
      </c>
      <c r="AC462" s="3" t="n">
        <v>-1.141044020652771</v>
      </c>
      <c r="AD462" s="3" t="n">
        <v>-0.8603145480155945</v>
      </c>
      <c r="AE462" s="3" t="n">
        <v>-0.8603145480155945</v>
      </c>
    </row>
    <row r="463">
      <c r="A463" s="3" t="inlineStr">
        <is>
          <t>COL.distn.dec.ove.mean.9</t>
        </is>
      </c>
      <c r="B463" s="3" t="inlineStr">
        <is>
          <t>COL</t>
        </is>
      </c>
      <c r="C463" s="3" t="n">
        <v>2005</v>
      </c>
      <c r="D463" s="3" t="inlineStr">
        <is>
          <t>Overall</t>
        </is>
      </c>
      <c r="E463" s="3" t="inlineStr">
        <is>
          <t>Deciles</t>
        </is>
      </c>
      <c r="F463" s="3" t="inlineStr">
        <is>
          <t>mean</t>
        </is>
      </c>
      <c r="G463" s="3" t="n">
        <v>9</v>
      </c>
      <c r="H463" s="3" t="n">
        <v>-0.7843776941299438</v>
      </c>
      <c r="I463" s="3" t="n">
        <v>-0.7843776941299438</v>
      </c>
      <c r="J463" s="3" t="n">
        <v>-0.8603145480155945</v>
      </c>
      <c r="K463" s="3" t="n">
        <v>-0.8603145480155945</v>
      </c>
      <c r="L463" s="3" t="n">
        <v>-0.7843776941299438</v>
      </c>
      <c r="M463" s="3" t="n">
        <v>-0.7843776941299438</v>
      </c>
      <c r="N463" s="3" t="n">
        <v>-0.7843776941299438</v>
      </c>
      <c r="O463" s="3" t="n">
        <v>-0.7843776941299438</v>
      </c>
      <c r="P463" s="3" t="n">
        <v>-0.7843776941299438</v>
      </c>
      <c r="Q463" s="3" t="n">
        <v>-0.7843776941299438</v>
      </c>
      <c r="R463" s="3" t="n">
        <v>-0.7712535858154297</v>
      </c>
      <c r="S463" s="3" t="n">
        <v>-1.024444699287415</v>
      </c>
      <c r="T463" s="3" t="n">
        <v>-0.7090408802032471</v>
      </c>
      <c r="U463" s="3" t="n">
        <v>-0.8603145480155945</v>
      </c>
      <c r="V463" s="3" t="n">
        <v>-0.6787009239196777</v>
      </c>
      <c r="W463" s="3" t="n">
        <v>-0.5441927909851074</v>
      </c>
      <c r="X463" s="3" t="n">
        <v>-1.021221280097961</v>
      </c>
      <c r="Y463" s="3" t="n">
        <v>-0.7843776941299438</v>
      </c>
      <c r="Z463" s="3" t="n">
        <v>-1.024444699287415</v>
      </c>
      <c r="AA463" s="3" t="n">
        <v>-1.024444699287415</v>
      </c>
      <c r="AB463" s="3" t="n">
        <v>-1.021221280097961</v>
      </c>
      <c r="AC463" s="3" t="n">
        <v>-1.141044020652771</v>
      </c>
      <c r="AD463" s="3" t="n">
        <v>-0.8603145480155945</v>
      </c>
      <c r="AE463" s="3" t="n">
        <v>-0.8603145480155945</v>
      </c>
    </row>
    <row r="464">
      <c r="A464" s="3" t="inlineStr">
        <is>
          <t>COL.distn.dec.ove.mean.10</t>
        </is>
      </c>
      <c r="B464" s="3" t="inlineStr">
        <is>
          <t>COL</t>
        </is>
      </c>
      <c r="C464" s="3" t="n">
        <v>2005</v>
      </c>
      <c r="D464" s="3" t="inlineStr">
        <is>
          <t>Overall</t>
        </is>
      </c>
      <c r="E464" s="3" t="inlineStr">
        <is>
          <t>Deciles</t>
        </is>
      </c>
      <c r="F464" s="3" t="inlineStr">
        <is>
          <t>mean</t>
        </is>
      </c>
      <c r="G464" s="3" t="n">
        <v>10</v>
      </c>
      <c r="H464" s="3" t="n">
        <v>-0.7843776941299438</v>
      </c>
      <c r="I464" s="3" t="n">
        <v>-0.7843776941299438</v>
      </c>
      <c r="J464" s="3" t="n">
        <v>-0.8603145480155945</v>
      </c>
      <c r="K464" s="3" t="n">
        <v>-0.8603145480155945</v>
      </c>
      <c r="L464" s="3" t="n">
        <v>-0.7843776941299438</v>
      </c>
      <c r="M464" s="3" t="n">
        <v>-0.7843776941299438</v>
      </c>
      <c r="N464" s="3" t="n">
        <v>-0.7843776941299438</v>
      </c>
      <c r="O464" s="3" t="n">
        <v>-0.7843776941299438</v>
      </c>
      <c r="P464" s="3" t="n">
        <v>-0.7843776941299438</v>
      </c>
      <c r="Q464" s="3" t="n">
        <v>-0.7843776941299438</v>
      </c>
      <c r="R464" s="3" t="n">
        <v>-0.7712535858154297</v>
      </c>
      <c r="S464" s="3" t="n">
        <v>-1.024444699287415</v>
      </c>
      <c r="T464" s="3" t="n">
        <v>-0.7090408802032471</v>
      </c>
      <c r="U464" s="3" t="n">
        <v>-0.8603145480155945</v>
      </c>
      <c r="V464" s="3" t="n">
        <v>-0.6787009239196777</v>
      </c>
      <c r="W464" s="3" t="n">
        <v>-0.5441927909851074</v>
      </c>
      <c r="X464" s="3" t="n">
        <v>-1.021221280097961</v>
      </c>
      <c r="Y464" s="3" t="n">
        <v>-0.7843776941299438</v>
      </c>
      <c r="Z464" s="3" t="n">
        <v>-1.024444699287415</v>
      </c>
      <c r="AA464" s="3" t="n">
        <v>-1.024444699287415</v>
      </c>
      <c r="AB464" s="3" t="n">
        <v>-1.021221280097961</v>
      </c>
      <c r="AC464" s="3" t="n">
        <v>-1.141044020652771</v>
      </c>
      <c r="AD464" s="3" t="n">
        <v>-0.8603145480155945</v>
      </c>
      <c r="AE464" s="3" t="n">
        <v>-0.8603145480155945</v>
      </c>
    </row>
    <row r="465">
      <c r="A465" s="3" t="inlineStr">
        <is>
          <t>COL.distn.bkt.ove.mean.9999</t>
        </is>
      </c>
      <c r="B465" s="3" t="inlineStr">
        <is>
          <t>COL</t>
        </is>
      </c>
      <c r="C465" s="3" t="n">
        <v>2005</v>
      </c>
      <c r="D465" s="3" t="inlineStr">
        <is>
          <t>Overall</t>
        </is>
      </c>
      <c r="E465" s="3" t="inlineStr">
        <is>
          <t>Basket</t>
        </is>
      </c>
      <c r="F465" s="3" t="inlineStr">
        <is>
          <t>mean</t>
        </is>
      </c>
      <c r="G465" s="3" t="n">
        <v>9999</v>
      </c>
      <c r="H465" s="3" t="n">
        <v>-0.7859903573989868</v>
      </c>
      <c r="I465" s="3" t="n">
        <v>-0.7859903573989868</v>
      </c>
      <c r="J465" s="3" t="n">
        <v>-0.8717637062072754</v>
      </c>
      <c r="K465" s="3" t="n">
        <v>-0.8717637062072754</v>
      </c>
      <c r="L465" s="3" t="n">
        <v>-0.7859903573989868</v>
      </c>
      <c r="M465" s="3" t="n">
        <v>-0.7859903573989868</v>
      </c>
      <c r="N465" s="3" t="n">
        <v>-0.7859903573989868</v>
      </c>
      <c r="O465" s="3" t="n">
        <v>-0.7859903573989868</v>
      </c>
      <c r="P465" s="3" t="n">
        <v>-0.7859903573989868</v>
      </c>
      <c r="Q465" s="3" t="n">
        <v>-0.7859903573989868</v>
      </c>
      <c r="R465" s="3" t="n">
        <v>-0.7721186876296997</v>
      </c>
      <c r="S465" s="3" t="n">
        <v>-1.160397052764893</v>
      </c>
      <c r="T465" s="3" t="n">
        <v>-0.7094486355781555</v>
      </c>
      <c r="U465" s="3" t="n">
        <v>-0.8717637062072754</v>
      </c>
      <c r="V465" s="3" t="n">
        <v>-0.6802998185157776</v>
      </c>
      <c r="W465" s="3" t="n">
        <v>-0.5641822814941406</v>
      </c>
      <c r="X465" s="3" t="n">
        <v>-1.141356110572815</v>
      </c>
      <c r="Y465" s="3" t="n">
        <v>-0.7859903573989868</v>
      </c>
      <c r="Z465" s="3" t="n">
        <v>-1.160397052764893</v>
      </c>
      <c r="AA465" s="3" t="n">
        <v>-1.160397052764893</v>
      </c>
      <c r="AB465" s="3" t="n">
        <v>-1.141356110572815</v>
      </c>
      <c r="AC465" s="3" t="n">
        <v>-1.491183042526245</v>
      </c>
      <c r="AD465" s="3" t="n">
        <v>-0.8717637062072754</v>
      </c>
      <c r="AE465" s="3" t="n">
        <v>-0.8717637062072754</v>
      </c>
    </row>
    <row r="466">
      <c r="A466" s="3" t="inlineStr">
        <is>
          <t>COM.distn.dec.ove.mean.1</t>
        </is>
      </c>
      <c r="B466" s="3" t="inlineStr">
        <is>
          <t>COM</t>
        </is>
      </c>
      <c r="C466" s="3" t="n">
        <v>2005</v>
      </c>
      <c r="D466" s="3" t="inlineStr">
        <is>
          <t>Overall</t>
        </is>
      </c>
      <c r="E466" s="3" t="inlineStr">
        <is>
          <t>Deciles</t>
        </is>
      </c>
      <c r="F466" s="3" t="inlineStr">
        <is>
          <t>mean</t>
        </is>
      </c>
      <c r="G466" s="3" t="n">
        <v>1</v>
      </c>
      <c r="H466" s="3" t="n">
        <v>-0.7936522003851438</v>
      </c>
      <c r="I466" s="3" t="n">
        <v>-0.7936522003851438</v>
      </c>
      <c r="J466" s="3" t="n">
        <v>-0.9276126356501329</v>
      </c>
      <c r="K466" s="3" t="n">
        <v>-0.9276126356501329</v>
      </c>
      <c r="L466" s="3" t="n">
        <v>-0.7936522003851438</v>
      </c>
      <c r="M466" s="3" t="n">
        <v>-0.7936522003851438</v>
      </c>
      <c r="N466" s="3" t="n">
        <v>-0.7936522003851438</v>
      </c>
      <c r="O466" s="3" t="n">
        <v>-0.7936522003851438</v>
      </c>
      <c r="P466" s="3" t="n">
        <v>-0.7936522003851438</v>
      </c>
      <c r="Q466" s="3" t="n">
        <v>-0.7936522003851438</v>
      </c>
      <c r="R466" s="3" t="n">
        <v>-0.7764578367534437</v>
      </c>
      <c r="S466" s="3" t="n">
        <v>-1.851309371621985</v>
      </c>
      <c r="T466" s="3" t="n">
        <v>-0.7110083871766141</v>
      </c>
      <c r="U466" s="3" t="n">
        <v>-0.9276126356501329</v>
      </c>
      <c r="V466" s="3" t="n">
        <v>-0.688554396754817</v>
      </c>
      <c r="W466" s="3" t="n">
        <v>-0.6748062403578508</v>
      </c>
      <c r="X466" s="3" t="n">
        <v>-1.760538414904946</v>
      </c>
      <c r="Y466" s="3" t="n">
        <v>-0.7936522003851438</v>
      </c>
      <c r="Z466" s="3" t="n">
        <v>-1.851309371621985</v>
      </c>
      <c r="AA466" s="3" t="n">
        <v>-1.851309371621985</v>
      </c>
      <c r="AB466" s="3" t="n">
        <v>-1.760538414904946</v>
      </c>
      <c r="AC466" s="3" t="n">
        <v>-4.00243950517554</v>
      </c>
      <c r="AD466" s="3" t="n">
        <v>-0.9276126356501329</v>
      </c>
      <c r="AE466" s="3" t="n">
        <v>-0.9276126356501329</v>
      </c>
    </row>
    <row r="467">
      <c r="A467" s="3" t="inlineStr">
        <is>
          <t>COM.distn.dec.ove.mean.2</t>
        </is>
      </c>
      <c r="B467" s="3" t="inlineStr">
        <is>
          <t>COM</t>
        </is>
      </c>
      <c r="C467" s="3" t="n">
        <v>2005</v>
      </c>
      <c r="D467" s="3" t="inlineStr">
        <is>
          <t>Overall</t>
        </is>
      </c>
      <c r="E467" s="3" t="inlineStr">
        <is>
          <t>Deciles</t>
        </is>
      </c>
      <c r="F467" s="3" t="inlineStr">
        <is>
          <t>mean</t>
        </is>
      </c>
      <c r="G467" s="3" t="n">
        <v>2</v>
      </c>
      <c r="H467" s="3" t="n">
        <v>-0.7936522003851438</v>
      </c>
      <c r="I467" s="3" t="n">
        <v>-0.7936522003851438</v>
      </c>
      <c r="J467" s="3" t="n">
        <v>-0.9276126356501329</v>
      </c>
      <c r="K467" s="3" t="n">
        <v>-0.9276126356501329</v>
      </c>
      <c r="L467" s="3" t="n">
        <v>-0.7936522003851438</v>
      </c>
      <c r="M467" s="3" t="n">
        <v>-0.7936522003851438</v>
      </c>
      <c r="N467" s="3" t="n">
        <v>-0.7936522003851438</v>
      </c>
      <c r="O467" s="3" t="n">
        <v>-0.7936522003851438</v>
      </c>
      <c r="P467" s="3" t="n">
        <v>-0.7936522003851438</v>
      </c>
      <c r="Q467" s="3" t="n">
        <v>-0.7936522003851438</v>
      </c>
      <c r="R467" s="3" t="n">
        <v>-0.7764578367534437</v>
      </c>
      <c r="S467" s="3" t="n">
        <v>-1.851309371621985</v>
      </c>
      <c r="T467" s="3" t="n">
        <v>-0.7110083871766141</v>
      </c>
      <c r="U467" s="3" t="n">
        <v>-0.9276126356501329</v>
      </c>
      <c r="V467" s="3" t="n">
        <v>-0.688554396754817</v>
      </c>
      <c r="W467" s="3" t="n">
        <v>-0.6748062403578508</v>
      </c>
      <c r="X467" s="3" t="n">
        <v>-1.760538414904946</v>
      </c>
      <c r="Y467" s="3" t="n">
        <v>-0.7936522003851438</v>
      </c>
      <c r="Z467" s="3" t="n">
        <v>-1.851309371621985</v>
      </c>
      <c r="AA467" s="3" t="n">
        <v>-1.851309371621985</v>
      </c>
      <c r="AB467" s="3" t="n">
        <v>-1.760538414904946</v>
      </c>
      <c r="AC467" s="3" t="n">
        <v>-4.00243950517554</v>
      </c>
      <c r="AD467" s="3" t="n">
        <v>-0.9276126356501329</v>
      </c>
      <c r="AE467" s="3" t="n">
        <v>-0.9276126356501329</v>
      </c>
    </row>
    <row r="468">
      <c r="A468" s="3" t="inlineStr">
        <is>
          <t>COM.distn.dec.ove.mean.3</t>
        </is>
      </c>
      <c r="B468" s="3" t="inlineStr">
        <is>
          <t>COM</t>
        </is>
      </c>
      <c r="C468" s="3" t="n">
        <v>2005</v>
      </c>
      <c r="D468" s="3" t="inlineStr">
        <is>
          <t>Overall</t>
        </is>
      </c>
      <c r="E468" s="3" t="inlineStr">
        <is>
          <t>Deciles</t>
        </is>
      </c>
      <c r="F468" s="3" t="inlineStr">
        <is>
          <t>mean</t>
        </is>
      </c>
      <c r="G468" s="3" t="n">
        <v>3</v>
      </c>
      <c r="H468" s="3" t="n">
        <v>-0.7936522003851438</v>
      </c>
      <c r="I468" s="3" t="n">
        <v>-0.7936522003851438</v>
      </c>
      <c r="J468" s="3" t="n">
        <v>-0.9276126356501329</v>
      </c>
      <c r="K468" s="3" t="n">
        <v>-0.9276126356501329</v>
      </c>
      <c r="L468" s="3" t="n">
        <v>-0.7936522003851438</v>
      </c>
      <c r="M468" s="3" t="n">
        <v>-0.7936522003851438</v>
      </c>
      <c r="N468" s="3" t="n">
        <v>-0.7936522003851438</v>
      </c>
      <c r="O468" s="3" t="n">
        <v>-0.7936522003851438</v>
      </c>
      <c r="P468" s="3" t="n">
        <v>-0.7936522003851438</v>
      </c>
      <c r="Q468" s="3" t="n">
        <v>-0.7936522003851438</v>
      </c>
      <c r="R468" s="3" t="n">
        <v>-0.7764578367534437</v>
      </c>
      <c r="S468" s="3" t="n">
        <v>-1.851309371621985</v>
      </c>
      <c r="T468" s="3" t="n">
        <v>-0.7110083871766141</v>
      </c>
      <c r="U468" s="3" t="n">
        <v>-0.9276126356501329</v>
      </c>
      <c r="V468" s="3" t="n">
        <v>-0.688554396754817</v>
      </c>
      <c r="W468" s="3" t="n">
        <v>-0.6748062403578508</v>
      </c>
      <c r="X468" s="3" t="n">
        <v>-1.760538414904946</v>
      </c>
      <c r="Y468" s="3" t="n">
        <v>-0.7936522003851438</v>
      </c>
      <c r="Z468" s="3" t="n">
        <v>-1.851309371621985</v>
      </c>
      <c r="AA468" s="3" t="n">
        <v>-1.851309371621985</v>
      </c>
      <c r="AB468" s="3" t="n">
        <v>-1.760538414904946</v>
      </c>
      <c r="AC468" s="3" t="n">
        <v>-4.00243950517554</v>
      </c>
      <c r="AD468" s="3" t="n">
        <v>-0.9276126356501329</v>
      </c>
      <c r="AE468" s="3" t="n">
        <v>-0.9276126356501329</v>
      </c>
    </row>
    <row r="469">
      <c r="A469" s="3" t="inlineStr">
        <is>
          <t>COM.distn.dec.ove.mean.4</t>
        </is>
      </c>
      <c r="B469" s="3" t="inlineStr">
        <is>
          <t>COM</t>
        </is>
      </c>
      <c r="C469" s="3" t="n">
        <v>2005</v>
      </c>
      <c r="D469" s="3" t="inlineStr">
        <is>
          <t>Overall</t>
        </is>
      </c>
      <c r="E469" s="3" t="inlineStr">
        <is>
          <t>Deciles</t>
        </is>
      </c>
      <c r="F469" s="3" t="inlineStr">
        <is>
          <t>mean</t>
        </is>
      </c>
      <c r="G469" s="3" t="n">
        <v>4</v>
      </c>
      <c r="H469" s="3" t="n">
        <v>-0.7873684167861938</v>
      </c>
      <c r="I469" s="3" t="n">
        <v>-0.7873684167861938</v>
      </c>
      <c r="J469" s="3" t="n">
        <v>-0.8827894769216839</v>
      </c>
      <c r="K469" s="3" t="n">
        <v>-0.8827894769216839</v>
      </c>
      <c r="L469" s="3" t="n">
        <v>-0.7873684167861938</v>
      </c>
      <c r="M469" s="3" t="n">
        <v>-0.7873684167861938</v>
      </c>
      <c r="N469" s="3" t="n">
        <v>-0.7873684167861938</v>
      </c>
      <c r="O469" s="3" t="n">
        <v>-0.7873684167861938</v>
      </c>
      <c r="P469" s="3" t="n">
        <v>-0.7873684167861938</v>
      </c>
      <c r="Q469" s="3" t="n">
        <v>-0.7873684167861938</v>
      </c>
      <c r="R469" s="3" t="n">
        <v>-0.7729736864566803</v>
      </c>
      <c r="S469" s="3" t="n">
        <v>-1.260947363941293</v>
      </c>
      <c r="T469" s="3" t="n">
        <v>-0.7095526174495095</v>
      </c>
      <c r="U469" s="3" t="n">
        <v>-0.8827894769216839</v>
      </c>
      <c r="V469" s="3" t="n">
        <v>-0.6815526375645086</v>
      </c>
      <c r="W469" s="3" t="n">
        <v>-0.5679210565592113</v>
      </c>
      <c r="X469" s="3" t="n">
        <v>-1.242473682290629</v>
      </c>
      <c r="Y469" s="3" t="n">
        <v>-0.7873684167861938</v>
      </c>
      <c r="Z469" s="3" t="n">
        <v>-1.260947363941293</v>
      </c>
      <c r="AA469" s="3" t="n">
        <v>-1.260947363941293</v>
      </c>
      <c r="AB469" s="3" t="n">
        <v>-1.242473682290629</v>
      </c>
      <c r="AC469" s="3" t="n">
        <v>-1.932868417940642</v>
      </c>
      <c r="AD469" s="3" t="n">
        <v>-0.8827894769216839</v>
      </c>
      <c r="AE469" s="3" t="n">
        <v>-0.8827894769216839</v>
      </c>
    </row>
    <row r="470">
      <c r="A470" s="3" t="inlineStr">
        <is>
          <t>COM.distn.dec.ove.mean.5</t>
        </is>
      </c>
      <c r="B470" s="3" t="inlineStr">
        <is>
          <t>COM</t>
        </is>
      </c>
      <c r="C470" s="3" t="n">
        <v>2005</v>
      </c>
      <c r="D470" s="3" t="inlineStr">
        <is>
          <t>Overall</t>
        </is>
      </c>
      <c r="E470" s="3" t="inlineStr">
        <is>
          <t>Deciles</t>
        </is>
      </c>
      <c r="F470" s="3" t="inlineStr">
        <is>
          <t>mean</t>
        </is>
      </c>
      <c r="G470" s="3" t="n">
        <v>5</v>
      </c>
      <c r="H470" s="3" t="n">
        <v>-0.7873684167861938</v>
      </c>
      <c r="I470" s="3" t="n">
        <v>-0.7873684167861938</v>
      </c>
      <c r="J470" s="3" t="n">
        <v>-0.8827894769216839</v>
      </c>
      <c r="K470" s="3" t="n">
        <v>-0.8827894769216839</v>
      </c>
      <c r="L470" s="3" t="n">
        <v>-0.7873684167861938</v>
      </c>
      <c r="M470" s="3" t="n">
        <v>-0.7873684167861938</v>
      </c>
      <c r="N470" s="3" t="n">
        <v>-0.7873684167861938</v>
      </c>
      <c r="O470" s="3" t="n">
        <v>-0.7873684167861938</v>
      </c>
      <c r="P470" s="3" t="n">
        <v>-0.7873684167861938</v>
      </c>
      <c r="Q470" s="3" t="n">
        <v>-0.7873684167861938</v>
      </c>
      <c r="R470" s="3" t="n">
        <v>-0.7729736864566803</v>
      </c>
      <c r="S470" s="3" t="n">
        <v>-1.260947363941293</v>
      </c>
      <c r="T470" s="3" t="n">
        <v>-0.7095526174495095</v>
      </c>
      <c r="U470" s="3" t="n">
        <v>-0.8827894769216839</v>
      </c>
      <c r="V470" s="3" t="n">
        <v>-0.6815526375645086</v>
      </c>
      <c r="W470" s="3" t="n">
        <v>-0.5679210565592113</v>
      </c>
      <c r="X470" s="3" t="n">
        <v>-1.242473682290629</v>
      </c>
      <c r="Y470" s="3" t="n">
        <v>-0.7873684167861938</v>
      </c>
      <c r="Z470" s="3" t="n">
        <v>-1.260947363941293</v>
      </c>
      <c r="AA470" s="3" t="n">
        <v>-1.260947363941293</v>
      </c>
      <c r="AB470" s="3" t="n">
        <v>-1.242473682290629</v>
      </c>
      <c r="AC470" s="3" t="n">
        <v>-1.932868417940642</v>
      </c>
      <c r="AD470" s="3" t="n">
        <v>-0.8827894769216839</v>
      </c>
      <c r="AE470" s="3" t="n">
        <v>-0.8827894769216839</v>
      </c>
    </row>
    <row r="471">
      <c r="A471" s="3" t="inlineStr">
        <is>
          <t>COM.distn.dec.ove.mean.6</t>
        </is>
      </c>
      <c r="B471" s="3" t="inlineStr">
        <is>
          <t>COM</t>
        </is>
      </c>
      <c r="C471" s="3" t="n">
        <v>2005</v>
      </c>
      <c r="D471" s="3" t="inlineStr">
        <is>
          <t>Overall</t>
        </is>
      </c>
      <c r="E471" s="3" t="inlineStr">
        <is>
          <t>Deciles</t>
        </is>
      </c>
      <c r="F471" s="3" t="inlineStr">
        <is>
          <t>mean</t>
        </is>
      </c>
      <c r="G471" s="3" t="n">
        <v>6</v>
      </c>
      <c r="H471" s="3" t="n">
        <v>-0.7873684167861938</v>
      </c>
      <c r="I471" s="3" t="n">
        <v>-0.7873684167861938</v>
      </c>
      <c r="J471" s="3" t="n">
        <v>-0.8827894769216839</v>
      </c>
      <c r="K471" s="3" t="n">
        <v>-0.8827894769216839</v>
      </c>
      <c r="L471" s="3" t="n">
        <v>-0.7873684167861938</v>
      </c>
      <c r="M471" s="3" t="n">
        <v>-0.7873684167861938</v>
      </c>
      <c r="N471" s="3" t="n">
        <v>-0.7873684167861938</v>
      </c>
      <c r="O471" s="3" t="n">
        <v>-0.7873684167861938</v>
      </c>
      <c r="P471" s="3" t="n">
        <v>-0.7873684167861938</v>
      </c>
      <c r="Q471" s="3" t="n">
        <v>-0.7873684167861938</v>
      </c>
      <c r="R471" s="3" t="n">
        <v>-0.7729736864566803</v>
      </c>
      <c r="S471" s="3" t="n">
        <v>-1.260947363941293</v>
      </c>
      <c r="T471" s="3" t="n">
        <v>-0.7095526174495095</v>
      </c>
      <c r="U471" s="3" t="n">
        <v>-0.8827894769216839</v>
      </c>
      <c r="V471" s="3" t="n">
        <v>-0.6815526375645086</v>
      </c>
      <c r="W471" s="3" t="n">
        <v>-0.5679210565592113</v>
      </c>
      <c r="X471" s="3" t="n">
        <v>-1.242473682290629</v>
      </c>
      <c r="Y471" s="3" t="n">
        <v>-0.7873684167861938</v>
      </c>
      <c r="Z471" s="3" t="n">
        <v>-1.260947363941293</v>
      </c>
      <c r="AA471" s="3" t="n">
        <v>-1.260947363941293</v>
      </c>
      <c r="AB471" s="3" t="n">
        <v>-1.242473682290629</v>
      </c>
      <c r="AC471" s="3" t="n">
        <v>-1.932868417940642</v>
      </c>
      <c r="AD471" s="3" t="n">
        <v>-0.8827894769216839</v>
      </c>
      <c r="AE471" s="3" t="n">
        <v>-0.8827894769216839</v>
      </c>
    </row>
    <row r="472">
      <c r="A472" s="3" t="inlineStr">
        <is>
          <t>COM.distn.dec.ove.mean.7</t>
        </is>
      </c>
      <c r="B472" s="3" t="inlineStr">
        <is>
          <t>COM</t>
        </is>
      </c>
      <c r="C472" s="3" t="n">
        <v>2005</v>
      </c>
      <c r="D472" s="3" t="inlineStr">
        <is>
          <t>Overall</t>
        </is>
      </c>
      <c r="E472" s="3" t="inlineStr">
        <is>
          <t>Deciles</t>
        </is>
      </c>
      <c r="F472" s="3" t="inlineStr">
        <is>
          <t>mean</t>
        </is>
      </c>
      <c r="G472" s="3" t="n">
        <v>7</v>
      </c>
      <c r="H472" s="3" t="n">
        <v>-0.7873684167861938</v>
      </c>
      <c r="I472" s="3" t="n">
        <v>-0.7873684167861938</v>
      </c>
      <c r="J472" s="3" t="n">
        <v>-0.8827894769216839</v>
      </c>
      <c r="K472" s="3" t="n">
        <v>-0.8827894769216839</v>
      </c>
      <c r="L472" s="3" t="n">
        <v>-0.7873684167861938</v>
      </c>
      <c r="M472" s="3" t="n">
        <v>-0.7873684167861938</v>
      </c>
      <c r="N472" s="3" t="n">
        <v>-0.7873684167861938</v>
      </c>
      <c r="O472" s="3" t="n">
        <v>-0.7873684167861938</v>
      </c>
      <c r="P472" s="3" t="n">
        <v>-0.7873684167861938</v>
      </c>
      <c r="Q472" s="3" t="n">
        <v>-0.7873684167861938</v>
      </c>
      <c r="R472" s="3" t="n">
        <v>-0.7729736864566803</v>
      </c>
      <c r="S472" s="3" t="n">
        <v>-1.260947363941293</v>
      </c>
      <c r="T472" s="3" t="n">
        <v>-0.7095526174495095</v>
      </c>
      <c r="U472" s="3" t="n">
        <v>-0.8827894769216839</v>
      </c>
      <c r="V472" s="3" t="n">
        <v>-0.6815526375645086</v>
      </c>
      <c r="W472" s="3" t="n">
        <v>-0.5679210565592113</v>
      </c>
      <c r="X472" s="3" t="n">
        <v>-1.242473682290629</v>
      </c>
      <c r="Y472" s="3" t="n">
        <v>-0.7873684167861938</v>
      </c>
      <c r="Z472" s="3" t="n">
        <v>-1.260947363941293</v>
      </c>
      <c r="AA472" s="3" t="n">
        <v>-1.260947363941293</v>
      </c>
      <c r="AB472" s="3" t="n">
        <v>-1.242473682290629</v>
      </c>
      <c r="AC472" s="3" t="n">
        <v>-1.932868417940642</v>
      </c>
      <c r="AD472" s="3" t="n">
        <v>-0.8827894769216839</v>
      </c>
      <c r="AE472" s="3" t="n">
        <v>-0.8827894769216839</v>
      </c>
    </row>
    <row r="473">
      <c r="A473" s="3" t="inlineStr">
        <is>
          <t>COM.distn.dec.ove.mean.8</t>
        </is>
      </c>
      <c r="B473" s="3" t="inlineStr">
        <is>
          <t>COM</t>
        </is>
      </c>
      <c r="C473" s="3" t="n">
        <v>2005</v>
      </c>
      <c r="D473" s="3" t="inlineStr">
        <is>
          <t>Overall</t>
        </is>
      </c>
      <c r="E473" s="3" t="inlineStr">
        <is>
          <t>Deciles</t>
        </is>
      </c>
      <c r="F473" s="3" t="inlineStr">
        <is>
          <t>mean</t>
        </is>
      </c>
      <c r="G473" s="3" t="n">
        <v>8</v>
      </c>
      <c r="H473" s="3" t="n">
        <v>-0.7877477627051505</v>
      </c>
      <c r="I473" s="3" t="n">
        <v>-0.7877477627051505</v>
      </c>
      <c r="J473" s="3" t="n">
        <v>-0.8851708738427413</v>
      </c>
      <c r="K473" s="3" t="n">
        <v>-0.8851708738427413</v>
      </c>
      <c r="L473" s="3" t="n">
        <v>-0.7877477627051505</v>
      </c>
      <c r="M473" s="3" t="n">
        <v>-0.7877477627051505</v>
      </c>
      <c r="N473" s="3" t="n">
        <v>-0.7877477627051505</v>
      </c>
      <c r="O473" s="3" t="n">
        <v>-0.7877477627051505</v>
      </c>
      <c r="P473" s="3" t="n">
        <v>-0.7877477627051505</v>
      </c>
      <c r="Q473" s="3" t="n">
        <v>-0.7877477627051505</v>
      </c>
      <c r="R473" s="3" t="n">
        <v>-0.7732278971295607</v>
      </c>
      <c r="S473" s="3" t="n">
        <v>-1.272680619829579</v>
      </c>
      <c r="T473" s="3" t="n">
        <v>-0.7095935376066911</v>
      </c>
      <c r="U473" s="3" t="n">
        <v>-0.8851708738427413</v>
      </c>
      <c r="V473" s="3" t="n">
        <v>-0.6822572021107924</v>
      </c>
      <c r="W473" s="3" t="n">
        <v>-0.5831292993143985</v>
      </c>
      <c r="X473" s="3" t="n">
        <v>-1.253795093611667</v>
      </c>
      <c r="Y473" s="3" t="n">
        <v>-0.7877477627051505</v>
      </c>
      <c r="Z473" s="3" t="n">
        <v>-1.272680619829579</v>
      </c>
      <c r="AA473" s="3" t="n">
        <v>-1.272680619829579</v>
      </c>
      <c r="AB473" s="3" t="n">
        <v>-1.253795093611667</v>
      </c>
      <c r="AC473" s="3" t="n">
        <v>-1.960433708994012</v>
      </c>
      <c r="AD473" s="3" t="n">
        <v>-0.8851708738427413</v>
      </c>
      <c r="AE473" s="3" t="n">
        <v>-0.8851708738427413</v>
      </c>
    </row>
    <row r="474">
      <c r="A474" s="3" t="inlineStr">
        <is>
          <t>COM.distn.dec.ove.mean.9</t>
        </is>
      </c>
      <c r="B474" s="3" t="inlineStr">
        <is>
          <t>COM</t>
        </is>
      </c>
      <c r="C474" s="3" t="n">
        <v>2005</v>
      </c>
      <c r="D474" s="3" t="inlineStr">
        <is>
          <t>Overall</t>
        </is>
      </c>
      <c r="E474" s="3" t="inlineStr">
        <is>
          <t>Deciles</t>
        </is>
      </c>
      <c r="F474" s="3" t="inlineStr">
        <is>
          <t>mean</t>
        </is>
      </c>
      <c r="G474" s="3" t="n">
        <v>9</v>
      </c>
      <c r="H474" s="3" t="n">
        <v>-0.7877477627051505</v>
      </c>
      <c r="I474" s="3" t="n">
        <v>-0.7877477627051505</v>
      </c>
      <c r="J474" s="3" t="n">
        <v>-0.8851708738427413</v>
      </c>
      <c r="K474" s="3" t="n">
        <v>-0.8851708738427413</v>
      </c>
      <c r="L474" s="3" t="n">
        <v>-0.7877477627051505</v>
      </c>
      <c r="M474" s="3" t="n">
        <v>-0.7877477627051505</v>
      </c>
      <c r="N474" s="3" t="n">
        <v>-0.7877477627051505</v>
      </c>
      <c r="O474" s="3" t="n">
        <v>-0.7877477627051505</v>
      </c>
      <c r="P474" s="3" t="n">
        <v>-0.7877477627051505</v>
      </c>
      <c r="Q474" s="3" t="n">
        <v>-0.7877477627051505</v>
      </c>
      <c r="R474" s="3" t="n">
        <v>-0.7732278971295607</v>
      </c>
      <c r="S474" s="3" t="n">
        <v>-1.272680619829579</v>
      </c>
      <c r="T474" s="3" t="n">
        <v>-0.7095935376066911</v>
      </c>
      <c r="U474" s="3" t="n">
        <v>-0.8851708738427413</v>
      </c>
      <c r="V474" s="3" t="n">
        <v>-0.6822572021107924</v>
      </c>
      <c r="W474" s="3" t="n">
        <v>-0.5831292993143985</v>
      </c>
      <c r="X474" s="3" t="n">
        <v>-1.253795093611667</v>
      </c>
      <c r="Y474" s="3" t="n">
        <v>-0.7877477627051505</v>
      </c>
      <c r="Z474" s="3" t="n">
        <v>-1.272680619829579</v>
      </c>
      <c r="AA474" s="3" t="n">
        <v>-1.272680619829579</v>
      </c>
      <c r="AB474" s="3" t="n">
        <v>-1.253795093611667</v>
      </c>
      <c r="AC474" s="3" t="n">
        <v>-1.960433708994012</v>
      </c>
      <c r="AD474" s="3" t="n">
        <v>-0.8851708738427413</v>
      </c>
      <c r="AE474" s="3" t="n">
        <v>-0.8851708738427413</v>
      </c>
    </row>
    <row r="475">
      <c r="A475" s="3" t="inlineStr">
        <is>
          <t>COM.distn.dec.ove.mean.10</t>
        </is>
      </c>
      <c r="B475" s="3" t="inlineStr">
        <is>
          <t>COM</t>
        </is>
      </c>
      <c r="C475" s="3" t="n">
        <v>2005</v>
      </c>
      <c r="D475" s="3" t="inlineStr">
        <is>
          <t>Overall</t>
        </is>
      </c>
      <c r="E475" s="3" t="inlineStr">
        <is>
          <t>Deciles</t>
        </is>
      </c>
      <c r="F475" s="3" t="inlineStr">
        <is>
          <t>mean</t>
        </is>
      </c>
      <c r="G475" s="3" t="n">
        <v>10</v>
      </c>
      <c r="H475" s="3" t="n">
        <v>-0.7877477627051505</v>
      </c>
      <c r="I475" s="3" t="n">
        <v>-0.7877477627051505</v>
      </c>
      <c r="J475" s="3" t="n">
        <v>-0.8851708738427413</v>
      </c>
      <c r="K475" s="3" t="n">
        <v>-0.8851708738427413</v>
      </c>
      <c r="L475" s="3" t="n">
        <v>-0.7877477627051505</v>
      </c>
      <c r="M475" s="3" t="n">
        <v>-0.7877477627051505</v>
      </c>
      <c r="N475" s="3" t="n">
        <v>-0.7877477627051505</v>
      </c>
      <c r="O475" s="3" t="n">
        <v>-0.7877477627051505</v>
      </c>
      <c r="P475" s="3" t="n">
        <v>-0.7877477627051505</v>
      </c>
      <c r="Q475" s="3" t="n">
        <v>-0.7877477627051505</v>
      </c>
      <c r="R475" s="3" t="n">
        <v>-0.7732278971295607</v>
      </c>
      <c r="S475" s="3" t="n">
        <v>-1.272680619829579</v>
      </c>
      <c r="T475" s="3" t="n">
        <v>-0.7095935376066911</v>
      </c>
      <c r="U475" s="3" t="n">
        <v>-0.8851708738427413</v>
      </c>
      <c r="V475" s="3" t="n">
        <v>-0.6822572021107924</v>
      </c>
      <c r="W475" s="3" t="n">
        <v>-0.5831292993143985</v>
      </c>
      <c r="X475" s="3" t="n">
        <v>-1.253795093611667</v>
      </c>
      <c r="Y475" s="3" t="n">
        <v>-0.7877477627051505</v>
      </c>
      <c r="Z475" s="3" t="n">
        <v>-1.272680619829579</v>
      </c>
      <c r="AA475" s="3" t="n">
        <v>-1.272680619829579</v>
      </c>
      <c r="AB475" s="3" t="n">
        <v>-1.253795093611667</v>
      </c>
      <c r="AC475" s="3" t="n">
        <v>-1.960433708994012</v>
      </c>
      <c r="AD475" s="3" t="n">
        <v>-0.8851708738427413</v>
      </c>
      <c r="AE475" s="3" t="n">
        <v>-0.8851708738427413</v>
      </c>
    </row>
    <row r="476">
      <c r="A476" s="3" t="inlineStr">
        <is>
          <t>COM.distn.bkt.ove.mean.9999</t>
        </is>
      </c>
      <c r="B476" s="3" t="inlineStr">
        <is>
          <t>COM</t>
        </is>
      </c>
      <c r="C476" s="3" t="n">
        <v>2005</v>
      </c>
      <c r="D476" s="3" t="inlineStr">
        <is>
          <t>Overall</t>
        </is>
      </c>
      <c r="E476" s="3" t="inlineStr">
        <is>
          <t>Basket</t>
        </is>
      </c>
      <c r="F476" s="3" t="inlineStr">
        <is>
          <t>mean</t>
        </is>
      </c>
      <c r="G476" s="3" t="n">
        <v>9999</v>
      </c>
      <c r="H476" s="3" t="n">
        <v>-0.7893673542298769</v>
      </c>
      <c r="I476" s="3" t="n">
        <v>-0.7893673542298769</v>
      </c>
      <c r="J476" s="3" t="n">
        <v>-0.8969508472241854</v>
      </c>
      <c r="K476" s="3" t="n">
        <v>-0.8969508472241854</v>
      </c>
      <c r="L476" s="3" t="n">
        <v>-0.7893673542298769</v>
      </c>
      <c r="M476" s="3" t="n">
        <v>-0.7893673542298769</v>
      </c>
      <c r="N476" s="3" t="n">
        <v>-0.7893673542298769</v>
      </c>
      <c r="O476" s="3" t="n">
        <v>-0.7893673542298769</v>
      </c>
      <c r="P476" s="3" t="n">
        <v>-0.7893673542298769</v>
      </c>
      <c r="Q476" s="3" t="n">
        <v>-0.7893673542298769</v>
      </c>
      <c r="R476" s="3" t="n">
        <v>-0.7740951949044278</v>
      </c>
      <c r="S476" s="3" t="n">
        <v>-1.441575941286589</v>
      </c>
      <c r="T476" s="3" t="n">
        <v>-0.7100016239442324</v>
      </c>
      <c r="U476" s="3" t="n">
        <v>-0.8969508472241854</v>
      </c>
      <c r="V476" s="3" t="n">
        <v>-0.6838645276270414</v>
      </c>
      <c r="W476" s="3" t="n">
        <v>-0.6045490895446978</v>
      </c>
      <c r="X476" s="3" t="n">
        <v>-1.401289532059117</v>
      </c>
      <c r="Y476" s="3" t="n">
        <v>-0.7893673542298769</v>
      </c>
      <c r="Z476" s="3" t="n">
        <v>-1.441575941286589</v>
      </c>
      <c r="AA476" s="3" t="n">
        <v>-1.441575941286589</v>
      </c>
      <c r="AB476" s="3" t="n">
        <v>-1.401289532059117</v>
      </c>
      <c r="AC476" s="3" t="n">
        <v>-2.562009337701296</v>
      </c>
      <c r="AD476" s="3" t="n">
        <v>-0.8969508472241854</v>
      </c>
      <c r="AE476" s="3" t="n">
        <v>-0.8969508472241854</v>
      </c>
    </row>
    <row r="477">
      <c r="A477" s="3" t="inlineStr">
        <is>
          <t>CPV.distn.dec.ove.mean.1</t>
        </is>
      </c>
      <c r="B477" s="3" t="inlineStr">
        <is>
          <t>CPV</t>
        </is>
      </c>
      <c r="C477" s="3" t="n">
        <v>2005</v>
      </c>
      <c r="D477" s="3" t="inlineStr">
        <is>
          <t>Overall</t>
        </is>
      </c>
      <c r="E477" s="3" t="inlineStr">
        <is>
          <t>Deciles</t>
        </is>
      </c>
      <c r="F477" s="3" t="inlineStr">
        <is>
          <t>mean</t>
        </is>
      </c>
      <c r="G477" s="3" t="n">
        <v>1</v>
      </c>
      <c r="H477" s="3" t="n">
        <v>-0.7922728657722473</v>
      </c>
      <c r="I477" s="3" t="n">
        <v>-0.7922728657722473</v>
      </c>
      <c r="J477" s="3" t="n">
        <v>-0.9141737818717957</v>
      </c>
      <c r="K477" s="3" t="n">
        <v>-0.9141737818717957</v>
      </c>
      <c r="L477" s="3" t="n">
        <v>-0.7922728657722473</v>
      </c>
      <c r="M477" s="3" t="n">
        <v>-0.7922728657722473</v>
      </c>
      <c r="N477" s="3" t="n">
        <v>-0.7922728657722473</v>
      </c>
      <c r="O477" s="3" t="n">
        <v>-0.7922728657722473</v>
      </c>
      <c r="P477" s="3" t="n">
        <v>-0.7922728657722473</v>
      </c>
      <c r="Q477" s="3" t="n">
        <v>-0.7922728657722473</v>
      </c>
      <c r="R477" s="3" t="n">
        <v>-0.775479793548584</v>
      </c>
      <c r="S477" s="3" t="n">
        <v>-1.590048909187317</v>
      </c>
      <c r="T477" s="3" t="n">
        <v>-0.7104546427726746</v>
      </c>
      <c r="U477" s="3" t="n">
        <v>-0.9141737818717957</v>
      </c>
      <c r="V477" s="3" t="n">
        <v>-0.6869857907295227</v>
      </c>
      <c r="W477" s="3" t="n">
        <v>-0.6594533920288086</v>
      </c>
      <c r="X477" s="3" t="n">
        <v>-1.527485370635986</v>
      </c>
      <c r="Y477" s="3" t="n">
        <v>-0.7922728657722473</v>
      </c>
      <c r="Z477" s="3" t="n">
        <v>-1.590048909187317</v>
      </c>
      <c r="AA477" s="3" t="n">
        <v>-1.590048909187317</v>
      </c>
      <c r="AB477" s="3" t="n">
        <v>-1.527485370635986</v>
      </c>
      <c r="AC477" s="3" t="n">
        <v>-2.629821062088013</v>
      </c>
      <c r="AD477" s="3" t="n">
        <v>-0.9141737818717957</v>
      </c>
      <c r="AE477" s="3" t="n">
        <v>-0.9141737818717957</v>
      </c>
    </row>
    <row r="478">
      <c r="A478" s="3" t="inlineStr">
        <is>
          <t>CPV.distn.dec.ove.mean.2</t>
        </is>
      </c>
      <c r="B478" s="3" t="inlineStr">
        <is>
          <t>CPV</t>
        </is>
      </c>
      <c r="C478" s="3" t="n">
        <v>2005</v>
      </c>
      <c r="D478" s="3" t="inlineStr">
        <is>
          <t>Overall</t>
        </is>
      </c>
      <c r="E478" s="3" t="inlineStr">
        <is>
          <t>Deciles</t>
        </is>
      </c>
      <c r="F478" s="3" t="inlineStr">
        <is>
          <t>mean</t>
        </is>
      </c>
      <c r="G478" s="3" t="n">
        <v>2</v>
      </c>
      <c r="H478" s="3" t="n">
        <v>-0.7922728657722473</v>
      </c>
      <c r="I478" s="3" t="n">
        <v>-0.7922728657722473</v>
      </c>
      <c r="J478" s="3" t="n">
        <v>-0.9141737818717957</v>
      </c>
      <c r="K478" s="3" t="n">
        <v>-0.9141737818717957</v>
      </c>
      <c r="L478" s="3" t="n">
        <v>-0.7922728657722473</v>
      </c>
      <c r="M478" s="3" t="n">
        <v>-0.7922728657722473</v>
      </c>
      <c r="N478" s="3" t="n">
        <v>-0.7922728657722473</v>
      </c>
      <c r="O478" s="3" t="n">
        <v>-0.7922728657722473</v>
      </c>
      <c r="P478" s="3" t="n">
        <v>-0.7922728657722473</v>
      </c>
      <c r="Q478" s="3" t="n">
        <v>-0.7922728657722473</v>
      </c>
      <c r="R478" s="3" t="n">
        <v>-0.775479793548584</v>
      </c>
      <c r="S478" s="3" t="n">
        <v>-1.590048909187317</v>
      </c>
      <c r="T478" s="3" t="n">
        <v>-0.7104546427726746</v>
      </c>
      <c r="U478" s="3" t="n">
        <v>-0.9141737818717957</v>
      </c>
      <c r="V478" s="3" t="n">
        <v>-0.6869857907295227</v>
      </c>
      <c r="W478" s="3" t="n">
        <v>-0.6594533920288086</v>
      </c>
      <c r="X478" s="3" t="n">
        <v>-1.527485370635986</v>
      </c>
      <c r="Y478" s="3" t="n">
        <v>-0.7922728657722473</v>
      </c>
      <c r="Z478" s="3" t="n">
        <v>-1.590048909187317</v>
      </c>
      <c r="AA478" s="3" t="n">
        <v>-1.590048909187317</v>
      </c>
      <c r="AB478" s="3" t="n">
        <v>-1.527485370635986</v>
      </c>
      <c r="AC478" s="3" t="n">
        <v>-2.629821062088013</v>
      </c>
      <c r="AD478" s="3" t="n">
        <v>-0.9141737818717957</v>
      </c>
      <c r="AE478" s="3" t="n">
        <v>-0.9141737818717957</v>
      </c>
    </row>
    <row r="479">
      <c r="A479" s="3" t="inlineStr">
        <is>
          <t>CPV.distn.dec.ove.mean.3</t>
        </is>
      </c>
      <c r="B479" s="3" t="inlineStr">
        <is>
          <t>CPV</t>
        </is>
      </c>
      <c r="C479" s="3" t="n">
        <v>2005</v>
      </c>
      <c r="D479" s="3" t="inlineStr">
        <is>
          <t>Overall</t>
        </is>
      </c>
      <c r="E479" s="3" t="inlineStr">
        <is>
          <t>Deciles</t>
        </is>
      </c>
      <c r="F479" s="3" t="inlineStr">
        <is>
          <t>mean</t>
        </is>
      </c>
      <c r="G479" s="3" t="n">
        <v>3</v>
      </c>
      <c r="H479" s="3" t="n">
        <v>-0.7922728657722473</v>
      </c>
      <c r="I479" s="3" t="n">
        <v>-0.7922728657722473</v>
      </c>
      <c r="J479" s="3" t="n">
        <v>-0.9141737818717957</v>
      </c>
      <c r="K479" s="3" t="n">
        <v>-0.9141737818717957</v>
      </c>
      <c r="L479" s="3" t="n">
        <v>-0.7922728657722473</v>
      </c>
      <c r="M479" s="3" t="n">
        <v>-0.7922728657722473</v>
      </c>
      <c r="N479" s="3" t="n">
        <v>-0.7922728657722473</v>
      </c>
      <c r="O479" s="3" t="n">
        <v>-0.7922728657722473</v>
      </c>
      <c r="P479" s="3" t="n">
        <v>-0.7922728657722473</v>
      </c>
      <c r="Q479" s="3" t="n">
        <v>-0.7922728657722473</v>
      </c>
      <c r="R479" s="3" t="n">
        <v>-0.775479793548584</v>
      </c>
      <c r="S479" s="3" t="n">
        <v>-1.590048909187317</v>
      </c>
      <c r="T479" s="3" t="n">
        <v>-0.7104546427726746</v>
      </c>
      <c r="U479" s="3" t="n">
        <v>-0.9141737818717957</v>
      </c>
      <c r="V479" s="3" t="n">
        <v>-0.6869857907295227</v>
      </c>
      <c r="W479" s="3" t="n">
        <v>-0.6594533920288086</v>
      </c>
      <c r="X479" s="3" t="n">
        <v>-1.527485370635986</v>
      </c>
      <c r="Y479" s="3" t="n">
        <v>-0.7922728657722473</v>
      </c>
      <c r="Z479" s="3" t="n">
        <v>-1.590048909187317</v>
      </c>
      <c r="AA479" s="3" t="n">
        <v>-1.590048909187317</v>
      </c>
      <c r="AB479" s="3" t="n">
        <v>-1.527485370635986</v>
      </c>
      <c r="AC479" s="3" t="n">
        <v>-2.629821062088013</v>
      </c>
      <c r="AD479" s="3" t="n">
        <v>-0.9141737818717957</v>
      </c>
      <c r="AE479" s="3" t="n">
        <v>-0.9141737818717957</v>
      </c>
    </row>
    <row r="480">
      <c r="A480" s="3" t="inlineStr">
        <is>
          <t>CPV.distn.dec.ove.mean.4</t>
        </is>
      </c>
      <c r="B480" s="3" t="inlineStr">
        <is>
          <t>CPV</t>
        </is>
      </c>
      <c r="C480" s="3" t="n">
        <v>2005</v>
      </c>
      <c r="D480" s="3" t="inlineStr">
        <is>
          <t>Overall</t>
        </is>
      </c>
      <c r="E480" s="3" t="inlineStr">
        <is>
          <t>Deciles</t>
        </is>
      </c>
      <c r="F480" s="3" t="inlineStr">
        <is>
          <t>mean</t>
        </is>
      </c>
      <c r="G480" s="3" t="n">
        <v>4</v>
      </c>
      <c r="H480" s="3" t="n">
        <v>-0.7860000133514404</v>
      </c>
      <c r="I480" s="3" t="n">
        <v>-0.7860000133514404</v>
      </c>
      <c r="J480" s="3" t="n">
        <v>-0.8700000047683716</v>
      </c>
      <c r="K480" s="3" t="n">
        <v>-0.8700000047683716</v>
      </c>
      <c r="L480" s="3" t="n">
        <v>-0.7860000133514404</v>
      </c>
      <c r="M480" s="3" t="n">
        <v>-0.7860000133514404</v>
      </c>
      <c r="N480" s="3" t="n">
        <v>-0.7860000133514404</v>
      </c>
      <c r="O480" s="3" t="n">
        <v>-0.7860000133514404</v>
      </c>
      <c r="P480" s="3" t="n">
        <v>-0.7860000133514404</v>
      </c>
      <c r="Q480" s="3" t="n">
        <v>-0.7860000133514404</v>
      </c>
      <c r="R480" s="3" t="n">
        <v>-0.7720000147819519</v>
      </c>
      <c r="S480" s="3" t="n">
        <v>-1.08299994468689</v>
      </c>
      <c r="T480" s="3" t="n">
        <v>-0.7089999914169312</v>
      </c>
      <c r="U480" s="3" t="n">
        <v>-0.8700000047683716</v>
      </c>
      <c r="V480" s="3" t="n">
        <v>-0.6800000071525574</v>
      </c>
      <c r="W480" s="3" t="n">
        <v>-0.5550000071525574</v>
      </c>
      <c r="X480" s="3" t="n">
        <v>-1.077999949455261</v>
      </c>
      <c r="Y480" s="3" t="n">
        <v>-0.7860000133514404</v>
      </c>
      <c r="Z480" s="3" t="n">
        <v>-1.08299994468689</v>
      </c>
      <c r="AA480" s="3" t="n">
        <v>-1.08299994468689</v>
      </c>
      <c r="AB480" s="3" t="n">
        <v>-1.077999949455261</v>
      </c>
      <c r="AC480" s="3" t="n">
        <v>-1.269999980926514</v>
      </c>
      <c r="AD480" s="3" t="n">
        <v>-0.8700000047683716</v>
      </c>
      <c r="AE480" s="3" t="n">
        <v>-0.8700000047683716</v>
      </c>
    </row>
    <row r="481">
      <c r="A481" s="3" t="inlineStr">
        <is>
          <t>CPV.distn.dec.ove.mean.5</t>
        </is>
      </c>
      <c r="B481" s="3" t="inlineStr">
        <is>
          <t>CPV</t>
        </is>
      </c>
      <c r="C481" s="3" t="n">
        <v>2005</v>
      </c>
      <c r="D481" s="3" t="inlineStr">
        <is>
          <t>Overall</t>
        </is>
      </c>
      <c r="E481" s="3" t="inlineStr">
        <is>
          <t>Deciles</t>
        </is>
      </c>
      <c r="F481" s="3" t="inlineStr">
        <is>
          <t>mean</t>
        </is>
      </c>
      <c r="G481" s="3" t="n">
        <v>5</v>
      </c>
      <c r="H481" s="3" t="n">
        <v>-0.7860000133514404</v>
      </c>
      <c r="I481" s="3" t="n">
        <v>-0.7860000133514404</v>
      </c>
      <c r="J481" s="3" t="n">
        <v>-0.8700000047683716</v>
      </c>
      <c r="K481" s="3" t="n">
        <v>-0.8700000047683716</v>
      </c>
      <c r="L481" s="3" t="n">
        <v>-0.7860000133514404</v>
      </c>
      <c r="M481" s="3" t="n">
        <v>-0.7860000133514404</v>
      </c>
      <c r="N481" s="3" t="n">
        <v>-0.7860000133514404</v>
      </c>
      <c r="O481" s="3" t="n">
        <v>-0.7860000133514404</v>
      </c>
      <c r="P481" s="3" t="n">
        <v>-0.7860000133514404</v>
      </c>
      <c r="Q481" s="3" t="n">
        <v>-0.7860000133514404</v>
      </c>
      <c r="R481" s="3" t="n">
        <v>-0.7720000147819519</v>
      </c>
      <c r="S481" s="3" t="n">
        <v>-1.08299994468689</v>
      </c>
      <c r="T481" s="3" t="n">
        <v>-0.7089999914169312</v>
      </c>
      <c r="U481" s="3" t="n">
        <v>-0.8700000047683716</v>
      </c>
      <c r="V481" s="3" t="n">
        <v>-0.6800000071525574</v>
      </c>
      <c r="W481" s="3" t="n">
        <v>-0.5550000071525574</v>
      </c>
      <c r="X481" s="3" t="n">
        <v>-1.077999949455261</v>
      </c>
      <c r="Y481" s="3" t="n">
        <v>-0.7860000133514404</v>
      </c>
      <c r="Z481" s="3" t="n">
        <v>-1.08299994468689</v>
      </c>
      <c r="AA481" s="3" t="n">
        <v>-1.08299994468689</v>
      </c>
      <c r="AB481" s="3" t="n">
        <v>-1.077999949455261</v>
      </c>
      <c r="AC481" s="3" t="n">
        <v>-1.269999980926514</v>
      </c>
      <c r="AD481" s="3" t="n">
        <v>-0.8700000047683716</v>
      </c>
      <c r="AE481" s="3" t="n">
        <v>-0.8700000047683716</v>
      </c>
    </row>
    <row r="482">
      <c r="A482" s="3" t="inlineStr">
        <is>
          <t>CPV.distn.dec.ove.mean.6</t>
        </is>
      </c>
      <c r="B482" s="3" t="inlineStr">
        <is>
          <t>CPV</t>
        </is>
      </c>
      <c r="C482" s="3" t="n">
        <v>2005</v>
      </c>
      <c r="D482" s="3" t="inlineStr">
        <is>
          <t>Overall</t>
        </is>
      </c>
      <c r="E482" s="3" t="inlineStr">
        <is>
          <t>Deciles</t>
        </is>
      </c>
      <c r="F482" s="3" t="inlineStr">
        <is>
          <t>mean</t>
        </is>
      </c>
      <c r="G482" s="3" t="n">
        <v>6</v>
      </c>
      <c r="H482" s="3" t="n">
        <v>-0.7860000133514404</v>
      </c>
      <c r="I482" s="3" t="n">
        <v>-0.7860000133514404</v>
      </c>
      <c r="J482" s="3" t="n">
        <v>-0.8700000047683716</v>
      </c>
      <c r="K482" s="3" t="n">
        <v>-0.8700000047683716</v>
      </c>
      <c r="L482" s="3" t="n">
        <v>-0.7860000133514404</v>
      </c>
      <c r="M482" s="3" t="n">
        <v>-0.7860000133514404</v>
      </c>
      <c r="N482" s="3" t="n">
        <v>-0.7860000133514404</v>
      </c>
      <c r="O482" s="3" t="n">
        <v>-0.7860000133514404</v>
      </c>
      <c r="P482" s="3" t="n">
        <v>-0.7860000133514404</v>
      </c>
      <c r="Q482" s="3" t="n">
        <v>-0.7860000133514404</v>
      </c>
      <c r="R482" s="3" t="n">
        <v>-0.7720000147819519</v>
      </c>
      <c r="S482" s="3" t="n">
        <v>-1.08299994468689</v>
      </c>
      <c r="T482" s="3" t="n">
        <v>-0.7089999914169312</v>
      </c>
      <c r="U482" s="3" t="n">
        <v>-0.8700000047683716</v>
      </c>
      <c r="V482" s="3" t="n">
        <v>-0.6800000071525574</v>
      </c>
      <c r="W482" s="3" t="n">
        <v>-0.5550000071525574</v>
      </c>
      <c r="X482" s="3" t="n">
        <v>-1.077999949455261</v>
      </c>
      <c r="Y482" s="3" t="n">
        <v>-0.7860000133514404</v>
      </c>
      <c r="Z482" s="3" t="n">
        <v>-1.08299994468689</v>
      </c>
      <c r="AA482" s="3" t="n">
        <v>-1.08299994468689</v>
      </c>
      <c r="AB482" s="3" t="n">
        <v>-1.077999949455261</v>
      </c>
      <c r="AC482" s="3" t="n">
        <v>-1.269999980926514</v>
      </c>
      <c r="AD482" s="3" t="n">
        <v>-0.8700000047683716</v>
      </c>
      <c r="AE482" s="3" t="n">
        <v>-0.8700000047683716</v>
      </c>
    </row>
    <row r="483">
      <c r="A483" s="3" t="inlineStr">
        <is>
          <t>CPV.distn.dec.ove.mean.7</t>
        </is>
      </c>
      <c r="B483" s="3" t="inlineStr">
        <is>
          <t>CPV</t>
        </is>
      </c>
      <c r="C483" s="3" t="n">
        <v>2005</v>
      </c>
      <c r="D483" s="3" t="inlineStr">
        <is>
          <t>Overall</t>
        </is>
      </c>
      <c r="E483" s="3" t="inlineStr">
        <is>
          <t>Deciles</t>
        </is>
      </c>
      <c r="F483" s="3" t="inlineStr">
        <is>
          <t>mean</t>
        </is>
      </c>
      <c r="G483" s="3" t="n">
        <v>7</v>
      </c>
      <c r="H483" s="3" t="n">
        <v>-0.7860000133514404</v>
      </c>
      <c r="I483" s="3" t="n">
        <v>-0.7860000133514404</v>
      </c>
      <c r="J483" s="3" t="n">
        <v>-0.8700000047683716</v>
      </c>
      <c r="K483" s="3" t="n">
        <v>-0.8700000047683716</v>
      </c>
      <c r="L483" s="3" t="n">
        <v>-0.7860000133514404</v>
      </c>
      <c r="M483" s="3" t="n">
        <v>-0.7860000133514404</v>
      </c>
      <c r="N483" s="3" t="n">
        <v>-0.7860000133514404</v>
      </c>
      <c r="O483" s="3" t="n">
        <v>-0.7860000133514404</v>
      </c>
      <c r="P483" s="3" t="n">
        <v>-0.7860000133514404</v>
      </c>
      <c r="Q483" s="3" t="n">
        <v>-0.7860000133514404</v>
      </c>
      <c r="R483" s="3" t="n">
        <v>-0.7720000147819519</v>
      </c>
      <c r="S483" s="3" t="n">
        <v>-1.08299994468689</v>
      </c>
      <c r="T483" s="3" t="n">
        <v>-0.7089999914169312</v>
      </c>
      <c r="U483" s="3" t="n">
        <v>-0.8700000047683716</v>
      </c>
      <c r="V483" s="3" t="n">
        <v>-0.6800000071525574</v>
      </c>
      <c r="W483" s="3" t="n">
        <v>-0.5550000071525574</v>
      </c>
      <c r="X483" s="3" t="n">
        <v>-1.077999949455261</v>
      </c>
      <c r="Y483" s="3" t="n">
        <v>-0.7860000133514404</v>
      </c>
      <c r="Z483" s="3" t="n">
        <v>-1.08299994468689</v>
      </c>
      <c r="AA483" s="3" t="n">
        <v>-1.08299994468689</v>
      </c>
      <c r="AB483" s="3" t="n">
        <v>-1.077999949455261</v>
      </c>
      <c r="AC483" s="3" t="n">
        <v>-1.269999980926514</v>
      </c>
      <c r="AD483" s="3" t="n">
        <v>-0.8700000047683716</v>
      </c>
      <c r="AE483" s="3" t="n">
        <v>-0.8700000047683716</v>
      </c>
    </row>
    <row r="484">
      <c r="A484" s="3" t="inlineStr">
        <is>
          <t>CPV.distn.dec.ove.mean.8</t>
        </is>
      </c>
      <c r="B484" s="3" t="inlineStr">
        <is>
          <t>CPV</t>
        </is>
      </c>
      <c r="C484" s="3" t="n">
        <v>2005</v>
      </c>
      <c r="D484" s="3" t="inlineStr">
        <is>
          <t>Overall</t>
        </is>
      </c>
      <c r="E484" s="3" t="inlineStr">
        <is>
          <t>Deciles</t>
        </is>
      </c>
      <c r="F484" s="3" t="inlineStr">
        <is>
          <t>mean</t>
        </is>
      </c>
      <c r="G484" s="3" t="n">
        <v>8</v>
      </c>
      <c r="H484" s="3" t="n">
        <v>-0.7863786816596985</v>
      </c>
      <c r="I484" s="3" t="n">
        <v>-0.7863786816596985</v>
      </c>
      <c r="J484" s="3" t="n">
        <v>-0.8723468780517578</v>
      </c>
      <c r="K484" s="3" t="n">
        <v>-0.8723468780517578</v>
      </c>
      <c r="L484" s="3" t="n">
        <v>-0.7863786816596985</v>
      </c>
      <c r="M484" s="3" t="n">
        <v>-0.7863786816596985</v>
      </c>
      <c r="N484" s="3" t="n">
        <v>-0.7863786816596985</v>
      </c>
      <c r="O484" s="3" t="n">
        <v>-0.7863786816596985</v>
      </c>
      <c r="P484" s="3" t="n">
        <v>-0.7863786816596985</v>
      </c>
      <c r="Q484" s="3" t="n">
        <v>-0.7863786816596985</v>
      </c>
      <c r="R484" s="3" t="n">
        <v>-0.7722538709640503</v>
      </c>
      <c r="S484" s="3" t="n">
        <v>-1.093077421188354</v>
      </c>
      <c r="T484" s="3" t="n">
        <v>-0.7090408802032471</v>
      </c>
      <c r="U484" s="3" t="n">
        <v>-0.8723468780517578</v>
      </c>
      <c r="V484" s="3" t="n">
        <v>-0.6807029843330383</v>
      </c>
      <c r="W484" s="3" t="n">
        <v>-0.5698622465133667</v>
      </c>
      <c r="X484" s="3" t="n">
        <v>-1.087822675704956</v>
      </c>
      <c r="Y484" s="3" t="n">
        <v>-0.7863786816596985</v>
      </c>
      <c r="Z484" s="3" t="n">
        <v>-1.093077421188354</v>
      </c>
      <c r="AA484" s="3" t="n">
        <v>-1.093077421188354</v>
      </c>
      <c r="AB484" s="3" t="n">
        <v>-1.087822675704956</v>
      </c>
      <c r="AC484" s="3" t="n">
        <v>-1.288111925125122</v>
      </c>
      <c r="AD484" s="3" t="n">
        <v>-0.8723468780517578</v>
      </c>
      <c r="AE484" s="3" t="n">
        <v>-0.8723468780517578</v>
      </c>
    </row>
    <row r="485">
      <c r="A485" s="3" t="inlineStr">
        <is>
          <t>CPV.distn.dec.ove.mean.9</t>
        </is>
      </c>
      <c r="B485" s="3" t="inlineStr">
        <is>
          <t>CPV</t>
        </is>
      </c>
      <c r="C485" s="3" t="n">
        <v>2005</v>
      </c>
      <c r="D485" s="3" t="inlineStr">
        <is>
          <t>Overall</t>
        </is>
      </c>
      <c r="E485" s="3" t="inlineStr">
        <is>
          <t>Deciles</t>
        </is>
      </c>
      <c r="F485" s="3" t="inlineStr">
        <is>
          <t>mean</t>
        </is>
      </c>
      <c r="G485" s="3" t="n">
        <v>9</v>
      </c>
      <c r="H485" s="3" t="n">
        <v>-0.7863786816596985</v>
      </c>
      <c r="I485" s="3" t="n">
        <v>-0.7863786816596985</v>
      </c>
      <c r="J485" s="3" t="n">
        <v>-0.8723468780517578</v>
      </c>
      <c r="K485" s="3" t="n">
        <v>-0.8723468780517578</v>
      </c>
      <c r="L485" s="3" t="n">
        <v>-0.7863786816596985</v>
      </c>
      <c r="M485" s="3" t="n">
        <v>-0.7863786816596985</v>
      </c>
      <c r="N485" s="3" t="n">
        <v>-0.7863786816596985</v>
      </c>
      <c r="O485" s="3" t="n">
        <v>-0.7863786816596985</v>
      </c>
      <c r="P485" s="3" t="n">
        <v>-0.7863786816596985</v>
      </c>
      <c r="Q485" s="3" t="n">
        <v>-0.7863786816596985</v>
      </c>
      <c r="R485" s="3" t="n">
        <v>-0.7722538709640503</v>
      </c>
      <c r="S485" s="3" t="n">
        <v>-1.093077421188354</v>
      </c>
      <c r="T485" s="3" t="n">
        <v>-0.7090408802032471</v>
      </c>
      <c r="U485" s="3" t="n">
        <v>-0.8723468780517578</v>
      </c>
      <c r="V485" s="3" t="n">
        <v>-0.6807029843330383</v>
      </c>
      <c r="W485" s="3" t="n">
        <v>-0.5698622465133667</v>
      </c>
      <c r="X485" s="3" t="n">
        <v>-1.087822675704956</v>
      </c>
      <c r="Y485" s="3" t="n">
        <v>-0.7863786816596985</v>
      </c>
      <c r="Z485" s="3" t="n">
        <v>-1.093077421188354</v>
      </c>
      <c r="AA485" s="3" t="n">
        <v>-1.093077421188354</v>
      </c>
      <c r="AB485" s="3" t="n">
        <v>-1.087822675704956</v>
      </c>
      <c r="AC485" s="3" t="n">
        <v>-1.288111925125122</v>
      </c>
      <c r="AD485" s="3" t="n">
        <v>-0.8723468780517578</v>
      </c>
      <c r="AE485" s="3" t="n">
        <v>-0.8723468780517578</v>
      </c>
    </row>
    <row r="486">
      <c r="A486" s="3" t="inlineStr">
        <is>
          <t>CPV.distn.dec.ove.mean.10</t>
        </is>
      </c>
      <c r="B486" s="3" t="inlineStr">
        <is>
          <t>CPV</t>
        </is>
      </c>
      <c r="C486" s="3" t="n">
        <v>2005</v>
      </c>
      <c r="D486" s="3" t="inlineStr">
        <is>
          <t>Overall</t>
        </is>
      </c>
      <c r="E486" s="3" t="inlineStr">
        <is>
          <t>Deciles</t>
        </is>
      </c>
      <c r="F486" s="3" t="inlineStr">
        <is>
          <t>mean</t>
        </is>
      </c>
      <c r="G486" s="3" t="n">
        <v>10</v>
      </c>
      <c r="H486" s="3" t="n">
        <v>-0.7863786816596985</v>
      </c>
      <c r="I486" s="3" t="n">
        <v>-0.7863786816596985</v>
      </c>
      <c r="J486" s="3" t="n">
        <v>-0.8723468780517578</v>
      </c>
      <c r="K486" s="3" t="n">
        <v>-0.8723468780517578</v>
      </c>
      <c r="L486" s="3" t="n">
        <v>-0.7863786816596985</v>
      </c>
      <c r="M486" s="3" t="n">
        <v>-0.7863786816596985</v>
      </c>
      <c r="N486" s="3" t="n">
        <v>-0.7863786816596985</v>
      </c>
      <c r="O486" s="3" t="n">
        <v>-0.7863786816596985</v>
      </c>
      <c r="P486" s="3" t="n">
        <v>-0.7863786816596985</v>
      </c>
      <c r="Q486" s="3" t="n">
        <v>-0.7863786816596985</v>
      </c>
      <c r="R486" s="3" t="n">
        <v>-0.7722538709640503</v>
      </c>
      <c r="S486" s="3" t="n">
        <v>-1.093077421188354</v>
      </c>
      <c r="T486" s="3" t="n">
        <v>-0.7090408802032471</v>
      </c>
      <c r="U486" s="3" t="n">
        <v>-0.8723468780517578</v>
      </c>
      <c r="V486" s="3" t="n">
        <v>-0.6807029843330383</v>
      </c>
      <c r="W486" s="3" t="n">
        <v>-0.5698622465133667</v>
      </c>
      <c r="X486" s="3" t="n">
        <v>-1.087822675704956</v>
      </c>
      <c r="Y486" s="3" t="n">
        <v>-0.7863786816596985</v>
      </c>
      <c r="Z486" s="3" t="n">
        <v>-1.093077421188354</v>
      </c>
      <c r="AA486" s="3" t="n">
        <v>-1.093077421188354</v>
      </c>
      <c r="AB486" s="3" t="n">
        <v>-1.087822675704956</v>
      </c>
      <c r="AC486" s="3" t="n">
        <v>-1.288111925125122</v>
      </c>
      <c r="AD486" s="3" t="n">
        <v>-0.8723468780517578</v>
      </c>
      <c r="AE486" s="3" t="n">
        <v>-0.8723468780517578</v>
      </c>
    </row>
    <row r="487">
      <c r="A487" s="3" t="inlineStr">
        <is>
          <t>CPV.distn.bkt.ove.mean.9999</t>
        </is>
      </c>
      <c r="B487" s="3" t="inlineStr">
        <is>
          <t>CPV</t>
        </is>
      </c>
      <c r="C487" s="3" t="n">
        <v>2005</v>
      </c>
      <c r="D487" s="3" t="inlineStr">
        <is>
          <t>Overall</t>
        </is>
      </c>
      <c r="E487" s="3" t="inlineStr">
        <is>
          <t>Basket</t>
        </is>
      </c>
      <c r="F487" s="3" t="inlineStr">
        <is>
          <t>mean</t>
        </is>
      </c>
      <c r="G487" s="3" t="n">
        <v>9999</v>
      </c>
      <c r="H487" s="3" t="n">
        <v>-0.787995457649231</v>
      </c>
      <c r="I487" s="3" t="n">
        <v>-0.787995457649231</v>
      </c>
      <c r="J487" s="3" t="n">
        <v>-0.8839561939239502</v>
      </c>
      <c r="K487" s="3" t="n">
        <v>-0.8839561939239502</v>
      </c>
      <c r="L487" s="3" t="n">
        <v>-0.787995457649231</v>
      </c>
      <c r="M487" s="3" t="n">
        <v>-0.787995457649231</v>
      </c>
      <c r="N487" s="3" t="n">
        <v>-0.787995457649231</v>
      </c>
      <c r="O487" s="3" t="n">
        <v>-0.787995457649231</v>
      </c>
      <c r="P487" s="3" t="n">
        <v>-0.787995457649231</v>
      </c>
      <c r="Q487" s="3" t="n">
        <v>-0.787995457649231</v>
      </c>
      <c r="R487" s="3" t="n">
        <v>-0.773120105266571</v>
      </c>
      <c r="S487" s="3" t="n">
        <v>-1.23813784122467</v>
      </c>
      <c r="T487" s="3" t="n">
        <v>-0.7094486355781555</v>
      </c>
      <c r="U487" s="3" t="n">
        <v>-0.8839561939239502</v>
      </c>
      <c r="V487" s="3" t="n">
        <v>-0.6823066473007202</v>
      </c>
      <c r="W487" s="3" t="n">
        <v>-0.5907946825027466</v>
      </c>
      <c r="X487" s="3" t="n">
        <v>-1.215792417526245</v>
      </c>
      <c r="Y487" s="3" t="n">
        <v>-0.787995457649231</v>
      </c>
      <c r="Z487" s="3" t="n">
        <v>-1.23813784122467</v>
      </c>
      <c r="AA487" s="3" t="n">
        <v>-1.23813784122467</v>
      </c>
      <c r="AB487" s="3" t="n">
        <v>-1.215792417526245</v>
      </c>
      <c r="AC487" s="3" t="n">
        <v>-1.683379888534546</v>
      </c>
      <c r="AD487" s="3" t="n">
        <v>-0.8839561939239502</v>
      </c>
      <c r="AE487" s="3" t="n">
        <v>-0.8839561939239502</v>
      </c>
    </row>
    <row r="488">
      <c r="A488" s="3" t="inlineStr">
        <is>
          <t>CRI.distn.dec.ove.mean.1</t>
        </is>
      </c>
      <c r="B488" s="3" t="inlineStr">
        <is>
          <t>CRI</t>
        </is>
      </c>
      <c r="C488" s="3" t="n">
        <v>2005</v>
      </c>
      <c r="D488" s="3" t="inlineStr">
        <is>
          <t>Overall</t>
        </is>
      </c>
      <c r="E488" s="3" t="inlineStr">
        <is>
          <t>Deciles</t>
        </is>
      </c>
      <c r="F488" s="3" t="inlineStr">
        <is>
          <t>mean</t>
        </is>
      </c>
      <c r="G488" s="3" t="n">
        <v>1</v>
      </c>
      <c r="H488" s="3" t="n">
        <v>-0.7898249251501901</v>
      </c>
      <c r="I488" s="3" t="n">
        <v>-0.7898249251501901</v>
      </c>
      <c r="J488" s="3" t="n">
        <v>-0.9006037865366254</v>
      </c>
      <c r="K488" s="3" t="n">
        <v>-0.9006037865366254</v>
      </c>
      <c r="L488" s="3" t="n">
        <v>-0.7898249251501901</v>
      </c>
      <c r="M488" s="3" t="n">
        <v>-0.7898249251501901</v>
      </c>
      <c r="N488" s="3" t="n">
        <v>-0.7898249251501901</v>
      </c>
      <c r="O488" s="3" t="n">
        <v>-0.7898249251501901</v>
      </c>
      <c r="P488" s="3" t="n">
        <v>-0.7898249251501901</v>
      </c>
      <c r="Q488" s="3" t="n">
        <v>-0.7898249251501901</v>
      </c>
      <c r="R488" s="3" t="n">
        <v>-0.7744465725762504</v>
      </c>
      <c r="S488" s="3" t="n">
        <v>-1.490841317176819</v>
      </c>
      <c r="T488" s="3" t="n">
        <v>-0.7100824441228594</v>
      </c>
      <c r="U488" s="3" t="n">
        <v>-0.9006037865366254</v>
      </c>
      <c r="V488" s="3" t="n">
        <v>-0.6846477542604719</v>
      </c>
      <c r="W488" s="3" t="n">
        <v>-0.6204802887780326</v>
      </c>
      <c r="X488" s="3" t="n">
        <v>-1.433480068615505</v>
      </c>
      <c r="Y488" s="3" t="n">
        <v>-0.7898249251501901</v>
      </c>
      <c r="Z488" s="3" t="n">
        <v>-1.490841317176819</v>
      </c>
      <c r="AA488" s="3" t="n">
        <v>-1.490841317176819</v>
      </c>
      <c r="AB488" s="3" t="n">
        <v>-1.433480068615505</v>
      </c>
      <c r="AC488" s="3" t="n">
        <v>-2.345895099639892</v>
      </c>
      <c r="AD488" s="3" t="n">
        <v>-0.9006037865366254</v>
      </c>
      <c r="AE488" s="3" t="n">
        <v>-0.9006037865366254</v>
      </c>
    </row>
    <row r="489">
      <c r="A489" s="3" t="inlineStr">
        <is>
          <t>CRI.distn.dec.ove.mean.2</t>
        </is>
      </c>
      <c r="B489" s="3" t="inlineStr">
        <is>
          <t>CRI</t>
        </is>
      </c>
      <c r="C489" s="3" t="n">
        <v>2005</v>
      </c>
      <c r="D489" s="3" t="inlineStr">
        <is>
          <t>Overall</t>
        </is>
      </c>
      <c r="E489" s="3" t="inlineStr">
        <is>
          <t>Deciles</t>
        </is>
      </c>
      <c r="F489" s="3" t="inlineStr">
        <is>
          <t>mean</t>
        </is>
      </c>
      <c r="G489" s="3" t="n">
        <v>2</v>
      </c>
      <c r="H489" s="3" t="n">
        <v>-0.7898249251501901</v>
      </c>
      <c r="I489" s="3" t="n">
        <v>-0.7898249251501901</v>
      </c>
      <c r="J489" s="3" t="n">
        <v>-0.9006037865366254</v>
      </c>
      <c r="K489" s="3" t="n">
        <v>-0.9006037865366254</v>
      </c>
      <c r="L489" s="3" t="n">
        <v>-0.7898249251501901</v>
      </c>
      <c r="M489" s="3" t="n">
        <v>-0.7898249251501901</v>
      </c>
      <c r="N489" s="3" t="n">
        <v>-0.7898249251501901</v>
      </c>
      <c r="O489" s="3" t="n">
        <v>-0.7898249251501901</v>
      </c>
      <c r="P489" s="3" t="n">
        <v>-0.7898249251501901</v>
      </c>
      <c r="Q489" s="3" t="n">
        <v>-0.7898249251501901</v>
      </c>
      <c r="R489" s="3" t="n">
        <v>-0.7744465725762504</v>
      </c>
      <c r="S489" s="3" t="n">
        <v>-1.490841317176819</v>
      </c>
      <c r="T489" s="3" t="n">
        <v>-0.7100824441228594</v>
      </c>
      <c r="U489" s="3" t="n">
        <v>-0.9006037865366254</v>
      </c>
      <c r="V489" s="3" t="n">
        <v>-0.6846477542604719</v>
      </c>
      <c r="W489" s="3" t="n">
        <v>-0.6204802887780326</v>
      </c>
      <c r="X489" s="3" t="n">
        <v>-1.433480068615505</v>
      </c>
      <c r="Y489" s="3" t="n">
        <v>-0.7898249251501901</v>
      </c>
      <c r="Z489" s="3" t="n">
        <v>-1.490841317176819</v>
      </c>
      <c r="AA489" s="3" t="n">
        <v>-1.490841317176819</v>
      </c>
      <c r="AB489" s="3" t="n">
        <v>-1.433480068615505</v>
      </c>
      <c r="AC489" s="3" t="n">
        <v>-2.345895099639892</v>
      </c>
      <c r="AD489" s="3" t="n">
        <v>-0.9006037865366254</v>
      </c>
      <c r="AE489" s="3" t="n">
        <v>-0.9006037865366254</v>
      </c>
    </row>
    <row r="490">
      <c r="A490" s="3" t="inlineStr">
        <is>
          <t>CRI.distn.dec.ove.mean.3</t>
        </is>
      </c>
      <c r="B490" s="3" t="inlineStr">
        <is>
          <t>CRI</t>
        </is>
      </c>
      <c r="C490" s="3" t="n">
        <v>2005</v>
      </c>
      <c r="D490" s="3" t="inlineStr">
        <is>
          <t>Overall</t>
        </is>
      </c>
      <c r="E490" s="3" t="inlineStr">
        <is>
          <t>Deciles</t>
        </is>
      </c>
      <c r="F490" s="3" t="inlineStr">
        <is>
          <t>mean</t>
        </is>
      </c>
      <c r="G490" s="3" t="n">
        <v>3</v>
      </c>
      <c r="H490" s="3" t="n">
        <v>-0.7898249251501901</v>
      </c>
      <c r="I490" s="3" t="n">
        <v>-0.7898249251501901</v>
      </c>
      <c r="J490" s="3" t="n">
        <v>-0.9006037865366254</v>
      </c>
      <c r="K490" s="3" t="n">
        <v>-0.9006037865366254</v>
      </c>
      <c r="L490" s="3" t="n">
        <v>-0.7898249251501901</v>
      </c>
      <c r="M490" s="3" t="n">
        <v>-0.7898249251501901</v>
      </c>
      <c r="N490" s="3" t="n">
        <v>-0.7898249251501901</v>
      </c>
      <c r="O490" s="3" t="n">
        <v>-0.7898249251501901</v>
      </c>
      <c r="P490" s="3" t="n">
        <v>-0.7898249251501901</v>
      </c>
      <c r="Q490" s="3" t="n">
        <v>-0.7898249251501901</v>
      </c>
      <c r="R490" s="3" t="n">
        <v>-0.7744465725762504</v>
      </c>
      <c r="S490" s="3" t="n">
        <v>-1.490841317176819</v>
      </c>
      <c r="T490" s="3" t="n">
        <v>-0.7100824441228594</v>
      </c>
      <c r="U490" s="3" t="n">
        <v>-0.9006037865366254</v>
      </c>
      <c r="V490" s="3" t="n">
        <v>-0.6846477542604719</v>
      </c>
      <c r="W490" s="3" t="n">
        <v>-0.6204802887780326</v>
      </c>
      <c r="X490" s="3" t="n">
        <v>-1.433480068615505</v>
      </c>
      <c r="Y490" s="3" t="n">
        <v>-0.7898249251501901</v>
      </c>
      <c r="Z490" s="3" t="n">
        <v>-1.490841317176819</v>
      </c>
      <c r="AA490" s="3" t="n">
        <v>-1.490841317176819</v>
      </c>
      <c r="AB490" s="3" t="n">
        <v>-1.433480068615505</v>
      </c>
      <c r="AC490" s="3" t="n">
        <v>-2.345895099639892</v>
      </c>
      <c r="AD490" s="3" t="n">
        <v>-0.9006037865366254</v>
      </c>
      <c r="AE490" s="3" t="n">
        <v>-0.9006037865366254</v>
      </c>
    </row>
    <row r="491">
      <c r="A491" s="3" t="inlineStr">
        <is>
          <t>CRI.distn.dec.ove.mean.4</t>
        </is>
      </c>
      <c r="B491" s="3" t="inlineStr">
        <is>
          <t>CRI</t>
        </is>
      </c>
      <c r="C491" s="3" t="n">
        <v>2005</v>
      </c>
      <c r="D491" s="3" t="inlineStr">
        <is>
          <t>Overall</t>
        </is>
      </c>
      <c r="E491" s="3" t="inlineStr">
        <is>
          <t>Deciles</t>
        </is>
      </c>
      <c r="F491" s="3" t="inlineStr">
        <is>
          <t>mean</t>
        </is>
      </c>
      <c r="G491" s="3" t="n">
        <v>4</v>
      </c>
      <c r="H491" s="3" t="n">
        <v>-0.7835714289120266</v>
      </c>
      <c r="I491" s="3" t="n">
        <v>-0.7835714289120266</v>
      </c>
      <c r="J491" s="3" t="n">
        <v>-0.8570857082094465</v>
      </c>
      <c r="K491" s="3" t="n">
        <v>-0.8570857082094465</v>
      </c>
      <c r="L491" s="3" t="n">
        <v>-0.7835714289120266</v>
      </c>
      <c r="M491" s="3" t="n">
        <v>-0.7835714289120266</v>
      </c>
      <c r="N491" s="3" t="n">
        <v>-0.7835714289120266</v>
      </c>
      <c r="O491" s="3" t="n">
        <v>-0.7835714289120266</v>
      </c>
      <c r="P491" s="3" t="n">
        <v>-0.7835714289120266</v>
      </c>
      <c r="Q491" s="3" t="n">
        <v>-0.7835714289120266</v>
      </c>
      <c r="R491" s="3" t="n">
        <v>-0.7709714361599513</v>
      </c>
      <c r="S491" s="3" t="n">
        <v>-1.015428565229688</v>
      </c>
      <c r="T491" s="3" t="n">
        <v>-0.708628567627498</v>
      </c>
      <c r="U491" s="3" t="n">
        <v>-0.8570857082094465</v>
      </c>
      <c r="V491" s="3" t="n">
        <v>-0.6776857103620256</v>
      </c>
      <c r="W491" s="3" t="n">
        <v>-0.5221999968801226</v>
      </c>
      <c r="X491" s="3" t="n">
        <v>-1.011657135827201</v>
      </c>
      <c r="Y491" s="3" t="n">
        <v>-0.7835714289120266</v>
      </c>
      <c r="Z491" s="3" t="n">
        <v>-1.015428565229688</v>
      </c>
      <c r="AA491" s="3" t="n">
        <v>-1.015428565229688</v>
      </c>
      <c r="AB491" s="3" t="n">
        <v>-1.011657135827201</v>
      </c>
      <c r="AC491" s="3" t="n">
        <v>-1.132885714939662</v>
      </c>
      <c r="AD491" s="3" t="n">
        <v>-0.8570857082094465</v>
      </c>
      <c r="AE491" s="3" t="n">
        <v>-0.8570857082094465</v>
      </c>
    </row>
    <row r="492">
      <c r="A492" s="3" t="inlineStr">
        <is>
          <t>CRI.distn.dec.ove.mean.5</t>
        </is>
      </c>
      <c r="B492" s="3" t="inlineStr">
        <is>
          <t>CRI</t>
        </is>
      </c>
      <c r="C492" s="3" t="n">
        <v>2005</v>
      </c>
      <c r="D492" s="3" t="inlineStr">
        <is>
          <t>Overall</t>
        </is>
      </c>
      <c r="E492" s="3" t="inlineStr">
        <is>
          <t>Deciles</t>
        </is>
      </c>
      <c r="F492" s="3" t="inlineStr">
        <is>
          <t>mean</t>
        </is>
      </c>
      <c r="G492" s="3" t="n">
        <v>5</v>
      </c>
      <c r="H492" s="3" t="n">
        <v>-0.7835714289120266</v>
      </c>
      <c r="I492" s="3" t="n">
        <v>-0.7835714289120266</v>
      </c>
      <c r="J492" s="3" t="n">
        <v>-0.8570857082094465</v>
      </c>
      <c r="K492" s="3" t="n">
        <v>-0.8570857082094465</v>
      </c>
      <c r="L492" s="3" t="n">
        <v>-0.7835714289120266</v>
      </c>
      <c r="M492" s="3" t="n">
        <v>-0.7835714289120266</v>
      </c>
      <c r="N492" s="3" t="n">
        <v>-0.7835714289120266</v>
      </c>
      <c r="O492" s="3" t="n">
        <v>-0.7835714289120266</v>
      </c>
      <c r="P492" s="3" t="n">
        <v>-0.7835714289120266</v>
      </c>
      <c r="Q492" s="3" t="n">
        <v>-0.7835714289120266</v>
      </c>
      <c r="R492" s="3" t="n">
        <v>-0.7709714361599513</v>
      </c>
      <c r="S492" s="3" t="n">
        <v>-1.015428565229688</v>
      </c>
      <c r="T492" s="3" t="n">
        <v>-0.708628567627498</v>
      </c>
      <c r="U492" s="3" t="n">
        <v>-0.8570857082094465</v>
      </c>
      <c r="V492" s="3" t="n">
        <v>-0.6776857103620256</v>
      </c>
      <c r="W492" s="3" t="n">
        <v>-0.5221999968801226</v>
      </c>
      <c r="X492" s="3" t="n">
        <v>-1.011657135827201</v>
      </c>
      <c r="Y492" s="3" t="n">
        <v>-0.7835714289120266</v>
      </c>
      <c r="Z492" s="3" t="n">
        <v>-1.015428565229688</v>
      </c>
      <c r="AA492" s="3" t="n">
        <v>-1.015428565229688</v>
      </c>
      <c r="AB492" s="3" t="n">
        <v>-1.011657135827201</v>
      </c>
      <c r="AC492" s="3" t="n">
        <v>-1.132885714939662</v>
      </c>
      <c r="AD492" s="3" t="n">
        <v>-0.8570857082094465</v>
      </c>
      <c r="AE492" s="3" t="n">
        <v>-0.8570857082094465</v>
      </c>
    </row>
    <row r="493">
      <c r="A493" s="3" t="inlineStr">
        <is>
          <t>CRI.distn.dec.ove.mean.6</t>
        </is>
      </c>
      <c r="B493" s="3" t="inlineStr">
        <is>
          <t>CRI</t>
        </is>
      </c>
      <c r="C493" s="3" t="n">
        <v>2005</v>
      </c>
      <c r="D493" s="3" t="inlineStr">
        <is>
          <t>Overall</t>
        </is>
      </c>
      <c r="E493" s="3" t="inlineStr">
        <is>
          <t>Deciles</t>
        </is>
      </c>
      <c r="F493" s="3" t="inlineStr">
        <is>
          <t>mean</t>
        </is>
      </c>
      <c r="G493" s="3" t="n">
        <v>6</v>
      </c>
      <c r="H493" s="3" t="n">
        <v>-0.7835714289120266</v>
      </c>
      <c r="I493" s="3" t="n">
        <v>-0.7835714289120266</v>
      </c>
      <c r="J493" s="3" t="n">
        <v>-0.8570857082094465</v>
      </c>
      <c r="K493" s="3" t="n">
        <v>-0.8570857082094465</v>
      </c>
      <c r="L493" s="3" t="n">
        <v>-0.7835714289120266</v>
      </c>
      <c r="M493" s="3" t="n">
        <v>-0.7835714289120266</v>
      </c>
      <c r="N493" s="3" t="n">
        <v>-0.7835714289120266</v>
      </c>
      <c r="O493" s="3" t="n">
        <v>-0.7835714289120266</v>
      </c>
      <c r="P493" s="3" t="n">
        <v>-0.7835714289120266</v>
      </c>
      <c r="Q493" s="3" t="n">
        <v>-0.7835714289120266</v>
      </c>
      <c r="R493" s="3" t="n">
        <v>-0.7709714361599513</v>
      </c>
      <c r="S493" s="3" t="n">
        <v>-1.015428565229688</v>
      </c>
      <c r="T493" s="3" t="n">
        <v>-0.708628567627498</v>
      </c>
      <c r="U493" s="3" t="n">
        <v>-0.8570857082094465</v>
      </c>
      <c r="V493" s="3" t="n">
        <v>-0.6776857103620256</v>
      </c>
      <c r="W493" s="3" t="n">
        <v>-0.5221999968801226</v>
      </c>
      <c r="X493" s="3" t="n">
        <v>-1.011657135827201</v>
      </c>
      <c r="Y493" s="3" t="n">
        <v>-0.7835714289120266</v>
      </c>
      <c r="Z493" s="3" t="n">
        <v>-1.015428565229688</v>
      </c>
      <c r="AA493" s="3" t="n">
        <v>-1.015428565229688</v>
      </c>
      <c r="AB493" s="3" t="n">
        <v>-1.011657135827201</v>
      </c>
      <c r="AC493" s="3" t="n">
        <v>-1.132885714939662</v>
      </c>
      <c r="AD493" s="3" t="n">
        <v>-0.8570857082094465</v>
      </c>
      <c r="AE493" s="3" t="n">
        <v>-0.8570857082094465</v>
      </c>
    </row>
    <row r="494">
      <c r="A494" s="3" t="inlineStr">
        <is>
          <t>CRI.distn.dec.ove.mean.7</t>
        </is>
      </c>
      <c r="B494" s="3" t="inlineStr">
        <is>
          <t>CRI</t>
        </is>
      </c>
      <c r="C494" s="3" t="n">
        <v>2005</v>
      </c>
      <c r="D494" s="3" t="inlineStr">
        <is>
          <t>Overall</t>
        </is>
      </c>
      <c r="E494" s="3" t="inlineStr">
        <is>
          <t>Deciles</t>
        </is>
      </c>
      <c r="F494" s="3" t="inlineStr">
        <is>
          <t>mean</t>
        </is>
      </c>
      <c r="G494" s="3" t="n">
        <v>7</v>
      </c>
      <c r="H494" s="3" t="n">
        <v>-0.7835714289120266</v>
      </c>
      <c r="I494" s="3" t="n">
        <v>-0.7835714289120266</v>
      </c>
      <c r="J494" s="3" t="n">
        <v>-0.8570857082094465</v>
      </c>
      <c r="K494" s="3" t="n">
        <v>-0.8570857082094465</v>
      </c>
      <c r="L494" s="3" t="n">
        <v>-0.7835714289120266</v>
      </c>
      <c r="M494" s="3" t="n">
        <v>-0.7835714289120266</v>
      </c>
      <c r="N494" s="3" t="n">
        <v>-0.7835714289120266</v>
      </c>
      <c r="O494" s="3" t="n">
        <v>-0.7835714289120266</v>
      </c>
      <c r="P494" s="3" t="n">
        <v>-0.7835714289120266</v>
      </c>
      <c r="Q494" s="3" t="n">
        <v>-0.7835714289120266</v>
      </c>
      <c r="R494" s="3" t="n">
        <v>-0.7709714361599513</v>
      </c>
      <c r="S494" s="3" t="n">
        <v>-1.015428565229688</v>
      </c>
      <c r="T494" s="3" t="n">
        <v>-0.708628567627498</v>
      </c>
      <c r="U494" s="3" t="n">
        <v>-0.8570857082094465</v>
      </c>
      <c r="V494" s="3" t="n">
        <v>-0.6776857103620256</v>
      </c>
      <c r="W494" s="3" t="n">
        <v>-0.5221999968801226</v>
      </c>
      <c r="X494" s="3" t="n">
        <v>-1.011657135827201</v>
      </c>
      <c r="Y494" s="3" t="n">
        <v>-0.7835714289120266</v>
      </c>
      <c r="Z494" s="3" t="n">
        <v>-1.015428565229688</v>
      </c>
      <c r="AA494" s="3" t="n">
        <v>-1.015428565229688</v>
      </c>
      <c r="AB494" s="3" t="n">
        <v>-1.011657135827201</v>
      </c>
      <c r="AC494" s="3" t="n">
        <v>-1.132885714939662</v>
      </c>
      <c r="AD494" s="3" t="n">
        <v>-0.8570857082094465</v>
      </c>
      <c r="AE494" s="3" t="n">
        <v>-0.8570857082094465</v>
      </c>
    </row>
    <row r="495">
      <c r="A495" s="3" t="inlineStr">
        <is>
          <t>CRI.distn.dec.ove.mean.8</t>
        </is>
      </c>
      <c r="B495" s="3" t="inlineStr">
        <is>
          <t>CRI</t>
        </is>
      </c>
      <c r="C495" s="3" t="n">
        <v>2005</v>
      </c>
      <c r="D495" s="3" t="inlineStr">
        <is>
          <t>Overall</t>
        </is>
      </c>
      <c r="E495" s="3" t="inlineStr">
        <is>
          <t>Deciles</t>
        </is>
      </c>
      <c r="F495" s="3" t="inlineStr">
        <is>
          <t>mean</t>
        </is>
      </c>
      <c r="G495" s="3" t="n">
        <v>8</v>
      </c>
      <c r="H495" s="3" t="n">
        <v>-0.7839489357812064</v>
      </c>
      <c r="I495" s="3" t="n">
        <v>-0.7839489357812064</v>
      </c>
      <c r="J495" s="3" t="n">
        <v>-0.8593977723802839</v>
      </c>
      <c r="K495" s="3" t="n">
        <v>-0.8593977723802839</v>
      </c>
      <c r="L495" s="3" t="n">
        <v>-0.7839489357812064</v>
      </c>
      <c r="M495" s="3" t="n">
        <v>-0.7839489357812064</v>
      </c>
      <c r="N495" s="3" t="n">
        <v>-0.7839489357812064</v>
      </c>
      <c r="O495" s="3" t="n">
        <v>-0.7839489357812064</v>
      </c>
      <c r="P495" s="3" t="n">
        <v>-0.7839489357812064</v>
      </c>
      <c r="Q495" s="3" t="n">
        <v>-0.7839489357812064</v>
      </c>
      <c r="R495" s="3" t="n">
        <v>-0.7712249892098563</v>
      </c>
      <c r="S495" s="3" t="n">
        <v>-1.024877253600529</v>
      </c>
      <c r="T495" s="3" t="n">
        <v>-0.7086694342749459</v>
      </c>
      <c r="U495" s="3" t="n">
        <v>-0.8593977723802839</v>
      </c>
      <c r="V495" s="3" t="n">
        <v>-0.6783862863268171</v>
      </c>
      <c r="W495" s="3" t="n">
        <v>-0.5361838928290776</v>
      </c>
      <c r="X495" s="3" t="n">
        <v>-1.020875356878553</v>
      </c>
      <c r="Y495" s="3" t="n">
        <v>-0.7839489357812064</v>
      </c>
      <c r="Z495" s="3" t="n">
        <v>-1.024877253600529</v>
      </c>
      <c r="AA495" s="3" t="n">
        <v>-1.024877253600529</v>
      </c>
      <c r="AB495" s="3" t="n">
        <v>-1.020875356878553</v>
      </c>
      <c r="AC495" s="3" t="n">
        <v>-1.149042170388358</v>
      </c>
      <c r="AD495" s="3" t="n">
        <v>-0.8593977723802839</v>
      </c>
      <c r="AE495" s="3" t="n">
        <v>-0.8593977723802839</v>
      </c>
    </row>
    <row r="496">
      <c r="A496" s="3" t="inlineStr">
        <is>
          <t>CRI.distn.dec.ove.mean.9</t>
        </is>
      </c>
      <c r="B496" s="3" t="inlineStr">
        <is>
          <t>CRI</t>
        </is>
      </c>
      <c r="C496" s="3" t="n">
        <v>2005</v>
      </c>
      <c r="D496" s="3" t="inlineStr">
        <is>
          <t>Overall</t>
        </is>
      </c>
      <c r="E496" s="3" t="inlineStr">
        <is>
          <t>Deciles</t>
        </is>
      </c>
      <c r="F496" s="3" t="inlineStr">
        <is>
          <t>mean</t>
        </is>
      </c>
      <c r="G496" s="3" t="n">
        <v>9</v>
      </c>
      <c r="H496" s="3" t="n">
        <v>-0.7839489357812064</v>
      </c>
      <c r="I496" s="3" t="n">
        <v>-0.7839489357812064</v>
      </c>
      <c r="J496" s="3" t="n">
        <v>-0.8593977723802839</v>
      </c>
      <c r="K496" s="3" t="n">
        <v>-0.8593977723802839</v>
      </c>
      <c r="L496" s="3" t="n">
        <v>-0.7839489357812064</v>
      </c>
      <c r="M496" s="3" t="n">
        <v>-0.7839489357812064</v>
      </c>
      <c r="N496" s="3" t="n">
        <v>-0.7839489357812064</v>
      </c>
      <c r="O496" s="3" t="n">
        <v>-0.7839489357812064</v>
      </c>
      <c r="P496" s="3" t="n">
        <v>-0.7839489357812064</v>
      </c>
      <c r="Q496" s="3" t="n">
        <v>-0.7839489357812064</v>
      </c>
      <c r="R496" s="3" t="n">
        <v>-0.7712249892098563</v>
      </c>
      <c r="S496" s="3" t="n">
        <v>-1.024877253600529</v>
      </c>
      <c r="T496" s="3" t="n">
        <v>-0.7086694342749459</v>
      </c>
      <c r="U496" s="3" t="n">
        <v>-0.8593977723802839</v>
      </c>
      <c r="V496" s="3" t="n">
        <v>-0.6783862863268171</v>
      </c>
      <c r="W496" s="3" t="n">
        <v>-0.5361838928290776</v>
      </c>
      <c r="X496" s="3" t="n">
        <v>-1.020875356878553</v>
      </c>
      <c r="Y496" s="3" t="n">
        <v>-0.7839489357812064</v>
      </c>
      <c r="Z496" s="3" t="n">
        <v>-1.024877253600529</v>
      </c>
      <c r="AA496" s="3" t="n">
        <v>-1.024877253600529</v>
      </c>
      <c r="AB496" s="3" t="n">
        <v>-1.020875356878553</v>
      </c>
      <c r="AC496" s="3" t="n">
        <v>-1.149042170388358</v>
      </c>
      <c r="AD496" s="3" t="n">
        <v>-0.8593977723802839</v>
      </c>
      <c r="AE496" s="3" t="n">
        <v>-0.8593977723802839</v>
      </c>
    </row>
    <row r="497">
      <c r="A497" s="3" t="inlineStr">
        <is>
          <t>CRI.distn.dec.ove.mean.10</t>
        </is>
      </c>
      <c r="B497" s="3" t="inlineStr">
        <is>
          <t>CRI</t>
        </is>
      </c>
      <c r="C497" s="3" t="n">
        <v>2005</v>
      </c>
      <c r="D497" s="3" t="inlineStr">
        <is>
          <t>Overall</t>
        </is>
      </c>
      <c r="E497" s="3" t="inlineStr">
        <is>
          <t>Deciles</t>
        </is>
      </c>
      <c r="F497" s="3" t="inlineStr">
        <is>
          <t>mean</t>
        </is>
      </c>
      <c r="G497" s="3" t="n">
        <v>10</v>
      </c>
      <c r="H497" s="3" t="n">
        <v>-0.7839489357812064</v>
      </c>
      <c r="I497" s="3" t="n">
        <v>-0.7839489357812064</v>
      </c>
      <c r="J497" s="3" t="n">
        <v>-0.8593977723802839</v>
      </c>
      <c r="K497" s="3" t="n">
        <v>-0.8593977723802839</v>
      </c>
      <c r="L497" s="3" t="n">
        <v>-0.7839489357812064</v>
      </c>
      <c r="M497" s="3" t="n">
        <v>-0.7839489357812064</v>
      </c>
      <c r="N497" s="3" t="n">
        <v>-0.7839489357812064</v>
      </c>
      <c r="O497" s="3" t="n">
        <v>-0.7839489357812064</v>
      </c>
      <c r="P497" s="3" t="n">
        <v>-0.7839489357812064</v>
      </c>
      <c r="Q497" s="3" t="n">
        <v>-0.7839489357812064</v>
      </c>
      <c r="R497" s="3" t="n">
        <v>-0.7712249892098563</v>
      </c>
      <c r="S497" s="3" t="n">
        <v>-1.024877253600529</v>
      </c>
      <c r="T497" s="3" t="n">
        <v>-0.7086694342749459</v>
      </c>
      <c r="U497" s="3" t="n">
        <v>-0.8593977723802839</v>
      </c>
      <c r="V497" s="3" t="n">
        <v>-0.6783862863268171</v>
      </c>
      <c r="W497" s="3" t="n">
        <v>-0.5361838928290776</v>
      </c>
      <c r="X497" s="3" t="n">
        <v>-1.020875356878553</v>
      </c>
      <c r="Y497" s="3" t="n">
        <v>-0.7839489357812064</v>
      </c>
      <c r="Z497" s="3" t="n">
        <v>-1.024877253600529</v>
      </c>
      <c r="AA497" s="3" t="n">
        <v>-1.024877253600529</v>
      </c>
      <c r="AB497" s="3" t="n">
        <v>-1.020875356878553</v>
      </c>
      <c r="AC497" s="3" t="n">
        <v>-1.149042170388358</v>
      </c>
      <c r="AD497" s="3" t="n">
        <v>-0.8593977723802839</v>
      </c>
      <c r="AE497" s="3" t="n">
        <v>-0.8593977723802839</v>
      </c>
    </row>
    <row r="498">
      <c r="A498" s="3" t="inlineStr">
        <is>
          <t>CRI.distn.bkt.ove.mean.9999</t>
        </is>
      </c>
      <c r="B498" s="3" t="inlineStr">
        <is>
          <t>CRI</t>
        </is>
      </c>
      <c r="C498" s="3" t="n">
        <v>2005</v>
      </c>
      <c r="D498" s="3" t="inlineStr">
        <is>
          <t>Overall</t>
        </is>
      </c>
      <c r="E498" s="3" t="inlineStr">
        <is>
          <t>Basket</t>
        </is>
      </c>
      <c r="F498" s="3" t="inlineStr">
        <is>
          <t>mean</t>
        </is>
      </c>
      <c r="G498" s="3" t="n">
        <v>9999</v>
      </c>
      <c r="H498" s="3" t="n">
        <v>-0.7855607322284154</v>
      </c>
      <c r="I498" s="3" t="n">
        <v>-0.7855607322284154</v>
      </c>
      <c r="J498" s="3" t="n">
        <v>-0.8708347541945322</v>
      </c>
      <c r="K498" s="3" t="n">
        <v>-0.8708347541945322</v>
      </c>
      <c r="L498" s="3" t="n">
        <v>-0.7855607322284154</v>
      </c>
      <c r="M498" s="3" t="n">
        <v>-0.7855607322284154</v>
      </c>
      <c r="N498" s="3" t="n">
        <v>-0.7855607322284154</v>
      </c>
      <c r="O498" s="3" t="n">
        <v>-0.7855607322284154</v>
      </c>
      <c r="P498" s="3" t="n">
        <v>-0.7855607322284154</v>
      </c>
      <c r="Q498" s="3" t="n">
        <v>-0.7855607322284154</v>
      </c>
      <c r="R498" s="3" t="n">
        <v>-0.7720900552613394</v>
      </c>
      <c r="S498" s="3" t="n">
        <v>-1.160887002944946</v>
      </c>
      <c r="T498" s="3" t="n">
        <v>-0.7090769904000419</v>
      </c>
      <c r="U498" s="3" t="n">
        <v>-0.8708347541945322</v>
      </c>
      <c r="V498" s="3" t="n">
        <v>-0.6799844878060477</v>
      </c>
      <c r="W498" s="3" t="n">
        <v>-0.5558792540005275</v>
      </c>
      <c r="X498" s="3" t="n">
        <v>-1.140969473975045</v>
      </c>
      <c r="Y498" s="3" t="n">
        <v>-0.7855607322284154</v>
      </c>
      <c r="Z498" s="3" t="n">
        <v>-1.160887002944946</v>
      </c>
      <c r="AA498" s="3" t="n">
        <v>-1.160887002944946</v>
      </c>
      <c r="AB498" s="3" t="n">
        <v>-1.140969473975045</v>
      </c>
      <c r="AC498" s="3" t="n">
        <v>-1.501635466303144</v>
      </c>
      <c r="AD498" s="3" t="n">
        <v>-0.8708347541945322</v>
      </c>
      <c r="AE498" s="3" t="n">
        <v>-0.8708347541945322</v>
      </c>
    </row>
    <row r="499">
      <c r="A499" s="3" t="inlineStr">
        <is>
          <t>CUB.distn.dec.ove.mean.1</t>
        </is>
      </c>
      <c r="B499" s="3" t="inlineStr">
        <is>
          <t>CUB</t>
        </is>
      </c>
      <c r="C499" s="3" t="n">
        <v>2005</v>
      </c>
      <c r="D499" s="3" t="inlineStr">
        <is>
          <t>Overall</t>
        </is>
      </c>
      <c r="E499" s="3" t="inlineStr">
        <is>
          <t>Deciles</t>
        </is>
      </c>
      <c r="F499" s="3" t="inlineStr">
        <is>
          <t>mean</t>
        </is>
      </c>
      <c r="G499" s="3" t="n">
        <v>1</v>
      </c>
      <c r="H499" s="3" t="n">
        <v>-0.7898249251501901</v>
      </c>
      <c r="I499" s="3" t="n">
        <v>-0.7898249251501901</v>
      </c>
      <c r="J499" s="3" t="n">
        <v>-0.9006037865366254</v>
      </c>
      <c r="K499" s="3" t="n">
        <v>-0.9006037865366254</v>
      </c>
      <c r="L499" s="3" t="n">
        <v>-0.7898249251501901</v>
      </c>
      <c r="M499" s="3" t="n">
        <v>-0.7898249251501901</v>
      </c>
      <c r="N499" s="3" t="n">
        <v>-0.7898249251501901</v>
      </c>
      <c r="O499" s="3" t="n">
        <v>-0.7898249251501901</v>
      </c>
      <c r="P499" s="3" t="n">
        <v>-0.7898249251501901</v>
      </c>
      <c r="Q499" s="3" t="n">
        <v>-0.7898249251501901</v>
      </c>
      <c r="R499" s="3" t="n">
        <v>-0.7744465725762504</v>
      </c>
      <c r="S499" s="3" t="n">
        <v>-1.490841317176819</v>
      </c>
      <c r="T499" s="3" t="n">
        <v>-0.7100824441228594</v>
      </c>
      <c r="U499" s="3" t="n">
        <v>-0.9006037865366254</v>
      </c>
      <c r="V499" s="3" t="n">
        <v>-0.6846477542604719</v>
      </c>
      <c r="W499" s="3" t="n">
        <v>-0.6204802887780326</v>
      </c>
      <c r="X499" s="3" t="n">
        <v>-1.433480068615505</v>
      </c>
      <c r="Y499" s="3" t="n">
        <v>-0.7898249251501901</v>
      </c>
      <c r="Z499" s="3" t="n">
        <v>-1.490841317176819</v>
      </c>
      <c r="AA499" s="3" t="n">
        <v>-1.490841317176819</v>
      </c>
      <c r="AB499" s="3" t="n">
        <v>-1.433480068615505</v>
      </c>
      <c r="AC499" s="3" t="n">
        <v>-2.345895099639892</v>
      </c>
      <c r="AD499" s="3" t="n">
        <v>-0.9006037865366254</v>
      </c>
      <c r="AE499" s="3" t="n">
        <v>-0.9006037865366254</v>
      </c>
    </row>
    <row r="500">
      <c r="A500" s="3" t="inlineStr">
        <is>
          <t>CUB.distn.dec.ove.mean.2</t>
        </is>
      </c>
      <c r="B500" s="3" t="inlineStr">
        <is>
          <t>CUB</t>
        </is>
      </c>
      <c r="C500" s="3" t="n">
        <v>2005</v>
      </c>
      <c r="D500" s="3" t="inlineStr">
        <is>
          <t>Overall</t>
        </is>
      </c>
      <c r="E500" s="3" t="inlineStr">
        <is>
          <t>Deciles</t>
        </is>
      </c>
      <c r="F500" s="3" t="inlineStr">
        <is>
          <t>mean</t>
        </is>
      </c>
      <c r="G500" s="3" t="n">
        <v>2</v>
      </c>
      <c r="H500" s="3" t="n">
        <v>-0.7898249251501901</v>
      </c>
      <c r="I500" s="3" t="n">
        <v>-0.7898249251501901</v>
      </c>
      <c r="J500" s="3" t="n">
        <v>-0.9006037865366254</v>
      </c>
      <c r="K500" s="3" t="n">
        <v>-0.9006037865366254</v>
      </c>
      <c r="L500" s="3" t="n">
        <v>-0.7898249251501901</v>
      </c>
      <c r="M500" s="3" t="n">
        <v>-0.7898249251501901</v>
      </c>
      <c r="N500" s="3" t="n">
        <v>-0.7898249251501901</v>
      </c>
      <c r="O500" s="3" t="n">
        <v>-0.7898249251501901</v>
      </c>
      <c r="P500" s="3" t="n">
        <v>-0.7898249251501901</v>
      </c>
      <c r="Q500" s="3" t="n">
        <v>-0.7898249251501901</v>
      </c>
      <c r="R500" s="3" t="n">
        <v>-0.7744465725762504</v>
      </c>
      <c r="S500" s="3" t="n">
        <v>-1.490841317176819</v>
      </c>
      <c r="T500" s="3" t="n">
        <v>-0.7100824441228594</v>
      </c>
      <c r="U500" s="3" t="n">
        <v>-0.9006037865366254</v>
      </c>
      <c r="V500" s="3" t="n">
        <v>-0.6846477542604719</v>
      </c>
      <c r="W500" s="3" t="n">
        <v>-0.6204802887780326</v>
      </c>
      <c r="X500" s="3" t="n">
        <v>-1.433480068615505</v>
      </c>
      <c r="Y500" s="3" t="n">
        <v>-0.7898249251501901</v>
      </c>
      <c r="Z500" s="3" t="n">
        <v>-1.490841317176819</v>
      </c>
      <c r="AA500" s="3" t="n">
        <v>-1.490841317176819</v>
      </c>
      <c r="AB500" s="3" t="n">
        <v>-1.433480068615505</v>
      </c>
      <c r="AC500" s="3" t="n">
        <v>-2.345895099639892</v>
      </c>
      <c r="AD500" s="3" t="n">
        <v>-0.9006037865366254</v>
      </c>
      <c r="AE500" s="3" t="n">
        <v>-0.9006037865366254</v>
      </c>
    </row>
    <row r="501">
      <c r="A501" s="3" t="inlineStr">
        <is>
          <t>CUB.distn.dec.ove.mean.3</t>
        </is>
      </c>
      <c r="B501" s="3" t="inlineStr">
        <is>
          <t>CUB</t>
        </is>
      </c>
      <c r="C501" s="3" t="n">
        <v>2005</v>
      </c>
      <c r="D501" s="3" t="inlineStr">
        <is>
          <t>Overall</t>
        </is>
      </c>
      <c r="E501" s="3" t="inlineStr">
        <is>
          <t>Deciles</t>
        </is>
      </c>
      <c r="F501" s="3" t="inlineStr">
        <is>
          <t>mean</t>
        </is>
      </c>
      <c r="G501" s="3" t="n">
        <v>3</v>
      </c>
      <c r="H501" s="3" t="n">
        <v>-0.7898249251501901</v>
      </c>
      <c r="I501" s="3" t="n">
        <v>-0.7898249251501901</v>
      </c>
      <c r="J501" s="3" t="n">
        <v>-0.9006037865366254</v>
      </c>
      <c r="K501" s="3" t="n">
        <v>-0.9006037865366254</v>
      </c>
      <c r="L501" s="3" t="n">
        <v>-0.7898249251501901</v>
      </c>
      <c r="M501" s="3" t="n">
        <v>-0.7898249251501901</v>
      </c>
      <c r="N501" s="3" t="n">
        <v>-0.7898249251501901</v>
      </c>
      <c r="O501" s="3" t="n">
        <v>-0.7898249251501901</v>
      </c>
      <c r="P501" s="3" t="n">
        <v>-0.7898249251501901</v>
      </c>
      <c r="Q501" s="3" t="n">
        <v>-0.7898249251501901</v>
      </c>
      <c r="R501" s="3" t="n">
        <v>-0.7744465725762504</v>
      </c>
      <c r="S501" s="3" t="n">
        <v>-1.490841317176819</v>
      </c>
      <c r="T501" s="3" t="n">
        <v>-0.7100824441228594</v>
      </c>
      <c r="U501" s="3" t="n">
        <v>-0.9006037865366254</v>
      </c>
      <c r="V501" s="3" t="n">
        <v>-0.6846477542604719</v>
      </c>
      <c r="W501" s="3" t="n">
        <v>-0.6204802887780326</v>
      </c>
      <c r="X501" s="3" t="n">
        <v>-1.433480068615505</v>
      </c>
      <c r="Y501" s="3" t="n">
        <v>-0.7898249251501901</v>
      </c>
      <c r="Z501" s="3" t="n">
        <v>-1.490841317176819</v>
      </c>
      <c r="AA501" s="3" t="n">
        <v>-1.490841317176819</v>
      </c>
      <c r="AB501" s="3" t="n">
        <v>-1.433480068615505</v>
      </c>
      <c r="AC501" s="3" t="n">
        <v>-2.345895099639892</v>
      </c>
      <c r="AD501" s="3" t="n">
        <v>-0.9006037865366254</v>
      </c>
      <c r="AE501" s="3" t="n">
        <v>-0.9006037865366254</v>
      </c>
    </row>
    <row r="502">
      <c r="A502" s="3" t="inlineStr">
        <is>
          <t>CUB.distn.dec.ove.mean.4</t>
        </is>
      </c>
      <c r="B502" s="3" t="inlineStr">
        <is>
          <t>CUB</t>
        </is>
      </c>
      <c r="C502" s="3" t="n">
        <v>2005</v>
      </c>
      <c r="D502" s="3" t="inlineStr">
        <is>
          <t>Overall</t>
        </is>
      </c>
      <c r="E502" s="3" t="inlineStr">
        <is>
          <t>Deciles</t>
        </is>
      </c>
      <c r="F502" s="3" t="inlineStr">
        <is>
          <t>mean</t>
        </is>
      </c>
      <c r="G502" s="3" t="n">
        <v>4</v>
      </c>
      <c r="H502" s="3" t="n">
        <v>-0.7835714289120266</v>
      </c>
      <c r="I502" s="3" t="n">
        <v>-0.7835714289120266</v>
      </c>
      <c r="J502" s="3" t="n">
        <v>-0.8570857082094465</v>
      </c>
      <c r="K502" s="3" t="n">
        <v>-0.8570857082094465</v>
      </c>
      <c r="L502" s="3" t="n">
        <v>-0.7835714289120266</v>
      </c>
      <c r="M502" s="3" t="n">
        <v>-0.7835714289120266</v>
      </c>
      <c r="N502" s="3" t="n">
        <v>-0.7835714289120266</v>
      </c>
      <c r="O502" s="3" t="n">
        <v>-0.7835714289120266</v>
      </c>
      <c r="P502" s="3" t="n">
        <v>-0.7835714289120266</v>
      </c>
      <c r="Q502" s="3" t="n">
        <v>-0.7835714289120266</v>
      </c>
      <c r="R502" s="3" t="n">
        <v>-0.7709714361599513</v>
      </c>
      <c r="S502" s="3" t="n">
        <v>-1.015428565229688</v>
      </c>
      <c r="T502" s="3" t="n">
        <v>-0.708628567627498</v>
      </c>
      <c r="U502" s="3" t="n">
        <v>-0.8570857082094465</v>
      </c>
      <c r="V502" s="3" t="n">
        <v>-0.6776857103620256</v>
      </c>
      <c r="W502" s="3" t="n">
        <v>-0.5221999968801226</v>
      </c>
      <c r="X502" s="3" t="n">
        <v>-1.011657135827201</v>
      </c>
      <c r="Y502" s="3" t="n">
        <v>-0.7835714289120266</v>
      </c>
      <c r="Z502" s="3" t="n">
        <v>-1.015428565229688</v>
      </c>
      <c r="AA502" s="3" t="n">
        <v>-1.015428565229688</v>
      </c>
      <c r="AB502" s="3" t="n">
        <v>-1.011657135827201</v>
      </c>
      <c r="AC502" s="3" t="n">
        <v>-1.132885714939662</v>
      </c>
      <c r="AD502" s="3" t="n">
        <v>-0.8570857082094465</v>
      </c>
      <c r="AE502" s="3" t="n">
        <v>-0.8570857082094465</v>
      </c>
    </row>
    <row r="503">
      <c r="A503" s="3" t="inlineStr">
        <is>
          <t>CUB.distn.dec.ove.mean.5</t>
        </is>
      </c>
      <c r="B503" s="3" t="inlineStr">
        <is>
          <t>CUB</t>
        </is>
      </c>
      <c r="C503" s="3" t="n">
        <v>2005</v>
      </c>
      <c r="D503" s="3" t="inlineStr">
        <is>
          <t>Overall</t>
        </is>
      </c>
      <c r="E503" s="3" t="inlineStr">
        <is>
          <t>Deciles</t>
        </is>
      </c>
      <c r="F503" s="3" t="inlineStr">
        <is>
          <t>mean</t>
        </is>
      </c>
      <c r="G503" s="3" t="n">
        <v>5</v>
      </c>
      <c r="H503" s="3" t="n">
        <v>-0.7835714289120266</v>
      </c>
      <c r="I503" s="3" t="n">
        <v>-0.7835714289120266</v>
      </c>
      <c r="J503" s="3" t="n">
        <v>-0.8570857082094465</v>
      </c>
      <c r="K503" s="3" t="n">
        <v>-0.8570857082094465</v>
      </c>
      <c r="L503" s="3" t="n">
        <v>-0.7835714289120266</v>
      </c>
      <c r="M503" s="3" t="n">
        <v>-0.7835714289120266</v>
      </c>
      <c r="N503" s="3" t="n">
        <v>-0.7835714289120266</v>
      </c>
      <c r="O503" s="3" t="n">
        <v>-0.7835714289120266</v>
      </c>
      <c r="P503" s="3" t="n">
        <v>-0.7835714289120266</v>
      </c>
      <c r="Q503" s="3" t="n">
        <v>-0.7835714289120266</v>
      </c>
      <c r="R503" s="3" t="n">
        <v>-0.7709714361599513</v>
      </c>
      <c r="S503" s="3" t="n">
        <v>-1.015428565229688</v>
      </c>
      <c r="T503" s="3" t="n">
        <v>-0.708628567627498</v>
      </c>
      <c r="U503" s="3" t="n">
        <v>-0.8570857082094465</v>
      </c>
      <c r="V503" s="3" t="n">
        <v>-0.6776857103620256</v>
      </c>
      <c r="W503" s="3" t="n">
        <v>-0.5221999968801226</v>
      </c>
      <c r="X503" s="3" t="n">
        <v>-1.011657135827201</v>
      </c>
      <c r="Y503" s="3" t="n">
        <v>-0.7835714289120266</v>
      </c>
      <c r="Z503" s="3" t="n">
        <v>-1.015428565229688</v>
      </c>
      <c r="AA503" s="3" t="n">
        <v>-1.015428565229688</v>
      </c>
      <c r="AB503" s="3" t="n">
        <v>-1.011657135827201</v>
      </c>
      <c r="AC503" s="3" t="n">
        <v>-1.132885714939662</v>
      </c>
      <c r="AD503" s="3" t="n">
        <v>-0.8570857082094465</v>
      </c>
      <c r="AE503" s="3" t="n">
        <v>-0.8570857082094465</v>
      </c>
    </row>
    <row r="504">
      <c r="A504" s="3" t="inlineStr">
        <is>
          <t>CUB.distn.dec.ove.mean.6</t>
        </is>
      </c>
      <c r="B504" s="3" t="inlineStr">
        <is>
          <t>CUB</t>
        </is>
      </c>
      <c r="C504" s="3" t="n">
        <v>2005</v>
      </c>
      <c r="D504" s="3" t="inlineStr">
        <is>
          <t>Overall</t>
        </is>
      </c>
      <c r="E504" s="3" t="inlineStr">
        <is>
          <t>Deciles</t>
        </is>
      </c>
      <c r="F504" s="3" t="inlineStr">
        <is>
          <t>mean</t>
        </is>
      </c>
      <c r="G504" s="3" t="n">
        <v>6</v>
      </c>
      <c r="H504" s="3" t="n">
        <v>-0.7835714289120266</v>
      </c>
      <c r="I504" s="3" t="n">
        <v>-0.7835714289120266</v>
      </c>
      <c r="J504" s="3" t="n">
        <v>-0.8570857082094465</v>
      </c>
      <c r="K504" s="3" t="n">
        <v>-0.8570857082094465</v>
      </c>
      <c r="L504" s="3" t="n">
        <v>-0.7835714289120266</v>
      </c>
      <c r="M504" s="3" t="n">
        <v>-0.7835714289120266</v>
      </c>
      <c r="N504" s="3" t="n">
        <v>-0.7835714289120266</v>
      </c>
      <c r="O504" s="3" t="n">
        <v>-0.7835714289120266</v>
      </c>
      <c r="P504" s="3" t="n">
        <v>-0.7835714289120266</v>
      </c>
      <c r="Q504" s="3" t="n">
        <v>-0.7835714289120266</v>
      </c>
      <c r="R504" s="3" t="n">
        <v>-0.7709714361599513</v>
      </c>
      <c r="S504" s="3" t="n">
        <v>-1.015428565229688</v>
      </c>
      <c r="T504" s="3" t="n">
        <v>-0.708628567627498</v>
      </c>
      <c r="U504" s="3" t="n">
        <v>-0.8570857082094465</v>
      </c>
      <c r="V504" s="3" t="n">
        <v>-0.6776857103620256</v>
      </c>
      <c r="W504" s="3" t="n">
        <v>-0.5221999968801226</v>
      </c>
      <c r="X504" s="3" t="n">
        <v>-1.011657135827201</v>
      </c>
      <c r="Y504" s="3" t="n">
        <v>-0.7835714289120266</v>
      </c>
      <c r="Z504" s="3" t="n">
        <v>-1.015428565229688</v>
      </c>
      <c r="AA504" s="3" t="n">
        <v>-1.015428565229688</v>
      </c>
      <c r="AB504" s="3" t="n">
        <v>-1.011657135827201</v>
      </c>
      <c r="AC504" s="3" t="n">
        <v>-1.132885714939662</v>
      </c>
      <c r="AD504" s="3" t="n">
        <v>-0.8570857082094465</v>
      </c>
      <c r="AE504" s="3" t="n">
        <v>-0.8570857082094465</v>
      </c>
    </row>
    <row r="505">
      <c r="A505" s="3" t="inlineStr">
        <is>
          <t>CUB.distn.dec.ove.mean.7</t>
        </is>
      </c>
      <c r="B505" s="3" t="inlineStr">
        <is>
          <t>CUB</t>
        </is>
      </c>
      <c r="C505" s="3" t="n">
        <v>2005</v>
      </c>
      <c r="D505" s="3" t="inlineStr">
        <is>
          <t>Overall</t>
        </is>
      </c>
      <c r="E505" s="3" t="inlineStr">
        <is>
          <t>Deciles</t>
        </is>
      </c>
      <c r="F505" s="3" t="inlineStr">
        <is>
          <t>mean</t>
        </is>
      </c>
      <c r="G505" s="3" t="n">
        <v>7</v>
      </c>
      <c r="H505" s="3" t="n">
        <v>-0.7835714289120266</v>
      </c>
      <c r="I505" s="3" t="n">
        <v>-0.7835714289120266</v>
      </c>
      <c r="J505" s="3" t="n">
        <v>-0.8570857082094465</v>
      </c>
      <c r="K505" s="3" t="n">
        <v>-0.8570857082094465</v>
      </c>
      <c r="L505" s="3" t="n">
        <v>-0.7835714289120266</v>
      </c>
      <c r="M505" s="3" t="n">
        <v>-0.7835714289120266</v>
      </c>
      <c r="N505" s="3" t="n">
        <v>-0.7835714289120266</v>
      </c>
      <c r="O505" s="3" t="n">
        <v>-0.7835714289120266</v>
      </c>
      <c r="P505" s="3" t="n">
        <v>-0.7835714289120266</v>
      </c>
      <c r="Q505" s="3" t="n">
        <v>-0.7835714289120266</v>
      </c>
      <c r="R505" s="3" t="n">
        <v>-0.7709714361599513</v>
      </c>
      <c r="S505" s="3" t="n">
        <v>-1.015428565229688</v>
      </c>
      <c r="T505" s="3" t="n">
        <v>-0.708628567627498</v>
      </c>
      <c r="U505" s="3" t="n">
        <v>-0.8570857082094465</v>
      </c>
      <c r="V505" s="3" t="n">
        <v>-0.6776857103620256</v>
      </c>
      <c r="W505" s="3" t="n">
        <v>-0.5221999968801226</v>
      </c>
      <c r="X505" s="3" t="n">
        <v>-1.011657135827201</v>
      </c>
      <c r="Y505" s="3" t="n">
        <v>-0.7835714289120266</v>
      </c>
      <c r="Z505" s="3" t="n">
        <v>-1.015428565229688</v>
      </c>
      <c r="AA505" s="3" t="n">
        <v>-1.015428565229688</v>
      </c>
      <c r="AB505" s="3" t="n">
        <v>-1.011657135827201</v>
      </c>
      <c r="AC505" s="3" t="n">
        <v>-1.132885714939662</v>
      </c>
      <c r="AD505" s="3" t="n">
        <v>-0.8570857082094465</v>
      </c>
      <c r="AE505" s="3" t="n">
        <v>-0.8570857082094465</v>
      </c>
    </row>
    <row r="506">
      <c r="A506" s="3" t="inlineStr">
        <is>
          <t>CUB.distn.dec.ove.mean.8</t>
        </is>
      </c>
      <c r="B506" s="3" t="inlineStr">
        <is>
          <t>CUB</t>
        </is>
      </c>
      <c r="C506" s="3" t="n">
        <v>2005</v>
      </c>
      <c r="D506" s="3" t="inlineStr">
        <is>
          <t>Overall</t>
        </is>
      </c>
      <c r="E506" s="3" t="inlineStr">
        <is>
          <t>Deciles</t>
        </is>
      </c>
      <c r="F506" s="3" t="inlineStr">
        <is>
          <t>mean</t>
        </is>
      </c>
      <c r="G506" s="3" t="n">
        <v>8</v>
      </c>
      <c r="H506" s="3" t="n">
        <v>-0.7839489357812064</v>
      </c>
      <c r="I506" s="3" t="n">
        <v>-0.7839489357812064</v>
      </c>
      <c r="J506" s="3" t="n">
        <v>-0.8593977723802839</v>
      </c>
      <c r="K506" s="3" t="n">
        <v>-0.8593977723802839</v>
      </c>
      <c r="L506" s="3" t="n">
        <v>-0.7839489357812064</v>
      </c>
      <c r="M506" s="3" t="n">
        <v>-0.7839489357812064</v>
      </c>
      <c r="N506" s="3" t="n">
        <v>-0.7839489357812064</v>
      </c>
      <c r="O506" s="3" t="n">
        <v>-0.7839489357812064</v>
      </c>
      <c r="P506" s="3" t="n">
        <v>-0.7839489357812064</v>
      </c>
      <c r="Q506" s="3" t="n">
        <v>-0.7839489357812064</v>
      </c>
      <c r="R506" s="3" t="n">
        <v>-0.7712249892098563</v>
      </c>
      <c r="S506" s="3" t="n">
        <v>-1.024877253600529</v>
      </c>
      <c r="T506" s="3" t="n">
        <v>-0.7086694342749459</v>
      </c>
      <c r="U506" s="3" t="n">
        <v>-0.8593977723802839</v>
      </c>
      <c r="V506" s="3" t="n">
        <v>-0.6783862863268171</v>
      </c>
      <c r="W506" s="3" t="n">
        <v>-0.5361838928290776</v>
      </c>
      <c r="X506" s="3" t="n">
        <v>-1.020875356878553</v>
      </c>
      <c r="Y506" s="3" t="n">
        <v>-0.7839489357812064</v>
      </c>
      <c r="Z506" s="3" t="n">
        <v>-1.024877253600529</v>
      </c>
      <c r="AA506" s="3" t="n">
        <v>-1.024877253600529</v>
      </c>
      <c r="AB506" s="3" t="n">
        <v>-1.020875356878553</v>
      </c>
      <c r="AC506" s="3" t="n">
        <v>-1.149042170388358</v>
      </c>
      <c r="AD506" s="3" t="n">
        <v>-0.8593977723802839</v>
      </c>
      <c r="AE506" s="3" t="n">
        <v>-0.8593977723802839</v>
      </c>
    </row>
    <row r="507">
      <c r="A507" s="3" t="inlineStr">
        <is>
          <t>CUB.distn.dec.ove.mean.9</t>
        </is>
      </c>
      <c r="B507" s="3" t="inlineStr">
        <is>
          <t>CUB</t>
        </is>
      </c>
      <c r="C507" s="3" t="n">
        <v>2005</v>
      </c>
      <c r="D507" s="3" t="inlineStr">
        <is>
          <t>Overall</t>
        </is>
      </c>
      <c r="E507" s="3" t="inlineStr">
        <is>
          <t>Deciles</t>
        </is>
      </c>
      <c r="F507" s="3" t="inlineStr">
        <is>
          <t>mean</t>
        </is>
      </c>
      <c r="G507" s="3" t="n">
        <v>9</v>
      </c>
      <c r="H507" s="3" t="n">
        <v>-0.7839489357812064</v>
      </c>
      <c r="I507" s="3" t="n">
        <v>-0.7839489357812064</v>
      </c>
      <c r="J507" s="3" t="n">
        <v>-0.8593977723802839</v>
      </c>
      <c r="K507" s="3" t="n">
        <v>-0.8593977723802839</v>
      </c>
      <c r="L507" s="3" t="n">
        <v>-0.7839489357812064</v>
      </c>
      <c r="M507" s="3" t="n">
        <v>-0.7839489357812064</v>
      </c>
      <c r="N507" s="3" t="n">
        <v>-0.7839489357812064</v>
      </c>
      <c r="O507" s="3" t="n">
        <v>-0.7839489357812064</v>
      </c>
      <c r="P507" s="3" t="n">
        <v>-0.7839489357812064</v>
      </c>
      <c r="Q507" s="3" t="n">
        <v>-0.7839489357812064</v>
      </c>
      <c r="R507" s="3" t="n">
        <v>-0.7712249892098563</v>
      </c>
      <c r="S507" s="3" t="n">
        <v>-1.024877253600529</v>
      </c>
      <c r="T507" s="3" t="n">
        <v>-0.7086694342749459</v>
      </c>
      <c r="U507" s="3" t="n">
        <v>-0.8593977723802839</v>
      </c>
      <c r="V507" s="3" t="n">
        <v>-0.6783862863268171</v>
      </c>
      <c r="W507" s="3" t="n">
        <v>-0.5361838928290776</v>
      </c>
      <c r="X507" s="3" t="n">
        <v>-1.020875356878553</v>
      </c>
      <c r="Y507" s="3" t="n">
        <v>-0.7839489357812064</v>
      </c>
      <c r="Z507" s="3" t="n">
        <v>-1.024877253600529</v>
      </c>
      <c r="AA507" s="3" t="n">
        <v>-1.024877253600529</v>
      </c>
      <c r="AB507" s="3" t="n">
        <v>-1.020875356878553</v>
      </c>
      <c r="AC507" s="3" t="n">
        <v>-1.149042170388358</v>
      </c>
      <c r="AD507" s="3" t="n">
        <v>-0.8593977723802839</v>
      </c>
      <c r="AE507" s="3" t="n">
        <v>-0.8593977723802839</v>
      </c>
    </row>
    <row r="508">
      <c r="A508" s="3" t="inlineStr">
        <is>
          <t>CUB.distn.dec.ove.mean.10</t>
        </is>
      </c>
      <c r="B508" s="3" t="inlineStr">
        <is>
          <t>CUB</t>
        </is>
      </c>
      <c r="C508" s="3" t="n">
        <v>2005</v>
      </c>
      <c r="D508" s="3" t="inlineStr">
        <is>
          <t>Overall</t>
        </is>
      </c>
      <c r="E508" s="3" t="inlineStr">
        <is>
          <t>Deciles</t>
        </is>
      </c>
      <c r="F508" s="3" t="inlineStr">
        <is>
          <t>mean</t>
        </is>
      </c>
      <c r="G508" s="3" t="n">
        <v>10</v>
      </c>
      <c r="H508" s="3" t="n">
        <v>-0.7839489357812064</v>
      </c>
      <c r="I508" s="3" t="n">
        <v>-0.7839489357812064</v>
      </c>
      <c r="J508" s="3" t="n">
        <v>-0.8593977723802839</v>
      </c>
      <c r="K508" s="3" t="n">
        <v>-0.8593977723802839</v>
      </c>
      <c r="L508" s="3" t="n">
        <v>-0.7839489357812064</v>
      </c>
      <c r="M508" s="3" t="n">
        <v>-0.7839489357812064</v>
      </c>
      <c r="N508" s="3" t="n">
        <v>-0.7839489357812064</v>
      </c>
      <c r="O508" s="3" t="n">
        <v>-0.7839489357812064</v>
      </c>
      <c r="P508" s="3" t="n">
        <v>-0.7839489357812064</v>
      </c>
      <c r="Q508" s="3" t="n">
        <v>-0.7839489357812064</v>
      </c>
      <c r="R508" s="3" t="n">
        <v>-0.7712249892098563</v>
      </c>
      <c r="S508" s="3" t="n">
        <v>-1.024877253600529</v>
      </c>
      <c r="T508" s="3" t="n">
        <v>-0.7086694342749459</v>
      </c>
      <c r="U508" s="3" t="n">
        <v>-0.8593977723802839</v>
      </c>
      <c r="V508" s="3" t="n">
        <v>-0.6783862863268171</v>
      </c>
      <c r="W508" s="3" t="n">
        <v>-0.5361838928290776</v>
      </c>
      <c r="X508" s="3" t="n">
        <v>-1.020875356878553</v>
      </c>
      <c r="Y508" s="3" t="n">
        <v>-0.7839489357812064</v>
      </c>
      <c r="Z508" s="3" t="n">
        <v>-1.024877253600529</v>
      </c>
      <c r="AA508" s="3" t="n">
        <v>-1.024877253600529</v>
      </c>
      <c r="AB508" s="3" t="n">
        <v>-1.020875356878553</v>
      </c>
      <c r="AC508" s="3" t="n">
        <v>-1.149042170388358</v>
      </c>
      <c r="AD508" s="3" t="n">
        <v>-0.8593977723802839</v>
      </c>
      <c r="AE508" s="3" t="n">
        <v>-0.8593977723802839</v>
      </c>
    </row>
    <row r="509">
      <c r="A509" s="3" t="inlineStr">
        <is>
          <t>CUB.distn.bkt.ove.mean.9999</t>
        </is>
      </c>
      <c r="B509" s="3" t="inlineStr">
        <is>
          <t>CUB</t>
        </is>
      </c>
      <c r="C509" s="3" t="n">
        <v>2005</v>
      </c>
      <c r="D509" s="3" t="inlineStr">
        <is>
          <t>Overall</t>
        </is>
      </c>
      <c r="E509" s="3" t="inlineStr">
        <is>
          <t>Basket</t>
        </is>
      </c>
      <c r="F509" s="3" t="inlineStr">
        <is>
          <t>mean</t>
        </is>
      </c>
      <c r="G509" s="3" t="n">
        <v>9999</v>
      </c>
      <c r="H509" s="3" t="n">
        <v>-0.7855607322284154</v>
      </c>
      <c r="I509" s="3" t="n">
        <v>-0.7855607322284154</v>
      </c>
      <c r="J509" s="3" t="n">
        <v>-0.8708347541945322</v>
      </c>
      <c r="K509" s="3" t="n">
        <v>-0.8708347541945322</v>
      </c>
      <c r="L509" s="3" t="n">
        <v>-0.7855607322284154</v>
      </c>
      <c r="M509" s="3" t="n">
        <v>-0.7855607322284154</v>
      </c>
      <c r="N509" s="3" t="n">
        <v>-0.7855607322284154</v>
      </c>
      <c r="O509" s="3" t="n">
        <v>-0.7855607322284154</v>
      </c>
      <c r="P509" s="3" t="n">
        <v>-0.7855607322284154</v>
      </c>
      <c r="Q509" s="3" t="n">
        <v>-0.7855607322284154</v>
      </c>
      <c r="R509" s="3" t="n">
        <v>-0.7720900552613394</v>
      </c>
      <c r="S509" s="3" t="n">
        <v>-1.160887002944946</v>
      </c>
      <c r="T509" s="3" t="n">
        <v>-0.7090769904000419</v>
      </c>
      <c r="U509" s="3" t="n">
        <v>-0.8708347541945322</v>
      </c>
      <c r="V509" s="3" t="n">
        <v>-0.6799844878060477</v>
      </c>
      <c r="W509" s="3" t="n">
        <v>-0.5558792540005275</v>
      </c>
      <c r="X509" s="3" t="n">
        <v>-1.140969473975045</v>
      </c>
      <c r="Y509" s="3" t="n">
        <v>-0.7855607322284154</v>
      </c>
      <c r="Z509" s="3" t="n">
        <v>-1.160887002944946</v>
      </c>
      <c r="AA509" s="3" t="n">
        <v>-1.160887002944946</v>
      </c>
      <c r="AB509" s="3" t="n">
        <v>-1.140969473975045</v>
      </c>
      <c r="AC509" s="3" t="n">
        <v>-1.501635466303144</v>
      </c>
      <c r="AD509" s="3" t="n">
        <v>-0.8708347541945322</v>
      </c>
      <c r="AE509" s="3" t="n">
        <v>-0.8708347541945322</v>
      </c>
    </row>
    <row r="510">
      <c r="A510" s="3" t="inlineStr">
        <is>
          <t>CUW.distn.dec.ove.mean.1</t>
        </is>
      </c>
      <c r="B510" s="3" t="inlineStr">
        <is>
          <t>CUW</t>
        </is>
      </c>
      <c r="C510" s="3" t="n">
        <v>2005</v>
      </c>
      <c r="D510" s="3" t="inlineStr">
        <is>
          <t>Overall</t>
        </is>
      </c>
      <c r="E510" s="3" t="inlineStr">
        <is>
          <t>Deciles</t>
        </is>
      </c>
      <c r="F510" s="3" t="inlineStr">
        <is>
          <t>mean</t>
        </is>
      </c>
      <c r="G510" s="3" t="n">
        <v>1</v>
      </c>
      <c r="H510" s="3" t="n">
        <v>-0.7878549098968506</v>
      </c>
      <c r="I510" s="3" t="n">
        <v>-0.7878549098968506</v>
      </c>
      <c r="J510" s="3" t="n">
        <v>-0.8883962808771336</v>
      </c>
      <c r="K510" s="3" t="n">
        <v>-0.8883962808771336</v>
      </c>
      <c r="L510" s="3" t="n">
        <v>-0.7878549098968506</v>
      </c>
      <c r="M510" s="3" t="n">
        <v>-0.7878549098968506</v>
      </c>
      <c r="N510" s="3" t="n">
        <v>-0.7878549098968506</v>
      </c>
      <c r="O510" s="3" t="n">
        <v>-0.7878549098968506</v>
      </c>
      <c r="P510" s="3" t="n">
        <v>-0.7878549098968506</v>
      </c>
      <c r="Q510" s="3" t="n">
        <v>-0.7878549098968506</v>
      </c>
      <c r="R510" s="3" t="n">
        <v>-0.7732356596500316</v>
      </c>
      <c r="S510" s="3" t="n">
        <v>-1.408805674694954</v>
      </c>
      <c r="T510" s="3" t="n">
        <v>-0.7095591730259835</v>
      </c>
      <c r="U510" s="3" t="n">
        <v>-0.8883962808771336</v>
      </c>
      <c r="V510" s="3" t="n">
        <v>-0.681934451803248</v>
      </c>
      <c r="W510" s="3" t="n">
        <v>-0.5702875047288043</v>
      </c>
      <c r="X510" s="3" t="n">
        <v>-1.356243993373627</v>
      </c>
      <c r="Y510" s="3" t="n">
        <v>-0.7878549098968506</v>
      </c>
      <c r="Z510" s="3" t="n">
        <v>-1.408805674694954</v>
      </c>
      <c r="AA510" s="3" t="n">
        <v>-1.408805674694954</v>
      </c>
      <c r="AB510" s="3" t="n">
        <v>-1.356243993373627</v>
      </c>
      <c r="AC510" s="3" t="n">
        <v>-2.123991362592007</v>
      </c>
      <c r="AD510" s="3" t="n">
        <v>-0.8883962808771336</v>
      </c>
      <c r="AE510" s="3" t="n">
        <v>-0.8883962808771336</v>
      </c>
    </row>
    <row r="511">
      <c r="A511" s="3" t="inlineStr">
        <is>
          <t>CUW.distn.dec.ove.mean.2</t>
        </is>
      </c>
      <c r="B511" s="3" t="inlineStr">
        <is>
          <t>CUW</t>
        </is>
      </c>
      <c r="C511" s="3" t="n">
        <v>2005</v>
      </c>
      <c r="D511" s="3" t="inlineStr">
        <is>
          <t>Overall</t>
        </is>
      </c>
      <c r="E511" s="3" t="inlineStr">
        <is>
          <t>Deciles</t>
        </is>
      </c>
      <c r="F511" s="3" t="inlineStr">
        <is>
          <t>mean</t>
        </is>
      </c>
      <c r="G511" s="3" t="n">
        <v>2</v>
      </c>
      <c r="H511" s="3" t="n">
        <v>-0.7878549098968506</v>
      </c>
      <c r="I511" s="3" t="n">
        <v>-0.7878549098968506</v>
      </c>
      <c r="J511" s="3" t="n">
        <v>-0.8883962808771336</v>
      </c>
      <c r="K511" s="3" t="n">
        <v>-0.8883962808771336</v>
      </c>
      <c r="L511" s="3" t="n">
        <v>-0.7878549098968506</v>
      </c>
      <c r="M511" s="3" t="n">
        <v>-0.7878549098968506</v>
      </c>
      <c r="N511" s="3" t="n">
        <v>-0.7878549098968506</v>
      </c>
      <c r="O511" s="3" t="n">
        <v>-0.7878549098968506</v>
      </c>
      <c r="P511" s="3" t="n">
        <v>-0.7878549098968506</v>
      </c>
      <c r="Q511" s="3" t="n">
        <v>-0.7878549098968506</v>
      </c>
      <c r="R511" s="3" t="n">
        <v>-0.7732356596500316</v>
      </c>
      <c r="S511" s="3" t="n">
        <v>-1.408805674694954</v>
      </c>
      <c r="T511" s="3" t="n">
        <v>-0.7095591730259835</v>
      </c>
      <c r="U511" s="3" t="n">
        <v>-0.8883962808771336</v>
      </c>
      <c r="V511" s="3" t="n">
        <v>-0.681934451803248</v>
      </c>
      <c r="W511" s="3" t="n">
        <v>-0.5702875047288043</v>
      </c>
      <c r="X511" s="3" t="n">
        <v>-1.356243993373627</v>
      </c>
      <c r="Y511" s="3" t="n">
        <v>-0.7878549098968506</v>
      </c>
      <c r="Z511" s="3" t="n">
        <v>-1.408805674694954</v>
      </c>
      <c r="AA511" s="3" t="n">
        <v>-1.408805674694954</v>
      </c>
      <c r="AB511" s="3" t="n">
        <v>-1.356243993373627</v>
      </c>
      <c r="AC511" s="3" t="n">
        <v>-2.123991362592007</v>
      </c>
      <c r="AD511" s="3" t="n">
        <v>-0.8883962808771336</v>
      </c>
      <c r="AE511" s="3" t="n">
        <v>-0.8883962808771336</v>
      </c>
    </row>
    <row r="512">
      <c r="A512" s="3" t="inlineStr">
        <is>
          <t>CUW.distn.dec.ove.mean.3</t>
        </is>
      </c>
      <c r="B512" s="3" t="inlineStr">
        <is>
          <t>CUW</t>
        </is>
      </c>
      <c r="C512" s="3" t="n">
        <v>2005</v>
      </c>
      <c r="D512" s="3" t="inlineStr">
        <is>
          <t>Overall</t>
        </is>
      </c>
      <c r="E512" s="3" t="inlineStr">
        <is>
          <t>Deciles</t>
        </is>
      </c>
      <c r="F512" s="3" t="inlineStr">
        <is>
          <t>mean</t>
        </is>
      </c>
      <c r="G512" s="3" t="n">
        <v>3</v>
      </c>
      <c r="H512" s="3" t="n">
        <v>-0.7878549098968506</v>
      </c>
      <c r="I512" s="3" t="n">
        <v>-0.7878549098968506</v>
      </c>
      <c r="J512" s="3" t="n">
        <v>-0.8883962808771336</v>
      </c>
      <c r="K512" s="3" t="n">
        <v>-0.8883962808771336</v>
      </c>
      <c r="L512" s="3" t="n">
        <v>-0.7878549098968506</v>
      </c>
      <c r="M512" s="3" t="n">
        <v>-0.7878549098968506</v>
      </c>
      <c r="N512" s="3" t="n">
        <v>-0.7878549098968506</v>
      </c>
      <c r="O512" s="3" t="n">
        <v>-0.7878549098968506</v>
      </c>
      <c r="P512" s="3" t="n">
        <v>-0.7878549098968506</v>
      </c>
      <c r="Q512" s="3" t="n">
        <v>-0.7878549098968506</v>
      </c>
      <c r="R512" s="3" t="n">
        <v>-0.7732356596500316</v>
      </c>
      <c r="S512" s="3" t="n">
        <v>-1.408805674694954</v>
      </c>
      <c r="T512" s="3" t="n">
        <v>-0.7095591730259835</v>
      </c>
      <c r="U512" s="3" t="n">
        <v>-0.8883962808771336</v>
      </c>
      <c r="V512" s="3" t="n">
        <v>-0.681934451803248</v>
      </c>
      <c r="W512" s="3" t="n">
        <v>-0.5702875047288043</v>
      </c>
      <c r="X512" s="3" t="n">
        <v>-1.356243993373627</v>
      </c>
      <c r="Y512" s="3" t="n">
        <v>-0.7878549098968506</v>
      </c>
      <c r="Z512" s="3" t="n">
        <v>-1.408805674694954</v>
      </c>
      <c r="AA512" s="3" t="n">
        <v>-1.408805674694954</v>
      </c>
      <c r="AB512" s="3" t="n">
        <v>-1.356243993373627</v>
      </c>
      <c r="AC512" s="3" t="n">
        <v>-2.123991362592007</v>
      </c>
      <c r="AD512" s="3" t="n">
        <v>-0.8883962808771336</v>
      </c>
      <c r="AE512" s="3" t="n">
        <v>-0.8883962808771336</v>
      </c>
    </row>
    <row r="513">
      <c r="A513" s="3" t="inlineStr">
        <is>
          <t>CUW.distn.dec.ove.mean.4</t>
        </is>
      </c>
      <c r="B513" s="3" t="inlineStr">
        <is>
          <t>CUW</t>
        </is>
      </c>
      <c r="C513" s="3" t="n">
        <v>2005</v>
      </c>
      <c r="D513" s="3" t="inlineStr">
        <is>
          <t>Overall</t>
        </is>
      </c>
      <c r="E513" s="3" t="inlineStr">
        <is>
          <t>Deciles</t>
        </is>
      </c>
      <c r="F513" s="3" t="inlineStr">
        <is>
          <t>mean</t>
        </is>
      </c>
      <c r="G513" s="3" t="n">
        <v>4</v>
      </c>
      <c r="H513" s="3" t="n">
        <v>-0.7816170251115839</v>
      </c>
      <c r="I513" s="3" t="n">
        <v>-0.7816170251115839</v>
      </c>
      <c r="J513" s="3" t="n">
        <v>-0.8454680810583398</v>
      </c>
      <c r="K513" s="3" t="n">
        <v>-0.8454680810583398</v>
      </c>
      <c r="L513" s="3" t="n">
        <v>-0.7816170251115839</v>
      </c>
      <c r="M513" s="3" t="n">
        <v>-0.7816170251115839</v>
      </c>
      <c r="N513" s="3" t="n">
        <v>-0.7816170251115839</v>
      </c>
      <c r="O513" s="3" t="n">
        <v>-0.7816170251115839</v>
      </c>
      <c r="P513" s="3" t="n">
        <v>-0.7816170251115839</v>
      </c>
      <c r="Q513" s="3" t="n">
        <v>-0.7816170251115839</v>
      </c>
      <c r="R513" s="3" t="n">
        <v>-0.7697659489956308</v>
      </c>
      <c r="S513" s="3" t="n">
        <v>-0.9595531871978272</v>
      </c>
      <c r="T513" s="3" t="n">
        <v>-0.7081063859006191</v>
      </c>
      <c r="U513" s="3" t="n">
        <v>-0.8454680810583398</v>
      </c>
      <c r="V513" s="3" t="n">
        <v>-0.6750000017754575</v>
      </c>
      <c r="W513" s="3" t="n">
        <v>-0.4799574455048176</v>
      </c>
      <c r="X513" s="3" t="n">
        <v>-0.9571489362006492</v>
      </c>
      <c r="Y513" s="3" t="n">
        <v>-0.7816170251115839</v>
      </c>
      <c r="Z513" s="3" t="n">
        <v>-0.9595531871978272</v>
      </c>
      <c r="AA513" s="3" t="n">
        <v>-0.9595531871978272</v>
      </c>
      <c r="AB513" s="3" t="n">
        <v>-0.9571489362006492</v>
      </c>
      <c r="AC513" s="3" t="n">
        <v>-1.025723396463597</v>
      </c>
      <c r="AD513" s="3" t="n">
        <v>-0.8454680810583398</v>
      </c>
      <c r="AE513" s="3" t="n">
        <v>-0.8454680810583398</v>
      </c>
    </row>
    <row r="514">
      <c r="A514" s="3" t="inlineStr">
        <is>
          <t>CUW.distn.dec.ove.mean.5</t>
        </is>
      </c>
      <c r="B514" s="3" t="inlineStr">
        <is>
          <t>CUW</t>
        </is>
      </c>
      <c r="C514" s="3" t="n">
        <v>2005</v>
      </c>
      <c r="D514" s="3" t="inlineStr">
        <is>
          <t>Overall</t>
        </is>
      </c>
      <c r="E514" s="3" t="inlineStr">
        <is>
          <t>Deciles</t>
        </is>
      </c>
      <c r="F514" s="3" t="inlineStr">
        <is>
          <t>mean</t>
        </is>
      </c>
      <c r="G514" s="3" t="n">
        <v>5</v>
      </c>
      <c r="H514" s="3" t="n">
        <v>-0.7816170251115839</v>
      </c>
      <c r="I514" s="3" t="n">
        <v>-0.7816170251115839</v>
      </c>
      <c r="J514" s="3" t="n">
        <v>-0.8454680810583398</v>
      </c>
      <c r="K514" s="3" t="n">
        <v>-0.8454680810583398</v>
      </c>
      <c r="L514" s="3" t="n">
        <v>-0.7816170251115839</v>
      </c>
      <c r="M514" s="3" t="n">
        <v>-0.7816170251115839</v>
      </c>
      <c r="N514" s="3" t="n">
        <v>-0.7816170251115839</v>
      </c>
      <c r="O514" s="3" t="n">
        <v>-0.7816170251115839</v>
      </c>
      <c r="P514" s="3" t="n">
        <v>-0.7816170251115839</v>
      </c>
      <c r="Q514" s="3" t="n">
        <v>-0.7816170251115839</v>
      </c>
      <c r="R514" s="3" t="n">
        <v>-0.7697659489956308</v>
      </c>
      <c r="S514" s="3" t="n">
        <v>-0.9595531871978272</v>
      </c>
      <c r="T514" s="3" t="n">
        <v>-0.7081063859006191</v>
      </c>
      <c r="U514" s="3" t="n">
        <v>-0.8454680810583398</v>
      </c>
      <c r="V514" s="3" t="n">
        <v>-0.6750000017754575</v>
      </c>
      <c r="W514" s="3" t="n">
        <v>-0.4799574455048176</v>
      </c>
      <c r="X514" s="3" t="n">
        <v>-0.9571489362006492</v>
      </c>
      <c r="Y514" s="3" t="n">
        <v>-0.7816170251115839</v>
      </c>
      <c r="Z514" s="3" t="n">
        <v>-0.9595531871978272</v>
      </c>
      <c r="AA514" s="3" t="n">
        <v>-0.9595531871978272</v>
      </c>
      <c r="AB514" s="3" t="n">
        <v>-0.9571489362006492</v>
      </c>
      <c r="AC514" s="3" t="n">
        <v>-1.025723396463597</v>
      </c>
      <c r="AD514" s="3" t="n">
        <v>-0.8454680810583398</v>
      </c>
      <c r="AE514" s="3" t="n">
        <v>-0.8454680810583398</v>
      </c>
    </row>
    <row r="515">
      <c r="A515" s="3" t="inlineStr">
        <is>
          <t>CUW.distn.dec.ove.mean.6</t>
        </is>
      </c>
      <c r="B515" s="3" t="inlineStr">
        <is>
          <t>CUW</t>
        </is>
      </c>
      <c r="C515" s="3" t="n">
        <v>2005</v>
      </c>
      <c r="D515" s="3" t="inlineStr">
        <is>
          <t>Overall</t>
        </is>
      </c>
      <c r="E515" s="3" t="inlineStr">
        <is>
          <t>Deciles</t>
        </is>
      </c>
      <c r="F515" s="3" t="inlineStr">
        <is>
          <t>mean</t>
        </is>
      </c>
      <c r="G515" s="3" t="n">
        <v>6</v>
      </c>
      <c r="H515" s="3" t="n">
        <v>-0.7816170251115839</v>
      </c>
      <c r="I515" s="3" t="n">
        <v>-0.7816170251115839</v>
      </c>
      <c r="J515" s="3" t="n">
        <v>-0.8454680810583398</v>
      </c>
      <c r="K515" s="3" t="n">
        <v>-0.8454680810583398</v>
      </c>
      <c r="L515" s="3" t="n">
        <v>-0.7816170251115839</v>
      </c>
      <c r="M515" s="3" t="n">
        <v>-0.7816170251115839</v>
      </c>
      <c r="N515" s="3" t="n">
        <v>-0.7816170251115839</v>
      </c>
      <c r="O515" s="3" t="n">
        <v>-0.7816170251115839</v>
      </c>
      <c r="P515" s="3" t="n">
        <v>-0.7816170251115839</v>
      </c>
      <c r="Q515" s="3" t="n">
        <v>-0.7816170251115839</v>
      </c>
      <c r="R515" s="3" t="n">
        <v>-0.7697659489956308</v>
      </c>
      <c r="S515" s="3" t="n">
        <v>-0.9595531871978272</v>
      </c>
      <c r="T515" s="3" t="n">
        <v>-0.7081063859006191</v>
      </c>
      <c r="U515" s="3" t="n">
        <v>-0.8454680810583398</v>
      </c>
      <c r="V515" s="3" t="n">
        <v>-0.6750000017754575</v>
      </c>
      <c r="W515" s="3" t="n">
        <v>-0.4799574455048176</v>
      </c>
      <c r="X515" s="3" t="n">
        <v>-0.9571489362006492</v>
      </c>
      <c r="Y515" s="3" t="n">
        <v>-0.7816170251115839</v>
      </c>
      <c r="Z515" s="3" t="n">
        <v>-0.9595531871978272</v>
      </c>
      <c r="AA515" s="3" t="n">
        <v>-0.9595531871978272</v>
      </c>
      <c r="AB515" s="3" t="n">
        <v>-0.9571489362006492</v>
      </c>
      <c r="AC515" s="3" t="n">
        <v>-1.025723396463597</v>
      </c>
      <c r="AD515" s="3" t="n">
        <v>-0.8454680810583398</v>
      </c>
      <c r="AE515" s="3" t="n">
        <v>-0.8454680810583398</v>
      </c>
    </row>
    <row r="516">
      <c r="A516" s="3" t="inlineStr">
        <is>
          <t>CUW.distn.dec.ove.mean.7</t>
        </is>
      </c>
      <c r="B516" s="3" t="inlineStr">
        <is>
          <t>CUW</t>
        </is>
      </c>
      <c r="C516" s="3" t="n">
        <v>2005</v>
      </c>
      <c r="D516" s="3" t="inlineStr">
        <is>
          <t>Overall</t>
        </is>
      </c>
      <c r="E516" s="3" t="inlineStr">
        <is>
          <t>Deciles</t>
        </is>
      </c>
      <c r="F516" s="3" t="inlineStr">
        <is>
          <t>mean</t>
        </is>
      </c>
      <c r="G516" s="3" t="n">
        <v>7</v>
      </c>
      <c r="H516" s="3" t="n">
        <v>-0.7816170251115839</v>
      </c>
      <c r="I516" s="3" t="n">
        <v>-0.7816170251115839</v>
      </c>
      <c r="J516" s="3" t="n">
        <v>-0.8454680810583398</v>
      </c>
      <c r="K516" s="3" t="n">
        <v>-0.8454680810583398</v>
      </c>
      <c r="L516" s="3" t="n">
        <v>-0.7816170251115839</v>
      </c>
      <c r="M516" s="3" t="n">
        <v>-0.7816170251115839</v>
      </c>
      <c r="N516" s="3" t="n">
        <v>-0.7816170251115839</v>
      </c>
      <c r="O516" s="3" t="n">
        <v>-0.7816170251115839</v>
      </c>
      <c r="P516" s="3" t="n">
        <v>-0.7816170251115839</v>
      </c>
      <c r="Q516" s="3" t="n">
        <v>-0.7816170251115839</v>
      </c>
      <c r="R516" s="3" t="n">
        <v>-0.7697659489956308</v>
      </c>
      <c r="S516" s="3" t="n">
        <v>-0.9595531871978272</v>
      </c>
      <c r="T516" s="3" t="n">
        <v>-0.7081063859006191</v>
      </c>
      <c r="U516" s="3" t="n">
        <v>-0.8454680810583398</v>
      </c>
      <c r="V516" s="3" t="n">
        <v>-0.6750000017754575</v>
      </c>
      <c r="W516" s="3" t="n">
        <v>-0.4799574455048176</v>
      </c>
      <c r="X516" s="3" t="n">
        <v>-0.9571489362006492</v>
      </c>
      <c r="Y516" s="3" t="n">
        <v>-0.7816170251115839</v>
      </c>
      <c r="Z516" s="3" t="n">
        <v>-0.9595531871978272</v>
      </c>
      <c r="AA516" s="3" t="n">
        <v>-0.9595531871978272</v>
      </c>
      <c r="AB516" s="3" t="n">
        <v>-0.9571489362006492</v>
      </c>
      <c r="AC516" s="3" t="n">
        <v>-1.025723396463597</v>
      </c>
      <c r="AD516" s="3" t="n">
        <v>-0.8454680810583398</v>
      </c>
      <c r="AE516" s="3" t="n">
        <v>-0.8454680810583398</v>
      </c>
    </row>
    <row r="517">
      <c r="A517" s="3" t="inlineStr">
        <is>
          <t>CUW.distn.dec.ove.mean.8</t>
        </is>
      </c>
      <c r="B517" s="3" t="inlineStr">
        <is>
          <t>CUW</t>
        </is>
      </c>
      <c r="C517" s="3" t="n">
        <v>2005</v>
      </c>
      <c r="D517" s="3" t="inlineStr">
        <is>
          <t>Overall</t>
        </is>
      </c>
      <c r="E517" s="3" t="inlineStr">
        <is>
          <t>Deciles</t>
        </is>
      </c>
      <c r="F517" s="3" t="inlineStr">
        <is>
          <t>mean</t>
        </is>
      </c>
      <c r="G517" s="3" t="n">
        <v>8</v>
      </c>
      <c r="H517" s="3" t="n">
        <v>-0.7819935831617801</v>
      </c>
      <c r="I517" s="3" t="n">
        <v>-0.7819935831617801</v>
      </c>
      <c r="J517" s="3" t="n">
        <v>-0.8477488045996808</v>
      </c>
      <c r="K517" s="3" t="n">
        <v>-0.8477488045996808</v>
      </c>
      <c r="L517" s="3" t="n">
        <v>-0.7819935831617801</v>
      </c>
      <c r="M517" s="3" t="n">
        <v>-0.7819935831617801</v>
      </c>
      <c r="N517" s="3" t="n">
        <v>-0.7819935831617801</v>
      </c>
      <c r="O517" s="3" t="n">
        <v>-0.7819935831617801</v>
      </c>
      <c r="P517" s="3" t="n">
        <v>-0.7819935831617801</v>
      </c>
      <c r="Q517" s="3" t="n">
        <v>-0.7819935831617801</v>
      </c>
      <c r="R517" s="3" t="n">
        <v>-0.7700191178220384</v>
      </c>
      <c r="S517" s="3" t="n">
        <v>-0.9684819490351575</v>
      </c>
      <c r="T517" s="3" t="n">
        <v>-0.70814722142321</v>
      </c>
      <c r="U517" s="3" t="n">
        <v>-0.8477488045996808</v>
      </c>
      <c r="V517" s="3" t="n">
        <v>-0.6756977857427394</v>
      </c>
      <c r="W517" s="3" t="n">
        <v>-0.4928101326556916</v>
      </c>
      <c r="X517" s="3" t="n">
        <v>-0.9658704755154062</v>
      </c>
      <c r="Y517" s="3" t="n">
        <v>-0.7819935831617801</v>
      </c>
      <c r="Z517" s="3" t="n">
        <v>-0.9684819490351575</v>
      </c>
      <c r="AA517" s="3" t="n">
        <v>-0.9684819490351575</v>
      </c>
      <c r="AB517" s="3" t="n">
        <v>-0.9658704755154062</v>
      </c>
      <c r="AC517" s="3" t="n">
        <v>-1.04035159628442</v>
      </c>
      <c r="AD517" s="3" t="n">
        <v>-0.8477488045996808</v>
      </c>
      <c r="AE517" s="3" t="n">
        <v>-0.8477488045996808</v>
      </c>
    </row>
    <row r="518">
      <c r="A518" s="3" t="inlineStr">
        <is>
          <t>CUW.distn.dec.ove.mean.9</t>
        </is>
      </c>
      <c r="B518" s="3" t="inlineStr">
        <is>
          <t>CUW</t>
        </is>
      </c>
      <c r="C518" s="3" t="n">
        <v>2005</v>
      </c>
      <c r="D518" s="3" t="inlineStr">
        <is>
          <t>Overall</t>
        </is>
      </c>
      <c r="E518" s="3" t="inlineStr">
        <is>
          <t>Deciles</t>
        </is>
      </c>
      <c r="F518" s="3" t="inlineStr">
        <is>
          <t>mean</t>
        </is>
      </c>
      <c r="G518" s="3" t="n">
        <v>9</v>
      </c>
      <c r="H518" s="3" t="n">
        <v>-0.7819935831617801</v>
      </c>
      <c r="I518" s="3" t="n">
        <v>-0.7819935831617801</v>
      </c>
      <c r="J518" s="3" t="n">
        <v>-0.8477488045996808</v>
      </c>
      <c r="K518" s="3" t="n">
        <v>-0.8477488045996808</v>
      </c>
      <c r="L518" s="3" t="n">
        <v>-0.7819935831617801</v>
      </c>
      <c r="M518" s="3" t="n">
        <v>-0.7819935831617801</v>
      </c>
      <c r="N518" s="3" t="n">
        <v>-0.7819935831617801</v>
      </c>
      <c r="O518" s="3" t="n">
        <v>-0.7819935831617801</v>
      </c>
      <c r="P518" s="3" t="n">
        <v>-0.7819935831617801</v>
      </c>
      <c r="Q518" s="3" t="n">
        <v>-0.7819935831617801</v>
      </c>
      <c r="R518" s="3" t="n">
        <v>-0.7700191178220384</v>
      </c>
      <c r="S518" s="3" t="n">
        <v>-0.9684819490351575</v>
      </c>
      <c r="T518" s="3" t="n">
        <v>-0.70814722142321</v>
      </c>
      <c r="U518" s="3" t="n">
        <v>-0.8477488045996808</v>
      </c>
      <c r="V518" s="3" t="n">
        <v>-0.6756977857427394</v>
      </c>
      <c r="W518" s="3" t="n">
        <v>-0.4928101326556916</v>
      </c>
      <c r="X518" s="3" t="n">
        <v>-0.9658704755154062</v>
      </c>
      <c r="Y518" s="3" t="n">
        <v>-0.7819935831617801</v>
      </c>
      <c r="Z518" s="3" t="n">
        <v>-0.9684819490351575</v>
      </c>
      <c r="AA518" s="3" t="n">
        <v>-0.9684819490351575</v>
      </c>
      <c r="AB518" s="3" t="n">
        <v>-0.9658704755154062</v>
      </c>
      <c r="AC518" s="3" t="n">
        <v>-1.04035159628442</v>
      </c>
      <c r="AD518" s="3" t="n">
        <v>-0.8477488045996808</v>
      </c>
      <c r="AE518" s="3" t="n">
        <v>-0.8477488045996808</v>
      </c>
    </row>
    <row r="519">
      <c r="A519" s="3" t="inlineStr">
        <is>
          <t>CUW.distn.dec.ove.mean.10</t>
        </is>
      </c>
      <c r="B519" s="3" t="inlineStr">
        <is>
          <t>CUW</t>
        </is>
      </c>
      <c r="C519" s="3" t="n">
        <v>2005</v>
      </c>
      <c r="D519" s="3" t="inlineStr">
        <is>
          <t>Overall</t>
        </is>
      </c>
      <c r="E519" s="3" t="inlineStr">
        <is>
          <t>Deciles</t>
        </is>
      </c>
      <c r="F519" s="3" t="inlineStr">
        <is>
          <t>mean</t>
        </is>
      </c>
      <c r="G519" s="3" t="n">
        <v>10</v>
      </c>
      <c r="H519" s="3" t="n">
        <v>-0.7819935831617801</v>
      </c>
      <c r="I519" s="3" t="n">
        <v>-0.7819935831617801</v>
      </c>
      <c r="J519" s="3" t="n">
        <v>-0.8477488045996808</v>
      </c>
      <c r="K519" s="3" t="n">
        <v>-0.8477488045996808</v>
      </c>
      <c r="L519" s="3" t="n">
        <v>-0.7819935831617801</v>
      </c>
      <c r="M519" s="3" t="n">
        <v>-0.7819935831617801</v>
      </c>
      <c r="N519" s="3" t="n">
        <v>-0.7819935831617801</v>
      </c>
      <c r="O519" s="3" t="n">
        <v>-0.7819935831617801</v>
      </c>
      <c r="P519" s="3" t="n">
        <v>-0.7819935831617801</v>
      </c>
      <c r="Q519" s="3" t="n">
        <v>-0.7819935831617801</v>
      </c>
      <c r="R519" s="3" t="n">
        <v>-0.7700191178220384</v>
      </c>
      <c r="S519" s="3" t="n">
        <v>-0.9684819490351575</v>
      </c>
      <c r="T519" s="3" t="n">
        <v>-0.70814722142321</v>
      </c>
      <c r="U519" s="3" t="n">
        <v>-0.8477488045996808</v>
      </c>
      <c r="V519" s="3" t="n">
        <v>-0.6756977857427394</v>
      </c>
      <c r="W519" s="3" t="n">
        <v>-0.4928101326556916</v>
      </c>
      <c r="X519" s="3" t="n">
        <v>-0.9658704755154062</v>
      </c>
      <c r="Y519" s="3" t="n">
        <v>-0.7819935831617801</v>
      </c>
      <c r="Z519" s="3" t="n">
        <v>-0.9684819490351575</v>
      </c>
      <c r="AA519" s="3" t="n">
        <v>-0.9684819490351575</v>
      </c>
      <c r="AB519" s="3" t="n">
        <v>-0.9658704755154062</v>
      </c>
      <c r="AC519" s="3" t="n">
        <v>-1.04035159628442</v>
      </c>
      <c r="AD519" s="3" t="n">
        <v>-0.8477488045996808</v>
      </c>
      <c r="AE519" s="3" t="n">
        <v>-0.8477488045996808</v>
      </c>
    </row>
    <row r="520">
      <c r="A520" s="3" t="inlineStr">
        <is>
          <t>CUW.distn.bkt.ove.mean.9999</t>
        </is>
      </c>
      <c r="B520" s="3" t="inlineStr">
        <is>
          <t>CUW</t>
        </is>
      </c>
      <c r="C520" s="3" t="n">
        <v>2005</v>
      </c>
      <c r="D520" s="3" t="inlineStr">
        <is>
          <t>Overall</t>
        </is>
      </c>
      <c r="E520" s="3" t="inlineStr">
        <is>
          <t>Basket</t>
        </is>
      </c>
      <c r="F520" s="3" t="inlineStr">
        <is>
          <t>mean</t>
        </is>
      </c>
      <c r="G520" s="3" t="n">
        <v>9999</v>
      </c>
      <c r="H520" s="3" t="n">
        <v>-0.7836013613863194</v>
      </c>
      <c r="I520" s="3" t="n">
        <v>-0.7836013613863194</v>
      </c>
      <c r="J520" s="3" t="n">
        <v>-0.8590307616172953</v>
      </c>
      <c r="K520" s="3" t="n">
        <v>-0.8590307616172953</v>
      </c>
      <c r="L520" s="3" t="n">
        <v>-0.7836013613863194</v>
      </c>
      <c r="M520" s="3" t="n">
        <v>-0.7836013613863194</v>
      </c>
      <c r="N520" s="3" t="n">
        <v>-0.7836013613863194</v>
      </c>
      <c r="O520" s="3" t="n">
        <v>-0.7836013613863194</v>
      </c>
      <c r="P520" s="3" t="n">
        <v>-0.7836013613863194</v>
      </c>
      <c r="Q520" s="3" t="n">
        <v>-0.7836013613863194</v>
      </c>
      <c r="R520" s="3" t="n">
        <v>-0.7708828220976159</v>
      </c>
      <c r="S520" s="3" t="n">
        <v>-1.097007578991829</v>
      </c>
      <c r="T520" s="3" t="n">
        <v>-0.7085544974245923</v>
      </c>
      <c r="U520" s="3" t="n">
        <v>-0.8590307616172953</v>
      </c>
      <c r="V520" s="3" t="n">
        <v>-0.6772896647453308</v>
      </c>
      <c r="W520" s="3" t="n">
        <v>-0.5109122699879586</v>
      </c>
      <c r="X520" s="3" t="n">
        <v>-1.079493910708326</v>
      </c>
      <c r="Y520" s="3" t="n">
        <v>-0.7836013613863194</v>
      </c>
      <c r="Z520" s="3" t="n">
        <v>-1.097007578991829</v>
      </c>
      <c r="AA520" s="3" t="n">
        <v>-1.097007578991829</v>
      </c>
      <c r="AB520" s="3" t="n">
        <v>-1.079493910708326</v>
      </c>
      <c r="AC520" s="3" t="n">
        <v>-1.359592239907447</v>
      </c>
      <c r="AD520" s="3" t="n">
        <v>-0.8590307616172953</v>
      </c>
      <c r="AE520" s="3" t="n">
        <v>-0.8590307616172953</v>
      </c>
    </row>
    <row r="521">
      <c r="A521" s="3" t="inlineStr">
        <is>
          <t>CYM.distn.dec.ove.mean.1</t>
        </is>
      </c>
      <c r="B521" s="3" t="inlineStr">
        <is>
          <t>CYM</t>
        </is>
      </c>
      <c r="C521" s="3" t="n">
        <v>2005</v>
      </c>
      <c r="D521" s="3" t="inlineStr">
        <is>
          <t>Overall</t>
        </is>
      </c>
      <c r="E521" s="3" t="inlineStr">
        <is>
          <t>Deciles</t>
        </is>
      </c>
      <c r="F521" s="3" t="inlineStr">
        <is>
          <t>mean</t>
        </is>
      </c>
      <c r="G521" s="3" t="n">
        <v>1</v>
      </c>
      <c r="H521" s="3" t="n">
        <v>-0.7878549098968506</v>
      </c>
      <c r="I521" s="3" t="n">
        <v>-0.7878549098968506</v>
      </c>
      <c r="J521" s="3" t="n">
        <v>-0.8883962808771336</v>
      </c>
      <c r="K521" s="3" t="n">
        <v>-0.8883962808771336</v>
      </c>
      <c r="L521" s="3" t="n">
        <v>-0.7878549098968506</v>
      </c>
      <c r="M521" s="3" t="n">
        <v>-0.7878549098968506</v>
      </c>
      <c r="N521" s="3" t="n">
        <v>-0.7878549098968506</v>
      </c>
      <c r="O521" s="3" t="n">
        <v>-0.7878549098968506</v>
      </c>
      <c r="P521" s="3" t="n">
        <v>-0.7878549098968506</v>
      </c>
      <c r="Q521" s="3" t="n">
        <v>-0.7878549098968506</v>
      </c>
      <c r="R521" s="3" t="n">
        <v>-0.7732356596500316</v>
      </c>
      <c r="S521" s="3" t="n">
        <v>-1.408805674694954</v>
      </c>
      <c r="T521" s="3" t="n">
        <v>-0.7095591730259835</v>
      </c>
      <c r="U521" s="3" t="n">
        <v>-0.8883962808771336</v>
      </c>
      <c r="V521" s="3" t="n">
        <v>-0.681934451803248</v>
      </c>
      <c r="W521" s="3" t="n">
        <v>-0.5702875047288043</v>
      </c>
      <c r="X521" s="3" t="n">
        <v>-1.356243993373627</v>
      </c>
      <c r="Y521" s="3" t="n">
        <v>-0.7878549098968506</v>
      </c>
      <c r="Z521" s="3" t="n">
        <v>-1.408805674694954</v>
      </c>
      <c r="AA521" s="3" t="n">
        <v>-1.408805674694954</v>
      </c>
      <c r="AB521" s="3" t="n">
        <v>-1.356243993373627</v>
      </c>
      <c r="AC521" s="3" t="n">
        <v>-2.123991362592007</v>
      </c>
      <c r="AD521" s="3" t="n">
        <v>-0.8883962808771336</v>
      </c>
      <c r="AE521" s="3" t="n">
        <v>-0.8883962808771336</v>
      </c>
    </row>
    <row r="522">
      <c r="A522" s="3" t="inlineStr">
        <is>
          <t>CYM.distn.dec.ove.mean.2</t>
        </is>
      </c>
      <c r="B522" s="3" t="inlineStr">
        <is>
          <t>CYM</t>
        </is>
      </c>
      <c r="C522" s="3" t="n">
        <v>2005</v>
      </c>
      <c r="D522" s="3" t="inlineStr">
        <is>
          <t>Overall</t>
        </is>
      </c>
      <c r="E522" s="3" t="inlineStr">
        <is>
          <t>Deciles</t>
        </is>
      </c>
      <c r="F522" s="3" t="inlineStr">
        <is>
          <t>mean</t>
        </is>
      </c>
      <c r="G522" s="3" t="n">
        <v>2</v>
      </c>
      <c r="H522" s="3" t="n">
        <v>-0.7878549098968506</v>
      </c>
      <c r="I522" s="3" t="n">
        <v>-0.7878549098968506</v>
      </c>
      <c r="J522" s="3" t="n">
        <v>-0.8883962808771336</v>
      </c>
      <c r="K522" s="3" t="n">
        <v>-0.8883962808771336</v>
      </c>
      <c r="L522" s="3" t="n">
        <v>-0.7878549098968506</v>
      </c>
      <c r="M522" s="3" t="n">
        <v>-0.7878549098968506</v>
      </c>
      <c r="N522" s="3" t="n">
        <v>-0.7878549098968506</v>
      </c>
      <c r="O522" s="3" t="n">
        <v>-0.7878549098968506</v>
      </c>
      <c r="P522" s="3" t="n">
        <v>-0.7878549098968506</v>
      </c>
      <c r="Q522" s="3" t="n">
        <v>-0.7878549098968506</v>
      </c>
      <c r="R522" s="3" t="n">
        <v>-0.7732356596500316</v>
      </c>
      <c r="S522" s="3" t="n">
        <v>-1.408805674694954</v>
      </c>
      <c r="T522" s="3" t="n">
        <v>-0.7095591730259835</v>
      </c>
      <c r="U522" s="3" t="n">
        <v>-0.8883962808771336</v>
      </c>
      <c r="V522" s="3" t="n">
        <v>-0.681934451803248</v>
      </c>
      <c r="W522" s="3" t="n">
        <v>-0.5702875047288043</v>
      </c>
      <c r="X522" s="3" t="n">
        <v>-1.356243993373627</v>
      </c>
      <c r="Y522" s="3" t="n">
        <v>-0.7878549098968506</v>
      </c>
      <c r="Z522" s="3" t="n">
        <v>-1.408805674694954</v>
      </c>
      <c r="AA522" s="3" t="n">
        <v>-1.408805674694954</v>
      </c>
      <c r="AB522" s="3" t="n">
        <v>-1.356243993373627</v>
      </c>
      <c r="AC522" s="3" t="n">
        <v>-2.123991362592007</v>
      </c>
      <c r="AD522" s="3" t="n">
        <v>-0.8883962808771336</v>
      </c>
      <c r="AE522" s="3" t="n">
        <v>-0.8883962808771336</v>
      </c>
    </row>
    <row r="523">
      <c r="A523" s="3" t="inlineStr">
        <is>
          <t>CYM.distn.dec.ove.mean.3</t>
        </is>
      </c>
      <c r="B523" s="3" t="inlineStr">
        <is>
          <t>CYM</t>
        </is>
      </c>
      <c r="C523" s="3" t="n">
        <v>2005</v>
      </c>
      <c r="D523" s="3" t="inlineStr">
        <is>
          <t>Overall</t>
        </is>
      </c>
      <c r="E523" s="3" t="inlineStr">
        <is>
          <t>Deciles</t>
        </is>
      </c>
      <c r="F523" s="3" t="inlineStr">
        <is>
          <t>mean</t>
        </is>
      </c>
      <c r="G523" s="3" t="n">
        <v>3</v>
      </c>
      <c r="H523" s="3" t="n">
        <v>-0.7878549098968506</v>
      </c>
      <c r="I523" s="3" t="n">
        <v>-0.7878549098968506</v>
      </c>
      <c r="J523" s="3" t="n">
        <v>-0.8883962808771336</v>
      </c>
      <c r="K523" s="3" t="n">
        <v>-0.8883962808771336</v>
      </c>
      <c r="L523" s="3" t="n">
        <v>-0.7878549098968506</v>
      </c>
      <c r="M523" s="3" t="n">
        <v>-0.7878549098968506</v>
      </c>
      <c r="N523" s="3" t="n">
        <v>-0.7878549098968506</v>
      </c>
      <c r="O523" s="3" t="n">
        <v>-0.7878549098968506</v>
      </c>
      <c r="P523" s="3" t="n">
        <v>-0.7878549098968506</v>
      </c>
      <c r="Q523" s="3" t="n">
        <v>-0.7878549098968506</v>
      </c>
      <c r="R523" s="3" t="n">
        <v>-0.7732356596500316</v>
      </c>
      <c r="S523" s="3" t="n">
        <v>-1.408805674694954</v>
      </c>
      <c r="T523" s="3" t="n">
        <v>-0.7095591730259835</v>
      </c>
      <c r="U523" s="3" t="n">
        <v>-0.8883962808771336</v>
      </c>
      <c r="V523" s="3" t="n">
        <v>-0.681934451803248</v>
      </c>
      <c r="W523" s="3" t="n">
        <v>-0.5702875047288043</v>
      </c>
      <c r="X523" s="3" t="n">
        <v>-1.356243993373627</v>
      </c>
      <c r="Y523" s="3" t="n">
        <v>-0.7878549098968506</v>
      </c>
      <c r="Z523" s="3" t="n">
        <v>-1.408805674694954</v>
      </c>
      <c r="AA523" s="3" t="n">
        <v>-1.408805674694954</v>
      </c>
      <c r="AB523" s="3" t="n">
        <v>-1.356243993373627</v>
      </c>
      <c r="AC523" s="3" t="n">
        <v>-2.123991362592007</v>
      </c>
      <c r="AD523" s="3" t="n">
        <v>-0.8883962808771336</v>
      </c>
      <c r="AE523" s="3" t="n">
        <v>-0.8883962808771336</v>
      </c>
    </row>
    <row r="524">
      <c r="A524" s="3" t="inlineStr">
        <is>
          <t>CYM.distn.dec.ove.mean.4</t>
        </is>
      </c>
      <c r="B524" s="3" t="inlineStr">
        <is>
          <t>CYM</t>
        </is>
      </c>
      <c r="C524" s="3" t="n">
        <v>2005</v>
      </c>
      <c r="D524" s="3" t="inlineStr">
        <is>
          <t>Overall</t>
        </is>
      </c>
      <c r="E524" s="3" t="inlineStr">
        <is>
          <t>Deciles</t>
        </is>
      </c>
      <c r="F524" s="3" t="inlineStr">
        <is>
          <t>mean</t>
        </is>
      </c>
      <c r="G524" s="3" t="n">
        <v>4</v>
      </c>
      <c r="H524" s="3" t="n">
        <v>-0.7816170251115839</v>
      </c>
      <c r="I524" s="3" t="n">
        <v>-0.7816170251115839</v>
      </c>
      <c r="J524" s="3" t="n">
        <v>-0.8454680810583398</v>
      </c>
      <c r="K524" s="3" t="n">
        <v>-0.8454680810583398</v>
      </c>
      <c r="L524" s="3" t="n">
        <v>-0.7816170251115839</v>
      </c>
      <c r="M524" s="3" t="n">
        <v>-0.7816170251115839</v>
      </c>
      <c r="N524" s="3" t="n">
        <v>-0.7816170251115839</v>
      </c>
      <c r="O524" s="3" t="n">
        <v>-0.7816170251115839</v>
      </c>
      <c r="P524" s="3" t="n">
        <v>-0.7816170251115839</v>
      </c>
      <c r="Q524" s="3" t="n">
        <v>-0.7816170251115839</v>
      </c>
      <c r="R524" s="3" t="n">
        <v>-0.7697659489956308</v>
      </c>
      <c r="S524" s="3" t="n">
        <v>-0.9595531871978272</v>
      </c>
      <c r="T524" s="3" t="n">
        <v>-0.7081063859006191</v>
      </c>
      <c r="U524" s="3" t="n">
        <v>-0.8454680810583398</v>
      </c>
      <c r="V524" s="3" t="n">
        <v>-0.6750000017754575</v>
      </c>
      <c r="W524" s="3" t="n">
        <v>-0.4799574455048176</v>
      </c>
      <c r="X524" s="3" t="n">
        <v>-0.9571489362006492</v>
      </c>
      <c r="Y524" s="3" t="n">
        <v>-0.7816170251115839</v>
      </c>
      <c r="Z524" s="3" t="n">
        <v>-0.9595531871978272</v>
      </c>
      <c r="AA524" s="3" t="n">
        <v>-0.9595531871978272</v>
      </c>
      <c r="AB524" s="3" t="n">
        <v>-0.9571489362006492</v>
      </c>
      <c r="AC524" s="3" t="n">
        <v>-1.025723396463597</v>
      </c>
      <c r="AD524" s="3" t="n">
        <v>-0.8454680810583398</v>
      </c>
      <c r="AE524" s="3" t="n">
        <v>-0.8454680810583398</v>
      </c>
    </row>
    <row r="525">
      <c r="A525" s="3" t="inlineStr">
        <is>
          <t>CYM.distn.dec.ove.mean.5</t>
        </is>
      </c>
      <c r="B525" s="3" t="inlineStr">
        <is>
          <t>CYM</t>
        </is>
      </c>
      <c r="C525" s="3" t="n">
        <v>2005</v>
      </c>
      <c r="D525" s="3" t="inlineStr">
        <is>
          <t>Overall</t>
        </is>
      </c>
      <c r="E525" s="3" t="inlineStr">
        <is>
          <t>Deciles</t>
        </is>
      </c>
      <c r="F525" s="3" t="inlineStr">
        <is>
          <t>mean</t>
        </is>
      </c>
      <c r="G525" s="3" t="n">
        <v>5</v>
      </c>
      <c r="H525" s="3" t="n">
        <v>-0.7816170251115839</v>
      </c>
      <c r="I525" s="3" t="n">
        <v>-0.7816170251115839</v>
      </c>
      <c r="J525" s="3" t="n">
        <v>-0.8454680810583398</v>
      </c>
      <c r="K525" s="3" t="n">
        <v>-0.8454680810583398</v>
      </c>
      <c r="L525" s="3" t="n">
        <v>-0.7816170251115839</v>
      </c>
      <c r="M525" s="3" t="n">
        <v>-0.7816170251115839</v>
      </c>
      <c r="N525" s="3" t="n">
        <v>-0.7816170251115839</v>
      </c>
      <c r="O525" s="3" t="n">
        <v>-0.7816170251115839</v>
      </c>
      <c r="P525" s="3" t="n">
        <v>-0.7816170251115839</v>
      </c>
      <c r="Q525" s="3" t="n">
        <v>-0.7816170251115839</v>
      </c>
      <c r="R525" s="3" t="n">
        <v>-0.7697659489956308</v>
      </c>
      <c r="S525" s="3" t="n">
        <v>-0.9595531871978272</v>
      </c>
      <c r="T525" s="3" t="n">
        <v>-0.7081063859006191</v>
      </c>
      <c r="U525" s="3" t="n">
        <v>-0.8454680810583398</v>
      </c>
      <c r="V525" s="3" t="n">
        <v>-0.6750000017754575</v>
      </c>
      <c r="W525" s="3" t="n">
        <v>-0.4799574455048176</v>
      </c>
      <c r="X525" s="3" t="n">
        <v>-0.9571489362006492</v>
      </c>
      <c r="Y525" s="3" t="n">
        <v>-0.7816170251115839</v>
      </c>
      <c r="Z525" s="3" t="n">
        <v>-0.9595531871978272</v>
      </c>
      <c r="AA525" s="3" t="n">
        <v>-0.9595531871978272</v>
      </c>
      <c r="AB525" s="3" t="n">
        <v>-0.9571489362006492</v>
      </c>
      <c r="AC525" s="3" t="n">
        <v>-1.025723396463597</v>
      </c>
      <c r="AD525" s="3" t="n">
        <v>-0.8454680810583398</v>
      </c>
      <c r="AE525" s="3" t="n">
        <v>-0.8454680810583398</v>
      </c>
    </row>
    <row r="526">
      <c r="A526" s="3" t="inlineStr">
        <is>
          <t>CYM.distn.dec.ove.mean.6</t>
        </is>
      </c>
      <c r="B526" s="3" t="inlineStr">
        <is>
          <t>CYM</t>
        </is>
      </c>
      <c r="C526" s="3" t="n">
        <v>2005</v>
      </c>
      <c r="D526" s="3" t="inlineStr">
        <is>
          <t>Overall</t>
        </is>
      </c>
      <c r="E526" s="3" t="inlineStr">
        <is>
          <t>Deciles</t>
        </is>
      </c>
      <c r="F526" s="3" t="inlineStr">
        <is>
          <t>mean</t>
        </is>
      </c>
      <c r="G526" s="3" t="n">
        <v>6</v>
      </c>
      <c r="H526" s="3" t="n">
        <v>-0.7816170251115839</v>
      </c>
      <c r="I526" s="3" t="n">
        <v>-0.7816170251115839</v>
      </c>
      <c r="J526" s="3" t="n">
        <v>-0.8454680810583398</v>
      </c>
      <c r="K526" s="3" t="n">
        <v>-0.8454680810583398</v>
      </c>
      <c r="L526" s="3" t="n">
        <v>-0.7816170251115839</v>
      </c>
      <c r="M526" s="3" t="n">
        <v>-0.7816170251115839</v>
      </c>
      <c r="N526" s="3" t="n">
        <v>-0.7816170251115839</v>
      </c>
      <c r="O526" s="3" t="n">
        <v>-0.7816170251115839</v>
      </c>
      <c r="P526" s="3" t="n">
        <v>-0.7816170251115839</v>
      </c>
      <c r="Q526" s="3" t="n">
        <v>-0.7816170251115839</v>
      </c>
      <c r="R526" s="3" t="n">
        <v>-0.7697659489956308</v>
      </c>
      <c r="S526" s="3" t="n">
        <v>-0.9595531871978272</v>
      </c>
      <c r="T526" s="3" t="n">
        <v>-0.7081063859006191</v>
      </c>
      <c r="U526" s="3" t="n">
        <v>-0.8454680810583398</v>
      </c>
      <c r="V526" s="3" t="n">
        <v>-0.6750000017754575</v>
      </c>
      <c r="W526" s="3" t="n">
        <v>-0.4799574455048176</v>
      </c>
      <c r="X526" s="3" t="n">
        <v>-0.9571489362006492</v>
      </c>
      <c r="Y526" s="3" t="n">
        <v>-0.7816170251115839</v>
      </c>
      <c r="Z526" s="3" t="n">
        <v>-0.9595531871978272</v>
      </c>
      <c r="AA526" s="3" t="n">
        <v>-0.9595531871978272</v>
      </c>
      <c r="AB526" s="3" t="n">
        <v>-0.9571489362006492</v>
      </c>
      <c r="AC526" s="3" t="n">
        <v>-1.025723396463597</v>
      </c>
      <c r="AD526" s="3" t="n">
        <v>-0.8454680810583398</v>
      </c>
      <c r="AE526" s="3" t="n">
        <v>-0.8454680810583398</v>
      </c>
    </row>
    <row r="527">
      <c r="A527" s="3" t="inlineStr">
        <is>
          <t>CYM.distn.dec.ove.mean.7</t>
        </is>
      </c>
      <c r="B527" s="3" t="inlineStr">
        <is>
          <t>CYM</t>
        </is>
      </c>
      <c r="C527" s="3" t="n">
        <v>2005</v>
      </c>
      <c r="D527" s="3" t="inlineStr">
        <is>
          <t>Overall</t>
        </is>
      </c>
      <c r="E527" s="3" t="inlineStr">
        <is>
          <t>Deciles</t>
        </is>
      </c>
      <c r="F527" s="3" t="inlineStr">
        <is>
          <t>mean</t>
        </is>
      </c>
      <c r="G527" s="3" t="n">
        <v>7</v>
      </c>
      <c r="H527" s="3" t="n">
        <v>-0.7816170251115839</v>
      </c>
      <c r="I527" s="3" t="n">
        <v>-0.7816170251115839</v>
      </c>
      <c r="J527" s="3" t="n">
        <v>-0.8454680810583398</v>
      </c>
      <c r="K527" s="3" t="n">
        <v>-0.8454680810583398</v>
      </c>
      <c r="L527" s="3" t="n">
        <v>-0.7816170251115839</v>
      </c>
      <c r="M527" s="3" t="n">
        <v>-0.7816170251115839</v>
      </c>
      <c r="N527" s="3" t="n">
        <v>-0.7816170251115839</v>
      </c>
      <c r="O527" s="3" t="n">
        <v>-0.7816170251115839</v>
      </c>
      <c r="P527" s="3" t="n">
        <v>-0.7816170251115839</v>
      </c>
      <c r="Q527" s="3" t="n">
        <v>-0.7816170251115839</v>
      </c>
      <c r="R527" s="3" t="n">
        <v>-0.7697659489956308</v>
      </c>
      <c r="S527" s="3" t="n">
        <v>-0.9595531871978272</v>
      </c>
      <c r="T527" s="3" t="n">
        <v>-0.7081063859006191</v>
      </c>
      <c r="U527" s="3" t="n">
        <v>-0.8454680810583398</v>
      </c>
      <c r="V527" s="3" t="n">
        <v>-0.6750000017754575</v>
      </c>
      <c r="W527" s="3" t="n">
        <v>-0.4799574455048176</v>
      </c>
      <c r="X527" s="3" t="n">
        <v>-0.9571489362006492</v>
      </c>
      <c r="Y527" s="3" t="n">
        <v>-0.7816170251115839</v>
      </c>
      <c r="Z527" s="3" t="n">
        <v>-0.9595531871978272</v>
      </c>
      <c r="AA527" s="3" t="n">
        <v>-0.9595531871978272</v>
      </c>
      <c r="AB527" s="3" t="n">
        <v>-0.9571489362006492</v>
      </c>
      <c r="AC527" s="3" t="n">
        <v>-1.025723396463597</v>
      </c>
      <c r="AD527" s="3" t="n">
        <v>-0.8454680810583398</v>
      </c>
      <c r="AE527" s="3" t="n">
        <v>-0.8454680810583398</v>
      </c>
    </row>
    <row r="528">
      <c r="A528" s="3" t="inlineStr">
        <is>
          <t>CYM.distn.dec.ove.mean.8</t>
        </is>
      </c>
      <c r="B528" s="3" t="inlineStr">
        <is>
          <t>CYM</t>
        </is>
      </c>
      <c r="C528" s="3" t="n">
        <v>2005</v>
      </c>
      <c r="D528" s="3" t="inlineStr">
        <is>
          <t>Overall</t>
        </is>
      </c>
      <c r="E528" s="3" t="inlineStr">
        <is>
          <t>Deciles</t>
        </is>
      </c>
      <c r="F528" s="3" t="inlineStr">
        <is>
          <t>mean</t>
        </is>
      </c>
      <c r="G528" s="3" t="n">
        <v>8</v>
      </c>
      <c r="H528" s="3" t="n">
        <v>-0.7819935831617801</v>
      </c>
      <c r="I528" s="3" t="n">
        <v>-0.7819935831617801</v>
      </c>
      <c r="J528" s="3" t="n">
        <v>-0.8477488045996808</v>
      </c>
      <c r="K528" s="3" t="n">
        <v>-0.8477488045996808</v>
      </c>
      <c r="L528" s="3" t="n">
        <v>-0.7819935831617801</v>
      </c>
      <c r="M528" s="3" t="n">
        <v>-0.7819935831617801</v>
      </c>
      <c r="N528" s="3" t="n">
        <v>-0.7819935831617801</v>
      </c>
      <c r="O528" s="3" t="n">
        <v>-0.7819935831617801</v>
      </c>
      <c r="P528" s="3" t="n">
        <v>-0.7819935831617801</v>
      </c>
      <c r="Q528" s="3" t="n">
        <v>-0.7819935831617801</v>
      </c>
      <c r="R528" s="3" t="n">
        <v>-0.7700191178220384</v>
      </c>
      <c r="S528" s="3" t="n">
        <v>-0.9684819490351575</v>
      </c>
      <c r="T528" s="3" t="n">
        <v>-0.70814722142321</v>
      </c>
      <c r="U528" s="3" t="n">
        <v>-0.8477488045996808</v>
      </c>
      <c r="V528" s="3" t="n">
        <v>-0.6756977857427394</v>
      </c>
      <c r="W528" s="3" t="n">
        <v>-0.4928101326556916</v>
      </c>
      <c r="X528" s="3" t="n">
        <v>-0.9658704755154062</v>
      </c>
      <c r="Y528" s="3" t="n">
        <v>-0.7819935831617801</v>
      </c>
      <c r="Z528" s="3" t="n">
        <v>-0.9684819490351575</v>
      </c>
      <c r="AA528" s="3" t="n">
        <v>-0.9684819490351575</v>
      </c>
      <c r="AB528" s="3" t="n">
        <v>-0.9658704755154062</v>
      </c>
      <c r="AC528" s="3" t="n">
        <v>-1.04035159628442</v>
      </c>
      <c r="AD528" s="3" t="n">
        <v>-0.8477488045996808</v>
      </c>
      <c r="AE528" s="3" t="n">
        <v>-0.8477488045996808</v>
      </c>
    </row>
    <row r="529">
      <c r="A529" s="3" t="inlineStr">
        <is>
          <t>CYM.distn.dec.ove.mean.9</t>
        </is>
      </c>
      <c r="B529" s="3" t="inlineStr">
        <is>
          <t>CYM</t>
        </is>
      </c>
      <c r="C529" s="3" t="n">
        <v>2005</v>
      </c>
      <c r="D529" s="3" t="inlineStr">
        <is>
          <t>Overall</t>
        </is>
      </c>
      <c r="E529" s="3" t="inlineStr">
        <is>
          <t>Deciles</t>
        </is>
      </c>
      <c r="F529" s="3" t="inlineStr">
        <is>
          <t>mean</t>
        </is>
      </c>
      <c r="G529" s="3" t="n">
        <v>9</v>
      </c>
      <c r="H529" s="3" t="n">
        <v>-0.7819935831617801</v>
      </c>
      <c r="I529" s="3" t="n">
        <v>-0.7819935831617801</v>
      </c>
      <c r="J529" s="3" t="n">
        <v>-0.8477488045996808</v>
      </c>
      <c r="K529" s="3" t="n">
        <v>-0.8477488045996808</v>
      </c>
      <c r="L529" s="3" t="n">
        <v>-0.7819935831617801</v>
      </c>
      <c r="M529" s="3" t="n">
        <v>-0.7819935831617801</v>
      </c>
      <c r="N529" s="3" t="n">
        <v>-0.7819935831617801</v>
      </c>
      <c r="O529" s="3" t="n">
        <v>-0.7819935831617801</v>
      </c>
      <c r="P529" s="3" t="n">
        <v>-0.7819935831617801</v>
      </c>
      <c r="Q529" s="3" t="n">
        <v>-0.7819935831617801</v>
      </c>
      <c r="R529" s="3" t="n">
        <v>-0.7700191178220384</v>
      </c>
      <c r="S529" s="3" t="n">
        <v>-0.9684819490351575</v>
      </c>
      <c r="T529" s="3" t="n">
        <v>-0.70814722142321</v>
      </c>
      <c r="U529" s="3" t="n">
        <v>-0.8477488045996808</v>
      </c>
      <c r="V529" s="3" t="n">
        <v>-0.6756977857427394</v>
      </c>
      <c r="W529" s="3" t="n">
        <v>-0.4928101326556916</v>
      </c>
      <c r="X529" s="3" t="n">
        <v>-0.9658704755154062</v>
      </c>
      <c r="Y529" s="3" t="n">
        <v>-0.7819935831617801</v>
      </c>
      <c r="Z529" s="3" t="n">
        <v>-0.9684819490351575</v>
      </c>
      <c r="AA529" s="3" t="n">
        <v>-0.9684819490351575</v>
      </c>
      <c r="AB529" s="3" t="n">
        <v>-0.9658704755154062</v>
      </c>
      <c r="AC529" s="3" t="n">
        <v>-1.04035159628442</v>
      </c>
      <c r="AD529" s="3" t="n">
        <v>-0.8477488045996808</v>
      </c>
      <c r="AE529" s="3" t="n">
        <v>-0.8477488045996808</v>
      </c>
    </row>
    <row r="530">
      <c r="A530" s="3" t="inlineStr">
        <is>
          <t>CYM.distn.dec.ove.mean.10</t>
        </is>
      </c>
      <c r="B530" s="3" t="inlineStr">
        <is>
          <t>CYM</t>
        </is>
      </c>
      <c r="C530" s="3" t="n">
        <v>2005</v>
      </c>
      <c r="D530" s="3" t="inlineStr">
        <is>
          <t>Overall</t>
        </is>
      </c>
      <c r="E530" s="3" t="inlineStr">
        <is>
          <t>Deciles</t>
        </is>
      </c>
      <c r="F530" s="3" t="inlineStr">
        <is>
          <t>mean</t>
        </is>
      </c>
      <c r="G530" s="3" t="n">
        <v>10</v>
      </c>
      <c r="H530" s="3" t="n">
        <v>-0.7819935831617801</v>
      </c>
      <c r="I530" s="3" t="n">
        <v>-0.7819935831617801</v>
      </c>
      <c r="J530" s="3" t="n">
        <v>-0.8477488045996808</v>
      </c>
      <c r="K530" s="3" t="n">
        <v>-0.8477488045996808</v>
      </c>
      <c r="L530" s="3" t="n">
        <v>-0.7819935831617801</v>
      </c>
      <c r="M530" s="3" t="n">
        <v>-0.7819935831617801</v>
      </c>
      <c r="N530" s="3" t="n">
        <v>-0.7819935831617801</v>
      </c>
      <c r="O530" s="3" t="n">
        <v>-0.7819935831617801</v>
      </c>
      <c r="P530" s="3" t="n">
        <v>-0.7819935831617801</v>
      </c>
      <c r="Q530" s="3" t="n">
        <v>-0.7819935831617801</v>
      </c>
      <c r="R530" s="3" t="n">
        <v>-0.7700191178220384</v>
      </c>
      <c r="S530" s="3" t="n">
        <v>-0.9684819490351575</v>
      </c>
      <c r="T530" s="3" t="n">
        <v>-0.70814722142321</v>
      </c>
      <c r="U530" s="3" t="n">
        <v>-0.8477488045996808</v>
      </c>
      <c r="V530" s="3" t="n">
        <v>-0.6756977857427394</v>
      </c>
      <c r="W530" s="3" t="n">
        <v>-0.4928101326556916</v>
      </c>
      <c r="X530" s="3" t="n">
        <v>-0.9658704755154062</v>
      </c>
      <c r="Y530" s="3" t="n">
        <v>-0.7819935831617801</v>
      </c>
      <c r="Z530" s="3" t="n">
        <v>-0.9684819490351575</v>
      </c>
      <c r="AA530" s="3" t="n">
        <v>-0.9684819490351575</v>
      </c>
      <c r="AB530" s="3" t="n">
        <v>-0.9658704755154062</v>
      </c>
      <c r="AC530" s="3" t="n">
        <v>-1.04035159628442</v>
      </c>
      <c r="AD530" s="3" t="n">
        <v>-0.8477488045996808</v>
      </c>
      <c r="AE530" s="3" t="n">
        <v>-0.8477488045996808</v>
      </c>
    </row>
    <row r="531">
      <c r="A531" s="3" t="inlineStr">
        <is>
          <t>CYM.distn.bkt.ove.mean.9999</t>
        </is>
      </c>
      <c r="B531" s="3" t="inlineStr">
        <is>
          <t>CYM</t>
        </is>
      </c>
      <c r="C531" s="3" t="n">
        <v>2005</v>
      </c>
      <c r="D531" s="3" t="inlineStr">
        <is>
          <t>Overall</t>
        </is>
      </c>
      <c r="E531" s="3" t="inlineStr">
        <is>
          <t>Basket</t>
        </is>
      </c>
      <c r="F531" s="3" t="inlineStr">
        <is>
          <t>mean</t>
        </is>
      </c>
      <c r="G531" s="3" t="n">
        <v>9999</v>
      </c>
      <c r="H531" s="3" t="n">
        <v>-0.7836013613863194</v>
      </c>
      <c r="I531" s="3" t="n">
        <v>-0.7836013613863194</v>
      </c>
      <c r="J531" s="3" t="n">
        <v>-0.8590307616172953</v>
      </c>
      <c r="K531" s="3" t="n">
        <v>-0.8590307616172953</v>
      </c>
      <c r="L531" s="3" t="n">
        <v>-0.7836013613863194</v>
      </c>
      <c r="M531" s="3" t="n">
        <v>-0.7836013613863194</v>
      </c>
      <c r="N531" s="3" t="n">
        <v>-0.7836013613863194</v>
      </c>
      <c r="O531" s="3" t="n">
        <v>-0.7836013613863194</v>
      </c>
      <c r="P531" s="3" t="n">
        <v>-0.7836013613863194</v>
      </c>
      <c r="Q531" s="3" t="n">
        <v>-0.7836013613863194</v>
      </c>
      <c r="R531" s="3" t="n">
        <v>-0.7708828220976159</v>
      </c>
      <c r="S531" s="3" t="n">
        <v>-1.097007578991829</v>
      </c>
      <c r="T531" s="3" t="n">
        <v>-0.7085544974245923</v>
      </c>
      <c r="U531" s="3" t="n">
        <v>-0.8590307616172953</v>
      </c>
      <c r="V531" s="3" t="n">
        <v>-0.6772896647453308</v>
      </c>
      <c r="W531" s="3" t="n">
        <v>-0.5109122699879586</v>
      </c>
      <c r="X531" s="3" t="n">
        <v>-1.079493910708326</v>
      </c>
      <c r="Y531" s="3" t="n">
        <v>-0.7836013613863194</v>
      </c>
      <c r="Z531" s="3" t="n">
        <v>-1.097007578991829</v>
      </c>
      <c r="AA531" s="3" t="n">
        <v>-1.097007578991829</v>
      </c>
      <c r="AB531" s="3" t="n">
        <v>-1.079493910708326</v>
      </c>
      <c r="AC531" s="3" t="n">
        <v>-1.359592239907447</v>
      </c>
      <c r="AD531" s="3" t="n">
        <v>-0.8590307616172953</v>
      </c>
      <c r="AE531" s="3" t="n">
        <v>-0.8590307616172953</v>
      </c>
    </row>
    <row r="532">
      <c r="A532" s="3" t="inlineStr">
        <is>
          <t>CYP.distn.dec.ove.mean.1</t>
        </is>
      </c>
      <c r="B532" s="3" t="inlineStr">
        <is>
          <t>CYP</t>
        </is>
      </c>
      <c r="C532" s="3" t="n">
        <v>2005</v>
      </c>
      <c r="D532" s="3" t="inlineStr">
        <is>
          <t>Overall</t>
        </is>
      </c>
      <c r="E532" s="3" t="inlineStr">
        <is>
          <t>Deciles</t>
        </is>
      </c>
      <c r="F532" s="3" t="inlineStr">
        <is>
          <t>mean</t>
        </is>
      </c>
      <c r="G532" s="3" t="n">
        <v>1</v>
      </c>
      <c r="H532" s="3" t="n">
        <v>-0.7882409691810608</v>
      </c>
      <c r="I532" s="3" t="n">
        <v>-0.7882409691810608</v>
      </c>
      <c r="J532" s="3" t="n">
        <v>-0.8921075463294983</v>
      </c>
      <c r="K532" s="3" t="n">
        <v>-0.8921075463294983</v>
      </c>
      <c r="L532" s="3" t="n">
        <v>-0.7882409691810608</v>
      </c>
      <c r="M532" s="3" t="n">
        <v>-0.7882409691810608</v>
      </c>
      <c r="N532" s="3" t="n">
        <v>-0.7882409691810608</v>
      </c>
      <c r="O532" s="3" t="n">
        <v>-0.7882409691810608</v>
      </c>
      <c r="P532" s="3" t="n">
        <v>-0.7882409691810608</v>
      </c>
      <c r="Q532" s="3" t="n">
        <v>-0.7882409691810608</v>
      </c>
      <c r="R532" s="3" t="n">
        <v>-0.7734707593917847</v>
      </c>
      <c r="S532" s="3" t="n">
        <v>-1.425611734390259</v>
      </c>
      <c r="T532" s="3" t="n">
        <v>-0.7094525694847107</v>
      </c>
      <c r="U532" s="3" t="n">
        <v>-0.8921075463294983</v>
      </c>
      <c r="V532" s="3" t="n">
        <v>-0.6829447150230408</v>
      </c>
      <c r="W532" s="3" t="n">
        <v>-0.591725766658783</v>
      </c>
      <c r="X532" s="3" t="n">
        <v>-1.373036503791809</v>
      </c>
      <c r="Y532" s="3" t="n">
        <v>-0.7882409691810608</v>
      </c>
      <c r="Z532" s="3" t="n">
        <v>-1.425611734390259</v>
      </c>
      <c r="AA532" s="3" t="n">
        <v>-1.425611734390259</v>
      </c>
      <c r="AB532" s="3" t="n">
        <v>-1.373036503791809</v>
      </c>
      <c r="AC532" s="3" t="n">
        <v>-2.163908004760742</v>
      </c>
      <c r="AD532" s="3" t="n">
        <v>-0.8921075463294983</v>
      </c>
      <c r="AE532" s="3" t="n">
        <v>-0.8921075463294983</v>
      </c>
    </row>
    <row r="533">
      <c r="A533" s="3" t="inlineStr">
        <is>
          <t>CYP.distn.dec.ove.mean.2</t>
        </is>
      </c>
      <c r="B533" s="3" t="inlineStr">
        <is>
          <t>CYP</t>
        </is>
      </c>
      <c r="C533" s="3" t="n">
        <v>2005</v>
      </c>
      <c r="D533" s="3" t="inlineStr">
        <is>
          <t>Overall</t>
        </is>
      </c>
      <c r="E533" s="3" t="inlineStr">
        <is>
          <t>Deciles</t>
        </is>
      </c>
      <c r="F533" s="3" t="inlineStr">
        <is>
          <t>mean</t>
        </is>
      </c>
      <c r="G533" s="3" t="n">
        <v>2</v>
      </c>
      <c r="H533" s="3" t="n">
        <v>-0.7882409691810608</v>
      </c>
      <c r="I533" s="3" t="n">
        <v>-0.7882409691810608</v>
      </c>
      <c r="J533" s="3" t="n">
        <v>-0.8921075463294983</v>
      </c>
      <c r="K533" s="3" t="n">
        <v>-0.8921075463294983</v>
      </c>
      <c r="L533" s="3" t="n">
        <v>-0.7882409691810608</v>
      </c>
      <c r="M533" s="3" t="n">
        <v>-0.7882409691810608</v>
      </c>
      <c r="N533" s="3" t="n">
        <v>-0.7882409691810608</v>
      </c>
      <c r="O533" s="3" t="n">
        <v>-0.7882409691810608</v>
      </c>
      <c r="P533" s="3" t="n">
        <v>-0.7882409691810608</v>
      </c>
      <c r="Q533" s="3" t="n">
        <v>-0.7882409691810608</v>
      </c>
      <c r="R533" s="3" t="n">
        <v>-0.7734707593917847</v>
      </c>
      <c r="S533" s="3" t="n">
        <v>-1.425611734390259</v>
      </c>
      <c r="T533" s="3" t="n">
        <v>-0.7094525694847107</v>
      </c>
      <c r="U533" s="3" t="n">
        <v>-0.8921075463294983</v>
      </c>
      <c r="V533" s="3" t="n">
        <v>-0.6829447150230408</v>
      </c>
      <c r="W533" s="3" t="n">
        <v>-0.591725766658783</v>
      </c>
      <c r="X533" s="3" t="n">
        <v>-1.373036503791809</v>
      </c>
      <c r="Y533" s="3" t="n">
        <v>-0.7882409691810608</v>
      </c>
      <c r="Z533" s="3" t="n">
        <v>-1.425611734390259</v>
      </c>
      <c r="AA533" s="3" t="n">
        <v>-1.425611734390259</v>
      </c>
      <c r="AB533" s="3" t="n">
        <v>-1.373036503791809</v>
      </c>
      <c r="AC533" s="3" t="n">
        <v>-2.163908004760742</v>
      </c>
      <c r="AD533" s="3" t="n">
        <v>-0.8921075463294983</v>
      </c>
      <c r="AE533" s="3" t="n">
        <v>-0.8921075463294983</v>
      </c>
    </row>
    <row r="534">
      <c r="A534" s="3" t="inlineStr">
        <is>
          <t>CYP.distn.dec.ove.mean.3</t>
        </is>
      </c>
      <c r="B534" s="3" t="inlineStr">
        <is>
          <t>CYP</t>
        </is>
      </c>
      <c r="C534" s="3" t="n">
        <v>2005</v>
      </c>
      <c r="D534" s="3" t="inlineStr">
        <is>
          <t>Overall</t>
        </is>
      </c>
      <c r="E534" s="3" t="inlineStr">
        <is>
          <t>Deciles</t>
        </is>
      </c>
      <c r="F534" s="3" t="inlineStr">
        <is>
          <t>mean</t>
        </is>
      </c>
      <c r="G534" s="3" t="n">
        <v>3</v>
      </c>
      <c r="H534" s="3" t="n">
        <v>-0.7882409691810608</v>
      </c>
      <c r="I534" s="3" t="n">
        <v>-0.7882409691810608</v>
      </c>
      <c r="J534" s="3" t="n">
        <v>-0.8921075463294983</v>
      </c>
      <c r="K534" s="3" t="n">
        <v>-0.8921075463294983</v>
      </c>
      <c r="L534" s="3" t="n">
        <v>-0.7882409691810608</v>
      </c>
      <c r="M534" s="3" t="n">
        <v>-0.7882409691810608</v>
      </c>
      <c r="N534" s="3" t="n">
        <v>-0.7882409691810608</v>
      </c>
      <c r="O534" s="3" t="n">
        <v>-0.7882409691810608</v>
      </c>
      <c r="P534" s="3" t="n">
        <v>-0.7882409691810608</v>
      </c>
      <c r="Q534" s="3" t="n">
        <v>-0.7882409691810608</v>
      </c>
      <c r="R534" s="3" t="n">
        <v>-0.7734707593917847</v>
      </c>
      <c r="S534" s="3" t="n">
        <v>-1.425611734390259</v>
      </c>
      <c r="T534" s="3" t="n">
        <v>-0.7094525694847107</v>
      </c>
      <c r="U534" s="3" t="n">
        <v>-0.8921075463294983</v>
      </c>
      <c r="V534" s="3" t="n">
        <v>-0.6829447150230408</v>
      </c>
      <c r="W534" s="3" t="n">
        <v>-0.591725766658783</v>
      </c>
      <c r="X534" s="3" t="n">
        <v>-1.373036503791809</v>
      </c>
      <c r="Y534" s="3" t="n">
        <v>-0.7882409691810608</v>
      </c>
      <c r="Z534" s="3" t="n">
        <v>-1.425611734390259</v>
      </c>
      <c r="AA534" s="3" t="n">
        <v>-1.425611734390259</v>
      </c>
      <c r="AB534" s="3" t="n">
        <v>-1.373036503791809</v>
      </c>
      <c r="AC534" s="3" t="n">
        <v>-2.163908004760742</v>
      </c>
      <c r="AD534" s="3" t="n">
        <v>-0.8921075463294983</v>
      </c>
      <c r="AE534" s="3" t="n">
        <v>-0.8921075463294983</v>
      </c>
    </row>
    <row r="535">
      <c r="A535" s="3" t="inlineStr">
        <is>
          <t>CYP.distn.dec.ove.mean.4</t>
        </is>
      </c>
      <c r="B535" s="3" t="inlineStr">
        <is>
          <t>CYP</t>
        </is>
      </c>
      <c r="C535" s="3" t="n">
        <v>2005</v>
      </c>
      <c r="D535" s="3" t="inlineStr">
        <is>
          <t>Overall</t>
        </is>
      </c>
      <c r="E535" s="3" t="inlineStr">
        <is>
          <t>Deciles</t>
        </is>
      </c>
      <c r="F535" s="3" t="inlineStr">
        <is>
          <t>mean</t>
        </is>
      </c>
      <c r="G535" s="3" t="n">
        <v>4</v>
      </c>
      <c r="H535" s="3" t="n">
        <v>-0.7820000052452087</v>
      </c>
      <c r="I535" s="3" t="n">
        <v>-0.7820000052452087</v>
      </c>
      <c r="J535" s="3" t="n">
        <v>-0.8489999771118164</v>
      </c>
      <c r="K535" s="3" t="n">
        <v>-0.8489999771118164</v>
      </c>
      <c r="L535" s="3" t="n">
        <v>-0.7820000052452087</v>
      </c>
      <c r="M535" s="3" t="n">
        <v>-0.7820000052452087</v>
      </c>
      <c r="N535" s="3" t="n">
        <v>-0.7820000052452087</v>
      </c>
      <c r="O535" s="3" t="n">
        <v>-0.7820000052452087</v>
      </c>
      <c r="P535" s="3" t="n">
        <v>-0.7820000052452087</v>
      </c>
      <c r="Q535" s="3" t="n">
        <v>-0.7820000052452087</v>
      </c>
      <c r="R535" s="3" t="n">
        <v>-0.7699999809265137</v>
      </c>
      <c r="S535" s="3" t="n">
        <v>-0.9710000157356262</v>
      </c>
      <c r="T535" s="3" t="n">
        <v>-0.7080000042915344</v>
      </c>
      <c r="U535" s="3" t="n">
        <v>-0.8489999771118164</v>
      </c>
      <c r="V535" s="3" t="n">
        <v>-0.6759999990463257</v>
      </c>
      <c r="W535" s="3" t="n">
        <v>-0.4979999959468842</v>
      </c>
      <c r="X535" s="3" t="n">
        <v>-0.968999981880188</v>
      </c>
      <c r="Y535" s="3" t="n">
        <v>-0.7820000052452087</v>
      </c>
      <c r="Z535" s="3" t="n">
        <v>-0.9710000157356262</v>
      </c>
      <c r="AA535" s="3" t="n">
        <v>-0.9710000157356262</v>
      </c>
      <c r="AB535" s="3" t="n">
        <v>-0.968999981880188</v>
      </c>
      <c r="AC535" s="3" t="n">
        <v>-1.044999957084656</v>
      </c>
      <c r="AD535" s="3" t="n">
        <v>-0.8489999771118164</v>
      </c>
      <c r="AE535" s="3" t="n">
        <v>-0.8489999771118164</v>
      </c>
    </row>
    <row r="536">
      <c r="A536" s="3" t="inlineStr">
        <is>
          <t>CYP.distn.dec.ove.mean.5</t>
        </is>
      </c>
      <c r="B536" s="3" t="inlineStr">
        <is>
          <t>CYP</t>
        </is>
      </c>
      <c r="C536" s="3" t="n">
        <v>2005</v>
      </c>
      <c r="D536" s="3" t="inlineStr">
        <is>
          <t>Overall</t>
        </is>
      </c>
      <c r="E536" s="3" t="inlineStr">
        <is>
          <t>Deciles</t>
        </is>
      </c>
      <c r="F536" s="3" t="inlineStr">
        <is>
          <t>mean</t>
        </is>
      </c>
      <c r="G536" s="3" t="n">
        <v>5</v>
      </c>
      <c r="H536" s="3" t="n">
        <v>-0.7820000052452087</v>
      </c>
      <c r="I536" s="3" t="n">
        <v>-0.7820000052452087</v>
      </c>
      <c r="J536" s="3" t="n">
        <v>-0.8489999771118164</v>
      </c>
      <c r="K536" s="3" t="n">
        <v>-0.8489999771118164</v>
      </c>
      <c r="L536" s="3" t="n">
        <v>-0.7820000052452087</v>
      </c>
      <c r="M536" s="3" t="n">
        <v>-0.7820000052452087</v>
      </c>
      <c r="N536" s="3" t="n">
        <v>-0.7820000052452087</v>
      </c>
      <c r="O536" s="3" t="n">
        <v>-0.7820000052452087</v>
      </c>
      <c r="P536" s="3" t="n">
        <v>-0.7820000052452087</v>
      </c>
      <c r="Q536" s="3" t="n">
        <v>-0.7820000052452087</v>
      </c>
      <c r="R536" s="3" t="n">
        <v>-0.7699999809265137</v>
      </c>
      <c r="S536" s="3" t="n">
        <v>-0.9710000157356262</v>
      </c>
      <c r="T536" s="3" t="n">
        <v>-0.7080000042915344</v>
      </c>
      <c r="U536" s="3" t="n">
        <v>-0.8489999771118164</v>
      </c>
      <c r="V536" s="3" t="n">
        <v>-0.6759999990463257</v>
      </c>
      <c r="W536" s="3" t="n">
        <v>-0.4979999959468842</v>
      </c>
      <c r="X536" s="3" t="n">
        <v>-0.968999981880188</v>
      </c>
      <c r="Y536" s="3" t="n">
        <v>-0.7820000052452087</v>
      </c>
      <c r="Z536" s="3" t="n">
        <v>-0.9710000157356262</v>
      </c>
      <c r="AA536" s="3" t="n">
        <v>-0.9710000157356262</v>
      </c>
      <c r="AB536" s="3" t="n">
        <v>-0.968999981880188</v>
      </c>
      <c r="AC536" s="3" t="n">
        <v>-1.044999957084656</v>
      </c>
      <c r="AD536" s="3" t="n">
        <v>-0.8489999771118164</v>
      </c>
      <c r="AE536" s="3" t="n">
        <v>-0.8489999771118164</v>
      </c>
    </row>
    <row r="537">
      <c r="A537" s="3" t="inlineStr">
        <is>
          <t>CYP.distn.dec.ove.mean.6</t>
        </is>
      </c>
      <c r="B537" s="3" t="inlineStr">
        <is>
          <t>CYP</t>
        </is>
      </c>
      <c r="C537" s="3" t="n">
        <v>2005</v>
      </c>
      <c r="D537" s="3" t="inlineStr">
        <is>
          <t>Overall</t>
        </is>
      </c>
      <c r="E537" s="3" t="inlineStr">
        <is>
          <t>Deciles</t>
        </is>
      </c>
      <c r="F537" s="3" t="inlineStr">
        <is>
          <t>mean</t>
        </is>
      </c>
      <c r="G537" s="3" t="n">
        <v>6</v>
      </c>
      <c r="H537" s="3" t="n">
        <v>-0.7820000052452087</v>
      </c>
      <c r="I537" s="3" t="n">
        <v>-0.7820000052452087</v>
      </c>
      <c r="J537" s="3" t="n">
        <v>-0.8489999771118164</v>
      </c>
      <c r="K537" s="3" t="n">
        <v>-0.8489999771118164</v>
      </c>
      <c r="L537" s="3" t="n">
        <v>-0.7820000052452087</v>
      </c>
      <c r="M537" s="3" t="n">
        <v>-0.7820000052452087</v>
      </c>
      <c r="N537" s="3" t="n">
        <v>-0.7820000052452087</v>
      </c>
      <c r="O537" s="3" t="n">
        <v>-0.7820000052452087</v>
      </c>
      <c r="P537" s="3" t="n">
        <v>-0.7820000052452087</v>
      </c>
      <c r="Q537" s="3" t="n">
        <v>-0.7820000052452087</v>
      </c>
      <c r="R537" s="3" t="n">
        <v>-0.7699999809265137</v>
      </c>
      <c r="S537" s="3" t="n">
        <v>-0.9710000157356262</v>
      </c>
      <c r="T537" s="3" t="n">
        <v>-0.7080000042915344</v>
      </c>
      <c r="U537" s="3" t="n">
        <v>-0.8489999771118164</v>
      </c>
      <c r="V537" s="3" t="n">
        <v>-0.6759999990463257</v>
      </c>
      <c r="W537" s="3" t="n">
        <v>-0.4979999959468842</v>
      </c>
      <c r="X537" s="3" t="n">
        <v>-0.968999981880188</v>
      </c>
      <c r="Y537" s="3" t="n">
        <v>-0.7820000052452087</v>
      </c>
      <c r="Z537" s="3" t="n">
        <v>-0.9710000157356262</v>
      </c>
      <c r="AA537" s="3" t="n">
        <v>-0.9710000157356262</v>
      </c>
      <c r="AB537" s="3" t="n">
        <v>-0.968999981880188</v>
      </c>
      <c r="AC537" s="3" t="n">
        <v>-1.044999957084656</v>
      </c>
      <c r="AD537" s="3" t="n">
        <v>-0.8489999771118164</v>
      </c>
      <c r="AE537" s="3" t="n">
        <v>-0.8489999771118164</v>
      </c>
    </row>
    <row r="538">
      <c r="A538" s="3" t="inlineStr">
        <is>
          <t>CYP.distn.dec.ove.mean.7</t>
        </is>
      </c>
      <c r="B538" s="3" t="inlineStr">
        <is>
          <t>CYP</t>
        </is>
      </c>
      <c r="C538" s="3" t="n">
        <v>2005</v>
      </c>
      <c r="D538" s="3" t="inlineStr">
        <is>
          <t>Overall</t>
        </is>
      </c>
      <c r="E538" s="3" t="inlineStr">
        <is>
          <t>Deciles</t>
        </is>
      </c>
      <c r="F538" s="3" t="inlineStr">
        <is>
          <t>mean</t>
        </is>
      </c>
      <c r="G538" s="3" t="n">
        <v>7</v>
      </c>
      <c r="H538" s="3" t="n">
        <v>-0.7820000052452087</v>
      </c>
      <c r="I538" s="3" t="n">
        <v>-0.7820000052452087</v>
      </c>
      <c r="J538" s="3" t="n">
        <v>-0.8489999771118164</v>
      </c>
      <c r="K538" s="3" t="n">
        <v>-0.8489999771118164</v>
      </c>
      <c r="L538" s="3" t="n">
        <v>-0.7820000052452087</v>
      </c>
      <c r="M538" s="3" t="n">
        <v>-0.7820000052452087</v>
      </c>
      <c r="N538" s="3" t="n">
        <v>-0.7820000052452087</v>
      </c>
      <c r="O538" s="3" t="n">
        <v>-0.7820000052452087</v>
      </c>
      <c r="P538" s="3" t="n">
        <v>-0.7820000052452087</v>
      </c>
      <c r="Q538" s="3" t="n">
        <v>-0.7820000052452087</v>
      </c>
      <c r="R538" s="3" t="n">
        <v>-0.7699999809265137</v>
      </c>
      <c r="S538" s="3" t="n">
        <v>-0.9710000157356262</v>
      </c>
      <c r="T538" s="3" t="n">
        <v>-0.7080000042915344</v>
      </c>
      <c r="U538" s="3" t="n">
        <v>-0.8489999771118164</v>
      </c>
      <c r="V538" s="3" t="n">
        <v>-0.6759999990463257</v>
      </c>
      <c r="W538" s="3" t="n">
        <v>-0.4979999959468842</v>
      </c>
      <c r="X538" s="3" t="n">
        <v>-0.968999981880188</v>
      </c>
      <c r="Y538" s="3" t="n">
        <v>-0.7820000052452087</v>
      </c>
      <c r="Z538" s="3" t="n">
        <v>-0.9710000157356262</v>
      </c>
      <c r="AA538" s="3" t="n">
        <v>-0.9710000157356262</v>
      </c>
      <c r="AB538" s="3" t="n">
        <v>-0.968999981880188</v>
      </c>
      <c r="AC538" s="3" t="n">
        <v>-1.044999957084656</v>
      </c>
      <c r="AD538" s="3" t="n">
        <v>-0.8489999771118164</v>
      </c>
      <c r="AE538" s="3" t="n">
        <v>-0.8489999771118164</v>
      </c>
    </row>
    <row r="539">
      <c r="A539" s="3" t="inlineStr">
        <is>
          <t>CYP.distn.dec.ove.mean.8</t>
        </is>
      </c>
      <c r="B539" s="3" t="inlineStr">
        <is>
          <t>CYP</t>
        </is>
      </c>
      <c r="C539" s="3" t="n">
        <v>2005</v>
      </c>
      <c r="D539" s="3" t="inlineStr">
        <is>
          <t>Overall</t>
        </is>
      </c>
      <c r="E539" s="3" t="inlineStr">
        <is>
          <t>Deciles</t>
        </is>
      </c>
      <c r="F539" s="3" t="inlineStr">
        <is>
          <t>mean</t>
        </is>
      </c>
      <c r="G539" s="3" t="n">
        <v>8</v>
      </c>
      <c r="H539" s="3" t="n">
        <v>-0.782376766204834</v>
      </c>
      <c r="I539" s="3" t="n">
        <v>-0.782376766204834</v>
      </c>
      <c r="J539" s="3" t="n">
        <v>-0.851290225982666</v>
      </c>
      <c r="K539" s="3" t="n">
        <v>-0.851290225982666</v>
      </c>
      <c r="L539" s="3" t="n">
        <v>-0.782376766204834</v>
      </c>
      <c r="M539" s="3" t="n">
        <v>-0.782376766204834</v>
      </c>
      <c r="N539" s="3" t="n">
        <v>-0.782376766204834</v>
      </c>
      <c r="O539" s="3" t="n">
        <v>-0.782376766204834</v>
      </c>
      <c r="P539" s="3" t="n">
        <v>-0.782376766204834</v>
      </c>
      <c r="Q539" s="3" t="n">
        <v>-0.782376766204834</v>
      </c>
      <c r="R539" s="3" t="n">
        <v>-0.7702532410621643</v>
      </c>
      <c r="S539" s="3" t="n">
        <v>-0.9800352454185486</v>
      </c>
      <c r="T539" s="3" t="n">
        <v>-0.7080408334732056</v>
      </c>
      <c r="U539" s="3" t="n">
        <v>-0.851290225982666</v>
      </c>
      <c r="V539" s="3" t="n">
        <v>-0.6766988039016724</v>
      </c>
      <c r="W539" s="3" t="n">
        <v>-0.5113358497619629</v>
      </c>
      <c r="X539" s="3" t="n">
        <v>-0.9778295159339905</v>
      </c>
      <c r="Y539" s="3" t="n">
        <v>-0.782376766204834</v>
      </c>
      <c r="Z539" s="3" t="n">
        <v>-0.9800352454185486</v>
      </c>
      <c r="AA539" s="3" t="n">
        <v>-0.9800352454185486</v>
      </c>
      <c r="AB539" s="3" t="n">
        <v>-0.9778295159339905</v>
      </c>
      <c r="AC539" s="3" t="n">
        <v>-1.059903144836426</v>
      </c>
      <c r="AD539" s="3" t="n">
        <v>-0.851290225982666</v>
      </c>
      <c r="AE539" s="3" t="n">
        <v>-0.851290225982666</v>
      </c>
    </row>
    <row r="540">
      <c r="A540" s="3" t="inlineStr">
        <is>
          <t>CYP.distn.dec.ove.mean.9</t>
        </is>
      </c>
      <c r="B540" s="3" t="inlineStr">
        <is>
          <t>CYP</t>
        </is>
      </c>
      <c r="C540" s="3" t="n">
        <v>2005</v>
      </c>
      <c r="D540" s="3" t="inlineStr">
        <is>
          <t>Overall</t>
        </is>
      </c>
      <c r="E540" s="3" t="inlineStr">
        <is>
          <t>Deciles</t>
        </is>
      </c>
      <c r="F540" s="3" t="inlineStr">
        <is>
          <t>mean</t>
        </is>
      </c>
      <c r="G540" s="3" t="n">
        <v>9</v>
      </c>
      <c r="H540" s="3" t="n">
        <v>-0.782376766204834</v>
      </c>
      <c r="I540" s="3" t="n">
        <v>-0.782376766204834</v>
      </c>
      <c r="J540" s="3" t="n">
        <v>-0.851290225982666</v>
      </c>
      <c r="K540" s="3" t="n">
        <v>-0.851290225982666</v>
      </c>
      <c r="L540" s="3" t="n">
        <v>-0.782376766204834</v>
      </c>
      <c r="M540" s="3" t="n">
        <v>-0.782376766204834</v>
      </c>
      <c r="N540" s="3" t="n">
        <v>-0.782376766204834</v>
      </c>
      <c r="O540" s="3" t="n">
        <v>-0.782376766204834</v>
      </c>
      <c r="P540" s="3" t="n">
        <v>-0.782376766204834</v>
      </c>
      <c r="Q540" s="3" t="n">
        <v>-0.782376766204834</v>
      </c>
      <c r="R540" s="3" t="n">
        <v>-0.7702532410621643</v>
      </c>
      <c r="S540" s="3" t="n">
        <v>-0.9800352454185486</v>
      </c>
      <c r="T540" s="3" t="n">
        <v>-0.7080408334732056</v>
      </c>
      <c r="U540" s="3" t="n">
        <v>-0.851290225982666</v>
      </c>
      <c r="V540" s="3" t="n">
        <v>-0.6766988039016724</v>
      </c>
      <c r="W540" s="3" t="n">
        <v>-0.5113358497619629</v>
      </c>
      <c r="X540" s="3" t="n">
        <v>-0.9778295159339905</v>
      </c>
      <c r="Y540" s="3" t="n">
        <v>-0.782376766204834</v>
      </c>
      <c r="Z540" s="3" t="n">
        <v>-0.9800352454185486</v>
      </c>
      <c r="AA540" s="3" t="n">
        <v>-0.9800352454185486</v>
      </c>
      <c r="AB540" s="3" t="n">
        <v>-0.9778295159339905</v>
      </c>
      <c r="AC540" s="3" t="n">
        <v>-1.059903144836426</v>
      </c>
      <c r="AD540" s="3" t="n">
        <v>-0.851290225982666</v>
      </c>
      <c r="AE540" s="3" t="n">
        <v>-0.851290225982666</v>
      </c>
    </row>
    <row r="541">
      <c r="A541" s="3" t="inlineStr">
        <is>
          <t>CYP.distn.dec.ove.mean.10</t>
        </is>
      </c>
      <c r="B541" s="3" t="inlineStr">
        <is>
          <t>CYP</t>
        </is>
      </c>
      <c r="C541" s="3" t="n">
        <v>2005</v>
      </c>
      <c r="D541" s="3" t="inlineStr">
        <is>
          <t>Overall</t>
        </is>
      </c>
      <c r="E541" s="3" t="inlineStr">
        <is>
          <t>Deciles</t>
        </is>
      </c>
      <c r="F541" s="3" t="inlineStr">
        <is>
          <t>mean</t>
        </is>
      </c>
      <c r="G541" s="3" t="n">
        <v>10</v>
      </c>
      <c r="H541" s="3" t="n">
        <v>-0.782376766204834</v>
      </c>
      <c r="I541" s="3" t="n">
        <v>-0.782376766204834</v>
      </c>
      <c r="J541" s="3" t="n">
        <v>-0.851290225982666</v>
      </c>
      <c r="K541" s="3" t="n">
        <v>-0.851290225982666</v>
      </c>
      <c r="L541" s="3" t="n">
        <v>-0.782376766204834</v>
      </c>
      <c r="M541" s="3" t="n">
        <v>-0.782376766204834</v>
      </c>
      <c r="N541" s="3" t="n">
        <v>-0.782376766204834</v>
      </c>
      <c r="O541" s="3" t="n">
        <v>-0.782376766204834</v>
      </c>
      <c r="P541" s="3" t="n">
        <v>-0.782376766204834</v>
      </c>
      <c r="Q541" s="3" t="n">
        <v>-0.782376766204834</v>
      </c>
      <c r="R541" s="3" t="n">
        <v>-0.7702532410621643</v>
      </c>
      <c r="S541" s="3" t="n">
        <v>-0.9800352454185486</v>
      </c>
      <c r="T541" s="3" t="n">
        <v>-0.7080408334732056</v>
      </c>
      <c r="U541" s="3" t="n">
        <v>-0.851290225982666</v>
      </c>
      <c r="V541" s="3" t="n">
        <v>-0.6766988039016724</v>
      </c>
      <c r="W541" s="3" t="n">
        <v>-0.5113358497619629</v>
      </c>
      <c r="X541" s="3" t="n">
        <v>-0.9778295159339905</v>
      </c>
      <c r="Y541" s="3" t="n">
        <v>-0.782376766204834</v>
      </c>
      <c r="Z541" s="3" t="n">
        <v>-0.9800352454185486</v>
      </c>
      <c r="AA541" s="3" t="n">
        <v>-0.9800352454185486</v>
      </c>
      <c r="AB541" s="3" t="n">
        <v>-0.9778295159339905</v>
      </c>
      <c r="AC541" s="3" t="n">
        <v>-1.059903144836426</v>
      </c>
      <c r="AD541" s="3" t="n">
        <v>-0.851290225982666</v>
      </c>
      <c r="AE541" s="3" t="n">
        <v>-0.851290225982666</v>
      </c>
    </row>
    <row r="542">
      <c r="A542" s="3" t="inlineStr">
        <is>
          <t>CYP.distn.bkt.ove.mean.9999</t>
        </is>
      </c>
      <c r="B542" s="3" t="inlineStr">
        <is>
          <t>CYP</t>
        </is>
      </c>
      <c r="C542" s="3" t="n">
        <v>2005</v>
      </c>
      <c r="D542" s="3" t="inlineStr">
        <is>
          <t>Overall</t>
        </is>
      </c>
      <c r="E542" s="3" t="inlineStr">
        <is>
          <t>Basket</t>
        </is>
      </c>
      <c r="F542" s="3" t="inlineStr">
        <is>
          <t>mean</t>
        </is>
      </c>
      <c r="G542" s="3" t="n">
        <v>9999</v>
      </c>
      <c r="H542" s="3" t="n">
        <v>-0.7839853167533875</v>
      </c>
      <c r="I542" s="3" t="n">
        <v>-0.7839853167533875</v>
      </c>
      <c r="J542" s="3" t="n">
        <v>-0.8626193404197693</v>
      </c>
      <c r="K542" s="3" t="n">
        <v>-0.8626193404197693</v>
      </c>
      <c r="L542" s="3" t="n">
        <v>-0.7839853167533875</v>
      </c>
      <c r="M542" s="3" t="n">
        <v>-0.7839853167533875</v>
      </c>
      <c r="N542" s="3" t="n">
        <v>-0.7839853167533875</v>
      </c>
      <c r="O542" s="3" t="n">
        <v>-0.7839853167533875</v>
      </c>
      <c r="P542" s="3" t="n">
        <v>-0.7839853167533875</v>
      </c>
      <c r="Q542" s="3" t="n">
        <v>-0.7839853167533875</v>
      </c>
      <c r="R542" s="3" t="n">
        <v>-0.7711172103881836</v>
      </c>
      <c r="S542" s="3" t="n">
        <v>-1.11009407043457</v>
      </c>
      <c r="T542" s="3" t="n">
        <v>-0.708448052406311</v>
      </c>
      <c r="U542" s="3" t="n">
        <v>-0.8626193404197693</v>
      </c>
      <c r="V542" s="3" t="n">
        <v>-0.6782930493354797</v>
      </c>
      <c r="W542" s="3" t="n">
        <v>-0.530118465423584</v>
      </c>
      <c r="X542" s="3" t="n">
        <v>-1.092859745025635</v>
      </c>
      <c r="Y542" s="3" t="n">
        <v>-0.7839853167533875</v>
      </c>
      <c r="Z542" s="3" t="n">
        <v>-1.11009407043457</v>
      </c>
      <c r="AA542" s="3" t="n">
        <v>-1.11009407043457</v>
      </c>
      <c r="AB542" s="3" t="n">
        <v>-1.092859745025635</v>
      </c>
      <c r="AC542" s="3" t="n">
        <v>-1.385143280029297</v>
      </c>
      <c r="AD542" s="3" t="n">
        <v>-0.8626193404197693</v>
      </c>
      <c r="AE542" s="3" t="n">
        <v>-0.8626193404197693</v>
      </c>
    </row>
    <row r="543">
      <c r="A543" s="3" t="inlineStr">
        <is>
          <t>CZE.distn.dec.ove.mean.1</t>
        </is>
      </c>
      <c r="B543" s="3" t="inlineStr">
        <is>
          <t>CZE</t>
        </is>
      </c>
      <c r="C543" s="3" t="n">
        <v>2005</v>
      </c>
      <c r="D543" s="3" t="inlineStr">
        <is>
          <t>Overall</t>
        </is>
      </c>
      <c r="E543" s="3" t="inlineStr">
        <is>
          <t>Deciles</t>
        </is>
      </c>
      <c r="F543" s="3" t="inlineStr">
        <is>
          <t>mean</t>
        </is>
      </c>
      <c r="G543" s="3" t="n">
        <v>1</v>
      </c>
      <c r="H543" s="3" t="n">
        <v>-0.7862249612808228</v>
      </c>
      <c r="I543" s="3" t="n">
        <v>-0.7862249612808228</v>
      </c>
      <c r="J543" s="3" t="n">
        <v>-0.8794982433319092</v>
      </c>
      <c r="K543" s="3" t="n">
        <v>-0.8794982433319092</v>
      </c>
      <c r="L543" s="3" t="n">
        <v>-0.7862249612808228</v>
      </c>
      <c r="M543" s="3" t="n">
        <v>-0.7862249612808228</v>
      </c>
      <c r="N543" s="3" t="n">
        <v>-0.7862249612808228</v>
      </c>
      <c r="O543" s="3" t="n">
        <v>-0.7862249612808228</v>
      </c>
      <c r="P543" s="3" t="n">
        <v>-0.7862249612808228</v>
      </c>
      <c r="Q543" s="3" t="n">
        <v>-0.7862249612808228</v>
      </c>
      <c r="R543" s="3" t="n">
        <v>-0.772466242313385</v>
      </c>
      <c r="S543" s="3" t="n">
        <v>-1.361011385917664</v>
      </c>
      <c r="T543" s="3" t="n">
        <v>-0.7094525694847107</v>
      </c>
      <c r="U543" s="3" t="n">
        <v>-0.8794982433319092</v>
      </c>
      <c r="V543" s="3" t="n">
        <v>-0.6789036393165588</v>
      </c>
      <c r="W543" s="3" t="n">
        <v>-0.5085514187812805</v>
      </c>
      <c r="X543" s="3" t="n">
        <v>-1.31069016456604</v>
      </c>
      <c r="Y543" s="3" t="n">
        <v>-0.7862249612808228</v>
      </c>
      <c r="Z543" s="3" t="n">
        <v>-1.361011385917664</v>
      </c>
      <c r="AA543" s="3" t="n">
        <v>-1.361011385917664</v>
      </c>
      <c r="AB543" s="3" t="n">
        <v>-1.31069016456604</v>
      </c>
      <c r="AC543" s="3" t="n">
        <v>-2.012744903564453</v>
      </c>
      <c r="AD543" s="3" t="n">
        <v>-0.8794982433319092</v>
      </c>
      <c r="AE543" s="3" t="n">
        <v>-0.8794982433319092</v>
      </c>
    </row>
    <row r="544">
      <c r="A544" s="3" t="inlineStr">
        <is>
          <t>CZE.distn.dec.ove.mean.2</t>
        </is>
      </c>
      <c r="B544" s="3" t="inlineStr">
        <is>
          <t>CZE</t>
        </is>
      </c>
      <c r="C544" s="3" t="n">
        <v>2005</v>
      </c>
      <c r="D544" s="3" t="inlineStr">
        <is>
          <t>Overall</t>
        </is>
      </c>
      <c r="E544" s="3" t="inlineStr">
        <is>
          <t>Deciles</t>
        </is>
      </c>
      <c r="F544" s="3" t="inlineStr">
        <is>
          <t>mean</t>
        </is>
      </c>
      <c r="G544" s="3" t="n">
        <v>2</v>
      </c>
      <c r="H544" s="3" t="n">
        <v>-0.7862249612808228</v>
      </c>
      <c r="I544" s="3" t="n">
        <v>-0.7862249612808228</v>
      </c>
      <c r="J544" s="3" t="n">
        <v>-0.8794982433319092</v>
      </c>
      <c r="K544" s="3" t="n">
        <v>-0.8794982433319092</v>
      </c>
      <c r="L544" s="3" t="n">
        <v>-0.7862249612808228</v>
      </c>
      <c r="M544" s="3" t="n">
        <v>-0.7862249612808228</v>
      </c>
      <c r="N544" s="3" t="n">
        <v>-0.7862249612808228</v>
      </c>
      <c r="O544" s="3" t="n">
        <v>-0.7862249612808228</v>
      </c>
      <c r="P544" s="3" t="n">
        <v>-0.7862249612808228</v>
      </c>
      <c r="Q544" s="3" t="n">
        <v>-0.7862249612808228</v>
      </c>
      <c r="R544" s="3" t="n">
        <v>-0.772466242313385</v>
      </c>
      <c r="S544" s="3" t="n">
        <v>-1.361011385917664</v>
      </c>
      <c r="T544" s="3" t="n">
        <v>-0.7094525694847107</v>
      </c>
      <c r="U544" s="3" t="n">
        <v>-0.8794982433319092</v>
      </c>
      <c r="V544" s="3" t="n">
        <v>-0.6789036393165588</v>
      </c>
      <c r="W544" s="3" t="n">
        <v>-0.5085514187812805</v>
      </c>
      <c r="X544" s="3" t="n">
        <v>-1.31069016456604</v>
      </c>
      <c r="Y544" s="3" t="n">
        <v>-0.7862249612808228</v>
      </c>
      <c r="Z544" s="3" t="n">
        <v>-1.361011385917664</v>
      </c>
      <c r="AA544" s="3" t="n">
        <v>-1.361011385917664</v>
      </c>
      <c r="AB544" s="3" t="n">
        <v>-1.31069016456604</v>
      </c>
      <c r="AC544" s="3" t="n">
        <v>-2.012744903564453</v>
      </c>
      <c r="AD544" s="3" t="n">
        <v>-0.8794982433319092</v>
      </c>
      <c r="AE544" s="3" t="n">
        <v>-0.8794982433319092</v>
      </c>
    </row>
    <row r="545">
      <c r="A545" s="3" t="inlineStr">
        <is>
          <t>CZE.distn.dec.ove.mean.3</t>
        </is>
      </c>
      <c r="B545" s="3" t="inlineStr">
        <is>
          <t>CZE</t>
        </is>
      </c>
      <c r="C545" s="3" t="n">
        <v>2005</v>
      </c>
      <c r="D545" s="3" t="inlineStr">
        <is>
          <t>Overall</t>
        </is>
      </c>
      <c r="E545" s="3" t="inlineStr">
        <is>
          <t>Deciles</t>
        </is>
      </c>
      <c r="F545" s="3" t="inlineStr">
        <is>
          <t>mean</t>
        </is>
      </c>
      <c r="G545" s="3" t="n">
        <v>3</v>
      </c>
      <c r="H545" s="3" t="n">
        <v>-0.7862249612808228</v>
      </c>
      <c r="I545" s="3" t="n">
        <v>-0.7862249612808228</v>
      </c>
      <c r="J545" s="3" t="n">
        <v>-0.8794982433319092</v>
      </c>
      <c r="K545" s="3" t="n">
        <v>-0.8794982433319092</v>
      </c>
      <c r="L545" s="3" t="n">
        <v>-0.7862249612808228</v>
      </c>
      <c r="M545" s="3" t="n">
        <v>-0.7862249612808228</v>
      </c>
      <c r="N545" s="3" t="n">
        <v>-0.7862249612808228</v>
      </c>
      <c r="O545" s="3" t="n">
        <v>-0.7862249612808228</v>
      </c>
      <c r="P545" s="3" t="n">
        <v>-0.7862249612808228</v>
      </c>
      <c r="Q545" s="3" t="n">
        <v>-0.7862249612808228</v>
      </c>
      <c r="R545" s="3" t="n">
        <v>-0.772466242313385</v>
      </c>
      <c r="S545" s="3" t="n">
        <v>-1.361011385917664</v>
      </c>
      <c r="T545" s="3" t="n">
        <v>-0.7094525694847107</v>
      </c>
      <c r="U545" s="3" t="n">
        <v>-0.8794982433319092</v>
      </c>
      <c r="V545" s="3" t="n">
        <v>-0.6789036393165588</v>
      </c>
      <c r="W545" s="3" t="n">
        <v>-0.5085514187812805</v>
      </c>
      <c r="X545" s="3" t="n">
        <v>-1.31069016456604</v>
      </c>
      <c r="Y545" s="3" t="n">
        <v>-0.7862249612808228</v>
      </c>
      <c r="Z545" s="3" t="n">
        <v>-1.361011385917664</v>
      </c>
      <c r="AA545" s="3" t="n">
        <v>-1.361011385917664</v>
      </c>
      <c r="AB545" s="3" t="n">
        <v>-1.31069016456604</v>
      </c>
      <c r="AC545" s="3" t="n">
        <v>-2.012744903564453</v>
      </c>
      <c r="AD545" s="3" t="n">
        <v>-0.8794982433319092</v>
      </c>
      <c r="AE545" s="3" t="n">
        <v>-0.8794982433319092</v>
      </c>
    </row>
    <row r="546">
      <c r="A546" s="3" t="inlineStr">
        <is>
          <t>CZE.distn.dec.ove.mean.4</t>
        </is>
      </c>
      <c r="B546" s="3" t="inlineStr">
        <is>
          <t>CZE</t>
        </is>
      </c>
      <c r="C546" s="3" t="n">
        <v>2005</v>
      </c>
      <c r="D546" s="3" t="inlineStr">
        <is>
          <t>Overall</t>
        </is>
      </c>
      <c r="E546" s="3" t="inlineStr">
        <is>
          <t>Deciles</t>
        </is>
      </c>
      <c r="F546" s="3" t="inlineStr">
        <is>
          <t>mean</t>
        </is>
      </c>
      <c r="G546" s="3" t="n">
        <v>4</v>
      </c>
      <c r="H546" s="3" t="n">
        <v>-0.7799999713897705</v>
      </c>
      <c r="I546" s="3" t="n">
        <v>-0.7799999713897705</v>
      </c>
      <c r="J546" s="3" t="n">
        <v>-0.8370000123977661</v>
      </c>
      <c r="K546" s="3" t="n">
        <v>-0.8370000123977661</v>
      </c>
      <c r="L546" s="3" t="n">
        <v>-0.7799999713897705</v>
      </c>
      <c r="M546" s="3" t="n">
        <v>-0.7799999713897705</v>
      </c>
      <c r="N546" s="3" t="n">
        <v>-0.7799999713897705</v>
      </c>
      <c r="O546" s="3" t="n">
        <v>-0.7799999713897705</v>
      </c>
      <c r="P546" s="3" t="n">
        <v>-0.7799999713897705</v>
      </c>
      <c r="Q546" s="3" t="n">
        <v>-0.7799999713897705</v>
      </c>
      <c r="R546" s="3" t="n">
        <v>-0.7689999938011169</v>
      </c>
      <c r="S546" s="3" t="n">
        <v>-0.9269999861717224</v>
      </c>
      <c r="T546" s="3" t="n">
        <v>-0.7080000042915344</v>
      </c>
      <c r="U546" s="3" t="n">
        <v>-0.8370000123977661</v>
      </c>
      <c r="V546" s="3" t="n">
        <v>-0.671999990940094</v>
      </c>
      <c r="W546" s="3" t="n">
        <v>-0.4280000030994415</v>
      </c>
      <c r="X546" s="3" t="n">
        <v>-0.925000011920929</v>
      </c>
      <c r="Y546" s="3" t="n">
        <v>-0.7799999713897705</v>
      </c>
      <c r="Z546" s="3" t="n">
        <v>-0.9269999861717224</v>
      </c>
      <c r="AA546" s="3" t="n">
        <v>-0.9269999861717224</v>
      </c>
      <c r="AB546" s="3" t="n">
        <v>-0.925000011920929</v>
      </c>
      <c r="AC546" s="3" t="n">
        <v>-0.9720000028610229</v>
      </c>
      <c r="AD546" s="3" t="n">
        <v>-0.8370000123977661</v>
      </c>
      <c r="AE546" s="3" t="n">
        <v>-0.8370000123977661</v>
      </c>
    </row>
    <row r="547">
      <c r="A547" s="3" t="inlineStr">
        <is>
          <t>CZE.distn.dec.ove.mean.5</t>
        </is>
      </c>
      <c r="B547" s="3" t="inlineStr">
        <is>
          <t>CZE</t>
        </is>
      </c>
      <c r="C547" s="3" t="n">
        <v>2005</v>
      </c>
      <c r="D547" s="3" t="inlineStr">
        <is>
          <t>Overall</t>
        </is>
      </c>
      <c r="E547" s="3" t="inlineStr">
        <is>
          <t>Deciles</t>
        </is>
      </c>
      <c r="F547" s="3" t="inlineStr">
        <is>
          <t>mean</t>
        </is>
      </c>
      <c r="G547" s="3" t="n">
        <v>5</v>
      </c>
      <c r="H547" s="3" t="n">
        <v>-0.7799999713897705</v>
      </c>
      <c r="I547" s="3" t="n">
        <v>-0.7799999713897705</v>
      </c>
      <c r="J547" s="3" t="n">
        <v>-0.8370000123977661</v>
      </c>
      <c r="K547" s="3" t="n">
        <v>-0.8370000123977661</v>
      </c>
      <c r="L547" s="3" t="n">
        <v>-0.7799999713897705</v>
      </c>
      <c r="M547" s="3" t="n">
        <v>-0.7799999713897705</v>
      </c>
      <c r="N547" s="3" t="n">
        <v>-0.7799999713897705</v>
      </c>
      <c r="O547" s="3" t="n">
        <v>-0.7799999713897705</v>
      </c>
      <c r="P547" s="3" t="n">
        <v>-0.7799999713897705</v>
      </c>
      <c r="Q547" s="3" t="n">
        <v>-0.7799999713897705</v>
      </c>
      <c r="R547" s="3" t="n">
        <v>-0.7689999938011169</v>
      </c>
      <c r="S547" s="3" t="n">
        <v>-0.9269999861717224</v>
      </c>
      <c r="T547" s="3" t="n">
        <v>-0.7080000042915344</v>
      </c>
      <c r="U547" s="3" t="n">
        <v>-0.8370000123977661</v>
      </c>
      <c r="V547" s="3" t="n">
        <v>-0.671999990940094</v>
      </c>
      <c r="W547" s="3" t="n">
        <v>-0.4280000030994415</v>
      </c>
      <c r="X547" s="3" t="n">
        <v>-0.925000011920929</v>
      </c>
      <c r="Y547" s="3" t="n">
        <v>-0.7799999713897705</v>
      </c>
      <c r="Z547" s="3" t="n">
        <v>-0.9269999861717224</v>
      </c>
      <c r="AA547" s="3" t="n">
        <v>-0.9269999861717224</v>
      </c>
      <c r="AB547" s="3" t="n">
        <v>-0.925000011920929</v>
      </c>
      <c r="AC547" s="3" t="n">
        <v>-0.9720000028610229</v>
      </c>
      <c r="AD547" s="3" t="n">
        <v>-0.8370000123977661</v>
      </c>
      <c r="AE547" s="3" t="n">
        <v>-0.8370000123977661</v>
      </c>
    </row>
    <row r="548">
      <c r="A548" s="3" t="inlineStr">
        <is>
          <t>CZE.distn.dec.ove.mean.6</t>
        </is>
      </c>
      <c r="B548" s="3" t="inlineStr">
        <is>
          <t>CZE</t>
        </is>
      </c>
      <c r="C548" s="3" t="n">
        <v>2005</v>
      </c>
      <c r="D548" s="3" t="inlineStr">
        <is>
          <t>Overall</t>
        </is>
      </c>
      <c r="E548" s="3" t="inlineStr">
        <is>
          <t>Deciles</t>
        </is>
      </c>
      <c r="F548" s="3" t="inlineStr">
        <is>
          <t>mean</t>
        </is>
      </c>
      <c r="G548" s="3" t="n">
        <v>6</v>
      </c>
      <c r="H548" s="3" t="n">
        <v>-0.7799999713897705</v>
      </c>
      <c r="I548" s="3" t="n">
        <v>-0.7799999713897705</v>
      </c>
      <c r="J548" s="3" t="n">
        <v>-0.8370000123977661</v>
      </c>
      <c r="K548" s="3" t="n">
        <v>-0.8370000123977661</v>
      </c>
      <c r="L548" s="3" t="n">
        <v>-0.7799999713897705</v>
      </c>
      <c r="M548" s="3" t="n">
        <v>-0.7799999713897705</v>
      </c>
      <c r="N548" s="3" t="n">
        <v>-0.7799999713897705</v>
      </c>
      <c r="O548" s="3" t="n">
        <v>-0.7799999713897705</v>
      </c>
      <c r="P548" s="3" t="n">
        <v>-0.7799999713897705</v>
      </c>
      <c r="Q548" s="3" t="n">
        <v>-0.7799999713897705</v>
      </c>
      <c r="R548" s="3" t="n">
        <v>-0.7689999938011169</v>
      </c>
      <c r="S548" s="3" t="n">
        <v>-0.9269999861717224</v>
      </c>
      <c r="T548" s="3" t="n">
        <v>-0.7080000042915344</v>
      </c>
      <c r="U548" s="3" t="n">
        <v>-0.8370000123977661</v>
      </c>
      <c r="V548" s="3" t="n">
        <v>-0.671999990940094</v>
      </c>
      <c r="W548" s="3" t="n">
        <v>-0.4280000030994415</v>
      </c>
      <c r="X548" s="3" t="n">
        <v>-0.925000011920929</v>
      </c>
      <c r="Y548" s="3" t="n">
        <v>-0.7799999713897705</v>
      </c>
      <c r="Z548" s="3" t="n">
        <v>-0.9269999861717224</v>
      </c>
      <c r="AA548" s="3" t="n">
        <v>-0.9269999861717224</v>
      </c>
      <c r="AB548" s="3" t="n">
        <v>-0.925000011920929</v>
      </c>
      <c r="AC548" s="3" t="n">
        <v>-0.9720000028610229</v>
      </c>
      <c r="AD548" s="3" t="n">
        <v>-0.8370000123977661</v>
      </c>
      <c r="AE548" s="3" t="n">
        <v>-0.8370000123977661</v>
      </c>
    </row>
    <row r="549">
      <c r="A549" s="3" t="inlineStr">
        <is>
          <t>CZE.distn.dec.ove.mean.7</t>
        </is>
      </c>
      <c r="B549" s="3" t="inlineStr">
        <is>
          <t>CZE</t>
        </is>
      </c>
      <c r="C549" s="3" t="n">
        <v>2005</v>
      </c>
      <c r="D549" s="3" t="inlineStr">
        <is>
          <t>Overall</t>
        </is>
      </c>
      <c r="E549" s="3" t="inlineStr">
        <is>
          <t>Deciles</t>
        </is>
      </c>
      <c r="F549" s="3" t="inlineStr">
        <is>
          <t>mean</t>
        </is>
      </c>
      <c r="G549" s="3" t="n">
        <v>7</v>
      </c>
      <c r="H549" s="3" t="n">
        <v>-0.7799999713897705</v>
      </c>
      <c r="I549" s="3" t="n">
        <v>-0.7799999713897705</v>
      </c>
      <c r="J549" s="3" t="n">
        <v>-0.8370000123977661</v>
      </c>
      <c r="K549" s="3" t="n">
        <v>-0.8370000123977661</v>
      </c>
      <c r="L549" s="3" t="n">
        <v>-0.7799999713897705</v>
      </c>
      <c r="M549" s="3" t="n">
        <v>-0.7799999713897705</v>
      </c>
      <c r="N549" s="3" t="n">
        <v>-0.7799999713897705</v>
      </c>
      <c r="O549" s="3" t="n">
        <v>-0.7799999713897705</v>
      </c>
      <c r="P549" s="3" t="n">
        <v>-0.7799999713897705</v>
      </c>
      <c r="Q549" s="3" t="n">
        <v>-0.7799999713897705</v>
      </c>
      <c r="R549" s="3" t="n">
        <v>-0.7689999938011169</v>
      </c>
      <c r="S549" s="3" t="n">
        <v>-0.9269999861717224</v>
      </c>
      <c r="T549" s="3" t="n">
        <v>-0.7080000042915344</v>
      </c>
      <c r="U549" s="3" t="n">
        <v>-0.8370000123977661</v>
      </c>
      <c r="V549" s="3" t="n">
        <v>-0.671999990940094</v>
      </c>
      <c r="W549" s="3" t="n">
        <v>-0.4280000030994415</v>
      </c>
      <c r="X549" s="3" t="n">
        <v>-0.925000011920929</v>
      </c>
      <c r="Y549" s="3" t="n">
        <v>-0.7799999713897705</v>
      </c>
      <c r="Z549" s="3" t="n">
        <v>-0.9269999861717224</v>
      </c>
      <c r="AA549" s="3" t="n">
        <v>-0.9269999861717224</v>
      </c>
      <c r="AB549" s="3" t="n">
        <v>-0.925000011920929</v>
      </c>
      <c r="AC549" s="3" t="n">
        <v>-0.9720000028610229</v>
      </c>
      <c r="AD549" s="3" t="n">
        <v>-0.8370000123977661</v>
      </c>
      <c r="AE549" s="3" t="n">
        <v>-0.8370000123977661</v>
      </c>
    </row>
    <row r="550">
      <c r="A550" s="3" t="inlineStr">
        <is>
          <t>CZE.distn.dec.ove.mean.8</t>
        </is>
      </c>
      <c r="B550" s="3" t="inlineStr">
        <is>
          <t>CZE</t>
        </is>
      </c>
      <c r="C550" s="3" t="n">
        <v>2005</v>
      </c>
      <c r="D550" s="3" t="inlineStr">
        <is>
          <t>Overall</t>
        </is>
      </c>
      <c r="E550" s="3" t="inlineStr">
        <is>
          <t>Deciles</t>
        </is>
      </c>
      <c r="F550" s="3" t="inlineStr">
        <is>
          <t>mean</t>
        </is>
      </c>
      <c r="G550" s="3" t="n">
        <v>8</v>
      </c>
      <c r="H550" s="3" t="n">
        <v>-0.7803757786750793</v>
      </c>
      <c r="I550" s="3" t="n">
        <v>-0.7803757786750793</v>
      </c>
      <c r="J550" s="3" t="n">
        <v>-0.8392578959465027</v>
      </c>
      <c r="K550" s="3" t="n">
        <v>-0.8392578959465027</v>
      </c>
      <c r="L550" s="3" t="n">
        <v>-0.7803757786750793</v>
      </c>
      <c r="M550" s="3" t="n">
        <v>-0.7803757786750793</v>
      </c>
      <c r="N550" s="3" t="n">
        <v>-0.7803757786750793</v>
      </c>
      <c r="O550" s="3" t="n">
        <v>-0.7803757786750793</v>
      </c>
      <c r="P550" s="3" t="n">
        <v>-0.7803757786750793</v>
      </c>
      <c r="Q550" s="3" t="n">
        <v>-0.7803757786750793</v>
      </c>
      <c r="R550" s="3" t="n">
        <v>-0.7692528963088989</v>
      </c>
      <c r="S550" s="3" t="n">
        <v>-0.9356258511543274</v>
      </c>
      <c r="T550" s="3" t="n">
        <v>-0.7080408334732056</v>
      </c>
      <c r="U550" s="3" t="n">
        <v>-0.8392578959465027</v>
      </c>
      <c r="V550" s="3" t="n">
        <v>-0.6726946830749512</v>
      </c>
      <c r="W550" s="3" t="n">
        <v>-0.4394613206386566</v>
      </c>
      <c r="X550" s="3" t="n">
        <v>-0.9334285855293274</v>
      </c>
      <c r="Y550" s="3" t="n">
        <v>-0.7803757786750793</v>
      </c>
      <c r="Z550" s="3" t="n">
        <v>-0.9356258511543274</v>
      </c>
      <c r="AA550" s="3" t="n">
        <v>-0.9356258511543274</v>
      </c>
      <c r="AB550" s="3" t="n">
        <v>-0.9334285855293274</v>
      </c>
      <c r="AC550" s="3" t="n">
        <v>-0.9858620166778564</v>
      </c>
      <c r="AD550" s="3" t="n">
        <v>-0.8392578959465027</v>
      </c>
      <c r="AE550" s="3" t="n">
        <v>-0.8392578959465027</v>
      </c>
    </row>
    <row r="551">
      <c r="A551" s="3" t="inlineStr">
        <is>
          <t>CZE.distn.dec.ove.mean.9</t>
        </is>
      </c>
      <c r="B551" s="3" t="inlineStr">
        <is>
          <t>CZE</t>
        </is>
      </c>
      <c r="C551" s="3" t="n">
        <v>2005</v>
      </c>
      <c r="D551" s="3" t="inlineStr">
        <is>
          <t>Overall</t>
        </is>
      </c>
      <c r="E551" s="3" t="inlineStr">
        <is>
          <t>Deciles</t>
        </is>
      </c>
      <c r="F551" s="3" t="inlineStr">
        <is>
          <t>mean</t>
        </is>
      </c>
      <c r="G551" s="3" t="n">
        <v>9</v>
      </c>
      <c r="H551" s="3" t="n">
        <v>-0.7803757786750793</v>
      </c>
      <c r="I551" s="3" t="n">
        <v>-0.7803757786750793</v>
      </c>
      <c r="J551" s="3" t="n">
        <v>-0.8392578959465027</v>
      </c>
      <c r="K551" s="3" t="n">
        <v>-0.8392578959465027</v>
      </c>
      <c r="L551" s="3" t="n">
        <v>-0.7803757786750793</v>
      </c>
      <c r="M551" s="3" t="n">
        <v>-0.7803757786750793</v>
      </c>
      <c r="N551" s="3" t="n">
        <v>-0.7803757786750793</v>
      </c>
      <c r="O551" s="3" t="n">
        <v>-0.7803757786750793</v>
      </c>
      <c r="P551" s="3" t="n">
        <v>-0.7803757786750793</v>
      </c>
      <c r="Q551" s="3" t="n">
        <v>-0.7803757786750793</v>
      </c>
      <c r="R551" s="3" t="n">
        <v>-0.7692528963088989</v>
      </c>
      <c r="S551" s="3" t="n">
        <v>-0.9356258511543274</v>
      </c>
      <c r="T551" s="3" t="n">
        <v>-0.7080408334732056</v>
      </c>
      <c r="U551" s="3" t="n">
        <v>-0.8392578959465027</v>
      </c>
      <c r="V551" s="3" t="n">
        <v>-0.6726946830749512</v>
      </c>
      <c r="W551" s="3" t="n">
        <v>-0.4394613206386566</v>
      </c>
      <c r="X551" s="3" t="n">
        <v>-0.9334285855293274</v>
      </c>
      <c r="Y551" s="3" t="n">
        <v>-0.7803757786750793</v>
      </c>
      <c r="Z551" s="3" t="n">
        <v>-0.9356258511543274</v>
      </c>
      <c r="AA551" s="3" t="n">
        <v>-0.9356258511543274</v>
      </c>
      <c r="AB551" s="3" t="n">
        <v>-0.9334285855293274</v>
      </c>
      <c r="AC551" s="3" t="n">
        <v>-0.9858620166778564</v>
      </c>
      <c r="AD551" s="3" t="n">
        <v>-0.8392578959465027</v>
      </c>
      <c r="AE551" s="3" t="n">
        <v>-0.8392578959465027</v>
      </c>
    </row>
    <row r="552">
      <c r="A552" s="3" t="inlineStr">
        <is>
          <t>CZE.distn.dec.ove.mean.10</t>
        </is>
      </c>
      <c r="B552" s="3" t="inlineStr">
        <is>
          <t>CZE</t>
        </is>
      </c>
      <c r="C552" s="3" t="n">
        <v>2005</v>
      </c>
      <c r="D552" s="3" t="inlineStr">
        <is>
          <t>Overall</t>
        </is>
      </c>
      <c r="E552" s="3" t="inlineStr">
        <is>
          <t>Deciles</t>
        </is>
      </c>
      <c r="F552" s="3" t="inlineStr">
        <is>
          <t>mean</t>
        </is>
      </c>
      <c r="G552" s="3" t="n">
        <v>10</v>
      </c>
      <c r="H552" s="3" t="n">
        <v>-0.7803757786750793</v>
      </c>
      <c r="I552" s="3" t="n">
        <v>-0.7803757786750793</v>
      </c>
      <c r="J552" s="3" t="n">
        <v>-0.8392578959465027</v>
      </c>
      <c r="K552" s="3" t="n">
        <v>-0.8392578959465027</v>
      </c>
      <c r="L552" s="3" t="n">
        <v>-0.7803757786750793</v>
      </c>
      <c r="M552" s="3" t="n">
        <v>-0.7803757786750793</v>
      </c>
      <c r="N552" s="3" t="n">
        <v>-0.7803757786750793</v>
      </c>
      <c r="O552" s="3" t="n">
        <v>-0.7803757786750793</v>
      </c>
      <c r="P552" s="3" t="n">
        <v>-0.7803757786750793</v>
      </c>
      <c r="Q552" s="3" t="n">
        <v>-0.7803757786750793</v>
      </c>
      <c r="R552" s="3" t="n">
        <v>-0.7692528963088989</v>
      </c>
      <c r="S552" s="3" t="n">
        <v>-0.9356258511543274</v>
      </c>
      <c r="T552" s="3" t="n">
        <v>-0.7080408334732056</v>
      </c>
      <c r="U552" s="3" t="n">
        <v>-0.8392578959465027</v>
      </c>
      <c r="V552" s="3" t="n">
        <v>-0.6726946830749512</v>
      </c>
      <c r="W552" s="3" t="n">
        <v>-0.4394613206386566</v>
      </c>
      <c r="X552" s="3" t="n">
        <v>-0.9334285855293274</v>
      </c>
      <c r="Y552" s="3" t="n">
        <v>-0.7803757786750793</v>
      </c>
      <c r="Z552" s="3" t="n">
        <v>-0.9356258511543274</v>
      </c>
      <c r="AA552" s="3" t="n">
        <v>-0.9356258511543274</v>
      </c>
      <c r="AB552" s="3" t="n">
        <v>-0.9334285855293274</v>
      </c>
      <c r="AC552" s="3" t="n">
        <v>-0.9858620166778564</v>
      </c>
      <c r="AD552" s="3" t="n">
        <v>-0.8392578959465027</v>
      </c>
      <c r="AE552" s="3" t="n">
        <v>-0.8392578959465027</v>
      </c>
    </row>
    <row r="553">
      <c r="A553" s="3" t="inlineStr">
        <is>
          <t>CZE.distn.bkt.ove.mean.9999</t>
        </is>
      </c>
      <c r="B553" s="3" t="inlineStr">
        <is>
          <t>CZE</t>
        </is>
      </c>
      <c r="C553" s="3" t="n">
        <v>2005</v>
      </c>
      <c r="D553" s="3" t="inlineStr">
        <is>
          <t>Overall</t>
        </is>
      </c>
      <c r="E553" s="3" t="inlineStr">
        <is>
          <t>Basket</t>
        </is>
      </c>
      <c r="F553" s="3" t="inlineStr">
        <is>
          <t>mean</t>
        </is>
      </c>
      <c r="G553" s="3" t="n">
        <v>9999</v>
      </c>
      <c r="H553" s="3" t="n">
        <v>-0.7819802165031433</v>
      </c>
      <c r="I553" s="3" t="n">
        <v>-0.7819802165031433</v>
      </c>
      <c r="J553" s="3" t="n">
        <v>-0.8504268527030945</v>
      </c>
      <c r="K553" s="3" t="n">
        <v>-0.8504268527030945</v>
      </c>
      <c r="L553" s="3" t="n">
        <v>-0.7819802165031433</v>
      </c>
      <c r="M553" s="3" t="n">
        <v>-0.7819802165031433</v>
      </c>
      <c r="N553" s="3" t="n">
        <v>-0.7819802165031433</v>
      </c>
      <c r="O553" s="3" t="n">
        <v>-0.7819802165031433</v>
      </c>
      <c r="P553" s="3" t="n">
        <v>-0.7819802165031433</v>
      </c>
      <c r="Q553" s="3" t="n">
        <v>-0.7819802165031433</v>
      </c>
      <c r="R553" s="3" t="n">
        <v>-0.7701157331466675</v>
      </c>
      <c r="S553" s="3" t="n">
        <v>-1.059791207313538</v>
      </c>
      <c r="T553" s="3" t="n">
        <v>-0.708448052406311</v>
      </c>
      <c r="U553" s="3" t="n">
        <v>-0.8504268527030945</v>
      </c>
      <c r="V553" s="3" t="n">
        <v>-0.674279510974884</v>
      </c>
      <c r="W553" s="3" t="n">
        <v>-0.4556038379669189</v>
      </c>
      <c r="X553" s="3" t="n">
        <v>-1.043235659599304</v>
      </c>
      <c r="Y553" s="3" t="n">
        <v>-0.7819802165031433</v>
      </c>
      <c r="Z553" s="3" t="n">
        <v>-1.059791207313538</v>
      </c>
      <c r="AA553" s="3" t="n">
        <v>-1.059791207313538</v>
      </c>
      <c r="AB553" s="3" t="n">
        <v>-1.043235659599304</v>
      </c>
      <c r="AC553" s="3" t="n">
        <v>-1.288382053375244</v>
      </c>
      <c r="AD553" s="3" t="n">
        <v>-0.8504268527030945</v>
      </c>
      <c r="AE553" s="3" t="n">
        <v>-0.8504268527030945</v>
      </c>
    </row>
    <row r="554">
      <c r="A554" s="3" t="inlineStr">
        <is>
          <t>DEU.distn.dec.ove.mean.1</t>
        </is>
      </c>
      <c r="B554" s="3" t="inlineStr">
        <is>
          <t>DEU</t>
        </is>
      </c>
      <c r="C554" s="3" t="n">
        <v>2005</v>
      </c>
      <c r="D554" s="3" t="inlineStr">
        <is>
          <t>Overall</t>
        </is>
      </c>
      <c r="E554" s="3" t="inlineStr">
        <is>
          <t>Deciles</t>
        </is>
      </c>
      <c r="F554" s="3" t="inlineStr">
        <is>
          <t>mean</t>
        </is>
      </c>
      <c r="G554" s="3" t="n">
        <v>1</v>
      </c>
      <c r="H554" s="3" t="n">
        <v>-0.7882409691810608</v>
      </c>
      <c r="I554" s="3" t="n">
        <v>-0.7882409691810608</v>
      </c>
      <c r="J554" s="3" t="n">
        <v>-0.8900059461593628</v>
      </c>
      <c r="K554" s="3" t="n">
        <v>-0.8900059461593628</v>
      </c>
      <c r="L554" s="3" t="n">
        <v>-0.7882409691810608</v>
      </c>
      <c r="M554" s="3" t="n">
        <v>-0.7882409691810608</v>
      </c>
      <c r="N554" s="3" t="n">
        <v>-0.7882409691810608</v>
      </c>
      <c r="O554" s="3" t="n">
        <v>-0.7882409691810608</v>
      </c>
      <c r="P554" s="3" t="n">
        <v>-0.7882409691810608</v>
      </c>
      <c r="Q554" s="3" t="n">
        <v>-0.7882409691810608</v>
      </c>
      <c r="R554" s="3" t="n">
        <v>-0.7734707593917847</v>
      </c>
      <c r="S554" s="3" t="n">
        <v>-1.413866281509399</v>
      </c>
      <c r="T554" s="3" t="n">
        <v>-0.7094525694847107</v>
      </c>
      <c r="U554" s="3" t="n">
        <v>-0.8900059461593628</v>
      </c>
      <c r="V554" s="3" t="n">
        <v>-0.6819344758987427</v>
      </c>
      <c r="W554" s="3" t="n">
        <v>-0.5822201371192932</v>
      </c>
      <c r="X554" s="3" t="n">
        <v>-1.361700773239136</v>
      </c>
      <c r="Y554" s="3" t="n">
        <v>-0.7882409691810608</v>
      </c>
      <c r="Z554" s="3" t="n">
        <v>-1.413866281509399</v>
      </c>
      <c r="AA554" s="3" t="n">
        <v>-1.413866281509399</v>
      </c>
      <c r="AB554" s="3" t="n">
        <v>-1.361700773239136</v>
      </c>
      <c r="AC554" s="3" t="n">
        <v>-2.134917736053467</v>
      </c>
      <c r="AD554" s="3" t="n">
        <v>-0.8900059461593628</v>
      </c>
      <c r="AE554" s="3" t="n">
        <v>-0.8900059461593628</v>
      </c>
    </row>
    <row r="555">
      <c r="A555" s="3" t="inlineStr">
        <is>
          <t>DEU.distn.dec.ove.mean.2</t>
        </is>
      </c>
      <c r="B555" s="3" t="inlineStr">
        <is>
          <t>DEU</t>
        </is>
      </c>
      <c r="C555" s="3" t="n">
        <v>2005</v>
      </c>
      <c r="D555" s="3" t="inlineStr">
        <is>
          <t>Overall</t>
        </is>
      </c>
      <c r="E555" s="3" t="inlineStr">
        <is>
          <t>Deciles</t>
        </is>
      </c>
      <c r="F555" s="3" t="inlineStr">
        <is>
          <t>mean</t>
        </is>
      </c>
      <c r="G555" s="3" t="n">
        <v>2</v>
      </c>
      <c r="H555" s="3" t="n">
        <v>-0.7882409691810608</v>
      </c>
      <c r="I555" s="3" t="n">
        <v>-0.7882409691810608</v>
      </c>
      <c r="J555" s="3" t="n">
        <v>-0.8900059461593628</v>
      </c>
      <c r="K555" s="3" t="n">
        <v>-0.8900059461593628</v>
      </c>
      <c r="L555" s="3" t="n">
        <v>-0.7882409691810608</v>
      </c>
      <c r="M555" s="3" t="n">
        <v>-0.7882409691810608</v>
      </c>
      <c r="N555" s="3" t="n">
        <v>-0.7882409691810608</v>
      </c>
      <c r="O555" s="3" t="n">
        <v>-0.7882409691810608</v>
      </c>
      <c r="P555" s="3" t="n">
        <v>-0.7882409691810608</v>
      </c>
      <c r="Q555" s="3" t="n">
        <v>-0.7882409691810608</v>
      </c>
      <c r="R555" s="3" t="n">
        <v>-0.7734707593917847</v>
      </c>
      <c r="S555" s="3" t="n">
        <v>-1.413866281509399</v>
      </c>
      <c r="T555" s="3" t="n">
        <v>-0.7094525694847107</v>
      </c>
      <c r="U555" s="3" t="n">
        <v>-0.8900059461593628</v>
      </c>
      <c r="V555" s="3" t="n">
        <v>-0.6819344758987427</v>
      </c>
      <c r="W555" s="3" t="n">
        <v>-0.5822201371192932</v>
      </c>
      <c r="X555" s="3" t="n">
        <v>-1.361700773239136</v>
      </c>
      <c r="Y555" s="3" t="n">
        <v>-0.7882409691810608</v>
      </c>
      <c r="Z555" s="3" t="n">
        <v>-1.413866281509399</v>
      </c>
      <c r="AA555" s="3" t="n">
        <v>-1.413866281509399</v>
      </c>
      <c r="AB555" s="3" t="n">
        <v>-1.361700773239136</v>
      </c>
      <c r="AC555" s="3" t="n">
        <v>-2.134917736053467</v>
      </c>
      <c r="AD555" s="3" t="n">
        <v>-0.8900059461593628</v>
      </c>
      <c r="AE555" s="3" t="n">
        <v>-0.8900059461593628</v>
      </c>
    </row>
    <row r="556">
      <c r="A556" s="3" t="inlineStr">
        <is>
          <t>DEU.distn.dec.ove.mean.3</t>
        </is>
      </c>
      <c r="B556" s="3" t="inlineStr">
        <is>
          <t>DEU</t>
        </is>
      </c>
      <c r="C556" s="3" t="n">
        <v>2005</v>
      </c>
      <c r="D556" s="3" t="inlineStr">
        <is>
          <t>Overall</t>
        </is>
      </c>
      <c r="E556" s="3" t="inlineStr">
        <is>
          <t>Deciles</t>
        </is>
      </c>
      <c r="F556" s="3" t="inlineStr">
        <is>
          <t>mean</t>
        </is>
      </c>
      <c r="G556" s="3" t="n">
        <v>3</v>
      </c>
      <c r="H556" s="3" t="n">
        <v>-0.7882409691810608</v>
      </c>
      <c r="I556" s="3" t="n">
        <v>-0.7882409691810608</v>
      </c>
      <c r="J556" s="3" t="n">
        <v>-0.8900059461593628</v>
      </c>
      <c r="K556" s="3" t="n">
        <v>-0.8900059461593628</v>
      </c>
      <c r="L556" s="3" t="n">
        <v>-0.7882409691810608</v>
      </c>
      <c r="M556" s="3" t="n">
        <v>-0.7882409691810608</v>
      </c>
      <c r="N556" s="3" t="n">
        <v>-0.7882409691810608</v>
      </c>
      <c r="O556" s="3" t="n">
        <v>-0.7882409691810608</v>
      </c>
      <c r="P556" s="3" t="n">
        <v>-0.7882409691810608</v>
      </c>
      <c r="Q556" s="3" t="n">
        <v>-0.7882409691810608</v>
      </c>
      <c r="R556" s="3" t="n">
        <v>-0.7734707593917847</v>
      </c>
      <c r="S556" s="3" t="n">
        <v>-1.413866281509399</v>
      </c>
      <c r="T556" s="3" t="n">
        <v>-0.7094525694847107</v>
      </c>
      <c r="U556" s="3" t="n">
        <v>-0.8900059461593628</v>
      </c>
      <c r="V556" s="3" t="n">
        <v>-0.6819344758987427</v>
      </c>
      <c r="W556" s="3" t="n">
        <v>-0.5822201371192932</v>
      </c>
      <c r="X556" s="3" t="n">
        <v>-1.361700773239136</v>
      </c>
      <c r="Y556" s="3" t="n">
        <v>-0.7882409691810608</v>
      </c>
      <c r="Z556" s="3" t="n">
        <v>-1.413866281509399</v>
      </c>
      <c r="AA556" s="3" t="n">
        <v>-1.413866281509399</v>
      </c>
      <c r="AB556" s="3" t="n">
        <v>-1.361700773239136</v>
      </c>
      <c r="AC556" s="3" t="n">
        <v>-2.134917736053467</v>
      </c>
      <c r="AD556" s="3" t="n">
        <v>-0.8900059461593628</v>
      </c>
      <c r="AE556" s="3" t="n">
        <v>-0.8900059461593628</v>
      </c>
    </row>
    <row r="557">
      <c r="A557" s="3" t="inlineStr">
        <is>
          <t>DEU.distn.dec.ove.mean.4</t>
        </is>
      </c>
      <c r="B557" s="3" t="inlineStr">
        <is>
          <t>DEU</t>
        </is>
      </c>
      <c r="C557" s="3" t="n">
        <v>2005</v>
      </c>
      <c r="D557" s="3" t="inlineStr">
        <is>
          <t>Overall</t>
        </is>
      </c>
      <c r="E557" s="3" t="inlineStr">
        <is>
          <t>Deciles</t>
        </is>
      </c>
      <c r="F557" s="3" t="inlineStr">
        <is>
          <t>mean</t>
        </is>
      </c>
      <c r="G557" s="3" t="n">
        <v>4</v>
      </c>
      <c r="H557" s="3" t="n">
        <v>-0.7820000052452087</v>
      </c>
      <c r="I557" s="3" t="n">
        <v>-0.7820000052452087</v>
      </c>
      <c r="J557" s="3" t="n">
        <v>-0.8470000028610229</v>
      </c>
      <c r="K557" s="3" t="n">
        <v>-0.8470000028610229</v>
      </c>
      <c r="L557" s="3" t="n">
        <v>-0.7820000052452087</v>
      </c>
      <c r="M557" s="3" t="n">
        <v>-0.7820000052452087</v>
      </c>
      <c r="N557" s="3" t="n">
        <v>-0.7820000052452087</v>
      </c>
      <c r="O557" s="3" t="n">
        <v>-0.7820000052452087</v>
      </c>
      <c r="P557" s="3" t="n">
        <v>-0.7820000052452087</v>
      </c>
      <c r="Q557" s="3" t="n">
        <v>-0.7820000052452087</v>
      </c>
      <c r="R557" s="3" t="n">
        <v>-0.7699999809265137</v>
      </c>
      <c r="S557" s="3" t="n">
        <v>-0.9629999995231628</v>
      </c>
      <c r="T557" s="3" t="n">
        <v>-0.7080000042915344</v>
      </c>
      <c r="U557" s="3" t="n">
        <v>-0.8470000028610229</v>
      </c>
      <c r="V557" s="3" t="n">
        <v>-0.675000011920929</v>
      </c>
      <c r="W557" s="3" t="n">
        <v>-0.4900000095367432</v>
      </c>
      <c r="X557" s="3" t="n">
        <v>-0.9610000252723694</v>
      </c>
      <c r="Y557" s="3" t="n">
        <v>-0.7820000052452087</v>
      </c>
      <c r="Z557" s="3" t="n">
        <v>-0.9629999995231628</v>
      </c>
      <c r="AA557" s="3" t="n">
        <v>-0.9629999995231628</v>
      </c>
      <c r="AB557" s="3" t="n">
        <v>-0.9610000252723694</v>
      </c>
      <c r="AC557" s="3" t="n">
        <v>-1.031000018119812</v>
      </c>
      <c r="AD557" s="3" t="n">
        <v>-0.8470000028610229</v>
      </c>
      <c r="AE557" s="3" t="n">
        <v>-0.8470000028610229</v>
      </c>
    </row>
    <row r="558">
      <c r="A558" s="3" t="inlineStr">
        <is>
          <t>DEU.distn.dec.ove.mean.5</t>
        </is>
      </c>
      <c r="B558" s="3" t="inlineStr">
        <is>
          <t>DEU</t>
        </is>
      </c>
      <c r="C558" s="3" t="n">
        <v>2005</v>
      </c>
      <c r="D558" s="3" t="inlineStr">
        <is>
          <t>Overall</t>
        </is>
      </c>
      <c r="E558" s="3" t="inlineStr">
        <is>
          <t>Deciles</t>
        </is>
      </c>
      <c r="F558" s="3" t="inlineStr">
        <is>
          <t>mean</t>
        </is>
      </c>
      <c r="G558" s="3" t="n">
        <v>5</v>
      </c>
      <c r="H558" s="3" t="n">
        <v>-0.7820000052452087</v>
      </c>
      <c r="I558" s="3" t="n">
        <v>-0.7820000052452087</v>
      </c>
      <c r="J558" s="3" t="n">
        <v>-0.8470000028610229</v>
      </c>
      <c r="K558" s="3" t="n">
        <v>-0.8470000028610229</v>
      </c>
      <c r="L558" s="3" t="n">
        <v>-0.7820000052452087</v>
      </c>
      <c r="M558" s="3" t="n">
        <v>-0.7820000052452087</v>
      </c>
      <c r="N558" s="3" t="n">
        <v>-0.7820000052452087</v>
      </c>
      <c r="O558" s="3" t="n">
        <v>-0.7820000052452087</v>
      </c>
      <c r="P558" s="3" t="n">
        <v>-0.7820000052452087</v>
      </c>
      <c r="Q558" s="3" t="n">
        <v>-0.7820000052452087</v>
      </c>
      <c r="R558" s="3" t="n">
        <v>-0.7699999809265137</v>
      </c>
      <c r="S558" s="3" t="n">
        <v>-0.9629999995231628</v>
      </c>
      <c r="T558" s="3" t="n">
        <v>-0.7080000042915344</v>
      </c>
      <c r="U558" s="3" t="n">
        <v>-0.8470000028610229</v>
      </c>
      <c r="V558" s="3" t="n">
        <v>-0.675000011920929</v>
      </c>
      <c r="W558" s="3" t="n">
        <v>-0.4900000095367432</v>
      </c>
      <c r="X558" s="3" t="n">
        <v>-0.9610000252723694</v>
      </c>
      <c r="Y558" s="3" t="n">
        <v>-0.7820000052452087</v>
      </c>
      <c r="Z558" s="3" t="n">
        <v>-0.9629999995231628</v>
      </c>
      <c r="AA558" s="3" t="n">
        <v>-0.9629999995231628</v>
      </c>
      <c r="AB558" s="3" t="n">
        <v>-0.9610000252723694</v>
      </c>
      <c r="AC558" s="3" t="n">
        <v>-1.031000018119812</v>
      </c>
      <c r="AD558" s="3" t="n">
        <v>-0.8470000028610229</v>
      </c>
      <c r="AE558" s="3" t="n">
        <v>-0.8470000028610229</v>
      </c>
    </row>
    <row r="559">
      <c r="A559" s="3" t="inlineStr">
        <is>
          <t>DEU.distn.dec.ove.mean.6</t>
        </is>
      </c>
      <c r="B559" s="3" t="inlineStr">
        <is>
          <t>DEU</t>
        </is>
      </c>
      <c r="C559" s="3" t="n">
        <v>2005</v>
      </c>
      <c r="D559" s="3" t="inlineStr">
        <is>
          <t>Overall</t>
        </is>
      </c>
      <c r="E559" s="3" t="inlineStr">
        <is>
          <t>Deciles</t>
        </is>
      </c>
      <c r="F559" s="3" t="inlineStr">
        <is>
          <t>mean</t>
        </is>
      </c>
      <c r="G559" s="3" t="n">
        <v>6</v>
      </c>
      <c r="H559" s="3" t="n">
        <v>-0.7820000052452087</v>
      </c>
      <c r="I559" s="3" t="n">
        <v>-0.7820000052452087</v>
      </c>
      <c r="J559" s="3" t="n">
        <v>-0.8470000028610229</v>
      </c>
      <c r="K559" s="3" t="n">
        <v>-0.8470000028610229</v>
      </c>
      <c r="L559" s="3" t="n">
        <v>-0.7820000052452087</v>
      </c>
      <c r="M559" s="3" t="n">
        <v>-0.7820000052452087</v>
      </c>
      <c r="N559" s="3" t="n">
        <v>-0.7820000052452087</v>
      </c>
      <c r="O559" s="3" t="n">
        <v>-0.7820000052452087</v>
      </c>
      <c r="P559" s="3" t="n">
        <v>-0.7820000052452087</v>
      </c>
      <c r="Q559" s="3" t="n">
        <v>-0.7820000052452087</v>
      </c>
      <c r="R559" s="3" t="n">
        <v>-0.7699999809265137</v>
      </c>
      <c r="S559" s="3" t="n">
        <v>-0.9629999995231628</v>
      </c>
      <c r="T559" s="3" t="n">
        <v>-0.7080000042915344</v>
      </c>
      <c r="U559" s="3" t="n">
        <v>-0.8470000028610229</v>
      </c>
      <c r="V559" s="3" t="n">
        <v>-0.675000011920929</v>
      </c>
      <c r="W559" s="3" t="n">
        <v>-0.4900000095367432</v>
      </c>
      <c r="X559" s="3" t="n">
        <v>-0.9610000252723694</v>
      </c>
      <c r="Y559" s="3" t="n">
        <v>-0.7820000052452087</v>
      </c>
      <c r="Z559" s="3" t="n">
        <v>-0.9629999995231628</v>
      </c>
      <c r="AA559" s="3" t="n">
        <v>-0.9629999995231628</v>
      </c>
      <c r="AB559" s="3" t="n">
        <v>-0.9610000252723694</v>
      </c>
      <c r="AC559" s="3" t="n">
        <v>-1.031000018119812</v>
      </c>
      <c r="AD559" s="3" t="n">
        <v>-0.8470000028610229</v>
      </c>
      <c r="AE559" s="3" t="n">
        <v>-0.8470000028610229</v>
      </c>
    </row>
    <row r="560">
      <c r="A560" s="3" t="inlineStr">
        <is>
          <t>DEU.distn.dec.ove.mean.7</t>
        </is>
      </c>
      <c r="B560" s="3" t="inlineStr">
        <is>
          <t>DEU</t>
        </is>
      </c>
      <c r="C560" s="3" t="n">
        <v>2005</v>
      </c>
      <c r="D560" s="3" t="inlineStr">
        <is>
          <t>Overall</t>
        </is>
      </c>
      <c r="E560" s="3" t="inlineStr">
        <is>
          <t>Deciles</t>
        </is>
      </c>
      <c r="F560" s="3" t="inlineStr">
        <is>
          <t>mean</t>
        </is>
      </c>
      <c r="G560" s="3" t="n">
        <v>7</v>
      </c>
      <c r="H560" s="3" t="n">
        <v>-0.7820000052452087</v>
      </c>
      <c r="I560" s="3" t="n">
        <v>-0.7820000052452087</v>
      </c>
      <c r="J560" s="3" t="n">
        <v>-0.8470000028610229</v>
      </c>
      <c r="K560" s="3" t="n">
        <v>-0.8470000028610229</v>
      </c>
      <c r="L560" s="3" t="n">
        <v>-0.7820000052452087</v>
      </c>
      <c r="M560" s="3" t="n">
        <v>-0.7820000052452087</v>
      </c>
      <c r="N560" s="3" t="n">
        <v>-0.7820000052452087</v>
      </c>
      <c r="O560" s="3" t="n">
        <v>-0.7820000052452087</v>
      </c>
      <c r="P560" s="3" t="n">
        <v>-0.7820000052452087</v>
      </c>
      <c r="Q560" s="3" t="n">
        <v>-0.7820000052452087</v>
      </c>
      <c r="R560" s="3" t="n">
        <v>-0.7699999809265137</v>
      </c>
      <c r="S560" s="3" t="n">
        <v>-0.9629999995231628</v>
      </c>
      <c r="T560" s="3" t="n">
        <v>-0.7080000042915344</v>
      </c>
      <c r="U560" s="3" t="n">
        <v>-0.8470000028610229</v>
      </c>
      <c r="V560" s="3" t="n">
        <v>-0.675000011920929</v>
      </c>
      <c r="W560" s="3" t="n">
        <v>-0.4900000095367432</v>
      </c>
      <c r="X560" s="3" t="n">
        <v>-0.9610000252723694</v>
      </c>
      <c r="Y560" s="3" t="n">
        <v>-0.7820000052452087</v>
      </c>
      <c r="Z560" s="3" t="n">
        <v>-0.9629999995231628</v>
      </c>
      <c r="AA560" s="3" t="n">
        <v>-0.9629999995231628</v>
      </c>
      <c r="AB560" s="3" t="n">
        <v>-0.9610000252723694</v>
      </c>
      <c r="AC560" s="3" t="n">
        <v>-1.031000018119812</v>
      </c>
      <c r="AD560" s="3" t="n">
        <v>-0.8470000028610229</v>
      </c>
      <c r="AE560" s="3" t="n">
        <v>-0.8470000028610229</v>
      </c>
    </row>
    <row r="561">
      <c r="A561" s="3" t="inlineStr">
        <is>
          <t>DEU.distn.dec.ove.mean.8</t>
        </is>
      </c>
      <c r="B561" s="3" t="inlineStr">
        <is>
          <t>DEU</t>
        </is>
      </c>
      <c r="C561" s="3" t="n">
        <v>2005</v>
      </c>
      <c r="D561" s="3" t="inlineStr">
        <is>
          <t>Overall</t>
        </is>
      </c>
      <c r="E561" s="3" t="inlineStr">
        <is>
          <t>Deciles</t>
        </is>
      </c>
      <c r="F561" s="3" t="inlineStr">
        <is>
          <t>mean</t>
        </is>
      </c>
      <c r="G561" s="3" t="n">
        <v>8</v>
      </c>
      <c r="H561" s="3" t="n">
        <v>-0.782376766204834</v>
      </c>
      <c r="I561" s="3" t="n">
        <v>-0.782376766204834</v>
      </c>
      <c r="J561" s="3" t="n">
        <v>-0.849284827709198</v>
      </c>
      <c r="K561" s="3" t="n">
        <v>-0.849284827709198</v>
      </c>
      <c r="L561" s="3" t="n">
        <v>-0.782376766204834</v>
      </c>
      <c r="M561" s="3" t="n">
        <v>-0.782376766204834</v>
      </c>
      <c r="N561" s="3" t="n">
        <v>-0.782376766204834</v>
      </c>
      <c r="O561" s="3" t="n">
        <v>-0.782376766204834</v>
      </c>
      <c r="P561" s="3" t="n">
        <v>-0.782376766204834</v>
      </c>
      <c r="Q561" s="3" t="n">
        <v>-0.782376766204834</v>
      </c>
      <c r="R561" s="3" t="n">
        <v>-0.7702532410621643</v>
      </c>
      <c r="S561" s="3" t="n">
        <v>-0.9719608426094055</v>
      </c>
      <c r="T561" s="3" t="n">
        <v>-0.7080408334732056</v>
      </c>
      <c r="U561" s="3" t="n">
        <v>-0.849284827709198</v>
      </c>
      <c r="V561" s="3" t="n">
        <v>-0.6756978034973145</v>
      </c>
      <c r="W561" s="3" t="n">
        <v>-0.5031216144561768</v>
      </c>
      <c r="X561" s="3" t="n">
        <v>-0.9697566032409668</v>
      </c>
      <c r="Y561" s="3" t="n">
        <v>-0.782376766204834</v>
      </c>
      <c r="Z561" s="3" t="n">
        <v>-0.9719608426094055</v>
      </c>
      <c r="AA561" s="3" t="n">
        <v>-0.9719608426094055</v>
      </c>
      <c r="AB561" s="3" t="n">
        <v>-0.9697566032409668</v>
      </c>
      <c r="AC561" s="3" t="n">
        <v>-1.045703411102295</v>
      </c>
      <c r="AD561" s="3" t="n">
        <v>-0.849284827709198</v>
      </c>
      <c r="AE561" s="3" t="n">
        <v>-0.849284827709198</v>
      </c>
    </row>
    <row r="562">
      <c r="A562" s="3" t="inlineStr">
        <is>
          <t>DEU.distn.dec.ove.mean.9</t>
        </is>
      </c>
      <c r="B562" s="3" t="inlineStr">
        <is>
          <t>DEU</t>
        </is>
      </c>
      <c r="C562" s="3" t="n">
        <v>2005</v>
      </c>
      <c r="D562" s="3" t="inlineStr">
        <is>
          <t>Overall</t>
        </is>
      </c>
      <c r="E562" s="3" t="inlineStr">
        <is>
          <t>Deciles</t>
        </is>
      </c>
      <c r="F562" s="3" t="inlineStr">
        <is>
          <t>mean</t>
        </is>
      </c>
      <c r="G562" s="3" t="n">
        <v>9</v>
      </c>
      <c r="H562" s="3" t="n">
        <v>-0.782376766204834</v>
      </c>
      <c r="I562" s="3" t="n">
        <v>-0.782376766204834</v>
      </c>
      <c r="J562" s="3" t="n">
        <v>-0.849284827709198</v>
      </c>
      <c r="K562" s="3" t="n">
        <v>-0.849284827709198</v>
      </c>
      <c r="L562" s="3" t="n">
        <v>-0.782376766204834</v>
      </c>
      <c r="M562" s="3" t="n">
        <v>-0.782376766204834</v>
      </c>
      <c r="N562" s="3" t="n">
        <v>-0.782376766204834</v>
      </c>
      <c r="O562" s="3" t="n">
        <v>-0.782376766204834</v>
      </c>
      <c r="P562" s="3" t="n">
        <v>-0.782376766204834</v>
      </c>
      <c r="Q562" s="3" t="n">
        <v>-0.782376766204834</v>
      </c>
      <c r="R562" s="3" t="n">
        <v>-0.7702532410621643</v>
      </c>
      <c r="S562" s="3" t="n">
        <v>-0.9719608426094055</v>
      </c>
      <c r="T562" s="3" t="n">
        <v>-0.7080408334732056</v>
      </c>
      <c r="U562" s="3" t="n">
        <v>-0.849284827709198</v>
      </c>
      <c r="V562" s="3" t="n">
        <v>-0.6756978034973145</v>
      </c>
      <c r="W562" s="3" t="n">
        <v>-0.5031216144561768</v>
      </c>
      <c r="X562" s="3" t="n">
        <v>-0.9697566032409668</v>
      </c>
      <c r="Y562" s="3" t="n">
        <v>-0.782376766204834</v>
      </c>
      <c r="Z562" s="3" t="n">
        <v>-0.9719608426094055</v>
      </c>
      <c r="AA562" s="3" t="n">
        <v>-0.9719608426094055</v>
      </c>
      <c r="AB562" s="3" t="n">
        <v>-0.9697566032409668</v>
      </c>
      <c r="AC562" s="3" t="n">
        <v>-1.045703411102295</v>
      </c>
      <c r="AD562" s="3" t="n">
        <v>-0.849284827709198</v>
      </c>
      <c r="AE562" s="3" t="n">
        <v>-0.849284827709198</v>
      </c>
    </row>
    <row r="563">
      <c r="A563" s="3" t="inlineStr">
        <is>
          <t>DEU.distn.dec.ove.mean.10</t>
        </is>
      </c>
      <c r="B563" s="3" t="inlineStr">
        <is>
          <t>DEU</t>
        </is>
      </c>
      <c r="C563" s="3" t="n">
        <v>2005</v>
      </c>
      <c r="D563" s="3" t="inlineStr">
        <is>
          <t>Overall</t>
        </is>
      </c>
      <c r="E563" s="3" t="inlineStr">
        <is>
          <t>Deciles</t>
        </is>
      </c>
      <c r="F563" s="3" t="inlineStr">
        <is>
          <t>mean</t>
        </is>
      </c>
      <c r="G563" s="3" t="n">
        <v>10</v>
      </c>
      <c r="H563" s="3" t="n">
        <v>-0.782376766204834</v>
      </c>
      <c r="I563" s="3" t="n">
        <v>-0.782376766204834</v>
      </c>
      <c r="J563" s="3" t="n">
        <v>-0.849284827709198</v>
      </c>
      <c r="K563" s="3" t="n">
        <v>-0.849284827709198</v>
      </c>
      <c r="L563" s="3" t="n">
        <v>-0.782376766204834</v>
      </c>
      <c r="M563" s="3" t="n">
        <v>-0.782376766204834</v>
      </c>
      <c r="N563" s="3" t="n">
        <v>-0.782376766204834</v>
      </c>
      <c r="O563" s="3" t="n">
        <v>-0.782376766204834</v>
      </c>
      <c r="P563" s="3" t="n">
        <v>-0.782376766204834</v>
      </c>
      <c r="Q563" s="3" t="n">
        <v>-0.782376766204834</v>
      </c>
      <c r="R563" s="3" t="n">
        <v>-0.7702532410621643</v>
      </c>
      <c r="S563" s="3" t="n">
        <v>-0.9719608426094055</v>
      </c>
      <c r="T563" s="3" t="n">
        <v>-0.7080408334732056</v>
      </c>
      <c r="U563" s="3" t="n">
        <v>-0.849284827709198</v>
      </c>
      <c r="V563" s="3" t="n">
        <v>-0.6756978034973145</v>
      </c>
      <c r="W563" s="3" t="n">
        <v>-0.5031216144561768</v>
      </c>
      <c r="X563" s="3" t="n">
        <v>-0.9697566032409668</v>
      </c>
      <c r="Y563" s="3" t="n">
        <v>-0.782376766204834</v>
      </c>
      <c r="Z563" s="3" t="n">
        <v>-0.9719608426094055</v>
      </c>
      <c r="AA563" s="3" t="n">
        <v>-0.9719608426094055</v>
      </c>
      <c r="AB563" s="3" t="n">
        <v>-0.9697566032409668</v>
      </c>
      <c r="AC563" s="3" t="n">
        <v>-1.045703411102295</v>
      </c>
      <c r="AD563" s="3" t="n">
        <v>-0.849284827709198</v>
      </c>
      <c r="AE563" s="3" t="n">
        <v>-0.849284827709198</v>
      </c>
    </row>
    <row r="564">
      <c r="A564" s="3" t="inlineStr">
        <is>
          <t>DEU.distn.bkt.ove.mean.9999</t>
        </is>
      </c>
      <c r="B564" s="3" t="inlineStr">
        <is>
          <t>DEU</t>
        </is>
      </c>
      <c r="C564" s="3" t="n">
        <v>2005</v>
      </c>
      <c r="D564" s="3" t="inlineStr">
        <is>
          <t>Overall</t>
        </is>
      </c>
      <c r="E564" s="3" t="inlineStr">
        <is>
          <t>Basket</t>
        </is>
      </c>
      <c r="F564" s="3" t="inlineStr">
        <is>
          <t>mean</t>
        </is>
      </c>
      <c r="G564" s="3" t="n">
        <v>9999</v>
      </c>
      <c r="H564" s="3" t="n">
        <v>-0.7839853167533875</v>
      </c>
      <c r="I564" s="3" t="n">
        <v>-0.7839853167533875</v>
      </c>
      <c r="J564" s="3" t="n">
        <v>-0.8605872392654419</v>
      </c>
      <c r="K564" s="3" t="n">
        <v>-0.8605872392654419</v>
      </c>
      <c r="L564" s="3" t="n">
        <v>-0.7839853167533875</v>
      </c>
      <c r="M564" s="3" t="n">
        <v>-0.7839853167533875</v>
      </c>
      <c r="N564" s="3" t="n">
        <v>-0.7839853167533875</v>
      </c>
      <c r="O564" s="3" t="n">
        <v>-0.7839853167533875</v>
      </c>
      <c r="P564" s="3" t="n">
        <v>-0.7839853167533875</v>
      </c>
      <c r="Q564" s="3" t="n">
        <v>-0.7839853167533875</v>
      </c>
      <c r="R564" s="3" t="n">
        <v>-0.7711172103881836</v>
      </c>
      <c r="S564" s="3" t="n">
        <v>-1.100948095321655</v>
      </c>
      <c r="T564" s="3" t="n">
        <v>-0.708448052406311</v>
      </c>
      <c r="U564" s="3" t="n">
        <v>-0.8605872392654419</v>
      </c>
      <c r="V564" s="3" t="n">
        <v>-0.6772896647453308</v>
      </c>
      <c r="W564" s="3" t="n">
        <v>-0.5216025114059448</v>
      </c>
      <c r="X564" s="3" t="n">
        <v>-1.083837270736694</v>
      </c>
      <c r="Y564" s="3" t="n">
        <v>-0.7839853167533875</v>
      </c>
      <c r="Z564" s="3" t="n">
        <v>-1.100948095321655</v>
      </c>
      <c r="AA564" s="3" t="n">
        <v>-1.100948095321655</v>
      </c>
      <c r="AB564" s="3" t="n">
        <v>-1.083837270736694</v>
      </c>
      <c r="AC564" s="3" t="n">
        <v>-1.366586327552795</v>
      </c>
      <c r="AD564" s="3" t="n">
        <v>-0.8605872392654419</v>
      </c>
      <c r="AE564" s="3" t="n">
        <v>-0.8605872392654419</v>
      </c>
    </row>
    <row r="565">
      <c r="A565" s="3" t="inlineStr">
        <is>
          <t>DJI.distn.dec.ove.mean.1</t>
        </is>
      </c>
      <c r="B565" s="3" t="inlineStr">
        <is>
          <t>DJI</t>
        </is>
      </c>
      <c r="C565" s="3" t="n">
        <v>2005</v>
      </c>
      <c r="D565" s="3" t="inlineStr">
        <is>
          <t>Overall</t>
        </is>
      </c>
      <c r="E565" s="3" t="inlineStr">
        <is>
          <t>Deciles</t>
        </is>
      </c>
      <c r="F565" s="3" t="inlineStr">
        <is>
          <t>mean</t>
        </is>
      </c>
      <c r="G565" s="3" t="n">
        <v>1</v>
      </c>
      <c r="H565" s="3" t="n">
        <v>-0.7942888140678406</v>
      </c>
      <c r="I565" s="3" t="n">
        <v>-0.7942888140678406</v>
      </c>
      <c r="J565" s="3" t="n">
        <v>-0.9341384768486023</v>
      </c>
      <c r="K565" s="3" t="n">
        <v>-0.9341384768486023</v>
      </c>
      <c r="L565" s="3" t="n">
        <v>-0.7942888140678406</v>
      </c>
      <c r="M565" s="3" t="n">
        <v>-0.7942888140678406</v>
      </c>
      <c r="N565" s="3" t="n">
        <v>-0.7942888140678406</v>
      </c>
      <c r="O565" s="3" t="n">
        <v>-0.7942888140678406</v>
      </c>
      <c r="P565" s="3" t="n">
        <v>-0.7942888140678406</v>
      </c>
      <c r="Q565" s="3" t="n">
        <v>-0.7942888140678406</v>
      </c>
      <c r="R565" s="3" t="n">
        <v>-0.7774887681007385</v>
      </c>
      <c r="S565" s="3" t="n">
        <v>-1.836704730987549</v>
      </c>
      <c r="T565" s="3" t="n">
        <v>-0.7114566564559937</v>
      </c>
      <c r="U565" s="3" t="n">
        <v>-0.9341384768486023</v>
      </c>
      <c r="V565" s="3" t="n">
        <v>-0.6900166273117065</v>
      </c>
      <c r="W565" s="3" t="n">
        <v>-0.6891584992408752</v>
      </c>
      <c r="X565" s="3" t="n">
        <v>-1.755616307258606</v>
      </c>
      <c r="Y565" s="3" t="n">
        <v>-0.7942888140678406</v>
      </c>
      <c r="Z565" s="3" t="n">
        <v>-1.836704730987549</v>
      </c>
      <c r="AA565" s="3" t="n">
        <v>-1.836704730987549</v>
      </c>
      <c r="AB565" s="3" t="n">
        <v>-1.755616307258606</v>
      </c>
      <c r="AC565" s="3" t="n">
        <v>-3.723164081573486</v>
      </c>
      <c r="AD565" s="3" t="n">
        <v>-0.9341384768486023</v>
      </c>
      <c r="AE565" s="3" t="n">
        <v>-0.9341384768486023</v>
      </c>
    </row>
    <row r="566">
      <c r="A566" s="3" t="inlineStr">
        <is>
          <t>DJI.distn.dec.ove.mean.2</t>
        </is>
      </c>
      <c r="B566" s="3" t="inlineStr">
        <is>
          <t>DJI</t>
        </is>
      </c>
      <c r="C566" s="3" t="n">
        <v>2005</v>
      </c>
      <c r="D566" s="3" t="inlineStr">
        <is>
          <t>Overall</t>
        </is>
      </c>
      <c r="E566" s="3" t="inlineStr">
        <is>
          <t>Deciles</t>
        </is>
      </c>
      <c r="F566" s="3" t="inlineStr">
        <is>
          <t>mean</t>
        </is>
      </c>
      <c r="G566" s="3" t="n">
        <v>2</v>
      </c>
      <c r="H566" s="3" t="n">
        <v>-0.7942888140678406</v>
      </c>
      <c r="I566" s="3" t="n">
        <v>-0.7942888140678406</v>
      </c>
      <c r="J566" s="3" t="n">
        <v>-0.9341384768486023</v>
      </c>
      <c r="K566" s="3" t="n">
        <v>-0.9341384768486023</v>
      </c>
      <c r="L566" s="3" t="n">
        <v>-0.7942888140678406</v>
      </c>
      <c r="M566" s="3" t="n">
        <v>-0.7942888140678406</v>
      </c>
      <c r="N566" s="3" t="n">
        <v>-0.7942888140678406</v>
      </c>
      <c r="O566" s="3" t="n">
        <v>-0.7942888140678406</v>
      </c>
      <c r="P566" s="3" t="n">
        <v>-0.7942888140678406</v>
      </c>
      <c r="Q566" s="3" t="n">
        <v>-0.7942888140678406</v>
      </c>
      <c r="R566" s="3" t="n">
        <v>-0.7774887681007385</v>
      </c>
      <c r="S566" s="3" t="n">
        <v>-1.836704730987549</v>
      </c>
      <c r="T566" s="3" t="n">
        <v>-0.7114566564559937</v>
      </c>
      <c r="U566" s="3" t="n">
        <v>-0.9341384768486023</v>
      </c>
      <c r="V566" s="3" t="n">
        <v>-0.6900166273117065</v>
      </c>
      <c r="W566" s="3" t="n">
        <v>-0.6891584992408752</v>
      </c>
      <c r="X566" s="3" t="n">
        <v>-1.755616307258606</v>
      </c>
      <c r="Y566" s="3" t="n">
        <v>-0.7942888140678406</v>
      </c>
      <c r="Z566" s="3" t="n">
        <v>-1.836704730987549</v>
      </c>
      <c r="AA566" s="3" t="n">
        <v>-1.836704730987549</v>
      </c>
      <c r="AB566" s="3" t="n">
        <v>-1.755616307258606</v>
      </c>
      <c r="AC566" s="3" t="n">
        <v>-3.723164081573486</v>
      </c>
      <c r="AD566" s="3" t="n">
        <v>-0.9341384768486023</v>
      </c>
      <c r="AE566" s="3" t="n">
        <v>-0.9341384768486023</v>
      </c>
    </row>
    <row r="567">
      <c r="A567" s="3" t="inlineStr">
        <is>
          <t>DJI.distn.dec.ove.mean.3</t>
        </is>
      </c>
      <c r="B567" s="3" t="inlineStr">
        <is>
          <t>DJI</t>
        </is>
      </c>
      <c r="C567" s="3" t="n">
        <v>2005</v>
      </c>
      <c r="D567" s="3" t="inlineStr">
        <is>
          <t>Overall</t>
        </is>
      </c>
      <c r="E567" s="3" t="inlineStr">
        <is>
          <t>Deciles</t>
        </is>
      </c>
      <c r="F567" s="3" t="inlineStr">
        <is>
          <t>mean</t>
        </is>
      </c>
      <c r="G567" s="3" t="n">
        <v>3</v>
      </c>
      <c r="H567" s="3" t="n">
        <v>-0.7942888140678406</v>
      </c>
      <c r="I567" s="3" t="n">
        <v>-0.7942888140678406</v>
      </c>
      <c r="J567" s="3" t="n">
        <v>-0.9341384768486023</v>
      </c>
      <c r="K567" s="3" t="n">
        <v>-0.9341384768486023</v>
      </c>
      <c r="L567" s="3" t="n">
        <v>-0.7942888140678406</v>
      </c>
      <c r="M567" s="3" t="n">
        <v>-0.7942888140678406</v>
      </c>
      <c r="N567" s="3" t="n">
        <v>-0.7942888140678406</v>
      </c>
      <c r="O567" s="3" t="n">
        <v>-0.7942888140678406</v>
      </c>
      <c r="P567" s="3" t="n">
        <v>-0.7942888140678406</v>
      </c>
      <c r="Q567" s="3" t="n">
        <v>-0.7942888140678406</v>
      </c>
      <c r="R567" s="3" t="n">
        <v>-0.7774887681007385</v>
      </c>
      <c r="S567" s="3" t="n">
        <v>-1.836704730987549</v>
      </c>
      <c r="T567" s="3" t="n">
        <v>-0.7114566564559937</v>
      </c>
      <c r="U567" s="3" t="n">
        <v>-0.9341384768486023</v>
      </c>
      <c r="V567" s="3" t="n">
        <v>-0.6900166273117065</v>
      </c>
      <c r="W567" s="3" t="n">
        <v>-0.6891584992408752</v>
      </c>
      <c r="X567" s="3" t="n">
        <v>-1.755616307258606</v>
      </c>
      <c r="Y567" s="3" t="n">
        <v>-0.7942888140678406</v>
      </c>
      <c r="Z567" s="3" t="n">
        <v>-1.836704730987549</v>
      </c>
      <c r="AA567" s="3" t="n">
        <v>-1.836704730987549</v>
      </c>
      <c r="AB567" s="3" t="n">
        <v>-1.755616307258606</v>
      </c>
      <c r="AC567" s="3" t="n">
        <v>-3.723164081573486</v>
      </c>
      <c r="AD567" s="3" t="n">
        <v>-0.9341384768486023</v>
      </c>
      <c r="AE567" s="3" t="n">
        <v>-0.9341384768486023</v>
      </c>
    </row>
    <row r="568">
      <c r="A568" s="3" t="inlineStr">
        <is>
          <t>DJI.distn.dec.ove.mean.4</t>
        </is>
      </c>
      <c r="B568" s="3" t="inlineStr">
        <is>
          <t>DJI</t>
        </is>
      </c>
      <c r="C568" s="3" t="n">
        <v>2005</v>
      </c>
      <c r="D568" s="3" t="inlineStr">
        <is>
          <t>Overall</t>
        </is>
      </c>
      <c r="E568" s="3" t="inlineStr">
        <is>
          <t>Deciles</t>
        </is>
      </c>
      <c r="F568" s="3" t="inlineStr">
        <is>
          <t>mean</t>
        </is>
      </c>
      <c r="G568" s="3" t="n">
        <v>4</v>
      </c>
      <c r="H568" s="3" t="n">
        <v>-0.7879999876022339</v>
      </c>
      <c r="I568" s="3" t="n">
        <v>-0.7879999876022339</v>
      </c>
      <c r="J568" s="3" t="n">
        <v>-0.8889999985694885</v>
      </c>
      <c r="K568" s="3" t="n">
        <v>-0.8889999985694885</v>
      </c>
      <c r="L568" s="3" t="n">
        <v>-0.7879999876022339</v>
      </c>
      <c r="M568" s="3" t="n">
        <v>-0.7879999876022339</v>
      </c>
      <c r="N568" s="3" t="n">
        <v>-0.7879999876022339</v>
      </c>
      <c r="O568" s="3" t="n">
        <v>-0.7879999876022339</v>
      </c>
      <c r="P568" s="3" t="n">
        <v>-0.7879999876022339</v>
      </c>
      <c r="Q568" s="3" t="n">
        <v>-0.7879999876022339</v>
      </c>
      <c r="R568" s="3" t="n">
        <v>-0.7739999890327454</v>
      </c>
      <c r="S568" s="3" t="n">
        <v>-1.251000046730042</v>
      </c>
      <c r="T568" s="3" t="n">
        <v>-0.7099999785423279</v>
      </c>
      <c r="U568" s="3" t="n">
        <v>-0.8889999985694885</v>
      </c>
      <c r="V568" s="3" t="n">
        <v>-0.6830000281333923</v>
      </c>
      <c r="W568" s="3" t="n">
        <v>-0.5799999833106995</v>
      </c>
      <c r="X568" s="3" t="n">
        <v>-1.238999962806702</v>
      </c>
      <c r="Y568" s="3" t="n">
        <v>-0.7879999876022339</v>
      </c>
      <c r="Z568" s="3" t="n">
        <v>-1.251000046730042</v>
      </c>
      <c r="AA568" s="3" t="n">
        <v>-1.251000046730042</v>
      </c>
      <c r="AB568" s="3" t="n">
        <v>-1.238999962806702</v>
      </c>
      <c r="AC568" s="3" t="n">
        <v>-1.797999978065491</v>
      </c>
      <c r="AD568" s="3" t="n">
        <v>-0.8889999985694885</v>
      </c>
      <c r="AE568" s="3" t="n">
        <v>-0.8889999985694885</v>
      </c>
    </row>
    <row r="569">
      <c r="A569" s="3" t="inlineStr">
        <is>
          <t>DJI.distn.dec.ove.mean.5</t>
        </is>
      </c>
      <c r="B569" s="3" t="inlineStr">
        <is>
          <t>DJI</t>
        </is>
      </c>
      <c r="C569" s="3" t="n">
        <v>2005</v>
      </c>
      <c r="D569" s="3" t="inlineStr">
        <is>
          <t>Overall</t>
        </is>
      </c>
      <c r="E569" s="3" t="inlineStr">
        <is>
          <t>Deciles</t>
        </is>
      </c>
      <c r="F569" s="3" t="inlineStr">
        <is>
          <t>mean</t>
        </is>
      </c>
      <c r="G569" s="3" t="n">
        <v>5</v>
      </c>
      <c r="H569" s="3" t="n">
        <v>-0.7879999876022339</v>
      </c>
      <c r="I569" s="3" t="n">
        <v>-0.7879999876022339</v>
      </c>
      <c r="J569" s="3" t="n">
        <v>-0.8889999985694885</v>
      </c>
      <c r="K569" s="3" t="n">
        <v>-0.8889999985694885</v>
      </c>
      <c r="L569" s="3" t="n">
        <v>-0.7879999876022339</v>
      </c>
      <c r="M569" s="3" t="n">
        <v>-0.7879999876022339</v>
      </c>
      <c r="N569" s="3" t="n">
        <v>-0.7879999876022339</v>
      </c>
      <c r="O569" s="3" t="n">
        <v>-0.7879999876022339</v>
      </c>
      <c r="P569" s="3" t="n">
        <v>-0.7879999876022339</v>
      </c>
      <c r="Q569" s="3" t="n">
        <v>-0.7879999876022339</v>
      </c>
      <c r="R569" s="3" t="n">
        <v>-0.7739999890327454</v>
      </c>
      <c r="S569" s="3" t="n">
        <v>-1.251000046730042</v>
      </c>
      <c r="T569" s="3" t="n">
        <v>-0.7099999785423279</v>
      </c>
      <c r="U569" s="3" t="n">
        <v>-0.8889999985694885</v>
      </c>
      <c r="V569" s="3" t="n">
        <v>-0.6830000281333923</v>
      </c>
      <c r="W569" s="3" t="n">
        <v>-0.5799999833106995</v>
      </c>
      <c r="X569" s="3" t="n">
        <v>-1.238999962806702</v>
      </c>
      <c r="Y569" s="3" t="n">
        <v>-0.7879999876022339</v>
      </c>
      <c r="Z569" s="3" t="n">
        <v>-1.251000046730042</v>
      </c>
      <c r="AA569" s="3" t="n">
        <v>-1.251000046730042</v>
      </c>
      <c r="AB569" s="3" t="n">
        <v>-1.238999962806702</v>
      </c>
      <c r="AC569" s="3" t="n">
        <v>-1.797999978065491</v>
      </c>
      <c r="AD569" s="3" t="n">
        <v>-0.8889999985694885</v>
      </c>
      <c r="AE569" s="3" t="n">
        <v>-0.8889999985694885</v>
      </c>
    </row>
    <row r="570">
      <c r="A570" s="3" t="inlineStr">
        <is>
          <t>DJI.distn.dec.ove.mean.6</t>
        </is>
      </c>
      <c r="B570" s="3" t="inlineStr">
        <is>
          <t>DJI</t>
        </is>
      </c>
      <c r="C570" s="3" t="n">
        <v>2005</v>
      </c>
      <c r="D570" s="3" t="inlineStr">
        <is>
          <t>Overall</t>
        </is>
      </c>
      <c r="E570" s="3" t="inlineStr">
        <is>
          <t>Deciles</t>
        </is>
      </c>
      <c r="F570" s="3" t="inlineStr">
        <is>
          <t>mean</t>
        </is>
      </c>
      <c r="G570" s="3" t="n">
        <v>6</v>
      </c>
      <c r="H570" s="3" t="n">
        <v>-0.7879999876022339</v>
      </c>
      <c r="I570" s="3" t="n">
        <v>-0.7879999876022339</v>
      </c>
      <c r="J570" s="3" t="n">
        <v>-0.8889999985694885</v>
      </c>
      <c r="K570" s="3" t="n">
        <v>-0.8889999985694885</v>
      </c>
      <c r="L570" s="3" t="n">
        <v>-0.7879999876022339</v>
      </c>
      <c r="M570" s="3" t="n">
        <v>-0.7879999876022339</v>
      </c>
      <c r="N570" s="3" t="n">
        <v>-0.7879999876022339</v>
      </c>
      <c r="O570" s="3" t="n">
        <v>-0.7879999876022339</v>
      </c>
      <c r="P570" s="3" t="n">
        <v>-0.7879999876022339</v>
      </c>
      <c r="Q570" s="3" t="n">
        <v>-0.7879999876022339</v>
      </c>
      <c r="R570" s="3" t="n">
        <v>-0.7739999890327454</v>
      </c>
      <c r="S570" s="3" t="n">
        <v>-1.251000046730042</v>
      </c>
      <c r="T570" s="3" t="n">
        <v>-0.7099999785423279</v>
      </c>
      <c r="U570" s="3" t="n">
        <v>-0.8889999985694885</v>
      </c>
      <c r="V570" s="3" t="n">
        <v>-0.6830000281333923</v>
      </c>
      <c r="W570" s="3" t="n">
        <v>-0.5799999833106995</v>
      </c>
      <c r="X570" s="3" t="n">
        <v>-1.238999962806702</v>
      </c>
      <c r="Y570" s="3" t="n">
        <v>-0.7879999876022339</v>
      </c>
      <c r="Z570" s="3" t="n">
        <v>-1.251000046730042</v>
      </c>
      <c r="AA570" s="3" t="n">
        <v>-1.251000046730042</v>
      </c>
      <c r="AB570" s="3" t="n">
        <v>-1.238999962806702</v>
      </c>
      <c r="AC570" s="3" t="n">
        <v>-1.797999978065491</v>
      </c>
      <c r="AD570" s="3" t="n">
        <v>-0.8889999985694885</v>
      </c>
      <c r="AE570" s="3" t="n">
        <v>-0.8889999985694885</v>
      </c>
    </row>
    <row r="571">
      <c r="A571" s="3" t="inlineStr">
        <is>
          <t>DJI.distn.dec.ove.mean.7</t>
        </is>
      </c>
      <c r="B571" s="3" t="inlineStr">
        <is>
          <t>DJI</t>
        </is>
      </c>
      <c r="C571" s="3" t="n">
        <v>2005</v>
      </c>
      <c r="D571" s="3" t="inlineStr">
        <is>
          <t>Overall</t>
        </is>
      </c>
      <c r="E571" s="3" t="inlineStr">
        <is>
          <t>Deciles</t>
        </is>
      </c>
      <c r="F571" s="3" t="inlineStr">
        <is>
          <t>mean</t>
        </is>
      </c>
      <c r="G571" s="3" t="n">
        <v>7</v>
      </c>
      <c r="H571" s="3" t="n">
        <v>-0.7879999876022339</v>
      </c>
      <c r="I571" s="3" t="n">
        <v>-0.7879999876022339</v>
      </c>
      <c r="J571" s="3" t="n">
        <v>-0.8889999985694885</v>
      </c>
      <c r="K571" s="3" t="n">
        <v>-0.8889999985694885</v>
      </c>
      <c r="L571" s="3" t="n">
        <v>-0.7879999876022339</v>
      </c>
      <c r="M571" s="3" t="n">
        <v>-0.7879999876022339</v>
      </c>
      <c r="N571" s="3" t="n">
        <v>-0.7879999876022339</v>
      </c>
      <c r="O571" s="3" t="n">
        <v>-0.7879999876022339</v>
      </c>
      <c r="P571" s="3" t="n">
        <v>-0.7879999876022339</v>
      </c>
      <c r="Q571" s="3" t="n">
        <v>-0.7879999876022339</v>
      </c>
      <c r="R571" s="3" t="n">
        <v>-0.7739999890327454</v>
      </c>
      <c r="S571" s="3" t="n">
        <v>-1.251000046730042</v>
      </c>
      <c r="T571" s="3" t="n">
        <v>-0.7099999785423279</v>
      </c>
      <c r="U571" s="3" t="n">
        <v>-0.8889999985694885</v>
      </c>
      <c r="V571" s="3" t="n">
        <v>-0.6830000281333923</v>
      </c>
      <c r="W571" s="3" t="n">
        <v>-0.5799999833106995</v>
      </c>
      <c r="X571" s="3" t="n">
        <v>-1.238999962806702</v>
      </c>
      <c r="Y571" s="3" t="n">
        <v>-0.7879999876022339</v>
      </c>
      <c r="Z571" s="3" t="n">
        <v>-1.251000046730042</v>
      </c>
      <c r="AA571" s="3" t="n">
        <v>-1.251000046730042</v>
      </c>
      <c r="AB571" s="3" t="n">
        <v>-1.238999962806702</v>
      </c>
      <c r="AC571" s="3" t="n">
        <v>-1.797999978065491</v>
      </c>
      <c r="AD571" s="3" t="n">
        <v>-0.8889999985694885</v>
      </c>
      <c r="AE571" s="3" t="n">
        <v>-0.8889999985694885</v>
      </c>
    </row>
    <row r="572">
      <c r="A572" s="3" t="inlineStr">
        <is>
          <t>DJI.distn.dec.ove.mean.8</t>
        </is>
      </c>
      <c r="B572" s="3" t="inlineStr">
        <is>
          <t>DJI</t>
        </is>
      </c>
      <c r="C572" s="3" t="n">
        <v>2005</v>
      </c>
      <c r="D572" s="3" t="inlineStr">
        <is>
          <t>Overall</t>
        </is>
      </c>
      <c r="E572" s="3" t="inlineStr">
        <is>
          <t>Deciles</t>
        </is>
      </c>
      <c r="F572" s="3" t="inlineStr">
        <is>
          <t>mean</t>
        </is>
      </c>
      <c r="G572" s="3" t="n">
        <v>8</v>
      </c>
      <c r="H572" s="3" t="n">
        <v>-0.7883796691894531</v>
      </c>
      <c r="I572" s="3" t="n">
        <v>-0.7883796691894531</v>
      </c>
      <c r="J572" s="3" t="n">
        <v>-0.8913981318473816</v>
      </c>
      <c r="K572" s="3" t="n">
        <v>-0.8913981318473816</v>
      </c>
      <c r="L572" s="3" t="n">
        <v>-0.7883796691894531</v>
      </c>
      <c r="M572" s="3" t="n">
        <v>-0.7883796691894531</v>
      </c>
      <c r="N572" s="3" t="n">
        <v>-0.7883796691894531</v>
      </c>
      <c r="O572" s="3" t="n">
        <v>-0.7883796691894531</v>
      </c>
      <c r="P572" s="3" t="n">
        <v>-0.7883796691894531</v>
      </c>
      <c r="Q572" s="3" t="n">
        <v>-0.7883796691894531</v>
      </c>
      <c r="R572" s="3" t="n">
        <v>-0.7742545604705811</v>
      </c>
      <c r="S572" s="3" t="n">
        <v>-1.262640714645386</v>
      </c>
      <c r="T572" s="3" t="n">
        <v>-0.7100409269332886</v>
      </c>
      <c r="U572" s="3" t="n">
        <v>-0.8913981318473816</v>
      </c>
      <c r="V572" s="3" t="n">
        <v>-0.6837060451507568</v>
      </c>
      <c r="W572" s="3" t="n">
        <v>-0.595531702041626</v>
      </c>
      <c r="X572" s="3" t="n">
        <v>-1.250289797782898</v>
      </c>
      <c r="Y572" s="3" t="n">
        <v>-0.7883796691894531</v>
      </c>
      <c r="Z572" s="3" t="n">
        <v>-1.262640714645386</v>
      </c>
      <c r="AA572" s="3" t="n">
        <v>-1.262640714645386</v>
      </c>
      <c r="AB572" s="3" t="n">
        <v>-1.250289797782898</v>
      </c>
      <c r="AC572" s="3" t="n">
        <v>-1.823641896247864</v>
      </c>
      <c r="AD572" s="3" t="n">
        <v>-0.8913981318473816</v>
      </c>
      <c r="AE572" s="3" t="n">
        <v>-0.8913981318473816</v>
      </c>
    </row>
    <row r="573">
      <c r="A573" s="3" t="inlineStr">
        <is>
          <t>DJI.distn.dec.ove.mean.9</t>
        </is>
      </c>
      <c r="B573" s="3" t="inlineStr">
        <is>
          <t>DJI</t>
        </is>
      </c>
      <c r="C573" s="3" t="n">
        <v>2005</v>
      </c>
      <c r="D573" s="3" t="inlineStr">
        <is>
          <t>Overall</t>
        </is>
      </c>
      <c r="E573" s="3" t="inlineStr">
        <is>
          <t>Deciles</t>
        </is>
      </c>
      <c r="F573" s="3" t="inlineStr">
        <is>
          <t>mean</t>
        </is>
      </c>
      <c r="G573" s="3" t="n">
        <v>9</v>
      </c>
      <c r="H573" s="3" t="n">
        <v>-0.7883796691894531</v>
      </c>
      <c r="I573" s="3" t="n">
        <v>-0.7883796691894531</v>
      </c>
      <c r="J573" s="3" t="n">
        <v>-0.8913981318473816</v>
      </c>
      <c r="K573" s="3" t="n">
        <v>-0.8913981318473816</v>
      </c>
      <c r="L573" s="3" t="n">
        <v>-0.7883796691894531</v>
      </c>
      <c r="M573" s="3" t="n">
        <v>-0.7883796691894531</v>
      </c>
      <c r="N573" s="3" t="n">
        <v>-0.7883796691894531</v>
      </c>
      <c r="O573" s="3" t="n">
        <v>-0.7883796691894531</v>
      </c>
      <c r="P573" s="3" t="n">
        <v>-0.7883796691894531</v>
      </c>
      <c r="Q573" s="3" t="n">
        <v>-0.7883796691894531</v>
      </c>
      <c r="R573" s="3" t="n">
        <v>-0.7742545604705811</v>
      </c>
      <c r="S573" s="3" t="n">
        <v>-1.262640714645386</v>
      </c>
      <c r="T573" s="3" t="n">
        <v>-0.7100409269332886</v>
      </c>
      <c r="U573" s="3" t="n">
        <v>-0.8913981318473816</v>
      </c>
      <c r="V573" s="3" t="n">
        <v>-0.6837060451507568</v>
      </c>
      <c r="W573" s="3" t="n">
        <v>-0.595531702041626</v>
      </c>
      <c r="X573" s="3" t="n">
        <v>-1.250289797782898</v>
      </c>
      <c r="Y573" s="3" t="n">
        <v>-0.7883796691894531</v>
      </c>
      <c r="Z573" s="3" t="n">
        <v>-1.262640714645386</v>
      </c>
      <c r="AA573" s="3" t="n">
        <v>-1.262640714645386</v>
      </c>
      <c r="AB573" s="3" t="n">
        <v>-1.250289797782898</v>
      </c>
      <c r="AC573" s="3" t="n">
        <v>-1.823641896247864</v>
      </c>
      <c r="AD573" s="3" t="n">
        <v>-0.8913981318473816</v>
      </c>
      <c r="AE573" s="3" t="n">
        <v>-0.8913981318473816</v>
      </c>
    </row>
    <row r="574">
      <c r="A574" s="3" t="inlineStr">
        <is>
          <t>DJI.distn.dec.ove.mean.10</t>
        </is>
      </c>
      <c r="B574" s="3" t="inlineStr">
        <is>
          <t>DJI</t>
        </is>
      </c>
      <c r="C574" s="3" t="n">
        <v>2005</v>
      </c>
      <c r="D574" s="3" t="inlineStr">
        <is>
          <t>Overall</t>
        </is>
      </c>
      <c r="E574" s="3" t="inlineStr">
        <is>
          <t>Deciles</t>
        </is>
      </c>
      <c r="F574" s="3" t="inlineStr">
        <is>
          <t>mean</t>
        </is>
      </c>
      <c r="G574" s="3" t="n">
        <v>10</v>
      </c>
      <c r="H574" s="3" t="n">
        <v>-0.7883796691894531</v>
      </c>
      <c r="I574" s="3" t="n">
        <v>-0.7883796691894531</v>
      </c>
      <c r="J574" s="3" t="n">
        <v>-0.8913981318473816</v>
      </c>
      <c r="K574" s="3" t="n">
        <v>-0.8913981318473816</v>
      </c>
      <c r="L574" s="3" t="n">
        <v>-0.7883796691894531</v>
      </c>
      <c r="M574" s="3" t="n">
        <v>-0.7883796691894531</v>
      </c>
      <c r="N574" s="3" t="n">
        <v>-0.7883796691894531</v>
      </c>
      <c r="O574" s="3" t="n">
        <v>-0.7883796691894531</v>
      </c>
      <c r="P574" s="3" t="n">
        <v>-0.7883796691894531</v>
      </c>
      <c r="Q574" s="3" t="n">
        <v>-0.7883796691894531</v>
      </c>
      <c r="R574" s="3" t="n">
        <v>-0.7742545604705811</v>
      </c>
      <c r="S574" s="3" t="n">
        <v>-1.262640714645386</v>
      </c>
      <c r="T574" s="3" t="n">
        <v>-0.7100409269332886</v>
      </c>
      <c r="U574" s="3" t="n">
        <v>-0.8913981318473816</v>
      </c>
      <c r="V574" s="3" t="n">
        <v>-0.6837060451507568</v>
      </c>
      <c r="W574" s="3" t="n">
        <v>-0.595531702041626</v>
      </c>
      <c r="X574" s="3" t="n">
        <v>-1.250289797782898</v>
      </c>
      <c r="Y574" s="3" t="n">
        <v>-0.7883796691894531</v>
      </c>
      <c r="Z574" s="3" t="n">
        <v>-1.262640714645386</v>
      </c>
      <c r="AA574" s="3" t="n">
        <v>-1.262640714645386</v>
      </c>
      <c r="AB574" s="3" t="n">
        <v>-1.250289797782898</v>
      </c>
      <c r="AC574" s="3" t="n">
        <v>-1.823641896247864</v>
      </c>
      <c r="AD574" s="3" t="n">
        <v>-0.8913981318473816</v>
      </c>
      <c r="AE574" s="3" t="n">
        <v>-0.8913981318473816</v>
      </c>
    </row>
    <row r="575">
      <c r="A575" s="3" t="inlineStr">
        <is>
          <t>DJI.distn.bkt.ove.mean.9999</t>
        </is>
      </c>
      <c r="B575" s="3" t="inlineStr">
        <is>
          <t>DJI</t>
        </is>
      </c>
      <c r="C575" s="3" t="n">
        <v>2005</v>
      </c>
      <c r="D575" s="3" t="inlineStr">
        <is>
          <t>Overall</t>
        </is>
      </c>
      <c r="E575" s="3" t="inlineStr">
        <is>
          <t>Basket</t>
        </is>
      </c>
      <c r="F575" s="3" t="inlineStr">
        <is>
          <t>mean</t>
        </is>
      </c>
      <c r="G575" s="3" t="n">
        <v>9999</v>
      </c>
      <c r="H575" s="3" t="n">
        <v>-0.7900005578994751</v>
      </c>
      <c r="I575" s="3" t="n">
        <v>-0.7900005578994751</v>
      </c>
      <c r="J575" s="3" t="n">
        <v>-0.9032610058784485</v>
      </c>
      <c r="K575" s="3" t="n">
        <v>-0.9032610058784485</v>
      </c>
      <c r="L575" s="3" t="n">
        <v>-0.7900005578994751</v>
      </c>
      <c r="M575" s="3" t="n">
        <v>-0.7900005578994751</v>
      </c>
      <c r="N575" s="3" t="n">
        <v>-0.7900005578994751</v>
      </c>
      <c r="O575" s="3" t="n">
        <v>-0.7900005578994751</v>
      </c>
      <c r="P575" s="3" t="n">
        <v>-0.7900005578994751</v>
      </c>
      <c r="Q575" s="3" t="n">
        <v>-0.7900005578994751</v>
      </c>
      <c r="R575" s="3" t="n">
        <v>-0.7751230001449585</v>
      </c>
      <c r="S575" s="3" t="n">
        <v>-1.430203676223755</v>
      </c>
      <c r="T575" s="3" t="n">
        <v>-0.7104492783546448</v>
      </c>
      <c r="U575" s="3" t="n">
        <v>-0.9032610058784485</v>
      </c>
      <c r="V575" s="3" t="n">
        <v>-0.685316801071167</v>
      </c>
      <c r="W575" s="3" t="n">
        <v>-0.6174070835113525</v>
      </c>
      <c r="X575" s="3" t="n">
        <v>-1.397371768951416</v>
      </c>
      <c r="Y575" s="3" t="n">
        <v>-0.7900005578994751</v>
      </c>
      <c r="Z575" s="3" t="n">
        <v>-1.430203676223755</v>
      </c>
      <c r="AA575" s="3" t="n">
        <v>-1.430203676223755</v>
      </c>
      <c r="AB575" s="3" t="n">
        <v>-1.397371768951416</v>
      </c>
      <c r="AC575" s="3" t="n">
        <v>-2.383241891860962</v>
      </c>
      <c r="AD575" s="3" t="n">
        <v>-0.9032610058784485</v>
      </c>
      <c r="AE575" s="3" t="n">
        <v>-0.9032610058784485</v>
      </c>
    </row>
    <row r="576">
      <c r="A576" s="3" t="inlineStr">
        <is>
          <t>DMA.distn.dec.ove.mean.1</t>
        </is>
      </c>
      <c r="B576" s="3" t="inlineStr">
        <is>
          <t>DMA</t>
        </is>
      </c>
      <c r="C576" s="3" t="n">
        <v>2005</v>
      </c>
      <c r="D576" s="3" t="inlineStr">
        <is>
          <t>Overall</t>
        </is>
      </c>
      <c r="E576" s="3" t="inlineStr">
        <is>
          <t>Deciles</t>
        </is>
      </c>
      <c r="F576" s="3" t="inlineStr">
        <is>
          <t>mean</t>
        </is>
      </c>
      <c r="G576" s="3" t="n">
        <v>1</v>
      </c>
      <c r="H576" s="3" t="n">
        <v>-0.7898249251501901</v>
      </c>
      <c r="I576" s="3" t="n">
        <v>-0.7898249251501901</v>
      </c>
      <c r="J576" s="3" t="n">
        <v>-0.9006037865366254</v>
      </c>
      <c r="K576" s="3" t="n">
        <v>-0.9006037865366254</v>
      </c>
      <c r="L576" s="3" t="n">
        <v>-0.7898249251501901</v>
      </c>
      <c r="M576" s="3" t="n">
        <v>-0.7898249251501901</v>
      </c>
      <c r="N576" s="3" t="n">
        <v>-0.7898249251501901</v>
      </c>
      <c r="O576" s="3" t="n">
        <v>-0.7898249251501901</v>
      </c>
      <c r="P576" s="3" t="n">
        <v>-0.7898249251501901</v>
      </c>
      <c r="Q576" s="3" t="n">
        <v>-0.7898249251501901</v>
      </c>
      <c r="R576" s="3" t="n">
        <v>-0.7744465725762504</v>
      </c>
      <c r="S576" s="3" t="n">
        <v>-1.490841317176819</v>
      </c>
      <c r="T576" s="3" t="n">
        <v>-0.7100824441228594</v>
      </c>
      <c r="U576" s="3" t="n">
        <v>-0.9006037865366254</v>
      </c>
      <c r="V576" s="3" t="n">
        <v>-0.6846477542604719</v>
      </c>
      <c r="W576" s="3" t="n">
        <v>-0.6204802887780326</v>
      </c>
      <c r="X576" s="3" t="n">
        <v>-1.433480068615505</v>
      </c>
      <c r="Y576" s="3" t="n">
        <v>-0.7898249251501901</v>
      </c>
      <c r="Z576" s="3" t="n">
        <v>-1.490841317176819</v>
      </c>
      <c r="AA576" s="3" t="n">
        <v>-1.490841317176819</v>
      </c>
      <c r="AB576" s="3" t="n">
        <v>-1.433480068615505</v>
      </c>
      <c r="AC576" s="3" t="n">
        <v>-2.345895099639892</v>
      </c>
      <c r="AD576" s="3" t="n">
        <v>-0.9006037865366254</v>
      </c>
      <c r="AE576" s="3" t="n">
        <v>-0.9006037865366254</v>
      </c>
    </row>
    <row r="577">
      <c r="A577" s="3" t="inlineStr">
        <is>
          <t>DMA.distn.dec.ove.mean.2</t>
        </is>
      </c>
      <c r="B577" s="3" t="inlineStr">
        <is>
          <t>DMA</t>
        </is>
      </c>
      <c r="C577" s="3" t="n">
        <v>2005</v>
      </c>
      <c r="D577" s="3" t="inlineStr">
        <is>
          <t>Overall</t>
        </is>
      </c>
      <c r="E577" s="3" t="inlineStr">
        <is>
          <t>Deciles</t>
        </is>
      </c>
      <c r="F577" s="3" t="inlineStr">
        <is>
          <t>mean</t>
        </is>
      </c>
      <c r="G577" s="3" t="n">
        <v>2</v>
      </c>
      <c r="H577" s="3" t="n">
        <v>-0.7898249251501901</v>
      </c>
      <c r="I577" s="3" t="n">
        <v>-0.7898249251501901</v>
      </c>
      <c r="J577" s="3" t="n">
        <v>-0.9006037865366254</v>
      </c>
      <c r="K577" s="3" t="n">
        <v>-0.9006037865366254</v>
      </c>
      <c r="L577" s="3" t="n">
        <v>-0.7898249251501901</v>
      </c>
      <c r="M577" s="3" t="n">
        <v>-0.7898249251501901</v>
      </c>
      <c r="N577" s="3" t="n">
        <v>-0.7898249251501901</v>
      </c>
      <c r="O577" s="3" t="n">
        <v>-0.7898249251501901</v>
      </c>
      <c r="P577" s="3" t="n">
        <v>-0.7898249251501901</v>
      </c>
      <c r="Q577" s="3" t="n">
        <v>-0.7898249251501901</v>
      </c>
      <c r="R577" s="3" t="n">
        <v>-0.7744465725762504</v>
      </c>
      <c r="S577" s="3" t="n">
        <v>-1.490841317176819</v>
      </c>
      <c r="T577" s="3" t="n">
        <v>-0.7100824441228594</v>
      </c>
      <c r="U577" s="3" t="n">
        <v>-0.9006037865366254</v>
      </c>
      <c r="V577" s="3" t="n">
        <v>-0.6846477542604719</v>
      </c>
      <c r="W577" s="3" t="n">
        <v>-0.6204802887780326</v>
      </c>
      <c r="X577" s="3" t="n">
        <v>-1.433480068615505</v>
      </c>
      <c r="Y577" s="3" t="n">
        <v>-0.7898249251501901</v>
      </c>
      <c r="Z577" s="3" t="n">
        <v>-1.490841317176819</v>
      </c>
      <c r="AA577" s="3" t="n">
        <v>-1.490841317176819</v>
      </c>
      <c r="AB577" s="3" t="n">
        <v>-1.433480068615505</v>
      </c>
      <c r="AC577" s="3" t="n">
        <v>-2.345895099639892</v>
      </c>
      <c r="AD577" s="3" t="n">
        <v>-0.9006037865366254</v>
      </c>
      <c r="AE577" s="3" t="n">
        <v>-0.9006037865366254</v>
      </c>
    </row>
    <row r="578">
      <c r="A578" s="3" t="inlineStr">
        <is>
          <t>DMA.distn.dec.ove.mean.3</t>
        </is>
      </c>
      <c r="B578" s="3" t="inlineStr">
        <is>
          <t>DMA</t>
        </is>
      </c>
      <c r="C578" s="3" t="n">
        <v>2005</v>
      </c>
      <c r="D578" s="3" t="inlineStr">
        <is>
          <t>Overall</t>
        </is>
      </c>
      <c r="E578" s="3" t="inlineStr">
        <is>
          <t>Deciles</t>
        </is>
      </c>
      <c r="F578" s="3" t="inlineStr">
        <is>
          <t>mean</t>
        </is>
      </c>
      <c r="G578" s="3" t="n">
        <v>3</v>
      </c>
      <c r="H578" s="3" t="n">
        <v>-0.7898249251501901</v>
      </c>
      <c r="I578" s="3" t="n">
        <v>-0.7898249251501901</v>
      </c>
      <c r="J578" s="3" t="n">
        <v>-0.9006037865366254</v>
      </c>
      <c r="K578" s="3" t="n">
        <v>-0.9006037865366254</v>
      </c>
      <c r="L578" s="3" t="n">
        <v>-0.7898249251501901</v>
      </c>
      <c r="M578" s="3" t="n">
        <v>-0.7898249251501901</v>
      </c>
      <c r="N578" s="3" t="n">
        <v>-0.7898249251501901</v>
      </c>
      <c r="O578" s="3" t="n">
        <v>-0.7898249251501901</v>
      </c>
      <c r="P578" s="3" t="n">
        <v>-0.7898249251501901</v>
      </c>
      <c r="Q578" s="3" t="n">
        <v>-0.7898249251501901</v>
      </c>
      <c r="R578" s="3" t="n">
        <v>-0.7744465725762504</v>
      </c>
      <c r="S578" s="3" t="n">
        <v>-1.490841317176819</v>
      </c>
      <c r="T578" s="3" t="n">
        <v>-0.7100824441228594</v>
      </c>
      <c r="U578" s="3" t="n">
        <v>-0.9006037865366254</v>
      </c>
      <c r="V578" s="3" t="n">
        <v>-0.6846477542604719</v>
      </c>
      <c r="W578" s="3" t="n">
        <v>-0.6204802887780326</v>
      </c>
      <c r="X578" s="3" t="n">
        <v>-1.433480068615505</v>
      </c>
      <c r="Y578" s="3" t="n">
        <v>-0.7898249251501901</v>
      </c>
      <c r="Z578" s="3" t="n">
        <v>-1.490841317176819</v>
      </c>
      <c r="AA578" s="3" t="n">
        <v>-1.490841317176819</v>
      </c>
      <c r="AB578" s="3" t="n">
        <v>-1.433480068615505</v>
      </c>
      <c r="AC578" s="3" t="n">
        <v>-2.345895099639892</v>
      </c>
      <c r="AD578" s="3" t="n">
        <v>-0.9006037865366254</v>
      </c>
      <c r="AE578" s="3" t="n">
        <v>-0.9006037865366254</v>
      </c>
    </row>
    <row r="579">
      <c r="A579" s="3" t="inlineStr">
        <is>
          <t>DMA.distn.dec.ove.mean.4</t>
        </is>
      </c>
      <c r="B579" s="3" t="inlineStr">
        <is>
          <t>DMA</t>
        </is>
      </c>
      <c r="C579" s="3" t="n">
        <v>2005</v>
      </c>
      <c r="D579" s="3" t="inlineStr">
        <is>
          <t>Overall</t>
        </is>
      </c>
      <c r="E579" s="3" t="inlineStr">
        <is>
          <t>Deciles</t>
        </is>
      </c>
      <c r="F579" s="3" t="inlineStr">
        <is>
          <t>mean</t>
        </is>
      </c>
      <c r="G579" s="3" t="n">
        <v>4</v>
      </c>
      <c r="H579" s="3" t="n">
        <v>-0.7835714289120266</v>
      </c>
      <c r="I579" s="3" t="n">
        <v>-0.7835714289120266</v>
      </c>
      <c r="J579" s="3" t="n">
        <v>-0.8570857082094465</v>
      </c>
      <c r="K579" s="3" t="n">
        <v>-0.8570857082094465</v>
      </c>
      <c r="L579" s="3" t="n">
        <v>-0.7835714289120266</v>
      </c>
      <c r="M579" s="3" t="n">
        <v>-0.7835714289120266</v>
      </c>
      <c r="N579" s="3" t="n">
        <v>-0.7835714289120266</v>
      </c>
      <c r="O579" s="3" t="n">
        <v>-0.7835714289120266</v>
      </c>
      <c r="P579" s="3" t="n">
        <v>-0.7835714289120266</v>
      </c>
      <c r="Q579" s="3" t="n">
        <v>-0.7835714289120266</v>
      </c>
      <c r="R579" s="3" t="n">
        <v>-0.7709714361599513</v>
      </c>
      <c r="S579" s="3" t="n">
        <v>-1.015428565229688</v>
      </c>
      <c r="T579" s="3" t="n">
        <v>-0.708628567627498</v>
      </c>
      <c r="U579" s="3" t="n">
        <v>-0.8570857082094465</v>
      </c>
      <c r="V579" s="3" t="n">
        <v>-0.6776857103620256</v>
      </c>
      <c r="W579" s="3" t="n">
        <v>-0.5221999968801226</v>
      </c>
      <c r="X579" s="3" t="n">
        <v>-1.011657135827201</v>
      </c>
      <c r="Y579" s="3" t="n">
        <v>-0.7835714289120266</v>
      </c>
      <c r="Z579" s="3" t="n">
        <v>-1.015428565229688</v>
      </c>
      <c r="AA579" s="3" t="n">
        <v>-1.015428565229688</v>
      </c>
      <c r="AB579" s="3" t="n">
        <v>-1.011657135827201</v>
      </c>
      <c r="AC579" s="3" t="n">
        <v>-1.132885714939662</v>
      </c>
      <c r="AD579" s="3" t="n">
        <v>-0.8570857082094465</v>
      </c>
      <c r="AE579" s="3" t="n">
        <v>-0.8570857082094465</v>
      </c>
    </row>
    <row r="580">
      <c r="A580" s="3" t="inlineStr">
        <is>
          <t>DMA.distn.dec.ove.mean.5</t>
        </is>
      </c>
      <c r="B580" s="3" t="inlineStr">
        <is>
          <t>DMA</t>
        </is>
      </c>
      <c r="C580" s="3" t="n">
        <v>2005</v>
      </c>
      <c r="D580" s="3" t="inlineStr">
        <is>
          <t>Overall</t>
        </is>
      </c>
      <c r="E580" s="3" t="inlineStr">
        <is>
          <t>Deciles</t>
        </is>
      </c>
      <c r="F580" s="3" t="inlineStr">
        <is>
          <t>mean</t>
        </is>
      </c>
      <c r="G580" s="3" t="n">
        <v>5</v>
      </c>
      <c r="H580" s="3" t="n">
        <v>-0.7835714289120266</v>
      </c>
      <c r="I580" s="3" t="n">
        <v>-0.7835714289120266</v>
      </c>
      <c r="J580" s="3" t="n">
        <v>-0.8570857082094465</v>
      </c>
      <c r="K580" s="3" t="n">
        <v>-0.8570857082094465</v>
      </c>
      <c r="L580" s="3" t="n">
        <v>-0.7835714289120266</v>
      </c>
      <c r="M580" s="3" t="n">
        <v>-0.7835714289120266</v>
      </c>
      <c r="N580" s="3" t="n">
        <v>-0.7835714289120266</v>
      </c>
      <c r="O580" s="3" t="n">
        <v>-0.7835714289120266</v>
      </c>
      <c r="P580" s="3" t="n">
        <v>-0.7835714289120266</v>
      </c>
      <c r="Q580" s="3" t="n">
        <v>-0.7835714289120266</v>
      </c>
      <c r="R580" s="3" t="n">
        <v>-0.7709714361599513</v>
      </c>
      <c r="S580" s="3" t="n">
        <v>-1.015428565229688</v>
      </c>
      <c r="T580" s="3" t="n">
        <v>-0.708628567627498</v>
      </c>
      <c r="U580" s="3" t="n">
        <v>-0.8570857082094465</v>
      </c>
      <c r="V580" s="3" t="n">
        <v>-0.6776857103620256</v>
      </c>
      <c r="W580" s="3" t="n">
        <v>-0.5221999968801226</v>
      </c>
      <c r="X580" s="3" t="n">
        <v>-1.011657135827201</v>
      </c>
      <c r="Y580" s="3" t="n">
        <v>-0.7835714289120266</v>
      </c>
      <c r="Z580" s="3" t="n">
        <v>-1.015428565229688</v>
      </c>
      <c r="AA580" s="3" t="n">
        <v>-1.015428565229688</v>
      </c>
      <c r="AB580" s="3" t="n">
        <v>-1.011657135827201</v>
      </c>
      <c r="AC580" s="3" t="n">
        <v>-1.132885714939662</v>
      </c>
      <c r="AD580" s="3" t="n">
        <v>-0.8570857082094465</v>
      </c>
      <c r="AE580" s="3" t="n">
        <v>-0.8570857082094465</v>
      </c>
    </row>
    <row r="581">
      <c r="A581" s="3" t="inlineStr">
        <is>
          <t>DMA.distn.dec.ove.mean.6</t>
        </is>
      </c>
      <c r="B581" s="3" t="inlineStr">
        <is>
          <t>DMA</t>
        </is>
      </c>
      <c r="C581" s="3" t="n">
        <v>2005</v>
      </c>
      <c r="D581" s="3" t="inlineStr">
        <is>
          <t>Overall</t>
        </is>
      </c>
      <c r="E581" s="3" t="inlineStr">
        <is>
          <t>Deciles</t>
        </is>
      </c>
      <c r="F581" s="3" t="inlineStr">
        <is>
          <t>mean</t>
        </is>
      </c>
      <c r="G581" s="3" t="n">
        <v>6</v>
      </c>
      <c r="H581" s="3" t="n">
        <v>-0.7835714289120266</v>
      </c>
      <c r="I581" s="3" t="n">
        <v>-0.7835714289120266</v>
      </c>
      <c r="J581" s="3" t="n">
        <v>-0.8570857082094465</v>
      </c>
      <c r="K581" s="3" t="n">
        <v>-0.8570857082094465</v>
      </c>
      <c r="L581" s="3" t="n">
        <v>-0.7835714289120266</v>
      </c>
      <c r="M581" s="3" t="n">
        <v>-0.7835714289120266</v>
      </c>
      <c r="N581" s="3" t="n">
        <v>-0.7835714289120266</v>
      </c>
      <c r="O581" s="3" t="n">
        <v>-0.7835714289120266</v>
      </c>
      <c r="P581" s="3" t="n">
        <v>-0.7835714289120266</v>
      </c>
      <c r="Q581" s="3" t="n">
        <v>-0.7835714289120266</v>
      </c>
      <c r="R581" s="3" t="n">
        <v>-0.7709714361599513</v>
      </c>
      <c r="S581" s="3" t="n">
        <v>-1.015428565229688</v>
      </c>
      <c r="T581" s="3" t="n">
        <v>-0.708628567627498</v>
      </c>
      <c r="U581" s="3" t="n">
        <v>-0.8570857082094465</v>
      </c>
      <c r="V581" s="3" t="n">
        <v>-0.6776857103620256</v>
      </c>
      <c r="W581" s="3" t="n">
        <v>-0.5221999968801226</v>
      </c>
      <c r="X581" s="3" t="n">
        <v>-1.011657135827201</v>
      </c>
      <c r="Y581" s="3" t="n">
        <v>-0.7835714289120266</v>
      </c>
      <c r="Z581" s="3" t="n">
        <v>-1.015428565229688</v>
      </c>
      <c r="AA581" s="3" t="n">
        <v>-1.015428565229688</v>
      </c>
      <c r="AB581" s="3" t="n">
        <v>-1.011657135827201</v>
      </c>
      <c r="AC581" s="3" t="n">
        <v>-1.132885714939662</v>
      </c>
      <c r="AD581" s="3" t="n">
        <v>-0.8570857082094465</v>
      </c>
      <c r="AE581" s="3" t="n">
        <v>-0.8570857082094465</v>
      </c>
    </row>
    <row r="582">
      <c r="A582" s="3" t="inlineStr">
        <is>
          <t>DMA.distn.dec.ove.mean.7</t>
        </is>
      </c>
      <c r="B582" s="3" t="inlineStr">
        <is>
          <t>DMA</t>
        </is>
      </c>
      <c r="C582" s="3" t="n">
        <v>2005</v>
      </c>
      <c r="D582" s="3" t="inlineStr">
        <is>
          <t>Overall</t>
        </is>
      </c>
      <c r="E582" s="3" t="inlineStr">
        <is>
          <t>Deciles</t>
        </is>
      </c>
      <c r="F582" s="3" t="inlineStr">
        <is>
          <t>mean</t>
        </is>
      </c>
      <c r="G582" s="3" t="n">
        <v>7</v>
      </c>
      <c r="H582" s="3" t="n">
        <v>-0.7835714289120266</v>
      </c>
      <c r="I582" s="3" t="n">
        <v>-0.7835714289120266</v>
      </c>
      <c r="J582" s="3" t="n">
        <v>-0.8570857082094465</v>
      </c>
      <c r="K582" s="3" t="n">
        <v>-0.8570857082094465</v>
      </c>
      <c r="L582" s="3" t="n">
        <v>-0.7835714289120266</v>
      </c>
      <c r="M582" s="3" t="n">
        <v>-0.7835714289120266</v>
      </c>
      <c r="N582" s="3" t="n">
        <v>-0.7835714289120266</v>
      </c>
      <c r="O582" s="3" t="n">
        <v>-0.7835714289120266</v>
      </c>
      <c r="P582" s="3" t="n">
        <v>-0.7835714289120266</v>
      </c>
      <c r="Q582" s="3" t="n">
        <v>-0.7835714289120266</v>
      </c>
      <c r="R582" s="3" t="n">
        <v>-0.7709714361599513</v>
      </c>
      <c r="S582" s="3" t="n">
        <v>-1.015428565229688</v>
      </c>
      <c r="T582" s="3" t="n">
        <v>-0.708628567627498</v>
      </c>
      <c r="U582" s="3" t="n">
        <v>-0.8570857082094465</v>
      </c>
      <c r="V582" s="3" t="n">
        <v>-0.6776857103620256</v>
      </c>
      <c r="W582" s="3" t="n">
        <v>-0.5221999968801226</v>
      </c>
      <c r="X582" s="3" t="n">
        <v>-1.011657135827201</v>
      </c>
      <c r="Y582" s="3" t="n">
        <v>-0.7835714289120266</v>
      </c>
      <c r="Z582" s="3" t="n">
        <v>-1.015428565229688</v>
      </c>
      <c r="AA582" s="3" t="n">
        <v>-1.015428565229688</v>
      </c>
      <c r="AB582" s="3" t="n">
        <v>-1.011657135827201</v>
      </c>
      <c r="AC582" s="3" t="n">
        <v>-1.132885714939662</v>
      </c>
      <c r="AD582" s="3" t="n">
        <v>-0.8570857082094465</v>
      </c>
      <c r="AE582" s="3" t="n">
        <v>-0.8570857082094465</v>
      </c>
    </row>
    <row r="583">
      <c r="A583" s="3" t="inlineStr">
        <is>
          <t>DMA.distn.dec.ove.mean.8</t>
        </is>
      </c>
      <c r="B583" s="3" t="inlineStr">
        <is>
          <t>DMA</t>
        </is>
      </c>
      <c r="C583" s="3" t="n">
        <v>2005</v>
      </c>
      <c r="D583" s="3" t="inlineStr">
        <is>
          <t>Overall</t>
        </is>
      </c>
      <c r="E583" s="3" t="inlineStr">
        <is>
          <t>Deciles</t>
        </is>
      </c>
      <c r="F583" s="3" t="inlineStr">
        <is>
          <t>mean</t>
        </is>
      </c>
      <c r="G583" s="3" t="n">
        <v>8</v>
      </c>
      <c r="H583" s="3" t="n">
        <v>-0.7839489357812064</v>
      </c>
      <c r="I583" s="3" t="n">
        <v>-0.7839489357812064</v>
      </c>
      <c r="J583" s="3" t="n">
        <v>-0.8593977723802839</v>
      </c>
      <c r="K583" s="3" t="n">
        <v>-0.8593977723802839</v>
      </c>
      <c r="L583" s="3" t="n">
        <v>-0.7839489357812064</v>
      </c>
      <c r="M583" s="3" t="n">
        <v>-0.7839489357812064</v>
      </c>
      <c r="N583" s="3" t="n">
        <v>-0.7839489357812064</v>
      </c>
      <c r="O583" s="3" t="n">
        <v>-0.7839489357812064</v>
      </c>
      <c r="P583" s="3" t="n">
        <v>-0.7839489357812064</v>
      </c>
      <c r="Q583" s="3" t="n">
        <v>-0.7839489357812064</v>
      </c>
      <c r="R583" s="3" t="n">
        <v>-0.7712249892098563</v>
      </c>
      <c r="S583" s="3" t="n">
        <v>-1.024877253600529</v>
      </c>
      <c r="T583" s="3" t="n">
        <v>-0.7086694342749459</v>
      </c>
      <c r="U583" s="3" t="n">
        <v>-0.8593977723802839</v>
      </c>
      <c r="V583" s="3" t="n">
        <v>-0.6783862863268171</v>
      </c>
      <c r="W583" s="3" t="n">
        <v>-0.5361838928290776</v>
      </c>
      <c r="X583" s="3" t="n">
        <v>-1.020875356878553</v>
      </c>
      <c r="Y583" s="3" t="n">
        <v>-0.7839489357812064</v>
      </c>
      <c r="Z583" s="3" t="n">
        <v>-1.024877253600529</v>
      </c>
      <c r="AA583" s="3" t="n">
        <v>-1.024877253600529</v>
      </c>
      <c r="AB583" s="3" t="n">
        <v>-1.020875356878553</v>
      </c>
      <c r="AC583" s="3" t="n">
        <v>-1.149042170388358</v>
      </c>
      <c r="AD583" s="3" t="n">
        <v>-0.8593977723802839</v>
      </c>
      <c r="AE583" s="3" t="n">
        <v>-0.8593977723802839</v>
      </c>
    </row>
    <row r="584">
      <c r="A584" s="3" t="inlineStr">
        <is>
          <t>DMA.distn.dec.ove.mean.9</t>
        </is>
      </c>
      <c r="B584" s="3" t="inlineStr">
        <is>
          <t>DMA</t>
        </is>
      </c>
      <c r="C584" s="3" t="n">
        <v>2005</v>
      </c>
      <c r="D584" s="3" t="inlineStr">
        <is>
          <t>Overall</t>
        </is>
      </c>
      <c r="E584" s="3" t="inlineStr">
        <is>
          <t>Deciles</t>
        </is>
      </c>
      <c r="F584" s="3" t="inlineStr">
        <is>
          <t>mean</t>
        </is>
      </c>
      <c r="G584" s="3" t="n">
        <v>9</v>
      </c>
      <c r="H584" s="3" t="n">
        <v>-0.7839489357812064</v>
      </c>
      <c r="I584" s="3" t="n">
        <v>-0.7839489357812064</v>
      </c>
      <c r="J584" s="3" t="n">
        <v>-0.8593977723802839</v>
      </c>
      <c r="K584" s="3" t="n">
        <v>-0.8593977723802839</v>
      </c>
      <c r="L584" s="3" t="n">
        <v>-0.7839489357812064</v>
      </c>
      <c r="M584" s="3" t="n">
        <v>-0.7839489357812064</v>
      </c>
      <c r="N584" s="3" t="n">
        <v>-0.7839489357812064</v>
      </c>
      <c r="O584" s="3" t="n">
        <v>-0.7839489357812064</v>
      </c>
      <c r="P584" s="3" t="n">
        <v>-0.7839489357812064</v>
      </c>
      <c r="Q584" s="3" t="n">
        <v>-0.7839489357812064</v>
      </c>
      <c r="R584" s="3" t="n">
        <v>-0.7712249892098563</v>
      </c>
      <c r="S584" s="3" t="n">
        <v>-1.024877253600529</v>
      </c>
      <c r="T584" s="3" t="n">
        <v>-0.7086694342749459</v>
      </c>
      <c r="U584" s="3" t="n">
        <v>-0.8593977723802839</v>
      </c>
      <c r="V584" s="3" t="n">
        <v>-0.6783862863268171</v>
      </c>
      <c r="W584" s="3" t="n">
        <v>-0.5361838928290776</v>
      </c>
      <c r="X584" s="3" t="n">
        <v>-1.020875356878553</v>
      </c>
      <c r="Y584" s="3" t="n">
        <v>-0.7839489357812064</v>
      </c>
      <c r="Z584" s="3" t="n">
        <v>-1.024877253600529</v>
      </c>
      <c r="AA584" s="3" t="n">
        <v>-1.024877253600529</v>
      </c>
      <c r="AB584" s="3" t="n">
        <v>-1.020875356878553</v>
      </c>
      <c r="AC584" s="3" t="n">
        <v>-1.149042170388358</v>
      </c>
      <c r="AD584" s="3" t="n">
        <v>-0.8593977723802839</v>
      </c>
      <c r="AE584" s="3" t="n">
        <v>-0.8593977723802839</v>
      </c>
    </row>
    <row r="585">
      <c r="A585" s="3" t="inlineStr">
        <is>
          <t>DMA.distn.dec.ove.mean.10</t>
        </is>
      </c>
      <c r="B585" s="3" t="inlineStr">
        <is>
          <t>DMA</t>
        </is>
      </c>
      <c r="C585" s="3" t="n">
        <v>2005</v>
      </c>
      <c r="D585" s="3" t="inlineStr">
        <is>
          <t>Overall</t>
        </is>
      </c>
      <c r="E585" s="3" t="inlineStr">
        <is>
          <t>Deciles</t>
        </is>
      </c>
      <c r="F585" s="3" t="inlineStr">
        <is>
          <t>mean</t>
        </is>
      </c>
      <c r="G585" s="3" t="n">
        <v>10</v>
      </c>
      <c r="H585" s="3" t="n">
        <v>-0.7839489357812064</v>
      </c>
      <c r="I585" s="3" t="n">
        <v>-0.7839489357812064</v>
      </c>
      <c r="J585" s="3" t="n">
        <v>-0.8593977723802839</v>
      </c>
      <c r="K585" s="3" t="n">
        <v>-0.8593977723802839</v>
      </c>
      <c r="L585" s="3" t="n">
        <v>-0.7839489357812064</v>
      </c>
      <c r="M585" s="3" t="n">
        <v>-0.7839489357812064</v>
      </c>
      <c r="N585" s="3" t="n">
        <v>-0.7839489357812064</v>
      </c>
      <c r="O585" s="3" t="n">
        <v>-0.7839489357812064</v>
      </c>
      <c r="P585" s="3" t="n">
        <v>-0.7839489357812064</v>
      </c>
      <c r="Q585" s="3" t="n">
        <v>-0.7839489357812064</v>
      </c>
      <c r="R585" s="3" t="n">
        <v>-0.7712249892098563</v>
      </c>
      <c r="S585" s="3" t="n">
        <v>-1.024877253600529</v>
      </c>
      <c r="T585" s="3" t="n">
        <v>-0.7086694342749459</v>
      </c>
      <c r="U585" s="3" t="n">
        <v>-0.8593977723802839</v>
      </c>
      <c r="V585" s="3" t="n">
        <v>-0.6783862863268171</v>
      </c>
      <c r="W585" s="3" t="n">
        <v>-0.5361838928290776</v>
      </c>
      <c r="X585" s="3" t="n">
        <v>-1.020875356878553</v>
      </c>
      <c r="Y585" s="3" t="n">
        <v>-0.7839489357812064</v>
      </c>
      <c r="Z585" s="3" t="n">
        <v>-1.024877253600529</v>
      </c>
      <c r="AA585" s="3" t="n">
        <v>-1.024877253600529</v>
      </c>
      <c r="AB585" s="3" t="n">
        <v>-1.020875356878553</v>
      </c>
      <c r="AC585" s="3" t="n">
        <v>-1.149042170388358</v>
      </c>
      <c r="AD585" s="3" t="n">
        <v>-0.8593977723802839</v>
      </c>
      <c r="AE585" s="3" t="n">
        <v>-0.8593977723802839</v>
      </c>
    </row>
    <row r="586">
      <c r="A586" s="3" t="inlineStr">
        <is>
          <t>DMA.distn.bkt.ove.mean.9999</t>
        </is>
      </c>
      <c r="B586" s="3" t="inlineStr">
        <is>
          <t>DMA</t>
        </is>
      </c>
      <c r="C586" s="3" t="n">
        <v>2005</v>
      </c>
      <c r="D586" s="3" t="inlineStr">
        <is>
          <t>Overall</t>
        </is>
      </c>
      <c r="E586" s="3" t="inlineStr">
        <is>
          <t>Basket</t>
        </is>
      </c>
      <c r="F586" s="3" t="inlineStr">
        <is>
          <t>mean</t>
        </is>
      </c>
      <c r="G586" s="3" t="n">
        <v>9999</v>
      </c>
      <c r="H586" s="3" t="n">
        <v>-0.7855607322284154</v>
      </c>
      <c r="I586" s="3" t="n">
        <v>-0.7855607322284154</v>
      </c>
      <c r="J586" s="3" t="n">
        <v>-0.8708347541945322</v>
      </c>
      <c r="K586" s="3" t="n">
        <v>-0.8708347541945322</v>
      </c>
      <c r="L586" s="3" t="n">
        <v>-0.7855607322284154</v>
      </c>
      <c r="M586" s="3" t="n">
        <v>-0.7855607322284154</v>
      </c>
      <c r="N586" s="3" t="n">
        <v>-0.7855607322284154</v>
      </c>
      <c r="O586" s="3" t="n">
        <v>-0.7855607322284154</v>
      </c>
      <c r="P586" s="3" t="n">
        <v>-0.7855607322284154</v>
      </c>
      <c r="Q586" s="3" t="n">
        <v>-0.7855607322284154</v>
      </c>
      <c r="R586" s="3" t="n">
        <v>-0.7720900552613394</v>
      </c>
      <c r="S586" s="3" t="n">
        <v>-1.160887002944946</v>
      </c>
      <c r="T586" s="3" t="n">
        <v>-0.7090769904000419</v>
      </c>
      <c r="U586" s="3" t="n">
        <v>-0.8708347541945322</v>
      </c>
      <c r="V586" s="3" t="n">
        <v>-0.6799844878060477</v>
      </c>
      <c r="W586" s="3" t="n">
        <v>-0.5558792540005275</v>
      </c>
      <c r="X586" s="3" t="n">
        <v>-1.140969473975045</v>
      </c>
      <c r="Y586" s="3" t="n">
        <v>-0.7855607322284154</v>
      </c>
      <c r="Z586" s="3" t="n">
        <v>-1.160887002944946</v>
      </c>
      <c r="AA586" s="3" t="n">
        <v>-1.160887002944946</v>
      </c>
      <c r="AB586" s="3" t="n">
        <v>-1.140969473975045</v>
      </c>
      <c r="AC586" s="3" t="n">
        <v>-1.501635466303144</v>
      </c>
      <c r="AD586" s="3" t="n">
        <v>-0.8708347541945322</v>
      </c>
      <c r="AE586" s="3" t="n">
        <v>-0.8708347541945322</v>
      </c>
    </row>
    <row r="587">
      <c r="A587" s="3" t="inlineStr">
        <is>
          <t>DNK.distn.dec.ove.mean.1</t>
        </is>
      </c>
      <c r="B587" s="3" t="inlineStr">
        <is>
          <t>DNK</t>
        </is>
      </c>
      <c r="C587" s="3" t="n">
        <v>2005</v>
      </c>
      <c r="D587" s="3" t="inlineStr">
        <is>
          <t>Overall</t>
        </is>
      </c>
      <c r="E587" s="3" t="inlineStr">
        <is>
          <t>Deciles</t>
        </is>
      </c>
      <c r="F587" s="3" t="inlineStr">
        <is>
          <t>mean</t>
        </is>
      </c>
      <c r="G587" s="3" t="n">
        <v>1</v>
      </c>
      <c r="H587" s="3" t="n">
        <v>-0.7882409691810608</v>
      </c>
      <c r="I587" s="3" t="n">
        <v>-0.7882409691810608</v>
      </c>
      <c r="J587" s="3" t="n">
        <v>-0.8921075463294983</v>
      </c>
      <c r="K587" s="3" t="n">
        <v>-0.8921075463294983</v>
      </c>
      <c r="L587" s="3" t="n">
        <v>-0.7882409691810608</v>
      </c>
      <c r="M587" s="3" t="n">
        <v>-0.7882409691810608</v>
      </c>
      <c r="N587" s="3" t="n">
        <v>-0.7882409691810608</v>
      </c>
      <c r="O587" s="3" t="n">
        <v>-0.7882409691810608</v>
      </c>
      <c r="P587" s="3" t="n">
        <v>-0.7882409691810608</v>
      </c>
      <c r="Q587" s="3" t="n">
        <v>-0.7882409691810608</v>
      </c>
      <c r="R587" s="3" t="n">
        <v>-0.7734707593917847</v>
      </c>
      <c r="S587" s="3" t="n">
        <v>-1.428548097610474</v>
      </c>
      <c r="T587" s="3" t="n">
        <v>-0.7094525694847107</v>
      </c>
      <c r="U587" s="3" t="n">
        <v>-0.8921075463294983</v>
      </c>
      <c r="V587" s="3" t="n">
        <v>-0.6829447150230408</v>
      </c>
      <c r="W587" s="3" t="n">
        <v>-0.594102144241333</v>
      </c>
      <c r="X587" s="3" t="n">
        <v>-1.3758704662323</v>
      </c>
      <c r="Y587" s="3" t="n">
        <v>-0.7882409691810608</v>
      </c>
      <c r="Z587" s="3" t="n">
        <v>-1.428548097610474</v>
      </c>
      <c r="AA587" s="3" t="n">
        <v>-1.428548097610474</v>
      </c>
      <c r="AB587" s="3" t="n">
        <v>-1.3758704662323</v>
      </c>
      <c r="AC587" s="3" t="n">
        <v>-2.170120000839233</v>
      </c>
      <c r="AD587" s="3" t="n">
        <v>-0.8921075463294983</v>
      </c>
      <c r="AE587" s="3" t="n">
        <v>-0.8921075463294983</v>
      </c>
    </row>
    <row r="588">
      <c r="A588" s="3" t="inlineStr">
        <is>
          <t>DNK.distn.dec.ove.mean.2</t>
        </is>
      </c>
      <c r="B588" s="3" t="inlineStr">
        <is>
          <t>DNK</t>
        </is>
      </c>
      <c r="C588" s="3" t="n">
        <v>2005</v>
      </c>
      <c r="D588" s="3" t="inlineStr">
        <is>
          <t>Overall</t>
        </is>
      </c>
      <c r="E588" s="3" t="inlineStr">
        <is>
          <t>Deciles</t>
        </is>
      </c>
      <c r="F588" s="3" t="inlineStr">
        <is>
          <t>mean</t>
        </is>
      </c>
      <c r="G588" s="3" t="n">
        <v>2</v>
      </c>
      <c r="H588" s="3" t="n">
        <v>-0.7882409691810608</v>
      </c>
      <c r="I588" s="3" t="n">
        <v>-0.7882409691810608</v>
      </c>
      <c r="J588" s="3" t="n">
        <v>-0.8921075463294983</v>
      </c>
      <c r="K588" s="3" t="n">
        <v>-0.8921075463294983</v>
      </c>
      <c r="L588" s="3" t="n">
        <v>-0.7882409691810608</v>
      </c>
      <c r="M588" s="3" t="n">
        <v>-0.7882409691810608</v>
      </c>
      <c r="N588" s="3" t="n">
        <v>-0.7882409691810608</v>
      </c>
      <c r="O588" s="3" t="n">
        <v>-0.7882409691810608</v>
      </c>
      <c r="P588" s="3" t="n">
        <v>-0.7882409691810608</v>
      </c>
      <c r="Q588" s="3" t="n">
        <v>-0.7882409691810608</v>
      </c>
      <c r="R588" s="3" t="n">
        <v>-0.7734707593917847</v>
      </c>
      <c r="S588" s="3" t="n">
        <v>-1.428548097610474</v>
      </c>
      <c r="T588" s="3" t="n">
        <v>-0.7094525694847107</v>
      </c>
      <c r="U588" s="3" t="n">
        <v>-0.8921075463294983</v>
      </c>
      <c r="V588" s="3" t="n">
        <v>-0.6829447150230408</v>
      </c>
      <c r="W588" s="3" t="n">
        <v>-0.594102144241333</v>
      </c>
      <c r="X588" s="3" t="n">
        <v>-1.3758704662323</v>
      </c>
      <c r="Y588" s="3" t="n">
        <v>-0.7882409691810608</v>
      </c>
      <c r="Z588" s="3" t="n">
        <v>-1.428548097610474</v>
      </c>
      <c r="AA588" s="3" t="n">
        <v>-1.428548097610474</v>
      </c>
      <c r="AB588" s="3" t="n">
        <v>-1.3758704662323</v>
      </c>
      <c r="AC588" s="3" t="n">
        <v>-2.170120000839233</v>
      </c>
      <c r="AD588" s="3" t="n">
        <v>-0.8921075463294983</v>
      </c>
      <c r="AE588" s="3" t="n">
        <v>-0.8921075463294983</v>
      </c>
    </row>
    <row r="589">
      <c r="A589" s="3" t="inlineStr">
        <is>
          <t>DNK.distn.dec.ove.mean.3</t>
        </is>
      </c>
      <c r="B589" s="3" t="inlineStr">
        <is>
          <t>DNK</t>
        </is>
      </c>
      <c r="C589" s="3" t="n">
        <v>2005</v>
      </c>
      <c r="D589" s="3" t="inlineStr">
        <is>
          <t>Overall</t>
        </is>
      </c>
      <c r="E589" s="3" t="inlineStr">
        <is>
          <t>Deciles</t>
        </is>
      </c>
      <c r="F589" s="3" t="inlineStr">
        <is>
          <t>mean</t>
        </is>
      </c>
      <c r="G589" s="3" t="n">
        <v>3</v>
      </c>
      <c r="H589" s="3" t="n">
        <v>-0.7882409691810608</v>
      </c>
      <c r="I589" s="3" t="n">
        <v>-0.7882409691810608</v>
      </c>
      <c r="J589" s="3" t="n">
        <v>-0.8921075463294983</v>
      </c>
      <c r="K589" s="3" t="n">
        <v>-0.8921075463294983</v>
      </c>
      <c r="L589" s="3" t="n">
        <v>-0.7882409691810608</v>
      </c>
      <c r="M589" s="3" t="n">
        <v>-0.7882409691810608</v>
      </c>
      <c r="N589" s="3" t="n">
        <v>-0.7882409691810608</v>
      </c>
      <c r="O589" s="3" t="n">
        <v>-0.7882409691810608</v>
      </c>
      <c r="P589" s="3" t="n">
        <v>-0.7882409691810608</v>
      </c>
      <c r="Q589" s="3" t="n">
        <v>-0.7882409691810608</v>
      </c>
      <c r="R589" s="3" t="n">
        <v>-0.7734707593917847</v>
      </c>
      <c r="S589" s="3" t="n">
        <v>-1.428548097610474</v>
      </c>
      <c r="T589" s="3" t="n">
        <v>-0.7094525694847107</v>
      </c>
      <c r="U589" s="3" t="n">
        <v>-0.8921075463294983</v>
      </c>
      <c r="V589" s="3" t="n">
        <v>-0.6829447150230408</v>
      </c>
      <c r="W589" s="3" t="n">
        <v>-0.594102144241333</v>
      </c>
      <c r="X589" s="3" t="n">
        <v>-1.3758704662323</v>
      </c>
      <c r="Y589" s="3" t="n">
        <v>-0.7882409691810608</v>
      </c>
      <c r="Z589" s="3" t="n">
        <v>-1.428548097610474</v>
      </c>
      <c r="AA589" s="3" t="n">
        <v>-1.428548097610474</v>
      </c>
      <c r="AB589" s="3" t="n">
        <v>-1.3758704662323</v>
      </c>
      <c r="AC589" s="3" t="n">
        <v>-2.170120000839233</v>
      </c>
      <c r="AD589" s="3" t="n">
        <v>-0.8921075463294983</v>
      </c>
      <c r="AE589" s="3" t="n">
        <v>-0.8921075463294983</v>
      </c>
    </row>
    <row r="590">
      <c r="A590" s="3" t="inlineStr">
        <is>
          <t>DNK.distn.dec.ove.mean.4</t>
        </is>
      </c>
      <c r="B590" s="3" t="inlineStr">
        <is>
          <t>DNK</t>
        </is>
      </c>
      <c r="C590" s="3" t="n">
        <v>2005</v>
      </c>
      <c r="D590" s="3" t="inlineStr">
        <is>
          <t>Overall</t>
        </is>
      </c>
      <c r="E590" s="3" t="inlineStr">
        <is>
          <t>Deciles</t>
        </is>
      </c>
      <c r="F590" s="3" t="inlineStr">
        <is>
          <t>mean</t>
        </is>
      </c>
      <c r="G590" s="3" t="n">
        <v>4</v>
      </c>
      <c r="H590" s="3" t="n">
        <v>-0.7820000052452087</v>
      </c>
      <c r="I590" s="3" t="n">
        <v>-0.7820000052452087</v>
      </c>
      <c r="J590" s="3" t="n">
        <v>-0.8489999771118164</v>
      </c>
      <c r="K590" s="3" t="n">
        <v>-0.8489999771118164</v>
      </c>
      <c r="L590" s="3" t="n">
        <v>-0.7820000052452087</v>
      </c>
      <c r="M590" s="3" t="n">
        <v>-0.7820000052452087</v>
      </c>
      <c r="N590" s="3" t="n">
        <v>-0.7820000052452087</v>
      </c>
      <c r="O590" s="3" t="n">
        <v>-0.7820000052452087</v>
      </c>
      <c r="P590" s="3" t="n">
        <v>-0.7820000052452087</v>
      </c>
      <c r="Q590" s="3" t="n">
        <v>-0.7820000052452087</v>
      </c>
      <c r="R590" s="3" t="n">
        <v>-0.7699999809265137</v>
      </c>
      <c r="S590" s="3" t="n">
        <v>-0.9729999899864197</v>
      </c>
      <c r="T590" s="3" t="n">
        <v>-0.7080000042915344</v>
      </c>
      <c r="U590" s="3" t="n">
        <v>-0.8489999771118164</v>
      </c>
      <c r="V590" s="3" t="n">
        <v>-0.6759999990463257</v>
      </c>
      <c r="W590" s="3" t="n">
        <v>-0.5</v>
      </c>
      <c r="X590" s="3" t="n">
        <v>-0.9710000157356262</v>
      </c>
      <c r="Y590" s="3" t="n">
        <v>-0.7820000052452087</v>
      </c>
      <c r="Z590" s="3" t="n">
        <v>-0.9729999899864197</v>
      </c>
      <c r="AA590" s="3" t="n">
        <v>-0.9729999899864197</v>
      </c>
      <c r="AB590" s="3" t="n">
        <v>-0.9710000157356262</v>
      </c>
      <c r="AC590" s="3" t="n">
        <v>-1.047999978065491</v>
      </c>
      <c r="AD590" s="3" t="n">
        <v>-0.8489999771118164</v>
      </c>
      <c r="AE590" s="3" t="n">
        <v>-0.8489999771118164</v>
      </c>
    </row>
    <row r="591">
      <c r="A591" s="3" t="inlineStr">
        <is>
          <t>DNK.distn.dec.ove.mean.5</t>
        </is>
      </c>
      <c r="B591" s="3" t="inlineStr">
        <is>
          <t>DNK</t>
        </is>
      </c>
      <c r="C591" s="3" t="n">
        <v>2005</v>
      </c>
      <c r="D591" s="3" t="inlineStr">
        <is>
          <t>Overall</t>
        </is>
      </c>
      <c r="E591" s="3" t="inlineStr">
        <is>
          <t>Deciles</t>
        </is>
      </c>
      <c r="F591" s="3" t="inlineStr">
        <is>
          <t>mean</t>
        </is>
      </c>
      <c r="G591" s="3" t="n">
        <v>5</v>
      </c>
      <c r="H591" s="3" t="n">
        <v>-0.7820000052452087</v>
      </c>
      <c r="I591" s="3" t="n">
        <v>-0.7820000052452087</v>
      </c>
      <c r="J591" s="3" t="n">
        <v>-0.8489999771118164</v>
      </c>
      <c r="K591" s="3" t="n">
        <v>-0.8489999771118164</v>
      </c>
      <c r="L591" s="3" t="n">
        <v>-0.7820000052452087</v>
      </c>
      <c r="M591" s="3" t="n">
        <v>-0.7820000052452087</v>
      </c>
      <c r="N591" s="3" t="n">
        <v>-0.7820000052452087</v>
      </c>
      <c r="O591" s="3" t="n">
        <v>-0.7820000052452087</v>
      </c>
      <c r="P591" s="3" t="n">
        <v>-0.7820000052452087</v>
      </c>
      <c r="Q591" s="3" t="n">
        <v>-0.7820000052452087</v>
      </c>
      <c r="R591" s="3" t="n">
        <v>-0.7699999809265137</v>
      </c>
      <c r="S591" s="3" t="n">
        <v>-0.9729999899864197</v>
      </c>
      <c r="T591" s="3" t="n">
        <v>-0.7080000042915344</v>
      </c>
      <c r="U591" s="3" t="n">
        <v>-0.8489999771118164</v>
      </c>
      <c r="V591" s="3" t="n">
        <v>-0.6759999990463257</v>
      </c>
      <c r="W591" s="3" t="n">
        <v>-0.5</v>
      </c>
      <c r="X591" s="3" t="n">
        <v>-0.9710000157356262</v>
      </c>
      <c r="Y591" s="3" t="n">
        <v>-0.7820000052452087</v>
      </c>
      <c r="Z591" s="3" t="n">
        <v>-0.9729999899864197</v>
      </c>
      <c r="AA591" s="3" t="n">
        <v>-0.9729999899864197</v>
      </c>
      <c r="AB591" s="3" t="n">
        <v>-0.9710000157356262</v>
      </c>
      <c r="AC591" s="3" t="n">
        <v>-1.047999978065491</v>
      </c>
      <c r="AD591" s="3" t="n">
        <v>-0.8489999771118164</v>
      </c>
      <c r="AE591" s="3" t="n">
        <v>-0.8489999771118164</v>
      </c>
    </row>
    <row r="592">
      <c r="A592" s="3" t="inlineStr">
        <is>
          <t>DNK.distn.dec.ove.mean.6</t>
        </is>
      </c>
      <c r="B592" s="3" t="inlineStr">
        <is>
          <t>DNK</t>
        </is>
      </c>
      <c r="C592" s="3" t="n">
        <v>2005</v>
      </c>
      <c r="D592" s="3" t="inlineStr">
        <is>
          <t>Overall</t>
        </is>
      </c>
      <c r="E592" s="3" t="inlineStr">
        <is>
          <t>Deciles</t>
        </is>
      </c>
      <c r="F592" s="3" t="inlineStr">
        <is>
          <t>mean</t>
        </is>
      </c>
      <c r="G592" s="3" t="n">
        <v>6</v>
      </c>
      <c r="H592" s="3" t="n">
        <v>-0.7820000052452087</v>
      </c>
      <c r="I592" s="3" t="n">
        <v>-0.7820000052452087</v>
      </c>
      <c r="J592" s="3" t="n">
        <v>-0.8489999771118164</v>
      </c>
      <c r="K592" s="3" t="n">
        <v>-0.8489999771118164</v>
      </c>
      <c r="L592" s="3" t="n">
        <v>-0.7820000052452087</v>
      </c>
      <c r="M592" s="3" t="n">
        <v>-0.7820000052452087</v>
      </c>
      <c r="N592" s="3" t="n">
        <v>-0.7820000052452087</v>
      </c>
      <c r="O592" s="3" t="n">
        <v>-0.7820000052452087</v>
      </c>
      <c r="P592" s="3" t="n">
        <v>-0.7820000052452087</v>
      </c>
      <c r="Q592" s="3" t="n">
        <v>-0.7820000052452087</v>
      </c>
      <c r="R592" s="3" t="n">
        <v>-0.7699999809265137</v>
      </c>
      <c r="S592" s="3" t="n">
        <v>-0.9729999899864197</v>
      </c>
      <c r="T592" s="3" t="n">
        <v>-0.7080000042915344</v>
      </c>
      <c r="U592" s="3" t="n">
        <v>-0.8489999771118164</v>
      </c>
      <c r="V592" s="3" t="n">
        <v>-0.6759999990463257</v>
      </c>
      <c r="W592" s="3" t="n">
        <v>-0.5</v>
      </c>
      <c r="X592" s="3" t="n">
        <v>-0.9710000157356262</v>
      </c>
      <c r="Y592" s="3" t="n">
        <v>-0.7820000052452087</v>
      </c>
      <c r="Z592" s="3" t="n">
        <v>-0.9729999899864197</v>
      </c>
      <c r="AA592" s="3" t="n">
        <v>-0.9729999899864197</v>
      </c>
      <c r="AB592" s="3" t="n">
        <v>-0.9710000157356262</v>
      </c>
      <c r="AC592" s="3" t="n">
        <v>-1.047999978065491</v>
      </c>
      <c r="AD592" s="3" t="n">
        <v>-0.8489999771118164</v>
      </c>
      <c r="AE592" s="3" t="n">
        <v>-0.8489999771118164</v>
      </c>
    </row>
    <row r="593">
      <c r="A593" s="3" t="inlineStr">
        <is>
          <t>DNK.distn.dec.ove.mean.7</t>
        </is>
      </c>
      <c r="B593" s="3" t="inlineStr">
        <is>
          <t>DNK</t>
        </is>
      </c>
      <c r="C593" s="3" t="n">
        <v>2005</v>
      </c>
      <c r="D593" s="3" t="inlineStr">
        <is>
          <t>Overall</t>
        </is>
      </c>
      <c r="E593" s="3" t="inlineStr">
        <is>
          <t>Deciles</t>
        </is>
      </c>
      <c r="F593" s="3" t="inlineStr">
        <is>
          <t>mean</t>
        </is>
      </c>
      <c r="G593" s="3" t="n">
        <v>7</v>
      </c>
      <c r="H593" s="3" t="n">
        <v>-0.7820000052452087</v>
      </c>
      <c r="I593" s="3" t="n">
        <v>-0.7820000052452087</v>
      </c>
      <c r="J593" s="3" t="n">
        <v>-0.8489999771118164</v>
      </c>
      <c r="K593" s="3" t="n">
        <v>-0.8489999771118164</v>
      </c>
      <c r="L593" s="3" t="n">
        <v>-0.7820000052452087</v>
      </c>
      <c r="M593" s="3" t="n">
        <v>-0.7820000052452087</v>
      </c>
      <c r="N593" s="3" t="n">
        <v>-0.7820000052452087</v>
      </c>
      <c r="O593" s="3" t="n">
        <v>-0.7820000052452087</v>
      </c>
      <c r="P593" s="3" t="n">
        <v>-0.7820000052452087</v>
      </c>
      <c r="Q593" s="3" t="n">
        <v>-0.7820000052452087</v>
      </c>
      <c r="R593" s="3" t="n">
        <v>-0.7699999809265137</v>
      </c>
      <c r="S593" s="3" t="n">
        <v>-0.9729999899864197</v>
      </c>
      <c r="T593" s="3" t="n">
        <v>-0.7080000042915344</v>
      </c>
      <c r="U593" s="3" t="n">
        <v>-0.8489999771118164</v>
      </c>
      <c r="V593" s="3" t="n">
        <v>-0.6759999990463257</v>
      </c>
      <c r="W593" s="3" t="n">
        <v>-0.5</v>
      </c>
      <c r="X593" s="3" t="n">
        <v>-0.9710000157356262</v>
      </c>
      <c r="Y593" s="3" t="n">
        <v>-0.7820000052452087</v>
      </c>
      <c r="Z593" s="3" t="n">
        <v>-0.9729999899864197</v>
      </c>
      <c r="AA593" s="3" t="n">
        <v>-0.9729999899864197</v>
      </c>
      <c r="AB593" s="3" t="n">
        <v>-0.9710000157356262</v>
      </c>
      <c r="AC593" s="3" t="n">
        <v>-1.047999978065491</v>
      </c>
      <c r="AD593" s="3" t="n">
        <v>-0.8489999771118164</v>
      </c>
      <c r="AE593" s="3" t="n">
        <v>-0.8489999771118164</v>
      </c>
    </row>
    <row r="594">
      <c r="A594" s="3" t="inlineStr">
        <is>
          <t>DNK.distn.dec.ove.mean.8</t>
        </is>
      </c>
      <c r="B594" s="3" t="inlineStr">
        <is>
          <t>DNK</t>
        </is>
      </c>
      <c r="C594" s="3" t="n">
        <v>2005</v>
      </c>
      <c r="D594" s="3" t="inlineStr">
        <is>
          <t>Overall</t>
        </is>
      </c>
      <c r="E594" s="3" t="inlineStr">
        <is>
          <t>Deciles</t>
        </is>
      </c>
      <c r="F594" s="3" t="inlineStr">
        <is>
          <t>mean</t>
        </is>
      </c>
      <c r="G594" s="3" t="n">
        <v>8</v>
      </c>
      <c r="H594" s="3" t="n">
        <v>-0.782376766204834</v>
      </c>
      <c r="I594" s="3" t="n">
        <v>-0.782376766204834</v>
      </c>
      <c r="J594" s="3" t="n">
        <v>-0.851290225982666</v>
      </c>
      <c r="K594" s="3" t="n">
        <v>-0.851290225982666</v>
      </c>
      <c r="L594" s="3" t="n">
        <v>-0.782376766204834</v>
      </c>
      <c r="M594" s="3" t="n">
        <v>-0.782376766204834</v>
      </c>
      <c r="N594" s="3" t="n">
        <v>-0.782376766204834</v>
      </c>
      <c r="O594" s="3" t="n">
        <v>-0.782376766204834</v>
      </c>
      <c r="P594" s="3" t="n">
        <v>-0.782376766204834</v>
      </c>
      <c r="Q594" s="3" t="n">
        <v>-0.782376766204834</v>
      </c>
      <c r="R594" s="3" t="n">
        <v>-0.7702532410621643</v>
      </c>
      <c r="S594" s="3" t="n">
        <v>-0.9820538759231567</v>
      </c>
      <c r="T594" s="3" t="n">
        <v>-0.7080408334732056</v>
      </c>
      <c r="U594" s="3" t="n">
        <v>-0.851290225982666</v>
      </c>
      <c r="V594" s="3" t="n">
        <v>-0.6766988039016724</v>
      </c>
      <c r="W594" s="3" t="n">
        <v>-0.5133894085884094</v>
      </c>
      <c r="X594" s="3" t="n">
        <v>-0.9798477292060852</v>
      </c>
      <c r="Y594" s="3" t="n">
        <v>-0.782376766204834</v>
      </c>
      <c r="Z594" s="3" t="n">
        <v>-0.9820538759231567</v>
      </c>
      <c r="AA594" s="3" t="n">
        <v>-0.9820538759231567</v>
      </c>
      <c r="AB594" s="3" t="n">
        <v>-0.9798477292060852</v>
      </c>
      <c r="AC594" s="3" t="n">
        <v>-1.06294584274292</v>
      </c>
      <c r="AD594" s="3" t="n">
        <v>-0.851290225982666</v>
      </c>
      <c r="AE594" s="3" t="n">
        <v>-0.851290225982666</v>
      </c>
    </row>
    <row r="595">
      <c r="A595" s="3" t="inlineStr">
        <is>
          <t>DNK.distn.dec.ove.mean.9</t>
        </is>
      </c>
      <c r="B595" s="3" t="inlineStr">
        <is>
          <t>DNK</t>
        </is>
      </c>
      <c r="C595" s="3" t="n">
        <v>2005</v>
      </c>
      <c r="D595" s="3" t="inlineStr">
        <is>
          <t>Overall</t>
        </is>
      </c>
      <c r="E595" s="3" t="inlineStr">
        <is>
          <t>Deciles</t>
        </is>
      </c>
      <c r="F595" s="3" t="inlineStr">
        <is>
          <t>mean</t>
        </is>
      </c>
      <c r="G595" s="3" t="n">
        <v>9</v>
      </c>
      <c r="H595" s="3" t="n">
        <v>-0.782376766204834</v>
      </c>
      <c r="I595" s="3" t="n">
        <v>-0.782376766204834</v>
      </c>
      <c r="J595" s="3" t="n">
        <v>-0.851290225982666</v>
      </c>
      <c r="K595" s="3" t="n">
        <v>-0.851290225982666</v>
      </c>
      <c r="L595" s="3" t="n">
        <v>-0.782376766204834</v>
      </c>
      <c r="M595" s="3" t="n">
        <v>-0.782376766204834</v>
      </c>
      <c r="N595" s="3" t="n">
        <v>-0.782376766204834</v>
      </c>
      <c r="O595" s="3" t="n">
        <v>-0.782376766204834</v>
      </c>
      <c r="P595" s="3" t="n">
        <v>-0.782376766204834</v>
      </c>
      <c r="Q595" s="3" t="n">
        <v>-0.782376766204834</v>
      </c>
      <c r="R595" s="3" t="n">
        <v>-0.7702532410621643</v>
      </c>
      <c r="S595" s="3" t="n">
        <v>-0.9820538759231567</v>
      </c>
      <c r="T595" s="3" t="n">
        <v>-0.7080408334732056</v>
      </c>
      <c r="U595" s="3" t="n">
        <v>-0.851290225982666</v>
      </c>
      <c r="V595" s="3" t="n">
        <v>-0.6766988039016724</v>
      </c>
      <c r="W595" s="3" t="n">
        <v>-0.5133894085884094</v>
      </c>
      <c r="X595" s="3" t="n">
        <v>-0.9798477292060852</v>
      </c>
      <c r="Y595" s="3" t="n">
        <v>-0.782376766204834</v>
      </c>
      <c r="Z595" s="3" t="n">
        <v>-0.9820538759231567</v>
      </c>
      <c r="AA595" s="3" t="n">
        <v>-0.9820538759231567</v>
      </c>
      <c r="AB595" s="3" t="n">
        <v>-0.9798477292060852</v>
      </c>
      <c r="AC595" s="3" t="n">
        <v>-1.06294584274292</v>
      </c>
      <c r="AD595" s="3" t="n">
        <v>-0.851290225982666</v>
      </c>
      <c r="AE595" s="3" t="n">
        <v>-0.851290225982666</v>
      </c>
    </row>
    <row r="596">
      <c r="A596" s="3" t="inlineStr">
        <is>
          <t>DNK.distn.dec.ove.mean.10</t>
        </is>
      </c>
      <c r="B596" s="3" t="inlineStr">
        <is>
          <t>DNK</t>
        </is>
      </c>
      <c r="C596" s="3" t="n">
        <v>2005</v>
      </c>
      <c r="D596" s="3" t="inlineStr">
        <is>
          <t>Overall</t>
        </is>
      </c>
      <c r="E596" s="3" t="inlineStr">
        <is>
          <t>Deciles</t>
        </is>
      </c>
      <c r="F596" s="3" t="inlineStr">
        <is>
          <t>mean</t>
        </is>
      </c>
      <c r="G596" s="3" t="n">
        <v>10</v>
      </c>
      <c r="H596" s="3" t="n">
        <v>-0.782376766204834</v>
      </c>
      <c r="I596" s="3" t="n">
        <v>-0.782376766204834</v>
      </c>
      <c r="J596" s="3" t="n">
        <v>-0.851290225982666</v>
      </c>
      <c r="K596" s="3" t="n">
        <v>-0.851290225982666</v>
      </c>
      <c r="L596" s="3" t="n">
        <v>-0.782376766204834</v>
      </c>
      <c r="M596" s="3" t="n">
        <v>-0.782376766204834</v>
      </c>
      <c r="N596" s="3" t="n">
        <v>-0.782376766204834</v>
      </c>
      <c r="O596" s="3" t="n">
        <v>-0.782376766204834</v>
      </c>
      <c r="P596" s="3" t="n">
        <v>-0.782376766204834</v>
      </c>
      <c r="Q596" s="3" t="n">
        <v>-0.782376766204834</v>
      </c>
      <c r="R596" s="3" t="n">
        <v>-0.7702532410621643</v>
      </c>
      <c r="S596" s="3" t="n">
        <v>-0.9820538759231567</v>
      </c>
      <c r="T596" s="3" t="n">
        <v>-0.7080408334732056</v>
      </c>
      <c r="U596" s="3" t="n">
        <v>-0.851290225982666</v>
      </c>
      <c r="V596" s="3" t="n">
        <v>-0.6766988039016724</v>
      </c>
      <c r="W596" s="3" t="n">
        <v>-0.5133894085884094</v>
      </c>
      <c r="X596" s="3" t="n">
        <v>-0.9798477292060852</v>
      </c>
      <c r="Y596" s="3" t="n">
        <v>-0.782376766204834</v>
      </c>
      <c r="Z596" s="3" t="n">
        <v>-0.9820538759231567</v>
      </c>
      <c r="AA596" s="3" t="n">
        <v>-0.9820538759231567</v>
      </c>
      <c r="AB596" s="3" t="n">
        <v>-0.9798477292060852</v>
      </c>
      <c r="AC596" s="3" t="n">
        <v>-1.06294584274292</v>
      </c>
      <c r="AD596" s="3" t="n">
        <v>-0.851290225982666</v>
      </c>
      <c r="AE596" s="3" t="n">
        <v>-0.851290225982666</v>
      </c>
    </row>
    <row r="597">
      <c r="A597" s="3" t="inlineStr">
        <is>
          <t>DNK.distn.bkt.ove.mean.9999</t>
        </is>
      </c>
      <c r="B597" s="3" t="inlineStr">
        <is>
          <t>DNK</t>
        </is>
      </c>
      <c r="C597" s="3" t="n">
        <v>2005</v>
      </c>
      <c r="D597" s="3" t="inlineStr">
        <is>
          <t>Overall</t>
        </is>
      </c>
      <c r="E597" s="3" t="inlineStr">
        <is>
          <t>Basket</t>
        </is>
      </c>
      <c r="F597" s="3" t="inlineStr">
        <is>
          <t>mean</t>
        </is>
      </c>
      <c r="G597" s="3" t="n">
        <v>9999</v>
      </c>
      <c r="H597" s="3" t="n">
        <v>-0.7839853167533875</v>
      </c>
      <c r="I597" s="3" t="n">
        <v>-0.7839853167533875</v>
      </c>
      <c r="J597" s="3" t="n">
        <v>-0.8626193404197693</v>
      </c>
      <c r="K597" s="3" t="n">
        <v>-0.8626193404197693</v>
      </c>
      <c r="L597" s="3" t="n">
        <v>-0.7839853167533875</v>
      </c>
      <c r="M597" s="3" t="n">
        <v>-0.7839853167533875</v>
      </c>
      <c r="N597" s="3" t="n">
        <v>-0.7839853167533875</v>
      </c>
      <c r="O597" s="3" t="n">
        <v>-0.7839853167533875</v>
      </c>
      <c r="P597" s="3" t="n">
        <v>-0.7839853167533875</v>
      </c>
      <c r="Q597" s="3" t="n">
        <v>-0.7839853167533875</v>
      </c>
      <c r="R597" s="3" t="n">
        <v>-0.7711172103881836</v>
      </c>
      <c r="S597" s="3" t="n">
        <v>-1.112380623817444</v>
      </c>
      <c r="T597" s="3" t="n">
        <v>-0.708448052406311</v>
      </c>
      <c r="U597" s="3" t="n">
        <v>-0.8626193404197693</v>
      </c>
      <c r="V597" s="3" t="n">
        <v>-0.6782930493354797</v>
      </c>
      <c r="W597" s="3" t="n">
        <v>-0.5322474837303162</v>
      </c>
      <c r="X597" s="3" t="n">
        <v>-1.095115423202515</v>
      </c>
      <c r="Y597" s="3" t="n">
        <v>-0.7839853167533875</v>
      </c>
      <c r="Z597" s="3" t="n">
        <v>-1.112380623817444</v>
      </c>
      <c r="AA597" s="3" t="n">
        <v>-1.112380623817444</v>
      </c>
      <c r="AB597" s="3" t="n">
        <v>-1.095115423202515</v>
      </c>
      <c r="AC597" s="3" t="n">
        <v>-1.389119744300842</v>
      </c>
      <c r="AD597" s="3" t="n">
        <v>-0.8626193404197693</v>
      </c>
      <c r="AE597" s="3" t="n">
        <v>-0.8626193404197693</v>
      </c>
    </row>
    <row r="598">
      <c r="A598" s="3" t="inlineStr">
        <is>
          <t>DOM.distn.dec.ove.mean.1</t>
        </is>
      </c>
      <c r="B598" s="3" t="inlineStr">
        <is>
          <t>DOM</t>
        </is>
      </c>
      <c r="C598" s="3" t="n">
        <v>2005</v>
      </c>
      <c r="D598" s="3" t="inlineStr">
        <is>
          <t>Overall</t>
        </is>
      </c>
      <c r="E598" s="3" t="inlineStr">
        <is>
          <t>Deciles</t>
        </is>
      </c>
      <c r="F598" s="3" t="inlineStr">
        <is>
          <t>mean</t>
        </is>
      </c>
      <c r="G598" s="3" t="n">
        <v>1</v>
      </c>
      <c r="H598" s="3" t="n">
        <v>-0.7898249251501901</v>
      </c>
      <c r="I598" s="3" t="n">
        <v>-0.7898249251501901</v>
      </c>
      <c r="J598" s="3" t="n">
        <v>-0.9006037865366254</v>
      </c>
      <c r="K598" s="3" t="n">
        <v>-0.9006037865366254</v>
      </c>
      <c r="L598" s="3" t="n">
        <v>-0.7898249251501901</v>
      </c>
      <c r="M598" s="3" t="n">
        <v>-0.7898249251501901</v>
      </c>
      <c r="N598" s="3" t="n">
        <v>-0.7898249251501901</v>
      </c>
      <c r="O598" s="3" t="n">
        <v>-0.7898249251501901</v>
      </c>
      <c r="P598" s="3" t="n">
        <v>-0.7898249251501901</v>
      </c>
      <c r="Q598" s="3" t="n">
        <v>-0.7898249251501901</v>
      </c>
      <c r="R598" s="3" t="n">
        <v>-0.7744465725762504</v>
      </c>
      <c r="S598" s="3" t="n">
        <v>-1.490841317176819</v>
      </c>
      <c r="T598" s="3" t="n">
        <v>-0.7100824441228594</v>
      </c>
      <c r="U598" s="3" t="n">
        <v>-0.9006037865366254</v>
      </c>
      <c r="V598" s="3" t="n">
        <v>-0.6846477542604719</v>
      </c>
      <c r="W598" s="3" t="n">
        <v>-0.6204802887780326</v>
      </c>
      <c r="X598" s="3" t="n">
        <v>-1.433480068615505</v>
      </c>
      <c r="Y598" s="3" t="n">
        <v>-0.7898249251501901</v>
      </c>
      <c r="Z598" s="3" t="n">
        <v>-1.490841317176819</v>
      </c>
      <c r="AA598" s="3" t="n">
        <v>-1.490841317176819</v>
      </c>
      <c r="AB598" s="3" t="n">
        <v>-1.433480068615505</v>
      </c>
      <c r="AC598" s="3" t="n">
        <v>-2.345895099639892</v>
      </c>
      <c r="AD598" s="3" t="n">
        <v>-0.9006037865366254</v>
      </c>
      <c r="AE598" s="3" t="n">
        <v>-0.9006037865366254</v>
      </c>
    </row>
    <row r="599">
      <c r="A599" s="3" t="inlineStr">
        <is>
          <t>DOM.distn.dec.ove.mean.2</t>
        </is>
      </c>
      <c r="B599" s="3" t="inlineStr">
        <is>
          <t>DOM</t>
        </is>
      </c>
      <c r="C599" s="3" t="n">
        <v>2005</v>
      </c>
      <c r="D599" s="3" t="inlineStr">
        <is>
          <t>Overall</t>
        </is>
      </c>
      <c r="E599" s="3" t="inlineStr">
        <is>
          <t>Deciles</t>
        </is>
      </c>
      <c r="F599" s="3" t="inlineStr">
        <is>
          <t>mean</t>
        </is>
      </c>
      <c r="G599" s="3" t="n">
        <v>2</v>
      </c>
      <c r="H599" s="3" t="n">
        <v>-0.7898249251501901</v>
      </c>
      <c r="I599" s="3" t="n">
        <v>-0.7898249251501901</v>
      </c>
      <c r="J599" s="3" t="n">
        <v>-0.9006037865366254</v>
      </c>
      <c r="K599" s="3" t="n">
        <v>-0.9006037865366254</v>
      </c>
      <c r="L599" s="3" t="n">
        <v>-0.7898249251501901</v>
      </c>
      <c r="M599" s="3" t="n">
        <v>-0.7898249251501901</v>
      </c>
      <c r="N599" s="3" t="n">
        <v>-0.7898249251501901</v>
      </c>
      <c r="O599" s="3" t="n">
        <v>-0.7898249251501901</v>
      </c>
      <c r="P599" s="3" t="n">
        <v>-0.7898249251501901</v>
      </c>
      <c r="Q599" s="3" t="n">
        <v>-0.7898249251501901</v>
      </c>
      <c r="R599" s="3" t="n">
        <v>-0.7744465725762504</v>
      </c>
      <c r="S599" s="3" t="n">
        <v>-1.490841317176819</v>
      </c>
      <c r="T599" s="3" t="n">
        <v>-0.7100824441228594</v>
      </c>
      <c r="U599" s="3" t="n">
        <v>-0.9006037865366254</v>
      </c>
      <c r="V599" s="3" t="n">
        <v>-0.6846477542604719</v>
      </c>
      <c r="W599" s="3" t="n">
        <v>-0.6204802887780326</v>
      </c>
      <c r="X599" s="3" t="n">
        <v>-1.433480068615505</v>
      </c>
      <c r="Y599" s="3" t="n">
        <v>-0.7898249251501901</v>
      </c>
      <c r="Z599" s="3" t="n">
        <v>-1.490841317176819</v>
      </c>
      <c r="AA599" s="3" t="n">
        <v>-1.490841317176819</v>
      </c>
      <c r="AB599" s="3" t="n">
        <v>-1.433480068615505</v>
      </c>
      <c r="AC599" s="3" t="n">
        <v>-2.345895099639892</v>
      </c>
      <c r="AD599" s="3" t="n">
        <v>-0.9006037865366254</v>
      </c>
      <c r="AE599" s="3" t="n">
        <v>-0.9006037865366254</v>
      </c>
    </row>
    <row r="600">
      <c r="A600" s="3" t="inlineStr">
        <is>
          <t>DOM.distn.dec.ove.mean.3</t>
        </is>
      </c>
      <c r="B600" s="3" t="inlineStr">
        <is>
          <t>DOM</t>
        </is>
      </c>
      <c r="C600" s="3" t="n">
        <v>2005</v>
      </c>
      <c r="D600" s="3" t="inlineStr">
        <is>
          <t>Overall</t>
        </is>
      </c>
      <c r="E600" s="3" t="inlineStr">
        <is>
          <t>Deciles</t>
        </is>
      </c>
      <c r="F600" s="3" t="inlineStr">
        <is>
          <t>mean</t>
        </is>
      </c>
      <c r="G600" s="3" t="n">
        <v>3</v>
      </c>
      <c r="H600" s="3" t="n">
        <v>-0.7898249251501901</v>
      </c>
      <c r="I600" s="3" t="n">
        <v>-0.7898249251501901</v>
      </c>
      <c r="J600" s="3" t="n">
        <v>-0.9006037865366254</v>
      </c>
      <c r="K600" s="3" t="n">
        <v>-0.9006037865366254</v>
      </c>
      <c r="L600" s="3" t="n">
        <v>-0.7898249251501901</v>
      </c>
      <c r="M600" s="3" t="n">
        <v>-0.7898249251501901</v>
      </c>
      <c r="N600" s="3" t="n">
        <v>-0.7898249251501901</v>
      </c>
      <c r="O600" s="3" t="n">
        <v>-0.7898249251501901</v>
      </c>
      <c r="P600" s="3" t="n">
        <v>-0.7898249251501901</v>
      </c>
      <c r="Q600" s="3" t="n">
        <v>-0.7898249251501901</v>
      </c>
      <c r="R600" s="3" t="n">
        <v>-0.7744465725762504</v>
      </c>
      <c r="S600" s="3" t="n">
        <v>-1.490841317176819</v>
      </c>
      <c r="T600" s="3" t="n">
        <v>-0.7100824441228594</v>
      </c>
      <c r="U600" s="3" t="n">
        <v>-0.9006037865366254</v>
      </c>
      <c r="V600" s="3" t="n">
        <v>-0.6846477542604719</v>
      </c>
      <c r="W600" s="3" t="n">
        <v>-0.6204802887780326</v>
      </c>
      <c r="X600" s="3" t="n">
        <v>-1.433480068615505</v>
      </c>
      <c r="Y600" s="3" t="n">
        <v>-0.7898249251501901</v>
      </c>
      <c r="Z600" s="3" t="n">
        <v>-1.490841317176819</v>
      </c>
      <c r="AA600" s="3" t="n">
        <v>-1.490841317176819</v>
      </c>
      <c r="AB600" s="3" t="n">
        <v>-1.433480068615505</v>
      </c>
      <c r="AC600" s="3" t="n">
        <v>-2.345895099639892</v>
      </c>
      <c r="AD600" s="3" t="n">
        <v>-0.9006037865366254</v>
      </c>
      <c r="AE600" s="3" t="n">
        <v>-0.9006037865366254</v>
      </c>
    </row>
    <row r="601">
      <c r="A601" s="3" t="inlineStr">
        <is>
          <t>DOM.distn.dec.ove.mean.4</t>
        </is>
      </c>
      <c r="B601" s="3" t="inlineStr">
        <is>
          <t>DOM</t>
        </is>
      </c>
      <c r="C601" s="3" t="n">
        <v>2005</v>
      </c>
      <c r="D601" s="3" t="inlineStr">
        <is>
          <t>Overall</t>
        </is>
      </c>
      <c r="E601" s="3" t="inlineStr">
        <is>
          <t>Deciles</t>
        </is>
      </c>
      <c r="F601" s="3" t="inlineStr">
        <is>
          <t>mean</t>
        </is>
      </c>
      <c r="G601" s="3" t="n">
        <v>4</v>
      </c>
      <c r="H601" s="3" t="n">
        <v>-0.7835714289120266</v>
      </c>
      <c r="I601" s="3" t="n">
        <v>-0.7835714289120266</v>
      </c>
      <c r="J601" s="3" t="n">
        <v>-0.8570857082094465</v>
      </c>
      <c r="K601" s="3" t="n">
        <v>-0.8570857082094465</v>
      </c>
      <c r="L601" s="3" t="n">
        <v>-0.7835714289120266</v>
      </c>
      <c r="M601" s="3" t="n">
        <v>-0.7835714289120266</v>
      </c>
      <c r="N601" s="3" t="n">
        <v>-0.7835714289120266</v>
      </c>
      <c r="O601" s="3" t="n">
        <v>-0.7835714289120266</v>
      </c>
      <c r="P601" s="3" t="n">
        <v>-0.7835714289120266</v>
      </c>
      <c r="Q601" s="3" t="n">
        <v>-0.7835714289120266</v>
      </c>
      <c r="R601" s="3" t="n">
        <v>-0.7709714361599513</v>
      </c>
      <c r="S601" s="3" t="n">
        <v>-1.015428565229688</v>
      </c>
      <c r="T601" s="3" t="n">
        <v>-0.708628567627498</v>
      </c>
      <c r="U601" s="3" t="n">
        <v>-0.8570857082094465</v>
      </c>
      <c r="V601" s="3" t="n">
        <v>-0.6776857103620256</v>
      </c>
      <c r="W601" s="3" t="n">
        <v>-0.5221999968801226</v>
      </c>
      <c r="X601" s="3" t="n">
        <v>-1.011657135827201</v>
      </c>
      <c r="Y601" s="3" t="n">
        <v>-0.7835714289120266</v>
      </c>
      <c r="Z601" s="3" t="n">
        <v>-1.015428565229688</v>
      </c>
      <c r="AA601" s="3" t="n">
        <v>-1.015428565229688</v>
      </c>
      <c r="AB601" s="3" t="n">
        <v>-1.011657135827201</v>
      </c>
      <c r="AC601" s="3" t="n">
        <v>-1.132885714939662</v>
      </c>
      <c r="AD601" s="3" t="n">
        <v>-0.8570857082094465</v>
      </c>
      <c r="AE601" s="3" t="n">
        <v>-0.8570857082094465</v>
      </c>
    </row>
    <row r="602">
      <c r="A602" s="3" t="inlineStr">
        <is>
          <t>DOM.distn.dec.ove.mean.5</t>
        </is>
      </c>
      <c r="B602" s="3" t="inlineStr">
        <is>
          <t>DOM</t>
        </is>
      </c>
      <c r="C602" s="3" t="n">
        <v>2005</v>
      </c>
      <c r="D602" s="3" t="inlineStr">
        <is>
          <t>Overall</t>
        </is>
      </c>
      <c r="E602" s="3" t="inlineStr">
        <is>
          <t>Deciles</t>
        </is>
      </c>
      <c r="F602" s="3" t="inlineStr">
        <is>
          <t>mean</t>
        </is>
      </c>
      <c r="G602" s="3" t="n">
        <v>5</v>
      </c>
      <c r="H602" s="3" t="n">
        <v>-0.7835714289120266</v>
      </c>
      <c r="I602" s="3" t="n">
        <v>-0.7835714289120266</v>
      </c>
      <c r="J602" s="3" t="n">
        <v>-0.8570857082094465</v>
      </c>
      <c r="K602" s="3" t="n">
        <v>-0.8570857082094465</v>
      </c>
      <c r="L602" s="3" t="n">
        <v>-0.7835714289120266</v>
      </c>
      <c r="M602" s="3" t="n">
        <v>-0.7835714289120266</v>
      </c>
      <c r="N602" s="3" t="n">
        <v>-0.7835714289120266</v>
      </c>
      <c r="O602" s="3" t="n">
        <v>-0.7835714289120266</v>
      </c>
      <c r="P602" s="3" t="n">
        <v>-0.7835714289120266</v>
      </c>
      <c r="Q602" s="3" t="n">
        <v>-0.7835714289120266</v>
      </c>
      <c r="R602" s="3" t="n">
        <v>-0.7709714361599513</v>
      </c>
      <c r="S602" s="3" t="n">
        <v>-1.015428565229688</v>
      </c>
      <c r="T602" s="3" t="n">
        <v>-0.708628567627498</v>
      </c>
      <c r="U602" s="3" t="n">
        <v>-0.8570857082094465</v>
      </c>
      <c r="V602" s="3" t="n">
        <v>-0.6776857103620256</v>
      </c>
      <c r="W602" s="3" t="n">
        <v>-0.5221999968801226</v>
      </c>
      <c r="X602" s="3" t="n">
        <v>-1.011657135827201</v>
      </c>
      <c r="Y602" s="3" t="n">
        <v>-0.7835714289120266</v>
      </c>
      <c r="Z602" s="3" t="n">
        <v>-1.015428565229688</v>
      </c>
      <c r="AA602" s="3" t="n">
        <v>-1.015428565229688</v>
      </c>
      <c r="AB602" s="3" t="n">
        <v>-1.011657135827201</v>
      </c>
      <c r="AC602" s="3" t="n">
        <v>-1.132885714939662</v>
      </c>
      <c r="AD602" s="3" t="n">
        <v>-0.8570857082094465</v>
      </c>
      <c r="AE602" s="3" t="n">
        <v>-0.8570857082094465</v>
      </c>
    </row>
    <row r="603">
      <c r="A603" s="3" t="inlineStr">
        <is>
          <t>DOM.distn.dec.ove.mean.6</t>
        </is>
      </c>
      <c r="B603" s="3" t="inlineStr">
        <is>
          <t>DOM</t>
        </is>
      </c>
      <c r="C603" s="3" t="n">
        <v>2005</v>
      </c>
      <c r="D603" s="3" t="inlineStr">
        <is>
          <t>Overall</t>
        </is>
      </c>
      <c r="E603" s="3" t="inlineStr">
        <is>
          <t>Deciles</t>
        </is>
      </c>
      <c r="F603" s="3" t="inlineStr">
        <is>
          <t>mean</t>
        </is>
      </c>
      <c r="G603" s="3" t="n">
        <v>6</v>
      </c>
      <c r="H603" s="3" t="n">
        <v>-0.7835714289120266</v>
      </c>
      <c r="I603" s="3" t="n">
        <v>-0.7835714289120266</v>
      </c>
      <c r="J603" s="3" t="n">
        <v>-0.8570857082094465</v>
      </c>
      <c r="K603" s="3" t="n">
        <v>-0.8570857082094465</v>
      </c>
      <c r="L603" s="3" t="n">
        <v>-0.7835714289120266</v>
      </c>
      <c r="M603" s="3" t="n">
        <v>-0.7835714289120266</v>
      </c>
      <c r="N603" s="3" t="n">
        <v>-0.7835714289120266</v>
      </c>
      <c r="O603" s="3" t="n">
        <v>-0.7835714289120266</v>
      </c>
      <c r="P603" s="3" t="n">
        <v>-0.7835714289120266</v>
      </c>
      <c r="Q603" s="3" t="n">
        <v>-0.7835714289120266</v>
      </c>
      <c r="R603" s="3" t="n">
        <v>-0.7709714361599513</v>
      </c>
      <c r="S603" s="3" t="n">
        <v>-1.015428565229688</v>
      </c>
      <c r="T603" s="3" t="n">
        <v>-0.708628567627498</v>
      </c>
      <c r="U603" s="3" t="n">
        <v>-0.8570857082094465</v>
      </c>
      <c r="V603" s="3" t="n">
        <v>-0.6776857103620256</v>
      </c>
      <c r="W603" s="3" t="n">
        <v>-0.5221999968801226</v>
      </c>
      <c r="X603" s="3" t="n">
        <v>-1.011657135827201</v>
      </c>
      <c r="Y603" s="3" t="n">
        <v>-0.7835714289120266</v>
      </c>
      <c r="Z603" s="3" t="n">
        <v>-1.015428565229688</v>
      </c>
      <c r="AA603" s="3" t="n">
        <v>-1.015428565229688</v>
      </c>
      <c r="AB603" s="3" t="n">
        <v>-1.011657135827201</v>
      </c>
      <c r="AC603" s="3" t="n">
        <v>-1.132885714939662</v>
      </c>
      <c r="AD603" s="3" t="n">
        <v>-0.8570857082094465</v>
      </c>
      <c r="AE603" s="3" t="n">
        <v>-0.8570857082094465</v>
      </c>
    </row>
    <row r="604">
      <c r="A604" s="3" t="inlineStr">
        <is>
          <t>DOM.distn.dec.ove.mean.7</t>
        </is>
      </c>
      <c r="B604" s="3" t="inlineStr">
        <is>
          <t>DOM</t>
        </is>
      </c>
      <c r="C604" s="3" t="n">
        <v>2005</v>
      </c>
      <c r="D604" s="3" t="inlineStr">
        <is>
          <t>Overall</t>
        </is>
      </c>
      <c r="E604" s="3" t="inlineStr">
        <is>
          <t>Deciles</t>
        </is>
      </c>
      <c r="F604" s="3" t="inlineStr">
        <is>
          <t>mean</t>
        </is>
      </c>
      <c r="G604" s="3" t="n">
        <v>7</v>
      </c>
      <c r="H604" s="3" t="n">
        <v>-0.7835714289120266</v>
      </c>
      <c r="I604" s="3" t="n">
        <v>-0.7835714289120266</v>
      </c>
      <c r="J604" s="3" t="n">
        <v>-0.8570857082094465</v>
      </c>
      <c r="K604" s="3" t="n">
        <v>-0.8570857082094465</v>
      </c>
      <c r="L604" s="3" t="n">
        <v>-0.7835714289120266</v>
      </c>
      <c r="M604" s="3" t="n">
        <v>-0.7835714289120266</v>
      </c>
      <c r="N604" s="3" t="n">
        <v>-0.7835714289120266</v>
      </c>
      <c r="O604" s="3" t="n">
        <v>-0.7835714289120266</v>
      </c>
      <c r="P604" s="3" t="n">
        <v>-0.7835714289120266</v>
      </c>
      <c r="Q604" s="3" t="n">
        <v>-0.7835714289120266</v>
      </c>
      <c r="R604" s="3" t="n">
        <v>-0.7709714361599513</v>
      </c>
      <c r="S604" s="3" t="n">
        <v>-1.015428565229688</v>
      </c>
      <c r="T604" s="3" t="n">
        <v>-0.708628567627498</v>
      </c>
      <c r="U604" s="3" t="n">
        <v>-0.8570857082094465</v>
      </c>
      <c r="V604" s="3" t="n">
        <v>-0.6776857103620256</v>
      </c>
      <c r="W604" s="3" t="n">
        <v>-0.5221999968801226</v>
      </c>
      <c r="X604" s="3" t="n">
        <v>-1.011657135827201</v>
      </c>
      <c r="Y604" s="3" t="n">
        <v>-0.7835714289120266</v>
      </c>
      <c r="Z604" s="3" t="n">
        <v>-1.015428565229688</v>
      </c>
      <c r="AA604" s="3" t="n">
        <v>-1.015428565229688</v>
      </c>
      <c r="AB604" s="3" t="n">
        <v>-1.011657135827201</v>
      </c>
      <c r="AC604" s="3" t="n">
        <v>-1.132885714939662</v>
      </c>
      <c r="AD604" s="3" t="n">
        <v>-0.8570857082094465</v>
      </c>
      <c r="AE604" s="3" t="n">
        <v>-0.8570857082094465</v>
      </c>
    </row>
    <row r="605">
      <c r="A605" s="3" t="inlineStr">
        <is>
          <t>DOM.distn.dec.ove.mean.8</t>
        </is>
      </c>
      <c r="B605" s="3" t="inlineStr">
        <is>
          <t>DOM</t>
        </is>
      </c>
      <c r="C605" s="3" t="n">
        <v>2005</v>
      </c>
      <c r="D605" s="3" t="inlineStr">
        <is>
          <t>Overall</t>
        </is>
      </c>
      <c r="E605" s="3" t="inlineStr">
        <is>
          <t>Deciles</t>
        </is>
      </c>
      <c r="F605" s="3" t="inlineStr">
        <is>
          <t>mean</t>
        </is>
      </c>
      <c r="G605" s="3" t="n">
        <v>8</v>
      </c>
      <c r="H605" s="3" t="n">
        <v>-0.7839489357812064</v>
      </c>
      <c r="I605" s="3" t="n">
        <v>-0.7839489357812064</v>
      </c>
      <c r="J605" s="3" t="n">
        <v>-0.8593977723802839</v>
      </c>
      <c r="K605" s="3" t="n">
        <v>-0.8593977723802839</v>
      </c>
      <c r="L605" s="3" t="n">
        <v>-0.7839489357812064</v>
      </c>
      <c r="M605" s="3" t="n">
        <v>-0.7839489357812064</v>
      </c>
      <c r="N605" s="3" t="n">
        <v>-0.7839489357812064</v>
      </c>
      <c r="O605" s="3" t="n">
        <v>-0.7839489357812064</v>
      </c>
      <c r="P605" s="3" t="n">
        <v>-0.7839489357812064</v>
      </c>
      <c r="Q605" s="3" t="n">
        <v>-0.7839489357812064</v>
      </c>
      <c r="R605" s="3" t="n">
        <v>-0.7712249892098563</v>
      </c>
      <c r="S605" s="3" t="n">
        <v>-1.024877253600529</v>
      </c>
      <c r="T605" s="3" t="n">
        <v>-0.7086694342749459</v>
      </c>
      <c r="U605" s="3" t="n">
        <v>-0.8593977723802839</v>
      </c>
      <c r="V605" s="3" t="n">
        <v>-0.6783862863268171</v>
      </c>
      <c r="W605" s="3" t="n">
        <v>-0.5361838928290776</v>
      </c>
      <c r="X605" s="3" t="n">
        <v>-1.020875356878553</v>
      </c>
      <c r="Y605" s="3" t="n">
        <v>-0.7839489357812064</v>
      </c>
      <c r="Z605" s="3" t="n">
        <v>-1.024877253600529</v>
      </c>
      <c r="AA605" s="3" t="n">
        <v>-1.024877253600529</v>
      </c>
      <c r="AB605" s="3" t="n">
        <v>-1.020875356878553</v>
      </c>
      <c r="AC605" s="3" t="n">
        <v>-1.149042170388358</v>
      </c>
      <c r="AD605" s="3" t="n">
        <v>-0.8593977723802839</v>
      </c>
      <c r="AE605" s="3" t="n">
        <v>-0.8593977723802839</v>
      </c>
    </row>
    <row r="606">
      <c r="A606" s="3" t="inlineStr">
        <is>
          <t>DOM.distn.dec.ove.mean.9</t>
        </is>
      </c>
      <c r="B606" s="3" t="inlineStr">
        <is>
          <t>DOM</t>
        </is>
      </c>
      <c r="C606" s="3" t="n">
        <v>2005</v>
      </c>
      <c r="D606" s="3" t="inlineStr">
        <is>
          <t>Overall</t>
        </is>
      </c>
      <c r="E606" s="3" t="inlineStr">
        <is>
          <t>Deciles</t>
        </is>
      </c>
      <c r="F606" s="3" t="inlineStr">
        <is>
          <t>mean</t>
        </is>
      </c>
      <c r="G606" s="3" t="n">
        <v>9</v>
      </c>
      <c r="H606" s="3" t="n">
        <v>-0.7839489357812064</v>
      </c>
      <c r="I606" s="3" t="n">
        <v>-0.7839489357812064</v>
      </c>
      <c r="J606" s="3" t="n">
        <v>-0.8593977723802839</v>
      </c>
      <c r="K606" s="3" t="n">
        <v>-0.8593977723802839</v>
      </c>
      <c r="L606" s="3" t="n">
        <v>-0.7839489357812064</v>
      </c>
      <c r="M606" s="3" t="n">
        <v>-0.7839489357812064</v>
      </c>
      <c r="N606" s="3" t="n">
        <v>-0.7839489357812064</v>
      </c>
      <c r="O606" s="3" t="n">
        <v>-0.7839489357812064</v>
      </c>
      <c r="P606" s="3" t="n">
        <v>-0.7839489357812064</v>
      </c>
      <c r="Q606" s="3" t="n">
        <v>-0.7839489357812064</v>
      </c>
      <c r="R606" s="3" t="n">
        <v>-0.7712249892098563</v>
      </c>
      <c r="S606" s="3" t="n">
        <v>-1.024877253600529</v>
      </c>
      <c r="T606" s="3" t="n">
        <v>-0.7086694342749459</v>
      </c>
      <c r="U606" s="3" t="n">
        <v>-0.8593977723802839</v>
      </c>
      <c r="V606" s="3" t="n">
        <v>-0.6783862863268171</v>
      </c>
      <c r="W606" s="3" t="n">
        <v>-0.5361838928290776</v>
      </c>
      <c r="X606" s="3" t="n">
        <v>-1.020875356878553</v>
      </c>
      <c r="Y606" s="3" t="n">
        <v>-0.7839489357812064</v>
      </c>
      <c r="Z606" s="3" t="n">
        <v>-1.024877253600529</v>
      </c>
      <c r="AA606" s="3" t="n">
        <v>-1.024877253600529</v>
      </c>
      <c r="AB606" s="3" t="n">
        <v>-1.020875356878553</v>
      </c>
      <c r="AC606" s="3" t="n">
        <v>-1.149042170388358</v>
      </c>
      <c r="AD606" s="3" t="n">
        <v>-0.8593977723802839</v>
      </c>
      <c r="AE606" s="3" t="n">
        <v>-0.8593977723802839</v>
      </c>
    </row>
    <row r="607">
      <c r="A607" s="3" t="inlineStr">
        <is>
          <t>DOM.distn.dec.ove.mean.10</t>
        </is>
      </c>
      <c r="B607" s="3" t="inlineStr">
        <is>
          <t>DOM</t>
        </is>
      </c>
      <c r="C607" s="3" t="n">
        <v>2005</v>
      </c>
      <c r="D607" s="3" t="inlineStr">
        <is>
          <t>Overall</t>
        </is>
      </c>
      <c r="E607" s="3" t="inlineStr">
        <is>
          <t>Deciles</t>
        </is>
      </c>
      <c r="F607" s="3" t="inlineStr">
        <is>
          <t>mean</t>
        </is>
      </c>
      <c r="G607" s="3" t="n">
        <v>10</v>
      </c>
      <c r="H607" s="3" t="n">
        <v>-0.7839489357812064</v>
      </c>
      <c r="I607" s="3" t="n">
        <v>-0.7839489357812064</v>
      </c>
      <c r="J607" s="3" t="n">
        <v>-0.8593977723802839</v>
      </c>
      <c r="K607" s="3" t="n">
        <v>-0.8593977723802839</v>
      </c>
      <c r="L607" s="3" t="n">
        <v>-0.7839489357812064</v>
      </c>
      <c r="M607" s="3" t="n">
        <v>-0.7839489357812064</v>
      </c>
      <c r="N607" s="3" t="n">
        <v>-0.7839489357812064</v>
      </c>
      <c r="O607" s="3" t="n">
        <v>-0.7839489357812064</v>
      </c>
      <c r="P607" s="3" t="n">
        <v>-0.7839489357812064</v>
      </c>
      <c r="Q607" s="3" t="n">
        <v>-0.7839489357812064</v>
      </c>
      <c r="R607" s="3" t="n">
        <v>-0.7712249892098563</v>
      </c>
      <c r="S607" s="3" t="n">
        <v>-1.024877253600529</v>
      </c>
      <c r="T607" s="3" t="n">
        <v>-0.7086694342749459</v>
      </c>
      <c r="U607" s="3" t="n">
        <v>-0.8593977723802839</v>
      </c>
      <c r="V607" s="3" t="n">
        <v>-0.6783862863268171</v>
      </c>
      <c r="W607" s="3" t="n">
        <v>-0.5361838928290776</v>
      </c>
      <c r="X607" s="3" t="n">
        <v>-1.020875356878553</v>
      </c>
      <c r="Y607" s="3" t="n">
        <v>-0.7839489357812064</v>
      </c>
      <c r="Z607" s="3" t="n">
        <v>-1.024877253600529</v>
      </c>
      <c r="AA607" s="3" t="n">
        <v>-1.024877253600529</v>
      </c>
      <c r="AB607" s="3" t="n">
        <v>-1.020875356878553</v>
      </c>
      <c r="AC607" s="3" t="n">
        <v>-1.149042170388358</v>
      </c>
      <c r="AD607" s="3" t="n">
        <v>-0.8593977723802839</v>
      </c>
      <c r="AE607" s="3" t="n">
        <v>-0.8593977723802839</v>
      </c>
    </row>
    <row r="608">
      <c r="A608" s="3" t="inlineStr">
        <is>
          <t>DOM.distn.bkt.ove.mean.9999</t>
        </is>
      </c>
      <c r="B608" s="3" t="inlineStr">
        <is>
          <t>DOM</t>
        </is>
      </c>
      <c r="C608" s="3" t="n">
        <v>2005</v>
      </c>
      <c r="D608" s="3" t="inlineStr">
        <is>
          <t>Overall</t>
        </is>
      </c>
      <c r="E608" s="3" t="inlineStr">
        <is>
          <t>Basket</t>
        </is>
      </c>
      <c r="F608" s="3" t="inlineStr">
        <is>
          <t>mean</t>
        </is>
      </c>
      <c r="G608" s="3" t="n">
        <v>9999</v>
      </c>
      <c r="H608" s="3" t="n">
        <v>-0.7855607322284154</v>
      </c>
      <c r="I608" s="3" t="n">
        <v>-0.7855607322284154</v>
      </c>
      <c r="J608" s="3" t="n">
        <v>-0.8708347541945322</v>
      </c>
      <c r="K608" s="3" t="n">
        <v>-0.8708347541945322</v>
      </c>
      <c r="L608" s="3" t="n">
        <v>-0.7855607322284154</v>
      </c>
      <c r="M608" s="3" t="n">
        <v>-0.7855607322284154</v>
      </c>
      <c r="N608" s="3" t="n">
        <v>-0.7855607322284154</v>
      </c>
      <c r="O608" s="3" t="n">
        <v>-0.7855607322284154</v>
      </c>
      <c r="P608" s="3" t="n">
        <v>-0.7855607322284154</v>
      </c>
      <c r="Q608" s="3" t="n">
        <v>-0.7855607322284154</v>
      </c>
      <c r="R608" s="3" t="n">
        <v>-0.7720900552613394</v>
      </c>
      <c r="S608" s="3" t="n">
        <v>-1.160887002944946</v>
      </c>
      <c r="T608" s="3" t="n">
        <v>-0.7090769904000419</v>
      </c>
      <c r="U608" s="3" t="n">
        <v>-0.8708347541945322</v>
      </c>
      <c r="V608" s="3" t="n">
        <v>-0.6799844878060477</v>
      </c>
      <c r="W608" s="3" t="n">
        <v>-0.5558792540005275</v>
      </c>
      <c r="X608" s="3" t="n">
        <v>-1.140969473975045</v>
      </c>
      <c r="Y608" s="3" t="n">
        <v>-0.7855607322284154</v>
      </c>
      <c r="Z608" s="3" t="n">
        <v>-1.160887002944946</v>
      </c>
      <c r="AA608" s="3" t="n">
        <v>-1.160887002944946</v>
      </c>
      <c r="AB608" s="3" t="n">
        <v>-1.140969473975045</v>
      </c>
      <c r="AC608" s="3" t="n">
        <v>-1.501635466303144</v>
      </c>
      <c r="AD608" s="3" t="n">
        <v>-0.8708347541945322</v>
      </c>
      <c r="AE608" s="3" t="n">
        <v>-0.8708347541945322</v>
      </c>
    </row>
    <row r="609">
      <c r="A609" s="3" t="inlineStr">
        <is>
          <t>DZA.distn.dec.ove.mean.1</t>
        </is>
      </c>
      <c r="B609" s="3" t="inlineStr">
        <is>
          <t>DZA</t>
        </is>
      </c>
      <c r="C609" s="3" t="n">
        <v>2005</v>
      </c>
      <c r="D609" s="3" t="inlineStr">
        <is>
          <t>Overall</t>
        </is>
      </c>
      <c r="E609" s="3" t="inlineStr">
        <is>
          <t>Deciles</t>
        </is>
      </c>
      <c r="F609" s="3" t="inlineStr">
        <is>
          <t>mean</t>
        </is>
      </c>
      <c r="G609" s="3" t="n">
        <v>1</v>
      </c>
      <c r="H609" s="3" t="n">
        <v>-0.7936522003851438</v>
      </c>
      <c r="I609" s="3" t="n">
        <v>-0.7936522003851438</v>
      </c>
      <c r="J609" s="3" t="n">
        <v>-0.9276126356501329</v>
      </c>
      <c r="K609" s="3" t="n">
        <v>-0.9276126356501329</v>
      </c>
      <c r="L609" s="3" t="n">
        <v>-0.7936522003851438</v>
      </c>
      <c r="M609" s="3" t="n">
        <v>-0.7936522003851438</v>
      </c>
      <c r="N609" s="3" t="n">
        <v>-0.7936522003851438</v>
      </c>
      <c r="O609" s="3" t="n">
        <v>-0.7936522003851438</v>
      </c>
      <c r="P609" s="3" t="n">
        <v>-0.7936522003851438</v>
      </c>
      <c r="Q609" s="3" t="n">
        <v>-0.7936522003851438</v>
      </c>
      <c r="R609" s="3" t="n">
        <v>-0.7764578367534437</v>
      </c>
      <c r="S609" s="3" t="n">
        <v>-1.851309371621985</v>
      </c>
      <c r="T609" s="3" t="n">
        <v>-0.7110083871766141</v>
      </c>
      <c r="U609" s="3" t="n">
        <v>-0.9276126356501329</v>
      </c>
      <c r="V609" s="3" t="n">
        <v>-0.688554396754817</v>
      </c>
      <c r="W609" s="3" t="n">
        <v>-0.6748062403578508</v>
      </c>
      <c r="X609" s="3" t="n">
        <v>-1.760538414904946</v>
      </c>
      <c r="Y609" s="3" t="n">
        <v>-0.7936522003851438</v>
      </c>
      <c r="Z609" s="3" t="n">
        <v>-1.851309371621985</v>
      </c>
      <c r="AA609" s="3" t="n">
        <v>-1.851309371621985</v>
      </c>
      <c r="AB609" s="3" t="n">
        <v>-1.760538414904946</v>
      </c>
      <c r="AC609" s="3" t="n">
        <v>-4.00243950517554</v>
      </c>
      <c r="AD609" s="3" t="n">
        <v>-0.9276126356501329</v>
      </c>
      <c r="AE609" s="3" t="n">
        <v>-0.9276126356501329</v>
      </c>
    </row>
    <row r="610">
      <c r="A610" s="3" t="inlineStr">
        <is>
          <t>DZA.distn.dec.ove.mean.2</t>
        </is>
      </c>
      <c r="B610" s="3" t="inlineStr">
        <is>
          <t>DZA</t>
        </is>
      </c>
      <c r="C610" s="3" t="n">
        <v>2005</v>
      </c>
      <c r="D610" s="3" t="inlineStr">
        <is>
          <t>Overall</t>
        </is>
      </c>
      <c r="E610" s="3" t="inlineStr">
        <is>
          <t>Deciles</t>
        </is>
      </c>
      <c r="F610" s="3" t="inlineStr">
        <is>
          <t>mean</t>
        </is>
      </c>
      <c r="G610" s="3" t="n">
        <v>2</v>
      </c>
      <c r="H610" s="3" t="n">
        <v>-0.7936522003851438</v>
      </c>
      <c r="I610" s="3" t="n">
        <v>-0.7936522003851438</v>
      </c>
      <c r="J610" s="3" t="n">
        <v>-0.9276126356501329</v>
      </c>
      <c r="K610" s="3" t="n">
        <v>-0.9276126356501329</v>
      </c>
      <c r="L610" s="3" t="n">
        <v>-0.7936522003851438</v>
      </c>
      <c r="M610" s="3" t="n">
        <v>-0.7936522003851438</v>
      </c>
      <c r="N610" s="3" t="n">
        <v>-0.7936522003851438</v>
      </c>
      <c r="O610" s="3" t="n">
        <v>-0.7936522003851438</v>
      </c>
      <c r="P610" s="3" t="n">
        <v>-0.7936522003851438</v>
      </c>
      <c r="Q610" s="3" t="n">
        <v>-0.7936522003851438</v>
      </c>
      <c r="R610" s="3" t="n">
        <v>-0.7764578367534437</v>
      </c>
      <c r="S610" s="3" t="n">
        <v>-1.851309371621985</v>
      </c>
      <c r="T610" s="3" t="n">
        <v>-0.7110083871766141</v>
      </c>
      <c r="U610" s="3" t="n">
        <v>-0.9276126356501329</v>
      </c>
      <c r="V610" s="3" t="n">
        <v>-0.688554396754817</v>
      </c>
      <c r="W610" s="3" t="n">
        <v>-0.6748062403578508</v>
      </c>
      <c r="X610" s="3" t="n">
        <v>-1.760538414904946</v>
      </c>
      <c r="Y610" s="3" t="n">
        <v>-0.7936522003851438</v>
      </c>
      <c r="Z610" s="3" t="n">
        <v>-1.851309371621985</v>
      </c>
      <c r="AA610" s="3" t="n">
        <v>-1.851309371621985</v>
      </c>
      <c r="AB610" s="3" t="n">
        <v>-1.760538414904946</v>
      </c>
      <c r="AC610" s="3" t="n">
        <v>-4.00243950517554</v>
      </c>
      <c r="AD610" s="3" t="n">
        <v>-0.9276126356501329</v>
      </c>
      <c r="AE610" s="3" t="n">
        <v>-0.9276126356501329</v>
      </c>
    </row>
    <row r="611">
      <c r="A611" s="3" t="inlineStr">
        <is>
          <t>DZA.distn.dec.ove.mean.3</t>
        </is>
      </c>
      <c r="B611" s="3" t="inlineStr">
        <is>
          <t>DZA</t>
        </is>
      </c>
      <c r="C611" s="3" t="n">
        <v>2005</v>
      </c>
      <c r="D611" s="3" t="inlineStr">
        <is>
          <t>Overall</t>
        </is>
      </c>
      <c r="E611" s="3" t="inlineStr">
        <is>
          <t>Deciles</t>
        </is>
      </c>
      <c r="F611" s="3" t="inlineStr">
        <is>
          <t>mean</t>
        </is>
      </c>
      <c r="G611" s="3" t="n">
        <v>3</v>
      </c>
      <c r="H611" s="3" t="n">
        <v>-0.7936522003851438</v>
      </c>
      <c r="I611" s="3" t="n">
        <v>-0.7936522003851438</v>
      </c>
      <c r="J611" s="3" t="n">
        <v>-0.9276126356501329</v>
      </c>
      <c r="K611" s="3" t="n">
        <v>-0.9276126356501329</v>
      </c>
      <c r="L611" s="3" t="n">
        <v>-0.7936522003851438</v>
      </c>
      <c r="M611" s="3" t="n">
        <v>-0.7936522003851438</v>
      </c>
      <c r="N611" s="3" t="n">
        <v>-0.7936522003851438</v>
      </c>
      <c r="O611" s="3" t="n">
        <v>-0.7936522003851438</v>
      </c>
      <c r="P611" s="3" t="n">
        <v>-0.7936522003851438</v>
      </c>
      <c r="Q611" s="3" t="n">
        <v>-0.7936522003851438</v>
      </c>
      <c r="R611" s="3" t="n">
        <v>-0.7764578367534437</v>
      </c>
      <c r="S611" s="3" t="n">
        <v>-1.851309371621985</v>
      </c>
      <c r="T611" s="3" t="n">
        <v>-0.7110083871766141</v>
      </c>
      <c r="U611" s="3" t="n">
        <v>-0.9276126356501329</v>
      </c>
      <c r="V611" s="3" t="n">
        <v>-0.688554396754817</v>
      </c>
      <c r="W611" s="3" t="n">
        <v>-0.6748062403578508</v>
      </c>
      <c r="X611" s="3" t="n">
        <v>-1.760538414904946</v>
      </c>
      <c r="Y611" s="3" t="n">
        <v>-0.7936522003851438</v>
      </c>
      <c r="Z611" s="3" t="n">
        <v>-1.851309371621985</v>
      </c>
      <c r="AA611" s="3" t="n">
        <v>-1.851309371621985</v>
      </c>
      <c r="AB611" s="3" t="n">
        <v>-1.760538414904946</v>
      </c>
      <c r="AC611" s="3" t="n">
        <v>-4.00243950517554</v>
      </c>
      <c r="AD611" s="3" t="n">
        <v>-0.9276126356501329</v>
      </c>
      <c r="AE611" s="3" t="n">
        <v>-0.9276126356501329</v>
      </c>
    </row>
    <row r="612">
      <c r="A612" s="3" t="inlineStr">
        <is>
          <t>DZA.distn.dec.ove.mean.4</t>
        </is>
      </c>
      <c r="B612" s="3" t="inlineStr">
        <is>
          <t>DZA</t>
        </is>
      </c>
      <c r="C612" s="3" t="n">
        <v>2005</v>
      </c>
      <c r="D612" s="3" t="inlineStr">
        <is>
          <t>Overall</t>
        </is>
      </c>
      <c r="E612" s="3" t="inlineStr">
        <is>
          <t>Deciles</t>
        </is>
      </c>
      <c r="F612" s="3" t="inlineStr">
        <is>
          <t>mean</t>
        </is>
      </c>
      <c r="G612" s="3" t="n">
        <v>4</v>
      </c>
      <c r="H612" s="3" t="n">
        <v>-0.7873684167861938</v>
      </c>
      <c r="I612" s="3" t="n">
        <v>-0.7873684167861938</v>
      </c>
      <c r="J612" s="3" t="n">
        <v>-0.8827894769216839</v>
      </c>
      <c r="K612" s="3" t="n">
        <v>-0.8827894769216839</v>
      </c>
      <c r="L612" s="3" t="n">
        <v>-0.7873684167861938</v>
      </c>
      <c r="M612" s="3" t="n">
        <v>-0.7873684167861938</v>
      </c>
      <c r="N612" s="3" t="n">
        <v>-0.7873684167861938</v>
      </c>
      <c r="O612" s="3" t="n">
        <v>-0.7873684167861938</v>
      </c>
      <c r="P612" s="3" t="n">
        <v>-0.7873684167861938</v>
      </c>
      <c r="Q612" s="3" t="n">
        <v>-0.7873684167861938</v>
      </c>
      <c r="R612" s="3" t="n">
        <v>-0.7729736864566803</v>
      </c>
      <c r="S612" s="3" t="n">
        <v>-1.260947363941293</v>
      </c>
      <c r="T612" s="3" t="n">
        <v>-0.7095526174495095</v>
      </c>
      <c r="U612" s="3" t="n">
        <v>-0.8827894769216839</v>
      </c>
      <c r="V612" s="3" t="n">
        <v>-0.6815526375645086</v>
      </c>
      <c r="W612" s="3" t="n">
        <v>-0.5679210565592113</v>
      </c>
      <c r="X612" s="3" t="n">
        <v>-1.242473682290629</v>
      </c>
      <c r="Y612" s="3" t="n">
        <v>-0.7873684167861938</v>
      </c>
      <c r="Z612" s="3" t="n">
        <v>-1.260947363941293</v>
      </c>
      <c r="AA612" s="3" t="n">
        <v>-1.260947363941293</v>
      </c>
      <c r="AB612" s="3" t="n">
        <v>-1.242473682290629</v>
      </c>
      <c r="AC612" s="3" t="n">
        <v>-1.932868417940642</v>
      </c>
      <c r="AD612" s="3" t="n">
        <v>-0.8827894769216839</v>
      </c>
      <c r="AE612" s="3" t="n">
        <v>-0.8827894769216839</v>
      </c>
    </row>
    <row r="613">
      <c r="A613" s="3" t="inlineStr">
        <is>
          <t>DZA.distn.dec.ove.mean.5</t>
        </is>
      </c>
      <c r="B613" s="3" t="inlineStr">
        <is>
          <t>DZA</t>
        </is>
      </c>
      <c r="C613" s="3" t="n">
        <v>2005</v>
      </c>
      <c r="D613" s="3" t="inlineStr">
        <is>
          <t>Overall</t>
        </is>
      </c>
      <c r="E613" s="3" t="inlineStr">
        <is>
          <t>Deciles</t>
        </is>
      </c>
      <c r="F613" s="3" t="inlineStr">
        <is>
          <t>mean</t>
        </is>
      </c>
      <c r="G613" s="3" t="n">
        <v>5</v>
      </c>
      <c r="H613" s="3" t="n">
        <v>-0.7873684167861938</v>
      </c>
      <c r="I613" s="3" t="n">
        <v>-0.7873684167861938</v>
      </c>
      <c r="J613" s="3" t="n">
        <v>-0.8827894769216839</v>
      </c>
      <c r="K613" s="3" t="n">
        <v>-0.8827894769216839</v>
      </c>
      <c r="L613" s="3" t="n">
        <v>-0.7873684167861938</v>
      </c>
      <c r="M613" s="3" t="n">
        <v>-0.7873684167861938</v>
      </c>
      <c r="N613" s="3" t="n">
        <v>-0.7873684167861938</v>
      </c>
      <c r="O613" s="3" t="n">
        <v>-0.7873684167861938</v>
      </c>
      <c r="P613" s="3" t="n">
        <v>-0.7873684167861938</v>
      </c>
      <c r="Q613" s="3" t="n">
        <v>-0.7873684167861938</v>
      </c>
      <c r="R613" s="3" t="n">
        <v>-0.7729736864566803</v>
      </c>
      <c r="S613" s="3" t="n">
        <v>-1.260947363941293</v>
      </c>
      <c r="T613" s="3" t="n">
        <v>-0.7095526174495095</v>
      </c>
      <c r="U613" s="3" t="n">
        <v>-0.8827894769216839</v>
      </c>
      <c r="V613" s="3" t="n">
        <v>-0.6815526375645086</v>
      </c>
      <c r="W613" s="3" t="n">
        <v>-0.5679210565592113</v>
      </c>
      <c r="X613" s="3" t="n">
        <v>-1.242473682290629</v>
      </c>
      <c r="Y613" s="3" t="n">
        <v>-0.7873684167861938</v>
      </c>
      <c r="Z613" s="3" t="n">
        <v>-1.260947363941293</v>
      </c>
      <c r="AA613" s="3" t="n">
        <v>-1.260947363941293</v>
      </c>
      <c r="AB613" s="3" t="n">
        <v>-1.242473682290629</v>
      </c>
      <c r="AC613" s="3" t="n">
        <v>-1.932868417940642</v>
      </c>
      <c r="AD613" s="3" t="n">
        <v>-0.8827894769216839</v>
      </c>
      <c r="AE613" s="3" t="n">
        <v>-0.8827894769216839</v>
      </c>
    </row>
    <row r="614">
      <c r="A614" s="3" t="inlineStr">
        <is>
          <t>DZA.distn.dec.ove.mean.6</t>
        </is>
      </c>
      <c r="B614" s="3" t="inlineStr">
        <is>
          <t>DZA</t>
        </is>
      </c>
      <c r="C614" s="3" t="n">
        <v>2005</v>
      </c>
      <c r="D614" s="3" t="inlineStr">
        <is>
          <t>Overall</t>
        </is>
      </c>
      <c r="E614" s="3" t="inlineStr">
        <is>
          <t>Deciles</t>
        </is>
      </c>
      <c r="F614" s="3" t="inlineStr">
        <is>
          <t>mean</t>
        </is>
      </c>
      <c r="G614" s="3" t="n">
        <v>6</v>
      </c>
      <c r="H614" s="3" t="n">
        <v>-0.7873684167861938</v>
      </c>
      <c r="I614" s="3" t="n">
        <v>-0.7873684167861938</v>
      </c>
      <c r="J614" s="3" t="n">
        <v>-0.8827894769216839</v>
      </c>
      <c r="K614" s="3" t="n">
        <v>-0.8827894769216839</v>
      </c>
      <c r="L614" s="3" t="n">
        <v>-0.7873684167861938</v>
      </c>
      <c r="M614" s="3" t="n">
        <v>-0.7873684167861938</v>
      </c>
      <c r="N614" s="3" t="n">
        <v>-0.7873684167861938</v>
      </c>
      <c r="O614" s="3" t="n">
        <v>-0.7873684167861938</v>
      </c>
      <c r="P614" s="3" t="n">
        <v>-0.7873684167861938</v>
      </c>
      <c r="Q614" s="3" t="n">
        <v>-0.7873684167861938</v>
      </c>
      <c r="R614" s="3" t="n">
        <v>-0.7729736864566803</v>
      </c>
      <c r="S614" s="3" t="n">
        <v>-1.260947363941293</v>
      </c>
      <c r="T614" s="3" t="n">
        <v>-0.7095526174495095</v>
      </c>
      <c r="U614" s="3" t="n">
        <v>-0.8827894769216839</v>
      </c>
      <c r="V614" s="3" t="n">
        <v>-0.6815526375645086</v>
      </c>
      <c r="W614" s="3" t="n">
        <v>-0.5679210565592113</v>
      </c>
      <c r="X614" s="3" t="n">
        <v>-1.242473682290629</v>
      </c>
      <c r="Y614" s="3" t="n">
        <v>-0.7873684167861938</v>
      </c>
      <c r="Z614" s="3" t="n">
        <v>-1.260947363941293</v>
      </c>
      <c r="AA614" s="3" t="n">
        <v>-1.260947363941293</v>
      </c>
      <c r="AB614" s="3" t="n">
        <v>-1.242473682290629</v>
      </c>
      <c r="AC614" s="3" t="n">
        <v>-1.932868417940642</v>
      </c>
      <c r="AD614" s="3" t="n">
        <v>-0.8827894769216839</v>
      </c>
      <c r="AE614" s="3" t="n">
        <v>-0.8827894769216839</v>
      </c>
    </row>
    <row r="615">
      <c r="A615" s="3" t="inlineStr">
        <is>
          <t>DZA.distn.dec.ove.mean.7</t>
        </is>
      </c>
      <c r="B615" s="3" t="inlineStr">
        <is>
          <t>DZA</t>
        </is>
      </c>
      <c r="C615" s="3" t="n">
        <v>2005</v>
      </c>
      <c r="D615" s="3" t="inlineStr">
        <is>
          <t>Overall</t>
        </is>
      </c>
      <c r="E615" s="3" t="inlineStr">
        <is>
          <t>Deciles</t>
        </is>
      </c>
      <c r="F615" s="3" t="inlineStr">
        <is>
          <t>mean</t>
        </is>
      </c>
      <c r="G615" s="3" t="n">
        <v>7</v>
      </c>
      <c r="H615" s="3" t="n">
        <v>-0.7873684167861938</v>
      </c>
      <c r="I615" s="3" t="n">
        <v>-0.7873684167861938</v>
      </c>
      <c r="J615" s="3" t="n">
        <v>-0.8827894769216839</v>
      </c>
      <c r="K615" s="3" t="n">
        <v>-0.8827894769216839</v>
      </c>
      <c r="L615" s="3" t="n">
        <v>-0.7873684167861938</v>
      </c>
      <c r="M615" s="3" t="n">
        <v>-0.7873684167861938</v>
      </c>
      <c r="N615" s="3" t="n">
        <v>-0.7873684167861938</v>
      </c>
      <c r="O615" s="3" t="n">
        <v>-0.7873684167861938</v>
      </c>
      <c r="P615" s="3" t="n">
        <v>-0.7873684167861938</v>
      </c>
      <c r="Q615" s="3" t="n">
        <v>-0.7873684167861938</v>
      </c>
      <c r="R615" s="3" t="n">
        <v>-0.7729736864566803</v>
      </c>
      <c r="S615" s="3" t="n">
        <v>-1.260947363941293</v>
      </c>
      <c r="T615" s="3" t="n">
        <v>-0.7095526174495095</v>
      </c>
      <c r="U615" s="3" t="n">
        <v>-0.8827894769216839</v>
      </c>
      <c r="V615" s="3" t="n">
        <v>-0.6815526375645086</v>
      </c>
      <c r="W615" s="3" t="n">
        <v>-0.5679210565592113</v>
      </c>
      <c r="X615" s="3" t="n">
        <v>-1.242473682290629</v>
      </c>
      <c r="Y615" s="3" t="n">
        <v>-0.7873684167861938</v>
      </c>
      <c r="Z615" s="3" t="n">
        <v>-1.260947363941293</v>
      </c>
      <c r="AA615" s="3" t="n">
        <v>-1.260947363941293</v>
      </c>
      <c r="AB615" s="3" t="n">
        <v>-1.242473682290629</v>
      </c>
      <c r="AC615" s="3" t="n">
        <v>-1.932868417940642</v>
      </c>
      <c r="AD615" s="3" t="n">
        <v>-0.8827894769216839</v>
      </c>
      <c r="AE615" s="3" t="n">
        <v>-0.8827894769216839</v>
      </c>
    </row>
    <row r="616">
      <c r="A616" s="3" t="inlineStr">
        <is>
          <t>DZA.distn.dec.ove.mean.8</t>
        </is>
      </c>
      <c r="B616" s="3" t="inlineStr">
        <is>
          <t>DZA</t>
        </is>
      </c>
      <c r="C616" s="3" t="n">
        <v>2005</v>
      </c>
      <c r="D616" s="3" t="inlineStr">
        <is>
          <t>Overall</t>
        </is>
      </c>
      <c r="E616" s="3" t="inlineStr">
        <is>
          <t>Deciles</t>
        </is>
      </c>
      <c r="F616" s="3" t="inlineStr">
        <is>
          <t>mean</t>
        </is>
      </c>
      <c r="G616" s="3" t="n">
        <v>8</v>
      </c>
      <c r="H616" s="3" t="n">
        <v>-0.7877477627051505</v>
      </c>
      <c r="I616" s="3" t="n">
        <v>-0.7877477627051505</v>
      </c>
      <c r="J616" s="3" t="n">
        <v>-0.8851708738427413</v>
      </c>
      <c r="K616" s="3" t="n">
        <v>-0.8851708738427413</v>
      </c>
      <c r="L616" s="3" t="n">
        <v>-0.7877477627051505</v>
      </c>
      <c r="M616" s="3" t="n">
        <v>-0.7877477627051505</v>
      </c>
      <c r="N616" s="3" t="n">
        <v>-0.7877477627051505</v>
      </c>
      <c r="O616" s="3" t="n">
        <v>-0.7877477627051505</v>
      </c>
      <c r="P616" s="3" t="n">
        <v>-0.7877477627051505</v>
      </c>
      <c r="Q616" s="3" t="n">
        <v>-0.7877477627051505</v>
      </c>
      <c r="R616" s="3" t="n">
        <v>-0.7732278971295607</v>
      </c>
      <c r="S616" s="3" t="n">
        <v>-1.272680619829579</v>
      </c>
      <c r="T616" s="3" t="n">
        <v>-0.7095935376066911</v>
      </c>
      <c r="U616" s="3" t="n">
        <v>-0.8851708738427413</v>
      </c>
      <c r="V616" s="3" t="n">
        <v>-0.6822572021107924</v>
      </c>
      <c r="W616" s="3" t="n">
        <v>-0.5831292993143985</v>
      </c>
      <c r="X616" s="3" t="n">
        <v>-1.253795093611667</v>
      </c>
      <c r="Y616" s="3" t="n">
        <v>-0.7877477627051505</v>
      </c>
      <c r="Z616" s="3" t="n">
        <v>-1.272680619829579</v>
      </c>
      <c r="AA616" s="3" t="n">
        <v>-1.272680619829579</v>
      </c>
      <c r="AB616" s="3" t="n">
        <v>-1.253795093611667</v>
      </c>
      <c r="AC616" s="3" t="n">
        <v>-1.960433708994012</v>
      </c>
      <c r="AD616" s="3" t="n">
        <v>-0.8851708738427413</v>
      </c>
      <c r="AE616" s="3" t="n">
        <v>-0.8851708738427413</v>
      </c>
    </row>
    <row r="617">
      <c r="A617" s="3" t="inlineStr">
        <is>
          <t>DZA.distn.dec.ove.mean.9</t>
        </is>
      </c>
      <c r="B617" s="3" t="inlineStr">
        <is>
          <t>DZA</t>
        </is>
      </c>
      <c r="C617" s="3" t="n">
        <v>2005</v>
      </c>
      <c r="D617" s="3" t="inlineStr">
        <is>
          <t>Overall</t>
        </is>
      </c>
      <c r="E617" s="3" t="inlineStr">
        <is>
          <t>Deciles</t>
        </is>
      </c>
      <c r="F617" s="3" t="inlineStr">
        <is>
          <t>mean</t>
        </is>
      </c>
      <c r="G617" s="3" t="n">
        <v>9</v>
      </c>
      <c r="H617" s="3" t="n">
        <v>-0.7877477627051505</v>
      </c>
      <c r="I617" s="3" t="n">
        <v>-0.7877477627051505</v>
      </c>
      <c r="J617" s="3" t="n">
        <v>-0.8851708738427413</v>
      </c>
      <c r="K617" s="3" t="n">
        <v>-0.8851708738427413</v>
      </c>
      <c r="L617" s="3" t="n">
        <v>-0.7877477627051505</v>
      </c>
      <c r="M617" s="3" t="n">
        <v>-0.7877477627051505</v>
      </c>
      <c r="N617" s="3" t="n">
        <v>-0.7877477627051505</v>
      </c>
      <c r="O617" s="3" t="n">
        <v>-0.7877477627051505</v>
      </c>
      <c r="P617" s="3" t="n">
        <v>-0.7877477627051505</v>
      </c>
      <c r="Q617" s="3" t="n">
        <v>-0.7877477627051505</v>
      </c>
      <c r="R617" s="3" t="n">
        <v>-0.7732278971295607</v>
      </c>
      <c r="S617" s="3" t="n">
        <v>-1.272680619829579</v>
      </c>
      <c r="T617" s="3" t="n">
        <v>-0.7095935376066911</v>
      </c>
      <c r="U617" s="3" t="n">
        <v>-0.8851708738427413</v>
      </c>
      <c r="V617" s="3" t="n">
        <v>-0.6822572021107924</v>
      </c>
      <c r="W617" s="3" t="n">
        <v>-0.5831292993143985</v>
      </c>
      <c r="X617" s="3" t="n">
        <v>-1.253795093611667</v>
      </c>
      <c r="Y617" s="3" t="n">
        <v>-0.7877477627051505</v>
      </c>
      <c r="Z617" s="3" t="n">
        <v>-1.272680619829579</v>
      </c>
      <c r="AA617" s="3" t="n">
        <v>-1.272680619829579</v>
      </c>
      <c r="AB617" s="3" t="n">
        <v>-1.253795093611667</v>
      </c>
      <c r="AC617" s="3" t="n">
        <v>-1.960433708994012</v>
      </c>
      <c r="AD617" s="3" t="n">
        <v>-0.8851708738427413</v>
      </c>
      <c r="AE617" s="3" t="n">
        <v>-0.8851708738427413</v>
      </c>
    </row>
    <row r="618">
      <c r="A618" s="3" t="inlineStr">
        <is>
          <t>DZA.distn.dec.ove.mean.10</t>
        </is>
      </c>
      <c r="B618" s="3" t="inlineStr">
        <is>
          <t>DZA</t>
        </is>
      </c>
      <c r="C618" s="3" t="n">
        <v>2005</v>
      </c>
      <c r="D618" s="3" t="inlineStr">
        <is>
          <t>Overall</t>
        </is>
      </c>
      <c r="E618" s="3" t="inlineStr">
        <is>
          <t>Deciles</t>
        </is>
      </c>
      <c r="F618" s="3" t="inlineStr">
        <is>
          <t>mean</t>
        </is>
      </c>
      <c r="G618" s="3" t="n">
        <v>10</v>
      </c>
      <c r="H618" s="3" t="n">
        <v>-0.7877477627051505</v>
      </c>
      <c r="I618" s="3" t="n">
        <v>-0.7877477627051505</v>
      </c>
      <c r="J618" s="3" t="n">
        <v>-0.8851708738427413</v>
      </c>
      <c r="K618" s="3" t="n">
        <v>-0.8851708738427413</v>
      </c>
      <c r="L618" s="3" t="n">
        <v>-0.7877477627051505</v>
      </c>
      <c r="M618" s="3" t="n">
        <v>-0.7877477627051505</v>
      </c>
      <c r="N618" s="3" t="n">
        <v>-0.7877477627051505</v>
      </c>
      <c r="O618" s="3" t="n">
        <v>-0.7877477627051505</v>
      </c>
      <c r="P618" s="3" t="n">
        <v>-0.7877477627051505</v>
      </c>
      <c r="Q618" s="3" t="n">
        <v>-0.7877477627051505</v>
      </c>
      <c r="R618" s="3" t="n">
        <v>-0.7732278971295607</v>
      </c>
      <c r="S618" s="3" t="n">
        <v>-1.272680619829579</v>
      </c>
      <c r="T618" s="3" t="n">
        <v>-0.7095935376066911</v>
      </c>
      <c r="U618" s="3" t="n">
        <v>-0.8851708738427413</v>
      </c>
      <c r="V618" s="3" t="n">
        <v>-0.6822572021107924</v>
      </c>
      <c r="W618" s="3" t="n">
        <v>-0.5831292993143985</v>
      </c>
      <c r="X618" s="3" t="n">
        <v>-1.253795093611667</v>
      </c>
      <c r="Y618" s="3" t="n">
        <v>-0.7877477627051505</v>
      </c>
      <c r="Z618" s="3" t="n">
        <v>-1.272680619829579</v>
      </c>
      <c r="AA618" s="3" t="n">
        <v>-1.272680619829579</v>
      </c>
      <c r="AB618" s="3" t="n">
        <v>-1.253795093611667</v>
      </c>
      <c r="AC618" s="3" t="n">
        <v>-1.960433708994012</v>
      </c>
      <c r="AD618" s="3" t="n">
        <v>-0.8851708738427413</v>
      </c>
      <c r="AE618" s="3" t="n">
        <v>-0.8851708738427413</v>
      </c>
    </row>
    <row r="619">
      <c r="A619" s="3" t="inlineStr">
        <is>
          <t>DZA.distn.bkt.ove.mean.9999</t>
        </is>
      </c>
      <c r="B619" s="3" t="inlineStr">
        <is>
          <t>DZA</t>
        </is>
      </c>
      <c r="C619" s="3" t="n">
        <v>2005</v>
      </c>
      <c r="D619" s="3" t="inlineStr">
        <is>
          <t>Overall</t>
        </is>
      </c>
      <c r="E619" s="3" t="inlineStr">
        <is>
          <t>Basket</t>
        </is>
      </c>
      <c r="F619" s="3" t="inlineStr">
        <is>
          <t>mean</t>
        </is>
      </c>
      <c r="G619" s="3" t="n">
        <v>9999</v>
      </c>
      <c r="H619" s="3" t="n">
        <v>-0.7893673542298769</v>
      </c>
      <c r="I619" s="3" t="n">
        <v>-0.7893673542298769</v>
      </c>
      <c r="J619" s="3" t="n">
        <v>-0.8969508472241854</v>
      </c>
      <c r="K619" s="3" t="n">
        <v>-0.8969508472241854</v>
      </c>
      <c r="L619" s="3" t="n">
        <v>-0.7893673542298769</v>
      </c>
      <c r="M619" s="3" t="n">
        <v>-0.7893673542298769</v>
      </c>
      <c r="N619" s="3" t="n">
        <v>-0.7893673542298769</v>
      </c>
      <c r="O619" s="3" t="n">
        <v>-0.7893673542298769</v>
      </c>
      <c r="P619" s="3" t="n">
        <v>-0.7893673542298769</v>
      </c>
      <c r="Q619" s="3" t="n">
        <v>-0.7893673542298769</v>
      </c>
      <c r="R619" s="3" t="n">
        <v>-0.7740951949044278</v>
      </c>
      <c r="S619" s="3" t="n">
        <v>-1.441575941286589</v>
      </c>
      <c r="T619" s="3" t="n">
        <v>-0.7100016239442324</v>
      </c>
      <c r="U619" s="3" t="n">
        <v>-0.8969508472241854</v>
      </c>
      <c r="V619" s="3" t="n">
        <v>-0.6838645276270414</v>
      </c>
      <c r="W619" s="3" t="n">
        <v>-0.6045490895446978</v>
      </c>
      <c r="X619" s="3" t="n">
        <v>-1.401289532059117</v>
      </c>
      <c r="Y619" s="3" t="n">
        <v>-0.7893673542298769</v>
      </c>
      <c r="Z619" s="3" t="n">
        <v>-1.441575941286589</v>
      </c>
      <c r="AA619" s="3" t="n">
        <v>-1.441575941286589</v>
      </c>
      <c r="AB619" s="3" t="n">
        <v>-1.401289532059117</v>
      </c>
      <c r="AC619" s="3" t="n">
        <v>-2.562009337701296</v>
      </c>
      <c r="AD619" s="3" t="n">
        <v>-0.8969508472241854</v>
      </c>
      <c r="AE619" s="3" t="n">
        <v>-0.8969508472241854</v>
      </c>
    </row>
    <row r="620">
      <c r="A620" s="3" t="inlineStr">
        <is>
          <t>ECU.distn.dec.ove.mean.1</t>
        </is>
      </c>
      <c r="B620" s="3" t="inlineStr">
        <is>
          <t>ECU</t>
        </is>
      </c>
      <c r="C620" s="3" t="n">
        <v>2005</v>
      </c>
      <c r="D620" s="3" t="inlineStr">
        <is>
          <t>Overall</t>
        </is>
      </c>
      <c r="E620" s="3" t="inlineStr">
        <is>
          <t>Deciles</t>
        </is>
      </c>
      <c r="F620" s="3" t="inlineStr">
        <is>
          <t>mean</t>
        </is>
      </c>
      <c r="G620" s="3" t="n">
        <v>1</v>
      </c>
      <c r="H620" s="3" t="n">
        <v>-0.7902569174766541</v>
      </c>
      <c r="I620" s="3" t="n">
        <v>-0.7902569174766541</v>
      </c>
      <c r="J620" s="3" t="n">
        <v>-0.9026152491569519</v>
      </c>
      <c r="K620" s="3" t="n">
        <v>-0.9026152491569519</v>
      </c>
      <c r="L620" s="3" t="n">
        <v>-0.7902569174766541</v>
      </c>
      <c r="M620" s="3" t="n">
        <v>-0.7902569174766541</v>
      </c>
      <c r="N620" s="3" t="n">
        <v>-0.7902569174766541</v>
      </c>
      <c r="O620" s="3" t="n">
        <v>-0.7902569174766541</v>
      </c>
      <c r="P620" s="3" t="n">
        <v>-0.7902569174766541</v>
      </c>
      <c r="Q620" s="3" t="n">
        <v>-0.7902569174766541</v>
      </c>
      <c r="R620" s="3" t="n">
        <v>-0.7744752764701843</v>
      </c>
      <c r="S620" s="3" t="n">
        <v>-1.499021172523499</v>
      </c>
      <c r="T620" s="3" t="n">
        <v>-0.7104546427726746</v>
      </c>
      <c r="U620" s="3" t="n">
        <v>-0.9026152491569519</v>
      </c>
      <c r="V620" s="3" t="n">
        <v>-0.6849652528762817</v>
      </c>
      <c r="W620" s="3" t="n">
        <v>-0.632124662399292</v>
      </c>
      <c r="X620" s="3" t="n">
        <v>-1.44105064868927</v>
      </c>
      <c r="Y620" s="3" t="n">
        <v>-0.7902569174766541</v>
      </c>
      <c r="Z620" s="3" t="n">
        <v>-1.499021172523499</v>
      </c>
      <c r="AA620" s="3" t="n">
        <v>-1.499021172523499</v>
      </c>
      <c r="AB620" s="3" t="n">
        <v>-1.44105064868927</v>
      </c>
      <c r="AC620" s="3" t="n">
        <v>-2.350273132324219</v>
      </c>
      <c r="AD620" s="3" t="n">
        <v>-0.9026152491569519</v>
      </c>
      <c r="AE620" s="3" t="n">
        <v>-0.9026152491569519</v>
      </c>
    </row>
    <row r="621">
      <c r="A621" s="3" t="inlineStr">
        <is>
          <t>ECU.distn.dec.ove.mean.2</t>
        </is>
      </c>
      <c r="B621" s="3" t="inlineStr">
        <is>
          <t>ECU</t>
        </is>
      </c>
      <c r="C621" s="3" t="n">
        <v>2005</v>
      </c>
      <c r="D621" s="3" t="inlineStr">
        <is>
          <t>Overall</t>
        </is>
      </c>
      <c r="E621" s="3" t="inlineStr">
        <is>
          <t>Deciles</t>
        </is>
      </c>
      <c r="F621" s="3" t="inlineStr">
        <is>
          <t>mean</t>
        </is>
      </c>
      <c r="G621" s="3" t="n">
        <v>2</v>
      </c>
      <c r="H621" s="3" t="n">
        <v>-0.7902569174766541</v>
      </c>
      <c r="I621" s="3" t="n">
        <v>-0.7902569174766541</v>
      </c>
      <c r="J621" s="3" t="n">
        <v>-0.9026152491569519</v>
      </c>
      <c r="K621" s="3" t="n">
        <v>-0.9026152491569519</v>
      </c>
      <c r="L621" s="3" t="n">
        <v>-0.7902569174766541</v>
      </c>
      <c r="M621" s="3" t="n">
        <v>-0.7902569174766541</v>
      </c>
      <c r="N621" s="3" t="n">
        <v>-0.7902569174766541</v>
      </c>
      <c r="O621" s="3" t="n">
        <v>-0.7902569174766541</v>
      </c>
      <c r="P621" s="3" t="n">
        <v>-0.7902569174766541</v>
      </c>
      <c r="Q621" s="3" t="n">
        <v>-0.7902569174766541</v>
      </c>
      <c r="R621" s="3" t="n">
        <v>-0.7744752764701843</v>
      </c>
      <c r="S621" s="3" t="n">
        <v>-1.499021172523499</v>
      </c>
      <c r="T621" s="3" t="n">
        <v>-0.7104546427726746</v>
      </c>
      <c r="U621" s="3" t="n">
        <v>-0.9026152491569519</v>
      </c>
      <c r="V621" s="3" t="n">
        <v>-0.6849652528762817</v>
      </c>
      <c r="W621" s="3" t="n">
        <v>-0.632124662399292</v>
      </c>
      <c r="X621" s="3" t="n">
        <v>-1.44105064868927</v>
      </c>
      <c r="Y621" s="3" t="n">
        <v>-0.7902569174766541</v>
      </c>
      <c r="Z621" s="3" t="n">
        <v>-1.499021172523499</v>
      </c>
      <c r="AA621" s="3" t="n">
        <v>-1.499021172523499</v>
      </c>
      <c r="AB621" s="3" t="n">
        <v>-1.44105064868927</v>
      </c>
      <c r="AC621" s="3" t="n">
        <v>-2.350273132324219</v>
      </c>
      <c r="AD621" s="3" t="n">
        <v>-0.9026152491569519</v>
      </c>
      <c r="AE621" s="3" t="n">
        <v>-0.9026152491569519</v>
      </c>
    </row>
    <row r="622">
      <c r="A622" s="3" t="inlineStr">
        <is>
          <t>ECU.distn.dec.ove.mean.3</t>
        </is>
      </c>
      <c r="B622" s="3" t="inlineStr">
        <is>
          <t>ECU</t>
        </is>
      </c>
      <c r="C622" s="3" t="n">
        <v>2005</v>
      </c>
      <c r="D622" s="3" t="inlineStr">
        <is>
          <t>Overall</t>
        </is>
      </c>
      <c r="E622" s="3" t="inlineStr">
        <is>
          <t>Deciles</t>
        </is>
      </c>
      <c r="F622" s="3" t="inlineStr">
        <is>
          <t>mean</t>
        </is>
      </c>
      <c r="G622" s="3" t="n">
        <v>3</v>
      </c>
      <c r="H622" s="3" t="n">
        <v>-0.7902569174766541</v>
      </c>
      <c r="I622" s="3" t="n">
        <v>-0.7902569174766541</v>
      </c>
      <c r="J622" s="3" t="n">
        <v>-0.9026152491569519</v>
      </c>
      <c r="K622" s="3" t="n">
        <v>-0.9026152491569519</v>
      </c>
      <c r="L622" s="3" t="n">
        <v>-0.7902569174766541</v>
      </c>
      <c r="M622" s="3" t="n">
        <v>-0.7902569174766541</v>
      </c>
      <c r="N622" s="3" t="n">
        <v>-0.7902569174766541</v>
      </c>
      <c r="O622" s="3" t="n">
        <v>-0.7902569174766541</v>
      </c>
      <c r="P622" s="3" t="n">
        <v>-0.7902569174766541</v>
      </c>
      <c r="Q622" s="3" t="n">
        <v>-0.7902569174766541</v>
      </c>
      <c r="R622" s="3" t="n">
        <v>-0.7744752764701843</v>
      </c>
      <c r="S622" s="3" t="n">
        <v>-1.499021172523499</v>
      </c>
      <c r="T622" s="3" t="n">
        <v>-0.7104546427726746</v>
      </c>
      <c r="U622" s="3" t="n">
        <v>-0.9026152491569519</v>
      </c>
      <c r="V622" s="3" t="n">
        <v>-0.6849652528762817</v>
      </c>
      <c r="W622" s="3" t="n">
        <v>-0.632124662399292</v>
      </c>
      <c r="X622" s="3" t="n">
        <v>-1.44105064868927</v>
      </c>
      <c r="Y622" s="3" t="n">
        <v>-0.7902569174766541</v>
      </c>
      <c r="Z622" s="3" t="n">
        <v>-1.499021172523499</v>
      </c>
      <c r="AA622" s="3" t="n">
        <v>-1.499021172523499</v>
      </c>
      <c r="AB622" s="3" t="n">
        <v>-1.44105064868927</v>
      </c>
      <c r="AC622" s="3" t="n">
        <v>-2.350273132324219</v>
      </c>
      <c r="AD622" s="3" t="n">
        <v>-0.9026152491569519</v>
      </c>
      <c r="AE622" s="3" t="n">
        <v>-0.9026152491569519</v>
      </c>
    </row>
    <row r="623">
      <c r="A623" s="3" t="inlineStr">
        <is>
          <t>ECU.distn.dec.ove.mean.4</t>
        </is>
      </c>
      <c r="B623" s="3" t="inlineStr">
        <is>
          <t>ECU</t>
        </is>
      </c>
      <c r="C623" s="3" t="n">
        <v>2005</v>
      </c>
      <c r="D623" s="3" t="inlineStr">
        <is>
          <t>Overall</t>
        </is>
      </c>
      <c r="E623" s="3" t="inlineStr">
        <is>
          <t>Deciles</t>
        </is>
      </c>
      <c r="F623" s="3" t="inlineStr">
        <is>
          <t>mean</t>
        </is>
      </c>
      <c r="G623" s="3" t="n">
        <v>4</v>
      </c>
      <c r="H623" s="3" t="n">
        <v>-0.7839999794960022</v>
      </c>
      <c r="I623" s="3" t="n">
        <v>-0.7839999794960022</v>
      </c>
      <c r="J623" s="3" t="n">
        <v>-0.859000027179718</v>
      </c>
      <c r="K623" s="3" t="n">
        <v>-0.859000027179718</v>
      </c>
      <c r="L623" s="3" t="n">
        <v>-0.7839999794960022</v>
      </c>
      <c r="M623" s="3" t="n">
        <v>-0.7839999794960022</v>
      </c>
      <c r="N623" s="3" t="n">
        <v>-0.7839999794960022</v>
      </c>
      <c r="O623" s="3" t="n">
        <v>-0.7839999794960022</v>
      </c>
      <c r="P623" s="3" t="n">
        <v>-0.7839999794960022</v>
      </c>
      <c r="Q623" s="3" t="n">
        <v>-0.7839999794960022</v>
      </c>
      <c r="R623" s="3" t="n">
        <v>-0.7710000276565552</v>
      </c>
      <c r="S623" s="3" t="n">
        <v>-1.021000027656555</v>
      </c>
      <c r="T623" s="3" t="n">
        <v>-0.7089999914169312</v>
      </c>
      <c r="U623" s="3" t="n">
        <v>-0.859000027179718</v>
      </c>
      <c r="V623" s="3" t="n">
        <v>-0.6779999732971191</v>
      </c>
      <c r="W623" s="3" t="n">
        <v>-0.5320000052452087</v>
      </c>
      <c r="X623" s="3" t="n">
        <v>-1.016999959945679</v>
      </c>
      <c r="Y623" s="3" t="n">
        <v>-0.7839999794960022</v>
      </c>
      <c r="Z623" s="3" t="n">
        <v>-1.021000027656555</v>
      </c>
      <c r="AA623" s="3" t="n">
        <v>-1.021000027656555</v>
      </c>
      <c r="AB623" s="3" t="n">
        <v>-1.016999959945679</v>
      </c>
      <c r="AC623" s="3" t="n">
        <v>-1.134999990463257</v>
      </c>
      <c r="AD623" s="3" t="n">
        <v>-0.859000027179718</v>
      </c>
      <c r="AE623" s="3" t="n">
        <v>-0.859000027179718</v>
      </c>
    </row>
    <row r="624">
      <c r="A624" s="3" t="inlineStr">
        <is>
          <t>ECU.distn.dec.ove.mean.5</t>
        </is>
      </c>
      <c r="B624" s="3" t="inlineStr">
        <is>
          <t>ECU</t>
        </is>
      </c>
      <c r="C624" s="3" t="n">
        <v>2005</v>
      </c>
      <c r="D624" s="3" t="inlineStr">
        <is>
          <t>Overall</t>
        </is>
      </c>
      <c r="E624" s="3" t="inlineStr">
        <is>
          <t>Deciles</t>
        </is>
      </c>
      <c r="F624" s="3" t="inlineStr">
        <is>
          <t>mean</t>
        </is>
      </c>
      <c r="G624" s="3" t="n">
        <v>5</v>
      </c>
      <c r="H624" s="3" t="n">
        <v>-0.7839999794960022</v>
      </c>
      <c r="I624" s="3" t="n">
        <v>-0.7839999794960022</v>
      </c>
      <c r="J624" s="3" t="n">
        <v>-0.859000027179718</v>
      </c>
      <c r="K624" s="3" t="n">
        <v>-0.859000027179718</v>
      </c>
      <c r="L624" s="3" t="n">
        <v>-0.7839999794960022</v>
      </c>
      <c r="M624" s="3" t="n">
        <v>-0.7839999794960022</v>
      </c>
      <c r="N624" s="3" t="n">
        <v>-0.7839999794960022</v>
      </c>
      <c r="O624" s="3" t="n">
        <v>-0.7839999794960022</v>
      </c>
      <c r="P624" s="3" t="n">
        <v>-0.7839999794960022</v>
      </c>
      <c r="Q624" s="3" t="n">
        <v>-0.7839999794960022</v>
      </c>
      <c r="R624" s="3" t="n">
        <v>-0.7710000276565552</v>
      </c>
      <c r="S624" s="3" t="n">
        <v>-1.021000027656555</v>
      </c>
      <c r="T624" s="3" t="n">
        <v>-0.7089999914169312</v>
      </c>
      <c r="U624" s="3" t="n">
        <v>-0.859000027179718</v>
      </c>
      <c r="V624" s="3" t="n">
        <v>-0.6779999732971191</v>
      </c>
      <c r="W624" s="3" t="n">
        <v>-0.5320000052452087</v>
      </c>
      <c r="X624" s="3" t="n">
        <v>-1.016999959945679</v>
      </c>
      <c r="Y624" s="3" t="n">
        <v>-0.7839999794960022</v>
      </c>
      <c r="Z624" s="3" t="n">
        <v>-1.021000027656555</v>
      </c>
      <c r="AA624" s="3" t="n">
        <v>-1.021000027656555</v>
      </c>
      <c r="AB624" s="3" t="n">
        <v>-1.016999959945679</v>
      </c>
      <c r="AC624" s="3" t="n">
        <v>-1.134999990463257</v>
      </c>
      <c r="AD624" s="3" t="n">
        <v>-0.859000027179718</v>
      </c>
      <c r="AE624" s="3" t="n">
        <v>-0.859000027179718</v>
      </c>
    </row>
    <row r="625">
      <c r="A625" s="3" t="inlineStr">
        <is>
          <t>ECU.distn.dec.ove.mean.6</t>
        </is>
      </c>
      <c r="B625" s="3" t="inlineStr">
        <is>
          <t>ECU</t>
        </is>
      </c>
      <c r="C625" s="3" t="n">
        <v>2005</v>
      </c>
      <c r="D625" s="3" t="inlineStr">
        <is>
          <t>Overall</t>
        </is>
      </c>
      <c r="E625" s="3" t="inlineStr">
        <is>
          <t>Deciles</t>
        </is>
      </c>
      <c r="F625" s="3" t="inlineStr">
        <is>
          <t>mean</t>
        </is>
      </c>
      <c r="G625" s="3" t="n">
        <v>6</v>
      </c>
      <c r="H625" s="3" t="n">
        <v>-0.7839999794960022</v>
      </c>
      <c r="I625" s="3" t="n">
        <v>-0.7839999794960022</v>
      </c>
      <c r="J625" s="3" t="n">
        <v>-0.859000027179718</v>
      </c>
      <c r="K625" s="3" t="n">
        <v>-0.859000027179718</v>
      </c>
      <c r="L625" s="3" t="n">
        <v>-0.7839999794960022</v>
      </c>
      <c r="M625" s="3" t="n">
        <v>-0.7839999794960022</v>
      </c>
      <c r="N625" s="3" t="n">
        <v>-0.7839999794960022</v>
      </c>
      <c r="O625" s="3" t="n">
        <v>-0.7839999794960022</v>
      </c>
      <c r="P625" s="3" t="n">
        <v>-0.7839999794960022</v>
      </c>
      <c r="Q625" s="3" t="n">
        <v>-0.7839999794960022</v>
      </c>
      <c r="R625" s="3" t="n">
        <v>-0.7710000276565552</v>
      </c>
      <c r="S625" s="3" t="n">
        <v>-1.021000027656555</v>
      </c>
      <c r="T625" s="3" t="n">
        <v>-0.7089999914169312</v>
      </c>
      <c r="U625" s="3" t="n">
        <v>-0.859000027179718</v>
      </c>
      <c r="V625" s="3" t="n">
        <v>-0.6779999732971191</v>
      </c>
      <c r="W625" s="3" t="n">
        <v>-0.5320000052452087</v>
      </c>
      <c r="X625" s="3" t="n">
        <v>-1.016999959945679</v>
      </c>
      <c r="Y625" s="3" t="n">
        <v>-0.7839999794960022</v>
      </c>
      <c r="Z625" s="3" t="n">
        <v>-1.021000027656555</v>
      </c>
      <c r="AA625" s="3" t="n">
        <v>-1.021000027656555</v>
      </c>
      <c r="AB625" s="3" t="n">
        <v>-1.016999959945679</v>
      </c>
      <c r="AC625" s="3" t="n">
        <v>-1.134999990463257</v>
      </c>
      <c r="AD625" s="3" t="n">
        <v>-0.859000027179718</v>
      </c>
      <c r="AE625" s="3" t="n">
        <v>-0.859000027179718</v>
      </c>
    </row>
    <row r="626">
      <c r="A626" s="3" t="inlineStr">
        <is>
          <t>ECU.distn.dec.ove.mean.7</t>
        </is>
      </c>
      <c r="B626" s="3" t="inlineStr">
        <is>
          <t>ECU</t>
        </is>
      </c>
      <c r="C626" s="3" t="n">
        <v>2005</v>
      </c>
      <c r="D626" s="3" t="inlineStr">
        <is>
          <t>Overall</t>
        </is>
      </c>
      <c r="E626" s="3" t="inlineStr">
        <is>
          <t>Deciles</t>
        </is>
      </c>
      <c r="F626" s="3" t="inlineStr">
        <is>
          <t>mean</t>
        </is>
      </c>
      <c r="G626" s="3" t="n">
        <v>7</v>
      </c>
      <c r="H626" s="3" t="n">
        <v>-0.7839999794960022</v>
      </c>
      <c r="I626" s="3" t="n">
        <v>-0.7839999794960022</v>
      </c>
      <c r="J626" s="3" t="n">
        <v>-0.859000027179718</v>
      </c>
      <c r="K626" s="3" t="n">
        <v>-0.859000027179718</v>
      </c>
      <c r="L626" s="3" t="n">
        <v>-0.7839999794960022</v>
      </c>
      <c r="M626" s="3" t="n">
        <v>-0.7839999794960022</v>
      </c>
      <c r="N626" s="3" t="n">
        <v>-0.7839999794960022</v>
      </c>
      <c r="O626" s="3" t="n">
        <v>-0.7839999794960022</v>
      </c>
      <c r="P626" s="3" t="n">
        <v>-0.7839999794960022</v>
      </c>
      <c r="Q626" s="3" t="n">
        <v>-0.7839999794960022</v>
      </c>
      <c r="R626" s="3" t="n">
        <v>-0.7710000276565552</v>
      </c>
      <c r="S626" s="3" t="n">
        <v>-1.021000027656555</v>
      </c>
      <c r="T626" s="3" t="n">
        <v>-0.7089999914169312</v>
      </c>
      <c r="U626" s="3" t="n">
        <v>-0.859000027179718</v>
      </c>
      <c r="V626" s="3" t="n">
        <v>-0.6779999732971191</v>
      </c>
      <c r="W626" s="3" t="n">
        <v>-0.5320000052452087</v>
      </c>
      <c r="X626" s="3" t="n">
        <v>-1.016999959945679</v>
      </c>
      <c r="Y626" s="3" t="n">
        <v>-0.7839999794960022</v>
      </c>
      <c r="Z626" s="3" t="n">
        <v>-1.021000027656555</v>
      </c>
      <c r="AA626" s="3" t="n">
        <v>-1.021000027656555</v>
      </c>
      <c r="AB626" s="3" t="n">
        <v>-1.016999959945679</v>
      </c>
      <c r="AC626" s="3" t="n">
        <v>-1.134999990463257</v>
      </c>
      <c r="AD626" s="3" t="n">
        <v>-0.859000027179718</v>
      </c>
      <c r="AE626" s="3" t="n">
        <v>-0.859000027179718</v>
      </c>
    </row>
    <row r="627">
      <c r="A627" s="3" t="inlineStr">
        <is>
          <t>ECU.distn.dec.ove.mean.8</t>
        </is>
      </c>
      <c r="B627" s="3" t="inlineStr">
        <is>
          <t>ECU</t>
        </is>
      </c>
      <c r="C627" s="3" t="n">
        <v>2005</v>
      </c>
      <c r="D627" s="3" t="inlineStr">
        <is>
          <t>Overall</t>
        </is>
      </c>
      <c r="E627" s="3" t="inlineStr">
        <is>
          <t>Deciles</t>
        </is>
      </c>
      <c r="F627" s="3" t="inlineStr">
        <is>
          <t>mean</t>
        </is>
      </c>
      <c r="G627" s="3" t="n">
        <v>8</v>
      </c>
      <c r="H627" s="3" t="n">
        <v>-0.7843776941299438</v>
      </c>
      <c r="I627" s="3" t="n">
        <v>-0.7843776941299438</v>
      </c>
      <c r="J627" s="3" t="n">
        <v>-0.8613172173500061</v>
      </c>
      <c r="K627" s="3" t="n">
        <v>-0.8613172173500061</v>
      </c>
      <c r="L627" s="3" t="n">
        <v>-0.7843776941299438</v>
      </c>
      <c r="M627" s="3" t="n">
        <v>-0.7843776941299438</v>
      </c>
      <c r="N627" s="3" t="n">
        <v>-0.7843776941299438</v>
      </c>
      <c r="O627" s="3" t="n">
        <v>-0.7843776941299438</v>
      </c>
      <c r="P627" s="3" t="n">
        <v>-0.7843776941299438</v>
      </c>
      <c r="Q627" s="3" t="n">
        <v>-0.7843776941299438</v>
      </c>
      <c r="R627" s="3" t="n">
        <v>-0.7712535858154297</v>
      </c>
      <c r="S627" s="3" t="n">
        <v>-1.030500531196594</v>
      </c>
      <c r="T627" s="3" t="n">
        <v>-0.7090408802032471</v>
      </c>
      <c r="U627" s="3" t="n">
        <v>-0.8613172173500061</v>
      </c>
      <c r="V627" s="3" t="n">
        <v>-0.6787009239196777</v>
      </c>
      <c r="W627" s="3" t="n">
        <v>-0.546246349811554</v>
      </c>
      <c r="X627" s="3" t="n">
        <v>-1.026266932487488</v>
      </c>
      <c r="Y627" s="3" t="n">
        <v>-0.7843776941299438</v>
      </c>
      <c r="Z627" s="3" t="n">
        <v>-1.030500531196594</v>
      </c>
      <c r="AA627" s="3" t="n">
        <v>-1.030500531196594</v>
      </c>
      <c r="AB627" s="3" t="n">
        <v>-1.026266932487488</v>
      </c>
      <c r="AC627" s="3" t="n">
        <v>-1.151186585426331</v>
      </c>
      <c r="AD627" s="3" t="n">
        <v>-0.8613172173500061</v>
      </c>
      <c r="AE627" s="3" t="n">
        <v>-0.8613172173500061</v>
      </c>
    </row>
    <row r="628">
      <c r="A628" s="3" t="inlineStr">
        <is>
          <t>ECU.distn.dec.ove.mean.9</t>
        </is>
      </c>
      <c r="B628" s="3" t="inlineStr">
        <is>
          <t>ECU</t>
        </is>
      </c>
      <c r="C628" s="3" t="n">
        <v>2005</v>
      </c>
      <c r="D628" s="3" t="inlineStr">
        <is>
          <t>Overall</t>
        </is>
      </c>
      <c r="E628" s="3" t="inlineStr">
        <is>
          <t>Deciles</t>
        </is>
      </c>
      <c r="F628" s="3" t="inlineStr">
        <is>
          <t>mean</t>
        </is>
      </c>
      <c r="G628" s="3" t="n">
        <v>9</v>
      </c>
      <c r="H628" s="3" t="n">
        <v>-0.7843776941299438</v>
      </c>
      <c r="I628" s="3" t="n">
        <v>-0.7843776941299438</v>
      </c>
      <c r="J628" s="3" t="n">
        <v>-0.8613172173500061</v>
      </c>
      <c r="K628" s="3" t="n">
        <v>-0.8613172173500061</v>
      </c>
      <c r="L628" s="3" t="n">
        <v>-0.7843776941299438</v>
      </c>
      <c r="M628" s="3" t="n">
        <v>-0.7843776941299438</v>
      </c>
      <c r="N628" s="3" t="n">
        <v>-0.7843776941299438</v>
      </c>
      <c r="O628" s="3" t="n">
        <v>-0.7843776941299438</v>
      </c>
      <c r="P628" s="3" t="n">
        <v>-0.7843776941299438</v>
      </c>
      <c r="Q628" s="3" t="n">
        <v>-0.7843776941299438</v>
      </c>
      <c r="R628" s="3" t="n">
        <v>-0.7712535858154297</v>
      </c>
      <c r="S628" s="3" t="n">
        <v>-1.030500531196594</v>
      </c>
      <c r="T628" s="3" t="n">
        <v>-0.7090408802032471</v>
      </c>
      <c r="U628" s="3" t="n">
        <v>-0.8613172173500061</v>
      </c>
      <c r="V628" s="3" t="n">
        <v>-0.6787009239196777</v>
      </c>
      <c r="W628" s="3" t="n">
        <v>-0.546246349811554</v>
      </c>
      <c r="X628" s="3" t="n">
        <v>-1.026266932487488</v>
      </c>
      <c r="Y628" s="3" t="n">
        <v>-0.7843776941299438</v>
      </c>
      <c r="Z628" s="3" t="n">
        <v>-1.030500531196594</v>
      </c>
      <c r="AA628" s="3" t="n">
        <v>-1.030500531196594</v>
      </c>
      <c r="AB628" s="3" t="n">
        <v>-1.026266932487488</v>
      </c>
      <c r="AC628" s="3" t="n">
        <v>-1.151186585426331</v>
      </c>
      <c r="AD628" s="3" t="n">
        <v>-0.8613172173500061</v>
      </c>
      <c r="AE628" s="3" t="n">
        <v>-0.8613172173500061</v>
      </c>
    </row>
    <row r="629">
      <c r="A629" s="3" t="inlineStr">
        <is>
          <t>ECU.distn.dec.ove.mean.10</t>
        </is>
      </c>
      <c r="B629" s="3" t="inlineStr">
        <is>
          <t>ECU</t>
        </is>
      </c>
      <c r="C629" s="3" t="n">
        <v>2005</v>
      </c>
      <c r="D629" s="3" t="inlineStr">
        <is>
          <t>Overall</t>
        </is>
      </c>
      <c r="E629" s="3" t="inlineStr">
        <is>
          <t>Deciles</t>
        </is>
      </c>
      <c r="F629" s="3" t="inlineStr">
        <is>
          <t>mean</t>
        </is>
      </c>
      <c r="G629" s="3" t="n">
        <v>10</v>
      </c>
      <c r="H629" s="3" t="n">
        <v>-0.7843776941299438</v>
      </c>
      <c r="I629" s="3" t="n">
        <v>-0.7843776941299438</v>
      </c>
      <c r="J629" s="3" t="n">
        <v>-0.8613172173500061</v>
      </c>
      <c r="K629" s="3" t="n">
        <v>-0.8613172173500061</v>
      </c>
      <c r="L629" s="3" t="n">
        <v>-0.7843776941299438</v>
      </c>
      <c r="M629" s="3" t="n">
        <v>-0.7843776941299438</v>
      </c>
      <c r="N629" s="3" t="n">
        <v>-0.7843776941299438</v>
      </c>
      <c r="O629" s="3" t="n">
        <v>-0.7843776941299438</v>
      </c>
      <c r="P629" s="3" t="n">
        <v>-0.7843776941299438</v>
      </c>
      <c r="Q629" s="3" t="n">
        <v>-0.7843776941299438</v>
      </c>
      <c r="R629" s="3" t="n">
        <v>-0.7712535858154297</v>
      </c>
      <c r="S629" s="3" t="n">
        <v>-1.030500531196594</v>
      </c>
      <c r="T629" s="3" t="n">
        <v>-0.7090408802032471</v>
      </c>
      <c r="U629" s="3" t="n">
        <v>-0.8613172173500061</v>
      </c>
      <c r="V629" s="3" t="n">
        <v>-0.6787009239196777</v>
      </c>
      <c r="W629" s="3" t="n">
        <v>-0.546246349811554</v>
      </c>
      <c r="X629" s="3" t="n">
        <v>-1.026266932487488</v>
      </c>
      <c r="Y629" s="3" t="n">
        <v>-0.7843776941299438</v>
      </c>
      <c r="Z629" s="3" t="n">
        <v>-1.030500531196594</v>
      </c>
      <c r="AA629" s="3" t="n">
        <v>-1.030500531196594</v>
      </c>
      <c r="AB629" s="3" t="n">
        <v>-1.026266932487488</v>
      </c>
      <c r="AC629" s="3" t="n">
        <v>-1.151186585426331</v>
      </c>
      <c r="AD629" s="3" t="n">
        <v>-0.8613172173500061</v>
      </c>
      <c r="AE629" s="3" t="n">
        <v>-0.8613172173500061</v>
      </c>
    </row>
    <row r="630">
      <c r="A630" s="3" t="inlineStr">
        <is>
          <t>ECU.distn.bkt.ove.mean.9999</t>
        </is>
      </c>
      <c r="B630" s="3" t="inlineStr">
        <is>
          <t>ECU</t>
        </is>
      </c>
      <c r="C630" s="3" t="n">
        <v>2005</v>
      </c>
      <c r="D630" s="3" t="inlineStr">
        <is>
          <t>Overall</t>
        </is>
      </c>
      <c r="E630" s="3" t="inlineStr">
        <is>
          <t>Basket</t>
        </is>
      </c>
      <c r="F630" s="3" t="inlineStr">
        <is>
          <t>mean</t>
        </is>
      </c>
      <c r="G630" s="3" t="n">
        <v>9999</v>
      </c>
      <c r="H630" s="3" t="n">
        <v>-0.7859903573989868</v>
      </c>
      <c r="I630" s="3" t="n">
        <v>-0.7859903573989868</v>
      </c>
      <c r="J630" s="3" t="n">
        <v>-0.8727797269821167</v>
      </c>
      <c r="K630" s="3" t="n">
        <v>-0.8727797269821167</v>
      </c>
      <c r="L630" s="3" t="n">
        <v>-0.7859903573989868</v>
      </c>
      <c r="M630" s="3" t="n">
        <v>-0.7859903573989868</v>
      </c>
      <c r="N630" s="3" t="n">
        <v>-0.7859903573989868</v>
      </c>
      <c r="O630" s="3" t="n">
        <v>-0.7859903573989868</v>
      </c>
      <c r="P630" s="3" t="n">
        <v>-0.7859903573989868</v>
      </c>
      <c r="Q630" s="3" t="n">
        <v>-0.7859903573989868</v>
      </c>
      <c r="R630" s="3" t="n">
        <v>-0.7721186876296997</v>
      </c>
      <c r="S630" s="3" t="n">
        <v>-1.167256474494934</v>
      </c>
      <c r="T630" s="3" t="n">
        <v>-0.7094486355781555</v>
      </c>
      <c r="U630" s="3" t="n">
        <v>-0.8727797269821167</v>
      </c>
      <c r="V630" s="3" t="n">
        <v>-0.6802998185157776</v>
      </c>
      <c r="W630" s="3" t="n">
        <v>-0.5663112998008728</v>
      </c>
      <c r="X630" s="3" t="n">
        <v>-1.146995306015015</v>
      </c>
      <c r="Y630" s="3" t="n">
        <v>-0.7859903573989868</v>
      </c>
      <c r="Z630" s="3" t="n">
        <v>-1.167256474494934</v>
      </c>
      <c r="AA630" s="3" t="n">
        <v>-1.167256474494934</v>
      </c>
      <c r="AB630" s="3" t="n">
        <v>-1.146995306015015</v>
      </c>
      <c r="AC630" s="3" t="n">
        <v>-1.504437923431396</v>
      </c>
      <c r="AD630" s="3" t="n">
        <v>-0.8727797269821167</v>
      </c>
      <c r="AE630" s="3" t="n">
        <v>-0.8727797269821167</v>
      </c>
    </row>
    <row r="631">
      <c r="A631" s="3" t="inlineStr">
        <is>
          <t>EGY.distn.dec.ove.mean.1</t>
        </is>
      </c>
      <c r="B631" s="3" t="inlineStr">
        <is>
          <t>EGY</t>
        </is>
      </c>
      <c r="C631" s="3" t="n">
        <v>2005</v>
      </c>
      <c r="D631" s="3" t="inlineStr">
        <is>
          <t>Overall</t>
        </is>
      </c>
      <c r="E631" s="3" t="inlineStr">
        <is>
          <t>Deciles</t>
        </is>
      </c>
      <c r="F631" s="3" t="inlineStr">
        <is>
          <t>mean</t>
        </is>
      </c>
      <c r="G631" s="3" t="n">
        <v>1</v>
      </c>
      <c r="H631" s="3" t="n">
        <v>-0.7902569174766541</v>
      </c>
      <c r="I631" s="3" t="n">
        <v>-0.7902569174766541</v>
      </c>
      <c r="J631" s="3" t="n">
        <v>-0.9036660194396973</v>
      </c>
      <c r="K631" s="3" t="n">
        <v>-0.9036660194396973</v>
      </c>
      <c r="L631" s="3" t="n">
        <v>-0.7902569174766541</v>
      </c>
      <c r="M631" s="3" t="n">
        <v>-0.7902569174766541</v>
      </c>
      <c r="N631" s="3" t="n">
        <v>-0.7902569174766541</v>
      </c>
      <c r="O631" s="3" t="n">
        <v>-0.7902569174766541</v>
      </c>
      <c r="P631" s="3" t="n">
        <v>-0.7902569174766541</v>
      </c>
      <c r="Q631" s="3" t="n">
        <v>-0.7902569174766541</v>
      </c>
      <c r="R631" s="3" t="n">
        <v>-0.7744752764701843</v>
      </c>
      <c r="S631" s="3" t="n">
        <v>-1.507830381393433</v>
      </c>
      <c r="T631" s="3" t="n">
        <v>-0.7104546427726746</v>
      </c>
      <c r="U631" s="3" t="n">
        <v>-0.9036660194396973</v>
      </c>
      <c r="V631" s="3" t="n">
        <v>-0.6849652528762817</v>
      </c>
      <c r="W631" s="3" t="n">
        <v>-0.6356893181800842</v>
      </c>
      <c r="X631" s="3" t="n">
        <v>-1.449552416801453</v>
      </c>
      <c r="Y631" s="3" t="n">
        <v>-0.7902569174766541</v>
      </c>
      <c r="Z631" s="3" t="n">
        <v>-1.507830381393433</v>
      </c>
      <c r="AA631" s="3" t="n">
        <v>-1.507830381393433</v>
      </c>
      <c r="AB631" s="3" t="n">
        <v>-1.449552416801453</v>
      </c>
      <c r="AC631" s="3" t="n">
        <v>-2.375121831893921</v>
      </c>
      <c r="AD631" s="3" t="n">
        <v>-0.9036660194396973</v>
      </c>
      <c r="AE631" s="3" t="n">
        <v>-0.9036660194396973</v>
      </c>
    </row>
    <row r="632">
      <c r="A632" s="3" t="inlineStr">
        <is>
          <t>EGY.distn.dec.ove.mean.2</t>
        </is>
      </c>
      <c r="B632" s="3" t="inlineStr">
        <is>
          <t>EGY</t>
        </is>
      </c>
      <c r="C632" s="3" t="n">
        <v>2005</v>
      </c>
      <c r="D632" s="3" t="inlineStr">
        <is>
          <t>Overall</t>
        </is>
      </c>
      <c r="E632" s="3" t="inlineStr">
        <is>
          <t>Deciles</t>
        </is>
      </c>
      <c r="F632" s="3" t="inlineStr">
        <is>
          <t>mean</t>
        </is>
      </c>
      <c r="G632" s="3" t="n">
        <v>2</v>
      </c>
      <c r="H632" s="3" t="n">
        <v>-0.7902569174766541</v>
      </c>
      <c r="I632" s="3" t="n">
        <v>-0.7902569174766541</v>
      </c>
      <c r="J632" s="3" t="n">
        <v>-0.9036660194396973</v>
      </c>
      <c r="K632" s="3" t="n">
        <v>-0.9036660194396973</v>
      </c>
      <c r="L632" s="3" t="n">
        <v>-0.7902569174766541</v>
      </c>
      <c r="M632" s="3" t="n">
        <v>-0.7902569174766541</v>
      </c>
      <c r="N632" s="3" t="n">
        <v>-0.7902569174766541</v>
      </c>
      <c r="O632" s="3" t="n">
        <v>-0.7902569174766541</v>
      </c>
      <c r="P632" s="3" t="n">
        <v>-0.7902569174766541</v>
      </c>
      <c r="Q632" s="3" t="n">
        <v>-0.7902569174766541</v>
      </c>
      <c r="R632" s="3" t="n">
        <v>-0.7744752764701843</v>
      </c>
      <c r="S632" s="3" t="n">
        <v>-1.507830381393433</v>
      </c>
      <c r="T632" s="3" t="n">
        <v>-0.7104546427726746</v>
      </c>
      <c r="U632" s="3" t="n">
        <v>-0.9036660194396973</v>
      </c>
      <c r="V632" s="3" t="n">
        <v>-0.6849652528762817</v>
      </c>
      <c r="W632" s="3" t="n">
        <v>-0.6356893181800842</v>
      </c>
      <c r="X632" s="3" t="n">
        <v>-1.449552416801453</v>
      </c>
      <c r="Y632" s="3" t="n">
        <v>-0.7902569174766541</v>
      </c>
      <c r="Z632" s="3" t="n">
        <v>-1.507830381393433</v>
      </c>
      <c r="AA632" s="3" t="n">
        <v>-1.507830381393433</v>
      </c>
      <c r="AB632" s="3" t="n">
        <v>-1.449552416801453</v>
      </c>
      <c r="AC632" s="3" t="n">
        <v>-2.375121831893921</v>
      </c>
      <c r="AD632" s="3" t="n">
        <v>-0.9036660194396973</v>
      </c>
      <c r="AE632" s="3" t="n">
        <v>-0.9036660194396973</v>
      </c>
    </row>
    <row r="633">
      <c r="A633" s="3" t="inlineStr">
        <is>
          <t>EGY.distn.dec.ove.mean.3</t>
        </is>
      </c>
      <c r="B633" s="3" t="inlineStr">
        <is>
          <t>EGY</t>
        </is>
      </c>
      <c r="C633" s="3" t="n">
        <v>2005</v>
      </c>
      <c r="D633" s="3" t="inlineStr">
        <is>
          <t>Overall</t>
        </is>
      </c>
      <c r="E633" s="3" t="inlineStr">
        <is>
          <t>Deciles</t>
        </is>
      </c>
      <c r="F633" s="3" t="inlineStr">
        <is>
          <t>mean</t>
        </is>
      </c>
      <c r="G633" s="3" t="n">
        <v>3</v>
      </c>
      <c r="H633" s="3" t="n">
        <v>-0.7902569174766541</v>
      </c>
      <c r="I633" s="3" t="n">
        <v>-0.7902569174766541</v>
      </c>
      <c r="J633" s="3" t="n">
        <v>-0.9036660194396973</v>
      </c>
      <c r="K633" s="3" t="n">
        <v>-0.9036660194396973</v>
      </c>
      <c r="L633" s="3" t="n">
        <v>-0.7902569174766541</v>
      </c>
      <c r="M633" s="3" t="n">
        <v>-0.7902569174766541</v>
      </c>
      <c r="N633" s="3" t="n">
        <v>-0.7902569174766541</v>
      </c>
      <c r="O633" s="3" t="n">
        <v>-0.7902569174766541</v>
      </c>
      <c r="P633" s="3" t="n">
        <v>-0.7902569174766541</v>
      </c>
      <c r="Q633" s="3" t="n">
        <v>-0.7902569174766541</v>
      </c>
      <c r="R633" s="3" t="n">
        <v>-0.7744752764701843</v>
      </c>
      <c r="S633" s="3" t="n">
        <v>-1.507830381393433</v>
      </c>
      <c r="T633" s="3" t="n">
        <v>-0.7104546427726746</v>
      </c>
      <c r="U633" s="3" t="n">
        <v>-0.9036660194396973</v>
      </c>
      <c r="V633" s="3" t="n">
        <v>-0.6849652528762817</v>
      </c>
      <c r="W633" s="3" t="n">
        <v>-0.6356893181800842</v>
      </c>
      <c r="X633" s="3" t="n">
        <v>-1.449552416801453</v>
      </c>
      <c r="Y633" s="3" t="n">
        <v>-0.7902569174766541</v>
      </c>
      <c r="Z633" s="3" t="n">
        <v>-1.507830381393433</v>
      </c>
      <c r="AA633" s="3" t="n">
        <v>-1.507830381393433</v>
      </c>
      <c r="AB633" s="3" t="n">
        <v>-1.449552416801453</v>
      </c>
      <c r="AC633" s="3" t="n">
        <v>-2.375121831893921</v>
      </c>
      <c r="AD633" s="3" t="n">
        <v>-0.9036660194396973</v>
      </c>
      <c r="AE633" s="3" t="n">
        <v>-0.9036660194396973</v>
      </c>
    </row>
    <row r="634">
      <c r="A634" s="3" t="inlineStr">
        <is>
          <t>EGY.distn.dec.ove.mean.4</t>
        </is>
      </c>
      <c r="B634" s="3" t="inlineStr">
        <is>
          <t>EGY</t>
        </is>
      </c>
      <c r="C634" s="3" t="n">
        <v>2005</v>
      </c>
      <c r="D634" s="3" t="inlineStr">
        <is>
          <t>Overall</t>
        </is>
      </c>
      <c r="E634" s="3" t="inlineStr">
        <is>
          <t>Deciles</t>
        </is>
      </c>
      <c r="F634" s="3" t="inlineStr">
        <is>
          <t>mean</t>
        </is>
      </c>
      <c r="G634" s="3" t="n">
        <v>4</v>
      </c>
      <c r="H634" s="3" t="n">
        <v>-0.7839999794960022</v>
      </c>
      <c r="I634" s="3" t="n">
        <v>-0.7839999794960022</v>
      </c>
      <c r="J634" s="3" t="n">
        <v>-0.8600000143051147</v>
      </c>
      <c r="K634" s="3" t="n">
        <v>-0.8600000143051147</v>
      </c>
      <c r="L634" s="3" t="n">
        <v>-0.7839999794960022</v>
      </c>
      <c r="M634" s="3" t="n">
        <v>-0.7839999794960022</v>
      </c>
      <c r="N634" s="3" t="n">
        <v>-0.7839999794960022</v>
      </c>
      <c r="O634" s="3" t="n">
        <v>-0.7839999794960022</v>
      </c>
      <c r="P634" s="3" t="n">
        <v>-0.7839999794960022</v>
      </c>
      <c r="Q634" s="3" t="n">
        <v>-0.7839999794960022</v>
      </c>
      <c r="R634" s="3" t="n">
        <v>-0.7710000276565552</v>
      </c>
      <c r="S634" s="3" t="n">
        <v>-1.026999950408936</v>
      </c>
      <c r="T634" s="3" t="n">
        <v>-0.7089999914169312</v>
      </c>
      <c r="U634" s="3" t="n">
        <v>-0.8600000143051147</v>
      </c>
      <c r="V634" s="3" t="n">
        <v>-0.6779999732971191</v>
      </c>
      <c r="W634" s="3" t="n">
        <v>-0.5350000262260437</v>
      </c>
      <c r="X634" s="3" t="n">
        <v>-1.023000001907349</v>
      </c>
      <c r="Y634" s="3" t="n">
        <v>-0.7839999794960022</v>
      </c>
      <c r="Z634" s="3" t="n">
        <v>-1.026999950408936</v>
      </c>
      <c r="AA634" s="3" t="n">
        <v>-1.026999950408936</v>
      </c>
      <c r="AB634" s="3" t="n">
        <v>-1.023000001907349</v>
      </c>
      <c r="AC634" s="3" t="n">
        <v>-1.146999955177307</v>
      </c>
      <c r="AD634" s="3" t="n">
        <v>-0.8600000143051147</v>
      </c>
      <c r="AE634" s="3" t="n">
        <v>-0.8600000143051147</v>
      </c>
    </row>
    <row r="635">
      <c r="A635" s="3" t="inlineStr">
        <is>
          <t>EGY.distn.dec.ove.mean.5</t>
        </is>
      </c>
      <c r="B635" s="3" t="inlineStr">
        <is>
          <t>EGY</t>
        </is>
      </c>
      <c r="C635" s="3" t="n">
        <v>2005</v>
      </c>
      <c r="D635" s="3" t="inlineStr">
        <is>
          <t>Overall</t>
        </is>
      </c>
      <c r="E635" s="3" t="inlineStr">
        <is>
          <t>Deciles</t>
        </is>
      </c>
      <c r="F635" s="3" t="inlineStr">
        <is>
          <t>mean</t>
        </is>
      </c>
      <c r="G635" s="3" t="n">
        <v>5</v>
      </c>
      <c r="H635" s="3" t="n">
        <v>-0.7839999794960022</v>
      </c>
      <c r="I635" s="3" t="n">
        <v>-0.7839999794960022</v>
      </c>
      <c r="J635" s="3" t="n">
        <v>-0.8600000143051147</v>
      </c>
      <c r="K635" s="3" t="n">
        <v>-0.8600000143051147</v>
      </c>
      <c r="L635" s="3" t="n">
        <v>-0.7839999794960022</v>
      </c>
      <c r="M635" s="3" t="n">
        <v>-0.7839999794960022</v>
      </c>
      <c r="N635" s="3" t="n">
        <v>-0.7839999794960022</v>
      </c>
      <c r="O635" s="3" t="n">
        <v>-0.7839999794960022</v>
      </c>
      <c r="P635" s="3" t="n">
        <v>-0.7839999794960022</v>
      </c>
      <c r="Q635" s="3" t="n">
        <v>-0.7839999794960022</v>
      </c>
      <c r="R635" s="3" t="n">
        <v>-0.7710000276565552</v>
      </c>
      <c r="S635" s="3" t="n">
        <v>-1.026999950408936</v>
      </c>
      <c r="T635" s="3" t="n">
        <v>-0.7089999914169312</v>
      </c>
      <c r="U635" s="3" t="n">
        <v>-0.8600000143051147</v>
      </c>
      <c r="V635" s="3" t="n">
        <v>-0.6779999732971191</v>
      </c>
      <c r="W635" s="3" t="n">
        <v>-0.5350000262260437</v>
      </c>
      <c r="X635" s="3" t="n">
        <v>-1.023000001907349</v>
      </c>
      <c r="Y635" s="3" t="n">
        <v>-0.7839999794960022</v>
      </c>
      <c r="Z635" s="3" t="n">
        <v>-1.026999950408936</v>
      </c>
      <c r="AA635" s="3" t="n">
        <v>-1.026999950408936</v>
      </c>
      <c r="AB635" s="3" t="n">
        <v>-1.023000001907349</v>
      </c>
      <c r="AC635" s="3" t="n">
        <v>-1.146999955177307</v>
      </c>
      <c r="AD635" s="3" t="n">
        <v>-0.8600000143051147</v>
      </c>
      <c r="AE635" s="3" t="n">
        <v>-0.8600000143051147</v>
      </c>
    </row>
    <row r="636">
      <c r="A636" s="3" t="inlineStr">
        <is>
          <t>EGY.distn.dec.ove.mean.6</t>
        </is>
      </c>
      <c r="B636" s="3" t="inlineStr">
        <is>
          <t>EGY</t>
        </is>
      </c>
      <c r="C636" s="3" t="n">
        <v>2005</v>
      </c>
      <c r="D636" s="3" t="inlineStr">
        <is>
          <t>Overall</t>
        </is>
      </c>
      <c r="E636" s="3" t="inlineStr">
        <is>
          <t>Deciles</t>
        </is>
      </c>
      <c r="F636" s="3" t="inlineStr">
        <is>
          <t>mean</t>
        </is>
      </c>
      <c r="G636" s="3" t="n">
        <v>6</v>
      </c>
      <c r="H636" s="3" t="n">
        <v>-0.7839999794960022</v>
      </c>
      <c r="I636" s="3" t="n">
        <v>-0.7839999794960022</v>
      </c>
      <c r="J636" s="3" t="n">
        <v>-0.8600000143051147</v>
      </c>
      <c r="K636" s="3" t="n">
        <v>-0.8600000143051147</v>
      </c>
      <c r="L636" s="3" t="n">
        <v>-0.7839999794960022</v>
      </c>
      <c r="M636" s="3" t="n">
        <v>-0.7839999794960022</v>
      </c>
      <c r="N636" s="3" t="n">
        <v>-0.7839999794960022</v>
      </c>
      <c r="O636" s="3" t="n">
        <v>-0.7839999794960022</v>
      </c>
      <c r="P636" s="3" t="n">
        <v>-0.7839999794960022</v>
      </c>
      <c r="Q636" s="3" t="n">
        <v>-0.7839999794960022</v>
      </c>
      <c r="R636" s="3" t="n">
        <v>-0.7710000276565552</v>
      </c>
      <c r="S636" s="3" t="n">
        <v>-1.026999950408936</v>
      </c>
      <c r="T636" s="3" t="n">
        <v>-0.7089999914169312</v>
      </c>
      <c r="U636" s="3" t="n">
        <v>-0.8600000143051147</v>
      </c>
      <c r="V636" s="3" t="n">
        <v>-0.6779999732971191</v>
      </c>
      <c r="W636" s="3" t="n">
        <v>-0.5350000262260437</v>
      </c>
      <c r="X636" s="3" t="n">
        <v>-1.023000001907349</v>
      </c>
      <c r="Y636" s="3" t="n">
        <v>-0.7839999794960022</v>
      </c>
      <c r="Z636" s="3" t="n">
        <v>-1.026999950408936</v>
      </c>
      <c r="AA636" s="3" t="n">
        <v>-1.026999950408936</v>
      </c>
      <c r="AB636" s="3" t="n">
        <v>-1.023000001907349</v>
      </c>
      <c r="AC636" s="3" t="n">
        <v>-1.146999955177307</v>
      </c>
      <c r="AD636" s="3" t="n">
        <v>-0.8600000143051147</v>
      </c>
      <c r="AE636" s="3" t="n">
        <v>-0.8600000143051147</v>
      </c>
    </row>
    <row r="637">
      <c r="A637" s="3" t="inlineStr">
        <is>
          <t>EGY.distn.dec.ove.mean.7</t>
        </is>
      </c>
      <c r="B637" s="3" t="inlineStr">
        <is>
          <t>EGY</t>
        </is>
      </c>
      <c r="C637" s="3" t="n">
        <v>2005</v>
      </c>
      <c r="D637" s="3" t="inlineStr">
        <is>
          <t>Overall</t>
        </is>
      </c>
      <c r="E637" s="3" t="inlineStr">
        <is>
          <t>Deciles</t>
        </is>
      </c>
      <c r="F637" s="3" t="inlineStr">
        <is>
          <t>mean</t>
        </is>
      </c>
      <c r="G637" s="3" t="n">
        <v>7</v>
      </c>
      <c r="H637" s="3" t="n">
        <v>-0.7839999794960022</v>
      </c>
      <c r="I637" s="3" t="n">
        <v>-0.7839999794960022</v>
      </c>
      <c r="J637" s="3" t="n">
        <v>-0.8600000143051147</v>
      </c>
      <c r="K637" s="3" t="n">
        <v>-0.8600000143051147</v>
      </c>
      <c r="L637" s="3" t="n">
        <v>-0.7839999794960022</v>
      </c>
      <c r="M637" s="3" t="n">
        <v>-0.7839999794960022</v>
      </c>
      <c r="N637" s="3" t="n">
        <v>-0.7839999794960022</v>
      </c>
      <c r="O637" s="3" t="n">
        <v>-0.7839999794960022</v>
      </c>
      <c r="P637" s="3" t="n">
        <v>-0.7839999794960022</v>
      </c>
      <c r="Q637" s="3" t="n">
        <v>-0.7839999794960022</v>
      </c>
      <c r="R637" s="3" t="n">
        <v>-0.7710000276565552</v>
      </c>
      <c r="S637" s="3" t="n">
        <v>-1.026999950408936</v>
      </c>
      <c r="T637" s="3" t="n">
        <v>-0.7089999914169312</v>
      </c>
      <c r="U637" s="3" t="n">
        <v>-0.8600000143051147</v>
      </c>
      <c r="V637" s="3" t="n">
        <v>-0.6779999732971191</v>
      </c>
      <c r="W637" s="3" t="n">
        <v>-0.5350000262260437</v>
      </c>
      <c r="X637" s="3" t="n">
        <v>-1.023000001907349</v>
      </c>
      <c r="Y637" s="3" t="n">
        <v>-0.7839999794960022</v>
      </c>
      <c r="Z637" s="3" t="n">
        <v>-1.026999950408936</v>
      </c>
      <c r="AA637" s="3" t="n">
        <v>-1.026999950408936</v>
      </c>
      <c r="AB637" s="3" t="n">
        <v>-1.023000001907349</v>
      </c>
      <c r="AC637" s="3" t="n">
        <v>-1.146999955177307</v>
      </c>
      <c r="AD637" s="3" t="n">
        <v>-0.8600000143051147</v>
      </c>
      <c r="AE637" s="3" t="n">
        <v>-0.8600000143051147</v>
      </c>
    </row>
    <row r="638">
      <c r="A638" s="3" t="inlineStr">
        <is>
          <t>EGY.distn.dec.ove.mean.8</t>
        </is>
      </c>
      <c r="B638" s="3" t="inlineStr">
        <is>
          <t>EGY</t>
        </is>
      </c>
      <c r="C638" s="3" t="n">
        <v>2005</v>
      </c>
      <c r="D638" s="3" t="inlineStr">
        <is>
          <t>Overall</t>
        </is>
      </c>
      <c r="E638" s="3" t="inlineStr">
        <is>
          <t>Deciles</t>
        </is>
      </c>
      <c r="F638" s="3" t="inlineStr">
        <is>
          <t>mean</t>
        </is>
      </c>
      <c r="G638" s="3" t="n">
        <v>8</v>
      </c>
      <c r="H638" s="3" t="n">
        <v>-0.7843776941299438</v>
      </c>
      <c r="I638" s="3" t="n">
        <v>-0.7843776941299438</v>
      </c>
      <c r="J638" s="3" t="n">
        <v>-0.8623199462890625</v>
      </c>
      <c r="K638" s="3" t="n">
        <v>-0.8623199462890625</v>
      </c>
      <c r="L638" s="3" t="n">
        <v>-0.7843776941299438</v>
      </c>
      <c r="M638" s="3" t="n">
        <v>-0.7843776941299438</v>
      </c>
      <c r="N638" s="3" t="n">
        <v>-0.7843776941299438</v>
      </c>
      <c r="O638" s="3" t="n">
        <v>-0.7843776941299438</v>
      </c>
      <c r="P638" s="3" t="n">
        <v>-0.7843776941299438</v>
      </c>
      <c r="Q638" s="3" t="n">
        <v>-0.7843776941299438</v>
      </c>
      <c r="R638" s="3" t="n">
        <v>-0.7712535858154297</v>
      </c>
      <c r="S638" s="3" t="n">
        <v>-1.036556363105774</v>
      </c>
      <c r="T638" s="3" t="n">
        <v>-0.7090408802032471</v>
      </c>
      <c r="U638" s="3" t="n">
        <v>-0.8623199462890625</v>
      </c>
      <c r="V638" s="3" t="n">
        <v>-0.6787009239196777</v>
      </c>
      <c r="W638" s="3" t="n">
        <v>-0.5493266582489014</v>
      </c>
      <c r="X638" s="3" t="n">
        <v>-1.032321572303772</v>
      </c>
      <c r="Y638" s="3" t="n">
        <v>-0.7843776941299438</v>
      </c>
      <c r="Z638" s="3" t="n">
        <v>-1.036556363105774</v>
      </c>
      <c r="AA638" s="3" t="n">
        <v>-1.036556363105774</v>
      </c>
      <c r="AB638" s="3" t="n">
        <v>-1.032321572303772</v>
      </c>
      <c r="AC638" s="3" t="n">
        <v>-1.163357734680176</v>
      </c>
      <c r="AD638" s="3" t="n">
        <v>-0.8623199462890625</v>
      </c>
      <c r="AE638" s="3" t="n">
        <v>-0.8623199462890625</v>
      </c>
    </row>
    <row r="639">
      <c r="A639" s="3" t="inlineStr">
        <is>
          <t>EGY.distn.dec.ove.mean.9</t>
        </is>
      </c>
      <c r="B639" s="3" t="inlineStr">
        <is>
          <t>EGY</t>
        </is>
      </c>
      <c r="C639" s="3" t="n">
        <v>2005</v>
      </c>
      <c r="D639" s="3" t="inlineStr">
        <is>
          <t>Overall</t>
        </is>
      </c>
      <c r="E639" s="3" t="inlineStr">
        <is>
          <t>Deciles</t>
        </is>
      </c>
      <c r="F639" s="3" t="inlineStr">
        <is>
          <t>mean</t>
        </is>
      </c>
      <c r="G639" s="3" t="n">
        <v>9</v>
      </c>
      <c r="H639" s="3" t="n">
        <v>-0.7843776941299438</v>
      </c>
      <c r="I639" s="3" t="n">
        <v>-0.7843776941299438</v>
      </c>
      <c r="J639" s="3" t="n">
        <v>-0.8623199462890625</v>
      </c>
      <c r="K639" s="3" t="n">
        <v>-0.8623199462890625</v>
      </c>
      <c r="L639" s="3" t="n">
        <v>-0.7843776941299438</v>
      </c>
      <c r="M639" s="3" t="n">
        <v>-0.7843776941299438</v>
      </c>
      <c r="N639" s="3" t="n">
        <v>-0.7843776941299438</v>
      </c>
      <c r="O639" s="3" t="n">
        <v>-0.7843776941299438</v>
      </c>
      <c r="P639" s="3" t="n">
        <v>-0.7843776941299438</v>
      </c>
      <c r="Q639" s="3" t="n">
        <v>-0.7843776941299438</v>
      </c>
      <c r="R639" s="3" t="n">
        <v>-0.7712535858154297</v>
      </c>
      <c r="S639" s="3" t="n">
        <v>-1.036556363105774</v>
      </c>
      <c r="T639" s="3" t="n">
        <v>-0.7090408802032471</v>
      </c>
      <c r="U639" s="3" t="n">
        <v>-0.8623199462890625</v>
      </c>
      <c r="V639" s="3" t="n">
        <v>-0.6787009239196777</v>
      </c>
      <c r="W639" s="3" t="n">
        <v>-0.5493266582489014</v>
      </c>
      <c r="X639" s="3" t="n">
        <v>-1.032321572303772</v>
      </c>
      <c r="Y639" s="3" t="n">
        <v>-0.7843776941299438</v>
      </c>
      <c r="Z639" s="3" t="n">
        <v>-1.036556363105774</v>
      </c>
      <c r="AA639" s="3" t="n">
        <v>-1.036556363105774</v>
      </c>
      <c r="AB639" s="3" t="n">
        <v>-1.032321572303772</v>
      </c>
      <c r="AC639" s="3" t="n">
        <v>-1.163357734680176</v>
      </c>
      <c r="AD639" s="3" t="n">
        <v>-0.8623199462890625</v>
      </c>
      <c r="AE639" s="3" t="n">
        <v>-0.8623199462890625</v>
      </c>
    </row>
    <row r="640">
      <c r="A640" s="3" t="inlineStr">
        <is>
          <t>EGY.distn.dec.ove.mean.10</t>
        </is>
      </c>
      <c r="B640" s="3" t="inlineStr">
        <is>
          <t>EGY</t>
        </is>
      </c>
      <c r="C640" s="3" t="n">
        <v>2005</v>
      </c>
      <c r="D640" s="3" t="inlineStr">
        <is>
          <t>Overall</t>
        </is>
      </c>
      <c r="E640" s="3" t="inlineStr">
        <is>
          <t>Deciles</t>
        </is>
      </c>
      <c r="F640" s="3" t="inlineStr">
        <is>
          <t>mean</t>
        </is>
      </c>
      <c r="G640" s="3" t="n">
        <v>10</v>
      </c>
      <c r="H640" s="3" t="n">
        <v>-0.7843776941299438</v>
      </c>
      <c r="I640" s="3" t="n">
        <v>-0.7843776941299438</v>
      </c>
      <c r="J640" s="3" t="n">
        <v>-0.8623199462890625</v>
      </c>
      <c r="K640" s="3" t="n">
        <v>-0.8623199462890625</v>
      </c>
      <c r="L640" s="3" t="n">
        <v>-0.7843776941299438</v>
      </c>
      <c r="M640" s="3" t="n">
        <v>-0.7843776941299438</v>
      </c>
      <c r="N640" s="3" t="n">
        <v>-0.7843776941299438</v>
      </c>
      <c r="O640" s="3" t="n">
        <v>-0.7843776941299438</v>
      </c>
      <c r="P640" s="3" t="n">
        <v>-0.7843776941299438</v>
      </c>
      <c r="Q640" s="3" t="n">
        <v>-0.7843776941299438</v>
      </c>
      <c r="R640" s="3" t="n">
        <v>-0.7712535858154297</v>
      </c>
      <c r="S640" s="3" t="n">
        <v>-1.036556363105774</v>
      </c>
      <c r="T640" s="3" t="n">
        <v>-0.7090408802032471</v>
      </c>
      <c r="U640" s="3" t="n">
        <v>-0.8623199462890625</v>
      </c>
      <c r="V640" s="3" t="n">
        <v>-0.6787009239196777</v>
      </c>
      <c r="W640" s="3" t="n">
        <v>-0.5493266582489014</v>
      </c>
      <c r="X640" s="3" t="n">
        <v>-1.032321572303772</v>
      </c>
      <c r="Y640" s="3" t="n">
        <v>-0.7843776941299438</v>
      </c>
      <c r="Z640" s="3" t="n">
        <v>-1.036556363105774</v>
      </c>
      <c r="AA640" s="3" t="n">
        <v>-1.036556363105774</v>
      </c>
      <c r="AB640" s="3" t="n">
        <v>-1.032321572303772</v>
      </c>
      <c r="AC640" s="3" t="n">
        <v>-1.163357734680176</v>
      </c>
      <c r="AD640" s="3" t="n">
        <v>-0.8623199462890625</v>
      </c>
      <c r="AE640" s="3" t="n">
        <v>-0.8623199462890625</v>
      </c>
    </row>
    <row r="641">
      <c r="A641" s="3" t="inlineStr">
        <is>
          <t>EGY.distn.bkt.ove.mean.9999</t>
        </is>
      </c>
      <c r="B641" s="3" t="inlineStr">
        <is>
          <t>EGY</t>
        </is>
      </c>
      <c r="C641" s="3" t="n">
        <v>2005</v>
      </c>
      <c r="D641" s="3" t="inlineStr">
        <is>
          <t>Overall</t>
        </is>
      </c>
      <c r="E641" s="3" t="inlineStr">
        <is>
          <t>Basket</t>
        </is>
      </c>
      <c r="F641" s="3" t="inlineStr">
        <is>
          <t>mean</t>
        </is>
      </c>
      <c r="G641" s="3" t="n">
        <v>9999</v>
      </c>
      <c r="H641" s="3" t="n">
        <v>-0.7859903573989868</v>
      </c>
      <c r="I641" s="3" t="n">
        <v>-0.7859903573989868</v>
      </c>
      <c r="J641" s="3" t="n">
        <v>-0.8737958073616028</v>
      </c>
      <c r="K641" s="3" t="n">
        <v>-0.8737958073616028</v>
      </c>
      <c r="L641" s="3" t="n">
        <v>-0.7859903573989868</v>
      </c>
      <c r="M641" s="3" t="n">
        <v>-0.7859903573989868</v>
      </c>
      <c r="N641" s="3" t="n">
        <v>-0.7859903573989868</v>
      </c>
      <c r="O641" s="3" t="n">
        <v>-0.7859903573989868</v>
      </c>
      <c r="P641" s="3" t="n">
        <v>-0.7859903573989868</v>
      </c>
      <c r="Q641" s="3" t="n">
        <v>-0.7859903573989868</v>
      </c>
      <c r="R641" s="3" t="n">
        <v>-0.7721186876296997</v>
      </c>
      <c r="S641" s="3" t="n">
        <v>-1.174116015434265</v>
      </c>
      <c r="T641" s="3" t="n">
        <v>-0.7094486355781555</v>
      </c>
      <c r="U641" s="3" t="n">
        <v>-0.8737958073616028</v>
      </c>
      <c r="V641" s="3" t="n">
        <v>-0.6802998185157776</v>
      </c>
      <c r="W641" s="3" t="n">
        <v>-0.5695047974586487</v>
      </c>
      <c r="X641" s="3" t="n">
        <v>-1.153762221336365</v>
      </c>
      <c r="Y641" s="3" t="n">
        <v>-0.7859903573989868</v>
      </c>
      <c r="Z641" s="3" t="n">
        <v>-1.174116015434265</v>
      </c>
      <c r="AA641" s="3" t="n">
        <v>-1.174116015434265</v>
      </c>
      <c r="AB641" s="3" t="n">
        <v>-1.153762221336365</v>
      </c>
      <c r="AC641" s="3" t="n">
        <v>-1.520343899726868</v>
      </c>
      <c r="AD641" s="3" t="n">
        <v>-0.8737958073616028</v>
      </c>
      <c r="AE641" s="3" t="n">
        <v>-0.8737958073616028</v>
      </c>
    </row>
    <row r="642">
      <c r="A642" s="3" t="inlineStr">
        <is>
          <t>ERI.distn.dec.ove.mean.1</t>
        </is>
      </c>
      <c r="B642" s="3" t="inlineStr">
        <is>
          <t>ERI</t>
        </is>
      </c>
      <c r="C642" s="3" t="n">
        <v>2005</v>
      </c>
      <c r="D642" s="3" t="inlineStr">
        <is>
          <t>Overall</t>
        </is>
      </c>
      <c r="E642" s="3" t="inlineStr">
        <is>
          <t>Deciles</t>
        </is>
      </c>
      <c r="F642" s="3" t="inlineStr">
        <is>
          <t>mean</t>
        </is>
      </c>
      <c r="G642" s="3" t="n">
        <v>1</v>
      </c>
      <c r="H642" s="3" t="n">
        <v>-0.7974043921990828</v>
      </c>
      <c r="I642" s="3" t="n">
        <v>-0.7974043921990828</v>
      </c>
      <c r="J642" s="3" t="n">
        <v>-0.9631780900738456</v>
      </c>
      <c r="K642" s="3" t="n">
        <v>-0.9631780900738456</v>
      </c>
      <c r="L642" s="3" t="n">
        <v>-0.7974043921990828</v>
      </c>
      <c r="M642" s="3" t="n">
        <v>-0.7974043921990828</v>
      </c>
      <c r="N642" s="3" t="n">
        <v>-0.7974043921990828</v>
      </c>
      <c r="O642" s="3" t="n">
        <v>-0.7974043921990828</v>
      </c>
      <c r="P642" s="3" t="n">
        <v>-0.7974043921990828</v>
      </c>
      <c r="Q642" s="3" t="n">
        <v>-0.7974043921990828</v>
      </c>
      <c r="R642" s="3" t="n">
        <v>-0.7785389450463381</v>
      </c>
      <c r="S642" s="3" t="n">
        <v>-2.848487377166748</v>
      </c>
      <c r="T642" s="3" t="n">
        <v>-0.7115022106604143</v>
      </c>
      <c r="U642" s="3" t="n">
        <v>-0.9631780900738456</v>
      </c>
      <c r="V642" s="3" t="n">
        <v>-0.6916698109019886</v>
      </c>
      <c r="W642" s="3" t="n">
        <v>-0.7076836770231073</v>
      </c>
      <c r="X642" s="3" t="n">
        <v>-2.538359203121879</v>
      </c>
      <c r="Y642" s="3" t="n">
        <v>-0.7974043921990828</v>
      </c>
      <c r="Z642" s="3" t="n">
        <v>-2.848487377166748</v>
      </c>
      <c r="AA642" s="3" t="n">
        <v>-2.848487377166748</v>
      </c>
      <c r="AB642" s="3" t="n">
        <v>-2.538359203121879</v>
      </c>
      <c r="AC642" s="3" t="n">
        <v>-6.556386882608587</v>
      </c>
      <c r="AD642" s="3" t="n">
        <v>-0.9631780900738456</v>
      </c>
      <c r="AE642" s="3" t="n">
        <v>-0.9631780900738456</v>
      </c>
    </row>
    <row r="643">
      <c r="A643" s="3" t="inlineStr">
        <is>
          <t>ERI.distn.dec.ove.mean.2</t>
        </is>
      </c>
      <c r="B643" s="3" t="inlineStr">
        <is>
          <t>ERI</t>
        </is>
      </c>
      <c r="C643" s="3" t="n">
        <v>2005</v>
      </c>
      <c r="D643" s="3" t="inlineStr">
        <is>
          <t>Overall</t>
        </is>
      </c>
      <c r="E643" s="3" t="inlineStr">
        <is>
          <t>Deciles</t>
        </is>
      </c>
      <c r="F643" s="3" t="inlineStr">
        <is>
          <t>mean</t>
        </is>
      </c>
      <c r="G643" s="3" t="n">
        <v>2</v>
      </c>
      <c r="H643" s="3" t="n">
        <v>-0.7974043921990828</v>
      </c>
      <c r="I643" s="3" t="n">
        <v>-0.7974043921990828</v>
      </c>
      <c r="J643" s="3" t="n">
        <v>-0.9631780900738456</v>
      </c>
      <c r="K643" s="3" t="n">
        <v>-0.9631780900738456</v>
      </c>
      <c r="L643" s="3" t="n">
        <v>-0.7974043921990828</v>
      </c>
      <c r="M643" s="3" t="n">
        <v>-0.7974043921990828</v>
      </c>
      <c r="N643" s="3" t="n">
        <v>-0.7974043921990828</v>
      </c>
      <c r="O643" s="3" t="n">
        <v>-0.7974043921990828</v>
      </c>
      <c r="P643" s="3" t="n">
        <v>-0.7974043921990828</v>
      </c>
      <c r="Q643" s="3" t="n">
        <v>-0.7974043921990828</v>
      </c>
      <c r="R643" s="3" t="n">
        <v>-0.7785389450463381</v>
      </c>
      <c r="S643" s="3" t="n">
        <v>-2.848487377166748</v>
      </c>
      <c r="T643" s="3" t="n">
        <v>-0.7115022106604143</v>
      </c>
      <c r="U643" s="3" t="n">
        <v>-0.9631780900738456</v>
      </c>
      <c r="V643" s="3" t="n">
        <v>-0.6916698109019886</v>
      </c>
      <c r="W643" s="3" t="n">
        <v>-0.7076836770231073</v>
      </c>
      <c r="X643" s="3" t="n">
        <v>-2.538359203121879</v>
      </c>
      <c r="Y643" s="3" t="n">
        <v>-0.7974043921990828</v>
      </c>
      <c r="Z643" s="3" t="n">
        <v>-2.848487377166748</v>
      </c>
      <c r="AA643" s="3" t="n">
        <v>-2.848487377166748</v>
      </c>
      <c r="AB643" s="3" t="n">
        <v>-2.538359203121879</v>
      </c>
      <c r="AC643" s="3" t="n">
        <v>-6.556386882608587</v>
      </c>
      <c r="AD643" s="3" t="n">
        <v>-0.9631780900738456</v>
      </c>
      <c r="AE643" s="3" t="n">
        <v>-0.9631780900738456</v>
      </c>
    </row>
    <row r="644">
      <c r="A644" s="3" t="inlineStr">
        <is>
          <t>ERI.distn.dec.ove.mean.3</t>
        </is>
      </c>
      <c r="B644" s="3" t="inlineStr">
        <is>
          <t>ERI</t>
        </is>
      </c>
      <c r="C644" s="3" t="n">
        <v>2005</v>
      </c>
      <c r="D644" s="3" t="inlineStr">
        <is>
          <t>Overall</t>
        </is>
      </c>
      <c r="E644" s="3" t="inlineStr">
        <is>
          <t>Deciles</t>
        </is>
      </c>
      <c r="F644" s="3" t="inlineStr">
        <is>
          <t>mean</t>
        </is>
      </c>
      <c r="G644" s="3" t="n">
        <v>3</v>
      </c>
      <c r="H644" s="3" t="n">
        <v>-0.7974043921990828</v>
      </c>
      <c r="I644" s="3" t="n">
        <v>-0.7974043921990828</v>
      </c>
      <c r="J644" s="3" t="n">
        <v>-0.9631780900738456</v>
      </c>
      <c r="K644" s="3" t="n">
        <v>-0.9631780900738456</v>
      </c>
      <c r="L644" s="3" t="n">
        <v>-0.7974043921990828</v>
      </c>
      <c r="M644" s="3" t="n">
        <v>-0.7974043921990828</v>
      </c>
      <c r="N644" s="3" t="n">
        <v>-0.7974043921990828</v>
      </c>
      <c r="O644" s="3" t="n">
        <v>-0.7974043921990828</v>
      </c>
      <c r="P644" s="3" t="n">
        <v>-0.7974043921990828</v>
      </c>
      <c r="Q644" s="3" t="n">
        <v>-0.7974043921990828</v>
      </c>
      <c r="R644" s="3" t="n">
        <v>-0.7785389450463381</v>
      </c>
      <c r="S644" s="3" t="n">
        <v>-2.848487377166748</v>
      </c>
      <c r="T644" s="3" t="n">
        <v>-0.7115022106604143</v>
      </c>
      <c r="U644" s="3" t="n">
        <v>-0.9631780900738456</v>
      </c>
      <c r="V644" s="3" t="n">
        <v>-0.6916698109019886</v>
      </c>
      <c r="W644" s="3" t="n">
        <v>-0.7076836770231073</v>
      </c>
      <c r="X644" s="3" t="n">
        <v>-2.538359203121879</v>
      </c>
      <c r="Y644" s="3" t="n">
        <v>-0.7974043921990828</v>
      </c>
      <c r="Z644" s="3" t="n">
        <v>-2.848487377166748</v>
      </c>
      <c r="AA644" s="3" t="n">
        <v>-2.848487377166748</v>
      </c>
      <c r="AB644" s="3" t="n">
        <v>-2.538359203121879</v>
      </c>
      <c r="AC644" s="3" t="n">
        <v>-6.556386882608587</v>
      </c>
      <c r="AD644" s="3" t="n">
        <v>-0.9631780900738456</v>
      </c>
      <c r="AE644" s="3" t="n">
        <v>-0.9631780900738456</v>
      </c>
    </row>
    <row r="645">
      <c r="A645" s="3" t="inlineStr">
        <is>
          <t>ERI.distn.dec.ove.mean.4</t>
        </is>
      </c>
      <c r="B645" s="3" t="inlineStr">
        <is>
          <t>ERI</t>
        </is>
      </c>
      <c r="C645" s="3" t="n">
        <v>2005</v>
      </c>
      <c r="D645" s="3" t="inlineStr">
        <is>
          <t>Overall</t>
        </is>
      </c>
      <c r="E645" s="3" t="inlineStr">
        <is>
          <t>Deciles</t>
        </is>
      </c>
      <c r="F645" s="3" t="inlineStr">
        <is>
          <t>mean</t>
        </is>
      </c>
      <c r="G645" s="3" t="n">
        <v>4</v>
      </c>
      <c r="H645" s="3" t="n">
        <v>-0.7910909165035594</v>
      </c>
      <c r="I645" s="3" t="n">
        <v>-0.7910909165035594</v>
      </c>
      <c r="J645" s="3" t="n">
        <v>-0.9166363667358052</v>
      </c>
      <c r="K645" s="3" t="n">
        <v>-0.9166363667358052</v>
      </c>
      <c r="L645" s="3" t="n">
        <v>-0.7910909165035594</v>
      </c>
      <c r="M645" s="3" t="n">
        <v>-0.7910909165035594</v>
      </c>
      <c r="N645" s="3" t="n">
        <v>-0.7910909165035594</v>
      </c>
      <c r="O645" s="3" t="n">
        <v>-0.7910909165035594</v>
      </c>
      <c r="P645" s="3" t="n">
        <v>-0.7910909165035594</v>
      </c>
      <c r="Q645" s="3" t="n">
        <v>-0.7910909165035594</v>
      </c>
      <c r="R645" s="3" t="n">
        <v>-0.7750454463741996</v>
      </c>
      <c r="S645" s="3" t="n">
        <v>-1.940136329694228</v>
      </c>
      <c r="T645" s="3" t="n">
        <v>-0.7100454406304793</v>
      </c>
      <c r="U645" s="3" t="n">
        <v>-0.9166363667358052</v>
      </c>
      <c r="V645" s="3" t="n">
        <v>-0.6846363652836193</v>
      </c>
      <c r="W645" s="3" t="n">
        <v>-0.5955909084190022</v>
      </c>
      <c r="X645" s="3" t="n">
        <v>-1.791409107771787</v>
      </c>
      <c r="Y645" s="3" t="n">
        <v>-0.7910909165035594</v>
      </c>
      <c r="Z645" s="3" t="n">
        <v>-1.940136329694228</v>
      </c>
      <c r="AA645" s="3" t="n">
        <v>-1.940136329694228</v>
      </c>
      <c r="AB645" s="3" t="n">
        <v>-1.791409107771787</v>
      </c>
      <c r="AC645" s="3" t="n">
        <v>-3.166227286512202</v>
      </c>
      <c r="AD645" s="3" t="n">
        <v>-0.9166363667358052</v>
      </c>
      <c r="AE645" s="3" t="n">
        <v>-0.9166363667358052</v>
      </c>
    </row>
    <row r="646">
      <c r="A646" s="3" t="inlineStr">
        <is>
          <t>ERI.distn.dec.ove.mean.5</t>
        </is>
      </c>
      <c r="B646" s="3" t="inlineStr">
        <is>
          <t>ERI</t>
        </is>
      </c>
      <c r="C646" s="3" t="n">
        <v>2005</v>
      </c>
      <c r="D646" s="3" t="inlineStr">
        <is>
          <t>Overall</t>
        </is>
      </c>
      <c r="E646" s="3" t="inlineStr">
        <is>
          <t>Deciles</t>
        </is>
      </c>
      <c r="F646" s="3" t="inlineStr">
        <is>
          <t>mean</t>
        </is>
      </c>
      <c r="G646" s="3" t="n">
        <v>5</v>
      </c>
      <c r="H646" s="3" t="n">
        <v>-0.7910909165035594</v>
      </c>
      <c r="I646" s="3" t="n">
        <v>-0.7910909165035594</v>
      </c>
      <c r="J646" s="3" t="n">
        <v>-0.9166363667358052</v>
      </c>
      <c r="K646" s="3" t="n">
        <v>-0.9166363667358052</v>
      </c>
      <c r="L646" s="3" t="n">
        <v>-0.7910909165035594</v>
      </c>
      <c r="M646" s="3" t="n">
        <v>-0.7910909165035594</v>
      </c>
      <c r="N646" s="3" t="n">
        <v>-0.7910909165035594</v>
      </c>
      <c r="O646" s="3" t="n">
        <v>-0.7910909165035594</v>
      </c>
      <c r="P646" s="3" t="n">
        <v>-0.7910909165035594</v>
      </c>
      <c r="Q646" s="3" t="n">
        <v>-0.7910909165035594</v>
      </c>
      <c r="R646" s="3" t="n">
        <v>-0.7750454463741996</v>
      </c>
      <c r="S646" s="3" t="n">
        <v>-1.940136329694228</v>
      </c>
      <c r="T646" s="3" t="n">
        <v>-0.7100454406304793</v>
      </c>
      <c r="U646" s="3" t="n">
        <v>-0.9166363667358052</v>
      </c>
      <c r="V646" s="3" t="n">
        <v>-0.6846363652836193</v>
      </c>
      <c r="W646" s="3" t="n">
        <v>-0.5955909084190022</v>
      </c>
      <c r="X646" s="3" t="n">
        <v>-1.791409107771787</v>
      </c>
      <c r="Y646" s="3" t="n">
        <v>-0.7910909165035594</v>
      </c>
      <c r="Z646" s="3" t="n">
        <v>-1.940136329694228</v>
      </c>
      <c r="AA646" s="3" t="n">
        <v>-1.940136329694228</v>
      </c>
      <c r="AB646" s="3" t="n">
        <v>-1.791409107771787</v>
      </c>
      <c r="AC646" s="3" t="n">
        <v>-3.166227286512202</v>
      </c>
      <c r="AD646" s="3" t="n">
        <v>-0.9166363667358052</v>
      </c>
      <c r="AE646" s="3" t="n">
        <v>-0.9166363667358052</v>
      </c>
    </row>
    <row r="647">
      <c r="A647" s="3" t="inlineStr">
        <is>
          <t>ERI.distn.dec.ove.mean.6</t>
        </is>
      </c>
      <c r="B647" s="3" t="inlineStr">
        <is>
          <t>ERI</t>
        </is>
      </c>
      <c r="C647" s="3" t="n">
        <v>2005</v>
      </c>
      <c r="D647" s="3" t="inlineStr">
        <is>
          <t>Overall</t>
        </is>
      </c>
      <c r="E647" s="3" t="inlineStr">
        <is>
          <t>Deciles</t>
        </is>
      </c>
      <c r="F647" s="3" t="inlineStr">
        <is>
          <t>mean</t>
        </is>
      </c>
      <c r="G647" s="3" t="n">
        <v>6</v>
      </c>
      <c r="H647" s="3" t="n">
        <v>-0.7910909165035594</v>
      </c>
      <c r="I647" s="3" t="n">
        <v>-0.7910909165035594</v>
      </c>
      <c r="J647" s="3" t="n">
        <v>-0.9166363667358052</v>
      </c>
      <c r="K647" s="3" t="n">
        <v>-0.9166363667358052</v>
      </c>
      <c r="L647" s="3" t="n">
        <v>-0.7910909165035594</v>
      </c>
      <c r="M647" s="3" t="n">
        <v>-0.7910909165035594</v>
      </c>
      <c r="N647" s="3" t="n">
        <v>-0.7910909165035594</v>
      </c>
      <c r="O647" s="3" t="n">
        <v>-0.7910909165035594</v>
      </c>
      <c r="P647" s="3" t="n">
        <v>-0.7910909165035594</v>
      </c>
      <c r="Q647" s="3" t="n">
        <v>-0.7910909165035594</v>
      </c>
      <c r="R647" s="3" t="n">
        <v>-0.7750454463741996</v>
      </c>
      <c r="S647" s="3" t="n">
        <v>-1.940136329694228</v>
      </c>
      <c r="T647" s="3" t="n">
        <v>-0.7100454406304793</v>
      </c>
      <c r="U647" s="3" t="n">
        <v>-0.9166363667358052</v>
      </c>
      <c r="V647" s="3" t="n">
        <v>-0.6846363652836193</v>
      </c>
      <c r="W647" s="3" t="n">
        <v>-0.5955909084190022</v>
      </c>
      <c r="X647" s="3" t="n">
        <v>-1.791409107771787</v>
      </c>
      <c r="Y647" s="3" t="n">
        <v>-0.7910909165035594</v>
      </c>
      <c r="Z647" s="3" t="n">
        <v>-1.940136329694228</v>
      </c>
      <c r="AA647" s="3" t="n">
        <v>-1.940136329694228</v>
      </c>
      <c r="AB647" s="3" t="n">
        <v>-1.791409107771787</v>
      </c>
      <c r="AC647" s="3" t="n">
        <v>-3.166227286512202</v>
      </c>
      <c r="AD647" s="3" t="n">
        <v>-0.9166363667358052</v>
      </c>
      <c r="AE647" s="3" t="n">
        <v>-0.9166363667358052</v>
      </c>
    </row>
    <row r="648">
      <c r="A648" s="3" t="inlineStr">
        <is>
          <t>ERI.distn.dec.ove.mean.7</t>
        </is>
      </c>
      <c r="B648" s="3" t="inlineStr">
        <is>
          <t>ERI</t>
        </is>
      </c>
      <c r="C648" s="3" t="n">
        <v>2005</v>
      </c>
      <c r="D648" s="3" t="inlineStr">
        <is>
          <t>Overall</t>
        </is>
      </c>
      <c r="E648" s="3" t="inlineStr">
        <is>
          <t>Deciles</t>
        </is>
      </c>
      <c r="F648" s="3" t="inlineStr">
        <is>
          <t>mean</t>
        </is>
      </c>
      <c r="G648" s="3" t="n">
        <v>7</v>
      </c>
      <c r="H648" s="3" t="n">
        <v>-0.7910909165035594</v>
      </c>
      <c r="I648" s="3" t="n">
        <v>-0.7910909165035594</v>
      </c>
      <c r="J648" s="3" t="n">
        <v>-0.9166363667358052</v>
      </c>
      <c r="K648" s="3" t="n">
        <v>-0.9166363667358052</v>
      </c>
      <c r="L648" s="3" t="n">
        <v>-0.7910909165035594</v>
      </c>
      <c r="M648" s="3" t="n">
        <v>-0.7910909165035594</v>
      </c>
      <c r="N648" s="3" t="n">
        <v>-0.7910909165035594</v>
      </c>
      <c r="O648" s="3" t="n">
        <v>-0.7910909165035594</v>
      </c>
      <c r="P648" s="3" t="n">
        <v>-0.7910909165035594</v>
      </c>
      <c r="Q648" s="3" t="n">
        <v>-0.7910909165035594</v>
      </c>
      <c r="R648" s="3" t="n">
        <v>-0.7750454463741996</v>
      </c>
      <c r="S648" s="3" t="n">
        <v>-1.940136329694228</v>
      </c>
      <c r="T648" s="3" t="n">
        <v>-0.7100454406304793</v>
      </c>
      <c r="U648" s="3" t="n">
        <v>-0.9166363667358052</v>
      </c>
      <c r="V648" s="3" t="n">
        <v>-0.6846363652836193</v>
      </c>
      <c r="W648" s="3" t="n">
        <v>-0.5955909084190022</v>
      </c>
      <c r="X648" s="3" t="n">
        <v>-1.791409107771787</v>
      </c>
      <c r="Y648" s="3" t="n">
        <v>-0.7910909165035594</v>
      </c>
      <c r="Z648" s="3" t="n">
        <v>-1.940136329694228</v>
      </c>
      <c r="AA648" s="3" t="n">
        <v>-1.940136329694228</v>
      </c>
      <c r="AB648" s="3" t="n">
        <v>-1.791409107771787</v>
      </c>
      <c r="AC648" s="3" t="n">
        <v>-3.166227286512202</v>
      </c>
      <c r="AD648" s="3" t="n">
        <v>-0.9166363667358052</v>
      </c>
      <c r="AE648" s="3" t="n">
        <v>-0.9166363667358052</v>
      </c>
    </row>
    <row r="649">
      <c r="A649" s="3" t="inlineStr">
        <is>
          <t>ERI.distn.dec.ove.mean.8</t>
        </is>
      </c>
      <c r="B649" s="3" t="inlineStr">
        <is>
          <t>ERI</t>
        </is>
      </c>
      <c r="C649" s="3" t="n">
        <v>2005</v>
      </c>
      <c r="D649" s="3" t="inlineStr">
        <is>
          <t>Overall</t>
        </is>
      </c>
      <c r="E649" s="3" t="inlineStr">
        <is>
          <t>Deciles</t>
        </is>
      </c>
      <c r="F649" s="3" t="inlineStr">
        <is>
          <t>mean</t>
        </is>
      </c>
      <c r="G649" s="3" t="n">
        <v>8</v>
      </c>
      <c r="H649" s="3" t="n">
        <v>-0.7914720340208574</v>
      </c>
      <c r="I649" s="3" t="n">
        <v>-0.7914720340208574</v>
      </c>
      <c r="J649" s="3" t="n">
        <v>-0.9191090735522184</v>
      </c>
      <c r="K649" s="3" t="n">
        <v>-0.9191090735522184</v>
      </c>
      <c r="L649" s="3" t="n">
        <v>-0.7914720340208574</v>
      </c>
      <c r="M649" s="3" t="n">
        <v>-0.7914720340208574</v>
      </c>
      <c r="N649" s="3" t="n">
        <v>-0.7914720340208574</v>
      </c>
      <c r="O649" s="3" t="n">
        <v>-0.7914720340208574</v>
      </c>
      <c r="P649" s="3" t="n">
        <v>-0.7914720340208574</v>
      </c>
      <c r="Q649" s="3" t="n">
        <v>-0.7914720340208574</v>
      </c>
      <c r="R649" s="3" t="n">
        <v>-0.7753003591840918</v>
      </c>
      <c r="S649" s="3" t="n">
        <v>-1.958189584992149</v>
      </c>
      <c r="T649" s="3" t="n">
        <v>-0.7100863836028359</v>
      </c>
      <c r="U649" s="3" t="n">
        <v>-0.9191090735522184</v>
      </c>
      <c r="V649" s="3" t="n">
        <v>-0.6853441162542864</v>
      </c>
      <c r="W649" s="3" t="n">
        <v>-0.6115401116284457</v>
      </c>
      <c r="X649" s="3" t="n">
        <v>-1.807732414115559</v>
      </c>
      <c r="Y649" s="3" t="n">
        <v>-0.7914720340208574</v>
      </c>
      <c r="Z649" s="3" t="n">
        <v>-1.958189584992149</v>
      </c>
      <c r="AA649" s="3" t="n">
        <v>-1.958189584992149</v>
      </c>
      <c r="AB649" s="3" t="n">
        <v>-1.807732414115559</v>
      </c>
      <c r="AC649" s="3" t="n">
        <v>-3.211381879719821</v>
      </c>
      <c r="AD649" s="3" t="n">
        <v>-0.9191090735522184</v>
      </c>
      <c r="AE649" s="3" t="n">
        <v>-0.9191090735522184</v>
      </c>
    </row>
    <row r="650">
      <c r="A650" s="3" t="inlineStr">
        <is>
          <t>ERI.distn.dec.ove.mean.9</t>
        </is>
      </c>
      <c r="B650" s="3" t="inlineStr">
        <is>
          <t>ERI</t>
        </is>
      </c>
      <c r="C650" s="3" t="n">
        <v>2005</v>
      </c>
      <c r="D650" s="3" t="inlineStr">
        <is>
          <t>Overall</t>
        </is>
      </c>
      <c r="E650" s="3" t="inlineStr">
        <is>
          <t>Deciles</t>
        </is>
      </c>
      <c r="F650" s="3" t="inlineStr">
        <is>
          <t>mean</t>
        </is>
      </c>
      <c r="G650" s="3" t="n">
        <v>9</v>
      </c>
      <c r="H650" s="3" t="n">
        <v>-0.7914720340208574</v>
      </c>
      <c r="I650" s="3" t="n">
        <v>-0.7914720340208574</v>
      </c>
      <c r="J650" s="3" t="n">
        <v>-0.9191090735522184</v>
      </c>
      <c r="K650" s="3" t="n">
        <v>-0.9191090735522184</v>
      </c>
      <c r="L650" s="3" t="n">
        <v>-0.7914720340208574</v>
      </c>
      <c r="M650" s="3" t="n">
        <v>-0.7914720340208574</v>
      </c>
      <c r="N650" s="3" t="n">
        <v>-0.7914720340208574</v>
      </c>
      <c r="O650" s="3" t="n">
        <v>-0.7914720340208574</v>
      </c>
      <c r="P650" s="3" t="n">
        <v>-0.7914720340208574</v>
      </c>
      <c r="Q650" s="3" t="n">
        <v>-0.7914720340208574</v>
      </c>
      <c r="R650" s="3" t="n">
        <v>-0.7753003591840918</v>
      </c>
      <c r="S650" s="3" t="n">
        <v>-1.958189584992149</v>
      </c>
      <c r="T650" s="3" t="n">
        <v>-0.7100863836028359</v>
      </c>
      <c r="U650" s="3" t="n">
        <v>-0.9191090735522184</v>
      </c>
      <c r="V650" s="3" t="n">
        <v>-0.6853441162542864</v>
      </c>
      <c r="W650" s="3" t="n">
        <v>-0.6115401116284457</v>
      </c>
      <c r="X650" s="3" t="n">
        <v>-1.807732414115559</v>
      </c>
      <c r="Y650" s="3" t="n">
        <v>-0.7914720340208574</v>
      </c>
      <c r="Z650" s="3" t="n">
        <v>-1.958189584992149</v>
      </c>
      <c r="AA650" s="3" t="n">
        <v>-1.958189584992149</v>
      </c>
      <c r="AB650" s="3" t="n">
        <v>-1.807732414115559</v>
      </c>
      <c r="AC650" s="3" t="n">
        <v>-3.211381879719821</v>
      </c>
      <c r="AD650" s="3" t="n">
        <v>-0.9191090735522184</v>
      </c>
      <c r="AE650" s="3" t="n">
        <v>-0.9191090735522184</v>
      </c>
    </row>
    <row r="651">
      <c r="A651" s="3" t="inlineStr">
        <is>
          <t>ERI.distn.dec.ove.mean.10</t>
        </is>
      </c>
      <c r="B651" s="3" t="inlineStr">
        <is>
          <t>ERI</t>
        </is>
      </c>
      <c r="C651" s="3" t="n">
        <v>2005</v>
      </c>
      <c r="D651" s="3" t="inlineStr">
        <is>
          <t>Overall</t>
        </is>
      </c>
      <c r="E651" s="3" t="inlineStr">
        <is>
          <t>Deciles</t>
        </is>
      </c>
      <c r="F651" s="3" t="inlineStr">
        <is>
          <t>mean</t>
        </is>
      </c>
      <c r="G651" s="3" t="n">
        <v>10</v>
      </c>
      <c r="H651" s="3" t="n">
        <v>-0.7914720340208574</v>
      </c>
      <c r="I651" s="3" t="n">
        <v>-0.7914720340208574</v>
      </c>
      <c r="J651" s="3" t="n">
        <v>-0.9191090735522184</v>
      </c>
      <c r="K651" s="3" t="n">
        <v>-0.9191090735522184</v>
      </c>
      <c r="L651" s="3" t="n">
        <v>-0.7914720340208574</v>
      </c>
      <c r="M651" s="3" t="n">
        <v>-0.7914720340208574</v>
      </c>
      <c r="N651" s="3" t="n">
        <v>-0.7914720340208574</v>
      </c>
      <c r="O651" s="3" t="n">
        <v>-0.7914720340208574</v>
      </c>
      <c r="P651" s="3" t="n">
        <v>-0.7914720340208574</v>
      </c>
      <c r="Q651" s="3" t="n">
        <v>-0.7914720340208574</v>
      </c>
      <c r="R651" s="3" t="n">
        <v>-0.7753003591840918</v>
      </c>
      <c r="S651" s="3" t="n">
        <v>-1.958189584992149</v>
      </c>
      <c r="T651" s="3" t="n">
        <v>-0.7100863836028359</v>
      </c>
      <c r="U651" s="3" t="n">
        <v>-0.9191090735522184</v>
      </c>
      <c r="V651" s="3" t="n">
        <v>-0.6853441162542864</v>
      </c>
      <c r="W651" s="3" t="n">
        <v>-0.6115401116284457</v>
      </c>
      <c r="X651" s="3" t="n">
        <v>-1.807732414115559</v>
      </c>
      <c r="Y651" s="3" t="n">
        <v>-0.7914720340208574</v>
      </c>
      <c r="Z651" s="3" t="n">
        <v>-1.958189584992149</v>
      </c>
      <c r="AA651" s="3" t="n">
        <v>-1.958189584992149</v>
      </c>
      <c r="AB651" s="3" t="n">
        <v>-1.807732414115559</v>
      </c>
      <c r="AC651" s="3" t="n">
        <v>-3.211381879719821</v>
      </c>
      <c r="AD651" s="3" t="n">
        <v>-0.9191090735522184</v>
      </c>
      <c r="AE651" s="3" t="n">
        <v>-0.9191090735522184</v>
      </c>
    </row>
    <row r="652">
      <c r="A652" s="3" t="inlineStr">
        <is>
          <t>ERI.distn.bkt.ove.mean.9999</t>
        </is>
      </c>
      <c r="B652" s="3" t="inlineStr">
        <is>
          <t>ERI</t>
        </is>
      </c>
      <c r="C652" s="3" t="n">
        <v>2005</v>
      </c>
      <c r="D652" s="3" t="inlineStr">
        <is>
          <t>Overall</t>
        </is>
      </c>
      <c r="E652" s="3" t="inlineStr">
        <is>
          <t>Basket</t>
        </is>
      </c>
      <c r="F652" s="3" t="inlineStr">
        <is>
          <t>mean</t>
        </is>
      </c>
      <c r="G652" s="3" t="n">
        <v>9999</v>
      </c>
      <c r="H652" s="3" t="n">
        <v>-0.7930992977185682</v>
      </c>
      <c r="I652" s="3" t="n">
        <v>-0.7930992977185682</v>
      </c>
      <c r="J652" s="3" t="n">
        <v>-0.9313406971367922</v>
      </c>
      <c r="K652" s="3" t="n">
        <v>-0.9313406971367922</v>
      </c>
      <c r="L652" s="3" t="n">
        <v>-0.7930992977185682</v>
      </c>
      <c r="M652" s="3" t="n">
        <v>-0.7930992977185682</v>
      </c>
      <c r="N652" s="3" t="n">
        <v>-0.7930992977185682</v>
      </c>
      <c r="O652" s="3" t="n">
        <v>-0.7930992977185682</v>
      </c>
      <c r="P652" s="3" t="n">
        <v>-0.7930992977185682</v>
      </c>
      <c r="Q652" s="3" t="n">
        <v>-0.7930992977185682</v>
      </c>
      <c r="R652" s="3" t="n">
        <v>-0.7761699828234586</v>
      </c>
      <c r="S652" s="3" t="n">
        <v>-2.218057627027685</v>
      </c>
      <c r="T652" s="3" t="n">
        <v>-0.7104947621172125</v>
      </c>
      <c r="U652" s="3" t="n">
        <v>-0.9313406971367922</v>
      </c>
      <c r="V652" s="3" t="n">
        <v>-0.6869587058370764</v>
      </c>
      <c r="W652" s="3" t="n">
        <v>-0.6340034956281836</v>
      </c>
      <c r="X652" s="3" t="n">
        <v>-2.020391117442738</v>
      </c>
      <c r="Y652" s="3" t="n">
        <v>-0.7930992977185682</v>
      </c>
      <c r="Z652" s="3" t="n">
        <v>-2.218057627027685</v>
      </c>
      <c r="AA652" s="3" t="n">
        <v>-2.218057627027685</v>
      </c>
      <c r="AB652" s="3" t="n">
        <v>-2.020391117442738</v>
      </c>
      <c r="AC652" s="3" t="n">
        <v>-4.196821532466195</v>
      </c>
      <c r="AD652" s="3" t="n">
        <v>-0.9313406971367922</v>
      </c>
      <c r="AE652" s="3" t="n">
        <v>-0.9313406971367922</v>
      </c>
    </row>
    <row r="653">
      <c r="A653" s="3" t="inlineStr">
        <is>
          <t>ESP.distn.dec.ove.mean.1</t>
        </is>
      </c>
      <c r="B653" s="3" t="inlineStr">
        <is>
          <t>ESP</t>
        </is>
      </c>
      <c r="C653" s="3" t="n">
        <v>2005</v>
      </c>
      <c r="D653" s="3" t="inlineStr">
        <is>
          <t>Overall</t>
        </is>
      </c>
      <c r="E653" s="3" t="inlineStr">
        <is>
          <t>Deciles</t>
        </is>
      </c>
      <c r="F653" s="3" t="inlineStr">
        <is>
          <t>mean</t>
        </is>
      </c>
      <c r="G653" s="3" t="n">
        <v>1</v>
      </c>
      <c r="H653" s="3" t="n">
        <v>-0.7882409691810608</v>
      </c>
      <c r="I653" s="3" t="n">
        <v>-0.7882409691810608</v>
      </c>
      <c r="J653" s="3" t="n">
        <v>-0.8931583166122437</v>
      </c>
      <c r="K653" s="3" t="n">
        <v>-0.8931583166122437</v>
      </c>
      <c r="L653" s="3" t="n">
        <v>-0.7882409691810608</v>
      </c>
      <c r="M653" s="3" t="n">
        <v>-0.7882409691810608</v>
      </c>
      <c r="N653" s="3" t="n">
        <v>-0.7882409691810608</v>
      </c>
      <c r="O653" s="3" t="n">
        <v>-0.7882409691810608</v>
      </c>
      <c r="P653" s="3" t="n">
        <v>-0.7882409691810608</v>
      </c>
      <c r="Q653" s="3" t="n">
        <v>-0.7882409691810608</v>
      </c>
      <c r="R653" s="3" t="n">
        <v>-0.7734707593917847</v>
      </c>
      <c r="S653" s="3" t="n">
        <v>-1.432952761650085</v>
      </c>
      <c r="T653" s="3" t="n">
        <v>-0.7094525694847107</v>
      </c>
      <c r="U653" s="3" t="n">
        <v>-0.8931583166122437</v>
      </c>
      <c r="V653" s="3" t="n">
        <v>-0.6829447150230408</v>
      </c>
      <c r="W653" s="3" t="n">
        <v>-0.5976667404174805</v>
      </c>
      <c r="X653" s="3" t="n">
        <v>-1.378704309463501</v>
      </c>
      <c r="Y653" s="3" t="n">
        <v>-0.7882409691810608</v>
      </c>
      <c r="Z653" s="3" t="n">
        <v>-1.432952761650085</v>
      </c>
      <c r="AA653" s="3" t="n">
        <v>-1.432952761650085</v>
      </c>
      <c r="AB653" s="3" t="n">
        <v>-1.378704309463501</v>
      </c>
      <c r="AC653" s="3" t="n">
        <v>-2.180473804473877</v>
      </c>
      <c r="AD653" s="3" t="n">
        <v>-0.8931583166122437</v>
      </c>
      <c r="AE653" s="3" t="n">
        <v>-0.8931583166122437</v>
      </c>
    </row>
    <row r="654">
      <c r="A654" s="3" t="inlineStr">
        <is>
          <t>ESP.distn.dec.ove.mean.2</t>
        </is>
      </c>
      <c r="B654" s="3" t="inlineStr">
        <is>
          <t>ESP</t>
        </is>
      </c>
      <c r="C654" s="3" t="n">
        <v>2005</v>
      </c>
      <c r="D654" s="3" t="inlineStr">
        <is>
          <t>Overall</t>
        </is>
      </c>
      <c r="E654" s="3" t="inlineStr">
        <is>
          <t>Deciles</t>
        </is>
      </c>
      <c r="F654" s="3" t="inlineStr">
        <is>
          <t>mean</t>
        </is>
      </c>
      <c r="G654" s="3" t="n">
        <v>2</v>
      </c>
      <c r="H654" s="3" t="n">
        <v>-0.7882409691810608</v>
      </c>
      <c r="I654" s="3" t="n">
        <v>-0.7882409691810608</v>
      </c>
      <c r="J654" s="3" t="n">
        <v>-0.8931583166122437</v>
      </c>
      <c r="K654" s="3" t="n">
        <v>-0.8931583166122437</v>
      </c>
      <c r="L654" s="3" t="n">
        <v>-0.7882409691810608</v>
      </c>
      <c r="M654" s="3" t="n">
        <v>-0.7882409691810608</v>
      </c>
      <c r="N654" s="3" t="n">
        <v>-0.7882409691810608</v>
      </c>
      <c r="O654" s="3" t="n">
        <v>-0.7882409691810608</v>
      </c>
      <c r="P654" s="3" t="n">
        <v>-0.7882409691810608</v>
      </c>
      <c r="Q654" s="3" t="n">
        <v>-0.7882409691810608</v>
      </c>
      <c r="R654" s="3" t="n">
        <v>-0.7734707593917847</v>
      </c>
      <c r="S654" s="3" t="n">
        <v>-1.432952761650085</v>
      </c>
      <c r="T654" s="3" t="n">
        <v>-0.7094525694847107</v>
      </c>
      <c r="U654" s="3" t="n">
        <v>-0.8931583166122437</v>
      </c>
      <c r="V654" s="3" t="n">
        <v>-0.6829447150230408</v>
      </c>
      <c r="W654" s="3" t="n">
        <v>-0.5976667404174805</v>
      </c>
      <c r="X654" s="3" t="n">
        <v>-1.378704309463501</v>
      </c>
      <c r="Y654" s="3" t="n">
        <v>-0.7882409691810608</v>
      </c>
      <c r="Z654" s="3" t="n">
        <v>-1.432952761650085</v>
      </c>
      <c r="AA654" s="3" t="n">
        <v>-1.432952761650085</v>
      </c>
      <c r="AB654" s="3" t="n">
        <v>-1.378704309463501</v>
      </c>
      <c r="AC654" s="3" t="n">
        <v>-2.180473804473877</v>
      </c>
      <c r="AD654" s="3" t="n">
        <v>-0.8931583166122437</v>
      </c>
      <c r="AE654" s="3" t="n">
        <v>-0.8931583166122437</v>
      </c>
    </row>
    <row r="655">
      <c r="A655" s="3" t="inlineStr">
        <is>
          <t>ESP.distn.dec.ove.mean.3</t>
        </is>
      </c>
      <c r="B655" s="3" t="inlineStr">
        <is>
          <t>ESP</t>
        </is>
      </c>
      <c r="C655" s="3" t="n">
        <v>2005</v>
      </c>
      <c r="D655" s="3" t="inlineStr">
        <is>
          <t>Overall</t>
        </is>
      </c>
      <c r="E655" s="3" t="inlineStr">
        <is>
          <t>Deciles</t>
        </is>
      </c>
      <c r="F655" s="3" t="inlineStr">
        <is>
          <t>mean</t>
        </is>
      </c>
      <c r="G655" s="3" t="n">
        <v>3</v>
      </c>
      <c r="H655" s="3" t="n">
        <v>-0.7882409691810608</v>
      </c>
      <c r="I655" s="3" t="n">
        <v>-0.7882409691810608</v>
      </c>
      <c r="J655" s="3" t="n">
        <v>-0.8931583166122437</v>
      </c>
      <c r="K655" s="3" t="n">
        <v>-0.8931583166122437</v>
      </c>
      <c r="L655" s="3" t="n">
        <v>-0.7882409691810608</v>
      </c>
      <c r="M655" s="3" t="n">
        <v>-0.7882409691810608</v>
      </c>
      <c r="N655" s="3" t="n">
        <v>-0.7882409691810608</v>
      </c>
      <c r="O655" s="3" t="n">
        <v>-0.7882409691810608</v>
      </c>
      <c r="P655" s="3" t="n">
        <v>-0.7882409691810608</v>
      </c>
      <c r="Q655" s="3" t="n">
        <v>-0.7882409691810608</v>
      </c>
      <c r="R655" s="3" t="n">
        <v>-0.7734707593917847</v>
      </c>
      <c r="S655" s="3" t="n">
        <v>-1.432952761650085</v>
      </c>
      <c r="T655" s="3" t="n">
        <v>-0.7094525694847107</v>
      </c>
      <c r="U655" s="3" t="n">
        <v>-0.8931583166122437</v>
      </c>
      <c r="V655" s="3" t="n">
        <v>-0.6829447150230408</v>
      </c>
      <c r="W655" s="3" t="n">
        <v>-0.5976667404174805</v>
      </c>
      <c r="X655" s="3" t="n">
        <v>-1.378704309463501</v>
      </c>
      <c r="Y655" s="3" t="n">
        <v>-0.7882409691810608</v>
      </c>
      <c r="Z655" s="3" t="n">
        <v>-1.432952761650085</v>
      </c>
      <c r="AA655" s="3" t="n">
        <v>-1.432952761650085</v>
      </c>
      <c r="AB655" s="3" t="n">
        <v>-1.378704309463501</v>
      </c>
      <c r="AC655" s="3" t="n">
        <v>-2.180473804473877</v>
      </c>
      <c r="AD655" s="3" t="n">
        <v>-0.8931583166122437</v>
      </c>
      <c r="AE655" s="3" t="n">
        <v>-0.8931583166122437</v>
      </c>
    </row>
    <row r="656">
      <c r="A656" s="3" t="inlineStr">
        <is>
          <t>ESP.distn.dec.ove.mean.4</t>
        </is>
      </c>
      <c r="B656" s="3" t="inlineStr">
        <is>
          <t>ESP</t>
        </is>
      </c>
      <c r="C656" s="3" t="n">
        <v>2005</v>
      </c>
      <c r="D656" s="3" t="inlineStr">
        <is>
          <t>Overall</t>
        </is>
      </c>
      <c r="E656" s="3" t="inlineStr">
        <is>
          <t>Deciles</t>
        </is>
      </c>
      <c r="F656" s="3" t="inlineStr">
        <is>
          <t>mean</t>
        </is>
      </c>
      <c r="G656" s="3" t="n">
        <v>4</v>
      </c>
      <c r="H656" s="3" t="n">
        <v>-0.7820000052452087</v>
      </c>
      <c r="I656" s="3" t="n">
        <v>-0.7820000052452087</v>
      </c>
      <c r="J656" s="3" t="n">
        <v>-0.8500000238418579</v>
      </c>
      <c r="K656" s="3" t="n">
        <v>-0.8500000238418579</v>
      </c>
      <c r="L656" s="3" t="n">
        <v>-0.7820000052452087</v>
      </c>
      <c r="M656" s="3" t="n">
        <v>-0.7820000052452087</v>
      </c>
      <c r="N656" s="3" t="n">
        <v>-0.7820000052452087</v>
      </c>
      <c r="O656" s="3" t="n">
        <v>-0.7820000052452087</v>
      </c>
      <c r="P656" s="3" t="n">
        <v>-0.7820000052452087</v>
      </c>
      <c r="Q656" s="3" t="n">
        <v>-0.7820000052452087</v>
      </c>
      <c r="R656" s="3" t="n">
        <v>-0.7699999809265137</v>
      </c>
      <c r="S656" s="3" t="n">
        <v>-0.9760000109672546</v>
      </c>
      <c r="T656" s="3" t="n">
        <v>-0.7080000042915344</v>
      </c>
      <c r="U656" s="3" t="n">
        <v>-0.8500000238418579</v>
      </c>
      <c r="V656" s="3" t="n">
        <v>-0.6759999990463257</v>
      </c>
      <c r="W656" s="3" t="n">
        <v>-0.503000020980835</v>
      </c>
      <c r="X656" s="3" t="n">
        <v>-0.9729999899864197</v>
      </c>
      <c r="Y656" s="3" t="n">
        <v>-0.7820000052452087</v>
      </c>
      <c r="Z656" s="3" t="n">
        <v>-0.9760000109672546</v>
      </c>
      <c r="AA656" s="3" t="n">
        <v>-0.9760000109672546</v>
      </c>
      <c r="AB656" s="3" t="n">
        <v>-0.9729999899864197</v>
      </c>
      <c r="AC656" s="3" t="n">
        <v>-1.052999973297119</v>
      </c>
      <c r="AD656" s="3" t="n">
        <v>-0.8500000238418579</v>
      </c>
      <c r="AE656" s="3" t="n">
        <v>-0.8500000238418579</v>
      </c>
    </row>
    <row r="657">
      <c r="A657" s="3" t="inlineStr">
        <is>
          <t>ESP.distn.dec.ove.mean.5</t>
        </is>
      </c>
      <c r="B657" s="3" t="inlineStr">
        <is>
          <t>ESP</t>
        </is>
      </c>
      <c r="C657" s="3" t="n">
        <v>2005</v>
      </c>
      <c r="D657" s="3" t="inlineStr">
        <is>
          <t>Overall</t>
        </is>
      </c>
      <c r="E657" s="3" t="inlineStr">
        <is>
          <t>Deciles</t>
        </is>
      </c>
      <c r="F657" s="3" t="inlineStr">
        <is>
          <t>mean</t>
        </is>
      </c>
      <c r="G657" s="3" t="n">
        <v>5</v>
      </c>
      <c r="H657" s="3" t="n">
        <v>-0.7820000052452087</v>
      </c>
      <c r="I657" s="3" t="n">
        <v>-0.7820000052452087</v>
      </c>
      <c r="J657" s="3" t="n">
        <v>-0.8500000238418579</v>
      </c>
      <c r="K657" s="3" t="n">
        <v>-0.8500000238418579</v>
      </c>
      <c r="L657" s="3" t="n">
        <v>-0.7820000052452087</v>
      </c>
      <c r="M657" s="3" t="n">
        <v>-0.7820000052452087</v>
      </c>
      <c r="N657" s="3" t="n">
        <v>-0.7820000052452087</v>
      </c>
      <c r="O657" s="3" t="n">
        <v>-0.7820000052452087</v>
      </c>
      <c r="P657" s="3" t="n">
        <v>-0.7820000052452087</v>
      </c>
      <c r="Q657" s="3" t="n">
        <v>-0.7820000052452087</v>
      </c>
      <c r="R657" s="3" t="n">
        <v>-0.7699999809265137</v>
      </c>
      <c r="S657" s="3" t="n">
        <v>-0.9760000109672546</v>
      </c>
      <c r="T657" s="3" t="n">
        <v>-0.7080000042915344</v>
      </c>
      <c r="U657" s="3" t="n">
        <v>-0.8500000238418579</v>
      </c>
      <c r="V657" s="3" t="n">
        <v>-0.6759999990463257</v>
      </c>
      <c r="W657" s="3" t="n">
        <v>-0.503000020980835</v>
      </c>
      <c r="X657" s="3" t="n">
        <v>-0.9729999899864197</v>
      </c>
      <c r="Y657" s="3" t="n">
        <v>-0.7820000052452087</v>
      </c>
      <c r="Z657" s="3" t="n">
        <v>-0.9760000109672546</v>
      </c>
      <c r="AA657" s="3" t="n">
        <v>-0.9760000109672546</v>
      </c>
      <c r="AB657" s="3" t="n">
        <v>-0.9729999899864197</v>
      </c>
      <c r="AC657" s="3" t="n">
        <v>-1.052999973297119</v>
      </c>
      <c r="AD657" s="3" t="n">
        <v>-0.8500000238418579</v>
      </c>
      <c r="AE657" s="3" t="n">
        <v>-0.8500000238418579</v>
      </c>
    </row>
    <row r="658">
      <c r="A658" s="3" t="inlineStr">
        <is>
          <t>ESP.distn.dec.ove.mean.6</t>
        </is>
      </c>
      <c r="B658" s="3" t="inlineStr">
        <is>
          <t>ESP</t>
        </is>
      </c>
      <c r="C658" s="3" t="n">
        <v>2005</v>
      </c>
      <c r="D658" s="3" t="inlineStr">
        <is>
          <t>Overall</t>
        </is>
      </c>
      <c r="E658" s="3" t="inlineStr">
        <is>
          <t>Deciles</t>
        </is>
      </c>
      <c r="F658" s="3" t="inlineStr">
        <is>
          <t>mean</t>
        </is>
      </c>
      <c r="G658" s="3" t="n">
        <v>6</v>
      </c>
      <c r="H658" s="3" t="n">
        <v>-0.7820000052452087</v>
      </c>
      <c r="I658" s="3" t="n">
        <v>-0.7820000052452087</v>
      </c>
      <c r="J658" s="3" t="n">
        <v>-0.8500000238418579</v>
      </c>
      <c r="K658" s="3" t="n">
        <v>-0.8500000238418579</v>
      </c>
      <c r="L658" s="3" t="n">
        <v>-0.7820000052452087</v>
      </c>
      <c r="M658" s="3" t="n">
        <v>-0.7820000052452087</v>
      </c>
      <c r="N658" s="3" t="n">
        <v>-0.7820000052452087</v>
      </c>
      <c r="O658" s="3" t="n">
        <v>-0.7820000052452087</v>
      </c>
      <c r="P658" s="3" t="n">
        <v>-0.7820000052452087</v>
      </c>
      <c r="Q658" s="3" t="n">
        <v>-0.7820000052452087</v>
      </c>
      <c r="R658" s="3" t="n">
        <v>-0.7699999809265137</v>
      </c>
      <c r="S658" s="3" t="n">
        <v>-0.9760000109672546</v>
      </c>
      <c r="T658" s="3" t="n">
        <v>-0.7080000042915344</v>
      </c>
      <c r="U658" s="3" t="n">
        <v>-0.8500000238418579</v>
      </c>
      <c r="V658" s="3" t="n">
        <v>-0.6759999990463257</v>
      </c>
      <c r="W658" s="3" t="n">
        <v>-0.503000020980835</v>
      </c>
      <c r="X658" s="3" t="n">
        <v>-0.9729999899864197</v>
      </c>
      <c r="Y658" s="3" t="n">
        <v>-0.7820000052452087</v>
      </c>
      <c r="Z658" s="3" t="n">
        <v>-0.9760000109672546</v>
      </c>
      <c r="AA658" s="3" t="n">
        <v>-0.9760000109672546</v>
      </c>
      <c r="AB658" s="3" t="n">
        <v>-0.9729999899864197</v>
      </c>
      <c r="AC658" s="3" t="n">
        <v>-1.052999973297119</v>
      </c>
      <c r="AD658" s="3" t="n">
        <v>-0.8500000238418579</v>
      </c>
      <c r="AE658" s="3" t="n">
        <v>-0.8500000238418579</v>
      </c>
    </row>
    <row r="659">
      <c r="A659" s="3" t="inlineStr">
        <is>
          <t>ESP.distn.dec.ove.mean.7</t>
        </is>
      </c>
      <c r="B659" s="3" t="inlineStr">
        <is>
          <t>ESP</t>
        </is>
      </c>
      <c r="C659" s="3" t="n">
        <v>2005</v>
      </c>
      <c r="D659" s="3" t="inlineStr">
        <is>
          <t>Overall</t>
        </is>
      </c>
      <c r="E659" s="3" t="inlineStr">
        <is>
          <t>Deciles</t>
        </is>
      </c>
      <c r="F659" s="3" t="inlineStr">
        <is>
          <t>mean</t>
        </is>
      </c>
      <c r="G659" s="3" t="n">
        <v>7</v>
      </c>
      <c r="H659" s="3" t="n">
        <v>-0.7820000052452087</v>
      </c>
      <c r="I659" s="3" t="n">
        <v>-0.7820000052452087</v>
      </c>
      <c r="J659" s="3" t="n">
        <v>-0.8500000238418579</v>
      </c>
      <c r="K659" s="3" t="n">
        <v>-0.8500000238418579</v>
      </c>
      <c r="L659" s="3" t="n">
        <v>-0.7820000052452087</v>
      </c>
      <c r="M659" s="3" t="n">
        <v>-0.7820000052452087</v>
      </c>
      <c r="N659" s="3" t="n">
        <v>-0.7820000052452087</v>
      </c>
      <c r="O659" s="3" t="n">
        <v>-0.7820000052452087</v>
      </c>
      <c r="P659" s="3" t="n">
        <v>-0.7820000052452087</v>
      </c>
      <c r="Q659" s="3" t="n">
        <v>-0.7820000052452087</v>
      </c>
      <c r="R659" s="3" t="n">
        <v>-0.7699999809265137</v>
      </c>
      <c r="S659" s="3" t="n">
        <v>-0.9760000109672546</v>
      </c>
      <c r="T659" s="3" t="n">
        <v>-0.7080000042915344</v>
      </c>
      <c r="U659" s="3" t="n">
        <v>-0.8500000238418579</v>
      </c>
      <c r="V659" s="3" t="n">
        <v>-0.6759999990463257</v>
      </c>
      <c r="W659" s="3" t="n">
        <v>-0.503000020980835</v>
      </c>
      <c r="X659" s="3" t="n">
        <v>-0.9729999899864197</v>
      </c>
      <c r="Y659" s="3" t="n">
        <v>-0.7820000052452087</v>
      </c>
      <c r="Z659" s="3" t="n">
        <v>-0.9760000109672546</v>
      </c>
      <c r="AA659" s="3" t="n">
        <v>-0.9760000109672546</v>
      </c>
      <c r="AB659" s="3" t="n">
        <v>-0.9729999899864197</v>
      </c>
      <c r="AC659" s="3" t="n">
        <v>-1.052999973297119</v>
      </c>
      <c r="AD659" s="3" t="n">
        <v>-0.8500000238418579</v>
      </c>
      <c r="AE659" s="3" t="n">
        <v>-0.8500000238418579</v>
      </c>
    </row>
    <row r="660">
      <c r="A660" s="3" t="inlineStr">
        <is>
          <t>ESP.distn.dec.ove.mean.8</t>
        </is>
      </c>
      <c r="B660" s="3" t="inlineStr">
        <is>
          <t>ESP</t>
        </is>
      </c>
      <c r="C660" s="3" t="n">
        <v>2005</v>
      </c>
      <c r="D660" s="3" t="inlineStr">
        <is>
          <t>Overall</t>
        </is>
      </c>
      <c r="E660" s="3" t="inlineStr">
        <is>
          <t>Deciles</t>
        </is>
      </c>
      <c r="F660" s="3" t="inlineStr">
        <is>
          <t>mean</t>
        </is>
      </c>
      <c r="G660" s="3" t="n">
        <v>8</v>
      </c>
      <c r="H660" s="3" t="n">
        <v>-0.782376766204834</v>
      </c>
      <c r="I660" s="3" t="n">
        <v>-0.782376766204834</v>
      </c>
      <c r="J660" s="3" t="n">
        <v>-0.8522929549217224</v>
      </c>
      <c r="K660" s="3" t="n">
        <v>-0.8522929549217224</v>
      </c>
      <c r="L660" s="3" t="n">
        <v>-0.782376766204834</v>
      </c>
      <c r="M660" s="3" t="n">
        <v>-0.782376766204834</v>
      </c>
      <c r="N660" s="3" t="n">
        <v>-0.782376766204834</v>
      </c>
      <c r="O660" s="3" t="n">
        <v>-0.782376766204834</v>
      </c>
      <c r="P660" s="3" t="n">
        <v>-0.782376766204834</v>
      </c>
      <c r="Q660" s="3" t="n">
        <v>-0.782376766204834</v>
      </c>
      <c r="R660" s="3" t="n">
        <v>-0.7702532410621643</v>
      </c>
      <c r="S660" s="3" t="n">
        <v>-0.9850817918777466</v>
      </c>
      <c r="T660" s="3" t="n">
        <v>-0.7080408334732056</v>
      </c>
      <c r="U660" s="3" t="n">
        <v>-0.8522929549217224</v>
      </c>
      <c r="V660" s="3" t="n">
        <v>-0.6766988039016724</v>
      </c>
      <c r="W660" s="3" t="n">
        <v>-0.5164697170257568</v>
      </c>
      <c r="X660" s="3" t="n">
        <v>-0.9818659424781799</v>
      </c>
      <c r="Y660" s="3" t="n">
        <v>-0.782376766204834</v>
      </c>
      <c r="Z660" s="3" t="n">
        <v>-0.9850817918777466</v>
      </c>
      <c r="AA660" s="3" t="n">
        <v>-0.9850817918777466</v>
      </c>
      <c r="AB660" s="3" t="n">
        <v>-0.9818659424781799</v>
      </c>
      <c r="AC660" s="3" t="n">
        <v>-1.0680171251297</v>
      </c>
      <c r="AD660" s="3" t="n">
        <v>-0.8522929549217224</v>
      </c>
      <c r="AE660" s="3" t="n">
        <v>-0.8522929549217224</v>
      </c>
    </row>
    <row r="661">
      <c r="A661" s="3" t="inlineStr">
        <is>
          <t>ESP.distn.dec.ove.mean.9</t>
        </is>
      </c>
      <c r="B661" s="3" t="inlineStr">
        <is>
          <t>ESP</t>
        </is>
      </c>
      <c r="C661" s="3" t="n">
        <v>2005</v>
      </c>
      <c r="D661" s="3" t="inlineStr">
        <is>
          <t>Overall</t>
        </is>
      </c>
      <c r="E661" s="3" t="inlineStr">
        <is>
          <t>Deciles</t>
        </is>
      </c>
      <c r="F661" s="3" t="inlineStr">
        <is>
          <t>mean</t>
        </is>
      </c>
      <c r="G661" s="3" t="n">
        <v>9</v>
      </c>
      <c r="H661" s="3" t="n">
        <v>-0.782376766204834</v>
      </c>
      <c r="I661" s="3" t="n">
        <v>-0.782376766204834</v>
      </c>
      <c r="J661" s="3" t="n">
        <v>-0.8522929549217224</v>
      </c>
      <c r="K661" s="3" t="n">
        <v>-0.8522929549217224</v>
      </c>
      <c r="L661" s="3" t="n">
        <v>-0.782376766204834</v>
      </c>
      <c r="M661" s="3" t="n">
        <v>-0.782376766204834</v>
      </c>
      <c r="N661" s="3" t="n">
        <v>-0.782376766204834</v>
      </c>
      <c r="O661" s="3" t="n">
        <v>-0.782376766204834</v>
      </c>
      <c r="P661" s="3" t="n">
        <v>-0.782376766204834</v>
      </c>
      <c r="Q661" s="3" t="n">
        <v>-0.782376766204834</v>
      </c>
      <c r="R661" s="3" t="n">
        <v>-0.7702532410621643</v>
      </c>
      <c r="S661" s="3" t="n">
        <v>-0.9850817918777466</v>
      </c>
      <c r="T661" s="3" t="n">
        <v>-0.7080408334732056</v>
      </c>
      <c r="U661" s="3" t="n">
        <v>-0.8522929549217224</v>
      </c>
      <c r="V661" s="3" t="n">
        <v>-0.6766988039016724</v>
      </c>
      <c r="W661" s="3" t="n">
        <v>-0.5164697170257568</v>
      </c>
      <c r="X661" s="3" t="n">
        <v>-0.9818659424781799</v>
      </c>
      <c r="Y661" s="3" t="n">
        <v>-0.782376766204834</v>
      </c>
      <c r="Z661" s="3" t="n">
        <v>-0.9850817918777466</v>
      </c>
      <c r="AA661" s="3" t="n">
        <v>-0.9850817918777466</v>
      </c>
      <c r="AB661" s="3" t="n">
        <v>-0.9818659424781799</v>
      </c>
      <c r="AC661" s="3" t="n">
        <v>-1.0680171251297</v>
      </c>
      <c r="AD661" s="3" t="n">
        <v>-0.8522929549217224</v>
      </c>
      <c r="AE661" s="3" t="n">
        <v>-0.8522929549217224</v>
      </c>
    </row>
    <row r="662">
      <c r="A662" s="3" t="inlineStr">
        <is>
          <t>ESP.distn.dec.ove.mean.10</t>
        </is>
      </c>
      <c r="B662" s="3" t="inlineStr">
        <is>
          <t>ESP</t>
        </is>
      </c>
      <c r="C662" s="3" t="n">
        <v>2005</v>
      </c>
      <c r="D662" s="3" t="inlineStr">
        <is>
          <t>Overall</t>
        </is>
      </c>
      <c r="E662" s="3" t="inlineStr">
        <is>
          <t>Deciles</t>
        </is>
      </c>
      <c r="F662" s="3" t="inlineStr">
        <is>
          <t>mean</t>
        </is>
      </c>
      <c r="G662" s="3" t="n">
        <v>10</v>
      </c>
      <c r="H662" s="3" t="n">
        <v>-0.782376766204834</v>
      </c>
      <c r="I662" s="3" t="n">
        <v>-0.782376766204834</v>
      </c>
      <c r="J662" s="3" t="n">
        <v>-0.8522929549217224</v>
      </c>
      <c r="K662" s="3" t="n">
        <v>-0.8522929549217224</v>
      </c>
      <c r="L662" s="3" t="n">
        <v>-0.782376766204834</v>
      </c>
      <c r="M662" s="3" t="n">
        <v>-0.782376766204834</v>
      </c>
      <c r="N662" s="3" t="n">
        <v>-0.782376766204834</v>
      </c>
      <c r="O662" s="3" t="n">
        <v>-0.782376766204834</v>
      </c>
      <c r="P662" s="3" t="n">
        <v>-0.782376766204834</v>
      </c>
      <c r="Q662" s="3" t="n">
        <v>-0.782376766204834</v>
      </c>
      <c r="R662" s="3" t="n">
        <v>-0.7702532410621643</v>
      </c>
      <c r="S662" s="3" t="n">
        <v>-0.9850817918777466</v>
      </c>
      <c r="T662" s="3" t="n">
        <v>-0.7080408334732056</v>
      </c>
      <c r="U662" s="3" t="n">
        <v>-0.8522929549217224</v>
      </c>
      <c r="V662" s="3" t="n">
        <v>-0.6766988039016724</v>
      </c>
      <c r="W662" s="3" t="n">
        <v>-0.5164697170257568</v>
      </c>
      <c r="X662" s="3" t="n">
        <v>-0.9818659424781799</v>
      </c>
      <c r="Y662" s="3" t="n">
        <v>-0.782376766204834</v>
      </c>
      <c r="Z662" s="3" t="n">
        <v>-0.9850817918777466</v>
      </c>
      <c r="AA662" s="3" t="n">
        <v>-0.9850817918777466</v>
      </c>
      <c r="AB662" s="3" t="n">
        <v>-0.9818659424781799</v>
      </c>
      <c r="AC662" s="3" t="n">
        <v>-1.0680171251297</v>
      </c>
      <c r="AD662" s="3" t="n">
        <v>-0.8522929549217224</v>
      </c>
      <c r="AE662" s="3" t="n">
        <v>-0.8522929549217224</v>
      </c>
    </row>
    <row r="663">
      <c r="A663" s="3" t="inlineStr">
        <is>
          <t>ESP.distn.bkt.ove.mean.9999</t>
        </is>
      </c>
      <c r="B663" s="3" t="inlineStr">
        <is>
          <t>ESP</t>
        </is>
      </c>
      <c r="C663" s="3" t="n">
        <v>2005</v>
      </c>
      <c r="D663" s="3" t="inlineStr">
        <is>
          <t>Overall</t>
        </is>
      </c>
      <c r="E663" s="3" t="inlineStr">
        <is>
          <t>Basket</t>
        </is>
      </c>
      <c r="F663" s="3" t="inlineStr">
        <is>
          <t>mean</t>
        </is>
      </c>
      <c r="G663" s="3" t="n">
        <v>9999</v>
      </c>
      <c r="H663" s="3" t="n">
        <v>-0.7839853167533875</v>
      </c>
      <c r="I663" s="3" t="n">
        <v>-0.7839853167533875</v>
      </c>
      <c r="J663" s="3" t="n">
        <v>-0.8636354207992554</v>
      </c>
      <c r="K663" s="3" t="n">
        <v>-0.8636354207992554</v>
      </c>
      <c r="L663" s="3" t="n">
        <v>-0.7839853167533875</v>
      </c>
      <c r="M663" s="3" t="n">
        <v>-0.7839853167533875</v>
      </c>
      <c r="N663" s="3" t="n">
        <v>-0.7839853167533875</v>
      </c>
      <c r="O663" s="3" t="n">
        <v>-0.7839853167533875</v>
      </c>
      <c r="P663" s="3" t="n">
        <v>-0.7839853167533875</v>
      </c>
      <c r="Q663" s="3" t="n">
        <v>-0.7839853167533875</v>
      </c>
      <c r="R663" s="3" t="n">
        <v>-0.7711172103881836</v>
      </c>
      <c r="S663" s="3" t="n">
        <v>-1.115810394287109</v>
      </c>
      <c r="T663" s="3" t="n">
        <v>-0.708448052406311</v>
      </c>
      <c r="U663" s="3" t="n">
        <v>-0.8636354207992554</v>
      </c>
      <c r="V663" s="3" t="n">
        <v>-0.6782930493354797</v>
      </c>
      <c r="W663" s="3" t="n">
        <v>-0.5354409217834473</v>
      </c>
      <c r="X663" s="3" t="n">
        <v>-1.097371101379395</v>
      </c>
      <c r="Y663" s="3" t="n">
        <v>-0.7839853167533875</v>
      </c>
      <c r="Z663" s="3" t="n">
        <v>-1.115810394287109</v>
      </c>
      <c r="AA663" s="3" t="n">
        <v>-1.115810394287109</v>
      </c>
      <c r="AB663" s="3" t="n">
        <v>-1.097371101379395</v>
      </c>
      <c r="AC663" s="3" t="n">
        <v>-1.395747303962708</v>
      </c>
      <c r="AD663" s="3" t="n">
        <v>-0.8636354207992554</v>
      </c>
      <c r="AE663" s="3" t="n">
        <v>-0.8636354207992554</v>
      </c>
    </row>
    <row r="664">
      <c r="A664" s="3" t="inlineStr">
        <is>
          <t>EST.distn.dec.ove.mean.1</t>
        </is>
      </c>
      <c r="B664" s="3" t="inlineStr">
        <is>
          <t>EST</t>
        </is>
      </c>
      <c r="C664" s="3" t="n">
        <v>2005</v>
      </c>
      <c r="D664" s="3" t="inlineStr">
        <is>
          <t>Overall</t>
        </is>
      </c>
      <c r="E664" s="3" t="inlineStr">
        <is>
          <t>Deciles</t>
        </is>
      </c>
      <c r="F664" s="3" t="inlineStr">
        <is>
          <t>mean</t>
        </is>
      </c>
      <c r="G664" s="3" t="n">
        <v>1</v>
      </c>
      <c r="H664" s="3" t="n">
        <v>-0.7872329354286194</v>
      </c>
      <c r="I664" s="3" t="n">
        <v>-0.7872329354286194</v>
      </c>
      <c r="J664" s="3" t="n">
        <v>-0.8826505541801453</v>
      </c>
      <c r="K664" s="3" t="n">
        <v>-0.8826505541801453</v>
      </c>
      <c r="L664" s="3" t="n">
        <v>-0.7872329354286194</v>
      </c>
      <c r="M664" s="3" t="n">
        <v>-0.7872329354286194</v>
      </c>
      <c r="N664" s="3" t="n">
        <v>-0.7872329354286194</v>
      </c>
      <c r="O664" s="3" t="n">
        <v>-0.7872329354286194</v>
      </c>
      <c r="P664" s="3" t="n">
        <v>-0.7872329354286194</v>
      </c>
      <c r="Q664" s="3" t="n">
        <v>-0.7872329354286194</v>
      </c>
      <c r="R664" s="3" t="n">
        <v>-0.772466242313385</v>
      </c>
      <c r="S664" s="3" t="n">
        <v>-1.378629684448242</v>
      </c>
      <c r="T664" s="3" t="n">
        <v>-0.7094525694847107</v>
      </c>
      <c r="U664" s="3" t="n">
        <v>-0.8826505541801453</v>
      </c>
      <c r="V664" s="3" t="n">
        <v>-0.6809241771697998</v>
      </c>
      <c r="W664" s="3" t="n">
        <v>-0.540632963180542</v>
      </c>
      <c r="X664" s="3" t="n">
        <v>-1.327693700790405</v>
      </c>
      <c r="Y664" s="3" t="n">
        <v>-0.7872329354286194</v>
      </c>
      <c r="Z664" s="3" t="n">
        <v>-1.378629684448242</v>
      </c>
      <c r="AA664" s="3" t="n">
        <v>-1.378629684448242</v>
      </c>
      <c r="AB664" s="3" t="n">
        <v>-1.327693700790405</v>
      </c>
      <c r="AC664" s="3" t="n">
        <v>-2.05415940284729</v>
      </c>
      <c r="AD664" s="3" t="n">
        <v>-0.8826505541801453</v>
      </c>
      <c r="AE664" s="3" t="n">
        <v>-0.8826505541801453</v>
      </c>
    </row>
    <row r="665">
      <c r="A665" s="3" t="inlineStr">
        <is>
          <t>EST.distn.dec.ove.mean.2</t>
        </is>
      </c>
      <c r="B665" s="3" t="inlineStr">
        <is>
          <t>EST</t>
        </is>
      </c>
      <c r="C665" s="3" t="n">
        <v>2005</v>
      </c>
      <c r="D665" s="3" t="inlineStr">
        <is>
          <t>Overall</t>
        </is>
      </c>
      <c r="E665" s="3" t="inlineStr">
        <is>
          <t>Deciles</t>
        </is>
      </c>
      <c r="F665" s="3" t="inlineStr">
        <is>
          <t>mean</t>
        </is>
      </c>
      <c r="G665" s="3" t="n">
        <v>2</v>
      </c>
      <c r="H665" s="3" t="n">
        <v>-0.7872329354286194</v>
      </c>
      <c r="I665" s="3" t="n">
        <v>-0.7872329354286194</v>
      </c>
      <c r="J665" s="3" t="n">
        <v>-0.8826505541801453</v>
      </c>
      <c r="K665" s="3" t="n">
        <v>-0.8826505541801453</v>
      </c>
      <c r="L665" s="3" t="n">
        <v>-0.7872329354286194</v>
      </c>
      <c r="M665" s="3" t="n">
        <v>-0.7872329354286194</v>
      </c>
      <c r="N665" s="3" t="n">
        <v>-0.7872329354286194</v>
      </c>
      <c r="O665" s="3" t="n">
        <v>-0.7872329354286194</v>
      </c>
      <c r="P665" s="3" t="n">
        <v>-0.7872329354286194</v>
      </c>
      <c r="Q665" s="3" t="n">
        <v>-0.7872329354286194</v>
      </c>
      <c r="R665" s="3" t="n">
        <v>-0.772466242313385</v>
      </c>
      <c r="S665" s="3" t="n">
        <v>-1.378629684448242</v>
      </c>
      <c r="T665" s="3" t="n">
        <v>-0.7094525694847107</v>
      </c>
      <c r="U665" s="3" t="n">
        <v>-0.8826505541801453</v>
      </c>
      <c r="V665" s="3" t="n">
        <v>-0.6809241771697998</v>
      </c>
      <c r="W665" s="3" t="n">
        <v>-0.540632963180542</v>
      </c>
      <c r="X665" s="3" t="n">
        <v>-1.327693700790405</v>
      </c>
      <c r="Y665" s="3" t="n">
        <v>-0.7872329354286194</v>
      </c>
      <c r="Z665" s="3" t="n">
        <v>-1.378629684448242</v>
      </c>
      <c r="AA665" s="3" t="n">
        <v>-1.378629684448242</v>
      </c>
      <c r="AB665" s="3" t="n">
        <v>-1.327693700790405</v>
      </c>
      <c r="AC665" s="3" t="n">
        <v>-2.05415940284729</v>
      </c>
      <c r="AD665" s="3" t="n">
        <v>-0.8826505541801453</v>
      </c>
      <c r="AE665" s="3" t="n">
        <v>-0.8826505541801453</v>
      </c>
    </row>
    <row r="666">
      <c r="A666" s="3" t="inlineStr">
        <is>
          <t>EST.distn.dec.ove.mean.3</t>
        </is>
      </c>
      <c r="B666" s="3" t="inlineStr">
        <is>
          <t>EST</t>
        </is>
      </c>
      <c r="C666" s="3" t="n">
        <v>2005</v>
      </c>
      <c r="D666" s="3" t="inlineStr">
        <is>
          <t>Overall</t>
        </is>
      </c>
      <c r="E666" s="3" t="inlineStr">
        <is>
          <t>Deciles</t>
        </is>
      </c>
      <c r="F666" s="3" t="inlineStr">
        <is>
          <t>mean</t>
        </is>
      </c>
      <c r="G666" s="3" t="n">
        <v>3</v>
      </c>
      <c r="H666" s="3" t="n">
        <v>-0.7872329354286194</v>
      </c>
      <c r="I666" s="3" t="n">
        <v>-0.7872329354286194</v>
      </c>
      <c r="J666" s="3" t="n">
        <v>-0.8826505541801453</v>
      </c>
      <c r="K666" s="3" t="n">
        <v>-0.8826505541801453</v>
      </c>
      <c r="L666" s="3" t="n">
        <v>-0.7872329354286194</v>
      </c>
      <c r="M666" s="3" t="n">
        <v>-0.7872329354286194</v>
      </c>
      <c r="N666" s="3" t="n">
        <v>-0.7872329354286194</v>
      </c>
      <c r="O666" s="3" t="n">
        <v>-0.7872329354286194</v>
      </c>
      <c r="P666" s="3" t="n">
        <v>-0.7872329354286194</v>
      </c>
      <c r="Q666" s="3" t="n">
        <v>-0.7872329354286194</v>
      </c>
      <c r="R666" s="3" t="n">
        <v>-0.772466242313385</v>
      </c>
      <c r="S666" s="3" t="n">
        <v>-1.378629684448242</v>
      </c>
      <c r="T666" s="3" t="n">
        <v>-0.7094525694847107</v>
      </c>
      <c r="U666" s="3" t="n">
        <v>-0.8826505541801453</v>
      </c>
      <c r="V666" s="3" t="n">
        <v>-0.6809241771697998</v>
      </c>
      <c r="W666" s="3" t="n">
        <v>-0.540632963180542</v>
      </c>
      <c r="X666" s="3" t="n">
        <v>-1.327693700790405</v>
      </c>
      <c r="Y666" s="3" t="n">
        <v>-0.7872329354286194</v>
      </c>
      <c r="Z666" s="3" t="n">
        <v>-1.378629684448242</v>
      </c>
      <c r="AA666" s="3" t="n">
        <v>-1.378629684448242</v>
      </c>
      <c r="AB666" s="3" t="n">
        <v>-1.327693700790405</v>
      </c>
      <c r="AC666" s="3" t="n">
        <v>-2.05415940284729</v>
      </c>
      <c r="AD666" s="3" t="n">
        <v>-0.8826505541801453</v>
      </c>
      <c r="AE666" s="3" t="n">
        <v>-0.8826505541801453</v>
      </c>
    </row>
    <row r="667">
      <c r="A667" s="3" t="inlineStr">
        <is>
          <t>EST.distn.dec.ove.mean.4</t>
        </is>
      </c>
      <c r="B667" s="3" t="inlineStr">
        <is>
          <t>EST</t>
        </is>
      </c>
      <c r="C667" s="3" t="n">
        <v>2005</v>
      </c>
      <c r="D667" s="3" t="inlineStr">
        <is>
          <t>Overall</t>
        </is>
      </c>
      <c r="E667" s="3" t="inlineStr">
        <is>
          <t>Deciles</t>
        </is>
      </c>
      <c r="F667" s="3" t="inlineStr">
        <is>
          <t>mean</t>
        </is>
      </c>
      <c r="G667" s="3" t="n">
        <v>4</v>
      </c>
      <c r="H667" s="3" t="n">
        <v>-0.781000018119812</v>
      </c>
      <c r="I667" s="3" t="n">
        <v>-0.781000018119812</v>
      </c>
      <c r="J667" s="3" t="n">
        <v>-0.8399999737739563</v>
      </c>
      <c r="K667" s="3" t="n">
        <v>-0.8399999737739563</v>
      </c>
      <c r="L667" s="3" t="n">
        <v>-0.781000018119812</v>
      </c>
      <c r="M667" s="3" t="n">
        <v>-0.781000018119812</v>
      </c>
      <c r="N667" s="3" t="n">
        <v>-0.781000018119812</v>
      </c>
      <c r="O667" s="3" t="n">
        <v>-0.781000018119812</v>
      </c>
      <c r="P667" s="3" t="n">
        <v>-0.781000018119812</v>
      </c>
      <c r="Q667" s="3" t="n">
        <v>-0.781000018119812</v>
      </c>
      <c r="R667" s="3" t="n">
        <v>-0.7689999938011169</v>
      </c>
      <c r="S667" s="3" t="n">
        <v>-0.9390000104904175</v>
      </c>
      <c r="T667" s="3" t="n">
        <v>-0.7080000042915344</v>
      </c>
      <c r="U667" s="3" t="n">
        <v>-0.8399999737739563</v>
      </c>
      <c r="V667" s="3" t="n">
        <v>-0.6740000247955322</v>
      </c>
      <c r="W667" s="3" t="n">
        <v>-0.4550000131130219</v>
      </c>
      <c r="X667" s="3" t="n">
        <v>-0.9369999766349792</v>
      </c>
      <c r="Y667" s="3" t="n">
        <v>-0.781000018119812</v>
      </c>
      <c r="Z667" s="3" t="n">
        <v>-0.9390000104904175</v>
      </c>
      <c r="AA667" s="3" t="n">
        <v>-0.9390000104904175</v>
      </c>
      <c r="AB667" s="3" t="n">
        <v>-0.9369999766349792</v>
      </c>
      <c r="AC667" s="3" t="n">
        <v>-0.9919999837875366</v>
      </c>
      <c r="AD667" s="3" t="n">
        <v>-0.8399999737739563</v>
      </c>
      <c r="AE667" s="3" t="n">
        <v>-0.8399999737739563</v>
      </c>
    </row>
    <row r="668">
      <c r="A668" s="3" t="inlineStr">
        <is>
          <t>EST.distn.dec.ove.mean.5</t>
        </is>
      </c>
      <c r="B668" s="3" t="inlineStr">
        <is>
          <t>EST</t>
        </is>
      </c>
      <c r="C668" s="3" t="n">
        <v>2005</v>
      </c>
      <c r="D668" s="3" t="inlineStr">
        <is>
          <t>Overall</t>
        </is>
      </c>
      <c r="E668" s="3" t="inlineStr">
        <is>
          <t>Deciles</t>
        </is>
      </c>
      <c r="F668" s="3" t="inlineStr">
        <is>
          <t>mean</t>
        </is>
      </c>
      <c r="G668" s="3" t="n">
        <v>5</v>
      </c>
      <c r="H668" s="3" t="n">
        <v>-0.781000018119812</v>
      </c>
      <c r="I668" s="3" t="n">
        <v>-0.781000018119812</v>
      </c>
      <c r="J668" s="3" t="n">
        <v>-0.8399999737739563</v>
      </c>
      <c r="K668" s="3" t="n">
        <v>-0.8399999737739563</v>
      </c>
      <c r="L668" s="3" t="n">
        <v>-0.781000018119812</v>
      </c>
      <c r="M668" s="3" t="n">
        <v>-0.781000018119812</v>
      </c>
      <c r="N668" s="3" t="n">
        <v>-0.781000018119812</v>
      </c>
      <c r="O668" s="3" t="n">
        <v>-0.781000018119812</v>
      </c>
      <c r="P668" s="3" t="n">
        <v>-0.781000018119812</v>
      </c>
      <c r="Q668" s="3" t="n">
        <v>-0.781000018119812</v>
      </c>
      <c r="R668" s="3" t="n">
        <v>-0.7689999938011169</v>
      </c>
      <c r="S668" s="3" t="n">
        <v>-0.9390000104904175</v>
      </c>
      <c r="T668" s="3" t="n">
        <v>-0.7080000042915344</v>
      </c>
      <c r="U668" s="3" t="n">
        <v>-0.8399999737739563</v>
      </c>
      <c r="V668" s="3" t="n">
        <v>-0.6740000247955322</v>
      </c>
      <c r="W668" s="3" t="n">
        <v>-0.4550000131130219</v>
      </c>
      <c r="X668" s="3" t="n">
        <v>-0.9369999766349792</v>
      </c>
      <c r="Y668" s="3" t="n">
        <v>-0.781000018119812</v>
      </c>
      <c r="Z668" s="3" t="n">
        <v>-0.9390000104904175</v>
      </c>
      <c r="AA668" s="3" t="n">
        <v>-0.9390000104904175</v>
      </c>
      <c r="AB668" s="3" t="n">
        <v>-0.9369999766349792</v>
      </c>
      <c r="AC668" s="3" t="n">
        <v>-0.9919999837875366</v>
      </c>
      <c r="AD668" s="3" t="n">
        <v>-0.8399999737739563</v>
      </c>
      <c r="AE668" s="3" t="n">
        <v>-0.8399999737739563</v>
      </c>
    </row>
    <row r="669">
      <c r="A669" s="3" t="inlineStr">
        <is>
          <t>EST.distn.dec.ove.mean.6</t>
        </is>
      </c>
      <c r="B669" s="3" t="inlineStr">
        <is>
          <t>EST</t>
        </is>
      </c>
      <c r="C669" s="3" t="n">
        <v>2005</v>
      </c>
      <c r="D669" s="3" t="inlineStr">
        <is>
          <t>Overall</t>
        </is>
      </c>
      <c r="E669" s="3" t="inlineStr">
        <is>
          <t>Deciles</t>
        </is>
      </c>
      <c r="F669" s="3" t="inlineStr">
        <is>
          <t>mean</t>
        </is>
      </c>
      <c r="G669" s="3" t="n">
        <v>6</v>
      </c>
      <c r="H669" s="3" t="n">
        <v>-0.781000018119812</v>
      </c>
      <c r="I669" s="3" t="n">
        <v>-0.781000018119812</v>
      </c>
      <c r="J669" s="3" t="n">
        <v>-0.8399999737739563</v>
      </c>
      <c r="K669" s="3" t="n">
        <v>-0.8399999737739563</v>
      </c>
      <c r="L669" s="3" t="n">
        <v>-0.781000018119812</v>
      </c>
      <c r="M669" s="3" t="n">
        <v>-0.781000018119812</v>
      </c>
      <c r="N669" s="3" t="n">
        <v>-0.781000018119812</v>
      </c>
      <c r="O669" s="3" t="n">
        <v>-0.781000018119812</v>
      </c>
      <c r="P669" s="3" t="n">
        <v>-0.781000018119812</v>
      </c>
      <c r="Q669" s="3" t="n">
        <v>-0.781000018119812</v>
      </c>
      <c r="R669" s="3" t="n">
        <v>-0.7689999938011169</v>
      </c>
      <c r="S669" s="3" t="n">
        <v>-0.9390000104904175</v>
      </c>
      <c r="T669" s="3" t="n">
        <v>-0.7080000042915344</v>
      </c>
      <c r="U669" s="3" t="n">
        <v>-0.8399999737739563</v>
      </c>
      <c r="V669" s="3" t="n">
        <v>-0.6740000247955322</v>
      </c>
      <c r="W669" s="3" t="n">
        <v>-0.4550000131130219</v>
      </c>
      <c r="X669" s="3" t="n">
        <v>-0.9369999766349792</v>
      </c>
      <c r="Y669" s="3" t="n">
        <v>-0.781000018119812</v>
      </c>
      <c r="Z669" s="3" t="n">
        <v>-0.9390000104904175</v>
      </c>
      <c r="AA669" s="3" t="n">
        <v>-0.9390000104904175</v>
      </c>
      <c r="AB669" s="3" t="n">
        <v>-0.9369999766349792</v>
      </c>
      <c r="AC669" s="3" t="n">
        <v>-0.9919999837875366</v>
      </c>
      <c r="AD669" s="3" t="n">
        <v>-0.8399999737739563</v>
      </c>
      <c r="AE669" s="3" t="n">
        <v>-0.8399999737739563</v>
      </c>
    </row>
    <row r="670">
      <c r="A670" s="3" t="inlineStr">
        <is>
          <t>EST.distn.dec.ove.mean.7</t>
        </is>
      </c>
      <c r="B670" s="3" t="inlineStr">
        <is>
          <t>EST</t>
        </is>
      </c>
      <c r="C670" s="3" t="n">
        <v>2005</v>
      </c>
      <c r="D670" s="3" t="inlineStr">
        <is>
          <t>Overall</t>
        </is>
      </c>
      <c r="E670" s="3" t="inlineStr">
        <is>
          <t>Deciles</t>
        </is>
      </c>
      <c r="F670" s="3" t="inlineStr">
        <is>
          <t>mean</t>
        </is>
      </c>
      <c r="G670" s="3" t="n">
        <v>7</v>
      </c>
      <c r="H670" s="3" t="n">
        <v>-0.781000018119812</v>
      </c>
      <c r="I670" s="3" t="n">
        <v>-0.781000018119812</v>
      </c>
      <c r="J670" s="3" t="n">
        <v>-0.8399999737739563</v>
      </c>
      <c r="K670" s="3" t="n">
        <v>-0.8399999737739563</v>
      </c>
      <c r="L670" s="3" t="n">
        <v>-0.781000018119812</v>
      </c>
      <c r="M670" s="3" t="n">
        <v>-0.781000018119812</v>
      </c>
      <c r="N670" s="3" t="n">
        <v>-0.781000018119812</v>
      </c>
      <c r="O670" s="3" t="n">
        <v>-0.781000018119812</v>
      </c>
      <c r="P670" s="3" t="n">
        <v>-0.781000018119812</v>
      </c>
      <c r="Q670" s="3" t="n">
        <v>-0.781000018119812</v>
      </c>
      <c r="R670" s="3" t="n">
        <v>-0.7689999938011169</v>
      </c>
      <c r="S670" s="3" t="n">
        <v>-0.9390000104904175</v>
      </c>
      <c r="T670" s="3" t="n">
        <v>-0.7080000042915344</v>
      </c>
      <c r="U670" s="3" t="n">
        <v>-0.8399999737739563</v>
      </c>
      <c r="V670" s="3" t="n">
        <v>-0.6740000247955322</v>
      </c>
      <c r="W670" s="3" t="n">
        <v>-0.4550000131130219</v>
      </c>
      <c r="X670" s="3" t="n">
        <v>-0.9369999766349792</v>
      </c>
      <c r="Y670" s="3" t="n">
        <v>-0.781000018119812</v>
      </c>
      <c r="Z670" s="3" t="n">
        <v>-0.9390000104904175</v>
      </c>
      <c r="AA670" s="3" t="n">
        <v>-0.9390000104904175</v>
      </c>
      <c r="AB670" s="3" t="n">
        <v>-0.9369999766349792</v>
      </c>
      <c r="AC670" s="3" t="n">
        <v>-0.9919999837875366</v>
      </c>
      <c r="AD670" s="3" t="n">
        <v>-0.8399999737739563</v>
      </c>
      <c r="AE670" s="3" t="n">
        <v>-0.8399999737739563</v>
      </c>
    </row>
    <row r="671">
      <c r="A671" s="3" t="inlineStr">
        <is>
          <t>EST.distn.dec.ove.mean.8</t>
        </is>
      </c>
      <c r="B671" s="3" t="inlineStr">
        <is>
          <t>EST</t>
        </is>
      </c>
      <c r="C671" s="3" t="n">
        <v>2005</v>
      </c>
      <c r="D671" s="3" t="inlineStr">
        <is>
          <t>Overall</t>
        </is>
      </c>
      <c r="E671" s="3" t="inlineStr">
        <is>
          <t>Deciles</t>
        </is>
      </c>
      <c r="F671" s="3" t="inlineStr">
        <is>
          <t>mean</t>
        </is>
      </c>
      <c r="G671" s="3" t="n">
        <v>8</v>
      </c>
      <c r="H671" s="3" t="n">
        <v>-0.7813762426376343</v>
      </c>
      <c r="I671" s="3" t="n">
        <v>-0.7813762426376343</v>
      </c>
      <c r="J671" s="3" t="n">
        <v>-0.8422659635543823</v>
      </c>
      <c r="K671" s="3" t="n">
        <v>-0.8422659635543823</v>
      </c>
      <c r="L671" s="3" t="n">
        <v>-0.7813762426376343</v>
      </c>
      <c r="M671" s="3" t="n">
        <v>-0.7813762426376343</v>
      </c>
      <c r="N671" s="3" t="n">
        <v>-0.7813762426376343</v>
      </c>
      <c r="O671" s="3" t="n">
        <v>-0.7813762426376343</v>
      </c>
      <c r="P671" s="3" t="n">
        <v>-0.7813762426376343</v>
      </c>
      <c r="Q671" s="3" t="n">
        <v>-0.7813762426376343</v>
      </c>
      <c r="R671" s="3" t="n">
        <v>-0.7692528963088989</v>
      </c>
      <c r="S671" s="3" t="n">
        <v>-0.9477375149726868</v>
      </c>
      <c r="T671" s="3" t="n">
        <v>-0.7080408334732056</v>
      </c>
      <c r="U671" s="3" t="n">
        <v>-0.8422659635543823</v>
      </c>
      <c r="V671" s="3" t="n">
        <v>-0.6746967434883118</v>
      </c>
      <c r="W671" s="3" t="n">
        <v>-0.4671843647956848</v>
      </c>
      <c r="X671" s="3" t="n">
        <v>-0.9455379247665405</v>
      </c>
      <c r="Y671" s="3" t="n">
        <v>-0.7813762426376343</v>
      </c>
      <c r="Z671" s="3" t="n">
        <v>-0.9477375149726868</v>
      </c>
      <c r="AA671" s="3" t="n">
        <v>-0.9477375149726868</v>
      </c>
      <c r="AB671" s="3" t="n">
        <v>-0.9455379247665405</v>
      </c>
      <c r="AC671" s="3" t="n">
        <v>-1.006147265434265</v>
      </c>
      <c r="AD671" s="3" t="n">
        <v>-0.8422659635543823</v>
      </c>
      <c r="AE671" s="3" t="n">
        <v>-0.8422659635543823</v>
      </c>
    </row>
    <row r="672">
      <c r="A672" s="3" t="inlineStr">
        <is>
          <t>EST.distn.dec.ove.mean.9</t>
        </is>
      </c>
      <c r="B672" s="3" t="inlineStr">
        <is>
          <t>EST</t>
        </is>
      </c>
      <c r="C672" s="3" t="n">
        <v>2005</v>
      </c>
      <c r="D672" s="3" t="inlineStr">
        <is>
          <t>Overall</t>
        </is>
      </c>
      <c r="E672" s="3" t="inlineStr">
        <is>
          <t>Deciles</t>
        </is>
      </c>
      <c r="F672" s="3" t="inlineStr">
        <is>
          <t>mean</t>
        </is>
      </c>
      <c r="G672" s="3" t="n">
        <v>9</v>
      </c>
      <c r="H672" s="3" t="n">
        <v>-0.7813762426376343</v>
      </c>
      <c r="I672" s="3" t="n">
        <v>-0.7813762426376343</v>
      </c>
      <c r="J672" s="3" t="n">
        <v>-0.8422659635543823</v>
      </c>
      <c r="K672" s="3" t="n">
        <v>-0.8422659635543823</v>
      </c>
      <c r="L672" s="3" t="n">
        <v>-0.7813762426376343</v>
      </c>
      <c r="M672" s="3" t="n">
        <v>-0.7813762426376343</v>
      </c>
      <c r="N672" s="3" t="n">
        <v>-0.7813762426376343</v>
      </c>
      <c r="O672" s="3" t="n">
        <v>-0.7813762426376343</v>
      </c>
      <c r="P672" s="3" t="n">
        <v>-0.7813762426376343</v>
      </c>
      <c r="Q672" s="3" t="n">
        <v>-0.7813762426376343</v>
      </c>
      <c r="R672" s="3" t="n">
        <v>-0.7692528963088989</v>
      </c>
      <c r="S672" s="3" t="n">
        <v>-0.9477375149726868</v>
      </c>
      <c r="T672" s="3" t="n">
        <v>-0.7080408334732056</v>
      </c>
      <c r="U672" s="3" t="n">
        <v>-0.8422659635543823</v>
      </c>
      <c r="V672" s="3" t="n">
        <v>-0.6746967434883118</v>
      </c>
      <c r="W672" s="3" t="n">
        <v>-0.4671843647956848</v>
      </c>
      <c r="X672" s="3" t="n">
        <v>-0.9455379247665405</v>
      </c>
      <c r="Y672" s="3" t="n">
        <v>-0.7813762426376343</v>
      </c>
      <c r="Z672" s="3" t="n">
        <v>-0.9477375149726868</v>
      </c>
      <c r="AA672" s="3" t="n">
        <v>-0.9477375149726868</v>
      </c>
      <c r="AB672" s="3" t="n">
        <v>-0.9455379247665405</v>
      </c>
      <c r="AC672" s="3" t="n">
        <v>-1.006147265434265</v>
      </c>
      <c r="AD672" s="3" t="n">
        <v>-0.8422659635543823</v>
      </c>
      <c r="AE672" s="3" t="n">
        <v>-0.8422659635543823</v>
      </c>
    </row>
    <row r="673">
      <c r="A673" s="3" t="inlineStr">
        <is>
          <t>EST.distn.dec.ove.mean.10</t>
        </is>
      </c>
      <c r="B673" s="3" t="inlineStr">
        <is>
          <t>EST</t>
        </is>
      </c>
      <c r="C673" s="3" t="n">
        <v>2005</v>
      </c>
      <c r="D673" s="3" t="inlineStr">
        <is>
          <t>Overall</t>
        </is>
      </c>
      <c r="E673" s="3" t="inlineStr">
        <is>
          <t>Deciles</t>
        </is>
      </c>
      <c r="F673" s="3" t="inlineStr">
        <is>
          <t>mean</t>
        </is>
      </c>
      <c r="G673" s="3" t="n">
        <v>10</v>
      </c>
      <c r="H673" s="3" t="n">
        <v>-0.7813762426376343</v>
      </c>
      <c r="I673" s="3" t="n">
        <v>-0.7813762426376343</v>
      </c>
      <c r="J673" s="3" t="n">
        <v>-0.8422659635543823</v>
      </c>
      <c r="K673" s="3" t="n">
        <v>-0.8422659635543823</v>
      </c>
      <c r="L673" s="3" t="n">
        <v>-0.7813762426376343</v>
      </c>
      <c r="M673" s="3" t="n">
        <v>-0.7813762426376343</v>
      </c>
      <c r="N673" s="3" t="n">
        <v>-0.7813762426376343</v>
      </c>
      <c r="O673" s="3" t="n">
        <v>-0.7813762426376343</v>
      </c>
      <c r="P673" s="3" t="n">
        <v>-0.7813762426376343</v>
      </c>
      <c r="Q673" s="3" t="n">
        <v>-0.7813762426376343</v>
      </c>
      <c r="R673" s="3" t="n">
        <v>-0.7692528963088989</v>
      </c>
      <c r="S673" s="3" t="n">
        <v>-0.9477375149726868</v>
      </c>
      <c r="T673" s="3" t="n">
        <v>-0.7080408334732056</v>
      </c>
      <c r="U673" s="3" t="n">
        <v>-0.8422659635543823</v>
      </c>
      <c r="V673" s="3" t="n">
        <v>-0.6746967434883118</v>
      </c>
      <c r="W673" s="3" t="n">
        <v>-0.4671843647956848</v>
      </c>
      <c r="X673" s="3" t="n">
        <v>-0.9455379247665405</v>
      </c>
      <c r="Y673" s="3" t="n">
        <v>-0.7813762426376343</v>
      </c>
      <c r="Z673" s="3" t="n">
        <v>-0.9477375149726868</v>
      </c>
      <c r="AA673" s="3" t="n">
        <v>-0.9477375149726868</v>
      </c>
      <c r="AB673" s="3" t="n">
        <v>-0.9455379247665405</v>
      </c>
      <c r="AC673" s="3" t="n">
        <v>-1.006147265434265</v>
      </c>
      <c r="AD673" s="3" t="n">
        <v>-0.8422659635543823</v>
      </c>
      <c r="AE673" s="3" t="n">
        <v>-0.8422659635543823</v>
      </c>
    </row>
    <row r="674">
      <c r="A674" s="3" t="inlineStr">
        <is>
          <t>EST.distn.bkt.ove.mean.9999</t>
        </is>
      </c>
      <c r="B674" s="3" t="inlineStr">
        <is>
          <t>EST</t>
        </is>
      </c>
      <c r="C674" s="3" t="n">
        <v>2005</v>
      </c>
      <c r="D674" s="3" t="inlineStr">
        <is>
          <t>Overall</t>
        </is>
      </c>
      <c r="E674" s="3" t="inlineStr">
        <is>
          <t>Basket</t>
        </is>
      </c>
      <c r="F674" s="3" t="inlineStr">
        <is>
          <t>mean</t>
        </is>
      </c>
      <c r="G674" s="3" t="n">
        <v>9999</v>
      </c>
      <c r="H674" s="3" t="n">
        <v>-0.7829827666282654</v>
      </c>
      <c r="I674" s="3" t="n">
        <v>-0.7829827666282654</v>
      </c>
      <c r="J674" s="3" t="n">
        <v>-0.8534749746322632</v>
      </c>
      <c r="K674" s="3" t="n">
        <v>-0.8534749746322632</v>
      </c>
      <c r="L674" s="3" t="n">
        <v>-0.7829827666282654</v>
      </c>
      <c r="M674" s="3" t="n">
        <v>-0.7829827666282654</v>
      </c>
      <c r="N674" s="3" t="n">
        <v>-0.7829827666282654</v>
      </c>
      <c r="O674" s="3" t="n">
        <v>-0.7829827666282654</v>
      </c>
      <c r="P674" s="3" t="n">
        <v>-0.7829827666282654</v>
      </c>
      <c r="Q674" s="3" t="n">
        <v>-0.7829827666282654</v>
      </c>
      <c r="R674" s="3" t="n">
        <v>-0.7701157331466675</v>
      </c>
      <c r="S674" s="3" t="n">
        <v>-1.07351016998291</v>
      </c>
      <c r="T674" s="3" t="n">
        <v>-0.708448052406311</v>
      </c>
      <c r="U674" s="3" t="n">
        <v>-0.8534749746322632</v>
      </c>
      <c r="V674" s="3" t="n">
        <v>-0.6762862801551819</v>
      </c>
      <c r="W674" s="3" t="n">
        <v>-0.4843451976776123</v>
      </c>
      <c r="X674" s="3" t="n">
        <v>-1.056769490242004</v>
      </c>
      <c r="Y674" s="3" t="n">
        <v>-0.7829827666282654</v>
      </c>
      <c r="Z674" s="3" t="n">
        <v>-1.07351016998291</v>
      </c>
      <c r="AA674" s="3" t="n">
        <v>-1.07351016998291</v>
      </c>
      <c r="AB674" s="3" t="n">
        <v>-1.056769490242004</v>
      </c>
      <c r="AC674" s="3" t="n">
        <v>-1.314892053604126</v>
      </c>
      <c r="AD674" s="3" t="n">
        <v>-0.8534749746322632</v>
      </c>
      <c r="AE674" s="3" t="n">
        <v>-0.8534749746322632</v>
      </c>
    </row>
    <row r="675">
      <c r="A675" s="3" t="inlineStr">
        <is>
          <t>ETH.distn.dec.ove.mean.1</t>
        </is>
      </c>
      <c r="B675" s="3" t="inlineStr">
        <is>
          <t>ETH</t>
        </is>
      </c>
      <c r="C675" s="3" t="n">
        <v>2005</v>
      </c>
      <c r="D675" s="3" t="inlineStr">
        <is>
          <t>Overall</t>
        </is>
      </c>
      <c r="E675" s="3" t="inlineStr">
        <is>
          <t>Deciles</t>
        </is>
      </c>
      <c r="F675" s="3" t="inlineStr">
        <is>
          <t>mean</t>
        </is>
      </c>
      <c r="G675" s="3" t="n">
        <v>1</v>
      </c>
      <c r="H675" s="3" t="n">
        <v>-0.7993287444114685</v>
      </c>
      <c r="I675" s="3" t="n">
        <v>-0.7993287444114685</v>
      </c>
      <c r="J675" s="3" t="n">
        <v>-0.9793217778205872</v>
      </c>
      <c r="K675" s="3" t="n">
        <v>-0.9793217778205872</v>
      </c>
      <c r="L675" s="3" t="n">
        <v>-0.7993287444114685</v>
      </c>
      <c r="M675" s="3" t="n">
        <v>-0.7993287444114685</v>
      </c>
      <c r="N675" s="3" t="n">
        <v>-0.7993287444114685</v>
      </c>
      <c r="O675" s="3" t="n">
        <v>-0.7993287444114685</v>
      </c>
      <c r="P675" s="3" t="n">
        <v>-0.7993287444114685</v>
      </c>
      <c r="Q675" s="3" t="n">
        <v>-0.7993287444114685</v>
      </c>
      <c r="R675" s="3" t="n">
        <v>-0.7794978022575378</v>
      </c>
      <c r="S675" s="3" t="n">
        <v>-3.730668783187866</v>
      </c>
      <c r="T675" s="3" t="n">
        <v>-0.7114566564559937</v>
      </c>
      <c r="U675" s="3" t="n">
        <v>-0.9793217778205872</v>
      </c>
      <c r="V675" s="3" t="n">
        <v>-0.6930474638938904</v>
      </c>
      <c r="W675" s="3" t="n">
        <v>-0.7212399840354919</v>
      </c>
      <c r="X675" s="3" t="n">
        <v>-3.40496039390564</v>
      </c>
      <c r="Y675" s="3" t="n">
        <v>-0.7993287444114685</v>
      </c>
      <c r="Z675" s="3" t="n">
        <v>-3.730668783187866</v>
      </c>
      <c r="AA675" s="3" t="n">
        <v>-3.730668783187866</v>
      </c>
      <c r="AB675" s="3" t="n">
        <v>-3.40496039390564</v>
      </c>
      <c r="AC675" s="3" t="n">
        <v>-8.212496757507324</v>
      </c>
      <c r="AD675" s="3" t="n">
        <v>-0.9793217778205872</v>
      </c>
      <c r="AE675" s="3" t="n">
        <v>-0.9793217778205872</v>
      </c>
    </row>
    <row r="676">
      <c r="A676" s="3" t="inlineStr">
        <is>
          <t>ETH.distn.dec.ove.mean.2</t>
        </is>
      </c>
      <c r="B676" s="3" t="inlineStr">
        <is>
          <t>ETH</t>
        </is>
      </c>
      <c r="C676" s="3" t="n">
        <v>2005</v>
      </c>
      <c r="D676" s="3" t="inlineStr">
        <is>
          <t>Overall</t>
        </is>
      </c>
      <c r="E676" s="3" t="inlineStr">
        <is>
          <t>Deciles</t>
        </is>
      </c>
      <c r="F676" s="3" t="inlineStr">
        <is>
          <t>mean</t>
        </is>
      </c>
      <c r="G676" s="3" t="n">
        <v>2</v>
      </c>
      <c r="H676" s="3" t="n">
        <v>-0.7993287444114685</v>
      </c>
      <c r="I676" s="3" t="n">
        <v>-0.7993287444114685</v>
      </c>
      <c r="J676" s="3" t="n">
        <v>-0.9793217778205872</v>
      </c>
      <c r="K676" s="3" t="n">
        <v>-0.9793217778205872</v>
      </c>
      <c r="L676" s="3" t="n">
        <v>-0.7993287444114685</v>
      </c>
      <c r="M676" s="3" t="n">
        <v>-0.7993287444114685</v>
      </c>
      <c r="N676" s="3" t="n">
        <v>-0.7993287444114685</v>
      </c>
      <c r="O676" s="3" t="n">
        <v>-0.7993287444114685</v>
      </c>
      <c r="P676" s="3" t="n">
        <v>-0.7993287444114685</v>
      </c>
      <c r="Q676" s="3" t="n">
        <v>-0.7993287444114685</v>
      </c>
      <c r="R676" s="3" t="n">
        <v>-0.7794978022575378</v>
      </c>
      <c r="S676" s="3" t="n">
        <v>-3.730668783187866</v>
      </c>
      <c r="T676" s="3" t="n">
        <v>-0.7114566564559937</v>
      </c>
      <c r="U676" s="3" t="n">
        <v>-0.9793217778205872</v>
      </c>
      <c r="V676" s="3" t="n">
        <v>-0.6930474638938904</v>
      </c>
      <c r="W676" s="3" t="n">
        <v>-0.7212399840354919</v>
      </c>
      <c r="X676" s="3" t="n">
        <v>-3.40496039390564</v>
      </c>
      <c r="Y676" s="3" t="n">
        <v>-0.7993287444114685</v>
      </c>
      <c r="Z676" s="3" t="n">
        <v>-3.730668783187866</v>
      </c>
      <c r="AA676" s="3" t="n">
        <v>-3.730668783187866</v>
      </c>
      <c r="AB676" s="3" t="n">
        <v>-3.40496039390564</v>
      </c>
      <c r="AC676" s="3" t="n">
        <v>-8.212496757507324</v>
      </c>
      <c r="AD676" s="3" t="n">
        <v>-0.9793217778205872</v>
      </c>
      <c r="AE676" s="3" t="n">
        <v>-0.9793217778205872</v>
      </c>
    </row>
    <row r="677">
      <c r="A677" s="3" t="inlineStr">
        <is>
          <t>ETH.distn.dec.ove.mean.3</t>
        </is>
      </c>
      <c r="B677" s="3" t="inlineStr">
        <is>
          <t>ETH</t>
        </is>
      </c>
      <c r="C677" s="3" t="n">
        <v>2005</v>
      </c>
      <c r="D677" s="3" t="inlineStr">
        <is>
          <t>Overall</t>
        </is>
      </c>
      <c r="E677" s="3" t="inlineStr">
        <is>
          <t>Deciles</t>
        </is>
      </c>
      <c r="F677" s="3" t="inlineStr">
        <is>
          <t>mean</t>
        </is>
      </c>
      <c r="G677" s="3" t="n">
        <v>3</v>
      </c>
      <c r="H677" s="3" t="n">
        <v>-0.7993287444114685</v>
      </c>
      <c r="I677" s="3" t="n">
        <v>-0.7993287444114685</v>
      </c>
      <c r="J677" s="3" t="n">
        <v>-0.9793217778205872</v>
      </c>
      <c r="K677" s="3" t="n">
        <v>-0.9793217778205872</v>
      </c>
      <c r="L677" s="3" t="n">
        <v>-0.7993287444114685</v>
      </c>
      <c r="M677" s="3" t="n">
        <v>-0.7993287444114685</v>
      </c>
      <c r="N677" s="3" t="n">
        <v>-0.7993287444114685</v>
      </c>
      <c r="O677" s="3" t="n">
        <v>-0.7993287444114685</v>
      </c>
      <c r="P677" s="3" t="n">
        <v>-0.7993287444114685</v>
      </c>
      <c r="Q677" s="3" t="n">
        <v>-0.7993287444114685</v>
      </c>
      <c r="R677" s="3" t="n">
        <v>-0.7794978022575378</v>
      </c>
      <c r="S677" s="3" t="n">
        <v>-3.730668783187866</v>
      </c>
      <c r="T677" s="3" t="n">
        <v>-0.7114566564559937</v>
      </c>
      <c r="U677" s="3" t="n">
        <v>-0.9793217778205872</v>
      </c>
      <c r="V677" s="3" t="n">
        <v>-0.6930474638938904</v>
      </c>
      <c r="W677" s="3" t="n">
        <v>-0.7212399840354919</v>
      </c>
      <c r="X677" s="3" t="n">
        <v>-3.40496039390564</v>
      </c>
      <c r="Y677" s="3" t="n">
        <v>-0.7993287444114685</v>
      </c>
      <c r="Z677" s="3" t="n">
        <v>-3.730668783187866</v>
      </c>
      <c r="AA677" s="3" t="n">
        <v>-3.730668783187866</v>
      </c>
      <c r="AB677" s="3" t="n">
        <v>-3.40496039390564</v>
      </c>
      <c r="AC677" s="3" t="n">
        <v>-8.212496757507324</v>
      </c>
      <c r="AD677" s="3" t="n">
        <v>-0.9793217778205872</v>
      </c>
      <c r="AE677" s="3" t="n">
        <v>-0.9793217778205872</v>
      </c>
    </row>
    <row r="678">
      <c r="A678" s="3" t="inlineStr">
        <is>
          <t>ETH.distn.dec.ove.mean.4</t>
        </is>
      </c>
      <c r="B678" s="3" t="inlineStr">
        <is>
          <t>ETH</t>
        </is>
      </c>
      <c r="C678" s="3" t="n">
        <v>2005</v>
      </c>
      <c r="D678" s="3" t="inlineStr">
        <is>
          <t>Overall</t>
        </is>
      </c>
      <c r="E678" s="3" t="inlineStr">
        <is>
          <t>Deciles</t>
        </is>
      </c>
      <c r="F678" s="3" t="inlineStr">
        <is>
          <t>mean</t>
        </is>
      </c>
      <c r="G678" s="3" t="n">
        <v>4</v>
      </c>
      <c r="H678" s="3" t="n">
        <v>-0.7929999828338623</v>
      </c>
      <c r="I678" s="3" t="n">
        <v>-0.7929999828338623</v>
      </c>
      <c r="J678" s="3" t="n">
        <v>-0.9319999814033508</v>
      </c>
      <c r="K678" s="3" t="n">
        <v>-0.9319999814033508</v>
      </c>
      <c r="L678" s="3" t="n">
        <v>-0.7929999828338623</v>
      </c>
      <c r="M678" s="3" t="n">
        <v>-0.7929999828338623</v>
      </c>
      <c r="N678" s="3" t="n">
        <v>-0.7929999828338623</v>
      </c>
      <c r="O678" s="3" t="n">
        <v>-0.7929999828338623</v>
      </c>
      <c r="P678" s="3" t="n">
        <v>-0.7929999828338623</v>
      </c>
      <c r="Q678" s="3" t="n">
        <v>-0.7929999828338623</v>
      </c>
      <c r="R678" s="3" t="n">
        <v>-0.7760000228881836</v>
      </c>
      <c r="S678" s="3" t="n">
        <v>-2.540999889373779</v>
      </c>
      <c r="T678" s="3" t="n">
        <v>-0.7099999785423279</v>
      </c>
      <c r="U678" s="3" t="n">
        <v>-0.9319999814033508</v>
      </c>
      <c r="V678" s="3" t="n">
        <v>-0.6859999895095825</v>
      </c>
      <c r="W678" s="3" t="n">
        <v>-0.6069999933242798</v>
      </c>
      <c r="X678" s="3" t="n">
        <v>-2.403000116348267</v>
      </c>
      <c r="Y678" s="3" t="n">
        <v>-0.7929999828338623</v>
      </c>
      <c r="Z678" s="3" t="n">
        <v>-2.540999889373779</v>
      </c>
      <c r="AA678" s="3" t="n">
        <v>-2.540999889373779</v>
      </c>
      <c r="AB678" s="3" t="n">
        <v>-2.403000116348267</v>
      </c>
      <c r="AC678" s="3" t="n">
        <v>-3.966000080108643</v>
      </c>
      <c r="AD678" s="3" t="n">
        <v>-0.9319999814033508</v>
      </c>
      <c r="AE678" s="3" t="n">
        <v>-0.9319999814033508</v>
      </c>
    </row>
    <row r="679">
      <c r="A679" s="3" t="inlineStr">
        <is>
          <t>ETH.distn.dec.ove.mean.5</t>
        </is>
      </c>
      <c r="B679" s="3" t="inlineStr">
        <is>
          <t>ETH</t>
        </is>
      </c>
      <c r="C679" s="3" t="n">
        <v>2005</v>
      </c>
      <c r="D679" s="3" t="inlineStr">
        <is>
          <t>Overall</t>
        </is>
      </c>
      <c r="E679" s="3" t="inlineStr">
        <is>
          <t>Deciles</t>
        </is>
      </c>
      <c r="F679" s="3" t="inlineStr">
        <is>
          <t>mean</t>
        </is>
      </c>
      <c r="G679" s="3" t="n">
        <v>5</v>
      </c>
      <c r="H679" s="3" t="n">
        <v>-0.7929999828338623</v>
      </c>
      <c r="I679" s="3" t="n">
        <v>-0.7929999828338623</v>
      </c>
      <c r="J679" s="3" t="n">
        <v>-0.9319999814033508</v>
      </c>
      <c r="K679" s="3" t="n">
        <v>-0.9319999814033508</v>
      </c>
      <c r="L679" s="3" t="n">
        <v>-0.7929999828338623</v>
      </c>
      <c r="M679" s="3" t="n">
        <v>-0.7929999828338623</v>
      </c>
      <c r="N679" s="3" t="n">
        <v>-0.7929999828338623</v>
      </c>
      <c r="O679" s="3" t="n">
        <v>-0.7929999828338623</v>
      </c>
      <c r="P679" s="3" t="n">
        <v>-0.7929999828338623</v>
      </c>
      <c r="Q679" s="3" t="n">
        <v>-0.7929999828338623</v>
      </c>
      <c r="R679" s="3" t="n">
        <v>-0.7760000228881836</v>
      </c>
      <c r="S679" s="3" t="n">
        <v>-2.540999889373779</v>
      </c>
      <c r="T679" s="3" t="n">
        <v>-0.7099999785423279</v>
      </c>
      <c r="U679" s="3" t="n">
        <v>-0.9319999814033508</v>
      </c>
      <c r="V679" s="3" t="n">
        <v>-0.6859999895095825</v>
      </c>
      <c r="W679" s="3" t="n">
        <v>-0.6069999933242798</v>
      </c>
      <c r="X679" s="3" t="n">
        <v>-2.403000116348267</v>
      </c>
      <c r="Y679" s="3" t="n">
        <v>-0.7929999828338623</v>
      </c>
      <c r="Z679" s="3" t="n">
        <v>-2.540999889373779</v>
      </c>
      <c r="AA679" s="3" t="n">
        <v>-2.540999889373779</v>
      </c>
      <c r="AB679" s="3" t="n">
        <v>-2.403000116348267</v>
      </c>
      <c r="AC679" s="3" t="n">
        <v>-3.966000080108643</v>
      </c>
      <c r="AD679" s="3" t="n">
        <v>-0.9319999814033508</v>
      </c>
      <c r="AE679" s="3" t="n">
        <v>-0.9319999814033508</v>
      </c>
    </row>
    <row r="680">
      <c r="A680" s="3" t="inlineStr">
        <is>
          <t>ETH.distn.dec.ove.mean.6</t>
        </is>
      </c>
      <c r="B680" s="3" t="inlineStr">
        <is>
          <t>ETH</t>
        </is>
      </c>
      <c r="C680" s="3" t="n">
        <v>2005</v>
      </c>
      <c r="D680" s="3" t="inlineStr">
        <is>
          <t>Overall</t>
        </is>
      </c>
      <c r="E680" s="3" t="inlineStr">
        <is>
          <t>Deciles</t>
        </is>
      </c>
      <c r="F680" s="3" t="inlineStr">
        <is>
          <t>mean</t>
        </is>
      </c>
      <c r="G680" s="3" t="n">
        <v>6</v>
      </c>
      <c r="H680" s="3" t="n">
        <v>-0.7929999828338623</v>
      </c>
      <c r="I680" s="3" t="n">
        <v>-0.7929999828338623</v>
      </c>
      <c r="J680" s="3" t="n">
        <v>-0.9319999814033508</v>
      </c>
      <c r="K680" s="3" t="n">
        <v>-0.9319999814033508</v>
      </c>
      <c r="L680" s="3" t="n">
        <v>-0.7929999828338623</v>
      </c>
      <c r="M680" s="3" t="n">
        <v>-0.7929999828338623</v>
      </c>
      <c r="N680" s="3" t="n">
        <v>-0.7929999828338623</v>
      </c>
      <c r="O680" s="3" t="n">
        <v>-0.7929999828338623</v>
      </c>
      <c r="P680" s="3" t="n">
        <v>-0.7929999828338623</v>
      </c>
      <c r="Q680" s="3" t="n">
        <v>-0.7929999828338623</v>
      </c>
      <c r="R680" s="3" t="n">
        <v>-0.7760000228881836</v>
      </c>
      <c r="S680" s="3" t="n">
        <v>-2.540999889373779</v>
      </c>
      <c r="T680" s="3" t="n">
        <v>-0.7099999785423279</v>
      </c>
      <c r="U680" s="3" t="n">
        <v>-0.9319999814033508</v>
      </c>
      <c r="V680" s="3" t="n">
        <v>-0.6859999895095825</v>
      </c>
      <c r="W680" s="3" t="n">
        <v>-0.6069999933242798</v>
      </c>
      <c r="X680" s="3" t="n">
        <v>-2.403000116348267</v>
      </c>
      <c r="Y680" s="3" t="n">
        <v>-0.7929999828338623</v>
      </c>
      <c r="Z680" s="3" t="n">
        <v>-2.540999889373779</v>
      </c>
      <c r="AA680" s="3" t="n">
        <v>-2.540999889373779</v>
      </c>
      <c r="AB680" s="3" t="n">
        <v>-2.403000116348267</v>
      </c>
      <c r="AC680" s="3" t="n">
        <v>-3.966000080108643</v>
      </c>
      <c r="AD680" s="3" t="n">
        <v>-0.9319999814033508</v>
      </c>
      <c r="AE680" s="3" t="n">
        <v>-0.9319999814033508</v>
      </c>
    </row>
    <row r="681">
      <c r="A681" s="3" t="inlineStr">
        <is>
          <t>ETH.distn.dec.ove.mean.7</t>
        </is>
      </c>
      <c r="B681" s="3" t="inlineStr">
        <is>
          <t>ETH</t>
        </is>
      </c>
      <c r="C681" s="3" t="n">
        <v>2005</v>
      </c>
      <c r="D681" s="3" t="inlineStr">
        <is>
          <t>Overall</t>
        </is>
      </c>
      <c r="E681" s="3" t="inlineStr">
        <is>
          <t>Deciles</t>
        </is>
      </c>
      <c r="F681" s="3" t="inlineStr">
        <is>
          <t>mean</t>
        </is>
      </c>
      <c r="G681" s="3" t="n">
        <v>7</v>
      </c>
      <c r="H681" s="3" t="n">
        <v>-0.7929999828338623</v>
      </c>
      <c r="I681" s="3" t="n">
        <v>-0.7929999828338623</v>
      </c>
      <c r="J681" s="3" t="n">
        <v>-0.9319999814033508</v>
      </c>
      <c r="K681" s="3" t="n">
        <v>-0.9319999814033508</v>
      </c>
      <c r="L681" s="3" t="n">
        <v>-0.7929999828338623</v>
      </c>
      <c r="M681" s="3" t="n">
        <v>-0.7929999828338623</v>
      </c>
      <c r="N681" s="3" t="n">
        <v>-0.7929999828338623</v>
      </c>
      <c r="O681" s="3" t="n">
        <v>-0.7929999828338623</v>
      </c>
      <c r="P681" s="3" t="n">
        <v>-0.7929999828338623</v>
      </c>
      <c r="Q681" s="3" t="n">
        <v>-0.7929999828338623</v>
      </c>
      <c r="R681" s="3" t="n">
        <v>-0.7760000228881836</v>
      </c>
      <c r="S681" s="3" t="n">
        <v>-2.540999889373779</v>
      </c>
      <c r="T681" s="3" t="n">
        <v>-0.7099999785423279</v>
      </c>
      <c r="U681" s="3" t="n">
        <v>-0.9319999814033508</v>
      </c>
      <c r="V681" s="3" t="n">
        <v>-0.6859999895095825</v>
      </c>
      <c r="W681" s="3" t="n">
        <v>-0.6069999933242798</v>
      </c>
      <c r="X681" s="3" t="n">
        <v>-2.403000116348267</v>
      </c>
      <c r="Y681" s="3" t="n">
        <v>-0.7929999828338623</v>
      </c>
      <c r="Z681" s="3" t="n">
        <v>-2.540999889373779</v>
      </c>
      <c r="AA681" s="3" t="n">
        <v>-2.540999889373779</v>
      </c>
      <c r="AB681" s="3" t="n">
        <v>-2.403000116348267</v>
      </c>
      <c r="AC681" s="3" t="n">
        <v>-3.966000080108643</v>
      </c>
      <c r="AD681" s="3" t="n">
        <v>-0.9319999814033508</v>
      </c>
      <c r="AE681" s="3" t="n">
        <v>-0.9319999814033508</v>
      </c>
    </row>
    <row r="682">
      <c r="A682" s="3" t="inlineStr">
        <is>
          <t>ETH.distn.dec.ove.mean.8</t>
        </is>
      </c>
      <c r="B682" s="3" t="inlineStr">
        <is>
          <t>ETH</t>
        </is>
      </c>
      <c r="C682" s="3" t="n">
        <v>2005</v>
      </c>
      <c r="D682" s="3" t="inlineStr">
        <is>
          <t>Overall</t>
        </is>
      </c>
      <c r="E682" s="3" t="inlineStr">
        <is>
          <t>Deciles</t>
        </is>
      </c>
      <c r="F682" s="3" t="inlineStr">
        <is>
          <t>mean</t>
        </is>
      </c>
      <c r="G682" s="3" t="n">
        <v>8</v>
      </c>
      <c r="H682" s="3" t="n">
        <v>-0.7933820486068726</v>
      </c>
      <c r="I682" s="3" t="n">
        <v>-0.7933820486068726</v>
      </c>
      <c r="J682" s="3" t="n">
        <v>-0.9345141649246216</v>
      </c>
      <c r="K682" s="3" t="n">
        <v>-0.9345141649246216</v>
      </c>
      <c r="L682" s="3" t="n">
        <v>-0.7933820486068726</v>
      </c>
      <c r="M682" s="3" t="n">
        <v>-0.7933820486068726</v>
      </c>
      <c r="N682" s="3" t="n">
        <v>-0.7933820486068726</v>
      </c>
      <c r="O682" s="3" t="n">
        <v>-0.7933820486068726</v>
      </c>
      <c r="P682" s="3" t="n">
        <v>-0.7933820486068726</v>
      </c>
      <c r="Q682" s="3" t="n">
        <v>-0.7933820486068726</v>
      </c>
      <c r="R682" s="3" t="n">
        <v>-0.776255190372467</v>
      </c>
      <c r="S682" s="3" t="n">
        <v>-2.564644336700439</v>
      </c>
      <c r="T682" s="3" t="n">
        <v>-0.7100409269332886</v>
      </c>
      <c r="U682" s="3" t="n">
        <v>-0.9345141649246216</v>
      </c>
      <c r="V682" s="3" t="n">
        <v>-0.6867091655731201</v>
      </c>
      <c r="W682" s="3" t="n">
        <v>-0.6232547163963318</v>
      </c>
      <c r="X682" s="3" t="n">
        <v>-2.424896240234375</v>
      </c>
      <c r="Y682" s="3" t="n">
        <v>-0.7933820486068726</v>
      </c>
      <c r="Z682" s="3" t="n">
        <v>-2.564644336700439</v>
      </c>
      <c r="AA682" s="3" t="n">
        <v>-2.564644336700439</v>
      </c>
      <c r="AB682" s="3" t="n">
        <v>-2.424896240234375</v>
      </c>
      <c r="AC682" s="3" t="n">
        <v>-4.022560596466064</v>
      </c>
      <c r="AD682" s="3" t="n">
        <v>-0.9345141649246216</v>
      </c>
      <c r="AE682" s="3" t="n">
        <v>-0.9345141649246216</v>
      </c>
    </row>
    <row r="683">
      <c r="A683" s="3" t="inlineStr">
        <is>
          <t>ETH.distn.dec.ove.mean.9</t>
        </is>
      </c>
      <c r="B683" s="3" t="inlineStr">
        <is>
          <t>ETH</t>
        </is>
      </c>
      <c r="C683" s="3" t="n">
        <v>2005</v>
      </c>
      <c r="D683" s="3" t="inlineStr">
        <is>
          <t>Overall</t>
        </is>
      </c>
      <c r="E683" s="3" t="inlineStr">
        <is>
          <t>Deciles</t>
        </is>
      </c>
      <c r="F683" s="3" t="inlineStr">
        <is>
          <t>mean</t>
        </is>
      </c>
      <c r="G683" s="3" t="n">
        <v>9</v>
      </c>
      <c r="H683" s="3" t="n">
        <v>-0.7933820486068726</v>
      </c>
      <c r="I683" s="3" t="n">
        <v>-0.7933820486068726</v>
      </c>
      <c r="J683" s="3" t="n">
        <v>-0.9345141649246216</v>
      </c>
      <c r="K683" s="3" t="n">
        <v>-0.9345141649246216</v>
      </c>
      <c r="L683" s="3" t="n">
        <v>-0.7933820486068726</v>
      </c>
      <c r="M683" s="3" t="n">
        <v>-0.7933820486068726</v>
      </c>
      <c r="N683" s="3" t="n">
        <v>-0.7933820486068726</v>
      </c>
      <c r="O683" s="3" t="n">
        <v>-0.7933820486068726</v>
      </c>
      <c r="P683" s="3" t="n">
        <v>-0.7933820486068726</v>
      </c>
      <c r="Q683" s="3" t="n">
        <v>-0.7933820486068726</v>
      </c>
      <c r="R683" s="3" t="n">
        <v>-0.776255190372467</v>
      </c>
      <c r="S683" s="3" t="n">
        <v>-2.564644336700439</v>
      </c>
      <c r="T683" s="3" t="n">
        <v>-0.7100409269332886</v>
      </c>
      <c r="U683" s="3" t="n">
        <v>-0.9345141649246216</v>
      </c>
      <c r="V683" s="3" t="n">
        <v>-0.6867091655731201</v>
      </c>
      <c r="W683" s="3" t="n">
        <v>-0.6232547163963318</v>
      </c>
      <c r="X683" s="3" t="n">
        <v>-2.424896240234375</v>
      </c>
      <c r="Y683" s="3" t="n">
        <v>-0.7933820486068726</v>
      </c>
      <c r="Z683" s="3" t="n">
        <v>-2.564644336700439</v>
      </c>
      <c r="AA683" s="3" t="n">
        <v>-2.564644336700439</v>
      </c>
      <c r="AB683" s="3" t="n">
        <v>-2.424896240234375</v>
      </c>
      <c r="AC683" s="3" t="n">
        <v>-4.022560596466064</v>
      </c>
      <c r="AD683" s="3" t="n">
        <v>-0.9345141649246216</v>
      </c>
      <c r="AE683" s="3" t="n">
        <v>-0.9345141649246216</v>
      </c>
    </row>
    <row r="684">
      <c r="A684" s="3" t="inlineStr">
        <is>
          <t>ETH.distn.dec.ove.mean.10</t>
        </is>
      </c>
      <c r="B684" s="3" t="inlineStr">
        <is>
          <t>ETH</t>
        </is>
      </c>
      <c r="C684" s="3" t="n">
        <v>2005</v>
      </c>
      <c r="D684" s="3" t="inlineStr">
        <is>
          <t>Overall</t>
        </is>
      </c>
      <c r="E684" s="3" t="inlineStr">
        <is>
          <t>Deciles</t>
        </is>
      </c>
      <c r="F684" s="3" t="inlineStr">
        <is>
          <t>mean</t>
        </is>
      </c>
      <c r="G684" s="3" t="n">
        <v>10</v>
      </c>
      <c r="H684" s="3" t="n">
        <v>-0.7933820486068726</v>
      </c>
      <c r="I684" s="3" t="n">
        <v>-0.7933820486068726</v>
      </c>
      <c r="J684" s="3" t="n">
        <v>-0.9345141649246216</v>
      </c>
      <c r="K684" s="3" t="n">
        <v>-0.9345141649246216</v>
      </c>
      <c r="L684" s="3" t="n">
        <v>-0.7933820486068726</v>
      </c>
      <c r="M684" s="3" t="n">
        <v>-0.7933820486068726</v>
      </c>
      <c r="N684" s="3" t="n">
        <v>-0.7933820486068726</v>
      </c>
      <c r="O684" s="3" t="n">
        <v>-0.7933820486068726</v>
      </c>
      <c r="P684" s="3" t="n">
        <v>-0.7933820486068726</v>
      </c>
      <c r="Q684" s="3" t="n">
        <v>-0.7933820486068726</v>
      </c>
      <c r="R684" s="3" t="n">
        <v>-0.776255190372467</v>
      </c>
      <c r="S684" s="3" t="n">
        <v>-2.564644336700439</v>
      </c>
      <c r="T684" s="3" t="n">
        <v>-0.7100409269332886</v>
      </c>
      <c r="U684" s="3" t="n">
        <v>-0.9345141649246216</v>
      </c>
      <c r="V684" s="3" t="n">
        <v>-0.6867091655731201</v>
      </c>
      <c r="W684" s="3" t="n">
        <v>-0.6232547163963318</v>
      </c>
      <c r="X684" s="3" t="n">
        <v>-2.424896240234375</v>
      </c>
      <c r="Y684" s="3" t="n">
        <v>-0.7933820486068726</v>
      </c>
      <c r="Z684" s="3" t="n">
        <v>-2.564644336700439</v>
      </c>
      <c r="AA684" s="3" t="n">
        <v>-2.564644336700439</v>
      </c>
      <c r="AB684" s="3" t="n">
        <v>-2.424896240234375</v>
      </c>
      <c r="AC684" s="3" t="n">
        <v>-4.022560596466064</v>
      </c>
      <c r="AD684" s="3" t="n">
        <v>-0.9345141649246216</v>
      </c>
      <c r="AE684" s="3" t="n">
        <v>-0.9345141649246216</v>
      </c>
    </row>
    <row r="685">
      <c r="A685" s="3" t="inlineStr">
        <is>
          <t>ETH.distn.bkt.ove.mean.9999</t>
        </is>
      </c>
      <c r="B685" s="3" t="inlineStr">
        <is>
          <t>ETH</t>
        </is>
      </c>
      <c r="C685" s="3" t="n">
        <v>2005</v>
      </c>
      <c r="D685" s="3" t="inlineStr">
        <is>
          <t>Overall</t>
        </is>
      </c>
      <c r="E685" s="3" t="inlineStr">
        <is>
          <t>Basket</t>
        </is>
      </c>
      <c r="F685" s="3" t="inlineStr">
        <is>
          <t>mean</t>
        </is>
      </c>
      <c r="G685" s="3" t="n">
        <v>9999</v>
      </c>
      <c r="H685" s="3" t="n">
        <v>-0.7950132489204407</v>
      </c>
      <c r="I685" s="3" t="n">
        <v>-0.7950132489204407</v>
      </c>
      <c r="J685" s="3" t="n">
        <v>-0.9469507932662964</v>
      </c>
      <c r="K685" s="3" t="n">
        <v>-0.9469507932662964</v>
      </c>
      <c r="L685" s="3" t="n">
        <v>-0.7950132489204407</v>
      </c>
      <c r="M685" s="3" t="n">
        <v>-0.7950132489204407</v>
      </c>
      <c r="N685" s="3" t="n">
        <v>-0.7950132489204407</v>
      </c>
      <c r="O685" s="3" t="n">
        <v>-0.7950132489204407</v>
      </c>
      <c r="P685" s="3" t="n">
        <v>-0.7950132489204407</v>
      </c>
      <c r="Q685" s="3" t="n">
        <v>-0.7950132489204407</v>
      </c>
      <c r="R685" s="3" t="n">
        <v>-0.7771258950233459</v>
      </c>
      <c r="S685" s="3" t="n">
        <v>-2.904994010925293</v>
      </c>
      <c r="T685" s="3" t="n">
        <v>-0.7104492783546448</v>
      </c>
      <c r="U685" s="3" t="n">
        <v>-0.9469507932662964</v>
      </c>
      <c r="V685" s="3" t="n">
        <v>-0.6883269548416138</v>
      </c>
      <c r="W685" s="3" t="n">
        <v>-0.6461483836174011</v>
      </c>
      <c r="X685" s="3" t="n">
        <v>-2.710156917572021</v>
      </c>
      <c r="Y685" s="3" t="n">
        <v>-0.7950132489204407</v>
      </c>
      <c r="Z685" s="3" t="n">
        <v>-2.904994010925293</v>
      </c>
      <c r="AA685" s="3" t="n">
        <v>-2.904994010925293</v>
      </c>
      <c r="AB685" s="3" t="n">
        <v>-2.710156917572021</v>
      </c>
      <c r="AC685" s="3" t="n">
        <v>-5.256916999816895</v>
      </c>
      <c r="AD685" s="3" t="n">
        <v>-0.9469507932662964</v>
      </c>
      <c r="AE685" s="3" t="n">
        <v>-0.9469507932662964</v>
      </c>
    </row>
    <row r="686">
      <c r="A686" s="3" t="inlineStr">
        <is>
          <t>FIN.distn.dec.ove.mean.1</t>
        </is>
      </c>
      <c r="B686" s="3" t="inlineStr">
        <is>
          <t>FIN</t>
        </is>
      </c>
      <c r="C686" s="3" t="n">
        <v>2005</v>
      </c>
      <c r="D686" s="3" t="inlineStr">
        <is>
          <t>Overall</t>
        </is>
      </c>
      <c r="E686" s="3" t="inlineStr">
        <is>
          <t>Deciles</t>
        </is>
      </c>
      <c r="F686" s="3" t="inlineStr">
        <is>
          <t>mean</t>
        </is>
      </c>
      <c r="G686" s="3" t="n">
        <v>1</v>
      </c>
      <c r="H686" s="3" t="n">
        <v>-0.7892489433288574</v>
      </c>
      <c r="I686" s="3" t="n">
        <v>-0.7892489433288574</v>
      </c>
      <c r="J686" s="3" t="n">
        <v>-0.894209086894989</v>
      </c>
      <c r="K686" s="3" t="n">
        <v>-0.894209086894989</v>
      </c>
      <c r="L686" s="3" t="n">
        <v>-0.7892489433288574</v>
      </c>
      <c r="M686" s="3" t="n">
        <v>-0.7892489433288574</v>
      </c>
      <c r="N686" s="3" t="n">
        <v>-0.7892489433288574</v>
      </c>
      <c r="O686" s="3" t="n">
        <v>-0.7892489433288574</v>
      </c>
      <c r="P686" s="3" t="n">
        <v>-0.7892489433288574</v>
      </c>
      <c r="Q686" s="3" t="n">
        <v>-0.7892489433288574</v>
      </c>
      <c r="R686" s="3" t="n">
        <v>-0.7734707593917847</v>
      </c>
      <c r="S686" s="3" t="n">
        <v>-1.44176185131073</v>
      </c>
      <c r="T686" s="3" t="n">
        <v>-0.7094525694847107</v>
      </c>
      <c r="U686" s="3" t="n">
        <v>-0.894209086894989</v>
      </c>
      <c r="V686" s="3" t="n">
        <v>-0.6839550137519836</v>
      </c>
      <c r="W686" s="3" t="n">
        <v>-0.6036077737808228</v>
      </c>
      <c r="X686" s="3" t="n">
        <v>-1.387206077575684</v>
      </c>
      <c r="Y686" s="3" t="n">
        <v>-0.7892489433288574</v>
      </c>
      <c r="Z686" s="3" t="n">
        <v>-1.44176185131073</v>
      </c>
      <c r="AA686" s="3" t="n">
        <v>-1.44176185131073</v>
      </c>
      <c r="AB686" s="3" t="n">
        <v>-1.387206077575684</v>
      </c>
      <c r="AC686" s="3" t="n">
        <v>-2.201180934906006</v>
      </c>
      <c r="AD686" s="3" t="n">
        <v>-0.894209086894989</v>
      </c>
      <c r="AE686" s="3" t="n">
        <v>-0.894209086894989</v>
      </c>
    </row>
    <row r="687">
      <c r="A687" s="3" t="inlineStr">
        <is>
          <t>FIN.distn.dec.ove.mean.2</t>
        </is>
      </c>
      <c r="B687" s="3" t="inlineStr">
        <is>
          <t>FIN</t>
        </is>
      </c>
      <c r="C687" s="3" t="n">
        <v>2005</v>
      </c>
      <c r="D687" s="3" t="inlineStr">
        <is>
          <t>Overall</t>
        </is>
      </c>
      <c r="E687" s="3" t="inlineStr">
        <is>
          <t>Deciles</t>
        </is>
      </c>
      <c r="F687" s="3" t="inlineStr">
        <is>
          <t>mean</t>
        </is>
      </c>
      <c r="G687" s="3" t="n">
        <v>2</v>
      </c>
      <c r="H687" s="3" t="n">
        <v>-0.7892489433288574</v>
      </c>
      <c r="I687" s="3" t="n">
        <v>-0.7892489433288574</v>
      </c>
      <c r="J687" s="3" t="n">
        <v>-0.894209086894989</v>
      </c>
      <c r="K687" s="3" t="n">
        <v>-0.894209086894989</v>
      </c>
      <c r="L687" s="3" t="n">
        <v>-0.7892489433288574</v>
      </c>
      <c r="M687" s="3" t="n">
        <v>-0.7892489433288574</v>
      </c>
      <c r="N687" s="3" t="n">
        <v>-0.7892489433288574</v>
      </c>
      <c r="O687" s="3" t="n">
        <v>-0.7892489433288574</v>
      </c>
      <c r="P687" s="3" t="n">
        <v>-0.7892489433288574</v>
      </c>
      <c r="Q687" s="3" t="n">
        <v>-0.7892489433288574</v>
      </c>
      <c r="R687" s="3" t="n">
        <v>-0.7734707593917847</v>
      </c>
      <c r="S687" s="3" t="n">
        <v>-1.44176185131073</v>
      </c>
      <c r="T687" s="3" t="n">
        <v>-0.7094525694847107</v>
      </c>
      <c r="U687" s="3" t="n">
        <v>-0.894209086894989</v>
      </c>
      <c r="V687" s="3" t="n">
        <v>-0.6839550137519836</v>
      </c>
      <c r="W687" s="3" t="n">
        <v>-0.6036077737808228</v>
      </c>
      <c r="X687" s="3" t="n">
        <v>-1.387206077575684</v>
      </c>
      <c r="Y687" s="3" t="n">
        <v>-0.7892489433288574</v>
      </c>
      <c r="Z687" s="3" t="n">
        <v>-1.44176185131073</v>
      </c>
      <c r="AA687" s="3" t="n">
        <v>-1.44176185131073</v>
      </c>
      <c r="AB687" s="3" t="n">
        <v>-1.387206077575684</v>
      </c>
      <c r="AC687" s="3" t="n">
        <v>-2.201180934906006</v>
      </c>
      <c r="AD687" s="3" t="n">
        <v>-0.894209086894989</v>
      </c>
      <c r="AE687" s="3" t="n">
        <v>-0.894209086894989</v>
      </c>
    </row>
    <row r="688">
      <c r="A688" s="3" t="inlineStr">
        <is>
          <t>FIN.distn.dec.ove.mean.3</t>
        </is>
      </c>
      <c r="B688" s="3" t="inlineStr">
        <is>
          <t>FIN</t>
        </is>
      </c>
      <c r="C688" s="3" t="n">
        <v>2005</v>
      </c>
      <c r="D688" s="3" t="inlineStr">
        <is>
          <t>Overall</t>
        </is>
      </c>
      <c r="E688" s="3" t="inlineStr">
        <is>
          <t>Deciles</t>
        </is>
      </c>
      <c r="F688" s="3" t="inlineStr">
        <is>
          <t>mean</t>
        </is>
      </c>
      <c r="G688" s="3" t="n">
        <v>3</v>
      </c>
      <c r="H688" s="3" t="n">
        <v>-0.7892489433288574</v>
      </c>
      <c r="I688" s="3" t="n">
        <v>-0.7892489433288574</v>
      </c>
      <c r="J688" s="3" t="n">
        <v>-0.894209086894989</v>
      </c>
      <c r="K688" s="3" t="n">
        <v>-0.894209086894989</v>
      </c>
      <c r="L688" s="3" t="n">
        <v>-0.7892489433288574</v>
      </c>
      <c r="M688" s="3" t="n">
        <v>-0.7892489433288574</v>
      </c>
      <c r="N688" s="3" t="n">
        <v>-0.7892489433288574</v>
      </c>
      <c r="O688" s="3" t="n">
        <v>-0.7892489433288574</v>
      </c>
      <c r="P688" s="3" t="n">
        <v>-0.7892489433288574</v>
      </c>
      <c r="Q688" s="3" t="n">
        <v>-0.7892489433288574</v>
      </c>
      <c r="R688" s="3" t="n">
        <v>-0.7734707593917847</v>
      </c>
      <c r="S688" s="3" t="n">
        <v>-1.44176185131073</v>
      </c>
      <c r="T688" s="3" t="n">
        <v>-0.7094525694847107</v>
      </c>
      <c r="U688" s="3" t="n">
        <v>-0.894209086894989</v>
      </c>
      <c r="V688" s="3" t="n">
        <v>-0.6839550137519836</v>
      </c>
      <c r="W688" s="3" t="n">
        <v>-0.6036077737808228</v>
      </c>
      <c r="X688" s="3" t="n">
        <v>-1.387206077575684</v>
      </c>
      <c r="Y688" s="3" t="n">
        <v>-0.7892489433288574</v>
      </c>
      <c r="Z688" s="3" t="n">
        <v>-1.44176185131073</v>
      </c>
      <c r="AA688" s="3" t="n">
        <v>-1.44176185131073</v>
      </c>
      <c r="AB688" s="3" t="n">
        <v>-1.387206077575684</v>
      </c>
      <c r="AC688" s="3" t="n">
        <v>-2.201180934906006</v>
      </c>
      <c r="AD688" s="3" t="n">
        <v>-0.894209086894989</v>
      </c>
      <c r="AE688" s="3" t="n">
        <v>-0.894209086894989</v>
      </c>
    </row>
    <row r="689">
      <c r="A689" s="3" t="inlineStr">
        <is>
          <t>FIN.distn.dec.ove.mean.4</t>
        </is>
      </c>
      <c r="B689" s="3" t="inlineStr">
        <is>
          <t>FIN</t>
        </is>
      </c>
      <c r="C689" s="3" t="n">
        <v>2005</v>
      </c>
      <c r="D689" s="3" t="inlineStr">
        <is>
          <t>Overall</t>
        </is>
      </c>
      <c r="E689" s="3" t="inlineStr">
        <is>
          <t>Deciles</t>
        </is>
      </c>
      <c r="F689" s="3" t="inlineStr">
        <is>
          <t>mean</t>
        </is>
      </c>
      <c r="G689" s="3" t="n">
        <v>4</v>
      </c>
      <c r="H689" s="3" t="n">
        <v>-0.7829999923706055</v>
      </c>
      <c r="I689" s="3" t="n">
        <v>-0.7829999923706055</v>
      </c>
      <c r="J689" s="3" t="n">
        <v>-0.8510000109672546</v>
      </c>
      <c r="K689" s="3" t="n">
        <v>-0.8510000109672546</v>
      </c>
      <c r="L689" s="3" t="n">
        <v>-0.7829999923706055</v>
      </c>
      <c r="M689" s="3" t="n">
        <v>-0.7829999923706055</v>
      </c>
      <c r="N689" s="3" t="n">
        <v>-0.7829999923706055</v>
      </c>
      <c r="O689" s="3" t="n">
        <v>-0.7829999923706055</v>
      </c>
      <c r="P689" s="3" t="n">
        <v>-0.7829999923706055</v>
      </c>
      <c r="Q689" s="3" t="n">
        <v>-0.7829999923706055</v>
      </c>
      <c r="R689" s="3" t="n">
        <v>-0.7699999809265137</v>
      </c>
      <c r="S689" s="3" t="n">
        <v>-0.9819999933242798</v>
      </c>
      <c r="T689" s="3" t="n">
        <v>-0.7080000042915344</v>
      </c>
      <c r="U689" s="3" t="n">
        <v>-0.8510000109672546</v>
      </c>
      <c r="V689" s="3" t="n">
        <v>-0.6769999861717224</v>
      </c>
      <c r="W689" s="3" t="n">
        <v>-0.5080000162124634</v>
      </c>
      <c r="X689" s="3" t="n">
        <v>-0.9789999723434448</v>
      </c>
      <c r="Y689" s="3" t="n">
        <v>-0.7829999923706055</v>
      </c>
      <c r="Z689" s="3" t="n">
        <v>-0.9819999933242798</v>
      </c>
      <c r="AA689" s="3" t="n">
        <v>-0.9819999933242798</v>
      </c>
      <c r="AB689" s="3" t="n">
        <v>-0.9789999723434448</v>
      </c>
      <c r="AC689" s="3" t="n">
        <v>-1.062999963760376</v>
      </c>
      <c r="AD689" s="3" t="n">
        <v>-0.8510000109672546</v>
      </c>
      <c r="AE689" s="3" t="n">
        <v>-0.8510000109672546</v>
      </c>
    </row>
    <row r="690">
      <c r="A690" s="3" t="inlineStr">
        <is>
          <t>FIN.distn.dec.ove.mean.5</t>
        </is>
      </c>
      <c r="B690" s="3" t="inlineStr">
        <is>
          <t>FIN</t>
        </is>
      </c>
      <c r="C690" s="3" t="n">
        <v>2005</v>
      </c>
      <c r="D690" s="3" t="inlineStr">
        <is>
          <t>Overall</t>
        </is>
      </c>
      <c r="E690" s="3" t="inlineStr">
        <is>
          <t>Deciles</t>
        </is>
      </c>
      <c r="F690" s="3" t="inlineStr">
        <is>
          <t>mean</t>
        </is>
      </c>
      <c r="G690" s="3" t="n">
        <v>5</v>
      </c>
      <c r="H690" s="3" t="n">
        <v>-0.7829999923706055</v>
      </c>
      <c r="I690" s="3" t="n">
        <v>-0.7829999923706055</v>
      </c>
      <c r="J690" s="3" t="n">
        <v>-0.8510000109672546</v>
      </c>
      <c r="K690" s="3" t="n">
        <v>-0.8510000109672546</v>
      </c>
      <c r="L690" s="3" t="n">
        <v>-0.7829999923706055</v>
      </c>
      <c r="M690" s="3" t="n">
        <v>-0.7829999923706055</v>
      </c>
      <c r="N690" s="3" t="n">
        <v>-0.7829999923706055</v>
      </c>
      <c r="O690" s="3" t="n">
        <v>-0.7829999923706055</v>
      </c>
      <c r="P690" s="3" t="n">
        <v>-0.7829999923706055</v>
      </c>
      <c r="Q690" s="3" t="n">
        <v>-0.7829999923706055</v>
      </c>
      <c r="R690" s="3" t="n">
        <v>-0.7699999809265137</v>
      </c>
      <c r="S690" s="3" t="n">
        <v>-0.9819999933242798</v>
      </c>
      <c r="T690" s="3" t="n">
        <v>-0.7080000042915344</v>
      </c>
      <c r="U690" s="3" t="n">
        <v>-0.8510000109672546</v>
      </c>
      <c r="V690" s="3" t="n">
        <v>-0.6769999861717224</v>
      </c>
      <c r="W690" s="3" t="n">
        <v>-0.5080000162124634</v>
      </c>
      <c r="X690" s="3" t="n">
        <v>-0.9789999723434448</v>
      </c>
      <c r="Y690" s="3" t="n">
        <v>-0.7829999923706055</v>
      </c>
      <c r="Z690" s="3" t="n">
        <v>-0.9819999933242798</v>
      </c>
      <c r="AA690" s="3" t="n">
        <v>-0.9819999933242798</v>
      </c>
      <c r="AB690" s="3" t="n">
        <v>-0.9789999723434448</v>
      </c>
      <c r="AC690" s="3" t="n">
        <v>-1.062999963760376</v>
      </c>
      <c r="AD690" s="3" t="n">
        <v>-0.8510000109672546</v>
      </c>
      <c r="AE690" s="3" t="n">
        <v>-0.8510000109672546</v>
      </c>
    </row>
    <row r="691">
      <c r="A691" s="3" t="inlineStr">
        <is>
          <t>FIN.distn.dec.ove.mean.6</t>
        </is>
      </c>
      <c r="B691" s="3" t="inlineStr">
        <is>
          <t>FIN</t>
        </is>
      </c>
      <c r="C691" s="3" t="n">
        <v>2005</v>
      </c>
      <c r="D691" s="3" t="inlineStr">
        <is>
          <t>Overall</t>
        </is>
      </c>
      <c r="E691" s="3" t="inlineStr">
        <is>
          <t>Deciles</t>
        </is>
      </c>
      <c r="F691" s="3" t="inlineStr">
        <is>
          <t>mean</t>
        </is>
      </c>
      <c r="G691" s="3" t="n">
        <v>6</v>
      </c>
      <c r="H691" s="3" t="n">
        <v>-0.7829999923706055</v>
      </c>
      <c r="I691" s="3" t="n">
        <v>-0.7829999923706055</v>
      </c>
      <c r="J691" s="3" t="n">
        <v>-0.8510000109672546</v>
      </c>
      <c r="K691" s="3" t="n">
        <v>-0.8510000109672546</v>
      </c>
      <c r="L691" s="3" t="n">
        <v>-0.7829999923706055</v>
      </c>
      <c r="M691" s="3" t="n">
        <v>-0.7829999923706055</v>
      </c>
      <c r="N691" s="3" t="n">
        <v>-0.7829999923706055</v>
      </c>
      <c r="O691" s="3" t="n">
        <v>-0.7829999923706055</v>
      </c>
      <c r="P691" s="3" t="n">
        <v>-0.7829999923706055</v>
      </c>
      <c r="Q691" s="3" t="n">
        <v>-0.7829999923706055</v>
      </c>
      <c r="R691" s="3" t="n">
        <v>-0.7699999809265137</v>
      </c>
      <c r="S691" s="3" t="n">
        <v>-0.9819999933242798</v>
      </c>
      <c r="T691" s="3" t="n">
        <v>-0.7080000042915344</v>
      </c>
      <c r="U691" s="3" t="n">
        <v>-0.8510000109672546</v>
      </c>
      <c r="V691" s="3" t="n">
        <v>-0.6769999861717224</v>
      </c>
      <c r="W691" s="3" t="n">
        <v>-0.5080000162124634</v>
      </c>
      <c r="X691" s="3" t="n">
        <v>-0.9789999723434448</v>
      </c>
      <c r="Y691" s="3" t="n">
        <v>-0.7829999923706055</v>
      </c>
      <c r="Z691" s="3" t="n">
        <v>-0.9819999933242798</v>
      </c>
      <c r="AA691" s="3" t="n">
        <v>-0.9819999933242798</v>
      </c>
      <c r="AB691" s="3" t="n">
        <v>-0.9789999723434448</v>
      </c>
      <c r="AC691" s="3" t="n">
        <v>-1.062999963760376</v>
      </c>
      <c r="AD691" s="3" t="n">
        <v>-0.8510000109672546</v>
      </c>
      <c r="AE691" s="3" t="n">
        <v>-0.8510000109672546</v>
      </c>
    </row>
    <row r="692">
      <c r="A692" s="3" t="inlineStr">
        <is>
          <t>FIN.distn.dec.ove.mean.7</t>
        </is>
      </c>
      <c r="B692" s="3" t="inlineStr">
        <is>
          <t>FIN</t>
        </is>
      </c>
      <c r="C692" s="3" t="n">
        <v>2005</v>
      </c>
      <c r="D692" s="3" t="inlineStr">
        <is>
          <t>Overall</t>
        </is>
      </c>
      <c r="E692" s="3" t="inlineStr">
        <is>
          <t>Deciles</t>
        </is>
      </c>
      <c r="F692" s="3" t="inlineStr">
        <is>
          <t>mean</t>
        </is>
      </c>
      <c r="G692" s="3" t="n">
        <v>7</v>
      </c>
      <c r="H692" s="3" t="n">
        <v>-0.7829999923706055</v>
      </c>
      <c r="I692" s="3" t="n">
        <v>-0.7829999923706055</v>
      </c>
      <c r="J692" s="3" t="n">
        <v>-0.8510000109672546</v>
      </c>
      <c r="K692" s="3" t="n">
        <v>-0.8510000109672546</v>
      </c>
      <c r="L692" s="3" t="n">
        <v>-0.7829999923706055</v>
      </c>
      <c r="M692" s="3" t="n">
        <v>-0.7829999923706055</v>
      </c>
      <c r="N692" s="3" t="n">
        <v>-0.7829999923706055</v>
      </c>
      <c r="O692" s="3" t="n">
        <v>-0.7829999923706055</v>
      </c>
      <c r="P692" s="3" t="n">
        <v>-0.7829999923706055</v>
      </c>
      <c r="Q692" s="3" t="n">
        <v>-0.7829999923706055</v>
      </c>
      <c r="R692" s="3" t="n">
        <v>-0.7699999809265137</v>
      </c>
      <c r="S692" s="3" t="n">
        <v>-0.9819999933242798</v>
      </c>
      <c r="T692" s="3" t="n">
        <v>-0.7080000042915344</v>
      </c>
      <c r="U692" s="3" t="n">
        <v>-0.8510000109672546</v>
      </c>
      <c r="V692" s="3" t="n">
        <v>-0.6769999861717224</v>
      </c>
      <c r="W692" s="3" t="n">
        <v>-0.5080000162124634</v>
      </c>
      <c r="X692" s="3" t="n">
        <v>-0.9789999723434448</v>
      </c>
      <c r="Y692" s="3" t="n">
        <v>-0.7829999923706055</v>
      </c>
      <c r="Z692" s="3" t="n">
        <v>-0.9819999933242798</v>
      </c>
      <c r="AA692" s="3" t="n">
        <v>-0.9819999933242798</v>
      </c>
      <c r="AB692" s="3" t="n">
        <v>-0.9789999723434448</v>
      </c>
      <c r="AC692" s="3" t="n">
        <v>-1.062999963760376</v>
      </c>
      <c r="AD692" s="3" t="n">
        <v>-0.8510000109672546</v>
      </c>
      <c r="AE692" s="3" t="n">
        <v>-0.8510000109672546</v>
      </c>
    </row>
    <row r="693">
      <c r="A693" s="3" t="inlineStr">
        <is>
          <t>FIN.distn.dec.ove.mean.8</t>
        </is>
      </c>
      <c r="B693" s="3" t="inlineStr">
        <is>
          <t>FIN</t>
        </is>
      </c>
      <c r="C693" s="3" t="n">
        <v>2005</v>
      </c>
      <c r="D693" s="3" t="inlineStr">
        <is>
          <t>Overall</t>
        </is>
      </c>
      <c r="E693" s="3" t="inlineStr">
        <is>
          <t>Deciles</t>
        </is>
      </c>
      <c r="F693" s="3" t="inlineStr">
        <is>
          <t>mean</t>
        </is>
      </c>
      <c r="G693" s="3" t="n">
        <v>8</v>
      </c>
      <c r="H693" s="3" t="n">
        <v>-0.7833772301673889</v>
      </c>
      <c r="I693" s="3" t="n">
        <v>-0.7833772301673889</v>
      </c>
      <c r="J693" s="3" t="n">
        <v>-0.853295624256134</v>
      </c>
      <c r="K693" s="3" t="n">
        <v>-0.853295624256134</v>
      </c>
      <c r="L693" s="3" t="n">
        <v>-0.7833772301673889</v>
      </c>
      <c r="M693" s="3" t="n">
        <v>-0.7833772301673889</v>
      </c>
      <c r="N693" s="3" t="n">
        <v>-0.7833772301673889</v>
      </c>
      <c r="O693" s="3" t="n">
        <v>-0.7833772301673889</v>
      </c>
      <c r="P693" s="3" t="n">
        <v>-0.7833772301673889</v>
      </c>
      <c r="Q693" s="3" t="n">
        <v>-0.7833772301673889</v>
      </c>
      <c r="R693" s="3" t="n">
        <v>-0.7702532410621643</v>
      </c>
      <c r="S693" s="3" t="n">
        <v>-0.9911376237869263</v>
      </c>
      <c r="T693" s="3" t="n">
        <v>-0.7080408334732056</v>
      </c>
      <c r="U693" s="3" t="n">
        <v>-0.853295624256134</v>
      </c>
      <c r="V693" s="3" t="n">
        <v>-0.677699863910675</v>
      </c>
      <c r="W693" s="3" t="n">
        <v>-0.5216036438941956</v>
      </c>
      <c r="X693" s="3" t="n">
        <v>-0.9879206418991089</v>
      </c>
      <c r="Y693" s="3" t="n">
        <v>-0.7833772301673889</v>
      </c>
      <c r="Z693" s="3" t="n">
        <v>-0.9911376237869263</v>
      </c>
      <c r="AA693" s="3" t="n">
        <v>-0.9911376237869263</v>
      </c>
      <c r="AB693" s="3" t="n">
        <v>-0.9879206418991089</v>
      </c>
      <c r="AC693" s="3" t="n">
        <v>-1.078159809112549</v>
      </c>
      <c r="AD693" s="3" t="n">
        <v>-0.853295624256134</v>
      </c>
      <c r="AE693" s="3" t="n">
        <v>-0.853295624256134</v>
      </c>
    </row>
    <row r="694">
      <c r="A694" s="3" t="inlineStr">
        <is>
          <t>FIN.distn.dec.ove.mean.9</t>
        </is>
      </c>
      <c r="B694" s="3" t="inlineStr">
        <is>
          <t>FIN</t>
        </is>
      </c>
      <c r="C694" s="3" t="n">
        <v>2005</v>
      </c>
      <c r="D694" s="3" t="inlineStr">
        <is>
          <t>Overall</t>
        </is>
      </c>
      <c r="E694" s="3" t="inlineStr">
        <is>
          <t>Deciles</t>
        </is>
      </c>
      <c r="F694" s="3" t="inlineStr">
        <is>
          <t>mean</t>
        </is>
      </c>
      <c r="G694" s="3" t="n">
        <v>9</v>
      </c>
      <c r="H694" s="3" t="n">
        <v>-0.7833772301673889</v>
      </c>
      <c r="I694" s="3" t="n">
        <v>-0.7833772301673889</v>
      </c>
      <c r="J694" s="3" t="n">
        <v>-0.853295624256134</v>
      </c>
      <c r="K694" s="3" t="n">
        <v>-0.853295624256134</v>
      </c>
      <c r="L694" s="3" t="n">
        <v>-0.7833772301673889</v>
      </c>
      <c r="M694" s="3" t="n">
        <v>-0.7833772301673889</v>
      </c>
      <c r="N694" s="3" t="n">
        <v>-0.7833772301673889</v>
      </c>
      <c r="O694" s="3" t="n">
        <v>-0.7833772301673889</v>
      </c>
      <c r="P694" s="3" t="n">
        <v>-0.7833772301673889</v>
      </c>
      <c r="Q694" s="3" t="n">
        <v>-0.7833772301673889</v>
      </c>
      <c r="R694" s="3" t="n">
        <v>-0.7702532410621643</v>
      </c>
      <c r="S694" s="3" t="n">
        <v>-0.9911376237869263</v>
      </c>
      <c r="T694" s="3" t="n">
        <v>-0.7080408334732056</v>
      </c>
      <c r="U694" s="3" t="n">
        <v>-0.853295624256134</v>
      </c>
      <c r="V694" s="3" t="n">
        <v>-0.677699863910675</v>
      </c>
      <c r="W694" s="3" t="n">
        <v>-0.5216036438941956</v>
      </c>
      <c r="X694" s="3" t="n">
        <v>-0.9879206418991089</v>
      </c>
      <c r="Y694" s="3" t="n">
        <v>-0.7833772301673889</v>
      </c>
      <c r="Z694" s="3" t="n">
        <v>-0.9911376237869263</v>
      </c>
      <c r="AA694" s="3" t="n">
        <v>-0.9911376237869263</v>
      </c>
      <c r="AB694" s="3" t="n">
        <v>-0.9879206418991089</v>
      </c>
      <c r="AC694" s="3" t="n">
        <v>-1.078159809112549</v>
      </c>
      <c r="AD694" s="3" t="n">
        <v>-0.853295624256134</v>
      </c>
      <c r="AE694" s="3" t="n">
        <v>-0.853295624256134</v>
      </c>
    </row>
    <row r="695">
      <c r="A695" s="3" t="inlineStr">
        <is>
          <t>FIN.distn.dec.ove.mean.10</t>
        </is>
      </c>
      <c r="B695" s="3" t="inlineStr">
        <is>
          <t>FIN</t>
        </is>
      </c>
      <c r="C695" s="3" t="n">
        <v>2005</v>
      </c>
      <c r="D695" s="3" t="inlineStr">
        <is>
          <t>Overall</t>
        </is>
      </c>
      <c r="E695" s="3" t="inlineStr">
        <is>
          <t>Deciles</t>
        </is>
      </c>
      <c r="F695" s="3" t="inlineStr">
        <is>
          <t>mean</t>
        </is>
      </c>
      <c r="G695" s="3" t="n">
        <v>10</v>
      </c>
      <c r="H695" s="3" t="n">
        <v>-0.7833772301673889</v>
      </c>
      <c r="I695" s="3" t="n">
        <v>-0.7833772301673889</v>
      </c>
      <c r="J695" s="3" t="n">
        <v>-0.853295624256134</v>
      </c>
      <c r="K695" s="3" t="n">
        <v>-0.853295624256134</v>
      </c>
      <c r="L695" s="3" t="n">
        <v>-0.7833772301673889</v>
      </c>
      <c r="M695" s="3" t="n">
        <v>-0.7833772301673889</v>
      </c>
      <c r="N695" s="3" t="n">
        <v>-0.7833772301673889</v>
      </c>
      <c r="O695" s="3" t="n">
        <v>-0.7833772301673889</v>
      </c>
      <c r="P695" s="3" t="n">
        <v>-0.7833772301673889</v>
      </c>
      <c r="Q695" s="3" t="n">
        <v>-0.7833772301673889</v>
      </c>
      <c r="R695" s="3" t="n">
        <v>-0.7702532410621643</v>
      </c>
      <c r="S695" s="3" t="n">
        <v>-0.9911376237869263</v>
      </c>
      <c r="T695" s="3" t="n">
        <v>-0.7080408334732056</v>
      </c>
      <c r="U695" s="3" t="n">
        <v>-0.853295624256134</v>
      </c>
      <c r="V695" s="3" t="n">
        <v>-0.677699863910675</v>
      </c>
      <c r="W695" s="3" t="n">
        <v>-0.5216036438941956</v>
      </c>
      <c r="X695" s="3" t="n">
        <v>-0.9879206418991089</v>
      </c>
      <c r="Y695" s="3" t="n">
        <v>-0.7833772301673889</v>
      </c>
      <c r="Z695" s="3" t="n">
        <v>-0.9911376237869263</v>
      </c>
      <c r="AA695" s="3" t="n">
        <v>-0.9911376237869263</v>
      </c>
      <c r="AB695" s="3" t="n">
        <v>-0.9879206418991089</v>
      </c>
      <c r="AC695" s="3" t="n">
        <v>-1.078159809112549</v>
      </c>
      <c r="AD695" s="3" t="n">
        <v>-0.853295624256134</v>
      </c>
      <c r="AE695" s="3" t="n">
        <v>-0.853295624256134</v>
      </c>
    </row>
    <row r="696">
      <c r="A696" s="3" t="inlineStr">
        <is>
          <t>FIN.distn.bkt.ove.mean.9999</t>
        </is>
      </c>
      <c r="B696" s="3" t="inlineStr">
        <is>
          <t>FIN</t>
        </is>
      </c>
      <c r="C696" s="3" t="n">
        <v>2005</v>
      </c>
      <c r="D696" s="3" t="inlineStr">
        <is>
          <t>Overall</t>
        </is>
      </c>
      <c r="E696" s="3" t="inlineStr">
        <is>
          <t>Basket</t>
        </is>
      </c>
      <c r="F696" s="3" t="inlineStr">
        <is>
          <t>mean</t>
        </is>
      </c>
      <c r="G696" s="3" t="n">
        <v>9999</v>
      </c>
      <c r="H696" s="3" t="n">
        <v>-0.7849878668785095</v>
      </c>
      <c r="I696" s="3" t="n">
        <v>-0.7849878668785095</v>
      </c>
      <c r="J696" s="3" t="n">
        <v>-0.8646514415740967</v>
      </c>
      <c r="K696" s="3" t="n">
        <v>-0.8646514415740967</v>
      </c>
      <c r="L696" s="3" t="n">
        <v>-0.7849878668785095</v>
      </c>
      <c r="M696" s="3" t="n">
        <v>-0.7849878668785095</v>
      </c>
      <c r="N696" s="3" t="n">
        <v>-0.7849878668785095</v>
      </c>
      <c r="O696" s="3" t="n">
        <v>-0.7849878668785095</v>
      </c>
      <c r="P696" s="3" t="n">
        <v>-0.7849878668785095</v>
      </c>
      <c r="Q696" s="3" t="n">
        <v>-0.7849878668785095</v>
      </c>
      <c r="R696" s="3" t="n">
        <v>-0.7711172103881836</v>
      </c>
      <c r="S696" s="3" t="n">
        <v>-1.122669816017151</v>
      </c>
      <c r="T696" s="3" t="n">
        <v>-0.708448052406311</v>
      </c>
      <c r="U696" s="3" t="n">
        <v>-0.8646514415740967</v>
      </c>
      <c r="V696" s="3" t="n">
        <v>-0.6792964339256287</v>
      </c>
      <c r="W696" s="3" t="n">
        <v>-0.5407634377479553</v>
      </c>
      <c r="X696" s="3" t="n">
        <v>-1.104138016700745</v>
      </c>
      <c r="Y696" s="3" t="n">
        <v>-0.7849878668785095</v>
      </c>
      <c r="Z696" s="3" t="n">
        <v>-1.122669816017151</v>
      </c>
      <c r="AA696" s="3" t="n">
        <v>-1.122669816017151</v>
      </c>
      <c r="AB696" s="3" t="n">
        <v>-1.104138016700745</v>
      </c>
      <c r="AC696" s="3" t="n">
        <v>-1.409002184867859</v>
      </c>
      <c r="AD696" s="3" t="n">
        <v>-0.8646514415740967</v>
      </c>
      <c r="AE696" s="3" t="n">
        <v>-0.8646514415740967</v>
      </c>
    </row>
    <row r="697">
      <c r="A697" s="3" t="inlineStr">
        <is>
          <t>FJI.distn.dec.ove.mean.1</t>
        </is>
      </c>
      <c r="B697" s="3" t="inlineStr">
        <is>
          <t>FJI</t>
        </is>
      </c>
      <c r="C697" s="3" t="n">
        <v>2005</v>
      </c>
      <c r="D697" s="3" t="inlineStr">
        <is>
          <t>Overall</t>
        </is>
      </c>
      <c r="E697" s="3" t="inlineStr">
        <is>
          <t>Deciles</t>
        </is>
      </c>
      <c r="F697" s="3" t="inlineStr">
        <is>
          <t>mean</t>
        </is>
      </c>
      <c r="G697" s="3" t="n">
        <v>1</v>
      </c>
      <c r="H697" s="3" t="n">
        <v>-0.7902569174766541</v>
      </c>
      <c r="I697" s="3" t="n">
        <v>-0.7902569174766541</v>
      </c>
      <c r="J697" s="3" t="n">
        <v>-0.9057676196098328</v>
      </c>
      <c r="K697" s="3" t="n">
        <v>-0.9057676196098328</v>
      </c>
      <c r="L697" s="3" t="n">
        <v>-0.7902569174766541</v>
      </c>
      <c r="M697" s="3" t="n">
        <v>-0.7902569174766541</v>
      </c>
      <c r="N697" s="3" t="n">
        <v>-0.7902569174766541</v>
      </c>
      <c r="O697" s="3" t="n">
        <v>-0.7902569174766541</v>
      </c>
      <c r="P697" s="3" t="n">
        <v>-0.7902569174766541</v>
      </c>
      <c r="Q697" s="3" t="n">
        <v>-0.7902569174766541</v>
      </c>
      <c r="R697" s="3" t="n">
        <v>-0.7744752764701843</v>
      </c>
      <c r="S697" s="3" t="n">
        <v>-1.522512197494507</v>
      </c>
      <c r="T697" s="3" t="n">
        <v>-0.7104546427726746</v>
      </c>
      <c r="U697" s="3" t="n">
        <v>-0.9057676196098328</v>
      </c>
      <c r="V697" s="3" t="n">
        <v>-0.6859755516052246</v>
      </c>
      <c r="W697" s="3" t="n">
        <v>-0.6404421329498291</v>
      </c>
      <c r="X697" s="3" t="n">
        <v>-1.462305188179016</v>
      </c>
      <c r="Y697" s="3" t="n">
        <v>-0.7902569174766541</v>
      </c>
      <c r="Z697" s="3" t="n">
        <v>-1.522512197494507</v>
      </c>
      <c r="AA697" s="3" t="n">
        <v>-1.522512197494507</v>
      </c>
      <c r="AB697" s="3" t="n">
        <v>-1.462305188179016</v>
      </c>
      <c r="AC697" s="3" t="n">
        <v>-2.416536331176758</v>
      </c>
      <c r="AD697" s="3" t="n">
        <v>-0.9057676196098328</v>
      </c>
      <c r="AE697" s="3" t="n">
        <v>-0.9057676196098328</v>
      </c>
    </row>
    <row r="698">
      <c r="A698" s="3" t="inlineStr">
        <is>
          <t>FJI.distn.dec.ove.mean.2</t>
        </is>
      </c>
      <c r="B698" s="3" t="inlineStr">
        <is>
          <t>FJI</t>
        </is>
      </c>
      <c r="C698" s="3" t="n">
        <v>2005</v>
      </c>
      <c r="D698" s="3" t="inlineStr">
        <is>
          <t>Overall</t>
        </is>
      </c>
      <c r="E698" s="3" t="inlineStr">
        <is>
          <t>Deciles</t>
        </is>
      </c>
      <c r="F698" s="3" t="inlineStr">
        <is>
          <t>mean</t>
        </is>
      </c>
      <c r="G698" s="3" t="n">
        <v>2</v>
      </c>
      <c r="H698" s="3" t="n">
        <v>-0.7902569174766541</v>
      </c>
      <c r="I698" s="3" t="n">
        <v>-0.7902569174766541</v>
      </c>
      <c r="J698" s="3" t="n">
        <v>-0.9057676196098328</v>
      </c>
      <c r="K698" s="3" t="n">
        <v>-0.9057676196098328</v>
      </c>
      <c r="L698" s="3" t="n">
        <v>-0.7902569174766541</v>
      </c>
      <c r="M698" s="3" t="n">
        <v>-0.7902569174766541</v>
      </c>
      <c r="N698" s="3" t="n">
        <v>-0.7902569174766541</v>
      </c>
      <c r="O698" s="3" t="n">
        <v>-0.7902569174766541</v>
      </c>
      <c r="P698" s="3" t="n">
        <v>-0.7902569174766541</v>
      </c>
      <c r="Q698" s="3" t="n">
        <v>-0.7902569174766541</v>
      </c>
      <c r="R698" s="3" t="n">
        <v>-0.7744752764701843</v>
      </c>
      <c r="S698" s="3" t="n">
        <v>-1.522512197494507</v>
      </c>
      <c r="T698" s="3" t="n">
        <v>-0.7104546427726746</v>
      </c>
      <c r="U698" s="3" t="n">
        <v>-0.9057676196098328</v>
      </c>
      <c r="V698" s="3" t="n">
        <v>-0.6859755516052246</v>
      </c>
      <c r="W698" s="3" t="n">
        <v>-0.6404421329498291</v>
      </c>
      <c r="X698" s="3" t="n">
        <v>-1.462305188179016</v>
      </c>
      <c r="Y698" s="3" t="n">
        <v>-0.7902569174766541</v>
      </c>
      <c r="Z698" s="3" t="n">
        <v>-1.522512197494507</v>
      </c>
      <c r="AA698" s="3" t="n">
        <v>-1.522512197494507</v>
      </c>
      <c r="AB698" s="3" t="n">
        <v>-1.462305188179016</v>
      </c>
      <c r="AC698" s="3" t="n">
        <v>-2.416536331176758</v>
      </c>
      <c r="AD698" s="3" t="n">
        <v>-0.9057676196098328</v>
      </c>
      <c r="AE698" s="3" t="n">
        <v>-0.9057676196098328</v>
      </c>
    </row>
    <row r="699">
      <c r="A699" s="3" t="inlineStr">
        <is>
          <t>FJI.distn.dec.ove.mean.3</t>
        </is>
      </c>
      <c r="B699" s="3" t="inlineStr">
        <is>
          <t>FJI</t>
        </is>
      </c>
      <c r="C699" s="3" t="n">
        <v>2005</v>
      </c>
      <c r="D699" s="3" t="inlineStr">
        <is>
          <t>Overall</t>
        </is>
      </c>
      <c r="E699" s="3" t="inlineStr">
        <is>
          <t>Deciles</t>
        </is>
      </c>
      <c r="F699" s="3" t="inlineStr">
        <is>
          <t>mean</t>
        </is>
      </c>
      <c r="G699" s="3" t="n">
        <v>3</v>
      </c>
      <c r="H699" s="3" t="n">
        <v>-0.7902569174766541</v>
      </c>
      <c r="I699" s="3" t="n">
        <v>-0.7902569174766541</v>
      </c>
      <c r="J699" s="3" t="n">
        <v>-0.9057676196098328</v>
      </c>
      <c r="K699" s="3" t="n">
        <v>-0.9057676196098328</v>
      </c>
      <c r="L699" s="3" t="n">
        <v>-0.7902569174766541</v>
      </c>
      <c r="M699" s="3" t="n">
        <v>-0.7902569174766541</v>
      </c>
      <c r="N699" s="3" t="n">
        <v>-0.7902569174766541</v>
      </c>
      <c r="O699" s="3" t="n">
        <v>-0.7902569174766541</v>
      </c>
      <c r="P699" s="3" t="n">
        <v>-0.7902569174766541</v>
      </c>
      <c r="Q699" s="3" t="n">
        <v>-0.7902569174766541</v>
      </c>
      <c r="R699" s="3" t="n">
        <v>-0.7744752764701843</v>
      </c>
      <c r="S699" s="3" t="n">
        <v>-1.522512197494507</v>
      </c>
      <c r="T699" s="3" t="n">
        <v>-0.7104546427726746</v>
      </c>
      <c r="U699" s="3" t="n">
        <v>-0.9057676196098328</v>
      </c>
      <c r="V699" s="3" t="n">
        <v>-0.6859755516052246</v>
      </c>
      <c r="W699" s="3" t="n">
        <v>-0.6404421329498291</v>
      </c>
      <c r="X699" s="3" t="n">
        <v>-1.462305188179016</v>
      </c>
      <c r="Y699" s="3" t="n">
        <v>-0.7902569174766541</v>
      </c>
      <c r="Z699" s="3" t="n">
        <v>-1.522512197494507</v>
      </c>
      <c r="AA699" s="3" t="n">
        <v>-1.522512197494507</v>
      </c>
      <c r="AB699" s="3" t="n">
        <v>-1.462305188179016</v>
      </c>
      <c r="AC699" s="3" t="n">
        <v>-2.416536331176758</v>
      </c>
      <c r="AD699" s="3" t="n">
        <v>-0.9057676196098328</v>
      </c>
      <c r="AE699" s="3" t="n">
        <v>-0.9057676196098328</v>
      </c>
    </row>
    <row r="700">
      <c r="A700" s="3" t="inlineStr">
        <is>
          <t>FJI.distn.dec.ove.mean.4</t>
        </is>
      </c>
      <c r="B700" s="3" t="inlineStr">
        <is>
          <t>FJI</t>
        </is>
      </c>
      <c r="C700" s="3" t="n">
        <v>2005</v>
      </c>
      <c r="D700" s="3" t="inlineStr">
        <is>
          <t>Overall</t>
        </is>
      </c>
      <c r="E700" s="3" t="inlineStr">
        <is>
          <t>Deciles</t>
        </is>
      </c>
      <c r="F700" s="3" t="inlineStr">
        <is>
          <t>mean</t>
        </is>
      </c>
      <c r="G700" s="3" t="n">
        <v>4</v>
      </c>
      <c r="H700" s="3" t="n">
        <v>-0.7839999794960022</v>
      </c>
      <c r="I700" s="3" t="n">
        <v>-0.7839999794960022</v>
      </c>
      <c r="J700" s="3" t="n">
        <v>-0.8619999885559082</v>
      </c>
      <c r="K700" s="3" t="n">
        <v>-0.8619999885559082</v>
      </c>
      <c r="L700" s="3" t="n">
        <v>-0.7839999794960022</v>
      </c>
      <c r="M700" s="3" t="n">
        <v>-0.7839999794960022</v>
      </c>
      <c r="N700" s="3" t="n">
        <v>-0.7839999794960022</v>
      </c>
      <c r="O700" s="3" t="n">
        <v>-0.7839999794960022</v>
      </c>
      <c r="P700" s="3" t="n">
        <v>-0.7839999794960022</v>
      </c>
      <c r="Q700" s="3" t="n">
        <v>-0.7839999794960022</v>
      </c>
      <c r="R700" s="3" t="n">
        <v>-0.7710000276565552</v>
      </c>
      <c r="S700" s="3" t="n">
        <v>-1.036999940872192</v>
      </c>
      <c r="T700" s="3" t="n">
        <v>-0.7089999914169312</v>
      </c>
      <c r="U700" s="3" t="n">
        <v>-0.8619999885559082</v>
      </c>
      <c r="V700" s="3" t="n">
        <v>-0.6790000200271606</v>
      </c>
      <c r="W700" s="3" t="n">
        <v>-0.5389999747276306</v>
      </c>
      <c r="X700" s="3" t="n">
        <v>-1.031999945640564</v>
      </c>
      <c r="Y700" s="3" t="n">
        <v>-0.7839999794960022</v>
      </c>
      <c r="Z700" s="3" t="n">
        <v>-1.036999940872192</v>
      </c>
      <c r="AA700" s="3" t="n">
        <v>-1.036999940872192</v>
      </c>
      <c r="AB700" s="3" t="n">
        <v>-1.031999945640564</v>
      </c>
      <c r="AC700" s="3" t="n">
        <v>-1.16700005531311</v>
      </c>
      <c r="AD700" s="3" t="n">
        <v>-0.8619999885559082</v>
      </c>
      <c r="AE700" s="3" t="n">
        <v>-0.8619999885559082</v>
      </c>
    </row>
    <row r="701">
      <c r="A701" s="3" t="inlineStr">
        <is>
          <t>FJI.distn.dec.ove.mean.5</t>
        </is>
      </c>
      <c r="B701" s="3" t="inlineStr">
        <is>
          <t>FJI</t>
        </is>
      </c>
      <c r="C701" s="3" t="n">
        <v>2005</v>
      </c>
      <c r="D701" s="3" t="inlineStr">
        <is>
          <t>Overall</t>
        </is>
      </c>
      <c r="E701" s="3" t="inlineStr">
        <is>
          <t>Deciles</t>
        </is>
      </c>
      <c r="F701" s="3" t="inlineStr">
        <is>
          <t>mean</t>
        </is>
      </c>
      <c r="G701" s="3" t="n">
        <v>5</v>
      </c>
      <c r="H701" s="3" t="n">
        <v>-0.7839999794960022</v>
      </c>
      <c r="I701" s="3" t="n">
        <v>-0.7839999794960022</v>
      </c>
      <c r="J701" s="3" t="n">
        <v>-0.8619999885559082</v>
      </c>
      <c r="K701" s="3" t="n">
        <v>-0.8619999885559082</v>
      </c>
      <c r="L701" s="3" t="n">
        <v>-0.7839999794960022</v>
      </c>
      <c r="M701" s="3" t="n">
        <v>-0.7839999794960022</v>
      </c>
      <c r="N701" s="3" t="n">
        <v>-0.7839999794960022</v>
      </c>
      <c r="O701" s="3" t="n">
        <v>-0.7839999794960022</v>
      </c>
      <c r="P701" s="3" t="n">
        <v>-0.7839999794960022</v>
      </c>
      <c r="Q701" s="3" t="n">
        <v>-0.7839999794960022</v>
      </c>
      <c r="R701" s="3" t="n">
        <v>-0.7710000276565552</v>
      </c>
      <c r="S701" s="3" t="n">
        <v>-1.036999940872192</v>
      </c>
      <c r="T701" s="3" t="n">
        <v>-0.7089999914169312</v>
      </c>
      <c r="U701" s="3" t="n">
        <v>-0.8619999885559082</v>
      </c>
      <c r="V701" s="3" t="n">
        <v>-0.6790000200271606</v>
      </c>
      <c r="W701" s="3" t="n">
        <v>-0.5389999747276306</v>
      </c>
      <c r="X701" s="3" t="n">
        <v>-1.031999945640564</v>
      </c>
      <c r="Y701" s="3" t="n">
        <v>-0.7839999794960022</v>
      </c>
      <c r="Z701" s="3" t="n">
        <v>-1.036999940872192</v>
      </c>
      <c r="AA701" s="3" t="n">
        <v>-1.036999940872192</v>
      </c>
      <c r="AB701" s="3" t="n">
        <v>-1.031999945640564</v>
      </c>
      <c r="AC701" s="3" t="n">
        <v>-1.16700005531311</v>
      </c>
      <c r="AD701" s="3" t="n">
        <v>-0.8619999885559082</v>
      </c>
      <c r="AE701" s="3" t="n">
        <v>-0.8619999885559082</v>
      </c>
    </row>
    <row r="702">
      <c r="A702" s="3" t="inlineStr">
        <is>
          <t>FJI.distn.dec.ove.mean.6</t>
        </is>
      </c>
      <c r="B702" s="3" t="inlineStr">
        <is>
          <t>FJI</t>
        </is>
      </c>
      <c r="C702" s="3" t="n">
        <v>2005</v>
      </c>
      <c r="D702" s="3" t="inlineStr">
        <is>
          <t>Overall</t>
        </is>
      </c>
      <c r="E702" s="3" t="inlineStr">
        <is>
          <t>Deciles</t>
        </is>
      </c>
      <c r="F702" s="3" t="inlineStr">
        <is>
          <t>mean</t>
        </is>
      </c>
      <c r="G702" s="3" t="n">
        <v>6</v>
      </c>
      <c r="H702" s="3" t="n">
        <v>-0.7839999794960022</v>
      </c>
      <c r="I702" s="3" t="n">
        <v>-0.7839999794960022</v>
      </c>
      <c r="J702" s="3" t="n">
        <v>-0.8619999885559082</v>
      </c>
      <c r="K702" s="3" t="n">
        <v>-0.8619999885559082</v>
      </c>
      <c r="L702" s="3" t="n">
        <v>-0.7839999794960022</v>
      </c>
      <c r="M702" s="3" t="n">
        <v>-0.7839999794960022</v>
      </c>
      <c r="N702" s="3" t="n">
        <v>-0.7839999794960022</v>
      </c>
      <c r="O702" s="3" t="n">
        <v>-0.7839999794960022</v>
      </c>
      <c r="P702" s="3" t="n">
        <v>-0.7839999794960022</v>
      </c>
      <c r="Q702" s="3" t="n">
        <v>-0.7839999794960022</v>
      </c>
      <c r="R702" s="3" t="n">
        <v>-0.7710000276565552</v>
      </c>
      <c r="S702" s="3" t="n">
        <v>-1.036999940872192</v>
      </c>
      <c r="T702" s="3" t="n">
        <v>-0.7089999914169312</v>
      </c>
      <c r="U702" s="3" t="n">
        <v>-0.8619999885559082</v>
      </c>
      <c r="V702" s="3" t="n">
        <v>-0.6790000200271606</v>
      </c>
      <c r="W702" s="3" t="n">
        <v>-0.5389999747276306</v>
      </c>
      <c r="X702" s="3" t="n">
        <v>-1.031999945640564</v>
      </c>
      <c r="Y702" s="3" t="n">
        <v>-0.7839999794960022</v>
      </c>
      <c r="Z702" s="3" t="n">
        <v>-1.036999940872192</v>
      </c>
      <c r="AA702" s="3" t="n">
        <v>-1.036999940872192</v>
      </c>
      <c r="AB702" s="3" t="n">
        <v>-1.031999945640564</v>
      </c>
      <c r="AC702" s="3" t="n">
        <v>-1.16700005531311</v>
      </c>
      <c r="AD702" s="3" t="n">
        <v>-0.8619999885559082</v>
      </c>
      <c r="AE702" s="3" t="n">
        <v>-0.8619999885559082</v>
      </c>
    </row>
    <row r="703">
      <c r="A703" s="3" t="inlineStr">
        <is>
          <t>FJI.distn.dec.ove.mean.7</t>
        </is>
      </c>
      <c r="B703" s="3" t="inlineStr">
        <is>
          <t>FJI</t>
        </is>
      </c>
      <c r="C703" s="3" t="n">
        <v>2005</v>
      </c>
      <c r="D703" s="3" t="inlineStr">
        <is>
          <t>Overall</t>
        </is>
      </c>
      <c r="E703" s="3" t="inlineStr">
        <is>
          <t>Deciles</t>
        </is>
      </c>
      <c r="F703" s="3" t="inlineStr">
        <is>
          <t>mean</t>
        </is>
      </c>
      <c r="G703" s="3" t="n">
        <v>7</v>
      </c>
      <c r="H703" s="3" t="n">
        <v>-0.7839999794960022</v>
      </c>
      <c r="I703" s="3" t="n">
        <v>-0.7839999794960022</v>
      </c>
      <c r="J703" s="3" t="n">
        <v>-0.8619999885559082</v>
      </c>
      <c r="K703" s="3" t="n">
        <v>-0.8619999885559082</v>
      </c>
      <c r="L703" s="3" t="n">
        <v>-0.7839999794960022</v>
      </c>
      <c r="M703" s="3" t="n">
        <v>-0.7839999794960022</v>
      </c>
      <c r="N703" s="3" t="n">
        <v>-0.7839999794960022</v>
      </c>
      <c r="O703" s="3" t="n">
        <v>-0.7839999794960022</v>
      </c>
      <c r="P703" s="3" t="n">
        <v>-0.7839999794960022</v>
      </c>
      <c r="Q703" s="3" t="n">
        <v>-0.7839999794960022</v>
      </c>
      <c r="R703" s="3" t="n">
        <v>-0.7710000276565552</v>
      </c>
      <c r="S703" s="3" t="n">
        <v>-1.036999940872192</v>
      </c>
      <c r="T703" s="3" t="n">
        <v>-0.7089999914169312</v>
      </c>
      <c r="U703" s="3" t="n">
        <v>-0.8619999885559082</v>
      </c>
      <c r="V703" s="3" t="n">
        <v>-0.6790000200271606</v>
      </c>
      <c r="W703" s="3" t="n">
        <v>-0.5389999747276306</v>
      </c>
      <c r="X703" s="3" t="n">
        <v>-1.031999945640564</v>
      </c>
      <c r="Y703" s="3" t="n">
        <v>-0.7839999794960022</v>
      </c>
      <c r="Z703" s="3" t="n">
        <v>-1.036999940872192</v>
      </c>
      <c r="AA703" s="3" t="n">
        <v>-1.036999940872192</v>
      </c>
      <c r="AB703" s="3" t="n">
        <v>-1.031999945640564</v>
      </c>
      <c r="AC703" s="3" t="n">
        <v>-1.16700005531311</v>
      </c>
      <c r="AD703" s="3" t="n">
        <v>-0.8619999885559082</v>
      </c>
      <c r="AE703" s="3" t="n">
        <v>-0.8619999885559082</v>
      </c>
    </row>
    <row r="704">
      <c r="A704" s="3" t="inlineStr">
        <is>
          <t>FJI.distn.dec.ove.mean.8</t>
        </is>
      </c>
      <c r="B704" s="3" t="inlineStr">
        <is>
          <t>FJI</t>
        </is>
      </c>
      <c r="C704" s="3" t="n">
        <v>2005</v>
      </c>
      <c r="D704" s="3" t="inlineStr">
        <is>
          <t>Overall</t>
        </is>
      </c>
      <c r="E704" s="3" t="inlineStr">
        <is>
          <t>Deciles</t>
        </is>
      </c>
      <c r="F704" s="3" t="inlineStr">
        <is>
          <t>mean</t>
        </is>
      </c>
      <c r="G704" s="3" t="n">
        <v>8</v>
      </c>
      <c r="H704" s="3" t="n">
        <v>-0.7843776941299438</v>
      </c>
      <c r="I704" s="3" t="n">
        <v>-0.7843776941299438</v>
      </c>
      <c r="J704" s="3" t="n">
        <v>-0.8643253445625305</v>
      </c>
      <c r="K704" s="3" t="n">
        <v>-0.8643253445625305</v>
      </c>
      <c r="L704" s="3" t="n">
        <v>-0.7843776941299438</v>
      </c>
      <c r="M704" s="3" t="n">
        <v>-0.7843776941299438</v>
      </c>
      <c r="N704" s="3" t="n">
        <v>-0.7843776941299438</v>
      </c>
      <c r="O704" s="3" t="n">
        <v>-0.7843776941299438</v>
      </c>
      <c r="P704" s="3" t="n">
        <v>-0.7843776941299438</v>
      </c>
      <c r="Q704" s="3" t="n">
        <v>-0.7843776941299438</v>
      </c>
      <c r="R704" s="3" t="n">
        <v>-0.7712535858154297</v>
      </c>
      <c r="S704" s="3" t="n">
        <v>-1.04664945602417</v>
      </c>
      <c r="T704" s="3" t="n">
        <v>-0.7090408802032471</v>
      </c>
      <c r="U704" s="3" t="n">
        <v>-0.8643253445625305</v>
      </c>
      <c r="V704" s="3" t="n">
        <v>-0.6797019243240356</v>
      </c>
      <c r="W704" s="3" t="n">
        <v>-0.5534337759017944</v>
      </c>
      <c r="X704" s="3" t="n">
        <v>-1.041403532028198</v>
      </c>
      <c r="Y704" s="3" t="n">
        <v>-0.7843776941299438</v>
      </c>
      <c r="Z704" s="3" t="n">
        <v>-1.04664945602417</v>
      </c>
      <c r="AA704" s="3" t="n">
        <v>-1.04664945602417</v>
      </c>
      <c r="AB704" s="3" t="n">
        <v>-1.041403532028198</v>
      </c>
      <c r="AC704" s="3" t="n">
        <v>-1.183642983436584</v>
      </c>
      <c r="AD704" s="3" t="n">
        <v>-0.8643253445625305</v>
      </c>
      <c r="AE704" s="3" t="n">
        <v>-0.8643253445625305</v>
      </c>
    </row>
    <row r="705">
      <c r="A705" s="3" t="inlineStr">
        <is>
          <t>FJI.distn.dec.ove.mean.9</t>
        </is>
      </c>
      <c r="B705" s="3" t="inlineStr">
        <is>
          <t>FJI</t>
        </is>
      </c>
      <c r="C705" s="3" t="n">
        <v>2005</v>
      </c>
      <c r="D705" s="3" t="inlineStr">
        <is>
          <t>Overall</t>
        </is>
      </c>
      <c r="E705" s="3" t="inlineStr">
        <is>
          <t>Deciles</t>
        </is>
      </c>
      <c r="F705" s="3" t="inlineStr">
        <is>
          <t>mean</t>
        </is>
      </c>
      <c r="G705" s="3" t="n">
        <v>9</v>
      </c>
      <c r="H705" s="3" t="n">
        <v>-0.7843776941299438</v>
      </c>
      <c r="I705" s="3" t="n">
        <v>-0.7843776941299438</v>
      </c>
      <c r="J705" s="3" t="n">
        <v>-0.8643253445625305</v>
      </c>
      <c r="K705" s="3" t="n">
        <v>-0.8643253445625305</v>
      </c>
      <c r="L705" s="3" t="n">
        <v>-0.7843776941299438</v>
      </c>
      <c r="M705" s="3" t="n">
        <v>-0.7843776941299438</v>
      </c>
      <c r="N705" s="3" t="n">
        <v>-0.7843776941299438</v>
      </c>
      <c r="O705" s="3" t="n">
        <v>-0.7843776941299438</v>
      </c>
      <c r="P705" s="3" t="n">
        <v>-0.7843776941299438</v>
      </c>
      <c r="Q705" s="3" t="n">
        <v>-0.7843776941299438</v>
      </c>
      <c r="R705" s="3" t="n">
        <v>-0.7712535858154297</v>
      </c>
      <c r="S705" s="3" t="n">
        <v>-1.04664945602417</v>
      </c>
      <c r="T705" s="3" t="n">
        <v>-0.7090408802032471</v>
      </c>
      <c r="U705" s="3" t="n">
        <v>-0.8643253445625305</v>
      </c>
      <c r="V705" s="3" t="n">
        <v>-0.6797019243240356</v>
      </c>
      <c r="W705" s="3" t="n">
        <v>-0.5534337759017944</v>
      </c>
      <c r="X705" s="3" t="n">
        <v>-1.041403532028198</v>
      </c>
      <c r="Y705" s="3" t="n">
        <v>-0.7843776941299438</v>
      </c>
      <c r="Z705" s="3" t="n">
        <v>-1.04664945602417</v>
      </c>
      <c r="AA705" s="3" t="n">
        <v>-1.04664945602417</v>
      </c>
      <c r="AB705" s="3" t="n">
        <v>-1.041403532028198</v>
      </c>
      <c r="AC705" s="3" t="n">
        <v>-1.183642983436584</v>
      </c>
      <c r="AD705" s="3" t="n">
        <v>-0.8643253445625305</v>
      </c>
      <c r="AE705" s="3" t="n">
        <v>-0.8643253445625305</v>
      </c>
    </row>
    <row r="706">
      <c r="A706" s="3" t="inlineStr">
        <is>
          <t>FJI.distn.dec.ove.mean.10</t>
        </is>
      </c>
      <c r="B706" s="3" t="inlineStr">
        <is>
          <t>FJI</t>
        </is>
      </c>
      <c r="C706" s="3" t="n">
        <v>2005</v>
      </c>
      <c r="D706" s="3" t="inlineStr">
        <is>
          <t>Overall</t>
        </is>
      </c>
      <c r="E706" s="3" t="inlineStr">
        <is>
          <t>Deciles</t>
        </is>
      </c>
      <c r="F706" s="3" t="inlineStr">
        <is>
          <t>mean</t>
        </is>
      </c>
      <c r="G706" s="3" t="n">
        <v>10</v>
      </c>
      <c r="H706" s="3" t="n">
        <v>-0.7843776941299438</v>
      </c>
      <c r="I706" s="3" t="n">
        <v>-0.7843776941299438</v>
      </c>
      <c r="J706" s="3" t="n">
        <v>-0.8643253445625305</v>
      </c>
      <c r="K706" s="3" t="n">
        <v>-0.8643253445625305</v>
      </c>
      <c r="L706" s="3" t="n">
        <v>-0.7843776941299438</v>
      </c>
      <c r="M706" s="3" t="n">
        <v>-0.7843776941299438</v>
      </c>
      <c r="N706" s="3" t="n">
        <v>-0.7843776941299438</v>
      </c>
      <c r="O706" s="3" t="n">
        <v>-0.7843776941299438</v>
      </c>
      <c r="P706" s="3" t="n">
        <v>-0.7843776941299438</v>
      </c>
      <c r="Q706" s="3" t="n">
        <v>-0.7843776941299438</v>
      </c>
      <c r="R706" s="3" t="n">
        <v>-0.7712535858154297</v>
      </c>
      <c r="S706" s="3" t="n">
        <v>-1.04664945602417</v>
      </c>
      <c r="T706" s="3" t="n">
        <v>-0.7090408802032471</v>
      </c>
      <c r="U706" s="3" t="n">
        <v>-0.8643253445625305</v>
      </c>
      <c r="V706" s="3" t="n">
        <v>-0.6797019243240356</v>
      </c>
      <c r="W706" s="3" t="n">
        <v>-0.5534337759017944</v>
      </c>
      <c r="X706" s="3" t="n">
        <v>-1.041403532028198</v>
      </c>
      <c r="Y706" s="3" t="n">
        <v>-0.7843776941299438</v>
      </c>
      <c r="Z706" s="3" t="n">
        <v>-1.04664945602417</v>
      </c>
      <c r="AA706" s="3" t="n">
        <v>-1.04664945602417</v>
      </c>
      <c r="AB706" s="3" t="n">
        <v>-1.041403532028198</v>
      </c>
      <c r="AC706" s="3" t="n">
        <v>-1.183642983436584</v>
      </c>
      <c r="AD706" s="3" t="n">
        <v>-0.8643253445625305</v>
      </c>
      <c r="AE706" s="3" t="n">
        <v>-0.8643253445625305</v>
      </c>
    </row>
    <row r="707">
      <c r="A707" s="3" t="inlineStr">
        <is>
          <t>FJI.distn.bkt.ove.mean.9999</t>
        </is>
      </c>
      <c r="B707" s="3" t="inlineStr">
        <is>
          <t>FJI</t>
        </is>
      </c>
      <c r="C707" s="3" t="n">
        <v>2005</v>
      </c>
      <c r="D707" s="3" t="inlineStr">
        <is>
          <t>Overall</t>
        </is>
      </c>
      <c r="E707" s="3" t="inlineStr">
        <is>
          <t>Basket</t>
        </is>
      </c>
      <c r="F707" s="3" t="inlineStr">
        <is>
          <t>mean</t>
        </is>
      </c>
      <c r="G707" s="3" t="n">
        <v>9999</v>
      </c>
      <c r="H707" s="3" t="n">
        <v>-0.7859903573989868</v>
      </c>
      <c r="I707" s="3" t="n">
        <v>-0.7859903573989868</v>
      </c>
      <c r="J707" s="3" t="n">
        <v>-0.8758279085159302</v>
      </c>
      <c r="K707" s="3" t="n">
        <v>-0.8758279085159302</v>
      </c>
      <c r="L707" s="3" t="n">
        <v>-0.7859903573989868</v>
      </c>
      <c r="M707" s="3" t="n">
        <v>-0.7859903573989868</v>
      </c>
      <c r="N707" s="3" t="n">
        <v>-0.7859903573989868</v>
      </c>
      <c r="O707" s="3" t="n">
        <v>-0.7859903573989868</v>
      </c>
      <c r="P707" s="3" t="n">
        <v>-0.7859903573989868</v>
      </c>
      <c r="Q707" s="3" t="n">
        <v>-0.7859903573989868</v>
      </c>
      <c r="R707" s="3" t="n">
        <v>-0.7721186876296997</v>
      </c>
      <c r="S707" s="3" t="n">
        <v>-1.185548424720764</v>
      </c>
      <c r="T707" s="3" t="n">
        <v>-0.7094486355781555</v>
      </c>
      <c r="U707" s="3" t="n">
        <v>-0.8758279085159302</v>
      </c>
      <c r="V707" s="3" t="n">
        <v>-0.6813032627105713</v>
      </c>
      <c r="W707" s="3" t="n">
        <v>-0.5737627744674683</v>
      </c>
      <c r="X707" s="3" t="n">
        <v>-1.163912534713745</v>
      </c>
      <c r="Y707" s="3" t="n">
        <v>-0.7859903573989868</v>
      </c>
      <c r="Z707" s="3" t="n">
        <v>-1.185548424720764</v>
      </c>
      <c r="AA707" s="3" t="n">
        <v>-1.185548424720764</v>
      </c>
      <c r="AB707" s="3" t="n">
        <v>-1.163912534713745</v>
      </c>
      <c r="AC707" s="3" t="n">
        <v>-1.54685378074646</v>
      </c>
      <c r="AD707" s="3" t="n">
        <v>-0.8758279085159302</v>
      </c>
      <c r="AE707" s="3" t="n">
        <v>-0.8758279085159302</v>
      </c>
    </row>
    <row r="708">
      <c r="A708" s="3" t="inlineStr">
        <is>
          <t>FRA.distn.dec.ove.mean.1</t>
        </is>
      </c>
      <c r="B708" s="3" t="inlineStr">
        <is>
          <t>FRA</t>
        </is>
      </c>
      <c r="C708" s="3" t="n">
        <v>2005</v>
      </c>
      <c r="D708" s="3" t="inlineStr">
        <is>
          <t>Overall</t>
        </is>
      </c>
      <c r="E708" s="3" t="inlineStr">
        <is>
          <t>Deciles</t>
        </is>
      </c>
      <c r="F708" s="3" t="inlineStr">
        <is>
          <t>mean</t>
        </is>
      </c>
      <c r="G708" s="3" t="n">
        <v>1</v>
      </c>
      <c r="H708" s="3" t="n">
        <v>-0.7882409691810608</v>
      </c>
      <c r="I708" s="3" t="n">
        <v>-0.7882409691810608</v>
      </c>
      <c r="J708" s="3" t="n">
        <v>-0.8900059461593628</v>
      </c>
      <c r="K708" s="3" t="n">
        <v>-0.8900059461593628</v>
      </c>
      <c r="L708" s="3" t="n">
        <v>-0.7882409691810608</v>
      </c>
      <c r="M708" s="3" t="n">
        <v>-0.7882409691810608</v>
      </c>
      <c r="N708" s="3" t="n">
        <v>-0.7882409691810608</v>
      </c>
      <c r="O708" s="3" t="n">
        <v>-0.7882409691810608</v>
      </c>
      <c r="P708" s="3" t="n">
        <v>-0.7882409691810608</v>
      </c>
      <c r="Q708" s="3" t="n">
        <v>-0.7882409691810608</v>
      </c>
      <c r="R708" s="3" t="n">
        <v>-0.7734707593917847</v>
      </c>
      <c r="S708" s="3" t="n">
        <v>-1.416802644729614</v>
      </c>
      <c r="T708" s="3" t="n">
        <v>-0.7094525694847107</v>
      </c>
      <c r="U708" s="3" t="n">
        <v>-0.8900059461593628</v>
      </c>
      <c r="V708" s="3" t="n">
        <v>-0.6829447150230408</v>
      </c>
      <c r="W708" s="3" t="n">
        <v>-0.5834082961082458</v>
      </c>
      <c r="X708" s="3" t="n">
        <v>-1.363117814064026</v>
      </c>
      <c r="Y708" s="3" t="n">
        <v>-0.7882409691810608</v>
      </c>
      <c r="Z708" s="3" t="n">
        <v>-1.416802644729614</v>
      </c>
      <c r="AA708" s="3" t="n">
        <v>-1.416802644729614</v>
      </c>
      <c r="AB708" s="3" t="n">
        <v>-1.363117814064026</v>
      </c>
      <c r="AC708" s="3" t="n">
        <v>-2.141129970550537</v>
      </c>
      <c r="AD708" s="3" t="n">
        <v>-0.8900059461593628</v>
      </c>
      <c r="AE708" s="3" t="n">
        <v>-0.8900059461593628</v>
      </c>
    </row>
    <row r="709">
      <c r="A709" s="3" t="inlineStr">
        <is>
          <t>FRA.distn.dec.ove.mean.2</t>
        </is>
      </c>
      <c r="B709" s="3" t="inlineStr">
        <is>
          <t>FRA</t>
        </is>
      </c>
      <c r="C709" s="3" t="n">
        <v>2005</v>
      </c>
      <c r="D709" s="3" t="inlineStr">
        <is>
          <t>Overall</t>
        </is>
      </c>
      <c r="E709" s="3" t="inlineStr">
        <is>
          <t>Deciles</t>
        </is>
      </c>
      <c r="F709" s="3" t="inlineStr">
        <is>
          <t>mean</t>
        </is>
      </c>
      <c r="G709" s="3" t="n">
        <v>2</v>
      </c>
      <c r="H709" s="3" t="n">
        <v>-0.7882409691810608</v>
      </c>
      <c r="I709" s="3" t="n">
        <v>-0.7882409691810608</v>
      </c>
      <c r="J709" s="3" t="n">
        <v>-0.8900059461593628</v>
      </c>
      <c r="K709" s="3" t="n">
        <v>-0.8900059461593628</v>
      </c>
      <c r="L709" s="3" t="n">
        <v>-0.7882409691810608</v>
      </c>
      <c r="M709" s="3" t="n">
        <v>-0.7882409691810608</v>
      </c>
      <c r="N709" s="3" t="n">
        <v>-0.7882409691810608</v>
      </c>
      <c r="O709" s="3" t="n">
        <v>-0.7882409691810608</v>
      </c>
      <c r="P709" s="3" t="n">
        <v>-0.7882409691810608</v>
      </c>
      <c r="Q709" s="3" t="n">
        <v>-0.7882409691810608</v>
      </c>
      <c r="R709" s="3" t="n">
        <v>-0.7734707593917847</v>
      </c>
      <c r="S709" s="3" t="n">
        <v>-1.416802644729614</v>
      </c>
      <c r="T709" s="3" t="n">
        <v>-0.7094525694847107</v>
      </c>
      <c r="U709" s="3" t="n">
        <v>-0.8900059461593628</v>
      </c>
      <c r="V709" s="3" t="n">
        <v>-0.6829447150230408</v>
      </c>
      <c r="W709" s="3" t="n">
        <v>-0.5834082961082458</v>
      </c>
      <c r="X709" s="3" t="n">
        <v>-1.363117814064026</v>
      </c>
      <c r="Y709" s="3" t="n">
        <v>-0.7882409691810608</v>
      </c>
      <c r="Z709" s="3" t="n">
        <v>-1.416802644729614</v>
      </c>
      <c r="AA709" s="3" t="n">
        <v>-1.416802644729614</v>
      </c>
      <c r="AB709" s="3" t="n">
        <v>-1.363117814064026</v>
      </c>
      <c r="AC709" s="3" t="n">
        <v>-2.141129970550537</v>
      </c>
      <c r="AD709" s="3" t="n">
        <v>-0.8900059461593628</v>
      </c>
      <c r="AE709" s="3" t="n">
        <v>-0.8900059461593628</v>
      </c>
    </row>
    <row r="710">
      <c r="A710" s="3" t="inlineStr">
        <is>
          <t>FRA.distn.dec.ove.mean.3</t>
        </is>
      </c>
      <c r="B710" s="3" t="inlineStr">
        <is>
          <t>FRA</t>
        </is>
      </c>
      <c r="C710" s="3" t="n">
        <v>2005</v>
      </c>
      <c r="D710" s="3" t="inlineStr">
        <is>
          <t>Overall</t>
        </is>
      </c>
      <c r="E710" s="3" t="inlineStr">
        <is>
          <t>Deciles</t>
        </is>
      </c>
      <c r="F710" s="3" t="inlineStr">
        <is>
          <t>mean</t>
        </is>
      </c>
      <c r="G710" s="3" t="n">
        <v>3</v>
      </c>
      <c r="H710" s="3" t="n">
        <v>-0.7882409691810608</v>
      </c>
      <c r="I710" s="3" t="n">
        <v>-0.7882409691810608</v>
      </c>
      <c r="J710" s="3" t="n">
        <v>-0.8900059461593628</v>
      </c>
      <c r="K710" s="3" t="n">
        <v>-0.8900059461593628</v>
      </c>
      <c r="L710" s="3" t="n">
        <v>-0.7882409691810608</v>
      </c>
      <c r="M710" s="3" t="n">
        <v>-0.7882409691810608</v>
      </c>
      <c r="N710" s="3" t="n">
        <v>-0.7882409691810608</v>
      </c>
      <c r="O710" s="3" t="n">
        <v>-0.7882409691810608</v>
      </c>
      <c r="P710" s="3" t="n">
        <v>-0.7882409691810608</v>
      </c>
      <c r="Q710" s="3" t="n">
        <v>-0.7882409691810608</v>
      </c>
      <c r="R710" s="3" t="n">
        <v>-0.7734707593917847</v>
      </c>
      <c r="S710" s="3" t="n">
        <v>-1.416802644729614</v>
      </c>
      <c r="T710" s="3" t="n">
        <v>-0.7094525694847107</v>
      </c>
      <c r="U710" s="3" t="n">
        <v>-0.8900059461593628</v>
      </c>
      <c r="V710" s="3" t="n">
        <v>-0.6829447150230408</v>
      </c>
      <c r="W710" s="3" t="n">
        <v>-0.5834082961082458</v>
      </c>
      <c r="X710" s="3" t="n">
        <v>-1.363117814064026</v>
      </c>
      <c r="Y710" s="3" t="n">
        <v>-0.7882409691810608</v>
      </c>
      <c r="Z710" s="3" t="n">
        <v>-1.416802644729614</v>
      </c>
      <c r="AA710" s="3" t="n">
        <v>-1.416802644729614</v>
      </c>
      <c r="AB710" s="3" t="n">
        <v>-1.363117814064026</v>
      </c>
      <c r="AC710" s="3" t="n">
        <v>-2.141129970550537</v>
      </c>
      <c r="AD710" s="3" t="n">
        <v>-0.8900059461593628</v>
      </c>
      <c r="AE710" s="3" t="n">
        <v>-0.8900059461593628</v>
      </c>
    </row>
    <row r="711">
      <c r="A711" s="3" t="inlineStr">
        <is>
          <t>FRA.distn.dec.ove.mean.4</t>
        </is>
      </c>
      <c r="B711" s="3" t="inlineStr">
        <is>
          <t>FRA</t>
        </is>
      </c>
      <c r="C711" s="3" t="n">
        <v>2005</v>
      </c>
      <c r="D711" s="3" t="inlineStr">
        <is>
          <t>Overall</t>
        </is>
      </c>
      <c r="E711" s="3" t="inlineStr">
        <is>
          <t>Deciles</t>
        </is>
      </c>
      <c r="F711" s="3" t="inlineStr">
        <is>
          <t>mean</t>
        </is>
      </c>
      <c r="G711" s="3" t="n">
        <v>4</v>
      </c>
      <c r="H711" s="3" t="n">
        <v>-0.7820000052452087</v>
      </c>
      <c r="I711" s="3" t="n">
        <v>-0.7820000052452087</v>
      </c>
      <c r="J711" s="3" t="n">
        <v>-0.8470000028610229</v>
      </c>
      <c r="K711" s="3" t="n">
        <v>-0.8470000028610229</v>
      </c>
      <c r="L711" s="3" t="n">
        <v>-0.7820000052452087</v>
      </c>
      <c r="M711" s="3" t="n">
        <v>-0.7820000052452087</v>
      </c>
      <c r="N711" s="3" t="n">
        <v>-0.7820000052452087</v>
      </c>
      <c r="O711" s="3" t="n">
        <v>-0.7820000052452087</v>
      </c>
      <c r="P711" s="3" t="n">
        <v>-0.7820000052452087</v>
      </c>
      <c r="Q711" s="3" t="n">
        <v>-0.7820000052452087</v>
      </c>
      <c r="R711" s="3" t="n">
        <v>-0.7699999809265137</v>
      </c>
      <c r="S711" s="3" t="n">
        <v>-0.9649999737739563</v>
      </c>
      <c r="T711" s="3" t="n">
        <v>-0.7080000042915344</v>
      </c>
      <c r="U711" s="3" t="n">
        <v>-0.8470000028610229</v>
      </c>
      <c r="V711" s="3" t="n">
        <v>-0.6759999990463257</v>
      </c>
      <c r="W711" s="3" t="n">
        <v>-0.4909999966621399</v>
      </c>
      <c r="X711" s="3" t="n">
        <v>-0.9620000123977661</v>
      </c>
      <c r="Y711" s="3" t="n">
        <v>-0.7820000052452087</v>
      </c>
      <c r="Z711" s="3" t="n">
        <v>-0.9649999737739563</v>
      </c>
      <c r="AA711" s="3" t="n">
        <v>-0.9649999737739563</v>
      </c>
      <c r="AB711" s="3" t="n">
        <v>-0.9620000123977661</v>
      </c>
      <c r="AC711" s="3" t="n">
        <v>-1.034000039100647</v>
      </c>
      <c r="AD711" s="3" t="n">
        <v>-0.8470000028610229</v>
      </c>
      <c r="AE711" s="3" t="n">
        <v>-0.8470000028610229</v>
      </c>
    </row>
    <row r="712">
      <c r="A712" s="3" t="inlineStr">
        <is>
          <t>FRA.distn.dec.ove.mean.5</t>
        </is>
      </c>
      <c r="B712" s="3" t="inlineStr">
        <is>
          <t>FRA</t>
        </is>
      </c>
      <c r="C712" s="3" t="n">
        <v>2005</v>
      </c>
      <c r="D712" s="3" t="inlineStr">
        <is>
          <t>Overall</t>
        </is>
      </c>
      <c r="E712" s="3" t="inlineStr">
        <is>
          <t>Deciles</t>
        </is>
      </c>
      <c r="F712" s="3" t="inlineStr">
        <is>
          <t>mean</t>
        </is>
      </c>
      <c r="G712" s="3" t="n">
        <v>5</v>
      </c>
      <c r="H712" s="3" t="n">
        <v>-0.7820000052452087</v>
      </c>
      <c r="I712" s="3" t="n">
        <v>-0.7820000052452087</v>
      </c>
      <c r="J712" s="3" t="n">
        <v>-0.8470000028610229</v>
      </c>
      <c r="K712" s="3" t="n">
        <v>-0.8470000028610229</v>
      </c>
      <c r="L712" s="3" t="n">
        <v>-0.7820000052452087</v>
      </c>
      <c r="M712" s="3" t="n">
        <v>-0.7820000052452087</v>
      </c>
      <c r="N712" s="3" t="n">
        <v>-0.7820000052452087</v>
      </c>
      <c r="O712" s="3" t="n">
        <v>-0.7820000052452087</v>
      </c>
      <c r="P712" s="3" t="n">
        <v>-0.7820000052452087</v>
      </c>
      <c r="Q712" s="3" t="n">
        <v>-0.7820000052452087</v>
      </c>
      <c r="R712" s="3" t="n">
        <v>-0.7699999809265137</v>
      </c>
      <c r="S712" s="3" t="n">
        <v>-0.9649999737739563</v>
      </c>
      <c r="T712" s="3" t="n">
        <v>-0.7080000042915344</v>
      </c>
      <c r="U712" s="3" t="n">
        <v>-0.8470000028610229</v>
      </c>
      <c r="V712" s="3" t="n">
        <v>-0.6759999990463257</v>
      </c>
      <c r="W712" s="3" t="n">
        <v>-0.4909999966621399</v>
      </c>
      <c r="X712" s="3" t="n">
        <v>-0.9620000123977661</v>
      </c>
      <c r="Y712" s="3" t="n">
        <v>-0.7820000052452087</v>
      </c>
      <c r="Z712" s="3" t="n">
        <v>-0.9649999737739563</v>
      </c>
      <c r="AA712" s="3" t="n">
        <v>-0.9649999737739563</v>
      </c>
      <c r="AB712" s="3" t="n">
        <v>-0.9620000123977661</v>
      </c>
      <c r="AC712" s="3" t="n">
        <v>-1.034000039100647</v>
      </c>
      <c r="AD712" s="3" t="n">
        <v>-0.8470000028610229</v>
      </c>
      <c r="AE712" s="3" t="n">
        <v>-0.8470000028610229</v>
      </c>
    </row>
    <row r="713">
      <c r="A713" s="3" t="inlineStr">
        <is>
          <t>FRA.distn.dec.ove.mean.6</t>
        </is>
      </c>
      <c r="B713" s="3" t="inlineStr">
        <is>
          <t>FRA</t>
        </is>
      </c>
      <c r="C713" s="3" t="n">
        <v>2005</v>
      </c>
      <c r="D713" s="3" t="inlineStr">
        <is>
          <t>Overall</t>
        </is>
      </c>
      <c r="E713" s="3" t="inlineStr">
        <is>
          <t>Deciles</t>
        </is>
      </c>
      <c r="F713" s="3" t="inlineStr">
        <is>
          <t>mean</t>
        </is>
      </c>
      <c r="G713" s="3" t="n">
        <v>6</v>
      </c>
      <c r="H713" s="3" t="n">
        <v>-0.7820000052452087</v>
      </c>
      <c r="I713" s="3" t="n">
        <v>-0.7820000052452087</v>
      </c>
      <c r="J713" s="3" t="n">
        <v>-0.8470000028610229</v>
      </c>
      <c r="K713" s="3" t="n">
        <v>-0.8470000028610229</v>
      </c>
      <c r="L713" s="3" t="n">
        <v>-0.7820000052452087</v>
      </c>
      <c r="M713" s="3" t="n">
        <v>-0.7820000052452087</v>
      </c>
      <c r="N713" s="3" t="n">
        <v>-0.7820000052452087</v>
      </c>
      <c r="O713" s="3" t="n">
        <v>-0.7820000052452087</v>
      </c>
      <c r="P713" s="3" t="n">
        <v>-0.7820000052452087</v>
      </c>
      <c r="Q713" s="3" t="n">
        <v>-0.7820000052452087</v>
      </c>
      <c r="R713" s="3" t="n">
        <v>-0.7699999809265137</v>
      </c>
      <c r="S713" s="3" t="n">
        <v>-0.9649999737739563</v>
      </c>
      <c r="T713" s="3" t="n">
        <v>-0.7080000042915344</v>
      </c>
      <c r="U713" s="3" t="n">
        <v>-0.8470000028610229</v>
      </c>
      <c r="V713" s="3" t="n">
        <v>-0.6759999990463257</v>
      </c>
      <c r="W713" s="3" t="n">
        <v>-0.4909999966621399</v>
      </c>
      <c r="X713" s="3" t="n">
        <v>-0.9620000123977661</v>
      </c>
      <c r="Y713" s="3" t="n">
        <v>-0.7820000052452087</v>
      </c>
      <c r="Z713" s="3" t="n">
        <v>-0.9649999737739563</v>
      </c>
      <c r="AA713" s="3" t="n">
        <v>-0.9649999737739563</v>
      </c>
      <c r="AB713" s="3" t="n">
        <v>-0.9620000123977661</v>
      </c>
      <c r="AC713" s="3" t="n">
        <v>-1.034000039100647</v>
      </c>
      <c r="AD713" s="3" t="n">
        <v>-0.8470000028610229</v>
      </c>
      <c r="AE713" s="3" t="n">
        <v>-0.8470000028610229</v>
      </c>
    </row>
    <row r="714">
      <c r="A714" s="3" t="inlineStr">
        <is>
          <t>FRA.distn.dec.ove.mean.7</t>
        </is>
      </c>
      <c r="B714" s="3" t="inlineStr">
        <is>
          <t>FRA</t>
        </is>
      </c>
      <c r="C714" s="3" t="n">
        <v>2005</v>
      </c>
      <c r="D714" s="3" t="inlineStr">
        <is>
          <t>Overall</t>
        </is>
      </c>
      <c r="E714" s="3" t="inlineStr">
        <is>
          <t>Deciles</t>
        </is>
      </c>
      <c r="F714" s="3" t="inlineStr">
        <is>
          <t>mean</t>
        </is>
      </c>
      <c r="G714" s="3" t="n">
        <v>7</v>
      </c>
      <c r="H714" s="3" t="n">
        <v>-0.7820000052452087</v>
      </c>
      <c r="I714" s="3" t="n">
        <v>-0.7820000052452087</v>
      </c>
      <c r="J714" s="3" t="n">
        <v>-0.8470000028610229</v>
      </c>
      <c r="K714" s="3" t="n">
        <v>-0.8470000028610229</v>
      </c>
      <c r="L714" s="3" t="n">
        <v>-0.7820000052452087</v>
      </c>
      <c r="M714" s="3" t="n">
        <v>-0.7820000052452087</v>
      </c>
      <c r="N714" s="3" t="n">
        <v>-0.7820000052452087</v>
      </c>
      <c r="O714" s="3" t="n">
        <v>-0.7820000052452087</v>
      </c>
      <c r="P714" s="3" t="n">
        <v>-0.7820000052452087</v>
      </c>
      <c r="Q714" s="3" t="n">
        <v>-0.7820000052452087</v>
      </c>
      <c r="R714" s="3" t="n">
        <v>-0.7699999809265137</v>
      </c>
      <c r="S714" s="3" t="n">
        <v>-0.9649999737739563</v>
      </c>
      <c r="T714" s="3" t="n">
        <v>-0.7080000042915344</v>
      </c>
      <c r="U714" s="3" t="n">
        <v>-0.8470000028610229</v>
      </c>
      <c r="V714" s="3" t="n">
        <v>-0.6759999990463257</v>
      </c>
      <c r="W714" s="3" t="n">
        <v>-0.4909999966621399</v>
      </c>
      <c r="X714" s="3" t="n">
        <v>-0.9620000123977661</v>
      </c>
      <c r="Y714" s="3" t="n">
        <v>-0.7820000052452087</v>
      </c>
      <c r="Z714" s="3" t="n">
        <v>-0.9649999737739563</v>
      </c>
      <c r="AA714" s="3" t="n">
        <v>-0.9649999737739563</v>
      </c>
      <c r="AB714" s="3" t="n">
        <v>-0.9620000123977661</v>
      </c>
      <c r="AC714" s="3" t="n">
        <v>-1.034000039100647</v>
      </c>
      <c r="AD714" s="3" t="n">
        <v>-0.8470000028610229</v>
      </c>
      <c r="AE714" s="3" t="n">
        <v>-0.8470000028610229</v>
      </c>
    </row>
    <row r="715">
      <c r="A715" s="3" t="inlineStr">
        <is>
          <t>FRA.distn.dec.ove.mean.8</t>
        </is>
      </c>
      <c r="B715" s="3" t="inlineStr">
        <is>
          <t>FRA</t>
        </is>
      </c>
      <c r="C715" s="3" t="n">
        <v>2005</v>
      </c>
      <c r="D715" s="3" t="inlineStr">
        <is>
          <t>Overall</t>
        </is>
      </c>
      <c r="E715" s="3" t="inlineStr">
        <is>
          <t>Deciles</t>
        </is>
      </c>
      <c r="F715" s="3" t="inlineStr">
        <is>
          <t>mean</t>
        </is>
      </c>
      <c r="G715" s="3" t="n">
        <v>8</v>
      </c>
      <c r="H715" s="3" t="n">
        <v>-0.782376766204834</v>
      </c>
      <c r="I715" s="3" t="n">
        <v>-0.782376766204834</v>
      </c>
      <c r="J715" s="3" t="n">
        <v>-0.849284827709198</v>
      </c>
      <c r="K715" s="3" t="n">
        <v>-0.849284827709198</v>
      </c>
      <c r="L715" s="3" t="n">
        <v>-0.782376766204834</v>
      </c>
      <c r="M715" s="3" t="n">
        <v>-0.782376766204834</v>
      </c>
      <c r="N715" s="3" t="n">
        <v>-0.782376766204834</v>
      </c>
      <c r="O715" s="3" t="n">
        <v>-0.782376766204834</v>
      </c>
      <c r="P715" s="3" t="n">
        <v>-0.782376766204834</v>
      </c>
      <c r="Q715" s="3" t="n">
        <v>-0.782376766204834</v>
      </c>
      <c r="R715" s="3" t="n">
        <v>-0.7702532410621643</v>
      </c>
      <c r="S715" s="3" t="n">
        <v>-0.9739794135093689</v>
      </c>
      <c r="T715" s="3" t="n">
        <v>-0.7080408334732056</v>
      </c>
      <c r="U715" s="3" t="n">
        <v>-0.849284827709198</v>
      </c>
      <c r="V715" s="3" t="n">
        <v>-0.6766988039016724</v>
      </c>
      <c r="W715" s="3" t="n">
        <v>-0.5041483640670776</v>
      </c>
      <c r="X715" s="3" t="n">
        <v>-0.9707657098770142</v>
      </c>
      <c r="Y715" s="3" t="n">
        <v>-0.782376766204834</v>
      </c>
      <c r="Z715" s="3" t="n">
        <v>-0.9739794135093689</v>
      </c>
      <c r="AA715" s="3" t="n">
        <v>-0.9739794135093689</v>
      </c>
      <c r="AB715" s="3" t="n">
        <v>-0.9707657098770142</v>
      </c>
      <c r="AC715" s="3" t="n">
        <v>-1.048746228218079</v>
      </c>
      <c r="AD715" s="3" t="n">
        <v>-0.849284827709198</v>
      </c>
      <c r="AE715" s="3" t="n">
        <v>-0.849284827709198</v>
      </c>
    </row>
    <row r="716">
      <c r="A716" s="3" t="inlineStr">
        <is>
          <t>FRA.distn.dec.ove.mean.9</t>
        </is>
      </c>
      <c r="B716" s="3" t="inlineStr">
        <is>
          <t>FRA</t>
        </is>
      </c>
      <c r="C716" s="3" t="n">
        <v>2005</v>
      </c>
      <c r="D716" s="3" t="inlineStr">
        <is>
          <t>Overall</t>
        </is>
      </c>
      <c r="E716" s="3" t="inlineStr">
        <is>
          <t>Deciles</t>
        </is>
      </c>
      <c r="F716" s="3" t="inlineStr">
        <is>
          <t>mean</t>
        </is>
      </c>
      <c r="G716" s="3" t="n">
        <v>9</v>
      </c>
      <c r="H716" s="3" t="n">
        <v>-0.782376766204834</v>
      </c>
      <c r="I716" s="3" t="n">
        <v>-0.782376766204834</v>
      </c>
      <c r="J716" s="3" t="n">
        <v>-0.849284827709198</v>
      </c>
      <c r="K716" s="3" t="n">
        <v>-0.849284827709198</v>
      </c>
      <c r="L716" s="3" t="n">
        <v>-0.782376766204834</v>
      </c>
      <c r="M716" s="3" t="n">
        <v>-0.782376766204834</v>
      </c>
      <c r="N716" s="3" t="n">
        <v>-0.782376766204834</v>
      </c>
      <c r="O716" s="3" t="n">
        <v>-0.782376766204834</v>
      </c>
      <c r="P716" s="3" t="n">
        <v>-0.782376766204834</v>
      </c>
      <c r="Q716" s="3" t="n">
        <v>-0.782376766204834</v>
      </c>
      <c r="R716" s="3" t="n">
        <v>-0.7702532410621643</v>
      </c>
      <c r="S716" s="3" t="n">
        <v>-0.9739794135093689</v>
      </c>
      <c r="T716" s="3" t="n">
        <v>-0.7080408334732056</v>
      </c>
      <c r="U716" s="3" t="n">
        <v>-0.849284827709198</v>
      </c>
      <c r="V716" s="3" t="n">
        <v>-0.6766988039016724</v>
      </c>
      <c r="W716" s="3" t="n">
        <v>-0.5041483640670776</v>
      </c>
      <c r="X716" s="3" t="n">
        <v>-0.9707657098770142</v>
      </c>
      <c r="Y716" s="3" t="n">
        <v>-0.782376766204834</v>
      </c>
      <c r="Z716" s="3" t="n">
        <v>-0.9739794135093689</v>
      </c>
      <c r="AA716" s="3" t="n">
        <v>-0.9739794135093689</v>
      </c>
      <c r="AB716" s="3" t="n">
        <v>-0.9707657098770142</v>
      </c>
      <c r="AC716" s="3" t="n">
        <v>-1.048746228218079</v>
      </c>
      <c r="AD716" s="3" t="n">
        <v>-0.849284827709198</v>
      </c>
      <c r="AE716" s="3" t="n">
        <v>-0.849284827709198</v>
      </c>
    </row>
    <row r="717">
      <c r="A717" s="3" t="inlineStr">
        <is>
          <t>FRA.distn.dec.ove.mean.10</t>
        </is>
      </c>
      <c r="B717" s="3" t="inlineStr">
        <is>
          <t>FRA</t>
        </is>
      </c>
      <c r="C717" s="3" t="n">
        <v>2005</v>
      </c>
      <c r="D717" s="3" t="inlineStr">
        <is>
          <t>Overall</t>
        </is>
      </c>
      <c r="E717" s="3" t="inlineStr">
        <is>
          <t>Deciles</t>
        </is>
      </c>
      <c r="F717" s="3" t="inlineStr">
        <is>
          <t>mean</t>
        </is>
      </c>
      <c r="G717" s="3" t="n">
        <v>10</v>
      </c>
      <c r="H717" s="3" t="n">
        <v>-0.782376766204834</v>
      </c>
      <c r="I717" s="3" t="n">
        <v>-0.782376766204834</v>
      </c>
      <c r="J717" s="3" t="n">
        <v>-0.849284827709198</v>
      </c>
      <c r="K717" s="3" t="n">
        <v>-0.849284827709198</v>
      </c>
      <c r="L717" s="3" t="n">
        <v>-0.782376766204834</v>
      </c>
      <c r="M717" s="3" t="n">
        <v>-0.782376766204834</v>
      </c>
      <c r="N717" s="3" t="n">
        <v>-0.782376766204834</v>
      </c>
      <c r="O717" s="3" t="n">
        <v>-0.782376766204834</v>
      </c>
      <c r="P717" s="3" t="n">
        <v>-0.782376766204834</v>
      </c>
      <c r="Q717" s="3" t="n">
        <v>-0.782376766204834</v>
      </c>
      <c r="R717" s="3" t="n">
        <v>-0.7702532410621643</v>
      </c>
      <c r="S717" s="3" t="n">
        <v>-0.9739794135093689</v>
      </c>
      <c r="T717" s="3" t="n">
        <v>-0.7080408334732056</v>
      </c>
      <c r="U717" s="3" t="n">
        <v>-0.849284827709198</v>
      </c>
      <c r="V717" s="3" t="n">
        <v>-0.6766988039016724</v>
      </c>
      <c r="W717" s="3" t="n">
        <v>-0.5041483640670776</v>
      </c>
      <c r="X717" s="3" t="n">
        <v>-0.9707657098770142</v>
      </c>
      <c r="Y717" s="3" t="n">
        <v>-0.782376766204834</v>
      </c>
      <c r="Z717" s="3" t="n">
        <v>-0.9739794135093689</v>
      </c>
      <c r="AA717" s="3" t="n">
        <v>-0.9739794135093689</v>
      </c>
      <c r="AB717" s="3" t="n">
        <v>-0.9707657098770142</v>
      </c>
      <c r="AC717" s="3" t="n">
        <v>-1.048746228218079</v>
      </c>
      <c r="AD717" s="3" t="n">
        <v>-0.849284827709198</v>
      </c>
      <c r="AE717" s="3" t="n">
        <v>-0.849284827709198</v>
      </c>
    </row>
    <row r="718">
      <c r="A718" s="3" t="inlineStr">
        <is>
          <t>FRA.distn.bkt.ove.mean.9999</t>
        </is>
      </c>
      <c r="B718" s="3" t="inlineStr">
        <is>
          <t>FRA</t>
        </is>
      </c>
      <c r="C718" s="3" t="n">
        <v>2005</v>
      </c>
      <c r="D718" s="3" t="inlineStr">
        <is>
          <t>Overall</t>
        </is>
      </c>
      <c r="E718" s="3" t="inlineStr">
        <is>
          <t>Basket</t>
        </is>
      </c>
      <c r="F718" s="3" t="inlineStr">
        <is>
          <t>mean</t>
        </is>
      </c>
      <c r="G718" s="3" t="n">
        <v>9999</v>
      </c>
      <c r="H718" s="3" t="n">
        <v>-0.7839853167533875</v>
      </c>
      <c r="I718" s="3" t="n">
        <v>-0.7839853167533875</v>
      </c>
      <c r="J718" s="3" t="n">
        <v>-0.8605872392654419</v>
      </c>
      <c r="K718" s="3" t="n">
        <v>-0.8605872392654419</v>
      </c>
      <c r="L718" s="3" t="n">
        <v>-0.7839853167533875</v>
      </c>
      <c r="M718" s="3" t="n">
        <v>-0.7839853167533875</v>
      </c>
      <c r="N718" s="3" t="n">
        <v>-0.7839853167533875</v>
      </c>
      <c r="O718" s="3" t="n">
        <v>-0.7839853167533875</v>
      </c>
      <c r="P718" s="3" t="n">
        <v>-0.7839853167533875</v>
      </c>
      <c r="Q718" s="3" t="n">
        <v>-0.7839853167533875</v>
      </c>
      <c r="R718" s="3" t="n">
        <v>-0.7711172103881836</v>
      </c>
      <c r="S718" s="3" t="n">
        <v>-1.103234648704529</v>
      </c>
      <c r="T718" s="3" t="n">
        <v>-0.708448052406311</v>
      </c>
      <c r="U718" s="3" t="n">
        <v>-0.8605872392654419</v>
      </c>
      <c r="V718" s="3" t="n">
        <v>-0.6782930493354797</v>
      </c>
      <c r="W718" s="3" t="n">
        <v>-0.5226669907569885</v>
      </c>
      <c r="X718" s="3" t="n">
        <v>-1.084965109825134</v>
      </c>
      <c r="Y718" s="3" t="n">
        <v>-0.7839853167533875</v>
      </c>
      <c r="Z718" s="3" t="n">
        <v>-1.103234648704529</v>
      </c>
      <c r="AA718" s="3" t="n">
        <v>-1.103234648704529</v>
      </c>
      <c r="AB718" s="3" t="n">
        <v>-1.084965109825134</v>
      </c>
      <c r="AC718" s="3" t="n">
        <v>-1.37056291103363</v>
      </c>
      <c r="AD718" s="3" t="n">
        <v>-0.8605872392654419</v>
      </c>
      <c r="AE718" s="3" t="n">
        <v>-0.8605872392654419</v>
      </c>
    </row>
    <row r="719">
      <c r="A719" s="3" t="inlineStr">
        <is>
          <t>FRO.distn.dec.ove.mean.1</t>
        </is>
      </c>
      <c r="B719" s="3" t="inlineStr">
        <is>
          <t>FRO</t>
        </is>
      </c>
      <c r="C719" s="3" t="n">
        <v>2005</v>
      </c>
      <c r="D719" s="3" t="inlineStr">
        <is>
          <t>Overall</t>
        </is>
      </c>
      <c r="E719" s="3" t="inlineStr">
        <is>
          <t>Deciles</t>
        </is>
      </c>
      <c r="F719" s="3" t="inlineStr">
        <is>
          <t>mean</t>
        </is>
      </c>
      <c r="G719" s="3" t="n">
        <v>1</v>
      </c>
      <c r="H719" s="3" t="n">
        <v>-0.7878549098968506</v>
      </c>
      <c r="I719" s="3" t="n">
        <v>-0.7878549098968506</v>
      </c>
      <c r="J719" s="3" t="n">
        <v>-0.8883962808771336</v>
      </c>
      <c r="K719" s="3" t="n">
        <v>-0.8883962808771336</v>
      </c>
      <c r="L719" s="3" t="n">
        <v>-0.7878549098968506</v>
      </c>
      <c r="M719" s="3" t="n">
        <v>-0.7878549098968506</v>
      </c>
      <c r="N719" s="3" t="n">
        <v>-0.7878549098968506</v>
      </c>
      <c r="O719" s="3" t="n">
        <v>-0.7878549098968506</v>
      </c>
      <c r="P719" s="3" t="n">
        <v>-0.7878549098968506</v>
      </c>
      <c r="Q719" s="3" t="n">
        <v>-0.7878549098968506</v>
      </c>
      <c r="R719" s="3" t="n">
        <v>-0.7732356596500316</v>
      </c>
      <c r="S719" s="3" t="n">
        <v>-1.408805674694954</v>
      </c>
      <c r="T719" s="3" t="n">
        <v>-0.7095591730259835</v>
      </c>
      <c r="U719" s="3" t="n">
        <v>-0.8883962808771336</v>
      </c>
      <c r="V719" s="3" t="n">
        <v>-0.681934451803248</v>
      </c>
      <c r="W719" s="3" t="n">
        <v>-0.5702875047288043</v>
      </c>
      <c r="X719" s="3" t="n">
        <v>-1.356243993373627</v>
      </c>
      <c r="Y719" s="3" t="n">
        <v>-0.7878549098968506</v>
      </c>
      <c r="Z719" s="3" t="n">
        <v>-1.408805674694954</v>
      </c>
      <c r="AA719" s="3" t="n">
        <v>-1.408805674694954</v>
      </c>
      <c r="AB719" s="3" t="n">
        <v>-1.356243993373627</v>
      </c>
      <c r="AC719" s="3" t="n">
        <v>-2.123991362592007</v>
      </c>
      <c r="AD719" s="3" t="n">
        <v>-0.8883962808771336</v>
      </c>
      <c r="AE719" s="3" t="n">
        <v>-0.8883962808771336</v>
      </c>
    </row>
    <row r="720">
      <c r="A720" s="3" t="inlineStr">
        <is>
          <t>FRO.distn.dec.ove.mean.2</t>
        </is>
      </c>
      <c r="B720" s="3" t="inlineStr">
        <is>
          <t>FRO</t>
        </is>
      </c>
      <c r="C720" s="3" t="n">
        <v>2005</v>
      </c>
      <c r="D720" s="3" t="inlineStr">
        <is>
          <t>Overall</t>
        </is>
      </c>
      <c r="E720" s="3" t="inlineStr">
        <is>
          <t>Deciles</t>
        </is>
      </c>
      <c r="F720" s="3" t="inlineStr">
        <is>
          <t>mean</t>
        </is>
      </c>
      <c r="G720" s="3" t="n">
        <v>2</v>
      </c>
      <c r="H720" s="3" t="n">
        <v>-0.7878549098968506</v>
      </c>
      <c r="I720" s="3" t="n">
        <v>-0.7878549098968506</v>
      </c>
      <c r="J720" s="3" t="n">
        <v>-0.8883962808771336</v>
      </c>
      <c r="K720" s="3" t="n">
        <v>-0.8883962808771336</v>
      </c>
      <c r="L720" s="3" t="n">
        <v>-0.7878549098968506</v>
      </c>
      <c r="M720" s="3" t="n">
        <v>-0.7878549098968506</v>
      </c>
      <c r="N720" s="3" t="n">
        <v>-0.7878549098968506</v>
      </c>
      <c r="O720" s="3" t="n">
        <v>-0.7878549098968506</v>
      </c>
      <c r="P720" s="3" t="n">
        <v>-0.7878549098968506</v>
      </c>
      <c r="Q720" s="3" t="n">
        <v>-0.7878549098968506</v>
      </c>
      <c r="R720" s="3" t="n">
        <v>-0.7732356596500316</v>
      </c>
      <c r="S720" s="3" t="n">
        <v>-1.408805674694954</v>
      </c>
      <c r="T720" s="3" t="n">
        <v>-0.7095591730259835</v>
      </c>
      <c r="U720" s="3" t="n">
        <v>-0.8883962808771336</v>
      </c>
      <c r="V720" s="3" t="n">
        <v>-0.681934451803248</v>
      </c>
      <c r="W720" s="3" t="n">
        <v>-0.5702875047288043</v>
      </c>
      <c r="X720" s="3" t="n">
        <v>-1.356243993373627</v>
      </c>
      <c r="Y720" s="3" t="n">
        <v>-0.7878549098968506</v>
      </c>
      <c r="Z720" s="3" t="n">
        <v>-1.408805674694954</v>
      </c>
      <c r="AA720" s="3" t="n">
        <v>-1.408805674694954</v>
      </c>
      <c r="AB720" s="3" t="n">
        <v>-1.356243993373627</v>
      </c>
      <c r="AC720" s="3" t="n">
        <v>-2.123991362592007</v>
      </c>
      <c r="AD720" s="3" t="n">
        <v>-0.8883962808771336</v>
      </c>
      <c r="AE720" s="3" t="n">
        <v>-0.8883962808771336</v>
      </c>
    </row>
    <row r="721">
      <c r="A721" s="3" t="inlineStr">
        <is>
          <t>FRO.distn.dec.ove.mean.3</t>
        </is>
      </c>
      <c r="B721" s="3" t="inlineStr">
        <is>
          <t>FRO</t>
        </is>
      </c>
      <c r="C721" s="3" t="n">
        <v>2005</v>
      </c>
      <c r="D721" s="3" t="inlineStr">
        <is>
          <t>Overall</t>
        </is>
      </c>
      <c r="E721" s="3" t="inlineStr">
        <is>
          <t>Deciles</t>
        </is>
      </c>
      <c r="F721" s="3" t="inlineStr">
        <is>
          <t>mean</t>
        </is>
      </c>
      <c r="G721" s="3" t="n">
        <v>3</v>
      </c>
      <c r="H721" s="3" t="n">
        <v>-0.7878549098968506</v>
      </c>
      <c r="I721" s="3" t="n">
        <v>-0.7878549098968506</v>
      </c>
      <c r="J721" s="3" t="n">
        <v>-0.8883962808771336</v>
      </c>
      <c r="K721" s="3" t="n">
        <v>-0.8883962808771336</v>
      </c>
      <c r="L721" s="3" t="n">
        <v>-0.7878549098968506</v>
      </c>
      <c r="M721" s="3" t="n">
        <v>-0.7878549098968506</v>
      </c>
      <c r="N721" s="3" t="n">
        <v>-0.7878549098968506</v>
      </c>
      <c r="O721" s="3" t="n">
        <v>-0.7878549098968506</v>
      </c>
      <c r="P721" s="3" t="n">
        <v>-0.7878549098968506</v>
      </c>
      <c r="Q721" s="3" t="n">
        <v>-0.7878549098968506</v>
      </c>
      <c r="R721" s="3" t="n">
        <v>-0.7732356596500316</v>
      </c>
      <c r="S721" s="3" t="n">
        <v>-1.408805674694954</v>
      </c>
      <c r="T721" s="3" t="n">
        <v>-0.7095591730259835</v>
      </c>
      <c r="U721" s="3" t="n">
        <v>-0.8883962808771336</v>
      </c>
      <c r="V721" s="3" t="n">
        <v>-0.681934451803248</v>
      </c>
      <c r="W721" s="3" t="n">
        <v>-0.5702875047288043</v>
      </c>
      <c r="X721" s="3" t="n">
        <v>-1.356243993373627</v>
      </c>
      <c r="Y721" s="3" t="n">
        <v>-0.7878549098968506</v>
      </c>
      <c r="Z721" s="3" t="n">
        <v>-1.408805674694954</v>
      </c>
      <c r="AA721" s="3" t="n">
        <v>-1.408805674694954</v>
      </c>
      <c r="AB721" s="3" t="n">
        <v>-1.356243993373627</v>
      </c>
      <c r="AC721" s="3" t="n">
        <v>-2.123991362592007</v>
      </c>
      <c r="AD721" s="3" t="n">
        <v>-0.8883962808771336</v>
      </c>
      <c r="AE721" s="3" t="n">
        <v>-0.8883962808771336</v>
      </c>
    </row>
    <row r="722">
      <c r="A722" s="3" t="inlineStr">
        <is>
          <t>FRO.distn.dec.ove.mean.4</t>
        </is>
      </c>
      <c r="B722" s="3" t="inlineStr">
        <is>
          <t>FRO</t>
        </is>
      </c>
      <c r="C722" s="3" t="n">
        <v>2005</v>
      </c>
      <c r="D722" s="3" t="inlineStr">
        <is>
          <t>Overall</t>
        </is>
      </c>
      <c r="E722" s="3" t="inlineStr">
        <is>
          <t>Deciles</t>
        </is>
      </c>
      <c r="F722" s="3" t="inlineStr">
        <is>
          <t>mean</t>
        </is>
      </c>
      <c r="G722" s="3" t="n">
        <v>4</v>
      </c>
      <c r="H722" s="3" t="n">
        <v>-0.7816170251115839</v>
      </c>
      <c r="I722" s="3" t="n">
        <v>-0.7816170251115839</v>
      </c>
      <c r="J722" s="3" t="n">
        <v>-0.8454680810583398</v>
      </c>
      <c r="K722" s="3" t="n">
        <v>-0.8454680810583398</v>
      </c>
      <c r="L722" s="3" t="n">
        <v>-0.7816170251115839</v>
      </c>
      <c r="M722" s="3" t="n">
        <v>-0.7816170251115839</v>
      </c>
      <c r="N722" s="3" t="n">
        <v>-0.7816170251115839</v>
      </c>
      <c r="O722" s="3" t="n">
        <v>-0.7816170251115839</v>
      </c>
      <c r="P722" s="3" t="n">
        <v>-0.7816170251115839</v>
      </c>
      <c r="Q722" s="3" t="n">
        <v>-0.7816170251115839</v>
      </c>
      <c r="R722" s="3" t="n">
        <v>-0.7697659489956308</v>
      </c>
      <c r="S722" s="3" t="n">
        <v>-0.9595531871978272</v>
      </c>
      <c r="T722" s="3" t="n">
        <v>-0.7081063859006191</v>
      </c>
      <c r="U722" s="3" t="n">
        <v>-0.8454680810583398</v>
      </c>
      <c r="V722" s="3" t="n">
        <v>-0.6750000017754575</v>
      </c>
      <c r="W722" s="3" t="n">
        <v>-0.4799574455048176</v>
      </c>
      <c r="X722" s="3" t="n">
        <v>-0.9571489362006492</v>
      </c>
      <c r="Y722" s="3" t="n">
        <v>-0.7816170251115839</v>
      </c>
      <c r="Z722" s="3" t="n">
        <v>-0.9595531871978272</v>
      </c>
      <c r="AA722" s="3" t="n">
        <v>-0.9595531871978272</v>
      </c>
      <c r="AB722" s="3" t="n">
        <v>-0.9571489362006492</v>
      </c>
      <c r="AC722" s="3" t="n">
        <v>-1.025723396463597</v>
      </c>
      <c r="AD722" s="3" t="n">
        <v>-0.8454680810583398</v>
      </c>
      <c r="AE722" s="3" t="n">
        <v>-0.8454680810583398</v>
      </c>
    </row>
    <row r="723">
      <c r="A723" s="3" t="inlineStr">
        <is>
          <t>FRO.distn.dec.ove.mean.5</t>
        </is>
      </c>
      <c r="B723" s="3" t="inlineStr">
        <is>
          <t>FRO</t>
        </is>
      </c>
      <c r="C723" s="3" t="n">
        <v>2005</v>
      </c>
      <c r="D723" s="3" t="inlineStr">
        <is>
          <t>Overall</t>
        </is>
      </c>
      <c r="E723" s="3" t="inlineStr">
        <is>
          <t>Deciles</t>
        </is>
      </c>
      <c r="F723" s="3" t="inlineStr">
        <is>
          <t>mean</t>
        </is>
      </c>
      <c r="G723" s="3" t="n">
        <v>5</v>
      </c>
      <c r="H723" s="3" t="n">
        <v>-0.7816170251115839</v>
      </c>
      <c r="I723" s="3" t="n">
        <v>-0.7816170251115839</v>
      </c>
      <c r="J723" s="3" t="n">
        <v>-0.8454680810583398</v>
      </c>
      <c r="K723" s="3" t="n">
        <v>-0.8454680810583398</v>
      </c>
      <c r="L723" s="3" t="n">
        <v>-0.7816170251115839</v>
      </c>
      <c r="M723" s="3" t="n">
        <v>-0.7816170251115839</v>
      </c>
      <c r="N723" s="3" t="n">
        <v>-0.7816170251115839</v>
      </c>
      <c r="O723" s="3" t="n">
        <v>-0.7816170251115839</v>
      </c>
      <c r="P723" s="3" t="n">
        <v>-0.7816170251115839</v>
      </c>
      <c r="Q723" s="3" t="n">
        <v>-0.7816170251115839</v>
      </c>
      <c r="R723" s="3" t="n">
        <v>-0.7697659489956308</v>
      </c>
      <c r="S723" s="3" t="n">
        <v>-0.9595531871978272</v>
      </c>
      <c r="T723" s="3" t="n">
        <v>-0.7081063859006191</v>
      </c>
      <c r="U723" s="3" t="n">
        <v>-0.8454680810583398</v>
      </c>
      <c r="V723" s="3" t="n">
        <v>-0.6750000017754575</v>
      </c>
      <c r="W723" s="3" t="n">
        <v>-0.4799574455048176</v>
      </c>
      <c r="X723" s="3" t="n">
        <v>-0.9571489362006492</v>
      </c>
      <c r="Y723" s="3" t="n">
        <v>-0.7816170251115839</v>
      </c>
      <c r="Z723" s="3" t="n">
        <v>-0.9595531871978272</v>
      </c>
      <c r="AA723" s="3" t="n">
        <v>-0.9595531871978272</v>
      </c>
      <c r="AB723" s="3" t="n">
        <v>-0.9571489362006492</v>
      </c>
      <c r="AC723" s="3" t="n">
        <v>-1.025723396463597</v>
      </c>
      <c r="AD723" s="3" t="n">
        <v>-0.8454680810583398</v>
      </c>
      <c r="AE723" s="3" t="n">
        <v>-0.8454680810583398</v>
      </c>
    </row>
    <row r="724">
      <c r="A724" s="3" t="inlineStr">
        <is>
          <t>FRO.distn.dec.ove.mean.6</t>
        </is>
      </c>
      <c r="B724" s="3" t="inlineStr">
        <is>
          <t>FRO</t>
        </is>
      </c>
      <c r="C724" s="3" t="n">
        <v>2005</v>
      </c>
      <c r="D724" s="3" t="inlineStr">
        <is>
          <t>Overall</t>
        </is>
      </c>
      <c r="E724" s="3" t="inlineStr">
        <is>
          <t>Deciles</t>
        </is>
      </c>
      <c r="F724" s="3" t="inlineStr">
        <is>
          <t>mean</t>
        </is>
      </c>
      <c r="G724" s="3" t="n">
        <v>6</v>
      </c>
      <c r="H724" s="3" t="n">
        <v>-0.7816170251115839</v>
      </c>
      <c r="I724" s="3" t="n">
        <v>-0.7816170251115839</v>
      </c>
      <c r="J724" s="3" t="n">
        <v>-0.8454680810583398</v>
      </c>
      <c r="K724" s="3" t="n">
        <v>-0.8454680810583398</v>
      </c>
      <c r="L724" s="3" t="n">
        <v>-0.7816170251115839</v>
      </c>
      <c r="M724" s="3" t="n">
        <v>-0.7816170251115839</v>
      </c>
      <c r="N724" s="3" t="n">
        <v>-0.7816170251115839</v>
      </c>
      <c r="O724" s="3" t="n">
        <v>-0.7816170251115839</v>
      </c>
      <c r="P724" s="3" t="n">
        <v>-0.7816170251115839</v>
      </c>
      <c r="Q724" s="3" t="n">
        <v>-0.7816170251115839</v>
      </c>
      <c r="R724" s="3" t="n">
        <v>-0.7697659489956308</v>
      </c>
      <c r="S724" s="3" t="n">
        <v>-0.9595531871978272</v>
      </c>
      <c r="T724" s="3" t="n">
        <v>-0.7081063859006191</v>
      </c>
      <c r="U724" s="3" t="n">
        <v>-0.8454680810583398</v>
      </c>
      <c r="V724" s="3" t="n">
        <v>-0.6750000017754575</v>
      </c>
      <c r="W724" s="3" t="n">
        <v>-0.4799574455048176</v>
      </c>
      <c r="X724" s="3" t="n">
        <v>-0.9571489362006492</v>
      </c>
      <c r="Y724" s="3" t="n">
        <v>-0.7816170251115839</v>
      </c>
      <c r="Z724" s="3" t="n">
        <v>-0.9595531871978272</v>
      </c>
      <c r="AA724" s="3" t="n">
        <v>-0.9595531871978272</v>
      </c>
      <c r="AB724" s="3" t="n">
        <v>-0.9571489362006492</v>
      </c>
      <c r="AC724" s="3" t="n">
        <v>-1.025723396463597</v>
      </c>
      <c r="AD724" s="3" t="n">
        <v>-0.8454680810583398</v>
      </c>
      <c r="AE724" s="3" t="n">
        <v>-0.8454680810583398</v>
      </c>
    </row>
    <row r="725">
      <c r="A725" s="3" t="inlineStr">
        <is>
          <t>FRO.distn.dec.ove.mean.7</t>
        </is>
      </c>
      <c r="B725" s="3" t="inlineStr">
        <is>
          <t>FRO</t>
        </is>
      </c>
      <c r="C725" s="3" t="n">
        <v>2005</v>
      </c>
      <c r="D725" s="3" t="inlineStr">
        <is>
          <t>Overall</t>
        </is>
      </c>
      <c r="E725" s="3" t="inlineStr">
        <is>
          <t>Deciles</t>
        </is>
      </c>
      <c r="F725" s="3" t="inlineStr">
        <is>
          <t>mean</t>
        </is>
      </c>
      <c r="G725" s="3" t="n">
        <v>7</v>
      </c>
      <c r="H725" s="3" t="n">
        <v>-0.7816170251115839</v>
      </c>
      <c r="I725" s="3" t="n">
        <v>-0.7816170251115839</v>
      </c>
      <c r="J725" s="3" t="n">
        <v>-0.8454680810583398</v>
      </c>
      <c r="K725" s="3" t="n">
        <v>-0.8454680810583398</v>
      </c>
      <c r="L725" s="3" t="n">
        <v>-0.7816170251115839</v>
      </c>
      <c r="M725" s="3" t="n">
        <v>-0.7816170251115839</v>
      </c>
      <c r="N725" s="3" t="n">
        <v>-0.7816170251115839</v>
      </c>
      <c r="O725" s="3" t="n">
        <v>-0.7816170251115839</v>
      </c>
      <c r="P725" s="3" t="n">
        <v>-0.7816170251115839</v>
      </c>
      <c r="Q725" s="3" t="n">
        <v>-0.7816170251115839</v>
      </c>
      <c r="R725" s="3" t="n">
        <v>-0.7697659489956308</v>
      </c>
      <c r="S725" s="3" t="n">
        <v>-0.9595531871978272</v>
      </c>
      <c r="T725" s="3" t="n">
        <v>-0.7081063859006191</v>
      </c>
      <c r="U725" s="3" t="n">
        <v>-0.8454680810583398</v>
      </c>
      <c r="V725" s="3" t="n">
        <v>-0.6750000017754575</v>
      </c>
      <c r="W725" s="3" t="n">
        <v>-0.4799574455048176</v>
      </c>
      <c r="X725" s="3" t="n">
        <v>-0.9571489362006492</v>
      </c>
      <c r="Y725" s="3" t="n">
        <v>-0.7816170251115839</v>
      </c>
      <c r="Z725" s="3" t="n">
        <v>-0.9595531871978272</v>
      </c>
      <c r="AA725" s="3" t="n">
        <v>-0.9595531871978272</v>
      </c>
      <c r="AB725" s="3" t="n">
        <v>-0.9571489362006492</v>
      </c>
      <c r="AC725" s="3" t="n">
        <v>-1.025723396463597</v>
      </c>
      <c r="AD725" s="3" t="n">
        <v>-0.8454680810583398</v>
      </c>
      <c r="AE725" s="3" t="n">
        <v>-0.8454680810583398</v>
      </c>
    </row>
    <row r="726">
      <c r="A726" s="3" t="inlineStr">
        <is>
          <t>FRO.distn.dec.ove.mean.8</t>
        </is>
      </c>
      <c r="B726" s="3" t="inlineStr">
        <is>
          <t>FRO</t>
        </is>
      </c>
      <c r="C726" s="3" t="n">
        <v>2005</v>
      </c>
      <c r="D726" s="3" t="inlineStr">
        <is>
          <t>Overall</t>
        </is>
      </c>
      <c r="E726" s="3" t="inlineStr">
        <is>
          <t>Deciles</t>
        </is>
      </c>
      <c r="F726" s="3" t="inlineStr">
        <is>
          <t>mean</t>
        </is>
      </c>
      <c r="G726" s="3" t="n">
        <v>8</v>
      </c>
      <c r="H726" s="3" t="n">
        <v>-0.7819935831617801</v>
      </c>
      <c r="I726" s="3" t="n">
        <v>-0.7819935831617801</v>
      </c>
      <c r="J726" s="3" t="n">
        <v>-0.8477488045996808</v>
      </c>
      <c r="K726" s="3" t="n">
        <v>-0.8477488045996808</v>
      </c>
      <c r="L726" s="3" t="n">
        <v>-0.7819935831617801</v>
      </c>
      <c r="M726" s="3" t="n">
        <v>-0.7819935831617801</v>
      </c>
      <c r="N726" s="3" t="n">
        <v>-0.7819935831617801</v>
      </c>
      <c r="O726" s="3" t="n">
        <v>-0.7819935831617801</v>
      </c>
      <c r="P726" s="3" t="n">
        <v>-0.7819935831617801</v>
      </c>
      <c r="Q726" s="3" t="n">
        <v>-0.7819935831617801</v>
      </c>
      <c r="R726" s="3" t="n">
        <v>-0.7700191178220384</v>
      </c>
      <c r="S726" s="3" t="n">
        <v>-0.9684819490351575</v>
      </c>
      <c r="T726" s="3" t="n">
        <v>-0.70814722142321</v>
      </c>
      <c r="U726" s="3" t="n">
        <v>-0.8477488045996808</v>
      </c>
      <c r="V726" s="3" t="n">
        <v>-0.6756977857427394</v>
      </c>
      <c r="W726" s="3" t="n">
        <v>-0.4928101326556916</v>
      </c>
      <c r="X726" s="3" t="n">
        <v>-0.9658704755154062</v>
      </c>
      <c r="Y726" s="3" t="n">
        <v>-0.7819935831617801</v>
      </c>
      <c r="Z726" s="3" t="n">
        <v>-0.9684819490351575</v>
      </c>
      <c r="AA726" s="3" t="n">
        <v>-0.9684819490351575</v>
      </c>
      <c r="AB726" s="3" t="n">
        <v>-0.9658704755154062</v>
      </c>
      <c r="AC726" s="3" t="n">
        <v>-1.04035159628442</v>
      </c>
      <c r="AD726" s="3" t="n">
        <v>-0.8477488045996808</v>
      </c>
      <c r="AE726" s="3" t="n">
        <v>-0.8477488045996808</v>
      </c>
    </row>
    <row r="727">
      <c r="A727" s="3" t="inlineStr">
        <is>
          <t>FRO.distn.dec.ove.mean.9</t>
        </is>
      </c>
      <c r="B727" s="3" t="inlineStr">
        <is>
          <t>FRO</t>
        </is>
      </c>
      <c r="C727" s="3" t="n">
        <v>2005</v>
      </c>
      <c r="D727" s="3" t="inlineStr">
        <is>
          <t>Overall</t>
        </is>
      </c>
      <c r="E727" s="3" t="inlineStr">
        <is>
          <t>Deciles</t>
        </is>
      </c>
      <c r="F727" s="3" t="inlineStr">
        <is>
          <t>mean</t>
        </is>
      </c>
      <c r="G727" s="3" t="n">
        <v>9</v>
      </c>
      <c r="H727" s="3" t="n">
        <v>-0.7819935831617801</v>
      </c>
      <c r="I727" s="3" t="n">
        <v>-0.7819935831617801</v>
      </c>
      <c r="J727" s="3" t="n">
        <v>-0.8477488045996808</v>
      </c>
      <c r="K727" s="3" t="n">
        <v>-0.8477488045996808</v>
      </c>
      <c r="L727" s="3" t="n">
        <v>-0.7819935831617801</v>
      </c>
      <c r="M727" s="3" t="n">
        <v>-0.7819935831617801</v>
      </c>
      <c r="N727" s="3" t="n">
        <v>-0.7819935831617801</v>
      </c>
      <c r="O727" s="3" t="n">
        <v>-0.7819935831617801</v>
      </c>
      <c r="P727" s="3" t="n">
        <v>-0.7819935831617801</v>
      </c>
      <c r="Q727" s="3" t="n">
        <v>-0.7819935831617801</v>
      </c>
      <c r="R727" s="3" t="n">
        <v>-0.7700191178220384</v>
      </c>
      <c r="S727" s="3" t="n">
        <v>-0.9684819490351575</v>
      </c>
      <c r="T727" s="3" t="n">
        <v>-0.70814722142321</v>
      </c>
      <c r="U727" s="3" t="n">
        <v>-0.8477488045996808</v>
      </c>
      <c r="V727" s="3" t="n">
        <v>-0.6756977857427394</v>
      </c>
      <c r="W727" s="3" t="n">
        <v>-0.4928101326556916</v>
      </c>
      <c r="X727" s="3" t="n">
        <v>-0.9658704755154062</v>
      </c>
      <c r="Y727" s="3" t="n">
        <v>-0.7819935831617801</v>
      </c>
      <c r="Z727" s="3" t="n">
        <v>-0.9684819490351575</v>
      </c>
      <c r="AA727" s="3" t="n">
        <v>-0.9684819490351575</v>
      </c>
      <c r="AB727" s="3" t="n">
        <v>-0.9658704755154062</v>
      </c>
      <c r="AC727" s="3" t="n">
        <v>-1.04035159628442</v>
      </c>
      <c r="AD727" s="3" t="n">
        <v>-0.8477488045996808</v>
      </c>
      <c r="AE727" s="3" t="n">
        <v>-0.8477488045996808</v>
      </c>
    </row>
    <row r="728">
      <c r="A728" s="3" t="inlineStr">
        <is>
          <t>FRO.distn.dec.ove.mean.10</t>
        </is>
      </c>
      <c r="B728" s="3" t="inlineStr">
        <is>
          <t>FRO</t>
        </is>
      </c>
      <c r="C728" s="3" t="n">
        <v>2005</v>
      </c>
      <c r="D728" s="3" t="inlineStr">
        <is>
          <t>Overall</t>
        </is>
      </c>
      <c r="E728" s="3" t="inlineStr">
        <is>
          <t>Deciles</t>
        </is>
      </c>
      <c r="F728" s="3" t="inlineStr">
        <is>
          <t>mean</t>
        </is>
      </c>
      <c r="G728" s="3" t="n">
        <v>10</v>
      </c>
      <c r="H728" s="3" t="n">
        <v>-0.7819935831617801</v>
      </c>
      <c r="I728" s="3" t="n">
        <v>-0.7819935831617801</v>
      </c>
      <c r="J728" s="3" t="n">
        <v>-0.8477488045996808</v>
      </c>
      <c r="K728" s="3" t="n">
        <v>-0.8477488045996808</v>
      </c>
      <c r="L728" s="3" t="n">
        <v>-0.7819935831617801</v>
      </c>
      <c r="M728" s="3" t="n">
        <v>-0.7819935831617801</v>
      </c>
      <c r="N728" s="3" t="n">
        <v>-0.7819935831617801</v>
      </c>
      <c r="O728" s="3" t="n">
        <v>-0.7819935831617801</v>
      </c>
      <c r="P728" s="3" t="n">
        <v>-0.7819935831617801</v>
      </c>
      <c r="Q728" s="3" t="n">
        <v>-0.7819935831617801</v>
      </c>
      <c r="R728" s="3" t="n">
        <v>-0.7700191178220384</v>
      </c>
      <c r="S728" s="3" t="n">
        <v>-0.9684819490351575</v>
      </c>
      <c r="T728" s="3" t="n">
        <v>-0.70814722142321</v>
      </c>
      <c r="U728" s="3" t="n">
        <v>-0.8477488045996808</v>
      </c>
      <c r="V728" s="3" t="n">
        <v>-0.6756977857427394</v>
      </c>
      <c r="W728" s="3" t="n">
        <v>-0.4928101326556916</v>
      </c>
      <c r="X728" s="3" t="n">
        <v>-0.9658704755154062</v>
      </c>
      <c r="Y728" s="3" t="n">
        <v>-0.7819935831617801</v>
      </c>
      <c r="Z728" s="3" t="n">
        <v>-0.9684819490351575</v>
      </c>
      <c r="AA728" s="3" t="n">
        <v>-0.9684819490351575</v>
      </c>
      <c r="AB728" s="3" t="n">
        <v>-0.9658704755154062</v>
      </c>
      <c r="AC728" s="3" t="n">
        <v>-1.04035159628442</v>
      </c>
      <c r="AD728" s="3" t="n">
        <v>-0.8477488045996808</v>
      </c>
      <c r="AE728" s="3" t="n">
        <v>-0.8477488045996808</v>
      </c>
    </row>
    <row r="729">
      <c r="A729" s="3" t="inlineStr">
        <is>
          <t>FRO.distn.bkt.ove.mean.9999</t>
        </is>
      </c>
      <c r="B729" s="3" t="inlineStr">
        <is>
          <t>FRO</t>
        </is>
      </c>
      <c r="C729" s="3" t="n">
        <v>2005</v>
      </c>
      <c r="D729" s="3" t="inlineStr">
        <is>
          <t>Overall</t>
        </is>
      </c>
      <c r="E729" s="3" t="inlineStr">
        <is>
          <t>Basket</t>
        </is>
      </c>
      <c r="F729" s="3" t="inlineStr">
        <is>
          <t>mean</t>
        </is>
      </c>
      <c r="G729" s="3" t="n">
        <v>9999</v>
      </c>
      <c r="H729" s="3" t="n">
        <v>-0.7836013613863194</v>
      </c>
      <c r="I729" s="3" t="n">
        <v>-0.7836013613863194</v>
      </c>
      <c r="J729" s="3" t="n">
        <v>-0.8590307616172953</v>
      </c>
      <c r="K729" s="3" t="n">
        <v>-0.8590307616172953</v>
      </c>
      <c r="L729" s="3" t="n">
        <v>-0.7836013613863194</v>
      </c>
      <c r="M729" s="3" t="n">
        <v>-0.7836013613863194</v>
      </c>
      <c r="N729" s="3" t="n">
        <v>-0.7836013613863194</v>
      </c>
      <c r="O729" s="3" t="n">
        <v>-0.7836013613863194</v>
      </c>
      <c r="P729" s="3" t="n">
        <v>-0.7836013613863194</v>
      </c>
      <c r="Q729" s="3" t="n">
        <v>-0.7836013613863194</v>
      </c>
      <c r="R729" s="3" t="n">
        <v>-0.7708828220976159</v>
      </c>
      <c r="S729" s="3" t="n">
        <v>-1.097007578991829</v>
      </c>
      <c r="T729" s="3" t="n">
        <v>-0.7085544974245923</v>
      </c>
      <c r="U729" s="3" t="n">
        <v>-0.8590307616172953</v>
      </c>
      <c r="V729" s="3" t="n">
        <v>-0.6772896647453308</v>
      </c>
      <c r="W729" s="3" t="n">
        <v>-0.5109122699879586</v>
      </c>
      <c r="X729" s="3" t="n">
        <v>-1.079493910708326</v>
      </c>
      <c r="Y729" s="3" t="n">
        <v>-0.7836013613863194</v>
      </c>
      <c r="Z729" s="3" t="n">
        <v>-1.097007578991829</v>
      </c>
      <c r="AA729" s="3" t="n">
        <v>-1.097007578991829</v>
      </c>
      <c r="AB729" s="3" t="n">
        <v>-1.079493910708326</v>
      </c>
      <c r="AC729" s="3" t="n">
        <v>-1.359592239907447</v>
      </c>
      <c r="AD729" s="3" t="n">
        <v>-0.8590307616172953</v>
      </c>
      <c r="AE729" s="3" t="n">
        <v>-0.8590307616172953</v>
      </c>
    </row>
    <row r="730">
      <c r="A730" s="3" t="inlineStr">
        <is>
          <t>FSM.distn.dec.ove.mean.1</t>
        </is>
      </c>
      <c r="B730" s="3" t="inlineStr">
        <is>
          <t>FSM</t>
        </is>
      </c>
      <c r="C730" s="3" t="n">
        <v>2005</v>
      </c>
      <c r="D730" s="3" t="inlineStr">
        <is>
          <t>Overall</t>
        </is>
      </c>
      <c r="E730" s="3" t="inlineStr">
        <is>
          <t>Deciles</t>
        </is>
      </c>
      <c r="F730" s="3" t="inlineStr">
        <is>
          <t>mean</t>
        </is>
      </c>
      <c r="G730" s="3" t="n">
        <v>1</v>
      </c>
      <c r="H730" s="3" t="n">
        <v>-0.7936522003851438</v>
      </c>
      <c r="I730" s="3" t="n">
        <v>-0.7936522003851438</v>
      </c>
      <c r="J730" s="3" t="n">
        <v>-0.9276126356501329</v>
      </c>
      <c r="K730" s="3" t="n">
        <v>-0.9276126356501329</v>
      </c>
      <c r="L730" s="3" t="n">
        <v>-0.7936522003851438</v>
      </c>
      <c r="M730" s="3" t="n">
        <v>-0.7936522003851438</v>
      </c>
      <c r="N730" s="3" t="n">
        <v>-0.7936522003851438</v>
      </c>
      <c r="O730" s="3" t="n">
        <v>-0.7936522003851438</v>
      </c>
      <c r="P730" s="3" t="n">
        <v>-0.7936522003851438</v>
      </c>
      <c r="Q730" s="3" t="n">
        <v>-0.7936522003851438</v>
      </c>
      <c r="R730" s="3" t="n">
        <v>-0.7764578367534437</v>
      </c>
      <c r="S730" s="3" t="n">
        <v>-1.851309371621985</v>
      </c>
      <c r="T730" s="3" t="n">
        <v>-0.7110083871766141</v>
      </c>
      <c r="U730" s="3" t="n">
        <v>-0.9276126356501329</v>
      </c>
      <c r="V730" s="3" t="n">
        <v>-0.688554396754817</v>
      </c>
      <c r="W730" s="3" t="n">
        <v>-0.6748062403578508</v>
      </c>
      <c r="X730" s="3" t="n">
        <v>-1.760538414904946</v>
      </c>
      <c r="Y730" s="3" t="n">
        <v>-0.7936522003851438</v>
      </c>
      <c r="Z730" s="3" t="n">
        <v>-1.851309371621985</v>
      </c>
      <c r="AA730" s="3" t="n">
        <v>-1.851309371621985</v>
      </c>
      <c r="AB730" s="3" t="n">
        <v>-1.760538414904946</v>
      </c>
      <c r="AC730" s="3" t="n">
        <v>-4.00243950517554</v>
      </c>
      <c r="AD730" s="3" t="n">
        <v>-0.9276126356501329</v>
      </c>
      <c r="AE730" s="3" t="n">
        <v>-0.9276126356501329</v>
      </c>
    </row>
    <row r="731">
      <c r="A731" s="3" t="inlineStr">
        <is>
          <t>FSM.distn.dec.ove.mean.2</t>
        </is>
      </c>
      <c r="B731" s="3" t="inlineStr">
        <is>
          <t>FSM</t>
        </is>
      </c>
      <c r="C731" s="3" t="n">
        <v>2005</v>
      </c>
      <c r="D731" s="3" t="inlineStr">
        <is>
          <t>Overall</t>
        </is>
      </c>
      <c r="E731" s="3" t="inlineStr">
        <is>
          <t>Deciles</t>
        </is>
      </c>
      <c r="F731" s="3" t="inlineStr">
        <is>
          <t>mean</t>
        </is>
      </c>
      <c r="G731" s="3" t="n">
        <v>2</v>
      </c>
      <c r="H731" s="3" t="n">
        <v>-0.7936522003851438</v>
      </c>
      <c r="I731" s="3" t="n">
        <v>-0.7936522003851438</v>
      </c>
      <c r="J731" s="3" t="n">
        <v>-0.9276126356501329</v>
      </c>
      <c r="K731" s="3" t="n">
        <v>-0.9276126356501329</v>
      </c>
      <c r="L731" s="3" t="n">
        <v>-0.7936522003851438</v>
      </c>
      <c r="M731" s="3" t="n">
        <v>-0.7936522003851438</v>
      </c>
      <c r="N731" s="3" t="n">
        <v>-0.7936522003851438</v>
      </c>
      <c r="O731" s="3" t="n">
        <v>-0.7936522003851438</v>
      </c>
      <c r="P731" s="3" t="n">
        <v>-0.7936522003851438</v>
      </c>
      <c r="Q731" s="3" t="n">
        <v>-0.7936522003851438</v>
      </c>
      <c r="R731" s="3" t="n">
        <v>-0.7764578367534437</v>
      </c>
      <c r="S731" s="3" t="n">
        <v>-1.851309371621985</v>
      </c>
      <c r="T731" s="3" t="n">
        <v>-0.7110083871766141</v>
      </c>
      <c r="U731" s="3" t="n">
        <v>-0.9276126356501329</v>
      </c>
      <c r="V731" s="3" t="n">
        <v>-0.688554396754817</v>
      </c>
      <c r="W731" s="3" t="n">
        <v>-0.6748062403578508</v>
      </c>
      <c r="X731" s="3" t="n">
        <v>-1.760538414904946</v>
      </c>
      <c r="Y731" s="3" t="n">
        <v>-0.7936522003851438</v>
      </c>
      <c r="Z731" s="3" t="n">
        <v>-1.851309371621985</v>
      </c>
      <c r="AA731" s="3" t="n">
        <v>-1.851309371621985</v>
      </c>
      <c r="AB731" s="3" t="n">
        <v>-1.760538414904946</v>
      </c>
      <c r="AC731" s="3" t="n">
        <v>-4.00243950517554</v>
      </c>
      <c r="AD731" s="3" t="n">
        <v>-0.9276126356501329</v>
      </c>
      <c r="AE731" s="3" t="n">
        <v>-0.9276126356501329</v>
      </c>
    </row>
    <row r="732">
      <c r="A732" s="3" t="inlineStr">
        <is>
          <t>FSM.distn.dec.ove.mean.3</t>
        </is>
      </c>
      <c r="B732" s="3" t="inlineStr">
        <is>
          <t>FSM</t>
        </is>
      </c>
      <c r="C732" s="3" t="n">
        <v>2005</v>
      </c>
      <c r="D732" s="3" t="inlineStr">
        <is>
          <t>Overall</t>
        </is>
      </c>
      <c r="E732" s="3" t="inlineStr">
        <is>
          <t>Deciles</t>
        </is>
      </c>
      <c r="F732" s="3" t="inlineStr">
        <is>
          <t>mean</t>
        </is>
      </c>
      <c r="G732" s="3" t="n">
        <v>3</v>
      </c>
      <c r="H732" s="3" t="n">
        <v>-0.7936522003851438</v>
      </c>
      <c r="I732" s="3" t="n">
        <v>-0.7936522003851438</v>
      </c>
      <c r="J732" s="3" t="n">
        <v>-0.9276126356501329</v>
      </c>
      <c r="K732" s="3" t="n">
        <v>-0.9276126356501329</v>
      </c>
      <c r="L732" s="3" t="n">
        <v>-0.7936522003851438</v>
      </c>
      <c r="M732" s="3" t="n">
        <v>-0.7936522003851438</v>
      </c>
      <c r="N732" s="3" t="n">
        <v>-0.7936522003851438</v>
      </c>
      <c r="O732" s="3" t="n">
        <v>-0.7936522003851438</v>
      </c>
      <c r="P732" s="3" t="n">
        <v>-0.7936522003851438</v>
      </c>
      <c r="Q732" s="3" t="n">
        <v>-0.7936522003851438</v>
      </c>
      <c r="R732" s="3" t="n">
        <v>-0.7764578367534437</v>
      </c>
      <c r="S732" s="3" t="n">
        <v>-1.851309371621985</v>
      </c>
      <c r="T732" s="3" t="n">
        <v>-0.7110083871766141</v>
      </c>
      <c r="U732" s="3" t="n">
        <v>-0.9276126356501329</v>
      </c>
      <c r="V732" s="3" t="n">
        <v>-0.688554396754817</v>
      </c>
      <c r="W732" s="3" t="n">
        <v>-0.6748062403578508</v>
      </c>
      <c r="X732" s="3" t="n">
        <v>-1.760538414904946</v>
      </c>
      <c r="Y732" s="3" t="n">
        <v>-0.7936522003851438</v>
      </c>
      <c r="Z732" s="3" t="n">
        <v>-1.851309371621985</v>
      </c>
      <c r="AA732" s="3" t="n">
        <v>-1.851309371621985</v>
      </c>
      <c r="AB732" s="3" t="n">
        <v>-1.760538414904946</v>
      </c>
      <c r="AC732" s="3" t="n">
        <v>-4.00243950517554</v>
      </c>
      <c r="AD732" s="3" t="n">
        <v>-0.9276126356501329</v>
      </c>
      <c r="AE732" s="3" t="n">
        <v>-0.9276126356501329</v>
      </c>
    </row>
    <row r="733">
      <c r="A733" s="3" t="inlineStr">
        <is>
          <t>FSM.distn.dec.ove.mean.4</t>
        </is>
      </c>
      <c r="B733" s="3" t="inlineStr">
        <is>
          <t>FSM</t>
        </is>
      </c>
      <c r="C733" s="3" t="n">
        <v>2005</v>
      </c>
      <c r="D733" s="3" t="inlineStr">
        <is>
          <t>Overall</t>
        </is>
      </c>
      <c r="E733" s="3" t="inlineStr">
        <is>
          <t>Deciles</t>
        </is>
      </c>
      <c r="F733" s="3" t="inlineStr">
        <is>
          <t>mean</t>
        </is>
      </c>
      <c r="G733" s="3" t="n">
        <v>4</v>
      </c>
      <c r="H733" s="3" t="n">
        <v>-0.7873684167861938</v>
      </c>
      <c r="I733" s="3" t="n">
        <v>-0.7873684167861938</v>
      </c>
      <c r="J733" s="3" t="n">
        <v>-0.8827894769216839</v>
      </c>
      <c r="K733" s="3" t="n">
        <v>-0.8827894769216839</v>
      </c>
      <c r="L733" s="3" t="n">
        <v>-0.7873684167861938</v>
      </c>
      <c r="M733" s="3" t="n">
        <v>-0.7873684167861938</v>
      </c>
      <c r="N733" s="3" t="n">
        <v>-0.7873684167861938</v>
      </c>
      <c r="O733" s="3" t="n">
        <v>-0.7873684167861938</v>
      </c>
      <c r="P733" s="3" t="n">
        <v>-0.7873684167861938</v>
      </c>
      <c r="Q733" s="3" t="n">
        <v>-0.7873684167861938</v>
      </c>
      <c r="R733" s="3" t="n">
        <v>-0.7729736864566803</v>
      </c>
      <c r="S733" s="3" t="n">
        <v>-1.260947363941293</v>
      </c>
      <c r="T733" s="3" t="n">
        <v>-0.7095526174495095</v>
      </c>
      <c r="U733" s="3" t="n">
        <v>-0.8827894769216839</v>
      </c>
      <c r="V733" s="3" t="n">
        <v>-0.6815526375645086</v>
      </c>
      <c r="W733" s="3" t="n">
        <v>-0.5679210565592113</v>
      </c>
      <c r="X733" s="3" t="n">
        <v>-1.242473682290629</v>
      </c>
      <c r="Y733" s="3" t="n">
        <v>-0.7873684167861938</v>
      </c>
      <c r="Z733" s="3" t="n">
        <v>-1.260947363941293</v>
      </c>
      <c r="AA733" s="3" t="n">
        <v>-1.260947363941293</v>
      </c>
      <c r="AB733" s="3" t="n">
        <v>-1.242473682290629</v>
      </c>
      <c r="AC733" s="3" t="n">
        <v>-1.932868417940642</v>
      </c>
      <c r="AD733" s="3" t="n">
        <v>-0.8827894769216839</v>
      </c>
      <c r="AE733" s="3" t="n">
        <v>-0.8827894769216839</v>
      </c>
    </row>
    <row r="734">
      <c r="A734" s="3" t="inlineStr">
        <is>
          <t>FSM.distn.dec.ove.mean.5</t>
        </is>
      </c>
      <c r="B734" s="3" t="inlineStr">
        <is>
          <t>FSM</t>
        </is>
      </c>
      <c r="C734" s="3" t="n">
        <v>2005</v>
      </c>
      <c r="D734" s="3" t="inlineStr">
        <is>
          <t>Overall</t>
        </is>
      </c>
      <c r="E734" s="3" t="inlineStr">
        <is>
          <t>Deciles</t>
        </is>
      </c>
      <c r="F734" s="3" t="inlineStr">
        <is>
          <t>mean</t>
        </is>
      </c>
      <c r="G734" s="3" t="n">
        <v>5</v>
      </c>
      <c r="H734" s="3" t="n">
        <v>-0.7873684167861938</v>
      </c>
      <c r="I734" s="3" t="n">
        <v>-0.7873684167861938</v>
      </c>
      <c r="J734" s="3" t="n">
        <v>-0.8827894769216839</v>
      </c>
      <c r="K734" s="3" t="n">
        <v>-0.8827894769216839</v>
      </c>
      <c r="L734" s="3" t="n">
        <v>-0.7873684167861938</v>
      </c>
      <c r="M734" s="3" t="n">
        <v>-0.7873684167861938</v>
      </c>
      <c r="N734" s="3" t="n">
        <v>-0.7873684167861938</v>
      </c>
      <c r="O734" s="3" t="n">
        <v>-0.7873684167861938</v>
      </c>
      <c r="P734" s="3" t="n">
        <v>-0.7873684167861938</v>
      </c>
      <c r="Q734" s="3" t="n">
        <v>-0.7873684167861938</v>
      </c>
      <c r="R734" s="3" t="n">
        <v>-0.7729736864566803</v>
      </c>
      <c r="S734" s="3" t="n">
        <v>-1.260947363941293</v>
      </c>
      <c r="T734" s="3" t="n">
        <v>-0.7095526174495095</v>
      </c>
      <c r="U734" s="3" t="n">
        <v>-0.8827894769216839</v>
      </c>
      <c r="V734" s="3" t="n">
        <v>-0.6815526375645086</v>
      </c>
      <c r="W734" s="3" t="n">
        <v>-0.5679210565592113</v>
      </c>
      <c r="X734" s="3" t="n">
        <v>-1.242473682290629</v>
      </c>
      <c r="Y734" s="3" t="n">
        <v>-0.7873684167861938</v>
      </c>
      <c r="Z734" s="3" t="n">
        <v>-1.260947363941293</v>
      </c>
      <c r="AA734" s="3" t="n">
        <v>-1.260947363941293</v>
      </c>
      <c r="AB734" s="3" t="n">
        <v>-1.242473682290629</v>
      </c>
      <c r="AC734" s="3" t="n">
        <v>-1.932868417940642</v>
      </c>
      <c r="AD734" s="3" t="n">
        <v>-0.8827894769216839</v>
      </c>
      <c r="AE734" s="3" t="n">
        <v>-0.8827894769216839</v>
      </c>
    </row>
    <row r="735">
      <c r="A735" s="3" t="inlineStr">
        <is>
          <t>FSM.distn.dec.ove.mean.6</t>
        </is>
      </c>
      <c r="B735" s="3" t="inlineStr">
        <is>
          <t>FSM</t>
        </is>
      </c>
      <c r="C735" s="3" t="n">
        <v>2005</v>
      </c>
      <c r="D735" s="3" t="inlineStr">
        <is>
          <t>Overall</t>
        </is>
      </c>
      <c r="E735" s="3" t="inlineStr">
        <is>
          <t>Deciles</t>
        </is>
      </c>
      <c r="F735" s="3" t="inlineStr">
        <is>
          <t>mean</t>
        </is>
      </c>
      <c r="G735" s="3" t="n">
        <v>6</v>
      </c>
      <c r="H735" s="3" t="n">
        <v>-0.7873684167861938</v>
      </c>
      <c r="I735" s="3" t="n">
        <v>-0.7873684167861938</v>
      </c>
      <c r="J735" s="3" t="n">
        <v>-0.8827894769216839</v>
      </c>
      <c r="K735" s="3" t="n">
        <v>-0.8827894769216839</v>
      </c>
      <c r="L735" s="3" t="n">
        <v>-0.7873684167861938</v>
      </c>
      <c r="M735" s="3" t="n">
        <v>-0.7873684167861938</v>
      </c>
      <c r="N735" s="3" t="n">
        <v>-0.7873684167861938</v>
      </c>
      <c r="O735" s="3" t="n">
        <v>-0.7873684167861938</v>
      </c>
      <c r="P735" s="3" t="n">
        <v>-0.7873684167861938</v>
      </c>
      <c r="Q735" s="3" t="n">
        <v>-0.7873684167861938</v>
      </c>
      <c r="R735" s="3" t="n">
        <v>-0.7729736864566803</v>
      </c>
      <c r="S735" s="3" t="n">
        <v>-1.260947363941293</v>
      </c>
      <c r="T735" s="3" t="n">
        <v>-0.7095526174495095</v>
      </c>
      <c r="U735" s="3" t="n">
        <v>-0.8827894769216839</v>
      </c>
      <c r="V735" s="3" t="n">
        <v>-0.6815526375645086</v>
      </c>
      <c r="W735" s="3" t="n">
        <v>-0.5679210565592113</v>
      </c>
      <c r="X735" s="3" t="n">
        <v>-1.242473682290629</v>
      </c>
      <c r="Y735" s="3" t="n">
        <v>-0.7873684167861938</v>
      </c>
      <c r="Z735" s="3" t="n">
        <v>-1.260947363941293</v>
      </c>
      <c r="AA735" s="3" t="n">
        <v>-1.260947363941293</v>
      </c>
      <c r="AB735" s="3" t="n">
        <v>-1.242473682290629</v>
      </c>
      <c r="AC735" s="3" t="n">
        <v>-1.932868417940642</v>
      </c>
      <c r="AD735" s="3" t="n">
        <v>-0.8827894769216839</v>
      </c>
      <c r="AE735" s="3" t="n">
        <v>-0.8827894769216839</v>
      </c>
    </row>
    <row r="736">
      <c r="A736" s="3" t="inlineStr">
        <is>
          <t>FSM.distn.dec.ove.mean.7</t>
        </is>
      </c>
      <c r="B736" s="3" t="inlineStr">
        <is>
          <t>FSM</t>
        </is>
      </c>
      <c r="C736" s="3" t="n">
        <v>2005</v>
      </c>
      <c r="D736" s="3" t="inlineStr">
        <is>
          <t>Overall</t>
        </is>
      </c>
      <c r="E736" s="3" t="inlineStr">
        <is>
          <t>Deciles</t>
        </is>
      </c>
      <c r="F736" s="3" t="inlineStr">
        <is>
          <t>mean</t>
        </is>
      </c>
      <c r="G736" s="3" t="n">
        <v>7</v>
      </c>
      <c r="H736" s="3" t="n">
        <v>-0.7873684167861938</v>
      </c>
      <c r="I736" s="3" t="n">
        <v>-0.7873684167861938</v>
      </c>
      <c r="J736" s="3" t="n">
        <v>-0.8827894769216839</v>
      </c>
      <c r="K736" s="3" t="n">
        <v>-0.8827894769216839</v>
      </c>
      <c r="L736" s="3" t="n">
        <v>-0.7873684167861938</v>
      </c>
      <c r="M736" s="3" t="n">
        <v>-0.7873684167861938</v>
      </c>
      <c r="N736" s="3" t="n">
        <v>-0.7873684167861938</v>
      </c>
      <c r="O736" s="3" t="n">
        <v>-0.7873684167861938</v>
      </c>
      <c r="P736" s="3" t="n">
        <v>-0.7873684167861938</v>
      </c>
      <c r="Q736" s="3" t="n">
        <v>-0.7873684167861938</v>
      </c>
      <c r="R736" s="3" t="n">
        <v>-0.7729736864566803</v>
      </c>
      <c r="S736" s="3" t="n">
        <v>-1.260947363941293</v>
      </c>
      <c r="T736" s="3" t="n">
        <v>-0.7095526174495095</v>
      </c>
      <c r="U736" s="3" t="n">
        <v>-0.8827894769216839</v>
      </c>
      <c r="V736" s="3" t="n">
        <v>-0.6815526375645086</v>
      </c>
      <c r="W736" s="3" t="n">
        <v>-0.5679210565592113</v>
      </c>
      <c r="X736" s="3" t="n">
        <v>-1.242473682290629</v>
      </c>
      <c r="Y736" s="3" t="n">
        <v>-0.7873684167861938</v>
      </c>
      <c r="Z736" s="3" t="n">
        <v>-1.260947363941293</v>
      </c>
      <c r="AA736" s="3" t="n">
        <v>-1.260947363941293</v>
      </c>
      <c r="AB736" s="3" t="n">
        <v>-1.242473682290629</v>
      </c>
      <c r="AC736" s="3" t="n">
        <v>-1.932868417940642</v>
      </c>
      <c r="AD736" s="3" t="n">
        <v>-0.8827894769216839</v>
      </c>
      <c r="AE736" s="3" t="n">
        <v>-0.8827894769216839</v>
      </c>
    </row>
    <row r="737">
      <c r="A737" s="3" t="inlineStr">
        <is>
          <t>FSM.distn.dec.ove.mean.8</t>
        </is>
      </c>
      <c r="B737" s="3" t="inlineStr">
        <is>
          <t>FSM</t>
        </is>
      </c>
      <c r="C737" s="3" t="n">
        <v>2005</v>
      </c>
      <c r="D737" s="3" t="inlineStr">
        <is>
          <t>Overall</t>
        </is>
      </c>
      <c r="E737" s="3" t="inlineStr">
        <is>
          <t>Deciles</t>
        </is>
      </c>
      <c r="F737" s="3" t="inlineStr">
        <is>
          <t>mean</t>
        </is>
      </c>
      <c r="G737" s="3" t="n">
        <v>8</v>
      </c>
      <c r="H737" s="3" t="n">
        <v>-0.7877477627051505</v>
      </c>
      <c r="I737" s="3" t="n">
        <v>-0.7877477627051505</v>
      </c>
      <c r="J737" s="3" t="n">
        <v>-0.8851708738427413</v>
      </c>
      <c r="K737" s="3" t="n">
        <v>-0.8851708738427413</v>
      </c>
      <c r="L737" s="3" t="n">
        <v>-0.7877477627051505</v>
      </c>
      <c r="M737" s="3" t="n">
        <v>-0.7877477627051505</v>
      </c>
      <c r="N737" s="3" t="n">
        <v>-0.7877477627051505</v>
      </c>
      <c r="O737" s="3" t="n">
        <v>-0.7877477627051505</v>
      </c>
      <c r="P737" s="3" t="n">
        <v>-0.7877477627051505</v>
      </c>
      <c r="Q737" s="3" t="n">
        <v>-0.7877477627051505</v>
      </c>
      <c r="R737" s="3" t="n">
        <v>-0.7732278971295607</v>
      </c>
      <c r="S737" s="3" t="n">
        <v>-1.272680619829579</v>
      </c>
      <c r="T737" s="3" t="n">
        <v>-0.7095935376066911</v>
      </c>
      <c r="U737" s="3" t="n">
        <v>-0.8851708738427413</v>
      </c>
      <c r="V737" s="3" t="n">
        <v>-0.6822572021107924</v>
      </c>
      <c r="W737" s="3" t="n">
        <v>-0.5831292993143985</v>
      </c>
      <c r="X737" s="3" t="n">
        <v>-1.253795093611667</v>
      </c>
      <c r="Y737" s="3" t="n">
        <v>-0.7877477627051505</v>
      </c>
      <c r="Z737" s="3" t="n">
        <v>-1.272680619829579</v>
      </c>
      <c r="AA737" s="3" t="n">
        <v>-1.272680619829579</v>
      </c>
      <c r="AB737" s="3" t="n">
        <v>-1.253795093611667</v>
      </c>
      <c r="AC737" s="3" t="n">
        <v>-1.960433708994012</v>
      </c>
      <c r="AD737" s="3" t="n">
        <v>-0.8851708738427413</v>
      </c>
      <c r="AE737" s="3" t="n">
        <v>-0.8851708738427413</v>
      </c>
    </row>
    <row r="738">
      <c r="A738" s="3" t="inlineStr">
        <is>
          <t>FSM.distn.dec.ove.mean.9</t>
        </is>
      </c>
      <c r="B738" s="3" t="inlineStr">
        <is>
          <t>FSM</t>
        </is>
      </c>
      <c r="C738" s="3" t="n">
        <v>2005</v>
      </c>
      <c r="D738" s="3" t="inlineStr">
        <is>
          <t>Overall</t>
        </is>
      </c>
      <c r="E738" s="3" t="inlineStr">
        <is>
          <t>Deciles</t>
        </is>
      </c>
      <c r="F738" s="3" t="inlineStr">
        <is>
          <t>mean</t>
        </is>
      </c>
      <c r="G738" s="3" t="n">
        <v>9</v>
      </c>
      <c r="H738" s="3" t="n">
        <v>-0.7877477627051505</v>
      </c>
      <c r="I738" s="3" t="n">
        <v>-0.7877477627051505</v>
      </c>
      <c r="J738" s="3" t="n">
        <v>-0.8851708738427413</v>
      </c>
      <c r="K738" s="3" t="n">
        <v>-0.8851708738427413</v>
      </c>
      <c r="L738" s="3" t="n">
        <v>-0.7877477627051505</v>
      </c>
      <c r="M738" s="3" t="n">
        <v>-0.7877477627051505</v>
      </c>
      <c r="N738" s="3" t="n">
        <v>-0.7877477627051505</v>
      </c>
      <c r="O738" s="3" t="n">
        <v>-0.7877477627051505</v>
      </c>
      <c r="P738" s="3" t="n">
        <v>-0.7877477627051505</v>
      </c>
      <c r="Q738" s="3" t="n">
        <v>-0.7877477627051505</v>
      </c>
      <c r="R738" s="3" t="n">
        <v>-0.7732278971295607</v>
      </c>
      <c r="S738" s="3" t="n">
        <v>-1.272680619829579</v>
      </c>
      <c r="T738" s="3" t="n">
        <v>-0.7095935376066911</v>
      </c>
      <c r="U738" s="3" t="n">
        <v>-0.8851708738427413</v>
      </c>
      <c r="V738" s="3" t="n">
        <v>-0.6822572021107924</v>
      </c>
      <c r="W738" s="3" t="n">
        <v>-0.5831292993143985</v>
      </c>
      <c r="X738" s="3" t="n">
        <v>-1.253795093611667</v>
      </c>
      <c r="Y738" s="3" t="n">
        <v>-0.7877477627051505</v>
      </c>
      <c r="Z738" s="3" t="n">
        <v>-1.272680619829579</v>
      </c>
      <c r="AA738" s="3" t="n">
        <v>-1.272680619829579</v>
      </c>
      <c r="AB738" s="3" t="n">
        <v>-1.253795093611667</v>
      </c>
      <c r="AC738" s="3" t="n">
        <v>-1.960433708994012</v>
      </c>
      <c r="AD738" s="3" t="n">
        <v>-0.8851708738427413</v>
      </c>
      <c r="AE738" s="3" t="n">
        <v>-0.8851708738427413</v>
      </c>
    </row>
    <row r="739">
      <c r="A739" s="3" t="inlineStr">
        <is>
          <t>FSM.distn.dec.ove.mean.10</t>
        </is>
      </c>
      <c r="B739" s="3" t="inlineStr">
        <is>
          <t>FSM</t>
        </is>
      </c>
      <c r="C739" s="3" t="n">
        <v>2005</v>
      </c>
      <c r="D739" s="3" t="inlineStr">
        <is>
          <t>Overall</t>
        </is>
      </c>
      <c r="E739" s="3" t="inlineStr">
        <is>
          <t>Deciles</t>
        </is>
      </c>
      <c r="F739" s="3" t="inlineStr">
        <is>
          <t>mean</t>
        </is>
      </c>
      <c r="G739" s="3" t="n">
        <v>10</v>
      </c>
      <c r="H739" s="3" t="n">
        <v>-0.7877477627051505</v>
      </c>
      <c r="I739" s="3" t="n">
        <v>-0.7877477627051505</v>
      </c>
      <c r="J739" s="3" t="n">
        <v>-0.8851708738427413</v>
      </c>
      <c r="K739" s="3" t="n">
        <v>-0.8851708738427413</v>
      </c>
      <c r="L739" s="3" t="n">
        <v>-0.7877477627051505</v>
      </c>
      <c r="M739" s="3" t="n">
        <v>-0.7877477627051505</v>
      </c>
      <c r="N739" s="3" t="n">
        <v>-0.7877477627051505</v>
      </c>
      <c r="O739" s="3" t="n">
        <v>-0.7877477627051505</v>
      </c>
      <c r="P739" s="3" t="n">
        <v>-0.7877477627051505</v>
      </c>
      <c r="Q739" s="3" t="n">
        <v>-0.7877477627051505</v>
      </c>
      <c r="R739" s="3" t="n">
        <v>-0.7732278971295607</v>
      </c>
      <c r="S739" s="3" t="n">
        <v>-1.272680619829579</v>
      </c>
      <c r="T739" s="3" t="n">
        <v>-0.7095935376066911</v>
      </c>
      <c r="U739" s="3" t="n">
        <v>-0.8851708738427413</v>
      </c>
      <c r="V739" s="3" t="n">
        <v>-0.6822572021107924</v>
      </c>
      <c r="W739" s="3" t="n">
        <v>-0.5831292993143985</v>
      </c>
      <c r="X739" s="3" t="n">
        <v>-1.253795093611667</v>
      </c>
      <c r="Y739" s="3" t="n">
        <v>-0.7877477627051505</v>
      </c>
      <c r="Z739" s="3" t="n">
        <v>-1.272680619829579</v>
      </c>
      <c r="AA739" s="3" t="n">
        <v>-1.272680619829579</v>
      </c>
      <c r="AB739" s="3" t="n">
        <v>-1.253795093611667</v>
      </c>
      <c r="AC739" s="3" t="n">
        <v>-1.960433708994012</v>
      </c>
      <c r="AD739" s="3" t="n">
        <v>-0.8851708738427413</v>
      </c>
      <c r="AE739" s="3" t="n">
        <v>-0.8851708738427413</v>
      </c>
    </row>
    <row r="740">
      <c r="A740" s="3" t="inlineStr">
        <is>
          <t>FSM.distn.bkt.ove.mean.9999</t>
        </is>
      </c>
      <c r="B740" s="3" t="inlineStr">
        <is>
          <t>FSM</t>
        </is>
      </c>
      <c r="C740" s="3" t="n">
        <v>2005</v>
      </c>
      <c r="D740" s="3" t="inlineStr">
        <is>
          <t>Overall</t>
        </is>
      </c>
      <c r="E740" s="3" t="inlineStr">
        <is>
          <t>Basket</t>
        </is>
      </c>
      <c r="F740" s="3" t="inlineStr">
        <is>
          <t>mean</t>
        </is>
      </c>
      <c r="G740" s="3" t="n">
        <v>9999</v>
      </c>
      <c r="H740" s="3" t="n">
        <v>-0.7893673542298769</v>
      </c>
      <c r="I740" s="3" t="n">
        <v>-0.7893673542298769</v>
      </c>
      <c r="J740" s="3" t="n">
        <v>-0.8969508472241854</v>
      </c>
      <c r="K740" s="3" t="n">
        <v>-0.8969508472241854</v>
      </c>
      <c r="L740" s="3" t="n">
        <v>-0.7893673542298769</v>
      </c>
      <c r="M740" s="3" t="n">
        <v>-0.7893673542298769</v>
      </c>
      <c r="N740" s="3" t="n">
        <v>-0.7893673542298769</v>
      </c>
      <c r="O740" s="3" t="n">
        <v>-0.7893673542298769</v>
      </c>
      <c r="P740" s="3" t="n">
        <v>-0.7893673542298769</v>
      </c>
      <c r="Q740" s="3" t="n">
        <v>-0.7893673542298769</v>
      </c>
      <c r="R740" s="3" t="n">
        <v>-0.7740951949044278</v>
      </c>
      <c r="S740" s="3" t="n">
        <v>-1.441575941286589</v>
      </c>
      <c r="T740" s="3" t="n">
        <v>-0.7100016239442324</v>
      </c>
      <c r="U740" s="3" t="n">
        <v>-0.8969508472241854</v>
      </c>
      <c r="V740" s="3" t="n">
        <v>-0.6838645276270414</v>
      </c>
      <c r="W740" s="3" t="n">
        <v>-0.6045490895446978</v>
      </c>
      <c r="X740" s="3" t="n">
        <v>-1.401289532059117</v>
      </c>
      <c r="Y740" s="3" t="n">
        <v>-0.7893673542298769</v>
      </c>
      <c r="Z740" s="3" t="n">
        <v>-1.441575941286589</v>
      </c>
      <c r="AA740" s="3" t="n">
        <v>-1.441575941286589</v>
      </c>
      <c r="AB740" s="3" t="n">
        <v>-1.401289532059117</v>
      </c>
      <c r="AC740" s="3" t="n">
        <v>-2.562009337701296</v>
      </c>
      <c r="AD740" s="3" t="n">
        <v>-0.8969508472241854</v>
      </c>
      <c r="AE740" s="3" t="n">
        <v>-0.8969508472241854</v>
      </c>
    </row>
    <row r="741">
      <c r="A741" s="3" t="inlineStr">
        <is>
          <t>GAB.distn.dec.ove.mean.1</t>
        </is>
      </c>
      <c r="B741" s="3" t="inlineStr">
        <is>
          <t>GAB</t>
        </is>
      </c>
      <c r="C741" s="3" t="n">
        <v>2005</v>
      </c>
      <c r="D741" s="3" t="inlineStr">
        <is>
          <t>Overall</t>
        </is>
      </c>
      <c r="E741" s="3" t="inlineStr">
        <is>
          <t>Deciles</t>
        </is>
      </c>
      <c r="F741" s="3" t="inlineStr">
        <is>
          <t>mean</t>
        </is>
      </c>
      <c r="G741" s="3" t="n">
        <v>1</v>
      </c>
      <c r="H741" s="3" t="n">
        <v>-0.7912648916244507</v>
      </c>
      <c r="I741" s="3" t="n">
        <v>-0.7912648916244507</v>
      </c>
      <c r="J741" s="3" t="n">
        <v>-0.9099707007408142</v>
      </c>
      <c r="K741" s="3" t="n">
        <v>-0.9099707007408142</v>
      </c>
      <c r="L741" s="3" t="n">
        <v>-0.7912648916244507</v>
      </c>
      <c r="M741" s="3" t="n">
        <v>-0.7912648916244507</v>
      </c>
      <c r="N741" s="3" t="n">
        <v>-0.7912648916244507</v>
      </c>
      <c r="O741" s="3" t="n">
        <v>-0.7912648916244507</v>
      </c>
      <c r="P741" s="3" t="n">
        <v>-0.7912648916244507</v>
      </c>
      <c r="Q741" s="3" t="n">
        <v>-0.7912648916244507</v>
      </c>
      <c r="R741" s="3" t="n">
        <v>-0.775479793548584</v>
      </c>
      <c r="S741" s="3" t="n">
        <v>-1.556280612945557</v>
      </c>
      <c r="T741" s="3" t="n">
        <v>-0.7104546427726746</v>
      </c>
      <c r="U741" s="3" t="n">
        <v>-0.9099707007408142</v>
      </c>
      <c r="V741" s="3" t="n">
        <v>-0.6859755516052246</v>
      </c>
      <c r="W741" s="3" t="n">
        <v>-0.6511359810829163</v>
      </c>
      <c r="X741" s="3" t="n">
        <v>-1.494895219802856</v>
      </c>
      <c r="Y741" s="3" t="n">
        <v>-0.7912648916244507</v>
      </c>
      <c r="Z741" s="3" t="n">
        <v>-1.556280612945557</v>
      </c>
      <c r="AA741" s="3" t="n">
        <v>-1.556280612945557</v>
      </c>
      <c r="AB741" s="3" t="n">
        <v>-1.494895219802856</v>
      </c>
      <c r="AC741" s="3" t="n">
        <v>-2.518002033233643</v>
      </c>
      <c r="AD741" s="3" t="n">
        <v>-0.9099707007408142</v>
      </c>
      <c r="AE741" s="3" t="n">
        <v>-0.9099707007408142</v>
      </c>
    </row>
    <row r="742">
      <c r="A742" s="3" t="inlineStr">
        <is>
          <t>GAB.distn.dec.ove.mean.2</t>
        </is>
      </c>
      <c r="B742" s="3" t="inlineStr">
        <is>
          <t>GAB</t>
        </is>
      </c>
      <c r="C742" s="3" t="n">
        <v>2005</v>
      </c>
      <c r="D742" s="3" t="inlineStr">
        <is>
          <t>Overall</t>
        </is>
      </c>
      <c r="E742" s="3" t="inlineStr">
        <is>
          <t>Deciles</t>
        </is>
      </c>
      <c r="F742" s="3" t="inlineStr">
        <is>
          <t>mean</t>
        </is>
      </c>
      <c r="G742" s="3" t="n">
        <v>2</v>
      </c>
      <c r="H742" s="3" t="n">
        <v>-0.7912648916244507</v>
      </c>
      <c r="I742" s="3" t="n">
        <v>-0.7912648916244507</v>
      </c>
      <c r="J742" s="3" t="n">
        <v>-0.9099707007408142</v>
      </c>
      <c r="K742" s="3" t="n">
        <v>-0.9099707007408142</v>
      </c>
      <c r="L742" s="3" t="n">
        <v>-0.7912648916244507</v>
      </c>
      <c r="M742" s="3" t="n">
        <v>-0.7912648916244507</v>
      </c>
      <c r="N742" s="3" t="n">
        <v>-0.7912648916244507</v>
      </c>
      <c r="O742" s="3" t="n">
        <v>-0.7912648916244507</v>
      </c>
      <c r="P742" s="3" t="n">
        <v>-0.7912648916244507</v>
      </c>
      <c r="Q742" s="3" t="n">
        <v>-0.7912648916244507</v>
      </c>
      <c r="R742" s="3" t="n">
        <v>-0.775479793548584</v>
      </c>
      <c r="S742" s="3" t="n">
        <v>-1.556280612945557</v>
      </c>
      <c r="T742" s="3" t="n">
        <v>-0.7104546427726746</v>
      </c>
      <c r="U742" s="3" t="n">
        <v>-0.9099707007408142</v>
      </c>
      <c r="V742" s="3" t="n">
        <v>-0.6859755516052246</v>
      </c>
      <c r="W742" s="3" t="n">
        <v>-0.6511359810829163</v>
      </c>
      <c r="X742" s="3" t="n">
        <v>-1.494895219802856</v>
      </c>
      <c r="Y742" s="3" t="n">
        <v>-0.7912648916244507</v>
      </c>
      <c r="Z742" s="3" t="n">
        <v>-1.556280612945557</v>
      </c>
      <c r="AA742" s="3" t="n">
        <v>-1.556280612945557</v>
      </c>
      <c r="AB742" s="3" t="n">
        <v>-1.494895219802856</v>
      </c>
      <c r="AC742" s="3" t="n">
        <v>-2.518002033233643</v>
      </c>
      <c r="AD742" s="3" t="n">
        <v>-0.9099707007408142</v>
      </c>
      <c r="AE742" s="3" t="n">
        <v>-0.9099707007408142</v>
      </c>
    </row>
    <row r="743">
      <c r="A743" s="3" t="inlineStr">
        <is>
          <t>GAB.distn.dec.ove.mean.3</t>
        </is>
      </c>
      <c r="B743" s="3" t="inlineStr">
        <is>
          <t>GAB</t>
        </is>
      </c>
      <c r="C743" s="3" t="n">
        <v>2005</v>
      </c>
      <c r="D743" s="3" t="inlineStr">
        <is>
          <t>Overall</t>
        </is>
      </c>
      <c r="E743" s="3" t="inlineStr">
        <is>
          <t>Deciles</t>
        </is>
      </c>
      <c r="F743" s="3" t="inlineStr">
        <is>
          <t>mean</t>
        </is>
      </c>
      <c r="G743" s="3" t="n">
        <v>3</v>
      </c>
      <c r="H743" s="3" t="n">
        <v>-0.7912648916244507</v>
      </c>
      <c r="I743" s="3" t="n">
        <v>-0.7912648916244507</v>
      </c>
      <c r="J743" s="3" t="n">
        <v>-0.9099707007408142</v>
      </c>
      <c r="K743" s="3" t="n">
        <v>-0.9099707007408142</v>
      </c>
      <c r="L743" s="3" t="n">
        <v>-0.7912648916244507</v>
      </c>
      <c r="M743" s="3" t="n">
        <v>-0.7912648916244507</v>
      </c>
      <c r="N743" s="3" t="n">
        <v>-0.7912648916244507</v>
      </c>
      <c r="O743" s="3" t="n">
        <v>-0.7912648916244507</v>
      </c>
      <c r="P743" s="3" t="n">
        <v>-0.7912648916244507</v>
      </c>
      <c r="Q743" s="3" t="n">
        <v>-0.7912648916244507</v>
      </c>
      <c r="R743" s="3" t="n">
        <v>-0.775479793548584</v>
      </c>
      <c r="S743" s="3" t="n">
        <v>-1.556280612945557</v>
      </c>
      <c r="T743" s="3" t="n">
        <v>-0.7104546427726746</v>
      </c>
      <c r="U743" s="3" t="n">
        <v>-0.9099707007408142</v>
      </c>
      <c r="V743" s="3" t="n">
        <v>-0.6859755516052246</v>
      </c>
      <c r="W743" s="3" t="n">
        <v>-0.6511359810829163</v>
      </c>
      <c r="X743" s="3" t="n">
        <v>-1.494895219802856</v>
      </c>
      <c r="Y743" s="3" t="n">
        <v>-0.7912648916244507</v>
      </c>
      <c r="Z743" s="3" t="n">
        <v>-1.556280612945557</v>
      </c>
      <c r="AA743" s="3" t="n">
        <v>-1.556280612945557</v>
      </c>
      <c r="AB743" s="3" t="n">
        <v>-1.494895219802856</v>
      </c>
      <c r="AC743" s="3" t="n">
        <v>-2.518002033233643</v>
      </c>
      <c r="AD743" s="3" t="n">
        <v>-0.9099707007408142</v>
      </c>
      <c r="AE743" s="3" t="n">
        <v>-0.9099707007408142</v>
      </c>
    </row>
    <row r="744">
      <c r="A744" s="3" t="inlineStr">
        <is>
          <t>GAB.distn.dec.ove.mean.4</t>
        </is>
      </c>
      <c r="B744" s="3" t="inlineStr">
        <is>
          <t>GAB</t>
        </is>
      </c>
      <c r="C744" s="3" t="n">
        <v>2005</v>
      </c>
      <c r="D744" s="3" t="inlineStr">
        <is>
          <t>Overall</t>
        </is>
      </c>
      <c r="E744" s="3" t="inlineStr">
        <is>
          <t>Deciles</t>
        </is>
      </c>
      <c r="F744" s="3" t="inlineStr">
        <is>
          <t>mean</t>
        </is>
      </c>
      <c r="G744" s="3" t="n">
        <v>4</v>
      </c>
      <c r="H744" s="3" t="n">
        <v>-0.7850000262260437</v>
      </c>
      <c r="I744" s="3" t="n">
        <v>-0.7850000262260437</v>
      </c>
      <c r="J744" s="3" t="n">
        <v>-0.8659999966621399</v>
      </c>
      <c r="K744" s="3" t="n">
        <v>-0.8659999966621399</v>
      </c>
      <c r="L744" s="3" t="n">
        <v>-0.7850000262260437</v>
      </c>
      <c r="M744" s="3" t="n">
        <v>-0.7850000262260437</v>
      </c>
      <c r="N744" s="3" t="n">
        <v>-0.7850000262260437</v>
      </c>
      <c r="O744" s="3" t="n">
        <v>-0.7850000262260437</v>
      </c>
      <c r="P744" s="3" t="n">
        <v>-0.7850000262260437</v>
      </c>
      <c r="Q744" s="3" t="n">
        <v>-0.7850000262260437</v>
      </c>
      <c r="R744" s="3" t="n">
        <v>-0.7720000147819519</v>
      </c>
      <c r="S744" s="3" t="n">
        <v>-1.059999942779541</v>
      </c>
      <c r="T744" s="3" t="n">
        <v>-0.7089999914169312</v>
      </c>
      <c r="U744" s="3" t="n">
        <v>-0.8659999966621399</v>
      </c>
      <c r="V744" s="3" t="n">
        <v>-0.6790000200271606</v>
      </c>
      <c r="W744" s="3" t="n">
        <v>-0.5479999780654907</v>
      </c>
      <c r="X744" s="3" t="n">
        <v>-1.054999947547913</v>
      </c>
      <c r="Y744" s="3" t="n">
        <v>-0.7850000262260437</v>
      </c>
      <c r="Z744" s="3" t="n">
        <v>-1.059999942779541</v>
      </c>
      <c r="AA744" s="3" t="n">
        <v>-1.059999942779541</v>
      </c>
      <c r="AB744" s="3" t="n">
        <v>-1.054999947547913</v>
      </c>
      <c r="AC744" s="3" t="n">
        <v>-1.215999960899353</v>
      </c>
      <c r="AD744" s="3" t="n">
        <v>-0.8659999966621399</v>
      </c>
      <c r="AE744" s="3" t="n">
        <v>-0.8659999966621399</v>
      </c>
    </row>
    <row r="745">
      <c r="A745" s="3" t="inlineStr">
        <is>
          <t>GAB.distn.dec.ove.mean.5</t>
        </is>
      </c>
      <c r="B745" s="3" t="inlineStr">
        <is>
          <t>GAB</t>
        </is>
      </c>
      <c r="C745" s="3" t="n">
        <v>2005</v>
      </c>
      <c r="D745" s="3" t="inlineStr">
        <is>
          <t>Overall</t>
        </is>
      </c>
      <c r="E745" s="3" t="inlineStr">
        <is>
          <t>Deciles</t>
        </is>
      </c>
      <c r="F745" s="3" t="inlineStr">
        <is>
          <t>mean</t>
        </is>
      </c>
      <c r="G745" s="3" t="n">
        <v>5</v>
      </c>
      <c r="H745" s="3" t="n">
        <v>-0.7850000262260437</v>
      </c>
      <c r="I745" s="3" t="n">
        <v>-0.7850000262260437</v>
      </c>
      <c r="J745" s="3" t="n">
        <v>-0.8659999966621399</v>
      </c>
      <c r="K745" s="3" t="n">
        <v>-0.8659999966621399</v>
      </c>
      <c r="L745" s="3" t="n">
        <v>-0.7850000262260437</v>
      </c>
      <c r="M745" s="3" t="n">
        <v>-0.7850000262260437</v>
      </c>
      <c r="N745" s="3" t="n">
        <v>-0.7850000262260437</v>
      </c>
      <c r="O745" s="3" t="n">
        <v>-0.7850000262260437</v>
      </c>
      <c r="P745" s="3" t="n">
        <v>-0.7850000262260437</v>
      </c>
      <c r="Q745" s="3" t="n">
        <v>-0.7850000262260437</v>
      </c>
      <c r="R745" s="3" t="n">
        <v>-0.7720000147819519</v>
      </c>
      <c r="S745" s="3" t="n">
        <v>-1.059999942779541</v>
      </c>
      <c r="T745" s="3" t="n">
        <v>-0.7089999914169312</v>
      </c>
      <c r="U745" s="3" t="n">
        <v>-0.8659999966621399</v>
      </c>
      <c r="V745" s="3" t="n">
        <v>-0.6790000200271606</v>
      </c>
      <c r="W745" s="3" t="n">
        <v>-0.5479999780654907</v>
      </c>
      <c r="X745" s="3" t="n">
        <v>-1.054999947547913</v>
      </c>
      <c r="Y745" s="3" t="n">
        <v>-0.7850000262260437</v>
      </c>
      <c r="Z745" s="3" t="n">
        <v>-1.059999942779541</v>
      </c>
      <c r="AA745" s="3" t="n">
        <v>-1.059999942779541</v>
      </c>
      <c r="AB745" s="3" t="n">
        <v>-1.054999947547913</v>
      </c>
      <c r="AC745" s="3" t="n">
        <v>-1.215999960899353</v>
      </c>
      <c r="AD745" s="3" t="n">
        <v>-0.8659999966621399</v>
      </c>
      <c r="AE745" s="3" t="n">
        <v>-0.8659999966621399</v>
      </c>
    </row>
    <row r="746">
      <c r="A746" s="3" t="inlineStr">
        <is>
          <t>GAB.distn.dec.ove.mean.6</t>
        </is>
      </c>
      <c r="B746" s="3" t="inlineStr">
        <is>
          <t>GAB</t>
        </is>
      </c>
      <c r="C746" s="3" t="n">
        <v>2005</v>
      </c>
      <c r="D746" s="3" t="inlineStr">
        <is>
          <t>Overall</t>
        </is>
      </c>
      <c r="E746" s="3" t="inlineStr">
        <is>
          <t>Deciles</t>
        </is>
      </c>
      <c r="F746" s="3" t="inlineStr">
        <is>
          <t>mean</t>
        </is>
      </c>
      <c r="G746" s="3" t="n">
        <v>6</v>
      </c>
      <c r="H746" s="3" t="n">
        <v>-0.7850000262260437</v>
      </c>
      <c r="I746" s="3" t="n">
        <v>-0.7850000262260437</v>
      </c>
      <c r="J746" s="3" t="n">
        <v>-0.8659999966621399</v>
      </c>
      <c r="K746" s="3" t="n">
        <v>-0.8659999966621399</v>
      </c>
      <c r="L746" s="3" t="n">
        <v>-0.7850000262260437</v>
      </c>
      <c r="M746" s="3" t="n">
        <v>-0.7850000262260437</v>
      </c>
      <c r="N746" s="3" t="n">
        <v>-0.7850000262260437</v>
      </c>
      <c r="O746" s="3" t="n">
        <v>-0.7850000262260437</v>
      </c>
      <c r="P746" s="3" t="n">
        <v>-0.7850000262260437</v>
      </c>
      <c r="Q746" s="3" t="n">
        <v>-0.7850000262260437</v>
      </c>
      <c r="R746" s="3" t="n">
        <v>-0.7720000147819519</v>
      </c>
      <c r="S746" s="3" t="n">
        <v>-1.059999942779541</v>
      </c>
      <c r="T746" s="3" t="n">
        <v>-0.7089999914169312</v>
      </c>
      <c r="U746" s="3" t="n">
        <v>-0.8659999966621399</v>
      </c>
      <c r="V746" s="3" t="n">
        <v>-0.6790000200271606</v>
      </c>
      <c r="W746" s="3" t="n">
        <v>-0.5479999780654907</v>
      </c>
      <c r="X746" s="3" t="n">
        <v>-1.054999947547913</v>
      </c>
      <c r="Y746" s="3" t="n">
        <v>-0.7850000262260437</v>
      </c>
      <c r="Z746" s="3" t="n">
        <v>-1.059999942779541</v>
      </c>
      <c r="AA746" s="3" t="n">
        <v>-1.059999942779541</v>
      </c>
      <c r="AB746" s="3" t="n">
        <v>-1.054999947547913</v>
      </c>
      <c r="AC746" s="3" t="n">
        <v>-1.215999960899353</v>
      </c>
      <c r="AD746" s="3" t="n">
        <v>-0.8659999966621399</v>
      </c>
      <c r="AE746" s="3" t="n">
        <v>-0.8659999966621399</v>
      </c>
    </row>
    <row r="747">
      <c r="A747" s="3" t="inlineStr">
        <is>
          <t>GAB.distn.dec.ove.mean.7</t>
        </is>
      </c>
      <c r="B747" s="3" t="inlineStr">
        <is>
          <t>GAB</t>
        </is>
      </c>
      <c r="C747" s="3" t="n">
        <v>2005</v>
      </c>
      <c r="D747" s="3" t="inlineStr">
        <is>
          <t>Overall</t>
        </is>
      </c>
      <c r="E747" s="3" t="inlineStr">
        <is>
          <t>Deciles</t>
        </is>
      </c>
      <c r="F747" s="3" t="inlineStr">
        <is>
          <t>mean</t>
        </is>
      </c>
      <c r="G747" s="3" t="n">
        <v>7</v>
      </c>
      <c r="H747" s="3" t="n">
        <v>-0.7850000262260437</v>
      </c>
      <c r="I747" s="3" t="n">
        <v>-0.7850000262260437</v>
      </c>
      <c r="J747" s="3" t="n">
        <v>-0.8659999966621399</v>
      </c>
      <c r="K747" s="3" t="n">
        <v>-0.8659999966621399</v>
      </c>
      <c r="L747" s="3" t="n">
        <v>-0.7850000262260437</v>
      </c>
      <c r="M747" s="3" t="n">
        <v>-0.7850000262260437</v>
      </c>
      <c r="N747" s="3" t="n">
        <v>-0.7850000262260437</v>
      </c>
      <c r="O747" s="3" t="n">
        <v>-0.7850000262260437</v>
      </c>
      <c r="P747" s="3" t="n">
        <v>-0.7850000262260437</v>
      </c>
      <c r="Q747" s="3" t="n">
        <v>-0.7850000262260437</v>
      </c>
      <c r="R747" s="3" t="n">
        <v>-0.7720000147819519</v>
      </c>
      <c r="S747" s="3" t="n">
        <v>-1.059999942779541</v>
      </c>
      <c r="T747" s="3" t="n">
        <v>-0.7089999914169312</v>
      </c>
      <c r="U747" s="3" t="n">
        <v>-0.8659999966621399</v>
      </c>
      <c r="V747" s="3" t="n">
        <v>-0.6790000200271606</v>
      </c>
      <c r="W747" s="3" t="n">
        <v>-0.5479999780654907</v>
      </c>
      <c r="X747" s="3" t="n">
        <v>-1.054999947547913</v>
      </c>
      <c r="Y747" s="3" t="n">
        <v>-0.7850000262260437</v>
      </c>
      <c r="Z747" s="3" t="n">
        <v>-1.059999942779541</v>
      </c>
      <c r="AA747" s="3" t="n">
        <v>-1.059999942779541</v>
      </c>
      <c r="AB747" s="3" t="n">
        <v>-1.054999947547913</v>
      </c>
      <c r="AC747" s="3" t="n">
        <v>-1.215999960899353</v>
      </c>
      <c r="AD747" s="3" t="n">
        <v>-0.8659999966621399</v>
      </c>
      <c r="AE747" s="3" t="n">
        <v>-0.8659999966621399</v>
      </c>
    </row>
    <row r="748">
      <c r="A748" s="3" t="inlineStr">
        <is>
          <t>GAB.distn.dec.ove.mean.8</t>
        </is>
      </c>
      <c r="B748" s="3" t="inlineStr">
        <is>
          <t>GAB</t>
        </is>
      </c>
      <c r="C748" s="3" t="n">
        <v>2005</v>
      </c>
      <c r="D748" s="3" t="inlineStr">
        <is>
          <t>Overall</t>
        </is>
      </c>
      <c r="E748" s="3" t="inlineStr">
        <is>
          <t>Deciles</t>
        </is>
      </c>
      <c r="F748" s="3" t="inlineStr">
        <is>
          <t>mean</t>
        </is>
      </c>
      <c r="G748" s="3" t="n">
        <v>8</v>
      </c>
      <c r="H748" s="3" t="n">
        <v>-0.7853782176971436</v>
      </c>
      <c r="I748" s="3" t="n">
        <v>-0.7853782176971436</v>
      </c>
      <c r="J748" s="3" t="n">
        <v>-0.8683360815048218</v>
      </c>
      <c r="K748" s="3" t="n">
        <v>-0.8683360815048218</v>
      </c>
      <c r="L748" s="3" t="n">
        <v>-0.7853782176971436</v>
      </c>
      <c r="M748" s="3" t="n">
        <v>-0.7853782176971436</v>
      </c>
      <c r="N748" s="3" t="n">
        <v>-0.7853782176971436</v>
      </c>
      <c r="O748" s="3" t="n">
        <v>-0.7853782176971436</v>
      </c>
      <c r="P748" s="3" t="n">
        <v>-0.7853782176971436</v>
      </c>
      <c r="Q748" s="3" t="n">
        <v>-0.7853782176971436</v>
      </c>
      <c r="R748" s="3" t="n">
        <v>-0.7722538709640503</v>
      </c>
      <c r="S748" s="3" t="n">
        <v>-1.069863438606262</v>
      </c>
      <c r="T748" s="3" t="n">
        <v>-0.7090408802032471</v>
      </c>
      <c r="U748" s="3" t="n">
        <v>-0.8683360815048218</v>
      </c>
      <c r="V748" s="3" t="n">
        <v>-0.6797019243240356</v>
      </c>
      <c r="W748" s="3" t="n">
        <v>-0.5626747608184814</v>
      </c>
      <c r="X748" s="3" t="n">
        <v>-1.064613103866577</v>
      </c>
      <c r="Y748" s="3" t="n">
        <v>-0.7853782176971436</v>
      </c>
      <c r="Z748" s="3" t="n">
        <v>-1.069863438606262</v>
      </c>
      <c r="AA748" s="3" t="n">
        <v>-1.069863438606262</v>
      </c>
      <c r="AB748" s="3" t="n">
        <v>-1.064613103866577</v>
      </c>
      <c r="AC748" s="3" t="n">
        <v>-1.233341813087463</v>
      </c>
      <c r="AD748" s="3" t="n">
        <v>-0.8683360815048218</v>
      </c>
      <c r="AE748" s="3" t="n">
        <v>-0.8683360815048218</v>
      </c>
    </row>
    <row r="749">
      <c r="A749" s="3" t="inlineStr">
        <is>
          <t>GAB.distn.dec.ove.mean.9</t>
        </is>
      </c>
      <c r="B749" s="3" t="inlineStr">
        <is>
          <t>GAB</t>
        </is>
      </c>
      <c r="C749" s="3" t="n">
        <v>2005</v>
      </c>
      <c r="D749" s="3" t="inlineStr">
        <is>
          <t>Overall</t>
        </is>
      </c>
      <c r="E749" s="3" t="inlineStr">
        <is>
          <t>Deciles</t>
        </is>
      </c>
      <c r="F749" s="3" t="inlineStr">
        <is>
          <t>mean</t>
        </is>
      </c>
      <c r="G749" s="3" t="n">
        <v>9</v>
      </c>
      <c r="H749" s="3" t="n">
        <v>-0.7853782176971436</v>
      </c>
      <c r="I749" s="3" t="n">
        <v>-0.7853782176971436</v>
      </c>
      <c r="J749" s="3" t="n">
        <v>-0.8683360815048218</v>
      </c>
      <c r="K749" s="3" t="n">
        <v>-0.8683360815048218</v>
      </c>
      <c r="L749" s="3" t="n">
        <v>-0.7853782176971436</v>
      </c>
      <c r="M749" s="3" t="n">
        <v>-0.7853782176971436</v>
      </c>
      <c r="N749" s="3" t="n">
        <v>-0.7853782176971436</v>
      </c>
      <c r="O749" s="3" t="n">
        <v>-0.7853782176971436</v>
      </c>
      <c r="P749" s="3" t="n">
        <v>-0.7853782176971436</v>
      </c>
      <c r="Q749" s="3" t="n">
        <v>-0.7853782176971436</v>
      </c>
      <c r="R749" s="3" t="n">
        <v>-0.7722538709640503</v>
      </c>
      <c r="S749" s="3" t="n">
        <v>-1.069863438606262</v>
      </c>
      <c r="T749" s="3" t="n">
        <v>-0.7090408802032471</v>
      </c>
      <c r="U749" s="3" t="n">
        <v>-0.8683360815048218</v>
      </c>
      <c r="V749" s="3" t="n">
        <v>-0.6797019243240356</v>
      </c>
      <c r="W749" s="3" t="n">
        <v>-0.5626747608184814</v>
      </c>
      <c r="X749" s="3" t="n">
        <v>-1.064613103866577</v>
      </c>
      <c r="Y749" s="3" t="n">
        <v>-0.7853782176971436</v>
      </c>
      <c r="Z749" s="3" t="n">
        <v>-1.069863438606262</v>
      </c>
      <c r="AA749" s="3" t="n">
        <v>-1.069863438606262</v>
      </c>
      <c r="AB749" s="3" t="n">
        <v>-1.064613103866577</v>
      </c>
      <c r="AC749" s="3" t="n">
        <v>-1.233341813087463</v>
      </c>
      <c r="AD749" s="3" t="n">
        <v>-0.8683360815048218</v>
      </c>
      <c r="AE749" s="3" t="n">
        <v>-0.8683360815048218</v>
      </c>
    </row>
    <row r="750">
      <c r="A750" s="3" t="inlineStr">
        <is>
          <t>GAB.distn.dec.ove.mean.10</t>
        </is>
      </c>
      <c r="B750" s="3" t="inlineStr">
        <is>
          <t>GAB</t>
        </is>
      </c>
      <c r="C750" s="3" t="n">
        <v>2005</v>
      </c>
      <c r="D750" s="3" t="inlineStr">
        <is>
          <t>Overall</t>
        </is>
      </c>
      <c r="E750" s="3" t="inlineStr">
        <is>
          <t>Deciles</t>
        </is>
      </c>
      <c r="F750" s="3" t="inlineStr">
        <is>
          <t>mean</t>
        </is>
      </c>
      <c r="G750" s="3" t="n">
        <v>10</v>
      </c>
      <c r="H750" s="3" t="n">
        <v>-0.7853782176971436</v>
      </c>
      <c r="I750" s="3" t="n">
        <v>-0.7853782176971436</v>
      </c>
      <c r="J750" s="3" t="n">
        <v>-0.8683360815048218</v>
      </c>
      <c r="K750" s="3" t="n">
        <v>-0.8683360815048218</v>
      </c>
      <c r="L750" s="3" t="n">
        <v>-0.7853782176971436</v>
      </c>
      <c r="M750" s="3" t="n">
        <v>-0.7853782176971436</v>
      </c>
      <c r="N750" s="3" t="n">
        <v>-0.7853782176971436</v>
      </c>
      <c r="O750" s="3" t="n">
        <v>-0.7853782176971436</v>
      </c>
      <c r="P750" s="3" t="n">
        <v>-0.7853782176971436</v>
      </c>
      <c r="Q750" s="3" t="n">
        <v>-0.7853782176971436</v>
      </c>
      <c r="R750" s="3" t="n">
        <v>-0.7722538709640503</v>
      </c>
      <c r="S750" s="3" t="n">
        <v>-1.069863438606262</v>
      </c>
      <c r="T750" s="3" t="n">
        <v>-0.7090408802032471</v>
      </c>
      <c r="U750" s="3" t="n">
        <v>-0.8683360815048218</v>
      </c>
      <c r="V750" s="3" t="n">
        <v>-0.6797019243240356</v>
      </c>
      <c r="W750" s="3" t="n">
        <v>-0.5626747608184814</v>
      </c>
      <c r="X750" s="3" t="n">
        <v>-1.064613103866577</v>
      </c>
      <c r="Y750" s="3" t="n">
        <v>-0.7853782176971436</v>
      </c>
      <c r="Z750" s="3" t="n">
        <v>-1.069863438606262</v>
      </c>
      <c r="AA750" s="3" t="n">
        <v>-1.069863438606262</v>
      </c>
      <c r="AB750" s="3" t="n">
        <v>-1.064613103866577</v>
      </c>
      <c r="AC750" s="3" t="n">
        <v>-1.233341813087463</v>
      </c>
      <c r="AD750" s="3" t="n">
        <v>-0.8683360815048218</v>
      </c>
      <c r="AE750" s="3" t="n">
        <v>-0.8683360815048218</v>
      </c>
    </row>
    <row r="751">
      <c r="A751" s="3" t="inlineStr">
        <is>
          <t>GAB.distn.bkt.ove.mean.9999</t>
        </is>
      </c>
      <c r="B751" s="3" t="inlineStr">
        <is>
          <t>GAB</t>
        </is>
      </c>
      <c r="C751" s="3" t="n">
        <v>2005</v>
      </c>
      <c r="D751" s="3" t="inlineStr">
        <is>
          <t>Overall</t>
        </is>
      </c>
      <c r="E751" s="3" t="inlineStr">
        <is>
          <t>Basket</t>
        </is>
      </c>
      <c r="F751" s="3" t="inlineStr">
        <is>
          <t>mean</t>
        </is>
      </c>
      <c r="G751" s="3" t="n">
        <v>9999</v>
      </c>
      <c r="H751" s="3" t="n">
        <v>-0.7869929671287537</v>
      </c>
      <c r="I751" s="3" t="n">
        <v>-0.7869929671287537</v>
      </c>
      <c r="J751" s="3" t="n">
        <v>-0.8798920512199402</v>
      </c>
      <c r="K751" s="3" t="n">
        <v>-0.8798920512199402</v>
      </c>
      <c r="L751" s="3" t="n">
        <v>-0.7869929671287537</v>
      </c>
      <c r="M751" s="3" t="n">
        <v>-0.7869929671287537</v>
      </c>
      <c r="N751" s="3" t="n">
        <v>-0.7869929671287537</v>
      </c>
      <c r="O751" s="3" t="n">
        <v>-0.7869929671287537</v>
      </c>
      <c r="P751" s="3" t="n">
        <v>-0.7869929671287537</v>
      </c>
      <c r="Q751" s="3" t="n">
        <v>-0.7869929671287537</v>
      </c>
      <c r="R751" s="3" t="n">
        <v>-0.773120105266571</v>
      </c>
      <c r="S751" s="3" t="n">
        <v>-1.211843252182007</v>
      </c>
      <c r="T751" s="3" t="n">
        <v>-0.7094486355781555</v>
      </c>
      <c r="U751" s="3" t="n">
        <v>-0.8798920512199402</v>
      </c>
      <c r="V751" s="3" t="n">
        <v>-0.6813032627105713</v>
      </c>
      <c r="W751" s="3" t="n">
        <v>-0.5833432078361511</v>
      </c>
      <c r="X751" s="3" t="n">
        <v>-1.189852476119995</v>
      </c>
      <c r="Y751" s="3" t="n">
        <v>-0.7869929671287537</v>
      </c>
      <c r="Z751" s="3" t="n">
        <v>-1.211843252182007</v>
      </c>
      <c r="AA751" s="3" t="n">
        <v>-1.211843252182007</v>
      </c>
      <c r="AB751" s="3" t="n">
        <v>-1.189852476119995</v>
      </c>
      <c r="AC751" s="3" t="n">
        <v>-1.61180317401886</v>
      </c>
      <c r="AD751" s="3" t="n">
        <v>-0.8798920512199402</v>
      </c>
      <c r="AE751" s="3" t="n">
        <v>-0.8798920512199402</v>
      </c>
    </row>
    <row r="752">
      <c r="A752" s="3" t="inlineStr">
        <is>
          <t>GBR.distn.dec.ove.mean.1</t>
        </is>
      </c>
      <c r="B752" s="3" t="inlineStr">
        <is>
          <t>GBR</t>
        </is>
      </c>
      <c r="C752" s="3" t="n">
        <v>2005</v>
      </c>
      <c r="D752" s="3" t="inlineStr">
        <is>
          <t>Overall</t>
        </is>
      </c>
      <c r="E752" s="3" t="inlineStr">
        <is>
          <t>Deciles</t>
        </is>
      </c>
      <c r="F752" s="3" t="inlineStr">
        <is>
          <t>mean</t>
        </is>
      </c>
      <c r="G752" s="3" t="n">
        <v>1</v>
      </c>
      <c r="H752" s="3" t="n">
        <v>-0.7872329354286194</v>
      </c>
      <c r="I752" s="3" t="n">
        <v>-0.7872329354286194</v>
      </c>
      <c r="J752" s="3" t="n">
        <v>-0.8858028650283813</v>
      </c>
      <c r="K752" s="3" t="n">
        <v>-0.8858028650283813</v>
      </c>
      <c r="L752" s="3" t="n">
        <v>-0.7872329354286194</v>
      </c>
      <c r="M752" s="3" t="n">
        <v>-0.7872329354286194</v>
      </c>
      <c r="N752" s="3" t="n">
        <v>-0.7872329354286194</v>
      </c>
      <c r="O752" s="3" t="n">
        <v>-0.7872329354286194</v>
      </c>
      <c r="P752" s="3" t="n">
        <v>-0.7872329354286194</v>
      </c>
      <c r="Q752" s="3" t="n">
        <v>-0.7872329354286194</v>
      </c>
      <c r="R752" s="3" t="n">
        <v>-0.7734707593917847</v>
      </c>
      <c r="S752" s="3" t="n">
        <v>-1.393311619758606</v>
      </c>
      <c r="T752" s="3" t="n">
        <v>-0.7094525694847107</v>
      </c>
      <c r="U752" s="3" t="n">
        <v>-0.8858028650283813</v>
      </c>
      <c r="V752" s="3" t="n">
        <v>-0.6809241771697998</v>
      </c>
      <c r="W752" s="3" t="n">
        <v>-0.5596442222595215</v>
      </c>
      <c r="X752" s="3" t="n">
        <v>-1.341863393783569</v>
      </c>
      <c r="Y752" s="3" t="n">
        <v>-0.7872329354286194</v>
      </c>
      <c r="Z752" s="3" t="n">
        <v>-1.393311619758606</v>
      </c>
      <c r="AA752" s="3" t="n">
        <v>-1.393311619758606</v>
      </c>
      <c r="AB752" s="3" t="n">
        <v>-1.341863393783569</v>
      </c>
      <c r="AC752" s="3" t="n">
        <v>-2.085220336914062</v>
      </c>
      <c r="AD752" s="3" t="n">
        <v>-0.8858028650283813</v>
      </c>
      <c r="AE752" s="3" t="n">
        <v>-0.8858028650283813</v>
      </c>
    </row>
    <row r="753">
      <c r="A753" s="3" t="inlineStr">
        <is>
          <t>GBR.distn.dec.ove.mean.2</t>
        </is>
      </c>
      <c r="B753" s="3" t="inlineStr">
        <is>
          <t>GBR</t>
        </is>
      </c>
      <c r="C753" s="3" t="n">
        <v>2005</v>
      </c>
      <c r="D753" s="3" t="inlineStr">
        <is>
          <t>Overall</t>
        </is>
      </c>
      <c r="E753" s="3" t="inlineStr">
        <is>
          <t>Deciles</t>
        </is>
      </c>
      <c r="F753" s="3" t="inlineStr">
        <is>
          <t>mean</t>
        </is>
      </c>
      <c r="G753" s="3" t="n">
        <v>2</v>
      </c>
      <c r="H753" s="3" t="n">
        <v>-0.7872329354286194</v>
      </c>
      <c r="I753" s="3" t="n">
        <v>-0.7872329354286194</v>
      </c>
      <c r="J753" s="3" t="n">
        <v>-0.8858028650283813</v>
      </c>
      <c r="K753" s="3" t="n">
        <v>-0.8858028650283813</v>
      </c>
      <c r="L753" s="3" t="n">
        <v>-0.7872329354286194</v>
      </c>
      <c r="M753" s="3" t="n">
        <v>-0.7872329354286194</v>
      </c>
      <c r="N753" s="3" t="n">
        <v>-0.7872329354286194</v>
      </c>
      <c r="O753" s="3" t="n">
        <v>-0.7872329354286194</v>
      </c>
      <c r="P753" s="3" t="n">
        <v>-0.7872329354286194</v>
      </c>
      <c r="Q753" s="3" t="n">
        <v>-0.7872329354286194</v>
      </c>
      <c r="R753" s="3" t="n">
        <v>-0.7734707593917847</v>
      </c>
      <c r="S753" s="3" t="n">
        <v>-1.393311619758606</v>
      </c>
      <c r="T753" s="3" t="n">
        <v>-0.7094525694847107</v>
      </c>
      <c r="U753" s="3" t="n">
        <v>-0.8858028650283813</v>
      </c>
      <c r="V753" s="3" t="n">
        <v>-0.6809241771697998</v>
      </c>
      <c r="W753" s="3" t="n">
        <v>-0.5596442222595215</v>
      </c>
      <c r="X753" s="3" t="n">
        <v>-1.341863393783569</v>
      </c>
      <c r="Y753" s="3" t="n">
        <v>-0.7872329354286194</v>
      </c>
      <c r="Z753" s="3" t="n">
        <v>-1.393311619758606</v>
      </c>
      <c r="AA753" s="3" t="n">
        <v>-1.393311619758606</v>
      </c>
      <c r="AB753" s="3" t="n">
        <v>-1.341863393783569</v>
      </c>
      <c r="AC753" s="3" t="n">
        <v>-2.085220336914062</v>
      </c>
      <c r="AD753" s="3" t="n">
        <v>-0.8858028650283813</v>
      </c>
      <c r="AE753" s="3" t="n">
        <v>-0.8858028650283813</v>
      </c>
    </row>
    <row r="754">
      <c r="A754" s="3" t="inlineStr">
        <is>
          <t>GBR.distn.dec.ove.mean.3</t>
        </is>
      </c>
      <c r="B754" s="3" t="inlineStr">
        <is>
          <t>GBR</t>
        </is>
      </c>
      <c r="C754" s="3" t="n">
        <v>2005</v>
      </c>
      <c r="D754" s="3" t="inlineStr">
        <is>
          <t>Overall</t>
        </is>
      </c>
      <c r="E754" s="3" t="inlineStr">
        <is>
          <t>Deciles</t>
        </is>
      </c>
      <c r="F754" s="3" t="inlineStr">
        <is>
          <t>mean</t>
        </is>
      </c>
      <c r="G754" s="3" t="n">
        <v>3</v>
      </c>
      <c r="H754" s="3" t="n">
        <v>-0.7872329354286194</v>
      </c>
      <c r="I754" s="3" t="n">
        <v>-0.7872329354286194</v>
      </c>
      <c r="J754" s="3" t="n">
        <v>-0.8858028650283813</v>
      </c>
      <c r="K754" s="3" t="n">
        <v>-0.8858028650283813</v>
      </c>
      <c r="L754" s="3" t="n">
        <v>-0.7872329354286194</v>
      </c>
      <c r="M754" s="3" t="n">
        <v>-0.7872329354286194</v>
      </c>
      <c r="N754" s="3" t="n">
        <v>-0.7872329354286194</v>
      </c>
      <c r="O754" s="3" t="n">
        <v>-0.7872329354286194</v>
      </c>
      <c r="P754" s="3" t="n">
        <v>-0.7872329354286194</v>
      </c>
      <c r="Q754" s="3" t="n">
        <v>-0.7872329354286194</v>
      </c>
      <c r="R754" s="3" t="n">
        <v>-0.7734707593917847</v>
      </c>
      <c r="S754" s="3" t="n">
        <v>-1.393311619758606</v>
      </c>
      <c r="T754" s="3" t="n">
        <v>-0.7094525694847107</v>
      </c>
      <c r="U754" s="3" t="n">
        <v>-0.8858028650283813</v>
      </c>
      <c r="V754" s="3" t="n">
        <v>-0.6809241771697998</v>
      </c>
      <c r="W754" s="3" t="n">
        <v>-0.5596442222595215</v>
      </c>
      <c r="X754" s="3" t="n">
        <v>-1.341863393783569</v>
      </c>
      <c r="Y754" s="3" t="n">
        <v>-0.7872329354286194</v>
      </c>
      <c r="Z754" s="3" t="n">
        <v>-1.393311619758606</v>
      </c>
      <c r="AA754" s="3" t="n">
        <v>-1.393311619758606</v>
      </c>
      <c r="AB754" s="3" t="n">
        <v>-1.341863393783569</v>
      </c>
      <c r="AC754" s="3" t="n">
        <v>-2.085220336914062</v>
      </c>
      <c r="AD754" s="3" t="n">
        <v>-0.8858028650283813</v>
      </c>
      <c r="AE754" s="3" t="n">
        <v>-0.8858028650283813</v>
      </c>
    </row>
    <row r="755">
      <c r="A755" s="3" t="inlineStr">
        <is>
          <t>GBR.distn.dec.ove.mean.4</t>
        </is>
      </c>
      <c r="B755" s="3" t="inlineStr">
        <is>
          <t>GBR</t>
        </is>
      </c>
      <c r="C755" s="3" t="n">
        <v>2005</v>
      </c>
      <c r="D755" s="3" t="inlineStr">
        <is>
          <t>Overall</t>
        </is>
      </c>
      <c r="E755" s="3" t="inlineStr">
        <is>
          <t>Deciles</t>
        </is>
      </c>
      <c r="F755" s="3" t="inlineStr">
        <is>
          <t>mean</t>
        </is>
      </c>
      <c r="G755" s="3" t="n">
        <v>4</v>
      </c>
      <c r="H755" s="3" t="n">
        <v>-0.781000018119812</v>
      </c>
      <c r="I755" s="3" t="n">
        <v>-0.781000018119812</v>
      </c>
      <c r="J755" s="3" t="n">
        <v>-0.8429999947547913</v>
      </c>
      <c r="K755" s="3" t="n">
        <v>-0.8429999947547913</v>
      </c>
      <c r="L755" s="3" t="n">
        <v>-0.781000018119812</v>
      </c>
      <c r="M755" s="3" t="n">
        <v>-0.781000018119812</v>
      </c>
      <c r="N755" s="3" t="n">
        <v>-0.781000018119812</v>
      </c>
      <c r="O755" s="3" t="n">
        <v>-0.781000018119812</v>
      </c>
      <c r="P755" s="3" t="n">
        <v>-0.781000018119812</v>
      </c>
      <c r="Q755" s="3" t="n">
        <v>-0.781000018119812</v>
      </c>
      <c r="R755" s="3" t="n">
        <v>-0.7699999809265137</v>
      </c>
      <c r="S755" s="3" t="n">
        <v>-0.9490000009536743</v>
      </c>
      <c r="T755" s="3" t="n">
        <v>-0.7080000042915344</v>
      </c>
      <c r="U755" s="3" t="n">
        <v>-0.8429999947547913</v>
      </c>
      <c r="V755" s="3" t="n">
        <v>-0.6740000247955322</v>
      </c>
      <c r="W755" s="3" t="n">
        <v>-0.4709999859333038</v>
      </c>
      <c r="X755" s="3" t="n">
        <v>-0.9470000267028809</v>
      </c>
      <c r="Y755" s="3" t="n">
        <v>-0.781000018119812</v>
      </c>
      <c r="Z755" s="3" t="n">
        <v>-0.9490000009536743</v>
      </c>
      <c r="AA755" s="3" t="n">
        <v>-0.9490000009536743</v>
      </c>
      <c r="AB755" s="3" t="n">
        <v>-0.9470000267028809</v>
      </c>
      <c r="AC755" s="3" t="n">
        <v>-1.006999969482422</v>
      </c>
      <c r="AD755" s="3" t="n">
        <v>-0.8429999947547913</v>
      </c>
      <c r="AE755" s="3" t="n">
        <v>-0.8429999947547913</v>
      </c>
    </row>
    <row r="756">
      <c r="A756" s="3" t="inlineStr">
        <is>
          <t>GBR.distn.dec.ove.mean.5</t>
        </is>
      </c>
      <c r="B756" s="3" t="inlineStr">
        <is>
          <t>GBR</t>
        </is>
      </c>
      <c r="C756" s="3" t="n">
        <v>2005</v>
      </c>
      <c r="D756" s="3" t="inlineStr">
        <is>
          <t>Overall</t>
        </is>
      </c>
      <c r="E756" s="3" t="inlineStr">
        <is>
          <t>Deciles</t>
        </is>
      </c>
      <c r="F756" s="3" t="inlineStr">
        <is>
          <t>mean</t>
        </is>
      </c>
      <c r="G756" s="3" t="n">
        <v>5</v>
      </c>
      <c r="H756" s="3" t="n">
        <v>-0.781000018119812</v>
      </c>
      <c r="I756" s="3" t="n">
        <v>-0.781000018119812</v>
      </c>
      <c r="J756" s="3" t="n">
        <v>-0.8429999947547913</v>
      </c>
      <c r="K756" s="3" t="n">
        <v>-0.8429999947547913</v>
      </c>
      <c r="L756" s="3" t="n">
        <v>-0.781000018119812</v>
      </c>
      <c r="M756" s="3" t="n">
        <v>-0.781000018119812</v>
      </c>
      <c r="N756" s="3" t="n">
        <v>-0.781000018119812</v>
      </c>
      <c r="O756" s="3" t="n">
        <v>-0.781000018119812</v>
      </c>
      <c r="P756" s="3" t="n">
        <v>-0.781000018119812</v>
      </c>
      <c r="Q756" s="3" t="n">
        <v>-0.781000018119812</v>
      </c>
      <c r="R756" s="3" t="n">
        <v>-0.7699999809265137</v>
      </c>
      <c r="S756" s="3" t="n">
        <v>-0.9490000009536743</v>
      </c>
      <c r="T756" s="3" t="n">
        <v>-0.7080000042915344</v>
      </c>
      <c r="U756" s="3" t="n">
        <v>-0.8429999947547913</v>
      </c>
      <c r="V756" s="3" t="n">
        <v>-0.6740000247955322</v>
      </c>
      <c r="W756" s="3" t="n">
        <v>-0.4709999859333038</v>
      </c>
      <c r="X756" s="3" t="n">
        <v>-0.9470000267028809</v>
      </c>
      <c r="Y756" s="3" t="n">
        <v>-0.781000018119812</v>
      </c>
      <c r="Z756" s="3" t="n">
        <v>-0.9490000009536743</v>
      </c>
      <c r="AA756" s="3" t="n">
        <v>-0.9490000009536743</v>
      </c>
      <c r="AB756" s="3" t="n">
        <v>-0.9470000267028809</v>
      </c>
      <c r="AC756" s="3" t="n">
        <v>-1.006999969482422</v>
      </c>
      <c r="AD756" s="3" t="n">
        <v>-0.8429999947547913</v>
      </c>
      <c r="AE756" s="3" t="n">
        <v>-0.8429999947547913</v>
      </c>
    </row>
    <row r="757">
      <c r="A757" s="3" t="inlineStr">
        <is>
          <t>GBR.distn.dec.ove.mean.6</t>
        </is>
      </c>
      <c r="B757" s="3" t="inlineStr">
        <is>
          <t>GBR</t>
        </is>
      </c>
      <c r="C757" s="3" t="n">
        <v>2005</v>
      </c>
      <c r="D757" s="3" t="inlineStr">
        <is>
          <t>Overall</t>
        </is>
      </c>
      <c r="E757" s="3" t="inlineStr">
        <is>
          <t>Deciles</t>
        </is>
      </c>
      <c r="F757" s="3" t="inlineStr">
        <is>
          <t>mean</t>
        </is>
      </c>
      <c r="G757" s="3" t="n">
        <v>6</v>
      </c>
      <c r="H757" s="3" t="n">
        <v>-0.781000018119812</v>
      </c>
      <c r="I757" s="3" t="n">
        <v>-0.781000018119812</v>
      </c>
      <c r="J757" s="3" t="n">
        <v>-0.8429999947547913</v>
      </c>
      <c r="K757" s="3" t="n">
        <v>-0.8429999947547913</v>
      </c>
      <c r="L757" s="3" t="n">
        <v>-0.781000018119812</v>
      </c>
      <c r="M757" s="3" t="n">
        <v>-0.781000018119812</v>
      </c>
      <c r="N757" s="3" t="n">
        <v>-0.781000018119812</v>
      </c>
      <c r="O757" s="3" t="n">
        <v>-0.781000018119812</v>
      </c>
      <c r="P757" s="3" t="n">
        <v>-0.781000018119812</v>
      </c>
      <c r="Q757" s="3" t="n">
        <v>-0.781000018119812</v>
      </c>
      <c r="R757" s="3" t="n">
        <v>-0.7699999809265137</v>
      </c>
      <c r="S757" s="3" t="n">
        <v>-0.9490000009536743</v>
      </c>
      <c r="T757" s="3" t="n">
        <v>-0.7080000042915344</v>
      </c>
      <c r="U757" s="3" t="n">
        <v>-0.8429999947547913</v>
      </c>
      <c r="V757" s="3" t="n">
        <v>-0.6740000247955322</v>
      </c>
      <c r="W757" s="3" t="n">
        <v>-0.4709999859333038</v>
      </c>
      <c r="X757" s="3" t="n">
        <v>-0.9470000267028809</v>
      </c>
      <c r="Y757" s="3" t="n">
        <v>-0.781000018119812</v>
      </c>
      <c r="Z757" s="3" t="n">
        <v>-0.9490000009536743</v>
      </c>
      <c r="AA757" s="3" t="n">
        <v>-0.9490000009536743</v>
      </c>
      <c r="AB757" s="3" t="n">
        <v>-0.9470000267028809</v>
      </c>
      <c r="AC757" s="3" t="n">
        <v>-1.006999969482422</v>
      </c>
      <c r="AD757" s="3" t="n">
        <v>-0.8429999947547913</v>
      </c>
      <c r="AE757" s="3" t="n">
        <v>-0.8429999947547913</v>
      </c>
    </row>
    <row r="758">
      <c r="A758" s="3" t="inlineStr">
        <is>
          <t>GBR.distn.dec.ove.mean.7</t>
        </is>
      </c>
      <c r="B758" s="3" t="inlineStr">
        <is>
          <t>GBR</t>
        </is>
      </c>
      <c r="C758" s="3" t="n">
        <v>2005</v>
      </c>
      <c r="D758" s="3" t="inlineStr">
        <is>
          <t>Overall</t>
        </is>
      </c>
      <c r="E758" s="3" t="inlineStr">
        <is>
          <t>Deciles</t>
        </is>
      </c>
      <c r="F758" s="3" t="inlineStr">
        <is>
          <t>mean</t>
        </is>
      </c>
      <c r="G758" s="3" t="n">
        <v>7</v>
      </c>
      <c r="H758" s="3" t="n">
        <v>-0.781000018119812</v>
      </c>
      <c r="I758" s="3" t="n">
        <v>-0.781000018119812</v>
      </c>
      <c r="J758" s="3" t="n">
        <v>-0.8429999947547913</v>
      </c>
      <c r="K758" s="3" t="n">
        <v>-0.8429999947547913</v>
      </c>
      <c r="L758" s="3" t="n">
        <v>-0.781000018119812</v>
      </c>
      <c r="M758" s="3" t="n">
        <v>-0.781000018119812</v>
      </c>
      <c r="N758" s="3" t="n">
        <v>-0.781000018119812</v>
      </c>
      <c r="O758" s="3" t="n">
        <v>-0.781000018119812</v>
      </c>
      <c r="P758" s="3" t="n">
        <v>-0.781000018119812</v>
      </c>
      <c r="Q758" s="3" t="n">
        <v>-0.781000018119812</v>
      </c>
      <c r="R758" s="3" t="n">
        <v>-0.7699999809265137</v>
      </c>
      <c r="S758" s="3" t="n">
        <v>-0.9490000009536743</v>
      </c>
      <c r="T758" s="3" t="n">
        <v>-0.7080000042915344</v>
      </c>
      <c r="U758" s="3" t="n">
        <v>-0.8429999947547913</v>
      </c>
      <c r="V758" s="3" t="n">
        <v>-0.6740000247955322</v>
      </c>
      <c r="W758" s="3" t="n">
        <v>-0.4709999859333038</v>
      </c>
      <c r="X758" s="3" t="n">
        <v>-0.9470000267028809</v>
      </c>
      <c r="Y758" s="3" t="n">
        <v>-0.781000018119812</v>
      </c>
      <c r="Z758" s="3" t="n">
        <v>-0.9490000009536743</v>
      </c>
      <c r="AA758" s="3" t="n">
        <v>-0.9490000009536743</v>
      </c>
      <c r="AB758" s="3" t="n">
        <v>-0.9470000267028809</v>
      </c>
      <c r="AC758" s="3" t="n">
        <v>-1.006999969482422</v>
      </c>
      <c r="AD758" s="3" t="n">
        <v>-0.8429999947547913</v>
      </c>
      <c r="AE758" s="3" t="n">
        <v>-0.8429999947547913</v>
      </c>
    </row>
    <row r="759">
      <c r="A759" s="3" t="inlineStr">
        <is>
          <t>GBR.distn.dec.ove.mean.8</t>
        </is>
      </c>
      <c r="B759" s="3" t="inlineStr">
        <is>
          <t>GBR</t>
        </is>
      </c>
      <c r="C759" s="3" t="n">
        <v>2005</v>
      </c>
      <c r="D759" s="3" t="inlineStr">
        <is>
          <t>Overall</t>
        </is>
      </c>
      <c r="E759" s="3" t="inlineStr">
        <is>
          <t>Deciles</t>
        </is>
      </c>
      <c r="F759" s="3" t="inlineStr">
        <is>
          <t>mean</t>
        </is>
      </c>
      <c r="G759" s="3" t="n">
        <v>8</v>
      </c>
      <c r="H759" s="3" t="n">
        <v>-0.7813762426376343</v>
      </c>
      <c r="I759" s="3" t="n">
        <v>-0.7813762426376343</v>
      </c>
      <c r="J759" s="3" t="n">
        <v>-0.8452740907669067</v>
      </c>
      <c r="K759" s="3" t="n">
        <v>-0.8452740907669067</v>
      </c>
      <c r="L759" s="3" t="n">
        <v>-0.7813762426376343</v>
      </c>
      <c r="M759" s="3" t="n">
        <v>-0.7813762426376343</v>
      </c>
      <c r="N759" s="3" t="n">
        <v>-0.7813762426376343</v>
      </c>
      <c r="O759" s="3" t="n">
        <v>-0.7813762426376343</v>
      </c>
      <c r="P759" s="3" t="n">
        <v>-0.7813762426376343</v>
      </c>
      <c r="Q759" s="3" t="n">
        <v>-0.7813762426376343</v>
      </c>
      <c r="R759" s="3" t="n">
        <v>-0.7702532410621643</v>
      </c>
      <c r="S759" s="3" t="n">
        <v>-0.957830548286438</v>
      </c>
      <c r="T759" s="3" t="n">
        <v>-0.7080408334732056</v>
      </c>
      <c r="U759" s="3" t="n">
        <v>-0.8452740907669067</v>
      </c>
      <c r="V759" s="3" t="n">
        <v>-0.6746967434883118</v>
      </c>
      <c r="W759" s="3" t="n">
        <v>-0.4836128056049347</v>
      </c>
      <c r="X759" s="3" t="n">
        <v>-0.9556290507316589</v>
      </c>
      <c r="Y759" s="3" t="n">
        <v>-0.7813762426376343</v>
      </c>
      <c r="Z759" s="3" t="n">
        <v>-0.957830548286438</v>
      </c>
      <c r="AA759" s="3" t="n">
        <v>-0.957830548286438</v>
      </c>
      <c r="AB759" s="3" t="n">
        <v>-0.9556290507316589</v>
      </c>
      <c r="AC759" s="3" t="n">
        <v>-1.021361112594604</v>
      </c>
      <c r="AD759" s="3" t="n">
        <v>-0.8452740907669067</v>
      </c>
      <c r="AE759" s="3" t="n">
        <v>-0.8452740907669067</v>
      </c>
    </row>
    <row r="760">
      <c r="A760" s="3" t="inlineStr">
        <is>
          <t>GBR.distn.dec.ove.mean.9</t>
        </is>
      </c>
      <c r="B760" s="3" t="inlineStr">
        <is>
          <t>GBR</t>
        </is>
      </c>
      <c r="C760" s="3" t="n">
        <v>2005</v>
      </c>
      <c r="D760" s="3" t="inlineStr">
        <is>
          <t>Overall</t>
        </is>
      </c>
      <c r="E760" s="3" t="inlineStr">
        <is>
          <t>Deciles</t>
        </is>
      </c>
      <c r="F760" s="3" t="inlineStr">
        <is>
          <t>mean</t>
        </is>
      </c>
      <c r="G760" s="3" t="n">
        <v>9</v>
      </c>
      <c r="H760" s="3" t="n">
        <v>-0.7813762426376343</v>
      </c>
      <c r="I760" s="3" t="n">
        <v>-0.7813762426376343</v>
      </c>
      <c r="J760" s="3" t="n">
        <v>-0.8452740907669067</v>
      </c>
      <c r="K760" s="3" t="n">
        <v>-0.8452740907669067</v>
      </c>
      <c r="L760" s="3" t="n">
        <v>-0.7813762426376343</v>
      </c>
      <c r="M760" s="3" t="n">
        <v>-0.7813762426376343</v>
      </c>
      <c r="N760" s="3" t="n">
        <v>-0.7813762426376343</v>
      </c>
      <c r="O760" s="3" t="n">
        <v>-0.7813762426376343</v>
      </c>
      <c r="P760" s="3" t="n">
        <v>-0.7813762426376343</v>
      </c>
      <c r="Q760" s="3" t="n">
        <v>-0.7813762426376343</v>
      </c>
      <c r="R760" s="3" t="n">
        <v>-0.7702532410621643</v>
      </c>
      <c r="S760" s="3" t="n">
        <v>-0.957830548286438</v>
      </c>
      <c r="T760" s="3" t="n">
        <v>-0.7080408334732056</v>
      </c>
      <c r="U760" s="3" t="n">
        <v>-0.8452740907669067</v>
      </c>
      <c r="V760" s="3" t="n">
        <v>-0.6746967434883118</v>
      </c>
      <c r="W760" s="3" t="n">
        <v>-0.4836128056049347</v>
      </c>
      <c r="X760" s="3" t="n">
        <v>-0.9556290507316589</v>
      </c>
      <c r="Y760" s="3" t="n">
        <v>-0.7813762426376343</v>
      </c>
      <c r="Z760" s="3" t="n">
        <v>-0.957830548286438</v>
      </c>
      <c r="AA760" s="3" t="n">
        <v>-0.957830548286438</v>
      </c>
      <c r="AB760" s="3" t="n">
        <v>-0.9556290507316589</v>
      </c>
      <c r="AC760" s="3" t="n">
        <v>-1.021361112594604</v>
      </c>
      <c r="AD760" s="3" t="n">
        <v>-0.8452740907669067</v>
      </c>
      <c r="AE760" s="3" t="n">
        <v>-0.8452740907669067</v>
      </c>
    </row>
    <row r="761">
      <c r="A761" s="3" t="inlineStr">
        <is>
          <t>GBR.distn.dec.ove.mean.10</t>
        </is>
      </c>
      <c r="B761" s="3" t="inlineStr">
        <is>
          <t>GBR</t>
        </is>
      </c>
      <c r="C761" s="3" t="n">
        <v>2005</v>
      </c>
      <c r="D761" s="3" t="inlineStr">
        <is>
          <t>Overall</t>
        </is>
      </c>
      <c r="E761" s="3" t="inlineStr">
        <is>
          <t>Deciles</t>
        </is>
      </c>
      <c r="F761" s="3" t="inlineStr">
        <is>
          <t>mean</t>
        </is>
      </c>
      <c r="G761" s="3" t="n">
        <v>10</v>
      </c>
      <c r="H761" s="3" t="n">
        <v>-0.7813762426376343</v>
      </c>
      <c r="I761" s="3" t="n">
        <v>-0.7813762426376343</v>
      </c>
      <c r="J761" s="3" t="n">
        <v>-0.8452740907669067</v>
      </c>
      <c r="K761" s="3" t="n">
        <v>-0.8452740907669067</v>
      </c>
      <c r="L761" s="3" t="n">
        <v>-0.7813762426376343</v>
      </c>
      <c r="M761" s="3" t="n">
        <v>-0.7813762426376343</v>
      </c>
      <c r="N761" s="3" t="n">
        <v>-0.7813762426376343</v>
      </c>
      <c r="O761" s="3" t="n">
        <v>-0.7813762426376343</v>
      </c>
      <c r="P761" s="3" t="n">
        <v>-0.7813762426376343</v>
      </c>
      <c r="Q761" s="3" t="n">
        <v>-0.7813762426376343</v>
      </c>
      <c r="R761" s="3" t="n">
        <v>-0.7702532410621643</v>
      </c>
      <c r="S761" s="3" t="n">
        <v>-0.957830548286438</v>
      </c>
      <c r="T761" s="3" t="n">
        <v>-0.7080408334732056</v>
      </c>
      <c r="U761" s="3" t="n">
        <v>-0.8452740907669067</v>
      </c>
      <c r="V761" s="3" t="n">
        <v>-0.6746967434883118</v>
      </c>
      <c r="W761" s="3" t="n">
        <v>-0.4836128056049347</v>
      </c>
      <c r="X761" s="3" t="n">
        <v>-0.9556290507316589</v>
      </c>
      <c r="Y761" s="3" t="n">
        <v>-0.7813762426376343</v>
      </c>
      <c r="Z761" s="3" t="n">
        <v>-0.957830548286438</v>
      </c>
      <c r="AA761" s="3" t="n">
        <v>-0.957830548286438</v>
      </c>
      <c r="AB761" s="3" t="n">
        <v>-0.9556290507316589</v>
      </c>
      <c r="AC761" s="3" t="n">
        <v>-1.021361112594604</v>
      </c>
      <c r="AD761" s="3" t="n">
        <v>-0.8452740907669067</v>
      </c>
      <c r="AE761" s="3" t="n">
        <v>-0.8452740907669067</v>
      </c>
    </row>
    <row r="762">
      <c r="A762" s="3" t="inlineStr">
        <is>
          <t>GBR.distn.bkt.ove.mean.9999</t>
        </is>
      </c>
      <c r="B762" s="3" t="inlineStr">
        <is>
          <t>GBR</t>
        </is>
      </c>
      <c r="C762" s="3" t="n">
        <v>2005</v>
      </c>
      <c r="D762" s="3" t="inlineStr">
        <is>
          <t>Overall</t>
        </is>
      </c>
      <c r="E762" s="3" t="inlineStr">
        <is>
          <t>Basket</t>
        </is>
      </c>
      <c r="F762" s="3" t="inlineStr">
        <is>
          <t>mean</t>
        </is>
      </c>
      <c r="G762" s="3" t="n">
        <v>9999</v>
      </c>
      <c r="H762" s="3" t="n">
        <v>-0.7829827666282654</v>
      </c>
      <c r="I762" s="3" t="n">
        <v>-0.7829827666282654</v>
      </c>
      <c r="J762" s="3" t="n">
        <v>-0.8565230965614319</v>
      </c>
      <c r="K762" s="3" t="n">
        <v>-0.8565230965614319</v>
      </c>
      <c r="L762" s="3" t="n">
        <v>-0.7829827666282654</v>
      </c>
      <c r="M762" s="3" t="n">
        <v>-0.7829827666282654</v>
      </c>
      <c r="N762" s="3" t="n">
        <v>-0.7829827666282654</v>
      </c>
      <c r="O762" s="3" t="n">
        <v>-0.7829827666282654</v>
      </c>
      <c r="P762" s="3" t="n">
        <v>-0.7829827666282654</v>
      </c>
      <c r="Q762" s="3" t="n">
        <v>-0.7829827666282654</v>
      </c>
      <c r="R762" s="3" t="n">
        <v>-0.7711172103881836</v>
      </c>
      <c r="S762" s="3" t="n">
        <v>-1.084942698478699</v>
      </c>
      <c r="T762" s="3" t="n">
        <v>-0.708448052406311</v>
      </c>
      <c r="U762" s="3" t="n">
        <v>-0.8565230965614319</v>
      </c>
      <c r="V762" s="3" t="n">
        <v>-0.6762862801551819</v>
      </c>
      <c r="W762" s="3" t="n">
        <v>-0.5013771057128906</v>
      </c>
      <c r="X762" s="3" t="n">
        <v>-1.068047761917114</v>
      </c>
      <c r="Y762" s="3" t="n">
        <v>-0.7829827666282654</v>
      </c>
      <c r="Z762" s="3" t="n">
        <v>-1.084942698478699</v>
      </c>
      <c r="AA762" s="3" t="n">
        <v>-1.084942698478699</v>
      </c>
      <c r="AB762" s="3" t="n">
        <v>-1.068047761917114</v>
      </c>
      <c r="AC762" s="3" t="n">
        <v>-1.334774374961853</v>
      </c>
      <c r="AD762" s="3" t="n">
        <v>-0.8565230965614319</v>
      </c>
      <c r="AE762" s="3" t="n">
        <v>-0.8565230965614319</v>
      </c>
    </row>
    <row r="763">
      <c r="A763" s="3" t="inlineStr">
        <is>
          <t>GEO.distn.dec.ove.mean.1</t>
        </is>
      </c>
      <c r="B763" s="3" t="inlineStr">
        <is>
          <t>GEO</t>
        </is>
      </c>
      <c r="C763" s="3" t="n">
        <v>2005</v>
      </c>
      <c r="D763" s="3" t="inlineStr">
        <is>
          <t>Overall</t>
        </is>
      </c>
      <c r="E763" s="3" t="inlineStr">
        <is>
          <t>Deciles</t>
        </is>
      </c>
      <c r="F763" s="3" t="inlineStr">
        <is>
          <t>mean</t>
        </is>
      </c>
      <c r="G763" s="3" t="n">
        <v>1</v>
      </c>
      <c r="H763" s="3" t="n">
        <v>-0.7902569174766541</v>
      </c>
      <c r="I763" s="3" t="n">
        <v>-0.7902569174766541</v>
      </c>
      <c r="J763" s="3" t="n">
        <v>-0.9026152491569519</v>
      </c>
      <c r="K763" s="3" t="n">
        <v>-0.9026152491569519</v>
      </c>
      <c r="L763" s="3" t="n">
        <v>-0.7902569174766541</v>
      </c>
      <c r="M763" s="3" t="n">
        <v>-0.7902569174766541</v>
      </c>
      <c r="N763" s="3" t="n">
        <v>-0.7902569174766541</v>
      </c>
      <c r="O763" s="3" t="n">
        <v>-0.7902569174766541</v>
      </c>
      <c r="P763" s="3" t="n">
        <v>-0.7902569174766541</v>
      </c>
      <c r="Q763" s="3" t="n">
        <v>-0.7902569174766541</v>
      </c>
      <c r="R763" s="3" t="n">
        <v>-0.7744752764701843</v>
      </c>
      <c r="S763" s="3" t="n">
        <v>-1.496084809303284</v>
      </c>
      <c r="T763" s="3" t="n">
        <v>-0.7104546427726746</v>
      </c>
      <c r="U763" s="3" t="n">
        <v>-0.9026152491569519</v>
      </c>
      <c r="V763" s="3" t="n">
        <v>-0.6849652528762817</v>
      </c>
      <c r="W763" s="3" t="n">
        <v>-0.6309365034103394</v>
      </c>
      <c r="X763" s="3" t="n">
        <v>-1.438216805458069</v>
      </c>
      <c r="Y763" s="3" t="n">
        <v>-0.7902569174766541</v>
      </c>
      <c r="Z763" s="3" t="n">
        <v>-1.496084809303284</v>
      </c>
      <c r="AA763" s="3" t="n">
        <v>-1.496084809303284</v>
      </c>
      <c r="AB763" s="3" t="n">
        <v>-1.438216805458069</v>
      </c>
      <c r="AC763" s="3" t="n">
        <v>-2.341990232467651</v>
      </c>
      <c r="AD763" s="3" t="n">
        <v>-0.9026152491569519</v>
      </c>
      <c r="AE763" s="3" t="n">
        <v>-0.9026152491569519</v>
      </c>
    </row>
    <row r="764">
      <c r="A764" s="3" t="inlineStr">
        <is>
          <t>GEO.distn.dec.ove.mean.2</t>
        </is>
      </c>
      <c r="B764" s="3" t="inlineStr">
        <is>
          <t>GEO</t>
        </is>
      </c>
      <c r="C764" s="3" t="n">
        <v>2005</v>
      </c>
      <c r="D764" s="3" t="inlineStr">
        <is>
          <t>Overall</t>
        </is>
      </c>
      <c r="E764" s="3" t="inlineStr">
        <is>
          <t>Deciles</t>
        </is>
      </c>
      <c r="F764" s="3" t="inlineStr">
        <is>
          <t>mean</t>
        </is>
      </c>
      <c r="G764" s="3" t="n">
        <v>2</v>
      </c>
      <c r="H764" s="3" t="n">
        <v>-0.7902569174766541</v>
      </c>
      <c r="I764" s="3" t="n">
        <v>-0.7902569174766541</v>
      </c>
      <c r="J764" s="3" t="n">
        <v>-0.9026152491569519</v>
      </c>
      <c r="K764" s="3" t="n">
        <v>-0.9026152491569519</v>
      </c>
      <c r="L764" s="3" t="n">
        <v>-0.7902569174766541</v>
      </c>
      <c r="M764" s="3" t="n">
        <v>-0.7902569174766541</v>
      </c>
      <c r="N764" s="3" t="n">
        <v>-0.7902569174766541</v>
      </c>
      <c r="O764" s="3" t="n">
        <v>-0.7902569174766541</v>
      </c>
      <c r="P764" s="3" t="n">
        <v>-0.7902569174766541</v>
      </c>
      <c r="Q764" s="3" t="n">
        <v>-0.7902569174766541</v>
      </c>
      <c r="R764" s="3" t="n">
        <v>-0.7744752764701843</v>
      </c>
      <c r="S764" s="3" t="n">
        <v>-1.496084809303284</v>
      </c>
      <c r="T764" s="3" t="n">
        <v>-0.7104546427726746</v>
      </c>
      <c r="U764" s="3" t="n">
        <v>-0.9026152491569519</v>
      </c>
      <c r="V764" s="3" t="n">
        <v>-0.6849652528762817</v>
      </c>
      <c r="W764" s="3" t="n">
        <v>-0.6309365034103394</v>
      </c>
      <c r="X764" s="3" t="n">
        <v>-1.438216805458069</v>
      </c>
      <c r="Y764" s="3" t="n">
        <v>-0.7902569174766541</v>
      </c>
      <c r="Z764" s="3" t="n">
        <v>-1.496084809303284</v>
      </c>
      <c r="AA764" s="3" t="n">
        <v>-1.496084809303284</v>
      </c>
      <c r="AB764" s="3" t="n">
        <v>-1.438216805458069</v>
      </c>
      <c r="AC764" s="3" t="n">
        <v>-2.341990232467651</v>
      </c>
      <c r="AD764" s="3" t="n">
        <v>-0.9026152491569519</v>
      </c>
      <c r="AE764" s="3" t="n">
        <v>-0.9026152491569519</v>
      </c>
    </row>
    <row r="765">
      <c r="A765" s="3" t="inlineStr">
        <is>
          <t>GEO.distn.dec.ove.mean.3</t>
        </is>
      </c>
      <c r="B765" s="3" t="inlineStr">
        <is>
          <t>GEO</t>
        </is>
      </c>
      <c r="C765" s="3" t="n">
        <v>2005</v>
      </c>
      <c r="D765" s="3" t="inlineStr">
        <is>
          <t>Overall</t>
        </is>
      </c>
      <c r="E765" s="3" t="inlineStr">
        <is>
          <t>Deciles</t>
        </is>
      </c>
      <c r="F765" s="3" t="inlineStr">
        <is>
          <t>mean</t>
        </is>
      </c>
      <c r="G765" s="3" t="n">
        <v>3</v>
      </c>
      <c r="H765" s="3" t="n">
        <v>-0.7902569174766541</v>
      </c>
      <c r="I765" s="3" t="n">
        <v>-0.7902569174766541</v>
      </c>
      <c r="J765" s="3" t="n">
        <v>-0.9026152491569519</v>
      </c>
      <c r="K765" s="3" t="n">
        <v>-0.9026152491569519</v>
      </c>
      <c r="L765" s="3" t="n">
        <v>-0.7902569174766541</v>
      </c>
      <c r="M765" s="3" t="n">
        <v>-0.7902569174766541</v>
      </c>
      <c r="N765" s="3" t="n">
        <v>-0.7902569174766541</v>
      </c>
      <c r="O765" s="3" t="n">
        <v>-0.7902569174766541</v>
      </c>
      <c r="P765" s="3" t="n">
        <v>-0.7902569174766541</v>
      </c>
      <c r="Q765" s="3" t="n">
        <v>-0.7902569174766541</v>
      </c>
      <c r="R765" s="3" t="n">
        <v>-0.7744752764701843</v>
      </c>
      <c r="S765" s="3" t="n">
        <v>-1.496084809303284</v>
      </c>
      <c r="T765" s="3" t="n">
        <v>-0.7104546427726746</v>
      </c>
      <c r="U765" s="3" t="n">
        <v>-0.9026152491569519</v>
      </c>
      <c r="V765" s="3" t="n">
        <v>-0.6849652528762817</v>
      </c>
      <c r="W765" s="3" t="n">
        <v>-0.6309365034103394</v>
      </c>
      <c r="X765" s="3" t="n">
        <v>-1.438216805458069</v>
      </c>
      <c r="Y765" s="3" t="n">
        <v>-0.7902569174766541</v>
      </c>
      <c r="Z765" s="3" t="n">
        <v>-1.496084809303284</v>
      </c>
      <c r="AA765" s="3" t="n">
        <v>-1.496084809303284</v>
      </c>
      <c r="AB765" s="3" t="n">
        <v>-1.438216805458069</v>
      </c>
      <c r="AC765" s="3" t="n">
        <v>-2.341990232467651</v>
      </c>
      <c r="AD765" s="3" t="n">
        <v>-0.9026152491569519</v>
      </c>
      <c r="AE765" s="3" t="n">
        <v>-0.9026152491569519</v>
      </c>
    </row>
    <row r="766">
      <c r="A766" s="3" t="inlineStr">
        <is>
          <t>GEO.distn.dec.ove.mean.4</t>
        </is>
      </c>
      <c r="B766" s="3" t="inlineStr">
        <is>
          <t>GEO</t>
        </is>
      </c>
      <c r="C766" s="3" t="n">
        <v>2005</v>
      </c>
      <c r="D766" s="3" t="inlineStr">
        <is>
          <t>Overall</t>
        </is>
      </c>
      <c r="E766" s="3" t="inlineStr">
        <is>
          <t>Deciles</t>
        </is>
      </c>
      <c r="F766" s="3" t="inlineStr">
        <is>
          <t>mean</t>
        </is>
      </c>
      <c r="G766" s="3" t="n">
        <v>4</v>
      </c>
      <c r="H766" s="3" t="n">
        <v>-0.7839999794960022</v>
      </c>
      <c r="I766" s="3" t="n">
        <v>-0.7839999794960022</v>
      </c>
      <c r="J766" s="3" t="n">
        <v>-0.859000027179718</v>
      </c>
      <c r="K766" s="3" t="n">
        <v>-0.859000027179718</v>
      </c>
      <c r="L766" s="3" t="n">
        <v>-0.7839999794960022</v>
      </c>
      <c r="M766" s="3" t="n">
        <v>-0.7839999794960022</v>
      </c>
      <c r="N766" s="3" t="n">
        <v>-0.7839999794960022</v>
      </c>
      <c r="O766" s="3" t="n">
        <v>-0.7839999794960022</v>
      </c>
      <c r="P766" s="3" t="n">
        <v>-0.7839999794960022</v>
      </c>
      <c r="Q766" s="3" t="n">
        <v>-0.7839999794960022</v>
      </c>
      <c r="R766" s="3" t="n">
        <v>-0.7710000276565552</v>
      </c>
      <c r="S766" s="3" t="n">
        <v>-1.019000053405762</v>
      </c>
      <c r="T766" s="3" t="n">
        <v>-0.7089999914169312</v>
      </c>
      <c r="U766" s="3" t="n">
        <v>-0.859000027179718</v>
      </c>
      <c r="V766" s="3" t="n">
        <v>-0.6779999732971191</v>
      </c>
      <c r="W766" s="3" t="n">
        <v>-0.531000018119812</v>
      </c>
      <c r="X766" s="3" t="n">
        <v>-1.014999985694885</v>
      </c>
      <c r="Y766" s="3" t="n">
        <v>-0.7839999794960022</v>
      </c>
      <c r="Z766" s="3" t="n">
        <v>-1.019000053405762</v>
      </c>
      <c r="AA766" s="3" t="n">
        <v>-1.019000053405762</v>
      </c>
      <c r="AB766" s="3" t="n">
        <v>-1.014999985694885</v>
      </c>
      <c r="AC766" s="3" t="n">
        <v>-1.13100004196167</v>
      </c>
      <c r="AD766" s="3" t="n">
        <v>-0.859000027179718</v>
      </c>
      <c r="AE766" s="3" t="n">
        <v>-0.859000027179718</v>
      </c>
    </row>
    <row r="767">
      <c r="A767" s="3" t="inlineStr">
        <is>
          <t>GEO.distn.dec.ove.mean.5</t>
        </is>
      </c>
      <c r="B767" s="3" t="inlineStr">
        <is>
          <t>GEO</t>
        </is>
      </c>
      <c r="C767" s="3" t="n">
        <v>2005</v>
      </c>
      <c r="D767" s="3" t="inlineStr">
        <is>
          <t>Overall</t>
        </is>
      </c>
      <c r="E767" s="3" t="inlineStr">
        <is>
          <t>Deciles</t>
        </is>
      </c>
      <c r="F767" s="3" t="inlineStr">
        <is>
          <t>mean</t>
        </is>
      </c>
      <c r="G767" s="3" t="n">
        <v>5</v>
      </c>
      <c r="H767" s="3" t="n">
        <v>-0.7839999794960022</v>
      </c>
      <c r="I767" s="3" t="n">
        <v>-0.7839999794960022</v>
      </c>
      <c r="J767" s="3" t="n">
        <v>-0.859000027179718</v>
      </c>
      <c r="K767" s="3" t="n">
        <v>-0.859000027179718</v>
      </c>
      <c r="L767" s="3" t="n">
        <v>-0.7839999794960022</v>
      </c>
      <c r="M767" s="3" t="n">
        <v>-0.7839999794960022</v>
      </c>
      <c r="N767" s="3" t="n">
        <v>-0.7839999794960022</v>
      </c>
      <c r="O767" s="3" t="n">
        <v>-0.7839999794960022</v>
      </c>
      <c r="P767" s="3" t="n">
        <v>-0.7839999794960022</v>
      </c>
      <c r="Q767" s="3" t="n">
        <v>-0.7839999794960022</v>
      </c>
      <c r="R767" s="3" t="n">
        <v>-0.7710000276565552</v>
      </c>
      <c r="S767" s="3" t="n">
        <v>-1.019000053405762</v>
      </c>
      <c r="T767" s="3" t="n">
        <v>-0.7089999914169312</v>
      </c>
      <c r="U767" s="3" t="n">
        <v>-0.859000027179718</v>
      </c>
      <c r="V767" s="3" t="n">
        <v>-0.6779999732971191</v>
      </c>
      <c r="W767" s="3" t="n">
        <v>-0.531000018119812</v>
      </c>
      <c r="X767" s="3" t="n">
        <v>-1.014999985694885</v>
      </c>
      <c r="Y767" s="3" t="n">
        <v>-0.7839999794960022</v>
      </c>
      <c r="Z767" s="3" t="n">
        <v>-1.019000053405762</v>
      </c>
      <c r="AA767" s="3" t="n">
        <v>-1.019000053405762</v>
      </c>
      <c r="AB767" s="3" t="n">
        <v>-1.014999985694885</v>
      </c>
      <c r="AC767" s="3" t="n">
        <v>-1.13100004196167</v>
      </c>
      <c r="AD767" s="3" t="n">
        <v>-0.859000027179718</v>
      </c>
      <c r="AE767" s="3" t="n">
        <v>-0.859000027179718</v>
      </c>
    </row>
    <row r="768">
      <c r="A768" s="3" t="inlineStr">
        <is>
          <t>GEO.distn.dec.ove.mean.6</t>
        </is>
      </c>
      <c r="B768" s="3" t="inlineStr">
        <is>
          <t>GEO</t>
        </is>
      </c>
      <c r="C768" s="3" t="n">
        <v>2005</v>
      </c>
      <c r="D768" s="3" t="inlineStr">
        <is>
          <t>Overall</t>
        </is>
      </c>
      <c r="E768" s="3" t="inlineStr">
        <is>
          <t>Deciles</t>
        </is>
      </c>
      <c r="F768" s="3" t="inlineStr">
        <is>
          <t>mean</t>
        </is>
      </c>
      <c r="G768" s="3" t="n">
        <v>6</v>
      </c>
      <c r="H768" s="3" t="n">
        <v>-0.7839999794960022</v>
      </c>
      <c r="I768" s="3" t="n">
        <v>-0.7839999794960022</v>
      </c>
      <c r="J768" s="3" t="n">
        <v>-0.859000027179718</v>
      </c>
      <c r="K768" s="3" t="n">
        <v>-0.859000027179718</v>
      </c>
      <c r="L768" s="3" t="n">
        <v>-0.7839999794960022</v>
      </c>
      <c r="M768" s="3" t="n">
        <v>-0.7839999794960022</v>
      </c>
      <c r="N768" s="3" t="n">
        <v>-0.7839999794960022</v>
      </c>
      <c r="O768" s="3" t="n">
        <v>-0.7839999794960022</v>
      </c>
      <c r="P768" s="3" t="n">
        <v>-0.7839999794960022</v>
      </c>
      <c r="Q768" s="3" t="n">
        <v>-0.7839999794960022</v>
      </c>
      <c r="R768" s="3" t="n">
        <v>-0.7710000276565552</v>
      </c>
      <c r="S768" s="3" t="n">
        <v>-1.019000053405762</v>
      </c>
      <c r="T768" s="3" t="n">
        <v>-0.7089999914169312</v>
      </c>
      <c r="U768" s="3" t="n">
        <v>-0.859000027179718</v>
      </c>
      <c r="V768" s="3" t="n">
        <v>-0.6779999732971191</v>
      </c>
      <c r="W768" s="3" t="n">
        <v>-0.531000018119812</v>
      </c>
      <c r="X768" s="3" t="n">
        <v>-1.014999985694885</v>
      </c>
      <c r="Y768" s="3" t="n">
        <v>-0.7839999794960022</v>
      </c>
      <c r="Z768" s="3" t="n">
        <v>-1.019000053405762</v>
      </c>
      <c r="AA768" s="3" t="n">
        <v>-1.019000053405762</v>
      </c>
      <c r="AB768" s="3" t="n">
        <v>-1.014999985694885</v>
      </c>
      <c r="AC768" s="3" t="n">
        <v>-1.13100004196167</v>
      </c>
      <c r="AD768" s="3" t="n">
        <v>-0.859000027179718</v>
      </c>
      <c r="AE768" s="3" t="n">
        <v>-0.859000027179718</v>
      </c>
    </row>
    <row r="769">
      <c r="A769" s="3" t="inlineStr">
        <is>
          <t>GEO.distn.dec.ove.mean.7</t>
        </is>
      </c>
      <c r="B769" s="3" t="inlineStr">
        <is>
          <t>GEO</t>
        </is>
      </c>
      <c r="C769" s="3" t="n">
        <v>2005</v>
      </c>
      <c r="D769" s="3" t="inlineStr">
        <is>
          <t>Overall</t>
        </is>
      </c>
      <c r="E769" s="3" t="inlineStr">
        <is>
          <t>Deciles</t>
        </is>
      </c>
      <c r="F769" s="3" t="inlineStr">
        <is>
          <t>mean</t>
        </is>
      </c>
      <c r="G769" s="3" t="n">
        <v>7</v>
      </c>
      <c r="H769" s="3" t="n">
        <v>-0.7839999794960022</v>
      </c>
      <c r="I769" s="3" t="n">
        <v>-0.7839999794960022</v>
      </c>
      <c r="J769" s="3" t="n">
        <v>-0.859000027179718</v>
      </c>
      <c r="K769" s="3" t="n">
        <v>-0.859000027179718</v>
      </c>
      <c r="L769" s="3" t="n">
        <v>-0.7839999794960022</v>
      </c>
      <c r="M769" s="3" t="n">
        <v>-0.7839999794960022</v>
      </c>
      <c r="N769" s="3" t="n">
        <v>-0.7839999794960022</v>
      </c>
      <c r="O769" s="3" t="n">
        <v>-0.7839999794960022</v>
      </c>
      <c r="P769" s="3" t="n">
        <v>-0.7839999794960022</v>
      </c>
      <c r="Q769" s="3" t="n">
        <v>-0.7839999794960022</v>
      </c>
      <c r="R769" s="3" t="n">
        <v>-0.7710000276565552</v>
      </c>
      <c r="S769" s="3" t="n">
        <v>-1.019000053405762</v>
      </c>
      <c r="T769" s="3" t="n">
        <v>-0.7089999914169312</v>
      </c>
      <c r="U769" s="3" t="n">
        <v>-0.859000027179718</v>
      </c>
      <c r="V769" s="3" t="n">
        <v>-0.6779999732971191</v>
      </c>
      <c r="W769" s="3" t="n">
        <v>-0.531000018119812</v>
      </c>
      <c r="X769" s="3" t="n">
        <v>-1.014999985694885</v>
      </c>
      <c r="Y769" s="3" t="n">
        <v>-0.7839999794960022</v>
      </c>
      <c r="Z769" s="3" t="n">
        <v>-1.019000053405762</v>
      </c>
      <c r="AA769" s="3" t="n">
        <v>-1.019000053405762</v>
      </c>
      <c r="AB769" s="3" t="n">
        <v>-1.014999985694885</v>
      </c>
      <c r="AC769" s="3" t="n">
        <v>-1.13100004196167</v>
      </c>
      <c r="AD769" s="3" t="n">
        <v>-0.859000027179718</v>
      </c>
      <c r="AE769" s="3" t="n">
        <v>-0.859000027179718</v>
      </c>
    </row>
    <row r="770">
      <c r="A770" s="3" t="inlineStr">
        <is>
          <t>GEO.distn.dec.ove.mean.8</t>
        </is>
      </c>
      <c r="B770" s="3" t="inlineStr">
        <is>
          <t>GEO</t>
        </is>
      </c>
      <c r="C770" s="3" t="n">
        <v>2005</v>
      </c>
      <c r="D770" s="3" t="inlineStr">
        <is>
          <t>Overall</t>
        </is>
      </c>
      <c r="E770" s="3" t="inlineStr">
        <is>
          <t>Deciles</t>
        </is>
      </c>
      <c r="F770" s="3" t="inlineStr">
        <is>
          <t>mean</t>
        </is>
      </c>
      <c r="G770" s="3" t="n">
        <v>8</v>
      </c>
      <c r="H770" s="3" t="n">
        <v>-0.7843776941299438</v>
      </c>
      <c r="I770" s="3" t="n">
        <v>-0.7843776941299438</v>
      </c>
      <c r="J770" s="3" t="n">
        <v>-0.8613172173500061</v>
      </c>
      <c r="K770" s="3" t="n">
        <v>-0.8613172173500061</v>
      </c>
      <c r="L770" s="3" t="n">
        <v>-0.7843776941299438</v>
      </c>
      <c r="M770" s="3" t="n">
        <v>-0.7843776941299438</v>
      </c>
      <c r="N770" s="3" t="n">
        <v>-0.7843776941299438</v>
      </c>
      <c r="O770" s="3" t="n">
        <v>-0.7843776941299438</v>
      </c>
      <c r="P770" s="3" t="n">
        <v>-0.7843776941299438</v>
      </c>
      <c r="Q770" s="3" t="n">
        <v>-0.7843776941299438</v>
      </c>
      <c r="R770" s="3" t="n">
        <v>-0.7712535858154297</v>
      </c>
      <c r="S770" s="3" t="n">
        <v>-1.028481960296631</v>
      </c>
      <c r="T770" s="3" t="n">
        <v>-0.7090408802032471</v>
      </c>
      <c r="U770" s="3" t="n">
        <v>-0.8613172173500061</v>
      </c>
      <c r="V770" s="3" t="n">
        <v>-0.6787009239196777</v>
      </c>
      <c r="W770" s="3" t="n">
        <v>-0.5452195405960083</v>
      </c>
      <c r="X770" s="3" t="n">
        <v>-1.024248719215393</v>
      </c>
      <c r="Y770" s="3" t="n">
        <v>-0.7843776941299438</v>
      </c>
      <c r="Z770" s="3" t="n">
        <v>-1.028481960296631</v>
      </c>
      <c r="AA770" s="3" t="n">
        <v>-1.028481960296631</v>
      </c>
      <c r="AB770" s="3" t="n">
        <v>-1.024248719215393</v>
      </c>
      <c r="AC770" s="3" t="n">
        <v>-1.147129535675049</v>
      </c>
      <c r="AD770" s="3" t="n">
        <v>-0.8613172173500061</v>
      </c>
      <c r="AE770" s="3" t="n">
        <v>-0.8613172173500061</v>
      </c>
    </row>
    <row r="771">
      <c r="A771" s="3" t="inlineStr">
        <is>
          <t>GEO.distn.dec.ove.mean.9</t>
        </is>
      </c>
      <c r="B771" s="3" t="inlineStr">
        <is>
          <t>GEO</t>
        </is>
      </c>
      <c r="C771" s="3" t="n">
        <v>2005</v>
      </c>
      <c r="D771" s="3" t="inlineStr">
        <is>
          <t>Overall</t>
        </is>
      </c>
      <c r="E771" s="3" t="inlineStr">
        <is>
          <t>Deciles</t>
        </is>
      </c>
      <c r="F771" s="3" t="inlineStr">
        <is>
          <t>mean</t>
        </is>
      </c>
      <c r="G771" s="3" t="n">
        <v>9</v>
      </c>
      <c r="H771" s="3" t="n">
        <v>-0.7843776941299438</v>
      </c>
      <c r="I771" s="3" t="n">
        <v>-0.7843776941299438</v>
      </c>
      <c r="J771" s="3" t="n">
        <v>-0.8613172173500061</v>
      </c>
      <c r="K771" s="3" t="n">
        <v>-0.8613172173500061</v>
      </c>
      <c r="L771" s="3" t="n">
        <v>-0.7843776941299438</v>
      </c>
      <c r="M771" s="3" t="n">
        <v>-0.7843776941299438</v>
      </c>
      <c r="N771" s="3" t="n">
        <v>-0.7843776941299438</v>
      </c>
      <c r="O771" s="3" t="n">
        <v>-0.7843776941299438</v>
      </c>
      <c r="P771" s="3" t="n">
        <v>-0.7843776941299438</v>
      </c>
      <c r="Q771" s="3" t="n">
        <v>-0.7843776941299438</v>
      </c>
      <c r="R771" s="3" t="n">
        <v>-0.7712535858154297</v>
      </c>
      <c r="S771" s="3" t="n">
        <v>-1.028481960296631</v>
      </c>
      <c r="T771" s="3" t="n">
        <v>-0.7090408802032471</v>
      </c>
      <c r="U771" s="3" t="n">
        <v>-0.8613172173500061</v>
      </c>
      <c r="V771" s="3" t="n">
        <v>-0.6787009239196777</v>
      </c>
      <c r="W771" s="3" t="n">
        <v>-0.5452195405960083</v>
      </c>
      <c r="X771" s="3" t="n">
        <v>-1.024248719215393</v>
      </c>
      <c r="Y771" s="3" t="n">
        <v>-0.7843776941299438</v>
      </c>
      <c r="Z771" s="3" t="n">
        <v>-1.028481960296631</v>
      </c>
      <c r="AA771" s="3" t="n">
        <v>-1.028481960296631</v>
      </c>
      <c r="AB771" s="3" t="n">
        <v>-1.024248719215393</v>
      </c>
      <c r="AC771" s="3" t="n">
        <v>-1.147129535675049</v>
      </c>
      <c r="AD771" s="3" t="n">
        <v>-0.8613172173500061</v>
      </c>
      <c r="AE771" s="3" t="n">
        <v>-0.8613172173500061</v>
      </c>
    </row>
    <row r="772">
      <c r="A772" s="3" t="inlineStr">
        <is>
          <t>GEO.distn.dec.ove.mean.10</t>
        </is>
      </c>
      <c r="B772" s="3" t="inlineStr">
        <is>
          <t>GEO</t>
        </is>
      </c>
      <c r="C772" s="3" t="n">
        <v>2005</v>
      </c>
      <c r="D772" s="3" t="inlineStr">
        <is>
          <t>Overall</t>
        </is>
      </c>
      <c r="E772" s="3" t="inlineStr">
        <is>
          <t>Deciles</t>
        </is>
      </c>
      <c r="F772" s="3" t="inlineStr">
        <is>
          <t>mean</t>
        </is>
      </c>
      <c r="G772" s="3" t="n">
        <v>10</v>
      </c>
      <c r="H772" s="3" t="n">
        <v>-0.7843776941299438</v>
      </c>
      <c r="I772" s="3" t="n">
        <v>-0.7843776941299438</v>
      </c>
      <c r="J772" s="3" t="n">
        <v>-0.8613172173500061</v>
      </c>
      <c r="K772" s="3" t="n">
        <v>-0.8613172173500061</v>
      </c>
      <c r="L772" s="3" t="n">
        <v>-0.7843776941299438</v>
      </c>
      <c r="M772" s="3" t="n">
        <v>-0.7843776941299438</v>
      </c>
      <c r="N772" s="3" t="n">
        <v>-0.7843776941299438</v>
      </c>
      <c r="O772" s="3" t="n">
        <v>-0.7843776941299438</v>
      </c>
      <c r="P772" s="3" t="n">
        <v>-0.7843776941299438</v>
      </c>
      <c r="Q772" s="3" t="n">
        <v>-0.7843776941299438</v>
      </c>
      <c r="R772" s="3" t="n">
        <v>-0.7712535858154297</v>
      </c>
      <c r="S772" s="3" t="n">
        <v>-1.028481960296631</v>
      </c>
      <c r="T772" s="3" t="n">
        <v>-0.7090408802032471</v>
      </c>
      <c r="U772" s="3" t="n">
        <v>-0.8613172173500061</v>
      </c>
      <c r="V772" s="3" t="n">
        <v>-0.6787009239196777</v>
      </c>
      <c r="W772" s="3" t="n">
        <v>-0.5452195405960083</v>
      </c>
      <c r="X772" s="3" t="n">
        <v>-1.024248719215393</v>
      </c>
      <c r="Y772" s="3" t="n">
        <v>-0.7843776941299438</v>
      </c>
      <c r="Z772" s="3" t="n">
        <v>-1.028481960296631</v>
      </c>
      <c r="AA772" s="3" t="n">
        <v>-1.028481960296631</v>
      </c>
      <c r="AB772" s="3" t="n">
        <v>-1.024248719215393</v>
      </c>
      <c r="AC772" s="3" t="n">
        <v>-1.147129535675049</v>
      </c>
      <c r="AD772" s="3" t="n">
        <v>-0.8613172173500061</v>
      </c>
      <c r="AE772" s="3" t="n">
        <v>-0.8613172173500061</v>
      </c>
    </row>
    <row r="773">
      <c r="A773" s="3" t="inlineStr">
        <is>
          <t>GEO.distn.bkt.ove.mean.9999</t>
        </is>
      </c>
      <c r="B773" s="3" t="inlineStr">
        <is>
          <t>GEO</t>
        </is>
      </c>
      <c r="C773" s="3" t="n">
        <v>2005</v>
      </c>
      <c r="D773" s="3" t="inlineStr">
        <is>
          <t>Overall</t>
        </is>
      </c>
      <c r="E773" s="3" t="inlineStr">
        <is>
          <t>Basket</t>
        </is>
      </c>
      <c r="F773" s="3" t="inlineStr">
        <is>
          <t>mean</t>
        </is>
      </c>
      <c r="G773" s="3" t="n">
        <v>9999</v>
      </c>
      <c r="H773" s="3" t="n">
        <v>-0.7859903573989868</v>
      </c>
      <c r="I773" s="3" t="n">
        <v>-0.7859903573989868</v>
      </c>
      <c r="J773" s="3" t="n">
        <v>-0.8727797269821167</v>
      </c>
      <c r="K773" s="3" t="n">
        <v>-0.8727797269821167</v>
      </c>
      <c r="L773" s="3" t="n">
        <v>-0.7859903573989868</v>
      </c>
      <c r="M773" s="3" t="n">
        <v>-0.7859903573989868</v>
      </c>
      <c r="N773" s="3" t="n">
        <v>-0.7859903573989868</v>
      </c>
      <c r="O773" s="3" t="n">
        <v>-0.7859903573989868</v>
      </c>
      <c r="P773" s="3" t="n">
        <v>-0.7859903573989868</v>
      </c>
      <c r="Q773" s="3" t="n">
        <v>-0.7859903573989868</v>
      </c>
      <c r="R773" s="3" t="n">
        <v>-0.7721186876296997</v>
      </c>
      <c r="S773" s="3" t="n">
        <v>-1.16497004032135</v>
      </c>
      <c r="T773" s="3" t="n">
        <v>-0.7094486355781555</v>
      </c>
      <c r="U773" s="3" t="n">
        <v>-0.8727797269821167</v>
      </c>
      <c r="V773" s="3" t="n">
        <v>-0.6802998185157776</v>
      </c>
      <c r="W773" s="3" t="n">
        <v>-0.5652468204498291</v>
      </c>
      <c r="X773" s="3" t="n">
        <v>-1.144739627838135</v>
      </c>
      <c r="Y773" s="3" t="n">
        <v>-0.7859903573989868</v>
      </c>
      <c r="Z773" s="3" t="n">
        <v>-1.16497004032135</v>
      </c>
      <c r="AA773" s="3" t="n">
        <v>-1.16497004032135</v>
      </c>
      <c r="AB773" s="3" t="n">
        <v>-1.144739627838135</v>
      </c>
      <c r="AC773" s="3" t="n">
        <v>-1.499135971069336</v>
      </c>
      <c r="AD773" s="3" t="n">
        <v>-0.8727797269821167</v>
      </c>
      <c r="AE773" s="3" t="n">
        <v>-0.8727797269821167</v>
      </c>
    </row>
    <row r="774">
      <c r="A774" s="3" t="inlineStr">
        <is>
          <t>GHA.distn.dec.ove.mean.1</t>
        </is>
      </c>
      <c r="B774" s="3" t="inlineStr">
        <is>
          <t>GHA</t>
        </is>
      </c>
      <c r="C774" s="3" t="n">
        <v>2005</v>
      </c>
      <c r="D774" s="3" t="inlineStr">
        <is>
          <t>Overall</t>
        </is>
      </c>
      <c r="E774" s="3" t="inlineStr">
        <is>
          <t>Deciles</t>
        </is>
      </c>
      <c r="F774" s="3" t="inlineStr">
        <is>
          <t>mean</t>
        </is>
      </c>
      <c r="G774" s="3" t="n">
        <v>1</v>
      </c>
      <c r="H774" s="3" t="n">
        <v>-0.7952967882156372</v>
      </c>
      <c r="I774" s="3" t="n">
        <v>-0.7952967882156372</v>
      </c>
      <c r="J774" s="3" t="n">
        <v>-0.9414939284324646</v>
      </c>
      <c r="K774" s="3" t="n">
        <v>-0.9414939284324646</v>
      </c>
      <c r="L774" s="3" t="n">
        <v>-0.7952967882156372</v>
      </c>
      <c r="M774" s="3" t="n">
        <v>-0.7952967882156372</v>
      </c>
      <c r="N774" s="3" t="n">
        <v>-0.7952967882156372</v>
      </c>
      <c r="O774" s="3" t="n">
        <v>-0.7952967882156372</v>
      </c>
      <c r="P774" s="3" t="n">
        <v>-0.7952967882156372</v>
      </c>
      <c r="Q774" s="3" t="n">
        <v>-0.7952967882156372</v>
      </c>
      <c r="R774" s="3" t="n">
        <v>-0.7774887681007385</v>
      </c>
      <c r="S774" s="3" t="n">
        <v>-1.957096219062805</v>
      </c>
      <c r="T774" s="3" t="n">
        <v>-0.7114566564559937</v>
      </c>
      <c r="U774" s="3" t="n">
        <v>-0.9414939284324646</v>
      </c>
      <c r="V774" s="3" t="n">
        <v>-0.6900166273117065</v>
      </c>
      <c r="W774" s="3" t="n">
        <v>-0.6962877511978149</v>
      </c>
      <c r="X774" s="3" t="n">
        <v>-1.86613941192627</v>
      </c>
      <c r="Y774" s="3" t="n">
        <v>-0.7952967882156372</v>
      </c>
      <c r="Z774" s="3" t="n">
        <v>-1.957096219062805</v>
      </c>
      <c r="AA774" s="3" t="n">
        <v>-1.957096219062805</v>
      </c>
      <c r="AB774" s="3" t="n">
        <v>-1.86613941192627</v>
      </c>
      <c r="AC774" s="3" t="n">
        <v>-4.590797901153564</v>
      </c>
      <c r="AD774" s="3" t="n">
        <v>-0.9414939284324646</v>
      </c>
      <c r="AE774" s="3" t="n">
        <v>-0.9414939284324646</v>
      </c>
    </row>
    <row r="775">
      <c r="A775" s="3" t="inlineStr">
        <is>
          <t>GHA.distn.dec.ove.mean.2</t>
        </is>
      </c>
      <c r="B775" s="3" t="inlineStr">
        <is>
          <t>GHA</t>
        </is>
      </c>
      <c r="C775" s="3" t="n">
        <v>2005</v>
      </c>
      <c r="D775" s="3" t="inlineStr">
        <is>
          <t>Overall</t>
        </is>
      </c>
      <c r="E775" s="3" t="inlineStr">
        <is>
          <t>Deciles</t>
        </is>
      </c>
      <c r="F775" s="3" t="inlineStr">
        <is>
          <t>mean</t>
        </is>
      </c>
      <c r="G775" s="3" t="n">
        <v>2</v>
      </c>
      <c r="H775" s="3" t="n">
        <v>-0.7952967882156372</v>
      </c>
      <c r="I775" s="3" t="n">
        <v>-0.7952967882156372</v>
      </c>
      <c r="J775" s="3" t="n">
        <v>-0.9414939284324646</v>
      </c>
      <c r="K775" s="3" t="n">
        <v>-0.9414939284324646</v>
      </c>
      <c r="L775" s="3" t="n">
        <v>-0.7952967882156372</v>
      </c>
      <c r="M775" s="3" t="n">
        <v>-0.7952967882156372</v>
      </c>
      <c r="N775" s="3" t="n">
        <v>-0.7952967882156372</v>
      </c>
      <c r="O775" s="3" t="n">
        <v>-0.7952967882156372</v>
      </c>
      <c r="P775" s="3" t="n">
        <v>-0.7952967882156372</v>
      </c>
      <c r="Q775" s="3" t="n">
        <v>-0.7952967882156372</v>
      </c>
      <c r="R775" s="3" t="n">
        <v>-0.7774887681007385</v>
      </c>
      <c r="S775" s="3" t="n">
        <v>-1.957096219062805</v>
      </c>
      <c r="T775" s="3" t="n">
        <v>-0.7114566564559937</v>
      </c>
      <c r="U775" s="3" t="n">
        <v>-0.9414939284324646</v>
      </c>
      <c r="V775" s="3" t="n">
        <v>-0.6900166273117065</v>
      </c>
      <c r="W775" s="3" t="n">
        <v>-0.6962877511978149</v>
      </c>
      <c r="X775" s="3" t="n">
        <v>-1.86613941192627</v>
      </c>
      <c r="Y775" s="3" t="n">
        <v>-0.7952967882156372</v>
      </c>
      <c r="Z775" s="3" t="n">
        <v>-1.957096219062805</v>
      </c>
      <c r="AA775" s="3" t="n">
        <v>-1.957096219062805</v>
      </c>
      <c r="AB775" s="3" t="n">
        <v>-1.86613941192627</v>
      </c>
      <c r="AC775" s="3" t="n">
        <v>-4.590797901153564</v>
      </c>
      <c r="AD775" s="3" t="n">
        <v>-0.9414939284324646</v>
      </c>
      <c r="AE775" s="3" t="n">
        <v>-0.9414939284324646</v>
      </c>
    </row>
    <row r="776">
      <c r="A776" s="3" t="inlineStr">
        <is>
          <t>GHA.distn.dec.ove.mean.3</t>
        </is>
      </c>
      <c r="B776" s="3" t="inlineStr">
        <is>
          <t>GHA</t>
        </is>
      </c>
      <c r="C776" s="3" t="n">
        <v>2005</v>
      </c>
      <c r="D776" s="3" t="inlineStr">
        <is>
          <t>Overall</t>
        </is>
      </c>
      <c r="E776" s="3" t="inlineStr">
        <is>
          <t>Deciles</t>
        </is>
      </c>
      <c r="F776" s="3" t="inlineStr">
        <is>
          <t>mean</t>
        </is>
      </c>
      <c r="G776" s="3" t="n">
        <v>3</v>
      </c>
      <c r="H776" s="3" t="n">
        <v>-0.7952967882156372</v>
      </c>
      <c r="I776" s="3" t="n">
        <v>-0.7952967882156372</v>
      </c>
      <c r="J776" s="3" t="n">
        <v>-0.9414939284324646</v>
      </c>
      <c r="K776" s="3" t="n">
        <v>-0.9414939284324646</v>
      </c>
      <c r="L776" s="3" t="n">
        <v>-0.7952967882156372</v>
      </c>
      <c r="M776" s="3" t="n">
        <v>-0.7952967882156372</v>
      </c>
      <c r="N776" s="3" t="n">
        <v>-0.7952967882156372</v>
      </c>
      <c r="O776" s="3" t="n">
        <v>-0.7952967882156372</v>
      </c>
      <c r="P776" s="3" t="n">
        <v>-0.7952967882156372</v>
      </c>
      <c r="Q776" s="3" t="n">
        <v>-0.7952967882156372</v>
      </c>
      <c r="R776" s="3" t="n">
        <v>-0.7774887681007385</v>
      </c>
      <c r="S776" s="3" t="n">
        <v>-1.957096219062805</v>
      </c>
      <c r="T776" s="3" t="n">
        <v>-0.7114566564559937</v>
      </c>
      <c r="U776" s="3" t="n">
        <v>-0.9414939284324646</v>
      </c>
      <c r="V776" s="3" t="n">
        <v>-0.6900166273117065</v>
      </c>
      <c r="W776" s="3" t="n">
        <v>-0.6962877511978149</v>
      </c>
      <c r="X776" s="3" t="n">
        <v>-1.86613941192627</v>
      </c>
      <c r="Y776" s="3" t="n">
        <v>-0.7952967882156372</v>
      </c>
      <c r="Z776" s="3" t="n">
        <v>-1.957096219062805</v>
      </c>
      <c r="AA776" s="3" t="n">
        <v>-1.957096219062805</v>
      </c>
      <c r="AB776" s="3" t="n">
        <v>-1.86613941192627</v>
      </c>
      <c r="AC776" s="3" t="n">
        <v>-4.590797901153564</v>
      </c>
      <c r="AD776" s="3" t="n">
        <v>-0.9414939284324646</v>
      </c>
      <c r="AE776" s="3" t="n">
        <v>-0.9414939284324646</v>
      </c>
    </row>
    <row r="777">
      <c r="A777" s="3" t="inlineStr">
        <is>
          <t>GHA.distn.dec.ove.mean.4</t>
        </is>
      </c>
      <c r="B777" s="3" t="inlineStr">
        <is>
          <t>GHA</t>
        </is>
      </c>
      <c r="C777" s="3" t="n">
        <v>2005</v>
      </c>
      <c r="D777" s="3" t="inlineStr">
        <is>
          <t>Overall</t>
        </is>
      </c>
      <c r="E777" s="3" t="inlineStr">
        <is>
          <t>Deciles</t>
        </is>
      </c>
      <c r="F777" s="3" t="inlineStr">
        <is>
          <t>mean</t>
        </is>
      </c>
      <c r="G777" s="3" t="n">
        <v>4</v>
      </c>
      <c r="H777" s="3" t="n">
        <v>-0.7889999747276306</v>
      </c>
      <c r="I777" s="3" t="n">
        <v>-0.7889999747276306</v>
      </c>
      <c r="J777" s="3" t="n">
        <v>-0.8960000276565552</v>
      </c>
      <c r="K777" s="3" t="n">
        <v>-0.8960000276565552</v>
      </c>
      <c r="L777" s="3" t="n">
        <v>-0.7889999747276306</v>
      </c>
      <c r="M777" s="3" t="n">
        <v>-0.7889999747276306</v>
      </c>
      <c r="N777" s="3" t="n">
        <v>-0.7889999747276306</v>
      </c>
      <c r="O777" s="3" t="n">
        <v>-0.7889999747276306</v>
      </c>
      <c r="P777" s="3" t="n">
        <v>-0.7889999747276306</v>
      </c>
      <c r="Q777" s="3" t="n">
        <v>-0.7889999747276306</v>
      </c>
      <c r="R777" s="3" t="n">
        <v>-0.7739999890327454</v>
      </c>
      <c r="S777" s="3" t="n">
        <v>-1.33299994468689</v>
      </c>
      <c r="T777" s="3" t="n">
        <v>-0.7099999785423279</v>
      </c>
      <c r="U777" s="3" t="n">
        <v>-0.8960000276565552</v>
      </c>
      <c r="V777" s="3" t="n">
        <v>-0.6830000281333923</v>
      </c>
      <c r="W777" s="3" t="n">
        <v>-0.5860000252723694</v>
      </c>
      <c r="X777" s="3" t="n">
        <v>-1.317000031471252</v>
      </c>
      <c r="Y777" s="3" t="n">
        <v>-0.7889999747276306</v>
      </c>
      <c r="Z777" s="3" t="n">
        <v>-1.33299994468689</v>
      </c>
      <c r="AA777" s="3" t="n">
        <v>-1.33299994468689</v>
      </c>
      <c r="AB777" s="3" t="n">
        <v>-1.317000031471252</v>
      </c>
      <c r="AC777" s="3" t="n">
        <v>-2.217000007629395</v>
      </c>
      <c r="AD777" s="3" t="n">
        <v>-0.8960000276565552</v>
      </c>
      <c r="AE777" s="3" t="n">
        <v>-0.8960000276565552</v>
      </c>
    </row>
    <row r="778">
      <c r="A778" s="3" t="inlineStr">
        <is>
          <t>GHA.distn.dec.ove.mean.5</t>
        </is>
      </c>
      <c r="B778" s="3" t="inlineStr">
        <is>
          <t>GHA</t>
        </is>
      </c>
      <c r="C778" s="3" t="n">
        <v>2005</v>
      </c>
      <c r="D778" s="3" t="inlineStr">
        <is>
          <t>Overall</t>
        </is>
      </c>
      <c r="E778" s="3" t="inlineStr">
        <is>
          <t>Deciles</t>
        </is>
      </c>
      <c r="F778" s="3" t="inlineStr">
        <is>
          <t>mean</t>
        </is>
      </c>
      <c r="G778" s="3" t="n">
        <v>5</v>
      </c>
      <c r="H778" s="3" t="n">
        <v>-0.7889999747276306</v>
      </c>
      <c r="I778" s="3" t="n">
        <v>-0.7889999747276306</v>
      </c>
      <c r="J778" s="3" t="n">
        <v>-0.8960000276565552</v>
      </c>
      <c r="K778" s="3" t="n">
        <v>-0.8960000276565552</v>
      </c>
      <c r="L778" s="3" t="n">
        <v>-0.7889999747276306</v>
      </c>
      <c r="M778" s="3" t="n">
        <v>-0.7889999747276306</v>
      </c>
      <c r="N778" s="3" t="n">
        <v>-0.7889999747276306</v>
      </c>
      <c r="O778" s="3" t="n">
        <v>-0.7889999747276306</v>
      </c>
      <c r="P778" s="3" t="n">
        <v>-0.7889999747276306</v>
      </c>
      <c r="Q778" s="3" t="n">
        <v>-0.7889999747276306</v>
      </c>
      <c r="R778" s="3" t="n">
        <v>-0.7739999890327454</v>
      </c>
      <c r="S778" s="3" t="n">
        <v>-1.33299994468689</v>
      </c>
      <c r="T778" s="3" t="n">
        <v>-0.7099999785423279</v>
      </c>
      <c r="U778" s="3" t="n">
        <v>-0.8960000276565552</v>
      </c>
      <c r="V778" s="3" t="n">
        <v>-0.6830000281333923</v>
      </c>
      <c r="W778" s="3" t="n">
        <v>-0.5860000252723694</v>
      </c>
      <c r="X778" s="3" t="n">
        <v>-1.317000031471252</v>
      </c>
      <c r="Y778" s="3" t="n">
        <v>-0.7889999747276306</v>
      </c>
      <c r="Z778" s="3" t="n">
        <v>-1.33299994468689</v>
      </c>
      <c r="AA778" s="3" t="n">
        <v>-1.33299994468689</v>
      </c>
      <c r="AB778" s="3" t="n">
        <v>-1.317000031471252</v>
      </c>
      <c r="AC778" s="3" t="n">
        <v>-2.217000007629395</v>
      </c>
      <c r="AD778" s="3" t="n">
        <v>-0.8960000276565552</v>
      </c>
      <c r="AE778" s="3" t="n">
        <v>-0.8960000276565552</v>
      </c>
    </row>
    <row r="779">
      <c r="A779" s="3" t="inlineStr">
        <is>
          <t>GHA.distn.dec.ove.mean.6</t>
        </is>
      </c>
      <c r="B779" s="3" t="inlineStr">
        <is>
          <t>GHA</t>
        </is>
      </c>
      <c r="C779" s="3" t="n">
        <v>2005</v>
      </c>
      <c r="D779" s="3" t="inlineStr">
        <is>
          <t>Overall</t>
        </is>
      </c>
      <c r="E779" s="3" t="inlineStr">
        <is>
          <t>Deciles</t>
        </is>
      </c>
      <c r="F779" s="3" t="inlineStr">
        <is>
          <t>mean</t>
        </is>
      </c>
      <c r="G779" s="3" t="n">
        <v>6</v>
      </c>
      <c r="H779" s="3" t="n">
        <v>-0.7889999747276306</v>
      </c>
      <c r="I779" s="3" t="n">
        <v>-0.7889999747276306</v>
      </c>
      <c r="J779" s="3" t="n">
        <v>-0.8960000276565552</v>
      </c>
      <c r="K779" s="3" t="n">
        <v>-0.8960000276565552</v>
      </c>
      <c r="L779" s="3" t="n">
        <v>-0.7889999747276306</v>
      </c>
      <c r="M779" s="3" t="n">
        <v>-0.7889999747276306</v>
      </c>
      <c r="N779" s="3" t="n">
        <v>-0.7889999747276306</v>
      </c>
      <c r="O779" s="3" t="n">
        <v>-0.7889999747276306</v>
      </c>
      <c r="P779" s="3" t="n">
        <v>-0.7889999747276306</v>
      </c>
      <c r="Q779" s="3" t="n">
        <v>-0.7889999747276306</v>
      </c>
      <c r="R779" s="3" t="n">
        <v>-0.7739999890327454</v>
      </c>
      <c r="S779" s="3" t="n">
        <v>-1.33299994468689</v>
      </c>
      <c r="T779" s="3" t="n">
        <v>-0.7099999785423279</v>
      </c>
      <c r="U779" s="3" t="n">
        <v>-0.8960000276565552</v>
      </c>
      <c r="V779" s="3" t="n">
        <v>-0.6830000281333923</v>
      </c>
      <c r="W779" s="3" t="n">
        <v>-0.5860000252723694</v>
      </c>
      <c r="X779" s="3" t="n">
        <v>-1.317000031471252</v>
      </c>
      <c r="Y779" s="3" t="n">
        <v>-0.7889999747276306</v>
      </c>
      <c r="Z779" s="3" t="n">
        <v>-1.33299994468689</v>
      </c>
      <c r="AA779" s="3" t="n">
        <v>-1.33299994468689</v>
      </c>
      <c r="AB779" s="3" t="n">
        <v>-1.317000031471252</v>
      </c>
      <c r="AC779" s="3" t="n">
        <v>-2.217000007629395</v>
      </c>
      <c r="AD779" s="3" t="n">
        <v>-0.8960000276565552</v>
      </c>
      <c r="AE779" s="3" t="n">
        <v>-0.8960000276565552</v>
      </c>
    </row>
    <row r="780">
      <c r="A780" s="3" t="inlineStr">
        <is>
          <t>GHA.distn.dec.ove.mean.7</t>
        </is>
      </c>
      <c r="B780" s="3" t="inlineStr">
        <is>
          <t>GHA</t>
        </is>
      </c>
      <c r="C780" s="3" t="n">
        <v>2005</v>
      </c>
      <c r="D780" s="3" t="inlineStr">
        <is>
          <t>Overall</t>
        </is>
      </c>
      <c r="E780" s="3" t="inlineStr">
        <is>
          <t>Deciles</t>
        </is>
      </c>
      <c r="F780" s="3" t="inlineStr">
        <is>
          <t>mean</t>
        </is>
      </c>
      <c r="G780" s="3" t="n">
        <v>7</v>
      </c>
      <c r="H780" s="3" t="n">
        <v>-0.7889999747276306</v>
      </c>
      <c r="I780" s="3" t="n">
        <v>-0.7889999747276306</v>
      </c>
      <c r="J780" s="3" t="n">
        <v>-0.8960000276565552</v>
      </c>
      <c r="K780" s="3" t="n">
        <v>-0.8960000276565552</v>
      </c>
      <c r="L780" s="3" t="n">
        <v>-0.7889999747276306</v>
      </c>
      <c r="M780" s="3" t="n">
        <v>-0.7889999747276306</v>
      </c>
      <c r="N780" s="3" t="n">
        <v>-0.7889999747276306</v>
      </c>
      <c r="O780" s="3" t="n">
        <v>-0.7889999747276306</v>
      </c>
      <c r="P780" s="3" t="n">
        <v>-0.7889999747276306</v>
      </c>
      <c r="Q780" s="3" t="n">
        <v>-0.7889999747276306</v>
      </c>
      <c r="R780" s="3" t="n">
        <v>-0.7739999890327454</v>
      </c>
      <c r="S780" s="3" t="n">
        <v>-1.33299994468689</v>
      </c>
      <c r="T780" s="3" t="n">
        <v>-0.7099999785423279</v>
      </c>
      <c r="U780" s="3" t="n">
        <v>-0.8960000276565552</v>
      </c>
      <c r="V780" s="3" t="n">
        <v>-0.6830000281333923</v>
      </c>
      <c r="W780" s="3" t="n">
        <v>-0.5860000252723694</v>
      </c>
      <c r="X780" s="3" t="n">
        <v>-1.317000031471252</v>
      </c>
      <c r="Y780" s="3" t="n">
        <v>-0.7889999747276306</v>
      </c>
      <c r="Z780" s="3" t="n">
        <v>-1.33299994468689</v>
      </c>
      <c r="AA780" s="3" t="n">
        <v>-1.33299994468689</v>
      </c>
      <c r="AB780" s="3" t="n">
        <v>-1.317000031471252</v>
      </c>
      <c r="AC780" s="3" t="n">
        <v>-2.217000007629395</v>
      </c>
      <c r="AD780" s="3" t="n">
        <v>-0.8960000276565552</v>
      </c>
      <c r="AE780" s="3" t="n">
        <v>-0.8960000276565552</v>
      </c>
    </row>
    <row r="781">
      <c r="A781" s="3" t="inlineStr">
        <is>
          <t>GHA.distn.dec.ove.mean.8</t>
        </is>
      </c>
      <c r="B781" s="3" t="inlineStr">
        <is>
          <t>GHA</t>
        </is>
      </c>
      <c r="C781" s="3" t="n">
        <v>2005</v>
      </c>
      <c r="D781" s="3" t="inlineStr">
        <is>
          <t>Overall</t>
        </is>
      </c>
      <c r="E781" s="3" t="inlineStr">
        <is>
          <t>Deciles</t>
        </is>
      </c>
      <c r="F781" s="3" t="inlineStr">
        <is>
          <t>mean</t>
        </is>
      </c>
      <c r="G781" s="3" t="n">
        <v>8</v>
      </c>
      <c r="H781" s="3" t="n">
        <v>-0.7893801331520081</v>
      </c>
      <c r="I781" s="3" t="n">
        <v>-0.7893801331520081</v>
      </c>
      <c r="J781" s="3" t="n">
        <v>-0.898417055606842</v>
      </c>
      <c r="K781" s="3" t="n">
        <v>-0.898417055606842</v>
      </c>
      <c r="L781" s="3" t="n">
        <v>-0.7893801331520081</v>
      </c>
      <c r="M781" s="3" t="n">
        <v>-0.7893801331520081</v>
      </c>
      <c r="N781" s="3" t="n">
        <v>-0.7893801331520081</v>
      </c>
      <c r="O781" s="3" t="n">
        <v>-0.7893801331520081</v>
      </c>
      <c r="P781" s="3" t="n">
        <v>-0.7893801331520081</v>
      </c>
      <c r="Q781" s="3" t="n">
        <v>-0.7893801331520081</v>
      </c>
      <c r="R781" s="3" t="n">
        <v>-0.7742545604705811</v>
      </c>
      <c r="S781" s="3" t="n">
        <v>-1.345403671264648</v>
      </c>
      <c r="T781" s="3" t="n">
        <v>-0.7100409269332886</v>
      </c>
      <c r="U781" s="3" t="n">
        <v>-0.898417055606842</v>
      </c>
      <c r="V781" s="3" t="n">
        <v>-0.6837060451507568</v>
      </c>
      <c r="W781" s="3" t="n">
        <v>-0.6016923785209656</v>
      </c>
      <c r="X781" s="3" t="n">
        <v>-1.329000473022461</v>
      </c>
      <c r="Y781" s="3" t="n">
        <v>-0.7893801331520081</v>
      </c>
      <c r="Z781" s="3" t="n">
        <v>-1.345403671264648</v>
      </c>
      <c r="AA781" s="3" t="n">
        <v>-1.345403671264648</v>
      </c>
      <c r="AB781" s="3" t="n">
        <v>-1.329000473022461</v>
      </c>
      <c r="AC781" s="3" t="n">
        <v>-2.24861741065979</v>
      </c>
      <c r="AD781" s="3" t="n">
        <v>-0.898417055606842</v>
      </c>
      <c r="AE781" s="3" t="n">
        <v>-0.898417055606842</v>
      </c>
    </row>
    <row r="782">
      <c r="A782" s="3" t="inlineStr">
        <is>
          <t>GHA.distn.dec.ove.mean.9</t>
        </is>
      </c>
      <c r="B782" s="3" t="inlineStr">
        <is>
          <t>GHA</t>
        </is>
      </c>
      <c r="C782" s="3" t="n">
        <v>2005</v>
      </c>
      <c r="D782" s="3" t="inlineStr">
        <is>
          <t>Overall</t>
        </is>
      </c>
      <c r="E782" s="3" t="inlineStr">
        <is>
          <t>Deciles</t>
        </is>
      </c>
      <c r="F782" s="3" t="inlineStr">
        <is>
          <t>mean</t>
        </is>
      </c>
      <c r="G782" s="3" t="n">
        <v>9</v>
      </c>
      <c r="H782" s="3" t="n">
        <v>-0.7893801331520081</v>
      </c>
      <c r="I782" s="3" t="n">
        <v>-0.7893801331520081</v>
      </c>
      <c r="J782" s="3" t="n">
        <v>-0.898417055606842</v>
      </c>
      <c r="K782" s="3" t="n">
        <v>-0.898417055606842</v>
      </c>
      <c r="L782" s="3" t="n">
        <v>-0.7893801331520081</v>
      </c>
      <c r="M782" s="3" t="n">
        <v>-0.7893801331520081</v>
      </c>
      <c r="N782" s="3" t="n">
        <v>-0.7893801331520081</v>
      </c>
      <c r="O782" s="3" t="n">
        <v>-0.7893801331520081</v>
      </c>
      <c r="P782" s="3" t="n">
        <v>-0.7893801331520081</v>
      </c>
      <c r="Q782" s="3" t="n">
        <v>-0.7893801331520081</v>
      </c>
      <c r="R782" s="3" t="n">
        <v>-0.7742545604705811</v>
      </c>
      <c r="S782" s="3" t="n">
        <v>-1.345403671264648</v>
      </c>
      <c r="T782" s="3" t="n">
        <v>-0.7100409269332886</v>
      </c>
      <c r="U782" s="3" t="n">
        <v>-0.898417055606842</v>
      </c>
      <c r="V782" s="3" t="n">
        <v>-0.6837060451507568</v>
      </c>
      <c r="W782" s="3" t="n">
        <v>-0.6016923785209656</v>
      </c>
      <c r="X782" s="3" t="n">
        <v>-1.329000473022461</v>
      </c>
      <c r="Y782" s="3" t="n">
        <v>-0.7893801331520081</v>
      </c>
      <c r="Z782" s="3" t="n">
        <v>-1.345403671264648</v>
      </c>
      <c r="AA782" s="3" t="n">
        <v>-1.345403671264648</v>
      </c>
      <c r="AB782" s="3" t="n">
        <v>-1.329000473022461</v>
      </c>
      <c r="AC782" s="3" t="n">
        <v>-2.24861741065979</v>
      </c>
      <c r="AD782" s="3" t="n">
        <v>-0.898417055606842</v>
      </c>
      <c r="AE782" s="3" t="n">
        <v>-0.898417055606842</v>
      </c>
    </row>
    <row r="783">
      <c r="A783" s="3" t="inlineStr">
        <is>
          <t>GHA.distn.dec.ove.mean.10</t>
        </is>
      </c>
      <c r="B783" s="3" t="inlineStr">
        <is>
          <t>GHA</t>
        </is>
      </c>
      <c r="C783" s="3" t="n">
        <v>2005</v>
      </c>
      <c r="D783" s="3" t="inlineStr">
        <is>
          <t>Overall</t>
        </is>
      </c>
      <c r="E783" s="3" t="inlineStr">
        <is>
          <t>Deciles</t>
        </is>
      </c>
      <c r="F783" s="3" t="inlineStr">
        <is>
          <t>mean</t>
        </is>
      </c>
      <c r="G783" s="3" t="n">
        <v>10</v>
      </c>
      <c r="H783" s="3" t="n">
        <v>-0.7893801331520081</v>
      </c>
      <c r="I783" s="3" t="n">
        <v>-0.7893801331520081</v>
      </c>
      <c r="J783" s="3" t="n">
        <v>-0.898417055606842</v>
      </c>
      <c r="K783" s="3" t="n">
        <v>-0.898417055606842</v>
      </c>
      <c r="L783" s="3" t="n">
        <v>-0.7893801331520081</v>
      </c>
      <c r="M783" s="3" t="n">
        <v>-0.7893801331520081</v>
      </c>
      <c r="N783" s="3" t="n">
        <v>-0.7893801331520081</v>
      </c>
      <c r="O783" s="3" t="n">
        <v>-0.7893801331520081</v>
      </c>
      <c r="P783" s="3" t="n">
        <v>-0.7893801331520081</v>
      </c>
      <c r="Q783" s="3" t="n">
        <v>-0.7893801331520081</v>
      </c>
      <c r="R783" s="3" t="n">
        <v>-0.7742545604705811</v>
      </c>
      <c r="S783" s="3" t="n">
        <v>-1.345403671264648</v>
      </c>
      <c r="T783" s="3" t="n">
        <v>-0.7100409269332886</v>
      </c>
      <c r="U783" s="3" t="n">
        <v>-0.898417055606842</v>
      </c>
      <c r="V783" s="3" t="n">
        <v>-0.6837060451507568</v>
      </c>
      <c r="W783" s="3" t="n">
        <v>-0.6016923785209656</v>
      </c>
      <c r="X783" s="3" t="n">
        <v>-1.329000473022461</v>
      </c>
      <c r="Y783" s="3" t="n">
        <v>-0.7893801331520081</v>
      </c>
      <c r="Z783" s="3" t="n">
        <v>-1.345403671264648</v>
      </c>
      <c r="AA783" s="3" t="n">
        <v>-1.345403671264648</v>
      </c>
      <c r="AB783" s="3" t="n">
        <v>-1.329000473022461</v>
      </c>
      <c r="AC783" s="3" t="n">
        <v>-2.24861741065979</v>
      </c>
      <c r="AD783" s="3" t="n">
        <v>-0.898417055606842</v>
      </c>
      <c r="AE783" s="3" t="n">
        <v>-0.898417055606842</v>
      </c>
    </row>
    <row r="784">
      <c r="A784" s="3" t="inlineStr">
        <is>
          <t>GHA.distn.bkt.ove.mean.9999</t>
        </is>
      </c>
      <c r="B784" s="3" t="inlineStr">
        <is>
          <t>GHA</t>
        </is>
      </c>
      <c r="C784" s="3" t="n">
        <v>2005</v>
      </c>
      <c r="D784" s="3" t="inlineStr">
        <is>
          <t>Overall</t>
        </is>
      </c>
      <c r="E784" s="3" t="inlineStr">
        <is>
          <t>Basket</t>
        </is>
      </c>
      <c r="F784" s="3" t="inlineStr">
        <is>
          <t>mean</t>
        </is>
      </c>
      <c r="G784" s="3" t="n">
        <v>9999</v>
      </c>
      <c r="H784" s="3" t="n">
        <v>-0.7910030484199524</v>
      </c>
      <c r="I784" s="3" t="n">
        <v>-0.7910030484199524</v>
      </c>
      <c r="J784" s="3" t="n">
        <v>-0.910373330116272</v>
      </c>
      <c r="K784" s="3" t="n">
        <v>-0.910373330116272</v>
      </c>
      <c r="L784" s="3" t="n">
        <v>-0.7910030484199524</v>
      </c>
      <c r="M784" s="3" t="n">
        <v>-0.7910030484199524</v>
      </c>
      <c r="N784" s="3" t="n">
        <v>-0.7910030484199524</v>
      </c>
      <c r="O784" s="3" t="n">
        <v>-0.7910030484199524</v>
      </c>
      <c r="P784" s="3" t="n">
        <v>-0.7910030484199524</v>
      </c>
      <c r="Q784" s="3" t="n">
        <v>-0.7910030484199524</v>
      </c>
      <c r="R784" s="3" t="n">
        <v>-0.7751230001449585</v>
      </c>
      <c r="S784" s="3" t="n">
        <v>-1.523949980735779</v>
      </c>
      <c r="T784" s="3" t="n">
        <v>-0.7104492783546448</v>
      </c>
      <c r="U784" s="3" t="n">
        <v>-0.910373330116272</v>
      </c>
      <c r="V784" s="3" t="n">
        <v>-0.685316801071167</v>
      </c>
      <c r="W784" s="3" t="n">
        <v>-0.6237940788269043</v>
      </c>
      <c r="X784" s="3" t="n">
        <v>-1.485342025756836</v>
      </c>
      <c r="Y784" s="3" t="n">
        <v>-0.7910030484199524</v>
      </c>
      <c r="Z784" s="3" t="n">
        <v>-1.523949980735779</v>
      </c>
      <c r="AA784" s="3" t="n">
        <v>-1.523949980735779</v>
      </c>
      <c r="AB784" s="3" t="n">
        <v>-1.485342025756836</v>
      </c>
      <c r="AC784" s="3" t="n">
        <v>-2.938624620437622</v>
      </c>
      <c r="AD784" s="3" t="n">
        <v>-0.910373330116272</v>
      </c>
      <c r="AE784" s="3" t="n">
        <v>-0.910373330116272</v>
      </c>
    </row>
    <row r="785">
      <c r="A785" s="3" t="inlineStr">
        <is>
          <t>GIB.distn.dec.ove.mean.1</t>
        </is>
      </c>
      <c r="B785" s="3" t="inlineStr">
        <is>
          <t>GIB</t>
        </is>
      </c>
      <c r="C785" s="3" t="n">
        <v>2005</v>
      </c>
      <c r="D785" s="3" t="inlineStr">
        <is>
          <t>Overall</t>
        </is>
      </c>
      <c r="E785" s="3" t="inlineStr">
        <is>
          <t>Deciles</t>
        </is>
      </c>
      <c r="F785" s="3" t="inlineStr">
        <is>
          <t>mean</t>
        </is>
      </c>
      <c r="G785" s="3" t="n">
        <v>1</v>
      </c>
      <c r="H785" s="3" t="n">
        <v>-0.7878549098968506</v>
      </c>
      <c r="I785" s="3" t="n">
        <v>-0.7878549098968506</v>
      </c>
      <c r="J785" s="3" t="n">
        <v>-0.8883962808771336</v>
      </c>
      <c r="K785" s="3" t="n">
        <v>-0.8883962808771336</v>
      </c>
      <c r="L785" s="3" t="n">
        <v>-0.7878549098968506</v>
      </c>
      <c r="M785" s="3" t="n">
        <v>-0.7878549098968506</v>
      </c>
      <c r="N785" s="3" t="n">
        <v>-0.7878549098968506</v>
      </c>
      <c r="O785" s="3" t="n">
        <v>-0.7878549098968506</v>
      </c>
      <c r="P785" s="3" t="n">
        <v>-0.7878549098968506</v>
      </c>
      <c r="Q785" s="3" t="n">
        <v>-0.7878549098968506</v>
      </c>
      <c r="R785" s="3" t="n">
        <v>-0.7732356596500316</v>
      </c>
      <c r="S785" s="3" t="n">
        <v>-1.408805674694954</v>
      </c>
      <c r="T785" s="3" t="n">
        <v>-0.7095591730259835</v>
      </c>
      <c r="U785" s="3" t="n">
        <v>-0.8883962808771336</v>
      </c>
      <c r="V785" s="3" t="n">
        <v>-0.681934451803248</v>
      </c>
      <c r="W785" s="3" t="n">
        <v>-0.5702875047288043</v>
      </c>
      <c r="X785" s="3" t="n">
        <v>-1.356243993373627</v>
      </c>
      <c r="Y785" s="3" t="n">
        <v>-0.7878549098968506</v>
      </c>
      <c r="Z785" s="3" t="n">
        <v>-1.408805674694954</v>
      </c>
      <c r="AA785" s="3" t="n">
        <v>-1.408805674694954</v>
      </c>
      <c r="AB785" s="3" t="n">
        <v>-1.356243993373627</v>
      </c>
      <c r="AC785" s="3" t="n">
        <v>-2.123991362592007</v>
      </c>
      <c r="AD785" s="3" t="n">
        <v>-0.8883962808771336</v>
      </c>
      <c r="AE785" s="3" t="n">
        <v>-0.8883962808771336</v>
      </c>
    </row>
    <row r="786">
      <c r="A786" s="3" t="inlineStr">
        <is>
          <t>GIB.distn.dec.ove.mean.2</t>
        </is>
      </c>
      <c r="B786" s="3" t="inlineStr">
        <is>
          <t>GIB</t>
        </is>
      </c>
      <c r="C786" s="3" t="n">
        <v>2005</v>
      </c>
      <c r="D786" s="3" t="inlineStr">
        <is>
          <t>Overall</t>
        </is>
      </c>
      <c r="E786" s="3" t="inlineStr">
        <is>
          <t>Deciles</t>
        </is>
      </c>
      <c r="F786" s="3" t="inlineStr">
        <is>
          <t>mean</t>
        </is>
      </c>
      <c r="G786" s="3" t="n">
        <v>2</v>
      </c>
      <c r="H786" s="3" t="n">
        <v>-0.7878549098968506</v>
      </c>
      <c r="I786" s="3" t="n">
        <v>-0.7878549098968506</v>
      </c>
      <c r="J786" s="3" t="n">
        <v>-0.8883962808771336</v>
      </c>
      <c r="K786" s="3" t="n">
        <v>-0.8883962808771336</v>
      </c>
      <c r="L786" s="3" t="n">
        <v>-0.7878549098968506</v>
      </c>
      <c r="M786" s="3" t="n">
        <v>-0.7878549098968506</v>
      </c>
      <c r="N786" s="3" t="n">
        <v>-0.7878549098968506</v>
      </c>
      <c r="O786" s="3" t="n">
        <v>-0.7878549098968506</v>
      </c>
      <c r="P786" s="3" t="n">
        <v>-0.7878549098968506</v>
      </c>
      <c r="Q786" s="3" t="n">
        <v>-0.7878549098968506</v>
      </c>
      <c r="R786" s="3" t="n">
        <v>-0.7732356596500316</v>
      </c>
      <c r="S786" s="3" t="n">
        <v>-1.408805674694954</v>
      </c>
      <c r="T786" s="3" t="n">
        <v>-0.7095591730259835</v>
      </c>
      <c r="U786" s="3" t="n">
        <v>-0.8883962808771336</v>
      </c>
      <c r="V786" s="3" t="n">
        <v>-0.681934451803248</v>
      </c>
      <c r="W786" s="3" t="n">
        <v>-0.5702875047288043</v>
      </c>
      <c r="X786" s="3" t="n">
        <v>-1.356243993373627</v>
      </c>
      <c r="Y786" s="3" t="n">
        <v>-0.7878549098968506</v>
      </c>
      <c r="Z786" s="3" t="n">
        <v>-1.408805674694954</v>
      </c>
      <c r="AA786" s="3" t="n">
        <v>-1.408805674694954</v>
      </c>
      <c r="AB786" s="3" t="n">
        <v>-1.356243993373627</v>
      </c>
      <c r="AC786" s="3" t="n">
        <v>-2.123991362592007</v>
      </c>
      <c r="AD786" s="3" t="n">
        <v>-0.8883962808771336</v>
      </c>
      <c r="AE786" s="3" t="n">
        <v>-0.8883962808771336</v>
      </c>
    </row>
    <row r="787">
      <c r="A787" s="3" t="inlineStr">
        <is>
          <t>GIB.distn.dec.ove.mean.3</t>
        </is>
      </c>
      <c r="B787" s="3" t="inlineStr">
        <is>
          <t>GIB</t>
        </is>
      </c>
      <c r="C787" s="3" t="n">
        <v>2005</v>
      </c>
      <c r="D787" s="3" t="inlineStr">
        <is>
          <t>Overall</t>
        </is>
      </c>
      <c r="E787" s="3" t="inlineStr">
        <is>
          <t>Deciles</t>
        </is>
      </c>
      <c r="F787" s="3" t="inlineStr">
        <is>
          <t>mean</t>
        </is>
      </c>
      <c r="G787" s="3" t="n">
        <v>3</v>
      </c>
      <c r="H787" s="3" t="n">
        <v>-0.7878549098968506</v>
      </c>
      <c r="I787" s="3" t="n">
        <v>-0.7878549098968506</v>
      </c>
      <c r="J787" s="3" t="n">
        <v>-0.8883962808771336</v>
      </c>
      <c r="K787" s="3" t="n">
        <v>-0.8883962808771336</v>
      </c>
      <c r="L787" s="3" t="n">
        <v>-0.7878549098968506</v>
      </c>
      <c r="M787" s="3" t="n">
        <v>-0.7878549098968506</v>
      </c>
      <c r="N787" s="3" t="n">
        <v>-0.7878549098968506</v>
      </c>
      <c r="O787" s="3" t="n">
        <v>-0.7878549098968506</v>
      </c>
      <c r="P787" s="3" t="n">
        <v>-0.7878549098968506</v>
      </c>
      <c r="Q787" s="3" t="n">
        <v>-0.7878549098968506</v>
      </c>
      <c r="R787" s="3" t="n">
        <v>-0.7732356596500316</v>
      </c>
      <c r="S787" s="3" t="n">
        <v>-1.408805674694954</v>
      </c>
      <c r="T787" s="3" t="n">
        <v>-0.7095591730259835</v>
      </c>
      <c r="U787" s="3" t="n">
        <v>-0.8883962808771336</v>
      </c>
      <c r="V787" s="3" t="n">
        <v>-0.681934451803248</v>
      </c>
      <c r="W787" s="3" t="n">
        <v>-0.5702875047288043</v>
      </c>
      <c r="X787" s="3" t="n">
        <v>-1.356243993373627</v>
      </c>
      <c r="Y787" s="3" t="n">
        <v>-0.7878549098968506</v>
      </c>
      <c r="Z787" s="3" t="n">
        <v>-1.408805674694954</v>
      </c>
      <c r="AA787" s="3" t="n">
        <v>-1.408805674694954</v>
      </c>
      <c r="AB787" s="3" t="n">
        <v>-1.356243993373627</v>
      </c>
      <c r="AC787" s="3" t="n">
        <v>-2.123991362592007</v>
      </c>
      <c r="AD787" s="3" t="n">
        <v>-0.8883962808771336</v>
      </c>
      <c r="AE787" s="3" t="n">
        <v>-0.8883962808771336</v>
      </c>
    </row>
    <row r="788">
      <c r="A788" s="3" t="inlineStr">
        <is>
          <t>GIB.distn.dec.ove.mean.4</t>
        </is>
      </c>
      <c r="B788" s="3" t="inlineStr">
        <is>
          <t>GIB</t>
        </is>
      </c>
      <c r="C788" s="3" t="n">
        <v>2005</v>
      </c>
      <c r="D788" s="3" t="inlineStr">
        <is>
          <t>Overall</t>
        </is>
      </c>
      <c r="E788" s="3" t="inlineStr">
        <is>
          <t>Deciles</t>
        </is>
      </c>
      <c r="F788" s="3" t="inlineStr">
        <is>
          <t>mean</t>
        </is>
      </c>
      <c r="G788" s="3" t="n">
        <v>4</v>
      </c>
      <c r="H788" s="3" t="n">
        <v>-0.7816170251115839</v>
      </c>
      <c r="I788" s="3" t="n">
        <v>-0.7816170251115839</v>
      </c>
      <c r="J788" s="3" t="n">
        <v>-0.8454680810583398</v>
      </c>
      <c r="K788" s="3" t="n">
        <v>-0.8454680810583398</v>
      </c>
      <c r="L788" s="3" t="n">
        <v>-0.7816170251115839</v>
      </c>
      <c r="M788" s="3" t="n">
        <v>-0.7816170251115839</v>
      </c>
      <c r="N788" s="3" t="n">
        <v>-0.7816170251115839</v>
      </c>
      <c r="O788" s="3" t="n">
        <v>-0.7816170251115839</v>
      </c>
      <c r="P788" s="3" t="n">
        <v>-0.7816170251115839</v>
      </c>
      <c r="Q788" s="3" t="n">
        <v>-0.7816170251115839</v>
      </c>
      <c r="R788" s="3" t="n">
        <v>-0.7697659489956308</v>
      </c>
      <c r="S788" s="3" t="n">
        <v>-0.9595531871978272</v>
      </c>
      <c r="T788" s="3" t="n">
        <v>-0.7081063859006191</v>
      </c>
      <c r="U788" s="3" t="n">
        <v>-0.8454680810583398</v>
      </c>
      <c r="V788" s="3" t="n">
        <v>-0.6750000017754575</v>
      </c>
      <c r="W788" s="3" t="n">
        <v>-0.4799574455048176</v>
      </c>
      <c r="X788" s="3" t="n">
        <v>-0.9571489362006492</v>
      </c>
      <c r="Y788" s="3" t="n">
        <v>-0.7816170251115839</v>
      </c>
      <c r="Z788" s="3" t="n">
        <v>-0.9595531871978272</v>
      </c>
      <c r="AA788" s="3" t="n">
        <v>-0.9595531871978272</v>
      </c>
      <c r="AB788" s="3" t="n">
        <v>-0.9571489362006492</v>
      </c>
      <c r="AC788" s="3" t="n">
        <v>-1.025723396463597</v>
      </c>
      <c r="AD788" s="3" t="n">
        <v>-0.8454680810583398</v>
      </c>
      <c r="AE788" s="3" t="n">
        <v>-0.8454680810583398</v>
      </c>
    </row>
    <row r="789">
      <c r="A789" s="3" t="inlineStr">
        <is>
          <t>GIB.distn.dec.ove.mean.5</t>
        </is>
      </c>
      <c r="B789" s="3" t="inlineStr">
        <is>
          <t>GIB</t>
        </is>
      </c>
      <c r="C789" s="3" t="n">
        <v>2005</v>
      </c>
      <c r="D789" s="3" t="inlineStr">
        <is>
          <t>Overall</t>
        </is>
      </c>
      <c r="E789" s="3" t="inlineStr">
        <is>
          <t>Deciles</t>
        </is>
      </c>
      <c r="F789" s="3" t="inlineStr">
        <is>
          <t>mean</t>
        </is>
      </c>
      <c r="G789" s="3" t="n">
        <v>5</v>
      </c>
      <c r="H789" s="3" t="n">
        <v>-0.7816170251115839</v>
      </c>
      <c r="I789" s="3" t="n">
        <v>-0.7816170251115839</v>
      </c>
      <c r="J789" s="3" t="n">
        <v>-0.8454680810583398</v>
      </c>
      <c r="K789" s="3" t="n">
        <v>-0.8454680810583398</v>
      </c>
      <c r="L789" s="3" t="n">
        <v>-0.7816170251115839</v>
      </c>
      <c r="M789" s="3" t="n">
        <v>-0.7816170251115839</v>
      </c>
      <c r="N789" s="3" t="n">
        <v>-0.7816170251115839</v>
      </c>
      <c r="O789" s="3" t="n">
        <v>-0.7816170251115839</v>
      </c>
      <c r="P789" s="3" t="n">
        <v>-0.7816170251115839</v>
      </c>
      <c r="Q789" s="3" t="n">
        <v>-0.7816170251115839</v>
      </c>
      <c r="R789" s="3" t="n">
        <v>-0.7697659489956308</v>
      </c>
      <c r="S789" s="3" t="n">
        <v>-0.9595531871978272</v>
      </c>
      <c r="T789" s="3" t="n">
        <v>-0.7081063859006191</v>
      </c>
      <c r="U789" s="3" t="n">
        <v>-0.8454680810583398</v>
      </c>
      <c r="V789" s="3" t="n">
        <v>-0.6750000017754575</v>
      </c>
      <c r="W789" s="3" t="n">
        <v>-0.4799574455048176</v>
      </c>
      <c r="X789" s="3" t="n">
        <v>-0.9571489362006492</v>
      </c>
      <c r="Y789" s="3" t="n">
        <v>-0.7816170251115839</v>
      </c>
      <c r="Z789" s="3" t="n">
        <v>-0.9595531871978272</v>
      </c>
      <c r="AA789" s="3" t="n">
        <v>-0.9595531871978272</v>
      </c>
      <c r="AB789" s="3" t="n">
        <v>-0.9571489362006492</v>
      </c>
      <c r="AC789" s="3" t="n">
        <v>-1.025723396463597</v>
      </c>
      <c r="AD789" s="3" t="n">
        <v>-0.8454680810583398</v>
      </c>
      <c r="AE789" s="3" t="n">
        <v>-0.8454680810583398</v>
      </c>
    </row>
    <row r="790">
      <c r="A790" s="3" t="inlineStr">
        <is>
          <t>GIB.distn.dec.ove.mean.6</t>
        </is>
      </c>
      <c r="B790" s="3" t="inlineStr">
        <is>
          <t>GIB</t>
        </is>
      </c>
      <c r="C790" s="3" t="n">
        <v>2005</v>
      </c>
      <c r="D790" s="3" t="inlineStr">
        <is>
          <t>Overall</t>
        </is>
      </c>
      <c r="E790" s="3" t="inlineStr">
        <is>
          <t>Deciles</t>
        </is>
      </c>
      <c r="F790" s="3" t="inlineStr">
        <is>
          <t>mean</t>
        </is>
      </c>
      <c r="G790" s="3" t="n">
        <v>6</v>
      </c>
      <c r="H790" s="3" t="n">
        <v>-0.7816170251115839</v>
      </c>
      <c r="I790" s="3" t="n">
        <v>-0.7816170251115839</v>
      </c>
      <c r="J790" s="3" t="n">
        <v>-0.8454680810583398</v>
      </c>
      <c r="K790" s="3" t="n">
        <v>-0.8454680810583398</v>
      </c>
      <c r="L790" s="3" t="n">
        <v>-0.7816170251115839</v>
      </c>
      <c r="M790" s="3" t="n">
        <v>-0.7816170251115839</v>
      </c>
      <c r="N790" s="3" t="n">
        <v>-0.7816170251115839</v>
      </c>
      <c r="O790" s="3" t="n">
        <v>-0.7816170251115839</v>
      </c>
      <c r="P790" s="3" t="n">
        <v>-0.7816170251115839</v>
      </c>
      <c r="Q790" s="3" t="n">
        <v>-0.7816170251115839</v>
      </c>
      <c r="R790" s="3" t="n">
        <v>-0.7697659489956308</v>
      </c>
      <c r="S790" s="3" t="n">
        <v>-0.9595531871978272</v>
      </c>
      <c r="T790" s="3" t="n">
        <v>-0.7081063859006191</v>
      </c>
      <c r="U790" s="3" t="n">
        <v>-0.8454680810583398</v>
      </c>
      <c r="V790" s="3" t="n">
        <v>-0.6750000017754575</v>
      </c>
      <c r="W790" s="3" t="n">
        <v>-0.4799574455048176</v>
      </c>
      <c r="X790" s="3" t="n">
        <v>-0.9571489362006492</v>
      </c>
      <c r="Y790" s="3" t="n">
        <v>-0.7816170251115839</v>
      </c>
      <c r="Z790" s="3" t="n">
        <v>-0.9595531871978272</v>
      </c>
      <c r="AA790" s="3" t="n">
        <v>-0.9595531871978272</v>
      </c>
      <c r="AB790" s="3" t="n">
        <v>-0.9571489362006492</v>
      </c>
      <c r="AC790" s="3" t="n">
        <v>-1.025723396463597</v>
      </c>
      <c r="AD790" s="3" t="n">
        <v>-0.8454680810583398</v>
      </c>
      <c r="AE790" s="3" t="n">
        <v>-0.8454680810583398</v>
      </c>
    </row>
    <row r="791">
      <c r="A791" s="3" t="inlineStr">
        <is>
          <t>GIB.distn.dec.ove.mean.7</t>
        </is>
      </c>
      <c r="B791" s="3" t="inlineStr">
        <is>
          <t>GIB</t>
        </is>
      </c>
      <c r="C791" s="3" t="n">
        <v>2005</v>
      </c>
      <c r="D791" s="3" t="inlineStr">
        <is>
          <t>Overall</t>
        </is>
      </c>
      <c r="E791" s="3" t="inlineStr">
        <is>
          <t>Deciles</t>
        </is>
      </c>
      <c r="F791" s="3" t="inlineStr">
        <is>
          <t>mean</t>
        </is>
      </c>
      <c r="G791" s="3" t="n">
        <v>7</v>
      </c>
      <c r="H791" s="3" t="n">
        <v>-0.7816170251115839</v>
      </c>
      <c r="I791" s="3" t="n">
        <v>-0.7816170251115839</v>
      </c>
      <c r="J791" s="3" t="n">
        <v>-0.8454680810583398</v>
      </c>
      <c r="K791" s="3" t="n">
        <v>-0.8454680810583398</v>
      </c>
      <c r="L791" s="3" t="n">
        <v>-0.7816170251115839</v>
      </c>
      <c r="M791" s="3" t="n">
        <v>-0.7816170251115839</v>
      </c>
      <c r="N791" s="3" t="n">
        <v>-0.7816170251115839</v>
      </c>
      <c r="O791" s="3" t="n">
        <v>-0.7816170251115839</v>
      </c>
      <c r="P791" s="3" t="n">
        <v>-0.7816170251115839</v>
      </c>
      <c r="Q791" s="3" t="n">
        <v>-0.7816170251115839</v>
      </c>
      <c r="R791" s="3" t="n">
        <v>-0.7697659489956308</v>
      </c>
      <c r="S791" s="3" t="n">
        <v>-0.9595531871978272</v>
      </c>
      <c r="T791" s="3" t="n">
        <v>-0.7081063859006191</v>
      </c>
      <c r="U791" s="3" t="n">
        <v>-0.8454680810583398</v>
      </c>
      <c r="V791" s="3" t="n">
        <v>-0.6750000017754575</v>
      </c>
      <c r="W791" s="3" t="n">
        <v>-0.4799574455048176</v>
      </c>
      <c r="X791" s="3" t="n">
        <v>-0.9571489362006492</v>
      </c>
      <c r="Y791" s="3" t="n">
        <v>-0.7816170251115839</v>
      </c>
      <c r="Z791" s="3" t="n">
        <v>-0.9595531871978272</v>
      </c>
      <c r="AA791" s="3" t="n">
        <v>-0.9595531871978272</v>
      </c>
      <c r="AB791" s="3" t="n">
        <v>-0.9571489362006492</v>
      </c>
      <c r="AC791" s="3" t="n">
        <v>-1.025723396463597</v>
      </c>
      <c r="AD791" s="3" t="n">
        <v>-0.8454680810583398</v>
      </c>
      <c r="AE791" s="3" t="n">
        <v>-0.8454680810583398</v>
      </c>
    </row>
    <row r="792">
      <c r="A792" s="3" t="inlineStr">
        <is>
          <t>GIB.distn.dec.ove.mean.8</t>
        </is>
      </c>
      <c r="B792" s="3" t="inlineStr">
        <is>
          <t>GIB</t>
        </is>
      </c>
      <c r="C792" s="3" t="n">
        <v>2005</v>
      </c>
      <c r="D792" s="3" t="inlineStr">
        <is>
          <t>Overall</t>
        </is>
      </c>
      <c r="E792" s="3" t="inlineStr">
        <is>
          <t>Deciles</t>
        </is>
      </c>
      <c r="F792" s="3" t="inlineStr">
        <is>
          <t>mean</t>
        </is>
      </c>
      <c r="G792" s="3" t="n">
        <v>8</v>
      </c>
      <c r="H792" s="3" t="n">
        <v>-0.7819935831617801</v>
      </c>
      <c r="I792" s="3" t="n">
        <v>-0.7819935831617801</v>
      </c>
      <c r="J792" s="3" t="n">
        <v>-0.8477488045996808</v>
      </c>
      <c r="K792" s="3" t="n">
        <v>-0.8477488045996808</v>
      </c>
      <c r="L792" s="3" t="n">
        <v>-0.7819935831617801</v>
      </c>
      <c r="M792" s="3" t="n">
        <v>-0.7819935831617801</v>
      </c>
      <c r="N792" s="3" t="n">
        <v>-0.7819935831617801</v>
      </c>
      <c r="O792" s="3" t="n">
        <v>-0.7819935831617801</v>
      </c>
      <c r="P792" s="3" t="n">
        <v>-0.7819935831617801</v>
      </c>
      <c r="Q792" s="3" t="n">
        <v>-0.7819935831617801</v>
      </c>
      <c r="R792" s="3" t="n">
        <v>-0.7700191178220384</v>
      </c>
      <c r="S792" s="3" t="n">
        <v>-0.9684819490351575</v>
      </c>
      <c r="T792" s="3" t="n">
        <v>-0.70814722142321</v>
      </c>
      <c r="U792" s="3" t="n">
        <v>-0.8477488045996808</v>
      </c>
      <c r="V792" s="3" t="n">
        <v>-0.6756977857427394</v>
      </c>
      <c r="W792" s="3" t="n">
        <v>-0.4928101326556916</v>
      </c>
      <c r="X792" s="3" t="n">
        <v>-0.9658704755154062</v>
      </c>
      <c r="Y792" s="3" t="n">
        <v>-0.7819935831617801</v>
      </c>
      <c r="Z792" s="3" t="n">
        <v>-0.9684819490351575</v>
      </c>
      <c r="AA792" s="3" t="n">
        <v>-0.9684819490351575</v>
      </c>
      <c r="AB792" s="3" t="n">
        <v>-0.9658704755154062</v>
      </c>
      <c r="AC792" s="3" t="n">
        <v>-1.04035159628442</v>
      </c>
      <c r="AD792" s="3" t="n">
        <v>-0.8477488045996808</v>
      </c>
      <c r="AE792" s="3" t="n">
        <v>-0.8477488045996808</v>
      </c>
    </row>
    <row r="793">
      <c r="A793" s="3" t="inlineStr">
        <is>
          <t>GIB.distn.dec.ove.mean.9</t>
        </is>
      </c>
      <c r="B793" s="3" t="inlineStr">
        <is>
          <t>GIB</t>
        </is>
      </c>
      <c r="C793" s="3" t="n">
        <v>2005</v>
      </c>
      <c r="D793" s="3" t="inlineStr">
        <is>
          <t>Overall</t>
        </is>
      </c>
      <c r="E793" s="3" t="inlineStr">
        <is>
          <t>Deciles</t>
        </is>
      </c>
      <c r="F793" s="3" t="inlineStr">
        <is>
          <t>mean</t>
        </is>
      </c>
      <c r="G793" s="3" t="n">
        <v>9</v>
      </c>
      <c r="H793" s="3" t="n">
        <v>-0.7819935831617801</v>
      </c>
      <c r="I793" s="3" t="n">
        <v>-0.7819935831617801</v>
      </c>
      <c r="J793" s="3" t="n">
        <v>-0.8477488045996808</v>
      </c>
      <c r="K793" s="3" t="n">
        <v>-0.8477488045996808</v>
      </c>
      <c r="L793" s="3" t="n">
        <v>-0.7819935831617801</v>
      </c>
      <c r="M793" s="3" t="n">
        <v>-0.7819935831617801</v>
      </c>
      <c r="N793" s="3" t="n">
        <v>-0.7819935831617801</v>
      </c>
      <c r="O793" s="3" t="n">
        <v>-0.7819935831617801</v>
      </c>
      <c r="P793" s="3" t="n">
        <v>-0.7819935831617801</v>
      </c>
      <c r="Q793" s="3" t="n">
        <v>-0.7819935831617801</v>
      </c>
      <c r="R793" s="3" t="n">
        <v>-0.7700191178220384</v>
      </c>
      <c r="S793" s="3" t="n">
        <v>-0.9684819490351575</v>
      </c>
      <c r="T793" s="3" t="n">
        <v>-0.70814722142321</v>
      </c>
      <c r="U793" s="3" t="n">
        <v>-0.8477488045996808</v>
      </c>
      <c r="V793" s="3" t="n">
        <v>-0.6756977857427394</v>
      </c>
      <c r="W793" s="3" t="n">
        <v>-0.4928101326556916</v>
      </c>
      <c r="X793" s="3" t="n">
        <v>-0.9658704755154062</v>
      </c>
      <c r="Y793" s="3" t="n">
        <v>-0.7819935831617801</v>
      </c>
      <c r="Z793" s="3" t="n">
        <v>-0.9684819490351575</v>
      </c>
      <c r="AA793" s="3" t="n">
        <v>-0.9684819490351575</v>
      </c>
      <c r="AB793" s="3" t="n">
        <v>-0.9658704755154062</v>
      </c>
      <c r="AC793" s="3" t="n">
        <v>-1.04035159628442</v>
      </c>
      <c r="AD793" s="3" t="n">
        <v>-0.8477488045996808</v>
      </c>
      <c r="AE793" s="3" t="n">
        <v>-0.8477488045996808</v>
      </c>
    </row>
    <row r="794">
      <c r="A794" s="3" t="inlineStr">
        <is>
          <t>GIB.distn.dec.ove.mean.10</t>
        </is>
      </c>
      <c r="B794" s="3" t="inlineStr">
        <is>
          <t>GIB</t>
        </is>
      </c>
      <c r="C794" s="3" t="n">
        <v>2005</v>
      </c>
      <c r="D794" s="3" t="inlineStr">
        <is>
          <t>Overall</t>
        </is>
      </c>
      <c r="E794" s="3" t="inlineStr">
        <is>
          <t>Deciles</t>
        </is>
      </c>
      <c r="F794" s="3" t="inlineStr">
        <is>
          <t>mean</t>
        </is>
      </c>
      <c r="G794" s="3" t="n">
        <v>10</v>
      </c>
      <c r="H794" s="3" t="n">
        <v>-0.7819935831617801</v>
      </c>
      <c r="I794" s="3" t="n">
        <v>-0.7819935831617801</v>
      </c>
      <c r="J794" s="3" t="n">
        <v>-0.8477488045996808</v>
      </c>
      <c r="K794" s="3" t="n">
        <v>-0.8477488045996808</v>
      </c>
      <c r="L794" s="3" t="n">
        <v>-0.7819935831617801</v>
      </c>
      <c r="M794" s="3" t="n">
        <v>-0.7819935831617801</v>
      </c>
      <c r="N794" s="3" t="n">
        <v>-0.7819935831617801</v>
      </c>
      <c r="O794" s="3" t="n">
        <v>-0.7819935831617801</v>
      </c>
      <c r="P794" s="3" t="n">
        <v>-0.7819935831617801</v>
      </c>
      <c r="Q794" s="3" t="n">
        <v>-0.7819935831617801</v>
      </c>
      <c r="R794" s="3" t="n">
        <v>-0.7700191178220384</v>
      </c>
      <c r="S794" s="3" t="n">
        <v>-0.9684819490351575</v>
      </c>
      <c r="T794" s="3" t="n">
        <v>-0.70814722142321</v>
      </c>
      <c r="U794" s="3" t="n">
        <v>-0.8477488045996808</v>
      </c>
      <c r="V794" s="3" t="n">
        <v>-0.6756977857427394</v>
      </c>
      <c r="W794" s="3" t="n">
        <v>-0.4928101326556916</v>
      </c>
      <c r="X794" s="3" t="n">
        <v>-0.9658704755154062</v>
      </c>
      <c r="Y794" s="3" t="n">
        <v>-0.7819935831617801</v>
      </c>
      <c r="Z794" s="3" t="n">
        <v>-0.9684819490351575</v>
      </c>
      <c r="AA794" s="3" t="n">
        <v>-0.9684819490351575</v>
      </c>
      <c r="AB794" s="3" t="n">
        <v>-0.9658704755154062</v>
      </c>
      <c r="AC794" s="3" t="n">
        <v>-1.04035159628442</v>
      </c>
      <c r="AD794" s="3" t="n">
        <v>-0.8477488045996808</v>
      </c>
      <c r="AE794" s="3" t="n">
        <v>-0.8477488045996808</v>
      </c>
    </row>
    <row r="795">
      <c r="A795" s="3" t="inlineStr">
        <is>
          <t>GIB.distn.bkt.ove.mean.9999</t>
        </is>
      </c>
      <c r="B795" s="3" t="inlineStr">
        <is>
          <t>GIB</t>
        </is>
      </c>
      <c r="C795" s="3" t="n">
        <v>2005</v>
      </c>
      <c r="D795" s="3" t="inlineStr">
        <is>
          <t>Overall</t>
        </is>
      </c>
      <c r="E795" s="3" t="inlineStr">
        <is>
          <t>Basket</t>
        </is>
      </c>
      <c r="F795" s="3" t="inlineStr">
        <is>
          <t>mean</t>
        </is>
      </c>
      <c r="G795" s="3" t="n">
        <v>9999</v>
      </c>
      <c r="H795" s="3" t="n">
        <v>-0.7836013613863194</v>
      </c>
      <c r="I795" s="3" t="n">
        <v>-0.7836013613863194</v>
      </c>
      <c r="J795" s="3" t="n">
        <v>-0.8590307616172953</v>
      </c>
      <c r="K795" s="3" t="n">
        <v>-0.8590307616172953</v>
      </c>
      <c r="L795" s="3" t="n">
        <v>-0.7836013613863194</v>
      </c>
      <c r="M795" s="3" t="n">
        <v>-0.7836013613863194</v>
      </c>
      <c r="N795" s="3" t="n">
        <v>-0.7836013613863194</v>
      </c>
      <c r="O795" s="3" t="n">
        <v>-0.7836013613863194</v>
      </c>
      <c r="P795" s="3" t="n">
        <v>-0.7836013613863194</v>
      </c>
      <c r="Q795" s="3" t="n">
        <v>-0.7836013613863194</v>
      </c>
      <c r="R795" s="3" t="n">
        <v>-0.7708828220976159</v>
      </c>
      <c r="S795" s="3" t="n">
        <v>-1.097007578991829</v>
      </c>
      <c r="T795" s="3" t="n">
        <v>-0.7085544974245923</v>
      </c>
      <c r="U795" s="3" t="n">
        <v>-0.8590307616172953</v>
      </c>
      <c r="V795" s="3" t="n">
        <v>-0.6772896647453308</v>
      </c>
      <c r="W795" s="3" t="n">
        <v>-0.5109122699879586</v>
      </c>
      <c r="X795" s="3" t="n">
        <v>-1.079493910708326</v>
      </c>
      <c r="Y795" s="3" t="n">
        <v>-0.7836013613863194</v>
      </c>
      <c r="Z795" s="3" t="n">
        <v>-1.097007578991829</v>
      </c>
      <c r="AA795" s="3" t="n">
        <v>-1.097007578991829</v>
      </c>
      <c r="AB795" s="3" t="n">
        <v>-1.079493910708326</v>
      </c>
      <c r="AC795" s="3" t="n">
        <v>-1.359592239907447</v>
      </c>
      <c r="AD795" s="3" t="n">
        <v>-0.8590307616172953</v>
      </c>
      <c r="AE795" s="3" t="n">
        <v>-0.8590307616172953</v>
      </c>
    </row>
    <row r="796">
      <c r="A796" s="3" t="inlineStr">
        <is>
          <t>GIN.distn.dec.ove.mean.1</t>
        </is>
      </c>
      <c r="B796" s="3" t="inlineStr">
        <is>
          <t>GIN</t>
        </is>
      </c>
      <c r="C796" s="3" t="n">
        <v>2005</v>
      </c>
      <c r="D796" s="3" t="inlineStr">
        <is>
          <t>Overall</t>
        </is>
      </c>
      <c r="E796" s="3" t="inlineStr">
        <is>
          <t>Deciles</t>
        </is>
      </c>
      <c r="F796" s="3" t="inlineStr">
        <is>
          <t>mean</t>
        </is>
      </c>
      <c r="G796" s="3" t="n">
        <v>1</v>
      </c>
      <c r="H796" s="3" t="n">
        <v>-0.7963047623634338</v>
      </c>
      <c r="I796" s="3" t="n">
        <v>-0.7963047623634338</v>
      </c>
      <c r="J796" s="3" t="n">
        <v>-0.9530524611473083</v>
      </c>
      <c r="K796" s="3" t="n">
        <v>-0.9530524611473083</v>
      </c>
      <c r="L796" s="3" t="n">
        <v>-0.7963047623634338</v>
      </c>
      <c r="M796" s="3" t="n">
        <v>-0.7963047623634338</v>
      </c>
      <c r="N796" s="3" t="n">
        <v>-0.7963047623634338</v>
      </c>
      <c r="O796" s="3" t="n">
        <v>-0.7963047623634338</v>
      </c>
      <c r="P796" s="3" t="n">
        <v>-0.7963047623634338</v>
      </c>
      <c r="Q796" s="3" t="n">
        <v>-0.7963047623634338</v>
      </c>
      <c r="R796" s="3" t="n">
        <v>-0.7784932851791382</v>
      </c>
      <c r="S796" s="3" t="n">
        <v>-2.216965675354004</v>
      </c>
      <c r="T796" s="3" t="n">
        <v>-0.7114566564559937</v>
      </c>
      <c r="U796" s="3" t="n">
        <v>-0.9530524611473083</v>
      </c>
      <c r="V796" s="3" t="n">
        <v>-0.6910269260406494</v>
      </c>
      <c r="W796" s="3" t="n">
        <v>-0.7057933807373047</v>
      </c>
      <c r="X796" s="3" t="n">
        <v>-2.101355075836182</v>
      </c>
      <c r="Y796" s="3" t="n">
        <v>-0.7963047623634338</v>
      </c>
      <c r="Z796" s="3" t="n">
        <v>-2.216965675354004</v>
      </c>
      <c r="AA796" s="3" t="n">
        <v>-2.216965675354004</v>
      </c>
      <c r="AB796" s="3" t="n">
        <v>-2.101355075836182</v>
      </c>
      <c r="AC796" s="3" t="n">
        <v>-8.541741371154785</v>
      </c>
      <c r="AD796" s="3" t="n">
        <v>-0.9530524611473083</v>
      </c>
      <c r="AE796" s="3" t="n">
        <v>-0.9530524611473083</v>
      </c>
    </row>
    <row r="797">
      <c r="A797" s="3" t="inlineStr">
        <is>
          <t>GIN.distn.dec.ove.mean.2</t>
        </is>
      </c>
      <c r="B797" s="3" t="inlineStr">
        <is>
          <t>GIN</t>
        </is>
      </c>
      <c r="C797" s="3" t="n">
        <v>2005</v>
      </c>
      <c r="D797" s="3" t="inlineStr">
        <is>
          <t>Overall</t>
        </is>
      </c>
      <c r="E797" s="3" t="inlineStr">
        <is>
          <t>Deciles</t>
        </is>
      </c>
      <c r="F797" s="3" t="inlineStr">
        <is>
          <t>mean</t>
        </is>
      </c>
      <c r="G797" s="3" t="n">
        <v>2</v>
      </c>
      <c r="H797" s="3" t="n">
        <v>-0.7963047623634338</v>
      </c>
      <c r="I797" s="3" t="n">
        <v>-0.7963047623634338</v>
      </c>
      <c r="J797" s="3" t="n">
        <v>-0.9530524611473083</v>
      </c>
      <c r="K797" s="3" t="n">
        <v>-0.9530524611473083</v>
      </c>
      <c r="L797" s="3" t="n">
        <v>-0.7963047623634338</v>
      </c>
      <c r="M797" s="3" t="n">
        <v>-0.7963047623634338</v>
      </c>
      <c r="N797" s="3" t="n">
        <v>-0.7963047623634338</v>
      </c>
      <c r="O797" s="3" t="n">
        <v>-0.7963047623634338</v>
      </c>
      <c r="P797" s="3" t="n">
        <v>-0.7963047623634338</v>
      </c>
      <c r="Q797" s="3" t="n">
        <v>-0.7963047623634338</v>
      </c>
      <c r="R797" s="3" t="n">
        <v>-0.7784932851791382</v>
      </c>
      <c r="S797" s="3" t="n">
        <v>-2.216965675354004</v>
      </c>
      <c r="T797" s="3" t="n">
        <v>-0.7114566564559937</v>
      </c>
      <c r="U797" s="3" t="n">
        <v>-0.9530524611473083</v>
      </c>
      <c r="V797" s="3" t="n">
        <v>-0.6910269260406494</v>
      </c>
      <c r="W797" s="3" t="n">
        <v>-0.7057933807373047</v>
      </c>
      <c r="X797" s="3" t="n">
        <v>-2.101355075836182</v>
      </c>
      <c r="Y797" s="3" t="n">
        <v>-0.7963047623634338</v>
      </c>
      <c r="Z797" s="3" t="n">
        <v>-2.216965675354004</v>
      </c>
      <c r="AA797" s="3" t="n">
        <v>-2.216965675354004</v>
      </c>
      <c r="AB797" s="3" t="n">
        <v>-2.101355075836182</v>
      </c>
      <c r="AC797" s="3" t="n">
        <v>-8.541741371154785</v>
      </c>
      <c r="AD797" s="3" t="n">
        <v>-0.9530524611473083</v>
      </c>
      <c r="AE797" s="3" t="n">
        <v>-0.9530524611473083</v>
      </c>
    </row>
    <row r="798">
      <c r="A798" s="3" t="inlineStr">
        <is>
          <t>GIN.distn.dec.ove.mean.3</t>
        </is>
      </c>
      <c r="B798" s="3" t="inlineStr">
        <is>
          <t>GIN</t>
        </is>
      </c>
      <c r="C798" s="3" t="n">
        <v>2005</v>
      </c>
      <c r="D798" s="3" t="inlineStr">
        <is>
          <t>Overall</t>
        </is>
      </c>
      <c r="E798" s="3" t="inlineStr">
        <is>
          <t>Deciles</t>
        </is>
      </c>
      <c r="F798" s="3" t="inlineStr">
        <is>
          <t>mean</t>
        </is>
      </c>
      <c r="G798" s="3" t="n">
        <v>3</v>
      </c>
      <c r="H798" s="3" t="n">
        <v>-0.7963047623634338</v>
      </c>
      <c r="I798" s="3" t="n">
        <v>-0.7963047623634338</v>
      </c>
      <c r="J798" s="3" t="n">
        <v>-0.9530524611473083</v>
      </c>
      <c r="K798" s="3" t="n">
        <v>-0.9530524611473083</v>
      </c>
      <c r="L798" s="3" t="n">
        <v>-0.7963047623634338</v>
      </c>
      <c r="M798" s="3" t="n">
        <v>-0.7963047623634338</v>
      </c>
      <c r="N798" s="3" t="n">
        <v>-0.7963047623634338</v>
      </c>
      <c r="O798" s="3" t="n">
        <v>-0.7963047623634338</v>
      </c>
      <c r="P798" s="3" t="n">
        <v>-0.7963047623634338</v>
      </c>
      <c r="Q798" s="3" t="n">
        <v>-0.7963047623634338</v>
      </c>
      <c r="R798" s="3" t="n">
        <v>-0.7784932851791382</v>
      </c>
      <c r="S798" s="3" t="n">
        <v>-2.216965675354004</v>
      </c>
      <c r="T798" s="3" t="n">
        <v>-0.7114566564559937</v>
      </c>
      <c r="U798" s="3" t="n">
        <v>-0.9530524611473083</v>
      </c>
      <c r="V798" s="3" t="n">
        <v>-0.6910269260406494</v>
      </c>
      <c r="W798" s="3" t="n">
        <v>-0.7057933807373047</v>
      </c>
      <c r="X798" s="3" t="n">
        <v>-2.101355075836182</v>
      </c>
      <c r="Y798" s="3" t="n">
        <v>-0.7963047623634338</v>
      </c>
      <c r="Z798" s="3" t="n">
        <v>-2.216965675354004</v>
      </c>
      <c r="AA798" s="3" t="n">
        <v>-2.216965675354004</v>
      </c>
      <c r="AB798" s="3" t="n">
        <v>-2.101355075836182</v>
      </c>
      <c r="AC798" s="3" t="n">
        <v>-8.541741371154785</v>
      </c>
      <c r="AD798" s="3" t="n">
        <v>-0.9530524611473083</v>
      </c>
      <c r="AE798" s="3" t="n">
        <v>-0.9530524611473083</v>
      </c>
    </row>
    <row r="799">
      <c r="A799" s="3" t="inlineStr">
        <is>
          <t>GIN.distn.dec.ove.mean.4</t>
        </is>
      </c>
      <c r="B799" s="3" t="inlineStr">
        <is>
          <t>GIN</t>
        </is>
      </c>
      <c r="C799" s="3" t="n">
        <v>2005</v>
      </c>
      <c r="D799" s="3" t="inlineStr">
        <is>
          <t>Overall</t>
        </is>
      </c>
      <c r="E799" s="3" t="inlineStr">
        <is>
          <t>Deciles</t>
        </is>
      </c>
      <c r="F799" s="3" t="inlineStr">
        <is>
          <t>mean</t>
        </is>
      </c>
      <c r="G799" s="3" t="n">
        <v>4</v>
      </c>
      <c r="H799" s="3" t="n">
        <v>-0.7900000214576721</v>
      </c>
      <c r="I799" s="3" t="n">
        <v>-0.7900000214576721</v>
      </c>
      <c r="J799" s="3" t="n">
        <v>-0.9070000052452087</v>
      </c>
      <c r="K799" s="3" t="n">
        <v>-0.9070000052452087</v>
      </c>
      <c r="L799" s="3" t="n">
        <v>-0.7900000214576721</v>
      </c>
      <c r="M799" s="3" t="n">
        <v>-0.7900000214576721</v>
      </c>
      <c r="N799" s="3" t="n">
        <v>-0.7900000214576721</v>
      </c>
      <c r="O799" s="3" t="n">
        <v>-0.7900000214576721</v>
      </c>
      <c r="P799" s="3" t="n">
        <v>-0.7900000214576721</v>
      </c>
      <c r="Q799" s="3" t="n">
        <v>-0.7900000214576721</v>
      </c>
      <c r="R799" s="3" t="n">
        <v>-0.7749999761581421</v>
      </c>
      <c r="S799" s="3" t="n">
        <v>-1.509999990463257</v>
      </c>
      <c r="T799" s="3" t="n">
        <v>-0.7099999785423279</v>
      </c>
      <c r="U799" s="3" t="n">
        <v>-0.9070000052452087</v>
      </c>
      <c r="V799" s="3" t="n">
        <v>-0.6840000152587891</v>
      </c>
      <c r="W799" s="3" t="n">
        <v>-0.593999981880188</v>
      </c>
      <c r="X799" s="3" t="n">
        <v>-1.483000040054321</v>
      </c>
      <c r="Y799" s="3" t="n">
        <v>-0.7900000214576721</v>
      </c>
      <c r="Z799" s="3" t="n">
        <v>-1.509999990463257</v>
      </c>
      <c r="AA799" s="3" t="n">
        <v>-1.509999990463257</v>
      </c>
      <c r="AB799" s="3" t="n">
        <v>-1.483000040054321</v>
      </c>
      <c r="AC799" s="3" t="n">
        <v>-4.125</v>
      </c>
      <c r="AD799" s="3" t="n">
        <v>-0.9070000052452087</v>
      </c>
      <c r="AE799" s="3" t="n">
        <v>-0.9070000052452087</v>
      </c>
    </row>
    <row r="800">
      <c r="A800" s="3" t="inlineStr">
        <is>
          <t>GIN.distn.dec.ove.mean.5</t>
        </is>
      </c>
      <c r="B800" s="3" t="inlineStr">
        <is>
          <t>GIN</t>
        </is>
      </c>
      <c r="C800" s="3" t="n">
        <v>2005</v>
      </c>
      <c r="D800" s="3" t="inlineStr">
        <is>
          <t>Overall</t>
        </is>
      </c>
      <c r="E800" s="3" t="inlineStr">
        <is>
          <t>Deciles</t>
        </is>
      </c>
      <c r="F800" s="3" t="inlineStr">
        <is>
          <t>mean</t>
        </is>
      </c>
      <c r="G800" s="3" t="n">
        <v>5</v>
      </c>
      <c r="H800" s="3" t="n">
        <v>-0.7900000214576721</v>
      </c>
      <c r="I800" s="3" t="n">
        <v>-0.7900000214576721</v>
      </c>
      <c r="J800" s="3" t="n">
        <v>-0.9070000052452087</v>
      </c>
      <c r="K800" s="3" t="n">
        <v>-0.9070000052452087</v>
      </c>
      <c r="L800" s="3" t="n">
        <v>-0.7900000214576721</v>
      </c>
      <c r="M800" s="3" t="n">
        <v>-0.7900000214576721</v>
      </c>
      <c r="N800" s="3" t="n">
        <v>-0.7900000214576721</v>
      </c>
      <c r="O800" s="3" t="n">
        <v>-0.7900000214576721</v>
      </c>
      <c r="P800" s="3" t="n">
        <v>-0.7900000214576721</v>
      </c>
      <c r="Q800" s="3" t="n">
        <v>-0.7900000214576721</v>
      </c>
      <c r="R800" s="3" t="n">
        <v>-0.7749999761581421</v>
      </c>
      <c r="S800" s="3" t="n">
        <v>-1.509999990463257</v>
      </c>
      <c r="T800" s="3" t="n">
        <v>-0.7099999785423279</v>
      </c>
      <c r="U800" s="3" t="n">
        <v>-0.9070000052452087</v>
      </c>
      <c r="V800" s="3" t="n">
        <v>-0.6840000152587891</v>
      </c>
      <c r="W800" s="3" t="n">
        <v>-0.593999981880188</v>
      </c>
      <c r="X800" s="3" t="n">
        <v>-1.483000040054321</v>
      </c>
      <c r="Y800" s="3" t="n">
        <v>-0.7900000214576721</v>
      </c>
      <c r="Z800" s="3" t="n">
        <v>-1.509999990463257</v>
      </c>
      <c r="AA800" s="3" t="n">
        <v>-1.509999990463257</v>
      </c>
      <c r="AB800" s="3" t="n">
        <v>-1.483000040054321</v>
      </c>
      <c r="AC800" s="3" t="n">
        <v>-4.125</v>
      </c>
      <c r="AD800" s="3" t="n">
        <v>-0.9070000052452087</v>
      </c>
      <c r="AE800" s="3" t="n">
        <v>-0.9070000052452087</v>
      </c>
    </row>
    <row r="801">
      <c r="A801" s="3" t="inlineStr">
        <is>
          <t>GIN.distn.dec.ove.mean.6</t>
        </is>
      </c>
      <c r="B801" s="3" t="inlineStr">
        <is>
          <t>GIN</t>
        </is>
      </c>
      <c r="C801" s="3" t="n">
        <v>2005</v>
      </c>
      <c r="D801" s="3" t="inlineStr">
        <is>
          <t>Overall</t>
        </is>
      </c>
      <c r="E801" s="3" t="inlineStr">
        <is>
          <t>Deciles</t>
        </is>
      </c>
      <c r="F801" s="3" t="inlineStr">
        <is>
          <t>mean</t>
        </is>
      </c>
      <c r="G801" s="3" t="n">
        <v>6</v>
      </c>
      <c r="H801" s="3" t="n">
        <v>-0.7900000214576721</v>
      </c>
      <c r="I801" s="3" t="n">
        <v>-0.7900000214576721</v>
      </c>
      <c r="J801" s="3" t="n">
        <v>-0.9070000052452087</v>
      </c>
      <c r="K801" s="3" t="n">
        <v>-0.9070000052452087</v>
      </c>
      <c r="L801" s="3" t="n">
        <v>-0.7900000214576721</v>
      </c>
      <c r="M801" s="3" t="n">
        <v>-0.7900000214576721</v>
      </c>
      <c r="N801" s="3" t="n">
        <v>-0.7900000214576721</v>
      </c>
      <c r="O801" s="3" t="n">
        <v>-0.7900000214576721</v>
      </c>
      <c r="P801" s="3" t="n">
        <v>-0.7900000214576721</v>
      </c>
      <c r="Q801" s="3" t="n">
        <v>-0.7900000214576721</v>
      </c>
      <c r="R801" s="3" t="n">
        <v>-0.7749999761581421</v>
      </c>
      <c r="S801" s="3" t="n">
        <v>-1.509999990463257</v>
      </c>
      <c r="T801" s="3" t="n">
        <v>-0.7099999785423279</v>
      </c>
      <c r="U801" s="3" t="n">
        <v>-0.9070000052452087</v>
      </c>
      <c r="V801" s="3" t="n">
        <v>-0.6840000152587891</v>
      </c>
      <c r="W801" s="3" t="n">
        <v>-0.593999981880188</v>
      </c>
      <c r="X801" s="3" t="n">
        <v>-1.483000040054321</v>
      </c>
      <c r="Y801" s="3" t="n">
        <v>-0.7900000214576721</v>
      </c>
      <c r="Z801" s="3" t="n">
        <v>-1.509999990463257</v>
      </c>
      <c r="AA801" s="3" t="n">
        <v>-1.509999990463257</v>
      </c>
      <c r="AB801" s="3" t="n">
        <v>-1.483000040054321</v>
      </c>
      <c r="AC801" s="3" t="n">
        <v>-4.125</v>
      </c>
      <c r="AD801" s="3" t="n">
        <v>-0.9070000052452087</v>
      </c>
      <c r="AE801" s="3" t="n">
        <v>-0.9070000052452087</v>
      </c>
    </row>
    <row r="802">
      <c r="A802" s="3" t="inlineStr">
        <is>
          <t>GIN.distn.dec.ove.mean.7</t>
        </is>
      </c>
      <c r="B802" s="3" t="inlineStr">
        <is>
          <t>GIN</t>
        </is>
      </c>
      <c r="C802" s="3" t="n">
        <v>2005</v>
      </c>
      <c r="D802" s="3" t="inlineStr">
        <is>
          <t>Overall</t>
        </is>
      </c>
      <c r="E802" s="3" t="inlineStr">
        <is>
          <t>Deciles</t>
        </is>
      </c>
      <c r="F802" s="3" t="inlineStr">
        <is>
          <t>mean</t>
        </is>
      </c>
      <c r="G802" s="3" t="n">
        <v>7</v>
      </c>
      <c r="H802" s="3" t="n">
        <v>-0.7900000214576721</v>
      </c>
      <c r="I802" s="3" t="n">
        <v>-0.7900000214576721</v>
      </c>
      <c r="J802" s="3" t="n">
        <v>-0.9070000052452087</v>
      </c>
      <c r="K802" s="3" t="n">
        <v>-0.9070000052452087</v>
      </c>
      <c r="L802" s="3" t="n">
        <v>-0.7900000214576721</v>
      </c>
      <c r="M802" s="3" t="n">
        <v>-0.7900000214576721</v>
      </c>
      <c r="N802" s="3" t="n">
        <v>-0.7900000214576721</v>
      </c>
      <c r="O802" s="3" t="n">
        <v>-0.7900000214576721</v>
      </c>
      <c r="P802" s="3" t="n">
        <v>-0.7900000214576721</v>
      </c>
      <c r="Q802" s="3" t="n">
        <v>-0.7900000214576721</v>
      </c>
      <c r="R802" s="3" t="n">
        <v>-0.7749999761581421</v>
      </c>
      <c r="S802" s="3" t="n">
        <v>-1.509999990463257</v>
      </c>
      <c r="T802" s="3" t="n">
        <v>-0.7099999785423279</v>
      </c>
      <c r="U802" s="3" t="n">
        <v>-0.9070000052452087</v>
      </c>
      <c r="V802" s="3" t="n">
        <v>-0.6840000152587891</v>
      </c>
      <c r="W802" s="3" t="n">
        <v>-0.593999981880188</v>
      </c>
      <c r="X802" s="3" t="n">
        <v>-1.483000040054321</v>
      </c>
      <c r="Y802" s="3" t="n">
        <v>-0.7900000214576721</v>
      </c>
      <c r="Z802" s="3" t="n">
        <v>-1.509999990463257</v>
      </c>
      <c r="AA802" s="3" t="n">
        <v>-1.509999990463257</v>
      </c>
      <c r="AB802" s="3" t="n">
        <v>-1.483000040054321</v>
      </c>
      <c r="AC802" s="3" t="n">
        <v>-4.125</v>
      </c>
      <c r="AD802" s="3" t="n">
        <v>-0.9070000052452087</v>
      </c>
      <c r="AE802" s="3" t="n">
        <v>-0.9070000052452087</v>
      </c>
    </row>
    <row r="803">
      <c r="A803" s="3" t="inlineStr">
        <is>
          <t>GIN.distn.dec.ove.mean.8</t>
        </is>
      </c>
      <c r="B803" s="3" t="inlineStr">
        <is>
          <t>GIN</t>
        </is>
      </c>
      <c r="C803" s="3" t="n">
        <v>2005</v>
      </c>
      <c r="D803" s="3" t="inlineStr">
        <is>
          <t>Overall</t>
        </is>
      </c>
      <c r="E803" s="3" t="inlineStr">
        <is>
          <t>Deciles</t>
        </is>
      </c>
      <c r="F803" s="3" t="inlineStr">
        <is>
          <t>mean</t>
        </is>
      </c>
      <c r="G803" s="3" t="n">
        <v>8</v>
      </c>
      <c r="H803" s="3" t="n">
        <v>-0.790380597114563</v>
      </c>
      <c r="I803" s="3" t="n">
        <v>-0.790380597114563</v>
      </c>
      <c r="J803" s="3" t="n">
        <v>-0.9094467163085938</v>
      </c>
      <c r="K803" s="3" t="n">
        <v>-0.9094467163085938</v>
      </c>
      <c r="L803" s="3" t="n">
        <v>-0.790380597114563</v>
      </c>
      <c r="M803" s="3" t="n">
        <v>-0.790380597114563</v>
      </c>
      <c r="N803" s="3" t="n">
        <v>-0.790380597114563</v>
      </c>
      <c r="O803" s="3" t="n">
        <v>-0.790380597114563</v>
      </c>
      <c r="P803" s="3" t="n">
        <v>-0.790380597114563</v>
      </c>
      <c r="Q803" s="3" t="n">
        <v>-0.790380597114563</v>
      </c>
      <c r="R803" s="3" t="n">
        <v>-0.7752549052238464</v>
      </c>
      <c r="S803" s="3" t="n">
        <v>-1.524050712585449</v>
      </c>
      <c r="T803" s="3" t="n">
        <v>-0.7100409269332886</v>
      </c>
      <c r="U803" s="3" t="n">
        <v>-0.9094467163085938</v>
      </c>
      <c r="V803" s="3" t="n">
        <v>-0.6847071051597595</v>
      </c>
      <c r="W803" s="3" t="n">
        <v>-0.6099066138267517</v>
      </c>
      <c r="X803" s="3" t="n">
        <v>-1.49651312828064</v>
      </c>
      <c r="Y803" s="3" t="n">
        <v>-0.790380597114563</v>
      </c>
      <c r="Z803" s="3" t="n">
        <v>-1.524050712585449</v>
      </c>
      <c r="AA803" s="3" t="n">
        <v>-1.524050712585449</v>
      </c>
      <c r="AB803" s="3" t="n">
        <v>-1.49651312828064</v>
      </c>
      <c r="AC803" s="3" t="n">
        <v>-4.183827877044678</v>
      </c>
      <c r="AD803" s="3" t="n">
        <v>-0.9094467163085938</v>
      </c>
      <c r="AE803" s="3" t="n">
        <v>-0.9094467163085938</v>
      </c>
    </row>
    <row r="804">
      <c r="A804" s="3" t="inlineStr">
        <is>
          <t>GIN.distn.dec.ove.mean.9</t>
        </is>
      </c>
      <c r="B804" s="3" t="inlineStr">
        <is>
          <t>GIN</t>
        </is>
      </c>
      <c r="C804" s="3" t="n">
        <v>2005</v>
      </c>
      <c r="D804" s="3" t="inlineStr">
        <is>
          <t>Overall</t>
        </is>
      </c>
      <c r="E804" s="3" t="inlineStr">
        <is>
          <t>Deciles</t>
        </is>
      </c>
      <c r="F804" s="3" t="inlineStr">
        <is>
          <t>mean</t>
        </is>
      </c>
      <c r="G804" s="3" t="n">
        <v>9</v>
      </c>
      <c r="H804" s="3" t="n">
        <v>-0.790380597114563</v>
      </c>
      <c r="I804" s="3" t="n">
        <v>-0.790380597114563</v>
      </c>
      <c r="J804" s="3" t="n">
        <v>-0.9094467163085938</v>
      </c>
      <c r="K804" s="3" t="n">
        <v>-0.9094467163085938</v>
      </c>
      <c r="L804" s="3" t="n">
        <v>-0.790380597114563</v>
      </c>
      <c r="M804" s="3" t="n">
        <v>-0.790380597114563</v>
      </c>
      <c r="N804" s="3" t="n">
        <v>-0.790380597114563</v>
      </c>
      <c r="O804" s="3" t="n">
        <v>-0.790380597114563</v>
      </c>
      <c r="P804" s="3" t="n">
        <v>-0.790380597114563</v>
      </c>
      <c r="Q804" s="3" t="n">
        <v>-0.790380597114563</v>
      </c>
      <c r="R804" s="3" t="n">
        <v>-0.7752549052238464</v>
      </c>
      <c r="S804" s="3" t="n">
        <v>-1.524050712585449</v>
      </c>
      <c r="T804" s="3" t="n">
        <v>-0.7100409269332886</v>
      </c>
      <c r="U804" s="3" t="n">
        <v>-0.9094467163085938</v>
      </c>
      <c r="V804" s="3" t="n">
        <v>-0.6847071051597595</v>
      </c>
      <c r="W804" s="3" t="n">
        <v>-0.6099066138267517</v>
      </c>
      <c r="X804" s="3" t="n">
        <v>-1.49651312828064</v>
      </c>
      <c r="Y804" s="3" t="n">
        <v>-0.790380597114563</v>
      </c>
      <c r="Z804" s="3" t="n">
        <v>-1.524050712585449</v>
      </c>
      <c r="AA804" s="3" t="n">
        <v>-1.524050712585449</v>
      </c>
      <c r="AB804" s="3" t="n">
        <v>-1.49651312828064</v>
      </c>
      <c r="AC804" s="3" t="n">
        <v>-4.183827877044678</v>
      </c>
      <c r="AD804" s="3" t="n">
        <v>-0.9094467163085938</v>
      </c>
      <c r="AE804" s="3" t="n">
        <v>-0.9094467163085938</v>
      </c>
    </row>
    <row r="805">
      <c r="A805" s="3" t="inlineStr">
        <is>
          <t>GIN.distn.dec.ove.mean.10</t>
        </is>
      </c>
      <c r="B805" s="3" t="inlineStr">
        <is>
          <t>GIN</t>
        </is>
      </c>
      <c r="C805" s="3" t="n">
        <v>2005</v>
      </c>
      <c r="D805" s="3" t="inlineStr">
        <is>
          <t>Overall</t>
        </is>
      </c>
      <c r="E805" s="3" t="inlineStr">
        <is>
          <t>Deciles</t>
        </is>
      </c>
      <c r="F805" s="3" t="inlineStr">
        <is>
          <t>mean</t>
        </is>
      </c>
      <c r="G805" s="3" t="n">
        <v>10</v>
      </c>
      <c r="H805" s="3" t="n">
        <v>-0.790380597114563</v>
      </c>
      <c r="I805" s="3" t="n">
        <v>-0.790380597114563</v>
      </c>
      <c r="J805" s="3" t="n">
        <v>-0.9094467163085938</v>
      </c>
      <c r="K805" s="3" t="n">
        <v>-0.9094467163085938</v>
      </c>
      <c r="L805" s="3" t="n">
        <v>-0.790380597114563</v>
      </c>
      <c r="M805" s="3" t="n">
        <v>-0.790380597114563</v>
      </c>
      <c r="N805" s="3" t="n">
        <v>-0.790380597114563</v>
      </c>
      <c r="O805" s="3" t="n">
        <v>-0.790380597114563</v>
      </c>
      <c r="P805" s="3" t="n">
        <v>-0.790380597114563</v>
      </c>
      <c r="Q805" s="3" t="n">
        <v>-0.790380597114563</v>
      </c>
      <c r="R805" s="3" t="n">
        <v>-0.7752549052238464</v>
      </c>
      <c r="S805" s="3" t="n">
        <v>-1.524050712585449</v>
      </c>
      <c r="T805" s="3" t="n">
        <v>-0.7100409269332886</v>
      </c>
      <c r="U805" s="3" t="n">
        <v>-0.9094467163085938</v>
      </c>
      <c r="V805" s="3" t="n">
        <v>-0.6847071051597595</v>
      </c>
      <c r="W805" s="3" t="n">
        <v>-0.6099066138267517</v>
      </c>
      <c r="X805" s="3" t="n">
        <v>-1.49651312828064</v>
      </c>
      <c r="Y805" s="3" t="n">
        <v>-0.790380597114563</v>
      </c>
      <c r="Z805" s="3" t="n">
        <v>-1.524050712585449</v>
      </c>
      <c r="AA805" s="3" t="n">
        <v>-1.524050712585449</v>
      </c>
      <c r="AB805" s="3" t="n">
        <v>-1.49651312828064</v>
      </c>
      <c r="AC805" s="3" t="n">
        <v>-4.183827877044678</v>
      </c>
      <c r="AD805" s="3" t="n">
        <v>-0.9094467163085938</v>
      </c>
      <c r="AE805" s="3" t="n">
        <v>-0.9094467163085938</v>
      </c>
    </row>
    <row r="806">
      <c r="A806" s="3" t="inlineStr">
        <is>
          <t>GIN.distn.bkt.ove.mean.9999</t>
        </is>
      </c>
      <c r="B806" s="3" t="inlineStr">
        <is>
          <t>GIN</t>
        </is>
      </c>
      <c r="C806" s="3" t="n">
        <v>2005</v>
      </c>
      <c r="D806" s="3" t="inlineStr">
        <is>
          <t>Overall</t>
        </is>
      </c>
      <c r="E806" s="3" t="inlineStr">
        <is>
          <t>Basket</t>
        </is>
      </c>
      <c r="F806" s="3" t="inlineStr">
        <is>
          <t>mean</t>
        </is>
      </c>
      <c r="G806" s="3" t="n">
        <v>9999</v>
      </c>
      <c r="H806" s="3" t="n">
        <v>-0.7920055985450745</v>
      </c>
      <c r="I806" s="3" t="n">
        <v>-0.7920055985450745</v>
      </c>
      <c r="J806" s="3" t="n">
        <v>-0.9215497374534607</v>
      </c>
      <c r="K806" s="3" t="n">
        <v>-0.9215497374534607</v>
      </c>
      <c r="L806" s="3" t="n">
        <v>-0.7920055985450745</v>
      </c>
      <c r="M806" s="3" t="n">
        <v>-0.7920055985450745</v>
      </c>
      <c r="N806" s="3" t="n">
        <v>-0.7920055985450745</v>
      </c>
      <c r="O806" s="3" t="n">
        <v>-0.7920055985450745</v>
      </c>
      <c r="P806" s="3" t="n">
        <v>-0.7920055985450745</v>
      </c>
      <c r="Q806" s="3" t="n">
        <v>-0.7920055985450745</v>
      </c>
      <c r="R806" s="3" t="n">
        <v>-0.7761244773864746</v>
      </c>
      <c r="S806" s="3" t="n">
        <v>-1.726304888725281</v>
      </c>
      <c r="T806" s="3" t="n">
        <v>-0.7104492783546448</v>
      </c>
      <c r="U806" s="3" t="n">
        <v>-0.9215497374534607</v>
      </c>
      <c r="V806" s="3" t="n">
        <v>-0.6863201856613159</v>
      </c>
      <c r="W806" s="3" t="n">
        <v>-0.6323099732398987</v>
      </c>
      <c r="X806" s="3" t="n">
        <v>-1.672560453414917</v>
      </c>
      <c r="Y806" s="3" t="n">
        <v>-0.7920055985450745</v>
      </c>
      <c r="Z806" s="3" t="n">
        <v>-1.726304888725281</v>
      </c>
      <c r="AA806" s="3" t="n">
        <v>-1.726304888725281</v>
      </c>
      <c r="AB806" s="3" t="n">
        <v>-1.672560453414917</v>
      </c>
      <c r="AC806" s="3" t="n">
        <v>-5.467670917510986</v>
      </c>
      <c r="AD806" s="3" t="n">
        <v>-0.9215497374534607</v>
      </c>
      <c r="AE806" s="3" t="n">
        <v>-0.9215497374534607</v>
      </c>
    </row>
    <row r="807">
      <c r="A807" s="3" t="inlineStr">
        <is>
          <t>GMB.distn.dec.ove.mean.1</t>
        </is>
      </c>
      <c r="B807" s="3" t="inlineStr">
        <is>
          <t>GMB</t>
        </is>
      </c>
      <c r="C807" s="3" t="n">
        <v>2005</v>
      </c>
      <c r="D807" s="3" t="inlineStr">
        <is>
          <t>Overall</t>
        </is>
      </c>
      <c r="E807" s="3" t="inlineStr">
        <is>
          <t>Deciles</t>
        </is>
      </c>
      <c r="F807" s="3" t="inlineStr">
        <is>
          <t>mean</t>
        </is>
      </c>
      <c r="G807" s="3" t="n">
        <v>1</v>
      </c>
      <c r="H807" s="3" t="n">
        <v>-0.7973127365112305</v>
      </c>
      <c r="I807" s="3" t="n">
        <v>-0.7973127365112305</v>
      </c>
      <c r="J807" s="3" t="n">
        <v>-0.9572555422782898</v>
      </c>
      <c r="K807" s="3" t="n">
        <v>-0.9572555422782898</v>
      </c>
      <c r="L807" s="3" t="n">
        <v>-0.7973127365112305</v>
      </c>
      <c r="M807" s="3" t="n">
        <v>-0.7973127365112305</v>
      </c>
      <c r="N807" s="3" t="n">
        <v>-0.7973127365112305</v>
      </c>
      <c r="O807" s="3" t="n">
        <v>-0.7973127365112305</v>
      </c>
      <c r="P807" s="3" t="n">
        <v>-0.7973127365112305</v>
      </c>
      <c r="Q807" s="3" t="n">
        <v>-0.7973127365112305</v>
      </c>
      <c r="R807" s="3" t="n">
        <v>-0.7784932851791382</v>
      </c>
      <c r="S807" s="3" t="n">
        <v>-2.346166372299194</v>
      </c>
      <c r="T807" s="3" t="n">
        <v>-0.7114566564559937</v>
      </c>
      <c r="U807" s="3" t="n">
        <v>-0.9572555422782898</v>
      </c>
      <c r="V807" s="3" t="n">
        <v>-0.6920371651649475</v>
      </c>
      <c r="W807" s="3" t="n">
        <v>-0.7081697583198547</v>
      </c>
      <c r="X807" s="3" t="n">
        <v>-2.217545986175537</v>
      </c>
      <c r="Y807" s="3" t="n">
        <v>-0.7973127365112305</v>
      </c>
      <c r="Z807" s="3" t="n">
        <v>-2.346166372299194</v>
      </c>
      <c r="AA807" s="3" t="n">
        <v>-2.346166372299194</v>
      </c>
      <c r="AB807" s="3" t="n">
        <v>-2.217545986175537</v>
      </c>
      <c r="AC807" s="3" t="n">
        <v>-14.24866104125977</v>
      </c>
      <c r="AD807" s="3" t="n">
        <v>-0.9572555422782898</v>
      </c>
      <c r="AE807" s="3" t="n">
        <v>-0.9572555422782898</v>
      </c>
    </row>
    <row r="808">
      <c r="A808" s="3" t="inlineStr">
        <is>
          <t>GMB.distn.dec.ove.mean.2</t>
        </is>
      </c>
      <c r="B808" s="3" t="inlineStr">
        <is>
          <t>GMB</t>
        </is>
      </c>
      <c r="C808" s="3" t="n">
        <v>2005</v>
      </c>
      <c r="D808" s="3" t="inlineStr">
        <is>
          <t>Overall</t>
        </is>
      </c>
      <c r="E808" s="3" t="inlineStr">
        <is>
          <t>Deciles</t>
        </is>
      </c>
      <c r="F808" s="3" t="inlineStr">
        <is>
          <t>mean</t>
        </is>
      </c>
      <c r="G808" s="3" t="n">
        <v>2</v>
      </c>
      <c r="H808" s="3" t="n">
        <v>-0.7973127365112305</v>
      </c>
      <c r="I808" s="3" t="n">
        <v>-0.7973127365112305</v>
      </c>
      <c r="J808" s="3" t="n">
        <v>-0.9572555422782898</v>
      </c>
      <c r="K808" s="3" t="n">
        <v>-0.9572555422782898</v>
      </c>
      <c r="L808" s="3" t="n">
        <v>-0.7973127365112305</v>
      </c>
      <c r="M808" s="3" t="n">
        <v>-0.7973127365112305</v>
      </c>
      <c r="N808" s="3" t="n">
        <v>-0.7973127365112305</v>
      </c>
      <c r="O808" s="3" t="n">
        <v>-0.7973127365112305</v>
      </c>
      <c r="P808" s="3" t="n">
        <v>-0.7973127365112305</v>
      </c>
      <c r="Q808" s="3" t="n">
        <v>-0.7973127365112305</v>
      </c>
      <c r="R808" s="3" t="n">
        <v>-0.7784932851791382</v>
      </c>
      <c r="S808" s="3" t="n">
        <v>-2.346166372299194</v>
      </c>
      <c r="T808" s="3" t="n">
        <v>-0.7114566564559937</v>
      </c>
      <c r="U808" s="3" t="n">
        <v>-0.9572555422782898</v>
      </c>
      <c r="V808" s="3" t="n">
        <v>-0.6920371651649475</v>
      </c>
      <c r="W808" s="3" t="n">
        <v>-0.7081697583198547</v>
      </c>
      <c r="X808" s="3" t="n">
        <v>-2.217545986175537</v>
      </c>
      <c r="Y808" s="3" t="n">
        <v>-0.7973127365112305</v>
      </c>
      <c r="Z808" s="3" t="n">
        <v>-2.346166372299194</v>
      </c>
      <c r="AA808" s="3" t="n">
        <v>-2.346166372299194</v>
      </c>
      <c r="AB808" s="3" t="n">
        <v>-2.217545986175537</v>
      </c>
      <c r="AC808" s="3" t="n">
        <v>-14.24866104125977</v>
      </c>
      <c r="AD808" s="3" t="n">
        <v>-0.9572555422782898</v>
      </c>
      <c r="AE808" s="3" t="n">
        <v>-0.9572555422782898</v>
      </c>
    </row>
    <row r="809">
      <c r="A809" s="3" t="inlineStr">
        <is>
          <t>GMB.distn.dec.ove.mean.3</t>
        </is>
      </c>
      <c r="B809" s="3" t="inlineStr">
        <is>
          <t>GMB</t>
        </is>
      </c>
      <c r="C809" s="3" t="n">
        <v>2005</v>
      </c>
      <c r="D809" s="3" t="inlineStr">
        <is>
          <t>Overall</t>
        </is>
      </c>
      <c r="E809" s="3" t="inlineStr">
        <is>
          <t>Deciles</t>
        </is>
      </c>
      <c r="F809" s="3" t="inlineStr">
        <is>
          <t>mean</t>
        </is>
      </c>
      <c r="G809" s="3" t="n">
        <v>3</v>
      </c>
      <c r="H809" s="3" t="n">
        <v>-0.7973127365112305</v>
      </c>
      <c r="I809" s="3" t="n">
        <v>-0.7973127365112305</v>
      </c>
      <c r="J809" s="3" t="n">
        <v>-0.9572555422782898</v>
      </c>
      <c r="K809" s="3" t="n">
        <v>-0.9572555422782898</v>
      </c>
      <c r="L809" s="3" t="n">
        <v>-0.7973127365112305</v>
      </c>
      <c r="M809" s="3" t="n">
        <v>-0.7973127365112305</v>
      </c>
      <c r="N809" s="3" t="n">
        <v>-0.7973127365112305</v>
      </c>
      <c r="O809" s="3" t="n">
        <v>-0.7973127365112305</v>
      </c>
      <c r="P809" s="3" t="n">
        <v>-0.7973127365112305</v>
      </c>
      <c r="Q809" s="3" t="n">
        <v>-0.7973127365112305</v>
      </c>
      <c r="R809" s="3" t="n">
        <v>-0.7784932851791382</v>
      </c>
      <c r="S809" s="3" t="n">
        <v>-2.346166372299194</v>
      </c>
      <c r="T809" s="3" t="n">
        <v>-0.7114566564559937</v>
      </c>
      <c r="U809" s="3" t="n">
        <v>-0.9572555422782898</v>
      </c>
      <c r="V809" s="3" t="n">
        <v>-0.6920371651649475</v>
      </c>
      <c r="W809" s="3" t="n">
        <v>-0.7081697583198547</v>
      </c>
      <c r="X809" s="3" t="n">
        <v>-2.217545986175537</v>
      </c>
      <c r="Y809" s="3" t="n">
        <v>-0.7973127365112305</v>
      </c>
      <c r="Z809" s="3" t="n">
        <v>-2.346166372299194</v>
      </c>
      <c r="AA809" s="3" t="n">
        <v>-2.346166372299194</v>
      </c>
      <c r="AB809" s="3" t="n">
        <v>-2.217545986175537</v>
      </c>
      <c r="AC809" s="3" t="n">
        <v>-14.24866104125977</v>
      </c>
      <c r="AD809" s="3" t="n">
        <v>-0.9572555422782898</v>
      </c>
      <c r="AE809" s="3" t="n">
        <v>-0.9572555422782898</v>
      </c>
    </row>
    <row r="810">
      <c r="A810" s="3" t="inlineStr">
        <is>
          <t>GMB.distn.dec.ove.mean.4</t>
        </is>
      </c>
      <c r="B810" s="3" t="inlineStr">
        <is>
          <t>GMB</t>
        </is>
      </c>
      <c r="C810" s="3" t="n">
        <v>2005</v>
      </c>
      <c r="D810" s="3" t="inlineStr">
        <is>
          <t>Overall</t>
        </is>
      </c>
      <c r="E810" s="3" t="inlineStr">
        <is>
          <t>Deciles</t>
        </is>
      </c>
      <c r="F810" s="3" t="inlineStr">
        <is>
          <t>mean</t>
        </is>
      </c>
      <c r="G810" s="3" t="n">
        <v>4</v>
      </c>
      <c r="H810" s="3" t="n">
        <v>-0.7910000085830688</v>
      </c>
      <c r="I810" s="3" t="n">
        <v>-0.7910000085830688</v>
      </c>
      <c r="J810" s="3" t="n">
        <v>-0.9110000133514404</v>
      </c>
      <c r="K810" s="3" t="n">
        <v>-0.9110000133514404</v>
      </c>
      <c r="L810" s="3" t="n">
        <v>-0.7910000085830688</v>
      </c>
      <c r="M810" s="3" t="n">
        <v>-0.7910000085830688</v>
      </c>
      <c r="N810" s="3" t="n">
        <v>-0.7910000085830688</v>
      </c>
      <c r="O810" s="3" t="n">
        <v>-0.7910000085830688</v>
      </c>
      <c r="P810" s="3" t="n">
        <v>-0.7910000085830688</v>
      </c>
      <c r="Q810" s="3" t="n">
        <v>-0.7910000085830688</v>
      </c>
      <c r="R810" s="3" t="n">
        <v>-0.7749999761581421</v>
      </c>
      <c r="S810" s="3" t="n">
        <v>-1.598000049591064</v>
      </c>
      <c r="T810" s="3" t="n">
        <v>-0.7099999785423279</v>
      </c>
      <c r="U810" s="3" t="n">
        <v>-0.9110000133514404</v>
      </c>
      <c r="V810" s="3" t="n">
        <v>-0.6850000023841858</v>
      </c>
      <c r="W810" s="3" t="n">
        <v>-0.5960000157356262</v>
      </c>
      <c r="X810" s="3" t="n">
        <v>-1.565000057220459</v>
      </c>
      <c r="Y810" s="3" t="n">
        <v>-0.7910000085830688</v>
      </c>
      <c r="Z810" s="3" t="n">
        <v>-1.598000049591064</v>
      </c>
      <c r="AA810" s="3" t="n">
        <v>-1.598000049591064</v>
      </c>
      <c r="AB810" s="3" t="n">
        <v>-1.565000057220459</v>
      </c>
      <c r="AC810" s="3" t="n">
        <v>-6.88100004196167</v>
      </c>
      <c r="AD810" s="3" t="n">
        <v>-0.9110000133514404</v>
      </c>
      <c r="AE810" s="3" t="n">
        <v>-0.9110000133514404</v>
      </c>
    </row>
    <row r="811">
      <c r="A811" s="3" t="inlineStr">
        <is>
          <t>GMB.distn.dec.ove.mean.5</t>
        </is>
      </c>
      <c r="B811" s="3" t="inlineStr">
        <is>
          <t>GMB</t>
        </is>
      </c>
      <c r="C811" s="3" t="n">
        <v>2005</v>
      </c>
      <c r="D811" s="3" t="inlineStr">
        <is>
          <t>Overall</t>
        </is>
      </c>
      <c r="E811" s="3" t="inlineStr">
        <is>
          <t>Deciles</t>
        </is>
      </c>
      <c r="F811" s="3" t="inlineStr">
        <is>
          <t>mean</t>
        </is>
      </c>
      <c r="G811" s="3" t="n">
        <v>5</v>
      </c>
      <c r="H811" s="3" t="n">
        <v>-0.7910000085830688</v>
      </c>
      <c r="I811" s="3" t="n">
        <v>-0.7910000085830688</v>
      </c>
      <c r="J811" s="3" t="n">
        <v>-0.9110000133514404</v>
      </c>
      <c r="K811" s="3" t="n">
        <v>-0.9110000133514404</v>
      </c>
      <c r="L811" s="3" t="n">
        <v>-0.7910000085830688</v>
      </c>
      <c r="M811" s="3" t="n">
        <v>-0.7910000085830688</v>
      </c>
      <c r="N811" s="3" t="n">
        <v>-0.7910000085830688</v>
      </c>
      <c r="O811" s="3" t="n">
        <v>-0.7910000085830688</v>
      </c>
      <c r="P811" s="3" t="n">
        <v>-0.7910000085830688</v>
      </c>
      <c r="Q811" s="3" t="n">
        <v>-0.7910000085830688</v>
      </c>
      <c r="R811" s="3" t="n">
        <v>-0.7749999761581421</v>
      </c>
      <c r="S811" s="3" t="n">
        <v>-1.598000049591064</v>
      </c>
      <c r="T811" s="3" t="n">
        <v>-0.7099999785423279</v>
      </c>
      <c r="U811" s="3" t="n">
        <v>-0.9110000133514404</v>
      </c>
      <c r="V811" s="3" t="n">
        <v>-0.6850000023841858</v>
      </c>
      <c r="W811" s="3" t="n">
        <v>-0.5960000157356262</v>
      </c>
      <c r="X811" s="3" t="n">
        <v>-1.565000057220459</v>
      </c>
      <c r="Y811" s="3" t="n">
        <v>-0.7910000085830688</v>
      </c>
      <c r="Z811" s="3" t="n">
        <v>-1.598000049591064</v>
      </c>
      <c r="AA811" s="3" t="n">
        <v>-1.598000049591064</v>
      </c>
      <c r="AB811" s="3" t="n">
        <v>-1.565000057220459</v>
      </c>
      <c r="AC811" s="3" t="n">
        <v>-6.88100004196167</v>
      </c>
      <c r="AD811" s="3" t="n">
        <v>-0.9110000133514404</v>
      </c>
      <c r="AE811" s="3" t="n">
        <v>-0.9110000133514404</v>
      </c>
    </row>
    <row r="812">
      <c r="A812" s="3" t="inlineStr">
        <is>
          <t>GMB.distn.dec.ove.mean.6</t>
        </is>
      </c>
      <c r="B812" s="3" t="inlineStr">
        <is>
          <t>GMB</t>
        </is>
      </c>
      <c r="C812" s="3" t="n">
        <v>2005</v>
      </c>
      <c r="D812" s="3" t="inlineStr">
        <is>
          <t>Overall</t>
        </is>
      </c>
      <c r="E812" s="3" t="inlineStr">
        <is>
          <t>Deciles</t>
        </is>
      </c>
      <c r="F812" s="3" t="inlineStr">
        <is>
          <t>mean</t>
        </is>
      </c>
      <c r="G812" s="3" t="n">
        <v>6</v>
      </c>
      <c r="H812" s="3" t="n">
        <v>-0.7910000085830688</v>
      </c>
      <c r="I812" s="3" t="n">
        <v>-0.7910000085830688</v>
      </c>
      <c r="J812" s="3" t="n">
        <v>-0.9110000133514404</v>
      </c>
      <c r="K812" s="3" t="n">
        <v>-0.9110000133514404</v>
      </c>
      <c r="L812" s="3" t="n">
        <v>-0.7910000085830688</v>
      </c>
      <c r="M812" s="3" t="n">
        <v>-0.7910000085830688</v>
      </c>
      <c r="N812" s="3" t="n">
        <v>-0.7910000085830688</v>
      </c>
      <c r="O812" s="3" t="n">
        <v>-0.7910000085830688</v>
      </c>
      <c r="P812" s="3" t="n">
        <v>-0.7910000085830688</v>
      </c>
      <c r="Q812" s="3" t="n">
        <v>-0.7910000085830688</v>
      </c>
      <c r="R812" s="3" t="n">
        <v>-0.7749999761581421</v>
      </c>
      <c r="S812" s="3" t="n">
        <v>-1.598000049591064</v>
      </c>
      <c r="T812" s="3" t="n">
        <v>-0.7099999785423279</v>
      </c>
      <c r="U812" s="3" t="n">
        <v>-0.9110000133514404</v>
      </c>
      <c r="V812" s="3" t="n">
        <v>-0.6850000023841858</v>
      </c>
      <c r="W812" s="3" t="n">
        <v>-0.5960000157356262</v>
      </c>
      <c r="X812" s="3" t="n">
        <v>-1.565000057220459</v>
      </c>
      <c r="Y812" s="3" t="n">
        <v>-0.7910000085830688</v>
      </c>
      <c r="Z812" s="3" t="n">
        <v>-1.598000049591064</v>
      </c>
      <c r="AA812" s="3" t="n">
        <v>-1.598000049591064</v>
      </c>
      <c r="AB812" s="3" t="n">
        <v>-1.565000057220459</v>
      </c>
      <c r="AC812" s="3" t="n">
        <v>-6.88100004196167</v>
      </c>
      <c r="AD812" s="3" t="n">
        <v>-0.9110000133514404</v>
      </c>
      <c r="AE812" s="3" t="n">
        <v>-0.9110000133514404</v>
      </c>
    </row>
    <row r="813">
      <c r="A813" s="3" t="inlineStr">
        <is>
          <t>GMB.distn.dec.ove.mean.7</t>
        </is>
      </c>
      <c r="B813" s="3" t="inlineStr">
        <is>
          <t>GMB</t>
        </is>
      </c>
      <c r="C813" s="3" t="n">
        <v>2005</v>
      </c>
      <c r="D813" s="3" t="inlineStr">
        <is>
          <t>Overall</t>
        </is>
      </c>
      <c r="E813" s="3" t="inlineStr">
        <is>
          <t>Deciles</t>
        </is>
      </c>
      <c r="F813" s="3" t="inlineStr">
        <is>
          <t>mean</t>
        </is>
      </c>
      <c r="G813" s="3" t="n">
        <v>7</v>
      </c>
      <c r="H813" s="3" t="n">
        <v>-0.7910000085830688</v>
      </c>
      <c r="I813" s="3" t="n">
        <v>-0.7910000085830688</v>
      </c>
      <c r="J813" s="3" t="n">
        <v>-0.9110000133514404</v>
      </c>
      <c r="K813" s="3" t="n">
        <v>-0.9110000133514404</v>
      </c>
      <c r="L813" s="3" t="n">
        <v>-0.7910000085830688</v>
      </c>
      <c r="M813" s="3" t="n">
        <v>-0.7910000085830688</v>
      </c>
      <c r="N813" s="3" t="n">
        <v>-0.7910000085830688</v>
      </c>
      <c r="O813" s="3" t="n">
        <v>-0.7910000085830688</v>
      </c>
      <c r="P813" s="3" t="n">
        <v>-0.7910000085830688</v>
      </c>
      <c r="Q813" s="3" t="n">
        <v>-0.7910000085830688</v>
      </c>
      <c r="R813" s="3" t="n">
        <v>-0.7749999761581421</v>
      </c>
      <c r="S813" s="3" t="n">
        <v>-1.598000049591064</v>
      </c>
      <c r="T813" s="3" t="n">
        <v>-0.7099999785423279</v>
      </c>
      <c r="U813" s="3" t="n">
        <v>-0.9110000133514404</v>
      </c>
      <c r="V813" s="3" t="n">
        <v>-0.6850000023841858</v>
      </c>
      <c r="W813" s="3" t="n">
        <v>-0.5960000157356262</v>
      </c>
      <c r="X813" s="3" t="n">
        <v>-1.565000057220459</v>
      </c>
      <c r="Y813" s="3" t="n">
        <v>-0.7910000085830688</v>
      </c>
      <c r="Z813" s="3" t="n">
        <v>-1.598000049591064</v>
      </c>
      <c r="AA813" s="3" t="n">
        <v>-1.598000049591064</v>
      </c>
      <c r="AB813" s="3" t="n">
        <v>-1.565000057220459</v>
      </c>
      <c r="AC813" s="3" t="n">
        <v>-6.88100004196167</v>
      </c>
      <c r="AD813" s="3" t="n">
        <v>-0.9110000133514404</v>
      </c>
      <c r="AE813" s="3" t="n">
        <v>-0.9110000133514404</v>
      </c>
    </row>
    <row r="814">
      <c r="A814" s="3" t="inlineStr">
        <is>
          <t>GMB.distn.dec.ove.mean.8</t>
        </is>
      </c>
      <c r="B814" s="3" t="inlineStr">
        <is>
          <t>GMB</t>
        </is>
      </c>
      <c r="C814" s="3" t="n">
        <v>2005</v>
      </c>
      <c r="D814" s="3" t="inlineStr">
        <is>
          <t>Overall</t>
        </is>
      </c>
      <c r="E814" s="3" t="inlineStr">
        <is>
          <t>Deciles</t>
        </is>
      </c>
      <c r="F814" s="3" t="inlineStr">
        <is>
          <t>mean</t>
        </is>
      </c>
      <c r="G814" s="3" t="n">
        <v>8</v>
      </c>
      <c r="H814" s="3" t="n">
        <v>-0.7913810610771179</v>
      </c>
      <c r="I814" s="3" t="n">
        <v>-0.7913810610771179</v>
      </c>
      <c r="J814" s="3" t="n">
        <v>-0.9134575128555298</v>
      </c>
      <c r="K814" s="3" t="n">
        <v>-0.9134575128555298</v>
      </c>
      <c r="L814" s="3" t="n">
        <v>-0.7913810610771179</v>
      </c>
      <c r="M814" s="3" t="n">
        <v>-0.7913810610771179</v>
      </c>
      <c r="N814" s="3" t="n">
        <v>-0.7913810610771179</v>
      </c>
      <c r="O814" s="3" t="n">
        <v>-0.7913810610771179</v>
      </c>
      <c r="P814" s="3" t="n">
        <v>-0.7913810610771179</v>
      </c>
      <c r="Q814" s="3" t="n">
        <v>-0.7913810610771179</v>
      </c>
      <c r="R814" s="3" t="n">
        <v>-0.7752549052238464</v>
      </c>
      <c r="S814" s="3" t="n">
        <v>-1.612869620323181</v>
      </c>
      <c r="T814" s="3" t="n">
        <v>-0.7100409269332886</v>
      </c>
      <c r="U814" s="3" t="n">
        <v>-0.9134575128555298</v>
      </c>
      <c r="V814" s="3" t="n">
        <v>-0.6857081055641174</v>
      </c>
      <c r="W814" s="3" t="n">
        <v>-0.6119601726531982</v>
      </c>
      <c r="X814" s="3" t="n">
        <v>-1.579260230064392</v>
      </c>
      <c r="Y814" s="3" t="n">
        <v>-0.7913810610771179</v>
      </c>
      <c r="Z814" s="3" t="n">
        <v>-1.612869620323181</v>
      </c>
      <c r="AA814" s="3" t="n">
        <v>-1.612869620323181</v>
      </c>
      <c r="AB814" s="3" t="n">
        <v>-1.579260230064392</v>
      </c>
      <c r="AC814" s="3" t="n">
        <v>-6.979132175445557</v>
      </c>
      <c r="AD814" s="3" t="n">
        <v>-0.9134575128555298</v>
      </c>
      <c r="AE814" s="3" t="n">
        <v>-0.9134575128555298</v>
      </c>
    </row>
    <row r="815">
      <c r="A815" s="3" t="inlineStr">
        <is>
          <t>GMB.distn.dec.ove.mean.9</t>
        </is>
      </c>
      <c r="B815" s="3" t="inlineStr">
        <is>
          <t>GMB</t>
        </is>
      </c>
      <c r="C815" s="3" t="n">
        <v>2005</v>
      </c>
      <c r="D815" s="3" t="inlineStr">
        <is>
          <t>Overall</t>
        </is>
      </c>
      <c r="E815" s="3" t="inlineStr">
        <is>
          <t>Deciles</t>
        </is>
      </c>
      <c r="F815" s="3" t="inlineStr">
        <is>
          <t>mean</t>
        </is>
      </c>
      <c r="G815" s="3" t="n">
        <v>9</v>
      </c>
      <c r="H815" s="3" t="n">
        <v>-0.7913810610771179</v>
      </c>
      <c r="I815" s="3" t="n">
        <v>-0.7913810610771179</v>
      </c>
      <c r="J815" s="3" t="n">
        <v>-0.9134575128555298</v>
      </c>
      <c r="K815" s="3" t="n">
        <v>-0.9134575128555298</v>
      </c>
      <c r="L815" s="3" t="n">
        <v>-0.7913810610771179</v>
      </c>
      <c r="M815" s="3" t="n">
        <v>-0.7913810610771179</v>
      </c>
      <c r="N815" s="3" t="n">
        <v>-0.7913810610771179</v>
      </c>
      <c r="O815" s="3" t="n">
        <v>-0.7913810610771179</v>
      </c>
      <c r="P815" s="3" t="n">
        <v>-0.7913810610771179</v>
      </c>
      <c r="Q815" s="3" t="n">
        <v>-0.7913810610771179</v>
      </c>
      <c r="R815" s="3" t="n">
        <v>-0.7752549052238464</v>
      </c>
      <c r="S815" s="3" t="n">
        <v>-1.612869620323181</v>
      </c>
      <c r="T815" s="3" t="n">
        <v>-0.7100409269332886</v>
      </c>
      <c r="U815" s="3" t="n">
        <v>-0.9134575128555298</v>
      </c>
      <c r="V815" s="3" t="n">
        <v>-0.6857081055641174</v>
      </c>
      <c r="W815" s="3" t="n">
        <v>-0.6119601726531982</v>
      </c>
      <c r="X815" s="3" t="n">
        <v>-1.579260230064392</v>
      </c>
      <c r="Y815" s="3" t="n">
        <v>-0.7913810610771179</v>
      </c>
      <c r="Z815" s="3" t="n">
        <v>-1.612869620323181</v>
      </c>
      <c r="AA815" s="3" t="n">
        <v>-1.612869620323181</v>
      </c>
      <c r="AB815" s="3" t="n">
        <v>-1.579260230064392</v>
      </c>
      <c r="AC815" s="3" t="n">
        <v>-6.979132175445557</v>
      </c>
      <c r="AD815" s="3" t="n">
        <v>-0.9134575128555298</v>
      </c>
      <c r="AE815" s="3" t="n">
        <v>-0.9134575128555298</v>
      </c>
    </row>
    <row r="816">
      <c r="A816" s="3" t="inlineStr">
        <is>
          <t>GMB.distn.dec.ove.mean.10</t>
        </is>
      </c>
      <c r="B816" s="3" t="inlineStr">
        <is>
          <t>GMB</t>
        </is>
      </c>
      <c r="C816" s="3" t="n">
        <v>2005</v>
      </c>
      <c r="D816" s="3" t="inlineStr">
        <is>
          <t>Overall</t>
        </is>
      </c>
      <c r="E816" s="3" t="inlineStr">
        <is>
          <t>Deciles</t>
        </is>
      </c>
      <c r="F816" s="3" t="inlineStr">
        <is>
          <t>mean</t>
        </is>
      </c>
      <c r="G816" s="3" t="n">
        <v>10</v>
      </c>
      <c r="H816" s="3" t="n">
        <v>-0.7913810610771179</v>
      </c>
      <c r="I816" s="3" t="n">
        <v>-0.7913810610771179</v>
      </c>
      <c r="J816" s="3" t="n">
        <v>-0.9134575128555298</v>
      </c>
      <c r="K816" s="3" t="n">
        <v>-0.9134575128555298</v>
      </c>
      <c r="L816" s="3" t="n">
        <v>-0.7913810610771179</v>
      </c>
      <c r="M816" s="3" t="n">
        <v>-0.7913810610771179</v>
      </c>
      <c r="N816" s="3" t="n">
        <v>-0.7913810610771179</v>
      </c>
      <c r="O816" s="3" t="n">
        <v>-0.7913810610771179</v>
      </c>
      <c r="P816" s="3" t="n">
        <v>-0.7913810610771179</v>
      </c>
      <c r="Q816" s="3" t="n">
        <v>-0.7913810610771179</v>
      </c>
      <c r="R816" s="3" t="n">
        <v>-0.7752549052238464</v>
      </c>
      <c r="S816" s="3" t="n">
        <v>-1.612869620323181</v>
      </c>
      <c r="T816" s="3" t="n">
        <v>-0.7100409269332886</v>
      </c>
      <c r="U816" s="3" t="n">
        <v>-0.9134575128555298</v>
      </c>
      <c r="V816" s="3" t="n">
        <v>-0.6857081055641174</v>
      </c>
      <c r="W816" s="3" t="n">
        <v>-0.6119601726531982</v>
      </c>
      <c r="X816" s="3" t="n">
        <v>-1.579260230064392</v>
      </c>
      <c r="Y816" s="3" t="n">
        <v>-0.7913810610771179</v>
      </c>
      <c r="Z816" s="3" t="n">
        <v>-1.612869620323181</v>
      </c>
      <c r="AA816" s="3" t="n">
        <v>-1.612869620323181</v>
      </c>
      <c r="AB816" s="3" t="n">
        <v>-1.579260230064392</v>
      </c>
      <c r="AC816" s="3" t="n">
        <v>-6.979132175445557</v>
      </c>
      <c r="AD816" s="3" t="n">
        <v>-0.9134575128555298</v>
      </c>
      <c r="AE816" s="3" t="n">
        <v>-0.9134575128555298</v>
      </c>
    </row>
    <row r="817">
      <c r="A817" s="3" t="inlineStr">
        <is>
          <t>GMB.distn.bkt.ove.mean.9999</t>
        </is>
      </c>
      <c r="B817" s="3" t="inlineStr">
        <is>
          <t>GMB</t>
        </is>
      </c>
      <c r="C817" s="3" t="n">
        <v>2005</v>
      </c>
      <c r="D817" s="3" t="inlineStr">
        <is>
          <t>Overall</t>
        </is>
      </c>
      <c r="E817" s="3" t="inlineStr">
        <is>
          <t>Basket</t>
        </is>
      </c>
      <c r="F817" s="3" t="inlineStr">
        <is>
          <t>mean</t>
        </is>
      </c>
      <c r="G817" s="3" t="n">
        <v>9999</v>
      </c>
      <c r="H817" s="3" t="n">
        <v>-0.7930081486701965</v>
      </c>
      <c r="I817" s="3" t="n">
        <v>-0.7930081486701965</v>
      </c>
      <c r="J817" s="3" t="n">
        <v>-0.9256139397621155</v>
      </c>
      <c r="K817" s="3" t="n">
        <v>-0.9256139397621155</v>
      </c>
      <c r="L817" s="3" t="n">
        <v>-0.7930081486701965</v>
      </c>
      <c r="M817" s="3" t="n">
        <v>-0.7930081486701965</v>
      </c>
      <c r="N817" s="3" t="n">
        <v>-0.7930081486701965</v>
      </c>
      <c r="O817" s="3" t="n">
        <v>-0.7930081486701965</v>
      </c>
      <c r="P817" s="3" t="n">
        <v>-0.7930081486701965</v>
      </c>
      <c r="Q817" s="3" t="n">
        <v>-0.7930081486701965</v>
      </c>
      <c r="R817" s="3" t="n">
        <v>-0.7761244773864746</v>
      </c>
      <c r="S817" s="3" t="n">
        <v>-1.826910853385925</v>
      </c>
      <c r="T817" s="3" t="n">
        <v>-0.7104492783546448</v>
      </c>
      <c r="U817" s="3" t="n">
        <v>-0.9256139397621155</v>
      </c>
      <c r="V817" s="3" t="n">
        <v>-0.6873235702514648</v>
      </c>
      <c r="W817" s="3" t="n">
        <v>-0.6344389915466309</v>
      </c>
      <c r="X817" s="3" t="n">
        <v>-1.765041828155518</v>
      </c>
      <c r="Y817" s="3" t="n">
        <v>-0.7930081486701965</v>
      </c>
      <c r="Z817" s="3" t="n">
        <v>-1.826910853385925</v>
      </c>
      <c r="AA817" s="3" t="n">
        <v>-1.826910853385925</v>
      </c>
      <c r="AB817" s="3" t="n">
        <v>-1.765041828155518</v>
      </c>
      <c r="AC817" s="3" t="n">
        <v>-9.12073802947998</v>
      </c>
      <c r="AD817" s="3" t="n">
        <v>-0.9256139397621155</v>
      </c>
      <c r="AE817" s="3" t="n">
        <v>-0.9256139397621155</v>
      </c>
    </row>
    <row r="818">
      <c r="A818" s="3" t="inlineStr">
        <is>
          <t>GNB.distn.dec.ove.mean.1</t>
        </is>
      </c>
      <c r="B818" s="3" t="inlineStr">
        <is>
          <t>GNB</t>
        </is>
      </c>
      <c r="C818" s="3" t="n">
        <v>2005</v>
      </c>
      <c r="D818" s="3" t="inlineStr">
        <is>
          <t>Overall</t>
        </is>
      </c>
      <c r="E818" s="3" t="inlineStr">
        <is>
          <t>Deciles</t>
        </is>
      </c>
      <c r="F818" s="3" t="inlineStr">
        <is>
          <t>mean</t>
        </is>
      </c>
      <c r="G818" s="3" t="n">
        <v>1</v>
      </c>
      <c r="H818" s="3" t="n">
        <v>-0.7993287444114685</v>
      </c>
      <c r="I818" s="3" t="n">
        <v>-0.7993287444114685</v>
      </c>
      <c r="J818" s="3" t="n">
        <v>-0.9782710075378418</v>
      </c>
      <c r="K818" s="3" t="n">
        <v>-0.9782710075378418</v>
      </c>
      <c r="L818" s="3" t="n">
        <v>-0.7993287444114685</v>
      </c>
      <c r="M818" s="3" t="n">
        <v>-0.7993287444114685</v>
      </c>
      <c r="N818" s="3" t="n">
        <v>-0.7993287444114685</v>
      </c>
      <c r="O818" s="3" t="n">
        <v>-0.7993287444114685</v>
      </c>
      <c r="P818" s="3" t="n">
        <v>-0.7993287444114685</v>
      </c>
      <c r="Q818" s="3" t="n">
        <v>-0.7993287444114685</v>
      </c>
      <c r="R818" s="3" t="n">
        <v>-0.7794978022575378</v>
      </c>
      <c r="S818" s="3" t="n">
        <v>-3.60440468788147</v>
      </c>
      <c r="T818" s="3" t="n">
        <v>-0.7114566564559937</v>
      </c>
      <c r="U818" s="3" t="n">
        <v>-0.9782710075378418</v>
      </c>
      <c r="V818" s="3" t="n">
        <v>-0.6930474638938904</v>
      </c>
      <c r="W818" s="3" t="n">
        <v>-0.7212399840354919</v>
      </c>
      <c r="X818" s="3" t="n">
        <v>-3.300105333328247</v>
      </c>
      <c r="Y818" s="3" t="n">
        <v>-0.7993287444114685</v>
      </c>
      <c r="Z818" s="3" t="n">
        <v>-3.60440468788147</v>
      </c>
      <c r="AA818" s="3" t="n">
        <v>-3.60440468788147</v>
      </c>
      <c r="AB818" s="3" t="n">
        <v>-3.300105333328247</v>
      </c>
      <c r="AC818" s="3" t="n">
        <v>-2.52007269859314</v>
      </c>
      <c r="AD818" s="3" t="n">
        <v>-0.9782710075378418</v>
      </c>
      <c r="AE818" s="3" t="n">
        <v>-0.9782710075378418</v>
      </c>
    </row>
    <row r="819">
      <c r="A819" s="3" t="inlineStr">
        <is>
          <t>GNB.distn.dec.ove.mean.2</t>
        </is>
      </c>
      <c r="B819" s="3" t="inlineStr">
        <is>
          <t>GNB</t>
        </is>
      </c>
      <c r="C819" s="3" t="n">
        <v>2005</v>
      </c>
      <c r="D819" s="3" t="inlineStr">
        <is>
          <t>Overall</t>
        </is>
      </c>
      <c r="E819" s="3" t="inlineStr">
        <is>
          <t>Deciles</t>
        </is>
      </c>
      <c r="F819" s="3" t="inlineStr">
        <is>
          <t>mean</t>
        </is>
      </c>
      <c r="G819" s="3" t="n">
        <v>2</v>
      </c>
      <c r="H819" s="3" t="n">
        <v>-0.7993287444114685</v>
      </c>
      <c r="I819" s="3" t="n">
        <v>-0.7993287444114685</v>
      </c>
      <c r="J819" s="3" t="n">
        <v>-0.9782710075378418</v>
      </c>
      <c r="K819" s="3" t="n">
        <v>-0.9782710075378418</v>
      </c>
      <c r="L819" s="3" t="n">
        <v>-0.7993287444114685</v>
      </c>
      <c r="M819" s="3" t="n">
        <v>-0.7993287444114685</v>
      </c>
      <c r="N819" s="3" t="n">
        <v>-0.7993287444114685</v>
      </c>
      <c r="O819" s="3" t="n">
        <v>-0.7993287444114685</v>
      </c>
      <c r="P819" s="3" t="n">
        <v>-0.7993287444114685</v>
      </c>
      <c r="Q819" s="3" t="n">
        <v>-0.7993287444114685</v>
      </c>
      <c r="R819" s="3" t="n">
        <v>-0.7794978022575378</v>
      </c>
      <c r="S819" s="3" t="n">
        <v>-3.60440468788147</v>
      </c>
      <c r="T819" s="3" t="n">
        <v>-0.7114566564559937</v>
      </c>
      <c r="U819" s="3" t="n">
        <v>-0.9782710075378418</v>
      </c>
      <c r="V819" s="3" t="n">
        <v>-0.6930474638938904</v>
      </c>
      <c r="W819" s="3" t="n">
        <v>-0.7212399840354919</v>
      </c>
      <c r="X819" s="3" t="n">
        <v>-3.300105333328247</v>
      </c>
      <c r="Y819" s="3" t="n">
        <v>-0.7993287444114685</v>
      </c>
      <c r="Z819" s="3" t="n">
        <v>-3.60440468788147</v>
      </c>
      <c r="AA819" s="3" t="n">
        <v>-3.60440468788147</v>
      </c>
      <c r="AB819" s="3" t="n">
        <v>-3.300105333328247</v>
      </c>
      <c r="AC819" s="3" t="n">
        <v>-2.52007269859314</v>
      </c>
      <c r="AD819" s="3" t="n">
        <v>-0.9782710075378418</v>
      </c>
      <c r="AE819" s="3" t="n">
        <v>-0.9782710075378418</v>
      </c>
    </row>
    <row r="820">
      <c r="A820" s="3" t="inlineStr">
        <is>
          <t>GNB.distn.dec.ove.mean.3</t>
        </is>
      </c>
      <c r="B820" s="3" t="inlineStr">
        <is>
          <t>GNB</t>
        </is>
      </c>
      <c r="C820" s="3" t="n">
        <v>2005</v>
      </c>
      <c r="D820" s="3" t="inlineStr">
        <is>
          <t>Overall</t>
        </is>
      </c>
      <c r="E820" s="3" t="inlineStr">
        <is>
          <t>Deciles</t>
        </is>
      </c>
      <c r="F820" s="3" t="inlineStr">
        <is>
          <t>mean</t>
        </is>
      </c>
      <c r="G820" s="3" t="n">
        <v>3</v>
      </c>
      <c r="H820" s="3" t="n">
        <v>-0.7993287444114685</v>
      </c>
      <c r="I820" s="3" t="n">
        <v>-0.7993287444114685</v>
      </c>
      <c r="J820" s="3" t="n">
        <v>-0.9782710075378418</v>
      </c>
      <c r="K820" s="3" t="n">
        <v>-0.9782710075378418</v>
      </c>
      <c r="L820" s="3" t="n">
        <v>-0.7993287444114685</v>
      </c>
      <c r="M820" s="3" t="n">
        <v>-0.7993287444114685</v>
      </c>
      <c r="N820" s="3" t="n">
        <v>-0.7993287444114685</v>
      </c>
      <c r="O820" s="3" t="n">
        <v>-0.7993287444114685</v>
      </c>
      <c r="P820" s="3" t="n">
        <v>-0.7993287444114685</v>
      </c>
      <c r="Q820" s="3" t="n">
        <v>-0.7993287444114685</v>
      </c>
      <c r="R820" s="3" t="n">
        <v>-0.7794978022575378</v>
      </c>
      <c r="S820" s="3" t="n">
        <v>-3.60440468788147</v>
      </c>
      <c r="T820" s="3" t="n">
        <v>-0.7114566564559937</v>
      </c>
      <c r="U820" s="3" t="n">
        <v>-0.9782710075378418</v>
      </c>
      <c r="V820" s="3" t="n">
        <v>-0.6930474638938904</v>
      </c>
      <c r="W820" s="3" t="n">
        <v>-0.7212399840354919</v>
      </c>
      <c r="X820" s="3" t="n">
        <v>-3.300105333328247</v>
      </c>
      <c r="Y820" s="3" t="n">
        <v>-0.7993287444114685</v>
      </c>
      <c r="Z820" s="3" t="n">
        <v>-3.60440468788147</v>
      </c>
      <c r="AA820" s="3" t="n">
        <v>-3.60440468788147</v>
      </c>
      <c r="AB820" s="3" t="n">
        <v>-3.300105333328247</v>
      </c>
      <c r="AC820" s="3" t="n">
        <v>-2.52007269859314</v>
      </c>
      <c r="AD820" s="3" t="n">
        <v>-0.9782710075378418</v>
      </c>
      <c r="AE820" s="3" t="n">
        <v>-0.9782710075378418</v>
      </c>
    </row>
    <row r="821">
      <c r="A821" s="3" t="inlineStr">
        <is>
          <t>GNB.distn.dec.ove.mean.4</t>
        </is>
      </c>
      <c r="B821" s="3" t="inlineStr">
        <is>
          <t>GNB</t>
        </is>
      </c>
      <c r="C821" s="3" t="n">
        <v>2005</v>
      </c>
      <c r="D821" s="3" t="inlineStr">
        <is>
          <t>Overall</t>
        </is>
      </c>
      <c r="E821" s="3" t="inlineStr">
        <is>
          <t>Deciles</t>
        </is>
      </c>
      <c r="F821" s="3" t="inlineStr">
        <is>
          <t>mean</t>
        </is>
      </c>
      <c r="G821" s="3" t="n">
        <v>4</v>
      </c>
      <c r="H821" s="3" t="n">
        <v>-0.7929999828338623</v>
      </c>
      <c r="I821" s="3" t="n">
        <v>-0.7929999828338623</v>
      </c>
      <c r="J821" s="3" t="n">
        <v>-0.9309999942779541</v>
      </c>
      <c r="K821" s="3" t="n">
        <v>-0.9309999942779541</v>
      </c>
      <c r="L821" s="3" t="n">
        <v>-0.7929999828338623</v>
      </c>
      <c r="M821" s="3" t="n">
        <v>-0.7929999828338623</v>
      </c>
      <c r="N821" s="3" t="n">
        <v>-0.7929999828338623</v>
      </c>
      <c r="O821" s="3" t="n">
        <v>-0.7929999828338623</v>
      </c>
      <c r="P821" s="3" t="n">
        <v>-0.7929999828338623</v>
      </c>
      <c r="Q821" s="3" t="n">
        <v>-0.7929999828338623</v>
      </c>
      <c r="R821" s="3" t="n">
        <v>-0.7760000228881836</v>
      </c>
      <c r="S821" s="3" t="n">
        <v>-2.454999923706055</v>
      </c>
      <c r="T821" s="3" t="n">
        <v>-0.7099999785423279</v>
      </c>
      <c r="U821" s="3" t="n">
        <v>-0.9309999942779541</v>
      </c>
      <c r="V821" s="3" t="n">
        <v>-0.6859999895095825</v>
      </c>
      <c r="W821" s="3" t="n">
        <v>-0.6069999933242798</v>
      </c>
      <c r="X821" s="3" t="n">
        <v>-2.328999996185303</v>
      </c>
      <c r="Y821" s="3" t="n">
        <v>-0.7929999828338623</v>
      </c>
      <c r="Z821" s="3" t="n">
        <v>-2.454999923706055</v>
      </c>
      <c r="AA821" s="3" t="n">
        <v>-2.454999923706055</v>
      </c>
      <c r="AB821" s="3" t="n">
        <v>-2.328999996185303</v>
      </c>
      <c r="AC821" s="3" t="n">
        <v>-1.217000007629395</v>
      </c>
      <c r="AD821" s="3" t="n">
        <v>-0.9309999942779541</v>
      </c>
      <c r="AE821" s="3" t="n">
        <v>-0.9309999942779541</v>
      </c>
    </row>
    <row r="822">
      <c r="A822" s="3" t="inlineStr">
        <is>
          <t>GNB.distn.dec.ove.mean.5</t>
        </is>
      </c>
      <c r="B822" s="3" t="inlineStr">
        <is>
          <t>GNB</t>
        </is>
      </c>
      <c r="C822" s="3" t="n">
        <v>2005</v>
      </c>
      <c r="D822" s="3" t="inlineStr">
        <is>
          <t>Overall</t>
        </is>
      </c>
      <c r="E822" s="3" t="inlineStr">
        <is>
          <t>Deciles</t>
        </is>
      </c>
      <c r="F822" s="3" t="inlineStr">
        <is>
          <t>mean</t>
        </is>
      </c>
      <c r="G822" s="3" t="n">
        <v>5</v>
      </c>
      <c r="H822" s="3" t="n">
        <v>-0.7929999828338623</v>
      </c>
      <c r="I822" s="3" t="n">
        <v>-0.7929999828338623</v>
      </c>
      <c r="J822" s="3" t="n">
        <v>-0.9309999942779541</v>
      </c>
      <c r="K822" s="3" t="n">
        <v>-0.9309999942779541</v>
      </c>
      <c r="L822" s="3" t="n">
        <v>-0.7929999828338623</v>
      </c>
      <c r="M822" s="3" t="n">
        <v>-0.7929999828338623</v>
      </c>
      <c r="N822" s="3" t="n">
        <v>-0.7929999828338623</v>
      </c>
      <c r="O822" s="3" t="n">
        <v>-0.7929999828338623</v>
      </c>
      <c r="P822" s="3" t="n">
        <v>-0.7929999828338623</v>
      </c>
      <c r="Q822" s="3" t="n">
        <v>-0.7929999828338623</v>
      </c>
      <c r="R822" s="3" t="n">
        <v>-0.7760000228881836</v>
      </c>
      <c r="S822" s="3" t="n">
        <v>-2.454999923706055</v>
      </c>
      <c r="T822" s="3" t="n">
        <v>-0.7099999785423279</v>
      </c>
      <c r="U822" s="3" t="n">
        <v>-0.9309999942779541</v>
      </c>
      <c r="V822" s="3" t="n">
        <v>-0.6859999895095825</v>
      </c>
      <c r="W822" s="3" t="n">
        <v>-0.6069999933242798</v>
      </c>
      <c r="X822" s="3" t="n">
        <v>-2.328999996185303</v>
      </c>
      <c r="Y822" s="3" t="n">
        <v>-0.7929999828338623</v>
      </c>
      <c r="Z822" s="3" t="n">
        <v>-2.454999923706055</v>
      </c>
      <c r="AA822" s="3" t="n">
        <v>-2.454999923706055</v>
      </c>
      <c r="AB822" s="3" t="n">
        <v>-2.328999996185303</v>
      </c>
      <c r="AC822" s="3" t="n">
        <v>-1.217000007629395</v>
      </c>
      <c r="AD822" s="3" t="n">
        <v>-0.9309999942779541</v>
      </c>
      <c r="AE822" s="3" t="n">
        <v>-0.9309999942779541</v>
      </c>
    </row>
    <row r="823">
      <c r="A823" s="3" t="inlineStr">
        <is>
          <t>GNB.distn.dec.ove.mean.6</t>
        </is>
      </c>
      <c r="B823" s="3" t="inlineStr">
        <is>
          <t>GNB</t>
        </is>
      </c>
      <c r="C823" s="3" t="n">
        <v>2005</v>
      </c>
      <c r="D823" s="3" t="inlineStr">
        <is>
          <t>Overall</t>
        </is>
      </c>
      <c r="E823" s="3" t="inlineStr">
        <is>
          <t>Deciles</t>
        </is>
      </c>
      <c r="F823" s="3" t="inlineStr">
        <is>
          <t>mean</t>
        </is>
      </c>
      <c r="G823" s="3" t="n">
        <v>6</v>
      </c>
      <c r="H823" s="3" t="n">
        <v>-0.7929999828338623</v>
      </c>
      <c r="I823" s="3" t="n">
        <v>-0.7929999828338623</v>
      </c>
      <c r="J823" s="3" t="n">
        <v>-0.9309999942779541</v>
      </c>
      <c r="K823" s="3" t="n">
        <v>-0.9309999942779541</v>
      </c>
      <c r="L823" s="3" t="n">
        <v>-0.7929999828338623</v>
      </c>
      <c r="M823" s="3" t="n">
        <v>-0.7929999828338623</v>
      </c>
      <c r="N823" s="3" t="n">
        <v>-0.7929999828338623</v>
      </c>
      <c r="O823" s="3" t="n">
        <v>-0.7929999828338623</v>
      </c>
      <c r="P823" s="3" t="n">
        <v>-0.7929999828338623</v>
      </c>
      <c r="Q823" s="3" t="n">
        <v>-0.7929999828338623</v>
      </c>
      <c r="R823" s="3" t="n">
        <v>-0.7760000228881836</v>
      </c>
      <c r="S823" s="3" t="n">
        <v>-2.454999923706055</v>
      </c>
      <c r="T823" s="3" t="n">
        <v>-0.7099999785423279</v>
      </c>
      <c r="U823" s="3" t="n">
        <v>-0.9309999942779541</v>
      </c>
      <c r="V823" s="3" t="n">
        <v>-0.6859999895095825</v>
      </c>
      <c r="W823" s="3" t="n">
        <v>-0.6069999933242798</v>
      </c>
      <c r="X823" s="3" t="n">
        <v>-2.328999996185303</v>
      </c>
      <c r="Y823" s="3" t="n">
        <v>-0.7929999828338623</v>
      </c>
      <c r="Z823" s="3" t="n">
        <v>-2.454999923706055</v>
      </c>
      <c r="AA823" s="3" t="n">
        <v>-2.454999923706055</v>
      </c>
      <c r="AB823" s="3" t="n">
        <v>-2.328999996185303</v>
      </c>
      <c r="AC823" s="3" t="n">
        <v>-1.217000007629395</v>
      </c>
      <c r="AD823" s="3" t="n">
        <v>-0.9309999942779541</v>
      </c>
      <c r="AE823" s="3" t="n">
        <v>-0.9309999942779541</v>
      </c>
    </row>
    <row r="824">
      <c r="A824" s="3" t="inlineStr">
        <is>
          <t>GNB.distn.dec.ove.mean.7</t>
        </is>
      </c>
      <c r="B824" s="3" t="inlineStr">
        <is>
          <t>GNB</t>
        </is>
      </c>
      <c r="C824" s="3" t="n">
        <v>2005</v>
      </c>
      <c r="D824" s="3" t="inlineStr">
        <is>
          <t>Overall</t>
        </is>
      </c>
      <c r="E824" s="3" t="inlineStr">
        <is>
          <t>Deciles</t>
        </is>
      </c>
      <c r="F824" s="3" t="inlineStr">
        <is>
          <t>mean</t>
        </is>
      </c>
      <c r="G824" s="3" t="n">
        <v>7</v>
      </c>
      <c r="H824" s="3" t="n">
        <v>-0.7929999828338623</v>
      </c>
      <c r="I824" s="3" t="n">
        <v>-0.7929999828338623</v>
      </c>
      <c r="J824" s="3" t="n">
        <v>-0.9309999942779541</v>
      </c>
      <c r="K824" s="3" t="n">
        <v>-0.9309999942779541</v>
      </c>
      <c r="L824" s="3" t="n">
        <v>-0.7929999828338623</v>
      </c>
      <c r="M824" s="3" t="n">
        <v>-0.7929999828338623</v>
      </c>
      <c r="N824" s="3" t="n">
        <v>-0.7929999828338623</v>
      </c>
      <c r="O824" s="3" t="n">
        <v>-0.7929999828338623</v>
      </c>
      <c r="P824" s="3" t="n">
        <v>-0.7929999828338623</v>
      </c>
      <c r="Q824" s="3" t="n">
        <v>-0.7929999828338623</v>
      </c>
      <c r="R824" s="3" t="n">
        <v>-0.7760000228881836</v>
      </c>
      <c r="S824" s="3" t="n">
        <v>-2.454999923706055</v>
      </c>
      <c r="T824" s="3" t="n">
        <v>-0.7099999785423279</v>
      </c>
      <c r="U824" s="3" t="n">
        <v>-0.9309999942779541</v>
      </c>
      <c r="V824" s="3" t="n">
        <v>-0.6859999895095825</v>
      </c>
      <c r="W824" s="3" t="n">
        <v>-0.6069999933242798</v>
      </c>
      <c r="X824" s="3" t="n">
        <v>-2.328999996185303</v>
      </c>
      <c r="Y824" s="3" t="n">
        <v>-0.7929999828338623</v>
      </c>
      <c r="Z824" s="3" t="n">
        <v>-2.454999923706055</v>
      </c>
      <c r="AA824" s="3" t="n">
        <v>-2.454999923706055</v>
      </c>
      <c r="AB824" s="3" t="n">
        <v>-2.328999996185303</v>
      </c>
      <c r="AC824" s="3" t="n">
        <v>-1.217000007629395</v>
      </c>
      <c r="AD824" s="3" t="n">
        <v>-0.9309999942779541</v>
      </c>
      <c r="AE824" s="3" t="n">
        <v>-0.9309999942779541</v>
      </c>
    </row>
    <row r="825">
      <c r="A825" s="3" t="inlineStr">
        <is>
          <t>GNB.distn.dec.ove.mean.8</t>
        </is>
      </c>
      <c r="B825" s="3" t="inlineStr">
        <is>
          <t>GNB</t>
        </is>
      </c>
      <c r="C825" s="3" t="n">
        <v>2005</v>
      </c>
      <c r="D825" s="3" t="inlineStr">
        <is>
          <t>Overall</t>
        </is>
      </c>
      <c r="E825" s="3" t="inlineStr">
        <is>
          <t>Deciles</t>
        </is>
      </c>
      <c r="F825" s="3" t="inlineStr">
        <is>
          <t>mean</t>
        </is>
      </c>
      <c r="G825" s="3" t="n">
        <v>8</v>
      </c>
      <c r="H825" s="3" t="n">
        <v>-0.7933820486068726</v>
      </c>
      <c r="I825" s="3" t="n">
        <v>-0.7933820486068726</v>
      </c>
      <c r="J825" s="3" t="n">
        <v>-0.9335114359855652</v>
      </c>
      <c r="K825" s="3" t="n">
        <v>-0.9335114359855652</v>
      </c>
      <c r="L825" s="3" t="n">
        <v>-0.7933820486068726</v>
      </c>
      <c r="M825" s="3" t="n">
        <v>-0.7933820486068726</v>
      </c>
      <c r="N825" s="3" t="n">
        <v>-0.7933820486068726</v>
      </c>
      <c r="O825" s="3" t="n">
        <v>-0.7933820486068726</v>
      </c>
      <c r="P825" s="3" t="n">
        <v>-0.7933820486068726</v>
      </c>
      <c r="Q825" s="3" t="n">
        <v>-0.7933820486068726</v>
      </c>
      <c r="R825" s="3" t="n">
        <v>-0.776255190372467</v>
      </c>
      <c r="S825" s="3" t="n">
        <v>-2.477843999862671</v>
      </c>
      <c r="T825" s="3" t="n">
        <v>-0.7100409269332886</v>
      </c>
      <c r="U825" s="3" t="n">
        <v>-0.9335114359855652</v>
      </c>
      <c r="V825" s="3" t="n">
        <v>-0.6867091655731201</v>
      </c>
      <c r="W825" s="3" t="n">
        <v>-0.6232547163963318</v>
      </c>
      <c r="X825" s="3" t="n">
        <v>-2.350221872329712</v>
      </c>
      <c r="Y825" s="3" t="n">
        <v>-0.7933820486068726</v>
      </c>
      <c r="Z825" s="3" t="n">
        <v>-2.477843999862671</v>
      </c>
      <c r="AA825" s="3" t="n">
        <v>-2.477843999862671</v>
      </c>
      <c r="AB825" s="3" t="n">
        <v>-2.350221872329712</v>
      </c>
      <c r="AC825" s="3" t="n">
        <v>-1.234356045722961</v>
      </c>
      <c r="AD825" s="3" t="n">
        <v>-0.9335114359855652</v>
      </c>
      <c r="AE825" s="3" t="n">
        <v>-0.9335114359855652</v>
      </c>
    </row>
    <row r="826">
      <c r="A826" s="3" t="inlineStr">
        <is>
          <t>GNB.distn.dec.ove.mean.9</t>
        </is>
      </c>
      <c r="B826" s="3" t="inlineStr">
        <is>
          <t>GNB</t>
        </is>
      </c>
      <c r="C826" s="3" t="n">
        <v>2005</v>
      </c>
      <c r="D826" s="3" t="inlineStr">
        <is>
          <t>Overall</t>
        </is>
      </c>
      <c r="E826" s="3" t="inlineStr">
        <is>
          <t>Deciles</t>
        </is>
      </c>
      <c r="F826" s="3" t="inlineStr">
        <is>
          <t>mean</t>
        </is>
      </c>
      <c r="G826" s="3" t="n">
        <v>9</v>
      </c>
      <c r="H826" s="3" t="n">
        <v>-0.7933820486068726</v>
      </c>
      <c r="I826" s="3" t="n">
        <v>-0.7933820486068726</v>
      </c>
      <c r="J826" s="3" t="n">
        <v>-0.9335114359855652</v>
      </c>
      <c r="K826" s="3" t="n">
        <v>-0.9335114359855652</v>
      </c>
      <c r="L826" s="3" t="n">
        <v>-0.7933820486068726</v>
      </c>
      <c r="M826" s="3" t="n">
        <v>-0.7933820486068726</v>
      </c>
      <c r="N826" s="3" t="n">
        <v>-0.7933820486068726</v>
      </c>
      <c r="O826" s="3" t="n">
        <v>-0.7933820486068726</v>
      </c>
      <c r="P826" s="3" t="n">
        <v>-0.7933820486068726</v>
      </c>
      <c r="Q826" s="3" t="n">
        <v>-0.7933820486068726</v>
      </c>
      <c r="R826" s="3" t="n">
        <v>-0.776255190372467</v>
      </c>
      <c r="S826" s="3" t="n">
        <v>-2.477843999862671</v>
      </c>
      <c r="T826" s="3" t="n">
        <v>-0.7100409269332886</v>
      </c>
      <c r="U826" s="3" t="n">
        <v>-0.9335114359855652</v>
      </c>
      <c r="V826" s="3" t="n">
        <v>-0.6867091655731201</v>
      </c>
      <c r="W826" s="3" t="n">
        <v>-0.6232547163963318</v>
      </c>
      <c r="X826" s="3" t="n">
        <v>-2.350221872329712</v>
      </c>
      <c r="Y826" s="3" t="n">
        <v>-0.7933820486068726</v>
      </c>
      <c r="Z826" s="3" t="n">
        <v>-2.477843999862671</v>
      </c>
      <c r="AA826" s="3" t="n">
        <v>-2.477843999862671</v>
      </c>
      <c r="AB826" s="3" t="n">
        <v>-2.350221872329712</v>
      </c>
      <c r="AC826" s="3" t="n">
        <v>-1.234356045722961</v>
      </c>
      <c r="AD826" s="3" t="n">
        <v>-0.9335114359855652</v>
      </c>
      <c r="AE826" s="3" t="n">
        <v>-0.9335114359855652</v>
      </c>
    </row>
    <row r="827">
      <c r="A827" s="3" t="inlineStr">
        <is>
          <t>GNB.distn.dec.ove.mean.10</t>
        </is>
      </c>
      <c r="B827" s="3" t="inlineStr">
        <is>
          <t>GNB</t>
        </is>
      </c>
      <c r="C827" s="3" t="n">
        <v>2005</v>
      </c>
      <c r="D827" s="3" t="inlineStr">
        <is>
          <t>Overall</t>
        </is>
      </c>
      <c r="E827" s="3" t="inlineStr">
        <is>
          <t>Deciles</t>
        </is>
      </c>
      <c r="F827" s="3" t="inlineStr">
        <is>
          <t>mean</t>
        </is>
      </c>
      <c r="G827" s="3" t="n">
        <v>10</v>
      </c>
      <c r="H827" s="3" t="n">
        <v>-0.7933820486068726</v>
      </c>
      <c r="I827" s="3" t="n">
        <v>-0.7933820486068726</v>
      </c>
      <c r="J827" s="3" t="n">
        <v>-0.9335114359855652</v>
      </c>
      <c r="K827" s="3" t="n">
        <v>-0.9335114359855652</v>
      </c>
      <c r="L827" s="3" t="n">
        <v>-0.7933820486068726</v>
      </c>
      <c r="M827" s="3" t="n">
        <v>-0.7933820486068726</v>
      </c>
      <c r="N827" s="3" t="n">
        <v>-0.7933820486068726</v>
      </c>
      <c r="O827" s="3" t="n">
        <v>-0.7933820486068726</v>
      </c>
      <c r="P827" s="3" t="n">
        <v>-0.7933820486068726</v>
      </c>
      <c r="Q827" s="3" t="n">
        <v>-0.7933820486068726</v>
      </c>
      <c r="R827" s="3" t="n">
        <v>-0.776255190372467</v>
      </c>
      <c r="S827" s="3" t="n">
        <v>-2.477843999862671</v>
      </c>
      <c r="T827" s="3" t="n">
        <v>-0.7100409269332886</v>
      </c>
      <c r="U827" s="3" t="n">
        <v>-0.9335114359855652</v>
      </c>
      <c r="V827" s="3" t="n">
        <v>-0.6867091655731201</v>
      </c>
      <c r="W827" s="3" t="n">
        <v>-0.6232547163963318</v>
      </c>
      <c r="X827" s="3" t="n">
        <v>-2.350221872329712</v>
      </c>
      <c r="Y827" s="3" t="n">
        <v>-0.7933820486068726</v>
      </c>
      <c r="Z827" s="3" t="n">
        <v>-2.477843999862671</v>
      </c>
      <c r="AA827" s="3" t="n">
        <v>-2.477843999862671</v>
      </c>
      <c r="AB827" s="3" t="n">
        <v>-2.350221872329712</v>
      </c>
      <c r="AC827" s="3" t="n">
        <v>-1.234356045722961</v>
      </c>
      <c r="AD827" s="3" t="n">
        <v>-0.9335114359855652</v>
      </c>
      <c r="AE827" s="3" t="n">
        <v>-0.9335114359855652</v>
      </c>
    </row>
    <row r="828">
      <c r="A828" s="3" t="inlineStr">
        <is>
          <t>GNB.distn.bkt.ove.mean.9999</t>
        </is>
      </c>
      <c r="B828" s="3" t="inlineStr">
        <is>
          <t>GNB</t>
        </is>
      </c>
      <c r="C828" s="3" t="n">
        <v>2005</v>
      </c>
      <c r="D828" s="3" t="inlineStr">
        <is>
          <t>Overall</t>
        </is>
      </c>
      <c r="E828" s="3" t="inlineStr">
        <is>
          <t>Basket</t>
        </is>
      </c>
      <c r="F828" s="3" t="inlineStr">
        <is>
          <t>mean</t>
        </is>
      </c>
      <c r="G828" s="3" t="n">
        <v>9999</v>
      </c>
      <c r="H828" s="3" t="n">
        <v>-0.7950132489204407</v>
      </c>
      <c r="I828" s="3" t="n">
        <v>-0.7950132489204407</v>
      </c>
      <c r="J828" s="3" t="n">
        <v>-0.9459347128868103</v>
      </c>
      <c r="K828" s="3" t="n">
        <v>-0.9459347128868103</v>
      </c>
      <c r="L828" s="3" t="n">
        <v>-0.7950132489204407</v>
      </c>
      <c r="M828" s="3" t="n">
        <v>-0.7950132489204407</v>
      </c>
      <c r="N828" s="3" t="n">
        <v>-0.7950132489204407</v>
      </c>
      <c r="O828" s="3" t="n">
        <v>-0.7950132489204407</v>
      </c>
      <c r="P828" s="3" t="n">
        <v>-0.7950132489204407</v>
      </c>
      <c r="Q828" s="3" t="n">
        <v>-0.7950132489204407</v>
      </c>
      <c r="R828" s="3" t="n">
        <v>-0.7771258950233459</v>
      </c>
      <c r="S828" s="3" t="n">
        <v>-2.806674480438232</v>
      </c>
      <c r="T828" s="3" t="n">
        <v>-0.7104492783546448</v>
      </c>
      <c r="U828" s="3" t="n">
        <v>-0.9459347128868103</v>
      </c>
      <c r="V828" s="3" t="n">
        <v>-0.6883269548416138</v>
      </c>
      <c r="W828" s="3" t="n">
        <v>-0.6461483836174011</v>
      </c>
      <c r="X828" s="3" t="n">
        <v>-2.62669825553894</v>
      </c>
      <c r="Y828" s="3" t="n">
        <v>-0.7950132489204407</v>
      </c>
      <c r="Z828" s="3" t="n">
        <v>-2.806674480438232</v>
      </c>
      <c r="AA828" s="3" t="n">
        <v>-2.806674480438232</v>
      </c>
      <c r="AB828" s="3" t="n">
        <v>-2.62669825553894</v>
      </c>
      <c r="AC828" s="3" t="n">
        <v>-1.613128662109375</v>
      </c>
      <c r="AD828" s="3" t="n">
        <v>-0.9459347128868103</v>
      </c>
      <c r="AE828" s="3" t="n">
        <v>-0.9459347128868103</v>
      </c>
    </row>
    <row r="829">
      <c r="A829" s="3" t="inlineStr">
        <is>
          <t>GNQ.distn.dec.ove.mean.1</t>
        </is>
      </c>
      <c r="B829" s="3" t="inlineStr">
        <is>
          <t>GNQ</t>
        </is>
      </c>
      <c r="C829" s="3" t="n">
        <v>2005</v>
      </c>
      <c r="D829" s="3" t="inlineStr">
        <is>
          <t>Overall</t>
        </is>
      </c>
      <c r="E829" s="3" t="inlineStr">
        <is>
          <t>Deciles</t>
        </is>
      </c>
      <c r="F829" s="3" t="inlineStr">
        <is>
          <t>mean</t>
        </is>
      </c>
      <c r="G829" s="3" t="n">
        <v>1</v>
      </c>
      <c r="H829" s="3" t="n">
        <v>-0.7912648916244507</v>
      </c>
      <c r="I829" s="3" t="n">
        <v>-0.7912648916244507</v>
      </c>
      <c r="J829" s="3" t="n">
        <v>-0.9068183898925781</v>
      </c>
      <c r="K829" s="3" t="n">
        <v>-0.9068183898925781</v>
      </c>
      <c r="L829" s="3" t="n">
        <v>-0.7912648916244507</v>
      </c>
      <c r="M829" s="3" t="n">
        <v>-0.7912648916244507</v>
      </c>
      <c r="N829" s="3" t="n">
        <v>-0.7912648916244507</v>
      </c>
      <c r="O829" s="3" t="n">
        <v>-0.7912648916244507</v>
      </c>
      <c r="P829" s="3" t="n">
        <v>-0.7912648916244507</v>
      </c>
      <c r="Q829" s="3" t="n">
        <v>-0.7912648916244507</v>
      </c>
      <c r="R829" s="3" t="n">
        <v>-0.775479793548584</v>
      </c>
      <c r="S829" s="3" t="n">
        <v>-1.532789587974548</v>
      </c>
      <c r="T829" s="3" t="n">
        <v>-0.7104546427726746</v>
      </c>
      <c r="U829" s="3" t="n">
        <v>-0.9068183898925781</v>
      </c>
      <c r="V829" s="3" t="n">
        <v>-0.6859755516052246</v>
      </c>
      <c r="W829" s="3" t="n">
        <v>-0.645194947719574</v>
      </c>
      <c r="X829" s="3" t="n">
        <v>-1.4736407995224</v>
      </c>
      <c r="Y829" s="3" t="n">
        <v>-0.7912648916244507</v>
      </c>
      <c r="Z829" s="3" t="n">
        <v>-1.532789587974548</v>
      </c>
      <c r="AA829" s="3" t="n">
        <v>-1.532789587974548</v>
      </c>
      <c r="AB829" s="3" t="n">
        <v>-1.4736407995224</v>
      </c>
      <c r="AC829" s="3" t="n">
        <v>-2.451738834381104</v>
      </c>
      <c r="AD829" s="3" t="n">
        <v>-0.9068183898925781</v>
      </c>
      <c r="AE829" s="3" t="n">
        <v>-0.9068183898925781</v>
      </c>
    </row>
    <row r="830">
      <c r="A830" s="3" t="inlineStr">
        <is>
          <t>GNQ.distn.dec.ove.mean.2</t>
        </is>
      </c>
      <c r="B830" s="3" t="inlineStr">
        <is>
          <t>GNQ</t>
        </is>
      </c>
      <c r="C830" s="3" t="n">
        <v>2005</v>
      </c>
      <c r="D830" s="3" t="inlineStr">
        <is>
          <t>Overall</t>
        </is>
      </c>
      <c r="E830" s="3" t="inlineStr">
        <is>
          <t>Deciles</t>
        </is>
      </c>
      <c r="F830" s="3" t="inlineStr">
        <is>
          <t>mean</t>
        </is>
      </c>
      <c r="G830" s="3" t="n">
        <v>2</v>
      </c>
      <c r="H830" s="3" t="n">
        <v>-0.7912648916244507</v>
      </c>
      <c r="I830" s="3" t="n">
        <v>-0.7912648916244507</v>
      </c>
      <c r="J830" s="3" t="n">
        <v>-0.9068183898925781</v>
      </c>
      <c r="K830" s="3" t="n">
        <v>-0.9068183898925781</v>
      </c>
      <c r="L830" s="3" t="n">
        <v>-0.7912648916244507</v>
      </c>
      <c r="M830" s="3" t="n">
        <v>-0.7912648916244507</v>
      </c>
      <c r="N830" s="3" t="n">
        <v>-0.7912648916244507</v>
      </c>
      <c r="O830" s="3" t="n">
        <v>-0.7912648916244507</v>
      </c>
      <c r="P830" s="3" t="n">
        <v>-0.7912648916244507</v>
      </c>
      <c r="Q830" s="3" t="n">
        <v>-0.7912648916244507</v>
      </c>
      <c r="R830" s="3" t="n">
        <v>-0.775479793548584</v>
      </c>
      <c r="S830" s="3" t="n">
        <v>-1.532789587974548</v>
      </c>
      <c r="T830" s="3" t="n">
        <v>-0.7104546427726746</v>
      </c>
      <c r="U830" s="3" t="n">
        <v>-0.9068183898925781</v>
      </c>
      <c r="V830" s="3" t="n">
        <v>-0.6859755516052246</v>
      </c>
      <c r="W830" s="3" t="n">
        <v>-0.645194947719574</v>
      </c>
      <c r="X830" s="3" t="n">
        <v>-1.4736407995224</v>
      </c>
      <c r="Y830" s="3" t="n">
        <v>-0.7912648916244507</v>
      </c>
      <c r="Z830" s="3" t="n">
        <v>-1.532789587974548</v>
      </c>
      <c r="AA830" s="3" t="n">
        <v>-1.532789587974548</v>
      </c>
      <c r="AB830" s="3" t="n">
        <v>-1.4736407995224</v>
      </c>
      <c r="AC830" s="3" t="n">
        <v>-2.451738834381104</v>
      </c>
      <c r="AD830" s="3" t="n">
        <v>-0.9068183898925781</v>
      </c>
      <c r="AE830" s="3" t="n">
        <v>-0.9068183898925781</v>
      </c>
    </row>
    <row r="831">
      <c r="A831" s="3" t="inlineStr">
        <is>
          <t>GNQ.distn.dec.ove.mean.3</t>
        </is>
      </c>
      <c r="B831" s="3" t="inlineStr">
        <is>
          <t>GNQ</t>
        </is>
      </c>
      <c r="C831" s="3" t="n">
        <v>2005</v>
      </c>
      <c r="D831" s="3" t="inlineStr">
        <is>
          <t>Overall</t>
        </is>
      </c>
      <c r="E831" s="3" t="inlineStr">
        <is>
          <t>Deciles</t>
        </is>
      </c>
      <c r="F831" s="3" t="inlineStr">
        <is>
          <t>mean</t>
        </is>
      </c>
      <c r="G831" s="3" t="n">
        <v>3</v>
      </c>
      <c r="H831" s="3" t="n">
        <v>-0.7912648916244507</v>
      </c>
      <c r="I831" s="3" t="n">
        <v>-0.7912648916244507</v>
      </c>
      <c r="J831" s="3" t="n">
        <v>-0.9068183898925781</v>
      </c>
      <c r="K831" s="3" t="n">
        <v>-0.9068183898925781</v>
      </c>
      <c r="L831" s="3" t="n">
        <v>-0.7912648916244507</v>
      </c>
      <c r="M831" s="3" t="n">
        <v>-0.7912648916244507</v>
      </c>
      <c r="N831" s="3" t="n">
        <v>-0.7912648916244507</v>
      </c>
      <c r="O831" s="3" t="n">
        <v>-0.7912648916244507</v>
      </c>
      <c r="P831" s="3" t="n">
        <v>-0.7912648916244507</v>
      </c>
      <c r="Q831" s="3" t="n">
        <v>-0.7912648916244507</v>
      </c>
      <c r="R831" s="3" t="n">
        <v>-0.775479793548584</v>
      </c>
      <c r="S831" s="3" t="n">
        <v>-1.532789587974548</v>
      </c>
      <c r="T831" s="3" t="n">
        <v>-0.7104546427726746</v>
      </c>
      <c r="U831" s="3" t="n">
        <v>-0.9068183898925781</v>
      </c>
      <c r="V831" s="3" t="n">
        <v>-0.6859755516052246</v>
      </c>
      <c r="W831" s="3" t="n">
        <v>-0.645194947719574</v>
      </c>
      <c r="X831" s="3" t="n">
        <v>-1.4736407995224</v>
      </c>
      <c r="Y831" s="3" t="n">
        <v>-0.7912648916244507</v>
      </c>
      <c r="Z831" s="3" t="n">
        <v>-1.532789587974548</v>
      </c>
      <c r="AA831" s="3" t="n">
        <v>-1.532789587974548</v>
      </c>
      <c r="AB831" s="3" t="n">
        <v>-1.4736407995224</v>
      </c>
      <c r="AC831" s="3" t="n">
        <v>-2.451738834381104</v>
      </c>
      <c r="AD831" s="3" t="n">
        <v>-0.9068183898925781</v>
      </c>
      <c r="AE831" s="3" t="n">
        <v>-0.9068183898925781</v>
      </c>
    </row>
    <row r="832">
      <c r="A832" s="3" t="inlineStr">
        <is>
          <t>GNQ.distn.dec.ove.mean.4</t>
        </is>
      </c>
      <c r="B832" s="3" t="inlineStr">
        <is>
          <t>GNQ</t>
        </is>
      </c>
      <c r="C832" s="3" t="n">
        <v>2005</v>
      </c>
      <c r="D832" s="3" t="inlineStr">
        <is>
          <t>Overall</t>
        </is>
      </c>
      <c r="E832" s="3" t="inlineStr">
        <is>
          <t>Deciles</t>
        </is>
      </c>
      <c r="F832" s="3" t="inlineStr">
        <is>
          <t>mean</t>
        </is>
      </c>
      <c r="G832" s="3" t="n">
        <v>4</v>
      </c>
      <c r="H832" s="3" t="n">
        <v>-0.7850000262260437</v>
      </c>
      <c r="I832" s="3" t="n">
        <v>-0.7850000262260437</v>
      </c>
      <c r="J832" s="3" t="n">
        <v>-0.8629999756813049</v>
      </c>
      <c r="K832" s="3" t="n">
        <v>-0.8629999756813049</v>
      </c>
      <c r="L832" s="3" t="n">
        <v>-0.7850000262260437</v>
      </c>
      <c r="M832" s="3" t="n">
        <v>-0.7850000262260437</v>
      </c>
      <c r="N832" s="3" t="n">
        <v>-0.7850000262260437</v>
      </c>
      <c r="O832" s="3" t="n">
        <v>-0.7850000262260437</v>
      </c>
      <c r="P832" s="3" t="n">
        <v>-0.7850000262260437</v>
      </c>
      <c r="Q832" s="3" t="n">
        <v>-0.7850000262260437</v>
      </c>
      <c r="R832" s="3" t="n">
        <v>-0.7720000147819519</v>
      </c>
      <c r="S832" s="3" t="n">
        <v>-1.044000029563904</v>
      </c>
      <c r="T832" s="3" t="n">
        <v>-0.7089999914169312</v>
      </c>
      <c r="U832" s="3" t="n">
        <v>-0.8629999756813049</v>
      </c>
      <c r="V832" s="3" t="n">
        <v>-0.6790000200271606</v>
      </c>
      <c r="W832" s="3" t="n">
        <v>-0.5429999828338623</v>
      </c>
      <c r="X832" s="3" t="n">
        <v>-1.039999961853027</v>
      </c>
      <c r="Y832" s="3" t="n">
        <v>-0.7850000262260437</v>
      </c>
      <c r="Z832" s="3" t="n">
        <v>-1.044000029563904</v>
      </c>
      <c r="AA832" s="3" t="n">
        <v>-1.044000029563904</v>
      </c>
      <c r="AB832" s="3" t="n">
        <v>-1.039999961853027</v>
      </c>
      <c r="AC832" s="3" t="n">
        <v>-1.184000015258789</v>
      </c>
      <c r="AD832" s="3" t="n">
        <v>-0.8629999756813049</v>
      </c>
      <c r="AE832" s="3" t="n">
        <v>-0.8629999756813049</v>
      </c>
    </row>
    <row r="833">
      <c r="A833" s="3" t="inlineStr">
        <is>
          <t>GNQ.distn.dec.ove.mean.5</t>
        </is>
      </c>
      <c r="B833" s="3" t="inlineStr">
        <is>
          <t>GNQ</t>
        </is>
      </c>
      <c r="C833" s="3" t="n">
        <v>2005</v>
      </c>
      <c r="D833" s="3" t="inlineStr">
        <is>
          <t>Overall</t>
        </is>
      </c>
      <c r="E833" s="3" t="inlineStr">
        <is>
          <t>Deciles</t>
        </is>
      </c>
      <c r="F833" s="3" t="inlineStr">
        <is>
          <t>mean</t>
        </is>
      </c>
      <c r="G833" s="3" t="n">
        <v>5</v>
      </c>
      <c r="H833" s="3" t="n">
        <v>-0.7850000262260437</v>
      </c>
      <c r="I833" s="3" t="n">
        <v>-0.7850000262260437</v>
      </c>
      <c r="J833" s="3" t="n">
        <v>-0.8629999756813049</v>
      </c>
      <c r="K833" s="3" t="n">
        <v>-0.8629999756813049</v>
      </c>
      <c r="L833" s="3" t="n">
        <v>-0.7850000262260437</v>
      </c>
      <c r="M833" s="3" t="n">
        <v>-0.7850000262260437</v>
      </c>
      <c r="N833" s="3" t="n">
        <v>-0.7850000262260437</v>
      </c>
      <c r="O833" s="3" t="n">
        <v>-0.7850000262260437</v>
      </c>
      <c r="P833" s="3" t="n">
        <v>-0.7850000262260437</v>
      </c>
      <c r="Q833" s="3" t="n">
        <v>-0.7850000262260437</v>
      </c>
      <c r="R833" s="3" t="n">
        <v>-0.7720000147819519</v>
      </c>
      <c r="S833" s="3" t="n">
        <v>-1.044000029563904</v>
      </c>
      <c r="T833" s="3" t="n">
        <v>-0.7089999914169312</v>
      </c>
      <c r="U833" s="3" t="n">
        <v>-0.8629999756813049</v>
      </c>
      <c r="V833" s="3" t="n">
        <v>-0.6790000200271606</v>
      </c>
      <c r="W833" s="3" t="n">
        <v>-0.5429999828338623</v>
      </c>
      <c r="X833" s="3" t="n">
        <v>-1.039999961853027</v>
      </c>
      <c r="Y833" s="3" t="n">
        <v>-0.7850000262260437</v>
      </c>
      <c r="Z833" s="3" t="n">
        <v>-1.044000029563904</v>
      </c>
      <c r="AA833" s="3" t="n">
        <v>-1.044000029563904</v>
      </c>
      <c r="AB833" s="3" t="n">
        <v>-1.039999961853027</v>
      </c>
      <c r="AC833" s="3" t="n">
        <v>-1.184000015258789</v>
      </c>
      <c r="AD833" s="3" t="n">
        <v>-0.8629999756813049</v>
      </c>
      <c r="AE833" s="3" t="n">
        <v>-0.8629999756813049</v>
      </c>
    </row>
    <row r="834">
      <c r="A834" s="3" t="inlineStr">
        <is>
          <t>GNQ.distn.dec.ove.mean.6</t>
        </is>
      </c>
      <c r="B834" s="3" t="inlineStr">
        <is>
          <t>GNQ</t>
        </is>
      </c>
      <c r="C834" s="3" t="n">
        <v>2005</v>
      </c>
      <c r="D834" s="3" t="inlineStr">
        <is>
          <t>Overall</t>
        </is>
      </c>
      <c r="E834" s="3" t="inlineStr">
        <is>
          <t>Deciles</t>
        </is>
      </c>
      <c r="F834" s="3" t="inlineStr">
        <is>
          <t>mean</t>
        </is>
      </c>
      <c r="G834" s="3" t="n">
        <v>6</v>
      </c>
      <c r="H834" s="3" t="n">
        <v>-0.7850000262260437</v>
      </c>
      <c r="I834" s="3" t="n">
        <v>-0.7850000262260437</v>
      </c>
      <c r="J834" s="3" t="n">
        <v>-0.8629999756813049</v>
      </c>
      <c r="K834" s="3" t="n">
        <v>-0.8629999756813049</v>
      </c>
      <c r="L834" s="3" t="n">
        <v>-0.7850000262260437</v>
      </c>
      <c r="M834" s="3" t="n">
        <v>-0.7850000262260437</v>
      </c>
      <c r="N834" s="3" t="n">
        <v>-0.7850000262260437</v>
      </c>
      <c r="O834" s="3" t="n">
        <v>-0.7850000262260437</v>
      </c>
      <c r="P834" s="3" t="n">
        <v>-0.7850000262260437</v>
      </c>
      <c r="Q834" s="3" t="n">
        <v>-0.7850000262260437</v>
      </c>
      <c r="R834" s="3" t="n">
        <v>-0.7720000147819519</v>
      </c>
      <c r="S834" s="3" t="n">
        <v>-1.044000029563904</v>
      </c>
      <c r="T834" s="3" t="n">
        <v>-0.7089999914169312</v>
      </c>
      <c r="U834" s="3" t="n">
        <v>-0.8629999756813049</v>
      </c>
      <c r="V834" s="3" t="n">
        <v>-0.6790000200271606</v>
      </c>
      <c r="W834" s="3" t="n">
        <v>-0.5429999828338623</v>
      </c>
      <c r="X834" s="3" t="n">
        <v>-1.039999961853027</v>
      </c>
      <c r="Y834" s="3" t="n">
        <v>-0.7850000262260437</v>
      </c>
      <c r="Z834" s="3" t="n">
        <v>-1.044000029563904</v>
      </c>
      <c r="AA834" s="3" t="n">
        <v>-1.044000029563904</v>
      </c>
      <c r="AB834" s="3" t="n">
        <v>-1.039999961853027</v>
      </c>
      <c r="AC834" s="3" t="n">
        <v>-1.184000015258789</v>
      </c>
      <c r="AD834" s="3" t="n">
        <v>-0.8629999756813049</v>
      </c>
      <c r="AE834" s="3" t="n">
        <v>-0.8629999756813049</v>
      </c>
    </row>
    <row r="835">
      <c r="A835" s="3" t="inlineStr">
        <is>
          <t>GNQ.distn.dec.ove.mean.7</t>
        </is>
      </c>
      <c r="B835" s="3" t="inlineStr">
        <is>
          <t>GNQ</t>
        </is>
      </c>
      <c r="C835" s="3" t="n">
        <v>2005</v>
      </c>
      <c r="D835" s="3" t="inlineStr">
        <is>
          <t>Overall</t>
        </is>
      </c>
      <c r="E835" s="3" t="inlineStr">
        <is>
          <t>Deciles</t>
        </is>
      </c>
      <c r="F835" s="3" t="inlineStr">
        <is>
          <t>mean</t>
        </is>
      </c>
      <c r="G835" s="3" t="n">
        <v>7</v>
      </c>
      <c r="H835" s="3" t="n">
        <v>-0.7850000262260437</v>
      </c>
      <c r="I835" s="3" t="n">
        <v>-0.7850000262260437</v>
      </c>
      <c r="J835" s="3" t="n">
        <v>-0.8629999756813049</v>
      </c>
      <c r="K835" s="3" t="n">
        <v>-0.8629999756813049</v>
      </c>
      <c r="L835" s="3" t="n">
        <v>-0.7850000262260437</v>
      </c>
      <c r="M835" s="3" t="n">
        <v>-0.7850000262260437</v>
      </c>
      <c r="N835" s="3" t="n">
        <v>-0.7850000262260437</v>
      </c>
      <c r="O835" s="3" t="n">
        <v>-0.7850000262260437</v>
      </c>
      <c r="P835" s="3" t="n">
        <v>-0.7850000262260437</v>
      </c>
      <c r="Q835" s="3" t="n">
        <v>-0.7850000262260437</v>
      </c>
      <c r="R835" s="3" t="n">
        <v>-0.7720000147819519</v>
      </c>
      <c r="S835" s="3" t="n">
        <v>-1.044000029563904</v>
      </c>
      <c r="T835" s="3" t="n">
        <v>-0.7089999914169312</v>
      </c>
      <c r="U835" s="3" t="n">
        <v>-0.8629999756813049</v>
      </c>
      <c r="V835" s="3" t="n">
        <v>-0.6790000200271606</v>
      </c>
      <c r="W835" s="3" t="n">
        <v>-0.5429999828338623</v>
      </c>
      <c r="X835" s="3" t="n">
        <v>-1.039999961853027</v>
      </c>
      <c r="Y835" s="3" t="n">
        <v>-0.7850000262260437</v>
      </c>
      <c r="Z835" s="3" t="n">
        <v>-1.044000029563904</v>
      </c>
      <c r="AA835" s="3" t="n">
        <v>-1.044000029563904</v>
      </c>
      <c r="AB835" s="3" t="n">
        <v>-1.039999961853027</v>
      </c>
      <c r="AC835" s="3" t="n">
        <v>-1.184000015258789</v>
      </c>
      <c r="AD835" s="3" t="n">
        <v>-0.8629999756813049</v>
      </c>
      <c r="AE835" s="3" t="n">
        <v>-0.8629999756813049</v>
      </c>
    </row>
    <row r="836">
      <c r="A836" s="3" t="inlineStr">
        <is>
          <t>GNQ.distn.dec.ove.mean.8</t>
        </is>
      </c>
      <c r="B836" s="3" t="inlineStr">
        <is>
          <t>GNQ</t>
        </is>
      </c>
      <c r="C836" s="3" t="n">
        <v>2005</v>
      </c>
      <c r="D836" s="3" t="inlineStr">
        <is>
          <t>Overall</t>
        </is>
      </c>
      <c r="E836" s="3" t="inlineStr">
        <is>
          <t>Deciles</t>
        </is>
      </c>
      <c r="F836" s="3" t="inlineStr">
        <is>
          <t>mean</t>
        </is>
      </c>
      <c r="G836" s="3" t="n">
        <v>8</v>
      </c>
      <c r="H836" s="3" t="n">
        <v>-0.7853782176971436</v>
      </c>
      <c r="I836" s="3" t="n">
        <v>-0.7853782176971436</v>
      </c>
      <c r="J836" s="3" t="n">
        <v>-0.8653280138969421</v>
      </c>
      <c r="K836" s="3" t="n">
        <v>-0.8653280138969421</v>
      </c>
      <c r="L836" s="3" t="n">
        <v>-0.7853782176971436</v>
      </c>
      <c r="M836" s="3" t="n">
        <v>-0.7853782176971436</v>
      </c>
      <c r="N836" s="3" t="n">
        <v>-0.7853782176971436</v>
      </c>
      <c r="O836" s="3" t="n">
        <v>-0.7853782176971436</v>
      </c>
      <c r="P836" s="3" t="n">
        <v>-0.7853782176971436</v>
      </c>
      <c r="Q836" s="3" t="n">
        <v>-0.7853782176971436</v>
      </c>
      <c r="R836" s="3" t="n">
        <v>-0.7722538709640503</v>
      </c>
      <c r="S836" s="3" t="n">
        <v>-1.053714513778687</v>
      </c>
      <c r="T836" s="3" t="n">
        <v>-0.7090408802032471</v>
      </c>
      <c r="U836" s="3" t="n">
        <v>-0.8653280138969421</v>
      </c>
      <c r="V836" s="3" t="n">
        <v>-0.6797019243240356</v>
      </c>
      <c r="W836" s="3" t="n">
        <v>-0.5575408935546875</v>
      </c>
      <c r="X836" s="3" t="n">
        <v>-1.049476504325867</v>
      </c>
      <c r="Y836" s="3" t="n">
        <v>-0.7853782176971436</v>
      </c>
      <c r="Z836" s="3" t="n">
        <v>-1.053714513778687</v>
      </c>
      <c r="AA836" s="3" t="n">
        <v>-1.053714513778687</v>
      </c>
      <c r="AB836" s="3" t="n">
        <v>-1.049476504325867</v>
      </c>
      <c r="AC836" s="3" t="n">
        <v>-1.200885415077209</v>
      </c>
      <c r="AD836" s="3" t="n">
        <v>-0.8653280138969421</v>
      </c>
      <c r="AE836" s="3" t="n">
        <v>-0.8653280138969421</v>
      </c>
    </row>
    <row r="837">
      <c r="A837" s="3" t="inlineStr">
        <is>
          <t>GNQ.distn.dec.ove.mean.9</t>
        </is>
      </c>
      <c r="B837" s="3" t="inlineStr">
        <is>
          <t>GNQ</t>
        </is>
      </c>
      <c r="C837" s="3" t="n">
        <v>2005</v>
      </c>
      <c r="D837" s="3" t="inlineStr">
        <is>
          <t>Overall</t>
        </is>
      </c>
      <c r="E837" s="3" t="inlineStr">
        <is>
          <t>Deciles</t>
        </is>
      </c>
      <c r="F837" s="3" t="inlineStr">
        <is>
          <t>mean</t>
        </is>
      </c>
      <c r="G837" s="3" t="n">
        <v>9</v>
      </c>
      <c r="H837" s="3" t="n">
        <v>-0.7853782176971436</v>
      </c>
      <c r="I837" s="3" t="n">
        <v>-0.7853782176971436</v>
      </c>
      <c r="J837" s="3" t="n">
        <v>-0.8653280138969421</v>
      </c>
      <c r="K837" s="3" t="n">
        <v>-0.8653280138969421</v>
      </c>
      <c r="L837" s="3" t="n">
        <v>-0.7853782176971436</v>
      </c>
      <c r="M837" s="3" t="n">
        <v>-0.7853782176971436</v>
      </c>
      <c r="N837" s="3" t="n">
        <v>-0.7853782176971436</v>
      </c>
      <c r="O837" s="3" t="n">
        <v>-0.7853782176971436</v>
      </c>
      <c r="P837" s="3" t="n">
        <v>-0.7853782176971436</v>
      </c>
      <c r="Q837" s="3" t="n">
        <v>-0.7853782176971436</v>
      </c>
      <c r="R837" s="3" t="n">
        <v>-0.7722538709640503</v>
      </c>
      <c r="S837" s="3" t="n">
        <v>-1.053714513778687</v>
      </c>
      <c r="T837" s="3" t="n">
        <v>-0.7090408802032471</v>
      </c>
      <c r="U837" s="3" t="n">
        <v>-0.8653280138969421</v>
      </c>
      <c r="V837" s="3" t="n">
        <v>-0.6797019243240356</v>
      </c>
      <c r="W837" s="3" t="n">
        <v>-0.5575408935546875</v>
      </c>
      <c r="X837" s="3" t="n">
        <v>-1.049476504325867</v>
      </c>
      <c r="Y837" s="3" t="n">
        <v>-0.7853782176971436</v>
      </c>
      <c r="Z837" s="3" t="n">
        <v>-1.053714513778687</v>
      </c>
      <c r="AA837" s="3" t="n">
        <v>-1.053714513778687</v>
      </c>
      <c r="AB837" s="3" t="n">
        <v>-1.049476504325867</v>
      </c>
      <c r="AC837" s="3" t="n">
        <v>-1.200885415077209</v>
      </c>
      <c r="AD837" s="3" t="n">
        <v>-0.8653280138969421</v>
      </c>
      <c r="AE837" s="3" t="n">
        <v>-0.8653280138969421</v>
      </c>
    </row>
    <row r="838">
      <c r="A838" s="3" t="inlineStr">
        <is>
          <t>GNQ.distn.dec.ove.mean.10</t>
        </is>
      </c>
      <c r="B838" s="3" t="inlineStr">
        <is>
          <t>GNQ</t>
        </is>
      </c>
      <c r="C838" s="3" t="n">
        <v>2005</v>
      </c>
      <c r="D838" s="3" t="inlineStr">
        <is>
          <t>Overall</t>
        </is>
      </c>
      <c r="E838" s="3" t="inlineStr">
        <is>
          <t>Deciles</t>
        </is>
      </c>
      <c r="F838" s="3" t="inlineStr">
        <is>
          <t>mean</t>
        </is>
      </c>
      <c r="G838" s="3" t="n">
        <v>10</v>
      </c>
      <c r="H838" s="3" t="n">
        <v>-0.7853782176971436</v>
      </c>
      <c r="I838" s="3" t="n">
        <v>-0.7853782176971436</v>
      </c>
      <c r="J838" s="3" t="n">
        <v>-0.8653280138969421</v>
      </c>
      <c r="K838" s="3" t="n">
        <v>-0.8653280138969421</v>
      </c>
      <c r="L838" s="3" t="n">
        <v>-0.7853782176971436</v>
      </c>
      <c r="M838" s="3" t="n">
        <v>-0.7853782176971436</v>
      </c>
      <c r="N838" s="3" t="n">
        <v>-0.7853782176971436</v>
      </c>
      <c r="O838" s="3" t="n">
        <v>-0.7853782176971436</v>
      </c>
      <c r="P838" s="3" t="n">
        <v>-0.7853782176971436</v>
      </c>
      <c r="Q838" s="3" t="n">
        <v>-0.7853782176971436</v>
      </c>
      <c r="R838" s="3" t="n">
        <v>-0.7722538709640503</v>
      </c>
      <c r="S838" s="3" t="n">
        <v>-1.053714513778687</v>
      </c>
      <c r="T838" s="3" t="n">
        <v>-0.7090408802032471</v>
      </c>
      <c r="U838" s="3" t="n">
        <v>-0.8653280138969421</v>
      </c>
      <c r="V838" s="3" t="n">
        <v>-0.6797019243240356</v>
      </c>
      <c r="W838" s="3" t="n">
        <v>-0.5575408935546875</v>
      </c>
      <c r="X838" s="3" t="n">
        <v>-1.049476504325867</v>
      </c>
      <c r="Y838" s="3" t="n">
        <v>-0.7853782176971436</v>
      </c>
      <c r="Z838" s="3" t="n">
        <v>-1.053714513778687</v>
      </c>
      <c r="AA838" s="3" t="n">
        <v>-1.053714513778687</v>
      </c>
      <c r="AB838" s="3" t="n">
        <v>-1.049476504325867</v>
      </c>
      <c r="AC838" s="3" t="n">
        <v>-1.200885415077209</v>
      </c>
      <c r="AD838" s="3" t="n">
        <v>-0.8653280138969421</v>
      </c>
      <c r="AE838" s="3" t="n">
        <v>-0.8653280138969421</v>
      </c>
    </row>
    <row r="839">
      <c r="A839" s="3" t="inlineStr">
        <is>
          <t>GNQ.distn.bkt.ove.mean.9999</t>
        </is>
      </c>
      <c r="B839" s="3" t="inlineStr">
        <is>
          <t>GNQ</t>
        </is>
      </c>
      <c r="C839" s="3" t="n">
        <v>2005</v>
      </c>
      <c r="D839" s="3" t="inlineStr">
        <is>
          <t>Overall</t>
        </is>
      </c>
      <c r="E839" s="3" t="inlineStr">
        <is>
          <t>Basket</t>
        </is>
      </c>
      <c r="F839" s="3" t="inlineStr">
        <is>
          <t>mean</t>
        </is>
      </c>
      <c r="G839" s="3" t="n">
        <v>9999</v>
      </c>
      <c r="H839" s="3" t="n">
        <v>-0.7869929671287537</v>
      </c>
      <c r="I839" s="3" t="n">
        <v>-0.7869929671287537</v>
      </c>
      <c r="J839" s="3" t="n">
        <v>-0.8768439292907715</v>
      </c>
      <c r="K839" s="3" t="n">
        <v>-0.8768439292907715</v>
      </c>
      <c r="L839" s="3" t="n">
        <v>-0.7869929671287537</v>
      </c>
      <c r="M839" s="3" t="n">
        <v>-0.7869929671287537</v>
      </c>
      <c r="N839" s="3" t="n">
        <v>-0.7869929671287537</v>
      </c>
      <c r="O839" s="3" t="n">
        <v>-0.7869929671287537</v>
      </c>
      <c r="P839" s="3" t="n">
        <v>-0.7869929671287537</v>
      </c>
      <c r="Q839" s="3" t="n">
        <v>-0.7869929671287537</v>
      </c>
      <c r="R839" s="3" t="n">
        <v>-0.773120105266571</v>
      </c>
      <c r="S839" s="3" t="n">
        <v>-1.193551301956177</v>
      </c>
      <c r="T839" s="3" t="n">
        <v>-0.7094486355781555</v>
      </c>
      <c r="U839" s="3" t="n">
        <v>-0.8768439292907715</v>
      </c>
      <c r="V839" s="3" t="n">
        <v>-0.6813032627105713</v>
      </c>
      <c r="W839" s="3" t="n">
        <v>-0.5780207514762878</v>
      </c>
      <c r="X839" s="3" t="n">
        <v>-1.172935128211975</v>
      </c>
      <c r="Y839" s="3" t="n">
        <v>-0.7869929671287537</v>
      </c>
      <c r="Z839" s="3" t="n">
        <v>-1.193551301956177</v>
      </c>
      <c r="AA839" s="3" t="n">
        <v>-1.193551301956177</v>
      </c>
      <c r="AB839" s="3" t="n">
        <v>-1.172935128211975</v>
      </c>
      <c r="AC839" s="3" t="n">
        <v>-1.569387316703796</v>
      </c>
      <c r="AD839" s="3" t="n">
        <v>-0.8768439292907715</v>
      </c>
      <c r="AE839" s="3" t="n">
        <v>-0.8768439292907715</v>
      </c>
    </row>
    <row r="840">
      <c r="A840" s="3" t="inlineStr">
        <is>
          <t>GRC.distn.dec.ove.mean.1</t>
        </is>
      </c>
      <c r="B840" s="3" t="inlineStr">
        <is>
          <t>GRC</t>
        </is>
      </c>
      <c r="C840" s="3" t="n">
        <v>2005</v>
      </c>
      <c r="D840" s="3" t="inlineStr">
        <is>
          <t>Overall</t>
        </is>
      </c>
      <c r="E840" s="3" t="inlineStr">
        <is>
          <t>Deciles</t>
        </is>
      </c>
      <c r="F840" s="3" t="inlineStr">
        <is>
          <t>mean</t>
        </is>
      </c>
      <c r="G840" s="3" t="n">
        <v>1</v>
      </c>
      <c r="H840" s="3" t="n">
        <v>-0.7878549098968506</v>
      </c>
      <c r="I840" s="3" t="n">
        <v>-0.7878549098968506</v>
      </c>
      <c r="J840" s="3" t="n">
        <v>-0.8883962808771336</v>
      </c>
      <c r="K840" s="3" t="n">
        <v>-0.8883962808771336</v>
      </c>
      <c r="L840" s="3" t="n">
        <v>-0.7878549098968506</v>
      </c>
      <c r="M840" s="3" t="n">
        <v>-0.7878549098968506</v>
      </c>
      <c r="N840" s="3" t="n">
        <v>-0.7878549098968506</v>
      </c>
      <c r="O840" s="3" t="n">
        <v>-0.7878549098968506</v>
      </c>
      <c r="P840" s="3" t="n">
        <v>-0.7878549098968506</v>
      </c>
      <c r="Q840" s="3" t="n">
        <v>-0.7878549098968506</v>
      </c>
      <c r="R840" s="3" t="n">
        <v>-0.7732356596500316</v>
      </c>
      <c r="S840" s="3" t="n">
        <v>-1.408805674694954</v>
      </c>
      <c r="T840" s="3" t="n">
        <v>-0.7095591730259835</v>
      </c>
      <c r="U840" s="3" t="n">
        <v>-0.8883962808771336</v>
      </c>
      <c r="V840" s="3" t="n">
        <v>-0.681934451803248</v>
      </c>
      <c r="W840" s="3" t="n">
        <v>-0.5702875047288043</v>
      </c>
      <c r="X840" s="3" t="n">
        <v>-1.356243993373627</v>
      </c>
      <c r="Y840" s="3" t="n">
        <v>-0.7878549098968506</v>
      </c>
      <c r="Z840" s="3" t="n">
        <v>-1.408805674694954</v>
      </c>
      <c r="AA840" s="3" t="n">
        <v>-1.408805674694954</v>
      </c>
      <c r="AB840" s="3" t="n">
        <v>-1.356243993373627</v>
      </c>
      <c r="AC840" s="3" t="n">
        <v>-2.123991362592007</v>
      </c>
      <c r="AD840" s="3" t="n">
        <v>-0.8883962808771336</v>
      </c>
      <c r="AE840" s="3" t="n">
        <v>-0.8883962808771336</v>
      </c>
    </row>
    <row r="841">
      <c r="A841" s="3" t="inlineStr">
        <is>
          <t>GRC.distn.dec.ove.mean.2</t>
        </is>
      </c>
      <c r="B841" s="3" t="inlineStr">
        <is>
          <t>GRC</t>
        </is>
      </c>
      <c r="C841" s="3" t="n">
        <v>2005</v>
      </c>
      <c r="D841" s="3" t="inlineStr">
        <is>
          <t>Overall</t>
        </is>
      </c>
      <c r="E841" s="3" t="inlineStr">
        <is>
          <t>Deciles</t>
        </is>
      </c>
      <c r="F841" s="3" t="inlineStr">
        <is>
          <t>mean</t>
        </is>
      </c>
      <c r="G841" s="3" t="n">
        <v>2</v>
      </c>
      <c r="H841" s="3" t="n">
        <v>-0.7878549098968506</v>
      </c>
      <c r="I841" s="3" t="n">
        <v>-0.7878549098968506</v>
      </c>
      <c r="J841" s="3" t="n">
        <v>-0.8883962808771336</v>
      </c>
      <c r="K841" s="3" t="n">
        <v>-0.8883962808771336</v>
      </c>
      <c r="L841" s="3" t="n">
        <v>-0.7878549098968506</v>
      </c>
      <c r="M841" s="3" t="n">
        <v>-0.7878549098968506</v>
      </c>
      <c r="N841" s="3" t="n">
        <v>-0.7878549098968506</v>
      </c>
      <c r="O841" s="3" t="n">
        <v>-0.7878549098968506</v>
      </c>
      <c r="P841" s="3" t="n">
        <v>-0.7878549098968506</v>
      </c>
      <c r="Q841" s="3" t="n">
        <v>-0.7878549098968506</v>
      </c>
      <c r="R841" s="3" t="n">
        <v>-0.7732356596500316</v>
      </c>
      <c r="S841" s="3" t="n">
        <v>-1.408805674694954</v>
      </c>
      <c r="T841" s="3" t="n">
        <v>-0.7095591730259835</v>
      </c>
      <c r="U841" s="3" t="n">
        <v>-0.8883962808771336</v>
      </c>
      <c r="V841" s="3" t="n">
        <v>-0.681934451803248</v>
      </c>
      <c r="W841" s="3" t="n">
        <v>-0.5702875047288043</v>
      </c>
      <c r="X841" s="3" t="n">
        <v>-1.356243993373627</v>
      </c>
      <c r="Y841" s="3" t="n">
        <v>-0.7878549098968506</v>
      </c>
      <c r="Z841" s="3" t="n">
        <v>-1.408805674694954</v>
      </c>
      <c r="AA841" s="3" t="n">
        <v>-1.408805674694954</v>
      </c>
      <c r="AB841" s="3" t="n">
        <v>-1.356243993373627</v>
      </c>
      <c r="AC841" s="3" t="n">
        <v>-2.123991362592007</v>
      </c>
      <c r="AD841" s="3" t="n">
        <v>-0.8883962808771336</v>
      </c>
      <c r="AE841" s="3" t="n">
        <v>-0.8883962808771336</v>
      </c>
    </row>
    <row r="842">
      <c r="A842" s="3" t="inlineStr">
        <is>
          <t>GRC.distn.dec.ove.mean.3</t>
        </is>
      </c>
      <c r="B842" s="3" t="inlineStr">
        <is>
          <t>GRC</t>
        </is>
      </c>
      <c r="C842" s="3" t="n">
        <v>2005</v>
      </c>
      <c r="D842" s="3" t="inlineStr">
        <is>
          <t>Overall</t>
        </is>
      </c>
      <c r="E842" s="3" t="inlineStr">
        <is>
          <t>Deciles</t>
        </is>
      </c>
      <c r="F842" s="3" t="inlineStr">
        <is>
          <t>mean</t>
        </is>
      </c>
      <c r="G842" s="3" t="n">
        <v>3</v>
      </c>
      <c r="H842" s="3" t="n">
        <v>-0.7878549098968506</v>
      </c>
      <c r="I842" s="3" t="n">
        <v>-0.7878549098968506</v>
      </c>
      <c r="J842" s="3" t="n">
        <v>-0.8883962808771336</v>
      </c>
      <c r="K842" s="3" t="n">
        <v>-0.8883962808771336</v>
      </c>
      <c r="L842" s="3" t="n">
        <v>-0.7878549098968506</v>
      </c>
      <c r="M842" s="3" t="n">
        <v>-0.7878549098968506</v>
      </c>
      <c r="N842" s="3" t="n">
        <v>-0.7878549098968506</v>
      </c>
      <c r="O842" s="3" t="n">
        <v>-0.7878549098968506</v>
      </c>
      <c r="P842" s="3" t="n">
        <v>-0.7878549098968506</v>
      </c>
      <c r="Q842" s="3" t="n">
        <v>-0.7878549098968506</v>
      </c>
      <c r="R842" s="3" t="n">
        <v>-0.7732356596500316</v>
      </c>
      <c r="S842" s="3" t="n">
        <v>-1.408805674694954</v>
      </c>
      <c r="T842" s="3" t="n">
        <v>-0.7095591730259835</v>
      </c>
      <c r="U842" s="3" t="n">
        <v>-0.8883962808771336</v>
      </c>
      <c r="V842" s="3" t="n">
        <v>-0.681934451803248</v>
      </c>
      <c r="W842" s="3" t="n">
        <v>-0.5702875047288043</v>
      </c>
      <c r="X842" s="3" t="n">
        <v>-1.356243993373627</v>
      </c>
      <c r="Y842" s="3" t="n">
        <v>-0.7878549098968506</v>
      </c>
      <c r="Z842" s="3" t="n">
        <v>-1.408805674694954</v>
      </c>
      <c r="AA842" s="3" t="n">
        <v>-1.408805674694954</v>
      </c>
      <c r="AB842" s="3" t="n">
        <v>-1.356243993373627</v>
      </c>
      <c r="AC842" s="3" t="n">
        <v>-2.123991362592007</v>
      </c>
      <c r="AD842" s="3" t="n">
        <v>-0.8883962808771336</v>
      </c>
      <c r="AE842" s="3" t="n">
        <v>-0.8883962808771336</v>
      </c>
    </row>
    <row r="843">
      <c r="A843" s="3" t="inlineStr">
        <is>
          <t>GRC.distn.dec.ove.mean.4</t>
        </is>
      </c>
      <c r="B843" s="3" t="inlineStr">
        <is>
          <t>GRC</t>
        </is>
      </c>
      <c r="C843" s="3" t="n">
        <v>2005</v>
      </c>
      <c r="D843" s="3" t="inlineStr">
        <is>
          <t>Overall</t>
        </is>
      </c>
      <c r="E843" s="3" t="inlineStr">
        <is>
          <t>Deciles</t>
        </is>
      </c>
      <c r="F843" s="3" t="inlineStr">
        <is>
          <t>mean</t>
        </is>
      </c>
      <c r="G843" s="3" t="n">
        <v>4</v>
      </c>
      <c r="H843" s="3" t="n">
        <v>-0.7816170251115839</v>
      </c>
      <c r="I843" s="3" t="n">
        <v>-0.7816170251115839</v>
      </c>
      <c r="J843" s="3" t="n">
        <v>-0.8454680810583398</v>
      </c>
      <c r="K843" s="3" t="n">
        <v>-0.8454680810583398</v>
      </c>
      <c r="L843" s="3" t="n">
        <v>-0.7816170251115839</v>
      </c>
      <c r="M843" s="3" t="n">
        <v>-0.7816170251115839</v>
      </c>
      <c r="N843" s="3" t="n">
        <v>-0.7816170251115839</v>
      </c>
      <c r="O843" s="3" t="n">
        <v>-0.7816170251115839</v>
      </c>
      <c r="P843" s="3" t="n">
        <v>-0.7816170251115839</v>
      </c>
      <c r="Q843" s="3" t="n">
        <v>-0.7816170251115839</v>
      </c>
      <c r="R843" s="3" t="n">
        <v>-0.7697659489956308</v>
      </c>
      <c r="S843" s="3" t="n">
        <v>-0.9595531871978272</v>
      </c>
      <c r="T843" s="3" t="n">
        <v>-0.7081063859006191</v>
      </c>
      <c r="U843" s="3" t="n">
        <v>-0.8454680810583398</v>
      </c>
      <c r="V843" s="3" t="n">
        <v>-0.6750000017754575</v>
      </c>
      <c r="W843" s="3" t="n">
        <v>-0.4799574455048176</v>
      </c>
      <c r="X843" s="3" t="n">
        <v>-0.9571489362006492</v>
      </c>
      <c r="Y843" s="3" t="n">
        <v>-0.7816170251115839</v>
      </c>
      <c r="Z843" s="3" t="n">
        <v>-0.9595531871978272</v>
      </c>
      <c r="AA843" s="3" t="n">
        <v>-0.9595531871978272</v>
      </c>
      <c r="AB843" s="3" t="n">
        <v>-0.9571489362006492</v>
      </c>
      <c r="AC843" s="3" t="n">
        <v>-1.025723396463597</v>
      </c>
      <c r="AD843" s="3" t="n">
        <v>-0.8454680810583398</v>
      </c>
      <c r="AE843" s="3" t="n">
        <v>-0.8454680810583398</v>
      </c>
    </row>
    <row r="844">
      <c r="A844" s="3" t="inlineStr">
        <is>
          <t>GRC.distn.dec.ove.mean.5</t>
        </is>
      </c>
      <c r="B844" s="3" t="inlineStr">
        <is>
          <t>GRC</t>
        </is>
      </c>
      <c r="C844" s="3" t="n">
        <v>2005</v>
      </c>
      <c r="D844" s="3" t="inlineStr">
        <is>
          <t>Overall</t>
        </is>
      </c>
      <c r="E844" s="3" t="inlineStr">
        <is>
          <t>Deciles</t>
        </is>
      </c>
      <c r="F844" s="3" t="inlineStr">
        <is>
          <t>mean</t>
        </is>
      </c>
      <c r="G844" s="3" t="n">
        <v>5</v>
      </c>
      <c r="H844" s="3" t="n">
        <v>-0.7816170251115839</v>
      </c>
      <c r="I844" s="3" t="n">
        <v>-0.7816170251115839</v>
      </c>
      <c r="J844" s="3" t="n">
        <v>-0.8454680810583398</v>
      </c>
      <c r="K844" s="3" t="n">
        <v>-0.8454680810583398</v>
      </c>
      <c r="L844" s="3" t="n">
        <v>-0.7816170251115839</v>
      </c>
      <c r="M844" s="3" t="n">
        <v>-0.7816170251115839</v>
      </c>
      <c r="N844" s="3" t="n">
        <v>-0.7816170251115839</v>
      </c>
      <c r="O844" s="3" t="n">
        <v>-0.7816170251115839</v>
      </c>
      <c r="P844" s="3" t="n">
        <v>-0.7816170251115839</v>
      </c>
      <c r="Q844" s="3" t="n">
        <v>-0.7816170251115839</v>
      </c>
      <c r="R844" s="3" t="n">
        <v>-0.7697659489956308</v>
      </c>
      <c r="S844" s="3" t="n">
        <v>-0.9595531871978272</v>
      </c>
      <c r="T844" s="3" t="n">
        <v>-0.7081063859006191</v>
      </c>
      <c r="U844" s="3" t="n">
        <v>-0.8454680810583398</v>
      </c>
      <c r="V844" s="3" t="n">
        <v>-0.6750000017754575</v>
      </c>
      <c r="W844" s="3" t="n">
        <v>-0.4799574455048176</v>
      </c>
      <c r="X844" s="3" t="n">
        <v>-0.9571489362006492</v>
      </c>
      <c r="Y844" s="3" t="n">
        <v>-0.7816170251115839</v>
      </c>
      <c r="Z844" s="3" t="n">
        <v>-0.9595531871978272</v>
      </c>
      <c r="AA844" s="3" t="n">
        <v>-0.9595531871978272</v>
      </c>
      <c r="AB844" s="3" t="n">
        <v>-0.9571489362006492</v>
      </c>
      <c r="AC844" s="3" t="n">
        <v>-1.025723396463597</v>
      </c>
      <c r="AD844" s="3" t="n">
        <v>-0.8454680810583398</v>
      </c>
      <c r="AE844" s="3" t="n">
        <v>-0.8454680810583398</v>
      </c>
    </row>
    <row r="845">
      <c r="A845" s="3" t="inlineStr">
        <is>
          <t>GRC.distn.dec.ove.mean.6</t>
        </is>
      </c>
      <c r="B845" s="3" t="inlineStr">
        <is>
          <t>GRC</t>
        </is>
      </c>
      <c r="C845" s="3" t="n">
        <v>2005</v>
      </c>
      <c r="D845" s="3" t="inlineStr">
        <is>
          <t>Overall</t>
        </is>
      </c>
      <c r="E845" s="3" t="inlineStr">
        <is>
          <t>Deciles</t>
        </is>
      </c>
      <c r="F845" s="3" t="inlineStr">
        <is>
          <t>mean</t>
        </is>
      </c>
      <c r="G845" s="3" t="n">
        <v>6</v>
      </c>
      <c r="H845" s="3" t="n">
        <v>-0.7816170251115839</v>
      </c>
      <c r="I845" s="3" t="n">
        <v>-0.7816170251115839</v>
      </c>
      <c r="J845" s="3" t="n">
        <v>-0.8454680810583398</v>
      </c>
      <c r="K845" s="3" t="n">
        <v>-0.8454680810583398</v>
      </c>
      <c r="L845" s="3" t="n">
        <v>-0.7816170251115839</v>
      </c>
      <c r="M845" s="3" t="n">
        <v>-0.7816170251115839</v>
      </c>
      <c r="N845" s="3" t="n">
        <v>-0.7816170251115839</v>
      </c>
      <c r="O845" s="3" t="n">
        <v>-0.7816170251115839</v>
      </c>
      <c r="P845" s="3" t="n">
        <v>-0.7816170251115839</v>
      </c>
      <c r="Q845" s="3" t="n">
        <v>-0.7816170251115839</v>
      </c>
      <c r="R845" s="3" t="n">
        <v>-0.7697659489956308</v>
      </c>
      <c r="S845" s="3" t="n">
        <v>-0.9595531871978272</v>
      </c>
      <c r="T845" s="3" t="n">
        <v>-0.7081063859006191</v>
      </c>
      <c r="U845" s="3" t="n">
        <v>-0.8454680810583398</v>
      </c>
      <c r="V845" s="3" t="n">
        <v>-0.6750000017754575</v>
      </c>
      <c r="W845" s="3" t="n">
        <v>-0.4799574455048176</v>
      </c>
      <c r="X845" s="3" t="n">
        <v>-0.9571489362006492</v>
      </c>
      <c r="Y845" s="3" t="n">
        <v>-0.7816170251115839</v>
      </c>
      <c r="Z845" s="3" t="n">
        <v>-0.9595531871978272</v>
      </c>
      <c r="AA845" s="3" t="n">
        <v>-0.9595531871978272</v>
      </c>
      <c r="AB845" s="3" t="n">
        <v>-0.9571489362006492</v>
      </c>
      <c r="AC845" s="3" t="n">
        <v>-1.025723396463597</v>
      </c>
      <c r="AD845" s="3" t="n">
        <v>-0.8454680810583398</v>
      </c>
      <c r="AE845" s="3" t="n">
        <v>-0.8454680810583398</v>
      </c>
    </row>
    <row r="846">
      <c r="A846" s="3" t="inlineStr">
        <is>
          <t>GRC.distn.dec.ove.mean.7</t>
        </is>
      </c>
      <c r="B846" s="3" t="inlineStr">
        <is>
          <t>GRC</t>
        </is>
      </c>
      <c r="C846" s="3" t="n">
        <v>2005</v>
      </c>
      <c r="D846" s="3" t="inlineStr">
        <is>
          <t>Overall</t>
        </is>
      </c>
      <c r="E846" s="3" t="inlineStr">
        <is>
          <t>Deciles</t>
        </is>
      </c>
      <c r="F846" s="3" t="inlineStr">
        <is>
          <t>mean</t>
        </is>
      </c>
      <c r="G846" s="3" t="n">
        <v>7</v>
      </c>
      <c r="H846" s="3" t="n">
        <v>-0.7816170251115839</v>
      </c>
      <c r="I846" s="3" t="n">
        <v>-0.7816170251115839</v>
      </c>
      <c r="J846" s="3" t="n">
        <v>-0.8454680810583398</v>
      </c>
      <c r="K846" s="3" t="n">
        <v>-0.8454680810583398</v>
      </c>
      <c r="L846" s="3" t="n">
        <v>-0.7816170251115839</v>
      </c>
      <c r="M846" s="3" t="n">
        <v>-0.7816170251115839</v>
      </c>
      <c r="N846" s="3" t="n">
        <v>-0.7816170251115839</v>
      </c>
      <c r="O846" s="3" t="n">
        <v>-0.7816170251115839</v>
      </c>
      <c r="P846" s="3" t="n">
        <v>-0.7816170251115839</v>
      </c>
      <c r="Q846" s="3" t="n">
        <v>-0.7816170251115839</v>
      </c>
      <c r="R846" s="3" t="n">
        <v>-0.7697659489956308</v>
      </c>
      <c r="S846" s="3" t="n">
        <v>-0.9595531871978272</v>
      </c>
      <c r="T846" s="3" t="n">
        <v>-0.7081063859006191</v>
      </c>
      <c r="U846" s="3" t="n">
        <v>-0.8454680810583398</v>
      </c>
      <c r="V846" s="3" t="n">
        <v>-0.6750000017754575</v>
      </c>
      <c r="W846" s="3" t="n">
        <v>-0.4799574455048176</v>
      </c>
      <c r="X846" s="3" t="n">
        <v>-0.9571489362006492</v>
      </c>
      <c r="Y846" s="3" t="n">
        <v>-0.7816170251115839</v>
      </c>
      <c r="Z846" s="3" t="n">
        <v>-0.9595531871978272</v>
      </c>
      <c r="AA846" s="3" t="n">
        <v>-0.9595531871978272</v>
      </c>
      <c r="AB846" s="3" t="n">
        <v>-0.9571489362006492</v>
      </c>
      <c r="AC846" s="3" t="n">
        <v>-1.025723396463597</v>
      </c>
      <c r="AD846" s="3" t="n">
        <v>-0.8454680810583398</v>
      </c>
      <c r="AE846" s="3" t="n">
        <v>-0.8454680810583398</v>
      </c>
    </row>
    <row r="847">
      <c r="A847" s="3" t="inlineStr">
        <is>
          <t>GRC.distn.dec.ove.mean.8</t>
        </is>
      </c>
      <c r="B847" s="3" t="inlineStr">
        <is>
          <t>GRC</t>
        </is>
      </c>
      <c r="C847" s="3" t="n">
        <v>2005</v>
      </c>
      <c r="D847" s="3" t="inlineStr">
        <is>
          <t>Overall</t>
        </is>
      </c>
      <c r="E847" s="3" t="inlineStr">
        <is>
          <t>Deciles</t>
        </is>
      </c>
      <c r="F847" s="3" t="inlineStr">
        <is>
          <t>mean</t>
        </is>
      </c>
      <c r="G847" s="3" t="n">
        <v>8</v>
      </c>
      <c r="H847" s="3" t="n">
        <v>-0.7819935831617801</v>
      </c>
      <c r="I847" s="3" t="n">
        <v>-0.7819935831617801</v>
      </c>
      <c r="J847" s="3" t="n">
        <v>-0.8477488045996808</v>
      </c>
      <c r="K847" s="3" t="n">
        <v>-0.8477488045996808</v>
      </c>
      <c r="L847" s="3" t="n">
        <v>-0.7819935831617801</v>
      </c>
      <c r="M847" s="3" t="n">
        <v>-0.7819935831617801</v>
      </c>
      <c r="N847" s="3" t="n">
        <v>-0.7819935831617801</v>
      </c>
      <c r="O847" s="3" t="n">
        <v>-0.7819935831617801</v>
      </c>
      <c r="P847" s="3" t="n">
        <v>-0.7819935831617801</v>
      </c>
      <c r="Q847" s="3" t="n">
        <v>-0.7819935831617801</v>
      </c>
      <c r="R847" s="3" t="n">
        <v>-0.7700191178220384</v>
      </c>
      <c r="S847" s="3" t="n">
        <v>-0.9684819490351575</v>
      </c>
      <c r="T847" s="3" t="n">
        <v>-0.70814722142321</v>
      </c>
      <c r="U847" s="3" t="n">
        <v>-0.8477488045996808</v>
      </c>
      <c r="V847" s="3" t="n">
        <v>-0.6756977857427394</v>
      </c>
      <c r="W847" s="3" t="n">
        <v>-0.4928101326556916</v>
      </c>
      <c r="X847" s="3" t="n">
        <v>-0.9658704755154062</v>
      </c>
      <c r="Y847" s="3" t="n">
        <v>-0.7819935831617801</v>
      </c>
      <c r="Z847" s="3" t="n">
        <v>-0.9684819490351575</v>
      </c>
      <c r="AA847" s="3" t="n">
        <v>-0.9684819490351575</v>
      </c>
      <c r="AB847" s="3" t="n">
        <v>-0.9658704755154062</v>
      </c>
      <c r="AC847" s="3" t="n">
        <v>-1.04035159628442</v>
      </c>
      <c r="AD847" s="3" t="n">
        <v>-0.8477488045996808</v>
      </c>
      <c r="AE847" s="3" t="n">
        <v>-0.8477488045996808</v>
      </c>
    </row>
    <row r="848">
      <c r="A848" s="3" t="inlineStr">
        <is>
          <t>GRC.distn.dec.ove.mean.9</t>
        </is>
      </c>
      <c r="B848" s="3" t="inlineStr">
        <is>
          <t>GRC</t>
        </is>
      </c>
      <c r="C848" s="3" t="n">
        <v>2005</v>
      </c>
      <c r="D848" s="3" t="inlineStr">
        <is>
          <t>Overall</t>
        </is>
      </c>
      <c r="E848" s="3" t="inlineStr">
        <is>
          <t>Deciles</t>
        </is>
      </c>
      <c r="F848" s="3" t="inlineStr">
        <is>
          <t>mean</t>
        </is>
      </c>
      <c r="G848" s="3" t="n">
        <v>9</v>
      </c>
      <c r="H848" s="3" t="n">
        <v>-0.7819935831617801</v>
      </c>
      <c r="I848" s="3" t="n">
        <v>-0.7819935831617801</v>
      </c>
      <c r="J848" s="3" t="n">
        <v>-0.8477488045996808</v>
      </c>
      <c r="K848" s="3" t="n">
        <v>-0.8477488045996808</v>
      </c>
      <c r="L848" s="3" t="n">
        <v>-0.7819935831617801</v>
      </c>
      <c r="M848" s="3" t="n">
        <v>-0.7819935831617801</v>
      </c>
      <c r="N848" s="3" t="n">
        <v>-0.7819935831617801</v>
      </c>
      <c r="O848" s="3" t="n">
        <v>-0.7819935831617801</v>
      </c>
      <c r="P848" s="3" t="n">
        <v>-0.7819935831617801</v>
      </c>
      <c r="Q848" s="3" t="n">
        <v>-0.7819935831617801</v>
      </c>
      <c r="R848" s="3" t="n">
        <v>-0.7700191178220384</v>
      </c>
      <c r="S848" s="3" t="n">
        <v>-0.9684819490351575</v>
      </c>
      <c r="T848" s="3" t="n">
        <v>-0.70814722142321</v>
      </c>
      <c r="U848" s="3" t="n">
        <v>-0.8477488045996808</v>
      </c>
      <c r="V848" s="3" t="n">
        <v>-0.6756977857427394</v>
      </c>
      <c r="W848" s="3" t="n">
        <v>-0.4928101326556916</v>
      </c>
      <c r="X848" s="3" t="n">
        <v>-0.9658704755154062</v>
      </c>
      <c r="Y848" s="3" t="n">
        <v>-0.7819935831617801</v>
      </c>
      <c r="Z848" s="3" t="n">
        <v>-0.9684819490351575</v>
      </c>
      <c r="AA848" s="3" t="n">
        <v>-0.9684819490351575</v>
      </c>
      <c r="AB848" s="3" t="n">
        <v>-0.9658704755154062</v>
      </c>
      <c r="AC848" s="3" t="n">
        <v>-1.04035159628442</v>
      </c>
      <c r="AD848" s="3" t="n">
        <v>-0.8477488045996808</v>
      </c>
      <c r="AE848" s="3" t="n">
        <v>-0.8477488045996808</v>
      </c>
    </row>
    <row r="849">
      <c r="A849" s="3" t="inlineStr">
        <is>
          <t>GRC.distn.dec.ove.mean.10</t>
        </is>
      </c>
      <c r="B849" s="3" t="inlineStr">
        <is>
          <t>GRC</t>
        </is>
      </c>
      <c r="C849" s="3" t="n">
        <v>2005</v>
      </c>
      <c r="D849" s="3" t="inlineStr">
        <is>
          <t>Overall</t>
        </is>
      </c>
      <c r="E849" s="3" t="inlineStr">
        <is>
          <t>Deciles</t>
        </is>
      </c>
      <c r="F849" s="3" t="inlineStr">
        <is>
          <t>mean</t>
        </is>
      </c>
      <c r="G849" s="3" t="n">
        <v>10</v>
      </c>
      <c r="H849" s="3" t="n">
        <v>-0.7819935831617801</v>
      </c>
      <c r="I849" s="3" t="n">
        <v>-0.7819935831617801</v>
      </c>
      <c r="J849" s="3" t="n">
        <v>-0.8477488045996808</v>
      </c>
      <c r="K849" s="3" t="n">
        <v>-0.8477488045996808</v>
      </c>
      <c r="L849" s="3" t="n">
        <v>-0.7819935831617801</v>
      </c>
      <c r="M849" s="3" t="n">
        <v>-0.7819935831617801</v>
      </c>
      <c r="N849" s="3" t="n">
        <v>-0.7819935831617801</v>
      </c>
      <c r="O849" s="3" t="n">
        <v>-0.7819935831617801</v>
      </c>
      <c r="P849" s="3" t="n">
        <v>-0.7819935831617801</v>
      </c>
      <c r="Q849" s="3" t="n">
        <v>-0.7819935831617801</v>
      </c>
      <c r="R849" s="3" t="n">
        <v>-0.7700191178220384</v>
      </c>
      <c r="S849" s="3" t="n">
        <v>-0.9684819490351575</v>
      </c>
      <c r="T849" s="3" t="n">
        <v>-0.70814722142321</v>
      </c>
      <c r="U849" s="3" t="n">
        <v>-0.8477488045996808</v>
      </c>
      <c r="V849" s="3" t="n">
        <v>-0.6756977857427394</v>
      </c>
      <c r="W849" s="3" t="n">
        <v>-0.4928101326556916</v>
      </c>
      <c r="X849" s="3" t="n">
        <v>-0.9658704755154062</v>
      </c>
      <c r="Y849" s="3" t="n">
        <v>-0.7819935831617801</v>
      </c>
      <c r="Z849" s="3" t="n">
        <v>-0.9684819490351575</v>
      </c>
      <c r="AA849" s="3" t="n">
        <v>-0.9684819490351575</v>
      </c>
      <c r="AB849" s="3" t="n">
        <v>-0.9658704755154062</v>
      </c>
      <c r="AC849" s="3" t="n">
        <v>-1.04035159628442</v>
      </c>
      <c r="AD849" s="3" t="n">
        <v>-0.8477488045996808</v>
      </c>
      <c r="AE849" s="3" t="n">
        <v>-0.8477488045996808</v>
      </c>
    </row>
    <row r="850">
      <c r="A850" s="3" t="inlineStr">
        <is>
          <t>GRC.distn.bkt.ove.mean.9999</t>
        </is>
      </c>
      <c r="B850" s="3" t="inlineStr">
        <is>
          <t>GRC</t>
        </is>
      </c>
      <c r="C850" s="3" t="n">
        <v>2005</v>
      </c>
      <c r="D850" s="3" t="inlineStr">
        <is>
          <t>Overall</t>
        </is>
      </c>
      <c r="E850" s="3" t="inlineStr">
        <is>
          <t>Basket</t>
        </is>
      </c>
      <c r="F850" s="3" t="inlineStr">
        <is>
          <t>mean</t>
        </is>
      </c>
      <c r="G850" s="3" t="n">
        <v>9999</v>
      </c>
      <c r="H850" s="3" t="n">
        <v>-0.7836013613863194</v>
      </c>
      <c r="I850" s="3" t="n">
        <v>-0.7836013613863194</v>
      </c>
      <c r="J850" s="3" t="n">
        <v>-0.8590307616172953</v>
      </c>
      <c r="K850" s="3" t="n">
        <v>-0.8590307616172953</v>
      </c>
      <c r="L850" s="3" t="n">
        <v>-0.7836013613863194</v>
      </c>
      <c r="M850" s="3" t="n">
        <v>-0.7836013613863194</v>
      </c>
      <c r="N850" s="3" t="n">
        <v>-0.7836013613863194</v>
      </c>
      <c r="O850" s="3" t="n">
        <v>-0.7836013613863194</v>
      </c>
      <c r="P850" s="3" t="n">
        <v>-0.7836013613863194</v>
      </c>
      <c r="Q850" s="3" t="n">
        <v>-0.7836013613863194</v>
      </c>
      <c r="R850" s="3" t="n">
        <v>-0.7708828220976159</v>
      </c>
      <c r="S850" s="3" t="n">
        <v>-1.097007578991829</v>
      </c>
      <c r="T850" s="3" t="n">
        <v>-0.7085544974245923</v>
      </c>
      <c r="U850" s="3" t="n">
        <v>-0.8590307616172953</v>
      </c>
      <c r="V850" s="3" t="n">
        <v>-0.6772896647453308</v>
      </c>
      <c r="W850" s="3" t="n">
        <v>-0.5109122699879586</v>
      </c>
      <c r="X850" s="3" t="n">
        <v>-1.079493910708326</v>
      </c>
      <c r="Y850" s="3" t="n">
        <v>-0.7836013613863194</v>
      </c>
      <c r="Z850" s="3" t="n">
        <v>-1.097007578991829</v>
      </c>
      <c r="AA850" s="3" t="n">
        <v>-1.097007578991829</v>
      </c>
      <c r="AB850" s="3" t="n">
        <v>-1.079493910708326</v>
      </c>
      <c r="AC850" s="3" t="n">
        <v>-1.359592239907447</v>
      </c>
      <c r="AD850" s="3" t="n">
        <v>-0.8590307616172953</v>
      </c>
      <c r="AE850" s="3" t="n">
        <v>-0.8590307616172953</v>
      </c>
    </row>
    <row r="851">
      <c r="A851" s="3" t="inlineStr">
        <is>
          <t>GRD.distn.dec.ove.mean.1</t>
        </is>
      </c>
      <c r="B851" s="3" t="inlineStr">
        <is>
          <t>GRD</t>
        </is>
      </c>
      <c r="C851" s="3" t="n">
        <v>2005</v>
      </c>
      <c r="D851" s="3" t="inlineStr">
        <is>
          <t>Overall</t>
        </is>
      </c>
      <c r="E851" s="3" t="inlineStr">
        <is>
          <t>Deciles</t>
        </is>
      </c>
      <c r="F851" s="3" t="inlineStr">
        <is>
          <t>mean</t>
        </is>
      </c>
      <c r="G851" s="3" t="n">
        <v>1</v>
      </c>
      <c r="H851" s="3" t="n">
        <v>-0.7898249251501901</v>
      </c>
      <c r="I851" s="3" t="n">
        <v>-0.7898249251501901</v>
      </c>
      <c r="J851" s="3" t="n">
        <v>-0.9006037865366254</v>
      </c>
      <c r="K851" s="3" t="n">
        <v>-0.9006037865366254</v>
      </c>
      <c r="L851" s="3" t="n">
        <v>-0.7898249251501901</v>
      </c>
      <c r="M851" s="3" t="n">
        <v>-0.7898249251501901</v>
      </c>
      <c r="N851" s="3" t="n">
        <v>-0.7898249251501901</v>
      </c>
      <c r="O851" s="3" t="n">
        <v>-0.7898249251501901</v>
      </c>
      <c r="P851" s="3" t="n">
        <v>-0.7898249251501901</v>
      </c>
      <c r="Q851" s="3" t="n">
        <v>-0.7898249251501901</v>
      </c>
      <c r="R851" s="3" t="n">
        <v>-0.7744465725762504</v>
      </c>
      <c r="S851" s="3" t="n">
        <v>-1.490841317176819</v>
      </c>
      <c r="T851" s="3" t="n">
        <v>-0.7100824441228594</v>
      </c>
      <c r="U851" s="3" t="n">
        <v>-0.9006037865366254</v>
      </c>
      <c r="V851" s="3" t="n">
        <v>-0.6846477542604719</v>
      </c>
      <c r="W851" s="3" t="n">
        <v>-0.6204802887780326</v>
      </c>
      <c r="X851" s="3" t="n">
        <v>-1.433480068615505</v>
      </c>
      <c r="Y851" s="3" t="n">
        <v>-0.7898249251501901</v>
      </c>
      <c r="Z851" s="3" t="n">
        <v>-1.490841317176819</v>
      </c>
      <c r="AA851" s="3" t="n">
        <v>-1.490841317176819</v>
      </c>
      <c r="AB851" s="3" t="n">
        <v>-1.433480068615505</v>
      </c>
      <c r="AC851" s="3" t="n">
        <v>-2.345895099639892</v>
      </c>
      <c r="AD851" s="3" t="n">
        <v>-0.9006037865366254</v>
      </c>
      <c r="AE851" s="3" t="n">
        <v>-0.9006037865366254</v>
      </c>
    </row>
    <row r="852">
      <c r="A852" s="3" t="inlineStr">
        <is>
          <t>GRD.distn.dec.ove.mean.2</t>
        </is>
      </c>
      <c r="B852" s="3" t="inlineStr">
        <is>
          <t>GRD</t>
        </is>
      </c>
      <c r="C852" s="3" t="n">
        <v>2005</v>
      </c>
      <c r="D852" s="3" t="inlineStr">
        <is>
          <t>Overall</t>
        </is>
      </c>
      <c r="E852" s="3" t="inlineStr">
        <is>
          <t>Deciles</t>
        </is>
      </c>
      <c r="F852" s="3" t="inlineStr">
        <is>
          <t>mean</t>
        </is>
      </c>
      <c r="G852" s="3" t="n">
        <v>2</v>
      </c>
      <c r="H852" s="3" t="n">
        <v>-0.7898249251501901</v>
      </c>
      <c r="I852" s="3" t="n">
        <v>-0.7898249251501901</v>
      </c>
      <c r="J852" s="3" t="n">
        <v>-0.9006037865366254</v>
      </c>
      <c r="K852" s="3" t="n">
        <v>-0.9006037865366254</v>
      </c>
      <c r="L852" s="3" t="n">
        <v>-0.7898249251501901</v>
      </c>
      <c r="M852" s="3" t="n">
        <v>-0.7898249251501901</v>
      </c>
      <c r="N852" s="3" t="n">
        <v>-0.7898249251501901</v>
      </c>
      <c r="O852" s="3" t="n">
        <v>-0.7898249251501901</v>
      </c>
      <c r="P852" s="3" t="n">
        <v>-0.7898249251501901</v>
      </c>
      <c r="Q852" s="3" t="n">
        <v>-0.7898249251501901</v>
      </c>
      <c r="R852" s="3" t="n">
        <v>-0.7744465725762504</v>
      </c>
      <c r="S852" s="3" t="n">
        <v>-1.490841317176819</v>
      </c>
      <c r="T852" s="3" t="n">
        <v>-0.7100824441228594</v>
      </c>
      <c r="U852" s="3" t="n">
        <v>-0.9006037865366254</v>
      </c>
      <c r="V852" s="3" t="n">
        <v>-0.6846477542604719</v>
      </c>
      <c r="W852" s="3" t="n">
        <v>-0.6204802887780326</v>
      </c>
      <c r="X852" s="3" t="n">
        <v>-1.433480068615505</v>
      </c>
      <c r="Y852" s="3" t="n">
        <v>-0.7898249251501901</v>
      </c>
      <c r="Z852" s="3" t="n">
        <v>-1.490841317176819</v>
      </c>
      <c r="AA852" s="3" t="n">
        <v>-1.490841317176819</v>
      </c>
      <c r="AB852" s="3" t="n">
        <v>-1.433480068615505</v>
      </c>
      <c r="AC852" s="3" t="n">
        <v>-2.345895099639892</v>
      </c>
      <c r="AD852" s="3" t="n">
        <v>-0.9006037865366254</v>
      </c>
      <c r="AE852" s="3" t="n">
        <v>-0.9006037865366254</v>
      </c>
    </row>
    <row r="853">
      <c r="A853" s="3" t="inlineStr">
        <is>
          <t>GRD.distn.dec.ove.mean.3</t>
        </is>
      </c>
      <c r="B853" s="3" t="inlineStr">
        <is>
          <t>GRD</t>
        </is>
      </c>
      <c r="C853" s="3" t="n">
        <v>2005</v>
      </c>
      <c r="D853" s="3" t="inlineStr">
        <is>
          <t>Overall</t>
        </is>
      </c>
      <c r="E853" s="3" t="inlineStr">
        <is>
          <t>Deciles</t>
        </is>
      </c>
      <c r="F853" s="3" t="inlineStr">
        <is>
          <t>mean</t>
        </is>
      </c>
      <c r="G853" s="3" t="n">
        <v>3</v>
      </c>
      <c r="H853" s="3" t="n">
        <v>-0.7898249251501901</v>
      </c>
      <c r="I853" s="3" t="n">
        <v>-0.7898249251501901</v>
      </c>
      <c r="J853" s="3" t="n">
        <v>-0.9006037865366254</v>
      </c>
      <c r="K853" s="3" t="n">
        <v>-0.9006037865366254</v>
      </c>
      <c r="L853" s="3" t="n">
        <v>-0.7898249251501901</v>
      </c>
      <c r="M853" s="3" t="n">
        <v>-0.7898249251501901</v>
      </c>
      <c r="N853" s="3" t="n">
        <v>-0.7898249251501901</v>
      </c>
      <c r="O853" s="3" t="n">
        <v>-0.7898249251501901</v>
      </c>
      <c r="P853" s="3" t="n">
        <v>-0.7898249251501901</v>
      </c>
      <c r="Q853" s="3" t="n">
        <v>-0.7898249251501901</v>
      </c>
      <c r="R853" s="3" t="n">
        <v>-0.7744465725762504</v>
      </c>
      <c r="S853" s="3" t="n">
        <v>-1.490841317176819</v>
      </c>
      <c r="T853" s="3" t="n">
        <v>-0.7100824441228594</v>
      </c>
      <c r="U853" s="3" t="n">
        <v>-0.9006037865366254</v>
      </c>
      <c r="V853" s="3" t="n">
        <v>-0.6846477542604719</v>
      </c>
      <c r="W853" s="3" t="n">
        <v>-0.6204802887780326</v>
      </c>
      <c r="X853" s="3" t="n">
        <v>-1.433480068615505</v>
      </c>
      <c r="Y853" s="3" t="n">
        <v>-0.7898249251501901</v>
      </c>
      <c r="Z853" s="3" t="n">
        <v>-1.490841317176819</v>
      </c>
      <c r="AA853" s="3" t="n">
        <v>-1.490841317176819</v>
      </c>
      <c r="AB853" s="3" t="n">
        <v>-1.433480068615505</v>
      </c>
      <c r="AC853" s="3" t="n">
        <v>-2.345895099639892</v>
      </c>
      <c r="AD853" s="3" t="n">
        <v>-0.9006037865366254</v>
      </c>
      <c r="AE853" s="3" t="n">
        <v>-0.9006037865366254</v>
      </c>
    </row>
    <row r="854">
      <c r="A854" s="3" t="inlineStr">
        <is>
          <t>GRD.distn.dec.ove.mean.4</t>
        </is>
      </c>
      <c r="B854" s="3" t="inlineStr">
        <is>
          <t>GRD</t>
        </is>
      </c>
      <c r="C854" s="3" t="n">
        <v>2005</v>
      </c>
      <c r="D854" s="3" t="inlineStr">
        <is>
          <t>Overall</t>
        </is>
      </c>
      <c r="E854" s="3" t="inlineStr">
        <is>
          <t>Deciles</t>
        </is>
      </c>
      <c r="F854" s="3" t="inlineStr">
        <is>
          <t>mean</t>
        </is>
      </c>
      <c r="G854" s="3" t="n">
        <v>4</v>
      </c>
      <c r="H854" s="3" t="n">
        <v>-0.7835714289120266</v>
      </c>
      <c r="I854" s="3" t="n">
        <v>-0.7835714289120266</v>
      </c>
      <c r="J854" s="3" t="n">
        <v>-0.8570857082094465</v>
      </c>
      <c r="K854" s="3" t="n">
        <v>-0.8570857082094465</v>
      </c>
      <c r="L854" s="3" t="n">
        <v>-0.7835714289120266</v>
      </c>
      <c r="M854" s="3" t="n">
        <v>-0.7835714289120266</v>
      </c>
      <c r="N854" s="3" t="n">
        <v>-0.7835714289120266</v>
      </c>
      <c r="O854" s="3" t="n">
        <v>-0.7835714289120266</v>
      </c>
      <c r="P854" s="3" t="n">
        <v>-0.7835714289120266</v>
      </c>
      <c r="Q854" s="3" t="n">
        <v>-0.7835714289120266</v>
      </c>
      <c r="R854" s="3" t="n">
        <v>-0.7709714361599513</v>
      </c>
      <c r="S854" s="3" t="n">
        <v>-1.015428565229688</v>
      </c>
      <c r="T854" s="3" t="n">
        <v>-0.708628567627498</v>
      </c>
      <c r="U854" s="3" t="n">
        <v>-0.8570857082094465</v>
      </c>
      <c r="V854" s="3" t="n">
        <v>-0.6776857103620256</v>
      </c>
      <c r="W854" s="3" t="n">
        <v>-0.5221999968801226</v>
      </c>
      <c r="X854" s="3" t="n">
        <v>-1.011657135827201</v>
      </c>
      <c r="Y854" s="3" t="n">
        <v>-0.7835714289120266</v>
      </c>
      <c r="Z854" s="3" t="n">
        <v>-1.015428565229688</v>
      </c>
      <c r="AA854" s="3" t="n">
        <v>-1.015428565229688</v>
      </c>
      <c r="AB854" s="3" t="n">
        <v>-1.011657135827201</v>
      </c>
      <c r="AC854" s="3" t="n">
        <v>-1.132885714939662</v>
      </c>
      <c r="AD854" s="3" t="n">
        <v>-0.8570857082094465</v>
      </c>
      <c r="AE854" s="3" t="n">
        <v>-0.8570857082094465</v>
      </c>
    </row>
    <row r="855">
      <c r="A855" s="3" t="inlineStr">
        <is>
          <t>GRD.distn.dec.ove.mean.5</t>
        </is>
      </c>
      <c r="B855" s="3" t="inlineStr">
        <is>
          <t>GRD</t>
        </is>
      </c>
      <c r="C855" s="3" t="n">
        <v>2005</v>
      </c>
      <c r="D855" s="3" t="inlineStr">
        <is>
          <t>Overall</t>
        </is>
      </c>
      <c r="E855" s="3" t="inlineStr">
        <is>
          <t>Deciles</t>
        </is>
      </c>
      <c r="F855" s="3" t="inlineStr">
        <is>
          <t>mean</t>
        </is>
      </c>
      <c r="G855" s="3" t="n">
        <v>5</v>
      </c>
      <c r="H855" s="3" t="n">
        <v>-0.7835714289120266</v>
      </c>
      <c r="I855" s="3" t="n">
        <v>-0.7835714289120266</v>
      </c>
      <c r="J855" s="3" t="n">
        <v>-0.8570857082094465</v>
      </c>
      <c r="K855" s="3" t="n">
        <v>-0.8570857082094465</v>
      </c>
      <c r="L855" s="3" t="n">
        <v>-0.7835714289120266</v>
      </c>
      <c r="M855" s="3" t="n">
        <v>-0.7835714289120266</v>
      </c>
      <c r="N855" s="3" t="n">
        <v>-0.7835714289120266</v>
      </c>
      <c r="O855" s="3" t="n">
        <v>-0.7835714289120266</v>
      </c>
      <c r="P855" s="3" t="n">
        <v>-0.7835714289120266</v>
      </c>
      <c r="Q855" s="3" t="n">
        <v>-0.7835714289120266</v>
      </c>
      <c r="R855" s="3" t="n">
        <v>-0.7709714361599513</v>
      </c>
      <c r="S855" s="3" t="n">
        <v>-1.015428565229688</v>
      </c>
      <c r="T855" s="3" t="n">
        <v>-0.708628567627498</v>
      </c>
      <c r="U855" s="3" t="n">
        <v>-0.8570857082094465</v>
      </c>
      <c r="V855" s="3" t="n">
        <v>-0.6776857103620256</v>
      </c>
      <c r="W855" s="3" t="n">
        <v>-0.5221999968801226</v>
      </c>
      <c r="X855" s="3" t="n">
        <v>-1.011657135827201</v>
      </c>
      <c r="Y855" s="3" t="n">
        <v>-0.7835714289120266</v>
      </c>
      <c r="Z855" s="3" t="n">
        <v>-1.015428565229688</v>
      </c>
      <c r="AA855" s="3" t="n">
        <v>-1.015428565229688</v>
      </c>
      <c r="AB855" s="3" t="n">
        <v>-1.011657135827201</v>
      </c>
      <c r="AC855" s="3" t="n">
        <v>-1.132885714939662</v>
      </c>
      <c r="AD855" s="3" t="n">
        <v>-0.8570857082094465</v>
      </c>
      <c r="AE855" s="3" t="n">
        <v>-0.8570857082094465</v>
      </c>
    </row>
    <row r="856">
      <c r="A856" s="3" t="inlineStr">
        <is>
          <t>GRD.distn.dec.ove.mean.6</t>
        </is>
      </c>
      <c r="B856" s="3" t="inlineStr">
        <is>
          <t>GRD</t>
        </is>
      </c>
      <c r="C856" s="3" t="n">
        <v>2005</v>
      </c>
      <c r="D856" s="3" t="inlineStr">
        <is>
          <t>Overall</t>
        </is>
      </c>
      <c r="E856" s="3" t="inlineStr">
        <is>
          <t>Deciles</t>
        </is>
      </c>
      <c r="F856" s="3" t="inlineStr">
        <is>
          <t>mean</t>
        </is>
      </c>
      <c r="G856" s="3" t="n">
        <v>6</v>
      </c>
      <c r="H856" s="3" t="n">
        <v>-0.7835714289120266</v>
      </c>
      <c r="I856" s="3" t="n">
        <v>-0.7835714289120266</v>
      </c>
      <c r="J856" s="3" t="n">
        <v>-0.8570857082094465</v>
      </c>
      <c r="K856" s="3" t="n">
        <v>-0.8570857082094465</v>
      </c>
      <c r="L856" s="3" t="n">
        <v>-0.7835714289120266</v>
      </c>
      <c r="M856" s="3" t="n">
        <v>-0.7835714289120266</v>
      </c>
      <c r="N856" s="3" t="n">
        <v>-0.7835714289120266</v>
      </c>
      <c r="O856" s="3" t="n">
        <v>-0.7835714289120266</v>
      </c>
      <c r="P856" s="3" t="n">
        <v>-0.7835714289120266</v>
      </c>
      <c r="Q856" s="3" t="n">
        <v>-0.7835714289120266</v>
      </c>
      <c r="R856" s="3" t="n">
        <v>-0.7709714361599513</v>
      </c>
      <c r="S856" s="3" t="n">
        <v>-1.015428565229688</v>
      </c>
      <c r="T856" s="3" t="n">
        <v>-0.708628567627498</v>
      </c>
      <c r="U856" s="3" t="n">
        <v>-0.8570857082094465</v>
      </c>
      <c r="V856" s="3" t="n">
        <v>-0.6776857103620256</v>
      </c>
      <c r="W856" s="3" t="n">
        <v>-0.5221999968801226</v>
      </c>
      <c r="X856" s="3" t="n">
        <v>-1.011657135827201</v>
      </c>
      <c r="Y856" s="3" t="n">
        <v>-0.7835714289120266</v>
      </c>
      <c r="Z856" s="3" t="n">
        <v>-1.015428565229688</v>
      </c>
      <c r="AA856" s="3" t="n">
        <v>-1.015428565229688</v>
      </c>
      <c r="AB856" s="3" t="n">
        <v>-1.011657135827201</v>
      </c>
      <c r="AC856" s="3" t="n">
        <v>-1.132885714939662</v>
      </c>
      <c r="AD856" s="3" t="n">
        <v>-0.8570857082094465</v>
      </c>
      <c r="AE856" s="3" t="n">
        <v>-0.8570857082094465</v>
      </c>
    </row>
    <row r="857">
      <c r="A857" s="3" t="inlineStr">
        <is>
          <t>GRD.distn.dec.ove.mean.7</t>
        </is>
      </c>
      <c r="B857" s="3" t="inlineStr">
        <is>
          <t>GRD</t>
        </is>
      </c>
      <c r="C857" s="3" t="n">
        <v>2005</v>
      </c>
      <c r="D857" s="3" t="inlineStr">
        <is>
          <t>Overall</t>
        </is>
      </c>
      <c r="E857" s="3" t="inlineStr">
        <is>
          <t>Deciles</t>
        </is>
      </c>
      <c r="F857" s="3" t="inlineStr">
        <is>
          <t>mean</t>
        </is>
      </c>
      <c r="G857" s="3" t="n">
        <v>7</v>
      </c>
      <c r="H857" s="3" t="n">
        <v>-0.7835714289120266</v>
      </c>
      <c r="I857" s="3" t="n">
        <v>-0.7835714289120266</v>
      </c>
      <c r="J857" s="3" t="n">
        <v>-0.8570857082094465</v>
      </c>
      <c r="K857" s="3" t="n">
        <v>-0.8570857082094465</v>
      </c>
      <c r="L857" s="3" t="n">
        <v>-0.7835714289120266</v>
      </c>
      <c r="M857" s="3" t="n">
        <v>-0.7835714289120266</v>
      </c>
      <c r="N857" s="3" t="n">
        <v>-0.7835714289120266</v>
      </c>
      <c r="O857" s="3" t="n">
        <v>-0.7835714289120266</v>
      </c>
      <c r="P857" s="3" t="n">
        <v>-0.7835714289120266</v>
      </c>
      <c r="Q857" s="3" t="n">
        <v>-0.7835714289120266</v>
      </c>
      <c r="R857" s="3" t="n">
        <v>-0.7709714361599513</v>
      </c>
      <c r="S857" s="3" t="n">
        <v>-1.015428565229688</v>
      </c>
      <c r="T857" s="3" t="n">
        <v>-0.708628567627498</v>
      </c>
      <c r="U857" s="3" t="n">
        <v>-0.8570857082094465</v>
      </c>
      <c r="V857" s="3" t="n">
        <v>-0.6776857103620256</v>
      </c>
      <c r="W857" s="3" t="n">
        <v>-0.5221999968801226</v>
      </c>
      <c r="X857" s="3" t="n">
        <v>-1.011657135827201</v>
      </c>
      <c r="Y857" s="3" t="n">
        <v>-0.7835714289120266</v>
      </c>
      <c r="Z857" s="3" t="n">
        <v>-1.015428565229688</v>
      </c>
      <c r="AA857" s="3" t="n">
        <v>-1.015428565229688</v>
      </c>
      <c r="AB857" s="3" t="n">
        <v>-1.011657135827201</v>
      </c>
      <c r="AC857" s="3" t="n">
        <v>-1.132885714939662</v>
      </c>
      <c r="AD857" s="3" t="n">
        <v>-0.8570857082094465</v>
      </c>
      <c r="AE857" s="3" t="n">
        <v>-0.8570857082094465</v>
      </c>
    </row>
    <row r="858">
      <c r="A858" s="3" t="inlineStr">
        <is>
          <t>GRD.distn.dec.ove.mean.8</t>
        </is>
      </c>
      <c r="B858" s="3" t="inlineStr">
        <is>
          <t>GRD</t>
        </is>
      </c>
      <c r="C858" s="3" t="n">
        <v>2005</v>
      </c>
      <c r="D858" s="3" t="inlineStr">
        <is>
          <t>Overall</t>
        </is>
      </c>
      <c r="E858" s="3" t="inlineStr">
        <is>
          <t>Deciles</t>
        </is>
      </c>
      <c r="F858" s="3" t="inlineStr">
        <is>
          <t>mean</t>
        </is>
      </c>
      <c r="G858" s="3" t="n">
        <v>8</v>
      </c>
      <c r="H858" s="3" t="n">
        <v>-0.7839489357812064</v>
      </c>
      <c r="I858" s="3" t="n">
        <v>-0.7839489357812064</v>
      </c>
      <c r="J858" s="3" t="n">
        <v>-0.8593977723802839</v>
      </c>
      <c r="K858" s="3" t="n">
        <v>-0.8593977723802839</v>
      </c>
      <c r="L858" s="3" t="n">
        <v>-0.7839489357812064</v>
      </c>
      <c r="M858" s="3" t="n">
        <v>-0.7839489357812064</v>
      </c>
      <c r="N858" s="3" t="n">
        <v>-0.7839489357812064</v>
      </c>
      <c r="O858" s="3" t="n">
        <v>-0.7839489357812064</v>
      </c>
      <c r="P858" s="3" t="n">
        <v>-0.7839489357812064</v>
      </c>
      <c r="Q858" s="3" t="n">
        <v>-0.7839489357812064</v>
      </c>
      <c r="R858" s="3" t="n">
        <v>-0.7712249892098563</v>
      </c>
      <c r="S858" s="3" t="n">
        <v>-1.024877253600529</v>
      </c>
      <c r="T858" s="3" t="n">
        <v>-0.7086694342749459</v>
      </c>
      <c r="U858" s="3" t="n">
        <v>-0.8593977723802839</v>
      </c>
      <c r="V858" s="3" t="n">
        <v>-0.6783862863268171</v>
      </c>
      <c r="W858" s="3" t="n">
        <v>-0.5361838928290776</v>
      </c>
      <c r="X858" s="3" t="n">
        <v>-1.020875356878553</v>
      </c>
      <c r="Y858" s="3" t="n">
        <v>-0.7839489357812064</v>
      </c>
      <c r="Z858" s="3" t="n">
        <v>-1.024877253600529</v>
      </c>
      <c r="AA858" s="3" t="n">
        <v>-1.024877253600529</v>
      </c>
      <c r="AB858" s="3" t="n">
        <v>-1.020875356878553</v>
      </c>
      <c r="AC858" s="3" t="n">
        <v>-1.149042170388358</v>
      </c>
      <c r="AD858" s="3" t="n">
        <v>-0.8593977723802839</v>
      </c>
      <c r="AE858" s="3" t="n">
        <v>-0.8593977723802839</v>
      </c>
    </row>
    <row r="859">
      <c r="A859" s="3" t="inlineStr">
        <is>
          <t>GRD.distn.dec.ove.mean.9</t>
        </is>
      </c>
      <c r="B859" s="3" t="inlineStr">
        <is>
          <t>GRD</t>
        </is>
      </c>
      <c r="C859" s="3" t="n">
        <v>2005</v>
      </c>
      <c r="D859" s="3" t="inlineStr">
        <is>
          <t>Overall</t>
        </is>
      </c>
      <c r="E859" s="3" t="inlineStr">
        <is>
          <t>Deciles</t>
        </is>
      </c>
      <c r="F859" s="3" t="inlineStr">
        <is>
          <t>mean</t>
        </is>
      </c>
      <c r="G859" s="3" t="n">
        <v>9</v>
      </c>
      <c r="H859" s="3" t="n">
        <v>-0.7839489357812064</v>
      </c>
      <c r="I859" s="3" t="n">
        <v>-0.7839489357812064</v>
      </c>
      <c r="J859" s="3" t="n">
        <v>-0.8593977723802839</v>
      </c>
      <c r="K859" s="3" t="n">
        <v>-0.8593977723802839</v>
      </c>
      <c r="L859" s="3" t="n">
        <v>-0.7839489357812064</v>
      </c>
      <c r="M859" s="3" t="n">
        <v>-0.7839489357812064</v>
      </c>
      <c r="N859" s="3" t="n">
        <v>-0.7839489357812064</v>
      </c>
      <c r="O859" s="3" t="n">
        <v>-0.7839489357812064</v>
      </c>
      <c r="P859" s="3" t="n">
        <v>-0.7839489357812064</v>
      </c>
      <c r="Q859" s="3" t="n">
        <v>-0.7839489357812064</v>
      </c>
      <c r="R859" s="3" t="n">
        <v>-0.7712249892098563</v>
      </c>
      <c r="S859" s="3" t="n">
        <v>-1.024877253600529</v>
      </c>
      <c r="T859" s="3" t="n">
        <v>-0.7086694342749459</v>
      </c>
      <c r="U859" s="3" t="n">
        <v>-0.8593977723802839</v>
      </c>
      <c r="V859" s="3" t="n">
        <v>-0.6783862863268171</v>
      </c>
      <c r="W859" s="3" t="n">
        <v>-0.5361838928290776</v>
      </c>
      <c r="X859" s="3" t="n">
        <v>-1.020875356878553</v>
      </c>
      <c r="Y859" s="3" t="n">
        <v>-0.7839489357812064</v>
      </c>
      <c r="Z859" s="3" t="n">
        <v>-1.024877253600529</v>
      </c>
      <c r="AA859" s="3" t="n">
        <v>-1.024877253600529</v>
      </c>
      <c r="AB859" s="3" t="n">
        <v>-1.020875356878553</v>
      </c>
      <c r="AC859" s="3" t="n">
        <v>-1.149042170388358</v>
      </c>
      <c r="AD859" s="3" t="n">
        <v>-0.8593977723802839</v>
      </c>
      <c r="AE859" s="3" t="n">
        <v>-0.8593977723802839</v>
      </c>
    </row>
    <row r="860">
      <c r="A860" s="3" t="inlineStr">
        <is>
          <t>GRD.distn.dec.ove.mean.10</t>
        </is>
      </c>
      <c r="B860" s="3" t="inlineStr">
        <is>
          <t>GRD</t>
        </is>
      </c>
      <c r="C860" s="3" t="n">
        <v>2005</v>
      </c>
      <c r="D860" s="3" t="inlineStr">
        <is>
          <t>Overall</t>
        </is>
      </c>
      <c r="E860" s="3" t="inlineStr">
        <is>
          <t>Deciles</t>
        </is>
      </c>
      <c r="F860" s="3" t="inlineStr">
        <is>
          <t>mean</t>
        </is>
      </c>
      <c r="G860" s="3" t="n">
        <v>10</v>
      </c>
      <c r="H860" s="3" t="n">
        <v>-0.7839489357812064</v>
      </c>
      <c r="I860" s="3" t="n">
        <v>-0.7839489357812064</v>
      </c>
      <c r="J860" s="3" t="n">
        <v>-0.8593977723802839</v>
      </c>
      <c r="K860" s="3" t="n">
        <v>-0.8593977723802839</v>
      </c>
      <c r="L860" s="3" t="n">
        <v>-0.7839489357812064</v>
      </c>
      <c r="M860" s="3" t="n">
        <v>-0.7839489357812064</v>
      </c>
      <c r="N860" s="3" t="n">
        <v>-0.7839489357812064</v>
      </c>
      <c r="O860" s="3" t="n">
        <v>-0.7839489357812064</v>
      </c>
      <c r="P860" s="3" t="n">
        <v>-0.7839489357812064</v>
      </c>
      <c r="Q860" s="3" t="n">
        <v>-0.7839489357812064</v>
      </c>
      <c r="R860" s="3" t="n">
        <v>-0.7712249892098563</v>
      </c>
      <c r="S860" s="3" t="n">
        <v>-1.024877253600529</v>
      </c>
      <c r="T860" s="3" t="n">
        <v>-0.7086694342749459</v>
      </c>
      <c r="U860" s="3" t="n">
        <v>-0.8593977723802839</v>
      </c>
      <c r="V860" s="3" t="n">
        <v>-0.6783862863268171</v>
      </c>
      <c r="W860" s="3" t="n">
        <v>-0.5361838928290776</v>
      </c>
      <c r="X860" s="3" t="n">
        <v>-1.020875356878553</v>
      </c>
      <c r="Y860" s="3" t="n">
        <v>-0.7839489357812064</v>
      </c>
      <c r="Z860" s="3" t="n">
        <v>-1.024877253600529</v>
      </c>
      <c r="AA860" s="3" t="n">
        <v>-1.024877253600529</v>
      </c>
      <c r="AB860" s="3" t="n">
        <v>-1.020875356878553</v>
      </c>
      <c r="AC860" s="3" t="n">
        <v>-1.149042170388358</v>
      </c>
      <c r="AD860" s="3" t="n">
        <v>-0.8593977723802839</v>
      </c>
      <c r="AE860" s="3" t="n">
        <v>-0.8593977723802839</v>
      </c>
    </row>
    <row r="861">
      <c r="A861" s="3" t="inlineStr">
        <is>
          <t>GRD.distn.bkt.ove.mean.9999</t>
        </is>
      </c>
      <c r="B861" s="3" t="inlineStr">
        <is>
          <t>GRD</t>
        </is>
      </c>
      <c r="C861" s="3" t="n">
        <v>2005</v>
      </c>
      <c r="D861" s="3" t="inlineStr">
        <is>
          <t>Overall</t>
        </is>
      </c>
      <c r="E861" s="3" t="inlineStr">
        <is>
          <t>Basket</t>
        </is>
      </c>
      <c r="F861" s="3" t="inlineStr">
        <is>
          <t>mean</t>
        </is>
      </c>
      <c r="G861" s="3" t="n">
        <v>9999</v>
      </c>
      <c r="H861" s="3" t="n">
        <v>-0.7855607322284154</v>
      </c>
      <c r="I861" s="3" t="n">
        <v>-0.7855607322284154</v>
      </c>
      <c r="J861" s="3" t="n">
        <v>-0.8708347541945322</v>
      </c>
      <c r="K861" s="3" t="n">
        <v>-0.8708347541945322</v>
      </c>
      <c r="L861" s="3" t="n">
        <v>-0.7855607322284154</v>
      </c>
      <c r="M861" s="3" t="n">
        <v>-0.7855607322284154</v>
      </c>
      <c r="N861" s="3" t="n">
        <v>-0.7855607322284154</v>
      </c>
      <c r="O861" s="3" t="n">
        <v>-0.7855607322284154</v>
      </c>
      <c r="P861" s="3" t="n">
        <v>-0.7855607322284154</v>
      </c>
      <c r="Q861" s="3" t="n">
        <v>-0.7855607322284154</v>
      </c>
      <c r="R861" s="3" t="n">
        <v>-0.7720900552613394</v>
      </c>
      <c r="S861" s="3" t="n">
        <v>-1.160887002944946</v>
      </c>
      <c r="T861" s="3" t="n">
        <v>-0.7090769904000419</v>
      </c>
      <c r="U861" s="3" t="n">
        <v>-0.8708347541945322</v>
      </c>
      <c r="V861" s="3" t="n">
        <v>-0.6799844878060477</v>
      </c>
      <c r="W861" s="3" t="n">
        <v>-0.5558792540005275</v>
      </c>
      <c r="X861" s="3" t="n">
        <v>-1.140969473975045</v>
      </c>
      <c r="Y861" s="3" t="n">
        <v>-0.7855607322284154</v>
      </c>
      <c r="Z861" s="3" t="n">
        <v>-1.160887002944946</v>
      </c>
      <c r="AA861" s="3" t="n">
        <v>-1.160887002944946</v>
      </c>
      <c r="AB861" s="3" t="n">
        <v>-1.140969473975045</v>
      </c>
      <c r="AC861" s="3" t="n">
        <v>-1.501635466303144</v>
      </c>
      <c r="AD861" s="3" t="n">
        <v>-0.8708347541945322</v>
      </c>
      <c r="AE861" s="3" t="n">
        <v>-0.8708347541945322</v>
      </c>
    </row>
    <row r="862">
      <c r="A862" s="3" t="inlineStr">
        <is>
          <t>GRL.distn.dec.ove.mean.1</t>
        </is>
      </c>
      <c r="B862" s="3" t="inlineStr">
        <is>
          <t>GRL</t>
        </is>
      </c>
      <c r="C862" s="3" t="n">
        <v>2005</v>
      </c>
      <c r="D862" s="3" t="inlineStr">
        <is>
          <t>Overall</t>
        </is>
      </c>
      <c r="E862" s="3" t="inlineStr">
        <is>
          <t>Deciles</t>
        </is>
      </c>
      <c r="F862" s="3" t="inlineStr">
        <is>
          <t>mean</t>
        </is>
      </c>
      <c r="G862" s="3" t="n">
        <v>1</v>
      </c>
      <c r="H862" s="3" t="n">
        <v>-0.7878549098968506</v>
      </c>
      <c r="I862" s="3" t="n">
        <v>-0.7878549098968506</v>
      </c>
      <c r="J862" s="3" t="n">
        <v>-0.8883962808771336</v>
      </c>
      <c r="K862" s="3" t="n">
        <v>-0.8883962808771336</v>
      </c>
      <c r="L862" s="3" t="n">
        <v>-0.7878549098968506</v>
      </c>
      <c r="M862" s="3" t="n">
        <v>-0.7878549098968506</v>
      </c>
      <c r="N862" s="3" t="n">
        <v>-0.7878549098968506</v>
      </c>
      <c r="O862" s="3" t="n">
        <v>-0.7878549098968506</v>
      </c>
      <c r="P862" s="3" t="n">
        <v>-0.7878549098968506</v>
      </c>
      <c r="Q862" s="3" t="n">
        <v>-0.7878549098968506</v>
      </c>
      <c r="R862" s="3" t="n">
        <v>-0.7732356596500316</v>
      </c>
      <c r="S862" s="3" t="n">
        <v>-1.408805674694954</v>
      </c>
      <c r="T862" s="3" t="n">
        <v>-0.7095591730259835</v>
      </c>
      <c r="U862" s="3" t="n">
        <v>-0.8883962808771336</v>
      </c>
      <c r="V862" s="3" t="n">
        <v>-0.681934451803248</v>
      </c>
      <c r="W862" s="3" t="n">
        <v>-0.5702875047288043</v>
      </c>
      <c r="X862" s="3" t="n">
        <v>-1.356243993373627</v>
      </c>
      <c r="Y862" s="3" t="n">
        <v>-0.7878549098968506</v>
      </c>
      <c r="Z862" s="3" t="n">
        <v>-1.408805674694954</v>
      </c>
      <c r="AA862" s="3" t="n">
        <v>-1.408805674694954</v>
      </c>
      <c r="AB862" s="3" t="n">
        <v>-1.356243993373627</v>
      </c>
      <c r="AC862" s="3" t="n">
        <v>-2.123991362592007</v>
      </c>
      <c r="AD862" s="3" t="n">
        <v>-0.8883962808771336</v>
      </c>
      <c r="AE862" s="3" t="n">
        <v>-0.8883962808771336</v>
      </c>
    </row>
    <row r="863">
      <c r="A863" s="3" t="inlineStr">
        <is>
          <t>GRL.distn.dec.ove.mean.2</t>
        </is>
      </c>
      <c r="B863" s="3" t="inlineStr">
        <is>
          <t>GRL</t>
        </is>
      </c>
      <c r="C863" s="3" t="n">
        <v>2005</v>
      </c>
      <c r="D863" s="3" t="inlineStr">
        <is>
          <t>Overall</t>
        </is>
      </c>
      <c r="E863" s="3" t="inlineStr">
        <is>
          <t>Deciles</t>
        </is>
      </c>
      <c r="F863" s="3" t="inlineStr">
        <is>
          <t>mean</t>
        </is>
      </c>
      <c r="G863" s="3" t="n">
        <v>2</v>
      </c>
      <c r="H863" s="3" t="n">
        <v>-0.7878549098968506</v>
      </c>
      <c r="I863" s="3" t="n">
        <v>-0.7878549098968506</v>
      </c>
      <c r="J863" s="3" t="n">
        <v>-0.8883962808771336</v>
      </c>
      <c r="K863" s="3" t="n">
        <v>-0.8883962808771336</v>
      </c>
      <c r="L863" s="3" t="n">
        <v>-0.7878549098968506</v>
      </c>
      <c r="M863" s="3" t="n">
        <v>-0.7878549098968506</v>
      </c>
      <c r="N863" s="3" t="n">
        <v>-0.7878549098968506</v>
      </c>
      <c r="O863" s="3" t="n">
        <v>-0.7878549098968506</v>
      </c>
      <c r="P863" s="3" t="n">
        <v>-0.7878549098968506</v>
      </c>
      <c r="Q863" s="3" t="n">
        <v>-0.7878549098968506</v>
      </c>
      <c r="R863" s="3" t="n">
        <v>-0.7732356596500316</v>
      </c>
      <c r="S863" s="3" t="n">
        <v>-1.408805674694954</v>
      </c>
      <c r="T863" s="3" t="n">
        <v>-0.7095591730259835</v>
      </c>
      <c r="U863" s="3" t="n">
        <v>-0.8883962808771336</v>
      </c>
      <c r="V863" s="3" t="n">
        <v>-0.681934451803248</v>
      </c>
      <c r="W863" s="3" t="n">
        <v>-0.5702875047288043</v>
      </c>
      <c r="X863" s="3" t="n">
        <v>-1.356243993373627</v>
      </c>
      <c r="Y863" s="3" t="n">
        <v>-0.7878549098968506</v>
      </c>
      <c r="Z863" s="3" t="n">
        <v>-1.408805674694954</v>
      </c>
      <c r="AA863" s="3" t="n">
        <v>-1.408805674694954</v>
      </c>
      <c r="AB863" s="3" t="n">
        <v>-1.356243993373627</v>
      </c>
      <c r="AC863" s="3" t="n">
        <v>-2.123991362592007</v>
      </c>
      <c r="AD863" s="3" t="n">
        <v>-0.8883962808771336</v>
      </c>
      <c r="AE863" s="3" t="n">
        <v>-0.8883962808771336</v>
      </c>
    </row>
    <row r="864">
      <c r="A864" s="3" t="inlineStr">
        <is>
          <t>GRL.distn.dec.ove.mean.3</t>
        </is>
      </c>
      <c r="B864" s="3" t="inlineStr">
        <is>
          <t>GRL</t>
        </is>
      </c>
      <c r="C864" s="3" t="n">
        <v>2005</v>
      </c>
      <c r="D864" s="3" t="inlineStr">
        <is>
          <t>Overall</t>
        </is>
      </c>
      <c r="E864" s="3" t="inlineStr">
        <is>
          <t>Deciles</t>
        </is>
      </c>
      <c r="F864" s="3" t="inlineStr">
        <is>
          <t>mean</t>
        </is>
      </c>
      <c r="G864" s="3" t="n">
        <v>3</v>
      </c>
      <c r="H864" s="3" t="n">
        <v>-0.7878549098968506</v>
      </c>
      <c r="I864" s="3" t="n">
        <v>-0.7878549098968506</v>
      </c>
      <c r="J864" s="3" t="n">
        <v>-0.8883962808771336</v>
      </c>
      <c r="K864" s="3" t="n">
        <v>-0.8883962808771336</v>
      </c>
      <c r="L864" s="3" t="n">
        <v>-0.7878549098968506</v>
      </c>
      <c r="M864" s="3" t="n">
        <v>-0.7878549098968506</v>
      </c>
      <c r="N864" s="3" t="n">
        <v>-0.7878549098968506</v>
      </c>
      <c r="O864" s="3" t="n">
        <v>-0.7878549098968506</v>
      </c>
      <c r="P864" s="3" t="n">
        <v>-0.7878549098968506</v>
      </c>
      <c r="Q864" s="3" t="n">
        <v>-0.7878549098968506</v>
      </c>
      <c r="R864" s="3" t="n">
        <v>-0.7732356596500316</v>
      </c>
      <c r="S864" s="3" t="n">
        <v>-1.408805674694954</v>
      </c>
      <c r="T864" s="3" t="n">
        <v>-0.7095591730259835</v>
      </c>
      <c r="U864" s="3" t="n">
        <v>-0.8883962808771336</v>
      </c>
      <c r="V864" s="3" t="n">
        <v>-0.681934451803248</v>
      </c>
      <c r="W864" s="3" t="n">
        <v>-0.5702875047288043</v>
      </c>
      <c r="X864" s="3" t="n">
        <v>-1.356243993373627</v>
      </c>
      <c r="Y864" s="3" t="n">
        <v>-0.7878549098968506</v>
      </c>
      <c r="Z864" s="3" t="n">
        <v>-1.408805674694954</v>
      </c>
      <c r="AA864" s="3" t="n">
        <v>-1.408805674694954</v>
      </c>
      <c r="AB864" s="3" t="n">
        <v>-1.356243993373627</v>
      </c>
      <c r="AC864" s="3" t="n">
        <v>-2.123991362592007</v>
      </c>
      <c r="AD864" s="3" t="n">
        <v>-0.8883962808771336</v>
      </c>
      <c r="AE864" s="3" t="n">
        <v>-0.8883962808771336</v>
      </c>
    </row>
    <row r="865">
      <c r="A865" s="3" t="inlineStr">
        <is>
          <t>GRL.distn.dec.ove.mean.4</t>
        </is>
      </c>
      <c r="B865" s="3" t="inlineStr">
        <is>
          <t>GRL</t>
        </is>
      </c>
      <c r="C865" s="3" t="n">
        <v>2005</v>
      </c>
      <c r="D865" s="3" t="inlineStr">
        <is>
          <t>Overall</t>
        </is>
      </c>
      <c r="E865" s="3" t="inlineStr">
        <is>
          <t>Deciles</t>
        </is>
      </c>
      <c r="F865" s="3" t="inlineStr">
        <is>
          <t>mean</t>
        </is>
      </c>
      <c r="G865" s="3" t="n">
        <v>4</v>
      </c>
      <c r="H865" s="3" t="n">
        <v>-0.7816170251115839</v>
      </c>
      <c r="I865" s="3" t="n">
        <v>-0.7816170251115839</v>
      </c>
      <c r="J865" s="3" t="n">
        <v>-0.8454680810583398</v>
      </c>
      <c r="K865" s="3" t="n">
        <v>-0.8454680810583398</v>
      </c>
      <c r="L865" s="3" t="n">
        <v>-0.7816170251115839</v>
      </c>
      <c r="M865" s="3" t="n">
        <v>-0.7816170251115839</v>
      </c>
      <c r="N865" s="3" t="n">
        <v>-0.7816170251115839</v>
      </c>
      <c r="O865" s="3" t="n">
        <v>-0.7816170251115839</v>
      </c>
      <c r="P865" s="3" t="n">
        <v>-0.7816170251115839</v>
      </c>
      <c r="Q865" s="3" t="n">
        <v>-0.7816170251115839</v>
      </c>
      <c r="R865" s="3" t="n">
        <v>-0.7697659489956308</v>
      </c>
      <c r="S865" s="3" t="n">
        <v>-0.9595531871978272</v>
      </c>
      <c r="T865" s="3" t="n">
        <v>-0.7081063859006191</v>
      </c>
      <c r="U865" s="3" t="n">
        <v>-0.8454680810583398</v>
      </c>
      <c r="V865" s="3" t="n">
        <v>-0.6750000017754575</v>
      </c>
      <c r="W865" s="3" t="n">
        <v>-0.4799574455048176</v>
      </c>
      <c r="X865" s="3" t="n">
        <v>-0.9571489362006492</v>
      </c>
      <c r="Y865" s="3" t="n">
        <v>-0.7816170251115839</v>
      </c>
      <c r="Z865" s="3" t="n">
        <v>-0.9595531871978272</v>
      </c>
      <c r="AA865" s="3" t="n">
        <v>-0.9595531871978272</v>
      </c>
      <c r="AB865" s="3" t="n">
        <v>-0.9571489362006492</v>
      </c>
      <c r="AC865" s="3" t="n">
        <v>-1.025723396463597</v>
      </c>
      <c r="AD865" s="3" t="n">
        <v>-0.8454680810583398</v>
      </c>
      <c r="AE865" s="3" t="n">
        <v>-0.8454680810583398</v>
      </c>
    </row>
    <row r="866">
      <c r="A866" s="3" t="inlineStr">
        <is>
          <t>GRL.distn.dec.ove.mean.5</t>
        </is>
      </c>
      <c r="B866" s="3" t="inlineStr">
        <is>
          <t>GRL</t>
        </is>
      </c>
      <c r="C866" s="3" t="n">
        <v>2005</v>
      </c>
      <c r="D866" s="3" t="inlineStr">
        <is>
          <t>Overall</t>
        </is>
      </c>
      <c r="E866" s="3" t="inlineStr">
        <is>
          <t>Deciles</t>
        </is>
      </c>
      <c r="F866" s="3" t="inlineStr">
        <is>
          <t>mean</t>
        </is>
      </c>
      <c r="G866" s="3" t="n">
        <v>5</v>
      </c>
      <c r="H866" s="3" t="n">
        <v>-0.7816170251115839</v>
      </c>
      <c r="I866" s="3" t="n">
        <v>-0.7816170251115839</v>
      </c>
      <c r="J866" s="3" t="n">
        <v>-0.8454680810583398</v>
      </c>
      <c r="K866" s="3" t="n">
        <v>-0.8454680810583398</v>
      </c>
      <c r="L866" s="3" t="n">
        <v>-0.7816170251115839</v>
      </c>
      <c r="M866" s="3" t="n">
        <v>-0.7816170251115839</v>
      </c>
      <c r="N866" s="3" t="n">
        <v>-0.7816170251115839</v>
      </c>
      <c r="O866" s="3" t="n">
        <v>-0.7816170251115839</v>
      </c>
      <c r="P866" s="3" t="n">
        <v>-0.7816170251115839</v>
      </c>
      <c r="Q866" s="3" t="n">
        <v>-0.7816170251115839</v>
      </c>
      <c r="R866" s="3" t="n">
        <v>-0.7697659489956308</v>
      </c>
      <c r="S866" s="3" t="n">
        <v>-0.9595531871978272</v>
      </c>
      <c r="T866" s="3" t="n">
        <v>-0.7081063859006191</v>
      </c>
      <c r="U866" s="3" t="n">
        <v>-0.8454680810583398</v>
      </c>
      <c r="V866" s="3" t="n">
        <v>-0.6750000017754575</v>
      </c>
      <c r="W866" s="3" t="n">
        <v>-0.4799574455048176</v>
      </c>
      <c r="X866" s="3" t="n">
        <v>-0.9571489362006492</v>
      </c>
      <c r="Y866" s="3" t="n">
        <v>-0.7816170251115839</v>
      </c>
      <c r="Z866" s="3" t="n">
        <v>-0.9595531871978272</v>
      </c>
      <c r="AA866" s="3" t="n">
        <v>-0.9595531871978272</v>
      </c>
      <c r="AB866" s="3" t="n">
        <v>-0.9571489362006492</v>
      </c>
      <c r="AC866" s="3" t="n">
        <v>-1.025723396463597</v>
      </c>
      <c r="AD866" s="3" t="n">
        <v>-0.8454680810583398</v>
      </c>
      <c r="AE866" s="3" t="n">
        <v>-0.8454680810583398</v>
      </c>
    </row>
    <row r="867">
      <c r="A867" s="3" t="inlineStr">
        <is>
          <t>GRL.distn.dec.ove.mean.6</t>
        </is>
      </c>
      <c r="B867" s="3" t="inlineStr">
        <is>
          <t>GRL</t>
        </is>
      </c>
      <c r="C867" s="3" t="n">
        <v>2005</v>
      </c>
      <c r="D867" s="3" t="inlineStr">
        <is>
          <t>Overall</t>
        </is>
      </c>
      <c r="E867" s="3" t="inlineStr">
        <is>
          <t>Deciles</t>
        </is>
      </c>
      <c r="F867" s="3" t="inlineStr">
        <is>
          <t>mean</t>
        </is>
      </c>
      <c r="G867" s="3" t="n">
        <v>6</v>
      </c>
      <c r="H867" s="3" t="n">
        <v>-0.7816170251115839</v>
      </c>
      <c r="I867" s="3" t="n">
        <v>-0.7816170251115839</v>
      </c>
      <c r="J867" s="3" t="n">
        <v>-0.8454680810583398</v>
      </c>
      <c r="K867" s="3" t="n">
        <v>-0.8454680810583398</v>
      </c>
      <c r="L867" s="3" t="n">
        <v>-0.7816170251115839</v>
      </c>
      <c r="M867" s="3" t="n">
        <v>-0.7816170251115839</v>
      </c>
      <c r="N867" s="3" t="n">
        <v>-0.7816170251115839</v>
      </c>
      <c r="O867" s="3" t="n">
        <v>-0.7816170251115839</v>
      </c>
      <c r="P867" s="3" t="n">
        <v>-0.7816170251115839</v>
      </c>
      <c r="Q867" s="3" t="n">
        <v>-0.7816170251115839</v>
      </c>
      <c r="R867" s="3" t="n">
        <v>-0.7697659489956308</v>
      </c>
      <c r="S867" s="3" t="n">
        <v>-0.9595531871978272</v>
      </c>
      <c r="T867" s="3" t="n">
        <v>-0.7081063859006191</v>
      </c>
      <c r="U867" s="3" t="n">
        <v>-0.8454680810583398</v>
      </c>
      <c r="V867" s="3" t="n">
        <v>-0.6750000017754575</v>
      </c>
      <c r="W867" s="3" t="n">
        <v>-0.4799574455048176</v>
      </c>
      <c r="X867" s="3" t="n">
        <v>-0.9571489362006492</v>
      </c>
      <c r="Y867" s="3" t="n">
        <v>-0.7816170251115839</v>
      </c>
      <c r="Z867" s="3" t="n">
        <v>-0.9595531871978272</v>
      </c>
      <c r="AA867" s="3" t="n">
        <v>-0.9595531871978272</v>
      </c>
      <c r="AB867" s="3" t="n">
        <v>-0.9571489362006492</v>
      </c>
      <c r="AC867" s="3" t="n">
        <v>-1.025723396463597</v>
      </c>
      <c r="AD867" s="3" t="n">
        <v>-0.8454680810583398</v>
      </c>
      <c r="AE867" s="3" t="n">
        <v>-0.8454680810583398</v>
      </c>
    </row>
    <row r="868">
      <c r="A868" s="3" t="inlineStr">
        <is>
          <t>GRL.distn.dec.ove.mean.7</t>
        </is>
      </c>
      <c r="B868" s="3" t="inlineStr">
        <is>
          <t>GRL</t>
        </is>
      </c>
      <c r="C868" s="3" t="n">
        <v>2005</v>
      </c>
      <c r="D868" s="3" t="inlineStr">
        <is>
          <t>Overall</t>
        </is>
      </c>
      <c r="E868" s="3" t="inlineStr">
        <is>
          <t>Deciles</t>
        </is>
      </c>
      <c r="F868" s="3" t="inlineStr">
        <is>
          <t>mean</t>
        </is>
      </c>
      <c r="G868" s="3" t="n">
        <v>7</v>
      </c>
      <c r="H868" s="3" t="n">
        <v>-0.7816170251115839</v>
      </c>
      <c r="I868" s="3" t="n">
        <v>-0.7816170251115839</v>
      </c>
      <c r="J868" s="3" t="n">
        <v>-0.8454680810583398</v>
      </c>
      <c r="K868" s="3" t="n">
        <v>-0.8454680810583398</v>
      </c>
      <c r="L868" s="3" t="n">
        <v>-0.7816170251115839</v>
      </c>
      <c r="M868" s="3" t="n">
        <v>-0.7816170251115839</v>
      </c>
      <c r="N868" s="3" t="n">
        <v>-0.7816170251115839</v>
      </c>
      <c r="O868" s="3" t="n">
        <v>-0.7816170251115839</v>
      </c>
      <c r="P868" s="3" t="n">
        <v>-0.7816170251115839</v>
      </c>
      <c r="Q868" s="3" t="n">
        <v>-0.7816170251115839</v>
      </c>
      <c r="R868" s="3" t="n">
        <v>-0.7697659489956308</v>
      </c>
      <c r="S868" s="3" t="n">
        <v>-0.9595531871978272</v>
      </c>
      <c r="T868" s="3" t="n">
        <v>-0.7081063859006191</v>
      </c>
      <c r="U868" s="3" t="n">
        <v>-0.8454680810583398</v>
      </c>
      <c r="V868" s="3" t="n">
        <v>-0.6750000017754575</v>
      </c>
      <c r="W868" s="3" t="n">
        <v>-0.4799574455048176</v>
      </c>
      <c r="X868" s="3" t="n">
        <v>-0.9571489362006492</v>
      </c>
      <c r="Y868" s="3" t="n">
        <v>-0.7816170251115839</v>
      </c>
      <c r="Z868" s="3" t="n">
        <v>-0.9595531871978272</v>
      </c>
      <c r="AA868" s="3" t="n">
        <v>-0.9595531871978272</v>
      </c>
      <c r="AB868" s="3" t="n">
        <v>-0.9571489362006492</v>
      </c>
      <c r="AC868" s="3" t="n">
        <v>-1.025723396463597</v>
      </c>
      <c r="AD868" s="3" t="n">
        <v>-0.8454680810583398</v>
      </c>
      <c r="AE868" s="3" t="n">
        <v>-0.8454680810583398</v>
      </c>
    </row>
    <row r="869">
      <c r="A869" s="3" t="inlineStr">
        <is>
          <t>GRL.distn.dec.ove.mean.8</t>
        </is>
      </c>
      <c r="B869" s="3" t="inlineStr">
        <is>
          <t>GRL</t>
        </is>
      </c>
      <c r="C869" s="3" t="n">
        <v>2005</v>
      </c>
      <c r="D869" s="3" t="inlineStr">
        <is>
          <t>Overall</t>
        </is>
      </c>
      <c r="E869" s="3" t="inlineStr">
        <is>
          <t>Deciles</t>
        </is>
      </c>
      <c r="F869" s="3" t="inlineStr">
        <is>
          <t>mean</t>
        </is>
      </c>
      <c r="G869" s="3" t="n">
        <v>8</v>
      </c>
      <c r="H869" s="3" t="n">
        <v>-0.7819935831617801</v>
      </c>
      <c r="I869" s="3" t="n">
        <v>-0.7819935831617801</v>
      </c>
      <c r="J869" s="3" t="n">
        <v>-0.8477488045996808</v>
      </c>
      <c r="K869" s="3" t="n">
        <v>-0.8477488045996808</v>
      </c>
      <c r="L869" s="3" t="n">
        <v>-0.7819935831617801</v>
      </c>
      <c r="M869" s="3" t="n">
        <v>-0.7819935831617801</v>
      </c>
      <c r="N869" s="3" t="n">
        <v>-0.7819935831617801</v>
      </c>
      <c r="O869" s="3" t="n">
        <v>-0.7819935831617801</v>
      </c>
      <c r="P869" s="3" t="n">
        <v>-0.7819935831617801</v>
      </c>
      <c r="Q869" s="3" t="n">
        <v>-0.7819935831617801</v>
      </c>
      <c r="R869" s="3" t="n">
        <v>-0.7700191178220384</v>
      </c>
      <c r="S869" s="3" t="n">
        <v>-0.9684819490351575</v>
      </c>
      <c r="T869" s="3" t="n">
        <v>-0.70814722142321</v>
      </c>
      <c r="U869" s="3" t="n">
        <v>-0.8477488045996808</v>
      </c>
      <c r="V869" s="3" t="n">
        <v>-0.6756977857427394</v>
      </c>
      <c r="W869" s="3" t="n">
        <v>-0.4928101326556916</v>
      </c>
      <c r="X869" s="3" t="n">
        <v>-0.9658704755154062</v>
      </c>
      <c r="Y869" s="3" t="n">
        <v>-0.7819935831617801</v>
      </c>
      <c r="Z869" s="3" t="n">
        <v>-0.9684819490351575</v>
      </c>
      <c r="AA869" s="3" t="n">
        <v>-0.9684819490351575</v>
      </c>
      <c r="AB869" s="3" t="n">
        <v>-0.9658704755154062</v>
      </c>
      <c r="AC869" s="3" t="n">
        <v>-1.04035159628442</v>
      </c>
      <c r="AD869" s="3" t="n">
        <v>-0.8477488045996808</v>
      </c>
      <c r="AE869" s="3" t="n">
        <v>-0.8477488045996808</v>
      </c>
    </row>
    <row r="870">
      <c r="A870" s="3" t="inlineStr">
        <is>
          <t>GRL.distn.dec.ove.mean.9</t>
        </is>
      </c>
      <c r="B870" s="3" t="inlineStr">
        <is>
          <t>GRL</t>
        </is>
      </c>
      <c r="C870" s="3" t="n">
        <v>2005</v>
      </c>
      <c r="D870" s="3" t="inlineStr">
        <is>
          <t>Overall</t>
        </is>
      </c>
      <c r="E870" s="3" t="inlineStr">
        <is>
          <t>Deciles</t>
        </is>
      </c>
      <c r="F870" s="3" t="inlineStr">
        <is>
          <t>mean</t>
        </is>
      </c>
      <c r="G870" s="3" t="n">
        <v>9</v>
      </c>
      <c r="H870" s="3" t="n">
        <v>-0.7819935831617801</v>
      </c>
      <c r="I870" s="3" t="n">
        <v>-0.7819935831617801</v>
      </c>
      <c r="J870" s="3" t="n">
        <v>-0.8477488045996808</v>
      </c>
      <c r="K870" s="3" t="n">
        <v>-0.8477488045996808</v>
      </c>
      <c r="L870" s="3" t="n">
        <v>-0.7819935831617801</v>
      </c>
      <c r="M870" s="3" t="n">
        <v>-0.7819935831617801</v>
      </c>
      <c r="N870" s="3" t="n">
        <v>-0.7819935831617801</v>
      </c>
      <c r="O870" s="3" t="n">
        <v>-0.7819935831617801</v>
      </c>
      <c r="P870" s="3" t="n">
        <v>-0.7819935831617801</v>
      </c>
      <c r="Q870" s="3" t="n">
        <v>-0.7819935831617801</v>
      </c>
      <c r="R870" s="3" t="n">
        <v>-0.7700191178220384</v>
      </c>
      <c r="S870" s="3" t="n">
        <v>-0.9684819490351575</v>
      </c>
      <c r="T870" s="3" t="n">
        <v>-0.70814722142321</v>
      </c>
      <c r="U870" s="3" t="n">
        <v>-0.8477488045996808</v>
      </c>
      <c r="V870" s="3" t="n">
        <v>-0.6756977857427394</v>
      </c>
      <c r="W870" s="3" t="n">
        <v>-0.4928101326556916</v>
      </c>
      <c r="X870" s="3" t="n">
        <v>-0.9658704755154062</v>
      </c>
      <c r="Y870" s="3" t="n">
        <v>-0.7819935831617801</v>
      </c>
      <c r="Z870" s="3" t="n">
        <v>-0.9684819490351575</v>
      </c>
      <c r="AA870" s="3" t="n">
        <v>-0.9684819490351575</v>
      </c>
      <c r="AB870" s="3" t="n">
        <v>-0.9658704755154062</v>
      </c>
      <c r="AC870" s="3" t="n">
        <v>-1.04035159628442</v>
      </c>
      <c r="AD870" s="3" t="n">
        <v>-0.8477488045996808</v>
      </c>
      <c r="AE870" s="3" t="n">
        <v>-0.8477488045996808</v>
      </c>
    </row>
    <row r="871">
      <c r="A871" s="3" t="inlineStr">
        <is>
          <t>GRL.distn.dec.ove.mean.10</t>
        </is>
      </c>
      <c r="B871" s="3" t="inlineStr">
        <is>
          <t>GRL</t>
        </is>
      </c>
      <c r="C871" s="3" t="n">
        <v>2005</v>
      </c>
      <c r="D871" s="3" t="inlineStr">
        <is>
          <t>Overall</t>
        </is>
      </c>
      <c r="E871" s="3" t="inlineStr">
        <is>
          <t>Deciles</t>
        </is>
      </c>
      <c r="F871" s="3" t="inlineStr">
        <is>
          <t>mean</t>
        </is>
      </c>
      <c r="G871" s="3" t="n">
        <v>10</v>
      </c>
      <c r="H871" s="3" t="n">
        <v>-0.7819935831617801</v>
      </c>
      <c r="I871" s="3" t="n">
        <v>-0.7819935831617801</v>
      </c>
      <c r="J871" s="3" t="n">
        <v>-0.8477488045996808</v>
      </c>
      <c r="K871" s="3" t="n">
        <v>-0.8477488045996808</v>
      </c>
      <c r="L871" s="3" t="n">
        <v>-0.7819935831617801</v>
      </c>
      <c r="M871" s="3" t="n">
        <v>-0.7819935831617801</v>
      </c>
      <c r="N871" s="3" t="n">
        <v>-0.7819935831617801</v>
      </c>
      <c r="O871" s="3" t="n">
        <v>-0.7819935831617801</v>
      </c>
      <c r="P871" s="3" t="n">
        <v>-0.7819935831617801</v>
      </c>
      <c r="Q871" s="3" t="n">
        <v>-0.7819935831617801</v>
      </c>
      <c r="R871" s="3" t="n">
        <v>-0.7700191178220384</v>
      </c>
      <c r="S871" s="3" t="n">
        <v>-0.9684819490351575</v>
      </c>
      <c r="T871" s="3" t="n">
        <v>-0.70814722142321</v>
      </c>
      <c r="U871" s="3" t="n">
        <v>-0.8477488045996808</v>
      </c>
      <c r="V871" s="3" t="n">
        <v>-0.6756977857427394</v>
      </c>
      <c r="W871" s="3" t="n">
        <v>-0.4928101326556916</v>
      </c>
      <c r="X871" s="3" t="n">
        <v>-0.9658704755154062</v>
      </c>
      <c r="Y871" s="3" t="n">
        <v>-0.7819935831617801</v>
      </c>
      <c r="Z871" s="3" t="n">
        <v>-0.9684819490351575</v>
      </c>
      <c r="AA871" s="3" t="n">
        <v>-0.9684819490351575</v>
      </c>
      <c r="AB871" s="3" t="n">
        <v>-0.9658704755154062</v>
      </c>
      <c r="AC871" s="3" t="n">
        <v>-1.04035159628442</v>
      </c>
      <c r="AD871" s="3" t="n">
        <v>-0.8477488045996808</v>
      </c>
      <c r="AE871" s="3" t="n">
        <v>-0.8477488045996808</v>
      </c>
    </row>
    <row r="872">
      <c r="A872" s="3" t="inlineStr">
        <is>
          <t>GRL.distn.bkt.ove.mean.9999</t>
        </is>
      </c>
      <c r="B872" s="3" t="inlineStr">
        <is>
          <t>GRL</t>
        </is>
      </c>
      <c r="C872" s="3" t="n">
        <v>2005</v>
      </c>
      <c r="D872" s="3" t="inlineStr">
        <is>
          <t>Overall</t>
        </is>
      </c>
      <c r="E872" s="3" t="inlineStr">
        <is>
          <t>Basket</t>
        </is>
      </c>
      <c r="F872" s="3" t="inlineStr">
        <is>
          <t>mean</t>
        </is>
      </c>
      <c r="G872" s="3" t="n">
        <v>9999</v>
      </c>
      <c r="H872" s="3" t="n">
        <v>-0.7836013613863194</v>
      </c>
      <c r="I872" s="3" t="n">
        <v>-0.7836013613863194</v>
      </c>
      <c r="J872" s="3" t="n">
        <v>-0.8590307616172953</v>
      </c>
      <c r="K872" s="3" t="n">
        <v>-0.8590307616172953</v>
      </c>
      <c r="L872" s="3" t="n">
        <v>-0.7836013613863194</v>
      </c>
      <c r="M872" s="3" t="n">
        <v>-0.7836013613863194</v>
      </c>
      <c r="N872" s="3" t="n">
        <v>-0.7836013613863194</v>
      </c>
      <c r="O872" s="3" t="n">
        <v>-0.7836013613863194</v>
      </c>
      <c r="P872" s="3" t="n">
        <v>-0.7836013613863194</v>
      </c>
      <c r="Q872" s="3" t="n">
        <v>-0.7836013613863194</v>
      </c>
      <c r="R872" s="3" t="n">
        <v>-0.7708828220976159</v>
      </c>
      <c r="S872" s="3" t="n">
        <v>-1.097007578991829</v>
      </c>
      <c r="T872" s="3" t="n">
        <v>-0.7085544974245923</v>
      </c>
      <c r="U872" s="3" t="n">
        <v>-0.8590307616172953</v>
      </c>
      <c r="V872" s="3" t="n">
        <v>-0.6772896647453308</v>
      </c>
      <c r="W872" s="3" t="n">
        <v>-0.5109122699879586</v>
      </c>
      <c r="X872" s="3" t="n">
        <v>-1.079493910708326</v>
      </c>
      <c r="Y872" s="3" t="n">
        <v>-0.7836013613863194</v>
      </c>
      <c r="Z872" s="3" t="n">
        <v>-1.097007578991829</v>
      </c>
      <c r="AA872" s="3" t="n">
        <v>-1.097007578991829</v>
      </c>
      <c r="AB872" s="3" t="n">
        <v>-1.079493910708326</v>
      </c>
      <c r="AC872" s="3" t="n">
        <v>-1.359592239907447</v>
      </c>
      <c r="AD872" s="3" t="n">
        <v>-0.8590307616172953</v>
      </c>
      <c r="AE872" s="3" t="n">
        <v>-0.8590307616172953</v>
      </c>
    </row>
    <row r="873">
      <c r="A873" s="3" t="inlineStr">
        <is>
          <t>GTM.distn.dec.ove.mean.1</t>
        </is>
      </c>
      <c r="B873" s="3" t="inlineStr">
        <is>
          <t>GTM</t>
        </is>
      </c>
      <c r="C873" s="3" t="n">
        <v>2005</v>
      </c>
      <c r="D873" s="3" t="inlineStr">
        <is>
          <t>Overall</t>
        </is>
      </c>
      <c r="E873" s="3" t="inlineStr">
        <is>
          <t>Deciles</t>
        </is>
      </c>
      <c r="F873" s="3" t="inlineStr">
        <is>
          <t>mean</t>
        </is>
      </c>
      <c r="G873" s="3" t="n">
        <v>1</v>
      </c>
      <c r="H873" s="3" t="n">
        <v>-0.7898249251501901</v>
      </c>
      <c r="I873" s="3" t="n">
        <v>-0.7898249251501901</v>
      </c>
      <c r="J873" s="3" t="n">
        <v>-0.9006037865366254</v>
      </c>
      <c r="K873" s="3" t="n">
        <v>-0.9006037865366254</v>
      </c>
      <c r="L873" s="3" t="n">
        <v>-0.7898249251501901</v>
      </c>
      <c r="M873" s="3" t="n">
        <v>-0.7898249251501901</v>
      </c>
      <c r="N873" s="3" t="n">
        <v>-0.7898249251501901</v>
      </c>
      <c r="O873" s="3" t="n">
        <v>-0.7898249251501901</v>
      </c>
      <c r="P873" s="3" t="n">
        <v>-0.7898249251501901</v>
      </c>
      <c r="Q873" s="3" t="n">
        <v>-0.7898249251501901</v>
      </c>
      <c r="R873" s="3" t="n">
        <v>-0.7744465725762504</v>
      </c>
      <c r="S873" s="3" t="n">
        <v>-1.490841317176819</v>
      </c>
      <c r="T873" s="3" t="n">
        <v>-0.7100824441228594</v>
      </c>
      <c r="U873" s="3" t="n">
        <v>-0.9006037865366254</v>
      </c>
      <c r="V873" s="3" t="n">
        <v>-0.6846477542604719</v>
      </c>
      <c r="W873" s="3" t="n">
        <v>-0.6204802887780326</v>
      </c>
      <c r="X873" s="3" t="n">
        <v>-1.433480068615505</v>
      </c>
      <c r="Y873" s="3" t="n">
        <v>-0.7898249251501901</v>
      </c>
      <c r="Z873" s="3" t="n">
        <v>-1.490841317176819</v>
      </c>
      <c r="AA873" s="3" t="n">
        <v>-1.490841317176819</v>
      </c>
      <c r="AB873" s="3" t="n">
        <v>-1.433480068615505</v>
      </c>
      <c r="AC873" s="3" t="n">
        <v>-2.345895099639892</v>
      </c>
      <c r="AD873" s="3" t="n">
        <v>-0.9006037865366254</v>
      </c>
      <c r="AE873" s="3" t="n">
        <v>-0.9006037865366254</v>
      </c>
    </row>
    <row r="874">
      <c r="A874" s="3" t="inlineStr">
        <is>
          <t>GTM.distn.dec.ove.mean.2</t>
        </is>
      </c>
      <c r="B874" s="3" t="inlineStr">
        <is>
          <t>GTM</t>
        </is>
      </c>
      <c r="C874" s="3" t="n">
        <v>2005</v>
      </c>
      <c r="D874" s="3" t="inlineStr">
        <is>
          <t>Overall</t>
        </is>
      </c>
      <c r="E874" s="3" t="inlineStr">
        <is>
          <t>Deciles</t>
        </is>
      </c>
      <c r="F874" s="3" t="inlineStr">
        <is>
          <t>mean</t>
        </is>
      </c>
      <c r="G874" s="3" t="n">
        <v>2</v>
      </c>
      <c r="H874" s="3" t="n">
        <v>-0.7898249251501901</v>
      </c>
      <c r="I874" s="3" t="n">
        <v>-0.7898249251501901</v>
      </c>
      <c r="J874" s="3" t="n">
        <v>-0.9006037865366254</v>
      </c>
      <c r="K874" s="3" t="n">
        <v>-0.9006037865366254</v>
      </c>
      <c r="L874" s="3" t="n">
        <v>-0.7898249251501901</v>
      </c>
      <c r="M874" s="3" t="n">
        <v>-0.7898249251501901</v>
      </c>
      <c r="N874" s="3" t="n">
        <v>-0.7898249251501901</v>
      </c>
      <c r="O874" s="3" t="n">
        <v>-0.7898249251501901</v>
      </c>
      <c r="P874" s="3" t="n">
        <v>-0.7898249251501901</v>
      </c>
      <c r="Q874" s="3" t="n">
        <v>-0.7898249251501901</v>
      </c>
      <c r="R874" s="3" t="n">
        <v>-0.7744465725762504</v>
      </c>
      <c r="S874" s="3" t="n">
        <v>-1.490841317176819</v>
      </c>
      <c r="T874" s="3" t="n">
        <v>-0.7100824441228594</v>
      </c>
      <c r="U874" s="3" t="n">
        <v>-0.9006037865366254</v>
      </c>
      <c r="V874" s="3" t="n">
        <v>-0.6846477542604719</v>
      </c>
      <c r="W874" s="3" t="n">
        <v>-0.6204802887780326</v>
      </c>
      <c r="X874" s="3" t="n">
        <v>-1.433480068615505</v>
      </c>
      <c r="Y874" s="3" t="n">
        <v>-0.7898249251501901</v>
      </c>
      <c r="Z874" s="3" t="n">
        <v>-1.490841317176819</v>
      </c>
      <c r="AA874" s="3" t="n">
        <v>-1.490841317176819</v>
      </c>
      <c r="AB874" s="3" t="n">
        <v>-1.433480068615505</v>
      </c>
      <c r="AC874" s="3" t="n">
        <v>-2.345895099639892</v>
      </c>
      <c r="AD874" s="3" t="n">
        <v>-0.9006037865366254</v>
      </c>
      <c r="AE874" s="3" t="n">
        <v>-0.9006037865366254</v>
      </c>
    </row>
    <row r="875">
      <c r="A875" s="3" t="inlineStr">
        <is>
          <t>GTM.distn.dec.ove.mean.3</t>
        </is>
      </c>
      <c r="B875" s="3" t="inlineStr">
        <is>
          <t>GTM</t>
        </is>
      </c>
      <c r="C875" s="3" t="n">
        <v>2005</v>
      </c>
      <c r="D875" s="3" t="inlineStr">
        <is>
          <t>Overall</t>
        </is>
      </c>
      <c r="E875" s="3" t="inlineStr">
        <is>
          <t>Deciles</t>
        </is>
      </c>
      <c r="F875" s="3" t="inlineStr">
        <is>
          <t>mean</t>
        </is>
      </c>
      <c r="G875" s="3" t="n">
        <v>3</v>
      </c>
      <c r="H875" s="3" t="n">
        <v>-0.7898249251501901</v>
      </c>
      <c r="I875" s="3" t="n">
        <v>-0.7898249251501901</v>
      </c>
      <c r="J875" s="3" t="n">
        <v>-0.9006037865366254</v>
      </c>
      <c r="K875" s="3" t="n">
        <v>-0.9006037865366254</v>
      </c>
      <c r="L875" s="3" t="n">
        <v>-0.7898249251501901</v>
      </c>
      <c r="M875" s="3" t="n">
        <v>-0.7898249251501901</v>
      </c>
      <c r="N875" s="3" t="n">
        <v>-0.7898249251501901</v>
      </c>
      <c r="O875" s="3" t="n">
        <v>-0.7898249251501901</v>
      </c>
      <c r="P875" s="3" t="n">
        <v>-0.7898249251501901</v>
      </c>
      <c r="Q875" s="3" t="n">
        <v>-0.7898249251501901</v>
      </c>
      <c r="R875" s="3" t="n">
        <v>-0.7744465725762504</v>
      </c>
      <c r="S875" s="3" t="n">
        <v>-1.490841317176819</v>
      </c>
      <c r="T875" s="3" t="n">
        <v>-0.7100824441228594</v>
      </c>
      <c r="U875" s="3" t="n">
        <v>-0.9006037865366254</v>
      </c>
      <c r="V875" s="3" t="n">
        <v>-0.6846477542604719</v>
      </c>
      <c r="W875" s="3" t="n">
        <v>-0.6204802887780326</v>
      </c>
      <c r="X875" s="3" t="n">
        <v>-1.433480068615505</v>
      </c>
      <c r="Y875" s="3" t="n">
        <v>-0.7898249251501901</v>
      </c>
      <c r="Z875" s="3" t="n">
        <v>-1.490841317176819</v>
      </c>
      <c r="AA875" s="3" t="n">
        <v>-1.490841317176819</v>
      </c>
      <c r="AB875" s="3" t="n">
        <v>-1.433480068615505</v>
      </c>
      <c r="AC875" s="3" t="n">
        <v>-2.345895099639892</v>
      </c>
      <c r="AD875" s="3" t="n">
        <v>-0.9006037865366254</v>
      </c>
      <c r="AE875" s="3" t="n">
        <v>-0.9006037865366254</v>
      </c>
    </row>
    <row r="876">
      <c r="A876" s="3" t="inlineStr">
        <is>
          <t>GTM.distn.dec.ove.mean.4</t>
        </is>
      </c>
      <c r="B876" s="3" t="inlineStr">
        <is>
          <t>GTM</t>
        </is>
      </c>
      <c r="C876" s="3" t="n">
        <v>2005</v>
      </c>
      <c r="D876" s="3" t="inlineStr">
        <is>
          <t>Overall</t>
        </is>
      </c>
      <c r="E876" s="3" t="inlineStr">
        <is>
          <t>Deciles</t>
        </is>
      </c>
      <c r="F876" s="3" t="inlineStr">
        <is>
          <t>mean</t>
        </is>
      </c>
      <c r="G876" s="3" t="n">
        <v>4</v>
      </c>
      <c r="H876" s="3" t="n">
        <v>-0.7835714289120266</v>
      </c>
      <c r="I876" s="3" t="n">
        <v>-0.7835714289120266</v>
      </c>
      <c r="J876" s="3" t="n">
        <v>-0.8570857082094465</v>
      </c>
      <c r="K876" s="3" t="n">
        <v>-0.8570857082094465</v>
      </c>
      <c r="L876" s="3" t="n">
        <v>-0.7835714289120266</v>
      </c>
      <c r="M876" s="3" t="n">
        <v>-0.7835714289120266</v>
      </c>
      <c r="N876" s="3" t="n">
        <v>-0.7835714289120266</v>
      </c>
      <c r="O876" s="3" t="n">
        <v>-0.7835714289120266</v>
      </c>
      <c r="P876" s="3" t="n">
        <v>-0.7835714289120266</v>
      </c>
      <c r="Q876" s="3" t="n">
        <v>-0.7835714289120266</v>
      </c>
      <c r="R876" s="3" t="n">
        <v>-0.7709714361599513</v>
      </c>
      <c r="S876" s="3" t="n">
        <v>-1.015428565229688</v>
      </c>
      <c r="T876" s="3" t="n">
        <v>-0.708628567627498</v>
      </c>
      <c r="U876" s="3" t="n">
        <v>-0.8570857082094465</v>
      </c>
      <c r="V876" s="3" t="n">
        <v>-0.6776857103620256</v>
      </c>
      <c r="W876" s="3" t="n">
        <v>-0.5221999968801226</v>
      </c>
      <c r="X876" s="3" t="n">
        <v>-1.011657135827201</v>
      </c>
      <c r="Y876" s="3" t="n">
        <v>-0.7835714289120266</v>
      </c>
      <c r="Z876" s="3" t="n">
        <v>-1.015428565229688</v>
      </c>
      <c r="AA876" s="3" t="n">
        <v>-1.015428565229688</v>
      </c>
      <c r="AB876" s="3" t="n">
        <v>-1.011657135827201</v>
      </c>
      <c r="AC876" s="3" t="n">
        <v>-1.132885714939662</v>
      </c>
      <c r="AD876" s="3" t="n">
        <v>-0.8570857082094465</v>
      </c>
      <c r="AE876" s="3" t="n">
        <v>-0.8570857082094465</v>
      </c>
    </row>
    <row r="877">
      <c r="A877" s="3" t="inlineStr">
        <is>
          <t>GTM.distn.dec.ove.mean.5</t>
        </is>
      </c>
      <c r="B877" s="3" t="inlineStr">
        <is>
          <t>GTM</t>
        </is>
      </c>
      <c r="C877" s="3" t="n">
        <v>2005</v>
      </c>
      <c r="D877" s="3" t="inlineStr">
        <is>
          <t>Overall</t>
        </is>
      </c>
      <c r="E877" s="3" t="inlineStr">
        <is>
          <t>Deciles</t>
        </is>
      </c>
      <c r="F877" s="3" t="inlineStr">
        <is>
          <t>mean</t>
        </is>
      </c>
      <c r="G877" s="3" t="n">
        <v>5</v>
      </c>
      <c r="H877" s="3" t="n">
        <v>-0.7835714289120266</v>
      </c>
      <c r="I877" s="3" t="n">
        <v>-0.7835714289120266</v>
      </c>
      <c r="J877" s="3" t="n">
        <v>-0.8570857082094465</v>
      </c>
      <c r="K877" s="3" t="n">
        <v>-0.8570857082094465</v>
      </c>
      <c r="L877" s="3" t="n">
        <v>-0.7835714289120266</v>
      </c>
      <c r="M877" s="3" t="n">
        <v>-0.7835714289120266</v>
      </c>
      <c r="N877" s="3" t="n">
        <v>-0.7835714289120266</v>
      </c>
      <c r="O877" s="3" t="n">
        <v>-0.7835714289120266</v>
      </c>
      <c r="P877" s="3" t="n">
        <v>-0.7835714289120266</v>
      </c>
      <c r="Q877" s="3" t="n">
        <v>-0.7835714289120266</v>
      </c>
      <c r="R877" s="3" t="n">
        <v>-0.7709714361599513</v>
      </c>
      <c r="S877" s="3" t="n">
        <v>-1.015428565229688</v>
      </c>
      <c r="T877" s="3" t="n">
        <v>-0.708628567627498</v>
      </c>
      <c r="U877" s="3" t="n">
        <v>-0.8570857082094465</v>
      </c>
      <c r="V877" s="3" t="n">
        <v>-0.6776857103620256</v>
      </c>
      <c r="W877" s="3" t="n">
        <v>-0.5221999968801226</v>
      </c>
      <c r="X877" s="3" t="n">
        <v>-1.011657135827201</v>
      </c>
      <c r="Y877" s="3" t="n">
        <v>-0.7835714289120266</v>
      </c>
      <c r="Z877" s="3" t="n">
        <v>-1.015428565229688</v>
      </c>
      <c r="AA877" s="3" t="n">
        <v>-1.015428565229688</v>
      </c>
      <c r="AB877" s="3" t="n">
        <v>-1.011657135827201</v>
      </c>
      <c r="AC877" s="3" t="n">
        <v>-1.132885714939662</v>
      </c>
      <c r="AD877" s="3" t="n">
        <v>-0.8570857082094465</v>
      </c>
      <c r="AE877" s="3" t="n">
        <v>-0.8570857082094465</v>
      </c>
    </row>
    <row r="878">
      <c r="A878" s="3" t="inlineStr">
        <is>
          <t>GTM.distn.dec.ove.mean.6</t>
        </is>
      </c>
      <c r="B878" s="3" t="inlineStr">
        <is>
          <t>GTM</t>
        </is>
      </c>
      <c r="C878" s="3" t="n">
        <v>2005</v>
      </c>
      <c r="D878" s="3" t="inlineStr">
        <is>
          <t>Overall</t>
        </is>
      </c>
      <c r="E878" s="3" t="inlineStr">
        <is>
          <t>Deciles</t>
        </is>
      </c>
      <c r="F878" s="3" t="inlineStr">
        <is>
          <t>mean</t>
        </is>
      </c>
      <c r="G878" s="3" t="n">
        <v>6</v>
      </c>
      <c r="H878" s="3" t="n">
        <v>-0.7835714289120266</v>
      </c>
      <c r="I878" s="3" t="n">
        <v>-0.7835714289120266</v>
      </c>
      <c r="J878" s="3" t="n">
        <v>-0.8570857082094465</v>
      </c>
      <c r="K878" s="3" t="n">
        <v>-0.8570857082094465</v>
      </c>
      <c r="L878" s="3" t="n">
        <v>-0.7835714289120266</v>
      </c>
      <c r="M878" s="3" t="n">
        <v>-0.7835714289120266</v>
      </c>
      <c r="N878" s="3" t="n">
        <v>-0.7835714289120266</v>
      </c>
      <c r="O878" s="3" t="n">
        <v>-0.7835714289120266</v>
      </c>
      <c r="P878" s="3" t="n">
        <v>-0.7835714289120266</v>
      </c>
      <c r="Q878" s="3" t="n">
        <v>-0.7835714289120266</v>
      </c>
      <c r="R878" s="3" t="n">
        <v>-0.7709714361599513</v>
      </c>
      <c r="S878" s="3" t="n">
        <v>-1.015428565229688</v>
      </c>
      <c r="T878" s="3" t="n">
        <v>-0.708628567627498</v>
      </c>
      <c r="U878" s="3" t="n">
        <v>-0.8570857082094465</v>
      </c>
      <c r="V878" s="3" t="n">
        <v>-0.6776857103620256</v>
      </c>
      <c r="W878" s="3" t="n">
        <v>-0.5221999968801226</v>
      </c>
      <c r="X878" s="3" t="n">
        <v>-1.011657135827201</v>
      </c>
      <c r="Y878" s="3" t="n">
        <v>-0.7835714289120266</v>
      </c>
      <c r="Z878" s="3" t="n">
        <v>-1.015428565229688</v>
      </c>
      <c r="AA878" s="3" t="n">
        <v>-1.015428565229688</v>
      </c>
      <c r="AB878" s="3" t="n">
        <v>-1.011657135827201</v>
      </c>
      <c r="AC878" s="3" t="n">
        <v>-1.132885714939662</v>
      </c>
      <c r="AD878" s="3" t="n">
        <v>-0.8570857082094465</v>
      </c>
      <c r="AE878" s="3" t="n">
        <v>-0.8570857082094465</v>
      </c>
    </row>
    <row r="879">
      <c r="A879" s="3" t="inlineStr">
        <is>
          <t>GTM.distn.dec.ove.mean.7</t>
        </is>
      </c>
      <c r="B879" s="3" t="inlineStr">
        <is>
          <t>GTM</t>
        </is>
      </c>
      <c r="C879" s="3" t="n">
        <v>2005</v>
      </c>
      <c r="D879" s="3" t="inlineStr">
        <is>
          <t>Overall</t>
        </is>
      </c>
      <c r="E879" s="3" t="inlineStr">
        <is>
          <t>Deciles</t>
        </is>
      </c>
      <c r="F879" s="3" t="inlineStr">
        <is>
          <t>mean</t>
        </is>
      </c>
      <c r="G879" s="3" t="n">
        <v>7</v>
      </c>
      <c r="H879" s="3" t="n">
        <v>-0.7835714289120266</v>
      </c>
      <c r="I879" s="3" t="n">
        <v>-0.7835714289120266</v>
      </c>
      <c r="J879" s="3" t="n">
        <v>-0.8570857082094465</v>
      </c>
      <c r="K879" s="3" t="n">
        <v>-0.8570857082094465</v>
      </c>
      <c r="L879" s="3" t="n">
        <v>-0.7835714289120266</v>
      </c>
      <c r="M879" s="3" t="n">
        <v>-0.7835714289120266</v>
      </c>
      <c r="N879" s="3" t="n">
        <v>-0.7835714289120266</v>
      </c>
      <c r="O879" s="3" t="n">
        <v>-0.7835714289120266</v>
      </c>
      <c r="P879" s="3" t="n">
        <v>-0.7835714289120266</v>
      </c>
      <c r="Q879" s="3" t="n">
        <v>-0.7835714289120266</v>
      </c>
      <c r="R879" s="3" t="n">
        <v>-0.7709714361599513</v>
      </c>
      <c r="S879" s="3" t="n">
        <v>-1.015428565229688</v>
      </c>
      <c r="T879" s="3" t="n">
        <v>-0.708628567627498</v>
      </c>
      <c r="U879" s="3" t="n">
        <v>-0.8570857082094465</v>
      </c>
      <c r="V879" s="3" t="n">
        <v>-0.6776857103620256</v>
      </c>
      <c r="W879" s="3" t="n">
        <v>-0.5221999968801226</v>
      </c>
      <c r="X879" s="3" t="n">
        <v>-1.011657135827201</v>
      </c>
      <c r="Y879" s="3" t="n">
        <v>-0.7835714289120266</v>
      </c>
      <c r="Z879" s="3" t="n">
        <v>-1.015428565229688</v>
      </c>
      <c r="AA879" s="3" t="n">
        <v>-1.015428565229688</v>
      </c>
      <c r="AB879" s="3" t="n">
        <v>-1.011657135827201</v>
      </c>
      <c r="AC879" s="3" t="n">
        <v>-1.132885714939662</v>
      </c>
      <c r="AD879" s="3" t="n">
        <v>-0.8570857082094465</v>
      </c>
      <c r="AE879" s="3" t="n">
        <v>-0.8570857082094465</v>
      </c>
    </row>
    <row r="880">
      <c r="A880" s="3" t="inlineStr">
        <is>
          <t>GTM.distn.dec.ove.mean.8</t>
        </is>
      </c>
      <c r="B880" s="3" t="inlineStr">
        <is>
          <t>GTM</t>
        </is>
      </c>
      <c r="C880" s="3" t="n">
        <v>2005</v>
      </c>
      <c r="D880" s="3" t="inlineStr">
        <is>
          <t>Overall</t>
        </is>
      </c>
      <c r="E880" s="3" t="inlineStr">
        <is>
          <t>Deciles</t>
        </is>
      </c>
      <c r="F880" s="3" t="inlineStr">
        <is>
          <t>mean</t>
        </is>
      </c>
      <c r="G880" s="3" t="n">
        <v>8</v>
      </c>
      <c r="H880" s="3" t="n">
        <v>-0.7839489357812064</v>
      </c>
      <c r="I880" s="3" t="n">
        <v>-0.7839489357812064</v>
      </c>
      <c r="J880" s="3" t="n">
        <v>-0.8593977723802839</v>
      </c>
      <c r="K880" s="3" t="n">
        <v>-0.8593977723802839</v>
      </c>
      <c r="L880" s="3" t="n">
        <v>-0.7839489357812064</v>
      </c>
      <c r="M880" s="3" t="n">
        <v>-0.7839489357812064</v>
      </c>
      <c r="N880" s="3" t="n">
        <v>-0.7839489357812064</v>
      </c>
      <c r="O880" s="3" t="n">
        <v>-0.7839489357812064</v>
      </c>
      <c r="P880" s="3" t="n">
        <v>-0.7839489357812064</v>
      </c>
      <c r="Q880" s="3" t="n">
        <v>-0.7839489357812064</v>
      </c>
      <c r="R880" s="3" t="n">
        <v>-0.7712249892098563</v>
      </c>
      <c r="S880" s="3" t="n">
        <v>-1.024877253600529</v>
      </c>
      <c r="T880" s="3" t="n">
        <v>-0.7086694342749459</v>
      </c>
      <c r="U880" s="3" t="n">
        <v>-0.8593977723802839</v>
      </c>
      <c r="V880" s="3" t="n">
        <v>-0.6783862863268171</v>
      </c>
      <c r="W880" s="3" t="n">
        <v>-0.5361838928290776</v>
      </c>
      <c r="X880" s="3" t="n">
        <v>-1.020875356878553</v>
      </c>
      <c r="Y880" s="3" t="n">
        <v>-0.7839489357812064</v>
      </c>
      <c r="Z880" s="3" t="n">
        <v>-1.024877253600529</v>
      </c>
      <c r="AA880" s="3" t="n">
        <v>-1.024877253600529</v>
      </c>
      <c r="AB880" s="3" t="n">
        <v>-1.020875356878553</v>
      </c>
      <c r="AC880" s="3" t="n">
        <v>-1.149042170388358</v>
      </c>
      <c r="AD880" s="3" t="n">
        <v>-0.8593977723802839</v>
      </c>
      <c r="AE880" s="3" t="n">
        <v>-0.8593977723802839</v>
      </c>
    </row>
    <row r="881">
      <c r="A881" s="3" t="inlineStr">
        <is>
          <t>GTM.distn.dec.ove.mean.9</t>
        </is>
      </c>
      <c r="B881" s="3" t="inlineStr">
        <is>
          <t>GTM</t>
        </is>
      </c>
      <c r="C881" s="3" t="n">
        <v>2005</v>
      </c>
      <c r="D881" s="3" t="inlineStr">
        <is>
          <t>Overall</t>
        </is>
      </c>
      <c r="E881" s="3" t="inlineStr">
        <is>
          <t>Deciles</t>
        </is>
      </c>
      <c r="F881" s="3" t="inlineStr">
        <is>
          <t>mean</t>
        </is>
      </c>
      <c r="G881" s="3" t="n">
        <v>9</v>
      </c>
      <c r="H881" s="3" t="n">
        <v>-0.7839489357812064</v>
      </c>
      <c r="I881" s="3" t="n">
        <v>-0.7839489357812064</v>
      </c>
      <c r="J881" s="3" t="n">
        <v>-0.8593977723802839</v>
      </c>
      <c r="K881" s="3" t="n">
        <v>-0.8593977723802839</v>
      </c>
      <c r="L881" s="3" t="n">
        <v>-0.7839489357812064</v>
      </c>
      <c r="M881" s="3" t="n">
        <v>-0.7839489357812064</v>
      </c>
      <c r="N881" s="3" t="n">
        <v>-0.7839489357812064</v>
      </c>
      <c r="O881" s="3" t="n">
        <v>-0.7839489357812064</v>
      </c>
      <c r="P881" s="3" t="n">
        <v>-0.7839489357812064</v>
      </c>
      <c r="Q881" s="3" t="n">
        <v>-0.7839489357812064</v>
      </c>
      <c r="R881" s="3" t="n">
        <v>-0.7712249892098563</v>
      </c>
      <c r="S881" s="3" t="n">
        <v>-1.024877253600529</v>
      </c>
      <c r="T881" s="3" t="n">
        <v>-0.7086694342749459</v>
      </c>
      <c r="U881" s="3" t="n">
        <v>-0.8593977723802839</v>
      </c>
      <c r="V881" s="3" t="n">
        <v>-0.6783862863268171</v>
      </c>
      <c r="W881" s="3" t="n">
        <v>-0.5361838928290776</v>
      </c>
      <c r="X881" s="3" t="n">
        <v>-1.020875356878553</v>
      </c>
      <c r="Y881" s="3" t="n">
        <v>-0.7839489357812064</v>
      </c>
      <c r="Z881" s="3" t="n">
        <v>-1.024877253600529</v>
      </c>
      <c r="AA881" s="3" t="n">
        <v>-1.024877253600529</v>
      </c>
      <c r="AB881" s="3" t="n">
        <v>-1.020875356878553</v>
      </c>
      <c r="AC881" s="3" t="n">
        <v>-1.149042170388358</v>
      </c>
      <c r="AD881" s="3" t="n">
        <v>-0.8593977723802839</v>
      </c>
      <c r="AE881" s="3" t="n">
        <v>-0.8593977723802839</v>
      </c>
    </row>
    <row r="882">
      <c r="A882" s="3" t="inlineStr">
        <is>
          <t>GTM.distn.dec.ove.mean.10</t>
        </is>
      </c>
      <c r="B882" s="3" t="inlineStr">
        <is>
          <t>GTM</t>
        </is>
      </c>
      <c r="C882" s="3" t="n">
        <v>2005</v>
      </c>
      <c r="D882" s="3" t="inlineStr">
        <is>
          <t>Overall</t>
        </is>
      </c>
      <c r="E882" s="3" t="inlineStr">
        <is>
          <t>Deciles</t>
        </is>
      </c>
      <c r="F882" s="3" t="inlineStr">
        <is>
          <t>mean</t>
        </is>
      </c>
      <c r="G882" s="3" t="n">
        <v>10</v>
      </c>
      <c r="H882" s="3" t="n">
        <v>-0.7839489357812064</v>
      </c>
      <c r="I882" s="3" t="n">
        <v>-0.7839489357812064</v>
      </c>
      <c r="J882" s="3" t="n">
        <v>-0.8593977723802839</v>
      </c>
      <c r="K882" s="3" t="n">
        <v>-0.8593977723802839</v>
      </c>
      <c r="L882" s="3" t="n">
        <v>-0.7839489357812064</v>
      </c>
      <c r="M882" s="3" t="n">
        <v>-0.7839489357812064</v>
      </c>
      <c r="N882" s="3" t="n">
        <v>-0.7839489357812064</v>
      </c>
      <c r="O882" s="3" t="n">
        <v>-0.7839489357812064</v>
      </c>
      <c r="P882" s="3" t="n">
        <v>-0.7839489357812064</v>
      </c>
      <c r="Q882" s="3" t="n">
        <v>-0.7839489357812064</v>
      </c>
      <c r="R882" s="3" t="n">
        <v>-0.7712249892098563</v>
      </c>
      <c r="S882" s="3" t="n">
        <v>-1.024877253600529</v>
      </c>
      <c r="T882" s="3" t="n">
        <v>-0.7086694342749459</v>
      </c>
      <c r="U882" s="3" t="n">
        <v>-0.8593977723802839</v>
      </c>
      <c r="V882" s="3" t="n">
        <v>-0.6783862863268171</v>
      </c>
      <c r="W882" s="3" t="n">
        <v>-0.5361838928290776</v>
      </c>
      <c r="X882" s="3" t="n">
        <v>-1.020875356878553</v>
      </c>
      <c r="Y882" s="3" t="n">
        <v>-0.7839489357812064</v>
      </c>
      <c r="Z882" s="3" t="n">
        <v>-1.024877253600529</v>
      </c>
      <c r="AA882" s="3" t="n">
        <v>-1.024877253600529</v>
      </c>
      <c r="AB882" s="3" t="n">
        <v>-1.020875356878553</v>
      </c>
      <c r="AC882" s="3" t="n">
        <v>-1.149042170388358</v>
      </c>
      <c r="AD882" s="3" t="n">
        <v>-0.8593977723802839</v>
      </c>
      <c r="AE882" s="3" t="n">
        <v>-0.8593977723802839</v>
      </c>
    </row>
    <row r="883">
      <c r="A883" s="3" t="inlineStr">
        <is>
          <t>GTM.distn.bkt.ove.mean.9999</t>
        </is>
      </c>
      <c r="B883" s="3" t="inlineStr">
        <is>
          <t>GTM</t>
        </is>
      </c>
      <c r="C883" s="3" t="n">
        <v>2005</v>
      </c>
      <c r="D883" s="3" t="inlineStr">
        <is>
          <t>Overall</t>
        </is>
      </c>
      <c r="E883" s="3" t="inlineStr">
        <is>
          <t>Basket</t>
        </is>
      </c>
      <c r="F883" s="3" t="inlineStr">
        <is>
          <t>mean</t>
        </is>
      </c>
      <c r="G883" s="3" t="n">
        <v>9999</v>
      </c>
      <c r="H883" s="3" t="n">
        <v>-0.7855607322284154</v>
      </c>
      <c r="I883" s="3" t="n">
        <v>-0.7855607322284154</v>
      </c>
      <c r="J883" s="3" t="n">
        <v>-0.8708347541945322</v>
      </c>
      <c r="K883" s="3" t="n">
        <v>-0.8708347541945322</v>
      </c>
      <c r="L883" s="3" t="n">
        <v>-0.7855607322284154</v>
      </c>
      <c r="M883" s="3" t="n">
        <v>-0.7855607322284154</v>
      </c>
      <c r="N883" s="3" t="n">
        <v>-0.7855607322284154</v>
      </c>
      <c r="O883" s="3" t="n">
        <v>-0.7855607322284154</v>
      </c>
      <c r="P883" s="3" t="n">
        <v>-0.7855607322284154</v>
      </c>
      <c r="Q883" s="3" t="n">
        <v>-0.7855607322284154</v>
      </c>
      <c r="R883" s="3" t="n">
        <v>-0.7720900552613394</v>
      </c>
      <c r="S883" s="3" t="n">
        <v>-1.160887002944946</v>
      </c>
      <c r="T883" s="3" t="n">
        <v>-0.7090769904000419</v>
      </c>
      <c r="U883" s="3" t="n">
        <v>-0.8708347541945322</v>
      </c>
      <c r="V883" s="3" t="n">
        <v>-0.6799844878060477</v>
      </c>
      <c r="W883" s="3" t="n">
        <v>-0.5558792540005275</v>
      </c>
      <c r="X883" s="3" t="n">
        <v>-1.140969473975045</v>
      </c>
      <c r="Y883" s="3" t="n">
        <v>-0.7855607322284154</v>
      </c>
      <c r="Z883" s="3" t="n">
        <v>-1.160887002944946</v>
      </c>
      <c r="AA883" s="3" t="n">
        <v>-1.160887002944946</v>
      </c>
      <c r="AB883" s="3" t="n">
        <v>-1.140969473975045</v>
      </c>
      <c r="AC883" s="3" t="n">
        <v>-1.501635466303144</v>
      </c>
      <c r="AD883" s="3" t="n">
        <v>-0.8708347541945322</v>
      </c>
      <c r="AE883" s="3" t="n">
        <v>-0.8708347541945322</v>
      </c>
    </row>
    <row r="884">
      <c r="A884" s="3" t="inlineStr">
        <is>
          <t>GUM.distn.dec.ove.mean.1</t>
        </is>
      </c>
      <c r="B884" s="3" t="inlineStr">
        <is>
          <t>GUM</t>
        </is>
      </c>
      <c r="C884" s="3" t="n">
        <v>2005</v>
      </c>
      <c r="D884" s="3" t="inlineStr">
        <is>
          <t>Overall</t>
        </is>
      </c>
      <c r="E884" s="3" t="inlineStr">
        <is>
          <t>Deciles</t>
        </is>
      </c>
      <c r="F884" s="3" t="inlineStr">
        <is>
          <t>mean</t>
        </is>
      </c>
      <c r="G884" s="3" t="n">
        <v>1</v>
      </c>
      <c r="H884" s="3" t="n">
        <v>-0.7878549098968506</v>
      </c>
      <c r="I884" s="3" t="n">
        <v>-0.7878549098968506</v>
      </c>
      <c r="J884" s="3" t="n">
        <v>-0.8883962808771336</v>
      </c>
      <c r="K884" s="3" t="n">
        <v>-0.8883962808771336</v>
      </c>
      <c r="L884" s="3" t="n">
        <v>-0.7878549098968506</v>
      </c>
      <c r="M884" s="3" t="n">
        <v>-0.7878549098968506</v>
      </c>
      <c r="N884" s="3" t="n">
        <v>-0.7878549098968506</v>
      </c>
      <c r="O884" s="3" t="n">
        <v>-0.7878549098968506</v>
      </c>
      <c r="P884" s="3" t="n">
        <v>-0.7878549098968506</v>
      </c>
      <c r="Q884" s="3" t="n">
        <v>-0.7878549098968506</v>
      </c>
      <c r="R884" s="3" t="n">
        <v>-0.7732356596500316</v>
      </c>
      <c r="S884" s="3" t="n">
        <v>-1.408805674694954</v>
      </c>
      <c r="T884" s="3" t="n">
        <v>-0.7095591730259835</v>
      </c>
      <c r="U884" s="3" t="n">
        <v>-0.8883962808771336</v>
      </c>
      <c r="V884" s="3" t="n">
        <v>-0.681934451803248</v>
      </c>
      <c r="W884" s="3" t="n">
        <v>-0.5702875047288043</v>
      </c>
      <c r="X884" s="3" t="n">
        <v>-1.356243993373627</v>
      </c>
      <c r="Y884" s="3" t="n">
        <v>-0.7878549098968506</v>
      </c>
      <c r="Z884" s="3" t="n">
        <v>-1.408805674694954</v>
      </c>
      <c r="AA884" s="3" t="n">
        <v>-1.408805674694954</v>
      </c>
      <c r="AB884" s="3" t="n">
        <v>-1.356243993373627</v>
      </c>
      <c r="AC884" s="3" t="n">
        <v>-2.123991362592007</v>
      </c>
      <c r="AD884" s="3" t="n">
        <v>-0.8883962808771336</v>
      </c>
      <c r="AE884" s="3" t="n">
        <v>-0.8883962808771336</v>
      </c>
    </row>
    <row r="885">
      <c r="A885" s="3" t="inlineStr">
        <is>
          <t>GUM.distn.dec.ove.mean.2</t>
        </is>
      </c>
      <c r="B885" s="3" t="inlineStr">
        <is>
          <t>GUM</t>
        </is>
      </c>
      <c r="C885" s="3" t="n">
        <v>2005</v>
      </c>
      <c r="D885" s="3" t="inlineStr">
        <is>
          <t>Overall</t>
        </is>
      </c>
      <c r="E885" s="3" t="inlineStr">
        <is>
          <t>Deciles</t>
        </is>
      </c>
      <c r="F885" s="3" t="inlineStr">
        <is>
          <t>mean</t>
        </is>
      </c>
      <c r="G885" s="3" t="n">
        <v>2</v>
      </c>
      <c r="H885" s="3" t="n">
        <v>-0.7878549098968506</v>
      </c>
      <c r="I885" s="3" t="n">
        <v>-0.7878549098968506</v>
      </c>
      <c r="J885" s="3" t="n">
        <v>-0.8883962808771336</v>
      </c>
      <c r="K885" s="3" t="n">
        <v>-0.8883962808771336</v>
      </c>
      <c r="L885" s="3" t="n">
        <v>-0.7878549098968506</v>
      </c>
      <c r="M885" s="3" t="n">
        <v>-0.7878549098968506</v>
      </c>
      <c r="N885" s="3" t="n">
        <v>-0.7878549098968506</v>
      </c>
      <c r="O885" s="3" t="n">
        <v>-0.7878549098968506</v>
      </c>
      <c r="P885" s="3" t="n">
        <v>-0.7878549098968506</v>
      </c>
      <c r="Q885" s="3" t="n">
        <v>-0.7878549098968506</v>
      </c>
      <c r="R885" s="3" t="n">
        <v>-0.7732356596500316</v>
      </c>
      <c r="S885" s="3" t="n">
        <v>-1.408805674694954</v>
      </c>
      <c r="T885" s="3" t="n">
        <v>-0.7095591730259835</v>
      </c>
      <c r="U885" s="3" t="n">
        <v>-0.8883962808771336</v>
      </c>
      <c r="V885" s="3" t="n">
        <v>-0.681934451803248</v>
      </c>
      <c r="W885" s="3" t="n">
        <v>-0.5702875047288043</v>
      </c>
      <c r="X885" s="3" t="n">
        <v>-1.356243993373627</v>
      </c>
      <c r="Y885" s="3" t="n">
        <v>-0.7878549098968506</v>
      </c>
      <c r="Z885" s="3" t="n">
        <v>-1.408805674694954</v>
      </c>
      <c r="AA885" s="3" t="n">
        <v>-1.408805674694954</v>
      </c>
      <c r="AB885" s="3" t="n">
        <v>-1.356243993373627</v>
      </c>
      <c r="AC885" s="3" t="n">
        <v>-2.123991362592007</v>
      </c>
      <c r="AD885" s="3" t="n">
        <v>-0.8883962808771336</v>
      </c>
      <c r="AE885" s="3" t="n">
        <v>-0.8883962808771336</v>
      </c>
    </row>
    <row r="886">
      <c r="A886" s="3" t="inlineStr">
        <is>
          <t>GUM.distn.dec.ove.mean.3</t>
        </is>
      </c>
      <c r="B886" s="3" t="inlineStr">
        <is>
          <t>GUM</t>
        </is>
      </c>
      <c r="C886" s="3" t="n">
        <v>2005</v>
      </c>
      <c r="D886" s="3" t="inlineStr">
        <is>
          <t>Overall</t>
        </is>
      </c>
      <c r="E886" s="3" t="inlineStr">
        <is>
          <t>Deciles</t>
        </is>
      </c>
      <c r="F886" s="3" t="inlineStr">
        <is>
          <t>mean</t>
        </is>
      </c>
      <c r="G886" s="3" t="n">
        <v>3</v>
      </c>
      <c r="H886" s="3" t="n">
        <v>-0.7878549098968506</v>
      </c>
      <c r="I886" s="3" t="n">
        <v>-0.7878549098968506</v>
      </c>
      <c r="J886" s="3" t="n">
        <v>-0.8883962808771336</v>
      </c>
      <c r="K886" s="3" t="n">
        <v>-0.8883962808771336</v>
      </c>
      <c r="L886" s="3" t="n">
        <v>-0.7878549098968506</v>
      </c>
      <c r="M886" s="3" t="n">
        <v>-0.7878549098968506</v>
      </c>
      <c r="N886" s="3" t="n">
        <v>-0.7878549098968506</v>
      </c>
      <c r="O886" s="3" t="n">
        <v>-0.7878549098968506</v>
      </c>
      <c r="P886" s="3" t="n">
        <v>-0.7878549098968506</v>
      </c>
      <c r="Q886" s="3" t="n">
        <v>-0.7878549098968506</v>
      </c>
      <c r="R886" s="3" t="n">
        <v>-0.7732356596500316</v>
      </c>
      <c r="S886" s="3" t="n">
        <v>-1.408805674694954</v>
      </c>
      <c r="T886" s="3" t="n">
        <v>-0.7095591730259835</v>
      </c>
      <c r="U886" s="3" t="n">
        <v>-0.8883962808771336</v>
      </c>
      <c r="V886" s="3" t="n">
        <v>-0.681934451803248</v>
      </c>
      <c r="W886" s="3" t="n">
        <v>-0.5702875047288043</v>
      </c>
      <c r="X886" s="3" t="n">
        <v>-1.356243993373627</v>
      </c>
      <c r="Y886" s="3" t="n">
        <v>-0.7878549098968506</v>
      </c>
      <c r="Z886" s="3" t="n">
        <v>-1.408805674694954</v>
      </c>
      <c r="AA886" s="3" t="n">
        <v>-1.408805674694954</v>
      </c>
      <c r="AB886" s="3" t="n">
        <v>-1.356243993373627</v>
      </c>
      <c r="AC886" s="3" t="n">
        <v>-2.123991362592007</v>
      </c>
      <c r="AD886" s="3" t="n">
        <v>-0.8883962808771336</v>
      </c>
      <c r="AE886" s="3" t="n">
        <v>-0.8883962808771336</v>
      </c>
    </row>
    <row r="887">
      <c r="A887" s="3" t="inlineStr">
        <is>
          <t>GUM.distn.dec.ove.mean.4</t>
        </is>
      </c>
      <c r="B887" s="3" t="inlineStr">
        <is>
          <t>GUM</t>
        </is>
      </c>
      <c r="C887" s="3" t="n">
        <v>2005</v>
      </c>
      <c r="D887" s="3" t="inlineStr">
        <is>
          <t>Overall</t>
        </is>
      </c>
      <c r="E887" s="3" t="inlineStr">
        <is>
          <t>Deciles</t>
        </is>
      </c>
      <c r="F887" s="3" t="inlineStr">
        <is>
          <t>mean</t>
        </is>
      </c>
      <c r="G887" s="3" t="n">
        <v>4</v>
      </c>
      <c r="H887" s="3" t="n">
        <v>-0.7816170251115839</v>
      </c>
      <c r="I887" s="3" t="n">
        <v>-0.7816170251115839</v>
      </c>
      <c r="J887" s="3" t="n">
        <v>-0.8454680810583398</v>
      </c>
      <c r="K887" s="3" t="n">
        <v>-0.8454680810583398</v>
      </c>
      <c r="L887" s="3" t="n">
        <v>-0.7816170251115839</v>
      </c>
      <c r="M887" s="3" t="n">
        <v>-0.7816170251115839</v>
      </c>
      <c r="N887" s="3" t="n">
        <v>-0.7816170251115839</v>
      </c>
      <c r="O887" s="3" t="n">
        <v>-0.7816170251115839</v>
      </c>
      <c r="P887" s="3" t="n">
        <v>-0.7816170251115839</v>
      </c>
      <c r="Q887" s="3" t="n">
        <v>-0.7816170251115839</v>
      </c>
      <c r="R887" s="3" t="n">
        <v>-0.7697659489956308</v>
      </c>
      <c r="S887" s="3" t="n">
        <v>-0.9595531871978272</v>
      </c>
      <c r="T887" s="3" t="n">
        <v>-0.7081063859006191</v>
      </c>
      <c r="U887" s="3" t="n">
        <v>-0.8454680810583398</v>
      </c>
      <c r="V887" s="3" t="n">
        <v>-0.6750000017754575</v>
      </c>
      <c r="W887" s="3" t="n">
        <v>-0.4799574455048176</v>
      </c>
      <c r="X887" s="3" t="n">
        <v>-0.9571489362006492</v>
      </c>
      <c r="Y887" s="3" t="n">
        <v>-0.7816170251115839</v>
      </c>
      <c r="Z887" s="3" t="n">
        <v>-0.9595531871978272</v>
      </c>
      <c r="AA887" s="3" t="n">
        <v>-0.9595531871978272</v>
      </c>
      <c r="AB887" s="3" t="n">
        <v>-0.9571489362006492</v>
      </c>
      <c r="AC887" s="3" t="n">
        <v>-1.025723396463597</v>
      </c>
      <c r="AD887" s="3" t="n">
        <v>-0.8454680810583398</v>
      </c>
      <c r="AE887" s="3" t="n">
        <v>-0.8454680810583398</v>
      </c>
    </row>
    <row r="888">
      <c r="A888" s="3" t="inlineStr">
        <is>
          <t>GUM.distn.dec.ove.mean.5</t>
        </is>
      </c>
      <c r="B888" s="3" t="inlineStr">
        <is>
          <t>GUM</t>
        </is>
      </c>
      <c r="C888" s="3" t="n">
        <v>2005</v>
      </c>
      <c r="D888" s="3" t="inlineStr">
        <is>
          <t>Overall</t>
        </is>
      </c>
      <c r="E888" s="3" t="inlineStr">
        <is>
          <t>Deciles</t>
        </is>
      </c>
      <c r="F888" s="3" t="inlineStr">
        <is>
          <t>mean</t>
        </is>
      </c>
      <c r="G888" s="3" t="n">
        <v>5</v>
      </c>
      <c r="H888" s="3" t="n">
        <v>-0.7816170251115839</v>
      </c>
      <c r="I888" s="3" t="n">
        <v>-0.7816170251115839</v>
      </c>
      <c r="J888" s="3" t="n">
        <v>-0.8454680810583398</v>
      </c>
      <c r="K888" s="3" t="n">
        <v>-0.8454680810583398</v>
      </c>
      <c r="L888" s="3" t="n">
        <v>-0.7816170251115839</v>
      </c>
      <c r="M888" s="3" t="n">
        <v>-0.7816170251115839</v>
      </c>
      <c r="N888" s="3" t="n">
        <v>-0.7816170251115839</v>
      </c>
      <c r="O888" s="3" t="n">
        <v>-0.7816170251115839</v>
      </c>
      <c r="P888" s="3" t="n">
        <v>-0.7816170251115839</v>
      </c>
      <c r="Q888" s="3" t="n">
        <v>-0.7816170251115839</v>
      </c>
      <c r="R888" s="3" t="n">
        <v>-0.7697659489956308</v>
      </c>
      <c r="S888" s="3" t="n">
        <v>-0.9595531871978272</v>
      </c>
      <c r="T888" s="3" t="n">
        <v>-0.7081063859006191</v>
      </c>
      <c r="U888" s="3" t="n">
        <v>-0.8454680810583398</v>
      </c>
      <c r="V888" s="3" t="n">
        <v>-0.6750000017754575</v>
      </c>
      <c r="W888" s="3" t="n">
        <v>-0.4799574455048176</v>
      </c>
      <c r="X888" s="3" t="n">
        <v>-0.9571489362006492</v>
      </c>
      <c r="Y888" s="3" t="n">
        <v>-0.7816170251115839</v>
      </c>
      <c r="Z888" s="3" t="n">
        <v>-0.9595531871978272</v>
      </c>
      <c r="AA888" s="3" t="n">
        <v>-0.9595531871978272</v>
      </c>
      <c r="AB888" s="3" t="n">
        <v>-0.9571489362006492</v>
      </c>
      <c r="AC888" s="3" t="n">
        <v>-1.025723396463597</v>
      </c>
      <c r="AD888" s="3" t="n">
        <v>-0.8454680810583398</v>
      </c>
      <c r="AE888" s="3" t="n">
        <v>-0.8454680810583398</v>
      </c>
    </row>
    <row r="889">
      <c r="A889" s="3" t="inlineStr">
        <is>
          <t>GUM.distn.dec.ove.mean.6</t>
        </is>
      </c>
      <c r="B889" s="3" t="inlineStr">
        <is>
          <t>GUM</t>
        </is>
      </c>
      <c r="C889" s="3" t="n">
        <v>2005</v>
      </c>
      <c r="D889" s="3" t="inlineStr">
        <is>
          <t>Overall</t>
        </is>
      </c>
      <c r="E889" s="3" t="inlineStr">
        <is>
          <t>Deciles</t>
        </is>
      </c>
      <c r="F889" s="3" t="inlineStr">
        <is>
          <t>mean</t>
        </is>
      </c>
      <c r="G889" s="3" t="n">
        <v>6</v>
      </c>
      <c r="H889" s="3" t="n">
        <v>-0.7816170251115839</v>
      </c>
      <c r="I889" s="3" t="n">
        <v>-0.7816170251115839</v>
      </c>
      <c r="J889" s="3" t="n">
        <v>-0.8454680810583398</v>
      </c>
      <c r="K889" s="3" t="n">
        <v>-0.8454680810583398</v>
      </c>
      <c r="L889" s="3" t="n">
        <v>-0.7816170251115839</v>
      </c>
      <c r="M889" s="3" t="n">
        <v>-0.7816170251115839</v>
      </c>
      <c r="N889" s="3" t="n">
        <v>-0.7816170251115839</v>
      </c>
      <c r="O889" s="3" t="n">
        <v>-0.7816170251115839</v>
      </c>
      <c r="P889" s="3" t="n">
        <v>-0.7816170251115839</v>
      </c>
      <c r="Q889" s="3" t="n">
        <v>-0.7816170251115839</v>
      </c>
      <c r="R889" s="3" t="n">
        <v>-0.7697659489956308</v>
      </c>
      <c r="S889" s="3" t="n">
        <v>-0.9595531871978272</v>
      </c>
      <c r="T889" s="3" t="n">
        <v>-0.7081063859006191</v>
      </c>
      <c r="U889" s="3" t="n">
        <v>-0.8454680810583398</v>
      </c>
      <c r="V889" s="3" t="n">
        <v>-0.6750000017754575</v>
      </c>
      <c r="W889" s="3" t="n">
        <v>-0.4799574455048176</v>
      </c>
      <c r="X889" s="3" t="n">
        <v>-0.9571489362006492</v>
      </c>
      <c r="Y889" s="3" t="n">
        <v>-0.7816170251115839</v>
      </c>
      <c r="Z889" s="3" t="n">
        <v>-0.9595531871978272</v>
      </c>
      <c r="AA889" s="3" t="n">
        <v>-0.9595531871978272</v>
      </c>
      <c r="AB889" s="3" t="n">
        <v>-0.9571489362006492</v>
      </c>
      <c r="AC889" s="3" t="n">
        <v>-1.025723396463597</v>
      </c>
      <c r="AD889" s="3" t="n">
        <v>-0.8454680810583398</v>
      </c>
      <c r="AE889" s="3" t="n">
        <v>-0.8454680810583398</v>
      </c>
    </row>
    <row r="890">
      <c r="A890" s="3" t="inlineStr">
        <is>
          <t>GUM.distn.dec.ove.mean.7</t>
        </is>
      </c>
      <c r="B890" s="3" t="inlineStr">
        <is>
          <t>GUM</t>
        </is>
      </c>
      <c r="C890" s="3" t="n">
        <v>2005</v>
      </c>
      <c r="D890" s="3" t="inlineStr">
        <is>
          <t>Overall</t>
        </is>
      </c>
      <c r="E890" s="3" t="inlineStr">
        <is>
          <t>Deciles</t>
        </is>
      </c>
      <c r="F890" s="3" t="inlineStr">
        <is>
          <t>mean</t>
        </is>
      </c>
      <c r="G890" s="3" t="n">
        <v>7</v>
      </c>
      <c r="H890" s="3" t="n">
        <v>-0.7816170251115839</v>
      </c>
      <c r="I890" s="3" t="n">
        <v>-0.7816170251115839</v>
      </c>
      <c r="J890" s="3" t="n">
        <v>-0.8454680810583398</v>
      </c>
      <c r="K890" s="3" t="n">
        <v>-0.8454680810583398</v>
      </c>
      <c r="L890" s="3" t="n">
        <v>-0.7816170251115839</v>
      </c>
      <c r="M890" s="3" t="n">
        <v>-0.7816170251115839</v>
      </c>
      <c r="N890" s="3" t="n">
        <v>-0.7816170251115839</v>
      </c>
      <c r="O890" s="3" t="n">
        <v>-0.7816170251115839</v>
      </c>
      <c r="P890" s="3" t="n">
        <v>-0.7816170251115839</v>
      </c>
      <c r="Q890" s="3" t="n">
        <v>-0.7816170251115839</v>
      </c>
      <c r="R890" s="3" t="n">
        <v>-0.7697659489956308</v>
      </c>
      <c r="S890" s="3" t="n">
        <v>-0.9595531871978272</v>
      </c>
      <c r="T890" s="3" t="n">
        <v>-0.7081063859006191</v>
      </c>
      <c r="U890" s="3" t="n">
        <v>-0.8454680810583398</v>
      </c>
      <c r="V890" s="3" t="n">
        <v>-0.6750000017754575</v>
      </c>
      <c r="W890" s="3" t="n">
        <v>-0.4799574455048176</v>
      </c>
      <c r="X890" s="3" t="n">
        <v>-0.9571489362006492</v>
      </c>
      <c r="Y890" s="3" t="n">
        <v>-0.7816170251115839</v>
      </c>
      <c r="Z890" s="3" t="n">
        <v>-0.9595531871978272</v>
      </c>
      <c r="AA890" s="3" t="n">
        <v>-0.9595531871978272</v>
      </c>
      <c r="AB890" s="3" t="n">
        <v>-0.9571489362006492</v>
      </c>
      <c r="AC890" s="3" t="n">
        <v>-1.025723396463597</v>
      </c>
      <c r="AD890" s="3" t="n">
        <v>-0.8454680810583398</v>
      </c>
      <c r="AE890" s="3" t="n">
        <v>-0.8454680810583398</v>
      </c>
    </row>
    <row r="891">
      <c r="A891" s="3" t="inlineStr">
        <is>
          <t>GUM.distn.dec.ove.mean.8</t>
        </is>
      </c>
      <c r="B891" s="3" t="inlineStr">
        <is>
          <t>GUM</t>
        </is>
      </c>
      <c r="C891" s="3" t="n">
        <v>2005</v>
      </c>
      <c r="D891" s="3" t="inlineStr">
        <is>
          <t>Overall</t>
        </is>
      </c>
      <c r="E891" s="3" t="inlineStr">
        <is>
          <t>Deciles</t>
        </is>
      </c>
      <c r="F891" s="3" t="inlineStr">
        <is>
          <t>mean</t>
        </is>
      </c>
      <c r="G891" s="3" t="n">
        <v>8</v>
      </c>
      <c r="H891" s="3" t="n">
        <v>-0.7819935831617801</v>
      </c>
      <c r="I891" s="3" t="n">
        <v>-0.7819935831617801</v>
      </c>
      <c r="J891" s="3" t="n">
        <v>-0.8477488045996808</v>
      </c>
      <c r="K891" s="3" t="n">
        <v>-0.8477488045996808</v>
      </c>
      <c r="L891" s="3" t="n">
        <v>-0.7819935831617801</v>
      </c>
      <c r="M891" s="3" t="n">
        <v>-0.7819935831617801</v>
      </c>
      <c r="N891" s="3" t="n">
        <v>-0.7819935831617801</v>
      </c>
      <c r="O891" s="3" t="n">
        <v>-0.7819935831617801</v>
      </c>
      <c r="P891" s="3" t="n">
        <v>-0.7819935831617801</v>
      </c>
      <c r="Q891" s="3" t="n">
        <v>-0.7819935831617801</v>
      </c>
      <c r="R891" s="3" t="n">
        <v>-0.7700191178220384</v>
      </c>
      <c r="S891" s="3" t="n">
        <v>-0.9684819490351575</v>
      </c>
      <c r="T891" s="3" t="n">
        <v>-0.70814722142321</v>
      </c>
      <c r="U891" s="3" t="n">
        <v>-0.8477488045996808</v>
      </c>
      <c r="V891" s="3" t="n">
        <v>-0.6756977857427394</v>
      </c>
      <c r="W891" s="3" t="n">
        <v>-0.4928101326556916</v>
      </c>
      <c r="X891" s="3" t="n">
        <v>-0.9658704755154062</v>
      </c>
      <c r="Y891" s="3" t="n">
        <v>-0.7819935831617801</v>
      </c>
      <c r="Z891" s="3" t="n">
        <v>-0.9684819490351575</v>
      </c>
      <c r="AA891" s="3" t="n">
        <v>-0.9684819490351575</v>
      </c>
      <c r="AB891" s="3" t="n">
        <v>-0.9658704755154062</v>
      </c>
      <c r="AC891" s="3" t="n">
        <v>-1.04035159628442</v>
      </c>
      <c r="AD891" s="3" t="n">
        <v>-0.8477488045996808</v>
      </c>
      <c r="AE891" s="3" t="n">
        <v>-0.8477488045996808</v>
      </c>
    </row>
    <row r="892">
      <c r="A892" s="3" t="inlineStr">
        <is>
          <t>GUM.distn.dec.ove.mean.9</t>
        </is>
      </c>
      <c r="B892" s="3" t="inlineStr">
        <is>
          <t>GUM</t>
        </is>
      </c>
      <c r="C892" s="3" t="n">
        <v>2005</v>
      </c>
      <c r="D892" s="3" t="inlineStr">
        <is>
          <t>Overall</t>
        </is>
      </c>
      <c r="E892" s="3" t="inlineStr">
        <is>
          <t>Deciles</t>
        </is>
      </c>
      <c r="F892" s="3" t="inlineStr">
        <is>
          <t>mean</t>
        </is>
      </c>
      <c r="G892" s="3" t="n">
        <v>9</v>
      </c>
      <c r="H892" s="3" t="n">
        <v>-0.7819935831617801</v>
      </c>
      <c r="I892" s="3" t="n">
        <v>-0.7819935831617801</v>
      </c>
      <c r="J892" s="3" t="n">
        <v>-0.8477488045996808</v>
      </c>
      <c r="K892" s="3" t="n">
        <v>-0.8477488045996808</v>
      </c>
      <c r="L892" s="3" t="n">
        <v>-0.7819935831617801</v>
      </c>
      <c r="M892" s="3" t="n">
        <v>-0.7819935831617801</v>
      </c>
      <c r="N892" s="3" t="n">
        <v>-0.7819935831617801</v>
      </c>
      <c r="O892" s="3" t="n">
        <v>-0.7819935831617801</v>
      </c>
      <c r="P892" s="3" t="n">
        <v>-0.7819935831617801</v>
      </c>
      <c r="Q892" s="3" t="n">
        <v>-0.7819935831617801</v>
      </c>
      <c r="R892" s="3" t="n">
        <v>-0.7700191178220384</v>
      </c>
      <c r="S892" s="3" t="n">
        <v>-0.9684819490351575</v>
      </c>
      <c r="T892" s="3" t="n">
        <v>-0.70814722142321</v>
      </c>
      <c r="U892" s="3" t="n">
        <v>-0.8477488045996808</v>
      </c>
      <c r="V892" s="3" t="n">
        <v>-0.6756977857427394</v>
      </c>
      <c r="W892" s="3" t="n">
        <v>-0.4928101326556916</v>
      </c>
      <c r="X892" s="3" t="n">
        <v>-0.9658704755154062</v>
      </c>
      <c r="Y892" s="3" t="n">
        <v>-0.7819935831617801</v>
      </c>
      <c r="Z892" s="3" t="n">
        <v>-0.9684819490351575</v>
      </c>
      <c r="AA892" s="3" t="n">
        <v>-0.9684819490351575</v>
      </c>
      <c r="AB892" s="3" t="n">
        <v>-0.9658704755154062</v>
      </c>
      <c r="AC892" s="3" t="n">
        <v>-1.04035159628442</v>
      </c>
      <c r="AD892" s="3" t="n">
        <v>-0.8477488045996808</v>
      </c>
      <c r="AE892" s="3" t="n">
        <v>-0.8477488045996808</v>
      </c>
    </row>
    <row r="893">
      <c r="A893" s="3" t="inlineStr">
        <is>
          <t>GUM.distn.dec.ove.mean.10</t>
        </is>
      </c>
      <c r="B893" s="3" t="inlineStr">
        <is>
          <t>GUM</t>
        </is>
      </c>
      <c r="C893" s="3" t="n">
        <v>2005</v>
      </c>
      <c r="D893" s="3" t="inlineStr">
        <is>
          <t>Overall</t>
        </is>
      </c>
      <c r="E893" s="3" t="inlineStr">
        <is>
          <t>Deciles</t>
        </is>
      </c>
      <c r="F893" s="3" t="inlineStr">
        <is>
          <t>mean</t>
        </is>
      </c>
      <c r="G893" s="3" t="n">
        <v>10</v>
      </c>
      <c r="H893" s="3" t="n">
        <v>-0.7819935831617801</v>
      </c>
      <c r="I893" s="3" t="n">
        <v>-0.7819935831617801</v>
      </c>
      <c r="J893" s="3" t="n">
        <v>-0.8477488045996808</v>
      </c>
      <c r="K893" s="3" t="n">
        <v>-0.8477488045996808</v>
      </c>
      <c r="L893" s="3" t="n">
        <v>-0.7819935831617801</v>
      </c>
      <c r="M893" s="3" t="n">
        <v>-0.7819935831617801</v>
      </c>
      <c r="N893" s="3" t="n">
        <v>-0.7819935831617801</v>
      </c>
      <c r="O893" s="3" t="n">
        <v>-0.7819935831617801</v>
      </c>
      <c r="P893" s="3" t="n">
        <v>-0.7819935831617801</v>
      </c>
      <c r="Q893" s="3" t="n">
        <v>-0.7819935831617801</v>
      </c>
      <c r="R893" s="3" t="n">
        <v>-0.7700191178220384</v>
      </c>
      <c r="S893" s="3" t="n">
        <v>-0.9684819490351575</v>
      </c>
      <c r="T893" s="3" t="n">
        <v>-0.70814722142321</v>
      </c>
      <c r="U893" s="3" t="n">
        <v>-0.8477488045996808</v>
      </c>
      <c r="V893" s="3" t="n">
        <v>-0.6756977857427394</v>
      </c>
      <c r="W893" s="3" t="n">
        <v>-0.4928101326556916</v>
      </c>
      <c r="X893" s="3" t="n">
        <v>-0.9658704755154062</v>
      </c>
      <c r="Y893" s="3" t="n">
        <v>-0.7819935831617801</v>
      </c>
      <c r="Z893" s="3" t="n">
        <v>-0.9684819490351575</v>
      </c>
      <c r="AA893" s="3" t="n">
        <v>-0.9684819490351575</v>
      </c>
      <c r="AB893" s="3" t="n">
        <v>-0.9658704755154062</v>
      </c>
      <c r="AC893" s="3" t="n">
        <v>-1.04035159628442</v>
      </c>
      <c r="AD893" s="3" t="n">
        <v>-0.8477488045996808</v>
      </c>
      <c r="AE893" s="3" t="n">
        <v>-0.8477488045996808</v>
      </c>
    </row>
    <row r="894">
      <c r="A894" s="3" t="inlineStr">
        <is>
          <t>GUM.distn.bkt.ove.mean.9999</t>
        </is>
      </c>
      <c r="B894" s="3" t="inlineStr">
        <is>
          <t>GUM</t>
        </is>
      </c>
      <c r="C894" s="3" t="n">
        <v>2005</v>
      </c>
      <c r="D894" s="3" t="inlineStr">
        <is>
          <t>Overall</t>
        </is>
      </c>
      <c r="E894" s="3" t="inlineStr">
        <is>
          <t>Basket</t>
        </is>
      </c>
      <c r="F894" s="3" t="inlineStr">
        <is>
          <t>mean</t>
        </is>
      </c>
      <c r="G894" s="3" t="n">
        <v>9999</v>
      </c>
      <c r="H894" s="3" t="n">
        <v>-0.7836013613863194</v>
      </c>
      <c r="I894" s="3" t="n">
        <v>-0.7836013613863194</v>
      </c>
      <c r="J894" s="3" t="n">
        <v>-0.8590307616172953</v>
      </c>
      <c r="K894" s="3" t="n">
        <v>-0.8590307616172953</v>
      </c>
      <c r="L894" s="3" t="n">
        <v>-0.7836013613863194</v>
      </c>
      <c r="M894" s="3" t="n">
        <v>-0.7836013613863194</v>
      </c>
      <c r="N894" s="3" t="n">
        <v>-0.7836013613863194</v>
      </c>
      <c r="O894" s="3" t="n">
        <v>-0.7836013613863194</v>
      </c>
      <c r="P894" s="3" t="n">
        <v>-0.7836013613863194</v>
      </c>
      <c r="Q894" s="3" t="n">
        <v>-0.7836013613863194</v>
      </c>
      <c r="R894" s="3" t="n">
        <v>-0.7708828220976159</v>
      </c>
      <c r="S894" s="3" t="n">
        <v>-1.097007578991829</v>
      </c>
      <c r="T894" s="3" t="n">
        <v>-0.7085544974245923</v>
      </c>
      <c r="U894" s="3" t="n">
        <v>-0.8590307616172953</v>
      </c>
      <c r="V894" s="3" t="n">
        <v>-0.6772896647453308</v>
      </c>
      <c r="W894" s="3" t="n">
        <v>-0.5109122699879586</v>
      </c>
      <c r="X894" s="3" t="n">
        <v>-1.079493910708326</v>
      </c>
      <c r="Y894" s="3" t="n">
        <v>-0.7836013613863194</v>
      </c>
      <c r="Z894" s="3" t="n">
        <v>-1.097007578991829</v>
      </c>
      <c r="AA894" s="3" t="n">
        <v>-1.097007578991829</v>
      </c>
      <c r="AB894" s="3" t="n">
        <v>-1.079493910708326</v>
      </c>
      <c r="AC894" s="3" t="n">
        <v>-1.359592239907447</v>
      </c>
      <c r="AD894" s="3" t="n">
        <v>-0.8590307616172953</v>
      </c>
      <c r="AE894" s="3" t="n">
        <v>-0.8590307616172953</v>
      </c>
    </row>
    <row r="895">
      <c r="A895" s="3" t="inlineStr">
        <is>
          <t>GUY.distn.dec.ove.mean.1</t>
        </is>
      </c>
      <c r="B895" s="3" t="inlineStr">
        <is>
          <t>GUY</t>
        </is>
      </c>
      <c r="C895" s="3" t="n">
        <v>2005</v>
      </c>
      <c r="D895" s="3" t="inlineStr">
        <is>
          <t>Overall</t>
        </is>
      </c>
      <c r="E895" s="3" t="inlineStr">
        <is>
          <t>Deciles</t>
        </is>
      </c>
      <c r="F895" s="3" t="inlineStr">
        <is>
          <t>mean</t>
        </is>
      </c>
      <c r="G895" s="3" t="n">
        <v>1</v>
      </c>
      <c r="H895" s="3" t="n">
        <v>-0.7898249251501901</v>
      </c>
      <c r="I895" s="3" t="n">
        <v>-0.7898249251501901</v>
      </c>
      <c r="J895" s="3" t="n">
        <v>-0.9006037865366254</v>
      </c>
      <c r="K895" s="3" t="n">
        <v>-0.9006037865366254</v>
      </c>
      <c r="L895" s="3" t="n">
        <v>-0.7898249251501901</v>
      </c>
      <c r="M895" s="3" t="n">
        <v>-0.7898249251501901</v>
      </c>
      <c r="N895" s="3" t="n">
        <v>-0.7898249251501901</v>
      </c>
      <c r="O895" s="3" t="n">
        <v>-0.7898249251501901</v>
      </c>
      <c r="P895" s="3" t="n">
        <v>-0.7898249251501901</v>
      </c>
      <c r="Q895" s="3" t="n">
        <v>-0.7898249251501901</v>
      </c>
      <c r="R895" s="3" t="n">
        <v>-0.7744465725762504</v>
      </c>
      <c r="S895" s="3" t="n">
        <v>-1.490841317176819</v>
      </c>
      <c r="T895" s="3" t="n">
        <v>-0.7100824441228594</v>
      </c>
      <c r="U895" s="3" t="n">
        <v>-0.9006037865366254</v>
      </c>
      <c r="V895" s="3" t="n">
        <v>-0.6846477542604719</v>
      </c>
      <c r="W895" s="3" t="n">
        <v>-0.6204802887780326</v>
      </c>
      <c r="X895" s="3" t="n">
        <v>-1.433480068615505</v>
      </c>
      <c r="Y895" s="3" t="n">
        <v>-0.7898249251501901</v>
      </c>
      <c r="Z895" s="3" t="n">
        <v>-1.490841317176819</v>
      </c>
      <c r="AA895" s="3" t="n">
        <v>-1.490841317176819</v>
      </c>
      <c r="AB895" s="3" t="n">
        <v>-1.433480068615505</v>
      </c>
      <c r="AC895" s="3" t="n">
        <v>-2.345895099639892</v>
      </c>
      <c r="AD895" s="3" t="n">
        <v>-0.9006037865366254</v>
      </c>
      <c r="AE895" s="3" t="n">
        <v>-0.9006037865366254</v>
      </c>
    </row>
    <row r="896">
      <c r="A896" s="3" t="inlineStr">
        <is>
          <t>GUY.distn.dec.ove.mean.2</t>
        </is>
      </c>
      <c r="B896" s="3" t="inlineStr">
        <is>
          <t>GUY</t>
        </is>
      </c>
      <c r="C896" s="3" t="n">
        <v>2005</v>
      </c>
      <c r="D896" s="3" t="inlineStr">
        <is>
          <t>Overall</t>
        </is>
      </c>
      <c r="E896" s="3" t="inlineStr">
        <is>
          <t>Deciles</t>
        </is>
      </c>
      <c r="F896" s="3" t="inlineStr">
        <is>
          <t>mean</t>
        </is>
      </c>
      <c r="G896" s="3" t="n">
        <v>2</v>
      </c>
      <c r="H896" s="3" t="n">
        <v>-0.7898249251501901</v>
      </c>
      <c r="I896" s="3" t="n">
        <v>-0.7898249251501901</v>
      </c>
      <c r="J896" s="3" t="n">
        <v>-0.9006037865366254</v>
      </c>
      <c r="K896" s="3" t="n">
        <v>-0.9006037865366254</v>
      </c>
      <c r="L896" s="3" t="n">
        <v>-0.7898249251501901</v>
      </c>
      <c r="M896" s="3" t="n">
        <v>-0.7898249251501901</v>
      </c>
      <c r="N896" s="3" t="n">
        <v>-0.7898249251501901</v>
      </c>
      <c r="O896" s="3" t="n">
        <v>-0.7898249251501901</v>
      </c>
      <c r="P896" s="3" t="n">
        <v>-0.7898249251501901</v>
      </c>
      <c r="Q896" s="3" t="n">
        <v>-0.7898249251501901</v>
      </c>
      <c r="R896" s="3" t="n">
        <v>-0.7744465725762504</v>
      </c>
      <c r="S896" s="3" t="n">
        <v>-1.490841317176819</v>
      </c>
      <c r="T896" s="3" t="n">
        <v>-0.7100824441228594</v>
      </c>
      <c r="U896" s="3" t="n">
        <v>-0.9006037865366254</v>
      </c>
      <c r="V896" s="3" t="n">
        <v>-0.6846477542604719</v>
      </c>
      <c r="W896" s="3" t="n">
        <v>-0.6204802887780326</v>
      </c>
      <c r="X896" s="3" t="n">
        <v>-1.433480068615505</v>
      </c>
      <c r="Y896" s="3" t="n">
        <v>-0.7898249251501901</v>
      </c>
      <c r="Z896" s="3" t="n">
        <v>-1.490841317176819</v>
      </c>
      <c r="AA896" s="3" t="n">
        <v>-1.490841317176819</v>
      </c>
      <c r="AB896" s="3" t="n">
        <v>-1.433480068615505</v>
      </c>
      <c r="AC896" s="3" t="n">
        <v>-2.345895099639892</v>
      </c>
      <c r="AD896" s="3" t="n">
        <v>-0.9006037865366254</v>
      </c>
      <c r="AE896" s="3" t="n">
        <v>-0.9006037865366254</v>
      </c>
    </row>
    <row r="897">
      <c r="A897" s="3" t="inlineStr">
        <is>
          <t>GUY.distn.dec.ove.mean.3</t>
        </is>
      </c>
      <c r="B897" s="3" t="inlineStr">
        <is>
          <t>GUY</t>
        </is>
      </c>
      <c r="C897" s="3" t="n">
        <v>2005</v>
      </c>
      <c r="D897" s="3" t="inlineStr">
        <is>
          <t>Overall</t>
        </is>
      </c>
      <c r="E897" s="3" t="inlineStr">
        <is>
          <t>Deciles</t>
        </is>
      </c>
      <c r="F897" s="3" t="inlineStr">
        <is>
          <t>mean</t>
        </is>
      </c>
      <c r="G897" s="3" t="n">
        <v>3</v>
      </c>
      <c r="H897" s="3" t="n">
        <v>-0.7898249251501901</v>
      </c>
      <c r="I897" s="3" t="n">
        <v>-0.7898249251501901</v>
      </c>
      <c r="J897" s="3" t="n">
        <v>-0.9006037865366254</v>
      </c>
      <c r="K897" s="3" t="n">
        <v>-0.9006037865366254</v>
      </c>
      <c r="L897" s="3" t="n">
        <v>-0.7898249251501901</v>
      </c>
      <c r="M897" s="3" t="n">
        <v>-0.7898249251501901</v>
      </c>
      <c r="N897" s="3" t="n">
        <v>-0.7898249251501901</v>
      </c>
      <c r="O897" s="3" t="n">
        <v>-0.7898249251501901</v>
      </c>
      <c r="P897" s="3" t="n">
        <v>-0.7898249251501901</v>
      </c>
      <c r="Q897" s="3" t="n">
        <v>-0.7898249251501901</v>
      </c>
      <c r="R897" s="3" t="n">
        <v>-0.7744465725762504</v>
      </c>
      <c r="S897" s="3" t="n">
        <v>-1.490841317176819</v>
      </c>
      <c r="T897" s="3" t="n">
        <v>-0.7100824441228594</v>
      </c>
      <c r="U897" s="3" t="n">
        <v>-0.9006037865366254</v>
      </c>
      <c r="V897" s="3" t="n">
        <v>-0.6846477542604719</v>
      </c>
      <c r="W897" s="3" t="n">
        <v>-0.6204802887780326</v>
      </c>
      <c r="X897" s="3" t="n">
        <v>-1.433480068615505</v>
      </c>
      <c r="Y897" s="3" t="n">
        <v>-0.7898249251501901</v>
      </c>
      <c r="Z897" s="3" t="n">
        <v>-1.490841317176819</v>
      </c>
      <c r="AA897" s="3" t="n">
        <v>-1.490841317176819</v>
      </c>
      <c r="AB897" s="3" t="n">
        <v>-1.433480068615505</v>
      </c>
      <c r="AC897" s="3" t="n">
        <v>-2.345895099639892</v>
      </c>
      <c r="AD897" s="3" t="n">
        <v>-0.9006037865366254</v>
      </c>
      <c r="AE897" s="3" t="n">
        <v>-0.9006037865366254</v>
      </c>
    </row>
    <row r="898">
      <c r="A898" s="3" t="inlineStr">
        <is>
          <t>GUY.distn.dec.ove.mean.4</t>
        </is>
      </c>
      <c r="B898" s="3" t="inlineStr">
        <is>
          <t>GUY</t>
        </is>
      </c>
      <c r="C898" s="3" t="n">
        <v>2005</v>
      </c>
      <c r="D898" s="3" t="inlineStr">
        <is>
          <t>Overall</t>
        </is>
      </c>
      <c r="E898" s="3" t="inlineStr">
        <is>
          <t>Deciles</t>
        </is>
      </c>
      <c r="F898" s="3" t="inlineStr">
        <is>
          <t>mean</t>
        </is>
      </c>
      <c r="G898" s="3" t="n">
        <v>4</v>
      </c>
      <c r="H898" s="3" t="n">
        <v>-0.7835714289120266</v>
      </c>
      <c r="I898" s="3" t="n">
        <v>-0.7835714289120266</v>
      </c>
      <c r="J898" s="3" t="n">
        <v>-0.8570857082094465</v>
      </c>
      <c r="K898" s="3" t="n">
        <v>-0.8570857082094465</v>
      </c>
      <c r="L898" s="3" t="n">
        <v>-0.7835714289120266</v>
      </c>
      <c r="M898" s="3" t="n">
        <v>-0.7835714289120266</v>
      </c>
      <c r="N898" s="3" t="n">
        <v>-0.7835714289120266</v>
      </c>
      <c r="O898" s="3" t="n">
        <v>-0.7835714289120266</v>
      </c>
      <c r="P898" s="3" t="n">
        <v>-0.7835714289120266</v>
      </c>
      <c r="Q898" s="3" t="n">
        <v>-0.7835714289120266</v>
      </c>
      <c r="R898" s="3" t="n">
        <v>-0.7709714361599513</v>
      </c>
      <c r="S898" s="3" t="n">
        <v>-1.015428565229688</v>
      </c>
      <c r="T898" s="3" t="n">
        <v>-0.708628567627498</v>
      </c>
      <c r="U898" s="3" t="n">
        <v>-0.8570857082094465</v>
      </c>
      <c r="V898" s="3" t="n">
        <v>-0.6776857103620256</v>
      </c>
      <c r="W898" s="3" t="n">
        <v>-0.5221999968801226</v>
      </c>
      <c r="X898" s="3" t="n">
        <v>-1.011657135827201</v>
      </c>
      <c r="Y898" s="3" t="n">
        <v>-0.7835714289120266</v>
      </c>
      <c r="Z898" s="3" t="n">
        <v>-1.015428565229688</v>
      </c>
      <c r="AA898" s="3" t="n">
        <v>-1.015428565229688</v>
      </c>
      <c r="AB898" s="3" t="n">
        <v>-1.011657135827201</v>
      </c>
      <c r="AC898" s="3" t="n">
        <v>-1.132885714939662</v>
      </c>
      <c r="AD898" s="3" t="n">
        <v>-0.8570857082094465</v>
      </c>
      <c r="AE898" s="3" t="n">
        <v>-0.8570857082094465</v>
      </c>
    </row>
    <row r="899">
      <c r="A899" s="3" t="inlineStr">
        <is>
          <t>GUY.distn.dec.ove.mean.5</t>
        </is>
      </c>
      <c r="B899" s="3" t="inlineStr">
        <is>
          <t>GUY</t>
        </is>
      </c>
      <c r="C899" s="3" t="n">
        <v>2005</v>
      </c>
      <c r="D899" s="3" t="inlineStr">
        <is>
          <t>Overall</t>
        </is>
      </c>
      <c r="E899" s="3" t="inlineStr">
        <is>
          <t>Deciles</t>
        </is>
      </c>
      <c r="F899" s="3" t="inlineStr">
        <is>
          <t>mean</t>
        </is>
      </c>
      <c r="G899" s="3" t="n">
        <v>5</v>
      </c>
      <c r="H899" s="3" t="n">
        <v>-0.7835714289120266</v>
      </c>
      <c r="I899" s="3" t="n">
        <v>-0.7835714289120266</v>
      </c>
      <c r="J899" s="3" t="n">
        <v>-0.8570857082094465</v>
      </c>
      <c r="K899" s="3" t="n">
        <v>-0.8570857082094465</v>
      </c>
      <c r="L899" s="3" t="n">
        <v>-0.7835714289120266</v>
      </c>
      <c r="M899" s="3" t="n">
        <v>-0.7835714289120266</v>
      </c>
      <c r="N899" s="3" t="n">
        <v>-0.7835714289120266</v>
      </c>
      <c r="O899" s="3" t="n">
        <v>-0.7835714289120266</v>
      </c>
      <c r="P899" s="3" t="n">
        <v>-0.7835714289120266</v>
      </c>
      <c r="Q899" s="3" t="n">
        <v>-0.7835714289120266</v>
      </c>
      <c r="R899" s="3" t="n">
        <v>-0.7709714361599513</v>
      </c>
      <c r="S899" s="3" t="n">
        <v>-1.015428565229688</v>
      </c>
      <c r="T899" s="3" t="n">
        <v>-0.708628567627498</v>
      </c>
      <c r="U899" s="3" t="n">
        <v>-0.8570857082094465</v>
      </c>
      <c r="V899" s="3" t="n">
        <v>-0.6776857103620256</v>
      </c>
      <c r="W899" s="3" t="n">
        <v>-0.5221999968801226</v>
      </c>
      <c r="X899" s="3" t="n">
        <v>-1.011657135827201</v>
      </c>
      <c r="Y899" s="3" t="n">
        <v>-0.7835714289120266</v>
      </c>
      <c r="Z899" s="3" t="n">
        <v>-1.015428565229688</v>
      </c>
      <c r="AA899" s="3" t="n">
        <v>-1.015428565229688</v>
      </c>
      <c r="AB899" s="3" t="n">
        <v>-1.011657135827201</v>
      </c>
      <c r="AC899" s="3" t="n">
        <v>-1.132885714939662</v>
      </c>
      <c r="AD899" s="3" t="n">
        <v>-0.8570857082094465</v>
      </c>
      <c r="AE899" s="3" t="n">
        <v>-0.8570857082094465</v>
      </c>
    </row>
    <row r="900">
      <c r="A900" s="3" t="inlineStr">
        <is>
          <t>GUY.distn.dec.ove.mean.6</t>
        </is>
      </c>
      <c r="B900" s="3" t="inlineStr">
        <is>
          <t>GUY</t>
        </is>
      </c>
      <c r="C900" s="3" t="n">
        <v>2005</v>
      </c>
      <c r="D900" s="3" t="inlineStr">
        <is>
          <t>Overall</t>
        </is>
      </c>
      <c r="E900" s="3" t="inlineStr">
        <is>
          <t>Deciles</t>
        </is>
      </c>
      <c r="F900" s="3" t="inlineStr">
        <is>
          <t>mean</t>
        </is>
      </c>
      <c r="G900" s="3" t="n">
        <v>6</v>
      </c>
      <c r="H900" s="3" t="n">
        <v>-0.7835714289120266</v>
      </c>
      <c r="I900" s="3" t="n">
        <v>-0.7835714289120266</v>
      </c>
      <c r="J900" s="3" t="n">
        <v>-0.8570857082094465</v>
      </c>
      <c r="K900" s="3" t="n">
        <v>-0.8570857082094465</v>
      </c>
      <c r="L900" s="3" t="n">
        <v>-0.7835714289120266</v>
      </c>
      <c r="M900" s="3" t="n">
        <v>-0.7835714289120266</v>
      </c>
      <c r="N900" s="3" t="n">
        <v>-0.7835714289120266</v>
      </c>
      <c r="O900" s="3" t="n">
        <v>-0.7835714289120266</v>
      </c>
      <c r="P900" s="3" t="n">
        <v>-0.7835714289120266</v>
      </c>
      <c r="Q900" s="3" t="n">
        <v>-0.7835714289120266</v>
      </c>
      <c r="R900" s="3" t="n">
        <v>-0.7709714361599513</v>
      </c>
      <c r="S900" s="3" t="n">
        <v>-1.015428565229688</v>
      </c>
      <c r="T900" s="3" t="n">
        <v>-0.708628567627498</v>
      </c>
      <c r="U900" s="3" t="n">
        <v>-0.8570857082094465</v>
      </c>
      <c r="V900" s="3" t="n">
        <v>-0.6776857103620256</v>
      </c>
      <c r="W900" s="3" t="n">
        <v>-0.5221999968801226</v>
      </c>
      <c r="X900" s="3" t="n">
        <v>-1.011657135827201</v>
      </c>
      <c r="Y900" s="3" t="n">
        <v>-0.7835714289120266</v>
      </c>
      <c r="Z900" s="3" t="n">
        <v>-1.015428565229688</v>
      </c>
      <c r="AA900" s="3" t="n">
        <v>-1.015428565229688</v>
      </c>
      <c r="AB900" s="3" t="n">
        <v>-1.011657135827201</v>
      </c>
      <c r="AC900" s="3" t="n">
        <v>-1.132885714939662</v>
      </c>
      <c r="AD900" s="3" t="n">
        <v>-0.8570857082094465</v>
      </c>
      <c r="AE900" s="3" t="n">
        <v>-0.8570857082094465</v>
      </c>
    </row>
    <row r="901">
      <c r="A901" s="3" t="inlineStr">
        <is>
          <t>GUY.distn.dec.ove.mean.7</t>
        </is>
      </c>
      <c r="B901" s="3" t="inlineStr">
        <is>
          <t>GUY</t>
        </is>
      </c>
      <c r="C901" s="3" t="n">
        <v>2005</v>
      </c>
      <c r="D901" s="3" t="inlineStr">
        <is>
          <t>Overall</t>
        </is>
      </c>
      <c r="E901" s="3" t="inlineStr">
        <is>
          <t>Deciles</t>
        </is>
      </c>
      <c r="F901" s="3" t="inlineStr">
        <is>
          <t>mean</t>
        </is>
      </c>
      <c r="G901" s="3" t="n">
        <v>7</v>
      </c>
      <c r="H901" s="3" t="n">
        <v>-0.7835714289120266</v>
      </c>
      <c r="I901" s="3" t="n">
        <v>-0.7835714289120266</v>
      </c>
      <c r="J901" s="3" t="n">
        <v>-0.8570857082094465</v>
      </c>
      <c r="K901" s="3" t="n">
        <v>-0.8570857082094465</v>
      </c>
      <c r="L901" s="3" t="n">
        <v>-0.7835714289120266</v>
      </c>
      <c r="M901" s="3" t="n">
        <v>-0.7835714289120266</v>
      </c>
      <c r="N901" s="3" t="n">
        <v>-0.7835714289120266</v>
      </c>
      <c r="O901" s="3" t="n">
        <v>-0.7835714289120266</v>
      </c>
      <c r="P901" s="3" t="n">
        <v>-0.7835714289120266</v>
      </c>
      <c r="Q901" s="3" t="n">
        <v>-0.7835714289120266</v>
      </c>
      <c r="R901" s="3" t="n">
        <v>-0.7709714361599513</v>
      </c>
      <c r="S901" s="3" t="n">
        <v>-1.015428565229688</v>
      </c>
      <c r="T901" s="3" t="n">
        <v>-0.708628567627498</v>
      </c>
      <c r="U901" s="3" t="n">
        <v>-0.8570857082094465</v>
      </c>
      <c r="V901" s="3" t="n">
        <v>-0.6776857103620256</v>
      </c>
      <c r="W901" s="3" t="n">
        <v>-0.5221999968801226</v>
      </c>
      <c r="X901" s="3" t="n">
        <v>-1.011657135827201</v>
      </c>
      <c r="Y901" s="3" t="n">
        <v>-0.7835714289120266</v>
      </c>
      <c r="Z901" s="3" t="n">
        <v>-1.015428565229688</v>
      </c>
      <c r="AA901" s="3" t="n">
        <v>-1.015428565229688</v>
      </c>
      <c r="AB901" s="3" t="n">
        <v>-1.011657135827201</v>
      </c>
      <c r="AC901" s="3" t="n">
        <v>-1.132885714939662</v>
      </c>
      <c r="AD901" s="3" t="n">
        <v>-0.8570857082094465</v>
      </c>
      <c r="AE901" s="3" t="n">
        <v>-0.8570857082094465</v>
      </c>
    </row>
    <row r="902">
      <c r="A902" s="3" t="inlineStr">
        <is>
          <t>GUY.distn.dec.ove.mean.8</t>
        </is>
      </c>
      <c r="B902" s="3" t="inlineStr">
        <is>
          <t>GUY</t>
        </is>
      </c>
      <c r="C902" s="3" t="n">
        <v>2005</v>
      </c>
      <c r="D902" s="3" t="inlineStr">
        <is>
          <t>Overall</t>
        </is>
      </c>
      <c r="E902" s="3" t="inlineStr">
        <is>
          <t>Deciles</t>
        </is>
      </c>
      <c r="F902" s="3" t="inlineStr">
        <is>
          <t>mean</t>
        </is>
      </c>
      <c r="G902" s="3" t="n">
        <v>8</v>
      </c>
      <c r="H902" s="3" t="n">
        <v>-0.7839489357812064</v>
      </c>
      <c r="I902" s="3" t="n">
        <v>-0.7839489357812064</v>
      </c>
      <c r="J902" s="3" t="n">
        <v>-0.8593977723802839</v>
      </c>
      <c r="K902" s="3" t="n">
        <v>-0.8593977723802839</v>
      </c>
      <c r="L902" s="3" t="n">
        <v>-0.7839489357812064</v>
      </c>
      <c r="M902" s="3" t="n">
        <v>-0.7839489357812064</v>
      </c>
      <c r="N902" s="3" t="n">
        <v>-0.7839489357812064</v>
      </c>
      <c r="O902" s="3" t="n">
        <v>-0.7839489357812064</v>
      </c>
      <c r="P902" s="3" t="n">
        <v>-0.7839489357812064</v>
      </c>
      <c r="Q902" s="3" t="n">
        <v>-0.7839489357812064</v>
      </c>
      <c r="R902" s="3" t="n">
        <v>-0.7712249892098563</v>
      </c>
      <c r="S902" s="3" t="n">
        <v>-1.024877253600529</v>
      </c>
      <c r="T902" s="3" t="n">
        <v>-0.7086694342749459</v>
      </c>
      <c r="U902" s="3" t="n">
        <v>-0.8593977723802839</v>
      </c>
      <c r="V902" s="3" t="n">
        <v>-0.6783862863268171</v>
      </c>
      <c r="W902" s="3" t="n">
        <v>-0.5361838928290776</v>
      </c>
      <c r="X902" s="3" t="n">
        <v>-1.020875356878553</v>
      </c>
      <c r="Y902" s="3" t="n">
        <v>-0.7839489357812064</v>
      </c>
      <c r="Z902" s="3" t="n">
        <v>-1.024877253600529</v>
      </c>
      <c r="AA902" s="3" t="n">
        <v>-1.024877253600529</v>
      </c>
      <c r="AB902" s="3" t="n">
        <v>-1.020875356878553</v>
      </c>
      <c r="AC902" s="3" t="n">
        <v>-1.149042170388358</v>
      </c>
      <c r="AD902" s="3" t="n">
        <v>-0.8593977723802839</v>
      </c>
      <c r="AE902" s="3" t="n">
        <v>-0.8593977723802839</v>
      </c>
    </row>
    <row r="903">
      <c r="A903" s="3" t="inlineStr">
        <is>
          <t>GUY.distn.dec.ove.mean.9</t>
        </is>
      </c>
      <c r="B903" s="3" t="inlineStr">
        <is>
          <t>GUY</t>
        </is>
      </c>
      <c r="C903" s="3" t="n">
        <v>2005</v>
      </c>
      <c r="D903" s="3" t="inlineStr">
        <is>
          <t>Overall</t>
        </is>
      </c>
      <c r="E903" s="3" t="inlineStr">
        <is>
          <t>Deciles</t>
        </is>
      </c>
      <c r="F903" s="3" t="inlineStr">
        <is>
          <t>mean</t>
        </is>
      </c>
      <c r="G903" s="3" t="n">
        <v>9</v>
      </c>
      <c r="H903" s="3" t="n">
        <v>-0.7839489357812064</v>
      </c>
      <c r="I903" s="3" t="n">
        <v>-0.7839489357812064</v>
      </c>
      <c r="J903" s="3" t="n">
        <v>-0.8593977723802839</v>
      </c>
      <c r="K903" s="3" t="n">
        <v>-0.8593977723802839</v>
      </c>
      <c r="L903" s="3" t="n">
        <v>-0.7839489357812064</v>
      </c>
      <c r="M903" s="3" t="n">
        <v>-0.7839489357812064</v>
      </c>
      <c r="N903" s="3" t="n">
        <v>-0.7839489357812064</v>
      </c>
      <c r="O903" s="3" t="n">
        <v>-0.7839489357812064</v>
      </c>
      <c r="P903" s="3" t="n">
        <v>-0.7839489357812064</v>
      </c>
      <c r="Q903" s="3" t="n">
        <v>-0.7839489357812064</v>
      </c>
      <c r="R903" s="3" t="n">
        <v>-0.7712249892098563</v>
      </c>
      <c r="S903" s="3" t="n">
        <v>-1.024877253600529</v>
      </c>
      <c r="T903" s="3" t="n">
        <v>-0.7086694342749459</v>
      </c>
      <c r="U903" s="3" t="n">
        <v>-0.8593977723802839</v>
      </c>
      <c r="V903" s="3" t="n">
        <v>-0.6783862863268171</v>
      </c>
      <c r="W903" s="3" t="n">
        <v>-0.5361838928290776</v>
      </c>
      <c r="X903" s="3" t="n">
        <v>-1.020875356878553</v>
      </c>
      <c r="Y903" s="3" t="n">
        <v>-0.7839489357812064</v>
      </c>
      <c r="Z903" s="3" t="n">
        <v>-1.024877253600529</v>
      </c>
      <c r="AA903" s="3" t="n">
        <v>-1.024877253600529</v>
      </c>
      <c r="AB903" s="3" t="n">
        <v>-1.020875356878553</v>
      </c>
      <c r="AC903" s="3" t="n">
        <v>-1.149042170388358</v>
      </c>
      <c r="AD903" s="3" t="n">
        <v>-0.8593977723802839</v>
      </c>
      <c r="AE903" s="3" t="n">
        <v>-0.8593977723802839</v>
      </c>
    </row>
    <row r="904">
      <c r="A904" s="3" t="inlineStr">
        <is>
          <t>GUY.distn.dec.ove.mean.10</t>
        </is>
      </c>
      <c r="B904" s="3" t="inlineStr">
        <is>
          <t>GUY</t>
        </is>
      </c>
      <c r="C904" s="3" t="n">
        <v>2005</v>
      </c>
      <c r="D904" s="3" t="inlineStr">
        <is>
          <t>Overall</t>
        </is>
      </c>
      <c r="E904" s="3" t="inlineStr">
        <is>
          <t>Deciles</t>
        </is>
      </c>
      <c r="F904" s="3" t="inlineStr">
        <is>
          <t>mean</t>
        </is>
      </c>
      <c r="G904" s="3" t="n">
        <v>10</v>
      </c>
      <c r="H904" s="3" t="n">
        <v>-0.7839489357812064</v>
      </c>
      <c r="I904" s="3" t="n">
        <v>-0.7839489357812064</v>
      </c>
      <c r="J904" s="3" t="n">
        <v>-0.8593977723802839</v>
      </c>
      <c r="K904" s="3" t="n">
        <v>-0.8593977723802839</v>
      </c>
      <c r="L904" s="3" t="n">
        <v>-0.7839489357812064</v>
      </c>
      <c r="M904" s="3" t="n">
        <v>-0.7839489357812064</v>
      </c>
      <c r="N904" s="3" t="n">
        <v>-0.7839489357812064</v>
      </c>
      <c r="O904" s="3" t="n">
        <v>-0.7839489357812064</v>
      </c>
      <c r="P904" s="3" t="n">
        <v>-0.7839489357812064</v>
      </c>
      <c r="Q904" s="3" t="n">
        <v>-0.7839489357812064</v>
      </c>
      <c r="R904" s="3" t="n">
        <v>-0.7712249892098563</v>
      </c>
      <c r="S904" s="3" t="n">
        <v>-1.024877253600529</v>
      </c>
      <c r="T904" s="3" t="n">
        <v>-0.7086694342749459</v>
      </c>
      <c r="U904" s="3" t="n">
        <v>-0.8593977723802839</v>
      </c>
      <c r="V904" s="3" t="n">
        <v>-0.6783862863268171</v>
      </c>
      <c r="W904" s="3" t="n">
        <v>-0.5361838928290776</v>
      </c>
      <c r="X904" s="3" t="n">
        <v>-1.020875356878553</v>
      </c>
      <c r="Y904" s="3" t="n">
        <v>-0.7839489357812064</v>
      </c>
      <c r="Z904" s="3" t="n">
        <v>-1.024877253600529</v>
      </c>
      <c r="AA904" s="3" t="n">
        <v>-1.024877253600529</v>
      </c>
      <c r="AB904" s="3" t="n">
        <v>-1.020875356878553</v>
      </c>
      <c r="AC904" s="3" t="n">
        <v>-1.149042170388358</v>
      </c>
      <c r="AD904" s="3" t="n">
        <v>-0.8593977723802839</v>
      </c>
      <c r="AE904" s="3" t="n">
        <v>-0.8593977723802839</v>
      </c>
    </row>
    <row r="905">
      <c r="A905" s="3" t="inlineStr">
        <is>
          <t>GUY.distn.bkt.ove.mean.9999</t>
        </is>
      </c>
      <c r="B905" s="3" t="inlineStr">
        <is>
          <t>GUY</t>
        </is>
      </c>
      <c r="C905" s="3" t="n">
        <v>2005</v>
      </c>
      <c r="D905" s="3" t="inlineStr">
        <is>
          <t>Overall</t>
        </is>
      </c>
      <c r="E905" s="3" t="inlineStr">
        <is>
          <t>Basket</t>
        </is>
      </c>
      <c r="F905" s="3" t="inlineStr">
        <is>
          <t>mean</t>
        </is>
      </c>
      <c r="G905" s="3" t="n">
        <v>9999</v>
      </c>
      <c r="H905" s="3" t="n">
        <v>-0.7855607322284154</v>
      </c>
      <c r="I905" s="3" t="n">
        <v>-0.7855607322284154</v>
      </c>
      <c r="J905" s="3" t="n">
        <v>-0.8708347541945322</v>
      </c>
      <c r="K905" s="3" t="n">
        <v>-0.8708347541945322</v>
      </c>
      <c r="L905" s="3" t="n">
        <v>-0.7855607322284154</v>
      </c>
      <c r="M905" s="3" t="n">
        <v>-0.7855607322284154</v>
      </c>
      <c r="N905" s="3" t="n">
        <v>-0.7855607322284154</v>
      </c>
      <c r="O905" s="3" t="n">
        <v>-0.7855607322284154</v>
      </c>
      <c r="P905" s="3" t="n">
        <v>-0.7855607322284154</v>
      </c>
      <c r="Q905" s="3" t="n">
        <v>-0.7855607322284154</v>
      </c>
      <c r="R905" s="3" t="n">
        <v>-0.7720900552613394</v>
      </c>
      <c r="S905" s="3" t="n">
        <v>-1.160887002944946</v>
      </c>
      <c r="T905" s="3" t="n">
        <v>-0.7090769904000419</v>
      </c>
      <c r="U905" s="3" t="n">
        <v>-0.8708347541945322</v>
      </c>
      <c r="V905" s="3" t="n">
        <v>-0.6799844878060477</v>
      </c>
      <c r="W905" s="3" t="n">
        <v>-0.5558792540005275</v>
      </c>
      <c r="X905" s="3" t="n">
        <v>-1.140969473975045</v>
      </c>
      <c r="Y905" s="3" t="n">
        <v>-0.7855607322284154</v>
      </c>
      <c r="Z905" s="3" t="n">
        <v>-1.160887002944946</v>
      </c>
      <c r="AA905" s="3" t="n">
        <v>-1.160887002944946</v>
      </c>
      <c r="AB905" s="3" t="n">
        <v>-1.140969473975045</v>
      </c>
      <c r="AC905" s="3" t="n">
        <v>-1.501635466303144</v>
      </c>
      <c r="AD905" s="3" t="n">
        <v>-0.8708347541945322</v>
      </c>
      <c r="AE905" s="3" t="n">
        <v>-0.8708347541945322</v>
      </c>
    </row>
    <row r="906">
      <c r="A906" s="3" t="inlineStr">
        <is>
          <t>HKG.distn.dec.ove.mean.1</t>
        </is>
      </c>
      <c r="B906" s="3" t="inlineStr">
        <is>
          <t>HKG</t>
        </is>
      </c>
      <c r="C906" s="3" t="n">
        <v>2005</v>
      </c>
      <c r="D906" s="3" t="inlineStr">
        <is>
          <t>Overall</t>
        </is>
      </c>
      <c r="E906" s="3" t="inlineStr">
        <is>
          <t>Deciles</t>
        </is>
      </c>
      <c r="F906" s="3" t="inlineStr">
        <is>
          <t>mean</t>
        </is>
      </c>
      <c r="G906" s="3" t="n">
        <v>1</v>
      </c>
      <c r="H906" s="3" t="n">
        <v>-0.7882409691810608</v>
      </c>
      <c r="I906" s="3" t="n">
        <v>-0.7882409691810608</v>
      </c>
      <c r="J906" s="3" t="n">
        <v>-0.8921075463294983</v>
      </c>
      <c r="K906" s="3" t="n">
        <v>-0.8921075463294983</v>
      </c>
      <c r="L906" s="3" t="n">
        <v>-0.7882409691810608</v>
      </c>
      <c r="M906" s="3" t="n">
        <v>-0.7882409691810608</v>
      </c>
      <c r="N906" s="3" t="n">
        <v>-0.7882409691810608</v>
      </c>
      <c r="O906" s="3" t="n">
        <v>-0.7882409691810608</v>
      </c>
      <c r="P906" s="3" t="n">
        <v>-0.7882409691810608</v>
      </c>
      <c r="Q906" s="3" t="n">
        <v>-0.7882409691810608</v>
      </c>
      <c r="R906" s="3" t="n">
        <v>-0.7734707593917847</v>
      </c>
      <c r="S906" s="3" t="n">
        <v>-1.427079916000366</v>
      </c>
      <c r="T906" s="3" t="n">
        <v>-0.7094525694847107</v>
      </c>
      <c r="U906" s="3" t="n">
        <v>-0.8921075463294983</v>
      </c>
      <c r="V906" s="3" t="n">
        <v>-0.6829447150230408</v>
      </c>
      <c r="W906" s="3" t="n">
        <v>-0.591725766658783</v>
      </c>
      <c r="X906" s="3" t="n">
        <v>-1.373036503791809</v>
      </c>
      <c r="Y906" s="3" t="n">
        <v>-0.7882409691810608</v>
      </c>
      <c r="Z906" s="3" t="n">
        <v>-1.427079916000366</v>
      </c>
      <c r="AA906" s="3" t="n">
        <v>-1.427079916000366</v>
      </c>
      <c r="AB906" s="3" t="n">
        <v>-1.373036503791809</v>
      </c>
      <c r="AC906" s="3" t="n">
        <v>-2.163908004760742</v>
      </c>
      <c r="AD906" s="3" t="n">
        <v>-0.8921075463294983</v>
      </c>
      <c r="AE906" s="3" t="n">
        <v>-0.8921075463294983</v>
      </c>
    </row>
    <row r="907">
      <c r="A907" s="3" t="inlineStr">
        <is>
          <t>HKG.distn.dec.ove.mean.2</t>
        </is>
      </c>
      <c r="B907" s="3" t="inlineStr">
        <is>
          <t>HKG</t>
        </is>
      </c>
      <c r="C907" s="3" t="n">
        <v>2005</v>
      </c>
      <c r="D907" s="3" t="inlineStr">
        <is>
          <t>Overall</t>
        </is>
      </c>
      <c r="E907" s="3" t="inlineStr">
        <is>
          <t>Deciles</t>
        </is>
      </c>
      <c r="F907" s="3" t="inlineStr">
        <is>
          <t>mean</t>
        </is>
      </c>
      <c r="G907" s="3" t="n">
        <v>2</v>
      </c>
      <c r="H907" s="3" t="n">
        <v>-0.7882409691810608</v>
      </c>
      <c r="I907" s="3" t="n">
        <v>-0.7882409691810608</v>
      </c>
      <c r="J907" s="3" t="n">
        <v>-0.8921075463294983</v>
      </c>
      <c r="K907" s="3" t="n">
        <v>-0.8921075463294983</v>
      </c>
      <c r="L907" s="3" t="n">
        <v>-0.7882409691810608</v>
      </c>
      <c r="M907" s="3" t="n">
        <v>-0.7882409691810608</v>
      </c>
      <c r="N907" s="3" t="n">
        <v>-0.7882409691810608</v>
      </c>
      <c r="O907" s="3" t="n">
        <v>-0.7882409691810608</v>
      </c>
      <c r="P907" s="3" t="n">
        <v>-0.7882409691810608</v>
      </c>
      <c r="Q907" s="3" t="n">
        <v>-0.7882409691810608</v>
      </c>
      <c r="R907" s="3" t="n">
        <v>-0.7734707593917847</v>
      </c>
      <c r="S907" s="3" t="n">
        <v>-1.427079916000366</v>
      </c>
      <c r="T907" s="3" t="n">
        <v>-0.7094525694847107</v>
      </c>
      <c r="U907" s="3" t="n">
        <v>-0.8921075463294983</v>
      </c>
      <c r="V907" s="3" t="n">
        <v>-0.6829447150230408</v>
      </c>
      <c r="W907" s="3" t="n">
        <v>-0.591725766658783</v>
      </c>
      <c r="X907" s="3" t="n">
        <v>-1.373036503791809</v>
      </c>
      <c r="Y907" s="3" t="n">
        <v>-0.7882409691810608</v>
      </c>
      <c r="Z907" s="3" t="n">
        <v>-1.427079916000366</v>
      </c>
      <c r="AA907" s="3" t="n">
        <v>-1.427079916000366</v>
      </c>
      <c r="AB907" s="3" t="n">
        <v>-1.373036503791809</v>
      </c>
      <c r="AC907" s="3" t="n">
        <v>-2.163908004760742</v>
      </c>
      <c r="AD907" s="3" t="n">
        <v>-0.8921075463294983</v>
      </c>
      <c r="AE907" s="3" t="n">
        <v>-0.8921075463294983</v>
      </c>
    </row>
    <row r="908">
      <c r="A908" s="3" t="inlineStr">
        <is>
          <t>HKG.distn.dec.ove.mean.3</t>
        </is>
      </c>
      <c r="B908" s="3" t="inlineStr">
        <is>
          <t>HKG</t>
        </is>
      </c>
      <c r="C908" s="3" t="n">
        <v>2005</v>
      </c>
      <c r="D908" s="3" t="inlineStr">
        <is>
          <t>Overall</t>
        </is>
      </c>
      <c r="E908" s="3" t="inlineStr">
        <is>
          <t>Deciles</t>
        </is>
      </c>
      <c r="F908" s="3" t="inlineStr">
        <is>
          <t>mean</t>
        </is>
      </c>
      <c r="G908" s="3" t="n">
        <v>3</v>
      </c>
      <c r="H908" s="3" t="n">
        <v>-0.7882409691810608</v>
      </c>
      <c r="I908" s="3" t="n">
        <v>-0.7882409691810608</v>
      </c>
      <c r="J908" s="3" t="n">
        <v>-0.8921075463294983</v>
      </c>
      <c r="K908" s="3" t="n">
        <v>-0.8921075463294983</v>
      </c>
      <c r="L908" s="3" t="n">
        <v>-0.7882409691810608</v>
      </c>
      <c r="M908" s="3" t="n">
        <v>-0.7882409691810608</v>
      </c>
      <c r="N908" s="3" t="n">
        <v>-0.7882409691810608</v>
      </c>
      <c r="O908" s="3" t="n">
        <v>-0.7882409691810608</v>
      </c>
      <c r="P908" s="3" t="n">
        <v>-0.7882409691810608</v>
      </c>
      <c r="Q908" s="3" t="n">
        <v>-0.7882409691810608</v>
      </c>
      <c r="R908" s="3" t="n">
        <v>-0.7734707593917847</v>
      </c>
      <c r="S908" s="3" t="n">
        <v>-1.427079916000366</v>
      </c>
      <c r="T908" s="3" t="n">
        <v>-0.7094525694847107</v>
      </c>
      <c r="U908" s="3" t="n">
        <v>-0.8921075463294983</v>
      </c>
      <c r="V908" s="3" t="n">
        <v>-0.6829447150230408</v>
      </c>
      <c r="W908" s="3" t="n">
        <v>-0.591725766658783</v>
      </c>
      <c r="X908" s="3" t="n">
        <v>-1.373036503791809</v>
      </c>
      <c r="Y908" s="3" t="n">
        <v>-0.7882409691810608</v>
      </c>
      <c r="Z908" s="3" t="n">
        <v>-1.427079916000366</v>
      </c>
      <c r="AA908" s="3" t="n">
        <v>-1.427079916000366</v>
      </c>
      <c r="AB908" s="3" t="n">
        <v>-1.373036503791809</v>
      </c>
      <c r="AC908" s="3" t="n">
        <v>-2.163908004760742</v>
      </c>
      <c r="AD908" s="3" t="n">
        <v>-0.8921075463294983</v>
      </c>
      <c r="AE908" s="3" t="n">
        <v>-0.8921075463294983</v>
      </c>
    </row>
    <row r="909">
      <c r="A909" s="3" t="inlineStr">
        <is>
          <t>HKG.distn.dec.ove.mean.4</t>
        </is>
      </c>
      <c r="B909" s="3" t="inlineStr">
        <is>
          <t>HKG</t>
        </is>
      </c>
      <c r="C909" s="3" t="n">
        <v>2005</v>
      </c>
      <c r="D909" s="3" t="inlineStr">
        <is>
          <t>Overall</t>
        </is>
      </c>
      <c r="E909" s="3" t="inlineStr">
        <is>
          <t>Deciles</t>
        </is>
      </c>
      <c r="F909" s="3" t="inlineStr">
        <is>
          <t>mean</t>
        </is>
      </c>
      <c r="G909" s="3" t="n">
        <v>4</v>
      </c>
      <c r="H909" s="3" t="n">
        <v>-0.7820000052452087</v>
      </c>
      <c r="I909" s="3" t="n">
        <v>-0.7820000052452087</v>
      </c>
      <c r="J909" s="3" t="n">
        <v>-0.8489999771118164</v>
      </c>
      <c r="K909" s="3" t="n">
        <v>-0.8489999771118164</v>
      </c>
      <c r="L909" s="3" t="n">
        <v>-0.7820000052452087</v>
      </c>
      <c r="M909" s="3" t="n">
        <v>-0.7820000052452087</v>
      </c>
      <c r="N909" s="3" t="n">
        <v>-0.7820000052452087</v>
      </c>
      <c r="O909" s="3" t="n">
        <v>-0.7820000052452087</v>
      </c>
      <c r="P909" s="3" t="n">
        <v>-0.7820000052452087</v>
      </c>
      <c r="Q909" s="3" t="n">
        <v>-0.7820000052452087</v>
      </c>
      <c r="R909" s="3" t="n">
        <v>-0.7699999809265137</v>
      </c>
      <c r="S909" s="3" t="n">
        <v>-0.9720000028610229</v>
      </c>
      <c r="T909" s="3" t="n">
        <v>-0.7080000042915344</v>
      </c>
      <c r="U909" s="3" t="n">
        <v>-0.8489999771118164</v>
      </c>
      <c r="V909" s="3" t="n">
        <v>-0.6759999990463257</v>
      </c>
      <c r="W909" s="3" t="n">
        <v>-0.4979999959468842</v>
      </c>
      <c r="X909" s="3" t="n">
        <v>-0.968999981880188</v>
      </c>
      <c r="Y909" s="3" t="n">
        <v>-0.7820000052452087</v>
      </c>
      <c r="Z909" s="3" t="n">
        <v>-0.9720000028610229</v>
      </c>
      <c r="AA909" s="3" t="n">
        <v>-0.9720000028610229</v>
      </c>
      <c r="AB909" s="3" t="n">
        <v>-0.968999981880188</v>
      </c>
      <c r="AC909" s="3" t="n">
        <v>-1.044999957084656</v>
      </c>
      <c r="AD909" s="3" t="n">
        <v>-0.8489999771118164</v>
      </c>
      <c r="AE909" s="3" t="n">
        <v>-0.8489999771118164</v>
      </c>
    </row>
    <row r="910">
      <c r="A910" s="3" t="inlineStr">
        <is>
          <t>HKG.distn.dec.ove.mean.5</t>
        </is>
      </c>
      <c r="B910" s="3" t="inlineStr">
        <is>
          <t>HKG</t>
        </is>
      </c>
      <c r="C910" s="3" t="n">
        <v>2005</v>
      </c>
      <c r="D910" s="3" t="inlineStr">
        <is>
          <t>Overall</t>
        </is>
      </c>
      <c r="E910" s="3" t="inlineStr">
        <is>
          <t>Deciles</t>
        </is>
      </c>
      <c r="F910" s="3" t="inlineStr">
        <is>
          <t>mean</t>
        </is>
      </c>
      <c r="G910" s="3" t="n">
        <v>5</v>
      </c>
      <c r="H910" s="3" t="n">
        <v>-0.7820000052452087</v>
      </c>
      <c r="I910" s="3" t="n">
        <v>-0.7820000052452087</v>
      </c>
      <c r="J910" s="3" t="n">
        <v>-0.8489999771118164</v>
      </c>
      <c r="K910" s="3" t="n">
        <v>-0.8489999771118164</v>
      </c>
      <c r="L910" s="3" t="n">
        <v>-0.7820000052452087</v>
      </c>
      <c r="M910" s="3" t="n">
        <v>-0.7820000052452087</v>
      </c>
      <c r="N910" s="3" t="n">
        <v>-0.7820000052452087</v>
      </c>
      <c r="O910" s="3" t="n">
        <v>-0.7820000052452087</v>
      </c>
      <c r="P910" s="3" t="n">
        <v>-0.7820000052452087</v>
      </c>
      <c r="Q910" s="3" t="n">
        <v>-0.7820000052452087</v>
      </c>
      <c r="R910" s="3" t="n">
        <v>-0.7699999809265137</v>
      </c>
      <c r="S910" s="3" t="n">
        <v>-0.9720000028610229</v>
      </c>
      <c r="T910" s="3" t="n">
        <v>-0.7080000042915344</v>
      </c>
      <c r="U910" s="3" t="n">
        <v>-0.8489999771118164</v>
      </c>
      <c r="V910" s="3" t="n">
        <v>-0.6759999990463257</v>
      </c>
      <c r="W910" s="3" t="n">
        <v>-0.4979999959468842</v>
      </c>
      <c r="X910" s="3" t="n">
        <v>-0.968999981880188</v>
      </c>
      <c r="Y910" s="3" t="n">
        <v>-0.7820000052452087</v>
      </c>
      <c r="Z910" s="3" t="n">
        <v>-0.9720000028610229</v>
      </c>
      <c r="AA910" s="3" t="n">
        <v>-0.9720000028610229</v>
      </c>
      <c r="AB910" s="3" t="n">
        <v>-0.968999981880188</v>
      </c>
      <c r="AC910" s="3" t="n">
        <v>-1.044999957084656</v>
      </c>
      <c r="AD910" s="3" t="n">
        <v>-0.8489999771118164</v>
      </c>
      <c r="AE910" s="3" t="n">
        <v>-0.8489999771118164</v>
      </c>
    </row>
    <row r="911">
      <c r="A911" s="3" t="inlineStr">
        <is>
          <t>HKG.distn.dec.ove.mean.6</t>
        </is>
      </c>
      <c r="B911" s="3" t="inlineStr">
        <is>
          <t>HKG</t>
        </is>
      </c>
      <c r="C911" s="3" t="n">
        <v>2005</v>
      </c>
      <c r="D911" s="3" t="inlineStr">
        <is>
          <t>Overall</t>
        </is>
      </c>
      <c r="E911" s="3" t="inlineStr">
        <is>
          <t>Deciles</t>
        </is>
      </c>
      <c r="F911" s="3" t="inlineStr">
        <is>
          <t>mean</t>
        </is>
      </c>
      <c r="G911" s="3" t="n">
        <v>6</v>
      </c>
      <c r="H911" s="3" t="n">
        <v>-0.7820000052452087</v>
      </c>
      <c r="I911" s="3" t="n">
        <v>-0.7820000052452087</v>
      </c>
      <c r="J911" s="3" t="n">
        <v>-0.8489999771118164</v>
      </c>
      <c r="K911" s="3" t="n">
        <v>-0.8489999771118164</v>
      </c>
      <c r="L911" s="3" t="n">
        <v>-0.7820000052452087</v>
      </c>
      <c r="M911" s="3" t="n">
        <v>-0.7820000052452087</v>
      </c>
      <c r="N911" s="3" t="n">
        <v>-0.7820000052452087</v>
      </c>
      <c r="O911" s="3" t="n">
        <v>-0.7820000052452087</v>
      </c>
      <c r="P911" s="3" t="n">
        <v>-0.7820000052452087</v>
      </c>
      <c r="Q911" s="3" t="n">
        <v>-0.7820000052452087</v>
      </c>
      <c r="R911" s="3" t="n">
        <v>-0.7699999809265137</v>
      </c>
      <c r="S911" s="3" t="n">
        <v>-0.9720000028610229</v>
      </c>
      <c r="T911" s="3" t="n">
        <v>-0.7080000042915344</v>
      </c>
      <c r="U911" s="3" t="n">
        <v>-0.8489999771118164</v>
      </c>
      <c r="V911" s="3" t="n">
        <v>-0.6759999990463257</v>
      </c>
      <c r="W911" s="3" t="n">
        <v>-0.4979999959468842</v>
      </c>
      <c r="X911" s="3" t="n">
        <v>-0.968999981880188</v>
      </c>
      <c r="Y911" s="3" t="n">
        <v>-0.7820000052452087</v>
      </c>
      <c r="Z911" s="3" t="n">
        <v>-0.9720000028610229</v>
      </c>
      <c r="AA911" s="3" t="n">
        <v>-0.9720000028610229</v>
      </c>
      <c r="AB911" s="3" t="n">
        <v>-0.968999981880188</v>
      </c>
      <c r="AC911" s="3" t="n">
        <v>-1.044999957084656</v>
      </c>
      <c r="AD911" s="3" t="n">
        <v>-0.8489999771118164</v>
      </c>
      <c r="AE911" s="3" t="n">
        <v>-0.8489999771118164</v>
      </c>
    </row>
    <row r="912">
      <c r="A912" s="3" t="inlineStr">
        <is>
          <t>HKG.distn.dec.ove.mean.7</t>
        </is>
      </c>
      <c r="B912" s="3" t="inlineStr">
        <is>
          <t>HKG</t>
        </is>
      </c>
      <c r="C912" s="3" t="n">
        <v>2005</v>
      </c>
      <c r="D912" s="3" t="inlineStr">
        <is>
          <t>Overall</t>
        </is>
      </c>
      <c r="E912" s="3" t="inlineStr">
        <is>
          <t>Deciles</t>
        </is>
      </c>
      <c r="F912" s="3" t="inlineStr">
        <is>
          <t>mean</t>
        </is>
      </c>
      <c r="G912" s="3" t="n">
        <v>7</v>
      </c>
      <c r="H912" s="3" t="n">
        <v>-0.7820000052452087</v>
      </c>
      <c r="I912" s="3" t="n">
        <v>-0.7820000052452087</v>
      </c>
      <c r="J912" s="3" t="n">
        <v>-0.8489999771118164</v>
      </c>
      <c r="K912" s="3" t="n">
        <v>-0.8489999771118164</v>
      </c>
      <c r="L912" s="3" t="n">
        <v>-0.7820000052452087</v>
      </c>
      <c r="M912" s="3" t="n">
        <v>-0.7820000052452087</v>
      </c>
      <c r="N912" s="3" t="n">
        <v>-0.7820000052452087</v>
      </c>
      <c r="O912" s="3" t="n">
        <v>-0.7820000052452087</v>
      </c>
      <c r="P912" s="3" t="n">
        <v>-0.7820000052452087</v>
      </c>
      <c r="Q912" s="3" t="n">
        <v>-0.7820000052452087</v>
      </c>
      <c r="R912" s="3" t="n">
        <v>-0.7699999809265137</v>
      </c>
      <c r="S912" s="3" t="n">
        <v>-0.9720000028610229</v>
      </c>
      <c r="T912" s="3" t="n">
        <v>-0.7080000042915344</v>
      </c>
      <c r="U912" s="3" t="n">
        <v>-0.8489999771118164</v>
      </c>
      <c r="V912" s="3" t="n">
        <v>-0.6759999990463257</v>
      </c>
      <c r="W912" s="3" t="n">
        <v>-0.4979999959468842</v>
      </c>
      <c r="X912" s="3" t="n">
        <v>-0.968999981880188</v>
      </c>
      <c r="Y912" s="3" t="n">
        <v>-0.7820000052452087</v>
      </c>
      <c r="Z912" s="3" t="n">
        <v>-0.9720000028610229</v>
      </c>
      <c r="AA912" s="3" t="n">
        <v>-0.9720000028610229</v>
      </c>
      <c r="AB912" s="3" t="n">
        <v>-0.968999981880188</v>
      </c>
      <c r="AC912" s="3" t="n">
        <v>-1.044999957084656</v>
      </c>
      <c r="AD912" s="3" t="n">
        <v>-0.8489999771118164</v>
      </c>
      <c r="AE912" s="3" t="n">
        <v>-0.8489999771118164</v>
      </c>
    </row>
    <row r="913">
      <c r="A913" s="3" t="inlineStr">
        <is>
          <t>HKG.distn.dec.ove.mean.8</t>
        </is>
      </c>
      <c r="B913" s="3" t="inlineStr">
        <is>
          <t>HKG</t>
        </is>
      </c>
      <c r="C913" s="3" t="n">
        <v>2005</v>
      </c>
      <c r="D913" s="3" t="inlineStr">
        <is>
          <t>Overall</t>
        </is>
      </c>
      <c r="E913" s="3" t="inlineStr">
        <is>
          <t>Deciles</t>
        </is>
      </c>
      <c r="F913" s="3" t="inlineStr">
        <is>
          <t>mean</t>
        </is>
      </c>
      <c r="G913" s="3" t="n">
        <v>8</v>
      </c>
      <c r="H913" s="3" t="n">
        <v>-0.782376766204834</v>
      </c>
      <c r="I913" s="3" t="n">
        <v>-0.782376766204834</v>
      </c>
      <c r="J913" s="3" t="n">
        <v>-0.851290225982666</v>
      </c>
      <c r="K913" s="3" t="n">
        <v>-0.851290225982666</v>
      </c>
      <c r="L913" s="3" t="n">
        <v>-0.782376766204834</v>
      </c>
      <c r="M913" s="3" t="n">
        <v>-0.782376766204834</v>
      </c>
      <c r="N913" s="3" t="n">
        <v>-0.782376766204834</v>
      </c>
      <c r="O913" s="3" t="n">
        <v>-0.782376766204834</v>
      </c>
      <c r="P913" s="3" t="n">
        <v>-0.782376766204834</v>
      </c>
      <c r="Q913" s="3" t="n">
        <v>-0.782376766204834</v>
      </c>
      <c r="R913" s="3" t="n">
        <v>-0.7702532410621643</v>
      </c>
      <c r="S913" s="3" t="n">
        <v>-0.981044590473175</v>
      </c>
      <c r="T913" s="3" t="n">
        <v>-0.7080408334732056</v>
      </c>
      <c r="U913" s="3" t="n">
        <v>-0.851290225982666</v>
      </c>
      <c r="V913" s="3" t="n">
        <v>-0.6766988039016724</v>
      </c>
      <c r="W913" s="3" t="n">
        <v>-0.5113358497619629</v>
      </c>
      <c r="X913" s="3" t="n">
        <v>-0.9778295159339905</v>
      </c>
      <c r="Y913" s="3" t="n">
        <v>-0.782376766204834</v>
      </c>
      <c r="Z913" s="3" t="n">
        <v>-0.981044590473175</v>
      </c>
      <c r="AA913" s="3" t="n">
        <v>-0.981044590473175</v>
      </c>
      <c r="AB913" s="3" t="n">
        <v>-0.9778295159339905</v>
      </c>
      <c r="AC913" s="3" t="n">
        <v>-1.059903144836426</v>
      </c>
      <c r="AD913" s="3" t="n">
        <v>-0.851290225982666</v>
      </c>
      <c r="AE913" s="3" t="n">
        <v>-0.851290225982666</v>
      </c>
    </row>
    <row r="914">
      <c r="A914" s="3" t="inlineStr">
        <is>
          <t>HKG.distn.dec.ove.mean.9</t>
        </is>
      </c>
      <c r="B914" s="3" t="inlineStr">
        <is>
          <t>HKG</t>
        </is>
      </c>
      <c r="C914" s="3" t="n">
        <v>2005</v>
      </c>
      <c r="D914" s="3" t="inlineStr">
        <is>
          <t>Overall</t>
        </is>
      </c>
      <c r="E914" s="3" t="inlineStr">
        <is>
          <t>Deciles</t>
        </is>
      </c>
      <c r="F914" s="3" t="inlineStr">
        <is>
          <t>mean</t>
        </is>
      </c>
      <c r="G914" s="3" t="n">
        <v>9</v>
      </c>
      <c r="H914" s="3" t="n">
        <v>-0.782376766204834</v>
      </c>
      <c r="I914" s="3" t="n">
        <v>-0.782376766204834</v>
      </c>
      <c r="J914" s="3" t="n">
        <v>-0.851290225982666</v>
      </c>
      <c r="K914" s="3" t="n">
        <v>-0.851290225982666</v>
      </c>
      <c r="L914" s="3" t="n">
        <v>-0.782376766204834</v>
      </c>
      <c r="M914" s="3" t="n">
        <v>-0.782376766204834</v>
      </c>
      <c r="N914" s="3" t="n">
        <v>-0.782376766204834</v>
      </c>
      <c r="O914" s="3" t="n">
        <v>-0.782376766204834</v>
      </c>
      <c r="P914" s="3" t="n">
        <v>-0.782376766204834</v>
      </c>
      <c r="Q914" s="3" t="n">
        <v>-0.782376766204834</v>
      </c>
      <c r="R914" s="3" t="n">
        <v>-0.7702532410621643</v>
      </c>
      <c r="S914" s="3" t="n">
        <v>-0.981044590473175</v>
      </c>
      <c r="T914" s="3" t="n">
        <v>-0.7080408334732056</v>
      </c>
      <c r="U914" s="3" t="n">
        <v>-0.851290225982666</v>
      </c>
      <c r="V914" s="3" t="n">
        <v>-0.6766988039016724</v>
      </c>
      <c r="W914" s="3" t="n">
        <v>-0.5113358497619629</v>
      </c>
      <c r="X914" s="3" t="n">
        <v>-0.9778295159339905</v>
      </c>
      <c r="Y914" s="3" t="n">
        <v>-0.782376766204834</v>
      </c>
      <c r="Z914" s="3" t="n">
        <v>-0.981044590473175</v>
      </c>
      <c r="AA914" s="3" t="n">
        <v>-0.981044590473175</v>
      </c>
      <c r="AB914" s="3" t="n">
        <v>-0.9778295159339905</v>
      </c>
      <c r="AC914" s="3" t="n">
        <v>-1.059903144836426</v>
      </c>
      <c r="AD914" s="3" t="n">
        <v>-0.851290225982666</v>
      </c>
      <c r="AE914" s="3" t="n">
        <v>-0.851290225982666</v>
      </c>
    </row>
    <row r="915">
      <c r="A915" s="3" t="inlineStr">
        <is>
          <t>HKG.distn.dec.ove.mean.10</t>
        </is>
      </c>
      <c r="B915" s="3" t="inlineStr">
        <is>
          <t>HKG</t>
        </is>
      </c>
      <c r="C915" s="3" t="n">
        <v>2005</v>
      </c>
      <c r="D915" s="3" t="inlineStr">
        <is>
          <t>Overall</t>
        </is>
      </c>
      <c r="E915" s="3" t="inlineStr">
        <is>
          <t>Deciles</t>
        </is>
      </c>
      <c r="F915" s="3" t="inlineStr">
        <is>
          <t>mean</t>
        </is>
      </c>
      <c r="G915" s="3" t="n">
        <v>10</v>
      </c>
      <c r="H915" s="3" t="n">
        <v>-0.782376766204834</v>
      </c>
      <c r="I915" s="3" t="n">
        <v>-0.782376766204834</v>
      </c>
      <c r="J915" s="3" t="n">
        <v>-0.851290225982666</v>
      </c>
      <c r="K915" s="3" t="n">
        <v>-0.851290225982666</v>
      </c>
      <c r="L915" s="3" t="n">
        <v>-0.782376766204834</v>
      </c>
      <c r="M915" s="3" t="n">
        <v>-0.782376766204834</v>
      </c>
      <c r="N915" s="3" t="n">
        <v>-0.782376766204834</v>
      </c>
      <c r="O915" s="3" t="n">
        <v>-0.782376766204834</v>
      </c>
      <c r="P915" s="3" t="n">
        <v>-0.782376766204834</v>
      </c>
      <c r="Q915" s="3" t="n">
        <v>-0.782376766204834</v>
      </c>
      <c r="R915" s="3" t="n">
        <v>-0.7702532410621643</v>
      </c>
      <c r="S915" s="3" t="n">
        <v>-0.981044590473175</v>
      </c>
      <c r="T915" s="3" t="n">
        <v>-0.7080408334732056</v>
      </c>
      <c r="U915" s="3" t="n">
        <v>-0.851290225982666</v>
      </c>
      <c r="V915" s="3" t="n">
        <v>-0.6766988039016724</v>
      </c>
      <c r="W915" s="3" t="n">
        <v>-0.5113358497619629</v>
      </c>
      <c r="X915" s="3" t="n">
        <v>-0.9778295159339905</v>
      </c>
      <c r="Y915" s="3" t="n">
        <v>-0.782376766204834</v>
      </c>
      <c r="Z915" s="3" t="n">
        <v>-0.981044590473175</v>
      </c>
      <c r="AA915" s="3" t="n">
        <v>-0.981044590473175</v>
      </c>
      <c r="AB915" s="3" t="n">
        <v>-0.9778295159339905</v>
      </c>
      <c r="AC915" s="3" t="n">
        <v>-1.059903144836426</v>
      </c>
      <c r="AD915" s="3" t="n">
        <v>-0.851290225982666</v>
      </c>
      <c r="AE915" s="3" t="n">
        <v>-0.851290225982666</v>
      </c>
    </row>
    <row r="916">
      <c r="A916" s="3" t="inlineStr">
        <is>
          <t>HKG.distn.bkt.ove.mean.9999</t>
        </is>
      </c>
      <c r="B916" s="3" t="inlineStr">
        <is>
          <t>HKG</t>
        </is>
      </c>
      <c r="C916" s="3" t="n">
        <v>2005</v>
      </c>
      <c r="D916" s="3" t="inlineStr">
        <is>
          <t>Overall</t>
        </is>
      </c>
      <c r="E916" s="3" t="inlineStr">
        <is>
          <t>Basket</t>
        </is>
      </c>
      <c r="F916" s="3" t="inlineStr">
        <is>
          <t>mean</t>
        </is>
      </c>
      <c r="G916" s="3" t="n">
        <v>9999</v>
      </c>
      <c r="H916" s="3" t="n">
        <v>-0.7839853167533875</v>
      </c>
      <c r="I916" s="3" t="n">
        <v>-0.7839853167533875</v>
      </c>
      <c r="J916" s="3" t="n">
        <v>-0.8626193404197693</v>
      </c>
      <c r="K916" s="3" t="n">
        <v>-0.8626193404197693</v>
      </c>
      <c r="L916" s="3" t="n">
        <v>-0.7839853167533875</v>
      </c>
      <c r="M916" s="3" t="n">
        <v>-0.7839853167533875</v>
      </c>
      <c r="N916" s="3" t="n">
        <v>-0.7839853167533875</v>
      </c>
      <c r="O916" s="3" t="n">
        <v>-0.7839853167533875</v>
      </c>
      <c r="P916" s="3" t="n">
        <v>-0.7839853167533875</v>
      </c>
      <c r="Q916" s="3" t="n">
        <v>-0.7839853167533875</v>
      </c>
      <c r="R916" s="3" t="n">
        <v>-0.7711172103881836</v>
      </c>
      <c r="S916" s="3" t="n">
        <v>-1.111237406730652</v>
      </c>
      <c r="T916" s="3" t="n">
        <v>-0.708448052406311</v>
      </c>
      <c r="U916" s="3" t="n">
        <v>-0.8626193404197693</v>
      </c>
      <c r="V916" s="3" t="n">
        <v>-0.6782930493354797</v>
      </c>
      <c r="W916" s="3" t="n">
        <v>-0.530118465423584</v>
      </c>
      <c r="X916" s="3" t="n">
        <v>-1.092859745025635</v>
      </c>
      <c r="Y916" s="3" t="n">
        <v>-0.7839853167533875</v>
      </c>
      <c r="Z916" s="3" t="n">
        <v>-1.111237406730652</v>
      </c>
      <c r="AA916" s="3" t="n">
        <v>-1.111237406730652</v>
      </c>
      <c r="AB916" s="3" t="n">
        <v>-1.092859745025635</v>
      </c>
      <c r="AC916" s="3" t="n">
        <v>-1.385143280029297</v>
      </c>
      <c r="AD916" s="3" t="n">
        <v>-0.8626193404197693</v>
      </c>
      <c r="AE916" s="3" t="n">
        <v>-0.8626193404197693</v>
      </c>
    </row>
    <row r="917">
      <c r="A917" s="3" t="inlineStr">
        <is>
          <t>HND.distn.dec.ove.mean.1</t>
        </is>
      </c>
      <c r="B917" s="3" t="inlineStr">
        <is>
          <t>HND</t>
        </is>
      </c>
      <c r="C917" s="3" t="n">
        <v>2005</v>
      </c>
      <c r="D917" s="3" t="inlineStr">
        <is>
          <t>Overall</t>
        </is>
      </c>
      <c r="E917" s="3" t="inlineStr">
        <is>
          <t>Deciles</t>
        </is>
      </c>
      <c r="F917" s="3" t="inlineStr">
        <is>
          <t>mean</t>
        </is>
      </c>
      <c r="G917" s="3" t="n">
        <v>1</v>
      </c>
      <c r="H917" s="3" t="n">
        <v>-0.7936522003851438</v>
      </c>
      <c r="I917" s="3" t="n">
        <v>-0.7936522003851438</v>
      </c>
      <c r="J917" s="3" t="n">
        <v>-0.9276126356501329</v>
      </c>
      <c r="K917" s="3" t="n">
        <v>-0.9276126356501329</v>
      </c>
      <c r="L917" s="3" t="n">
        <v>-0.7936522003851438</v>
      </c>
      <c r="M917" s="3" t="n">
        <v>-0.7936522003851438</v>
      </c>
      <c r="N917" s="3" t="n">
        <v>-0.7936522003851438</v>
      </c>
      <c r="O917" s="3" t="n">
        <v>-0.7936522003851438</v>
      </c>
      <c r="P917" s="3" t="n">
        <v>-0.7936522003851438</v>
      </c>
      <c r="Q917" s="3" t="n">
        <v>-0.7936522003851438</v>
      </c>
      <c r="R917" s="3" t="n">
        <v>-0.7764578367534437</v>
      </c>
      <c r="S917" s="3" t="n">
        <v>-1.851309371621985</v>
      </c>
      <c r="T917" s="3" t="n">
        <v>-0.7110083871766141</v>
      </c>
      <c r="U917" s="3" t="n">
        <v>-0.9276126356501329</v>
      </c>
      <c r="V917" s="3" t="n">
        <v>-0.688554396754817</v>
      </c>
      <c r="W917" s="3" t="n">
        <v>-0.6748062403578508</v>
      </c>
      <c r="X917" s="3" t="n">
        <v>-1.760538414904946</v>
      </c>
      <c r="Y917" s="3" t="n">
        <v>-0.7936522003851438</v>
      </c>
      <c r="Z917" s="3" t="n">
        <v>-1.851309371621985</v>
      </c>
      <c r="AA917" s="3" t="n">
        <v>-1.851309371621985</v>
      </c>
      <c r="AB917" s="3" t="n">
        <v>-1.760538414904946</v>
      </c>
      <c r="AC917" s="3" t="n">
        <v>-4.00243950517554</v>
      </c>
      <c r="AD917" s="3" t="n">
        <v>-0.9276126356501329</v>
      </c>
      <c r="AE917" s="3" t="n">
        <v>-0.9276126356501329</v>
      </c>
    </row>
    <row r="918">
      <c r="A918" s="3" t="inlineStr">
        <is>
          <t>HND.distn.dec.ove.mean.2</t>
        </is>
      </c>
      <c r="B918" s="3" t="inlineStr">
        <is>
          <t>HND</t>
        </is>
      </c>
      <c r="C918" s="3" t="n">
        <v>2005</v>
      </c>
      <c r="D918" s="3" t="inlineStr">
        <is>
          <t>Overall</t>
        </is>
      </c>
      <c r="E918" s="3" t="inlineStr">
        <is>
          <t>Deciles</t>
        </is>
      </c>
      <c r="F918" s="3" t="inlineStr">
        <is>
          <t>mean</t>
        </is>
      </c>
      <c r="G918" s="3" t="n">
        <v>2</v>
      </c>
      <c r="H918" s="3" t="n">
        <v>-0.7936522003851438</v>
      </c>
      <c r="I918" s="3" t="n">
        <v>-0.7936522003851438</v>
      </c>
      <c r="J918" s="3" t="n">
        <v>-0.9276126356501329</v>
      </c>
      <c r="K918" s="3" t="n">
        <v>-0.9276126356501329</v>
      </c>
      <c r="L918" s="3" t="n">
        <v>-0.7936522003851438</v>
      </c>
      <c r="M918" s="3" t="n">
        <v>-0.7936522003851438</v>
      </c>
      <c r="N918" s="3" t="n">
        <v>-0.7936522003851438</v>
      </c>
      <c r="O918" s="3" t="n">
        <v>-0.7936522003851438</v>
      </c>
      <c r="P918" s="3" t="n">
        <v>-0.7936522003851438</v>
      </c>
      <c r="Q918" s="3" t="n">
        <v>-0.7936522003851438</v>
      </c>
      <c r="R918" s="3" t="n">
        <v>-0.7764578367534437</v>
      </c>
      <c r="S918" s="3" t="n">
        <v>-1.851309371621985</v>
      </c>
      <c r="T918" s="3" t="n">
        <v>-0.7110083871766141</v>
      </c>
      <c r="U918" s="3" t="n">
        <v>-0.9276126356501329</v>
      </c>
      <c r="V918" s="3" t="n">
        <v>-0.688554396754817</v>
      </c>
      <c r="W918" s="3" t="n">
        <v>-0.6748062403578508</v>
      </c>
      <c r="X918" s="3" t="n">
        <v>-1.760538414904946</v>
      </c>
      <c r="Y918" s="3" t="n">
        <v>-0.7936522003851438</v>
      </c>
      <c r="Z918" s="3" t="n">
        <v>-1.851309371621985</v>
      </c>
      <c r="AA918" s="3" t="n">
        <v>-1.851309371621985</v>
      </c>
      <c r="AB918" s="3" t="n">
        <v>-1.760538414904946</v>
      </c>
      <c r="AC918" s="3" t="n">
        <v>-4.00243950517554</v>
      </c>
      <c r="AD918" s="3" t="n">
        <v>-0.9276126356501329</v>
      </c>
      <c r="AE918" s="3" t="n">
        <v>-0.9276126356501329</v>
      </c>
    </row>
    <row r="919">
      <c r="A919" s="3" t="inlineStr">
        <is>
          <t>HND.distn.dec.ove.mean.3</t>
        </is>
      </c>
      <c r="B919" s="3" t="inlineStr">
        <is>
          <t>HND</t>
        </is>
      </c>
      <c r="C919" s="3" t="n">
        <v>2005</v>
      </c>
      <c r="D919" s="3" t="inlineStr">
        <is>
          <t>Overall</t>
        </is>
      </c>
      <c r="E919" s="3" t="inlineStr">
        <is>
          <t>Deciles</t>
        </is>
      </c>
      <c r="F919" s="3" t="inlineStr">
        <is>
          <t>mean</t>
        </is>
      </c>
      <c r="G919" s="3" t="n">
        <v>3</v>
      </c>
      <c r="H919" s="3" t="n">
        <v>-0.7936522003851438</v>
      </c>
      <c r="I919" s="3" t="n">
        <v>-0.7936522003851438</v>
      </c>
      <c r="J919" s="3" t="n">
        <v>-0.9276126356501329</v>
      </c>
      <c r="K919" s="3" t="n">
        <v>-0.9276126356501329</v>
      </c>
      <c r="L919" s="3" t="n">
        <v>-0.7936522003851438</v>
      </c>
      <c r="M919" s="3" t="n">
        <v>-0.7936522003851438</v>
      </c>
      <c r="N919" s="3" t="n">
        <v>-0.7936522003851438</v>
      </c>
      <c r="O919" s="3" t="n">
        <v>-0.7936522003851438</v>
      </c>
      <c r="P919" s="3" t="n">
        <v>-0.7936522003851438</v>
      </c>
      <c r="Q919" s="3" t="n">
        <v>-0.7936522003851438</v>
      </c>
      <c r="R919" s="3" t="n">
        <v>-0.7764578367534437</v>
      </c>
      <c r="S919" s="3" t="n">
        <v>-1.851309371621985</v>
      </c>
      <c r="T919" s="3" t="n">
        <v>-0.7110083871766141</v>
      </c>
      <c r="U919" s="3" t="n">
        <v>-0.9276126356501329</v>
      </c>
      <c r="V919" s="3" t="n">
        <v>-0.688554396754817</v>
      </c>
      <c r="W919" s="3" t="n">
        <v>-0.6748062403578508</v>
      </c>
      <c r="X919" s="3" t="n">
        <v>-1.760538414904946</v>
      </c>
      <c r="Y919" s="3" t="n">
        <v>-0.7936522003851438</v>
      </c>
      <c r="Z919" s="3" t="n">
        <v>-1.851309371621985</v>
      </c>
      <c r="AA919" s="3" t="n">
        <v>-1.851309371621985</v>
      </c>
      <c r="AB919" s="3" t="n">
        <v>-1.760538414904946</v>
      </c>
      <c r="AC919" s="3" t="n">
        <v>-4.00243950517554</v>
      </c>
      <c r="AD919" s="3" t="n">
        <v>-0.9276126356501329</v>
      </c>
      <c r="AE919" s="3" t="n">
        <v>-0.9276126356501329</v>
      </c>
    </row>
    <row r="920">
      <c r="A920" s="3" t="inlineStr">
        <is>
          <t>HND.distn.dec.ove.mean.4</t>
        </is>
      </c>
      <c r="B920" s="3" t="inlineStr">
        <is>
          <t>HND</t>
        </is>
      </c>
      <c r="C920" s="3" t="n">
        <v>2005</v>
      </c>
      <c r="D920" s="3" t="inlineStr">
        <is>
          <t>Overall</t>
        </is>
      </c>
      <c r="E920" s="3" t="inlineStr">
        <is>
          <t>Deciles</t>
        </is>
      </c>
      <c r="F920" s="3" t="inlineStr">
        <is>
          <t>mean</t>
        </is>
      </c>
      <c r="G920" s="3" t="n">
        <v>4</v>
      </c>
      <c r="H920" s="3" t="n">
        <v>-0.7873684167861938</v>
      </c>
      <c r="I920" s="3" t="n">
        <v>-0.7873684167861938</v>
      </c>
      <c r="J920" s="3" t="n">
        <v>-0.8827894769216839</v>
      </c>
      <c r="K920" s="3" t="n">
        <v>-0.8827894769216839</v>
      </c>
      <c r="L920" s="3" t="n">
        <v>-0.7873684167861938</v>
      </c>
      <c r="M920" s="3" t="n">
        <v>-0.7873684167861938</v>
      </c>
      <c r="N920" s="3" t="n">
        <v>-0.7873684167861938</v>
      </c>
      <c r="O920" s="3" t="n">
        <v>-0.7873684167861938</v>
      </c>
      <c r="P920" s="3" t="n">
        <v>-0.7873684167861938</v>
      </c>
      <c r="Q920" s="3" t="n">
        <v>-0.7873684167861938</v>
      </c>
      <c r="R920" s="3" t="n">
        <v>-0.7729736864566803</v>
      </c>
      <c r="S920" s="3" t="n">
        <v>-1.260947363941293</v>
      </c>
      <c r="T920" s="3" t="n">
        <v>-0.7095526174495095</v>
      </c>
      <c r="U920" s="3" t="n">
        <v>-0.8827894769216839</v>
      </c>
      <c r="V920" s="3" t="n">
        <v>-0.6815526375645086</v>
      </c>
      <c r="W920" s="3" t="n">
        <v>-0.5679210565592113</v>
      </c>
      <c r="X920" s="3" t="n">
        <v>-1.242473682290629</v>
      </c>
      <c r="Y920" s="3" t="n">
        <v>-0.7873684167861938</v>
      </c>
      <c r="Z920" s="3" t="n">
        <v>-1.260947363941293</v>
      </c>
      <c r="AA920" s="3" t="n">
        <v>-1.260947363941293</v>
      </c>
      <c r="AB920" s="3" t="n">
        <v>-1.242473682290629</v>
      </c>
      <c r="AC920" s="3" t="n">
        <v>-1.932868417940642</v>
      </c>
      <c r="AD920" s="3" t="n">
        <v>-0.8827894769216839</v>
      </c>
      <c r="AE920" s="3" t="n">
        <v>-0.8827894769216839</v>
      </c>
    </row>
    <row r="921">
      <c r="A921" s="3" t="inlineStr">
        <is>
          <t>HND.distn.dec.ove.mean.5</t>
        </is>
      </c>
      <c r="B921" s="3" t="inlineStr">
        <is>
          <t>HND</t>
        </is>
      </c>
      <c r="C921" s="3" t="n">
        <v>2005</v>
      </c>
      <c r="D921" s="3" t="inlineStr">
        <is>
          <t>Overall</t>
        </is>
      </c>
      <c r="E921" s="3" t="inlineStr">
        <is>
          <t>Deciles</t>
        </is>
      </c>
      <c r="F921" s="3" t="inlineStr">
        <is>
          <t>mean</t>
        </is>
      </c>
      <c r="G921" s="3" t="n">
        <v>5</v>
      </c>
      <c r="H921" s="3" t="n">
        <v>-0.7873684167861938</v>
      </c>
      <c r="I921" s="3" t="n">
        <v>-0.7873684167861938</v>
      </c>
      <c r="J921" s="3" t="n">
        <v>-0.8827894769216839</v>
      </c>
      <c r="K921" s="3" t="n">
        <v>-0.8827894769216839</v>
      </c>
      <c r="L921" s="3" t="n">
        <v>-0.7873684167861938</v>
      </c>
      <c r="M921" s="3" t="n">
        <v>-0.7873684167861938</v>
      </c>
      <c r="N921" s="3" t="n">
        <v>-0.7873684167861938</v>
      </c>
      <c r="O921" s="3" t="n">
        <v>-0.7873684167861938</v>
      </c>
      <c r="P921" s="3" t="n">
        <v>-0.7873684167861938</v>
      </c>
      <c r="Q921" s="3" t="n">
        <v>-0.7873684167861938</v>
      </c>
      <c r="R921" s="3" t="n">
        <v>-0.7729736864566803</v>
      </c>
      <c r="S921" s="3" t="n">
        <v>-1.260947363941293</v>
      </c>
      <c r="T921" s="3" t="n">
        <v>-0.7095526174495095</v>
      </c>
      <c r="U921" s="3" t="n">
        <v>-0.8827894769216839</v>
      </c>
      <c r="V921" s="3" t="n">
        <v>-0.6815526375645086</v>
      </c>
      <c r="W921" s="3" t="n">
        <v>-0.5679210565592113</v>
      </c>
      <c r="X921" s="3" t="n">
        <v>-1.242473682290629</v>
      </c>
      <c r="Y921" s="3" t="n">
        <v>-0.7873684167861938</v>
      </c>
      <c r="Z921" s="3" t="n">
        <v>-1.260947363941293</v>
      </c>
      <c r="AA921" s="3" t="n">
        <v>-1.260947363941293</v>
      </c>
      <c r="AB921" s="3" t="n">
        <v>-1.242473682290629</v>
      </c>
      <c r="AC921" s="3" t="n">
        <v>-1.932868417940642</v>
      </c>
      <c r="AD921" s="3" t="n">
        <v>-0.8827894769216839</v>
      </c>
      <c r="AE921" s="3" t="n">
        <v>-0.8827894769216839</v>
      </c>
    </row>
    <row r="922">
      <c r="A922" s="3" t="inlineStr">
        <is>
          <t>HND.distn.dec.ove.mean.6</t>
        </is>
      </c>
      <c r="B922" s="3" t="inlineStr">
        <is>
          <t>HND</t>
        </is>
      </c>
      <c r="C922" s="3" t="n">
        <v>2005</v>
      </c>
      <c r="D922" s="3" t="inlineStr">
        <is>
          <t>Overall</t>
        </is>
      </c>
      <c r="E922" s="3" t="inlineStr">
        <is>
          <t>Deciles</t>
        </is>
      </c>
      <c r="F922" s="3" t="inlineStr">
        <is>
          <t>mean</t>
        </is>
      </c>
      <c r="G922" s="3" t="n">
        <v>6</v>
      </c>
      <c r="H922" s="3" t="n">
        <v>-0.7873684167861938</v>
      </c>
      <c r="I922" s="3" t="n">
        <v>-0.7873684167861938</v>
      </c>
      <c r="J922" s="3" t="n">
        <v>-0.8827894769216839</v>
      </c>
      <c r="K922" s="3" t="n">
        <v>-0.8827894769216839</v>
      </c>
      <c r="L922" s="3" t="n">
        <v>-0.7873684167861938</v>
      </c>
      <c r="M922" s="3" t="n">
        <v>-0.7873684167861938</v>
      </c>
      <c r="N922" s="3" t="n">
        <v>-0.7873684167861938</v>
      </c>
      <c r="O922" s="3" t="n">
        <v>-0.7873684167861938</v>
      </c>
      <c r="P922" s="3" t="n">
        <v>-0.7873684167861938</v>
      </c>
      <c r="Q922" s="3" t="n">
        <v>-0.7873684167861938</v>
      </c>
      <c r="R922" s="3" t="n">
        <v>-0.7729736864566803</v>
      </c>
      <c r="S922" s="3" t="n">
        <v>-1.260947363941293</v>
      </c>
      <c r="T922" s="3" t="n">
        <v>-0.7095526174495095</v>
      </c>
      <c r="U922" s="3" t="n">
        <v>-0.8827894769216839</v>
      </c>
      <c r="V922" s="3" t="n">
        <v>-0.6815526375645086</v>
      </c>
      <c r="W922" s="3" t="n">
        <v>-0.5679210565592113</v>
      </c>
      <c r="X922" s="3" t="n">
        <v>-1.242473682290629</v>
      </c>
      <c r="Y922" s="3" t="n">
        <v>-0.7873684167861938</v>
      </c>
      <c r="Z922" s="3" t="n">
        <v>-1.260947363941293</v>
      </c>
      <c r="AA922" s="3" t="n">
        <v>-1.260947363941293</v>
      </c>
      <c r="AB922" s="3" t="n">
        <v>-1.242473682290629</v>
      </c>
      <c r="AC922" s="3" t="n">
        <v>-1.932868417940642</v>
      </c>
      <c r="AD922" s="3" t="n">
        <v>-0.8827894769216839</v>
      </c>
      <c r="AE922" s="3" t="n">
        <v>-0.8827894769216839</v>
      </c>
    </row>
    <row r="923">
      <c r="A923" s="3" t="inlineStr">
        <is>
          <t>HND.distn.dec.ove.mean.7</t>
        </is>
      </c>
      <c r="B923" s="3" t="inlineStr">
        <is>
          <t>HND</t>
        </is>
      </c>
      <c r="C923" s="3" t="n">
        <v>2005</v>
      </c>
      <c r="D923" s="3" t="inlineStr">
        <is>
          <t>Overall</t>
        </is>
      </c>
      <c r="E923" s="3" t="inlineStr">
        <is>
          <t>Deciles</t>
        </is>
      </c>
      <c r="F923" s="3" t="inlineStr">
        <is>
          <t>mean</t>
        </is>
      </c>
      <c r="G923" s="3" t="n">
        <v>7</v>
      </c>
      <c r="H923" s="3" t="n">
        <v>-0.7873684167861938</v>
      </c>
      <c r="I923" s="3" t="n">
        <v>-0.7873684167861938</v>
      </c>
      <c r="J923" s="3" t="n">
        <v>-0.8827894769216839</v>
      </c>
      <c r="K923" s="3" t="n">
        <v>-0.8827894769216839</v>
      </c>
      <c r="L923" s="3" t="n">
        <v>-0.7873684167861938</v>
      </c>
      <c r="M923" s="3" t="n">
        <v>-0.7873684167861938</v>
      </c>
      <c r="N923" s="3" t="n">
        <v>-0.7873684167861938</v>
      </c>
      <c r="O923" s="3" t="n">
        <v>-0.7873684167861938</v>
      </c>
      <c r="P923" s="3" t="n">
        <v>-0.7873684167861938</v>
      </c>
      <c r="Q923" s="3" t="n">
        <v>-0.7873684167861938</v>
      </c>
      <c r="R923" s="3" t="n">
        <v>-0.7729736864566803</v>
      </c>
      <c r="S923" s="3" t="n">
        <v>-1.260947363941293</v>
      </c>
      <c r="T923" s="3" t="n">
        <v>-0.7095526174495095</v>
      </c>
      <c r="U923" s="3" t="n">
        <v>-0.8827894769216839</v>
      </c>
      <c r="V923" s="3" t="n">
        <v>-0.6815526375645086</v>
      </c>
      <c r="W923" s="3" t="n">
        <v>-0.5679210565592113</v>
      </c>
      <c r="X923" s="3" t="n">
        <v>-1.242473682290629</v>
      </c>
      <c r="Y923" s="3" t="n">
        <v>-0.7873684167861938</v>
      </c>
      <c r="Z923" s="3" t="n">
        <v>-1.260947363941293</v>
      </c>
      <c r="AA923" s="3" t="n">
        <v>-1.260947363941293</v>
      </c>
      <c r="AB923" s="3" t="n">
        <v>-1.242473682290629</v>
      </c>
      <c r="AC923" s="3" t="n">
        <v>-1.932868417940642</v>
      </c>
      <c r="AD923" s="3" t="n">
        <v>-0.8827894769216839</v>
      </c>
      <c r="AE923" s="3" t="n">
        <v>-0.8827894769216839</v>
      </c>
    </row>
    <row r="924">
      <c r="A924" s="3" t="inlineStr">
        <is>
          <t>HND.distn.dec.ove.mean.8</t>
        </is>
      </c>
      <c r="B924" s="3" t="inlineStr">
        <is>
          <t>HND</t>
        </is>
      </c>
      <c r="C924" s="3" t="n">
        <v>2005</v>
      </c>
      <c r="D924" s="3" t="inlineStr">
        <is>
          <t>Overall</t>
        </is>
      </c>
      <c r="E924" s="3" t="inlineStr">
        <is>
          <t>Deciles</t>
        </is>
      </c>
      <c r="F924" s="3" t="inlineStr">
        <is>
          <t>mean</t>
        </is>
      </c>
      <c r="G924" s="3" t="n">
        <v>8</v>
      </c>
      <c r="H924" s="3" t="n">
        <v>-0.7877477627051505</v>
      </c>
      <c r="I924" s="3" t="n">
        <v>-0.7877477627051505</v>
      </c>
      <c r="J924" s="3" t="n">
        <v>-0.8851708738427413</v>
      </c>
      <c r="K924" s="3" t="n">
        <v>-0.8851708738427413</v>
      </c>
      <c r="L924" s="3" t="n">
        <v>-0.7877477627051505</v>
      </c>
      <c r="M924" s="3" t="n">
        <v>-0.7877477627051505</v>
      </c>
      <c r="N924" s="3" t="n">
        <v>-0.7877477627051505</v>
      </c>
      <c r="O924" s="3" t="n">
        <v>-0.7877477627051505</v>
      </c>
      <c r="P924" s="3" t="n">
        <v>-0.7877477627051505</v>
      </c>
      <c r="Q924" s="3" t="n">
        <v>-0.7877477627051505</v>
      </c>
      <c r="R924" s="3" t="n">
        <v>-0.7732278971295607</v>
      </c>
      <c r="S924" s="3" t="n">
        <v>-1.272680619829579</v>
      </c>
      <c r="T924" s="3" t="n">
        <v>-0.7095935376066911</v>
      </c>
      <c r="U924" s="3" t="n">
        <v>-0.8851708738427413</v>
      </c>
      <c r="V924" s="3" t="n">
        <v>-0.6822572021107924</v>
      </c>
      <c r="W924" s="3" t="n">
        <v>-0.5831292993143985</v>
      </c>
      <c r="X924" s="3" t="n">
        <v>-1.253795093611667</v>
      </c>
      <c r="Y924" s="3" t="n">
        <v>-0.7877477627051505</v>
      </c>
      <c r="Z924" s="3" t="n">
        <v>-1.272680619829579</v>
      </c>
      <c r="AA924" s="3" t="n">
        <v>-1.272680619829579</v>
      </c>
      <c r="AB924" s="3" t="n">
        <v>-1.253795093611667</v>
      </c>
      <c r="AC924" s="3" t="n">
        <v>-1.960433708994012</v>
      </c>
      <c r="AD924" s="3" t="n">
        <v>-0.8851708738427413</v>
      </c>
      <c r="AE924" s="3" t="n">
        <v>-0.8851708738427413</v>
      </c>
    </row>
    <row r="925">
      <c r="A925" s="3" t="inlineStr">
        <is>
          <t>HND.distn.dec.ove.mean.9</t>
        </is>
      </c>
      <c r="B925" s="3" t="inlineStr">
        <is>
          <t>HND</t>
        </is>
      </c>
      <c r="C925" s="3" t="n">
        <v>2005</v>
      </c>
      <c r="D925" s="3" t="inlineStr">
        <is>
          <t>Overall</t>
        </is>
      </c>
      <c r="E925" s="3" t="inlineStr">
        <is>
          <t>Deciles</t>
        </is>
      </c>
      <c r="F925" s="3" t="inlineStr">
        <is>
          <t>mean</t>
        </is>
      </c>
      <c r="G925" s="3" t="n">
        <v>9</v>
      </c>
      <c r="H925" s="3" t="n">
        <v>-0.7877477627051505</v>
      </c>
      <c r="I925" s="3" t="n">
        <v>-0.7877477627051505</v>
      </c>
      <c r="J925" s="3" t="n">
        <v>-0.8851708738427413</v>
      </c>
      <c r="K925" s="3" t="n">
        <v>-0.8851708738427413</v>
      </c>
      <c r="L925" s="3" t="n">
        <v>-0.7877477627051505</v>
      </c>
      <c r="M925" s="3" t="n">
        <v>-0.7877477627051505</v>
      </c>
      <c r="N925" s="3" t="n">
        <v>-0.7877477627051505</v>
      </c>
      <c r="O925" s="3" t="n">
        <v>-0.7877477627051505</v>
      </c>
      <c r="P925" s="3" t="n">
        <v>-0.7877477627051505</v>
      </c>
      <c r="Q925" s="3" t="n">
        <v>-0.7877477627051505</v>
      </c>
      <c r="R925" s="3" t="n">
        <v>-0.7732278971295607</v>
      </c>
      <c r="S925" s="3" t="n">
        <v>-1.272680619829579</v>
      </c>
      <c r="T925" s="3" t="n">
        <v>-0.7095935376066911</v>
      </c>
      <c r="U925" s="3" t="n">
        <v>-0.8851708738427413</v>
      </c>
      <c r="V925" s="3" t="n">
        <v>-0.6822572021107924</v>
      </c>
      <c r="W925" s="3" t="n">
        <v>-0.5831292993143985</v>
      </c>
      <c r="X925" s="3" t="n">
        <v>-1.253795093611667</v>
      </c>
      <c r="Y925" s="3" t="n">
        <v>-0.7877477627051505</v>
      </c>
      <c r="Z925" s="3" t="n">
        <v>-1.272680619829579</v>
      </c>
      <c r="AA925" s="3" t="n">
        <v>-1.272680619829579</v>
      </c>
      <c r="AB925" s="3" t="n">
        <v>-1.253795093611667</v>
      </c>
      <c r="AC925" s="3" t="n">
        <v>-1.960433708994012</v>
      </c>
      <c r="AD925" s="3" t="n">
        <v>-0.8851708738427413</v>
      </c>
      <c r="AE925" s="3" t="n">
        <v>-0.8851708738427413</v>
      </c>
    </row>
    <row r="926">
      <c r="A926" s="3" t="inlineStr">
        <is>
          <t>HND.distn.dec.ove.mean.10</t>
        </is>
      </c>
      <c r="B926" s="3" t="inlineStr">
        <is>
          <t>HND</t>
        </is>
      </c>
      <c r="C926" s="3" t="n">
        <v>2005</v>
      </c>
      <c r="D926" s="3" t="inlineStr">
        <is>
          <t>Overall</t>
        </is>
      </c>
      <c r="E926" s="3" t="inlineStr">
        <is>
          <t>Deciles</t>
        </is>
      </c>
      <c r="F926" s="3" t="inlineStr">
        <is>
          <t>mean</t>
        </is>
      </c>
      <c r="G926" s="3" t="n">
        <v>10</v>
      </c>
      <c r="H926" s="3" t="n">
        <v>-0.7877477627051505</v>
      </c>
      <c r="I926" s="3" t="n">
        <v>-0.7877477627051505</v>
      </c>
      <c r="J926" s="3" t="n">
        <v>-0.8851708738427413</v>
      </c>
      <c r="K926" s="3" t="n">
        <v>-0.8851708738427413</v>
      </c>
      <c r="L926" s="3" t="n">
        <v>-0.7877477627051505</v>
      </c>
      <c r="M926" s="3" t="n">
        <v>-0.7877477627051505</v>
      </c>
      <c r="N926" s="3" t="n">
        <v>-0.7877477627051505</v>
      </c>
      <c r="O926" s="3" t="n">
        <v>-0.7877477627051505</v>
      </c>
      <c r="P926" s="3" t="n">
        <v>-0.7877477627051505</v>
      </c>
      <c r="Q926" s="3" t="n">
        <v>-0.7877477627051505</v>
      </c>
      <c r="R926" s="3" t="n">
        <v>-0.7732278971295607</v>
      </c>
      <c r="S926" s="3" t="n">
        <v>-1.272680619829579</v>
      </c>
      <c r="T926" s="3" t="n">
        <v>-0.7095935376066911</v>
      </c>
      <c r="U926" s="3" t="n">
        <v>-0.8851708738427413</v>
      </c>
      <c r="V926" s="3" t="n">
        <v>-0.6822572021107924</v>
      </c>
      <c r="W926" s="3" t="n">
        <v>-0.5831292993143985</v>
      </c>
      <c r="X926" s="3" t="n">
        <v>-1.253795093611667</v>
      </c>
      <c r="Y926" s="3" t="n">
        <v>-0.7877477627051505</v>
      </c>
      <c r="Z926" s="3" t="n">
        <v>-1.272680619829579</v>
      </c>
      <c r="AA926" s="3" t="n">
        <v>-1.272680619829579</v>
      </c>
      <c r="AB926" s="3" t="n">
        <v>-1.253795093611667</v>
      </c>
      <c r="AC926" s="3" t="n">
        <v>-1.960433708994012</v>
      </c>
      <c r="AD926" s="3" t="n">
        <v>-0.8851708738427413</v>
      </c>
      <c r="AE926" s="3" t="n">
        <v>-0.8851708738427413</v>
      </c>
    </row>
    <row r="927">
      <c r="A927" s="3" t="inlineStr">
        <is>
          <t>HND.distn.bkt.ove.mean.9999</t>
        </is>
      </c>
      <c r="B927" s="3" t="inlineStr">
        <is>
          <t>HND</t>
        </is>
      </c>
      <c r="C927" s="3" t="n">
        <v>2005</v>
      </c>
      <c r="D927" s="3" t="inlineStr">
        <is>
          <t>Overall</t>
        </is>
      </c>
      <c r="E927" s="3" t="inlineStr">
        <is>
          <t>Basket</t>
        </is>
      </c>
      <c r="F927" s="3" t="inlineStr">
        <is>
          <t>mean</t>
        </is>
      </c>
      <c r="G927" s="3" t="n">
        <v>9999</v>
      </c>
      <c r="H927" s="3" t="n">
        <v>-0.7893673542298769</v>
      </c>
      <c r="I927" s="3" t="n">
        <v>-0.7893673542298769</v>
      </c>
      <c r="J927" s="3" t="n">
        <v>-0.8969508472241854</v>
      </c>
      <c r="K927" s="3" t="n">
        <v>-0.8969508472241854</v>
      </c>
      <c r="L927" s="3" t="n">
        <v>-0.7893673542298769</v>
      </c>
      <c r="M927" s="3" t="n">
        <v>-0.7893673542298769</v>
      </c>
      <c r="N927" s="3" t="n">
        <v>-0.7893673542298769</v>
      </c>
      <c r="O927" s="3" t="n">
        <v>-0.7893673542298769</v>
      </c>
      <c r="P927" s="3" t="n">
        <v>-0.7893673542298769</v>
      </c>
      <c r="Q927" s="3" t="n">
        <v>-0.7893673542298769</v>
      </c>
      <c r="R927" s="3" t="n">
        <v>-0.7740951949044278</v>
      </c>
      <c r="S927" s="3" t="n">
        <v>-1.441575941286589</v>
      </c>
      <c r="T927" s="3" t="n">
        <v>-0.7100016239442324</v>
      </c>
      <c r="U927" s="3" t="n">
        <v>-0.8969508472241854</v>
      </c>
      <c r="V927" s="3" t="n">
        <v>-0.6838645276270414</v>
      </c>
      <c r="W927" s="3" t="n">
        <v>-0.6045490895446978</v>
      </c>
      <c r="X927" s="3" t="n">
        <v>-1.401289532059117</v>
      </c>
      <c r="Y927" s="3" t="n">
        <v>-0.7893673542298769</v>
      </c>
      <c r="Z927" s="3" t="n">
        <v>-1.441575941286589</v>
      </c>
      <c r="AA927" s="3" t="n">
        <v>-1.441575941286589</v>
      </c>
      <c r="AB927" s="3" t="n">
        <v>-1.401289532059117</v>
      </c>
      <c r="AC927" s="3" t="n">
        <v>-2.562009337701296</v>
      </c>
      <c r="AD927" s="3" t="n">
        <v>-0.8969508472241854</v>
      </c>
      <c r="AE927" s="3" t="n">
        <v>-0.8969508472241854</v>
      </c>
    </row>
    <row r="928">
      <c r="A928" s="3" t="inlineStr">
        <is>
          <t>HRV.distn.dec.ove.mean.1</t>
        </is>
      </c>
      <c r="B928" s="3" t="inlineStr">
        <is>
          <t>HRV</t>
        </is>
      </c>
      <c r="C928" s="3" t="n">
        <v>2005</v>
      </c>
      <c r="D928" s="3" t="inlineStr">
        <is>
          <t>Overall</t>
        </is>
      </c>
      <c r="E928" s="3" t="inlineStr">
        <is>
          <t>Deciles</t>
        </is>
      </c>
      <c r="F928" s="3" t="inlineStr">
        <is>
          <t>mean</t>
        </is>
      </c>
      <c r="G928" s="3" t="n">
        <v>1</v>
      </c>
      <c r="H928" s="3" t="n">
        <v>-0.7872329354286194</v>
      </c>
      <c r="I928" s="3" t="n">
        <v>-0.7872329354286194</v>
      </c>
      <c r="J928" s="3" t="n">
        <v>-0.8837013244628906</v>
      </c>
      <c r="K928" s="3" t="n">
        <v>-0.8837013244628906</v>
      </c>
      <c r="L928" s="3" t="n">
        <v>-0.7872329354286194</v>
      </c>
      <c r="M928" s="3" t="n">
        <v>-0.7872329354286194</v>
      </c>
      <c r="N928" s="3" t="n">
        <v>-0.7872329354286194</v>
      </c>
      <c r="O928" s="3" t="n">
        <v>-0.7872329354286194</v>
      </c>
      <c r="P928" s="3" t="n">
        <v>-0.7872329354286194</v>
      </c>
      <c r="Q928" s="3" t="n">
        <v>-0.7872329354286194</v>
      </c>
      <c r="R928" s="3" t="n">
        <v>-0.772466242313385</v>
      </c>
      <c r="S928" s="3" t="n">
        <v>-1.383034229278564</v>
      </c>
      <c r="T928" s="3" t="n">
        <v>-0.7094525694847107</v>
      </c>
      <c r="U928" s="3" t="n">
        <v>-0.8837013244628906</v>
      </c>
      <c r="V928" s="3" t="n">
        <v>-0.6809241771697998</v>
      </c>
      <c r="W928" s="3" t="n">
        <v>-0.5465739965438843</v>
      </c>
      <c r="X928" s="3" t="n">
        <v>-1.331944584846497</v>
      </c>
      <c r="Y928" s="3" t="n">
        <v>-0.7872329354286194</v>
      </c>
      <c r="Z928" s="3" t="n">
        <v>-1.383034229278564</v>
      </c>
      <c r="AA928" s="3" t="n">
        <v>-1.383034229278564</v>
      </c>
      <c r="AB928" s="3" t="n">
        <v>-1.331944584846497</v>
      </c>
      <c r="AC928" s="3" t="n">
        <v>-2.062442302703857</v>
      </c>
      <c r="AD928" s="3" t="n">
        <v>-0.8837013244628906</v>
      </c>
      <c r="AE928" s="3" t="n">
        <v>-0.8837013244628906</v>
      </c>
    </row>
    <row r="929">
      <c r="A929" s="3" t="inlineStr">
        <is>
          <t>HRV.distn.dec.ove.mean.2</t>
        </is>
      </c>
      <c r="B929" s="3" t="inlineStr">
        <is>
          <t>HRV</t>
        </is>
      </c>
      <c r="C929" s="3" t="n">
        <v>2005</v>
      </c>
      <c r="D929" s="3" t="inlineStr">
        <is>
          <t>Overall</t>
        </is>
      </c>
      <c r="E929" s="3" t="inlineStr">
        <is>
          <t>Deciles</t>
        </is>
      </c>
      <c r="F929" s="3" t="inlineStr">
        <is>
          <t>mean</t>
        </is>
      </c>
      <c r="G929" s="3" t="n">
        <v>2</v>
      </c>
      <c r="H929" s="3" t="n">
        <v>-0.7872329354286194</v>
      </c>
      <c r="I929" s="3" t="n">
        <v>-0.7872329354286194</v>
      </c>
      <c r="J929" s="3" t="n">
        <v>-0.8837013244628906</v>
      </c>
      <c r="K929" s="3" t="n">
        <v>-0.8837013244628906</v>
      </c>
      <c r="L929" s="3" t="n">
        <v>-0.7872329354286194</v>
      </c>
      <c r="M929" s="3" t="n">
        <v>-0.7872329354286194</v>
      </c>
      <c r="N929" s="3" t="n">
        <v>-0.7872329354286194</v>
      </c>
      <c r="O929" s="3" t="n">
        <v>-0.7872329354286194</v>
      </c>
      <c r="P929" s="3" t="n">
        <v>-0.7872329354286194</v>
      </c>
      <c r="Q929" s="3" t="n">
        <v>-0.7872329354286194</v>
      </c>
      <c r="R929" s="3" t="n">
        <v>-0.772466242313385</v>
      </c>
      <c r="S929" s="3" t="n">
        <v>-1.383034229278564</v>
      </c>
      <c r="T929" s="3" t="n">
        <v>-0.7094525694847107</v>
      </c>
      <c r="U929" s="3" t="n">
        <v>-0.8837013244628906</v>
      </c>
      <c r="V929" s="3" t="n">
        <v>-0.6809241771697998</v>
      </c>
      <c r="W929" s="3" t="n">
        <v>-0.5465739965438843</v>
      </c>
      <c r="X929" s="3" t="n">
        <v>-1.331944584846497</v>
      </c>
      <c r="Y929" s="3" t="n">
        <v>-0.7872329354286194</v>
      </c>
      <c r="Z929" s="3" t="n">
        <v>-1.383034229278564</v>
      </c>
      <c r="AA929" s="3" t="n">
        <v>-1.383034229278564</v>
      </c>
      <c r="AB929" s="3" t="n">
        <v>-1.331944584846497</v>
      </c>
      <c r="AC929" s="3" t="n">
        <v>-2.062442302703857</v>
      </c>
      <c r="AD929" s="3" t="n">
        <v>-0.8837013244628906</v>
      </c>
      <c r="AE929" s="3" t="n">
        <v>-0.8837013244628906</v>
      </c>
    </row>
    <row r="930">
      <c r="A930" s="3" t="inlineStr">
        <is>
          <t>HRV.distn.dec.ove.mean.3</t>
        </is>
      </c>
      <c r="B930" s="3" t="inlineStr">
        <is>
          <t>HRV</t>
        </is>
      </c>
      <c r="C930" s="3" t="n">
        <v>2005</v>
      </c>
      <c r="D930" s="3" t="inlineStr">
        <is>
          <t>Overall</t>
        </is>
      </c>
      <c r="E930" s="3" t="inlineStr">
        <is>
          <t>Deciles</t>
        </is>
      </c>
      <c r="F930" s="3" t="inlineStr">
        <is>
          <t>mean</t>
        </is>
      </c>
      <c r="G930" s="3" t="n">
        <v>3</v>
      </c>
      <c r="H930" s="3" t="n">
        <v>-0.7872329354286194</v>
      </c>
      <c r="I930" s="3" t="n">
        <v>-0.7872329354286194</v>
      </c>
      <c r="J930" s="3" t="n">
        <v>-0.8837013244628906</v>
      </c>
      <c r="K930" s="3" t="n">
        <v>-0.8837013244628906</v>
      </c>
      <c r="L930" s="3" t="n">
        <v>-0.7872329354286194</v>
      </c>
      <c r="M930" s="3" t="n">
        <v>-0.7872329354286194</v>
      </c>
      <c r="N930" s="3" t="n">
        <v>-0.7872329354286194</v>
      </c>
      <c r="O930" s="3" t="n">
        <v>-0.7872329354286194</v>
      </c>
      <c r="P930" s="3" t="n">
        <v>-0.7872329354286194</v>
      </c>
      <c r="Q930" s="3" t="n">
        <v>-0.7872329354286194</v>
      </c>
      <c r="R930" s="3" t="n">
        <v>-0.772466242313385</v>
      </c>
      <c r="S930" s="3" t="n">
        <v>-1.383034229278564</v>
      </c>
      <c r="T930" s="3" t="n">
        <v>-0.7094525694847107</v>
      </c>
      <c r="U930" s="3" t="n">
        <v>-0.8837013244628906</v>
      </c>
      <c r="V930" s="3" t="n">
        <v>-0.6809241771697998</v>
      </c>
      <c r="W930" s="3" t="n">
        <v>-0.5465739965438843</v>
      </c>
      <c r="X930" s="3" t="n">
        <v>-1.331944584846497</v>
      </c>
      <c r="Y930" s="3" t="n">
        <v>-0.7872329354286194</v>
      </c>
      <c r="Z930" s="3" t="n">
        <v>-1.383034229278564</v>
      </c>
      <c r="AA930" s="3" t="n">
        <v>-1.383034229278564</v>
      </c>
      <c r="AB930" s="3" t="n">
        <v>-1.331944584846497</v>
      </c>
      <c r="AC930" s="3" t="n">
        <v>-2.062442302703857</v>
      </c>
      <c r="AD930" s="3" t="n">
        <v>-0.8837013244628906</v>
      </c>
      <c r="AE930" s="3" t="n">
        <v>-0.8837013244628906</v>
      </c>
    </row>
    <row r="931">
      <c r="A931" s="3" t="inlineStr">
        <is>
          <t>HRV.distn.dec.ove.mean.4</t>
        </is>
      </c>
      <c r="B931" s="3" t="inlineStr">
        <is>
          <t>HRV</t>
        </is>
      </c>
      <c r="C931" s="3" t="n">
        <v>2005</v>
      </c>
      <c r="D931" s="3" t="inlineStr">
        <is>
          <t>Overall</t>
        </is>
      </c>
      <c r="E931" s="3" t="inlineStr">
        <is>
          <t>Deciles</t>
        </is>
      </c>
      <c r="F931" s="3" t="inlineStr">
        <is>
          <t>mean</t>
        </is>
      </c>
      <c r="G931" s="3" t="n">
        <v>4</v>
      </c>
      <c r="H931" s="3" t="n">
        <v>-0.781000018119812</v>
      </c>
      <c r="I931" s="3" t="n">
        <v>-0.781000018119812</v>
      </c>
      <c r="J931" s="3" t="n">
        <v>-0.8410000205039978</v>
      </c>
      <c r="K931" s="3" t="n">
        <v>-0.8410000205039978</v>
      </c>
      <c r="L931" s="3" t="n">
        <v>-0.781000018119812</v>
      </c>
      <c r="M931" s="3" t="n">
        <v>-0.781000018119812</v>
      </c>
      <c r="N931" s="3" t="n">
        <v>-0.781000018119812</v>
      </c>
      <c r="O931" s="3" t="n">
        <v>-0.781000018119812</v>
      </c>
      <c r="P931" s="3" t="n">
        <v>-0.781000018119812</v>
      </c>
      <c r="Q931" s="3" t="n">
        <v>-0.781000018119812</v>
      </c>
      <c r="R931" s="3" t="n">
        <v>-0.7689999938011169</v>
      </c>
      <c r="S931" s="3" t="n">
        <v>-0.9419999718666077</v>
      </c>
      <c r="T931" s="3" t="n">
        <v>-0.7080000042915344</v>
      </c>
      <c r="U931" s="3" t="n">
        <v>-0.8410000205039978</v>
      </c>
      <c r="V931" s="3" t="n">
        <v>-0.6740000247955322</v>
      </c>
      <c r="W931" s="3" t="n">
        <v>-0.4600000083446503</v>
      </c>
      <c r="X931" s="3" t="n">
        <v>-0.9399999976158142</v>
      </c>
      <c r="Y931" s="3" t="n">
        <v>-0.781000018119812</v>
      </c>
      <c r="Z931" s="3" t="n">
        <v>-0.9419999718666077</v>
      </c>
      <c r="AA931" s="3" t="n">
        <v>-0.9419999718666077</v>
      </c>
      <c r="AB931" s="3" t="n">
        <v>-0.9399999976158142</v>
      </c>
      <c r="AC931" s="3" t="n">
        <v>-0.9959999918937683</v>
      </c>
      <c r="AD931" s="3" t="n">
        <v>-0.8410000205039978</v>
      </c>
      <c r="AE931" s="3" t="n">
        <v>-0.8410000205039978</v>
      </c>
    </row>
    <row r="932">
      <c r="A932" s="3" t="inlineStr">
        <is>
          <t>HRV.distn.dec.ove.mean.5</t>
        </is>
      </c>
      <c r="B932" s="3" t="inlineStr">
        <is>
          <t>HRV</t>
        </is>
      </c>
      <c r="C932" s="3" t="n">
        <v>2005</v>
      </c>
      <c r="D932" s="3" t="inlineStr">
        <is>
          <t>Overall</t>
        </is>
      </c>
      <c r="E932" s="3" t="inlineStr">
        <is>
          <t>Deciles</t>
        </is>
      </c>
      <c r="F932" s="3" t="inlineStr">
        <is>
          <t>mean</t>
        </is>
      </c>
      <c r="G932" s="3" t="n">
        <v>5</v>
      </c>
      <c r="H932" s="3" t="n">
        <v>-0.781000018119812</v>
      </c>
      <c r="I932" s="3" t="n">
        <v>-0.781000018119812</v>
      </c>
      <c r="J932" s="3" t="n">
        <v>-0.8410000205039978</v>
      </c>
      <c r="K932" s="3" t="n">
        <v>-0.8410000205039978</v>
      </c>
      <c r="L932" s="3" t="n">
        <v>-0.781000018119812</v>
      </c>
      <c r="M932" s="3" t="n">
        <v>-0.781000018119812</v>
      </c>
      <c r="N932" s="3" t="n">
        <v>-0.781000018119812</v>
      </c>
      <c r="O932" s="3" t="n">
        <v>-0.781000018119812</v>
      </c>
      <c r="P932" s="3" t="n">
        <v>-0.781000018119812</v>
      </c>
      <c r="Q932" s="3" t="n">
        <v>-0.781000018119812</v>
      </c>
      <c r="R932" s="3" t="n">
        <v>-0.7689999938011169</v>
      </c>
      <c r="S932" s="3" t="n">
        <v>-0.9419999718666077</v>
      </c>
      <c r="T932" s="3" t="n">
        <v>-0.7080000042915344</v>
      </c>
      <c r="U932" s="3" t="n">
        <v>-0.8410000205039978</v>
      </c>
      <c r="V932" s="3" t="n">
        <v>-0.6740000247955322</v>
      </c>
      <c r="W932" s="3" t="n">
        <v>-0.4600000083446503</v>
      </c>
      <c r="X932" s="3" t="n">
        <v>-0.9399999976158142</v>
      </c>
      <c r="Y932" s="3" t="n">
        <v>-0.781000018119812</v>
      </c>
      <c r="Z932" s="3" t="n">
        <v>-0.9419999718666077</v>
      </c>
      <c r="AA932" s="3" t="n">
        <v>-0.9419999718666077</v>
      </c>
      <c r="AB932" s="3" t="n">
        <v>-0.9399999976158142</v>
      </c>
      <c r="AC932" s="3" t="n">
        <v>-0.9959999918937683</v>
      </c>
      <c r="AD932" s="3" t="n">
        <v>-0.8410000205039978</v>
      </c>
      <c r="AE932" s="3" t="n">
        <v>-0.8410000205039978</v>
      </c>
    </row>
    <row r="933">
      <c r="A933" s="3" t="inlineStr">
        <is>
          <t>HRV.distn.dec.ove.mean.6</t>
        </is>
      </c>
      <c r="B933" s="3" t="inlineStr">
        <is>
          <t>HRV</t>
        </is>
      </c>
      <c r="C933" s="3" t="n">
        <v>2005</v>
      </c>
      <c r="D933" s="3" t="inlineStr">
        <is>
          <t>Overall</t>
        </is>
      </c>
      <c r="E933" s="3" t="inlineStr">
        <is>
          <t>Deciles</t>
        </is>
      </c>
      <c r="F933" s="3" t="inlineStr">
        <is>
          <t>mean</t>
        </is>
      </c>
      <c r="G933" s="3" t="n">
        <v>6</v>
      </c>
      <c r="H933" s="3" t="n">
        <v>-0.781000018119812</v>
      </c>
      <c r="I933" s="3" t="n">
        <v>-0.781000018119812</v>
      </c>
      <c r="J933" s="3" t="n">
        <v>-0.8410000205039978</v>
      </c>
      <c r="K933" s="3" t="n">
        <v>-0.8410000205039978</v>
      </c>
      <c r="L933" s="3" t="n">
        <v>-0.781000018119812</v>
      </c>
      <c r="M933" s="3" t="n">
        <v>-0.781000018119812</v>
      </c>
      <c r="N933" s="3" t="n">
        <v>-0.781000018119812</v>
      </c>
      <c r="O933" s="3" t="n">
        <v>-0.781000018119812</v>
      </c>
      <c r="P933" s="3" t="n">
        <v>-0.781000018119812</v>
      </c>
      <c r="Q933" s="3" t="n">
        <v>-0.781000018119812</v>
      </c>
      <c r="R933" s="3" t="n">
        <v>-0.7689999938011169</v>
      </c>
      <c r="S933" s="3" t="n">
        <v>-0.9419999718666077</v>
      </c>
      <c r="T933" s="3" t="n">
        <v>-0.7080000042915344</v>
      </c>
      <c r="U933" s="3" t="n">
        <v>-0.8410000205039978</v>
      </c>
      <c r="V933" s="3" t="n">
        <v>-0.6740000247955322</v>
      </c>
      <c r="W933" s="3" t="n">
        <v>-0.4600000083446503</v>
      </c>
      <c r="X933" s="3" t="n">
        <v>-0.9399999976158142</v>
      </c>
      <c r="Y933" s="3" t="n">
        <v>-0.781000018119812</v>
      </c>
      <c r="Z933" s="3" t="n">
        <v>-0.9419999718666077</v>
      </c>
      <c r="AA933" s="3" t="n">
        <v>-0.9419999718666077</v>
      </c>
      <c r="AB933" s="3" t="n">
        <v>-0.9399999976158142</v>
      </c>
      <c r="AC933" s="3" t="n">
        <v>-0.9959999918937683</v>
      </c>
      <c r="AD933" s="3" t="n">
        <v>-0.8410000205039978</v>
      </c>
      <c r="AE933" s="3" t="n">
        <v>-0.8410000205039978</v>
      </c>
    </row>
    <row r="934">
      <c r="A934" s="3" t="inlineStr">
        <is>
          <t>HRV.distn.dec.ove.mean.7</t>
        </is>
      </c>
      <c r="B934" s="3" t="inlineStr">
        <is>
          <t>HRV</t>
        </is>
      </c>
      <c r="C934" s="3" t="n">
        <v>2005</v>
      </c>
      <c r="D934" s="3" t="inlineStr">
        <is>
          <t>Overall</t>
        </is>
      </c>
      <c r="E934" s="3" t="inlineStr">
        <is>
          <t>Deciles</t>
        </is>
      </c>
      <c r="F934" s="3" t="inlineStr">
        <is>
          <t>mean</t>
        </is>
      </c>
      <c r="G934" s="3" t="n">
        <v>7</v>
      </c>
      <c r="H934" s="3" t="n">
        <v>-0.781000018119812</v>
      </c>
      <c r="I934" s="3" t="n">
        <v>-0.781000018119812</v>
      </c>
      <c r="J934" s="3" t="n">
        <v>-0.8410000205039978</v>
      </c>
      <c r="K934" s="3" t="n">
        <v>-0.8410000205039978</v>
      </c>
      <c r="L934" s="3" t="n">
        <v>-0.781000018119812</v>
      </c>
      <c r="M934" s="3" t="n">
        <v>-0.781000018119812</v>
      </c>
      <c r="N934" s="3" t="n">
        <v>-0.781000018119812</v>
      </c>
      <c r="O934" s="3" t="n">
        <v>-0.781000018119812</v>
      </c>
      <c r="P934" s="3" t="n">
        <v>-0.781000018119812</v>
      </c>
      <c r="Q934" s="3" t="n">
        <v>-0.781000018119812</v>
      </c>
      <c r="R934" s="3" t="n">
        <v>-0.7689999938011169</v>
      </c>
      <c r="S934" s="3" t="n">
        <v>-0.9419999718666077</v>
      </c>
      <c r="T934" s="3" t="n">
        <v>-0.7080000042915344</v>
      </c>
      <c r="U934" s="3" t="n">
        <v>-0.8410000205039978</v>
      </c>
      <c r="V934" s="3" t="n">
        <v>-0.6740000247955322</v>
      </c>
      <c r="W934" s="3" t="n">
        <v>-0.4600000083446503</v>
      </c>
      <c r="X934" s="3" t="n">
        <v>-0.9399999976158142</v>
      </c>
      <c r="Y934" s="3" t="n">
        <v>-0.781000018119812</v>
      </c>
      <c r="Z934" s="3" t="n">
        <v>-0.9419999718666077</v>
      </c>
      <c r="AA934" s="3" t="n">
        <v>-0.9419999718666077</v>
      </c>
      <c r="AB934" s="3" t="n">
        <v>-0.9399999976158142</v>
      </c>
      <c r="AC934" s="3" t="n">
        <v>-0.9959999918937683</v>
      </c>
      <c r="AD934" s="3" t="n">
        <v>-0.8410000205039978</v>
      </c>
      <c r="AE934" s="3" t="n">
        <v>-0.8410000205039978</v>
      </c>
    </row>
    <row r="935">
      <c r="A935" s="3" t="inlineStr">
        <is>
          <t>HRV.distn.dec.ove.mean.8</t>
        </is>
      </c>
      <c r="B935" s="3" t="inlineStr">
        <is>
          <t>HRV</t>
        </is>
      </c>
      <c r="C935" s="3" t="n">
        <v>2005</v>
      </c>
      <c r="D935" s="3" t="inlineStr">
        <is>
          <t>Overall</t>
        </is>
      </c>
      <c r="E935" s="3" t="inlineStr">
        <is>
          <t>Deciles</t>
        </is>
      </c>
      <c r="F935" s="3" t="inlineStr">
        <is>
          <t>mean</t>
        </is>
      </c>
      <c r="G935" s="3" t="n">
        <v>8</v>
      </c>
      <c r="H935" s="3" t="n">
        <v>-0.7813762426376343</v>
      </c>
      <c r="I935" s="3" t="n">
        <v>-0.7813762426376343</v>
      </c>
      <c r="J935" s="3" t="n">
        <v>-0.8432686924934387</v>
      </c>
      <c r="K935" s="3" t="n">
        <v>-0.8432686924934387</v>
      </c>
      <c r="L935" s="3" t="n">
        <v>-0.7813762426376343</v>
      </c>
      <c r="M935" s="3" t="n">
        <v>-0.7813762426376343</v>
      </c>
      <c r="N935" s="3" t="n">
        <v>-0.7813762426376343</v>
      </c>
      <c r="O935" s="3" t="n">
        <v>-0.7813762426376343</v>
      </c>
      <c r="P935" s="3" t="n">
        <v>-0.7813762426376343</v>
      </c>
      <c r="Q935" s="3" t="n">
        <v>-0.7813762426376343</v>
      </c>
      <c r="R935" s="3" t="n">
        <v>-0.7692528963088989</v>
      </c>
      <c r="S935" s="3" t="n">
        <v>-0.9507654309272766</v>
      </c>
      <c r="T935" s="3" t="n">
        <v>-0.7080408334732056</v>
      </c>
      <c r="U935" s="3" t="n">
        <v>-0.8432686924934387</v>
      </c>
      <c r="V935" s="3" t="n">
        <v>-0.6746967434883118</v>
      </c>
      <c r="W935" s="3" t="n">
        <v>-0.4723182618618011</v>
      </c>
      <c r="X935" s="3" t="n">
        <v>-0.9485653042793274</v>
      </c>
      <c r="Y935" s="3" t="n">
        <v>-0.7813762426376343</v>
      </c>
      <c r="Z935" s="3" t="n">
        <v>-0.9507654309272766</v>
      </c>
      <c r="AA935" s="3" t="n">
        <v>-0.9507654309272766</v>
      </c>
      <c r="AB935" s="3" t="n">
        <v>-0.9485653042793274</v>
      </c>
      <c r="AC935" s="3" t="n">
        <v>-1.010204315185547</v>
      </c>
      <c r="AD935" s="3" t="n">
        <v>-0.8432686924934387</v>
      </c>
      <c r="AE935" s="3" t="n">
        <v>-0.8432686924934387</v>
      </c>
    </row>
    <row r="936">
      <c r="A936" s="3" t="inlineStr">
        <is>
          <t>HRV.distn.dec.ove.mean.9</t>
        </is>
      </c>
      <c r="B936" s="3" t="inlineStr">
        <is>
          <t>HRV</t>
        </is>
      </c>
      <c r="C936" s="3" t="n">
        <v>2005</v>
      </c>
      <c r="D936" s="3" t="inlineStr">
        <is>
          <t>Overall</t>
        </is>
      </c>
      <c r="E936" s="3" t="inlineStr">
        <is>
          <t>Deciles</t>
        </is>
      </c>
      <c r="F936" s="3" t="inlineStr">
        <is>
          <t>mean</t>
        </is>
      </c>
      <c r="G936" s="3" t="n">
        <v>9</v>
      </c>
      <c r="H936" s="3" t="n">
        <v>-0.7813762426376343</v>
      </c>
      <c r="I936" s="3" t="n">
        <v>-0.7813762426376343</v>
      </c>
      <c r="J936" s="3" t="n">
        <v>-0.8432686924934387</v>
      </c>
      <c r="K936" s="3" t="n">
        <v>-0.8432686924934387</v>
      </c>
      <c r="L936" s="3" t="n">
        <v>-0.7813762426376343</v>
      </c>
      <c r="M936" s="3" t="n">
        <v>-0.7813762426376343</v>
      </c>
      <c r="N936" s="3" t="n">
        <v>-0.7813762426376343</v>
      </c>
      <c r="O936" s="3" t="n">
        <v>-0.7813762426376343</v>
      </c>
      <c r="P936" s="3" t="n">
        <v>-0.7813762426376343</v>
      </c>
      <c r="Q936" s="3" t="n">
        <v>-0.7813762426376343</v>
      </c>
      <c r="R936" s="3" t="n">
        <v>-0.7692528963088989</v>
      </c>
      <c r="S936" s="3" t="n">
        <v>-0.9507654309272766</v>
      </c>
      <c r="T936" s="3" t="n">
        <v>-0.7080408334732056</v>
      </c>
      <c r="U936" s="3" t="n">
        <v>-0.8432686924934387</v>
      </c>
      <c r="V936" s="3" t="n">
        <v>-0.6746967434883118</v>
      </c>
      <c r="W936" s="3" t="n">
        <v>-0.4723182618618011</v>
      </c>
      <c r="X936" s="3" t="n">
        <v>-0.9485653042793274</v>
      </c>
      <c r="Y936" s="3" t="n">
        <v>-0.7813762426376343</v>
      </c>
      <c r="Z936" s="3" t="n">
        <v>-0.9507654309272766</v>
      </c>
      <c r="AA936" s="3" t="n">
        <v>-0.9507654309272766</v>
      </c>
      <c r="AB936" s="3" t="n">
        <v>-0.9485653042793274</v>
      </c>
      <c r="AC936" s="3" t="n">
        <v>-1.010204315185547</v>
      </c>
      <c r="AD936" s="3" t="n">
        <v>-0.8432686924934387</v>
      </c>
      <c r="AE936" s="3" t="n">
        <v>-0.8432686924934387</v>
      </c>
    </row>
    <row r="937">
      <c r="A937" s="3" t="inlineStr">
        <is>
          <t>HRV.distn.dec.ove.mean.10</t>
        </is>
      </c>
      <c r="B937" s="3" t="inlineStr">
        <is>
          <t>HRV</t>
        </is>
      </c>
      <c r="C937" s="3" t="n">
        <v>2005</v>
      </c>
      <c r="D937" s="3" t="inlineStr">
        <is>
          <t>Overall</t>
        </is>
      </c>
      <c r="E937" s="3" t="inlineStr">
        <is>
          <t>Deciles</t>
        </is>
      </c>
      <c r="F937" s="3" t="inlineStr">
        <is>
          <t>mean</t>
        </is>
      </c>
      <c r="G937" s="3" t="n">
        <v>10</v>
      </c>
      <c r="H937" s="3" t="n">
        <v>-0.7813762426376343</v>
      </c>
      <c r="I937" s="3" t="n">
        <v>-0.7813762426376343</v>
      </c>
      <c r="J937" s="3" t="n">
        <v>-0.8432686924934387</v>
      </c>
      <c r="K937" s="3" t="n">
        <v>-0.8432686924934387</v>
      </c>
      <c r="L937" s="3" t="n">
        <v>-0.7813762426376343</v>
      </c>
      <c r="M937" s="3" t="n">
        <v>-0.7813762426376343</v>
      </c>
      <c r="N937" s="3" t="n">
        <v>-0.7813762426376343</v>
      </c>
      <c r="O937" s="3" t="n">
        <v>-0.7813762426376343</v>
      </c>
      <c r="P937" s="3" t="n">
        <v>-0.7813762426376343</v>
      </c>
      <c r="Q937" s="3" t="n">
        <v>-0.7813762426376343</v>
      </c>
      <c r="R937" s="3" t="n">
        <v>-0.7692528963088989</v>
      </c>
      <c r="S937" s="3" t="n">
        <v>-0.9507654309272766</v>
      </c>
      <c r="T937" s="3" t="n">
        <v>-0.7080408334732056</v>
      </c>
      <c r="U937" s="3" t="n">
        <v>-0.8432686924934387</v>
      </c>
      <c r="V937" s="3" t="n">
        <v>-0.6746967434883118</v>
      </c>
      <c r="W937" s="3" t="n">
        <v>-0.4723182618618011</v>
      </c>
      <c r="X937" s="3" t="n">
        <v>-0.9485653042793274</v>
      </c>
      <c r="Y937" s="3" t="n">
        <v>-0.7813762426376343</v>
      </c>
      <c r="Z937" s="3" t="n">
        <v>-0.9507654309272766</v>
      </c>
      <c r="AA937" s="3" t="n">
        <v>-0.9507654309272766</v>
      </c>
      <c r="AB937" s="3" t="n">
        <v>-0.9485653042793274</v>
      </c>
      <c r="AC937" s="3" t="n">
        <v>-1.010204315185547</v>
      </c>
      <c r="AD937" s="3" t="n">
        <v>-0.8432686924934387</v>
      </c>
      <c r="AE937" s="3" t="n">
        <v>-0.8432686924934387</v>
      </c>
    </row>
    <row r="938">
      <c r="A938" s="3" t="inlineStr">
        <is>
          <t>HRV.distn.bkt.ove.mean.9999</t>
        </is>
      </c>
      <c r="B938" s="3" t="inlineStr">
        <is>
          <t>HRV</t>
        </is>
      </c>
      <c r="C938" s="3" t="n">
        <v>2005</v>
      </c>
      <c r="D938" s="3" t="inlineStr">
        <is>
          <t>Overall</t>
        </is>
      </c>
      <c r="E938" s="3" t="inlineStr">
        <is>
          <t>Basket</t>
        </is>
      </c>
      <c r="F938" s="3" t="inlineStr">
        <is>
          <t>mean</t>
        </is>
      </c>
      <c r="G938" s="3" t="n">
        <v>9999</v>
      </c>
      <c r="H938" s="3" t="n">
        <v>-0.7829827666282654</v>
      </c>
      <c r="I938" s="3" t="n">
        <v>-0.7829827666282654</v>
      </c>
      <c r="J938" s="3" t="n">
        <v>-0.8544909954071045</v>
      </c>
      <c r="K938" s="3" t="n">
        <v>-0.8544909954071045</v>
      </c>
      <c r="L938" s="3" t="n">
        <v>-0.7829827666282654</v>
      </c>
      <c r="M938" s="3" t="n">
        <v>-0.7829827666282654</v>
      </c>
      <c r="N938" s="3" t="n">
        <v>-0.7829827666282654</v>
      </c>
      <c r="O938" s="3" t="n">
        <v>-0.7829827666282654</v>
      </c>
      <c r="P938" s="3" t="n">
        <v>-0.7829827666282654</v>
      </c>
      <c r="Q938" s="3" t="n">
        <v>-0.7829827666282654</v>
      </c>
      <c r="R938" s="3" t="n">
        <v>-0.7701157331466675</v>
      </c>
      <c r="S938" s="3" t="n">
        <v>-1.076939940452576</v>
      </c>
      <c r="T938" s="3" t="n">
        <v>-0.708448052406311</v>
      </c>
      <c r="U938" s="3" t="n">
        <v>-0.8544909954071045</v>
      </c>
      <c r="V938" s="3" t="n">
        <v>-0.6762862801551819</v>
      </c>
      <c r="W938" s="3" t="n">
        <v>-0.489667683839798</v>
      </c>
      <c r="X938" s="3" t="n">
        <v>-1.060153007507324</v>
      </c>
      <c r="Y938" s="3" t="n">
        <v>-0.7829827666282654</v>
      </c>
      <c r="Z938" s="3" t="n">
        <v>-1.076939940452576</v>
      </c>
      <c r="AA938" s="3" t="n">
        <v>-1.076939940452576</v>
      </c>
      <c r="AB938" s="3" t="n">
        <v>-1.060153007507324</v>
      </c>
      <c r="AC938" s="3" t="n">
        <v>-1.320194005966187</v>
      </c>
      <c r="AD938" s="3" t="n">
        <v>-0.8544909954071045</v>
      </c>
      <c r="AE938" s="3" t="n">
        <v>-0.8544909954071045</v>
      </c>
    </row>
    <row r="939">
      <c r="A939" s="3" t="inlineStr">
        <is>
          <t>HTI.distn.dec.ove.mean.1</t>
        </is>
      </c>
      <c r="B939" s="3" t="inlineStr">
        <is>
          <t>HTI</t>
        </is>
      </c>
      <c r="C939" s="3" t="n">
        <v>2005</v>
      </c>
      <c r="D939" s="3" t="inlineStr">
        <is>
          <t>Overall</t>
        </is>
      </c>
      <c r="E939" s="3" t="inlineStr">
        <is>
          <t>Deciles</t>
        </is>
      </c>
      <c r="F939" s="3" t="inlineStr">
        <is>
          <t>mean</t>
        </is>
      </c>
      <c r="G939" s="3" t="n">
        <v>1</v>
      </c>
      <c r="H939" s="3" t="n">
        <v>-0.7936522003851438</v>
      </c>
      <c r="I939" s="3" t="n">
        <v>-0.7936522003851438</v>
      </c>
      <c r="J939" s="3" t="n">
        <v>-0.9276126356501329</v>
      </c>
      <c r="K939" s="3" t="n">
        <v>-0.9276126356501329</v>
      </c>
      <c r="L939" s="3" t="n">
        <v>-0.7936522003851438</v>
      </c>
      <c r="M939" s="3" t="n">
        <v>-0.7936522003851438</v>
      </c>
      <c r="N939" s="3" t="n">
        <v>-0.7936522003851438</v>
      </c>
      <c r="O939" s="3" t="n">
        <v>-0.7936522003851438</v>
      </c>
      <c r="P939" s="3" t="n">
        <v>-0.7936522003851438</v>
      </c>
      <c r="Q939" s="3" t="n">
        <v>-0.7936522003851438</v>
      </c>
      <c r="R939" s="3" t="n">
        <v>-0.7764578367534437</v>
      </c>
      <c r="S939" s="3" t="n">
        <v>-1.851309371621985</v>
      </c>
      <c r="T939" s="3" t="n">
        <v>-0.7110083871766141</v>
      </c>
      <c r="U939" s="3" t="n">
        <v>-0.9276126356501329</v>
      </c>
      <c r="V939" s="3" t="n">
        <v>-0.688554396754817</v>
      </c>
      <c r="W939" s="3" t="n">
        <v>-0.6748062403578508</v>
      </c>
      <c r="X939" s="3" t="n">
        <v>-1.760538414904946</v>
      </c>
      <c r="Y939" s="3" t="n">
        <v>-0.7936522003851438</v>
      </c>
      <c r="Z939" s="3" t="n">
        <v>-1.851309371621985</v>
      </c>
      <c r="AA939" s="3" t="n">
        <v>-1.851309371621985</v>
      </c>
      <c r="AB939" s="3" t="n">
        <v>-1.760538414904946</v>
      </c>
      <c r="AC939" s="3" t="n">
        <v>-4.00243950517554</v>
      </c>
      <c r="AD939" s="3" t="n">
        <v>-0.9276126356501329</v>
      </c>
      <c r="AE939" s="3" t="n">
        <v>-0.9276126356501329</v>
      </c>
    </row>
    <row r="940">
      <c r="A940" s="3" t="inlineStr">
        <is>
          <t>HTI.distn.dec.ove.mean.2</t>
        </is>
      </c>
      <c r="B940" s="3" t="inlineStr">
        <is>
          <t>HTI</t>
        </is>
      </c>
      <c r="C940" s="3" t="n">
        <v>2005</v>
      </c>
      <c r="D940" s="3" t="inlineStr">
        <is>
          <t>Overall</t>
        </is>
      </c>
      <c r="E940" s="3" t="inlineStr">
        <is>
          <t>Deciles</t>
        </is>
      </c>
      <c r="F940" s="3" t="inlineStr">
        <is>
          <t>mean</t>
        </is>
      </c>
      <c r="G940" s="3" t="n">
        <v>2</v>
      </c>
      <c r="H940" s="3" t="n">
        <v>-0.7936522003851438</v>
      </c>
      <c r="I940" s="3" t="n">
        <v>-0.7936522003851438</v>
      </c>
      <c r="J940" s="3" t="n">
        <v>-0.9276126356501329</v>
      </c>
      <c r="K940" s="3" t="n">
        <v>-0.9276126356501329</v>
      </c>
      <c r="L940" s="3" t="n">
        <v>-0.7936522003851438</v>
      </c>
      <c r="M940" s="3" t="n">
        <v>-0.7936522003851438</v>
      </c>
      <c r="N940" s="3" t="n">
        <v>-0.7936522003851438</v>
      </c>
      <c r="O940" s="3" t="n">
        <v>-0.7936522003851438</v>
      </c>
      <c r="P940" s="3" t="n">
        <v>-0.7936522003851438</v>
      </c>
      <c r="Q940" s="3" t="n">
        <v>-0.7936522003851438</v>
      </c>
      <c r="R940" s="3" t="n">
        <v>-0.7764578367534437</v>
      </c>
      <c r="S940" s="3" t="n">
        <v>-1.851309371621985</v>
      </c>
      <c r="T940" s="3" t="n">
        <v>-0.7110083871766141</v>
      </c>
      <c r="U940" s="3" t="n">
        <v>-0.9276126356501329</v>
      </c>
      <c r="V940" s="3" t="n">
        <v>-0.688554396754817</v>
      </c>
      <c r="W940" s="3" t="n">
        <v>-0.6748062403578508</v>
      </c>
      <c r="X940" s="3" t="n">
        <v>-1.760538414904946</v>
      </c>
      <c r="Y940" s="3" t="n">
        <v>-0.7936522003851438</v>
      </c>
      <c r="Z940" s="3" t="n">
        <v>-1.851309371621985</v>
      </c>
      <c r="AA940" s="3" t="n">
        <v>-1.851309371621985</v>
      </c>
      <c r="AB940" s="3" t="n">
        <v>-1.760538414904946</v>
      </c>
      <c r="AC940" s="3" t="n">
        <v>-4.00243950517554</v>
      </c>
      <c r="AD940" s="3" t="n">
        <v>-0.9276126356501329</v>
      </c>
      <c r="AE940" s="3" t="n">
        <v>-0.9276126356501329</v>
      </c>
    </row>
    <row r="941">
      <c r="A941" s="3" t="inlineStr">
        <is>
          <t>HTI.distn.dec.ove.mean.3</t>
        </is>
      </c>
      <c r="B941" s="3" t="inlineStr">
        <is>
          <t>HTI</t>
        </is>
      </c>
      <c r="C941" s="3" t="n">
        <v>2005</v>
      </c>
      <c r="D941" s="3" t="inlineStr">
        <is>
          <t>Overall</t>
        </is>
      </c>
      <c r="E941" s="3" t="inlineStr">
        <is>
          <t>Deciles</t>
        </is>
      </c>
      <c r="F941" s="3" t="inlineStr">
        <is>
          <t>mean</t>
        </is>
      </c>
      <c r="G941" s="3" t="n">
        <v>3</v>
      </c>
      <c r="H941" s="3" t="n">
        <v>-0.7936522003851438</v>
      </c>
      <c r="I941" s="3" t="n">
        <v>-0.7936522003851438</v>
      </c>
      <c r="J941" s="3" t="n">
        <v>-0.9276126356501329</v>
      </c>
      <c r="K941" s="3" t="n">
        <v>-0.9276126356501329</v>
      </c>
      <c r="L941" s="3" t="n">
        <v>-0.7936522003851438</v>
      </c>
      <c r="M941" s="3" t="n">
        <v>-0.7936522003851438</v>
      </c>
      <c r="N941" s="3" t="n">
        <v>-0.7936522003851438</v>
      </c>
      <c r="O941" s="3" t="n">
        <v>-0.7936522003851438</v>
      </c>
      <c r="P941" s="3" t="n">
        <v>-0.7936522003851438</v>
      </c>
      <c r="Q941" s="3" t="n">
        <v>-0.7936522003851438</v>
      </c>
      <c r="R941" s="3" t="n">
        <v>-0.7764578367534437</v>
      </c>
      <c r="S941" s="3" t="n">
        <v>-1.851309371621985</v>
      </c>
      <c r="T941" s="3" t="n">
        <v>-0.7110083871766141</v>
      </c>
      <c r="U941" s="3" t="n">
        <v>-0.9276126356501329</v>
      </c>
      <c r="V941" s="3" t="n">
        <v>-0.688554396754817</v>
      </c>
      <c r="W941" s="3" t="n">
        <v>-0.6748062403578508</v>
      </c>
      <c r="X941" s="3" t="n">
        <v>-1.760538414904946</v>
      </c>
      <c r="Y941" s="3" t="n">
        <v>-0.7936522003851438</v>
      </c>
      <c r="Z941" s="3" t="n">
        <v>-1.851309371621985</v>
      </c>
      <c r="AA941" s="3" t="n">
        <v>-1.851309371621985</v>
      </c>
      <c r="AB941" s="3" t="n">
        <v>-1.760538414904946</v>
      </c>
      <c r="AC941" s="3" t="n">
        <v>-4.00243950517554</v>
      </c>
      <c r="AD941" s="3" t="n">
        <v>-0.9276126356501329</v>
      </c>
      <c r="AE941" s="3" t="n">
        <v>-0.9276126356501329</v>
      </c>
    </row>
    <row r="942">
      <c r="A942" s="3" t="inlineStr">
        <is>
          <t>HTI.distn.dec.ove.mean.4</t>
        </is>
      </c>
      <c r="B942" s="3" t="inlineStr">
        <is>
          <t>HTI</t>
        </is>
      </c>
      <c r="C942" s="3" t="n">
        <v>2005</v>
      </c>
      <c r="D942" s="3" t="inlineStr">
        <is>
          <t>Overall</t>
        </is>
      </c>
      <c r="E942" s="3" t="inlineStr">
        <is>
          <t>Deciles</t>
        </is>
      </c>
      <c r="F942" s="3" t="inlineStr">
        <is>
          <t>mean</t>
        </is>
      </c>
      <c r="G942" s="3" t="n">
        <v>4</v>
      </c>
      <c r="H942" s="3" t="n">
        <v>-0.7873684167861938</v>
      </c>
      <c r="I942" s="3" t="n">
        <v>-0.7873684167861938</v>
      </c>
      <c r="J942" s="3" t="n">
        <v>-0.8827894769216839</v>
      </c>
      <c r="K942" s="3" t="n">
        <v>-0.8827894769216839</v>
      </c>
      <c r="L942" s="3" t="n">
        <v>-0.7873684167861938</v>
      </c>
      <c r="M942" s="3" t="n">
        <v>-0.7873684167861938</v>
      </c>
      <c r="N942" s="3" t="n">
        <v>-0.7873684167861938</v>
      </c>
      <c r="O942" s="3" t="n">
        <v>-0.7873684167861938</v>
      </c>
      <c r="P942" s="3" t="n">
        <v>-0.7873684167861938</v>
      </c>
      <c r="Q942" s="3" t="n">
        <v>-0.7873684167861938</v>
      </c>
      <c r="R942" s="3" t="n">
        <v>-0.7729736864566803</v>
      </c>
      <c r="S942" s="3" t="n">
        <v>-1.260947363941293</v>
      </c>
      <c r="T942" s="3" t="n">
        <v>-0.7095526174495095</v>
      </c>
      <c r="U942" s="3" t="n">
        <v>-0.8827894769216839</v>
      </c>
      <c r="V942" s="3" t="n">
        <v>-0.6815526375645086</v>
      </c>
      <c r="W942" s="3" t="n">
        <v>-0.5679210565592113</v>
      </c>
      <c r="X942" s="3" t="n">
        <v>-1.242473682290629</v>
      </c>
      <c r="Y942" s="3" t="n">
        <v>-0.7873684167861938</v>
      </c>
      <c r="Z942" s="3" t="n">
        <v>-1.260947363941293</v>
      </c>
      <c r="AA942" s="3" t="n">
        <v>-1.260947363941293</v>
      </c>
      <c r="AB942" s="3" t="n">
        <v>-1.242473682290629</v>
      </c>
      <c r="AC942" s="3" t="n">
        <v>-1.932868417940642</v>
      </c>
      <c r="AD942" s="3" t="n">
        <v>-0.8827894769216839</v>
      </c>
      <c r="AE942" s="3" t="n">
        <v>-0.8827894769216839</v>
      </c>
    </row>
    <row r="943">
      <c r="A943" s="3" t="inlineStr">
        <is>
          <t>HTI.distn.dec.ove.mean.5</t>
        </is>
      </c>
      <c r="B943" s="3" t="inlineStr">
        <is>
          <t>HTI</t>
        </is>
      </c>
      <c r="C943" s="3" t="n">
        <v>2005</v>
      </c>
      <c r="D943" s="3" t="inlineStr">
        <is>
          <t>Overall</t>
        </is>
      </c>
      <c r="E943" s="3" t="inlineStr">
        <is>
          <t>Deciles</t>
        </is>
      </c>
      <c r="F943" s="3" t="inlineStr">
        <is>
          <t>mean</t>
        </is>
      </c>
      <c r="G943" s="3" t="n">
        <v>5</v>
      </c>
      <c r="H943" s="3" t="n">
        <v>-0.7873684167861938</v>
      </c>
      <c r="I943" s="3" t="n">
        <v>-0.7873684167861938</v>
      </c>
      <c r="J943" s="3" t="n">
        <v>-0.8827894769216839</v>
      </c>
      <c r="K943" s="3" t="n">
        <v>-0.8827894769216839</v>
      </c>
      <c r="L943" s="3" t="n">
        <v>-0.7873684167861938</v>
      </c>
      <c r="M943" s="3" t="n">
        <v>-0.7873684167861938</v>
      </c>
      <c r="N943" s="3" t="n">
        <v>-0.7873684167861938</v>
      </c>
      <c r="O943" s="3" t="n">
        <v>-0.7873684167861938</v>
      </c>
      <c r="P943" s="3" t="n">
        <v>-0.7873684167861938</v>
      </c>
      <c r="Q943" s="3" t="n">
        <v>-0.7873684167861938</v>
      </c>
      <c r="R943" s="3" t="n">
        <v>-0.7729736864566803</v>
      </c>
      <c r="S943" s="3" t="n">
        <v>-1.260947363941293</v>
      </c>
      <c r="T943" s="3" t="n">
        <v>-0.7095526174495095</v>
      </c>
      <c r="U943" s="3" t="n">
        <v>-0.8827894769216839</v>
      </c>
      <c r="V943" s="3" t="n">
        <v>-0.6815526375645086</v>
      </c>
      <c r="W943" s="3" t="n">
        <v>-0.5679210565592113</v>
      </c>
      <c r="X943" s="3" t="n">
        <v>-1.242473682290629</v>
      </c>
      <c r="Y943" s="3" t="n">
        <v>-0.7873684167861938</v>
      </c>
      <c r="Z943" s="3" t="n">
        <v>-1.260947363941293</v>
      </c>
      <c r="AA943" s="3" t="n">
        <v>-1.260947363941293</v>
      </c>
      <c r="AB943" s="3" t="n">
        <v>-1.242473682290629</v>
      </c>
      <c r="AC943" s="3" t="n">
        <v>-1.932868417940642</v>
      </c>
      <c r="AD943" s="3" t="n">
        <v>-0.8827894769216839</v>
      </c>
      <c r="AE943" s="3" t="n">
        <v>-0.8827894769216839</v>
      </c>
    </row>
    <row r="944">
      <c r="A944" s="3" t="inlineStr">
        <is>
          <t>HTI.distn.dec.ove.mean.6</t>
        </is>
      </c>
      <c r="B944" s="3" t="inlineStr">
        <is>
          <t>HTI</t>
        </is>
      </c>
      <c r="C944" s="3" t="n">
        <v>2005</v>
      </c>
      <c r="D944" s="3" t="inlineStr">
        <is>
          <t>Overall</t>
        </is>
      </c>
      <c r="E944" s="3" t="inlineStr">
        <is>
          <t>Deciles</t>
        </is>
      </c>
      <c r="F944" s="3" t="inlineStr">
        <is>
          <t>mean</t>
        </is>
      </c>
      <c r="G944" s="3" t="n">
        <v>6</v>
      </c>
      <c r="H944" s="3" t="n">
        <v>-0.7873684167861938</v>
      </c>
      <c r="I944" s="3" t="n">
        <v>-0.7873684167861938</v>
      </c>
      <c r="J944" s="3" t="n">
        <v>-0.8827894769216839</v>
      </c>
      <c r="K944" s="3" t="n">
        <v>-0.8827894769216839</v>
      </c>
      <c r="L944" s="3" t="n">
        <v>-0.7873684167861938</v>
      </c>
      <c r="M944" s="3" t="n">
        <v>-0.7873684167861938</v>
      </c>
      <c r="N944" s="3" t="n">
        <v>-0.7873684167861938</v>
      </c>
      <c r="O944" s="3" t="n">
        <v>-0.7873684167861938</v>
      </c>
      <c r="P944" s="3" t="n">
        <v>-0.7873684167861938</v>
      </c>
      <c r="Q944" s="3" t="n">
        <v>-0.7873684167861938</v>
      </c>
      <c r="R944" s="3" t="n">
        <v>-0.7729736864566803</v>
      </c>
      <c r="S944" s="3" t="n">
        <v>-1.260947363941293</v>
      </c>
      <c r="T944" s="3" t="n">
        <v>-0.7095526174495095</v>
      </c>
      <c r="U944" s="3" t="n">
        <v>-0.8827894769216839</v>
      </c>
      <c r="V944" s="3" t="n">
        <v>-0.6815526375645086</v>
      </c>
      <c r="W944" s="3" t="n">
        <v>-0.5679210565592113</v>
      </c>
      <c r="X944" s="3" t="n">
        <v>-1.242473682290629</v>
      </c>
      <c r="Y944" s="3" t="n">
        <v>-0.7873684167861938</v>
      </c>
      <c r="Z944" s="3" t="n">
        <v>-1.260947363941293</v>
      </c>
      <c r="AA944" s="3" t="n">
        <v>-1.260947363941293</v>
      </c>
      <c r="AB944" s="3" t="n">
        <v>-1.242473682290629</v>
      </c>
      <c r="AC944" s="3" t="n">
        <v>-1.932868417940642</v>
      </c>
      <c r="AD944" s="3" t="n">
        <v>-0.8827894769216839</v>
      </c>
      <c r="AE944" s="3" t="n">
        <v>-0.8827894769216839</v>
      </c>
    </row>
    <row r="945">
      <c r="A945" s="3" t="inlineStr">
        <is>
          <t>HTI.distn.dec.ove.mean.7</t>
        </is>
      </c>
      <c r="B945" s="3" t="inlineStr">
        <is>
          <t>HTI</t>
        </is>
      </c>
      <c r="C945" s="3" t="n">
        <v>2005</v>
      </c>
      <c r="D945" s="3" t="inlineStr">
        <is>
          <t>Overall</t>
        </is>
      </c>
      <c r="E945" s="3" t="inlineStr">
        <is>
          <t>Deciles</t>
        </is>
      </c>
      <c r="F945" s="3" t="inlineStr">
        <is>
          <t>mean</t>
        </is>
      </c>
      <c r="G945" s="3" t="n">
        <v>7</v>
      </c>
      <c r="H945" s="3" t="n">
        <v>-0.7873684167861938</v>
      </c>
      <c r="I945" s="3" t="n">
        <v>-0.7873684167861938</v>
      </c>
      <c r="J945" s="3" t="n">
        <v>-0.8827894769216839</v>
      </c>
      <c r="K945" s="3" t="n">
        <v>-0.8827894769216839</v>
      </c>
      <c r="L945" s="3" t="n">
        <v>-0.7873684167861938</v>
      </c>
      <c r="M945" s="3" t="n">
        <v>-0.7873684167861938</v>
      </c>
      <c r="N945" s="3" t="n">
        <v>-0.7873684167861938</v>
      </c>
      <c r="O945" s="3" t="n">
        <v>-0.7873684167861938</v>
      </c>
      <c r="P945" s="3" t="n">
        <v>-0.7873684167861938</v>
      </c>
      <c r="Q945" s="3" t="n">
        <v>-0.7873684167861938</v>
      </c>
      <c r="R945" s="3" t="n">
        <v>-0.7729736864566803</v>
      </c>
      <c r="S945" s="3" t="n">
        <v>-1.260947363941293</v>
      </c>
      <c r="T945" s="3" t="n">
        <v>-0.7095526174495095</v>
      </c>
      <c r="U945" s="3" t="n">
        <v>-0.8827894769216839</v>
      </c>
      <c r="V945" s="3" t="n">
        <v>-0.6815526375645086</v>
      </c>
      <c r="W945" s="3" t="n">
        <v>-0.5679210565592113</v>
      </c>
      <c r="X945" s="3" t="n">
        <v>-1.242473682290629</v>
      </c>
      <c r="Y945" s="3" t="n">
        <v>-0.7873684167861938</v>
      </c>
      <c r="Z945" s="3" t="n">
        <v>-1.260947363941293</v>
      </c>
      <c r="AA945" s="3" t="n">
        <v>-1.260947363941293</v>
      </c>
      <c r="AB945" s="3" t="n">
        <v>-1.242473682290629</v>
      </c>
      <c r="AC945" s="3" t="n">
        <v>-1.932868417940642</v>
      </c>
      <c r="AD945" s="3" t="n">
        <v>-0.8827894769216839</v>
      </c>
      <c r="AE945" s="3" t="n">
        <v>-0.8827894769216839</v>
      </c>
    </row>
    <row r="946">
      <c r="A946" s="3" t="inlineStr">
        <is>
          <t>HTI.distn.dec.ove.mean.8</t>
        </is>
      </c>
      <c r="B946" s="3" t="inlineStr">
        <is>
          <t>HTI</t>
        </is>
      </c>
      <c r="C946" s="3" t="n">
        <v>2005</v>
      </c>
      <c r="D946" s="3" t="inlineStr">
        <is>
          <t>Overall</t>
        </is>
      </c>
      <c r="E946" s="3" t="inlineStr">
        <is>
          <t>Deciles</t>
        </is>
      </c>
      <c r="F946" s="3" t="inlineStr">
        <is>
          <t>mean</t>
        </is>
      </c>
      <c r="G946" s="3" t="n">
        <v>8</v>
      </c>
      <c r="H946" s="3" t="n">
        <v>-0.7877477627051505</v>
      </c>
      <c r="I946" s="3" t="n">
        <v>-0.7877477627051505</v>
      </c>
      <c r="J946" s="3" t="n">
        <v>-0.8851708738427413</v>
      </c>
      <c r="K946" s="3" t="n">
        <v>-0.8851708738427413</v>
      </c>
      <c r="L946" s="3" t="n">
        <v>-0.7877477627051505</v>
      </c>
      <c r="M946" s="3" t="n">
        <v>-0.7877477627051505</v>
      </c>
      <c r="N946" s="3" t="n">
        <v>-0.7877477627051505</v>
      </c>
      <c r="O946" s="3" t="n">
        <v>-0.7877477627051505</v>
      </c>
      <c r="P946" s="3" t="n">
        <v>-0.7877477627051505</v>
      </c>
      <c r="Q946" s="3" t="n">
        <v>-0.7877477627051505</v>
      </c>
      <c r="R946" s="3" t="n">
        <v>-0.7732278971295607</v>
      </c>
      <c r="S946" s="3" t="n">
        <v>-1.272680619829579</v>
      </c>
      <c r="T946" s="3" t="n">
        <v>-0.7095935376066911</v>
      </c>
      <c r="U946" s="3" t="n">
        <v>-0.8851708738427413</v>
      </c>
      <c r="V946" s="3" t="n">
        <v>-0.6822572021107924</v>
      </c>
      <c r="W946" s="3" t="n">
        <v>-0.5831292993143985</v>
      </c>
      <c r="X946" s="3" t="n">
        <v>-1.253795093611667</v>
      </c>
      <c r="Y946" s="3" t="n">
        <v>-0.7877477627051505</v>
      </c>
      <c r="Z946" s="3" t="n">
        <v>-1.272680619829579</v>
      </c>
      <c r="AA946" s="3" t="n">
        <v>-1.272680619829579</v>
      </c>
      <c r="AB946" s="3" t="n">
        <v>-1.253795093611667</v>
      </c>
      <c r="AC946" s="3" t="n">
        <v>-1.960433708994012</v>
      </c>
      <c r="AD946" s="3" t="n">
        <v>-0.8851708738427413</v>
      </c>
      <c r="AE946" s="3" t="n">
        <v>-0.8851708738427413</v>
      </c>
    </row>
    <row r="947">
      <c r="A947" s="3" t="inlineStr">
        <is>
          <t>HTI.distn.dec.ove.mean.9</t>
        </is>
      </c>
      <c r="B947" s="3" t="inlineStr">
        <is>
          <t>HTI</t>
        </is>
      </c>
      <c r="C947" s="3" t="n">
        <v>2005</v>
      </c>
      <c r="D947" s="3" t="inlineStr">
        <is>
          <t>Overall</t>
        </is>
      </c>
      <c r="E947" s="3" t="inlineStr">
        <is>
          <t>Deciles</t>
        </is>
      </c>
      <c r="F947" s="3" t="inlineStr">
        <is>
          <t>mean</t>
        </is>
      </c>
      <c r="G947" s="3" t="n">
        <v>9</v>
      </c>
      <c r="H947" s="3" t="n">
        <v>-0.7877477627051505</v>
      </c>
      <c r="I947" s="3" t="n">
        <v>-0.7877477627051505</v>
      </c>
      <c r="J947" s="3" t="n">
        <v>-0.8851708738427413</v>
      </c>
      <c r="K947" s="3" t="n">
        <v>-0.8851708738427413</v>
      </c>
      <c r="L947" s="3" t="n">
        <v>-0.7877477627051505</v>
      </c>
      <c r="M947" s="3" t="n">
        <v>-0.7877477627051505</v>
      </c>
      <c r="N947" s="3" t="n">
        <v>-0.7877477627051505</v>
      </c>
      <c r="O947" s="3" t="n">
        <v>-0.7877477627051505</v>
      </c>
      <c r="P947" s="3" t="n">
        <v>-0.7877477627051505</v>
      </c>
      <c r="Q947" s="3" t="n">
        <v>-0.7877477627051505</v>
      </c>
      <c r="R947" s="3" t="n">
        <v>-0.7732278971295607</v>
      </c>
      <c r="S947" s="3" t="n">
        <v>-1.272680619829579</v>
      </c>
      <c r="T947" s="3" t="n">
        <v>-0.7095935376066911</v>
      </c>
      <c r="U947" s="3" t="n">
        <v>-0.8851708738427413</v>
      </c>
      <c r="V947" s="3" t="n">
        <v>-0.6822572021107924</v>
      </c>
      <c r="W947" s="3" t="n">
        <v>-0.5831292993143985</v>
      </c>
      <c r="X947" s="3" t="n">
        <v>-1.253795093611667</v>
      </c>
      <c r="Y947" s="3" t="n">
        <v>-0.7877477627051505</v>
      </c>
      <c r="Z947" s="3" t="n">
        <v>-1.272680619829579</v>
      </c>
      <c r="AA947" s="3" t="n">
        <v>-1.272680619829579</v>
      </c>
      <c r="AB947" s="3" t="n">
        <v>-1.253795093611667</v>
      </c>
      <c r="AC947" s="3" t="n">
        <v>-1.960433708994012</v>
      </c>
      <c r="AD947" s="3" t="n">
        <v>-0.8851708738427413</v>
      </c>
      <c r="AE947" s="3" t="n">
        <v>-0.8851708738427413</v>
      </c>
    </row>
    <row r="948">
      <c r="A948" s="3" t="inlineStr">
        <is>
          <t>HTI.distn.dec.ove.mean.10</t>
        </is>
      </c>
      <c r="B948" s="3" t="inlineStr">
        <is>
          <t>HTI</t>
        </is>
      </c>
      <c r="C948" s="3" t="n">
        <v>2005</v>
      </c>
      <c r="D948" s="3" t="inlineStr">
        <is>
          <t>Overall</t>
        </is>
      </c>
      <c r="E948" s="3" t="inlineStr">
        <is>
          <t>Deciles</t>
        </is>
      </c>
      <c r="F948" s="3" t="inlineStr">
        <is>
          <t>mean</t>
        </is>
      </c>
      <c r="G948" s="3" t="n">
        <v>10</v>
      </c>
      <c r="H948" s="3" t="n">
        <v>-0.7877477627051505</v>
      </c>
      <c r="I948" s="3" t="n">
        <v>-0.7877477627051505</v>
      </c>
      <c r="J948" s="3" t="n">
        <v>-0.8851708738427413</v>
      </c>
      <c r="K948" s="3" t="n">
        <v>-0.8851708738427413</v>
      </c>
      <c r="L948" s="3" t="n">
        <v>-0.7877477627051505</v>
      </c>
      <c r="M948" s="3" t="n">
        <v>-0.7877477627051505</v>
      </c>
      <c r="N948" s="3" t="n">
        <v>-0.7877477627051505</v>
      </c>
      <c r="O948" s="3" t="n">
        <v>-0.7877477627051505</v>
      </c>
      <c r="P948" s="3" t="n">
        <v>-0.7877477627051505</v>
      </c>
      <c r="Q948" s="3" t="n">
        <v>-0.7877477627051505</v>
      </c>
      <c r="R948" s="3" t="n">
        <v>-0.7732278971295607</v>
      </c>
      <c r="S948" s="3" t="n">
        <v>-1.272680619829579</v>
      </c>
      <c r="T948" s="3" t="n">
        <v>-0.7095935376066911</v>
      </c>
      <c r="U948" s="3" t="n">
        <v>-0.8851708738427413</v>
      </c>
      <c r="V948" s="3" t="n">
        <v>-0.6822572021107924</v>
      </c>
      <c r="W948" s="3" t="n">
        <v>-0.5831292993143985</v>
      </c>
      <c r="X948" s="3" t="n">
        <v>-1.253795093611667</v>
      </c>
      <c r="Y948" s="3" t="n">
        <v>-0.7877477627051505</v>
      </c>
      <c r="Z948" s="3" t="n">
        <v>-1.272680619829579</v>
      </c>
      <c r="AA948" s="3" t="n">
        <v>-1.272680619829579</v>
      </c>
      <c r="AB948" s="3" t="n">
        <v>-1.253795093611667</v>
      </c>
      <c r="AC948" s="3" t="n">
        <v>-1.960433708994012</v>
      </c>
      <c r="AD948" s="3" t="n">
        <v>-0.8851708738427413</v>
      </c>
      <c r="AE948" s="3" t="n">
        <v>-0.8851708738427413</v>
      </c>
    </row>
    <row r="949">
      <c r="A949" s="3" t="inlineStr">
        <is>
          <t>HTI.distn.bkt.ove.mean.9999</t>
        </is>
      </c>
      <c r="B949" s="3" t="inlineStr">
        <is>
          <t>HTI</t>
        </is>
      </c>
      <c r="C949" s="3" t="n">
        <v>2005</v>
      </c>
      <c r="D949" s="3" t="inlineStr">
        <is>
          <t>Overall</t>
        </is>
      </c>
      <c r="E949" s="3" t="inlineStr">
        <is>
          <t>Basket</t>
        </is>
      </c>
      <c r="F949" s="3" t="inlineStr">
        <is>
          <t>mean</t>
        </is>
      </c>
      <c r="G949" s="3" t="n">
        <v>9999</v>
      </c>
      <c r="H949" s="3" t="n">
        <v>-0.7893673542298769</v>
      </c>
      <c r="I949" s="3" t="n">
        <v>-0.7893673542298769</v>
      </c>
      <c r="J949" s="3" t="n">
        <v>-0.8969508472241854</v>
      </c>
      <c r="K949" s="3" t="n">
        <v>-0.8969508472241854</v>
      </c>
      <c r="L949" s="3" t="n">
        <v>-0.7893673542298769</v>
      </c>
      <c r="M949" s="3" t="n">
        <v>-0.7893673542298769</v>
      </c>
      <c r="N949" s="3" t="n">
        <v>-0.7893673542298769</v>
      </c>
      <c r="O949" s="3" t="n">
        <v>-0.7893673542298769</v>
      </c>
      <c r="P949" s="3" t="n">
        <v>-0.7893673542298769</v>
      </c>
      <c r="Q949" s="3" t="n">
        <v>-0.7893673542298769</v>
      </c>
      <c r="R949" s="3" t="n">
        <v>-0.7740951949044278</v>
      </c>
      <c r="S949" s="3" t="n">
        <v>-1.441575941286589</v>
      </c>
      <c r="T949" s="3" t="n">
        <v>-0.7100016239442324</v>
      </c>
      <c r="U949" s="3" t="n">
        <v>-0.8969508472241854</v>
      </c>
      <c r="V949" s="3" t="n">
        <v>-0.6838645276270414</v>
      </c>
      <c r="W949" s="3" t="n">
        <v>-0.6045490895446978</v>
      </c>
      <c r="X949" s="3" t="n">
        <v>-1.401289532059117</v>
      </c>
      <c r="Y949" s="3" t="n">
        <v>-0.7893673542298769</v>
      </c>
      <c r="Z949" s="3" t="n">
        <v>-1.441575941286589</v>
      </c>
      <c r="AA949" s="3" t="n">
        <v>-1.441575941286589</v>
      </c>
      <c r="AB949" s="3" t="n">
        <v>-1.401289532059117</v>
      </c>
      <c r="AC949" s="3" t="n">
        <v>-2.562009337701296</v>
      </c>
      <c r="AD949" s="3" t="n">
        <v>-0.8969508472241854</v>
      </c>
      <c r="AE949" s="3" t="n">
        <v>-0.8969508472241854</v>
      </c>
    </row>
    <row r="950">
      <c r="A950" s="3" t="inlineStr">
        <is>
          <t>HUN.distn.dec.ove.mean.1</t>
        </is>
      </c>
      <c r="B950" s="3" t="inlineStr">
        <is>
          <t>HUN</t>
        </is>
      </c>
      <c r="C950" s="3" t="n">
        <v>2005</v>
      </c>
      <c r="D950" s="3" t="inlineStr">
        <is>
          <t>Overall</t>
        </is>
      </c>
      <c r="E950" s="3" t="inlineStr">
        <is>
          <t>Deciles</t>
        </is>
      </c>
      <c r="F950" s="3" t="inlineStr">
        <is>
          <t>mean</t>
        </is>
      </c>
      <c r="G950" s="3" t="n">
        <v>1</v>
      </c>
      <c r="H950" s="3" t="n">
        <v>-0.7872329354286194</v>
      </c>
      <c r="I950" s="3" t="n">
        <v>-0.7872329354286194</v>
      </c>
      <c r="J950" s="3" t="n">
        <v>-0.8826505541801453</v>
      </c>
      <c r="K950" s="3" t="n">
        <v>-0.8826505541801453</v>
      </c>
      <c r="L950" s="3" t="n">
        <v>-0.7872329354286194</v>
      </c>
      <c r="M950" s="3" t="n">
        <v>-0.7872329354286194</v>
      </c>
      <c r="N950" s="3" t="n">
        <v>-0.7872329354286194</v>
      </c>
      <c r="O950" s="3" t="n">
        <v>-0.7872329354286194</v>
      </c>
      <c r="P950" s="3" t="n">
        <v>-0.7872329354286194</v>
      </c>
      <c r="Q950" s="3" t="n">
        <v>-0.7872329354286194</v>
      </c>
      <c r="R950" s="3" t="n">
        <v>-0.772466242313385</v>
      </c>
      <c r="S950" s="3" t="n">
        <v>-1.37422513961792</v>
      </c>
      <c r="T950" s="3" t="n">
        <v>-0.7094525694847107</v>
      </c>
      <c r="U950" s="3" t="n">
        <v>-0.8826505541801453</v>
      </c>
      <c r="V950" s="3" t="n">
        <v>-0.6799138784408569</v>
      </c>
      <c r="W950" s="3" t="n">
        <v>-0.5323155522346497</v>
      </c>
      <c r="X950" s="3" t="n">
        <v>-1.323442816734314</v>
      </c>
      <c r="Y950" s="3" t="n">
        <v>-0.7872329354286194</v>
      </c>
      <c r="Z950" s="3" t="n">
        <v>-1.37422513961792</v>
      </c>
      <c r="AA950" s="3" t="n">
        <v>-1.37422513961792</v>
      </c>
      <c r="AB950" s="3" t="n">
        <v>-1.323442816734314</v>
      </c>
      <c r="AC950" s="3" t="n">
        <v>-2.043805837631226</v>
      </c>
      <c r="AD950" s="3" t="n">
        <v>-0.8826505541801453</v>
      </c>
      <c r="AE950" s="3" t="n">
        <v>-0.8826505541801453</v>
      </c>
    </row>
    <row r="951">
      <c r="A951" s="3" t="inlineStr">
        <is>
          <t>HUN.distn.dec.ove.mean.2</t>
        </is>
      </c>
      <c r="B951" s="3" t="inlineStr">
        <is>
          <t>HUN</t>
        </is>
      </c>
      <c r="C951" s="3" t="n">
        <v>2005</v>
      </c>
      <c r="D951" s="3" t="inlineStr">
        <is>
          <t>Overall</t>
        </is>
      </c>
      <c r="E951" s="3" t="inlineStr">
        <is>
          <t>Deciles</t>
        </is>
      </c>
      <c r="F951" s="3" t="inlineStr">
        <is>
          <t>mean</t>
        </is>
      </c>
      <c r="G951" s="3" t="n">
        <v>2</v>
      </c>
      <c r="H951" s="3" t="n">
        <v>-0.7872329354286194</v>
      </c>
      <c r="I951" s="3" t="n">
        <v>-0.7872329354286194</v>
      </c>
      <c r="J951" s="3" t="n">
        <v>-0.8826505541801453</v>
      </c>
      <c r="K951" s="3" t="n">
        <v>-0.8826505541801453</v>
      </c>
      <c r="L951" s="3" t="n">
        <v>-0.7872329354286194</v>
      </c>
      <c r="M951" s="3" t="n">
        <v>-0.7872329354286194</v>
      </c>
      <c r="N951" s="3" t="n">
        <v>-0.7872329354286194</v>
      </c>
      <c r="O951" s="3" t="n">
        <v>-0.7872329354286194</v>
      </c>
      <c r="P951" s="3" t="n">
        <v>-0.7872329354286194</v>
      </c>
      <c r="Q951" s="3" t="n">
        <v>-0.7872329354286194</v>
      </c>
      <c r="R951" s="3" t="n">
        <v>-0.772466242313385</v>
      </c>
      <c r="S951" s="3" t="n">
        <v>-1.37422513961792</v>
      </c>
      <c r="T951" s="3" t="n">
        <v>-0.7094525694847107</v>
      </c>
      <c r="U951" s="3" t="n">
        <v>-0.8826505541801453</v>
      </c>
      <c r="V951" s="3" t="n">
        <v>-0.6799138784408569</v>
      </c>
      <c r="W951" s="3" t="n">
        <v>-0.5323155522346497</v>
      </c>
      <c r="X951" s="3" t="n">
        <v>-1.323442816734314</v>
      </c>
      <c r="Y951" s="3" t="n">
        <v>-0.7872329354286194</v>
      </c>
      <c r="Z951" s="3" t="n">
        <v>-1.37422513961792</v>
      </c>
      <c r="AA951" s="3" t="n">
        <v>-1.37422513961792</v>
      </c>
      <c r="AB951" s="3" t="n">
        <v>-1.323442816734314</v>
      </c>
      <c r="AC951" s="3" t="n">
        <v>-2.043805837631226</v>
      </c>
      <c r="AD951" s="3" t="n">
        <v>-0.8826505541801453</v>
      </c>
      <c r="AE951" s="3" t="n">
        <v>-0.8826505541801453</v>
      </c>
    </row>
    <row r="952">
      <c r="A952" s="3" t="inlineStr">
        <is>
          <t>HUN.distn.dec.ove.mean.3</t>
        </is>
      </c>
      <c r="B952" s="3" t="inlineStr">
        <is>
          <t>HUN</t>
        </is>
      </c>
      <c r="C952" s="3" t="n">
        <v>2005</v>
      </c>
      <c r="D952" s="3" t="inlineStr">
        <is>
          <t>Overall</t>
        </is>
      </c>
      <c r="E952" s="3" t="inlineStr">
        <is>
          <t>Deciles</t>
        </is>
      </c>
      <c r="F952" s="3" t="inlineStr">
        <is>
          <t>mean</t>
        </is>
      </c>
      <c r="G952" s="3" t="n">
        <v>3</v>
      </c>
      <c r="H952" s="3" t="n">
        <v>-0.7872329354286194</v>
      </c>
      <c r="I952" s="3" t="n">
        <v>-0.7872329354286194</v>
      </c>
      <c r="J952" s="3" t="n">
        <v>-0.8826505541801453</v>
      </c>
      <c r="K952" s="3" t="n">
        <v>-0.8826505541801453</v>
      </c>
      <c r="L952" s="3" t="n">
        <v>-0.7872329354286194</v>
      </c>
      <c r="M952" s="3" t="n">
        <v>-0.7872329354286194</v>
      </c>
      <c r="N952" s="3" t="n">
        <v>-0.7872329354286194</v>
      </c>
      <c r="O952" s="3" t="n">
        <v>-0.7872329354286194</v>
      </c>
      <c r="P952" s="3" t="n">
        <v>-0.7872329354286194</v>
      </c>
      <c r="Q952" s="3" t="n">
        <v>-0.7872329354286194</v>
      </c>
      <c r="R952" s="3" t="n">
        <v>-0.772466242313385</v>
      </c>
      <c r="S952" s="3" t="n">
        <v>-1.37422513961792</v>
      </c>
      <c r="T952" s="3" t="n">
        <v>-0.7094525694847107</v>
      </c>
      <c r="U952" s="3" t="n">
        <v>-0.8826505541801453</v>
      </c>
      <c r="V952" s="3" t="n">
        <v>-0.6799138784408569</v>
      </c>
      <c r="W952" s="3" t="n">
        <v>-0.5323155522346497</v>
      </c>
      <c r="X952" s="3" t="n">
        <v>-1.323442816734314</v>
      </c>
      <c r="Y952" s="3" t="n">
        <v>-0.7872329354286194</v>
      </c>
      <c r="Z952" s="3" t="n">
        <v>-1.37422513961792</v>
      </c>
      <c r="AA952" s="3" t="n">
        <v>-1.37422513961792</v>
      </c>
      <c r="AB952" s="3" t="n">
        <v>-1.323442816734314</v>
      </c>
      <c r="AC952" s="3" t="n">
        <v>-2.043805837631226</v>
      </c>
      <c r="AD952" s="3" t="n">
        <v>-0.8826505541801453</v>
      </c>
      <c r="AE952" s="3" t="n">
        <v>-0.8826505541801453</v>
      </c>
    </row>
    <row r="953">
      <c r="A953" s="3" t="inlineStr">
        <is>
          <t>HUN.distn.dec.ove.mean.4</t>
        </is>
      </c>
      <c r="B953" s="3" t="inlineStr">
        <is>
          <t>HUN</t>
        </is>
      </c>
      <c r="C953" s="3" t="n">
        <v>2005</v>
      </c>
      <c r="D953" s="3" t="inlineStr">
        <is>
          <t>Overall</t>
        </is>
      </c>
      <c r="E953" s="3" t="inlineStr">
        <is>
          <t>Deciles</t>
        </is>
      </c>
      <c r="F953" s="3" t="inlineStr">
        <is>
          <t>mean</t>
        </is>
      </c>
      <c r="G953" s="3" t="n">
        <v>4</v>
      </c>
      <c r="H953" s="3" t="n">
        <v>-0.781000018119812</v>
      </c>
      <c r="I953" s="3" t="n">
        <v>-0.781000018119812</v>
      </c>
      <c r="J953" s="3" t="n">
        <v>-0.8399999737739563</v>
      </c>
      <c r="K953" s="3" t="n">
        <v>-0.8399999737739563</v>
      </c>
      <c r="L953" s="3" t="n">
        <v>-0.781000018119812</v>
      </c>
      <c r="M953" s="3" t="n">
        <v>-0.781000018119812</v>
      </c>
      <c r="N953" s="3" t="n">
        <v>-0.781000018119812</v>
      </c>
      <c r="O953" s="3" t="n">
        <v>-0.781000018119812</v>
      </c>
      <c r="P953" s="3" t="n">
        <v>-0.781000018119812</v>
      </c>
      <c r="Q953" s="3" t="n">
        <v>-0.781000018119812</v>
      </c>
      <c r="R953" s="3" t="n">
        <v>-0.7689999938011169</v>
      </c>
      <c r="S953" s="3" t="n">
        <v>-0.9359999895095825</v>
      </c>
      <c r="T953" s="3" t="n">
        <v>-0.7080000042915344</v>
      </c>
      <c r="U953" s="3" t="n">
        <v>-0.8399999737739563</v>
      </c>
      <c r="V953" s="3" t="n">
        <v>-0.6729999780654907</v>
      </c>
      <c r="W953" s="3" t="n">
        <v>-0.4480000138282776</v>
      </c>
      <c r="X953" s="3" t="n">
        <v>-0.9340000152587891</v>
      </c>
      <c r="Y953" s="3" t="n">
        <v>-0.781000018119812</v>
      </c>
      <c r="Z953" s="3" t="n">
        <v>-0.9359999895095825</v>
      </c>
      <c r="AA953" s="3" t="n">
        <v>-0.9359999895095825</v>
      </c>
      <c r="AB953" s="3" t="n">
        <v>-0.9340000152587891</v>
      </c>
      <c r="AC953" s="3" t="n">
        <v>-0.9869999885559082</v>
      </c>
      <c r="AD953" s="3" t="n">
        <v>-0.8399999737739563</v>
      </c>
      <c r="AE953" s="3" t="n">
        <v>-0.8399999737739563</v>
      </c>
    </row>
    <row r="954">
      <c r="A954" s="3" t="inlineStr">
        <is>
          <t>HUN.distn.dec.ove.mean.5</t>
        </is>
      </c>
      <c r="B954" s="3" t="inlineStr">
        <is>
          <t>HUN</t>
        </is>
      </c>
      <c r="C954" s="3" t="n">
        <v>2005</v>
      </c>
      <c r="D954" s="3" t="inlineStr">
        <is>
          <t>Overall</t>
        </is>
      </c>
      <c r="E954" s="3" t="inlineStr">
        <is>
          <t>Deciles</t>
        </is>
      </c>
      <c r="F954" s="3" t="inlineStr">
        <is>
          <t>mean</t>
        </is>
      </c>
      <c r="G954" s="3" t="n">
        <v>5</v>
      </c>
      <c r="H954" s="3" t="n">
        <v>-0.781000018119812</v>
      </c>
      <c r="I954" s="3" t="n">
        <v>-0.781000018119812</v>
      </c>
      <c r="J954" s="3" t="n">
        <v>-0.8399999737739563</v>
      </c>
      <c r="K954" s="3" t="n">
        <v>-0.8399999737739563</v>
      </c>
      <c r="L954" s="3" t="n">
        <v>-0.781000018119812</v>
      </c>
      <c r="M954" s="3" t="n">
        <v>-0.781000018119812</v>
      </c>
      <c r="N954" s="3" t="n">
        <v>-0.781000018119812</v>
      </c>
      <c r="O954" s="3" t="n">
        <v>-0.781000018119812</v>
      </c>
      <c r="P954" s="3" t="n">
        <v>-0.781000018119812</v>
      </c>
      <c r="Q954" s="3" t="n">
        <v>-0.781000018119812</v>
      </c>
      <c r="R954" s="3" t="n">
        <v>-0.7689999938011169</v>
      </c>
      <c r="S954" s="3" t="n">
        <v>-0.9359999895095825</v>
      </c>
      <c r="T954" s="3" t="n">
        <v>-0.7080000042915344</v>
      </c>
      <c r="U954" s="3" t="n">
        <v>-0.8399999737739563</v>
      </c>
      <c r="V954" s="3" t="n">
        <v>-0.6729999780654907</v>
      </c>
      <c r="W954" s="3" t="n">
        <v>-0.4480000138282776</v>
      </c>
      <c r="X954" s="3" t="n">
        <v>-0.9340000152587891</v>
      </c>
      <c r="Y954" s="3" t="n">
        <v>-0.781000018119812</v>
      </c>
      <c r="Z954" s="3" t="n">
        <v>-0.9359999895095825</v>
      </c>
      <c r="AA954" s="3" t="n">
        <v>-0.9359999895095825</v>
      </c>
      <c r="AB954" s="3" t="n">
        <v>-0.9340000152587891</v>
      </c>
      <c r="AC954" s="3" t="n">
        <v>-0.9869999885559082</v>
      </c>
      <c r="AD954" s="3" t="n">
        <v>-0.8399999737739563</v>
      </c>
      <c r="AE954" s="3" t="n">
        <v>-0.8399999737739563</v>
      </c>
    </row>
    <row r="955">
      <c r="A955" s="3" t="inlineStr">
        <is>
          <t>HUN.distn.dec.ove.mean.6</t>
        </is>
      </c>
      <c r="B955" s="3" t="inlineStr">
        <is>
          <t>HUN</t>
        </is>
      </c>
      <c r="C955" s="3" t="n">
        <v>2005</v>
      </c>
      <c r="D955" s="3" t="inlineStr">
        <is>
          <t>Overall</t>
        </is>
      </c>
      <c r="E955" s="3" t="inlineStr">
        <is>
          <t>Deciles</t>
        </is>
      </c>
      <c r="F955" s="3" t="inlineStr">
        <is>
          <t>mean</t>
        </is>
      </c>
      <c r="G955" s="3" t="n">
        <v>6</v>
      </c>
      <c r="H955" s="3" t="n">
        <v>-0.781000018119812</v>
      </c>
      <c r="I955" s="3" t="n">
        <v>-0.781000018119812</v>
      </c>
      <c r="J955" s="3" t="n">
        <v>-0.8399999737739563</v>
      </c>
      <c r="K955" s="3" t="n">
        <v>-0.8399999737739563</v>
      </c>
      <c r="L955" s="3" t="n">
        <v>-0.781000018119812</v>
      </c>
      <c r="M955" s="3" t="n">
        <v>-0.781000018119812</v>
      </c>
      <c r="N955" s="3" t="n">
        <v>-0.781000018119812</v>
      </c>
      <c r="O955" s="3" t="n">
        <v>-0.781000018119812</v>
      </c>
      <c r="P955" s="3" t="n">
        <v>-0.781000018119812</v>
      </c>
      <c r="Q955" s="3" t="n">
        <v>-0.781000018119812</v>
      </c>
      <c r="R955" s="3" t="n">
        <v>-0.7689999938011169</v>
      </c>
      <c r="S955" s="3" t="n">
        <v>-0.9359999895095825</v>
      </c>
      <c r="T955" s="3" t="n">
        <v>-0.7080000042915344</v>
      </c>
      <c r="U955" s="3" t="n">
        <v>-0.8399999737739563</v>
      </c>
      <c r="V955" s="3" t="n">
        <v>-0.6729999780654907</v>
      </c>
      <c r="W955" s="3" t="n">
        <v>-0.4480000138282776</v>
      </c>
      <c r="X955" s="3" t="n">
        <v>-0.9340000152587891</v>
      </c>
      <c r="Y955" s="3" t="n">
        <v>-0.781000018119812</v>
      </c>
      <c r="Z955" s="3" t="n">
        <v>-0.9359999895095825</v>
      </c>
      <c r="AA955" s="3" t="n">
        <v>-0.9359999895095825</v>
      </c>
      <c r="AB955" s="3" t="n">
        <v>-0.9340000152587891</v>
      </c>
      <c r="AC955" s="3" t="n">
        <v>-0.9869999885559082</v>
      </c>
      <c r="AD955" s="3" t="n">
        <v>-0.8399999737739563</v>
      </c>
      <c r="AE955" s="3" t="n">
        <v>-0.8399999737739563</v>
      </c>
    </row>
    <row r="956">
      <c r="A956" s="3" t="inlineStr">
        <is>
          <t>HUN.distn.dec.ove.mean.7</t>
        </is>
      </c>
      <c r="B956" s="3" t="inlineStr">
        <is>
          <t>HUN</t>
        </is>
      </c>
      <c r="C956" s="3" t="n">
        <v>2005</v>
      </c>
      <c r="D956" s="3" t="inlineStr">
        <is>
          <t>Overall</t>
        </is>
      </c>
      <c r="E956" s="3" t="inlineStr">
        <is>
          <t>Deciles</t>
        </is>
      </c>
      <c r="F956" s="3" t="inlineStr">
        <is>
          <t>mean</t>
        </is>
      </c>
      <c r="G956" s="3" t="n">
        <v>7</v>
      </c>
      <c r="H956" s="3" t="n">
        <v>-0.781000018119812</v>
      </c>
      <c r="I956" s="3" t="n">
        <v>-0.781000018119812</v>
      </c>
      <c r="J956" s="3" t="n">
        <v>-0.8399999737739563</v>
      </c>
      <c r="K956" s="3" t="n">
        <v>-0.8399999737739563</v>
      </c>
      <c r="L956" s="3" t="n">
        <v>-0.781000018119812</v>
      </c>
      <c r="M956" s="3" t="n">
        <v>-0.781000018119812</v>
      </c>
      <c r="N956" s="3" t="n">
        <v>-0.781000018119812</v>
      </c>
      <c r="O956" s="3" t="n">
        <v>-0.781000018119812</v>
      </c>
      <c r="P956" s="3" t="n">
        <v>-0.781000018119812</v>
      </c>
      <c r="Q956" s="3" t="n">
        <v>-0.781000018119812</v>
      </c>
      <c r="R956" s="3" t="n">
        <v>-0.7689999938011169</v>
      </c>
      <c r="S956" s="3" t="n">
        <v>-0.9359999895095825</v>
      </c>
      <c r="T956" s="3" t="n">
        <v>-0.7080000042915344</v>
      </c>
      <c r="U956" s="3" t="n">
        <v>-0.8399999737739563</v>
      </c>
      <c r="V956" s="3" t="n">
        <v>-0.6729999780654907</v>
      </c>
      <c r="W956" s="3" t="n">
        <v>-0.4480000138282776</v>
      </c>
      <c r="X956" s="3" t="n">
        <v>-0.9340000152587891</v>
      </c>
      <c r="Y956" s="3" t="n">
        <v>-0.781000018119812</v>
      </c>
      <c r="Z956" s="3" t="n">
        <v>-0.9359999895095825</v>
      </c>
      <c r="AA956" s="3" t="n">
        <v>-0.9359999895095825</v>
      </c>
      <c r="AB956" s="3" t="n">
        <v>-0.9340000152587891</v>
      </c>
      <c r="AC956" s="3" t="n">
        <v>-0.9869999885559082</v>
      </c>
      <c r="AD956" s="3" t="n">
        <v>-0.8399999737739563</v>
      </c>
      <c r="AE956" s="3" t="n">
        <v>-0.8399999737739563</v>
      </c>
    </row>
    <row r="957">
      <c r="A957" s="3" t="inlineStr">
        <is>
          <t>HUN.distn.dec.ove.mean.8</t>
        </is>
      </c>
      <c r="B957" s="3" t="inlineStr">
        <is>
          <t>HUN</t>
        </is>
      </c>
      <c r="C957" s="3" t="n">
        <v>2005</v>
      </c>
      <c r="D957" s="3" t="inlineStr">
        <is>
          <t>Overall</t>
        </is>
      </c>
      <c r="E957" s="3" t="inlineStr">
        <is>
          <t>Deciles</t>
        </is>
      </c>
      <c r="F957" s="3" t="inlineStr">
        <is>
          <t>mean</t>
        </is>
      </c>
      <c r="G957" s="3" t="n">
        <v>8</v>
      </c>
      <c r="H957" s="3" t="n">
        <v>-0.7813762426376343</v>
      </c>
      <c r="I957" s="3" t="n">
        <v>-0.7813762426376343</v>
      </c>
      <c r="J957" s="3" t="n">
        <v>-0.8422659635543823</v>
      </c>
      <c r="K957" s="3" t="n">
        <v>-0.8422659635543823</v>
      </c>
      <c r="L957" s="3" t="n">
        <v>-0.7813762426376343</v>
      </c>
      <c r="M957" s="3" t="n">
        <v>-0.7813762426376343</v>
      </c>
      <c r="N957" s="3" t="n">
        <v>-0.7813762426376343</v>
      </c>
      <c r="O957" s="3" t="n">
        <v>-0.7813762426376343</v>
      </c>
      <c r="P957" s="3" t="n">
        <v>-0.7813762426376343</v>
      </c>
      <c r="Q957" s="3" t="n">
        <v>-0.7813762426376343</v>
      </c>
      <c r="R957" s="3" t="n">
        <v>-0.7692528963088989</v>
      </c>
      <c r="S957" s="3" t="n">
        <v>-0.9447095990180969</v>
      </c>
      <c r="T957" s="3" t="n">
        <v>-0.7080408334732056</v>
      </c>
      <c r="U957" s="3" t="n">
        <v>-0.8422659635543823</v>
      </c>
      <c r="V957" s="3" t="n">
        <v>-0.6736957430839539</v>
      </c>
      <c r="W957" s="3" t="n">
        <v>-0.4599969089031219</v>
      </c>
      <c r="X957" s="3" t="n">
        <v>-0.9425106048583984</v>
      </c>
      <c r="Y957" s="3" t="n">
        <v>-0.7813762426376343</v>
      </c>
      <c r="Z957" s="3" t="n">
        <v>-0.9447095990180969</v>
      </c>
      <c r="AA957" s="3" t="n">
        <v>-0.9447095990180969</v>
      </c>
      <c r="AB957" s="3" t="n">
        <v>-0.9425106048583984</v>
      </c>
      <c r="AC957" s="3" t="n">
        <v>-1.001075983047485</v>
      </c>
      <c r="AD957" s="3" t="n">
        <v>-0.8422659635543823</v>
      </c>
      <c r="AE957" s="3" t="n">
        <v>-0.8422659635543823</v>
      </c>
    </row>
    <row r="958">
      <c r="A958" s="3" t="inlineStr">
        <is>
          <t>HUN.distn.dec.ove.mean.9</t>
        </is>
      </c>
      <c r="B958" s="3" t="inlineStr">
        <is>
          <t>HUN</t>
        </is>
      </c>
      <c r="C958" s="3" t="n">
        <v>2005</v>
      </c>
      <c r="D958" s="3" t="inlineStr">
        <is>
          <t>Overall</t>
        </is>
      </c>
      <c r="E958" s="3" t="inlineStr">
        <is>
          <t>Deciles</t>
        </is>
      </c>
      <c r="F958" s="3" t="inlineStr">
        <is>
          <t>mean</t>
        </is>
      </c>
      <c r="G958" s="3" t="n">
        <v>9</v>
      </c>
      <c r="H958" s="3" t="n">
        <v>-0.7813762426376343</v>
      </c>
      <c r="I958" s="3" t="n">
        <v>-0.7813762426376343</v>
      </c>
      <c r="J958" s="3" t="n">
        <v>-0.8422659635543823</v>
      </c>
      <c r="K958" s="3" t="n">
        <v>-0.8422659635543823</v>
      </c>
      <c r="L958" s="3" t="n">
        <v>-0.7813762426376343</v>
      </c>
      <c r="M958" s="3" t="n">
        <v>-0.7813762426376343</v>
      </c>
      <c r="N958" s="3" t="n">
        <v>-0.7813762426376343</v>
      </c>
      <c r="O958" s="3" t="n">
        <v>-0.7813762426376343</v>
      </c>
      <c r="P958" s="3" t="n">
        <v>-0.7813762426376343</v>
      </c>
      <c r="Q958" s="3" t="n">
        <v>-0.7813762426376343</v>
      </c>
      <c r="R958" s="3" t="n">
        <v>-0.7692528963088989</v>
      </c>
      <c r="S958" s="3" t="n">
        <v>-0.9447095990180969</v>
      </c>
      <c r="T958" s="3" t="n">
        <v>-0.7080408334732056</v>
      </c>
      <c r="U958" s="3" t="n">
        <v>-0.8422659635543823</v>
      </c>
      <c r="V958" s="3" t="n">
        <v>-0.6736957430839539</v>
      </c>
      <c r="W958" s="3" t="n">
        <v>-0.4599969089031219</v>
      </c>
      <c r="X958" s="3" t="n">
        <v>-0.9425106048583984</v>
      </c>
      <c r="Y958" s="3" t="n">
        <v>-0.7813762426376343</v>
      </c>
      <c r="Z958" s="3" t="n">
        <v>-0.9447095990180969</v>
      </c>
      <c r="AA958" s="3" t="n">
        <v>-0.9447095990180969</v>
      </c>
      <c r="AB958" s="3" t="n">
        <v>-0.9425106048583984</v>
      </c>
      <c r="AC958" s="3" t="n">
        <v>-1.001075983047485</v>
      </c>
      <c r="AD958" s="3" t="n">
        <v>-0.8422659635543823</v>
      </c>
      <c r="AE958" s="3" t="n">
        <v>-0.8422659635543823</v>
      </c>
    </row>
    <row r="959">
      <c r="A959" s="3" t="inlineStr">
        <is>
          <t>HUN.distn.dec.ove.mean.10</t>
        </is>
      </c>
      <c r="B959" s="3" t="inlineStr">
        <is>
          <t>HUN</t>
        </is>
      </c>
      <c r="C959" s="3" t="n">
        <v>2005</v>
      </c>
      <c r="D959" s="3" t="inlineStr">
        <is>
          <t>Overall</t>
        </is>
      </c>
      <c r="E959" s="3" t="inlineStr">
        <is>
          <t>Deciles</t>
        </is>
      </c>
      <c r="F959" s="3" t="inlineStr">
        <is>
          <t>mean</t>
        </is>
      </c>
      <c r="G959" s="3" t="n">
        <v>10</v>
      </c>
      <c r="H959" s="3" t="n">
        <v>-0.7813762426376343</v>
      </c>
      <c r="I959" s="3" t="n">
        <v>-0.7813762426376343</v>
      </c>
      <c r="J959" s="3" t="n">
        <v>-0.8422659635543823</v>
      </c>
      <c r="K959" s="3" t="n">
        <v>-0.8422659635543823</v>
      </c>
      <c r="L959" s="3" t="n">
        <v>-0.7813762426376343</v>
      </c>
      <c r="M959" s="3" t="n">
        <v>-0.7813762426376343</v>
      </c>
      <c r="N959" s="3" t="n">
        <v>-0.7813762426376343</v>
      </c>
      <c r="O959" s="3" t="n">
        <v>-0.7813762426376343</v>
      </c>
      <c r="P959" s="3" t="n">
        <v>-0.7813762426376343</v>
      </c>
      <c r="Q959" s="3" t="n">
        <v>-0.7813762426376343</v>
      </c>
      <c r="R959" s="3" t="n">
        <v>-0.7692528963088989</v>
      </c>
      <c r="S959" s="3" t="n">
        <v>-0.9447095990180969</v>
      </c>
      <c r="T959" s="3" t="n">
        <v>-0.7080408334732056</v>
      </c>
      <c r="U959" s="3" t="n">
        <v>-0.8422659635543823</v>
      </c>
      <c r="V959" s="3" t="n">
        <v>-0.6736957430839539</v>
      </c>
      <c r="W959" s="3" t="n">
        <v>-0.4599969089031219</v>
      </c>
      <c r="X959" s="3" t="n">
        <v>-0.9425106048583984</v>
      </c>
      <c r="Y959" s="3" t="n">
        <v>-0.7813762426376343</v>
      </c>
      <c r="Z959" s="3" t="n">
        <v>-0.9447095990180969</v>
      </c>
      <c r="AA959" s="3" t="n">
        <v>-0.9447095990180969</v>
      </c>
      <c r="AB959" s="3" t="n">
        <v>-0.9425106048583984</v>
      </c>
      <c r="AC959" s="3" t="n">
        <v>-1.001075983047485</v>
      </c>
      <c r="AD959" s="3" t="n">
        <v>-0.8422659635543823</v>
      </c>
      <c r="AE959" s="3" t="n">
        <v>-0.8422659635543823</v>
      </c>
    </row>
    <row r="960">
      <c r="A960" s="3" t="inlineStr">
        <is>
          <t>HUN.distn.bkt.ove.mean.9999</t>
        </is>
      </c>
      <c r="B960" s="3" t="inlineStr">
        <is>
          <t>HUN</t>
        </is>
      </c>
      <c r="C960" s="3" t="n">
        <v>2005</v>
      </c>
      <c r="D960" s="3" t="inlineStr">
        <is>
          <t>Overall</t>
        </is>
      </c>
      <c r="E960" s="3" t="inlineStr">
        <is>
          <t>Basket</t>
        </is>
      </c>
      <c r="F960" s="3" t="inlineStr">
        <is>
          <t>mean</t>
        </is>
      </c>
      <c r="G960" s="3" t="n">
        <v>9999</v>
      </c>
      <c r="H960" s="3" t="n">
        <v>-0.7829827666282654</v>
      </c>
      <c r="I960" s="3" t="n">
        <v>-0.7829827666282654</v>
      </c>
      <c r="J960" s="3" t="n">
        <v>-0.8534749746322632</v>
      </c>
      <c r="K960" s="3" t="n">
        <v>-0.8534749746322632</v>
      </c>
      <c r="L960" s="3" t="n">
        <v>-0.7829827666282654</v>
      </c>
      <c r="M960" s="3" t="n">
        <v>-0.7829827666282654</v>
      </c>
      <c r="N960" s="3" t="n">
        <v>-0.7829827666282654</v>
      </c>
      <c r="O960" s="3" t="n">
        <v>-0.7829827666282654</v>
      </c>
      <c r="P960" s="3" t="n">
        <v>-0.7829827666282654</v>
      </c>
      <c r="Q960" s="3" t="n">
        <v>-0.7829827666282654</v>
      </c>
      <c r="R960" s="3" t="n">
        <v>-0.7701157331466675</v>
      </c>
      <c r="S960" s="3" t="n">
        <v>-1.070080399513245</v>
      </c>
      <c r="T960" s="3" t="n">
        <v>-0.708448052406311</v>
      </c>
      <c r="U960" s="3" t="n">
        <v>-0.8534749746322632</v>
      </c>
      <c r="V960" s="3" t="n">
        <v>-0.675282895565033</v>
      </c>
      <c r="W960" s="3" t="n">
        <v>-0.4768937528133392</v>
      </c>
      <c r="X960" s="3" t="n">
        <v>-1.053385972976685</v>
      </c>
      <c r="Y960" s="3" t="n">
        <v>-0.7829827666282654</v>
      </c>
      <c r="Z960" s="3" t="n">
        <v>-1.070080399513245</v>
      </c>
      <c r="AA960" s="3" t="n">
        <v>-1.070080399513245</v>
      </c>
      <c r="AB960" s="3" t="n">
        <v>-1.053385972976685</v>
      </c>
      <c r="AC960" s="3" t="n">
        <v>-1.308264493942261</v>
      </c>
      <c r="AD960" s="3" t="n">
        <v>-0.8534749746322632</v>
      </c>
      <c r="AE960" s="3" t="n">
        <v>-0.8534749746322632</v>
      </c>
    </row>
    <row r="961">
      <c r="A961" s="3" t="inlineStr">
        <is>
          <t>IDN.distn.dec.ove.mean.1</t>
        </is>
      </c>
      <c r="B961" s="3" t="inlineStr">
        <is>
          <t>IDN</t>
        </is>
      </c>
      <c r="C961" s="3" t="n">
        <v>2005</v>
      </c>
      <c r="D961" s="3" t="inlineStr">
        <is>
          <t>Overall</t>
        </is>
      </c>
      <c r="E961" s="3" t="inlineStr">
        <is>
          <t>Deciles</t>
        </is>
      </c>
      <c r="F961" s="3" t="inlineStr">
        <is>
          <t>mean</t>
        </is>
      </c>
      <c r="G961" s="3" t="n">
        <v>1</v>
      </c>
      <c r="H961" s="3" t="n">
        <v>-0.7922728657722473</v>
      </c>
      <c r="I961" s="3" t="n">
        <v>-0.7922728657722473</v>
      </c>
      <c r="J961" s="3" t="n">
        <v>-0.9141737818717957</v>
      </c>
      <c r="K961" s="3" t="n">
        <v>-0.9141737818717957</v>
      </c>
      <c r="L961" s="3" t="n">
        <v>-0.7922728657722473</v>
      </c>
      <c r="M961" s="3" t="n">
        <v>-0.7922728657722473</v>
      </c>
      <c r="N961" s="3" t="n">
        <v>-0.7922728657722473</v>
      </c>
      <c r="O961" s="3" t="n">
        <v>-0.7922728657722473</v>
      </c>
      <c r="P961" s="3" t="n">
        <v>-0.7922728657722473</v>
      </c>
      <c r="Q961" s="3" t="n">
        <v>-0.7922728657722473</v>
      </c>
      <c r="R961" s="3" t="n">
        <v>-0.775479793548584</v>
      </c>
      <c r="S961" s="3" t="n">
        <v>-1.595921754837036</v>
      </c>
      <c r="T961" s="3" t="n">
        <v>-0.7104546427726746</v>
      </c>
      <c r="U961" s="3" t="n">
        <v>-0.9141737818717957</v>
      </c>
      <c r="V961" s="3" t="n">
        <v>-0.6869857907295227</v>
      </c>
      <c r="W961" s="3" t="n">
        <v>-0.660641610622406</v>
      </c>
      <c r="X961" s="3" t="n">
        <v>-1.531736254692078</v>
      </c>
      <c r="Y961" s="3" t="n">
        <v>-0.7922728657722473</v>
      </c>
      <c r="Z961" s="3" t="n">
        <v>-1.595921754837036</v>
      </c>
      <c r="AA961" s="3" t="n">
        <v>-1.595921754837036</v>
      </c>
      <c r="AB961" s="3" t="n">
        <v>-1.531736254692078</v>
      </c>
      <c r="AC961" s="3" t="n">
        <v>-2.646386861801147</v>
      </c>
      <c r="AD961" s="3" t="n">
        <v>-0.9141737818717957</v>
      </c>
      <c r="AE961" s="3" t="n">
        <v>-0.9141737818717957</v>
      </c>
    </row>
    <row r="962">
      <c r="A962" s="3" t="inlineStr">
        <is>
          <t>IDN.distn.dec.ove.mean.2</t>
        </is>
      </c>
      <c r="B962" s="3" t="inlineStr">
        <is>
          <t>IDN</t>
        </is>
      </c>
      <c r="C962" s="3" t="n">
        <v>2005</v>
      </c>
      <c r="D962" s="3" t="inlineStr">
        <is>
          <t>Overall</t>
        </is>
      </c>
      <c r="E962" s="3" t="inlineStr">
        <is>
          <t>Deciles</t>
        </is>
      </c>
      <c r="F962" s="3" t="inlineStr">
        <is>
          <t>mean</t>
        </is>
      </c>
      <c r="G962" s="3" t="n">
        <v>2</v>
      </c>
      <c r="H962" s="3" t="n">
        <v>-0.7922728657722473</v>
      </c>
      <c r="I962" s="3" t="n">
        <v>-0.7922728657722473</v>
      </c>
      <c r="J962" s="3" t="n">
        <v>-0.9141737818717957</v>
      </c>
      <c r="K962" s="3" t="n">
        <v>-0.9141737818717957</v>
      </c>
      <c r="L962" s="3" t="n">
        <v>-0.7922728657722473</v>
      </c>
      <c r="M962" s="3" t="n">
        <v>-0.7922728657722473</v>
      </c>
      <c r="N962" s="3" t="n">
        <v>-0.7922728657722473</v>
      </c>
      <c r="O962" s="3" t="n">
        <v>-0.7922728657722473</v>
      </c>
      <c r="P962" s="3" t="n">
        <v>-0.7922728657722473</v>
      </c>
      <c r="Q962" s="3" t="n">
        <v>-0.7922728657722473</v>
      </c>
      <c r="R962" s="3" t="n">
        <v>-0.775479793548584</v>
      </c>
      <c r="S962" s="3" t="n">
        <v>-1.595921754837036</v>
      </c>
      <c r="T962" s="3" t="n">
        <v>-0.7104546427726746</v>
      </c>
      <c r="U962" s="3" t="n">
        <v>-0.9141737818717957</v>
      </c>
      <c r="V962" s="3" t="n">
        <v>-0.6869857907295227</v>
      </c>
      <c r="W962" s="3" t="n">
        <v>-0.660641610622406</v>
      </c>
      <c r="X962" s="3" t="n">
        <v>-1.531736254692078</v>
      </c>
      <c r="Y962" s="3" t="n">
        <v>-0.7922728657722473</v>
      </c>
      <c r="Z962" s="3" t="n">
        <v>-1.595921754837036</v>
      </c>
      <c r="AA962" s="3" t="n">
        <v>-1.595921754837036</v>
      </c>
      <c r="AB962" s="3" t="n">
        <v>-1.531736254692078</v>
      </c>
      <c r="AC962" s="3" t="n">
        <v>-2.646386861801147</v>
      </c>
      <c r="AD962" s="3" t="n">
        <v>-0.9141737818717957</v>
      </c>
      <c r="AE962" s="3" t="n">
        <v>-0.9141737818717957</v>
      </c>
    </row>
    <row r="963">
      <c r="A963" s="3" t="inlineStr">
        <is>
          <t>IDN.distn.dec.ove.mean.3</t>
        </is>
      </c>
      <c r="B963" s="3" t="inlineStr">
        <is>
          <t>IDN</t>
        </is>
      </c>
      <c r="C963" s="3" t="n">
        <v>2005</v>
      </c>
      <c r="D963" s="3" t="inlineStr">
        <is>
          <t>Overall</t>
        </is>
      </c>
      <c r="E963" s="3" t="inlineStr">
        <is>
          <t>Deciles</t>
        </is>
      </c>
      <c r="F963" s="3" t="inlineStr">
        <is>
          <t>mean</t>
        </is>
      </c>
      <c r="G963" s="3" t="n">
        <v>3</v>
      </c>
      <c r="H963" s="3" t="n">
        <v>-0.7922728657722473</v>
      </c>
      <c r="I963" s="3" t="n">
        <v>-0.7922728657722473</v>
      </c>
      <c r="J963" s="3" t="n">
        <v>-0.9141737818717957</v>
      </c>
      <c r="K963" s="3" t="n">
        <v>-0.9141737818717957</v>
      </c>
      <c r="L963" s="3" t="n">
        <v>-0.7922728657722473</v>
      </c>
      <c r="M963" s="3" t="n">
        <v>-0.7922728657722473</v>
      </c>
      <c r="N963" s="3" t="n">
        <v>-0.7922728657722473</v>
      </c>
      <c r="O963" s="3" t="n">
        <v>-0.7922728657722473</v>
      </c>
      <c r="P963" s="3" t="n">
        <v>-0.7922728657722473</v>
      </c>
      <c r="Q963" s="3" t="n">
        <v>-0.7922728657722473</v>
      </c>
      <c r="R963" s="3" t="n">
        <v>-0.775479793548584</v>
      </c>
      <c r="S963" s="3" t="n">
        <v>-1.595921754837036</v>
      </c>
      <c r="T963" s="3" t="n">
        <v>-0.7104546427726746</v>
      </c>
      <c r="U963" s="3" t="n">
        <v>-0.9141737818717957</v>
      </c>
      <c r="V963" s="3" t="n">
        <v>-0.6869857907295227</v>
      </c>
      <c r="W963" s="3" t="n">
        <v>-0.660641610622406</v>
      </c>
      <c r="X963" s="3" t="n">
        <v>-1.531736254692078</v>
      </c>
      <c r="Y963" s="3" t="n">
        <v>-0.7922728657722473</v>
      </c>
      <c r="Z963" s="3" t="n">
        <v>-1.595921754837036</v>
      </c>
      <c r="AA963" s="3" t="n">
        <v>-1.595921754837036</v>
      </c>
      <c r="AB963" s="3" t="n">
        <v>-1.531736254692078</v>
      </c>
      <c r="AC963" s="3" t="n">
        <v>-2.646386861801147</v>
      </c>
      <c r="AD963" s="3" t="n">
        <v>-0.9141737818717957</v>
      </c>
      <c r="AE963" s="3" t="n">
        <v>-0.9141737818717957</v>
      </c>
    </row>
    <row r="964">
      <c r="A964" s="3" t="inlineStr">
        <is>
          <t>IDN.distn.dec.ove.mean.4</t>
        </is>
      </c>
      <c r="B964" s="3" t="inlineStr">
        <is>
          <t>IDN</t>
        </is>
      </c>
      <c r="C964" s="3" t="n">
        <v>2005</v>
      </c>
      <c r="D964" s="3" t="inlineStr">
        <is>
          <t>Overall</t>
        </is>
      </c>
      <c r="E964" s="3" t="inlineStr">
        <is>
          <t>Deciles</t>
        </is>
      </c>
      <c r="F964" s="3" t="inlineStr">
        <is>
          <t>mean</t>
        </is>
      </c>
      <c r="G964" s="3" t="n">
        <v>4</v>
      </c>
      <c r="H964" s="3" t="n">
        <v>-0.7860000133514404</v>
      </c>
      <c r="I964" s="3" t="n">
        <v>-0.7860000133514404</v>
      </c>
      <c r="J964" s="3" t="n">
        <v>-0.8700000047683716</v>
      </c>
      <c r="K964" s="3" t="n">
        <v>-0.8700000047683716</v>
      </c>
      <c r="L964" s="3" t="n">
        <v>-0.7860000133514404</v>
      </c>
      <c r="M964" s="3" t="n">
        <v>-0.7860000133514404</v>
      </c>
      <c r="N964" s="3" t="n">
        <v>-0.7860000133514404</v>
      </c>
      <c r="O964" s="3" t="n">
        <v>-0.7860000133514404</v>
      </c>
      <c r="P964" s="3" t="n">
        <v>-0.7860000133514404</v>
      </c>
      <c r="Q964" s="3" t="n">
        <v>-0.7860000133514404</v>
      </c>
      <c r="R964" s="3" t="n">
        <v>-0.7720000147819519</v>
      </c>
      <c r="S964" s="3" t="n">
        <v>-1.087000012397766</v>
      </c>
      <c r="T964" s="3" t="n">
        <v>-0.7089999914169312</v>
      </c>
      <c r="U964" s="3" t="n">
        <v>-0.8700000047683716</v>
      </c>
      <c r="V964" s="3" t="n">
        <v>-0.6800000071525574</v>
      </c>
      <c r="W964" s="3" t="n">
        <v>-0.5559999942779541</v>
      </c>
      <c r="X964" s="3" t="n">
        <v>-1.080999970436096</v>
      </c>
      <c r="Y964" s="3" t="n">
        <v>-0.7860000133514404</v>
      </c>
      <c r="Z964" s="3" t="n">
        <v>-1.087000012397766</v>
      </c>
      <c r="AA964" s="3" t="n">
        <v>-1.087000012397766</v>
      </c>
      <c r="AB964" s="3" t="n">
        <v>-1.080999970436096</v>
      </c>
      <c r="AC964" s="3" t="n">
        <v>-1.277999997138977</v>
      </c>
      <c r="AD964" s="3" t="n">
        <v>-0.8700000047683716</v>
      </c>
      <c r="AE964" s="3" t="n">
        <v>-0.8700000047683716</v>
      </c>
    </row>
    <row r="965">
      <c r="A965" s="3" t="inlineStr">
        <is>
          <t>IDN.distn.dec.ove.mean.5</t>
        </is>
      </c>
      <c r="B965" s="3" t="inlineStr">
        <is>
          <t>IDN</t>
        </is>
      </c>
      <c r="C965" s="3" t="n">
        <v>2005</v>
      </c>
      <c r="D965" s="3" t="inlineStr">
        <is>
          <t>Overall</t>
        </is>
      </c>
      <c r="E965" s="3" t="inlineStr">
        <is>
          <t>Deciles</t>
        </is>
      </c>
      <c r="F965" s="3" t="inlineStr">
        <is>
          <t>mean</t>
        </is>
      </c>
      <c r="G965" s="3" t="n">
        <v>5</v>
      </c>
      <c r="H965" s="3" t="n">
        <v>-0.7860000133514404</v>
      </c>
      <c r="I965" s="3" t="n">
        <v>-0.7860000133514404</v>
      </c>
      <c r="J965" s="3" t="n">
        <v>-0.8700000047683716</v>
      </c>
      <c r="K965" s="3" t="n">
        <v>-0.8700000047683716</v>
      </c>
      <c r="L965" s="3" t="n">
        <v>-0.7860000133514404</v>
      </c>
      <c r="M965" s="3" t="n">
        <v>-0.7860000133514404</v>
      </c>
      <c r="N965" s="3" t="n">
        <v>-0.7860000133514404</v>
      </c>
      <c r="O965" s="3" t="n">
        <v>-0.7860000133514404</v>
      </c>
      <c r="P965" s="3" t="n">
        <v>-0.7860000133514404</v>
      </c>
      <c r="Q965" s="3" t="n">
        <v>-0.7860000133514404</v>
      </c>
      <c r="R965" s="3" t="n">
        <v>-0.7720000147819519</v>
      </c>
      <c r="S965" s="3" t="n">
        <v>-1.087000012397766</v>
      </c>
      <c r="T965" s="3" t="n">
        <v>-0.7089999914169312</v>
      </c>
      <c r="U965" s="3" t="n">
        <v>-0.8700000047683716</v>
      </c>
      <c r="V965" s="3" t="n">
        <v>-0.6800000071525574</v>
      </c>
      <c r="W965" s="3" t="n">
        <v>-0.5559999942779541</v>
      </c>
      <c r="X965" s="3" t="n">
        <v>-1.080999970436096</v>
      </c>
      <c r="Y965" s="3" t="n">
        <v>-0.7860000133514404</v>
      </c>
      <c r="Z965" s="3" t="n">
        <v>-1.087000012397766</v>
      </c>
      <c r="AA965" s="3" t="n">
        <v>-1.087000012397766</v>
      </c>
      <c r="AB965" s="3" t="n">
        <v>-1.080999970436096</v>
      </c>
      <c r="AC965" s="3" t="n">
        <v>-1.277999997138977</v>
      </c>
      <c r="AD965" s="3" t="n">
        <v>-0.8700000047683716</v>
      </c>
      <c r="AE965" s="3" t="n">
        <v>-0.8700000047683716</v>
      </c>
    </row>
    <row r="966">
      <c r="A966" s="3" t="inlineStr">
        <is>
          <t>IDN.distn.dec.ove.mean.6</t>
        </is>
      </c>
      <c r="B966" s="3" t="inlineStr">
        <is>
          <t>IDN</t>
        </is>
      </c>
      <c r="C966" s="3" t="n">
        <v>2005</v>
      </c>
      <c r="D966" s="3" t="inlineStr">
        <is>
          <t>Overall</t>
        </is>
      </c>
      <c r="E966" s="3" t="inlineStr">
        <is>
          <t>Deciles</t>
        </is>
      </c>
      <c r="F966" s="3" t="inlineStr">
        <is>
          <t>mean</t>
        </is>
      </c>
      <c r="G966" s="3" t="n">
        <v>6</v>
      </c>
      <c r="H966" s="3" t="n">
        <v>-0.7860000133514404</v>
      </c>
      <c r="I966" s="3" t="n">
        <v>-0.7860000133514404</v>
      </c>
      <c r="J966" s="3" t="n">
        <v>-0.8700000047683716</v>
      </c>
      <c r="K966" s="3" t="n">
        <v>-0.8700000047683716</v>
      </c>
      <c r="L966" s="3" t="n">
        <v>-0.7860000133514404</v>
      </c>
      <c r="M966" s="3" t="n">
        <v>-0.7860000133514404</v>
      </c>
      <c r="N966" s="3" t="n">
        <v>-0.7860000133514404</v>
      </c>
      <c r="O966" s="3" t="n">
        <v>-0.7860000133514404</v>
      </c>
      <c r="P966" s="3" t="n">
        <v>-0.7860000133514404</v>
      </c>
      <c r="Q966" s="3" t="n">
        <v>-0.7860000133514404</v>
      </c>
      <c r="R966" s="3" t="n">
        <v>-0.7720000147819519</v>
      </c>
      <c r="S966" s="3" t="n">
        <v>-1.087000012397766</v>
      </c>
      <c r="T966" s="3" t="n">
        <v>-0.7089999914169312</v>
      </c>
      <c r="U966" s="3" t="n">
        <v>-0.8700000047683716</v>
      </c>
      <c r="V966" s="3" t="n">
        <v>-0.6800000071525574</v>
      </c>
      <c r="W966" s="3" t="n">
        <v>-0.5559999942779541</v>
      </c>
      <c r="X966" s="3" t="n">
        <v>-1.080999970436096</v>
      </c>
      <c r="Y966" s="3" t="n">
        <v>-0.7860000133514404</v>
      </c>
      <c r="Z966" s="3" t="n">
        <v>-1.087000012397766</v>
      </c>
      <c r="AA966" s="3" t="n">
        <v>-1.087000012397766</v>
      </c>
      <c r="AB966" s="3" t="n">
        <v>-1.080999970436096</v>
      </c>
      <c r="AC966" s="3" t="n">
        <v>-1.277999997138977</v>
      </c>
      <c r="AD966" s="3" t="n">
        <v>-0.8700000047683716</v>
      </c>
      <c r="AE966" s="3" t="n">
        <v>-0.8700000047683716</v>
      </c>
    </row>
    <row r="967">
      <c r="A967" s="3" t="inlineStr">
        <is>
          <t>IDN.distn.dec.ove.mean.7</t>
        </is>
      </c>
      <c r="B967" s="3" t="inlineStr">
        <is>
          <t>IDN</t>
        </is>
      </c>
      <c r="C967" s="3" t="n">
        <v>2005</v>
      </c>
      <c r="D967" s="3" t="inlineStr">
        <is>
          <t>Overall</t>
        </is>
      </c>
      <c r="E967" s="3" t="inlineStr">
        <is>
          <t>Deciles</t>
        </is>
      </c>
      <c r="F967" s="3" t="inlineStr">
        <is>
          <t>mean</t>
        </is>
      </c>
      <c r="G967" s="3" t="n">
        <v>7</v>
      </c>
      <c r="H967" s="3" t="n">
        <v>-0.7860000133514404</v>
      </c>
      <c r="I967" s="3" t="n">
        <v>-0.7860000133514404</v>
      </c>
      <c r="J967" s="3" t="n">
        <v>-0.8700000047683716</v>
      </c>
      <c r="K967" s="3" t="n">
        <v>-0.8700000047683716</v>
      </c>
      <c r="L967" s="3" t="n">
        <v>-0.7860000133514404</v>
      </c>
      <c r="M967" s="3" t="n">
        <v>-0.7860000133514404</v>
      </c>
      <c r="N967" s="3" t="n">
        <v>-0.7860000133514404</v>
      </c>
      <c r="O967" s="3" t="n">
        <v>-0.7860000133514404</v>
      </c>
      <c r="P967" s="3" t="n">
        <v>-0.7860000133514404</v>
      </c>
      <c r="Q967" s="3" t="n">
        <v>-0.7860000133514404</v>
      </c>
      <c r="R967" s="3" t="n">
        <v>-0.7720000147819519</v>
      </c>
      <c r="S967" s="3" t="n">
        <v>-1.087000012397766</v>
      </c>
      <c r="T967" s="3" t="n">
        <v>-0.7089999914169312</v>
      </c>
      <c r="U967" s="3" t="n">
        <v>-0.8700000047683716</v>
      </c>
      <c r="V967" s="3" t="n">
        <v>-0.6800000071525574</v>
      </c>
      <c r="W967" s="3" t="n">
        <v>-0.5559999942779541</v>
      </c>
      <c r="X967" s="3" t="n">
        <v>-1.080999970436096</v>
      </c>
      <c r="Y967" s="3" t="n">
        <v>-0.7860000133514404</v>
      </c>
      <c r="Z967" s="3" t="n">
        <v>-1.087000012397766</v>
      </c>
      <c r="AA967" s="3" t="n">
        <v>-1.087000012397766</v>
      </c>
      <c r="AB967" s="3" t="n">
        <v>-1.080999970436096</v>
      </c>
      <c r="AC967" s="3" t="n">
        <v>-1.277999997138977</v>
      </c>
      <c r="AD967" s="3" t="n">
        <v>-0.8700000047683716</v>
      </c>
      <c r="AE967" s="3" t="n">
        <v>-0.8700000047683716</v>
      </c>
    </row>
    <row r="968">
      <c r="A968" s="3" t="inlineStr">
        <is>
          <t>IDN.distn.dec.ove.mean.8</t>
        </is>
      </c>
      <c r="B968" s="3" t="inlineStr">
        <is>
          <t>IDN</t>
        </is>
      </c>
      <c r="C968" s="3" t="n">
        <v>2005</v>
      </c>
      <c r="D968" s="3" t="inlineStr">
        <is>
          <t>Overall</t>
        </is>
      </c>
      <c r="E968" s="3" t="inlineStr">
        <is>
          <t>Deciles</t>
        </is>
      </c>
      <c r="F968" s="3" t="inlineStr">
        <is>
          <t>mean</t>
        </is>
      </c>
      <c r="G968" s="3" t="n">
        <v>8</v>
      </c>
      <c r="H968" s="3" t="n">
        <v>-0.7863786816596985</v>
      </c>
      <c r="I968" s="3" t="n">
        <v>-0.7863786816596985</v>
      </c>
      <c r="J968" s="3" t="n">
        <v>-0.8723468780517578</v>
      </c>
      <c r="K968" s="3" t="n">
        <v>-0.8723468780517578</v>
      </c>
      <c r="L968" s="3" t="n">
        <v>-0.7863786816596985</v>
      </c>
      <c r="M968" s="3" t="n">
        <v>-0.7863786816596985</v>
      </c>
      <c r="N968" s="3" t="n">
        <v>-0.7863786816596985</v>
      </c>
      <c r="O968" s="3" t="n">
        <v>-0.7863786816596985</v>
      </c>
      <c r="P968" s="3" t="n">
        <v>-0.7863786816596985</v>
      </c>
      <c r="Q968" s="3" t="n">
        <v>-0.7863786816596985</v>
      </c>
      <c r="R968" s="3" t="n">
        <v>-0.7722538709640503</v>
      </c>
      <c r="S968" s="3" t="n">
        <v>-1.097114682197571</v>
      </c>
      <c r="T968" s="3" t="n">
        <v>-0.7090408802032471</v>
      </c>
      <c r="U968" s="3" t="n">
        <v>-0.8723468780517578</v>
      </c>
      <c r="V968" s="3" t="n">
        <v>-0.6807029843330383</v>
      </c>
      <c r="W968" s="3" t="n">
        <v>-0.5708889961242676</v>
      </c>
      <c r="X968" s="3" t="n">
        <v>-1.090850114822388</v>
      </c>
      <c r="Y968" s="3" t="n">
        <v>-0.7863786816596985</v>
      </c>
      <c r="Z968" s="3" t="n">
        <v>-1.097114682197571</v>
      </c>
      <c r="AA968" s="3" t="n">
        <v>-1.097114682197571</v>
      </c>
      <c r="AB968" s="3" t="n">
        <v>-1.090850114822388</v>
      </c>
      <c r="AC968" s="3" t="n">
        <v>-1.296226024627686</v>
      </c>
      <c r="AD968" s="3" t="n">
        <v>-0.8723468780517578</v>
      </c>
      <c r="AE968" s="3" t="n">
        <v>-0.8723468780517578</v>
      </c>
    </row>
    <row r="969">
      <c r="A969" s="3" t="inlineStr">
        <is>
          <t>IDN.distn.dec.ove.mean.9</t>
        </is>
      </c>
      <c r="B969" s="3" t="inlineStr">
        <is>
          <t>IDN</t>
        </is>
      </c>
      <c r="C969" s="3" t="n">
        <v>2005</v>
      </c>
      <c r="D969" s="3" t="inlineStr">
        <is>
          <t>Overall</t>
        </is>
      </c>
      <c r="E969" s="3" t="inlineStr">
        <is>
          <t>Deciles</t>
        </is>
      </c>
      <c r="F969" s="3" t="inlineStr">
        <is>
          <t>mean</t>
        </is>
      </c>
      <c r="G969" s="3" t="n">
        <v>9</v>
      </c>
      <c r="H969" s="3" t="n">
        <v>-0.7863786816596985</v>
      </c>
      <c r="I969" s="3" t="n">
        <v>-0.7863786816596985</v>
      </c>
      <c r="J969" s="3" t="n">
        <v>-0.8723468780517578</v>
      </c>
      <c r="K969" s="3" t="n">
        <v>-0.8723468780517578</v>
      </c>
      <c r="L969" s="3" t="n">
        <v>-0.7863786816596985</v>
      </c>
      <c r="M969" s="3" t="n">
        <v>-0.7863786816596985</v>
      </c>
      <c r="N969" s="3" t="n">
        <v>-0.7863786816596985</v>
      </c>
      <c r="O969" s="3" t="n">
        <v>-0.7863786816596985</v>
      </c>
      <c r="P969" s="3" t="n">
        <v>-0.7863786816596985</v>
      </c>
      <c r="Q969" s="3" t="n">
        <v>-0.7863786816596985</v>
      </c>
      <c r="R969" s="3" t="n">
        <v>-0.7722538709640503</v>
      </c>
      <c r="S969" s="3" t="n">
        <v>-1.097114682197571</v>
      </c>
      <c r="T969" s="3" t="n">
        <v>-0.7090408802032471</v>
      </c>
      <c r="U969" s="3" t="n">
        <v>-0.8723468780517578</v>
      </c>
      <c r="V969" s="3" t="n">
        <v>-0.6807029843330383</v>
      </c>
      <c r="W969" s="3" t="n">
        <v>-0.5708889961242676</v>
      </c>
      <c r="X969" s="3" t="n">
        <v>-1.090850114822388</v>
      </c>
      <c r="Y969" s="3" t="n">
        <v>-0.7863786816596985</v>
      </c>
      <c r="Z969" s="3" t="n">
        <v>-1.097114682197571</v>
      </c>
      <c r="AA969" s="3" t="n">
        <v>-1.097114682197571</v>
      </c>
      <c r="AB969" s="3" t="n">
        <v>-1.090850114822388</v>
      </c>
      <c r="AC969" s="3" t="n">
        <v>-1.296226024627686</v>
      </c>
      <c r="AD969" s="3" t="n">
        <v>-0.8723468780517578</v>
      </c>
      <c r="AE969" s="3" t="n">
        <v>-0.8723468780517578</v>
      </c>
    </row>
    <row r="970">
      <c r="A970" s="3" t="inlineStr">
        <is>
          <t>IDN.distn.dec.ove.mean.10</t>
        </is>
      </c>
      <c r="B970" s="3" t="inlineStr">
        <is>
          <t>IDN</t>
        </is>
      </c>
      <c r="C970" s="3" t="n">
        <v>2005</v>
      </c>
      <c r="D970" s="3" t="inlineStr">
        <is>
          <t>Overall</t>
        </is>
      </c>
      <c r="E970" s="3" t="inlineStr">
        <is>
          <t>Deciles</t>
        </is>
      </c>
      <c r="F970" s="3" t="inlineStr">
        <is>
          <t>mean</t>
        </is>
      </c>
      <c r="G970" s="3" t="n">
        <v>10</v>
      </c>
      <c r="H970" s="3" t="n">
        <v>-0.7863786816596985</v>
      </c>
      <c r="I970" s="3" t="n">
        <v>-0.7863786816596985</v>
      </c>
      <c r="J970" s="3" t="n">
        <v>-0.8723468780517578</v>
      </c>
      <c r="K970" s="3" t="n">
        <v>-0.8723468780517578</v>
      </c>
      <c r="L970" s="3" t="n">
        <v>-0.7863786816596985</v>
      </c>
      <c r="M970" s="3" t="n">
        <v>-0.7863786816596985</v>
      </c>
      <c r="N970" s="3" t="n">
        <v>-0.7863786816596985</v>
      </c>
      <c r="O970" s="3" t="n">
        <v>-0.7863786816596985</v>
      </c>
      <c r="P970" s="3" t="n">
        <v>-0.7863786816596985</v>
      </c>
      <c r="Q970" s="3" t="n">
        <v>-0.7863786816596985</v>
      </c>
      <c r="R970" s="3" t="n">
        <v>-0.7722538709640503</v>
      </c>
      <c r="S970" s="3" t="n">
        <v>-1.097114682197571</v>
      </c>
      <c r="T970" s="3" t="n">
        <v>-0.7090408802032471</v>
      </c>
      <c r="U970" s="3" t="n">
        <v>-0.8723468780517578</v>
      </c>
      <c r="V970" s="3" t="n">
        <v>-0.6807029843330383</v>
      </c>
      <c r="W970" s="3" t="n">
        <v>-0.5708889961242676</v>
      </c>
      <c r="X970" s="3" t="n">
        <v>-1.090850114822388</v>
      </c>
      <c r="Y970" s="3" t="n">
        <v>-0.7863786816596985</v>
      </c>
      <c r="Z970" s="3" t="n">
        <v>-1.097114682197571</v>
      </c>
      <c r="AA970" s="3" t="n">
        <v>-1.097114682197571</v>
      </c>
      <c r="AB970" s="3" t="n">
        <v>-1.090850114822388</v>
      </c>
      <c r="AC970" s="3" t="n">
        <v>-1.296226024627686</v>
      </c>
      <c r="AD970" s="3" t="n">
        <v>-0.8723468780517578</v>
      </c>
      <c r="AE970" s="3" t="n">
        <v>-0.8723468780517578</v>
      </c>
    </row>
    <row r="971">
      <c r="A971" s="3" t="inlineStr">
        <is>
          <t>IDN.distn.bkt.ove.mean.9999</t>
        </is>
      </c>
      <c r="B971" s="3" t="inlineStr">
        <is>
          <t>IDN</t>
        </is>
      </c>
      <c r="C971" s="3" t="n">
        <v>2005</v>
      </c>
      <c r="D971" s="3" t="inlineStr">
        <is>
          <t>Overall</t>
        </is>
      </c>
      <c r="E971" s="3" t="inlineStr">
        <is>
          <t>Basket</t>
        </is>
      </c>
      <c r="F971" s="3" t="inlineStr">
        <is>
          <t>mean</t>
        </is>
      </c>
      <c r="G971" s="3" t="n">
        <v>9999</v>
      </c>
      <c r="H971" s="3" t="n">
        <v>-0.787995457649231</v>
      </c>
      <c r="I971" s="3" t="n">
        <v>-0.787995457649231</v>
      </c>
      <c r="J971" s="3" t="n">
        <v>-0.8839561939239502</v>
      </c>
      <c r="K971" s="3" t="n">
        <v>-0.8839561939239502</v>
      </c>
      <c r="L971" s="3" t="n">
        <v>-0.787995457649231</v>
      </c>
      <c r="M971" s="3" t="n">
        <v>-0.787995457649231</v>
      </c>
      <c r="N971" s="3" t="n">
        <v>-0.787995457649231</v>
      </c>
      <c r="O971" s="3" t="n">
        <v>-0.787995457649231</v>
      </c>
      <c r="P971" s="3" t="n">
        <v>-0.787995457649231</v>
      </c>
      <c r="Q971" s="3" t="n">
        <v>-0.787995457649231</v>
      </c>
      <c r="R971" s="3" t="n">
        <v>-0.773120105266571</v>
      </c>
      <c r="S971" s="3" t="n">
        <v>-1.242710947990417</v>
      </c>
      <c r="T971" s="3" t="n">
        <v>-0.7094486355781555</v>
      </c>
      <c r="U971" s="3" t="n">
        <v>-0.8839561939239502</v>
      </c>
      <c r="V971" s="3" t="n">
        <v>-0.6823066473007202</v>
      </c>
      <c r="W971" s="3" t="n">
        <v>-0.5918591618537903</v>
      </c>
      <c r="X971" s="3" t="n">
        <v>-1.219175934791565</v>
      </c>
      <c r="Y971" s="3" t="n">
        <v>-0.787995457649231</v>
      </c>
      <c r="Z971" s="3" t="n">
        <v>-1.242710947990417</v>
      </c>
      <c r="AA971" s="3" t="n">
        <v>-1.242710947990417</v>
      </c>
      <c r="AB971" s="3" t="n">
        <v>-1.219175934791565</v>
      </c>
      <c r="AC971" s="3" t="n">
        <v>-1.693983912467957</v>
      </c>
      <c r="AD971" s="3" t="n">
        <v>-0.8839561939239502</v>
      </c>
      <c r="AE971" s="3" t="n">
        <v>-0.8839561939239502</v>
      </c>
    </row>
    <row r="972">
      <c r="A972" s="3" t="inlineStr">
        <is>
          <t>IMN.distn.dec.ove.mean.1</t>
        </is>
      </c>
      <c r="B972" s="3" t="inlineStr">
        <is>
          <t>IMN</t>
        </is>
      </c>
      <c r="C972" s="3" t="n">
        <v>2005</v>
      </c>
      <c r="D972" s="3" t="inlineStr">
        <is>
          <t>Overall</t>
        </is>
      </c>
      <c r="E972" s="3" t="inlineStr">
        <is>
          <t>Deciles</t>
        </is>
      </c>
      <c r="F972" s="3" t="inlineStr">
        <is>
          <t>mean</t>
        </is>
      </c>
      <c r="G972" s="3" t="n">
        <v>1</v>
      </c>
      <c r="H972" s="3" t="n">
        <v>-0.7878549098968506</v>
      </c>
      <c r="I972" s="3" t="n">
        <v>-0.7878549098968506</v>
      </c>
      <c r="J972" s="3" t="n">
        <v>-0.8883962808771336</v>
      </c>
      <c r="K972" s="3" t="n">
        <v>-0.8883962808771336</v>
      </c>
      <c r="L972" s="3" t="n">
        <v>-0.7878549098968506</v>
      </c>
      <c r="M972" s="3" t="n">
        <v>-0.7878549098968506</v>
      </c>
      <c r="N972" s="3" t="n">
        <v>-0.7878549098968506</v>
      </c>
      <c r="O972" s="3" t="n">
        <v>-0.7878549098968506</v>
      </c>
      <c r="P972" s="3" t="n">
        <v>-0.7878549098968506</v>
      </c>
      <c r="Q972" s="3" t="n">
        <v>-0.7878549098968506</v>
      </c>
      <c r="R972" s="3" t="n">
        <v>-0.7732356596500316</v>
      </c>
      <c r="S972" s="3" t="n">
        <v>-1.408805674694954</v>
      </c>
      <c r="T972" s="3" t="n">
        <v>-0.7095591730259835</v>
      </c>
      <c r="U972" s="3" t="n">
        <v>-0.8883962808771336</v>
      </c>
      <c r="V972" s="3" t="n">
        <v>-0.681934451803248</v>
      </c>
      <c r="W972" s="3" t="n">
        <v>-0.5702875047288043</v>
      </c>
      <c r="X972" s="3" t="n">
        <v>-1.356243993373627</v>
      </c>
      <c r="Y972" s="3" t="n">
        <v>-0.7878549098968506</v>
      </c>
      <c r="Z972" s="3" t="n">
        <v>-1.408805674694954</v>
      </c>
      <c r="AA972" s="3" t="n">
        <v>-1.408805674694954</v>
      </c>
      <c r="AB972" s="3" t="n">
        <v>-1.356243993373627</v>
      </c>
      <c r="AC972" s="3" t="n">
        <v>-2.123991362592007</v>
      </c>
      <c r="AD972" s="3" t="n">
        <v>-0.8883962808771336</v>
      </c>
      <c r="AE972" s="3" t="n">
        <v>-0.8883962808771336</v>
      </c>
    </row>
    <row r="973">
      <c r="A973" s="3" t="inlineStr">
        <is>
          <t>IMN.distn.dec.ove.mean.2</t>
        </is>
      </c>
      <c r="B973" s="3" t="inlineStr">
        <is>
          <t>IMN</t>
        </is>
      </c>
      <c r="C973" s="3" t="n">
        <v>2005</v>
      </c>
      <c r="D973" s="3" t="inlineStr">
        <is>
          <t>Overall</t>
        </is>
      </c>
      <c r="E973" s="3" t="inlineStr">
        <is>
          <t>Deciles</t>
        </is>
      </c>
      <c r="F973" s="3" t="inlineStr">
        <is>
          <t>mean</t>
        </is>
      </c>
      <c r="G973" s="3" t="n">
        <v>2</v>
      </c>
      <c r="H973" s="3" t="n">
        <v>-0.7878549098968506</v>
      </c>
      <c r="I973" s="3" t="n">
        <v>-0.7878549098968506</v>
      </c>
      <c r="J973" s="3" t="n">
        <v>-0.8883962808771336</v>
      </c>
      <c r="K973" s="3" t="n">
        <v>-0.8883962808771336</v>
      </c>
      <c r="L973" s="3" t="n">
        <v>-0.7878549098968506</v>
      </c>
      <c r="M973" s="3" t="n">
        <v>-0.7878549098968506</v>
      </c>
      <c r="N973" s="3" t="n">
        <v>-0.7878549098968506</v>
      </c>
      <c r="O973" s="3" t="n">
        <v>-0.7878549098968506</v>
      </c>
      <c r="P973" s="3" t="n">
        <v>-0.7878549098968506</v>
      </c>
      <c r="Q973" s="3" t="n">
        <v>-0.7878549098968506</v>
      </c>
      <c r="R973" s="3" t="n">
        <v>-0.7732356596500316</v>
      </c>
      <c r="S973" s="3" t="n">
        <v>-1.408805674694954</v>
      </c>
      <c r="T973" s="3" t="n">
        <v>-0.7095591730259835</v>
      </c>
      <c r="U973" s="3" t="n">
        <v>-0.8883962808771336</v>
      </c>
      <c r="V973" s="3" t="n">
        <v>-0.681934451803248</v>
      </c>
      <c r="W973" s="3" t="n">
        <v>-0.5702875047288043</v>
      </c>
      <c r="X973" s="3" t="n">
        <v>-1.356243993373627</v>
      </c>
      <c r="Y973" s="3" t="n">
        <v>-0.7878549098968506</v>
      </c>
      <c r="Z973" s="3" t="n">
        <v>-1.408805674694954</v>
      </c>
      <c r="AA973" s="3" t="n">
        <v>-1.408805674694954</v>
      </c>
      <c r="AB973" s="3" t="n">
        <v>-1.356243993373627</v>
      </c>
      <c r="AC973" s="3" t="n">
        <v>-2.123991362592007</v>
      </c>
      <c r="AD973" s="3" t="n">
        <v>-0.8883962808771336</v>
      </c>
      <c r="AE973" s="3" t="n">
        <v>-0.8883962808771336</v>
      </c>
    </row>
    <row r="974">
      <c r="A974" s="3" t="inlineStr">
        <is>
          <t>IMN.distn.dec.ove.mean.3</t>
        </is>
      </c>
      <c r="B974" s="3" t="inlineStr">
        <is>
          <t>IMN</t>
        </is>
      </c>
      <c r="C974" s="3" t="n">
        <v>2005</v>
      </c>
      <c r="D974" s="3" t="inlineStr">
        <is>
          <t>Overall</t>
        </is>
      </c>
      <c r="E974" s="3" t="inlineStr">
        <is>
          <t>Deciles</t>
        </is>
      </c>
      <c r="F974" s="3" t="inlineStr">
        <is>
          <t>mean</t>
        </is>
      </c>
      <c r="G974" s="3" t="n">
        <v>3</v>
      </c>
      <c r="H974" s="3" t="n">
        <v>-0.7878549098968506</v>
      </c>
      <c r="I974" s="3" t="n">
        <v>-0.7878549098968506</v>
      </c>
      <c r="J974" s="3" t="n">
        <v>-0.8883962808771336</v>
      </c>
      <c r="K974" s="3" t="n">
        <v>-0.8883962808771336</v>
      </c>
      <c r="L974" s="3" t="n">
        <v>-0.7878549098968506</v>
      </c>
      <c r="M974" s="3" t="n">
        <v>-0.7878549098968506</v>
      </c>
      <c r="N974" s="3" t="n">
        <v>-0.7878549098968506</v>
      </c>
      <c r="O974" s="3" t="n">
        <v>-0.7878549098968506</v>
      </c>
      <c r="P974" s="3" t="n">
        <v>-0.7878549098968506</v>
      </c>
      <c r="Q974" s="3" t="n">
        <v>-0.7878549098968506</v>
      </c>
      <c r="R974" s="3" t="n">
        <v>-0.7732356596500316</v>
      </c>
      <c r="S974" s="3" t="n">
        <v>-1.408805674694954</v>
      </c>
      <c r="T974" s="3" t="n">
        <v>-0.7095591730259835</v>
      </c>
      <c r="U974" s="3" t="n">
        <v>-0.8883962808771336</v>
      </c>
      <c r="V974" s="3" t="n">
        <v>-0.681934451803248</v>
      </c>
      <c r="W974" s="3" t="n">
        <v>-0.5702875047288043</v>
      </c>
      <c r="X974" s="3" t="n">
        <v>-1.356243993373627</v>
      </c>
      <c r="Y974" s="3" t="n">
        <v>-0.7878549098968506</v>
      </c>
      <c r="Z974" s="3" t="n">
        <v>-1.408805674694954</v>
      </c>
      <c r="AA974" s="3" t="n">
        <v>-1.408805674694954</v>
      </c>
      <c r="AB974" s="3" t="n">
        <v>-1.356243993373627</v>
      </c>
      <c r="AC974" s="3" t="n">
        <v>-2.123991362592007</v>
      </c>
      <c r="AD974" s="3" t="n">
        <v>-0.8883962808771336</v>
      </c>
      <c r="AE974" s="3" t="n">
        <v>-0.8883962808771336</v>
      </c>
    </row>
    <row r="975">
      <c r="A975" s="3" t="inlineStr">
        <is>
          <t>IMN.distn.dec.ove.mean.4</t>
        </is>
      </c>
      <c r="B975" s="3" t="inlineStr">
        <is>
          <t>IMN</t>
        </is>
      </c>
      <c r="C975" s="3" t="n">
        <v>2005</v>
      </c>
      <c r="D975" s="3" t="inlineStr">
        <is>
          <t>Overall</t>
        </is>
      </c>
      <c r="E975" s="3" t="inlineStr">
        <is>
          <t>Deciles</t>
        </is>
      </c>
      <c r="F975" s="3" t="inlineStr">
        <is>
          <t>mean</t>
        </is>
      </c>
      <c r="G975" s="3" t="n">
        <v>4</v>
      </c>
      <c r="H975" s="3" t="n">
        <v>-0.7816170251115839</v>
      </c>
      <c r="I975" s="3" t="n">
        <v>-0.7816170251115839</v>
      </c>
      <c r="J975" s="3" t="n">
        <v>-0.8454680810583398</v>
      </c>
      <c r="K975" s="3" t="n">
        <v>-0.8454680810583398</v>
      </c>
      <c r="L975" s="3" t="n">
        <v>-0.7816170251115839</v>
      </c>
      <c r="M975" s="3" t="n">
        <v>-0.7816170251115839</v>
      </c>
      <c r="N975" s="3" t="n">
        <v>-0.7816170251115839</v>
      </c>
      <c r="O975" s="3" t="n">
        <v>-0.7816170251115839</v>
      </c>
      <c r="P975" s="3" t="n">
        <v>-0.7816170251115839</v>
      </c>
      <c r="Q975" s="3" t="n">
        <v>-0.7816170251115839</v>
      </c>
      <c r="R975" s="3" t="n">
        <v>-0.7697659489956308</v>
      </c>
      <c r="S975" s="3" t="n">
        <v>-0.9595531871978272</v>
      </c>
      <c r="T975" s="3" t="n">
        <v>-0.7081063859006191</v>
      </c>
      <c r="U975" s="3" t="n">
        <v>-0.8454680810583398</v>
      </c>
      <c r="V975" s="3" t="n">
        <v>-0.6750000017754575</v>
      </c>
      <c r="W975" s="3" t="n">
        <v>-0.4799574455048176</v>
      </c>
      <c r="X975" s="3" t="n">
        <v>-0.9571489362006492</v>
      </c>
      <c r="Y975" s="3" t="n">
        <v>-0.7816170251115839</v>
      </c>
      <c r="Z975" s="3" t="n">
        <v>-0.9595531871978272</v>
      </c>
      <c r="AA975" s="3" t="n">
        <v>-0.9595531871978272</v>
      </c>
      <c r="AB975" s="3" t="n">
        <v>-0.9571489362006492</v>
      </c>
      <c r="AC975" s="3" t="n">
        <v>-1.025723396463597</v>
      </c>
      <c r="AD975" s="3" t="n">
        <v>-0.8454680810583398</v>
      </c>
      <c r="AE975" s="3" t="n">
        <v>-0.8454680810583398</v>
      </c>
    </row>
    <row r="976">
      <c r="A976" s="3" t="inlineStr">
        <is>
          <t>IMN.distn.dec.ove.mean.5</t>
        </is>
      </c>
      <c r="B976" s="3" t="inlineStr">
        <is>
          <t>IMN</t>
        </is>
      </c>
      <c r="C976" s="3" t="n">
        <v>2005</v>
      </c>
      <c r="D976" s="3" t="inlineStr">
        <is>
          <t>Overall</t>
        </is>
      </c>
      <c r="E976" s="3" t="inlineStr">
        <is>
          <t>Deciles</t>
        </is>
      </c>
      <c r="F976" s="3" t="inlineStr">
        <is>
          <t>mean</t>
        </is>
      </c>
      <c r="G976" s="3" t="n">
        <v>5</v>
      </c>
      <c r="H976" s="3" t="n">
        <v>-0.7816170251115839</v>
      </c>
      <c r="I976" s="3" t="n">
        <v>-0.7816170251115839</v>
      </c>
      <c r="J976" s="3" t="n">
        <v>-0.8454680810583398</v>
      </c>
      <c r="K976" s="3" t="n">
        <v>-0.8454680810583398</v>
      </c>
      <c r="L976" s="3" t="n">
        <v>-0.7816170251115839</v>
      </c>
      <c r="M976" s="3" t="n">
        <v>-0.7816170251115839</v>
      </c>
      <c r="N976" s="3" t="n">
        <v>-0.7816170251115839</v>
      </c>
      <c r="O976" s="3" t="n">
        <v>-0.7816170251115839</v>
      </c>
      <c r="P976" s="3" t="n">
        <v>-0.7816170251115839</v>
      </c>
      <c r="Q976" s="3" t="n">
        <v>-0.7816170251115839</v>
      </c>
      <c r="R976" s="3" t="n">
        <v>-0.7697659489956308</v>
      </c>
      <c r="S976" s="3" t="n">
        <v>-0.9595531871978272</v>
      </c>
      <c r="T976" s="3" t="n">
        <v>-0.7081063859006191</v>
      </c>
      <c r="U976" s="3" t="n">
        <v>-0.8454680810583398</v>
      </c>
      <c r="V976" s="3" t="n">
        <v>-0.6750000017754575</v>
      </c>
      <c r="W976" s="3" t="n">
        <v>-0.4799574455048176</v>
      </c>
      <c r="X976" s="3" t="n">
        <v>-0.9571489362006492</v>
      </c>
      <c r="Y976" s="3" t="n">
        <v>-0.7816170251115839</v>
      </c>
      <c r="Z976" s="3" t="n">
        <v>-0.9595531871978272</v>
      </c>
      <c r="AA976" s="3" t="n">
        <v>-0.9595531871978272</v>
      </c>
      <c r="AB976" s="3" t="n">
        <v>-0.9571489362006492</v>
      </c>
      <c r="AC976" s="3" t="n">
        <v>-1.025723396463597</v>
      </c>
      <c r="AD976" s="3" t="n">
        <v>-0.8454680810583398</v>
      </c>
      <c r="AE976" s="3" t="n">
        <v>-0.8454680810583398</v>
      </c>
    </row>
    <row r="977">
      <c r="A977" s="3" t="inlineStr">
        <is>
          <t>IMN.distn.dec.ove.mean.6</t>
        </is>
      </c>
      <c r="B977" s="3" t="inlineStr">
        <is>
          <t>IMN</t>
        </is>
      </c>
      <c r="C977" s="3" t="n">
        <v>2005</v>
      </c>
      <c r="D977" s="3" t="inlineStr">
        <is>
          <t>Overall</t>
        </is>
      </c>
      <c r="E977" s="3" t="inlineStr">
        <is>
          <t>Deciles</t>
        </is>
      </c>
      <c r="F977" s="3" t="inlineStr">
        <is>
          <t>mean</t>
        </is>
      </c>
      <c r="G977" s="3" t="n">
        <v>6</v>
      </c>
      <c r="H977" s="3" t="n">
        <v>-0.7816170251115839</v>
      </c>
      <c r="I977" s="3" t="n">
        <v>-0.7816170251115839</v>
      </c>
      <c r="J977" s="3" t="n">
        <v>-0.8454680810583398</v>
      </c>
      <c r="K977" s="3" t="n">
        <v>-0.8454680810583398</v>
      </c>
      <c r="L977" s="3" t="n">
        <v>-0.7816170251115839</v>
      </c>
      <c r="M977" s="3" t="n">
        <v>-0.7816170251115839</v>
      </c>
      <c r="N977" s="3" t="n">
        <v>-0.7816170251115839</v>
      </c>
      <c r="O977" s="3" t="n">
        <v>-0.7816170251115839</v>
      </c>
      <c r="P977" s="3" t="n">
        <v>-0.7816170251115839</v>
      </c>
      <c r="Q977" s="3" t="n">
        <v>-0.7816170251115839</v>
      </c>
      <c r="R977" s="3" t="n">
        <v>-0.7697659489956308</v>
      </c>
      <c r="S977" s="3" t="n">
        <v>-0.9595531871978272</v>
      </c>
      <c r="T977" s="3" t="n">
        <v>-0.7081063859006191</v>
      </c>
      <c r="U977" s="3" t="n">
        <v>-0.8454680810583398</v>
      </c>
      <c r="V977" s="3" t="n">
        <v>-0.6750000017754575</v>
      </c>
      <c r="W977" s="3" t="n">
        <v>-0.4799574455048176</v>
      </c>
      <c r="X977" s="3" t="n">
        <v>-0.9571489362006492</v>
      </c>
      <c r="Y977" s="3" t="n">
        <v>-0.7816170251115839</v>
      </c>
      <c r="Z977" s="3" t="n">
        <v>-0.9595531871978272</v>
      </c>
      <c r="AA977" s="3" t="n">
        <v>-0.9595531871978272</v>
      </c>
      <c r="AB977" s="3" t="n">
        <v>-0.9571489362006492</v>
      </c>
      <c r="AC977" s="3" t="n">
        <v>-1.025723396463597</v>
      </c>
      <c r="AD977" s="3" t="n">
        <v>-0.8454680810583398</v>
      </c>
      <c r="AE977" s="3" t="n">
        <v>-0.8454680810583398</v>
      </c>
    </row>
    <row r="978">
      <c r="A978" s="3" t="inlineStr">
        <is>
          <t>IMN.distn.dec.ove.mean.7</t>
        </is>
      </c>
      <c r="B978" s="3" t="inlineStr">
        <is>
          <t>IMN</t>
        </is>
      </c>
      <c r="C978" s="3" t="n">
        <v>2005</v>
      </c>
      <c r="D978" s="3" t="inlineStr">
        <is>
          <t>Overall</t>
        </is>
      </c>
      <c r="E978" s="3" t="inlineStr">
        <is>
          <t>Deciles</t>
        </is>
      </c>
      <c r="F978" s="3" t="inlineStr">
        <is>
          <t>mean</t>
        </is>
      </c>
      <c r="G978" s="3" t="n">
        <v>7</v>
      </c>
      <c r="H978" s="3" t="n">
        <v>-0.7816170251115839</v>
      </c>
      <c r="I978" s="3" t="n">
        <v>-0.7816170251115839</v>
      </c>
      <c r="J978" s="3" t="n">
        <v>-0.8454680810583398</v>
      </c>
      <c r="K978" s="3" t="n">
        <v>-0.8454680810583398</v>
      </c>
      <c r="L978" s="3" t="n">
        <v>-0.7816170251115839</v>
      </c>
      <c r="M978" s="3" t="n">
        <v>-0.7816170251115839</v>
      </c>
      <c r="N978" s="3" t="n">
        <v>-0.7816170251115839</v>
      </c>
      <c r="O978" s="3" t="n">
        <v>-0.7816170251115839</v>
      </c>
      <c r="P978" s="3" t="n">
        <v>-0.7816170251115839</v>
      </c>
      <c r="Q978" s="3" t="n">
        <v>-0.7816170251115839</v>
      </c>
      <c r="R978" s="3" t="n">
        <v>-0.7697659489956308</v>
      </c>
      <c r="S978" s="3" t="n">
        <v>-0.9595531871978272</v>
      </c>
      <c r="T978" s="3" t="n">
        <v>-0.7081063859006191</v>
      </c>
      <c r="U978" s="3" t="n">
        <v>-0.8454680810583398</v>
      </c>
      <c r="V978" s="3" t="n">
        <v>-0.6750000017754575</v>
      </c>
      <c r="W978" s="3" t="n">
        <v>-0.4799574455048176</v>
      </c>
      <c r="X978" s="3" t="n">
        <v>-0.9571489362006492</v>
      </c>
      <c r="Y978" s="3" t="n">
        <v>-0.7816170251115839</v>
      </c>
      <c r="Z978" s="3" t="n">
        <v>-0.9595531871978272</v>
      </c>
      <c r="AA978" s="3" t="n">
        <v>-0.9595531871978272</v>
      </c>
      <c r="AB978" s="3" t="n">
        <v>-0.9571489362006492</v>
      </c>
      <c r="AC978" s="3" t="n">
        <v>-1.025723396463597</v>
      </c>
      <c r="AD978" s="3" t="n">
        <v>-0.8454680810583398</v>
      </c>
      <c r="AE978" s="3" t="n">
        <v>-0.8454680810583398</v>
      </c>
    </row>
    <row r="979">
      <c r="A979" s="3" t="inlineStr">
        <is>
          <t>IMN.distn.dec.ove.mean.8</t>
        </is>
      </c>
      <c r="B979" s="3" t="inlineStr">
        <is>
          <t>IMN</t>
        </is>
      </c>
      <c r="C979" s="3" t="n">
        <v>2005</v>
      </c>
      <c r="D979" s="3" t="inlineStr">
        <is>
          <t>Overall</t>
        </is>
      </c>
      <c r="E979" s="3" t="inlineStr">
        <is>
          <t>Deciles</t>
        </is>
      </c>
      <c r="F979" s="3" t="inlineStr">
        <is>
          <t>mean</t>
        </is>
      </c>
      <c r="G979" s="3" t="n">
        <v>8</v>
      </c>
      <c r="H979" s="3" t="n">
        <v>-0.7819935831617801</v>
      </c>
      <c r="I979" s="3" t="n">
        <v>-0.7819935831617801</v>
      </c>
      <c r="J979" s="3" t="n">
        <v>-0.8477488045996808</v>
      </c>
      <c r="K979" s="3" t="n">
        <v>-0.8477488045996808</v>
      </c>
      <c r="L979" s="3" t="n">
        <v>-0.7819935831617801</v>
      </c>
      <c r="M979" s="3" t="n">
        <v>-0.7819935831617801</v>
      </c>
      <c r="N979" s="3" t="n">
        <v>-0.7819935831617801</v>
      </c>
      <c r="O979" s="3" t="n">
        <v>-0.7819935831617801</v>
      </c>
      <c r="P979" s="3" t="n">
        <v>-0.7819935831617801</v>
      </c>
      <c r="Q979" s="3" t="n">
        <v>-0.7819935831617801</v>
      </c>
      <c r="R979" s="3" t="n">
        <v>-0.7700191178220384</v>
      </c>
      <c r="S979" s="3" t="n">
        <v>-0.9684819490351575</v>
      </c>
      <c r="T979" s="3" t="n">
        <v>-0.70814722142321</v>
      </c>
      <c r="U979" s="3" t="n">
        <v>-0.8477488045996808</v>
      </c>
      <c r="V979" s="3" t="n">
        <v>-0.6756977857427394</v>
      </c>
      <c r="W979" s="3" t="n">
        <v>-0.4928101326556916</v>
      </c>
      <c r="X979" s="3" t="n">
        <v>-0.9658704755154062</v>
      </c>
      <c r="Y979" s="3" t="n">
        <v>-0.7819935831617801</v>
      </c>
      <c r="Z979" s="3" t="n">
        <v>-0.9684819490351575</v>
      </c>
      <c r="AA979" s="3" t="n">
        <v>-0.9684819490351575</v>
      </c>
      <c r="AB979" s="3" t="n">
        <v>-0.9658704755154062</v>
      </c>
      <c r="AC979" s="3" t="n">
        <v>-1.04035159628442</v>
      </c>
      <c r="AD979" s="3" t="n">
        <v>-0.8477488045996808</v>
      </c>
      <c r="AE979" s="3" t="n">
        <v>-0.8477488045996808</v>
      </c>
    </row>
    <row r="980">
      <c r="A980" s="3" t="inlineStr">
        <is>
          <t>IMN.distn.dec.ove.mean.9</t>
        </is>
      </c>
      <c r="B980" s="3" t="inlineStr">
        <is>
          <t>IMN</t>
        </is>
      </c>
      <c r="C980" s="3" t="n">
        <v>2005</v>
      </c>
      <c r="D980" s="3" t="inlineStr">
        <is>
          <t>Overall</t>
        </is>
      </c>
      <c r="E980" s="3" t="inlineStr">
        <is>
          <t>Deciles</t>
        </is>
      </c>
      <c r="F980" s="3" t="inlineStr">
        <is>
          <t>mean</t>
        </is>
      </c>
      <c r="G980" s="3" t="n">
        <v>9</v>
      </c>
      <c r="H980" s="3" t="n">
        <v>-0.7819935831617801</v>
      </c>
      <c r="I980" s="3" t="n">
        <v>-0.7819935831617801</v>
      </c>
      <c r="J980" s="3" t="n">
        <v>-0.8477488045996808</v>
      </c>
      <c r="K980" s="3" t="n">
        <v>-0.8477488045996808</v>
      </c>
      <c r="L980" s="3" t="n">
        <v>-0.7819935831617801</v>
      </c>
      <c r="M980" s="3" t="n">
        <v>-0.7819935831617801</v>
      </c>
      <c r="N980" s="3" t="n">
        <v>-0.7819935831617801</v>
      </c>
      <c r="O980" s="3" t="n">
        <v>-0.7819935831617801</v>
      </c>
      <c r="P980" s="3" t="n">
        <v>-0.7819935831617801</v>
      </c>
      <c r="Q980" s="3" t="n">
        <v>-0.7819935831617801</v>
      </c>
      <c r="R980" s="3" t="n">
        <v>-0.7700191178220384</v>
      </c>
      <c r="S980" s="3" t="n">
        <v>-0.9684819490351575</v>
      </c>
      <c r="T980" s="3" t="n">
        <v>-0.70814722142321</v>
      </c>
      <c r="U980" s="3" t="n">
        <v>-0.8477488045996808</v>
      </c>
      <c r="V980" s="3" t="n">
        <v>-0.6756977857427394</v>
      </c>
      <c r="W980" s="3" t="n">
        <v>-0.4928101326556916</v>
      </c>
      <c r="X980" s="3" t="n">
        <v>-0.9658704755154062</v>
      </c>
      <c r="Y980" s="3" t="n">
        <v>-0.7819935831617801</v>
      </c>
      <c r="Z980" s="3" t="n">
        <v>-0.9684819490351575</v>
      </c>
      <c r="AA980" s="3" t="n">
        <v>-0.9684819490351575</v>
      </c>
      <c r="AB980" s="3" t="n">
        <v>-0.9658704755154062</v>
      </c>
      <c r="AC980" s="3" t="n">
        <v>-1.04035159628442</v>
      </c>
      <c r="AD980" s="3" t="n">
        <v>-0.8477488045996808</v>
      </c>
      <c r="AE980" s="3" t="n">
        <v>-0.8477488045996808</v>
      </c>
    </row>
    <row r="981">
      <c r="A981" s="3" t="inlineStr">
        <is>
          <t>IMN.distn.dec.ove.mean.10</t>
        </is>
      </c>
      <c r="B981" s="3" t="inlineStr">
        <is>
          <t>IMN</t>
        </is>
      </c>
      <c r="C981" s="3" t="n">
        <v>2005</v>
      </c>
      <c r="D981" s="3" t="inlineStr">
        <is>
          <t>Overall</t>
        </is>
      </c>
      <c r="E981" s="3" t="inlineStr">
        <is>
          <t>Deciles</t>
        </is>
      </c>
      <c r="F981" s="3" t="inlineStr">
        <is>
          <t>mean</t>
        </is>
      </c>
      <c r="G981" s="3" t="n">
        <v>10</v>
      </c>
      <c r="H981" s="3" t="n">
        <v>-0.7819935831617801</v>
      </c>
      <c r="I981" s="3" t="n">
        <v>-0.7819935831617801</v>
      </c>
      <c r="J981" s="3" t="n">
        <v>-0.8477488045996808</v>
      </c>
      <c r="K981" s="3" t="n">
        <v>-0.8477488045996808</v>
      </c>
      <c r="L981" s="3" t="n">
        <v>-0.7819935831617801</v>
      </c>
      <c r="M981" s="3" t="n">
        <v>-0.7819935831617801</v>
      </c>
      <c r="N981" s="3" t="n">
        <v>-0.7819935831617801</v>
      </c>
      <c r="O981" s="3" t="n">
        <v>-0.7819935831617801</v>
      </c>
      <c r="P981" s="3" t="n">
        <v>-0.7819935831617801</v>
      </c>
      <c r="Q981" s="3" t="n">
        <v>-0.7819935831617801</v>
      </c>
      <c r="R981" s="3" t="n">
        <v>-0.7700191178220384</v>
      </c>
      <c r="S981" s="3" t="n">
        <v>-0.9684819490351575</v>
      </c>
      <c r="T981" s="3" t="n">
        <v>-0.70814722142321</v>
      </c>
      <c r="U981" s="3" t="n">
        <v>-0.8477488045996808</v>
      </c>
      <c r="V981" s="3" t="n">
        <v>-0.6756977857427394</v>
      </c>
      <c r="W981" s="3" t="n">
        <v>-0.4928101326556916</v>
      </c>
      <c r="X981" s="3" t="n">
        <v>-0.9658704755154062</v>
      </c>
      <c r="Y981" s="3" t="n">
        <v>-0.7819935831617801</v>
      </c>
      <c r="Z981" s="3" t="n">
        <v>-0.9684819490351575</v>
      </c>
      <c r="AA981" s="3" t="n">
        <v>-0.9684819490351575</v>
      </c>
      <c r="AB981" s="3" t="n">
        <v>-0.9658704755154062</v>
      </c>
      <c r="AC981" s="3" t="n">
        <v>-1.04035159628442</v>
      </c>
      <c r="AD981" s="3" t="n">
        <v>-0.8477488045996808</v>
      </c>
      <c r="AE981" s="3" t="n">
        <v>-0.8477488045996808</v>
      </c>
    </row>
    <row r="982">
      <c r="A982" s="3" t="inlineStr">
        <is>
          <t>IMN.distn.bkt.ove.mean.9999</t>
        </is>
      </c>
      <c r="B982" s="3" t="inlineStr">
        <is>
          <t>IMN</t>
        </is>
      </c>
      <c r="C982" s="3" t="n">
        <v>2005</v>
      </c>
      <c r="D982" s="3" t="inlineStr">
        <is>
          <t>Overall</t>
        </is>
      </c>
      <c r="E982" s="3" t="inlineStr">
        <is>
          <t>Basket</t>
        </is>
      </c>
      <c r="F982" s="3" t="inlineStr">
        <is>
          <t>mean</t>
        </is>
      </c>
      <c r="G982" s="3" t="n">
        <v>9999</v>
      </c>
      <c r="H982" s="3" t="n">
        <v>-0.7836013613863194</v>
      </c>
      <c r="I982" s="3" t="n">
        <v>-0.7836013613863194</v>
      </c>
      <c r="J982" s="3" t="n">
        <v>-0.8590307616172953</v>
      </c>
      <c r="K982" s="3" t="n">
        <v>-0.8590307616172953</v>
      </c>
      <c r="L982" s="3" t="n">
        <v>-0.7836013613863194</v>
      </c>
      <c r="M982" s="3" t="n">
        <v>-0.7836013613863194</v>
      </c>
      <c r="N982" s="3" t="n">
        <v>-0.7836013613863194</v>
      </c>
      <c r="O982" s="3" t="n">
        <v>-0.7836013613863194</v>
      </c>
      <c r="P982" s="3" t="n">
        <v>-0.7836013613863194</v>
      </c>
      <c r="Q982" s="3" t="n">
        <v>-0.7836013613863194</v>
      </c>
      <c r="R982" s="3" t="n">
        <v>-0.7708828220976159</v>
      </c>
      <c r="S982" s="3" t="n">
        <v>-1.097007578991829</v>
      </c>
      <c r="T982" s="3" t="n">
        <v>-0.7085544974245923</v>
      </c>
      <c r="U982" s="3" t="n">
        <v>-0.8590307616172953</v>
      </c>
      <c r="V982" s="3" t="n">
        <v>-0.6772896647453308</v>
      </c>
      <c r="W982" s="3" t="n">
        <v>-0.5109122699879586</v>
      </c>
      <c r="X982" s="3" t="n">
        <v>-1.079493910708326</v>
      </c>
      <c r="Y982" s="3" t="n">
        <v>-0.7836013613863194</v>
      </c>
      <c r="Z982" s="3" t="n">
        <v>-1.097007578991829</v>
      </c>
      <c r="AA982" s="3" t="n">
        <v>-1.097007578991829</v>
      </c>
      <c r="AB982" s="3" t="n">
        <v>-1.079493910708326</v>
      </c>
      <c r="AC982" s="3" t="n">
        <v>-1.359592239907447</v>
      </c>
      <c r="AD982" s="3" t="n">
        <v>-0.8590307616172953</v>
      </c>
      <c r="AE982" s="3" t="n">
        <v>-0.8590307616172953</v>
      </c>
    </row>
    <row r="983">
      <c r="A983" s="3" t="inlineStr">
        <is>
          <t>IND.distn.dec.ove.mean.1</t>
        </is>
      </c>
      <c r="B983" s="3" t="inlineStr">
        <is>
          <t>IND</t>
        </is>
      </c>
      <c r="C983" s="3" t="n">
        <v>2005</v>
      </c>
      <c r="D983" s="3" t="inlineStr">
        <is>
          <t>Overall</t>
        </is>
      </c>
      <c r="E983" s="3" t="inlineStr">
        <is>
          <t>Deciles</t>
        </is>
      </c>
      <c r="F983" s="3" t="inlineStr">
        <is>
          <t>mean</t>
        </is>
      </c>
      <c r="G983" s="3" t="n">
        <v>1</v>
      </c>
      <c r="H983" s="3" t="n">
        <v>-0.7942888140678406</v>
      </c>
      <c r="I983" s="3" t="n">
        <v>-0.7942888140678406</v>
      </c>
      <c r="J983" s="3" t="n">
        <v>-0.9278338551521301</v>
      </c>
      <c r="K983" s="3" t="n">
        <v>-0.9278338551521301</v>
      </c>
      <c r="L983" s="3" t="n">
        <v>-0.7942888140678406</v>
      </c>
      <c r="M983" s="3" t="n">
        <v>-0.7942888140678406</v>
      </c>
      <c r="N983" s="3" t="n">
        <v>-0.7942888140678406</v>
      </c>
      <c r="O983" s="3" t="n">
        <v>-0.7942888140678406</v>
      </c>
      <c r="P983" s="3" t="n">
        <v>-0.7942888140678406</v>
      </c>
      <c r="Q983" s="3" t="n">
        <v>-0.7942888140678406</v>
      </c>
      <c r="R983" s="3" t="n">
        <v>-0.7764842510223389</v>
      </c>
      <c r="S983" s="3" t="n">
        <v>-1.74567699432373</v>
      </c>
      <c r="T983" s="3" t="n">
        <v>-0.7114566564559937</v>
      </c>
      <c r="U983" s="3" t="n">
        <v>-0.9278338551521301</v>
      </c>
      <c r="V983" s="3" t="n">
        <v>-0.6890063881874084</v>
      </c>
      <c r="W983" s="3" t="n">
        <v>-0.6820292472839355</v>
      </c>
      <c r="X983" s="3" t="n">
        <v>-1.67059862613678</v>
      </c>
      <c r="Y983" s="3" t="n">
        <v>-0.7942888140678406</v>
      </c>
      <c r="Z983" s="3" t="n">
        <v>-1.74567699432373</v>
      </c>
      <c r="AA983" s="3" t="n">
        <v>-1.74567699432373</v>
      </c>
      <c r="AB983" s="3" t="n">
        <v>-1.67059862613678</v>
      </c>
      <c r="AC983" s="3" t="n">
        <v>-3.240684986114502</v>
      </c>
      <c r="AD983" s="3" t="n">
        <v>-0.9278338551521301</v>
      </c>
      <c r="AE983" s="3" t="n">
        <v>-0.9278338551521301</v>
      </c>
    </row>
    <row r="984">
      <c r="A984" s="3" t="inlineStr">
        <is>
          <t>IND.distn.dec.ove.mean.2</t>
        </is>
      </c>
      <c r="B984" s="3" t="inlineStr">
        <is>
          <t>IND</t>
        </is>
      </c>
      <c r="C984" s="3" t="n">
        <v>2005</v>
      </c>
      <c r="D984" s="3" t="inlineStr">
        <is>
          <t>Overall</t>
        </is>
      </c>
      <c r="E984" s="3" t="inlineStr">
        <is>
          <t>Deciles</t>
        </is>
      </c>
      <c r="F984" s="3" t="inlineStr">
        <is>
          <t>mean</t>
        </is>
      </c>
      <c r="G984" s="3" t="n">
        <v>2</v>
      </c>
      <c r="H984" s="3" t="n">
        <v>-0.7942888140678406</v>
      </c>
      <c r="I984" s="3" t="n">
        <v>-0.7942888140678406</v>
      </c>
      <c r="J984" s="3" t="n">
        <v>-0.9278338551521301</v>
      </c>
      <c r="K984" s="3" t="n">
        <v>-0.9278338551521301</v>
      </c>
      <c r="L984" s="3" t="n">
        <v>-0.7942888140678406</v>
      </c>
      <c r="M984" s="3" t="n">
        <v>-0.7942888140678406</v>
      </c>
      <c r="N984" s="3" t="n">
        <v>-0.7942888140678406</v>
      </c>
      <c r="O984" s="3" t="n">
        <v>-0.7942888140678406</v>
      </c>
      <c r="P984" s="3" t="n">
        <v>-0.7942888140678406</v>
      </c>
      <c r="Q984" s="3" t="n">
        <v>-0.7942888140678406</v>
      </c>
      <c r="R984" s="3" t="n">
        <v>-0.7764842510223389</v>
      </c>
      <c r="S984" s="3" t="n">
        <v>-1.74567699432373</v>
      </c>
      <c r="T984" s="3" t="n">
        <v>-0.7114566564559937</v>
      </c>
      <c r="U984" s="3" t="n">
        <v>-0.9278338551521301</v>
      </c>
      <c r="V984" s="3" t="n">
        <v>-0.6890063881874084</v>
      </c>
      <c r="W984" s="3" t="n">
        <v>-0.6820292472839355</v>
      </c>
      <c r="X984" s="3" t="n">
        <v>-1.67059862613678</v>
      </c>
      <c r="Y984" s="3" t="n">
        <v>-0.7942888140678406</v>
      </c>
      <c r="Z984" s="3" t="n">
        <v>-1.74567699432373</v>
      </c>
      <c r="AA984" s="3" t="n">
        <v>-1.74567699432373</v>
      </c>
      <c r="AB984" s="3" t="n">
        <v>-1.67059862613678</v>
      </c>
      <c r="AC984" s="3" t="n">
        <v>-3.240684986114502</v>
      </c>
      <c r="AD984" s="3" t="n">
        <v>-0.9278338551521301</v>
      </c>
      <c r="AE984" s="3" t="n">
        <v>-0.9278338551521301</v>
      </c>
    </row>
    <row r="985">
      <c r="A985" s="3" t="inlineStr">
        <is>
          <t>IND.distn.dec.ove.mean.3</t>
        </is>
      </c>
      <c r="B985" s="3" t="inlineStr">
        <is>
          <t>IND</t>
        </is>
      </c>
      <c r="C985" s="3" t="n">
        <v>2005</v>
      </c>
      <c r="D985" s="3" t="inlineStr">
        <is>
          <t>Overall</t>
        </is>
      </c>
      <c r="E985" s="3" t="inlineStr">
        <is>
          <t>Deciles</t>
        </is>
      </c>
      <c r="F985" s="3" t="inlineStr">
        <is>
          <t>mean</t>
        </is>
      </c>
      <c r="G985" s="3" t="n">
        <v>3</v>
      </c>
      <c r="H985" s="3" t="n">
        <v>-0.7942888140678406</v>
      </c>
      <c r="I985" s="3" t="n">
        <v>-0.7942888140678406</v>
      </c>
      <c r="J985" s="3" t="n">
        <v>-0.9278338551521301</v>
      </c>
      <c r="K985" s="3" t="n">
        <v>-0.9278338551521301</v>
      </c>
      <c r="L985" s="3" t="n">
        <v>-0.7942888140678406</v>
      </c>
      <c r="M985" s="3" t="n">
        <v>-0.7942888140678406</v>
      </c>
      <c r="N985" s="3" t="n">
        <v>-0.7942888140678406</v>
      </c>
      <c r="O985" s="3" t="n">
        <v>-0.7942888140678406</v>
      </c>
      <c r="P985" s="3" t="n">
        <v>-0.7942888140678406</v>
      </c>
      <c r="Q985" s="3" t="n">
        <v>-0.7942888140678406</v>
      </c>
      <c r="R985" s="3" t="n">
        <v>-0.7764842510223389</v>
      </c>
      <c r="S985" s="3" t="n">
        <v>-1.74567699432373</v>
      </c>
      <c r="T985" s="3" t="n">
        <v>-0.7114566564559937</v>
      </c>
      <c r="U985" s="3" t="n">
        <v>-0.9278338551521301</v>
      </c>
      <c r="V985" s="3" t="n">
        <v>-0.6890063881874084</v>
      </c>
      <c r="W985" s="3" t="n">
        <v>-0.6820292472839355</v>
      </c>
      <c r="X985" s="3" t="n">
        <v>-1.67059862613678</v>
      </c>
      <c r="Y985" s="3" t="n">
        <v>-0.7942888140678406</v>
      </c>
      <c r="Z985" s="3" t="n">
        <v>-1.74567699432373</v>
      </c>
      <c r="AA985" s="3" t="n">
        <v>-1.74567699432373</v>
      </c>
      <c r="AB985" s="3" t="n">
        <v>-1.67059862613678</v>
      </c>
      <c r="AC985" s="3" t="n">
        <v>-3.240684986114502</v>
      </c>
      <c r="AD985" s="3" t="n">
        <v>-0.9278338551521301</v>
      </c>
      <c r="AE985" s="3" t="n">
        <v>-0.9278338551521301</v>
      </c>
    </row>
    <row r="986">
      <c r="A986" s="3" t="inlineStr">
        <is>
          <t>IND.distn.dec.ove.mean.4</t>
        </is>
      </c>
      <c r="B986" s="3" t="inlineStr">
        <is>
          <t>IND</t>
        </is>
      </c>
      <c r="C986" s="3" t="n">
        <v>2005</v>
      </c>
      <c r="D986" s="3" t="inlineStr">
        <is>
          <t>Overall</t>
        </is>
      </c>
      <c r="E986" s="3" t="inlineStr">
        <is>
          <t>Deciles</t>
        </is>
      </c>
      <c r="F986" s="3" t="inlineStr">
        <is>
          <t>mean</t>
        </is>
      </c>
      <c r="G986" s="3" t="n">
        <v>4</v>
      </c>
      <c r="H986" s="3" t="n">
        <v>-0.7879999876022339</v>
      </c>
      <c r="I986" s="3" t="n">
        <v>-0.7879999876022339</v>
      </c>
      <c r="J986" s="3" t="n">
        <v>-0.8830000162124634</v>
      </c>
      <c r="K986" s="3" t="n">
        <v>-0.8830000162124634</v>
      </c>
      <c r="L986" s="3" t="n">
        <v>-0.7879999876022339</v>
      </c>
      <c r="M986" s="3" t="n">
        <v>-0.7879999876022339</v>
      </c>
      <c r="N986" s="3" t="n">
        <v>-0.7879999876022339</v>
      </c>
      <c r="O986" s="3" t="n">
        <v>-0.7879999876022339</v>
      </c>
      <c r="P986" s="3" t="n">
        <v>-0.7879999876022339</v>
      </c>
      <c r="Q986" s="3" t="n">
        <v>-0.7879999876022339</v>
      </c>
      <c r="R986" s="3" t="n">
        <v>-0.7730000019073486</v>
      </c>
      <c r="S986" s="3" t="n">
        <v>-1.189000010490417</v>
      </c>
      <c r="T986" s="3" t="n">
        <v>-0.7099999785423279</v>
      </c>
      <c r="U986" s="3" t="n">
        <v>-0.8830000162124634</v>
      </c>
      <c r="V986" s="3" t="n">
        <v>-0.6819999814033508</v>
      </c>
      <c r="W986" s="3" t="n">
        <v>-0.5740000009536743</v>
      </c>
      <c r="X986" s="3" t="n">
        <v>-1.179000020027161</v>
      </c>
      <c r="Y986" s="3" t="n">
        <v>-0.7879999876022339</v>
      </c>
      <c r="Z986" s="3" t="n">
        <v>-1.189000010490417</v>
      </c>
      <c r="AA986" s="3" t="n">
        <v>-1.189000010490417</v>
      </c>
      <c r="AB986" s="3" t="n">
        <v>-1.179000020027161</v>
      </c>
      <c r="AC986" s="3" t="n">
        <v>-1.565000057220459</v>
      </c>
      <c r="AD986" s="3" t="n">
        <v>-0.8830000162124634</v>
      </c>
      <c r="AE986" s="3" t="n">
        <v>-0.8830000162124634</v>
      </c>
    </row>
    <row r="987">
      <c r="A987" s="3" t="inlineStr">
        <is>
          <t>IND.distn.dec.ove.mean.5</t>
        </is>
      </c>
      <c r="B987" s="3" t="inlineStr">
        <is>
          <t>IND</t>
        </is>
      </c>
      <c r="C987" s="3" t="n">
        <v>2005</v>
      </c>
      <c r="D987" s="3" t="inlineStr">
        <is>
          <t>Overall</t>
        </is>
      </c>
      <c r="E987" s="3" t="inlineStr">
        <is>
          <t>Deciles</t>
        </is>
      </c>
      <c r="F987" s="3" t="inlineStr">
        <is>
          <t>mean</t>
        </is>
      </c>
      <c r="G987" s="3" t="n">
        <v>5</v>
      </c>
      <c r="H987" s="3" t="n">
        <v>-0.7879999876022339</v>
      </c>
      <c r="I987" s="3" t="n">
        <v>-0.7879999876022339</v>
      </c>
      <c r="J987" s="3" t="n">
        <v>-0.8830000162124634</v>
      </c>
      <c r="K987" s="3" t="n">
        <v>-0.8830000162124634</v>
      </c>
      <c r="L987" s="3" t="n">
        <v>-0.7879999876022339</v>
      </c>
      <c r="M987" s="3" t="n">
        <v>-0.7879999876022339</v>
      </c>
      <c r="N987" s="3" t="n">
        <v>-0.7879999876022339</v>
      </c>
      <c r="O987" s="3" t="n">
        <v>-0.7879999876022339</v>
      </c>
      <c r="P987" s="3" t="n">
        <v>-0.7879999876022339</v>
      </c>
      <c r="Q987" s="3" t="n">
        <v>-0.7879999876022339</v>
      </c>
      <c r="R987" s="3" t="n">
        <v>-0.7730000019073486</v>
      </c>
      <c r="S987" s="3" t="n">
        <v>-1.189000010490417</v>
      </c>
      <c r="T987" s="3" t="n">
        <v>-0.7099999785423279</v>
      </c>
      <c r="U987" s="3" t="n">
        <v>-0.8830000162124634</v>
      </c>
      <c r="V987" s="3" t="n">
        <v>-0.6819999814033508</v>
      </c>
      <c r="W987" s="3" t="n">
        <v>-0.5740000009536743</v>
      </c>
      <c r="X987" s="3" t="n">
        <v>-1.179000020027161</v>
      </c>
      <c r="Y987" s="3" t="n">
        <v>-0.7879999876022339</v>
      </c>
      <c r="Z987" s="3" t="n">
        <v>-1.189000010490417</v>
      </c>
      <c r="AA987" s="3" t="n">
        <v>-1.189000010490417</v>
      </c>
      <c r="AB987" s="3" t="n">
        <v>-1.179000020027161</v>
      </c>
      <c r="AC987" s="3" t="n">
        <v>-1.565000057220459</v>
      </c>
      <c r="AD987" s="3" t="n">
        <v>-0.8830000162124634</v>
      </c>
      <c r="AE987" s="3" t="n">
        <v>-0.8830000162124634</v>
      </c>
    </row>
    <row r="988">
      <c r="A988" s="3" t="inlineStr">
        <is>
          <t>IND.distn.dec.ove.mean.6</t>
        </is>
      </c>
      <c r="B988" s="3" t="inlineStr">
        <is>
          <t>IND</t>
        </is>
      </c>
      <c r="C988" s="3" t="n">
        <v>2005</v>
      </c>
      <c r="D988" s="3" t="inlineStr">
        <is>
          <t>Overall</t>
        </is>
      </c>
      <c r="E988" s="3" t="inlineStr">
        <is>
          <t>Deciles</t>
        </is>
      </c>
      <c r="F988" s="3" t="inlineStr">
        <is>
          <t>mean</t>
        </is>
      </c>
      <c r="G988" s="3" t="n">
        <v>6</v>
      </c>
      <c r="H988" s="3" t="n">
        <v>-0.7879999876022339</v>
      </c>
      <c r="I988" s="3" t="n">
        <v>-0.7879999876022339</v>
      </c>
      <c r="J988" s="3" t="n">
        <v>-0.8830000162124634</v>
      </c>
      <c r="K988" s="3" t="n">
        <v>-0.8830000162124634</v>
      </c>
      <c r="L988" s="3" t="n">
        <v>-0.7879999876022339</v>
      </c>
      <c r="M988" s="3" t="n">
        <v>-0.7879999876022339</v>
      </c>
      <c r="N988" s="3" t="n">
        <v>-0.7879999876022339</v>
      </c>
      <c r="O988" s="3" t="n">
        <v>-0.7879999876022339</v>
      </c>
      <c r="P988" s="3" t="n">
        <v>-0.7879999876022339</v>
      </c>
      <c r="Q988" s="3" t="n">
        <v>-0.7879999876022339</v>
      </c>
      <c r="R988" s="3" t="n">
        <v>-0.7730000019073486</v>
      </c>
      <c r="S988" s="3" t="n">
        <v>-1.189000010490417</v>
      </c>
      <c r="T988" s="3" t="n">
        <v>-0.7099999785423279</v>
      </c>
      <c r="U988" s="3" t="n">
        <v>-0.8830000162124634</v>
      </c>
      <c r="V988" s="3" t="n">
        <v>-0.6819999814033508</v>
      </c>
      <c r="W988" s="3" t="n">
        <v>-0.5740000009536743</v>
      </c>
      <c r="X988" s="3" t="n">
        <v>-1.179000020027161</v>
      </c>
      <c r="Y988" s="3" t="n">
        <v>-0.7879999876022339</v>
      </c>
      <c r="Z988" s="3" t="n">
        <v>-1.189000010490417</v>
      </c>
      <c r="AA988" s="3" t="n">
        <v>-1.189000010490417</v>
      </c>
      <c r="AB988" s="3" t="n">
        <v>-1.179000020027161</v>
      </c>
      <c r="AC988" s="3" t="n">
        <v>-1.565000057220459</v>
      </c>
      <c r="AD988" s="3" t="n">
        <v>-0.8830000162124634</v>
      </c>
      <c r="AE988" s="3" t="n">
        <v>-0.8830000162124634</v>
      </c>
    </row>
    <row r="989">
      <c r="A989" s="3" t="inlineStr">
        <is>
          <t>IND.distn.dec.ove.mean.7</t>
        </is>
      </c>
      <c r="B989" s="3" t="inlineStr">
        <is>
          <t>IND</t>
        </is>
      </c>
      <c r="C989" s="3" t="n">
        <v>2005</v>
      </c>
      <c r="D989" s="3" t="inlineStr">
        <is>
          <t>Overall</t>
        </is>
      </c>
      <c r="E989" s="3" t="inlineStr">
        <is>
          <t>Deciles</t>
        </is>
      </c>
      <c r="F989" s="3" t="inlineStr">
        <is>
          <t>mean</t>
        </is>
      </c>
      <c r="G989" s="3" t="n">
        <v>7</v>
      </c>
      <c r="H989" s="3" t="n">
        <v>-0.7879999876022339</v>
      </c>
      <c r="I989" s="3" t="n">
        <v>-0.7879999876022339</v>
      </c>
      <c r="J989" s="3" t="n">
        <v>-0.8830000162124634</v>
      </c>
      <c r="K989" s="3" t="n">
        <v>-0.8830000162124634</v>
      </c>
      <c r="L989" s="3" t="n">
        <v>-0.7879999876022339</v>
      </c>
      <c r="M989" s="3" t="n">
        <v>-0.7879999876022339</v>
      </c>
      <c r="N989" s="3" t="n">
        <v>-0.7879999876022339</v>
      </c>
      <c r="O989" s="3" t="n">
        <v>-0.7879999876022339</v>
      </c>
      <c r="P989" s="3" t="n">
        <v>-0.7879999876022339</v>
      </c>
      <c r="Q989" s="3" t="n">
        <v>-0.7879999876022339</v>
      </c>
      <c r="R989" s="3" t="n">
        <v>-0.7730000019073486</v>
      </c>
      <c r="S989" s="3" t="n">
        <v>-1.189000010490417</v>
      </c>
      <c r="T989" s="3" t="n">
        <v>-0.7099999785423279</v>
      </c>
      <c r="U989" s="3" t="n">
        <v>-0.8830000162124634</v>
      </c>
      <c r="V989" s="3" t="n">
        <v>-0.6819999814033508</v>
      </c>
      <c r="W989" s="3" t="n">
        <v>-0.5740000009536743</v>
      </c>
      <c r="X989" s="3" t="n">
        <v>-1.179000020027161</v>
      </c>
      <c r="Y989" s="3" t="n">
        <v>-0.7879999876022339</v>
      </c>
      <c r="Z989" s="3" t="n">
        <v>-1.189000010490417</v>
      </c>
      <c r="AA989" s="3" t="n">
        <v>-1.189000010490417</v>
      </c>
      <c r="AB989" s="3" t="n">
        <v>-1.179000020027161</v>
      </c>
      <c r="AC989" s="3" t="n">
        <v>-1.565000057220459</v>
      </c>
      <c r="AD989" s="3" t="n">
        <v>-0.8830000162124634</v>
      </c>
      <c r="AE989" s="3" t="n">
        <v>-0.8830000162124634</v>
      </c>
    </row>
    <row r="990">
      <c r="A990" s="3" t="inlineStr">
        <is>
          <t>IND.distn.dec.ove.mean.8</t>
        </is>
      </c>
      <c r="B990" s="3" t="inlineStr">
        <is>
          <t>IND</t>
        </is>
      </c>
      <c r="C990" s="3" t="n">
        <v>2005</v>
      </c>
      <c r="D990" s="3" t="inlineStr">
        <is>
          <t>Overall</t>
        </is>
      </c>
      <c r="E990" s="3" t="inlineStr">
        <is>
          <t>Deciles</t>
        </is>
      </c>
      <c r="F990" s="3" t="inlineStr">
        <is>
          <t>mean</t>
        </is>
      </c>
      <c r="G990" s="3" t="n">
        <v>8</v>
      </c>
      <c r="H990" s="3" t="n">
        <v>-0.7883796691894531</v>
      </c>
      <c r="I990" s="3" t="n">
        <v>-0.7883796691894531</v>
      </c>
      <c r="J990" s="3" t="n">
        <v>-0.8853819966316223</v>
      </c>
      <c r="K990" s="3" t="n">
        <v>-0.8853819966316223</v>
      </c>
      <c r="L990" s="3" t="n">
        <v>-0.7883796691894531</v>
      </c>
      <c r="M990" s="3" t="n">
        <v>-0.7883796691894531</v>
      </c>
      <c r="N990" s="3" t="n">
        <v>-0.7883796691894531</v>
      </c>
      <c r="O990" s="3" t="n">
        <v>-0.7883796691894531</v>
      </c>
      <c r="P990" s="3" t="n">
        <v>-0.7883796691894531</v>
      </c>
      <c r="Q990" s="3" t="n">
        <v>-0.7883796691894531</v>
      </c>
      <c r="R990" s="3" t="n">
        <v>-0.7732542157173157</v>
      </c>
      <c r="S990" s="3" t="n">
        <v>-1.200063824653625</v>
      </c>
      <c r="T990" s="3" t="n">
        <v>-0.7100409269332886</v>
      </c>
      <c r="U990" s="3" t="n">
        <v>-0.8853819966316223</v>
      </c>
      <c r="V990" s="3" t="n">
        <v>-0.6827050447463989</v>
      </c>
      <c r="W990" s="3" t="n">
        <v>-0.5893710255622864</v>
      </c>
      <c r="X990" s="3" t="n">
        <v>-1.189743041992188</v>
      </c>
      <c r="Y990" s="3" t="n">
        <v>-0.7883796691894531</v>
      </c>
      <c r="Z990" s="3" t="n">
        <v>-1.200063824653625</v>
      </c>
      <c r="AA990" s="3" t="n">
        <v>-1.200063824653625</v>
      </c>
      <c r="AB990" s="3" t="n">
        <v>-1.189743041992188</v>
      </c>
      <c r="AC990" s="3" t="n">
        <v>-1.587319016456604</v>
      </c>
      <c r="AD990" s="3" t="n">
        <v>-0.8853819966316223</v>
      </c>
      <c r="AE990" s="3" t="n">
        <v>-0.8853819966316223</v>
      </c>
    </row>
    <row r="991">
      <c r="A991" s="3" t="inlineStr">
        <is>
          <t>IND.distn.dec.ove.mean.9</t>
        </is>
      </c>
      <c r="B991" s="3" t="inlineStr">
        <is>
          <t>IND</t>
        </is>
      </c>
      <c r="C991" s="3" t="n">
        <v>2005</v>
      </c>
      <c r="D991" s="3" t="inlineStr">
        <is>
          <t>Overall</t>
        </is>
      </c>
      <c r="E991" s="3" t="inlineStr">
        <is>
          <t>Deciles</t>
        </is>
      </c>
      <c r="F991" s="3" t="inlineStr">
        <is>
          <t>mean</t>
        </is>
      </c>
      <c r="G991" s="3" t="n">
        <v>9</v>
      </c>
      <c r="H991" s="3" t="n">
        <v>-0.7883796691894531</v>
      </c>
      <c r="I991" s="3" t="n">
        <v>-0.7883796691894531</v>
      </c>
      <c r="J991" s="3" t="n">
        <v>-0.8853819966316223</v>
      </c>
      <c r="K991" s="3" t="n">
        <v>-0.8853819966316223</v>
      </c>
      <c r="L991" s="3" t="n">
        <v>-0.7883796691894531</v>
      </c>
      <c r="M991" s="3" t="n">
        <v>-0.7883796691894531</v>
      </c>
      <c r="N991" s="3" t="n">
        <v>-0.7883796691894531</v>
      </c>
      <c r="O991" s="3" t="n">
        <v>-0.7883796691894531</v>
      </c>
      <c r="P991" s="3" t="n">
        <v>-0.7883796691894531</v>
      </c>
      <c r="Q991" s="3" t="n">
        <v>-0.7883796691894531</v>
      </c>
      <c r="R991" s="3" t="n">
        <v>-0.7732542157173157</v>
      </c>
      <c r="S991" s="3" t="n">
        <v>-1.200063824653625</v>
      </c>
      <c r="T991" s="3" t="n">
        <v>-0.7100409269332886</v>
      </c>
      <c r="U991" s="3" t="n">
        <v>-0.8853819966316223</v>
      </c>
      <c r="V991" s="3" t="n">
        <v>-0.6827050447463989</v>
      </c>
      <c r="W991" s="3" t="n">
        <v>-0.5893710255622864</v>
      </c>
      <c r="X991" s="3" t="n">
        <v>-1.189743041992188</v>
      </c>
      <c r="Y991" s="3" t="n">
        <v>-0.7883796691894531</v>
      </c>
      <c r="Z991" s="3" t="n">
        <v>-1.200063824653625</v>
      </c>
      <c r="AA991" s="3" t="n">
        <v>-1.200063824653625</v>
      </c>
      <c r="AB991" s="3" t="n">
        <v>-1.189743041992188</v>
      </c>
      <c r="AC991" s="3" t="n">
        <v>-1.587319016456604</v>
      </c>
      <c r="AD991" s="3" t="n">
        <v>-0.8853819966316223</v>
      </c>
      <c r="AE991" s="3" t="n">
        <v>-0.8853819966316223</v>
      </c>
    </row>
    <row r="992">
      <c r="A992" s="3" t="inlineStr">
        <is>
          <t>IND.distn.dec.ove.mean.10</t>
        </is>
      </c>
      <c r="B992" s="3" t="inlineStr">
        <is>
          <t>IND</t>
        </is>
      </c>
      <c r="C992" s="3" t="n">
        <v>2005</v>
      </c>
      <c r="D992" s="3" t="inlineStr">
        <is>
          <t>Overall</t>
        </is>
      </c>
      <c r="E992" s="3" t="inlineStr">
        <is>
          <t>Deciles</t>
        </is>
      </c>
      <c r="F992" s="3" t="inlineStr">
        <is>
          <t>mean</t>
        </is>
      </c>
      <c r="G992" s="3" t="n">
        <v>10</v>
      </c>
      <c r="H992" s="3" t="n">
        <v>-0.7883796691894531</v>
      </c>
      <c r="I992" s="3" t="n">
        <v>-0.7883796691894531</v>
      </c>
      <c r="J992" s="3" t="n">
        <v>-0.8853819966316223</v>
      </c>
      <c r="K992" s="3" t="n">
        <v>-0.8853819966316223</v>
      </c>
      <c r="L992" s="3" t="n">
        <v>-0.7883796691894531</v>
      </c>
      <c r="M992" s="3" t="n">
        <v>-0.7883796691894531</v>
      </c>
      <c r="N992" s="3" t="n">
        <v>-0.7883796691894531</v>
      </c>
      <c r="O992" s="3" t="n">
        <v>-0.7883796691894531</v>
      </c>
      <c r="P992" s="3" t="n">
        <v>-0.7883796691894531</v>
      </c>
      <c r="Q992" s="3" t="n">
        <v>-0.7883796691894531</v>
      </c>
      <c r="R992" s="3" t="n">
        <v>-0.7732542157173157</v>
      </c>
      <c r="S992" s="3" t="n">
        <v>-1.200063824653625</v>
      </c>
      <c r="T992" s="3" t="n">
        <v>-0.7100409269332886</v>
      </c>
      <c r="U992" s="3" t="n">
        <v>-0.8853819966316223</v>
      </c>
      <c r="V992" s="3" t="n">
        <v>-0.6827050447463989</v>
      </c>
      <c r="W992" s="3" t="n">
        <v>-0.5893710255622864</v>
      </c>
      <c r="X992" s="3" t="n">
        <v>-1.189743041992188</v>
      </c>
      <c r="Y992" s="3" t="n">
        <v>-0.7883796691894531</v>
      </c>
      <c r="Z992" s="3" t="n">
        <v>-1.200063824653625</v>
      </c>
      <c r="AA992" s="3" t="n">
        <v>-1.200063824653625</v>
      </c>
      <c r="AB992" s="3" t="n">
        <v>-1.189743041992188</v>
      </c>
      <c r="AC992" s="3" t="n">
        <v>-1.587319016456604</v>
      </c>
      <c r="AD992" s="3" t="n">
        <v>-0.8853819966316223</v>
      </c>
      <c r="AE992" s="3" t="n">
        <v>-0.8853819966316223</v>
      </c>
    </row>
    <row r="993">
      <c r="A993" s="3" t="inlineStr">
        <is>
          <t>IND.distn.bkt.ove.mean.9999</t>
        </is>
      </c>
      <c r="B993" s="3" t="inlineStr">
        <is>
          <t>IND</t>
        </is>
      </c>
      <c r="C993" s="3" t="n">
        <v>2005</v>
      </c>
      <c r="D993" s="3" t="inlineStr">
        <is>
          <t>Overall</t>
        </is>
      </c>
      <c r="E993" s="3" t="inlineStr">
        <is>
          <t>Basket</t>
        </is>
      </c>
      <c r="F993" s="3" t="inlineStr">
        <is>
          <t>mean</t>
        </is>
      </c>
      <c r="G993" s="3" t="n">
        <v>9999</v>
      </c>
      <c r="H993" s="3" t="n">
        <v>-0.7900005578994751</v>
      </c>
      <c r="I993" s="3" t="n">
        <v>-0.7900005578994751</v>
      </c>
      <c r="J993" s="3" t="n">
        <v>-0.8971647620201111</v>
      </c>
      <c r="K993" s="3" t="n">
        <v>-0.8971647620201111</v>
      </c>
      <c r="L993" s="3" t="n">
        <v>-0.7900005578994751</v>
      </c>
      <c r="M993" s="3" t="n">
        <v>-0.7900005578994751</v>
      </c>
      <c r="N993" s="3" t="n">
        <v>-0.7900005578994751</v>
      </c>
      <c r="O993" s="3" t="n">
        <v>-0.7900005578994751</v>
      </c>
      <c r="P993" s="3" t="n">
        <v>-0.7900005578994751</v>
      </c>
      <c r="Q993" s="3" t="n">
        <v>-0.7900005578994751</v>
      </c>
      <c r="R993" s="3" t="n">
        <v>-0.7741215229034424</v>
      </c>
      <c r="S993" s="3" t="n">
        <v>-1.359322309494019</v>
      </c>
      <c r="T993" s="3" t="n">
        <v>-0.7104492783546448</v>
      </c>
      <c r="U993" s="3" t="n">
        <v>-0.8971647620201111</v>
      </c>
      <c r="V993" s="3" t="n">
        <v>-0.6843134164810181</v>
      </c>
      <c r="W993" s="3" t="n">
        <v>-0.6110200881958008</v>
      </c>
      <c r="X993" s="3" t="n">
        <v>-1.329702496528625</v>
      </c>
      <c r="Y993" s="3" t="n">
        <v>-0.7900005578994751</v>
      </c>
      <c r="Z993" s="3" t="n">
        <v>-1.359322309494019</v>
      </c>
      <c r="AA993" s="3" t="n">
        <v>-1.359322309494019</v>
      </c>
      <c r="AB993" s="3" t="n">
        <v>-1.329702496528625</v>
      </c>
      <c r="AC993" s="3" t="n">
        <v>-2.074401140213013</v>
      </c>
      <c r="AD993" s="3" t="n">
        <v>-0.8971647620201111</v>
      </c>
      <c r="AE993" s="3" t="n">
        <v>-0.8971647620201111</v>
      </c>
    </row>
    <row r="994">
      <c r="A994" s="3" t="inlineStr">
        <is>
          <t>IRL.distn.dec.ove.mean.1</t>
        </is>
      </c>
      <c r="B994" s="3" t="inlineStr">
        <is>
          <t>IRL</t>
        </is>
      </c>
      <c r="C994" s="3" t="n">
        <v>2005</v>
      </c>
      <c r="D994" s="3" t="inlineStr">
        <is>
          <t>Overall</t>
        </is>
      </c>
      <c r="E994" s="3" t="inlineStr">
        <is>
          <t>Deciles</t>
        </is>
      </c>
      <c r="F994" s="3" t="inlineStr">
        <is>
          <t>mean</t>
        </is>
      </c>
      <c r="G994" s="3" t="n">
        <v>1</v>
      </c>
      <c r="H994" s="3" t="n">
        <v>-0.7882409691810608</v>
      </c>
      <c r="I994" s="3" t="n">
        <v>-0.7882409691810608</v>
      </c>
      <c r="J994" s="3" t="n">
        <v>-0.8921075463294983</v>
      </c>
      <c r="K994" s="3" t="n">
        <v>-0.8921075463294983</v>
      </c>
      <c r="L994" s="3" t="n">
        <v>-0.7882409691810608</v>
      </c>
      <c r="M994" s="3" t="n">
        <v>-0.7882409691810608</v>
      </c>
      <c r="N994" s="3" t="n">
        <v>-0.7882409691810608</v>
      </c>
      <c r="O994" s="3" t="n">
        <v>-0.7882409691810608</v>
      </c>
      <c r="P994" s="3" t="n">
        <v>-0.7882409691810608</v>
      </c>
      <c r="Q994" s="3" t="n">
        <v>-0.7882409691810608</v>
      </c>
      <c r="R994" s="3" t="n">
        <v>-0.7734707593917847</v>
      </c>
      <c r="S994" s="3" t="n">
        <v>-1.431484580039978</v>
      </c>
      <c r="T994" s="3" t="n">
        <v>-0.7094525694847107</v>
      </c>
      <c r="U994" s="3" t="n">
        <v>-0.8921075463294983</v>
      </c>
      <c r="V994" s="3" t="n">
        <v>-0.6829447150230408</v>
      </c>
      <c r="W994" s="3" t="n">
        <v>-0.5952903628349304</v>
      </c>
      <c r="X994" s="3" t="n">
        <v>-1.3772873878479</v>
      </c>
      <c r="Y994" s="3" t="n">
        <v>-0.7882409691810608</v>
      </c>
      <c r="Z994" s="3" t="n">
        <v>-1.431484580039978</v>
      </c>
      <c r="AA994" s="3" t="n">
        <v>-1.431484580039978</v>
      </c>
      <c r="AB994" s="3" t="n">
        <v>-1.3772873878479</v>
      </c>
      <c r="AC994" s="3" t="n">
        <v>-2.176332235336304</v>
      </c>
      <c r="AD994" s="3" t="n">
        <v>-0.8921075463294983</v>
      </c>
      <c r="AE994" s="3" t="n">
        <v>-0.8921075463294983</v>
      </c>
    </row>
    <row r="995">
      <c r="A995" s="3" t="inlineStr">
        <is>
          <t>IRL.distn.dec.ove.mean.2</t>
        </is>
      </c>
      <c r="B995" s="3" t="inlineStr">
        <is>
          <t>IRL</t>
        </is>
      </c>
      <c r="C995" s="3" t="n">
        <v>2005</v>
      </c>
      <c r="D995" s="3" t="inlineStr">
        <is>
          <t>Overall</t>
        </is>
      </c>
      <c r="E995" s="3" t="inlineStr">
        <is>
          <t>Deciles</t>
        </is>
      </c>
      <c r="F995" s="3" t="inlineStr">
        <is>
          <t>mean</t>
        </is>
      </c>
      <c r="G995" s="3" t="n">
        <v>2</v>
      </c>
      <c r="H995" s="3" t="n">
        <v>-0.7882409691810608</v>
      </c>
      <c r="I995" s="3" t="n">
        <v>-0.7882409691810608</v>
      </c>
      <c r="J995" s="3" t="n">
        <v>-0.8921075463294983</v>
      </c>
      <c r="K995" s="3" t="n">
        <v>-0.8921075463294983</v>
      </c>
      <c r="L995" s="3" t="n">
        <v>-0.7882409691810608</v>
      </c>
      <c r="M995" s="3" t="n">
        <v>-0.7882409691810608</v>
      </c>
      <c r="N995" s="3" t="n">
        <v>-0.7882409691810608</v>
      </c>
      <c r="O995" s="3" t="n">
        <v>-0.7882409691810608</v>
      </c>
      <c r="P995" s="3" t="n">
        <v>-0.7882409691810608</v>
      </c>
      <c r="Q995" s="3" t="n">
        <v>-0.7882409691810608</v>
      </c>
      <c r="R995" s="3" t="n">
        <v>-0.7734707593917847</v>
      </c>
      <c r="S995" s="3" t="n">
        <v>-1.431484580039978</v>
      </c>
      <c r="T995" s="3" t="n">
        <v>-0.7094525694847107</v>
      </c>
      <c r="U995" s="3" t="n">
        <v>-0.8921075463294983</v>
      </c>
      <c r="V995" s="3" t="n">
        <v>-0.6829447150230408</v>
      </c>
      <c r="W995" s="3" t="n">
        <v>-0.5952903628349304</v>
      </c>
      <c r="X995" s="3" t="n">
        <v>-1.3772873878479</v>
      </c>
      <c r="Y995" s="3" t="n">
        <v>-0.7882409691810608</v>
      </c>
      <c r="Z995" s="3" t="n">
        <v>-1.431484580039978</v>
      </c>
      <c r="AA995" s="3" t="n">
        <v>-1.431484580039978</v>
      </c>
      <c r="AB995" s="3" t="n">
        <v>-1.3772873878479</v>
      </c>
      <c r="AC995" s="3" t="n">
        <v>-2.176332235336304</v>
      </c>
      <c r="AD995" s="3" t="n">
        <v>-0.8921075463294983</v>
      </c>
      <c r="AE995" s="3" t="n">
        <v>-0.8921075463294983</v>
      </c>
    </row>
    <row r="996">
      <c r="A996" s="3" t="inlineStr">
        <is>
          <t>IRL.distn.dec.ove.mean.3</t>
        </is>
      </c>
      <c r="B996" s="3" t="inlineStr">
        <is>
          <t>IRL</t>
        </is>
      </c>
      <c r="C996" s="3" t="n">
        <v>2005</v>
      </c>
      <c r="D996" s="3" t="inlineStr">
        <is>
          <t>Overall</t>
        </is>
      </c>
      <c r="E996" s="3" t="inlineStr">
        <is>
          <t>Deciles</t>
        </is>
      </c>
      <c r="F996" s="3" t="inlineStr">
        <is>
          <t>mean</t>
        </is>
      </c>
      <c r="G996" s="3" t="n">
        <v>3</v>
      </c>
      <c r="H996" s="3" t="n">
        <v>-0.7882409691810608</v>
      </c>
      <c r="I996" s="3" t="n">
        <v>-0.7882409691810608</v>
      </c>
      <c r="J996" s="3" t="n">
        <v>-0.8921075463294983</v>
      </c>
      <c r="K996" s="3" t="n">
        <v>-0.8921075463294983</v>
      </c>
      <c r="L996" s="3" t="n">
        <v>-0.7882409691810608</v>
      </c>
      <c r="M996" s="3" t="n">
        <v>-0.7882409691810608</v>
      </c>
      <c r="N996" s="3" t="n">
        <v>-0.7882409691810608</v>
      </c>
      <c r="O996" s="3" t="n">
        <v>-0.7882409691810608</v>
      </c>
      <c r="P996" s="3" t="n">
        <v>-0.7882409691810608</v>
      </c>
      <c r="Q996" s="3" t="n">
        <v>-0.7882409691810608</v>
      </c>
      <c r="R996" s="3" t="n">
        <v>-0.7734707593917847</v>
      </c>
      <c r="S996" s="3" t="n">
        <v>-1.431484580039978</v>
      </c>
      <c r="T996" s="3" t="n">
        <v>-0.7094525694847107</v>
      </c>
      <c r="U996" s="3" t="n">
        <v>-0.8921075463294983</v>
      </c>
      <c r="V996" s="3" t="n">
        <v>-0.6829447150230408</v>
      </c>
      <c r="W996" s="3" t="n">
        <v>-0.5952903628349304</v>
      </c>
      <c r="X996" s="3" t="n">
        <v>-1.3772873878479</v>
      </c>
      <c r="Y996" s="3" t="n">
        <v>-0.7882409691810608</v>
      </c>
      <c r="Z996" s="3" t="n">
        <v>-1.431484580039978</v>
      </c>
      <c r="AA996" s="3" t="n">
        <v>-1.431484580039978</v>
      </c>
      <c r="AB996" s="3" t="n">
        <v>-1.3772873878479</v>
      </c>
      <c r="AC996" s="3" t="n">
        <v>-2.176332235336304</v>
      </c>
      <c r="AD996" s="3" t="n">
        <v>-0.8921075463294983</v>
      </c>
      <c r="AE996" s="3" t="n">
        <v>-0.8921075463294983</v>
      </c>
    </row>
    <row r="997">
      <c r="A997" s="3" t="inlineStr">
        <is>
          <t>IRL.distn.dec.ove.mean.4</t>
        </is>
      </c>
      <c r="B997" s="3" t="inlineStr">
        <is>
          <t>IRL</t>
        </is>
      </c>
      <c r="C997" s="3" t="n">
        <v>2005</v>
      </c>
      <c r="D997" s="3" t="inlineStr">
        <is>
          <t>Overall</t>
        </is>
      </c>
      <c r="E997" s="3" t="inlineStr">
        <is>
          <t>Deciles</t>
        </is>
      </c>
      <c r="F997" s="3" t="inlineStr">
        <is>
          <t>mean</t>
        </is>
      </c>
      <c r="G997" s="3" t="n">
        <v>4</v>
      </c>
      <c r="H997" s="3" t="n">
        <v>-0.7820000052452087</v>
      </c>
      <c r="I997" s="3" t="n">
        <v>-0.7820000052452087</v>
      </c>
      <c r="J997" s="3" t="n">
        <v>-0.8489999771118164</v>
      </c>
      <c r="K997" s="3" t="n">
        <v>-0.8489999771118164</v>
      </c>
      <c r="L997" s="3" t="n">
        <v>-0.7820000052452087</v>
      </c>
      <c r="M997" s="3" t="n">
        <v>-0.7820000052452087</v>
      </c>
      <c r="N997" s="3" t="n">
        <v>-0.7820000052452087</v>
      </c>
      <c r="O997" s="3" t="n">
        <v>-0.7820000052452087</v>
      </c>
      <c r="P997" s="3" t="n">
        <v>-0.7820000052452087</v>
      </c>
      <c r="Q997" s="3" t="n">
        <v>-0.7820000052452087</v>
      </c>
      <c r="R997" s="3" t="n">
        <v>-0.7699999809265137</v>
      </c>
      <c r="S997" s="3" t="n">
        <v>-0.9750000238418579</v>
      </c>
      <c r="T997" s="3" t="n">
        <v>-0.7080000042915344</v>
      </c>
      <c r="U997" s="3" t="n">
        <v>-0.8489999771118164</v>
      </c>
      <c r="V997" s="3" t="n">
        <v>-0.6759999990463257</v>
      </c>
      <c r="W997" s="3" t="n">
        <v>-0.5009999871253967</v>
      </c>
      <c r="X997" s="3" t="n">
        <v>-0.9720000028610229</v>
      </c>
      <c r="Y997" s="3" t="n">
        <v>-0.7820000052452087</v>
      </c>
      <c r="Z997" s="3" t="n">
        <v>-0.9750000238418579</v>
      </c>
      <c r="AA997" s="3" t="n">
        <v>-0.9750000238418579</v>
      </c>
      <c r="AB997" s="3" t="n">
        <v>-0.9720000028610229</v>
      </c>
      <c r="AC997" s="3" t="n">
        <v>-1.050999999046326</v>
      </c>
      <c r="AD997" s="3" t="n">
        <v>-0.8489999771118164</v>
      </c>
      <c r="AE997" s="3" t="n">
        <v>-0.8489999771118164</v>
      </c>
    </row>
    <row r="998">
      <c r="A998" s="3" t="inlineStr">
        <is>
          <t>IRL.distn.dec.ove.mean.5</t>
        </is>
      </c>
      <c r="B998" s="3" t="inlineStr">
        <is>
          <t>IRL</t>
        </is>
      </c>
      <c r="C998" s="3" t="n">
        <v>2005</v>
      </c>
      <c r="D998" s="3" t="inlineStr">
        <is>
          <t>Overall</t>
        </is>
      </c>
      <c r="E998" s="3" t="inlineStr">
        <is>
          <t>Deciles</t>
        </is>
      </c>
      <c r="F998" s="3" t="inlineStr">
        <is>
          <t>mean</t>
        </is>
      </c>
      <c r="G998" s="3" t="n">
        <v>5</v>
      </c>
      <c r="H998" s="3" t="n">
        <v>-0.7820000052452087</v>
      </c>
      <c r="I998" s="3" t="n">
        <v>-0.7820000052452087</v>
      </c>
      <c r="J998" s="3" t="n">
        <v>-0.8489999771118164</v>
      </c>
      <c r="K998" s="3" t="n">
        <v>-0.8489999771118164</v>
      </c>
      <c r="L998" s="3" t="n">
        <v>-0.7820000052452087</v>
      </c>
      <c r="M998" s="3" t="n">
        <v>-0.7820000052452087</v>
      </c>
      <c r="N998" s="3" t="n">
        <v>-0.7820000052452087</v>
      </c>
      <c r="O998" s="3" t="n">
        <v>-0.7820000052452087</v>
      </c>
      <c r="P998" s="3" t="n">
        <v>-0.7820000052452087</v>
      </c>
      <c r="Q998" s="3" t="n">
        <v>-0.7820000052452087</v>
      </c>
      <c r="R998" s="3" t="n">
        <v>-0.7699999809265137</v>
      </c>
      <c r="S998" s="3" t="n">
        <v>-0.9750000238418579</v>
      </c>
      <c r="T998" s="3" t="n">
        <v>-0.7080000042915344</v>
      </c>
      <c r="U998" s="3" t="n">
        <v>-0.8489999771118164</v>
      </c>
      <c r="V998" s="3" t="n">
        <v>-0.6759999990463257</v>
      </c>
      <c r="W998" s="3" t="n">
        <v>-0.5009999871253967</v>
      </c>
      <c r="X998" s="3" t="n">
        <v>-0.9720000028610229</v>
      </c>
      <c r="Y998" s="3" t="n">
        <v>-0.7820000052452087</v>
      </c>
      <c r="Z998" s="3" t="n">
        <v>-0.9750000238418579</v>
      </c>
      <c r="AA998" s="3" t="n">
        <v>-0.9750000238418579</v>
      </c>
      <c r="AB998" s="3" t="n">
        <v>-0.9720000028610229</v>
      </c>
      <c r="AC998" s="3" t="n">
        <v>-1.050999999046326</v>
      </c>
      <c r="AD998" s="3" t="n">
        <v>-0.8489999771118164</v>
      </c>
      <c r="AE998" s="3" t="n">
        <v>-0.8489999771118164</v>
      </c>
    </row>
    <row r="999">
      <c r="A999" s="3" t="inlineStr">
        <is>
          <t>IRL.distn.dec.ove.mean.6</t>
        </is>
      </c>
      <c r="B999" s="3" t="inlineStr">
        <is>
          <t>IRL</t>
        </is>
      </c>
      <c r="C999" s="3" t="n">
        <v>2005</v>
      </c>
      <c r="D999" s="3" t="inlineStr">
        <is>
          <t>Overall</t>
        </is>
      </c>
      <c r="E999" s="3" t="inlineStr">
        <is>
          <t>Deciles</t>
        </is>
      </c>
      <c r="F999" s="3" t="inlineStr">
        <is>
          <t>mean</t>
        </is>
      </c>
      <c r="G999" s="3" t="n">
        <v>6</v>
      </c>
      <c r="H999" s="3" t="n">
        <v>-0.7820000052452087</v>
      </c>
      <c r="I999" s="3" t="n">
        <v>-0.7820000052452087</v>
      </c>
      <c r="J999" s="3" t="n">
        <v>-0.8489999771118164</v>
      </c>
      <c r="K999" s="3" t="n">
        <v>-0.8489999771118164</v>
      </c>
      <c r="L999" s="3" t="n">
        <v>-0.7820000052452087</v>
      </c>
      <c r="M999" s="3" t="n">
        <v>-0.7820000052452087</v>
      </c>
      <c r="N999" s="3" t="n">
        <v>-0.7820000052452087</v>
      </c>
      <c r="O999" s="3" t="n">
        <v>-0.7820000052452087</v>
      </c>
      <c r="P999" s="3" t="n">
        <v>-0.7820000052452087</v>
      </c>
      <c r="Q999" s="3" t="n">
        <v>-0.7820000052452087</v>
      </c>
      <c r="R999" s="3" t="n">
        <v>-0.7699999809265137</v>
      </c>
      <c r="S999" s="3" t="n">
        <v>-0.9750000238418579</v>
      </c>
      <c r="T999" s="3" t="n">
        <v>-0.7080000042915344</v>
      </c>
      <c r="U999" s="3" t="n">
        <v>-0.8489999771118164</v>
      </c>
      <c r="V999" s="3" t="n">
        <v>-0.6759999990463257</v>
      </c>
      <c r="W999" s="3" t="n">
        <v>-0.5009999871253967</v>
      </c>
      <c r="X999" s="3" t="n">
        <v>-0.9720000028610229</v>
      </c>
      <c r="Y999" s="3" t="n">
        <v>-0.7820000052452087</v>
      </c>
      <c r="Z999" s="3" t="n">
        <v>-0.9750000238418579</v>
      </c>
      <c r="AA999" s="3" t="n">
        <v>-0.9750000238418579</v>
      </c>
      <c r="AB999" s="3" t="n">
        <v>-0.9720000028610229</v>
      </c>
      <c r="AC999" s="3" t="n">
        <v>-1.050999999046326</v>
      </c>
      <c r="AD999" s="3" t="n">
        <v>-0.8489999771118164</v>
      </c>
      <c r="AE999" s="3" t="n">
        <v>-0.8489999771118164</v>
      </c>
    </row>
    <row r="1000">
      <c r="A1000" s="3" t="inlineStr">
        <is>
          <t>IRL.distn.dec.ove.mean.7</t>
        </is>
      </c>
      <c r="B1000" s="3" t="inlineStr">
        <is>
          <t>IRL</t>
        </is>
      </c>
      <c r="C1000" s="3" t="n">
        <v>2005</v>
      </c>
      <c r="D1000" s="3" t="inlineStr">
        <is>
          <t>Overall</t>
        </is>
      </c>
      <c r="E1000" s="3" t="inlineStr">
        <is>
          <t>Deciles</t>
        </is>
      </c>
      <c r="F1000" s="3" t="inlineStr">
        <is>
          <t>mean</t>
        </is>
      </c>
      <c r="G1000" s="3" t="n">
        <v>7</v>
      </c>
      <c r="H1000" s="3" t="n">
        <v>-0.7820000052452087</v>
      </c>
      <c r="I1000" s="3" t="n">
        <v>-0.7820000052452087</v>
      </c>
      <c r="J1000" s="3" t="n">
        <v>-0.8489999771118164</v>
      </c>
      <c r="K1000" s="3" t="n">
        <v>-0.8489999771118164</v>
      </c>
      <c r="L1000" s="3" t="n">
        <v>-0.7820000052452087</v>
      </c>
      <c r="M1000" s="3" t="n">
        <v>-0.7820000052452087</v>
      </c>
      <c r="N1000" s="3" t="n">
        <v>-0.7820000052452087</v>
      </c>
      <c r="O1000" s="3" t="n">
        <v>-0.7820000052452087</v>
      </c>
      <c r="P1000" s="3" t="n">
        <v>-0.7820000052452087</v>
      </c>
      <c r="Q1000" s="3" t="n">
        <v>-0.7820000052452087</v>
      </c>
      <c r="R1000" s="3" t="n">
        <v>-0.7699999809265137</v>
      </c>
      <c r="S1000" s="3" t="n">
        <v>-0.9750000238418579</v>
      </c>
      <c r="T1000" s="3" t="n">
        <v>-0.7080000042915344</v>
      </c>
      <c r="U1000" s="3" t="n">
        <v>-0.8489999771118164</v>
      </c>
      <c r="V1000" s="3" t="n">
        <v>-0.6759999990463257</v>
      </c>
      <c r="W1000" s="3" t="n">
        <v>-0.5009999871253967</v>
      </c>
      <c r="X1000" s="3" t="n">
        <v>-0.9720000028610229</v>
      </c>
      <c r="Y1000" s="3" t="n">
        <v>-0.7820000052452087</v>
      </c>
      <c r="Z1000" s="3" t="n">
        <v>-0.9750000238418579</v>
      </c>
      <c r="AA1000" s="3" t="n">
        <v>-0.9750000238418579</v>
      </c>
      <c r="AB1000" s="3" t="n">
        <v>-0.9720000028610229</v>
      </c>
      <c r="AC1000" s="3" t="n">
        <v>-1.050999999046326</v>
      </c>
      <c r="AD1000" s="3" t="n">
        <v>-0.8489999771118164</v>
      </c>
      <c r="AE1000" s="3" t="n">
        <v>-0.8489999771118164</v>
      </c>
    </row>
    <row r="1001">
      <c r="A1001" s="3" t="inlineStr">
        <is>
          <t>IRL.distn.dec.ove.mean.8</t>
        </is>
      </c>
      <c r="B1001" s="3" t="inlineStr">
        <is>
          <t>IRL</t>
        </is>
      </c>
      <c r="C1001" s="3" t="n">
        <v>2005</v>
      </c>
      <c r="D1001" s="3" t="inlineStr">
        <is>
          <t>Overall</t>
        </is>
      </c>
      <c r="E1001" s="3" t="inlineStr">
        <is>
          <t>Deciles</t>
        </is>
      </c>
      <c r="F1001" s="3" t="inlineStr">
        <is>
          <t>mean</t>
        </is>
      </c>
      <c r="G1001" s="3" t="n">
        <v>8</v>
      </c>
      <c r="H1001" s="3" t="n">
        <v>-0.782376766204834</v>
      </c>
      <c r="I1001" s="3" t="n">
        <v>-0.782376766204834</v>
      </c>
      <c r="J1001" s="3" t="n">
        <v>-0.851290225982666</v>
      </c>
      <c r="K1001" s="3" t="n">
        <v>-0.851290225982666</v>
      </c>
      <c r="L1001" s="3" t="n">
        <v>-0.782376766204834</v>
      </c>
      <c r="M1001" s="3" t="n">
        <v>-0.782376766204834</v>
      </c>
      <c r="N1001" s="3" t="n">
        <v>-0.782376766204834</v>
      </c>
      <c r="O1001" s="3" t="n">
        <v>-0.782376766204834</v>
      </c>
      <c r="P1001" s="3" t="n">
        <v>-0.782376766204834</v>
      </c>
      <c r="Q1001" s="3" t="n">
        <v>-0.782376766204834</v>
      </c>
      <c r="R1001" s="3" t="n">
        <v>-0.7702532410621643</v>
      </c>
      <c r="S1001" s="3" t="n">
        <v>-0.9840725064277649</v>
      </c>
      <c r="T1001" s="3" t="n">
        <v>-0.7080408334732056</v>
      </c>
      <c r="U1001" s="3" t="n">
        <v>-0.851290225982666</v>
      </c>
      <c r="V1001" s="3" t="n">
        <v>-0.6766988039016724</v>
      </c>
      <c r="W1001" s="3" t="n">
        <v>-0.5144161581993103</v>
      </c>
      <c r="X1001" s="3" t="n">
        <v>-0.9808568358421326</v>
      </c>
      <c r="Y1001" s="3" t="n">
        <v>-0.782376766204834</v>
      </c>
      <c r="Z1001" s="3" t="n">
        <v>-0.9840725064277649</v>
      </c>
      <c r="AA1001" s="3" t="n">
        <v>-0.9840725064277649</v>
      </c>
      <c r="AB1001" s="3" t="n">
        <v>-0.9808568358421326</v>
      </c>
      <c r="AC1001" s="3" t="n">
        <v>-1.065988659858704</v>
      </c>
      <c r="AD1001" s="3" t="n">
        <v>-0.851290225982666</v>
      </c>
      <c r="AE1001" s="3" t="n">
        <v>-0.851290225982666</v>
      </c>
    </row>
    <row r="1002">
      <c r="A1002" s="3" t="inlineStr">
        <is>
          <t>IRL.distn.dec.ove.mean.9</t>
        </is>
      </c>
      <c r="B1002" s="3" t="inlineStr">
        <is>
          <t>IRL</t>
        </is>
      </c>
      <c r="C1002" s="3" t="n">
        <v>2005</v>
      </c>
      <c r="D1002" s="3" t="inlineStr">
        <is>
          <t>Overall</t>
        </is>
      </c>
      <c r="E1002" s="3" t="inlineStr">
        <is>
          <t>Deciles</t>
        </is>
      </c>
      <c r="F1002" s="3" t="inlineStr">
        <is>
          <t>mean</t>
        </is>
      </c>
      <c r="G1002" s="3" t="n">
        <v>9</v>
      </c>
      <c r="H1002" s="3" t="n">
        <v>-0.782376766204834</v>
      </c>
      <c r="I1002" s="3" t="n">
        <v>-0.782376766204834</v>
      </c>
      <c r="J1002" s="3" t="n">
        <v>-0.851290225982666</v>
      </c>
      <c r="K1002" s="3" t="n">
        <v>-0.851290225982666</v>
      </c>
      <c r="L1002" s="3" t="n">
        <v>-0.782376766204834</v>
      </c>
      <c r="M1002" s="3" t="n">
        <v>-0.782376766204834</v>
      </c>
      <c r="N1002" s="3" t="n">
        <v>-0.782376766204834</v>
      </c>
      <c r="O1002" s="3" t="n">
        <v>-0.782376766204834</v>
      </c>
      <c r="P1002" s="3" t="n">
        <v>-0.782376766204834</v>
      </c>
      <c r="Q1002" s="3" t="n">
        <v>-0.782376766204834</v>
      </c>
      <c r="R1002" s="3" t="n">
        <v>-0.7702532410621643</v>
      </c>
      <c r="S1002" s="3" t="n">
        <v>-0.9840725064277649</v>
      </c>
      <c r="T1002" s="3" t="n">
        <v>-0.7080408334732056</v>
      </c>
      <c r="U1002" s="3" t="n">
        <v>-0.851290225982666</v>
      </c>
      <c r="V1002" s="3" t="n">
        <v>-0.6766988039016724</v>
      </c>
      <c r="W1002" s="3" t="n">
        <v>-0.5144161581993103</v>
      </c>
      <c r="X1002" s="3" t="n">
        <v>-0.9808568358421326</v>
      </c>
      <c r="Y1002" s="3" t="n">
        <v>-0.782376766204834</v>
      </c>
      <c r="Z1002" s="3" t="n">
        <v>-0.9840725064277649</v>
      </c>
      <c r="AA1002" s="3" t="n">
        <v>-0.9840725064277649</v>
      </c>
      <c r="AB1002" s="3" t="n">
        <v>-0.9808568358421326</v>
      </c>
      <c r="AC1002" s="3" t="n">
        <v>-1.065988659858704</v>
      </c>
      <c r="AD1002" s="3" t="n">
        <v>-0.851290225982666</v>
      </c>
      <c r="AE1002" s="3" t="n">
        <v>-0.851290225982666</v>
      </c>
    </row>
    <row r="1003">
      <c r="A1003" s="3" t="inlineStr">
        <is>
          <t>IRL.distn.dec.ove.mean.10</t>
        </is>
      </c>
      <c r="B1003" s="3" t="inlineStr">
        <is>
          <t>IRL</t>
        </is>
      </c>
      <c r="C1003" s="3" t="n">
        <v>2005</v>
      </c>
      <c r="D1003" s="3" t="inlineStr">
        <is>
          <t>Overall</t>
        </is>
      </c>
      <c r="E1003" s="3" t="inlineStr">
        <is>
          <t>Deciles</t>
        </is>
      </c>
      <c r="F1003" s="3" t="inlineStr">
        <is>
          <t>mean</t>
        </is>
      </c>
      <c r="G1003" s="3" t="n">
        <v>10</v>
      </c>
      <c r="H1003" s="3" t="n">
        <v>-0.782376766204834</v>
      </c>
      <c r="I1003" s="3" t="n">
        <v>-0.782376766204834</v>
      </c>
      <c r="J1003" s="3" t="n">
        <v>-0.851290225982666</v>
      </c>
      <c r="K1003" s="3" t="n">
        <v>-0.851290225982666</v>
      </c>
      <c r="L1003" s="3" t="n">
        <v>-0.782376766204834</v>
      </c>
      <c r="M1003" s="3" t="n">
        <v>-0.782376766204834</v>
      </c>
      <c r="N1003" s="3" t="n">
        <v>-0.782376766204834</v>
      </c>
      <c r="O1003" s="3" t="n">
        <v>-0.782376766204834</v>
      </c>
      <c r="P1003" s="3" t="n">
        <v>-0.782376766204834</v>
      </c>
      <c r="Q1003" s="3" t="n">
        <v>-0.782376766204834</v>
      </c>
      <c r="R1003" s="3" t="n">
        <v>-0.7702532410621643</v>
      </c>
      <c r="S1003" s="3" t="n">
        <v>-0.9840725064277649</v>
      </c>
      <c r="T1003" s="3" t="n">
        <v>-0.7080408334732056</v>
      </c>
      <c r="U1003" s="3" t="n">
        <v>-0.851290225982666</v>
      </c>
      <c r="V1003" s="3" t="n">
        <v>-0.6766988039016724</v>
      </c>
      <c r="W1003" s="3" t="n">
        <v>-0.5144161581993103</v>
      </c>
      <c r="X1003" s="3" t="n">
        <v>-0.9808568358421326</v>
      </c>
      <c r="Y1003" s="3" t="n">
        <v>-0.782376766204834</v>
      </c>
      <c r="Z1003" s="3" t="n">
        <v>-0.9840725064277649</v>
      </c>
      <c r="AA1003" s="3" t="n">
        <v>-0.9840725064277649</v>
      </c>
      <c r="AB1003" s="3" t="n">
        <v>-0.9808568358421326</v>
      </c>
      <c r="AC1003" s="3" t="n">
        <v>-1.065988659858704</v>
      </c>
      <c r="AD1003" s="3" t="n">
        <v>-0.851290225982666</v>
      </c>
      <c r="AE1003" s="3" t="n">
        <v>-0.851290225982666</v>
      </c>
    </row>
    <row r="1004">
      <c r="A1004" s="3" t="inlineStr">
        <is>
          <t>IRL.distn.bkt.ove.mean.9999</t>
        </is>
      </c>
      <c r="B1004" s="3" t="inlineStr">
        <is>
          <t>IRL</t>
        </is>
      </c>
      <c r="C1004" s="3" t="n">
        <v>2005</v>
      </c>
      <c r="D1004" s="3" t="inlineStr">
        <is>
          <t>Overall</t>
        </is>
      </c>
      <c r="E1004" s="3" t="inlineStr">
        <is>
          <t>Basket</t>
        </is>
      </c>
      <c r="F1004" s="3" t="inlineStr">
        <is>
          <t>mean</t>
        </is>
      </c>
      <c r="G1004" s="3" t="n">
        <v>9999</v>
      </c>
      <c r="H1004" s="3" t="n">
        <v>-0.7839853167533875</v>
      </c>
      <c r="I1004" s="3" t="n">
        <v>-0.7839853167533875</v>
      </c>
      <c r="J1004" s="3" t="n">
        <v>-0.8626193404197693</v>
      </c>
      <c r="K1004" s="3" t="n">
        <v>-0.8626193404197693</v>
      </c>
      <c r="L1004" s="3" t="n">
        <v>-0.7839853167533875</v>
      </c>
      <c r="M1004" s="3" t="n">
        <v>-0.7839853167533875</v>
      </c>
      <c r="N1004" s="3" t="n">
        <v>-0.7839853167533875</v>
      </c>
      <c r="O1004" s="3" t="n">
        <v>-0.7839853167533875</v>
      </c>
      <c r="P1004" s="3" t="n">
        <v>-0.7839853167533875</v>
      </c>
      <c r="Q1004" s="3" t="n">
        <v>-0.7839853167533875</v>
      </c>
      <c r="R1004" s="3" t="n">
        <v>-0.7711172103881836</v>
      </c>
      <c r="S1004" s="3" t="n">
        <v>-1.114667177200317</v>
      </c>
      <c r="T1004" s="3" t="n">
        <v>-0.708448052406311</v>
      </c>
      <c r="U1004" s="3" t="n">
        <v>-0.8626193404197693</v>
      </c>
      <c r="V1004" s="3" t="n">
        <v>-0.6782930493354797</v>
      </c>
      <c r="W1004" s="3" t="n">
        <v>-0.5333119630813599</v>
      </c>
      <c r="X1004" s="3" t="n">
        <v>-1.096243262290955</v>
      </c>
      <c r="Y1004" s="3" t="n">
        <v>-0.7839853167533875</v>
      </c>
      <c r="Z1004" s="3" t="n">
        <v>-1.114667177200317</v>
      </c>
      <c r="AA1004" s="3" t="n">
        <v>-1.114667177200317</v>
      </c>
      <c r="AB1004" s="3" t="n">
        <v>-1.096243262290955</v>
      </c>
      <c r="AC1004" s="3" t="n">
        <v>-1.393096208572388</v>
      </c>
      <c r="AD1004" s="3" t="n">
        <v>-0.8626193404197693</v>
      </c>
      <c r="AE1004" s="3" t="n">
        <v>-0.8626193404197693</v>
      </c>
    </row>
    <row r="1005">
      <c r="A1005" s="3" t="inlineStr">
        <is>
          <t>IRN.distn.dec.ove.mean.1</t>
        </is>
      </c>
      <c r="B1005" s="3" t="inlineStr">
        <is>
          <t>IRN</t>
        </is>
      </c>
      <c r="C1005" s="3" t="n">
        <v>2005</v>
      </c>
      <c r="D1005" s="3" t="inlineStr">
        <is>
          <t>Overall</t>
        </is>
      </c>
      <c r="E1005" s="3" t="inlineStr">
        <is>
          <t>Deciles</t>
        </is>
      </c>
      <c r="F1005" s="3" t="inlineStr">
        <is>
          <t>mean</t>
        </is>
      </c>
      <c r="G1005" s="3" t="n">
        <v>1</v>
      </c>
      <c r="H1005" s="3" t="n">
        <v>-0.7882409691810608</v>
      </c>
      <c r="I1005" s="3" t="n">
        <v>-0.7882409691810608</v>
      </c>
      <c r="J1005" s="3" t="n">
        <v>-0.8879044055938721</v>
      </c>
      <c r="K1005" s="3" t="n">
        <v>-0.8879044055938721</v>
      </c>
      <c r="L1005" s="3" t="n">
        <v>-0.7882409691810608</v>
      </c>
      <c r="M1005" s="3" t="n">
        <v>-0.7882409691810608</v>
      </c>
      <c r="N1005" s="3" t="n">
        <v>-0.7882409691810608</v>
      </c>
      <c r="O1005" s="3" t="n">
        <v>-0.7882409691810608</v>
      </c>
      <c r="P1005" s="3" t="n">
        <v>-0.7882409691810608</v>
      </c>
      <c r="Q1005" s="3" t="n">
        <v>-0.7882409691810608</v>
      </c>
      <c r="R1005" s="3" t="n">
        <v>-0.7734707593917847</v>
      </c>
      <c r="S1005" s="3" t="n">
        <v>-1.405057072639465</v>
      </c>
      <c r="T1005" s="3" t="n">
        <v>-0.7094525694847107</v>
      </c>
      <c r="U1005" s="3" t="n">
        <v>-0.8879044055938721</v>
      </c>
      <c r="V1005" s="3" t="n">
        <v>-0.6819344758987427</v>
      </c>
      <c r="W1005" s="3" t="n">
        <v>-0.5727144479751587</v>
      </c>
      <c r="X1005" s="3" t="n">
        <v>-1.351782083511353</v>
      </c>
      <c r="Y1005" s="3" t="n">
        <v>-0.7882409691810608</v>
      </c>
      <c r="Z1005" s="3" t="n">
        <v>-1.405057072639465</v>
      </c>
      <c r="AA1005" s="3" t="n">
        <v>-1.405057072639465</v>
      </c>
      <c r="AB1005" s="3" t="n">
        <v>-1.351782083511353</v>
      </c>
      <c r="AC1005" s="3" t="n">
        <v>-2.112139701843262</v>
      </c>
      <c r="AD1005" s="3" t="n">
        <v>-0.8879044055938721</v>
      </c>
      <c r="AE1005" s="3" t="n">
        <v>-0.8879044055938721</v>
      </c>
    </row>
    <row r="1006">
      <c r="A1006" s="3" t="inlineStr">
        <is>
          <t>IRN.distn.dec.ove.mean.2</t>
        </is>
      </c>
      <c r="B1006" s="3" t="inlineStr">
        <is>
          <t>IRN</t>
        </is>
      </c>
      <c r="C1006" s="3" t="n">
        <v>2005</v>
      </c>
      <c r="D1006" s="3" t="inlineStr">
        <is>
          <t>Overall</t>
        </is>
      </c>
      <c r="E1006" s="3" t="inlineStr">
        <is>
          <t>Deciles</t>
        </is>
      </c>
      <c r="F1006" s="3" t="inlineStr">
        <is>
          <t>mean</t>
        </is>
      </c>
      <c r="G1006" s="3" t="n">
        <v>2</v>
      </c>
      <c r="H1006" s="3" t="n">
        <v>-0.7882409691810608</v>
      </c>
      <c r="I1006" s="3" t="n">
        <v>-0.7882409691810608</v>
      </c>
      <c r="J1006" s="3" t="n">
        <v>-0.8879044055938721</v>
      </c>
      <c r="K1006" s="3" t="n">
        <v>-0.8879044055938721</v>
      </c>
      <c r="L1006" s="3" t="n">
        <v>-0.7882409691810608</v>
      </c>
      <c r="M1006" s="3" t="n">
        <v>-0.7882409691810608</v>
      </c>
      <c r="N1006" s="3" t="n">
        <v>-0.7882409691810608</v>
      </c>
      <c r="O1006" s="3" t="n">
        <v>-0.7882409691810608</v>
      </c>
      <c r="P1006" s="3" t="n">
        <v>-0.7882409691810608</v>
      </c>
      <c r="Q1006" s="3" t="n">
        <v>-0.7882409691810608</v>
      </c>
      <c r="R1006" s="3" t="n">
        <v>-0.7734707593917847</v>
      </c>
      <c r="S1006" s="3" t="n">
        <v>-1.405057072639465</v>
      </c>
      <c r="T1006" s="3" t="n">
        <v>-0.7094525694847107</v>
      </c>
      <c r="U1006" s="3" t="n">
        <v>-0.8879044055938721</v>
      </c>
      <c r="V1006" s="3" t="n">
        <v>-0.6819344758987427</v>
      </c>
      <c r="W1006" s="3" t="n">
        <v>-0.5727144479751587</v>
      </c>
      <c r="X1006" s="3" t="n">
        <v>-1.351782083511353</v>
      </c>
      <c r="Y1006" s="3" t="n">
        <v>-0.7882409691810608</v>
      </c>
      <c r="Z1006" s="3" t="n">
        <v>-1.405057072639465</v>
      </c>
      <c r="AA1006" s="3" t="n">
        <v>-1.405057072639465</v>
      </c>
      <c r="AB1006" s="3" t="n">
        <v>-1.351782083511353</v>
      </c>
      <c r="AC1006" s="3" t="n">
        <v>-2.112139701843262</v>
      </c>
      <c r="AD1006" s="3" t="n">
        <v>-0.8879044055938721</v>
      </c>
      <c r="AE1006" s="3" t="n">
        <v>-0.8879044055938721</v>
      </c>
    </row>
    <row r="1007">
      <c r="A1007" s="3" t="inlineStr">
        <is>
          <t>IRN.distn.dec.ove.mean.3</t>
        </is>
      </c>
      <c r="B1007" s="3" t="inlineStr">
        <is>
          <t>IRN</t>
        </is>
      </c>
      <c r="C1007" s="3" t="n">
        <v>2005</v>
      </c>
      <c r="D1007" s="3" t="inlineStr">
        <is>
          <t>Overall</t>
        </is>
      </c>
      <c r="E1007" s="3" t="inlineStr">
        <is>
          <t>Deciles</t>
        </is>
      </c>
      <c r="F1007" s="3" t="inlineStr">
        <is>
          <t>mean</t>
        </is>
      </c>
      <c r="G1007" s="3" t="n">
        <v>3</v>
      </c>
      <c r="H1007" s="3" t="n">
        <v>-0.7882409691810608</v>
      </c>
      <c r="I1007" s="3" t="n">
        <v>-0.7882409691810608</v>
      </c>
      <c r="J1007" s="3" t="n">
        <v>-0.8879044055938721</v>
      </c>
      <c r="K1007" s="3" t="n">
        <v>-0.8879044055938721</v>
      </c>
      <c r="L1007" s="3" t="n">
        <v>-0.7882409691810608</v>
      </c>
      <c r="M1007" s="3" t="n">
        <v>-0.7882409691810608</v>
      </c>
      <c r="N1007" s="3" t="n">
        <v>-0.7882409691810608</v>
      </c>
      <c r="O1007" s="3" t="n">
        <v>-0.7882409691810608</v>
      </c>
      <c r="P1007" s="3" t="n">
        <v>-0.7882409691810608</v>
      </c>
      <c r="Q1007" s="3" t="n">
        <v>-0.7882409691810608</v>
      </c>
      <c r="R1007" s="3" t="n">
        <v>-0.7734707593917847</v>
      </c>
      <c r="S1007" s="3" t="n">
        <v>-1.405057072639465</v>
      </c>
      <c r="T1007" s="3" t="n">
        <v>-0.7094525694847107</v>
      </c>
      <c r="U1007" s="3" t="n">
        <v>-0.8879044055938721</v>
      </c>
      <c r="V1007" s="3" t="n">
        <v>-0.6819344758987427</v>
      </c>
      <c r="W1007" s="3" t="n">
        <v>-0.5727144479751587</v>
      </c>
      <c r="X1007" s="3" t="n">
        <v>-1.351782083511353</v>
      </c>
      <c r="Y1007" s="3" t="n">
        <v>-0.7882409691810608</v>
      </c>
      <c r="Z1007" s="3" t="n">
        <v>-1.405057072639465</v>
      </c>
      <c r="AA1007" s="3" t="n">
        <v>-1.405057072639465</v>
      </c>
      <c r="AB1007" s="3" t="n">
        <v>-1.351782083511353</v>
      </c>
      <c r="AC1007" s="3" t="n">
        <v>-2.112139701843262</v>
      </c>
      <c r="AD1007" s="3" t="n">
        <v>-0.8879044055938721</v>
      </c>
      <c r="AE1007" s="3" t="n">
        <v>-0.8879044055938721</v>
      </c>
    </row>
    <row r="1008">
      <c r="A1008" s="3" t="inlineStr">
        <is>
          <t>IRN.distn.dec.ove.mean.4</t>
        </is>
      </c>
      <c r="B1008" s="3" t="inlineStr">
        <is>
          <t>IRN</t>
        </is>
      </c>
      <c r="C1008" s="3" t="n">
        <v>2005</v>
      </c>
      <c r="D1008" s="3" t="inlineStr">
        <is>
          <t>Overall</t>
        </is>
      </c>
      <c r="E1008" s="3" t="inlineStr">
        <is>
          <t>Deciles</t>
        </is>
      </c>
      <c r="F1008" s="3" t="inlineStr">
        <is>
          <t>mean</t>
        </is>
      </c>
      <c r="G1008" s="3" t="n">
        <v>4</v>
      </c>
      <c r="H1008" s="3" t="n">
        <v>-0.7820000052452087</v>
      </c>
      <c r="I1008" s="3" t="n">
        <v>-0.7820000052452087</v>
      </c>
      <c r="J1008" s="3" t="n">
        <v>-0.8450000286102295</v>
      </c>
      <c r="K1008" s="3" t="n">
        <v>-0.8450000286102295</v>
      </c>
      <c r="L1008" s="3" t="n">
        <v>-0.7820000052452087</v>
      </c>
      <c r="M1008" s="3" t="n">
        <v>-0.7820000052452087</v>
      </c>
      <c r="N1008" s="3" t="n">
        <v>-0.7820000052452087</v>
      </c>
      <c r="O1008" s="3" t="n">
        <v>-0.7820000052452087</v>
      </c>
      <c r="P1008" s="3" t="n">
        <v>-0.7820000052452087</v>
      </c>
      <c r="Q1008" s="3" t="n">
        <v>-0.7820000052452087</v>
      </c>
      <c r="R1008" s="3" t="n">
        <v>-0.7699999809265137</v>
      </c>
      <c r="S1008" s="3" t="n">
        <v>-0.9570000171661377</v>
      </c>
      <c r="T1008" s="3" t="n">
        <v>-0.7080000042915344</v>
      </c>
      <c r="U1008" s="3" t="n">
        <v>-0.8450000286102295</v>
      </c>
      <c r="V1008" s="3" t="n">
        <v>-0.675000011920929</v>
      </c>
      <c r="W1008" s="3" t="n">
        <v>-0.4819999933242798</v>
      </c>
      <c r="X1008" s="3" t="n">
        <v>-0.9539999961853027</v>
      </c>
      <c r="Y1008" s="3" t="n">
        <v>-0.7820000052452087</v>
      </c>
      <c r="Z1008" s="3" t="n">
        <v>-0.9570000171661377</v>
      </c>
      <c r="AA1008" s="3" t="n">
        <v>-0.9570000171661377</v>
      </c>
      <c r="AB1008" s="3" t="n">
        <v>-0.9539999961853027</v>
      </c>
      <c r="AC1008" s="3" t="n">
        <v>-1.019999980926514</v>
      </c>
      <c r="AD1008" s="3" t="n">
        <v>-0.8450000286102295</v>
      </c>
      <c r="AE1008" s="3" t="n">
        <v>-0.8450000286102295</v>
      </c>
    </row>
    <row r="1009">
      <c r="A1009" s="3" t="inlineStr">
        <is>
          <t>IRN.distn.dec.ove.mean.5</t>
        </is>
      </c>
      <c r="B1009" s="3" t="inlineStr">
        <is>
          <t>IRN</t>
        </is>
      </c>
      <c r="C1009" s="3" t="n">
        <v>2005</v>
      </c>
      <c r="D1009" s="3" t="inlineStr">
        <is>
          <t>Overall</t>
        </is>
      </c>
      <c r="E1009" s="3" t="inlineStr">
        <is>
          <t>Deciles</t>
        </is>
      </c>
      <c r="F1009" s="3" t="inlineStr">
        <is>
          <t>mean</t>
        </is>
      </c>
      <c r="G1009" s="3" t="n">
        <v>5</v>
      </c>
      <c r="H1009" s="3" t="n">
        <v>-0.7820000052452087</v>
      </c>
      <c r="I1009" s="3" t="n">
        <v>-0.7820000052452087</v>
      </c>
      <c r="J1009" s="3" t="n">
        <v>-0.8450000286102295</v>
      </c>
      <c r="K1009" s="3" t="n">
        <v>-0.8450000286102295</v>
      </c>
      <c r="L1009" s="3" t="n">
        <v>-0.7820000052452087</v>
      </c>
      <c r="M1009" s="3" t="n">
        <v>-0.7820000052452087</v>
      </c>
      <c r="N1009" s="3" t="n">
        <v>-0.7820000052452087</v>
      </c>
      <c r="O1009" s="3" t="n">
        <v>-0.7820000052452087</v>
      </c>
      <c r="P1009" s="3" t="n">
        <v>-0.7820000052452087</v>
      </c>
      <c r="Q1009" s="3" t="n">
        <v>-0.7820000052452087</v>
      </c>
      <c r="R1009" s="3" t="n">
        <v>-0.7699999809265137</v>
      </c>
      <c r="S1009" s="3" t="n">
        <v>-0.9570000171661377</v>
      </c>
      <c r="T1009" s="3" t="n">
        <v>-0.7080000042915344</v>
      </c>
      <c r="U1009" s="3" t="n">
        <v>-0.8450000286102295</v>
      </c>
      <c r="V1009" s="3" t="n">
        <v>-0.675000011920929</v>
      </c>
      <c r="W1009" s="3" t="n">
        <v>-0.4819999933242798</v>
      </c>
      <c r="X1009" s="3" t="n">
        <v>-0.9539999961853027</v>
      </c>
      <c r="Y1009" s="3" t="n">
        <v>-0.7820000052452087</v>
      </c>
      <c r="Z1009" s="3" t="n">
        <v>-0.9570000171661377</v>
      </c>
      <c r="AA1009" s="3" t="n">
        <v>-0.9570000171661377</v>
      </c>
      <c r="AB1009" s="3" t="n">
        <v>-0.9539999961853027</v>
      </c>
      <c r="AC1009" s="3" t="n">
        <v>-1.019999980926514</v>
      </c>
      <c r="AD1009" s="3" t="n">
        <v>-0.8450000286102295</v>
      </c>
      <c r="AE1009" s="3" t="n">
        <v>-0.8450000286102295</v>
      </c>
    </row>
    <row r="1010">
      <c r="A1010" s="3" t="inlineStr">
        <is>
          <t>IRN.distn.dec.ove.mean.6</t>
        </is>
      </c>
      <c r="B1010" s="3" t="inlineStr">
        <is>
          <t>IRN</t>
        </is>
      </c>
      <c r="C1010" s="3" t="n">
        <v>2005</v>
      </c>
      <c r="D1010" s="3" t="inlineStr">
        <is>
          <t>Overall</t>
        </is>
      </c>
      <c r="E1010" s="3" t="inlineStr">
        <is>
          <t>Deciles</t>
        </is>
      </c>
      <c r="F1010" s="3" t="inlineStr">
        <is>
          <t>mean</t>
        </is>
      </c>
      <c r="G1010" s="3" t="n">
        <v>6</v>
      </c>
      <c r="H1010" s="3" t="n">
        <v>-0.7820000052452087</v>
      </c>
      <c r="I1010" s="3" t="n">
        <v>-0.7820000052452087</v>
      </c>
      <c r="J1010" s="3" t="n">
        <v>-0.8450000286102295</v>
      </c>
      <c r="K1010" s="3" t="n">
        <v>-0.8450000286102295</v>
      </c>
      <c r="L1010" s="3" t="n">
        <v>-0.7820000052452087</v>
      </c>
      <c r="M1010" s="3" t="n">
        <v>-0.7820000052452087</v>
      </c>
      <c r="N1010" s="3" t="n">
        <v>-0.7820000052452087</v>
      </c>
      <c r="O1010" s="3" t="n">
        <v>-0.7820000052452087</v>
      </c>
      <c r="P1010" s="3" t="n">
        <v>-0.7820000052452087</v>
      </c>
      <c r="Q1010" s="3" t="n">
        <v>-0.7820000052452087</v>
      </c>
      <c r="R1010" s="3" t="n">
        <v>-0.7699999809265137</v>
      </c>
      <c r="S1010" s="3" t="n">
        <v>-0.9570000171661377</v>
      </c>
      <c r="T1010" s="3" t="n">
        <v>-0.7080000042915344</v>
      </c>
      <c r="U1010" s="3" t="n">
        <v>-0.8450000286102295</v>
      </c>
      <c r="V1010" s="3" t="n">
        <v>-0.675000011920929</v>
      </c>
      <c r="W1010" s="3" t="n">
        <v>-0.4819999933242798</v>
      </c>
      <c r="X1010" s="3" t="n">
        <v>-0.9539999961853027</v>
      </c>
      <c r="Y1010" s="3" t="n">
        <v>-0.7820000052452087</v>
      </c>
      <c r="Z1010" s="3" t="n">
        <v>-0.9570000171661377</v>
      </c>
      <c r="AA1010" s="3" t="n">
        <v>-0.9570000171661377</v>
      </c>
      <c r="AB1010" s="3" t="n">
        <v>-0.9539999961853027</v>
      </c>
      <c r="AC1010" s="3" t="n">
        <v>-1.019999980926514</v>
      </c>
      <c r="AD1010" s="3" t="n">
        <v>-0.8450000286102295</v>
      </c>
      <c r="AE1010" s="3" t="n">
        <v>-0.8450000286102295</v>
      </c>
    </row>
    <row r="1011">
      <c r="A1011" s="3" t="inlineStr">
        <is>
          <t>IRN.distn.dec.ove.mean.7</t>
        </is>
      </c>
      <c r="B1011" s="3" t="inlineStr">
        <is>
          <t>IRN</t>
        </is>
      </c>
      <c r="C1011" s="3" t="n">
        <v>2005</v>
      </c>
      <c r="D1011" s="3" t="inlineStr">
        <is>
          <t>Overall</t>
        </is>
      </c>
      <c r="E1011" s="3" t="inlineStr">
        <is>
          <t>Deciles</t>
        </is>
      </c>
      <c r="F1011" s="3" t="inlineStr">
        <is>
          <t>mean</t>
        </is>
      </c>
      <c r="G1011" s="3" t="n">
        <v>7</v>
      </c>
      <c r="H1011" s="3" t="n">
        <v>-0.7820000052452087</v>
      </c>
      <c r="I1011" s="3" t="n">
        <v>-0.7820000052452087</v>
      </c>
      <c r="J1011" s="3" t="n">
        <v>-0.8450000286102295</v>
      </c>
      <c r="K1011" s="3" t="n">
        <v>-0.8450000286102295</v>
      </c>
      <c r="L1011" s="3" t="n">
        <v>-0.7820000052452087</v>
      </c>
      <c r="M1011" s="3" t="n">
        <v>-0.7820000052452087</v>
      </c>
      <c r="N1011" s="3" t="n">
        <v>-0.7820000052452087</v>
      </c>
      <c r="O1011" s="3" t="n">
        <v>-0.7820000052452087</v>
      </c>
      <c r="P1011" s="3" t="n">
        <v>-0.7820000052452087</v>
      </c>
      <c r="Q1011" s="3" t="n">
        <v>-0.7820000052452087</v>
      </c>
      <c r="R1011" s="3" t="n">
        <v>-0.7699999809265137</v>
      </c>
      <c r="S1011" s="3" t="n">
        <v>-0.9570000171661377</v>
      </c>
      <c r="T1011" s="3" t="n">
        <v>-0.7080000042915344</v>
      </c>
      <c r="U1011" s="3" t="n">
        <v>-0.8450000286102295</v>
      </c>
      <c r="V1011" s="3" t="n">
        <v>-0.675000011920929</v>
      </c>
      <c r="W1011" s="3" t="n">
        <v>-0.4819999933242798</v>
      </c>
      <c r="X1011" s="3" t="n">
        <v>-0.9539999961853027</v>
      </c>
      <c r="Y1011" s="3" t="n">
        <v>-0.7820000052452087</v>
      </c>
      <c r="Z1011" s="3" t="n">
        <v>-0.9570000171661377</v>
      </c>
      <c r="AA1011" s="3" t="n">
        <v>-0.9570000171661377</v>
      </c>
      <c r="AB1011" s="3" t="n">
        <v>-0.9539999961853027</v>
      </c>
      <c r="AC1011" s="3" t="n">
        <v>-1.019999980926514</v>
      </c>
      <c r="AD1011" s="3" t="n">
        <v>-0.8450000286102295</v>
      </c>
      <c r="AE1011" s="3" t="n">
        <v>-0.8450000286102295</v>
      </c>
    </row>
    <row r="1012">
      <c r="A1012" s="3" t="inlineStr">
        <is>
          <t>IRN.distn.dec.ove.mean.8</t>
        </is>
      </c>
      <c r="B1012" s="3" t="inlineStr">
        <is>
          <t>IRN</t>
        </is>
      </c>
      <c r="C1012" s="3" t="n">
        <v>2005</v>
      </c>
      <c r="D1012" s="3" t="inlineStr">
        <is>
          <t>Overall</t>
        </is>
      </c>
      <c r="E1012" s="3" t="inlineStr">
        <is>
          <t>Deciles</t>
        </is>
      </c>
      <c r="F1012" s="3" t="inlineStr">
        <is>
          <t>mean</t>
        </is>
      </c>
      <c r="G1012" s="3" t="n">
        <v>8</v>
      </c>
      <c r="H1012" s="3" t="n">
        <v>-0.782376766204834</v>
      </c>
      <c r="I1012" s="3" t="n">
        <v>-0.782376766204834</v>
      </c>
      <c r="J1012" s="3" t="n">
        <v>-0.8472794890403748</v>
      </c>
      <c r="K1012" s="3" t="n">
        <v>-0.8472794890403748</v>
      </c>
      <c r="L1012" s="3" t="n">
        <v>-0.782376766204834</v>
      </c>
      <c r="M1012" s="3" t="n">
        <v>-0.782376766204834</v>
      </c>
      <c r="N1012" s="3" t="n">
        <v>-0.782376766204834</v>
      </c>
      <c r="O1012" s="3" t="n">
        <v>-0.782376766204834</v>
      </c>
      <c r="P1012" s="3" t="n">
        <v>-0.782376766204834</v>
      </c>
      <c r="Q1012" s="3" t="n">
        <v>-0.782376766204834</v>
      </c>
      <c r="R1012" s="3" t="n">
        <v>-0.7702532410621643</v>
      </c>
      <c r="S1012" s="3" t="n">
        <v>-0.9659050107002258</v>
      </c>
      <c r="T1012" s="3" t="n">
        <v>-0.7080408334732056</v>
      </c>
      <c r="U1012" s="3" t="n">
        <v>-0.8472794890403748</v>
      </c>
      <c r="V1012" s="3" t="n">
        <v>-0.6756978034973145</v>
      </c>
      <c r="W1012" s="3" t="n">
        <v>-0.4949073791503906</v>
      </c>
      <c r="X1012" s="3" t="n">
        <v>-0.9626928567886353</v>
      </c>
      <c r="Y1012" s="3" t="n">
        <v>-0.782376766204834</v>
      </c>
      <c r="Z1012" s="3" t="n">
        <v>-0.9659050107002258</v>
      </c>
      <c r="AA1012" s="3" t="n">
        <v>-0.9659050107002258</v>
      </c>
      <c r="AB1012" s="3" t="n">
        <v>-0.9626928567886353</v>
      </c>
      <c r="AC1012" s="3" t="n">
        <v>-1.034546613693237</v>
      </c>
      <c r="AD1012" s="3" t="n">
        <v>-0.8472794890403748</v>
      </c>
      <c r="AE1012" s="3" t="n">
        <v>-0.8472794890403748</v>
      </c>
    </row>
    <row r="1013">
      <c r="A1013" s="3" t="inlineStr">
        <is>
          <t>IRN.distn.dec.ove.mean.9</t>
        </is>
      </c>
      <c r="B1013" s="3" t="inlineStr">
        <is>
          <t>IRN</t>
        </is>
      </c>
      <c r="C1013" s="3" t="n">
        <v>2005</v>
      </c>
      <c r="D1013" s="3" t="inlineStr">
        <is>
          <t>Overall</t>
        </is>
      </c>
      <c r="E1013" s="3" t="inlineStr">
        <is>
          <t>Deciles</t>
        </is>
      </c>
      <c r="F1013" s="3" t="inlineStr">
        <is>
          <t>mean</t>
        </is>
      </c>
      <c r="G1013" s="3" t="n">
        <v>9</v>
      </c>
      <c r="H1013" s="3" t="n">
        <v>-0.782376766204834</v>
      </c>
      <c r="I1013" s="3" t="n">
        <v>-0.782376766204834</v>
      </c>
      <c r="J1013" s="3" t="n">
        <v>-0.8472794890403748</v>
      </c>
      <c r="K1013" s="3" t="n">
        <v>-0.8472794890403748</v>
      </c>
      <c r="L1013" s="3" t="n">
        <v>-0.782376766204834</v>
      </c>
      <c r="M1013" s="3" t="n">
        <v>-0.782376766204834</v>
      </c>
      <c r="N1013" s="3" t="n">
        <v>-0.782376766204834</v>
      </c>
      <c r="O1013" s="3" t="n">
        <v>-0.782376766204834</v>
      </c>
      <c r="P1013" s="3" t="n">
        <v>-0.782376766204834</v>
      </c>
      <c r="Q1013" s="3" t="n">
        <v>-0.782376766204834</v>
      </c>
      <c r="R1013" s="3" t="n">
        <v>-0.7702532410621643</v>
      </c>
      <c r="S1013" s="3" t="n">
        <v>-0.9659050107002258</v>
      </c>
      <c r="T1013" s="3" t="n">
        <v>-0.7080408334732056</v>
      </c>
      <c r="U1013" s="3" t="n">
        <v>-0.8472794890403748</v>
      </c>
      <c r="V1013" s="3" t="n">
        <v>-0.6756978034973145</v>
      </c>
      <c r="W1013" s="3" t="n">
        <v>-0.4949073791503906</v>
      </c>
      <c r="X1013" s="3" t="n">
        <v>-0.9626928567886353</v>
      </c>
      <c r="Y1013" s="3" t="n">
        <v>-0.782376766204834</v>
      </c>
      <c r="Z1013" s="3" t="n">
        <v>-0.9659050107002258</v>
      </c>
      <c r="AA1013" s="3" t="n">
        <v>-0.9659050107002258</v>
      </c>
      <c r="AB1013" s="3" t="n">
        <v>-0.9626928567886353</v>
      </c>
      <c r="AC1013" s="3" t="n">
        <v>-1.034546613693237</v>
      </c>
      <c r="AD1013" s="3" t="n">
        <v>-0.8472794890403748</v>
      </c>
      <c r="AE1013" s="3" t="n">
        <v>-0.8472794890403748</v>
      </c>
    </row>
    <row r="1014">
      <c r="A1014" s="3" t="inlineStr">
        <is>
          <t>IRN.distn.dec.ove.mean.10</t>
        </is>
      </c>
      <c r="B1014" s="3" t="inlineStr">
        <is>
          <t>IRN</t>
        </is>
      </c>
      <c r="C1014" s="3" t="n">
        <v>2005</v>
      </c>
      <c r="D1014" s="3" t="inlineStr">
        <is>
          <t>Overall</t>
        </is>
      </c>
      <c r="E1014" s="3" t="inlineStr">
        <is>
          <t>Deciles</t>
        </is>
      </c>
      <c r="F1014" s="3" t="inlineStr">
        <is>
          <t>mean</t>
        </is>
      </c>
      <c r="G1014" s="3" t="n">
        <v>10</v>
      </c>
      <c r="H1014" s="3" t="n">
        <v>-0.782376766204834</v>
      </c>
      <c r="I1014" s="3" t="n">
        <v>-0.782376766204834</v>
      </c>
      <c r="J1014" s="3" t="n">
        <v>-0.8472794890403748</v>
      </c>
      <c r="K1014" s="3" t="n">
        <v>-0.8472794890403748</v>
      </c>
      <c r="L1014" s="3" t="n">
        <v>-0.782376766204834</v>
      </c>
      <c r="M1014" s="3" t="n">
        <v>-0.782376766204834</v>
      </c>
      <c r="N1014" s="3" t="n">
        <v>-0.782376766204834</v>
      </c>
      <c r="O1014" s="3" t="n">
        <v>-0.782376766204834</v>
      </c>
      <c r="P1014" s="3" t="n">
        <v>-0.782376766204834</v>
      </c>
      <c r="Q1014" s="3" t="n">
        <v>-0.782376766204834</v>
      </c>
      <c r="R1014" s="3" t="n">
        <v>-0.7702532410621643</v>
      </c>
      <c r="S1014" s="3" t="n">
        <v>-0.9659050107002258</v>
      </c>
      <c r="T1014" s="3" t="n">
        <v>-0.7080408334732056</v>
      </c>
      <c r="U1014" s="3" t="n">
        <v>-0.8472794890403748</v>
      </c>
      <c r="V1014" s="3" t="n">
        <v>-0.6756978034973145</v>
      </c>
      <c r="W1014" s="3" t="n">
        <v>-0.4949073791503906</v>
      </c>
      <c r="X1014" s="3" t="n">
        <v>-0.9626928567886353</v>
      </c>
      <c r="Y1014" s="3" t="n">
        <v>-0.782376766204834</v>
      </c>
      <c r="Z1014" s="3" t="n">
        <v>-0.9659050107002258</v>
      </c>
      <c r="AA1014" s="3" t="n">
        <v>-0.9659050107002258</v>
      </c>
      <c r="AB1014" s="3" t="n">
        <v>-0.9626928567886353</v>
      </c>
      <c r="AC1014" s="3" t="n">
        <v>-1.034546613693237</v>
      </c>
      <c r="AD1014" s="3" t="n">
        <v>-0.8472794890403748</v>
      </c>
      <c r="AE1014" s="3" t="n">
        <v>-0.8472794890403748</v>
      </c>
    </row>
    <row r="1015">
      <c r="A1015" s="3" t="inlineStr">
        <is>
          <t>IRN.distn.bkt.ove.mean.9999</t>
        </is>
      </c>
      <c r="B1015" s="3" t="inlineStr">
        <is>
          <t>IRN</t>
        </is>
      </c>
      <c r="C1015" s="3" t="n">
        <v>2005</v>
      </c>
      <c r="D1015" s="3" t="inlineStr">
        <is>
          <t>Overall</t>
        </is>
      </c>
      <c r="E1015" s="3" t="inlineStr">
        <is>
          <t>Basket</t>
        </is>
      </c>
      <c r="F1015" s="3" t="inlineStr">
        <is>
          <t>mean</t>
        </is>
      </c>
      <c r="G1015" s="3" t="n">
        <v>9999</v>
      </c>
      <c r="H1015" s="3" t="n">
        <v>-0.7839853167533875</v>
      </c>
      <c r="I1015" s="3" t="n">
        <v>-0.7839853167533875</v>
      </c>
      <c r="J1015" s="3" t="n">
        <v>-0.8585551977157593</v>
      </c>
      <c r="K1015" s="3" t="n">
        <v>-0.8585551977157593</v>
      </c>
      <c r="L1015" s="3" t="n">
        <v>-0.7839853167533875</v>
      </c>
      <c r="M1015" s="3" t="n">
        <v>-0.7839853167533875</v>
      </c>
      <c r="N1015" s="3" t="n">
        <v>-0.7839853167533875</v>
      </c>
      <c r="O1015" s="3" t="n">
        <v>-0.7839853167533875</v>
      </c>
      <c r="P1015" s="3" t="n">
        <v>-0.7839853167533875</v>
      </c>
      <c r="Q1015" s="3" t="n">
        <v>-0.7839853167533875</v>
      </c>
      <c r="R1015" s="3" t="n">
        <v>-0.7711172103881836</v>
      </c>
      <c r="S1015" s="3" t="n">
        <v>-1.094088673591614</v>
      </c>
      <c r="T1015" s="3" t="n">
        <v>-0.708448052406311</v>
      </c>
      <c r="U1015" s="3" t="n">
        <v>-0.8585551977157593</v>
      </c>
      <c r="V1015" s="3" t="n">
        <v>-0.6772896647453308</v>
      </c>
      <c r="W1015" s="3" t="n">
        <v>-0.5130865573883057</v>
      </c>
      <c r="X1015" s="3" t="n">
        <v>-1.075942516326904</v>
      </c>
      <c r="Y1015" s="3" t="n">
        <v>-0.7839853167533875</v>
      </c>
      <c r="Z1015" s="3" t="n">
        <v>-1.094088673591614</v>
      </c>
      <c r="AA1015" s="3" t="n">
        <v>-1.094088673591614</v>
      </c>
      <c r="AB1015" s="3" t="n">
        <v>-1.075942516326904</v>
      </c>
      <c r="AC1015" s="3" t="n">
        <v>-1.352005839347839</v>
      </c>
      <c r="AD1015" s="3" t="n">
        <v>-0.8585551977157593</v>
      </c>
      <c r="AE1015" s="3" t="n">
        <v>-0.8585551977157593</v>
      </c>
    </row>
    <row r="1016">
      <c r="A1016" s="3" t="inlineStr">
        <is>
          <t>IRQ.distn.dec.ove.mean.1</t>
        </is>
      </c>
      <c r="B1016" s="3" t="inlineStr">
        <is>
          <t>IRQ</t>
        </is>
      </c>
      <c r="C1016" s="3" t="n">
        <v>2005</v>
      </c>
      <c r="D1016" s="3" t="inlineStr">
        <is>
          <t>Overall</t>
        </is>
      </c>
      <c r="E1016" s="3" t="inlineStr">
        <is>
          <t>Deciles</t>
        </is>
      </c>
      <c r="F1016" s="3" t="inlineStr">
        <is>
          <t>mean</t>
        </is>
      </c>
      <c r="G1016" s="3" t="n">
        <v>1</v>
      </c>
      <c r="H1016" s="3" t="n">
        <v>-0.7932808399200439</v>
      </c>
      <c r="I1016" s="3" t="n">
        <v>-0.7932808399200439</v>
      </c>
      <c r="J1016" s="3" t="n">
        <v>-0.9257323145866394</v>
      </c>
      <c r="K1016" s="3" t="n">
        <v>-0.9257323145866394</v>
      </c>
      <c r="L1016" s="3" t="n">
        <v>-0.7932808399200439</v>
      </c>
      <c r="M1016" s="3" t="n">
        <v>-0.7932808399200439</v>
      </c>
      <c r="N1016" s="3" t="n">
        <v>-0.7932808399200439</v>
      </c>
      <c r="O1016" s="3" t="n">
        <v>-0.7932808399200439</v>
      </c>
      <c r="P1016" s="3" t="n">
        <v>-0.7932808399200439</v>
      </c>
      <c r="Q1016" s="3" t="n">
        <v>-0.7932808399200439</v>
      </c>
      <c r="R1016" s="3" t="n">
        <v>-0.7764842510223389</v>
      </c>
      <c r="S1016" s="3" t="n">
        <v>-1.7177814245224</v>
      </c>
      <c r="T1016" s="3" t="n">
        <v>-0.7104546427726746</v>
      </c>
      <c r="U1016" s="3" t="n">
        <v>-0.9257323145866394</v>
      </c>
      <c r="V1016" s="3" t="n">
        <v>-0.6890063881874084</v>
      </c>
      <c r="W1016" s="3" t="n">
        <v>-0.6784646511077881</v>
      </c>
      <c r="X1016" s="3" t="n">
        <v>-1.646510243415833</v>
      </c>
      <c r="Y1016" s="3" t="n">
        <v>-0.7932808399200439</v>
      </c>
      <c r="Z1016" s="3" t="n">
        <v>-1.7177814245224</v>
      </c>
      <c r="AA1016" s="3" t="n">
        <v>-1.7177814245224</v>
      </c>
      <c r="AB1016" s="3" t="n">
        <v>-1.646510243415833</v>
      </c>
      <c r="AC1016" s="3" t="n">
        <v>-3.116441488265991</v>
      </c>
      <c r="AD1016" s="3" t="n">
        <v>-0.9257323145866394</v>
      </c>
      <c r="AE1016" s="3" t="n">
        <v>-0.9257323145866394</v>
      </c>
    </row>
    <row r="1017">
      <c r="A1017" s="3" t="inlineStr">
        <is>
          <t>IRQ.distn.dec.ove.mean.2</t>
        </is>
      </c>
      <c r="B1017" s="3" t="inlineStr">
        <is>
          <t>IRQ</t>
        </is>
      </c>
      <c r="C1017" s="3" t="n">
        <v>2005</v>
      </c>
      <c r="D1017" s="3" t="inlineStr">
        <is>
          <t>Overall</t>
        </is>
      </c>
      <c r="E1017" s="3" t="inlineStr">
        <is>
          <t>Deciles</t>
        </is>
      </c>
      <c r="F1017" s="3" t="inlineStr">
        <is>
          <t>mean</t>
        </is>
      </c>
      <c r="G1017" s="3" t="n">
        <v>2</v>
      </c>
      <c r="H1017" s="3" t="n">
        <v>-0.7932808399200439</v>
      </c>
      <c r="I1017" s="3" t="n">
        <v>-0.7932808399200439</v>
      </c>
      <c r="J1017" s="3" t="n">
        <v>-0.9257323145866394</v>
      </c>
      <c r="K1017" s="3" t="n">
        <v>-0.9257323145866394</v>
      </c>
      <c r="L1017" s="3" t="n">
        <v>-0.7932808399200439</v>
      </c>
      <c r="M1017" s="3" t="n">
        <v>-0.7932808399200439</v>
      </c>
      <c r="N1017" s="3" t="n">
        <v>-0.7932808399200439</v>
      </c>
      <c r="O1017" s="3" t="n">
        <v>-0.7932808399200439</v>
      </c>
      <c r="P1017" s="3" t="n">
        <v>-0.7932808399200439</v>
      </c>
      <c r="Q1017" s="3" t="n">
        <v>-0.7932808399200439</v>
      </c>
      <c r="R1017" s="3" t="n">
        <v>-0.7764842510223389</v>
      </c>
      <c r="S1017" s="3" t="n">
        <v>-1.7177814245224</v>
      </c>
      <c r="T1017" s="3" t="n">
        <v>-0.7104546427726746</v>
      </c>
      <c r="U1017" s="3" t="n">
        <v>-0.9257323145866394</v>
      </c>
      <c r="V1017" s="3" t="n">
        <v>-0.6890063881874084</v>
      </c>
      <c r="W1017" s="3" t="n">
        <v>-0.6784646511077881</v>
      </c>
      <c r="X1017" s="3" t="n">
        <v>-1.646510243415833</v>
      </c>
      <c r="Y1017" s="3" t="n">
        <v>-0.7932808399200439</v>
      </c>
      <c r="Z1017" s="3" t="n">
        <v>-1.7177814245224</v>
      </c>
      <c r="AA1017" s="3" t="n">
        <v>-1.7177814245224</v>
      </c>
      <c r="AB1017" s="3" t="n">
        <v>-1.646510243415833</v>
      </c>
      <c r="AC1017" s="3" t="n">
        <v>-3.116441488265991</v>
      </c>
      <c r="AD1017" s="3" t="n">
        <v>-0.9257323145866394</v>
      </c>
      <c r="AE1017" s="3" t="n">
        <v>-0.9257323145866394</v>
      </c>
    </row>
    <row r="1018">
      <c r="A1018" s="3" t="inlineStr">
        <is>
          <t>IRQ.distn.dec.ove.mean.3</t>
        </is>
      </c>
      <c r="B1018" s="3" t="inlineStr">
        <is>
          <t>IRQ</t>
        </is>
      </c>
      <c r="C1018" s="3" t="n">
        <v>2005</v>
      </c>
      <c r="D1018" s="3" t="inlineStr">
        <is>
          <t>Overall</t>
        </is>
      </c>
      <c r="E1018" s="3" t="inlineStr">
        <is>
          <t>Deciles</t>
        </is>
      </c>
      <c r="F1018" s="3" t="inlineStr">
        <is>
          <t>mean</t>
        </is>
      </c>
      <c r="G1018" s="3" t="n">
        <v>3</v>
      </c>
      <c r="H1018" s="3" t="n">
        <v>-0.7932808399200439</v>
      </c>
      <c r="I1018" s="3" t="n">
        <v>-0.7932808399200439</v>
      </c>
      <c r="J1018" s="3" t="n">
        <v>-0.9257323145866394</v>
      </c>
      <c r="K1018" s="3" t="n">
        <v>-0.9257323145866394</v>
      </c>
      <c r="L1018" s="3" t="n">
        <v>-0.7932808399200439</v>
      </c>
      <c r="M1018" s="3" t="n">
        <v>-0.7932808399200439</v>
      </c>
      <c r="N1018" s="3" t="n">
        <v>-0.7932808399200439</v>
      </c>
      <c r="O1018" s="3" t="n">
        <v>-0.7932808399200439</v>
      </c>
      <c r="P1018" s="3" t="n">
        <v>-0.7932808399200439</v>
      </c>
      <c r="Q1018" s="3" t="n">
        <v>-0.7932808399200439</v>
      </c>
      <c r="R1018" s="3" t="n">
        <v>-0.7764842510223389</v>
      </c>
      <c r="S1018" s="3" t="n">
        <v>-1.7177814245224</v>
      </c>
      <c r="T1018" s="3" t="n">
        <v>-0.7104546427726746</v>
      </c>
      <c r="U1018" s="3" t="n">
        <v>-0.9257323145866394</v>
      </c>
      <c r="V1018" s="3" t="n">
        <v>-0.6890063881874084</v>
      </c>
      <c r="W1018" s="3" t="n">
        <v>-0.6784646511077881</v>
      </c>
      <c r="X1018" s="3" t="n">
        <v>-1.646510243415833</v>
      </c>
      <c r="Y1018" s="3" t="n">
        <v>-0.7932808399200439</v>
      </c>
      <c r="Z1018" s="3" t="n">
        <v>-1.7177814245224</v>
      </c>
      <c r="AA1018" s="3" t="n">
        <v>-1.7177814245224</v>
      </c>
      <c r="AB1018" s="3" t="n">
        <v>-1.646510243415833</v>
      </c>
      <c r="AC1018" s="3" t="n">
        <v>-3.116441488265991</v>
      </c>
      <c r="AD1018" s="3" t="n">
        <v>-0.9257323145866394</v>
      </c>
      <c r="AE1018" s="3" t="n">
        <v>-0.9257323145866394</v>
      </c>
    </row>
    <row r="1019">
      <c r="A1019" s="3" t="inlineStr">
        <is>
          <t>IRQ.distn.dec.ove.mean.4</t>
        </is>
      </c>
      <c r="B1019" s="3" t="inlineStr">
        <is>
          <t>IRQ</t>
        </is>
      </c>
      <c r="C1019" s="3" t="n">
        <v>2005</v>
      </c>
      <c r="D1019" s="3" t="inlineStr">
        <is>
          <t>Overall</t>
        </is>
      </c>
      <c r="E1019" s="3" t="inlineStr">
        <is>
          <t>Deciles</t>
        </is>
      </c>
      <c r="F1019" s="3" t="inlineStr">
        <is>
          <t>mean</t>
        </is>
      </c>
      <c r="G1019" s="3" t="n">
        <v>4</v>
      </c>
      <c r="H1019" s="3" t="n">
        <v>-0.7870000004768372</v>
      </c>
      <c r="I1019" s="3" t="n">
        <v>-0.7870000004768372</v>
      </c>
      <c r="J1019" s="3" t="n">
        <v>-0.8809999823570251</v>
      </c>
      <c r="K1019" s="3" t="n">
        <v>-0.8809999823570251</v>
      </c>
      <c r="L1019" s="3" t="n">
        <v>-0.7870000004768372</v>
      </c>
      <c r="M1019" s="3" t="n">
        <v>-0.7870000004768372</v>
      </c>
      <c r="N1019" s="3" t="n">
        <v>-0.7870000004768372</v>
      </c>
      <c r="O1019" s="3" t="n">
        <v>-0.7870000004768372</v>
      </c>
      <c r="P1019" s="3" t="n">
        <v>-0.7870000004768372</v>
      </c>
      <c r="Q1019" s="3" t="n">
        <v>-0.7870000004768372</v>
      </c>
      <c r="R1019" s="3" t="n">
        <v>-0.7730000019073486</v>
      </c>
      <c r="S1019" s="3" t="n">
        <v>-1.169999957084656</v>
      </c>
      <c r="T1019" s="3" t="n">
        <v>-0.7089999914169312</v>
      </c>
      <c r="U1019" s="3" t="n">
        <v>-0.8809999823570251</v>
      </c>
      <c r="V1019" s="3" t="n">
        <v>-0.6819999814033508</v>
      </c>
      <c r="W1019" s="3" t="n">
        <v>-0.5709999799728394</v>
      </c>
      <c r="X1019" s="3" t="n">
        <v>-1.161999940872192</v>
      </c>
      <c r="Y1019" s="3" t="n">
        <v>-0.7870000004768372</v>
      </c>
      <c r="Z1019" s="3" t="n">
        <v>-1.169999957084656</v>
      </c>
      <c r="AA1019" s="3" t="n">
        <v>-1.169999957084656</v>
      </c>
      <c r="AB1019" s="3" t="n">
        <v>-1.161999940872192</v>
      </c>
      <c r="AC1019" s="3" t="n">
        <v>-1.504999995231628</v>
      </c>
      <c r="AD1019" s="3" t="n">
        <v>-0.8809999823570251</v>
      </c>
      <c r="AE1019" s="3" t="n">
        <v>-0.8809999823570251</v>
      </c>
    </row>
    <row r="1020">
      <c r="A1020" s="3" t="inlineStr">
        <is>
          <t>IRQ.distn.dec.ove.mean.5</t>
        </is>
      </c>
      <c r="B1020" s="3" t="inlineStr">
        <is>
          <t>IRQ</t>
        </is>
      </c>
      <c r="C1020" s="3" t="n">
        <v>2005</v>
      </c>
      <c r="D1020" s="3" t="inlineStr">
        <is>
          <t>Overall</t>
        </is>
      </c>
      <c r="E1020" s="3" t="inlineStr">
        <is>
          <t>Deciles</t>
        </is>
      </c>
      <c r="F1020" s="3" t="inlineStr">
        <is>
          <t>mean</t>
        </is>
      </c>
      <c r="G1020" s="3" t="n">
        <v>5</v>
      </c>
      <c r="H1020" s="3" t="n">
        <v>-0.7870000004768372</v>
      </c>
      <c r="I1020" s="3" t="n">
        <v>-0.7870000004768372</v>
      </c>
      <c r="J1020" s="3" t="n">
        <v>-0.8809999823570251</v>
      </c>
      <c r="K1020" s="3" t="n">
        <v>-0.8809999823570251</v>
      </c>
      <c r="L1020" s="3" t="n">
        <v>-0.7870000004768372</v>
      </c>
      <c r="M1020" s="3" t="n">
        <v>-0.7870000004768372</v>
      </c>
      <c r="N1020" s="3" t="n">
        <v>-0.7870000004768372</v>
      </c>
      <c r="O1020" s="3" t="n">
        <v>-0.7870000004768372</v>
      </c>
      <c r="P1020" s="3" t="n">
        <v>-0.7870000004768372</v>
      </c>
      <c r="Q1020" s="3" t="n">
        <v>-0.7870000004768372</v>
      </c>
      <c r="R1020" s="3" t="n">
        <v>-0.7730000019073486</v>
      </c>
      <c r="S1020" s="3" t="n">
        <v>-1.169999957084656</v>
      </c>
      <c r="T1020" s="3" t="n">
        <v>-0.7089999914169312</v>
      </c>
      <c r="U1020" s="3" t="n">
        <v>-0.8809999823570251</v>
      </c>
      <c r="V1020" s="3" t="n">
        <v>-0.6819999814033508</v>
      </c>
      <c r="W1020" s="3" t="n">
        <v>-0.5709999799728394</v>
      </c>
      <c r="X1020" s="3" t="n">
        <v>-1.161999940872192</v>
      </c>
      <c r="Y1020" s="3" t="n">
        <v>-0.7870000004768372</v>
      </c>
      <c r="Z1020" s="3" t="n">
        <v>-1.169999957084656</v>
      </c>
      <c r="AA1020" s="3" t="n">
        <v>-1.169999957084656</v>
      </c>
      <c r="AB1020" s="3" t="n">
        <v>-1.161999940872192</v>
      </c>
      <c r="AC1020" s="3" t="n">
        <v>-1.504999995231628</v>
      </c>
      <c r="AD1020" s="3" t="n">
        <v>-0.8809999823570251</v>
      </c>
      <c r="AE1020" s="3" t="n">
        <v>-0.8809999823570251</v>
      </c>
    </row>
    <row r="1021">
      <c r="A1021" s="3" t="inlineStr">
        <is>
          <t>IRQ.distn.dec.ove.mean.6</t>
        </is>
      </c>
      <c r="B1021" s="3" t="inlineStr">
        <is>
          <t>IRQ</t>
        </is>
      </c>
      <c r="C1021" s="3" t="n">
        <v>2005</v>
      </c>
      <c r="D1021" s="3" t="inlineStr">
        <is>
          <t>Overall</t>
        </is>
      </c>
      <c r="E1021" s="3" t="inlineStr">
        <is>
          <t>Deciles</t>
        </is>
      </c>
      <c r="F1021" s="3" t="inlineStr">
        <is>
          <t>mean</t>
        </is>
      </c>
      <c r="G1021" s="3" t="n">
        <v>6</v>
      </c>
      <c r="H1021" s="3" t="n">
        <v>-0.7870000004768372</v>
      </c>
      <c r="I1021" s="3" t="n">
        <v>-0.7870000004768372</v>
      </c>
      <c r="J1021" s="3" t="n">
        <v>-0.8809999823570251</v>
      </c>
      <c r="K1021" s="3" t="n">
        <v>-0.8809999823570251</v>
      </c>
      <c r="L1021" s="3" t="n">
        <v>-0.7870000004768372</v>
      </c>
      <c r="M1021" s="3" t="n">
        <v>-0.7870000004768372</v>
      </c>
      <c r="N1021" s="3" t="n">
        <v>-0.7870000004768372</v>
      </c>
      <c r="O1021" s="3" t="n">
        <v>-0.7870000004768372</v>
      </c>
      <c r="P1021" s="3" t="n">
        <v>-0.7870000004768372</v>
      </c>
      <c r="Q1021" s="3" t="n">
        <v>-0.7870000004768372</v>
      </c>
      <c r="R1021" s="3" t="n">
        <v>-0.7730000019073486</v>
      </c>
      <c r="S1021" s="3" t="n">
        <v>-1.169999957084656</v>
      </c>
      <c r="T1021" s="3" t="n">
        <v>-0.7089999914169312</v>
      </c>
      <c r="U1021" s="3" t="n">
        <v>-0.8809999823570251</v>
      </c>
      <c r="V1021" s="3" t="n">
        <v>-0.6819999814033508</v>
      </c>
      <c r="W1021" s="3" t="n">
        <v>-0.5709999799728394</v>
      </c>
      <c r="X1021" s="3" t="n">
        <v>-1.161999940872192</v>
      </c>
      <c r="Y1021" s="3" t="n">
        <v>-0.7870000004768372</v>
      </c>
      <c r="Z1021" s="3" t="n">
        <v>-1.169999957084656</v>
      </c>
      <c r="AA1021" s="3" t="n">
        <v>-1.169999957084656</v>
      </c>
      <c r="AB1021" s="3" t="n">
        <v>-1.161999940872192</v>
      </c>
      <c r="AC1021" s="3" t="n">
        <v>-1.504999995231628</v>
      </c>
      <c r="AD1021" s="3" t="n">
        <v>-0.8809999823570251</v>
      </c>
      <c r="AE1021" s="3" t="n">
        <v>-0.8809999823570251</v>
      </c>
    </row>
    <row r="1022">
      <c r="A1022" s="3" t="inlineStr">
        <is>
          <t>IRQ.distn.dec.ove.mean.7</t>
        </is>
      </c>
      <c r="B1022" s="3" t="inlineStr">
        <is>
          <t>IRQ</t>
        </is>
      </c>
      <c r="C1022" s="3" t="n">
        <v>2005</v>
      </c>
      <c r="D1022" s="3" t="inlineStr">
        <is>
          <t>Overall</t>
        </is>
      </c>
      <c r="E1022" s="3" t="inlineStr">
        <is>
          <t>Deciles</t>
        </is>
      </c>
      <c r="F1022" s="3" t="inlineStr">
        <is>
          <t>mean</t>
        </is>
      </c>
      <c r="G1022" s="3" t="n">
        <v>7</v>
      </c>
      <c r="H1022" s="3" t="n">
        <v>-0.7870000004768372</v>
      </c>
      <c r="I1022" s="3" t="n">
        <v>-0.7870000004768372</v>
      </c>
      <c r="J1022" s="3" t="n">
        <v>-0.8809999823570251</v>
      </c>
      <c r="K1022" s="3" t="n">
        <v>-0.8809999823570251</v>
      </c>
      <c r="L1022" s="3" t="n">
        <v>-0.7870000004768372</v>
      </c>
      <c r="M1022" s="3" t="n">
        <v>-0.7870000004768372</v>
      </c>
      <c r="N1022" s="3" t="n">
        <v>-0.7870000004768372</v>
      </c>
      <c r="O1022" s="3" t="n">
        <v>-0.7870000004768372</v>
      </c>
      <c r="P1022" s="3" t="n">
        <v>-0.7870000004768372</v>
      </c>
      <c r="Q1022" s="3" t="n">
        <v>-0.7870000004768372</v>
      </c>
      <c r="R1022" s="3" t="n">
        <v>-0.7730000019073486</v>
      </c>
      <c r="S1022" s="3" t="n">
        <v>-1.169999957084656</v>
      </c>
      <c r="T1022" s="3" t="n">
        <v>-0.7089999914169312</v>
      </c>
      <c r="U1022" s="3" t="n">
        <v>-0.8809999823570251</v>
      </c>
      <c r="V1022" s="3" t="n">
        <v>-0.6819999814033508</v>
      </c>
      <c r="W1022" s="3" t="n">
        <v>-0.5709999799728394</v>
      </c>
      <c r="X1022" s="3" t="n">
        <v>-1.161999940872192</v>
      </c>
      <c r="Y1022" s="3" t="n">
        <v>-0.7870000004768372</v>
      </c>
      <c r="Z1022" s="3" t="n">
        <v>-1.169999957084656</v>
      </c>
      <c r="AA1022" s="3" t="n">
        <v>-1.169999957084656</v>
      </c>
      <c r="AB1022" s="3" t="n">
        <v>-1.161999940872192</v>
      </c>
      <c r="AC1022" s="3" t="n">
        <v>-1.504999995231628</v>
      </c>
      <c r="AD1022" s="3" t="n">
        <v>-0.8809999823570251</v>
      </c>
      <c r="AE1022" s="3" t="n">
        <v>-0.8809999823570251</v>
      </c>
    </row>
    <row r="1023">
      <c r="A1023" s="3" t="inlineStr">
        <is>
          <t>IRQ.distn.dec.ove.mean.8</t>
        </is>
      </c>
      <c r="B1023" s="3" t="inlineStr">
        <is>
          <t>IRQ</t>
        </is>
      </c>
      <c r="C1023" s="3" t="n">
        <v>2005</v>
      </c>
      <c r="D1023" s="3" t="inlineStr">
        <is>
          <t>Overall</t>
        </is>
      </c>
      <c r="E1023" s="3" t="inlineStr">
        <is>
          <t>Deciles</t>
        </is>
      </c>
      <c r="F1023" s="3" t="inlineStr">
        <is>
          <t>mean</t>
        </is>
      </c>
      <c r="G1023" s="3" t="n">
        <v>8</v>
      </c>
      <c r="H1023" s="3" t="n">
        <v>-0.7873791456222534</v>
      </c>
      <c r="I1023" s="3" t="n">
        <v>-0.7873791456222534</v>
      </c>
      <c r="J1023" s="3" t="n">
        <v>-0.8833765983581543</v>
      </c>
      <c r="K1023" s="3" t="n">
        <v>-0.8833765983581543</v>
      </c>
      <c r="L1023" s="3" t="n">
        <v>-0.7873791456222534</v>
      </c>
      <c r="M1023" s="3" t="n">
        <v>-0.7873791456222534</v>
      </c>
      <c r="N1023" s="3" t="n">
        <v>-0.7873791456222534</v>
      </c>
      <c r="O1023" s="3" t="n">
        <v>-0.7873791456222534</v>
      </c>
      <c r="P1023" s="3" t="n">
        <v>-0.7873791456222534</v>
      </c>
      <c r="Q1023" s="3" t="n">
        <v>-0.7873791456222534</v>
      </c>
      <c r="R1023" s="3" t="n">
        <v>-0.7732542157173157</v>
      </c>
      <c r="S1023" s="3" t="n">
        <v>-1.18088698387146</v>
      </c>
      <c r="T1023" s="3" t="n">
        <v>-0.7090408802032471</v>
      </c>
      <c r="U1023" s="3" t="n">
        <v>-0.8833765983581543</v>
      </c>
      <c r="V1023" s="3" t="n">
        <v>-0.6827050447463989</v>
      </c>
      <c r="W1023" s="3" t="n">
        <v>-0.586290717124939</v>
      </c>
      <c r="X1023" s="3" t="n">
        <v>-1.172588109970093</v>
      </c>
      <c r="Y1023" s="3" t="n">
        <v>-0.7873791456222534</v>
      </c>
      <c r="Z1023" s="3" t="n">
        <v>-1.18088698387146</v>
      </c>
      <c r="AA1023" s="3" t="n">
        <v>-1.18088698387146</v>
      </c>
      <c r="AB1023" s="3" t="n">
        <v>-1.172588109970093</v>
      </c>
      <c r="AC1023" s="3" t="n">
        <v>-1.526463270187378</v>
      </c>
      <c r="AD1023" s="3" t="n">
        <v>-0.8833765983581543</v>
      </c>
      <c r="AE1023" s="3" t="n">
        <v>-0.8833765983581543</v>
      </c>
    </row>
    <row r="1024">
      <c r="A1024" s="3" t="inlineStr">
        <is>
          <t>IRQ.distn.dec.ove.mean.9</t>
        </is>
      </c>
      <c r="B1024" s="3" t="inlineStr">
        <is>
          <t>IRQ</t>
        </is>
      </c>
      <c r="C1024" s="3" t="n">
        <v>2005</v>
      </c>
      <c r="D1024" s="3" t="inlineStr">
        <is>
          <t>Overall</t>
        </is>
      </c>
      <c r="E1024" s="3" t="inlineStr">
        <is>
          <t>Deciles</t>
        </is>
      </c>
      <c r="F1024" s="3" t="inlineStr">
        <is>
          <t>mean</t>
        </is>
      </c>
      <c r="G1024" s="3" t="n">
        <v>9</v>
      </c>
      <c r="H1024" s="3" t="n">
        <v>-0.7873791456222534</v>
      </c>
      <c r="I1024" s="3" t="n">
        <v>-0.7873791456222534</v>
      </c>
      <c r="J1024" s="3" t="n">
        <v>-0.8833765983581543</v>
      </c>
      <c r="K1024" s="3" t="n">
        <v>-0.8833765983581543</v>
      </c>
      <c r="L1024" s="3" t="n">
        <v>-0.7873791456222534</v>
      </c>
      <c r="M1024" s="3" t="n">
        <v>-0.7873791456222534</v>
      </c>
      <c r="N1024" s="3" t="n">
        <v>-0.7873791456222534</v>
      </c>
      <c r="O1024" s="3" t="n">
        <v>-0.7873791456222534</v>
      </c>
      <c r="P1024" s="3" t="n">
        <v>-0.7873791456222534</v>
      </c>
      <c r="Q1024" s="3" t="n">
        <v>-0.7873791456222534</v>
      </c>
      <c r="R1024" s="3" t="n">
        <v>-0.7732542157173157</v>
      </c>
      <c r="S1024" s="3" t="n">
        <v>-1.18088698387146</v>
      </c>
      <c r="T1024" s="3" t="n">
        <v>-0.7090408802032471</v>
      </c>
      <c r="U1024" s="3" t="n">
        <v>-0.8833765983581543</v>
      </c>
      <c r="V1024" s="3" t="n">
        <v>-0.6827050447463989</v>
      </c>
      <c r="W1024" s="3" t="n">
        <v>-0.586290717124939</v>
      </c>
      <c r="X1024" s="3" t="n">
        <v>-1.172588109970093</v>
      </c>
      <c r="Y1024" s="3" t="n">
        <v>-0.7873791456222534</v>
      </c>
      <c r="Z1024" s="3" t="n">
        <v>-1.18088698387146</v>
      </c>
      <c r="AA1024" s="3" t="n">
        <v>-1.18088698387146</v>
      </c>
      <c r="AB1024" s="3" t="n">
        <v>-1.172588109970093</v>
      </c>
      <c r="AC1024" s="3" t="n">
        <v>-1.526463270187378</v>
      </c>
      <c r="AD1024" s="3" t="n">
        <v>-0.8833765983581543</v>
      </c>
      <c r="AE1024" s="3" t="n">
        <v>-0.8833765983581543</v>
      </c>
    </row>
    <row r="1025">
      <c r="A1025" s="3" t="inlineStr">
        <is>
          <t>IRQ.distn.dec.ove.mean.10</t>
        </is>
      </c>
      <c r="B1025" s="3" t="inlineStr">
        <is>
          <t>IRQ</t>
        </is>
      </c>
      <c r="C1025" s="3" t="n">
        <v>2005</v>
      </c>
      <c r="D1025" s="3" t="inlineStr">
        <is>
          <t>Overall</t>
        </is>
      </c>
      <c r="E1025" s="3" t="inlineStr">
        <is>
          <t>Deciles</t>
        </is>
      </c>
      <c r="F1025" s="3" t="inlineStr">
        <is>
          <t>mean</t>
        </is>
      </c>
      <c r="G1025" s="3" t="n">
        <v>10</v>
      </c>
      <c r="H1025" s="3" t="n">
        <v>-0.7873791456222534</v>
      </c>
      <c r="I1025" s="3" t="n">
        <v>-0.7873791456222534</v>
      </c>
      <c r="J1025" s="3" t="n">
        <v>-0.8833765983581543</v>
      </c>
      <c r="K1025" s="3" t="n">
        <v>-0.8833765983581543</v>
      </c>
      <c r="L1025" s="3" t="n">
        <v>-0.7873791456222534</v>
      </c>
      <c r="M1025" s="3" t="n">
        <v>-0.7873791456222534</v>
      </c>
      <c r="N1025" s="3" t="n">
        <v>-0.7873791456222534</v>
      </c>
      <c r="O1025" s="3" t="n">
        <v>-0.7873791456222534</v>
      </c>
      <c r="P1025" s="3" t="n">
        <v>-0.7873791456222534</v>
      </c>
      <c r="Q1025" s="3" t="n">
        <v>-0.7873791456222534</v>
      </c>
      <c r="R1025" s="3" t="n">
        <v>-0.7732542157173157</v>
      </c>
      <c r="S1025" s="3" t="n">
        <v>-1.18088698387146</v>
      </c>
      <c r="T1025" s="3" t="n">
        <v>-0.7090408802032471</v>
      </c>
      <c r="U1025" s="3" t="n">
        <v>-0.8833765983581543</v>
      </c>
      <c r="V1025" s="3" t="n">
        <v>-0.6827050447463989</v>
      </c>
      <c r="W1025" s="3" t="n">
        <v>-0.586290717124939</v>
      </c>
      <c r="X1025" s="3" t="n">
        <v>-1.172588109970093</v>
      </c>
      <c r="Y1025" s="3" t="n">
        <v>-0.7873791456222534</v>
      </c>
      <c r="Z1025" s="3" t="n">
        <v>-1.18088698387146</v>
      </c>
      <c r="AA1025" s="3" t="n">
        <v>-1.18088698387146</v>
      </c>
      <c r="AB1025" s="3" t="n">
        <v>-1.172588109970093</v>
      </c>
      <c r="AC1025" s="3" t="n">
        <v>-1.526463270187378</v>
      </c>
      <c r="AD1025" s="3" t="n">
        <v>-0.8833765983581543</v>
      </c>
      <c r="AE1025" s="3" t="n">
        <v>-0.8833765983581543</v>
      </c>
    </row>
    <row r="1026">
      <c r="A1026" s="3" t="inlineStr">
        <is>
          <t>IRQ.distn.bkt.ove.mean.9999</t>
        </is>
      </c>
      <c r="B1026" s="3" t="inlineStr">
        <is>
          <t>IRQ</t>
        </is>
      </c>
      <c r="C1026" s="3" t="n">
        <v>2005</v>
      </c>
      <c r="D1026" s="3" t="inlineStr">
        <is>
          <t>Overall</t>
        </is>
      </c>
      <c r="E1026" s="3" t="inlineStr">
        <is>
          <t>Basket</t>
        </is>
      </c>
      <c r="F1026" s="3" t="inlineStr">
        <is>
          <t>mean</t>
        </is>
      </c>
      <c r="G1026" s="3" t="n">
        <v>9999</v>
      </c>
      <c r="H1026" s="3" t="n">
        <v>-0.788998007774353</v>
      </c>
      <c r="I1026" s="3" t="n">
        <v>-0.788998007774353</v>
      </c>
      <c r="J1026" s="3" t="n">
        <v>-0.8951326608657837</v>
      </c>
      <c r="K1026" s="3" t="n">
        <v>-0.8951326608657837</v>
      </c>
      <c r="L1026" s="3" t="n">
        <v>-0.788998007774353</v>
      </c>
      <c r="M1026" s="3" t="n">
        <v>-0.788998007774353</v>
      </c>
      <c r="N1026" s="3" t="n">
        <v>-0.788998007774353</v>
      </c>
      <c r="O1026" s="3" t="n">
        <v>-0.788998007774353</v>
      </c>
      <c r="P1026" s="3" t="n">
        <v>-0.788998007774353</v>
      </c>
      <c r="Q1026" s="3" t="n">
        <v>-0.788998007774353</v>
      </c>
      <c r="R1026" s="3" t="n">
        <v>-0.7741215229034424</v>
      </c>
      <c r="S1026" s="3" t="n">
        <v>-1.337600469589233</v>
      </c>
      <c r="T1026" s="3" t="n">
        <v>-0.7094486355781555</v>
      </c>
      <c r="U1026" s="3" t="n">
        <v>-0.8951326608657837</v>
      </c>
      <c r="V1026" s="3" t="n">
        <v>-0.6843134164810181</v>
      </c>
      <c r="W1026" s="3" t="n">
        <v>-0.6078265905380249</v>
      </c>
      <c r="X1026" s="3" t="n">
        <v>-1.310529470443726</v>
      </c>
      <c r="Y1026" s="3" t="n">
        <v>-0.788998007774353</v>
      </c>
      <c r="Z1026" s="3" t="n">
        <v>-1.337600469589233</v>
      </c>
      <c r="AA1026" s="3" t="n">
        <v>-1.337600469589233</v>
      </c>
      <c r="AB1026" s="3" t="n">
        <v>-1.310529470443726</v>
      </c>
      <c r="AC1026" s="3" t="n">
        <v>-1.994871377944946</v>
      </c>
      <c r="AD1026" s="3" t="n">
        <v>-0.8951326608657837</v>
      </c>
      <c r="AE1026" s="3" t="n">
        <v>-0.8951326608657837</v>
      </c>
    </row>
    <row r="1027">
      <c r="A1027" s="3" t="inlineStr">
        <is>
          <t>ISL.distn.dec.ove.mean.1</t>
        </is>
      </c>
      <c r="B1027" s="3" t="inlineStr">
        <is>
          <t>ISL</t>
        </is>
      </c>
      <c r="C1027" s="3" t="n">
        <v>2005</v>
      </c>
      <c r="D1027" s="3" t="inlineStr">
        <is>
          <t>Overall</t>
        </is>
      </c>
      <c r="E1027" s="3" t="inlineStr">
        <is>
          <t>Deciles</t>
        </is>
      </c>
      <c r="F1027" s="3" t="inlineStr">
        <is>
          <t>mean</t>
        </is>
      </c>
      <c r="G1027" s="3" t="n">
        <v>1</v>
      </c>
      <c r="H1027" s="3" t="n">
        <v>-0.7882409691810608</v>
      </c>
      <c r="I1027" s="3" t="n">
        <v>-0.7882409691810608</v>
      </c>
      <c r="J1027" s="3" t="n">
        <v>-0.8879044055938721</v>
      </c>
      <c r="K1027" s="3" t="n">
        <v>-0.8879044055938721</v>
      </c>
      <c r="L1027" s="3" t="n">
        <v>-0.7882409691810608</v>
      </c>
      <c r="M1027" s="3" t="n">
        <v>-0.7882409691810608</v>
      </c>
      <c r="N1027" s="3" t="n">
        <v>-0.7882409691810608</v>
      </c>
      <c r="O1027" s="3" t="n">
        <v>-0.7882409691810608</v>
      </c>
      <c r="P1027" s="3" t="n">
        <v>-0.7882409691810608</v>
      </c>
      <c r="Q1027" s="3" t="n">
        <v>-0.7882409691810608</v>
      </c>
      <c r="R1027" s="3" t="n">
        <v>-0.7734707593917847</v>
      </c>
      <c r="S1027" s="3" t="n">
        <v>-1.405057072639465</v>
      </c>
      <c r="T1027" s="3" t="n">
        <v>-0.7094525694847107</v>
      </c>
      <c r="U1027" s="3" t="n">
        <v>-0.8879044055938721</v>
      </c>
      <c r="V1027" s="3" t="n">
        <v>-0.6819344758987427</v>
      </c>
      <c r="W1027" s="3" t="n">
        <v>-0.5727144479751587</v>
      </c>
      <c r="X1027" s="3" t="n">
        <v>-1.351782083511353</v>
      </c>
      <c r="Y1027" s="3" t="n">
        <v>-0.7882409691810608</v>
      </c>
      <c r="Z1027" s="3" t="n">
        <v>-1.405057072639465</v>
      </c>
      <c r="AA1027" s="3" t="n">
        <v>-1.405057072639465</v>
      </c>
      <c r="AB1027" s="3" t="n">
        <v>-1.351782083511353</v>
      </c>
      <c r="AC1027" s="3" t="n">
        <v>-2.112139701843262</v>
      </c>
      <c r="AD1027" s="3" t="n">
        <v>-0.8879044055938721</v>
      </c>
      <c r="AE1027" s="3" t="n">
        <v>-0.8879044055938721</v>
      </c>
    </row>
    <row r="1028">
      <c r="A1028" s="3" t="inlineStr">
        <is>
          <t>ISL.distn.dec.ove.mean.2</t>
        </is>
      </c>
      <c r="B1028" s="3" t="inlineStr">
        <is>
          <t>ISL</t>
        </is>
      </c>
      <c r="C1028" s="3" t="n">
        <v>2005</v>
      </c>
      <c r="D1028" s="3" t="inlineStr">
        <is>
          <t>Overall</t>
        </is>
      </c>
      <c r="E1028" s="3" t="inlineStr">
        <is>
          <t>Deciles</t>
        </is>
      </c>
      <c r="F1028" s="3" t="inlineStr">
        <is>
          <t>mean</t>
        </is>
      </c>
      <c r="G1028" s="3" t="n">
        <v>2</v>
      </c>
      <c r="H1028" s="3" t="n">
        <v>-0.7882409691810608</v>
      </c>
      <c r="I1028" s="3" t="n">
        <v>-0.7882409691810608</v>
      </c>
      <c r="J1028" s="3" t="n">
        <v>-0.8879044055938721</v>
      </c>
      <c r="K1028" s="3" t="n">
        <v>-0.8879044055938721</v>
      </c>
      <c r="L1028" s="3" t="n">
        <v>-0.7882409691810608</v>
      </c>
      <c r="M1028" s="3" t="n">
        <v>-0.7882409691810608</v>
      </c>
      <c r="N1028" s="3" t="n">
        <v>-0.7882409691810608</v>
      </c>
      <c r="O1028" s="3" t="n">
        <v>-0.7882409691810608</v>
      </c>
      <c r="P1028" s="3" t="n">
        <v>-0.7882409691810608</v>
      </c>
      <c r="Q1028" s="3" t="n">
        <v>-0.7882409691810608</v>
      </c>
      <c r="R1028" s="3" t="n">
        <v>-0.7734707593917847</v>
      </c>
      <c r="S1028" s="3" t="n">
        <v>-1.405057072639465</v>
      </c>
      <c r="T1028" s="3" t="n">
        <v>-0.7094525694847107</v>
      </c>
      <c r="U1028" s="3" t="n">
        <v>-0.8879044055938721</v>
      </c>
      <c r="V1028" s="3" t="n">
        <v>-0.6819344758987427</v>
      </c>
      <c r="W1028" s="3" t="n">
        <v>-0.5727144479751587</v>
      </c>
      <c r="X1028" s="3" t="n">
        <v>-1.351782083511353</v>
      </c>
      <c r="Y1028" s="3" t="n">
        <v>-0.7882409691810608</v>
      </c>
      <c r="Z1028" s="3" t="n">
        <v>-1.405057072639465</v>
      </c>
      <c r="AA1028" s="3" t="n">
        <v>-1.405057072639465</v>
      </c>
      <c r="AB1028" s="3" t="n">
        <v>-1.351782083511353</v>
      </c>
      <c r="AC1028" s="3" t="n">
        <v>-2.112139701843262</v>
      </c>
      <c r="AD1028" s="3" t="n">
        <v>-0.8879044055938721</v>
      </c>
      <c r="AE1028" s="3" t="n">
        <v>-0.8879044055938721</v>
      </c>
    </row>
    <row r="1029">
      <c r="A1029" s="3" t="inlineStr">
        <is>
          <t>ISL.distn.dec.ove.mean.3</t>
        </is>
      </c>
      <c r="B1029" s="3" t="inlineStr">
        <is>
          <t>ISL</t>
        </is>
      </c>
      <c r="C1029" s="3" t="n">
        <v>2005</v>
      </c>
      <c r="D1029" s="3" t="inlineStr">
        <is>
          <t>Overall</t>
        </is>
      </c>
      <c r="E1029" s="3" t="inlineStr">
        <is>
          <t>Deciles</t>
        </is>
      </c>
      <c r="F1029" s="3" t="inlineStr">
        <is>
          <t>mean</t>
        </is>
      </c>
      <c r="G1029" s="3" t="n">
        <v>3</v>
      </c>
      <c r="H1029" s="3" t="n">
        <v>-0.7882409691810608</v>
      </c>
      <c r="I1029" s="3" t="n">
        <v>-0.7882409691810608</v>
      </c>
      <c r="J1029" s="3" t="n">
        <v>-0.8879044055938721</v>
      </c>
      <c r="K1029" s="3" t="n">
        <v>-0.8879044055938721</v>
      </c>
      <c r="L1029" s="3" t="n">
        <v>-0.7882409691810608</v>
      </c>
      <c r="M1029" s="3" t="n">
        <v>-0.7882409691810608</v>
      </c>
      <c r="N1029" s="3" t="n">
        <v>-0.7882409691810608</v>
      </c>
      <c r="O1029" s="3" t="n">
        <v>-0.7882409691810608</v>
      </c>
      <c r="P1029" s="3" t="n">
        <v>-0.7882409691810608</v>
      </c>
      <c r="Q1029" s="3" t="n">
        <v>-0.7882409691810608</v>
      </c>
      <c r="R1029" s="3" t="n">
        <v>-0.7734707593917847</v>
      </c>
      <c r="S1029" s="3" t="n">
        <v>-1.405057072639465</v>
      </c>
      <c r="T1029" s="3" t="n">
        <v>-0.7094525694847107</v>
      </c>
      <c r="U1029" s="3" t="n">
        <v>-0.8879044055938721</v>
      </c>
      <c r="V1029" s="3" t="n">
        <v>-0.6819344758987427</v>
      </c>
      <c r="W1029" s="3" t="n">
        <v>-0.5727144479751587</v>
      </c>
      <c r="X1029" s="3" t="n">
        <v>-1.351782083511353</v>
      </c>
      <c r="Y1029" s="3" t="n">
        <v>-0.7882409691810608</v>
      </c>
      <c r="Z1029" s="3" t="n">
        <v>-1.405057072639465</v>
      </c>
      <c r="AA1029" s="3" t="n">
        <v>-1.405057072639465</v>
      </c>
      <c r="AB1029" s="3" t="n">
        <v>-1.351782083511353</v>
      </c>
      <c r="AC1029" s="3" t="n">
        <v>-2.112139701843262</v>
      </c>
      <c r="AD1029" s="3" t="n">
        <v>-0.8879044055938721</v>
      </c>
      <c r="AE1029" s="3" t="n">
        <v>-0.8879044055938721</v>
      </c>
    </row>
    <row r="1030">
      <c r="A1030" s="3" t="inlineStr">
        <is>
          <t>ISL.distn.dec.ove.mean.4</t>
        </is>
      </c>
      <c r="B1030" s="3" t="inlineStr">
        <is>
          <t>ISL</t>
        </is>
      </c>
      <c r="C1030" s="3" t="n">
        <v>2005</v>
      </c>
      <c r="D1030" s="3" t="inlineStr">
        <is>
          <t>Overall</t>
        </is>
      </c>
      <c r="E1030" s="3" t="inlineStr">
        <is>
          <t>Deciles</t>
        </is>
      </c>
      <c r="F1030" s="3" t="inlineStr">
        <is>
          <t>mean</t>
        </is>
      </c>
      <c r="G1030" s="3" t="n">
        <v>4</v>
      </c>
      <c r="H1030" s="3" t="n">
        <v>-0.7820000052452087</v>
      </c>
      <c r="I1030" s="3" t="n">
        <v>-0.7820000052452087</v>
      </c>
      <c r="J1030" s="3" t="n">
        <v>-0.8450000286102295</v>
      </c>
      <c r="K1030" s="3" t="n">
        <v>-0.8450000286102295</v>
      </c>
      <c r="L1030" s="3" t="n">
        <v>-0.7820000052452087</v>
      </c>
      <c r="M1030" s="3" t="n">
        <v>-0.7820000052452087</v>
      </c>
      <c r="N1030" s="3" t="n">
        <v>-0.7820000052452087</v>
      </c>
      <c r="O1030" s="3" t="n">
        <v>-0.7820000052452087</v>
      </c>
      <c r="P1030" s="3" t="n">
        <v>-0.7820000052452087</v>
      </c>
      <c r="Q1030" s="3" t="n">
        <v>-0.7820000052452087</v>
      </c>
      <c r="R1030" s="3" t="n">
        <v>-0.7699999809265137</v>
      </c>
      <c r="S1030" s="3" t="n">
        <v>-0.9570000171661377</v>
      </c>
      <c r="T1030" s="3" t="n">
        <v>-0.7080000042915344</v>
      </c>
      <c r="U1030" s="3" t="n">
        <v>-0.8450000286102295</v>
      </c>
      <c r="V1030" s="3" t="n">
        <v>-0.675000011920929</v>
      </c>
      <c r="W1030" s="3" t="n">
        <v>-0.4819999933242798</v>
      </c>
      <c r="X1030" s="3" t="n">
        <v>-0.9539999961853027</v>
      </c>
      <c r="Y1030" s="3" t="n">
        <v>-0.7820000052452087</v>
      </c>
      <c r="Z1030" s="3" t="n">
        <v>-0.9570000171661377</v>
      </c>
      <c r="AA1030" s="3" t="n">
        <v>-0.9570000171661377</v>
      </c>
      <c r="AB1030" s="3" t="n">
        <v>-0.9539999961853027</v>
      </c>
      <c r="AC1030" s="3" t="n">
        <v>-1.019999980926514</v>
      </c>
      <c r="AD1030" s="3" t="n">
        <v>-0.8450000286102295</v>
      </c>
      <c r="AE1030" s="3" t="n">
        <v>-0.8450000286102295</v>
      </c>
    </row>
    <row r="1031">
      <c r="A1031" s="3" t="inlineStr">
        <is>
          <t>ISL.distn.dec.ove.mean.5</t>
        </is>
      </c>
      <c r="B1031" s="3" t="inlineStr">
        <is>
          <t>ISL</t>
        </is>
      </c>
      <c r="C1031" s="3" t="n">
        <v>2005</v>
      </c>
      <c r="D1031" s="3" t="inlineStr">
        <is>
          <t>Overall</t>
        </is>
      </c>
      <c r="E1031" s="3" t="inlineStr">
        <is>
          <t>Deciles</t>
        </is>
      </c>
      <c r="F1031" s="3" t="inlineStr">
        <is>
          <t>mean</t>
        </is>
      </c>
      <c r="G1031" s="3" t="n">
        <v>5</v>
      </c>
      <c r="H1031" s="3" t="n">
        <v>-0.7820000052452087</v>
      </c>
      <c r="I1031" s="3" t="n">
        <v>-0.7820000052452087</v>
      </c>
      <c r="J1031" s="3" t="n">
        <v>-0.8450000286102295</v>
      </c>
      <c r="K1031" s="3" t="n">
        <v>-0.8450000286102295</v>
      </c>
      <c r="L1031" s="3" t="n">
        <v>-0.7820000052452087</v>
      </c>
      <c r="M1031" s="3" t="n">
        <v>-0.7820000052452087</v>
      </c>
      <c r="N1031" s="3" t="n">
        <v>-0.7820000052452087</v>
      </c>
      <c r="O1031" s="3" t="n">
        <v>-0.7820000052452087</v>
      </c>
      <c r="P1031" s="3" t="n">
        <v>-0.7820000052452087</v>
      </c>
      <c r="Q1031" s="3" t="n">
        <v>-0.7820000052452087</v>
      </c>
      <c r="R1031" s="3" t="n">
        <v>-0.7699999809265137</v>
      </c>
      <c r="S1031" s="3" t="n">
        <v>-0.9570000171661377</v>
      </c>
      <c r="T1031" s="3" t="n">
        <v>-0.7080000042915344</v>
      </c>
      <c r="U1031" s="3" t="n">
        <v>-0.8450000286102295</v>
      </c>
      <c r="V1031" s="3" t="n">
        <v>-0.675000011920929</v>
      </c>
      <c r="W1031" s="3" t="n">
        <v>-0.4819999933242798</v>
      </c>
      <c r="X1031" s="3" t="n">
        <v>-0.9539999961853027</v>
      </c>
      <c r="Y1031" s="3" t="n">
        <v>-0.7820000052452087</v>
      </c>
      <c r="Z1031" s="3" t="n">
        <v>-0.9570000171661377</v>
      </c>
      <c r="AA1031" s="3" t="n">
        <v>-0.9570000171661377</v>
      </c>
      <c r="AB1031" s="3" t="n">
        <v>-0.9539999961853027</v>
      </c>
      <c r="AC1031" s="3" t="n">
        <v>-1.019999980926514</v>
      </c>
      <c r="AD1031" s="3" t="n">
        <v>-0.8450000286102295</v>
      </c>
      <c r="AE1031" s="3" t="n">
        <v>-0.8450000286102295</v>
      </c>
    </row>
    <row r="1032">
      <c r="A1032" s="3" t="inlineStr">
        <is>
          <t>ISL.distn.dec.ove.mean.6</t>
        </is>
      </c>
      <c r="B1032" s="3" t="inlineStr">
        <is>
          <t>ISL</t>
        </is>
      </c>
      <c r="C1032" s="3" t="n">
        <v>2005</v>
      </c>
      <c r="D1032" s="3" t="inlineStr">
        <is>
          <t>Overall</t>
        </is>
      </c>
      <c r="E1032" s="3" t="inlineStr">
        <is>
          <t>Deciles</t>
        </is>
      </c>
      <c r="F1032" s="3" t="inlineStr">
        <is>
          <t>mean</t>
        </is>
      </c>
      <c r="G1032" s="3" t="n">
        <v>6</v>
      </c>
      <c r="H1032" s="3" t="n">
        <v>-0.7820000052452087</v>
      </c>
      <c r="I1032" s="3" t="n">
        <v>-0.7820000052452087</v>
      </c>
      <c r="J1032" s="3" t="n">
        <v>-0.8450000286102295</v>
      </c>
      <c r="K1032" s="3" t="n">
        <v>-0.8450000286102295</v>
      </c>
      <c r="L1032" s="3" t="n">
        <v>-0.7820000052452087</v>
      </c>
      <c r="M1032" s="3" t="n">
        <v>-0.7820000052452087</v>
      </c>
      <c r="N1032" s="3" t="n">
        <v>-0.7820000052452087</v>
      </c>
      <c r="O1032" s="3" t="n">
        <v>-0.7820000052452087</v>
      </c>
      <c r="P1032" s="3" t="n">
        <v>-0.7820000052452087</v>
      </c>
      <c r="Q1032" s="3" t="n">
        <v>-0.7820000052452087</v>
      </c>
      <c r="R1032" s="3" t="n">
        <v>-0.7699999809265137</v>
      </c>
      <c r="S1032" s="3" t="n">
        <v>-0.9570000171661377</v>
      </c>
      <c r="T1032" s="3" t="n">
        <v>-0.7080000042915344</v>
      </c>
      <c r="U1032" s="3" t="n">
        <v>-0.8450000286102295</v>
      </c>
      <c r="V1032" s="3" t="n">
        <v>-0.675000011920929</v>
      </c>
      <c r="W1032" s="3" t="n">
        <v>-0.4819999933242798</v>
      </c>
      <c r="X1032" s="3" t="n">
        <v>-0.9539999961853027</v>
      </c>
      <c r="Y1032" s="3" t="n">
        <v>-0.7820000052452087</v>
      </c>
      <c r="Z1032" s="3" t="n">
        <v>-0.9570000171661377</v>
      </c>
      <c r="AA1032" s="3" t="n">
        <v>-0.9570000171661377</v>
      </c>
      <c r="AB1032" s="3" t="n">
        <v>-0.9539999961853027</v>
      </c>
      <c r="AC1032" s="3" t="n">
        <v>-1.019999980926514</v>
      </c>
      <c r="AD1032" s="3" t="n">
        <v>-0.8450000286102295</v>
      </c>
      <c r="AE1032" s="3" t="n">
        <v>-0.8450000286102295</v>
      </c>
    </row>
    <row r="1033">
      <c r="A1033" s="3" t="inlineStr">
        <is>
          <t>ISL.distn.dec.ove.mean.7</t>
        </is>
      </c>
      <c r="B1033" s="3" t="inlineStr">
        <is>
          <t>ISL</t>
        </is>
      </c>
      <c r="C1033" s="3" t="n">
        <v>2005</v>
      </c>
      <c r="D1033" s="3" t="inlineStr">
        <is>
          <t>Overall</t>
        </is>
      </c>
      <c r="E1033" s="3" t="inlineStr">
        <is>
          <t>Deciles</t>
        </is>
      </c>
      <c r="F1033" s="3" t="inlineStr">
        <is>
          <t>mean</t>
        </is>
      </c>
      <c r="G1033" s="3" t="n">
        <v>7</v>
      </c>
      <c r="H1033" s="3" t="n">
        <v>-0.7820000052452087</v>
      </c>
      <c r="I1033" s="3" t="n">
        <v>-0.7820000052452087</v>
      </c>
      <c r="J1033" s="3" t="n">
        <v>-0.8450000286102295</v>
      </c>
      <c r="K1033" s="3" t="n">
        <v>-0.8450000286102295</v>
      </c>
      <c r="L1033" s="3" t="n">
        <v>-0.7820000052452087</v>
      </c>
      <c r="M1033" s="3" t="n">
        <v>-0.7820000052452087</v>
      </c>
      <c r="N1033" s="3" t="n">
        <v>-0.7820000052452087</v>
      </c>
      <c r="O1033" s="3" t="n">
        <v>-0.7820000052452087</v>
      </c>
      <c r="P1033" s="3" t="n">
        <v>-0.7820000052452087</v>
      </c>
      <c r="Q1033" s="3" t="n">
        <v>-0.7820000052452087</v>
      </c>
      <c r="R1033" s="3" t="n">
        <v>-0.7699999809265137</v>
      </c>
      <c r="S1033" s="3" t="n">
        <v>-0.9570000171661377</v>
      </c>
      <c r="T1033" s="3" t="n">
        <v>-0.7080000042915344</v>
      </c>
      <c r="U1033" s="3" t="n">
        <v>-0.8450000286102295</v>
      </c>
      <c r="V1033" s="3" t="n">
        <v>-0.675000011920929</v>
      </c>
      <c r="W1033" s="3" t="n">
        <v>-0.4819999933242798</v>
      </c>
      <c r="X1033" s="3" t="n">
        <v>-0.9539999961853027</v>
      </c>
      <c r="Y1033" s="3" t="n">
        <v>-0.7820000052452087</v>
      </c>
      <c r="Z1033" s="3" t="n">
        <v>-0.9570000171661377</v>
      </c>
      <c r="AA1033" s="3" t="n">
        <v>-0.9570000171661377</v>
      </c>
      <c r="AB1033" s="3" t="n">
        <v>-0.9539999961853027</v>
      </c>
      <c r="AC1033" s="3" t="n">
        <v>-1.019999980926514</v>
      </c>
      <c r="AD1033" s="3" t="n">
        <v>-0.8450000286102295</v>
      </c>
      <c r="AE1033" s="3" t="n">
        <v>-0.8450000286102295</v>
      </c>
    </row>
    <row r="1034">
      <c r="A1034" s="3" t="inlineStr">
        <is>
          <t>ISL.distn.dec.ove.mean.8</t>
        </is>
      </c>
      <c r="B1034" s="3" t="inlineStr">
        <is>
          <t>ISL</t>
        </is>
      </c>
      <c r="C1034" s="3" t="n">
        <v>2005</v>
      </c>
      <c r="D1034" s="3" t="inlineStr">
        <is>
          <t>Overall</t>
        </is>
      </c>
      <c r="E1034" s="3" t="inlineStr">
        <is>
          <t>Deciles</t>
        </is>
      </c>
      <c r="F1034" s="3" t="inlineStr">
        <is>
          <t>mean</t>
        </is>
      </c>
      <c r="G1034" s="3" t="n">
        <v>8</v>
      </c>
      <c r="H1034" s="3" t="n">
        <v>-0.782376766204834</v>
      </c>
      <c r="I1034" s="3" t="n">
        <v>-0.782376766204834</v>
      </c>
      <c r="J1034" s="3" t="n">
        <v>-0.8472794890403748</v>
      </c>
      <c r="K1034" s="3" t="n">
        <v>-0.8472794890403748</v>
      </c>
      <c r="L1034" s="3" t="n">
        <v>-0.782376766204834</v>
      </c>
      <c r="M1034" s="3" t="n">
        <v>-0.782376766204834</v>
      </c>
      <c r="N1034" s="3" t="n">
        <v>-0.782376766204834</v>
      </c>
      <c r="O1034" s="3" t="n">
        <v>-0.782376766204834</v>
      </c>
      <c r="P1034" s="3" t="n">
        <v>-0.782376766204834</v>
      </c>
      <c r="Q1034" s="3" t="n">
        <v>-0.782376766204834</v>
      </c>
      <c r="R1034" s="3" t="n">
        <v>-0.7702532410621643</v>
      </c>
      <c r="S1034" s="3" t="n">
        <v>-0.9659050107002258</v>
      </c>
      <c r="T1034" s="3" t="n">
        <v>-0.7080408334732056</v>
      </c>
      <c r="U1034" s="3" t="n">
        <v>-0.8472794890403748</v>
      </c>
      <c r="V1034" s="3" t="n">
        <v>-0.6756978034973145</v>
      </c>
      <c r="W1034" s="3" t="n">
        <v>-0.4949073791503906</v>
      </c>
      <c r="X1034" s="3" t="n">
        <v>-0.9626928567886353</v>
      </c>
      <c r="Y1034" s="3" t="n">
        <v>-0.782376766204834</v>
      </c>
      <c r="Z1034" s="3" t="n">
        <v>-0.9659050107002258</v>
      </c>
      <c r="AA1034" s="3" t="n">
        <v>-0.9659050107002258</v>
      </c>
      <c r="AB1034" s="3" t="n">
        <v>-0.9626928567886353</v>
      </c>
      <c r="AC1034" s="3" t="n">
        <v>-1.034546613693237</v>
      </c>
      <c r="AD1034" s="3" t="n">
        <v>-0.8472794890403748</v>
      </c>
      <c r="AE1034" s="3" t="n">
        <v>-0.8472794890403748</v>
      </c>
    </row>
    <row r="1035">
      <c r="A1035" s="3" t="inlineStr">
        <is>
          <t>ISL.distn.dec.ove.mean.9</t>
        </is>
      </c>
      <c r="B1035" s="3" t="inlineStr">
        <is>
          <t>ISL</t>
        </is>
      </c>
      <c r="C1035" s="3" t="n">
        <v>2005</v>
      </c>
      <c r="D1035" s="3" t="inlineStr">
        <is>
          <t>Overall</t>
        </is>
      </c>
      <c r="E1035" s="3" t="inlineStr">
        <is>
          <t>Deciles</t>
        </is>
      </c>
      <c r="F1035" s="3" t="inlineStr">
        <is>
          <t>mean</t>
        </is>
      </c>
      <c r="G1035" s="3" t="n">
        <v>9</v>
      </c>
      <c r="H1035" s="3" t="n">
        <v>-0.782376766204834</v>
      </c>
      <c r="I1035" s="3" t="n">
        <v>-0.782376766204834</v>
      </c>
      <c r="J1035" s="3" t="n">
        <v>-0.8472794890403748</v>
      </c>
      <c r="K1035" s="3" t="n">
        <v>-0.8472794890403748</v>
      </c>
      <c r="L1035" s="3" t="n">
        <v>-0.782376766204834</v>
      </c>
      <c r="M1035" s="3" t="n">
        <v>-0.782376766204834</v>
      </c>
      <c r="N1035" s="3" t="n">
        <v>-0.782376766204834</v>
      </c>
      <c r="O1035" s="3" t="n">
        <v>-0.782376766204834</v>
      </c>
      <c r="P1035" s="3" t="n">
        <v>-0.782376766204834</v>
      </c>
      <c r="Q1035" s="3" t="n">
        <v>-0.782376766204834</v>
      </c>
      <c r="R1035" s="3" t="n">
        <v>-0.7702532410621643</v>
      </c>
      <c r="S1035" s="3" t="n">
        <v>-0.9659050107002258</v>
      </c>
      <c r="T1035" s="3" t="n">
        <v>-0.7080408334732056</v>
      </c>
      <c r="U1035" s="3" t="n">
        <v>-0.8472794890403748</v>
      </c>
      <c r="V1035" s="3" t="n">
        <v>-0.6756978034973145</v>
      </c>
      <c r="W1035" s="3" t="n">
        <v>-0.4949073791503906</v>
      </c>
      <c r="X1035" s="3" t="n">
        <v>-0.9626928567886353</v>
      </c>
      <c r="Y1035" s="3" t="n">
        <v>-0.782376766204834</v>
      </c>
      <c r="Z1035" s="3" t="n">
        <v>-0.9659050107002258</v>
      </c>
      <c r="AA1035" s="3" t="n">
        <v>-0.9659050107002258</v>
      </c>
      <c r="AB1035" s="3" t="n">
        <v>-0.9626928567886353</v>
      </c>
      <c r="AC1035" s="3" t="n">
        <v>-1.034546613693237</v>
      </c>
      <c r="AD1035" s="3" t="n">
        <v>-0.8472794890403748</v>
      </c>
      <c r="AE1035" s="3" t="n">
        <v>-0.8472794890403748</v>
      </c>
    </row>
    <row r="1036">
      <c r="A1036" s="3" t="inlineStr">
        <is>
          <t>ISL.distn.dec.ove.mean.10</t>
        </is>
      </c>
      <c r="B1036" s="3" t="inlineStr">
        <is>
          <t>ISL</t>
        </is>
      </c>
      <c r="C1036" s="3" t="n">
        <v>2005</v>
      </c>
      <c r="D1036" s="3" t="inlineStr">
        <is>
          <t>Overall</t>
        </is>
      </c>
      <c r="E1036" s="3" t="inlineStr">
        <is>
          <t>Deciles</t>
        </is>
      </c>
      <c r="F1036" s="3" t="inlineStr">
        <is>
          <t>mean</t>
        </is>
      </c>
      <c r="G1036" s="3" t="n">
        <v>10</v>
      </c>
      <c r="H1036" s="3" t="n">
        <v>-0.782376766204834</v>
      </c>
      <c r="I1036" s="3" t="n">
        <v>-0.782376766204834</v>
      </c>
      <c r="J1036" s="3" t="n">
        <v>-0.8472794890403748</v>
      </c>
      <c r="K1036" s="3" t="n">
        <v>-0.8472794890403748</v>
      </c>
      <c r="L1036" s="3" t="n">
        <v>-0.782376766204834</v>
      </c>
      <c r="M1036" s="3" t="n">
        <v>-0.782376766204834</v>
      </c>
      <c r="N1036" s="3" t="n">
        <v>-0.782376766204834</v>
      </c>
      <c r="O1036" s="3" t="n">
        <v>-0.782376766204834</v>
      </c>
      <c r="P1036" s="3" t="n">
        <v>-0.782376766204834</v>
      </c>
      <c r="Q1036" s="3" t="n">
        <v>-0.782376766204834</v>
      </c>
      <c r="R1036" s="3" t="n">
        <v>-0.7702532410621643</v>
      </c>
      <c r="S1036" s="3" t="n">
        <v>-0.9659050107002258</v>
      </c>
      <c r="T1036" s="3" t="n">
        <v>-0.7080408334732056</v>
      </c>
      <c r="U1036" s="3" t="n">
        <v>-0.8472794890403748</v>
      </c>
      <c r="V1036" s="3" t="n">
        <v>-0.6756978034973145</v>
      </c>
      <c r="W1036" s="3" t="n">
        <v>-0.4949073791503906</v>
      </c>
      <c r="X1036" s="3" t="n">
        <v>-0.9626928567886353</v>
      </c>
      <c r="Y1036" s="3" t="n">
        <v>-0.782376766204834</v>
      </c>
      <c r="Z1036" s="3" t="n">
        <v>-0.9659050107002258</v>
      </c>
      <c r="AA1036" s="3" t="n">
        <v>-0.9659050107002258</v>
      </c>
      <c r="AB1036" s="3" t="n">
        <v>-0.9626928567886353</v>
      </c>
      <c r="AC1036" s="3" t="n">
        <v>-1.034546613693237</v>
      </c>
      <c r="AD1036" s="3" t="n">
        <v>-0.8472794890403748</v>
      </c>
      <c r="AE1036" s="3" t="n">
        <v>-0.8472794890403748</v>
      </c>
    </row>
    <row r="1037">
      <c r="A1037" s="3" t="inlineStr">
        <is>
          <t>ISL.distn.bkt.ove.mean.9999</t>
        </is>
      </c>
      <c r="B1037" s="3" t="inlineStr">
        <is>
          <t>ISL</t>
        </is>
      </c>
      <c r="C1037" s="3" t="n">
        <v>2005</v>
      </c>
      <c r="D1037" s="3" t="inlineStr">
        <is>
          <t>Overall</t>
        </is>
      </c>
      <c r="E1037" s="3" t="inlineStr">
        <is>
          <t>Basket</t>
        </is>
      </c>
      <c r="F1037" s="3" t="inlineStr">
        <is>
          <t>mean</t>
        </is>
      </c>
      <c r="G1037" s="3" t="n">
        <v>9999</v>
      </c>
      <c r="H1037" s="3" t="n">
        <v>-0.7839853167533875</v>
      </c>
      <c r="I1037" s="3" t="n">
        <v>-0.7839853167533875</v>
      </c>
      <c r="J1037" s="3" t="n">
        <v>-0.8585551977157593</v>
      </c>
      <c r="K1037" s="3" t="n">
        <v>-0.8585551977157593</v>
      </c>
      <c r="L1037" s="3" t="n">
        <v>-0.7839853167533875</v>
      </c>
      <c r="M1037" s="3" t="n">
        <v>-0.7839853167533875</v>
      </c>
      <c r="N1037" s="3" t="n">
        <v>-0.7839853167533875</v>
      </c>
      <c r="O1037" s="3" t="n">
        <v>-0.7839853167533875</v>
      </c>
      <c r="P1037" s="3" t="n">
        <v>-0.7839853167533875</v>
      </c>
      <c r="Q1037" s="3" t="n">
        <v>-0.7839853167533875</v>
      </c>
      <c r="R1037" s="3" t="n">
        <v>-0.7711172103881836</v>
      </c>
      <c r="S1037" s="3" t="n">
        <v>-1.094088673591614</v>
      </c>
      <c r="T1037" s="3" t="n">
        <v>-0.708448052406311</v>
      </c>
      <c r="U1037" s="3" t="n">
        <v>-0.8585551977157593</v>
      </c>
      <c r="V1037" s="3" t="n">
        <v>-0.6772896647453308</v>
      </c>
      <c r="W1037" s="3" t="n">
        <v>-0.5130865573883057</v>
      </c>
      <c r="X1037" s="3" t="n">
        <v>-1.075942516326904</v>
      </c>
      <c r="Y1037" s="3" t="n">
        <v>-0.7839853167533875</v>
      </c>
      <c r="Z1037" s="3" t="n">
        <v>-1.094088673591614</v>
      </c>
      <c r="AA1037" s="3" t="n">
        <v>-1.094088673591614</v>
      </c>
      <c r="AB1037" s="3" t="n">
        <v>-1.075942516326904</v>
      </c>
      <c r="AC1037" s="3" t="n">
        <v>-1.352005839347839</v>
      </c>
      <c r="AD1037" s="3" t="n">
        <v>-0.8585551977157593</v>
      </c>
      <c r="AE1037" s="3" t="n">
        <v>-0.8585551977157593</v>
      </c>
    </row>
    <row r="1038">
      <c r="A1038" s="3" t="inlineStr">
        <is>
          <t>ISR.distn.dec.ove.mean.1</t>
        </is>
      </c>
      <c r="B1038" s="3" t="inlineStr">
        <is>
          <t>ISR</t>
        </is>
      </c>
      <c r="C1038" s="3" t="n">
        <v>2005</v>
      </c>
      <c r="D1038" s="3" t="inlineStr">
        <is>
          <t>Overall</t>
        </is>
      </c>
      <c r="E1038" s="3" t="inlineStr">
        <is>
          <t>Deciles</t>
        </is>
      </c>
      <c r="F1038" s="3" t="inlineStr">
        <is>
          <t>mean</t>
        </is>
      </c>
      <c r="G1038" s="3" t="n">
        <v>1</v>
      </c>
      <c r="H1038" s="3" t="n">
        <v>-0.7862249612808228</v>
      </c>
      <c r="I1038" s="3" t="n">
        <v>-0.7862249612808228</v>
      </c>
      <c r="J1038" s="3" t="n">
        <v>-0.8784474730491638</v>
      </c>
      <c r="K1038" s="3" t="n">
        <v>-0.8784474730491638</v>
      </c>
      <c r="L1038" s="3" t="n">
        <v>-0.7862249612808228</v>
      </c>
      <c r="M1038" s="3" t="n">
        <v>-0.7862249612808228</v>
      </c>
      <c r="N1038" s="3" t="n">
        <v>-0.7862249612808228</v>
      </c>
      <c r="O1038" s="3" t="n">
        <v>-0.7862249612808228</v>
      </c>
      <c r="P1038" s="3" t="n">
        <v>-0.7862249612808228</v>
      </c>
      <c r="Q1038" s="3" t="n">
        <v>-0.7862249612808228</v>
      </c>
      <c r="R1038" s="3" t="n">
        <v>-0.772466242313385</v>
      </c>
      <c r="S1038" s="3" t="n">
        <v>-1.355138659477234</v>
      </c>
      <c r="T1038" s="3" t="n">
        <v>-0.7094525694847107</v>
      </c>
      <c r="U1038" s="3" t="n">
        <v>-0.8784474730491638</v>
      </c>
      <c r="V1038" s="3" t="n">
        <v>-0.6789036393165588</v>
      </c>
      <c r="W1038" s="3" t="n">
        <v>-0.4990458190441132</v>
      </c>
      <c r="X1038" s="3" t="n">
        <v>-1.306439280509949</v>
      </c>
      <c r="Y1038" s="3" t="n">
        <v>-0.7862249612808228</v>
      </c>
      <c r="Z1038" s="3" t="n">
        <v>-1.355138659477234</v>
      </c>
      <c r="AA1038" s="3" t="n">
        <v>-1.355138659477234</v>
      </c>
      <c r="AB1038" s="3" t="n">
        <v>-1.306439280509949</v>
      </c>
      <c r="AC1038" s="3" t="n">
        <v>-2.004462003707886</v>
      </c>
      <c r="AD1038" s="3" t="n">
        <v>-0.8784474730491638</v>
      </c>
      <c r="AE1038" s="3" t="n">
        <v>-0.8784474730491638</v>
      </c>
    </row>
    <row r="1039">
      <c r="A1039" s="3" t="inlineStr">
        <is>
          <t>ISR.distn.dec.ove.mean.2</t>
        </is>
      </c>
      <c r="B1039" s="3" t="inlineStr">
        <is>
          <t>ISR</t>
        </is>
      </c>
      <c r="C1039" s="3" t="n">
        <v>2005</v>
      </c>
      <c r="D1039" s="3" t="inlineStr">
        <is>
          <t>Overall</t>
        </is>
      </c>
      <c r="E1039" s="3" t="inlineStr">
        <is>
          <t>Deciles</t>
        </is>
      </c>
      <c r="F1039" s="3" t="inlineStr">
        <is>
          <t>mean</t>
        </is>
      </c>
      <c r="G1039" s="3" t="n">
        <v>2</v>
      </c>
      <c r="H1039" s="3" t="n">
        <v>-0.7862249612808228</v>
      </c>
      <c r="I1039" s="3" t="n">
        <v>-0.7862249612808228</v>
      </c>
      <c r="J1039" s="3" t="n">
        <v>-0.8784474730491638</v>
      </c>
      <c r="K1039" s="3" t="n">
        <v>-0.8784474730491638</v>
      </c>
      <c r="L1039" s="3" t="n">
        <v>-0.7862249612808228</v>
      </c>
      <c r="M1039" s="3" t="n">
        <v>-0.7862249612808228</v>
      </c>
      <c r="N1039" s="3" t="n">
        <v>-0.7862249612808228</v>
      </c>
      <c r="O1039" s="3" t="n">
        <v>-0.7862249612808228</v>
      </c>
      <c r="P1039" s="3" t="n">
        <v>-0.7862249612808228</v>
      </c>
      <c r="Q1039" s="3" t="n">
        <v>-0.7862249612808228</v>
      </c>
      <c r="R1039" s="3" t="n">
        <v>-0.772466242313385</v>
      </c>
      <c r="S1039" s="3" t="n">
        <v>-1.355138659477234</v>
      </c>
      <c r="T1039" s="3" t="n">
        <v>-0.7094525694847107</v>
      </c>
      <c r="U1039" s="3" t="n">
        <v>-0.8784474730491638</v>
      </c>
      <c r="V1039" s="3" t="n">
        <v>-0.6789036393165588</v>
      </c>
      <c r="W1039" s="3" t="n">
        <v>-0.4990458190441132</v>
      </c>
      <c r="X1039" s="3" t="n">
        <v>-1.306439280509949</v>
      </c>
      <c r="Y1039" s="3" t="n">
        <v>-0.7862249612808228</v>
      </c>
      <c r="Z1039" s="3" t="n">
        <v>-1.355138659477234</v>
      </c>
      <c r="AA1039" s="3" t="n">
        <v>-1.355138659477234</v>
      </c>
      <c r="AB1039" s="3" t="n">
        <v>-1.306439280509949</v>
      </c>
      <c r="AC1039" s="3" t="n">
        <v>-2.004462003707886</v>
      </c>
      <c r="AD1039" s="3" t="n">
        <v>-0.8784474730491638</v>
      </c>
      <c r="AE1039" s="3" t="n">
        <v>-0.8784474730491638</v>
      </c>
    </row>
    <row r="1040">
      <c r="A1040" s="3" t="inlineStr">
        <is>
          <t>ISR.distn.dec.ove.mean.3</t>
        </is>
      </c>
      <c r="B1040" s="3" t="inlineStr">
        <is>
          <t>ISR</t>
        </is>
      </c>
      <c r="C1040" s="3" t="n">
        <v>2005</v>
      </c>
      <c r="D1040" s="3" t="inlineStr">
        <is>
          <t>Overall</t>
        </is>
      </c>
      <c r="E1040" s="3" t="inlineStr">
        <is>
          <t>Deciles</t>
        </is>
      </c>
      <c r="F1040" s="3" t="inlineStr">
        <is>
          <t>mean</t>
        </is>
      </c>
      <c r="G1040" s="3" t="n">
        <v>3</v>
      </c>
      <c r="H1040" s="3" t="n">
        <v>-0.7862249612808228</v>
      </c>
      <c r="I1040" s="3" t="n">
        <v>-0.7862249612808228</v>
      </c>
      <c r="J1040" s="3" t="n">
        <v>-0.8784474730491638</v>
      </c>
      <c r="K1040" s="3" t="n">
        <v>-0.8784474730491638</v>
      </c>
      <c r="L1040" s="3" t="n">
        <v>-0.7862249612808228</v>
      </c>
      <c r="M1040" s="3" t="n">
        <v>-0.7862249612808228</v>
      </c>
      <c r="N1040" s="3" t="n">
        <v>-0.7862249612808228</v>
      </c>
      <c r="O1040" s="3" t="n">
        <v>-0.7862249612808228</v>
      </c>
      <c r="P1040" s="3" t="n">
        <v>-0.7862249612808228</v>
      </c>
      <c r="Q1040" s="3" t="n">
        <v>-0.7862249612808228</v>
      </c>
      <c r="R1040" s="3" t="n">
        <v>-0.772466242313385</v>
      </c>
      <c r="S1040" s="3" t="n">
        <v>-1.355138659477234</v>
      </c>
      <c r="T1040" s="3" t="n">
        <v>-0.7094525694847107</v>
      </c>
      <c r="U1040" s="3" t="n">
        <v>-0.8784474730491638</v>
      </c>
      <c r="V1040" s="3" t="n">
        <v>-0.6789036393165588</v>
      </c>
      <c r="W1040" s="3" t="n">
        <v>-0.4990458190441132</v>
      </c>
      <c r="X1040" s="3" t="n">
        <v>-1.306439280509949</v>
      </c>
      <c r="Y1040" s="3" t="n">
        <v>-0.7862249612808228</v>
      </c>
      <c r="Z1040" s="3" t="n">
        <v>-1.355138659477234</v>
      </c>
      <c r="AA1040" s="3" t="n">
        <v>-1.355138659477234</v>
      </c>
      <c r="AB1040" s="3" t="n">
        <v>-1.306439280509949</v>
      </c>
      <c r="AC1040" s="3" t="n">
        <v>-2.004462003707886</v>
      </c>
      <c r="AD1040" s="3" t="n">
        <v>-0.8784474730491638</v>
      </c>
      <c r="AE1040" s="3" t="n">
        <v>-0.8784474730491638</v>
      </c>
    </row>
    <row r="1041">
      <c r="A1041" s="3" t="inlineStr">
        <is>
          <t>ISR.distn.dec.ove.mean.4</t>
        </is>
      </c>
      <c r="B1041" s="3" t="inlineStr">
        <is>
          <t>ISR</t>
        </is>
      </c>
      <c r="C1041" s="3" t="n">
        <v>2005</v>
      </c>
      <c r="D1041" s="3" t="inlineStr">
        <is>
          <t>Overall</t>
        </is>
      </c>
      <c r="E1041" s="3" t="inlineStr">
        <is>
          <t>Deciles</t>
        </is>
      </c>
      <c r="F1041" s="3" t="inlineStr">
        <is>
          <t>mean</t>
        </is>
      </c>
      <c r="G1041" s="3" t="n">
        <v>4</v>
      </c>
      <c r="H1041" s="3" t="n">
        <v>-0.7799999713897705</v>
      </c>
      <c r="I1041" s="3" t="n">
        <v>-0.7799999713897705</v>
      </c>
      <c r="J1041" s="3" t="n">
        <v>-0.8360000252723694</v>
      </c>
      <c r="K1041" s="3" t="n">
        <v>-0.8360000252723694</v>
      </c>
      <c r="L1041" s="3" t="n">
        <v>-0.7799999713897705</v>
      </c>
      <c r="M1041" s="3" t="n">
        <v>-0.7799999713897705</v>
      </c>
      <c r="N1041" s="3" t="n">
        <v>-0.7799999713897705</v>
      </c>
      <c r="O1041" s="3" t="n">
        <v>-0.7799999713897705</v>
      </c>
      <c r="P1041" s="3" t="n">
        <v>-0.7799999713897705</v>
      </c>
      <c r="Q1041" s="3" t="n">
        <v>-0.7799999713897705</v>
      </c>
      <c r="R1041" s="3" t="n">
        <v>-0.7689999938011169</v>
      </c>
      <c r="S1041" s="3" t="n">
        <v>-0.9229999780654907</v>
      </c>
      <c r="T1041" s="3" t="n">
        <v>-0.7080000042915344</v>
      </c>
      <c r="U1041" s="3" t="n">
        <v>-0.8360000252723694</v>
      </c>
      <c r="V1041" s="3" t="n">
        <v>-0.671999990940094</v>
      </c>
      <c r="W1041" s="3" t="n">
        <v>-0.4199999868869781</v>
      </c>
      <c r="X1041" s="3" t="n">
        <v>-0.921999990940094</v>
      </c>
      <c r="Y1041" s="3" t="n">
        <v>-0.7799999713897705</v>
      </c>
      <c r="Z1041" s="3" t="n">
        <v>-0.9229999780654907</v>
      </c>
      <c r="AA1041" s="3" t="n">
        <v>-0.9229999780654907</v>
      </c>
      <c r="AB1041" s="3" t="n">
        <v>-0.921999990940094</v>
      </c>
      <c r="AC1041" s="3" t="n">
        <v>-0.9679999947547913</v>
      </c>
      <c r="AD1041" s="3" t="n">
        <v>-0.8360000252723694</v>
      </c>
      <c r="AE1041" s="3" t="n">
        <v>-0.8360000252723694</v>
      </c>
    </row>
    <row r="1042">
      <c r="A1042" s="3" t="inlineStr">
        <is>
          <t>ISR.distn.dec.ove.mean.5</t>
        </is>
      </c>
      <c r="B1042" s="3" t="inlineStr">
        <is>
          <t>ISR</t>
        </is>
      </c>
      <c r="C1042" s="3" t="n">
        <v>2005</v>
      </c>
      <c r="D1042" s="3" t="inlineStr">
        <is>
          <t>Overall</t>
        </is>
      </c>
      <c r="E1042" s="3" t="inlineStr">
        <is>
          <t>Deciles</t>
        </is>
      </c>
      <c r="F1042" s="3" t="inlineStr">
        <is>
          <t>mean</t>
        </is>
      </c>
      <c r="G1042" s="3" t="n">
        <v>5</v>
      </c>
      <c r="H1042" s="3" t="n">
        <v>-0.7799999713897705</v>
      </c>
      <c r="I1042" s="3" t="n">
        <v>-0.7799999713897705</v>
      </c>
      <c r="J1042" s="3" t="n">
        <v>-0.8360000252723694</v>
      </c>
      <c r="K1042" s="3" t="n">
        <v>-0.8360000252723694</v>
      </c>
      <c r="L1042" s="3" t="n">
        <v>-0.7799999713897705</v>
      </c>
      <c r="M1042" s="3" t="n">
        <v>-0.7799999713897705</v>
      </c>
      <c r="N1042" s="3" t="n">
        <v>-0.7799999713897705</v>
      </c>
      <c r="O1042" s="3" t="n">
        <v>-0.7799999713897705</v>
      </c>
      <c r="P1042" s="3" t="n">
        <v>-0.7799999713897705</v>
      </c>
      <c r="Q1042" s="3" t="n">
        <v>-0.7799999713897705</v>
      </c>
      <c r="R1042" s="3" t="n">
        <v>-0.7689999938011169</v>
      </c>
      <c r="S1042" s="3" t="n">
        <v>-0.9229999780654907</v>
      </c>
      <c r="T1042" s="3" t="n">
        <v>-0.7080000042915344</v>
      </c>
      <c r="U1042" s="3" t="n">
        <v>-0.8360000252723694</v>
      </c>
      <c r="V1042" s="3" t="n">
        <v>-0.671999990940094</v>
      </c>
      <c r="W1042" s="3" t="n">
        <v>-0.4199999868869781</v>
      </c>
      <c r="X1042" s="3" t="n">
        <v>-0.921999990940094</v>
      </c>
      <c r="Y1042" s="3" t="n">
        <v>-0.7799999713897705</v>
      </c>
      <c r="Z1042" s="3" t="n">
        <v>-0.9229999780654907</v>
      </c>
      <c r="AA1042" s="3" t="n">
        <v>-0.9229999780654907</v>
      </c>
      <c r="AB1042" s="3" t="n">
        <v>-0.921999990940094</v>
      </c>
      <c r="AC1042" s="3" t="n">
        <v>-0.9679999947547913</v>
      </c>
      <c r="AD1042" s="3" t="n">
        <v>-0.8360000252723694</v>
      </c>
      <c r="AE1042" s="3" t="n">
        <v>-0.8360000252723694</v>
      </c>
    </row>
    <row r="1043">
      <c r="A1043" s="3" t="inlineStr">
        <is>
          <t>ISR.distn.dec.ove.mean.6</t>
        </is>
      </c>
      <c r="B1043" s="3" t="inlineStr">
        <is>
          <t>ISR</t>
        </is>
      </c>
      <c r="C1043" s="3" t="n">
        <v>2005</v>
      </c>
      <c r="D1043" s="3" t="inlineStr">
        <is>
          <t>Overall</t>
        </is>
      </c>
      <c r="E1043" s="3" t="inlineStr">
        <is>
          <t>Deciles</t>
        </is>
      </c>
      <c r="F1043" s="3" t="inlineStr">
        <is>
          <t>mean</t>
        </is>
      </c>
      <c r="G1043" s="3" t="n">
        <v>6</v>
      </c>
      <c r="H1043" s="3" t="n">
        <v>-0.7799999713897705</v>
      </c>
      <c r="I1043" s="3" t="n">
        <v>-0.7799999713897705</v>
      </c>
      <c r="J1043" s="3" t="n">
        <v>-0.8360000252723694</v>
      </c>
      <c r="K1043" s="3" t="n">
        <v>-0.8360000252723694</v>
      </c>
      <c r="L1043" s="3" t="n">
        <v>-0.7799999713897705</v>
      </c>
      <c r="M1043" s="3" t="n">
        <v>-0.7799999713897705</v>
      </c>
      <c r="N1043" s="3" t="n">
        <v>-0.7799999713897705</v>
      </c>
      <c r="O1043" s="3" t="n">
        <v>-0.7799999713897705</v>
      </c>
      <c r="P1043" s="3" t="n">
        <v>-0.7799999713897705</v>
      </c>
      <c r="Q1043" s="3" t="n">
        <v>-0.7799999713897705</v>
      </c>
      <c r="R1043" s="3" t="n">
        <v>-0.7689999938011169</v>
      </c>
      <c r="S1043" s="3" t="n">
        <v>-0.9229999780654907</v>
      </c>
      <c r="T1043" s="3" t="n">
        <v>-0.7080000042915344</v>
      </c>
      <c r="U1043" s="3" t="n">
        <v>-0.8360000252723694</v>
      </c>
      <c r="V1043" s="3" t="n">
        <v>-0.671999990940094</v>
      </c>
      <c r="W1043" s="3" t="n">
        <v>-0.4199999868869781</v>
      </c>
      <c r="X1043" s="3" t="n">
        <v>-0.921999990940094</v>
      </c>
      <c r="Y1043" s="3" t="n">
        <v>-0.7799999713897705</v>
      </c>
      <c r="Z1043" s="3" t="n">
        <v>-0.9229999780654907</v>
      </c>
      <c r="AA1043" s="3" t="n">
        <v>-0.9229999780654907</v>
      </c>
      <c r="AB1043" s="3" t="n">
        <v>-0.921999990940094</v>
      </c>
      <c r="AC1043" s="3" t="n">
        <v>-0.9679999947547913</v>
      </c>
      <c r="AD1043" s="3" t="n">
        <v>-0.8360000252723694</v>
      </c>
      <c r="AE1043" s="3" t="n">
        <v>-0.8360000252723694</v>
      </c>
    </row>
    <row r="1044">
      <c r="A1044" s="3" t="inlineStr">
        <is>
          <t>ISR.distn.dec.ove.mean.7</t>
        </is>
      </c>
      <c r="B1044" s="3" t="inlineStr">
        <is>
          <t>ISR</t>
        </is>
      </c>
      <c r="C1044" s="3" t="n">
        <v>2005</v>
      </c>
      <c r="D1044" s="3" t="inlineStr">
        <is>
          <t>Overall</t>
        </is>
      </c>
      <c r="E1044" s="3" t="inlineStr">
        <is>
          <t>Deciles</t>
        </is>
      </c>
      <c r="F1044" s="3" t="inlineStr">
        <is>
          <t>mean</t>
        </is>
      </c>
      <c r="G1044" s="3" t="n">
        <v>7</v>
      </c>
      <c r="H1044" s="3" t="n">
        <v>-0.7799999713897705</v>
      </c>
      <c r="I1044" s="3" t="n">
        <v>-0.7799999713897705</v>
      </c>
      <c r="J1044" s="3" t="n">
        <v>-0.8360000252723694</v>
      </c>
      <c r="K1044" s="3" t="n">
        <v>-0.8360000252723694</v>
      </c>
      <c r="L1044" s="3" t="n">
        <v>-0.7799999713897705</v>
      </c>
      <c r="M1044" s="3" t="n">
        <v>-0.7799999713897705</v>
      </c>
      <c r="N1044" s="3" t="n">
        <v>-0.7799999713897705</v>
      </c>
      <c r="O1044" s="3" t="n">
        <v>-0.7799999713897705</v>
      </c>
      <c r="P1044" s="3" t="n">
        <v>-0.7799999713897705</v>
      </c>
      <c r="Q1044" s="3" t="n">
        <v>-0.7799999713897705</v>
      </c>
      <c r="R1044" s="3" t="n">
        <v>-0.7689999938011169</v>
      </c>
      <c r="S1044" s="3" t="n">
        <v>-0.9229999780654907</v>
      </c>
      <c r="T1044" s="3" t="n">
        <v>-0.7080000042915344</v>
      </c>
      <c r="U1044" s="3" t="n">
        <v>-0.8360000252723694</v>
      </c>
      <c r="V1044" s="3" t="n">
        <v>-0.671999990940094</v>
      </c>
      <c r="W1044" s="3" t="n">
        <v>-0.4199999868869781</v>
      </c>
      <c r="X1044" s="3" t="n">
        <v>-0.921999990940094</v>
      </c>
      <c r="Y1044" s="3" t="n">
        <v>-0.7799999713897705</v>
      </c>
      <c r="Z1044" s="3" t="n">
        <v>-0.9229999780654907</v>
      </c>
      <c r="AA1044" s="3" t="n">
        <v>-0.9229999780654907</v>
      </c>
      <c r="AB1044" s="3" t="n">
        <v>-0.921999990940094</v>
      </c>
      <c r="AC1044" s="3" t="n">
        <v>-0.9679999947547913</v>
      </c>
      <c r="AD1044" s="3" t="n">
        <v>-0.8360000252723694</v>
      </c>
      <c r="AE1044" s="3" t="n">
        <v>-0.8360000252723694</v>
      </c>
    </row>
    <row r="1045">
      <c r="A1045" s="3" t="inlineStr">
        <is>
          <t>ISR.distn.dec.ove.mean.8</t>
        </is>
      </c>
      <c r="B1045" s="3" t="inlineStr">
        <is>
          <t>ISR</t>
        </is>
      </c>
      <c r="C1045" s="3" t="n">
        <v>2005</v>
      </c>
      <c r="D1045" s="3" t="inlineStr">
        <is>
          <t>Overall</t>
        </is>
      </c>
      <c r="E1045" s="3" t="inlineStr">
        <is>
          <t>Deciles</t>
        </is>
      </c>
      <c r="F1045" s="3" t="inlineStr">
        <is>
          <t>mean</t>
        </is>
      </c>
      <c r="G1045" s="3" t="n">
        <v>8</v>
      </c>
      <c r="H1045" s="3" t="n">
        <v>-0.7803757786750793</v>
      </c>
      <c r="I1045" s="3" t="n">
        <v>-0.7803757786750793</v>
      </c>
      <c r="J1045" s="3" t="n">
        <v>-0.8382551670074463</v>
      </c>
      <c r="K1045" s="3" t="n">
        <v>-0.8382551670074463</v>
      </c>
      <c r="L1045" s="3" t="n">
        <v>-0.7803757786750793</v>
      </c>
      <c r="M1045" s="3" t="n">
        <v>-0.7803757786750793</v>
      </c>
      <c r="N1045" s="3" t="n">
        <v>-0.7803757786750793</v>
      </c>
      <c r="O1045" s="3" t="n">
        <v>-0.7803757786750793</v>
      </c>
      <c r="P1045" s="3" t="n">
        <v>-0.7803757786750793</v>
      </c>
      <c r="Q1045" s="3" t="n">
        <v>-0.7803757786750793</v>
      </c>
      <c r="R1045" s="3" t="n">
        <v>-0.7692528963088989</v>
      </c>
      <c r="S1045" s="3" t="n">
        <v>-0.9315885901451111</v>
      </c>
      <c r="T1045" s="3" t="n">
        <v>-0.7080408334732056</v>
      </c>
      <c r="U1045" s="3" t="n">
        <v>-0.8382551670074463</v>
      </c>
      <c r="V1045" s="3" t="n">
        <v>-0.6726946830749512</v>
      </c>
      <c r="W1045" s="3" t="n">
        <v>-0.4312470853328705</v>
      </c>
      <c r="X1045" s="3" t="n">
        <v>-0.9304012656211853</v>
      </c>
      <c r="Y1045" s="3" t="n">
        <v>-0.7803757786750793</v>
      </c>
      <c r="Z1045" s="3" t="n">
        <v>-0.9315885901451111</v>
      </c>
      <c r="AA1045" s="3" t="n">
        <v>-0.9315885901451111</v>
      </c>
      <c r="AB1045" s="3" t="n">
        <v>-0.9304012656211853</v>
      </c>
      <c r="AC1045" s="3" t="n">
        <v>-0.9818049669265747</v>
      </c>
      <c r="AD1045" s="3" t="n">
        <v>-0.8382551670074463</v>
      </c>
      <c r="AE1045" s="3" t="n">
        <v>-0.8382551670074463</v>
      </c>
    </row>
    <row r="1046">
      <c r="A1046" s="3" t="inlineStr">
        <is>
          <t>ISR.distn.dec.ove.mean.9</t>
        </is>
      </c>
      <c r="B1046" s="3" t="inlineStr">
        <is>
          <t>ISR</t>
        </is>
      </c>
      <c r="C1046" s="3" t="n">
        <v>2005</v>
      </c>
      <c r="D1046" s="3" t="inlineStr">
        <is>
          <t>Overall</t>
        </is>
      </c>
      <c r="E1046" s="3" t="inlineStr">
        <is>
          <t>Deciles</t>
        </is>
      </c>
      <c r="F1046" s="3" t="inlineStr">
        <is>
          <t>mean</t>
        </is>
      </c>
      <c r="G1046" s="3" t="n">
        <v>9</v>
      </c>
      <c r="H1046" s="3" t="n">
        <v>-0.7803757786750793</v>
      </c>
      <c r="I1046" s="3" t="n">
        <v>-0.7803757786750793</v>
      </c>
      <c r="J1046" s="3" t="n">
        <v>-0.8382551670074463</v>
      </c>
      <c r="K1046" s="3" t="n">
        <v>-0.8382551670074463</v>
      </c>
      <c r="L1046" s="3" t="n">
        <v>-0.7803757786750793</v>
      </c>
      <c r="M1046" s="3" t="n">
        <v>-0.7803757786750793</v>
      </c>
      <c r="N1046" s="3" t="n">
        <v>-0.7803757786750793</v>
      </c>
      <c r="O1046" s="3" t="n">
        <v>-0.7803757786750793</v>
      </c>
      <c r="P1046" s="3" t="n">
        <v>-0.7803757786750793</v>
      </c>
      <c r="Q1046" s="3" t="n">
        <v>-0.7803757786750793</v>
      </c>
      <c r="R1046" s="3" t="n">
        <v>-0.7692528963088989</v>
      </c>
      <c r="S1046" s="3" t="n">
        <v>-0.9315885901451111</v>
      </c>
      <c r="T1046" s="3" t="n">
        <v>-0.7080408334732056</v>
      </c>
      <c r="U1046" s="3" t="n">
        <v>-0.8382551670074463</v>
      </c>
      <c r="V1046" s="3" t="n">
        <v>-0.6726946830749512</v>
      </c>
      <c r="W1046" s="3" t="n">
        <v>-0.4312470853328705</v>
      </c>
      <c r="X1046" s="3" t="n">
        <v>-0.9304012656211853</v>
      </c>
      <c r="Y1046" s="3" t="n">
        <v>-0.7803757786750793</v>
      </c>
      <c r="Z1046" s="3" t="n">
        <v>-0.9315885901451111</v>
      </c>
      <c r="AA1046" s="3" t="n">
        <v>-0.9315885901451111</v>
      </c>
      <c r="AB1046" s="3" t="n">
        <v>-0.9304012656211853</v>
      </c>
      <c r="AC1046" s="3" t="n">
        <v>-0.9818049669265747</v>
      </c>
      <c r="AD1046" s="3" t="n">
        <v>-0.8382551670074463</v>
      </c>
      <c r="AE1046" s="3" t="n">
        <v>-0.8382551670074463</v>
      </c>
    </row>
    <row r="1047">
      <c r="A1047" s="3" t="inlineStr">
        <is>
          <t>ISR.distn.dec.ove.mean.10</t>
        </is>
      </c>
      <c r="B1047" s="3" t="inlineStr">
        <is>
          <t>ISR</t>
        </is>
      </c>
      <c r="C1047" s="3" t="n">
        <v>2005</v>
      </c>
      <c r="D1047" s="3" t="inlineStr">
        <is>
          <t>Overall</t>
        </is>
      </c>
      <c r="E1047" s="3" t="inlineStr">
        <is>
          <t>Deciles</t>
        </is>
      </c>
      <c r="F1047" s="3" t="inlineStr">
        <is>
          <t>mean</t>
        </is>
      </c>
      <c r="G1047" s="3" t="n">
        <v>10</v>
      </c>
      <c r="H1047" s="3" t="n">
        <v>-0.7803757786750793</v>
      </c>
      <c r="I1047" s="3" t="n">
        <v>-0.7803757786750793</v>
      </c>
      <c r="J1047" s="3" t="n">
        <v>-0.8382551670074463</v>
      </c>
      <c r="K1047" s="3" t="n">
        <v>-0.8382551670074463</v>
      </c>
      <c r="L1047" s="3" t="n">
        <v>-0.7803757786750793</v>
      </c>
      <c r="M1047" s="3" t="n">
        <v>-0.7803757786750793</v>
      </c>
      <c r="N1047" s="3" t="n">
        <v>-0.7803757786750793</v>
      </c>
      <c r="O1047" s="3" t="n">
        <v>-0.7803757786750793</v>
      </c>
      <c r="P1047" s="3" t="n">
        <v>-0.7803757786750793</v>
      </c>
      <c r="Q1047" s="3" t="n">
        <v>-0.7803757786750793</v>
      </c>
      <c r="R1047" s="3" t="n">
        <v>-0.7692528963088989</v>
      </c>
      <c r="S1047" s="3" t="n">
        <v>-0.9315885901451111</v>
      </c>
      <c r="T1047" s="3" t="n">
        <v>-0.7080408334732056</v>
      </c>
      <c r="U1047" s="3" t="n">
        <v>-0.8382551670074463</v>
      </c>
      <c r="V1047" s="3" t="n">
        <v>-0.6726946830749512</v>
      </c>
      <c r="W1047" s="3" t="n">
        <v>-0.4312470853328705</v>
      </c>
      <c r="X1047" s="3" t="n">
        <v>-0.9304012656211853</v>
      </c>
      <c r="Y1047" s="3" t="n">
        <v>-0.7803757786750793</v>
      </c>
      <c r="Z1047" s="3" t="n">
        <v>-0.9315885901451111</v>
      </c>
      <c r="AA1047" s="3" t="n">
        <v>-0.9315885901451111</v>
      </c>
      <c r="AB1047" s="3" t="n">
        <v>-0.9304012656211853</v>
      </c>
      <c r="AC1047" s="3" t="n">
        <v>-0.9818049669265747</v>
      </c>
      <c r="AD1047" s="3" t="n">
        <v>-0.8382551670074463</v>
      </c>
      <c r="AE1047" s="3" t="n">
        <v>-0.8382551670074463</v>
      </c>
    </row>
    <row r="1048">
      <c r="A1048" s="3" t="inlineStr">
        <is>
          <t>ISR.distn.bkt.ove.mean.9999</t>
        </is>
      </c>
      <c r="B1048" s="3" t="inlineStr">
        <is>
          <t>ISR</t>
        </is>
      </c>
      <c r="C1048" s="3" t="n">
        <v>2005</v>
      </c>
      <c r="D1048" s="3" t="inlineStr">
        <is>
          <t>Overall</t>
        </is>
      </c>
      <c r="E1048" s="3" t="inlineStr">
        <is>
          <t>Basket</t>
        </is>
      </c>
      <c r="F1048" s="3" t="inlineStr">
        <is>
          <t>mean</t>
        </is>
      </c>
      <c r="G1048" s="3" t="n">
        <v>9999</v>
      </c>
      <c r="H1048" s="3" t="n">
        <v>-0.7819802165031433</v>
      </c>
      <c r="I1048" s="3" t="n">
        <v>-0.7819802165031433</v>
      </c>
      <c r="J1048" s="3" t="n">
        <v>-0.8494107723236084</v>
      </c>
      <c r="K1048" s="3" t="n">
        <v>-0.8494107723236084</v>
      </c>
      <c r="L1048" s="3" t="n">
        <v>-0.7819802165031433</v>
      </c>
      <c r="M1048" s="3" t="n">
        <v>-0.7819802165031433</v>
      </c>
      <c r="N1048" s="3" t="n">
        <v>-0.7819802165031433</v>
      </c>
      <c r="O1048" s="3" t="n">
        <v>-0.7819802165031433</v>
      </c>
      <c r="P1048" s="3" t="n">
        <v>-0.7819802165031433</v>
      </c>
      <c r="Q1048" s="3" t="n">
        <v>-0.7819802165031433</v>
      </c>
      <c r="R1048" s="3" t="n">
        <v>-0.7701157331466675</v>
      </c>
      <c r="S1048" s="3" t="n">
        <v>-1.05521821975708</v>
      </c>
      <c r="T1048" s="3" t="n">
        <v>-0.708448052406311</v>
      </c>
      <c r="U1048" s="3" t="n">
        <v>-0.8494107723236084</v>
      </c>
      <c r="V1048" s="3" t="n">
        <v>-0.674279510974884</v>
      </c>
      <c r="W1048" s="3" t="n">
        <v>-0.4470878541469574</v>
      </c>
      <c r="X1048" s="3" t="n">
        <v>-1.039852142333984</v>
      </c>
      <c r="Y1048" s="3" t="n">
        <v>-0.7819802165031433</v>
      </c>
      <c r="Z1048" s="3" t="n">
        <v>-1.05521821975708</v>
      </c>
      <c r="AA1048" s="3" t="n">
        <v>-1.05521821975708</v>
      </c>
      <c r="AB1048" s="3" t="n">
        <v>-1.039852142333984</v>
      </c>
      <c r="AC1048" s="3" t="n">
        <v>-1.283080101013184</v>
      </c>
      <c r="AD1048" s="3" t="n">
        <v>-0.8494107723236084</v>
      </c>
      <c r="AE1048" s="3" t="n">
        <v>-0.8494107723236084</v>
      </c>
    </row>
    <row r="1049">
      <c r="A1049" s="3" t="inlineStr">
        <is>
          <t>ITA.distn.dec.ove.mean.1</t>
        </is>
      </c>
      <c r="B1049" s="3" t="inlineStr">
        <is>
          <t>ITA</t>
        </is>
      </c>
      <c r="C1049" s="3" t="n">
        <v>2005</v>
      </c>
      <c r="D1049" s="3" t="inlineStr">
        <is>
          <t>Overall</t>
        </is>
      </c>
      <c r="E1049" s="3" t="inlineStr">
        <is>
          <t>Deciles</t>
        </is>
      </c>
      <c r="F1049" s="3" t="inlineStr">
        <is>
          <t>mean</t>
        </is>
      </c>
      <c r="G1049" s="3" t="n">
        <v>1</v>
      </c>
      <c r="H1049" s="3" t="n">
        <v>-0.7882409691810608</v>
      </c>
      <c r="I1049" s="3" t="n">
        <v>-0.7882409691810608</v>
      </c>
      <c r="J1049" s="3" t="n">
        <v>-0.8921075463294983</v>
      </c>
      <c r="K1049" s="3" t="n">
        <v>-0.8921075463294983</v>
      </c>
      <c r="L1049" s="3" t="n">
        <v>-0.7882409691810608</v>
      </c>
      <c r="M1049" s="3" t="n">
        <v>-0.7882409691810608</v>
      </c>
      <c r="N1049" s="3" t="n">
        <v>-0.7882409691810608</v>
      </c>
      <c r="O1049" s="3" t="n">
        <v>-0.7882409691810608</v>
      </c>
      <c r="P1049" s="3" t="n">
        <v>-0.7882409691810608</v>
      </c>
      <c r="Q1049" s="3" t="n">
        <v>-0.7882409691810608</v>
      </c>
      <c r="R1049" s="3" t="n">
        <v>-0.7734707593917847</v>
      </c>
      <c r="S1049" s="3" t="n">
        <v>-1.431484580039978</v>
      </c>
      <c r="T1049" s="3" t="n">
        <v>-0.7094525694847107</v>
      </c>
      <c r="U1049" s="3" t="n">
        <v>-0.8921075463294983</v>
      </c>
      <c r="V1049" s="3" t="n">
        <v>-0.6829447150230408</v>
      </c>
      <c r="W1049" s="3" t="n">
        <v>-0.5952903628349304</v>
      </c>
      <c r="X1049" s="3" t="n">
        <v>-1.3772873878479</v>
      </c>
      <c r="Y1049" s="3" t="n">
        <v>-0.7882409691810608</v>
      </c>
      <c r="Z1049" s="3" t="n">
        <v>-1.431484580039978</v>
      </c>
      <c r="AA1049" s="3" t="n">
        <v>-1.431484580039978</v>
      </c>
      <c r="AB1049" s="3" t="n">
        <v>-1.3772873878479</v>
      </c>
      <c r="AC1049" s="3" t="n">
        <v>-2.176332235336304</v>
      </c>
      <c r="AD1049" s="3" t="n">
        <v>-0.8921075463294983</v>
      </c>
      <c r="AE1049" s="3" t="n">
        <v>-0.8921075463294983</v>
      </c>
    </row>
    <row r="1050">
      <c r="A1050" s="3" t="inlineStr">
        <is>
          <t>ITA.distn.dec.ove.mean.2</t>
        </is>
      </c>
      <c r="B1050" s="3" t="inlineStr">
        <is>
          <t>ITA</t>
        </is>
      </c>
      <c r="C1050" s="3" t="n">
        <v>2005</v>
      </c>
      <c r="D1050" s="3" t="inlineStr">
        <is>
          <t>Overall</t>
        </is>
      </c>
      <c r="E1050" s="3" t="inlineStr">
        <is>
          <t>Deciles</t>
        </is>
      </c>
      <c r="F1050" s="3" t="inlineStr">
        <is>
          <t>mean</t>
        </is>
      </c>
      <c r="G1050" s="3" t="n">
        <v>2</v>
      </c>
      <c r="H1050" s="3" t="n">
        <v>-0.7882409691810608</v>
      </c>
      <c r="I1050" s="3" t="n">
        <v>-0.7882409691810608</v>
      </c>
      <c r="J1050" s="3" t="n">
        <v>-0.8921075463294983</v>
      </c>
      <c r="K1050" s="3" t="n">
        <v>-0.8921075463294983</v>
      </c>
      <c r="L1050" s="3" t="n">
        <v>-0.7882409691810608</v>
      </c>
      <c r="M1050" s="3" t="n">
        <v>-0.7882409691810608</v>
      </c>
      <c r="N1050" s="3" t="n">
        <v>-0.7882409691810608</v>
      </c>
      <c r="O1050" s="3" t="n">
        <v>-0.7882409691810608</v>
      </c>
      <c r="P1050" s="3" t="n">
        <v>-0.7882409691810608</v>
      </c>
      <c r="Q1050" s="3" t="n">
        <v>-0.7882409691810608</v>
      </c>
      <c r="R1050" s="3" t="n">
        <v>-0.7734707593917847</v>
      </c>
      <c r="S1050" s="3" t="n">
        <v>-1.431484580039978</v>
      </c>
      <c r="T1050" s="3" t="n">
        <v>-0.7094525694847107</v>
      </c>
      <c r="U1050" s="3" t="n">
        <v>-0.8921075463294983</v>
      </c>
      <c r="V1050" s="3" t="n">
        <v>-0.6829447150230408</v>
      </c>
      <c r="W1050" s="3" t="n">
        <v>-0.5952903628349304</v>
      </c>
      <c r="X1050" s="3" t="n">
        <v>-1.3772873878479</v>
      </c>
      <c r="Y1050" s="3" t="n">
        <v>-0.7882409691810608</v>
      </c>
      <c r="Z1050" s="3" t="n">
        <v>-1.431484580039978</v>
      </c>
      <c r="AA1050" s="3" t="n">
        <v>-1.431484580039978</v>
      </c>
      <c r="AB1050" s="3" t="n">
        <v>-1.3772873878479</v>
      </c>
      <c r="AC1050" s="3" t="n">
        <v>-2.176332235336304</v>
      </c>
      <c r="AD1050" s="3" t="n">
        <v>-0.8921075463294983</v>
      </c>
      <c r="AE1050" s="3" t="n">
        <v>-0.8921075463294983</v>
      </c>
    </row>
    <row r="1051">
      <c r="A1051" s="3" t="inlineStr">
        <is>
          <t>ITA.distn.dec.ove.mean.3</t>
        </is>
      </c>
      <c r="B1051" s="3" t="inlineStr">
        <is>
          <t>ITA</t>
        </is>
      </c>
      <c r="C1051" s="3" t="n">
        <v>2005</v>
      </c>
      <c r="D1051" s="3" t="inlineStr">
        <is>
          <t>Overall</t>
        </is>
      </c>
      <c r="E1051" s="3" t="inlineStr">
        <is>
          <t>Deciles</t>
        </is>
      </c>
      <c r="F1051" s="3" t="inlineStr">
        <is>
          <t>mean</t>
        </is>
      </c>
      <c r="G1051" s="3" t="n">
        <v>3</v>
      </c>
      <c r="H1051" s="3" t="n">
        <v>-0.7882409691810608</v>
      </c>
      <c r="I1051" s="3" t="n">
        <v>-0.7882409691810608</v>
      </c>
      <c r="J1051" s="3" t="n">
        <v>-0.8921075463294983</v>
      </c>
      <c r="K1051" s="3" t="n">
        <v>-0.8921075463294983</v>
      </c>
      <c r="L1051" s="3" t="n">
        <v>-0.7882409691810608</v>
      </c>
      <c r="M1051" s="3" t="n">
        <v>-0.7882409691810608</v>
      </c>
      <c r="N1051" s="3" t="n">
        <v>-0.7882409691810608</v>
      </c>
      <c r="O1051" s="3" t="n">
        <v>-0.7882409691810608</v>
      </c>
      <c r="P1051" s="3" t="n">
        <v>-0.7882409691810608</v>
      </c>
      <c r="Q1051" s="3" t="n">
        <v>-0.7882409691810608</v>
      </c>
      <c r="R1051" s="3" t="n">
        <v>-0.7734707593917847</v>
      </c>
      <c r="S1051" s="3" t="n">
        <v>-1.431484580039978</v>
      </c>
      <c r="T1051" s="3" t="n">
        <v>-0.7094525694847107</v>
      </c>
      <c r="U1051" s="3" t="n">
        <v>-0.8921075463294983</v>
      </c>
      <c r="V1051" s="3" t="n">
        <v>-0.6829447150230408</v>
      </c>
      <c r="W1051" s="3" t="n">
        <v>-0.5952903628349304</v>
      </c>
      <c r="X1051" s="3" t="n">
        <v>-1.3772873878479</v>
      </c>
      <c r="Y1051" s="3" t="n">
        <v>-0.7882409691810608</v>
      </c>
      <c r="Z1051" s="3" t="n">
        <v>-1.431484580039978</v>
      </c>
      <c r="AA1051" s="3" t="n">
        <v>-1.431484580039978</v>
      </c>
      <c r="AB1051" s="3" t="n">
        <v>-1.3772873878479</v>
      </c>
      <c r="AC1051" s="3" t="n">
        <v>-2.176332235336304</v>
      </c>
      <c r="AD1051" s="3" t="n">
        <v>-0.8921075463294983</v>
      </c>
      <c r="AE1051" s="3" t="n">
        <v>-0.8921075463294983</v>
      </c>
    </row>
    <row r="1052">
      <c r="A1052" s="3" t="inlineStr">
        <is>
          <t>ITA.distn.dec.ove.mean.4</t>
        </is>
      </c>
      <c r="B1052" s="3" t="inlineStr">
        <is>
          <t>ITA</t>
        </is>
      </c>
      <c r="C1052" s="3" t="n">
        <v>2005</v>
      </c>
      <c r="D1052" s="3" t="inlineStr">
        <is>
          <t>Overall</t>
        </is>
      </c>
      <c r="E1052" s="3" t="inlineStr">
        <is>
          <t>Deciles</t>
        </is>
      </c>
      <c r="F1052" s="3" t="inlineStr">
        <is>
          <t>mean</t>
        </is>
      </c>
      <c r="G1052" s="3" t="n">
        <v>4</v>
      </c>
      <c r="H1052" s="3" t="n">
        <v>-0.7820000052452087</v>
      </c>
      <c r="I1052" s="3" t="n">
        <v>-0.7820000052452087</v>
      </c>
      <c r="J1052" s="3" t="n">
        <v>-0.8489999771118164</v>
      </c>
      <c r="K1052" s="3" t="n">
        <v>-0.8489999771118164</v>
      </c>
      <c r="L1052" s="3" t="n">
        <v>-0.7820000052452087</v>
      </c>
      <c r="M1052" s="3" t="n">
        <v>-0.7820000052452087</v>
      </c>
      <c r="N1052" s="3" t="n">
        <v>-0.7820000052452087</v>
      </c>
      <c r="O1052" s="3" t="n">
        <v>-0.7820000052452087</v>
      </c>
      <c r="P1052" s="3" t="n">
        <v>-0.7820000052452087</v>
      </c>
      <c r="Q1052" s="3" t="n">
        <v>-0.7820000052452087</v>
      </c>
      <c r="R1052" s="3" t="n">
        <v>-0.7699999809265137</v>
      </c>
      <c r="S1052" s="3" t="n">
        <v>-0.9750000238418579</v>
      </c>
      <c r="T1052" s="3" t="n">
        <v>-0.7080000042915344</v>
      </c>
      <c r="U1052" s="3" t="n">
        <v>-0.8489999771118164</v>
      </c>
      <c r="V1052" s="3" t="n">
        <v>-0.6759999990463257</v>
      </c>
      <c r="W1052" s="3" t="n">
        <v>-0.5009999871253967</v>
      </c>
      <c r="X1052" s="3" t="n">
        <v>-0.9720000028610229</v>
      </c>
      <c r="Y1052" s="3" t="n">
        <v>-0.7820000052452087</v>
      </c>
      <c r="Z1052" s="3" t="n">
        <v>-0.9750000238418579</v>
      </c>
      <c r="AA1052" s="3" t="n">
        <v>-0.9750000238418579</v>
      </c>
      <c r="AB1052" s="3" t="n">
        <v>-0.9720000028610229</v>
      </c>
      <c r="AC1052" s="3" t="n">
        <v>-1.050999999046326</v>
      </c>
      <c r="AD1052" s="3" t="n">
        <v>-0.8489999771118164</v>
      </c>
      <c r="AE1052" s="3" t="n">
        <v>-0.8489999771118164</v>
      </c>
    </row>
    <row r="1053">
      <c r="A1053" s="3" t="inlineStr">
        <is>
          <t>ITA.distn.dec.ove.mean.5</t>
        </is>
      </c>
      <c r="B1053" s="3" t="inlineStr">
        <is>
          <t>ITA</t>
        </is>
      </c>
      <c r="C1053" s="3" t="n">
        <v>2005</v>
      </c>
      <c r="D1053" s="3" t="inlineStr">
        <is>
          <t>Overall</t>
        </is>
      </c>
      <c r="E1053" s="3" t="inlineStr">
        <is>
          <t>Deciles</t>
        </is>
      </c>
      <c r="F1053" s="3" t="inlineStr">
        <is>
          <t>mean</t>
        </is>
      </c>
      <c r="G1053" s="3" t="n">
        <v>5</v>
      </c>
      <c r="H1053" s="3" t="n">
        <v>-0.7820000052452087</v>
      </c>
      <c r="I1053" s="3" t="n">
        <v>-0.7820000052452087</v>
      </c>
      <c r="J1053" s="3" t="n">
        <v>-0.8489999771118164</v>
      </c>
      <c r="K1053" s="3" t="n">
        <v>-0.8489999771118164</v>
      </c>
      <c r="L1053" s="3" t="n">
        <v>-0.7820000052452087</v>
      </c>
      <c r="M1053" s="3" t="n">
        <v>-0.7820000052452087</v>
      </c>
      <c r="N1053" s="3" t="n">
        <v>-0.7820000052452087</v>
      </c>
      <c r="O1053" s="3" t="n">
        <v>-0.7820000052452087</v>
      </c>
      <c r="P1053" s="3" t="n">
        <v>-0.7820000052452087</v>
      </c>
      <c r="Q1053" s="3" t="n">
        <v>-0.7820000052452087</v>
      </c>
      <c r="R1053" s="3" t="n">
        <v>-0.7699999809265137</v>
      </c>
      <c r="S1053" s="3" t="n">
        <v>-0.9750000238418579</v>
      </c>
      <c r="T1053" s="3" t="n">
        <v>-0.7080000042915344</v>
      </c>
      <c r="U1053" s="3" t="n">
        <v>-0.8489999771118164</v>
      </c>
      <c r="V1053" s="3" t="n">
        <v>-0.6759999990463257</v>
      </c>
      <c r="W1053" s="3" t="n">
        <v>-0.5009999871253967</v>
      </c>
      <c r="X1053" s="3" t="n">
        <v>-0.9720000028610229</v>
      </c>
      <c r="Y1053" s="3" t="n">
        <v>-0.7820000052452087</v>
      </c>
      <c r="Z1053" s="3" t="n">
        <v>-0.9750000238418579</v>
      </c>
      <c r="AA1053" s="3" t="n">
        <v>-0.9750000238418579</v>
      </c>
      <c r="AB1053" s="3" t="n">
        <v>-0.9720000028610229</v>
      </c>
      <c r="AC1053" s="3" t="n">
        <v>-1.050999999046326</v>
      </c>
      <c r="AD1053" s="3" t="n">
        <v>-0.8489999771118164</v>
      </c>
      <c r="AE1053" s="3" t="n">
        <v>-0.8489999771118164</v>
      </c>
    </row>
    <row r="1054">
      <c r="A1054" s="3" t="inlineStr">
        <is>
          <t>ITA.distn.dec.ove.mean.6</t>
        </is>
      </c>
      <c r="B1054" s="3" t="inlineStr">
        <is>
          <t>ITA</t>
        </is>
      </c>
      <c r="C1054" s="3" t="n">
        <v>2005</v>
      </c>
      <c r="D1054" s="3" t="inlineStr">
        <is>
          <t>Overall</t>
        </is>
      </c>
      <c r="E1054" s="3" t="inlineStr">
        <is>
          <t>Deciles</t>
        </is>
      </c>
      <c r="F1054" s="3" t="inlineStr">
        <is>
          <t>mean</t>
        </is>
      </c>
      <c r="G1054" s="3" t="n">
        <v>6</v>
      </c>
      <c r="H1054" s="3" t="n">
        <v>-0.7820000052452087</v>
      </c>
      <c r="I1054" s="3" t="n">
        <v>-0.7820000052452087</v>
      </c>
      <c r="J1054" s="3" t="n">
        <v>-0.8489999771118164</v>
      </c>
      <c r="K1054" s="3" t="n">
        <v>-0.8489999771118164</v>
      </c>
      <c r="L1054" s="3" t="n">
        <v>-0.7820000052452087</v>
      </c>
      <c r="M1054" s="3" t="n">
        <v>-0.7820000052452087</v>
      </c>
      <c r="N1054" s="3" t="n">
        <v>-0.7820000052452087</v>
      </c>
      <c r="O1054" s="3" t="n">
        <v>-0.7820000052452087</v>
      </c>
      <c r="P1054" s="3" t="n">
        <v>-0.7820000052452087</v>
      </c>
      <c r="Q1054" s="3" t="n">
        <v>-0.7820000052452087</v>
      </c>
      <c r="R1054" s="3" t="n">
        <v>-0.7699999809265137</v>
      </c>
      <c r="S1054" s="3" t="n">
        <v>-0.9750000238418579</v>
      </c>
      <c r="T1054" s="3" t="n">
        <v>-0.7080000042915344</v>
      </c>
      <c r="U1054" s="3" t="n">
        <v>-0.8489999771118164</v>
      </c>
      <c r="V1054" s="3" t="n">
        <v>-0.6759999990463257</v>
      </c>
      <c r="W1054" s="3" t="n">
        <v>-0.5009999871253967</v>
      </c>
      <c r="X1054" s="3" t="n">
        <v>-0.9720000028610229</v>
      </c>
      <c r="Y1054" s="3" t="n">
        <v>-0.7820000052452087</v>
      </c>
      <c r="Z1054" s="3" t="n">
        <v>-0.9750000238418579</v>
      </c>
      <c r="AA1054" s="3" t="n">
        <v>-0.9750000238418579</v>
      </c>
      <c r="AB1054" s="3" t="n">
        <v>-0.9720000028610229</v>
      </c>
      <c r="AC1054" s="3" t="n">
        <v>-1.050999999046326</v>
      </c>
      <c r="AD1054" s="3" t="n">
        <v>-0.8489999771118164</v>
      </c>
      <c r="AE1054" s="3" t="n">
        <v>-0.8489999771118164</v>
      </c>
    </row>
    <row r="1055">
      <c r="A1055" s="3" t="inlineStr">
        <is>
          <t>ITA.distn.dec.ove.mean.7</t>
        </is>
      </c>
      <c r="B1055" s="3" t="inlineStr">
        <is>
          <t>ITA</t>
        </is>
      </c>
      <c r="C1055" s="3" t="n">
        <v>2005</v>
      </c>
      <c r="D1055" s="3" t="inlineStr">
        <is>
          <t>Overall</t>
        </is>
      </c>
      <c r="E1055" s="3" t="inlineStr">
        <is>
          <t>Deciles</t>
        </is>
      </c>
      <c r="F1055" s="3" t="inlineStr">
        <is>
          <t>mean</t>
        </is>
      </c>
      <c r="G1055" s="3" t="n">
        <v>7</v>
      </c>
      <c r="H1055" s="3" t="n">
        <v>-0.7820000052452087</v>
      </c>
      <c r="I1055" s="3" t="n">
        <v>-0.7820000052452087</v>
      </c>
      <c r="J1055" s="3" t="n">
        <v>-0.8489999771118164</v>
      </c>
      <c r="K1055" s="3" t="n">
        <v>-0.8489999771118164</v>
      </c>
      <c r="L1055" s="3" t="n">
        <v>-0.7820000052452087</v>
      </c>
      <c r="M1055" s="3" t="n">
        <v>-0.7820000052452087</v>
      </c>
      <c r="N1055" s="3" t="n">
        <v>-0.7820000052452087</v>
      </c>
      <c r="O1055" s="3" t="n">
        <v>-0.7820000052452087</v>
      </c>
      <c r="P1055" s="3" t="n">
        <v>-0.7820000052452087</v>
      </c>
      <c r="Q1055" s="3" t="n">
        <v>-0.7820000052452087</v>
      </c>
      <c r="R1055" s="3" t="n">
        <v>-0.7699999809265137</v>
      </c>
      <c r="S1055" s="3" t="n">
        <v>-0.9750000238418579</v>
      </c>
      <c r="T1055" s="3" t="n">
        <v>-0.7080000042915344</v>
      </c>
      <c r="U1055" s="3" t="n">
        <v>-0.8489999771118164</v>
      </c>
      <c r="V1055" s="3" t="n">
        <v>-0.6759999990463257</v>
      </c>
      <c r="W1055" s="3" t="n">
        <v>-0.5009999871253967</v>
      </c>
      <c r="X1055" s="3" t="n">
        <v>-0.9720000028610229</v>
      </c>
      <c r="Y1055" s="3" t="n">
        <v>-0.7820000052452087</v>
      </c>
      <c r="Z1055" s="3" t="n">
        <v>-0.9750000238418579</v>
      </c>
      <c r="AA1055" s="3" t="n">
        <v>-0.9750000238418579</v>
      </c>
      <c r="AB1055" s="3" t="n">
        <v>-0.9720000028610229</v>
      </c>
      <c r="AC1055" s="3" t="n">
        <v>-1.050999999046326</v>
      </c>
      <c r="AD1055" s="3" t="n">
        <v>-0.8489999771118164</v>
      </c>
      <c r="AE1055" s="3" t="n">
        <v>-0.8489999771118164</v>
      </c>
    </row>
    <row r="1056">
      <c r="A1056" s="3" t="inlineStr">
        <is>
          <t>ITA.distn.dec.ove.mean.8</t>
        </is>
      </c>
      <c r="B1056" s="3" t="inlineStr">
        <is>
          <t>ITA</t>
        </is>
      </c>
      <c r="C1056" s="3" t="n">
        <v>2005</v>
      </c>
      <c r="D1056" s="3" t="inlineStr">
        <is>
          <t>Overall</t>
        </is>
      </c>
      <c r="E1056" s="3" t="inlineStr">
        <is>
          <t>Deciles</t>
        </is>
      </c>
      <c r="F1056" s="3" t="inlineStr">
        <is>
          <t>mean</t>
        </is>
      </c>
      <c r="G1056" s="3" t="n">
        <v>8</v>
      </c>
      <c r="H1056" s="3" t="n">
        <v>-0.782376766204834</v>
      </c>
      <c r="I1056" s="3" t="n">
        <v>-0.782376766204834</v>
      </c>
      <c r="J1056" s="3" t="n">
        <v>-0.851290225982666</v>
      </c>
      <c r="K1056" s="3" t="n">
        <v>-0.851290225982666</v>
      </c>
      <c r="L1056" s="3" t="n">
        <v>-0.782376766204834</v>
      </c>
      <c r="M1056" s="3" t="n">
        <v>-0.782376766204834</v>
      </c>
      <c r="N1056" s="3" t="n">
        <v>-0.782376766204834</v>
      </c>
      <c r="O1056" s="3" t="n">
        <v>-0.782376766204834</v>
      </c>
      <c r="P1056" s="3" t="n">
        <v>-0.782376766204834</v>
      </c>
      <c r="Q1056" s="3" t="n">
        <v>-0.782376766204834</v>
      </c>
      <c r="R1056" s="3" t="n">
        <v>-0.7702532410621643</v>
      </c>
      <c r="S1056" s="3" t="n">
        <v>-0.9840725064277649</v>
      </c>
      <c r="T1056" s="3" t="n">
        <v>-0.7080408334732056</v>
      </c>
      <c r="U1056" s="3" t="n">
        <v>-0.851290225982666</v>
      </c>
      <c r="V1056" s="3" t="n">
        <v>-0.6766988039016724</v>
      </c>
      <c r="W1056" s="3" t="n">
        <v>-0.5144161581993103</v>
      </c>
      <c r="X1056" s="3" t="n">
        <v>-0.9808568358421326</v>
      </c>
      <c r="Y1056" s="3" t="n">
        <v>-0.782376766204834</v>
      </c>
      <c r="Z1056" s="3" t="n">
        <v>-0.9840725064277649</v>
      </c>
      <c r="AA1056" s="3" t="n">
        <v>-0.9840725064277649</v>
      </c>
      <c r="AB1056" s="3" t="n">
        <v>-0.9808568358421326</v>
      </c>
      <c r="AC1056" s="3" t="n">
        <v>-1.065988659858704</v>
      </c>
      <c r="AD1056" s="3" t="n">
        <v>-0.851290225982666</v>
      </c>
      <c r="AE1056" s="3" t="n">
        <v>-0.851290225982666</v>
      </c>
    </row>
    <row r="1057">
      <c r="A1057" s="3" t="inlineStr">
        <is>
          <t>ITA.distn.dec.ove.mean.9</t>
        </is>
      </c>
      <c r="B1057" s="3" t="inlineStr">
        <is>
          <t>ITA</t>
        </is>
      </c>
      <c r="C1057" s="3" t="n">
        <v>2005</v>
      </c>
      <c r="D1057" s="3" t="inlineStr">
        <is>
          <t>Overall</t>
        </is>
      </c>
      <c r="E1057" s="3" t="inlineStr">
        <is>
          <t>Deciles</t>
        </is>
      </c>
      <c r="F1057" s="3" t="inlineStr">
        <is>
          <t>mean</t>
        </is>
      </c>
      <c r="G1057" s="3" t="n">
        <v>9</v>
      </c>
      <c r="H1057" s="3" t="n">
        <v>-0.782376766204834</v>
      </c>
      <c r="I1057" s="3" t="n">
        <v>-0.782376766204834</v>
      </c>
      <c r="J1057" s="3" t="n">
        <v>-0.851290225982666</v>
      </c>
      <c r="K1057" s="3" t="n">
        <v>-0.851290225982666</v>
      </c>
      <c r="L1057" s="3" t="n">
        <v>-0.782376766204834</v>
      </c>
      <c r="M1057" s="3" t="n">
        <v>-0.782376766204834</v>
      </c>
      <c r="N1057" s="3" t="n">
        <v>-0.782376766204834</v>
      </c>
      <c r="O1057" s="3" t="n">
        <v>-0.782376766204834</v>
      </c>
      <c r="P1057" s="3" t="n">
        <v>-0.782376766204834</v>
      </c>
      <c r="Q1057" s="3" t="n">
        <v>-0.782376766204834</v>
      </c>
      <c r="R1057" s="3" t="n">
        <v>-0.7702532410621643</v>
      </c>
      <c r="S1057" s="3" t="n">
        <v>-0.9840725064277649</v>
      </c>
      <c r="T1057" s="3" t="n">
        <v>-0.7080408334732056</v>
      </c>
      <c r="U1057" s="3" t="n">
        <v>-0.851290225982666</v>
      </c>
      <c r="V1057" s="3" t="n">
        <v>-0.6766988039016724</v>
      </c>
      <c r="W1057" s="3" t="n">
        <v>-0.5144161581993103</v>
      </c>
      <c r="X1057" s="3" t="n">
        <v>-0.9808568358421326</v>
      </c>
      <c r="Y1057" s="3" t="n">
        <v>-0.782376766204834</v>
      </c>
      <c r="Z1057" s="3" t="n">
        <v>-0.9840725064277649</v>
      </c>
      <c r="AA1057" s="3" t="n">
        <v>-0.9840725064277649</v>
      </c>
      <c r="AB1057" s="3" t="n">
        <v>-0.9808568358421326</v>
      </c>
      <c r="AC1057" s="3" t="n">
        <v>-1.065988659858704</v>
      </c>
      <c r="AD1057" s="3" t="n">
        <v>-0.851290225982666</v>
      </c>
      <c r="AE1057" s="3" t="n">
        <v>-0.851290225982666</v>
      </c>
    </row>
    <row r="1058">
      <c r="A1058" s="3" t="inlineStr">
        <is>
          <t>ITA.distn.dec.ove.mean.10</t>
        </is>
      </c>
      <c r="B1058" s="3" t="inlineStr">
        <is>
          <t>ITA</t>
        </is>
      </c>
      <c r="C1058" s="3" t="n">
        <v>2005</v>
      </c>
      <c r="D1058" s="3" t="inlineStr">
        <is>
          <t>Overall</t>
        </is>
      </c>
      <c r="E1058" s="3" t="inlineStr">
        <is>
          <t>Deciles</t>
        </is>
      </c>
      <c r="F1058" s="3" t="inlineStr">
        <is>
          <t>mean</t>
        </is>
      </c>
      <c r="G1058" s="3" t="n">
        <v>10</v>
      </c>
      <c r="H1058" s="3" t="n">
        <v>-0.782376766204834</v>
      </c>
      <c r="I1058" s="3" t="n">
        <v>-0.782376766204834</v>
      </c>
      <c r="J1058" s="3" t="n">
        <v>-0.851290225982666</v>
      </c>
      <c r="K1058" s="3" t="n">
        <v>-0.851290225982666</v>
      </c>
      <c r="L1058" s="3" t="n">
        <v>-0.782376766204834</v>
      </c>
      <c r="M1058" s="3" t="n">
        <v>-0.782376766204834</v>
      </c>
      <c r="N1058" s="3" t="n">
        <v>-0.782376766204834</v>
      </c>
      <c r="O1058" s="3" t="n">
        <v>-0.782376766204834</v>
      </c>
      <c r="P1058" s="3" t="n">
        <v>-0.782376766204834</v>
      </c>
      <c r="Q1058" s="3" t="n">
        <v>-0.782376766204834</v>
      </c>
      <c r="R1058" s="3" t="n">
        <v>-0.7702532410621643</v>
      </c>
      <c r="S1058" s="3" t="n">
        <v>-0.9840725064277649</v>
      </c>
      <c r="T1058" s="3" t="n">
        <v>-0.7080408334732056</v>
      </c>
      <c r="U1058" s="3" t="n">
        <v>-0.851290225982666</v>
      </c>
      <c r="V1058" s="3" t="n">
        <v>-0.6766988039016724</v>
      </c>
      <c r="W1058" s="3" t="n">
        <v>-0.5144161581993103</v>
      </c>
      <c r="X1058" s="3" t="n">
        <v>-0.9808568358421326</v>
      </c>
      <c r="Y1058" s="3" t="n">
        <v>-0.782376766204834</v>
      </c>
      <c r="Z1058" s="3" t="n">
        <v>-0.9840725064277649</v>
      </c>
      <c r="AA1058" s="3" t="n">
        <v>-0.9840725064277649</v>
      </c>
      <c r="AB1058" s="3" t="n">
        <v>-0.9808568358421326</v>
      </c>
      <c r="AC1058" s="3" t="n">
        <v>-1.065988659858704</v>
      </c>
      <c r="AD1058" s="3" t="n">
        <v>-0.851290225982666</v>
      </c>
      <c r="AE1058" s="3" t="n">
        <v>-0.851290225982666</v>
      </c>
    </row>
    <row r="1059">
      <c r="A1059" s="3" t="inlineStr">
        <is>
          <t>ITA.distn.bkt.ove.mean.9999</t>
        </is>
      </c>
      <c r="B1059" s="3" t="inlineStr">
        <is>
          <t>ITA</t>
        </is>
      </c>
      <c r="C1059" s="3" t="n">
        <v>2005</v>
      </c>
      <c r="D1059" s="3" t="inlineStr">
        <is>
          <t>Overall</t>
        </is>
      </c>
      <c r="E1059" s="3" t="inlineStr">
        <is>
          <t>Basket</t>
        </is>
      </c>
      <c r="F1059" s="3" t="inlineStr">
        <is>
          <t>mean</t>
        </is>
      </c>
      <c r="G1059" s="3" t="n">
        <v>9999</v>
      </c>
      <c r="H1059" s="3" t="n">
        <v>-0.7839853167533875</v>
      </c>
      <c r="I1059" s="3" t="n">
        <v>-0.7839853167533875</v>
      </c>
      <c r="J1059" s="3" t="n">
        <v>-0.8626193404197693</v>
      </c>
      <c r="K1059" s="3" t="n">
        <v>-0.8626193404197693</v>
      </c>
      <c r="L1059" s="3" t="n">
        <v>-0.7839853167533875</v>
      </c>
      <c r="M1059" s="3" t="n">
        <v>-0.7839853167533875</v>
      </c>
      <c r="N1059" s="3" t="n">
        <v>-0.7839853167533875</v>
      </c>
      <c r="O1059" s="3" t="n">
        <v>-0.7839853167533875</v>
      </c>
      <c r="P1059" s="3" t="n">
        <v>-0.7839853167533875</v>
      </c>
      <c r="Q1059" s="3" t="n">
        <v>-0.7839853167533875</v>
      </c>
      <c r="R1059" s="3" t="n">
        <v>-0.7711172103881836</v>
      </c>
      <c r="S1059" s="3" t="n">
        <v>-1.114667177200317</v>
      </c>
      <c r="T1059" s="3" t="n">
        <v>-0.708448052406311</v>
      </c>
      <c r="U1059" s="3" t="n">
        <v>-0.8626193404197693</v>
      </c>
      <c r="V1059" s="3" t="n">
        <v>-0.6782930493354797</v>
      </c>
      <c r="W1059" s="3" t="n">
        <v>-0.5333119630813599</v>
      </c>
      <c r="X1059" s="3" t="n">
        <v>-1.096243262290955</v>
      </c>
      <c r="Y1059" s="3" t="n">
        <v>-0.7839853167533875</v>
      </c>
      <c r="Z1059" s="3" t="n">
        <v>-1.114667177200317</v>
      </c>
      <c r="AA1059" s="3" t="n">
        <v>-1.114667177200317</v>
      </c>
      <c r="AB1059" s="3" t="n">
        <v>-1.096243262290955</v>
      </c>
      <c r="AC1059" s="3" t="n">
        <v>-1.393096208572388</v>
      </c>
      <c r="AD1059" s="3" t="n">
        <v>-0.8626193404197693</v>
      </c>
      <c r="AE1059" s="3" t="n">
        <v>-0.8626193404197693</v>
      </c>
    </row>
    <row r="1060">
      <c r="A1060" s="3" t="inlineStr">
        <is>
          <t>JAM.distn.dec.ove.mean.1</t>
        </is>
      </c>
      <c r="B1060" s="3" t="inlineStr">
        <is>
          <t>JAM</t>
        </is>
      </c>
      <c r="C1060" s="3" t="n">
        <v>2005</v>
      </c>
      <c r="D1060" s="3" t="inlineStr">
        <is>
          <t>Overall</t>
        </is>
      </c>
      <c r="E1060" s="3" t="inlineStr">
        <is>
          <t>Deciles</t>
        </is>
      </c>
      <c r="F1060" s="3" t="inlineStr">
        <is>
          <t>mean</t>
        </is>
      </c>
      <c r="G1060" s="3" t="n">
        <v>1</v>
      </c>
      <c r="H1060" s="3" t="n">
        <v>-0.7898249251501901</v>
      </c>
      <c r="I1060" s="3" t="n">
        <v>-0.7898249251501901</v>
      </c>
      <c r="J1060" s="3" t="n">
        <v>-0.9006037865366254</v>
      </c>
      <c r="K1060" s="3" t="n">
        <v>-0.9006037865366254</v>
      </c>
      <c r="L1060" s="3" t="n">
        <v>-0.7898249251501901</v>
      </c>
      <c r="M1060" s="3" t="n">
        <v>-0.7898249251501901</v>
      </c>
      <c r="N1060" s="3" t="n">
        <v>-0.7898249251501901</v>
      </c>
      <c r="O1060" s="3" t="n">
        <v>-0.7898249251501901</v>
      </c>
      <c r="P1060" s="3" t="n">
        <v>-0.7898249251501901</v>
      </c>
      <c r="Q1060" s="3" t="n">
        <v>-0.7898249251501901</v>
      </c>
      <c r="R1060" s="3" t="n">
        <v>-0.7744465725762504</v>
      </c>
      <c r="S1060" s="3" t="n">
        <v>-1.490841317176819</v>
      </c>
      <c r="T1060" s="3" t="n">
        <v>-0.7100824441228594</v>
      </c>
      <c r="U1060" s="3" t="n">
        <v>-0.9006037865366254</v>
      </c>
      <c r="V1060" s="3" t="n">
        <v>-0.6846477542604719</v>
      </c>
      <c r="W1060" s="3" t="n">
        <v>-0.6204802887780326</v>
      </c>
      <c r="X1060" s="3" t="n">
        <v>-1.433480068615505</v>
      </c>
      <c r="Y1060" s="3" t="n">
        <v>-0.7898249251501901</v>
      </c>
      <c r="Z1060" s="3" t="n">
        <v>-1.490841317176819</v>
      </c>
      <c r="AA1060" s="3" t="n">
        <v>-1.490841317176819</v>
      </c>
      <c r="AB1060" s="3" t="n">
        <v>-1.433480068615505</v>
      </c>
      <c r="AC1060" s="3" t="n">
        <v>-2.345895099639892</v>
      </c>
      <c r="AD1060" s="3" t="n">
        <v>-0.9006037865366254</v>
      </c>
      <c r="AE1060" s="3" t="n">
        <v>-0.9006037865366254</v>
      </c>
    </row>
    <row r="1061">
      <c r="A1061" s="3" t="inlineStr">
        <is>
          <t>JAM.distn.dec.ove.mean.2</t>
        </is>
      </c>
      <c r="B1061" s="3" t="inlineStr">
        <is>
          <t>JAM</t>
        </is>
      </c>
      <c r="C1061" s="3" t="n">
        <v>2005</v>
      </c>
      <c r="D1061" s="3" t="inlineStr">
        <is>
          <t>Overall</t>
        </is>
      </c>
      <c r="E1061" s="3" t="inlineStr">
        <is>
          <t>Deciles</t>
        </is>
      </c>
      <c r="F1061" s="3" t="inlineStr">
        <is>
          <t>mean</t>
        </is>
      </c>
      <c r="G1061" s="3" t="n">
        <v>2</v>
      </c>
      <c r="H1061" s="3" t="n">
        <v>-0.7898249251501901</v>
      </c>
      <c r="I1061" s="3" t="n">
        <v>-0.7898249251501901</v>
      </c>
      <c r="J1061" s="3" t="n">
        <v>-0.9006037865366254</v>
      </c>
      <c r="K1061" s="3" t="n">
        <v>-0.9006037865366254</v>
      </c>
      <c r="L1061" s="3" t="n">
        <v>-0.7898249251501901</v>
      </c>
      <c r="M1061" s="3" t="n">
        <v>-0.7898249251501901</v>
      </c>
      <c r="N1061" s="3" t="n">
        <v>-0.7898249251501901</v>
      </c>
      <c r="O1061" s="3" t="n">
        <v>-0.7898249251501901</v>
      </c>
      <c r="P1061" s="3" t="n">
        <v>-0.7898249251501901</v>
      </c>
      <c r="Q1061" s="3" t="n">
        <v>-0.7898249251501901</v>
      </c>
      <c r="R1061" s="3" t="n">
        <v>-0.7744465725762504</v>
      </c>
      <c r="S1061" s="3" t="n">
        <v>-1.490841317176819</v>
      </c>
      <c r="T1061" s="3" t="n">
        <v>-0.7100824441228594</v>
      </c>
      <c r="U1061" s="3" t="n">
        <v>-0.9006037865366254</v>
      </c>
      <c r="V1061" s="3" t="n">
        <v>-0.6846477542604719</v>
      </c>
      <c r="W1061" s="3" t="n">
        <v>-0.6204802887780326</v>
      </c>
      <c r="X1061" s="3" t="n">
        <v>-1.433480068615505</v>
      </c>
      <c r="Y1061" s="3" t="n">
        <v>-0.7898249251501901</v>
      </c>
      <c r="Z1061" s="3" t="n">
        <v>-1.490841317176819</v>
      </c>
      <c r="AA1061" s="3" t="n">
        <v>-1.490841317176819</v>
      </c>
      <c r="AB1061" s="3" t="n">
        <v>-1.433480068615505</v>
      </c>
      <c r="AC1061" s="3" t="n">
        <v>-2.345895099639892</v>
      </c>
      <c r="AD1061" s="3" t="n">
        <v>-0.9006037865366254</v>
      </c>
      <c r="AE1061" s="3" t="n">
        <v>-0.9006037865366254</v>
      </c>
    </row>
    <row r="1062">
      <c r="A1062" s="3" t="inlineStr">
        <is>
          <t>JAM.distn.dec.ove.mean.3</t>
        </is>
      </c>
      <c r="B1062" s="3" t="inlineStr">
        <is>
          <t>JAM</t>
        </is>
      </c>
      <c r="C1062" s="3" t="n">
        <v>2005</v>
      </c>
      <c r="D1062" s="3" t="inlineStr">
        <is>
          <t>Overall</t>
        </is>
      </c>
      <c r="E1062" s="3" t="inlineStr">
        <is>
          <t>Deciles</t>
        </is>
      </c>
      <c r="F1062" s="3" t="inlineStr">
        <is>
          <t>mean</t>
        </is>
      </c>
      <c r="G1062" s="3" t="n">
        <v>3</v>
      </c>
      <c r="H1062" s="3" t="n">
        <v>-0.7898249251501901</v>
      </c>
      <c r="I1062" s="3" t="n">
        <v>-0.7898249251501901</v>
      </c>
      <c r="J1062" s="3" t="n">
        <v>-0.9006037865366254</v>
      </c>
      <c r="K1062" s="3" t="n">
        <v>-0.9006037865366254</v>
      </c>
      <c r="L1062" s="3" t="n">
        <v>-0.7898249251501901</v>
      </c>
      <c r="M1062" s="3" t="n">
        <v>-0.7898249251501901</v>
      </c>
      <c r="N1062" s="3" t="n">
        <v>-0.7898249251501901</v>
      </c>
      <c r="O1062" s="3" t="n">
        <v>-0.7898249251501901</v>
      </c>
      <c r="P1062" s="3" t="n">
        <v>-0.7898249251501901</v>
      </c>
      <c r="Q1062" s="3" t="n">
        <v>-0.7898249251501901</v>
      </c>
      <c r="R1062" s="3" t="n">
        <v>-0.7744465725762504</v>
      </c>
      <c r="S1062" s="3" t="n">
        <v>-1.490841317176819</v>
      </c>
      <c r="T1062" s="3" t="n">
        <v>-0.7100824441228594</v>
      </c>
      <c r="U1062" s="3" t="n">
        <v>-0.9006037865366254</v>
      </c>
      <c r="V1062" s="3" t="n">
        <v>-0.6846477542604719</v>
      </c>
      <c r="W1062" s="3" t="n">
        <v>-0.6204802887780326</v>
      </c>
      <c r="X1062" s="3" t="n">
        <v>-1.433480068615505</v>
      </c>
      <c r="Y1062" s="3" t="n">
        <v>-0.7898249251501901</v>
      </c>
      <c r="Z1062" s="3" t="n">
        <v>-1.490841317176819</v>
      </c>
      <c r="AA1062" s="3" t="n">
        <v>-1.490841317176819</v>
      </c>
      <c r="AB1062" s="3" t="n">
        <v>-1.433480068615505</v>
      </c>
      <c r="AC1062" s="3" t="n">
        <v>-2.345895099639892</v>
      </c>
      <c r="AD1062" s="3" t="n">
        <v>-0.9006037865366254</v>
      </c>
      <c r="AE1062" s="3" t="n">
        <v>-0.9006037865366254</v>
      </c>
    </row>
    <row r="1063">
      <c r="A1063" s="3" t="inlineStr">
        <is>
          <t>JAM.distn.dec.ove.mean.4</t>
        </is>
      </c>
      <c r="B1063" s="3" t="inlineStr">
        <is>
          <t>JAM</t>
        </is>
      </c>
      <c r="C1063" s="3" t="n">
        <v>2005</v>
      </c>
      <c r="D1063" s="3" t="inlineStr">
        <is>
          <t>Overall</t>
        </is>
      </c>
      <c r="E1063" s="3" t="inlineStr">
        <is>
          <t>Deciles</t>
        </is>
      </c>
      <c r="F1063" s="3" t="inlineStr">
        <is>
          <t>mean</t>
        </is>
      </c>
      <c r="G1063" s="3" t="n">
        <v>4</v>
      </c>
      <c r="H1063" s="3" t="n">
        <v>-0.7835714289120266</v>
      </c>
      <c r="I1063" s="3" t="n">
        <v>-0.7835714289120266</v>
      </c>
      <c r="J1063" s="3" t="n">
        <v>-0.8570857082094465</v>
      </c>
      <c r="K1063" s="3" t="n">
        <v>-0.8570857082094465</v>
      </c>
      <c r="L1063" s="3" t="n">
        <v>-0.7835714289120266</v>
      </c>
      <c r="M1063" s="3" t="n">
        <v>-0.7835714289120266</v>
      </c>
      <c r="N1063" s="3" t="n">
        <v>-0.7835714289120266</v>
      </c>
      <c r="O1063" s="3" t="n">
        <v>-0.7835714289120266</v>
      </c>
      <c r="P1063" s="3" t="n">
        <v>-0.7835714289120266</v>
      </c>
      <c r="Q1063" s="3" t="n">
        <v>-0.7835714289120266</v>
      </c>
      <c r="R1063" s="3" t="n">
        <v>-0.7709714361599513</v>
      </c>
      <c r="S1063" s="3" t="n">
        <v>-1.015428565229688</v>
      </c>
      <c r="T1063" s="3" t="n">
        <v>-0.708628567627498</v>
      </c>
      <c r="U1063" s="3" t="n">
        <v>-0.8570857082094465</v>
      </c>
      <c r="V1063" s="3" t="n">
        <v>-0.6776857103620256</v>
      </c>
      <c r="W1063" s="3" t="n">
        <v>-0.5221999968801226</v>
      </c>
      <c r="X1063" s="3" t="n">
        <v>-1.011657135827201</v>
      </c>
      <c r="Y1063" s="3" t="n">
        <v>-0.7835714289120266</v>
      </c>
      <c r="Z1063" s="3" t="n">
        <v>-1.015428565229688</v>
      </c>
      <c r="AA1063" s="3" t="n">
        <v>-1.015428565229688</v>
      </c>
      <c r="AB1063" s="3" t="n">
        <v>-1.011657135827201</v>
      </c>
      <c r="AC1063" s="3" t="n">
        <v>-1.132885714939662</v>
      </c>
      <c r="AD1063" s="3" t="n">
        <v>-0.8570857082094465</v>
      </c>
      <c r="AE1063" s="3" t="n">
        <v>-0.8570857082094465</v>
      </c>
    </row>
    <row r="1064">
      <c r="A1064" s="3" t="inlineStr">
        <is>
          <t>JAM.distn.dec.ove.mean.5</t>
        </is>
      </c>
      <c r="B1064" s="3" t="inlineStr">
        <is>
          <t>JAM</t>
        </is>
      </c>
      <c r="C1064" s="3" t="n">
        <v>2005</v>
      </c>
      <c r="D1064" s="3" t="inlineStr">
        <is>
          <t>Overall</t>
        </is>
      </c>
      <c r="E1064" s="3" t="inlineStr">
        <is>
          <t>Deciles</t>
        </is>
      </c>
      <c r="F1064" s="3" t="inlineStr">
        <is>
          <t>mean</t>
        </is>
      </c>
      <c r="G1064" s="3" t="n">
        <v>5</v>
      </c>
      <c r="H1064" s="3" t="n">
        <v>-0.7835714289120266</v>
      </c>
      <c r="I1064" s="3" t="n">
        <v>-0.7835714289120266</v>
      </c>
      <c r="J1064" s="3" t="n">
        <v>-0.8570857082094465</v>
      </c>
      <c r="K1064" s="3" t="n">
        <v>-0.8570857082094465</v>
      </c>
      <c r="L1064" s="3" t="n">
        <v>-0.7835714289120266</v>
      </c>
      <c r="M1064" s="3" t="n">
        <v>-0.7835714289120266</v>
      </c>
      <c r="N1064" s="3" t="n">
        <v>-0.7835714289120266</v>
      </c>
      <c r="O1064" s="3" t="n">
        <v>-0.7835714289120266</v>
      </c>
      <c r="P1064" s="3" t="n">
        <v>-0.7835714289120266</v>
      </c>
      <c r="Q1064" s="3" t="n">
        <v>-0.7835714289120266</v>
      </c>
      <c r="R1064" s="3" t="n">
        <v>-0.7709714361599513</v>
      </c>
      <c r="S1064" s="3" t="n">
        <v>-1.015428565229688</v>
      </c>
      <c r="T1064" s="3" t="n">
        <v>-0.708628567627498</v>
      </c>
      <c r="U1064" s="3" t="n">
        <v>-0.8570857082094465</v>
      </c>
      <c r="V1064" s="3" t="n">
        <v>-0.6776857103620256</v>
      </c>
      <c r="W1064" s="3" t="n">
        <v>-0.5221999968801226</v>
      </c>
      <c r="X1064" s="3" t="n">
        <v>-1.011657135827201</v>
      </c>
      <c r="Y1064" s="3" t="n">
        <v>-0.7835714289120266</v>
      </c>
      <c r="Z1064" s="3" t="n">
        <v>-1.015428565229688</v>
      </c>
      <c r="AA1064" s="3" t="n">
        <v>-1.015428565229688</v>
      </c>
      <c r="AB1064" s="3" t="n">
        <v>-1.011657135827201</v>
      </c>
      <c r="AC1064" s="3" t="n">
        <v>-1.132885714939662</v>
      </c>
      <c r="AD1064" s="3" t="n">
        <v>-0.8570857082094465</v>
      </c>
      <c r="AE1064" s="3" t="n">
        <v>-0.8570857082094465</v>
      </c>
    </row>
    <row r="1065">
      <c r="A1065" s="3" t="inlineStr">
        <is>
          <t>JAM.distn.dec.ove.mean.6</t>
        </is>
      </c>
      <c r="B1065" s="3" t="inlineStr">
        <is>
          <t>JAM</t>
        </is>
      </c>
      <c r="C1065" s="3" t="n">
        <v>2005</v>
      </c>
      <c r="D1065" s="3" t="inlineStr">
        <is>
          <t>Overall</t>
        </is>
      </c>
      <c r="E1065" s="3" t="inlineStr">
        <is>
          <t>Deciles</t>
        </is>
      </c>
      <c r="F1065" s="3" t="inlineStr">
        <is>
          <t>mean</t>
        </is>
      </c>
      <c r="G1065" s="3" t="n">
        <v>6</v>
      </c>
      <c r="H1065" s="3" t="n">
        <v>-0.7835714289120266</v>
      </c>
      <c r="I1065" s="3" t="n">
        <v>-0.7835714289120266</v>
      </c>
      <c r="J1065" s="3" t="n">
        <v>-0.8570857082094465</v>
      </c>
      <c r="K1065" s="3" t="n">
        <v>-0.8570857082094465</v>
      </c>
      <c r="L1065" s="3" t="n">
        <v>-0.7835714289120266</v>
      </c>
      <c r="M1065" s="3" t="n">
        <v>-0.7835714289120266</v>
      </c>
      <c r="N1065" s="3" t="n">
        <v>-0.7835714289120266</v>
      </c>
      <c r="O1065" s="3" t="n">
        <v>-0.7835714289120266</v>
      </c>
      <c r="P1065" s="3" t="n">
        <v>-0.7835714289120266</v>
      </c>
      <c r="Q1065" s="3" t="n">
        <v>-0.7835714289120266</v>
      </c>
      <c r="R1065" s="3" t="n">
        <v>-0.7709714361599513</v>
      </c>
      <c r="S1065" s="3" t="n">
        <v>-1.015428565229688</v>
      </c>
      <c r="T1065" s="3" t="n">
        <v>-0.708628567627498</v>
      </c>
      <c r="U1065" s="3" t="n">
        <v>-0.8570857082094465</v>
      </c>
      <c r="V1065" s="3" t="n">
        <v>-0.6776857103620256</v>
      </c>
      <c r="W1065" s="3" t="n">
        <v>-0.5221999968801226</v>
      </c>
      <c r="X1065" s="3" t="n">
        <v>-1.011657135827201</v>
      </c>
      <c r="Y1065" s="3" t="n">
        <v>-0.7835714289120266</v>
      </c>
      <c r="Z1065" s="3" t="n">
        <v>-1.015428565229688</v>
      </c>
      <c r="AA1065" s="3" t="n">
        <v>-1.015428565229688</v>
      </c>
      <c r="AB1065" s="3" t="n">
        <v>-1.011657135827201</v>
      </c>
      <c r="AC1065" s="3" t="n">
        <v>-1.132885714939662</v>
      </c>
      <c r="AD1065" s="3" t="n">
        <v>-0.8570857082094465</v>
      </c>
      <c r="AE1065" s="3" t="n">
        <v>-0.8570857082094465</v>
      </c>
    </row>
    <row r="1066">
      <c r="A1066" s="3" t="inlineStr">
        <is>
          <t>JAM.distn.dec.ove.mean.7</t>
        </is>
      </c>
      <c r="B1066" s="3" t="inlineStr">
        <is>
          <t>JAM</t>
        </is>
      </c>
      <c r="C1066" s="3" t="n">
        <v>2005</v>
      </c>
      <c r="D1066" s="3" t="inlineStr">
        <is>
          <t>Overall</t>
        </is>
      </c>
      <c r="E1066" s="3" t="inlineStr">
        <is>
          <t>Deciles</t>
        </is>
      </c>
      <c r="F1066" s="3" t="inlineStr">
        <is>
          <t>mean</t>
        </is>
      </c>
      <c r="G1066" s="3" t="n">
        <v>7</v>
      </c>
      <c r="H1066" s="3" t="n">
        <v>-0.7835714289120266</v>
      </c>
      <c r="I1066" s="3" t="n">
        <v>-0.7835714289120266</v>
      </c>
      <c r="J1066" s="3" t="n">
        <v>-0.8570857082094465</v>
      </c>
      <c r="K1066" s="3" t="n">
        <v>-0.8570857082094465</v>
      </c>
      <c r="L1066" s="3" t="n">
        <v>-0.7835714289120266</v>
      </c>
      <c r="M1066" s="3" t="n">
        <v>-0.7835714289120266</v>
      </c>
      <c r="N1066" s="3" t="n">
        <v>-0.7835714289120266</v>
      </c>
      <c r="O1066" s="3" t="n">
        <v>-0.7835714289120266</v>
      </c>
      <c r="P1066" s="3" t="n">
        <v>-0.7835714289120266</v>
      </c>
      <c r="Q1066" s="3" t="n">
        <v>-0.7835714289120266</v>
      </c>
      <c r="R1066" s="3" t="n">
        <v>-0.7709714361599513</v>
      </c>
      <c r="S1066" s="3" t="n">
        <v>-1.015428565229688</v>
      </c>
      <c r="T1066" s="3" t="n">
        <v>-0.708628567627498</v>
      </c>
      <c r="U1066" s="3" t="n">
        <v>-0.8570857082094465</v>
      </c>
      <c r="V1066" s="3" t="n">
        <v>-0.6776857103620256</v>
      </c>
      <c r="W1066" s="3" t="n">
        <v>-0.5221999968801226</v>
      </c>
      <c r="X1066" s="3" t="n">
        <v>-1.011657135827201</v>
      </c>
      <c r="Y1066" s="3" t="n">
        <v>-0.7835714289120266</v>
      </c>
      <c r="Z1066" s="3" t="n">
        <v>-1.015428565229688</v>
      </c>
      <c r="AA1066" s="3" t="n">
        <v>-1.015428565229688</v>
      </c>
      <c r="AB1066" s="3" t="n">
        <v>-1.011657135827201</v>
      </c>
      <c r="AC1066" s="3" t="n">
        <v>-1.132885714939662</v>
      </c>
      <c r="AD1066" s="3" t="n">
        <v>-0.8570857082094465</v>
      </c>
      <c r="AE1066" s="3" t="n">
        <v>-0.8570857082094465</v>
      </c>
    </row>
    <row r="1067">
      <c r="A1067" s="3" t="inlineStr">
        <is>
          <t>JAM.distn.dec.ove.mean.8</t>
        </is>
      </c>
      <c r="B1067" s="3" t="inlineStr">
        <is>
          <t>JAM</t>
        </is>
      </c>
      <c r="C1067" s="3" t="n">
        <v>2005</v>
      </c>
      <c r="D1067" s="3" t="inlineStr">
        <is>
          <t>Overall</t>
        </is>
      </c>
      <c r="E1067" s="3" t="inlineStr">
        <is>
          <t>Deciles</t>
        </is>
      </c>
      <c r="F1067" s="3" t="inlineStr">
        <is>
          <t>mean</t>
        </is>
      </c>
      <c r="G1067" s="3" t="n">
        <v>8</v>
      </c>
      <c r="H1067" s="3" t="n">
        <v>-0.7839489357812064</v>
      </c>
      <c r="I1067" s="3" t="n">
        <v>-0.7839489357812064</v>
      </c>
      <c r="J1067" s="3" t="n">
        <v>-0.8593977723802839</v>
      </c>
      <c r="K1067" s="3" t="n">
        <v>-0.8593977723802839</v>
      </c>
      <c r="L1067" s="3" t="n">
        <v>-0.7839489357812064</v>
      </c>
      <c r="M1067" s="3" t="n">
        <v>-0.7839489357812064</v>
      </c>
      <c r="N1067" s="3" t="n">
        <v>-0.7839489357812064</v>
      </c>
      <c r="O1067" s="3" t="n">
        <v>-0.7839489357812064</v>
      </c>
      <c r="P1067" s="3" t="n">
        <v>-0.7839489357812064</v>
      </c>
      <c r="Q1067" s="3" t="n">
        <v>-0.7839489357812064</v>
      </c>
      <c r="R1067" s="3" t="n">
        <v>-0.7712249892098563</v>
      </c>
      <c r="S1067" s="3" t="n">
        <v>-1.024877253600529</v>
      </c>
      <c r="T1067" s="3" t="n">
        <v>-0.7086694342749459</v>
      </c>
      <c r="U1067" s="3" t="n">
        <v>-0.8593977723802839</v>
      </c>
      <c r="V1067" s="3" t="n">
        <v>-0.6783862863268171</v>
      </c>
      <c r="W1067" s="3" t="n">
        <v>-0.5361838928290776</v>
      </c>
      <c r="X1067" s="3" t="n">
        <v>-1.020875356878553</v>
      </c>
      <c r="Y1067" s="3" t="n">
        <v>-0.7839489357812064</v>
      </c>
      <c r="Z1067" s="3" t="n">
        <v>-1.024877253600529</v>
      </c>
      <c r="AA1067" s="3" t="n">
        <v>-1.024877253600529</v>
      </c>
      <c r="AB1067" s="3" t="n">
        <v>-1.020875356878553</v>
      </c>
      <c r="AC1067" s="3" t="n">
        <v>-1.149042170388358</v>
      </c>
      <c r="AD1067" s="3" t="n">
        <v>-0.8593977723802839</v>
      </c>
      <c r="AE1067" s="3" t="n">
        <v>-0.8593977723802839</v>
      </c>
    </row>
    <row r="1068">
      <c r="A1068" s="3" t="inlineStr">
        <is>
          <t>JAM.distn.dec.ove.mean.9</t>
        </is>
      </c>
      <c r="B1068" s="3" t="inlineStr">
        <is>
          <t>JAM</t>
        </is>
      </c>
      <c r="C1068" s="3" t="n">
        <v>2005</v>
      </c>
      <c r="D1068" s="3" t="inlineStr">
        <is>
          <t>Overall</t>
        </is>
      </c>
      <c r="E1068" s="3" t="inlineStr">
        <is>
          <t>Deciles</t>
        </is>
      </c>
      <c r="F1068" s="3" t="inlineStr">
        <is>
          <t>mean</t>
        </is>
      </c>
      <c r="G1068" s="3" t="n">
        <v>9</v>
      </c>
      <c r="H1068" s="3" t="n">
        <v>-0.7839489357812064</v>
      </c>
      <c r="I1068" s="3" t="n">
        <v>-0.7839489357812064</v>
      </c>
      <c r="J1068" s="3" t="n">
        <v>-0.8593977723802839</v>
      </c>
      <c r="K1068" s="3" t="n">
        <v>-0.8593977723802839</v>
      </c>
      <c r="L1068" s="3" t="n">
        <v>-0.7839489357812064</v>
      </c>
      <c r="M1068" s="3" t="n">
        <v>-0.7839489357812064</v>
      </c>
      <c r="N1068" s="3" t="n">
        <v>-0.7839489357812064</v>
      </c>
      <c r="O1068" s="3" t="n">
        <v>-0.7839489357812064</v>
      </c>
      <c r="P1068" s="3" t="n">
        <v>-0.7839489357812064</v>
      </c>
      <c r="Q1068" s="3" t="n">
        <v>-0.7839489357812064</v>
      </c>
      <c r="R1068" s="3" t="n">
        <v>-0.7712249892098563</v>
      </c>
      <c r="S1068" s="3" t="n">
        <v>-1.024877253600529</v>
      </c>
      <c r="T1068" s="3" t="n">
        <v>-0.7086694342749459</v>
      </c>
      <c r="U1068" s="3" t="n">
        <v>-0.8593977723802839</v>
      </c>
      <c r="V1068" s="3" t="n">
        <v>-0.6783862863268171</v>
      </c>
      <c r="W1068" s="3" t="n">
        <v>-0.5361838928290776</v>
      </c>
      <c r="X1068" s="3" t="n">
        <v>-1.020875356878553</v>
      </c>
      <c r="Y1068" s="3" t="n">
        <v>-0.7839489357812064</v>
      </c>
      <c r="Z1068" s="3" t="n">
        <v>-1.024877253600529</v>
      </c>
      <c r="AA1068" s="3" t="n">
        <v>-1.024877253600529</v>
      </c>
      <c r="AB1068" s="3" t="n">
        <v>-1.020875356878553</v>
      </c>
      <c r="AC1068" s="3" t="n">
        <v>-1.149042170388358</v>
      </c>
      <c r="AD1068" s="3" t="n">
        <v>-0.8593977723802839</v>
      </c>
      <c r="AE1068" s="3" t="n">
        <v>-0.8593977723802839</v>
      </c>
    </row>
    <row r="1069">
      <c r="A1069" s="3" t="inlineStr">
        <is>
          <t>JAM.distn.dec.ove.mean.10</t>
        </is>
      </c>
      <c r="B1069" s="3" t="inlineStr">
        <is>
          <t>JAM</t>
        </is>
      </c>
      <c r="C1069" s="3" t="n">
        <v>2005</v>
      </c>
      <c r="D1069" s="3" t="inlineStr">
        <is>
          <t>Overall</t>
        </is>
      </c>
      <c r="E1069" s="3" t="inlineStr">
        <is>
          <t>Deciles</t>
        </is>
      </c>
      <c r="F1069" s="3" t="inlineStr">
        <is>
          <t>mean</t>
        </is>
      </c>
      <c r="G1069" s="3" t="n">
        <v>10</v>
      </c>
      <c r="H1069" s="3" t="n">
        <v>-0.7839489357812064</v>
      </c>
      <c r="I1069" s="3" t="n">
        <v>-0.7839489357812064</v>
      </c>
      <c r="J1069" s="3" t="n">
        <v>-0.8593977723802839</v>
      </c>
      <c r="K1069" s="3" t="n">
        <v>-0.8593977723802839</v>
      </c>
      <c r="L1069" s="3" t="n">
        <v>-0.7839489357812064</v>
      </c>
      <c r="M1069" s="3" t="n">
        <v>-0.7839489357812064</v>
      </c>
      <c r="N1069" s="3" t="n">
        <v>-0.7839489357812064</v>
      </c>
      <c r="O1069" s="3" t="n">
        <v>-0.7839489357812064</v>
      </c>
      <c r="P1069" s="3" t="n">
        <v>-0.7839489357812064</v>
      </c>
      <c r="Q1069" s="3" t="n">
        <v>-0.7839489357812064</v>
      </c>
      <c r="R1069" s="3" t="n">
        <v>-0.7712249892098563</v>
      </c>
      <c r="S1069" s="3" t="n">
        <v>-1.024877253600529</v>
      </c>
      <c r="T1069" s="3" t="n">
        <v>-0.7086694342749459</v>
      </c>
      <c r="U1069" s="3" t="n">
        <v>-0.8593977723802839</v>
      </c>
      <c r="V1069" s="3" t="n">
        <v>-0.6783862863268171</v>
      </c>
      <c r="W1069" s="3" t="n">
        <v>-0.5361838928290776</v>
      </c>
      <c r="X1069" s="3" t="n">
        <v>-1.020875356878553</v>
      </c>
      <c r="Y1069" s="3" t="n">
        <v>-0.7839489357812064</v>
      </c>
      <c r="Z1069" s="3" t="n">
        <v>-1.024877253600529</v>
      </c>
      <c r="AA1069" s="3" t="n">
        <v>-1.024877253600529</v>
      </c>
      <c r="AB1069" s="3" t="n">
        <v>-1.020875356878553</v>
      </c>
      <c r="AC1069" s="3" t="n">
        <v>-1.149042170388358</v>
      </c>
      <c r="AD1069" s="3" t="n">
        <v>-0.8593977723802839</v>
      </c>
      <c r="AE1069" s="3" t="n">
        <v>-0.8593977723802839</v>
      </c>
    </row>
    <row r="1070">
      <c r="A1070" s="3" t="inlineStr">
        <is>
          <t>JAM.distn.bkt.ove.mean.9999</t>
        </is>
      </c>
      <c r="B1070" s="3" t="inlineStr">
        <is>
          <t>JAM</t>
        </is>
      </c>
      <c r="C1070" s="3" t="n">
        <v>2005</v>
      </c>
      <c r="D1070" s="3" t="inlineStr">
        <is>
          <t>Overall</t>
        </is>
      </c>
      <c r="E1070" s="3" t="inlineStr">
        <is>
          <t>Basket</t>
        </is>
      </c>
      <c r="F1070" s="3" t="inlineStr">
        <is>
          <t>mean</t>
        </is>
      </c>
      <c r="G1070" s="3" t="n">
        <v>9999</v>
      </c>
      <c r="H1070" s="3" t="n">
        <v>-0.7855607322284154</v>
      </c>
      <c r="I1070" s="3" t="n">
        <v>-0.7855607322284154</v>
      </c>
      <c r="J1070" s="3" t="n">
        <v>-0.8708347541945322</v>
      </c>
      <c r="K1070" s="3" t="n">
        <v>-0.8708347541945322</v>
      </c>
      <c r="L1070" s="3" t="n">
        <v>-0.7855607322284154</v>
      </c>
      <c r="M1070" s="3" t="n">
        <v>-0.7855607322284154</v>
      </c>
      <c r="N1070" s="3" t="n">
        <v>-0.7855607322284154</v>
      </c>
      <c r="O1070" s="3" t="n">
        <v>-0.7855607322284154</v>
      </c>
      <c r="P1070" s="3" t="n">
        <v>-0.7855607322284154</v>
      </c>
      <c r="Q1070" s="3" t="n">
        <v>-0.7855607322284154</v>
      </c>
      <c r="R1070" s="3" t="n">
        <v>-0.7720900552613394</v>
      </c>
      <c r="S1070" s="3" t="n">
        <v>-1.160887002944946</v>
      </c>
      <c r="T1070" s="3" t="n">
        <v>-0.7090769904000419</v>
      </c>
      <c r="U1070" s="3" t="n">
        <v>-0.8708347541945322</v>
      </c>
      <c r="V1070" s="3" t="n">
        <v>-0.6799844878060477</v>
      </c>
      <c r="W1070" s="3" t="n">
        <v>-0.5558792540005275</v>
      </c>
      <c r="X1070" s="3" t="n">
        <v>-1.140969473975045</v>
      </c>
      <c r="Y1070" s="3" t="n">
        <v>-0.7855607322284154</v>
      </c>
      <c r="Z1070" s="3" t="n">
        <v>-1.160887002944946</v>
      </c>
      <c r="AA1070" s="3" t="n">
        <v>-1.160887002944946</v>
      </c>
      <c r="AB1070" s="3" t="n">
        <v>-1.140969473975045</v>
      </c>
      <c r="AC1070" s="3" t="n">
        <v>-1.501635466303144</v>
      </c>
      <c r="AD1070" s="3" t="n">
        <v>-0.8708347541945322</v>
      </c>
      <c r="AE1070" s="3" t="n">
        <v>-0.8708347541945322</v>
      </c>
    </row>
    <row r="1071">
      <c r="A1071" s="3" t="inlineStr">
        <is>
          <t>JOR.distn.dec.ove.mean.1</t>
        </is>
      </c>
      <c r="B1071" s="3" t="inlineStr">
        <is>
          <t>JOR</t>
        </is>
      </c>
      <c r="C1071" s="3" t="n">
        <v>2005</v>
      </c>
      <c r="D1071" s="3" t="inlineStr">
        <is>
          <t>Overall</t>
        </is>
      </c>
      <c r="E1071" s="3" t="inlineStr">
        <is>
          <t>Deciles</t>
        </is>
      </c>
      <c r="F1071" s="3" t="inlineStr">
        <is>
          <t>mean</t>
        </is>
      </c>
      <c r="G1071" s="3" t="n">
        <v>1</v>
      </c>
      <c r="H1071" s="3" t="n">
        <v>-0.7902569174766541</v>
      </c>
      <c r="I1071" s="3" t="n">
        <v>-0.7902569174766541</v>
      </c>
      <c r="J1071" s="3" t="n">
        <v>-0.9026152491569519</v>
      </c>
      <c r="K1071" s="3" t="n">
        <v>-0.9026152491569519</v>
      </c>
      <c r="L1071" s="3" t="n">
        <v>-0.7902569174766541</v>
      </c>
      <c r="M1071" s="3" t="n">
        <v>-0.7902569174766541</v>
      </c>
      <c r="N1071" s="3" t="n">
        <v>-0.7902569174766541</v>
      </c>
      <c r="O1071" s="3" t="n">
        <v>-0.7902569174766541</v>
      </c>
      <c r="P1071" s="3" t="n">
        <v>-0.7902569174766541</v>
      </c>
      <c r="Q1071" s="3" t="n">
        <v>-0.7902569174766541</v>
      </c>
      <c r="R1071" s="3" t="n">
        <v>-0.7744752764701843</v>
      </c>
      <c r="S1071" s="3" t="n">
        <v>-1.497552990913391</v>
      </c>
      <c r="T1071" s="3" t="n">
        <v>-0.7104546427726746</v>
      </c>
      <c r="U1071" s="3" t="n">
        <v>-0.9026152491569519</v>
      </c>
      <c r="V1071" s="3" t="n">
        <v>-0.6849652528762817</v>
      </c>
      <c r="W1071" s="3" t="n">
        <v>-0.632124662399292</v>
      </c>
      <c r="X1071" s="3" t="n">
        <v>-1.439633727073669</v>
      </c>
      <c r="Y1071" s="3" t="n">
        <v>-0.7902569174766541</v>
      </c>
      <c r="Z1071" s="3" t="n">
        <v>-1.497552990913391</v>
      </c>
      <c r="AA1071" s="3" t="n">
        <v>-1.497552990913391</v>
      </c>
      <c r="AB1071" s="3" t="n">
        <v>-1.439633727073669</v>
      </c>
      <c r="AC1071" s="3" t="n">
        <v>-2.348202466964722</v>
      </c>
      <c r="AD1071" s="3" t="n">
        <v>-0.9026152491569519</v>
      </c>
      <c r="AE1071" s="3" t="n">
        <v>-0.9026152491569519</v>
      </c>
    </row>
    <row r="1072">
      <c r="A1072" s="3" t="inlineStr">
        <is>
          <t>JOR.distn.dec.ove.mean.2</t>
        </is>
      </c>
      <c r="B1072" s="3" t="inlineStr">
        <is>
          <t>JOR</t>
        </is>
      </c>
      <c r="C1072" s="3" t="n">
        <v>2005</v>
      </c>
      <c r="D1072" s="3" t="inlineStr">
        <is>
          <t>Overall</t>
        </is>
      </c>
      <c r="E1072" s="3" t="inlineStr">
        <is>
          <t>Deciles</t>
        </is>
      </c>
      <c r="F1072" s="3" t="inlineStr">
        <is>
          <t>mean</t>
        </is>
      </c>
      <c r="G1072" s="3" t="n">
        <v>2</v>
      </c>
      <c r="H1072" s="3" t="n">
        <v>-0.7902569174766541</v>
      </c>
      <c r="I1072" s="3" t="n">
        <v>-0.7902569174766541</v>
      </c>
      <c r="J1072" s="3" t="n">
        <v>-0.9026152491569519</v>
      </c>
      <c r="K1072" s="3" t="n">
        <v>-0.9026152491569519</v>
      </c>
      <c r="L1072" s="3" t="n">
        <v>-0.7902569174766541</v>
      </c>
      <c r="M1072" s="3" t="n">
        <v>-0.7902569174766541</v>
      </c>
      <c r="N1072" s="3" t="n">
        <v>-0.7902569174766541</v>
      </c>
      <c r="O1072" s="3" t="n">
        <v>-0.7902569174766541</v>
      </c>
      <c r="P1072" s="3" t="n">
        <v>-0.7902569174766541</v>
      </c>
      <c r="Q1072" s="3" t="n">
        <v>-0.7902569174766541</v>
      </c>
      <c r="R1072" s="3" t="n">
        <v>-0.7744752764701843</v>
      </c>
      <c r="S1072" s="3" t="n">
        <v>-1.497552990913391</v>
      </c>
      <c r="T1072" s="3" t="n">
        <v>-0.7104546427726746</v>
      </c>
      <c r="U1072" s="3" t="n">
        <v>-0.9026152491569519</v>
      </c>
      <c r="V1072" s="3" t="n">
        <v>-0.6849652528762817</v>
      </c>
      <c r="W1072" s="3" t="n">
        <v>-0.632124662399292</v>
      </c>
      <c r="X1072" s="3" t="n">
        <v>-1.439633727073669</v>
      </c>
      <c r="Y1072" s="3" t="n">
        <v>-0.7902569174766541</v>
      </c>
      <c r="Z1072" s="3" t="n">
        <v>-1.497552990913391</v>
      </c>
      <c r="AA1072" s="3" t="n">
        <v>-1.497552990913391</v>
      </c>
      <c r="AB1072" s="3" t="n">
        <v>-1.439633727073669</v>
      </c>
      <c r="AC1072" s="3" t="n">
        <v>-2.348202466964722</v>
      </c>
      <c r="AD1072" s="3" t="n">
        <v>-0.9026152491569519</v>
      </c>
      <c r="AE1072" s="3" t="n">
        <v>-0.9026152491569519</v>
      </c>
    </row>
    <row r="1073">
      <c r="A1073" s="3" t="inlineStr">
        <is>
          <t>JOR.distn.dec.ove.mean.3</t>
        </is>
      </c>
      <c r="B1073" s="3" t="inlineStr">
        <is>
          <t>JOR</t>
        </is>
      </c>
      <c r="C1073" s="3" t="n">
        <v>2005</v>
      </c>
      <c r="D1073" s="3" t="inlineStr">
        <is>
          <t>Overall</t>
        </is>
      </c>
      <c r="E1073" s="3" t="inlineStr">
        <is>
          <t>Deciles</t>
        </is>
      </c>
      <c r="F1073" s="3" t="inlineStr">
        <is>
          <t>mean</t>
        </is>
      </c>
      <c r="G1073" s="3" t="n">
        <v>3</v>
      </c>
      <c r="H1073" s="3" t="n">
        <v>-0.7902569174766541</v>
      </c>
      <c r="I1073" s="3" t="n">
        <v>-0.7902569174766541</v>
      </c>
      <c r="J1073" s="3" t="n">
        <v>-0.9026152491569519</v>
      </c>
      <c r="K1073" s="3" t="n">
        <v>-0.9026152491569519</v>
      </c>
      <c r="L1073" s="3" t="n">
        <v>-0.7902569174766541</v>
      </c>
      <c r="M1073" s="3" t="n">
        <v>-0.7902569174766541</v>
      </c>
      <c r="N1073" s="3" t="n">
        <v>-0.7902569174766541</v>
      </c>
      <c r="O1073" s="3" t="n">
        <v>-0.7902569174766541</v>
      </c>
      <c r="P1073" s="3" t="n">
        <v>-0.7902569174766541</v>
      </c>
      <c r="Q1073" s="3" t="n">
        <v>-0.7902569174766541</v>
      </c>
      <c r="R1073" s="3" t="n">
        <v>-0.7744752764701843</v>
      </c>
      <c r="S1073" s="3" t="n">
        <v>-1.497552990913391</v>
      </c>
      <c r="T1073" s="3" t="n">
        <v>-0.7104546427726746</v>
      </c>
      <c r="U1073" s="3" t="n">
        <v>-0.9026152491569519</v>
      </c>
      <c r="V1073" s="3" t="n">
        <v>-0.6849652528762817</v>
      </c>
      <c r="W1073" s="3" t="n">
        <v>-0.632124662399292</v>
      </c>
      <c r="X1073" s="3" t="n">
        <v>-1.439633727073669</v>
      </c>
      <c r="Y1073" s="3" t="n">
        <v>-0.7902569174766541</v>
      </c>
      <c r="Z1073" s="3" t="n">
        <v>-1.497552990913391</v>
      </c>
      <c r="AA1073" s="3" t="n">
        <v>-1.497552990913391</v>
      </c>
      <c r="AB1073" s="3" t="n">
        <v>-1.439633727073669</v>
      </c>
      <c r="AC1073" s="3" t="n">
        <v>-2.348202466964722</v>
      </c>
      <c r="AD1073" s="3" t="n">
        <v>-0.9026152491569519</v>
      </c>
      <c r="AE1073" s="3" t="n">
        <v>-0.9026152491569519</v>
      </c>
    </row>
    <row r="1074">
      <c r="A1074" s="3" t="inlineStr">
        <is>
          <t>JOR.distn.dec.ove.mean.4</t>
        </is>
      </c>
      <c r="B1074" s="3" t="inlineStr">
        <is>
          <t>JOR</t>
        </is>
      </c>
      <c r="C1074" s="3" t="n">
        <v>2005</v>
      </c>
      <c r="D1074" s="3" t="inlineStr">
        <is>
          <t>Overall</t>
        </is>
      </c>
      <c r="E1074" s="3" t="inlineStr">
        <is>
          <t>Deciles</t>
        </is>
      </c>
      <c r="F1074" s="3" t="inlineStr">
        <is>
          <t>mean</t>
        </is>
      </c>
      <c r="G1074" s="3" t="n">
        <v>4</v>
      </c>
      <c r="H1074" s="3" t="n">
        <v>-0.7839999794960022</v>
      </c>
      <c r="I1074" s="3" t="n">
        <v>-0.7839999794960022</v>
      </c>
      <c r="J1074" s="3" t="n">
        <v>-0.859000027179718</v>
      </c>
      <c r="K1074" s="3" t="n">
        <v>-0.859000027179718</v>
      </c>
      <c r="L1074" s="3" t="n">
        <v>-0.7839999794960022</v>
      </c>
      <c r="M1074" s="3" t="n">
        <v>-0.7839999794960022</v>
      </c>
      <c r="N1074" s="3" t="n">
        <v>-0.7839999794960022</v>
      </c>
      <c r="O1074" s="3" t="n">
        <v>-0.7839999794960022</v>
      </c>
      <c r="P1074" s="3" t="n">
        <v>-0.7839999794960022</v>
      </c>
      <c r="Q1074" s="3" t="n">
        <v>-0.7839999794960022</v>
      </c>
      <c r="R1074" s="3" t="n">
        <v>-0.7710000276565552</v>
      </c>
      <c r="S1074" s="3" t="n">
        <v>-1.019999980926514</v>
      </c>
      <c r="T1074" s="3" t="n">
        <v>-0.7089999914169312</v>
      </c>
      <c r="U1074" s="3" t="n">
        <v>-0.859000027179718</v>
      </c>
      <c r="V1074" s="3" t="n">
        <v>-0.6779999732971191</v>
      </c>
      <c r="W1074" s="3" t="n">
        <v>-0.5320000052452087</v>
      </c>
      <c r="X1074" s="3" t="n">
        <v>-1.016000032424927</v>
      </c>
      <c r="Y1074" s="3" t="n">
        <v>-0.7839999794960022</v>
      </c>
      <c r="Z1074" s="3" t="n">
        <v>-1.019999980926514</v>
      </c>
      <c r="AA1074" s="3" t="n">
        <v>-1.019999980926514</v>
      </c>
      <c r="AB1074" s="3" t="n">
        <v>-1.016000032424927</v>
      </c>
      <c r="AC1074" s="3" t="n">
        <v>-1.133999943733215</v>
      </c>
      <c r="AD1074" s="3" t="n">
        <v>-0.859000027179718</v>
      </c>
      <c r="AE1074" s="3" t="n">
        <v>-0.859000027179718</v>
      </c>
    </row>
    <row r="1075">
      <c r="A1075" s="3" t="inlineStr">
        <is>
          <t>JOR.distn.dec.ove.mean.5</t>
        </is>
      </c>
      <c r="B1075" s="3" t="inlineStr">
        <is>
          <t>JOR</t>
        </is>
      </c>
      <c r="C1075" s="3" t="n">
        <v>2005</v>
      </c>
      <c r="D1075" s="3" t="inlineStr">
        <is>
          <t>Overall</t>
        </is>
      </c>
      <c r="E1075" s="3" t="inlineStr">
        <is>
          <t>Deciles</t>
        </is>
      </c>
      <c r="F1075" s="3" t="inlineStr">
        <is>
          <t>mean</t>
        </is>
      </c>
      <c r="G1075" s="3" t="n">
        <v>5</v>
      </c>
      <c r="H1075" s="3" t="n">
        <v>-0.7839999794960022</v>
      </c>
      <c r="I1075" s="3" t="n">
        <v>-0.7839999794960022</v>
      </c>
      <c r="J1075" s="3" t="n">
        <v>-0.859000027179718</v>
      </c>
      <c r="K1075" s="3" t="n">
        <v>-0.859000027179718</v>
      </c>
      <c r="L1075" s="3" t="n">
        <v>-0.7839999794960022</v>
      </c>
      <c r="M1075" s="3" t="n">
        <v>-0.7839999794960022</v>
      </c>
      <c r="N1075" s="3" t="n">
        <v>-0.7839999794960022</v>
      </c>
      <c r="O1075" s="3" t="n">
        <v>-0.7839999794960022</v>
      </c>
      <c r="P1075" s="3" t="n">
        <v>-0.7839999794960022</v>
      </c>
      <c r="Q1075" s="3" t="n">
        <v>-0.7839999794960022</v>
      </c>
      <c r="R1075" s="3" t="n">
        <v>-0.7710000276565552</v>
      </c>
      <c r="S1075" s="3" t="n">
        <v>-1.019999980926514</v>
      </c>
      <c r="T1075" s="3" t="n">
        <v>-0.7089999914169312</v>
      </c>
      <c r="U1075" s="3" t="n">
        <v>-0.859000027179718</v>
      </c>
      <c r="V1075" s="3" t="n">
        <v>-0.6779999732971191</v>
      </c>
      <c r="W1075" s="3" t="n">
        <v>-0.5320000052452087</v>
      </c>
      <c r="X1075" s="3" t="n">
        <v>-1.016000032424927</v>
      </c>
      <c r="Y1075" s="3" t="n">
        <v>-0.7839999794960022</v>
      </c>
      <c r="Z1075" s="3" t="n">
        <v>-1.019999980926514</v>
      </c>
      <c r="AA1075" s="3" t="n">
        <v>-1.019999980926514</v>
      </c>
      <c r="AB1075" s="3" t="n">
        <v>-1.016000032424927</v>
      </c>
      <c r="AC1075" s="3" t="n">
        <v>-1.133999943733215</v>
      </c>
      <c r="AD1075" s="3" t="n">
        <v>-0.859000027179718</v>
      </c>
      <c r="AE1075" s="3" t="n">
        <v>-0.859000027179718</v>
      </c>
    </row>
    <row r="1076">
      <c r="A1076" s="3" t="inlineStr">
        <is>
          <t>JOR.distn.dec.ove.mean.6</t>
        </is>
      </c>
      <c r="B1076" s="3" t="inlineStr">
        <is>
          <t>JOR</t>
        </is>
      </c>
      <c r="C1076" s="3" t="n">
        <v>2005</v>
      </c>
      <c r="D1076" s="3" t="inlineStr">
        <is>
          <t>Overall</t>
        </is>
      </c>
      <c r="E1076" s="3" t="inlineStr">
        <is>
          <t>Deciles</t>
        </is>
      </c>
      <c r="F1076" s="3" t="inlineStr">
        <is>
          <t>mean</t>
        </is>
      </c>
      <c r="G1076" s="3" t="n">
        <v>6</v>
      </c>
      <c r="H1076" s="3" t="n">
        <v>-0.7839999794960022</v>
      </c>
      <c r="I1076" s="3" t="n">
        <v>-0.7839999794960022</v>
      </c>
      <c r="J1076" s="3" t="n">
        <v>-0.859000027179718</v>
      </c>
      <c r="K1076" s="3" t="n">
        <v>-0.859000027179718</v>
      </c>
      <c r="L1076" s="3" t="n">
        <v>-0.7839999794960022</v>
      </c>
      <c r="M1076" s="3" t="n">
        <v>-0.7839999794960022</v>
      </c>
      <c r="N1076" s="3" t="n">
        <v>-0.7839999794960022</v>
      </c>
      <c r="O1076" s="3" t="n">
        <v>-0.7839999794960022</v>
      </c>
      <c r="P1076" s="3" t="n">
        <v>-0.7839999794960022</v>
      </c>
      <c r="Q1076" s="3" t="n">
        <v>-0.7839999794960022</v>
      </c>
      <c r="R1076" s="3" t="n">
        <v>-0.7710000276565552</v>
      </c>
      <c r="S1076" s="3" t="n">
        <v>-1.019999980926514</v>
      </c>
      <c r="T1076" s="3" t="n">
        <v>-0.7089999914169312</v>
      </c>
      <c r="U1076" s="3" t="n">
        <v>-0.859000027179718</v>
      </c>
      <c r="V1076" s="3" t="n">
        <v>-0.6779999732971191</v>
      </c>
      <c r="W1076" s="3" t="n">
        <v>-0.5320000052452087</v>
      </c>
      <c r="X1076" s="3" t="n">
        <v>-1.016000032424927</v>
      </c>
      <c r="Y1076" s="3" t="n">
        <v>-0.7839999794960022</v>
      </c>
      <c r="Z1076" s="3" t="n">
        <v>-1.019999980926514</v>
      </c>
      <c r="AA1076" s="3" t="n">
        <v>-1.019999980926514</v>
      </c>
      <c r="AB1076" s="3" t="n">
        <v>-1.016000032424927</v>
      </c>
      <c r="AC1076" s="3" t="n">
        <v>-1.133999943733215</v>
      </c>
      <c r="AD1076" s="3" t="n">
        <v>-0.859000027179718</v>
      </c>
      <c r="AE1076" s="3" t="n">
        <v>-0.859000027179718</v>
      </c>
    </row>
    <row r="1077">
      <c r="A1077" s="3" t="inlineStr">
        <is>
          <t>JOR.distn.dec.ove.mean.7</t>
        </is>
      </c>
      <c r="B1077" s="3" t="inlineStr">
        <is>
          <t>JOR</t>
        </is>
      </c>
      <c r="C1077" s="3" t="n">
        <v>2005</v>
      </c>
      <c r="D1077" s="3" t="inlineStr">
        <is>
          <t>Overall</t>
        </is>
      </c>
      <c r="E1077" s="3" t="inlineStr">
        <is>
          <t>Deciles</t>
        </is>
      </c>
      <c r="F1077" s="3" t="inlineStr">
        <is>
          <t>mean</t>
        </is>
      </c>
      <c r="G1077" s="3" t="n">
        <v>7</v>
      </c>
      <c r="H1077" s="3" t="n">
        <v>-0.7839999794960022</v>
      </c>
      <c r="I1077" s="3" t="n">
        <v>-0.7839999794960022</v>
      </c>
      <c r="J1077" s="3" t="n">
        <v>-0.859000027179718</v>
      </c>
      <c r="K1077" s="3" t="n">
        <v>-0.859000027179718</v>
      </c>
      <c r="L1077" s="3" t="n">
        <v>-0.7839999794960022</v>
      </c>
      <c r="M1077" s="3" t="n">
        <v>-0.7839999794960022</v>
      </c>
      <c r="N1077" s="3" t="n">
        <v>-0.7839999794960022</v>
      </c>
      <c r="O1077" s="3" t="n">
        <v>-0.7839999794960022</v>
      </c>
      <c r="P1077" s="3" t="n">
        <v>-0.7839999794960022</v>
      </c>
      <c r="Q1077" s="3" t="n">
        <v>-0.7839999794960022</v>
      </c>
      <c r="R1077" s="3" t="n">
        <v>-0.7710000276565552</v>
      </c>
      <c r="S1077" s="3" t="n">
        <v>-1.019999980926514</v>
      </c>
      <c r="T1077" s="3" t="n">
        <v>-0.7089999914169312</v>
      </c>
      <c r="U1077" s="3" t="n">
        <v>-0.859000027179718</v>
      </c>
      <c r="V1077" s="3" t="n">
        <v>-0.6779999732971191</v>
      </c>
      <c r="W1077" s="3" t="n">
        <v>-0.5320000052452087</v>
      </c>
      <c r="X1077" s="3" t="n">
        <v>-1.016000032424927</v>
      </c>
      <c r="Y1077" s="3" t="n">
        <v>-0.7839999794960022</v>
      </c>
      <c r="Z1077" s="3" t="n">
        <v>-1.019999980926514</v>
      </c>
      <c r="AA1077" s="3" t="n">
        <v>-1.019999980926514</v>
      </c>
      <c r="AB1077" s="3" t="n">
        <v>-1.016000032424927</v>
      </c>
      <c r="AC1077" s="3" t="n">
        <v>-1.133999943733215</v>
      </c>
      <c r="AD1077" s="3" t="n">
        <v>-0.859000027179718</v>
      </c>
      <c r="AE1077" s="3" t="n">
        <v>-0.859000027179718</v>
      </c>
    </row>
    <row r="1078">
      <c r="A1078" s="3" t="inlineStr">
        <is>
          <t>JOR.distn.dec.ove.mean.8</t>
        </is>
      </c>
      <c r="B1078" s="3" t="inlineStr">
        <is>
          <t>JOR</t>
        </is>
      </c>
      <c r="C1078" s="3" t="n">
        <v>2005</v>
      </c>
      <c r="D1078" s="3" t="inlineStr">
        <is>
          <t>Overall</t>
        </is>
      </c>
      <c r="E1078" s="3" t="inlineStr">
        <is>
          <t>Deciles</t>
        </is>
      </c>
      <c r="F1078" s="3" t="inlineStr">
        <is>
          <t>mean</t>
        </is>
      </c>
      <c r="G1078" s="3" t="n">
        <v>8</v>
      </c>
      <c r="H1078" s="3" t="n">
        <v>-0.7843776941299438</v>
      </c>
      <c r="I1078" s="3" t="n">
        <v>-0.7843776941299438</v>
      </c>
      <c r="J1078" s="3" t="n">
        <v>-0.8613172173500061</v>
      </c>
      <c r="K1078" s="3" t="n">
        <v>-0.8613172173500061</v>
      </c>
      <c r="L1078" s="3" t="n">
        <v>-0.7843776941299438</v>
      </c>
      <c r="M1078" s="3" t="n">
        <v>-0.7843776941299438</v>
      </c>
      <c r="N1078" s="3" t="n">
        <v>-0.7843776941299438</v>
      </c>
      <c r="O1078" s="3" t="n">
        <v>-0.7843776941299438</v>
      </c>
      <c r="P1078" s="3" t="n">
        <v>-0.7843776941299438</v>
      </c>
      <c r="Q1078" s="3" t="n">
        <v>-0.7843776941299438</v>
      </c>
      <c r="R1078" s="3" t="n">
        <v>-0.7712535858154297</v>
      </c>
      <c r="S1078" s="3" t="n">
        <v>-1.029491186141968</v>
      </c>
      <c r="T1078" s="3" t="n">
        <v>-0.7090408802032471</v>
      </c>
      <c r="U1078" s="3" t="n">
        <v>-0.8613172173500061</v>
      </c>
      <c r="V1078" s="3" t="n">
        <v>-0.6787009239196777</v>
      </c>
      <c r="W1078" s="3" t="n">
        <v>-0.546246349811554</v>
      </c>
      <c r="X1078" s="3" t="n">
        <v>-1.02525782585144</v>
      </c>
      <c r="Y1078" s="3" t="n">
        <v>-0.7843776941299438</v>
      </c>
      <c r="Z1078" s="3" t="n">
        <v>-1.029491186141968</v>
      </c>
      <c r="AA1078" s="3" t="n">
        <v>-1.029491186141968</v>
      </c>
      <c r="AB1078" s="3" t="n">
        <v>-1.02525782585144</v>
      </c>
      <c r="AC1078" s="3" t="n">
        <v>-1.150172352790833</v>
      </c>
      <c r="AD1078" s="3" t="n">
        <v>-0.8613172173500061</v>
      </c>
      <c r="AE1078" s="3" t="n">
        <v>-0.8613172173500061</v>
      </c>
    </row>
    <row r="1079">
      <c r="A1079" s="3" t="inlineStr">
        <is>
          <t>JOR.distn.dec.ove.mean.9</t>
        </is>
      </c>
      <c r="B1079" s="3" t="inlineStr">
        <is>
          <t>JOR</t>
        </is>
      </c>
      <c r="C1079" s="3" t="n">
        <v>2005</v>
      </c>
      <c r="D1079" s="3" t="inlineStr">
        <is>
          <t>Overall</t>
        </is>
      </c>
      <c r="E1079" s="3" t="inlineStr">
        <is>
          <t>Deciles</t>
        </is>
      </c>
      <c r="F1079" s="3" t="inlineStr">
        <is>
          <t>mean</t>
        </is>
      </c>
      <c r="G1079" s="3" t="n">
        <v>9</v>
      </c>
      <c r="H1079" s="3" t="n">
        <v>-0.7843776941299438</v>
      </c>
      <c r="I1079" s="3" t="n">
        <v>-0.7843776941299438</v>
      </c>
      <c r="J1079" s="3" t="n">
        <v>-0.8613172173500061</v>
      </c>
      <c r="K1079" s="3" t="n">
        <v>-0.8613172173500061</v>
      </c>
      <c r="L1079" s="3" t="n">
        <v>-0.7843776941299438</v>
      </c>
      <c r="M1079" s="3" t="n">
        <v>-0.7843776941299438</v>
      </c>
      <c r="N1079" s="3" t="n">
        <v>-0.7843776941299438</v>
      </c>
      <c r="O1079" s="3" t="n">
        <v>-0.7843776941299438</v>
      </c>
      <c r="P1079" s="3" t="n">
        <v>-0.7843776941299438</v>
      </c>
      <c r="Q1079" s="3" t="n">
        <v>-0.7843776941299438</v>
      </c>
      <c r="R1079" s="3" t="n">
        <v>-0.7712535858154297</v>
      </c>
      <c r="S1079" s="3" t="n">
        <v>-1.029491186141968</v>
      </c>
      <c r="T1079" s="3" t="n">
        <v>-0.7090408802032471</v>
      </c>
      <c r="U1079" s="3" t="n">
        <v>-0.8613172173500061</v>
      </c>
      <c r="V1079" s="3" t="n">
        <v>-0.6787009239196777</v>
      </c>
      <c r="W1079" s="3" t="n">
        <v>-0.546246349811554</v>
      </c>
      <c r="X1079" s="3" t="n">
        <v>-1.02525782585144</v>
      </c>
      <c r="Y1079" s="3" t="n">
        <v>-0.7843776941299438</v>
      </c>
      <c r="Z1079" s="3" t="n">
        <v>-1.029491186141968</v>
      </c>
      <c r="AA1079" s="3" t="n">
        <v>-1.029491186141968</v>
      </c>
      <c r="AB1079" s="3" t="n">
        <v>-1.02525782585144</v>
      </c>
      <c r="AC1079" s="3" t="n">
        <v>-1.150172352790833</v>
      </c>
      <c r="AD1079" s="3" t="n">
        <v>-0.8613172173500061</v>
      </c>
      <c r="AE1079" s="3" t="n">
        <v>-0.8613172173500061</v>
      </c>
    </row>
    <row r="1080">
      <c r="A1080" s="3" t="inlineStr">
        <is>
          <t>JOR.distn.dec.ove.mean.10</t>
        </is>
      </c>
      <c r="B1080" s="3" t="inlineStr">
        <is>
          <t>JOR</t>
        </is>
      </c>
      <c r="C1080" s="3" t="n">
        <v>2005</v>
      </c>
      <c r="D1080" s="3" t="inlineStr">
        <is>
          <t>Overall</t>
        </is>
      </c>
      <c r="E1080" s="3" t="inlineStr">
        <is>
          <t>Deciles</t>
        </is>
      </c>
      <c r="F1080" s="3" t="inlineStr">
        <is>
          <t>mean</t>
        </is>
      </c>
      <c r="G1080" s="3" t="n">
        <v>10</v>
      </c>
      <c r="H1080" s="3" t="n">
        <v>-0.7843776941299438</v>
      </c>
      <c r="I1080" s="3" t="n">
        <v>-0.7843776941299438</v>
      </c>
      <c r="J1080" s="3" t="n">
        <v>-0.8613172173500061</v>
      </c>
      <c r="K1080" s="3" t="n">
        <v>-0.8613172173500061</v>
      </c>
      <c r="L1080" s="3" t="n">
        <v>-0.7843776941299438</v>
      </c>
      <c r="M1080" s="3" t="n">
        <v>-0.7843776941299438</v>
      </c>
      <c r="N1080" s="3" t="n">
        <v>-0.7843776941299438</v>
      </c>
      <c r="O1080" s="3" t="n">
        <v>-0.7843776941299438</v>
      </c>
      <c r="P1080" s="3" t="n">
        <v>-0.7843776941299438</v>
      </c>
      <c r="Q1080" s="3" t="n">
        <v>-0.7843776941299438</v>
      </c>
      <c r="R1080" s="3" t="n">
        <v>-0.7712535858154297</v>
      </c>
      <c r="S1080" s="3" t="n">
        <v>-1.029491186141968</v>
      </c>
      <c r="T1080" s="3" t="n">
        <v>-0.7090408802032471</v>
      </c>
      <c r="U1080" s="3" t="n">
        <v>-0.8613172173500061</v>
      </c>
      <c r="V1080" s="3" t="n">
        <v>-0.6787009239196777</v>
      </c>
      <c r="W1080" s="3" t="n">
        <v>-0.546246349811554</v>
      </c>
      <c r="X1080" s="3" t="n">
        <v>-1.02525782585144</v>
      </c>
      <c r="Y1080" s="3" t="n">
        <v>-0.7843776941299438</v>
      </c>
      <c r="Z1080" s="3" t="n">
        <v>-1.029491186141968</v>
      </c>
      <c r="AA1080" s="3" t="n">
        <v>-1.029491186141968</v>
      </c>
      <c r="AB1080" s="3" t="n">
        <v>-1.02525782585144</v>
      </c>
      <c r="AC1080" s="3" t="n">
        <v>-1.150172352790833</v>
      </c>
      <c r="AD1080" s="3" t="n">
        <v>-0.8613172173500061</v>
      </c>
      <c r="AE1080" s="3" t="n">
        <v>-0.8613172173500061</v>
      </c>
    </row>
    <row r="1081">
      <c r="A1081" s="3" t="inlineStr">
        <is>
          <t>JOR.distn.bkt.ove.mean.9999</t>
        </is>
      </c>
      <c r="B1081" s="3" t="inlineStr">
        <is>
          <t>JOR</t>
        </is>
      </c>
      <c r="C1081" s="3" t="n">
        <v>2005</v>
      </c>
      <c r="D1081" s="3" t="inlineStr">
        <is>
          <t>Overall</t>
        </is>
      </c>
      <c r="E1081" s="3" t="inlineStr">
        <is>
          <t>Basket</t>
        </is>
      </c>
      <c r="F1081" s="3" t="inlineStr">
        <is>
          <t>mean</t>
        </is>
      </c>
      <c r="G1081" s="3" t="n">
        <v>9999</v>
      </c>
      <c r="H1081" s="3" t="n">
        <v>-0.7859903573989868</v>
      </c>
      <c r="I1081" s="3" t="n">
        <v>-0.7859903573989868</v>
      </c>
      <c r="J1081" s="3" t="n">
        <v>-0.8727797269821167</v>
      </c>
      <c r="K1081" s="3" t="n">
        <v>-0.8727797269821167</v>
      </c>
      <c r="L1081" s="3" t="n">
        <v>-0.7859903573989868</v>
      </c>
      <c r="M1081" s="3" t="n">
        <v>-0.7859903573989868</v>
      </c>
      <c r="N1081" s="3" t="n">
        <v>-0.7859903573989868</v>
      </c>
      <c r="O1081" s="3" t="n">
        <v>-0.7859903573989868</v>
      </c>
      <c r="P1081" s="3" t="n">
        <v>-0.7859903573989868</v>
      </c>
      <c r="Q1081" s="3" t="n">
        <v>-0.7859903573989868</v>
      </c>
      <c r="R1081" s="3" t="n">
        <v>-0.7721186876296997</v>
      </c>
      <c r="S1081" s="3" t="n">
        <v>-1.166113257408142</v>
      </c>
      <c r="T1081" s="3" t="n">
        <v>-0.7094486355781555</v>
      </c>
      <c r="U1081" s="3" t="n">
        <v>-0.8727797269821167</v>
      </c>
      <c r="V1081" s="3" t="n">
        <v>-0.6802998185157776</v>
      </c>
      <c r="W1081" s="3" t="n">
        <v>-0.5663112998008728</v>
      </c>
      <c r="X1081" s="3" t="n">
        <v>-1.145867466926575</v>
      </c>
      <c r="Y1081" s="3" t="n">
        <v>-0.7859903573989868</v>
      </c>
      <c r="Z1081" s="3" t="n">
        <v>-1.166113257408142</v>
      </c>
      <c r="AA1081" s="3" t="n">
        <v>-1.166113257408142</v>
      </c>
      <c r="AB1081" s="3" t="n">
        <v>-1.145867466926575</v>
      </c>
      <c r="AC1081" s="3" t="n">
        <v>-1.503112435340881</v>
      </c>
      <c r="AD1081" s="3" t="n">
        <v>-0.8727797269821167</v>
      </c>
      <c r="AE1081" s="3" t="n">
        <v>-0.8727797269821167</v>
      </c>
    </row>
    <row r="1082">
      <c r="A1082" s="3" t="inlineStr">
        <is>
          <t>JPN.distn.dec.ove.mean.1</t>
        </is>
      </c>
      <c r="B1082" s="3" t="inlineStr">
        <is>
          <t>JPN</t>
        </is>
      </c>
      <c r="C1082" s="3" t="n">
        <v>2005</v>
      </c>
      <c r="D1082" s="3" t="inlineStr">
        <is>
          <t>Overall</t>
        </is>
      </c>
      <c r="E1082" s="3" t="inlineStr">
        <is>
          <t>Deciles</t>
        </is>
      </c>
      <c r="F1082" s="3" t="inlineStr">
        <is>
          <t>mean</t>
        </is>
      </c>
      <c r="G1082" s="3" t="n">
        <v>1</v>
      </c>
      <c r="H1082" s="3" t="n">
        <v>-0.7882409691810608</v>
      </c>
      <c r="I1082" s="3" t="n">
        <v>-0.7882409691810608</v>
      </c>
      <c r="J1082" s="3" t="n">
        <v>-0.8900059461593628</v>
      </c>
      <c r="K1082" s="3" t="n">
        <v>-0.8900059461593628</v>
      </c>
      <c r="L1082" s="3" t="n">
        <v>-0.7882409691810608</v>
      </c>
      <c r="M1082" s="3" t="n">
        <v>-0.7882409691810608</v>
      </c>
      <c r="N1082" s="3" t="n">
        <v>-0.7882409691810608</v>
      </c>
      <c r="O1082" s="3" t="n">
        <v>-0.7882409691810608</v>
      </c>
      <c r="P1082" s="3" t="n">
        <v>-0.7882409691810608</v>
      </c>
      <c r="Q1082" s="3" t="n">
        <v>-0.7882409691810608</v>
      </c>
      <c r="R1082" s="3" t="n">
        <v>-0.7734707593917847</v>
      </c>
      <c r="S1082" s="3" t="n">
        <v>-1.418270826339722</v>
      </c>
      <c r="T1082" s="3" t="n">
        <v>-0.7094525694847107</v>
      </c>
      <c r="U1082" s="3" t="n">
        <v>-0.8900059461593628</v>
      </c>
      <c r="V1082" s="3" t="n">
        <v>-0.6829447150230408</v>
      </c>
      <c r="W1082" s="3" t="n">
        <v>-0.5857847332954407</v>
      </c>
      <c r="X1082" s="3" t="n">
        <v>-1.365951657295227</v>
      </c>
      <c r="Y1082" s="3" t="n">
        <v>-0.7882409691810608</v>
      </c>
      <c r="Z1082" s="3" t="n">
        <v>-1.418270826339722</v>
      </c>
      <c r="AA1082" s="3" t="n">
        <v>-1.418270826339722</v>
      </c>
      <c r="AB1082" s="3" t="n">
        <v>-1.365951657295227</v>
      </c>
      <c r="AC1082" s="3" t="n">
        <v>-2.145271301269531</v>
      </c>
      <c r="AD1082" s="3" t="n">
        <v>-0.8900059461593628</v>
      </c>
      <c r="AE1082" s="3" t="n">
        <v>-0.8900059461593628</v>
      </c>
    </row>
    <row r="1083">
      <c r="A1083" s="3" t="inlineStr">
        <is>
          <t>JPN.distn.dec.ove.mean.2</t>
        </is>
      </c>
      <c r="B1083" s="3" t="inlineStr">
        <is>
          <t>JPN</t>
        </is>
      </c>
      <c r="C1083" s="3" t="n">
        <v>2005</v>
      </c>
      <c r="D1083" s="3" t="inlineStr">
        <is>
          <t>Overall</t>
        </is>
      </c>
      <c r="E1083" s="3" t="inlineStr">
        <is>
          <t>Deciles</t>
        </is>
      </c>
      <c r="F1083" s="3" t="inlineStr">
        <is>
          <t>mean</t>
        </is>
      </c>
      <c r="G1083" s="3" t="n">
        <v>2</v>
      </c>
      <c r="H1083" s="3" t="n">
        <v>-0.7882409691810608</v>
      </c>
      <c r="I1083" s="3" t="n">
        <v>-0.7882409691810608</v>
      </c>
      <c r="J1083" s="3" t="n">
        <v>-0.8900059461593628</v>
      </c>
      <c r="K1083" s="3" t="n">
        <v>-0.8900059461593628</v>
      </c>
      <c r="L1083" s="3" t="n">
        <v>-0.7882409691810608</v>
      </c>
      <c r="M1083" s="3" t="n">
        <v>-0.7882409691810608</v>
      </c>
      <c r="N1083" s="3" t="n">
        <v>-0.7882409691810608</v>
      </c>
      <c r="O1083" s="3" t="n">
        <v>-0.7882409691810608</v>
      </c>
      <c r="P1083" s="3" t="n">
        <v>-0.7882409691810608</v>
      </c>
      <c r="Q1083" s="3" t="n">
        <v>-0.7882409691810608</v>
      </c>
      <c r="R1083" s="3" t="n">
        <v>-0.7734707593917847</v>
      </c>
      <c r="S1083" s="3" t="n">
        <v>-1.418270826339722</v>
      </c>
      <c r="T1083" s="3" t="n">
        <v>-0.7094525694847107</v>
      </c>
      <c r="U1083" s="3" t="n">
        <v>-0.8900059461593628</v>
      </c>
      <c r="V1083" s="3" t="n">
        <v>-0.6829447150230408</v>
      </c>
      <c r="W1083" s="3" t="n">
        <v>-0.5857847332954407</v>
      </c>
      <c r="X1083" s="3" t="n">
        <v>-1.365951657295227</v>
      </c>
      <c r="Y1083" s="3" t="n">
        <v>-0.7882409691810608</v>
      </c>
      <c r="Z1083" s="3" t="n">
        <v>-1.418270826339722</v>
      </c>
      <c r="AA1083" s="3" t="n">
        <v>-1.418270826339722</v>
      </c>
      <c r="AB1083" s="3" t="n">
        <v>-1.365951657295227</v>
      </c>
      <c r="AC1083" s="3" t="n">
        <v>-2.145271301269531</v>
      </c>
      <c r="AD1083" s="3" t="n">
        <v>-0.8900059461593628</v>
      </c>
      <c r="AE1083" s="3" t="n">
        <v>-0.8900059461593628</v>
      </c>
    </row>
    <row r="1084">
      <c r="A1084" s="3" t="inlineStr">
        <is>
          <t>JPN.distn.dec.ove.mean.3</t>
        </is>
      </c>
      <c r="B1084" s="3" t="inlineStr">
        <is>
          <t>JPN</t>
        </is>
      </c>
      <c r="C1084" s="3" t="n">
        <v>2005</v>
      </c>
      <c r="D1084" s="3" t="inlineStr">
        <is>
          <t>Overall</t>
        </is>
      </c>
      <c r="E1084" s="3" t="inlineStr">
        <is>
          <t>Deciles</t>
        </is>
      </c>
      <c r="F1084" s="3" t="inlineStr">
        <is>
          <t>mean</t>
        </is>
      </c>
      <c r="G1084" s="3" t="n">
        <v>3</v>
      </c>
      <c r="H1084" s="3" t="n">
        <v>-0.7882409691810608</v>
      </c>
      <c r="I1084" s="3" t="n">
        <v>-0.7882409691810608</v>
      </c>
      <c r="J1084" s="3" t="n">
        <v>-0.8900059461593628</v>
      </c>
      <c r="K1084" s="3" t="n">
        <v>-0.8900059461593628</v>
      </c>
      <c r="L1084" s="3" t="n">
        <v>-0.7882409691810608</v>
      </c>
      <c r="M1084" s="3" t="n">
        <v>-0.7882409691810608</v>
      </c>
      <c r="N1084" s="3" t="n">
        <v>-0.7882409691810608</v>
      </c>
      <c r="O1084" s="3" t="n">
        <v>-0.7882409691810608</v>
      </c>
      <c r="P1084" s="3" t="n">
        <v>-0.7882409691810608</v>
      </c>
      <c r="Q1084" s="3" t="n">
        <v>-0.7882409691810608</v>
      </c>
      <c r="R1084" s="3" t="n">
        <v>-0.7734707593917847</v>
      </c>
      <c r="S1084" s="3" t="n">
        <v>-1.418270826339722</v>
      </c>
      <c r="T1084" s="3" t="n">
        <v>-0.7094525694847107</v>
      </c>
      <c r="U1084" s="3" t="n">
        <v>-0.8900059461593628</v>
      </c>
      <c r="V1084" s="3" t="n">
        <v>-0.6829447150230408</v>
      </c>
      <c r="W1084" s="3" t="n">
        <v>-0.5857847332954407</v>
      </c>
      <c r="X1084" s="3" t="n">
        <v>-1.365951657295227</v>
      </c>
      <c r="Y1084" s="3" t="n">
        <v>-0.7882409691810608</v>
      </c>
      <c r="Z1084" s="3" t="n">
        <v>-1.418270826339722</v>
      </c>
      <c r="AA1084" s="3" t="n">
        <v>-1.418270826339722</v>
      </c>
      <c r="AB1084" s="3" t="n">
        <v>-1.365951657295227</v>
      </c>
      <c r="AC1084" s="3" t="n">
        <v>-2.145271301269531</v>
      </c>
      <c r="AD1084" s="3" t="n">
        <v>-0.8900059461593628</v>
      </c>
      <c r="AE1084" s="3" t="n">
        <v>-0.8900059461593628</v>
      </c>
    </row>
    <row r="1085">
      <c r="A1085" s="3" t="inlineStr">
        <is>
          <t>JPN.distn.dec.ove.mean.4</t>
        </is>
      </c>
      <c r="B1085" s="3" t="inlineStr">
        <is>
          <t>JPN</t>
        </is>
      </c>
      <c r="C1085" s="3" t="n">
        <v>2005</v>
      </c>
      <c r="D1085" s="3" t="inlineStr">
        <is>
          <t>Overall</t>
        </is>
      </c>
      <c r="E1085" s="3" t="inlineStr">
        <is>
          <t>Deciles</t>
        </is>
      </c>
      <c r="F1085" s="3" t="inlineStr">
        <is>
          <t>mean</t>
        </is>
      </c>
      <c r="G1085" s="3" t="n">
        <v>4</v>
      </c>
      <c r="H1085" s="3" t="n">
        <v>-0.7820000052452087</v>
      </c>
      <c r="I1085" s="3" t="n">
        <v>-0.7820000052452087</v>
      </c>
      <c r="J1085" s="3" t="n">
        <v>-0.8470000028610229</v>
      </c>
      <c r="K1085" s="3" t="n">
        <v>-0.8470000028610229</v>
      </c>
      <c r="L1085" s="3" t="n">
        <v>-0.7820000052452087</v>
      </c>
      <c r="M1085" s="3" t="n">
        <v>-0.7820000052452087</v>
      </c>
      <c r="N1085" s="3" t="n">
        <v>-0.7820000052452087</v>
      </c>
      <c r="O1085" s="3" t="n">
        <v>-0.7820000052452087</v>
      </c>
      <c r="P1085" s="3" t="n">
        <v>-0.7820000052452087</v>
      </c>
      <c r="Q1085" s="3" t="n">
        <v>-0.7820000052452087</v>
      </c>
      <c r="R1085" s="3" t="n">
        <v>-0.7699999809265137</v>
      </c>
      <c r="S1085" s="3" t="n">
        <v>-0.9660000205039978</v>
      </c>
      <c r="T1085" s="3" t="n">
        <v>-0.7080000042915344</v>
      </c>
      <c r="U1085" s="3" t="n">
        <v>-0.8470000028610229</v>
      </c>
      <c r="V1085" s="3" t="n">
        <v>-0.6759999990463257</v>
      </c>
      <c r="W1085" s="3" t="n">
        <v>-0.4930000007152557</v>
      </c>
      <c r="X1085" s="3" t="n">
        <v>-0.9639999866485596</v>
      </c>
      <c r="Y1085" s="3" t="n">
        <v>-0.7820000052452087</v>
      </c>
      <c r="Z1085" s="3" t="n">
        <v>-0.9660000205039978</v>
      </c>
      <c r="AA1085" s="3" t="n">
        <v>-0.9660000205039978</v>
      </c>
      <c r="AB1085" s="3" t="n">
        <v>-0.9639999866485596</v>
      </c>
      <c r="AC1085" s="3" t="n">
        <v>-1.03600001335144</v>
      </c>
      <c r="AD1085" s="3" t="n">
        <v>-0.8470000028610229</v>
      </c>
      <c r="AE1085" s="3" t="n">
        <v>-0.8470000028610229</v>
      </c>
    </row>
    <row r="1086">
      <c r="A1086" s="3" t="inlineStr">
        <is>
          <t>JPN.distn.dec.ove.mean.5</t>
        </is>
      </c>
      <c r="B1086" s="3" t="inlineStr">
        <is>
          <t>JPN</t>
        </is>
      </c>
      <c r="C1086" s="3" t="n">
        <v>2005</v>
      </c>
      <c r="D1086" s="3" t="inlineStr">
        <is>
          <t>Overall</t>
        </is>
      </c>
      <c r="E1086" s="3" t="inlineStr">
        <is>
          <t>Deciles</t>
        </is>
      </c>
      <c r="F1086" s="3" t="inlineStr">
        <is>
          <t>mean</t>
        </is>
      </c>
      <c r="G1086" s="3" t="n">
        <v>5</v>
      </c>
      <c r="H1086" s="3" t="n">
        <v>-0.7820000052452087</v>
      </c>
      <c r="I1086" s="3" t="n">
        <v>-0.7820000052452087</v>
      </c>
      <c r="J1086" s="3" t="n">
        <v>-0.8470000028610229</v>
      </c>
      <c r="K1086" s="3" t="n">
        <v>-0.8470000028610229</v>
      </c>
      <c r="L1086" s="3" t="n">
        <v>-0.7820000052452087</v>
      </c>
      <c r="M1086" s="3" t="n">
        <v>-0.7820000052452087</v>
      </c>
      <c r="N1086" s="3" t="n">
        <v>-0.7820000052452087</v>
      </c>
      <c r="O1086" s="3" t="n">
        <v>-0.7820000052452087</v>
      </c>
      <c r="P1086" s="3" t="n">
        <v>-0.7820000052452087</v>
      </c>
      <c r="Q1086" s="3" t="n">
        <v>-0.7820000052452087</v>
      </c>
      <c r="R1086" s="3" t="n">
        <v>-0.7699999809265137</v>
      </c>
      <c r="S1086" s="3" t="n">
        <v>-0.9660000205039978</v>
      </c>
      <c r="T1086" s="3" t="n">
        <v>-0.7080000042915344</v>
      </c>
      <c r="U1086" s="3" t="n">
        <v>-0.8470000028610229</v>
      </c>
      <c r="V1086" s="3" t="n">
        <v>-0.6759999990463257</v>
      </c>
      <c r="W1086" s="3" t="n">
        <v>-0.4930000007152557</v>
      </c>
      <c r="X1086" s="3" t="n">
        <v>-0.9639999866485596</v>
      </c>
      <c r="Y1086" s="3" t="n">
        <v>-0.7820000052452087</v>
      </c>
      <c r="Z1086" s="3" t="n">
        <v>-0.9660000205039978</v>
      </c>
      <c r="AA1086" s="3" t="n">
        <v>-0.9660000205039978</v>
      </c>
      <c r="AB1086" s="3" t="n">
        <v>-0.9639999866485596</v>
      </c>
      <c r="AC1086" s="3" t="n">
        <v>-1.03600001335144</v>
      </c>
      <c r="AD1086" s="3" t="n">
        <v>-0.8470000028610229</v>
      </c>
      <c r="AE1086" s="3" t="n">
        <v>-0.8470000028610229</v>
      </c>
    </row>
    <row r="1087">
      <c r="A1087" s="3" t="inlineStr">
        <is>
          <t>JPN.distn.dec.ove.mean.6</t>
        </is>
      </c>
      <c r="B1087" s="3" t="inlineStr">
        <is>
          <t>JPN</t>
        </is>
      </c>
      <c r="C1087" s="3" t="n">
        <v>2005</v>
      </c>
      <c r="D1087" s="3" t="inlineStr">
        <is>
          <t>Overall</t>
        </is>
      </c>
      <c r="E1087" s="3" t="inlineStr">
        <is>
          <t>Deciles</t>
        </is>
      </c>
      <c r="F1087" s="3" t="inlineStr">
        <is>
          <t>mean</t>
        </is>
      </c>
      <c r="G1087" s="3" t="n">
        <v>6</v>
      </c>
      <c r="H1087" s="3" t="n">
        <v>-0.7820000052452087</v>
      </c>
      <c r="I1087" s="3" t="n">
        <v>-0.7820000052452087</v>
      </c>
      <c r="J1087" s="3" t="n">
        <v>-0.8470000028610229</v>
      </c>
      <c r="K1087" s="3" t="n">
        <v>-0.8470000028610229</v>
      </c>
      <c r="L1087" s="3" t="n">
        <v>-0.7820000052452087</v>
      </c>
      <c r="M1087" s="3" t="n">
        <v>-0.7820000052452087</v>
      </c>
      <c r="N1087" s="3" t="n">
        <v>-0.7820000052452087</v>
      </c>
      <c r="O1087" s="3" t="n">
        <v>-0.7820000052452087</v>
      </c>
      <c r="P1087" s="3" t="n">
        <v>-0.7820000052452087</v>
      </c>
      <c r="Q1087" s="3" t="n">
        <v>-0.7820000052452087</v>
      </c>
      <c r="R1087" s="3" t="n">
        <v>-0.7699999809265137</v>
      </c>
      <c r="S1087" s="3" t="n">
        <v>-0.9660000205039978</v>
      </c>
      <c r="T1087" s="3" t="n">
        <v>-0.7080000042915344</v>
      </c>
      <c r="U1087" s="3" t="n">
        <v>-0.8470000028610229</v>
      </c>
      <c r="V1087" s="3" t="n">
        <v>-0.6759999990463257</v>
      </c>
      <c r="W1087" s="3" t="n">
        <v>-0.4930000007152557</v>
      </c>
      <c r="X1087" s="3" t="n">
        <v>-0.9639999866485596</v>
      </c>
      <c r="Y1087" s="3" t="n">
        <v>-0.7820000052452087</v>
      </c>
      <c r="Z1087" s="3" t="n">
        <v>-0.9660000205039978</v>
      </c>
      <c r="AA1087" s="3" t="n">
        <v>-0.9660000205039978</v>
      </c>
      <c r="AB1087" s="3" t="n">
        <v>-0.9639999866485596</v>
      </c>
      <c r="AC1087" s="3" t="n">
        <v>-1.03600001335144</v>
      </c>
      <c r="AD1087" s="3" t="n">
        <v>-0.8470000028610229</v>
      </c>
      <c r="AE1087" s="3" t="n">
        <v>-0.8470000028610229</v>
      </c>
    </row>
    <row r="1088">
      <c r="A1088" s="3" t="inlineStr">
        <is>
          <t>JPN.distn.dec.ove.mean.7</t>
        </is>
      </c>
      <c r="B1088" s="3" t="inlineStr">
        <is>
          <t>JPN</t>
        </is>
      </c>
      <c r="C1088" s="3" t="n">
        <v>2005</v>
      </c>
      <c r="D1088" s="3" t="inlineStr">
        <is>
          <t>Overall</t>
        </is>
      </c>
      <c r="E1088" s="3" t="inlineStr">
        <is>
          <t>Deciles</t>
        </is>
      </c>
      <c r="F1088" s="3" t="inlineStr">
        <is>
          <t>mean</t>
        </is>
      </c>
      <c r="G1088" s="3" t="n">
        <v>7</v>
      </c>
      <c r="H1088" s="3" t="n">
        <v>-0.7820000052452087</v>
      </c>
      <c r="I1088" s="3" t="n">
        <v>-0.7820000052452087</v>
      </c>
      <c r="J1088" s="3" t="n">
        <v>-0.8470000028610229</v>
      </c>
      <c r="K1088" s="3" t="n">
        <v>-0.8470000028610229</v>
      </c>
      <c r="L1088" s="3" t="n">
        <v>-0.7820000052452087</v>
      </c>
      <c r="M1088" s="3" t="n">
        <v>-0.7820000052452087</v>
      </c>
      <c r="N1088" s="3" t="n">
        <v>-0.7820000052452087</v>
      </c>
      <c r="O1088" s="3" t="n">
        <v>-0.7820000052452087</v>
      </c>
      <c r="P1088" s="3" t="n">
        <v>-0.7820000052452087</v>
      </c>
      <c r="Q1088" s="3" t="n">
        <v>-0.7820000052452087</v>
      </c>
      <c r="R1088" s="3" t="n">
        <v>-0.7699999809265137</v>
      </c>
      <c r="S1088" s="3" t="n">
        <v>-0.9660000205039978</v>
      </c>
      <c r="T1088" s="3" t="n">
        <v>-0.7080000042915344</v>
      </c>
      <c r="U1088" s="3" t="n">
        <v>-0.8470000028610229</v>
      </c>
      <c r="V1088" s="3" t="n">
        <v>-0.6759999990463257</v>
      </c>
      <c r="W1088" s="3" t="n">
        <v>-0.4930000007152557</v>
      </c>
      <c r="X1088" s="3" t="n">
        <v>-0.9639999866485596</v>
      </c>
      <c r="Y1088" s="3" t="n">
        <v>-0.7820000052452087</v>
      </c>
      <c r="Z1088" s="3" t="n">
        <v>-0.9660000205039978</v>
      </c>
      <c r="AA1088" s="3" t="n">
        <v>-0.9660000205039978</v>
      </c>
      <c r="AB1088" s="3" t="n">
        <v>-0.9639999866485596</v>
      </c>
      <c r="AC1088" s="3" t="n">
        <v>-1.03600001335144</v>
      </c>
      <c r="AD1088" s="3" t="n">
        <v>-0.8470000028610229</v>
      </c>
      <c r="AE1088" s="3" t="n">
        <v>-0.8470000028610229</v>
      </c>
    </row>
    <row r="1089">
      <c r="A1089" s="3" t="inlineStr">
        <is>
          <t>JPN.distn.dec.ove.mean.8</t>
        </is>
      </c>
      <c r="B1089" s="3" t="inlineStr">
        <is>
          <t>JPN</t>
        </is>
      </c>
      <c r="C1089" s="3" t="n">
        <v>2005</v>
      </c>
      <c r="D1089" s="3" t="inlineStr">
        <is>
          <t>Overall</t>
        </is>
      </c>
      <c r="E1089" s="3" t="inlineStr">
        <is>
          <t>Deciles</t>
        </is>
      </c>
      <c r="F1089" s="3" t="inlineStr">
        <is>
          <t>mean</t>
        </is>
      </c>
      <c r="G1089" s="3" t="n">
        <v>8</v>
      </c>
      <c r="H1089" s="3" t="n">
        <v>-0.782376766204834</v>
      </c>
      <c r="I1089" s="3" t="n">
        <v>-0.782376766204834</v>
      </c>
      <c r="J1089" s="3" t="n">
        <v>-0.849284827709198</v>
      </c>
      <c r="K1089" s="3" t="n">
        <v>-0.849284827709198</v>
      </c>
      <c r="L1089" s="3" t="n">
        <v>-0.782376766204834</v>
      </c>
      <c r="M1089" s="3" t="n">
        <v>-0.782376766204834</v>
      </c>
      <c r="N1089" s="3" t="n">
        <v>-0.782376766204834</v>
      </c>
      <c r="O1089" s="3" t="n">
        <v>-0.782376766204834</v>
      </c>
      <c r="P1089" s="3" t="n">
        <v>-0.782376766204834</v>
      </c>
      <c r="Q1089" s="3" t="n">
        <v>-0.782376766204834</v>
      </c>
      <c r="R1089" s="3" t="n">
        <v>-0.7702532410621643</v>
      </c>
      <c r="S1089" s="3" t="n">
        <v>-0.9749887585639954</v>
      </c>
      <c r="T1089" s="3" t="n">
        <v>-0.7080408334732056</v>
      </c>
      <c r="U1089" s="3" t="n">
        <v>-0.849284827709198</v>
      </c>
      <c r="V1089" s="3" t="n">
        <v>-0.6766988039016724</v>
      </c>
      <c r="W1089" s="3" t="n">
        <v>-0.5062019228935242</v>
      </c>
      <c r="X1089" s="3" t="n">
        <v>-0.9727839827537537</v>
      </c>
      <c r="Y1089" s="3" t="n">
        <v>-0.782376766204834</v>
      </c>
      <c r="Z1089" s="3" t="n">
        <v>-0.9749887585639954</v>
      </c>
      <c r="AA1089" s="3" t="n">
        <v>-0.9749887585639954</v>
      </c>
      <c r="AB1089" s="3" t="n">
        <v>-0.9727839827537537</v>
      </c>
      <c r="AC1089" s="3" t="n">
        <v>-1.050774693489075</v>
      </c>
      <c r="AD1089" s="3" t="n">
        <v>-0.849284827709198</v>
      </c>
      <c r="AE1089" s="3" t="n">
        <v>-0.849284827709198</v>
      </c>
    </row>
    <row r="1090">
      <c r="A1090" s="3" t="inlineStr">
        <is>
          <t>JPN.distn.dec.ove.mean.9</t>
        </is>
      </c>
      <c r="B1090" s="3" t="inlineStr">
        <is>
          <t>JPN</t>
        </is>
      </c>
      <c r="C1090" s="3" t="n">
        <v>2005</v>
      </c>
      <c r="D1090" s="3" t="inlineStr">
        <is>
          <t>Overall</t>
        </is>
      </c>
      <c r="E1090" s="3" t="inlineStr">
        <is>
          <t>Deciles</t>
        </is>
      </c>
      <c r="F1090" s="3" t="inlineStr">
        <is>
          <t>mean</t>
        </is>
      </c>
      <c r="G1090" s="3" t="n">
        <v>9</v>
      </c>
      <c r="H1090" s="3" t="n">
        <v>-0.782376766204834</v>
      </c>
      <c r="I1090" s="3" t="n">
        <v>-0.782376766204834</v>
      </c>
      <c r="J1090" s="3" t="n">
        <v>-0.849284827709198</v>
      </c>
      <c r="K1090" s="3" t="n">
        <v>-0.849284827709198</v>
      </c>
      <c r="L1090" s="3" t="n">
        <v>-0.782376766204834</v>
      </c>
      <c r="M1090" s="3" t="n">
        <v>-0.782376766204834</v>
      </c>
      <c r="N1090" s="3" t="n">
        <v>-0.782376766204834</v>
      </c>
      <c r="O1090" s="3" t="n">
        <v>-0.782376766204834</v>
      </c>
      <c r="P1090" s="3" t="n">
        <v>-0.782376766204834</v>
      </c>
      <c r="Q1090" s="3" t="n">
        <v>-0.782376766204834</v>
      </c>
      <c r="R1090" s="3" t="n">
        <v>-0.7702532410621643</v>
      </c>
      <c r="S1090" s="3" t="n">
        <v>-0.9749887585639954</v>
      </c>
      <c r="T1090" s="3" t="n">
        <v>-0.7080408334732056</v>
      </c>
      <c r="U1090" s="3" t="n">
        <v>-0.849284827709198</v>
      </c>
      <c r="V1090" s="3" t="n">
        <v>-0.6766988039016724</v>
      </c>
      <c r="W1090" s="3" t="n">
        <v>-0.5062019228935242</v>
      </c>
      <c r="X1090" s="3" t="n">
        <v>-0.9727839827537537</v>
      </c>
      <c r="Y1090" s="3" t="n">
        <v>-0.782376766204834</v>
      </c>
      <c r="Z1090" s="3" t="n">
        <v>-0.9749887585639954</v>
      </c>
      <c r="AA1090" s="3" t="n">
        <v>-0.9749887585639954</v>
      </c>
      <c r="AB1090" s="3" t="n">
        <v>-0.9727839827537537</v>
      </c>
      <c r="AC1090" s="3" t="n">
        <v>-1.050774693489075</v>
      </c>
      <c r="AD1090" s="3" t="n">
        <v>-0.849284827709198</v>
      </c>
      <c r="AE1090" s="3" t="n">
        <v>-0.849284827709198</v>
      </c>
    </row>
    <row r="1091">
      <c r="A1091" s="3" t="inlineStr">
        <is>
          <t>JPN.distn.dec.ove.mean.10</t>
        </is>
      </c>
      <c r="B1091" s="3" t="inlineStr">
        <is>
          <t>JPN</t>
        </is>
      </c>
      <c r="C1091" s="3" t="n">
        <v>2005</v>
      </c>
      <c r="D1091" s="3" t="inlineStr">
        <is>
          <t>Overall</t>
        </is>
      </c>
      <c r="E1091" s="3" t="inlineStr">
        <is>
          <t>Deciles</t>
        </is>
      </c>
      <c r="F1091" s="3" t="inlineStr">
        <is>
          <t>mean</t>
        </is>
      </c>
      <c r="G1091" s="3" t="n">
        <v>10</v>
      </c>
      <c r="H1091" s="3" t="n">
        <v>-0.782376766204834</v>
      </c>
      <c r="I1091" s="3" t="n">
        <v>-0.782376766204834</v>
      </c>
      <c r="J1091" s="3" t="n">
        <v>-0.849284827709198</v>
      </c>
      <c r="K1091" s="3" t="n">
        <v>-0.849284827709198</v>
      </c>
      <c r="L1091" s="3" t="n">
        <v>-0.782376766204834</v>
      </c>
      <c r="M1091" s="3" t="n">
        <v>-0.782376766204834</v>
      </c>
      <c r="N1091" s="3" t="n">
        <v>-0.782376766204834</v>
      </c>
      <c r="O1091" s="3" t="n">
        <v>-0.782376766204834</v>
      </c>
      <c r="P1091" s="3" t="n">
        <v>-0.782376766204834</v>
      </c>
      <c r="Q1091" s="3" t="n">
        <v>-0.782376766204834</v>
      </c>
      <c r="R1091" s="3" t="n">
        <v>-0.7702532410621643</v>
      </c>
      <c r="S1091" s="3" t="n">
        <v>-0.9749887585639954</v>
      </c>
      <c r="T1091" s="3" t="n">
        <v>-0.7080408334732056</v>
      </c>
      <c r="U1091" s="3" t="n">
        <v>-0.849284827709198</v>
      </c>
      <c r="V1091" s="3" t="n">
        <v>-0.6766988039016724</v>
      </c>
      <c r="W1091" s="3" t="n">
        <v>-0.5062019228935242</v>
      </c>
      <c r="X1091" s="3" t="n">
        <v>-0.9727839827537537</v>
      </c>
      <c r="Y1091" s="3" t="n">
        <v>-0.782376766204834</v>
      </c>
      <c r="Z1091" s="3" t="n">
        <v>-0.9749887585639954</v>
      </c>
      <c r="AA1091" s="3" t="n">
        <v>-0.9749887585639954</v>
      </c>
      <c r="AB1091" s="3" t="n">
        <v>-0.9727839827537537</v>
      </c>
      <c r="AC1091" s="3" t="n">
        <v>-1.050774693489075</v>
      </c>
      <c r="AD1091" s="3" t="n">
        <v>-0.849284827709198</v>
      </c>
      <c r="AE1091" s="3" t="n">
        <v>-0.849284827709198</v>
      </c>
    </row>
    <row r="1092">
      <c r="A1092" s="3" t="inlineStr">
        <is>
          <t>JPN.distn.bkt.ove.mean.9999</t>
        </is>
      </c>
      <c r="B1092" s="3" t="inlineStr">
        <is>
          <t>JPN</t>
        </is>
      </c>
      <c r="C1092" s="3" t="n">
        <v>2005</v>
      </c>
      <c r="D1092" s="3" t="inlineStr">
        <is>
          <t>Overall</t>
        </is>
      </c>
      <c r="E1092" s="3" t="inlineStr">
        <is>
          <t>Basket</t>
        </is>
      </c>
      <c r="F1092" s="3" t="inlineStr">
        <is>
          <t>mean</t>
        </is>
      </c>
      <c r="G1092" s="3" t="n">
        <v>9999</v>
      </c>
      <c r="H1092" s="3" t="n">
        <v>-0.7839853167533875</v>
      </c>
      <c r="I1092" s="3" t="n">
        <v>-0.7839853167533875</v>
      </c>
      <c r="J1092" s="3" t="n">
        <v>-0.8605872392654419</v>
      </c>
      <c r="K1092" s="3" t="n">
        <v>-0.8605872392654419</v>
      </c>
      <c r="L1092" s="3" t="n">
        <v>-0.7839853167533875</v>
      </c>
      <c r="M1092" s="3" t="n">
        <v>-0.7839853167533875</v>
      </c>
      <c r="N1092" s="3" t="n">
        <v>-0.7839853167533875</v>
      </c>
      <c r="O1092" s="3" t="n">
        <v>-0.7839853167533875</v>
      </c>
      <c r="P1092" s="3" t="n">
        <v>-0.7839853167533875</v>
      </c>
      <c r="Q1092" s="3" t="n">
        <v>-0.7839853167533875</v>
      </c>
      <c r="R1092" s="3" t="n">
        <v>-0.7711172103881836</v>
      </c>
      <c r="S1092" s="3" t="n">
        <v>-1.104377865791321</v>
      </c>
      <c r="T1092" s="3" t="n">
        <v>-0.708448052406311</v>
      </c>
      <c r="U1092" s="3" t="n">
        <v>-0.8605872392654419</v>
      </c>
      <c r="V1092" s="3" t="n">
        <v>-0.6782930493354797</v>
      </c>
      <c r="W1092" s="3" t="n">
        <v>-0.5247960090637207</v>
      </c>
      <c r="X1092" s="3" t="n">
        <v>-1.087220668792725</v>
      </c>
      <c r="Y1092" s="3" t="n">
        <v>-0.7839853167533875</v>
      </c>
      <c r="Z1092" s="3" t="n">
        <v>-1.104377865791321</v>
      </c>
      <c r="AA1092" s="3" t="n">
        <v>-1.104377865791321</v>
      </c>
      <c r="AB1092" s="3" t="n">
        <v>-1.087220668792725</v>
      </c>
      <c r="AC1092" s="3" t="n">
        <v>-1.373213768005371</v>
      </c>
      <c r="AD1092" s="3" t="n">
        <v>-0.8605872392654419</v>
      </c>
      <c r="AE1092" s="3" t="n">
        <v>-0.8605872392654419</v>
      </c>
    </row>
    <row r="1093">
      <c r="A1093" s="3" t="inlineStr">
        <is>
          <t>KAZ.distn.dec.ove.mean.1</t>
        </is>
      </c>
      <c r="B1093" s="3" t="inlineStr">
        <is>
          <t>KAZ</t>
        </is>
      </c>
      <c r="C1093" s="3" t="n">
        <v>2005</v>
      </c>
      <c r="D1093" s="3" t="inlineStr">
        <is>
          <t>Overall</t>
        </is>
      </c>
      <c r="E1093" s="3" t="inlineStr">
        <is>
          <t>Deciles</t>
        </is>
      </c>
      <c r="F1093" s="3" t="inlineStr">
        <is>
          <t>mean</t>
        </is>
      </c>
      <c r="G1093" s="3" t="n">
        <v>1</v>
      </c>
      <c r="H1093" s="3" t="n">
        <v>-0.7882409691810608</v>
      </c>
      <c r="I1093" s="3" t="n">
        <v>-0.7882409691810608</v>
      </c>
      <c r="J1093" s="3" t="n">
        <v>-0.8910567760467529</v>
      </c>
      <c r="K1093" s="3" t="n">
        <v>-0.8910567760467529</v>
      </c>
      <c r="L1093" s="3" t="n">
        <v>-0.7882409691810608</v>
      </c>
      <c r="M1093" s="3" t="n">
        <v>-0.7882409691810608</v>
      </c>
      <c r="N1093" s="3" t="n">
        <v>-0.7882409691810608</v>
      </c>
      <c r="O1093" s="3" t="n">
        <v>-0.7882409691810608</v>
      </c>
      <c r="P1093" s="3" t="n">
        <v>-0.7882409691810608</v>
      </c>
      <c r="Q1093" s="3" t="n">
        <v>-0.7882409691810608</v>
      </c>
      <c r="R1093" s="3" t="n">
        <v>-0.7734707593917847</v>
      </c>
      <c r="S1093" s="3" t="n">
        <v>-1.422675371170044</v>
      </c>
      <c r="T1093" s="3" t="n">
        <v>-0.7094525694847107</v>
      </c>
      <c r="U1093" s="3" t="n">
        <v>-0.8910567760467529</v>
      </c>
      <c r="V1093" s="3" t="n">
        <v>-0.6829447150230408</v>
      </c>
      <c r="W1093" s="3" t="n">
        <v>-0.5893493294715881</v>
      </c>
      <c r="X1093" s="3" t="n">
        <v>-1.368785619735718</v>
      </c>
      <c r="Y1093" s="3" t="n">
        <v>-0.7882409691810608</v>
      </c>
      <c r="Z1093" s="3" t="n">
        <v>-1.422675371170044</v>
      </c>
      <c r="AA1093" s="3" t="n">
        <v>-1.422675371170044</v>
      </c>
      <c r="AB1093" s="3" t="n">
        <v>-1.368785619735718</v>
      </c>
      <c r="AC1093" s="3" t="n">
        <v>-2.155625104904175</v>
      </c>
      <c r="AD1093" s="3" t="n">
        <v>-0.8910567760467529</v>
      </c>
      <c r="AE1093" s="3" t="n">
        <v>-0.8910567760467529</v>
      </c>
    </row>
    <row r="1094">
      <c r="A1094" s="3" t="inlineStr">
        <is>
          <t>KAZ.distn.dec.ove.mean.2</t>
        </is>
      </c>
      <c r="B1094" s="3" t="inlineStr">
        <is>
          <t>KAZ</t>
        </is>
      </c>
      <c r="C1094" s="3" t="n">
        <v>2005</v>
      </c>
      <c r="D1094" s="3" t="inlineStr">
        <is>
          <t>Overall</t>
        </is>
      </c>
      <c r="E1094" s="3" t="inlineStr">
        <is>
          <t>Deciles</t>
        </is>
      </c>
      <c r="F1094" s="3" t="inlineStr">
        <is>
          <t>mean</t>
        </is>
      </c>
      <c r="G1094" s="3" t="n">
        <v>2</v>
      </c>
      <c r="H1094" s="3" t="n">
        <v>-0.7882409691810608</v>
      </c>
      <c r="I1094" s="3" t="n">
        <v>-0.7882409691810608</v>
      </c>
      <c r="J1094" s="3" t="n">
        <v>-0.8910567760467529</v>
      </c>
      <c r="K1094" s="3" t="n">
        <v>-0.8910567760467529</v>
      </c>
      <c r="L1094" s="3" t="n">
        <v>-0.7882409691810608</v>
      </c>
      <c r="M1094" s="3" t="n">
        <v>-0.7882409691810608</v>
      </c>
      <c r="N1094" s="3" t="n">
        <v>-0.7882409691810608</v>
      </c>
      <c r="O1094" s="3" t="n">
        <v>-0.7882409691810608</v>
      </c>
      <c r="P1094" s="3" t="n">
        <v>-0.7882409691810608</v>
      </c>
      <c r="Q1094" s="3" t="n">
        <v>-0.7882409691810608</v>
      </c>
      <c r="R1094" s="3" t="n">
        <v>-0.7734707593917847</v>
      </c>
      <c r="S1094" s="3" t="n">
        <v>-1.422675371170044</v>
      </c>
      <c r="T1094" s="3" t="n">
        <v>-0.7094525694847107</v>
      </c>
      <c r="U1094" s="3" t="n">
        <v>-0.8910567760467529</v>
      </c>
      <c r="V1094" s="3" t="n">
        <v>-0.6829447150230408</v>
      </c>
      <c r="W1094" s="3" t="n">
        <v>-0.5893493294715881</v>
      </c>
      <c r="X1094" s="3" t="n">
        <v>-1.368785619735718</v>
      </c>
      <c r="Y1094" s="3" t="n">
        <v>-0.7882409691810608</v>
      </c>
      <c r="Z1094" s="3" t="n">
        <v>-1.422675371170044</v>
      </c>
      <c r="AA1094" s="3" t="n">
        <v>-1.422675371170044</v>
      </c>
      <c r="AB1094" s="3" t="n">
        <v>-1.368785619735718</v>
      </c>
      <c r="AC1094" s="3" t="n">
        <v>-2.155625104904175</v>
      </c>
      <c r="AD1094" s="3" t="n">
        <v>-0.8910567760467529</v>
      </c>
      <c r="AE1094" s="3" t="n">
        <v>-0.8910567760467529</v>
      </c>
    </row>
    <row r="1095">
      <c r="A1095" s="3" t="inlineStr">
        <is>
          <t>KAZ.distn.dec.ove.mean.3</t>
        </is>
      </c>
      <c r="B1095" s="3" t="inlineStr">
        <is>
          <t>KAZ</t>
        </is>
      </c>
      <c r="C1095" s="3" t="n">
        <v>2005</v>
      </c>
      <c r="D1095" s="3" t="inlineStr">
        <is>
          <t>Overall</t>
        </is>
      </c>
      <c r="E1095" s="3" t="inlineStr">
        <is>
          <t>Deciles</t>
        </is>
      </c>
      <c r="F1095" s="3" t="inlineStr">
        <is>
          <t>mean</t>
        </is>
      </c>
      <c r="G1095" s="3" t="n">
        <v>3</v>
      </c>
      <c r="H1095" s="3" t="n">
        <v>-0.7882409691810608</v>
      </c>
      <c r="I1095" s="3" t="n">
        <v>-0.7882409691810608</v>
      </c>
      <c r="J1095" s="3" t="n">
        <v>-0.8910567760467529</v>
      </c>
      <c r="K1095" s="3" t="n">
        <v>-0.8910567760467529</v>
      </c>
      <c r="L1095" s="3" t="n">
        <v>-0.7882409691810608</v>
      </c>
      <c r="M1095" s="3" t="n">
        <v>-0.7882409691810608</v>
      </c>
      <c r="N1095" s="3" t="n">
        <v>-0.7882409691810608</v>
      </c>
      <c r="O1095" s="3" t="n">
        <v>-0.7882409691810608</v>
      </c>
      <c r="P1095" s="3" t="n">
        <v>-0.7882409691810608</v>
      </c>
      <c r="Q1095" s="3" t="n">
        <v>-0.7882409691810608</v>
      </c>
      <c r="R1095" s="3" t="n">
        <v>-0.7734707593917847</v>
      </c>
      <c r="S1095" s="3" t="n">
        <v>-1.422675371170044</v>
      </c>
      <c r="T1095" s="3" t="n">
        <v>-0.7094525694847107</v>
      </c>
      <c r="U1095" s="3" t="n">
        <v>-0.8910567760467529</v>
      </c>
      <c r="V1095" s="3" t="n">
        <v>-0.6829447150230408</v>
      </c>
      <c r="W1095" s="3" t="n">
        <v>-0.5893493294715881</v>
      </c>
      <c r="X1095" s="3" t="n">
        <v>-1.368785619735718</v>
      </c>
      <c r="Y1095" s="3" t="n">
        <v>-0.7882409691810608</v>
      </c>
      <c r="Z1095" s="3" t="n">
        <v>-1.422675371170044</v>
      </c>
      <c r="AA1095" s="3" t="n">
        <v>-1.422675371170044</v>
      </c>
      <c r="AB1095" s="3" t="n">
        <v>-1.368785619735718</v>
      </c>
      <c r="AC1095" s="3" t="n">
        <v>-2.155625104904175</v>
      </c>
      <c r="AD1095" s="3" t="n">
        <v>-0.8910567760467529</v>
      </c>
      <c r="AE1095" s="3" t="n">
        <v>-0.8910567760467529</v>
      </c>
    </row>
    <row r="1096">
      <c r="A1096" s="3" t="inlineStr">
        <is>
          <t>KAZ.distn.dec.ove.mean.4</t>
        </is>
      </c>
      <c r="B1096" s="3" t="inlineStr">
        <is>
          <t>KAZ</t>
        </is>
      </c>
      <c r="C1096" s="3" t="n">
        <v>2005</v>
      </c>
      <c r="D1096" s="3" t="inlineStr">
        <is>
          <t>Overall</t>
        </is>
      </c>
      <c r="E1096" s="3" t="inlineStr">
        <is>
          <t>Deciles</t>
        </is>
      </c>
      <c r="F1096" s="3" t="inlineStr">
        <is>
          <t>mean</t>
        </is>
      </c>
      <c r="G1096" s="3" t="n">
        <v>4</v>
      </c>
      <c r="H1096" s="3" t="n">
        <v>-0.7820000052452087</v>
      </c>
      <c r="I1096" s="3" t="n">
        <v>-0.7820000052452087</v>
      </c>
      <c r="J1096" s="3" t="n">
        <v>-0.8479999899864197</v>
      </c>
      <c r="K1096" s="3" t="n">
        <v>-0.8479999899864197</v>
      </c>
      <c r="L1096" s="3" t="n">
        <v>-0.7820000052452087</v>
      </c>
      <c r="M1096" s="3" t="n">
        <v>-0.7820000052452087</v>
      </c>
      <c r="N1096" s="3" t="n">
        <v>-0.7820000052452087</v>
      </c>
      <c r="O1096" s="3" t="n">
        <v>-0.7820000052452087</v>
      </c>
      <c r="P1096" s="3" t="n">
        <v>-0.7820000052452087</v>
      </c>
      <c r="Q1096" s="3" t="n">
        <v>-0.7820000052452087</v>
      </c>
      <c r="R1096" s="3" t="n">
        <v>-0.7699999809265137</v>
      </c>
      <c r="S1096" s="3" t="n">
        <v>-0.968999981880188</v>
      </c>
      <c r="T1096" s="3" t="n">
        <v>-0.7080000042915344</v>
      </c>
      <c r="U1096" s="3" t="n">
        <v>-0.8479999899864197</v>
      </c>
      <c r="V1096" s="3" t="n">
        <v>-0.6759999990463257</v>
      </c>
      <c r="W1096" s="3" t="n">
        <v>-0.4959999918937683</v>
      </c>
      <c r="X1096" s="3" t="n">
        <v>-0.9660000205039978</v>
      </c>
      <c r="Y1096" s="3" t="n">
        <v>-0.7820000052452087</v>
      </c>
      <c r="Z1096" s="3" t="n">
        <v>-0.968999981880188</v>
      </c>
      <c r="AA1096" s="3" t="n">
        <v>-0.968999981880188</v>
      </c>
      <c r="AB1096" s="3" t="n">
        <v>-0.9660000205039978</v>
      </c>
      <c r="AC1096" s="3" t="n">
        <v>-1.041000008583069</v>
      </c>
      <c r="AD1096" s="3" t="n">
        <v>-0.8479999899864197</v>
      </c>
      <c r="AE1096" s="3" t="n">
        <v>-0.8479999899864197</v>
      </c>
    </row>
    <row r="1097">
      <c r="A1097" s="3" t="inlineStr">
        <is>
          <t>KAZ.distn.dec.ove.mean.5</t>
        </is>
      </c>
      <c r="B1097" s="3" t="inlineStr">
        <is>
          <t>KAZ</t>
        </is>
      </c>
      <c r="C1097" s="3" t="n">
        <v>2005</v>
      </c>
      <c r="D1097" s="3" t="inlineStr">
        <is>
          <t>Overall</t>
        </is>
      </c>
      <c r="E1097" s="3" t="inlineStr">
        <is>
          <t>Deciles</t>
        </is>
      </c>
      <c r="F1097" s="3" t="inlineStr">
        <is>
          <t>mean</t>
        </is>
      </c>
      <c r="G1097" s="3" t="n">
        <v>5</v>
      </c>
      <c r="H1097" s="3" t="n">
        <v>-0.7820000052452087</v>
      </c>
      <c r="I1097" s="3" t="n">
        <v>-0.7820000052452087</v>
      </c>
      <c r="J1097" s="3" t="n">
        <v>-0.8479999899864197</v>
      </c>
      <c r="K1097" s="3" t="n">
        <v>-0.8479999899864197</v>
      </c>
      <c r="L1097" s="3" t="n">
        <v>-0.7820000052452087</v>
      </c>
      <c r="M1097" s="3" t="n">
        <v>-0.7820000052452087</v>
      </c>
      <c r="N1097" s="3" t="n">
        <v>-0.7820000052452087</v>
      </c>
      <c r="O1097" s="3" t="n">
        <v>-0.7820000052452087</v>
      </c>
      <c r="P1097" s="3" t="n">
        <v>-0.7820000052452087</v>
      </c>
      <c r="Q1097" s="3" t="n">
        <v>-0.7820000052452087</v>
      </c>
      <c r="R1097" s="3" t="n">
        <v>-0.7699999809265137</v>
      </c>
      <c r="S1097" s="3" t="n">
        <v>-0.968999981880188</v>
      </c>
      <c r="T1097" s="3" t="n">
        <v>-0.7080000042915344</v>
      </c>
      <c r="U1097" s="3" t="n">
        <v>-0.8479999899864197</v>
      </c>
      <c r="V1097" s="3" t="n">
        <v>-0.6759999990463257</v>
      </c>
      <c r="W1097" s="3" t="n">
        <v>-0.4959999918937683</v>
      </c>
      <c r="X1097" s="3" t="n">
        <v>-0.9660000205039978</v>
      </c>
      <c r="Y1097" s="3" t="n">
        <v>-0.7820000052452087</v>
      </c>
      <c r="Z1097" s="3" t="n">
        <v>-0.968999981880188</v>
      </c>
      <c r="AA1097" s="3" t="n">
        <v>-0.968999981880188</v>
      </c>
      <c r="AB1097" s="3" t="n">
        <v>-0.9660000205039978</v>
      </c>
      <c r="AC1097" s="3" t="n">
        <v>-1.041000008583069</v>
      </c>
      <c r="AD1097" s="3" t="n">
        <v>-0.8479999899864197</v>
      </c>
      <c r="AE1097" s="3" t="n">
        <v>-0.8479999899864197</v>
      </c>
    </row>
    <row r="1098">
      <c r="A1098" s="3" t="inlineStr">
        <is>
          <t>KAZ.distn.dec.ove.mean.6</t>
        </is>
      </c>
      <c r="B1098" s="3" t="inlineStr">
        <is>
          <t>KAZ</t>
        </is>
      </c>
      <c r="C1098" s="3" t="n">
        <v>2005</v>
      </c>
      <c r="D1098" s="3" t="inlineStr">
        <is>
          <t>Overall</t>
        </is>
      </c>
      <c r="E1098" s="3" t="inlineStr">
        <is>
          <t>Deciles</t>
        </is>
      </c>
      <c r="F1098" s="3" t="inlineStr">
        <is>
          <t>mean</t>
        </is>
      </c>
      <c r="G1098" s="3" t="n">
        <v>6</v>
      </c>
      <c r="H1098" s="3" t="n">
        <v>-0.7820000052452087</v>
      </c>
      <c r="I1098" s="3" t="n">
        <v>-0.7820000052452087</v>
      </c>
      <c r="J1098" s="3" t="n">
        <v>-0.8479999899864197</v>
      </c>
      <c r="K1098" s="3" t="n">
        <v>-0.8479999899864197</v>
      </c>
      <c r="L1098" s="3" t="n">
        <v>-0.7820000052452087</v>
      </c>
      <c r="M1098" s="3" t="n">
        <v>-0.7820000052452087</v>
      </c>
      <c r="N1098" s="3" t="n">
        <v>-0.7820000052452087</v>
      </c>
      <c r="O1098" s="3" t="n">
        <v>-0.7820000052452087</v>
      </c>
      <c r="P1098" s="3" t="n">
        <v>-0.7820000052452087</v>
      </c>
      <c r="Q1098" s="3" t="n">
        <v>-0.7820000052452087</v>
      </c>
      <c r="R1098" s="3" t="n">
        <v>-0.7699999809265137</v>
      </c>
      <c r="S1098" s="3" t="n">
        <v>-0.968999981880188</v>
      </c>
      <c r="T1098" s="3" t="n">
        <v>-0.7080000042915344</v>
      </c>
      <c r="U1098" s="3" t="n">
        <v>-0.8479999899864197</v>
      </c>
      <c r="V1098" s="3" t="n">
        <v>-0.6759999990463257</v>
      </c>
      <c r="W1098" s="3" t="n">
        <v>-0.4959999918937683</v>
      </c>
      <c r="X1098" s="3" t="n">
        <v>-0.9660000205039978</v>
      </c>
      <c r="Y1098" s="3" t="n">
        <v>-0.7820000052452087</v>
      </c>
      <c r="Z1098" s="3" t="n">
        <v>-0.968999981880188</v>
      </c>
      <c r="AA1098" s="3" t="n">
        <v>-0.968999981880188</v>
      </c>
      <c r="AB1098" s="3" t="n">
        <v>-0.9660000205039978</v>
      </c>
      <c r="AC1098" s="3" t="n">
        <v>-1.041000008583069</v>
      </c>
      <c r="AD1098" s="3" t="n">
        <v>-0.8479999899864197</v>
      </c>
      <c r="AE1098" s="3" t="n">
        <v>-0.8479999899864197</v>
      </c>
    </row>
    <row r="1099">
      <c r="A1099" s="3" t="inlineStr">
        <is>
          <t>KAZ.distn.dec.ove.mean.7</t>
        </is>
      </c>
      <c r="B1099" s="3" t="inlineStr">
        <is>
          <t>KAZ</t>
        </is>
      </c>
      <c r="C1099" s="3" t="n">
        <v>2005</v>
      </c>
      <c r="D1099" s="3" t="inlineStr">
        <is>
          <t>Overall</t>
        </is>
      </c>
      <c r="E1099" s="3" t="inlineStr">
        <is>
          <t>Deciles</t>
        </is>
      </c>
      <c r="F1099" s="3" t="inlineStr">
        <is>
          <t>mean</t>
        </is>
      </c>
      <c r="G1099" s="3" t="n">
        <v>7</v>
      </c>
      <c r="H1099" s="3" t="n">
        <v>-0.7820000052452087</v>
      </c>
      <c r="I1099" s="3" t="n">
        <v>-0.7820000052452087</v>
      </c>
      <c r="J1099" s="3" t="n">
        <v>-0.8479999899864197</v>
      </c>
      <c r="K1099" s="3" t="n">
        <v>-0.8479999899864197</v>
      </c>
      <c r="L1099" s="3" t="n">
        <v>-0.7820000052452087</v>
      </c>
      <c r="M1099" s="3" t="n">
        <v>-0.7820000052452087</v>
      </c>
      <c r="N1099" s="3" t="n">
        <v>-0.7820000052452087</v>
      </c>
      <c r="O1099" s="3" t="n">
        <v>-0.7820000052452087</v>
      </c>
      <c r="P1099" s="3" t="n">
        <v>-0.7820000052452087</v>
      </c>
      <c r="Q1099" s="3" t="n">
        <v>-0.7820000052452087</v>
      </c>
      <c r="R1099" s="3" t="n">
        <v>-0.7699999809265137</v>
      </c>
      <c r="S1099" s="3" t="n">
        <v>-0.968999981880188</v>
      </c>
      <c r="T1099" s="3" t="n">
        <v>-0.7080000042915344</v>
      </c>
      <c r="U1099" s="3" t="n">
        <v>-0.8479999899864197</v>
      </c>
      <c r="V1099" s="3" t="n">
        <v>-0.6759999990463257</v>
      </c>
      <c r="W1099" s="3" t="n">
        <v>-0.4959999918937683</v>
      </c>
      <c r="X1099" s="3" t="n">
        <v>-0.9660000205039978</v>
      </c>
      <c r="Y1099" s="3" t="n">
        <v>-0.7820000052452087</v>
      </c>
      <c r="Z1099" s="3" t="n">
        <v>-0.968999981880188</v>
      </c>
      <c r="AA1099" s="3" t="n">
        <v>-0.968999981880188</v>
      </c>
      <c r="AB1099" s="3" t="n">
        <v>-0.9660000205039978</v>
      </c>
      <c r="AC1099" s="3" t="n">
        <v>-1.041000008583069</v>
      </c>
      <c r="AD1099" s="3" t="n">
        <v>-0.8479999899864197</v>
      </c>
      <c r="AE1099" s="3" t="n">
        <v>-0.8479999899864197</v>
      </c>
    </row>
    <row r="1100">
      <c r="A1100" s="3" t="inlineStr">
        <is>
          <t>KAZ.distn.dec.ove.mean.8</t>
        </is>
      </c>
      <c r="B1100" s="3" t="inlineStr">
        <is>
          <t>KAZ</t>
        </is>
      </c>
      <c r="C1100" s="3" t="n">
        <v>2005</v>
      </c>
      <c r="D1100" s="3" t="inlineStr">
        <is>
          <t>Overall</t>
        </is>
      </c>
      <c r="E1100" s="3" t="inlineStr">
        <is>
          <t>Deciles</t>
        </is>
      </c>
      <c r="F1100" s="3" t="inlineStr">
        <is>
          <t>mean</t>
        </is>
      </c>
      <c r="G1100" s="3" t="n">
        <v>8</v>
      </c>
      <c r="H1100" s="3" t="n">
        <v>-0.782376766204834</v>
      </c>
      <c r="I1100" s="3" t="n">
        <v>-0.782376766204834</v>
      </c>
      <c r="J1100" s="3" t="n">
        <v>-0.8502875566482544</v>
      </c>
      <c r="K1100" s="3" t="n">
        <v>-0.8502875566482544</v>
      </c>
      <c r="L1100" s="3" t="n">
        <v>-0.782376766204834</v>
      </c>
      <c r="M1100" s="3" t="n">
        <v>-0.782376766204834</v>
      </c>
      <c r="N1100" s="3" t="n">
        <v>-0.782376766204834</v>
      </c>
      <c r="O1100" s="3" t="n">
        <v>-0.782376766204834</v>
      </c>
      <c r="P1100" s="3" t="n">
        <v>-0.782376766204834</v>
      </c>
      <c r="Q1100" s="3" t="n">
        <v>-0.782376766204834</v>
      </c>
      <c r="R1100" s="3" t="n">
        <v>-0.7702532410621643</v>
      </c>
      <c r="S1100" s="3" t="n">
        <v>-0.9780166745185852</v>
      </c>
      <c r="T1100" s="3" t="n">
        <v>-0.7080408334732056</v>
      </c>
      <c r="U1100" s="3" t="n">
        <v>-0.8502875566482544</v>
      </c>
      <c r="V1100" s="3" t="n">
        <v>-0.6766988039016724</v>
      </c>
      <c r="W1100" s="3" t="n">
        <v>-0.5092822909355164</v>
      </c>
      <c r="X1100" s="3" t="n">
        <v>-0.9748021960258484</v>
      </c>
      <c r="Y1100" s="3" t="n">
        <v>-0.782376766204834</v>
      </c>
      <c r="Z1100" s="3" t="n">
        <v>-0.9780166745185852</v>
      </c>
      <c r="AA1100" s="3" t="n">
        <v>-0.9780166745185852</v>
      </c>
      <c r="AB1100" s="3" t="n">
        <v>-0.9748021960258484</v>
      </c>
      <c r="AC1100" s="3" t="n">
        <v>-1.055846095085144</v>
      </c>
      <c r="AD1100" s="3" t="n">
        <v>-0.8502875566482544</v>
      </c>
      <c r="AE1100" s="3" t="n">
        <v>-0.8502875566482544</v>
      </c>
    </row>
    <row r="1101">
      <c r="A1101" s="3" t="inlineStr">
        <is>
          <t>KAZ.distn.dec.ove.mean.9</t>
        </is>
      </c>
      <c r="B1101" s="3" t="inlineStr">
        <is>
          <t>KAZ</t>
        </is>
      </c>
      <c r="C1101" s="3" t="n">
        <v>2005</v>
      </c>
      <c r="D1101" s="3" t="inlineStr">
        <is>
          <t>Overall</t>
        </is>
      </c>
      <c r="E1101" s="3" t="inlineStr">
        <is>
          <t>Deciles</t>
        </is>
      </c>
      <c r="F1101" s="3" t="inlineStr">
        <is>
          <t>mean</t>
        </is>
      </c>
      <c r="G1101" s="3" t="n">
        <v>9</v>
      </c>
      <c r="H1101" s="3" t="n">
        <v>-0.782376766204834</v>
      </c>
      <c r="I1101" s="3" t="n">
        <v>-0.782376766204834</v>
      </c>
      <c r="J1101" s="3" t="n">
        <v>-0.8502875566482544</v>
      </c>
      <c r="K1101" s="3" t="n">
        <v>-0.8502875566482544</v>
      </c>
      <c r="L1101" s="3" t="n">
        <v>-0.782376766204834</v>
      </c>
      <c r="M1101" s="3" t="n">
        <v>-0.782376766204834</v>
      </c>
      <c r="N1101" s="3" t="n">
        <v>-0.782376766204834</v>
      </c>
      <c r="O1101" s="3" t="n">
        <v>-0.782376766204834</v>
      </c>
      <c r="P1101" s="3" t="n">
        <v>-0.782376766204834</v>
      </c>
      <c r="Q1101" s="3" t="n">
        <v>-0.782376766204834</v>
      </c>
      <c r="R1101" s="3" t="n">
        <v>-0.7702532410621643</v>
      </c>
      <c r="S1101" s="3" t="n">
        <v>-0.9780166745185852</v>
      </c>
      <c r="T1101" s="3" t="n">
        <v>-0.7080408334732056</v>
      </c>
      <c r="U1101" s="3" t="n">
        <v>-0.8502875566482544</v>
      </c>
      <c r="V1101" s="3" t="n">
        <v>-0.6766988039016724</v>
      </c>
      <c r="W1101" s="3" t="n">
        <v>-0.5092822909355164</v>
      </c>
      <c r="X1101" s="3" t="n">
        <v>-0.9748021960258484</v>
      </c>
      <c r="Y1101" s="3" t="n">
        <v>-0.782376766204834</v>
      </c>
      <c r="Z1101" s="3" t="n">
        <v>-0.9780166745185852</v>
      </c>
      <c r="AA1101" s="3" t="n">
        <v>-0.9780166745185852</v>
      </c>
      <c r="AB1101" s="3" t="n">
        <v>-0.9748021960258484</v>
      </c>
      <c r="AC1101" s="3" t="n">
        <v>-1.055846095085144</v>
      </c>
      <c r="AD1101" s="3" t="n">
        <v>-0.8502875566482544</v>
      </c>
      <c r="AE1101" s="3" t="n">
        <v>-0.8502875566482544</v>
      </c>
    </row>
    <row r="1102">
      <c r="A1102" s="3" t="inlineStr">
        <is>
          <t>KAZ.distn.dec.ove.mean.10</t>
        </is>
      </c>
      <c r="B1102" s="3" t="inlineStr">
        <is>
          <t>KAZ</t>
        </is>
      </c>
      <c r="C1102" s="3" t="n">
        <v>2005</v>
      </c>
      <c r="D1102" s="3" t="inlineStr">
        <is>
          <t>Overall</t>
        </is>
      </c>
      <c r="E1102" s="3" t="inlineStr">
        <is>
          <t>Deciles</t>
        </is>
      </c>
      <c r="F1102" s="3" t="inlineStr">
        <is>
          <t>mean</t>
        </is>
      </c>
      <c r="G1102" s="3" t="n">
        <v>10</v>
      </c>
      <c r="H1102" s="3" t="n">
        <v>-0.782376766204834</v>
      </c>
      <c r="I1102" s="3" t="n">
        <v>-0.782376766204834</v>
      </c>
      <c r="J1102" s="3" t="n">
        <v>-0.8502875566482544</v>
      </c>
      <c r="K1102" s="3" t="n">
        <v>-0.8502875566482544</v>
      </c>
      <c r="L1102" s="3" t="n">
        <v>-0.782376766204834</v>
      </c>
      <c r="M1102" s="3" t="n">
        <v>-0.782376766204834</v>
      </c>
      <c r="N1102" s="3" t="n">
        <v>-0.782376766204834</v>
      </c>
      <c r="O1102" s="3" t="n">
        <v>-0.782376766204834</v>
      </c>
      <c r="P1102" s="3" t="n">
        <v>-0.782376766204834</v>
      </c>
      <c r="Q1102" s="3" t="n">
        <v>-0.782376766204834</v>
      </c>
      <c r="R1102" s="3" t="n">
        <v>-0.7702532410621643</v>
      </c>
      <c r="S1102" s="3" t="n">
        <v>-0.9780166745185852</v>
      </c>
      <c r="T1102" s="3" t="n">
        <v>-0.7080408334732056</v>
      </c>
      <c r="U1102" s="3" t="n">
        <v>-0.8502875566482544</v>
      </c>
      <c r="V1102" s="3" t="n">
        <v>-0.6766988039016724</v>
      </c>
      <c r="W1102" s="3" t="n">
        <v>-0.5092822909355164</v>
      </c>
      <c r="X1102" s="3" t="n">
        <v>-0.9748021960258484</v>
      </c>
      <c r="Y1102" s="3" t="n">
        <v>-0.782376766204834</v>
      </c>
      <c r="Z1102" s="3" t="n">
        <v>-0.9780166745185852</v>
      </c>
      <c r="AA1102" s="3" t="n">
        <v>-0.9780166745185852</v>
      </c>
      <c r="AB1102" s="3" t="n">
        <v>-0.9748021960258484</v>
      </c>
      <c r="AC1102" s="3" t="n">
        <v>-1.055846095085144</v>
      </c>
      <c r="AD1102" s="3" t="n">
        <v>-0.8502875566482544</v>
      </c>
      <c r="AE1102" s="3" t="n">
        <v>-0.8502875566482544</v>
      </c>
    </row>
    <row r="1103">
      <c r="A1103" s="3" t="inlineStr">
        <is>
          <t>KAZ.distn.bkt.ove.mean.9999</t>
        </is>
      </c>
      <c r="B1103" s="3" t="inlineStr">
        <is>
          <t>KAZ</t>
        </is>
      </c>
      <c r="C1103" s="3" t="n">
        <v>2005</v>
      </c>
      <c r="D1103" s="3" t="inlineStr">
        <is>
          <t>Overall</t>
        </is>
      </c>
      <c r="E1103" s="3" t="inlineStr">
        <is>
          <t>Basket</t>
        </is>
      </c>
      <c r="F1103" s="3" t="inlineStr">
        <is>
          <t>mean</t>
        </is>
      </c>
      <c r="G1103" s="3" t="n">
        <v>9999</v>
      </c>
      <c r="H1103" s="3" t="n">
        <v>-0.7839853167533875</v>
      </c>
      <c r="I1103" s="3" t="n">
        <v>-0.7839853167533875</v>
      </c>
      <c r="J1103" s="3" t="n">
        <v>-0.861603319644928</v>
      </c>
      <c r="K1103" s="3" t="n">
        <v>-0.861603319644928</v>
      </c>
      <c r="L1103" s="3" t="n">
        <v>-0.7839853167533875</v>
      </c>
      <c r="M1103" s="3" t="n">
        <v>-0.7839853167533875</v>
      </c>
      <c r="N1103" s="3" t="n">
        <v>-0.7839853167533875</v>
      </c>
      <c r="O1103" s="3" t="n">
        <v>-0.7839853167533875</v>
      </c>
      <c r="P1103" s="3" t="n">
        <v>-0.7839853167533875</v>
      </c>
      <c r="Q1103" s="3" t="n">
        <v>-0.7839853167533875</v>
      </c>
      <c r="R1103" s="3" t="n">
        <v>-0.7711172103881836</v>
      </c>
      <c r="S1103" s="3" t="n">
        <v>-1.107807636260986</v>
      </c>
      <c r="T1103" s="3" t="n">
        <v>-0.708448052406311</v>
      </c>
      <c r="U1103" s="3" t="n">
        <v>-0.861603319644928</v>
      </c>
      <c r="V1103" s="3" t="n">
        <v>-0.6782930493354797</v>
      </c>
      <c r="W1103" s="3" t="n">
        <v>-0.5279895067214966</v>
      </c>
      <c r="X1103" s="3" t="n">
        <v>-1.089476346969604</v>
      </c>
      <c r="Y1103" s="3" t="n">
        <v>-0.7839853167533875</v>
      </c>
      <c r="Z1103" s="3" t="n">
        <v>-1.107807636260986</v>
      </c>
      <c r="AA1103" s="3" t="n">
        <v>-1.107807636260986</v>
      </c>
      <c r="AB1103" s="3" t="n">
        <v>-1.089476346969604</v>
      </c>
      <c r="AC1103" s="3" t="n">
        <v>-1.379841327667236</v>
      </c>
      <c r="AD1103" s="3" t="n">
        <v>-0.861603319644928</v>
      </c>
      <c r="AE1103" s="3" t="n">
        <v>-0.861603319644928</v>
      </c>
    </row>
    <row r="1104">
      <c r="A1104" s="3" t="inlineStr">
        <is>
          <t>KEN.distn.dec.ove.mean.1</t>
        </is>
      </c>
      <c r="B1104" s="3" t="inlineStr">
        <is>
          <t>KEN</t>
        </is>
      </c>
      <c r="C1104" s="3" t="n">
        <v>2005</v>
      </c>
      <c r="D1104" s="3" t="inlineStr">
        <is>
          <t>Overall</t>
        </is>
      </c>
      <c r="E1104" s="3" t="inlineStr">
        <is>
          <t>Deciles</t>
        </is>
      </c>
      <c r="F1104" s="3" t="inlineStr">
        <is>
          <t>mean</t>
        </is>
      </c>
      <c r="G1104" s="3" t="n">
        <v>1</v>
      </c>
      <c r="H1104" s="3" t="n">
        <v>-0.7942888140678406</v>
      </c>
      <c r="I1104" s="3" t="n">
        <v>-0.7942888140678406</v>
      </c>
      <c r="J1104" s="3" t="n">
        <v>-0.9341384768486023</v>
      </c>
      <c r="K1104" s="3" t="n">
        <v>-0.9341384768486023</v>
      </c>
      <c r="L1104" s="3" t="n">
        <v>-0.7942888140678406</v>
      </c>
      <c r="M1104" s="3" t="n">
        <v>-0.7942888140678406</v>
      </c>
      <c r="N1104" s="3" t="n">
        <v>-0.7942888140678406</v>
      </c>
      <c r="O1104" s="3" t="n">
        <v>-0.7942888140678406</v>
      </c>
      <c r="P1104" s="3" t="n">
        <v>-0.7942888140678406</v>
      </c>
      <c r="Q1104" s="3" t="n">
        <v>-0.7942888140678406</v>
      </c>
      <c r="R1104" s="3" t="n">
        <v>-0.7774887681007385</v>
      </c>
      <c r="S1104" s="3" t="n">
        <v>-1.839641094207764</v>
      </c>
      <c r="T1104" s="3" t="n">
        <v>-0.7114566564559937</v>
      </c>
      <c r="U1104" s="3" t="n">
        <v>-0.9341384768486023</v>
      </c>
      <c r="V1104" s="3" t="n">
        <v>-0.6900166273117065</v>
      </c>
      <c r="W1104" s="3" t="n">
        <v>-0.6891584992408752</v>
      </c>
      <c r="X1104" s="3" t="n">
        <v>-1.758450269699097</v>
      </c>
      <c r="Y1104" s="3" t="n">
        <v>-0.7942888140678406</v>
      </c>
      <c r="Z1104" s="3" t="n">
        <v>-1.839641094207764</v>
      </c>
      <c r="AA1104" s="3" t="n">
        <v>-1.839641094207764</v>
      </c>
      <c r="AB1104" s="3" t="n">
        <v>-1.758450269699097</v>
      </c>
      <c r="AC1104" s="3" t="n">
        <v>-3.741800546646118</v>
      </c>
      <c r="AD1104" s="3" t="n">
        <v>-0.9341384768486023</v>
      </c>
      <c r="AE1104" s="3" t="n">
        <v>-0.9341384768486023</v>
      </c>
    </row>
    <row r="1105">
      <c r="A1105" s="3" t="inlineStr">
        <is>
          <t>KEN.distn.dec.ove.mean.2</t>
        </is>
      </c>
      <c r="B1105" s="3" t="inlineStr">
        <is>
          <t>KEN</t>
        </is>
      </c>
      <c r="C1105" s="3" t="n">
        <v>2005</v>
      </c>
      <c r="D1105" s="3" t="inlineStr">
        <is>
          <t>Overall</t>
        </is>
      </c>
      <c r="E1105" s="3" t="inlineStr">
        <is>
          <t>Deciles</t>
        </is>
      </c>
      <c r="F1105" s="3" t="inlineStr">
        <is>
          <t>mean</t>
        </is>
      </c>
      <c r="G1105" s="3" t="n">
        <v>2</v>
      </c>
      <c r="H1105" s="3" t="n">
        <v>-0.7942888140678406</v>
      </c>
      <c r="I1105" s="3" t="n">
        <v>-0.7942888140678406</v>
      </c>
      <c r="J1105" s="3" t="n">
        <v>-0.9341384768486023</v>
      </c>
      <c r="K1105" s="3" t="n">
        <v>-0.9341384768486023</v>
      </c>
      <c r="L1105" s="3" t="n">
        <v>-0.7942888140678406</v>
      </c>
      <c r="M1105" s="3" t="n">
        <v>-0.7942888140678406</v>
      </c>
      <c r="N1105" s="3" t="n">
        <v>-0.7942888140678406</v>
      </c>
      <c r="O1105" s="3" t="n">
        <v>-0.7942888140678406</v>
      </c>
      <c r="P1105" s="3" t="n">
        <v>-0.7942888140678406</v>
      </c>
      <c r="Q1105" s="3" t="n">
        <v>-0.7942888140678406</v>
      </c>
      <c r="R1105" s="3" t="n">
        <v>-0.7774887681007385</v>
      </c>
      <c r="S1105" s="3" t="n">
        <v>-1.839641094207764</v>
      </c>
      <c r="T1105" s="3" t="n">
        <v>-0.7114566564559937</v>
      </c>
      <c r="U1105" s="3" t="n">
        <v>-0.9341384768486023</v>
      </c>
      <c r="V1105" s="3" t="n">
        <v>-0.6900166273117065</v>
      </c>
      <c r="W1105" s="3" t="n">
        <v>-0.6891584992408752</v>
      </c>
      <c r="X1105" s="3" t="n">
        <v>-1.758450269699097</v>
      </c>
      <c r="Y1105" s="3" t="n">
        <v>-0.7942888140678406</v>
      </c>
      <c r="Z1105" s="3" t="n">
        <v>-1.839641094207764</v>
      </c>
      <c r="AA1105" s="3" t="n">
        <v>-1.839641094207764</v>
      </c>
      <c r="AB1105" s="3" t="n">
        <v>-1.758450269699097</v>
      </c>
      <c r="AC1105" s="3" t="n">
        <v>-3.741800546646118</v>
      </c>
      <c r="AD1105" s="3" t="n">
        <v>-0.9341384768486023</v>
      </c>
      <c r="AE1105" s="3" t="n">
        <v>-0.9341384768486023</v>
      </c>
    </row>
    <row r="1106">
      <c r="A1106" s="3" t="inlineStr">
        <is>
          <t>KEN.distn.dec.ove.mean.3</t>
        </is>
      </c>
      <c r="B1106" s="3" t="inlineStr">
        <is>
          <t>KEN</t>
        </is>
      </c>
      <c r="C1106" s="3" t="n">
        <v>2005</v>
      </c>
      <c r="D1106" s="3" t="inlineStr">
        <is>
          <t>Overall</t>
        </is>
      </c>
      <c r="E1106" s="3" t="inlineStr">
        <is>
          <t>Deciles</t>
        </is>
      </c>
      <c r="F1106" s="3" t="inlineStr">
        <is>
          <t>mean</t>
        </is>
      </c>
      <c r="G1106" s="3" t="n">
        <v>3</v>
      </c>
      <c r="H1106" s="3" t="n">
        <v>-0.7942888140678406</v>
      </c>
      <c r="I1106" s="3" t="n">
        <v>-0.7942888140678406</v>
      </c>
      <c r="J1106" s="3" t="n">
        <v>-0.9341384768486023</v>
      </c>
      <c r="K1106" s="3" t="n">
        <v>-0.9341384768486023</v>
      </c>
      <c r="L1106" s="3" t="n">
        <v>-0.7942888140678406</v>
      </c>
      <c r="M1106" s="3" t="n">
        <v>-0.7942888140678406</v>
      </c>
      <c r="N1106" s="3" t="n">
        <v>-0.7942888140678406</v>
      </c>
      <c r="O1106" s="3" t="n">
        <v>-0.7942888140678406</v>
      </c>
      <c r="P1106" s="3" t="n">
        <v>-0.7942888140678406</v>
      </c>
      <c r="Q1106" s="3" t="n">
        <v>-0.7942888140678406</v>
      </c>
      <c r="R1106" s="3" t="n">
        <v>-0.7774887681007385</v>
      </c>
      <c r="S1106" s="3" t="n">
        <v>-1.839641094207764</v>
      </c>
      <c r="T1106" s="3" t="n">
        <v>-0.7114566564559937</v>
      </c>
      <c r="U1106" s="3" t="n">
        <v>-0.9341384768486023</v>
      </c>
      <c r="V1106" s="3" t="n">
        <v>-0.6900166273117065</v>
      </c>
      <c r="W1106" s="3" t="n">
        <v>-0.6891584992408752</v>
      </c>
      <c r="X1106" s="3" t="n">
        <v>-1.758450269699097</v>
      </c>
      <c r="Y1106" s="3" t="n">
        <v>-0.7942888140678406</v>
      </c>
      <c r="Z1106" s="3" t="n">
        <v>-1.839641094207764</v>
      </c>
      <c r="AA1106" s="3" t="n">
        <v>-1.839641094207764</v>
      </c>
      <c r="AB1106" s="3" t="n">
        <v>-1.758450269699097</v>
      </c>
      <c r="AC1106" s="3" t="n">
        <v>-3.741800546646118</v>
      </c>
      <c r="AD1106" s="3" t="n">
        <v>-0.9341384768486023</v>
      </c>
      <c r="AE1106" s="3" t="n">
        <v>-0.9341384768486023</v>
      </c>
    </row>
    <row r="1107">
      <c r="A1107" s="3" t="inlineStr">
        <is>
          <t>KEN.distn.dec.ove.mean.4</t>
        </is>
      </c>
      <c r="B1107" s="3" t="inlineStr">
        <is>
          <t>KEN</t>
        </is>
      </c>
      <c r="C1107" s="3" t="n">
        <v>2005</v>
      </c>
      <c r="D1107" s="3" t="inlineStr">
        <is>
          <t>Overall</t>
        </is>
      </c>
      <c r="E1107" s="3" t="inlineStr">
        <is>
          <t>Deciles</t>
        </is>
      </c>
      <c r="F1107" s="3" t="inlineStr">
        <is>
          <t>mean</t>
        </is>
      </c>
      <c r="G1107" s="3" t="n">
        <v>4</v>
      </c>
      <c r="H1107" s="3" t="n">
        <v>-0.7879999876022339</v>
      </c>
      <c r="I1107" s="3" t="n">
        <v>-0.7879999876022339</v>
      </c>
      <c r="J1107" s="3" t="n">
        <v>-0.8889999985694885</v>
      </c>
      <c r="K1107" s="3" t="n">
        <v>-0.8889999985694885</v>
      </c>
      <c r="L1107" s="3" t="n">
        <v>-0.7879999876022339</v>
      </c>
      <c r="M1107" s="3" t="n">
        <v>-0.7879999876022339</v>
      </c>
      <c r="N1107" s="3" t="n">
        <v>-0.7879999876022339</v>
      </c>
      <c r="O1107" s="3" t="n">
        <v>-0.7879999876022339</v>
      </c>
      <c r="P1107" s="3" t="n">
        <v>-0.7879999876022339</v>
      </c>
      <c r="Q1107" s="3" t="n">
        <v>-0.7879999876022339</v>
      </c>
      <c r="R1107" s="3" t="n">
        <v>-0.7739999890327454</v>
      </c>
      <c r="S1107" s="3" t="n">
        <v>-1.253000020980835</v>
      </c>
      <c r="T1107" s="3" t="n">
        <v>-0.7099999785423279</v>
      </c>
      <c r="U1107" s="3" t="n">
        <v>-0.8889999985694885</v>
      </c>
      <c r="V1107" s="3" t="n">
        <v>-0.6830000281333923</v>
      </c>
      <c r="W1107" s="3" t="n">
        <v>-0.5799999833106995</v>
      </c>
      <c r="X1107" s="3" t="n">
        <v>-1.241000056266785</v>
      </c>
      <c r="Y1107" s="3" t="n">
        <v>-0.7879999876022339</v>
      </c>
      <c r="Z1107" s="3" t="n">
        <v>-1.253000020980835</v>
      </c>
      <c r="AA1107" s="3" t="n">
        <v>-1.253000020980835</v>
      </c>
      <c r="AB1107" s="3" t="n">
        <v>-1.241000056266785</v>
      </c>
      <c r="AC1107" s="3" t="n">
        <v>-1.807000041007996</v>
      </c>
      <c r="AD1107" s="3" t="n">
        <v>-0.8889999985694885</v>
      </c>
      <c r="AE1107" s="3" t="n">
        <v>-0.8889999985694885</v>
      </c>
    </row>
    <row r="1108">
      <c r="A1108" s="3" t="inlineStr">
        <is>
          <t>KEN.distn.dec.ove.mean.5</t>
        </is>
      </c>
      <c r="B1108" s="3" t="inlineStr">
        <is>
          <t>KEN</t>
        </is>
      </c>
      <c r="C1108" s="3" t="n">
        <v>2005</v>
      </c>
      <c r="D1108" s="3" t="inlineStr">
        <is>
          <t>Overall</t>
        </is>
      </c>
      <c r="E1108" s="3" t="inlineStr">
        <is>
          <t>Deciles</t>
        </is>
      </c>
      <c r="F1108" s="3" t="inlineStr">
        <is>
          <t>mean</t>
        </is>
      </c>
      <c r="G1108" s="3" t="n">
        <v>5</v>
      </c>
      <c r="H1108" s="3" t="n">
        <v>-0.7879999876022339</v>
      </c>
      <c r="I1108" s="3" t="n">
        <v>-0.7879999876022339</v>
      </c>
      <c r="J1108" s="3" t="n">
        <v>-0.8889999985694885</v>
      </c>
      <c r="K1108" s="3" t="n">
        <v>-0.8889999985694885</v>
      </c>
      <c r="L1108" s="3" t="n">
        <v>-0.7879999876022339</v>
      </c>
      <c r="M1108" s="3" t="n">
        <v>-0.7879999876022339</v>
      </c>
      <c r="N1108" s="3" t="n">
        <v>-0.7879999876022339</v>
      </c>
      <c r="O1108" s="3" t="n">
        <v>-0.7879999876022339</v>
      </c>
      <c r="P1108" s="3" t="n">
        <v>-0.7879999876022339</v>
      </c>
      <c r="Q1108" s="3" t="n">
        <v>-0.7879999876022339</v>
      </c>
      <c r="R1108" s="3" t="n">
        <v>-0.7739999890327454</v>
      </c>
      <c r="S1108" s="3" t="n">
        <v>-1.253000020980835</v>
      </c>
      <c r="T1108" s="3" t="n">
        <v>-0.7099999785423279</v>
      </c>
      <c r="U1108" s="3" t="n">
        <v>-0.8889999985694885</v>
      </c>
      <c r="V1108" s="3" t="n">
        <v>-0.6830000281333923</v>
      </c>
      <c r="W1108" s="3" t="n">
        <v>-0.5799999833106995</v>
      </c>
      <c r="X1108" s="3" t="n">
        <v>-1.241000056266785</v>
      </c>
      <c r="Y1108" s="3" t="n">
        <v>-0.7879999876022339</v>
      </c>
      <c r="Z1108" s="3" t="n">
        <v>-1.253000020980835</v>
      </c>
      <c r="AA1108" s="3" t="n">
        <v>-1.253000020980835</v>
      </c>
      <c r="AB1108" s="3" t="n">
        <v>-1.241000056266785</v>
      </c>
      <c r="AC1108" s="3" t="n">
        <v>-1.807000041007996</v>
      </c>
      <c r="AD1108" s="3" t="n">
        <v>-0.8889999985694885</v>
      </c>
      <c r="AE1108" s="3" t="n">
        <v>-0.8889999985694885</v>
      </c>
    </row>
    <row r="1109">
      <c r="A1109" s="3" t="inlineStr">
        <is>
          <t>KEN.distn.dec.ove.mean.6</t>
        </is>
      </c>
      <c r="B1109" s="3" t="inlineStr">
        <is>
          <t>KEN</t>
        </is>
      </c>
      <c r="C1109" s="3" t="n">
        <v>2005</v>
      </c>
      <c r="D1109" s="3" t="inlineStr">
        <is>
          <t>Overall</t>
        </is>
      </c>
      <c r="E1109" s="3" t="inlineStr">
        <is>
          <t>Deciles</t>
        </is>
      </c>
      <c r="F1109" s="3" t="inlineStr">
        <is>
          <t>mean</t>
        </is>
      </c>
      <c r="G1109" s="3" t="n">
        <v>6</v>
      </c>
      <c r="H1109" s="3" t="n">
        <v>-0.7879999876022339</v>
      </c>
      <c r="I1109" s="3" t="n">
        <v>-0.7879999876022339</v>
      </c>
      <c r="J1109" s="3" t="n">
        <v>-0.8889999985694885</v>
      </c>
      <c r="K1109" s="3" t="n">
        <v>-0.8889999985694885</v>
      </c>
      <c r="L1109" s="3" t="n">
        <v>-0.7879999876022339</v>
      </c>
      <c r="M1109" s="3" t="n">
        <v>-0.7879999876022339</v>
      </c>
      <c r="N1109" s="3" t="n">
        <v>-0.7879999876022339</v>
      </c>
      <c r="O1109" s="3" t="n">
        <v>-0.7879999876022339</v>
      </c>
      <c r="P1109" s="3" t="n">
        <v>-0.7879999876022339</v>
      </c>
      <c r="Q1109" s="3" t="n">
        <v>-0.7879999876022339</v>
      </c>
      <c r="R1109" s="3" t="n">
        <v>-0.7739999890327454</v>
      </c>
      <c r="S1109" s="3" t="n">
        <v>-1.253000020980835</v>
      </c>
      <c r="T1109" s="3" t="n">
        <v>-0.7099999785423279</v>
      </c>
      <c r="U1109" s="3" t="n">
        <v>-0.8889999985694885</v>
      </c>
      <c r="V1109" s="3" t="n">
        <v>-0.6830000281333923</v>
      </c>
      <c r="W1109" s="3" t="n">
        <v>-0.5799999833106995</v>
      </c>
      <c r="X1109" s="3" t="n">
        <v>-1.241000056266785</v>
      </c>
      <c r="Y1109" s="3" t="n">
        <v>-0.7879999876022339</v>
      </c>
      <c r="Z1109" s="3" t="n">
        <v>-1.253000020980835</v>
      </c>
      <c r="AA1109" s="3" t="n">
        <v>-1.253000020980835</v>
      </c>
      <c r="AB1109" s="3" t="n">
        <v>-1.241000056266785</v>
      </c>
      <c r="AC1109" s="3" t="n">
        <v>-1.807000041007996</v>
      </c>
      <c r="AD1109" s="3" t="n">
        <v>-0.8889999985694885</v>
      </c>
      <c r="AE1109" s="3" t="n">
        <v>-0.8889999985694885</v>
      </c>
    </row>
    <row r="1110">
      <c r="A1110" s="3" t="inlineStr">
        <is>
          <t>KEN.distn.dec.ove.mean.7</t>
        </is>
      </c>
      <c r="B1110" s="3" t="inlineStr">
        <is>
          <t>KEN</t>
        </is>
      </c>
      <c r="C1110" s="3" t="n">
        <v>2005</v>
      </c>
      <c r="D1110" s="3" t="inlineStr">
        <is>
          <t>Overall</t>
        </is>
      </c>
      <c r="E1110" s="3" t="inlineStr">
        <is>
          <t>Deciles</t>
        </is>
      </c>
      <c r="F1110" s="3" t="inlineStr">
        <is>
          <t>mean</t>
        </is>
      </c>
      <c r="G1110" s="3" t="n">
        <v>7</v>
      </c>
      <c r="H1110" s="3" t="n">
        <v>-0.7879999876022339</v>
      </c>
      <c r="I1110" s="3" t="n">
        <v>-0.7879999876022339</v>
      </c>
      <c r="J1110" s="3" t="n">
        <v>-0.8889999985694885</v>
      </c>
      <c r="K1110" s="3" t="n">
        <v>-0.8889999985694885</v>
      </c>
      <c r="L1110" s="3" t="n">
        <v>-0.7879999876022339</v>
      </c>
      <c r="M1110" s="3" t="n">
        <v>-0.7879999876022339</v>
      </c>
      <c r="N1110" s="3" t="n">
        <v>-0.7879999876022339</v>
      </c>
      <c r="O1110" s="3" t="n">
        <v>-0.7879999876022339</v>
      </c>
      <c r="P1110" s="3" t="n">
        <v>-0.7879999876022339</v>
      </c>
      <c r="Q1110" s="3" t="n">
        <v>-0.7879999876022339</v>
      </c>
      <c r="R1110" s="3" t="n">
        <v>-0.7739999890327454</v>
      </c>
      <c r="S1110" s="3" t="n">
        <v>-1.253000020980835</v>
      </c>
      <c r="T1110" s="3" t="n">
        <v>-0.7099999785423279</v>
      </c>
      <c r="U1110" s="3" t="n">
        <v>-0.8889999985694885</v>
      </c>
      <c r="V1110" s="3" t="n">
        <v>-0.6830000281333923</v>
      </c>
      <c r="W1110" s="3" t="n">
        <v>-0.5799999833106995</v>
      </c>
      <c r="X1110" s="3" t="n">
        <v>-1.241000056266785</v>
      </c>
      <c r="Y1110" s="3" t="n">
        <v>-0.7879999876022339</v>
      </c>
      <c r="Z1110" s="3" t="n">
        <v>-1.253000020980835</v>
      </c>
      <c r="AA1110" s="3" t="n">
        <v>-1.253000020980835</v>
      </c>
      <c r="AB1110" s="3" t="n">
        <v>-1.241000056266785</v>
      </c>
      <c r="AC1110" s="3" t="n">
        <v>-1.807000041007996</v>
      </c>
      <c r="AD1110" s="3" t="n">
        <v>-0.8889999985694885</v>
      </c>
      <c r="AE1110" s="3" t="n">
        <v>-0.8889999985694885</v>
      </c>
    </row>
    <row r="1111">
      <c r="A1111" s="3" t="inlineStr">
        <is>
          <t>KEN.distn.dec.ove.mean.8</t>
        </is>
      </c>
      <c r="B1111" s="3" t="inlineStr">
        <is>
          <t>KEN</t>
        </is>
      </c>
      <c r="C1111" s="3" t="n">
        <v>2005</v>
      </c>
      <c r="D1111" s="3" t="inlineStr">
        <is>
          <t>Overall</t>
        </is>
      </c>
      <c r="E1111" s="3" t="inlineStr">
        <is>
          <t>Deciles</t>
        </is>
      </c>
      <c r="F1111" s="3" t="inlineStr">
        <is>
          <t>mean</t>
        </is>
      </c>
      <c r="G1111" s="3" t="n">
        <v>8</v>
      </c>
      <c r="H1111" s="3" t="n">
        <v>-0.7883796691894531</v>
      </c>
      <c r="I1111" s="3" t="n">
        <v>-0.7883796691894531</v>
      </c>
      <c r="J1111" s="3" t="n">
        <v>-0.8913981318473816</v>
      </c>
      <c r="K1111" s="3" t="n">
        <v>-0.8913981318473816</v>
      </c>
      <c r="L1111" s="3" t="n">
        <v>-0.7883796691894531</v>
      </c>
      <c r="M1111" s="3" t="n">
        <v>-0.7883796691894531</v>
      </c>
      <c r="N1111" s="3" t="n">
        <v>-0.7883796691894531</v>
      </c>
      <c r="O1111" s="3" t="n">
        <v>-0.7883796691894531</v>
      </c>
      <c r="P1111" s="3" t="n">
        <v>-0.7883796691894531</v>
      </c>
      <c r="Q1111" s="3" t="n">
        <v>-0.7883796691894531</v>
      </c>
      <c r="R1111" s="3" t="n">
        <v>-0.7742545604705811</v>
      </c>
      <c r="S1111" s="3" t="n">
        <v>-1.264659285545349</v>
      </c>
      <c r="T1111" s="3" t="n">
        <v>-0.7100409269332886</v>
      </c>
      <c r="U1111" s="3" t="n">
        <v>-0.8913981318473816</v>
      </c>
      <c r="V1111" s="3" t="n">
        <v>-0.6837060451507568</v>
      </c>
      <c r="W1111" s="3" t="n">
        <v>-0.595531702041626</v>
      </c>
      <c r="X1111" s="3" t="n">
        <v>-1.252308011054993</v>
      </c>
      <c r="Y1111" s="3" t="n">
        <v>-0.7883796691894531</v>
      </c>
      <c r="Z1111" s="3" t="n">
        <v>-1.264659285545349</v>
      </c>
      <c r="AA1111" s="3" t="n">
        <v>-1.264659285545349</v>
      </c>
      <c r="AB1111" s="3" t="n">
        <v>-1.252308011054993</v>
      </c>
      <c r="AC1111" s="3" t="n">
        <v>-1.832770228385925</v>
      </c>
      <c r="AD1111" s="3" t="n">
        <v>-0.8913981318473816</v>
      </c>
      <c r="AE1111" s="3" t="n">
        <v>-0.8913981318473816</v>
      </c>
    </row>
    <row r="1112">
      <c r="A1112" s="3" t="inlineStr">
        <is>
          <t>KEN.distn.dec.ove.mean.9</t>
        </is>
      </c>
      <c r="B1112" s="3" t="inlineStr">
        <is>
          <t>KEN</t>
        </is>
      </c>
      <c r="C1112" s="3" t="n">
        <v>2005</v>
      </c>
      <c r="D1112" s="3" t="inlineStr">
        <is>
          <t>Overall</t>
        </is>
      </c>
      <c r="E1112" s="3" t="inlineStr">
        <is>
          <t>Deciles</t>
        </is>
      </c>
      <c r="F1112" s="3" t="inlineStr">
        <is>
          <t>mean</t>
        </is>
      </c>
      <c r="G1112" s="3" t="n">
        <v>9</v>
      </c>
      <c r="H1112" s="3" t="n">
        <v>-0.7883796691894531</v>
      </c>
      <c r="I1112" s="3" t="n">
        <v>-0.7883796691894531</v>
      </c>
      <c r="J1112" s="3" t="n">
        <v>-0.8913981318473816</v>
      </c>
      <c r="K1112" s="3" t="n">
        <v>-0.8913981318473816</v>
      </c>
      <c r="L1112" s="3" t="n">
        <v>-0.7883796691894531</v>
      </c>
      <c r="M1112" s="3" t="n">
        <v>-0.7883796691894531</v>
      </c>
      <c r="N1112" s="3" t="n">
        <v>-0.7883796691894531</v>
      </c>
      <c r="O1112" s="3" t="n">
        <v>-0.7883796691894531</v>
      </c>
      <c r="P1112" s="3" t="n">
        <v>-0.7883796691894531</v>
      </c>
      <c r="Q1112" s="3" t="n">
        <v>-0.7883796691894531</v>
      </c>
      <c r="R1112" s="3" t="n">
        <v>-0.7742545604705811</v>
      </c>
      <c r="S1112" s="3" t="n">
        <v>-1.264659285545349</v>
      </c>
      <c r="T1112" s="3" t="n">
        <v>-0.7100409269332886</v>
      </c>
      <c r="U1112" s="3" t="n">
        <v>-0.8913981318473816</v>
      </c>
      <c r="V1112" s="3" t="n">
        <v>-0.6837060451507568</v>
      </c>
      <c r="W1112" s="3" t="n">
        <v>-0.595531702041626</v>
      </c>
      <c r="X1112" s="3" t="n">
        <v>-1.252308011054993</v>
      </c>
      <c r="Y1112" s="3" t="n">
        <v>-0.7883796691894531</v>
      </c>
      <c r="Z1112" s="3" t="n">
        <v>-1.264659285545349</v>
      </c>
      <c r="AA1112" s="3" t="n">
        <v>-1.264659285545349</v>
      </c>
      <c r="AB1112" s="3" t="n">
        <v>-1.252308011054993</v>
      </c>
      <c r="AC1112" s="3" t="n">
        <v>-1.832770228385925</v>
      </c>
      <c r="AD1112" s="3" t="n">
        <v>-0.8913981318473816</v>
      </c>
      <c r="AE1112" s="3" t="n">
        <v>-0.8913981318473816</v>
      </c>
    </row>
    <row r="1113">
      <c r="A1113" s="3" t="inlineStr">
        <is>
          <t>KEN.distn.dec.ove.mean.10</t>
        </is>
      </c>
      <c r="B1113" s="3" t="inlineStr">
        <is>
          <t>KEN</t>
        </is>
      </c>
      <c r="C1113" s="3" t="n">
        <v>2005</v>
      </c>
      <c r="D1113" s="3" t="inlineStr">
        <is>
          <t>Overall</t>
        </is>
      </c>
      <c r="E1113" s="3" t="inlineStr">
        <is>
          <t>Deciles</t>
        </is>
      </c>
      <c r="F1113" s="3" t="inlineStr">
        <is>
          <t>mean</t>
        </is>
      </c>
      <c r="G1113" s="3" t="n">
        <v>10</v>
      </c>
      <c r="H1113" s="3" t="n">
        <v>-0.7883796691894531</v>
      </c>
      <c r="I1113" s="3" t="n">
        <v>-0.7883796691894531</v>
      </c>
      <c r="J1113" s="3" t="n">
        <v>-0.8913981318473816</v>
      </c>
      <c r="K1113" s="3" t="n">
        <v>-0.8913981318473816</v>
      </c>
      <c r="L1113" s="3" t="n">
        <v>-0.7883796691894531</v>
      </c>
      <c r="M1113" s="3" t="n">
        <v>-0.7883796691894531</v>
      </c>
      <c r="N1113" s="3" t="n">
        <v>-0.7883796691894531</v>
      </c>
      <c r="O1113" s="3" t="n">
        <v>-0.7883796691894531</v>
      </c>
      <c r="P1113" s="3" t="n">
        <v>-0.7883796691894531</v>
      </c>
      <c r="Q1113" s="3" t="n">
        <v>-0.7883796691894531</v>
      </c>
      <c r="R1113" s="3" t="n">
        <v>-0.7742545604705811</v>
      </c>
      <c r="S1113" s="3" t="n">
        <v>-1.264659285545349</v>
      </c>
      <c r="T1113" s="3" t="n">
        <v>-0.7100409269332886</v>
      </c>
      <c r="U1113" s="3" t="n">
        <v>-0.8913981318473816</v>
      </c>
      <c r="V1113" s="3" t="n">
        <v>-0.6837060451507568</v>
      </c>
      <c r="W1113" s="3" t="n">
        <v>-0.595531702041626</v>
      </c>
      <c r="X1113" s="3" t="n">
        <v>-1.252308011054993</v>
      </c>
      <c r="Y1113" s="3" t="n">
        <v>-0.7883796691894531</v>
      </c>
      <c r="Z1113" s="3" t="n">
        <v>-1.264659285545349</v>
      </c>
      <c r="AA1113" s="3" t="n">
        <v>-1.264659285545349</v>
      </c>
      <c r="AB1113" s="3" t="n">
        <v>-1.252308011054993</v>
      </c>
      <c r="AC1113" s="3" t="n">
        <v>-1.832770228385925</v>
      </c>
      <c r="AD1113" s="3" t="n">
        <v>-0.8913981318473816</v>
      </c>
      <c r="AE1113" s="3" t="n">
        <v>-0.8913981318473816</v>
      </c>
    </row>
    <row r="1114">
      <c r="A1114" s="3" t="inlineStr">
        <is>
          <t>KEN.distn.bkt.ove.mean.9999</t>
        </is>
      </c>
      <c r="B1114" s="3" t="inlineStr">
        <is>
          <t>KEN</t>
        </is>
      </c>
      <c r="C1114" s="3" t="n">
        <v>2005</v>
      </c>
      <c r="D1114" s="3" t="inlineStr">
        <is>
          <t>Overall</t>
        </is>
      </c>
      <c r="E1114" s="3" t="inlineStr">
        <is>
          <t>Basket</t>
        </is>
      </c>
      <c r="F1114" s="3" t="inlineStr">
        <is>
          <t>mean</t>
        </is>
      </c>
      <c r="G1114" s="3" t="n">
        <v>9999</v>
      </c>
      <c r="H1114" s="3" t="n">
        <v>-0.7900005578994751</v>
      </c>
      <c r="I1114" s="3" t="n">
        <v>-0.7900005578994751</v>
      </c>
      <c r="J1114" s="3" t="n">
        <v>-0.9032610058784485</v>
      </c>
      <c r="K1114" s="3" t="n">
        <v>-0.9032610058784485</v>
      </c>
      <c r="L1114" s="3" t="n">
        <v>-0.7900005578994751</v>
      </c>
      <c r="M1114" s="3" t="n">
        <v>-0.7900005578994751</v>
      </c>
      <c r="N1114" s="3" t="n">
        <v>-0.7900005578994751</v>
      </c>
      <c r="O1114" s="3" t="n">
        <v>-0.7900005578994751</v>
      </c>
      <c r="P1114" s="3" t="n">
        <v>-0.7900005578994751</v>
      </c>
      <c r="Q1114" s="3" t="n">
        <v>-0.7900005578994751</v>
      </c>
      <c r="R1114" s="3" t="n">
        <v>-0.7751230001449585</v>
      </c>
      <c r="S1114" s="3" t="n">
        <v>-1.432490110397339</v>
      </c>
      <c r="T1114" s="3" t="n">
        <v>-0.7104492783546448</v>
      </c>
      <c r="U1114" s="3" t="n">
        <v>-0.9032610058784485</v>
      </c>
      <c r="V1114" s="3" t="n">
        <v>-0.685316801071167</v>
      </c>
      <c r="W1114" s="3" t="n">
        <v>-0.6174070835113525</v>
      </c>
      <c r="X1114" s="3" t="n">
        <v>-1.399627447128296</v>
      </c>
      <c r="Y1114" s="3" t="n">
        <v>-0.7900005578994751</v>
      </c>
      <c r="Z1114" s="3" t="n">
        <v>-1.432490110397339</v>
      </c>
      <c r="AA1114" s="3" t="n">
        <v>-1.432490110397339</v>
      </c>
      <c r="AB1114" s="3" t="n">
        <v>-1.399627447128296</v>
      </c>
      <c r="AC1114" s="3" t="n">
        <v>-2.395171165466309</v>
      </c>
      <c r="AD1114" s="3" t="n">
        <v>-0.9032610058784485</v>
      </c>
      <c r="AE1114" s="3" t="n">
        <v>-0.9032610058784485</v>
      </c>
    </row>
    <row r="1115">
      <c r="A1115" s="3" t="inlineStr">
        <is>
          <t>KGZ.distn.dec.ove.mean.1</t>
        </is>
      </c>
      <c r="B1115" s="3" t="inlineStr">
        <is>
          <t>KGZ</t>
        </is>
      </c>
      <c r="C1115" s="3" t="n">
        <v>2005</v>
      </c>
      <c r="D1115" s="3" t="inlineStr">
        <is>
          <t>Overall</t>
        </is>
      </c>
      <c r="E1115" s="3" t="inlineStr">
        <is>
          <t>Deciles</t>
        </is>
      </c>
      <c r="F1115" s="3" t="inlineStr">
        <is>
          <t>mean</t>
        </is>
      </c>
      <c r="G1115" s="3" t="n">
        <v>1</v>
      </c>
      <c r="H1115" s="3" t="n">
        <v>-0.7922728657722473</v>
      </c>
      <c r="I1115" s="3" t="n">
        <v>-0.7922728657722473</v>
      </c>
      <c r="J1115" s="3" t="n">
        <v>-0.9141737818717957</v>
      </c>
      <c r="K1115" s="3" t="n">
        <v>-0.9141737818717957</v>
      </c>
      <c r="L1115" s="3" t="n">
        <v>-0.7922728657722473</v>
      </c>
      <c r="M1115" s="3" t="n">
        <v>-0.7922728657722473</v>
      </c>
      <c r="N1115" s="3" t="n">
        <v>-0.7922728657722473</v>
      </c>
      <c r="O1115" s="3" t="n">
        <v>-0.7922728657722473</v>
      </c>
      <c r="P1115" s="3" t="n">
        <v>-0.7922728657722473</v>
      </c>
      <c r="Q1115" s="3" t="n">
        <v>-0.7922728657722473</v>
      </c>
      <c r="R1115" s="3" t="n">
        <v>-0.775479793548584</v>
      </c>
      <c r="S1115" s="3" t="n">
        <v>-1.594453573226929</v>
      </c>
      <c r="T1115" s="3" t="n">
        <v>-0.7104546427726746</v>
      </c>
      <c r="U1115" s="3" t="n">
        <v>-0.9141737818717957</v>
      </c>
      <c r="V1115" s="3" t="n">
        <v>-0.6869857907295227</v>
      </c>
      <c r="W1115" s="3" t="n">
        <v>-0.660641610622406</v>
      </c>
      <c r="X1115" s="3" t="n">
        <v>-1.531736254692078</v>
      </c>
      <c r="Y1115" s="3" t="n">
        <v>-0.7922728657722473</v>
      </c>
      <c r="Z1115" s="3" t="n">
        <v>-1.594453573226929</v>
      </c>
      <c r="AA1115" s="3" t="n">
        <v>-1.594453573226929</v>
      </c>
      <c r="AB1115" s="3" t="n">
        <v>-1.531736254692078</v>
      </c>
      <c r="AC1115" s="3" t="n">
        <v>-2.64431619644165</v>
      </c>
      <c r="AD1115" s="3" t="n">
        <v>-0.9141737818717957</v>
      </c>
      <c r="AE1115" s="3" t="n">
        <v>-0.9141737818717957</v>
      </c>
    </row>
    <row r="1116">
      <c r="A1116" s="3" t="inlineStr">
        <is>
          <t>KGZ.distn.dec.ove.mean.2</t>
        </is>
      </c>
      <c r="B1116" s="3" t="inlineStr">
        <is>
          <t>KGZ</t>
        </is>
      </c>
      <c r="C1116" s="3" t="n">
        <v>2005</v>
      </c>
      <c r="D1116" s="3" t="inlineStr">
        <is>
          <t>Overall</t>
        </is>
      </c>
      <c r="E1116" s="3" t="inlineStr">
        <is>
          <t>Deciles</t>
        </is>
      </c>
      <c r="F1116" s="3" t="inlineStr">
        <is>
          <t>mean</t>
        </is>
      </c>
      <c r="G1116" s="3" t="n">
        <v>2</v>
      </c>
      <c r="H1116" s="3" t="n">
        <v>-0.7922728657722473</v>
      </c>
      <c r="I1116" s="3" t="n">
        <v>-0.7922728657722473</v>
      </c>
      <c r="J1116" s="3" t="n">
        <v>-0.9141737818717957</v>
      </c>
      <c r="K1116" s="3" t="n">
        <v>-0.9141737818717957</v>
      </c>
      <c r="L1116" s="3" t="n">
        <v>-0.7922728657722473</v>
      </c>
      <c r="M1116" s="3" t="n">
        <v>-0.7922728657722473</v>
      </c>
      <c r="N1116" s="3" t="n">
        <v>-0.7922728657722473</v>
      </c>
      <c r="O1116" s="3" t="n">
        <v>-0.7922728657722473</v>
      </c>
      <c r="P1116" s="3" t="n">
        <v>-0.7922728657722473</v>
      </c>
      <c r="Q1116" s="3" t="n">
        <v>-0.7922728657722473</v>
      </c>
      <c r="R1116" s="3" t="n">
        <v>-0.775479793548584</v>
      </c>
      <c r="S1116" s="3" t="n">
        <v>-1.594453573226929</v>
      </c>
      <c r="T1116" s="3" t="n">
        <v>-0.7104546427726746</v>
      </c>
      <c r="U1116" s="3" t="n">
        <v>-0.9141737818717957</v>
      </c>
      <c r="V1116" s="3" t="n">
        <v>-0.6869857907295227</v>
      </c>
      <c r="W1116" s="3" t="n">
        <v>-0.660641610622406</v>
      </c>
      <c r="X1116" s="3" t="n">
        <v>-1.531736254692078</v>
      </c>
      <c r="Y1116" s="3" t="n">
        <v>-0.7922728657722473</v>
      </c>
      <c r="Z1116" s="3" t="n">
        <v>-1.594453573226929</v>
      </c>
      <c r="AA1116" s="3" t="n">
        <v>-1.594453573226929</v>
      </c>
      <c r="AB1116" s="3" t="n">
        <v>-1.531736254692078</v>
      </c>
      <c r="AC1116" s="3" t="n">
        <v>-2.64431619644165</v>
      </c>
      <c r="AD1116" s="3" t="n">
        <v>-0.9141737818717957</v>
      </c>
      <c r="AE1116" s="3" t="n">
        <v>-0.9141737818717957</v>
      </c>
    </row>
    <row r="1117">
      <c r="A1117" s="3" t="inlineStr">
        <is>
          <t>KGZ.distn.dec.ove.mean.3</t>
        </is>
      </c>
      <c r="B1117" s="3" t="inlineStr">
        <is>
          <t>KGZ</t>
        </is>
      </c>
      <c r="C1117" s="3" t="n">
        <v>2005</v>
      </c>
      <c r="D1117" s="3" t="inlineStr">
        <is>
          <t>Overall</t>
        </is>
      </c>
      <c r="E1117" s="3" t="inlineStr">
        <is>
          <t>Deciles</t>
        </is>
      </c>
      <c r="F1117" s="3" t="inlineStr">
        <is>
          <t>mean</t>
        </is>
      </c>
      <c r="G1117" s="3" t="n">
        <v>3</v>
      </c>
      <c r="H1117" s="3" t="n">
        <v>-0.7922728657722473</v>
      </c>
      <c r="I1117" s="3" t="n">
        <v>-0.7922728657722473</v>
      </c>
      <c r="J1117" s="3" t="n">
        <v>-0.9141737818717957</v>
      </c>
      <c r="K1117" s="3" t="n">
        <v>-0.9141737818717957</v>
      </c>
      <c r="L1117" s="3" t="n">
        <v>-0.7922728657722473</v>
      </c>
      <c r="M1117" s="3" t="n">
        <v>-0.7922728657722473</v>
      </c>
      <c r="N1117" s="3" t="n">
        <v>-0.7922728657722473</v>
      </c>
      <c r="O1117" s="3" t="n">
        <v>-0.7922728657722473</v>
      </c>
      <c r="P1117" s="3" t="n">
        <v>-0.7922728657722473</v>
      </c>
      <c r="Q1117" s="3" t="n">
        <v>-0.7922728657722473</v>
      </c>
      <c r="R1117" s="3" t="n">
        <v>-0.775479793548584</v>
      </c>
      <c r="S1117" s="3" t="n">
        <v>-1.594453573226929</v>
      </c>
      <c r="T1117" s="3" t="n">
        <v>-0.7104546427726746</v>
      </c>
      <c r="U1117" s="3" t="n">
        <v>-0.9141737818717957</v>
      </c>
      <c r="V1117" s="3" t="n">
        <v>-0.6869857907295227</v>
      </c>
      <c r="W1117" s="3" t="n">
        <v>-0.660641610622406</v>
      </c>
      <c r="X1117" s="3" t="n">
        <v>-1.531736254692078</v>
      </c>
      <c r="Y1117" s="3" t="n">
        <v>-0.7922728657722473</v>
      </c>
      <c r="Z1117" s="3" t="n">
        <v>-1.594453573226929</v>
      </c>
      <c r="AA1117" s="3" t="n">
        <v>-1.594453573226929</v>
      </c>
      <c r="AB1117" s="3" t="n">
        <v>-1.531736254692078</v>
      </c>
      <c r="AC1117" s="3" t="n">
        <v>-2.64431619644165</v>
      </c>
      <c r="AD1117" s="3" t="n">
        <v>-0.9141737818717957</v>
      </c>
      <c r="AE1117" s="3" t="n">
        <v>-0.9141737818717957</v>
      </c>
    </row>
    <row r="1118">
      <c r="A1118" s="3" t="inlineStr">
        <is>
          <t>KGZ.distn.dec.ove.mean.4</t>
        </is>
      </c>
      <c r="B1118" s="3" t="inlineStr">
        <is>
          <t>KGZ</t>
        </is>
      </c>
      <c r="C1118" s="3" t="n">
        <v>2005</v>
      </c>
      <c r="D1118" s="3" t="inlineStr">
        <is>
          <t>Overall</t>
        </is>
      </c>
      <c r="E1118" s="3" t="inlineStr">
        <is>
          <t>Deciles</t>
        </is>
      </c>
      <c r="F1118" s="3" t="inlineStr">
        <is>
          <t>mean</t>
        </is>
      </c>
      <c r="G1118" s="3" t="n">
        <v>4</v>
      </c>
      <c r="H1118" s="3" t="n">
        <v>-0.7860000133514404</v>
      </c>
      <c r="I1118" s="3" t="n">
        <v>-0.7860000133514404</v>
      </c>
      <c r="J1118" s="3" t="n">
        <v>-0.8700000047683716</v>
      </c>
      <c r="K1118" s="3" t="n">
        <v>-0.8700000047683716</v>
      </c>
      <c r="L1118" s="3" t="n">
        <v>-0.7860000133514404</v>
      </c>
      <c r="M1118" s="3" t="n">
        <v>-0.7860000133514404</v>
      </c>
      <c r="N1118" s="3" t="n">
        <v>-0.7860000133514404</v>
      </c>
      <c r="O1118" s="3" t="n">
        <v>-0.7860000133514404</v>
      </c>
      <c r="P1118" s="3" t="n">
        <v>-0.7860000133514404</v>
      </c>
      <c r="Q1118" s="3" t="n">
        <v>-0.7860000133514404</v>
      </c>
      <c r="R1118" s="3" t="n">
        <v>-0.7720000147819519</v>
      </c>
      <c r="S1118" s="3" t="n">
        <v>-1.085999965667725</v>
      </c>
      <c r="T1118" s="3" t="n">
        <v>-0.7089999914169312</v>
      </c>
      <c r="U1118" s="3" t="n">
        <v>-0.8700000047683716</v>
      </c>
      <c r="V1118" s="3" t="n">
        <v>-0.6800000071525574</v>
      </c>
      <c r="W1118" s="3" t="n">
        <v>-0.5559999942779541</v>
      </c>
      <c r="X1118" s="3" t="n">
        <v>-1.080999970436096</v>
      </c>
      <c r="Y1118" s="3" t="n">
        <v>-0.7860000133514404</v>
      </c>
      <c r="Z1118" s="3" t="n">
        <v>-1.085999965667725</v>
      </c>
      <c r="AA1118" s="3" t="n">
        <v>-1.085999965667725</v>
      </c>
      <c r="AB1118" s="3" t="n">
        <v>-1.080999970436096</v>
      </c>
      <c r="AC1118" s="3" t="n">
        <v>-1.276999950408936</v>
      </c>
      <c r="AD1118" s="3" t="n">
        <v>-0.8700000047683716</v>
      </c>
      <c r="AE1118" s="3" t="n">
        <v>-0.8700000047683716</v>
      </c>
    </row>
    <row r="1119">
      <c r="A1119" s="3" t="inlineStr">
        <is>
          <t>KGZ.distn.dec.ove.mean.5</t>
        </is>
      </c>
      <c r="B1119" s="3" t="inlineStr">
        <is>
          <t>KGZ</t>
        </is>
      </c>
      <c r="C1119" s="3" t="n">
        <v>2005</v>
      </c>
      <c r="D1119" s="3" t="inlineStr">
        <is>
          <t>Overall</t>
        </is>
      </c>
      <c r="E1119" s="3" t="inlineStr">
        <is>
          <t>Deciles</t>
        </is>
      </c>
      <c r="F1119" s="3" t="inlineStr">
        <is>
          <t>mean</t>
        </is>
      </c>
      <c r="G1119" s="3" t="n">
        <v>5</v>
      </c>
      <c r="H1119" s="3" t="n">
        <v>-0.7860000133514404</v>
      </c>
      <c r="I1119" s="3" t="n">
        <v>-0.7860000133514404</v>
      </c>
      <c r="J1119" s="3" t="n">
        <v>-0.8700000047683716</v>
      </c>
      <c r="K1119" s="3" t="n">
        <v>-0.8700000047683716</v>
      </c>
      <c r="L1119" s="3" t="n">
        <v>-0.7860000133514404</v>
      </c>
      <c r="M1119" s="3" t="n">
        <v>-0.7860000133514404</v>
      </c>
      <c r="N1119" s="3" t="n">
        <v>-0.7860000133514404</v>
      </c>
      <c r="O1119" s="3" t="n">
        <v>-0.7860000133514404</v>
      </c>
      <c r="P1119" s="3" t="n">
        <v>-0.7860000133514404</v>
      </c>
      <c r="Q1119" s="3" t="n">
        <v>-0.7860000133514404</v>
      </c>
      <c r="R1119" s="3" t="n">
        <v>-0.7720000147819519</v>
      </c>
      <c r="S1119" s="3" t="n">
        <v>-1.085999965667725</v>
      </c>
      <c r="T1119" s="3" t="n">
        <v>-0.7089999914169312</v>
      </c>
      <c r="U1119" s="3" t="n">
        <v>-0.8700000047683716</v>
      </c>
      <c r="V1119" s="3" t="n">
        <v>-0.6800000071525574</v>
      </c>
      <c r="W1119" s="3" t="n">
        <v>-0.5559999942779541</v>
      </c>
      <c r="X1119" s="3" t="n">
        <v>-1.080999970436096</v>
      </c>
      <c r="Y1119" s="3" t="n">
        <v>-0.7860000133514404</v>
      </c>
      <c r="Z1119" s="3" t="n">
        <v>-1.085999965667725</v>
      </c>
      <c r="AA1119" s="3" t="n">
        <v>-1.085999965667725</v>
      </c>
      <c r="AB1119" s="3" t="n">
        <v>-1.080999970436096</v>
      </c>
      <c r="AC1119" s="3" t="n">
        <v>-1.276999950408936</v>
      </c>
      <c r="AD1119" s="3" t="n">
        <v>-0.8700000047683716</v>
      </c>
      <c r="AE1119" s="3" t="n">
        <v>-0.8700000047683716</v>
      </c>
    </row>
    <row r="1120">
      <c r="A1120" s="3" t="inlineStr">
        <is>
          <t>KGZ.distn.dec.ove.mean.6</t>
        </is>
      </c>
      <c r="B1120" s="3" t="inlineStr">
        <is>
          <t>KGZ</t>
        </is>
      </c>
      <c r="C1120" s="3" t="n">
        <v>2005</v>
      </c>
      <c r="D1120" s="3" t="inlineStr">
        <is>
          <t>Overall</t>
        </is>
      </c>
      <c r="E1120" s="3" t="inlineStr">
        <is>
          <t>Deciles</t>
        </is>
      </c>
      <c r="F1120" s="3" t="inlineStr">
        <is>
          <t>mean</t>
        </is>
      </c>
      <c r="G1120" s="3" t="n">
        <v>6</v>
      </c>
      <c r="H1120" s="3" t="n">
        <v>-0.7860000133514404</v>
      </c>
      <c r="I1120" s="3" t="n">
        <v>-0.7860000133514404</v>
      </c>
      <c r="J1120" s="3" t="n">
        <v>-0.8700000047683716</v>
      </c>
      <c r="K1120" s="3" t="n">
        <v>-0.8700000047683716</v>
      </c>
      <c r="L1120" s="3" t="n">
        <v>-0.7860000133514404</v>
      </c>
      <c r="M1120" s="3" t="n">
        <v>-0.7860000133514404</v>
      </c>
      <c r="N1120" s="3" t="n">
        <v>-0.7860000133514404</v>
      </c>
      <c r="O1120" s="3" t="n">
        <v>-0.7860000133514404</v>
      </c>
      <c r="P1120" s="3" t="n">
        <v>-0.7860000133514404</v>
      </c>
      <c r="Q1120" s="3" t="n">
        <v>-0.7860000133514404</v>
      </c>
      <c r="R1120" s="3" t="n">
        <v>-0.7720000147819519</v>
      </c>
      <c r="S1120" s="3" t="n">
        <v>-1.085999965667725</v>
      </c>
      <c r="T1120" s="3" t="n">
        <v>-0.7089999914169312</v>
      </c>
      <c r="U1120" s="3" t="n">
        <v>-0.8700000047683716</v>
      </c>
      <c r="V1120" s="3" t="n">
        <v>-0.6800000071525574</v>
      </c>
      <c r="W1120" s="3" t="n">
        <v>-0.5559999942779541</v>
      </c>
      <c r="X1120" s="3" t="n">
        <v>-1.080999970436096</v>
      </c>
      <c r="Y1120" s="3" t="n">
        <v>-0.7860000133514404</v>
      </c>
      <c r="Z1120" s="3" t="n">
        <v>-1.085999965667725</v>
      </c>
      <c r="AA1120" s="3" t="n">
        <v>-1.085999965667725</v>
      </c>
      <c r="AB1120" s="3" t="n">
        <v>-1.080999970436096</v>
      </c>
      <c r="AC1120" s="3" t="n">
        <v>-1.276999950408936</v>
      </c>
      <c r="AD1120" s="3" t="n">
        <v>-0.8700000047683716</v>
      </c>
      <c r="AE1120" s="3" t="n">
        <v>-0.8700000047683716</v>
      </c>
    </row>
    <row r="1121">
      <c r="A1121" s="3" t="inlineStr">
        <is>
          <t>KGZ.distn.dec.ove.mean.7</t>
        </is>
      </c>
      <c r="B1121" s="3" t="inlineStr">
        <is>
          <t>KGZ</t>
        </is>
      </c>
      <c r="C1121" s="3" t="n">
        <v>2005</v>
      </c>
      <c r="D1121" s="3" t="inlineStr">
        <is>
          <t>Overall</t>
        </is>
      </c>
      <c r="E1121" s="3" t="inlineStr">
        <is>
          <t>Deciles</t>
        </is>
      </c>
      <c r="F1121" s="3" t="inlineStr">
        <is>
          <t>mean</t>
        </is>
      </c>
      <c r="G1121" s="3" t="n">
        <v>7</v>
      </c>
      <c r="H1121" s="3" t="n">
        <v>-0.7860000133514404</v>
      </c>
      <c r="I1121" s="3" t="n">
        <v>-0.7860000133514404</v>
      </c>
      <c r="J1121" s="3" t="n">
        <v>-0.8700000047683716</v>
      </c>
      <c r="K1121" s="3" t="n">
        <v>-0.8700000047683716</v>
      </c>
      <c r="L1121" s="3" t="n">
        <v>-0.7860000133514404</v>
      </c>
      <c r="M1121" s="3" t="n">
        <v>-0.7860000133514404</v>
      </c>
      <c r="N1121" s="3" t="n">
        <v>-0.7860000133514404</v>
      </c>
      <c r="O1121" s="3" t="n">
        <v>-0.7860000133514404</v>
      </c>
      <c r="P1121" s="3" t="n">
        <v>-0.7860000133514404</v>
      </c>
      <c r="Q1121" s="3" t="n">
        <v>-0.7860000133514404</v>
      </c>
      <c r="R1121" s="3" t="n">
        <v>-0.7720000147819519</v>
      </c>
      <c r="S1121" s="3" t="n">
        <v>-1.085999965667725</v>
      </c>
      <c r="T1121" s="3" t="n">
        <v>-0.7089999914169312</v>
      </c>
      <c r="U1121" s="3" t="n">
        <v>-0.8700000047683716</v>
      </c>
      <c r="V1121" s="3" t="n">
        <v>-0.6800000071525574</v>
      </c>
      <c r="W1121" s="3" t="n">
        <v>-0.5559999942779541</v>
      </c>
      <c r="X1121" s="3" t="n">
        <v>-1.080999970436096</v>
      </c>
      <c r="Y1121" s="3" t="n">
        <v>-0.7860000133514404</v>
      </c>
      <c r="Z1121" s="3" t="n">
        <v>-1.085999965667725</v>
      </c>
      <c r="AA1121" s="3" t="n">
        <v>-1.085999965667725</v>
      </c>
      <c r="AB1121" s="3" t="n">
        <v>-1.080999970436096</v>
      </c>
      <c r="AC1121" s="3" t="n">
        <v>-1.276999950408936</v>
      </c>
      <c r="AD1121" s="3" t="n">
        <v>-0.8700000047683716</v>
      </c>
      <c r="AE1121" s="3" t="n">
        <v>-0.8700000047683716</v>
      </c>
    </row>
    <row r="1122">
      <c r="A1122" s="3" t="inlineStr">
        <is>
          <t>KGZ.distn.dec.ove.mean.8</t>
        </is>
      </c>
      <c r="B1122" s="3" t="inlineStr">
        <is>
          <t>KGZ</t>
        </is>
      </c>
      <c r="C1122" s="3" t="n">
        <v>2005</v>
      </c>
      <c r="D1122" s="3" t="inlineStr">
        <is>
          <t>Overall</t>
        </is>
      </c>
      <c r="E1122" s="3" t="inlineStr">
        <is>
          <t>Deciles</t>
        </is>
      </c>
      <c r="F1122" s="3" t="inlineStr">
        <is>
          <t>mean</t>
        </is>
      </c>
      <c r="G1122" s="3" t="n">
        <v>8</v>
      </c>
      <c r="H1122" s="3" t="n">
        <v>-0.7863786816596985</v>
      </c>
      <c r="I1122" s="3" t="n">
        <v>-0.7863786816596985</v>
      </c>
      <c r="J1122" s="3" t="n">
        <v>-0.8723468780517578</v>
      </c>
      <c r="K1122" s="3" t="n">
        <v>-0.8723468780517578</v>
      </c>
      <c r="L1122" s="3" t="n">
        <v>-0.7863786816596985</v>
      </c>
      <c r="M1122" s="3" t="n">
        <v>-0.7863786816596985</v>
      </c>
      <c r="N1122" s="3" t="n">
        <v>-0.7863786816596985</v>
      </c>
      <c r="O1122" s="3" t="n">
        <v>-0.7863786816596985</v>
      </c>
      <c r="P1122" s="3" t="n">
        <v>-0.7863786816596985</v>
      </c>
      <c r="Q1122" s="3" t="n">
        <v>-0.7863786816596985</v>
      </c>
      <c r="R1122" s="3" t="n">
        <v>-0.7722538709640503</v>
      </c>
      <c r="S1122" s="3" t="n">
        <v>-1.096105337142944</v>
      </c>
      <c r="T1122" s="3" t="n">
        <v>-0.7090408802032471</v>
      </c>
      <c r="U1122" s="3" t="n">
        <v>-0.8723468780517578</v>
      </c>
      <c r="V1122" s="3" t="n">
        <v>-0.6807029843330383</v>
      </c>
      <c r="W1122" s="3" t="n">
        <v>-0.5708889961242676</v>
      </c>
      <c r="X1122" s="3" t="n">
        <v>-1.090850114822388</v>
      </c>
      <c r="Y1122" s="3" t="n">
        <v>-0.7863786816596985</v>
      </c>
      <c r="Z1122" s="3" t="n">
        <v>-1.096105337142944</v>
      </c>
      <c r="AA1122" s="3" t="n">
        <v>-1.096105337142944</v>
      </c>
      <c r="AB1122" s="3" t="n">
        <v>-1.090850114822388</v>
      </c>
      <c r="AC1122" s="3" t="n">
        <v>-1.295211672782898</v>
      </c>
      <c r="AD1122" s="3" t="n">
        <v>-0.8723468780517578</v>
      </c>
      <c r="AE1122" s="3" t="n">
        <v>-0.8723468780517578</v>
      </c>
    </row>
    <row r="1123">
      <c r="A1123" s="3" t="inlineStr">
        <is>
          <t>KGZ.distn.dec.ove.mean.9</t>
        </is>
      </c>
      <c r="B1123" s="3" t="inlineStr">
        <is>
          <t>KGZ</t>
        </is>
      </c>
      <c r="C1123" s="3" t="n">
        <v>2005</v>
      </c>
      <c r="D1123" s="3" t="inlineStr">
        <is>
          <t>Overall</t>
        </is>
      </c>
      <c r="E1123" s="3" t="inlineStr">
        <is>
          <t>Deciles</t>
        </is>
      </c>
      <c r="F1123" s="3" t="inlineStr">
        <is>
          <t>mean</t>
        </is>
      </c>
      <c r="G1123" s="3" t="n">
        <v>9</v>
      </c>
      <c r="H1123" s="3" t="n">
        <v>-0.7863786816596985</v>
      </c>
      <c r="I1123" s="3" t="n">
        <v>-0.7863786816596985</v>
      </c>
      <c r="J1123" s="3" t="n">
        <v>-0.8723468780517578</v>
      </c>
      <c r="K1123" s="3" t="n">
        <v>-0.8723468780517578</v>
      </c>
      <c r="L1123" s="3" t="n">
        <v>-0.7863786816596985</v>
      </c>
      <c r="M1123" s="3" t="n">
        <v>-0.7863786816596985</v>
      </c>
      <c r="N1123" s="3" t="n">
        <v>-0.7863786816596985</v>
      </c>
      <c r="O1123" s="3" t="n">
        <v>-0.7863786816596985</v>
      </c>
      <c r="P1123" s="3" t="n">
        <v>-0.7863786816596985</v>
      </c>
      <c r="Q1123" s="3" t="n">
        <v>-0.7863786816596985</v>
      </c>
      <c r="R1123" s="3" t="n">
        <v>-0.7722538709640503</v>
      </c>
      <c r="S1123" s="3" t="n">
        <v>-1.096105337142944</v>
      </c>
      <c r="T1123" s="3" t="n">
        <v>-0.7090408802032471</v>
      </c>
      <c r="U1123" s="3" t="n">
        <v>-0.8723468780517578</v>
      </c>
      <c r="V1123" s="3" t="n">
        <v>-0.6807029843330383</v>
      </c>
      <c r="W1123" s="3" t="n">
        <v>-0.5708889961242676</v>
      </c>
      <c r="X1123" s="3" t="n">
        <v>-1.090850114822388</v>
      </c>
      <c r="Y1123" s="3" t="n">
        <v>-0.7863786816596985</v>
      </c>
      <c r="Z1123" s="3" t="n">
        <v>-1.096105337142944</v>
      </c>
      <c r="AA1123" s="3" t="n">
        <v>-1.096105337142944</v>
      </c>
      <c r="AB1123" s="3" t="n">
        <v>-1.090850114822388</v>
      </c>
      <c r="AC1123" s="3" t="n">
        <v>-1.295211672782898</v>
      </c>
      <c r="AD1123" s="3" t="n">
        <v>-0.8723468780517578</v>
      </c>
      <c r="AE1123" s="3" t="n">
        <v>-0.8723468780517578</v>
      </c>
    </row>
    <row r="1124">
      <c r="A1124" s="3" t="inlineStr">
        <is>
          <t>KGZ.distn.dec.ove.mean.10</t>
        </is>
      </c>
      <c r="B1124" s="3" t="inlineStr">
        <is>
          <t>KGZ</t>
        </is>
      </c>
      <c r="C1124" s="3" t="n">
        <v>2005</v>
      </c>
      <c r="D1124" s="3" t="inlineStr">
        <is>
          <t>Overall</t>
        </is>
      </c>
      <c r="E1124" s="3" t="inlineStr">
        <is>
          <t>Deciles</t>
        </is>
      </c>
      <c r="F1124" s="3" t="inlineStr">
        <is>
          <t>mean</t>
        </is>
      </c>
      <c r="G1124" s="3" t="n">
        <v>10</v>
      </c>
      <c r="H1124" s="3" t="n">
        <v>-0.7863786816596985</v>
      </c>
      <c r="I1124" s="3" t="n">
        <v>-0.7863786816596985</v>
      </c>
      <c r="J1124" s="3" t="n">
        <v>-0.8723468780517578</v>
      </c>
      <c r="K1124" s="3" t="n">
        <v>-0.8723468780517578</v>
      </c>
      <c r="L1124" s="3" t="n">
        <v>-0.7863786816596985</v>
      </c>
      <c r="M1124" s="3" t="n">
        <v>-0.7863786816596985</v>
      </c>
      <c r="N1124" s="3" t="n">
        <v>-0.7863786816596985</v>
      </c>
      <c r="O1124" s="3" t="n">
        <v>-0.7863786816596985</v>
      </c>
      <c r="P1124" s="3" t="n">
        <v>-0.7863786816596985</v>
      </c>
      <c r="Q1124" s="3" t="n">
        <v>-0.7863786816596985</v>
      </c>
      <c r="R1124" s="3" t="n">
        <v>-0.7722538709640503</v>
      </c>
      <c r="S1124" s="3" t="n">
        <v>-1.096105337142944</v>
      </c>
      <c r="T1124" s="3" t="n">
        <v>-0.7090408802032471</v>
      </c>
      <c r="U1124" s="3" t="n">
        <v>-0.8723468780517578</v>
      </c>
      <c r="V1124" s="3" t="n">
        <v>-0.6807029843330383</v>
      </c>
      <c r="W1124" s="3" t="n">
        <v>-0.5708889961242676</v>
      </c>
      <c r="X1124" s="3" t="n">
        <v>-1.090850114822388</v>
      </c>
      <c r="Y1124" s="3" t="n">
        <v>-0.7863786816596985</v>
      </c>
      <c r="Z1124" s="3" t="n">
        <v>-1.096105337142944</v>
      </c>
      <c r="AA1124" s="3" t="n">
        <v>-1.096105337142944</v>
      </c>
      <c r="AB1124" s="3" t="n">
        <v>-1.090850114822388</v>
      </c>
      <c r="AC1124" s="3" t="n">
        <v>-1.295211672782898</v>
      </c>
      <c r="AD1124" s="3" t="n">
        <v>-0.8723468780517578</v>
      </c>
      <c r="AE1124" s="3" t="n">
        <v>-0.8723468780517578</v>
      </c>
    </row>
    <row r="1125">
      <c r="A1125" s="3" t="inlineStr">
        <is>
          <t>KGZ.distn.bkt.ove.mean.9999</t>
        </is>
      </c>
      <c r="B1125" s="3" t="inlineStr">
        <is>
          <t>KGZ</t>
        </is>
      </c>
      <c r="C1125" s="3" t="n">
        <v>2005</v>
      </c>
      <c r="D1125" s="3" t="inlineStr">
        <is>
          <t>Overall</t>
        </is>
      </c>
      <c r="E1125" s="3" t="inlineStr">
        <is>
          <t>Basket</t>
        </is>
      </c>
      <c r="F1125" s="3" t="inlineStr">
        <is>
          <t>mean</t>
        </is>
      </c>
      <c r="G1125" s="3" t="n">
        <v>9999</v>
      </c>
      <c r="H1125" s="3" t="n">
        <v>-0.787995457649231</v>
      </c>
      <c r="I1125" s="3" t="n">
        <v>-0.787995457649231</v>
      </c>
      <c r="J1125" s="3" t="n">
        <v>-0.8839561939239502</v>
      </c>
      <c r="K1125" s="3" t="n">
        <v>-0.8839561939239502</v>
      </c>
      <c r="L1125" s="3" t="n">
        <v>-0.787995457649231</v>
      </c>
      <c r="M1125" s="3" t="n">
        <v>-0.787995457649231</v>
      </c>
      <c r="N1125" s="3" t="n">
        <v>-0.787995457649231</v>
      </c>
      <c r="O1125" s="3" t="n">
        <v>-0.787995457649231</v>
      </c>
      <c r="P1125" s="3" t="n">
        <v>-0.787995457649231</v>
      </c>
      <c r="Q1125" s="3" t="n">
        <v>-0.787995457649231</v>
      </c>
      <c r="R1125" s="3" t="n">
        <v>-0.773120105266571</v>
      </c>
      <c r="S1125" s="3" t="n">
        <v>-1.241567611694336</v>
      </c>
      <c r="T1125" s="3" t="n">
        <v>-0.7094486355781555</v>
      </c>
      <c r="U1125" s="3" t="n">
        <v>-0.8839561939239502</v>
      </c>
      <c r="V1125" s="3" t="n">
        <v>-0.6823066473007202</v>
      </c>
      <c r="W1125" s="3" t="n">
        <v>-0.5918591618537903</v>
      </c>
      <c r="X1125" s="3" t="n">
        <v>-1.219175934791565</v>
      </c>
      <c r="Y1125" s="3" t="n">
        <v>-0.787995457649231</v>
      </c>
      <c r="Z1125" s="3" t="n">
        <v>-1.241567611694336</v>
      </c>
      <c r="AA1125" s="3" t="n">
        <v>-1.241567611694336</v>
      </c>
      <c r="AB1125" s="3" t="n">
        <v>-1.219175934791565</v>
      </c>
      <c r="AC1125" s="3" t="n">
        <v>-1.692658305168152</v>
      </c>
      <c r="AD1125" s="3" t="n">
        <v>-0.8839561939239502</v>
      </c>
      <c r="AE1125" s="3" t="n">
        <v>-0.8839561939239502</v>
      </c>
    </row>
    <row r="1126">
      <c r="A1126" s="3" t="inlineStr">
        <is>
          <t>KHM.distn.dec.ove.mean.1</t>
        </is>
      </c>
      <c r="B1126" s="3" t="inlineStr">
        <is>
          <t>KHM</t>
        </is>
      </c>
      <c r="C1126" s="3" t="n">
        <v>2005</v>
      </c>
      <c r="D1126" s="3" t="inlineStr">
        <is>
          <t>Overall</t>
        </is>
      </c>
      <c r="E1126" s="3" t="inlineStr">
        <is>
          <t>Deciles</t>
        </is>
      </c>
      <c r="F1126" s="3" t="inlineStr">
        <is>
          <t>mean</t>
        </is>
      </c>
      <c r="G1126" s="3" t="n">
        <v>1</v>
      </c>
      <c r="H1126" s="3" t="n">
        <v>-0.7942888140678406</v>
      </c>
      <c r="I1126" s="3" t="n">
        <v>-0.7942888140678406</v>
      </c>
      <c r="J1126" s="3" t="n">
        <v>-0.9309861660003662</v>
      </c>
      <c r="K1126" s="3" t="n">
        <v>-0.9309861660003662</v>
      </c>
      <c r="L1126" s="3" t="n">
        <v>-0.7942888140678406</v>
      </c>
      <c r="M1126" s="3" t="n">
        <v>-0.7942888140678406</v>
      </c>
      <c r="N1126" s="3" t="n">
        <v>-0.7942888140678406</v>
      </c>
      <c r="O1126" s="3" t="n">
        <v>-0.7942888140678406</v>
      </c>
      <c r="P1126" s="3" t="n">
        <v>-0.7942888140678406</v>
      </c>
      <c r="Q1126" s="3" t="n">
        <v>-0.7942888140678406</v>
      </c>
      <c r="R1126" s="3" t="n">
        <v>-0.7764842510223389</v>
      </c>
      <c r="S1126" s="3" t="n">
        <v>-1.792659044265747</v>
      </c>
      <c r="T1126" s="3" t="n">
        <v>-0.7114566564559937</v>
      </c>
      <c r="U1126" s="3" t="n">
        <v>-0.9309861660003662</v>
      </c>
      <c r="V1126" s="3" t="n">
        <v>-0.6890063881874084</v>
      </c>
      <c r="W1126" s="3" t="n">
        <v>-0.6855939030647278</v>
      </c>
      <c r="X1126" s="3" t="n">
        <v>-1.714524388313293</v>
      </c>
      <c r="Y1126" s="3" t="n">
        <v>-0.7942888140678406</v>
      </c>
      <c r="Z1126" s="3" t="n">
        <v>-1.792659044265747</v>
      </c>
      <c r="AA1126" s="3" t="n">
        <v>-1.792659044265747</v>
      </c>
      <c r="AB1126" s="3" t="n">
        <v>-1.714524388313293</v>
      </c>
      <c r="AC1126" s="3" t="n">
        <v>-3.474677085876465</v>
      </c>
      <c r="AD1126" s="3" t="n">
        <v>-0.9309861660003662</v>
      </c>
      <c r="AE1126" s="3" t="n">
        <v>-0.9309861660003662</v>
      </c>
    </row>
    <row r="1127">
      <c r="A1127" s="3" t="inlineStr">
        <is>
          <t>KHM.distn.dec.ove.mean.2</t>
        </is>
      </c>
      <c r="B1127" s="3" t="inlineStr">
        <is>
          <t>KHM</t>
        </is>
      </c>
      <c r="C1127" s="3" t="n">
        <v>2005</v>
      </c>
      <c r="D1127" s="3" t="inlineStr">
        <is>
          <t>Overall</t>
        </is>
      </c>
      <c r="E1127" s="3" t="inlineStr">
        <is>
          <t>Deciles</t>
        </is>
      </c>
      <c r="F1127" s="3" t="inlineStr">
        <is>
          <t>mean</t>
        </is>
      </c>
      <c r="G1127" s="3" t="n">
        <v>2</v>
      </c>
      <c r="H1127" s="3" t="n">
        <v>-0.7942888140678406</v>
      </c>
      <c r="I1127" s="3" t="n">
        <v>-0.7942888140678406</v>
      </c>
      <c r="J1127" s="3" t="n">
        <v>-0.9309861660003662</v>
      </c>
      <c r="K1127" s="3" t="n">
        <v>-0.9309861660003662</v>
      </c>
      <c r="L1127" s="3" t="n">
        <v>-0.7942888140678406</v>
      </c>
      <c r="M1127" s="3" t="n">
        <v>-0.7942888140678406</v>
      </c>
      <c r="N1127" s="3" t="n">
        <v>-0.7942888140678406</v>
      </c>
      <c r="O1127" s="3" t="n">
        <v>-0.7942888140678406</v>
      </c>
      <c r="P1127" s="3" t="n">
        <v>-0.7942888140678406</v>
      </c>
      <c r="Q1127" s="3" t="n">
        <v>-0.7942888140678406</v>
      </c>
      <c r="R1127" s="3" t="n">
        <v>-0.7764842510223389</v>
      </c>
      <c r="S1127" s="3" t="n">
        <v>-1.792659044265747</v>
      </c>
      <c r="T1127" s="3" t="n">
        <v>-0.7114566564559937</v>
      </c>
      <c r="U1127" s="3" t="n">
        <v>-0.9309861660003662</v>
      </c>
      <c r="V1127" s="3" t="n">
        <v>-0.6890063881874084</v>
      </c>
      <c r="W1127" s="3" t="n">
        <v>-0.6855939030647278</v>
      </c>
      <c r="X1127" s="3" t="n">
        <v>-1.714524388313293</v>
      </c>
      <c r="Y1127" s="3" t="n">
        <v>-0.7942888140678406</v>
      </c>
      <c r="Z1127" s="3" t="n">
        <v>-1.792659044265747</v>
      </c>
      <c r="AA1127" s="3" t="n">
        <v>-1.792659044265747</v>
      </c>
      <c r="AB1127" s="3" t="n">
        <v>-1.714524388313293</v>
      </c>
      <c r="AC1127" s="3" t="n">
        <v>-3.474677085876465</v>
      </c>
      <c r="AD1127" s="3" t="n">
        <v>-0.9309861660003662</v>
      </c>
      <c r="AE1127" s="3" t="n">
        <v>-0.9309861660003662</v>
      </c>
    </row>
    <row r="1128">
      <c r="A1128" s="3" t="inlineStr">
        <is>
          <t>KHM.distn.dec.ove.mean.3</t>
        </is>
      </c>
      <c r="B1128" s="3" t="inlineStr">
        <is>
          <t>KHM</t>
        </is>
      </c>
      <c r="C1128" s="3" t="n">
        <v>2005</v>
      </c>
      <c r="D1128" s="3" t="inlineStr">
        <is>
          <t>Overall</t>
        </is>
      </c>
      <c r="E1128" s="3" t="inlineStr">
        <is>
          <t>Deciles</t>
        </is>
      </c>
      <c r="F1128" s="3" t="inlineStr">
        <is>
          <t>mean</t>
        </is>
      </c>
      <c r="G1128" s="3" t="n">
        <v>3</v>
      </c>
      <c r="H1128" s="3" t="n">
        <v>-0.7942888140678406</v>
      </c>
      <c r="I1128" s="3" t="n">
        <v>-0.7942888140678406</v>
      </c>
      <c r="J1128" s="3" t="n">
        <v>-0.9309861660003662</v>
      </c>
      <c r="K1128" s="3" t="n">
        <v>-0.9309861660003662</v>
      </c>
      <c r="L1128" s="3" t="n">
        <v>-0.7942888140678406</v>
      </c>
      <c r="M1128" s="3" t="n">
        <v>-0.7942888140678406</v>
      </c>
      <c r="N1128" s="3" t="n">
        <v>-0.7942888140678406</v>
      </c>
      <c r="O1128" s="3" t="n">
        <v>-0.7942888140678406</v>
      </c>
      <c r="P1128" s="3" t="n">
        <v>-0.7942888140678406</v>
      </c>
      <c r="Q1128" s="3" t="n">
        <v>-0.7942888140678406</v>
      </c>
      <c r="R1128" s="3" t="n">
        <v>-0.7764842510223389</v>
      </c>
      <c r="S1128" s="3" t="n">
        <v>-1.792659044265747</v>
      </c>
      <c r="T1128" s="3" t="n">
        <v>-0.7114566564559937</v>
      </c>
      <c r="U1128" s="3" t="n">
        <v>-0.9309861660003662</v>
      </c>
      <c r="V1128" s="3" t="n">
        <v>-0.6890063881874084</v>
      </c>
      <c r="W1128" s="3" t="n">
        <v>-0.6855939030647278</v>
      </c>
      <c r="X1128" s="3" t="n">
        <v>-1.714524388313293</v>
      </c>
      <c r="Y1128" s="3" t="n">
        <v>-0.7942888140678406</v>
      </c>
      <c r="Z1128" s="3" t="n">
        <v>-1.792659044265747</v>
      </c>
      <c r="AA1128" s="3" t="n">
        <v>-1.792659044265747</v>
      </c>
      <c r="AB1128" s="3" t="n">
        <v>-1.714524388313293</v>
      </c>
      <c r="AC1128" s="3" t="n">
        <v>-3.474677085876465</v>
      </c>
      <c r="AD1128" s="3" t="n">
        <v>-0.9309861660003662</v>
      </c>
      <c r="AE1128" s="3" t="n">
        <v>-0.9309861660003662</v>
      </c>
    </row>
    <row r="1129">
      <c r="A1129" s="3" t="inlineStr">
        <is>
          <t>KHM.distn.dec.ove.mean.4</t>
        </is>
      </c>
      <c r="B1129" s="3" t="inlineStr">
        <is>
          <t>KHM</t>
        </is>
      </c>
      <c r="C1129" s="3" t="n">
        <v>2005</v>
      </c>
      <c r="D1129" s="3" t="inlineStr">
        <is>
          <t>Overall</t>
        </is>
      </c>
      <c r="E1129" s="3" t="inlineStr">
        <is>
          <t>Deciles</t>
        </is>
      </c>
      <c r="F1129" s="3" t="inlineStr">
        <is>
          <t>mean</t>
        </is>
      </c>
      <c r="G1129" s="3" t="n">
        <v>4</v>
      </c>
      <c r="H1129" s="3" t="n">
        <v>-0.7879999876022339</v>
      </c>
      <c r="I1129" s="3" t="n">
        <v>-0.7879999876022339</v>
      </c>
      <c r="J1129" s="3" t="n">
        <v>-0.8859999775886536</v>
      </c>
      <c r="K1129" s="3" t="n">
        <v>-0.8859999775886536</v>
      </c>
      <c r="L1129" s="3" t="n">
        <v>-0.7879999876022339</v>
      </c>
      <c r="M1129" s="3" t="n">
        <v>-0.7879999876022339</v>
      </c>
      <c r="N1129" s="3" t="n">
        <v>-0.7879999876022339</v>
      </c>
      <c r="O1129" s="3" t="n">
        <v>-0.7879999876022339</v>
      </c>
      <c r="P1129" s="3" t="n">
        <v>-0.7879999876022339</v>
      </c>
      <c r="Q1129" s="3" t="n">
        <v>-0.7879999876022339</v>
      </c>
      <c r="R1129" s="3" t="n">
        <v>-0.7730000019073486</v>
      </c>
      <c r="S1129" s="3" t="n">
        <v>-1.220999956130981</v>
      </c>
      <c r="T1129" s="3" t="n">
        <v>-0.7099999785423279</v>
      </c>
      <c r="U1129" s="3" t="n">
        <v>-0.8859999775886536</v>
      </c>
      <c r="V1129" s="3" t="n">
        <v>-0.6819999814033508</v>
      </c>
      <c r="W1129" s="3" t="n">
        <v>-0.5770000219345093</v>
      </c>
      <c r="X1129" s="3" t="n">
        <v>-1.210000038146973</v>
      </c>
      <c r="Y1129" s="3" t="n">
        <v>-0.7879999876022339</v>
      </c>
      <c r="Z1129" s="3" t="n">
        <v>-1.220999956130981</v>
      </c>
      <c r="AA1129" s="3" t="n">
        <v>-1.220999956130981</v>
      </c>
      <c r="AB1129" s="3" t="n">
        <v>-1.210000038146973</v>
      </c>
      <c r="AC1129" s="3" t="n">
        <v>-1.677999973297119</v>
      </c>
      <c r="AD1129" s="3" t="n">
        <v>-0.8859999775886536</v>
      </c>
      <c r="AE1129" s="3" t="n">
        <v>-0.8859999775886536</v>
      </c>
    </row>
    <row r="1130">
      <c r="A1130" s="3" t="inlineStr">
        <is>
          <t>KHM.distn.dec.ove.mean.5</t>
        </is>
      </c>
      <c r="B1130" s="3" t="inlineStr">
        <is>
          <t>KHM</t>
        </is>
      </c>
      <c r="C1130" s="3" t="n">
        <v>2005</v>
      </c>
      <c r="D1130" s="3" t="inlineStr">
        <is>
          <t>Overall</t>
        </is>
      </c>
      <c r="E1130" s="3" t="inlineStr">
        <is>
          <t>Deciles</t>
        </is>
      </c>
      <c r="F1130" s="3" t="inlineStr">
        <is>
          <t>mean</t>
        </is>
      </c>
      <c r="G1130" s="3" t="n">
        <v>5</v>
      </c>
      <c r="H1130" s="3" t="n">
        <v>-0.7879999876022339</v>
      </c>
      <c r="I1130" s="3" t="n">
        <v>-0.7879999876022339</v>
      </c>
      <c r="J1130" s="3" t="n">
        <v>-0.8859999775886536</v>
      </c>
      <c r="K1130" s="3" t="n">
        <v>-0.8859999775886536</v>
      </c>
      <c r="L1130" s="3" t="n">
        <v>-0.7879999876022339</v>
      </c>
      <c r="M1130" s="3" t="n">
        <v>-0.7879999876022339</v>
      </c>
      <c r="N1130" s="3" t="n">
        <v>-0.7879999876022339</v>
      </c>
      <c r="O1130" s="3" t="n">
        <v>-0.7879999876022339</v>
      </c>
      <c r="P1130" s="3" t="n">
        <v>-0.7879999876022339</v>
      </c>
      <c r="Q1130" s="3" t="n">
        <v>-0.7879999876022339</v>
      </c>
      <c r="R1130" s="3" t="n">
        <v>-0.7730000019073486</v>
      </c>
      <c r="S1130" s="3" t="n">
        <v>-1.220999956130981</v>
      </c>
      <c r="T1130" s="3" t="n">
        <v>-0.7099999785423279</v>
      </c>
      <c r="U1130" s="3" t="n">
        <v>-0.8859999775886536</v>
      </c>
      <c r="V1130" s="3" t="n">
        <v>-0.6819999814033508</v>
      </c>
      <c r="W1130" s="3" t="n">
        <v>-0.5770000219345093</v>
      </c>
      <c r="X1130" s="3" t="n">
        <v>-1.210000038146973</v>
      </c>
      <c r="Y1130" s="3" t="n">
        <v>-0.7879999876022339</v>
      </c>
      <c r="Z1130" s="3" t="n">
        <v>-1.220999956130981</v>
      </c>
      <c r="AA1130" s="3" t="n">
        <v>-1.220999956130981</v>
      </c>
      <c r="AB1130" s="3" t="n">
        <v>-1.210000038146973</v>
      </c>
      <c r="AC1130" s="3" t="n">
        <v>-1.677999973297119</v>
      </c>
      <c r="AD1130" s="3" t="n">
        <v>-0.8859999775886536</v>
      </c>
      <c r="AE1130" s="3" t="n">
        <v>-0.8859999775886536</v>
      </c>
    </row>
    <row r="1131">
      <c r="A1131" s="3" t="inlineStr">
        <is>
          <t>KHM.distn.dec.ove.mean.6</t>
        </is>
      </c>
      <c r="B1131" s="3" t="inlineStr">
        <is>
          <t>KHM</t>
        </is>
      </c>
      <c r="C1131" s="3" t="n">
        <v>2005</v>
      </c>
      <c r="D1131" s="3" t="inlineStr">
        <is>
          <t>Overall</t>
        </is>
      </c>
      <c r="E1131" s="3" t="inlineStr">
        <is>
          <t>Deciles</t>
        </is>
      </c>
      <c r="F1131" s="3" t="inlineStr">
        <is>
          <t>mean</t>
        </is>
      </c>
      <c r="G1131" s="3" t="n">
        <v>6</v>
      </c>
      <c r="H1131" s="3" t="n">
        <v>-0.7879999876022339</v>
      </c>
      <c r="I1131" s="3" t="n">
        <v>-0.7879999876022339</v>
      </c>
      <c r="J1131" s="3" t="n">
        <v>-0.8859999775886536</v>
      </c>
      <c r="K1131" s="3" t="n">
        <v>-0.8859999775886536</v>
      </c>
      <c r="L1131" s="3" t="n">
        <v>-0.7879999876022339</v>
      </c>
      <c r="M1131" s="3" t="n">
        <v>-0.7879999876022339</v>
      </c>
      <c r="N1131" s="3" t="n">
        <v>-0.7879999876022339</v>
      </c>
      <c r="O1131" s="3" t="n">
        <v>-0.7879999876022339</v>
      </c>
      <c r="P1131" s="3" t="n">
        <v>-0.7879999876022339</v>
      </c>
      <c r="Q1131" s="3" t="n">
        <v>-0.7879999876022339</v>
      </c>
      <c r="R1131" s="3" t="n">
        <v>-0.7730000019073486</v>
      </c>
      <c r="S1131" s="3" t="n">
        <v>-1.220999956130981</v>
      </c>
      <c r="T1131" s="3" t="n">
        <v>-0.7099999785423279</v>
      </c>
      <c r="U1131" s="3" t="n">
        <v>-0.8859999775886536</v>
      </c>
      <c r="V1131" s="3" t="n">
        <v>-0.6819999814033508</v>
      </c>
      <c r="W1131" s="3" t="n">
        <v>-0.5770000219345093</v>
      </c>
      <c r="X1131" s="3" t="n">
        <v>-1.210000038146973</v>
      </c>
      <c r="Y1131" s="3" t="n">
        <v>-0.7879999876022339</v>
      </c>
      <c r="Z1131" s="3" t="n">
        <v>-1.220999956130981</v>
      </c>
      <c r="AA1131" s="3" t="n">
        <v>-1.220999956130981</v>
      </c>
      <c r="AB1131" s="3" t="n">
        <v>-1.210000038146973</v>
      </c>
      <c r="AC1131" s="3" t="n">
        <v>-1.677999973297119</v>
      </c>
      <c r="AD1131" s="3" t="n">
        <v>-0.8859999775886536</v>
      </c>
      <c r="AE1131" s="3" t="n">
        <v>-0.8859999775886536</v>
      </c>
    </row>
    <row r="1132">
      <c r="A1132" s="3" t="inlineStr">
        <is>
          <t>KHM.distn.dec.ove.mean.7</t>
        </is>
      </c>
      <c r="B1132" s="3" t="inlineStr">
        <is>
          <t>KHM</t>
        </is>
      </c>
      <c r="C1132" s="3" t="n">
        <v>2005</v>
      </c>
      <c r="D1132" s="3" t="inlineStr">
        <is>
          <t>Overall</t>
        </is>
      </c>
      <c r="E1132" s="3" t="inlineStr">
        <is>
          <t>Deciles</t>
        </is>
      </c>
      <c r="F1132" s="3" t="inlineStr">
        <is>
          <t>mean</t>
        </is>
      </c>
      <c r="G1132" s="3" t="n">
        <v>7</v>
      </c>
      <c r="H1132" s="3" t="n">
        <v>-0.7879999876022339</v>
      </c>
      <c r="I1132" s="3" t="n">
        <v>-0.7879999876022339</v>
      </c>
      <c r="J1132" s="3" t="n">
        <v>-0.8859999775886536</v>
      </c>
      <c r="K1132" s="3" t="n">
        <v>-0.8859999775886536</v>
      </c>
      <c r="L1132" s="3" t="n">
        <v>-0.7879999876022339</v>
      </c>
      <c r="M1132" s="3" t="n">
        <v>-0.7879999876022339</v>
      </c>
      <c r="N1132" s="3" t="n">
        <v>-0.7879999876022339</v>
      </c>
      <c r="O1132" s="3" t="n">
        <v>-0.7879999876022339</v>
      </c>
      <c r="P1132" s="3" t="n">
        <v>-0.7879999876022339</v>
      </c>
      <c r="Q1132" s="3" t="n">
        <v>-0.7879999876022339</v>
      </c>
      <c r="R1132" s="3" t="n">
        <v>-0.7730000019073486</v>
      </c>
      <c r="S1132" s="3" t="n">
        <v>-1.220999956130981</v>
      </c>
      <c r="T1132" s="3" t="n">
        <v>-0.7099999785423279</v>
      </c>
      <c r="U1132" s="3" t="n">
        <v>-0.8859999775886536</v>
      </c>
      <c r="V1132" s="3" t="n">
        <v>-0.6819999814033508</v>
      </c>
      <c r="W1132" s="3" t="n">
        <v>-0.5770000219345093</v>
      </c>
      <c r="X1132" s="3" t="n">
        <v>-1.210000038146973</v>
      </c>
      <c r="Y1132" s="3" t="n">
        <v>-0.7879999876022339</v>
      </c>
      <c r="Z1132" s="3" t="n">
        <v>-1.220999956130981</v>
      </c>
      <c r="AA1132" s="3" t="n">
        <v>-1.220999956130981</v>
      </c>
      <c r="AB1132" s="3" t="n">
        <v>-1.210000038146973</v>
      </c>
      <c r="AC1132" s="3" t="n">
        <v>-1.677999973297119</v>
      </c>
      <c r="AD1132" s="3" t="n">
        <v>-0.8859999775886536</v>
      </c>
      <c r="AE1132" s="3" t="n">
        <v>-0.8859999775886536</v>
      </c>
    </row>
    <row r="1133">
      <c r="A1133" s="3" t="inlineStr">
        <is>
          <t>KHM.distn.dec.ove.mean.8</t>
        </is>
      </c>
      <c r="B1133" s="3" t="inlineStr">
        <is>
          <t>KHM</t>
        </is>
      </c>
      <c r="C1133" s="3" t="n">
        <v>2005</v>
      </c>
      <c r="D1133" s="3" t="inlineStr">
        <is>
          <t>Overall</t>
        </is>
      </c>
      <c r="E1133" s="3" t="inlineStr">
        <is>
          <t>Deciles</t>
        </is>
      </c>
      <c r="F1133" s="3" t="inlineStr">
        <is>
          <t>mean</t>
        </is>
      </c>
      <c r="G1133" s="3" t="n">
        <v>8</v>
      </c>
      <c r="H1133" s="3" t="n">
        <v>-0.7883796691894531</v>
      </c>
      <c r="I1133" s="3" t="n">
        <v>-0.7883796691894531</v>
      </c>
      <c r="J1133" s="3" t="n">
        <v>-0.888390064239502</v>
      </c>
      <c r="K1133" s="3" t="n">
        <v>-0.888390064239502</v>
      </c>
      <c r="L1133" s="3" t="n">
        <v>-0.7883796691894531</v>
      </c>
      <c r="M1133" s="3" t="n">
        <v>-0.7883796691894531</v>
      </c>
      <c r="N1133" s="3" t="n">
        <v>-0.7883796691894531</v>
      </c>
      <c r="O1133" s="3" t="n">
        <v>-0.7883796691894531</v>
      </c>
      <c r="P1133" s="3" t="n">
        <v>-0.7883796691894531</v>
      </c>
      <c r="Q1133" s="3" t="n">
        <v>-0.7883796691894531</v>
      </c>
      <c r="R1133" s="3" t="n">
        <v>-0.7732542157173157</v>
      </c>
      <c r="S1133" s="3" t="n">
        <v>-1.232361555099487</v>
      </c>
      <c r="T1133" s="3" t="n">
        <v>-0.7100409269332886</v>
      </c>
      <c r="U1133" s="3" t="n">
        <v>-0.888390064239502</v>
      </c>
      <c r="V1133" s="3" t="n">
        <v>-0.6827050447463989</v>
      </c>
      <c r="W1133" s="3" t="n">
        <v>-0.5924513936042786</v>
      </c>
      <c r="X1133" s="3" t="n">
        <v>-1.221025466918945</v>
      </c>
      <c r="Y1133" s="3" t="n">
        <v>-0.7883796691894531</v>
      </c>
      <c r="Z1133" s="3" t="n">
        <v>-1.232361555099487</v>
      </c>
      <c r="AA1133" s="3" t="n">
        <v>-1.232361555099487</v>
      </c>
      <c r="AB1133" s="3" t="n">
        <v>-1.221025466918945</v>
      </c>
      <c r="AC1133" s="3" t="n">
        <v>-1.701930522918701</v>
      </c>
      <c r="AD1133" s="3" t="n">
        <v>-0.888390064239502</v>
      </c>
      <c r="AE1133" s="3" t="n">
        <v>-0.888390064239502</v>
      </c>
    </row>
    <row r="1134">
      <c r="A1134" s="3" t="inlineStr">
        <is>
          <t>KHM.distn.dec.ove.mean.9</t>
        </is>
      </c>
      <c r="B1134" s="3" t="inlineStr">
        <is>
          <t>KHM</t>
        </is>
      </c>
      <c r="C1134" s="3" t="n">
        <v>2005</v>
      </c>
      <c r="D1134" s="3" t="inlineStr">
        <is>
          <t>Overall</t>
        </is>
      </c>
      <c r="E1134" s="3" t="inlineStr">
        <is>
          <t>Deciles</t>
        </is>
      </c>
      <c r="F1134" s="3" t="inlineStr">
        <is>
          <t>mean</t>
        </is>
      </c>
      <c r="G1134" s="3" t="n">
        <v>9</v>
      </c>
      <c r="H1134" s="3" t="n">
        <v>-0.7883796691894531</v>
      </c>
      <c r="I1134" s="3" t="n">
        <v>-0.7883796691894531</v>
      </c>
      <c r="J1134" s="3" t="n">
        <v>-0.888390064239502</v>
      </c>
      <c r="K1134" s="3" t="n">
        <v>-0.888390064239502</v>
      </c>
      <c r="L1134" s="3" t="n">
        <v>-0.7883796691894531</v>
      </c>
      <c r="M1134" s="3" t="n">
        <v>-0.7883796691894531</v>
      </c>
      <c r="N1134" s="3" t="n">
        <v>-0.7883796691894531</v>
      </c>
      <c r="O1134" s="3" t="n">
        <v>-0.7883796691894531</v>
      </c>
      <c r="P1134" s="3" t="n">
        <v>-0.7883796691894531</v>
      </c>
      <c r="Q1134" s="3" t="n">
        <v>-0.7883796691894531</v>
      </c>
      <c r="R1134" s="3" t="n">
        <v>-0.7732542157173157</v>
      </c>
      <c r="S1134" s="3" t="n">
        <v>-1.232361555099487</v>
      </c>
      <c r="T1134" s="3" t="n">
        <v>-0.7100409269332886</v>
      </c>
      <c r="U1134" s="3" t="n">
        <v>-0.888390064239502</v>
      </c>
      <c r="V1134" s="3" t="n">
        <v>-0.6827050447463989</v>
      </c>
      <c r="W1134" s="3" t="n">
        <v>-0.5924513936042786</v>
      </c>
      <c r="X1134" s="3" t="n">
        <v>-1.221025466918945</v>
      </c>
      <c r="Y1134" s="3" t="n">
        <v>-0.7883796691894531</v>
      </c>
      <c r="Z1134" s="3" t="n">
        <v>-1.232361555099487</v>
      </c>
      <c r="AA1134" s="3" t="n">
        <v>-1.232361555099487</v>
      </c>
      <c r="AB1134" s="3" t="n">
        <v>-1.221025466918945</v>
      </c>
      <c r="AC1134" s="3" t="n">
        <v>-1.701930522918701</v>
      </c>
      <c r="AD1134" s="3" t="n">
        <v>-0.888390064239502</v>
      </c>
      <c r="AE1134" s="3" t="n">
        <v>-0.888390064239502</v>
      </c>
    </row>
    <row r="1135">
      <c r="A1135" s="3" t="inlineStr">
        <is>
          <t>KHM.distn.dec.ove.mean.10</t>
        </is>
      </c>
      <c r="B1135" s="3" t="inlineStr">
        <is>
          <t>KHM</t>
        </is>
      </c>
      <c r="C1135" s="3" t="n">
        <v>2005</v>
      </c>
      <c r="D1135" s="3" t="inlineStr">
        <is>
          <t>Overall</t>
        </is>
      </c>
      <c r="E1135" s="3" t="inlineStr">
        <is>
          <t>Deciles</t>
        </is>
      </c>
      <c r="F1135" s="3" t="inlineStr">
        <is>
          <t>mean</t>
        </is>
      </c>
      <c r="G1135" s="3" t="n">
        <v>10</v>
      </c>
      <c r="H1135" s="3" t="n">
        <v>-0.7883796691894531</v>
      </c>
      <c r="I1135" s="3" t="n">
        <v>-0.7883796691894531</v>
      </c>
      <c r="J1135" s="3" t="n">
        <v>-0.888390064239502</v>
      </c>
      <c r="K1135" s="3" t="n">
        <v>-0.888390064239502</v>
      </c>
      <c r="L1135" s="3" t="n">
        <v>-0.7883796691894531</v>
      </c>
      <c r="M1135" s="3" t="n">
        <v>-0.7883796691894531</v>
      </c>
      <c r="N1135" s="3" t="n">
        <v>-0.7883796691894531</v>
      </c>
      <c r="O1135" s="3" t="n">
        <v>-0.7883796691894531</v>
      </c>
      <c r="P1135" s="3" t="n">
        <v>-0.7883796691894531</v>
      </c>
      <c r="Q1135" s="3" t="n">
        <v>-0.7883796691894531</v>
      </c>
      <c r="R1135" s="3" t="n">
        <v>-0.7732542157173157</v>
      </c>
      <c r="S1135" s="3" t="n">
        <v>-1.232361555099487</v>
      </c>
      <c r="T1135" s="3" t="n">
        <v>-0.7100409269332886</v>
      </c>
      <c r="U1135" s="3" t="n">
        <v>-0.888390064239502</v>
      </c>
      <c r="V1135" s="3" t="n">
        <v>-0.6827050447463989</v>
      </c>
      <c r="W1135" s="3" t="n">
        <v>-0.5924513936042786</v>
      </c>
      <c r="X1135" s="3" t="n">
        <v>-1.221025466918945</v>
      </c>
      <c r="Y1135" s="3" t="n">
        <v>-0.7883796691894531</v>
      </c>
      <c r="Z1135" s="3" t="n">
        <v>-1.232361555099487</v>
      </c>
      <c r="AA1135" s="3" t="n">
        <v>-1.232361555099487</v>
      </c>
      <c r="AB1135" s="3" t="n">
        <v>-1.221025466918945</v>
      </c>
      <c r="AC1135" s="3" t="n">
        <v>-1.701930522918701</v>
      </c>
      <c r="AD1135" s="3" t="n">
        <v>-0.888390064239502</v>
      </c>
      <c r="AE1135" s="3" t="n">
        <v>-0.888390064239502</v>
      </c>
    </row>
    <row r="1136">
      <c r="A1136" s="3" t="inlineStr">
        <is>
          <t>KHM.distn.bkt.ove.mean.9999</t>
        </is>
      </c>
      <c r="B1136" s="3" t="inlineStr">
        <is>
          <t>KHM</t>
        </is>
      </c>
      <c r="C1136" s="3" t="n">
        <v>2005</v>
      </c>
      <c r="D1136" s="3" t="inlineStr">
        <is>
          <t>Overall</t>
        </is>
      </c>
      <c r="E1136" s="3" t="inlineStr">
        <is>
          <t>Basket</t>
        </is>
      </c>
      <c r="F1136" s="3" t="inlineStr">
        <is>
          <t>mean</t>
        </is>
      </c>
      <c r="G1136" s="3" t="n">
        <v>9999</v>
      </c>
      <c r="H1136" s="3" t="n">
        <v>-0.7900005578994751</v>
      </c>
      <c r="I1136" s="3" t="n">
        <v>-0.7900005578994751</v>
      </c>
      <c r="J1136" s="3" t="n">
        <v>-0.9002128839492798</v>
      </c>
      <c r="K1136" s="3" t="n">
        <v>-0.9002128839492798</v>
      </c>
      <c r="L1136" s="3" t="n">
        <v>-0.7900005578994751</v>
      </c>
      <c r="M1136" s="3" t="n">
        <v>-0.7900005578994751</v>
      </c>
      <c r="N1136" s="3" t="n">
        <v>-0.7900005578994751</v>
      </c>
      <c r="O1136" s="3" t="n">
        <v>-0.7900005578994751</v>
      </c>
      <c r="P1136" s="3" t="n">
        <v>-0.7900005578994751</v>
      </c>
      <c r="Q1136" s="3" t="n">
        <v>-0.7900005578994751</v>
      </c>
      <c r="R1136" s="3" t="n">
        <v>-0.7741215229034424</v>
      </c>
      <c r="S1136" s="3" t="n">
        <v>-1.395906209945679</v>
      </c>
      <c r="T1136" s="3" t="n">
        <v>-0.7104492783546448</v>
      </c>
      <c r="U1136" s="3" t="n">
        <v>-0.9002128839492798</v>
      </c>
      <c r="V1136" s="3" t="n">
        <v>-0.6843134164810181</v>
      </c>
      <c r="W1136" s="3" t="n">
        <v>-0.6142135858535767</v>
      </c>
      <c r="X1136" s="3" t="n">
        <v>-1.364665031433105</v>
      </c>
      <c r="Y1136" s="3" t="n">
        <v>-0.7900005578994751</v>
      </c>
      <c r="Z1136" s="3" t="n">
        <v>-1.395906209945679</v>
      </c>
      <c r="AA1136" s="3" t="n">
        <v>-1.395906209945679</v>
      </c>
      <c r="AB1136" s="3" t="n">
        <v>-1.364665031433105</v>
      </c>
      <c r="AC1136" s="3" t="n">
        <v>-2.224182367324829</v>
      </c>
      <c r="AD1136" s="3" t="n">
        <v>-0.9002128839492798</v>
      </c>
      <c r="AE1136" s="3" t="n">
        <v>-0.9002128839492798</v>
      </c>
    </row>
    <row r="1137">
      <c r="A1137" s="3" t="inlineStr">
        <is>
          <t>KIR.distn.dec.ove.mean.1</t>
        </is>
      </c>
      <c r="B1137" s="3" t="inlineStr">
        <is>
          <t>KIR</t>
        </is>
      </c>
      <c r="C1137" s="3" t="n">
        <v>2005</v>
      </c>
      <c r="D1137" s="3" t="inlineStr">
        <is>
          <t>Overall</t>
        </is>
      </c>
      <c r="E1137" s="3" t="inlineStr">
        <is>
          <t>Deciles</t>
        </is>
      </c>
      <c r="F1137" s="3" t="inlineStr">
        <is>
          <t>mean</t>
        </is>
      </c>
      <c r="G1137" s="3" t="n">
        <v>1</v>
      </c>
      <c r="H1137" s="3" t="n">
        <v>-0.7936522003851438</v>
      </c>
      <c r="I1137" s="3" t="n">
        <v>-0.7936522003851438</v>
      </c>
      <c r="J1137" s="3" t="n">
        <v>-0.9276126356501329</v>
      </c>
      <c r="K1137" s="3" t="n">
        <v>-0.9276126356501329</v>
      </c>
      <c r="L1137" s="3" t="n">
        <v>-0.7936522003851438</v>
      </c>
      <c r="M1137" s="3" t="n">
        <v>-0.7936522003851438</v>
      </c>
      <c r="N1137" s="3" t="n">
        <v>-0.7936522003851438</v>
      </c>
      <c r="O1137" s="3" t="n">
        <v>-0.7936522003851438</v>
      </c>
      <c r="P1137" s="3" t="n">
        <v>-0.7936522003851438</v>
      </c>
      <c r="Q1137" s="3" t="n">
        <v>-0.7936522003851438</v>
      </c>
      <c r="R1137" s="3" t="n">
        <v>-0.7764578367534437</v>
      </c>
      <c r="S1137" s="3" t="n">
        <v>-1.851309371621985</v>
      </c>
      <c r="T1137" s="3" t="n">
        <v>-0.7110083871766141</v>
      </c>
      <c r="U1137" s="3" t="n">
        <v>-0.9276126356501329</v>
      </c>
      <c r="V1137" s="3" t="n">
        <v>-0.688554396754817</v>
      </c>
      <c r="W1137" s="3" t="n">
        <v>-0.6748062403578508</v>
      </c>
      <c r="X1137" s="3" t="n">
        <v>-1.760538414904946</v>
      </c>
      <c r="Y1137" s="3" t="n">
        <v>-0.7936522003851438</v>
      </c>
      <c r="Z1137" s="3" t="n">
        <v>-1.851309371621985</v>
      </c>
      <c r="AA1137" s="3" t="n">
        <v>-1.851309371621985</v>
      </c>
      <c r="AB1137" s="3" t="n">
        <v>-1.760538414904946</v>
      </c>
      <c r="AC1137" s="3" t="n">
        <v>-4.00243950517554</v>
      </c>
      <c r="AD1137" s="3" t="n">
        <v>-0.9276126356501329</v>
      </c>
      <c r="AE1137" s="3" t="n">
        <v>-0.9276126356501329</v>
      </c>
    </row>
    <row r="1138">
      <c r="A1138" s="3" t="inlineStr">
        <is>
          <t>KIR.distn.dec.ove.mean.2</t>
        </is>
      </c>
      <c r="B1138" s="3" t="inlineStr">
        <is>
          <t>KIR</t>
        </is>
      </c>
      <c r="C1138" s="3" t="n">
        <v>2005</v>
      </c>
      <c r="D1138" s="3" t="inlineStr">
        <is>
          <t>Overall</t>
        </is>
      </c>
      <c r="E1138" s="3" t="inlineStr">
        <is>
          <t>Deciles</t>
        </is>
      </c>
      <c r="F1138" s="3" t="inlineStr">
        <is>
          <t>mean</t>
        </is>
      </c>
      <c r="G1138" s="3" t="n">
        <v>2</v>
      </c>
      <c r="H1138" s="3" t="n">
        <v>-0.7936522003851438</v>
      </c>
      <c r="I1138" s="3" t="n">
        <v>-0.7936522003851438</v>
      </c>
      <c r="J1138" s="3" t="n">
        <v>-0.9276126356501329</v>
      </c>
      <c r="K1138" s="3" t="n">
        <v>-0.9276126356501329</v>
      </c>
      <c r="L1138" s="3" t="n">
        <v>-0.7936522003851438</v>
      </c>
      <c r="M1138" s="3" t="n">
        <v>-0.7936522003851438</v>
      </c>
      <c r="N1138" s="3" t="n">
        <v>-0.7936522003851438</v>
      </c>
      <c r="O1138" s="3" t="n">
        <v>-0.7936522003851438</v>
      </c>
      <c r="P1138" s="3" t="n">
        <v>-0.7936522003851438</v>
      </c>
      <c r="Q1138" s="3" t="n">
        <v>-0.7936522003851438</v>
      </c>
      <c r="R1138" s="3" t="n">
        <v>-0.7764578367534437</v>
      </c>
      <c r="S1138" s="3" t="n">
        <v>-1.851309371621985</v>
      </c>
      <c r="T1138" s="3" t="n">
        <v>-0.7110083871766141</v>
      </c>
      <c r="U1138" s="3" t="n">
        <v>-0.9276126356501329</v>
      </c>
      <c r="V1138" s="3" t="n">
        <v>-0.688554396754817</v>
      </c>
      <c r="W1138" s="3" t="n">
        <v>-0.6748062403578508</v>
      </c>
      <c r="X1138" s="3" t="n">
        <v>-1.760538414904946</v>
      </c>
      <c r="Y1138" s="3" t="n">
        <v>-0.7936522003851438</v>
      </c>
      <c r="Z1138" s="3" t="n">
        <v>-1.851309371621985</v>
      </c>
      <c r="AA1138" s="3" t="n">
        <v>-1.851309371621985</v>
      </c>
      <c r="AB1138" s="3" t="n">
        <v>-1.760538414904946</v>
      </c>
      <c r="AC1138" s="3" t="n">
        <v>-4.00243950517554</v>
      </c>
      <c r="AD1138" s="3" t="n">
        <v>-0.9276126356501329</v>
      </c>
      <c r="AE1138" s="3" t="n">
        <v>-0.9276126356501329</v>
      </c>
    </row>
    <row r="1139">
      <c r="A1139" s="3" t="inlineStr">
        <is>
          <t>KIR.distn.dec.ove.mean.3</t>
        </is>
      </c>
      <c r="B1139" s="3" t="inlineStr">
        <is>
          <t>KIR</t>
        </is>
      </c>
      <c r="C1139" s="3" t="n">
        <v>2005</v>
      </c>
      <c r="D1139" s="3" t="inlineStr">
        <is>
          <t>Overall</t>
        </is>
      </c>
      <c r="E1139" s="3" t="inlineStr">
        <is>
          <t>Deciles</t>
        </is>
      </c>
      <c r="F1139" s="3" t="inlineStr">
        <is>
          <t>mean</t>
        </is>
      </c>
      <c r="G1139" s="3" t="n">
        <v>3</v>
      </c>
      <c r="H1139" s="3" t="n">
        <v>-0.7936522003851438</v>
      </c>
      <c r="I1139" s="3" t="n">
        <v>-0.7936522003851438</v>
      </c>
      <c r="J1139" s="3" t="n">
        <v>-0.9276126356501329</v>
      </c>
      <c r="K1139" s="3" t="n">
        <v>-0.9276126356501329</v>
      </c>
      <c r="L1139" s="3" t="n">
        <v>-0.7936522003851438</v>
      </c>
      <c r="M1139" s="3" t="n">
        <v>-0.7936522003851438</v>
      </c>
      <c r="N1139" s="3" t="n">
        <v>-0.7936522003851438</v>
      </c>
      <c r="O1139" s="3" t="n">
        <v>-0.7936522003851438</v>
      </c>
      <c r="P1139" s="3" t="n">
        <v>-0.7936522003851438</v>
      </c>
      <c r="Q1139" s="3" t="n">
        <v>-0.7936522003851438</v>
      </c>
      <c r="R1139" s="3" t="n">
        <v>-0.7764578367534437</v>
      </c>
      <c r="S1139" s="3" t="n">
        <v>-1.851309371621985</v>
      </c>
      <c r="T1139" s="3" t="n">
        <v>-0.7110083871766141</v>
      </c>
      <c r="U1139" s="3" t="n">
        <v>-0.9276126356501329</v>
      </c>
      <c r="V1139" s="3" t="n">
        <v>-0.688554396754817</v>
      </c>
      <c r="W1139" s="3" t="n">
        <v>-0.6748062403578508</v>
      </c>
      <c r="X1139" s="3" t="n">
        <v>-1.760538414904946</v>
      </c>
      <c r="Y1139" s="3" t="n">
        <v>-0.7936522003851438</v>
      </c>
      <c r="Z1139" s="3" t="n">
        <v>-1.851309371621985</v>
      </c>
      <c r="AA1139" s="3" t="n">
        <v>-1.851309371621985</v>
      </c>
      <c r="AB1139" s="3" t="n">
        <v>-1.760538414904946</v>
      </c>
      <c r="AC1139" s="3" t="n">
        <v>-4.00243950517554</v>
      </c>
      <c r="AD1139" s="3" t="n">
        <v>-0.9276126356501329</v>
      </c>
      <c r="AE1139" s="3" t="n">
        <v>-0.9276126356501329</v>
      </c>
    </row>
    <row r="1140">
      <c r="A1140" s="3" t="inlineStr">
        <is>
          <t>KIR.distn.dec.ove.mean.4</t>
        </is>
      </c>
      <c r="B1140" s="3" t="inlineStr">
        <is>
          <t>KIR</t>
        </is>
      </c>
      <c r="C1140" s="3" t="n">
        <v>2005</v>
      </c>
      <c r="D1140" s="3" t="inlineStr">
        <is>
          <t>Overall</t>
        </is>
      </c>
      <c r="E1140" s="3" t="inlineStr">
        <is>
          <t>Deciles</t>
        </is>
      </c>
      <c r="F1140" s="3" t="inlineStr">
        <is>
          <t>mean</t>
        </is>
      </c>
      <c r="G1140" s="3" t="n">
        <v>4</v>
      </c>
      <c r="H1140" s="3" t="n">
        <v>-0.7873684167861938</v>
      </c>
      <c r="I1140" s="3" t="n">
        <v>-0.7873684167861938</v>
      </c>
      <c r="J1140" s="3" t="n">
        <v>-0.8827894769216839</v>
      </c>
      <c r="K1140" s="3" t="n">
        <v>-0.8827894769216839</v>
      </c>
      <c r="L1140" s="3" t="n">
        <v>-0.7873684167861938</v>
      </c>
      <c r="M1140" s="3" t="n">
        <v>-0.7873684167861938</v>
      </c>
      <c r="N1140" s="3" t="n">
        <v>-0.7873684167861938</v>
      </c>
      <c r="O1140" s="3" t="n">
        <v>-0.7873684167861938</v>
      </c>
      <c r="P1140" s="3" t="n">
        <v>-0.7873684167861938</v>
      </c>
      <c r="Q1140" s="3" t="n">
        <v>-0.7873684167861938</v>
      </c>
      <c r="R1140" s="3" t="n">
        <v>-0.7729736864566803</v>
      </c>
      <c r="S1140" s="3" t="n">
        <v>-1.260947363941293</v>
      </c>
      <c r="T1140" s="3" t="n">
        <v>-0.7095526174495095</v>
      </c>
      <c r="U1140" s="3" t="n">
        <v>-0.8827894769216839</v>
      </c>
      <c r="V1140" s="3" t="n">
        <v>-0.6815526375645086</v>
      </c>
      <c r="W1140" s="3" t="n">
        <v>-0.5679210565592113</v>
      </c>
      <c r="X1140" s="3" t="n">
        <v>-1.242473682290629</v>
      </c>
      <c r="Y1140" s="3" t="n">
        <v>-0.7873684167861938</v>
      </c>
      <c r="Z1140" s="3" t="n">
        <v>-1.260947363941293</v>
      </c>
      <c r="AA1140" s="3" t="n">
        <v>-1.260947363941293</v>
      </c>
      <c r="AB1140" s="3" t="n">
        <v>-1.242473682290629</v>
      </c>
      <c r="AC1140" s="3" t="n">
        <v>-1.932868417940642</v>
      </c>
      <c r="AD1140" s="3" t="n">
        <v>-0.8827894769216839</v>
      </c>
      <c r="AE1140" s="3" t="n">
        <v>-0.8827894769216839</v>
      </c>
    </row>
    <row r="1141">
      <c r="A1141" s="3" t="inlineStr">
        <is>
          <t>KIR.distn.dec.ove.mean.5</t>
        </is>
      </c>
      <c r="B1141" s="3" t="inlineStr">
        <is>
          <t>KIR</t>
        </is>
      </c>
      <c r="C1141" s="3" t="n">
        <v>2005</v>
      </c>
      <c r="D1141" s="3" t="inlineStr">
        <is>
          <t>Overall</t>
        </is>
      </c>
      <c r="E1141" s="3" t="inlineStr">
        <is>
          <t>Deciles</t>
        </is>
      </c>
      <c r="F1141" s="3" t="inlineStr">
        <is>
          <t>mean</t>
        </is>
      </c>
      <c r="G1141" s="3" t="n">
        <v>5</v>
      </c>
      <c r="H1141" s="3" t="n">
        <v>-0.7873684167861938</v>
      </c>
      <c r="I1141" s="3" t="n">
        <v>-0.7873684167861938</v>
      </c>
      <c r="J1141" s="3" t="n">
        <v>-0.8827894769216839</v>
      </c>
      <c r="K1141" s="3" t="n">
        <v>-0.8827894769216839</v>
      </c>
      <c r="L1141" s="3" t="n">
        <v>-0.7873684167861938</v>
      </c>
      <c r="M1141" s="3" t="n">
        <v>-0.7873684167861938</v>
      </c>
      <c r="N1141" s="3" t="n">
        <v>-0.7873684167861938</v>
      </c>
      <c r="O1141" s="3" t="n">
        <v>-0.7873684167861938</v>
      </c>
      <c r="P1141" s="3" t="n">
        <v>-0.7873684167861938</v>
      </c>
      <c r="Q1141" s="3" t="n">
        <v>-0.7873684167861938</v>
      </c>
      <c r="R1141" s="3" t="n">
        <v>-0.7729736864566803</v>
      </c>
      <c r="S1141" s="3" t="n">
        <v>-1.260947363941293</v>
      </c>
      <c r="T1141" s="3" t="n">
        <v>-0.7095526174495095</v>
      </c>
      <c r="U1141" s="3" t="n">
        <v>-0.8827894769216839</v>
      </c>
      <c r="V1141" s="3" t="n">
        <v>-0.6815526375645086</v>
      </c>
      <c r="W1141" s="3" t="n">
        <v>-0.5679210565592113</v>
      </c>
      <c r="X1141" s="3" t="n">
        <v>-1.242473682290629</v>
      </c>
      <c r="Y1141" s="3" t="n">
        <v>-0.7873684167861938</v>
      </c>
      <c r="Z1141" s="3" t="n">
        <v>-1.260947363941293</v>
      </c>
      <c r="AA1141" s="3" t="n">
        <v>-1.260947363941293</v>
      </c>
      <c r="AB1141" s="3" t="n">
        <v>-1.242473682290629</v>
      </c>
      <c r="AC1141" s="3" t="n">
        <v>-1.932868417940642</v>
      </c>
      <c r="AD1141" s="3" t="n">
        <v>-0.8827894769216839</v>
      </c>
      <c r="AE1141" s="3" t="n">
        <v>-0.8827894769216839</v>
      </c>
    </row>
    <row r="1142">
      <c r="A1142" s="3" t="inlineStr">
        <is>
          <t>KIR.distn.dec.ove.mean.6</t>
        </is>
      </c>
      <c r="B1142" s="3" t="inlineStr">
        <is>
          <t>KIR</t>
        </is>
      </c>
      <c r="C1142" s="3" t="n">
        <v>2005</v>
      </c>
      <c r="D1142" s="3" t="inlineStr">
        <is>
          <t>Overall</t>
        </is>
      </c>
      <c r="E1142" s="3" t="inlineStr">
        <is>
          <t>Deciles</t>
        </is>
      </c>
      <c r="F1142" s="3" t="inlineStr">
        <is>
          <t>mean</t>
        </is>
      </c>
      <c r="G1142" s="3" t="n">
        <v>6</v>
      </c>
      <c r="H1142" s="3" t="n">
        <v>-0.7873684167861938</v>
      </c>
      <c r="I1142" s="3" t="n">
        <v>-0.7873684167861938</v>
      </c>
      <c r="J1142" s="3" t="n">
        <v>-0.8827894769216839</v>
      </c>
      <c r="K1142" s="3" t="n">
        <v>-0.8827894769216839</v>
      </c>
      <c r="L1142" s="3" t="n">
        <v>-0.7873684167861938</v>
      </c>
      <c r="M1142" s="3" t="n">
        <v>-0.7873684167861938</v>
      </c>
      <c r="N1142" s="3" t="n">
        <v>-0.7873684167861938</v>
      </c>
      <c r="O1142" s="3" t="n">
        <v>-0.7873684167861938</v>
      </c>
      <c r="P1142" s="3" t="n">
        <v>-0.7873684167861938</v>
      </c>
      <c r="Q1142" s="3" t="n">
        <v>-0.7873684167861938</v>
      </c>
      <c r="R1142" s="3" t="n">
        <v>-0.7729736864566803</v>
      </c>
      <c r="S1142" s="3" t="n">
        <v>-1.260947363941293</v>
      </c>
      <c r="T1142" s="3" t="n">
        <v>-0.7095526174495095</v>
      </c>
      <c r="U1142" s="3" t="n">
        <v>-0.8827894769216839</v>
      </c>
      <c r="V1142" s="3" t="n">
        <v>-0.6815526375645086</v>
      </c>
      <c r="W1142" s="3" t="n">
        <v>-0.5679210565592113</v>
      </c>
      <c r="X1142" s="3" t="n">
        <v>-1.242473682290629</v>
      </c>
      <c r="Y1142" s="3" t="n">
        <v>-0.7873684167861938</v>
      </c>
      <c r="Z1142" s="3" t="n">
        <v>-1.260947363941293</v>
      </c>
      <c r="AA1142" s="3" t="n">
        <v>-1.260947363941293</v>
      </c>
      <c r="AB1142" s="3" t="n">
        <v>-1.242473682290629</v>
      </c>
      <c r="AC1142" s="3" t="n">
        <v>-1.932868417940642</v>
      </c>
      <c r="AD1142" s="3" t="n">
        <v>-0.8827894769216839</v>
      </c>
      <c r="AE1142" s="3" t="n">
        <v>-0.8827894769216839</v>
      </c>
    </row>
    <row r="1143">
      <c r="A1143" s="3" t="inlineStr">
        <is>
          <t>KIR.distn.dec.ove.mean.7</t>
        </is>
      </c>
      <c r="B1143" s="3" t="inlineStr">
        <is>
          <t>KIR</t>
        </is>
      </c>
      <c r="C1143" s="3" t="n">
        <v>2005</v>
      </c>
      <c r="D1143" s="3" t="inlineStr">
        <is>
          <t>Overall</t>
        </is>
      </c>
      <c r="E1143" s="3" t="inlineStr">
        <is>
          <t>Deciles</t>
        </is>
      </c>
      <c r="F1143" s="3" t="inlineStr">
        <is>
          <t>mean</t>
        </is>
      </c>
      <c r="G1143" s="3" t="n">
        <v>7</v>
      </c>
      <c r="H1143" s="3" t="n">
        <v>-0.7873684167861938</v>
      </c>
      <c r="I1143" s="3" t="n">
        <v>-0.7873684167861938</v>
      </c>
      <c r="J1143" s="3" t="n">
        <v>-0.8827894769216839</v>
      </c>
      <c r="K1143" s="3" t="n">
        <v>-0.8827894769216839</v>
      </c>
      <c r="L1143" s="3" t="n">
        <v>-0.7873684167861938</v>
      </c>
      <c r="M1143" s="3" t="n">
        <v>-0.7873684167861938</v>
      </c>
      <c r="N1143" s="3" t="n">
        <v>-0.7873684167861938</v>
      </c>
      <c r="O1143" s="3" t="n">
        <v>-0.7873684167861938</v>
      </c>
      <c r="P1143" s="3" t="n">
        <v>-0.7873684167861938</v>
      </c>
      <c r="Q1143" s="3" t="n">
        <v>-0.7873684167861938</v>
      </c>
      <c r="R1143" s="3" t="n">
        <v>-0.7729736864566803</v>
      </c>
      <c r="S1143" s="3" t="n">
        <v>-1.260947363941293</v>
      </c>
      <c r="T1143" s="3" t="n">
        <v>-0.7095526174495095</v>
      </c>
      <c r="U1143" s="3" t="n">
        <v>-0.8827894769216839</v>
      </c>
      <c r="V1143" s="3" t="n">
        <v>-0.6815526375645086</v>
      </c>
      <c r="W1143" s="3" t="n">
        <v>-0.5679210565592113</v>
      </c>
      <c r="X1143" s="3" t="n">
        <v>-1.242473682290629</v>
      </c>
      <c r="Y1143" s="3" t="n">
        <v>-0.7873684167861938</v>
      </c>
      <c r="Z1143" s="3" t="n">
        <v>-1.260947363941293</v>
      </c>
      <c r="AA1143" s="3" t="n">
        <v>-1.260947363941293</v>
      </c>
      <c r="AB1143" s="3" t="n">
        <v>-1.242473682290629</v>
      </c>
      <c r="AC1143" s="3" t="n">
        <v>-1.932868417940642</v>
      </c>
      <c r="AD1143" s="3" t="n">
        <v>-0.8827894769216839</v>
      </c>
      <c r="AE1143" s="3" t="n">
        <v>-0.8827894769216839</v>
      </c>
    </row>
    <row r="1144">
      <c r="A1144" s="3" t="inlineStr">
        <is>
          <t>KIR.distn.dec.ove.mean.8</t>
        </is>
      </c>
      <c r="B1144" s="3" t="inlineStr">
        <is>
          <t>KIR</t>
        </is>
      </c>
      <c r="C1144" s="3" t="n">
        <v>2005</v>
      </c>
      <c r="D1144" s="3" t="inlineStr">
        <is>
          <t>Overall</t>
        </is>
      </c>
      <c r="E1144" s="3" t="inlineStr">
        <is>
          <t>Deciles</t>
        </is>
      </c>
      <c r="F1144" s="3" t="inlineStr">
        <is>
          <t>mean</t>
        </is>
      </c>
      <c r="G1144" s="3" t="n">
        <v>8</v>
      </c>
      <c r="H1144" s="3" t="n">
        <v>-0.7877477627051505</v>
      </c>
      <c r="I1144" s="3" t="n">
        <v>-0.7877477627051505</v>
      </c>
      <c r="J1144" s="3" t="n">
        <v>-0.8851708738427413</v>
      </c>
      <c r="K1144" s="3" t="n">
        <v>-0.8851708738427413</v>
      </c>
      <c r="L1144" s="3" t="n">
        <v>-0.7877477627051505</v>
      </c>
      <c r="M1144" s="3" t="n">
        <v>-0.7877477627051505</v>
      </c>
      <c r="N1144" s="3" t="n">
        <v>-0.7877477627051505</v>
      </c>
      <c r="O1144" s="3" t="n">
        <v>-0.7877477627051505</v>
      </c>
      <c r="P1144" s="3" t="n">
        <v>-0.7877477627051505</v>
      </c>
      <c r="Q1144" s="3" t="n">
        <v>-0.7877477627051505</v>
      </c>
      <c r="R1144" s="3" t="n">
        <v>-0.7732278971295607</v>
      </c>
      <c r="S1144" s="3" t="n">
        <v>-1.272680619829579</v>
      </c>
      <c r="T1144" s="3" t="n">
        <v>-0.7095935376066911</v>
      </c>
      <c r="U1144" s="3" t="n">
        <v>-0.8851708738427413</v>
      </c>
      <c r="V1144" s="3" t="n">
        <v>-0.6822572021107924</v>
      </c>
      <c r="W1144" s="3" t="n">
        <v>-0.5831292993143985</v>
      </c>
      <c r="X1144" s="3" t="n">
        <v>-1.253795093611667</v>
      </c>
      <c r="Y1144" s="3" t="n">
        <v>-0.7877477627051505</v>
      </c>
      <c r="Z1144" s="3" t="n">
        <v>-1.272680619829579</v>
      </c>
      <c r="AA1144" s="3" t="n">
        <v>-1.272680619829579</v>
      </c>
      <c r="AB1144" s="3" t="n">
        <v>-1.253795093611667</v>
      </c>
      <c r="AC1144" s="3" t="n">
        <v>-1.960433708994012</v>
      </c>
      <c r="AD1144" s="3" t="n">
        <v>-0.8851708738427413</v>
      </c>
      <c r="AE1144" s="3" t="n">
        <v>-0.8851708738427413</v>
      </c>
    </row>
    <row r="1145">
      <c r="A1145" s="3" t="inlineStr">
        <is>
          <t>KIR.distn.dec.ove.mean.9</t>
        </is>
      </c>
      <c r="B1145" s="3" t="inlineStr">
        <is>
          <t>KIR</t>
        </is>
      </c>
      <c r="C1145" s="3" t="n">
        <v>2005</v>
      </c>
      <c r="D1145" s="3" t="inlineStr">
        <is>
          <t>Overall</t>
        </is>
      </c>
      <c r="E1145" s="3" t="inlineStr">
        <is>
          <t>Deciles</t>
        </is>
      </c>
      <c r="F1145" s="3" t="inlineStr">
        <is>
          <t>mean</t>
        </is>
      </c>
      <c r="G1145" s="3" t="n">
        <v>9</v>
      </c>
      <c r="H1145" s="3" t="n">
        <v>-0.7877477627051505</v>
      </c>
      <c r="I1145" s="3" t="n">
        <v>-0.7877477627051505</v>
      </c>
      <c r="J1145" s="3" t="n">
        <v>-0.8851708738427413</v>
      </c>
      <c r="K1145" s="3" t="n">
        <v>-0.8851708738427413</v>
      </c>
      <c r="L1145" s="3" t="n">
        <v>-0.7877477627051505</v>
      </c>
      <c r="M1145" s="3" t="n">
        <v>-0.7877477627051505</v>
      </c>
      <c r="N1145" s="3" t="n">
        <v>-0.7877477627051505</v>
      </c>
      <c r="O1145" s="3" t="n">
        <v>-0.7877477627051505</v>
      </c>
      <c r="P1145" s="3" t="n">
        <v>-0.7877477627051505</v>
      </c>
      <c r="Q1145" s="3" t="n">
        <v>-0.7877477627051505</v>
      </c>
      <c r="R1145" s="3" t="n">
        <v>-0.7732278971295607</v>
      </c>
      <c r="S1145" s="3" t="n">
        <v>-1.272680619829579</v>
      </c>
      <c r="T1145" s="3" t="n">
        <v>-0.7095935376066911</v>
      </c>
      <c r="U1145" s="3" t="n">
        <v>-0.8851708738427413</v>
      </c>
      <c r="V1145" s="3" t="n">
        <v>-0.6822572021107924</v>
      </c>
      <c r="W1145" s="3" t="n">
        <v>-0.5831292993143985</v>
      </c>
      <c r="X1145" s="3" t="n">
        <v>-1.253795093611667</v>
      </c>
      <c r="Y1145" s="3" t="n">
        <v>-0.7877477627051505</v>
      </c>
      <c r="Z1145" s="3" t="n">
        <v>-1.272680619829579</v>
      </c>
      <c r="AA1145" s="3" t="n">
        <v>-1.272680619829579</v>
      </c>
      <c r="AB1145" s="3" t="n">
        <v>-1.253795093611667</v>
      </c>
      <c r="AC1145" s="3" t="n">
        <v>-1.960433708994012</v>
      </c>
      <c r="AD1145" s="3" t="n">
        <v>-0.8851708738427413</v>
      </c>
      <c r="AE1145" s="3" t="n">
        <v>-0.8851708738427413</v>
      </c>
    </row>
    <row r="1146">
      <c r="A1146" s="3" t="inlineStr">
        <is>
          <t>KIR.distn.dec.ove.mean.10</t>
        </is>
      </c>
      <c r="B1146" s="3" t="inlineStr">
        <is>
          <t>KIR</t>
        </is>
      </c>
      <c r="C1146" s="3" t="n">
        <v>2005</v>
      </c>
      <c r="D1146" s="3" t="inlineStr">
        <is>
          <t>Overall</t>
        </is>
      </c>
      <c r="E1146" s="3" t="inlineStr">
        <is>
          <t>Deciles</t>
        </is>
      </c>
      <c r="F1146" s="3" t="inlineStr">
        <is>
          <t>mean</t>
        </is>
      </c>
      <c r="G1146" s="3" t="n">
        <v>10</v>
      </c>
      <c r="H1146" s="3" t="n">
        <v>-0.7877477627051505</v>
      </c>
      <c r="I1146" s="3" t="n">
        <v>-0.7877477627051505</v>
      </c>
      <c r="J1146" s="3" t="n">
        <v>-0.8851708738427413</v>
      </c>
      <c r="K1146" s="3" t="n">
        <v>-0.8851708738427413</v>
      </c>
      <c r="L1146" s="3" t="n">
        <v>-0.7877477627051505</v>
      </c>
      <c r="M1146" s="3" t="n">
        <v>-0.7877477627051505</v>
      </c>
      <c r="N1146" s="3" t="n">
        <v>-0.7877477627051505</v>
      </c>
      <c r="O1146" s="3" t="n">
        <v>-0.7877477627051505</v>
      </c>
      <c r="P1146" s="3" t="n">
        <v>-0.7877477627051505</v>
      </c>
      <c r="Q1146" s="3" t="n">
        <v>-0.7877477627051505</v>
      </c>
      <c r="R1146" s="3" t="n">
        <v>-0.7732278971295607</v>
      </c>
      <c r="S1146" s="3" t="n">
        <v>-1.272680619829579</v>
      </c>
      <c r="T1146" s="3" t="n">
        <v>-0.7095935376066911</v>
      </c>
      <c r="U1146" s="3" t="n">
        <v>-0.8851708738427413</v>
      </c>
      <c r="V1146" s="3" t="n">
        <v>-0.6822572021107924</v>
      </c>
      <c r="W1146" s="3" t="n">
        <v>-0.5831292993143985</v>
      </c>
      <c r="X1146" s="3" t="n">
        <v>-1.253795093611667</v>
      </c>
      <c r="Y1146" s="3" t="n">
        <v>-0.7877477627051505</v>
      </c>
      <c r="Z1146" s="3" t="n">
        <v>-1.272680619829579</v>
      </c>
      <c r="AA1146" s="3" t="n">
        <v>-1.272680619829579</v>
      </c>
      <c r="AB1146" s="3" t="n">
        <v>-1.253795093611667</v>
      </c>
      <c r="AC1146" s="3" t="n">
        <v>-1.960433708994012</v>
      </c>
      <c r="AD1146" s="3" t="n">
        <v>-0.8851708738427413</v>
      </c>
      <c r="AE1146" s="3" t="n">
        <v>-0.8851708738427413</v>
      </c>
    </row>
    <row r="1147">
      <c r="A1147" s="3" t="inlineStr">
        <is>
          <t>KIR.distn.bkt.ove.mean.9999</t>
        </is>
      </c>
      <c r="B1147" s="3" t="inlineStr">
        <is>
          <t>KIR</t>
        </is>
      </c>
      <c r="C1147" s="3" t="n">
        <v>2005</v>
      </c>
      <c r="D1147" s="3" t="inlineStr">
        <is>
          <t>Overall</t>
        </is>
      </c>
      <c r="E1147" s="3" t="inlineStr">
        <is>
          <t>Basket</t>
        </is>
      </c>
      <c r="F1147" s="3" t="inlineStr">
        <is>
          <t>mean</t>
        </is>
      </c>
      <c r="G1147" s="3" t="n">
        <v>9999</v>
      </c>
      <c r="H1147" s="3" t="n">
        <v>-0.7893673542298769</v>
      </c>
      <c r="I1147" s="3" t="n">
        <v>-0.7893673542298769</v>
      </c>
      <c r="J1147" s="3" t="n">
        <v>-0.8969508472241854</v>
      </c>
      <c r="K1147" s="3" t="n">
        <v>-0.8969508472241854</v>
      </c>
      <c r="L1147" s="3" t="n">
        <v>-0.7893673542298769</v>
      </c>
      <c r="M1147" s="3" t="n">
        <v>-0.7893673542298769</v>
      </c>
      <c r="N1147" s="3" t="n">
        <v>-0.7893673542298769</v>
      </c>
      <c r="O1147" s="3" t="n">
        <v>-0.7893673542298769</v>
      </c>
      <c r="P1147" s="3" t="n">
        <v>-0.7893673542298769</v>
      </c>
      <c r="Q1147" s="3" t="n">
        <v>-0.7893673542298769</v>
      </c>
      <c r="R1147" s="3" t="n">
        <v>-0.7740951949044278</v>
      </c>
      <c r="S1147" s="3" t="n">
        <v>-1.441575941286589</v>
      </c>
      <c r="T1147" s="3" t="n">
        <v>-0.7100016239442324</v>
      </c>
      <c r="U1147" s="3" t="n">
        <v>-0.8969508472241854</v>
      </c>
      <c r="V1147" s="3" t="n">
        <v>-0.6838645276270414</v>
      </c>
      <c r="W1147" s="3" t="n">
        <v>-0.6045490895446978</v>
      </c>
      <c r="X1147" s="3" t="n">
        <v>-1.401289532059117</v>
      </c>
      <c r="Y1147" s="3" t="n">
        <v>-0.7893673542298769</v>
      </c>
      <c r="Z1147" s="3" t="n">
        <v>-1.441575941286589</v>
      </c>
      <c r="AA1147" s="3" t="n">
        <v>-1.441575941286589</v>
      </c>
      <c r="AB1147" s="3" t="n">
        <v>-1.401289532059117</v>
      </c>
      <c r="AC1147" s="3" t="n">
        <v>-2.562009337701296</v>
      </c>
      <c r="AD1147" s="3" t="n">
        <v>-0.8969508472241854</v>
      </c>
      <c r="AE1147" s="3" t="n">
        <v>-0.8969508472241854</v>
      </c>
    </row>
    <row r="1148">
      <c r="A1148" s="3" t="inlineStr">
        <is>
          <t>KNA.distn.dec.ove.mean.1</t>
        </is>
      </c>
      <c r="B1148" s="3" t="inlineStr">
        <is>
          <t>KNA</t>
        </is>
      </c>
      <c r="C1148" s="3" t="n">
        <v>2005</v>
      </c>
      <c r="D1148" s="3" t="inlineStr">
        <is>
          <t>Overall</t>
        </is>
      </c>
      <c r="E1148" s="3" t="inlineStr">
        <is>
          <t>Deciles</t>
        </is>
      </c>
      <c r="F1148" s="3" t="inlineStr">
        <is>
          <t>mean</t>
        </is>
      </c>
      <c r="G1148" s="3" t="n">
        <v>1</v>
      </c>
      <c r="H1148" s="3" t="n">
        <v>-0.7878549098968506</v>
      </c>
      <c r="I1148" s="3" t="n">
        <v>-0.7878549098968506</v>
      </c>
      <c r="J1148" s="3" t="n">
        <v>-0.8883962808771336</v>
      </c>
      <c r="K1148" s="3" t="n">
        <v>-0.8883962808771336</v>
      </c>
      <c r="L1148" s="3" t="n">
        <v>-0.7878549098968506</v>
      </c>
      <c r="M1148" s="3" t="n">
        <v>-0.7878549098968506</v>
      </c>
      <c r="N1148" s="3" t="n">
        <v>-0.7878549098968506</v>
      </c>
      <c r="O1148" s="3" t="n">
        <v>-0.7878549098968506</v>
      </c>
      <c r="P1148" s="3" t="n">
        <v>-0.7878549098968506</v>
      </c>
      <c r="Q1148" s="3" t="n">
        <v>-0.7878549098968506</v>
      </c>
      <c r="R1148" s="3" t="n">
        <v>-0.7732356596500316</v>
      </c>
      <c r="S1148" s="3" t="n">
        <v>-1.408805674694954</v>
      </c>
      <c r="T1148" s="3" t="n">
        <v>-0.7095591730259835</v>
      </c>
      <c r="U1148" s="3" t="n">
        <v>-0.8883962808771336</v>
      </c>
      <c r="V1148" s="3" t="n">
        <v>-0.681934451803248</v>
      </c>
      <c r="W1148" s="3" t="n">
        <v>-0.5702875047288043</v>
      </c>
      <c r="X1148" s="3" t="n">
        <v>-1.356243993373627</v>
      </c>
      <c r="Y1148" s="3" t="n">
        <v>-0.7878549098968506</v>
      </c>
      <c r="Z1148" s="3" t="n">
        <v>-1.408805674694954</v>
      </c>
      <c r="AA1148" s="3" t="n">
        <v>-1.408805674694954</v>
      </c>
      <c r="AB1148" s="3" t="n">
        <v>-1.356243993373627</v>
      </c>
      <c r="AC1148" s="3" t="n">
        <v>-2.123991362592007</v>
      </c>
      <c r="AD1148" s="3" t="n">
        <v>-0.8883962808771336</v>
      </c>
      <c r="AE1148" s="3" t="n">
        <v>-0.8883962808771336</v>
      </c>
    </row>
    <row r="1149">
      <c r="A1149" s="3" t="inlineStr">
        <is>
          <t>KNA.distn.dec.ove.mean.2</t>
        </is>
      </c>
      <c r="B1149" s="3" t="inlineStr">
        <is>
          <t>KNA</t>
        </is>
      </c>
      <c r="C1149" s="3" t="n">
        <v>2005</v>
      </c>
      <c r="D1149" s="3" t="inlineStr">
        <is>
          <t>Overall</t>
        </is>
      </c>
      <c r="E1149" s="3" t="inlineStr">
        <is>
          <t>Deciles</t>
        </is>
      </c>
      <c r="F1149" s="3" t="inlineStr">
        <is>
          <t>mean</t>
        </is>
      </c>
      <c r="G1149" s="3" t="n">
        <v>2</v>
      </c>
      <c r="H1149" s="3" t="n">
        <v>-0.7878549098968506</v>
      </c>
      <c r="I1149" s="3" t="n">
        <v>-0.7878549098968506</v>
      </c>
      <c r="J1149" s="3" t="n">
        <v>-0.8883962808771336</v>
      </c>
      <c r="K1149" s="3" t="n">
        <v>-0.8883962808771336</v>
      </c>
      <c r="L1149" s="3" t="n">
        <v>-0.7878549098968506</v>
      </c>
      <c r="M1149" s="3" t="n">
        <v>-0.7878549098968506</v>
      </c>
      <c r="N1149" s="3" t="n">
        <v>-0.7878549098968506</v>
      </c>
      <c r="O1149" s="3" t="n">
        <v>-0.7878549098968506</v>
      </c>
      <c r="P1149" s="3" t="n">
        <v>-0.7878549098968506</v>
      </c>
      <c r="Q1149" s="3" t="n">
        <v>-0.7878549098968506</v>
      </c>
      <c r="R1149" s="3" t="n">
        <v>-0.7732356596500316</v>
      </c>
      <c r="S1149" s="3" t="n">
        <v>-1.408805674694954</v>
      </c>
      <c r="T1149" s="3" t="n">
        <v>-0.7095591730259835</v>
      </c>
      <c r="U1149" s="3" t="n">
        <v>-0.8883962808771336</v>
      </c>
      <c r="V1149" s="3" t="n">
        <v>-0.681934451803248</v>
      </c>
      <c r="W1149" s="3" t="n">
        <v>-0.5702875047288043</v>
      </c>
      <c r="X1149" s="3" t="n">
        <v>-1.356243993373627</v>
      </c>
      <c r="Y1149" s="3" t="n">
        <v>-0.7878549098968506</v>
      </c>
      <c r="Z1149" s="3" t="n">
        <v>-1.408805674694954</v>
      </c>
      <c r="AA1149" s="3" t="n">
        <v>-1.408805674694954</v>
      </c>
      <c r="AB1149" s="3" t="n">
        <v>-1.356243993373627</v>
      </c>
      <c r="AC1149" s="3" t="n">
        <v>-2.123991362592007</v>
      </c>
      <c r="AD1149" s="3" t="n">
        <v>-0.8883962808771336</v>
      </c>
      <c r="AE1149" s="3" t="n">
        <v>-0.8883962808771336</v>
      </c>
    </row>
    <row r="1150">
      <c r="A1150" s="3" t="inlineStr">
        <is>
          <t>KNA.distn.dec.ove.mean.3</t>
        </is>
      </c>
      <c r="B1150" s="3" t="inlineStr">
        <is>
          <t>KNA</t>
        </is>
      </c>
      <c r="C1150" s="3" t="n">
        <v>2005</v>
      </c>
      <c r="D1150" s="3" t="inlineStr">
        <is>
          <t>Overall</t>
        </is>
      </c>
      <c r="E1150" s="3" t="inlineStr">
        <is>
          <t>Deciles</t>
        </is>
      </c>
      <c r="F1150" s="3" t="inlineStr">
        <is>
          <t>mean</t>
        </is>
      </c>
      <c r="G1150" s="3" t="n">
        <v>3</v>
      </c>
      <c r="H1150" s="3" t="n">
        <v>-0.7878549098968506</v>
      </c>
      <c r="I1150" s="3" t="n">
        <v>-0.7878549098968506</v>
      </c>
      <c r="J1150" s="3" t="n">
        <v>-0.8883962808771336</v>
      </c>
      <c r="K1150" s="3" t="n">
        <v>-0.8883962808771336</v>
      </c>
      <c r="L1150" s="3" t="n">
        <v>-0.7878549098968506</v>
      </c>
      <c r="M1150" s="3" t="n">
        <v>-0.7878549098968506</v>
      </c>
      <c r="N1150" s="3" t="n">
        <v>-0.7878549098968506</v>
      </c>
      <c r="O1150" s="3" t="n">
        <v>-0.7878549098968506</v>
      </c>
      <c r="P1150" s="3" t="n">
        <v>-0.7878549098968506</v>
      </c>
      <c r="Q1150" s="3" t="n">
        <v>-0.7878549098968506</v>
      </c>
      <c r="R1150" s="3" t="n">
        <v>-0.7732356596500316</v>
      </c>
      <c r="S1150" s="3" t="n">
        <v>-1.408805674694954</v>
      </c>
      <c r="T1150" s="3" t="n">
        <v>-0.7095591730259835</v>
      </c>
      <c r="U1150" s="3" t="n">
        <v>-0.8883962808771336</v>
      </c>
      <c r="V1150" s="3" t="n">
        <v>-0.681934451803248</v>
      </c>
      <c r="W1150" s="3" t="n">
        <v>-0.5702875047288043</v>
      </c>
      <c r="X1150" s="3" t="n">
        <v>-1.356243993373627</v>
      </c>
      <c r="Y1150" s="3" t="n">
        <v>-0.7878549098968506</v>
      </c>
      <c r="Z1150" s="3" t="n">
        <v>-1.408805674694954</v>
      </c>
      <c r="AA1150" s="3" t="n">
        <v>-1.408805674694954</v>
      </c>
      <c r="AB1150" s="3" t="n">
        <v>-1.356243993373627</v>
      </c>
      <c r="AC1150" s="3" t="n">
        <v>-2.123991362592007</v>
      </c>
      <c r="AD1150" s="3" t="n">
        <v>-0.8883962808771336</v>
      </c>
      <c r="AE1150" s="3" t="n">
        <v>-0.8883962808771336</v>
      </c>
    </row>
    <row r="1151">
      <c r="A1151" s="3" t="inlineStr">
        <is>
          <t>KNA.distn.dec.ove.mean.4</t>
        </is>
      </c>
      <c r="B1151" s="3" t="inlineStr">
        <is>
          <t>KNA</t>
        </is>
      </c>
      <c r="C1151" s="3" t="n">
        <v>2005</v>
      </c>
      <c r="D1151" s="3" t="inlineStr">
        <is>
          <t>Overall</t>
        </is>
      </c>
      <c r="E1151" s="3" t="inlineStr">
        <is>
          <t>Deciles</t>
        </is>
      </c>
      <c r="F1151" s="3" t="inlineStr">
        <is>
          <t>mean</t>
        </is>
      </c>
      <c r="G1151" s="3" t="n">
        <v>4</v>
      </c>
      <c r="H1151" s="3" t="n">
        <v>-0.7816170251115839</v>
      </c>
      <c r="I1151" s="3" t="n">
        <v>-0.7816170251115839</v>
      </c>
      <c r="J1151" s="3" t="n">
        <v>-0.8454680810583398</v>
      </c>
      <c r="K1151" s="3" t="n">
        <v>-0.8454680810583398</v>
      </c>
      <c r="L1151" s="3" t="n">
        <v>-0.7816170251115839</v>
      </c>
      <c r="M1151" s="3" t="n">
        <v>-0.7816170251115839</v>
      </c>
      <c r="N1151" s="3" t="n">
        <v>-0.7816170251115839</v>
      </c>
      <c r="O1151" s="3" t="n">
        <v>-0.7816170251115839</v>
      </c>
      <c r="P1151" s="3" t="n">
        <v>-0.7816170251115839</v>
      </c>
      <c r="Q1151" s="3" t="n">
        <v>-0.7816170251115839</v>
      </c>
      <c r="R1151" s="3" t="n">
        <v>-0.7697659489956308</v>
      </c>
      <c r="S1151" s="3" t="n">
        <v>-0.9595531871978272</v>
      </c>
      <c r="T1151" s="3" t="n">
        <v>-0.7081063859006191</v>
      </c>
      <c r="U1151" s="3" t="n">
        <v>-0.8454680810583398</v>
      </c>
      <c r="V1151" s="3" t="n">
        <v>-0.6750000017754575</v>
      </c>
      <c r="W1151" s="3" t="n">
        <v>-0.4799574455048176</v>
      </c>
      <c r="X1151" s="3" t="n">
        <v>-0.9571489362006492</v>
      </c>
      <c r="Y1151" s="3" t="n">
        <v>-0.7816170251115839</v>
      </c>
      <c r="Z1151" s="3" t="n">
        <v>-0.9595531871978272</v>
      </c>
      <c r="AA1151" s="3" t="n">
        <v>-0.9595531871978272</v>
      </c>
      <c r="AB1151" s="3" t="n">
        <v>-0.9571489362006492</v>
      </c>
      <c r="AC1151" s="3" t="n">
        <v>-1.025723396463597</v>
      </c>
      <c r="AD1151" s="3" t="n">
        <v>-0.8454680810583398</v>
      </c>
      <c r="AE1151" s="3" t="n">
        <v>-0.8454680810583398</v>
      </c>
    </row>
    <row r="1152">
      <c r="A1152" s="3" t="inlineStr">
        <is>
          <t>KNA.distn.dec.ove.mean.5</t>
        </is>
      </c>
      <c r="B1152" s="3" t="inlineStr">
        <is>
          <t>KNA</t>
        </is>
      </c>
      <c r="C1152" s="3" t="n">
        <v>2005</v>
      </c>
      <c r="D1152" s="3" t="inlineStr">
        <is>
          <t>Overall</t>
        </is>
      </c>
      <c r="E1152" s="3" t="inlineStr">
        <is>
          <t>Deciles</t>
        </is>
      </c>
      <c r="F1152" s="3" t="inlineStr">
        <is>
          <t>mean</t>
        </is>
      </c>
      <c r="G1152" s="3" t="n">
        <v>5</v>
      </c>
      <c r="H1152" s="3" t="n">
        <v>-0.7816170251115839</v>
      </c>
      <c r="I1152" s="3" t="n">
        <v>-0.7816170251115839</v>
      </c>
      <c r="J1152" s="3" t="n">
        <v>-0.8454680810583398</v>
      </c>
      <c r="K1152" s="3" t="n">
        <v>-0.8454680810583398</v>
      </c>
      <c r="L1152" s="3" t="n">
        <v>-0.7816170251115839</v>
      </c>
      <c r="M1152" s="3" t="n">
        <v>-0.7816170251115839</v>
      </c>
      <c r="N1152" s="3" t="n">
        <v>-0.7816170251115839</v>
      </c>
      <c r="O1152" s="3" t="n">
        <v>-0.7816170251115839</v>
      </c>
      <c r="P1152" s="3" t="n">
        <v>-0.7816170251115839</v>
      </c>
      <c r="Q1152" s="3" t="n">
        <v>-0.7816170251115839</v>
      </c>
      <c r="R1152" s="3" t="n">
        <v>-0.7697659489956308</v>
      </c>
      <c r="S1152" s="3" t="n">
        <v>-0.9595531871978272</v>
      </c>
      <c r="T1152" s="3" t="n">
        <v>-0.7081063859006191</v>
      </c>
      <c r="U1152" s="3" t="n">
        <v>-0.8454680810583398</v>
      </c>
      <c r="V1152" s="3" t="n">
        <v>-0.6750000017754575</v>
      </c>
      <c r="W1152" s="3" t="n">
        <v>-0.4799574455048176</v>
      </c>
      <c r="X1152" s="3" t="n">
        <v>-0.9571489362006492</v>
      </c>
      <c r="Y1152" s="3" t="n">
        <v>-0.7816170251115839</v>
      </c>
      <c r="Z1152" s="3" t="n">
        <v>-0.9595531871978272</v>
      </c>
      <c r="AA1152" s="3" t="n">
        <v>-0.9595531871978272</v>
      </c>
      <c r="AB1152" s="3" t="n">
        <v>-0.9571489362006492</v>
      </c>
      <c r="AC1152" s="3" t="n">
        <v>-1.025723396463597</v>
      </c>
      <c r="AD1152" s="3" t="n">
        <v>-0.8454680810583398</v>
      </c>
      <c r="AE1152" s="3" t="n">
        <v>-0.8454680810583398</v>
      </c>
    </row>
    <row r="1153">
      <c r="A1153" s="3" t="inlineStr">
        <is>
          <t>KNA.distn.dec.ove.mean.6</t>
        </is>
      </c>
      <c r="B1153" s="3" t="inlineStr">
        <is>
          <t>KNA</t>
        </is>
      </c>
      <c r="C1153" s="3" t="n">
        <v>2005</v>
      </c>
      <c r="D1153" s="3" t="inlineStr">
        <is>
          <t>Overall</t>
        </is>
      </c>
      <c r="E1153" s="3" t="inlineStr">
        <is>
          <t>Deciles</t>
        </is>
      </c>
      <c r="F1153" s="3" t="inlineStr">
        <is>
          <t>mean</t>
        </is>
      </c>
      <c r="G1153" s="3" t="n">
        <v>6</v>
      </c>
      <c r="H1153" s="3" t="n">
        <v>-0.7816170251115839</v>
      </c>
      <c r="I1153" s="3" t="n">
        <v>-0.7816170251115839</v>
      </c>
      <c r="J1153" s="3" t="n">
        <v>-0.8454680810583398</v>
      </c>
      <c r="K1153" s="3" t="n">
        <v>-0.8454680810583398</v>
      </c>
      <c r="L1153" s="3" t="n">
        <v>-0.7816170251115839</v>
      </c>
      <c r="M1153" s="3" t="n">
        <v>-0.7816170251115839</v>
      </c>
      <c r="N1153" s="3" t="n">
        <v>-0.7816170251115839</v>
      </c>
      <c r="O1153" s="3" t="n">
        <v>-0.7816170251115839</v>
      </c>
      <c r="P1153" s="3" t="n">
        <v>-0.7816170251115839</v>
      </c>
      <c r="Q1153" s="3" t="n">
        <v>-0.7816170251115839</v>
      </c>
      <c r="R1153" s="3" t="n">
        <v>-0.7697659489956308</v>
      </c>
      <c r="S1153" s="3" t="n">
        <v>-0.9595531871978272</v>
      </c>
      <c r="T1153" s="3" t="n">
        <v>-0.7081063859006191</v>
      </c>
      <c r="U1153" s="3" t="n">
        <v>-0.8454680810583398</v>
      </c>
      <c r="V1153" s="3" t="n">
        <v>-0.6750000017754575</v>
      </c>
      <c r="W1153" s="3" t="n">
        <v>-0.4799574455048176</v>
      </c>
      <c r="X1153" s="3" t="n">
        <v>-0.9571489362006492</v>
      </c>
      <c r="Y1153" s="3" t="n">
        <v>-0.7816170251115839</v>
      </c>
      <c r="Z1153" s="3" t="n">
        <v>-0.9595531871978272</v>
      </c>
      <c r="AA1153" s="3" t="n">
        <v>-0.9595531871978272</v>
      </c>
      <c r="AB1153" s="3" t="n">
        <v>-0.9571489362006492</v>
      </c>
      <c r="AC1153" s="3" t="n">
        <v>-1.025723396463597</v>
      </c>
      <c r="AD1153" s="3" t="n">
        <v>-0.8454680810583398</v>
      </c>
      <c r="AE1153" s="3" t="n">
        <v>-0.8454680810583398</v>
      </c>
    </row>
    <row r="1154">
      <c r="A1154" s="3" t="inlineStr">
        <is>
          <t>KNA.distn.dec.ove.mean.7</t>
        </is>
      </c>
      <c r="B1154" s="3" t="inlineStr">
        <is>
          <t>KNA</t>
        </is>
      </c>
      <c r="C1154" s="3" t="n">
        <v>2005</v>
      </c>
      <c r="D1154" s="3" t="inlineStr">
        <is>
          <t>Overall</t>
        </is>
      </c>
      <c r="E1154" s="3" t="inlineStr">
        <is>
          <t>Deciles</t>
        </is>
      </c>
      <c r="F1154" s="3" t="inlineStr">
        <is>
          <t>mean</t>
        </is>
      </c>
      <c r="G1154" s="3" t="n">
        <v>7</v>
      </c>
      <c r="H1154" s="3" t="n">
        <v>-0.7816170251115839</v>
      </c>
      <c r="I1154" s="3" t="n">
        <v>-0.7816170251115839</v>
      </c>
      <c r="J1154" s="3" t="n">
        <v>-0.8454680810583398</v>
      </c>
      <c r="K1154" s="3" t="n">
        <v>-0.8454680810583398</v>
      </c>
      <c r="L1154" s="3" t="n">
        <v>-0.7816170251115839</v>
      </c>
      <c r="M1154" s="3" t="n">
        <v>-0.7816170251115839</v>
      </c>
      <c r="N1154" s="3" t="n">
        <v>-0.7816170251115839</v>
      </c>
      <c r="O1154" s="3" t="n">
        <v>-0.7816170251115839</v>
      </c>
      <c r="P1154" s="3" t="n">
        <v>-0.7816170251115839</v>
      </c>
      <c r="Q1154" s="3" t="n">
        <v>-0.7816170251115839</v>
      </c>
      <c r="R1154" s="3" t="n">
        <v>-0.7697659489956308</v>
      </c>
      <c r="S1154" s="3" t="n">
        <v>-0.9595531871978272</v>
      </c>
      <c r="T1154" s="3" t="n">
        <v>-0.7081063859006191</v>
      </c>
      <c r="U1154" s="3" t="n">
        <v>-0.8454680810583398</v>
      </c>
      <c r="V1154" s="3" t="n">
        <v>-0.6750000017754575</v>
      </c>
      <c r="W1154" s="3" t="n">
        <v>-0.4799574455048176</v>
      </c>
      <c r="X1154" s="3" t="n">
        <v>-0.9571489362006492</v>
      </c>
      <c r="Y1154" s="3" t="n">
        <v>-0.7816170251115839</v>
      </c>
      <c r="Z1154" s="3" t="n">
        <v>-0.9595531871978272</v>
      </c>
      <c r="AA1154" s="3" t="n">
        <v>-0.9595531871978272</v>
      </c>
      <c r="AB1154" s="3" t="n">
        <v>-0.9571489362006492</v>
      </c>
      <c r="AC1154" s="3" t="n">
        <v>-1.025723396463597</v>
      </c>
      <c r="AD1154" s="3" t="n">
        <v>-0.8454680810583398</v>
      </c>
      <c r="AE1154" s="3" t="n">
        <v>-0.8454680810583398</v>
      </c>
    </row>
    <row r="1155">
      <c r="A1155" s="3" t="inlineStr">
        <is>
          <t>KNA.distn.dec.ove.mean.8</t>
        </is>
      </c>
      <c r="B1155" s="3" t="inlineStr">
        <is>
          <t>KNA</t>
        </is>
      </c>
      <c r="C1155" s="3" t="n">
        <v>2005</v>
      </c>
      <c r="D1155" s="3" t="inlineStr">
        <is>
          <t>Overall</t>
        </is>
      </c>
      <c r="E1155" s="3" t="inlineStr">
        <is>
          <t>Deciles</t>
        </is>
      </c>
      <c r="F1155" s="3" t="inlineStr">
        <is>
          <t>mean</t>
        </is>
      </c>
      <c r="G1155" s="3" t="n">
        <v>8</v>
      </c>
      <c r="H1155" s="3" t="n">
        <v>-0.7819935831617801</v>
      </c>
      <c r="I1155" s="3" t="n">
        <v>-0.7819935831617801</v>
      </c>
      <c r="J1155" s="3" t="n">
        <v>-0.8477488045996808</v>
      </c>
      <c r="K1155" s="3" t="n">
        <v>-0.8477488045996808</v>
      </c>
      <c r="L1155" s="3" t="n">
        <v>-0.7819935831617801</v>
      </c>
      <c r="M1155" s="3" t="n">
        <v>-0.7819935831617801</v>
      </c>
      <c r="N1155" s="3" t="n">
        <v>-0.7819935831617801</v>
      </c>
      <c r="O1155" s="3" t="n">
        <v>-0.7819935831617801</v>
      </c>
      <c r="P1155" s="3" t="n">
        <v>-0.7819935831617801</v>
      </c>
      <c r="Q1155" s="3" t="n">
        <v>-0.7819935831617801</v>
      </c>
      <c r="R1155" s="3" t="n">
        <v>-0.7700191178220384</v>
      </c>
      <c r="S1155" s="3" t="n">
        <v>-0.9684819490351575</v>
      </c>
      <c r="T1155" s="3" t="n">
        <v>-0.70814722142321</v>
      </c>
      <c r="U1155" s="3" t="n">
        <v>-0.8477488045996808</v>
      </c>
      <c r="V1155" s="3" t="n">
        <v>-0.6756977857427394</v>
      </c>
      <c r="W1155" s="3" t="n">
        <v>-0.4928101326556916</v>
      </c>
      <c r="X1155" s="3" t="n">
        <v>-0.9658704755154062</v>
      </c>
      <c r="Y1155" s="3" t="n">
        <v>-0.7819935831617801</v>
      </c>
      <c r="Z1155" s="3" t="n">
        <v>-0.9684819490351575</v>
      </c>
      <c r="AA1155" s="3" t="n">
        <v>-0.9684819490351575</v>
      </c>
      <c r="AB1155" s="3" t="n">
        <v>-0.9658704755154062</v>
      </c>
      <c r="AC1155" s="3" t="n">
        <v>-1.04035159628442</v>
      </c>
      <c r="AD1155" s="3" t="n">
        <v>-0.8477488045996808</v>
      </c>
      <c r="AE1155" s="3" t="n">
        <v>-0.8477488045996808</v>
      </c>
    </row>
    <row r="1156">
      <c r="A1156" s="3" t="inlineStr">
        <is>
          <t>KNA.distn.dec.ove.mean.9</t>
        </is>
      </c>
      <c r="B1156" s="3" t="inlineStr">
        <is>
          <t>KNA</t>
        </is>
      </c>
      <c r="C1156" s="3" t="n">
        <v>2005</v>
      </c>
      <c r="D1156" s="3" t="inlineStr">
        <is>
          <t>Overall</t>
        </is>
      </c>
      <c r="E1156" s="3" t="inlineStr">
        <is>
          <t>Deciles</t>
        </is>
      </c>
      <c r="F1156" s="3" t="inlineStr">
        <is>
          <t>mean</t>
        </is>
      </c>
      <c r="G1156" s="3" t="n">
        <v>9</v>
      </c>
      <c r="H1156" s="3" t="n">
        <v>-0.7819935831617801</v>
      </c>
      <c r="I1156" s="3" t="n">
        <v>-0.7819935831617801</v>
      </c>
      <c r="J1156" s="3" t="n">
        <v>-0.8477488045996808</v>
      </c>
      <c r="K1156" s="3" t="n">
        <v>-0.8477488045996808</v>
      </c>
      <c r="L1156" s="3" t="n">
        <v>-0.7819935831617801</v>
      </c>
      <c r="M1156" s="3" t="n">
        <v>-0.7819935831617801</v>
      </c>
      <c r="N1156" s="3" t="n">
        <v>-0.7819935831617801</v>
      </c>
      <c r="O1156" s="3" t="n">
        <v>-0.7819935831617801</v>
      </c>
      <c r="P1156" s="3" t="n">
        <v>-0.7819935831617801</v>
      </c>
      <c r="Q1156" s="3" t="n">
        <v>-0.7819935831617801</v>
      </c>
      <c r="R1156" s="3" t="n">
        <v>-0.7700191178220384</v>
      </c>
      <c r="S1156" s="3" t="n">
        <v>-0.9684819490351575</v>
      </c>
      <c r="T1156" s="3" t="n">
        <v>-0.70814722142321</v>
      </c>
      <c r="U1156" s="3" t="n">
        <v>-0.8477488045996808</v>
      </c>
      <c r="V1156" s="3" t="n">
        <v>-0.6756977857427394</v>
      </c>
      <c r="W1156" s="3" t="n">
        <v>-0.4928101326556916</v>
      </c>
      <c r="X1156" s="3" t="n">
        <v>-0.9658704755154062</v>
      </c>
      <c r="Y1156" s="3" t="n">
        <v>-0.7819935831617801</v>
      </c>
      <c r="Z1156" s="3" t="n">
        <v>-0.9684819490351575</v>
      </c>
      <c r="AA1156" s="3" t="n">
        <v>-0.9684819490351575</v>
      </c>
      <c r="AB1156" s="3" t="n">
        <v>-0.9658704755154062</v>
      </c>
      <c r="AC1156" s="3" t="n">
        <v>-1.04035159628442</v>
      </c>
      <c r="AD1156" s="3" t="n">
        <v>-0.8477488045996808</v>
      </c>
      <c r="AE1156" s="3" t="n">
        <v>-0.8477488045996808</v>
      </c>
    </row>
    <row r="1157">
      <c r="A1157" s="3" t="inlineStr">
        <is>
          <t>KNA.distn.dec.ove.mean.10</t>
        </is>
      </c>
      <c r="B1157" s="3" t="inlineStr">
        <is>
          <t>KNA</t>
        </is>
      </c>
      <c r="C1157" s="3" t="n">
        <v>2005</v>
      </c>
      <c r="D1157" s="3" t="inlineStr">
        <is>
          <t>Overall</t>
        </is>
      </c>
      <c r="E1157" s="3" t="inlineStr">
        <is>
          <t>Deciles</t>
        </is>
      </c>
      <c r="F1157" s="3" t="inlineStr">
        <is>
          <t>mean</t>
        </is>
      </c>
      <c r="G1157" s="3" t="n">
        <v>10</v>
      </c>
      <c r="H1157" s="3" t="n">
        <v>-0.7819935831617801</v>
      </c>
      <c r="I1157" s="3" t="n">
        <v>-0.7819935831617801</v>
      </c>
      <c r="J1157" s="3" t="n">
        <v>-0.8477488045996808</v>
      </c>
      <c r="K1157" s="3" t="n">
        <v>-0.8477488045996808</v>
      </c>
      <c r="L1157" s="3" t="n">
        <v>-0.7819935831617801</v>
      </c>
      <c r="M1157" s="3" t="n">
        <v>-0.7819935831617801</v>
      </c>
      <c r="N1157" s="3" t="n">
        <v>-0.7819935831617801</v>
      </c>
      <c r="O1157" s="3" t="n">
        <v>-0.7819935831617801</v>
      </c>
      <c r="P1157" s="3" t="n">
        <v>-0.7819935831617801</v>
      </c>
      <c r="Q1157" s="3" t="n">
        <v>-0.7819935831617801</v>
      </c>
      <c r="R1157" s="3" t="n">
        <v>-0.7700191178220384</v>
      </c>
      <c r="S1157" s="3" t="n">
        <v>-0.9684819490351575</v>
      </c>
      <c r="T1157" s="3" t="n">
        <v>-0.70814722142321</v>
      </c>
      <c r="U1157" s="3" t="n">
        <v>-0.8477488045996808</v>
      </c>
      <c r="V1157" s="3" t="n">
        <v>-0.6756977857427394</v>
      </c>
      <c r="W1157" s="3" t="n">
        <v>-0.4928101326556916</v>
      </c>
      <c r="X1157" s="3" t="n">
        <v>-0.9658704755154062</v>
      </c>
      <c r="Y1157" s="3" t="n">
        <v>-0.7819935831617801</v>
      </c>
      <c r="Z1157" s="3" t="n">
        <v>-0.9684819490351575</v>
      </c>
      <c r="AA1157" s="3" t="n">
        <v>-0.9684819490351575</v>
      </c>
      <c r="AB1157" s="3" t="n">
        <v>-0.9658704755154062</v>
      </c>
      <c r="AC1157" s="3" t="n">
        <v>-1.04035159628442</v>
      </c>
      <c r="AD1157" s="3" t="n">
        <v>-0.8477488045996808</v>
      </c>
      <c r="AE1157" s="3" t="n">
        <v>-0.8477488045996808</v>
      </c>
    </row>
    <row r="1158">
      <c r="A1158" s="3" t="inlineStr">
        <is>
          <t>KNA.distn.bkt.ove.mean.9999</t>
        </is>
      </c>
      <c r="B1158" s="3" t="inlineStr">
        <is>
          <t>KNA</t>
        </is>
      </c>
      <c r="C1158" s="3" t="n">
        <v>2005</v>
      </c>
      <c r="D1158" s="3" t="inlineStr">
        <is>
          <t>Overall</t>
        </is>
      </c>
      <c r="E1158" s="3" t="inlineStr">
        <is>
          <t>Basket</t>
        </is>
      </c>
      <c r="F1158" s="3" t="inlineStr">
        <is>
          <t>mean</t>
        </is>
      </c>
      <c r="G1158" s="3" t="n">
        <v>9999</v>
      </c>
      <c r="H1158" s="3" t="n">
        <v>-0.7836013613863194</v>
      </c>
      <c r="I1158" s="3" t="n">
        <v>-0.7836013613863194</v>
      </c>
      <c r="J1158" s="3" t="n">
        <v>-0.8590307616172953</v>
      </c>
      <c r="K1158" s="3" t="n">
        <v>-0.8590307616172953</v>
      </c>
      <c r="L1158" s="3" t="n">
        <v>-0.7836013613863194</v>
      </c>
      <c r="M1158" s="3" t="n">
        <v>-0.7836013613863194</v>
      </c>
      <c r="N1158" s="3" t="n">
        <v>-0.7836013613863194</v>
      </c>
      <c r="O1158" s="3" t="n">
        <v>-0.7836013613863194</v>
      </c>
      <c r="P1158" s="3" t="n">
        <v>-0.7836013613863194</v>
      </c>
      <c r="Q1158" s="3" t="n">
        <v>-0.7836013613863194</v>
      </c>
      <c r="R1158" s="3" t="n">
        <v>-0.7708828220976159</v>
      </c>
      <c r="S1158" s="3" t="n">
        <v>-1.097007578991829</v>
      </c>
      <c r="T1158" s="3" t="n">
        <v>-0.7085544974245923</v>
      </c>
      <c r="U1158" s="3" t="n">
        <v>-0.8590307616172953</v>
      </c>
      <c r="V1158" s="3" t="n">
        <v>-0.6772896647453308</v>
      </c>
      <c r="W1158" s="3" t="n">
        <v>-0.5109122699879586</v>
      </c>
      <c r="X1158" s="3" t="n">
        <v>-1.079493910708326</v>
      </c>
      <c r="Y1158" s="3" t="n">
        <v>-0.7836013613863194</v>
      </c>
      <c r="Z1158" s="3" t="n">
        <v>-1.097007578991829</v>
      </c>
      <c r="AA1158" s="3" t="n">
        <v>-1.097007578991829</v>
      </c>
      <c r="AB1158" s="3" t="n">
        <v>-1.079493910708326</v>
      </c>
      <c r="AC1158" s="3" t="n">
        <v>-1.359592239907447</v>
      </c>
      <c r="AD1158" s="3" t="n">
        <v>-0.8590307616172953</v>
      </c>
      <c r="AE1158" s="3" t="n">
        <v>-0.8590307616172953</v>
      </c>
    </row>
    <row r="1159">
      <c r="A1159" s="3" t="inlineStr">
        <is>
          <t>KOR.distn.dec.ove.mean.1</t>
        </is>
      </c>
      <c r="B1159" s="3" t="inlineStr">
        <is>
          <t>KOR</t>
        </is>
      </c>
      <c r="C1159" s="3" t="n">
        <v>2005</v>
      </c>
      <c r="D1159" s="3" t="inlineStr">
        <is>
          <t>Overall</t>
        </is>
      </c>
      <c r="E1159" s="3" t="inlineStr">
        <is>
          <t>Deciles</t>
        </is>
      </c>
      <c r="F1159" s="3" t="inlineStr">
        <is>
          <t>mean</t>
        </is>
      </c>
      <c r="G1159" s="3" t="n">
        <v>1</v>
      </c>
      <c r="H1159" s="3" t="n">
        <v>-0.7862249612808228</v>
      </c>
      <c r="I1159" s="3" t="n">
        <v>-0.7862249612808228</v>
      </c>
      <c r="J1159" s="3" t="n">
        <v>-0.8805490136146545</v>
      </c>
      <c r="K1159" s="3" t="n">
        <v>-0.8805490136146545</v>
      </c>
      <c r="L1159" s="3" t="n">
        <v>-0.7862249612808228</v>
      </c>
      <c r="M1159" s="3" t="n">
        <v>-0.7862249612808228</v>
      </c>
      <c r="N1159" s="3" t="n">
        <v>-0.7862249612808228</v>
      </c>
      <c r="O1159" s="3" t="n">
        <v>-0.7862249612808228</v>
      </c>
      <c r="P1159" s="3" t="n">
        <v>-0.7862249612808228</v>
      </c>
      <c r="Q1159" s="3" t="n">
        <v>-0.7862249612808228</v>
      </c>
      <c r="R1159" s="3" t="n">
        <v>-0.772466242313385</v>
      </c>
      <c r="S1159" s="3" t="n">
        <v>-1.36835241317749</v>
      </c>
      <c r="T1159" s="3" t="n">
        <v>-0.7094525694847107</v>
      </c>
      <c r="U1159" s="3" t="n">
        <v>-0.8805490136146545</v>
      </c>
      <c r="V1159" s="3" t="n">
        <v>-0.6799138784408569</v>
      </c>
      <c r="W1159" s="3" t="n">
        <v>-0.5228099226951599</v>
      </c>
      <c r="X1159" s="3" t="n">
        <v>-1.317775011062622</v>
      </c>
      <c r="Y1159" s="3" t="n">
        <v>-0.7862249612808228</v>
      </c>
      <c r="Z1159" s="3" t="n">
        <v>-1.36835241317749</v>
      </c>
      <c r="AA1159" s="3" t="n">
        <v>-1.36835241317749</v>
      </c>
      <c r="AB1159" s="3" t="n">
        <v>-1.317775011062622</v>
      </c>
      <c r="AC1159" s="3" t="n">
        <v>-2.029310703277588</v>
      </c>
      <c r="AD1159" s="3" t="n">
        <v>-0.8805490136146545</v>
      </c>
      <c r="AE1159" s="3" t="n">
        <v>-0.8805490136146545</v>
      </c>
    </row>
    <row r="1160">
      <c r="A1160" s="3" t="inlineStr">
        <is>
          <t>KOR.distn.dec.ove.mean.2</t>
        </is>
      </c>
      <c r="B1160" s="3" t="inlineStr">
        <is>
          <t>KOR</t>
        </is>
      </c>
      <c r="C1160" s="3" t="n">
        <v>2005</v>
      </c>
      <c r="D1160" s="3" t="inlineStr">
        <is>
          <t>Overall</t>
        </is>
      </c>
      <c r="E1160" s="3" t="inlineStr">
        <is>
          <t>Deciles</t>
        </is>
      </c>
      <c r="F1160" s="3" t="inlineStr">
        <is>
          <t>mean</t>
        </is>
      </c>
      <c r="G1160" s="3" t="n">
        <v>2</v>
      </c>
      <c r="H1160" s="3" t="n">
        <v>-0.7862249612808228</v>
      </c>
      <c r="I1160" s="3" t="n">
        <v>-0.7862249612808228</v>
      </c>
      <c r="J1160" s="3" t="n">
        <v>-0.8805490136146545</v>
      </c>
      <c r="K1160" s="3" t="n">
        <v>-0.8805490136146545</v>
      </c>
      <c r="L1160" s="3" t="n">
        <v>-0.7862249612808228</v>
      </c>
      <c r="M1160" s="3" t="n">
        <v>-0.7862249612808228</v>
      </c>
      <c r="N1160" s="3" t="n">
        <v>-0.7862249612808228</v>
      </c>
      <c r="O1160" s="3" t="n">
        <v>-0.7862249612808228</v>
      </c>
      <c r="P1160" s="3" t="n">
        <v>-0.7862249612808228</v>
      </c>
      <c r="Q1160" s="3" t="n">
        <v>-0.7862249612808228</v>
      </c>
      <c r="R1160" s="3" t="n">
        <v>-0.772466242313385</v>
      </c>
      <c r="S1160" s="3" t="n">
        <v>-1.36835241317749</v>
      </c>
      <c r="T1160" s="3" t="n">
        <v>-0.7094525694847107</v>
      </c>
      <c r="U1160" s="3" t="n">
        <v>-0.8805490136146545</v>
      </c>
      <c r="V1160" s="3" t="n">
        <v>-0.6799138784408569</v>
      </c>
      <c r="W1160" s="3" t="n">
        <v>-0.5228099226951599</v>
      </c>
      <c r="X1160" s="3" t="n">
        <v>-1.317775011062622</v>
      </c>
      <c r="Y1160" s="3" t="n">
        <v>-0.7862249612808228</v>
      </c>
      <c r="Z1160" s="3" t="n">
        <v>-1.36835241317749</v>
      </c>
      <c r="AA1160" s="3" t="n">
        <v>-1.36835241317749</v>
      </c>
      <c r="AB1160" s="3" t="n">
        <v>-1.317775011062622</v>
      </c>
      <c r="AC1160" s="3" t="n">
        <v>-2.029310703277588</v>
      </c>
      <c r="AD1160" s="3" t="n">
        <v>-0.8805490136146545</v>
      </c>
      <c r="AE1160" s="3" t="n">
        <v>-0.8805490136146545</v>
      </c>
    </row>
    <row r="1161">
      <c r="A1161" s="3" t="inlineStr">
        <is>
          <t>KOR.distn.dec.ove.mean.3</t>
        </is>
      </c>
      <c r="B1161" s="3" t="inlineStr">
        <is>
          <t>KOR</t>
        </is>
      </c>
      <c r="C1161" s="3" t="n">
        <v>2005</v>
      </c>
      <c r="D1161" s="3" t="inlineStr">
        <is>
          <t>Overall</t>
        </is>
      </c>
      <c r="E1161" s="3" t="inlineStr">
        <is>
          <t>Deciles</t>
        </is>
      </c>
      <c r="F1161" s="3" t="inlineStr">
        <is>
          <t>mean</t>
        </is>
      </c>
      <c r="G1161" s="3" t="n">
        <v>3</v>
      </c>
      <c r="H1161" s="3" t="n">
        <v>-0.7862249612808228</v>
      </c>
      <c r="I1161" s="3" t="n">
        <v>-0.7862249612808228</v>
      </c>
      <c r="J1161" s="3" t="n">
        <v>-0.8805490136146545</v>
      </c>
      <c r="K1161" s="3" t="n">
        <v>-0.8805490136146545</v>
      </c>
      <c r="L1161" s="3" t="n">
        <v>-0.7862249612808228</v>
      </c>
      <c r="M1161" s="3" t="n">
        <v>-0.7862249612808228</v>
      </c>
      <c r="N1161" s="3" t="n">
        <v>-0.7862249612808228</v>
      </c>
      <c r="O1161" s="3" t="n">
        <v>-0.7862249612808228</v>
      </c>
      <c r="P1161" s="3" t="n">
        <v>-0.7862249612808228</v>
      </c>
      <c r="Q1161" s="3" t="n">
        <v>-0.7862249612808228</v>
      </c>
      <c r="R1161" s="3" t="n">
        <v>-0.772466242313385</v>
      </c>
      <c r="S1161" s="3" t="n">
        <v>-1.36835241317749</v>
      </c>
      <c r="T1161" s="3" t="n">
        <v>-0.7094525694847107</v>
      </c>
      <c r="U1161" s="3" t="n">
        <v>-0.8805490136146545</v>
      </c>
      <c r="V1161" s="3" t="n">
        <v>-0.6799138784408569</v>
      </c>
      <c r="W1161" s="3" t="n">
        <v>-0.5228099226951599</v>
      </c>
      <c r="X1161" s="3" t="n">
        <v>-1.317775011062622</v>
      </c>
      <c r="Y1161" s="3" t="n">
        <v>-0.7862249612808228</v>
      </c>
      <c r="Z1161" s="3" t="n">
        <v>-1.36835241317749</v>
      </c>
      <c r="AA1161" s="3" t="n">
        <v>-1.36835241317749</v>
      </c>
      <c r="AB1161" s="3" t="n">
        <v>-1.317775011062622</v>
      </c>
      <c r="AC1161" s="3" t="n">
        <v>-2.029310703277588</v>
      </c>
      <c r="AD1161" s="3" t="n">
        <v>-0.8805490136146545</v>
      </c>
      <c r="AE1161" s="3" t="n">
        <v>-0.8805490136146545</v>
      </c>
    </row>
    <row r="1162">
      <c r="A1162" s="3" t="inlineStr">
        <is>
          <t>KOR.distn.dec.ove.mean.4</t>
        </is>
      </c>
      <c r="B1162" s="3" t="inlineStr">
        <is>
          <t>KOR</t>
        </is>
      </c>
      <c r="C1162" s="3" t="n">
        <v>2005</v>
      </c>
      <c r="D1162" s="3" t="inlineStr">
        <is>
          <t>Overall</t>
        </is>
      </c>
      <c r="E1162" s="3" t="inlineStr">
        <is>
          <t>Deciles</t>
        </is>
      </c>
      <c r="F1162" s="3" t="inlineStr">
        <is>
          <t>mean</t>
        </is>
      </c>
      <c r="G1162" s="3" t="n">
        <v>4</v>
      </c>
      <c r="H1162" s="3" t="n">
        <v>-0.7799999713897705</v>
      </c>
      <c r="I1162" s="3" t="n">
        <v>-0.7799999713897705</v>
      </c>
      <c r="J1162" s="3" t="n">
        <v>-0.8379999995231628</v>
      </c>
      <c r="K1162" s="3" t="n">
        <v>-0.8379999995231628</v>
      </c>
      <c r="L1162" s="3" t="n">
        <v>-0.7799999713897705</v>
      </c>
      <c r="M1162" s="3" t="n">
        <v>-0.7799999713897705</v>
      </c>
      <c r="N1162" s="3" t="n">
        <v>-0.7799999713897705</v>
      </c>
      <c r="O1162" s="3" t="n">
        <v>-0.7799999713897705</v>
      </c>
      <c r="P1162" s="3" t="n">
        <v>-0.7799999713897705</v>
      </c>
      <c r="Q1162" s="3" t="n">
        <v>-0.7799999713897705</v>
      </c>
      <c r="R1162" s="3" t="n">
        <v>-0.7689999938011169</v>
      </c>
      <c r="S1162" s="3" t="n">
        <v>-0.9319999814033508</v>
      </c>
      <c r="T1162" s="3" t="n">
        <v>-0.7080000042915344</v>
      </c>
      <c r="U1162" s="3" t="n">
        <v>-0.8379999995231628</v>
      </c>
      <c r="V1162" s="3" t="n">
        <v>-0.6729999780654907</v>
      </c>
      <c r="W1162" s="3" t="n">
        <v>-0.4399999976158142</v>
      </c>
      <c r="X1162" s="3" t="n">
        <v>-0.9300000071525574</v>
      </c>
      <c r="Y1162" s="3" t="n">
        <v>-0.7799999713897705</v>
      </c>
      <c r="Z1162" s="3" t="n">
        <v>-0.9319999814033508</v>
      </c>
      <c r="AA1162" s="3" t="n">
        <v>-0.9319999814033508</v>
      </c>
      <c r="AB1162" s="3" t="n">
        <v>-0.9300000071525574</v>
      </c>
      <c r="AC1162" s="3" t="n">
        <v>-0.9800000190734863</v>
      </c>
      <c r="AD1162" s="3" t="n">
        <v>-0.8379999995231628</v>
      </c>
      <c r="AE1162" s="3" t="n">
        <v>-0.8379999995231628</v>
      </c>
    </row>
    <row r="1163">
      <c r="A1163" s="3" t="inlineStr">
        <is>
          <t>KOR.distn.dec.ove.mean.5</t>
        </is>
      </c>
      <c r="B1163" s="3" t="inlineStr">
        <is>
          <t>KOR</t>
        </is>
      </c>
      <c r="C1163" s="3" t="n">
        <v>2005</v>
      </c>
      <c r="D1163" s="3" t="inlineStr">
        <is>
          <t>Overall</t>
        </is>
      </c>
      <c r="E1163" s="3" t="inlineStr">
        <is>
          <t>Deciles</t>
        </is>
      </c>
      <c r="F1163" s="3" t="inlineStr">
        <is>
          <t>mean</t>
        </is>
      </c>
      <c r="G1163" s="3" t="n">
        <v>5</v>
      </c>
      <c r="H1163" s="3" t="n">
        <v>-0.7799999713897705</v>
      </c>
      <c r="I1163" s="3" t="n">
        <v>-0.7799999713897705</v>
      </c>
      <c r="J1163" s="3" t="n">
        <v>-0.8379999995231628</v>
      </c>
      <c r="K1163" s="3" t="n">
        <v>-0.8379999995231628</v>
      </c>
      <c r="L1163" s="3" t="n">
        <v>-0.7799999713897705</v>
      </c>
      <c r="M1163" s="3" t="n">
        <v>-0.7799999713897705</v>
      </c>
      <c r="N1163" s="3" t="n">
        <v>-0.7799999713897705</v>
      </c>
      <c r="O1163" s="3" t="n">
        <v>-0.7799999713897705</v>
      </c>
      <c r="P1163" s="3" t="n">
        <v>-0.7799999713897705</v>
      </c>
      <c r="Q1163" s="3" t="n">
        <v>-0.7799999713897705</v>
      </c>
      <c r="R1163" s="3" t="n">
        <v>-0.7689999938011169</v>
      </c>
      <c r="S1163" s="3" t="n">
        <v>-0.9319999814033508</v>
      </c>
      <c r="T1163" s="3" t="n">
        <v>-0.7080000042915344</v>
      </c>
      <c r="U1163" s="3" t="n">
        <v>-0.8379999995231628</v>
      </c>
      <c r="V1163" s="3" t="n">
        <v>-0.6729999780654907</v>
      </c>
      <c r="W1163" s="3" t="n">
        <v>-0.4399999976158142</v>
      </c>
      <c r="X1163" s="3" t="n">
        <v>-0.9300000071525574</v>
      </c>
      <c r="Y1163" s="3" t="n">
        <v>-0.7799999713897705</v>
      </c>
      <c r="Z1163" s="3" t="n">
        <v>-0.9319999814033508</v>
      </c>
      <c r="AA1163" s="3" t="n">
        <v>-0.9319999814033508</v>
      </c>
      <c r="AB1163" s="3" t="n">
        <v>-0.9300000071525574</v>
      </c>
      <c r="AC1163" s="3" t="n">
        <v>-0.9800000190734863</v>
      </c>
      <c r="AD1163" s="3" t="n">
        <v>-0.8379999995231628</v>
      </c>
      <c r="AE1163" s="3" t="n">
        <v>-0.8379999995231628</v>
      </c>
    </row>
    <row r="1164">
      <c r="A1164" s="3" t="inlineStr">
        <is>
          <t>KOR.distn.dec.ove.mean.6</t>
        </is>
      </c>
      <c r="B1164" s="3" t="inlineStr">
        <is>
          <t>KOR</t>
        </is>
      </c>
      <c r="C1164" s="3" t="n">
        <v>2005</v>
      </c>
      <c r="D1164" s="3" t="inlineStr">
        <is>
          <t>Overall</t>
        </is>
      </c>
      <c r="E1164" s="3" t="inlineStr">
        <is>
          <t>Deciles</t>
        </is>
      </c>
      <c r="F1164" s="3" t="inlineStr">
        <is>
          <t>mean</t>
        </is>
      </c>
      <c r="G1164" s="3" t="n">
        <v>6</v>
      </c>
      <c r="H1164" s="3" t="n">
        <v>-0.7799999713897705</v>
      </c>
      <c r="I1164" s="3" t="n">
        <v>-0.7799999713897705</v>
      </c>
      <c r="J1164" s="3" t="n">
        <v>-0.8379999995231628</v>
      </c>
      <c r="K1164" s="3" t="n">
        <v>-0.8379999995231628</v>
      </c>
      <c r="L1164" s="3" t="n">
        <v>-0.7799999713897705</v>
      </c>
      <c r="M1164" s="3" t="n">
        <v>-0.7799999713897705</v>
      </c>
      <c r="N1164" s="3" t="n">
        <v>-0.7799999713897705</v>
      </c>
      <c r="O1164" s="3" t="n">
        <v>-0.7799999713897705</v>
      </c>
      <c r="P1164" s="3" t="n">
        <v>-0.7799999713897705</v>
      </c>
      <c r="Q1164" s="3" t="n">
        <v>-0.7799999713897705</v>
      </c>
      <c r="R1164" s="3" t="n">
        <v>-0.7689999938011169</v>
      </c>
      <c r="S1164" s="3" t="n">
        <v>-0.9319999814033508</v>
      </c>
      <c r="T1164" s="3" t="n">
        <v>-0.7080000042915344</v>
      </c>
      <c r="U1164" s="3" t="n">
        <v>-0.8379999995231628</v>
      </c>
      <c r="V1164" s="3" t="n">
        <v>-0.6729999780654907</v>
      </c>
      <c r="W1164" s="3" t="n">
        <v>-0.4399999976158142</v>
      </c>
      <c r="X1164" s="3" t="n">
        <v>-0.9300000071525574</v>
      </c>
      <c r="Y1164" s="3" t="n">
        <v>-0.7799999713897705</v>
      </c>
      <c r="Z1164" s="3" t="n">
        <v>-0.9319999814033508</v>
      </c>
      <c r="AA1164" s="3" t="n">
        <v>-0.9319999814033508</v>
      </c>
      <c r="AB1164" s="3" t="n">
        <v>-0.9300000071525574</v>
      </c>
      <c r="AC1164" s="3" t="n">
        <v>-0.9800000190734863</v>
      </c>
      <c r="AD1164" s="3" t="n">
        <v>-0.8379999995231628</v>
      </c>
      <c r="AE1164" s="3" t="n">
        <v>-0.8379999995231628</v>
      </c>
    </row>
    <row r="1165">
      <c r="A1165" s="3" t="inlineStr">
        <is>
          <t>KOR.distn.dec.ove.mean.7</t>
        </is>
      </c>
      <c r="B1165" s="3" t="inlineStr">
        <is>
          <t>KOR</t>
        </is>
      </c>
      <c r="C1165" s="3" t="n">
        <v>2005</v>
      </c>
      <c r="D1165" s="3" t="inlineStr">
        <is>
          <t>Overall</t>
        </is>
      </c>
      <c r="E1165" s="3" t="inlineStr">
        <is>
          <t>Deciles</t>
        </is>
      </c>
      <c r="F1165" s="3" t="inlineStr">
        <is>
          <t>mean</t>
        </is>
      </c>
      <c r="G1165" s="3" t="n">
        <v>7</v>
      </c>
      <c r="H1165" s="3" t="n">
        <v>-0.7799999713897705</v>
      </c>
      <c r="I1165" s="3" t="n">
        <v>-0.7799999713897705</v>
      </c>
      <c r="J1165" s="3" t="n">
        <v>-0.8379999995231628</v>
      </c>
      <c r="K1165" s="3" t="n">
        <v>-0.8379999995231628</v>
      </c>
      <c r="L1165" s="3" t="n">
        <v>-0.7799999713897705</v>
      </c>
      <c r="M1165" s="3" t="n">
        <v>-0.7799999713897705</v>
      </c>
      <c r="N1165" s="3" t="n">
        <v>-0.7799999713897705</v>
      </c>
      <c r="O1165" s="3" t="n">
        <v>-0.7799999713897705</v>
      </c>
      <c r="P1165" s="3" t="n">
        <v>-0.7799999713897705</v>
      </c>
      <c r="Q1165" s="3" t="n">
        <v>-0.7799999713897705</v>
      </c>
      <c r="R1165" s="3" t="n">
        <v>-0.7689999938011169</v>
      </c>
      <c r="S1165" s="3" t="n">
        <v>-0.9319999814033508</v>
      </c>
      <c r="T1165" s="3" t="n">
        <v>-0.7080000042915344</v>
      </c>
      <c r="U1165" s="3" t="n">
        <v>-0.8379999995231628</v>
      </c>
      <c r="V1165" s="3" t="n">
        <v>-0.6729999780654907</v>
      </c>
      <c r="W1165" s="3" t="n">
        <v>-0.4399999976158142</v>
      </c>
      <c r="X1165" s="3" t="n">
        <v>-0.9300000071525574</v>
      </c>
      <c r="Y1165" s="3" t="n">
        <v>-0.7799999713897705</v>
      </c>
      <c r="Z1165" s="3" t="n">
        <v>-0.9319999814033508</v>
      </c>
      <c r="AA1165" s="3" t="n">
        <v>-0.9319999814033508</v>
      </c>
      <c r="AB1165" s="3" t="n">
        <v>-0.9300000071525574</v>
      </c>
      <c r="AC1165" s="3" t="n">
        <v>-0.9800000190734863</v>
      </c>
      <c r="AD1165" s="3" t="n">
        <v>-0.8379999995231628</v>
      </c>
      <c r="AE1165" s="3" t="n">
        <v>-0.8379999995231628</v>
      </c>
    </row>
    <row r="1166">
      <c r="A1166" s="3" t="inlineStr">
        <is>
          <t>KOR.distn.dec.ove.mean.8</t>
        </is>
      </c>
      <c r="B1166" s="3" t="inlineStr">
        <is>
          <t>KOR</t>
        </is>
      </c>
      <c r="C1166" s="3" t="n">
        <v>2005</v>
      </c>
      <c r="D1166" s="3" t="inlineStr">
        <is>
          <t>Overall</t>
        </is>
      </c>
      <c r="E1166" s="3" t="inlineStr">
        <is>
          <t>Deciles</t>
        </is>
      </c>
      <c r="F1166" s="3" t="inlineStr">
        <is>
          <t>mean</t>
        </is>
      </c>
      <c r="G1166" s="3" t="n">
        <v>8</v>
      </c>
      <c r="H1166" s="3" t="n">
        <v>-0.7803757786750793</v>
      </c>
      <c r="I1166" s="3" t="n">
        <v>-0.7803757786750793</v>
      </c>
      <c r="J1166" s="3" t="n">
        <v>-0.8402605652809143</v>
      </c>
      <c r="K1166" s="3" t="n">
        <v>-0.8402605652809143</v>
      </c>
      <c r="L1166" s="3" t="n">
        <v>-0.7803757786750793</v>
      </c>
      <c r="M1166" s="3" t="n">
        <v>-0.7803757786750793</v>
      </c>
      <c r="N1166" s="3" t="n">
        <v>-0.7803757786750793</v>
      </c>
      <c r="O1166" s="3" t="n">
        <v>-0.7803757786750793</v>
      </c>
      <c r="P1166" s="3" t="n">
        <v>-0.7803757786750793</v>
      </c>
      <c r="Q1166" s="3" t="n">
        <v>-0.7803757786750793</v>
      </c>
      <c r="R1166" s="3" t="n">
        <v>-0.7692528963088989</v>
      </c>
      <c r="S1166" s="3" t="n">
        <v>-0.9406723380088806</v>
      </c>
      <c r="T1166" s="3" t="n">
        <v>-0.7080408334732056</v>
      </c>
      <c r="U1166" s="3" t="n">
        <v>-0.8402605652809143</v>
      </c>
      <c r="V1166" s="3" t="n">
        <v>-0.6736957430839539</v>
      </c>
      <c r="W1166" s="3" t="n">
        <v>-0.4517826735973358</v>
      </c>
      <c r="X1166" s="3" t="n">
        <v>-0.938474178314209</v>
      </c>
      <c r="Y1166" s="3" t="n">
        <v>-0.7803757786750793</v>
      </c>
      <c r="Z1166" s="3" t="n">
        <v>-0.9406723380088806</v>
      </c>
      <c r="AA1166" s="3" t="n">
        <v>-0.9406723380088806</v>
      </c>
      <c r="AB1166" s="3" t="n">
        <v>-0.938474178314209</v>
      </c>
      <c r="AC1166" s="3" t="n">
        <v>-0.9939761161804199</v>
      </c>
      <c r="AD1166" s="3" t="n">
        <v>-0.8402605652809143</v>
      </c>
      <c r="AE1166" s="3" t="n">
        <v>-0.8402605652809143</v>
      </c>
    </row>
    <row r="1167">
      <c r="A1167" s="3" t="inlineStr">
        <is>
          <t>KOR.distn.dec.ove.mean.9</t>
        </is>
      </c>
      <c r="B1167" s="3" t="inlineStr">
        <is>
          <t>KOR</t>
        </is>
      </c>
      <c r="C1167" s="3" t="n">
        <v>2005</v>
      </c>
      <c r="D1167" s="3" t="inlineStr">
        <is>
          <t>Overall</t>
        </is>
      </c>
      <c r="E1167" s="3" t="inlineStr">
        <is>
          <t>Deciles</t>
        </is>
      </c>
      <c r="F1167" s="3" t="inlineStr">
        <is>
          <t>mean</t>
        </is>
      </c>
      <c r="G1167" s="3" t="n">
        <v>9</v>
      </c>
      <c r="H1167" s="3" t="n">
        <v>-0.7803757786750793</v>
      </c>
      <c r="I1167" s="3" t="n">
        <v>-0.7803757786750793</v>
      </c>
      <c r="J1167" s="3" t="n">
        <v>-0.8402605652809143</v>
      </c>
      <c r="K1167" s="3" t="n">
        <v>-0.8402605652809143</v>
      </c>
      <c r="L1167" s="3" t="n">
        <v>-0.7803757786750793</v>
      </c>
      <c r="M1167" s="3" t="n">
        <v>-0.7803757786750793</v>
      </c>
      <c r="N1167" s="3" t="n">
        <v>-0.7803757786750793</v>
      </c>
      <c r="O1167" s="3" t="n">
        <v>-0.7803757786750793</v>
      </c>
      <c r="P1167" s="3" t="n">
        <v>-0.7803757786750793</v>
      </c>
      <c r="Q1167" s="3" t="n">
        <v>-0.7803757786750793</v>
      </c>
      <c r="R1167" s="3" t="n">
        <v>-0.7692528963088989</v>
      </c>
      <c r="S1167" s="3" t="n">
        <v>-0.9406723380088806</v>
      </c>
      <c r="T1167" s="3" t="n">
        <v>-0.7080408334732056</v>
      </c>
      <c r="U1167" s="3" t="n">
        <v>-0.8402605652809143</v>
      </c>
      <c r="V1167" s="3" t="n">
        <v>-0.6736957430839539</v>
      </c>
      <c r="W1167" s="3" t="n">
        <v>-0.4517826735973358</v>
      </c>
      <c r="X1167" s="3" t="n">
        <v>-0.938474178314209</v>
      </c>
      <c r="Y1167" s="3" t="n">
        <v>-0.7803757786750793</v>
      </c>
      <c r="Z1167" s="3" t="n">
        <v>-0.9406723380088806</v>
      </c>
      <c r="AA1167" s="3" t="n">
        <v>-0.9406723380088806</v>
      </c>
      <c r="AB1167" s="3" t="n">
        <v>-0.938474178314209</v>
      </c>
      <c r="AC1167" s="3" t="n">
        <v>-0.9939761161804199</v>
      </c>
      <c r="AD1167" s="3" t="n">
        <v>-0.8402605652809143</v>
      </c>
      <c r="AE1167" s="3" t="n">
        <v>-0.8402605652809143</v>
      </c>
    </row>
    <row r="1168">
      <c r="A1168" s="3" t="inlineStr">
        <is>
          <t>KOR.distn.dec.ove.mean.10</t>
        </is>
      </c>
      <c r="B1168" s="3" t="inlineStr">
        <is>
          <t>KOR</t>
        </is>
      </c>
      <c r="C1168" s="3" t="n">
        <v>2005</v>
      </c>
      <c r="D1168" s="3" t="inlineStr">
        <is>
          <t>Overall</t>
        </is>
      </c>
      <c r="E1168" s="3" t="inlineStr">
        <is>
          <t>Deciles</t>
        </is>
      </c>
      <c r="F1168" s="3" t="inlineStr">
        <is>
          <t>mean</t>
        </is>
      </c>
      <c r="G1168" s="3" t="n">
        <v>10</v>
      </c>
      <c r="H1168" s="3" t="n">
        <v>-0.7803757786750793</v>
      </c>
      <c r="I1168" s="3" t="n">
        <v>-0.7803757786750793</v>
      </c>
      <c r="J1168" s="3" t="n">
        <v>-0.8402605652809143</v>
      </c>
      <c r="K1168" s="3" t="n">
        <v>-0.8402605652809143</v>
      </c>
      <c r="L1168" s="3" t="n">
        <v>-0.7803757786750793</v>
      </c>
      <c r="M1168" s="3" t="n">
        <v>-0.7803757786750793</v>
      </c>
      <c r="N1168" s="3" t="n">
        <v>-0.7803757786750793</v>
      </c>
      <c r="O1168" s="3" t="n">
        <v>-0.7803757786750793</v>
      </c>
      <c r="P1168" s="3" t="n">
        <v>-0.7803757786750793</v>
      </c>
      <c r="Q1168" s="3" t="n">
        <v>-0.7803757786750793</v>
      </c>
      <c r="R1168" s="3" t="n">
        <v>-0.7692528963088989</v>
      </c>
      <c r="S1168" s="3" t="n">
        <v>-0.9406723380088806</v>
      </c>
      <c r="T1168" s="3" t="n">
        <v>-0.7080408334732056</v>
      </c>
      <c r="U1168" s="3" t="n">
        <v>-0.8402605652809143</v>
      </c>
      <c r="V1168" s="3" t="n">
        <v>-0.6736957430839539</v>
      </c>
      <c r="W1168" s="3" t="n">
        <v>-0.4517826735973358</v>
      </c>
      <c r="X1168" s="3" t="n">
        <v>-0.938474178314209</v>
      </c>
      <c r="Y1168" s="3" t="n">
        <v>-0.7803757786750793</v>
      </c>
      <c r="Z1168" s="3" t="n">
        <v>-0.9406723380088806</v>
      </c>
      <c r="AA1168" s="3" t="n">
        <v>-0.9406723380088806</v>
      </c>
      <c r="AB1168" s="3" t="n">
        <v>-0.938474178314209</v>
      </c>
      <c r="AC1168" s="3" t="n">
        <v>-0.9939761161804199</v>
      </c>
      <c r="AD1168" s="3" t="n">
        <v>-0.8402605652809143</v>
      </c>
      <c r="AE1168" s="3" t="n">
        <v>-0.8402605652809143</v>
      </c>
    </row>
    <row r="1169">
      <c r="A1169" s="3" t="inlineStr">
        <is>
          <t>KOR.distn.bkt.ove.mean.9999</t>
        </is>
      </c>
      <c r="B1169" s="3" t="inlineStr">
        <is>
          <t>KOR</t>
        </is>
      </c>
      <c r="C1169" s="3" t="n">
        <v>2005</v>
      </c>
      <c r="D1169" s="3" t="inlineStr">
        <is>
          <t>Overall</t>
        </is>
      </c>
      <c r="E1169" s="3" t="inlineStr">
        <is>
          <t>Basket</t>
        </is>
      </c>
      <c r="F1169" s="3" t="inlineStr">
        <is>
          <t>mean</t>
        </is>
      </c>
      <c r="G1169" s="3" t="n">
        <v>9999</v>
      </c>
      <c r="H1169" s="3" t="n">
        <v>-0.7819802165031433</v>
      </c>
      <c r="I1169" s="3" t="n">
        <v>-0.7819802165031433</v>
      </c>
      <c r="J1169" s="3" t="n">
        <v>-0.8514428734779358</v>
      </c>
      <c r="K1169" s="3" t="n">
        <v>-0.8514428734779358</v>
      </c>
      <c r="L1169" s="3" t="n">
        <v>-0.7819802165031433</v>
      </c>
      <c r="M1169" s="3" t="n">
        <v>-0.7819802165031433</v>
      </c>
      <c r="N1169" s="3" t="n">
        <v>-0.7819802165031433</v>
      </c>
      <c r="O1169" s="3" t="n">
        <v>-0.7819802165031433</v>
      </c>
      <c r="P1169" s="3" t="n">
        <v>-0.7819802165031433</v>
      </c>
      <c r="Q1169" s="3" t="n">
        <v>-0.7819802165031433</v>
      </c>
      <c r="R1169" s="3" t="n">
        <v>-0.7701157331466675</v>
      </c>
      <c r="S1169" s="3" t="n">
        <v>-1.065507411956787</v>
      </c>
      <c r="T1169" s="3" t="n">
        <v>-0.708448052406311</v>
      </c>
      <c r="U1169" s="3" t="n">
        <v>-0.8514428734779358</v>
      </c>
      <c r="V1169" s="3" t="n">
        <v>-0.675282895565033</v>
      </c>
      <c r="W1169" s="3" t="n">
        <v>-0.4683777689933777</v>
      </c>
      <c r="X1169" s="3" t="n">
        <v>-1.048874735832214</v>
      </c>
      <c r="Y1169" s="3" t="n">
        <v>-0.7819802165031433</v>
      </c>
      <c r="Z1169" s="3" t="n">
        <v>-1.065507411956787</v>
      </c>
      <c r="AA1169" s="3" t="n">
        <v>-1.065507411956787</v>
      </c>
      <c r="AB1169" s="3" t="n">
        <v>-1.048874735832214</v>
      </c>
      <c r="AC1169" s="3" t="n">
        <v>-1.298986077308655</v>
      </c>
      <c r="AD1169" s="3" t="n">
        <v>-0.8514428734779358</v>
      </c>
      <c r="AE1169" s="3" t="n">
        <v>-0.8514428734779358</v>
      </c>
    </row>
    <row r="1170">
      <c r="A1170" s="3" t="inlineStr">
        <is>
          <t>KWT.distn.dec.ove.mean.1</t>
        </is>
      </c>
      <c r="B1170" s="3" t="inlineStr">
        <is>
          <t>KWT</t>
        </is>
      </c>
      <c r="C1170" s="3" t="n">
        <v>2005</v>
      </c>
      <c r="D1170" s="3" t="inlineStr">
        <is>
          <t>Overall</t>
        </is>
      </c>
      <c r="E1170" s="3" t="inlineStr">
        <is>
          <t>Deciles</t>
        </is>
      </c>
      <c r="F1170" s="3" t="inlineStr">
        <is>
          <t>mean</t>
        </is>
      </c>
      <c r="G1170" s="3" t="n">
        <v>1</v>
      </c>
      <c r="H1170" s="3" t="n">
        <v>-0.7892489433288574</v>
      </c>
      <c r="I1170" s="3" t="n">
        <v>-0.7892489433288574</v>
      </c>
      <c r="J1170" s="3" t="n">
        <v>-0.8963106274604797</v>
      </c>
      <c r="K1170" s="3" t="n">
        <v>-0.8963106274604797</v>
      </c>
      <c r="L1170" s="3" t="n">
        <v>-0.7892489433288574</v>
      </c>
      <c r="M1170" s="3" t="n">
        <v>-0.7892489433288574</v>
      </c>
      <c r="N1170" s="3" t="n">
        <v>-0.7892489433288574</v>
      </c>
      <c r="O1170" s="3" t="n">
        <v>-0.7892489433288574</v>
      </c>
      <c r="P1170" s="3" t="n">
        <v>-0.7892489433288574</v>
      </c>
      <c r="Q1170" s="3" t="n">
        <v>-0.7892489433288574</v>
      </c>
      <c r="R1170" s="3" t="n">
        <v>-0.7744752764701843</v>
      </c>
      <c r="S1170" s="3" t="n">
        <v>-1.456443786621094</v>
      </c>
      <c r="T1170" s="3" t="n">
        <v>-0.7104546427726746</v>
      </c>
      <c r="U1170" s="3" t="n">
        <v>-0.8963106274604797</v>
      </c>
      <c r="V1170" s="3" t="n">
        <v>-0.6839550137519836</v>
      </c>
      <c r="W1170" s="3" t="n">
        <v>-0.6119252443313599</v>
      </c>
      <c r="X1170" s="3" t="n">
        <v>-1.401375770568848</v>
      </c>
      <c r="Y1170" s="3" t="n">
        <v>-0.7892489433288574</v>
      </c>
      <c r="Z1170" s="3" t="n">
        <v>-1.456443786621094</v>
      </c>
      <c r="AA1170" s="3" t="n">
        <v>-1.456443786621094</v>
      </c>
      <c r="AB1170" s="3" t="n">
        <v>-1.401375770568848</v>
      </c>
      <c r="AC1170" s="3" t="n">
        <v>-2.238454103469849</v>
      </c>
      <c r="AD1170" s="3" t="n">
        <v>-0.8963106274604797</v>
      </c>
      <c r="AE1170" s="3" t="n">
        <v>-0.8963106274604797</v>
      </c>
    </row>
    <row r="1171">
      <c r="A1171" s="3" t="inlineStr">
        <is>
          <t>KWT.distn.dec.ove.mean.2</t>
        </is>
      </c>
      <c r="B1171" s="3" t="inlineStr">
        <is>
          <t>KWT</t>
        </is>
      </c>
      <c r="C1171" s="3" t="n">
        <v>2005</v>
      </c>
      <c r="D1171" s="3" t="inlineStr">
        <is>
          <t>Overall</t>
        </is>
      </c>
      <c r="E1171" s="3" t="inlineStr">
        <is>
          <t>Deciles</t>
        </is>
      </c>
      <c r="F1171" s="3" t="inlineStr">
        <is>
          <t>mean</t>
        </is>
      </c>
      <c r="G1171" s="3" t="n">
        <v>2</v>
      </c>
      <c r="H1171" s="3" t="n">
        <v>-0.7892489433288574</v>
      </c>
      <c r="I1171" s="3" t="n">
        <v>-0.7892489433288574</v>
      </c>
      <c r="J1171" s="3" t="n">
        <v>-0.8963106274604797</v>
      </c>
      <c r="K1171" s="3" t="n">
        <v>-0.8963106274604797</v>
      </c>
      <c r="L1171" s="3" t="n">
        <v>-0.7892489433288574</v>
      </c>
      <c r="M1171" s="3" t="n">
        <v>-0.7892489433288574</v>
      </c>
      <c r="N1171" s="3" t="n">
        <v>-0.7892489433288574</v>
      </c>
      <c r="O1171" s="3" t="n">
        <v>-0.7892489433288574</v>
      </c>
      <c r="P1171" s="3" t="n">
        <v>-0.7892489433288574</v>
      </c>
      <c r="Q1171" s="3" t="n">
        <v>-0.7892489433288574</v>
      </c>
      <c r="R1171" s="3" t="n">
        <v>-0.7744752764701843</v>
      </c>
      <c r="S1171" s="3" t="n">
        <v>-1.456443786621094</v>
      </c>
      <c r="T1171" s="3" t="n">
        <v>-0.7104546427726746</v>
      </c>
      <c r="U1171" s="3" t="n">
        <v>-0.8963106274604797</v>
      </c>
      <c r="V1171" s="3" t="n">
        <v>-0.6839550137519836</v>
      </c>
      <c r="W1171" s="3" t="n">
        <v>-0.6119252443313599</v>
      </c>
      <c r="X1171" s="3" t="n">
        <v>-1.401375770568848</v>
      </c>
      <c r="Y1171" s="3" t="n">
        <v>-0.7892489433288574</v>
      </c>
      <c r="Z1171" s="3" t="n">
        <v>-1.456443786621094</v>
      </c>
      <c r="AA1171" s="3" t="n">
        <v>-1.456443786621094</v>
      </c>
      <c r="AB1171" s="3" t="n">
        <v>-1.401375770568848</v>
      </c>
      <c r="AC1171" s="3" t="n">
        <v>-2.238454103469849</v>
      </c>
      <c r="AD1171" s="3" t="n">
        <v>-0.8963106274604797</v>
      </c>
      <c r="AE1171" s="3" t="n">
        <v>-0.8963106274604797</v>
      </c>
    </row>
    <row r="1172">
      <c r="A1172" s="3" t="inlineStr">
        <is>
          <t>KWT.distn.dec.ove.mean.3</t>
        </is>
      </c>
      <c r="B1172" s="3" t="inlineStr">
        <is>
          <t>KWT</t>
        </is>
      </c>
      <c r="C1172" s="3" t="n">
        <v>2005</v>
      </c>
      <c r="D1172" s="3" t="inlineStr">
        <is>
          <t>Overall</t>
        </is>
      </c>
      <c r="E1172" s="3" t="inlineStr">
        <is>
          <t>Deciles</t>
        </is>
      </c>
      <c r="F1172" s="3" t="inlineStr">
        <is>
          <t>mean</t>
        </is>
      </c>
      <c r="G1172" s="3" t="n">
        <v>3</v>
      </c>
      <c r="H1172" s="3" t="n">
        <v>-0.7892489433288574</v>
      </c>
      <c r="I1172" s="3" t="n">
        <v>-0.7892489433288574</v>
      </c>
      <c r="J1172" s="3" t="n">
        <v>-0.8963106274604797</v>
      </c>
      <c r="K1172" s="3" t="n">
        <v>-0.8963106274604797</v>
      </c>
      <c r="L1172" s="3" t="n">
        <v>-0.7892489433288574</v>
      </c>
      <c r="M1172" s="3" t="n">
        <v>-0.7892489433288574</v>
      </c>
      <c r="N1172" s="3" t="n">
        <v>-0.7892489433288574</v>
      </c>
      <c r="O1172" s="3" t="n">
        <v>-0.7892489433288574</v>
      </c>
      <c r="P1172" s="3" t="n">
        <v>-0.7892489433288574</v>
      </c>
      <c r="Q1172" s="3" t="n">
        <v>-0.7892489433288574</v>
      </c>
      <c r="R1172" s="3" t="n">
        <v>-0.7744752764701843</v>
      </c>
      <c r="S1172" s="3" t="n">
        <v>-1.456443786621094</v>
      </c>
      <c r="T1172" s="3" t="n">
        <v>-0.7104546427726746</v>
      </c>
      <c r="U1172" s="3" t="n">
        <v>-0.8963106274604797</v>
      </c>
      <c r="V1172" s="3" t="n">
        <v>-0.6839550137519836</v>
      </c>
      <c r="W1172" s="3" t="n">
        <v>-0.6119252443313599</v>
      </c>
      <c r="X1172" s="3" t="n">
        <v>-1.401375770568848</v>
      </c>
      <c r="Y1172" s="3" t="n">
        <v>-0.7892489433288574</v>
      </c>
      <c r="Z1172" s="3" t="n">
        <v>-1.456443786621094</v>
      </c>
      <c r="AA1172" s="3" t="n">
        <v>-1.456443786621094</v>
      </c>
      <c r="AB1172" s="3" t="n">
        <v>-1.401375770568848</v>
      </c>
      <c r="AC1172" s="3" t="n">
        <v>-2.238454103469849</v>
      </c>
      <c r="AD1172" s="3" t="n">
        <v>-0.8963106274604797</v>
      </c>
      <c r="AE1172" s="3" t="n">
        <v>-0.8963106274604797</v>
      </c>
    </row>
    <row r="1173">
      <c r="A1173" s="3" t="inlineStr">
        <is>
          <t>KWT.distn.dec.ove.mean.4</t>
        </is>
      </c>
      <c r="B1173" s="3" t="inlineStr">
        <is>
          <t>KWT</t>
        </is>
      </c>
      <c r="C1173" s="3" t="n">
        <v>2005</v>
      </c>
      <c r="D1173" s="3" t="inlineStr">
        <is>
          <t>Overall</t>
        </is>
      </c>
      <c r="E1173" s="3" t="inlineStr">
        <is>
          <t>Deciles</t>
        </is>
      </c>
      <c r="F1173" s="3" t="inlineStr">
        <is>
          <t>mean</t>
        </is>
      </c>
      <c r="G1173" s="3" t="n">
        <v>4</v>
      </c>
      <c r="H1173" s="3" t="n">
        <v>-0.7829999923706055</v>
      </c>
      <c r="I1173" s="3" t="n">
        <v>-0.7829999923706055</v>
      </c>
      <c r="J1173" s="3" t="n">
        <v>-0.8529999852180481</v>
      </c>
      <c r="K1173" s="3" t="n">
        <v>-0.8529999852180481</v>
      </c>
      <c r="L1173" s="3" t="n">
        <v>-0.7829999923706055</v>
      </c>
      <c r="M1173" s="3" t="n">
        <v>-0.7829999923706055</v>
      </c>
      <c r="N1173" s="3" t="n">
        <v>-0.7829999923706055</v>
      </c>
      <c r="O1173" s="3" t="n">
        <v>-0.7829999923706055</v>
      </c>
      <c r="P1173" s="3" t="n">
        <v>-0.7829999923706055</v>
      </c>
      <c r="Q1173" s="3" t="n">
        <v>-0.7829999923706055</v>
      </c>
      <c r="R1173" s="3" t="n">
        <v>-0.7710000276565552</v>
      </c>
      <c r="S1173" s="3" t="n">
        <v>-0.9919999837875366</v>
      </c>
      <c r="T1173" s="3" t="n">
        <v>-0.7089999914169312</v>
      </c>
      <c r="U1173" s="3" t="n">
        <v>-0.8529999852180481</v>
      </c>
      <c r="V1173" s="3" t="n">
        <v>-0.6769999861717224</v>
      </c>
      <c r="W1173" s="3" t="n">
        <v>-0.5149999856948853</v>
      </c>
      <c r="X1173" s="3" t="n">
        <v>-0.9890000224113464</v>
      </c>
      <c r="Y1173" s="3" t="n">
        <v>-0.7829999923706055</v>
      </c>
      <c r="Z1173" s="3" t="n">
        <v>-0.9919999837875366</v>
      </c>
      <c r="AA1173" s="3" t="n">
        <v>-0.9919999837875366</v>
      </c>
      <c r="AB1173" s="3" t="n">
        <v>-0.9890000224113464</v>
      </c>
      <c r="AC1173" s="3" t="n">
        <v>-1.080999970436096</v>
      </c>
      <c r="AD1173" s="3" t="n">
        <v>-0.8529999852180481</v>
      </c>
      <c r="AE1173" s="3" t="n">
        <v>-0.8529999852180481</v>
      </c>
    </row>
    <row r="1174">
      <c r="A1174" s="3" t="inlineStr">
        <is>
          <t>KWT.distn.dec.ove.mean.5</t>
        </is>
      </c>
      <c r="B1174" s="3" t="inlineStr">
        <is>
          <t>KWT</t>
        </is>
      </c>
      <c r="C1174" s="3" t="n">
        <v>2005</v>
      </c>
      <c r="D1174" s="3" t="inlineStr">
        <is>
          <t>Overall</t>
        </is>
      </c>
      <c r="E1174" s="3" t="inlineStr">
        <is>
          <t>Deciles</t>
        </is>
      </c>
      <c r="F1174" s="3" t="inlineStr">
        <is>
          <t>mean</t>
        </is>
      </c>
      <c r="G1174" s="3" t="n">
        <v>5</v>
      </c>
      <c r="H1174" s="3" t="n">
        <v>-0.7829999923706055</v>
      </c>
      <c r="I1174" s="3" t="n">
        <v>-0.7829999923706055</v>
      </c>
      <c r="J1174" s="3" t="n">
        <v>-0.8529999852180481</v>
      </c>
      <c r="K1174" s="3" t="n">
        <v>-0.8529999852180481</v>
      </c>
      <c r="L1174" s="3" t="n">
        <v>-0.7829999923706055</v>
      </c>
      <c r="M1174" s="3" t="n">
        <v>-0.7829999923706055</v>
      </c>
      <c r="N1174" s="3" t="n">
        <v>-0.7829999923706055</v>
      </c>
      <c r="O1174" s="3" t="n">
        <v>-0.7829999923706055</v>
      </c>
      <c r="P1174" s="3" t="n">
        <v>-0.7829999923706055</v>
      </c>
      <c r="Q1174" s="3" t="n">
        <v>-0.7829999923706055</v>
      </c>
      <c r="R1174" s="3" t="n">
        <v>-0.7710000276565552</v>
      </c>
      <c r="S1174" s="3" t="n">
        <v>-0.9919999837875366</v>
      </c>
      <c r="T1174" s="3" t="n">
        <v>-0.7089999914169312</v>
      </c>
      <c r="U1174" s="3" t="n">
        <v>-0.8529999852180481</v>
      </c>
      <c r="V1174" s="3" t="n">
        <v>-0.6769999861717224</v>
      </c>
      <c r="W1174" s="3" t="n">
        <v>-0.5149999856948853</v>
      </c>
      <c r="X1174" s="3" t="n">
        <v>-0.9890000224113464</v>
      </c>
      <c r="Y1174" s="3" t="n">
        <v>-0.7829999923706055</v>
      </c>
      <c r="Z1174" s="3" t="n">
        <v>-0.9919999837875366</v>
      </c>
      <c r="AA1174" s="3" t="n">
        <v>-0.9919999837875366</v>
      </c>
      <c r="AB1174" s="3" t="n">
        <v>-0.9890000224113464</v>
      </c>
      <c r="AC1174" s="3" t="n">
        <v>-1.080999970436096</v>
      </c>
      <c r="AD1174" s="3" t="n">
        <v>-0.8529999852180481</v>
      </c>
      <c r="AE1174" s="3" t="n">
        <v>-0.8529999852180481</v>
      </c>
    </row>
    <row r="1175">
      <c r="A1175" s="3" t="inlineStr">
        <is>
          <t>KWT.distn.dec.ove.mean.6</t>
        </is>
      </c>
      <c r="B1175" s="3" t="inlineStr">
        <is>
          <t>KWT</t>
        </is>
      </c>
      <c r="C1175" s="3" t="n">
        <v>2005</v>
      </c>
      <c r="D1175" s="3" t="inlineStr">
        <is>
          <t>Overall</t>
        </is>
      </c>
      <c r="E1175" s="3" t="inlineStr">
        <is>
          <t>Deciles</t>
        </is>
      </c>
      <c r="F1175" s="3" t="inlineStr">
        <is>
          <t>mean</t>
        </is>
      </c>
      <c r="G1175" s="3" t="n">
        <v>6</v>
      </c>
      <c r="H1175" s="3" t="n">
        <v>-0.7829999923706055</v>
      </c>
      <c r="I1175" s="3" t="n">
        <v>-0.7829999923706055</v>
      </c>
      <c r="J1175" s="3" t="n">
        <v>-0.8529999852180481</v>
      </c>
      <c r="K1175" s="3" t="n">
        <v>-0.8529999852180481</v>
      </c>
      <c r="L1175" s="3" t="n">
        <v>-0.7829999923706055</v>
      </c>
      <c r="M1175" s="3" t="n">
        <v>-0.7829999923706055</v>
      </c>
      <c r="N1175" s="3" t="n">
        <v>-0.7829999923706055</v>
      </c>
      <c r="O1175" s="3" t="n">
        <v>-0.7829999923706055</v>
      </c>
      <c r="P1175" s="3" t="n">
        <v>-0.7829999923706055</v>
      </c>
      <c r="Q1175" s="3" t="n">
        <v>-0.7829999923706055</v>
      </c>
      <c r="R1175" s="3" t="n">
        <v>-0.7710000276565552</v>
      </c>
      <c r="S1175" s="3" t="n">
        <v>-0.9919999837875366</v>
      </c>
      <c r="T1175" s="3" t="n">
        <v>-0.7089999914169312</v>
      </c>
      <c r="U1175" s="3" t="n">
        <v>-0.8529999852180481</v>
      </c>
      <c r="V1175" s="3" t="n">
        <v>-0.6769999861717224</v>
      </c>
      <c r="W1175" s="3" t="n">
        <v>-0.5149999856948853</v>
      </c>
      <c r="X1175" s="3" t="n">
        <v>-0.9890000224113464</v>
      </c>
      <c r="Y1175" s="3" t="n">
        <v>-0.7829999923706055</v>
      </c>
      <c r="Z1175" s="3" t="n">
        <v>-0.9919999837875366</v>
      </c>
      <c r="AA1175" s="3" t="n">
        <v>-0.9919999837875366</v>
      </c>
      <c r="AB1175" s="3" t="n">
        <v>-0.9890000224113464</v>
      </c>
      <c r="AC1175" s="3" t="n">
        <v>-1.080999970436096</v>
      </c>
      <c r="AD1175" s="3" t="n">
        <v>-0.8529999852180481</v>
      </c>
      <c r="AE1175" s="3" t="n">
        <v>-0.8529999852180481</v>
      </c>
    </row>
    <row r="1176">
      <c r="A1176" s="3" t="inlineStr">
        <is>
          <t>KWT.distn.dec.ove.mean.7</t>
        </is>
      </c>
      <c r="B1176" s="3" t="inlineStr">
        <is>
          <t>KWT</t>
        </is>
      </c>
      <c r="C1176" s="3" t="n">
        <v>2005</v>
      </c>
      <c r="D1176" s="3" t="inlineStr">
        <is>
          <t>Overall</t>
        </is>
      </c>
      <c r="E1176" s="3" t="inlineStr">
        <is>
          <t>Deciles</t>
        </is>
      </c>
      <c r="F1176" s="3" t="inlineStr">
        <is>
          <t>mean</t>
        </is>
      </c>
      <c r="G1176" s="3" t="n">
        <v>7</v>
      </c>
      <c r="H1176" s="3" t="n">
        <v>-0.7829999923706055</v>
      </c>
      <c r="I1176" s="3" t="n">
        <v>-0.7829999923706055</v>
      </c>
      <c r="J1176" s="3" t="n">
        <v>-0.8529999852180481</v>
      </c>
      <c r="K1176" s="3" t="n">
        <v>-0.8529999852180481</v>
      </c>
      <c r="L1176" s="3" t="n">
        <v>-0.7829999923706055</v>
      </c>
      <c r="M1176" s="3" t="n">
        <v>-0.7829999923706055</v>
      </c>
      <c r="N1176" s="3" t="n">
        <v>-0.7829999923706055</v>
      </c>
      <c r="O1176" s="3" t="n">
        <v>-0.7829999923706055</v>
      </c>
      <c r="P1176" s="3" t="n">
        <v>-0.7829999923706055</v>
      </c>
      <c r="Q1176" s="3" t="n">
        <v>-0.7829999923706055</v>
      </c>
      <c r="R1176" s="3" t="n">
        <v>-0.7710000276565552</v>
      </c>
      <c r="S1176" s="3" t="n">
        <v>-0.9919999837875366</v>
      </c>
      <c r="T1176" s="3" t="n">
        <v>-0.7089999914169312</v>
      </c>
      <c r="U1176" s="3" t="n">
        <v>-0.8529999852180481</v>
      </c>
      <c r="V1176" s="3" t="n">
        <v>-0.6769999861717224</v>
      </c>
      <c r="W1176" s="3" t="n">
        <v>-0.5149999856948853</v>
      </c>
      <c r="X1176" s="3" t="n">
        <v>-0.9890000224113464</v>
      </c>
      <c r="Y1176" s="3" t="n">
        <v>-0.7829999923706055</v>
      </c>
      <c r="Z1176" s="3" t="n">
        <v>-0.9919999837875366</v>
      </c>
      <c r="AA1176" s="3" t="n">
        <v>-0.9919999837875366</v>
      </c>
      <c r="AB1176" s="3" t="n">
        <v>-0.9890000224113464</v>
      </c>
      <c r="AC1176" s="3" t="n">
        <v>-1.080999970436096</v>
      </c>
      <c r="AD1176" s="3" t="n">
        <v>-0.8529999852180481</v>
      </c>
      <c r="AE1176" s="3" t="n">
        <v>-0.8529999852180481</v>
      </c>
    </row>
    <row r="1177">
      <c r="A1177" s="3" t="inlineStr">
        <is>
          <t>KWT.distn.dec.ove.mean.8</t>
        </is>
      </c>
      <c r="B1177" s="3" t="inlineStr">
        <is>
          <t>KWT</t>
        </is>
      </c>
      <c r="C1177" s="3" t="n">
        <v>2005</v>
      </c>
      <c r="D1177" s="3" t="inlineStr">
        <is>
          <t>Overall</t>
        </is>
      </c>
      <c r="E1177" s="3" t="inlineStr">
        <is>
          <t>Deciles</t>
        </is>
      </c>
      <c r="F1177" s="3" t="inlineStr">
        <is>
          <t>mean</t>
        </is>
      </c>
      <c r="G1177" s="3" t="n">
        <v>8</v>
      </c>
      <c r="H1177" s="3" t="n">
        <v>-0.7833772301673889</v>
      </c>
      <c r="I1177" s="3" t="n">
        <v>-0.7833772301673889</v>
      </c>
      <c r="J1177" s="3" t="n">
        <v>-0.8553010225296021</v>
      </c>
      <c r="K1177" s="3" t="n">
        <v>-0.8553010225296021</v>
      </c>
      <c r="L1177" s="3" t="n">
        <v>-0.7833772301673889</v>
      </c>
      <c r="M1177" s="3" t="n">
        <v>-0.7833772301673889</v>
      </c>
      <c r="N1177" s="3" t="n">
        <v>-0.7833772301673889</v>
      </c>
      <c r="O1177" s="3" t="n">
        <v>-0.7833772301673889</v>
      </c>
      <c r="P1177" s="3" t="n">
        <v>-0.7833772301673889</v>
      </c>
      <c r="Q1177" s="3" t="n">
        <v>-0.7833772301673889</v>
      </c>
      <c r="R1177" s="3" t="n">
        <v>-0.7712535858154297</v>
      </c>
      <c r="S1177" s="3" t="n">
        <v>-1.001230716705322</v>
      </c>
      <c r="T1177" s="3" t="n">
        <v>-0.7090408802032471</v>
      </c>
      <c r="U1177" s="3" t="n">
        <v>-0.8553010225296021</v>
      </c>
      <c r="V1177" s="3" t="n">
        <v>-0.677699863910675</v>
      </c>
      <c r="W1177" s="3" t="n">
        <v>-0.528791069984436</v>
      </c>
      <c r="X1177" s="3" t="n">
        <v>-0.9980117678642273</v>
      </c>
      <c r="Y1177" s="3" t="n">
        <v>-0.7833772301673889</v>
      </c>
      <c r="Z1177" s="3" t="n">
        <v>-1.001230716705322</v>
      </c>
      <c r="AA1177" s="3" t="n">
        <v>-1.001230716705322</v>
      </c>
      <c r="AB1177" s="3" t="n">
        <v>-0.9980117678642273</v>
      </c>
      <c r="AC1177" s="3" t="n">
        <v>-1.096416473388672</v>
      </c>
      <c r="AD1177" s="3" t="n">
        <v>-0.8553010225296021</v>
      </c>
      <c r="AE1177" s="3" t="n">
        <v>-0.8553010225296021</v>
      </c>
    </row>
    <row r="1178">
      <c r="A1178" s="3" t="inlineStr">
        <is>
          <t>KWT.distn.dec.ove.mean.9</t>
        </is>
      </c>
      <c r="B1178" s="3" t="inlineStr">
        <is>
          <t>KWT</t>
        </is>
      </c>
      <c r="C1178" s="3" t="n">
        <v>2005</v>
      </c>
      <c r="D1178" s="3" t="inlineStr">
        <is>
          <t>Overall</t>
        </is>
      </c>
      <c r="E1178" s="3" t="inlineStr">
        <is>
          <t>Deciles</t>
        </is>
      </c>
      <c r="F1178" s="3" t="inlineStr">
        <is>
          <t>mean</t>
        </is>
      </c>
      <c r="G1178" s="3" t="n">
        <v>9</v>
      </c>
      <c r="H1178" s="3" t="n">
        <v>-0.7833772301673889</v>
      </c>
      <c r="I1178" s="3" t="n">
        <v>-0.7833772301673889</v>
      </c>
      <c r="J1178" s="3" t="n">
        <v>-0.8553010225296021</v>
      </c>
      <c r="K1178" s="3" t="n">
        <v>-0.8553010225296021</v>
      </c>
      <c r="L1178" s="3" t="n">
        <v>-0.7833772301673889</v>
      </c>
      <c r="M1178" s="3" t="n">
        <v>-0.7833772301673889</v>
      </c>
      <c r="N1178" s="3" t="n">
        <v>-0.7833772301673889</v>
      </c>
      <c r="O1178" s="3" t="n">
        <v>-0.7833772301673889</v>
      </c>
      <c r="P1178" s="3" t="n">
        <v>-0.7833772301673889</v>
      </c>
      <c r="Q1178" s="3" t="n">
        <v>-0.7833772301673889</v>
      </c>
      <c r="R1178" s="3" t="n">
        <v>-0.7712535858154297</v>
      </c>
      <c r="S1178" s="3" t="n">
        <v>-1.001230716705322</v>
      </c>
      <c r="T1178" s="3" t="n">
        <v>-0.7090408802032471</v>
      </c>
      <c r="U1178" s="3" t="n">
        <v>-0.8553010225296021</v>
      </c>
      <c r="V1178" s="3" t="n">
        <v>-0.677699863910675</v>
      </c>
      <c r="W1178" s="3" t="n">
        <v>-0.528791069984436</v>
      </c>
      <c r="X1178" s="3" t="n">
        <v>-0.9980117678642273</v>
      </c>
      <c r="Y1178" s="3" t="n">
        <v>-0.7833772301673889</v>
      </c>
      <c r="Z1178" s="3" t="n">
        <v>-1.001230716705322</v>
      </c>
      <c r="AA1178" s="3" t="n">
        <v>-1.001230716705322</v>
      </c>
      <c r="AB1178" s="3" t="n">
        <v>-0.9980117678642273</v>
      </c>
      <c r="AC1178" s="3" t="n">
        <v>-1.096416473388672</v>
      </c>
      <c r="AD1178" s="3" t="n">
        <v>-0.8553010225296021</v>
      </c>
      <c r="AE1178" s="3" t="n">
        <v>-0.8553010225296021</v>
      </c>
    </row>
    <row r="1179">
      <c r="A1179" s="3" t="inlineStr">
        <is>
          <t>KWT.distn.dec.ove.mean.10</t>
        </is>
      </c>
      <c r="B1179" s="3" t="inlineStr">
        <is>
          <t>KWT</t>
        </is>
      </c>
      <c r="C1179" s="3" t="n">
        <v>2005</v>
      </c>
      <c r="D1179" s="3" t="inlineStr">
        <is>
          <t>Overall</t>
        </is>
      </c>
      <c r="E1179" s="3" t="inlineStr">
        <is>
          <t>Deciles</t>
        </is>
      </c>
      <c r="F1179" s="3" t="inlineStr">
        <is>
          <t>mean</t>
        </is>
      </c>
      <c r="G1179" s="3" t="n">
        <v>10</v>
      </c>
      <c r="H1179" s="3" t="n">
        <v>-0.7833772301673889</v>
      </c>
      <c r="I1179" s="3" t="n">
        <v>-0.7833772301673889</v>
      </c>
      <c r="J1179" s="3" t="n">
        <v>-0.8553010225296021</v>
      </c>
      <c r="K1179" s="3" t="n">
        <v>-0.8553010225296021</v>
      </c>
      <c r="L1179" s="3" t="n">
        <v>-0.7833772301673889</v>
      </c>
      <c r="M1179" s="3" t="n">
        <v>-0.7833772301673889</v>
      </c>
      <c r="N1179" s="3" t="n">
        <v>-0.7833772301673889</v>
      </c>
      <c r="O1179" s="3" t="n">
        <v>-0.7833772301673889</v>
      </c>
      <c r="P1179" s="3" t="n">
        <v>-0.7833772301673889</v>
      </c>
      <c r="Q1179" s="3" t="n">
        <v>-0.7833772301673889</v>
      </c>
      <c r="R1179" s="3" t="n">
        <v>-0.7712535858154297</v>
      </c>
      <c r="S1179" s="3" t="n">
        <v>-1.001230716705322</v>
      </c>
      <c r="T1179" s="3" t="n">
        <v>-0.7090408802032471</v>
      </c>
      <c r="U1179" s="3" t="n">
        <v>-0.8553010225296021</v>
      </c>
      <c r="V1179" s="3" t="n">
        <v>-0.677699863910675</v>
      </c>
      <c r="W1179" s="3" t="n">
        <v>-0.528791069984436</v>
      </c>
      <c r="X1179" s="3" t="n">
        <v>-0.9980117678642273</v>
      </c>
      <c r="Y1179" s="3" t="n">
        <v>-0.7833772301673889</v>
      </c>
      <c r="Z1179" s="3" t="n">
        <v>-1.001230716705322</v>
      </c>
      <c r="AA1179" s="3" t="n">
        <v>-1.001230716705322</v>
      </c>
      <c r="AB1179" s="3" t="n">
        <v>-0.9980117678642273</v>
      </c>
      <c r="AC1179" s="3" t="n">
        <v>-1.096416473388672</v>
      </c>
      <c r="AD1179" s="3" t="n">
        <v>-0.8553010225296021</v>
      </c>
      <c r="AE1179" s="3" t="n">
        <v>-0.8553010225296021</v>
      </c>
    </row>
    <row r="1180">
      <c r="A1180" s="3" t="inlineStr">
        <is>
          <t>KWT.distn.bkt.ove.mean.9999</t>
        </is>
      </c>
      <c r="B1180" s="3" t="inlineStr">
        <is>
          <t>KWT</t>
        </is>
      </c>
      <c r="C1180" s="3" t="n">
        <v>2005</v>
      </c>
      <c r="D1180" s="3" t="inlineStr">
        <is>
          <t>Overall</t>
        </is>
      </c>
      <c r="E1180" s="3" t="inlineStr">
        <is>
          <t>Basket</t>
        </is>
      </c>
      <c r="F1180" s="3" t="inlineStr">
        <is>
          <t>mean</t>
        </is>
      </c>
      <c r="G1180" s="3" t="n">
        <v>9999</v>
      </c>
      <c r="H1180" s="3" t="n">
        <v>-0.7849878668785095</v>
      </c>
      <c r="I1180" s="3" t="n">
        <v>-0.7849878668785095</v>
      </c>
      <c r="J1180" s="3" t="n">
        <v>-0.8666834831237793</v>
      </c>
      <c r="K1180" s="3" t="n">
        <v>-0.8666834831237793</v>
      </c>
      <c r="L1180" s="3" t="n">
        <v>-0.7849878668785095</v>
      </c>
      <c r="M1180" s="3" t="n">
        <v>-0.7849878668785095</v>
      </c>
      <c r="N1180" s="3" t="n">
        <v>-0.7849878668785095</v>
      </c>
      <c r="O1180" s="3" t="n">
        <v>-0.7849878668785095</v>
      </c>
      <c r="P1180" s="3" t="n">
        <v>-0.7849878668785095</v>
      </c>
      <c r="Q1180" s="3" t="n">
        <v>-0.7849878668785095</v>
      </c>
      <c r="R1180" s="3" t="n">
        <v>-0.7721186876296997</v>
      </c>
      <c r="S1180" s="3" t="n">
        <v>-1.134102344512939</v>
      </c>
      <c r="T1180" s="3" t="n">
        <v>-0.7094486355781555</v>
      </c>
      <c r="U1180" s="3" t="n">
        <v>-0.8666834831237793</v>
      </c>
      <c r="V1180" s="3" t="n">
        <v>-0.6792964339256287</v>
      </c>
      <c r="W1180" s="3" t="n">
        <v>-0.5482149124145508</v>
      </c>
      <c r="X1180" s="3" t="n">
        <v>-1.115416288375854</v>
      </c>
      <c r="Y1180" s="3" t="n">
        <v>-0.7849878668785095</v>
      </c>
      <c r="Z1180" s="3" t="n">
        <v>-1.134102344512939</v>
      </c>
      <c r="AA1180" s="3" t="n">
        <v>-1.134102344512939</v>
      </c>
      <c r="AB1180" s="3" t="n">
        <v>-1.115416288375854</v>
      </c>
      <c r="AC1180" s="3" t="n">
        <v>-1.43286120891571</v>
      </c>
      <c r="AD1180" s="3" t="n">
        <v>-0.8666834831237793</v>
      </c>
      <c r="AE1180" s="3" t="n">
        <v>-0.8666834831237793</v>
      </c>
    </row>
    <row r="1181">
      <c r="A1181" s="3" t="inlineStr">
        <is>
          <t>LAO.distn.dec.ove.mean.1</t>
        </is>
      </c>
      <c r="B1181" s="3" t="inlineStr">
        <is>
          <t>LAO</t>
        </is>
      </c>
      <c r="C1181" s="3" t="n">
        <v>2005</v>
      </c>
      <c r="D1181" s="3" t="inlineStr">
        <is>
          <t>Overall</t>
        </is>
      </c>
      <c r="E1181" s="3" t="inlineStr">
        <is>
          <t>Deciles</t>
        </is>
      </c>
      <c r="F1181" s="3" t="inlineStr">
        <is>
          <t>mean</t>
        </is>
      </c>
      <c r="G1181" s="3" t="n">
        <v>1</v>
      </c>
      <c r="H1181" s="3" t="n">
        <v>-0.7952967882156372</v>
      </c>
      <c r="I1181" s="3" t="n">
        <v>-0.7952967882156372</v>
      </c>
      <c r="J1181" s="3" t="n">
        <v>-0.9372908473014832</v>
      </c>
      <c r="K1181" s="3" t="n">
        <v>-0.9372908473014832</v>
      </c>
      <c r="L1181" s="3" t="n">
        <v>-0.7952967882156372</v>
      </c>
      <c r="M1181" s="3" t="n">
        <v>-0.7952967882156372</v>
      </c>
      <c r="N1181" s="3" t="n">
        <v>-0.7952967882156372</v>
      </c>
      <c r="O1181" s="3" t="n">
        <v>-0.7952967882156372</v>
      </c>
      <c r="P1181" s="3" t="n">
        <v>-0.7952967882156372</v>
      </c>
      <c r="Q1181" s="3" t="n">
        <v>-0.7952967882156372</v>
      </c>
      <c r="R1181" s="3" t="n">
        <v>-0.7774887681007385</v>
      </c>
      <c r="S1181" s="3" t="n">
        <v>-1.88662314414978</v>
      </c>
      <c r="T1181" s="3" t="n">
        <v>-0.7114566564559937</v>
      </c>
      <c r="U1181" s="3" t="n">
        <v>-0.9372908473014832</v>
      </c>
      <c r="V1181" s="3" t="n">
        <v>-0.6900166273117065</v>
      </c>
      <c r="W1181" s="3" t="n">
        <v>-0.6927230954170227</v>
      </c>
      <c r="X1181" s="3" t="n">
        <v>-1.8023761510849</v>
      </c>
      <c r="Y1181" s="3" t="n">
        <v>-0.7952967882156372</v>
      </c>
      <c r="Z1181" s="3" t="n">
        <v>-1.88662314414978</v>
      </c>
      <c r="AA1181" s="3" t="n">
        <v>-1.88662314414978</v>
      </c>
      <c r="AB1181" s="3" t="n">
        <v>-1.8023761510849</v>
      </c>
      <c r="AC1181" s="3" t="n">
        <v>-4.048267841339111</v>
      </c>
      <c r="AD1181" s="3" t="n">
        <v>-0.9372908473014832</v>
      </c>
      <c r="AE1181" s="3" t="n">
        <v>-0.9372908473014832</v>
      </c>
    </row>
    <row r="1182">
      <c r="A1182" s="3" t="inlineStr">
        <is>
          <t>LAO.distn.dec.ove.mean.2</t>
        </is>
      </c>
      <c r="B1182" s="3" t="inlineStr">
        <is>
          <t>LAO</t>
        </is>
      </c>
      <c r="C1182" s="3" t="n">
        <v>2005</v>
      </c>
      <c r="D1182" s="3" t="inlineStr">
        <is>
          <t>Overall</t>
        </is>
      </c>
      <c r="E1182" s="3" t="inlineStr">
        <is>
          <t>Deciles</t>
        </is>
      </c>
      <c r="F1182" s="3" t="inlineStr">
        <is>
          <t>mean</t>
        </is>
      </c>
      <c r="G1182" s="3" t="n">
        <v>2</v>
      </c>
      <c r="H1182" s="3" t="n">
        <v>-0.7952967882156372</v>
      </c>
      <c r="I1182" s="3" t="n">
        <v>-0.7952967882156372</v>
      </c>
      <c r="J1182" s="3" t="n">
        <v>-0.9372908473014832</v>
      </c>
      <c r="K1182" s="3" t="n">
        <v>-0.9372908473014832</v>
      </c>
      <c r="L1182" s="3" t="n">
        <v>-0.7952967882156372</v>
      </c>
      <c r="M1182" s="3" t="n">
        <v>-0.7952967882156372</v>
      </c>
      <c r="N1182" s="3" t="n">
        <v>-0.7952967882156372</v>
      </c>
      <c r="O1182" s="3" t="n">
        <v>-0.7952967882156372</v>
      </c>
      <c r="P1182" s="3" t="n">
        <v>-0.7952967882156372</v>
      </c>
      <c r="Q1182" s="3" t="n">
        <v>-0.7952967882156372</v>
      </c>
      <c r="R1182" s="3" t="n">
        <v>-0.7774887681007385</v>
      </c>
      <c r="S1182" s="3" t="n">
        <v>-1.88662314414978</v>
      </c>
      <c r="T1182" s="3" t="n">
        <v>-0.7114566564559937</v>
      </c>
      <c r="U1182" s="3" t="n">
        <v>-0.9372908473014832</v>
      </c>
      <c r="V1182" s="3" t="n">
        <v>-0.6900166273117065</v>
      </c>
      <c r="W1182" s="3" t="n">
        <v>-0.6927230954170227</v>
      </c>
      <c r="X1182" s="3" t="n">
        <v>-1.8023761510849</v>
      </c>
      <c r="Y1182" s="3" t="n">
        <v>-0.7952967882156372</v>
      </c>
      <c r="Z1182" s="3" t="n">
        <v>-1.88662314414978</v>
      </c>
      <c r="AA1182" s="3" t="n">
        <v>-1.88662314414978</v>
      </c>
      <c r="AB1182" s="3" t="n">
        <v>-1.8023761510849</v>
      </c>
      <c r="AC1182" s="3" t="n">
        <v>-4.048267841339111</v>
      </c>
      <c r="AD1182" s="3" t="n">
        <v>-0.9372908473014832</v>
      </c>
      <c r="AE1182" s="3" t="n">
        <v>-0.9372908473014832</v>
      </c>
    </row>
    <row r="1183">
      <c r="A1183" s="3" t="inlineStr">
        <is>
          <t>LAO.distn.dec.ove.mean.3</t>
        </is>
      </c>
      <c r="B1183" s="3" t="inlineStr">
        <is>
          <t>LAO</t>
        </is>
      </c>
      <c r="C1183" s="3" t="n">
        <v>2005</v>
      </c>
      <c r="D1183" s="3" t="inlineStr">
        <is>
          <t>Overall</t>
        </is>
      </c>
      <c r="E1183" s="3" t="inlineStr">
        <is>
          <t>Deciles</t>
        </is>
      </c>
      <c r="F1183" s="3" t="inlineStr">
        <is>
          <t>mean</t>
        </is>
      </c>
      <c r="G1183" s="3" t="n">
        <v>3</v>
      </c>
      <c r="H1183" s="3" t="n">
        <v>-0.7952967882156372</v>
      </c>
      <c r="I1183" s="3" t="n">
        <v>-0.7952967882156372</v>
      </c>
      <c r="J1183" s="3" t="n">
        <v>-0.9372908473014832</v>
      </c>
      <c r="K1183" s="3" t="n">
        <v>-0.9372908473014832</v>
      </c>
      <c r="L1183" s="3" t="n">
        <v>-0.7952967882156372</v>
      </c>
      <c r="M1183" s="3" t="n">
        <v>-0.7952967882156372</v>
      </c>
      <c r="N1183" s="3" t="n">
        <v>-0.7952967882156372</v>
      </c>
      <c r="O1183" s="3" t="n">
        <v>-0.7952967882156372</v>
      </c>
      <c r="P1183" s="3" t="n">
        <v>-0.7952967882156372</v>
      </c>
      <c r="Q1183" s="3" t="n">
        <v>-0.7952967882156372</v>
      </c>
      <c r="R1183" s="3" t="n">
        <v>-0.7774887681007385</v>
      </c>
      <c r="S1183" s="3" t="n">
        <v>-1.88662314414978</v>
      </c>
      <c r="T1183" s="3" t="n">
        <v>-0.7114566564559937</v>
      </c>
      <c r="U1183" s="3" t="n">
        <v>-0.9372908473014832</v>
      </c>
      <c r="V1183" s="3" t="n">
        <v>-0.6900166273117065</v>
      </c>
      <c r="W1183" s="3" t="n">
        <v>-0.6927230954170227</v>
      </c>
      <c r="X1183" s="3" t="n">
        <v>-1.8023761510849</v>
      </c>
      <c r="Y1183" s="3" t="n">
        <v>-0.7952967882156372</v>
      </c>
      <c r="Z1183" s="3" t="n">
        <v>-1.88662314414978</v>
      </c>
      <c r="AA1183" s="3" t="n">
        <v>-1.88662314414978</v>
      </c>
      <c r="AB1183" s="3" t="n">
        <v>-1.8023761510849</v>
      </c>
      <c r="AC1183" s="3" t="n">
        <v>-4.048267841339111</v>
      </c>
      <c r="AD1183" s="3" t="n">
        <v>-0.9372908473014832</v>
      </c>
      <c r="AE1183" s="3" t="n">
        <v>-0.9372908473014832</v>
      </c>
    </row>
    <row r="1184">
      <c r="A1184" s="3" t="inlineStr">
        <is>
          <t>LAO.distn.dec.ove.mean.4</t>
        </is>
      </c>
      <c r="B1184" s="3" t="inlineStr">
        <is>
          <t>LAO</t>
        </is>
      </c>
      <c r="C1184" s="3" t="n">
        <v>2005</v>
      </c>
      <c r="D1184" s="3" t="inlineStr">
        <is>
          <t>Overall</t>
        </is>
      </c>
      <c r="E1184" s="3" t="inlineStr">
        <is>
          <t>Deciles</t>
        </is>
      </c>
      <c r="F1184" s="3" t="inlineStr">
        <is>
          <t>mean</t>
        </is>
      </c>
      <c r="G1184" s="3" t="n">
        <v>4</v>
      </c>
      <c r="H1184" s="3" t="n">
        <v>-0.7889999747276306</v>
      </c>
      <c r="I1184" s="3" t="n">
        <v>-0.7889999747276306</v>
      </c>
      <c r="J1184" s="3" t="n">
        <v>-0.8920000195503235</v>
      </c>
      <c r="K1184" s="3" t="n">
        <v>-0.8920000195503235</v>
      </c>
      <c r="L1184" s="3" t="n">
        <v>-0.7889999747276306</v>
      </c>
      <c r="M1184" s="3" t="n">
        <v>-0.7889999747276306</v>
      </c>
      <c r="N1184" s="3" t="n">
        <v>-0.7889999747276306</v>
      </c>
      <c r="O1184" s="3" t="n">
        <v>-0.7889999747276306</v>
      </c>
      <c r="P1184" s="3" t="n">
        <v>-0.7889999747276306</v>
      </c>
      <c r="Q1184" s="3" t="n">
        <v>-0.7889999747276306</v>
      </c>
      <c r="R1184" s="3" t="n">
        <v>-0.7739999890327454</v>
      </c>
      <c r="S1184" s="3" t="n">
        <v>-1.284999966621399</v>
      </c>
      <c r="T1184" s="3" t="n">
        <v>-0.7099999785423279</v>
      </c>
      <c r="U1184" s="3" t="n">
        <v>-0.8920000195503235</v>
      </c>
      <c r="V1184" s="3" t="n">
        <v>-0.6830000281333923</v>
      </c>
      <c r="W1184" s="3" t="n">
        <v>-0.5830000042915344</v>
      </c>
      <c r="X1184" s="3" t="n">
        <v>-1.271999955177307</v>
      </c>
      <c r="Y1184" s="3" t="n">
        <v>-0.7889999747276306</v>
      </c>
      <c r="Z1184" s="3" t="n">
        <v>-1.284999966621399</v>
      </c>
      <c r="AA1184" s="3" t="n">
        <v>-1.284999966621399</v>
      </c>
      <c r="AB1184" s="3" t="n">
        <v>-1.271999955177307</v>
      </c>
      <c r="AC1184" s="3" t="n">
        <v>-1.955000042915344</v>
      </c>
      <c r="AD1184" s="3" t="n">
        <v>-0.8920000195503235</v>
      </c>
      <c r="AE1184" s="3" t="n">
        <v>-0.8920000195503235</v>
      </c>
    </row>
    <row r="1185">
      <c r="A1185" s="3" t="inlineStr">
        <is>
          <t>LAO.distn.dec.ove.mean.5</t>
        </is>
      </c>
      <c r="B1185" s="3" t="inlineStr">
        <is>
          <t>LAO</t>
        </is>
      </c>
      <c r="C1185" s="3" t="n">
        <v>2005</v>
      </c>
      <c r="D1185" s="3" t="inlineStr">
        <is>
          <t>Overall</t>
        </is>
      </c>
      <c r="E1185" s="3" t="inlineStr">
        <is>
          <t>Deciles</t>
        </is>
      </c>
      <c r="F1185" s="3" t="inlineStr">
        <is>
          <t>mean</t>
        </is>
      </c>
      <c r="G1185" s="3" t="n">
        <v>5</v>
      </c>
      <c r="H1185" s="3" t="n">
        <v>-0.7889999747276306</v>
      </c>
      <c r="I1185" s="3" t="n">
        <v>-0.7889999747276306</v>
      </c>
      <c r="J1185" s="3" t="n">
        <v>-0.8920000195503235</v>
      </c>
      <c r="K1185" s="3" t="n">
        <v>-0.8920000195503235</v>
      </c>
      <c r="L1185" s="3" t="n">
        <v>-0.7889999747276306</v>
      </c>
      <c r="M1185" s="3" t="n">
        <v>-0.7889999747276306</v>
      </c>
      <c r="N1185" s="3" t="n">
        <v>-0.7889999747276306</v>
      </c>
      <c r="O1185" s="3" t="n">
        <v>-0.7889999747276306</v>
      </c>
      <c r="P1185" s="3" t="n">
        <v>-0.7889999747276306</v>
      </c>
      <c r="Q1185" s="3" t="n">
        <v>-0.7889999747276306</v>
      </c>
      <c r="R1185" s="3" t="n">
        <v>-0.7739999890327454</v>
      </c>
      <c r="S1185" s="3" t="n">
        <v>-1.284999966621399</v>
      </c>
      <c r="T1185" s="3" t="n">
        <v>-0.7099999785423279</v>
      </c>
      <c r="U1185" s="3" t="n">
        <v>-0.8920000195503235</v>
      </c>
      <c r="V1185" s="3" t="n">
        <v>-0.6830000281333923</v>
      </c>
      <c r="W1185" s="3" t="n">
        <v>-0.5830000042915344</v>
      </c>
      <c r="X1185" s="3" t="n">
        <v>-1.271999955177307</v>
      </c>
      <c r="Y1185" s="3" t="n">
        <v>-0.7889999747276306</v>
      </c>
      <c r="Z1185" s="3" t="n">
        <v>-1.284999966621399</v>
      </c>
      <c r="AA1185" s="3" t="n">
        <v>-1.284999966621399</v>
      </c>
      <c r="AB1185" s="3" t="n">
        <v>-1.271999955177307</v>
      </c>
      <c r="AC1185" s="3" t="n">
        <v>-1.955000042915344</v>
      </c>
      <c r="AD1185" s="3" t="n">
        <v>-0.8920000195503235</v>
      </c>
      <c r="AE1185" s="3" t="n">
        <v>-0.8920000195503235</v>
      </c>
    </row>
    <row r="1186">
      <c r="A1186" s="3" t="inlineStr">
        <is>
          <t>LAO.distn.dec.ove.mean.6</t>
        </is>
      </c>
      <c r="B1186" s="3" t="inlineStr">
        <is>
          <t>LAO</t>
        </is>
      </c>
      <c r="C1186" s="3" t="n">
        <v>2005</v>
      </c>
      <c r="D1186" s="3" t="inlineStr">
        <is>
          <t>Overall</t>
        </is>
      </c>
      <c r="E1186" s="3" t="inlineStr">
        <is>
          <t>Deciles</t>
        </is>
      </c>
      <c r="F1186" s="3" t="inlineStr">
        <is>
          <t>mean</t>
        </is>
      </c>
      <c r="G1186" s="3" t="n">
        <v>6</v>
      </c>
      <c r="H1186" s="3" t="n">
        <v>-0.7889999747276306</v>
      </c>
      <c r="I1186" s="3" t="n">
        <v>-0.7889999747276306</v>
      </c>
      <c r="J1186" s="3" t="n">
        <v>-0.8920000195503235</v>
      </c>
      <c r="K1186" s="3" t="n">
        <v>-0.8920000195503235</v>
      </c>
      <c r="L1186" s="3" t="n">
        <v>-0.7889999747276306</v>
      </c>
      <c r="M1186" s="3" t="n">
        <v>-0.7889999747276306</v>
      </c>
      <c r="N1186" s="3" t="n">
        <v>-0.7889999747276306</v>
      </c>
      <c r="O1186" s="3" t="n">
        <v>-0.7889999747276306</v>
      </c>
      <c r="P1186" s="3" t="n">
        <v>-0.7889999747276306</v>
      </c>
      <c r="Q1186" s="3" t="n">
        <v>-0.7889999747276306</v>
      </c>
      <c r="R1186" s="3" t="n">
        <v>-0.7739999890327454</v>
      </c>
      <c r="S1186" s="3" t="n">
        <v>-1.284999966621399</v>
      </c>
      <c r="T1186" s="3" t="n">
        <v>-0.7099999785423279</v>
      </c>
      <c r="U1186" s="3" t="n">
        <v>-0.8920000195503235</v>
      </c>
      <c r="V1186" s="3" t="n">
        <v>-0.6830000281333923</v>
      </c>
      <c r="W1186" s="3" t="n">
        <v>-0.5830000042915344</v>
      </c>
      <c r="X1186" s="3" t="n">
        <v>-1.271999955177307</v>
      </c>
      <c r="Y1186" s="3" t="n">
        <v>-0.7889999747276306</v>
      </c>
      <c r="Z1186" s="3" t="n">
        <v>-1.284999966621399</v>
      </c>
      <c r="AA1186" s="3" t="n">
        <v>-1.284999966621399</v>
      </c>
      <c r="AB1186" s="3" t="n">
        <v>-1.271999955177307</v>
      </c>
      <c r="AC1186" s="3" t="n">
        <v>-1.955000042915344</v>
      </c>
      <c r="AD1186" s="3" t="n">
        <v>-0.8920000195503235</v>
      </c>
      <c r="AE1186" s="3" t="n">
        <v>-0.8920000195503235</v>
      </c>
    </row>
    <row r="1187">
      <c r="A1187" s="3" t="inlineStr">
        <is>
          <t>LAO.distn.dec.ove.mean.7</t>
        </is>
      </c>
      <c r="B1187" s="3" t="inlineStr">
        <is>
          <t>LAO</t>
        </is>
      </c>
      <c r="C1187" s="3" t="n">
        <v>2005</v>
      </c>
      <c r="D1187" s="3" t="inlineStr">
        <is>
          <t>Overall</t>
        </is>
      </c>
      <c r="E1187" s="3" t="inlineStr">
        <is>
          <t>Deciles</t>
        </is>
      </c>
      <c r="F1187" s="3" t="inlineStr">
        <is>
          <t>mean</t>
        </is>
      </c>
      <c r="G1187" s="3" t="n">
        <v>7</v>
      </c>
      <c r="H1187" s="3" t="n">
        <v>-0.7889999747276306</v>
      </c>
      <c r="I1187" s="3" t="n">
        <v>-0.7889999747276306</v>
      </c>
      <c r="J1187" s="3" t="n">
        <v>-0.8920000195503235</v>
      </c>
      <c r="K1187" s="3" t="n">
        <v>-0.8920000195503235</v>
      </c>
      <c r="L1187" s="3" t="n">
        <v>-0.7889999747276306</v>
      </c>
      <c r="M1187" s="3" t="n">
        <v>-0.7889999747276306</v>
      </c>
      <c r="N1187" s="3" t="n">
        <v>-0.7889999747276306</v>
      </c>
      <c r="O1187" s="3" t="n">
        <v>-0.7889999747276306</v>
      </c>
      <c r="P1187" s="3" t="n">
        <v>-0.7889999747276306</v>
      </c>
      <c r="Q1187" s="3" t="n">
        <v>-0.7889999747276306</v>
      </c>
      <c r="R1187" s="3" t="n">
        <v>-0.7739999890327454</v>
      </c>
      <c r="S1187" s="3" t="n">
        <v>-1.284999966621399</v>
      </c>
      <c r="T1187" s="3" t="n">
        <v>-0.7099999785423279</v>
      </c>
      <c r="U1187" s="3" t="n">
        <v>-0.8920000195503235</v>
      </c>
      <c r="V1187" s="3" t="n">
        <v>-0.6830000281333923</v>
      </c>
      <c r="W1187" s="3" t="n">
        <v>-0.5830000042915344</v>
      </c>
      <c r="X1187" s="3" t="n">
        <v>-1.271999955177307</v>
      </c>
      <c r="Y1187" s="3" t="n">
        <v>-0.7889999747276306</v>
      </c>
      <c r="Z1187" s="3" t="n">
        <v>-1.284999966621399</v>
      </c>
      <c r="AA1187" s="3" t="n">
        <v>-1.284999966621399</v>
      </c>
      <c r="AB1187" s="3" t="n">
        <v>-1.271999955177307</v>
      </c>
      <c r="AC1187" s="3" t="n">
        <v>-1.955000042915344</v>
      </c>
      <c r="AD1187" s="3" t="n">
        <v>-0.8920000195503235</v>
      </c>
      <c r="AE1187" s="3" t="n">
        <v>-0.8920000195503235</v>
      </c>
    </row>
    <row r="1188">
      <c r="A1188" s="3" t="inlineStr">
        <is>
          <t>LAO.distn.dec.ove.mean.8</t>
        </is>
      </c>
      <c r="B1188" s="3" t="inlineStr">
        <is>
          <t>LAO</t>
        </is>
      </c>
      <c r="C1188" s="3" t="n">
        <v>2005</v>
      </c>
      <c r="D1188" s="3" t="inlineStr">
        <is>
          <t>Overall</t>
        </is>
      </c>
      <c r="E1188" s="3" t="inlineStr">
        <is>
          <t>Deciles</t>
        </is>
      </c>
      <c r="F1188" s="3" t="inlineStr">
        <is>
          <t>mean</t>
        </is>
      </c>
      <c r="G1188" s="3" t="n">
        <v>8</v>
      </c>
      <c r="H1188" s="3" t="n">
        <v>-0.7893801331520081</v>
      </c>
      <c r="I1188" s="3" t="n">
        <v>-0.7893801331520081</v>
      </c>
      <c r="J1188" s="3" t="n">
        <v>-0.894406259059906</v>
      </c>
      <c r="K1188" s="3" t="n">
        <v>-0.894406259059906</v>
      </c>
      <c r="L1188" s="3" t="n">
        <v>-0.7893801331520081</v>
      </c>
      <c r="M1188" s="3" t="n">
        <v>-0.7893801331520081</v>
      </c>
      <c r="N1188" s="3" t="n">
        <v>-0.7893801331520081</v>
      </c>
      <c r="O1188" s="3" t="n">
        <v>-0.7893801331520081</v>
      </c>
      <c r="P1188" s="3" t="n">
        <v>-0.7893801331520081</v>
      </c>
      <c r="Q1188" s="3" t="n">
        <v>-0.7893801331520081</v>
      </c>
      <c r="R1188" s="3" t="n">
        <v>-0.7742545604705811</v>
      </c>
      <c r="S1188" s="3" t="n">
        <v>-1.296957015991211</v>
      </c>
      <c r="T1188" s="3" t="n">
        <v>-0.7100409269332886</v>
      </c>
      <c r="U1188" s="3" t="n">
        <v>-0.894406259059906</v>
      </c>
      <c r="V1188" s="3" t="n">
        <v>-0.6837060451507568</v>
      </c>
      <c r="W1188" s="3" t="n">
        <v>-0.5986120700836182</v>
      </c>
      <c r="X1188" s="3" t="n">
        <v>-1.28359043598175</v>
      </c>
      <c r="Y1188" s="3" t="n">
        <v>-0.7893801331520081</v>
      </c>
      <c r="Z1188" s="3" t="n">
        <v>-1.296957015991211</v>
      </c>
      <c r="AA1188" s="3" t="n">
        <v>-1.296957015991211</v>
      </c>
      <c r="AB1188" s="3" t="n">
        <v>-1.28359043598175</v>
      </c>
      <c r="AC1188" s="3" t="n">
        <v>-1.98288094997406</v>
      </c>
      <c r="AD1188" s="3" t="n">
        <v>-0.894406259059906</v>
      </c>
      <c r="AE1188" s="3" t="n">
        <v>-0.894406259059906</v>
      </c>
    </row>
    <row r="1189">
      <c r="A1189" s="3" t="inlineStr">
        <is>
          <t>LAO.distn.dec.ove.mean.9</t>
        </is>
      </c>
      <c r="B1189" s="3" t="inlineStr">
        <is>
          <t>LAO</t>
        </is>
      </c>
      <c r="C1189" s="3" t="n">
        <v>2005</v>
      </c>
      <c r="D1189" s="3" t="inlineStr">
        <is>
          <t>Overall</t>
        </is>
      </c>
      <c r="E1189" s="3" t="inlineStr">
        <is>
          <t>Deciles</t>
        </is>
      </c>
      <c r="F1189" s="3" t="inlineStr">
        <is>
          <t>mean</t>
        </is>
      </c>
      <c r="G1189" s="3" t="n">
        <v>9</v>
      </c>
      <c r="H1189" s="3" t="n">
        <v>-0.7893801331520081</v>
      </c>
      <c r="I1189" s="3" t="n">
        <v>-0.7893801331520081</v>
      </c>
      <c r="J1189" s="3" t="n">
        <v>-0.894406259059906</v>
      </c>
      <c r="K1189" s="3" t="n">
        <v>-0.894406259059906</v>
      </c>
      <c r="L1189" s="3" t="n">
        <v>-0.7893801331520081</v>
      </c>
      <c r="M1189" s="3" t="n">
        <v>-0.7893801331520081</v>
      </c>
      <c r="N1189" s="3" t="n">
        <v>-0.7893801331520081</v>
      </c>
      <c r="O1189" s="3" t="n">
        <v>-0.7893801331520081</v>
      </c>
      <c r="P1189" s="3" t="n">
        <v>-0.7893801331520081</v>
      </c>
      <c r="Q1189" s="3" t="n">
        <v>-0.7893801331520081</v>
      </c>
      <c r="R1189" s="3" t="n">
        <v>-0.7742545604705811</v>
      </c>
      <c r="S1189" s="3" t="n">
        <v>-1.296957015991211</v>
      </c>
      <c r="T1189" s="3" t="n">
        <v>-0.7100409269332886</v>
      </c>
      <c r="U1189" s="3" t="n">
        <v>-0.894406259059906</v>
      </c>
      <c r="V1189" s="3" t="n">
        <v>-0.6837060451507568</v>
      </c>
      <c r="W1189" s="3" t="n">
        <v>-0.5986120700836182</v>
      </c>
      <c r="X1189" s="3" t="n">
        <v>-1.28359043598175</v>
      </c>
      <c r="Y1189" s="3" t="n">
        <v>-0.7893801331520081</v>
      </c>
      <c r="Z1189" s="3" t="n">
        <v>-1.296957015991211</v>
      </c>
      <c r="AA1189" s="3" t="n">
        <v>-1.296957015991211</v>
      </c>
      <c r="AB1189" s="3" t="n">
        <v>-1.28359043598175</v>
      </c>
      <c r="AC1189" s="3" t="n">
        <v>-1.98288094997406</v>
      </c>
      <c r="AD1189" s="3" t="n">
        <v>-0.894406259059906</v>
      </c>
      <c r="AE1189" s="3" t="n">
        <v>-0.894406259059906</v>
      </c>
    </row>
    <row r="1190">
      <c r="A1190" s="3" t="inlineStr">
        <is>
          <t>LAO.distn.dec.ove.mean.10</t>
        </is>
      </c>
      <c r="B1190" s="3" t="inlineStr">
        <is>
          <t>LAO</t>
        </is>
      </c>
      <c r="C1190" s="3" t="n">
        <v>2005</v>
      </c>
      <c r="D1190" s="3" t="inlineStr">
        <is>
          <t>Overall</t>
        </is>
      </c>
      <c r="E1190" s="3" t="inlineStr">
        <is>
          <t>Deciles</t>
        </is>
      </c>
      <c r="F1190" s="3" t="inlineStr">
        <is>
          <t>mean</t>
        </is>
      </c>
      <c r="G1190" s="3" t="n">
        <v>10</v>
      </c>
      <c r="H1190" s="3" t="n">
        <v>-0.7893801331520081</v>
      </c>
      <c r="I1190" s="3" t="n">
        <v>-0.7893801331520081</v>
      </c>
      <c r="J1190" s="3" t="n">
        <v>-0.894406259059906</v>
      </c>
      <c r="K1190" s="3" t="n">
        <v>-0.894406259059906</v>
      </c>
      <c r="L1190" s="3" t="n">
        <v>-0.7893801331520081</v>
      </c>
      <c r="M1190" s="3" t="n">
        <v>-0.7893801331520081</v>
      </c>
      <c r="N1190" s="3" t="n">
        <v>-0.7893801331520081</v>
      </c>
      <c r="O1190" s="3" t="n">
        <v>-0.7893801331520081</v>
      </c>
      <c r="P1190" s="3" t="n">
        <v>-0.7893801331520081</v>
      </c>
      <c r="Q1190" s="3" t="n">
        <v>-0.7893801331520081</v>
      </c>
      <c r="R1190" s="3" t="n">
        <v>-0.7742545604705811</v>
      </c>
      <c r="S1190" s="3" t="n">
        <v>-1.296957015991211</v>
      </c>
      <c r="T1190" s="3" t="n">
        <v>-0.7100409269332886</v>
      </c>
      <c r="U1190" s="3" t="n">
        <v>-0.894406259059906</v>
      </c>
      <c r="V1190" s="3" t="n">
        <v>-0.6837060451507568</v>
      </c>
      <c r="W1190" s="3" t="n">
        <v>-0.5986120700836182</v>
      </c>
      <c r="X1190" s="3" t="n">
        <v>-1.28359043598175</v>
      </c>
      <c r="Y1190" s="3" t="n">
        <v>-0.7893801331520081</v>
      </c>
      <c r="Z1190" s="3" t="n">
        <v>-1.296957015991211</v>
      </c>
      <c r="AA1190" s="3" t="n">
        <v>-1.296957015991211</v>
      </c>
      <c r="AB1190" s="3" t="n">
        <v>-1.28359043598175</v>
      </c>
      <c r="AC1190" s="3" t="n">
        <v>-1.98288094997406</v>
      </c>
      <c r="AD1190" s="3" t="n">
        <v>-0.894406259059906</v>
      </c>
      <c r="AE1190" s="3" t="n">
        <v>-0.894406259059906</v>
      </c>
    </row>
    <row r="1191">
      <c r="A1191" s="3" t="inlineStr">
        <is>
          <t>LAO.distn.bkt.ove.mean.9999</t>
        </is>
      </c>
      <c r="B1191" s="3" t="inlineStr">
        <is>
          <t>LAO</t>
        </is>
      </c>
      <c r="C1191" s="3" t="n">
        <v>2005</v>
      </c>
      <c r="D1191" s="3" t="inlineStr">
        <is>
          <t>Overall</t>
        </is>
      </c>
      <c r="E1191" s="3" t="inlineStr">
        <is>
          <t>Basket</t>
        </is>
      </c>
      <c r="F1191" s="3" t="inlineStr">
        <is>
          <t>mean</t>
        </is>
      </c>
      <c r="G1191" s="3" t="n">
        <v>9999</v>
      </c>
      <c r="H1191" s="3" t="n">
        <v>-0.7910030484199524</v>
      </c>
      <c r="I1191" s="3" t="n">
        <v>-0.7910030484199524</v>
      </c>
      <c r="J1191" s="3" t="n">
        <v>-0.9063091278076172</v>
      </c>
      <c r="K1191" s="3" t="n">
        <v>-0.9063091278076172</v>
      </c>
      <c r="L1191" s="3" t="n">
        <v>-0.7910030484199524</v>
      </c>
      <c r="M1191" s="3" t="n">
        <v>-0.7910030484199524</v>
      </c>
      <c r="N1191" s="3" t="n">
        <v>-0.7910030484199524</v>
      </c>
      <c r="O1191" s="3" t="n">
        <v>-0.7910030484199524</v>
      </c>
      <c r="P1191" s="3" t="n">
        <v>-0.7910030484199524</v>
      </c>
      <c r="Q1191" s="3" t="n">
        <v>-0.7910030484199524</v>
      </c>
      <c r="R1191" s="3" t="n">
        <v>-0.7751230001449585</v>
      </c>
      <c r="S1191" s="3" t="n">
        <v>-1.469074010848999</v>
      </c>
      <c r="T1191" s="3" t="n">
        <v>-0.7104492783546448</v>
      </c>
      <c r="U1191" s="3" t="n">
        <v>-0.9063091278076172</v>
      </c>
      <c r="V1191" s="3" t="n">
        <v>-0.685316801071167</v>
      </c>
      <c r="W1191" s="3" t="n">
        <v>-0.6206005811691284</v>
      </c>
      <c r="X1191" s="3" t="n">
        <v>-1.434589982032776</v>
      </c>
      <c r="Y1191" s="3" t="n">
        <v>-0.7910030484199524</v>
      </c>
      <c r="Z1191" s="3" t="n">
        <v>-1.469074010848999</v>
      </c>
      <c r="AA1191" s="3" t="n">
        <v>-1.469074010848999</v>
      </c>
      <c r="AB1191" s="3" t="n">
        <v>-1.434589982032776</v>
      </c>
      <c r="AC1191" s="3" t="n">
        <v>-2.591344594955444</v>
      </c>
      <c r="AD1191" s="3" t="n">
        <v>-0.9063091278076172</v>
      </c>
      <c r="AE1191" s="3" t="n">
        <v>-0.9063091278076172</v>
      </c>
    </row>
    <row r="1192">
      <c r="A1192" s="3" t="inlineStr">
        <is>
          <t>LBN.distn.dec.ove.mean.1</t>
        </is>
      </c>
      <c r="B1192" s="3" t="inlineStr">
        <is>
          <t>LBN</t>
        </is>
      </c>
      <c r="C1192" s="3" t="n">
        <v>2005</v>
      </c>
      <c r="D1192" s="3" t="inlineStr">
        <is>
          <t>Overall</t>
        </is>
      </c>
      <c r="E1192" s="3" t="inlineStr">
        <is>
          <t>Deciles</t>
        </is>
      </c>
      <c r="F1192" s="3" t="inlineStr">
        <is>
          <t>mean</t>
        </is>
      </c>
      <c r="G1192" s="3" t="n">
        <v>1</v>
      </c>
      <c r="H1192" s="3" t="n">
        <v>-0.7872329354286194</v>
      </c>
      <c r="I1192" s="3" t="n">
        <v>-0.7872329354286194</v>
      </c>
      <c r="J1192" s="3" t="n">
        <v>-0.8858028650283813</v>
      </c>
      <c r="K1192" s="3" t="n">
        <v>-0.8858028650283813</v>
      </c>
      <c r="L1192" s="3" t="n">
        <v>-0.7872329354286194</v>
      </c>
      <c r="M1192" s="3" t="n">
        <v>-0.7872329354286194</v>
      </c>
      <c r="N1192" s="3" t="n">
        <v>-0.7872329354286194</v>
      </c>
      <c r="O1192" s="3" t="n">
        <v>-0.7872329354286194</v>
      </c>
      <c r="P1192" s="3" t="n">
        <v>-0.7872329354286194</v>
      </c>
      <c r="Q1192" s="3" t="n">
        <v>-0.7872329354286194</v>
      </c>
      <c r="R1192" s="3" t="n">
        <v>-0.7734707593917847</v>
      </c>
      <c r="S1192" s="3" t="n">
        <v>-1.393311619758606</v>
      </c>
      <c r="T1192" s="3" t="n">
        <v>-0.7094525694847107</v>
      </c>
      <c r="U1192" s="3" t="n">
        <v>-0.8858028650283813</v>
      </c>
      <c r="V1192" s="3" t="n">
        <v>-0.6809241771697998</v>
      </c>
      <c r="W1192" s="3" t="n">
        <v>-0.5596442222595215</v>
      </c>
      <c r="X1192" s="3" t="n">
        <v>-1.341863393783569</v>
      </c>
      <c r="Y1192" s="3" t="n">
        <v>-0.7872329354286194</v>
      </c>
      <c r="Z1192" s="3" t="n">
        <v>-1.393311619758606</v>
      </c>
      <c r="AA1192" s="3" t="n">
        <v>-1.393311619758606</v>
      </c>
      <c r="AB1192" s="3" t="n">
        <v>-1.341863393783569</v>
      </c>
      <c r="AC1192" s="3" t="n">
        <v>-2.085220336914062</v>
      </c>
      <c r="AD1192" s="3" t="n">
        <v>-0.8858028650283813</v>
      </c>
      <c r="AE1192" s="3" t="n">
        <v>-0.8858028650283813</v>
      </c>
    </row>
    <row r="1193">
      <c r="A1193" s="3" t="inlineStr">
        <is>
          <t>LBN.distn.dec.ove.mean.2</t>
        </is>
      </c>
      <c r="B1193" s="3" t="inlineStr">
        <is>
          <t>LBN</t>
        </is>
      </c>
      <c r="C1193" s="3" t="n">
        <v>2005</v>
      </c>
      <c r="D1193" s="3" t="inlineStr">
        <is>
          <t>Overall</t>
        </is>
      </c>
      <c r="E1193" s="3" t="inlineStr">
        <is>
          <t>Deciles</t>
        </is>
      </c>
      <c r="F1193" s="3" t="inlineStr">
        <is>
          <t>mean</t>
        </is>
      </c>
      <c r="G1193" s="3" t="n">
        <v>2</v>
      </c>
      <c r="H1193" s="3" t="n">
        <v>-0.7872329354286194</v>
      </c>
      <c r="I1193" s="3" t="n">
        <v>-0.7872329354286194</v>
      </c>
      <c r="J1193" s="3" t="n">
        <v>-0.8858028650283813</v>
      </c>
      <c r="K1193" s="3" t="n">
        <v>-0.8858028650283813</v>
      </c>
      <c r="L1193" s="3" t="n">
        <v>-0.7872329354286194</v>
      </c>
      <c r="M1193" s="3" t="n">
        <v>-0.7872329354286194</v>
      </c>
      <c r="N1193" s="3" t="n">
        <v>-0.7872329354286194</v>
      </c>
      <c r="O1193" s="3" t="n">
        <v>-0.7872329354286194</v>
      </c>
      <c r="P1193" s="3" t="n">
        <v>-0.7872329354286194</v>
      </c>
      <c r="Q1193" s="3" t="n">
        <v>-0.7872329354286194</v>
      </c>
      <c r="R1193" s="3" t="n">
        <v>-0.7734707593917847</v>
      </c>
      <c r="S1193" s="3" t="n">
        <v>-1.393311619758606</v>
      </c>
      <c r="T1193" s="3" t="n">
        <v>-0.7094525694847107</v>
      </c>
      <c r="U1193" s="3" t="n">
        <v>-0.8858028650283813</v>
      </c>
      <c r="V1193" s="3" t="n">
        <v>-0.6809241771697998</v>
      </c>
      <c r="W1193" s="3" t="n">
        <v>-0.5596442222595215</v>
      </c>
      <c r="X1193" s="3" t="n">
        <v>-1.341863393783569</v>
      </c>
      <c r="Y1193" s="3" t="n">
        <v>-0.7872329354286194</v>
      </c>
      <c r="Z1193" s="3" t="n">
        <v>-1.393311619758606</v>
      </c>
      <c r="AA1193" s="3" t="n">
        <v>-1.393311619758606</v>
      </c>
      <c r="AB1193" s="3" t="n">
        <v>-1.341863393783569</v>
      </c>
      <c r="AC1193" s="3" t="n">
        <v>-2.085220336914062</v>
      </c>
      <c r="AD1193" s="3" t="n">
        <v>-0.8858028650283813</v>
      </c>
      <c r="AE1193" s="3" t="n">
        <v>-0.8858028650283813</v>
      </c>
    </row>
    <row r="1194">
      <c r="A1194" s="3" t="inlineStr">
        <is>
          <t>LBN.distn.dec.ove.mean.3</t>
        </is>
      </c>
      <c r="B1194" s="3" t="inlineStr">
        <is>
          <t>LBN</t>
        </is>
      </c>
      <c r="C1194" s="3" t="n">
        <v>2005</v>
      </c>
      <c r="D1194" s="3" t="inlineStr">
        <is>
          <t>Overall</t>
        </is>
      </c>
      <c r="E1194" s="3" t="inlineStr">
        <is>
          <t>Deciles</t>
        </is>
      </c>
      <c r="F1194" s="3" t="inlineStr">
        <is>
          <t>mean</t>
        </is>
      </c>
      <c r="G1194" s="3" t="n">
        <v>3</v>
      </c>
      <c r="H1194" s="3" t="n">
        <v>-0.7872329354286194</v>
      </c>
      <c r="I1194" s="3" t="n">
        <v>-0.7872329354286194</v>
      </c>
      <c r="J1194" s="3" t="n">
        <v>-0.8858028650283813</v>
      </c>
      <c r="K1194" s="3" t="n">
        <v>-0.8858028650283813</v>
      </c>
      <c r="L1194" s="3" t="n">
        <v>-0.7872329354286194</v>
      </c>
      <c r="M1194" s="3" t="n">
        <v>-0.7872329354286194</v>
      </c>
      <c r="N1194" s="3" t="n">
        <v>-0.7872329354286194</v>
      </c>
      <c r="O1194" s="3" t="n">
        <v>-0.7872329354286194</v>
      </c>
      <c r="P1194" s="3" t="n">
        <v>-0.7872329354286194</v>
      </c>
      <c r="Q1194" s="3" t="n">
        <v>-0.7872329354286194</v>
      </c>
      <c r="R1194" s="3" t="n">
        <v>-0.7734707593917847</v>
      </c>
      <c r="S1194" s="3" t="n">
        <v>-1.393311619758606</v>
      </c>
      <c r="T1194" s="3" t="n">
        <v>-0.7094525694847107</v>
      </c>
      <c r="U1194" s="3" t="n">
        <v>-0.8858028650283813</v>
      </c>
      <c r="V1194" s="3" t="n">
        <v>-0.6809241771697998</v>
      </c>
      <c r="W1194" s="3" t="n">
        <v>-0.5596442222595215</v>
      </c>
      <c r="X1194" s="3" t="n">
        <v>-1.341863393783569</v>
      </c>
      <c r="Y1194" s="3" t="n">
        <v>-0.7872329354286194</v>
      </c>
      <c r="Z1194" s="3" t="n">
        <v>-1.393311619758606</v>
      </c>
      <c r="AA1194" s="3" t="n">
        <v>-1.393311619758606</v>
      </c>
      <c r="AB1194" s="3" t="n">
        <v>-1.341863393783569</v>
      </c>
      <c r="AC1194" s="3" t="n">
        <v>-2.085220336914062</v>
      </c>
      <c r="AD1194" s="3" t="n">
        <v>-0.8858028650283813</v>
      </c>
      <c r="AE1194" s="3" t="n">
        <v>-0.8858028650283813</v>
      </c>
    </row>
    <row r="1195">
      <c r="A1195" s="3" t="inlineStr">
        <is>
          <t>LBN.distn.dec.ove.mean.4</t>
        </is>
      </c>
      <c r="B1195" s="3" t="inlineStr">
        <is>
          <t>LBN</t>
        </is>
      </c>
      <c r="C1195" s="3" t="n">
        <v>2005</v>
      </c>
      <c r="D1195" s="3" t="inlineStr">
        <is>
          <t>Overall</t>
        </is>
      </c>
      <c r="E1195" s="3" t="inlineStr">
        <is>
          <t>Deciles</t>
        </is>
      </c>
      <c r="F1195" s="3" t="inlineStr">
        <is>
          <t>mean</t>
        </is>
      </c>
      <c r="G1195" s="3" t="n">
        <v>4</v>
      </c>
      <c r="H1195" s="3" t="n">
        <v>-0.781000018119812</v>
      </c>
      <c r="I1195" s="3" t="n">
        <v>-0.781000018119812</v>
      </c>
      <c r="J1195" s="3" t="n">
        <v>-0.8429999947547913</v>
      </c>
      <c r="K1195" s="3" t="n">
        <v>-0.8429999947547913</v>
      </c>
      <c r="L1195" s="3" t="n">
        <v>-0.781000018119812</v>
      </c>
      <c r="M1195" s="3" t="n">
        <v>-0.781000018119812</v>
      </c>
      <c r="N1195" s="3" t="n">
        <v>-0.781000018119812</v>
      </c>
      <c r="O1195" s="3" t="n">
        <v>-0.781000018119812</v>
      </c>
      <c r="P1195" s="3" t="n">
        <v>-0.781000018119812</v>
      </c>
      <c r="Q1195" s="3" t="n">
        <v>-0.781000018119812</v>
      </c>
      <c r="R1195" s="3" t="n">
        <v>-0.7699999809265137</v>
      </c>
      <c r="S1195" s="3" t="n">
        <v>-0.9490000009536743</v>
      </c>
      <c r="T1195" s="3" t="n">
        <v>-0.7080000042915344</v>
      </c>
      <c r="U1195" s="3" t="n">
        <v>-0.8429999947547913</v>
      </c>
      <c r="V1195" s="3" t="n">
        <v>-0.6740000247955322</v>
      </c>
      <c r="W1195" s="3" t="n">
        <v>-0.4709999859333038</v>
      </c>
      <c r="X1195" s="3" t="n">
        <v>-0.9470000267028809</v>
      </c>
      <c r="Y1195" s="3" t="n">
        <v>-0.781000018119812</v>
      </c>
      <c r="Z1195" s="3" t="n">
        <v>-0.9490000009536743</v>
      </c>
      <c r="AA1195" s="3" t="n">
        <v>-0.9490000009536743</v>
      </c>
      <c r="AB1195" s="3" t="n">
        <v>-0.9470000267028809</v>
      </c>
      <c r="AC1195" s="3" t="n">
        <v>-1.006999969482422</v>
      </c>
      <c r="AD1195" s="3" t="n">
        <v>-0.8429999947547913</v>
      </c>
      <c r="AE1195" s="3" t="n">
        <v>-0.8429999947547913</v>
      </c>
    </row>
    <row r="1196">
      <c r="A1196" s="3" t="inlineStr">
        <is>
          <t>LBN.distn.dec.ove.mean.5</t>
        </is>
      </c>
      <c r="B1196" s="3" t="inlineStr">
        <is>
          <t>LBN</t>
        </is>
      </c>
      <c r="C1196" s="3" t="n">
        <v>2005</v>
      </c>
      <c r="D1196" s="3" t="inlineStr">
        <is>
          <t>Overall</t>
        </is>
      </c>
      <c r="E1196" s="3" t="inlineStr">
        <is>
          <t>Deciles</t>
        </is>
      </c>
      <c r="F1196" s="3" t="inlineStr">
        <is>
          <t>mean</t>
        </is>
      </c>
      <c r="G1196" s="3" t="n">
        <v>5</v>
      </c>
      <c r="H1196" s="3" t="n">
        <v>-0.781000018119812</v>
      </c>
      <c r="I1196" s="3" t="n">
        <v>-0.781000018119812</v>
      </c>
      <c r="J1196" s="3" t="n">
        <v>-0.8429999947547913</v>
      </c>
      <c r="K1196" s="3" t="n">
        <v>-0.8429999947547913</v>
      </c>
      <c r="L1196" s="3" t="n">
        <v>-0.781000018119812</v>
      </c>
      <c r="M1196" s="3" t="n">
        <v>-0.781000018119812</v>
      </c>
      <c r="N1196" s="3" t="n">
        <v>-0.781000018119812</v>
      </c>
      <c r="O1196" s="3" t="n">
        <v>-0.781000018119812</v>
      </c>
      <c r="P1196" s="3" t="n">
        <v>-0.781000018119812</v>
      </c>
      <c r="Q1196" s="3" t="n">
        <v>-0.781000018119812</v>
      </c>
      <c r="R1196" s="3" t="n">
        <v>-0.7699999809265137</v>
      </c>
      <c r="S1196" s="3" t="n">
        <v>-0.9490000009536743</v>
      </c>
      <c r="T1196" s="3" t="n">
        <v>-0.7080000042915344</v>
      </c>
      <c r="U1196" s="3" t="n">
        <v>-0.8429999947547913</v>
      </c>
      <c r="V1196" s="3" t="n">
        <v>-0.6740000247955322</v>
      </c>
      <c r="W1196" s="3" t="n">
        <v>-0.4709999859333038</v>
      </c>
      <c r="X1196" s="3" t="n">
        <v>-0.9470000267028809</v>
      </c>
      <c r="Y1196" s="3" t="n">
        <v>-0.781000018119812</v>
      </c>
      <c r="Z1196" s="3" t="n">
        <v>-0.9490000009536743</v>
      </c>
      <c r="AA1196" s="3" t="n">
        <v>-0.9490000009536743</v>
      </c>
      <c r="AB1196" s="3" t="n">
        <v>-0.9470000267028809</v>
      </c>
      <c r="AC1196" s="3" t="n">
        <v>-1.006999969482422</v>
      </c>
      <c r="AD1196" s="3" t="n">
        <v>-0.8429999947547913</v>
      </c>
      <c r="AE1196" s="3" t="n">
        <v>-0.8429999947547913</v>
      </c>
    </row>
    <row r="1197">
      <c r="A1197" s="3" t="inlineStr">
        <is>
          <t>LBN.distn.dec.ove.mean.6</t>
        </is>
      </c>
      <c r="B1197" s="3" t="inlineStr">
        <is>
          <t>LBN</t>
        </is>
      </c>
      <c r="C1197" s="3" t="n">
        <v>2005</v>
      </c>
      <c r="D1197" s="3" t="inlineStr">
        <is>
          <t>Overall</t>
        </is>
      </c>
      <c r="E1197" s="3" t="inlineStr">
        <is>
          <t>Deciles</t>
        </is>
      </c>
      <c r="F1197" s="3" t="inlineStr">
        <is>
          <t>mean</t>
        </is>
      </c>
      <c r="G1197" s="3" t="n">
        <v>6</v>
      </c>
      <c r="H1197" s="3" t="n">
        <v>-0.781000018119812</v>
      </c>
      <c r="I1197" s="3" t="n">
        <v>-0.781000018119812</v>
      </c>
      <c r="J1197" s="3" t="n">
        <v>-0.8429999947547913</v>
      </c>
      <c r="K1197" s="3" t="n">
        <v>-0.8429999947547913</v>
      </c>
      <c r="L1197" s="3" t="n">
        <v>-0.781000018119812</v>
      </c>
      <c r="M1197" s="3" t="n">
        <v>-0.781000018119812</v>
      </c>
      <c r="N1197" s="3" t="n">
        <v>-0.781000018119812</v>
      </c>
      <c r="O1197" s="3" t="n">
        <v>-0.781000018119812</v>
      </c>
      <c r="P1197" s="3" t="n">
        <v>-0.781000018119812</v>
      </c>
      <c r="Q1197" s="3" t="n">
        <v>-0.781000018119812</v>
      </c>
      <c r="R1197" s="3" t="n">
        <v>-0.7699999809265137</v>
      </c>
      <c r="S1197" s="3" t="n">
        <v>-0.9490000009536743</v>
      </c>
      <c r="T1197" s="3" t="n">
        <v>-0.7080000042915344</v>
      </c>
      <c r="U1197" s="3" t="n">
        <v>-0.8429999947547913</v>
      </c>
      <c r="V1197" s="3" t="n">
        <v>-0.6740000247955322</v>
      </c>
      <c r="W1197" s="3" t="n">
        <v>-0.4709999859333038</v>
      </c>
      <c r="X1197" s="3" t="n">
        <v>-0.9470000267028809</v>
      </c>
      <c r="Y1197" s="3" t="n">
        <v>-0.781000018119812</v>
      </c>
      <c r="Z1197" s="3" t="n">
        <v>-0.9490000009536743</v>
      </c>
      <c r="AA1197" s="3" t="n">
        <v>-0.9490000009536743</v>
      </c>
      <c r="AB1197" s="3" t="n">
        <v>-0.9470000267028809</v>
      </c>
      <c r="AC1197" s="3" t="n">
        <v>-1.006999969482422</v>
      </c>
      <c r="AD1197" s="3" t="n">
        <v>-0.8429999947547913</v>
      </c>
      <c r="AE1197" s="3" t="n">
        <v>-0.8429999947547913</v>
      </c>
    </row>
    <row r="1198">
      <c r="A1198" s="3" t="inlineStr">
        <is>
          <t>LBN.distn.dec.ove.mean.7</t>
        </is>
      </c>
      <c r="B1198" s="3" t="inlineStr">
        <is>
          <t>LBN</t>
        </is>
      </c>
      <c r="C1198" s="3" t="n">
        <v>2005</v>
      </c>
      <c r="D1198" s="3" t="inlineStr">
        <is>
          <t>Overall</t>
        </is>
      </c>
      <c r="E1198" s="3" t="inlineStr">
        <is>
          <t>Deciles</t>
        </is>
      </c>
      <c r="F1198" s="3" t="inlineStr">
        <is>
          <t>mean</t>
        </is>
      </c>
      <c r="G1198" s="3" t="n">
        <v>7</v>
      </c>
      <c r="H1198" s="3" t="n">
        <v>-0.781000018119812</v>
      </c>
      <c r="I1198" s="3" t="n">
        <v>-0.781000018119812</v>
      </c>
      <c r="J1198" s="3" t="n">
        <v>-0.8429999947547913</v>
      </c>
      <c r="K1198" s="3" t="n">
        <v>-0.8429999947547913</v>
      </c>
      <c r="L1198" s="3" t="n">
        <v>-0.781000018119812</v>
      </c>
      <c r="M1198" s="3" t="n">
        <v>-0.781000018119812</v>
      </c>
      <c r="N1198" s="3" t="n">
        <v>-0.781000018119812</v>
      </c>
      <c r="O1198" s="3" t="n">
        <v>-0.781000018119812</v>
      </c>
      <c r="P1198" s="3" t="n">
        <v>-0.781000018119812</v>
      </c>
      <c r="Q1198" s="3" t="n">
        <v>-0.781000018119812</v>
      </c>
      <c r="R1198" s="3" t="n">
        <v>-0.7699999809265137</v>
      </c>
      <c r="S1198" s="3" t="n">
        <v>-0.9490000009536743</v>
      </c>
      <c r="T1198" s="3" t="n">
        <v>-0.7080000042915344</v>
      </c>
      <c r="U1198" s="3" t="n">
        <v>-0.8429999947547913</v>
      </c>
      <c r="V1198" s="3" t="n">
        <v>-0.6740000247955322</v>
      </c>
      <c r="W1198" s="3" t="n">
        <v>-0.4709999859333038</v>
      </c>
      <c r="X1198" s="3" t="n">
        <v>-0.9470000267028809</v>
      </c>
      <c r="Y1198" s="3" t="n">
        <v>-0.781000018119812</v>
      </c>
      <c r="Z1198" s="3" t="n">
        <v>-0.9490000009536743</v>
      </c>
      <c r="AA1198" s="3" t="n">
        <v>-0.9490000009536743</v>
      </c>
      <c r="AB1198" s="3" t="n">
        <v>-0.9470000267028809</v>
      </c>
      <c r="AC1198" s="3" t="n">
        <v>-1.006999969482422</v>
      </c>
      <c r="AD1198" s="3" t="n">
        <v>-0.8429999947547913</v>
      </c>
      <c r="AE1198" s="3" t="n">
        <v>-0.8429999947547913</v>
      </c>
    </row>
    <row r="1199">
      <c r="A1199" s="3" t="inlineStr">
        <is>
          <t>LBN.distn.dec.ove.mean.8</t>
        </is>
      </c>
      <c r="B1199" s="3" t="inlineStr">
        <is>
          <t>LBN</t>
        </is>
      </c>
      <c r="C1199" s="3" t="n">
        <v>2005</v>
      </c>
      <c r="D1199" s="3" t="inlineStr">
        <is>
          <t>Overall</t>
        </is>
      </c>
      <c r="E1199" s="3" t="inlineStr">
        <is>
          <t>Deciles</t>
        </is>
      </c>
      <c r="F1199" s="3" t="inlineStr">
        <is>
          <t>mean</t>
        </is>
      </c>
      <c r="G1199" s="3" t="n">
        <v>8</v>
      </c>
      <c r="H1199" s="3" t="n">
        <v>-0.7813762426376343</v>
      </c>
      <c r="I1199" s="3" t="n">
        <v>-0.7813762426376343</v>
      </c>
      <c r="J1199" s="3" t="n">
        <v>-0.8452740907669067</v>
      </c>
      <c r="K1199" s="3" t="n">
        <v>-0.8452740907669067</v>
      </c>
      <c r="L1199" s="3" t="n">
        <v>-0.7813762426376343</v>
      </c>
      <c r="M1199" s="3" t="n">
        <v>-0.7813762426376343</v>
      </c>
      <c r="N1199" s="3" t="n">
        <v>-0.7813762426376343</v>
      </c>
      <c r="O1199" s="3" t="n">
        <v>-0.7813762426376343</v>
      </c>
      <c r="P1199" s="3" t="n">
        <v>-0.7813762426376343</v>
      </c>
      <c r="Q1199" s="3" t="n">
        <v>-0.7813762426376343</v>
      </c>
      <c r="R1199" s="3" t="n">
        <v>-0.7702532410621643</v>
      </c>
      <c r="S1199" s="3" t="n">
        <v>-0.957830548286438</v>
      </c>
      <c r="T1199" s="3" t="n">
        <v>-0.7080408334732056</v>
      </c>
      <c r="U1199" s="3" t="n">
        <v>-0.8452740907669067</v>
      </c>
      <c r="V1199" s="3" t="n">
        <v>-0.6746967434883118</v>
      </c>
      <c r="W1199" s="3" t="n">
        <v>-0.4836128056049347</v>
      </c>
      <c r="X1199" s="3" t="n">
        <v>-0.9556290507316589</v>
      </c>
      <c r="Y1199" s="3" t="n">
        <v>-0.7813762426376343</v>
      </c>
      <c r="Z1199" s="3" t="n">
        <v>-0.957830548286438</v>
      </c>
      <c r="AA1199" s="3" t="n">
        <v>-0.957830548286438</v>
      </c>
      <c r="AB1199" s="3" t="n">
        <v>-0.9556290507316589</v>
      </c>
      <c r="AC1199" s="3" t="n">
        <v>-1.021361112594604</v>
      </c>
      <c r="AD1199" s="3" t="n">
        <v>-0.8452740907669067</v>
      </c>
      <c r="AE1199" s="3" t="n">
        <v>-0.8452740907669067</v>
      </c>
    </row>
    <row r="1200">
      <c r="A1200" s="3" t="inlineStr">
        <is>
          <t>LBN.distn.dec.ove.mean.9</t>
        </is>
      </c>
      <c r="B1200" s="3" t="inlineStr">
        <is>
          <t>LBN</t>
        </is>
      </c>
      <c r="C1200" s="3" t="n">
        <v>2005</v>
      </c>
      <c r="D1200" s="3" t="inlineStr">
        <is>
          <t>Overall</t>
        </is>
      </c>
      <c r="E1200" s="3" t="inlineStr">
        <is>
          <t>Deciles</t>
        </is>
      </c>
      <c r="F1200" s="3" t="inlineStr">
        <is>
          <t>mean</t>
        </is>
      </c>
      <c r="G1200" s="3" t="n">
        <v>9</v>
      </c>
      <c r="H1200" s="3" t="n">
        <v>-0.7813762426376343</v>
      </c>
      <c r="I1200" s="3" t="n">
        <v>-0.7813762426376343</v>
      </c>
      <c r="J1200" s="3" t="n">
        <v>-0.8452740907669067</v>
      </c>
      <c r="K1200" s="3" t="n">
        <v>-0.8452740907669067</v>
      </c>
      <c r="L1200" s="3" t="n">
        <v>-0.7813762426376343</v>
      </c>
      <c r="M1200" s="3" t="n">
        <v>-0.7813762426376343</v>
      </c>
      <c r="N1200" s="3" t="n">
        <v>-0.7813762426376343</v>
      </c>
      <c r="O1200" s="3" t="n">
        <v>-0.7813762426376343</v>
      </c>
      <c r="P1200" s="3" t="n">
        <v>-0.7813762426376343</v>
      </c>
      <c r="Q1200" s="3" t="n">
        <v>-0.7813762426376343</v>
      </c>
      <c r="R1200" s="3" t="n">
        <v>-0.7702532410621643</v>
      </c>
      <c r="S1200" s="3" t="n">
        <v>-0.957830548286438</v>
      </c>
      <c r="T1200" s="3" t="n">
        <v>-0.7080408334732056</v>
      </c>
      <c r="U1200" s="3" t="n">
        <v>-0.8452740907669067</v>
      </c>
      <c r="V1200" s="3" t="n">
        <v>-0.6746967434883118</v>
      </c>
      <c r="W1200" s="3" t="n">
        <v>-0.4836128056049347</v>
      </c>
      <c r="X1200" s="3" t="n">
        <v>-0.9556290507316589</v>
      </c>
      <c r="Y1200" s="3" t="n">
        <v>-0.7813762426376343</v>
      </c>
      <c r="Z1200" s="3" t="n">
        <v>-0.957830548286438</v>
      </c>
      <c r="AA1200" s="3" t="n">
        <v>-0.957830548286438</v>
      </c>
      <c r="AB1200" s="3" t="n">
        <v>-0.9556290507316589</v>
      </c>
      <c r="AC1200" s="3" t="n">
        <v>-1.021361112594604</v>
      </c>
      <c r="AD1200" s="3" t="n">
        <v>-0.8452740907669067</v>
      </c>
      <c r="AE1200" s="3" t="n">
        <v>-0.8452740907669067</v>
      </c>
    </row>
    <row r="1201">
      <c r="A1201" s="3" t="inlineStr">
        <is>
          <t>LBN.distn.dec.ove.mean.10</t>
        </is>
      </c>
      <c r="B1201" s="3" t="inlineStr">
        <is>
          <t>LBN</t>
        </is>
      </c>
      <c r="C1201" s="3" t="n">
        <v>2005</v>
      </c>
      <c r="D1201" s="3" t="inlineStr">
        <is>
          <t>Overall</t>
        </is>
      </c>
      <c r="E1201" s="3" t="inlineStr">
        <is>
          <t>Deciles</t>
        </is>
      </c>
      <c r="F1201" s="3" t="inlineStr">
        <is>
          <t>mean</t>
        </is>
      </c>
      <c r="G1201" s="3" t="n">
        <v>10</v>
      </c>
      <c r="H1201" s="3" t="n">
        <v>-0.7813762426376343</v>
      </c>
      <c r="I1201" s="3" t="n">
        <v>-0.7813762426376343</v>
      </c>
      <c r="J1201" s="3" t="n">
        <v>-0.8452740907669067</v>
      </c>
      <c r="K1201" s="3" t="n">
        <v>-0.8452740907669067</v>
      </c>
      <c r="L1201" s="3" t="n">
        <v>-0.7813762426376343</v>
      </c>
      <c r="M1201" s="3" t="n">
        <v>-0.7813762426376343</v>
      </c>
      <c r="N1201" s="3" t="n">
        <v>-0.7813762426376343</v>
      </c>
      <c r="O1201" s="3" t="n">
        <v>-0.7813762426376343</v>
      </c>
      <c r="P1201" s="3" t="n">
        <v>-0.7813762426376343</v>
      </c>
      <c r="Q1201" s="3" t="n">
        <v>-0.7813762426376343</v>
      </c>
      <c r="R1201" s="3" t="n">
        <v>-0.7702532410621643</v>
      </c>
      <c r="S1201" s="3" t="n">
        <v>-0.957830548286438</v>
      </c>
      <c r="T1201" s="3" t="n">
        <v>-0.7080408334732056</v>
      </c>
      <c r="U1201" s="3" t="n">
        <v>-0.8452740907669067</v>
      </c>
      <c r="V1201" s="3" t="n">
        <v>-0.6746967434883118</v>
      </c>
      <c r="W1201" s="3" t="n">
        <v>-0.4836128056049347</v>
      </c>
      <c r="X1201" s="3" t="n">
        <v>-0.9556290507316589</v>
      </c>
      <c r="Y1201" s="3" t="n">
        <v>-0.7813762426376343</v>
      </c>
      <c r="Z1201" s="3" t="n">
        <v>-0.957830548286438</v>
      </c>
      <c r="AA1201" s="3" t="n">
        <v>-0.957830548286438</v>
      </c>
      <c r="AB1201" s="3" t="n">
        <v>-0.9556290507316589</v>
      </c>
      <c r="AC1201" s="3" t="n">
        <v>-1.021361112594604</v>
      </c>
      <c r="AD1201" s="3" t="n">
        <v>-0.8452740907669067</v>
      </c>
      <c r="AE1201" s="3" t="n">
        <v>-0.8452740907669067</v>
      </c>
    </row>
    <row r="1202">
      <c r="A1202" s="3" t="inlineStr">
        <is>
          <t>LBN.distn.bkt.ove.mean.9999</t>
        </is>
      </c>
      <c r="B1202" s="3" t="inlineStr">
        <is>
          <t>LBN</t>
        </is>
      </c>
      <c r="C1202" s="3" t="n">
        <v>2005</v>
      </c>
      <c r="D1202" s="3" t="inlineStr">
        <is>
          <t>Overall</t>
        </is>
      </c>
      <c r="E1202" s="3" t="inlineStr">
        <is>
          <t>Basket</t>
        </is>
      </c>
      <c r="F1202" s="3" t="inlineStr">
        <is>
          <t>mean</t>
        </is>
      </c>
      <c r="G1202" s="3" t="n">
        <v>9999</v>
      </c>
      <c r="H1202" s="3" t="n">
        <v>-0.7829827666282654</v>
      </c>
      <c r="I1202" s="3" t="n">
        <v>-0.7829827666282654</v>
      </c>
      <c r="J1202" s="3" t="n">
        <v>-0.8565230965614319</v>
      </c>
      <c r="K1202" s="3" t="n">
        <v>-0.8565230965614319</v>
      </c>
      <c r="L1202" s="3" t="n">
        <v>-0.7829827666282654</v>
      </c>
      <c r="M1202" s="3" t="n">
        <v>-0.7829827666282654</v>
      </c>
      <c r="N1202" s="3" t="n">
        <v>-0.7829827666282654</v>
      </c>
      <c r="O1202" s="3" t="n">
        <v>-0.7829827666282654</v>
      </c>
      <c r="P1202" s="3" t="n">
        <v>-0.7829827666282654</v>
      </c>
      <c r="Q1202" s="3" t="n">
        <v>-0.7829827666282654</v>
      </c>
      <c r="R1202" s="3" t="n">
        <v>-0.7711172103881836</v>
      </c>
      <c r="S1202" s="3" t="n">
        <v>-1.084942698478699</v>
      </c>
      <c r="T1202" s="3" t="n">
        <v>-0.708448052406311</v>
      </c>
      <c r="U1202" s="3" t="n">
        <v>-0.8565230965614319</v>
      </c>
      <c r="V1202" s="3" t="n">
        <v>-0.6762862801551819</v>
      </c>
      <c r="W1202" s="3" t="n">
        <v>-0.5013771057128906</v>
      </c>
      <c r="X1202" s="3" t="n">
        <v>-1.068047761917114</v>
      </c>
      <c r="Y1202" s="3" t="n">
        <v>-0.7829827666282654</v>
      </c>
      <c r="Z1202" s="3" t="n">
        <v>-1.084942698478699</v>
      </c>
      <c r="AA1202" s="3" t="n">
        <v>-1.084942698478699</v>
      </c>
      <c r="AB1202" s="3" t="n">
        <v>-1.068047761917114</v>
      </c>
      <c r="AC1202" s="3" t="n">
        <v>-1.334774374961853</v>
      </c>
      <c r="AD1202" s="3" t="n">
        <v>-0.8565230965614319</v>
      </c>
      <c r="AE1202" s="3" t="n">
        <v>-0.8565230965614319</v>
      </c>
    </row>
    <row r="1203">
      <c r="A1203" s="3" t="inlineStr">
        <is>
          <t>LBR.distn.dec.ove.mean.1</t>
        </is>
      </c>
      <c r="B1203" s="3" t="inlineStr">
        <is>
          <t>LBR</t>
        </is>
      </c>
      <c r="C1203" s="3" t="n">
        <v>2005</v>
      </c>
      <c r="D1203" s="3" t="inlineStr">
        <is>
          <t>Overall</t>
        </is>
      </c>
      <c r="E1203" s="3" t="inlineStr">
        <is>
          <t>Deciles</t>
        </is>
      </c>
      <c r="F1203" s="3" t="inlineStr">
        <is>
          <t>mean</t>
        </is>
      </c>
      <c r="G1203" s="3" t="n">
        <v>1</v>
      </c>
      <c r="H1203" s="3" t="n">
        <v>-0.8003367185592651</v>
      </c>
      <c r="I1203" s="3" t="n">
        <v>-0.8003367185592651</v>
      </c>
      <c r="J1203" s="3" t="n">
        <v>-0.9982357621192932</v>
      </c>
      <c r="K1203" s="3" t="n">
        <v>-0.9982357621192932</v>
      </c>
      <c r="L1203" s="3" t="n">
        <v>-0.8003367185592651</v>
      </c>
      <c r="M1203" s="3" t="n">
        <v>-0.8003367185592651</v>
      </c>
      <c r="N1203" s="3" t="n">
        <v>-0.8003367185592651</v>
      </c>
      <c r="O1203" s="3" t="n">
        <v>-0.8003367185592651</v>
      </c>
      <c r="P1203" s="3" t="n">
        <v>-0.8003367185592651</v>
      </c>
      <c r="Q1203" s="3" t="n">
        <v>-0.8003367185592651</v>
      </c>
      <c r="R1203" s="3" t="n">
        <v>-0.7805023193359375</v>
      </c>
      <c r="S1203" s="3" t="n">
        <v>-12.11843395233154</v>
      </c>
      <c r="T1203" s="3" t="n">
        <v>-0.7124587297439575</v>
      </c>
      <c r="U1203" s="3" t="n">
        <v>-0.9982357621192932</v>
      </c>
      <c r="V1203" s="3" t="n">
        <v>-0.6940577030181885</v>
      </c>
      <c r="W1203" s="3" t="n">
        <v>-0.7283692359924316</v>
      </c>
      <c r="X1203" s="3" t="n">
        <v>-8.959452629089355</v>
      </c>
      <c r="Y1203" s="3" t="n">
        <v>-0.8003367185592651</v>
      </c>
      <c r="Z1203" s="3" t="n">
        <v>-12.11843395233154</v>
      </c>
      <c r="AA1203" s="3" t="n">
        <v>-12.11843395233154</v>
      </c>
      <c r="AB1203" s="3" t="n">
        <v>-8.959452629089355</v>
      </c>
      <c r="AC1203" s="3" t="n">
        <v>-3.834983348846436</v>
      </c>
      <c r="AD1203" s="3" t="n">
        <v>-0.9982357621192932</v>
      </c>
      <c r="AE1203" s="3" t="n">
        <v>-0.9982357621192932</v>
      </c>
    </row>
    <row r="1204">
      <c r="A1204" s="3" t="inlineStr">
        <is>
          <t>LBR.distn.dec.ove.mean.2</t>
        </is>
      </c>
      <c r="B1204" s="3" t="inlineStr">
        <is>
          <t>LBR</t>
        </is>
      </c>
      <c r="C1204" s="3" t="n">
        <v>2005</v>
      </c>
      <c r="D1204" s="3" t="inlineStr">
        <is>
          <t>Overall</t>
        </is>
      </c>
      <c r="E1204" s="3" t="inlineStr">
        <is>
          <t>Deciles</t>
        </is>
      </c>
      <c r="F1204" s="3" t="inlineStr">
        <is>
          <t>mean</t>
        </is>
      </c>
      <c r="G1204" s="3" t="n">
        <v>2</v>
      </c>
      <c r="H1204" s="3" t="n">
        <v>-0.8003367185592651</v>
      </c>
      <c r="I1204" s="3" t="n">
        <v>-0.8003367185592651</v>
      </c>
      <c r="J1204" s="3" t="n">
        <v>-0.9982357621192932</v>
      </c>
      <c r="K1204" s="3" t="n">
        <v>-0.9982357621192932</v>
      </c>
      <c r="L1204" s="3" t="n">
        <v>-0.8003367185592651</v>
      </c>
      <c r="M1204" s="3" t="n">
        <v>-0.8003367185592651</v>
      </c>
      <c r="N1204" s="3" t="n">
        <v>-0.8003367185592651</v>
      </c>
      <c r="O1204" s="3" t="n">
        <v>-0.8003367185592651</v>
      </c>
      <c r="P1204" s="3" t="n">
        <v>-0.8003367185592651</v>
      </c>
      <c r="Q1204" s="3" t="n">
        <v>-0.8003367185592651</v>
      </c>
      <c r="R1204" s="3" t="n">
        <v>-0.7805023193359375</v>
      </c>
      <c r="S1204" s="3" t="n">
        <v>-12.11843395233154</v>
      </c>
      <c r="T1204" s="3" t="n">
        <v>-0.7124587297439575</v>
      </c>
      <c r="U1204" s="3" t="n">
        <v>-0.9982357621192932</v>
      </c>
      <c r="V1204" s="3" t="n">
        <v>-0.6940577030181885</v>
      </c>
      <c r="W1204" s="3" t="n">
        <v>-0.7283692359924316</v>
      </c>
      <c r="X1204" s="3" t="n">
        <v>-8.959452629089355</v>
      </c>
      <c r="Y1204" s="3" t="n">
        <v>-0.8003367185592651</v>
      </c>
      <c r="Z1204" s="3" t="n">
        <v>-12.11843395233154</v>
      </c>
      <c r="AA1204" s="3" t="n">
        <v>-12.11843395233154</v>
      </c>
      <c r="AB1204" s="3" t="n">
        <v>-8.959452629089355</v>
      </c>
      <c r="AC1204" s="3" t="n">
        <v>-3.834983348846436</v>
      </c>
      <c r="AD1204" s="3" t="n">
        <v>-0.9982357621192932</v>
      </c>
      <c r="AE1204" s="3" t="n">
        <v>-0.9982357621192932</v>
      </c>
    </row>
    <row r="1205">
      <c r="A1205" s="3" t="inlineStr">
        <is>
          <t>LBR.distn.dec.ove.mean.3</t>
        </is>
      </c>
      <c r="B1205" s="3" t="inlineStr">
        <is>
          <t>LBR</t>
        </is>
      </c>
      <c r="C1205" s="3" t="n">
        <v>2005</v>
      </c>
      <c r="D1205" s="3" t="inlineStr">
        <is>
          <t>Overall</t>
        </is>
      </c>
      <c r="E1205" s="3" t="inlineStr">
        <is>
          <t>Deciles</t>
        </is>
      </c>
      <c r="F1205" s="3" t="inlineStr">
        <is>
          <t>mean</t>
        </is>
      </c>
      <c r="G1205" s="3" t="n">
        <v>3</v>
      </c>
      <c r="H1205" s="3" t="n">
        <v>-0.8003367185592651</v>
      </c>
      <c r="I1205" s="3" t="n">
        <v>-0.8003367185592651</v>
      </c>
      <c r="J1205" s="3" t="n">
        <v>-0.9982357621192932</v>
      </c>
      <c r="K1205" s="3" t="n">
        <v>-0.9982357621192932</v>
      </c>
      <c r="L1205" s="3" t="n">
        <v>-0.8003367185592651</v>
      </c>
      <c r="M1205" s="3" t="n">
        <v>-0.8003367185592651</v>
      </c>
      <c r="N1205" s="3" t="n">
        <v>-0.8003367185592651</v>
      </c>
      <c r="O1205" s="3" t="n">
        <v>-0.8003367185592651</v>
      </c>
      <c r="P1205" s="3" t="n">
        <v>-0.8003367185592651</v>
      </c>
      <c r="Q1205" s="3" t="n">
        <v>-0.8003367185592651</v>
      </c>
      <c r="R1205" s="3" t="n">
        <v>-0.7805023193359375</v>
      </c>
      <c r="S1205" s="3" t="n">
        <v>-12.11843395233154</v>
      </c>
      <c r="T1205" s="3" t="n">
        <v>-0.7124587297439575</v>
      </c>
      <c r="U1205" s="3" t="n">
        <v>-0.9982357621192932</v>
      </c>
      <c r="V1205" s="3" t="n">
        <v>-0.6940577030181885</v>
      </c>
      <c r="W1205" s="3" t="n">
        <v>-0.7283692359924316</v>
      </c>
      <c r="X1205" s="3" t="n">
        <v>-8.959452629089355</v>
      </c>
      <c r="Y1205" s="3" t="n">
        <v>-0.8003367185592651</v>
      </c>
      <c r="Z1205" s="3" t="n">
        <v>-12.11843395233154</v>
      </c>
      <c r="AA1205" s="3" t="n">
        <v>-12.11843395233154</v>
      </c>
      <c r="AB1205" s="3" t="n">
        <v>-8.959452629089355</v>
      </c>
      <c r="AC1205" s="3" t="n">
        <v>-3.834983348846436</v>
      </c>
      <c r="AD1205" s="3" t="n">
        <v>-0.9982357621192932</v>
      </c>
      <c r="AE1205" s="3" t="n">
        <v>-0.9982357621192932</v>
      </c>
    </row>
    <row r="1206">
      <c r="A1206" s="3" t="inlineStr">
        <is>
          <t>LBR.distn.dec.ove.mean.4</t>
        </is>
      </c>
      <c r="B1206" s="3" t="inlineStr">
        <is>
          <t>LBR</t>
        </is>
      </c>
      <c r="C1206" s="3" t="n">
        <v>2005</v>
      </c>
      <c r="D1206" s="3" t="inlineStr">
        <is>
          <t>Overall</t>
        </is>
      </c>
      <c r="E1206" s="3" t="inlineStr">
        <is>
          <t>Deciles</t>
        </is>
      </c>
      <c r="F1206" s="3" t="inlineStr">
        <is>
          <t>mean</t>
        </is>
      </c>
      <c r="G1206" s="3" t="n">
        <v>4</v>
      </c>
      <c r="H1206" s="3" t="n">
        <v>-0.7940000295639038</v>
      </c>
      <c r="I1206" s="3" t="n">
        <v>-0.7940000295639038</v>
      </c>
      <c r="J1206" s="3" t="n">
        <v>-0.949999988079071</v>
      </c>
      <c r="K1206" s="3" t="n">
        <v>-0.949999988079071</v>
      </c>
      <c r="L1206" s="3" t="n">
        <v>-0.7940000295639038</v>
      </c>
      <c r="M1206" s="3" t="n">
        <v>-0.7940000295639038</v>
      </c>
      <c r="N1206" s="3" t="n">
        <v>-0.7940000295639038</v>
      </c>
      <c r="O1206" s="3" t="n">
        <v>-0.7940000295639038</v>
      </c>
      <c r="P1206" s="3" t="n">
        <v>-0.7940000295639038</v>
      </c>
      <c r="Q1206" s="3" t="n">
        <v>-0.7940000295639038</v>
      </c>
      <c r="R1206" s="3" t="n">
        <v>-0.7770000100135803</v>
      </c>
      <c r="S1206" s="3" t="n">
        <v>-8.253999710083008</v>
      </c>
      <c r="T1206" s="3" t="n">
        <v>-0.7110000252723694</v>
      </c>
      <c r="U1206" s="3" t="n">
        <v>-0.949999988079071</v>
      </c>
      <c r="V1206" s="3" t="n">
        <v>-0.6869999766349792</v>
      </c>
      <c r="W1206" s="3" t="n">
        <v>-0.6129999756813049</v>
      </c>
      <c r="X1206" s="3" t="n">
        <v>-6.322999954223633</v>
      </c>
      <c r="Y1206" s="3" t="n">
        <v>-0.7940000295639038</v>
      </c>
      <c r="Z1206" s="3" t="n">
        <v>-8.253999710083008</v>
      </c>
      <c r="AA1206" s="3" t="n">
        <v>-8.253999710083008</v>
      </c>
      <c r="AB1206" s="3" t="n">
        <v>-6.322999954223633</v>
      </c>
      <c r="AC1206" s="3" t="n">
        <v>-1.851999998092651</v>
      </c>
      <c r="AD1206" s="3" t="n">
        <v>-0.949999988079071</v>
      </c>
      <c r="AE1206" s="3" t="n">
        <v>-0.949999988079071</v>
      </c>
    </row>
    <row r="1207">
      <c r="A1207" s="3" t="inlineStr">
        <is>
          <t>LBR.distn.dec.ove.mean.5</t>
        </is>
      </c>
      <c r="B1207" s="3" t="inlineStr">
        <is>
          <t>LBR</t>
        </is>
      </c>
      <c r="C1207" s="3" t="n">
        <v>2005</v>
      </c>
      <c r="D1207" s="3" t="inlineStr">
        <is>
          <t>Overall</t>
        </is>
      </c>
      <c r="E1207" s="3" t="inlineStr">
        <is>
          <t>Deciles</t>
        </is>
      </c>
      <c r="F1207" s="3" t="inlineStr">
        <is>
          <t>mean</t>
        </is>
      </c>
      <c r="G1207" s="3" t="n">
        <v>5</v>
      </c>
      <c r="H1207" s="3" t="n">
        <v>-0.7940000295639038</v>
      </c>
      <c r="I1207" s="3" t="n">
        <v>-0.7940000295639038</v>
      </c>
      <c r="J1207" s="3" t="n">
        <v>-0.949999988079071</v>
      </c>
      <c r="K1207" s="3" t="n">
        <v>-0.949999988079071</v>
      </c>
      <c r="L1207" s="3" t="n">
        <v>-0.7940000295639038</v>
      </c>
      <c r="M1207" s="3" t="n">
        <v>-0.7940000295639038</v>
      </c>
      <c r="N1207" s="3" t="n">
        <v>-0.7940000295639038</v>
      </c>
      <c r="O1207" s="3" t="n">
        <v>-0.7940000295639038</v>
      </c>
      <c r="P1207" s="3" t="n">
        <v>-0.7940000295639038</v>
      </c>
      <c r="Q1207" s="3" t="n">
        <v>-0.7940000295639038</v>
      </c>
      <c r="R1207" s="3" t="n">
        <v>-0.7770000100135803</v>
      </c>
      <c r="S1207" s="3" t="n">
        <v>-8.253999710083008</v>
      </c>
      <c r="T1207" s="3" t="n">
        <v>-0.7110000252723694</v>
      </c>
      <c r="U1207" s="3" t="n">
        <v>-0.949999988079071</v>
      </c>
      <c r="V1207" s="3" t="n">
        <v>-0.6869999766349792</v>
      </c>
      <c r="W1207" s="3" t="n">
        <v>-0.6129999756813049</v>
      </c>
      <c r="X1207" s="3" t="n">
        <v>-6.322999954223633</v>
      </c>
      <c r="Y1207" s="3" t="n">
        <v>-0.7940000295639038</v>
      </c>
      <c r="Z1207" s="3" t="n">
        <v>-8.253999710083008</v>
      </c>
      <c r="AA1207" s="3" t="n">
        <v>-8.253999710083008</v>
      </c>
      <c r="AB1207" s="3" t="n">
        <v>-6.322999954223633</v>
      </c>
      <c r="AC1207" s="3" t="n">
        <v>-1.851999998092651</v>
      </c>
      <c r="AD1207" s="3" t="n">
        <v>-0.949999988079071</v>
      </c>
      <c r="AE1207" s="3" t="n">
        <v>-0.949999988079071</v>
      </c>
    </row>
    <row r="1208">
      <c r="A1208" s="3" t="inlineStr">
        <is>
          <t>LBR.distn.dec.ove.mean.6</t>
        </is>
      </c>
      <c r="B1208" s="3" t="inlineStr">
        <is>
          <t>LBR</t>
        </is>
      </c>
      <c r="C1208" s="3" t="n">
        <v>2005</v>
      </c>
      <c r="D1208" s="3" t="inlineStr">
        <is>
          <t>Overall</t>
        </is>
      </c>
      <c r="E1208" s="3" t="inlineStr">
        <is>
          <t>Deciles</t>
        </is>
      </c>
      <c r="F1208" s="3" t="inlineStr">
        <is>
          <t>mean</t>
        </is>
      </c>
      <c r="G1208" s="3" t="n">
        <v>6</v>
      </c>
      <c r="H1208" s="3" t="n">
        <v>-0.7940000295639038</v>
      </c>
      <c r="I1208" s="3" t="n">
        <v>-0.7940000295639038</v>
      </c>
      <c r="J1208" s="3" t="n">
        <v>-0.949999988079071</v>
      </c>
      <c r="K1208" s="3" t="n">
        <v>-0.949999988079071</v>
      </c>
      <c r="L1208" s="3" t="n">
        <v>-0.7940000295639038</v>
      </c>
      <c r="M1208" s="3" t="n">
        <v>-0.7940000295639038</v>
      </c>
      <c r="N1208" s="3" t="n">
        <v>-0.7940000295639038</v>
      </c>
      <c r="O1208" s="3" t="n">
        <v>-0.7940000295639038</v>
      </c>
      <c r="P1208" s="3" t="n">
        <v>-0.7940000295639038</v>
      </c>
      <c r="Q1208" s="3" t="n">
        <v>-0.7940000295639038</v>
      </c>
      <c r="R1208" s="3" t="n">
        <v>-0.7770000100135803</v>
      </c>
      <c r="S1208" s="3" t="n">
        <v>-8.253999710083008</v>
      </c>
      <c r="T1208" s="3" t="n">
        <v>-0.7110000252723694</v>
      </c>
      <c r="U1208" s="3" t="n">
        <v>-0.949999988079071</v>
      </c>
      <c r="V1208" s="3" t="n">
        <v>-0.6869999766349792</v>
      </c>
      <c r="W1208" s="3" t="n">
        <v>-0.6129999756813049</v>
      </c>
      <c r="X1208" s="3" t="n">
        <v>-6.322999954223633</v>
      </c>
      <c r="Y1208" s="3" t="n">
        <v>-0.7940000295639038</v>
      </c>
      <c r="Z1208" s="3" t="n">
        <v>-8.253999710083008</v>
      </c>
      <c r="AA1208" s="3" t="n">
        <v>-8.253999710083008</v>
      </c>
      <c r="AB1208" s="3" t="n">
        <v>-6.322999954223633</v>
      </c>
      <c r="AC1208" s="3" t="n">
        <v>-1.851999998092651</v>
      </c>
      <c r="AD1208" s="3" t="n">
        <v>-0.949999988079071</v>
      </c>
      <c r="AE1208" s="3" t="n">
        <v>-0.949999988079071</v>
      </c>
    </row>
    <row r="1209">
      <c r="A1209" s="3" t="inlineStr">
        <is>
          <t>LBR.distn.dec.ove.mean.7</t>
        </is>
      </c>
      <c r="B1209" s="3" t="inlineStr">
        <is>
          <t>LBR</t>
        </is>
      </c>
      <c r="C1209" s="3" t="n">
        <v>2005</v>
      </c>
      <c r="D1209" s="3" t="inlineStr">
        <is>
          <t>Overall</t>
        </is>
      </c>
      <c r="E1209" s="3" t="inlineStr">
        <is>
          <t>Deciles</t>
        </is>
      </c>
      <c r="F1209" s="3" t="inlineStr">
        <is>
          <t>mean</t>
        </is>
      </c>
      <c r="G1209" s="3" t="n">
        <v>7</v>
      </c>
      <c r="H1209" s="3" t="n">
        <v>-0.7940000295639038</v>
      </c>
      <c r="I1209" s="3" t="n">
        <v>-0.7940000295639038</v>
      </c>
      <c r="J1209" s="3" t="n">
        <v>-0.949999988079071</v>
      </c>
      <c r="K1209" s="3" t="n">
        <v>-0.949999988079071</v>
      </c>
      <c r="L1209" s="3" t="n">
        <v>-0.7940000295639038</v>
      </c>
      <c r="M1209" s="3" t="n">
        <v>-0.7940000295639038</v>
      </c>
      <c r="N1209" s="3" t="n">
        <v>-0.7940000295639038</v>
      </c>
      <c r="O1209" s="3" t="n">
        <v>-0.7940000295639038</v>
      </c>
      <c r="P1209" s="3" t="n">
        <v>-0.7940000295639038</v>
      </c>
      <c r="Q1209" s="3" t="n">
        <v>-0.7940000295639038</v>
      </c>
      <c r="R1209" s="3" t="n">
        <v>-0.7770000100135803</v>
      </c>
      <c r="S1209" s="3" t="n">
        <v>-8.253999710083008</v>
      </c>
      <c r="T1209" s="3" t="n">
        <v>-0.7110000252723694</v>
      </c>
      <c r="U1209" s="3" t="n">
        <v>-0.949999988079071</v>
      </c>
      <c r="V1209" s="3" t="n">
        <v>-0.6869999766349792</v>
      </c>
      <c r="W1209" s="3" t="n">
        <v>-0.6129999756813049</v>
      </c>
      <c r="X1209" s="3" t="n">
        <v>-6.322999954223633</v>
      </c>
      <c r="Y1209" s="3" t="n">
        <v>-0.7940000295639038</v>
      </c>
      <c r="Z1209" s="3" t="n">
        <v>-8.253999710083008</v>
      </c>
      <c r="AA1209" s="3" t="n">
        <v>-8.253999710083008</v>
      </c>
      <c r="AB1209" s="3" t="n">
        <v>-6.322999954223633</v>
      </c>
      <c r="AC1209" s="3" t="n">
        <v>-1.851999998092651</v>
      </c>
      <c r="AD1209" s="3" t="n">
        <v>-0.949999988079071</v>
      </c>
      <c r="AE1209" s="3" t="n">
        <v>-0.949999988079071</v>
      </c>
    </row>
    <row r="1210">
      <c r="A1210" s="3" t="inlineStr">
        <is>
          <t>LBR.distn.dec.ove.mean.8</t>
        </is>
      </c>
      <c r="B1210" s="3" t="inlineStr">
        <is>
          <t>LBR</t>
        </is>
      </c>
      <c r="C1210" s="3" t="n">
        <v>2005</v>
      </c>
      <c r="D1210" s="3" t="inlineStr">
        <is>
          <t>Overall</t>
        </is>
      </c>
      <c r="E1210" s="3" t="inlineStr">
        <is>
          <t>Deciles</t>
        </is>
      </c>
      <c r="F1210" s="3" t="inlineStr">
        <is>
          <t>mean</t>
        </is>
      </c>
      <c r="G1210" s="3" t="n">
        <v>8</v>
      </c>
      <c r="H1210" s="3" t="n">
        <v>-0.7943825125694275</v>
      </c>
      <c r="I1210" s="3" t="n">
        <v>-0.7943825125694275</v>
      </c>
      <c r="J1210" s="3" t="n">
        <v>-0.952562689781189</v>
      </c>
      <c r="K1210" s="3" t="n">
        <v>-0.952562689781189</v>
      </c>
      <c r="L1210" s="3" t="n">
        <v>-0.7943825125694275</v>
      </c>
      <c r="M1210" s="3" t="n">
        <v>-0.7943825125694275</v>
      </c>
      <c r="N1210" s="3" t="n">
        <v>-0.7943825125694275</v>
      </c>
      <c r="O1210" s="3" t="n">
        <v>-0.7943825125694275</v>
      </c>
      <c r="P1210" s="3" t="n">
        <v>-0.7943825125694275</v>
      </c>
      <c r="Q1210" s="3" t="n">
        <v>-0.7943825125694275</v>
      </c>
      <c r="R1210" s="3" t="n">
        <v>-0.7772555351257324</v>
      </c>
      <c r="S1210" s="3" t="n">
        <v>-8.330804824829102</v>
      </c>
      <c r="T1210" s="3" t="n">
        <v>-0.7110409736633301</v>
      </c>
      <c r="U1210" s="3" t="n">
        <v>-0.952562689781189</v>
      </c>
      <c r="V1210" s="3" t="n">
        <v>-0.6877102255821228</v>
      </c>
      <c r="W1210" s="3" t="n">
        <v>-0.6294153928756714</v>
      </c>
      <c r="X1210" s="3" t="n">
        <v>-6.380615234375</v>
      </c>
      <c r="Y1210" s="3" t="n">
        <v>-0.7943825125694275</v>
      </c>
      <c r="Z1210" s="3" t="n">
        <v>-8.330804824829102</v>
      </c>
      <c r="AA1210" s="3" t="n">
        <v>-8.330804824829102</v>
      </c>
      <c r="AB1210" s="3" t="n">
        <v>-6.380615234375</v>
      </c>
      <c r="AC1210" s="3" t="n">
        <v>-1.878412008285522</v>
      </c>
      <c r="AD1210" s="3" t="n">
        <v>-0.952562689781189</v>
      </c>
      <c r="AE1210" s="3" t="n">
        <v>-0.952562689781189</v>
      </c>
    </row>
    <row r="1211">
      <c r="A1211" s="3" t="inlineStr">
        <is>
          <t>LBR.distn.dec.ove.mean.9</t>
        </is>
      </c>
      <c r="B1211" s="3" t="inlineStr">
        <is>
          <t>LBR</t>
        </is>
      </c>
      <c r="C1211" s="3" t="n">
        <v>2005</v>
      </c>
      <c r="D1211" s="3" t="inlineStr">
        <is>
          <t>Overall</t>
        </is>
      </c>
      <c r="E1211" s="3" t="inlineStr">
        <is>
          <t>Deciles</t>
        </is>
      </c>
      <c r="F1211" s="3" t="inlineStr">
        <is>
          <t>mean</t>
        </is>
      </c>
      <c r="G1211" s="3" t="n">
        <v>9</v>
      </c>
      <c r="H1211" s="3" t="n">
        <v>-0.7943825125694275</v>
      </c>
      <c r="I1211" s="3" t="n">
        <v>-0.7943825125694275</v>
      </c>
      <c r="J1211" s="3" t="n">
        <v>-0.952562689781189</v>
      </c>
      <c r="K1211" s="3" t="n">
        <v>-0.952562689781189</v>
      </c>
      <c r="L1211" s="3" t="n">
        <v>-0.7943825125694275</v>
      </c>
      <c r="M1211" s="3" t="n">
        <v>-0.7943825125694275</v>
      </c>
      <c r="N1211" s="3" t="n">
        <v>-0.7943825125694275</v>
      </c>
      <c r="O1211" s="3" t="n">
        <v>-0.7943825125694275</v>
      </c>
      <c r="P1211" s="3" t="n">
        <v>-0.7943825125694275</v>
      </c>
      <c r="Q1211" s="3" t="n">
        <v>-0.7943825125694275</v>
      </c>
      <c r="R1211" s="3" t="n">
        <v>-0.7772555351257324</v>
      </c>
      <c r="S1211" s="3" t="n">
        <v>-8.330804824829102</v>
      </c>
      <c r="T1211" s="3" t="n">
        <v>-0.7110409736633301</v>
      </c>
      <c r="U1211" s="3" t="n">
        <v>-0.952562689781189</v>
      </c>
      <c r="V1211" s="3" t="n">
        <v>-0.6877102255821228</v>
      </c>
      <c r="W1211" s="3" t="n">
        <v>-0.6294153928756714</v>
      </c>
      <c r="X1211" s="3" t="n">
        <v>-6.380615234375</v>
      </c>
      <c r="Y1211" s="3" t="n">
        <v>-0.7943825125694275</v>
      </c>
      <c r="Z1211" s="3" t="n">
        <v>-8.330804824829102</v>
      </c>
      <c r="AA1211" s="3" t="n">
        <v>-8.330804824829102</v>
      </c>
      <c r="AB1211" s="3" t="n">
        <v>-6.380615234375</v>
      </c>
      <c r="AC1211" s="3" t="n">
        <v>-1.878412008285522</v>
      </c>
      <c r="AD1211" s="3" t="n">
        <v>-0.952562689781189</v>
      </c>
      <c r="AE1211" s="3" t="n">
        <v>-0.952562689781189</v>
      </c>
    </row>
    <row r="1212">
      <c r="A1212" s="3" t="inlineStr">
        <is>
          <t>LBR.distn.dec.ove.mean.10</t>
        </is>
      </c>
      <c r="B1212" s="3" t="inlineStr">
        <is>
          <t>LBR</t>
        </is>
      </c>
      <c r="C1212" s="3" t="n">
        <v>2005</v>
      </c>
      <c r="D1212" s="3" t="inlineStr">
        <is>
          <t>Overall</t>
        </is>
      </c>
      <c r="E1212" s="3" t="inlineStr">
        <is>
          <t>Deciles</t>
        </is>
      </c>
      <c r="F1212" s="3" t="inlineStr">
        <is>
          <t>mean</t>
        </is>
      </c>
      <c r="G1212" s="3" t="n">
        <v>10</v>
      </c>
      <c r="H1212" s="3" t="n">
        <v>-0.7943825125694275</v>
      </c>
      <c r="I1212" s="3" t="n">
        <v>-0.7943825125694275</v>
      </c>
      <c r="J1212" s="3" t="n">
        <v>-0.952562689781189</v>
      </c>
      <c r="K1212" s="3" t="n">
        <v>-0.952562689781189</v>
      </c>
      <c r="L1212" s="3" t="n">
        <v>-0.7943825125694275</v>
      </c>
      <c r="M1212" s="3" t="n">
        <v>-0.7943825125694275</v>
      </c>
      <c r="N1212" s="3" t="n">
        <v>-0.7943825125694275</v>
      </c>
      <c r="O1212" s="3" t="n">
        <v>-0.7943825125694275</v>
      </c>
      <c r="P1212" s="3" t="n">
        <v>-0.7943825125694275</v>
      </c>
      <c r="Q1212" s="3" t="n">
        <v>-0.7943825125694275</v>
      </c>
      <c r="R1212" s="3" t="n">
        <v>-0.7772555351257324</v>
      </c>
      <c r="S1212" s="3" t="n">
        <v>-8.330804824829102</v>
      </c>
      <c r="T1212" s="3" t="n">
        <v>-0.7110409736633301</v>
      </c>
      <c r="U1212" s="3" t="n">
        <v>-0.952562689781189</v>
      </c>
      <c r="V1212" s="3" t="n">
        <v>-0.6877102255821228</v>
      </c>
      <c r="W1212" s="3" t="n">
        <v>-0.6294153928756714</v>
      </c>
      <c r="X1212" s="3" t="n">
        <v>-6.380615234375</v>
      </c>
      <c r="Y1212" s="3" t="n">
        <v>-0.7943825125694275</v>
      </c>
      <c r="Z1212" s="3" t="n">
        <v>-8.330804824829102</v>
      </c>
      <c r="AA1212" s="3" t="n">
        <v>-8.330804824829102</v>
      </c>
      <c r="AB1212" s="3" t="n">
        <v>-6.380615234375</v>
      </c>
      <c r="AC1212" s="3" t="n">
        <v>-1.878412008285522</v>
      </c>
      <c r="AD1212" s="3" t="n">
        <v>-0.952562689781189</v>
      </c>
      <c r="AE1212" s="3" t="n">
        <v>-0.952562689781189</v>
      </c>
    </row>
    <row r="1213">
      <c r="A1213" s="3" t="inlineStr">
        <is>
          <t>LBR.distn.bkt.ove.mean.9999</t>
        </is>
      </c>
      <c r="B1213" s="3" t="inlineStr">
        <is>
          <t>LBR</t>
        </is>
      </c>
      <c r="C1213" s="3" t="n">
        <v>2005</v>
      </c>
      <c r="D1213" s="3" t="inlineStr">
        <is>
          <t>Overall</t>
        </is>
      </c>
      <c r="E1213" s="3" t="inlineStr">
        <is>
          <t>Basket</t>
        </is>
      </c>
      <c r="F1213" s="3" t="inlineStr">
        <is>
          <t>mean</t>
        </is>
      </c>
      <c r="G1213" s="3" t="n">
        <v>9999</v>
      </c>
      <c r="H1213" s="3" t="n">
        <v>-0.7960157990455627</v>
      </c>
      <c r="I1213" s="3" t="n">
        <v>-0.7960157990455627</v>
      </c>
      <c r="J1213" s="3" t="n">
        <v>-0.9652395248413086</v>
      </c>
      <c r="K1213" s="3" t="n">
        <v>-0.9652395248413086</v>
      </c>
      <c r="L1213" s="3" t="n">
        <v>-0.7960157990455627</v>
      </c>
      <c r="M1213" s="3" t="n">
        <v>-0.7960157990455627</v>
      </c>
      <c r="N1213" s="3" t="n">
        <v>-0.7960157990455627</v>
      </c>
      <c r="O1213" s="3" t="n">
        <v>-0.7960157990455627</v>
      </c>
      <c r="P1213" s="3" t="n">
        <v>-0.7960157990455627</v>
      </c>
      <c r="Q1213" s="3" t="n">
        <v>-0.7960157990455627</v>
      </c>
      <c r="R1213" s="3" t="n">
        <v>-0.7781273722648621</v>
      </c>
      <c r="S1213" s="3" t="n">
        <v>-9.436371803283691</v>
      </c>
      <c r="T1213" s="3" t="n">
        <v>-0.711449921131134</v>
      </c>
      <c r="U1213" s="3" t="n">
        <v>-0.9652395248413086</v>
      </c>
      <c r="V1213" s="3" t="n">
        <v>-0.6893303394317627</v>
      </c>
      <c r="W1213" s="3" t="n">
        <v>-0.6525353789329529</v>
      </c>
      <c r="X1213" s="3" t="n">
        <v>-7.13122034072876</v>
      </c>
      <c r="Y1213" s="3" t="n">
        <v>-0.7960157990455627</v>
      </c>
      <c r="Z1213" s="3" t="n">
        <v>-9.436371803283691</v>
      </c>
      <c r="AA1213" s="3" t="n">
        <v>-9.436371803283691</v>
      </c>
      <c r="AB1213" s="3" t="n">
        <v>-7.13122034072876</v>
      </c>
      <c r="AC1213" s="3" t="n">
        <v>-2.454818725585938</v>
      </c>
      <c r="AD1213" s="3" t="n">
        <v>-0.9652395248413086</v>
      </c>
      <c r="AE1213" s="3" t="n">
        <v>-0.9652395248413086</v>
      </c>
    </row>
    <row r="1214">
      <c r="A1214" s="3" t="inlineStr">
        <is>
          <t>LBY.distn.dec.ove.mean.1</t>
        </is>
      </c>
      <c r="B1214" s="3" t="inlineStr">
        <is>
          <t>LBY</t>
        </is>
      </c>
      <c r="C1214" s="3" t="n">
        <v>2005</v>
      </c>
      <c r="D1214" s="3" t="inlineStr">
        <is>
          <t>Overall</t>
        </is>
      </c>
      <c r="E1214" s="3" t="inlineStr">
        <is>
          <t>Deciles</t>
        </is>
      </c>
      <c r="F1214" s="3" t="inlineStr">
        <is>
          <t>mean</t>
        </is>
      </c>
      <c r="G1214" s="3" t="n">
        <v>1</v>
      </c>
      <c r="H1214" s="3" t="n">
        <v>-0.7898249251501901</v>
      </c>
      <c r="I1214" s="3" t="n">
        <v>-0.7898249251501901</v>
      </c>
      <c r="J1214" s="3" t="n">
        <v>-0.9006037865366254</v>
      </c>
      <c r="K1214" s="3" t="n">
        <v>-0.9006037865366254</v>
      </c>
      <c r="L1214" s="3" t="n">
        <v>-0.7898249251501901</v>
      </c>
      <c r="M1214" s="3" t="n">
        <v>-0.7898249251501901</v>
      </c>
      <c r="N1214" s="3" t="n">
        <v>-0.7898249251501901</v>
      </c>
      <c r="O1214" s="3" t="n">
        <v>-0.7898249251501901</v>
      </c>
      <c r="P1214" s="3" t="n">
        <v>-0.7898249251501901</v>
      </c>
      <c r="Q1214" s="3" t="n">
        <v>-0.7898249251501901</v>
      </c>
      <c r="R1214" s="3" t="n">
        <v>-0.7744465725762504</v>
      </c>
      <c r="S1214" s="3" t="n">
        <v>-1.490841317176819</v>
      </c>
      <c r="T1214" s="3" t="n">
        <v>-0.7100824441228594</v>
      </c>
      <c r="U1214" s="3" t="n">
        <v>-0.9006037865366254</v>
      </c>
      <c r="V1214" s="3" t="n">
        <v>-0.6846477542604719</v>
      </c>
      <c r="W1214" s="3" t="n">
        <v>-0.6204802887780326</v>
      </c>
      <c r="X1214" s="3" t="n">
        <v>-1.433480068615505</v>
      </c>
      <c r="Y1214" s="3" t="n">
        <v>-0.7898249251501901</v>
      </c>
      <c r="Z1214" s="3" t="n">
        <v>-1.490841317176819</v>
      </c>
      <c r="AA1214" s="3" t="n">
        <v>-1.490841317176819</v>
      </c>
      <c r="AB1214" s="3" t="n">
        <v>-1.433480068615505</v>
      </c>
      <c r="AC1214" s="3" t="n">
        <v>-2.345895099639892</v>
      </c>
      <c r="AD1214" s="3" t="n">
        <v>-0.9006037865366254</v>
      </c>
      <c r="AE1214" s="3" t="n">
        <v>-0.9006037865366254</v>
      </c>
    </row>
    <row r="1215">
      <c r="A1215" s="3" t="inlineStr">
        <is>
          <t>LBY.distn.dec.ove.mean.2</t>
        </is>
      </c>
      <c r="B1215" s="3" t="inlineStr">
        <is>
          <t>LBY</t>
        </is>
      </c>
      <c r="C1215" s="3" t="n">
        <v>2005</v>
      </c>
      <c r="D1215" s="3" t="inlineStr">
        <is>
          <t>Overall</t>
        </is>
      </c>
      <c r="E1215" s="3" t="inlineStr">
        <is>
          <t>Deciles</t>
        </is>
      </c>
      <c r="F1215" s="3" t="inlineStr">
        <is>
          <t>mean</t>
        </is>
      </c>
      <c r="G1215" s="3" t="n">
        <v>2</v>
      </c>
      <c r="H1215" s="3" t="n">
        <v>-0.7898249251501901</v>
      </c>
      <c r="I1215" s="3" t="n">
        <v>-0.7898249251501901</v>
      </c>
      <c r="J1215" s="3" t="n">
        <v>-0.9006037865366254</v>
      </c>
      <c r="K1215" s="3" t="n">
        <v>-0.9006037865366254</v>
      </c>
      <c r="L1215" s="3" t="n">
        <v>-0.7898249251501901</v>
      </c>
      <c r="M1215" s="3" t="n">
        <v>-0.7898249251501901</v>
      </c>
      <c r="N1215" s="3" t="n">
        <v>-0.7898249251501901</v>
      </c>
      <c r="O1215" s="3" t="n">
        <v>-0.7898249251501901</v>
      </c>
      <c r="P1215" s="3" t="n">
        <v>-0.7898249251501901</v>
      </c>
      <c r="Q1215" s="3" t="n">
        <v>-0.7898249251501901</v>
      </c>
      <c r="R1215" s="3" t="n">
        <v>-0.7744465725762504</v>
      </c>
      <c r="S1215" s="3" t="n">
        <v>-1.490841317176819</v>
      </c>
      <c r="T1215" s="3" t="n">
        <v>-0.7100824441228594</v>
      </c>
      <c r="U1215" s="3" t="n">
        <v>-0.9006037865366254</v>
      </c>
      <c r="V1215" s="3" t="n">
        <v>-0.6846477542604719</v>
      </c>
      <c r="W1215" s="3" t="n">
        <v>-0.6204802887780326</v>
      </c>
      <c r="X1215" s="3" t="n">
        <v>-1.433480068615505</v>
      </c>
      <c r="Y1215" s="3" t="n">
        <v>-0.7898249251501901</v>
      </c>
      <c r="Z1215" s="3" t="n">
        <v>-1.490841317176819</v>
      </c>
      <c r="AA1215" s="3" t="n">
        <v>-1.490841317176819</v>
      </c>
      <c r="AB1215" s="3" t="n">
        <v>-1.433480068615505</v>
      </c>
      <c r="AC1215" s="3" t="n">
        <v>-2.345895099639892</v>
      </c>
      <c r="AD1215" s="3" t="n">
        <v>-0.9006037865366254</v>
      </c>
      <c r="AE1215" s="3" t="n">
        <v>-0.9006037865366254</v>
      </c>
    </row>
    <row r="1216">
      <c r="A1216" s="3" t="inlineStr">
        <is>
          <t>LBY.distn.dec.ove.mean.3</t>
        </is>
      </c>
      <c r="B1216" s="3" t="inlineStr">
        <is>
          <t>LBY</t>
        </is>
      </c>
      <c r="C1216" s="3" t="n">
        <v>2005</v>
      </c>
      <c r="D1216" s="3" t="inlineStr">
        <is>
          <t>Overall</t>
        </is>
      </c>
      <c r="E1216" s="3" t="inlineStr">
        <is>
          <t>Deciles</t>
        </is>
      </c>
      <c r="F1216" s="3" t="inlineStr">
        <is>
          <t>mean</t>
        </is>
      </c>
      <c r="G1216" s="3" t="n">
        <v>3</v>
      </c>
      <c r="H1216" s="3" t="n">
        <v>-0.7898249251501901</v>
      </c>
      <c r="I1216" s="3" t="n">
        <v>-0.7898249251501901</v>
      </c>
      <c r="J1216" s="3" t="n">
        <v>-0.9006037865366254</v>
      </c>
      <c r="K1216" s="3" t="n">
        <v>-0.9006037865366254</v>
      </c>
      <c r="L1216" s="3" t="n">
        <v>-0.7898249251501901</v>
      </c>
      <c r="M1216" s="3" t="n">
        <v>-0.7898249251501901</v>
      </c>
      <c r="N1216" s="3" t="n">
        <v>-0.7898249251501901</v>
      </c>
      <c r="O1216" s="3" t="n">
        <v>-0.7898249251501901</v>
      </c>
      <c r="P1216" s="3" t="n">
        <v>-0.7898249251501901</v>
      </c>
      <c r="Q1216" s="3" t="n">
        <v>-0.7898249251501901</v>
      </c>
      <c r="R1216" s="3" t="n">
        <v>-0.7744465725762504</v>
      </c>
      <c r="S1216" s="3" t="n">
        <v>-1.490841317176819</v>
      </c>
      <c r="T1216" s="3" t="n">
        <v>-0.7100824441228594</v>
      </c>
      <c r="U1216" s="3" t="n">
        <v>-0.9006037865366254</v>
      </c>
      <c r="V1216" s="3" t="n">
        <v>-0.6846477542604719</v>
      </c>
      <c r="W1216" s="3" t="n">
        <v>-0.6204802887780326</v>
      </c>
      <c r="X1216" s="3" t="n">
        <v>-1.433480068615505</v>
      </c>
      <c r="Y1216" s="3" t="n">
        <v>-0.7898249251501901</v>
      </c>
      <c r="Z1216" s="3" t="n">
        <v>-1.490841317176819</v>
      </c>
      <c r="AA1216" s="3" t="n">
        <v>-1.490841317176819</v>
      </c>
      <c r="AB1216" s="3" t="n">
        <v>-1.433480068615505</v>
      </c>
      <c r="AC1216" s="3" t="n">
        <v>-2.345895099639892</v>
      </c>
      <c r="AD1216" s="3" t="n">
        <v>-0.9006037865366254</v>
      </c>
      <c r="AE1216" s="3" t="n">
        <v>-0.9006037865366254</v>
      </c>
    </row>
    <row r="1217">
      <c r="A1217" s="3" t="inlineStr">
        <is>
          <t>LBY.distn.dec.ove.mean.4</t>
        </is>
      </c>
      <c r="B1217" s="3" t="inlineStr">
        <is>
          <t>LBY</t>
        </is>
      </c>
      <c r="C1217" s="3" t="n">
        <v>2005</v>
      </c>
      <c r="D1217" s="3" t="inlineStr">
        <is>
          <t>Overall</t>
        </is>
      </c>
      <c r="E1217" s="3" t="inlineStr">
        <is>
          <t>Deciles</t>
        </is>
      </c>
      <c r="F1217" s="3" t="inlineStr">
        <is>
          <t>mean</t>
        </is>
      </c>
      <c r="G1217" s="3" t="n">
        <v>4</v>
      </c>
      <c r="H1217" s="3" t="n">
        <v>-0.7835714289120266</v>
      </c>
      <c r="I1217" s="3" t="n">
        <v>-0.7835714289120266</v>
      </c>
      <c r="J1217" s="3" t="n">
        <v>-0.8570857082094465</v>
      </c>
      <c r="K1217" s="3" t="n">
        <v>-0.8570857082094465</v>
      </c>
      <c r="L1217" s="3" t="n">
        <v>-0.7835714289120266</v>
      </c>
      <c r="M1217" s="3" t="n">
        <v>-0.7835714289120266</v>
      </c>
      <c r="N1217" s="3" t="n">
        <v>-0.7835714289120266</v>
      </c>
      <c r="O1217" s="3" t="n">
        <v>-0.7835714289120266</v>
      </c>
      <c r="P1217" s="3" t="n">
        <v>-0.7835714289120266</v>
      </c>
      <c r="Q1217" s="3" t="n">
        <v>-0.7835714289120266</v>
      </c>
      <c r="R1217" s="3" t="n">
        <v>-0.7709714361599513</v>
      </c>
      <c r="S1217" s="3" t="n">
        <v>-1.015428565229688</v>
      </c>
      <c r="T1217" s="3" t="n">
        <v>-0.708628567627498</v>
      </c>
      <c r="U1217" s="3" t="n">
        <v>-0.8570857082094465</v>
      </c>
      <c r="V1217" s="3" t="n">
        <v>-0.6776857103620256</v>
      </c>
      <c r="W1217" s="3" t="n">
        <v>-0.5221999968801226</v>
      </c>
      <c r="X1217" s="3" t="n">
        <v>-1.011657135827201</v>
      </c>
      <c r="Y1217" s="3" t="n">
        <v>-0.7835714289120266</v>
      </c>
      <c r="Z1217" s="3" t="n">
        <v>-1.015428565229688</v>
      </c>
      <c r="AA1217" s="3" t="n">
        <v>-1.015428565229688</v>
      </c>
      <c r="AB1217" s="3" t="n">
        <v>-1.011657135827201</v>
      </c>
      <c r="AC1217" s="3" t="n">
        <v>-1.132885714939662</v>
      </c>
      <c r="AD1217" s="3" t="n">
        <v>-0.8570857082094465</v>
      </c>
      <c r="AE1217" s="3" t="n">
        <v>-0.8570857082094465</v>
      </c>
    </row>
    <row r="1218">
      <c r="A1218" s="3" t="inlineStr">
        <is>
          <t>LBY.distn.dec.ove.mean.5</t>
        </is>
      </c>
      <c r="B1218" s="3" t="inlineStr">
        <is>
          <t>LBY</t>
        </is>
      </c>
      <c r="C1218" s="3" t="n">
        <v>2005</v>
      </c>
      <c r="D1218" s="3" t="inlineStr">
        <is>
          <t>Overall</t>
        </is>
      </c>
      <c r="E1218" s="3" t="inlineStr">
        <is>
          <t>Deciles</t>
        </is>
      </c>
      <c r="F1218" s="3" t="inlineStr">
        <is>
          <t>mean</t>
        </is>
      </c>
      <c r="G1218" s="3" t="n">
        <v>5</v>
      </c>
      <c r="H1218" s="3" t="n">
        <v>-0.7835714289120266</v>
      </c>
      <c r="I1218" s="3" t="n">
        <v>-0.7835714289120266</v>
      </c>
      <c r="J1218" s="3" t="n">
        <v>-0.8570857082094465</v>
      </c>
      <c r="K1218" s="3" t="n">
        <v>-0.8570857082094465</v>
      </c>
      <c r="L1218" s="3" t="n">
        <v>-0.7835714289120266</v>
      </c>
      <c r="M1218" s="3" t="n">
        <v>-0.7835714289120266</v>
      </c>
      <c r="N1218" s="3" t="n">
        <v>-0.7835714289120266</v>
      </c>
      <c r="O1218" s="3" t="n">
        <v>-0.7835714289120266</v>
      </c>
      <c r="P1218" s="3" t="n">
        <v>-0.7835714289120266</v>
      </c>
      <c r="Q1218" s="3" t="n">
        <v>-0.7835714289120266</v>
      </c>
      <c r="R1218" s="3" t="n">
        <v>-0.7709714361599513</v>
      </c>
      <c r="S1218" s="3" t="n">
        <v>-1.015428565229688</v>
      </c>
      <c r="T1218" s="3" t="n">
        <v>-0.708628567627498</v>
      </c>
      <c r="U1218" s="3" t="n">
        <v>-0.8570857082094465</v>
      </c>
      <c r="V1218" s="3" t="n">
        <v>-0.6776857103620256</v>
      </c>
      <c r="W1218" s="3" t="n">
        <v>-0.5221999968801226</v>
      </c>
      <c r="X1218" s="3" t="n">
        <v>-1.011657135827201</v>
      </c>
      <c r="Y1218" s="3" t="n">
        <v>-0.7835714289120266</v>
      </c>
      <c r="Z1218" s="3" t="n">
        <v>-1.015428565229688</v>
      </c>
      <c r="AA1218" s="3" t="n">
        <v>-1.015428565229688</v>
      </c>
      <c r="AB1218" s="3" t="n">
        <v>-1.011657135827201</v>
      </c>
      <c r="AC1218" s="3" t="n">
        <v>-1.132885714939662</v>
      </c>
      <c r="AD1218" s="3" t="n">
        <v>-0.8570857082094465</v>
      </c>
      <c r="AE1218" s="3" t="n">
        <v>-0.8570857082094465</v>
      </c>
    </row>
    <row r="1219">
      <c r="A1219" s="3" t="inlineStr">
        <is>
          <t>LBY.distn.dec.ove.mean.6</t>
        </is>
      </c>
      <c r="B1219" s="3" t="inlineStr">
        <is>
          <t>LBY</t>
        </is>
      </c>
      <c r="C1219" s="3" t="n">
        <v>2005</v>
      </c>
      <c r="D1219" s="3" t="inlineStr">
        <is>
          <t>Overall</t>
        </is>
      </c>
      <c r="E1219" s="3" t="inlineStr">
        <is>
          <t>Deciles</t>
        </is>
      </c>
      <c r="F1219" s="3" t="inlineStr">
        <is>
          <t>mean</t>
        </is>
      </c>
      <c r="G1219" s="3" t="n">
        <v>6</v>
      </c>
      <c r="H1219" s="3" t="n">
        <v>-0.7835714289120266</v>
      </c>
      <c r="I1219" s="3" t="n">
        <v>-0.7835714289120266</v>
      </c>
      <c r="J1219" s="3" t="n">
        <v>-0.8570857082094465</v>
      </c>
      <c r="K1219" s="3" t="n">
        <v>-0.8570857082094465</v>
      </c>
      <c r="L1219" s="3" t="n">
        <v>-0.7835714289120266</v>
      </c>
      <c r="M1219" s="3" t="n">
        <v>-0.7835714289120266</v>
      </c>
      <c r="N1219" s="3" t="n">
        <v>-0.7835714289120266</v>
      </c>
      <c r="O1219" s="3" t="n">
        <v>-0.7835714289120266</v>
      </c>
      <c r="P1219" s="3" t="n">
        <v>-0.7835714289120266</v>
      </c>
      <c r="Q1219" s="3" t="n">
        <v>-0.7835714289120266</v>
      </c>
      <c r="R1219" s="3" t="n">
        <v>-0.7709714361599513</v>
      </c>
      <c r="S1219" s="3" t="n">
        <v>-1.015428565229688</v>
      </c>
      <c r="T1219" s="3" t="n">
        <v>-0.708628567627498</v>
      </c>
      <c r="U1219" s="3" t="n">
        <v>-0.8570857082094465</v>
      </c>
      <c r="V1219" s="3" t="n">
        <v>-0.6776857103620256</v>
      </c>
      <c r="W1219" s="3" t="n">
        <v>-0.5221999968801226</v>
      </c>
      <c r="X1219" s="3" t="n">
        <v>-1.011657135827201</v>
      </c>
      <c r="Y1219" s="3" t="n">
        <v>-0.7835714289120266</v>
      </c>
      <c r="Z1219" s="3" t="n">
        <v>-1.015428565229688</v>
      </c>
      <c r="AA1219" s="3" t="n">
        <v>-1.015428565229688</v>
      </c>
      <c r="AB1219" s="3" t="n">
        <v>-1.011657135827201</v>
      </c>
      <c r="AC1219" s="3" t="n">
        <v>-1.132885714939662</v>
      </c>
      <c r="AD1219" s="3" t="n">
        <v>-0.8570857082094465</v>
      </c>
      <c r="AE1219" s="3" t="n">
        <v>-0.8570857082094465</v>
      </c>
    </row>
    <row r="1220">
      <c r="A1220" s="3" t="inlineStr">
        <is>
          <t>LBY.distn.dec.ove.mean.7</t>
        </is>
      </c>
      <c r="B1220" s="3" t="inlineStr">
        <is>
          <t>LBY</t>
        </is>
      </c>
      <c r="C1220" s="3" t="n">
        <v>2005</v>
      </c>
      <c r="D1220" s="3" t="inlineStr">
        <is>
          <t>Overall</t>
        </is>
      </c>
      <c r="E1220" s="3" t="inlineStr">
        <is>
          <t>Deciles</t>
        </is>
      </c>
      <c r="F1220" s="3" t="inlineStr">
        <is>
          <t>mean</t>
        </is>
      </c>
      <c r="G1220" s="3" t="n">
        <v>7</v>
      </c>
      <c r="H1220" s="3" t="n">
        <v>-0.7835714289120266</v>
      </c>
      <c r="I1220" s="3" t="n">
        <v>-0.7835714289120266</v>
      </c>
      <c r="J1220" s="3" t="n">
        <v>-0.8570857082094465</v>
      </c>
      <c r="K1220" s="3" t="n">
        <v>-0.8570857082094465</v>
      </c>
      <c r="L1220" s="3" t="n">
        <v>-0.7835714289120266</v>
      </c>
      <c r="M1220" s="3" t="n">
        <v>-0.7835714289120266</v>
      </c>
      <c r="N1220" s="3" t="n">
        <v>-0.7835714289120266</v>
      </c>
      <c r="O1220" s="3" t="n">
        <v>-0.7835714289120266</v>
      </c>
      <c r="P1220" s="3" t="n">
        <v>-0.7835714289120266</v>
      </c>
      <c r="Q1220" s="3" t="n">
        <v>-0.7835714289120266</v>
      </c>
      <c r="R1220" s="3" t="n">
        <v>-0.7709714361599513</v>
      </c>
      <c r="S1220" s="3" t="n">
        <v>-1.015428565229688</v>
      </c>
      <c r="T1220" s="3" t="n">
        <v>-0.708628567627498</v>
      </c>
      <c r="U1220" s="3" t="n">
        <v>-0.8570857082094465</v>
      </c>
      <c r="V1220" s="3" t="n">
        <v>-0.6776857103620256</v>
      </c>
      <c r="W1220" s="3" t="n">
        <v>-0.5221999968801226</v>
      </c>
      <c r="X1220" s="3" t="n">
        <v>-1.011657135827201</v>
      </c>
      <c r="Y1220" s="3" t="n">
        <v>-0.7835714289120266</v>
      </c>
      <c r="Z1220" s="3" t="n">
        <v>-1.015428565229688</v>
      </c>
      <c r="AA1220" s="3" t="n">
        <v>-1.015428565229688</v>
      </c>
      <c r="AB1220" s="3" t="n">
        <v>-1.011657135827201</v>
      </c>
      <c r="AC1220" s="3" t="n">
        <v>-1.132885714939662</v>
      </c>
      <c r="AD1220" s="3" t="n">
        <v>-0.8570857082094465</v>
      </c>
      <c r="AE1220" s="3" t="n">
        <v>-0.8570857082094465</v>
      </c>
    </row>
    <row r="1221">
      <c r="A1221" s="3" t="inlineStr">
        <is>
          <t>LBY.distn.dec.ove.mean.8</t>
        </is>
      </c>
      <c r="B1221" s="3" t="inlineStr">
        <is>
          <t>LBY</t>
        </is>
      </c>
      <c r="C1221" s="3" t="n">
        <v>2005</v>
      </c>
      <c r="D1221" s="3" t="inlineStr">
        <is>
          <t>Overall</t>
        </is>
      </c>
      <c r="E1221" s="3" t="inlineStr">
        <is>
          <t>Deciles</t>
        </is>
      </c>
      <c r="F1221" s="3" t="inlineStr">
        <is>
          <t>mean</t>
        </is>
      </c>
      <c r="G1221" s="3" t="n">
        <v>8</v>
      </c>
      <c r="H1221" s="3" t="n">
        <v>-0.7839489357812064</v>
      </c>
      <c r="I1221" s="3" t="n">
        <v>-0.7839489357812064</v>
      </c>
      <c r="J1221" s="3" t="n">
        <v>-0.8593977723802839</v>
      </c>
      <c r="K1221" s="3" t="n">
        <v>-0.8593977723802839</v>
      </c>
      <c r="L1221" s="3" t="n">
        <v>-0.7839489357812064</v>
      </c>
      <c r="M1221" s="3" t="n">
        <v>-0.7839489357812064</v>
      </c>
      <c r="N1221" s="3" t="n">
        <v>-0.7839489357812064</v>
      </c>
      <c r="O1221" s="3" t="n">
        <v>-0.7839489357812064</v>
      </c>
      <c r="P1221" s="3" t="n">
        <v>-0.7839489357812064</v>
      </c>
      <c r="Q1221" s="3" t="n">
        <v>-0.7839489357812064</v>
      </c>
      <c r="R1221" s="3" t="n">
        <v>-0.7712249892098563</v>
      </c>
      <c r="S1221" s="3" t="n">
        <v>-1.024877253600529</v>
      </c>
      <c r="T1221" s="3" t="n">
        <v>-0.7086694342749459</v>
      </c>
      <c r="U1221" s="3" t="n">
        <v>-0.8593977723802839</v>
      </c>
      <c r="V1221" s="3" t="n">
        <v>-0.6783862863268171</v>
      </c>
      <c r="W1221" s="3" t="n">
        <v>-0.5361838928290776</v>
      </c>
      <c r="X1221" s="3" t="n">
        <v>-1.020875356878553</v>
      </c>
      <c r="Y1221" s="3" t="n">
        <v>-0.7839489357812064</v>
      </c>
      <c r="Z1221" s="3" t="n">
        <v>-1.024877253600529</v>
      </c>
      <c r="AA1221" s="3" t="n">
        <v>-1.024877253600529</v>
      </c>
      <c r="AB1221" s="3" t="n">
        <v>-1.020875356878553</v>
      </c>
      <c r="AC1221" s="3" t="n">
        <v>-1.149042170388358</v>
      </c>
      <c r="AD1221" s="3" t="n">
        <v>-0.8593977723802839</v>
      </c>
      <c r="AE1221" s="3" t="n">
        <v>-0.8593977723802839</v>
      </c>
    </row>
    <row r="1222">
      <c r="A1222" s="3" t="inlineStr">
        <is>
          <t>LBY.distn.dec.ove.mean.9</t>
        </is>
      </c>
      <c r="B1222" s="3" t="inlineStr">
        <is>
          <t>LBY</t>
        </is>
      </c>
      <c r="C1222" s="3" t="n">
        <v>2005</v>
      </c>
      <c r="D1222" s="3" t="inlineStr">
        <is>
          <t>Overall</t>
        </is>
      </c>
      <c r="E1222" s="3" t="inlineStr">
        <is>
          <t>Deciles</t>
        </is>
      </c>
      <c r="F1222" s="3" t="inlineStr">
        <is>
          <t>mean</t>
        </is>
      </c>
      <c r="G1222" s="3" t="n">
        <v>9</v>
      </c>
      <c r="H1222" s="3" t="n">
        <v>-0.7839489357812064</v>
      </c>
      <c r="I1222" s="3" t="n">
        <v>-0.7839489357812064</v>
      </c>
      <c r="J1222" s="3" t="n">
        <v>-0.8593977723802839</v>
      </c>
      <c r="K1222" s="3" t="n">
        <v>-0.8593977723802839</v>
      </c>
      <c r="L1222" s="3" t="n">
        <v>-0.7839489357812064</v>
      </c>
      <c r="M1222" s="3" t="n">
        <v>-0.7839489357812064</v>
      </c>
      <c r="N1222" s="3" t="n">
        <v>-0.7839489357812064</v>
      </c>
      <c r="O1222" s="3" t="n">
        <v>-0.7839489357812064</v>
      </c>
      <c r="P1222" s="3" t="n">
        <v>-0.7839489357812064</v>
      </c>
      <c r="Q1222" s="3" t="n">
        <v>-0.7839489357812064</v>
      </c>
      <c r="R1222" s="3" t="n">
        <v>-0.7712249892098563</v>
      </c>
      <c r="S1222" s="3" t="n">
        <v>-1.024877253600529</v>
      </c>
      <c r="T1222" s="3" t="n">
        <v>-0.7086694342749459</v>
      </c>
      <c r="U1222" s="3" t="n">
        <v>-0.8593977723802839</v>
      </c>
      <c r="V1222" s="3" t="n">
        <v>-0.6783862863268171</v>
      </c>
      <c r="W1222" s="3" t="n">
        <v>-0.5361838928290776</v>
      </c>
      <c r="X1222" s="3" t="n">
        <v>-1.020875356878553</v>
      </c>
      <c r="Y1222" s="3" t="n">
        <v>-0.7839489357812064</v>
      </c>
      <c r="Z1222" s="3" t="n">
        <v>-1.024877253600529</v>
      </c>
      <c r="AA1222" s="3" t="n">
        <v>-1.024877253600529</v>
      </c>
      <c r="AB1222" s="3" t="n">
        <v>-1.020875356878553</v>
      </c>
      <c r="AC1222" s="3" t="n">
        <v>-1.149042170388358</v>
      </c>
      <c r="AD1222" s="3" t="n">
        <v>-0.8593977723802839</v>
      </c>
      <c r="AE1222" s="3" t="n">
        <v>-0.8593977723802839</v>
      </c>
    </row>
    <row r="1223">
      <c r="A1223" s="3" t="inlineStr">
        <is>
          <t>LBY.distn.dec.ove.mean.10</t>
        </is>
      </c>
      <c r="B1223" s="3" t="inlineStr">
        <is>
          <t>LBY</t>
        </is>
      </c>
      <c r="C1223" s="3" t="n">
        <v>2005</v>
      </c>
      <c r="D1223" s="3" t="inlineStr">
        <is>
          <t>Overall</t>
        </is>
      </c>
      <c r="E1223" s="3" t="inlineStr">
        <is>
          <t>Deciles</t>
        </is>
      </c>
      <c r="F1223" s="3" t="inlineStr">
        <is>
          <t>mean</t>
        </is>
      </c>
      <c r="G1223" s="3" t="n">
        <v>10</v>
      </c>
      <c r="H1223" s="3" t="n">
        <v>-0.7839489357812064</v>
      </c>
      <c r="I1223" s="3" t="n">
        <v>-0.7839489357812064</v>
      </c>
      <c r="J1223" s="3" t="n">
        <v>-0.8593977723802839</v>
      </c>
      <c r="K1223" s="3" t="n">
        <v>-0.8593977723802839</v>
      </c>
      <c r="L1223" s="3" t="n">
        <v>-0.7839489357812064</v>
      </c>
      <c r="M1223" s="3" t="n">
        <v>-0.7839489357812064</v>
      </c>
      <c r="N1223" s="3" t="n">
        <v>-0.7839489357812064</v>
      </c>
      <c r="O1223" s="3" t="n">
        <v>-0.7839489357812064</v>
      </c>
      <c r="P1223" s="3" t="n">
        <v>-0.7839489357812064</v>
      </c>
      <c r="Q1223" s="3" t="n">
        <v>-0.7839489357812064</v>
      </c>
      <c r="R1223" s="3" t="n">
        <v>-0.7712249892098563</v>
      </c>
      <c r="S1223" s="3" t="n">
        <v>-1.024877253600529</v>
      </c>
      <c r="T1223" s="3" t="n">
        <v>-0.7086694342749459</v>
      </c>
      <c r="U1223" s="3" t="n">
        <v>-0.8593977723802839</v>
      </c>
      <c r="V1223" s="3" t="n">
        <v>-0.6783862863268171</v>
      </c>
      <c r="W1223" s="3" t="n">
        <v>-0.5361838928290776</v>
      </c>
      <c r="X1223" s="3" t="n">
        <v>-1.020875356878553</v>
      </c>
      <c r="Y1223" s="3" t="n">
        <v>-0.7839489357812064</v>
      </c>
      <c r="Z1223" s="3" t="n">
        <v>-1.024877253600529</v>
      </c>
      <c r="AA1223" s="3" t="n">
        <v>-1.024877253600529</v>
      </c>
      <c r="AB1223" s="3" t="n">
        <v>-1.020875356878553</v>
      </c>
      <c r="AC1223" s="3" t="n">
        <v>-1.149042170388358</v>
      </c>
      <c r="AD1223" s="3" t="n">
        <v>-0.8593977723802839</v>
      </c>
      <c r="AE1223" s="3" t="n">
        <v>-0.8593977723802839</v>
      </c>
    </row>
    <row r="1224">
      <c r="A1224" s="3" t="inlineStr">
        <is>
          <t>LBY.distn.bkt.ove.mean.9999</t>
        </is>
      </c>
      <c r="B1224" s="3" t="inlineStr">
        <is>
          <t>LBY</t>
        </is>
      </c>
      <c r="C1224" s="3" t="n">
        <v>2005</v>
      </c>
      <c r="D1224" s="3" t="inlineStr">
        <is>
          <t>Overall</t>
        </is>
      </c>
      <c r="E1224" s="3" t="inlineStr">
        <is>
          <t>Basket</t>
        </is>
      </c>
      <c r="F1224" s="3" t="inlineStr">
        <is>
          <t>mean</t>
        </is>
      </c>
      <c r="G1224" s="3" t="n">
        <v>9999</v>
      </c>
      <c r="H1224" s="3" t="n">
        <v>-0.7855607322284154</v>
      </c>
      <c r="I1224" s="3" t="n">
        <v>-0.7855607322284154</v>
      </c>
      <c r="J1224" s="3" t="n">
        <v>-0.8708347541945322</v>
      </c>
      <c r="K1224" s="3" t="n">
        <v>-0.8708347541945322</v>
      </c>
      <c r="L1224" s="3" t="n">
        <v>-0.7855607322284154</v>
      </c>
      <c r="M1224" s="3" t="n">
        <v>-0.7855607322284154</v>
      </c>
      <c r="N1224" s="3" t="n">
        <v>-0.7855607322284154</v>
      </c>
      <c r="O1224" s="3" t="n">
        <v>-0.7855607322284154</v>
      </c>
      <c r="P1224" s="3" t="n">
        <v>-0.7855607322284154</v>
      </c>
      <c r="Q1224" s="3" t="n">
        <v>-0.7855607322284154</v>
      </c>
      <c r="R1224" s="3" t="n">
        <v>-0.7720900552613394</v>
      </c>
      <c r="S1224" s="3" t="n">
        <v>-1.160887002944946</v>
      </c>
      <c r="T1224" s="3" t="n">
        <v>-0.7090769904000419</v>
      </c>
      <c r="U1224" s="3" t="n">
        <v>-0.8708347541945322</v>
      </c>
      <c r="V1224" s="3" t="n">
        <v>-0.6799844878060477</v>
      </c>
      <c r="W1224" s="3" t="n">
        <v>-0.5558792540005275</v>
      </c>
      <c r="X1224" s="3" t="n">
        <v>-1.140969473975045</v>
      </c>
      <c r="Y1224" s="3" t="n">
        <v>-0.7855607322284154</v>
      </c>
      <c r="Z1224" s="3" t="n">
        <v>-1.160887002944946</v>
      </c>
      <c r="AA1224" s="3" t="n">
        <v>-1.160887002944946</v>
      </c>
      <c r="AB1224" s="3" t="n">
        <v>-1.140969473975045</v>
      </c>
      <c r="AC1224" s="3" t="n">
        <v>-1.501635466303144</v>
      </c>
      <c r="AD1224" s="3" t="n">
        <v>-0.8708347541945322</v>
      </c>
      <c r="AE1224" s="3" t="n">
        <v>-0.8708347541945322</v>
      </c>
    </row>
    <row r="1225">
      <c r="A1225" s="3" t="inlineStr">
        <is>
          <t>LCA.distn.dec.ove.mean.1</t>
        </is>
      </c>
      <c r="B1225" s="3" t="inlineStr">
        <is>
          <t>LCA</t>
        </is>
      </c>
      <c r="C1225" s="3" t="n">
        <v>2005</v>
      </c>
      <c r="D1225" s="3" t="inlineStr">
        <is>
          <t>Overall</t>
        </is>
      </c>
      <c r="E1225" s="3" t="inlineStr">
        <is>
          <t>Deciles</t>
        </is>
      </c>
      <c r="F1225" s="3" t="inlineStr">
        <is>
          <t>mean</t>
        </is>
      </c>
      <c r="G1225" s="3" t="n">
        <v>1</v>
      </c>
      <c r="H1225" s="3" t="n">
        <v>-0.7898249251501901</v>
      </c>
      <c r="I1225" s="3" t="n">
        <v>-0.7898249251501901</v>
      </c>
      <c r="J1225" s="3" t="n">
        <v>-0.9006037865366254</v>
      </c>
      <c r="K1225" s="3" t="n">
        <v>-0.9006037865366254</v>
      </c>
      <c r="L1225" s="3" t="n">
        <v>-0.7898249251501901</v>
      </c>
      <c r="M1225" s="3" t="n">
        <v>-0.7898249251501901</v>
      </c>
      <c r="N1225" s="3" t="n">
        <v>-0.7898249251501901</v>
      </c>
      <c r="O1225" s="3" t="n">
        <v>-0.7898249251501901</v>
      </c>
      <c r="P1225" s="3" t="n">
        <v>-0.7898249251501901</v>
      </c>
      <c r="Q1225" s="3" t="n">
        <v>-0.7898249251501901</v>
      </c>
      <c r="R1225" s="3" t="n">
        <v>-0.7744465725762504</v>
      </c>
      <c r="S1225" s="3" t="n">
        <v>-1.490841317176819</v>
      </c>
      <c r="T1225" s="3" t="n">
        <v>-0.7100824441228594</v>
      </c>
      <c r="U1225" s="3" t="n">
        <v>-0.9006037865366254</v>
      </c>
      <c r="V1225" s="3" t="n">
        <v>-0.6846477542604719</v>
      </c>
      <c r="W1225" s="3" t="n">
        <v>-0.6204802887780326</v>
      </c>
      <c r="X1225" s="3" t="n">
        <v>-1.433480068615505</v>
      </c>
      <c r="Y1225" s="3" t="n">
        <v>-0.7898249251501901</v>
      </c>
      <c r="Z1225" s="3" t="n">
        <v>-1.490841317176819</v>
      </c>
      <c r="AA1225" s="3" t="n">
        <v>-1.490841317176819</v>
      </c>
      <c r="AB1225" s="3" t="n">
        <v>-1.433480068615505</v>
      </c>
      <c r="AC1225" s="3" t="n">
        <v>-2.345895099639892</v>
      </c>
      <c r="AD1225" s="3" t="n">
        <v>-0.9006037865366254</v>
      </c>
      <c r="AE1225" s="3" t="n">
        <v>-0.9006037865366254</v>
      </c>
    </row>
    <row r="1226">
      <c r="A1226" s="3" t="inlineStr">
        <is>
          <t>LCA.distn.dec.ove.mean.2</t>
        </is>
      </c>
      <c r="B1226" s="3" t="inlineStr">
        <is>
          <t>LCA</t>
        </is>
      </c>
      <c r="C1226" s="3" t="n">
        <v>2005</v>
      </c>
      <c r="D1226" s="3" t="inlineStr">
        <is>
          <t>Overall</t>
        </is>
      </c>
      <c r="E1226" s="3" t="inlineStr">
        <is>
          <t>Deciles</t>
        </is>
      </c>
      <c r="F1226" s="3" t="inlineStr">
        <is>
          <t>mean</t>
        </is>
      </c>
      <c r="G1226" s="3" t="n">
        <v>2</v>
      </c>
      <c r="H1226" s="3" t="n">
        <v>-0.7898249251501901</v>
      </c>
      <c r="I1226" s="3" t="n">
        <v>-0.7898249251501901</v>
      </c>
      <c r="J1226" s="3" t="n">
        <v>-0.9006037865366254</v>
      </c>
      <c r="K1226" s="3" t="n">
        <v>-0.9006037865366254</v>
      </c>
      <c r="L1226" s="3" t="n">
        <v>-0.7898249251501901</v>
      </c>
      <c r="M1226" s="3" t="n">
        <v>-0.7898249251501901</v>
      </c>
      <c r="N1226" s="3" t="n">
        <v>-0.7898249251501901</v>
      </c>
      <c r="O1226" s="3" t="n">
        <v>-0.7898249251501901</v>
      </c>
      <c r="P1226" s="3" t="n">
        <v>-0.7898249251501901</v>
      </c>
      <c r="Q1226" s="3" t="n">
        <v>-0.7898249251501901</v>
      </c>
      <c r="R1226" s="3" t="n">
        <v>-0.7744465725762504</v>
      </c>
      <c r="S1226" s="3" t="n">
        <v>-1.490841317176819</v>
      </c>
      <c r="T1226" s="3" t="n">
        <v>-0.7100824441228594</v>
      </c>
      <c r="U1226" s="3" t="n">
        <v>-0.9006037865366254</v>
      </c>
      <c r="V1226" s="3" t="n">
        <v>-0.6846477542604719</v>
      </c>
      <c r="W1226" s="3" t="n">
        <v>-0.6204802887780326</v>
      </c>
      <c r="X1226" s="3" t="n">
        <v>-1.433480068615505</v>
      </c>
      <c r="Y1226" s="3" t="n">
        <v>-0.7898249251501901</v>
      </c>
      <c r="Z1226" s="3" t="n">
        <v>-1.490841317176819</v>
      </c>
      <c r="AA1226" s="3" t="n">
        <v>-1.490841317176819</v>
      </c>
      <c r="AB1226" s="3" t="n">
        <v>-1.433480068615505</v>
      </c>
      <c r="AC1226" s="3" t="n">
        <v>-2.345895099639892</v>
      </c>
      <c r="AD1226" s="3" t="n">
        <v>-0.9006037865366254</v>
      </c>
      <c r="AE1226" s="3" t="n">
        <v>-0.9006037865366254</v>
      </c>
    </row>
    <row r="1227">
      <c r="A1227" s="3" t="inlineStr">
        <is>
          <t>LCA.distn.dec.ove.mean.3</t>
        </is>
      </c>
      <c r="B1227" s="3" t="inlineStr">
        <is>
          <t>LCA</t>
        </is>
      </c>
      <c r="C1227" s="3" t="n">
        <v>2005</v>
      </c>
      <c r="D1227" s="3" t="inlineStr">
        <is>
          <t>Overall</t>
        </is>
      </c>
      <c r="E1227" s="3" t="inlineStr">
        <is>
          <t>Deciles</t>
        </is>
      </c>
      <c r="F1227" s="3" t="inlineStr">
        <is>
          <t>mean</t>
        </is>
      </c>
      <c r="G1227" s="3" t="n">
        <v>3</v>
      </c>
      <c r="H1227" s="3" t="n">
        <v>-0.7898249251501901</v>
      </c>
      <c r="I1227" s="3" t="n">
        <v>-0.7898249251501901</v>
      </c>
      <c r="J1227" s="3" t="n">
        <v>-0.9006037865366254</v>
      </c>
      <c r="K1227" s="3" t="n">
        <v>-0.9006037865366254</v>
      </c>
      <c r="L1227" s="3" t="n">
        <v>-0.7898249251501901</v>
      </c>
      <c r="M1227" s="3" t="n">
        <v>-0.7898249251501901</v>
      </c>
      <c r="N1227" s="3" t="n">
        <v>-0.7898249251501901</v>
      </c>
      <c r="O1227" s="3" t="n">
        <v>-0.7898249251501901</v>
      </c>
      <c r="P1227" s="3" t="n">
        <v>-0.7898249251501901</v>
      </c>
      <c r="Q1227" s="3" t="n">
        <v>-0.7898249251501901</v>
      </c>
      <c r="R1227" s="3" t="n">
        <v>-0.7744465725762504</v>
      </c>
      <c r="S1227" s="3" t="n">
        <v>-1.490841317176819</v>
      </c>
      <c r="T1227" s="3" t="n">
        <v>-0.7100824441228594</v>
      </c>
      <c r="U1227" s="3" t="n">
        <v>-0.9006037865366254</v>
      </c>
      <c r="V1227" s="3" t="n">
        <v>-0.6846477542604719</v>
      </c>
      <c r="W1227" s="3" t="n">
        <v>-0.6204802887780326</v>
      </c>
      <c r="X1227" s="3" t="n">
        <v>-1.433480068615505</v>
      </c>
      <c r="Y1227" s="3" t="n">
        <v>-0.7898249251501901</v>
      </c>
      <c r="Z1227" s="3" t="n">
        <v>-1.490841317176819</v>
      </c>
      <c r="AA1227" s="3" t="n">
        <v>-1.490841317176819</v>
      </c>
      <c r="AB1227" s="3" t="n">
        <v>-1.433480068615505</v>
      </c>
      <c r="AC1227" s="3" t="n">
        <v>-2.345895099639892</v>
      </c>
      <c r="AD1227" s="3" t="n">
        <v>-0.9006037865366254</v>
      </c>
      <c r="AE1227" s="3" t="n">
        <v>-0.9006037865366254</v>
      </c>
    </row>
    <row r="1228">
      <c r="A1228" s="3" t="inlineStr">
        <is>
          <t>LCA.distn.dec.ove.mean.4</t>
        </is>
      </c>
      <c r="B1228" s="3" t="inlineStr">
        <is>
          <t>LCA</t>
        </is>
      </c>
      <c r="C1228" s="3" t="n">
        <v>2005</v>
      </c>
      <c r="D1228" s="3" t="inlineStr">
        <is>
          <t>Overall</t>
        </is>
      </c>
      <c r="E1228" s="3" t="inlineStr">
        <is>
          <t>Deciles</t>
        </is>
      </c>
      <c r="F1228" s="3" t="inlineStr">
        <is>
          <t>mean</t>
        </is>
      </c>
      <c r="G1228" s="3" t="n">
        <v>4</v>
      </c>
      <c r="H1228" s="3" t="n">
        <v>-0.7835714289120266</v>
      </c>
      <c r="I1228" s="3" t="n">
        <v>-0.7835714289120266</v>
      </c>
      <c r="J1228" s="3" t="n">
        <v>-0.8570857082094465</v>
      </c>
      <c r="K1228" s="3" t="n">
        <v>-0.8570857082094465</v>
      </c>
      <c r="L1228" s="3" t="n">
        <v>-0.7835714289120266</v>
      </c>
      <c r="M1228" s="3" t="n">
        <v>-0.7835714289120266</v>
      </c>
      <c r="N1228" s="3" t="n">
        <v>-0.7835714289120266</v>
      </c>
      <c r="O1228" s="3" t="n">
        <v>-0.7835714289120266</v>
      </c>
      <c r="P1228" s="3" t="n">
        <v>-0.7835714289120266</v>
      </c>
      <c r="Q1228" s="3" t="n">
        <v>-0.7835714289120266</v>
      </c>
      <c r="R1228" s="3" t="n">
        <v>-0.7709714361599513</v>
      </c>
      <c r="S1228" s="3" t="n">
        <v>-1.015428565229688</v>
      </c>
      <c r="T1228" s="3" t="n">
        <v>-0.708628567627498</v>
      </c>
      <c r="U1228" s="3" t="n">
        <v>-0.8570857082094465</v>
      </c>
      <c r="V1228" s="3" t="n">
        <v>-0.6776857103620256</v>
      </c>
      <c r="W1228" s="3" t="n">
        <v>-0.5221999968801226</v>
      </c>
      <c r="X1228" s="3" t="n">
        <v>-1.011657135827201</v>
      </c>
      <c r="Y1228" s="3" t="n">
        <v>-0.7835714289120266</v>
      </c>
      <c r="Z1228" s="3" t="n">
        <v>-1.015428565229688</v>
      </c>
      <c r="AA1228" s="3" t="n">
        <v>-1.015428565229688</v>
      </c>
      <c r="AB1228" s="3" t="n">
        <v>-1.011657135827201</v>
      </c>
      <c r="AC1228" s="3" t="n">
        <v>-1.132885714939662</v>
      </c>
      <c r="AD1228" s="3" t="n">
        <v>-0.8570857082094465</v>
      </c>
      <c r="AE1228" s="3" t="n">
        <v>-0.8570857082094465</v>
      </c>
    </row>
    <row r="1229">
      <c r="A1229" s="3" t="inlineStr">
        <is>
          <t>LCA.distn.dec.ove.mean.5</t>
        </is>
      </c>
      <c r="B1229" s="3" t="inlineStr">
        <is>
          <t>LCA</t>
        </is>
      </c>
      <c r="C1229" s="3" t="n">
        <v>2005</v>
      </c>
      <c r="D1229" s="3" t="inlineStr">
        <is>
          <t>Overall</t>
        </is>
      </c>
      <c r="E1229" s="3" t="inlineStr">
        <is>
          <t>Deciles</t>
        </is>
      </c>
      <c r="F1229" s="3" t="inlineStr">
        <is>
          <t>mean</t>
        </is>
      </c>
      <c r="G1229" s="3" t="n">
        <v>5</v>
      </c>
      <c r="H1229" s="3" t="n">
        <v>-0.7835714289120266</v>
      </c>
      <c r="I1229" s="3" t="n">
        <v>-0.7835714289120266</v>
      </c>
      <c r="J1229" s="3" t="n">
        <v>-0.8570857082094465</v>
      </c>
      <c r="K1229" s="3" t="n">
        <v>-0.8570857082094465</v>
      </c>
      <c r="L1229" s="3" t="n">
        <v>-0.7835714289120266</v>
      </c>
      <c r="M1229" s="3" t="n">
        <v>-0.7835714289120266</v>
      </c>
      <c r="N1229" s="3" t="n">
        <v>-0.7835714289120266</v>
      </c>
      <c r="O1229" s="3" t="n">
        <v>-0.7835714289120266</v>
      </c>
      <c r="P1229" s="3" t="n">
        <v>-0.7835714289120266</v>
      </c>
      <c r="Q1229" s="3" t="n">
        <v>-0.7835714289120266</v>
      </c>
      <c r="R1229" s="3" t="n">
        <v>-0.7709714361599513</v>
      </c>
      <c r="S1229" s="3" t="n">
        <v>-1.015428565229688</v>
      </c>
      <c r="T1229" s="3" t="n">
        <v>-0.708628567627498</v>
      </c>
      <c r="U1229" s="3" t="n">
        <v>-0.8570857082094465</v>
      </c>
      <c r="V1229" s="3" t="n">
        <v>-0.6776857103620256</v>
      </c>
      <c r="W1229" s="3" t="n">
        <v>-0.5221999968801226</v>
      </c>
      <c r="X1229" s="3" t="n">
        <v>-1.011657135827201</v>
      </c>
      <c r="Y1229" s="3" t="n">
        <v>-0.7835714289120266</v>
      </c>
      <c r="Z1229" s="3" t="n">
        <v>-1.015428565229688</v>
      </c>
      <c r="AA1229" s="3" t="n">
        <v>-1.015428565229688</v>
      </c>
      <c r="AB1229" s="3" t="n">
        <v>-1.011657135827201</v>
      </c>
      <c r="AC1229" s="3" t="n">
        <v>-1.132885714939662</v>
      </c>
      <c r="AD1229" s="3" t="n">
        <v>-0.8570857082094465</v>
      </c>
      <c r="AE1229" s="3" t="n">
        <v>-0.8570857082094465</v>
      </c>
    </row>
    <row r="1230">
      <c r="A1230" s="3" t="inlineStr">
        <is>
          <t>LCA.distn.dec.ove.mean.6</t>
        </is>
      </c>
      <c r="B1230" s="3" t="inlineStr">
        <is>
          <t>LCA</t>
        </is>
      </c>
      <c r="C1230" s="3" t="n">
        <v>2005</v>
      </c>
      <c r="D1230" s="3" t="inlineStr">
        <is>
          <t>Overall</t>
        </is>
      </c>
      <c r="E1230" s="3" t="inlineStr">
        <is>
          <t>Deciles</t>
        </is>
      </c>
      <c r="F1230" s="3" t="inlineStr">
        <is>
          <t>mean</t>
        </is>
      </c>
      <c r="G1230" s="3" t="n">
        <v>6</v>
      </c>
      <c r="H1230" s="3" t="n">
        <v>-0.7835714289120266</v>
      </c>
      <c r="I1230" s="3" t="n">
        <v>-0.7835714289120266</v>
      </c>
      <c r="J1230" s="3" t="n">
        <v>-0.8570857082094465</v>
      </c>
      <c r="K1230" s="3" t="n">
        <v>-0.8570857082094465</v>
      </c>
      <c r="L1230" s="3" t="n">
        <v>-0.7835714289120266</v>
      </c>
      <c r="M1230" s="3" t="n">
        <v>-0.7835714289120266</v>
      </c>
      <c r="N1230" s="3" t="n">
        <v>-0.7835714289120266</v>
      </c>
      <c r="O1230" s="3" t="n">
        <v>-0.7835714289120266</v>
      </c>
      <c r="P1230" s="3" t="n">
        <v>-0.7835714289120266</v>
      </c>
      <c r="Q1230" s="3" t="n">
        <v>-0.7835714289120266</v>
      </c>
      <c r="R1230" s="3" t="n">
        <v>-0.7709714361599513</v>
      </c>
      <c r="S1230" s="3" t="n">
        <v>-1.015428565229688</v>
      </c>
      <c r="T1230" s="3" t="n">
        <v>-0.708628567627498</v>
      </c>
      <c r="U1230" s="3" t="n">
        <v>-0.8570857082094465</v>
      </c>
      <c r="V1230" s="3" t="n">
        <v>-0.6776857103620256</v>
      </c>
      <c r="W1230" s="3" t="n">
        <v>-0.5221999968801226</v>
      </c>
      <c r="X1230" s="3" t="n">
        <v>-1.011657135827201</v>
      </c>
      <c r="Y1230" s="3" t="n">
        <v>-0.7835714289120266</v>
      </c>
      <c r="Z1230" s="3" t="n">
        <v>-1.015428565229688</v>
      </c>
      <c r="AA1230" s="3" t="n">
        <v>-1.015428565229688</v>
      </c>
      <c r="AB1230" s="3" t="n">
        <v>-1.011657135827201</v>
      </c>
      <c r="AC1230" s="3" t="n">
        <v>-1.132885714939662</v>
      </c>
      <c r="AD1230" s="3" t="n">
        <v>-0.8570857082094465</v>
      </c>
      <c r="AE1230" s="3" t="n">
        <v>-0.8570857082094465</v>
      </c>
    </row>
    <row r="1231">
      <c r="A1231" s="3" t="inlineStr">
        <is>
          <t>LCA.distn.dec.ove.mean.7</t>
        </is>
      </c>
      <c r="B1231" s="3" t="inlineStr">
        <is>
          <t>LCA</t>
        </is>
      </c>
      <c r="C1231" s="3" t="n">
        <v>2005</v>
      </c>
      <c r="D1231" s="3" t="inlineStr">
        <is>
          <t>Overall</t>
        </is>
      </c>
      <c r="E1231" s="3" t="inlineStr">
        <is>
          <t>Deciles</t>
        </is>
      </c>
      <c r="F1231" s="3" t="inlineStr">
        <is>
          <t>mean</t>
        </is>
      </c>
      <c r="G1231" s="3" t="n">
        <v>7</v>
      </c>
      <c r="H1231" s="3" t="n">
        <v>-0.7835714289120266</v>
      </c>
      <c r="I1231" s="3" t="n">
        <v>-0.7835714289120266</v>
      </c>
      <c r="J1231" s="3" t="n">
        <v>-0.8570857082094465</v>
      </c>
      <c r="K1231" s="3" t="n">
        <v>-0.8570857082094465</v>
      </c>
      <c r="L1231" s="3" t="n">
        <v>-0.7835714289120266</v>
      </c>
      <c r="M1231" s="3" t="n">
        <v>-0.7835714289120266</v>
      </c>
      <c r="N1231" s="3" t="n">
        <v>-0.7835714289120266</v>
      </c>
      <c r="O1231" s="3" t="n">
        <v>-0.7835714289120266</v>
      </c>
      <c r="P1231" s="3" t="n">
        <v>-0.7835714289120266</v>
      </c>
      <c r="Q1231" s="3" t="n">
        <v>-0.7835714289120266</v>
      </c>
      <c r="R1231" s="3" t="n">
        <v>-0.7709714361599513</v>
      </c>
      <c r="S1231" s="3" t="n">
        <v>-1.015428565229688</v>
      </c>
      <c r="T1231" s="3" t="n">
        <v>-0.708628567627498</v>
      </c>
      <c r="U1231" s="3" t="n">
        <v>-0.8570857082094465</v>
      </c>
      <c r="V1231" s="3" t="n">
        <v>-0.6776857103620256</v>
      </c>
      <c r="W1231" s="3" t="n">
        <v>-0.5221999968801226</v>
      </c>
      <c r="X1231" s="3" t="n">
        <v>-1.011657135827201</v>
      </c>
      <c r="Y1231" s="3" t="n">
        <v>-0.7835714289120266</v>
      </c>
      <c r="Z1231" s="3" t="n">
        <v>-1.015428565229688</v>
      </c>
      <c r="AA1231" s="3" t="n">
        <v>-1.015428565229688</v>
      </c>
      <c r="AB1231" s="3" t="n">
        <v>-1.011657135827201</v>
      </c>
      <c r="AC1231" s="3" t="n">
        <v>-1.132885714939662</v>
      </c>
      <c r="AD1231" s="3" t="n">
        <v>-0.8570857082094465</v>
      </c>
      <c r="AE1231" s="3" t="n">
        <v>-0.8570857082094465</v>
      </c>
    </row>
    <row r="1232">
      <c r="A1232" s="3" t="inlineStr">
        <is>
          <t>LCA.distn.dec.ove.mean.8</t>
        </is>
      </c>
      <c r="B1232" s="3" t="inlineStr">
        <is>
          <t>LCA</t>
        </is>
      </c>
      <c r="C1232" s="3" t="n">
        <v>2005</v>
      </c>
      <c r="D1232" s="3" t="inlineStr">
        <is>
          <t>Overall</t>
        </is>
      </c>
      <c r="E1232" s="3" t="inlineStr">
        <is>
          <t>Deciles</t>
        </is>
      </c>
      <c r="F1232" s="3" t="inlineStr">
        <is>
          <t>mean</t>
        </is>
      </c>
      <c r="G1232" s="3" t="n">
        <v>8</v>
      </c>
      <c r="H1232" s="3" t="n">
        <v>-0.7839489357812064</v>
      </c>
      <c r="I1232" s="3" t="n">
        <v>-0.7839489357812064</v>
      </c>
      <c r="J1232" s="3" t="n">
        <v>-0.8593977723802839</v>
      </c>
      <c r="K1232" s="3" t="n">
        <v>-0.8593977723802839</v>
      </c>
      <c r="L1232" s="3" t="n">
        <v>-0.7839489357812064</v>
      </c>
      <c r="M1232" s="3" t="n">
        <v>-0.7839489357812064</v>
      </c>
      <c r="N1232" s="3" t="n">
        <v>-0.7839489357812064</v>
      </c>
      <c r="O1232" s="3" t="n">
        <v>-0.7839489357812064</v>
      </c>
      <c r="P1232" s="3" t="n">
        <v>-0.7839489357812064</v>
      </c>
      <c r="Q1232" s="3" t="n">
        <v>-0.7839489357812064</v>
      </c>
      <c r="R1232" s="3" t="n">
        <v>-0.7712249892098563</v>
      </c>
      <c r="S1232" s="3" t="n">
        <v>-1.024877253600529</v>
      </c>
      <c r="T1232" s="3" t="n">
        <v>-0.7086694342749459</v>
      </c>
      <c r="U1232" s="3" t="n">
        <v>-0.8593977723802839</v>
      </c>
      <c r="V1232" s="3" t="n">
        <v>-0.6783862863268171</v>
      </c>
      <c r="W1232" s="3" t="n">
        <v>-0.5361838928290776</v>
      </c>
      <c r="X1232" s="3" t="n">
        <v>-1.020875356878553</v>
      </c>
      <c r="Y1232" s="3" t="n">
        <v>-0.7839489357812064</v>
      </c>
      <c r="Z1232" s="3" t="n">
        <v>-1.024877253600529</v>
      </c>
      <c r="AA1232" s="3" t="n">
        <v>-1.024877253600529</v>
      </c>
      <c r="AB1232" s="3" t="n">
        <v>-1.020875356878553</v>
      </c>
      <c r="AC1232" s="3" t="n">
        <v>-1.149042170388358</v>
      </c>
      <c r="AD1232" s="3" t="n">
        <v>-0.8593977723802839</v>
      </c>
      <c r="AE1232" s="3" t="n">
        <v>-0.8593977723802839</v>
      </c>
    </row>
    <row r="1233">
      <c r="A1233" s="3" t="inlineStr">
        <is>
          <t>LCA.distn.dec.ove.mean.9</t>
        </is>
      </c>
      <c r="B1233" s="3" t="inlineStr">
        <is>
          <t>LCA</t>
        </is>
      </c>
      <c r="C1233" s="3" t="n">
        <v>2005</v>
      </c>
      <c r="D1233" s="3" t="inlineStr">
        <is>
          <t>Overall</t>
        </is>
      </c>
      <c r="E1233" s="3" t="inlineStr">
        <is>
          <t>Deciles</t>
        </is>
      </c>
      <c r="F1233" s="3" t="inlineStr">
        <is>
          <t>mean</t>
        </is>
      </c>
      <c r="G1233" s="3" t="n">
        <v>9</v>
      </c>
      <c r="H1233" s="3" t="n">
        <v>-0.7839489357812064</v>
      </c>
      <c r="I1233" s="3" t="n">
        <v>-0.7839489357812064</v>
      </c>
      <c r="J1233" s="3" t="n">
        <v>-0.8593977723802839</v>
      </c>
      <c r="K1233" s="3" t="n">
        <v>-0.8593977723802839</v>
      </c>
      <c r="L1233" s="3" t="n">
        <v>-0.7839489357812064</v>
      </c>
      <c r="M1233" s="3" t="n">
        <v>-0.7839489357812064</v>
      </c>
      <c r="N1233" s="3" t="n">
        <v>-0.7839489357812064</v>
      </c>
      <c r="O1233" s="3" t="n">
        <v>-0.7839489357812064</v>
      </c>
      <c r="P1233" s="3" t="n">
        <v>-0.7839489357812064</v>
      </c>
      <c r="Q1233" s="3" t="n">
        <v>-0.7839489357812064</v>
      </c>
      <c r="R1233" s="3" t="n">
        <v>-0.7712249892098563</v>
      </c>
      <c r="S1233" s="3" t="n">
        <v>-1.024877253600529</v>
      </c>
      <c r="T1233" s="3" t="n">
        <v>-0.7086694342749459</v>
      </c>
      <c r="U1233" s="3" t="n">
        <v>-0.8593977723802839</v>
      </c>
      <c r="V1233" s="3" t="n">
        <v>-0.6783862863268171</v>
      </c>
      <c r="W1233" s="3" t="n">
        <v>-0.5361838928290776</v>
      </c>
      <c r="X1233" s="3" t="n">
        <v>-1.020875356878553</v>
      </c>
      <c r="Y1233" s="3" t="n">
        <v>-0.7839489357812064</v>
      </c>
      <c r="Z1233" s="3" t="n">
        <v>-1.024877253600529</v>
      </c>
      <c r="AA1233" s="3" t="n">
        <v>-1.024877253600529</v>
      </c>
      <c r="AB1233" s="3" t="n">
        <v>-1.020875356878553</v>
      </c>
      <c r="AC1233" s="3" t="n">
        <v>-1.149042170388358</v>
      </c>
      <c r="AD1233" s="3" t="n">
        <v>-0.8593977723802839</v>
      </c>
      <c r="AE1233" s="3" t="n">
        <v>-0.8593977723802839</v>
      </c>
    </row>
    <row r="1234">
      <c r="A1234" s="3" t="inlineStr">
        <is>
          <t>LCA.distn.dec.ove.mean.10</t>
        </is>
      </c>
      <c r="B1234" s="3" t="inlineStr">
        <is>
          <t>LCA</t>
        </is>
      </c>
      <c r="C1234" s="3" t="n">
        <v>2005</v>
      </c>
      <c r="D1234" s="3" t="inlineStr">
        <is>
          <t>Overall</t>
        </is>
      </c>
      <c r="E1234" s="3" t="inlineStr">
        <is>
          <t>Deciles</t>
        </is>
      </c>
      <c r="F1234" s="3" t="inlineStr">
        <is>
          <t>mean</t>
        </is>
      </c>
      <c r="G1234" s="3" t="n">
        <v>10</v>
      </c>
      <c r="H1234" s="3" t="n">
        <v>-0.7839489357812064</v>
      </c>
      <c r="I1234" s="3" t="n">
        <v>-0.7839489357812064</v>
      </c>
      <c r="J1234" s="3" t="n">
        <v>-0.8593977723802839</v>
      </c>
      <c r="K1234" s="3" t="n">
        <v>-0.8593977723802839</v>
      </c>
      <c r="L1234" s="3" t="n">
        <v>-0.7839489357812064</v>
      </c>
      <c r="M1234" s="3" t="n">
        <v>-0.7839489357812064</v>
      </c>
      <c r="N1234" s="3" t="n">
        <v>-0.7839489357812064</v>
      </c>
      <c r="O1234" s="3" t="n">
        <v>-0.7839489357812064</v>
      </c>
      <c r="P1234" s="3" t="n">
        <v>-0.7839489357812064</v>
      </c>
      <c r="Q1234" s="3" t="n">
        <v>-0.7839489357812064</v>
      </c>
      <c r="R1234" s="3" t="n">
        <v>-0.7712249892098563</v>
      </c>
      <c r="S1234" s="3" t="n">
        <v>-1.024877253600529</v>
      </c>
      <c r="T1234" s="3" t="n">
        <v>-0.7086694342749459</v>
      </c>
      <c r="U1234" s="3" t="n">
        <v>-0.8593977723802839</v>
      </c>
      <c r="V1234" s="3" t="n">
        <v>-0.6783862863268171</v>
      </c>
      <c r="W1234" s="3" t="n">
        <v>-0.5361838928290776</v>
      </c>
      <c r="X1234" s="3" t="n">
        <v>-1.020875356878553</v>
      </c>
      <c r="Y1234" s="3" t="n">
        <v>-0.7839489357812064</v>
      </c>
      <c r="Z1234" s="3" t="n">
        <v>-1.024877253600529</v>
      </c>
      <c r="AA1234" s="3" t="n">
        <v>-1.024877253600529</v>
      </c>
      <c r="AB1234" s="3" t="n">
        <v>-1.020875356878553</v>
      </c>
      <c r="AC1234" s="3" t="n">
        <v>-1.149042170388358</v>
      </c>
      <c r="AD1234" s="3" t="n">
        <v>-0.8593977723802839</v>
      </c>
      <c r="AE1234" s="3" t="n">
        <v>-0.8593977723802839</v>
      </c>
    </row>
    <row r="1235">
      <c r="A1235" s="3" t="inlineStr">
        <is>
          <t>LCA.distn.bkt.ove.mean.9999</t>
        </is>
      </c>
      <c r="B1235" s="3" t="inlineStr">
        <is>
          <t>LCA</t>
        </is>
      </c>
      <c r="C1235" s="3" t="n">
        <v>2005</v>
      </c>
      <c r="D1235" s="3" t="inlineStr">
        <is>
          <t>Overall</t>
        </is>
      </c>
      <c r="E1235" s="3" t="inlineStr">
        <is>
          <t>Basket</t>
        </is>
      </c>
      <c r="F1235" s="3" t="inlineStr">
        <is>
          <t>mean</t>
        </is>
      </c>
      <c r="G1235" s="3" t="n">
        <v>9999</v>
      </c>
      <c r="H1235" s="3" t="n">
        <v>-0.7855607322284154</v>
      </c>
      <c r="I1235" s="3" t="n">
        <v>-0.7855607322284154</v>
      </c>
      <c r="J1235" s="3" t="n">
        <v>-0.8708347541945322</v>
      </c>
      <c r="K1235" s="3" t="n">
        <v>-0.8708347541945322</v>
      </c>
      <c r="L1235" s="3" t="n">
        <v>-0.7855607322284154</v>
      </c>
      <c r="M1235" s="3" t="n">
        <v>-0.7855607322284154</v>
      </c>
      <c r="N1235" s="3" t="n">
        <v>-0.7855607322284154</v>
      </c>
      <c r="O1235" s="3" t="n">
        <v>-0.7855607322284154</v>
      </c>
      <c r="P1235" s="3" t="n">
        <v>-0.7855607322284154</v>
      </c>
      <c r="Q1235" s="3" t="n">
        <v>-0.7855607322284154</v>
      </c>
      <c r="R1235" s="3" t="n">
        <v>-0.7720900552613394</v>
      </c>
      <c r="S1235" s="3" t="n">
        <v>-1.160887002944946</v>
      </c>
      <c r="T1235" s="3" t="n">
        <v>-0.7090769904000419</v>
      </c>
      <c r="U1235" s="3" t="n">
        <v>-0.8708347541945322</v>
      </c>
      <c r="V1235" s="3" t="n">
        <v>-0.6799844878060477</v>
      </c>
      <c r="W1235" s="3" t="n">
        <v>-0.5558792540005275</v>
      </c>
      <c r="X1235" s="3" t="n">
        <v>-1.140969473975045</v>
      </c>
      <c r="Y1235" s="3" t="n">
        <v>-0.7855607322284154</v>
      </c>
      <c r="Z1235" s="3" t="n">
        <v>-1.160887002944946</v>
      </c>
      <c r="AA1235" s="3" t="n">
        <v>-1.160887002944946</v>
      </c>
      <c r="AB1235" s="3" t="n">
        <v>-1.140969473975045</v>
      </c>
      <c r="AC1235" s="3" t="n">
        <v>-1.501635466303144</v>
      </c>
      <c r="AD1235" s="3" t="n">
        <v>-0.8708347541945322</v>
      </c>
      <c r="AE1235" s="3" t="n">
        <v>-0.8708347541945322</v>
      </c>
    </row>
    <row r="1236">
      <c r="A1236" s="3" t="inlineStr">
        <is>
          <t>LIE.distn.dec.ove.mean.1</t>
        </is>
      </c>
      <c r="B1236" s="3" t="inlineStr">
        <is>
          <t>LIE</t>
        </is>
      </c>
      <c r="C1236" s="3" t="n">
        <v>2005</v>
      </c>
      <c r="D1236" s="3" t="inlineStr">
        <is>
          <t>Overall</t>
        </is>
      </c>
      <c r="E1236" s="3" t="inlineStr">
        <is>
          <t>Deciles</t>
        </is>
      </c>
      <c r="F1236" s="3" t="inlineStr">
        <is>
          <t>mean</t>
        </is>
      </c>
      <c r="G1236" s="3" t="n">
        <v>1</v>
      </c>
      <c r="H1236" s="3" t="n">
        <v>-0.7878549098968506</v>
      </c>
      <c r="I1236" s="3" t="n">
        <v>-0.7878549098968506</v>
      </c>
      <c r="J1236" s="3" t="n">
        <v>-0.8883962808771336</v>
      </c>
      <c r="K1236" s="3" t="n">
        <v>-0.8883962808771336</v>
      </c>
      <c r="L1236" s="3" t="n">
        <v>-0.7878549098968506</v>
      </c>
      <c r="M1236" s="3" t="n">
        <v>-0.7878549098968506</v>
      </c>
      <c r="N1236" s="3" t="n">
        <v>-0.7878549098968506</v>
      </c>
      <c r="O1236" s="3" t="n">
        <v>-0.7878549098968506</v>
      </c>
      <c r="P1236" s="3" t="n">
        <v>-0.7878549098968506</v>
      </c>
      <c r="Q1236" s="3" t="n">
        <v>-0.7878549098968506</v>
      </c>
      <c r="R1236" s="3" t="n">
        <v>-0.7732356596500316</v>
      </c>
      <c r="S1236" s="3" t="n">
        <v>-1.408805674694954</v>
      </c>
      <c r="T1236" s="3" t="n">
        <v>-0.7095591730259835</v>
      </c>
      <c r="U1236" s="3" t="n">
        <v>-0.8883962808771336</v>
      </c>
      <c r="V1236" s="3" t="n">
        <v>-0.681934451803248</v>
      </c>
      <c r="W1236" s="3" t="n">
        <v>-0.5702875047288043</v>
      </c>
      <c r="X1236" s="3" t="n">
        <v>-1.356243993373627</v>
      </c>
      <c r="Y1236" s="3" t="n">
        <v>-0.7878549098968506</v>
      </c>
      <c r="Z1236" s="3" t="n">
        <v>-1.408805674694954</v>
      </c>
      <c r="AA1236" s="3" t="n">
        <v>-1.408805674694954</v>
      </c>
      <c r="AB1236" s="3" t="n">
        <v>-1.356243993373627</v>
      </c>
      <c r="AC1236" s="3" t="n">
        <v>-2.123991362592007</v>
      </c>
      <c r="AD1236" s="3" t="n">
        <v>-0.8883962808771336</v>
      </c>
      <c r="AE1236" s="3" t="n">
        <v>-0.8883962808771336</v>
      </c>
    </row>
    <row r="1237">
      <c r="A1237" s="3" t="inlineStr">
        <is>
          <t>LIE.distn.dec.ove.mean.2</t>
        </is>
      </c>
      <c r="B1237" s="3" t="inlineStr">
        <is>
          <t>LIE</t>
        </is>
      </c>
      <c r="C1237" s="3" t="n">
        <v>2005</v>
      </c>
      <c r="D1237" s="3" t="inlineStr">
        <is>
          <t>Overall</t>
        </is>
      </c>
      <c r="E1237" s="3" t="inlineStr">
        <is>
          <t>Deciles</t>
        </is>
      </c>
      <c r="F1237" s="3" t="inlineStr">
        <is>
          <t>mean</t>
        </is>
      </c>
      <c r="G1237" s="3" t="n">
        <v>2</v>
      </c>
      <c r="H1237" s="3" t="n">
        <v>-0.7878549098968506</v>
      </c>
      <c r="I1237" s="3" t="n">
        <v>-0.7878549098968506</v>
      </c>
      <c r="J1237" s="3" t="n">
        <v>-0.8883962808771336</v>
      </c>
      <c r="K1237" s="3" t="n">
        <v>-0.8883962808771336</v>
      </c>
      <c r="L1237" s="3" t="n">
        <v>-0.7878549098968506</v>
      </c>
      <c r="M1237" s="3" t="n">
        <v>-0.7878549098968506</v>
      </c>
      <c r="N1237" s="3" t="n">
        <v>-0.7878549098968506</v>
      </c>
      <c r="O1237" s="3" t="n">
        <v>-0.7878549098968506</v>
      </c>
      <c r="P1237" s="3" t="n">
        <v>-0.7878549098968506</v>
      </c>
      <c r="Q1237" s="3" t="n">
        <v>-0.7878549098968506</v>
      </c>
      <c r="R1237" s="3" t="n">
        <v>-0.7732356596500316</v>
      </c>
      <c r="S1237" s="3" t="n">
        <v>-1.408805674694954</v>
      </c>
      <c r="T1237" s="3" t="n">
        <v>-0.7095591730259835</v>
      </c>
      <c r="U1237" s="3" t="n">
        <v>-0.8883962808771336</v>
      </c>
      <c r="V1237" s="3" t="n">
        <v>-0.681934451803248</v>
      </c>
      <c r="W1237" s="3" t="n">
        <v>-0.5702875047288043</v>
      </c>
      <c r="X1237" s="3" t="n">
        <v>-1.356243993373627</v>
      </c>
      <c r="Y1237" s="3" t="n">
        <v>-0.7878549098968506</v>
      </c>
      <c r="Z1237" s="3" t="n">
        <v>-1.408805674694954</v>
      </c>
      <c r="AA1237" s="3" t="n">
        <v>-1.408805674694954</v>
      </c>
      <c r="AB1237" s="3" t="n">
        <v>-1.356243993373627</v>
      </c>
      <c r="AC1237" s="3" t="n">
        <v>-2.123991362592007</v>
      </c>
      <c r="AD1237" s="3" t="n">
        <v>-0.8883962808771336</v>
      </c>
      <c r="AE1237" s="3" t="n">
        <v>-0.8883962808771336</v>
      </c>
    </row>
    <row r="1238">
      <c r="A1238" s="3" t="inlineStr">
        <is>
          <t>LIE.distn.dec.ove.mean.3</t>
        </is>
      </c>
      <c r="B1238" s="3" t="inlineStr">
        <is>
          <t>LIE</t>
        </is>
      </c>
      <c r="C1238" s="3" t="n">
        <v>2005</v>
      </c>
      <c r="D1238" s="3" t="inlineStr">
        <is>
          <t>Overall</t>
        </is>
      </c>
      <c r="E1238" s="3" t="inlineStr">
        <is>
          <t>Deciles</t>
        </is>
      </c>
      <c r="F1238" s="3" t="inlineStr">
        <is>
          <t>mean</t>
        </is>
      </c>
      <c r="G1238" s="3" t="n">
        <v>3</v>
      </c>
      <c r="H1238" s="3" t="n">
        <v>-0.7878549098968506</v>
      </c>
      <c r="I1238" s="3" t="n">
        <v>-0.7878549098968506</v>
      </c>
      <c r="J1238" s="3" t="n">
        <v>-0.8883962808771336</v>
      </c>
      <c r="K1238" s="3" t="n">
        <v>-0.8883962808771336</v>
      </c>
      <c r="L1238" s="3" t="n">
        <v>-0.7878549098968506</v>
      </c>
      <c r="M1238" s="3" t="n">
        <v>-0.7878549098968506</v>
      </c>
      <c r="N1238" s="3" t="n">
        <v>-0.7878549098968506</v>
      </c>
      <c r="O1238" s="3" t="n">
        <v>-0.7878549098968506</v>
      </c>
      <c r="P1238" s="3" t="n">
        <v>-0.7878549098968506</v>
      </c>
      <c r="Q1238" s="3" t="n">
        <v>-0.7878549098968506</v>
      </c>
      <c r="R1238" s="3" t="n">
        <v>-0.7732356596500316</v>
      </c>
      <c r="S1238" s="3" t="n">
        <v>-1.408805674694954</v>
      </c>
      <c r="T1238" s="3" t="n">
        <v>-0.7095591730259835</v>
      </c>
      <c r="U1238" s="3" t="n">
        <v>-0.8883962808771336</v>
      </c>
      <c r="V1238" s="3" t="n">
        <v>-0.681934451803248</v>
      </c>
      <c r="W1238" s="3" t="n">
        <v>-0.5702875047288043</v>
      </c>
      <c r="X1238" s="3" t="n">
        <v>-1.356243993373627</v>
      </c>
      <c r="Y1238" s="3" t="n">
        <v>-0.7878549098968506</v>
      </c>
      <c r="Z1238" s="3" t="n">
        <v>-1.408805674694954</v>
      </c>
      <c r="AA1238" s="3" t="n">
        <v>-1.408805674694954</v>
      </c>
      <c r="AB1238" s="3" t="n">
        <v>-1.356243993373627</v>
      </c>
      <c r="AC1238" s="3" t="n">
        <v>-2.123991362592007</v>
      </c>
      <c r="AD1238" s="3" t="n">
        <v>-0.8883962808771336</v>
      </c>
      <c r="AE1238" s="3" t="n">
        <v>-0.8883962808771336</v>
      </c>
    </row>
    <row r="1239">
      <c r="A1239" s="3" t="inlineStr">
        <is>
          <t>LIE.distn.dec.ove.mean.4</t>
        </is>
      </c>
      <c r="B1239" s="3" t="inlineStr">
        <is>
          <t>LIE</t>
        </is>
      </c>
      <c r="C1239" s="3" t="n">
        <v>2005</v>
      </c>
      <c r="D1239" s="3" t="inlineStr">
        <is>
          <t>Overall</t>
        </is>
      </c>
      <c r="E1239" s="3" t="inlineStr">
        <is>
          <t>Deciles</t>
        </is>
      </c>
      <c r="F1239" s="3" t="inlineStr">
        <is>
          <t>mean</t>
        </is>
      </c>
      <c r="G1239" s="3" t="n">
        <v>4</v>
      </c>
      <c r="H1239" s="3" t="n">
        <v>-0.7816170251115839</v>
      </c>
      <c r="I1239" s="3" t="n">
        <v>-0.7816170251115839</v>
      </c>
      <c r="J1239" s="3" t="n">
        <v>-0.8454680810583398</v>
      </c>
      <c r="K1239" s="3" t="n">
        <v>-0.8454680810583398</v>
      </c>
      <c r="L1239" s="3" t="n">
        <v>-0.7816170251115839</v>
      </c>
      <c r="M1239" s="3" t="n">
        <v>-0.7816170251115839</v>
      </c>
      <c r="N1239" s="3" t="n">
        <v>-0.7816170251115839</v>
      </c>
      <c r="O1239" s="3" t="n">
        <v>-0.7816170251115839</v>
      </c>
      <c r="P1239" s="3" t="n">
        <v>-0.7816170251115839</v>
      </c>
      <c r="Q1239" s="3" t="n">
        <v>-0.7816170251115839</v>
      </c>
      <c r="R1239" s="3" t="n">
        <v>-0.7697659489956308</v>
      </c>
      <c r="S1239" s="3" t="n">
        <v>-0.9595531871978272</v>
      </c>
      <c r="T1239" s="3" t="n">
        <v>-0.7081063859006191</v>
      </c>
      <c r="U1239" s="3" t="n">
        <v>-0.8454680810583398</v>
      </c>
      <c r="V1239" s="3" t="n">
        <v>-0.6750000017754575</v>
      </c>
      <c r="W1239" s="3" t="n">
        <v>-0.4799574455048176</v>
      </c>
      <c r="X1239" s="3" t="n">
        <v>-0.9571489362006492</v>
      </c>
      <c r="Y1239" s="3" t="n">
        <v>-0.7816170251115839</v>
      </c>
      <c r="Z1239" s="3" t="n">
        <v>-0.9595531871978272</v>
      </c>
      <c r="AA1239" s="3" t="n">
        <v>-0.9595531871978272</v>
      </c>
      <c r="AB1239" s="3" t="n">
        <v>-0.9571489362006492</v>
      </c>
      <c r="AC1239" s="3" t="n">
        <v>-1.025723396463597</v>
      </c>
      <c r="AD1239" s="3" t="n">
        <v>-0.8454680810583398</v>
      </c>
      <c r="AE1239" s="3" t="n">
        <v>-0.8454680810583398</v>
      </c>
    </row>
    <row r="1240">
      <c r="A1240" s="3" t="inlineStr">
        <is>
          <t>LIE.distn.dec.ove.mean.5</t>
        </is>
      </c>
      <c r="B1240" s="3" t="inlineStr">
        <is>
          <t>LIE</t>
        </is>
      </c>
      <c r="C1240" s="3" t="n">
        <v>2005</v>
      </c>
      <c r="D1240" s="3" t="inlineStr">
        <is>
          <t>Overall</t>
        </is>
      </c>
      <c r="E1240" s="3" t="inlineStr">
        <is>
          <t>Deciles</t>
        </is>
      </c>
      <c r="F1240" s="3" t="inlineStr">
        <is>
          <t>mean</t>
        </is>
      </c>
      <c r="G1240" s="3" t="n">
        <v>5</v>
      </c>
      <c r="H1240" s="3" t="n">
        <v>-0.7816170251115839</v>
      </c>
      <c r="I1240" s="3" t="n">
        <v>-0.7816170251115839</v>
      </c>
      <c r="J1240" s="3" t="n">
        <v>-0.8454680810583398</v>
      </c>
      <c r="K1240" s="3" t="n">
        <v>-0.8454680810583398</v>
      </c>
      <c r="L1240" s="3" t="n">
        <v>-0.7816170251115839</v>
      </c>
      <c r="M1240" s="3" t="n">
        <v>-0.7816170251115839</v>
      </c>
      <c r="N1240" s="3" t="n">
        <v>-0.7816170251115839</v>
      </c>
      <c r="O1240" s="3" t="n">
        <v>-0.7816170251115839</v>
      </c>
      <c r="P1240" s="3" t="n">
        <v>-0.7816170251115839</v>
      </c>
      <c r="Q1240" s="3" t="n">
        <v>-0.7816170251115839</v>
      </c>
      <c r="R1240" s="3" t="n">
        <v>-0.7697659489956308</v>
      </c>
      <c r="S1240" s="3" t="n">
        <v>-0.9595531871978272</v>
      </c>
      <c r="T1240" s="3" t="n">
        <v>-0.7081063859006191</v>
      </c>
      <c r="U1240" s="3" t="n">
        <v>-0.8454680810583398</v>
      </c>
      <c r="V1240" s="3" t="n">
        <v>-0.6750000017754575</v>
      </c>
      <c r="W1240" s="3" t="n">
        <v>-0.4799574455048176</v>
      </c>
      <c r="X1240" s="3" t="n">
        <v>-0.9571489362006492</v>
      </c>
      <c r="Y1240" s="3" t="n">
        <v>-0.7816170251115839</v>
      </c>
      <c r="Z1240" s="3" t="n">
        <v>-0.9595531871978272</v>
      </c>
      <c r="AA1240" s="3" t="n">
        <v>-0.9595531871978272</v>
      </c>
      <c r="AB1240" s="3" t="n">
        <v>-0.9571489362006492</v>
      </c>
      <c r="AC1240" s="3" t="n">
        <v>-1.025723396463597</v>
      </c>
      <c r="AD1240" s="3" t="n">
        <v>-0.8454680810583398</v>
      </c>
      <c r="AE1240" s="3" t="n">
        <v>-0.8454680810583398</v>
      </c>
    </row>
    <row r="1241">
      <c r="A1241" s="3" t="inlineStr">
        <is>
          <t>LIE.distn.dec.ove.mean.6</t>
        </is>
      </c>
      <c r="B1241" s="3" t="inlineStr">
        <is>
          <t>LIE</t>
        </is>
      </c>
      <c r="C1241" s="3" t="n">
        <v>2005</v>
      </c>
      <c r="D1241" s="3" t="inlineStr">
        <is>
          <t>Overall</t>
        </is>
      </c>
      <c r="E1241" s="3" t="inlineStr">
        <is>
          <t>Deciles</t>
        </is>
      </c>
      <c r="F1241" s="3" t="inlineStr">
        <is>
          <t>mean</t>
        </is>
      </c>
      <c r="G1241" s="3" t="n">
        <v>6</v>
      </c>
      <c r="H1241" s="3" t="n">
        <v>-0.7816170251115839</v>
      </c>
      <c r="I1241" s="3" t="n">
        <v>-0.7816170251115839</v>
      </c>
      <c r="J1241" s="3" t="n">
        <v>-0.8454680810583398</v>
      </c>
      <c r="K1241" s="3" t="n">
        <v>-0.8454680810583398</v>
      </c>
      <c r="L1241" s="3" t="n">
        <v>-0.7816170251115839</v>
      </c>
      <c r="M1241" s="3" t="n">
        <v>-0.7816170251115839</v>
      </c>
      <c r="N1241" s="3" t="n">
        <v>-0.7816170251115839</v>
      </c>
      <c r="O1241" s="3" t="n">
        <v>-0.7816170251115839</v>
      </c>
      <c r="P1241" s="3" t="n">
        <v>-0.7816170251115839</v>
      </c>
      <c r="Q1241" s="3" t="n">
        <v>-0.7816170251115839</v>
      </c>
      <c r="R1241" s="3" t="n">
        <v>-0.7697659489956308</v>
      </c>
      <c r="S1241" s="3" t="n">
        <v>-0.9595531871978272</v>
      </c>
      <c r="T1241" s="3" t="n">
        <v>-0.7081063859006191</v>
      </c>
      <c r="U1241" s="3" t="n">
        <v>-0.8454680810583398</v>
      </c>
      <c r="V1241" s="3" t="n">
        <v>-0.6750000017754575</v>
      </c>
      <c r="W1241" s="3" t="n">
        <v>-0.4799574455048176</v>
      </c>
      <c r="X1241" s="3" t="n">
        <v>-0.9571489362006492</v>
      </c>
      <c r="Y1241" s="3" t="n">
        <v>-0.7816170251115839</v>
      </c>
      <c r="Z1241" s="3" t="n">
        <v>-0.9595531871978272</v>
      </c>
      <c r="AA1241" s="3" t="n">
        <v>-0.9595531871978272</v>
      </c>
      <c r="AB1241" s="3" t="n">
        <v>-0.9571489362006492</v>
      </c>
      <c r="AC1241" s="3" t="n">
        <v>-1.025723396463597</v>
      </c>
      <c r="AD1241" s="3" t="n">
        <v>-0.8454680810583398</v>
      </c>
      <c r="AE1241" s="3" t="n">
        <v>-0.8454680810583398</v>
      </c>
    </row>
    <row r="1242">
      <c r="A1242" s="3" t="inlineStr">
        <is>
          <t>LIE.distn.dec.ove.mean.7</t>
        </is>
      </c>
      <c r="B1242" s="3" t="inlineStr">
        <is>
          <t>LIE</t>
        </is>
      </c>
      <c r="C1242" s="3" t="n">
        <v>2005</v>
      </c>
      <c r="D1242" s="3" t="inlineStr">
        <is>
          <t>Overall</t>
        </is>
      </c>
      <c r="E1242" s="3" t="inlineStr">
        <is>
          <t>Deciles</t>
        </is>
      </c>
      <c r="F1242" s="3" t="inlineStr">
        <is>
          <t>mean</t>
        </is>
      </c>
      <c r="G1242" s="3" t="n">
        <v>7</v>
      </c>
      <c r="H1242" s="3" t="n">
        <v>-0.7816170251115839</v>
      </c>
      <c r="I1242" s="3" t="n">
        <v>-0.7816170251115839</v>
      </c>
      <c r="J1242" s="3" t="n">
        <v>-0.8454680810583398</v>
      </c>
      <c r="K1242" s="3" t="n">
        <v>-0.8454680810583398</v>
      </c>
      <c r="L1242" s="3" t="n">
        <v>-0.7816170251115839</v>
      </c>
      <c r="M1242" s="3" t="n">
        <v>-0.7816170251115839</v>
      </c>
      <c r="N1242" s="3" t="n">
        <v>-0.7816170251115839</v>
      </c>
      <c r="O1242" s="3" t="n">
        <v>-0.7816170251115839</v>
      </c>
      <c r="P1242" s="3" t="n">
        <v>-0.7816170251115839</v>
      </c>
      <c r="Q1242" s="3" t="n">
        <v>-0.7816170251115839</v>
      </c>
      <c r="R1242" s="3" t="n">
        <v>-0.7697659489956308</v>
      </c>
      <c r="S1242" s="3" t="n">
        <v>-0.9595531871978272</v>
      </c>
      <c r="T1242" s="3" t="n">
        <v>-0.7081063859006191</v>
      </c>
      <c r="U1242" s="3" t="n">
        <v>-0.8454680810583398</v>
      </c>
      <c r="V1242" s="3" t="n">
        <v>-0.6750000017754575</v>
      </c>
      <c r="W1242" s="3" t="n">
        <v>-0.4799574455048176</v>
      </c>
      <c r="X1242" s="3" t="n">
        <v>-0.9571489362006492</v>
      </c>
      <c r="Y1242" s="3" t="n">
        <v>-0.7816170251115839</v>
      </c>
      <c r="Z1242" s="3" t="n">
        <v>-0.9595531871978272</v>
      </c>
      <c r="AA1242" s="3" t="n">
        <v>-0.9595531871978272</v>
      </c>
      <c r="AB1242" s="3" t="n">
        <v>-0.9571489362006492</v>
      </c>
      <c r="AC1242" s="3" t="n">
        <v>-1.025723396463597</v>
      </c>
      <c r="AD1242" s="3" t="n">
        <v>-0.8454680810583398</v>
      </c>
      <c r="AE1242" s="3" t="n">
        <v>-0.8454680810583398</v>
      </c>
    </row>
    <row r="1243">
      <c r="A1243" s="3" t="inlineStr">
        <is>
          <t>LIE.distn.dec.ove.mean.8</t>
        </is>
      </c>
      <c r="B1243" s="3" t="inlineStr">
        <is>
          <t>LIE</t>
        </is>
      </c>
      <c r="C1243" s="3" t="n">
        <v>2005</v>
      </c>
      <c r="D1243" s="3" t="inlineStr">
        <is>
          <t>Overall</t>
        </is>
      </c>
      <c r="E1243" s="3" t="inlineStr">
        <is>
          <t>Deciles</t>
        </is>
      </c>
      <c r="F1243" s="3" t="inlineStr">
        <is>
          <t>mean</t>
        </is>
      </c>
      <c r="G1243" s="3" t="n">
        <v>8</v>
      </c>
      <c r="H1243" s="3" t="n">
        <v>-0.7819935831617801</v>
      </c>
      <c r="I1243" s="3" t="n">
        <v>-0.7819935831617801</v>
      </c>
      <c r="J1243" s="3" t="n">
        <v>-0.8477488045996808</v>
      </c>
      <c r="K1243" s="3" t="n">
        <v>-0.8477488045996808</v>
      </c>
      <c r="L1243" s="3" t="n">
        <v>-0.7819935831617801</v>
      </c>
      <c r="M1243" s="3" t="n">
        <v>-0.7819935831617801</v>
      </c>
      <c r="N1243" s="3" t="n">
        <v>-0.7819935831617801</v>
      </c>
      <c r="O1243" s="3" t="n">
        <v>-0.7819935831617801</v>
      </c>
      <c r="P1243" s="3" t="n">
        <v>-0.7819935831617801</v>
      </c>
      <c r="Q1243" s="3" t="n">
        <v>-0.7819935831617801</v>
      </c>
      <c r="R1243" s="3" t="n">
        <v>-0.7700191178220384</v>
      </c>
      <c r="S1243" s="3" t="n">
        <v>-0.9684819490351575</v>
      </c>
      <c r="T1243" s="3" t="n">
        <v>-0.70814722142321</v>
      </c>
      <c r="U1243" s="3" t="n">
        <v>-0.8477488045996808</v>
      </c>
      <c r="V1243" s="3" t="n">
        <v>-0.6756977857427394</v>
      </c>
      <c r="W1243" s="3" t="n">
        <v>-0.4928101326556916</v>
      </c>
      <c r="X1243" s="3" t="n">
        <v>-0.9658704755154062</v>
      </c>
      <c r="Y1243" s="3" t="n">
        <v>-0.7819935831617801</v>
      </c>
      <c r="Z1243" s="3" t="n">
        <v>-0.9684819490351575</v>
      </c>
      <c r="AA1243" s="3" t="n">
        <v>-0.9684819490351575</v>
      </c>
      <c r="AB1243" s="3" t="n">
        <v>-0.9658704755154062</v>
      </c>
      <c r="AC1243" s="3" t="n">
        <v>-1.04035159628442</v>
      </c>
      <c r="AD1243" s="3" t="n">
        <v>-0.8477488045996808</v>
      </c>
      <c r="AE1243" s="3" t="n">
        <v>-0.8477488045996808</v>
      </c>
    </row>
    <row r="1244">
      <c r="A1244" s="3" t="inlineStr">
        <is>
          <t>LIE.distn.dec.ove.mean.9</t>
        </is>
      </c>
      <c r="B1244" s="3" t="inlineStr">
        <is>
          <t>LIE</t>
        </is>
      </c>
      <c r="C1244" s="3" t="n">
        <v>2005</v>
      </c>
      <c r="D1244" s="3" t="inlineStr">
        <is>
          <t>Overall</t>
        </is>
      </c>
      <c r="E1244" s="3" t="inlineStr">
        <is>
          <t>Deciles</t>
        </is>
      </c>
      <c r="F1244" s="3" t="inlineStr">
        <is>
          <t>mean</t>
        </is>
      </c>
      <c r="G1244" s="3" t="n">
        <v>9</v>
      </c>
      <c r="H1244" s="3" t="n">
        <v>-0.7819935831617801</v>
      </c>
      <c r="I1244" s="3" t="n">
        <v>-0.7819935831617801</v>
      </c>
      <c r="J1244" s="3" t="n">
        <v>-0.8477488045996808</v>
      </c>
      <c r="K1244" s="3" t="n">
        <v>-0.8477488045996808</v>
      </c>
      <c r="L1244" s="3" t="n">
        <v>-0.7819935831617801</v>
      </c>
      <c r="M1244" s="3" t="n">
        <v>-0.7819935831617801</v>
      </c>
      <c r="N1244" s="3" t="n">
        <v>-0.7819935831617801</v>
      </c>
      <c r="O1244" s="3" t="n">
        <v>-0.7819935831617801</v>
      </c>
      <c r="P1244" s="3" t="n">
        <v>-0.7819935831617801</v>
      </c>
      <c r="Q1244" s="3" t="n">
        <v>-0.7819935831617801</v>
      </c>
      <c r="R1244" s="3" t="n">
        <v>-0.7700191178220384</v>
      </c>
      <c r="S1244" s="3" t="n">
        <v>-0.9684819490351575</v>
      </c>
      <c r="T1244" s="3" t="n">
        <v>-0.70814722142321</v>
      </c>
      <c r="U1244" s="3" t="n">
        <v>-0.8477488045996808</v>
      </c>
      <c r="V1244" s="3" t="n">
        <v>-0.6756977857427394</v>
      </c>
      <c r="W1244" s="3" t="n">
        <v>-0.4928101326556916</v>
      </c>
      <c r="X1244" s="3" t="n">
        <v>-0.9658704755154062</v>
      </c>
      <c r="Y1244" s="3" t="n">
        <v>-0.7819935831617801</v>
      </c>
      <c r="Z1244" s="3" t="n">
        <v>-0.9684819490351575</v>
      </c>
      <c r="AA1244" s="3" t="n">
        <v>-0.9684819490351575</v>
      </c>
      <c r="AB1244" s="3" t="n">
        <v>-0.9658704755154062</v>
      </c>
      <c r="AC1244" s="3" t="n">
        <v>-1.04035159628442</v>
      </c>
      <c r="AD1244" s="3" t="n">
        <v>-0.8477488045996808</v>
      </c>
      <c r="AE1244" s="3" t="n">
        <v>-0.8477488045996808</v>
      </c>
    </row>
    <row r="1245">
      <c r="A1245" s="3" t="inlineStr">
        <is>
          <t>LIE.distn.dec.ove.mean.10</t>
        </is>
      </c>
      <c r="B1245" s="3" t="inlineStr">
        <is>
          <t>LIE</t>
        </is>
      </c>
      <c r="C1245" s="3" t="n">
        <v>2005</v>
      </c>
      <c r="D1245" s="3" t="inlineStr">
        <is>
          <t>Overall</t>
        </is>
      </c>
      <c r="E1245" s="3" t="inlineStr">
        <is>
          <t>Deciles</t>
        </is>
      </c>
      <c r="F1245" s="3" t="inlineStr">
        <is>
          <t>mean</t>
        </is>
      </c>
      <c r="G1245" s="3" t="n">
        <v>10</v>
      </c>
      <c r="H1245" s="3" t="n">
        <v>-0.7819935831617801</v>
      </c>
      <c r="I1245" s="3" t="n">
        <v>-0.7819935831617801</v>
      </c>
      <c r="J1245" s="3" t="n">
        <v>-0.8477488045996808</v>
      </c>
      <c r="K1245" s="3" t="n">
        <v>-0.8477488045996808</v>
      </c>
      <c r="L1245" s="3" t="n">
        <v>-0.7819935831617801</v>
      </c>
      <c r="M1245" s="3" t="n">
        <v>-0.7819935831617801</v>
      </c>
      <c r="N1245" s="3" t="n">
        <v>-0.7819935831617801</v>
      </c>
      <c r="O1245" s="3" t="n">
        <v>-0.7819935831617801</v>
      </c>
      <c r="P1245" s="3" t="n">
        <v>-0.7819935831617801</v>
      </c>
      <c r="Q1245" s="3" t="n">
        <v>-0.7819935831617801</v>
      </c>
      <c r="R1245" s="3" t="n">
        <v>-0.7700191178220384</v>
      </c>
      <c r="S1245" s="3" t="n">
        <v>-0.9684819490351575</v>
      </c>
      <c r="T1245" s="3" t="n">
        <v>-0.70814722142321</v>
      </c>
      <c r="U1245" s="3" t="n">
        <v>-0.8477488045996808</v>
      </c>
      <c r="V1245" s="3" t="n">
        <v>-0.6756977857427394</v>
      </c>
      <c r="W1245" s="3" t="n">
        <v>-0.4928101326556916</v>
      </c>
      <c r="X1245" s="3" t="n">
        <v>-0.9658704755154062</v>
      </c>
      <c r="Y1245" s="3" t="n">
        <v>-0.7819935831617801</v>
      </c>
      <c r="Z1245" s="3" t="n">
        <v>-0.9684819490351575</v>
      </c>
      <c r="AA1245" s="3" t="n">
        <v>-0.9684819490351575</v>
      </c>
      <c r="AB1245" s="3" t="n">
        <v>-0.9658704755154062</v>
      </c>
      <c r="AC1245" s="3" t="n">
        <v>-1.04035159628442</v>
      </c>
      <c r="AD1245" s="3" t="n">
        <v>-0.8477488045996808</v>
      </c>
      <c r="AE1245" s="3" t="n">
        <v>-0.8477488045996808</v>
      </c>
    </row>
    <row r="1246">
      <c r="A1246" s="3" t="inlineStr">
        <is>
          <t>LIE.distn.bkt.ove.mean.9999</t>
        </is>
      </c>
      <c r="B1246" s="3" t="inlineStr">
        <is>
          <t>LIE</t>
        </is>
      </c>
      <c r="C1246" s="3" t="n">
        <v>2005</v>
      </c>
      <c r="D1246" s="3" t="inlineStr">
        <is>
          <t>Overall</t>
        </is>
      </c>
      <c r="E1246" s="3" t="inlineStr">
        <is>
          <t>Basket</t>
        </is>
      </c>
      <c r="F1246" s="3" t="inlineStr">
        <is>
          <t>mean</t>
        </is>
      </c>
      <c r="G1246" s="3" t="n">
        <v>9999</v>
      </c>
      <c r="H1246" s="3" t="n">
        <v>-0.7836013613863194</v>
      </c>
      <c r="I1246" s="3" t="n">
        <v>-0.7836013613863194</v>
      </c>
      <c r="J1246" s="3" t="n">
        <v>-0.8590307616172953</v>
      </c>
      <c r="K1246" s="3" t="n">
        <v>-0.8590307616172953</v>
      </c>
      <c r="L1246" s="3" t="n">
        <v>-0.7836013613863194</v>
      </c>
      <c r="M1246" s="3" t="n">
        <v>-0.7836013613863194</v>
      </c>
      <c r="N1246" s="3" t="n">
        <v>-0.7836013613863194</v>
      </c>
      <c r="O1246" s="3" t="n">
        <v>-0.7836013613863194</v>
      </c>
      <c r="P1246" s="3" t="n">
        <v>-0.7836013613863194</v>
      </c>
      <c r="Q1246" s="3" t="n">
        <v>-0.7836013613863194</v>
      </c>
      <c r="R1246" s="3" t="n">
        <v>-0.7708828220976159</v>
      </c>
      <c r="S1246" s="3" t="n">
        <v>-1.097007578991829</v>
      </c>
      <c r="T1246" s="3" t="n">
        <v>-0.7085544974245923</v>
      </c>
      <c r="U1246" s="3" t="n">
        <v>-0.8590307616172953</v>
      </c>
      <c r="V1246" s="3" t="n">
        <v>-0.6772896647453308</v>
      </c>
      <c r="W1246" s="3" t="n">
        <v>-0.5109122699879586</v>
      </c>
      <c r="X1246" s="3" t="n">
        <v>-1.079493910708326</v>
      </c>
      <c r="Y1246" s="3" t="n">
        <v>-0.7836013613863194</v>
      </c>
      <c r="Z1246" s="3" t="n">
        <v>-1.097007578991829</v>
      </c>
      <c r="AA1246" s="3" t="n">
        <v>-1.097007578991829</v>
      </c>
      <c r="AB1246" s="3" t="n">
        <v>-1.079493910708326</v>
      </c>
      <c r="AC1246" s="3" t="n">
        <v>-1.359592239907447</v>
      </c>
      <c r="AD1246" s="3" t="n">
        <v>-0.8590307616172953</v>
      </c>
      <c r="AE1246" s="3" t="n">
        <v>-0.8590307616172953</v>
      </c>
    </row>
    <row r="1247">
      <c r="A1247" s="3" t="inlineStr">
        <is>
          <t>LKA.distn.dec.ove.mean.1</t>
        </is>
      </c>
      <c r="B1247" s="3" t="inlineStr">
        <is>
          <t>LKA</t>
        </is>
      </c>
      <c r="C1247" s="3" t="n">
        <v>2005</v>
      </c>
      <c r="D1247" s="3" t="inlineStr">
        <is>
          <t>Overall</t>
        </is>
      </c>
      <c r="E1247" s="3" t="inlineStr">
        <is>
          <t>Deciles</t>
        </is>
      </c>
      <c r="F1247" s="3" t="inlineStr">
        <is>
          <t>mean</t>
        </is>
      </c>
      <c r="G1247" s="3" t="n">
        <v>1</v>
      </c>
      <c r="H1247" s="3" t="n">
        <v>-0.7912648916244507</v>
      </c>
      <c r="I1247" s="3" t="n">
        <v>-0.7912648916244507</v>
      </c>
      <c r="J1247" s="3" t="n">
        <v>-0.9110214710235596</v>
      </c>
      <c r="K1247" s="3" t="n">
        <v>-0.9110214710235596</v>
      </c>
      <c r="L1247" s="3" t="n">
        <v>-0.7912648916244507</v>
      </c>
      <c r="M1247" s="3" t="n">
        <v>-0.7912648916244507</v>
      </c>
      <c r="N1247" s="3" t="n">
        <v>-0.7912648916244507</v>
      </c>
      <c r="O1247" s="3" t="n">
        <v>-0.7912648916244507</v>
      </c>
      <c r="P1247" s="3" t="n">
        <v>-0.7912648916244507</v>
      </c>
      <c r="Q1247" s="3" t="n">
        <v>-0.7912648916244507</v>
      </c>
      <c r="R1247" s="3" t="n">
        <v>-0.775479793548584</v>
      </c>
      <c r="S1247" s="3" t="n">
        <v>-1.566557884216309</v>
      </c>
      <c r="T1247" s="3" t="n">
        <v>-0.7104546427726746</v>
      </c>
      <c r="U1247" s="3" t="n">
        <v>-0.9110214710235596</v>
      </c>
      <c r="V1247" s="3" t="n">
        <v>-0.6869857907295227</v>
      </c>
      <c r="W1247" s="3" t="n">
        <v>-0.6535123586654663</v>
      </c>
      <c r="X1247" s="3" t="n">
        <v>-1.504814028739929</v>
      </c>
      <c r="Y1247" s="3" t="n">
        <v>-0.7912648916244507</v>
      </c>
      <c r="Z1247" s="3" t="n">
        <v>-1.566557884216309</v>
      </c>
      <c r="AA1247" s="3" t="n">
        <v>-1.566557884216309</v>
      </c>
      <c r="AB1247" s="3" t="n">
        <v>-1.504814028739929</v>
      </c>
      <c r="AC1247" s="3" t="n">
        <v>-2.551133632659912</v>
      </c>
      <c r="AD1247" s="3" t="n">
        <v>-0.9110214710235596</v>
      </c>
      <c r="AE1247" s="3" t="n">
        <v>-0.9110214710235596</v>
      </c>
    </row>
    <row r="1248">
      <c r="A1248" s="3" t="inlineStr">
        <is>
          <t>LKA.distn.dec.ove.mean.2</t>
        </is>
      </c>
      <c r="B1248" s="3" t="inlineStr">
        <is>
          <t>LKA</t>
        </is>
      </c>
      <c r="C1248" s="3" t="n">
        <v>2005</v>
      </c>
      <c r="D1248" s="3" t="inlineStr">
        <is>
          <t>Overall</t>
        </is>
      </c>
      <c r="E1248" s="3" t="inlineStr">
        <is>
          <t>Deciles</t>
        </is>
      </c>
      <c r="F1248" s="3" t="inlineStr">
        <is>
          <t>mean</t>
        </is>
      </c>
      <c r="G1248" s="3" t="n">
        <v>2</v>
      </c>
      <c r="H1248" s="3" t="n">
        <v>-0.7912648916244507</v>
      </c>
      <c r="I1248" s="3" t="n">
        <v>-0.7912648916244507</v>
      </c>
      <c r="J1248" s="3" t="n">
        <v>-0.9110214710235596</v>
      </c>
      <c r="K1248" s="3" t="n">
        <v>-0.9110214710235596</v>
      </c>
      <c r="L1248" s="3" t="n">
        <v>-0.7912648916244507</v>
      </c>
      <c r="M1248" s="3" t="n">
        <v>-0.7912648916244507</v>
      </c>
      <c r="N1248" s="3" t="n">
        <v>-0.7912648916244507</v>
      </c>
      <c r="O1248" s="3" t="n">
        <v>-0.7912648916244507</v>
      </c>
      <c r="P1248" s="3" t="n">
        <v>-0.7912648916244507</v>
      </c>
      <c r="Q1248" s="3" t="n">
        <v>-0.7912648916244507</v>
      </c>
      <c r="R1248" s="3" t="n">
        <v>-0.775479793548584</v>
      </c>
      <c r="S1248" s="3" t="n">
        <v>-1.566557884216309</v>
      </c>
      <c r="T1248" s="3" t="n">
        <v>-0.7104546427726746</v>
      </c>
      <c r="U1248" s="3" t="n">
        <v>-0.9110214710235596</v>
      </c>
      <c r="V1248" s="3" t="n">
        <v>-0.6869857907295227</v>
      </c>
      <c r="W1248" s="3" t="n">
        <v>-0.6535123586654663</v>
      </c>
      <c r="X1248" s="3" t="n">
        <v>-1.504814028739929</v>
      </c>
      <c r="Y1248" s="3" t="n">
        <v>-0.7912648916244507</v>
      </c>
      <c r="Z1248" s="3" t="n">
        <v>-1.566557884216309</v>
      </c>
      <c r="AA1248" s="3" t="n">
        <v>-1.566557884216309</v>
      </c>
      <c r="AB1248" s="3" t="n">
        <v>-1.504814028739929</v>
      </c>
      <c r="AC1248" s="3" t="n">
        <v>-2.551133632659912</v>
      </c>
      <c r="AD1248" s="3" t="n">
        <v>-0.9110214710235596</v>
      </c>
      <c r="AE1248" s="3" t="n">
        <v>-0.9110214710235596</v>
      </c>
    </row>
    <row r="1249">
      <c r="A1249" s="3" t="inlineStr">
        <is>
          <t>LKA.distn.dec.ove.mean.3</t>
        </is>
      </c>
      <c r="B1249" s="3" t="inlineStr">
        <is>
          <t>LKA</t>
        </is>
      </c>
      <c r="C1249" s="3" t="n">
        <v>2005</v>
      </c>
      <c r="D1249" s="3" t="inlineStr">
        <is>
          <t>Overall</t>
        </is>
      </c>
      <c r="E1249" s="3" t="inlineStr">
        <is>
          <t>Deciles</t>
        </is>
      </c>
      <c r="F1249" s="3" t="inlineStr">
        <is>
          <t>mean</t>
        </is>
      </c>
      <c r="G1249" s="3" t="n">
        <v>3</v>
      </c>
      <c r="H1249" s="3" t="n">
        <v>-0.7912648916244507</v>
      </c>
      <c r="I1249" s="3" t="n">
        <v>-0.7912648916244507</v>
      </c>
      <c r="J1249" s="3" t="n">
        <v>-0.9110214710235596</v>
      </c>
      <c r="K1249" s="3" t="n">
        <v>-0.9110214710235596</v>
      </c>
      <c r="L1249" s="3" t="n">
        <v>-0.7912648916244507</v>
      </c>
      <c r="M1249" s="3" t="n">
        <v>-0.7912648916244507</v>
      </c>
      <c r="N1249" s="3" t="n">
        <v>-0.7912648916244507</v>
      </c>
      <c r="O1249" s="3" t="n">
        <v>-0.7912648916244507</v>
      </c>
      <c r="P1249" s="3" t="n">
        <v>-0.7912648916244507</v>
      </c>
      <c r="Q1249" s="3" t="n">
        <v>-0.7912648916244507</v>
      </c>
      <c r="R1249" s="3" t="n">
        <v>-0.775479793548584</v>
      </c>
      <c r="S1249" s="3" t="n">
        <v>-1.566557884216309</v>
      </c>
      <c r="T1249" s="3" t="n">
        <v>-0.7104546427726746</v>
      </c>
      <c r="U1249" s="3" t="n">
        <v>-0.9110214710235596</v>
      </c>
      <c r="V1249" s="3" t="n">
        <v>-0.6869857907295227</v>
      </c>
      <c r="W1249" s="3" t="n">
        <v>-0.6535123586654663</v>
      </c>
      <c r="X1249" s="3" t="n">
        <v>-1.504814028739929</v>
      </c>
      <c r="Y1249" s="3" t="n">
        <v>-0.7912648916244507</v>
      </c>
      <c r="Z1249" s="3" t="n">
        <v>-1.566557884216309</v>
      </c>
      <c r="AA1249" s="3" t="n">
        <v>-1.566557884216309</v>
      </c>
      <c r="AB1249" s="3" t="n">
        <v>-1.504814028739929</v>
      </c>
      <c r="AC1249" s="3" t="n">
        <v>-2.551133632659912</v>
      </c>
      <c r="AD1249" s="3" t="n">
        <v>-0.9110214710235596</v>
      </c>
      <c r="AE1249" s="3" t="n">
        <v>-0.9110214710235596</v>
      </c>
    </row>
    <row r="1250">
      <c r="A1250" s="3" t="inlineStr">
        <is>
          <t>LKA.distn.dec.ove.mean.4</t>
        </is>
      </c>
      <c r="B1250" s="3" t="inlineStr">
        <is>
          <t>LKA</t>
        </is>
      </c>
      <c r="C1250" s="3" t="n">
        <v>2005</v>
      </c>
      <c r="D1250" s="3" t="inlineStr">
        <is>
          <t>Overall</t>
        </is>
      </c>
      <c r="E1250" s="3" t="inlineStr">
        <is>
          <t>Deciles</t>
        </is>
      </c>
      <c r="F1250" s="3" t="inlineStr">
        <is>
          <t>mean</t>
        </is>
      </c>
      <c r="G1250" s="3" t="n">
        <v>4</v>
      </c>
      <c r="H1250" s="3" t="n">
        <v>-0.7850000262260437</v>
      </c>
      <c r="I1250" s="3" t="n">
        <v>-0.7850000262260437</v>
      </c>
      <c r="J1250" s="3" t="n">
        <v>-0.8669999837875366</v>
      </c>
      <c r="K1250" s="3" t="n">
        <v>-0.8669999837875366</v>
      </c>
      <c r="L1250" s="3" t="n">
        <v>-0.7850000262260437</v>
      </c>
      <c r="M1250" s="3" t="n">
        <v>-0.7850000262260437</v>
      </c>
      <c r="N1250" s="3" t="n">
        <v>-0.7850000262260437</v>
      </c>
      <c r="O1250" s="3" t="n">
        <v>-0.7850000262260437</v>
      </c>
      <c r="P1250" s="3" t="n">
        <v>-0.7850000262260437</v>
      </c>
      <c r="Q1250" s="3" t="n">
        <v>-0.7850000262260437</v>
      </c>
      <c r="R1250" s="3" t="n">
        <v>-0.7720000147819519</v>
      </c>
      <c r="S1250" s="3" t="n">
        <v>-1.067000031471252</v>
      </c>
      <c r="T1250" s="3" t="n">
        <v>-0.7089999914169312</v>
      </c>
      <c r="U1250" s="3" t="n">
        <v>-0.8669999837875366</v>
      </c>
      <c r="V1250" s="3" t="n">
        <v>-0.6800000071525574</v>
      </c>
      <c r="W1250" s="3" t="n">
        <v>-0.550000011920929</v>
      </c>
      <c r="X1250" s="3" t="n">
        <v>-1.062000036239624</v>
      </c>
      <c r="Y1250" s="3" t="n">
        <v>-0.7850000262260437</v>
      </c>
      <c r="Z1250" s="3" t="n">
        <v>-1.067000031471252</v>
      </c>
      <c r="AA1250" s="3" t="n">
        <v>-1.067000031471252</v>
      </c>
      <c r="AB1250" s="3" t="n">
        <v>-1.062000036239624</v>
      </c>
      <c r="AC1250" s="3" t="n">
        <v>-1.23199999332428</v>
      </c>
      <c r="AD1250" s="3" t="n">
        <v>-0.8669999837875366</v>
      </c>
      <c r="AE1250" s="3" t="n">
        <v>-0.8669999837875366</v>
      </c>
    </row>
    <row r="1251">
      <c r="A1251" s="3" t="inlineStr">
        <is>
          <t>LKA.distn.dec.ove.mean.5</t>
        </is>
      </c>
      <c r="B1251" s="3" t="inlineStr">
        <is>
          <t>LKA</t>
        </is>
      </c>
      <c r="C1251" s="3" t="n">
        <v>2005</v>
      </c>
      <c r="D1251" s="3" t="inlineStr">
        <is>
          <t>Overall</t>
        </is>
      </c>
      <c r="E1251" s="3" t="inlineStr">
        <is>
          <t>Deciles</t>
        </is>
      </c>
      <c r="F1251" s="3" t="inlineStr">
        <is>
          <t>mean</t>
        </is>
      </c>
      <c r="G1251" s="3" t="n">
        <v>5</v>
      </c>
      <c r="H1251" s="3" t="n">
        <v>-0.7850000262260437</v>
      </c>
      <c r="I1251" s="3" t="n">
        <v>-0.7850000262260437</v>
      </c>
      <c r="J1251" s="3" t="n">
        <v>-0.8669999837875366</v>
      </c>
      <c r="K1251" s="3" t="n">
        <v>-0.8669999837875366</v>
      </c>
      <c r="L1251" s="3" t="n">
        <v>-0.7850000262260437</v>
      </c>
      <c r="M1251" s="3" t="n">
        <v>-0.7850000262260437</v>
      </c>
      <c r="N1251" s="3" t="n">
        <v>-0.7850000262260437</v>
      </c>
      <c r="O1251" s="3" t="n">
        <v>-0.7850000262260437</v>
      </c>
      <c r="P1251" s="3" t="n">
        <v>-0.7850000262260437</v>
      </c>
      <c r="Q1251" s="3" t="n">
        <v>-0.7850000262260437</v>
      </c>
      <c r="R1251" s="3" t="n">
        <v>-0.7720000147819519</v>
      </c>
      <c r="S1251" s="3" t="n">
        <v>-1.067000031471252</v>
      </c>
      <c r="T1251" s="3" t="n">
        <v>-0.7089999914169312</v>
      </c>
      <c r="U1251" s="3" t="n">
        <v>-0.8669999837875366</v>
      </c>
      <c r="V1251" s="3" t="n">
        <v>-0.6800000071525574</v>
      </c>
      <c r="W1251" s="3" t="n">
        <v>-0.550000011920929</v>
      </c>
      <c r="X1251" s="3" t="n">
        <v>-1.062000036239624</v>
      </c>
      <c r="Y1251" s="3" t="n">
        <v>-0.7850000262260437</v>
      </c>
      <c r="Z1251" s="3" t="n">
        <v>-1.067000031471252</v>
      </c>
      <c r="AA1251" s="3" t="n">
        <v>-1.067000031471252</v>
      </c>
      <c r="AB1251" s="3" t="n">
        <v>-1.062000036239624</v>
      </c>
      <c r="AC1251" s="3" t="n">
        <v>-1.23199999332428</v>
      </c>
      <c r="AD1251" s="3" t="n">
        <v>-0.8669999837875366</v>
      </c>
      <c r="AE1251" s="3" t="n">
        <v>-0.8669999837875366</v>
      </c>
    </row>
    <row r="1252">
      <c r="A1252" s="3" t="inlineStr">
        <is>
          <t>LKA.distn.dec.ove.mean.6</t>
        </is>
      </c>
      <c r="B1252" s="3" t="inlineStr">
        <is>
          <t>LKA</t>
        </is>
      </c>
      <c r="C1252" s="3" t="n">
        <v>2005</v>
      </c>
      <c r="D1252" s="3" t="inlineStr">
        <is>
          <t>Overall</t>
        </is>
      </c>
      <c r="E1252" s="3" t="inlineStr">
        <is>
          <t>Deciles</t>
        </is>
      </c>
      <c r="F1252" s="3" t="inlineStr">
        <is>
          <t>mean</t>
        </is>
      </c>
      <c r="G1252" s="3" t="n">
        <v>6</v>
      </c>
      <c r="H1252" s="3" t="n">
        <v>-0.7850000262260437</v>
      </c>
      <c r="I1252" s="3" t="n">
        <v>-0.7850000262260437</v>
      </c>
      <c r="J1252" s="3" t="n">
        <v>-0.8669999837875366</v>
      </c>
      <c r="K1252" s="3" t="n">
        <v>-0.8669999837875366</v>
      </c>
      <c r="L1252" s="3" t="n">
        <v>-0.7850000262260437</v>
      </c>
      <c r="M1252" s="3" t="n">
        <v>-0.7850000262260437</v>
      </c>
      <c r="N1252" s="3" t="n">
        <v>-0.7850000262260437</v>
      </c>
      <c r="O1252" s="3" t="n">
        <v>-0.7850000262260437</v>
      </c>
      <c r="P1252" s="3" t="n">
        <v>-0.7850000262260437</v>
      </c>
      <c r="Q1252" s="3" t="n">
        <v>-0.7850000262260437</v>
      </c>
      <c r="R1252" s="3" t="n">
        <v>-0.7720000147819519</v>
      </c>
      <c r="S1252" s="3" t="n">
        <v>-1.067000031471252</v>
      </c>
      <c r="T1252" s="3" t="n">
        <v>-0.7089999914169312</v>
      </c>
      <c r="U1252" s="3" t="n">
        <v>-0.8669999837875366</v>
      </c>
      <c r="V1252" s="3" t="n">
        <v>-0.6800000071525574</v>
      </c>
      <c r="W1252" s="3" t="n">
        <v>-0.550000011920929</v>
      </c>
      <c r="X1252" s="3" t="n">
        <v>-1.062000036239624</v>
      </c>
      <c r="Y1252" s="3" t="n">
        <v>-0.7850000262260437</v>
      </c>
      <c r="Z1252" s="3" t="n">
        <v>-1.067000031471252</v>
      </c>
      <c r="AA1252" s="3" t="n">
        <v>-1.067000031471252</v>
      </c>
      <c r="AB1252" s="3" t="n">
        <v>-1.062000036239624</v>
      </c>
      <c r="AC1252" s="3" t="n">
        <v>-1.23199999332428</v>
      </c>
      <c r="AD1252" s="3" t="n">
        <v>-0.8669999837875366</v>
      </c>
      <c r="AE1252" s="3" t="n">
        <v>-0.8669999837875366</v>
      </c>
    </row>
    <row r="1253">
      <c r="A1253" s="3" t="inlineStr">
        <is>
          <t>LKA.distn.dec.ove.mean.7</t>
        </is>
      </c>
      <c r="B1253" s="3" t="inlineStr">
        <is>
          <t>LKA</t>
        </is>
      </c>
      <c r="C1253" s="3" t="n">
        <v>2005</v>
      </c>
      <c r="D1253" s="3" t="inlineStr">
        <is>
          <t>Overall</t>
        </is>
      </c>
      <c r="E1253" s="3" t="inlineStr">
        <is>
          <t>Deciles</t>
        </is>
      </c>
      <c r="F1253" s="3" t="inlineStr">
        <is>
          <t>mean</t>
        </is>
      </c>
      <c r="G1253" s="3" t="n">
        <v>7</v>
      </c>
      <c r="H1253" s="3" t="n">
        <v>-0.7850000262260437</v>
      </c>
      <c r="I1253" s="3" t="n">
        <v>-0.7850000262260437</v>
      </c>
      <c r="J1253" s="3" t="n">
        <v>-0.8669999837875366</v>
      </c>
      <c r="K1253" s="3" t="n">
        <v>-0.8669999837875366</v>
      </c>
      <c r="L1253" s="3" t="n">
        <v>-0.7850000262260437</v>
      </c>
      <c r="M1253" s="3" t="n">
        <v>-0.7850000262260437</v>
      </c>
      <c r="N1253" s="3" t="n">
        <v>-0.7850000262260437</v>
      </c>
      <c r="O1253" s="3" t="n">
        <v>-0.7850000262260437</v>
      </c>
      <c r="P1253" s="3" t="n">
        <v>-0.7850000262260437</v>
      </c>
      <c r="Q1253" s="3" t="n">
        <v>-0.7850000262260437</v>
      </c>
      <c r="R1253" s="3" t="n">
        <v>-0.7720000147819519</v>
      </c>
      <c r="S1253" s="3" t="n">
        <v>-1.067000031471252</v>
      </c>
      <c r="T1253" s="3" t="n">
        <v>-0.7089999914169312</v>
      </c>
      <c r="U1253" s="3" t="n">
        <v>-0.8669999837875366</v>
      </c>
      <c r="V1253" s="3" t="n">
        <v>-0.6800000071525574</v>
      </c>
      <c r="W1253" s="3" t="n">
        <v>-0.550000011920929</v>
      </c>
      <c r="X1253" s="3" t="n">
        <v>-1.062000036239624</v>
      </c>
      <c r="Y1253" s="3" t="n">
        <v>-0.7850000262260437</v>
      </c>
      <c r="Z1253" s="3" t="n">
        <v>-1.067000031471252</v>
      </c>
      <c r="AA1253" s="3" t="n">
        <v>-1.067000031471252</v>
      </c>
      <c r="AB1253" s="3" t="n">
        <v>-1.062000036239624</v>
      </c>
      <c r="AC1253" s="3" t="n">
        <v>-1.23199999332428</v>
      </c>
      <c r="AD1253" s="3" t="n">
        <v>-0.8669999837875366</v>
      </c>
      <c r="AE1253" s="3" t="n">
        <v>-0.8669999837875366</v>
      </c>
    </row>
    <row r="1254">
      <c r="A1254" s="3" t="inlineStr">
        <is>
          <t>LKA.distn.dec.ove.mean.8</t>
        </is>
      </c>
      <c r="B1254" s="3" t="inlineStr">
        <is>
          <t>LKA</t>
        </is>
      </c>
      <c r="C1254" s="3" t="n">
        <v>2005</v>
      </c>
      <c r="D1254" s="3" t="inlineStr">
        <is>
          <t>Overall</t>
        </is>
      </c>
      <c r="E1254" s="3" t="inlineStr">
        <is>
          <t>Deciles</t>
        </is>
      </c>
      <c r="F1254" s="3" t="inlineStr">
        <is>
          <t>mean</t>
        </is>
      </c>
      <c r="G1254" s="3" t="n">
        <v>8</v>
      </c>
      <c r="H1254" s="3" t="n">
        <v>-0.7853782176971436</v>
      </c>
      <c r="I1254" s="3" t="n">
        <v>-0.7853782176971436</v>
      </c>
      <c r="J1254" s="3" t="n">
        <v>-0.8693388104438782</v>
      </c>
      <c r="K1254" s="3" t="n">
        <v>-0.8693388104438782</v>
      </c>
      <c r="L1254" s="3" t="n">
        <v>-0.7853782176971436</v>
      </c>
      <c r="M1254" s="3" t="n">
        <v>-0.7853782176971436</v>
      </c>
      <c r="N1254" s="3" t="n">
        <v>-0.7853782176971436</v>
      </c>
      <c r="O1254" s="3" t="n">
        <v>-0.7853782176971436</v>
      </c>
      <c r="P1254" s="3" t="n">
        <v>-0.7853782176971436</v>
      </c>
      <c r="Q1254" s="3" t="n">
        <v>-0.7853782176971436</v>
      </c>
      <c r="R1254" s="3" t="n">
        <v>-0.7722538709640503</v>
      </c>
      <c r="S1254" s="3" t="n">
        <v>-1.076928496360779</v>
      </c>
      <c r="T1254" s="3" t="n">
        <v>-0.7090408802032471</v>
      </c>
      <c r="U1254" s="3" t="n">
        <v>-0.8693388104438782</v>
      </c>
      <c r="V1254" s="3" t="n">
        <v>-0.6807029843330383</v>
      </c>
      <c r="W1254" s="3" t="n">
        <v>-0.564728319644928</v>
      </c>
      <c r="X1254" s="3" t="n">
        <v>-1.071676969528198</v>
      </c>
      <c r="Y1254" s="3" t="n">
        <v>-0.7853782176971436</v>
      </c>
      <c r="Z1254" s="3" t="n">
        <v>-1.076928496360779</v>
      </c>
      <c r="AA1254" s="3" t="n">
        <v>-1.076928496360779</v>
      </c>
      <c r="AB1254" s="3" t="n">
        <v>-1.071676969528198</v>
      </c>
      <c r="AC1254" s="3" t="n">
        <v>-1.24957001209259</v>
      </c>
      <c r="AD1254" s="3" t="n">
        <v>-0.8693388104438782</v>
      </c>
      <c r="AE1254" s="3" t="n">
        <v>-0.8693388104438782</v>
      </c>
    </row>
    <row r="1255">
      <c r="A1255" s="3" t="inlineStr">
        <is>
          <t>LKA.distn.dec.ove.mean.9</t>
        </is>
      </c>
      <c r="B1255" s="3" t="inlineStr">
        <is>
          <t>LKA</t>
        </is>
      </c>
      <c r="C1255" s="3" t="n">
        <v>2005</v>
      </c>
      <c r="D1255" s="3" t="inlineStr">
        <is>
          <t>Overall</t>
        </is>
      </c>
      <c r="E1255" s="3" t="inlineStr">
        <is>
          <t>Deciles</t>
        </is>
      </c>
      <c r="F1255" s="3" t="inlineStr">
        <is>
          <t>mean</t>
        </is>
      </c>
      <c r="G1255" s="3" t="n">
        <v>9</v>
      </c>
      <c r="H1255" s="3" t="n">
        <v>-0.7853782176971436</v>
      </c>
      <c r="I1255" s="3" t="n">
        <v>-0.7853782176971436</v>
      </c>
      <c r="J1255" s="3" t="n">
        <v>-0.8693388104438782</v>
      </c>
      <c r="K1255" s="3" t="n">
        <v>-0.8693388104438782</v>
      </c>
      <c r="L1255" s="3" t="n">
        <v>-0.7853782176971436</v>
      </c>
      <c r="M1255" s="3" t="n">
        <v>-0.7853782176971436</v>
      </c>
      <c r="N1255" s="3" t="n">
        <v>-0.7853782176971436</v>
      </c>
      <c r="O1255" s="3" t="n">
        <v>-0.7853782176971436</v>
      </c>
      <c r="P1255" s="3" t="n">
        <v>-0.7853782176971436</v>
      </c>
      <c r="Q1255" s="3" t="n">
        <v>-0.7853782176971436</v>
      </c>
      <c r="R1255" s="3" t="n">
        <v>-0.7722538709640503</v>
      </c>
      <c r="S1255" s="3" t="n">
        <v>-1.076928496360779</v>
      </c>
      <c r="T1255" s="3" t="n">
        <v>-0.7090408802032471</v>
      </c>
      <c r="U1255" s="3" t="n">
        <v>-0.8693388104438782</v>
      </c>
      <c r="V1255" s="3" t="n">
        <v>-0.6807029843330383</v>
      </c>
      <c r="W1255" s="3" t="n">
        <v>-0.564728319644928</v>
      </c>
      <c r="X1255" s="3" t="n">
        <v>-1.071676969528198</v>
      </c>
      <c r="Y1255" s="3" t="n">
        <v>-0.7853782176971436</v>
      </c>
      <c r="Z1255" s="3" t="n">
        <v>-1.076928496360779</v>
      </c>
      <c r="AA1255" s="3" t="n">
        <v>-1.076928496360779</v>
      </c>
      <c r="AB1255" s="3" t="n">
        <v>-1.071676969528198</v>
      </c>
      <c r="AC1255" s="3" t="n">
        <v>-1.24957001209259</v>
      </c>
      <c r="AD1255" s="3" t="n">
        <v>-0.8693388104438782</v>
      </c>
      <c r="AE1255" s="3" t="n">
        <v>-0.8693388104438782</v>
      </c>
    </row>
    <row r="1256">
      <c r="A1256" s="3" t="inlineStr">
        <is>
          <t>LKA.distn.dec.ove.mean.10</t>
        </is>
      </c>
      <c r="B1256" s="3" t="inlineStr">
        <is>
          <t>LKA</t>
        </is>
      </c>
      <c r="C1256" s="3" t="n">
        <v>2005</v>
      </c>
      <c r="D1256" s="3" t="inlineStr">
        <is>
          <t>Overall</t>
        </is>
      </c>
      <c r="E1256" s="3" t="inlineStr">
        <is>
          <t>Deciles</t>
        </is>
      </c>
      <c r="F1256" s="3" t="inlineStr">
        <is>
          <t>mean</t>
        </is>
      </c>
      <c r="G1256" s="3" t="n">
        <v>10</v>
      </c>
      <c r="H1256" s="3" t="n">
        <v>-0.7853782176971436</v>
      </c>
      <c r="I1256" s="3" t="n">
        <v>-0.7853782176971436</v>
      </c>
      <c r="J1256" s="3" t="n">
        <v>-0.8693388104438782</v>
      </c>
      <c r="K1256" s="3" t="n">
        <v>-0.8693388104438782</v>
      </c>
      <c r="L1256" s="3" t="n">
        <v>-0.7853782176971436</v>
      </c>
      <c r="M1256" s="3" t="n">
        <v>-0.7853782176971436</v>
      </c>
      <c r="N1256" s="3" t="n">
        <v>-0.7853782176971436</v>
      </c>
      <c r="O1256" s="3" t="n">
        <v>-0.7853782176971436</v>
      </c>
      <c r="P1256" s="3" t="n">
        <v>-0.7853782176971436</v>
      </c>
      <c r="Q1256" s="3" t="n">
        <v>-0.7853782176971436</v>
      </c>
      <c r="R1256" s="3" t="n">
        <v>-0.7722538709640503</v>
      </c>
      <c r="S1256" s="3" t="n">
        <v>-1.076928496360779</v>
      </c>
      <c r="T1256" s="3" t="n">
        <v>-0.7090408802032471</v>
      </c>
      <c r="U1256" s="3" t="n">
        <v>-0.8693388104438782</v>
      </c>
      <c r="V1256" s="3" t="n">
        <v>-0.6807029843330383</v>
      </c>
      <c r="W1256" s="3" t="n">
        <v>-0.564728319644928</v>
      </c>
      <c r="X1256" s="3" t="n">
        <v>-1.071676969528198</v>
      </c>
      <c r="Y1256" s="3" t="n">
        <v>-0.7853782176971436</v>
      </c>
      <c r="Z1256" s="3" t="n">
        <v>-1.076928496360779</v>
      </c>
      <c r="AA1256" s="3" t="n">
        <v>-1.076928496360779</v>
      </c>
      <c r="AB1256" s="3" t="n">
        <v>-1.071676969528198</v>
      </c>
      <c r="AC1256" s="3" t="n">
        <v>-1.24957001209259</v>
      </c>
      <c r="AD1256" s="3" t="n">
        <v>-0.8693388104438782</v>
      </c>
      <c r="AE1256" s="3" t="n">
        <v>-0.8693388104438782</v>
      </c>
    </row>
    <row r="1257">
      <c r="A1257" s="3" t="inlineStr">
        <is>
          <t>LKA.distn.bkt.ove.mean.9999</t>
        </is>
      </c>
      <c r="B1257" s="3" t="inlineStr">
        <is>
          <t>LKA</t>
        </is>
      </c>
      <c r="C1257" s="3" t="n">
        <v>2005</v>
      </c>
      <c r="D1257" s="3" t="inlineStr">
        <is>
          <t>Overall</t>
        </is>
      </c>
      <c r="E1257" s="3" t="inlineStr">
        <is>
          <t>Basket</t>
        </is>
      </c>
      <c r="F1257" s="3" t="inlineStr">
        <is>
          <t>mean</t>
        </is>
      </c>
      <c r="G1257" s="3" t="n">
        <v>9999</v>
      </c>
      <c r="H1257" s="3" t="n">
        <v>-0.7869929671287537</v>
      </c>
      <c r="I1257" s="3" t="n">
        <v>-0.7869929671287537</v>
      </c>
      <c r="J1257" s="3" t="n">
        <v>-0.8809080719947815</v>
      </c>
      <c r="K1257" s="3" t="n">
        <v>-0.8809080719947815</v>
      </c>
      <c r="L1257" s="3" t="n">
        <v>-0.7869929671287537</v>
      </c>
      <c r="M1257" s="3" t="n">
        <v>-0.7869929671287537</v>
      </c>
      <c r="N1257" s="3" t="n">
        <v>-0.7869929671287537</v>
      </c>
      <c r="O1257" s="3" t="n">
        <v>-0.7869929671287537</v>
      </c>
      <c r="P1257" s="3" t="n">
        <v>-0.7869929671287537</v>
      </c>
      <c r="Q1257" s="3" t="n">
        <v>-0.7869929671287537</v>
      </c>
      <c r="R1257" s="3" t="n">
        <v>-0.773120105266571</v>
      </c>
      <c r="S1257" s="3" t="n">
        <v>-1.21984589099884</v>
      </c>
      <c r="T1257" s="3" t="n">
        <v>-0.7094486355781555</v>
      </c>
      <c r="U1257" s="3" t="n">
        <v>-0.8809080719947815</v>
      </c>
      <c r="V1257" s="3" t="n">
        <v>-0.6823066473007202</v>
      </c>
      <c r="W1257" s="3" t="n">
        <v>-0.5854722261428833</v>
      </c>
      <c r="X1257" s="3" t="n">
        <v>-1.197747349739075</v>
      </c>
      <c r="Y1257" s="3" t="n">
        <v>-0.7869929671287537</v>
      </c>
      <c r="Z1257" s="3" t="n">
        <v>-1.21984589099884</v>
      </c>
      <c r="AA1257" s="3" t="n">
        <v>-1.21984589099884</v>
      </c>
      <c r="AB1257" s="3" t="n">
        <v>-1.197747349739075</v>
      </c>
      <c r="AC1257" s="3" t="n">
        <v>-1.633011102676392</v>
      </c>
      <c r="AD1257" s="3" t="n">
        <v>-0.8809080719947815</v>
      </c>
      <c r="AE1257" s="3" t="n">
        <v>-0.8809080719947815</v>
      </c>
    </row>
    <row r="1258">
      <c r="A1258" s="3" t="inlineStr">
        <is>
          <t>LSO.distn.dec.ove.mean.1</t>
        </is>
      </c>
      <c r="B1258" s="3" t="inlineStr">
        <is>
          <t>LSO</t>
        </is>
      </c>
      <c r="C1258" s="3" t="n">
        <v>2005</v>
      </c>
      <c r="D1258" s="3" t="inlineStr">
        <is>
          <t>Overall</t>
        </is>
      </c>
      <c r="E1258" s="3" t="inlineStr">
        <is>
          <t>Deciles</t>
        </is>
      </c>
      <c r="F1258" s="3" t="inlineStr">
        <is>
          <t>mean</t>
        </is>
      </c>
      <c r="G1258" s="3" t="n">
        <v>1</v>
      </c>
      <c r="H1258" s="3" t="n">
        <v>-0.7932808399200439</v>
      </c>
      <c r="I1258" s="3" t="n">
        <v>-0.7932808399200439</v>
      </c>
      <c r="J1258" s="3" t="n">
        <v>-0.9204784631729126</v>
      </c>
      <c r="K1258" s="3" t="n">
        <v>-0.9204784631729126</v>
      </c>
      <c r="L1258" s="3" t="n">
        <v>-0.7932808399200439</v>
      </c>
      <c r="M1258" s="3" t="n">
        <v>-0.7932808399200439</v>
      </c>
      <c r="N1258" s="3" t="n">
        <v>-0.7932808399200439</v>
      </c>
      <c r="O1258" s="3" t="n">
        <v>-0.7932808399200439</v>
      </c>
      <c r="P1258" s="3" t="n">
        <v>-0.7932808399200439</v>
      </c>
      <c r="Q1258" s="3" t="n">
        <v>-0.7932808399200439</v>
      </c>
      <c r="R1258" s="3" t="n">
        <v>-0.7764842510223389</v>
      </c>
      <c r="S1258" s="3" t="n">
        <v>-1.653181076049805</v>
      </c>
      <c r="T1258" s="3" t="n">
        <v>-0.7104546427726746</v>
      </c>
      <c r="U1258" s="3" t="n">
        <v>-0.9204784631729126</v>
      </c>
      <c r="V1258" s="3" t="n">
        <v>-0.6879960894584656</v>
      </c>
      <c r="W1258" s="3" t="n">
        <v>-0.6701472401618958</v>
      </c>
      <c r="X1258" s="3" t="n">
        <v>-1.585580825805664</v>
      </c>
      <c r="Y1258" s="3" t="n">
        <v>-0.7932808399200439</v>
      </c>
      <c r="Z1258" s="3" t="n">
        <v>-1.653181076049805</v>
      </c>
      <c r="AA1258" s="3" t="n">
        <v>-1.653181076049805</v>
      </c>
      <c r="AB1258" s="3" t="n">
        <v>-1.585580825805664</v>
      </c>
      <c r="AC1258" s="3" t="n">
        <v>-2.849318027496338</v>
      </c>
      <c r="AD1258" s="3" t="n">
        <v>-0.9204784631729126</v>
      </c>
      <c r="AE1258" s="3" t="n">
        <v>-0.9204784631729126</v>
      </c>
    </row>
    <row r="1259">
      <c r="A1259" s="3" t="inlineStr">
        <is>
          <t>LSO.distn.dec.ove.mean.2</t>
        </is>
      </c>
      <c r="B1259" s="3" t="inlineStr">
        <is>
          <t>LSO</t>
        </is>
      </c>
      <c r="C1259" s="3" t="n">
        <v>2005</v>
      </c>
      <c r="D1259" s="3" t="inlineStr">
        <is>
          <t>Overall</t>
        </is>
      </c>
      <c r="E1259" s="3" t="inlineStr">
        <is>
          <t>Deciles</t>
        </is>
      </c>
      <c r="F1259" s="3" t="inlineStr">
        <is>
          <t>mean</t>
        </is>
      </c>
      <c r="G1259" s="3" t="n">
        <v>2</v>
      </c>
      <c r="H1259" s="3" t="n">
        <v>-0.7932808399200439</v>
      </c>
      <c r="I1259" s="3" t="n">
        <v>-0.7932808399200439</v>
      </c>
      <c r="J1259" s="3" t="n">
        <v>-0.9204784631729126</v>
      </c>
      <c r="K1259" s="3" t="n">
        <v>-0.9204784631729126</v>
      </c>
      <c r="L1259" s="3" t="n">
        <v>-0.7932808399200439</v>
      </c>
      <c r="M1259" s="3" t="n">
        <v>-0.7932808399200439</v>
      </c>
      <c r="N1259" s="3" t="n">
        <v>-0.7932808399200439</v>
      </c>
      <c r="O1259" s="3" t="n">
        <v>-0.7932808399200439</v>
      </c>
      <c r="P1259" s="3" t="n">
        <v>-0.7932808399200439</v>
      </c>
      <c r="Q1259" s="3" t="n">
        <v>-0.7932808399200439</v>
      </c>
      <c r="R1259" s="3" t="n">
        <v>-0.7764842510223389</v>
      </c>
      <c r="S1259" s="3" t="n">
        <v>-1.653181076049805</v>
      </c>
      <c r="T1259" s="3" t="n">
        <v>-0.7104546427726746</v>
      </c>
      <c r="U1259" s="3" t="n">
        <v>-0.9204784631729126</v>
      </c>
      <c r="V1259" s="3" t="n">
        <v>-0.6879960894584656</v>
      </c>
      <c r="W1259" s="3" t="n">
        <v>-0.6701472401618958</v>
      </c>
      <c r="X1259" s="3" t="n">
        <v>-1.585580825805664</v>
      </c>
      <c r="Y1259" s="3" t="n">
        <v>-0.7932808399200439</v>
      </c>
      <c r="Z1259" s="3" t="n">
        <v>-1.653181076049805</v>
      </c>
      <c r="AA1259" s="3" t="n">
        <v>-1.653181076049805</v>
      </c>
      <c r="AB1259" s="3" t="n">
        <v>-1.585580825805664</v>
      </c>
      <c r="AC1259" s="3" t="n">
        <v>-2.849318027496338</v>
      </c>
      <c r="AD1259" s="3" t="n">
        <v>-0.9204784631729126</v>
      </c>
      <c r="AE1259" s="3" t="n">
        <v>-0.9204784631729126</v>
      </c>
    </row>
    <row r="1260">
      <c r="A1260" s="3" t="inlineStr">
        <is>
          <t>LSO.distn.dec.ove.mean.3</t>
        </is>
      </c>
      <c r="B1260" s="3" t="inlineStr">
        <is>
          <t>LSO</t>
        </is>
      </c>
      <c r="C1260" s="3" t="n">
        <v>2005</v>
      </c>
      <c r="D1260" s="3" t="inlineStr">
        <is>
          <t>Overall</t>
        </is>
      </c>
      <c r="E1260" s="3" t="inlineStr">
        <is>
          <t>Deciles</t>
        </is>
      </c>
      <c r="F1260" s="3" t="inlineStr">
        <is>
          <t>mean</t>
        </is>
      </c>
      <c r="G1260" s="3" t="n">
        <v>3</v>
      </c>
      <c r="H1260" s="3" t="n">
        <v>-0.7932808399200439</v>
      </c>
      <c r="I1260" s="3" t="n">
        <v>-0.7932808399200439</v>
      </c>
      <c r="J1260" s="3" t="n">
        <v>-0.9204784631729126</v>
      </c>
      <c r="K1260" s="3" t="n">
        <v>-0.9204784631729126</v>
      </c>
      <c r="L1260" s="3" t="n">
        <v>-0.7932808399200439</v>
      </c>
      <c r="M1260" s="3" t="n">
        <v>-0.7932808399200439</v>
      </c>
      <c r="N1260" s="3" t="n">
        <v>-0.7932808399200439</v>
      </c>
      <c r="O1260" s="3" t="n">
        <v>-0.7932808399200439</v>
      </c>
      <c r="P1260" s="3" t="n">
        <v>-0.7932808399200439</v>
      </c>
      <c r="Q1260" s="3" t="n">
        <v>-0.7932808399200439</v>
      </c>
      <c r="R1260" s="3" t="n">
        <v>-0.7764842510223389</v>
      </c>
      <c r="S1260" s="3" t="n">
        <v>-1.653181076049805</v>
      </c>
      <c r="T1260" s="3" t="n">
        <v>-0.7104546427726746</v>
      </c>
      <c r="U1260" s="3" t="n">
        <v>-0.9204784631729126</v>
      </c>
      <c r="V1260" s="3" t="n">
        <v>-0.6879960894584656</v>
      </c>
      <c r="W1260" s="3" t="n">
        <v>-0.6701472401618958</v>
      </c>
      <c r="X1260" s="3" t="n">
        <v>-1.585580825805664</v>
      </c>
      <c r="Y1260" s="3" t="n">
        <v>-0.7932808399200439</v>
      </c>
      <c r="Z1260" s="3" t="n">
        <v>-1.653181076049805</v>
      </c>
      <c r="AA1260" s="3" t="n">
        <v>-1.653181076049805</v>
      </c>
      <c r="AB1260" s="3" t="n">
        <v>-1.585580825805664</v>
      </c>
      <c r="AC1260" s="3" t="n">
        <v>-2.849318027496338</v>
      </c>
      <c r="AD1260" s="3" t="n">
        <v>-0.9204784631729126</v>
      </c>
      <c r="AE1260" s="3" t="n">
        <v>-0.9204784631729126</v>
      </c>
    </row>
    <row r="1261">
      <c r="A1261" s="3" t="inlineStr">
        <is>
          <t>LSO.distn.dec.ove.mean.4</t>
        </is>
      </c>
      <c r="B1261" s="3" t="inlineStr">
        <is>
          <t>LSO</t>
        </is>
      </c>
      <c r="C1261" s="3" t="n">
        <v>2005</v>
      </c>
      <c r="D1261" s="3" t="inlineStr">
        <is>
          <t>Overall</t>
        </is>
      </c>
      <c r="E1261" s="3" t="inlineStr">
        <is>
          <t>Deciles</t>
        </is>
      </c>
      <c r="F1261" s="3" t="inlineStr">
        <is>
          <t>mean</t>
        </is>
      </c>
      <c r="G1261" s="3" t="n">
        <v>4</v>
      </c>
      <c r="H1261" s="3" t="n">
        <v>-0.7870000004768372</v>
      </c>
      <c r="I1261" s="3" t="n">
        <v>-0.7870000004768372</v>
      </c>
      <c r="J1261" s="3" t="n">
        <v>-0.8759999871253967</v>
      </c>
      <c r="K1261" s="3" t="n">
        <v>-0.8759999871253967</v>
      </c>
      <c r="L1261" s="3" t="n">
        <v>-0.7870000004768372</v>
      </c>
      <c r="M1261" s="3" t="n">
        <v>-0.7870000004768372</v>
      </c>
      <c r="N1261" s="3" t="n">
        <v>-0.7870000004768372</v>
      </c>
      <c r="O1261" s="3" t="n">
        <v>-0.7870000004768372</v>
      </c>
      <c r="P1261" s="3" t="n">
        <v>-0.7870000004768372</v>
      </c>
      <c r="Q1261" s="3" t="n">
        <v>-0.7870000004768372</v>
      </c>
      <c r="R1261" s="3" t="n">
        <v>-0.7730000019073486</v>
      </c>
      <c r="S1261" s="3" t="n">
        <v>-1.126000046730042</v>
      </c>
      <c r="T1261" s="3" t="n">
        <v>-0.7089999914169312</v>
      </c>
      <c r="U1261" s="3" t="n">
        <v>-0.8759999871253967</v>
      </c>
      <c r="V1261" s="3" t="n">
        <v>-0.6809999942779541</v>
      </c>
      <c r="W1261" s="3" t="n">
        <v>-0.5640000104904175</v>
      </c>
      <c r="X1261" s="3" t="n">
        <v>-1.11899995803833</v>
      </c>
      <c r="Y1261" s="3" t="n">
        <v>-0.7870000004768372</v>
      </c>
      <c r="Z1261" s="3" t="n">
        <v>-1.126000046730042</v>
      </c>
      <c r="AA1261" s="3" t="n">
        <v>-1.126000046730042</v>
      </c>
      <c r="AB1261" s="3" t="n">
        <v>-1.11899995803833</v>
      </c>
      <c r="AC1261" s="3" t="n">
        <v>-1.376000046730042</v>
      </c>
      <c r="AD1261" s="3" t="n">
        <v>-0.8759999871253967</v>
      </c>
      <c r="AE1261" s="3" t="n">
        <v>-0.8759999871253967</v>
      </c>
    </row>
    <row r="1262">
      <c r="A1262" s="3" t="inlineStr">
        <is>
          <t>LSO.distn.dec.ove.mean.5</t>
        </is>
      </c>
      <c r="B1262" s="3" t="inlineStr">
        <is>
          <t>LSO</t>
        </is>
      </c>
      <c r="C1262" s="3" t="n">
        <v>2005</v>
      </c>
      <c r="D1262" s="3" t="inlineStr">
        <is>
          <t>Overall</t>
        </is>
      </c>
      <c r="E1262" s="3" t="inlineStr">
        <is>
          <t>Deciles</t>
        </is>
      </c>
      <c r="F1262" s="3" t="inlineStr">
        <is>
          <t>mean</t>
        </is>
      </c>
      <c r="G1262" s="3" t="n">
        <v>5</v>
      </c>
      <c r="H1262" s="3" t="n">
        <v>-0.7870000004768372</v>
      </c>
      <c r="I1262" s="3" t="n">
        <v>-0.7870000004768372</v>
      </c>
      <c r="J1262" s="3" t="n">
        <v>-0.8759999871253967</v>
      </c>
      <c r="K1262" s="3" t="n">
        <v>-0.8759999871253967</v>
      </c>
      <c r="L1262" s="3" t="n">
        <v>-0.7870000004768372</v>
      </c>
      <c r="M1262" s="3" t="n">
        <v>-0.7870000004768372</v>
      </c>
      <c r="N1262" s="3" t="n">
        <v>-0.7870000004768372</v>
      </c>
      <c r="O1262" s="3" t="n">
        <v>-0.7870000004768372</v>
      </c>
      <c r="P1262" s="3" t="n">
        <v>-0.7870000004768372</v>
      </c>
      <c r="Q1262" s="3" t="n">
        <v>-0.7870000004768372</v>
      </c>
      <c r="R1262" s="3" t="n">
        <v>-0.7730000019073486</v>
      </c>
      <c r="S1262" s="3" t="n">
        <v>-1.126000046730042</v>
      </c>
      <c r="T1262" s="3" t="n">
        <v>-0.7089999914169312</v>
      </c>
      <c r="U1262" s="3" t="n">
        <v>-0.8759999871253967</v>
      </c>
      <c r="V1262" s="3" t="n">
        <v>-0.6809999942779541</v>
      </c>
      <c r="W1262" s="3" t="n">
        <v>-0.5640000104904175</v>
      </c>
      <c r="X1262" s="3" t="n">
        <v>-1.11899995803833</v>
      </c>
      <c r="Y1262" s="3" t="n">
        <v>-0.7870000004768372</v>
      </c>
      <c r="Z1262" s="3" t="n">
        <v>-1.126000046730042</v>
      </c>
      <c r="AA1262" s="3" t="n">
        <v>-1.126000046730042</v>
      </c>
      <c r="AB1262" s="3" t="n">
        <v>-1.11899995803833</v>
      </c>
      <c r="AC1262" s="3" t="n">
        <v>-1.376000046730042</v>
      </c>
      <c r="AD1262" s="3" t="n">
        <v>-0.8759999871253967</v>
      </c>
      <c r="AE1262" s="3" t="n">
        <v>-0.8759999871253967</v>
      </c>
    </row>
    <row r="1263">
      <c r="A1263" s="3" t="inlineStr">
        <is>
          <t>LSO.distn.dec.ove.mean.6</t>
        </is>
      </c>
      <c r="B1263" s="3" t="inlineStr">
        <is>
          <t>LSO</t>
        </is>
      </c>
      <c r="C1263" s="3" t="n">
        <v>2005</v>
      </c>
      <c r="D1263" s="3" t="inlineStr">
        <is>
          <t>Overall</t>
        </is>
      </c>
      <c r="E1263" s="3" t="inlineStr">
        <is>
          <t>Deciles</t>
        </is>
      </c>
      <c r="F1263" s="3" t="inlineStr">
        <is>
          <t>mean</t>
        </is>
      </c>
      <c r="G1263" s="3" t="n">
        <v>6</v>
      </c>
      <c r="H1263" s="3" t="n">
        <v>-0.7870000004768372</v>
      </c>
      <c r="I1263" s="3" t="n">
        <v>-0.7870000004768372</v>
      </c>
      <c r="J1263" s="3" t="n">
        <v>-0.8759999871253967</v>
      </c>
      <c r="K1263" s="3" t="n">
        <v>-0.8759999871253967</v>
      </c>
      <c r="L1263" s="3" t="n">
        <v>-0.7870000004768372</v>
      </c>
      <c r="M1263" s="3" t="n">
        <v>-0.7870000004768372</v>
      </c>
      <c r="N1263" s="3" t="n">
        <v>-0.7870000004768372</v>
      </c>
      <c r="O1263" s="3" t="n">
        <v>-0.7870000004768372</v>
      </c>
      <c r="P1263" s="3" t="n">
        <v>-0.7870000004768372</v>
      </c>
      <c r="Q1263" s="3" t="n">
        <v>-0.7870000004768372</v>
      </c>
      <c r="R1263" s="3" t="n">
        <v>-0.7730000019073486</v>
      </c>
      <c r="S1263" s="3" t="n">
        <v>-1.126000046730042</v>
      </c>
      <c r="T1263" s="3" t="n">
        <v>-0.7089999914169312</v>
      </c>
      <c r="U1263" s="3" t="n">
        <v>-0.8759999871253967</v>
      </c>
      <c r="V1263" s="3" t="n">
        <v>-0.6809999942779541</v>
      </c>
      <c r="W1263" s="3" t="n">
        <v>-0.5640000104904175</v>
      </c>
      <c r="X1263" s="3" t="n">
        <v>-1.11899995803833</v>
      </c>
      <c r="Y1263" s="3" t="n">
        <v>-0.7870000004768372</v>
      </c>
      <c r="Z1263" s="3" t="n">
        <v>-1.126000046730042</v>
      </c>
      <c r="AA1263" s="3" t="n">
        <v>-1.126000046730042</v>
      </c>
      <c r="AB1263" s="3" t="n">
        <v>-1.11899995803833</v>
      </c>
      <c r="AC1263" s="3" t="n">
        <v>-1.376000046730042</v>
      </c>
      <c r="AD1263" s="3" t="n">
        <v>-0.8759999871253967</v>
      </c>
      <c r="AE1263" s="3" t="n">
        <v>-0.8759999871253967</v>
      </c>
    </row>
    <row r="1264">
      <c r="A1264" s="3" t="inlineStr">
        <is>
          <t>LSO.distn.dec.ove.mean.7</t>
        </is>
      </c>
      <c r="B1264" s="3" t="inlineStr">
        <is>
          <t>LSO</t>
        </is>
      </c>
      <c r="C1264" s="3" t="n">
        <v>2005</v>
      </c>
      <c r="D1264" s="3" t="inlineStr">
        <is>
          <t>Overall</t>
        </is>
      </c>
      <c r="E1264" s="3" t="inlineStr">
        <is>
          <t>Deciles</t>
        </is>
      </c>
      <c r="F1264" s="3" t="inlineStr">
        <is>
          <t>mean</t>
        </is>
      </c>
      <c r="G1264" s="3" t="n">
        <v>7</v>
      </c>
      <c r="H1264" s="3" t="n">
        <v>-0.7870000004768372</v>
      </c>
      <c r="I1264" s="3" t="n">
        <v>-0.7870000004768372</v>
      </c>
      <c r="J1264" s="3" t="n">
        <v>-0.8759999871253967</v>
      </c>
      <c r="K1264" s="3" t="n">
        <v>-0.8759999871253967</v>
      </c>
      <c r="L1264" s="3" t="n">
        <v>-0.7870000004768372</v>
      </c>
      <c r="M1264" s="3" t="n">
        <v>-0.7870000004768372</v>
      </c>
      <c r="N1264" s="3" t="n">
        <v>-0.7870000004768372</v>
      </c>
      <c r="O1264" s="3" t="n">
        <v>-0.7870000004768372</v>
      </c>
      <c r="P1264" s="3" t="n">
        <v>-0.7870000004768372</v>
      </c>
      <c r="Q1264" s="3" t="n">
        <v>-0.7870000004768372</v>
      </c>
      <c r="R1264" s="3" t="n">
        <v>-0.7730000019073486</v>
      </c>
      <c r="S1264" s="3" t="n">
        <v>-1.126000046730042</v>
      </c>
      <c r="T1264" s="3" t="n">
        <v>-0.7089999914169312</v>
      </c>
      <c r="U1264" s="3" t="n">
        <v>-0.8759999871253967</v>
      </c>
      <c r="V1264" s="3" t="n">
        <v>-0.6809999942779541</v>
      </c>
      <c r="W1264" s="3" t="n">
        <v>-0.5640000104904175</v>
      </c>
      <c r="X1264" s="3" t="n">
        <v>-1.11899995803833</v>
      </c>
      <c r="Y1264" s="3" t="n">
        <v>-0.7870000004768372</v>
      </c>
      <c r="Z1264" s="3" t="n">
        <v>-1.126000046730042</v>
      </c>
      <c r="AA1264" s="3" t="n">
        <v>-1.126000046730042</v>
      </c>
      <c r="AB1264" s="3" t="n">
        <v>-1.11899995803833</v>
      </c>
      <c r="AC1264" s="3" t="n">
        <v>-1.376000046730042</v>
      </c>
      <c r="AD1264" s="3" t="n">
        <v>-0.8759999871253967</v>
      </c>
      <c r="AE1264" s="3" t="n">
        <v>-0.8759999871253967</v>
      </c>
    </row>
    <row r="1265">
      <c r="A1265" s="3" t="inlineStr">
        <is>
          <t>LSO.distn.dec.ove.mean.8</t>
        </is>
      </c>
      <c r="B1265" s="3" t="inlineStr">
        <is>
          <t>LSO</t>
        </is>
      </c>
      <c r="C1265" s="3" t="n">
        <v>2005</v>
      </c>
      <c r="D1265" s="3" t="inlineStr">
        <is>
          <t>Overall</t>
        </is>
      </c>
      <c r="E1265" s="3" t="inlineStr">
        <is>
          <t>Deciles</t>
        </is>
      </c>
      <c r="F1265" s="3" t="inlineStr">
        <is>
          <t>mean</t>
        </is>
      </c>
      <c r="G1265" s="3" t="n">
        <v>8</v>
      </c>
      <c r="H1265" s="3" t="n">
        <v>-0.7873791456222534</v>
      </c>
      <c r="I1265" s="3" t="n">
        <v>-0.7873791456222534</v>
      </c>
      <c r="J1265" s="3" t="n">
        <v>-0.8783630728721619</v>
      </c>
      <c r="K1265" s="3" t="n">
        <v>-0.8783630728721619</v>
      </c>
      <c r="L1265" s="3" t="n">
        <v>-0.7873791456222534</v>
      </c>
      <c r="M1265" s="3" t="n">
        <v>-0.7873791456222534</v>
      </c>
      <c r="N1265" s="3" t="n">
        <v>-0.7873791456222534</v>
      </c>
      <c r="O1265" s="3" t="n">
        <v>-0.7873791456222534</v>
      </c>
      <c r="P1265" s="3" t="n">
        <v>-0.7873791456222534</v>
      </c>
      <c r="Q1265" s="3" t="n">
        <v>-0.7873791456222534</v>
      </c>
      <c r="R1265" s="3" t="n">
        <v>-0.7732542157173157</v>
      </c>
      <c r="S1265" s="3" t="n">
        <v>-1.136477589607239</v>
      </c>
      <c r="T1265" s="3" t="n">
        <v>-0.7090408802032471</v>
      </c>
      <c r="U1265" s="3" t="n">
        <v>-0.8783630728721619</v>
      </c>
      <c r="V1265" s="3" t="n">
        <v>-0.6817039847373962</v>
      </c>
      <c r="W1265" s="3" t="n">
        <v>-0.5791032314300537</v>
      </c>
      <c r="X1265" s="3" t="n">
        <v>-1.129196286201477</v>
      </c>
      <c r="Y1265" s="3" t="n">
        <v>-0.7873791456222534</v>
      </c>
      <c r="Z1265" s="3" t="n">
        <v>-1.136477589607239</v>
      </c>
      <c r="AA1265" s="3" t="n">
        <v>-1.136477589607239</v>
      </c>
      <c r="AB1265" s="3" t="n">
        <v>-1.129196286201477</v>
      </c>
      <c r="AC1265" s="3" t="n">
        <v>-1.395623564720154</v>
      </c>
      <c r="AD1265" s="3" t="n">
        <v>-0.8783630728721619</v>
      </c>
      <c r="AE1265" s="3" t="n">
        <v>-0.8783630728721619</v>
      </c>
    </row>
    <row r="1266">
      <c r="A1266" s="3" t="inlineStr">
        <is>
          <t>LSO.distn.dec.ove.mean.9</t>
        </is>
      </c>
      <c r="B1266" s="3" t="inlineStr">
        <is>
          <t>LSO</t>
        </is>
      </c>
      <c r="C1266" s="3" t="n">
        <v>2005</v>
      </c>
      <c r="D1266" s="3" t="inlineStr">
        <is>
          <t>Overall</t>
        </is>
      </c>
      <c r="E1266" s="3" t="inlineStr">
        <is>
          <t>Deciles</t>
        </is>
      </c>
      <c r="F1266" s="3" t="inlineStr">
        <is>
          <t>mean</t>
        </is>
      </c>
      <c r="G1266" s="3" t="n">
        <v>9</v>
      </c>
      <c r="H1266" s="3" t="n">
        <v>-0.7873791456222534</v>
      </c>
      <c r="I1266" s="3" t="n">
        <v>-0.7873791456222534</v>
      </c>
      <c r="J1266" s="3" t="n">
        <v>-0.8783630728721619</v>
      </c>
      <c r="K1266" s="3" t="n">
        <v>-0.8783630728721619</v>
      </c>
      <c r="L1266" s="3" t="n">
        <v>-0.7873791456222534</v>
      </c>
      <c r="M1266" s="3" t="n">
        <v>-0.7873791456222534</v>
      </c>
      <c r="N1266" s="3" t="n">
        <v>-0.7873791456222534</v>
      </c>
      <c r="O1266" s="3" t="n">
        <v>-0.7873791456222534</v>
      </c>
      <c r="P1266" s="3" t="n">
        <v>-0.7873791456222534</v>
      </c>
      <c r="Q1266" s="3" t="n">
        <v>-0.7873791456222534</v>
      </c>
      <c r="R1266" s="3" t="n">
        <v>-0.7732542157173157</v>
      </c>
      <c r="S1266" s="3" t="n">
        <v>-1.136477589607239</v>
      </c>
      <c r="T1266" s="3" t="n">
        <v>-0.7090408802032471</v>
      </c>
      <c r="U1266" s="3" t="n">
        <v>-0.8783630728721619</v>
      </c>
      <c r="V1266" s="3" t="n">
        <v>-0.6817039847373962</v>
      </c>
      <c r="W1266" s="3" t="n">
        <v>-0.5791032314300537</v>
      </c>
      <c r="X1266" s="3" t="n">
        <v>-1.129196286201477</v>
      </c>
      <c r="Y1266" s="3" t="n">
        <v>-0.7873791456222534</v>
      </c>
      <c r="Z1266" s="3" t="n">
        <v>-1.136477589607239</v>
      </c>
      <c r="AA1266" s="3" t="n">
        <v>-1.136477589607239</v>
      </c>
      <c r="AB1266" s="3" t="n">
        <v>-1.129196286201477</v>
      </c>
      <c r="AC1266" s="3" t="n">
        <v>-1.395623564720154</v>
      </c>
      <c r="AD1266" s="3" t="n">
        <v>-0.8783630728721619</v>
      </c>
      <c r="AE1266" s="3" t="n">
        <v>-0.8783630728721619</v>
      </c>
    </row>
    <row r="1267">
      <c r="A1267" s="3" t="inlineStr">
        <is>
          <t>LSO.distn.dec.ove.mean.10</t>
        </is>
      </c>
      <c r="B1267" s="3" t="inlineStr">
        <is>
          <t>LSO</t>
        </is>
      </c>
      <c r="C1267" s="3" t="n">
        <v>2005</v>
      </c>
      <c r="D1267" s="3" t="inlineStr">
        <is>
          <t>Overall</t>
        </is>
      </c>
      <c r="E1267" s="3" t="inlineStr">
        <is>
          <t>Deciles</t>
        </is>
      </c>
      <c r="F1267" s="3" t="inlineStr">
        <is>
          <t>mean</t>
        </is>
      </c>
      <c r="G1267" s="3" t="n">
        <v>10</v>
      </c>
      <c r="H1267" s="3" t="n">
        <v>-0.7873791456222534</v>
      </c>
      <c r="I1267" s="3" t="n">
        <v>-0.7873791456222534</v>
      </c>
      <c r="J1267" s="3" t="n">
        <v>-0.8783630728721619</v>
      </c>
      <c r="K1267" s="3" t="n">
        <v>-0.8783630728721619</v>
      </c>
      <c r="L1267" s="3" t="n">
        <v>-0.7873791456222534</v>
      </c>
      <c r="M1267" s="3" t="n">
        <v>-0.7873791456222534</v>
      </c>
      <c r="N1267" s="3" t="n">
        <v>-0.7873791456222534</v>
      </c>
      <c r="O1267" s="3" t="n">
        <v>-0.7873791456222534</v>
      </c>
      <c r="P1267" s="3" t="n">
        <v>-0.7873791456222534</v>
      </c>
      <c r="Q1267" s="3" t="n">
        <v>-0.7873791456222534</v>
      </c>
      <c r="R1267" s="3" t="n">
        <v>-0.7732542157173157</v>
      </c>
      <c r="S1267" s="3" t="n">
        <v>-1.136477589607239</v>
      </c>
      <c r="T1267" s="3" t="n">
        <v>-0.7090408802032471</v>
      </c>
      <c r="U1267" s="3" t="n">
        <v>-0.8783630728721619</v>
      </c>
      <c r="V1267" s="3" t="n">
        <v>-0.6817039847373962</v>
      </c>
      <c r="W1267" s="3" t="n">
        <v>-0.5791032314300537</v>
      </c>
      <c r="X1267" s="3" t="n">
        <v>-1.129196286201477</v>
      </c>
      <c r="Y1267" s="3" t="n">
        <v>-0.7873791456222534</v>
      </c>
      <c r="Z1267" s="3" t="n">
        <v>-1.136477589607239</v>
      </c>
      <c r="AA1267" s="3" t="n">
        <v>-1.136477589607239</v>
      </c>
      <c r="AB1267" s="3" t="n">
        <v>-1.129196286201477</v>
      </c>
      <c r="AC1267" s="3" t="n">
        <v>-1.395623564720154</v>
      </c>
      <c r="AD1267" s="3" t="n">
        <v>-0.8783630728721619</v>
      </c>
      <c r="AE1267" s="3" t="n">
        <v>-0.8783630728721619</v>
      </c>
    </row>
    <row r="1268">
      <c r="A1268" s="3" t="inlineStr">
        <is>
          <t>LSO.distn.bkt.ove.mean.9999</t>
        </is>
      </c>
      <c r="B1268" s="3" t="inlineStr">
        <is>
          <t>LSO</t>
        </is>
      </c>
      <c r="C1268" s="3" t="n">
        <v>2005</v>
      </c>
      <c r="D1268" s="3" t="inlineStr">
        <is>
          <t>Overall</t>
        </is>
      </c>
      <c r="E1268" s="3" t="inlineStr">
        <is>
          <t>Basket</t>
        </is>
      </c>
      <c r="F1268" s="3" t="inlineStr">
        <is>
          <t>mean</t>
        </is>
      </c>
      <c r="G1268" s="3" t="n">
        <v>9999</v>
      </c>
      <c r="H1268" s="3" t="n">
        <v>-0.788998007774353</v>
      </c>
      <c r="I1268" s="3" t="n">
        <v>-0.788998007774353</v>
      </c>
      <c r="J1268" s="3" t="n">
        <v>-0.8900524377822876</v>
      </c>
      <c r="K1268" s="3" t="n">
        <v>-0.8900524377822876</v>
      </c>
      <c r="L1268" s="3" t="n">
        <v>-0.788998007774353</v>
      </c>
      <c r="M1268" s="3" t="n">
        <v>-0.788998007774353</v>
      </c>
      <c r="N1268" s="3" t="n">
        <v>-0.788998007774353</v>
      </c>
      <c r="O1268" s="3" t="n">
        <v>-0.788998007774353</v>
      </c>
      <c r="P1268" s="3" t="n">
        <v>-0.788998007774353</v>
      </c>
      <c r="Q1268" s="3" t="n">
        <v>-0.788998007774353</v>
      </c>
      <c r="R1268" s="3" t="n">
        <v>-0.7741215229034424</v>
      </c>
      <c r="S1268" s="3" t="n">
        <v>-1.287297606468201</v>
      </c>
      <c r="T1268" s="3" t="n">
        <v>-0.7094486355781555</v>
      </c>
      <c r="U1268" s="3" t="n">
        <v>-0.8900524377822876</v>
      </c>
      <c r="V1268" s="3" t="n">
        <v>-0.6833100318908691</v>
      </c>
      <c r="W1268" s="3" t="n">
        <v>-0.6003751754760742</v>
      </c>
      <c r="X1268" s="3" t="n">
        <v>-1.262033104896545</v>
      </c>
      <c r="Y1268" s="3" t="n">
        <v>-0.788998007774353</v>
      </c>
      <c r="Z1268" s="3" t="n">
        <v>-1.287297606468201</v>
      </c>
      <c r="AA1268" s="3" t="n">
        <v>-1.287297606468201</v>
      </c>
      <c r="AB1268" s="3" t="n">
        <v>-1.262033104896545</v>
      </c>
      <c r="AC1268" s="3" t="n">
        <v>-1.823882460594177</v>
      </c>
      <c r="AD1268" s="3" t="n">
        <v>-0.8900524377822876</v>
      </c>
      <c r="AE1268" s="3" t="n">
        <v>-0.8900524377822876</v>
      </c>
    </row>
    <row r="1269">
      <c r="A1269" s="3" t="inlineStr">
        <is>
          <t>LTU.distn.dec.ove.mean.1</t>
        </is>
      </c>
      <c r="B1269" s="3" t="inlineStr">
        <is>
          <t>LTU</t>
        </is>
      </c>
      <c r="C1269" s="3" t="n">
        <v>2005</v>
      </c>
      <c r="D1269" s="3" t="inlineStr">
        <is>
          <t>Overall</t>
        </is>
      </c>
      <c r="E1269" s="3" t="inlineStr">
        <is>
          <t>Deciles</t>
        </is>
      </c>
      <c r="F1269" s="3" t="inlineStr">
        <is>
          <t>mean</t>
        </is>
      </c>
      <c r="G1269" s="3" t="n">
        <v>1</v>
      </c>
      <c r="H1269" s="3" t="n">
        <v>-0.7872329354286194</v>
      </c>
      <c r="I1269" s="3" t="n">
        <v>-0.7872329354286194</v>
      </c>
      <c r="J1269" s="3" t="n">
        <v>-0.8837013244628906</v>
      </c>
      <c r="K1269" s="3" t="n">
        <v>-0.8837013244628906</v>
      </c>
      <c r="L1269" s="3" t="n">
        <v>-0.7872329354286194</v>
      </c>
      <c r="M1269" s="3" t="n">
        <v>-0.7872329354286194</v>
      </c>
      <c r="N1269" s="3" t="n">
        <v>-0.7872329354286194</v>
      </c>
      <c r="O1269" s="3" t="n">
        <v>-0.7872329354286194</v>
      </c>
      <c r="P1269" s="3" t="n">
        <v>-0.7872329354286194</v>
      </c>
      <c r="Q1269" s="3" t="n">
        <v>-0.7872329354286194</v>
      </c>
      <c r="R1269" s="3" t="n">
        <v>-0.772466242313385</v>
      </c>
      <c r="S1269" s="3" t="n">
        <v>-1.383034229278564</v>
      </c>
      <c r="T1269" s="3" t="n">
        <v>-0.7094525694847107</v>
      </c>
      <c r="U1269" s="3" t="n">
        <v>-0.8837013244628906</v>
      </c>
      <c r="V1269" s="3" t="n">
        <v>-0.6809241771697998</v>
      </c>
      <c r="W1269" s="3" t="n">
        <v>-0.5453857779502869</v>
      </c>
      <c r="X1269" s="3" t="n">
        <v>-1.331944584846497</v>
      </c>
      <c r="Y1269" s="3" t="n">
        <v>-0.7872329354286194</v>
      </c>
      <c r="Z1269" s="3" t="n">
        <v>-1.383034229278564</v>
      </c>
      <c r="AA1269" s="3" t="n">
        <v>-1.383034229278564</v>
      </c>
      <c r="AB1269" s="3" t="n">
        <v>-1.331944584846497</v>
      </c>
      <c r="AC1269" s="3" t="n">
        <v>-2.062442302703857</v>
      </c>
      <c r="AD1269" s="3" t="n">
        <v>-0.8837013244628906</v>
      </c>
      <c r="AE1269" s="3" t="n">
        <v>-0.8837013244628906</v>
      </c>
    </row>
    <row r="1270">
      <c r="A1270" s="3" t="inlineStr">
        <is>
          <t>LTU.distn.dec.ove.mean.2</t>
        </is>
      </c>
      <c r="B1270" s="3" t="inlineStr">
        <is>
          <t>LTU</t>
        </is>
      </c>
      <c r="C1270" s="3" t="n">
        <v>2005</v>
      </c>
      <c r="D1270" s="3" t="inlineStr">
        <is>
          <t>Overall</t>
        </is>
      </c>
      <c r="E1270" s="3" t="inlineStr">
        <is>
          <t>Deciles</t>
        </is>
      </c>
      <c r="F1270" s="3" t="inlineStr">
        <is>
          <t>mean</t>
        </is>
      </c>
      <c r="G1270" s="3" t="n">
        <v>2</v>
      </c>
      <c r="H1270" s="3" t="n">
        <v>-0.7872329354286194</v>
      </c>
      <c r="I1270" s="3" t="n">
        <v>-0.7872329354286194</v>
      </c>
      <c r="J1270" s="3" t="n">
        <v>-0.8837013244628906</v>
      </c>
      <c r="K1270" s="3" t="n">
        <v>-0.8837013244628906</v>
      </c>
      <c r="L1270" s="3" t="n">
        <v>-0.7872329354286194</v>
      </c>
      <c r="M1270" s="3" t="n">
        <v>-0.7872329354286194</v>
      </c>
      <c r="N1270" s="3" t="n">
        <v>-0.7872329354286194</v>
      </c>
      <c r="O1270" s="3" t="n">
        <v>-0.7872329354286194</v>
      </c>
      <c r="P1270" s="3" t="n">
        <v>-0.7872329354286194</v>
      </c>
      <c r="Q1270" s="3" t="n">
        <v>-0.7872329354286194</v>
      </c>
      <c r="R1270" s="3" t="n">
        <v>-0.772466242313385</v>
      </c>
      <c r="S1270" s="3" t="n">
        <v>-1.383034229278564</v>
      </c>
      <c r="T1270" s="3" t="n">
        <v>-0.7094525694847107</v>
      </c>
      <c r="U1270" s="3" t="n">
        <v>-0.8837013244628906</v>
      </c>
      <c r="V1270" s="3" t="n">
        <v>-0.6809241771697998</v>
      </c>
      <c r="W1270" s="3" t="n">
        <v>-0.5453857779502869</v>
      </c>
      <c r="X1270" s="3" t="n">
        <v>-1.331944584846497</v>
      </c>
      <c r="Y1270" s="3" t="n">
        <v>-0.7872329354286194</v>
      </c>
      <c r="Z1270" s="3" t="n">
        <v>-1.383034229278564</v>
      </c>
      <c r="AA1270" s="3" t="n">
        <v>-1.383034229278564</v>
      </c>
      <c r="AB1270" s="3" t="n">
        <v>-1.331944584846497</v>
      </c>
      <c r="AC1270" s="3" t="n">
        <v>-2.062442302703857</v>
      </c>
      <c r="AD1270" s="3" t="n">
        <v>-0.8837013244628906</v>
      </c>
      <c r="AE1270" s="3" t="n">
        <v>-0.8837013244628906</v>
      </c>
    </row>
    <row r="1271">
      <c r="A1271" s="3" t="inlineStr">
        <is>
          <t>LTU.distn.dec.ove.mean.3</t>
        </is>
      </c>
      <c r="B1271" s="3" t="inlineStr">
        <is>
          <t>LTU</t>
        </is>
      </c>
      <c r="C1271" s="3" t="n">
        <v>2005</v>
      </c>
      <c r="D1271" s="3" t="inlineStr">
        <is>
          <t>Overall</t>
        </is>
      </c>
      <c r="E1271" s="3" t="inlineStr">
        <is>
          <t>Deciles</t>
        </is>
      </c>
      <c r="F1271" s="3" t="inlineStr">
        <is>
          <t>mean</t>
        </is>
      </c>
      <c r="G1271" s="3" t="n">
        <v>3</v>
      </c>
      <c r="H1271" s="3" t="n">
        <v>-0.7872329354286194</v>
      </c>
      <c r="I1271" s="3" t="n">
        <v>-0.7872329354286194</v>
      </c>
      <c r="J1271" s="3" t="n">
        <v>-0.8837013244628906</v>
      </c>
      <c r="K1271" s="3" t="n">
        <v>-0.8837013244628906</v>
      </c>
      <c r="L1271" s="3" t="n">
        <v>-0.7872329354286194</v>
      </c>
      <c r="M1271" s="3" t="n">
        <v>-0.7872329354286194</v>
      </c>
      <c r="N1271" s="3" t="n">
        <v>-0.7872329354286194</v>
      </c>
      <c r="O1271" s="3" t="n">
        <v>-0.7872329354286194</v>
      </c>
      <c r="P1271" s="3" t="n">
        <v>-0.7872329354286194</v>
      </c>
      <c r="Q1271" s="3" t="n">
        <v>-0.7872329354286194</v>
      </c>
      <c r="R1271" s="3" t="n">
        <v>-0.772466242313385</v>
      </c>
      <c r="S1271" s="3" t="n">
        <v>-1.383034229278564</v>
      </c>
      <c r="T1271" s="3" t="n">
        <v>-0.7094525694847107</v>
      </c>
      <c r="U1271" s="3" t="n">
        <v>-0.8837013244628906</v>
      </c>
      <c r="V1271" s="3" t="n">
        <v>-0.6809241771697998</v>
      </c>
      <c r="W1271" s="3" t="n">
        <v>-0.5453857779502869</v>
      </c>
      <c r="X1271" s="3" t="n">
        <v>-1.331944584846497</v>
      </c>
      <c r="Y1271" s="3" t="n">
        <v>-0.7872329354286194</v>
      </c>
      <c r="Z1271" s="3" t="n">
        <v>-1.383034229278564</v>
      </c>
      <c r="AA1271" s="3" t="n">
        <v>-1.383034229278564</v>
      </c>
      <c r="AB1271" s="3" t="n">
        <v>-1.331944584846497</v>
      </c>
      <c r="AC1271" s="3" t="n">
        <v>-2.062442302703857</v>
      </c>
      <c r="AD1271" s="3" t="n">
        <v>-0.8837013244628906</v>
      </c>
      <c r="AE1271" s="3" t="n">
        <v>-0.8837013244628906</v>
      </c>
    </row>
    <row r="1272">
      <c r="A1272" s="3" t="inlineStr">
        <is>
          <t>LTU.distn.dec.ove.mean.4</t>
        </is>
      </c>
      <c r="B1272" s="3" t="inlineStr">
        <is>
          <t>LTU</t>
        </is>
      </c>
      <c r="C1272" s="3" t="n">
        <v>2005</v>
      </c>
      <c r="D1272" s="3" t="inlineStr">
        <is>
          <t>Overall</t>
        </is>
      </c>
      <c r="E1272" s="3" t="inlineStr">
        <is>
          <t>Deciles</t>
        </is>
      </c>
      <c r="F1272" s="3" t="inlineStr">
        <is>
          <t>mean</t>
        </is>
      </c>
      <c r="G1272" s="3" t="n">
        <v>4</v>
      </c>
      <c r="H1272" s="3" t="n">
        <v>-0.781000018119812</v>
      </c>
      <c r="I1272" s="3" t="n">
        <v>-0.781000018119812</v>
      </c>
      <c r="J1272" s="3" t="n">
        <v>-0.8410000205039978</v>
      </c>
      <c r="K1272" s="3" t="n">
        <v>-0.8410000205039978</v>
      </c>
      <c r="L1272" s="3" t="n">
        <v>-0.781000018119812</v>
      </c>
      <c r="M1272" s="3" t="n">
        <v>-0.781000018119812</v>
      </c>
      <c r="N1272" s="3" t="n">
        <v>-0.781000018119812</v>
      </c>
      <c r="O1272" s="3" t="n">
        <v>-0.781000018119812</v>
      </c>
      <c r="P1272" s="3" t="n">
        <v>-0.781000018119812</v>
      </c>
      <c r="Q1272" s="3" t="n">
        <v>-0.781000018119812</v>
      </c>
      <c r="R1272" s="3" t="n">
        <v>-0.7689999938011169</v>
      </c>
      <c r="S1272" s="3" t="n">
        <v>-0.9419999718666077</v>
      </c>
      <c r="T1272" s="3" t="n">
        <v>-0.7080000042915344</v>
      </c>
      <c r="U1272" s="3" t="n">
        <v>-0.8410000205039978</v>
      </c>
      <c r="V1272" s="3" t="n">
        <v>-0.6740000247955322</v>
      </c>
      <c r="W1272" s="3" t="n">
        <v>-0.4589999914169312</v>
      </c>
      <c r="X1272" s="3" t="n">
        <v>-0.9399999976158142</v>
      </c>
      <c r="Y1272" s="3" t="n">
        <v>-0.781000018119812</v>
      </c>
      <c r="Z1272" s="3" t="n">
        <v>-0.9419999718666077</v>
      </c>
      <c r="AA1272" s="3" t="n">
        <v>-0.9419999718666077</v>
      </c>
      <c r="AB1272" s="3" t="n">
        <v>-0.9399999976158142</v>
      </c>
      <c r="AC1272" s="3" t="n">
        <v>-0.9959999918937683</v>
      </c>
      <c r="AD1272" s="3" t="n">
        <v>-0.8410000205039978</v>
      </c>
      <c r="AE1272" s="3" t="n">
        <v>-0.8410000205039978</v>
      </c>
    </row>
    <row r="1273">
      <c r="A1273" s="3" t="inlineStr">
        <is>
          <t>LTU.distn.dec.ove.mean.5</t>
        </is>
      </c>
      <c r="B1273" s="3" t="inlineStr">
        <is>
          <t>LTU</t>
        </is>
      </c>
      <c r="C1273" s="3" t="n">
        <v>2005</v>
      </c>
      <c r="D1273" s="3" t="inlineStr">
        <is>
          <t>Overall</t>
        </is>
      </c>
      <c r="E1273" s="3" t="inlineStr">
        <is>
          <t>Deciles</t>
        </is>
      </c>
      <c r="F1273" s="3" t="inlineStr">
        <is>
          <t>mean</t>
        </is>
      </c>
      <c r="G1273" s="3" t="n">
        <v>5</v>
      </c>
      <c r="H1273" s="3" t="n">
        <v>-0.781000018119812</v>
      </c>
      <c r="I1273" s="3" t="n">
        <v>-0.781000018119812</v>
      </c>
      <c r="J1273" s="3" t="n">
        <v>-0.8410000205039978</v>
      </c>
      <c r="K1273" s="3" t="n">
        <v>-0.8410000205039978</v>
      </c>
      <c r="L1273" s="3" t="n">
        <v>-0.781000018119812</v>
      </c>
      <c r="M1273" s="3" t="n">
        <v>-0.781000018119812</v>
      </c>
      <c r="N1273" s="3" t="n">
        <v>-0.781000018119812</v>
      </c>
      <c r="O1273" s="3" t="n">
        <v>-0.781000018119812</v>
      </c>
      <c r="P1273" s="3" t="n">
        <v>-0.781000018119812</v>
      </c>
      <c r="Q1273" s="3" t="n">
        <v>-0.781000018119812</v>
      </c>
      <c r="R1273" s="3" t="n">
        <v>-0.7689999938011169</v>
      </c>
      <c r="S1273" s="3" t="n">
        <v>-0.9419999718666077</v>
      </c>
      <c r="T1273" s="3" t="n">
        <v>-0.7080000042915344</v>
      </c>
      <c r="U1273" s="3" t="n">
        <v>-0.8410000205039978</v>
      </c>
      <c r="V1273" s="3" t="n">
        <v>-0.6740000247955322</v>
      </c>
      <c r="W1273" s="3" t="n">
        <v>-0.4589999914169312</v>
      </c>
      <c r="X1273" s="3" t="n">
        <v>-0.9399999976158142</v>
      </c>
      <c r="Y1273" s="3" t="n">
        <v>-0.781000018119812</v>
      </c>
      <c r="Z1273" s="3" t="n">
        <v>-0.9419999718666077</v>
      </c>
      <c r="AA1273" s="3" t="n">
        <v>-0.9419999718666077</v>
      </c>
      <c r="AB1273" s="3" t="n">
        <v>-0.9399999976158142</v>
      </c>
      <c r="AC1273" s="3" t="n">
        <v>-0.9959999918937683</v>
      </c>
      <c r="AD1273" s="3" t="n">
        <v>-0.8410000205039978</v>
      </c>
      <c r="AE1273" s="3" t="n">
        <v>-0.8410000205039978</v>
      </c>
    </row>
    <row r="1274">
      <c r="A1274" s="3" t="inlineStr">
        <is>
          <t>LTU.distn.dec.ove.mean.6</t>
        </is>
      </c>
      <c r="B1274" s="3" t="inlineStr">
        <is>
          <t>LTU</t>
        </is>
      </c>
      <c r="C1274" s="3" t="n">
        <v>2005</v>
      </c>
      <c r="D1274" s="3" t="inlineStr">
        <is>
          <t>Overall</t>
        </is>
      </c>
      <c r="E1274" s="3" t="inlineStr">
        <is>
          <t>Deciles</t>
        </is>
      </c>
      <c r="F1274" s="3" t="inlineStr">
        <is>
          <t>mean</t>
        </is>
      </c>
      <c r="G1274" s="3" t="n">
        <v>6</v>
      </c>
      <c r="H1274" s="3" t="n">
        <v>-0.781000018119812</v>
      </c>
      <c r="I1274" s="3" t="n">
        <v>-0.781000018119812</v>
      </c>
      <c r="J1274" s="3" t="n">
        <v>-0.8410000205039978</v>
      </c>
      <c r="K1274" s="3" t="n">
        <v>-0.8410000205039978</v>
      </c>
      <c r="L1274" s="3" t="n">
        <v>-0.781000018119812</v>
      </c>
      <c r="M1274" s="3" t="n">
        <v>-0.781000018119812</v>
      </c>
      <c r="N1274" s="3" t="n">
        <v>-0.781000018119812</v>
      </c>
      <c r="O1274" s="3" t="n">
        <v>-0.781000018119812</v>
      </c>
      <c r="P1274" s="3" t="n">
        <v>-0.781000018119812</v>
      </c>
      <c r="Q1274" s="3" t="n">
        <v>-0.781000018119812</v>
      </c>
      <c r="R1274" s="3" t="n">
        <v>-0.7689999938011169</v>
      </c>
      <c r="S1274" s="3" t="n">
        <v>-0.9419999718666077</v>
      </c>
      <c r="T1274" s="3" t="n">
        <v>-0.7080000042915344</v>
      </c>
      <c r="U1274" s="3" t="n">
        <v>-0.8410000205039978</v>
      </c>
      <c r="V1274" s="3" t="n">
        <v>-0.6740000247955322</v>
      </c>
      <c r="W1274" s="3" t="n">
        <v>-0.4589999914169312</v>
      </c>
      <c r="X1274" s="3" t="n">
        <v>-0.9399999976158142</v>
      </c>
      <c r="Y1274" s="3" t="n">
        <v>-0.781000018119812</v>
      </c>
      <c r="Z1274" s="3" t="n">
        <v>-0.9419999718666077</v>
      </c>
      <c r="AA1274" s="3" t="n">
        <v>-0.9419999718666077</v>
      </c>
      <c r="AB1274" s="3" t="n">
        <v>-0.9399999976158142</v>
      </c>
      <c r="AC1274" s="3" t="n">
        <v>-0.9959999918937683</v>
      </c>
      <c r="AD1274" s="3" t="n">
        <v>-0.8410000205039978</v>
      </c>
      <c r="AE1274" s="3" t="n">
        <v>-0.8410000205039978</v>
      </c>
    </row>
    <row r="1275">
      <c r="A1275" s="3" t="inlineStr">
        <is>
          <t>LTU.distn.dec.ove.mean.7</t>
        </is>
      </c>
      <c r="B1275" s="3" t="inlineStr">
        <is>
          <t>LTU</t>
        </is>
      </c>
      <c r="C1275" s="3" t="n">
        <v>2005</v>
      </c>
      <c r="D1275" s="3" t="inlineStr">
        <is>
          <t>Overall</t>
        </is>
      </c>
      <c r="E1275" s="3" t="inlineStr">
        <is>
          <t>Deciles</t>
        </is>
      </c>
      <c r="F1275" s="3" t="inlineStr">
        <is>
          <t>mean</t>
        </is>
      </c>
      <c r="G1275" s="3" t="n">
        <v>7</v>
      </c>
      <c r="H1275" s="3" t="n">
        <v>-0.781000018119812</v>
      </c>
      <c r="I1275" s="3" t="n">
        <v>-0.781000018119812</v>
      </c>
      <c r="J1275" s="3" t="n">
        <v>-0.8410000205039978</v>
      </c>
      <c r="K1275" s="3" t="n">
        <v>-0.8410000205039978</v>
      </c>
      <c r="L1275" s="3" t="n">
        <v>-0.781000018119812</v>
      </c>
      <c r="M1275" s="3" t="n">
        <v>-0.781000018119812</v>
      </c>
      <c r="N1275" s="3" t="n">
        <v>-0.781000018119812</v>
      </c>
      <c r="O1275" s="3" t="n">
        <v>-0.781000018119812</v>
      </c>
      <c r="P1275" s="3" t="n">
        <v>-0.781000018119812</v>
      </c>
      <c r="Q1275" s="3" t="n">
        <v>-0.781000018119812</v>
      </c>
      <c r="R1275" s="3" t="n">
        <v>-0.7689999938011169</v>
      </c>
      <c r="S1275" s="3" t="n">
        <v>-0.9419999718666077</v>
      </c>
      <c r="T1275" s="3" t="n">
        <v>-0.7080000042915344</v>
      </c>
      <c r="U1275" s="3" t="n">
        <v>-0.8410000205039978</v>
      </c>
      <c r="V1275" s="3" t="n">
        <v>-0.6740000247955322</v>
      </c>
      <c r="W1275" s="3" t="n">
        <v>-0.4589999914169312</v>
      </c>
      <c r="X1275" s="3" t="n">
        <v>-0.9399999976158142</v>
      </c>
      <c r="Y1275" s="3" t="n">
        <v>-0.781000018119812</v>
      </c>
      <c r="Z1275" s="3" t="n">
        <v>-0.9419999718666077</v>
      </c>
      <c r="AA1275" s="3" t="n">
        <v>-0.9419999718666077</v>
      </c>
      <c r="AB1275" s="3" t="n">
        <v>-0.9399999976158142</v>
      </c>
      <c r="AC1275" s="3" t="n">
        <v>-0.9959999918937683</v>
      </c>
      <c r="AD1275" s="3" t="n">
        <v>-0.8410000205039978</v>
      </c>
      <c r="AE1275" s="3" t="n">
        <v>-0.8410000205039978</v>
      </c>
    </row>
    <row r="1276">
      <c r="A1276" s="3" t="inlineStr">
        <is>
          <t>LTU.distn.dec.ove.mean.8</t>
        </is>
      </c>
      <c r="B1276" s="3" t="inlineStr">
        <is>
          <t>LTU</t>
        </is>
      </c>
      <c r="C1276" s="3" t="n">
        <v>2005</v>
      </c>
      <c r="D1276" s="3" t="inlineStr">
        <is>
          <t>Overall</t>
        </is>
      </c>
      <c r="E1276" s="3" t="inlineStr">
        <is>
          <t>Deciles</t>
        </is>
      </c>
      <c r="F1276" s="3" t="inlineStr">
        <is>
          <t>mean</t>
        </is>
      </c>
      <c r="G1276" s="3" t="n">
        <v>8</v>
      </c>
      <c r="H1276" s="3" t="n">
        <v>-0.7813762426376343</v>
      </c>
      <c r="I1276" s="3" t="n">
        <v>-0.7813762426376343</v>
      </c>
      <c r="J1276" s="3" t="n">
        <v>-0.8432686924934387</v>
      </c>
      <c r="K1276" s="3" t="n">
        <v>-0.8432686924934387</v>
      </c>
      <c r="L1276" s="3" t="n">
        <v>-0.7813762426376343</v>
      </c>
      <c r="M1276" s="3" t="n">
        <v>-0.7813762426376343</v>
      </c>
      <c r="N1276" s="3" t="n">
        <v>-0.7813762426376343</v>
      </c>
      <c r="O1276" s="3" t="n">
        <v>-0.7813762426376343</v>
      </c>
      <c r="P1276" s="3" t="n">
        <v>-0.7813762426376343</v>
      </c>
      <c r="Q1276" s="3" t="n">
        <v>-0.7813762426376343</v>
      </c>
      <c r="R1276" s="3" t="n">
        <v>-0.7692528963088989</v>
      </c>
      <c r="S1276" s="3" t="n">
        <v>-0.9507654309272766</v>
      </c>
      <c r="T1276" s="3" t="n">
        <v>-0.7080408334732056</v>
      </c>
      <c r="U1276" s="3" t="n">
        <v>-0.8432686924934387</v>
      </c>
      <c r="V1276" s="3" t="n">
        <v>-0.6746967434883118</v>
      </c>
      <c r="W1276" s="3" t="n">
        <v>-0.4712914824485779</v>
      </c>
      <c r="X1276" s="3" t="n">
        <v>-0.9485653042793274</v>
      </c>
      <c r="Y1276" s="3" t="n">
        <v>-0.7813762426376343</v>
      </c>
      <c r="Z1276" s="3" t="n">
        <v>-0.9507654309272766</v>
      </c>
      <c r="AA1276" s="3" t="n">
        <v>-0.9507654309272766</v>
      </c>
      <c r="AB1276" s="3" t="n">
        <v>-0.9485653042793274</v>
      </c>
      <c r="AC1276" s="3" t="n">
        <v>-1.010204315185547</v>
      </c>
      <c r="AD1276" s="3" t="n">
        <v>-0.8432686924934387</v>
      </c>
      <c r="AE1276" s="3" t="n">
        <v>-0.8432686924934387</v>
      </c>
    </row>
    <row r="1277">
      <c r="A1277" s="3" t="inlineStr">
        <is>
          <t>LTU.distn.dec.ove.mean.9</t>
        </is>
      </c>
      <c r="B1277" s="3" t="inlineStr">
        <is>
          <t>LTU</t>
        </is>
      </c>
      <c r="C1277" s="3" t="n">
        <v>2005</v>
      </c>
      <c r="D1277" s="3" t="inlineStr">
        <is>
          <t>Overall</t>
        </is>
      </c>
      <c r="E1277" s="3" t="inlineStr">
        <is>
          <t>Deciles</t>
        </is>
      </c>
      <c r="F1277" s="3" t="inlineStr">
        <is>
          <t>mean</t>
        </is>
      </c>
      <c r="G1277" s="3" t="n">
        <v>9</v>
      </c>
      <c r="H1277" s="3" t="n">
        <v>-0.7813762426376343</v>
      </c>
      <c r="I1277" s="3" t="n">
        <v>-0.7813762426376343</v>
      </c>
      <c r="J1277" s="3" t="n">
        <v>-0.8432686924934387</v>
      </c>
      <c r="K1277" s="3" t="n">
        <v>-0.8432686924934387</v>
      </c>
      <c r="L1277" s="3" t="n">
        <v>-0.7813762426376343</v>
      </c>
      <c r="M1277" s="3" t="n">
        <v>-0.7813762426376343</v>
      </c>
      <c r="N1277" s="3" t="n">
        <v>-0.7813762426376343</v>
      </c>
      <c r="O1277" s="3" t="n">
        <v>-0.7813762426376343</v>
      </c>
      <c r="P1277" s="3" t="n">
        <v>-0.7813762426376343</v>
      </c>
      <c r="Q1277" s="3" t="n">
        <v>-0.7813762426376343</v>
      </c>
      <c r="R1277" s="3" t="n">
        <v>-0.7692528963088989</v>
      </c>
      <c r="S1277" s="3" t="n">
        <v>-0.9507654309272766</v>
      </c>
      <c r="T1277" s="3" t="n">
        <v>-0.7080408334732056</v>
      </c>
      <c r="U1277" s="3" t="n">
        <v>-0.8432686924934387</v>
      </c>
      <c r="V1277" s="3" t="n">
        <v>-0.6746967434883118</v>
      </c>
      <c r="W1277" s="3" t="n">
        <v>-0.4712914824485779</v>
      </c>
      <c r="X1277" s="3" t="n">
        <v>-0.9485653042793274</v>
      </c>
      <c r="Y1277" s="3" t="n">
        <v>-0.7813762426376343</v>
      </c>
      <c r="Z1277" s="3" t="n">
        <v>-0.9507654309272766</v>
      </c>
      <c r="AA1277" s="3" t="n">
        <v>-0.9507654309272766</v>
      </c>
      <c r="AB1277" s="3" t="n">
        <v>-0.9485653042793274</v>
      </c>
      <c r="AC1277" s="3" t="n">
        <v>-1.010204315185547</v>
      </c>
      <c r="AD1277" s="3" t="n">
        <v>-0.8432686924934387</v>
      </c>
      <c r="AE1277" s="3" t="n">
        <v>-0.8432686924934387</v>
      </c>
    </row>
    <row r="1278">
      <c r="A1278" s="3" t="inlineStr">
        <is>
          <t>LTU.distn.dec.ove.mean.10</t>
        </is>
      </c>
      <c r="B1278" s="3" t="inlineStr">
        <is>
          <t>LTU</t>
        </is>
      </c>
      <c r="C1278" s="3" t="n">
        <v>2005</v>
      </c>
      <c r="D1278" s="3" t="inlineStr">
        <is>
          <t>Overall</t>
        </is>
      </c>
      <c r="E1278" s="3" t="inlineStr">
        <is>
          <t>Deciles</t>
        </is>
      </c>
      <c r="F1278" s="3" t="inlineStr">
        <is>
          <t>mean</t>
        </is>
      </c>
      <c r="G1278" s="3" t="n">
        <v>10</v>
      </c>
      <c r="H1278" s="3" t="n">
        <v>-0.7813762426376343</v>
      </c>
      <c r="I1278" s="3" t="n">
        <v>-0.7813762426376343</v>
      </c>
      <c r="J1278" s="3" t="n">
        <v>-0.8432686924934387</v>
      </c>
      <c r="K1278" s="3" t="n">
        <v>-0.8432686924934387</v>
      </c>
      <c r="L1278" s="3" t="n">
        <v>-0.7813762426376343</v>
      </c>
      <c r="M1278" s="3" t="n">
        <v>-0.7813762426376343</v>
      </c>
      <c r="N1278" s="3" t="n">
        <v>-0.7813762426376343</v>
      </c>
      <c r="O1278" s="3" t="n">
        <v>-0.7813762426376343</v>
      </c>
      <c r="P1278" s="3" t="n">
        <v>-0.7813762426376343</v>
      </c>
      <c r="Q1278" s="3" t="n">
        <v>-0.7813762426376343</v>
      </c>
      <c r="R1278" s="3" t="n">
        <v>-0.7692528963088989</v>
      </c>
      <c r="S1278" s="3" t="n">
        <v>-0.9507654309272766</v>
      </c>
      <c r="T1278" s="3" t="n">
        <v>-0.7080408334732056</v>
      </c>
      <c r="U1278" s="3" t="n">
        <v>-0.8432686924934387</v>
      </c>
      <c r="V1278" s="3" t="n">
        <v>-0.6746967434883118</v>
      </c>
      <c r="W1278" s="3" t="n">
        <v>-0.4712914824485779</v>
      </c>
      <c r="X1278" s="3" t="n">
        <v>-0.9485653042793274</v>
      </c>
      <c r="Y1278" s="3" t="n">
        <v>-0.7813762426376343</v>
      </c>
      <c r="Z1278" s="3" t="n">
        <v>-0.9507654309272766</v>
      </c>
      <c r="AA1278" s="3" t="n">
        <v>-0.9507654309272766</v>
      </c>
      <c r="AB1278" s="3" t="n">
        <v>-0.9485653042793274</v>
      </c>
      <c r="AC1278" s="3" t="n">
        <v>-1.010204315185547</v>
      </c>
      <c r="AD1278" s="3" t="n">
        <v>-0.8432686924934387</v>
      </c>
      <c r="AE1278" s="3" t="n">
        <v>-0.8432686924934387</v>
      </c>
    </row>
    <row r="1279">
      <c r="A1279" s="3" t="inlineStr">
        <is>
          <t>LTU.distn.bkt.ove.mean.9999</t>
        </is>
      </c>
      <c r="B1279" s="3" t="inlineStr">
        <is>
          <t>LTU</t>
        </is>
      </c>
      <c r="C1279" s="3" t="n">
        <v>2005</v>
      </c>
      <c r="D1279" s="3" t="inlineStr">
        <is>
          <t>Overall</t>
        </is>
      </c>
      <c r="E1279" s="3" t="inlineStr">
        <is>
          <t>Basket</t>
        </is>
      </c>
      <c r="F1279" s="3" t="inlineStr">
        <is>
          <t>mean</t>
        </is>
      </c>
      <c r="G1279" s="3" t="n">
        <v>9999</v>
      </c>
      <c r="H1279" s="3" t="n">
        <v>-0.7829827666282654</v>
      </c>
      <c r="I1279" s="3" t="n">
        <v>-0.7829827666282654</v>
      </c>
      <c r="J1279" s="3" t="n">
        <v>-0.8544909954071045</v>
      </c>
      <c r="K1279" s="3" t="n">
        <v>-0.8544909954071045</v>
      </c>
      <c r="L1279" s="3" t="n">
        <v>-0.7829827666282654</v>
      </c>
      <c r="M1279" s="3" t="n">
        <v>-0.7829827666282654</v>
      </c>
      <c r="N1279" s="3" t="n">
        <v>-0.7829827666282654</v>
      </c>
      <c r="O1279" s="3" t="n">
        <v>-0.7829827666282654</v>
      </c>
      <c r="P1279" s="3" t="n">
        <v>-0.7829827666282654</v>
      </c>
      <c r="Q1279" s="3" t="n">
        <v>-0.7829827666282654</v>
      </c>
      <c r="R1279" s="3" t="n">
        <v>-0.7701157331466675</v>
      </c>
      <c r="S1279" s="3" t="n">
        <v>-1.076939940452576</v>
      </c>
      <c r="T1279" s="3" t="n">
        <v>-0.708448052406311</v>
      </c>
      <c r="U1279" s="3" t="n">
        <v>-0.8544909954071045</v>
      </c>
      <c r="V1279" s="3" t="n">
        <v>-0.6762862801551819</v>
      </c>
      <c r="W1279" s="3" t="n">
        <v>-0.4886031746864319</v>
      </c>
      <c r="X1279" s="3" t="n">
        <v>-1.060153007507324</v>
      </c>
      <c r="Y1279" s="3" t="n">
        <v>-0.7829827666282654</v>
      </c>
      <c r="Z1279" s="3" t="n">
        <v>-1.076939940452576</v>
      </c>
      <c r="AA1279" s="3" t="n">
        <v>-1.076939940452576</v>
      </c>
      <c r="AB1279" s="3" t="n">
        <v>-1.060153007507324</v>
      </c>
      <c r="AC1279" s="3" t="n">
        <v>-1.320194005966187</v>
      </c>
      <c r="AD1279" s="3" t="n">
        <v>-0.8544909954071045</v>
      </c>
      <c r="AE1279" s="3" t="n">
        <v>-0.8544909954071045</v>
      </c>
    </row>
    <row r="1280">
      <c r="A1280" s="3" t="inlineStr">
        <is>
          <t>LUX.distn.dec.ove.mean.1</t>
        </is>
      </c>
      <c r="B1280" s="3" t="inlineStr">
        <is>
          <t>LUX</t>
        </is>
      </c>
      <c r="C1280" s="3" t="n">
        <v>2005</v>
      </c>
      <c r="D1280" s="3" t="inlineStr">
        <is>
          <t>Overall</t>
        </is>
      </c>
      <c r="E1280" s="3" t="inlineStr">
        <is>
          <t>Deciles</t>
        </is>
      </c>
      <c r="F1280" s="3" t="inlineStr">
        <is>
          <t>mean</t>
        </is>
      </c>
      <c r="G1280" s="3" t="n">
        <v>1</v>
      </c>
      <c r="H1280" s="3" t="n">
        <v>-0.7872329354286194</v>
      </c>
      <c r="I1280" s="3" t="n">
        <v>-0.7872329354286194</v>
      </c>
      <c r="J1280" s="3" t="n">
        <v>-0.8837013244628906</v>
      </c>
      <c r="K1280" s="3" t="n">
        <v>-0.8837013244628906</v>
      </c>
      <c r="L1280" s="3" t="n">
        <v>-0.7872329354286194</v>
      </c>
      <c r="M1280" s="3" t="n">
        <v>-0.7872329354286194</v>
      </c>
      <c r="N1280" s="3" t="n">
        <v>-0.7872329354286194</v>
      </c>
      <c r="O1280" s="3" t="n">
        <v>-0.7872329354286194</v>
      </c>
      <c r="P1280" s="3" t="n">
        <v>-0.7872329354286194</v>
      </c>
      <c r="Q1280" s="3" t="n">
        <v>-0.7872329354286194</v>
      </c>
      <c r="R1280" s="3" t="n">
        <v>-0.772466242313385</v>
      </c>
      <c r="S1280" s="3" t="n">
        <v>-1.383034229278564</v>
      </c>
      <c r="T1280" s="3" t="n">
        <v>-0.7094525694847107</v>
      </c>
      <c r="U1280" s="3" t="n">
        <v>-0.8837013244628906</v>
      </c>
      <c r="V1280" s="3" t="n">
        <v>-0.6809241771697998</v>
      </c>
      <c r="W1280" s="3" t="n">
        <v>-0.5453857779502869</v>
      </c>
      <c r="X1280" s="3" t="n">
        <v>-1.331944584846497</v>
      </c>
      <c r="Y1280" s="3" t="n">
        <v>-0.7872329354286194</v>
      </c>
      <c r="Z1280" s="3" t="n">
        <v>-1.383034229278564</v>
      </c>
      <c r="AA1280" s="3" t="n">
        <v>-1.383034229278564</v>
      </c>
      <c r="AB1280" s="3" t="n">
        <v>-1.331944584846497</v>
      </c>
      <c r="AC1280" s="3" t="n">
        <v>-2.062442302703857</v>
      </c>
      <c r="AD1280" s="3" t="n">
        <v>-0.8837013244628906</v>
      </c>
      <c r="AE1280" s="3" t="n">
        <v>-0.8837013244628906</v>
      </c>
    </row>
    <row r="1281">
      <c r="A1281" s="3" t="inlineStr">
        <is>
          <t>LUX.distn.dec.ove.mean.2</t>
        </is>
      </c>
      <c r="B1281" s="3" t="inlineStr">
        <is>
          <t>LUX</t>
        </is>
      </c>
      <c r="C1281" s="3" t="n">
        <v>2005</v>
      </c>
      <c r="D1281" s="3" t="inlineStr">
        <is>
          <t>Overall</t>
        </is>
      </c>
      <c r="E1281" s="3" t="inlineStr">
        <is>
          <t>Deciles</t>
        </is>
      </c>
      <c r="F1281" s="3" t="inlineStr">
        <is>
          <t>mean</t>
        </is>
      </c>
      <c r="G1281" s="3" t="n">
        <v>2</v>
      </c>
      <c r="H1281" s="3" t="n">
        <v>-0.7872329354286194</v>
      </c>
      <c r="I1281" s="3" t="n">
        <v>-0.7872329354286194</v>
      </c>
      <c r="J1281" s="3" t="n">
        <v>-0.8837013244628906</v>
      </c>
      <c r="K1281" s="3" t="n">
        <v>-0.8837013244628906</v>
      </c>
      <c r="L1281" s="3" t="n">
        <v>-0.7872329354286194</v>
      </c>
      <c r="M1281" s="3" t="n">
        <v>-0.7872329354286194</v>
      </c>
      <c r="N1281" s="3" t="n">
        <v>-0.7872329354286194</v>
      </c>
      <c r="O1281" s="3" t="n">
        <v>-0.7872329354286194</v>
      </c>
      <c r="P1281" s="3" t="n">
        <v>-0.7872329354286194</v>
      </c>
      <c r="Q1281" s="3" t="n">
        <v>-0.7872329354286194</v>
      </c>
      <c r="R1281" s="3" t="n">
        <v>-0.772466242313385</v>
      </c>
      <c r="S1281" s="3" t="n">
        <v>-1.383034229278564</v>
      </c>
      <c r="T1281" s="3" t="n">
        <v>-0.7094525694847107</v>
      </c>
      <c r="U1281" s="3" t="n">
        <v>-0.8837013244628906</v>
      </c>
      <c r="V1281" s="3" t="n">
        <v>-0.6809241771697998</v>
      </c>
      <c r="W1281" s="3" t="n">
        <v>-0.5453857779502869</v>
      </c>
      <c r="X1281" s="3" t="n">
        <v>-1.331944584846497</v>
      </c>
      <c r="Y1281" s="3" t="n">
        <v>-0.7872329354286194</v>
      </c>
      <c r="Z1281" s="3" t="n">
        <v>-1.383034229278564</v>
      </c>
      <c r="AA1281" s="3" t="n">
        <v>-1.383034229278564</v>
      </c>
      <c r="AB1281" s="3" t="n">
        <v>-1.331944584846497</v>
      </c>
      <c r="AC1281" s="3" t="n">
        <v>-2.062442302703857</v>
      </c>
      <c r="AD1281" s="3" t="n">
        <v>-0.8837013244628906</v>
      </c>
      <c r="AE1281" s="3" t="n">
        <v>-0.8837013244628906</v>
      </c>
    </row>
    <row r="1282">
      <c r="A1282" s="3" t="inlineStr">
        <is>
          <t>LUX.distn.dec.ove.mean.3</t>
        </is>
      </c>
      <c r="B1282" s="3" t="inlineStr">
        <is>
          <t>LUX</t>
        </is>
      </c>
      <c r="C1282" s="3" t="n">
        <v>2005</v>
      </c>
      <c r="D1282" s="3" t="inlineStr">
        <is>
          <t>Overall</t>
        </is>
      </c>
      <c r="E1282" s="3" t="inlineStr">
        <is>
          <t>Deciles</t>
        </is>
      </c>
      <c r="F1282" s="3" t="inlineStr">
        <is>
          <t>mean</t>
        </is>
      </c>
      <c r="G1282" s="3" t="n">
        <v>3</v>
      </c>
      <c r="H1282" s="3" t="n">
        <v>-0.7872329354286194</v>
      </c>
      <c r="I1282" s="3" t="n">
        <v>-0.7872329354286194</v>
      </c>
      <c r="J1282" s="3" t="n">
        <v>-0.8837013244628906</v>
      </c>
      <c r="K1282" s="3" t="n">
        <v>-0.8837013244628906</v>
      </c>
      <c r="L1282" s="3" t="n">
        <v>-0.7872329354286194</v>
      </c>
      <c r="M1282" s="3" t="n">
        <v>-0.7872329354286194</v>
      </c>
      <c r="N1282" s="3" t="n">
        <v>-0.7872329354286194</v>
      </c>
      <c r="O1282" s="3" t="n">
        <v>-0.7872329354286194</v>
      </c>
      <c r="P1282" s="3" t="n">
        <v>-0.7872329354286194</v>
      </c>
      <c r="Q1282" s="3" t="n">
        <v>-0.7872329354286194</v>
      </c>
      <c r="R1282" s="3" t="n">
        <v>-0.772466242313385</v>
      </c>
      <c r="S1282" s="3" t="n">
        <v>-1.383034229278564</v>
      </c>
      <c r="T1282" s="3" t="n">
        <v>-0.7094525694847107</v>
      </c>
      <c r="U1282" s="3" t="n">
        <v>-0.8837013244628906</v>
      </c>
      <c r="V1282" s="3" t="n">
        <v>-0.6809241771697998</v>
      </c>
      <c r="W1282" s="3" t="n">
        <v>-0.5453857779502869</v>
      </c>
      <c r="X1282" s="3" t="n">
        <v>-1.331944584846497</v>
      </c>
      <c r="Y1282" s="3" t="n">
        <v>-0.7872329354286194</v>
      </c>
      <c r="Z1282" s="3" t="n">
        <v>-1.383034229278564</v>
      </c>
      <c r="AA1282" s="3" t="n">
        <v>-1.383034229278564</v>
      </c>
      <c r="AB1282" s="3" t="n">
        <v>-1.331944584846497</v>
      </c>
      <c r="AC1282" s="3" t="n">
        <v>-2.062442302703857</v>
      </c>
      <c r="AD1282" s="3" t="n">
        <v>-0.8837013244628906</v>
      </c>
      <c r="AE1282" s="3" t="n">
        <v>-0.8837013244628906</v>
      </c>
    </row>
    <row r="1283">
      <c r="A1283" s="3" t="inlineStr">
        <is>
          <t>LUX.distn.dec.ove.mean.4</t>
        </is>
      </c>
      <c r="B1283" s="3" t="inlineStr">
        <is>
          <t>LUX</t>
        </is>
      </c>
      <c r="C1283" s="3" t="n">
        <v>2005</v>
      </c>
      <c r="D1283" s="3" t="inlineStr">
        <is>
          <t>Overall</t>
        </is>
      </c>
      <c r="E1283" s="3" t="inlineStr">
        <is>
          <t>Deciles</t>
        </is>
      </c>
      <c r="F1283" s="3" t="inlineStr">
        <is>
          <t>mean</t>
        </is>
      </c>
      <c r="G1283" s="3" t="n">
        <v>4</v>
      </c>
      <c r="H1283" s="3" t="n">
        <v>-0.781000018119812</v>
      </c>
      <c r="I1283" s="3" t="n">
        <v>-0.781000018119812</v>
      </c>
      <c r="J1283" s="3" t="n">
        <v>-0.8410000205039978</v>
      </c>
      <c r="K1283" s="3" t="n">
        <v>-0.8410000205039978</v>
      </c>
      <c r="L1283" s="3" t="n">
        <v>-0.781000018119812</v>
      </c>
      <c r="M1283" s="3" t="n">
        <v>-0.781000018119812</v>
      </c>
      <c r="N1283" s="3" t="n">
        <v>-0.781000018119812</v>
      </c>
      <c r="O1283" s="3" t="n">
        <v>-0.781000018119812</v>
      </c>
      <c r="P1283" s="3" t="n">
        <v>-0.781000018119812</v>
      </c>
      <c r="Q1283" s="3" t="n">
        <v>-0.781000018119812</v>
      </c>
      <c r="R1283" s="3" t="n">
        <v>-0.7689999938011169</v>
      </c>
      <c r="S1283" s="3" t="n">
        <v>-0.9419999718666077</v>
      </c>
      <c r="T1283" s="3" t="n">
        <v>-0.7080000042915344</v>
      </c>
      <c r="U1283" s="3" t="n">
        <v>-0.8410000205039978</v>
      </c>
      <c r="V1283" s="3" t="n">
        <v>-0.6740000247955322</v>
      </c>
      <c r="W1283" s="3" t="n">
        <v>-0.4589999914169312</v>
      </c>
      <c r="X1283" s="3" t="n">
        <v>-0.9399999976158142</v>
      </c>
      <c r="Y1283" s="3" t="n">
        <v>-0.781000018119812</v>
      </c>
      <c r="Z1283" s="3" t="n">
        <v>-0.9419999718666077</v>
      </c>
      <c r="AA1283" s="3" t="n">
        <v>-0.9419999718666077</v>
      </c>
      <c r="AB1283" s="3" t="n">
        <v>-0.9399999976158142</v>
      </c>
      <c r="AC1283" s="3" t="n">
        <v>-0.9959999918937683</v>
      </c>
      <c r="AD1283" s="3" t="n">
        <v>-0.8410000205039978</v>
      </c>
      <c r="AE1283" s="3" t="n">
        <v>-0.8410000205039978</v>
      </c>
    </row>
    <row r="1284">
      <c r="A1284" s="3" t="inlineStr">
        <is>
          <t>LUX.distn.dec.ove.mean.5</t>
        </is>
      </c>
      <c r="B1284" s="3" t="inlineStr">
        <is>
          <t>LUX</t>
        </is>
      </c>
      <c r="C1284" s="3" t="n">
        <v>2005</v>
      </c>
      <c r="D1284" s="3" t="inlineStr">
        <is>
          <t>Overall</t>
        </is>
      </c>
      <c r="E1284" s="3" t="inlineStr">
        <is>
          <t>Deciles</t>
        </is>
      </c>
      <c r="F1284" s="3" t="inlineStr">
        <is>
          <t>mean</t>
        </is>
      </c>
      <c r="G1284" s="3" t="n">
        <v>5</v>
      </c>
      <c r="H1284" s="3" t="n">
        <v>-0.781000018119812</v>
      </c>
      <c r="I1284" s="3" t="n">
        <v>-0.781000018119812</v>
      </c>
      <c r="J1284" s="3" t="n">
        <v>-0.8410000205039978</v>
      </c>
      <c r="K1284" s="3" t="n">
        <v>-0.8410000205039978</v>
      </c>
      <c r="L1284" s="3" t="n">
        <v>-0.781000018119812</v>
      </c>
      <c r="M1284" s="3" t="n">
        <v>-0.781000018119812</v>
      </c>
      <c r="N1284" s="3" t="n">
        <v>-0.781000018119812</v>
      </c>
      <c r="O1284" s="3" t="n">
        <v>-0.781000018119812</v>
      </c>
      <c r="P1284" s="3" t="n">
        <v>-0.781000018119812</v>
      </c>
      <c r="Q1284" s="3" t="n">
        <v>-0.781000018119812</v>
      </c>
      <c r="R1284" s="3" t="n">
        <v>-0.7689999938011169</v>
      </c>
      <c r="S1284" s="3" t="n">
        <v>-0.9419999718666077</v>
      </c>
      <c r="T1284" s="3" t="n">
        <v>-0.7080000042915344</v>
      </c>
      <c r="U1284" s="3" t="n">
        <v>-0.8410000205039978</v>
      </c>
      <c r="V1284" s="3" t="n">
        <v>-0.6740000247955322</v>
      </c>
      <c r="W1284" s="3" t="n">
        <v>-0.4589999914169312</v>
      </c>
      <c r="X1284" s="3" t="n">
        <v>-0.9399999976158142</v>
      </c>
      <c r="Y1284" s="3" t="n">
        <v>-0.781000018119812</v>
      </c>
      <c r="Z1284" s="3" t="n">
        <v>-0.9419999718666077</v>
      </c>
      <c r="AA1284" s="3" t="n">
        <v>-0.9419999718666077</v>
      </c>
      <c r="AB1284" s="3" t="n">
        <v>-0.9399999976158142</v>
      </c>
      <c r="AC1284" s="3" t="n">
        <v>-0.9959999918937683</v>
      </c>
      <c r="AD1284" s="3" t="n">
        <v>-0.8410000205039978</v>
      </c>
      <c r="AE1284" s="3" t="n">
        <v>-0.8410000205039978</v>
      </c>
    </row>
    <row r="1285">
      <c r="A1285" s="3" t="inlineStr">
        <is>
          <t>LUX.distn.dec.ove.mean.6</t>
        </is>
      </c>
      <c r="B1285" s="3" t="inlineStr">
        <is>
          <t>LUX</t>
        </is>
      </c>
      <c r="C1285" s="3" t="n">
        <v>2005</v>
      </c>
      <c r="D1285" s="3" t="inlineStr">
        <is>
          <t>Overall</t>
        </is>
      </c>
      <c r="E1285" s="3" t="inlineStr">
        <is>
          <t>Deciles</t>
        </is>
      </c>
      <c r="F1285" s="3" t="inlineStr">
        <is>
          <t>mean</t>
        </is>
      </c>
      <c r="G1285" s="3" t="n">
        <v>6</v>
      </c>
      <c r="H1285" s="3" t="n">
        <v>-0.781000018119812</v>
      </c>
      <c r="I1285" s="3" t="n">
        <v>-0.781000018119812</v>
      </c>
      <c r="J1285" s="3" t="n">
        <v>-0.8410000205039978</v>
      </c>
      <c r="K1285" s="3" t="n">
        <v>-0.8410000205039978</v>
      </c>
      <c r="L1285" s="3" t="n">
        <v>-0.781000018119812</v>
      </c>
      <c r="M1285" s="3" t="n">
        <v>-0.781000018119812</v>
      </c>
      <c r="N1285" s="3" t="n">
        <v>-0.781000018119812</v>
      </c>
      <c r="O1285" s="3" t="n">
        <v>-0.781000018119812</v>
      </c>
      <c r="P1285" s="3" t="n">
        <v>-0.781000018119812</v>
      </c>
      <c r="Q1285" s="3" t="n">
        <v>-0.781000018119812</v>
      </c>
      <c r="R1285" s="3" t="n">
        <v>-0.7689999938011169</v>
      </c>
      <c r="S1285" s="3" t="n">
        <v>-0.9419999718666077</v>
      </c>
      <c r="T1285" s="3" t="n">
        <v>-0.7080000042915344</v>
      </c>
      <c r="U1285" s="3" t="n">
        <v>-0.8410000205039978</v>
      </c>
      <c r="V1285" s="3" t="n">
        <v>-0.6740000247955322</v>
      </c>
      <c r="W1285" s="3" t="n">
        <v>-0.4589999914169312</v>
      </c>
      <c r="X1285" s="3" t="n">
        <v>-0.9399999976158142</v>
      </c>
      <c r="Y1285" s="3" t="n">
        <v>-0.781000018119812</v>
      </c>
      <c r="Z1285" s="3" t="n">
        <v>-0.9419999718666077</v>
      </c>
      <c r="AA1285" s="3" t="n">
        <v>-0.9419999718666077</v>
      </c>
      <c r="AB1285" s="3" t="n">
        <v>-0.9399999976158142</v>
      </c>
      <c r="AC1285" s="3" t="n">
        <v>-0.9959999918937683</v>
      </c>
      <c r="AD1285" s="3" t="n">
        <v>-0.8410000205039978</v>
      </c>
      <c r="AE1285" s="3" t="n">
        <v>-0.8410000205039978</v>
      </c>
    </row>
    <row r="1286">
      <c r="A1286" s="3" t="inlineStr">
        <is>
          <t>LUX.distn.dec.ove.mean.7</t>
        </is>
      </c>
      <c r="B1286" s="3" t="inlineStr">
        <is>
          <t>LUX</t>
        </is>
      </c>
      <c r="C1286" s="3" t="n">
        <v>2005</v>
      </c>
      <c r="D1286" s="3" t="inlineStr">
        <is>
          <t>Overall</t>
        </is>
      </c>
      <c r="E1286" s="3" t="inlineStr">
        <is>
          <t>Deciles</t>
        </is>
      </c>
      <c r="F1286" s="3" t="inlineStr">
        <is>
          <t>mean</t>
        </is>
      </c>
      <c r="G1286" s="3" t="n">
        <v>7</v>
      </c>
      <c r="H1286" s="3" t="n">
        <v>-0.781000018119812</v>
      </c>
      <c r="I1286" s="3" t="n">
        <v>-0.781000018119812</v>
      </c>
      <c r="J1286" s="3" t="n">
        <v>-0.8410000205039978</v>
      </c>
      <c r="K1286" s="3" t="n">
        <v>-0.8410000205039978</v>
      </c>
      <c r="L1286" s="3" t="n">
        <v>-0.781000018119812</v>
      </c>
      <c r="M1286" s="3" t="n">
        <v>-0.781000018119812</v>
      </c>
      <c r="N1286" s="3" t="n">
        <v>-0.781000018119812</v>
      </c>
      <c r="O1286" s="3" t="n">
        <v>-0.781000018119812</v>
      </c>
      <c r="P1286" s="3" t="n">
        <v>-0.781000018119812</v>
      </c>
      <c r="Q1286" s="3" t="n">
        <v>-0.781000018119812</v>
      </c>
      <c r="R1286" s="3" t="n">
        <v>-0.7689999938011169</v>
      </c>
      <c r="S1286" s="3" t="n">
        <v>-0.9419999718666077</v>
      </c>
      <c r="T1286" s="3" t="n">
        <v>-0.7080000042915344</v>
      </c>
      <c r="U1286" s="3" t="n">
        <v>-0.8410000205039978</v>
      </c>
      <c r="V1286" s="3" t="n">
        <v>-0.6740000247955322</v>
      </c>
      <c r="W1286" s="3" t="n">
        <v>-0.4589999914169312</v>
      </c>
      <c r="X1286" s="3" t="n">
        <v>-0.9399999976158142</v>
      </c>
      <c r="Y1286" s="3" t="n">
        <v>-0.781000018119812</v>
      </c>
      <c r="Z1286" s="3" t="n">
        <v>-0.9419999718666077</v>
      </c>
      <c r="AA1286" s="3" t="n">
        <v>-0.9419999718666077</v>
      </c>
      <c r="AB1286" s="3" t="n">
        <v>-0.9399999976158142</v>
      </c>
      <c r="AC1286" s="3" t="n">
        <v>-0.9959999918937683</v>
      </c>
      <c r="AD1286" s="3" t="n">
        <v>-0.8410000205039978</v>
      </c>
      <c r="AE1286" s="3" t="n">
        <v>-0.8410000205039978</v>
      </c>
    </row>
    <row r="1287">
      <c r="A1287" s="3" t="inlineStr">
        <is>
          <t>LUX.distn.dec.ove.mean.8</t>
        </is>
      </c>
      <c r="B1287" s="3" t="inlineStr">
        <is>
          <t>LUX</t>
        </is>
      </c>
      <c r="C1287" s="3" t="n">
        <v>2005</v>
      </c>
      <c r="D1287" s="3" t="inlineStr">
        <is>
          <t>Overall</t>
        </is>
      </c>
      <c r="E1287" s="3" t="inlineStr">
        <is>
          <t>Deciles</t>
        </is>
      </c>
      <c r="F1287" s="3" t="inlineStr">
        <is>
          <t>mean</t>
        </is>
      </c>
      <c r="G1287" s="3" t="n">
        <v>8</v>
      </c>
      <c r="H1287" s="3" t="n">
        <v>-0.7813762426376343</v>
      </c>
      <c r="I1287" s="3" t="n">
        <v>-0.7813762426376343</v>
      </c>
      <c r="J1287" s="3" t="n">
        <v>-0.8432686924934387</v>
      </c>
      <c r="K1287" s="3" t="n">
        <v>-0.8432686924934387</v>
      </c>
      <c r="L1287" s="3" t="n">
        <v>-0.7813762426376343</v>
      </c>
      <c r="M1287" s="3" t="n">
        <v>-0.7813762426376343</v>
      </c>
      <c r="N1287" s="3" t="n">
        <v>-0.7813762426376343</v>
      </c>
      <c r="O1287" s="3" t="n">
        <v>-0.7813762426376343</v>
      </c>
      <c r="P1287" s="3" t="n">
        <v>-0.7813762426376343</v>
      </c>
      <c r="Q1287" s="3" t="n">
        <v>-0.7813762426376343</v>
      </c>
      <c r="R1287" s="3" t="n">
        <v>-0.7692528963088989</v>
      </c>
      <c r="S1287" s="3" t="n">
        <v>-0.9507654309272766</v>
      </c>
      <c r="T1287" s="3" t="n">
        <v>-0.7080408334732056</v>
      </c>
      <c r="U1287" s="3" t="n">
        <v>-0.8432686924934387</v>
      </c>
      <c r="V1287" s="3" t="n">
        <v>-0.6746967434883118</v>
      </c>
      <c r="W1287" s="3" t="n">
        <v>-0.4712914824485779</v>
      </c>
      <c r="X1287" s="3" t="n">
        <v>-0.9485653042793274</v>
      </c>
      <c r="Y1287" s="3" t="n">
        <v>-0.7813762426376343</v>
      </c>
      <c r="Z1287" s="3" t="n">
        <v>-0.9507654309272766</v>
      </c>
      <c r="AA1287" s="3" t="n">
        <v>-0.9507654309272766</v>
      </c>
      <c r="AB1287" s="3" t="n">
        <v>-0.9485653042793274</v>
      </c>
      <c r="AC1287" s="3" t="n">
        <v>-1.010204315185547</v>
      </c>
      <c r="AD1287" s="3" t="n">
        <v>-0.8432686924934387</v>
      </c>
      <c r="AE1287" s="3" t="n">
        <v>-0.8432686924934387</v>
      </c>
    </row>
    <row r="1288">
      <c r="A1288" s="3" t="inlineStr">
        <is>
          <t>LUX.distn.dec.ove.mean.9</t>
        </is>
      </c>
      <c r="B1288" s="3" t="inlineStr">
        <is>
          <t>LUX</t>
        </is>
      </c>
      <c r="C1288" s="3" t="n">
        <v>2005</v>
      </c>
      <c r="D1288" s="3" t="inlineStr">
        <is>
          <t>Overall</t>
        </is>
      </c>
      <c r="E1288" s="3" t="inlineStr">
        <is>
          <t>Deciles</t>
        </is>
      </c>
      <c r="F1288" s="3" t="inlineStr">
        <is>
          <t>mean</t>
        </is>
      </c>
      <c r="G1288" s="3" t="n">
        <v>9</v>
      </c>
      <c r="H1288" s="3" t="n">
        <v>-0.7813762426376343</v>
      </c>
      <c r="I1288" s="3" t="n">
        <v>-0.7813762426376343</v>
      </c>
      <c r="J1288" s="3" t="n">
        <v>-0.8432686924934387</v>
      </c>
      <c r="K1288" s="3" t="n">
        <v>-0.8432686924934387</v>
      </c>
      <c r="L1288" s="3" t="n">
        <v>-0.7813762426376343</v>
      </c>
      <c r="M1288" s="3" t="n">
        <v>-0.7813762426376343</v>
      </c>
      <c r="N1288" s="3" t="n">
        <v>-0.7813762426376343</v>
      </c>
      <c r="O1288" s="3" t="n">
        <v>-0.7813762426376343</v>
      </c>
      <c r="P1288" s="3" t="n">
        <v>-0.7813762426376343</v>
      </c>
      <c r="Q1288" s="3" t="n">
        <v>-0.7813762426376343</v>
      </c>
      <c r="R1288" s="3" t="n">
        <v>-0.7692528963088989</v>
      </c>
      <c r="S1288" s="3" t="n">
        <v>-0.9507654309272766</v>
      </c>
      <c r="T1288" s="3" t="n">
        <v>-0.7080408334732056</v>
      </c>
      <c r="U1288" s="3" t="n">
        <v>-0.8432686924934387</v>
      </c>
      <c r="V1288" s="3" t="n">
        <v>-0.6746967434883118</v>
      </c>
      <c r="W1288" s="3" t="n">
        <v>-0.4712914824485779</v>
      </c>
      <c r="X1288" s="3" t="n">
        <v>-0.9485653042793274</v>
      </c>
      <c r="Y1288" s="3" t="n">
        <v>-0.7813762426376343</v>
      </c>
      <c r="Z1288" s="3" t="n">
        <v>-0.9507654309272766</v>
      </c>
      <c r="AA1288" s="3" t="n">
        <v>-0.9507654309272766</v>
      </c>
      <c r="AB1288" s="3" t="n">
        <v>-0.9485653042793274</v>
      </c>
      <c r="AC1288" s="3" t="n">
        <v>-1.010204315185547</v>
      </c>
      <c r="AD1288" s="3" t="n">
        <v>-0.8432686924934387</v>
      </c>
      <c r="AE1288" s="3" t="n">
        <v>-0.8432686924934387</v>
      </c>
    </row>
    <row r="1289">
      <c r="A1289" s="3" t="inlineStr">
        <is>
          <t>LUX.distn.dec.ove.mean.10</t>
        </is>
      </c>
      <c r="B1289" s="3" t="inlineStr">
        <is>
          <t>LUX</t>
        </is>
      </c>
      <c r="C1289" s="3" t="n">
        <v>2005</v>
      </c>
      <c r="D1289" s="3" t="inlineStr">
        <is>
          <t>Overall</t>
        </is>
      </c>
      <c r="E1289" s="3" t="inlineStr">
        <is>
          <t>Deciles</t>
        </is>
      </c>
      <c r="F1289" s="3" t="inlineStr">
        <is>
          <t>mean</t>
        </is>
      </c>
      <c r="G1289" s="3" t="n">
        <v>10</v>
      </c>
      <c r="H1289" s="3" t="n">
        <v>-0.7813762426376343</v>
      </c>
      <c r="I1289" s="3" t="n">
        <v>-0.7813762426376343</v>
      </c>
      <c r="J1289" s="3" t="n">
        <v>-0.8432686924934387</v>
      </c>
      <c r="K1289" s="3" t="n">
        <v>-0.8432686924934387</v>
      </c>
      <c r="L1289" s="3" t="n">
        <v>-0.7813762426376343</v>
      </c>
      <c r="M1289" s="3" t="n">
        <v>-0.7813762426376343</v>
      </c>
      <c r="N1289" s="3" t="n">
        <v>-0.7813762426376343</v>
      </c>
      <c r="O1289" s="3" t="n">
        <v>-0.7813762426376343</v>
      </c>
      <c r="P1289" s="3" t="n">
        <v>-0.7813762426376343</v>
      </c>
      <c r="Q1289" s="3" t="n">
        <v>-0.7813762426376343</v>
      </c>
      <c r="R1289" s="3" t="n">
        <v>-0.7692528963088989</v>
      </c>
      <c r="S1289" s="3" t="n">
        <v>-0.9507654309272766</v>
      </c>
      <c r="T1289" s="3" t="n">
        <v>-0.7080408334732056</v>
      </c>
      <c r="U1289" s="3" t="n">
        <v>-0.8432686924934387</v>
      </c>
      <c r="V1289" s="3" t="n">
        <v>-0.6746967434883118</v>
      </c>
      <c r="W1289" s="3" t="n">
        <v>-0.4712914824485779</v>
      </c>
      <c r="X1289" s="3" t="n">
        <v>-0.9485653042793274</v>
      </c>
      <c r="Y1289" s="3" t="n">
        <v>-0.7813762426376343</v>
      </c>
      <c r="Z1289" s="3" t="n">
        <v>-0.9507654309272766</v>
      </c>
      <c r="AA1289" s="3" t="n">
        <v>-0.9507654309272766</v>
      </c>
      <c r="AB1289" s="3" t="n">
        <v>-0.9485653042793274</v>
      </c>
      <c r="AC1289" s="3" t="n">
        <v>-1.010204315185547</v>
      </c>
      <c r="AD1289" s="3" t="n">
        <v>-0.8432686924934387</v>
      </c>
      <c r="AE1289" s="3" t="n">
        <v>-0.8432686924934387</v>
      </c>
    </row>
    <row r="1290">
      <c r="A1290" s="3" t="inlineStr">
        <is>
          <t>LUX.distn.bkt.ove.mean.9999</t>
        </is>
      </c>
      <c r="B1290" s="3" t="inlineStr">
        <is>
          <t>LUX</t>
        </is>
      </c>
      <c r="C1290" s="3" t="n">
        <v>2005</v>
      </c>
      <c r="D1290" s="3" t="inlineStr">
        <is>
          <t>Overall</t>
        </is>
      </c>
      <c r="E1290" s="3" t="inlineStr">
        <is>
          <t>Basket</t>
        </is>
      </c>
      <c r="F1290" s="3" t="inlineStr">
        <is>
          <t>mean</t>
        </is>
      </c>
      <c r="G1290" s="3" t="n">
        <v>9999</v>
      </c>
      <c r="H1290" s="3" t="n">
        <v>-0.7829827666282654</v>
      </c>
      <c r="I1290" s="3" t="n">
        <v>-0.7829827666282654</v>
      </c>
      <c r="J1290" s="3" t="n">
        <v>-0.8544909954071045</v>
      </c>
      <c r="K1290" s="3" t="n">
        <v>-0.8544909954071045</v>
      </c>
      <c r="L1290" s="3" t="n">
        <v>-0.7829827666282654</v>
      </c>
      <c r="M1290" s="3" t="n">
        <v>-0.7829827666282654</v>
      </c>
      <c r="N1290" s="3" t="n">
        <v>-0.7829827666282654</v>
      </c>
      <c r="O1290" s="3" t="n">
        <v>-0.7829827666282654</v>
      </c>
      <c r="P1290" s="3" t="n">
        <v>-0.7829827666282654</v>
      </c>
      <c r="Q1290" s="3" t="n">
        <v>-0.7829827666282654</v>
      </c>
      <c r="R1290" s="3" t="n">
        <v>-0.7701157331466675</v>
      </c>
      <c r="S1290" s="3" t="n">
        <v>-1.076939940452576</v>
      </c>
      <c r="T1290" s="3" t="n">
        <v>-0.708448052406311</v>
      </c>
      <c r="U1290" s="3" t="n">
        <v>-0.8544909954071045</v>
      </c>
      <c r="V1290" s="3" t="n">
        <v>-0.6762862801551819</v>
      </c>
      <c r="W1290" s="3" t="n">
        <v>-0.4886031746864319</v>
      </c>
      <c r="X1290" s="3" t="n">
        <v>-1.060153007507324</v>
      </c>
      <c r="Y1290" s="3" t="n">
        <v>-0.7829827666282654</v>
      </c>
      <c r="Z1290" s="3" t="n">
        <v>-1.076939940452576</v>
      </c>
      <c r="AA1290" s="3" t="n">
        <v>-1.076939940452576</v>
      </c>
      <c r="AB1290" s="3" t="n">
        <v>-1.060153007507324</v>
      </c>
      <c r="AC1290" s="3" t="n">
        <v>-1.320194005966187</v>
      </c>
      <c r="AD1290" s="3" t="n">
        <v>-0.8544909954071045</v>
      </c>
      <c r="AE1290" s="3" t="n">
        <v>-0.8544909954071045</v>
      </c>
    </row>
    <row r="1291">
      <c r="A1291" s="3" t="inlineStr">
        <is>
          <t>LVA.distn.dec.ove.mean.1</t>
        </is>
      </c>
      <c r="B1291" s="3" t="inlineStr">
        <is>
          <t>LVA</t>
        </is>
      </c>
      <c r="C1291" s="3" t="n">
        <v>2005</v>
      </c>
      <c r="D1291" s="3" t="inlineStr">
        <is>
          <t>Overall</t>
        </is>
      </c>
      <c r="E1291" s="3" t="inlineStr">
        <is>
          <t>Deciles</t>
        </is>
      </c>
      <c r="F1291" s="3" t="inlineStr">
        <is>
          <t>mean</t>
        </is>
      </c>
      <c r="G1291" s="3" t="n">
        <v>1</v>
      </c>
      <c r="H1291" s="3" t="n">
        <v>-0.7872329354286194</v>
      </c>
      <c r="I1291" s="3" t="n">
        <v>-0.7872329354286194</v>
      </c>
      <c r="J1291" s="3" t="n">
        <v>-0.8868536353111267</v>
      </c>
      <c r="K1291" s="3" t="n">
        <v>-0.8868536353111267</v>
      </c>
      <c r="L1291" s="3" t="n">
        <v>-0.7872329354286194</v>
      </c>
      <c r="M1291" s="3" t="n">
        <v>-0.7872329354286194</v>
      </c>
      <c r="N1291" s="3" t="n">
        <v>-0.7872329354286194</v>
      </c>
      <c r="O1291" s="3" t="n">
        <v>-0.7872329354286194</v>
      </c>
      <c r="P1291" s="3" t="n">
        <v>-0.7872329354286194</v>
      </c>
      <c r="Q1291" s="3" t="n">
        <v>-0.7872329354286194</v>
      </c>
      <c r="R1291" s="3" t="n">
        <v>-0.7734707593917847</v>
      </c>
      <c r="S1291" s="3" t="n">
        <v>-1.397716164588928</v>
      </c>
      <c r="T1291" s="3" t="n">
        <v>-0.7094525694847107</v>
      </c>
      <c r="U1291" s="3" t="n">
        <v>-0.8868536353111267</v>
      </c>
      <c r="V1291" s="3" t="n">
        <v>-0.6819344758987427</v>
      </c>
      <c r="W1291" s="3" t="n">
        <v>-0.5643970370292664</v>
      </c>
      <c r="X1291" s="3" t="n">
        <v>-1.346114277839661</v>
      </c>
      <c r="Y1291" s="3" t="n">
        <v>-0.7872329354286194</v>
      </c>
      <c r="Z1291" s="3" t="n">
        <v>-1.397716164588928</v>
      </c>
      <c r="AA1291" s="3" t="n">
        <v>-1.397716164588928</v>
      </c>
      <c r="AB1291" s="3" t="n">
        <v>-1.346114277839661</v>
      </c>
      <c r="AC1291" s="3" t="n">
        <v>-2.095573902130127</v>
      </c>
      <c r="AD1291" s="3" t="n">
        <v>-0.8868536353111267</v>
      </c>
      <c r="AE1291" s="3" t="n">
        <v>-0.8868536353111267</v>
      </c>
    </row>
    <row r="1292">
      <c r="A1292" s="3" t="inlineStr">
        <is>
          <t>LVA.distn.dec.ove.mean.2</t>
        </is>
      </c>
      <c r="B1292" s="3" t="inlineStr">
        <is>
          <t>LVA</t>
        </is>
      </c>
      <c r="C1292" s="3" t="n">
        <v>2005</v>
      </c>
      <c r="D1292" s="3" t="inlineStr">
        <is>
          <t>Overall</t>
        </is>
      </c>
      <c r="E1292" s="3" t="inlineStr">
        <is>
          <t>Deciles</t>
        </is>
      </c>
      <c r="F1292" s="3" t="inlineStr">
        <is>
          <t>mean</t>
        </is>
      </c>
      <c r="G1292" s="3" t="n">
        <v>2</v>
      </c>
      <c r="H1292" s="3" t="n">
        <v>-0.7872329354286194</v>
      </c>
      <c r="I1292" s="3" t="n">
        <v>-0.7872329354286194</v>
      </c>
      <c r="J1292" s="3" t="n">
        <v>-0.8868536353111267</v>
      </c>
      <c r="K1292" s="3" t="n">
        <v>-0.8868536353111267</v>
      </c>
      <c r="L1292" s="3" t="n">
        <v>-0.7872329354286194</v>
      </c>
      <c r="M1292" s="3" t="n">
        <v>-0.7872329354286194</v>
      </c>
      <c r="N1292" s="3" t="n">
        <v>-0.7872329354286194</v>
      </c>
      <c r="O1292" s="3" t="n">
        <v>-0.7872329354286194</v>
      </c>
      <c r="P1292" s="3" t="n">
        <v>-0.7872329354286194</v>
      </c>
      <c r="Q1292" s="3" t="n">
        <v>-0.7872329354286194</v>
      </c>
      <c r="R1292" s="3" t="n">
        <v>-0.7734707593917847</v>
      </c>
      <c r="S1292" s="3" t="n">
        <v>-1.397716164588928</v>
      </c>
      <c r="T1292" s="3" t="n">
        <v>-0.7094525694847107</v>
      </c>
      <c r="U1292" s="3" t="n">
        <v>-0.8868536353111267</v>
      </c>
      <c r="V1292" s="3" t="n">
        <v>-0.6819344758987427</v>
      </c>
      <c r="W1292" s="3" t="n">
        <v>-0.5643970370292664</v>
      </c>
      <c r="X1292" s="3" t="n">
        <v>-1.346114277839661</v>
      </c>
      <c r="Y1292" s="3" t="n">
        <v>-0.7872329354286194</v>
      </c>
      <c r="Z1292" s="3" t="n">
        <v>-1.397716164588928</v>
      </c>
      <c r="AA1292" s="3" t="n">
        <v>-1.397716164588928</v>
      </c>
      <c r="AB1292" s="3" t="n">
        <v>-1.346114277839661</v>
      </c>
      <c r="AC1292" s="3" t="n">
        <v>-2.095573902130127</v>
      </c>
      <c r="AD1292" s="3" t="n">
        <v>-0.8868536353111267</v>
      </c>
      <c r="AE1292" s="3" t="n">
        <v>-0.8868536353111267</v>
      </c>
    </row>
    <row r="1293">
      <c r="A1293" s="3" t="inlineStr">
        <is>
          <t>LVA.distn.dec.ove.mean.3</t>
        </is>
      </c>
      <c r="B1293" s="3" t="inlineStr">
        <is>
          <t>LVA</t>
        </is>
      </c>
      <c r="C1293" s="3" t="n">
        <v>2005</v>
      </c>
      <c r="D1293" s="3" t="inlineStr">
        <is>
          <t>Overall</t>
        </is>
      </c>
      <c r="E1293" s="3" t="inlineStr">
        <is>
          <t>Deciles</t>
        </is>
      </c>
      <c r="F1293" s="3" t="inlineStr">
        <is>
          <t>mean</t>
        </is>
      </c>
      <c r="G1293" s="3" t="n">
        <v>3</v>
      </c>
      <c r="H1293" s="3" t="n">
        <v>-0.7872329354286194</v>
      </c>
      <c r="I1293" s="3" t="n">
        <v>-0.7872329354286194</v>
      </c>
      <c r="J1293" s="3" t="n">
        <v>-0.8868536353111267</v>
      </c>
      <c r="K1293" s="3" t="n">
        <v>-0.8868536353111267</v>
      </c>
      <c r="L1293" s="3" t="n">
        <v>-0.7872329354286194</v>
      </c>
      <c r="M1293" s="3" t="n">
        <v>-0.7872329354286194</v>
      </c>
      <c r="N1293" s="3" t="n">
        <v>-0.7872329354286194</v>
      </c>
      <c r="O1293" s="3" t="n">
        <v>-0.7872329354286194</v>
      </c>
      <c r="P1293" s="3" t="n">
        <v>-0.7872329354286194</v>
      </c>
      <c r="Q1293" s="3" t="n">
        <v>-0.7872329354286194</v>
      </c>
      <c r="R1293" s="3" t="n">
        <v>-0.7734707593917847</v>
      </c>
      <c r="S1293" s="3" t="n">
        <v>-1.397716164588928</v>
      </c>
      <c r="T1293" s="3" t="n">
        <v>-0.7094525694847107</v>
      </c>
      <c r="U1293" s="3" t="n">
        <v>-0.8868536353111267</v>
      </c>
      <c r="V1293" s="3" t="n">
        <v>-0.6819344758987427</v>
      </c>
      <c r="W1293" s="3" t="n">
        <v>-0.5643970370292664</v>
      </c>
      <c r="X1293" s="3" t="n">
        <v>-1.346114277839661</v>
      </c>
      <c r="Y1293" s="3" t="n">
        <v>-0.7872329354286194</v>
      </c>
      <c r="Z1293" s="3" t="n">
        <v>-1.397716164588928</v>
      </c>
      <c r="AA1293" s="3" t="n">
        <v>-1.397716164588928</v>
      </c>
      <c r="AB1293" s="3" t="n">
        <v>-1.346114277839661</v>
      </c>
      <c r="AC1293" s="3" t="n">
        <v>-2.095573902130127</v>
      </c>
      <c r="AD1293" s="3" t="n">
        <v>-0.8868536353111267</v>
      </c>
      <c r="AE1293" s="3" t="n">
        <v>-0.8868536353111267</v>
      </c>
    </row>
    <row r="1294">
      <c r="A1294" s="3" t="inlineStr">
        <is>
          <t>LVA.distn.dec.ove.mean.4</t>
        </is>
      </c>
      <c r="B1294" s="3" t="inlineStr">
        <is>
          <t>LVA</t>
        </is>
      </c>
      <c r="C1294" s="3" t="n">
        <v>2005</v>
      </c>
      <c r="D1294" s="3" t="inlineStr">
        <is>
          <t>Overall</t>
        </is>
      </c>
      <c r="E1294" s="3" t="inlineStr">
        <is>
          <t>Deciles</t>
        </is>
      </c>
      <c r="F1294" s="3" t="inlineStr">
        <is>
          <t>mean</t>
        </is>
      </c>
      <c r="G1294" s="3" t="n">
        <v>4</v>
      </c>
      <c r="H1294" s="3" t="n">
        <v>-0.781000018119812</v>
      </c>
      <c r="I1294" s="3" t="n">
        <v>-0.781000018119812</v>
      </c>
      <c r="J1294" s="3" t="n">
        <v>-0.843999981880188</v>
      </c>
      <c r="K1294" s="3" t="n">
        <v>-0.843999981880188</v>
      </c>
      <c r="L1294" s="3" t="n">
        <v>-0.781000018119812</v>
      </c>
      <c r="M1294" s="3" t="n">
        <v>-0.781000018119812</v>
      </c>
      <c r="N1294" s="3" t="n">
        <v>-0.781000018119812</v>
      </c>
      <c r="O1294" s="3" t="n">
        <v>-0.781000018119812</v>
      </c>
      <c r="P1294" s="3" t="n">
        <v>-0.781000018119812</v>
      </c>
      <c r="Q1294" s="3" t="n">
        <v>-0.781000018119812</v>
      </c>
      <c r="R1294" s="3" t="n">
        <v>-0.7699999809265137</v>
      </c>
      <c r="S1294" s="3" t="n">
        <v>-0.9520000219345093</v>
      </c>
      <c r="T1294" s="3" t="n">
        <v>-0.7080000042915344</v>
      </c>
      <c r="U1294" s="3" t="n">
        <v>-0.843999981880188</v>
      </c>
      <c r="V1294" s="3" t="n">
        <v>-0.675000011920929</v>
      </c>
      <c r="W1294" s="3" t="n">
        <v>-0.4749999940395355</v>
      </c>
      <c r="X1294" s="3" t="n">
        <v>-0.949999988079071</v>
      </c>
      <c r="Y1294" s="3" t="n">
        <v>-0.781000018119812</v>
      </c>
      <c r="Z1294" s="3" t="n">
        <v>-0.9520000219345093</v>
      </c>
      <c r="AA1294" s="3" t="n">
        <v>-0.9520000219345093</v>
      </c>
      <c r="AB1294" s="3" t="n">
        <v>-0.949999988079071</v>
      </c>
      <c r="AC1294" s="3" t="n">
        <v>-1.01199996471405</v>
      </c>
      <c r="AD1294" s="3" t="n">
        <v>-0.843999981880188</v>
      </c>
      <c r="AE1294" s="3" t="n">
        <v>-0.843999981880188</v>
      </c>
    </row>
    <row r="1295">
      <c r="A1295" s="3" t="inlineStr">
        <is>
          <t>LVA.distn.dec.ove.mean.5</t>
        </is>
      </c>
      <c r="B1295" s="3" t="inlineStr">
        <is>
          <t>LVA</t>
        </is>
      </c>
      <c r="C1295" s="3" t="n">
        <v>2005</v>
      </c>
      <c r="D1295" s="3" t="inlineStr">
        <is>
          <t>Overall</t>
        </is>
      </c>
      <c r="E1295" s="3" t="inlineStr">
        <is>
          <t>Deciles</t>
        </is>
      </c>
      <c r="F1295" s="3" t="inlineStr">
        <is>
          <t>mean</t>
        </is>
      </c>
      <c r="G1295" s="3" t="n">
        <v>5</v>
      </c>
      <c r="H1295" s="3" t="n">
        <v>-0.781000018119812</v>
      </c>
      <c r="I1295" s="3" t="n">
        <v>-0.781000018119812</v>
      </c>
      <c r="J1295" s="3" t="n">
        <v>-0.843999981880188</v>
      </c>
      <c r="K1295" s="3" t="n">
        <v>-0.843999981880188</v>
      </c>
      <c r="L1295" s="3" t="n">
        <v>-0.781000018119812</v>
      </c>
      <c r="M1295" s="3" t="n">
        <v>-0.781000018119812</v>
      </c>
      <c r="N1295" s="3" t="n">
        <v>-0.781000018119812</v>
      </c>
      <c r="O1295" s="3" t="n">
        <v>-0.781000018119812</v>
      </c>
      <c r="P1295" s="3" t="n">
        <v>-0.781000018119812</v>
      </c>
      <c r="Q1295" s="3" t="n">
        <v>-0.781000018119812</v>
      </c>
      <c r="R1295" s="3" t="n">
        <v>-0.7699999809265137</v>
      </c>
      <c r="S1295" s="3" t="n">
        <v>-0.9520000219345093</v>
      </c>
      <c r="T1295" s="3" t="n">
        <v>-0.7080000042915344</v>
      </c>
      <c r="U1295" s="3" t="n">
        <v>-0.843999981880188</v>
      </c>
      <c r="V1295" s="3" t="n">
        <v>-0.675000011920929</v>
      </c>
      <c r="W1295" s="3" t="n">
        <v>-0.4749999940395355</v>
      </c>
      <c r="X1295" s="3" t="n">
        <v>-0.949999988079071</v>
      </c>
      <c r="Y1295" s="3" t="n">
        <v>-0.781000018119812</v>
      </c>
      <c r="Z1295" s="3" t="n">
        <v>-0.9520000219345093</v>
      </c>
      <c r="AA1295" s="3" t="n">
        <v>-0.9520000219345093</v>
      </c>
      <c r="AB1295" s="3" t="n">
        <v>-0.949999988079071</v>
      </c>
      <c r="AC1295" s="3" t="n">
        <v>-1.01199996471405</v>
      </c>
      <c r="AD1295" s="3" t="n">
        <v>-0.843999981880188</v>
      </c>
      <c r="AE1295" s="3" t="n">
        <v>-0.843999981880188</v>
      </c>
    </row>
    <row r="1296">
      <c r="A1296" s="3" t="inlineStr">
        <is>
          <t>LVA.distn.dec.ove.mean.6</t>
        </is>
      </c>
      <c r="B1296" s="3" t="inlineStr">
        <is>
          <t>LVA</t>
        </is>
      </c>
      <c r="C1296" s="3" t="n">
        <v>2005</v>
      </c>
      <c r="D1296" s="3" t="inlineStr">
        <is>
          <t>Overall</t>
        </is>
      </c>
      <c r="E1296" s="3" t="inlineStr">
        <is>
          <t>Deciles</t>
        </is>
      </c>
      <c r="F1296" s="3" t="inlineStr">
        <is>
          <t>mean</t>
        </is>
      </c>
      <c r="G1296" s="3" t="n">
        <v>6</v>
      </c>
      <c r="H1296" s="3" t="n">
        <v>-0.781000018119812</v>
      </c>
      <c r="I1296" s="3" t="n">
        <v>-0.781000018119812</v>
      </c>
      <c r="J1296" s="3" t="n">
        <v>-0.843999981880188</v>
      </c>
      <c r="K1296" s="3" t="n">
        <v>-0.843999981880188</v>
      </c>
      <c r="L1296" s="3" t="n">
        <v>-0.781000018119812</v>
      </c>
      <c r="M1296" s="3" t="n">
        <v>-0.781000018119812</v>
      </c>
      <c r="N1296" s="3" t="n">
        <v>-0.781000018119812</v>
      </c>
      <c r="O1296" s="3" t="n">
        <v>-0.781000018119812</v>
      </c>
      <c r="P1296" s="3" t="n">
        <v>-0.781000018119812</v>
      </c>
      <c r="Q1296" s="3" t="n">
        <v>-0.781000018119812</v>
      </c>
      <c r="R1296" s="3" t="n">
        <v>-0.7699999809265137</v>
      </c>
      <c r="S1296" s="3" t="n">
        <v>-0.9520000219345093</v>
      </c>
      <c r="T1296" s="3" t="n">
        <v>-0.7080000042915344</v>
      </c>
      <c r="U1296" s="3" t="n">
        <v>-0.843999981880188</v>
      </c>
      <c r="V1296" s="3" t="n">
        <v>-0.675000011920929</v>
      </c>
      <c r="W1296" s="3" t="n">
        <v>-0.4749999940395355</v>
      </c>
      <c r="X1296" s="3" t="n">
        <v>-0.949999988079071</v>
      </c>
      <c r="Y1296" s="3" t="n">
        <v>-0.781000018119812</v>
      </c>
      <c r="Z1296" s="3" t="n">
        <v>-0.9520000219345093</v>
      </c>
      <c r="AA1296" s="3" t="n">
        <v>-0.9520000219345093</v>
      </c>
      <c r="AB1296" s="3" t="n">
        <v>-0.949999988079071</v>
      </c>
      <c r="AC1296" s="3" t="n">
        <v>-1.01199996471405</v>
      </c>
      <c r="AD1296" s="3" t="n">
        <v>-0.843999981880188</v>
      </c>
      <c r="AE1296" s="3" t="n">
        <v>-0.843999981880188</v>
      </c>
    </row>
    <row r="1297">
      <c r="A1297" s="3" t="inlineStr">
        <is>
          <t>LVA.distn.dec.ove.mean.7</t>
        </is>
      </c>
      <c r="B1297" s="3" t="inlineStr">
        <is>
          <t>LVA</t>
        </is>
      </c>
      <c r="C1297" s="3" t="n">
        <v>2005</v>
      </c>
      <c r="D1297" s="3" t="inlineStr">
        <is>
          <t>Overall</t>
        </is>
      </c>
      <c r="E1297" s="3" t="inlineStr">
        <is>
          <t>Deciles</t>
        </is>
      </c>
      <c r="F1297" s="3" t="inlineStr">
        <is>
          <t>mean</t>
        </is>
      </c>
      <c r="G1297" s="3" t="n">
        <v>7</v>
      </c>
      <c r="H1297" s="3" t="n">
        <v>-0.781000018119812</v>
      </c>
      <c r="I1297" s="3" t="n">
        <v>-0.781000018119812</v>
      </c>
      <c r="J1297" s="3" t="n">
        <v>-0.843999981880188</v>
      </c>
      <c r="K1297" s="3" t="n">
        <v>-0.843999981880188</v>
      </c>
      <c r="L1297" s="3" t="n">
        <v>-0.781000018119812</v>
      </c>
      <c r="M1297" s="3" t="n">
        <v>-0.781000018119812</v>
      </c>
      <c r="N1297" s="3" t="n">
        <v>-0.781000018119812</v>
      </c>
      <c r="O1297" s="3" t="n">
        <v>-0.781000018119812</v>
      </c>
      <c r="P1297" s="3" t="n">
        <v>-0.781000018119812</v>
      </c>
      <c r="Q1297" s="3" t="n">
        <v>-0.781000018119812</v>
      </c>
      <c r="R1297" s="3" t="n">
        <v>-0.7699999809265137</v>
      </c>
      <c r="S1297" s="3" t="n">
        <v>-0.9520000219345093</v>
      </c>
      <c r="T1297" s="3" t="n">
        <v>-0.7080000042915344</v>
      </c>
      <c r="U1297" s="3" t="n">
        <v>-0.843999981880188</v>
      </c>
      <c r="V1297" s="3" t="n">
        <v>-0.675000011920929</v>
      </c>
      <c r="W1297" s="3" t="n">
        <v>-0.4749999940395355</v>
      </c>
      <c r="X1297" s="3" t="n">
        <v>-0.949999988079071</v>
      </c>
      <c r="Y1297" s="3" t="n">
        <v>-0.781000018119812</v>
      </c>
      <c r="Z1297" s="3" t="n">
        <v>-0.9520000219345093</v>
      </c>
      <c r="AA1297" s="3" t="n">
        <v>-0.9520000219345093</v>
      </c>
      <c r="AB1297" s="3" t="n">
        <v>-0.949999988079071</v>
      </c>
      <c r="AC1297" s="3" t="n">
        <v>-1.01199996471405</v>
      </c>
      <c r="AD1297" s="3" t="n">
        <v>-0.843999981880188</v>
      </c>
      <c r="AE1297" s="3" t="n">
        <v>-0.843999981880188</v>
      </c>
    </row>
    <row r="1298">
      <c r="A1298" s="3" t="inlineStr">
        <is>
          <t>LVA.distn.dec.ove.mean.8</t>
        </is>
      </c>
      <c r="B1298" s="3" t="inlineStr">
        <is>
          <t>LVA</t>
        </is>
      </c>
      <c r="C1298" s="3" t="n">
        <v>2005</v>
      </c>
      <c r="D1298" s="3" t="inlineStr">
        <is>
          <t>Overall</t>
        </is>
      </c>
      <c r="E1298" s="3" t="inlineStr">
        <is>
          <t>Deciles</t>
        </is>
      </c>
      <c r="F1298" s="3" t="inlineStr">
        <is>
          <t>mean</t>
        </is>
      </c>
      <c r="G1298" s="3" t="n">
        <v>8</v>
      </c>
      <c r="H1298" s="3" t="n">
        <v>-0.7813762426376343</v>
      </c>
      <c r="I1298" s="3" t="n">
        <v>-0.7813762426376343</v>
      </c>
      <c r="J1298" s="3" t="n">
        <v>-0.8462767601013184</v>
      </c>
      <c r="K1298" s="3" t="n">
        <v>-0.8462767601013184</v>
      </c>
      <c r="L1298" s="3" t="n">
        <v>-0.7813762426376343</v>
      </c>
      <c r="M1298" s="3" t="n">
        <v>-0.7813762426376343</v>
      </c>
      <c r="N1298" s="3" t="n">
        <v>-0.7813762426376343</v>
      </c>
      <c r="O1298" s="3" t="n">
        <v>-0.7813762426376343</v>
      </c>
      <c r="P1298" s="3" t="n">
        <v>-0.7813762426376343</v>
      </c>
      <c r="Q1298" s="3" t="n">
        <v>-0.7813762426376343</v>
      </c>
      <c r="R1298" s="3" t="n">
        <v>-0.7702532410621643</v>
      </c>
      <c r="S1298" s="3" t="n">
        <v>-0.9608584642410278</v>
      </c>
      <c r="T1298" s="3" t="n">
        <v>-0.7080408334732056</v>
      </c>
      <c r="U1298" s="3" t="n">
        <v>-0.8462767601013184</v>
      </c>
      <c r="V1298" s="3" t="n">
        <v>-0.6756978034973145</v>
      </c>
      <c r="W1298" s="3" t="n">
        <v>-0.4877199232578278</v>
      </c>
      <c r="X1298" s="3" t="n">
        <v>-0.958656370639801</v>
      </c>
      <c r="Y1298" s="3" t="n">
        <v>-0.7813762426376343</v>
      </c>
      <c r="Z1298" s="3" t="n">
        <v>-0.9608584642410278</v>
      </c>
      <c r="AA1298" s="3" t="n">
        <v>-0.9608584642410278</v>
      </c>
      <c r="AB1298" s="3" t="n">
        <v>-0.958656370639801</v>
      </c>
      <c r="AC1298" s="3" t="n">
        <v>-1.026432514190674</v>
      </c>
      <c r="AD1298" s="3" t="n">
        <v>-0.8462767601013184</v>
      </c>
      <c r="AE1298" s="3" t="n">
        <v>-0.8462767601013184</v>
      </c>
    </row>
    <row r="1299">
      <c r="A1299" s="3" t="inlineStr">
        <is>
          <t>LVA.distn.dec.ove.mean.9</t>
        </is>
      </c>
      <c r="B1299" s="3" t="inlineStr">
        <is>
          <t>LVA</t>
        </is>
      </c>
      <c r="C1299" s="3" t="n">
        <v>2005</v>
      </c>
      <c r="D1299" s="3" t="inlineStr">
        <is>
          <t>Overall</t>
        </is>
      </c>
      <c r="E1299" s="3" t="inlineStr">
        <is>
          <t>Deciles</t>
        </is>
      </c>
      <c r="F1299" s="3" t="inlineStr">
        <is>
          <t>mean</t>
        </is>
      </c>
      <c r="G1299" s="3" t="n">
        <v>9</v>
      </c>
      <c r="H1299" s="3" t="n">
        <v>-0.7813762426376343</v>
      </c>
      <c r="I1299" s="3" t="n">
        <v>-0.7813762426376343</v>
      </c>
      <c r="J1299" s="3" t="n">
        <v>-0.8462767601013184</v>
      </c>
      <c r="K1299" s="3" t="n">
        <v>-0.8462767601013184</v>
      </c>
      <c r="L1299" s="3" t="n">
        <v>-0.7813762426376343</v>
      </c>
      <c r="M1299" s="3" t="n">
        <v>-0.7813762426376343</v>
      </c>
      <c r="N1299" s="3" t="n">
        <v>-0.7813762426376343</v>
      </c>
      <c r="O1299" s="3" t="n">
        <v>-0.7813762426376343</v>
      </c>
      <c r="P1299" s="3" t="n">
        <v>-0.7813762426376343</v>
      </c>
      <c r="Q1299" s="3" t="n">
        <v>-0.7813762426376343</v>
      </c>
      <c r="R1299" s="3" t="n">
        <v>-0.7702532410621643</v>
      </c>
      <c r="S1299" s="3" t="n">
        <v>-0.9608584642410278</v>
      </c>
      <c r="T1299" s="3" t="n">
        <v>-0.7080408334732056</v>
      </c>
      <c r="U1299" s="3" t="n">
        <v>-0.8462767601013184</v>
      </c>
      <c r="V1299" s="3" t="n">
        <v>-0.6756978034973145</v>
      </c>
      <c r="W1299" s="3" t="n">
        <v>-0.4877199232578278</v>
      </c>
      <c r="X1299" s="3" t="n">
        <v>-0.958656370639801</v>
      </c>
      <c r="Y1299" s="3" t="n">
        <v>-0.7813762426376343</v>
      </c>
      <c r="Z1299" s="3" t="n">
        <v>-0.9608584642410278</v>
      </c>
      <c r="AA1299" s="3" t="n">
        <v>-0.9608584642410278</v>
      </c>
      <c r="AB1299" s="3" t="n">
        <v>-0.958656370639801</v>
      </c>
      <c r="AC1299" s="3" t="n">
        <v>-1.026432514190674</v>
      </c>
      <c r="AD1299" s="3" t="n">
        <v>-0.8462767601013184</v>
      </c>
      <c r="AE1299" s="3" t="n">
        <v>-0.8462767601013184</v>
      </c>
    </row>
    <row r="1300">
      <c r="A1300" s="3" t="inlineStr">
        <is>
          <t>LVA.distn.dec.ove.mean.10</t>
        </is>
      </c>
      <c r="B1300" s="3" t="inlineStr">
        <is>
          <t>LVA</t>
        </is>
      </c>
      <c r="C1300" s="3" t="n">
        <v>2005</v>
      </c>
      <c r="D1300" s="3" t="inlineStr">
        <is>
          <t>Overall</t>
        </is>
      </c>
      <c r="E1300" s="3" t="inlineStr">
        <is>
          <t>Deciles</t>
        </is>
      </c>
      <c r="F1300" s="3" t="inlineStr">
        <is>
          <t>mean</t>
        </is>
      </c>
      <c r="G1300" s="3" t="n">
        <v>10</v>
      </c>
      <c r="H1300" s="3" t="n">
        <v>-0.7813762426376343</v>
      </c>
      <c r="I1300" s="3" t="n">
        <v>-0.7813762426376343</v>
      </c>
      <c r="J1300" s="3" t="n">
        <v>-0.8462767601013184</v>
      </c>
      <c r="K1300" s="3" t="n">
        <v>-0.8462767601013184</v>
      </c>
      <c r="L1300" s="3" t="n">
        <v>-0.7813762426376343</v>
      </c>
      <c r="M1300" s="3" t="n">
        <v>-0.7813762426376343</v>
      </c>
      <c r="N1300" s="3" t="n">
        <v>-0.7813762426376343</v>
      </c>
      <c r="O1300" s="3" t="n">
        <v>-0.7813762426376343</v>
      </c>
      <c r="P1300" s="3" t="n">
        <v>-0.7813762426376343</v>
      </c>
      <c r="Q1300" s="3" t="n">
        <v>-0.7813762426376343</v>
      </c>
      <c r="R1300" s="3" t="n">
        <v>-0.7702532410621643</v>
      </c>
      <c r="S1300" s="3" t="n">
        <v>-0.9608584642410278</v>
      </c>
      <c r="T1300" s="3" t="n">
        <v>-0.7080408334732056</v>
      </c>
      <c r="U1300" s="3" t="n">
        <v>-0.8462767601013184</v>
      </c>
      <c r="V1300" s="3" t="n">
        <v>-0.6756978034973145</v>
      </c>
      <c r="W1300" s="3" t="n">
        <v>-0.4877199232578278</v>
      </c>
      <c r="X1300" s="3" t="n">
        <v>-0.958656370639801</v>
      </c>
      <c r="Y1300" s="3" t="n">
        <v>-0.7813762426376343</v>
      </c>
      <c r="Z1300" s="3" t="n">
        <v>-0.9608584642410278</v>
      </c>
      <c r="AA1300" s="3" t="n">
        <v>-0.9608584642410278</v>
      </c>
      <c r="AB1300" s="3" t="n">
        <v>-0.958656370639801</v>
      </c>
      <c r="AC1300" s="3" t="n">
        <v>-1.026432514190674</v>
      </c>
      <c r="AD1300" s="3" t="n">
        <v>-0.8462767601013184</v>
      </c>
      <c r="AE1300" s="3" t="n">
        <v>-0.8462767601013184</v>
      </c>
    </row>
    <row r="1301">
      <c r="A1301" s="3" t="inlineStr">
        <is>
          <t>LVA.distn.bkt.ove.mean.9999</t>
        </is>
      </c>
      <c r="B1301" s="3" t="inlineStr">
        <is>
          <t>LVA</t>
        </is>
      </c>
      <c r="C1301" s="3" t="n">
        <v>2005</v>
      </c>
      <c r="D1301" s="3" t="inlineStr">
        <is>
          <t>Overall</t>
        </is>
      </c>
      <c r="E1301" s="3" t="inlineStr">
        <is>
          <t>Basket</t>
        </is>
      </c>
      <c r="F1301" s="3" t="inlineStr">
        <is>
          <t>mean</t>
        </is>
      </c>
      <c r="G1301" s="3" t="n">
        <v>9999</v>
      </c>
      <c r="H1301" s="3" t="n">
        <v>-0.7829827666282654</v>
      </c>
      <c r="I1301" s="3" t="n">
        <v>-0.7829827666282654</v>
      </c>
      <c r="J1301" s="3" t="n">
        <v>-0.8575391173362732</v>
      </c>
      <c r="K1301" s="3" t="n">
        <v>-0.8575391173362732</v>
      </c>
      <c r="L1301" s="3" t="n">
        <v>-0.7829827666282654</v>
      </c>
      <c r="M1301" s="3" t="n">
        <v>-0.7829827666282654</v>
      </c>
      <c r="N1301" s="3" t="n">
        <v>-0.7829827666282654</v>
      </c>
      <c r="O1301" s="3" t="n">
        <v>-0.7829827666282654</v>
      </c>
      <c r="P1301" s="3" t="n">
        <v>-0.7829827666282654</v>
      </c>
      <c r="Q1301" s="3" t="n">
        <v>-0.7829827666282654</v>
      </c>
      <c r="R1301" s="3" t="n">
        <v>-0.7711172103881836</v>
      </c>
      <c r="S1301" s="3" t="n">
        <v>-1.088372349739075</v>
      </c>
      <c r="T1301" s="3" t="n">
        <v>-0.708448052406311</v>
      </c>
      <c r="U1301" s="3" t="n">
        <v>-0.8575391173362732</v>
      </c>
      <c r="V1301" s="3" t="n">
        <v>-0.6772896647453308</v>
      </c>
      <c r="W1301" s="3" t="n">
        <v>-0.5056350827217102</v>
      </c>
      <c r="X1301" s="3" t="n">
        <v>-1.071431159973145</v>
      </c>
      <c r="Y1301" s="3" t="n">
        <v>-0.7829827666282654</v>
      </c>
      <c r="Z1301" s="3" t="n">
        <v>-1.088372349739075</v>
      </c>
      <c r="AA1301" s="3" t="n">
        <v>-1.088372349739075</v>
      </c>
      <c r="AB1301" s="3" t="n">
        <v>-1.071431159973145</v>
      </c>
      <c r="AC1301" s="3" t="n">
        <v>-1.341401934623718</v>
      </c>
      <c r="AD1301" s="3" t="n">
        <v>-0.8575391173362732</v>
      </c>
      <c r="AE1301" s="3" t="n">
        <v>-0.8575391173362732</v>
      </c>
    </row>
    <row r="1302">
      <c r="A1302" s="3" t="inlineStr">
        <is>
          <t>MAC.distn.dec.ove.mean.1</t>
        </is>
      </c>
      <c r="B1302" s="3" t="inlineStr">
        <is>
          <t>MAC</t>
        </is>
      </c>
      <c r="C1302" s="3" t="n">
        <v>2005</v>
      </c>
      <c r="D1302" s="3" t="inlineStr">
        <is>
          <t>Overall</t>
        </is>
      </c>
      <c r="E1302" s="3" t="inlineStr">
        <is>
          <t>Deciles</t>
        </is>
      </c>
      <c r="F1302" s="3" t="inlineStr">
        <is>
          <t>mean</t>
        </is>
      </c>
      <c r="G1302" s="3" t="n">
        <v>1</v>
      </c>
      <c r="H1302" s="3" t="n">
        <v>-0.7872329354286194</v>
      </c>
      <c r="I1302" s="3" t="n">
        <v>-0.7872329354286194</v>
      </c>
      <c r="J1302" s="3" t="n">
        <v>-0.8837013244628906</v>
      </c>
      <c r="K1302" s="3" t="n">
        <v>-0.8837013244628906</v>
      </c>
      <c r="L1302" s="3" t="n">
        <v>-0.7872329354286194</v>
      </c>
      <c r="M1302" s="3" t="n">
        <v>-0.7872329354286194</v>
      </c>
      <c r="N1302" s="3" t="n">
        <v>-0.7872329354286194</v>
      </c>
      <c r="O1302" s="3" t="n">
        <v>-0.7872329354286194</v>
      </c>
      <c r="P1302" s="3" t="n">
        <v>-0.7872329354286194</v>
      </c>
      <c r="Q1302" s="3" t="n">
        <v>-0.7872329354286194</v>
      </c>
      <c r="R1302" s="3" t="n">
        <v>-0.772466242313385</v>
      </c>
      <c r="S1302" s="3" t="n">
        <v>-1.383034229278564</v>
      </c>
      <c r="T1302" s="3" t="n">
        <v>-0.7094525694847107</v>
      </c>
      <c r="U1302" s="3" t="n">
        <v>-0.8837013244628906</v>
      </c>
      <c r="V1302" s="3" t="n">
        <v>-0.6809241771697998</v>
      </c>
      <c r="W1302" s="3" t="n">
        <v>-0.5453857779502869</v>
      </c>
      <c r="X1302" s="3" t="n">
        <v>-1.331944584846497</v>
      </c>
      <c r="Y1302" s="3" t="n">
        <v>-0.7872329354286194</v>
      </c>
      <c r="Z1302" s="3" t="n">
        <v>-1.383034229278564</v>
      </c>
      <c r="AA1302" s="3" t="n">
        <v>-1.383034229278564</v>
      </c>
      <c r="AB1302" s="3" t="n">
        <v>-1.331944584846497</v>
      </c>
      <c r="AC1302" s="3" t="n">
        <v>-2.062442302703857</v>
      </c>
      <c r="AD1302" s="3" t="n">
        <v>-0.8837013244628906</v>
      </c>
      <c r="AE1302" s="3" t="n">
        <v>-0.8837013244628906</v>
      </c>
    </row>
    <row r="1303">
      <c r="A1303" s="3" t="inlineStr">
        <is>
          <t>MAC.distn.dec.ove.mean.2</t>
        </is>
      </c>
      <c r="B1303" s="3" t="inlineStr">
        <is>
          <t>MAC</t>
        </is>
      </c>
      <c r="C1303" s="3" t="n">
        <v>2005</v>
      </c>
      <c r="D1303" s="3" t="inlineStr">
        <is>
          <t>Overall</t>
        </is>
      </c>
      <c r="E1303" s="3" t="inlineStr">
        <is>
          <t>Deciles</t>
        </is>
      </c>
      <c r="F1303" s="3" t="inlineStr">
        <is>
          <t>mean</t>
        </is>
      </c>
      <c r="G1303" s="3" t="n">
        <v>2</v>
      </c>
      <c r="H1303" s="3" t="n">
        <v>-0.7872329354286194</v>
      </c>
      <c r="I1303" s="3" t="n">
        <v>-0.7872329354286194</v>
      </c>
      <c r="J1303" s="3" t="n">
        <v>-0.8837013244628906</v>
      </c>
      <c r="K1303" s="3" t="n">
        <v>-0.8837013244628906</v>
      </c>
      <c r="L1303" s="3" t="n">
        <v>-0.7872329354286194</v>
      </c>
      <c r="M1303" s="3" t="n">
        <v>-0.7872329354286194</v>
      </c>
      <c r="N1303" s="3" t="n">
        <v>-0.7872329354286194</v>
      </c>
      <c r="O1303" s="3" t="n">
        <v>-0.7872329354286194</v>
      </c>
      <c r="P1303" s="3" t="n">
        <v>-0.7872329354286194</v>
      </c>
      <c r="Q1303" s="3" t="n">
        <v>-0.7872329354286194</v>
      </c>
      <c r="R1303" s="3" t="n">
        <v>-0.772466242313385</v>
      </c>
      <c r="S1303" s="3" t="n">
        <v>-1.383034229278564</v>
      </c>
      <c r="T1303" s="3" t="n">
        <v>-0.7094525694847107</v>
      </c>
      <c r="U1303" s="3" t="n">
        <v>-0.8837013244628906</v>
      </c>
      <c r="V1303" s="3" t="n">
        <v>-0.6809241771697998</v>
      </c>
      <c r="W1303" s="3" t="n">
        <v>-0.5453857779502869</v>
      </c>
      <c r="X1303" s="3" t="n">
        <v>-1.331944584846497</v>
      </c>
      <c r="Y1303" s="3" t="n">
        <v>-0.7872329354286194</v>
      </c>
      <c r="Z1303" s="3" t="n">
        <v>-1.383034229278564</v>
      </c>
      <c r="AA1303" s="3" t="n">
        <v>-1.383034229278564</v>
      </c>
      <c r="AB1303" s="3" t="n">
        <v>-1.331944584846497</v>
      </c>
      <c r="AC1303" s="3" t="n">
        <v>-2.062442302703857</v>
      </c>
      <c r="AD1303" s="3" t="n">
        <v>-0.8837013244628906</v>
      </c>
      <c r="AE1303" s="3" t="n">
        <v>-0.8837013244628906</v>
      </c>
    </row>
    <row r="1304">
      <c r="A1304" s="3" t="inlineStr">
        <is>
          <t>MAC.distn.dec.ove.mean.3</t>
        </is>
      </c>
      <c r="B1304" s="3" t="inlineStr">
        <is>
          <t>MAC</t>
        </is>
      </c>
      <c r="C1304" s="3" t="n">
        <v>2005</v>
      </c>
      <c r="D1304" s="3" t="inlineStr">
        <is>
          <t>Overall</t>
        </is>
      </c>
      <c r="E1304" s="3" t="inlineStr">
        <is>
          <t>Deciles</t>
        </is>
      </c>
      <c r="F1304" s="3" t="inlineStr">
        <is>
          <t>mean</t>
        </is>
      </c>
      <c r="G1304" s="3" t="n">
        <v>3</v>
      </c>
      <c r="H1304" s="3" t="n">
        <v>-0.7872329354286194</v>
      </c>
      <c r="I1304" s="3" t="n">
        <v>-0.7872329354286194</v>
      </c>
      <c r="J1304" s="3" t="n">
        <v>-0.8837013244628906</v>
      </c>
      <c r="K1304" s="3" t="n">
        <v>-0.8837013244628906</v>
      </c>
      <c r="L1304" s="3" t="n">
        <v>-0.7872329354286194</v>
      </c>
      <c r="M1304" s="3" t="n">
        <v>-0.7872329354286194</v>
      </c>
      <c r="N1304" s="3" t="n">
        <v>-0.7872329354286194</v>
      </c>
      <c r="O1304" s="3" t="n">
        <v>-0.7872329354286194</v>
      </c>
      <c r="P1304" s="3" t="n">
        <v>-0.7872329354286194</v>
      </c>
      <c r="Q1304" s="3" t="n">
        <v>-0.7872329354286194</v>
      </c>
      <c r="R1304" s="3" t="n">
        <v>-0.772466242313385</v>
      </c>
      <c r="S1304" s="3" t="n">
        <v>-1.383034229278564</v>
      </c>
      <c r="T1304" s="3" t="n">
        <v>-0.7094525694847107</v>
      </c>
      <c r="U1304" s="3" t="n">
        <v>-0.8837013244628906</v>
      </c>
      <c r="V1304" s="3" t="n">
        <v>-0.6809241771697998</v>
      </c>
      <c r="W1304" s="3" t="n">
        <v>-0.5453857779502869</v>
      </c>
      <c r="X1304" s="3" t="n">
        <v>-1.331944584846497</v>
      </c>
      <c r="Y1304" s="3" t="n">
        <v>-0.7872329354286194</v>
      </c>
      <c r="Z1304" s="3" t="n">
        <v>-1.383034229278564</v>
      </c>
      <c r="AA1304" s="3" t="n">
        <v>-1.383034229278564</v>
      </c>
      <c r="AB1304" s="3" t="n">
        <v>-1.331944584846497</v>
      </c>
      <c r="AC1304" s="3" t="n">
        <v>-2.062442302703857</v>
      </c>
      <c r="AD1304" s="3" t="n">
        <v>-0.8837013244628906</v>
      </c>
      <c r="AE1304" s="3" t="n">
        <v>-0.8837013244628906</v>
      </c>
    </row>
    <row r="1305">
      <c r="A1305" s="3" t="inlineStr">
        <is>
          <t>MAC.distn.dec.ove.mean.4</t>
        </is>
      </c>
      <c r="B1305" s="3" t="inlineStr">
        <is>
          <t>MAC</t>
        </is>
      </c>
      <c r="C1305" s="3" t="n">
        <v>2005</v>
      </c>
      <c r="D1305" s="3" t="inlineStr">
        <is>
          <t>Overall</t>
        </is>
      </c>
      <c r="E1305" s="3" t="inlineStr">
        <is>
          <t>Deciles</t>
        </is>
      </c>
      <c r="F1305" s="3" t="inlineStr">
        <is>
          <t>mean</t>
        </is>
      </c>
      <c r="G1305" s="3" t="n">
        <v>4</v>
      </c>
      <c r="H1305" s="3" t="n">
        <v>-0.781000018119812</v>
      </c>
      <c r="I1305" s="3" t="n">
        <v>-0.781000018119812</v>
      </c>
      <c r="J1305" s="3" t="n">
        <v>-0.8410000205039978</v>
      </c>
      <c r="K1305" s="3" t="n">
        <v>-0.8410000205039978</v>
      </c>
      <c r="L1305" s="3" t="n">
        <v>-0.781000018119812</v>
      </c>
      <c r="M1305" s="3" t="n">
        <v>-0.781000018119812</v>
      </c>
      <c r="N1305" s="3" t="n">
        <v>-0.781000018119812</v>
      </c>
      <c r="O1305" s="3" t="n">
        <v>-0.781000018119812</v>
      </c>
      <c r="P1305" s="3" t="n">
        <v>-0.781000018119812</v>
      </c>
      <c r="Q1305" s="3" t="n">
        <v>-0.781000018119812</v>
      </c>
      <c r="R1305" s="3" t="n">
        <v>-0.7689999938011169</v>
      </c>
      <c r="S1305" s="3" t="n">
        <v>-0.9419999718666077</v>
      </c>
      <c r="T1305" s="3" t="n">
        <v>-0.7080000042915344</v>
      </c>
      <c r="U1305" s="3" t="n">
        <v>-0.8410000205039978</v>
      </c>
      <c r="V1305" s="3" t="n">
        <v>-0.6740000247955322</v>
      </c>
      <c r="W1305" s="3" t="n">
        <v>-0.4589999914169312</v>
      </c>
      <c r="X1305" s="3" t="n">
        <v>-0.9399999976158142</v>
      </c>
      <c r="Y1305" s="3" t="n">
        <v>-0.781000018119812</v>
      </c>
      <c r="Z1305" s="3" t="n">
        <v>-0.9419999718666077</v>
      </c>
      <c r="AA1305" s="3" t="n">
        <v>-0.9419999718666077</v>
      </c>
      <c r="AB1305" s="3" t="n">
        <v>-0.9399999976158142</v>
      </c>
      <c r="AC1305" s="3" t="n">
        <v>-0.9959999918937683</v>
      </c>
      <c r="AD1305" s="3" t="n">
        <v>-0.8410000205039978</v>
      </c>
      <c r="AE1305" s="3" t="n">
        <v>-0.8410000205039978</v>
      </c>
    </row>
    <row r="1306">
      <c r="A1306" s="3" t="inlineStr">
        <is>
          <t>MAC.distn.dec.ove.mean.5</t>
        </is>
      </c>
      <c r="B1306" s="3" t="inlineStr">
        <is>
          <t>MAC</t>
        </is>
      </c>
      <c r="C1306" s="3" t="n">
        <v>2005</v>
      </c>
      <c r="D1306" s="3" t="inlineStr">
        <is>
          <t>Overall</t>
        </is>
      </c>
      <c r="E1306" s="3" t="inlineStr">
        <is>
          <t>Deciles</t>
        </is>
      </c>
      <c r="F1306" s="3" t="inlineStr">
        <is>
          <t>mean</t>
        </is>
      </c>
      <c r="G1306" s="3" t="n">
        <v>5</v>
      </c>
      <c r="H1306" s="3" t="n">
        <v>-0.781000018119812</v>
      </c>
      <c r="I1306" s="3" t="n">
        <v>-0.781000018119812</v>
      </c>
      <c r="J1306" s="3" t="n">
        <v>-0.8410000205039978</v>
      </c>
      <c r="K1306" s="3" t="n">
        <v>-0.8410000205039978</v>
      </c>
      <c r="L1306" s="3" t="n">
        <v>-0.781000018119812</v>
      </c>
      <c r="M1306" s="3" t="n">
        <v>-0.781000018119812</v>
      </c>
      <c r="N1306" s="3" t="n">
        <v>-0.781000018119812</v>
      </c>
      <c r="O1306" s="3" t="n">
        <v>-0.781000018119812</v>
      </c>
      <c r="P1306" s="3" t="n">
        <v>-0.781000018119812</v>
      </c>
      <c r="Q1306" s="3" t="n">
        <v>-0.781000018119812</v>
      </c>
      <c r="R1306" s="3" t="n">
        <v>-0.7689999938011169</v>
      </c>
      <c r="S1306" s="3" t="n">
        <v>-0.9419999718666077</v>
      </c>
      <c r="T1306" s="3" t="n">
        <v>-0.7080000042915344</v>
      </c>
      <c r="U1306" s="3" t="n">
        <v>-0.8410000205039978</v>
      </c>
      <c r="V1306" s="3" t="n">
        <v>-0.6740000247955322</v>
      </c>
      <c r="W1306" s="3" t="n">
        <v>-0.4589999914169312</v>
      </c>
      <c r="X1306" s="3" t="n">
        <v>-0.9399999976158142</v>
      </c>
      <c r="Y1306" s="3" t="n">
        <v>-0.781000018119812</v>
      </c>
      <c r="Z1306" s="3" t="n">
        <v>-0.9419999718666077</v>
      </c>
      <c r="AA1306" s="3" t="n">
        <v>-0.9419999718666077</v>
      </c>
      <c r="AB1306" s="3" t="n">
        <v>-0.9399999976158142</v>
      </c>
      <c r="AC1306" s="3" t="n">
        <v>-0.9959999918937683</v>
      </c>
      <c r="AD1306" s="3" t="n">
        <v>-0.8410000205039978</v>
      </c>
      <c r="AE1306" s="3" t="n">
        <v>-0.8410000205039978</v>
      </c>
    </row>
    <row r="1307">
      <c r="A1307" s="3" t="inlineStr">
        <is>
          <t>MAC.distn.dec.ove.mean.6</t>
        </is>
      </c>
      <c r="B1307" s="3" t="inlineStr">
        <is>
          <t>MAC</t>
        </is>
      </c>
      <c r="C1307" s="3" t="n">
        <v>2005</v>
      </c>
      <c r="D1307" s="3" t="inlineStr">
        <is>
          <t>Overall</t>
        </is>
      </c>
      <c r="E1307" s="3" t="inlineStr">
        <is>
          <t>Deciles</t>
        </is>
      </c>
      <c r="F1307" s="3" t="inlineStr">
        <is>
          <t>mean</t>
        </is>
      </c>
      <c r="G1307" s="3" t="n">
        <v>6</v>
      </c>
      <c r="H1307" s="3" t="n">
        <v>-0.781000018119812</v>
      </c>
      <c r="I1307" s="3" t="n">
        <v>-0.781000018119812</v>
      </c>
      <c r="J1307" s="3" t="n">
        <v>-0.8410000205039978</v>
      </c>
      <c r="K1307" s="3" t="n">
        <v>-0.8410000205039978</v>
      </c>
      <c r="L1307" s="3" t="n">
        <v>-0.781000018119812</v>
      </c>
      <c r="M1307" s="3" t="n">
        <v>-0.781000018119812</v>
      </c>
      <c r="N1307" s="3" t="n">
        <v>-0.781000018119812</v>
      </c>
      <c r="O1307" s="3" t="n">
        <v>-0.781000018119812</v>
      </c>
      <c r="P1307" s="3" t="n">
        <v>-0.781000018119812</v>
      </c>
      <c r="Q1307" s="3" t="n">
        <v>-0.781000018119812</v>
      </c>
      <c r="R1307" s="3" t="n">
        <v>-0.7689999938011169</v>
      </c>
      <c r="S1307" s="3" t="n">
        <v>-0.9419999718666077</v>
      </c>
      <c r="T1307" s="3" t="n">
        <v>-0.7080000042915344</v>
      </c>
      <c r="U1307" s="3" t="n">
        <v>-0.8410000205039978</v>
      </c>
      <c r="V1307" s="3" t="n">
        <v>-0.6740000247955322</v>
      </c>
      <c r="W1307" s="3" t="n">
        <v>-0.4589999914169312</v>
      </c>
      <c r="X1307" s="3" t="n">
        <v>-0.9399999976158142</v>
      </c>
      <c r="Y1307" s="3" t="n">
        <v>-0.781000018119812</v>
      </c>
      <c r="Z1307" s="3" t="n">
        <v>-0.9419999718666077</v>
      </c>
      <c r="AA1307" s="3" t="n">
        <v>-0.9419999718666077</v>
      </c>
      <c r="AB1307" s="3" t="n">
        <v>-0.9399999976158142</v>
      </c>
      <c r="AC1307" s="3" t="n">
        <v>-0.9959999918937683</v>
      </c>
      <c r="AD1307" s="3" t="n">
        <v>-0.8410000205039978</v>
      </c>
      <c r="AE1307" s="3" t="n">
        <v>-0.8410000205039978</v>
      </c>
    </row>
    <row r="1308">
      <c r="A1308" s="3" t="inlineStr">
        <is>
          <t>MAC.distn.dec.ove.mean.7</t>
        </is>
      </c>
      <c r="B1308" s="3" t="inlineStr">
        <is>
          <t>MAC</t>
        </is>
      </c>
      <c r="C1308" s="3" t="n">
        <v>2005</v>
      </c>
      <c r="D1308" s="3" t="inlineStr">
        <is>
          <t>Overall</t>
        </is>
      </c>
      <c r="E1308" s="3" t="inlineStr">
        <is>
          <t>Deciles</t>
        </is>
      </c>
      <c r="F1308" s="3" t="inlineStr">
        <is>
          <t>mean</t>
        </is>
      </c>
      <c r="G1308" s="3" t="n">
        <v>7</v>
      </c>
      <c r="H1308" s="3" t="n">
        <v>-0.781000018119812</v>
      </c>
      <c r="I1308" s="3" t="n">
        <v>-0.781000018119812</v>
      </c>
      <c r="J1308" s="3" t="n">
        <v>-0.8410000205039978</v>
      </c>
      <c r="K1308" s="3" t="n">
        <v>-0.8410000205039978</v>
      </c>
      <c r="L1308" s="3" t="n">
        <v>-0.781000018119812</v>
      </c>
      <c r="M1308" s="3" t="n">
        <v>-0.781000018119812</v>
      </c>
      <c r="N1308" s="3" t="n">
        <v>-0.781000018119812</v>
      </c>
      <c r="O1308" s="3" t="n">
        <v>-0.781000018119812</v>
      </c>
      <c r="P1308" s="3" t="n">
        <v>-0.781000018119812</v>
      </c>
      <c r="Q1308" s="3" t="n">
        <v>-0.781000018119812</v>
      </c>
      <c r="R1308" s="3" t="n">
        <v>-0.7689999938011169</v>
      </c>
      <c r="S1308" s="3" t="n">
        <v>-0.9419999718666077</v>
      </c>
      <c r="T1308" s="3" t="n">
        <v>-0.7080000042915344</v>
      </c>
      <c r="U1308" s="3" t="n">
        <v>-0.8410000205039978</v>
      </c>
      <c r="V1308" s="3" t="n">
        <v>-0.6740000247955322</v>
      </c>
      <c r="W1308" s="3" t="n">
        <v>-0.4589999914169312</v>
      </c>
      <c r="X1308" s="3" t="n">
        <v>-0.9399999976158142</v>
      </c>
      <c r="Y1308" s="3" t="n">
        <v>-0.781000018119812</v>
      </c>
      <c r="Z1308" s="3" t="n">
        <v>-0.9419999718666077</v>
      </c>
      <c r="AA1308" s="3" t="n">
        <v>-0.9419999718666077</v>
      </c>
      <c r="AB1308" s="3" t="n">
        <v>-0.9399999976158142</v>
      </c>
      <c r="AC1308" s="3" t="n">
        <v>-0.9959999918937683</v>
      </c>
      <c r="AD1308" s="3" t="n">
        <v>-0.8410000205039978</v>
      </c>
      <c r="AE1308" s="3" t="n">
        <v>-0.8410000205039978</v>
      </c>
    </row>
    <row r="1309">
      <c r="A1309" s="3" t="inlineStr">
        <is>
          <t>MAC.distn.dec.ove.mean.8</t>
        </is>
      </c>
      <c r="B1309" s="3" t="inlineStr">
        <is>
          <t>MAC</t>
        </is>
      </c>
      <c r="C1309" s="3" t="n">
        <v>2005</v>
      </c>
      <c r="D1309" s="3" t="inlineStr">
        <is>
          <t>Overall</t>
        </is>
      </c>
      <c r="E1309" s="3" t="inlineStr">
        <is>
          <t>Deciles</t>
        </is>
      </c>
      <c r="F1309" s="3" t="inlineStr">
        <is>
          <t>mean</t>
        </is>
      </c>
      <c r="G1309" s="3" t="n">
        <v>8</v>
      </c>
      <c r="H1309" s="3" t="n">
        <v>-0.7813762426376343</v>
      </c>
      <c r="I1309" s="3" t="n">
        <v>-0.7813762426376343</v>
      </c>
      <c r="J1309" s="3" t="n">
        <v>-0.8432686924934387</v>
      </c>
      <c r="K1309" s="3" t="n">
        <v>-0.8432686924934387</v>
      </c>
      <c r="L1309" s="3" t="n">
        <v>-0.7813762426376343</v>
      </c>
      <c r="M1309" s="3" t="n">
        <v>-0.7813762426376343</v>
      </c>
      <c r="N1309" s="3" t="n">
        <v>-0.7813762426376343</v>
      </c>
      <c r="O1309" s="3" t="n">
        <v>-0.7813762426376343</v>
      </c>
      <c r="P1309" s="3" t="n">
        <v>-0.7813762426376343</v>
      </c>
      <c r="Q1309" s="3" t="n">
        <v>-0.7813762426376343</v>
      </c>
      <c r="R1309" s="3" t="n">
        <v>-0.7692528963088989</v>
      </c>
      <c r="S1309" s="3" t="n">
        <v>-0.9507654309272766</v>
      </c>
      <c r="T1309" s="3" t="n">
        <v>-0.7080408334732056</v>
      </c>
      <c r="U1309" s="3" t="n">
        <v>-0.8432686924934387</v>
      </c>
      <c r="V1309" s="3" t="n">
        <v>-0.6746967434883118</v>
      </c>
      <c r="W1309" s="3" t="n">
        <v>-0.4712914824485779</v>
      </c>
      <c r="X1309" s="3" t="n">
        <v>-0.9485653042793274</v>
      </c>
      <c r="Y1309" s="3" t="n">
        <v>-0.7813762426376343</v>
      </c>
      <c r="Z1309" s="3" t="n">
        <v>-0.9507654309272766</v>
      </c>
      <c r="AA1309" s="3" t="n">
        <v>-0.9507654309272766</v>
      </c>
      <c r="AB1309" s="3" t="n">
        <v>-0.9485653042793274</v>
      </c>
      <c r="AC1309" s="3" t="n">
        <v>-1.010204315185547</v>
      </c>
      <c r="AD1309" s="3" t="n">
        <v>-0.8432686924934387</v>
      </c>
      <c r="AE1309" s="3" t="n">
        <v>-0.8432686924934387</v>
      </c>
    </row>
    <row r="1310">
      <c r="A1310" s="3" t="inlineStr">
        <is>
          <t>MAC.distn.dec.ove.mean.9</t>
        </is>
      </c>
      <c r="B1310" s="3" t="inlineStr">
        <is>
          <t>MAC</t>
        </is>
      </c>
      <c r="C1310" s="3" t="n">
        <v>2005</v>
      </c>
      <c r="D1310" s="3" t="inlineStr">
        <is>
          <t>Overall</t>
        </is>
      </c>
      <c r="E1310" s="3" t="inlineStr">
        <is>
          <t>Deciles</t>
        </is>
      </c>
      <c r="F1310" s="3" t="inlineStr">
        <is>
          <t>mean</t>
        </is>
      </c>
      <c r="G1310" s="3" t="n">
        <v>9</v>
      </c>
      <c r="H1310" s="3" t="n">
        <v>-0.7813762426376343</v>
      </c>
      <c r="I1310" s="3" t="n">
        <v>-0.7813762426376343</v>
      </c>
      <c r="J1310" s="3" t="n">
        <v>-0.8432686924934387</v>
      </c>
      <c r="K1310" s="3" t="n">
        <v>-0.8432686924934387</v>
      </c>
      <c r="L1310" s="3" t="n">
        <v>-0.7813762426376343</v>
      </c>
      <c r="M1310" s="3" t="n">
        <v>-0.7813762426376343</v>
      </c>
      <c r="N1310" s="3" t="n">
        <v>-0.7813762426376343</v>
      </c>
      <c r="O1310" s="3" t="n">
        <v>-0.7813762426376343</v>
      </c>
      <c r="P1310" s="3" t="n">
        <v>-0.7813762426376343</v>
      </c>
      <c r="Q1310" s="3" t="n">
        <v>-0.7813762426376343</v>
      </c>
      <c r="R1310" s="3" t="n">
        <v>-0.7692528963088989</v>
      </c>
      <c r="S1310" s="3" t="n">
        <v>-0.9507654309272766</v>
      </c>
      <c r="T1310" s="3" t="n">
        <v>-0.7080408334732056</v>
      </c>
      <c r="U1310" s="3" t="n">
        <v>-0.8432686924934387</v>
      </c>
      <c r="V1310" s="3" t="n">
        <v>-0.6746967434883118</v>
      </c>
      <c r="W1310" s="3" t="n">
        <v>-0.4712914824485779</v>
      </c>
      <c r="X1310" s="3" t="n">
        <v>-0.9485653042793274</v>
      </c>
      <c r="Y1310" s="3" t="n">
        <v>-0.7813762426376343</v>
      </c>
      <c r="Z1310" s="3" t="n">
        <v>-0.9507654309272766</v>
      </c>
      <c r="AA1310" s="3" t="n">
        <v>-0.9507654309272766</v>
      </c>
      <c r="AB1310" s="3" t="n">
        <v>-0.9485653042793274</v>
      </c>
      <c r="AC1310" s="3" t="n">
        <v>-1.010204315185547</v>
      </c>
      <c r="AD1310" s="3" t="n">
        <v>-0.8432686924934387</v>
      </c>
      <c r="AE1310" s="3" t="n">
        <v>-0.8432686924934387</v>
      </c>
    </row>
    <row r="1311">
      <c r="A1311" s="3" t="inlineStr">
        <is>
          <t>MAC.distn.dec.ove.mean.10</t>
        </is>
      </c>
      <c r="B1311" s="3" t="inlineStr">
        <is>
          <t>MAC</t>
        </is>
      </c>
      <c r="C1311" s="3" t="n">
        <v>2005</v>
      </c>
      <c r="D1311" s="3" t="inlineStr">
        <is>
          <t>Overall</t>
        </is>
      </c>
      <c r="E1311" s="3" t="inlineStr">
        <is>
          <t>Deciles</t>
        </is>
      </c>
      <c r="F1311" s="3" t="inlineStr">
        <is>
          <t>mean</t>
        </is>
      </c>
      <c r="G1311" s="3" t="n">
        <v>10</v>
      </c>
      <c r="H1311" s="3" t="n">
        <v>-0.7813762426376343</v>
      </c>
      <c r="I1311" s="3" t="n">
        <v>-0.7813762426376343</v>
      </c>
      <c r="J1311" s="3" t="n">
        <v>-0.8432686924934387</v>
      </c>
      <c r="K1311" s="3" t="n">
        <v>-0.8432686924934387</v>
      </c>
      <c r="L1311" s="3" t="n">
        <v>-0.7813762426376343</v>
      </c>
      <c r="M1311" s="3" t="n">
        <v>-0.7813762426376343</v>
      </c>
      <c r="N1311" s="3" t="n">
        <v>-0.7813762426376343</v>
      </c>
      <c r="O1311" s="3" t="n">
        <v>-0.7813762426376343</v>
      </c>
      <c r="P1311" s="3" t="n">
        <v>-0.7813762426376343</v>
      </c>
      <c r="Q1311" s="3" t="n">
        <v>-0.7813762426376343</v>
      </c>
      <c r="R1311" s="3" t="n">
        <v>-0.7692528963088989</v>
      </c>
      <c r="S1311" s="3" t="n">
        <v>-0.9507654309272766</v>
      </c>
      <c r="T1311" s="3" t="n">
        <v>-0.7080408334732056</v>
      </c>
      <c r="U1311" s="3" t="n">
        <v>-0.8432686924934387</v>
      </c>
      <c r="V1311" s="3" t="n">
        <v>-0.6746967434883118</v>
      </c>
      <c r="W1311" s="3" t="n">
        <v>-0.4712914824485779</v>
      </c>
      <c r="X1311" s="3" t="n">
        <v>-0.9485653042793274</v>
      </c>
      <c r="Y1311" s="3" t="n">
        <v>-0.7813762426376343</v>
      </c>
      <c r="Z1311" s="3" t="n">
        <v>-0.9507654309272766</v>
      </c>
      <c r="AA1311" s="3" t="n">
        <v>-0.9507654309272766</v>
      </c>
      <c r="AB1311" s="3" t="n">
        <v>-0.9485653042793274</v>
      </c>
      <c r="AC1311" s="3" t="n">
        <v>-1.010204315185547</v>
      </c>
      <c r="AD1311" s="3" t="n">
        <v>-0.8432686924934387</v>
      </c>
      <c r="AE1311" s="3" t="n">
        <v>-0.8432686924934387</v>
      </c>
    </row>
    <row r="1312">
      <c r="A1312" s="3" t="inlineStr">
        <is>
          <t>MAC.distn.bkt.ove.mean.9999</t>
        </is>
      </c>
      <c r="B1312" s="3" t="inlineStr">
        <is>
          <t>MAC</t>
        </is>
      </c>
      <c r="C1312" s="3" t="n">
        <v>2005</v>
      </c>
      <c r="D1312" s="3" t="inlineStr">
        <is>
          <t>Overall</t>
        </is>
      </c>
      <c r="E1312" s="3" t="inlineStr">
        <is>
          <t>Basket</t>
        </is>
      </c>
      <c r="F1312" s="3" t="inlineStr">
        <is>
          <t>mean</t>
        </is>
      </c>
      <c r="G1312" s="3" t="n">
        <v>9999</v>
      </c>
      <c r="H1312" s="3" t="n">
        <v>-0.7829827666282654</v>
      </c>
      <c r="I1312" s="3" t="n">
        <v>-0.7829827666282654</v>
      </c>
      <c r="J1312" s="3" t="n">
        <v>-0.8544909954071045</v>
      </c>
      <c r="K1312" s="3" t="n">
        <v>-0.8544909954071045</v>
      </c>
      <c r="L1312" s="3" t="n">
        <v>-0.7829827666282654</v>
      </c>
      <c r="M1312" s="3" t="n">
        <v>-0.7829827666282654</v>
      </c>
      <c r="N1312" s="3" t="n">
        <v>-0.7829827666282654</v>
      </c>
      <c r="O1312" s="3" t="n">
        <v>-0.7829827666282654</v>
      </c>
      <c r="P1312" s="3" t="n">
        <v>-0.7829827666282654</v>
      </c>
      <c r="Q1312" s="3" t="n">
        <v>-0.7829827666282654</v>
      </c>
      <c r="R1312" s="3" t="n">
        <v>-0.7701157331466675</v>
      </c>
      <c r="S1312" s="3" t="n">
        <v>-1.076939940452576</v>
      </c>
      <c r="T1312" s="3" t="n">
        <v>-0.708448052406311</v>
      </c>
      <c r="U1312" s="3" t="n">
        <v>-0.8544909954071045</v>
      </c>
      <c r="V1312" s="3" t="n">
        <v>-0.6762862801551819</v>
      </c>
      <c r="W1312" s="3" t="n">
        <v>-0.4886031746864319</v>
      </c>
      <c r="X1312" s="3" t="n">
        <v>-1.060153007507324</v>
      </c>
      <c r="Y1312" s="3" t="n">
        <v>-0.7829827666282654</v>
      </c>
      <c r="Z1312" s="3" t="n">
        <v>-1.076939940452576</v>
      </c>
      <c r="AA1312" s="3" t="n">
        <v>-1.076939940452576</v>
      </c>
      <c r="AB1312" s="3" t="n">
        <v>-1.060153007507324</v>
      </c>
      <c r="AC1312" s="3" t="n">
        <v>-1.320194005966187</v>
      </c>
      <c r="AD1312" s="3" t="n">
        <v>-0.8544909954071045</v>
      </c>
      <c r="AE1312" s="3" t="n">
        <v>-0.8544909954071045</v>
      </c>
    </row>
    <row r="1313">
      <c r="A1313" s="3" t="inlineStr">
        <is>
          <t>MAF.distn.dec.ove.mean.1</t>
        </is>
      </c>
      <c r="B1313" s="3" t="inlineStr">
        <is>
          <t>MAF</t>
        </is>
      </c>
      <c r="C1313" s="3" t="n">
        <v>2005</v>
      </c>
      <c r="D1313" s="3" t="inlineStr">
        <is>
          <t>Overall</t>
        </is>
      </c>
      <c r="E1313" s="3" t="inlineStr">
        <is>
          <t>Deciles</t>
        </is>
      </c>
      <c r="F1313" s="3" t="inlineStr">
        <is>
          <t>mean</t>
        </is>
      </c>
      <c r="G1313" s="3" t="n">
        <v>1</v>
      </c>
      <c r="H1313" s="3" t="n">
        <v>-0.7878549098968506</v>
      </c>
      <c r="I1313" s="3" t="n">
        <v>-0.7878549098968506</v>
      </c>
      <c r="J1313" s="3" t="n">
        <v>-0.8883962808771336</v>
      </c>
      <c r="K1313" s="3" t="n">
        <v>-0.8883962808771336</v>
      </c>
      <c r="L1313" s="3" t="n">
        <v>-0.7878549098968506</v>
      </c>
      <c r="M1313" s="3" t="n">
        <v>-0.7878549098968506</v>
      </c>
      <c r="N1313" s="3" t="n">
        <v>-0.7878549098968506</v>
      </c>
      <c r="O1313" s="3" t="n">
        <v>-0.7878549098968506</v>
      </c>
      <c r="P1313" s="3" t="n">
        <v>-0.7878549098968506</v>
      </c>
      <c r="Q1313" s="3" t="n">
        <v>-0.7878549098968506</v>
      </c>
      <c r="R1313" s="3" t="n">
        <v>-0.7732356596500316</v>
      </c>
      <c r="S1313" s="3" t="n">
        <v>-1.408805674694954</v>
      </c>
      <c r="T1313" s="3" t="n">
        <v>-0.7095591730259835</v>
      </c>
      <c r="U1313" s="3" t="n">
        <v>-0.8883962808771336</v>
      </c>
      <c r="V1313" s="3" t="n">
        <v>-0.681934451803248</v>
      </c>
      <c r="W1313" s="3" t="n">
        <v>-0.5702875047288043</v>
      </c>
      <c r="X1313" s="3" t="n">
        <v>-1.356243993373627</v>
      </c>
      <c r="Y1313" s="3" t="n">
        <v>-0.7878549098968506</v>
      </c>
      <c r="Z1313" s="3" t="n">
        <v>-1.408805674694954</v>
      </c>
      <c r="AA1313" s="3" t="n">
        <v>-1.408805674694954</v>
      </c>
      <c r="AB1313" s="3" t="n">
        <v>-1.356243993373627</v>
      </c>
      <c r="AC1313" s="3" t="n">
        <v>-2.123991362592007</v>
      </c>
      <c r="AD1313" s="3" t="n">
        <v>-0.8883962808771336</v>
      </c>
      <c r="AE1313" s="3" t="n">
        <v>-0.8883962808771336</v>
      </c>
    </row>
    <row r="1314">
      <c r="A1314" s="3" t="inlineStr">
        <is>
          <t>MAF.distn.dec.ove.mean.2</t>
        </is>
      </c>
      <c r="B1314" s="3" t="inlineStr">
        <is>
          <t>MAF</t>
        </is>
      </c>
      <c r="C1314" s="3" t="n">
        <v>2005</v>
      </c>
      <c r="D1314" s="3" t="inlineStr">
        <is>
          <t>Overall</t>
        </is>
      </c>
      <c r="E1314" s="3" t="inlineStr">
        <is>
          <t>Deciles</t>
        </is>
      </c>
      <c r="F1314" s="3" t="inlineStr">
        <is>
          <t>mean</t>
        </is>
      </c>
      <c r="G1314" s="3" t="n">
        <v>2</v>
      </c>
      <c r="H1314" s="3" t="n">
        <v>-0.7878549098968506</v>
      </c>
      <c r="I1314" s="3" t="n">
        <v>-0.7878549098968506</v>
      </c>
      <c r="J1314" s="3" t="n">
        <v>-0.8883962808771336</v>
      </c>
      <c r="K1314" s="3" t="n">
        <v>-0.8883962808771336</v>
      </c>
      <c r="L1314" s="3" t="n">
        <v>-0.7878549098968506</v>
      </c>
      <c r="M1314" s="3" t="n">
        <v>-0.7878549098968506</v>
      </c>
      <c r="N1314" s="3" t="n">
        <v>-0.7878549098968506</v>
      </c>
      <c r="O1314" s="3" t="n">
        <v>-0.7878549098968506</v>
      </c>
      <c r="P1314" s="3" t="n">
        <v>-0.7878549098968506</v>
      </c>
      <c r="Q1314" s="3" t="n">
        <v>-0.7878549098968506</v>
      </c>
      <c r="R1314" s="3" t="n">
        <v>-0.7732356596500316</v>
      </c>
      <c r="S1314" s="3" t="n">
        <v>-1.408805674694954</v>
      </c>
      <c r="T1314" s="3" t="n">
        <v>-0.7095591730259835</v>
      </c>
      <c r="U1314" s="3" t="n">
        <v>-0.8883962808771336</v>
      </c>
      <c r="V1314" s="3" t="n">
        <v>-0.681934451803248</v>
      </c>
      <c r="W1314" s="3" t="n">
        <v>-0.5702875047288043</v>
      </c>
      <c r="X1314" s="3" t="n">
        <v>-1.356243993373627</v>
      </c>
      <c r="Y1314" s="3" t="n">
        <v>-0.7878549098968506</v>
      </c>
      <c r="Z1314" s="3" t="n">
        <v>-1.408805674694954</v>
      </c>
      <c r="AA1314" s="3" t="n">
        <v>-1.408805674694954</v>
      </c>
      <c r="AB1314" s="3" t="n">
        <v>-1.356243993373627</v>
      </c>
      <c r="AC1314" s="3" t="n">
        <v>-2.123991362592007</v>
      </c>
      <c r="AD1314" s="3" t="n">
        <v>-0.8883962808771336</v>
      </c>
      <c r="AE1314" s="3" t="n">
        <v>-0.8883962808771336</v>
      </c>
    </row>
    <row r="1315">
      <c r="A1315" s="3" t="inlineStr">
        <is>
          <t>MAF.distn.dec.ove.mean.3</t>
        </is>
      </c>
      <c r="B1315" s="3" t="inlineStr">
        <is>
          <t>MAF</t>
        </is>
      </c>
      <c r="C1315" s="3" t="n">
        <v>2005</v>
      </c>
      <c r="D1315" s="3" t="inlineStr">
        <is>
          <t>Overall</t>
        </is>
      </c>
      <c r="E1315" s="3" t="inlineStr">
        <is>
          <t>Deciles</t>
        </is>
      </c>
      <c r="F1315" s="3" t="inlineStr">
        <is>
          <t>mean</t>
        </is>
      </c>
      <c r="G1315" s="3" t="n">
        <v>3</v>
      </c>
      <c r="H1315" s="3" t="n">
        <v>-0.7878549098968506</v>
      </c>
      <c r="I1315" s="3" t="n">
        <v>-0.7878549098968506</v>
      </c>
      <c r="J1315" s="3" t="n">
        <v>-0.8883962808771336</v>
      </c>
      <c r="K1315" s="3" t="n">
        <v>-0.8883962808771336</v>
      </c>
      <c r="L1315" s="3" t="n">
        <v>-0.7878549098968506</v>
      </c>
      <c r="M1315" s="3" t="n">
        <v>-0.7878549098968506</v>
      </c>
      <c r="N1315" s="3" t="n">
        <v>-0.7878549098968506</v>
      </c>
      <c r="O1315" s="3" t="n">
        <v>-0.7878549098968506</v>
      </c>
      <c r="P1315" s="3" t="n">
        <v>-0.7878549098968506</v>
      </c>
      <c r="Q1315" s="3" t="n">
        <v>-0.7878549098968506</v>
      </c>
      <c r="R1315" s="3" t="n">
        <v>-0.7732356596500316</v>
      </c>
      <c r="S1315" s="3" t="n">
        <v>-1.408805674694954</v>
      </c>
      <c r="T1315" s="3" t="n">
        <v>-0.7095591730259835</v>
      </c>
      <c r="U1315" s="3" t="n">
        <v>-0.8883962808771336</v>
      </c>
      <c r="V1315" s="3" t="n">
        <v>-0.681934451803248</v>
      </c>
      <c r="W1315" s="3" t="n">
        <v>-0.5702875047288043</v>
      </c>
      <c r="X1315" s="3" t="n">
        <v>-1.356243993373627</v>
      </c>
      <c r="Y1315" s="3" t="n">
        <v>-0.7878549098968506</v>
      </c>
      <c r="Z1315" s="3" t="n">
        <v>-1.408805674694954</v>
      </c>
      <c r="AA1315" s="3" t="n">
        <v>-1.408805674694954</v>
      </c>
      <c r="AB1315" s="3" t="n">
        <v>-1.356243993373627</v>
      </c>
      <c r="AC1315" s="3" t="n">
        <v>-2.123991362592007</v>
      </c>
      <c r="AD1315" s="3" t="n">
        <v>-0.8883962808771336</v>
      </c>
      <c r="AE1315" s="3" t="n">
        <v>-0.8883962808771336</v>
      </c>
    </row>
    <row r="1316">
      <c r="A1316" s="3" t="inlineStr">
        <is>
          <t>MAF.distn.dec.ove.mean.4</t>
        </is>
      </c>
      <c r="B1316" s="3" t="inlineStr">
        <is>
          <t>MAF</t>
        </is>
      </c>
      <c r="C1316" s="3" t="n">
        <v>2005</v>
      </c>
      <c r="D1316" s="3" t="inlineStr">
        <is>
          <t>Overall</t>
        </is>
      </c>
      <c r="E1316" s="3" t="inlineStr">
        <is>
          <t>Deciles</t>
        </is>
      </c>
      <c r="F1316" s="3" t="inlineStr">
        <is>
          <t>mean</t>
        </is>
      </c>
      <c r="G1316" s="3" t="n">
        <v>4</v>
      </c>
      <c r="H1316" s="3" t="n">
        <v>-0.7816170251115839</v>
      </c>
      <c r="I1316" s="3" t="n">
        <v>-0.7816170251115839</v>
      </c>
      <c r="J1316" s="3" t="n">
        <v>-0.8454680810583398</v>
      </c>
      <c r="K1316" s="3" t="n">
        <v>-0.8454680810583398</v>
      </c>
      <c r="L1316" s="3" t="n">
        <v>-0.7816170251115839</v>
      </c>
      <c r="M1316" s="3" t="n">
        <v>-0.7816170251115839</v>
      </c>
      <c r="N1316" s="3" t="n">
        <v>-0.7816170251115839</v>
      </c>
      <c r="O1316" s="3" t="n">
        <v>-0.7816170251115839</v>
      </c>
      <c r="P1316" s="3" t="n">
        <v>-0.7816170251115839</v>
      </c>
      <c r="Q1316" s="3" t="n">
        <v>-0.7816170251115839</v>
      </c>
      <c r="R1316" s="3" t="n">
        <v>-0.7697659489956308</v>
      </c>
      <c r="S1316" s="3" t="n">
        <v>-0.9595531871978272</v>
      </c>
      <c r="T1316" s="3" t="n">
        <v>-0.7081063859006191</v>
      </c>
      <c r="U1316" s="3" t="n">
        <v>-0.8454680810583398</v>
      </c>
      <c r="V1316" s="3" t="n">
        <v>-0.6750000017754575</v>
      </c>
      <c r="W1316" s="3" t="n">
        <v>-0.4799574455048176</v>
      </c>
      <c r="X1316" s="3" t="n">
        <v>-0.9571489362006492</v>
      </c>
      <c r="Y1316" s="3" t="n">
        <v>-0.7816170251115839</v>
      </c>
      <c r="Z1316" s="3" t="n">
        <v>-0.9595531871978272</v>
      </c>
      <c r="AA1316" s="3" t="n">
        <v>-0.9595531871978272</v>
      </c>
      <c r="AB1316" s="3" t="n">
        <v>-0.9571489362006492</v>
      </c>
      <c r="AC1316" s="3" t="n">
        <v>-1.025723396463597</v>
      </c>
      <c r="AD1316" s="3" t="n">
        <v>-0.8454680810583398</v>
      </c>
      <c r="AE1316" s="3" t="n">
        <v>-0.8454680810583398</v>
      </c>
    </row>
    <row r="1317">
      <c r="A1317" s="3" t="inlineStr">
        <is>
          <t>MAF.distn.dec.ove.mean.5</t>
        </is>
      </c>
      <c r="B1317" s="3" t="inlineStr">
        <is>
          <t>MAF</t>
        </is>
      </c>
      <c r="C1317" s="3" t="n">
        <v>2005</v>
      </c>
      <c r="D1317" s="3" t="inlineStr">
        <is>
          <t>Overall</t>
        </is>
      </c>
      <c r="E1317" s="3" t="inlineStr">
        <is>
          <t>Deciles</t>
        </is>
      </c>
      <c r="F1317" s="3" t="inlineStr">
        <is>
          <t>mean</t>
        </is>
      </c>
      <c r="G1317" s="3" t="n">
        <v>5</v>
      </c>
      <c r="H1317" s="3" t="n">
        <v>-0.7816170251115839</v>
      </c>
      <c r="I1317" s="3" t="n">
        <v>-0.7816170251115839</v>
      </c>
      <c r="J1317" s="3" t="n">
        <v>-0.8454680810583398</v>
      </c>
      <c r="K1317" s="3" t="n">
        <v>-0.8454680810583398</v>
      </c>
      <c r="L1317" s="3" t="n">
        <v>-0.7816170251115839</v>
      </c>
      <c r="M1317" s="3" t="n">
        <v>-0.7816170251115839</v>
      </c>
      <c r="N1317" s="3" t="n">
        <v>-0.7816170251115839</v>
      </c>
      <c r="O1317" s="3" t="n">
        <v>-0.7816170251115839</v>
      </c>
      <c r="P1317" s="3" t="n">
        <v>-0.7816170251115839</v>
      </c>
      <c r="Q1317" s="3" t="n">
        <v>-0.7816170251115839</v>
      </c>
      <c r="R1317" s="3" t="n">
        <v>-0.7697659489956308</v>
      </c>
      <c r="S1317" s="3" t="n">
        <v>-0.9595531871978272</v>
      </c>
      <c r="T1317" s="3" t="n">
        <v>-0.7081063859006191</v>
      </c>
      <c r="U1317" s="3" t="n">
        <v>-0.8454680810583398</v>
      </c>
      <c r="V1317" s="3" t="n">
        <v>-0.6750000017754575</v>
      </c>
      <c r="W1317" s="3" t="n">
        <v>-0.4799574455048176</v>
      </c>
      <c r="X1317" s="3" t="n">
        <v>-0.9571489362006492</v>
      </c>
      <c r="Y1317" s="3" t="n">
        <v>-0.7816170251115839</v>
      </c>
      <c r="Z1317" s="3" t="n">
        <v>-0.9595531871978272</v>
      </c>
      <c r="AA1317" s="3" t="n">
        <v>-0.9595531871978272</v>
      </c>
      <c r="AB1317" s="3" t="n">
        <v>-0.9571489362006492</v>
      </c>
      <c r="AC1317" s="3" t="n">
        <v>-1.025723396463597</v>
      </c>
      <c r="AD1317" s="3" t="n">
        <v>-0.8454680810583398</v>
      </c>
      <c r="AE1317" s="3" t="n">
        <v>-0.8454680810583398</v>
      </c>
    </row>
    <row r="1318">
      <c r="A1318" s="3" t="inlineStr">
        <is>
          <t>MAF.distn.dec.ove.mean.6</t>
        </is>
      </c>
      <c r="B1318" s="3" t="inlineStr">
        <is>
          <t>MAF</t>
        </is>
      </c>
      <c r="C1318" s="3" t="n">
        <v>2005</v>
      </c>
      <c r="D1318" s="3" t="inlineStr">
        <is>
          <t>Overall</t>
        </is>
      </c>
      <c r="E1318" s="3" t="inlineStr">
        <is>
          <t>Deciles</t>
        </is>
      </c>
      <c r="F1318" s="3" t="inlineStr">
        <is>
          <t>mean</t>
        </is>
      </c>
      <c r="G1318" s="3" t="n">
        <v>6</v>
      </c>
      <c r="H1318" s="3" t="n">
        <v>-0.7816170251115839</v>
      </c>
      <c r="I1318" s="3" t="n">
        <v>-0.7816170251115839</v>
      </c>
      <c r="J1318" s="3" t="n">
        <v>-0.8454680810583398</v>
      </c>
      <c r="K1318" s="3" t="n">
        <v>-0.8454680810583398</v>
      </c>
      <c r="L1318" s="3" t="n">
        <v>-0.7816170251115839</v>
      </c>
      <c r="M1318" s="3" t="n">
        <v>-0.7816170251115839</v>
      </c>
      <c r="N1318" s="3" t="n">
        <v>-0.7816170251115839</v>
      </c>
      <c r="O1318" s="3" t="n">
        <v>-0.7816170251115839</v>
      </c>
      <c r="P1318" s="3" t="n">
        <v>-0.7816170251115839</v>
      </c>
      <c r="Q1318" s="3" t="n">
        <v>-0.7816170251115839</v>
      </c>
      <c r="R1318" s="3" t="n">
        <v>-0.7697659489956308</v>
      </c>
      <c r="S1318" s="3" t="n">
        <v>-0.9595531871978272</v>
      </c>
      <c r="T1318" s="3" t="n">
        <v>-0.7081063859006191</v>
      </c>
      <c r="U1318" s="3" t="n">
        <v>-0.8454680810583398</v>
      </c>
      <c r="V1318" s="3" t="n">
        <v>-0.6750000017754575</v>
      </c>
      <c r="W1318" s="3" t="n">
        <v>-0.4799574455048176</v>
      </c>
      <c r="X1318" s="3" t="n">
        <v>-0.9571489362006492</v>
      </c>
      <c r="Y1318" s="3" t="n">
        <v>-0.7816170251115839</v>
      </c>
      <c r="Z1318" s="3" t="n">
        <v>-0.9595531871978272</v>
      </c>
      <c r="AA1318" s="3" t="n">
        <v>-0.9595531871978272</v>
      </c>
      <c r="AB1318" s="3" t="n">
        <v>-0.9571489362006492</v>
      </c>
      <c r="AC1318" s="3" t="n">
        <v>-1.025723396463597</v>
      </c>
      <c r="AD1318" s="3" t="n">
        <v>-0.8454680810583398</v>
      </c>
      <c r="AE1318" s="3" t="n">
        <v>-0.8454680810583398</v>
      </c>
    </row>
    <row r="1319">
      <c r="A1319" s="3" t="inlineStr">
        <is>
          <t>MAF.distn.dec.ove.mean.7</t>
        </is>
      </c>
      <c r="B1319" s="3" t="inlineStr">
        <is>
          <t>MAF</t>
        </is>
      </c>
      <c r="C1319" s="3" t="n">
        <v>2005</v>
      </c>
      <c r="D1319" s="3" t="inlineStr">
        <is>
          <t>Overall</t>
        </is>
      </c>
      <c r="E1319" s="3" t="inlineStr">
        <is>
          <t>Deciles</t>
        </is>
      </c>
      <c r="F1319" s="3" t="inlineStr">
        <is>
          <t>mean</t>
        </is>
      </c>
      <c r="G1319" s="3" t="n">
        <v>7</v>
      </c>
      <c r="H1319" s="3" t="n">
        <v>-0.7816170251115839</v>
      </c>
      <c r="I1319" s="3" t="n">
        <v>-0.7816170251115839</v>
      </c>
      <c r="J1319" s="3" t="n">
        <v>-0.8454680810583398</v>
      </c>
      <c r="K1319" s="3" t="n">
        <v>-0.8454680810583398</v>
      </c>
      <c r="L1319" s="3" t="n">
        <v>-0.7816170251115839</v>
      </c>
      <c r="M1319" s="3" t="n">
        <v>-0.7816170251115839</v>
      </c>
      <c r="N1319" s="3" t="n">
        <v>-0.7816170251115839</v>
      </c>
      <c r="O1319" s="3" t="n">
        <v>-0.7816170251115839</v>
      </c>
      <c r="P1319" s="3" t="n">
        <v>-0.7816170251115839</v>
      </c>
      <c r="Q1319" s="3" t="n">
        <v>-0.7816170251115839</v>
      </c>
      <c r="R1319" s="3" t="n">
        <v>-0.7697659489956308</v>
      </c>
      <c r="S1319" s="3" t="n">
        <v>-0.9595531871978272</v>
      </c>
      <c r="T1319" s="3" t="n">
        <v>-0.7081063859006191</v>
      </c>
      <c r="U1319" s="3" t="n">
        <v>-0.8454680810583398</v>
      </c>
      <c r="V1319" s="3" t="n">
        <v>-0.6750000017754575</v>
      </c>
      <c r="W1319" s="3" t="n">
        <v>-0.4799574455048176</v>
      </c>
      <c r="X1319" s="3" t="n">
        <v>-0.9571489362006492</v>
      </c>
      <c r="Y1319" s="3" t="n">
        <v>-0.7816170251115839</v>
      </c>
      <c r="Z1319" s="3" t="n">
        <v>-0.9595531871978272</v>
      </c>
      <c r="AA1319" s="3" t="n">
        <v>-0.9595531871978272</v>
      </c>
      <c r="AB1319" s="3" t="n">
        <v>-0.9571489362006492</v>
      </c>
      <c r="AC1319" s="3" t="n">
        <v>-1.025723396463597</v>
      </c>
      <c r="AD1319" s="3" t="n">
        <v>-0.8454680810583398</v>
      </c>
      <c r="AE1319" s="3" t="n">
        <v>-0.8454680810583398</v>
      </c>
    </row>
    <row r="1320">
      <c r="A1320" s="3" t="inlineStr">
        <is>
          <t>MAF.distn.dec.ove.mean.8</t>
        </is>
      </c>
      <c r="B1320" s="3" t="inlineStr">
        <is>
          <t>MAF</t>
        </is>
      </c>
      <c r="C1320" s="3" t="n">
        <v>2005</v>
      </c>
      <c r="D1320" s="3" t="inlineStr">
        <is>
          <t>Overall</t>
        </is>
      </c>
      <c r="E1320" s="3" t="inlineStr">
        <is>
          <t>Deciles</t>
        </is>
      </c>
      <c r="F1320" s="3" t="inlineStr">
        <is>
          <t>mean</t>
        </is>
      </c>
      <c r="G1320" s="3" t="n">
        <v>8</v>
      </c>
      <c r="H1320" s="3" t="n">
        <v>-0.7819935831617801</v>
      </c>
      <c r="I1320" s="3" t="n">
        <v>-0.7819935831617801</v>
      </c>
      <c r="J1320" s="3" t="n">
        <v>-0.8477488045996808</v>
      </c>
      <c r="K1320" s="3" t="n">
        <v>-0.8477488045996808</v>
      </c>
      <c r="L1320" s="3" t="n">
        <v>-0.7819935831617801</v>
      </c>
      <c r="M1320" s="3" t="n">
        <v>-0.7819935831617801</v>
      </c>
      <c r="N1320" s="3" t="n">
        <v>-0.7819935831617801</v>
      </c>
      <c r="O1320" s="3" t="n">
        <v>-0.7819935831617801</v>
      </c>
      <c r="P1320" s="3" t="n">
        <v>-0.7819935831617801</v>
      </c>
      <c r="Q1320" s="3" t="n">
        <v>-0.7819935831617801</v>
      </c>
      <c r="R1320" s="3" t="n">
        <v>-0.7700191178220384</v>
      </c>
      <c r="S1320" s="3" t="n">
        <v>-0.9684819490351575</v>
      </c>
      <c r="T1320" s="3" t="n">
        <v>-0.70814722142321</v>
      </c>
      <c r="U1320" s="3" t="n">
        <v>-0.8477488045996808</v>
      </c>
      <c r="V1320" s="3" t="n">
        <v>-0.6756977857427394</v>
      </c>
      <c r="W1320" s="3" t="n">
        <v>-0.4928101326556916</v>
      </c>
      <c r="X1320" s="3" t="n">
        <v>-0.9658704755154062</v>
      </c>
      <c r="Y1320" s="3" t="n">
        <v>-0.7819935831617801</v>
      </c>
      <c r="Z1320" s="3" t="n">
        <v>-0.9684819490351575</v>
      </c>
      <c r="AA1320" s="3" t="n">
        <v>-0.9684819490351575</v>
      </c>
      <c r="AB1320" s="3" t="n">
        <v>-0.9658704755154062</v>
      </c>
      <c r="AC1320" s="3" t="n">
        <v>-1.04035159628442</v>
      </c>
      <c r="AD1320" s="3" t="n">
        <v>-0.8477488045996808</v>
      </c>
      <c r="AE1320" s="3" t="n">
        <v>-0.8477488045996808</v>
      </c>
    </row>
    <row r="1321">
      <c r="A1321" s="3" t="inlineStr">
        <is>
          <t>MAF.distn.dec.ove.mean.9</t>
        </is>
      </c>
      <c r="B1321" s="3" t="inlineStr">
        <is>
          <t>MAF</t>
        </is>
      </c>
      <c r="C1321" s="3" t="n">
        <v>2005</v>
      </c>
      <c r="D1321" s="3" t="inlineStr">
        <is>
          <t>Overall</t>
        </is>
      </c>
      <c r="E1321" s="3" t="inlineStr">
        <is>
          <t>Deciles</t>
        </is>
      </c>
      <c r="F1321" s="3" t="inlineStr">
        <is>
          <t>mean</t>
        </is>
      </c>
      <c r="G1321" s="3" t="n">
        <v>9</v>
      </c>
      <c r="H1321" s="3" t="n">
        <v>-0.7819935831617801</v>
      </c>
      <c r="I1321" s="3" t="n">
        <v>-0.7819935831617801</v>
      </c>
      <c r="J1321" s="3" t="n">
        <v>-0.8477488045996808</v>
      </c>
      <c r="K1321" s="3" t="n">
        <v>-0.8477488045996808</v>
      </c>
      <c r="L1321" s="3" t="n">
        <v>-0.7819935831617801</v>
      </c>
      <c r="M1321" s="3" t="n">
        <v>-0.7819935831617801</v>
      </c>
      <c r="N1321" s="3" t="n">
        <v>-0.7819935831617801</v>
      </c>
      <c r="O1321" s="3" t="n">
        <v>-0.7819935831617801</v>
      </c>
      <c r="P1321" s="3" t="n">
        <v>-0.7819935831617801</v>
      </c>
      <c r="Q1321" s="3" t="n">
        <v>-0.7819935831617801</v>
      </c>
      <c r="R1321" s="3" t="n">
        <v>-0.7700191178220384</v>
      </c>
      <c r="S1321" s="3" t="n">
        <v>-0.9684819490351575</v>
      </c>
      <c r="T1321" s="3" t="n">
        <v>-0.70814722142321</v>
      </c>
      <c r="U1321" s="3" t="n">
        <v>-0.8477488045996808</v>
      </c>
      <c r="V1321" s="3" t="n">
        <v>-0.6756977857427394</v>
      </c>
      <c r="W1321" s="3" t="n">
        <v>-0.4928101326556916</v>
      </c>
      <c r="X1321" s="3" t="n">
        <v>-0.9658704755154062</v>
      </c>
      <c r="Y1321" s="3" t="n">
        <v>-0.7819935831617801</v>
      </c>
      <c r="Z1321" s="3" t="n">
        <v>-0.9684819490351575</v>
      </c>
      <c r="AA1321" s="3" t="n">
        <v>-0.9684819490351575</v>
      </c>
      <c r="AB1321" s="3" t="n">
        <v>-0.9658704755154062</v>
      </c>
      <c r="AC1321" s="3" t="n">
        <v>-1.04035159628442</v>
      </c>
      <c r="AD1321" s="3" t="n">
        <v>-0.8477488045996808</v>
      </c>
      <c r="AE1321" s="3" t="n">
        <v>-0.8477488045996808</v>
      </c>
    </row>
    <row r="1322">
      <c r="A1322" s="3" t="inlineStr">
        <is>
          <t>MAF.distn.dec.ove.mean.10</t>
        </is>
      </c>
      <c r="B1322" s="3" t="inlineStr">
        <is>
          <t>MAF</t>
        </is>
      </c>
      <c r="C1322" s="3" t="n">
        <v>2005</v>
      </c>
      <c r="D1322" s="3" t="inlineStr">
        <is>
          <t>Overall</t>
        </is>
      </c>
      <c r="E1322" s="3" t="inlineStr">
        <is>
          <t>Deciles</t>
        </is>
      </c>
      <c r="F1322" s="3" t="inlineStr">
        <is>
          <t>mean</t>
        </is>
      </c>
      <c r="G1322" s="3" t="n">
        <v>10</v>
      </c>
      <c r="H1322" s="3" t="n">
        <v>-0.7819935831617801</v>
      </c>
      <c r="I1322" s="3" t="n">
        <v>-0.7819935831617801</v>
      </c>
      <c r="J1322" s="3" t="n">
        <v>-0.8477488045996808</v>
      </c>
      <c r="K1322" s="3" t="n">
        <v>-0.8477488045996808</v>
      </c>
      <c r="L1322" s="3" t="n">
        <v>-0.7819935831617801</v>
      </c>
      <c r="M1322" s="3" t="n">
        <v>-0.7819935831617801</v>
      </c>
      <c r="N1322" s="3" t="n">
        <v>-0.7819935831617801</v>
      </c>
      <c r="O1322" s="3" t="n">
        <v>-0.7819935831617801</v>
      </c>
      <c r="P1322" s="3" t="n">
        <v>-0.7819935831617801</v>
      </c>
      <c r="Q1322" s="3" t="n">
        <v>-0.7819935831617801</v>
      </c>
      <c r="R1322" s="3" t="n">
        <v>-0.7700191178220384</v>
      </c>
      <c r="S1322" s="3" t="n">
        <v>-0.9684819490351575</v>
      </c>
      <c r="T1322" s="3" t="n">
        <v>-0.70814722142321</v>
      </c>
      <c r="U1322" s="3" t="n">
        <v>-0.8477488045996808</v>
      </c>
      <c r="V1322" s="3" t="n">
        <v>-0.6756977857427394</v>
      </c>
      <c r="W1322" s="3" t="n">
        <v>-0.4928101326556916</v>
      </c>
      <c r="X1322" s="3" t="n">
        <v>-0.9658704755154062</v>
      </c>
      <c r="Y1322" s="3" t="n">
        <v>-0.7819935831617801</v>
      </c>
      <c r="Z1322" s="3" t="n">
        <v>-0.9684819490351575</v>
      </c>
      <c r="AA1322" s="3" t="n">
        <v>-0.9684819490351575</v>
      </c>
      <c r="AB1322" s="3" t="n">
        <v>-0.9658704755154062</v>
      </c>
      <c r="AC1322" s="3" t="n">
        <v>-1.04035159628442</v>
      </c>
      <c r="AD1322" s="3" t="n">
        <v>-0.8477488045996808</v>
      </c>
      <c r="AE1322" s="3" t="n">
        <v>-0.8477488045996808</v>
      </c>
    </row>
    <row r="1323">
      <c r="A1323" s="3" t="inlineStr">
        <is>
          <t>MAF.distn.bkt.ove.mean.9999</t>
        </is>
      </c>
      <c r="B1323" s="3" t="inlineStr">
        <is>
          <t>MAF</t>
        </is>
      </c>
      <c r="C1323" s="3" t="n">
        <v>2005</v>
      </c>
      <c r="D1323" s="3" t="inlineStr">
        <is>
          <t>Overall</t>
        </is>
      </c>
      <c r="E1323" s="3" t="inlineStr">
        <is>
          <t>Basket</t>
        </is>
      </c>
      <c r="F1323" s="3" t="inlineStr">
        <is>
          <t>mean</t>
        </is>
      </c>
      <c r="G1323" s="3" t="n">
        <v>9999</v>
      </c>
      <c r="H1323" s="3" t="n">
        <v>-0.7836013613863194</v>
      </c>
      <c r="I1323" s="3" t="n">
        <v>-0.7836013613863194</v>
      </c>
      <c r="J1323" s="3" t="n">
        <v>-0.8590307616172953</v>
      </c>
      <c r="K1323" s="3" t="n">
        <v>-0.8590307616172953</v>
      </c>
      <c r="L1323" s="3" t="n">
        <v>-0.7836013613863194</v>
      </c>
      <c r="M1323" s="3" t="n">
        <v>-0.7836013613863194</v>
      </c>
      <c r="N1323" s="3" t="n">
        <v>-0.7836013613863194</v>
      </c>
      <c r="O1323" s="3" t="n">
        <v>-0.7836013613863194</v>
      </c>
      <c r="P1323" s="3" t="n">
        <v>-0.7836013613863194</v>
      </c>
      <c r="Q1323" s="3" t="n">
        <v>-0.7836013613863194</v>
      </c>
      <c r="R1323" s="3" t="n">
        <v>-0.7708828220976159</v>
      </c>
      <c r="S1323" s="3" t="n">
        <v>-1.097007578991829</v>
      </c>
      <c r="T1323" s="3" t="n">
        <v>-0.7085544974245923</v>
      </c>
      <c r="U1323" s="3" t="n">
        <v>-0.8590307616172953</v>
      </c>
      <c r="V1323" s="3" t="n">
        <v>-0.6772896647453308</v>
      </c>
      <c r="W1323" s="3" t="n">
        <v>-0.5109122699879586</v>
      </c>
      <c r="X1323" s="3" t="n">
        <v>-1.079493910708326</v>
      </c>
      <c r="Y1323" s="3" t="n">
        <v>-0.7836013613863194</v>
      </c>
      <c r="Z1323" s="3" t="n">
        <v>-1.097007578991829</v>
      </c>
      <c r="AA1323" s="3" t="n">
        <v>-1.097007578991829</v>
      </c>
      <c r="AB1323" s="3" t="n">
        <v>-1.079493910708326</v>
      </c>
      <c r="AC1323" s="3" t="n">
        <v>-1.359592239907447</v>
      </c>
      <c r="AD1323" s="3" t="n">
        <v>-0.8590307616172953</v>
      </c>
      <c r="AE1323" s="3" t="n">
        <v>-0.8590307616172953</v>
      </c>
    </row>
    <row r="1324">
      <c r="A1324" s="3" t="inlineStr">
        <is>
          <t>MAR.distn.dec.ove.mean.1</t>
        </is>
      </c>
      <c r="B1324" s="3" t="inlineStr">
        <is>
          <t>MAR</t>
        </is>
      </c>
      <c r="C1324" s="3" t="n">
        <v>2005</v>
      </c>
      <c r="D1324" s="3" t="inlineStr">
        <is>
          <t>Overall</t>
        </is>
      </c>
      <c r="E1324" s="3" t="inlineStr">
        <is>
          <t>Deciles</t>
        </is>
      </c>
      <c r="F1324" s="3" t="inlineStr">
        <is>
          <t>mean</t>
        </is>
      </c>
      <c r="G1324" s="3" t="n">
        <v>1</v>
      </c>
      <c r="H1324" s="3" t="n">
        <v>-0.7922728657722473</v>
      </c>
      <c r="I1324" s="3" t="n">
        <v>-0.7922728657722473</v>
      </c>
      <c r="J1324" s="3" t="n">
        <v>-0.9162753224372864</v>
      </c>
      <c r="K1324" s="3" t="n">
        <v>-0.9162753224372864</v>
      </c>
      <c r="L1324" s="3" t="n">
        <v>-0.7922728657722473</v>
      </c>
      <c r="M1324" s="3" t="n">
        <v>-0.7922728657722473</v>
      </c>
      <c r="N1324" s="3" t="n">
        <v>-0.7922728657722473</v>
      </c>
      <c r="O1324" s="3" t="n">
        <v>-0.7922728657722473</v>
      </c>
      <c r="P1324" s="3" t="n">
        <v>-0.7922728657722473</v>
      </c>
      <c r="Q1324" s="3" t="n">
        <v>-0.7922728657722473</v>
      </c>
      <c r="R1324" s="3" t="n">
        <v>-0.775479793548584</v>
      </c>
      <c r="S1324" s="3" t="n">
        <v>-1.61647641658783</v>
      </c>
      <c r="T1324" s="3" t="n">
        <v>-0.7104546427726746</v>
      </c>
      <c r="U1324" s="3" t="n">
        <v>-0.9162753224372864</v>
      </c>
      <c r="V1324" s="3" t="n">
        <v>-0.6869857907295227</v>
      </c>
      <c r="W1324" s="3" t="n">
        <v>-0.6642062067985535</v>
      </c>
      <c r="X1324" s="3" t="n">
        <v>-1.551573753356934</v>
      </c>
      <c r="Y1324" s="3" t="n">
        <v>-0.7922728657722473</v>
      </c>
      <c r="Z1324" s="3" t="n">
        <v>-1.61647641658783</v>
      </c>
      <c r="AA1324" s="3" t="n">
        <v>-1.61647641658783</v>
      </c>
      <c r="AB1324" s="3" t="n">
        <v>-1.551573753356934</v>
      </c>
      <c r="AC1324" s="3" t="n">
        <v>-2.71679162979126</v>
      </c>
      <c r="AD1324" s="3" t="n">
        <v>-0.9162753224372864</v>
      </c>
      <c r="AE1324" s="3" t="n">
        <v>-0.9162753224372864</v>
      </c>
    </row>
    <row r="1325">
      <c r="A1325" s="3" t="inlineStr">
        <is>
          <t>MAR.distn.dec.ove.mean.2</t>
        </is>
      </c>
      <c r="B1325" s="3" t="inlineStr">
        <is>
          <t>MAR</t>
        </is>
      </c>
      <c r="C1325" s="3" t="n">
        <v>2005</v>
      </c>
      <c r="D1325" s="3" t="inlineStr">
        <is>
          <t>Overall</t>
        </is>
      </c>
      <c r="E1325" s="3" t="inlineStr">
        <is>
          <t>Deciles</t>
        </is>
      </c>
      <c r="F1325" s="3" t="inlineStr">
        <is>
          <t>mean</t>
        </is>
      </c>
      <c r="G1325" s="3" t="n">
        <v>2</v>
      </c>
      <c r="H1325" s="3" t="n">
        <v>-0.7922728657722473</v>
      </c>
      <c r="I1325" s="3" t="n">
        <v>-0.7922728657722473</v>
      </c>
      <c r="J1325" s="3" t="n">
        <v>-0.9162753224372864</v>
      </c>
      <c r="K1325" s="3" t="n">
        <v>-0.9162753224372864</v>
      </c>
      <c r="L1325" s="3" t="n">
        <v>-0.7922728657722473</v>
      </c>
      <c r="M1325" s="3" t="n">
        <v>-0.7922728657722473</v>
      </c>
      <c r="N1325" s="3" t="n">
        <v>-0.7922728657722473</v>
      </c>
      <c r="O1325" s="3" t="n">
        <v>-0.7922728657722473</v>
      </c>
      <c r="P1325" s="3" t="n">
        <v>-0.7922728657722473</v>
      </c>
      <c r="Q1325" s="3" t="n">
        <v>-0.7922728657722473</v>
      </c>
      <c r="R1325" s="3" t="n">
        <v>-0.775479793548584</v>
      </c>
      <c r="S1325" s="3" t="n">
        <v>-1.61647641658783</v>
      </c>
      <c r="T1325" s="3" t="n">
        <v>-0.7104546427726746</v>
      </c>
      <c r="U1325" s="3" t="n">
        <v>-0.9162753224372864</v>
      </c>
      <c r="V1325" s="3" t="n">
        <v>-0.6869857907295227</v>
      </c>
      <c r="W1325" s="3" t="n">
        <v>-0.6642062067985535</v>
      </c>
      <c r="X1325" s="3" t="n">
        <v>-1.551573753356934</v>
      </c>
      <c r="Y1325" s="3" t="n">
        <v>-0.7922728657722473</v>
      </c>
      <c r="Z1325" s="3" t="n">
        <v>-1.61647641658783</v>
      </c>
      <c r="AA1325" s="3" t="n">
        <v>-1.61647641658783</v>
      </c>
      <c r="AB1325" s="3" t="n">
        <v>-1.551573753356934</v>
      </c>
      <c r="AC1325" s="3" t="n">
        <v>-2.71679162979126</v>
      </c>
      <c r="AD1325" s="3" t="n">
        <v>-0.9162753224372864</v>
      </c>
      <c r="AE1325" s="3" t="n">
        <v>-0.9162753224372864</v>
      </c>
    </row>
    <row r="1326">
      <c r="A1326" s="3" t="inlineStr">
        <is>
          <t>MAR.distn.dec.ove.mean.3</t>
        </is>
      </c>
      <c r="B1326" s="3" t="inlineStr">
        <is>
          <t>MAR</t>
        </is>
      </c>
      <c r="C1326" s="3" t="n">
        <v>2005</v>
      </c>
      <c r="D1326" s="3" t="inlineStr">
        <is>
          <t>Overall</t>
        </is>
      </c>
      <c r="E1326" s="3" t="inlineStr">
        <is>
          <t>Deciles</t>
        </is>
      </c>
      <c r="F1326" s="3" t="inlineStr">
        <is>
          <t>mean</t>
        </is>
      </c>
      <c r="G1326" s="3" t="n">
        <v>3</v>
      </c>
      <c r="H1326" s="3" t="n">
        <v>-0.7922728657722473</v>
      </c>
      <c r="I1326" s="3" t="n">
        <v>-0.7922728657722473</v>
      </c>
      <c r="J1326" s="3" t="n">
        <v>-0.9162753224372864</v>
      </c>
      <c r="K1326" s="3" t="n">
        <v>-0.9162753224372864</v>
      </c>
      <c r="L1326" s="3" t="n">
        <v>-0.7922728657722473</v>
      </c>
      <c r="M1326" s="3" t="n">
        <v>-0.7922728657722473</v>
      </c>
      <c r="N1326" s="3" t="n">
        <v>-0.7922728657722473</v>
      </c>
      <c r="O1326" s="3" t="n">
        <v>-0.7922728657722473</v>
      </c>
      <c r="P1326" s="3" t="n">
        <v>-0.7922728657722473</v>
      </c>
      <c r="Q1326" s="3" t="n">
        <v>-0.7922728657722473</v>
      </c>
      <c r="R1326" s="3" t="n">
        <v>-0.775479793548584</v>
      </c>
      <c r="S1326" s="3" t="n">
        <v>-1.61647641658783</v>
      </c>
      <c r="T1326" s="3" t="n">
        <v>-0.7104546427726746</v>
      </c>
      <c r="U1326" s="3" t="n">
        <v>-0.9162753224372864</v>
      </c>
      <c r="V1326" s="3" t="n">
        <v>-0.6869857907295227</v>
      </c>
      <c r="W1326" s="3" t="n">
        <v>-0.6642062067985535</v>
      </c>
      <c r="X1326" s="3" t="n">
        <v>-1.551573753356934</v>
      </c>
      <c r="Y1326" s="3" t="n">
        <v>-0.7922728657722473</v>
      </c>
      <c r="Z1326" s="3" t="n">
        <v>-1.61647641658783</v>
      </c>
      <c r="AA1326" s="3" t="n">
        <v>-1.61647641658783</v>
      </c>
      <c r="AB1326" s="3" t="n">
        <v>-1.551573753356934</v>
      </c>
      <c r="AC1326" s="3" t="n">
        <v>-2.71679162979126</v>
      </c>
      <c r="AD1326" s="3" t="n">
        <v>-0.9162753224372864</v>
      </c>
      <c r="AE1326" s="3" t="n">
        <v>-0.9162753224372864</v>
      </c>
    </row>
    <row r="1327">
      <c r="A1327" s="3" t="inlineStr">
        <is>
          <t>MAR.distn.dec.ove.mean.4</t>
        </is>
      </c>
      <c r="B1327" s="3" t="inlineStr">
        <is>
          <t>MAR</t>
        </is>
      </c>
      <c r="C1327" s="3" t="n">
        <v>2005</v>
      </c>
      <c r="D1327" s="3" t="inlineStr">
        <is>
          <t>Overall</t>
        </is>
      </c>
      <c r="E1327" s="3" t="inlineStr">
        <is>
          <t>Deciles</t>
        </is>
      </c>
      <c r="F1327" s="3" t="inlineStr">
        <is>
          <t>mean</t>
        </is>
      </c>
      <c r="G1327" s="3" t="n">
        <v>4</v>
      </c>
      <c r="H1327" s="3" t="n">
        <v>-0.7860000133514404</v>
      </c>
      <c r="I1327" s="3" t="n">
        <v>-0.7860000133514404</v>
      </c>
      <c r="J1327" s="3" t="n">
        <v>-0.871999979019165</v>
      </c>
      <c r="K1327" s="3" t="n">
        <v>-0.871999979019165</v>
      </c>
      <c r="L1327" s="3" t="n">
        <v>-0.7860000133514404</v>
      </c>
      <c r="M1327" s="3" t="n">
        <v>-0.7860000133514404</v>
      </c>
      <c r="N1327" s="3" t="n">
        <v>-0.7860000133514404</v>
      </c>
      <c r="O1327" s="3" t="n">
        <v>-0.7860000133514404</v>
      </c>
      <c r="P1327" s="3" t="n">
        <v>-0.7860000133514404</v>
      </c>
      <c r="Q1327" s="3" t="n">
        <v>-0.7860000133514404</v>
      </c>
      <c r="R1327" s="3" t="n">
        <v>-0.7720000147819519</v>
      </c>
      <c r="S1327" s="3" t="n">
        <v>-1.10099995136261</v>
      </c>
      <c r="T1327" s="3" t="n">
        <v>-0.7089999914169312</v>
      </c>
      <c r="U1327" s="3" t="n">
        <v>-0.871999979019165</v>
      </c>
      <c r="V1327" s="3" t="n">
        <v>-0.6800000071525574</v>
      </c>
      <c r="W1327" s="3" t="n">
        <v>-0.5590000152587891</v>
      </c>
      <c r="X1327" s="3" t="n">
        <v>-1.095000028610229</v>
      </c>
      <c r="Y1327" s="3" t="n">
        <v>-0.7860000133514404</v>
      </c>
      <c r="Z1327" s="3" t="n">
        <v>-1.10099995136261</v>
      </c>
      <c r="AA1327" s="3" t="n">
        <v>-1.10099995136261</v>
      </c>
      <c r="AB1327" s="3" t="n">
        <v>-1.095000028610229</v>
      </c>
      <c r="AC1327" s="3" t="n">
        <v>-1.312000036239624</v>
      </c>
      <c r="AD1327" s="3" t="n">
        <v>-0.871999979019165</v>
      </c>
      <c r="AE1327" s="3" t="n">
        <v>-0.871999979019165</v>
      </c>
    </row>
    <row r="1328">
      <c r="A1328" s="3" t="inlineStr">
        <is>
          <t>MAR.distn.dec.ove.mean.5</t>
        </is>
      </c>
      <c r="B1328" s="3" t="inlineStr">
        <is>
          <t>MAR</t>
        </is>
      </c>
      <c r="C1328" s="3" t="n">
        <v>2005</v>
      </c>
      <c r="D1328" s="3" t="inlineStr">
        <is>
          <t>Overall</t>
        </is>
      </c>
      <c r="E1328" s="3" t="inlineStr">
        <is>
          <t>Deciles</t>
        </is>
      </c>
      <c r="F1328" s="3" t="inlineStr">
        <is>
          <t>mean</t>
        </is>
      </c>
      <c r="G1328" s="3" t="n">
        <v>5</v>
      </c>
      <c r="H1328" s="3" t="n">
        <v>-0.7860000133514404</v>
      </c>
      <c r="I1328" s="3" t="n">
        <v>-0.7860000133514404</v>
      </c>
      <c r="J1328" s="3" t="n">
        <v>-0.871999979019165</v>
      </c>
      <c r="K1328" s="3" t="n">
        <v>-0.871999979019165</v>
      </c>
      <c r="L1328" s="3" t="n">
        <v>-0.7860000133514404</v>
      </c>
      <c r="M1328" s="3" t="n">
        <v>-0.7860000133514404</v>
      </c>
      <c r="N1328" s="3" t="n">
        <v>-0.7860000133514404</v>
      </c>
      <c r="O1328" s="3" t="n">
        <v>-0.7860000133514404</v>
      </c>
      <c r="P1328" s="3" t="n">
        <v>-0.7860000133514404</v>
      </c>
      <c r="Q1328" s="3" t="n">
        <v>-0.7860000133514404</v>
      </c>
      <c r="R1328" s="3" t="n">
        <v>-0.7720000147819519</v>
      </c>
      <c r="S1328" s="3" t="n">
        <v>-1.10099995136261</v>
      </c>
      <c r="T1328" s="3" t="n">
        <v>-0.7089999914169312</v>
      </c>
      <c r="U1328" s="3" t="n">
        <v>-0.871999979019165</v>
      </c>
      <c r="V1328" s="3" t="n">
        <v>-0.6800000071525574</v>
      </c>
      <c r="W1328" s="3" t="n">
        <v>-0.5590000152587891</v>
      </c>
      <c r="X1328" s="3" t="n">
        <v>-1.095000028610229</v>
      </c>
      <c r="Y1328" s="3" t="n">
        <v>-0.7860000133514404</v>
      </c>
      <c r="Z1328" s="3" t="n">
        <v>-1.10099995136261</v>
      </c>
      <c r="AA1328" s="3" t="n">
        <v>-1.10099995136261</v>
      </c>
      <c r="AB1328" s="3" t="n">
        <v>-1.095000028610229</v>
      </c>
      <c r="AC1328" s="3" t="n">
        <v>-1.312000036239624</v>
      </c>
      <c r="AD1328" s="3" t="n">
        <v>-0.871999979019165</v>
      </c>
      <c r="AE1328" s="3" t="n">
        <v>-0.871999979019165</v>
      </c>
    </row>
    <row r="1329">
      <c r="A1329" s="3" t="inlineStr">
        <is>
          <t>MAR.distn.dec.ove.mean.6</t>
        </is>
      </c>
      <c r="B1329" s="3" t="inlineStr">
        <is>
          <t>MAR</t>
        </is>
      </c>
      <c r="C1329" s="3" t="n">
        <v>2005</v>
      </c>
      <c r="D1329" s="3" t="inlineStr">
        <is>
          <t>Overall</t>
        </is>
      </c>
      <c r="E1329" s="3" t="inlineStr">
        <is>
          <t>Deciles</t>
        </is>
      </c>
      <c r="F1329" s="3" t="inlineStr">
        <is>
          <t>mean</t>
        </is>
      </c>
      <c r="G1329" s="3" t="n">
        <v>6</v>
      </c>
      <c r="H1329" s="3" t="n">
        <v>-0.7860000133514404</v>
      </c>
      <c r="I1329" s="3" t="n">
        <v>-0.7860000133514404</v>
      </c>
      <c r="J1329" s="3" t="n">
        <v>-0.871999979019165</v>
      </c>
      <c r="K1329" s="3" t="n">
        <v>-0.871999979019165</v>
      </c>
      <c r="L1329" s="3" t="n">
        <v>-0.7860000133514404</v>
      </c>
      <c r="M1329" s="3" t="n">
        <v>-0.7860000133514404</v>
      </c>
      <c r="N1329" s="3" t="n">
        <v>-0.7860000133514404</v>
      </c>
      <c r="O1329" s="3" t="n">
        <v>-0.7860000133514404</v>
      </c>
      <c r="P1329" s="3" t="n">
        <v>-0.7860000133514404</v>
      </c>
      <c r="Q1329" s="3" t="n">
        <v>-0.7860000133514404</v>
      </c>
      <c r="R1329" s="3" t="n">
        <v>-0.7720000147819519</v>
      </c>
      <c r="S1329" s="3" t="n">
        <v>-1.10099995136261</v>
      </c>
      <c r="T1329" s="3" t="n">
        <v>-0.7089999914169312</v>
      </c>
      <c r="U1329" s="3" t="n">
        <v>-0.871999979019165</v>
      </c>
      <c r="V1329" s="3" t="n">
        <v>-0.6800000071525574</v>
      </c>
      <c r="W1329" s="3" t="n">
        <v>-0.5590000152587891</v>
      </c>
      <c r="X1329" s="3" t="n">
        <v>-1.095000028610229</v>
      </c>
      <c r="Y1329" s="3" t="n">
        <v>-0.7860000133514404</v>
      </c>
      <c r="Z1329" s="3" t="n">
        <v>-1.10099995136261</v>
      </c>
      <c r="AA1329" s="3" t="n">
        <v>-1.10099995136261</v>
      </c>
      <c r="AB1329" s="3" t="n">
        <v>-1.095000028610229</v>
      </c>
      <c r="AC1329" s="3" t="n">
        <v>-1.312000036239624</v>
      </c>
      <c r="AD1329" s="3" t="n">
        <v>-0.871999979019165</v>
      </c>
      <c r="AE1329" s="3" t="n">
        <v>-0.871999979019165</v>
      </c>
    </row>
    <row r="1330">
      <c r="A1330" s="3" t="inlineStr">
        <is>
          <t>MAR.distn.dec.ove.mean.7</t>
        </is>
      </c>
      <c r="B1330" s="3" t="inlineStr">
        <is>
          <t>MAR</t>
        </is>
      </c>
      <c r="C1330" s="3" t="n">
        <v>2005</v>
      </c>
      <c r="D1330" s="3" t="inlineStr">
        <is>
          <t>Overall</t>
        </is>
      </c>
      <c r="E1330" s="3" t="inlineStr">
        <is>
          <t>Deciles</t>
        </is>
      </c>
      <c r="F1330" s="3" t="inlineStr">
        <is>
          <t>mean</t>
        </is>
      </c>
      <c r="G1330" s="3" t="n">
        <v>7</v>
      </c>
      <c r="H1330" s="3" t="n">
        <v>-0.7860000133514404</v>
      </c>
      <c r="I1330" s="3" t="n">
        <v>-0.7860000133514404</v>
      </c>
      <c r="J1330" s="3" t="n">
        <v>-0.871999979019165</v>
      </c>
      <c r="K1330" s="3" t="n">
        <v>-0.871999979019165</v>
      </c>
      <c r="L1330" s="3" t="n">
        <v>-0.7860000133514404</v>
      </c>
      <c r="M1330" s="3" t="n">
        <v>-0.7860000133514404</v>
      </c>
      <c r="N1330" s="3" t="n">
        <v>-0.7860000133514404</v>
      </c>
      <c r="O1330" s="3" t="n">
        <v>-0.7860000133514404</v>
      </c>
      <c r="P1330" s="3" t="n">
        <v>-0.7860000133514404</v>
      </c>
      <c r="Q1330" s="3" t="n">
        <v>-0.7860000133514404</v>
      </c>
      <c r="R1330" s="3" t="n">
        <v>-0.7720000147819519</v>
      </c>
      <c r="S1330" s="3" t="n">
        <v>-1.10099995136261</v>
      </c>
      <c r="T1330" s="3" t="n">
        <v>-0.7089999914169312</v>
      </c>
      <c r="U1330" s="3" t="n">
        <v>-0.871999979019165</v>
      </c>
      <c r="V1330" s="3" t="n">
        <v>-0.6800000071525574</v>
      </c>
      <c r="W1330" s="3" t="n">
        <v>-0.5590000152587891</v>
      </c>
      <c r="X1330" s="3" t="n">
        <v>-1.095000028610229</v>
      </c>
      <c r="Y1330" s="3" t="n">
        <v>-0.7860000133514404</v>
      </c>
      <c r="Z1330" s="3" t="n">
        <v>-1.10099995136261</v>
      </c>
      <c r="AA1330" s="3" t="n">
        <v>-1.10099995136261</v>
      </c>
      <c r="AB1330" s="3" t="n">
        <v>-1.095000028610229</v>
      </c>
      <c r="AC1330" s="3" t="n">
        <v>-1.312000036239624</v>
      </c>
      <c r="AD1330" s="3" t="n">
        <v>-0.871999979019165</v>
      </c>
      <c r="AE1330" s="3" t="n">
        <v>-0.871999979019165</v>
      </c>
    </row>
    <row r="1331">
      <c r="A1331" s="3" t="inlineStr">
        <is>
          <t>MAR.distn.dec.ove.mean.8</t>
        </is>
      </c>
      <c r="B1331" s="3" t="inlineStr">
        <is>
          <t>MAR</t>
        </is>
      </c>
      <c r="C1331" s="3" t="n">
        <v>2005</v>
      </c>
      <c r="D1331" s="3" t="inlineStr">
        <is>
          <t>Overall</t>
        </is>
      </c>
      <c r="E1331" s="3" t="inlineStr">
        <is>
          <t>Deciles</t>
        </is>
      </c>
      <c r="F1331" s="3" t="inlineStr">
        <is>
          <t>mean</t>
        </is>
      </c>
      <c r="G1331" s="3" t="n">
        <v>8</v>
      </c>
      <c r="H1331" s="3" t="n">
        <v>-0.7863786816596985</v>
      </c>
      <c r="I1331" s="3" t="n">
        <v>-0.7863786816596985</v>
      </c>
      <c r="J1331" s="3" t="n">
        <v>-0.8743522763252258</v>
      </c>
      <c r="K1331" s="3" t="n">
        <v>-0.8743522763252258</v>
      </c>
      <c r="L1331" s="3" t="n">
        <v>-0.7863786816596985</v>
      </c>
      <c r="M1331" s="3" t="n">
        <v>-0.7863786816596985</v>
      </c>
      <c r="N1331" s="3" t="n">
        <v>-0.7863786816596985</v>
      </c>
      <c r="O1331" s="3" t="n">
        <v>-0.7863786816596985</v>
      </c>
      <c r="P1331" s="3" t="n">
        <v>-0.7863786816596985</v>
      </c>
      <c r="Q1331" s="3" t="n">
        <v>-0.7863786816596985</v>
      </c>
      <c r="R1331" s="3" t="n">
        <v>-0.7722538709640503</v>
      </c>
      <c r="S1331" s="3" t="n">
        <v>-1.111244916915894</v>
      </c>
      <c r="T1331" s="3" t="n">
        <v>-0.7090408802032471</v>
      </c>
      <c r="U1331" s="3" t="n">
        <v>-0.8743522763252258</v>
      </c>
      <c r="V1331" s="3" t="n">
        <v>-0.6807029843330383</v>
      </c>
      <c r="W1331" s="3" t="n">
        <v>-0.5739693641662598</v>
      </c>
      <c r="X1331" s="3" t="n">
        <v>-1.104977607727051</v>
      </c>
      <c r="Y1331" s="3" t="n">
        <v>-0.7863786816596985</v>
      </c>
      <c r="Z1331" s="3" t="n">
        <v>-1.111244916915894</v>
      </c>
      <c r="AA1331" s="3" t="n">
        <v>-1.111244916915894</v>
      </c>
      <c r="AB1331" s="3" t="n">
        <v>-1.104977607727051</v>
      </c>
      <c r="AC1331" s="3" t="n">
        <v>-1.330710887908936</v>
      </c>
      <c r="AD1331" s="3" t="n">
        <v>-0.8743522763252258</v>
      </c>
      <c r="AE1331" s="3" t="n">
        <v>-0.8743522763252258</v>
      </c>
    </row>
    <row r="1332">
      <c r="A1332" s="3" t="inlineStr">
        <is>
          <t>MAR.distn.dec.ove.mean.9</t>
        </is>
      </c>
      <c r="B1332" s="3" t="inlineStr">
        <is>
          <t>MAR</t>
        </is>
      </c>
      <c r="C1332" s="3" t="n">
        <v>2005</v>
      </c>
      <c r="D1332" s="3" t="inlineStr">
        <is>
          <t>Overall</t>
        </is>
      </c>
      <c r="E1332" s="3" t="inlineStr">
        <is>
          <t>Deciles</t>
        </is>
      </c>
      <c r="F1332" s="3" t="inlineStr">
        <is>
          <t>mean</t>
        </is>
      </c>
      <c r="G1332" s="3" t="n">
        <v>9</v>
      </c>
      <c r="H1332" s="3" t="n">
        <v>-0.7863786816596985</v>
      </c>
      <c r="I1332" s="3" t="n">
        <v>-0.7863786816596985</v>
      </c>
      <c r="J1332" s="3" t="n">
        <v>-0.8743522763252258</v>
      </c>
      <c r="K1332" s="3" t="n">
        <v>-0.8743522763252258</v>
      </c>
      <c r="L1332" s="3" t="n">
        <v>-0.7863786816596985</v>
      </c>
      <c r="M1332" s="3" t="n">
        <v>-0.7863786816596985</v>
      </c>
      <c r="N1332" s="3" t="n">
        <v>-0.7863786816596985</v>
      </c>
      <c r="O1332" s="3" t="n">
        <v>-0.7863786816596985</v>
      </c>
      <c r="P1332" s="3" t="n">
        <v>-0.7863786816596985</v>
      </c>
      <c r="Q1332" s="3" t="n">
        <v>-0.7863786816596985</v>
      </c>
      <c r="R1332" s="3" t="n">
        <v>-0.7722538709640503</v>
      </c>
      <c r="S1332" s="3" t="n">
        <v>-1.111244916915894</v>
      </c>
      <c r="T1332" s="3" t="n">
        <v>-0.7090408802032471</v>
      </c>
      <c r="U1332" s="3" t="n">
        <v>-0.8743522763252258</v>
      </c>
      <c r="V1332" s="3" t="n">
        <v>-0.6807029843330383</v>
      </c>
      <c r="W1332" s="3" t="n">
        <v>-0.5739693641662598</v>
      </c>
      <c r="X1332" s="3" t="n">
        <v>-1.104977607727051</v>
      </c>
      <c r="Y1332" s="3" t="n">
        <v>-0.7863786816596985</v>
      </c>
      <c r="Z1332" s="3" t="n">
        <v>-1.111244916915894</v>
      </c>
      <c r="AA1332" s="3" t="n">
        <v>-1.111244916915894</v>
      </c>
      <c r="AB1332" s="3" t="n">
        <v>-1.104977607727051</v>
      </c>
      <c r="AC1332" s="3" t="n">
        <v>-1.330710887908936</v>
      </c>
      <c r="AD1332" s="3" t="n">
        <v>-0.8743522763252258</v>
      </c>
      <c r="AE1332" s="3" t="n">
        <v>-0.8743522763252258</v>
      </c>
    </row>
    <row r="1333">
      <c r="A1333" s="3" t="inlineStr">
        <is>
          <t>MAR.distn.dec.ove.mean.10</t>
        </is>
      </c>
      <c r="B1333" s="3" t="inlineStr">
        <is>
          <t>MAR</t>
        </is>
      </c>
      <c r="C1333" s="3" t="n">
        <v>2005</v>
      </c>
      <c r="D1333" s="3" t="inlineStr">
        <is>
          <t>Overall</t>
        </is>
      </c>
      <c r="E1333" s="3" t="inlineStr">
        <is>
          <t>Deciles</t>
        </is>
      </c>
      <c r="F1333" s="3" t="inlineStr">
        <is>
          <t>mean</t>
        </is>
      </c>
      <c r="G1333" s="3" t="n">
        <v>10</v>
      </c>
      <c r="H1333" s="3" t="n">
        <v>-0.7863786816596985</v>
      </c>
      <c r="I1333" s="3" t="n">
        <v>-0.7863786816596985</v>
      </c>
      <c r="J1333" s="3" t="n">
        <v>-0.8743522763252258</v>
      </c>
      <c r="K1333" s="3" t="n">
        <v>-0.8743522763252258</v>
      </c>
      <c r="L1333" s="3" t="n">
        <v>-0.7863786816596985</v>
      </c>
      <c r="M1333" s="3" t="n">
        <v>-0.7863786816596985</v>
      </c>
      <c r="N1333" s="3" t="n">
        <v>-0.7863786816596985</v>
      </c>
      <c r="O1333" s="3" t="n">
        <v>-0.7863786816596985</v>
      </c>
      <c r="P1333" s="3" t="n">
        <v>-0.7863786816596985</v>
      </c>
      <c r="Q1333" s="3" t="n">
        <v>-0.7863786816596985</v>
      </c>
      <c r="R1333" s="3" t="n">
        <v>-0.7722538709640503</v>
      </c>
      <c r="S1333" s="3" t="n">
        <v>-1.111244916915894</v>
      </c>
      <c r="T1333" s="3" t="n">
        <v>-0.7090408802032471</v>
      </c>
      <c r="U1333" s="3" t="n">
        <v>-0.8743522763252258</v>
      </c>
      <c r="V1333" s="3" t="n">
        <v>-0.6807029843330383</v>
      </c>
      <c r="W1333" s="3" t="n">
        <v>-0.5739693641662598</v>
      </c>
      <c r="X1333" s="3" t="n">
        <v>-1.104977607727051</v>
      </c>
      <c r="Y1333" s="3" t="n">
        <v>-0.7863786816596985</v>
      </c>
      <c r="Z1333" s="3" t="n">
        <v>-1.111244916915894</v>
      </c>
      <c r="AA1333" s="3" t="n">
        <v>-1.111244916915894</v>
      </c>
      <c r="AB1333" s="3" t="n">
        <v>-1.104977607727051</v>
      </c>
      <c r="AC1333" s="3" t="n">
        <v>-1.330710887908936</v>
      </c>
      <c r="AD1333" s="3" t="n">
        <v>-0.8743522763252258</v>
      </c>
      <c r="AE1333" s="3" t="n">
        <v>-0.8743522763252258</v>
      </c>
    </row>
    <row r="1334">
      <c r="A1334" s="3" t="inlineStr">
        <is>
          <t>MAR.distn.bkt.ove.mean.9999</t>
        </is>
      </c>
      <c r="B1334" s="3" t="inlineStr">
        <is>
          <t>MAR</t>
        </is>
      </c>
      <c r="C1334" s="3" t="n">
        <v>2005</v>
      </c>
      <c r="D1334" s="3" t="inlineStr">
        <is>
          <t>Overall</t>
        </is>
      </c>
      <c r="E1334" s="3" t="inlineStr">
        <is>
          <t>Basket</t>
        </is>
      </c>
      <c r="F1334" s="3" t="inlineStr">
        <is>
          <t>mean</t>
        </is>
      </c>
      <c r="G1334" s="3" t="n">
        <v>9999</v>
      </c>
      <c r="H1334" s="3" t="n">
        <v>-0.787995457649231</v>
      </c>
      <c r="I1334" s="3" t="n">
        <v>-0.787995457649231</v>
      </c>
      <c r="J1334" s="3" t="n">
        <v>-0.8859882950782776</v>
      </c>
      <c r="K1334" s="3" t="n">
        <v>-0.8859882950782776</v>
      </c>
      <c r="L1334" s="3" t="n">
        <v>-0.787995457649231</v>
      </c>
      <c r="M1334" s="3" t="n">
        <v>-0.787995457649231</v>
      </c>
      <c r="N1334" s="3" t="n">
        <v>-0.787995457649231</v>
      </c>
      <c r="O1334" s="3" t="n">
        <v>-0.787995457649231</v>
      </c>
      <c r="P1334" s="3" t="n">
        <v>-0.787995457649231</v>
      </c>
      <c r="Q1334" s="3" t="n">
        <v>-0.787995457649231</v>
      </c>
      <c r="R1334" s="3" t="n">
        <v>-0.773120105266571</v>
      </c>
      <c r="S1334" s="3" t="n">
        <v>-1.258716344833374</v>
      </c>
      <c r="T1334" s="3" t="n">
        <v>-0.7094486355781555</v>
      </c>
      <c r="U1334" s="3" t="n">
        <v>-0.8859882950782776</v>
      </c>
      <c r="V1334" s="3" t="n">
        <v>-0.6823066473007202</v>
      </c>
      <c r="W1334" s="3" t="n">
        <v>-0.5950526595115662</v>
      </c>
      <c r="X1334" s="3" t="n">
        <v>-1.234965443611145</v>
      </c>
      <c r="Y1334" s="3" t="n">
        <v>-0.787995457649231</v>
      </c>
      <c r="Z1334" s="3" t="n">
        <v>-1.258716344833374</v>
      </c>
      <c r="AA1334" s="3" t="n">
        <v>-1.258716344833374</v>
      </c>
      <c r="AB1334" s="3" t="n">
        <v>-1.234965443611145</v>
      </c>
      <c r="AC1334" s="3" t="n">
        <v>-1.73905074596405</v>
      </c>
      <c r="AD1334" s="3" t="n">
        <v>-0.8859882950782776</v>
      </c>
      <c r="AE1334" s="3" t="n">
        <v>-0.8859882950782776</v>
      </c>
    </row>
    <row r="1335">
      <c r="A1335" s="3" t="inlineStr">
        <is>
          <t>MCO.distn.dec.ove.mean.1</t>
        </is>
      </c>
      <c r="B1335" s="3" t="inlineStr">
        <is>
          <t>MCO</t>
        </is>
      </c>
      <c r="C1335" s="3" t="n">
        <v>2005</v>
      </c>
      <c r="D1335" s="3" t="inlineStr">
        <is>
          <t>Overall</t>
        </is>
      </c>
      <c r="E1335" s="3" t="inlineStr">
        <is>
          <t>Deciles</t>
        </is>
      </c>
      <c r="F1335" s="3" t="inlineStr">
        <is>
          <t>mean</t>
        </is>
      </c>
      <c r="G1335" s="3" t="n">
        <v>1</v>
      </c>
      <c r="H1335" s="3" t="n">
        <v>-0.7878549098968506</v>
      </c>
      <c r="I1335" s="3" t="n">
        <v>-0.7878549098968506</v>
      </c>
      <c r="J1335" s="3" t="n">
        <v>-0.8883962808771336</v>
      </c>
      <c r="K1335" s="3" t="n">
        <v>-0.8883962808771336</v>
      </c>
      <c r="L1335" s="3" t="n">
        <v>-0.7878549098968506</v>
      </c>
      <c r="M1335" s="3" t="n">
        <v>-0.7878549098968506</v>
      </c>
      <c r="N1335" s="3" t="n">
        <v>-0.7878549098968506</v>
      </c>
      <c r="O1335" s="3" t="n">
        <v>-0.7878549098968506</v>
      </c>
      <c r="P1335" s="3" t="n">
        <v>-0.7878549098968506</v>
      </c>
      <c r="Q1335" s="3" t="n">
        <v>-0.7878549098968506</v>
      </c>
      <c r="R1335" s="3" t="n">
        <v>-0.7732356596500316</v>
      </c>
      <c r="S1335" s="3" t="n">
        <v>-1.408805674694954</v>
      </c>
      <c r="T1335" s="3" t="n">
        <v>-0.7095591730259835</v>
      </c>
      <c r="U1335" s="3" t="n">
        <v>-0.8883962808771336</v>
      </c>
      <c r="V1335" s="3" t="n">
        <v>-0.681934451803248</v>
      </c>
      <c r="W1335" s="3" t="n">
        <v>-0.5702875047288043</v>
      </c>
      <c r="X1335" s="3" t="n">
        <v>-1.356243993373627</v>
      </c>
      <c r="Y1335" s="3" t="n">
        <v>-0.7878549098968506</v>
      </c>
      <c r="Z1335" s="3" t="n">
        <v>-1.408805674694954</v>
      </c>
      <c r="AA1335" s="3" t="n">
        <v>-1.408805674694954</v>
      </c>
      <c r="AB1335" s="3" t="n">
        <v>-1.356243993373627</v>
      </c>
      <c r="AC1335" s="3" t="n">
        <v>-2.123991362592007</v>
      </c>
      <c r="AD1335" s="3" t="n">
        <v>-0.8883962808771336</v>
      </c>
      <c r="AE1335" s="3" t="n">
        <v>-0.8883962808771336</v>
      </c>
    </row>
    <row r="1336">
      <c r="A1336" s="3" t="inlineStr">
        <is>
          <t>MCO.distn.dec.ove.mean.2</t>
        </is>
      </c>
      <c r="B1336" s="3" t="inlineStr">
        <is>
          <t>MCO</t>
        </is>
      </c>
      <c r="C1336" s="3" t="n">
        <v>2005</v>
      </c>
      <c r="D1336" s="3" t="inlineStr">
        <is>
          <t>Overall</t>
        </is>
      </c>
      <c r="E1336" s="3" t="inlineStr">
        <is>
          <t>Deciles</t>
        </is>
      </c>
      <c r="F1336" s="3" t="inlineStr">
        <is>
          <t>mean</t>
        </is>
      </c>
      <c r="G1336" s="3" t="n">
        <v>2</v>
      </c>
      <c r="H1336" s="3" t="n">
        <v>-0.7878549098968506</v>
      </c>
      <c r="I1336" s="3" t="n">
        <v>-0.7878549098968506</v>
      </c>
      <c r="J1336" s="3" t="n">
        <v>-0.8883962808771336</v>
      </c>
      <c r="K1336" s="3" t="n">
        <v>-0.8883962808771336</v>
      </c>
      <c r="L1336" s="3" t="n">
        <v>-0.7878549098968506</v>
      </c>
      <c r="M1336" s="3" t="n">
        <v>-0.7878549098968506</v>
      </c>
      <c r="N1336" s="3" t="n">
        <v>-0.7878549098968506</v>
      </c>
      <c r="O1336" s="3" t="n">
        <v>-0.7878549098968506</v>
      </c>
      <c r="P1336" s="3" t="n">
        <v>-0.7878549098968506</v>
      </c>
      <c r="Q1336" s="3" t="n">
        <v>-0.7878549098968506</v>
      </c>
      <c r="R1336" s="3" t="n">
        <v>-0.7732356596500316</v>
      </c>
      <c r="S1336" s="3" t="n">
        <v>-1.408805674694954</v>
      </c>
      <c r="T1336" s="3" t="n">
        <v>-0.7095591730259835</v>
      </c>
      <c r="U1336" s="3" t="n">
        <v>-0.8883962808771336</v>
      </c>
      <c r="V1336" s="3" t="n">
        <v>-0.681934451803248</v>
      </c>
      <c r="W1336" s="3" t="n">
        <v>-0.5702875047288043</v>
      </c>
      <c r="X1336" s="3" t="n">
        <v>-1.356243993373627</v>
      </c>
      <c r="Y1336" s="3" t="n">
        <v>-0.7878549098968506</v>
      </c>
      <c r="Z1336" s="3" t="n">
        <v>-1.408805674694954</v>
      </c>
      <c r="AA1336" s="3" t="n">
        <v>-1.408805674694954</v>
      </c>
      <c r="AB1336" s="3" t="n">
        <v>-1.356243993373627</v>
      </c>
      <c r="AC1336" s="3" t="n">
        <v>-2.123991362592007</v>
      </c>
      <c r="AD1336" s="3" t="n">
        <v>-0.8883962808771336</v>
      </c>
      <c r="AE1336" s="3" t="n">
        <v>-0.8883962808771336</v>
      </c>
    </row>
    <row r="1337">
      <c r="A1337" s="3" t="inlineStr">
        <is>
          <t>MCO.distn.dec.ove.mean.3</t>
        </is>
      </c>
      <c r="B1337" s="3" t="inlineStr">
        <is>
          <t>MCO</t>
        </is>
      </c>
      <c r="C1337" s="3" t="n">
        <v>2005</v>
      </c>
      <c r="D1337" s="3" t="inlineStr">
        <is>
          <t>Overall</t>
        </is>
      </c>
      <c r="E1337" s="3" t="inlineStr">
        <is>
          <t>Deciles</t>
        </is>
      </c>
      <c r="F1337" s="3" t="inlineStr">
        <is>
          <t>mean</t>
        </is>
      </c>
      <c r="G1337" s="3" t="n">
        <v>3</v>
      </c>
      <c r="H1337" s="3" t="n">
        <v>-0.7878549098968506</v>
      </c>
      <c r="I1337" s="3" t="n">
        <v>-0.7878549098968506</v>
      </c>
      <c r="J1337" s="3" t="n">
        <v>-0.8883962808771336</v>
      </c>
      <c r="K1337" s="3" t="n">
        <v>-0.8883962808771336</v>
      </c>
      <c r="L1337" s="3" t="n">
        <v>-0.7878549098968506</v>
      </c>
      <c r="M1337" s="3" t="n">
        <v>-0.7878549098968506</v>
      </c>
      <c r="N1337" s="3" t="n">
        <v>-0.7878549098968506</v>
      </c>
      <c r="O1337" s="3" t="n">
        <v>-0.7878549098968506</v>
      </c>
      <c r="P1337" s="3" t="n">
        <v>-0.7878549098968506</v>
      </c>
      <c r="Q1337" s="3" t="n">
        <v>-0.7878549098968506</v>
      </c>
      <c r="R1337" s="3" t="n">
        <v>-0.7732356596500316</v>
      </c>
      <c r="S1337" s="3" t="n">
        <v>-1.408805674694954</v>
      </c>
      <c r="T1337" s="3" t="n">
        <v>-0.7095591730259835</v>
      </c>
      <c r="U1337" s="3" t="n">
        <v>-0.8883962808771336</v>
      </c>
      <c r="V1337" s="3" t="n">
        <v>-0.681934451803248</v>
      </c>
      <c r="W1337" s="3" t="n">
        <v>-0.5702875047288043</v>
      </c>
      <c r="X1337" s="3" t="n">
        <v>-1.356243993373627</v>
      </c>
      <c r="Y1337" s="3" t="n">
        <v>-0.7878549098968506</v>
      </c>
      <c r="Z1337" s="3" t="n">
        <v>-1.408805674694954</v>
      </c>
      <c r="AA1337" s="3" t="n">
        <v>-1.408805674694954</v>
      </c>
      <c r="AB1337" s="3" t="n">
        <v>-1.356243993373627</v>
      </c>
      <c r="AC1337" s="3" t="n">
        <v>-2.123991362592007</v>
      </c>
      <c r="AD1337" s="3" t="n">
        <v>-0.8883962808771336</v>
      </c>
      <c r="AE1337" s="3" t="n">
        <v>-0.8883962808771336</v>
      </c>
    </row>
    <row r="1338">
      <c r="A1338" s="3" t="inlineStr">
        <is>
          <t>MCO.distn.dec.ove.mean.4</t>
        </is>
      </c>
      <c r="B1338" s="3" t="inlineStr">
        <is>
          <t>MCO</t>
        </is>
      </c>
      <c r="C1338" s="3" t="n">
        <v>2005</v>
      </c>
      <c r="D1338" s="3" t="inlineStr">
        <is>
          <t>Overall</t>
        </is>
      </c>
      <c r="E1338" s="3" t="inlineStr">
        <is>
          <t>Deciles</t>
        </is>
      </c>
      <c r="F1338" s="3" t="inlineStr">
        <is>
          <t>mean</t>
        </is>
      </c>
      <c r="G1338" s="3" t="n">
        <v>4</v>
      </c>
      <c r="H1338" s="3" t="n">
        <v>-0.7816170251115839</v>
      </c>
      <c r="I1338" s="3" t="n">
        <v>-0.7816170251115839</v>
      </c>
      <c r="J1338" s="3" t="n">
        <v>-0.8454680810583398</v>
      </c>
      <c r="K1338" s="3" t="n">
        <v>-0.8454680810583398</v>
      </c>
      <c r="L1338" s="3" t="n">
        <v>-0.7816170251115839</v>
      </c>
      <c r="M1338" s="3" t="n">
        <v>-0.7816170251115839</v>
      </c>
      <c r="N1338" s="3" t="n">
        <v>-0.7816170251115839</v>
      </c>
      <c r="O1338" s="3" t="n">
        <v>-0.7816170251115839</v>
      </c>
      <c r="P1338" s="3" t="n">
        <v>-0.7816170251115839</v>
      </c>
      <c r="Q1338" s="3" t="n">
        <v>-0.7816170251115839</v>
      </c>
      <c r="R1338" s="3" t="n">
        <v>-0.7697659489956308</v>
      </c>
      <c r="S1338" s="3" t="n">
        <v>-0.9595531871978272</v>
      </c>
      <c r="T1338" s="3" t="n">
        <v>-0.7081063859006191</v>
      </c>
      <c r="U1338" s="3" t="n">
        <v>-0.8454680810583398</v>
      </c>
      <c r="V1338" s="3" t="n">
        <v>-0.6750000017754575</v>
      </c>
      <c r="W1338" s="3" t="n">
        <v>-0.4799574455048176</v>
      </c>
      <c r="X1338" s="3" t="n">
        <v>-0.9571489362006492</v>
      </c>
      <c r="Y1338" s="3" t="n">
        <v>-0.7816170251115839</v>
      </c>
      <c r="Z1338" s="3" t="n">
        <v>-0.9595531871978272</v>
      </c>
      <c r="AA1338" s="3" t="n">
        <v>-0.9595531871978272</v>
      </c>
      <c r="AB1338" s="3" t="n">
        <v>-0.9571489362006492</v>
      </c>
      <c r="AC1338" s="3" t="n">
        <v>-1.025723396463597</v>
      </c>
      <c r="AD1338" s="3" t="n">
        <v>-0.8454680810583398</v>
      </c>
      <c r="AE1338" s="3" t="n">
        <v>-0.8454680810583398</v>
      </c>
    </row>
    <row r="1339">
      <c r="A1339" s="3" t="inlineStr">
        <is>
          <t>MCO.distn.dec.ove.mean.5</t>
        </is>
      </c>
      <c r="B1339" s="3" t="inlineStr">
        <is>
          <t>MCO</t>
        </is>
      </c>
      <c r="C1339" s="3" t="n">
        <v>2005</v>
      </c>
      <c r="D1339" s="3" t="inlineStr">
        <is>
          <t>Overall</t>
        </is>
      </c>
      <c r="E1339" s="3" t="inlineStr">
        <is>
          <t>Deciles</t>
        </is>
      </c>
      <c r="F1339" s="3" t="inlineStr">
        <is>
          <t>mean</t>
        </is>
      </c>
      <c r="G1339" s="3" t="n">
        <v>5</v>
      </c>
      <c r="H1339" s="3" t="n">
        <v>-0.7816170251115839</v>
      </c>
      <c r="I1339" s="3" t="n">
        <v>-0.7816170251115839</v>
      </c>
      <c r="J1339" s="3" t="n">
        <v>-0.8454680810583398</v>
      </c>
      <c r="K1339" s="3" t="n">
        <v>-0.8454680810583398</v>
      </c>
      <c r="L1339" s="3" t="n">
        <v>-0.7816170251115839</v>
      </c>
      <c r="M1339" s="3" t="n">
        <v>-0.7816170251115839</v>
      </c>
      <c r="N1339" s="3" t="n">
        <v>-0.7816170251115839</v>
      </c>
      <c r="O1339" s="3" t="n">
        <v>-0.7816170251115839</v>
      </c>
      <c r="P1339" s="3" t="n">
        <v>-0.7816170251115839</v>
      </c>
      <c r="Q1339" s="3" t="n">
        <v>-0.7816170251115839</v>
      </c>
      <c r="R1339" s="3" t="n">
        <v>-0.7697659489956308</v>
      </c>
      <c r="S1339" s="3" t="n">
        <v>-0.9595531871978272</v>
      </c>
      <c r="T1339" s="3" t="n">
        <v>-0.7081063859006191</v>
      </c>
      <c r="U1339" s="3" t="n">
        <v>-0.8454680810583398</v>
      </c>
      <c r="V1339" s="3" t="n">
        <v>-0.6750000017754575</v>
      </c>
      <c r="W1339" s="3" t="n">
        <v>-0.4799574455048176</v>
      </c>
      <c r="X1339" s="3" t="n">
        <v>-0.9571489362006492</v>
      </c>
      <c r="Y1339" s="3" t="n">
        <v>-0.7816170251115839</v>
      </c>
      <c r="Z1339" s="3" t="n">
        <v>-0.9595531871978272</v>
      </c>
      <c r="AA1339" s="3" t="n">
        <v>-0.9595531871978272</v>
      </c>
      <c r="AB1339" s="3" t="n">
        <v>-0.9571489362006492</v>
      </c>
      <c r="AC1339" s="3" t="n">
        <v>-1.025723396463597</v>
      </c>
      <c r="AD1339" s="3" t="n">
        <v>-0.8454680810583398</v>
      </c>
      <c r="AE1339" s="3" t="n">
        <v>-0.8454680810583398</v>
      </c>
    </row>
    <row r="1340">
      <c r="A1340" s="3" t="inlineStr">
        <is>
          <t>MCO.distn.dec.ove.mean.6</t>
        </is>
      </c>
      <c r="B1340" s="3" t="inlineStr">
        <is>
          <t>MCO</t>
        </is>
      </c>
      <c r="C1340" s="3" t="n">
        <v>2005</v>
      </c>
      <c r="D1340" s="3" t="inlineStr">
        <is>
          <t>Overall</t>
        </is>
      </c>
      <c r="E1340" s="3" t="inlineStr">
        <is>
          <t>Deciles</t>
        </is>
      </c>
      <c r="F1340" s="3" t="inlineStr">
        <is>
          <t>mean</t>
        </is>
      </c>
      <c r="G1340" s="3" t="n">
        <v>6</v>
      </c>
      <c r="H1340" s="3" t="n">
        <v>-0.7816170251115839</v>
      </c>
      <c r="I1340" s="3" t="n">
        <v>-0.7816170251115839</v>
      </c>
      <c r="J1340" s="3" t="n">
        <v>-0.8454680810583398</v>
      </c>
      <c r="K1340" s="3" t="n">
        <v>-0.8454680810583398</v>
      </c>
      <c r="L1340" s="3" t="n">
        <v>-0.7816170251115839</v>
      </c>
      <c r="M1340" s="3" t="n">
        <v>-0.7816170251115839</v>
      </c>
      <c r="N1340" s="3" t="n">
        <v>-0.7816170251115839</v>
      </c>
      <c r="O1340" s="3" t="n">
        <v>-0.7816170251115839</v>
      </c>
      <c r="P1340" s="3" t="n">
        <v>-0.7816170251115839</v>
      </c>
      <c r="Q1340" s="3" t="n">
        <v>-0.7816170251115839</v>
      </c>
      <c r="R1340" s="3" t="n">
        <v>-0.7697659489956308</v>
      </c>
      <c r="S1340" s="3" t="n">
        <v>-0.9595531871978272</v>
      </c>
      <c r="T1340" s="3" t="n">
        <v>-0.7081063859006191</v>
      </c>
      <c r="U1340" s="3" t="n">
        <v>-0.8454680810583398</v>
      </c>
      <c r="V1340" s="3" t="n">
        <v>-0.6750000017754575</v>
      </c>
      <c r="W1340" s="3" t="n">
        <v>-0.4799574455048176</v>
      </c>
      <c r="X1340" s="3" t="n">
        <v>-0.9571489362006492</v>
      </c>
      <c r="Y1340" s="3" t="n">
        <v>-0.7816170251115839</v>
      </c>
      <c r="Z1340" s="3" t="n">
        <v>-0.9595531871978272</v>
      </c>
      <c r="AA1340" s="3" t="n">
        <v>-0.9595531871978272</v>
      </c>
      <c r="AB1340" s="3" t="n">
        <v>-0.9571489362006492</v>
      </c>
      <c r="AC1340" s="3" t="n">
        <v>-1.025723396463597</v>
      </c>
      <c r="AD1340" s="3" t="n">
        <v>-0.8454680810583398</v>
      </c>
      <c r="AE1340" s="3" t="n">
        <v>-0.8454680810583398</v>
      </c>
    </row>
    <row r="1341">
      <c r="A1341" s="3" t="inlineStr">
        <is>
          <t>MCO.distn.dec.ove.mean.7</t>
        </is>
      </c>
      <c r="B1341" s="3" t="inlineStr">
        <is>
          <t>MCO</t>
        </is>
      </c>
      <c r="C1341" s="3" t="n">
        <v>2005</v>
      </c>
      <c r="D1341" s="3" t="inlineStr">
        <is>
          <t>Overall</t>
        </is>
      </c>
      <c r="E1341" s="3" t="inlineStr">
        <is>
          <t>Deciles</t>
        </is>
      </c>
      <c r="F1341" s="3" t="inlineStr">
        <is>
          <t>mean</t>
        </is>
      </c>
      <c r="G1341" s="3" t="n">
        <v>7</v>
      </c>
      <c r="H1341" s="3" t="n">
        <v>-0.7816170251115839</v>
      </c>
      <c r="I1341" s="3" t="n">
        <v>-0.7816170251115839</v>
      </c>
      <c r="J1341" s="3" t="n">
        <v>-0.8454680810583398</v>
      </c>
      <c r="K1341" s="3" t="n">
        <v>-0.8454680810583398</v>
      </c>
      <c r="L1341" s="3" t="n">
        <v>-0.7816170251115839</v>
      </c>
      <c r="M1341" s="3" t="n">
        <v>-0.7816170251115839</v>
      </c>
      <c r="N1341" s="3" t="n">
        <v>-0.7816170251115839</v>
      </c>
      <c r="O1341" s="3" t="n">
        <v>-0.7816170251115839</v>
      </c>
      <c r="P1341" s="3" t="n">
        <v>-0.7816170251115839</v>
      </c>
      <c r="Q1341" s="3" t="n">
        <v>-0.7816170251115839</v>
      </c>
      <c r="R1341" s="3" t="n">
        <v>-0.7697659489956308</v>
      </c>
      <c r="S1341" s="3" t="n">
        <v>-0.9595531871978272</v>
      </c>
      <c r="T1341" s="3" t="n">
        <v>-0.7081063859006191</v>
      </c>
      <c r="U1341" s="3" t="n">
        <v>-0.8454680810583398</v>
      </c>
      <c r="V1341" s="3" t="n">
        <v>-0.6750000017754575</v>
      </c>
      <c r="W1341" s="3" t="n">
        <v>-0.4799574455048176</v>
      </c>
      <c r="X1341" s="3" t="n">
        <v>-0.9571489362006492</v>
      </c>
      <c r="Y1341" s="3" t="n">
        <v>-0.7816170251115839</v>
      </c>
      <c r="Z1341" s="3" t="n">
        <v>-0.9595531871978272</v>
      </c>
      <c r="AA1341" s="3" t="n">
        <v>-0.9595531871978272</v>
      </c>
      <c r="AB1341" s="3" t="n">
        <v>-0.9571489362006492</v>
      </c>
      <c r="AC1341" s="3" t="n">
        <v>-1.025723396463597</v>
      </c>
      <c r="AD1341" s="3" t="n">
        <v>-0.8454680810583398</v>
      </c>
      <c r="AE1341" s="3" t="n">
        <v>-0.8454680810583398</v>
      </c>
    </row>
    <row r="1342">
      <c r="A1342" s="3" t="inlineStr">
        <is>
          <t>MCO.distn.dec.ove.mean.8</t>
        </is>
      </c>
      <c r="B1342" s="3" t="inlineStr">
        <is>
          <t>MCO</t>
        </is>
      </c>
      <c r="C1342" s="3" t="n">
        <v>2005</v>
      </c>
      <c r="D1342" s="3" t="inlineStr">
        <is>
          <t>Overall</t>
        </is>
      </c>
      <c r="E1342" s="3" t="inlineStr">
        <is>
          <t>Deciles</t>
        </is>
      </c>
      <c r="F1342" s="3" t="inlineStr">
        <is>
          <t>mean</t>
        </is>
      </c>
      <c r="G1342" s="3" t="n">
        <v>8</v>
      </c>
      <c r="H1342" s="3" t="n">
        <v>-0.7819935831617801</v>
      </c>
      <c r="I1342" s="3" t="n">
        <v>-0.7819935831617801</v>
      </c>
      <c r="J1342" s="3" t="n">
        <v>-0.8477488045996808</v>
      </c>
      <c r="K1342" s="3" t="n">
        <v>-0.8477488045996808</v>
      </c>
      <c r="L1342" s="3" t="n">
        <v>-0.7819935831617801</v>
      </c>
      <c r="M1342" s="3" t="n">
        <v>-0.7819935831617801</v>
      </c>
      <c r="N1342" s="3" t="n">
        <v>-0.7819935831617801</v>
      </c>
      <c r="O1342" s="3" t="n">
        <v>-0.7819935831617801</v>
      </c>
      <c r="P1342" s="3" t="n">
        <v>-0.7819935831617801</v>
      </c>
      <c r="Q1342" s="3" t="n">
        <v>-0.7819935831617801</v>
      </c>
      <c r="R1342" s="3" t="n">
        <v>-0.7700191178220384</v>
      </c>
      <c r="S1342" s="3" t="n">
        <v>-0.9684819490351575</v>
      </c>
      <c r="T1342" s="3" t="n">
        <v>-0.70814722142321</v>
      </c>
      <c r="U1342" s="3" t="n">
        <v>-0.8477488045996808</v>
      </c>
      <c r="V1342" s="3" t="n">
        <v>-0.6756977857427394</v>
      </c>
      <c r="W1342" s="3" t="n">
        <v>-0.4928101326556916</v>
      </c>
      <c r="X1342" s="3" t="n">
        <v>-0.9658704755154062</v>
      </c>
      <c r="Y1342" s="3" t="n">
        <v>-0.7819935831617801</v>
      </c>
      <c r="Z1342" s="3" t="n">
        <v>-0.9684819490351575</v>
      </c>
      <c r="AA1342" s="3" t="n">
        <v>-0.9684819490351575</v>
      </c>
      <c r="AB1342" s="3" t="n">
        <v>-0.9658704755154062</v>
      </c>
      <c r="AC1342" s="3" t="n">
        <v>-1.04035159628442</v>
      </c>
      <c r="AD1342" s="3" t="n">
        <v>-0.8477488045996808</v>
      </c>
      <c r="AE1342" s="3" t="n">
        <v>-0.8477488045996808</v>
      </c>
    </row>
    <row r="1343">
      <c r="A1343" s="3" t="inlineStr">
        <is>
          <t>MCO.distn.dec.ove.mean.9</t>
        </is>
      </c>
      <c r="B1343" s="3" t="inlineStr">
        <is>
          <t>MCO</t>
        </is>
      </c>
      <c r="C1343" s="3" t="n">
        <v>2005</v>
      </c>
      <c r="D1343" s="3" t="inlineStr">
        <is>
          <t>Overall</t>
        </is>
      </c>
      <c r="E1343" s="3" t="inlineStr">
        <is>
          <t>Deciles</t>
        </is>
      </c>
      <c r="F1343" s="3" t="inlineStr">
        <is>
          <t>mean</t>
        </is>
      </c>
      <c r="G1343" s="3" t="n">
        <v>9</v>
      </c>
      <c r="H1343" s="3" t="n">
        <v>-0.7819935831617801</v>
      </c>
      <c r="I1343" s="3" t="n">
        <v>-0.7819935831617801</v>
      </c>
      <c r="J1343" s="3" t="n">
        <v>-0.8477488045996808</v>
      </c>
      <c r="K1343" s="3" t="n">
        <v>-0.8477488045996808</v>
      </c>
      <c r="L1343" s="3" t="n">
        <v>-0.7819935831617801</v>
      </c>
      <c r="M1343" s="3" t="n">
        <v>-0.7819935831617801</v>
      </c>
      <c r="N1343" s="3" t="n">
        <v>-0.7819935831617801</v>
      </c>
      <c r="O1343" s="3" t="n">
        <v>-0.7819935831617801</v>
      </c>
      <c r="P1343" s="3" t="n">
        <v>-0.7819935831617801</v>
      </c>
      <c r="Q1343" s="3" t="n">
        <v>-0.7819935831617801</v>
      </c>
      <c r="R1343" s="3" t="n">
        <v>-0.7700191178220384</v>
      </c>
      <c r="S1343" s="3" t="n">
        <v>-0.9684819490351575</v>
      </c>
      <c r="T1343" s="3" t="n">
        <v>-0.70814722142321</v>
      </c>
      <c r="U1343" s="3" t="n">
        <v>-0.8477488045996808</v>
      </c>
      <c r="V1343" s="3" t="n">
        <v>-0.6756977857427394</v>
      </c>
      <c r="W1343" s="3" t="n">
        <v>-0.4928101326556916</v>
      </c>
      <c r="X1343" s="3" t="n">
        <v>-0.9658704755154062</v>
      </c>
      <c r="Y1343" s="3" t="n">
        <v>-0.7819935831617801</v>
      </c>
      <c r="Z1343" s="3" t="n">
        <v>-0.9684819490351575</v>
      </c>
      <c r="AA1343" s="3" t="n">
        <v>-0.9684819490351575</v>
      </c>
      <c r="AB1343" s="3" t="n">
        <v>-0.9658704755154062</v>
      </c>
      <c r="AC1343" s="3" t="n">
        <v>-1.04035159628442</v>
      </c>
      <c r="AD1343" s="3" t="n">
        <v>-0.8477488045996808</v>
      </c>
      <c r="AE1343" s="3" t="n">
        <v>-0.8477488045996808</v>
      </c>
    </row>
    <row r="1344">
      <c r="A1344" s="3" t="inlineStr">
        <is>
          <t>MCO.distn.dec.ove.mean.10</t>
        </is>
      </c>
      <c r="B1344" s="3" t="inlineStr">
        <is>
          <t>MCO</t>
        </is>
      </c>
      <c r="C1344" s="3" t="n">
        <v>2005</v>
      </c>
      <c r="D1344" s="3" t="inlineStr">
        <is>
          <t>Overall</t>
        </is>
      </c>
      <c r="E1344" s="3" t="inlineStr">
        <is>
          <t>Deciles</t>
        </is>
      </c>
      <c r="F1344" s="3" t="inlineStr">
        <is>
          <t>mean</t>
        </is>
      </c>
      <c r="G1344" s="3" t="n">
        <v>10</v>
      </c>
      <c r="H1344" s="3" t="n">
        <v>-0.7819935831617801</v>
      </c>
      <c r="I1344" s="3" t="n">
        <v>-0.7819935831617801</v>
      </c>
      <c r="J1344" s="3" t="n">
        <v>-0.8477488045996808</v>
      </c>
      <c r="K1344" s="3" t="n">
        <v>-0.8477488045996808</v>
      </c>
      <c r="L1344" s="3" t="n">
        <v>-0.7819935831617801</v>
      </c>
      <c r="M1344" s="3" t="n">
        <v>-0.7819935831617801</v>
      </c>
      <c r="N1344" s="3" t="n">
        <v>-0.7819935831617801</v>
      </c>
      <c r="O1344" s="3" t="n">
        <v>-0.7819935831617801</v>
      </c>
      <c r="P1344" s="3" t="n">
        <v>-0.7819935831617801</v>
      </c>
      <c r="Q1344" s="3" t="n">
        <v>-0.7819935831617801</v>
      </c>
      <c r="R1344" s="3" t="n">
        <v>-0.7700191178220384</v>
      </c>
      <c r="S1344" s="3" t="n">
        <v>-0.9684819490351575</v>
      </c>
      <c r="T1344" s="3" t="n">
        <v>-0.70814722142321</v>
      </c>
      <c r="U1344" s="3" t="n">
        <v>-0.8477488045996808</v>
      </c>
      <c r="V1344" s="3" t="n">
        <v>-0.6756977857427394</v>
      </c>
      <c r="W1344" s="3" t="n">
        <v>-0.4928101326556916</v>
      </c>
      <c r="X1344" s="3" t="n">
        <v>-0.9658704755154062</v>
      </c>
      <c r="Y1344" s="3" t="n">
        <v>-0.7819935831617801</v>
      </c>
      <c r="Z1344" s="3" t="n">
        <v>-0.9684819490351575</v>
      </c>
      <c r="AA1344" s="3" t="n">
        <v>-0.9684819490351575</v>
      </c>
      <c r="AB1344" s="3" t="n">
        <v>-0.9658704755154062</v>
      </c>
      <c r="AC1344" s="3" t="n">
        <v>-1.04035159628442</v>
      </c>
      <c r="AD1344" s="3" t="n">
        <v>-0.8477488045996808</v>
      </c>
      <c r="AE1344" s="3" t="n">
        <v>-0.8477488045996808</v>
      </c>
    </row>
    <row r="1345">
      <c r="A1345" s="3" t="inlineStr">
        <is>
          <t>MCO.distn.bkt.ove.mean.9999</t>
        </is>
      </c>
      <c r="B1345" s="3" t="inlineStr">
        <is>
          <t>MCO</t>
        </is>
      </c>
      <c r="C1345" s="3" t="n">
        <v>2005</v>
      </c>
      <c r="D1345" s="3" t="inlineStr">
        <is>
          <t>Overall</t>
        </is>
      </c>
      <c r="E1345" s="3" t="inlineStr">
        <is>
          <t>Basket</t>
        </is>
      </c>
      <c r="F1345" s="3" t="inlineStr">
        <is>
          <t>mean</t>
        </is>
      </c>
      <c r="G1345" s="3" t="n">
        <v>9999</v>
      </c>
      <c r="H1345" s="3" t="n">
        <v>-0.7836013613863194</v>
      </c>
      <c r="I1345" s="3" t="n">
        <v>-0.7836013613863194</v>
      </c>
      <c r="J1345" s="3" t="n">
        <v>-0.8590307616172953</v>
      </c>
      <c r="K1345" s="3" t="n">
        <v>-0.8590307616172953</v>
      </c>
      <c r="L1345" s="3" t="n">
        <v>-0.7836013613863194</v>
      </c>
      <c r="M1345" s="3" t="n">
        <v>-0.7836013613863194</v>
      </c>
      <c r="N1345" s="3" t="n">
        <v>-0.7836013613863194</v>
      </c>
      <c r="O1345" s="3" t="n">
        <v>-0.7836013613863194</v>
      </c>
      <c r="P1345" s="3" t="n">
        <v>-0.7836013613863194</v>
      </c>
      <c r="Q1345" s="3" t="n">
        <v>-0.7836013613863194</v>
      </c>
      <c r="R1345" s="3" t="n">
        <v>-0.7708828220976159</v>
      </c>
      <c r="S1345" s="3" t="n">
        <v>-1.097007578991829</v>
      </c>
      <c r="T1345" s="3" t="n">
        <v>-0.7085544974245923</v>
      </c>
      <c r="U1345" s="3" t="n">
        <v>-0.8590307616172953</v>
      </c>
      <c r="V1345" s="3" t="n">
        <v>-0.6772896647453308</v>
      </c>
      <c r="W1345" s="3" t="n">
        <v>-0.5109122699879586</v>
      </c>
      <c r="X1345" s="3" t="n">
        <v>-1.079493910708326</v>
      </c>
      <c r="Y1345" s="3" t="n">
        <v>-0.7836013613863194</v>
      </c>
      <c r="Z1345" s="3" t="n">
        <v>-1.097007578991829</v>
      </c>
      <c r="AA1345" s="3" t="n">
        <v>-1.097007578991829</v>
      </c>
      <c r="AB1345" s="3" t="n">
        <v>-1.079493910708326</v>
      </c>
      <c r="AC1345" s="3" t="n">
        <v>-1.359592239907447</v>
      </c>
      <c r="AD1345" s="3" t="n">
        <v>-0.8590307616172953</v>
      </c>
      <c r="AE1345" s="3" t="n">
        <v>-0.8590307616172953</v>
      </c>
    </row>
    <row r="1346">
      <c r="A1346" s="3" t="inlineStr">
        <is>
          <t>MDA.distn.dec.ove.mean.1</t>
        </is>
      </c>
      <c r="B1346" s="3" t="inlineStr">
        <is>
          <t>MDA</t>
        </is>
      </c>
      <c r="C1346" s="3" t="n">
        <v>2005</v>
      </c>
      <c r="D1346" s="3" t="inlineStr">
        <is>
          <t>Overall</t>
        </is>
      </c>
      <c r="E1346" s="3" t="inlineStr">
        <is>
          <t>Deciles</t>
        </is>
      </c>
      <c r="F1346" s="3" t="inlineStr">
        <is>
          <t>mean</t>
        </is>
      </c>
      <c r="G1346" s="3" t="n">
        <v>1</v>
      </c>
      <c r="H1346" s="3" t="n">
        <v>-0.7902569174766541</v>
      </c>
      <c r="I1346" s="3" t="n">
        <v>-0.7902569174766541</v>
      </c>
      <c r="J1346" s="3" t="n">
        <v>-0.9047167897224426</v>
      </c>
      <c r="K1346" s="3" t="n">
        <v>-0.9047167897224426</v>
      </c>
      <c r="L1346" s="3" t="n">
        <v>-0.7902569174766541</v>
      </c>
      <c r="M1346" s="3" t="n">
        <v>-0.7902569174766541</v>
      </c>
      <c r="N1346" s="3" t="n">
        <v>-0.7902569174766541</v>
      </c>
      <c r="O1346" s="3" t="n">
        <v>-0.7902569174766541</v>
      </c>
      <c r="P1346" s="3" t="n">
        <v>-0.7902569174766541</v>
      </c>
      <c r="Q1346" s="3" t="n">
        <v>-0.7902569174766541</v>
      </c>
      <c r="R1346" s="3" t="n">
        <v>-0.7744752764701843</v>
      </c>
      <c r="S1346" s="3" t="n">
        <v>-1.510766744613647</v>
      </c>
      <c r="T1346" s="3" t="n">
        <v>-0.7104546427726746</v>
      </c>
      <c r="U1346" s="3" t="n">
        <v>-0.9047167897224426</v>
      </c>
      <c r="V1346" s="3" t="n">
        <v>-0.6859755516052246</v>
      </c>
      <c r="W1346" s="3" t="n">
        <v>-0.6368775367736816</v>
      </c>
      <c r="X1346" s="3" t="n">
        <v>-1.452386379241943</v>
      </c>
      <c r="Y1346" s="3" t="n">
        <v>-0.7902569174766541</v>
      </c>
      <c r="Z1346" s="3" t="n">
        <v>-1.510766744613647</v>
      </c>
      <c r="AA1346" s="3" t="n">
        <v>-1.510766744613647</v>
      </c>
      <c r="AB1346" s="3" t="n">
        <v>-1.452386379241943</v>
      </c>
      <c r="AC1346" s="3" t="n">
        <v>-2.385475635528564</v>
      </c>
      <c r="AD1346" s="3" t="n">
        <v>-0.9047167897224426</v>
      </c>
      <c r="AE1346" s="3" t="n">
        <v>-0.9047167897224426</v>
      </c>
    </row>
    <row r="1347">
      <c r="A1347" s="3" t="inlineStr">
        <is>
          <t>MDA.distn.dec.ove.mean.2</t>
        </is>
      </c>
      <c r="B1347" s="3" t="inlineStr">
        <is>
          <t>MDA</t>
        </is>
      </c>
      <c r="C1347" s="3" t="n">
        <v>2005</v>
      </c>
      <c r="D1347" s="3" t="inlineStr">
        <is>
          <t>Overall</t>
        </is>
      </c>
      <c r="E1347" s="3" t="inlineStr">
        <is>
          <t>Deciles</t>
        </is>
      </c>
      <c r="F1347" s="3" t="inlineStr">
        <is>
          <t>mean</t>
        </is>
      </c>
      <c r="G1347" s="3" t="n">
        <v>2</v>
      </c>
      <c r="H1347" s="3" t="n">
        <v>-0.7902569174766541</v>
      </c>
      <c r="I1347" s="3" t="n">
        <v>-0.7902569174766541</v>
      </c>
      <c r="J1347" s="3" t="n">
        <v>-0.9047167897224426</v>
      </c>
      <c r="K1347" s="3" t="n">
        <v>-0.9047167897224426</v>
      </c>
      <c r="L1347" s="3" t="n">
        <v>-0.7902569174766541</v>
      </c>
      <c r="M1347" s="3" t="n">
        <v>-0.7902569174766541</v>
      </c>
      <c r="N1347" s="3" t="n">
        <v>-0.7902569174766541</v>
      </c>
      <c r="O1347" s="3" t="n">
        <v>-0.7902569174766541</v>
      </c>
      <c r="P1347" s="3" t="n">
        <v>-0.7902569174766541</v>
      </c>
      <c r="Q1347" s="3" t="n">
        <v>-0.7902569174766541</v>
      </c>
      <c r="R1347" s="3" t="n">
        <v>-0.7744752764701843</v>
      </c>
      <c r="S1347" s="3" t="n">
        <v>-1.510766744613647</v>
      </c>
      <c r="T1347" s="3" t="n">
        <v>-0.7104546427726746</v>
      </c>
      <c r="U1347" s="3" t="n">
        <v>-0.9047167897224426</v>
      </c>
      <c r="V1347" s="3" t="n">
        <v>-0.6859755516052246</v>
      </c>
      <c r="W1347" s="3" t="n">
        <v>-0.6368775367736816</v>
      </c>
      <c r="X1347" s="3" t="n">
        <v>-1.452386379241943</v>
      </c>
      <c r="Y1347" s="3" t="n">
        <v>-0.7902569174766541</v>
      </c>
      <c r="Z1347" s="3" t="n">
        <v>-1.510766744613647</v>
      </c>
      <c r="AA1347" s="3" t="n">
        <v>-1.510766744613647</v>
      </c>
      <c r="AB1347" s="3" t="n">
        <v>-1.452386379241943</v>
      </c>
      <c r="AC1347" s="3" t="n">
        <v>-2.385475635528564</v>
      </c>
      <c r="AD1347" s="3" t="n">
        <v>-0.9047167897224426</v>
      </c>
      <c r="AE1347" s="3" t="n">
        <v>-0.9047167897224426</v>
      </c>
    </row>
    <row r="1348">
      <c r="A1348" s="3" t="inlineStr">
        <is>
          <t>MDA.distn.dec.ove.mean.3</t>
        </is>
      </c>
      <c r="B1348" s="3" t="inlineStr">
        <is>
          <t>MDA</t>
        </is>
      </c>
      <c r="C1348" s="3" t="n">
        <v>2005</v>
      </c>
      <c r="D1348" s="3" t="inlineStr">
        <is>
          <t>Overall</t>
        </is>
      </c>
      <c r="E1348" s="3" t="inlineStr">
        <is>
          <t>Deciles</t>
        </is>
      </c>
      <c r="F1348" s="3" t="inlineStr">
        <is>
          <t>mean</t>
        </is>
      </c>
      <c r="G1348" s="3" t="n">
        <v>3</v>
      </c>
      <c r="H1348" s="3" t="n">
        <v>-0.7902569174766541</v>
      </c>
      <c r="I1348" s="3" t="n">
        <v>-0.7902569174766541</v>
      </c>
      <c r="J1348" s="3" t="n">
        <v>-0.9047167897224426</v>
      </c>
      <c r="K1348" s="3" t="n">
        <v>-0.9047167897224426</v>
      </c>
      <c r="L1348" s="3" t="n">
        <v>-0.7902569174766541</v>
      </c>
      <c r="M1348" s="3" t="n">
        <v>-0.7902569174766541</v>
      </c>
      <c r="N1348" s="3" t="n">
        <v>-0.7902569174766541</v>
      </c>
      <c r="O1348" s="3" t="n">
        <v>-0.7902569174766541</v>
      </c>
      <c r="P1348" s="3" t="n">
        <v>-0.7902569174766541</v>
      </c>
      <c r="Q1348" s="3" t="n">
        <v>-0.7902569174766541</v>
      </c>
      <c r="R1348" s="3" t="n">
        <v>-0.7744752764701843</v>
      </c>
      <c r="S1348" s="3" t="n">
        <v>-1.510766744613647</v>
      </c>
      <c r="T1348" s="3" t="n">
        <v>-0.7104546427726746</v>
      </c>
      <c r="U1348" s="3" t="n">
        <v>-0.9047167897224426</v>
      </c>
      <c r="V1348" s="3" t="n">
        <v>-0.6859755516052246</v>
      </c>
      <c r="W1348" s="3" t="n">
        <v>-0.6368775367736816</v>
      </c>
      <c r="X1348" s="3" t="n">
        <v>-1.452386379241943</v>
      </c>
      <c r="Y1348" s="3" t="n">
        <v>-0.7902569174766541</v>
      </c>
      <c r="Z1348" s="3" t="n">
        <v>-1.510766744613647</v>
      </c>
      <c r="AA1348" s="3" t="n">
        <v>-1.510766744613647</v>
      </c>
      <c r="AB1348" s="3" t="n">
        <v>-1.452386379241943</v>
      </c>
      <c r="AC1348" s="3" t="n">
        <v>-2.385475635528564</v>
      </c>
      <c r="AD1348" s="3" t="n">
        <v>-0.9047167897224426</v>
      </c>
      <c r="AE1348" s="3" t="n">
        <v>-0.9047167897224426</v>
      </c>
    </row>
    <row r="1349">
      <c r="A1349" s="3" t="inlineStr">
        <is>
          <t>MDA.distn.dec.ove.mean.4</t>
        </is>
      </c>
      <c r="B1349" s="3" t="inlineStr">
        <is>
          <t>MDA</t>
        </is>
      </c>
      <c r="C1349" s="3" t="n">
        <v>2005</v>
      </c>
      <c r="D1349" s="3" t="inlineStr">
        <is>
          <t>Overall</t>
        </is>
      </c>
      <c r="E1349" s="3" t="inlineStr">
        <is>
          <t>Deciles</t>
        </is>
      </c>
      <c r="F1349" s="3" t="inlineStr">
        <is>
          <t>mean</t>
        </is>
      </c>
      <c r="G1349" s="3" t="n">
        <v>4</v>
      </c>
      <c r="H1349" s="3" t="n">
        <v>-0.7839999794960022</v>
      </c>
      <c r="I1349" s="3" t="n">
        <v>-0.7839999794960022</v>
      </c>
      <c r="J1349" s="3" t="n">
        <v>-0.8610000014305115</v>
      </c>
      <c r="K1349" s="3" t="n">
        <v>-0.8610000014305115</v>
      </c>
      <c r="L1349" s="3" t="n">
        <v>-0.7839999794960022</v>
      </c>
      <c r="M1349" s="3" t="n">
        <v>-0.7839999794960022</v>
      </c>
      <c r="N1349" s="3" t="n">
        <v>-0.7839999794960022</v>
      </c>
      <c r="O1349" s="3" t="n">
        <v>-0.7839999794960022</v>
      </c>
      <c r="P1349" s="3" t="n">
        <v>-0.7839999794960022</v>
      </c>
      <c r="Q1349" s="3" t="n">
        <v>-0.7839999794960022</v>
      </c>
      <c r="R1349" s="3" t="n">
        <v>-0.7710000276565552</v>
      </c>
      <c r="S1349" s="3" t="n">
        <v>-1.029000043869019</v>
      </c>
      <c r="T1349" s="3" t="n">
        <v>-0.7089999914169312</v>
      </c>
      <c r="U1349" s="3" t="n">
        <v>-0.8610000014305115</v>
      </c>
      <c r="V1349" s="3" t="n">
        <v>-0.6790000200271606</v>
      </c>
      <c r="W1349" s="3" t="n">
        <v>-0.5360000133514404</v>
      </c>
      <c r="X1349" s="3" t="n">
        <v>-1.024999976158142</v>
      </c>
      <c r="Y1349" s="3" t="n">
        <v>-0.7839999794960022</v>
      </c>
      <c r="Z1349" s="3" t="n">
        <v>-1.029000043869019</v>
      </c>
      <c r="AA1349" s="3" t="n">
        <v>-1.029000043869019</v>
      </c>
      <c r="AB1349" s="3" t="n">
        <v>-1.024999976158142</v>
      </c>
      <c r="AC1349" s="3" t="n">
        <v>-1.151999950408936</v>
      </c>
      <c r="AD1349" s="3" t="n">
        <v>-0.8610000014305115</v>
      </c>
      <c r="AE1349" s="3" t="n">
        <v>-0.8610000014305115</v>
      </c>
    </row>
    <row r="1350">
      <c r="A1350" s="3" t="inlineStr">
        <is>
          <t>MDA.distn.dec.ove.mean.5</t>
        </is>
      </c>
      <c r="B1350" s="3" t="inlineStr">
        <is>
          <t>MDA</t>
        </is>
      </c>
      <c r="C1350" s="3" t="n">
        <v>2005</v>
      </c>
      <c r="D1350" s="3" t="inlineStr">
        <is>
          <t>Overall</t>
        </is>
      </c>
      <c r="E1350" s="3" t="inlineStr">
        <is>
          <t>Deciles</t>
        </is>
      </c>
      <c r="F1350" s="3" t="inlineStr">
        <is>
          <t>mean</t>
        </is>
      </c>
      <c r="G1350" s="3" t="n">
        <v>5</v>
      </c>
      <c r="H1350" s="3" t="n">
        <v>-0.7839999794960022</v>
      </c>
      <c r="I1350" s="3" t="n">
        <v>-0.7839999794960022</v>
      </c>
      <c r="J1350" s="3" t="n">
        <v>-0.8610000014305115</v>
      </c>
      <c r="K1350" s="3" t="n">
        <v>-0.8610000014305115</v>
      </c>
      <c r="L1350" s="3" t="n">
        <v>-0.7839999794960022</v>
      </c>
      <c r="M1350" s="3" t="n">
        <v>-0.7839999794960022</v>
      </c>
      <c r="N1350" s="3" t="n">
        <v>-0.7839999794960022</v>
      </c>
      <c r="O1350" s="3" t="n">
        <v>-0.7839999794960022</v>
      </c>
      <c r="P1350" s="3" t="n">
        <v>-0.7839999794960022</v>
      </c>
      <c r="Q1350" s="3" t="n">
        <v>-0.7839999794960022</v>
      </c>
      <c r="R1350" s="3" t="n">
        <v>-0.7710000276565552</v>
      </c>
      <c r="S1350" s="3" t="n">
        <v>-1.029000043869019</v>
      </c>
      <c r="T1350" s="3" t="n">
        <v>-0.7089999914169312</v>
      </c>
      <c r="U1350" s="3" t="n">
        <v>-0.8610000014305115</v>
      </c>
      <c r="V1350" s="3" t="n">
        <v>-0.6790000200271606</v>
      </c>
      <c r="W1350" s="3" t="n">
        <v>-0.5360000133514404</v>
      </c>
      <c r="X1350" s="3" t="n">
        <v>-1.024999976158142</v>
      </c>
      <c r="Y1350" s="3" t="n">
        <v>-0.7839999794960022</v>
      </c>
      <c r="Z1350" s="3" t="n">
        <v>-1.029000043869019</v>
      </c>
      <c r="AA1350" s="3" t="n">
        <v>-1.029000043869019</v>
      </c>
      <c r="AB1350" s="3" t="n">
        <v>-1.024999976158142</v>
      </c>
      <c r="AC1350" s="3" t="n">
        <v>-1.151999950408936</v>
      </c>
      <c r="AD1350" s="3" t="n">
        <v>-0.8610000014305115</v>
      </c>
      <c r="AE1350" s="3" t="n">
        <v>-0.8610000014305115</v>
      </c>
    </row>
    <row r="1351">
      <c r="A1351" s="3" t="inlineStr">
        <is>
          <t>MDA.distn.dec.ove.mean.6</t>
        </is>
      </c>
      <c r="B1351" s="3" t="inlineStr">
        <is>
          <t>MDA</t>
        </is>
      </c>
      <c r="C1351" s="3" t="n">
        <v>2005</v>
      </c>
      <c r="D1351" s="3" t="inlineStr">
        <is>
          <t>Overall</t>
        </is>
      </c>
      <c r="E1351" s="3" t="inlineStr">
        <is>
          <t>Deciles</t>
        </is>
      </c>
      <c r="F1351" s="3" t="inlineStr">
        <is>
          <t>mean</t>
        </is>
      </c>
      <c r="G1351" s="3" t="n">
        <v>6</v>
      </c>
      <c r="H1351" s="3" t="n">
        <v>-0.7839999794960022</v>
      </c>
      <c r="I1351" s="3" t="n">
        <v>-0.7839999794960022</v>
      </c>
      <c r="J1351" s="3" t="n">
        <v>-0.8610000014305115</v>
      </c>
      <c r="K1351" s="3" t="n">
        <v>-0.8610000014305115</v>
      </c>
      <c r="L1351" s="3" t="n">
        <v>-0.7839999794960022</v>
      </c>
      <c r="M1351" s="3" t="n">
        <v>-0.7839999794960022</v>
      </c>
      <c r="N1351" s="3" t="n">
        <v>-0.7839999794960022</v>
      </c>
      <c r="O1351" s="3" t="n">
        <v>-0.7839999794960022</v>
      </c>
      <c r="P1351" s="3" t="n">
        <v>-0.7839999794960022</v>
      </c>
      <c r="Q1351" s="3" t="n">
        <v>-0.7839999794960022</v>
      </c>
      <c r="R1351" s="3" t="n">
        <v>-0.7710000276565552</v>
      </c>
      <c r="S1351" s="3" t="n">
        <v>-1.029000043869019</v>
      </c>
      <c r="T1351" s="3" t="n">
        <v>-0.7089999914169312</v>
      </c>
      <c r="U1351" s="3" t="n">
        <v>-0.8610000014305115</v>
      </c>
      <c r="V1351" s="3" t="n">
        <v>-0.6790000200271606</v>
      </c>
      <c r="W1351" s="3" t="n">
        <v>-0.5360000133514404</v>
      </c>
      <c r="X1351" s="3" t="n">
        <v>-1.024999976158142</v>
      </c>
      <c r="Y1351" s="3" t="n">
        <v>-0.7839999794960022</v>
      </c>
      <c r="Z1351" s="3" t="n">
        <v>-1.029000043869019</v>
      </c>
      <c r="AA1351" s="3" t="n">
        <v>-1.029000043869019</v>
      </c>
      <c r="AB1351" s="3" t="n">
        <v>-1.024999976158142</v>
      </c>
      <c r="AC1351" s="3" t="n">
        <v>-1.151999950408936</v>
      </c>
      <c r="AD1351" s="3" t="n">
        <v>-0.8610000014305115</v>
      </c>
      <c r="AE1351" s="3" t="n">
        <v>-0.8610000014305115</v>
      </c>
    </row>
    <row r="1352">
      <c r="A1352" s="3" t="inlineStr">
        <is>
          <t>MDA.distn.dec.ove.mean.7</t>
        </is>
      </c>
      <c r="B1352" s="3" t="inlineStr">
        <is>
          <t>MDA</t>
        </is>
      </c>
      <c r="C1352" s="3" t="n">
        <v>2005</v>
      </c>
      <c r="D1352" s="3" t="inlineStr">
        <is>
          <t>Overall</t>
        </is>
      </c>
      <c r="E1352" s="3" t="inlineStr">
        <is>
          <t>Deciles</t>
        </is>
      </c>
      <c r="F1352" s="3" t="inlineStr">
        <is>
          <t>mean</t>
        </is>
      </c>
      <c r="G1352" s="3" t="n">
        <v>7</v>
      </c>
      <c r="H1352" s="3" t="n">
        <v>-0.7839999794960022</v>
      </c>
      <c r="I1352" s="3" t="n">
        <v>-0.7839999794960022</v>
      </c>
      <c r="J1352" s="3" t="n">
        <v>-0.8610000014305115</v>
      </c>
      <c r="K1352" s="3" t="n">
        <v>-0.8610000014305115</v>
      </c>
      <c r="L1352" s="3" t="n">
        <v>-0.7839999794960022</v>
      </c>
      <c r="M1352" s="3" t="n">
        <v>-0.7839999794960022</v>
      </c>
      <c r="N1352" s="3" t="n">
        <v>-0.7839999794960022</v>
      </c>
      <c r="O1352" s="3" t="n">
        <v>-0.7839999794960022</v>
      </c>
      <c r="P1352" s="3" t="n">
        <v>-0.7839999794960022</v>
      </c>
      <c r="Q1352" s="3" t="n">
        <v>-0.7839999794960022</v>
      </c>
      <c r="R1352" s="3" t="n">
        <v>-0.7710000276565552</v>
      </c>
      <c r="S1352" s="3" t="n">
        <v>-1.029000043869019</v>
      </c>
      <c r="T1352" s="3" t="n">
        <v>-0.7089999914169312</v>
      </c>
      <c r="U1352" s="3" t="n">
        <v>-0.8610000014305115</v>
      </c>
      <c r="V1352" s="3" t="n">
        <v>-0.6790000200271606</v>
      </c>
      <c r="W1352" s="3" t="n">
        <v>-0.5360000133514404</v>
      </c>
      <c r="X1352" s="3" t="n">
        <v>-1.024999976158142</v>
      </c>
      <c r="Y1352" s="3" t="n">
        <v>-0.7839999794960022</v>
      </c>
      <c r="Z1352" s="3" t="n">
        <v>-1.029000043869019</v>
      </c>
      <c r="AA1352" s="3" t="n">
        <v>-1.029000043869019</v>
      </c>
      <c r="AB1352" s="3" t="n">
        <v>-1.024999976158142</v>
      </c>
      <c r="AC1352" s="3" t="n">
        <v>-1.151999950408936</v>
      </c>
      <c r="AD1352" s="3" t="n">
        <v>-0.8610000014305115</v>
      </c>
      <c r="AE1352" s="3" t="n">
        <v>-0.8610000014305115</v>
      </c>
    </row>
    <row r="1353">
      <c r="A1353" s="3" t="inlineStr">
        <is>
          <t>MDA.distn.dec.ove.mean.8</t>
        </is>
      </c>
      <c r="B1353" s="3" t="inlineStr">
        <is>
          <t>MDA</t>
        </is>
      </c>
      <c r="C1353" s="3" t="n">
        <v>2005</v>
      </c>
      <c r="D1353" s="3" t="inlineStr">
        <is>
          <t>Overall</t>
        </is>
      </c>
      <c r="E1353" s="3" t="inlineStr">
        <is>
          <t>Deciles</t>
        </is>
      </c>
      <c r="F1353" s="3" t="inlineStr">
        <is>
          <t>mean</t>
        </is>
      </c>
      <c r="G1353" s="3" t="n">
        <v>8</v>
      </c>
      <c r="H1353" s="3" t="n">
        <v>-0.7843776941299438</v>
      </c>
      <c r="I1353" s="3" t="n">
        <v>-0.7843776941299438</v>
      </c>
      <c r="J1353" s="3" t="n">
        <v>-0.8633226156234741</v>
      </c>
      <c r="K1353" s="3" t="n">
        <v>-0.8633226156234741</v>
      </c>
      <c r="L1353" s="3" t="n">
        <v>-0.7843776941299438</v>
      </c>
      <c r="M1353" s="3" t="n">
        <v>-0.7843776941299438</v>
      </c>
      <c r="N1353" s="3" t="n">
        <v>-0.7843776941299438</v>
      </c>
      <c r="O1353" s="3" t="n">
        <v>-0.7843776941299438</v>
      </c>
      <c r="P1353" s="3" t="n">
        <v>-0.7843776941299438</v>
      </c>
      <c r="Q1353" s="3" t="n">
        <v>-0.7843776941299438</v>
      </c>
      <c r="R1353" s="3" t="n">
        <v>-0.7712535858154297</v>
      </c>
      <c r="S1353" s="3" t="n">
        <v>-1.038574934005737</v>
      </c>
      <c r="T1353" s="3" t="n">
        <v>-0.7090408802032471</v>
      </c>
      <c r="U1353" s="3" t="n">
        <v>-0.8633226156234741</v>
      </c>
      <c r="V1353" s="3" t="n">
        <v>-0.6797019243240356</v>
      </c>
      <c r="W1353" s="3" t="n">
        <v>-0.550353467464447</v>
      </c>
      <c r="X1353" s="3" t="n">
        <v>-1.034339785575867</v>
      </c>
      <c r="Y1353" s="3" t="n">
        <v>-0.7843776941299438</v>
      </c>
      <c r="Z1353" s="3" t="n">
        <v>-1.038574934005737</v>
      </c>
      <c r="AA1353" s="3" t="n">
        <v>-1.038574934005737</v>
      </c>
      <c r="AB1353" s="3" t="n">
        <v>-1.034339785575867</v>
      </c>
      <c r="AC1353" s="3" t="n">
        <v>-1.168429017066956</v>
      </c>
      <c r="AD1353" s="3" t="n">
        <v>-0.8633226156234741</v>
      </c>
      <c r="AE1353" s="3" t="n">
        <v>-0.8633226156234741</v>
      </c>
    </row>
    <row r="1354">
      <c r="A1354" s="3" t="inlineStr">
        <is>
          <t>MDA.distn.dec.ove.mean.9</t>
        </is>
      </c>
      <c r="B1354" s="3" t="inlineStr">
        <is>
          <t>MDA</t>
        </is>
      </c>
      <c r="C1354" s="3" t="n">
        <v>2005</v>
      </c>
      <c r="D1354" s="3" t="inlineStr">
        <is>
          <t>Overall</t>
        </is>
      </c>
      <c r="E1354" s="3" t="inlineStr">
        <is>
          <t>Deciles</t>
        </is>
      </c>
      <c r="F1354" s="3" t="inlineStr">
        <is>
          <t>mean</t>
        </is>
      </c>
      <c r="G1354" s="3" t="n">
        <v>9</v>
      </c>
      <c r="H1354" s="3" t="n">
        <v>-0.7843776941299438</v>
      </c>
      <c r="I1354" s="3" t="n">
        <v>-0.7843776941299438</v>
      </c>
      <c r="J1354" s="3" t="n">
        <v>-0.8633226156234741</v>
      </c>
      <c r="K1354" s="3" t="n">
        <v>-0.8633226156234741</v>
      </c>
      <c r="L1354" s="3" t="n">
        <v>-0.7843776941299438</v>
      </c>
      <c r="M1354" s="3" t="n">
        <v>-0.7843776941299438</v>
      </c>
      <c r="N1354" s="3" t="n">
        <v>-0.7843776941299438</v>
      </c>
      <c r="O1354" s="3" t="n">
        <v>-0.7843776941299438</v>
      </c>
      <c r="P1354" s="3" t="n">
        <v>-0.7843776941299438</v>
      </c>
      <c r="Q1354" s="3" t="n">
        <v>-0.7843776941299438</v>
      </c>
      <c r="R1354" s="3" t="n">
        <v>-0.7712535858154297</v>
      </c>
      <c r="S1354" s="3" t="n">
        <v>-1.038574934005737</v>
      </c>
      <c r="T1354" s="3" t="n">
        <v>-0.7090408802032471</v>
      </c>
      <c r="U1354" s="3" t="n">
        <v>-0.8633226156234741</v>
      </c>
      <c r="V1354" s="3" t="n">
        <v>-0.6797019243240356</v>
      </c>
      <c r="W1354" s="3" t="n">
        <v>-0.550353467464447</v>
      </c>
      <c r="X1354" s="3" t="n">
        <v>-1.034339785575867</v>
      </c>
      <c r="Y1354" s="3" t="n">
        <v>-0.7843776941299438</v>
      </c>
      <c r="Z1354" s="3" t="n">
        <v>-1.038574934005737</v>
      </c>
      <c r="AA1354" s="3" t="n">
        <v>-1.038574934005737</v>
      </c>
      <c r="AB1354" s="3" t="n">
        <v>-1.034339785575867</v>
      </c>
      <c r="AC1354" s="3" t="n">
        <v>-1.168429017066956</v>
      </c>
      <c r="AD1354" s="3" t="n">
        <v>-0.8633226156234741</v>
      </c>
      <c r="AE1354" s="3" t="n">
        <v>-0.8633226156234741</v>
      </c>
    </row>
    <row r="1355">
      <c r="A1355" s="3" t="inlineStr">
        <is>
          <t>MDA.distn.dec.ove.mean.10</t>
        </is>
      </c>
      <c r="B1355" s="3" t="inlineStr">
        <is>
          <t>MDA</t>
        </is>
      </c>
      <c r="C1355" s="3" t="n">
        <v>2005</v>
      </c>
      <c r="D1355" s="3" t="inlineStr">
        <is>
          <t>Overall</t>
        </is>
      </c>
      <c r="E1355" s="3" t="inlineStr">
        <is>
          <t>Deciles</t>
        </is>
      </c>
      <c r="F1355" s="3" t="inlineStr">
        <is>
          <t>mean</t>
        </is>
      </c>
      <c r="G1355" s="3" t="n">
        <v>10</v>
      </c>
      <c r="H1355" s="3" t="n">
        <v>-0.7843776941299438</v>
      </c>
      <c r="I1355" s="3" t="n">
        <v>-0.7843776941299438</v>
      </c>
      <c r="J1355" s="3" t="n">
        <v>-0.8633226156234741</v>
      </c>
      <c r="K1355" s="3" t="n">
        <v>-0.8633226156234741</v>
      </c>
      <c r="L1355" s="3" t="n">
        <v>-0.7843776941299438</v>
      </c>
      <c r="M1355" s="3" t="n">
        <v>-0.7843776941299438</v>
      </c>
      <c r="N1355" s="3" t="n">
        <v>-0.7843776941299438</v>
      </c>
      <c r="O1355" s="3" t="n">
        <v>-0.7843776941299438</v>
      </c>
      <c r="P1355" s="3" t="n">
        <v>-0.7843776941299438</v>
      </c>
      <c r="Q1355" s="3" t="n">
        <v>-0.7843776941299438</v>
      </c>
      <c r="R1355" s="3" t="n">
        <v>-0.7712535858154297</v>
      </c>
      <c r="S1355" s="3" t="n">
        <v>-1.038574934005737</v>
      </c>
      <c r="T1355" s="3" t="n">
        <v>-0.7090408802032471</v>
      </c>
      <c r="U1355" s="3" t="n">
        <v>-0.8633226156234741</v>
      </c>
      <c r="V1355" s="3" t="n">
        <v>-0.6797019243240356</v>
      </c>
      <c r="W1355" s="3" t="n">
        <v>-0.550353467464447</v>
      </c>
      <c r="X1355" s="3" t="n">
        <v>-1.034339785575867</v>
      </c>
      <c r="Y1355" s="3" t="n">
        <v>-0.7843776941299438</v>
      </c>
      <c r="Z1355" s="3" t="n">
        <v>-1.038574934005737</v>
      </c>
      <c r="AA1355" s="3" t="n">
        <v>-1.038574934005737</v>
      </c>
      <c r="AB1355" s="3" t="n">
        <v>-1.034339785575867</v>
      </c>
      <c r="AC1355" s="3" t="n">
        <v>-1.168429017066956</v>
      </c>
      <c r="AD1355" s="3" t="n">
        <v>-0.8633226156234741</v>
      </c>
      <c r="AE1355" s="3" t="n">
        <v>-0.8633226156234741</v>
      </c>
    </row>
    <row r="1356">
      <c r="A1356" s="3" t="inlineStr">
        <is>
          <t>MDA.distn.bkt.ove.mean.9999</t>
        </is>
      </c>
      <c r="B1356" s="3" t="inlineStr">
        <is>
          <t>MDA</t>
        </is>
      </c>
      <c r="C1356" s="3" t="n">
        <v>2005</v>
      </c>
      <c r="D1356" s="3" t="inlineStr">
        <is>
          <t>Overall</t>
        </is>
      </c>
      <c r="E1356" s="3" t="inlineStr">
        <is>
          <t>Basket</t>
        </is>
      </c>
      <c r="F1356" s="3" t="inlineStr">
        <is>
          <t>mean</t>
        </is>
      </c>
      <c r="G1356" s="3" t="n">
        <v>9999</v>
      </c>
      <c r="H1356" s="3" t="n">
        <v>-0.7859903573989868</v>
      </c>
      <c r="I1356" s="3" t="n">
        <v>-0.7859903573989868</v>
      </c>
      <c r="J1356" s="3" t="n">
        <v>-0.8748118281364441</v>
      </c>
      <c r="K1356" s="3" t="n">
        <v>-0.8748118281364441</v>
      </c>
      <c r="L1356" s="3" t="n">
        <v>-0.7859903573989868</v>
      </c>
      <c r="M1356" s="3" t="n">
        <v>-0.7859903573989868</v>
      </c>
      <c r="N1356" s="3" t="n">
        <v>-0.7859903573989868</v>
      </c>
      <c r="O1356" s="3" t="n">
        <v>-0.7859903573989868</v>
      </c>
      <c r="P1356" s="3" t="n">
        <v>-0.7859903573989868</v>
      </c>
      <c r="Q1356" s="3" t="n">
        <v>-0.7859903573989868</v>
      </c>
      <c r="R1356" s="3" t="n">
        <v>-0.7721186876296997</v>
      </c>
      <c r="S1356" s="3" t="n">
        <v>-1.176402568817139</v>
      </c>
      <c r="T1356" s="3" t="n">
        <v>-0.7094486355781555</v>
      </c>
      <c r="U1356" s="3" t="n">
        <v>-0.8748118281364441</v>
      </c>
      <c r="V1356" s="3" t="n">
        <v>-0.6813032627105713</v>
      </c>
      <c r="W1356" s="3" t="n">
        <v>-0.5705692768096924</v>
      </c>
      <c r="X1356" s="3" t="n">
        <v>-1.156017780303955</v>
      </c>
      <c r="Y1356" s="3" t="n">
        <v>-0.7859903573989868</v>
      </c>
      <c r="Z1356" s="3" t="n">
        <v>-1.176402568817139</v>
      </c>
      <c r="AA1356" s="3" t="n">
        <v>-1.176402568817139</v>
      </c>
      <c r="AB1356" s="3" t="n">
        <v>-1.156017780303955</v>
      </c>
      <c r="AC1356" s="3" t="n">
        <v>-1.526971340179443</v>
      </c>
      <c r="AD1356" s="3" t="n">
        <v>-0.8748118281364441</v>
      </c>
      <c r="AE1356" s="3" t="n">
        <v>-0.8748118281364441</v>
      </c>
    </row>
    <row r="1357">
      <c r="A1357" s="3" t="inlineStr">
        <is>
          <t>MDG.distn.dec.ove.mean.1</t>
        </is>
      </c>
      <c r="B1357" s="3" t="inlineStr">
        <is>
          <t>MDG</t>
        </is>
      </c>
      <c r="C1357" s="3" t="n">
        <v>2005</v>
      </c>
      <c r="D1357" s="3" t="inlineStr">
        <is>
          <t>Overall</t>
        </is>
      </c>
      <c r="E1357" s="3" t="inlineStr">
        <is>
          <t>Deciles</t>
        </is>
      </c>
      <c r="F1357" s="3" t="inlineStr">
        <is>
          <t>mean</t>
        </is>
      </c>
      <c r="G1357" s="3" t="n">
        <v>1</v>
      </c>
      <c r="H1357" s="3" t="n">
        <v>-0.7963047623634338</v>
      </c>
      <c r="I1357" s="3" t="n">
        <v>-0.7963047623634338</v>
      </c>
      <c r="J1357" s="3" t="n">
        <v>-0.9477985501289368</v>
      </c>
      <c r="K1357" s="3" t="n">
        <v>-0.9477985501289368</v>
      </c>
      <c r="L1357" s="3" t="n">
        <v>-0.7963047623634338</v>
      </c>
      <c r="M1357" s="3" t="n">
        <v>-0.7963047623634338</v>
      </c>
      <c r="N1357" s="3" t="n">
        <v>-0.7963047623634338</v>
      </c>
      <c r="O1357" s="3" t="n">
        <v>-0.7963047623634338</v>
      </c>
      <c r="P1357" s="3" t="n">
        <v>-0.7963047623634338</v>
      </c>
      <c r="Q1357" s="3" t="n">
        <v>-0.7963047623634338</v>
      </c>
      <c r="R1357" s="3" t="n">
        <v>-0.7774887681007385</v>
      </c>
      <c r="S1357" s="3" t="n">
        <v>-2.092169761657715</v>
      </c>
      <c r="T1357" s="3" t="n">
        <v>-0.7114566564559937</v>
      </c>
      <c r="U1357" s="3" t="n">
        <v>-0.9477985501289368</v>
      </c>
      <c r="V1357" s="3" t="n">
        <v>-0.6910269260406494</v>
      </c>
      <c r="W1357" s="3" t="n">
        <v>-0.7022287249565125</v>
      </c>
      <c r="X1357" s="3" t="n">
        <v>-1.989415168762207</v>
      </c>
      <c r="Y1357" s="3" t="n">
        <v>-0.7963047623634338</v>
      </c>
      <c r="Z1357" s="3" t="n">
        <v>-2.092169761657715</v>
      </c>
      <c r="AA1357" s="3" t="n">
        <v>-2.092169761657715</v>
      </c>
      <c r="AB1357" s="3" t="n">
        <v>-1.989415168762207</v>
      </c>
      <c r="AC1357" s="3" t="n">
        <v>-6.094144344329834</v>
      </c>
      <c r="AD1357" s="3" t="n">
        <v>-0.9477985501289368</v>
      </c>
      <c r="AE1357" s="3" t="n">
        <v>-0.9477985501289368</v>
      </c>
    </row>
    <row r="1358">
      <c r="A1358" s="3" t="inlineStr">
        <is>
          <t>MDG.distn.dec.ove.mean.2</t>
        </is>
      </c>
      <c r="B1358" s="3" t="inlineStr">
        <is>
          <t>MDG</t>
        </is>
      </c>
      <c r="C1358" s="3" t="n">
        <v>2005</v>
      </c>
      <c r="D1358" s="3" t="inlineStr">
        <is>
          <t>Overall</t>
        </is>
      </c>
      <c r="E1358" s="3" t="inlineStr">
        <is>
          <t>Deciles</t>
        </is>
      </c>
      <c r="F1358" s="3" t="inlineStr">
        <is>
          <t>mean</t>
        </is>
      </c>
      <c r="G1358" s="3" t="n">
        <v>2</v>
      </c>
      <c r="H1358" s="3" t="n">
        <v>-0.7963047623634338</v>
      </c>
      <c r="I1358" s="3" t="n">
        <v>-0.7963047623634338</v>
      </c>
      <c r="J1358" s="3" t="n">
        <v>-0.9477985501289368</v>
      </c>
      <c r="K1358" s="3" t="n">
        <v>-0.9477985501289368</v>
      </c>
      <c r="L1358" s="3" t="n">
        <v>-0.7963047623634338</v>
      </c>
      <c r="M1358" s="3" t="n">
        <v>-0.7963047623634338</v>
      </c>
      <c r="N1358" s="3" t="n">
        <v>-0.7963047623634338</v>
      </c>
      <c r="O1358" s="3" t="n">
        <v>-0.7963047623634338</v>
      </c>
      <c r="P1358" s="3" t="n">
        <v>-0.7963047623634338</v>
      </c>
      <c r="Q1358" s="3" t="n">
        <v>-0.7963047623634338</v>
      </c>
      <c r="R1358" s="3" t="n">
        <v>-0.7774887681007385</v>
      </c>
      <c r="S1358" s="3" t="n">
        <v>-2.092169761657715</v>
      </c>
      <c r="T1358" s="3" t="n">
        <v>-0.7114566564559937</v>
      </c>
      <c r="U1358" s="3" t="n">
        <v>-0.9477985501289368</v>
      </c>
      <c r="V1358" s="3" t="n">
        <v>-0.6910269260406494</v>
      </c>
      <c r="W1358" s="3" t="n">
        <v>-0.7022287249565125</v>
      </c>
      <c r="X1358" s="3" t="n">
        <v>-1.989415168762207</v>
      </c>
      <c r="Y1358" s="3" t="n">
        <v>-0.7963047623634338</v>
      </c>
      <c r="Z1358" s="3" t="n">
        <v>-2.092169761657715</v>
      </c>
      <c r="AA1358" s="3" t="n">
        <v>-2.092169761657715</v>
      </c>
      <c r="AB1358" s="3" t="n">
        <v>-1.989415168762207</v>
      </c>
      <c r="AC1358" s="3" t="n">
        <v>-6.094144344329834</v>
      </c>
      <c r="AD1358" s="3" t="n">
        <v>-0.9477985501289368</v>
      </c>
      <c r="AE1358" s="3" t="n">
        <v>-0.9477985501289368</v>
      </c>
    </row>
    <row r="1359">
      <c r="A1359" s="3" t="inlineStr">
        <is>
          <t>MDG.distn.dec.ove.mean.3</t>
        </is>
      </c>
      <c r="B1359" s="3" t="inlineStr">
        <is>
          <t>MDG</t>
        </is>
      </c>
      <c r="C1359" s="3" t="n">
        <v>2005</v>
      </c>
      <c r="D1359" s="3" t="inlineStr">
        <is>
          <t>Overall</t>
        </is>
      </c>
      <c r="E1359" s="3" t="inlineStr">
        <is>
          <t>Deciles</t>
        </is>
      </c>
      <c r="F1359" s="3" t="inlineStr">
        <is>
          <t>mean</t>
        </is>
      </c>
      <c r="G1359" s="3" t="n">
        <v>3</v>
      </c>
      <c r="H1359" s="3" t="n">
        <v>-0.7963047623634338</v>
      </c>
      <c r="I1359" s="3" t="n">
        <v>-0.7963047623634338</v>
      </c>
      <c r="J1359" s="3" t="n">
        <v>-0.9477985501289368</v>
      </c>
      <c r="K1359" s="3" t="n">
        <v>-0.9477985501289368</v>
      </c>
      <c r="L1359" s="3" t="n">
        <v>-0.7963047623634338</v>
      </c>
      <c r="M1359" s="3" t="n">
        <v>-0.7963047623634338</v>
      </c>
      <c r="N1359" s="3" t="n">
        <v>-0.7963047623634338</v>
      </c>
      <c r="O1359" s="3" t="n">
        <v>-0.7963047623634338</v>
      </c>
      <c r="P1359" s="3" t="n">
        <v>-0.7963047623634338</v>
      </c>
      <c r="Q1359" s="3" t="n">
        <v>-0.7963047623634338</v>
      </c>
      <c r="R1359" s="3" t="n">
        <v>-0.7774887681007385</v>
      </c>
      <c r="S1359" s="3" t="n">
        <v>-2.092169761657715</v>
      </c>
      <c r="T1359" s="3" t="n">
        <v>-0.7114566564559937</v>
      </c>
      <c r="U1359" s="3" t="n">
        <v>-0.9477985501289368</v>
      </c>
      <c r="V1359" s="3" t="n">
        <v>-0.6910269260406494</v>
      </c>
      <c r="W1359" s="3" t="n">
        <v>-0.7022287249565125</v>
      </c>
      <c r="X1359" s="3" t="n">
        <v>-1.989415168762207</v>
      </c>
      <c r="Y1359" s="3" t="n">
        <v>-0.7963047623634338</v>
      </c>
      <c r="Z1359" s="3" t="n">
        <v>-2.092169761657715</v>
      </c>
      <c r="AA1359" s="3" t="n">
        <v>-2.092169761657715</v>
      </c>
      <c r="AB1359" s="3" t="n">
        <v>-1.989415168762207</v>
      </c>
      <c r="AC1359" s="3" t="n">
        <v>-6.094144344329834</v>
      </c>
      <c r="AD1359" s="3" t="n">
        <v>-0.9477985501289368</v>
      </c>
      <c r="AE1359" s="3" t="n">
        <v>-0.9477985501289368</v>
      </c>
    </row>
    <row r="1360">
      <c r="A1360" s="3" t="inlineStr">
        <is>
          <t>MDG.distn.dec.ove.mean.4</t>
        </is>
      </c>
      <c r="B1360" s="3" t="inlineStr">
        <is>
          <t>MDG</t>
        </is>
      </c>
      <c r="C1360" s="3" t="n">
        <v>2005</v>
      </c>
      <c r="D1360" s="3" t="inlineStr">
        <is>
          <t>Overall</t>
        </is>
      </c>
      <c r="E1360" s="3" t="inlineStr">
        <is>
          <t>Deciles</t>
        </is>
      </c>
      <c r="F1360" s="3" t="inlineStr">
        <is>
          <t>mean</t>
        </is>
      </c>
      <c r="G1360" s="3" t="n">
        <v>4</v>
      </c>
      <c r="H1360" s="3" t="n">
        <v>-0.7900000214576721</v>
      </c>
      <c r="I1360" s="3" t="n">
        <v>-0.7900000214576721</v>
      </c>
      <c r="J1360" s="3" t="n">
        <v>-0.9020000100135803</v>
      </c>
      <c r="K1360" s="3" t="n">
        <v>-0.9020000100135803</v>
      </c>
      <c r="L1360" s="3" t="n">
        <v>-0.7900000214576721</v>
      </c>
      <c r="M1360" s="3" t="n">
        <v>-0.7900000214576721</v>
      </c>
      <c r="N1360" s="3" t="n">
        <v>-0.7900000214576721</v>
      </c>
      <c r="O1360" s="3" t="n">
        <v>-0.7900000214576721</v>
      </c>
      <c r="P1360" s="3" t="n">
        <v>-0.7900000214576721</v>
      </c>
      <c r="Q1360" s="3" t="n">
        <v>-0.7900000214576721</v>
      </c>
      <c r="R1360" s="3" t="n">
        <v>-0.7739999890327454</v>
      </c>
      <c r="S1360" s="3" t="n">
        <v>-1.424999952316284</v>
      </c>
      <c r="T1360" s="3" t="n">
        <v>-0.7099999785423279</v>
      </c>
      <c r="U1360" s="3" t="n">
        <v>-0.9020000100135803</v>
      </c>
      <c r="V1360" s="3" t="n">
        <v>-0.6840000152587891</v>
      </c>
      <c r="W1360" s="3" t="n">
        <v>-0.5910000205039978</v>
      </c>
      <c r="X1360" s="3" t="n">
        <v>-1.404000043869019</v>
      </c>
      <c r="Y1360" s="3" t="n">
        <v>-0.7900000214576721</v>
      </c>
      <c r="Z1360" s="3" t="n">
        <v>-1.424999952316284</v>
      </c>
      <c r="AA1360" s="3" t="n">
        <v>-1.424999952316284</v>
      </c>
      <c r="AB1360" s="3" t="n">
        <v>-1.404000043869019</v>
      </c>
      <c r="AC1360" s="3" t="n">
        <v>-2.943000078201294</v>
      </c>
      <c r="AD1360" s="3" t="n">
        <v>-0.9020000100135803</v>
      </c>
      <c r="AE1360" s="3" t="n">
        <v>-0.9020000100135803</v>
      </c>
    </row>
    <row r="1361">
      <c r="A1361" s="3" t="inlineStr">
        <is>
          <t>MDG.distn.dec.ove.mean.5</t>
        </is>
      </c>
      <c r="B1361" s="3" t="inlineStr">
        <is>
          <t>MDG</t>
        </is>
      </c>
      <c r="C1361" s="3" t="n">
        <v>2005</v>
      </c>
      <c r="D1361" s="3" t="inlineStr">
        <is>
          <t>Overall</t>
        </is>
      </c>
      <c r="E1361" s="3" t="inlineStr">
        <is>
          <t>Deciles</t>
        </is>
      </c>
      <c r="F1361" s="3" t="inlineStr">
        <is>
          <t>mean</t>
        </is>
      </c>
      <c r="G1361" s="3" t="n">
        <v>5</v>
      </c>
      <c r="H1361" s="3" t="n">
        <v>-0.7900000214576721</v>
      </c>
      <c r="I1361" s="3" t="n">
        <v>-0.7900000214576721</v>
      </c>
      <c r="J1361" s="3" t="n">
        <v>-0.9020000100135803</v>
      </c>
      <c r="K1361" s="3" t="n">
        <v>-0.9020000100135803</v>
      </c>
      <c r="L1361" s="3" t="n">
        <v>-0.7900000214576721</v>
      </c>
      <c r="M1361" s="3" t="n">
        <v>-0.7900000214576721</v>
      </c>
      <c r="N1361" s="3" t="n">
        <v>-0.7900000214576721</v>
      </c>
      <c r="O1361" s="3" t="n">
        <v>-0.7900000214576721</v>
      </c>
      <c r="P1361" s="3" t="n">
        <v>-0.7900000214576721</v>
      </c>
      <c r="Q1361" s="3" t="n">
        <v>-0.7900000214576721</v>
      </c>
      <c r="R1361" s="3" t="n">
        <v>-0.7739999890327454</v>
      </c>
      <c r="S1361" s="3" t="n">
        <v>-1.424999952316284</v>
      </c>
      <c r="T1361" s="3" t="n">
        <v>-0.7099999785423279</v>
      </c>
      <c r="U1361" s="3" t="n">
        <v>-0.9020000100135803</v>
      </c>
      <c r="V1361" s="3" t="n">
        <v>-0.6840000152587891</v>
      </c>
      <c r="W1361" s="3" t="n">
        <v>-0.5910000205039978</v>
      </c>
      <c r="X1361" s="3" t="n">
        <v>-1.404000043869019</v>
      </c>
      <c r="Y1361" s="3" t="n">
        <v>-0.7900000214576721</v>
      </c>
      <c r="Z1361" s="3" t="n">
        <v>-1.424999952316284</v>
      </c>
      <c r="AA1361" s="3" t="n">
        <v>-1.424999952316284</v>
      </c>
      <c r="AB1361" s="3" t="n">
        <v>-1.404000043869019</v>
      </c>
      <c r="AC1361" s="3" t="n">
        <v>-2.943000078201294</v>
      </c>
      <c r="AD1361" s="3" t="n">
        <v>-0.9020000100135803</v>
      </c>
      <c r="AE1361" s="3" t="n">
        <v>-0.9020000100135803</v>
      </c>
    </row>
    <row r="1362">
      <c r="A1362" s="3" t="inlineStr">
        <is>
          <t>MDG.distn.dec.ove.mean.6</t>
        </is>
      </c>
      <c r="B1362" s="3" t="inlineStr">
        <is>
          <t>MDG</t>
        </is>
      </c>
      <c r="C1362" s="3" t="n">
        <v>2005</v>
      </c>
      <c r="D1362" s="3" t="inlineStr">
        <is>
          <t>Overall</t>
        </is>
      </c>
      <c r="E1362" s="3" t="inlineStr">
        <is>
          <t>Deciles</t>
        </is>
      </c>
      <c r="F1362" s="3" t="inlineStr">
        <is>
          <t>mean</t>
        </is>
      </c>
      <c r="G1362" s="3" t="n">
        <v>6</v>
      </c>
      <c r="H1362" s="3" t="n">
        <v>-0.7900000214576721</v>
      </c>
      <c r="I1362" s="3" t="n">
        <v>-0.7900000214576721</v>
      </c>
      <c r="J1362" s="3" t="n">
        <v>-0.9020000100135803</v>
      </c>
      <c r="K1362" s="3" t="n">
        <v>-0.9020000100135803</v>
      </c>
      <c r="L1362" s="3" t="n">
        <v>-0.7900000214576721</v>
      </c>
      <c r="M1362" s="3" t="n">
        <v>-0.7900000214576721</v>
      </c>
      <c r="N1362" s="3" t="n">
        <v>-0.7900000214576721</v>
      </c>
      <c r="O1362" s="3" t="n">
        <v>-0.7900000214576721</v>
      </c>
      <c r="P1362" s="3" t="n">
        <v>-0.7900000214576721</v>
      </c>
      <c r="Q1362" s="3" t="n">
        <v>-0.7900000214576721</v>
      </c>
      <c r="R1362" s="3" t="n">
        <v>-0.7739999890327454</v>
      </c>
      <c r="S1362" s="3" t="n">
        <v>-1.424999952316284</v>
      </c>
      <c r="T1362" s="3" t="n">
        <v>-0.7099999785423279</v>
      </c>
      <c r="U1362" s="3" t="n">
        <v>-0.9020000100135803</v>
      </c>
      <c r="V1362" s="3" t="n">
        <v>-0.6840000152587891</v>
      </c>
      <c r="W1362" s="3" t="n">
        <v>-0.5910000205039978</v>
      </c>
      <c r="X1362" s="3" t="n">
        <v>-1.404000043869019</v>
      </c>
      <c r="Y1362" s="3" t="n">
        <v>-0.7900000214576721</v>
      </c>
      <c r="Z1362" s="3" t="n">
        <v>-1.424999952316284</v>
      </c>
      <c r="AA1362" s="3" t="n">
        <v>-1.424999952316284</v>
      </c>
      <c r="AB1362" s="3" t="n">
        <v>-1.404000043869019</v>
      </c>
      <c r="AC1362" s="3" t="n">
        <v>-2.943000078201294</v>
      </c>
      <c r="AD1362" s="3" t="n">
        <v>-0.9020000100135803</v>
      </c>
      <c r="AE1362" s="3" t="n">
        <v>-0.9020000100135803</v>
      </c>
    </row>
    <row r="1363">
      <c r="A1363" s="3" t="inlineStr">
        <is>
          <t>MDG.distn.dec.ove.mean.7</t>
        </is>
      </c>
      <c r="B1363" s="3" t="inlineStr">
        <is>
          <t>MDG</t>
        </is>
      </c>
      <c r="C1363" s="3" t="n">
        <v>2005</v>
      </c>
      <c r="D1363" s="3" t="inlineStr">
        <is>
          <t>Overall</t>
        </is>
      </c>
      <c r="E1363" s="3" t="inlineStr">
        <is>
          <t>Deciles</t>
        </is>
      </c>
      <c r="F1363" s="3" t="inlineStr">
        <is>
          <t>mean</t>
        </is>
      </c>
      <c r="G1363" s="3" t="n">
        <v>7</v>
      </c>
      <c r="H1363" s="3" t="n">
        <v>-0.7900000214576721</v>
      </c>
      <c r="I1363" s="3" t="n">
        <v>-0.7900000214576721</v>
      </c>
      <c r="J1363" s="3" t="n">
        <v>-0.9020000100135803</v>
      </c>
      <c r="K1363" s="3" t="n">
        <v>-0.9020000100135803</v>
      </c>
      <c r="L1363" s="3" t="n">
        <v>-0.7900000214576721</v>
      </c>
      <c r="M1363" s="3" t="n">
        <v>-0.7900000214576721</v>
      </c>
      <c r="N1363" s="3" t="n">
        <v>-0.7900000214576721</v>
      </c>
      <c r="O1363" s="3" t="n">
        <v>-0.7900000214576721</v>
      </c>
      <c r="P1363" s="3" t="n">
        <v>-0.7900000214576721</v>
      </c>
      <c r="Q1363" s="3" t="n">
        <v>-0.7900000214576721</v>
      </c>
      <c r="R1363" s="3" t="n">
        <v>-0.7739999890327454</v>
      </c>
      <c r="S1363" s="3" t="n">
        <v>-1.424999952316284</v>
      </c>
      <c r="T1363" s="3" t="n">
        <v>-0.7099999785423279</v>
      </c>
      <c r="U1363" s="3" t="n">
        <v>-0.9020000100135803</v>
      </c>
      <c r="V1363" s="3" t="n">
        <v>-0.6840000152587891</v>
      </c>
      <c r="W1363" s="3" t="n">
        <v>-0.5910000205039978</v>
      </c>
      <c r="X1363" s="3" t="n">
        <v>-1.404000043869019</v>
      </c>
      <c r="Y1363" s="3" t="n">
        <v>-0.7900000214576721</v>
      </c>
      <c r="Z1363" s="3" t="n">
        <v>-1.424999952316284</v>
      </c>
      <c r="AA1363" s="3" t="n">
        <v>-1.424999952316284</v>
      </c>
      <c r="AB1363" s="3" t="n">
        <v>-1.404000043869019</v>
      </c>
      <c r="AC1363" s="3" t="n">
        <v>-2.943000078201294</v>
      </c>
      <c r="AD1363" s="3" t="n">
        <v>-0.9020000100135803</v>
      </c>
      <c r="AE1363" s="3" t="n">
        <v>-0.9020000100135803</v>
      </c>
    </row>
    <row r="1364">
      <c r="A1364" s="3" t="inlineStr">
        <is>
          <t>MDG.distn.dec.ove.mean.8</t>
        </is>
      </c>
      <c r="B1364" s="3" t="inlineStr">
        <is>
          <t>MDG</t>
        </is>
      </c>
      <c r="C1364" s="3" t="n">
        <v>2005</v>
      </c>
      <c r="D1364" s="3" t="inlineStr">
        <is>
          <t>Overall</t>
        </is>
      </c>
      <c r="E1364" s="3" t="inlineStr">
        <is>
          <t>Deciles</t>
        </is>
      </c>
      <c r="F1364" s="3" t="inlineStr">
        <is>
          <t>mean</t>
        </is>
      </c>
      <c r="G1364" s="3" t="n">
        <v>8</v>
      </c>
      <c r="H1364" s="3" t="n">
        <v>-0.790380597114563</v>
      </c>
      <c r="I1364" s="3" t="n">
        <v>-0.790380597114563</v>
      </c>
      <c r="J1364" s="3" t="n">
        <v>-0.9044332504272461</v>
      </c>
      <c r="K1364" s="3" t="n">
        <v>-0.9044332504272461</v>
      </c>
      <c r="L1364" s="3" t="n">
        <v>-0.790380597114563</v>
      </c>
      <c r="M1364" s="3" t="n">
        <v>-0.790380597114563</v>
      </c>
      <c r="N1364" s="3" t="n">
        <v>-0.790380597114563</v>
      </c>
      <c r="O1364" s="3" t="n">
        <v>-0.790380597114563</v>
      </c>
      <c r="P1364" s="3" t="n">
        <v>-0.790380597114563</v>
      </c>
      <c r="Q1364" s="3" t="n">
        <v>-0.790380597114563</v>
      </c>
      <c r="R1364" s="3" t="n">
        <v>-0.7742545604705811</v>
      </c>
      <c r="S1364" s="3" t="n">
        <v>-1.438259840011597</v>
      </c>
      <c r="T1364" s="3" t="n">
        <v>-0.7100409269332886</v>
      </c>
      <c r="U1364" s="3" t="n">
        <v>-0.9044332504272461</v>
      </c>
      <c r="V1364" s="3" t="n">
        <v>-0.6847071051597595</v>
      </c>
      <c r="W1364" s="3" t="n">
        <v>-0.6068262457847595</v>
      </c>
      <c r="X1364" s="3" t="n">
        <v>-1.41679322719574</v>
      </c>
      <c r="Y1364" s="3" t="n">
        <v>-0.790380597114563</v>
      </c>
      <c r="Z1364" s="3" t="n">
        <v>-1.438259840011597</v>
      </c>
      <c r="AA1364" s="3" t="n">
        <v>-1.438259840011597</v>
      </c>
      <c r="AB1364" s="3" t="n">
        <v>-1.41679322719574</v>
      </c>
      <c r="AC1364" s="3" t="n">
        <v>-2.984971046447754</v>
      </c>
      <c r="AD1364" s="3" t="n">
        <v>-0.9044332504272461</v>
      </c>
      <c r="AE1364" s="3" t="n">
        <v>-0.9044332504272461</v>
      </c>
    </row>
    <row r="1365">
      <c r="A1365" s="3" t="inlineStr">
        <is>
          <t>MDG.distn.dec.ove.mean.9</t>
        </is>
      </c>
      <c r="B1365" s="3" t="inlineStr">
        <is>
          <t>MDG</t>
        </is>
      </c>
      <c r="C1365" s="3" t="n">
        <v>2005</v>
      </c>
      <c r="D1365" s="3" t="inlineStr">
        <is>
          <t>Overall</t>
        </is>
      </c>
      <c r="E1365" s="3" t="inlineStr">
        <is>
          <t>Deciles</t>
        </is>
      </c>
      <c r="F1365" s="3" t="inlineStr">
        <is>
          <t>mean</t>
        </is>
      </c>
      <c r="G1365" s="3" t="n">
        <v>9</v>
      </c>
      <c r="H1365" s="3" t="n">
        <v>-0.790380597114563</v>
      </c>
      <c r="I1365" s="3" t="n">
        <v>-0.790380597114563</v>
      </c>
      <c r="J1365" s="3" t="n">
        <v>-0.9044332504272461</v>
      </c>
      <c r="K1365" s="3" t="n">
        <v>-0.9044332504272461</v>
      </c>
      <c r="L1365" s="3" t="n">
        <v>-0.790380597114563</v>
      </c>
      <c r="M1365" s="3" t="n">
        <v>-0.790380597114563</v>
      </c>
      <c r="N1365" s="3" t="n">
        <v>-0.790380597114563</v>
      </c>
      <c r="O1365" s="3" t="n">
        <v>-0.790380597114563</v>
      </c>
      <c r="P1365" s="3" t="n">
        <v>-0.790380597114563</v>
      </c>
      <c r="Q1365" s="3" t="n">
        <v>-0.790380597114563</v>
      </c>
      <c r="R1365" s="3" t="n">
        <v>-0.7742545604705811</v>
      </c>
      <c r="S1365" s="3" t="n">
        <v>-1.438259840011597</v>
      </c>
      <c r="T1365" s="3" t="n">
        <v>-0.7100409269332886</v>
      </c>
      <c r="U1365" s="3" t="n">
        <v>-0.9044332504272461</v>
      </c>
      <c r="V1365" s="3" t="n">
        <v>-0.6847071051597595</v>
      </c>
      <c r="W1365" s="3" t="n">
        <v>-0.6068262457847595</v>
      </c>
      <c r="X1365" s="3" t="n">
        <v>-1.41679322719574</v>
      </c>
      <c r="Y1365" s="3" t="n">
        <v>-0.790380597114563</v>
      </c>
      <c r="Z1365" s="3" t="n">
        <v>-1.438259840011597</v>
      </c>
      <c r="AA1365" s="3" t="n">
        <v>-1.438259840011597</v>
      </c>
      <c r="AB1365" s="3" t="n">
        <v>-1.41679322719574</v>
      </c>
      <c r="AC1365" s="3" t="n">
        <v>-2.984971046447754</v>
      </c>
      <c r="AD1365" s="3" t="n">
        <v>-0.9044332504272461</v>
      </c>
      <c r="AE1365" s="3" t="n">
        <v>-0.9044332504272461</v>
      </c>
    </row>
    <row r="1366">
      <c r="A1366" s="3" t="inlineStr">
        <is>
          <t>MDG.distn.dec.ove.mean.10</t>
        </is>
      </c>
      <c r="B1366" s="3" t="inlineStr">
        <is>
          <t>MDG</t>
        </is>
      </c>
      <c r="C1366" s="3" t="n">
        <v>2005</v>
      </c>
      <c r="D1366" s="3" t="inlineStr">
        <is>
          <t>Overall</t>
        </is>
      </c>
      <c r="E1366" s="3" t="inlineStr">
        <is>
          <t>Deciles</t>
        </is>
      </c>
      <c r="F1366" s="3" t="inlineStr">
        <is>
          <t>mean</t>
        </is>
      </c>
      <c r="G1366" s="3" t="n">
        <v>10</v>
      </c>
      <c r="H1366" s="3" t="n">
        <v>-0.790380597114563</v>
      </c>
      <c r="I1366" s="3" t="n">
        <v>-0.790380597114563</v>
      </c>
      <c r="J1366" s="3" t="n">
        <v>-0.9044332504272461</v>
      </c>
      <c r="K1366" s="3" t="n">
        <v>-0.9044332504272461</v>
      </c>
      <c r="L1366" s="3" t="n">
        <v>-0.790380597114563</v>
      </c>
      <c r="M1366" s="3" t="n">
        <v>-0.790380597114563</v>
      </c>
      <c r="N1366" s="3" t="n">
        <v>-0.790380597114563</v>
      </c>
      <c r="O1366" s="3" t="n">
        <v>-0.790380597114563</v>
      </c>
      <c r="P1366" s="3" t="n">
        <v>-0.790380597114563</v>
      </c>
      <c r="Q1366" s="3" t="n">
        <v>-0.790380597114563</v>
      </c>
      <c r="R1366" s="3" t="n">
        <v>-0.7742545604705811</v>
      </c>
      <c r="S1366" s="3" t="n">
        <v>-1.438259840011597</v>
      </c>
      <c r="T1366" s="3" t="n">
        <v>-0.7100409269332886</v>
      </c>
      <c r="U1366" s="3" t="n">
        <v>-0.9044332504272461</v>
      </c>
      <c r="V1366" s="3" t="n">
        <v>-0.6847071051597595</v>
      </c>
      <c r="W1366" s="3" t="n">
        <v>-0.6068262457847595</v>
      </c>
      <c r="X1366" s="3" t="n">
        <v>-1.41679322719574</v>
      </c>
      <c r="Y1366" s="3" t="n">
        <v>-0.790380597114563</v>
      </c>
      <c r="Z1366" s="3" t="n">
        <v>-1.438259840011597</v>
      </c>
      <c r="AA1366" s="3" t="n">
        <v>-1.438259840011597</v>
      </c>
      <c r="AB1366" s="3" t="n">
        <v>-1.41679322719574</v>
      </c>
      <c r="AC1366" s="3" t="n">
        <v>-2.984971046447754</v>
      </c>
      <c r="AD1366" s="3" t="n">
        <v>-0.9044332504272461</v>
      </c>
      <c r="AE1366" s="3" t="n">
        <v>-0.9044332504272461</v>
      </c>
    </row>
    <row r="1367">
      <c r="A1367" s="3" t="inlineStr">
        <is>
          <t>MDG.distn.bkt.ove.mean.9999</t>
        </is>
      </c>
      <c r="B1367" s="3" t="inlineStr">
        <is>
          <t>MDG</t>
        </is>
      </c>
      <c r="C1367" s="3" t="n">
        <v>2005</v>
      </c>
      <c r="D1367" s="3" t="inlineStr">
        <is>
          <t>Overall</t>
        </is>
      </c>
      <c r="E1367" s="3" t="inlineStr">
        <is>
          <t>Basket</t>
        </is>
      </c>
      <c r="F1367" s="3" t="inlineStr">
        <is>
          <t>mean</t>
        </is>
      </c>
      <c r="G1367" s="3" t="n">
        <v>9999</v>
      </c>
      <c r="H1367" s="3" t="n">
        <v>-0.7920055985450745</v>
      </c>
      <c r="I1367" s="3" t="n">
        <v>-0.7920055985450745</v>
      </c>
      <c r="J1367" s="3" t="n">
        <v>-0.9164695739746094</v>
      </c>
      <c r="K1367" s="3" t="n">
        <v>-0.9164695739746094</v>
      </c>
      <c r="L1367" s="3" t="n">
        <v>-0.7920055985450745</v>
      </c>
      <c r="M1367" s="3" t="n">
        <v>-0.7920055985450745</v>
      </c>
      <c r="N1367" s="3" t="n">
        <v>-0.7920055985450745</v>
      </c>
      <c r="O1367" s="3" t="n">
        <v>-0.7920055985450745</v>
      </c>
      <c r="P1367" s="3" t="n">
        <v>-0.7920055985450745</v>
      </c>
      <c r="Q1367" s="3" t="n">
        <v>-0.7920055985450745</v>
      </c>
      <c r="R1367" s="3" t="n">
        <v>-0.7751230001449585</v>
      </c>
      <c r="S1367" s="3" t="n">
        <v>-1.629128813743591</v>
      </c>
      <c r="T1367" s="3" t="n">
        <v>-0.7104492783546448</v>
      </c>
      <c r="U1367" s="3" t="n">
        <v>-0.9164695739746094</v>
      </c>
      <c r="V1367" s="3" t="n">
        <v>-0.6863201856613159</v>
      </c>
      <c r="W1367" s="3" t="n">
        <v>-0.6291164755821228</v>
      </c>
      <c r="X1367" s="3" t="n">
        <v>-1.583462476730347</v>
      </c>
      <c r="Y1367" s="3" t="n">
        <v>-0.7920055985450745</v>
      </c>
      <c r="Z1367" s="3" t="n">
        <v>-1.629128813743591</v>
      </c>
      <c r="AA1367" s="3" t="n">
        <v>-1.629128813743591</v>
      </c>
      <c r="AB1367" s="3" t="n">
        <v>-1.583462476730347</v>
      </c>
      <c r="AC1367" s="3" t="n">
        <v>-3.90093469619751</v>
      </c>
      <c r="AD1367" s="3" t="n">
        <v>-0.9164695739746094</v>
      </c>
      <c r="AE1367" s="3" t="n">
        <v>-0.9164695739746094</v>
      </c>
    </row>
    <row r="1368">
      <c r="A1368" s="3" t="inlineStr">
        <is>
          <t>MDV.distn.dec.ove.mean.1</t>
        </is>
      </c>
      <c r="B1368" s="3" t="inlineStr">
        <is>
          <t>MDV</t>
        </is>
      </c>
      <c r="C1368" s="3" t="n">
        <v>2005</v>
      </c>
      <c r="D1368" s="3" t="inlineStr">
        <is>
          <t>Overall</t>
        </is>
      </c>
      <c r="E1368" s="3" t="inlineStr">
        <is>
          <t>Deciles</t>
        </is>
      </c>
      <c r="F1368" s="3" t="inlineStr">
        <is>
          <t>mean</t>
        </is>
      </c>
      <c r="G1368" s="3" t="n">
        <v>1</v>
      </c>
      <c r="H1368" s="3" t="n">
        <v>-0.7922728657722473</v>
      </c>
      <c r="I1368" s="3" t="n">
        <v>-0.7922728657722473</v>
      </c>
      <c r="J1368" s="3" t="n">
        <v>-0.9173260927200317</v>
      </c>
      <c r="K1368" s="3" t="n">
        <v>-0.9173260927200317</v>
      </c>
      <c r="L1368" s="3" t="n">
        <v>-0.7922728657722473</v>
      </c>
      <c r="M1368" s="3" t="n">
        <v>-0.7922728657722473</v>
      </c>
      <c r="N1368" s="3" t="n">
        <v>-0.7922728657722473</v>
      </c>
      <c r="O1368" s="3" t="n">
        <v>-0.7922728657722473</v>
      </c>
      <c r="P1368" s="3" t="n">
        <v>-0.7922728657722473</v>
      </c>
      <c r="Q1368" s="3" t="n">
        <v>-0.7922728657722473</v>
      </c>
      <c r="R1368" s="3" t="n">
        <v>-0.775479793548584</v>
      </c>
      <c r="S1368" s="3" t="n">
        <v>-1.620880961418152</v>
      </c>
      <c r="T1368" s="3" t="n">
        <v>-0.7104546427726746</v>
      </c>
      <c r="U1368" s="3" t="n">
        <v>-0.9173260927200317</v>
      </c>
      <c r="V1368" s="3" t="n">
        <v>-0.6879960894584656</v>
      </c>
      <c r="W1368" s="3" t="n">
        <v>-0.6653944253921509</v>
      </c>
      <c r="X1368" s="3" t="n">
        <v>-1.555824637413025</v>
      </c>
      <c r="Y1368" s="3" t="n">
        <v>-0.7922728657722473</v>
      </c>
      <c r="Z1368" s="3" t="n">
        <v>-1.620880961418152</v>
      </c>
      <c r="AA1368" s="3" t="n">
        <v>-1.620880961418152</v>
      </c>
      <c r="AB1368" s="3" t="n">
        <v>-1.555824637413025</v>
      </c>
      <c r="AC1368" s="3" t="n">
        <v>-2.733357429504395</v>
      </c>
      <c r="AD1368" s="3" t="n">
        <v>-0.9173260927200317</v>
      </c>
      <c r="AE1368" s="3" t="n">
        <v>-0.9173260927200317</v>
      </c>
    </row>
    <row r="1369">
      <c r="A1369" s="3" t="inlineStr">
        <is>
          <t>MDV.distn.dec.ove.mean.2</t>
        </is>
      </c>
      <c r="B1369" s="3" t="inlineStr">
        <is>
          <t>MDV</t>
        </is>
      </c>
      <c r="C1369" s="3" t="n">
        <v>2005</v>
      </c>
      <c r="D1369" s="3" t="inlineStr">
        <is>
          <t>Overall</t>
        </is>
      </c>
      <c r="E1369" s="3" t="inlineStr">
        <is>
          <t>Deciles</t>
        </is>
      </c>
      <c r="F1369" s="3" t="inlineStr">
        <is>
          <t>mean</t>
        </is>
      </c>
      <c r="G1369" s="3" t="n">
        <v>2</v>
      </c>
      <c r="H1369" s="3" t="n">
        <v>-0.7922728657722473</v>
      </c>
      <c r="I1369" s="3" t="n">
        <v>-0.7922728657722473</v>
      </c>
      <c r="J1369" s="3" t="n">
        <v>-0.9173260927200317</v>
      </c>
      <c r="K1369" s="3" t="n">
        <v>-0.9173260927200317</v>
      </c>
      <c r="L1369" s="3" t="n">
        <v>-0.7922728657722473</v>
      </c>
      <c r="M1369" s="3" t="n">
        <v>-0.7922728657722473</v>
      </c>
      <c r="N1369" s="3" t="n">
        <v>-0.7922728657722473</v>
      </c>
      <c r="O1369" s="3" t="n">
        <v>-0.7922728657722473</v>
      </c>
      <c r="P1369" s="3" t="n">
        <v>-0.7922728657722473</v>
      </c>
      <c r="Q1369" s="3" t="n">
        <v>-0.7922728657722473</v>
      </c>
      <c r="R1369" s="3" t="n">
        <v>-0.775479793548584</v>
      </c>
      <c r="S1369" s="3" t="n">
        <v>-1.620880961418152</v>
      </c>
      <c r="T1369" s="3" t="n">
        <v>-0.7104546427726746</v>
      </c>
      <c r="U1369" s="3" t="n">
        <v>-0.9173260927200317</v>
      </c>
      <c r="V1369" s="3" t="n">
        <v>-0.6879960894584656</v>
      </c>
      <c r="W1369" s="3" t="n">
        <v>-0.6653944253921509</v>
      </c>
      <c r="X1369" s="3" t="n">
        <v>-1.555824637413025</v>
      </c>
      <c r="Y1369" s="3" t="n">
        <v>-0.7922728657722473</v>
      </c>
      <c r="Z1369" s="3" t="n">
        <v>-1.620880961418152</v>
      </c>
      <c r="AA1369" s="3" t="n">
        <v>-1.620880961418152</v>
      </c>
      <c r="AB1369" s="3" t="n">
        <v>-1.555824637413025</v>
      </c>
      <c r="AC1369" s="3" t="n">
        <v>-2.733357429504395</v>
      </c>
      <c r="AD1369" s="3" t="n">
        <v>-0.9173260927200317</v>
      </c>
      <c r="AE1369" s="3" t="n">
        <v>-0.9173260927200317</v>
      </c>
    </row>
    <row r="1370">
      <c r="A1370" s="3" t="inlineStr">
        <is>
          <t>MDV.distn.dec.ove.mean.3</t>
        </is>
      </c>
      <c r="B1370" s="3" t="inlineStr">
        <is>
          <t>MDV</t>
        </is>
      </c>
      <c r="C1370" s="3" t="n">
        <v>2005</v>
      </c>
      <c r="D1370" s="3" t="inlineStr">
        <is>
          <t>Overall</t>
        </is>
      </c>
      <c r="E1370" s="3" t="inlineStr">
        <is>
          <t>Deciles</t>
        </is>
      </c>
      <c r="F1370" s="3" t="inlineStr">
        <is>
          <t>mean</t>
        </is>
      </c>
      <c r="G1370" s="3" t="n">
        <v>3</v>
      </c>
      <c r="H1370" s="3" t="n">
        <v>-0.7922728657722473</v>
      </c>
      <c r="I1370" s="3" t="n">
        <v>-0.7922728657722473</v>
      </c>
      <c r="J1370" s="3" t="n">
        <v>-0.9173260927200317</v>
      </c>
      <c r="K1370" s="3" t="n">
        <v>-0.9173260927200317</v>
      </c>
      <c r="L1370" s="3" t="n">
        <v>-0.7922728657722473</v>
      </c>
      <c r="M1370" s="3" t="n">
        <v>-0.7922728657722473</v>
      </c>
      <c r="N1370" s="3" t="n">
        <v>-0.7922728657722473</v>
      </c>
      <c r="O1370" s="3" t="n">
        <v>-0.7922728657722473</v>
      </c>
      <c r="P1370" s="3" t="n">
        <v>-0.7922728657722473</v>
      </c>
      <c r="Q1370" s="3" t="n">
        <v>-0.7922728657722473</v>
      </c>
      <c r="R1370" s="3" t="n">
        <v>-0.775479793548584</v>
      </c>
      <c r="S1370" s="3" t="n">
        <v>-1.620880961418152</v>
      </c>
      <c r="T1370" s="3" t="n">
        <v>-0.7104546427726746</v>
      </c>
      <c r="U1370" s="3" t="n">
        <v>-0.9173260927200317</v>
      </c>
      <c r="V1370" s="3" t="n">
        <v>-0.6879960894584656</v>
      </c>
      <c r="W1370" s="3" t="n">
        <v>-0.6653944253921509</v>
      </c>
      <c r="X1370" s="3" t="n">
        <v>-1.555824637413025</v>
      </c>
      <c r="Y1370" s="3" t="n">
        <v>-0.7922728657722473</v>
      </c>
      <c r="Z1370" s="3" t="n">
        <v>-1.620880961418152</v>
      </c>
      <c r="AA1370" s="3" t="n">
        <v>-1.620880961418152</v>
      </c>
      <c r="AB1370" s="3" t="n">
        <v>-1.555824637413025</v>
      </c>
      <c r="AC1370" s="3" t="n">
        <v>-2.733357429504395</v>
      </c>
      <c r="AD1370" s="3" t="n">
        <v>-0.9173260927200317</v>
      </c>
      <c r="AE1370" s="3" t="n">
        <v>-0.9173260927200317</v>
      </c>
    </row>
    <row r="1371">
      <c r="A1371" s="3" t="inlineStr">
        <is>
          <t>MDV.distn.dec.ove.mean.4</t>
        </is>
      </c>
      <c r="B1371" s="3" t="inlineStr">
        <is>
          <t>MDV</t>
        </is>
      </c>
      <c r="C1371" s="3" t="n">
        <v>2005</v>
      </c>
      <c r="D1371" s="3" t="inlineStr">
        <is>
          <t>Overall</t>
        </is>
      </c>
      <c r="E1371" s="3" t="inlineStr">
        <is>
          <t>Deciles</t>
        </is>
      </c>
      <c r="F1371" s="3" t="inlineStr">
        <is>
          <t>mean</t>
        </is>
      </c>
      <c r="G1371" s="3" t="n">
        <v>4</v>
      </c>
      <c r="H1371" s="3" t="n">
        <v>-0.7860000133514404</v>
      </c>
      <c r="I1371" s="3" t="n">
        <v>-0.7860000133514404</v>
      </c>
      <c r="J1371" s="3" t="n">
        <v>-0.8730000257492065</v>
      </c>
      <c r="K1371" s="3" t="n">
        <v>-0.8730000257492065</v>
      </c>
      <c r="L1371" s="3" t="n">
        <v>-0.7860000133514404</v>
      </c>
      <c r="M1371" s="3" t="n">
        <v>-0.7860000133514404</v>
      </c>
      <c r="N1371" s="3" t="n">
        <v>-0.7860000133514404</v>
      </c>
      <c r="O1371" s="3" t="n">
        <v>-0.7860000133514404</v>
      </c>
      <c r="P1371" s="3" t="n">
        <v>-0.7860000133514404</v>
      </c>
      <c r="Q1371" s="3" t="n">
        <v>-0.7860000133514404</v>
      </c>
      <c r="R1371" s="3" t="n">
        <v>-0.7720000147819519</v>
      </c>
      <c r="S1371" s="3" t="n">
        <v>-1.103999972343445</v>
      </c>
      <c r="T1371" s="3" t="n">
        <v>-0.7089999914169312</v>
      </c>
      <c r="U1371" s="3" t="n">
        <v>-0.8730000257492065</v>
      </c>
      <c r="V1371" s="3" t="n">
        <v>-0.6809999942779541</v>
      </c>
      <c r="W1371" s="3" t="n">
        <v>-0.5600000023841858</v>
      </c>
      <c r="X1371" s="3" t="n">
        <v>-1.098000049591064</v>
      </c>
      <c r="Y1371" s="3" t="n">
        <v>-0.7860000133514404</v>
      </c>
      <c r="Z1371" s="3" t="n">
        <v>-1.103999972343445</v>
      </c>
      <c r="AA1371" s="3" t="n">
        <v>-1.103999972343445</v>
      </c>
      <c r="AB1371" s="3" t="n">
        <v>-1.098000049591064</v>
      </c>
      <c r="AC1371" s="3" t="n">
        <v>-1.320000052452087</v>
      </c>
      <c r="AD1371" s="3" t="n">
        <v>-0.8730000257492065</v>
      </c>
      <c r="AE1371" s="3" t="n">
        <v>-0.8730000257492065</v>
      </c>
    </row>
    <row r="1372">
      <c r="A1372" s="3" t="inlineStr">
        <is>
          <t>MDV.distn.dec.ove.mean.5</t>
        </is>
      </c>
      <c r="B1372" s="3" t="inlineStr">
        <is>
          <t>MDV</t>
        </is>
      </c>
      <c r="C1372" s="3" t="n">
        <v>2005</v>
      </c>
      <c r="D1372" s="3" t="inlineStr">
        <is>
          <t>Overall</t>
        </is>
      </c>
      <c r="E1372" s="3" t="inlineStr">
        <is>
          <t>Deciles</t>
        </is>
      </c>
      <c r="F1372" s="3" t="inlineStr">
        <is>
          <t>mean</t>
        </is>
      </c>
      <c r="G1372" s="3" t="n">
        <v>5</v>
      </c>
      <c r="H1372" s="3" t="n">
        <v>-0.7860000133514404</v>
      </c>
      <c r="I1372" s="3" t="n">
        <v>-0.7860000133514404</v>
      </c>
      <c r="J1372" s="3" t="n">
        <v>-0.8730000257492065</v>
      </c>
      <c r="K1372" s="3" t="n">
        <v>-0.8730000257492065</v>
      </c>
      <c r="L1372" s="3" t="n">
        <v>-0.7860000133514404</v>
      </c>
      <c r="M1372" s="3" t="n">
        <v>-0.7860000133514404</v>
      </c>
      <c r="N1372" s="3" t="n">
        <v>-0.7860000133514404</v>
      </c>
      <c r="O1372" s="3" t="n">
        <v>-0.7860000133514404</v>
      </c>
      <c r="P1372" s="3" t="n">
        <v>-0.7860000133514404</v>
      </c>
      <c r="Q1372" s="3" t="n">
        <v>-0.7860000133514404</v>
      </c>
      <c r="R1372" s="3" t="n">
        <v>-0.7720000147819519</v>
      </c>
      <c r="S1372" s="3" t="n">
        <v>-1.103999972343445</v>
      </c>
      <c r="T1372" s="3" t="n">
        <v>-0.7089999914169312</v>
      </c>
      <c r="U1372" s="3" t="n">
        <v>-0.8730000257492065</v>
      </c>
      <c r="V1372" s="3" t="n">
        <v>-0.6809999942779541</v>
      </c>
      <c r="W1372" s="3" t="n">
        <v>-0.5600000023841858</v>
      </c>
      <c r="X1372" s="3" t="n">
        <v>-1.098000049591064</v>
      </c>
      <c r="Y1372" s="3" t="n">
        <v>-0.7860000133514404</v>
      </c>
      <c r="Z1372" s="3" t="n">
        <v>-1.103999972343445</v>
      </c>
      <c r="AA1372" s="3" t="n">
        <v>-1.103999972343445</v>
      </c>
      <c r="AB1372" s="3" t="n">
        <v>-1.098000049591064</v>
      </c>
      <c r="AC1372" s="3" t="n">
        <v>-1.320000052452087</v>
      </c>
      <c r="AD1372" s="3" t="n">
        <v>-0.8730000257492065</v>
      </c>
      <c r="AE1372" s="3" t="n">
        <v>-0.8730000257492065</v>
      </c>
    </row>
    <row r="1373">
      <c r="A1373" s="3" t="inlineStr">
        <is>
          <t>MDV.distn.dec.ove.mean.6</t>
        </is>
      </c>
      <c r="B1373" s="3" t="inlineStr">
        <is>
          <t>MDV</t>
        </is>
      </c>
      <c r="C1373" s="3" t="n">
        <v>2005</v>
      </c>
      <c r="D1373" s="3" t="inlineStr">
        <is>
          <t>Overall</t>
        </is>
      </c>
      <c r="E1373" s="3" t="inlineStr">
        <is>
          <t>Deciles</t>
        </is>
      </c>
      <c r="F1373" s="3" t="inlineStr">
        <is>
          <t>mean</t>
        </is>
      </c>
      <c r="G1373" s="3" t="n">
        <v>6</v>
      </c>
      <c r="H1373" s="3" t="n">
        <v>-0.7860000133514404</v>
      </c>
      <c r="I1373" s="3" t="n">
        <v>-0.7860000133514404</v>
      </c>
      <c r="J1373" s="3" t="n">
        <v>-0.8730000257492065</v>
      </c>
      <c r="K1373" s="3" t="n">
        <v>-0.8730000257492065</v>
      </c>
      <c r="L1373" s="3" t="n">
        <v>-0.7860000133514404</v>
      </c>
      <c r="M1373" s="3" t="n">
        <v>-0.7860000133514404</v>
      </c>
      <c r="N1373" s="3" t="n">
        <v>-0.7860000133514404</v>
      </c>
      <c r="O1373" s="3" t="n">
        <v>-0.7860000133514404</v>
      </c>
      <c r="P1373" s="3" t="n">
        <v>-0.7860000133514404</v>
      </c>
      <c r="Q1373" s="3" t="n">
        <v>-0.7860000133514404</v>
      </c>
      <c r="R1373" s="3" t="n">
        <v>-0.7720000147819519</v>
      </c>
      <c r="S1373" s="3" t="n">
        <v>-1.103999972343445</v>
      </c>
      <c r="T1373" s="3" t="n">
        <v>-0.7089999914169312</v>
      </c>
      <c r="U1373" s="3" t="n">
        <v>-0.8730000257492065</v>
      </c>
      <c r="V1373" s="3" t="n">
        <v>-0.6809999942779541</v>
      </c>
      <c r="W1373" s="3" t="n">
        <v>-0.5600000023841858</v>
      </c>
      <c r="X1373" s="3" t="n">
        <v>-1.098000049591064</v>
      </c>
      <c r="Y1373" s="3" t="n">
        <v>-0.7860000133514404</v>
      </c>
      <c r="Z1373" s="3" t="n">
        <v>-1.103999972343445</v>
      </c>
      <c r="AA1373" s="3" t="n">
        <v>-1.103999972343445</v>
      </c>
      <c r="AB1373" s="3" t="n">
        <v>-1.098000049591064</v>
      </c>
      <c r="AC1373" s="3" t="n">
        <v>-1.320000052452087</v>
      </c>
      <c r="AD1373" s="3" t="n">
        <v>-0.8730000257492065</v>
      </c>
      <c r="AE1373" s="3" t="n">
        <v>-0.8730000257492065</v>
      </c>
    </row>
    <row r="1374">
      <c r="A1374" s="3" t="inlineStr">
        <is>
          <t>MDV.distn.dec.ove.mean.7</t>
        </is>
      </c>
      <c r="B1374" s="3" t="inlineStr">
        <is>
          <t>MDV</t>
        </is>
      </c>
      <c r="C1374" s="3" t="n">
        <v>2005</v>
      </c>
      <c r="D1374" s="3" t="inlineStr">
        <is>
          <t>Overall</t>
        </is>
      </c>
      <c r="E1374" s="3" t="inlineStr">
        <is>
          <t>Deciles</t>
        </is>
      </c>
      <c r="F1374" s="3" t="inlineStr">
        <is>
          <t>mean</t>
        </is>
      </c>
      <c r="G1374" s="3" t="n">
        <v>7</v>
      </c>
      <c r="H1374" s="3" t="n">
        <v>-0.7860000133514404</v>
      </c>
      <c r="I1374" s="3" t="n">
        <v>-0.7860000133514404</v>
      </c>
      <c r="J1374" s="3" t="n">
        <v>-0.8730000257492065</v>
      </c>
      <c r="K1374" s="3" t="n">
        <v>-0.8730000257492065</v>
      </c>
      <c r="L1374" s="3" t="n">
        <v>-0.7860000133514404</v>
      </c>
      <c r="M1374" s="3" t="n">
        <v>-0.7860000133514404</v>
      </c>
      <c r="N1374" s="3" t="n">
        <v>-0.7860000133514404</v>
      </c>
      <c r="O1374" s="3" t="n">
        <v>-0.7860000133514404</v>
      </c>
      <c r="P1374" s="3" t="n">
        <v>-0.7860000133514404</v>
      </c>
      <c r="Q1374" s="3" t="n">
        <v>-0.7860000133514404</v>
      </c>
      <c r="R1374" s="3" t="n">
        <v>-0.7720000147819519</v>
      </c>
      <c r="S1374" s="3" t="n">
        <v>-1.103999972343445</v>
      </c>
      <c r="T1374" s="3" t="n">
        <v>-0.7089999914169312</v>
      </c>
      <c r="U1374" s="3" t="n">
        <v>-0.8730000257492065</v>
      </c>
      <c r="V1374" s="3" t="n">
        <v>-0.6809999942779541</v>
      </c>
      <c r="W1374" s="3" t="n">
        <v>-0.5600000023841858</v>
      </c>
      <c r="X1374" s="3" t="n">
        <v>-1.098000049591064</v>
      </c>
      <c r="Y1374" s="3" t="n">
        <v>-0.7860000133514404</v>
      </c>
      <c r="Z1374" s="3" t="n">
        <v>-1.103999972343445</v>
      </c>
      <c r="AA1374" s="3" t="n">
        <v>-1.103999972343445</v>
      </c>
      <c r="AB1374" s="3" t="n">
        <v>-1.098000049591064</v>
      </c>
      <c r="AC1374" s="3" t="n">
        <v>-1.320000052452087</v>
      </c>
      <c r="AD1374" s="3" t="n">
        <v>-0.8730000257492065</v>
      </c>
      <c r="AE1374" s="3" t="n">
        <v>-0.8730000257492065</v>
      </c>
    </row>
    <row r="1375">
      <c r="A1375" s="3" t="inlineStr">
        <is>
          <t>MDV.distn.dec.ove.mean.8</t>
        </is>
      </c>
      <c r="B1375" s="3" t="inlineStr">
        <is>
          <t>MDV</t>
        </is>
      </c>
      <c r="C1375" s="3" t="n">
        <v>2005</v>
      </c>
      <c r="D1375" s="3" t="inlineStr">
        <is>
          <t>Overall</t>
        </is>
      </c>
      <c r="E1375" s="3" t="inlineStr">
        <is>
          <t>Deciles</t>
        </is>
      </c>
      <c r="F1375" s="3" t="inlineStr">
        <is>
          <t>mean</t>
        </is>
      </c>
      <c r="G1375" s="3" t="n">
        <v>8</v>
      </c>
      <c r="H1375" s="3" t="n">
        <v>-0.7863786816596985</v>
      </c>
      <c r="I1375" s="3" t="n">
        <v>-0.7863786816596985</v>
      </c>
      <c r="J1375" s="3" t="n">
        <v>-0.8753550052642822</v>
      </c>
      <c r="K1375" s="3" t="n">
        <v>-0.8753550052642822</v>
      </c>
      <c r="L1375" s="3" t="n">
        <v>-0.7863786816596985</v>
      </c>
      <c r="M1375" s="3" t="n">
        <v>-0.7863786816596985</v>
      </c>
      <c r="N1375" s="3" t="n">
        <v>-0.7863786816596985</v>
      </c>
      <c r="O1375" s="3" t="n">
        <v>-0.7863786816596985</v>
      </c>
      <c r="P1375" s="3" t="n">
        <v>-0.7863786816596985</v>
      </c>
      <c r="Q1375" s="3" t="n">
        <v>-0.7863786816596985</v>
      </c>
      <c r="R1375" s="3" t="n">
        <v>-0.7722538709640503</v>
      </c>
      <c r="S1375" s="3" t="n">
        <v>-1.114272832870483</v>
      </c>
      <c r="T1375" s="3" t="n">
        <v>-0.7090408802032471</v>
      </c>
      <c r="U1375" s="3" t="n">
        <v>-0.8753550052642822</v>
      </c>
      <c r="V1375" s="3" t="n">
        <v>-0.6817039847373962</v>
      </c>
      <c r="W1375" s="3" t="n">
        <v>-0.5749961137771606</v>
      </c>
      <c r="X1375" s="3" t="n">
        <v>-1.108004927635193</v>
      </c>
      <c r="Y1375" s="3" t="n">
        <v>-0.7863786816596985</v>
      </c>
      <c r="Z1375" s="3" t="n">
        <v>-1.114272832870483</v>
      </c>
      <c r="AA1375" s="3" t="n">
        <v>-1.114272832870483</v>
      </c>
      <c r="AB1375" s="3" t="n">
        <v>-1.108004927635193</v>
      </c>
      <c r="AC1375" s="3" t="n">
        <v>-1.338824987411499</v>
      </c>
      <c r="AD1375" s="3" t="n">
        <v>-0.8753550052642822</v>
      </c>
      <c r="AE1375" s="3" t="n">
        <v>-0.8753550052642822</v>
      </c>
    </row>
    <row r="1376">
      <c r="A1376" s="3" t="inlineStr">
        <is>
          <t>MDV.distn.dec.ove.mean.9</t>
        </is>
      </c>
      <c r="B1376" s="3" t="inlineStr">
        <is>
          <t>MDV</t>
        </is>
      </c>
      <c r="C1376" s="3" t="n">
        <v>2005</v>
      </c>
      <c r="D1376" s="3" t="inlineStr">
        <is>
          <t>Overall</t>
        </is>
      </c>
      <c r="E1376" s="3" t="inlineStr">
        <is>
          <t>Deciles</t>
        </is>
      </c>
      <c r="F1376" s="3" t="inlineStr">
        <is>
          <t>mean</t>
        </is>
      </c>
      <c r="G1376" s="3" t="n">
        <v>9</v>
      </c>
      <c r="H1376" s="3" t="n">
        <v>-0.7863786816596985</v>
      </c>
      <c r="I1376" s="3" t="n">
        <v>-0.7863786816596985</v>
      </c>
      <c r="J1376" s="3" t="n">
        <v>-0.8753550052642822</v>
      </c>
      <c r="K1376" s="3" t="n">
        <v>-0.8753550052642822</v>
      </c>
      <c r="L1376" s="3" t="n">
        <v>-0.7863786816596985</v>
      </c>
      <c r="M1376" s="3" t="n">
        <v>-0.7863786816596985</v>
      </c>
      <c r="N1376" s="3" t="n">
        <v>-0.7863786816596985</v>
      </c>
      <c r="O1376" s="3" t="n">
        <v>-0.7863786816596985</v>
      </c>
      <c r="P1376" s="3" t="n">
        <v>-0.7863786816596985</v>
      </c>
      <c r="Q1376" s="3" t="n">
        <v>-0.7863786816596985</v>
      </c>
      <c r="R1376" s="3" t="n">
        <v>-0.7722538709640503</v>
      </c>
      <c r="S1376" s="3" t="n">
        <v>-1.114272832870483</v>
      </c>
      <c r="T1376" s="3" t="n">
        <v>-0.7090408802032471</v>
      </c>
      <c r="U1376" s="3" t="n">
        <v>-0.8753550052642822</v>
      </c>
      <c r="V1376" s="3" t="n">
        <v>-0.6817039847373962</v>
      </c>
      <c r="W1376" s="3" t="n">
        <v>-0.5749961137771606</v>
      </c>
      <c r="X1376" s="3" t="n">
        <v>-1.108004927635193</v>
      </c>
      <c r="Y1376" s="3" t="n">
        <v>-0.7863786816596985</v>
      </c>
      <c r="Z1376" s="3" t="n">
        <v>-1.114272832870483</v>
      </c>
      <c r="AA1376" s="3" t="n">
        <v>-1.114272832870483</v>
      </c>
      <c r="AB1376" s="3" t="n">
        <v>-1.108004927635193</v>
      </c>
      <c r="AC1376" s="3" t="n">
        <v>-1.338824987411499</v>
      </c>
      <c r="AD1376" s="3" t="n">
        <v>-0.8753550052642822</v>
      </c>
      <c r="AE1376" s="3" t="n">
        <v>-0.8753550052642822</v>
      </c>
    </row>
    <row r="1377">
      <c r="A1377" s="3" t="inlineStr">
        <is>
          <t>MDV.distn.dec.ove.mean.10</t>
        </is>
      </c>
      <c r="B1377" s="3" t="inlineStr">
        <is>
          <t>MDV</t>
        </is>
      </c>
      <c r="C1377" s="3" t="n">
        <v>2005</v>
      </c>
      <c r="D1377" s="3" t="inlineStr">
        <is>
          <t>Overall</t>
        </is>
      </c>
      <c r="E1377" s="3" t="inlineStr">
        <is>
          <t>Deciles</t>
        </is>
      </c>
      <c r="F1377" s="3" t="inlineStr">
        <is>
          <t>mean</t>
        </is>
      </c>
      <c r="G1377" s="3" t="n">
        <v>10</v>
      </c>
      <c r="H1377" s="3" t="n">
        <v>-0.7863786816596985</v>
      </c>
      <c r="I1377" s="3" t="n">
        <v>-0.7863786816596985</v>
      </c>
      <c r="J1377" s="3" t="n">
        <v>-0.8753550052642822</v>
      </c>
      <c r="K1377" s="3" t="n">
        <v>-0.8753550052642822</v>
      </c>
      <c r="L1377" s="3" t="n">
        <v>-0.7863786816596985</v>
      </c>
      <c r="M1377" s="3" t="n">
        <v>-0.7863786816596985</v>
      </c>
      <c r="N1377" s="3" t="n">
        <v>-0.7863786816596985</v>
      </c>
      <c r="O1377" s="3" t="n">
        <v>-0.7863786816596985</v>
      </c>
      <c r="P1377" s="3" t="n">
        <v>-0.7863786816596985</v>
      </c>
      <c r="Q1377" s="3" t="n">
        <v>-0.7863786816596985</v>
      </c>
      <c r="R1377" s="3" t="n">
        <v>-0.7722538709640503</v>
      </c>
      <c r="S1377" s="3" t="n">
        <v>-1.114272832870483</v>
      </c>
      <c r="T1377" s="3" t="n">
        <v>-0.7090408802032471</v>
      </c>
      <c r="U1377" s="3" t="n">
        <v>-0.8753550052642822</v>
      </c>
      <c r="V1377" s="3" t="n">
        <v>-0.6817039847373962</v>
      </c>
      <c r="W1377" s="3" t="n">
        <v>-0.5749961137771606</v>
      </c>
      <c r="X1377" s="3" t="n">
        <v>-1.108004927635193</v>
      </c>
      <c r="Y1377" s="3" t="n">
        <v>-0.7863786816596985</v>
      </c>
      <c r="Z1377" s="3" t="n">
        <v>-1.114272832870483</v>
      </c>
      <c r="AA1377" s="3" t="n">
        <v>-1.114272832870483</v>
      </c>
      <c r="AB1377" s="3" t="n">
        <v>-1.108004927635193</v>
      </c>
      <c r="AC1377" s="3" t="n">
        <v>-1.338824987411499</v>
      </c>
      <c r="AD1377" s="3" t="n">
        <v>-0.8753550052642822</v>
      </c>
      <c r="AE1377" s="3" t="n">
        <v>-0.8753550052642822</v>
      </c>
    </row>
    <row r="1378">
      <c r="A1378" s="3" t="inlineStr">
        <is>
          <t>MDV.distn.bkt.ove.mean.9999</t>
        </is>
      </c>
      <c r="B1378" s="3" t="inlineStr">
        <is>
          <t>MDV</t>
        </is>
      </c>
      <c r="C1378" s="3" t="n">
        <v>2005</v>
      </c>
      <c r="D1378" s="3" t="inlineStr">
        <is>
          <t>Overall</t>
        </is>
      </c>
      <c r="E1378" s="3" t="inlineStr">
        <is>
          <t>Basket</t>
        </is>
      </c>
      <c r="F1378" s="3" t="inlineStr">
        <is>
          <t>mean</t>
        </is>
      </c>
      <c r="G1378" s="3" t="n">
        <v>9999</v>
      </c>
      <c r="H1378" s="3" t="n">
        <v>-0.787995457649231</v>
      </c>
      <c r="I1378" s="3" t="n">
        <v>-0.787995457649231</v>
      </c>
      <c r="J1378" s="3" t="n">
        <v>-0.8870043158531189</v>
      </c>
      <c r="K1378" s="3" t="n">
        <v>-0.8870043158531189</v>
      </c>
      <c r="L1378" s="3" t="n">
        <v>-0.787995457649231</v>
      </c>
      <c r="M1378" s="3" t="n">
        <v>-0.787995457649231</v>
      </c>
      <c r="N1378" s="3" t="n">
        <v>-0.787995457649231</v>
      </c>
      <c r="O1378" s="3" t="n">
        <v>-0.787995457649231</v>
      </c>
      <c r="P1378" s="3" t="n">
        <v>-0.787995457649231</v>
      </c>
      <c r="Q1378" s="3" t="n">
        <v>-0.787995457649231</v>
      </c>
      <c r="R1378" s="3" t="n">
        <v>-0.773120105266571</v>
      </c>
      <c r="S1378" s="3" t="n">
        <v>-1.26214611530304</v>
      </c>
      <c r="T1378" s="3" t="n">
        <v>-0.7094486355781555</v>
      </c>
      <c r="U1378" s="3" t="n">
        <v>-0.8870043158531189</v>
      </c>
      <c r="V1378" s="3" t="n">
        <v>-0.6833100318908691</v>
      </c>
      <c r="W1378" s="3" t="n">
        <v>-0.5961171388626099</v>
      </c>
      <c r="X1378" s="3" t="n">
        <v>-1.238348841667175</v>
      </c>
      <c r="Y1378" s="3" t="n">
        <v>-0.787995457649231</v>
      </c>
      <c r="Z1378" s="3" t="n">
        <v>-1.26214611530304</v>
      </c>
      <c r="AA1378" s="3" t="n">
        <v>-1.26214611530304</v>
      </c>
      <c r="AB1378" s="3" t="n">
        <v>-1.238348841667175</v>
      </c>
      <c r="AC1378" s="3" t="n">
        <v>-1.749654769897461</v>
      </c>
      <c r="AD1378" s="3" t="n">
        <v>-0.8870043158531189</v>
      </c>
      <c r="AE1378" s="3" t="n">
        <v>-0.8870043158531189</v>
      </c>
    </row>
    <row r="1379">
      <c r="A1379" s="3" t="inlineStr">
        <is>
          <t>MEX.distn.dec.ove.mean.1</t>
        </is>
      </c>
      <c r="B1379" s="3" t="inlineStr">
        <is>
          <t>MEX</t>
        </is>
      </c>
      <c r="C1379" s="3" t="n">
        <v>2005</v>
      </c>
      <c r="D1379" s="3" t="inlineStr">
        <is>
          <t>Overall</t>
        </is>
      </c>
      <c r="E1379" s="3" t="inlineStr">
        <is>
          <t>Deciles</t>
        </is>
      </c>
      <c r="F1379" s="3" t="inlineStr">
        <is>
          <t>mean</t>
        </is>
      </c>
      <c r="G1379" s="3" t="n">
        <v>1</v>
      </c>
      <c r="H1379" s="3" t="n">
        <v>-0.7872329354286194</v>
      </c>
      <c r="I1379" s="3" t="n">
        <v>-0.7872329354286194</v>
      </c>
      <c r="J1379" s="3" t="n">
        <v>-0.8868536353111267</v>
      </c>
      <c r="K1379" s="3" t="n">
        <v>-0.8868536353111267</v>
      </c>
      <c r="L1379" s="3" t="n">
        <v>-0.7872329354286194</v>
      </c>
      <c r="M1379" s="3" t="n">
        <v>-0.7872329354286194</v>
      </c>
      <c r="N1379" s="3" t="n">
        <v>-0.7872329354286194</v>
      </c>
      <c r="O1379" s="3" t="n">
        <v>-0.7872329354286194</v>
      </c>
      <c r="P1379" s="3" t="n">
        <v>-0.7872329354286194</v>
      </c>
      <c r="Q1379" s="3" t="n">
        <v>-0.7872329354286194</v>
      </c>
      <c r="R1379" s="3" t="n">
        <v>-0.7734707593917847</v>
      </c>
      <c r="S1379" s="3" t="n">
        <v>-1.396247982978821</v>
      </c>
      <c r="T1379" s="3" t="n">
        <v>-0.7094525694847107</v>
      </c>
      <c r="U1379" s="3" t="n">
        <v>-0.8868536353111267</v>
      </c>
      <c r="V1379" s="3" t="n">
        <v>-0.6819344758987427</v>
      </c>
      <c r="W1379" s="3" t="n">
        <v>-0.5632088184356689</v>
      </c>
      <c r="X1379" s="3" t="n">
        <v>-1.344697237014771</v>
      </c>
      <c r="Y1379" s="3" t="n">
        <v>-0.7872329354286194</v>
      </c>
      <c r="Z1379" s="3" t="n">
        <v>-1.396247982978821</v>
      </c>
      <c r="AA1379" s="3" t="n">
        <v>-1.396247982978821</v>
      </c>
      <c r="AB1379" s="3" t="n">
        <v>-1.344697237014771</v>
      </c>
      <c r="AC1379" s="3" t="n">
        <v>-2.09350323677063</v>
      </c>
      <c r="AD1379" s="3" t="n">
        <v>-0.8868536353111267</v>
      </c>
      <c r="AE1379" s="3" t="n">
        <v>-0.8868536353111267</v>
      </c>
    </row>
    <row r="1380">
      <c r="A1380" s="3" t="inlineStr">
        <is>
          <t>MEX.distn.dec.ove.mean.2</t>
        </is>
      </c>
      <c r="B1380" s="3" t="inlineStr">
        <is>
          <t>MEX</t>
        </is>
      </c>
      <c r="C1380" s="3" t="n">
        <v>2005</v>
      </c>
      <c r="D1380" s="3" t="inlineStr">
        <is>
          <t>Overall</t>
        </is>
      </c>
      <c r="E1380" s="3" t="inlineStr">
        <is>
          <t>Deciles</t>
        </is>
      </c>
      <c r="F1380" s="3" t="inlineStr">
        <is>
          <t>mean</t>
        </is>
      </c>
      <c r="G1380" s="3" t="n">
        <v>2</v>
      </c>
      <c r="H1380" s="3" t="n">
        <v>-0.7872329354286194</v>
      </c>
      <c r="I1380" s="3" t="n">
        <v>-0.7872329354286194</v>
      </c>
      <c r="J1380" s="3" t="n">
        <v>-0.8868536353111267</v>
      </c>
      <c r="K1380" s="3" t="n">
        <v>-0.8868536353111267</v>
      </c>
      <c r="L1380" s="3" t="n">
        <v>-0.7872329354286194</v>
      </c>
      <c r="M1380" s="3" t="n">
        <v>-0.7872329354286194</v>
      </c>
      <c r="N1380" s="3" t="n">
        <v>-0.7872329354286194</v>
      </c>
      <c r="O1380" s="3" t="n">
        <v>-0.7872329354286194</v>
      </c>
      <c r="P1380" s="3" t="n">
        <v>-0.7872329354286194</v>
      </c>
      <c r="Q1380" s="3" t="n">
        <v>-0.7872329354286194</v>
      </c>
      <c r="R1380" s="3" t="n">
        <v>-0.7734707593917847</v>
      </c>
      <c r="S1380" s="3" t="n">
        <v>-1.396247982978821</v>
      </c>
      <c r="T1380" s="3" t="n">
        <v>-0.7094525694847107</v>
      </c>
      <c r="U1380" s="3" t="n">
        <v>-0.8868536353111267</v>
      </c>
      <c r="V1380" s="3" t="n">
        <v>-0.6819344758987427</v>
      </c>
      <c r="W1380" s="3" t="n">
        <v>-0.5632088184356689</v>
      </c>
      <c r="X1380" s="3" t="n">
        <v>-1.344697237014771</v>
      </c>
      <c r="Y1380" s="3" t="n">
        <v>-0.7872329354286194</v>
      </c>
      <c r="Z1380" s="3" t="n">
        <v>-1.396247982978821</v>
      </c>
      <c r="AA1380" s="3" t="n">
        <v>-1.396247982978821</v>
      </c>
      <c r="AB1380" s="3" t="n">
        <v>-1.344697237014771</v>
      </c>
      <c r="AC1380" s="3" t="n">
        <v>-2.09350323677063</v>
      </c>
      <c r="AD1380" s="3" t="n">
        <v>-0.8868536353111267</v>
      </c>
      <c r="AE1380" s="3" t="n">
        <v>-0.8868536353111267</v>
      </c>
    </row>
    <row r="1381">
      <c r="A1381" s="3" t="inlineStr">
        <is>
          <t>MEX.distn.dec.ove.mean.3</t>
        </is>
      </c>
      <c r="B1381" s="3" t="inlineStr">
        <is>
          <t>MEX</t>
        </is>
      </c>
      <c r="C1381" s="3" t="n">
        <v>2005</v>
      </c>
      <c r="D1381" s="3" t="inlineStr">
        <is>
          <t>Overall</t>
        </is>
      </c>
      <c r="E1381" s="3" t="inlineStr">
        <is>
          <t>Deciles</t>
        </is>
      </c>
      <c r="F1381" s="3" t="inlineStr">
        <is>
          <t>mean</t>
        </is>
      </c>
      <c r="G1381" s="3" t="n">
        <v>3</v>
      </c>
      <c r="H1381" s="3" t="n">
        <v>-0.7872329354286194</v>
      </c>
      <c r="I1381" s="3" t="n">
        <v>-0.7872329354286194</v>
      </c>
      <c r="J1381" s="3" t="n">
        <v>-0.8868536353111267</v>
      </c>
      <c r="K1381" s="3" t="n">
        <v>-0.8868536353111267</v>
      </c>
      <c r="L1381" s="3" t="n">
        <v>-0.7872329354286194</v>
      </c>
      <c r="M1381" s="3" t="n">
        <v>-0.7872329354286194</v>
      </c>
      <c r="N1381" s="3" t="n">
        <v>-0.7872329354286194</v>
      </c>
      <c r="O1381" s="3" t="n">
        <v>-0.7872329354286194</v>
      </c>
      <c r="P1381" s="3" t="n">
        <v>-0.7872329354286194</v>
      </c>
      <c r="Q1381" s="3" t="n">
        <v>-0.7872329354286194</v>
      </c>
      <c r="R1381" s="3" t="n">
        <v>-0.7734707593917847</v>
      </c>
      <c r="S1381" s="3" t="n">
        <v>-1.396247982978821</v>
      </c>
      <c r="T1381" s="3" t="n">
        <v>-0.7094525694847107</v>
      </c>
      <c r="U1381" s="3" t="n">
        <v>-0.8868536353111267</v>
      </c>
      <c r="V1381" s="3" t="n">
        <v>-0.6819344758987427</v>
      </c>
      <c r="W1381" s="3" t="n">
        <v>-0.5632088184356689</v>
      </c>
      <c r="X1381" s="3" t="n">
        <v>-1.344697237014771</v>
      </c>
      <c r="Y1381" s="3" t="n">
        <v>-0.7872329354286194</v>
      </c>
      <c r="Z1381" s="3" t="n">
        <v>-1.396247982978821</v>
      </c>
      <c r="AA1381" s="3" t="n">
        <v>-1.396247982978821</v>
      </c>
      <c r="AB1381" s="3" t="n">
        <v>-1.344697237014771</v>
      </c>
      <c r="AC1381" s="3" t="n">
        <v>-2.09350323677063</v>
      </c>
      <c r="AD1381" s="3" t="n">
        <v>-0.8868536353111267</v>
      </c>
      <c r="AE1381" s="3" t="n">
        <v>-0.8868536353111267</v>
      </c>
    </row>
    <row r="1382">
      <c r="A1382" s="3" t="inlineStr">
        <is>
          <t>MEX.distn.dec.ove.mean.4</t>
        </is>
      </c>
      <c r="B1382" s="3" t="inlineStr">
        <is>
          <t>MEX</t>
        </is>
      </c>
      <c r="C1382" s="3" t="n">
        <v>2005</v>
      </c>
      <c r="D1382" s="3" t="inlineStr">
        <is>
          <t>Overall</t>
        </is>
      </c>
      <c r="E1382" s="3" t="inlineStr">
        <is>
          <t>Deciles</t>
        </is>
      </c>
      <c r="F1382" s="3" t="inlineStr">
        <is>
          <t>mean</t>
        </is>
      </c>
      <c r="G1382" s="3" t="n">
        <v>4</v>
      </c>
      <c r="H1382" s="3" t="n">
        <v>-0.781000018119812</v>
      </c>
      <c r="I1382" s="3" t="n">
        <v>-0.781000018119812</v>
      </c>
      <c r="J1382" s="3" t="n">
        <v>-0.843999981880188</v>
      </c>
      <c r="K1382" s="3" t="n">
        <v>-0.843999981880188</v>
      </c>
      <c r="L1382" s="3" t="n">
        <v>-0.781000018119812</v>
      </c>
      <c r="M1382" s="3" t="n">
        <v>-0.781000018119812</v>
      </c>
      <c r="N1382" s="3" t="n">
        <v>-0.781000018119812</v>
      </c>
      <c r="O1382" s="3" t="n">
        <v>-0.781000018119812</v>
      </c>
      <c r="P1382" s="3" t="n">
        <v>-0.781000018119812</v>
      </c>
      <c r="Q1382" s="3" t="n">
        <v>-0.781000018119812</v>
      </c>
      <c r="R1382" s="3" t="n">
        <v>-0.7699999809265137</v>
      </c>
      <c r="S1382" s="3" t="n">
        <v>-0.9509999752044678</v>
      </c>
      <c r="T1382" s="3" t="n">
        <v>-0.7080000042915344</v>
      </c>
      <c r="U1382" s="3" t="n">
        <v>-0.843999981880188</v>
      </c>
      <c r="V1382" s="3" t="n">
        <v>-0.675000011920929</v>
      </c>
      <c r="W1382" s="3" t="n">
        <v>-0.4740000069141388</v>
      </c>
      <c r="X1382" s="3" t="n">
        <v>-0.9490000009536743</v>
      </c>
      <c r="Y1382" s="3" t="n">
        <v>-0.781000018119812</v>
      </c>
      <c r="Z1382" s="3" t="n">
        <v>-0.9509999752044678</v>
      </c>
      <c r="AA1382" s="3" t="n">
        <v>-0.9509999752044678</v>
      </c>
      <c r="AB1382" s="3" t="n">
        <v>-0.9490000009536743</v>
      </c>
      <c r="AC1382" s="3" t="n">
        <v>-1.011000037193298</v>
      </c>
      <c r="AD1382" s="3" t="n">
        <v>-0.843999981880188</v>
      </c>
      <c r="AE1382" s="3" t="n">
        <v>-0.843999981880188</v>
      </c>
    </row>
    <row r="1383">
      <c r="A1383" s="3" t="inlineStr">
        <is>
          <t>MEX.distn.dec.ove.mean.5</t>
        </is>
      </c>
      <c r="B1383" s="3" t="inlineStr">
        <is>
          <t>MEX</t>
        </is>
      </c>
      <c r="C1383" s="3" t="n">
        <v>2005</v>
      </c>
      <c r="D1383" s="3" t="inlineStr">
        <is>
          <t>Overall</t>
        </is>
      </c>
      <c r="E1383" s="3" t="inlineStr">
        <is>
          <t>Deciles</t>
        </is>
      </c>
      <c r="F1383" s="3" t="inlineStr">
        <is>
          <t>mean</t>
        </is>
      </c>
      <c r="G1383" s="3" t="n">
        <v>5</v>
      </c>
      <c r="H1383" s="3" t="n">
        <v>-0.781000018119812</v>
      </c>
      <c r="I1383" s="3" t="n">
        <v>-0.781000018119812</v>
      </c>
      <c r="J1383" s="3" t="n">
        <v>-0.843999981880188</v>
      </c>
      <c r="K1383" s="3" t="n">
        <v>-0.843999981880188</v>
      </c>
      <c r="L1383" s="3" t="n">
        <v>-0.781000018119812</v>
      </c>
      <c r="M1383" s="3" t="n">
        <v>-0.781000018119812</v>
      </c>
      <c r="N1383" s="3" t="n">
        <v>-0.781000018119812</v>
      </c>
      <c r="O1383" s="3" t="n">
        <v>-0.781000018119812</v>
      </c>
      <c r="P1383" s="3" t="n">
        <v>-0.781000018119812</v>
      </c>
      <c r="Q1383" s="3" t="n">
        <v>-0.781000018119812</v>
      </c>
      <c r="R1383" s="3" t="n">
        <v>-0.7699999809265137</v>
      </c>
      <c r="S1383" s="3" t="n">
        <v>-0.9509999752044678</v>
      </c>
      <c r="T1383" s="3" t="n">
        <v>-0.7080000042915344</v>
      </c>
      <c r="U1383" s="3" t="n">
        <v>-0.843999981880188</v>
      </c>
      <c r="V1383" s="3" t="n">
        <v>-0.675000011920929</v>
      </c>
      <c r="W1383" s="3" t="n">
        <v>-0.4740000069141388</v>
      </c>
      <c r="X1383" s="3" t="n">
        <v>-0.9490000009536743</v>
      </c>
      <c r="Y1383" s="3" t="n">
        <v>-0.781000018119812</v>
      </c>
      <c r="Z1383" s="3" t="n">
        <v>-0.9509999752044678</v>
      </c>
      <c r="AA1383" s="3" t="n">
        <v>-0.9509999752044678</v>
      </c>
      <c r="AB1383" s="3" t="n">
        <v>-0.9490000009536743</v>
      </c>
      <c r="AC1383" s="3" t="n">
        <v>-1.011000037193298</v>
      </c>
      <c r="AD1383" s="3" t="n">
        <v>-0.843999981880188</v>
      </c>
      <c r="AE1383" s="3" t="n">
        <v>-0.843999981880188</v>
      </c>
    </row>
    <row r="1384">
      <c r="A1384" s="3" t="inlineStr">
        <is>
          <t>MEX.distn.dec.ove.mean.6</t>
        </is>
      </c>
      <c r="B1384" s="3" t="inlineStr">
        <is>
          <t>MEX</t>
        </is>
      </c>
      <c r="C1384" s="3" t="n">
        <v>2005</v>
      </c>
      <c r="D1384" s="3" t="inlineStr">
        <is>
          <t>Overall</t>
        </is>
      </c>
      <c r="E1384" s="3" t="inlineStr">
        <is>
          <t>Deciles</t>
        </is>
      </c>
      <c r="F1384" s="3" t="inlineStr">
        <is>
          <t>mean</t>
        </is>
      </c>
      <c r="G1384" s="3" t="n">
        <v>6</v>
      </c>
      <c r="H1384" s="3" t="n">
        <v>-0.781000018119812</v>
      </c>
      <c r="I1384" s="3" t="n">
        <v>-0.781000018119812</v>
      </c>
      <c r="J1384" s="3" t="n">
        <v>-0.843999981880188</v>
      </c>
      <c r="K1384" s="3" t="n">
        <v>-0.843999981880188</v>
      </c>
      <c r="L1384" s="3" t="n">
        <v>-0.781000018119812</v>
      </c>
      <c r="M1384" s="3" t="n">
        <v>-0.781000018119812</v>
      </c>
      <c r="N1384" s="3" t="n">
        <v>-0.781000018119812</v>
      </c>
      <c r="O1384" s="3" t="n">
        <v>-0.781000018119812</v>
      </c>
      <c r="P1384" s="3" t="n">
        <v>-0.781000018119812</v>
      </c>
      <c r="Q1384" s="3" t="n">
        <v>-0.781000018119812</v>
      </c>
      <c r="R1384" s="3" t="n">
        <v>-0.7699999809265137</v>
      </c>
      <c r="S1384" s="3" t="n">
        <v>-0.9509999752044678</v>
      </c>
      <c r="T1384" s="3" t="n">
        <v>-0.7080000042915344</v>
      </c>
      <c r="U1384" s="3" t="n">
        <v>-0.843999981880188</v>
      </c>
      <c r="V1384" s="3" t="n">
        <v>-0.675000011920929</v>
      </c>
      <c r="W1384" s="3" t="n">
        <v>-0.4740000069141388</v>
      </c>
      <c r="X1384" s="3" t="n">
        <v>-0.9490000009536743</v>
      </c>
      <c r="Y1384" s="3" t="n">
        <v>-0.781000018119812</v>
      </c>
      <c r="Z1384" s="3" t="n">
        <v>-0.9509999752044678</v>
      </c>
      <c r="AA1384" s="3" t="n">
        <v>-0.9509999752044678</v>
      </c>
      <c r="AB1384" s="3" t="n">
        <v>-0.9490000009536743</v>
      </c>
      <c r="AC1384" s="3" t="n">
        <v>-1.011000037193298</v>
      </c>
      <c r="AD1384" s="3" t="n">
        <v>-0.843999981880188</v>
      </c>
      <c r="AE1384" s="3" t="n">
        <v>-0.843999981880188</v>
      </c>
    </row>
    <row r="1385">
      <c r="A1385" s="3" t="inlineStr">
        <is>
          <t>MEX.distn.dec.ove.mean.7</t>
        </is>
      </c>
      <c r="B1385" s="3" t="inlineStr">
        <is>
          <t>MEX</t>
        </is>
      </c>
      <c r="C1385" s="3" t="n">
        <v>2005</v>
      </c>
      <c r="D1385" s="3" t="inlineStr">
        <is>
          <t>Overall</t>
        </is>
      </c>
      <c r="E1385" s="3" t="inlineStr">
        <is>
          <t>Deciles</t>
        </is>
      </c>
      <c r="F1385" s="3" t="inlineStr">
        <is>
          <t>mean</t>
        </is>
      </c>
      <c r="G1385" s="3" t="n">
        <v>7</v>
      </c>
      <c r="H1385" s="3" t="n">
        <v>-0.781000018119812</v>
      </c>
      <c r="I1385" s="3" t="n">
        <v>-0.781000018119812</v>
      </c>
      <c r="J1385" s="3" t="n">
        <v>-0.843999981880188</v>
      </c>
      <c r="K1385" s="3" t="n">
        <v>-0.843999981880188</v>
      </c>
      <c r="L1385" s="3" t="n">
        <v>-0.781000018119812</v>
      </c>
      <c r="M1385" s="3" t="n">
        <v>-0.781000018119812</v>
      </c>
      <c r="N1385" s="3" t="n">
        <v>-0.781000018119812</v>
      </c>
      <c r="O1385" s="3" t="n">
        <v>-0.781000018119812</v>
      </c>
      <c r="P1385" s="3" t="n">
        <v>-0.781000018119812</v>
      </c>
      <c r="Q1385" s="3" t="n">
        <v>-0.781000018119812</v>
      </c>
      <c r="R1385" s="3" t="n">
        <v>-0.7699999809265137</v>
      </c>
      <c r="S1385" s="3" t="n">
        <v>-0.9509999752044678</v>
      </c>
      <c r="T1385" s="3" t="n">
        <v>-0.7080000042915344</v>
      </c>
      <c r="U1385" s="3" t="n">
        <v>-0.843999981880188</v>
      </c>
      <c r="V1385" s="3" t="n">
        <v>-0.675000011920929</v>
      </c>
      <c r="W1385" s="3" t="n">
        <v>-0.4740000069141388</v>
      </c>
      <c r="X1385" s="3" t="n">
        <v>-0.9490000009536743</v>
      </c>
      <c r="Y1385" s="3" t="n">
        <v>-0.781000018119812</v>
      </c>
      <c r="Z1385" s="3" t="n">
        <v>-0.9509999752044678</v>
      </c>
      <c r="AA1385" s="3" t="n">
        <v>-0.9509999752044678</v>
      </c>
      <c r="AB1385" s="3" t="n">
        <v>-0.9490000009536743</v>
      </c>
      <c r="AC1385" s="3" t="n">
        <v>-1.011000037193298</v>
      </c>
      <c r="AD1385" s="3" t="n">
        <v>-0.843999981880188</v>
      </c>
      <c r="AE1385" s="3" t="n">
        <v>-0.843999981880188</v>
      </c>
    </row>
    <row r="1386">
      <c r="A1386" s="3" t="inlineStr">
        <is>
          <t>MEX.distn.dec.ove.mean.8</t>
        </is>
      </c>
      <c r="B1386" s="3" t="inlineStr">
        <is>
          <t>MEX</t>
        </is>
      </c>
      <c r="C1386" s="3" t="n">
        <v>2005</v>
      </c>
      <c r="D1386" s="3" t="inlineStr">
        <is>
          <t>Overall</t>
        </is>
      </c>
      <c r="E1386" s="3" t="inlineStr">
        <is>
          <t>Deciles</t>
        </is>
      </c>
      <c r="F1386" s="3" t="inlineStr">
        <is>
          <t>mean</t>
        </is>
      </c>
      <c r="G1386" s="3" t="n">
        <v>8</v>
      </c>
      <c r="H1386" s="3" t="n">
        <v>-0.7813762426376343</v>
      </c>
      <c r="I1386" s="3" t="n">
        <v>-0.7813762426376343</v>
      </c>
      <c r="J1386" s="3" t="n">
        <v>-0.8462767601013184</v>
      </c>
      <c r="K1386" s="3" t="n">
        <v>-0.8462767601013184</v>
      </c>
      <c r="L1386" s="3" t="n">
        <v>-0.7813762426376343</v>
      </c>
      <c r="M1386" s="3" t="n">
        <v>-0.7813762426376343</v>
      </c>
      <c r="N1386" s="3" t="n">
        <v>-0.7813762426376343</v>
      </c>
      <c r="O1386" s="3" t="n">
        <v>-0.7813762426376343</v>
      </c>
      <c r="P1386" s="3" t="n">
        <v>-0.7813762426376343</v>
      </c>
      <c r="Q1386" s="3" t="n">
        <v>-0.7813762426376343</v>
      </c>
      <c r="R1386" s="3" t="n">
        <v>-0.7702532410621643</v>
      </c>
      <c r="S1386" s="3" t="n">
        <v>-0.9598491787910461</v>
      </c>
      <c r="T1386" s="3" t="n">
        <v>-0.7080408334732056</v>
      </c>
      <c r="U1386" s="3" t="n">
        <v>-0.8462767601013184</v>
      </c>
      <c r="V1386" s="3" t="n">
        <v>-0.6756978034973145</v>
      </c>
      <c r="W1386" s="3" t="n">
        <v>-0.4866931438446045</v>
      </c>
      <c r="X1386" s="3" t="n">
        <v>-0.9576472640037537</v>
      </c>
      <c r="Y1386" s="3" t="n">
        <v>-0.7813762426376343</v>
      </c>
      <c r="Z1386" s="3" t="n">
        <v>-0.9598491787910461</v>
      </c>
      <c r="AA1386" s="3" t="n">
        <v>-0.9598491787910461</v>
      </c>
      <c r="AB1386" s="3" t="n">
        <v>-0.9576472640037537</v>
      </c>
      <c r="AC1386" s="3" t="n">
        <v>-1.025418162345886</v>
      </c>
      <c r="AD1386" s="3" t="n">
        <v>-0.8462767601013184</v>
      </c>
      <c r="AE1386" s="3" t="n">
        <v>-0.8462767601013184</v>
      </c>
    </row>
    <row r="1387">
      <c r="A1387" s="3" t="inlineStr">
        <is>
          <t>MEX.distn.dec.ove.mean.9</t>
        </is>
      </c>
      <c r="B1387" s="3" t="inlineStr">
        <is>
          <t>MEX</t>
        </is>
      </c>
      <c r="C1387" s="3" t="n">
        <v>2005</v>
      </c>
      <c r="D1387" s="3" t="inlineStr">
        <is>
          <t>Overall</t>
        </is>
      </c>
      <c r="E1387" s="3" t="inlineStr">
        <is>
          <t>Deciles</t>
        </is>
      </c>
      <c r="F1387" s="3" t="inlineStr">
        <is>
          <t>mean</t>
        </is>
      </c>
      <c r="G1387" s="3" t="n">
        <v>9</v>
      </c>
      <c r="H1387" s="3" t="n">
        <v>-0.7813762426376343</v>
      </c>
      <c r="I1387" s="3" t="n">
        <v>-0.7813762426376343</v>
      </c>
      <c r="J1387" s="3" t="n">
        <v>-0.8462767601013184</v>
      </c>
      <c r="K1387" s="3" t="n">
        <v>-0.8462767601013184</v>
      </c>
      <c r="L1387" s="3" t="n">
        <v>-0.7813762426376343</v>
      </c>
      <c r="M1387" s="3" t="n">
        <v>-0.7813762426376343</v>
      </c>
      <c r="N1387" s="3" t="n">
        <v>-0.7813762426376343</v>
      </c>
      <c r="O1387" s="3" t="n">
        <v>-0.7813762426376343</v>
      </c>
      <c r="P1387" s="3" t="n">
        <v>-0.7813762426376343</v>
      </c>
      <c r="Q1387" s="3" t="n">
        <v>-0.7813762426376343</v>
      </c>
      <c r="R1387" s="3" t="n">
        <v>-0.7702532410621643</v>
      </c>
      <c r="S1387" s="3" t="n">
        <v>-0.9598491787910461</v>
      </c>
      <c r="T1387" s="3" t="n">
        <v>-0.7080408334732056</v>
      </c>
      <c r="U1387" s="3" t="n">
        <v>-0.8462767601013184</v>
      </c>
      <c r="V1387" s="3" t="n">
        <v>-0.6756978034973145</v>
      </c>
      <c r="W1387" s="3" t="n">
        <v>-0.4866931438446045</v>
      </c>
      <c r="X1387" s="3" t="n">
        <v>-0.9576472640037537</v>
      </c>
      <c r="Y1387" s="3" t="n">
        <v>-0.7813762426376343</v>
      </c>
      <c r="Z1387" s="3" t="n">
        <v>-0.9598491787910461</v>
      </c>
      <c r="AA1387" s="3" t="n">
        <v>-0.9598491787910461</v>
      </c>
      <c r="AB1387" s="3" t="n">
        <v>-0.9576472640037537</v>
      </c>
      <c r="AC1387" s="3" t="n">
        <v>-1.025418162345886</v>
      </c>
      <c r="AD1387" s="3" t="n">
        <v>-0.8462767601013184</v>
      </c>
      <c r="AE1387" s="3" t="n">
        <v>-0.8462767601013184</v>
      </c>
    </row>
    <row r="1388">
      <c r="A1388" s="3" t="inlineStr">
        <is>
          <t>MEX.distn.dec.ove.mean.10</t>
        </is>
      </c>
      <c r="B1388" s="3" t="inlineStr">
        <is>
          <t>MEX</t>
        </is>
      </c>
      <c r="C1388" s="3" t="n">
        <v>2005</v>
      </c>
      <c r="D1388" s="3" t="inlineStr">
        <is>
          <t>Overall</t>
        </is>
      </c>
      <c r="E1388" s="3" t="inlineStr">
        <is>
          <t>Deciles</t>
        </is>
      </c>
      <c r="F1388" s="3" t="inlineStr">
        <is>
          <t>mean</t>
        </is>
      </c>
      <c r="G1388" s="3" t="n">
        <v>10</v>
      </c>
      <c r="H1388" s="3" t="n">
        <v>-0.7813762426376343</v>
      </c>
      <c r="I1388" s="3" t="n">
        <v>-0.7813762426376343</v>
      </c>
      <c r="J1388" s="3" t="n">
        <v>-0.8462767601013184</v>
      </c>
      <c r="K1388" s="3" t="n">
        <v>-0.8462767601013184</v>
      </c>
      <c r="L1388" s="3" t="n">
        <v>-0.7813762426376343</v>
      </c>
      <c r="M1388" s="3" t="n">
        <v>-0.7813762426376343</v>
      </c>
      <c r="N1388" s="3" t="n">
        <v>-0.7813762426376343</v>
      </c>
      <c r="O1388" s="3" t="n">
        <v>-0.7813762426376343</v>
      </c>
      <c r="P1388" s="3" t="n">
        <v>-0.7813762426376343</v>
      </c>
      <c r="Q1388" s="3" t="n">
        <v>-0.7813762426376343</v>
      </c>
      <c r="R1388" s="3" t="n">
        <v>-0.7702532410621643</v>
      </c>
      <c r="S1388" s="3" t="n">
        <v>-0.9598491787910461</v>
      </c>
      <c r="T1388" s="3" t="n">
        <v>-0.7080408334732056</v>
      </c>
      <c r="U1388" s="3" t="n">
        <v>-0.8462767601013184</v>
      </c>
      <c r="V1388" s="3" t="n">
        <v>-0.6756978034973145</v>
      </c>
      <c r="W1388" s="3" t="n">
        <v>-0.4866931438446045</v>
      </c>
      <c r="X1388" s="3" t="n">
        <v>-0.9576472640037537</v>
      </c>
      <c r="Y1388" s="3" t="n">
        <v>-0.7813762426376343</v>
      </c>
      <c r="Z1388" s="3" t="n">
        <v>-0.9598491787910461</v>
      </c>
      <c r="AA1388" s="3" t="n">
        <v>-0.9598491787910461</v>
      </c>
      <c r="AB1388" s="3" t="n">
        <v>-0.9576472640037537</v>
      </c>
      <c r="AC1388" s="3" t="n">
        <v>-1.025418162345886</v>
      </c>
      <c r="AD1388" s="3" t="n">
        <v>-0.8462767601013184</v>
      </c>
      <c r="AE1388" s="3" t="n">
        <v>-0.8462767601013184</v>
      </c>
    </row>
    <row r="1389">
      <c r="A1389" s="3" t="inlineStr">
        <is>
          <t>MEX.distn.bkt.ove.mean.9999</t>
        </is>
      </c>
      <c r="B1389" s="3" t="inlineStr">
        <is>
          <t>MEX</t>
        </is>
      </c>
      <c r="C1389" s="3" t="n">
        <v>2005</v>
      </c>
      <c r="D1389" s="3" t="inlineStr">
        <is>
          <t>Overall</t>
        </is>
      </c>
      <c r="E1389" s="3" t="inlineStr">
        <is>
          <t>Basket</t>
        </is>
      </c>
      <c r="F1389" s="3" t="inlineStr">
        <is>
          <t>mean</t>
        </is>
      </c>
      <c r="G1389" s="3" t="n">
        <v>9999</v>
      </c>
      <c r="H1389" s="3" t="n">
        <v>-0.7829827666282654</v>
      </c>
      <c r="I1389" s="3" t="n">
        <v>-0.7829827666282654</v>
      </c>
      <c r="J1389" s="3" t="n">
        <v>-0.8575391173362732</v>
      </c>
      <c r="K1389" s="3" t="n">
        <v>-0.8575391173362732</v>
      </c>
      <c r="L1389" s="3" t="n">
        <v>-0.7829827666282654</v>
      </c>
      <c r="M1389" s="3" t="n">
        <v>-0.7829827666282654</v>
      </c>
      <c r="N1389" s="3" t="n">
        <v>-0.7829827666282654</v>
      </c>
      <c r="O1389" s="3" t="n">
        <v>-0.7829827666282654</v>
      </c>
      <c r="P1389" s="3" t="n">
        <v>-0.7829827666282654</v>
      </c>
      <c r="Q1389" s="3" t="n">
        <v>-0.7829827666282654</v>
      </c>
      <c r="R1389" s="3" t="n">
        <v>-0.7711172103881836</v>
      </c>
      <c r="S1389" s="3" t="n">
        <v>-1.087229132652283</v>
      </c>
      <c r="T1389" s="3" t="n">
        <v>-0.708448052406311</v>
      </c>
      <c r="U1389" s="3" t="n">
        <v>-0.8575391173362732</v>
      </c>
      <c r="V1389" s="3" t="n">
        <v>-0.6772896647453308</v>
      </c>
      <c r="W1389" s="3" t="n">
        <v>-0.5045706033706665</v>
      </c>
      <c r="X1389" s="3" t="n">
        <v>-1.070303320884705</v>
      </c>
      <c r="Y1389" s="3" t="n">
        <v>-0.7829827666282654</v>
      </c>
      <c r="Z1389" s="3" t="n">
        <v>-1.087229132652283</v>
      </c>
      <c r="AA1389" s="3" t="n">
        <v>-1.087229132652283</v>
      </c>
      <c r="AB1389" s="3" t="n">
        <v>-1.070303320884705</v>
      </c>
      <c r="AC1389" s="3" t="n">
        <v>-1.340076446533203</v>
      </c>
      <c r="AD1389" s="3" t="n">
        <v>-0.8575391173362732</v>
      </c>
      <c r="AE1389" s="3" t="n">
        <v>-0.8575391173362732</v>
      </c>
    </row>
    <row r="1390">
      <c r="A1390" s="3" t="inlineStr">
        <is>
          <t>MHL.distn.dec.ove.mean.1</t>
        </is>
      </c>
      <c r="B1390" s="3" t="inlineStr">
        <is>
          <t>MHL</t>
        </is>
      </c>
      <c r="C1390" s="3" t="n">
        <v>2005</v>
      </c>
      <c r="D1390" s="3" t="inlineStr">
        <is>
          <t>Overall</t>
        </is>
      </c>
      <c r="E1390" s="3" t="inlineStr">
        <is>
          <t>Deciles</t>
        </is>
      </c>
      <c r="F1390" s="3" t="inlineStr">
        <is>
          <t>mean</t>
        </is>
      </c>
      <c r="G1390" s="3" t="n">
        <v>1</v>
      </c>
      <c r="H1390" s="3" t="n">
        <v>-0.7898249251501901</v>
      </c>
      <c r="I1390" s="3" t="n">
        <v>-0.7898249251501901</v>
      </c>
      <c r="J1390" s="3" t="n">
        <v>-0.9006037865366254</v>
      </c>
      <c r="K1390" s="3" t="n">
        <v>-0.9006037865366254</v>
      </c>
      <c r="L1390" s="3" t="n">
        <v>-0.7898249251501901</v>
      </c>
      <c r="M1390" s="3" t="n">
        <v>-0.7898249251501901</v>
      </c>
      <c r="N1390" s="3" t="n">
        <v>-0.7898249251501901</v>
      </c>
      <c r="O1390" s="3" t="n">
        <v>-0.7898249251501901</v>
      </c>
      <c r="P1390" s="3" t="n">
        <v>-0.7898249251501901</v>
      </c>
      <c r="Q1390" s="3" t="n">
        <v>-0.7898249251501901</v>
      </c>
      <c r="R1390" s="3" t="n">
        <v>-0.7744465725762504</v>
      </c>
      <c r="S1390" s="3" t="n">
        <v>-1.490841317176819</v>
      </c>
      <c r="T1390" s="3" t="n">
        <v>-0.7100824441228594</v>
      </c>
      <c r="U1390" s="3" t="n">
        <v>-0.9006037865366254</v>
      </c>
      <c r="V1390" s="3" t="n">
        <v>-0.6846477542604719</v>
      </c>
      <c r="W1390" s="3" t="n">
        <v>-0.6204802887780326</v>
      </c>
      <c r="X1390" s="3" t="n">
        <v>-1.433480068615505</v>
      </c>
      <c r="Y1390" s="3" t="n">
        <v>-0.7898249251501901</v>
      </c>
      <c r="Z1390" s="3" t="n">
        <v>-1.490841317176819</v>
      </c>
      <c r="AA1390" s="3" t="n">
        <v>-1.490841317176819</v>
      </c>
      <c r="AB1390" s="3" t="n">
        <v>-1.433480068615505</v>
      </c>
      <c r="AC1390" s="3" t="n">
        <v>-2.345895099639892</v>
      </c>
      <c r="AD1390" s="3" t="n">
        <v>-0.9006037865366254</v>
      </c>
      <c r="AE1390" s="3" t="n">
        <v>-0.9006037865366254</v>
      </c>
    </row>
    <row r="1391">
      <c r="A1391" s="3" t="inlineStr">
        <is>
          <t>MHL.distn.dec.ove.mean.2</t>
        </is>
      </c>
      <c r="B1391" s="3" t="inlineStr">
        <is>
          <t>MHL</t>
        </is>
      </c>
      <c r="C1391" s="3" t="n">
        <v>2005</v>
      </c>
      <c r="D1391" s="3" t="inlineStr">
        <is>
          <t>Overall</t>
        </is>
      </c>
      <c r="E1391" s="3" t="inlineStr">
        <is>
          <t>Deciles</t>
        </is>
      </c>
      <c r="F1391" s="3" t="inlineStr">
        <is>
          <t>mean</t>
        </is>
      </c>
      <c r="G1391" s="3" t="n">
        <v>2</v>
      </c>
      <c r="H1391" s="3" t="n">
        <v>-0.7898249251501901</v>
      </c>
      <c r="I1391" s="3" t="n">
        <v>-0.7898249251501901</v>
      </c>
      <c r="J1391" s="3" t="n">
        <v>-0.9006037865366254</v>
      </c>
      <c r="K1391" s="3" t="n">
        <v>-0.9006037865366254</v>
      </c>
      <c r="L1391" s="3" t="n">
        <v>-0.7898249251501901</v>
      </c>
      <c r="M1391" s="3" t="n">
        <v>-0.7898249251501901</v>
      </c>
      <c r="N1391" s="3" t="n">
        <v>-0.7898249251501901</v>
      </c>
      <c r="O1391" s="3" t="n">
        <v>-0.7898249251501901</v>
      </c>
      <c r="P1391" s="3" t="n">
        <v>-0.7898249251501901</v>
      </c>
      <c r="Q1391" s="3" t="n">
        <v>-0.7898249251501901</v>
      </c>
      <c r="R1391" s="3" t="n">
        <v>-0.7744465725762504</v>
      </c>
      <c r="S1391" s="3" t="n">
        <v>-1.490841317176819</v>
      </c>
      <c r="T1391" s="3" t="n">
        <v>-0.7100824441228594</v>
      </c>
      <c r="U1391" s="3" t="n">
        <v>-0.9006037865366254</v>
      </c>
      <c r="V1391" s="3" t="n">
        <v>-0.6846477542604719</v>
      </c>
      <c r="W1391" s="3" t="n">
        <v>-0.6204802887780326</v>
      </c>
      <c r="X1391" s="3" t="n">
        <v>-1.433480068615505</v>
      </c>
      <c r="Y1391" s="3" t="n">
        <v>-0.7898249251501901</v>
      </c>
      <c r="Z1391" s="3" t="n">
        <v>-1.490841317176819</v>
      </c>
      <c r="AA1391" s="3" t="n">
        <v>-1.490841317176819</v>
      </c>
      <c r="AB1391" s="3" t="n">
        <v>-1.433480068615505</v>
      </c>
      <c r="AC1391" s="3" t="n">
        <v>-2.345895099639892</v>
      </c>
      <c r="AD1391" s="3" t="n">
        <v>-0.9006037865366254</v>
      </c>
      <c r="AE1391" s="3" t="n">
        <v>-0.9006037865366254</v>
      </c>
    </row>
    <row r="1392">
      <c r="A1392" s="3" t="inlineStr">
        <is>
          <t>MHL.distn.dec.ove.mean.3</t>
        </is>
      </c>
      <c r="B1392" s="3" t="inlineStr">
        <is>
          <t>MHL</t>
        </is>
      </c>
      <c r="C1392" s="3" t="n">
        <v>2005</v>
      </c>
      <c r="D1392" s="3" t="inlineStr">
        <is>
          <t>Overall</t>
        </is>
      </c>
      <c r="E1392" s="3" t="inlineStr">
        <is>
          <t>Deciles</t>
        </is>
      </c>
      <c r="F1392" s="3" t="inlineStr">
        <is>
          <t>mean</t>
        </is>
      </c>
      <c r="G1392" s="3" t="n">
        <v>3</v>
      </c>
      <c r="H1392" s="3" t="n">
        <v>-0.7898249251501901</v>
      </c>
      <c r="I1392" s="3" t="n">
        <v>-0.7898249251501901</v>
      </c>
      <c r="J1392" s="3" t="n">
        <v>-0.9006037865366254</v>
      </c>
      <c r="K1392" s="3" t="n">
        <v>-0.9006037865366254</v>
      </c>
      <c r="L1392" s="3" t="n">
        <v>-0.7898249251501901</v>
      </c>
      <c r="M1392" s="3" t="n">
        <v>-0.7898249251501901</v>
      </c>
      <c r="N1392" s="3" t="n">
        <v>-0.7898249251501901</v>
      </c>
      <c r="O1392" s="3" t="n">
        <v>-0.7898249251501901</v>
      </c>
      <c r="P1392" s="3" t="n">
        <v>-0.7898249251501901</v>
      </c>
      <c r="Q1392" s="3" t="n">
        <v>-0.7898249251501901</v>
      </c>
      <c r="R1392" s="3" t="n">
        <v>-0.7744465725762504</v>
      </c>
      <c r="S1392" s="3" t="n">
        <v>-1.490841317176819</v>
      </c>
      <c r="T1392" s="3" t="n">
        <v>-0.7100824441228594</v>
      </c>
      <c r="U1392" s="3" t="n">
        <v>-0.9006037865366254</v>
      </c>
      <c r="V1392" s="3" t="n">
        <v>-0.6846477542604719</v>
      </c>
      <c r="W1392" s="3" t="n">
        <v>-0.6204802887780326</v>
      </c>
      <c r="X1392" s="3" t="n">
        <v>-1.433480068615505</v>
      </c>
      <c r="Y1392" s="3" t="n">
        <v>-0.7898249251501901</v>
      </c>
      <c r="Z1392" s="3" t="n">
        <v>-1.490841317176819</v>
      </c>
      <c r="AA1392" s="3" t="n">
        <v>-1.490841317176819</v>
      </c>
      <c r="AB1392" s="3" t="n">
        <v>-1.433480068615505</v>
      </c>
      <c r="AC1392" s="3" t="n">
        <v>-2.345895099639892</v>
      </c>
      <c r="AD1392" s="3" t="n">
        <v>-0.9006037865366254</v>
      </c>
      <c r="AE1392" s="3" t="n">
        <v>-0.9006037865366254</v>
      </c>
    </row>
    <row r="1393">
      <c r="A1393" s="3" t="inlineStr">
        <is>
          <t>MHL.distn.dec.ove.mean.4</t>
        </is>
      </c>
      <c r="B1393" s="3" t="inlineStr">
        <is>
          <t>MHL</t>
        </is>
      </c>
      <c r="C1393" s="3" t="n">
        <v>2005</v>
      </c>
      <c r="D1393" s="3" t="inlineStr">
        <is>
          <t>Overall</t>
        </is>
      </c>
      <c r="E1393" s="3" t="inlineStr">
        <is>
          <t>Deciles</t>
        </is>
      </c>
      <c r="F1393" s="3" t="inlineStr">
        <is>
          <t>mean</t>
        </is>
      </c>
      <c r="G1393" s="3" t="n">
        <v>4</v>
      </c>
      <c r="H1393" s="3" t="n">
        <v>-0.7835714289120266</v>
      </c>
      <c r="I1393" s="3" t="n">
        <v>-0.7835714289120266</v>
      </c>
      <c r="J1393" s="3" t="n">
        <v>-0.8570857082094465</v>
      </c>
      <c r="K1393" s="3" t="n">
        <v>-0.8570857082094465</v>
      </c>
      <c r="L1393" s="3" t="n">
        <v>-0.7835714289120266</v>
      </c>
      <c r="M1393" s="3" t="n">
        <v>-0.7835714289120266</v>
      </c>
      <c r="N1393" s="3" t="n">
        <v>-0.7835714289120266</v>
      </c>
      <c r="O1393" s="3" t="n">
        <v>-0.7835714289120266</v>
      </c>
      <c r="P1393" s="3" t="n">
        <v>-0.7835714289120266</v>
      </c>
      <c r="Q1393" s="3" t="n">
        <v>-0.7835714289120266</v>
      </c>
      <c r="R1393" s="3" t="n">
        <v>-0.7709714361599513</v>
      </c>
      <c r="S1393" s="3" t="n">
        <v>-1.015428565229688</v>
      </c>
      <c r="T1393" s="3" t="n">
        <v>-0.708628567627498</v>
      </c>
      <c r="U1393" s="3" t="n">
        <v>-0.8570857082094465</v>
      </c>
      <c r="V1393" s="3" t="n">
        <v>-0.6776857103620256</v>
      </c>
      <c r="W1393" s="3" t="n">
        <v>-0.5221999968801226</v>
      </c>
      <c r="X1393" s="3" t="n">
        <v>-1.011657135827201</v>
      </c>
      <c r="Y1393" s="3" t="n">
        <v>-0.7835714289120266</v>
      </c>
      <c r="Z1393" s="3" t="n">
        <v>-1.015428565229688</v>
      </c>
      <c r="AA1393" s="3" t="n">
        <v>-1.015428565229688</v>
      </c>
      <c r="AB1393" s="3" t="n">
        <v>-1.011657135827201</v>
      </c>
      <c r="AC1393" s="3" t="n">
        <v>-1.132885714939662</v>
      </c>
      <c r="AD1393" s="3" t="n">
        <v>-0.8570857082094465</v>
      </c>
      <c r="AE1393" s="3" t="n">
        <v>-0.8570857082094465</v>
      </c>
    </row>
    <row r="1394">
      <c r="A1394" s="3" t="inlineStr">
        <is>
          <t>MHL.distn.dec.ove.mean.5</t>
        </is>
      </c>
      <c r="B1394" s="3" t="inlineStr">
        <is>
          <t>MHL</t>
        </is>
      </c>
      <c r="C1394" s="3" t="n">
        <v>2005</v>
      </c>
      <c r="D1394" s="3" t="inlineStr">
        <is>
          <t>Overall</t>
        </is>
      </c>
      <c r="E1394" s="3" t="inlineStr">
        <is>
          <t>Deciles</t>
        </is>
      </c>
      <c r="F1394" s="3" t="inlineStr">
        <is>
          <t>mean</t>
        </is>
      </c>
      <c r="G1394" s="3" t="n">
        <v>5</v>
      </c>
      <c r="H1394" s="3" t="n">
        <v>-0.7835714289120266</v>
      </c>
      <c r="I1394" s="3" t="n">
        <v>-0.7835714289120266</v>
      </c>
      <c r="J1394" s="3" t="n">
        <v>-0.8570857082094465</v>
      </c>
      <c r="K1394" s="3" t="n">
        <v>-0.8570857082094465</v>
      </c>
      <c r="L1394" s="3" t="n">
        <v>-0.7835714289120266</v>
      </c>
      <c r="M1394" s="3" t="n">
        <v>-0.7835714289120266</v>
      </c>
      <c r="N1394" s="3" t="n">
        <v>-0.7835714289120266</v>
      </c>
      <c r="O1394" s="3" t="n">
        <v>-0.7835714289120266</v>
      </c>
      <c r="P1394" s="3" t="n">
        <v>-0.7835714289120266</v>
      </c>
      <c r="Q1394" s="3" t="n">
        <v>-0.7835714289120266</v>
      </c>
      <c r="R1394" s="3" t="n">
        <v>-0.7709714361599513</v>
      </c>
      <c r="S1394" s="3" t="n">
        <v>-1.015428565229688</v>
      </c>
      <c r="T1394" s="3" t="n">
        <v>-0.708628567627498</v>
      </c>
      <c r="U1394" s="3" t="n">
        <v>-0.8570857082094465</v>
      </c>
      <c r="V1394" s="3" t="n">
        <v>-0.6776857103620256</v>
      </c>
      <c r="W1394" s="3" t="n">
        <v>-0.5221999968801226</v>
      </c>
      <c r="X1394" s="3" t="n">
        <v>-1.011657135827201</v>
      </c>
      <c r="Y1394" s="3" t="n">
        <v>-0.7835714289120266</v>
      </c>
      <c r="Z1394" s="3" t="n">
        <v>-1.015428565229688</v>
      </c>
      <c r="AA1394" s="3" t="n">
        <v>-1.015428565229688</v>
      </c>
      <c r="AB1394" s="3" t="n">
        <v>-1.011657135827201</v>
      </c>
      <c r="AC1394" s="3" t="n">
        <v>-1.132885714939662</v>
      </c>
      <c r="AD1394" s="3" t="n">
        <v>-0.8570857082094465</v>
      </c>
      <c r="AE1394" s="3" t="n">
        <v>-0.8570857082094465</v>
      </c>
    </row>
    <row r="1395">
      <c r="A1395" s="3" t="inlineStr">
        <is>
          <t>MHL.distn.dec.ove.mean.6</t>
        </is>
      </c>
      <c r="B1395" s="3" t="inlineStr">
        <is>
          <t>MHL</t>
        </is>
      </c>
      <c r="C1395" s="3" t="n">
        <v>2005</v>
      </c>
      <c r="D1395" s="3" t="inlineStr">
        <is>
          <t>Overall</t>
        </is>
      </c>
      <c r="E1395" s="3" t="inlineStr">
        <is>
          <t>Deciles</t>
        </is>
      </c>
      <c r="F1395" s="3" t="inlineStr">
        <is>
          <t>mean</t>
        </is>
      </c>
      <c r="G1395" s="3" t="n">
        <v>6</v>
      </c>
      <c r="H1395" s="3" t="n">
        <v>-0.7835714289120266</v>
      </c>
      <c r="I1395" s="3" t="n">
        <v>-0.7835714289120266</v>
      </c>
      <c r="J1395" s="3" t="n">
        <v>-0.8570857082094465</v>
      </c>
      <c r="K1395" s="3" t="n">
        <v>-0.8570857082094465</v>
      </c>
      <c r="L1395" s="3" t="n">
        <v>-0.7835714289120266</v>
      </c>
      <c r="M1395" s="3" t="n">
        <v>-0.7835714289120266</v>
      </c>
      <c r="N1395" s="3" t="n">
        <v>-0.7835714289120266</v>
      </c>
      <c r="O1395" s="3" t="n">
        <v>-0.7835714289120266</v>
      </c>
      <c r="P1395" s="3" t="n">
        <v>-0.7835714289120266</v>
      </c>
      <c r="Q1395" s="3" t="n">
        <v>-0.7835714289120266</v>
      </c>
      <c r="R1395" s="3" t="n">
        <v>-0.7709714361599513</v>
      </c>
      <c r="S1395" s="3" t="n">
        <v>-1.015428565229688</v>
      </c>
      <c r="T1395" s="3" t="n">
        <v>-0.708628567627498</v>
      </c>
      <c r="U1395" s="3" t="n">
        <v>-0.8570857082094465</v>
      </c>
      <c r="V1395" s="3" t="n">
        <v>-0.6776857103620256</v>
      </c>
      <c r="W1395" s="3" t="n">
        <v>-0.5221999968801226</v>
      </c>
      <c r="X1395" s="3" t="n">
        <v>-1.011657135827201</v>
      </c>
      <c r="Y1395" s="3" t="n">
        <v>-0.7835714289120266</v>
      </c>
      <c r="Z1395" s="3" t="n">
        <v>-1.015428565229688</v>
      </c>
      <c r="AA1395" s="3" t="n">
        <v>-1.015428565229688</v>
      </c>
      <c r="AB1395" s="3" t="n">
        <v>-1.011657135827201</v>
      </c>
      <c r="AC1395" s="3" t="n">
        <v>-1.132885714939662</v>
      </c>
      <c r="AD1395" s="3" t="n">
        <v>-0.8570857082094465</v>
      </c>
      <c r="AE1395" s="3" t="n">
        <v>-0.8570857082094465</v>
      </c>
    </row>
    <row r="1396">
      <c r="A1396" s="3" t="inlineStr">
        <is>
          <t>MHL.distn.dec.ove.mean.7</t>
        </is>
      </c>
      <c r="B1396" s="3" t="inlineStr">
        <is>
          <t>MHL</t>
        </is>
      </c>
      <c r="C1396" s="3" t="n">
        <v>2005</v>
      </c>
      <c r="D1396" s="3" t="inlineStr">
        <is>
          <t>Overall</t>
        </is>
      </c>
      <c r="E1396" s="3" t="inlineStr">
        <is>
          <t>Deciles</t>
        </is>
      </c>
      <c r="F1396" s="3" t="inlineStr">
        <is>
          <t>mean</t>
        </is>
      </c>
      <c r="G1396" s="3" t="n">
        <v>7</v>
      </c>
      <c r="H1396" s="3" t="n">
        <v>-0.7835714289120266</v>
      </c>
      <c r="I1396" s="3" t="n">
        <v>-0.7835714289120266</v>
      </c>
      <c r="J1396" s="3" t="n">
        <v>-0.8570857082094465</v>
      </c>
      <c r="K1396" s="3" t="n">
        <v>-0.8570857082094465</v>
      </c>
      <c r="L1396" s="3" t="n">
        <v>-0.7835714289120266</v>
      </c>
      <c r="M1396" s="3" t="n">
        <v>-0.7835714289120266</v>
      </c>
      <c r="N1396" s="3" t="n">
        <v>-0.7835714289120266</v>
      </c>
      <c r="O1396" s="3" t="n">
        <v>-0.7835714289120266</v>
      </c>
      <c r="P1396" s="3" t="n">
        <v>-0.7835714289120266</v>
      </c>
      <c r="Q1396" s="3" t="n">
        <v>-0.7835714289120266</v>
      </c>
      <c r="R1396" s="3" t="n">
        <v>-0.7709714361599513</v>
      </c>
      <c r="S1396" s="3" t="n">
        <v>-1.015428565229688</v>
      </c>
      <c r="T1396" s="3" t="n">
        <v>-0.708628567627498</v>
      </c>
      <c r="U1396" s="3" t="n">
        <v>-0.8570857082094465</v>
      </c>
      <c r="V1396" s="3" t="n">
        <v>-0.6776857103620256</v>
      </c>
      <c r="W1396" s="3" t="n">
        <v>-0.5221999968801226</v>
      </c>
      <c r="X1396" s="3" t="n">
        <v>-1.011657135827201</v>
      </c>
      <c r="Y1396" s="3" t="n">
        <v>-0.7835714289120266</v>
      </c>
      <c r="Z1396" s="3" t="n">
        <v>-1.015428565229688</v>
      </c>
      <c r="AA1396" s="3" t="n">
        <v>-1.015428565229688</v>
      </c>
      <c r="AB1396" s="3" t="n">
        <v>-1.011657135827201</v>
      </c>
      <c r="AC1396" s="3" t="n">
        <v>-1.132885714939662</v>
      </c>
      <c r="AD1396" s="3" t="n">
        <v>-0.8570857082094465</v>
      </c>
      <c r="AE1396" s="3" t="n">
        <v>-0.8570857082094465</v>
      </c>
    </row>
    <row r="1397">
      <c r="A1397" s="3" t="inlineStr">
        <is>
          <t>MHL.distn.dec.ove.mean.8</t>
        </is>
      </c>
      <c r="B1397" s="3" t="inlineStr">
        <is>
          <t>MHL</t>
        </is>
      </c>
      <c r="C1397" s="3" t="n">
        <v>2005</v>
      </c>
      <c r="D1397" s="3" t="inlineStr">
        <is>
          <t>Overall</t>
        </is>
      </c>
      <c r="E1397" s="3" t="inlineStr">
        <is>
          <t>Deciles</t>
        </is>
      </c>
      <c r="F1397" s="3" t="inlineStr">
        <is>
          <t>mean</t>
        </is>
      </c>
      <c r="G1397" s="3" t="n">
        <v>8</v>
      </c>
      <c r="H1397" s="3" t="n">
        <v>-0.7839489357812064</v>
      </c>
      <c r="I1397" s="3" t="n">
        <v>-0.7839489357812064</v>
      </c>
      <c r="J1397" s="3" t="n">
        <v>-0.8593977723802839</v>
      </c>
      <c r="K1397" s="3" t="n">
        <v>-0.8593977723802839</v>
      </c>
      <c r="L1397" s="3" t="n">
        <v>-0.7839489357812064</v>
      </c>
      <c r="M1397" s="3" t="n">
        <v>-0.7839489357812064</v>
      </c>
      <c r="N1397" s="3" t="n">
        <v>-0.7839489357812064</v>
      </c>
      <c r="O1397" s="3" t="n">
        <v>-0.7839489357812064</v>
      </c>
      <c r="P1397" s="3" t="n">
        <v>-0.7839489357812064</v>
      </c>
      <c r="Q1397" s="3" t="n">
        <v>-0.7839489357812064</v>
      </c>
      <c r="R1397" s="3" t="n">
        <v>-0.7712249892098563</v>
      </c>
      <c r="S1397" s="3" t="n">
        <v>-1.024877253600529</v>
      </c>
      <c r="T1397" s="3" t="n">
        <v>-0.7086694342749459</v>
      </c>
      <c r="U1397" s="3" t="n">
        <v>-0.8593977723802839</v>
      </c>
      <c r="V1397" s="3" t="n">
        <v>-0.6783862863268171</v>
      </c>
      <c r="W1397" s="3" t="n">
        <v>-0.5361838928290776</v>
      </c>
      <c r="X1397" s="3" t="n">
        <v>-1.020875356878553</v>
      </c>
      <c r="Y1397" s="3" t="n">
        <v>-0.7839489357812064</v>
      </c>
      <c r="Z1397" s="3" t="n">
        <v>-1.024877253600529</v>
      </c>
      <c r="AA1397" s="3" t="n">
        <v>-1.024877253600529</v>
      </c>
      <c r="AB1397" s="3" t="n">
        <v>-1.020875356878553</v>
      </c>
      <c r="AC1397" s="3" t="n">
        <v>-1.149042170388358</v>
      </c>
      <c r="AD1397" s="3" t="n">
        <v>-0.8593977723802839</v>
      </c>
      <c r="AE1397" s="3" t="n">
        <v>-0.8593977723802839</v>
      </c>
    </row>
    <row r="1398">
      <c r="A1398" s="3" t="inlineStr">
        <is>
          <t>MHL.distn.dec.ove.mean.9</t>
        </is>
      </c>
      <c r="B1398" s="3" t="inlineStr">
        <is>
          <t>MHL</t>
        </is>
      </c>
      <c r="C1398" s="3" t="n">
        <v>2005</v>
      </c>
      <c r="D1398" s="3" t="inlineStr">
        <is>
          <t>Overall</t>
        </is>
      </c>
      <c r="E1398" s="3" t="inlineStr">
        <is>
          <t>Deciles</t>
        </is>
      </c>
      <c r="F1398" s="3" t="inlineStr">
        <is>
          <t>mean</t>
        </is>
      </c>
      <c r="G1398" s="3" t="n">
        <v>9</v>
      </c>
      <c r="H1398" s="3" t="n">
        <v>-0.7839489357812064</v>
      </c>
      <c r="I1398" s="3" t="n">
        <v>-0.7839489357812064</v>
      </c>
      <c r="J1398" s="3" t="n">
        <v>-0.8593977723802839</v>
      </c>
      <c r="K1398" s="3" t="n">
        <v>-0.8593977723802839</v>
      </c>
      <c r="L1398" s="3" t="n">
        <v>-0.7839489357812064</v>
      </c>
      <c r="M1398" s="3" t="n">
        <v>-0.7839489357812064</v>
      </c>
      <c r="N1398" s="3" t="n">
        <v>-0.7839489357812064</v>
      </c>
      <c r="O1398" s="3" t="n">
        <v>-0.7839489357812064</v>
      </c>
      <c r="P1398" s="3" t="n">
        <v>-0.7839489357812064</v>
      </c>
      <c r="Q1398" s="3" t="n">
        <v>-0.7839489357812064</v>
      </c>
      <c r="R1398" s="3" t="n">
        <v>-0.7712249892098563</v>
      </c>
      <c r="S1398" s="3" t="n">
        <v>-1.024877253600529</v>
      </c>
      <c r="T1398" s="3" t="n">
        <v>-0.7086694342749459</v>
      </c>
      <c r="U1398" s="3" t="n">
        <v>-0.8593977723802839</v>
      </c>
      <c r="V1398" s="3" t="n">
        <v>-0.6783862863268171</v>
      </c>
      <c r="W1398" s="3" t="n">
        <v>-0.5361838928290776</v>
      </c>
      <c r="X1398" s="3" t="n">
        <v>-1.020875356878553</v>
      </c>
      <c r="Y1398" s="3" t="n">
        <v>-0.7839489357812064</v>
      </c>
      <c r="Z1398" s="3" t="n">
        <v>-1.024877253600529</v>
      </c>
      <c r="AA1398" s="3" t="n">
        <v>-1.024877253600529</v>
      </c>
      <c r="AB1398" s="3" t="n">
        <v>-1.020875356878553</v>
      </c>
      <c r="AC1398" s="3" t="n">
        <v>-1.149042170388358</v>
      </c>
      <c r="AD1398" s="3" t="n">
        <v>-0.8593977723802839</v>
      </c>
      <c r="AE1398" s="3" t="n">
        <v>-0.8593977723802839</v>
      </c>
    </row>
    <row r="1399">
      <c r="A1399" s="3" t="inlineStr">
        <is>
          <t>MHL.distn.dec.ove.mean.10</t>
        </is>
      </c>
      <c r="B1399" s="3" t="inlineStr">
        <is>
          <t>MHL</t>
        </is>
      </c>
      <c r="C1399" s="3" t="n">
        <v>2005</v>
      </c>
      <c r="D1399" s="3" t="inlineStr">
        <is>
          <t>Overall</t>
        </is>
      </c>
      <c r="E1399" s="3" t="inlineStr">
        <is>
          <t>Deciles</t>
        </is>
      </c>
      <c r="F1399" s="3" t="inlineStr">
        <is>
          <t>mean</t>
        </is>
      </c>
      <c r="G1399" s="3" t="n">
        <v>10</v>
      </c>
      <c r="H1399" s="3" t="n">
        <v>-0.7839489357812064</v>
      </c>
      <c r="I1399" s="3" t="n">
        <v>-0.7839489357812064</v>
      </c>
      <c r="J1399" s="3" t="n">
        <v>-0.8593977723802839</v>
      </c>
      <c r="K1399" s="3" t="n">
        <v>-0.8593977723802839</v>
      </c>
      <c r="L1399" s="3" t="n">
        <v>-0.7839489357812064</v>
      </c>
      <c r="M1399" s="3" t="n">
        <v>-0.7839489357812064</v>
      </c>
      <c r="N1399" s="3" t="n">
        <v>-0.7839489357812064</v>
      </c>
      <c r="O1399" s="3" t="n">
        <v>-0.7839489357812064</v>
      </c>
      <c r="P1399" s="3" t="n">
        <v>-0.7839489357812064</v>
      </c>
      <c r="Q1399" s="3" t="n">
        <v>-0.7839489357812064</v>
      </c>
      <c r="R1399" s="3" t="n">
        <v>-0.7712249892098563</v>
      </c>
      <c r="S1399" s="3" t="n">
        <v>-1.024877253600529</v>
      </c>
      <c r="T1399" s="3" t="n">
        <v>-0.7086694342749459</v>
      </c>
      <c r="U1399" s="3" t="n">
        <v>-0.8593977723802839</v>
      </c>
      <c r="V1399" s="3" t="n">
        <v>-0.6783862863268171</v>
      </c>
      <c r="W1399" s="3" t="n">
        <v>-0.5361838928290776</v>
      </c>
      <c r="X1399" s="3" t="n">
        <v>-1.020875356878553</v>
      </c>
      <c r="Y1399" s="3" t="n">
        <v>-0.7839489357812064</v>
      </c>
      <c r="Z1399" s="3" t="n">
        <v>-1.024877253600529</v>
      </c>
      <c r="AA1399" s="3" t="n">
        <v>-1.024877253600529</v>
      </c>
      <c r="AB1399" s="3" t="n">
        <v>-1.020875356878553</v>
      </c>
      <c r="AC1399" s="3" t="n">
        <v>-1.149042170388358</v>
      </c>
      <c r="AD1399" s="3" t="n">
        <v>-0.8593977723802839</v>
      </c>
      <c r="AE1399" s="3" t="n">
        <v>-0.8593977723802839</v>
      </c>
    </row>
    <row r="1400">
      <c r="A1400" s="3" t="inlineStr">
        <is>
          <t>MHL.distn.bkt.ove.mean.9999</t>
        </is>
      </c>
      <c r="B1400" s="3" t="inlineStr">
        <is>
          <t>MHL</t>
        </is>
      </c>
      <c r="C1400" s="3" t="n">
        <v>2005</v>
      </c>
      <c r="D1400" s="3" t="inlineStr">
        <is>
          <t>Overall</t>
        </is>
      </c>
      <c r="E1400" s="3" t="inlineStr">
        <is>
          <t>Basket</t>
        </is>
      </c>
      <c r="F1400" s="3" t="inlineStr">
        <is>
          <t>mean</t>
        </is>
      </c>
      <c r="G1400" s="3" t="n">
        <v>9999</v>
      </c>
      <c r="H1400" s="3" t="n">
        <v>-0.7855607322284154</v>
      </c>
      <c r="I1400" s="3" t="n">
        <v>-0.7855607322284154</v>
      </c>
      <c r="J1400" s="3" t="n">
        <v>-0.8708347541945322</v>
      </c>
      <c r="K1400" s="3" t="n">
        <v>-0.8708347541945322</v>
      </c>
      <c r="L1400" s="3" t="n">
        <v>-0.7855607322284154</v>
      </c>
      <c r="M1400" s="3" t="n">
        <v>-0.7855607322284154</v>
      </c>
      <c r="N1400" s="3" t="n">
        <v>-0.7855607322284154</v>
      </c>
      <c r="O1400" s="3" t="n">
        <v>-0.7855607322284154</v>
      </c>
      <c r="P1400" s="3" t="n">
        <v>-0.7855607322284154</v>
      </c>
      <c r="Q1400" s="3" t="n">
        <v>-0.7855607322284154</v>
      </c>
      <c r="R1400" s="3" t="n">
        <v>-0.7720900552613394</v>
      </c>
      <c r="S1400" s="3" t="n">
        <v>-1.160887002944946</v>
      </c>
      <c r="T1400" s="3" t="n">
        <v>-0.7090769904000419</v>
      </c>
      <c r="U1400" s="3" t="n">
        <v>-0.8708347541945322</v>
      </c>
      <c r="V1400" s="3" t="n">
        <v>-0.6799844878060477</v>
      </c>
      <c r="W1400" s="3" t="n">
        <v>-0.5558792540005275</v>
      </c>
      <c r="X1400" s="3" t="n">
        <v>-1.140969473975045</v>
      </c>
      <c r="Y1400" s="3" t="n">
        <v>-0.7855607322284154</v>
      </c>
      <c r="Z1400" s="3" t="n">
        <v>-1.160887002944946</v>
      </c>
      <c r="AA1400" s="3" t="n">
        <v>-1.160887002944946</v>
      </c>
      <c r="AB1400" s="3" t="n">
        <v>-1.140969473975045</v>
      </c>
      <c r="AC1400" s="3" t="n">
        <v>-1.501635466303144</v>
      </c>
      <c r="AD1400" s="3" t="n">
        <v>-0.8708347541945322</v>
      </c>
      <c r="AE1400" s="3" t="n">
        <v>-0.8708347541945322</v>
      </c>
    </row>
    <row r="1401">
      <c r="A1401" s="3" t="inlineStr">
        <is>
          <t>MKD.distn.dec.ove.mean.1</t>
        </is>
      </c>
      <c r="B1401" s="3" t="inlineStr">
        <is>
          <t>MKD</t>
        </is>
      </c>
      <c r="C1401" s="3" t="n">
        <v>2005</v>
      </c>
      <c r="D1401" s="3" t="inlineStr">
        <is>
          <t>Overall</t>
        </is>
      </c>
      <c r="E1401" s="3" t="inlineStr">
        <is>
          <t>Deciles</t>
        </is>
      </c>
      <c r="F1401" s="3" t="inlineStr">
        <is>
          <t>mean</t>
        </is>
      </c>
      <c r="G1401" s="3" t="n">
        <v>1</v>
      </c>
      <c r="H1401" s="3" t="n">
        <v>-0.7892489433288574</v>
      </c>
      <c r="I1401" s="3" t="n">
        <v>-0.7892489433288574</v>
      </c>
      <c r="J1401" s="3" t="n">
        <v>-0.894209086894989</v>
      </c>
      <c r="K1401" s="3" t="n">
        <v>-0.894209086894989</v>
      </c>
      <c r="L1401" s="3" t="n">
        <v>-0.7892489433288574</v>
      </c>
      <c r="M1401" s="3" t="n">
        <v>-0.7892489433288574</v>
      </c>
      <c r="N1401" s="3" t="n">
        <v>-0.7892489433288574</v>
      </c>
      <c r="O1401" s="3" t="n">
        <v>-0.7892489433288574</v>
      </c>
      <c r="P1401" s="3" t="n">
        <v>-0.7892489433288574</v>
      </c>
      <c r="Q1401" s="3" t="n">
        <v>-0.7892489433288574</v>
      </c>
      <c r="R1401" s="3" t="n">
        <v>-0.7734707593917847</v>
      </c>
      <c r="S1401" s="3" t="n">
        <v>-1.44176185131073</v>
      </c>
      <c r="T1401" s="3" t="n">
        <v>-0.7094525694847107</v>
      </c>
      <c r="U1401" s="3" t="n">
        <v>-0.894209086894989</v>
      </c>
      <c r="V1401" s="3" t="n">
        <v>-0.6839550137519836</v>
      </c>
      <c r="W1401" s="3" t="n">
        <v>-0.6036077737808228</v>
      </c>
      <c r="X1401" s="3" t="n">
        <v>-1.387206077575684</v>
      </c>
      <c r="Y1401" s="3" t="n">
        <v>-0.7892489433288574</v>
      </c>
      <c r="Z1401" s="3" t="n">
        <v>-1.44176185131073</v>
      </c>
      <c r="AA1401" s="3" t="n">
        <v>-1.44176185131073</v>
      </c>
      <c r="AB1401" s="3" t="n">
        <v>-1.387206077575684</v>
      </c>
      <c r="AC1401" s="3" t="n">
        <v>-2.201180934906006</v>
      </c>
      <c r="AD1401" s="3" t="n">
        <v>-0.894209086894989</v>
      </c>
      <c r="AE1401" s="3" t="n">
        <v>-0.894209086894989</v>
      </c>
    </row>
    <row r="1402">
      <c r="A1402" s="3" t="inlineStr">
        <is>
          <t>MKD.distn.dec.ove.mean.2</t>
        </is>
      </c>
      <c r="B1402" s="3" t="inlineStr">
        <is>
          <t>MKD</t>
        </is>
      </c>
      <c r="C1402" s="3" t="n">
        <v>2005</v>
      </c>
      <c r="D1402" s="3" t="inlineStr">
        <is>
          <t>Overall</t>
        </is>
      </c>
      <c r="E1402" s="3" t="inlineStr">
        <is>
          <t>Deciles</t>
        </is>
      </c>
      <c r="F1402" s="3" t="inlineStr">
        <is>
          <t>mean</t>
        </is>
      </c>
      <c r="G1402" s="3" t="n">
        <v>2</v>
      </c>
      <c r="H1402" s="3" t="n">
        <v>-0.7892489433288574</v>
      </c>
      <c r="I1402" s="3" t="n">
        <v>-0.7892489433288574</v>
      </c>
      <c r="J1402" s="3" t="n">
        <v>-0.894209086894989</v>
      </c>
      <c r="K1402" s="3" t="n">
        <v>-0.894209086894989</v>
      </c>
      <c r="L1402" s="3" t="n">
        <v>-0.7892489433288574</v>
      </c>
      <c r="M1402" s="3" t="n">
        <v>-0.7892489433288574</v>
      </c>
      <c r="N1402" s="3" t="n">
        <v>-0.7892489433288574</v>
      </c>
      <c r="O1402" s="3" t="n">
        <v>-0.7892489433288574</v>
      </c>
      <c r="P1402" s="3" t="n">
        <v>-0.7892489433288574</v>
      </c>
      <c r="Q1402" s="3" t="n">
        <v>-0.7892489433288574</v>
      </c>
      <c r="R1402" s="3" t="n">
        <v>-0.7734707593917847</v>
      </c>
      <c r="S1402" s="3" t="n">
        <v>-1.44176185131073</v>
      </c>
      <c r="T1402" s="3" t="n">
        <v>-0.7094525694847107</v>
      </c>
      <c r="U1402" s="3" t="n">
        <v>-0.894209086894989</v>
      </c>
      <c r="V1402" s="3" t="n">
        <v>-0.6839550137519836</v>
      </c>
      <c r="W1402" s="3" t="n">
        <v>-0.6036077737808228</v>
      </c>
      <c r="X1402" s="3" t="n">
        <v>-1.387206077575684</v>
      </c>
      <c r="Y1402" s="3" t="n">
        <v>-0.7892489433288574</v>
      </c>
      <c r="Z1402" s="3" t="n">
        <v>-1.44176185131073</v>
      </c>
      <c r="AA1402" s="3" t="n">
        <v>-1.44176185131073</v>
      </c>
      <c r="AB1402" s="3" t="n">
        <v>-1.387206077575684</v>
      </c>
      <c r="AC1402" s="3" t="n">
        <v>-2.201180934906006</v>
      </c>
      <c r="AD1402" s="3" t="n">
        <v>-0.894209086894989</v>
      </c>
      <c r="AE1402" s="3" t="n">
        <v>-0.894209086894989</v>
      </c>
    </row>
    <row r="1403">
      <c r="A1403" s="3" t="inlineStr">
        <is>
          <t>MKD.distn.dec.ove.mean.3</t>
        </is>
      </c>
      <c r="B1403" s="3" t="inlineStr">
        <is>
          <t>MKD</t>
        </is>
      </c>
      <c r="C1403" s="3" t="n">
        <v>2005</v>
      </c>
      <c r="D1403" s="3" t="inlineStr">
        <is>
          <t>Overall</t>
        </is>
      </c>
      <c r="E1403" s="3" t="inlineStr">
        <is>
          <t>Deciles</t>
        </is>
      </c>
      <c r="F1403" s="3" t="inlineStr">
        <is>
          <t>mean</t>
        </is>
      </c>
      <c r="G1403" s="3" t="n">
        <v>3</v>
      </c>
      <c r="H1403" s="3" t="n">
        <v>-0.7892489433288574</v>
      </c>
      <c r="I1403" s="3" t="n">
        <v>-0.7892489433288574</v>
      </c>
      <c r="J1403" s="3" t="n">
        <v>-0.894209086894989</v>
      </c>
      <c r="K1403" s="3" t="n">
        <v>-0.894209086894989</v>
      </c>
      <c r="L1403" s="3" t="n">
        <v>-0.7892489433288574</v>
      </c>
      <c r="M1403" s="3" t="n">
        <v>-0.7892489433288574</v>
      </c>
      <c r="N1403" s="3" t="n">
        <v>-0.7892489433288574</v>
      </c>
      <c r="O1403" s="3" t="n">
        <v>-0.7892489433288574</v>
      </c>
      <c r="P1403" s="3" t="n">
        <v>-0.7892489433288574</v>
      </c>
      <c r="Q1403" s="3" t="n">
        <v>-0.7892489433288574</v>
      </c>
      <c r="R1403" s="3" t="n">
        <v>-0.7734707593917847</v>
      </c>
      <c r="S1403" s="3" t="n">
        <v>-1.44176185131073</v>
      </c>
      <c r="T1403" s="3" t="n">
        <v>-0.7094525694847107</v>
      </c>
      <c r="U1403" s="3" t="n">
        <v>-0.894209086894989</v>
      </c>
      <c r="V1403" s="3" t="n">
        <v>-0.6839550137519836</v>
      </c>
      <c r="W1403" s="3" t="n">
        <v>-0.6036077737808228</v>
      </c>
      <c r="X1403" s="3" t="n">
        <v>-1.387206077575684</v>
      </c>
      <c r="Y1403" s="3" t="n">
        <v>-0.7892489433288574</v>
      </c>
      <c r="Z1403" s="3" t="n">
        <v>-1.44176185131073</v>
      </c>
      <c r="AA1403" s="3" t="n">
        <v>-1.44176185131073</v>
      </c>
      <c r="AB1403" s="3" t="n">
        <v>-1.387206077575684</v>
      </c>
      <c r="AC1403" s="3" t="n">
        <v>-2.201180934906006</v>
      </c>
      <c r="AD1403" s="3" t="n">
        <v>-0.894209086894989</v>
      </c>
      <c r="AE1403" s="3" t="n">
        <v>-0.894209086894989</v>
      </c>
    </row>
    <row r="1404">
      <c r="A1404" s="3" t="inlineStr">
        <is>
          <t>MKD.distn.dec.ove.mean.4</t>
        </is>
      </c>
      <c r="B1404" s="3" t="inlineStr">
        <is>
          <t>MKD</t>
        </is>
      </c>
      <c r="C1404" s="3" t="n">
        <v>2005</v>
      </c>
      <c r="D1404" s="3" t="inlineStr">
        <is>
          <t>Overall</t>
        </is>
      </c>
      <c r="E1404" s="3" t="inlineStr">
        <is>
          <t>Deciles</t>
        </is>
      </c>
      <c r="F1404" s="3" t="inlineStr">
        <is>
          <t>mean</t>
        </is>
      </c>
      <c r="G1404" s="3" t="n">
        <v>4</v>
      </c>
      <c r="H1404" s="3" t="n">
        <v>-0.7829999923706055</v>
      </c>
      <c r="I1404" s="3" t="n">
        <v>-0.7829999923706055</v>
      </c>
      <c r="J1404" s="3" t="n">
        <v>-0.8510000109672546</v>
      </c>
      <c r="K1404" s="3" t="n">
        <v>-0.8510000109672546</v>
      </c>
      <c r="L1404" s="3" t="n">
        <v>-0.7829999923706055</v>
      </c>
      <c r="M1404" s="3" t="n">
        <v>-0.7829999923706055</v>
      </c>
      <c r="N1404" s="3" t="n">
        <v>-0.7829999923706055</v>
      </c>
      <c r="O1404" s="3" t="n">
        <v>-0.7829999923706055</v>
      </c>
      <c r="P1404" s="3" t="n">
        <v>-0.7829999923706055</v>
      </c>
      <c r="Q1404" s="3" t="n">
        <v>-0.7829999923706055</v>
      </c>
      <c r="R1404" s="3" t="n">
        <v>-0.7699999809265137</v>
      </c>
      <c r="S1404" s="3" t="n">
        <v>-0.9819999933242798</v>
      </c>
      <c r="T1404" s="3" t="n">
        <v>-0.7080000042915344</v>
      </c>
      <c r="U1404" s="3" t="n">
        <v>-0.8510000109672546</v>
      </c>
      <c r="V1404" s="3" t="n">
        <v>-0.6769999861717224</v>
      </c>
      <c r="W1404" s="3" t="n">
        <v>-0.5080000162124634</v>
      </c>
      <c r="X1404" s="3" t="n">
        <v>-0.9789999723434448</v>
      </c>
      <c r="Y1404" s="3" t="n">
        <v>-0.7829999923706055</v>
      </c>
      <c r="Z1404" s="3" t="n">
        <v>-0.9819999933242798</v>
      </c>
      <c r="AA1404" s="3" t="n">
        <v>-0.9819999933242798</v>
      </c>
      <c r="AB1404" s="3" t="n">
        <v>-0.9789999723434448</v>
      </c>
      <c r="AC1404" s="3" t="n">
        <v>-1.062999963760376</v>
      </c>
      <c r="AD1404" s="3" t="n">
        <v>-0.8510000109672546</v>
      </c>
      <c r="AE1404" s="3" t="n">
        <v>-0.8510000109672546</v>
      </c>
    </row>
    <row r="1405">
      <c r="A1405" s="3" t="inlineStr">
        <is>
          <t>MKD.distn.dec.ove.mean.5</t>
        </is>
      </c>
      <c r="B1405" s="3" t="inlineStr">
        <is>
          <t>MKD</t>
        </is>
      </c>
      <c r="C1405" s="3" t="n">
        <v>2005</v>
      </c>
      <c r="D1405" s="3" t="inlineStr">
        <is>
          <t>Overall</t>
        </is>
      </c>
      <c r="E1405" s="3" t="inlineStr">
        <is>
          <t>Deciles</t>
        </is>
      </c>
      <c r="F1405" s="3" t="inlineStr">
        <is>
          <t>mean</t>
        </is>
      </c>
      <c r="G1405" s="3" t="n">
        <v>5</v>
      </c>
      <c r="H1405" s="3" t="n">
        <v>-0.7829999923706055</v>
      </c>
      <c r="I1405" s="3" t="n">
        <v>-0.7829999923706055</v>
      </c>
      <c r="J1405" s="3" t="n">
        <v>-0.8510000109672546</v>
      </c>
      <c r="K1405" s="3" t="n">
        <v>-0.8510000109672546</v>
      </c>
      <c r="L1405" s="3" t="n">
        <v>-0.7829999923706055</v>
      </c>
      <c r="M1405" s="3" t="n">
        <v>-0.7829999923706055</v>
      </c>
      <c r="N1405" s="3" t="n">
        <v>-0.7829999923706055</v>
      </c>
      <c r="O1405" s="3" t="n">
        <v>-0.7829999923706055</v>
      </c>
      <c r="P1405" s="3" t="n">
        <v>-0.7829999923706055</v>
      </c>
      <c r="Q1405" s="3" t="n">
        <v>-0.7829999923706055</v>
      </c>
      <c r="R1405" s="3" t="n">
        <v>-0.7699999809265137</v>
      </c>
      <c r="S1405" s="3" t="n">
        <v>-0.9819999933242798</v>
      </c>
      <c r="T1405" s="3" t="n">
        <v>-0.7080000042915344</v>
      </c>
      <c r="U1405" s="3" t="n">
        <v>-0.8510000109672546</v>
      </c>
      <c r="V1405" s="3" t="n">
        <v>-0.6769999861717224</v>
      </c>
      <c r="W1405" s="3" t="n">
        <v>-0.5080000162124634</v>
      </c>
      <c r="X1405" s="3" t="n">
        <v>-0.9789999723434448</v>
      </c>
      <c r="Y1405" s="3" t="n">
        <v>-0.7829999923706055</v>
      </c>
      <c r="Z1405" s="3" t="n">
        <v>-0.9819999933242798</v>
      </c>
      <c r="AA1405" s="3" t="n">
        <v>-0.9819999933242798</v>
      </c>
      <c r="AB1405" s="3" t="n">
        <v>-0.9789999723434448</v>
      </c>
      <c r="AC1405" s="3" t="n">
        <v>-1.062999963760376</v>
      </c>
      <c r="AD1405" s="3" t="n">
        <v>-0.8510000109672546</v>
      </c>
      <c r="AE1405" s="3" t="n">
        <v>-0.8510000109672546</v>
      </c>
    </row>
    <row r="1406">
      <c r="A1406" s="3" t="inlineStr">
        <is>
          <t>MKD.distn.dec.ove.mean.6</t>
        </is>
      </c>
      <c r="B1406" s="3" t="inlineStr">
        <is>
          <t>MKD</t>
        </is>
      </c>
      <c r="C1406" s="3" t="n">
        <v>2005</v>
      </c>
      <c r="D1406" s="3" t="inlineStr">
        <is>
          <t>Overall</t>
        </is>
      </c>
      <c r="E1406" s="3" t="inlineStr">
        <is>
          <t>Deciles</t>
        </is>
      </c>
      <c r="F1406" s="3" t="inlineStr">
        <is>
          <t>mean</t>
        </is>
      </c>
      <c r="G1406" s="3" t="n">
        <v>6</v>
      </c>
      <c r="H1406" s="3" t="n">
        <v>-0.7829999923706055</v>
      </c>
      <c r="I1406" s="3" t="n">
        <v>-0.7829999923706055</v>
      </c>
      <c r="J1406" s="3" t="n">
        <v>-0.8510000109672546</v>
      </c>
      <c r="K1406" s="3" t="n">
        <v>-0.8510000109672546</v>
      </c>
      <c r="L1406" s="3" t="n">
        <v>-0.7829999923706055</v>
      </c>
      <c r="M1406" s="3" t="n">
        <v>-0.7829999923706055</v>
      </c>
      <c r="N1406" s="3" t="n">
        <v>-0.7829999923706055</v>
      </c>
      <c r="O1406" s="3" t="n">
        <v>-0.7829999923706055</v>
      </c>
      <c r="P1406" s="3" t="n">
        <v>-0.7829999923706055</v>
      </c>
      <c r="Q1406" s="3" t="n">
        <v>-0.7829999923706055</v>
      </c>
      <c r="R1406" s="3" t="n">
        <v>-0.7699999809265137</v>
      </c>
      <c r="S1406" s="3" t="n">
        <v>-0.9819999933242798</v>
      </c>
      <c r="T1406" s="3" t="n">
        <v>-0.7080000042915344</v>
      </c>
      <c r="U1406" s="3" t="n">
        <v>-0.8510000109672546</v>
      </c>
      <c r="V1406" s="3" t="n">
        <v>-0.6769999861717224</v>
      </c>
      <c r="W1406" s="3" t="n">
        <v>-0.5080000162124634</v>
      </c>
      <c r="X1406" s="3" t="n">
        <v>-0.9789999723434448</v>
      </c>
      <c r="Y1406" s="3" t="n">
        <v>-0.7829999923706055</v>
      </c>
      <c r="Z1406" s="3" t="n">
        <v>-0.9819999933242798</v>
      </c>
      <c r="AA1406" s="3" t="n">
        <v>-0.9819999933242798</v>
      </c>
      <c r="AB1406" s="3" t="n">
        <v>-0.9789999723434448</v>
      </c>
      <c r="AC1406" s="3" t="n">
        <v>-1.062999963760376</v>
      </c>
      <c r="AD1406" s="3" t="n">
        <v>-0.8510000109672546</v>
      </c>
      <c r="AE1406" s="3" t="n">
        <v>-0.8510000109672546</v>
      </c>
    </row>
    <row r="1407">
      <c r="A1407" s="3" t="inlineStr">
        <is>
          <t>MKD.distn.dec.ove.mean.7</t>
        </is>
      </c>
      <c r="B1407" s="3" t="inlineStr">
        <is>
          <t>MKD</t>
        </is>
      </c>
      <c r="C1407" s="3" t="n">
        <v>2005</v>
      </c>
      <c r="D1407" s="3" t="inlineStr">
        <is>
          <t>Overall</t>
        </is>
      </c>
      <c r="E1407" s="3" t="inlineStr">
        <is>
          <t>Deciles</t>
        </is>
      </c>
      <c r="F1407" s="3" t="inlineStr">
        <is>
          <t>mean</t>
        </is>
      </c>
      <c r="G1407" s="3" t="n">
        <v>7</v>
      </c>
      <c r="H1407" s="3" t="n">
        <v>-0.7829999923706055</v>
      </c>
      <c r="I1407" s="3" t="n">
        <v>-0.7829999923706055</v>
      </c>
      <c r="J1407" s="3" t="n">
        <v>-0.8510000109672546</v>
      </c>
      <c r="K1407" s="3" t="n">
        <v>-0.8510000109672546</v>
      </c>
      <c r="L1407" s="3" t="n">
        <v>-0.7829999923706055</v>
      </c>
      <c r="M1407" s="3" t="n">
        <v>-0.7829999923706055</v>
      </c>
      <c r="N1407" s="3" t="n">
        <v>-0.7829999923706055</v>
      </c>
      <c r="O1407" s="3" t="n">
        <v>-0.7829999923706055</v>
      </c>
      <c r="P1407" s="3" t="n">
        <v>-0.7829999923706055</v>
      </c>
      <c r="Q1407" s="3" t="n">
        <v>-0.7829999923706055</v>
      </c>
      <c r="R1407" s="3" t="n">
        <v>-0.7699999809265137</v>
      </c>
      <c r="S1407" s="3" t="n">
        <v>-0.9819999933242798</v>
      </c>
      <c r="T1407" s="3" t="n">
        <v>-0.7080000042915344</v>
      </c>
      <c r="U1407" s="3" t="n">
        <v>-0.8510000109672546</v>
      </c>
      <c r="V1407" s="3" t="n">
        <v>-0.6769999861717224</v>
      </c>
      <c r="W1407" s="3" t="n">
        <v>-0.5080000162124634</v>
      </c>
      <c r="X1407" s="3" t="n">
        <v>-0.9789999723434448</v>
      </c>
      <c r="Y1407" s="3" t="n">
        <v>-0.7829999923706055</v>
      </c>
      <c r="Z1407" s="3" t="n">
        <v>-0.9819999933242798</v>
      </c>
      <c r="AA1407" s="3" t="n">
        <v>-0.9819999933242798</v>
      </c>
      <c r="AB1407" s="3" t="n">
        <v>-0.9789999723434448</v>
      </c>
      <c r="AC1407" s="3" t="n">
        <v>-1.062999963760376</v>
      </c>
      <c r="AD1407" s="3" t="n">
        <v>-0.8510000109672546</v>
      </c>
      <c r="AE1407" s="3" t="n">
        <v>-0.8510000109672546</v>
      </c>
    </row>
    <row r="1408">
      <c r="A1408" s="3" t="inlineStr">
        <is>
          <t>MKD.distn.dec.ove.mean.8</t>
        </is>
      </c>
      <c r="B1408" s="3" t="inlineStr">
        <is>
          <t>MKD</t>
        </is>
      </c>
      <c r="C1408" s="3" t="n">
        <v>2005</v>
      </c>
      <c r="D1408" s="3" t="inlineStr">
        <is>
          <t>Overall</t>
        </is>
      </c>
      <c r="E1408" s="3" t="inlineStr">
        <is>
          <t>Deciles</t>
        </is>
      </c>
      <c r="F1408" s="3" t="inlineStr">
        <is>
          <t>mean</t>
        </is>
      </c>
      <c r="G1408" s="3" t="n">
        <v>8</v>
      </c>
      <c r="H1408" s="3" t="n">
        <v>-0.7833772301673889</v>
      </c>
      <c r="I1408" s="3" t="n">
        <v>-0.7833772301673889</v>
      </c>
      <c r="J1408" s="3" t="n">
        <v>-0.853295624256134</v>
      </c>
      <c r="K1408" s="3" t="n">
        <v>-0.853295624256134</v>
      </c>
      <c r="L1408" s="3" t="n">
        <v>-0.7833772301673889</v>
      </c>
      <c r="M1408" s="3" t="n">
        <v>-0.7833772301673889</v>
      </c>
      <c r="N1408" s="3" t="n">
        <v>-0.7833772301673889</v>
      </c>
      <c r="O1408" s="3" t="n">
        <v>-0.7833772301673889</v>
      </c>
      <c r="P1408" s="3" t="n">
        <v>-0.7833772301673889</v>
      </c>
      <c r="Q1408" s="3" t="n">
        <v>-0.7833772301673889</v>
      </c>
      <c r="R1408" s="3" t="n">
        <v>-0.7702532410621643</v>
      </c>
      <c r="S1408" s="3" t="n">
        <v>-0.9911376237869263</v>
      </c>
      <c r="T1408" s="3" t="n">
        <v>-0.7080408334732056</v>
      </c>
      <c r="U1408" s="3" t="n">
        <v>-0.853295624256134</v>
      </c>
      <c r="V1408" s="3" t="n">
        <v>-0.677699863910675</v>
      </c>
      <c r="W1408" s="3" t="n">
        <v>-0.5216036438941956</v>
      </c>
      <c r="X1408" s="3" t="n">
        <v>-0.9879206418991089</v>
      </c>
      <c r="Y1408" s="3" t="n">
        <v>-0.7833772301673889</v>
      </c>
      <c r="Z1408" s="3" t="n">
        <v>-0.9911376237869263</v>
      </c>
      <c r="AA1408" s="3" t="n">
        <v>-0.9911376237869263</v>
      </c>
      <c r="AB1408" s="3" t="n">
        <v>-0.9879206418991089</v>
      </c>
      <c r="AC1408" s="3" t="n">
        <v>-1.078159809112549</v>
      </c>
      <c r="AD1408" s="3" t="n">
        <v>-0.853295624256134</v>
      </c>
      <c r="AE1408" s="3" t="n">
        <v>-0.853295624256134</v>
      </c>
    </row>
    <row r="1409">
      <c r="A1409" s="3" t="inlineStr">
        <is>
          <t>MKD.distn.dec.ove.mean.9</t>
        </is>
      </c>
      <c r="B1409" s="3" t="inlineStr">
        <is>
          <t>MKD</t>
        </is>
      </c>
      <c r="C1409" s="3" t="n">
        <v>2005</v>
      </c>
      <c r="D1409" s="3" t="inlineStr">
        <is>
          <t>Overall</t>
        </is>
      </c>
      <c r="E1409" s="3" t="inlineStr">
        <is>
          <t>Deciles</t>
        </is>
      </c>
      <c r="F1409" s="3" t="inlineStr">
        <is>
          <t>mean</t>
        </is>
      </c>
      <c r="G1409" s="3" t="n">
        <v>9</v>
      </c>
      <c r="H1409" s="3" t="n">
        <v>-0.7833772301673889</v>
      </c>
      <c r="I1409" s="3" t="n">
        <v>-0.7833772301673889</v>
      </c>
      <c r="J1409" s="3" t="n">
        <v>-0.853295624256134</v>
      </c>
      <c r="K1409" s="3" t="n">
        <v>-0.853295624256134</v>
      </c>
      <c r="L1409" s="3" t="n">
        <v>-0.7833772301673889</v>
      </c>
      <c r="M1409" s="3" t="n">
        <v>-0.7833772301673889</v>
      </c>
      <c r="N1409" s="3" t="n">
        <v>-0.7833772301673889</v>
      </c>
      <c r="O1409" s="3" t="n">
        <v>-0.7833772301673889</v>
      </c>
      <c r="P1409" s="3" t="n">
        <v>-0.7833772301673889</v>
      </c>
      <c r="Q1409" s="3" t="n">
        <v>-0.7833772301673889</v>
      </c>
      <c r="R1409" s="3" t="n">
        <v>-0.7702532410621643</v>
      </c>
      <c r="S1409" s="3" t="n">
        <v>-0.9911376237869263</v>
      </c>
      <c r="T1409" s="3" t="n">
        <v>-0.7080408334732056</v>
      </c>
      <c r="U1409" s="3" t="n">
        <v>-0.853295624256134</v>
      </c>
      <c r="V1409" s="3" t="n">
        <v>-0.677699863910675</v>
      </c>
      <c r="W1409" s="3" t="n">
        <v>-0.5216036438941956</v>
      </c>
      <c r="X1409" s="3" t="n">
        <v>-0.9879206418991089</v>
      </c>
      <c r="Y1409" s="3" t="n">
        <v>-0.7833772301673889</v>
      </c>
      <c r="Z1409" s="3" t="n">
        <v>-0.9911376237869263</v>
      </c>
      <c r="AA1409" s="3" t="n">
        <v>-0.9911376237869263</v>
      </c>
      <c r="AB1409" s="3" t="n">
        <v>-0.9879206418991089</v>
      </c>
      <c r="AC1409" s="3" t="n">
        <v>-1.078159809112549</v>
      </c>
      <c r="AD1409" s="3" t="n">
        <v>-0.853295624256134</v>
      </c>
      <c r="AE1409" s="3" t="n">
        <v>-0.853295624256134</v>
      </c>
    </row>
    <row r="1410">
      <c r="A1410" s="3" t="inlineStr">
        <is>
          <t>MKD.distn.dec.ove.mean.10</t>
        </is>
      </c>
      <c r="B1410" s="3" t="inlineStr">
        <is>
          <t>MKD</t>
        </is>
      </c>
      <c r="C1410" s="3" t="n">
        <v>2005</v>
      </c>
      <c r="D1410" s="3" t="inlineStr">
        <is>
          <t>Overall</t>
        </is>
      </c>
      <c r="E1410" s="3" t="inlineStr">
        <is>
          <t>Deciles</t>
        </is>
      </c>
      <c r="F1410" s="3" t="inlineStr">
        <is>
          <t>mean</t>
        </is>
      </c>
      <c r="G1410" s="3" t="n">
        <v>10</v>
      </c>
      <c r="H1410" s="3" t="n">
        <v>-0.7833772301673889</v>
      </c>
      <c r="I1410" s="3" t="n">
        <v>-0.7833772301673889</v>
      </c>
      <c r="J1410" s="3" t="n">
        <v>-0.853295624256134</v>
      </c>
      <c r="K1410" s="3" t="n">
        <v>-0.853295624256134</v>
      </c>
      <c r="L1410" s="3" t="n">
        <v>-0.7833772301673889</v>
      </c>
      <c r="M1410" s="3" t="n">
        <v>-0.7833772301673889</v>
      </c>
      <c r="N1410" s="3" t="n">
        <v>-0.7833772301673889</v>
      </c>
      <c r="O1410" s="3" t="n">
        <v>-0.7833772301673889</v>
      </c>
      <c r="P1410" s="3" t="n">
        <v>-0.7833772301673889</v>
      </c>
      <c r="Q1410" s="3" t="n">
        <v>-0.7833772301673889</v>
      </c>
      <c r="R1410" s="3" t="n">
        <v>-0.7702532410621643</v>
      </c>
      <c r="S1410" s="3" t="n">
        <v>-0.9911376237869263</v>
      </c>
      <c r="T1410" s="3" t="n">
        <v>-0.7080408334732056</v>
      </c>
      <c r="U1410" s="3" t="n">
        <v>-0.853295624256134</v>
      </c>
      <c r="V1410" s="3" t="n">
        <v>-0.677699863910675</v>
      </c>
      <c r="W1410" s="3" t="n">
        <v>-0.5216036438941956</v>
      </c>
      <c r="X1410" s="3" t="n">
        <v>-0.9879206418991089</v>
      </c>
      <c r="Y1410" s="3" t="n">
        <v>-0.7833772301673889</v>
      </c>
      <c r="Z1410" s="3" t="n">
        <v>-0.9911376237869263</v>
      </c>
      <c r="AA1410" s="3" t="n">
        <v>-0.9911376237869263</v>
      </c>
      <c r="AB1410" s="3" t="n">
        <v>-0.9879206418991089</v>
      </c>
      <c r="AC1410" s="3" t="n">
        <v>-1.078159809112549</v>
      </c>
      <c r="AD1410" s="3" t="n">
        <v>-0.853295624256134</v>
      </c>
      <c r="AE1410" s="3" t="n">
        <v>-0.853295624256134</v>
      </c>
    </row>
    <row r="1411">
      <c r="A1411" s="3" t="inlineStr">
        <is>
          <t>MKD.distn.bkt.ove.mean.9999</t>
        </is>
      </c>
      <c r="B1411" s="3" t="inlineStr">
        <is>
          <t>MKD</t>
        </is>
      </c>
      <c r="C1411" s="3" t="n">
        <v>2005</v>
      </c>
      <c r="D1411" s="3" t="inlineStr">
        <is>
          <t>Overall</t>
        </is>
      </c>
      <c r="E1411" s="3" t="inlineStr">
        <is>
          <t>Basket</t>
        </is>
      </c>
      <c r="F1411" s="3" t="inlineStr">
        <is>
          <t>mean</t>
        </is>
      </c>
      <c r="G1411" s="3" t="n">
        <v>9999</v>
      </c>
      <c r="H1411" s="3" t="n">
        <v>-0.7849878668785095</v>
      </c>
      <c r="I1411" s="3" t="n">
        <v>-0.7849878668785095</v>
      </c>
      <c r="J1411" s="3" t="n">
        <v>-0.8646514415740967</v>
      </c>
      <c r="K1411" s="3" t="n">
        <v>-0.8646514415740967</v>
      </c>
      <c r="L1411" s="3" t="n">
        <v>-0.7849878668785095</v>
      </c>
      <c r="M1411" s="3" t="n">
        <v>-0.7849878668785095</v>
      </c>
      <c r="N1411" s="3" t="n">
        <v>-0.7849878668785095</v>
      </c>
      <c r="O1411" s="3" t="n">
        <v>-0.7849878668785095</v>
      </c>
      <c r="P1411" s="3" t="n">
        <v>-0.7849878668785095</v>
      </c>
      <c r="Q1411" s="3" t="n">
        <v>-0.7849878668785095</v>
      </c>
      <c r="R1411" s="3" t="n">
        <v>-0.7711172103881836</v>
      </c>
      <c r="S1411" s="3" t="n">
        <v>-1.122669816017151</v>
      </c>
      <c r="T1411" s="3" t="n">
        <v>-0.708448052406311</v>
      </c>
      <c r="U1411" s="3" t="n">
        <v>-0.8646514415740967</v>
      </c>
      <c r="V1411" s="3" t="n">
        <v>-0.6792964339256287</v>
      </c>
      <c r="W1411" s="3" t="n">
        <v>-0.5407634377479553</v>
      </c>
      <c r="X1411" s="3" t="n">
        <v>-1.104138016700745</v>
      </c>
      <c r="Y1411" s="3" t="n">
        <v>-0.7849878668785095</v>
      </c>
      <c r="Z1411" s="3" t="n">
        <v>-1.122669816017151</v>
      </c>
      <c r="AA1411" s="3" t="n">
        <v>-1.122669816017151</v>
      </c>
      <c r="AB1411" s="3" t="n">
        <v>-1.104138016700745</v>
      </c>
      <c r="AC1411" s="3" t="n">
        <v>-1.409002184867859</v>
      </c>
      <c r="AD1411" s="3" t="n">
        <v>-0.8646514415740967</v>
      </c>
      <c r="AE1411" s="3" t="n">
        <v>-0.8646514415740967</v>
      </c>
    </row>
    <row r="1412">
      <c r="A1412" s="3" t="inlineStr">
        <is>
          <t>MLI.distn.dec.ove.mean.1</t>
        </is>
      </c>
      <c r="B1412" s="3" t="inlineStr">
        <is>
          <t>MLI</t>
        </is>
      </c>
      <c r="C1412" s="3" t="n">
        <v>2005</v>
      </c>
      <c r="D1412" s="3" t="inlineStr">
        <is>
          <t>Overall</t>
        </is>
      </c>
      <c r="E1412" s="3" t="inlineStr">
        <is>
          <t>Deciles</t>
        </is>
      </c>
      <c r="F1412" s="3" t="inlineStr">
        <is>
          <t>mean</t>
        </is>
      </c>
      <c r="G1412" s="3" t="n">
        <v>1</v>
      </c>
      <c r="H1412" s="3" t="n">
        <v>-0.7973127365112305</v>
      </c>
      <c r="I1412" s="3" t="n">
        <v>-0.7973127365112305</v>
      </c>
      <c r="J1412" s="3" t="n">
        <v>-0.9562047719955444</v>
      </c>
      <c r="K1412" s="3" t="n">
        <v>-0.9562047719955444</v>
      </c>
      <c r="L1412" s="3" t="n">
        <v>-0.7973127365112305</v>
      </c>
      <c r="M1412" s="3" t="n">
        <v>-0.7973127365112305</v>
      </c>
      <c r="N1412" s="3" t="n">
        <v>-0.7973127365112305</v>
      </c>
      <c r="O1412" s="3" t="n">
        <v>-0.7973127365112305</v>
      </c>
      <c r="P1412" s="3" t="n">
        <v>-0.7973127365112305</v>
      </c>
      <c r="Q1412" s="3" t="n">
        <v>-0.7973127365112305</v>
      </c>
      <c r="R1412" s="3" t="n">
        <v>-0.7784932851791382</v>
      </c>
      <c r="S1412" s="3" t="n">
        <v>-2.328548192977905</v>
      </c>
      <c r="T1412" s="3" t="n">
        <v>-0.7114566564559937</v>
      </c>
      <c r="U1412" s="3" t="n">
        <v>-0.9562047719955444</v>
      </c>
      <c r="V1412" s="3" t="n">
        <v>-0.6920371651649475</v>
      </c>
      <c r="W1412" s="3" t="n">
        <v>-0.7081697583198547</v>
      </c>
      <c r="X1412" s="3" t="n">
        <v>-2.201959371566772</v>
      </c>
      <c r="Y1412" s="3" t="n">
        <v>-0.7973127365112305</v>
      </c>
      <c r="Z1412" s="3" t="n">
        <v>-2.328548192977905</v>
      </c>
      <c r="AA1412" s="3" t="n">
        <v>-2.328548192977905</v>
      </c>
      <c r="AB1412" s="3" t="n">
        <v>-2.201959371566772</v>
      </c>
      <c r="AC1412" s="3" t="n">
        <v>-13.08491325378418</v>
      </c>
      <c r="AD1412" s="3" t="n">
        <v>-0.9562047719955444</v>
      </c>
      <c r="AE1412" s="3" t="n">
        <v>-0.9562047719955444</v>
      </c>
    </row>
    <row r="1413">
      <c r="A1413" s="3" t="inlineStr">
        <is>
          <t>MLI.distn.dec.ove.mean.2</t>
        </is>
      </c>
      <c r="B1413" s="3" t="inlineStr">
        <is>
          <t>MLI</t>
        </is>
      </c>
      <c r="C1413" s="3" t="n">
        <v>2005</v>
      </c>
      <c r="D1413" s="3" t="inlineStr">
        <is>
          <t>Overall</t>
        </is>
      </c>
      <c r="E1413" s="3" t="inlineStr">
        <is>
          <t>Deciles</t>
        </is>
      </c>
      <c r="F1413" s="3" t="inlineStr">
        <is>
          <t>mean</t>
        </is>
      </c>
      <c r="G1413" s="3" t="n">
        <v>2</v>
      </c>
      <c r="H1413" s="3" t="n">
        <v>-0.7973127365112305</v>
      </c>
      <c r="I1413" s="3" t="n">
        <v>-0.7973127365112305</v>
      </c>
      <c r="J1413" s="3" t="n">
        <v>-0.9562047719955444</v>
      </c>
      <c r="K1413" s="3" t="n">
        <v>-0.9562047719955444</v>
      </c>
      <c r="L1413" s="3" t="n">
        <v>-0.7973127365112305</v>
      </c>
      <c r="M1413" s="3" t="n">
        <v>-0.7973127365112305</v>
      </c>
      <c r="N1413" s="3" t="n">
        <v>-0.7973127365112305</v>
      </c>
      <c r="O1413" s="3" t="n">
        <v>-0.7973127365112305</v>
      </c>
      <c r="P1413" s="3" t="n">
        <v>-0.7973127365112305</v>
      </c>
      <c r="Q1413" s="3" t="n">
        <v>-0.7973127365112305</v>
      </c>
      <c r="R1413" s="3" t="n">
        <v>-0.7784932851791382</v>
      </c>
      <c r="S1413" s="3" t="n">
        <v>-2.328548192977905</v>
      </c>
      <c r="T1413" s="3" t="n">
        <v>-0.7114566564559937</v>
      </c>
      <c r="U1413" s="3" t="n">
        <v>-0.9562047719955444</v>
      </c>
      <c r="V1413" s="3" t="n">
        <v>-0.6920371651649475</v>
      </c>
      <c r="W1413" s="3" t="n">
        <v>-0.7081697583198547</v>
      </c>
      <c r="X1413" s="3" t="n">
        <v>-2.201959371566772</v>
      </c>
      <c r="Y1413" s="3" t="n">
        <v>-0.7973127365112305</v>
      </c>
      <c r="Z1413" s="3" t="n">
        <v>-2.328548192977905</v>
      </c>
      <c r="AA1413" s="3" t="n">
        <v>-2.328548192977905</v>
      </c>
      <c r="AB1413" s="3" t="n">
        <v>-2.201959371566772</v>
      </c>
      <c r="AC1413" s="3" t="n">
        <v>-13.08491325378418</v>
      </c>
      <c r="AD1413" s="3" t="n">
        <v>-0.9562047719955444</v>
      </c>
      <c r="AE1413" s="3" t="n">
        <v>-0.9562047719955444</v>
      </c>
    </row>
    <row r="1414">
      <c r="A1414" s="3" t="inlineStr">
        <is>
          <t>MLI.distn.dec.ove.mean.3</t>
        </is>
      </c>
      <c r="B1414" s="3" t="inlineStr">
        <is>
          <t>MLI</t>
        </is>
      </c>
      <c r="C1414" s="3" t="n">
        <v>2005</v>
      </c>
      <c r="D1414" s="3" t="inlineStr">
        <is>
          <t>Overall</t>
        </is>
      </c>
      <c r="E1414" s="3" t="inlineStr">
        <is>
          <t>Deciles</t>
        </is>
      </c>
      <c r="F1414" s="3" t="inlineStr">
        <is>
          <t>mean</t>
        </is>
      </c>
      <c r="G1414" s="3" t="n">
        <v>3</v>
      </c>
      <c r="H1414" s="3" t="n">
        <v>-0.7973127365112305</v>
      </c>
      <c r="I1414" s="3" t="n">
        <v>-0.7973127365112305</v>
      </c>
      <c r="J1414" s="3" t="n">
        <v>-0.9562047719955444</v>
      </c>
      <c r="K1414" s="3" t="n">
        <v>-0.9562047719955444</v>
      </c>
      <c r="L1414" s="3" t="n">
        <v>-0.7973127365112305</v>
      </c>
      <c r="M1414" s="3" t="n">
        <v>-0.7973127365112305</v>
      </c>
      <c r="N1414" s="3" t="n">
        <v>-0.7973127365112305</v>
      </c>
      <c r="O1414" s="3" t="n">
        <v>-0.7973127365112305</v>
      </c>
      <c r="P1414" s="3" t="n">
        <v>-0.7973127365112305</v>
      </c>
      <c r="Q1414" s="3" t="n">
        <v>-0.7973127365112305</v>
      </c>
      <c r="R1414" s="3" t="n">
        <v>-0.7784932851791382</v>
      </c>
      <c r="S1414" s="3" t="n">
        <v>-2.328548192977905</v>
      </c>
      <c r="T1414" s="3" t="n">
        <v>-0.7114566564559937</v>
      </c>
      <c r="U1414" s="3" t="n">
        <v>-0.9562047719955444</v>
      </c>
      <c r="V1414" s="3" t="n">
        <v>-0.6920371651649475</v>
      </c>
      <c r="W1414" s="3" t="n">
        <v>-0.7081697583198547</v>
      </c>
      <c r="X1414" s="3" t="n">
        <v>-2.201959371566772</v>
      </c>
      <c r="Y1414" s="3" t="n">
        <v>-0.7973127365112305</v>
      </c>
      <c r="Z1414" s="3" t="n">
        <v>-2.328548192977905</v>
      </c>
      <c r="AA1414" s="3" t="n">
        <v>-2.328548192977905</v>
      </c>
      <c r="AB1414" s="3" t="n">
        <v>-2.201959371566772</v>
      </c>
      <c r="AC1414" s="3" t="n">
        <v>-13.08491325378418</v>
      </c>
      <c r="AD1414" s="3" t="n">
        <v>-0.9562047719955444</v>
      </c>
      <c r="AE1414" s="3" t="n">
        <v>-0.9562047719955444</v>
      </c>
    </row>
    <row r="1415">
      <c r="A1415" s="3" t="inlineStr">
        <is>
          <t>MLI.distn.dec.ove.mean.4</t>
        </is>
      </c>
      <c r="B1415" s="3" t="inlineStr">
        <is>
          <t>MLI</t>
        </is>
      </c>
      <c r="C1415" s="3" t="n">
        <v>2005</v>
      </c>
      <c r="D1415" s="3" t="inlineStr">
        <is>
          <t>Overall</t>
        </is>
      </c>
      <c r="E1415" s="3" t="inlineStr">
        <is>
          <t>Deciles</t>
        </is>
      </c>
      <c r="F1415" s="3" t="inlineStr">
        <is>
          <t>mean</t>
        </is>
      </c>
      <c r="G1415" s="3" t="n">
        <v>4</v>
      </c>
      <c r="H1415" s="3" t="n">
        <v>-0.7910000085830688</v>
      </c>
      <c r="I1415" s="3" t="n">
        <v>-0.7910000085830688</v>
      </c>
      <c r="J1415" s="3" t="n">
        <v>-0.9100000262260437</v>
      </c>
      <c r="K1415" s="3" t="n">
        <v>-0.9100000262260437</v>
      </c>
      <c r="L1415" s="3" t="n">
        <v>-0.7910000085830688</v>
      </c>
      <c r="M1415" s="3" t="n">
        <v>-0.7910000085830688</v>
      </c>
      <c r="N1415" s="3" t="n">
        <v>-0.7910000085830688</v>
      </c>
      <c r="O1415" s="3" t="n">
        <v>-0.7910000085830688</v>
      </c>
      <c r="P1415" s="3" t="n">
        <v>-0.7910000085830688</v>
      </c>
      <c r="Q1415" s="3" t="n">
        <v>-0.7910000085830688</v>
      </c>
      <c r="R1415" s="3" t="n">
        <v>-0.7749999761581421</v>
      </c>
      <c r="S1415" s="3" t="n">
        <v>-1.585999965667725</v>
      </c>
      <c r="T1415" s="3" t="n">
        <v>-0.7099999785423279</v>
      </c>
      <c r="U1415" s="3" t="n">
        <v>-0.9100000262260437</v>
      </c>
      <c r="V1415" s="3" t="n">
        <v>-0.6850000023841858</v>
      </c>
      <c r="W1415" s="3" t="n">
        <v>-0.5960000157356262</v>
      </c>
      <c r="X1415" s="3" t="n">
        <v>-1.554000020027161</v>
      </c>
      <c r="Y1415" s="3" t="n">
        <v>-0.7910000085830688</v>
      </c>
      <c r="Z1415" s="3" t="n">
        <v>-1.585999965667725</v>
      </c>
      <c r="AA1415" s="3" t="n">
        <v>-1.585999965667725</v>
      </c>
      <c r="AB1415" s="3" t="n">
        <v>-1.554000020027161</v>
      </c>
      <c r="AC1415" s="3" t="n">
        <v>-6.318999767303467</v>
      </c>
      <c r="AD1415" s="3" t="n">
        <v>-0.9100000262260437</v>
      </c>
      <c r="AE1415" s="3" t="n">
        <v>-0.9100000262260437</v>
      </c>
    </row>
    <row r="1416">
      <c r="A1416" s="3" t="inlineStr">
        <is>
          <t>MLI.distn.dec.ove.mean.5</t>
        </is>
      </c>
      <c r="B1416" s="3" t="inlineStr">
        <is>
          <t>MLI</t>
        </is>
      </c>
      <c r="C1416" s="3" t="n">
        <v>2005</v>
      </c>
      <c r="D1416" s="3" t="inlineStr">
        <is>
          <t>Overall</t>
        </is>
      </c>
      <c r="E1416" s="3" t="inlineStr">
        <is>
          <t>Deciles</t>
        </is>
      </c>
      <c r="F1416" s="3" t="inlineStr">
        <is>
          <t>mean</t>
        </is>
      </c>
      <c r="G1416" s="3" t="n">
        <v>5</v>
      </c>
      <c r="H1416" s="3" t="n">
        <v>-0.7910000085830688</v>
      </c>
      <c r="I1416" s="3" t="n">
        <v>-0.7910000085830688</v>
      </c>
      <c r="J1416" s="3" t="n">
        <v>-0.9100000262260437</v>
      </c>
      <c r="K1416" s="3" t="n">
        <v>-0.9100000262260437</v>
      </c>
      <c r="L1416" s="3" t="n">
        <v>-0.7910000085830688</v>
      </c>
      <c r="M1416" s="3" t="n">
        <v>-0.7910000085830688</v>
      </c>
      <c r="N1416" s="3" t="n">
        <v>-0.7910000085830688</v>
      </c>
      <c r="O1416" s="3" t="n">
        <v>-0.7910000085830688</v>
      </c>
      <c r="P1416" s="3" t="n">
        <v>-0.7910000085830688</v>
      </c>
      <c r="Q1416" s="3" t="n">
        <v>-0.7910000085830688</v>
      </c>
      <c r="R1416" s="3" t="n">
        <v>-0.7749999761581421</v>
      </c>
      <c r="S1416" s="3" t="n">
        <v>-1.585999965667725</v>
      </c>
      <c r="T1416" s="3" t="n">
        <v>-0.7099999785423279</v>
      </c>
      <c r="U1416" s="3" t="n">
        <v>-0.9100000262260437</v>
      </c>
      <c r="V1416" s="3" t="n">
        <v>-0.6850000023841858</v>
      </c>
      <c r="W1416" s="3" t="n">
        <v>-0.5960000157356262</v>
      </c>
      <c r="X1416" s="3" t="n">
        <v>-1.554000020027161</v>
      </c>
      <c r="Y1416" s="3" t="n">
        <v>-0.7910000085830688</v>
      </c>
      <c r="Z1416" s="3" t="n">
        <v>-1.585999965667725</v>
      </c>
      <c r="AA1416" s="3" t="n">
        <v>-1.585999965667725</v>
      </c>
      <c r="AB1416" s="3" t="n">
        <v>-1.554000020027161</v>
      </c>
      <c r="AC1416" s="3" t="n">
        <v>-6.318999767303467</v>
      </c>
      <c r="AD1416" s="3" t="n">
        <v>-0.9100000262260437</v>
      </c>
      <c r="AE1416" s="3" t="n">
        <v>-0.9100000262260437</v>
      </c>
    </row>
    <row r="1417">
      <c r="A1417" s="3" t="inlineStr">
        <is>
          <t>MLI.distn.dec.ove.mean.6</t>
        </is>
      </c>
      <c r="B1417" s="3" t="inlineStr">
        <is>
          <t>MLI</t>
        </is>
      </c>
      <c r="C1417" s="3" t="n">
        <v>2005</v>
      </c>
      <c r="D1417" s="3" t="inlineStr">
        <is>
          <t>Overall</t>
        </is>
      </c>
      <c r="E1417" s="3" t="inlineStr">
        <is>
          <t>Deciles</t>
        </is>
      </c>
      <c r="F1417" s="3" t="inlineStr">
        <is>
          <t>mean</t>
        </is>
      </c>
      <c r="G1417" s="3" t="n">
        <v>6</v>
      </c>
      <c r="H1417" s="3" t="n">
        <v>-0.7910000085830688</v>
      </c>
      <c r="I1417" s="3" t="n">
        <v>-0.7910000085830688</v>
      </c>
      <c r="J1417" s="3" t="n">
        <v>-0.9100000262260437</v>
      </c>
      <c r="K1417" s="3" t="n">
        <v>-0.9100000262260437</v>
      </c>
      <c r="L1417" s="3" t="n">
        <v>-0.7910000085830688</v>
      </c>
      <c r="M1417" s="3" t="n">
        <v>-0.7910000085830688</v>
      </c>
      <c r="N1417" s="3" t="n">
        <v>-0.7910000085830688</v>
      </c>
      <c r="O1417" s="3" t="n">
        <v>-0.7910000085830688</v>
      </c>
      <c r="P1417" s="3" t="n">
        <v>-0.7910000085830688</v>
      </c>
      <c r="Q1417" s="3" t="n">
        <v>-0.7910000085830688</v>
      </c>
      <c r="R1417" s="3" t="n">
        <v>-0.7749999761581421</v>
      </c>
      <c r="S1417" s="3" t="n">
        <v>-1.585999965667725</v>
      </c>
      <c r="T1417" s="3" t="n">
        <v>-0.7099999785423279</v>
      </c>
      <c r="U1417" s="3" t="n">
        <v>-0.9100000262260437</v>
      </c>
      <c r="V1417" s="3" t="n">
        <v>-0.6850000023841858</v>
      </c>
      <c r="W1417" s="3" t="n">
        <v>-0.5960000157356262</v>
      </c>
      <c r="X1417" s="3" t="n">
        <v>-1.554000020027161</v>
      </c>
      <c r="Y1417" s="3" t="n">
        <v>-0.7910000085830688</v>
      </c>
      <c r="Z1417" s="3" t="n">
        <v>-1.585999965667725</v>
      </c>
      <c r="AA1417" s="3" t="n">
        <v>-1.585999965667725</v>
      </c>
      <c r="AB1417" s="3" t="n">
        <v>-1.554000020027161</v>
      </c>
      <c r="AC1417" s="3" t="n">
        <v>-6.318999767303467</v>
      </c>
      <c r="AD1417" s="3" t="n">
        <v>-0.9100000262260437</v>
      </c>
      <c r="AE1417" s="3" t="n">
        <v>-0.9100000262260437</v>
      </c>
    </row>
    <row r="1418">
      <c r="A1418" s="3" t="inlineStr">
        <is>
          <t>MLI.distn.dec.ove.mean.7</t>
        </is>
      </c>
      <c r="B1418" s="3" t="inlineStr">
        <is>
          <t>MLI</t>
        </is>
      </c>
      <c r="C1418" s="3" t="n">
        <v>2005</v>
      </c>
      <c r="D1418" s="3" t="inlineStr">
        <is>
          <t>Overall</t>
        </is>
      </c>
      <c r="E1418" s="3" t="inlineStr">
        <is>
          <t>Deciles</t>
        </is>
      </c>
      <c r="F1418" s="3" t="inlineStr">
        <is>
          <t>mean</t>
        </is>
      </c>
      <c r="G1418" s="3" t="n">
        <v>7</v>
      </c>
      <c r="H1418" s="3" t="n">
        <v>-0.7910000085830688</v>
      </c>
      <c r="I1418" s="3" t="n">
        <v>-0.7910000085830688</v>
      </c>
      <c r="J1418" s="3" t="n">
        <v>-0.9100000262260437</v>
      </c>
      <c r="K1418" s="3" t="n">
        <v>-0.9100000262260437</v>
      </c>
      <c r="L1418" s="3" t="n">
        <v>-0.7910000085830688</v>
      </c>
      <c r="M1418" s="3" t="n">
        <v>-0.7910000085830688</v>
      </c>
      <c r="N1418" s="3" t="n">
        <v>-0.7910000085830688</v>
      </c>
      <c r="O1418" s="3" t="n">
        <v>-0.7910000085830688</v>
      </c>
      <c r="P1418" s="3" t="n">
        <v>-0.7910000085830688</v>
      </c>
      <c r="Q1418" s="3" t="n">
        <v>-0.7910000085830688</v>
      </c>
      <c r="R1418" s="3" t="n">
        <v>-0.7749999761581421</v>
      </c>
      <c r="S1418" s="3" t="n">
        <v>-1.585999965667725</v>
      </c>
      <c r="T1418" s="3" t="n">
        <v>-0.7099999785423279</v>
      </c>
      <c r="U1418" s="3" t="n">
        <v>-0.9100000262260437</v>
      </c>
      <c r="V1418" s="3" t="n">
        <v>-0.6850000023841858</v>
      </c>
      <c r="W1418" s="3" t="n">
        <v>-0.5960000157356262</v>
      </c>
      <c r="X1418" s="3" t="n">
        <v>-1.554000020027161</v>
      </c>
      <c r="Y1418" s="3" t="n">
        <v>-0.7910000085830688</v>
      </c>
      <c r="Z1418" s="3" t="n">
        <v>-1.585999965667725</v>
      </c>
      <c r="AA1418" s="3" t="n">
        <v>-1.585999965667725</v>
      </c>
      <c r="AB1418" s="3" t="n">
        <v>-1.554000020027161</v>
      </c>
      <c r="AC1418" s="3" t="n">
        <v>-6.318999767303467</v>
      </c>
      <c r="AD1418" s="3" t="n">
        <v>-0.9100000262260437</v>
      </c>
      <c r="AE1418" s="3" t="n">
        <v>-0.9100000262260437</v>
      </c>
    </row>
    <row r="1419">
      <c r="A1419" s="3" t="inlineStr">
        <is>
          <t>MLI.distn.dec.ove.mean.8</t>
        </is>
      </c>
      <c r="B1419" s="3" t="inlineStr">
        <is>
          <t>MLI</t>
        </is>
      </c>
      <c r="C1419" s="3" t="n">
        <v>2005</v>
      </c>
      <c r="D1419" s="3" t="inlineStr">
        <is>
          <t>Overall</t>
        </is>
      </c>
      <c r="E1419" s="3" t="inlineStr">
        <is>
          <t>Deciles</t>
        </is>
      </c>
      <c r="F1419" s="3" t="inlineStr">
        <is>
          <t>mean</t>
        </is>
      </c>
      <c r="G1419" s="3" t="n">
        <v>8</v>
      </c>
      <c r="H1419" s="3" t="n">
        <v>-0.7913810610771179</v>
      </c>
      <c r="I1419" s="3" t="n">
        <v>-0.7913810610771179</v>
      </c>
      <c r="J1419" s="3" t="n">
        <v>-0.9124547839164734</v>
      </c>
      <c r="K1419" s="3" t="n">
        <v>-0.9124547839164734</v>
      </c>
      <c r="L1419" s="3" t="n">
        <v>-0.7913810610771179</v>
      </c>
      <c r="M1419" s="3" t="n">
        <v>-0.7913810610771179</v>
      </c>
      <c r="N1419" s="3" t="n">
        <v>-0.7913810610771179</v>
      </c>
      <c r="O1419" s="3" t="n">
        <v>-0.7913810610771179</v>
      </c>
      <c r="P1419" s="3" t="n">
        <v>-0.7913810610771179</v>
      </c>
      <c r="Q1419" s="3" t="n">
        <v>-0.7913810610771179</v>
      </c>
      <c r="R1419" s="3" t="n">
        <v>-0.7752549052238464</v>
      </c>
      <c r="S1419" s="3" t="n">
        <v>-1.600757956504822</v>
      </c>
      <c r="T1419" s="3" t="n">
        <v>-0.7100409269332886</v>
      </c>
      <c r="U1419" s="3" t="n">
        <v>-0.9124547839164734</v>
      </c>
      <c r="V1419" s="3" t="n">
        <v>-0.6857081055641174</v>
      </c>
      <c r="W1419" s="3" t="n">
        <v>-0.6119601726531982</v>
      </c>
      <c r="X1419" s="3" t="n">
        <v>-1.568160057067871</v>
      </c>
      <c r="Y1419" s="3" t="n">
        <v>-0.7913810610771179</v>
      </c>
      <c r="Z1419" s="3" t="n">
        <v>-1.600757956504822</v>
      </c>
      <c r="AA1419" s="3" t="n">
        <v>-1.600757956504822</v>
      </c>
      <c r="AB1419" s="3" t="n">
        <v>-1.568160057067871</v>
      </c>
      <c r="AC1419" s="3" t="n">
        <v>-6.409117221832275</v>
      </c>
      <c r="AD1419" s="3" t="n">
        <v>-0.9124547839164734</v>
      </c>
      <c r="AE1419" s="3" t="n">
        <v>-0.9124547839164734</v>
      </c>
    </row>
    <row r="1420">
      <c r="A1420" s="3" t="inlineStr">
        <is>
          <t>MLI.distn.dec.ove.mean.9</t>
        </is>
      </c>
      <c r="B1420" s="3" t="inlineStr">
        <is>
          <t>MLI</t>
        </is>
      </c>
      <c r="C1420" s="3" t="n">
        <v>2005</v>
      </c>
      <c r="D1420" s="3" t="inlineStr">
        <is>
          <t>Overall</t>
        </is>
      </c>
      <c r="E1420" s="3" t="inlineStr">
        <is>
          <t>Deciles</t>
        </is>
      </c>
      <c r="F1420" s="3" t="inlineStr">
        <is>
          <t>mean</t>
        </is>
      </c>
      <c r="G1420" s="3" t="n">
        <v>9</v>
      </c>
      <c r="H1420" s="3" t="n">
        <v>-0.7913810610771179</v>
      </c>
      <c r="I1420" s="3" t="n">
        <v>-0.7913810610771179</v>
      </c>
      <c r="J1420" s="3" t="n">
        <v>-0.9124547839164734</v>
      </c>
      <c r="K1420" s="3" t="n">
        <v>-0.9124547839164734</v>
      </c>
      <c r="L1420" s="3" t="n">
        <v>-0.7913810610771179</v>
      </c>
      <c r="M1420" s="3" t="n">
        <v>-0.7913810610771179</v>
      </c>
      <c r="N1420" s="3" t="n">
        <v>-0.7913810610771179</v>
      </c>
      <c r="O1420" s="3" t="n">
        <v>-0.7913810610771179</v>
      </c>
      <c r="P1420" s="3" t="n">
        <v>-0.7913810610771179</v>
      </c>
      <c r="Q1420" s="3" t="n">
        <v>-0.7913810610771179</v>
      </c>
      <c r="R1420" s="3" t="n">
        <v>-0.7752549052238464</v>
      </c>
      <c r="S1420" s="3" t="n">
        <v>-1.600757956504822</v>
      </c>
      <c r="T1420" s="3" t="n">
        <v>-0.7100409269332886</v>
      </c>
      <c r="U1420" s="3" t="n">
        <v>-0.9124547839164734</v>
      </c>
      <c r="V1420" s="3" t="n">
        <v>-0.6857081055641174</v>
      </c>
      <c r="W1420" s="3" t="n">
        <v>-0.6119601726531982</v>
      </c>
      <c r="X1420" s="3" t="n">
        <v>-1.568160057067871</v>
      </c>
      <c r="Y1420" s="3" t="n">
        <v>-0.7913810610771179</v>
      </c>
      <c r="Z1420" s="3" t="n">
        <v>-1.600757956504822</v>
      </c>
      <c r="AA1420" s="3" t="n">
        <v>-1.600757956504822</v>
      </c>
      <c r="AB1420" s="3" t="n">
        <v>-1.568160057067871</v>
      </c>
      <c r="AC1420" s="3" t="n">
        <v>-6.409117221832275</v>
      </c>
      <c r="AD1420" s="3" t="n">
        <v>-0.9124547839164734</v>
      </c>
      <c r="AE1420" s="3" t="n">
        <v>-0.9124547839164734</v>
      </c>
    </row>
    <row r="1421">
      <c r="A1421" s="3" t="inlineStr">
        <is>
          <t>MLI.distn.dec.ove.mean.10</t>
        </is>
      </c>
      <c r="B1421" s="3" t="inlineStr">
        <is>
          <t>MLI</t>
        </is>
      </c>
      <c r="C1421" s="3" t="n">
        <v>2005</v>
      </c>
      <c r="D1421" s="3" t="inlineStr">
        <is>
          <t>Overall</t>
        </is>
      </c>
      <c r="E1421" s="3" t="inlineStr">
        <is>
          <t>Deciles</t>
        </is>
      </c>
      <c r="F1421" s="3" t="inlineStr">
        <is>
          <t>mean</t>
        </is>
      </c>
      <c r="G1421" s="3" t="n">
        <v>10</v>
      </c>
      <c r="H1421" s="3" t="n">
        <v>-0.7913810610771179</v>
      </c>
      <c r="I1421" s="3" t="n">
        <v>-0.7913810610771179</v>
      </c>
      <c r="J1421" s="3" t="n">
        <v>-0.9124547839164734</v>
      </c>
      <c r="K1421" s="3" t="n">
        <v>-0.9124547839164734</v>
      </c>
      <c r="L1421" s="3" t="n">
        <v>-0.7913810610771179</v>
      </c>
      <c r="M1421" s="3" t="n">
        <v>-0.7913810610771179</v>
      </c>
      <c r="N1421" s="3" t="n">
        <v>-0.7913810610771179</v>
      </c>
      <c r="O1421" s="3" t="n">
        <v>-0.7913810610771179</v>
      </c>
      <c r="P1421" s="3" t="n">
        <v>-0.7913810610771179</v>
      </c>
      <c r="Q1421" s="3" t="n">
        <v>-0.7913810610771179</v>
      </c>
      <c r="R1421" s="3" t="n">
        <v>-0.7752549052238464</v>
      </c>
      <c r="S1421" s="3" t="n">
        <v>-1.600757956504822</v>
      </c>
      <c r="T1421" s="3" t="n">
        <v>-0.7100409269332886</v>
      </c>
      <c r="U1421" s="3" t="n">
        <v>-0.9124547839164734</v>
      </c>
      <c r="V1421" s="3" t="n">
        <v>-0.6857081055641174</v>
      </c>
      <c r="W1421" s="3" t="n">
        <v>-0.6119601726531982</v>
      </c>
      <c r="X1421" s="3" t="n">
        <v>-1.568160057067871</v>
      </c>
      <c r="Y1421" s="3" t="n">
        <v>-0.7913810610771179</v>
      </c>
      <c r="Z1421" s="3" t="n">
        <v>-1.600757956504822</v>
      </c>
      <c r="AA1421" s="3" t="n">
        <v>-1.600757956504822</v>
      </c>
      <c r="AB1421" s="3" t="n">
        <v>-1.568160057067871</v>
      </c>
      <c r="AC1421" s="3" t="n">
        <v>-6.409117221832275</v>
      </c>
      <c r="AD1421" s="3" t="n">
        <v>-0.9124547839164734</v>
      </c>
      <c r="AE1421" s="3" t="n">
        <v>-0.9124547839164734</v>
      </c>
    </row>
    <row r="1422">
      <c r="A1422" s="3" t="inlineStr">
        <is>
          <t>MLI.distn.bkt.ove.mean.9999</t>
        </is>
      </c>
      <c r="B1422" s="3" t="inlineStr">
        <is>
          <t>MLI</t>
        </is>
      </c>
      <c r="C1422" s="3" t="n">
        <v>2005</v>
      </c>
      <c r="D1422" s="3" t="inlineStr">
        <is>
          <t>Overall</t>
        </is>
      </c>
      <c r="E1422" s="3" t="inlineStr">
        <is>
          <t>Basket</t>
        </is>
      </c>
      <c r="F1422" s="3" t="inlineStr">
        <is>
          <t>mean</t>
        </is>
      </c>
      <c r="G1422" s="3" t="n">
        <v>9999</v>
      </c>
      <c r="H1422" s="3" t="n">
        <v>-0.7930081486701965</v>
      </c>
      <c r="I1422" s="3" t="n">
        <v>-0.7930081486701965</v>
      </c>
      <c r="J1422" s="3" t="n">
        <v>-0.9245978593826294</v>
      </c>
      <c r="K1422" s="3" t="n">
        <v>-0.9245978593826294</v>
      </c>
      <c r="L1422" s="3" t="n">
        <v>-0.7930081486701965</v>
      </c>
      <c r="M1422" s="3" t="n">
        <v>-0.7930081486701965</v>
      </c>
      <c r="N1422" s="3" t="n">
        <v>-0.7930081486701965</v>
      </c>
      <c r="O1422" s="3" t="n">
        <v>-0.7930081486701965</v>
      </c>
      <c r="P1422" s="3" t="n">
        <v>-0.7930081486701965</v>
      </c>
      <c r="Q1422" s="3" t="n">
        <v>-0.7930081486701965</v>
      </c>
      <c r="R1422" s="3" t="n">
        <v>-0.7761244773864746</v>
      </c>
      <c r="S1422" s="3" t="n">
        <v>-1.813191890716553</v>
      </c>
      <c r="T1422" s="3" t="n">
        <v>-0.7104492783546448</v>
      </c>
      <c r="U1422" s="3" t="n">
        <v>-0.9245978593826294</v>
      </c>
      <c r="V1422" s="3" t="n">
        <v>-0.6873235702514648</v>
      </c>
      <c r="W1422" s="3" t="n">
        <v>-0.6344389915466309</v>
      </c>
      <c r="X1422" s="3" t="n">
        <v>-1.752635836601257</v>
      </c>
      <c r="Y1422" s="3" t="n">
        <v>-0.7930081486701965</v>
      </c>
      <c r="Z1422" s="3" t="n">
        <v>-1.813191890716553</v>
      </c>
      <c r="AA1422" s="3" t="n">
        <v>-1.813191890716553</v>
      </c>
      <c r="AB1422" s="3" t="n">
        <v>-1.752635836601257</v>
      </c>
      <c r="AC1422" s="3" t="n">
        <v>-8.375808715820312</v>
      </c>
      <c r="AD1422" s="3" t="n">
        <v>-0.9245978593826294</v>
      </c>
      <c r="AE1422" s="3" t="n">
        <v>-0.9245978593826294</v>
      </c>
    </row>
    <row r="1423">
      <c r="A1423" s="3" t="inlineStr">
        <is>
          <t>MLT.distn.dec.ove.mean.1</t>
        </is>
      </c>
      <c r="B1423" s="3" t="inlineStr">
        <is>
          <t>MLT</t>
        </is>
      </c>
      <c r="C1423" s="3" t="n">
        <v>2005</v>
      </c>
      <c r="D1423" s="3" t="inlineStr">
        <is>
          <t>Overall</t>
        </is>
      </c>
      <c r="E1423" s="3" t="inlineStr">
        <is>
          <t>Deciles</t>
        </is>
      </c>
      <c r="F1423" s="3" t="inlineStr">
        <is>
          <t>mean</t>
        </is>
      </c>
      <c r="G1423" s="3" t="n">
        <v>1</v>
      </c>
      <c r="H1423" s="3" t="n">
        <v>-0.7892489433288574</v>
      </c>
      <c r="I1423" s="3" t="n">
        <v>-0.7892489433288574</v>
      </c>
      <c r="J1423" s="3" t="n">
        <v>-0.8973613977432251</v>
      </c>
      <c r="K1423" s="3" t="n">
        <v>-0.8973613977432251</v>
      </c>
      <c r="L1423" s="3" t="n">
        <v>-0.7892489433288574</v>
      </c>
      <c r="M1423" s="3" t="n">
        <v>-0.7892489433288574</v>
      </c>
      <c r="N1423" s="3" t="n">
        <v>-0.7892489433288574</v>
      </c>
      <c r="O1423" s="3" t="n">
        <v>-0.7892489433288574</v>
      </c>
      <c r="P1423" s="3" t="n">
        <v>-0.7892489433288574</v>
      </c>
      <c r="Q1423" s="3" t="n">
        <v>-0.7892489433288574</v>
      </c>
      <c r="R1423" s="3" t="n">
        <v>-0.7744752764701843</v>
      </c>
      <c r="S1423" s="3" t="n">
        <v>-1.459380149841309</v>
      </c>
      <c r="T1423" s="3" t="n">
        <v>-0.7104546427726746</v>
      </c>
      <c r="U1423" s="3" t="n">
        <v>-0.8973613977432251</v>
      </c>
      <c r="V1423" s="3" t="n">
        <v>-0.6839550137519836</v>
      </c>
      <c r="W1423" s="3" t="n">
        <v>-0.6131134033203125</v>
      </c>
      <c r="X1423" s="3" t="n">
        <v>-1.402792692184448</v>
      </c>
      <c r="Y1423" s="3" t="n">
        <v>-0.7892489433288574</v>
      </c>
      <c r="Z1423" s="3" t="n">
        <v>-1.459380149841309</v>
      </c>
      <c r="AA1423" s="3" t="n">
        <v>-1.459380149841309</v>
      </c>
      <c r="AB1423" s="3" t="n">
        <v>-1.402792692184448</v>
      </c>
      <c r="AC1423" s="3" t="n">
        <v>-2.24466609954834</v>
      </c>
      <c r="AD1423" s="3" t="n">
        <v>-0.8973613977432251</v>
      </c>
      <c r="AE1423" s="3" t="n">
        <v>-0.8973613977432251</v>
      </c>
    </row>
    <row r="1424">
      <c r="A1424" s="3" t="inlineStr">
        <is>
          <t>MLT.distn.dec.ove.mean.2</t>
        </is>
      </c>
      <c r="B1424" s="3" t="inlineStr">
        <is>
          <t>MLT</t>
        </is>
      </c>
      <c r="C1424" s="3" t="n">
        <v>2005</v>
      </c>
      <c r="D1424" s="3" t="inlineStr">
        <is>
          <t>Overall</t>
        </is>
      </c>
      <c r="E1424" s="3" t="inlineStr">
        <is>
          <t>Deciles</t>
        </is>
      </c>
      <c r="F1424" s="3" t="inlineStr">
        <is>
          <t>mean</t>
        </is>
      </c>
      <c r="G1424" s="3" t="n">
        <v>2</v>
      </c>
      <c r="H1424" s="3" t="n">
        <v>-0.7892489433288574</v>
      </c>
      <c r="I1424" s="3" t="n">
        <v>-0.7892489433288574</v>
      </c>
      <c r="J1424" s="3" t="n">
        <v>-0.8973613977432251</v>
      </c>
      <c r="K1424" s="3" t="n">
        <v>-0.8973613977432251</v>
      </c>
      <c r="L1424" s="3" t="n">
        <v>-0.7892489433288574</v>
      </c>
      <c r="M1424" s="3" t="n">
        <v>-0.7892489433288574</v>
      </c>
      <c r="N1424" s="3" t="n">
        <v>-0.7892489433288574</v>
      </c>
      <c r="O1424" s="3" t="n">
        <v>-0.7892489433288574</v>
      </c>
      <c r="P1424" s="3" t="n">
        <v>-0.7892489433288574</v>
      </c>
      <c r="Q1424" s="3" t="n">
        <v>-0.7892489433288574</v>
      </c>
      <c r="R1424" s="3" t="n">
        <v>-0.7744752764701843</v>
      </c>
      <c r="S1424" s="3" t="n">
        <v>-1.459380149841309</v>
      </c>
      <c r="T1424" s="3" t="n">
        <v>-0.7104546427726746</v>
      </c>
      <c r="U1424" s="3" t="n">
        <v>-0.8973613977432251</v>
      </c>
      <c r="V1424" s="3" t="n">
        <v>-0.6839550137519836</v>
      </c>
      <c r="W1424" s="3" t="n">
        <v>-0.6131134033203125</v>
      </c>
      <c r="X1424" s="3" t="n">
        <v>-1.402792692184448</v>
      </c>
      <c r="Y1424" s="3" t="n">
        <v>-0.7892489433288574</v>
      </c>
      <c r="Z1424" s="3" t="n">
        <v>-1.459380149841309</v>
      </c>
      <c r="AA1424" s="3" t="n">
        <v>-1.459380149841309</v>
      </c>
      <c r="AB1424" s="3" t="n">
        <v>-1.402792692184448</v>
      </c>
      <c r="AC1424" s="3" t="n">
        <v>-2.24466609954834</v>
      </c>
      <c r="AD1424" s="3" t="n">
        <v>-0.8973613977432251</v>
      </c>
      <c r="AE1424" s="3" t="n">
        <v>-0.8973613977432251</v>
      </c>
    </row>
    <row r="1425">
      <c r="A1425" s="3" t="inlineStr">
        <is>
          <t>MLT.distn.dec.ove.mean.3</t>
        </is>
      </c>
      <c r="B1425" s="3" t="inlineStr">
        <is>
          <t>MLT</t>
        </is>
      </c>
      <c r="C1425" s="3" t="n">
        <v>2005</v>
      </c>
      <c r="D1425" s="3" t="inlineStr">
        <is>
          <t>Overall</t>
        </is>
      </c>
      <c r="E1425" s="3" t="inlineStr">
        <is>
          <t>Deciles</t>
        </is>
      </c>
      <c r="F1425" s="3" t="inlineStr">
        <is>
          <t>mean</t>
        </is>
      </c>
      <c r="G1425" s="3" t="n">
        <v>3</v>
      </c>
      <c r="H1425" s="3" t="n">
        <v>-0.7892489433288574</v>
      </c>
      <c r="I1425" s="3" t="n">
        <v>-0.7892489433288574</v>
      </c>
      <c r="J1425" s="3" t="n">
        <v>-0.8973613977432251</v>
      </c>
      <c r="K1425" s="3" t="n">
        <v>-0.8973613977432251</v>
      </c>
      <c r="L1425" s="3" t="n">
        <v>-0.7892489433288574</v>
      </c>
      <c r="M1425" s="3" t="n">
        <v>-0.7892489433288574</v>
      </c>
      <c r="N1425" s="3" t="n">
        <v>-0.7892489433288574</v>
      </c>
      <c r="O1425" s="3" t="n">
        <v>-0.7892489433288574</v>
      </c>
      <c r="P1425" s="3" t="n">
        <v>-0.7892489433288574</v>
      </c>
      <c r="Q1425" s="3" t="n">
        <v>-0.7892489433288574</v>
      </c>
      <c r="R1425" s="3" t="n">
        <v>-0.7744752764701843</v>
      </c>
      <c r="S1425" s="3" t="n">
        <v>-1.459380149841309</v>
      </c>
      <c r="T1425" s="3" t="n">
        <v>-0.7104546427726746</v>
      </c>
      <c r="U1425" s="3" t="n">
        <v>-0.8973613977432251</v>
      </c>
      <c r="V1425" s="3" t="n">
        <v>-0.6839550137519836</v>
      </c>
      <c r="W1425" s="3" t="n">
        <v>-0.6131134033203125</v>
      </c>
      <c r="X1425" s="3" t="n">
        <v>-1.402792692184448</v>
      </c>
      <c r="Y1425" s="3" t="n">
        <v>-0.7892489433288574</v>
      </c>
      <c r="Z1425" s="3" t="n">
        <v>-1.459380149841309</v>
      </c>
      <c r="AA1425" s="3" t="n">
        <v>-1.459380149841309</v>
      </c>
      <c r="AB1425" s="3" t="n">
        <v>-1.402792692184448</v>
      </c>
      <c r="AC1425" s="3" t="n">
        <v>-2.24466609954834</v>
      </c>
      <c r="AD1425" s="3" t="n">
        <v>-0.8973613977432251</v>
      </c>
      <c r="AE1425" s="3" t="n">
        <v>-0.8973613977432251</v>
      </c>
    </row>
    <row r="1426">
      <c r="A1426" s="3" t="inlineStr">
        <is>
          <t>MLT.distn.dec.ove.mean.4</t>
        </is>
      </c>
      <c r="B1426" s="3" t="inlineStr">
        <is>
          <t>MLT</t>
        </is>
      </c>
      <c r="C1426" s="3" t="n">
        <v>2005</v>
      </c>
      <c r="D1426" s="3" t="inlineStr">
        <is>
          <t>Overall</t>
        </is>
      </c>
      <c r="E1426" s="3" t="inlineStr">
        <is>
          <t>Deciles</t>
        </is>
      </c>
      <c r="F1426" s="3" t="inlineStr">
        <is>
          <t>mean</t>
        </is>
      </c>
      <c r="G1426" s="3" t="n">
        <v>4</v>
      </c>
      <c r="H1426" s="3" t="n">
        <v>-0.7829999923706055</v>
      </c>
      <c r="I1426" s="3" t="n">
        <v>-0.7829999923706055</v>
      </c>
      <c r="J1426" s="3" t="n">
        <v>-0.8539999723434448</v>
      </c>
      <c r="K1426" s="3" t="n">
        <v>-0.8539999723434448</v>
      </c>
      <c r="L1426" s="3" t="n">
        <v>-0.7829999923706055</v>
      </c>
      <c r="M1426" s="3" t="n">
        <v>-0.7829999923706055</v>
      </c>
      <c r="N1426" s="3" t="n">
        <v>-0.7829999923706055</v>
      </c>
      <c r="O1426" s="3" t="n">
        <v>-0.7829999923706055</v>
      </c>
      <c r="P1426" s="3" t="n">
        <v>-0.7829999923706055</v>
      </c>
      <c r="Q1426" s="3" t="n">
        <v>-0.7829999923706055</v>
      </c>
      <c r="R1426" s="3" t="n">
        <v>-0.7710000276565552</v>
      </c>
      <c r="S1426" s="3" t="n">
        <v>-0.9940000176429749</v>
      </c>
      <c r="T1426" s="3" t="n">
        <v>-0.7089999914169312</v>
      </c>
      <c r="U1426" s="3" t="n">
        <v>-0.8539999723434448</v>
      </c>
      <c r="V1426" s="3" t="n">
        <v>-0.6769999861717224</v>
      </c>
      <c r="W1426" s="3" t="n">
        <v>-0.515999972820282</v>
      </c>
      <c r="X1426" s="3" t="n">
        <v>-0.9900000095367432</v>
      </c>
      <c r="Y1426" s="3" t="n">
        <v>-0.7829999923706055</v>
      </c>
      <c r="Z1426" s="3" t="n">
        <v>-0.9940000176429749</v>
      </c>
      <c r="AA1426" s="3" t="n">
        <v>-0.9940000176429749</v>
      </c>
      <c r="AB1426" s="3" t="n">
        <v>-0.9900000095367432</v>
      </c>
      <c r="AC1426" s="3" t="n">
        <v>-1.083999991416931</v>
      </c>
      <c r="AD1426" s="3" t="n">
        <v>-0.8539999723434448</v>
      </c>
      <c r="AE1426" s="3" t="n">
        <v>-0.8539999723434448</v>
      </c>
    </row>
    <row r="1427">
      <c r="A1427" s="3" t="inlineStr">
        <is>
          <t>MLT.distn.dec.ove.mean.5</t>
        </is>
      </c>
      <c r="B1427" s="3" t="inlineStr">
        <is>
          <t>MLT</t>
        </is>
      </c>
      <c r="C1427" s="3" t="n">
        <v>2005</v>
      </c>
      <c r="D1427" s="3" t="inlineStr">
        <is>
          <t>Overall</t>
        </is>
      </c>
      <c r="E1427" s="3" t="inlineStr">
        <is>
          <t>Deciles</t>
        </is>
      </c>
      <c r="F1427" s="3" t="inlineStr">
        <is>
          <t>mean</t>
        </is>
      </c>
      <c r="G1427" s="3" t="n">
        <v>5</v>
      </c>
      <c r="H1427" s="3" t="n">
        <v>-0.7829999923706055</v>
      </c>
      <c r="I1427" s="3" t="n">
        <v>-0.7829999923706055</v>
      </c>
      <c r="J1427" s="3" t="n">
        <v>-0.8539999723434448</v>
      </c>
      <c r="K1427" s="3" t="n">
        <v>-0.8539999723434448</v>
      </c>
      <c r="L1427" s="3" t="n">
        <v>-0.7829999923706055</v>
      </c>
      <c r="M1427" s="3" t="n">
        <v>-0.7829999923706055</v>
      </c>
      <c r="N1427" s="3" t="n">
        <v>-0.7829999923706055</v>
      </c>
      <c r="O1427" s="3" t="n">
        <v>-0.7829999923706055</v>
      </c>
      <c r="P1427" s="3" t="n">
        <v>-0.7829999923706055</v>
      </c>
      <c r="Q1427" s="3" t="n">
        <v>-0.7829999923706055</v>
      </c>
      <c r="R1427" s="3" t="n">
        <v>-0.7710000276565552</v>
      </c>
      <c r="S1427" s="3" t="n">
        <v>-0.9940000176429749</v>
      </c>
      <c r="T1427" s="3" t="n">
        <v>-0.7089999914169312</v>
      </c>
      <c r="U1427" s="3" t="n">
        <v>-0.8539999723434448</v>
      </c>
      <c r="V1427" s="3" t="n">
        <v>-0.6769999861717224</v>
      </c>
      <c r="W1427" s="3" t="n">
        <v>-0.515999972820282</v>
      </c>
      <c r="X1427" s="3" t="n">
        <v>-0.9900000095367432</v>
      </c>
      <c r="Y1427" s="3" t="n">
        <v>-0.7829999923706055</v>
      </c>
      <c r="Z1427" s="3" t="n">
        <v>-0.9940000176429749</v>
      </c>
      <c r="AA1427" s="3" t="n">
        <v>-0.9940000176429749</v>
      </c>
      <c r="AB1427" s="3" t="n">
        <v>-0.9900000095367432</v>
      </c>
      <c r="AC1427" s="3" t="n">
        <v>-1.083999991416931</v>
      </c>
      <c r="AD1427" s="3" t="n">
        <v>-0.8539999723434448</v>
      </c>
      <c r="AE1427" s="3" t="n">
        <v>-0.8539999723434448</v>
      </c>
    </row>
    <row r="1428">
      <c r="A1428" s="3" t="inlineStr">
        <is>
          <t>MLT.distn.dec.ove.mean.6</t>
        </is>
      </c>
      <c r="B1428" s="3" t="inlineStr">
        <is>
          <t>MLT</t>
        </is>
      </c>
      <c r="C1428" s="3" t="n">
        <v>2005</v>
      </c>
      <c r="D1428" s="3" t="inlineStr">
        <is>
          <t>Overall</t>
        </is>
      </c>
      <c r="E1428" s="3" t="inlineStr">
        <is>
          <t>Deciles</t>
        </is>
      </c>
      <c r="F1428" s="3" t="inlineStr">
        <is>
          <t>mean</t>
        </is>
      </c>
      <c r="G1428" s="3" t="n">
        <v>6</v>
      </c>
      <c r="H1428" s="3" t="n">
        <v>-0.7829999923706055</v>
      </c>
      <c r="I1428" s="3" t="n">
        <v>-0.7829999923706055</v>
      </c>
      <c r="J1428" s="3" t="n">
        <v>-0.8539999723434448</v>
      </c>
      <c r="K1428" s="3" t="n">
        <v>-0.8539999723434448</v>
      </c>
      <c r="L1428" s="3" t="n">
        <v>-0.7829999923706055</v>
      </c>
      <c r="M1428" s="3" t="n">
        <v>-0.7829999923706055</v>
      </c>
      <c r="N1428" s="3" t="n">
        <v>-0.7829999923706055</v>
      </c>
      <c r="O1428" s="3" t="n">
        <v>-0.7829999923706055</v>
      </c>
      <c r="P1428" s="3" t="n">
        <v>-0.7829999923706055</v>
      </c>
      <c r="Q1428" s="3" t="n">
        <v>-0.7829999923706055</v>
      </c>
      <c r="R1428" s="3" t="n">
        <v>-0.7710000276565552</v>
      </c>
      <c r="S1428" s="3" t="n">
        <v>-0.9940000176429749</v>
      </c>
      <c r="T1428" s="3" t="n">
        <v>-0.7089999914169312</v>
      </c>
      <c r="U1428" s="3" t="n">
        <v>-0.8539999723434448</v>
      </c>
      <c r="V1428" s="3" t="n">
        <v>-0.6769999861717224</v>
      </c>
      <c r="W1428" s="3" t="n">
        <v>-0.515999972820282</v>
      </c>
      <c r="X1428" s="3" t="n">
        <v>-0.9900000095367432</v>
      </c>
      <c r="Y1428" s="3" t="n">
        <v>-0.7829999923706055</v>
      </c>
      <c r="Z1428" s="3" t="n">
        <v>-0.9940000176429749</v>
      </c>
      <c r="AA1428" s="3" t="n">
        <v>-0.9940000176429749</v>
      </c>
      <c r="AB1428" s="3" t="n">
        <v>-0.9900000095367432</v>
      </c>
      <c r="AC1428" s="3" t="n">
        <v>-1.083999991416931</v>
      </c>
      <c r="AD1428" s="3" t="n">
        <v>-0.8539999723434448</v>
      </c>
      <c r="AE1428" s="3" t="n">
        <v>-0.8539999723434448</v>
      </c>
    </row>
    <row r="1429">
      <c r="A1429" s="3" t="inlineStr">
        <is>
          <t>MLT.distn.dec.ove.mean.7</t>
        </is>
      </c>
      <c r="B1429" s="3" t="inlineStr">
        <is>
          <t>MLT</t>
        </is>
      </c>
      <c r="C1429" s="3" t="n">
        <v>2005</v>
      </c>
      <c r="D1429" s="3" t="inlineStr">
        <is>
          <t>Overall</t>
        </is>
      </c>
      <c r="E1429" s="3" t="inlineStr">
        <is>
          <t>Deciles</t>
        </is>
      </c>
      <c r="F1429" s="3" t="inlineStr">
        <is>
          <t>mean</t>
        </is>
      </c>
      <c r="G1429" s="3" t="n">
        <v>7</v>
      </c>
      <c r="H1429" s="3" t="n">
        <v>-0.7829999923706055</v>
      </c>
      <c r="I1429" s="3" t="n">
        <v>-0.7829999923706055</v>
      </c>
      <c r="J1429" s="3" t="n">
        <v>-0.8539999723434448</v>
      </c>
      <c r="K1429" s="3" t="n">
        <v>-0.8539999723434448</v>
      </c>
      <c r="L1429" s="3" t="n">
        <v>-0.7829999923706055</v>
      </c>
      <c r="M1429" s="3" t="n">
        <v>-0.7829999923706055</v>
      </c>
      <c r="N1429" s="3" t="n">
        <v>-0.7829999923706055</v>
      </c>
      <c r="O1429" s="3" t="n">
        <v>-0.7829999923706055</v>
      </c>
      <c r="P1429" s="3" t="n">
        <v>-0.7829999923706055</v>
      </c>
      <c r="Q1429" s="3" t="n">
        <v>-0.7829999923706055</v>
      </c>
      <c r="R1429" s="3" t="n">
        <v>-0.7710000276565552</v>
      </c>
      <c r="S1429" s="3" t="n">
        <v>-0.9940000176429749</v>
      </c>
      <c r="T1429" s="3" t="n">
        <v>-0.7089999914169312</v>
      </c>
      <c r="U1429" s="3" t="n">
        <v>-0.8539999723434448</v>
      </c>
      <c r="V1429" s="3" t="n">
        <v>-0.6769999861717224</v>
      </c>
      <c r="W1429" s="3" t="n">
        <v>-0.515999972820282</v>
      </c>
      <c r="X1429" s="3" t="n">
        <v>-0.9900000095367432</v>
      </c>
      <c r="Y1429" s="3" t="n">
        <v>-0.7829999923706055</v>
      </c>
      <c r="Z1429" s="3" t="n">
        <v>-0.9940000176429749</v>
      </c>
      <c r="AA1429" s="3" t="n">
        <v>-0.9940000176429749</v>
      </c>
      <c r="AB1429" s="3" t="n">
        <v>-0.9900000095367432</v>
      </c>
      <c r="AC1429" s="3" t="n">
        <v>-1.083999991416931</v>
      </c>
      <c r="AD1429" s="3" t="n">
        <v>-0.8539999723434448</v>
      </c>
      <c r="AE1429" s="3" t="n">
        <v>-0.8539999723434448</v>
      </c>
    </row>
    <row r="1430">
      <c r="A1430" s="3" t="inlineStr">
        <is>
          <t>MLT.distn.dec.ove.mean.8</t>
        </is>
      </c>
      <c r="B1430" s="3" t="inlineStr">
        <is>
          <t>MLT</t>
        </is>
      </c>
      <c r="C1430" s="3" t="n">
        <v>2005</v>
      </c>
      <c r="D1430" s="3" t="inlineStr">
        <is>
          <t>Overall</t>
        </is>
      </c>
      <c r="E1430" s="3" t="inlineStr">
        <is>
          <t>Deciles</t>
        </is>
      </c>
      <c r="F1430" s="3" t="inlineStr">
        <is>
          <t>mean</t>
        </is>
      </c>
      <c r="G1430" s="3" t="n">
        <v>8</v>
      </c>
      <c r="H1430" s="3" t="n">
        <v>-0.7833772301673889</v>
      </c>
      <c r="I1430" s="3" t="n">
        <v>-0.7833772301673889</v>
      </c>
      <c r="J1430" s="3" t="n">
        <v>-0.8563037514686584</v>
      </c>
      <c r="K1430" s="3" t="n">
        <v>-0.8563037514686584</v>
      </c>
      <c r="L1430" s="3" t="n">
        <v>-0.7833772301673889</v>
      </c>
      <c r="M1430" s="3" t="n">
        <v>-0.7833772301673889</v>
      </c>
      <c r="N1430" s="3" t="n">
        <v>-0.7833772301673889</v>
      </c>
      <c r="O1430" s="3" t="n">
        <v>-0.7833772301673889</v>
      </c>
      <c r="P1430" s="3" t="n">
        <v>-0.7833772301673889</v>
      </c>
      <c r="Q1430" s="3" t="n">
        <v>-0.7833772301673889</v>
      </c>
      <c r="R1430" s="3" t="n">
        <v>-0.7712535858154297</v>
      </c>
      <c r="S1430" s="3" t="n">
        <v>-1.003249287605286</v>
      </c>
      <c r="T1430" s="3" t="n">
        <v>-0.7090408802032471</v>
      </c>
      <c r="U1430" s="3" t="n">
        <v>-0.8563037514686584</v>
      </c>
      <c r="V1430" s="3" t="n">
        <v>-0.677699863910675</v>
      </c>
      <c r="W1430" s="3" t="n">
        <v>-0.5298178791999817</v>
      </c>
      <c r="X1430" s="3" t="n">
        <v>-0.9990208745002747</v>
      </c>
      <c r="Y1430" s="3" t="n">
        <v>-0.7833772301673889</v>
      </c>
      <c r="Z1430" s="3" t="n">
        <v>-1.003249287605286</v>
      </c>
      <c r="AA1430" s="3" t="n">
        <v>-1.003249287605286</v>
      </c>
      <c r="AB1430" s="3" t="n">
        <v>-0.9990208745002747</v>
      </c>
      <c r="AC1430" s="3" t="n">
        <v>-1.099459290504456</v>
      </c>
      <c r="AD1430" s="3" t="n">
        <v>-0.8563037514686584</v>
      </c>
      <c r="AE1430" s="3" t="n">
        <v>-0.8563037514686584</v>
      </c>
    </row>
    <row r="1431">
      <c r="A1431" s="3" t="inlineStr">
        <is>
          <t>MLT.distn.dec.ove.mean.9</t>
        </is>
      </c>
      <c r="B1431" s="3" t="inlineStr">
        <is>
          <t>MLT</t>
        </is>
      </c>
      <c r="C1431" s="3" t="n">
        <v>2005</v>
      </c>
      <c r="D1431" s="3" t="inlineStr">
        <is>
          <t>Overall</t>
        </is>
      </c>
      <c r="E1431" s="3" t="inlineStr">
        <is>
          <t>Deciles</t>
        </is>
      </c>
      <c r="F1431" s="3" t="inlineStr">
        <is>
          <t>mean</t>
        </is>
      </c>
      <c r="G1431" s="3" t="n">
        <v>9</v>
      </c>
      <c r="H1431" s="3" t="n">
        <v>-0.7833772301673889</v>
      </c>
      <c r="I1431" s="3" t="n">
        <v>-0.7833772301673889</v>
      </c>
      <c r="J1431" s="3" t="n">
        <v>-0.8563037514686584</v>
      </c>
      <c r="K1431" s="3" t="n">
        <v>-0.8563037514686584</v>
      </c>
      <c r="L1431" s="3" t="n">
        <v>-0.7833772301673889</v>
      </c>
      <c r="M1431" s="3" t="n">
        <v>-0.7833772301673889</v>
      </c>
      <c r="N1431" s="3" t="n">
        <v>-0.7833772301673889</v>
      </c>
      <c r="O1431" s="3" t="n">
        <v>-0.7833772301673889</v>
      </c>
      <c r="P1431" s="3" t="n">
        <v>-0.7833772301673889</v>
      </c>
      <c r="Q1431" s="3" t="n">
        <v>-0.7833772301673889</v>
      </c>
      <c r="R1431" s="3" t="n">
        <v>-0.7712535858154297</v>
      </c>
      <c r="S1431" s="3" t="n">
        <v>-1.003249287605286</v>
      </c>
      <c r="T1431" s="3" t="n">
        <v>-0.7090408802032471</v>
      </c>
      <c r="U1431" s="3" t="n">
        <v>-0.8563037514686584</v>
      </c>
      <c r="V1431" s="3" t="n">
        <v>-0.677699863910675</v>
      </c>
      <c r="W1431" s="3" t="n">
        <v>-0.5298178791999817</v>
      </c>
      <c r="X1431" s="3" t="n">
        <v>-0.9990208745002747</v>
      </c>
      <c r="Y1431" s="3" t="n">
        <v>-0.7833772301673889</v>
      </c>
      <c r="Z1431" s="3" t="n">
        <v>-1.003249287605286</v>
      </c>
      <c r="AA1431" s="3" t="n">
        <v>-1.003249287605286</v>
      </c>
      <c r="AB1431" s="3" t="n">
        <v>-0.9990208745002747</v>
      </c>
      <c r="AC1431" s="3" t="n">
        <v>-1.099459290504456</v>
      </c>
      <c r="AD1431" s="3" t="n">
        <v>-0.8563037514686584</v>
      </c>
      <c r="AE1431" s="3" t="n">
        <v>-0.8563037514686584</v>
      </c>
    </row>
    <row r="1432">
      <c r="A1432" s="3" t="inlineStr">
        <is>
          <t>MLT.distn.dec.ove.mean.10</t>
        </is>
      </c>
      <c r="B1432" s="3" t="inlineStr">
        <is>
          <t>MLT</t>
        </is>
      </c>
      <c r="C1432" s="3" t="n">
        <v>2005</v>
      </c>
      <c r="D1432" s="3" t="inlineStr">
        <is>
          <t>Overall</t>
        </is>
      </c>
      <c r="E1432" s="3" t="inlineStr">
        <is>
          <t>Deciles</t>
        </is>
      </c>
      <c r="F1432" s="3" t="inlineStr">
        <is>
          <t>mean</t>
        </is>
      </c>
      <c r="G1432" s="3" t="n">
        <v>10</v>
      </c>
      <c r="H1432" s="3" t="n">
        <v>-0.7833772301673889</v>
      </c>
      <c r="I1432" s="3" t="n">
        <v>-0.7833772301673889</v>
      </c>
      <c r="J1432" s="3" t="n">
        <v>-0.8563037514686584</v>
      </c>
      <c r="K1432" s="3" t="n">
        <v>-0.8563037514686584</v>
      </c>
      <c r="L1432" s="3" t="n">
        <v>-0.7833772301673889</v>
      </c>
      <c r="M1432" s="3" t="n">
        <v>-0.7833772301673889</v>
      </c>
      <c r="N1432" s="3" t="n">
        <v>-0.7833772301673889</v>
      </c>
      <c r="O1432" s="3" t="n">
        <v>-0.7833772301673889</v>
      </c>
      <c r="P1432" s="3" t="n">
        <v>-0.7833772301673889</v>
      </c>
      <c r="Q1432" s="3" t="n">
        <v>-0.7833772301673889</v>
      </c>
      <c r="R1432" s="3" t="n">
        <v>-0.7712535858154297</v>
      </c>
      <c r="S1432" s="3" t="n">
        <v>-1.003249287605286</v>
      </c>
      <c r="T1432" s="3" t="n">
        <v>-0.7090408802032471</v>
      </c>
      <c r="U1432" s="3" t="n">
        <v>-0.8563037514686584</v>
      </c>
      <c r="V1432" s="3" t="n">
        <v>-0.677699863910675</v>
      </c>
      <c r="W1432" s="3" t="n">
        <v>-0.5298178791999817</v>
      </c>
      <c r="X1432" s="3" t="n">
        <v>-0.9990208745002747</v>
      </c>
      <c r="Y1432" s="3" t="n">
        <v>-0.7833772301673889</v>
      </c>
      <c r="Z1432" s="3" t="n">
        <v>-1.003249287605286</v>
      </c>
      <c r="AA1432" s="3" t="n">
        <v>-1.003249287605286</v>
      </c>
      <c r="AB1432" s="3" t="n">
        <v>-0.9990208745002747</v>
      </c>
      <c r="AC1432" s="3" t="n">
        <v>-1.099459290504456</v>
      </c>
      <c r="AD1432" s="3" t="n">
        <v>-0.8563037514686584</v>
      </c>
      <c r="AE1432" s="3" t="n">
        <v>-0.8563037514686584</v>
      </c>
    </row>
    <row r="1433">
      <c r="A1433" s="3" t="inlineStr">
        <is>
          <t>MLT.distn.bkt.ove.mean.9999</t>
        </is>
      </c>
      <c r="B1433" s="3" t="inlineStr">
        <is>
          <t>MLT</t>
        </is>
      </c>
      <c r="C1433" s="3" t="n">
        <v>2005</v>
      </c>
      <c r="D1433" s="3" t="inlineStr">
        <is>
          <t>Overall</t>
        </is>
      </c>
      <c r="E1433" s="3" t="inlineStr">
        <is>
          <t>Basket</t>
        </is>
      </c>
      <c r="F1433" s="3" t="inlineStr">
        <is>
          <t>mean</t>
        </is>
      </c>
      <c r="G1433" s="3" t="n">
        <v>9999</v>
      </c>
      <c r="H1433" s="3" t="n">
        <v>-0.7849878668785095</v>
      </c>
      <c r="I1433" s="3" t="n">
        <v>-0.7849878668785095</v>
      </c>
      <c r="J1433" s="3" t="n">
        <v>-0.8676995038986206</v>
      </c>
      <c r="K1433" s="3" t="n">
        <v>-0.8676995038986206</v>
      </c>
      <c r="L1433" s="3" t="n">
        <v>-0.7849878668785095</v>
      </c>
      <c r="M1433" s="3" t="n">
        <v>-0.7849878668785095</v>
      </c>
      <c r="N1433" s="3" t="n">
        <v>-0.7849878668785095</v>
      </c>
      <c r="O1433" s="3" t="n">
        <v>-0.7849878668785095</v>
      </c>
      <c r="P1433" s="3" t="n">
        <v>-0.7849878668785095</v>
      </c>
      <c r="Q1433" s="3" t="n">
        <v>-0.7849878668785095</v>
      </c>
      <c r="R1433" s="3" t="n">
        <v>-0.7721186876296997</v>
      </c>
      <c r="S1433" s="3" t="n">
        <v>-1.136388778686523</v>
      </c>
      <c r="T1433" s="3" t="n">
        <v>-0.7094486355781555</v>
      </c>
      <c r="U1433" s="3" t="n">
        <v>-0.8676995038986206</v>
      </c>
      <c r="V1433" s="3" t="n">
        <v>-0.6792964339256287</v>
      </c>
      <c r="W1433" s="3" t="n">
        <v>-0.5492793917655945</v>
      </c>
      <c r="X1433" s="3" t="n">
        <v>-1.116544127464294</v>
      </c>
      <c r="Y1433" s="3" t="n">
        <v>-0.7849878668785095</v>
      </c>
      <c r="Z1433" s="3" t="n">
        <v>-1.136388778686523</v>
      </c>
      <c r="AA1433" s="3" t="n">
        <v>-1.136388778686523</v>
      </c>
      <c r="AB1433" s="3" t="n">
        <v>-1.116544127464294</v>
      </c>
      <c r="AC1433" s="3" t="n">
        <v>-1.436837673187256</v>
      </c>
      <c r="AD1433" s="3" t="n">
        <v>-0.8676995038986206</v>
      </c>
      <c r="AE1433" s="3" t="n">
        <v>-0.8676995038986206</v>
      </c>
    </row>
    <row r="1434">
      <c r="A1434" s="3" t="inlineStr">
        <is>
          <t>MMR.distn.dec.ove.mean.1</t>
        </is>
      </c>
      <c r="B1434" s="3" t="inlineStr">
        <is>
          <t>MMR</t>
        </is>
      </c>
      <c r="C1434" s="3" t="n">
        <v>2005</v>
      </c>
      <c r="D1434" s="3" t="inlineStr">
        <is>
          <t>Overall</t>
        </is>
      </c>
      <c r="E1434" s="3" t="inlineStr">
        <is>
          <t>Deciles</t>
        </is>
      </c>
      <c r="F1434" s="3" t="inlineStr">
        <is>
          <t>mean</t>
        </is>
      </c>
      <c r="G1434" s="3" t="n">
        <v>1</v>
      </c>
      <c r="H1434" s="3" t="n">
        <v>-0.7936522003851438</v>
      </c>
      <c r="I1434" s="3" t="n">
        <v>-0.7936522003851438</v>
      </c>
      <c r="J1434" s="3" t="n">
        <v>-0.9276126356501329</v>
      </c>
      <c r="K1434" s="3" t="n">
        <v>-0.9276126356501329</v>
      </c>
      <c r="L1434" s="3" t="n">
        <v>-0.7936522003851438</v>
      </c>
      <c r="M1434" s="3" t="n">
        <v>-0.7936522003851438</v>
      </c>
      <c r="N1434" s="3" t="n">
        <v>-0.7936522003851438</v>
      </c>
      <c r="O1434" s="3" t="n">
        <v>-0.7936522003851438</v>
      </c>
      <c r="P1434" s="3" t="n">
        <v>-0.7936522003851438</v>
      </c>
      <c r="Q1434" s="3" t="n">
        <v>-0.7936522003851438</v>
      </c>
      <c r="R1434" s="3" t="n">
        <v>-0.7764578367534437</v>
      </c>
      <c r="S1434" s="3" t="n">
        <v>-1.851309371621985</v>
      </c>
      <c r="T1434" s="3" t="n">
        <v>-0.7110083871766141</v>
      </c>
      <c r="U1434" s="3" t="n">
        <v>-0.9276126356501329</v>
      </c>
      <c r="V1434" s="3" t="n">
        <v>-0.688554396754817</v>
      </c>
      <c r="W1434" s="3" t="n">
        <v>-0.6748062403578508</v>
      </c>
      <c r="X1434" s="3" t="n">
        <v>-1.760538414904946</v>
      </c>
      <c r="Y1434" s="3" t="n">
        <v>-0.7936522003851438</v>
      </c>
      <c r="Z1434" s="3" t="n">
        <v>-1.851309371621985</v>
      </c>
      <c r="AA1434" s="3" t="n">
        <v>-1.851309371621985</v>
      </c>
      <c r="AB1434" s="3" t="n">
        <v>-1.760538414904946</v>
      </c>
      <c r="AC1434" s="3" t="n">
        <v>-4.00243950517554</v>
      </c>
      <c r="AD1434" s="3" t="n">
        <v>-0.9276126356501329</v>
      </c>
      <c r="AE1434" s="3" t="n">
        <v>-0.9276126356501329</v>
      </c>
    </row>
    <row r="1435">
      <c r="A1435" s="3" t="inlineStr">
        <is>
          <t>MMR.distn.dec.ove.mean.2</t>
        </is>
      </c>
      <c r="B1435" s="3" t="inlineStr">
        <is>
          <t>MMR</t>
        </is>
      </c>
      <c r="C1435" s="3" t="n">
        <v>2005</v>
      </c>
      <c r="D1435" s="3" t="inlineStr">
        <is>
          <t>Overall</t>
        </is>
      </c>
      <c r="E1435" s="3" t="inlineStr">
        <is>
          <t>Deciles</t>
        </is>
      </c>
      <c r="F1435" s="3" t="inlineStr">
        <is>
          <t>mean</t>
        </is>
      </c>
      <c r="G1435" s="3" t="n">
        <v>2</v>
      </c>
      <c r="H1435" s="3" t="n">
        <v>-0.7936522003851438</v>
      </c>
      <c r="I1435" s="3" t="n">
        <v>-0.7936522003851438</v>
      </c>
      <c r="J1435" s="3" t="n">
        <v>-0.9276126356501329</v>
      </c>
      <c r="K1435" s="3" t="n">
        <v>-0.9276126356501329</v>
      </c>
      <c r="L1435" s="3" t="n">
        <v>-0.7936522003851438</v>
      </c>
      <c r="M1435" s="3" t="n">
        <v>-0.7936522003851438</v>
      </c>
      <c r="N1435" s="3" t="n">
        <v>-0.7936522003851438</v>
      </c>
      <c r="O1435" s="3" t="n">
        <v>-0.7936522003851438</v>
      </c>
      <c r="P1435" s="3" t="n">
        <v>-0.7936522003851438</v>
      </c>
      <c r="Q1435" s="3" t="n">
        <v>-0.7936522003851438</v>
      </c>
      <c r="R1435" s="3" t="n">
        <v>-0.7764578367534437</v>
      </c>
      <c r="S1435" s="3" t="n">
        <v>-1.851309371621985</v>
      </c>
      <c r="T1435" s="3" t="n">
        <v>-0.7110083871766141</v>
      </c>
      <c r="U1435" s="3" t="n">
        <v>-0.9276126356501329</v>
      </c>
      <c r="V1435" s="3" t="n">
        <v>-0.688554396754817</v>
      </c>
      <c r="W1435" s="3" t="n">
        <v>-0.6748062403578508</v>
      </c>
      <c r="X1435" s="3" t="n">
        <v>-1.760538414904946</v>
      </c>
      <c r="Y1435" s="3" t="n">
        <v>-0.7936522003851438</v>
      </c>
      <c r="Z1435" s="3" t="n">
        <v>-1.851309371621985</v>
      </c>
      <c r="AA1435" s="3" t="n">
        <v>-1.851309371621985</v>
      </c>
      <c r="AB1435" s="3" t="n">
        <v>-1.760538414904946</v>
      </c>
      <c r="AC1435" s="3" t="n">
        <v>-4.00243950517554</v>
      </c>
      <c r="AD1435" s="3" t="n">
        <v>-0.9276126356501329</v>
      </c>
      <c r="AE1435" s="3" t="n">
        <v>-0.9276126356501329</v>
      </c>
    </row>
    <row r="1436">
      <c r="A1436" s="3" t="inlineStr">
        <is>
          <t>MMR.distn.dec.ove.mean.3</t>
        </is>
      </c>
      <c r="B1436" s="3" t="inlineStr">
        <is>
          <t>MMR</t>
        </is>
      </c>
      <c r="C1436" s="3" t="n">
        <v>2005</v>
      </c>
      <c r="D1436" s="3" t="inlineStr">
        <is>
          <t>Overall</t>
        </is>
      </c>
      <c r="E1436" s="3" t="inlineStr">
        <is>
          <t>Deciles</t>
        </is>
      </c>
      <c r="F1436" s="3" t="inlineStr">
        <is>
          <t>mean</t>
        </is>
      </c>
      <c r="G1436" s="3" t="n">
        <v>3</v>
      </c>
      <c r="H1436" s="3" t="n">
        <v>-0.7936522003851438</v>
      </c>
      <c r="I1436" s="3" t="n">
        <v>-0.7936522003851438</v>
      </c>
      <c r="J1436" s="3" t="n">
        <v>-0.9276126356501329</v>
      </c>
      <c r="K1436" s="3" t="n">
        <v>-0.9276126356501329</v>
      </c>
      <c r="L1436" s="3" t="n">
        <v>-0.7936522003851438</v>
      </c>
      <c r="M1436" s="3" t="n">
        <v>-0.7936522003851438</v>
      </c>
      <c r="N1436" s="3" t="n">
        <v>-0.7936522003851438</v>
      </c>
      <c r="O1436" s="3" t="n">
        <v>-0.7936522003851438</v>
      </c>
      <c r="P1436" s="3" t="n">
        <v>-0.7936522003851438</v>
      </c>
      <c r="Q1436" s="3" t="n">
        <v>-0.7936522003851438</v>
      </c>
      <c r="R1436" s="3" t="n">
        <v>-0.7764578367534437</v>
      </c>
      <c r="S1436" s="3" t="n">
        <v>-1.851309371621985</v>
      </c>
      <c r="T1436" s="3" t="n">
        <v>-0.7110083871766141</v>
      </c>
      <c r="U1436" s="3" t="n">
        <v>-0.9276126356501329</v>
      </c>
      <c r="V1436" s="3" t="n">
        <v>-0.688554396754817</v>
      </c>
      <c r="W1436" s="3" t="n">
        <v>-0.6748062403578508</v>
      </c>
      <c r="X1436" s="3" t="n">
        <v>-1.760538414904946</v>
      </c>
      <c r="Y1436" s="3" t="n">
        <v>-0.7936522003851438</v>
      </c>
      <c r="Z1436" s="3" t="n">
        <v>-1.851309371621985</v>
      </c>
      <c r="AA1436" s="3" t="n">
        <v>-1.851309371621985</v>
      </c>
      <c r="AB1436" s="3" t="n">
        <v>-1.760538414904946</v>
      </c>
      <c r="AC1436" s="3" t="n">
        <v>-4.00243950517554</v>
      </c>
      <c r="AD1436" s="3" t="n">
        <v>-0.9276126356501329</v>
      </c>
      <c r="AE1436" s="3" t="n">
        <v>-0.9276126356501329</v>
      </c>
    </row>
    <row r="1437">
      <c r="A1437" s="3" t="inlineStr">
        <is>
          <t>MMR.distn.dec.ove.mean.4</t>
        </is>
      </c>
      <c r="B1437" s="3" t="inlineStr">
        <is>
          <t>MMR</t>
        </is>
      </c>
      <c r="C1437" s="3" t="n">
        <v>2005</v>
      </c>
      <c r="D1437" s="3" t="inlineStr">
        <is>
          <t>Overall</t>
        </is>
      </c>
      <c r="E1437" s="3" t="inlineStr">
        <is>
          <t>Deciles</t>
        </is>
      </c>
      <c r="F1437" s="3" t="inlineStr">
        <is>
          <t>mean</t>
        </is>
      </c>
      <c r="G1437" s="3" t="n">
        <v>4</v>
      </c>
      <c r="H1437" s="3" t="n">
        <v>-0.7873684167861938</v>
      </c>
      <c r="I1437" s="3" t="n">
        <v>-0.7873684167861938</v>
      </c>
      <c r="J1437" s="3" t="n">
        <v>-0.8827894769216839</v>
      </c>
      <c r="K1437" s="3" t="n">
        <v>-0.8827894769216839</v>
      </c>
      <c r="L1437" s="3" t="n">
        <v>-0.7873684167861938</v>
      </c>
      <c r="M1437" s="3" t="n">
        <v>-0.7873684167861938</v>
      </c>
      <c r="N1437" s="3" t="n">
        <v>-0.7873684167861938</v>
      </c>
      <c r="O1437" s="3" t="n">
        <v>-0.7873684167861938</v>
      </c>
      <c r="P1437" s="3" t="n">
        <v>-0.7873684167861938</v>
      </c>
      <c r="Q1437" s="3" t="n">
        <v>-0.7873684167861938</v>
      </c>
      <c r="R1437" s="3" t="n">
        <v>-0.7729736864566803</v>
      </c>
      <c r="S1437" s="3" t="n">
        <v>-1.260947363941293</v>
      </c>
      <c r="T1437" s="3" t="n">
        <v>-0.7095526174495095</v>
      </c>
      <c r="U1437" s="3" t="n">
        <v>-0.8827894769216839</v>
      </c>
      <c r="V1437" s="3" t="n">
        <v>-0.6815526375645086</v>
      </c>
      <c r="W1437" s="3" t="n">
        <v>-0.5679210565592113</v>
      </c>
      <c r="X1437" s="3" t="n">
        <v>-1.242473682290629</v>
      </c>
      <c r="Y1437" s="3" t="n">
        <v>-0.7873684167861938</v>
      </c>
      <c r="Z1437" s="3" t="n">
        <v>-1.260947363941293</v>
      </c>
      <c r="AA1437" s="3" t="n">
        <v>-1.260947363941293</v>
      </c>
      <c r="AB1437" s="3" t="n">
        <v>-1.242473682290629</v>
      </c>
      <c r="AC1437" s="3" t="n">
        <v>-1.932868417940642</v>
      </c>
      <c r="AD1437" s="3" t="n">
        <v>-0.8827894769216839</v>
      </c>
      <c r="AE1437" s="3" t="n">
        <v>-0.8827894769216839</v>
      </c>
    </row>
    <row r="1438">
      <c r="A1438" s="3" t="inlineStr">
        <is>
          <t>MMR.distn.dec.ove.mean.5</t>
        </is>
      </c>
      <c r="B1438" s="3" t="inlineStr">
        <is>
          <t>MMR</t>
        </is>
      </c>
      <c r="C1438" s="3" t="n">
        <v>2005</v>
      </c>
      <c r="D1438" s="3" t="inlineStr">
        <is>
          <t>Overall</t>
        </is>
      </c>
      <c r="E1438" s="3" t="inlineStr">
        <is>
          <t>Deciles</t>
        </is>
      </c>
      <c r="F1438" s="3" t="inlineStr">
        <is>
          <t>mean</t>
        </is>
      </c>
      <c r="G1438" s="3" t="n">
        <v>5</v>
      </c>
      <c r="H1438" s="3" t="n">
        <v>-0.7873684167861938</v>
      </c>
      <c r="I1438" s="3" t="n">
        <v>-0.7873684167861938</v>
      </c>
      <c r="J1438" s="3" t="n">
        <v>-0.8827894769216839</v>
      </c>
      <c r="K1438" s="3" t="n">
        <v>-0.8827894769216839</v>
      </c>
      <c r="L1438" s="3" t="n">
        <v>-0.7873684167861938</v>
      </c>
      <c r="M1438" s="3" t="n">
        <v>-0.7873684167861938</v>
      </c>
      <c r="N1438" s="3" t="n">
        <v>-0.7873684167861938</v>
      </c>
      <c r="O1438" s="3" t="n">
        <v>-0.7873684167861938</v>
      </c>
      <c r="P1438" s="3" t="n">
        <v>-0.7873684167861938</v>
      </c>
      <c r="Q1438" s="3" t="n">
        <v>-0.7873684167861938</v>
      </c>
      <c r="R1438" s="3" t="n">
        <v>-0.7729736864566803</v>
      </c>
      <c r="S1438" s="3" t="n">
        <v>-1.260947363941293</v>
      </c>
      <c r="T1438" s="3" t="n">
        <v>-0.7095526174495095</v>
      </c>
      <c r="U1438" s="3" t="n">
        <v>-0.8827894769216839</v>
      </c>
      <c r="V1438" s="3" t="n">
        <v>-0.6815526375645086</v>
      </c>
      <c r="W1438" s="3" t="n">
        <v>-0.5679210565592113</v>
      </c>
      <c r="X1438" s="3" t="n">
        <v>-1.242473682290629</v>
      </c>
      <c r="Y1438" s="3" t="n">
        <v>-0.7873684167861938</v>
      </c>
      <c r="Z1438" s="3" t="n">
        <v>-1.260947363941293</v>
      </c>
      <c r="AA1438" s="3" t="n">
        <v>-1.260947363941293</v>
      </c>
      <c r="AB1438" s="3" t="n">
        <v>-1.242473682290629</v>
      </c>
      <c r="AC1438" s="3" t="n">
        <v>-1.932868417940642</v>
      </c>
      <c r="AD1438" s="3" t="n">
        <v>-0.8827894769216839</v>
      </c>
      <c r="AE1438" s="3" t="n">
        <v>-0.8827894769216839</v>
      </c>
    </row>
    <row r="1439">
      <c r="A1439" s="3" t="inlineStr">
        <is>
          <t>MMR.distn.dec.ove.mean.6</t>
        </is>
      </c>
      <c r="B1439" s="3" t="inlineStr">
        <is>
          <t>MMR</t>
        </is>
      </c>
      <c r="C1439" s="3" t="n">
        <v>2005</v>
      </c>
      <c r="D1439" s="3" t="inlineStr">
        <is>
          <t>Overall</t>
        </is>
      </c>
      <c r="E1439" s="3" t="inlineStr">
        <is>
          <t>Deciles</t>
        </is>
      </c>
      <c r="F1439" s="3" t="inlineStr">
        <is>
          <t>mean</t>
        </is>
      </c>
      <c r="G1439" s="3" t="n">
        <v>6</v>
      </c>
      <c r="H1439" s="3" t="n">
        <v>-0.7873684167861938</v>
      </c>
      <c r="I1439" s="3" t="n">
        <v>-0.7873684167861938</v>
      </c>
      <c r="J1439" s="3" t="n">
        <v>-0.8827894769216839</v>
      </c>
      <c r="K1439" s="3" t="n">
        <v>-0.8827894769216839</v>
      </c>
      <c r="L1439" s="3" t="n">
        <v>-0.7873684167861938</v>
      </c>
      <c r="M1439" s="3" t="n">
        <v>-0.7873684167861938</v>
      </c>
      <c r="N1439" s="3" t="n">
        <v>-0.7873684167861938</v>
      </c>
      <c r="O1439" s="3" t="n">
        <v>-0.7873684167861938</v>
      </c>
      <c r="P1439" s="3" t="n">
        <v>-0.7873684167861938</v>
      </c>
      <c r="Q1439" s="3" t="n">
        <v>-0.7873684167861938</v>
      </c>
      <c r="R1439" s="3" t="n">
        <v>-0.7729736864566803</v>
      </c>
      <c r="S1439" s="3" t="n">
        <v>-1.260947363941293</v>
      </c>
      <c r="T1439" s="3" t="n">
        <v>-0.7095526174495095</v>
      </c>
      <c r="U1439" s="3" t="n">
        <v>-0.8827894769216839</v>
      </c>
      <c r="V1439" s="3" t="n">
        <v>-0.6815526375645086</v>
      </c>
      <c r="W1439" s="3" t="n">
        <v>-0.5679210565592113</v>
      </c>
      <c r="X1439" s="3" t="n">
        <v>-1.242473682290629</v>
      </c>
      <c r="Y1439" s="3" t="n">
        <v>-0.7873684167861938</v>
      </c>
      <c r="Z1439" s="3" t="n">
        <v>-1.260947363941293</v>
      </c>
      <c r="AA1439" s="3" t="n">
        <v>-1.260947363941293</v>
      </c>
      <c r="AB1439" s="3" t="n">
        <v>-1.242473682290629</v>
      </c>
      <c r="AC1439" s="3" t="n">
        <v>-1.932868417940642</v>
      </c>
      <c r="AD1439" s="3" t="n">
        <v>-0.8827894769216839</v>
      </c>
      <c r="AE1439" s="3" t="n">
        <v>-0.8827894769216839</v>
      </c>
    </row>
    <row r="1440">
      <c r="A1440" s="3" t="inlineStr">
        <is>
          <t>MMR.distn.dec.ove.mean.7</t>
        </is>
      </c>
      <c r="B1440" s="3" t="inlineStr">
        <is>
          <t>MMR</t>
        </is>
      </c>
      <c r="C1440" s="3" t="n">
        <v>2005</v>
      </c>
      <c r="D1440" s="3" t="inlineStr">
        <is>
          <t>Overall</t>
        </is>
      </c>
      <c r="E1440" s="3" t="inlineStr">
        <is>
          <t>Deciles</t>
        </is>
      </c>
      <c r="F1440" s="3" t="inlineStr">
        <is>
          <t>mean</t>
        </is>
      </c>
      <c r="G1440" s="3" t="n">
        <v>7</v>
      </c>
      <c r="H1440" s="3" t="n">
        <v>-0.7873684167861938</v>
      </c>
      <c r="I1440" s="3" t="n">
        <v>-0.7873684167861938</v>
      </c>
      <c r="J1440" s="3" t="n">
        <v>-0.8827894769216839</v>
      </c>
      <c r="K1440" s="3" t="n">
        <v>-0.8827894769216839</v>
      </c>
      <c r="L1440" s="3" t="n">
        <v>-0.7873684167861938</v>
      </c>
      <c r="M1440" s="3" t="n">
        <v>-0.7873684167861938</v>
      </c>
      <c r="N1440" s="3" t="n">
        <v>-0.7873684167861938</v>
      </c>
      <c r="O1440" s="3" t="n">
        <v>-0.7873684167861938</v>
      </c>
      <c r="P1440" s="3" t="n">
        <v>-0.7873684167861938</v>
      </c>
      <c r="Q1440" s="3" t="n">
        <v>-0.7873684167861938</v>
      </c>
      <c r="R1440" s="3" t="n">
        <v>-0.7729736864566803</v>
      </c>
      <c r="S1440" s="3" t="n">
        <v>-1.260947363941293</v>
      </c>
      <c r="T1440" s="3" t="n">
        <v>-0.7095526174495095</v>
      </c>
      <c r="U1440" s="3" t="n">
        <v>-0.8827894769216839</v>
      </c>
      <c r="V1440" s="3" t="n">
        <v>-0.6815526375645086</v>
      </c>
      <c r="W1440" s="3" t="n">
        <v>-0.5679210565592113</v>
      </c>
      <c r="X1440" s="3" t="n">
        <v>-1.242473682290629</v>
      </c>
      <c r="Y1440" s="3" t="n">
        <v>-0.7873684167861938</v>
      </c>
      <c r="Z1440" s="3" t="n">
        <v>-1.260947363941293</v>
      </c>
      <c r="AA1440" s="3" t="n">
        <v>-1.260947363941293</v>
      </c>
      <c r="AB1440" s="3" t="n">
        <v>-1.242473682290629</v>
      </c>
      <c r="AC1440" s="3" t="n">
        <v>-1.932868417940642</v>
      </c>
      <c r="AD1440" s="3" t="n">
        <v>-0.8827894769216839</v>
      </c>
      <c r="AE1440" s="3" t="n">
        <v>-0.8827894769216839</v>
      </c>
    </row>
    <row r="1441">
      <c r="A1441" s="3" t="inlineStr">
        <is>
          <t>MMR.distn.dec.ove.mean.8</t>
        </is>
      </c>
      <c r="B1441" s="3" t="inlineStr">
        <is>
          <t>MMR</t>
        </is>
      </c>
      <c r="C1441" s="3" t="n">
        <v>2005</v>
      </c>
      <c r="D1441" s="3" t="inlineStr">
        <is>
          <t>Overall</t>
        </is>
      </c>
      <c r="E1441" s="3" t="inlineStr">
        <is>
          <t>Deciles</t>
        </is>
      </c>
      <c r="F1441" s="3" t="inlineStr">
        <is>
          <t>mean</t>
        </is>
      </c>
      <c r="G1441" s="3" t="n">
        <v>8</v>
      </c>
      <c r="H1441" s="3" t="n">
        <v>-0.7877477627051505</v>
      </c>
      <c r="I1441" s="3" t="n">
        <v>-0.7877477627051505</v>
      </c>
      <c r="J1441" s="3" t="n">
        <v>-0.8851708738427413</v>
      </c>
      <c r="K1441" s="3" t="n">
        <v>-0.8851708738427413</v>
      </c>
      <c r="L1441" s="3" t="n">
        <v>-0.7877477627051505</v>
      </c>
      <c r="M1441" s="3" t="n">
        <v>-0.7877477627051505</v>
      </c>
      <c r="N1441" s="3" t="n">
        <v>-0.7877477627051505</v>
      </c>
      <c r="O1441" s="3" t="n">
        <v>-0.7877477627051505</v>
      </c>
      <c r="P1441" s="3" t="n">
        <v>-0.7877477627051505</v>
      </c>
      <c r="Q1441" s="3" t="n">
        <v>-0.7877477627051505</v>
      </c>
      <c r="R1441" s="3" t="n">
        <v>-0.7732278971295607</v>
      </c>
      <c r="S1441" s="3" t="n">
        <v>-1.272680619829579</v>
      </c>
      <c r="T1441" s="3" t="n">
        <v>-0.7095935376066911</v>
      </c>
      <c r="U1441" s="3" t="n">
        <v>-0.8851708738427413</v>
      </c>
      <c r="V1441" s="3" t="n">
        <v>-0.6822572021107924</v>
      </c>
      <c r="W1441" s="3" t="n">
        <v>-0.5831292993143985</v>
      </c>
      <c r="X1441" s="3" t="n">
        <v>-1.253795093611667</v>
      </c>
      <c r="Y1441" s="3" t="n">
        <v>-0.7877477627051505</v>
      </c>
      <c r="Z1441" s="3" t="n">
        <v>-1.272680619829579</v>
      </c>
      <c r="AA1441" s="3" t="n">
        <v>-1.272680619829579</v>
      </c>
      <c r="AB1441" s="3" t="n">
        <v>-1.253795093611667</v>
      </c>
      <c r="AC1441" s="3" t="n">
        <v>-1.960433708994012</v>
      </c>
      <c r="AD1441" s="3" t="n">
        <v>-0.8851708738427413</v>
      </c>
      <c r="AE1441" s="3" t="n">
        <v>-0.8851708738427413</v>
      </c>
    </row>
    <row r="1442">
      <c r="A1442" s="3" t="inlineStr">
        <is>
          <t>MMR.distn.dec.ove.mean.9</t>
        </is>
      </c>
      <c r="B1442" s="3" t="inlineStr">
        <is>
          <t>MMR</t>
        </is>
      </c>
      <c r="C1442" s="3" t="n">
        <v>2005</v>
      </c>
      <c r="D1442" s="3" t="inlineStr">
        <is>
          <t>Overall</t>
        </is>
      </c>
      <c r="E1442" s="3" t="inlineStr">
        <is>
          <t>Deciles</t>
        </is>
      </c>
      <c r="F1442" s="3" t="inlineStr">
        <is>
          <t>mean</t>
        </is>
      </c>
      <c r="G1442" s="3" t="n">
        <v>9</v>
      </c>
      <c r="H1442" s="3" t="n">
        <v>-0.7877477627051505</v>
      </c>
      <c r="I1442" s="3" t="n">
        <v>-0.7877477627051505</v>
      </c>
      <c r="J1442" s="3" t="n">
        <v>-0.8851708738427413</v>
      </c>
      <c r="K1442" s="3" t="n">
        <v>-0.8851708738427413</v>
      </c>
      <c r="L1442" s="3" t="n">
        <v>-0.7877477627051505</v>
      </c>
      <c r="M1442" s="3" t="n">
        <v>-0.7877477627051505</v>
      </c>
      <c r="N1442" s="3" t="n">
        <v>-0.7877477627051505</v>
      </c>
      <c r="O1442" s="3" t="n">
        <v>-0.7877477627051505</v>
      </c>
      <c r="P1442" s="3" t="n">
        <v>-0.7877477627051505</v>
      </c>
      <c r="Q1442" s="3" t="n">
        <v>-0.7877477627051505</v>
      </c>
      <c r="R1442" s="3" t="n">
        <v>-0.7732278971295607</v>
      </c>
      <c r="S1442" s="3" t="n">
        <v>-1.272680619829579</v>
      </c>
      <c r="T1442" s="3" t="n">
        <v>-0.7095935376066911</v>
      </c>
      <c r="U1442" s="3" t="n">
        <v>-0.8851708738427413</v>
      </c>
      <c r="V1442" s="3" t="n">
        <v>-0.6822572021107924</v>
      </c>
      <c r="W1442" s="3" t="n">
        <v>-0.5831292993143985</v>
      </c>
      <c r="X1442" s="3" t="n">
        <v>-1.253795093611667</v>
      </c>
      <c r="Y1442" s="3" t="n">
        <v>-0.7877477627051505</v>
      </c>
      <c r="Z1442" s="3" t="n">
        <v>-1.272680619829579</v>
      </c>
      <c r="AA1442" s="3" t="n">
        <v>-1.272680619829579</v>
      </c>
      <c r="AB1442" s="3" t="n">
        <v>-1.253795093611667</v>
      </c>
      <c r="AC1442" s="3" t="n">
        <v>-1.960433708994012</v>
      </c>
      <c r="AD1442" s="3" t="n">
        <v>-0.8851708738427413</v>
      </c>
      <c r="AE1442" s="3" t="n">
        <v>-0.8851708738427413</v>
      </c>
    </row>
    <row r="1443">
      <c r="A1443" s="3" t="inlineStr">
        <is>
          <t>MMR.distn.dec.ove.mean.10</t>
        </is>
      </c>
      <c r="B1443" s="3" t="inlineStr">
        <is>
          <t>MMR</t>
        </is>
      </c>
      <c r="C1443" s="3" t="n">
        <v>2005</v>
      </c>
      <c r="D1443" s="3" t="inlineStr">
        <is>
          <t>Overall</t>
        </is>
      </c>
      <c r="E1443" s="3" t="inlineStr">
        <is>
          <t>Deciles</t>
        </is>
      </c>
      <c r="F1443" s="3" t="inlineStr">
        <is>
          <t>mean</t>
        </is>
      </c>
      <c r="G1443" s="3" t="n">
        <v>10</v>
      </c>
      <c r="H1443" s="3" t="n">
        <v>-0.7877477627051505</v>
      </c>
      <c r="I1443" s="3" t="n">
        <v>-0.7877477627051505</v>
      </c>
      <c r="J1443" s="3" t="n">
        <v>-0.8851708738427413</v>
      </c>
      <c r="K1443" s="3" t="n">
        <v>-0.8851708738427413</v>
      </c>
      <c r="L1443" s="3" t="n">
        <v>-0.7877477627051505</v>
      </c>
      <c r="M1443" s="3" t="n">
        <v>-0.7877477627051505</v>
      </c>
      <c r="N1443" s="3" t="n">
        <v>-0.7877477627051505</v>
      </c>
      <c r="O1443" s="3" t="n">
        <v>-0.7877477627051505</v>
      </c>
      <c r="P1443" s="3" t="n">
        <v>-0.7877477627051505</v>
      </c>
      <c r="Q1443" s="3" t="n">
        <v>-0.7877477627051505</v>
      </c>
      <c r="R1443" s="3" t="n">
        <v>-0.7732278971295607</v>
      </c>
      <c r="S1443" s="3" t="n">
        <v>-1.272680619829579</v>
      </c>
      <c r="T1443" s="3" t="n">
        <v>-0.7095935376066911</v>
      </c>
      <c r="U1443" s="3" t="n">
        <v>-0.8851708738427413</v>
      </c>
      <c r="V1443" s="3" t="n">
        <v>-0.6822572021107924</v>
      </c>
      <c r="W1443" s="3" t="n">
        <v>-0.5831292993143985</v>
      </c>
      <c r="X1443" s="3" t="n">
        <v>-1.253795093611667</v>
      </c>
      <c r="Y1443" s="3" t="n">
        <v>-0.7877477627051505</v>
      </c>
      <c r="Z1443" s="3" t="n">
        <v>-1.272680619829579</v>
      </c>
      <c r="AA1443" s="3" t="n">
        <v>-1.272680619829579</v>
      </c>
      <c r="AB1443" s="3" t="n">
        <v>-1.253795093611667</v>
      </c>
      <c r="AC1443" s="3" t="n">
        <v>-1.960433708994012</v>
      </c>
      <c r="AD1443" s="3" t="n">
        <v>-0.8851708738427413</v>
      </c>
      <c r="AE1443" s="3" t="n">
        <v>-0.8851708738427413</v>
      </c>
    </row>
    <row r="1444">
      <c r="A1444" s="3" t="inlineStr">
        <is>
          <t>MMR.distn.bkt.ove.mean.9999</t>
        </is>
      </c>
      <c r="B1444" s="3" t="inlineStr">
        <is>
          <t>MMR</t>
        </is>
      </c>
      <c r="C1444" s="3" t="n">
        <v>2005</v>
      </c>
      <c r="D1444" s="3" t="inlineStr">
        <is>
          <t>Overall</t>
        </is>
      </c>
      <c r="E1444" s="3" t="inlineStr">
        <is>
          <t>Basket</t>
        </is>
      </c>
      <c r="F1444" s="3" t="inlineStr">
        <is>
          <t>mean</t>
        </is>
      </c>
      <c r="G1444" s="3" t="n">
        <v>9999</v>
      </c>
      <c r="H1444" s="3" t="n">
        <v>-0.7893673542298769</v>
      </c>
      <c r="I1444" s="3" t="n">
        <v>-0.7893673542298769</v>
      </c>
      <c r="J1444" s="3" t="n">
        <v>-0.8969508472241854</v>
      </c>
      <c r="K1444" s="3" t="n">
        <v>-0.8969508472241854</v>
      </c>
      <c r="L1444" s="3" t="n">
        <v>-0.7893673542298769</v>
      </c>
      <c r="M1444" s="3" t="n">
        <v>-0.7893673542298769</v>
      </c>
      <c r="N1444" s="3" t="n">
        <v>-0.7893673542298769</v>
      </c>
      <c r="O1444" s="3" t="n">
        <v>-0.7893673542298769</v>
      </c>
      <c r="P1444" s="3" t="n">
        <v>-0.7893673542298769</v>
      </c>
      <c r="Q1444" s="3" t="n">
        <v>-0.7893673542298769</v>
      </c>
      <c r="R1444" s="3" t="n">
        <v>-0.7740951949044278</v>
      </c>
      <c r="S1444" s="3" t="n">
        <v>-1.441575941286589</v>
      </c>
      <c r="T1444" s="3" t="n">
        <v>-0.7100016239442324</v>
      </c>
      <c r="U1444" s="3" t="n">
        <v>-0.8969508472241854</v>
      </c>
      <c r="V1444" s="3" t="n">
        <v>-0.6838645276270414</v>
      </c>
      <c r="W1444" s="3" t="n">
        <v>-0.6045490895446978</v>
      </c>
      <c r="X1444" s="3" t="n">
        <v>-1.401289532059117</v>
      </c>
      <c r="Y1444" s="3" t="n">
        <v>-0.7893673542298769</v>
      </c>
      <c r="Z1444" s="3" t="n">
        <v>-1.441575941286589</v>
      </c>
      <c r="AA1444" s="3" t="n">
        <v>-1.441575941286589</v>
      </c>
      <c r="AB1444" s="3" t="n">
        <v>-1.401289532059117</v>
      </c>
      <c r="AC1444" s="3" t="n">
        <v>-2.562009337701296</v>
      </c>
      <c r="AD1444" s="3" t="n">
        <v>-0.8969508472241854</v>
      </c>
      <c r="AE1444" s="3" t="n">
        <v>-0.8969508472241854</v>
      </c>
    </row>
    <row r="1445">
      <c r="A1445" s="3" t="inlineStr">
        <is>
          <t>MNE.distn.dec.ove.mean.1</t>
        </is>
      </c>
      <c r="B1445" s="3" t="inlineStr">
        <is>
          <t>MNE</t>
        </is>
      </c>
      <c r="C1445" s="3" t="n">
        <v>2005</v>
      </c>
      <c r="D1445" s="3" t="inlineStr">
        <is>
          <t>Overall</t>
        </is>
      </c>
      <c r="E1445" s="3" t="inlineStr">
        <is>
          <t>Deciles</t>
        </is>
      </c>
      <c r="F1445" s="3" t="inlineStr">
        <is>
          <t>mean</t>
        </is>
      </c>
      <c r="G1445" s="3" t="n">
        <v>1</v>
      </c>
      <c r="H1445" s="3" t="n">
        <v>-0.7892489433288574</v>
      </c>
      <c r="I1445" s="3" t="n">
        <v>-0.7892489433288574</v>
      </c>
      <c r="J1445" s="3" t="n">
        <v>-0.8963106274604797</v>
      </c>
      <c r="K1445" s="3" t="n">
        <v>-0.8963106274604797</v>
      </c>
      <c r="L1445" s="3" t="n">
        <v>-0.7892489433288574</v>
      </c>
      <c r="M1445" s="3" t="n">
        <v>-0.7892489433288574</v>
      </c>
      <c r="N1445" s="3" t="n">
        <v>-0.7892489433288574</v>
      </c>
      <c r="O1445" s="3" t="n">
        <v>-0.7892489433288574</v>
      </c>
      <c r="P1445" s="3" t="n">
        <v>-0.7892489433288574</v>
      </c>
      <c r="Q1445" s="3" t="n">
        <v>-0.7892489433288574</v>
      </c>
      <c r="R1445" s="3" t="n">
        <v>-0.7744752764701843</v>
      </c>
      <c r="S1445" s="3" t="n">
        <v>-1.456443786621094</v>
      </c>
      <c r="T1445" s="3" t="n">
        <v>-0.7104546427726746</v>
      </c>
      <c r="U1445" s="3" t="n">
        <v>-0.8963106274604797</v>
      </c>
      <c r="V1445" s="3" t="n">
        <v>-0.6839550137519836</v>
      </c>
      <c r="W1445" s="3" t="n">
        <v>-0.6119252443313599</v>
      </c>
      <c r="X1445" s="3" t="n">
        <v>-1.401375770568848</v>
      </c>
      <c r="Y1445" s="3" t="n">
        <v>-0.7892489433288574</v>
      </c>
      <c r="Z1445" s="3" t="n">
        <v>-1.456443786621094</v>
      </c>
      <c r="AA1445" s="3" t="n">
        <v>-1.456443786621094</v>
      </c>
      <c r="AB1445" s="3" t="n">
        <v>-1.401375770568848</v>
      </c>
      <c r="AC1445" s="3" t="n">
        <v>-2.238454103469849</v>
      </c>
      <c r="AD1445" s="3" t="n">
        <v>-0.8963106274604797</v>
      </c>
      <c r="AE1445" s="3" t="n">
        <v>-0.8963106274604797</v>
      </c>
    </row>
    <row r="1446">
      <c r="A1446" s="3" t="inlineStr">
        <is>
          <t>MNE.distn.dec.ove.mean.2</t>
        </is>
      </c>
      <c r="B1446" s="3" t="inlineStr">
        <is>
          <t>MNE</t>
        </is>
      </c>
      <c r="C1446" s="3" t="n">
        <v>2005</v>
      </c>
      <c r="D1446" s="3" t="inlineStr">
        <is>
          <t>Overall</t>
        </is>
      </c>
      <c r="E1446" s="3" t="inlineStr">
        <is>
          <t>Deciles</t>
        </is>
      </c>
      <c r="F1446" s="3" t="inlineStr">
        <is>
          <t>mean</t>
        </is>
      </c>
      <c r="G1446" s="3" t="n">
        <v>2</v>
      </c>
      <c r="H1446" s="3" t="n">
        <v>-0.7892489433288574</v>
      </c>
      <c r="I1446" s="3" t="n">
        <v>-0.7892489433288574</v>
      </c>
      <c r="J1446" s="3" t="n">
        <v>-0.8963106274604797</v>
      </c>
      <c r="K1446" s="3" t="n">
        <v>-0.8963106274604797</v>
      </c>
      <c r="L1446" s="3" t="n">
        <v>-0.7892489433288574</v>
      </c>
      <c r="M1446" s="3" t="n">
        <v>-0.7892489433288574</v>
      </c>
      <c r="N1446" s="3" t="n">
        <v>-0.7892489433288574</v>
      </c>
      <c r="O1446" s="3" t="n">
        <v>-0.7892489433288574</v>
      </c>
      <c r="P1446" s="3" t="n">
        <v>-0.7892489433288574</v>
      </c>
      <c r="Q1446" s="3" t="n">
        <v>-0.7892489433288574</v>
      </c>
      <c r="R1446" s="3" t="n">
        <v>-0.7744752764701843</v>
      </c>
      <c r="S1446" s="3" t="n">
        <v>-1.456443786621094</v>
      </c>
      <c r="T1446" s="3" t="n">
        <v>-0.7104546427726746</v>
      </c>
      <c r="U1446" s="3" t="n">
        <v>-0.8963106274604797</v>
      </c>
      <c r="V1446" s="3" t="n">
        <v>-0.6839550137519836</v>
      </c>
      <c r="W1446" s="3" t="n">
        <v>-0.6119252443313599</v>
      </c>
      <c r="X1446" s="3" t="n">
        <v>-1.401375770568848</v>
      </c>
      <c r="Y1446" s="3" t="n">
        <v>-0.7892489433288574</v>
      </c>
      <c r="Z1446" s="3" t="n">
        <v>-1.456443786621094</v>
      </c>
      <c r="AA1446" s="3" t="n">
        <v>-1.456443786621094</v>
      </c>
      <c r="AB1446" s="3" t="n">
        <v>-1.401375770568848</v>
      </c>
      <c r="AC1446" s="3" t="n">
        <v>-2.238454103469849</v>
      </c>
      <c r="AD1446" s="3" t="n">
        <v>-0.8963106274604797</v>
      </c>
      <c r="AE1446" s="3" t="n">
        <v>-0.8963106274604797</v>
      </c>
    </row>
    <row r="1447">
      <c r="A1447" s="3" t="inlineStr">
        <is>
          <t>MNE.distn.dec.ove.mean.3</t>
        </is>
      </c>
      <c r="B1447" s="3" t="inlineStr">
        <is>
          <t>MNE</t>
        </is>
      </c>
      <c r="C1447" s="3" t="n">
        <v>2005</v>
      </c>
      <c r="D1447" s="3" t="inlineStr">
        <is>
          <t>Overall</t>
        </is>
      </c>
      <c r="E1447" s="3" t="inlineStr">
        <is>
          <t>Deciles</t>
        </is>
      </c>
      <c r="F1447" s="3" t="inlineStr">
        <is>
          <t>mean</t>
        </is>
      </c>
      <c r="G1447" s="3" t="n">
        <v>3</v>
      </c>
      <c r="H1447" s="3" t="n">
        <v>-0.7892489433288574</v>
      </c>
      <c r="I1447" s="3" t="n">
        <v>-0.7892489433288574</v>
      </c>
      <c r="J1447" s="3" t="n">
        <v>-0.8963106274604797</v>
      </c>
      <c r="K1447" s="3" t="n">
        <v>-0.8963106274604797</v>
      </c>
      <c r="L1447" s="3" t="n">
        <v>-0.7892489433288574</v>
      </c>
      <c r="M1447" s="3" t="n">
        <v>-0.7892489433288574</v>
      </c>
      <c r="N1447" s="3" t="n">
        <v>-0.7892489433288574</v>
      </c>
      <c r="O1447" s="3" t="n">
        <v>-0.7892489433288574</v>
      </c>
      <c r="P1447" s="3" t="n">
        <v>-0.7892489433288574</v>
      </c>
      <c r="Q1447" s="3" t="n">
        <v>-0.7892489433288574</v>
      </c>
      <c r="R1447" s="3" t="n">
        <v>-0.7744752764701843</v>
      </c>
      <c r="S1447" s="3" t="n">
        <v>-1.456443786621094</v>
      </c>
      <c r="T1447" s="3" t="n">
        <v>-0.7104546427726746</v>
      </c>
      <c r="U1447" s="3" t="n">
        <v>-0.8963106274604797</v>
      </c>
      <c r="V1447" s="3" t="n">
        <v>-0.6839550137519836</v>
      </c>
      <c r="W1447" s="3" t="n">
        <v>-0.6119252443313599</v>
      </c>
      <c r="X1447" s="3" t="n">
        <v>-1.401375770568848</v>
      </c>
      <c r="Y1447" s="3" t="n">
        <v>-0.7892489433288574</v>
      </c>
      <c r="Z1447" s="3" t="n">
        <v>-1.456443786621094</v>
      </c>
      <c r="AA1447" s="3" t="n">
        <v>-1.456443786621094</v>
      </c>
      <c r="AB1447" s="3" t="n">
        <v>-1.401375770568848</v>
      </c>
      <c r="AC1447" s="3" t="n">
        <v>-2.238454103469849</v>
      </c>
      <c r="AD1447" s="3" t="n">
        <v>-0.8963106274604797</v>
      </c>
      <c r="AE1447" s="3" t="n">
        <v>-0.8963106274604797</v>
      </c>
    </row>
    <row r="1448">
      <c r="A1448" s="3" t="inlineStr">
        <is>
          <t>MNE.distn.dec.ove.mean.4</t>
        </is>
      </c>
      <c r="B1448" s="3" t="inlineStr">
        <is>
          <t>MNE</t>
        </is>
      </c>
      <c r="C1448" s="3" t="n">
        <v>2005</v>
      </c>
      <c r="D1448" s="3" t="inlineStr">
        <is>
          <t>Overall</t>
        </is>
      </c>
      <c r="E1448" s="3" t="inlineStr">
        <is>
          <t>Deciles</t>
        </is>
      </c>
      <c r="F1448" s="3" t="inlineStr">
        <is>
          <t>mean</t>
        </is>
      </c>
      <c r="G1448" s="3" t="n">
        <v>4</v>
      </c>
      <c r="H1448" s="3" t="n">
        <v>-0.7829999923706055</v>
      </c>
      <c r="I1448" s="3" t="n">
        <v>-0.7829999923706055</v>
      </c>
      <c r="J1448" s="3" t="n">
        <v>-0.8529999852180481</v>
      </c>
      <c r="K1448" s="3" t="n">
        <v>-0.8529999852180481</v>
      </c>
      <c r="L1448" s="3" t="n">
        <v>-0.7829999923706055</v>
      </c>
      <c r="M1448" s="3" t="n">
        <v>-0.7829999923706055</v>
      </c>
      <c r="N1448" s="3" t="n">
        <v>-0.7829999923706055</v>
      </c>
      <c r="O1448" s="3" t="n">
        <v>-0.7829999923706055</v>
      </c>
      <c r="P1448" s="3" t="n">
        <v>-0.7829999923706055</v>
      </c>
      <c r="Q1448" s="3" t="n">
        <v>-0.7829999923706055</v>
      </c>
      <c r="R1448" s="3" t="n">
        <v>-0.7710000276565552</v>
      </c>
      <c r="S1448" s="3" t="n">
        <v>-0.9919999837875366</v>
      </c>
      <c r="T1448" s="3" t="n">
        <v>-0.7089999914169312</v>
      </c>
      <c r="U1448" s="3" t="n">
        <v>-0.8529999852180481</v>
      </c>
      <c r="V1448" s="3" t="n">
        <v>-0.6769999861717224</v>
      </c>
      <c r="W1448" s="3" t="n">
        <v>-0.5149999856948853</v>
      </c>
      <c r="X1448" s="3" t="n">
        <v>-0.9890000224113464</v>
      </c>
      <c r="Y1448" s="3" t="n">
        <v>-0.7829999923706055</v>
      </c>
      <c r="Z1448" s="3" t="n">
        <v>-0.9919999837875366</v>
      </c>
      <c r="AA1448" s="3" t="n">
        <v>-0.9919999837875366</v>
      </c>
      <c r="AB1448" s="3" t="n">
        <v>-0.9890000224113464</v>
      </c>
      <c r="AC1448" s="3" t="n">
        <v>-1.080999970436096</v>
      </c>
      <c r="AD1448" s="3" t="n">
        <v>-0.8529999852180481</v>
      </c>
      <c r="AE1448" s="3" t="n">
        <v>-0.8529999852180481</v>
      </c>
    </row>
    <row r="1449">
      <c r="A1449" s="3" t="inlineStr">
        <is>
          <t>MNE.distn.dec.ove.mean.5</t>
        </is>
      </c>
      <c r="B1449" s="3" t="inlineStr">
        <is>
          <t>MNE</t>
        </is>
      </c>
      <c r="C1449" s="3" t="n">
        <v>2005</v>
      </c>
      <c r="D1449" s="3" t="inlineStr">
        <is>
          <t>Overall</t>
        </is>
      </c>
      <c r="E1449" s="3" t="inlineStr">
        <is>
          <t>Deciles</t>
        </is>
      </c>
      <c r="F1449" s="3" t="inlineStr">
        <is>
          <t>mean</t>
        </is>
      </c>
      <c r="G1449" s="3" t="n">
        <v>5</v>
      </c>
      <c r="H1449" s="3" t="n">
        <v>-0.7829999923706055</v>
      </c>
      <c r="I1449" s="3" t="n">
        <v>-0.7829999923706055</v>
      </c>
      <c r="J1449" s="3" t="n">
        <v>-0.8529999852180481</v>
      </c>
      <c r="K1449" s="3" t="n">
        <v>-0.8529999852180481</v>
      </c>
      <c r="L1449" s="3" t="n">
        <v>-0.7829999923706055</v>
      </c>
      <c r="M1449" s="3" t="n">
        <v>-0.7829999923706055</v>
      </c>
      <c r="N1449" s="3" t="n">
        <v>-0.7829999923706055</v>
      </c>
      <c r="O1449" s="3" t="n">
        <v>-0.7829999923706055</v>
      </c>
      <c r="P1449" s="3" t="n">
        <v>-0.7829999923706055</v>
      </c>
      <c r="Q1449" s="3" t="n">
        <v>-0.7829999923706055</v>
      </c>
      <c r="R1449" s="3" t="n">
        <v>-0.7710000276565552</v>
      </c>
      <c r="S1449" s="3" t="n">
        <v>-0.9919999837875366</v>
      </c>
      <c r="T1449" s="3" t="n">
        <v>-0.7089999914169312</v>
      </c>
      <c r="U1449" s="3" t="n">
        <v>-0.8529999852180481</v>
      </c>
      <c r="V1449" s="3" t="n">
        <v>-0.6769999861717224</v>
      </c>
      <c r="W1449" s="3" t="n">
        <v>-0.5149999856948853</v>
      </c>
      <c r="X1449" s="3" t="n">
        <v>-0.9890000224113464</v>
      </c>
      <c r="Y1449" s="3" t="n">
        <v>-0.7829999923706055</v>
      </c>
      <c r="Z1449" s="3" t="n">
        <v>-0.9919999837875366</v>
      </c>
      <c r="AA1449" s="3" t="n">
        <v>-0.9919999837875366</v>
      </c>
      <c r="AB1449" s="3" t="n">
        <v>-0.9890000224113464</v>
      </c>
      <c r="AC1449" s="3" t="n">
        <v>-1.080999970436096</v>
      </c>
      <c r="AD1449" s="3" t="n">
        <v>-0.8529999852180481</v>
      </c>
      <c r="AE1449" s="3" t="n">
        <v>-0.8529999852180481</v>
      </c>
    </row>
    <row r="1450">
      <c r="A1450" s="3" t="inlineStr">
        <is>
          <t>MNE.distn.dec.ove.mean.6</t>
        </is>
      </c>
      <c r="B1450" s="3" t="inlineStr">
        <is>
          <t>MNE</t>
        </is>
      </c>
      <c r="C1450" s="3" t="n">
        <v>2005</v>
      </c>
      <c r="D1450" s="3" t="inlineStr">
        <is>
          <t>Overall</t>
        </is>
      </c>
      <c r="E1450" s="3" t="inlineStr">
        <is>
          <t>Deciles</t>
        </is>
      </c>
      <c r="F1450" s="3" t="inlineStr">
        <is>
          <t>mean</t>
        </is>
      </c>
      <c r="G1450" s="3" t="n">
        <v>6</v>
      </c>
      <c r="H1450" s="3" t="n">
        <v>-0.7829999923706055</v>
      </c>
      <c r="I1450" s="3" t="n">
        <v>-0.7829999923706055</v>
      </c>
      <c r="J1450" s="3" t="n">
        <v>-0.8529999852180481</v>
      </c>
      <c r="K1450" s="3" t="n">
        <v>-0.8529999852180481</v>
      </c>
      <c r="L1450" s="3" t="n">
        <v>-0.7829999923706055</v>
      </c>
      <c r="M1450" s="3" t="n">
        <v>-0.7829999923706055</v>
      </c>
      <c r="N1450" s="3" t="n">
        <v>-0.7829999923706055</v>
      </c>
      <c r="O1450" s="3" t="n">
        <v>-0.7829999923706055</v>
      </c>
      <c r="P1450" s="3" t="n">
        <v>-0.7829999923706055</v>
      </c>
      <c r="Q1450" s="3" t="n">
        <v>-0.7829999923706055</v>
      </c>
      <c r="R1450" s="3" t="n">
        <v>-0.7710000276565552</v>
      </c>
      <c r="S1450" s="3" t="n">
        <v>-0.9919999837875366</v>
      </c>
      <c r="T1450" s="3" t="n">
        <v>-0.7089999914169312</v>
      </c>
      <c r="U1450" s="3" t="n">
        <v>-0.8529999852180481</v>
      </c>
      <c r="V1450" s="3" t="n">
        <v>-0.6769999861717224</v>
      </c>
      <c r="W1450" s="3" t="n">
        <v>-0.5149999856948853</v>
      </c>
      <c r="X1450" s="3" t="n">
        <v>-0.9890000224113464</v>
      </c>
      <c r="Y1450" s="3" t="n">
        <v>-0.7829999923706055</v>
      </c>
      <c r="Z1450" s="3" t="n">
        <v>-0.9919999837875366</v>
      </c>
      <c r="AA1450" s="3" t="n">
        <v>-0.9919999837875366</v>
      </c>
      <c r="AB1450" s="3" t="n">
        <v>-0.9890000224113464</v>
      </c>
      <c r="AC1450" s="3" t="n">
        <v>-1.080999970436096</v>
      </c>
      <c r="AD1450" s="3" t="n">
        <v>-0.8529999852180481</v>
      </c>
      <c r="AE1450" s="3" t="n">
        <v>-0.8529999852180481</v>
      </c>
    </row>
    <row r="1451">
      <c r="A1451" s="3" t="inlineStr">
        <is>
          <t>MNE.distn.dec.ove.mean.7</t>
        </is>
      </c>
      <c r="B1451" s="3" t="inlineStr">
        <is>
          <t>MNE</t>
        </is>
      </c>
      <c r="C1451" s="3" t="n">
        <v>2005</v>
      </c>
      <c r="D1451" s="3" t="inlineStr">
        <is>
          <t>Overall</t>
        </is>
      </c>
      <c r="E1451" s="3" t="inlineStr">
        <is>
          <t>Deciles</t>
        </is>
      </c>
      <c r="F1451" s="3" t="inlineStr">
        <is>
          <t>mean</t>
        </is>
      </c>
      <c r="G1451" s="3" t="n">
        <v>7</v>
      </c>
      <c r="H1451" s="3" t="n">
        <v>-0.7829999923706055</v>
      </c>
      <c r="I1451" s="3" t="n">
        <v>-0.7829999923706055</v>
      </c>
      <c r="J1451" s="3" t="n">
        <v>-0.8529999852180481</v>
      </c>
      <c r="K1451" s="3" t="n">
        <v>-0.8529999852180481</v>
      </c>
      <c r="L1451" s="3" t="n">
        <v>-0.7829999923706055</v>
      </c>
      <c r="M1451" s="3" t="n">
        <v>-0.7829999923706055</v>
      </c>
      <c r="N1451" s="3" t="n">
        <v>-0.7829999923706055</v>
      </c>
      <c r="O1451" s="3" t="n">
        <v>-0.7829999923706055</v>
      </c>
      <c r="P1451" s="3" t="n">
        <v>-0.7829999923706055</v>
      </c>
      <c r="Q1451" s="3" t="n">
        <v>-0.7829999923706055</v>
      </c>
      <c r="R1451" s="3" t="n">
        <v>-0.7710000276565552</v>
      </c>
      <c r="S1451" s="3" t="n">
        <v>-0.9919999837875366</v>
      </c>
      <c r="T1451" s="3" t="n">
        <v>-0.7089999914169312</v>
      </c>
      <c r="U1451" s="3" t="n">
        <v>-0.8529999852180481</v>
      </c>
      <c r="V1451" s="3" t="n">
        <v>-0.6769999861717224</v>
      </c>
      <c r="W1451" s="3" t="n">
        <v>-0.5149999856948853</v>
      </c>
      <c r="X1451" s="3" t="n">
        <v>-0.9890000224113464</v>
      </c>
      <c r="Y1451" s="3" t="n">
        <v>-0.7829999923706055</v>
      </c>
      <c r="Z1451" s="3" t="n">
        <v>-0.9919999837875366</v>
      </c>
      <c r="AA1451" s="3" t="n">
        <v>-0.9919999837875366</v>
      </c>
      <c r="AB1451" s="3" t="n">
        <v>-0.9890000224113464</v>
      </c>
      <c r="AC1451" s="3" t="n">
        <v>-1.080999970436096</v>
      </c>
      <c r="AD1451" s="3" t="n">
        <v>-0.8529999852180481</v>
      </c>
      <c r="AE1451" s="3" t="n">
        <v>-0.8529999852180481</v>
      </c>
    </row>
    <row r="1452">
      <c r="A1452" s="3" t="inlineStr">
        <is>
          <t>MNE.distn.dec.ove.mean.8</t>
        </is>
      </c>
      <c r="B1452" s="3" t="inlineStr">
        <is>
          <t>MNE</t>
        </is>
      </c>
      <c r="C1452" s="3" t="n">
        <v>2005</v>
      </c>
      <c r="D1452" s="3" t="inlineStr">
        <is>
          <t>Overall</t>
        </is>
      </c>
      <c r="E1452" s="3" t="inlineStr">
        <is>
          <t>Deciles</t>
        </is>
      </c>
      <c r="F1452" s="3" t="inlineStr">
        <is>
          <t>mean</t>
        </is>
      </c>
      <c r="G1452" s="3" t="n">
        <v>8</v>
      </c>
      <c r="H1452" s="3" t="n">
        <v>-0.7833772301673889</v>
      </c>
      <c r="I1452" s="3" t="n">
        <v>-0.7833772301673889</v>
      </c>
      <c r="J1452" s="3" t="n">
        <v>-0.8553010225296021</v>
      </c>
      <c r="K1452" s="3" t="n">
        <v>-0.8553010225296021</v>
      </c>
      <c r="L1452" s="3" t="n">
        <v>-0.7833772301673889</v>
      </c>
      <c r="M1452" s="3" t="n">
        <v>-0.7833772301673889</v>
      </c>
      <c r="N1452" s="3" t="n">
        <v>-0.7833772301673889</v>
      </c>
      <c r="O1452" s="3" t="n">
        <v>-0.7833772301673889</v>
      </c>
      <c r="P1452" s="3" t="n">
        <v>-0.7833772301673889</v>
      </c>
      <c r="Q1452" s="3" t="n">
        <v>-0.7833772301673889</v>
      </c>
      <c r="R1452" s="3" t="n">
        <v>-0.7712535858154297</v>
      </c>
      <c r="S1452" s="3" t="n">
        <v>-1.001230716705322</v>
      </c>
      <c r="T1452" s="3" t="n">
        <v>-0.7090408802032471</v>
      </c>
      <c r="U1452" s="3" t="n">
        <v>-0.8553010225296021</v>
      </c>
      <c r="V1452" s="3" t="n">
        <v>-0.677699863910675</v>
      </c>
      <c r="W1452" s="3" t="n">
        <v>-0.528791069984436</v>
      </c>
      <c r="X1452" s="3" t="n">
        <v>-0.9980117678642273</v>
      </c>
      <c r="Y1452" s="3" t="n">
        <v>-0.7833772301673889</v>
      </c>
      <c r="Z1452" s="3" t="n">
        <v>-1.001230716705322</v>
      </c>
      <c r="AA1452" s="3" t="n">
        <v>-1.001230716705322</v>
      </c>
      <c r="AB1452" s="3" t="n">
        <v>-0.9980117678642273</v>
      </c>
      <c r="AC1452" s="3" t="n">
        <v>-1.096416473388672</v>
      </c>
      <c r="AD1452" s="3" t="n">
        <v>-0.8553010225296021</v>
      </c>
      <c r="AE1452" s="3" t="n">
        <v>-0.8553010225296021</v>
      </c>
    </row>
    <row r="1453">
      <c r="A1453" s="3" t="inlineStr">
        <is>
          <t>MNE.distn.dec.ove.mean.9</t>
        </is>
      </c>
      <c r="B1453" s="3" t="inlineStr">
        <is>
          <t>MNE</t>
        </is>
      </c>
      <c r="C1453" s="3" t="n">
        <v>2005</v>
      </c>
      <c r="D1453" s="3" t="inlineStr">
        <is>
          <t>Overall</t>
        </is>
      </c>
      <c r="E1453" s="3" t="inlineStr">
        <is>
          <t>Deciles</t>
        </is>
      </c>
      <c r="F1453" s="3" t="inlineStr">
        <is>
          <t>mean</t>
        </is>
      </c>
      <c r="G1453" s="3" t="n">
        <v>9</v>
      </c>
      <c r="H1453" s="3" t="n">
        <v>-0.7833772301673889</v>
      </c>
      <c r="I1453" s="3" t="n">
        <v>-0.7833772301673889</v>
      </c>
      <c r="J1453" s="3" t="n">
        <v>-0.8553010225296021</v>
      </c>
      <c r="K1453" s="3" t="n">
        <v>-0.8553010225296021</v>
      </c>
      <c r="L1453" s="3" t="n">
        <v>-0.7833772301673889</v>
      </c>
      <c r="M1453" s="3" t="n">
        <v>-0.7833772301673889</v>
      </c>
      <c r="N1453" s="3" t="n">
        <v>-0.7833772301673889</v>
      </c>
      <c r="O1453" s="3" t="n">
        <v>-0.7833772301673889</v>
      </c>
      <c r="P1453" s="3" t="n">
        <v>-0.7833772301673889</v>
      </c>
      <c r="Q1453" s="3" t="n">
        <v>-0.7833772301673889</v>
      </c>
      <c r="R1453" s="3" t="n">
        <v>-0.7712535858154297</v>
      </c>
      <c r="S1453" s="3" t="n">
        <v>-1.001230716705322</v>
      </c>
      <c r="T1453" s="3" t="n">
        <v>-0.7090408802032471</v>
      </c>
      <c r="U1453" s="3" t="n">
        <v>-0.8553010225296021</v>
      </c>
      <c r="V1453" s="3" t="n">
        <v>-0.677699863910675</v>
      </c>
      <c r="W1453" s="3" t="n">
        <v>-0.528791069984436</v>
      </c>
      <c r="X1453" s="3" t="n">
        <v>-0.9980117678642273</v>
      </c>
      <c r="Y1453" s="3" t="n">
        <v>-0.7833772301673889</v>
      </c>
      <c r="Z1453" s="3" t="n">
        <v>-1.001230716705322</v>
      </c>
      <c r="AA1453" s="3" t="n">
        <v>-1.001230716705322</v>
      </c>
      <c r="AB1453" s="3" t="n">
        <v>-0.9980117678642273</v>
      </c>
      <c r="AC1453" s="3" t="n">
        <v>-1.096416473388672</v>
      </c>
      <c r="AD1453" s="3" t="n">
        <v>-0.8553010225296021</v>
      </c>
      <c r="AE1453" s="3" t="n">
        <v>-0.8553010225296021</v>
      </c>
    </row>
    <row r="1454">
      <c r="A1454" s="3" t="inlineStr">
        <is>
          <t>MNE.distn.dec.ove.mean.10</t>
        </is>
      </c>
      <c r="B1454" s="3" t="inlineStr">
        <is>
          <t>MNE</t>
        </is>
      </c>
      <c r="C1454" s="3" t="n">
        <v>2005</v>
      </c>
      <c r="D1454" s="3" t="inlineStr">
        <is>
          <t>Overall</t>
        </is>
      </c>
      <c r="E1454" s="3" t="inlineStr">
        <is>
          <t>Deciles</t>
        </is>
      </c>
      <c r="F1454" s="3" t="inlineStr">
        <is>
          <t>mean</t>
        </is>
      </c>
      <c r="G1454" s="3" t="n">
        <v>10</v>
      </c>
      <c r="H1454" s="3" t="n">
        <v>-0.7833772301673889</v>
      </c>
      <c r="I1454" s="3" t="n">
        <v>-0.7833772301673889</v>
      </c>
      <c r="J1454" s="3" t="n">
        <v>-0.8553010225296021</v>
      </c>
      <c r="K1454" s="3" t="n">
        <v>-0.8553010225296021</v>
      </c>
      <c r="L1454" s="3" t="n">
        <v>-0.7833772301673889</v>
      </c>
      <c r="M1454" s="3" t="n">
        <v>-0.7833772301673889</v>
      </c>
      <c r="N1454" s="3" t="n">
        <v>-0.7833772301673889</v>
      </c>
      <c r="O1454" s="3" t="n">
        <v>-0.7833772301673889</v>
      </c>
      <c r="P1454" s="3" t="n">
        <v>-0.7833772301673889</v>
      </c>
      <c r="Q1454" s="3" t="n">
        <v>-0.7833772301673889</v>
      </c>
      <c r="R1454" s="3" t="n">
        <v>-0.7712535858154297</v>
      </c>
      <c r="S1454" s="3" t="n">
        <v>-1.001230716705322</v>
      </c>
      <c r="T1454" s="3" t="n">
        <v>-0.7090408802032471</v>
      </c>
      <c r="U1454" s="3" t="n">
        <v>-0.8553010225296021</v>
      </c>
      <c r="V1454" s="3" t="n">
        <v>-0.677699863910675</v>
      </c>
      <c r="W1454" s="3" t="n">
        <v>-0.528791069984436</v>
      </c>
      <c r="X1454" s="3" t="n">
        <v>-0.9980117678642273</v>
      </c>
      <c r="Y1454" s="3" t="n">
        <v>-0.7833772301673889</v>
      </c>
      <c r="Z1454" s="3" t="n">
        <v>-1.001230716705322</v>
      </c>
      <c r="AA1454" s="3" t="n">
        <v>-1.001230716705322</v>
      </c>
      <c r="AB1454" s="3" t="n">
        <v>-0.9980117678642273</v>
      </c>
      <c r="AC1454" s="3" t="n">
        <v>-1.096416473388672</v>
      </c>
      <c r="AD1454" s="3" t="n">
        <v>-0.8553010225296021</v>
      </c>
      <c r="AE1454" s="3" t="n">
        <v>-0.8553010225296021</v>
      </c>
    </row>
    <row r="1455">
      <c r="A1455" s="3" t="inlineStr">
        <is>
          <t>MNE.distn.bkt.ove.mean.9999</t>
        </is>
      </c>
      <c r="B1455" s="3" t="inlineStr">
        <is>
          <t>MNE</t>
        </is>
      </c>
      <c r="C1455" s="3" t="n">
        <v>2005</v>
      </c>
      <c r="D1455" s="3" t="inlineStr">
        <is>
          <t>Overall</t>
        </is>
      </c>
      <c r="E1455" s="3" t="inlineStr">
        <is>
          <t>Basket</t>
        </is>
      </c>
      <c r="F1455" s="3" t="inlineStr">
        <is>
          <t>mean</t>
        </is>
      </c>
      <c r="G1455" s="3" t="n">
        <v>9999</v>
      </c>
      <c r="H1455" s="3" t="n">
        <v>-0.7849878668785095</v>
      </c>
      <c r="I1455" s="3" t="n">
        <v>-0.7849878668785095</v>
      </c>
      <c r="J1455" s="3" t="n">
        <v>-0.8666834831237793</v>
      </c>
      <c r="K1455" s="3" t="n">
        <v>-0.8666834831237793</v>
      </c>
      <c r="L1455" s="3" t="n">
        <v>-0.7849878668785095</v>
      </c>
      <c r="M1455" s="3" t="n">
        <v>-0.7849878668785095</v>
      </c>
      <c r="N1455" s="3" t="n">
        <v>-0.7849878668785095</v>
      </c>
      <c r="O1455" s="3" t="n">
        <v>-0.7849878668785095</v>
      </c>
      <c r="P1455" s="3" t="n">
        <v>-0.7849878668785095</v>
      </c>
      <c r="Q1455" s="3" t="n">
        <v>-0.7849878668785095</v>
      </c>
      <c r="R1455" s="3" t="n">
        <v>-0.7721186876296997</v>
      </c>
      <c r="S1455" s="3" t="n">
        <v>-1.134102344512939</v>
      </c>
      <c r="T1455" s="3" t="n">
        <v>-0.7094486355781555</v>
      </c>
      <c r="U1455" s="3" t="n">
        <v>-0.8666834831237793</v>
      </c>
      <c r="V1455" s="3" t="n">
        <v>-0.6792964339256287</v>
      </c>
      <c r="W1455" s="3" t="n">
        <v>-0.5482149124145508</v>
      </c>
      <c r="X1455" s="3" t="n">
        <v>-1.115416288375854</v>
      </c>
      <c r="Y1455" s="3" t="n">
        <v>-0.7849878668785095</v>
      </c>
      <c r="Z1455" s="3" t="n">
        <v>-1.134102344512939</v>
      </c>
      <c r="AA1455" s="3" t="n">
        <v>-1.134102344512939</v>
      </c>
      <c r="AB1455" s="3" t="n">
        <v>-1.115416288375854</v>
      </c>
      <c r="AC1455" s="3" t="n">
        <v>-1.43286120891571</v>
      </c>
      <c r="AD1455" s="3" t="n">
        <v>-0.8666834831237793</v>
      </c>
      <c r="AE1455" s="3" t="n">
        <v>-0.8666834831237793</v>
      </c>
    </row>
    <row r="1456">
      <c r="A1456" s="3" t="inlineStr">
        <is>
          <t>MNG.distn.dec.ove.mean.1</t>
        </is>
      </c>
      <c r="B1456" s="3" t="inlineStr">
        <is>
          <t>MNG</t>
        </is>
      </c>
      <c r="C1456" s="3" t="n">
        <v>2005</v>
      </c>
      <c r="D1456" s="3" t="inlineStr">
        <is>
          <t>Overall</t>
        </is>
      </c>
      <c r="E1456" s="3" t="inlineStr">
        <is>
          <t>Deciles</t>
        </is>
      </c>
      <c r="F1456" s="3" t="inlineStr">
        <is>
          <t>mean</t>
        </is>
      </c>
      <c r="G1456" s="3" t="n">
        <v>1</v>
      </c>
      <c r="H1456" s="3" t="n">
        <v>-0.7932808399200439</v>
      </c>
      <c r="I1456" s="3" t="n">
        <v>-0.7932808399200439</v>
      </c>
      <c r="J1456" s="3" t="n">
        <v>-0.9267830848693848</v>
      </c>
      <c r="K1456" s="3" t="n">
        <v>-0.9267830848693848</v>
      </c>
      <c r="L1456" s="3" t="n">
        <v>-0.7932808399200439</v>
      </c>
      <c r="M1456" s="3" t="n">
        <v>-0.7932808399200439</v>
      </c>
      <c r="N1456" s="3" t="n">
        <v>-0.7932808399200439</v>
      </c>
      <c r="O1456" s="3" t="n">
        <v>-0.7932808399200439</v>
      </c>
      <c r="P1456" s="3" t="n">
        <v>-0.7932808399200439</v>
      </c>
      <c r="Q1456" s="3" t="n">
        <v>-0.7932808399200439</v>
      </c>
      <c r="R1456" s="3" t="n">
        <v>-0.7764842510223389</v>
      </c>
      <c r="S1456" s="3" t="n">
        <v>-1.733931541442871</v>
      </c>
      <c r="T1456" s="3" t="n">
        <v>-0.7104546427726746</v>
      </c>
      <c r="U1456" s="3" t="n">
        <v>-0.9267830848693848</v>
      </c>
      <c r="V1456" s="3" t="n">
        <v>-0.6890063881874084</v>
      </c>
      <c r="W1456" s="3" t="n">
        <v>-0.6808410882949829</v>
      </c>
      <c r="X1456" s="3" t="n">
        <v>-1.660679817199707</v>
      </c>
      <c r="Y1456" s="3" t="n">
        <v>-0.7932808399200439</v>
      </c>
      <c r="Z1456" s="3" t="n">
        <v>-1.733931541442871</v>
      </c>
      <c r="AA1456" s="3" t="n">
        <v>-1.733931541442871</v>
      </c>
      <c r="AB1456" s="3" t="n">
        <v>-1.660679817199707</v>
      </c>
      <c r="AC1456" s="3" t="n">
        <v>-3.186846256256104</v>
      </c>
      <c r="AD1456" s="3" t="n">
        <v>-0.9267830848693848</v>
      </c>
      <c r="AE1456" s="3" t="n">
        <v>-0.9267830848693848</v>
      </c>
    </row>
    <row r="1457">
      <c r="A1457" s="3" t="inlineStr">
        <is>
          <t>MNG.distn.dec.ove.mean.2</t>
        </is>
      </c>
      <c r="B1457" s="3" t="inlineStr">
        <is>
          <t>MNG</t>
        </is>
      </c>
      <c r="C1457" s="3" t="n">
        <v>2005</v>
      </c>
      <c r="D1457" s="3" t="inlineStr">
        <is>
          <t>Overall</t>
        </is>
      </c>
      <c r="E1457" s="3" t="inlineStr">
        <is>
          <t>Deciles</t>
        </is>
      </c>
      <c r="F1457" s="3" t="inlineStr">
        <is>
          <t>mean</t>
        </is>
      </c>
      <c r="G1457" s="3" t="n">
        <v>2</v>
      </c>
      <c r="H1457" s="3" t="n">
        <v>-0.7932808399200439</v>
      </c>
      <c r="I1457" s="3" t="n">
        <v>-0.7932808399200439</v>
      </c>
      <c r="J1457" s="3" t="n">
        <v>-0.9267830848693848</v>
      </c>
      <c r="K1457" s="3" t="n">
        <v>-0.9267830848693848</v>
      </c>
      <c r="L1457" s="3" t="n">
        <v>-0.7932808399200439</v>
      </c>
      <c r="M1457" s="3" t="n">
        <v>-0.7932808399200439</v>
      </c>
      <c r="N1457" s="3" t="n">
        <v>-0.7932808399200439</v>
      </c>
      <c r="O1457" s="3" t="n">
        <v>-0.7932808399200439</v>
      </c>
      <c r="P1457" s="3" t="n">
        <v>-0.7932808399200439</v>
      </c>
      <c r="Q1457" s="3" t="n">
        <v>-0.7932808399200439</v>
      </c>
      <c r="R1457" s="3" t="n">
        <v>-0.7764842510223389</v>
      </c>
      <c r="S1457" s="3" t="n">
        <v>-1.733931541442871</v>
      </c>
      <c r="T1457" s="3" t="n">
        <v>-0.7104546427726746</v>
      </c>
      <c r="U1457" s="3" t="n">
        <v>-0.9267830848693848</v>
      </c>
      <c r="V1457" s="3" t="n">
        <v>-0.6890063881874084</v>
      </c>
      <c r="W1457" s="3" t="n">
        <v>-0.6808410882949829</v>
      </c>
      <c r="X1457" s="3" t="n">
        <v>-1.660679817199707</v>
      </c>
      <c r="Y1457" s="3" t="n">
        <v>-0.7932808399200439</v>
      </c>
      <c r="Z1457" s="3" t="n">
        <v>-1.733931541442871</v>
      </c>
      <c r="AA1457" s="3" t="n">
        <v>-1.733931541442871</v>
      </c>
      <c r="AB1457" s="3" t="n">
        <v>-1.660679817199707</v>
      </c>
      <c r="AC1457" s="3" t="n">
        <v>-3.186846256256104</v>
      </c>
      <c r="AD1457" s="3" t="n">
        <v>-0.9267830848693848</v>
      </c>
      <c r="AE1457" s="3" t="n">
        <v>-0.9267830848693848</v>
      </c>
    </row>
    <row r="1458">
      <c r="A1458" s="3" t="inlineStr">
        <is>
          <t>MNG.distn.dec.ove.mean.3</t>
        </is>
      </c>
      <c r="B1458" s="3" t="inlineStr">
        <is>
          <t>MNG</t>
        </is>
      </c>
      <c r="C1458" s="3" t="n">
        <v>2005</v>
      </c>
      <c r="D1458" s="3" t="inlineStr">
        <is>
          <t>Overall</t>
        </is>
      </c>
      <c r="E1458" s="3" t="inlineStr">
        <is>
          <t>Deciles</t>
        </is>
      </c>
      <c r="F1458" s="3" t="inlineStr">
        <is>
          <t>mean</t>
        </is>
      </c>
      <c r="G1458" s="3" t="n">
        <v>3</v>
      </c>
      <c r="H1458" s="3" t="n">
        <v>-0.7932808399200439</v>
      </c>
      <c r="I1458" s="3" t="n">
        <v>-0.7932808399200439</v>
      </c>
      <c r="J1458" s="3" t="n">
        <v>-0.9267830848693848</v>
      </c>
      <c r="K1458" s="3" t="n">
        <v>-0.9267830848693848</v>
      </c>
      <c r="L1458" s="3" t="n">
        <v>-0.7932808399200439</v>
      </c>
      <c r="M1458" s="3" t="n">
        <v>-0.7932808399200439</v>
      </c>
      <c r="N1458" s="3" t="n">
        <v>-0.7932808399200439</v>
      </c>
      <c r="O1458" s="3" t="n">
        <v>-0.7932808399200439</v>
      </c>
      <c r="P1458" s="3" t="n">
        <v>-0.7932808399200439</v>
      </c>
      <c r="Q1458" s="3" t="n">
        <v>-0.7932808399200439</v>
      </c>
      <c r="R1458" s="3" t="n">
        <v>-0.7764842510223389</v>
      </c>
      <c r="S1458" s="3" t="n">
        <v>-1.733931541442871</v>
      </c>
      <c r="T1458" s="3" t="n">
        <v>-0.7104546427726746</v>
      </c>
      <c r="U1458" s="3" t="n">
        <v>-0.9267830848693848</v>
      </c>
      <c r="V1458" s="3" t="n">
        <v>-0.6890063881874084</v>
      </c>
      <c r="W1458" s="3" t="n">
        <v>-0.6808410882949829</v>
      </c>
      <c r="X1458" s="3" t="n">
        <v>-1.660679817199707</v>
      </c>
      <c r="Y1458" s="3" t="n">
        <v>-0.7932808399200439</v>
      </c>
      <c r="Z1458" s="3" t="n">
        <v>-1.733931541442871</v>
      </c>
      <c r="AA1458" s="3" t="n">
        <v>-1.733931541442871</v>
      </c>
      <c r="AB1458" s="3" t="n">
        <v>-1.660679817199707</v>
      </c>
      <c r="AC1458" s="3" t="n">
        <v>-3.186846256256104</v>
      </c>
      <c r="AD1458" s="3" t="n">
        <v>-0.9267830848693848</v>
      </c>
      <c r="AE1458" s="3" t="n">
        <v>-0.9267830848693848</v>
      </c>
    </row>
    <row r="1459">
      <c r="A1459" s="3" t="inlineStr">
        <is>
          <t>MNG.distn.dec.ove.mean.4</t>
        </is>
      </c>
      <c r="B1459" s="3" t="inlineStr">
        <is>
          <t>MNG</t>
        </is>
      </c>
      <c r="C1459" s="3" t="n">
        <v>2005</v>
      </c>
      <c r="D1459" s="3" t="inlineStr">
        <is>
          <t>Overall</t>
        </is>
      </c>
      <c r="E1459" s="3" t="inlineStr">
        <is>
          <t>Deciles</t>
        </is>
      </c>
      <c r="F1459" s="3" t="inlineStr">
        <is>
          <t>mean</t>
        </is>
      </c>
      <c r="G1459" s="3" t="n">
        <v>4</v>
      </c>
      <c r="H1459" s="3" t="n">
        <v>-0.7870000004768372</v>
      </c>
      <c r="I1459" s="3" t="n">
        <v>-0.7870000004768372</v>
      </c>
      <c r="J1459" s="3" t="n">
        <v>-0.8820000290870667</v>
      </c>
      <c r="K1459" s="3" t="n">
        <v>-0.8820000290870667</v>
      </c>
      <c r="L1459" s="3" t="n">
        <v>-0.7870000004768372</v>
      </c>
      <c r="M1459" s="3" t="n">
        <v>-0.7870000004768372</v>
      </c>
      <c r="N1459" s="3" t="n">
        <v>-0.7870000004768372</v>
      </c>
      <c r="O1459" s="3" t="n">
        <v>-0.7870000004768372</v>
      </c>
      <c r="P1459" s="3" t="n">
        <v>-0.7870000004768372</v>
      </c>
      <c r="Q1459" s="3" t="n">
        <v>-0.7870000004768372</v>
      </c>
      <c r="R1459" s="3" t="n">
        <v>-0.7730000019073486</v>
      </c>
      <c r="S1459" s="3" t="n">
        <v>-1.180999994277954</v>
      </c>
      <c r="T1459" s="3" t="n">
        <v>-0.7089999914169312</v>
      </c>
      <c r="U1459" s="3" t="n">
        <v>-0.8820000290870667</v>
      </c>
      <c r="V1459" s="3" t="n">
        <v>-0.6819999814033508</v>
      </c>
      <c r="W1459" s="3" t="n">
        <v>-0.5730000138282776</v>
      </c>
      <c r="X1459" s="3" t="n">
        <v>-1.172000050544739</v>
      </c>
      <c r="Y1459" s="3" t="n">
        <v>-0.7870000004768372</v>
      </c>
      <c r="Z1459" s="3" t="n">
        <v>-1.180999994277954</v>
      </c>
      <c r="AA1459" s="3" t="n">
        <v>-1.180999994277954</v>
      </c>
      <c r="AB1459" s="3" t="n">
        <v>-1.172000050544739</v>
      </c>
      <c r="AC1459" s="3" t="n">
        <v>-1.539000034332275</v>
      </c>
      <c r="AD1459" s="3" t="n">
        <v>-0.8820000290870667</v>
      </c>
      <c r="AE1459" s="3" t="n">
        <v>-0.8820000290870667</v>
      </c>
    </row>
    <row r="1460">
      <c r="A1460" s="3" t="inlineStr">
        <is>
          <t>MNG.distn.dec.ove.mean.5</t>
        </is>
      </c>
      <c r="B1460" s="3" t="inlineStr">
        <is>
          <t>MNG</t>
        </is>
      </c>
      <c r="C1460" s="3" t="n">
        <v>2005</v>
      </c>
      <c r="D1460" s="3" t="inlineStr">
        <is>
          <t>Overall</t>
        </is>
      </c>
      <c r="E1460" s="3" t="inlineStr">
        <is>
          <t>Deciles</t>
        </is>
      </c>
      <c r="F1460" s="3" t="inlineStr">
        <is>
          <t>mean</t>
        </is>
      </c>
      <c r="G1460" s="3" t="n">
        <v>5</v>
      </c>
      <c r="H1460" s="3" t="n">
        <v>-0.7870000004768372</v>
      </c>
      <c r="I1460" s="3" t="n">
        <v>-0.7870000004768372</v>
      </c>
      <c r="J1460" s="3" t="n">
        <v>-0.8820000290870667</v>
      </c>
      <c r="K1460" s="3" t="n">
        <v>-0.8820000290870667</v>
      </c>
      <c r="L1460" s="3" t="n">
        <v>-0.7870000004768372</v>
      </c>
      <c r="M1460" s="3" t="n">
        <v>-0.7870000004768372</v>
      </c>
      <c r="N1460" s="3" t="n">
        <v>-0.7870000004768372</v>
      </c>
      <c r="O1460" s="3" t="n">
        <v>-0.7870000004768372</v>
      </c>
      <c r="P1460" s="3" t="n">
        <v>-0.7870000004768372</v>
      </c>
      <c r="Q1460" s="3" t="n">
        <v>-0.7870000004768372</v>
      </c>
      <c r="R1460" s="3" t="n">
        <v>-0.7730000019073486</v>
      </c>
      <c r="S1460" s="3" t="n">
        <v>-1.180999994277954</v>
      </c>
      <c r="T1460" s="3" t="n">
        <v>-0.7089999914169312</v>
      </c>
      <c r="U1460" s="3" t="n">
        <v>-0.8820000290870667</v>
      </c>
      <c r="V1460" s="3" t="n">
        <v>-0.6819999814033508</v>
      </c>
      <c r="W1460" s="3" t="n">
        <v>-0.5730000138282776</v>
      </c>
      <c r="X1460" s="3" t="n">
        <v>-1.172000050544739</v>
      </c>
      <c r="Y1460" s="3" t="n">
        <v>-0.7870000004768372</v>
      </c>
      <c r="Z1460" s="3" t="n">
        <v>-1.180999994277954</v>
      </c>
      <c r="AA1460" s="3" t="n">
        <v>-1.180999994277954</v>
      </c>
      <c r="AB1460" s="3" t="n">
        <v>-1.172000050544739</v>
      </c>
      <c r="AC1460" s="3" t="n">
        <v>-1.539000034332275</v>
      </c>
      <c r="AD1460" s="3" t="n">
        <v>-0.8820000290870667</v>
      </c>
      <c r="AE1460" s="3" t="n">
        <v>-0.8820000290870667</v>
      </c>
    </row>
    <row r="1461">
      <c r="A1461" s="3" t="inlineStr">
        <is>
          <t>MNG.distn.dec.ove.mean.6</t>
        </is>
      </c>
      <c r="B1461" s="3" t="inlineStr">
        <is>
          <t>MNG</t>
        </is>
      </c>
      <c r="C1461" s="3" t="n">
        <v>2005</v>
      </c>
      <c r="D1461" s="3" t="inlineStr">
        <is>
          <t>Overall</t>
        </is>
      </c>
      <c r="E1461" s="3" t="inlineStr">
        <is>
          <t>Deciles</t>
        </is>
      </c>
      <c r="F1461" s="3" t="inlineStr">
        <is>
          <t>mean</t>
        </is>
      </c>
      <c r="G1461" s="3" t="n">
        <v>6</v>
      </c>
      <c r="H1461" s="3" t="n">
        <v>-0.7870000004768372</v>
      </c>
      <c r="I1461" s="3" t="n">
        <v>-0.7870000004768372</v>
      </c>
      <c r="J1461" s="3" t="n">
        <v>-0.8820000290870667</v>
      </c>
      <c r="K1461" s="3" t="n">
        <v>-0.8820000290870667</v>
      </c>
      <c r="L1461" s="3" t="n">
        <v>-0.7870000004768372</v>
      </c>
      <c r="M1461" s="3" t="n">
        <v>-0.7870000004768372</v>
      </c>
      <c r="N1461" s="3" t="n">
        <v>-0.7870000004768372</v>
      </c>
      <c r="O1461" s="3" t="n">
        <v>-0.7870000004768372</v>
      </c>
      <c r="P1461" s="3" t="n">
        <v>-0.7870000004768372</v>
      </c>
      <c r="Q1461" s="3" t="n">
        <v>-0.7870000004768372</v>
      </c>
      <c r="R1461" s="3" t="n">
        <v>-0.7730000019073486</v>
      </c>
      <c r="S1461" s="3" t="n">
        <v>-1.180999994277954</v>
      </c>
      <c r="T1461" s="3" t="n">
        <v>-0.7089999914169312</v>
      </c>
      <c r="U1461" s="3" t="n">
        <v>-0.8820000290870667</v>
      </c>
      <c r="V1461" s="3" t="n">
        <v>-0.6819999814033508</v>
      </c>
      <c r="W1461" s="3" t="n">
        <v>-0.5730000138282776</v>
      </c>
      <c r="X1461" s="3" t="n">
        <v>-1.172000050544739</v>
      </c>
      <c r="Y1461" s="3" t="n">
        <v>-0.7870000004768372</v>
      </c>
      <c r="Z1461" s="3" t="n">
        <v>-1.180999994277954</v>
      </c>
      <c r="AA1461" s="3" t="n">
        <v>-1.180999994277954</v>
      </c>
      <c r="AB1461" s="3" t="n">
        <v>-1.172000050544739</v>
      </c>
      <c r="AC1461" s="3" t="n">
        <v>-1.539000034332275</v>
      </c>
      <c r="AD1461" s="3" t="n">
        <v>-0.8820000290870667</v>
      </c>
      <c r="AE1461" s="3" t="n">
        <v>-0.8820000290870667</v>
      </c>
    </row>
    <row r="1462">
      <c r="A1462" s="3" t="inlineStr">
        <is>
          <t>MNG.distn.dec.ove.mean.7</t>
        </is>
      </c>
      <c r="B1462" s="3" t="inlineStr">
        <is>
          <t>MNG</t>
        </is>
      </c>
      <c r="C1462" s="3" t="n">
        <v>2005</v>
      </c>
      <c r="D1462" s="3" t="inlineStr">
        <is>
          <t>Overall</t>
        </is>
      </c>
      <c r="E1462" s="3" t="inlineStr">
        <is>
          <t>Deciles</t>
        </is>
      </c>
      <c r="F1462" s="3" t="inlineStr">
        <is>
          <t>mean</t>
        </is>
      </c>
      <c r="G1462" s="3" t="n">
        <v>7</v>
      </c>
      <c r="H1462" s="3" t="n">
        <v>-0.7870000004768372</v>
      </c>
      <c r="I1462" s="3" t="n">
        <v>-0.7870000004768372</v>
      </c>
      <c r="J1462" s="3" t="n">
        <v>-0.8820000290870667</v>
      </c>
      <c r="K1462" s="3" t="n">
        <v>-0.8820000290870667</v>
      </c>
      <c r="L1462" s="3" t="n">
        <v>-0.7870000004768372</v>
      </c>
      <c r="M1462" s="3" t="n">
        <v>-0.7870000004768372</v>
      </c>
      <c r="N1462" s="3" t="n">
        <v>-0.7870000004768372</v>
      </c>
      <c r="O1462" s="3" t="n">
        <v>-0.7870000004768372</v>
      </c>
      <c r="P1462" s="3" t="n">
        <v>-0.7870000004768372</v>
      </c>
      <c r="Q1462" s="3" t="n">
        <v>-0.7870000004768372</v>
      </c>
      <c r="R1462" s="3" t="n">
        <v>-0.7730000019073486</v>
      </c>
      <c r="S1462" s="3" t="n">
        <v>-1.180999994277954</v>
      </c>
      <c r="T1462" s="3" t="n">
        <v>-0.7089999914169312</v>
      </c>
      <c r="U1462" s="3" t="n">
        <v>-0.8820000290870667</v>
      </c>
      <c r="V1462" s="3" t="n">
        <v>-0.6819999814033508</v>
      </c>
      <c r="W1462" s="3" t="n">
        <v>-0.5730000138282776</v>
      </c>
      <c r="X1462" s="3" t="n">
        <v>-1.172000050544739</v>
      </c>
      <c r="Y1462" s="3" t="n">
        <v>-0.7870000004768372</v>
      </c>
      <c r="Z1462" s="3" t="n">
        <v>-1.180999994277954</v>
      </c>
      <c r="AA1462" s="3" t="n">
        <v>-1.180999994277954</v>
      </c>
      <c r="AB1462" s="3" t="n">
        <v>-1.172000050544739</v>
      </c>
      <c r="AC1462" s="3" t="n">
        <v>-1.539000034332275</v>
      </c>
      <c r="AD1462" s="3" t="n">
        <v>-0.8820000290870667</v>
      </c>
      <c r="AE1462" s="3" t="n">
        <v>-0.8820000290870667</v>
      </c>
    </row>
    <row r="1463">
      <c r="A1463" s="3" t="inlineStr">
        <is>
          <t>MNG.distn.dec.ove.mean.8</t>
        </is>
      </c>
      <c r="B1463" s="3" t="inlineStr">
        <is>
          <t>MNG</t>
        </is>
      </c>
      <c r="C1463" s="3" t="n">
        <v>2005</v>
      </c>
      <c r="D1463" s="3" t="inlineStr">
        <is>
          <t>Overall</t>
        </is>
      </c>
      <c r="E1463" s="3" t="inlineStr">
        <is>
          <t>Deciles</t>
        </is>
      </c>
      <c r="F1463" s="3" t="inlineStr">
        <is>
          <t>mean</t>
        </is>
      </c>
      <c r="G1463" s="3" t="n">
        <v>8</v>
      </c>
      <c r="H1463" s="3" t="n">
        <v>-0.7873791456222534</v>
      </c>
      <c r="I1463" s="3" t="n">
        <v>-0.7873791456222534</v>
      </c>
      <c r="J1463" s="3" t="n">
        <v>-0.8843792676925659</v>
      </c>
      <c r="K1463" s="3" t="n">
        <v>-0.8843792676925659</v>
      </c>
      <c r="L1463" s="3" t="n">
        <v>-0.7873791456222534</v>
      </c>
      <c r="M1463" s="3" t="n">
        <v>-0.7873791456222534</v>
      </c>
      <c r="N1463" s="3" t="n">
        <v>-0.7873791456222534</v>
      </c>
      <c r="O1463" s="3" t="n">
        <v>-0.7873791456222534</v>
      </c>
      <c r="P1463" s="3" t="n">
        <v>-0.7873791456222534</v>
      </c>
      <c r="Q1463" s="3" t="n">
        <v>-0.7873791456222534</v>
      </c>
      <c r="R1463" s="3" t="n">
        <v>-0.7732542157173157</v>
      </c>
      <c r="S1463" s="3" t="n">
        <v>-1.191989302635193</v>
      </c>
      <c r="T1463" s="3" t="n">
        <v>-0.7090408802032471</v>
      </c>
      <c r="U1463" s="3" t="n">
        <v>-0.8843792676925659</v>
      </c>
      <c r="V1463" s="3" t="n">
        <v>-0.6827050447463989</v>
      </c>
      <c r="W1463" s="3" t="n">
        <v>-0.5883442759513855</v>
      </c>
      <c r="X1463" s="3" t="n">
        <v>-1.182679295539856</v>
      </c>
      <c r="Y1463" s="3" t="n">
        <v>-0.7873791456222534</v>
      </c>
      <c r="Z1463" s="3" t="n">
        <v>-1.191989302635193</v>
      </c>
      <c r="AA1463" s="3" t="n">
        <v>-1.191989302635193</v>
      </c>
      <c r="AB1463" s="3" t="n">
        <v>-1.182679295539856</v>
      </c>
      <c r="AC1463" s="3" t="n">
        <v>-1.560948133468628</v>
      </c>
      <c r="AD1463" s="3" t="n">
        <v>-0.8843792676925659</v>
      </c>
      <c r="AE1463" s="3" t="n">
        <v>-0.8843792676925659</v>
      </c>
    </row>
    <row r="1464">
      <c r="A1464" s="3" t="inlineStr">
        <is>
          <t>MNG.distn.dec.ove.mean.9</t>
        </is>
      </c>
      <c r="B1464" s="3" t="inlineStr">
        <is>
          <t>MNG</t>
        </is>
      </c>
      <c r="C1464" s="3" t="n">
        <v>2005</v>
      </c>
      <c r="D1464" s="3" t="inlineStr">
        <is>
          <t>Overall</t>
        </is>
      </c>
      <c r="E1464" s="3" t="inlineStr">
        <is>
          <t>Deciles</t>
        </is>
      </c>
      <c r="F1464" s="3" t="inlineStr">
        <is>
          <t>mean</t>
        </is>
      </c>
      <c r="G1464" s="3" t="n">
        <v>9</v>
      </c>
      <c r="H1464" s="3" t="n">
        <v>-0.7873791456222534</v>
      </c>
      <c r="I1464" s="3" t="n">
        <v>-0.7873791456222534</v>
      </c>
      <c r="J1464" s="3" t="n">
        <v>-0.8843792676925659</v>
      </c>
      <c r="K1464" s="3" t="n">
        <v>-0.8843792676925659</v>
      </c>
      <c r="L1464" s="3" t="n">
        <v>-0.7873791456222534</v>
      </c>
      <c r="M1464" s="3" t="n">
        <v>-0.7873791456222534</v>
      </c>
      <c r="N1464" s="3" t="n">
        <v>-0.7873791456222534</v>
      </c>
      <c r="O1464" s="3" t="n">
        <v>-0.7873791456222534</v>
      </c>
      <c r="P1464" s="3" t="n">
        <v>-0.7873791456222534</v>
      </c>
      <c r="Q1464" s="3" t="n">
        <v>-0.7873791456222534</v>
      </c>
      <c r="R1464" s="3" t="n">
        <v>-0.7732542157173157</v>
      </c>
      <c r="S1464" s="3" t="n">
        <v>-1.191989302635193</v>
      </c>
      <c r="T1464" s="3" t="n">
        <v>-0.7090408802032471</v>
      </c>
      <c r="U1464" s="3" t="n">
        <v>-0.8843792676925659</v>
      </c>
      <c r="V1464" s="3" t="n">
        <v>-0.6827050447463989</v>
      </c>
      <c r="W1464" s="3" t="n">
        <v>-0.5883442759513855</v>
      </c>
      <c r="X1464" s="3" t="n">
        <v>-1.182679295539856</v>
      </c>
      <c r="Y1464" s="3" t="n">
        <v>-0.7873791456222534</v>
      </c>
      <c r="Z1464" s="3" t="n">
        <v>-1.191989302635193</v>
      </c>
      <c r="AA1464" s="3" t="n">
        <v>-1.191989302635193</v>
      </c>
      <c r="AB1464" s="3" t="n">
        <v>-1.182679295539856</v>
      </c>
      <c r="AC1464" s="3" t="n">
        <v>-1.560948133468628</v>
      </c>
      <c r="AD1464" s="3" t="n">
        <v>-0.8843792676925659</v>
      </c>
      <c r="AE1464" s="3" t="n">
        <v>-0.8843792676925659</v>
      </c>
    </row>
    <row r="1465">
      <c r="A1465" s="3" t="inlineStr">
        <is>
          <t>MNG.distn.dec.ove.mean.10</t>
        </is>
      </c>
      <c r="B1465" s="3" t="inlineStr">
        <is>
          <t>MNG</t>
        </is>
      </c>
      <c r="C1465" s="3" t="n">
        <v>2005</v>
      </c>
      <c r="D1465" s="3" t="inlineStr">
        <is>
          <t>Overall</t>
        </is>
      </c>
      <c r="E1465" s="3" t="inlineStr">
        <is>
          <t>Deciles</t>
        </is>
      </c>
      <c r="F1465" s="3" t="inlineStr">
        <is>
          <t>mean</t>
        </is>
      </c>
      <c r="G1465" s="3" t="n">
        <v>10</v>
      </c>
      <c r="H1465" s="3" t="n">
        <v>-0.7873791456222534</v>
      </c>
      <c r="I1465" s="3" t="n">
        <v>-0.7873791456222534</v>
      </c>
      <c r="J1465" s="3" t="n">
        <v>-0.8843792676925659</v>
      </c>
      <c r="K1465" s="3" t="n">
        <v>-0.8843792676925659</v>
      </c>
      <c r="L1465" s="3" t="n">
        <v>-0.7873791456222534</v>
      </c>
      <c r="M1465" s="3" t="n">
        <v>-0.7873791456222534</v>
      </c>
      <c r="N1465" s="3" t="n">
        <v>-0.7873791456222534</v>
      </c>
      <c r="O1465" s="3" t="n">
        <v>-0.7873791456222534</v>
      </c>
      <c r="P1465" s="3" t="n">
        <v>-0.7873791456222534</v>
      </c>
      <c r="Q1465" s="3" t="n">
        <v>-0.7873791456222534</v>
      </c>
      <c r="R1465" s="3" t="n">
        <v>-0.7732542157173157</v>
      </c>
      <c r="S1465" s="3" t="n">
        <v>-1.191989302635193</v>
      </c>
      <c r="T1465" s="3" t="n">
        <v>-0.7090408802032471</v>
      </c>
      <c r="U1465" s="3" t="n">
        <v>-0.8843792676925659</v>
      </c>
      <c r="V1465" s="3" t="n">
        <v>-0.6827050447463989</v>
      </c>
      <c r="W1465" s="3" t="n">
        <v>-0.5883442759513855</v>
      </c>
      <c r="X1465" s="3" t="n">
        <v>-1.182679295539856</v>
      </c>
      <c r="Y1465" s="3" t="n">
        <v>-0.7873791456222534</v>
      </c>
      <c r="Z1465" s="3" t="n">
        <v>-1.191989302635193</v>
      </c>
      <c r="AA1465" s="3" t="n">
        <v>-1.191989302635193</v>
      </c>
      <c r="AB1465" s="3" t="n">
        <v>-1.182679295539856</v>
      </c>
      <c r="AC1465" s="3" t="n">
        <v>-1.560948133468628</v>
      </c>
      <c r="AD1465" s="3" t="n">
        <v>-0.8843792676925659</v>
      </c>
      <c r="AE1465" s="3" t="n">
        <v>-0.8843792676925659</v>
      </c>
    </row>
    <row r="1466">
      <c r="A1466" s="3" t="inlineStr">
        <is>
          <t>MNG.distn.bkt.ove.mean.9999</t>
        </is>
      </c>
      <c r="B1466" s="3" t="inlineStr">
        <is>
          <t>MNG</t>
        </is>
      </c>
      <c r="C1466" s="3" t="n">
        <v>2005</v>
      </c>
      <c r="D1466" s="3" t="inlineStr">
        <is>
          <t>Overall</t>
        </is>
      </c>
      <c r="E1466" s="3" t="inlineStr">
        <is>
          <t>Basket</t>
        </is>
      </c>
      <c r="F1466" s="3" t="inlineStr">
        <is>
          <t>mean</t>
        </is>
      </c>
      <c r="G1466" s="3" t="n">
        <v>9999</v>
      </c>
      <c r="H1466" s="3" t="n">
        <v>-0.788998007774353</v>
      </c>
      <c r="I1466" s="3" t="n">
        <v>-0.788998007774353</v>
      </c>
      <c r="J1466" s="3" t="n">
        <v>-0.8961487412452698</v>
      </c>
      <c r="K1466" s="3" t="n">
        <v>-0.8961487412452698</v>
      </c>
      <c r="L1466" s="3" t="n">
        <v>-0.788998007774353</v>
      </c>
      <c r="M1466" s="3" t="n">
        <v>-0.788998007774353</v>
      </c>
      <c r="N1466" s="3" t="n">
        <v>-0.788998007774353</v>
      </c>
      <c r="O1466" s="3" t="n">
        <v>-0.788998007774353</v>
      </c>
      <c r="P1466" s="3" t="n">
        <v>-0.788998007774353</v>
      </c>
      <c r="Q1466" s="3" t="n">
        <v>-0.788998007774353</v>
      </c>
      <c r="R1466" s="3" t="n">
        <v>-0.7741215229034424</v>
      </c>
      <c r="S1466" s="3" t="n">
        <v>-1.350176215171814</v>
      </c>
      <c r="T1466" s="3" t="n">
        <v>-0.7094486355781555</v>
      </c>
      <c r="U1466" s="3" t="n">
        <v>-0.8961487412452698</v>
      </c>
      <c r="V1466" s="3" t="n">
        <v>-0.6843134164810181</v>
      </c>
      <c r="W1466" s="3" t="n">
        <v>-0.6099556088447571</v>
      </c>
      <c r="X1466" s="3" t="n">
        <v>-1.321807742118835</v>
      </c>
      <c r="Y1466" s="3" t="n">
        <v>-0.788998007774353</v>
      </c>
      <c r="Z1466" s="3" t="n">
        <v>-1.350176215171814</v>
      </c>
      <c r="AA1466" s="3" t="n">
        <v>-1.350176215171814</v>
      </c>
      <c r="AB1466" s="3" t="n">
        <v>-1.321807742118835</v>
      </c>
      <c r="AC1466" s="3" t="n">
        <v>-2.039938449859619</v>
      </c>
      <c r="AD1466" s="3" t="n">
        <v>-0.8961487412452698</v>
      </c>
      <c r="AE1466" s="3" t="n">
        <v>-0.8961487412452698</v>
      </c>
    </row>
    <row r="1467">
      <c r="A1467" s="3" t="inlineStr">
        <is>
          <t>MNP.distn.dec.ove.mean.1</t>
        </is>
      </c>
      <c r="B1467" s="3" t="inlineStr">
        <is>
          <t>MNP</t>
        </is>
      </c>
      <c r="C1467" s="3" t="n">
        <v>2005</v>
      </c>
      <c r="D1467" s="3" t="inlineStr">
        <is>
          <t>Overall</t>
        </is>
      </c>
      <c r="E1467" s="3" t="inlineStr">
        <is>
          <t>Deciles</t>
        </is>
      </c>
      <c r="F1467" s="3" t="inlineStr">
        <is>
          <t>mean</t>
        </is>
      </c>
      <c r="G1467" s="3" t="n">
        <v>1</v>
      </c>
      <c r="H1467" s="3" t="n">
        <v>-0.7878549098968506</v>
      </c>
      <c r="I1467" s="3" t="n">
        <v>-0.7878549098968506</v>
      </c>
      <c r="J1467" s="3" t="n">
        <v>-0.8883962808771336</v>
      </c>
      <c r="K1467" s="3" t="n">
        <v>-0.8883962808771336</v>
      </c>
      <c r="L1467" s="3" t="n">
        <v>-0.7878549098968506</v>
      </c>
      <c r="M1467" s="3" t="n">
        <v>-0.7878549098968506</v>
      </c>
      <c r="N1467" s="3" t="n">
        <v>-0.7878549098968506</v>
      </c>
      <c r="O1467" s="3" t="n">
        <v>-0.7878549098968506</v>
      </c>
      <c r="P1467" s="3" t="n">
        <v>-0.7878549098968506</v>
      </c>
      <c r="Q1467" s="3" t="n">
        <v>-0.7878549098968506</v>
      </c>
      <c r="R1467" s="3" t="n">
        <v>-0.7732356596500316</v>
      </c>
      <c r="S1467" s="3" t="n">
        <v>-1.408805674694954</v>
      </c>
      <c r="T1467" s="3" t="n">
        <v>-0.7095591730259835</v>
      </c>
      <c r="U1467" s="3" t="n">
        <v>-0.8883962808771336</v>
      </c>
      <c r="V1467" s="3" t="n">
        <v>-0.681934451803248</v>
      </c>
      <c r="W1467" s="3" t="n">
        <v>-0.5702875047288043</v>
      </c>
      <c r="X1467" s="3" t="n">
        <v>-1.356243993373627</v>
      </c>
      <c r="Y1467" s="3" t="n">
        <v>-0.7878549098968506</v>
      </c>
      <c r="Z1467" s="3" t="n">
        <v>-1.408805674694954</v>
      </c>
      <c r="AA1467" s="3" t="n">
        <v>-1.408805674694954</v>
      </c>
      <c r="AB1467" s="3" t="n">
        <v>-1.356243993373627</v>
      </c>
      <c r="AC1467" s="3" t="n">
        <v>-2.123991362592007</v>
      </c>
      <c r="AD1467" s="3" t="n">
        <v>-0.8883962808771336</v>
      </c>
      <c r="AE1467" s="3" t="n">
        <v>-0.8883962808771336</v>
      </c>
    </row>
    <row r="1468">
      <c r="A1468" s="3" t="inlineStr">
        <is>
          <t>MNP.distn.dec.ove.mean.2</t>
        </is>
      </c>
      <c r="B1468" s="3" t="inlineStr">
        <is>
          <t>MNP</t>
        </is>
      </c>
      <c r="C1468" s="3" t="n">
        <v>2005</v>
      </c>
      <c r="D1468" s="3" t="inlineStr">
        <is>
          <t>Overall</t>
        </is>
      </c>
      <c r="E1468" s="3" t="inlineStr">
        <is>
          <t>Deciles</t>
        </is>
      </c>
      <c r="F1468" s="3" t="inlineStr">
        <is>
          <t>mean</t>
        </is>
      </c>
      <c r="G1468" s="3" t="n">
        <v>2</v>
      </c>
      <c r="H1468" s="3" t="n">
        <v>-0.7878549098968506</v>
      </c>
      <c r="I1468" s="3" t="n">
        <v>-0.7878549098968506</v>
      </c>
      <c r="J1468" s="3" t="n">
        <v>-0.8883962808771336</v>
      </c>
      <c r="K1468" s="3" t="n">
        <v>-0.8883962808771336</v>
      </c>
      <c r="L1468" s="3" t="n">
        <v>-0.7878549098968506</v>
      </c>
      <c r="M1468" s="3" t="n">
        <v>-0.7878549098968506</v>
      </c>
      <c r="N1468" s="3" t="n">
        <v>-0.7878549098968506</v>
      </c>
      <c r="O1468" s="3" t="n">
        <v>-0.7878549098968506</v>
      </c>
      <c r="P1468" s="3" t="n">
        <v>-0.7878549098968506</v>
      </c>
      <c r="Q1468" s="3" t="n">
        <v>-0.7878549098968506</v>
      </c>
      <c r="R1468" s="3" t="n">
        <v>-0.7732356596500316</v>
      </c>
      <c r="S1468" s="3" t="n">
        <v>-1.408805674694954</v>
      </c>
      <c r="T1468" s="3" t="n">
        <v>-0.7095591730259835</v>
      </c>
      <c r="U1468" s="3" t="n">
        <v>-0.8883962808771336</v>
      </c>
      <c r="V1468" s="3" t="n">
        <v>-0.681934451803248</v>
      </c>
      <c r="W1468" s="3" t="n">
        <v>-0.5702875047288043</v>
      </c>
      <c r="X1468" s="3" t="n">
        <v>-1.356243993373627</v>
      </c>
      <c r="Y1468" s="3" t="n">
        <v>-0.7878549098968506</v>
      </c>
      <c r="Z1468" s="3" t="n">
        <v>-1.408805674694954</v>
      </c>
      <c r="AA1468" s="3" t="n">
        <v>-1.408805674694954</v>
      </c>
      <c r="AB1468" s="3" t="n">
        <v>-1.356243993373627</v>
      </c>
      <c r="AC1468" s="3" t="n">
        <v>-2.123991362592007</v>
      </c>
      <c r="AD1468" s="3" t="n">
        <v>-0.8883962808771336</v>
      </c>
      <c r="AE1468" s="3" t="n">
        <v>-0.8883962808771336</v>
      </c>
    </row>
    <row r="1469">
      <c r="A1469" s="3" t="inlineStr">
        <is>
          <t>MNP.distn.dec.ove.mean.3</t>
        </is>
      </c>
      <c r="B1469" s="3" t="inlineStr">
        <is>
          <t>MNP</t>
        </is>
      </c>
      <c r="C1469" s="3" t="n">
        <v>2005</v>
      </c>
      <c r="D1469" s="3" t="inlineStr">
        <is>
          <t>Overall</t>
        </is>
      </c>
      <c r="E1469" s="3" t="inlineStr">
        <is>
          <t>Deciles</t>
        </is>
      </c>
      <c r="F1469" s="3" t="inlineStr">
        <is>
          <t>mean</t>
        </is>
      </c>
      <c r="G1469" s="3" t="n">
        <v>3</v>
      </c>
      <c r="H1469" s="3" t="n">
        <v>-0.7878549098968506</v>
      </c>
      <c r="I1469" s="3" t="n">
        <v>-0.7878549098968506</v>
      </c>
      <c r="J1469" s="3" t="n">
        <v>-0.8883962808771336</v>
      </c>
      <c r="K1469" s="3" t="n">
        <v>-0.8883962808771336</v>
      </c>
      <c r="L1469" s="3" t="n">
        <v>-0.7878549098968506</v>
      </c>
      <c r="M1469" s="3" t="n">
        <v>-0.7878549098968506</v>
      </c>
      <c r="N1469" s="3" t="n">
        <v>-0.7878549098968506</v>
      </c>
      <c r="O1469" s="3" t="n">
        <v>-0.7878549098968506</v>
      </c>
      <c r="P1469" s="3" t="n">
        <v>-0.7878549098968506</v>
      </c>
      <c r="Q1469" s="3" t="n">
        <v>-0.7878549098968506</v>
      </c>
      <c r="R1469" s="3" t="n">
        <v>-0.7732356596500316</v>
      </c>
      <c r="S1469" s="3" t="n">
        <v>-1.408805674694954</v>
      </c>
      <c r="T1469" s="3" t="n">
        <v>-0.7095591730259835</v>
      </c>
      <c r="U1469" s="3" t="n">
        <v>-0.8883962808771336</v>
      </c>
      <c r="V1469" s="3" t="n">
        <v>-0.681934451803248</v>
      </c>
      <c r="W1469" s="3" t="n">
        <v>-0.5702875047288043</v>
      </c>
      <c r="X1469" s="3" t="n">
        <v>-1.356243993373627</v>
      </c>
      <c r="Y1469" s="3" t="n">
        <v>-0.7878549098968506</v>
      </c>
      <c r="Z1469" s="3" t="n">
        <v>-1.408805674694954</v>
      </c>
      <c r="AA1469" s="3" t="n">
        <v>-1.408805674694954</v>
      </c>
      <c r="AB1469" s="3" t="n">
        <v>-1.356243993373627</v>
      </c>
      <c r="AC1469" s="3" t="n">
        <v>-2.123991362592007</v>
      </c>
      <c r="AD1469" s="3" t="n">
        <v>-0.8883962808771336</v>
      </c>
      <c r="AE1469" s="3" t="n">
        <v>-0.8883962808771336</v>
      </c>
    </row>
    <row r="1470">
      <c r="A1470" s="3" t="inlineStr">
        <is>
          <t>MNP.distn.dec.ove.mean.4</t>
        </is>
      </c>
      <c r="B1470" s="3" t="inlineStr">
        <is>
          <t>MNP</t>
        </is>
      </c>
      <c r="C1470" s="3" t="n">
        <v>2005</v>
      </c>
      <c r="D1470" s="3" t="inlineStr">
        <is>
          <t>Overall</t>
        </is>
      </c>
      <c r="E1470" s="3" t="inlineStr">
        <is>
          <t>Deciles</t>
        </is>
      </c>
      <c r="F1470" s="3" t="inlineStr">
        <is>
          <t>mean</t>
        </is>
      </c>
      <c r="G1470" s="3" t="n">
        <v>4</v>
      </c>
      <c r="H1470" s="3" t="n">
        <v>-0.7816170251115839</v>
      </c>
      <c r="I1470" s="3" t="n">
        <v>-0.7816170251115839</v>
      </c>
      <c r="J1470" s="3" t="n">
        <v>-0.8454680810583398</v>
      </c>
      <c r="K1470" s="3" t="n">
        <v>-0.8454680810583398</v>
      </c>
      <c r="L1470" s="3" t="n">
        <v>-0.7816170251115839</v>
      </c>
      <c r="M1470" s="3" t="n">
        <v>-0.7816170251115839</v>
      </c>
      <c r="N1470" s="3" t="n">
        <v>-0.7816170251115839</v>
      </c>
      <c r="O1470" s="3" t="n">
        <v>-0.7816170251115839</v>
      </c>
      <c r="P1470" s="3" t="n">
        <v>-0.7816170251115839</v>
      </c>
      <c r="Q1470" s="3" t="n">
        <v>-0.7816170251115839</v>
      </c>
      <c r="R1470" s="3" t="n">
        <v>-0.7697659489956308</v>
      </c>
      <c r="S1470" s="3" t="n">
        <v>-0.9595531871978272</v>
      </c>
      <c r="T1470" s="3" t="n">
        <v>-0.7081063859006191</v>
      </c>
      <c r="U1470" s="3" t="n">
        <v>-0.8454680810583398</v>
      </c>
      <c r="V1470" s="3" t="n">
        <v>-0.6750000017754575</v>
      </c>
      <c r="W1470" s="3" t="n">
        <v>-0.4799574455048176</v>
      </c>
      <c r="X1470" s="3" t="n">
        <v>-0.9571489362006492</v>
      </c>
      <c r="Y1470" s="3" t="n">
        <v>-0.7816170251115839</v>
      </c>
      <c r="Z1470" s="3" t="n">
        <v>-0.9595531871978272</v>
      </c>
      <c r="AA1470" s="3" t="n">
        <v>-0.9595531871978272</v>
      </c>
      <c r="AB1470" s="3" t="n">
        <v>-0.9571489362006492</v>
      </c>
      <c r="AC1470" s="3" t="n">
        <v>-1.025723396463597</v>
      </c>
      <c r="AD1470" s="3" t="n">
        <v>-0.8454680810583398</v>
      </c>
      <c r="AE1470" s="3" t="n">
        <v>-0.8454680810583398</v>
      </c>
    </row>
    <row r="1471">
      <c r="A1471" s="3" t="inlineStr">
        <is>
          <t>MNP.distn.dec.ove.mean.5</t>
        </is>
      </c>
      <c r="B1471" s="3" t="inlineStr">
        <is>
          <t>MNP</t>
        </is>
      </c>
      <c r="C1471" s="3" t="n">
        <v>2005</v>
      </c>
      <c r="D1471" s="3" t="inlineStr">
        <is>
          <t>Overall</t>
        </is>
      </c>
      <c r="E1471" s="3" t="inlineStr">
        <is>
          <t>Deciles</t>
        </is>
      </c>
      <c r="F1471" s="3" t="inlineStr">
        <is>
          <t>mean</t>
        </is>
      </c>
      <c r="G1471" s="3" t="n">
        <v>5</v>
      </c>
      <c r="H1471" s="3" t="n">
        <v>-0.7816170251115839</v>
      </c>
      <c r="I1471" s="3" t="n">
        <v>-0.7816170251115839</v>
      </c>
      <c r="J1471" s="3" t="n">
        <v>-0.8454680810583398</v>
      </c>
      <c r="K1471" s="3" t="n">
        <v>-0.8454680810583398</v>
      </c>
      <c r="L1471" s="3" t="n">
        <v>-0.7816170251115839</v>
      </c>
      <c r="M1471" s="3" t="n">
        <v>-0.7816170251115839</v>
      </c>
      <c r="N1471" s="3" t="n">
        <v>-0.7816170251115839</v>
      </c>
      <c r="O1471" s="3" t="n">
        <v>-0.7816170251115839</v>
      </c>
      <c r="P1471" s="3" t="n">
        <v>-0.7816170251115839</v>
      </c>
      <c r="Q1471" s="3" t="n">
        <v>-0.7816170251115839</v>
      </c>
      <c r="R1471" s="3" t="n">
        <v>-0.7697659489956308</v>
      </c>
      <c r="S1471" s="3" t="n">
        <v>-0.9595531871978272</v>
      </c>
      <c r="T1471" s="3" t="n">
        <v>-0.7081063859006191</v>
      </c>
      <c r="U1471" s="3" t="n">
        <v>-0.8454680810583398</v>
      </c>
      <c r="V1471" s="3" t="n">
        <v>-0.6750000017754575</v>
      </c>
      <c r="W1471" s="3" t="n">
        <v>-0.4799574455048176</v>
      </c>
      <c r="X1471" s="3" t="n">
        <v>-0.9571489362006492</v>
      </c>
      <c r="Y1471" s="3" t="n">
        <v>-0.7816170251115839</v>
      </c>
      <c r="Z1471" s="3" t="n">
        <v>-0.9595531871978272</v>
      </c>
      <c r="AA1471" s="3" t="n">
        <v>-0.9595531871978272</v>
      </c>
      <c r="AB1471" s="3" t="n">
        <v>-0.9571489362006492</v>
      </c>
      <c r="AC1471" s="3" t="n">
        <v>-1.025723396463597</v>
      </c>
      <c r="AD1471" s="3" t="n">
        <v>-0.8454680810583398</v>
      </c>
      <c r="AE1471" s="3" t="n">
        <v>-0.8454680810583398</v>
      </c>
    </row>
    <row r="1472">
      <c r="A1472" s="3" t="inlineStr">
        <is>
          <t>MNP.distn.dec.ove.mean.6</t>
        </is>
      </c>
      <c r="B1472" s="3" t="inlineStr">
        <is>
          <t>MNP</t>
        </is>
      </c>
      <c r="C1472" s="3" t="n">
        <v>2005</v>
      </c>
      <c r="D1472" s="3" t="inlineStr">
        <is>
          <t>Overall</t>
        </is>
      </c>
      <c r="E1472" s="3" t="inlineStr">
        <is>
          <t>Deciles</t>
        </is>
      </c>
      <c r="F1472" s="3" t="inlineStr">
        <is>
          <t>mean</t>
        </is>
      </c>
      <c r="G1472" s="3" t="n">
        <v>6</v>
      </c>
      <c r="H1472" s="3" t="n">
        <v>-0.7816170251115839</v>
      </c>
      <c r="I1472" s="3" t="n">
        <v>-0.7816170251115839</v>
      </c>
      <c r="J1472" s="3" t="n">
        <v>-0.8454680810583398</v>
      </c>
      <c r="K1472" s="3" t="n">
        <v>-0.8454680810583398</v>
      </c>
      <c r="L1472" s="3" t="n">
        <v>-0.7816170251115839</v>
      </c>
      <c r="M1472" s="3" t="n">
        <v>-0.7816170251115839</v>
      </c>
      <c r="N1472" s="3" t="n">
        <v>-0.7816170251115839</v>
      </c>
      <c r="O1472" s="3" t="n">
        <v>-0.7816170251115839</v>
      </c>
      <c r="P1472" s="3" t="n">
        <v>-0.7816170251115839</v>
      </c>
      <c r="Q1472" s="3" t="n">
        <v>-0.7816170251115839</v>
      </c>
      <c r="R1472" s="3" t="n">
        <v>-0.7697659489956308</v>
      </c>
      <c r="S1472" s="3" t="n">
        <v>-0.9595531871978272</v>
      </c>
      <c r="T1472" s="3" t="n">
        <v>-0.7081063859006191</v>
      </c>
      <c r="U1472" s="3" t="n">
        <v>-0.8454680810583398</v>
      </c>
      <c r="V1472" s="3" t="n">
        <v>-0.6750000017754575</v>
      </c>
      <c r="W1472" s="3" t="n">
        <v>-0.4799574455048176</v>
      </c>
      <c r="X1472" s="3" t="n">
        <v>-0.9571489362006492</v>
      </c>
      <c r="Y1472" s="3" t="n">
        <v>-0.7816170251115839</v>
      </c>
      <c r="Z1472" s="3" t="n">
        <v>-0.9595531871978272</v>
      </c>
      <c r="AA1472" s="3" t="n">
        <v>-0.9595531871978272</v>
      </c>
      <c r="AB1472" s="3" t="n">
        <v>-0.9571489362006492</v>
      </c>
      <c r="AC1472" s="3" t="n">
        <v>-1.025723396463597</v>
      </c>
      <c r="AD1472" s="3" t="n">
        <v>-0.8454680810583398</v>
      </c>
      <c r="AE1472" s="3" t="n">
        <v>-0.8454680810583398</v>
      </c>
    </row>
    <row r="1473">
      <c r="A1473" s="3" t="inlineStr">
        <is>
          <t>MNP.distn.dec.ove.mean.7</t>
        </is>
      </c>
      <c r="B1473" s="3" t="inlineStr">
        <is>
          <t>MNP</t>
        </is>
      </c>
      <c r="C1473" s="3" t="n">
        <v>2005</v>
      </c>
      <c r="D1473" s="3" t="inlineStr">
        <is>
          <t>Overall</t>
        </is>
      </c>
      <c r="E1473" s="3" t="inlineStr">
        <is>
          <t>Deciles</t>
        </is>
      </c>
      <c r="F1473" s="3" t="inlineStr">
        <is>
          <t>mean</t>
        </is>
      </c>
      <c r="G1473" s="3" t="n">
        <v>7</v>
      </c>
      <c r="H1473" s="3" t="n">
        <v>-0.7816170251115839</v>
      </c>
      <c r="I1473" s="3" t="n">
        <v>-0.7816170251115839</v>
      </c>
      <c r="J1473" s="3" t="n">
        <v>-0.8454680810583398</v>
      </c>
      <c r="K1473" s="3" t="n">
        <v>-0.8454680810583398</v>
      </c>
      <c r="L1473" s="3" t="n">
        <v>-0.7816170251115839</v>
      </c>
      <c r="M1473" s="3" t="n">
        <v>-0.7816170251115839</v>
      </c>
      <c r="N1473" s="3" t="n">
        <v>-0.7816170251115839</v>
      </c>
      <c r="O1473" s="3" t="n">
        <v>-0.7816170251115839</v>
      </c>
      <c r="P1473" s="3" t="n">
        <v>-0.7816170251115839</v>
      </c>
      <c r="Q1473" s="3" t="n">
        <v>-0.7816170251115839</v>
      </c>
      <c r="R1473" s="3" t="n">
        <v>-0.7697659489956308</v>
      </c>
      <c r="S1473" s="3" t="n">
        <v>-0.9595531871978272</v>
      </c>
      <c r="T1473" s="3" t="n">
        <v>-0.7081063859006191</v>
      </c>
      <c r="U1473" s="3" t="n">
        <v>-0.8454680810583398</v>
      </c>
      <c r="V1473" s="3" t="n">
        <v>-0.6750000017754575</v>
      </c>
      <c r="W1473" s="3" t="n">
        <v>-0.4799574455048176</v>
      </c>
      <c r="X1473" s="3" t="n">
        <v>-0.9571489362006492</v>
      </c>
      <c r="Y1473" s="3" t="n">
        <v>-0.7816170251115839</v>
      </c>
      <c r="Z1473" s="3" t="n">
        <v>-0.9595531871978272</v>
      </c>
      <c r="AA1473" s="3" t="n">
        <v>-0.9595531871978272</v>
      </c>
      <c r="AB1473" s="3" t="n">
        <v>-0.9571489362006492</v>
      </c>
      <c r="AC1473" s="3" t="n">
        <v>-1.025723396463597</v>
      </c>
      <c r="AD1473" s="3" t="n">
        <v>-0.8454680810583398</v>
      </c>
      <c r="AE1473" s="3" t="n">
        <v>-0.8454680810583398</v>
      </c>
    </row>
    <row r="1474">
      <c r="A1474" s="3" t="inlineStr">
        <is>
          <t>MNP.distn.dec.ove.mean.8</t>
        </is>
      </c>
      <c r="B1474" s="3" t="inlineStr">
        <is>
          <t>MNP</t>
        </is>
      </c>
      <c r="C1474" s="3" t="n">
        <v>2005</v>
      </c>
      <c r="D1474" s="3" t="inlineStr">
        <is>
          <t>Overall</t>
        </is>
      </c>
      <c r="E1474" s="3" t="inlineStr">
        <is>
          <t>Deciles</t>
        </is>
      </c>
      <c r="F1474" s="3" t="inlineStr">
        <is>
          <t>mean</t>
        </is>
      </c>
      <c r="G1474" s="3" t="n">
        <v>8</v>
      </c>
      <c r="H1474" s="3" t="n">
        <v>-0.7819935831617801</v>
      </c>
      <c r="I1474" s="3" t="n">
        <v>-0.7819935831617801</v>
      </c>
      <c r="J1474" s="3" t="n">
        <v>-0.8477488045996808</v>
      </c>
      <c r="K1474" s="3" t="n">
        <v>-0.8477488045996808</v>
      </c>
      <c r="L1474" s="3" t="n">
        <v>-0.7819935831617801</v>
      </c>
      <c r="M1474" s="3" t="n">
        <v>-0.7819935831617801</v>
      </c>
      <c r="N1474" s="3" t="n">
        <v>-0.7819935831617801</v>
      </c>
      <c r="O1474" s="3" t="n">
        <v>-0.7819935831617801</v>
      </c>
      <c r="P1474" s="3" t="n">
        <v>-0.7819935831617801</v>
      </c>
      <c r="Q1474" s="3" t="n">
        <v>-0.7819935831617801</v>
      </c>
      <c r="R1474" s="3" t="n">
        <v>-0.7700191178220384</v>
      </c>
      <c r="S1474" s="3" t="n">
        <v>-0.9684819490351575</v>
      </c>
      <c r="T1474" s="3" t="n">
        <v>-0.70814722142321</v>
      </c>
      <c r="U1474" s="3" t="n">
        <v>-0.8477488045996808</v>
      </c>
      <c r="V1474" s="3" t="n">
        <v>-0.6756977857427394</v>
      </c>
      <c r="W1474" s="3" t="n">
        <v>-0.4928101326556916</v>
      </c>
      <c r="X1474" s="3" t="n">
        <v>-0.9658704755154062</v>
      </c>
      <c r="Y1474" s="3" t="n">
        <v>-0.7819935831617801</v>
      </c>
      <c r="Z1474" s="3" t="n">
        <v>-0.9684819490351575</v>
      </c>
      <c r="AA1474" s="3" t="n">
        <v>-0.9684819490351575</v>
      </c>
      <c r="AB1474" s="3" t="n">
        <v>-0.9658704755154062</v>
      </c>
      <c r="AC1474" s="3" t="n">
        <v>-1.04035159628442</v>
      </c>
      <c r="AD1474" s="3" t="n">
        <v>-0.8477488045996808</v>
      </c>
      <c r="AE1474" s="3" t="n">
        <v>-0.8477488045996808</v>
      </c>
    </row>
    <row r="1475">
      <c r="A1475" s="3" t="inlineStr">
        <is>
          <t>MNP.distn.dec.ove.mean.9</t>
        </is>
      </c>
      <c r="B1475" s="3" t="inlineStr">
        <is>
          <t>MNP</t>
        </is>
      </c>
      <c r="C1475" s="3" t="n">
        <v>2005</v>
      </c>
      <c r="D1475" s="3" t="inlineStr">
        <is>
          <t>Overall</t>
        </is>
      </c>
      <c r="E1475" s="3" t="inlineStr">
        <is>
          <t>Deciles</t>
        </is>
      </c>
      <c r="F1475" s="3" t="inlineStr">
        <is>
          <t>mean</t>
        </is>
      </c>
      <c r="G1475" s="3" t="n">
        <v>9</v>
      </c>
      <c r="H1475" s="3" t="n">
        <v>-0.7819935831617801</v>
      </c>
      <c r="I1475" s="3" t="n">
        <v>-0.7819935831617801</v>
      </c>
      <c r="J1475" s="3" t="n">
        <v>-0.8477488045996808</v>
      </c>
      <c r="K1475" s="3" t="n">
        <v>-0.8477488045996808</v>
      </c>
      <c r="L1475" s="3" t="n">
        <v>-0.7819935831617801</v>
      </c>
      <c r="M1475" s="3" t="n">
        <v>-0.7819935831617801</v>
      </c>
      <c r="N1475" s="3" t="n">
        <v>-0.7819935831617801</v>
      </c>
      <c r="O1475" s="3" t="n">
        <v>-0.7819935831617801</v>
      </c>
      <c r="P1475" s="3" t="n">
        <v>-0.7819935831617801</v>
      </c>
      <c r="Q1475" s="3" t="n">
        <v>-0.7819935831617801</v>
      </c>
      <c r="R1475" s="3" t="n">
        <v>-0.7700191178220384</v>
      </c>
      <c r="S1475" s="3" t="n">
        <v>-0.9684819490351575</v>
      </c>
      <c r="T1475" s="3" t="n">
        <v>-0.70814722142321</v>
      </c>
      <c r="U1475" s="3" t="n">
        <v>-0.8477488045996808</v>
      </c>
      <c r="V1475" s="3" t="n">
        <v>-0.6756977857427394</v>
      </c>
      <c r="W1475" s="3" t="n">
        <v>-0.4928101326556916</v>
      </c>
      <c r="X1475" s="3" t="n">
        <v>-0.9658704755154062</v>
      </c>
      <c r="Y1475" s="3" t="n">
        <v>-0.7819935831617801</v>
      </c>
      <c r="Z1475" s="3" t="n">
        <v>-0.9684819490351575</v>
      </c>
      <c r="AA1475" s="3" t="n">
        <v>-0.9684819490351575</v>
      </c>
      <c r="AB1475" s="3" t="n">
        <v>-0.9658704755154062</v>
      </c>
      <c r="AC1475" s="3" t="n">
        <v>-1.04035159628442</v>
      </c>
      <c r="AD1475" s="3" t="n">
        <v>-0.8477488045996808</v>
      </c>
      <c r="AE1475" s="3" t="n">
        <v>-0.8477488045996808</v>
      </c>
    </row>
    <row r="1476">
      <c r="A1476" s="3" t="inlineStr">
        <is>
          <t>MNP.distn.dec.ove.mean.10</t>
        </is>
      </c>
      <c r="B1476" s="3" t="inlineStr">
        <is>
          <t>MNP</t>
        </is>
      </c>
      <c r="C1476" s="3" t="n">
        <v>2005</v>
      </c>
      <c r="D1476" s="3" t="inlineStr">
        <is>
          <t>Overall</t>
        </is>
      </c>
      <c r="E1476" s="3" t="inlineStr">
        <is>
          <t>Deciles</t>
        </is>
      </c>
      <c r="F1476" s="3" t="inlineStr">
        <is>
          <t>mean</t>
        </is>
      </c>
      <c r="G1476" s="3" t="n">
        <v>10</v>
      </c>
      <c r="H1476" s="3" t="n">
        <v>-0.7819935831617801</v>
      </c>
      <c r="I1476" s="3" t="n">
        <v>-0.7819935831617801</v>
      </c>
      <c r="J1476" s="3" t="n">
        <v>-0.8477488045996808</v>
      </c>
      <c r="K1476" s="3" t="n">
        <v>-0.8477488045996808</v>
      </c>
      <c r="L1476" s="3" t="n">
        <v>-0.7819935831617801</v>
      </c>
      <c r="M1476" s="3" t="n">
        <v>-0.7819935831617801</v>
      </c>
      <c r="N1476" s="3" t="n">
        <v>-0.7819935831617801</v>
      </c>
      <c r="O1476" s="3" t="n">
        <v>-0.7819935831617801</v>
      </c>
      <c r="P1476" s="3" t="n">
        <v>-0.7819935831617801</v>
      </c>
      <c r="Q1476" s="3" t="n">
        <v>-0.7819935831617801</v>
      </c>
      <c r="R1476" s="3" t="n">
        <v>-0.7700191178220384</v>
      </c>
      <c r="S1476" s="3" t="n">
        <v>-0.9684819490351575</v>
      </c>
      <c r="T1476" s="3" t="n">
        <v>-0.70814722142321</v>
      </c>
      <c r="U1476" s="3" t="n">
        <v>-0.8477488045996808</v>
      </c>
      <c r="V1476" s="3" t="n">
        <v>-0.6756977857427394</v>
      </c>
      <c r="W1476" s="3" t="n">
        <v>-0.4928101326556916</v>
      </c>
      <c r="X1476" s="3" t="n">
        <v>-0.9658704755154062</v>
      </c>
      <c r="Y1476" s="3" t="n">
        <v>-0.7819935831617801</v>
      </c>
      <c r="Z1476" s="3" t="n">
        <v>-0.9684819490351575</v>
      </c>
      <c r="AA1476" s="3" t="n">
        <v>-0.9684819490351575</v>
      </c>
      <c r="AB1476" s="3" t="n">
        <v>-0.9658704755154062</v>
      </c>
      <c r="AC1476" s="3" t="n">
        <v>-1.04035159628442</v>
      </c>
      <c r="AD1476" s="3" t="n">
        <v>-0.8477488045996808</v>
      </c>
      <c r="AE1476" s="3" t="n">
        <v>-0.8477488045996808</v>
      </c>
    </row>
    <row r="1477">
      <c r="A1477" s="3" t="inlineStr">
        <is>
          <t>MNP.distn.bkt.ove.mean.9999</t>
        </is>
      </c>
      <c r="B1477" s="3" t="inlineStr">
        <is>
          <t>MNP</t>
        </is>
      </c>
      <c r="C1477" s="3" t="n">
        <v>2005</v>
      </c>
      <c r="D1477" s="3" t="inlineStr">
        <is>
          <t>Overall</t>
        </is>
      </c>
      <c r="E1477" s="3" t="inlineStr">
        <is>
          <t>Basket</t>
        </is>
      </c>
      <c r="F1477" s="3" t="inlineStr">
        <is>
          <t>mean</t>
        </is>
      </c>
      <c r="G1477" s="3" t="n">
        <v>9999</v>
      </c>
      <c r="H1477" s="3" t="n">
        <v>-0.7836013613863194</v>
      </c>
      <c r="I1477" s="3" t="n">
        <v>-0.7836013613863194</v>
      </c>
      <c r="J1477" s="3" t="n">
        <v>-0.8590307616172953</v>
      </c>
      <c r="K1477" s="3" t="n">
        <v>-0.8590307616172953</v>
      </c>
      <c r="L1477" s="3" t="n">
        <v>-0.7836013613863194</v>
      </c>
      <c r="M1477" s="3" t="n">
        <v>-0.7836013613863194</v>
      </c>
      <c r="N1477" s="3" t="n">
        <v>-0.7836013613863194</v>
      </c>
      <c r="O1477" s="3" t="n">
        <v>-0.7836013613863194</v>
      </c>
      <c r="P1477" s="3" t="n">
        <v>-0.7836013613863194</v>
      </c>
      <c r="Q1477" s="3" t="n">
        <v>-0.7836013613863194</v>
      </c>
      <c r="R1477" s="3" t="n">
        <v>-0.7708828220976159</v>
      </c>
      <c r="S1477" s="3" t="n">
        <v>-1.097007578991829</v>
      </c>
      <c r="T1477" s="3" t="n">
        <v>-0.7085544974245923</v>
      </c>
      <c r="U1477" s="3" t="n">
        <v>-0.8590307616172953</v>
      </c>
      <c r="V1477" s="3" t="n">
        <v>-0.6772896647453308</v>
      </c>
      <c r="W1477" s="3" t="n">
        <v>-0.5109122699879586</v>
      </c>
      <c r="X1477" s="3" t="n">
        <v>-1.079493910708326</v>
      </c>
      <c r="Y1477" s="3" t="n">
        <v>-0.7836013613863194</v>
      </c>
      <c r="Z1477" s="3" t="n">
        <v>-1.097007578991829</v>
      </c>
      <c r="AA1477" s="3" t="n">
        <v>-1.097007578991829</v>
      </c>
      <c r="AB1477" s="3" t="n">
        <v>-1.079493910708326</v>
      </c>
      <c r="AC1477" s="3" t="n">
        <v>-1.359592239907447</v>
      </c>
      <c r="AD1477" s="3" t="n">
        <v>-0.8590307616172953</v>
      </c>
      <c r="AE1477" s="3" t="n">
        <v>-0.8590307616172953</v>
      </c>
    </row>
    <row r="1478">
      <c r="A1478" s="3" t="inlineStr">
        <is>
          <t>MOZ.distn.dec.ove.mean.1</t>
        </is>
      </c>
      <c r="B1478" s="3" t="inlineStr">
        <is>
          <t>MOZ</t>
        </is>
      </c>
      <c r="C1478" s="3" t="n">
        <v>2005</v>
      </c>
      <c r="D1478" s="3" t="inlineStr">
        <is>
          <t>Overall</t>
        </is>
      </c>
      <c r="E1478" s="3" t="inlineStr">
        <is>
          <t>Deciles</t>
        </is>
      </c>
      <c r="F1478" s="3" t="inlineStr">
        <is>
          <t>mean</t>
        </is>
      </c>
      <c r="G1478" s="3" t="n">
        <v>1</v>
      </c>
      <c r="H1478" s="3" t="n">
        <v>-0.7983207702636719</v>
      </c>
      <c r="I1478" s="3" t="n">
        <v>-0.7983207702636719</v>
      </c>
      <c r="J1478" s="3" t="n">
        <v>-0.9709156155586243</v>
      </c>
      <c r="K1478" s="3" t="n">
        <v>-0.9709156155586243</v>
      </c>
      <c r="L1478" s="3" t="n">
        <v>-0.7983207702636719</v>
      </c>
      <c r="M1478" s="3" t="n">
        <v>-0.7983207702636719</v>
      </c>
      <c r="N1478" s="3" t="n">
        <v>-0.7983207702636719</v>
      </c>
      <c r="O1478" s="3" t="n">
        <v>-0.7983207702636719</v>
      </c>
      <c r="P1478" s="3" t="n">
        <v>-0.7983207702636719</v>
      </c>
      <c r="Q1478" s="3" t="n">
        <v>-0.7983207702636719</v>
      </c>
      <c r="R1478" s="3" t="n">
        <v>-0.7784932851791382</v>
      </c>
      <c r="S1478" s="3" t="n">
        <v>-2.976019620895386</v>
      </c>
      <c r="T1478" s="3" t="n">
        <v>-0.7114566564559937</v>
      </c>
      <c r="U1478" s="3" t="n">
        <v>-0.9709156155586243</v>
      </c>
      <c r="V1478" s="3" t="n">
        <v>-0.6920371651649475</v>
      </c>
      <c r="W1478" s="3" t="n">
        <v>-0.7164871692657471</v>
      </c>
      <c r="X1478" s="3" t="n">
        <v>-2.770161390304565</v>
      </c>
      <c r="Y1478" s="3" t="n">
        <v>-0.7983207702636719</v>
      </c>
      <c r="Z1478" s="3" t="n">
        <v>-2.976019620895386</v>
      </c>
      <c r="AA1478" s="3" t="n">
        <v>-2.976019620895386</v>
      </c>
      <c r="AB1478" s="3" t="n">
        <v>-2.770161390304565</v>
      </c>
      <c r="AC1478" s="3" t="n">
        <v>-3.286241054534912</v>
      </c>
      <c r="AD1478" s="3" t="n">
        <v>-0.9709156155586243</v>
      </c>
      <c r="AE1478" s="3" t="n">
        <v>-0.9709156155586243</v>
      </c>
    </row>
    <row r="1479">
      <c r="A1479" s="3" t="inlineStr">
        <is>
          <t>MOZ.distn.dec.ove.mean.2</t>
        </is>
      </c>
      <c r="B1479" s="3" t="inlineStr">
        <is>
          <t>MOZ</t>
        </is>
      </c>
      <c r="C1479" s="3" t="n">
        <v>2005</v>
      </c>
      <c r="D1479" s="3" t="inlineStr">
        <is>
          <t>Overall</t>
        </is>
      </c>
      <c r="E1479" s="3" t="inlineStr">
        <is>
          <t>Deciles</t>
        </is>
      </c>
      <c r="F1479" s="3" t="inlineStr">
        <is>
          <t>mean</t>
        </is>
      </c>
      <c r="G1479" s="3" t="n">
        <v>2</v>
      </c>
      <c r="H1479" s="3" t="n">
        <v>-0.7983207702636719</v>
      </c>
      <c r="I1479" s="3" t="n">
        <v>-0.7983207702636719</v>
      </c>
      <c r="J1479" s="3" t="n">
        <v>-0.9709156155586243</v>
      </c>
      <c r="K1479" s="3" t="n">
        <v>-0.9709156155586243</v>
      </c>
      <c r="L1479" s="3" t="n">
        <v>-0.7983207702636719</v>
      </c>
      <c r="M1479" s="3" t="n">
        <v>-0.7983207702636719</v>
      </c>
      <c r="N1479" s="3" t="n">
        <v>-0.7983207702636719</v>
      </c>
      <c r="O1479" s="3" t="n">
        <v>-0.7983207702636719</v>
      </c>
      <c r="P1479" s="3" t="n">
        <v>-0.7983207702636719</v>
      </c>
      <c r="Q1479" s="3" t="n">
        <v>-0.7983207702636719</v>
      </c>
      <c r="R1479" s="3" t="n">
        <v>-0.7784932851791382</v>
      </c>
      <c r="S1479" s="3" t="n">
        <v>-2.976019620895386</v>
      </c>
      <c r="T1479" s="3" t="n">
        <v>-0.7114566564559937</v>
      </c>
      <c r="U1479" s="3" t="n">
        <v>-0.9709156155586243</v>
      </c>
      <c r="V1479" s="3" t="n">
        <v>-0.6920371651649475</v>
      </c>
      <c r="W1479" s="3" t="n">
        <v>-0.7164871692657471</v>
      </c>
      <c r="X1479" s="3" t="n">
        <v>-2.770161390304565</v>
      </c>
      <c r="Y1479" s="3" t="n">
        <v>-0.7983207702636719</v>
      </c>
      <c r="Z1479" s="3" t="n">
        <v>-2.976019620895386</v>
      </c>
      <c r="AA1479" s="3" t="n">
        <v>-2.976019620895386</v>
      </c>
      <c r="AB1479" s="3" t="n">
        <v>-2.770161390304565</v>
      </c>
      <c r="AC1479" s="3" t="n">
        <v>-3.286241054534912</v>
      </c>
      <c r="AD1479" s="3" t="n">
        <v>-0.9709156155586243</v>
      </c>
      <c r="AE1479" s="3" t="n">
        <v>-0.9709156155586243</v>
      </c>
    </row>
    <row r="1480">
      <c r="A1480" s="3" t="inlineStr">
        <is>
          <t>MOZ.distn.dec.ove.mean.3</t>
        </is>
      </c>
      <c r="B1480" s="3" t="inlineStr">
        <is>
          <t>MOZ</t>
        </is>
      </c>
      <c r="C1480" s="3" t="n">
        <v>2005</v>
      </c>
      <c r="D1480" s="3" t="inlineStr">
        <is>
          <t>Overall</t>
        </is>
      </c>
      <c r="E1480" s="3" t="inlineStr">
        <is>
          <t>Deciles</t>
        </is>
      </c>
      <c r="F1480" s="3" t="inlineStr">
        <is>
          <t>mean</t>
        </is>
      </c>
      <c r="G1480" s="3" t="n">
        <v>3</v>
      </c>
      <c r="H1480" s="3" t="n">
        <v>-0.7983207702636719</v>
      </c>
      <c r="I1480" s="3" t="n">
        <v>-0.7983207702636719</v>
      </c>
      <c r="J1480" s="3" t="n">
        <v>-0.9709156155586243</v>
      </c>
      <c r="K1480" s="3" t="n">
        <v>-0.9709156155586243</v>
      </c>
      <c r="L1480" s="3" t="n">
        <v>-0.7983207702636719</v>
      </c>
      <c r="M1480" s="3" t="n">
        <v>-0.7983207702636719</v>
      </c>
      <c r="N1480" s="3" t="n">
        <v>-0.7983207702636719</v>
      </c>
      <c r="O1480" s="3" t="n">
        <v>-0.7983207702636719</v>
      </c>
      <c r="P1480" s="3" t="n">
        <v>-0.7983207702636719</v>
      </c>
      <c r="Q1480" s="3" t="n">
        <v>-0.7983207702636719</v>
      </c>
      <c r="R1480" s="3" t="n">
        <v>-0.7784932851791382</v>
      </c>
      <c r="S1480" s="3" t="n">
        <v>-2.976019620895386</v>
      </c>
      <c r="T1480" s="3" t="n">
        <v>-0.7114566564559937</v>
      </c>
      <c r="U1480" s="3" t="n">
        <v>-0.9709156155586243</v>
      </c>
      <c r="V1480" s="3" t="n">
        <v>-0.6920371651649475</v>
      </c>
      <c r="W1480" s="3" t="n">
        <v>-0.7164871692657471</v>
      </c>
      <c r="X1480" s="3" t="n">
        <v>-2.770161390304565</v>
      </c>
      <c r="Y1480" s="3" t="n">
        <v>-0.7983207702636719</v>
      </c>
      <c r="Z1480" s="3" t="n">
        <v>-2.976019620895386</v>
      </c>
      <c r="AA1480" s="3" t="n">
        <v>-2.976019620895386</v>
      </c>
      <c r="AB1480" s="3" t="n">
        <v>-2.770161390304565</v>
      </c>
      <c r="AC1480" s="3" t="n">
        <v>-3.286241054534912</v>
      </c>
      <c r="AD1480" s="3" t="n">
        <v>-0.9709156155586243</v>
      </c>
      <c r="AE1480" s="3" t="n">
        <v>-0.9709156155586243</v>
      </c>
    </row>
    <row r="1481">
      <c r="A1481" s="3" t="inlineStr">
        <is>
          <t>MOZ.distn.dec.ove.mean.4</t>
        </is>
      </c>
      <c r="B1481" s="3" t="inlineStr">
        <is>
          <t>MOZ</t>
        </is>
      </c>
      <c r="C1481" s="3" t="n">
        <v>2005</v>
      </c>
      <c r="D1481" s="3" t="inlineStr">
        <is>
          <t>Overall</t>
        </is>
      </c>
      <c r="E1481" s="3" t="inlineStr">
        <is>
          <t>Deciles</t>
        </is>
      </c>
      <c r="F1481" s="3" t="inlineStr">
        <is>
          <t>mean</t>
        </is>
      </c>
      <c r="G1481" s="3" t="n">
        <v>4</v>
      </c>
      <c r="H1481" s="3" t="n">
        <v>-0.7919999957084656</v>
      </c>
      <c r="I1481" s="3" t="n">
        <v>-0.7919999957084656</v>
      </c>
      <c r="J1481" s="3" t="n">
        <v>-0.9240000247955322</v>
      </c>
      <c r="K1481" s="3" t="n">
        <v>-0.9240000247955322</v>
      </c>
      <c r="L1481" s="3" t="n">
        <v>-0.7919999957084656</v>
      </c>
      <c r="M1481" s="3" t="n">
        <v>-0.7919999957084656</v>
      </c>
      <c r="N1481" s="3" t="n">
        <v>-0.7919999957084656</v>
      </c>
      <c r="O1481" s="3" t="n">
        <v>-0.7919999957084656</v>
      </c>
      <c r="P1481" s="3" t="n">
        <v>-0.7919999957084656</v>
      </c>
      <c r="Q1481" s="3" t="n">
        <v>-0.7919999957084656</v>
      </c>
      <c r="R1481" s="3" t="n">
        <v>-0.7749999761581421</v>
      </c>
      <c r="S1481" s="3" t="n">
        <v>-2.026999950408936</v>
      </c>
      <c r="T1481" s="3" t="n">
        <v>-0.7099999785423279</v>
      </c>
      <c r="U1481" s="3" t="n">
        <v>-0.9240000247955322</v>
      </c>
      <c r="V1481" s="3" t="n">
        <v>-0.6850000023841858</v>
      </c>
      <c r="W1481" s="3" t="n">
        <v>-0.6029999852180481</v>
      </c>
      <c r="X1481" s="3" t="n">
        <v>-1.955000042915344</v>
      </c>
      <c r="Y1481" s="3" t="n">
        <v>-0.7919999957084656</v>
      </c>
      <c r="Z1481" s="3" t="n">
        <v>-2.026999950408936</v>
      </c>
      <c r="AA1481" s="3" t="n">
        <v>-2.026999950408936</v>
      </c>
      <c r="AB1481" s="3" t="n">
        <v>-1.955000042915344</v>
      </c>
      <c r="AC1481" s="3" t="n">
        <v>-1.587000012397766</v>
      </c>
      <c r="AD1481" s="3" t="n">
        <v>-0.9240000247955322</v>
      </c>
      <c r="AE1481" s="3" t="n">
        <v>-0.9240000247955322</v>
      </c>
    </row>
    <row r="1482">
      <c r="A1482" s="3" t="inlineStr">
        <is>
          <t>MOZ.distn.dec.ove.mean.5</t>
        </is>
      </c>
      <c r="B1482" s="3" t="inlineStr">
        <is>
          <t>MOZ</t>
        </is>
      </c>
      <c r="C1482" s="3" t="n">
        <v>2005</v>
      </c>
      <c r="D1482" s="3" t="inlineStr">
        <is>
          <t>Overall</t>
        </is>
      </c>
      <c r="E1482" s="3" t="inlineStr">
        <is>
          <t>Deciles</t>
        </is>
      </c>
      <c r="F1482" s="3" t="inlineStr">
        <is>
          <t>mean</t>
        </is>
      </c>
      <c r="G1482" s="3" t="n">
        <v>5</v>
      </c>
      <c r="H1482" s="3" t="n">
        <v>-0.7919999957084656</v>
      </c>
      <c r="I1482" s="3" t="n">
        <v>-0.7919999957084656</v>
      </c>
      <c r="J1482" s="3" t="n">
        <v>-0.9240000247955322</v>
      </c>
      <c r="K1482" s="3" t="n">
        <v>-0.9240000247955322</v>
      </c>
      <c r="L1482" s="3" t="n">
        <v>-0.7919999957084656</v>
      </c>
      <c r="M1482" s="3" t="n">
        <v>-0.7919999957084656</v>
      </c>
      <c r="N1482" s="3" t="n">
        <v>-0.7919999957084656</v>
      </c>
      <c r="O1482" s="3" t="n">
        <v>-0.7919999957084656</v>
      </c>
      <c r="P1482" s="3" t="n">
        <v>-0.7919999957084656</v>
      </c>
      <c r="Q1482" s="3" t="n">
        <v>-0.7919999957084656</v>
      </c>
      <c r="R1482" s="3" t="n">
        <v>-0.7749999761581421</v>
      </c>
      <c r="S1482" s="3" t="n">
        <v>-2.026999950408936</v>
      </c>
      <c r="T1482" s="3" t="n">
        <v>-0.7099999785423279</v>
      </c>
      <c r="U1482" s="3" t="n">
        <v>-0.9240000247955322</v>
      </c>
      <c r="V1482" s="3" t="n">
        <v>-0.6850000023841858</v>
      </c>
      <c r="W1482" s="3" t="n">
        <v>-0.6029999852180481</v>
      </c>
      <c r="X1482" s="3" t="n">
        <v>-1.955000042915344</v>
      </c>
      <c r="Y1482" s="3" t="n">
        <v>-0.7919999957084656</v>
      </c>
      <c r="Z1482" s="3" t="n">
        <v>-2.026999950408936</v>
      </c>
      <c r="AA1482" s="3" t="n">
        <v>-2.026999950408936</v>
      </c>
      <c r="AB1482" s="3" t="n">
        <v>-1.955000042915344</v>
      </c>
      <c r="AC1482" s="3" t="n">
        <v>-1.587000012397766</v>
      </c>
      <c r="AD1482" s="3" t="n">
        <v>-0.9240000247955322</v>
      </c>
      <c r="AE1482" s="3" t="n">
        <v>-0.9240000247955322</v>
      </c>
    </row>
    <row r="1483">
      <c r="A1483" s="3" t="inlineStr">
        <is>
          <t>MOZ.distn.dec.ove.mean.6</t>
        </is>
      </c>
      <c r="B1483" s="3" t="inlineStr">
        <is>
          <t>MOZ</t>
        </is>
      </c>
      <c r="C1483" s="3" t="n">
        <v>2005</v>
      </c>
      <c r="D1483" s="3" t="inlineStr">
        <is>
          <t>Overall</t>
        </is>
      </c>
      <c r="E1483" s="3" t="inlineStr">
        <is>
          <t>Deciles</t>
        </is>
      </c>
      <c r="F1483" s="3" t="inlineStr">
        <is>
          <t>mean</t>
        </is>
      </c>
      <c r="G1483" s="3" t="n">
        <v>6</v>
      </c>
      <c r="H1483" s="3" t="n">
        <v>-0.7919999957084656</v>
      </c>
      <c r="I1483" s="3" t="n">
        <v>-0.7919999957084656</v>
      </c>
      <c r="J1483" s="3" t="n">
        <v>-0.9240000247955322</v>
      </c>
      <c r="K1483" s="3" t="n">
        <v>-0.9240000247955322</v>
      </c>
      <c r="L1483" s="3" t="n">
        <v>-0.7919999957084656</v>
      </c>
      <c r="M1483" s="3" t="n">
        <v>-0.7919999957084656</v>
      </c>
      <c r="N1483" s="3" t="n">
        <v>-0.7919999957084656</v>
      </c>
      <c r="O1483" s="3" t="n">
        <v>-0.7919999957084656</v>
      </c>
      <c r="P1483" s="3" t="n">
        <v>-0.7919999957084656</v>
      </c>
      <c r="Q1483" s="3" t="n">
        <v>-0.7919999957084656</v>
      </c>
      <c r="R1483" s="3" t="n">
        <v>-0.7749999761581421</v>
      </c>
      <c r="S1483" s="3" t="n">
        <v>-2.026999950408936</v>
      </c>
      <c r="T1483" s="3" t="n">
        <v>-0.7099999785423279</v>
      </c>
      <c r="U1483" s="3" t="n">
        <v>-0.9240000247955322</v>
      </c>
      <c r="V1483" s="3" t="n">
        <v>-0.6850000023841858</v>
      </c>
      <c r="W1483" s="3" t="n">
        <v>-0.6029999852180481</v>
      </c>
      <c r="X1483" s="3" t="n">
        <v>-1.955000042915344</v>
      </c>
      <c r="Y1483" s="3" t="n">
        <v>-0.7919999957084656</v>
      </c>
      <c r="Z1483" s="3" t="n">
        <v>-2.026999950408936</v>
      </c>
      <c r="AA1483" s="3" t="n">
        <v>-2.026999950408936</v>
      </c>
      <c r="AB1483" s="3" t="n">
        <v>-1.955000042915344</v>
      </c>
      <c r="AC1483" s="3" t="n">
        <v>-1.587000012397766</v>
      </c>
      <c r="AD1483" s="3" t="n">
        <v>-0.9240000247955322</v>
      </c>
      <c r="AE1483" s="3" t="n">
        <v>-0.9240000247955322</v>
      </c>
    </row>
    <row r="1484">
      <c r="A1484" s="3" t="inlineStr">
        <is>
          <t>MOZ.distn.dec.ove.mean.7</t>
        </is>
      </c>
      <c r="B1484" s="3" t="inlineStr">
        <is>
          <t>MOZ</t>
        </is>
      </c>
      <c r="C1484" s="3" t="n">
        <v>2005</v>
      </c>
      <c r="D1484" s="3" t="inlineStr">
        <is>
          <t>Overall</t>
        </is>
      </c>
      <c r="E1484" s="3" t="inlineStr">
        <is>
          <t>Deciles</t>
        </is>
      </c>
      <c r="F1484" s="3" t="inlineStr">
        <is>
          <t>mean</t>
        </is>
      </c>
      <c r="G1484" s="3" t="n">
        <v>7</v>
      </c>
      <c r="H1484" s="3" t="n">
        <v>-0.7919999957084656</v>
      </c>
      <c r="I1484" s="3" t="n">
        <v>-0.7919999957084656</v>
      </c>
      <c r="J1484" s="3" t="n">
        <v>-0.9240000247955322</v>
      </c>
      <c r="K1484" s="3" t="n">
        <v>-0.9240000247955322</v>
      </c>
      <c r="L1484" s="3" t="n">
        <v>-0.7919999957084656</v>
      </c>
      <c r="M1484" s="3" t="n">
        <v>-0.7919999957084656</v>
      </c>
      <c r="N1484" s="3" t="n">
        <v>-0.7919999957084656</v>
      </c>
      <c r="O1484" s="3" t="n">
        <v>-0.7919999957084656</v>
      </c>
      <c r="P1484" s="3" t="n">
        <v>-0.7919999957084656</v>
      </c>
      <c r="Q1484" s="3" t="n">
        <v>-0.7919999957084656</v>
      </c>
      <c r="R1484" s="3" t="n">
        <v>-0.7749999761581421</v>
      </c>
      <c r="S1484" s="3" t="n">
        <v>-2.026999950408936</v>
      </c>
      <c r="T1484" s="3" t="n">
        <v>-0.7099999785423279</v>
      </c>
      <c r="U1484" s="3" t="n">
        <v>-0.9240000247955322</v>
      </c>
      <c r="V1484" s="3" t="n">
        <v>-0.6850000023841858</v>
      </c>
      <c r="W1484" s="3" t="n">
        <v>-0.6029999852180481</v>
      </c>
      <c r="X1484" s="3" t="n">
        <v>-1.955000042915344</v>
      </c>
      <c r="Y1484" s="3" t="n">
        <v>-0.7919999957084656</v>
      </c>
      <c r="Z1484" s="3" t="n">
        <v>-2.026999950408936</v>
      </c>
      <c r="AA1484" s="3" t="n">
        <v>-2.026999950408936</v>
      </c>
      <c r="AB1484" s="3" t="n">
        <v>-1.955000042915344</v>
      </c>
      <c r="AC1484" s="3" t="n">
        <v>-1.587000012397766</v>
      </c>
      <c r="AD1484" s="3" t="n">
        <v>-0.9240000247955322</v>
      </c>
      <c r="AE1484" s="3" t="n">
        <v>-0.9240000247955322</v>
      </c>
    </row>
    <row r="1485">
      <c r="A1485" s="3" t="inlineStr">
        <is>
          <t>MOZ.distn.dec.ove.mean.8</t>
        </is>
      </c>
      <c r="B1485" s="3" t="inlineStr">
        <is>
          <t>MOZ</t>
        </is>
      </c>
      <c r="C1485" s="3" t="n">
        <v>2005</v>
      </c>
      <c r="D1485" s="3" t="inlineStr">
        <is>
          <t>Overall</t>
        </is>
      </c>
      <c r="E1485" s="3" t="inlineStr">
        <is>
          <t>Deciles</t>
        </is>
      </c>
      <c r="F1485" s="3" t="inlineStr">
        <is>
          <t>mean</t>
        </is>
      </c>
      <c r="G1485" s="3" t="n">
        <v>8</v>
      </c>
      <c r="H1485" s="3" t="n">
        <v>-0.7923815846443176</v>
      </c>
      <c r="I1485" s="3" t="n">
        <v>-0.7923815846443176</v>
      </c>
      <c r="J1485" s="3" t="n">
        <v>-0.9264925718307495</v>
      </c>
      <c r="K1485" s="3" t="n">
        <v>-0.9264925718307495</v>
      </c>
      <c r="L1485" s="3" t="n">
        <v>-0.7923815846443176</v>
      </c>
      <c r="M1485" s="3" t="n">
        <v>-0.7923815846443176</v>
      </c>
      <c r="N1485" s="3" t="n">
        <v>-0.7923815846443176</v>
      </c>
      <c r="O1485" s="3" t="n">
        <v>-0.7923815846443176</v>
      </c>
      <c r="P1485" s="3" t="n">
        <v>-0.7923815846443176</v>
      </c>
      <c r="Q1485" s="3" t="n">
        <v>-0.7923815846443176</v>
      </c>
      <c r="R1485" s="3" t="n">
        <v>-0.7752549052238464</v>
      </c>
      <c r="S1485" s="3" t="n">
        <v>-2.045861482620239</v>
      </c>
      <c r="T1485" s="3" t="n">
        <v>-0.7100409269332886</v>
      </c>
      <c r="U1485" s="3" t="n">
        <v>-0.9264925718307495</v>
      </c>
      <c r="V1485" s="3" t="n">
        <v>-0.6857081055641174</v>
      </c>
      <c r="W1485" s="3" t="n">
        <v>-0.6191475987434387</v>
      </c>
      <c r="X1485" s="3" t="n">
        <v>-1.972813963890076</v>
      </c>
      <c r="Y1485" s="3" t="n">
        <v>-0.7923815846443176</v>
      </c>
      <c r="Z1485" s="3" t="n">
        <v>-2.045861482620239</v>
      </c>
      <c r="AA1485" s="3" t="n">
        <v>-2.045861482620239</v>
      </c>
      <c r="AB1485" s="3" t="n">
        <v>-1.972813963890076</v>
      </c>
      <c r="AC1485" s="3" t="n">
        <v>-1.609632730484009</v>
      </c>
      <c r="AD1485" s="3" t="n">
        <v>-0.9264925718307495</v>
      </c>
      <c r="AE1485" s="3" t="n">
        <v>-0.9264925718307495</v>
      </c>
    </row>
    <row r="1486">
      <c r="A1486" s="3" t="inlineStr">
        <is>
          <t>MOZ.distn.dec.ove.mean.9</t>
        </is>
      </c>
      <c r="B1486" s="3" t="inlineStr">
        <is>
          <t>MOZ</t>
        </is>
      </c>
      <c r="C1486" s="3" t="n">
        <v>2005</v>
      </c>
      <c r="D1486" s="3" t="inlineStr">
        <is>
          <t>Overall</t>
        </is>
      </c>
      <c r="E1486" s="3" t="inlineStr">
        <is>
          <t>Deciles</t>
        </is>
      </c>
      <c r="F1486" s="3" t="inlineStr">
        <is>
          <t>mean</t>
        </is>
      </c>
      <c r="G1486" s="3" t="n">
        <v>9</v>
      </c>
      <c r="H1486" s="3" t="n">
        <v>-0.7923815846443176</v>
      </c>
      <c r="I1486" s="3" t="n">
        <v>-0.7923815846443176</v>
      </c>
      <c r="J1486" s="3" t="n">
        <v>-0.9264925718307495</v>
      </c>
      <c r="K1486" s="3" t="n">
        <v>-0.9264925718307495</v>
      </c>
      <c r="L1486" s="3" t="n">
        <v>-0.7923815846443176</v>
      </c>
      <c r="M1486" s="3" t="n">
        <v>-0.7923815846443176</v>
      </c>
      <c r="N1486" s="3" t="n">
        <v>-0.7923815846443176</v>
      </c>
      <c r="O1486" s="3" t="n">
        <v>-0.7923815846443176</v>
      </c>
      <c r="P1486" s="3" t="n">
        <v>-0.7923815846443176</v>
      </c>
      <c r="Q1486" s="3" t="n">
        <v>-0.7923815846443176</v>
      </c>
      <c r="R1486" s="3" t="n">
        <v>-0.7752549052238464</v>
      </c>
      <c r="S1486" s="3" t="n">
        <v>-2.045861482620239</v>
      </c>
      <c r="T1486" s="3" t="n">
        <v>-0.7100409269332886</v>
      </c>
      <c r="U1486" s="3" t="n">
        <v>-0.9264925718307495</v>
      </c>
      <c r="V1486" s="3" t="n">
        <v>-0.6857081055641174</v>
      </c>
      <c r="W1486" s="3" t="n">
        <v>-0.6191475987434387</v>
      </c>
      <c r="X1486" s="3" t="n">
        <v>-1.972813963890076</v>
      </c>
      <c r="Y1486" s="3" t="n">
        <v>-0.7923815846443176</v>
      </c>
      <c r="Z1486" s="3" t="n">
        <v>-2.045861482620239</v>
      </c>
      <c r="AA1486" s="3" t="n">
        <v>-2.045861482620239</v>
      </c>
      <c r="AB1486" s="3" t="n">
        <v>-1.972813963890076</v>
      </c>
      <c r="AC1486" s="3" t="n">
        <v>-1.609632730484009</v>
      </c>
      <c r="AD1486" s="3" t="n">
        <v>-0.9264925718307495</v>
      </c>
      <c r="AE1486" s="3" t="n">
        <v>-0.9264925718307495</v>
      </c>
    </row>
    <row r="1487">
      <c r="A1487" s="3" t="inlineStr">
        <is>
          <t>MOZ.distn.dec.ove.mean.10</t>
        </is>
      </c>
      <c r="B1487" s="3" t="inlineStr">
        <is>
          <t>MOZ</t>
        </is>
      </c>
      <c r="C1487" s="3" t="n">
        <v>2005</v>
      </c>
      <c r="D1487" s="3" t="inlineStr">
        <is>
          <t>Overall</t>
        </is>
      </c>
      <c r="E1487" s="3" t="inlineStr">
        <is>
          <t>Deciles</t>
        </is>
      </c>
      <c r="F1487" s="3" t="inlineStr">
        <is>
          <t>mean</t>
        </is>
      </c>
      <c r="G1487" s="3" t="n">
        <v>10</v>
      </c>
      <c r="H1487" s="3" t="n">
        <v>-0.7923815846443176</v>
      </c>
      <c r="I1487" s="3" t="n">
        <v>-0.7923815846443176</v>
      </c>
      <c r="J1487" s="3" t="n">
        <v>-0.9264925718307495</v>
      </c>
      <c r="K1487" s="3" t="n">
        <v>-0.9264925718307495</v>
      </c>
      <c r="L1487" s="3" t="n">
        <v>-0.7923815846443176</v>
      </c>
      <c r="M1487" s="3" t="n">
        <v>-0.7923815846443176</v>
      </c>
      <c r="N1487" s="3" t="n">
        <v>-0.7923815846443176</v>
      </c>
      <c r="O1487" s="3" t="n">
        <v>-0.7923815846443176</v>
      </c>
      <c r="P1487" s="3" t="n">
        <v>-0.7923815846443176</v>
      </c>
      <c r="Q1487" s="3" t="n">
        <v>-0.7923815846443176</v>
      </c>
      <c r="R1487" s="3" t="n">
        <v>-0.7752549052238464</v>
      </c>
      <c r="S1487" s="3" t="n">
        <v>-2.045861482620239</v>
      </c>
      <c r="T1487" s="3" t="n">
        <v>-0.7100409269332886</v>
      </c>
      <c r="U1487" s="3" t="n">
        <v>-0.9264925718307495</v>
      </c>
      <c r="V1487" s="3" t="n">
        <v>-0.6857081055641174</v>
      </c>
      <c r="W1487" s="3" t="n">
        <v>-0.6191475987434387</v>
      </c>
      <c r="X1487" s="3" t="n">
        <v>-1.972813963890076</v>
      </c>
      <c r="Y1487" s="3" t="n">
        <v>-0.7923815846443176</v>
      </c>
      <c r="Z1487" s="3" t="n">
        <v>-2.045861482620239</v>
      </c>
      <c r="AA1487" s="3" t="n">
        <v>-2.045861482620239</v>
      </c>
      <c r="AB1487" s="3" t="n">
        <v>-1.972813963890076</v>
      </c>
      <c r="AC1487" s="3" t="n">
        <v>-1.609632730484009</v>
      </c>
      <c r="AD1487" s="3" t="n">
        <v>-0.9264925718307495</v>
      </c>
      <c r="AE1487" s="3" t="n">
        <v>-0.9264925718307495</v>
      </c>
    </row>
    <row r="1488">
      <c r="A1488" s="3" t="inlineStr">
        <is>
          <t>MOZ.distn.bkt.ove.mean.9999</t>
        </is>
      </c>
      <c r="B1488" s="3" t="inlineStr">
        <is>
          <t>MOZ</t>
        </is>
      </c>
      <c r="C1488" s="3" t="n">
        <v>2005</v>
      </c>
      <c r="D1488" s="3" t="inlineStr">
        <is>
          <t>Overall</t>
        </is>
      </c>
      <c r="E1488" s="3" t="inlineStr">
        <is>
          <t>Basket</t>
        </is>
      </c>
      <c r="F1488" s="3" t="inlineStr">
        <is>
          <t>mean</t>
        </is>
      </c>
      <c r="G1488" s="3" t="n">
        <v>9999</v>
      </c>
      <c r="H1488" s="3" t="n">
        <v>-0.7940106987953186</v>
      </c>
      <c r="I1488" s="3" t="n">
        <v>-0.7940106987953186</v>
      </c>
      <c r="J1488" s="3" t="n">
        <v>-0.9388224482536316</v>
      </c>
      <c r="K1488" s="3" t="n">
        <v>-0.9388224482536316</v>
      </c>
      <c r="L1488" s="3" t="n">
        <v>-0.7940106987953186</v>
      </c>
      <c r="M1488" s="3" t="n">
        <v>-0.7940106987953186</v>
      </c>
      <c r="N1488" s="3" t="n">
        <v>-0.7940106987953186</v>
      </c>
      <c r="O1488" s="3" t="n">
        <v>-0.7940106987953186</v>
      </c>
      <c r="P1488" s="3" t="n">
        <v>-0.7940106987953186</v>
      </c>
      <c r="Q1488" s="3" t="n">
        <v>-0.7940106987953186</v>
      </c>
      <c r="R1488" s="3" t="n">
        <v>-0.7761244773864746</v>
      </c>
      <c r="S1488" s="3" t="n">
        <v>-2.31736421585083</v>
      </c>
      <c r="T1488" s="3" t="n">
        <v>-0.7104492783546448</v>
      </c>
      <c r="U1488" s="3" t="n">
        <v>-0.9388224482536316</v>
      </c>
      <c r="V1488" s="3" t="n">
        <v>-0.6873235702514648</v>
      </c>
      <c r="W1488" s="3" t="n">
        <v>-0.6418904066085815</v>
      </c>
      <c r="X1488" s="3" t="n">
        <v>-2.204892635345459</v>
      </c>
      <c r="Y1488" s="3" t="n">
        <v>-0.7940106987953186</v>
      </c>
      <c r="Z1488" s="3" t="n">
        <v>-2.31736421585083</v>
      </c>
      <c r="AA1488" s="3" t="n">
        <v>-2.31736421585083</v>
      </c>
      <c r="AB1488" s="3" t="n">
        <v>-2.204892635345459</v>
      </c>
      <c r="AC1488" s="3" t="n">
        <v>-2.103562116622925</v>
      </c>
      <c r="AD1488" s="3" t="n">
        <v>-0.9388224482536316</v>
      </c>
      <c r="AE1488" s="3" t="n">
        <v>-0.9388224482536316</v>
      </c>
    </row>
    <row r="1489">
      <c r="A1489" s="3" t="inlineStr">
        <is>
          <t>MRT.distn.dec.ove.mean.1</t>
        </is>
      </c>
      <c r="B1489" s="3" t="inlineStr">
        <is>
          <t>MRT</t>
        </is>
      </c>
      <c r="C1489" s="3" t="n">
        <v>2005</v>
      </c>
      <c r="D1489" s="3" t="inlineStr">
        <is>
          <t>Overall</t>
        </is>
      </c>
      <c r="E1489" s="3" t="inlineStr">
        <is>
          <t>Deciles</t>
        </is>
      </c>
      <c r="F1489" s="3" t="inlineStr">
        <is>
          <t>mean</t>
        </is>
      </c>
      <c r="G1489" s="3" t="n">
        <v>1</v>
      </c>
      <c r="H1489" s="3" t="n">
        <v>-0.7952967882156372</v>
      </c>
      <c r="I1489" s="3" t="n">
        <v>-0.7952967882156372</v>
      </c>
      <c r="J1489" s="3" t="n">
        <v>-0.9393923878669739</v>
      </c>
      <c r="K1489" s="3" t="n">
        <v>-0.9393923878669739</v>
      </c>
      <c r="L1489" s="3" t="n">
        <v>-0.7952967882156372</v>
      </c>
      <c r="M1489" s="3" t="n">
        <v>-0.7952967882156372</v>
      </c>
      <c r="N1489" s="3" t="n">
        <v>-0.7952967882156372</v>
      </c>
      <c r="O1489" s="3" t="n">
        <v>-0.7952967882156372</v>
      </c>
      <c r="P1489" s="3" t="n">
        <v>-0.7952967882156372</v>
      </c>
      <c r="Q1489" s="3" t="n">
        <v>-0.7952967882156372</v>
      </c>
      <c r="R1489" s="3" t="n">
        <v>-0.7774887681007385</v>
      </c>
      <c r="S1489" s="3" t="n">
        <v>-1.913050651550293</v>
      </c>
      <c r="T1489" s="3" t="n">
        <v>-0.7114566564559937</v>
      </c>
      <c r="U1489" s="3" t="n">
        <v>-0.9393923878669739</v>
      </c>
      <c r="V1489" s="3" t="n">
        <v>-0.6900166273117065</v>
      </c>
      <c r="W1489" s="3" t="n">
        <v>-0.6939113140106201</v>
      </c>
      <c r="X1489" s="3" t="n">
        <v>-1.825047492980957</v>
      </c>
      <c r="Y1489" s="3" t="n">
        <v>-0.7952967882156372</v>
      </c>
      <c r="Z1489" s="3" t="n">
        <v>-1.913050651550293</v>
      </c>
      <c r="AA1489" s="3" t="n">
        <v>-1.913050651550293</v>
      </c>
      <c r="AB1489" s="3" t="n">
        <v>-1.825047492980957</v>
      </c>
      <c r="AC1489" s="3" t="n">
        <v>-4.23256254196167</v>
      </c>
      <c r="AD1489" s="3" t="n">
        <v>-0.9393923878669739</v>
      </c>
      <c r="AE1489" s="3" t="n">
        <v>-0.9393923878669739</v>
      </c>
    </row>
    <row r="1490">
      <c r="A1490" s="3" t="inlineStr">
        <is>
          <t>MRT.distn.dec.ove.mean.2</t>
        </is>
      </c>
      <c r="B1490" s="3" t="inlineStr">
        <is>
          <t>MRT</t>
        </is>
      </c>
      <c r="C1490" s="3" t="n">
        <v>2005</v>
      </c>
      <c r="D1490" s="3" t="inlineStr">
        <is>
          <t>Overall</t>
        </is>
      </c>
      <c r="E1490" s="3" t="inlineStr">
        <is>
          <t>Deciles</t>
        </is>
      </c>
      <c r="F1490" s="3" t="inlineStr">
        <is>
          <t>mean</t>
        </is>
      </c>
      <c r="G1490" s="3" t="n">
        <v>2</v>
      </c>
      <c r="H1490" s="3" t="n">
        <v>-0.7952967882156372</v>
      </c>
      <c r="I1490" s="3" t="n">
        <v>-0.7952967882156372</v>
      </c>
      <c r="J1490" s="3" t="n">
        <v>-0.9393923878669739</v>
      </c>
      <c r="K1490" s="3" t="n">
        <v>-0.9393923878669739</v>
      </c>
      <c r="L1490" s="3" t="n">
        <v>-0.7952967882156372</v>
      </c>
      <c r="M1490" s="3" t="n">
        <v>-0.7952967882156372</v>
      </c>
      <c r="N1490" s="3" t="n">
        <v>-0.7952967882156372</v>
      </c>
      <c r="O1490" s="3" t="n">
        <v>-0.7952967882156372</v>
      </c>
      <c r="P1490" s="3" t="n">
        <v>-0.7952967882156372</v>
      </c>
      <c r="Q1490" s="3" t="n">
        <v>-0.7952967882156372</v>
      </c>
      <c r="R1490" s="3" t="n">
        <v>-0.7774887681007385</v>
      </c>
      <c r="S1490" s="3" t="n">
        <v>-1.913050651550293</v>
      </c>
      <c r="T1490" s="3" t="n">
        <v>-0.7114566564559937</v>
      </c>
      <c r="U1490" s="3" t="n">
        <v>-0.9393923878669739</v>
      </c>
      <c r="V1490" s="3" t="n">
        <v>-0.6900166273117065</v>
      </c>
      <c r="W1490" s="3" t="n">
        <v>-0.6939113140106201</v>
      </c>
      <c r="X1490" s="3" t="n">
        <v>-1.825047492980957</v>
      </c>
      <c r="Y1490" s="3" t="n">
        <v>-0.7952967882156372</v>
      </c>
      <c r="Z1490" s="3" t="n">
        <v>-1.913050651550293</v>
      </c>
      <c r="AA1490" s="3" t="n">
        <v>-1.913050651550293</v>
      </c>
      <c r="AB1490" s="3" t="n">
        <v>-1.825047492980957</v>
      </c>
      <c r="AC1490" s="3" t="n">
        <v>-4.23256254196167</v>
      </c>
      <c r="AD1490" s="3" t="n">
        <v>-0.9393923878669739</v>
      </c>
      <c r="AE1490" s="3" t="n">
        <v>-0.9393923878669739</v>
      </c>
    </row>
    <row r="1491">
      <c r="A1491" s="3" t="inlineStr">
        <is>
          <t>MRT.distn.dec.ove.mean.3</t>
        </is>
      </c>
      <c r="B1491" s="3" t="inlineStr">
        <is>
          <t>MRT</t>
        </is>
      </c>
      <c r="C1491" s="3" t="n">
        <v>2005</v>
      </c>
      <c r="D1491" s="3" t="inlineStr">
        <is>
          <t>Overall</t>
        </is>
      </c>
      <c r="E1491" s="3" t="inlineStr">
        <is>
          <t>Deciles</t>
        </is>
      </c>
      <c r="F1491" s="3" t="inlineStr">
        <is>
          <t>mean</t>
        </is>
      </c>
      <c r="G1491" s="3" t="n">
        <v>3</v>
      </c>
      <c r="H1491" s="3" t="n">
        <v>-0.7952967882156372</v>
      </c>
      <c r="I1491" s="3" t="n">
        <v>-0.7952967882156372</v>
      </c>
      <c r="J1491" s="3" t="n">
        <v>-0.9393923878669739</v>
      </c>
      <c r="K1491" s="3" t="n">
        <v>-0.9393923878669739</v>
      </c>
      <c r="L1491" s="3" t="n">
        <v>-0.7952967882156372</v>
      </c>
      <c r="M1491" s="3" t="n">
        <v>-0.7952967882156372</v>
      </c>
      <c r="N1491" s="3" t="n">
        <v>-0.7952967882156372</v>
      </c>
      <c r="O1491" s="3" t="n">
        <v>-0.7952967882156372</v>
      </c>
      <c r="P1491" s="3" t="n">
        <v>-0.7952967882156372</v>
      </c>
      <c r="Q1491" s="3" t="n">
        <v>-0.7952967882156372</v>
      </c>
      <c r="R1491" s="3" t="n">
        <v>-0.7774887681007385</v>
      </c>
      <c r="S1491" s="3" t="n">
        <v>-1.913050651550293</v>
      </c>
      <c r="T1491" s="3" t="n">
        <v>-0.7114566564559937</v>
      </c>
      <c r="U1491" s="3" t="n">
        <v>-0.9393923878669739</v>
      </c>
      <c r="V1491" s="3" t="n">
        <v>-0.6900166273117065</v>
      </c>
      <c r="W1491" s="3" t="n">
        <v>-0.6939113140106201</v>
      </c>
      <c r="X1491" s="3" t="n">
        <v>-1.825047492980957</v>
      </c>
      <c r="Y1491" s="3" t="n">
        <v>-0.7952967882156372</v>
      </c>
      <c r="Z1491" s="3" t="n">
        <v>-1.913050651550293</v>
      </c>
      <c r="AA1491" s="3" t="n">
        <v>-1.913050651550293</v>
      </c>
      <c r="AB1491" s="3" t="n">
        <v>-1.825047492980957</v>
      </c>
      <c r="AC1491" s="3" t="n">
        <v>-4.23256254196167</v>
      </c>
      <c r="AD1491" s="3" t="n">
        <v>-0.9393923878669739</v>
      </c>
      <c r="AE1491" s="3" t="n">
        <v>-0.9393923878669739</v>
      </c>
    </row>
    <row r="1492">
      <c r="A1492" s="3" t="inlineStr">
        <is>
          <t>MRT.distn.dec.ove.mean.4</t>
        </is>
      </c>
      <c r="B1492" s="3" t="inlineStr">
        <is>
          <t>MRT</t>
        </is>
      </c>
      <c r="C1492" s="3" t="n">
        <v>2005</v>
      </c>
      <c r="D1492" s="3" t="inlineStr">
        <is>
          <t>Overall</t>
        </is>
      </c>
      <c r="E1492" s="3" t="inlineStr">
        <is>
          <t>Deciles</t>
        </is>
      </c>
      <c r="F1492" s="3" t="inlineStr">
        <is>
          <t>mean</t>
        </is>
      </c>
      <c r="G1492" s="3" t="n">
        <v>4</v>
      </c>
      <c r="H1492" s="3" t="n">
        <v>-0.7889999747276306</v>
      </c>
      <c r="I1492" s="3" t="n">
        <v>-0.7889999747276306</v>
      </c>
      <c r="J1492" s="3" t="n">
        <v>-0.8939999938011169</v>
      </c>
      <c r="K1492" s="3" t="n">
        <v>-0.8939999938011169</v>
      </c>
      <c r="L1492" s="3" t="n">
        <v>-0.7889999747276306</v>
      </c>
      <c r="M1492" s="3" t="n">
        <v>-0.7889999747276306</v>
      </c>
      <c r="N1492" s="3" t="n">
        <v>-0.7889999747276306</v>
      </c>
      <c r="O1492" s="3" t="n">
        <v>-0.7889999747276306</v>
      </c>
      <c r="P1492" s="3" t="n">
        <v>-0.7889999747276306</v>
      </c>
      <c r="Q1492" s="3" t="n">
        <v>-0.7889999747276306</v>
      </c>
      <c r="R1492" s="3" t="n">
        <v>-0.7739999890327454</v>
      </c>
      <c r="S1492" s="3" t="n">
        <v>-1.302999973297119</v>
      </c>
      <c r="T1492" s="3" t="n">
        <v>-0.7099999785423279</v>
      </c>
      <c r="U1492" s="3" t="n">
        <v>-0.8939999938011169</v>
      </c>
      <c r="V1492" s="3" t="n">
        <v>-0.6830000281333923</v>
      </c>
      <c r="W1492" s="3" t="n">
        <v>-0.5839999914169312</v>
      </c>
      <c r="X1492" s="3" t="n">
        <v>-1.287999987602234</v>
      </c>
      <c r="Y1492" s="3" t="n">
        <v>-0.7889999747276306</v>
      </c>
      <c r="Z1492" s="3" t="n">
        <v>-1.302999973297119</v>
      </c>
      <c r="AA1492" s="3" t="n">
        <v>-1.302999973297119</v>
      </c>
      <c r="AB1492" s="3" t="n">
        <v>-1.287999987602234</v>
      </c>
      <c r="AC1492" s="3" t="n">
        <v>-2.043999910354614</v>
      </c>
      <c r="AD1492" s="3" t="n">
        <v>-0.8939999938011169</v>
      </c>
      <c r="AE1492" s="3" t="n">
        <v>-0.8939999938011169</v>
      </c>
    </row>
    <row r="1493">
      <c r="A1493" s="3" t="inlineStr">
        <is>
          <t>MRT.distn.dec.ove.mean.5</t>
        </is>
      </c>
      <c r="B1493" s="3" t="inlineStr">
        <is>
          <t>MRT</t>
        </is>
      </c>
      <c r="C1493" s="3" t="n">
        <v>2005</v>
      </c>
      <c r="D1493" s="3" t="inlineStr">
        <is>
          <t>Overall</t>
        </is>
      </c>
      <c r="E1493" s="3" t="inlineStr">
        <is>
          <t>Deciles</t>
        </is>
      </c>
      <c r="F1493" s="3" t="inlineStr">
        <is>
          <t>mean</t>
        </is>
      </c>
      <c r="G1493" s="3" t="n">
        <v>5</v>
      </c>
      <c r="H1493" s="3" t="n">
        <v>-0.7889999747276306</v>
      </c>
      <c r="I1493" s="3" t="n">
        <v>-0.7889999747276306</v>
      </c>
      <c r="J1493" s="3" t="n">
        <v>-0.8939999938011169</v>
      </c>
      <c r="K1493" s="3" t="n">
        <v>-0.8939999938011169</v>
      </c>
      <c r="L1493" s="3" t="n">
        <v>-0.7889999747276306</v>
      </c>
      <c r="M1493" s="3" t="n">
        <v>-0.7889999747276306</v>
      </c>
      <c r="N1493" s="3" t="n">
        <v>-0.7889999747276306</v>
      </c>
      <c r="O1493" s="3" t="n">
        <v>-0.7889999747276306</v>
      </c>
      <c r="P1493" s="3" t="n">
        <v>-0.7889999747276306</v>
      </c>
      <c r="Q1493" s="3" t="n">
        <v>-0.7889999747276306</v>
      </c>
      <c r="R1493" s="3" t="n">
        <v>-0.7739999890327454</v>
      </c>
      <c r="S1493" s="3" t="n">
        <v>-1.302999973297119</v>
      </c>
      <c r="T1493" s="3" t="n">
        <v>-0.7099999785423279</v>
      </c>
      <c r="U1493" s="3" t="n">
        <v>-0.8939999938011169</v>
      </c>
      <c r="V1493" s="3" t="n">
        <v>-0.6830000281333923</v>
      </c>
      <c r="W1493" s="3" t="n">
        <v>-0.5839999914169312</v>
      </c>
      <c r="X1493" s="3" t="n">
        <v>-1.287999987602234</v>
      </c>
      <c r="Y1493" s="3" t="n">
        <v>-0.7889999747276306</v>
      </c>
      <c r="Z1493" s="3" t="n">
        <v>-1.302999973297119</v>
      </c>
      <c r="AA1493" s="3" t="n">
        <v>-1.302999973297119</v>
      </c>
      <c r="AB1493" s="3" t="n">
        <v>-1.287999987602234</v>
      </c>
      <c r="AC1493" s="3" t="n">
        <v>-2.043999910354614</v>
      </c>
      <c r="AD1493" s="3" t="n">
        <v>-0.8939999938011169</v>
      </c>
      <c r="AE1493" s="3" t="n">
        <v>-0.8939999938011169</v>
      </c>
    </row>
    <row r="1494">
      <c r="A1494" s="3" t="inlineStr">
        <is>
          <t>MRT.distn.dec.ove.mean.6</t>
        </is>
      </c>
      <c r="B1494" s="3" t="inlineStr">
        <is>
          <t>MRT</t>
        </is>
      </c>
      <c r="C1494" s="3" t="n">
        <v>2005</v>
      </c>
      <c r="D1494" s="3" t="inlineStr">
        <is>
          <t>Overall</t>
        </is>
      </c>
      <c r="E1494" s="3" t="inlineStr">
        <is>
          <t>Deciles</t>
        </is>
      </c>
      <c r="F1494" s="3" t="inlineStr">
        <is>
          <t>mean</t>
        </is>
      </c>
      <c r="G1494" s="3" t="n">
        <v>6</v>
      </c>
      <c r="H1494" s="3" t="n">
        <v>-0.7889999747276306</v>
      </c>
      <c r="I1494" s="3" t="n">
        <v>-0.7889999747276306</v>
      </c>
      <c r="J1494" s="3" t="n">
        <v>-0.8939999938011169</v>
      </c>
      <c r="K1494" s="3" t="n">
        <v>-0.8939999938011169</v>
      </c>
      <c r="L1494" s="3" t="n">
        <v>-0.7889999747276306</v>
      </c>
      <c r="M1494" s="3" t="n">
        <v>-0.7889999747276306</v>
      </c>
      <c r="N1494" s="3" t="n">
        <v>-0.7889999747276306</v>
      </c>
      <c r="O1494" s="3" t="n">
        <v>-0.7889999747276306</v>
      </c>
      <c r="P1494" s="3" t="n">
        <v>-0.7889999747276306</v>
      </c>
      <c r="Q1494" s="3" t="n">
        <v>-0.7889999747276306</v>
      </c>
      <c r="R1494" s="3" t="n">
        <v>-0.7739999890327454</v>
      </c>
      <c r="S1494" s="3" t="n">
        <v>-1.302999973297119</v>
      </c>
      <c r="T1494" s="3" t="n">
        <v>-0.7099999785423279</v>
      </c>
      <c r="U1494" s="3" t="n">
        <v>-0.8939999938011169</v>
      </c>
      <c r="V1494" s="3" t="n">
        <v>-0.6830000281333923</v>
      </c>
      <c r="W1494" s="3" t="n">
        <v>-0.5839999914169312</v>
      </c>
      <c r="X1494" s="3" t="n">
        <v>-1.287999987602234</v>
      </c>
      <c r="Y1494" s="3" t="n">
        <v>-0.7889999747276306</v>
      </c>
      <c r="Z1494" s="3" t="n">
        <v>-1.302999973297119</v>
      </c>
      <c r="AA1494" s="3" t="n">
        <v>-1.302999973297119</v>
      </c>
      <c r="AB1494" s="3" t="n">
        <v>-1.287999987602234</v>
      </c>
      <c r="AC1494" s="3" t="n">
        <v>-2.043999910354614</v>
      </c>
      <c r="AD1494" s="3" t="n">
        <v>-0.8939999938011169</v>
      </c>
      <c r="AE1494" s="3" t="n">
        <v>-0.8939999938011169</v>
      </c>
    </row>
    <row r="1495">
      <c r="A1495" s="3" t="inlineStr">
        <is>
          <t>MRT.distn.dec.ove.mean.7</t>
        </is>
      </c>
      <c r="B1495" s="3" t="inlineStr">
        <is>
          <t>MRT</t>
        </is>
      </c>
      <c r="C1495" s="3" t="n">
        <v>2005</v>
      </c>
      <c r="D1495" s="3" t="inlineStr">
        <is>
          <t>Overall</t>
        </is>
      </c>
      <c r="E1495" s="3" t="inlineStr">
        <is>
          <t>Deciles</t>
        </is>
      </c>
      <c r="F1495" s="3" t="inlineStr">
        <is>
          <t>mean</t>
        </is>
      </c>
      <c r="G1495" s="3" t="n">
        <v>7</v>
      </c>
      <c r="H1495" s="3" t="n">
        <v>-0.7889999747276306</v>
      </c>
      <c r="I1495" s="3" t="n">
        <v>-0.7889999747276306</v>
      </c>
      <c r="J1495" s="3" t="n">
        <v>-0.8939999938011169</v>
      </c>
      <c r="K1495" s="3" t="n">
        <v>-0.8939999938011169</v>
      </c>
      <c r="L1495" s="3" t="n">
        <v>-0.7889999747276306</v>
      </c>
      <c r="M1495" s="3" t="n">
        <v>-0.7889999747276306</v>
      </c>
      <c r="N1495" s="3" t="n">
        <v>-0.7889999747276306</v>
      </c>
      <c r="O1495" s="3" t="n">
        <v>-0.7889999747276306</v>
      </c>
      <c r="P1495" s="3" t="n">
        <v>-0.7889999747276306</v>
      </c>
      <c r="Q1495" s="3" t="n">
        <v>-0.7889999747276306</v>
      </c>
      <c r="R1495" s="3" t="n">
        <v>-0.7739999890327454</v>
      </c>
      <c r="S1495" s="3" t="n">
        <v>-1.302999973297119</v>
      </c>
      <c r="T1495" s="3" t="n">
        <v>-0.7099999785423279</v>
      </c>
      <c r="U1495" s="3" t="n">
        <v>-0.8939999938011169</v>
      </c>
      <c r="V1495" s="3" t="n">
        <v>-0.6830000281333923</v>
      </c>
      <c r="W1495" s="3" t="n">
        <v>-0.5839999914169312</v>
      </c>
      <c r="X1495" s="3" t="n">
        <v>-1.287999987602234</v>
      </c>
      <c r="Y1495" s="3" t="n">
        <v>-0.7889999747276306</v>
      </c>
      <c r="Z1495" s="3" t="n">
        <v>-1.302999973297119</v>
      </c>
      <c r="AA1495" s="3" t="n">
        <v>-1.302999973297119</v>
      </c>
      <c r="AB1495" s="3" t="n">
        <v>-1.287999987602234</v>
      </c>
      <c r="AC1495" s="3" t="n">
        <v>-2.043999910354614</v>
      </c>
      <c r="AD1495" s="3" t="n">
        <v>-0.8939999938011169</v>
      </c>
      <c r="AE1495" s="3" t="n">
        <v>-0.8939999938011169</v>
      </c>
    </row>
    <row r="1496">
      <c r="A1496" s="3" t="inlineStr">
        <is>
          <t>MRT.distn.dec.ove.mean.8</t>
        </is>
      </c>
      <c r="B1496" s="3" t="inlineStr">
        <is>
          <t>MRT</t>
        </is>
      </c>
      <c r="C1496" s="3" t="n">
        <v>2005</v>
      </c>
      <c r="D1496" s="3" t="inlineStr">
        <is>
          <t>Overall</t>
        </is>
      </c>
      <c r="E1496" s="3" t="inlineStr">
        <is>
          <t>Deciles</t>
        </is>
      </c>
      <c r="F1496" s="3" t="inlineStr">
        <is>
          <t>mean</t>
        </is>
      </c>
      <c r="G1496" s="3" t="n">
        <v>8</v>
      </c>
      <c r="H1496" s="3" t="n">
        <v>-0.7893801331520081</v>
      </c>
      <c r="I1496" s="3" t="n">
        <v>-0.7893801331520081</v>
      </c>
      <c r="J1496" s="3" t="n">
        <v>-0.896411657333374</v>
      </c>
      <c r="K1496" s="3" t="n">
        <v>-0.896411657333374</v>
      </c>
      <c r="L1496" s="3" t="n">
        <v>-0.7893801331520081</v>
      </c>
      <c r="M1496" s="3" t="n">
        <v>-0.7893801331520081</v>
      </c>
      <c r="N1496" s="3" t="n">
        <v>-0.7893801331520081</v>
      </c>
      <c r="O1496" s="3" t="n">
        <v>-0.7893801331520081</v>
      </c>
      <c r="P1496" s="3" t="n">
        <v>-0.7893801331520081</v>
      </c>
      <c r="Q1496" s="3" t="n">
        <v>-0.7893801331520081</v>
      </c>
      <c r="R1496" s="3" t="n">
        <v>-0.7742545604705811</v>
      </c>
      <c r="S1496" s="3" t="n">
        <v>-1.31512451171875</v>
      </c>
      <c r="T1496" s="3" t="n">
        <v>-0.7100409269332886</v>
      </c>
      <c r="U1496" s="3" t="n">
        <v>-0.896411657333374</v>
      </c>
      <c r="V1496" s="3" t="n">
        <v>-0.6837060451507568</v>
      </c>
      <c r="W1496" s="3" t="n">
        <v>-0.599638819694519</v>
      </c>
      <c r="X1496" s="3" t="n">
        <v>-1.299736261367798</v>
      </c>
      <c r="Y1496" s="3" t="n">
        <v>-0.7893801331520081</v>
      </c>
      <c r="Z1496" s="3" t="n">
        <v>-1.31512451171875</v>
      </c>
      <c r="AA1496" s="3" t="n">
        <v>-1.31512451171875</v>
      </c>
      <c r="AB1496" s="3" t="n">
        <v>-1.299736261367798</v>
      </c>
      <c r="AC1496" s="3" t="n">
        <v>-2.073150157928467</v>
      </c>
      <c r="AD1496" s="3" t="n">
        <v>-0.896411657333374</v>
      </c>
      <c r="AE1496" s="3" t="n">
        <v>-0.896411657333374</v>
      </c>
    </row>
    <row r="1497">
      <c r="A1497" s="3" t="inlineStr">
        <is>
          <t>MRT.distn.dec.ove.mean.9</t>
        </is>
      </c>
      <c r="B1497" s="3" t="inlineStr">
        <is>
          <t>MRT</t>
        </is>
      </c>
      <c r="C1497" s="3" t="n">
        <v>2005</v>
      </c>
      <c r="D1497" s="3" t="inlineStr">
        <is>
          <t>Overall</t>
        </is>
      </c>
      <c r="E1497" s="3" t="inlineStr">
        <is>
          <t>Deciles</t>
        </is>
      </c>
      <c r="F1497" s="3" t="inlineStr">
        <is>
          <t>mean</t>
        </is>
      </c>
      <c r="G1497" s="3" t="n">
        <v>9</v>
      </c>
      <c r="H1497" s="3" t="n">
        <v>-0.7893801331520081</v>
      </c>
      <c r="I1497" s="3" t="n">
        <v>-0.7893801331520081</v>
      </c>
      <c r="J1497" s="3" t="n">
        <v>-0.896411657333374</v>
      </c>
      <c r="K1497" s="3" t="n">
        <v>-0.896411657333374</v>
      </c>
      <c r="L1497" s="3" t="n">
        <v>-0.7893801331520081</v>
      </c>
      <c r="M1497" s="3" t="n">
        <v>-0.7893801331520081</v>
      </c>
      <c r="N1497" s="3" t="n">
        <v>-0.7893801331520081</v>
      </c>
      <c r="O1497" s="3" t="n">
        <v>-0.7893801331520081</v>
      </c>
      <c r="P1497" s="3" t="n">
        <v>-0.7893801331520081</v>
      </c>
      <c r="Q1497" s="3" t="n">
        <v>-0.7893801331520081</v>
      </c>
      <c r="R1497" s="3" t="n">
        <v>-0.7742545604705811</v>
      </c>
      <c r="S1497" s="3" t="n">
        <v>-1.31512451171875</v>
      </c>
      <c r="T1497" s="3" t="n">
        <v>-0.7100409269332886</v>
      </c>
      <c r="U1497" s="3" t="n">
        <v>-0.896411657333374</v>
      </c>
      <c r="V1497" s="3" t="n">
        <v>-0.6837060451507568</v>
      </c>
      <c r="W1497" s="3" t="n">
        <v>-0.599638819694519</v>
      </c>
      <c r="X1497" s="3" t="n">
        <v>-1.299736261367798</v>
      </c>
      <c r="Y1497" s="3" t="n">
        <v>-0.7893801331520081</v>
      </c>
      <c r="Z1497" s="3" t="n">
        <v>-1.31512451171875</v>
      </c>
      <c r="AA1497" s="3" t="n">
        <v>-1.31512451171875</v>
      </c>
      <c r="AB1497" s="3" t="n">
        <v>-1.299736261367798</v>
      </c>
      <c r="AC1497" s="3" t="n">
        <v>-2.073150157928467</v>
      </c>
      <c r="AD1497" s="3" t="n">
        <v>-0.896411657333374</v>
      </c>
      <c r="AE1497" s="3" t="n">
        <v>-0.896411657333374</v>
      </c>
    </row>
    <row r="1498">
      <c r="A1498" s="3" t="inlineStr">
        <is>
          <t>MRT.distn.dec.ove.mean.10</t>
        </is>
      </c>
      <c r="B1498" s="3" t="inlineStr">
        <is>
          <t>MRT</t>
        </is>
      </c>
      <c r="C1498" s="3" t="n">
        <v>2005</v>
      </c>
      <c r="D1498" s="3" t="inlineStr">
        <is>
          <t>Overall</t>
        </is>
      </c>
      <c r="E1498" s="3" t="inlineStr">
        <is>
          <t>Deciles</t>
        </is>
      </c>
      <c r="F1498" s="3" t="inlineStr">
        <is>
          <t>mean</t>
        </is>
      </c>
      <c r="G1498" s="3" t="n">
        <v>10</v>
      </c>
      <c r="H1498" s="3" t="n">
        <v>-0.7893801331520081</v>
      </c>
      <c r="I1498" s="3" t="n">
        <v>-0.7893801331520081</v>
      </c>
      <c r="J1498" s="3" t="n">
        <v>-0.896411657333374</v>
      </c>
      <c r="K1498" s="3" t="n">
        <v>-0.896411657333374</v>
      </c>
      <c r="L1498" s="3" t="n">
        <v>-0.7893801331520081</v>
      </c>
      <c r="M1498" s="3" t="n">
        <v>-0.7893801331520081</v>
      </c>
      <c r="N1498" s="3" t="n">
        <v>-0.7893801331520081</v>
      </c>
      <c r="O1498" s="3" t="n">
        <v>-0.7893801331520081</v>
      </c>
      <c r="P1498" s="3" t="n">
        <v>-0.7893801331520081</v>
      </c>
      <c r="Q1498" s="3" t="n">
        <v>-0.7893801331520081</v>
      </c>
      <c r="R1498" s="3" t="n">
        <v>-0.7742545604705811</v>
      </c>
      <c r="S1498" s="3" t="n">
        <v>-1.31512451171875</v>
      </c>
      <c r="T1498" s="3" t="n">
        <v>-0.7100409269332886</v>
      </c>
      <c r="U1498" s="3" t="n">
        <v>-0.896411657333374</v>
      </c>
      <c r="V1498" s="3" t="n">
        <v>-0.6837060451507568</v>
      </c>
      <c r="W1498" s="3" t="n">
        <v>-0.599638819694519</v>
      </c>
      <c r="X1498" s="3" t="n">
        <v>-1.299736261367798</v>
      </c>
      <c r="Y1498" s="3" t="n">
        <v>-0.7893801331520081</v>
      </c>
      <c r="Z1498" s="3" t="n">
        <v>-1.31512451171875</v>
      </c>
      <c r="AA1498" s="3" t="n">
        <v>-1.31512451171875</v>
      </c>
      <c r="AB1498" s="3" t="n">
        <v>-1.299736261367798</v>
      </c>
      <c r="AC1498" s="3" t="n">
        <v>-2.073150157928467</v>
      </c>
      <c r="AD1498" s="3" t="n">
        <v>-0.896411657333374</v>
      </c>
      <c r="AE1498" s="3" t="n">
        <v>-0.896411657333374</v>
      </c>
    </row>
    <row r="1499">
      <c r="A1499" s="3" t="inlineStr">
        <is>
          <t>MRT.distn.bkt.ove.mean.9999</t>
        </is>
      </c>
      <c r="B1499" s="3" t="inlineStr">
        <is>
          <t>MRT</t>
        </is>
      </c>
      <c r="C1499" s="3" t="n">
        <v>2005</v>
      </c>
      <c r="D1499" s="3" t="inlineStr">
        <is>
          <t>Overall</t>
        </is>
      </c>
      <c r="E1499" s="3" t="inlineStr">
        <is>
          <t>Basket</t>
        </is>
      </c>
      <c r="F1499" s="3" t="inlineStr">
        <is>
          <t>mean</t>
        </is>
      </c>
      <c r="G1499" s="3" t="n">
        <v>9999</v>
      </c>
      <c r="H1499" s="3" t="n">
        <v>-0.7910030484199524</v>
      </c>
      <c r="I1499" s="3" t="n">
        <v>-0.7910030484199524</v>
      </c>
      <c r="J1499" s="3" t="n">
        <v>-0.9083412289619446</v>
      </c>
      <c r="K1499" s="3" t="n">
        <v>-0.9083412289619446</v>
      </c>
      <c r="L1499" s="3" t="n">
        <v>-0.7910030484199524</v>
      </c>
      <c r="M1499" s="3" t="n">
        <v>-0.7910030484199524</v>
      </c>
      <c r="N1499" s="3" t="n">
        <v>-0.7910030484199524</v>
      </c>
      <c r="O1499" s="3" t="n">
        <v>-0.7910030484199524</v>
      </c>
      <c r="P1499" s="3" t="n">
        <v>-0.7910030484199524</v>
      </c>
      <c r="Q1499" s="3" t="n">
        <v>-0.7910030484199524</v>
      </c>
      <c r="R1499" s="3" t="n">
        <v>-0.7751230001449585</v>
      </c>
      <c r="S1499" s="3" t="n">
        <v>-1.489652514457703</v>
      </c>
      <c r="T1499" s="3" t="n">
        <v>-0.7104492783546448</v>
      </c>
      <c r="U1499" s="3" t="n">
        <v>-0.9083412289619446</v>
      </c>
      <c r="V1499" s="3" t="n">
        <v>-0.685316801071167</v>
      </c>
      <c r="W1499" s="3" t="n">
        <v>-0.6216650605201721</v>
      </c>
      <c r="X1499" s="3" t="n">
        <v>-1.452635169029236</v>
      </c>
      <c r="Y1499" s="3" t="n">
        <v>-0.7910030484199524</v>
      </c>
      <c r="Z1499" s="3" t="n">
        <v>-1.489652514457703</v>
      </c>
      <c r="AA1499" s="3" t="n">
        <v>-1.489652514457703</v>
      </c>
      <c r="AB1499" s="3" t="n">
        <v>-1.452635169029236</v>
      </c>
      <c r="AC1499" s="3" t="n">
        <v>-2.709313869476318</v>
      </c>
      <c r="AD1499" s="3" t="n">
        <v>-0.9083412289619446</v>
      </c>
      <c r="AE1499" s="3" t="n">
        <v>-0.9083412289619446</v>
      </c>
    </row>
    <row r="1500">
      <c r="A1500" s="3" t="inlineStr">
        <is>
          <t>MUS.distn.dec.ove.mean.1</t>
        </is>
      </c>
      <c r="B1500" s="3" t="inlineStr">
        <is>
          <t>MUS</t>
        </is>
      </c>
      <c r="C1500" s="3" t="n">
        <v>2005</v>
      </c>
      <c r="D1500" s="3" t="inlineStr">
        <is>
          <t>Overall</t>
        </is>
      </c>
      <c r="E1500" s="3" t="inlineStr">
        <is>
          <t>Deciles</t>
        </is>
      </c>
      <c r="F1500" s="3" t="inlineStr">
        <is>
          <t>mean</t>
        </is>
      </c>
      <c r="G1500" s="3" t="n">
        <v>1</v>
      </c>
      <c r="H1500" s="3" t="n">
        <v>-0.7882409691810608</v>
      </c>
      <c r="I1500" s="3" t="n">
        <v>-0.7882409691810608</v>
      </c>
      <c r="J1500" s="3" t="n">
        <v>-0.8921075463294983</v>
      </c>
      <c r="K1500" s="3" t="n">
        <v>-0.8921075463294983</v>
      </c>
      <c r="L1500" s="3" t="n">
        <v>-0.7882409691810608</v>
      </c>
      <c r="M1500" s="3" t="n">
        <v>-0.7882409691810608</v>
      </c>
      <c r="N1500" s="3" t="n">
        <v>-0.7882409691810608</v>
      </c>
      <c r="O1500" s="3" t="n">
        <v>-0.7882409691810608</v>
      </c>
      <c r="P1500" s="3" t="n">
        <v>-0.7882409691810608</v>
      </c>
      <c r="Q1500" s="3" t="n">
        <v>-0.7882409691810608</v>
      </c>
      <c r="R1500" s="3" t="n">
        <v>-0.7734707593917847</v>
      </c>
      <c r="S1500" s="3" t="n">
        <v>-1.427079916000366</v>
      </c>
      <c r="T1500" s="3" t="n">
        <v>-0.7094525694847107</v>
      </c>
      <c r="U1500" s="3" t="n">
        <v>-0.8921075463294983</v>
      </c>
      <c r="V1500" s="3" t="n">
        <v>-0.6829447150230408</v>
      </c>
      <c r="W1500" s="3" t="n">
        <v>-0.591725766658783</v>
      </c>
      <c r="X1500" s="3" t="n">
        <v>-1.373036503791809</v>
      </c>
      <c r="Y1500" s="3" t="n">
        <v>-0.7882409691810608</v>
      </c>
      <c r="Z1500" s="3" t="n">
        <v>-1.427079916000366</v>
      </c>
      <c r="AA1500" s="3" t="n">
        <v>-1.427079916000366</v>
      </c>
      <c r="AB1500" s="3" t="n">
        <v>-1.373036503791809</v>
      </c>
      <c r="AC1500" s="3" t="n">
        <v>-2.163908004760742</v>
      </c>
      <c r="AD1500" s="3" t="n">
        <v>-0.8921075463294983</v>
      </c>
      <c r="AE1500" s="3" t="n">
        <v>-0.8921075463294983</v>
      </c>
    </row>
    <row r="1501">
      <c r="A1501" s="3" t="inlineStr">
        <is>
          <t>MUS.distn.dec.ove.mean.2</t>
        </is>
      </c>
      <c r="B1501" s="3" t="inlineStr">
        <is>
          <t>MUS</t>
        </is>
      </c>
      <c r="C1501" s="3" t="n">
        <v>2005</v>
      </c>
      <c r="D1501" s="3" t="inlineStr">
        <is>
          <t>Overall</t>
        </is>
      </c>
      <c r="E1501" s="3" t="inlineStr">
        <is>
          <t>Deciles</t>
        </is>
      </c>
      <c r="F1501" s="3" t="inlineStr">
        <is>
          <t>mean</t>
        </is>
      </c>
      <c r="G1501" s="3" t="n">
        <v>2</v>
      </c>
      <c r="H1501" s="3" t="n">
        <v>-0.7882409691810608</v>
      </c>
      <c r="I1501" s="3" t="n">
        <v>-0.7882409691810608</v>
      </c>
      <c r="J1501" s="3" t="n">
        <v>-0.8921075463294983</v>
      </c>
      <c r="K1501" s="3" t="n">
        <v>-0.8921075463294983</v>
      </c>
      <c r="L1501" s="3" t="n">
        <v>-0.7882409691810608</v>
      </c>
      <c r="M1501" s="3" t="n">
        <v>-0.7882409691810608</v>
      </c>
      <c r="N1501" s="3" t="n">
        <v>-0.7882409691810608</v>
      </c>
      <c r="O1501" s="3" t="n">
        <v>-0.7882409691810608</v>
      </c>
      <c r="P1501" s="3" t="n">
        <v>-0.7882409691810608</v>
      </c>
      <c r="Q1501" s="3" t="n">
        <v>-0.7882409691810608</v>
      </c>
      <c r="R1501" s="3" t="n">
        <v>-0.7734707593917847</v>
      </c>
      <c r="S1501" s="3" t="n">
        <v>-1.427079916000366</v>
      </c>
      <c r="T1501" s="3" t="n">
        <v>-0.7094525694847107</v>
      </c>
      <c r="U1501" s="3" t="n">
        <v>-0.8921075463294983</v>
      </c>
      <c r="V1501" s="3" t="n">
        <v>-0.6829447150230408</v>
      </c>
      <c r="W1501" s="3" t="n">
        <v>-0.591725766658783</v>
      </c>
      <c r="X1501" s="3" t="n">
        <v>-1.373036503791809</v>
      </c>
      <c r="Y1501" s="3" t="n">
        <v>-0.7882409691810608</v>
      </c>
      <c r="Z1501" s="3" t="n">
        <v>-1.427079916000366</v>
      </c>
      <c r="AA1501" s="3" t="n">
        <v>-1.427079916000366</v>
      </c>
      <c r="AB1501" s="3" t="n">
        <v>-1.373036503791809</v>
      </c>
      <c r="AC1501" s="3" t="n">
        <v>-2.163908004760742</v>
      </c>
      <c r="AD1501" s="3" t="n">
        <v>-0.8921075463294983</v>
      </c>
      <c r="AE1501" s="3" t="n">
        <v>-0.8921075463294983</v>
      </c>
    </row>
    <row r="1502">
      <c r="A1502" s="3" t="inlineStr">
        <is>
          <t>MUS.distn.dec.ove.mean.3</t>
        </is>
      </c>
      <c r="B1502" s="3" t="inlineStr">
        <is>
          <t>MUS</t>
        </is>
      </c>
      <c r="C1502" s="3" t="n">
        <v>2005</v>
      </c>
      <c r="D1502" s="3" t="inlineStr">
        <is>
          <t>Overall</t>
        </is>
      </c>
      <c r="E1502" s="3" t="inlineStr">
        <is>
          <t>Deciles</t>
        </is>
      </c>
      <c r="F1502" s="3" t="inlineStr">
        <is>
          <t>mean</t>
        </is>
      </c>
      <c r="G1502" s="3" t="n">
        <v>3</v>
      </c>
      <c r="H1502" s="3" t="n">
        <v>-0.7882409691810608</v>
      </c>
      <c r="I1502" s="3" t="n">
        <v>-0.7882409691810608</v>
      </c>
      <c r="J1502" s="3" t="n">
        <v>-0.8921075463294983</v>
      </c>
      <c r="K1502" s="3" t="n">
        <v>-0.8921075463294983</v>
      </c>
      <c r="L1502" s="3" t="n">
        <v>-0.7882409691810608</v>
      </c>
      <c r="M1502" s="3" t="n">
        <v>-0.7882409691810608</v>
      </c>
      <c r="N1502" s="3" t="n">
        <v>-0.7882409691810608</v>
      </c>
      <c r="O1502" s="3" t="n">
        <v>-0.7882409691810608</v>
      </c>
      <c r="P1502" s="3" t="n">
        <v>-0.7882409691810608</v>
      </c>
      <c r="Q1502" s="3" t="n">
        <v>-0.7882409691810608</v>
      </c>
      <c r="R1502" s="3" t="n">
        <v>-0.7734707593917847</v>
      </c>
      <c r="S1502" s="3" t="n">
        <v>-1.427079916000366</v>
      </c>
      <c r="T1502" s="3" t="n">
        <v>-0.7094525694847107</v>
      </c>
      <c r="U1502" s="3" t="n">
        <v>-0.8921075463294983</v>
      </c>
      <c r="V1502" s="3" t="n">
        <v>-0.6829447150230408</v>
      </c>
      <c r="W1502" s="3" t="n">
        <v>-0.591725766658783</v>
      </c>
      <c r="X1502" s="3" t="n">
        <v>-1.373036503791809</v>
      </c>
      <c r="Y1502" s="3" t="n">
        <v>-0.7882409691810608</v>
      </c>
      <c r="Z1502" s="3" t="n">
        <v>-1.427079916000366</v>
      </c>
      <c r="AA1502" s="3" t="n">
        <v>-1.427079916000366</v>
      </c>
      <c r="AB1502" s="3" t="n">
        <v>-1.373036503791809</v>
      </c>
      <c r="AC1502" s="3" t="n">
        <v>-2.163908004760742</v>
      </c>
      <c r="AD1502" s="3" t="n">
        <v>-0.8921075463294983</v>
      </c>
      <c r="AE1502" s="3" t="n">
        <v>-0.8921075463294983</v>
      </c>
    </row>
    <row r="1503">
      <c r="A1503" s="3" t="inlineStr">
        <is>
          <t>MUS.distn.dec.ove.mean.4</t>
        </is>
      </c>
      <c r="B1503" s="3" t="inlineStr">
        <is>
          <t>MUS</t>
        </is>
      </c>
      <c r="C1503" s="3" t="n">
        <v>2005</v>
      </c>
      <c r="D1503" s="3" t="inlineStr">
        <is>
          <t>Overall</t>
        </is>
      </c>
      <c r="E1503" s="3" t="inlineStr">
        <is>
          <t>Deciles</t>
        </is>
      </c>
      <c r="F1503" s="3" t="inlineStr">
        <is>
          <t>mean</t>
        </is>
      </c>
      <c r="G1503" s="3" t="n">
        <v>4</v>
      </c>
      <c r="H1503" s="3" t="n">
        <v>-0.7820000052452087</v>
      </c>
      <c r="I1503" s="3" t="n">
        <v>-0.7820000052452087</v>
      </c>
      <c r="J1503" s="3" t="n">
        <v>-0.8489999771118164</v>
      </c>
      <c r="K1503" s="3" t="n">
        <v>-0.8489999771118164</v>
      </c>
      <c r="L1503" s="3" t="n">
        <v>-0.7820000052452087</v>
      </c>
      <c r="M1503" s="3" t="n">
        <v>-0.7820000052452087</v>
      </c>
      <c r="N1503" s="3" t="n">
        <v>-0.7820000052452087</v>
      </c>
      <c r="O1503" s="3" t="n">
        <v>-0.7820000052452087</v>
      </c>
      <c r="P1503" s="3" t="n">
        <v>-0.7820000052452087</v>
      </c>
      <c r="Q1503" s="3" t="n">
        <v>-0.7820000052452087</v>
      </c>
      <c r="R1503" s="3" t="n">
        <v>-0.7699999809265137</v>
      </c>
      <c r="S1503" s="3" t="n">
        <v>-0.9720000028610229</v>
      </c>
      <c r="T1503" s="3" t="n">
        <v>-0.7080000042915344</v>
      </c>
      <c r="U1503" s="3" t="n">
        <v>-0.8489999771118164</v>
      </c>
      <c r="V1503" s="3" t="n">
        <v>-0.6759999990463257</v>
      </c>
      <c r="W1503" s="3" t="n">
        <v>-0.4979999959468842</v>
      </c>
      <c r="X1503" s="3" t="n">
        <v>-0.968999981880188</v>
      </c>
      <c r="Y1503" s="3" t="n">
        <v>-0.7820000052452087</v>
      </c>
      <c r="Z1503" s="3" t="n">
        <v>-0.9720000028610229</v>
      </c>
      <c r="AA1503" s="3" t="n">
        <v>-0.9720000028610229</v>
      </c>
      <c r="AB1503" s="3" t="n">
        <v>-0.968999981880188</v>
      </c>
      <c r="AC1503" s="3" t="n">
        <v>-1.044999957084656</v>
      </c>
      <c r="AD1503" s="3" t="n">
        <v>-0.8489999771118164</v>
      </c>
      <c r="AE1503" s="3" t="n">
        <v>-0.8489999771118164</v>
      </c>
    </row>
    <row r="1504">
      <c r="A1504" s="3" t="inlineStr">
        <is>
          <t>MUS.distn.dec.ove.mean.5</t>
        </is>
      </c>
      <c r="B1504" s="3" t="inlineStr">
        <is>
          <t>MUS</t>
        </is>
      </c>
      <c r="C1504" s="3" t="n">
        <v>2005</v>
      </c>
      <c r="D1504" s="3" t="inlineStr">
        <is>
          <t>Overall</t>
        </is>
      </c>
      <c r="E1504" s="3" t="inlineStr">
        <is>
          <t>Deciles</t>
        </is>
      </c>
      <c r="F1504" s="3" t="inlineStr">
        <is>
          <t>mean</t>
        </is>
      </c>
      <c r="G1504" s="3" t="n">
        <v>5</v>
      </c>
      <c r="H1504" s="3" t="n">
        <v>-0.7820000052452087</v>
      </c>
      <c r="I1504" s="3" t="n">
        <v>-0.7820000052452087</v>
      </c>
      <c r="J1504" s="3" t="n">
        <v>-0.8489999771118164</v>
      </c>
      <c r="K1504" s="3" t="n">
        <v>-0.8489999771118164</v>
      </c>
      <c r="L1504" s="3" t="n">
        <v>-0.7820000052452087</v>
      </c>
      <c r="M1504" s="3" t="n">
        <v>-0.7820000052452087</v>
      </c>
      <c r="N1504" s="3" t="n">
        <v>-0.7820000052452087</v>
      </c>
      <c r="O1504" s="3" t="n">
        <v>-0.7820000052452087</v>
      </c>
      <c r="P1504" s="3" t="n">
        <v>-0.7820000052452087</v>
      </c>
      <c r="Q1504" s="3" t="n">
        <v>-0.7820000052452087</v>
      </c>
      <c r="R1504" s="3" t="n">
        <v>-0.7699999809265137</v>
      </c>
      <c r="S1504" s="3" t="n">
        <v>-0.9720000028610229</v>
      </c>
      <c r="T1504" s="3" t="n">
        <v>-0.7080000042915344</v>
      </c>
      <c r="U1504" s="3" t="n">
        <v>-0.8489999771118164</v>
      </c>
      <c r="V1504" s="3" t="n">
        <v>-0.6759999990463257</v>
      </c>
      <c r="W1504" s="3" t="n">
        <v>-0.4979999959468842</v>
      </c>
      <c r="X1504" s="3" t="n">
        <v>-0.968999981880188</v>
      </c>
      <c r="Y1504" s="3" t="n">
        <v>-0.7820000052452087</v>
      </c>
      <c r="Z1504" s="3" t="n">
        <v>-0.9720000028610229</v>
      </c>
      <c r="AA1504" s="3" t="n">
        <v>-0.9720000028610229</v>
      </c>
      <c r="AB1504" s="3" t="n">
        <v>-0.968999981880188</v>
      </c>
      <c r="AC1504" s="3" t="n">
        <v>-1.044999957084656</v>
      </c>
      <c r="AD1504" s="3" t="n">
        <v>-0.8489999771118164</v>
      </c>
      <c r="AE1504" s="3" t="n">
        <v>-0.8489999771118164</v>
      </c>
    </row>
    <row r="1505">
      <c r="A1505" s="3" t="inlineStr">
        <is>
          <t>MUS.distn.dec.ove.mean.6</t>
        </is>
      </c>
      <c r="B1505" s="3" t="inlineStr">
        <is>
          <t>MUS</t>
        </is>
      </c>
      <c r="C1505" s="3" t="n">
        <v>2005</v>
      </c>
      <c r="D1505" s="3" t="inlineStr">
        <is>
          <t>Overall</t>
        </is>
      </c>
      <c r="E1505" s="3" t="inlineStr">
        <is>
          <t>Deciles</t>
        </is>
      </c>
      <c r="F1505" s="3" t="inlineStr">
        <is>
          <t>mean</t>
        </is>
      </c>
      <c r="G1505" s="3" t="n">
        <v>6</v>
      </c>
      <c r="H1505" s="3" t="n">
        <v>-0.7820000052452087</v>
      </c>
      <c r="I1505" s="3" t="n">
        <v>-0.7820000052452087</v>
      </c>
      <c r="J1505" s="3" t="n">
        <v>-0.8489999771118164</v>
      </c>
      <c r="K1505" s="3" t="n">
        <v>-0.8489999771118164</v>
      </c>
      <c r="L1505" s="3" t="n">
        <v>-0.7820000052452087</v>
      </c>
      <c r="M1505" s="3" t="n">
        <v>-0.7820000052452087</v>
      </c>
      <c r="N1505" s="3" t="n">
        <v>-0.7820000052452087</v>
      </c>
      <c r="O1505" s="3" t="n">
        <v>-0.7820000052452087</v>
      </c>
      <c r="P1505" s="3" t="n">
        <v>-0.7820000052452087</v>
      </c>
      <c r="Q1505" s="3" t="n">
        <v>-0.7820000052452087</v>
      </c>
      <c r="R1505" s="3" t="n">
        <v>-0.7699999809265137</v>
      </c>
      <c r="S1505" s="3" t="n">
        <v>-0.9720000028610229</v>
      </c>
      <c r="T1505" s="3" t="n">
        <v>-0.7080000042915344</v>
      </c>
      <c r="U1505" s="3" t="n">
        <v>-0.8489999771118164</v>
      </c>
      <c r="V1505" s="3" t="n">
        <v>-0.6759999990463257</v>
      </c>
      <c r="W1505" s="3" t="n">
        <v>-0.4979999959468842</v>
      </c>
      <c r="X1505" s="3" t="n">
        <v>-0.968999981880188</v>
      </c>
      <c r="Y1505" s="3" t="n">
        <v>-0.7820000052452087</v>
      </c>
      <c r="Z1505" s="3" t="n">
        <v>-0.9720000028610229</v>
      </c>
      <c r="AA1505" s="3" t="n">
        <v>-0.9720000028610229</v>
      </c>
      <c r="AB1505" s="3" t="n">
        <v>-0.968999981880188</v>
      </c>
      <c r="AC1505" s="3" t="n">
        <v>-1.044999957084656</v>
      </c>
      <c r="AD1505" s="3" t="n">
        <v>-0.8489999771118164</v>
      </c>
      <c r="AE1505" s="3" t="n">
        <v>-0.8489999771118164</v>
      </c>
    </row>
    <row r="1506">
      <c r="A1506" s="3" t="inlineStr">
        <is>
          <t>MUS.distn.dec.ove.mean.7</t>
        </is>
      </c>
      <c r="B1506" s="3" t="inlineStr">
        <is>
          <t>MUS</t>
        </is>
      </c>
      <c r="C1506" s="3" t="n">
        <v>2005</v>
      </c>
      <c r="D1506" s="3" t="inlineStr">
        <is>
          <t>Overall</t>
        </is>
      </c>
      <c r="E1506" s="3" t="inlineStr">
        <is>
          <t>Deciles</t>
        </is>
      </c>
      <c r="F1506" s="3" t="inlineStr">
        <is>
          <t>mean</t>
        </is>
      </c>
      <c r="G1506" s="3" t="n">
        <v>7</v>
      </c>
      <c r="H1506" s="3" t="n">
        <v>-0.7820000052452087</v>
      </c>
      <c r="I1506" s="3" t="n">
        <v>-0.7820000052452087</v>
      </c>
      <c r="J1506" s="3" t="n">
        <v>-0.8489999771118164</v>
      </c>
      <c r="K1506" s="3" t="n">
        <v>-0.8489999771118164</v>
      </c>
      <c r="L1506" s="3" t="n">
        <v>-0.7820000052452087</v>
      </c>
      <c r="M1506" s="3" t="n">
        <v>-0.7820000052452087</v>
      </c>
      <c r="N1506" s="3" t="n">
        <v>-0.7820000052452087</v>
      </c>
      <c r="O1506" s="3" t="n">
        <v>-0.7820000052452087</v>
      </c>
      <c r="P1506" s="3" t="n">
        <v>-0.7820000052452087</v>
      </c>
      <c r="Q1506" s="3" t="n">
        <v>-0.7820000052452087</v>
      </c>
      <c r="R1506" s="3" t="n">
        <v>-0.7699999809265137</v>
      </c>
      <c r="S1506" s="3" t="n">
        <v>-0.9720000028610229</v>
      </c>
      <c r="T1506" s="3" t="n">
        <v>-0.7080000042915344</v>
      </c>
      <c r="U1506" s="3" t="n">
        <v>-0.8489999771118164</v>
      </c>
      <c r="V1506" s="3" t="n">
        <v>-0.6759999990463257</v>
      </c>
      <c r="W1506" s="3" t="n">
        <v>-0.4979999959468842</v>
      </c>
      <c r="X1506" s="3" t="n">
        <v>-0.968999981880188</v>
      </c>
      <c r="Y1506" s="3" t="n">
        <v>-0.7820000052452087</v>
      </c>
      <c r="Z1506" s="3" t="n">
        <v>-0.9720000028610229</v>
      </c>
      <c r="AA1506" s="3" t="n">
        <v>-0.9720000028610229</v>
      </c>
      <c r="AB1506" s="3" t="n">
        <v>-0.968999981880188</v>
      </c>
      <c r="AC1506" s="3" t="n">
        <v>-1.044999957084656</v>
      </c>
      <c r="AD1506" s="3" t="n">
        <v>-0.8489999771118164</v>
      </c>
      <c r="AE1506" s="3" t="n">
        <v>-0.8489999771118164</v>
      </c>
    </row>
    <row r="1507">
      <c r="A1507" s="3" t="inlineStr">
        <is>
          <t>MUS.distn.dec.ove.mean.8</t>
        </is>
      </c>
      <c r="B1507" s="3" t="inlineStr">
        <is>
          <t>MUS</t>
        </is>
      </c>
      <c r="C1507" s="3" t="n">
        <v>2005</v>
      </c>
      <c r="D1507" s="3" t="inlineStr">
        <is>
          <t>Overall</t>
        </is>
      </c>
      <c r="E1507" s="3" t="inlineStr">
        <is>
          <t>Deciles</t>
        </is>
      </c>
      <c r="F1507" s="3" t="inlineStr">
        <is>
          <t>mean</t>
        </is>
      </c>
      <c r="G1507" s="3" t="n">
        <v>8</v>
      </c>
      <c r="H1507" s="3" t="n">
        <v>-0.782376766204834</v>
      </c>
      <c r="I1507" s="3" t="n">
        <v>-0.782376766204834</v>
      </c>
      <c r="J1507" s="3" t="n">
        <v>-0.851290225982666</v>
      </c>
      <c r="K1507" s="3" t="n">
        <v>-0.851290225982666</v>
      </c>
      <c r="L1507" s="3" t="n">
        <v>-0.782376766204834</v>
      </c>
      <c r="M1507" s="3" t="n">
        <v>-0.782376766204834</v>
      </c>
      <c r="N1507" s="3" t="n">
        <v>-0.782376766204834</v>
      </c>
      <c r="O1507" s="3" t="n">
        <v>-0.782376766204834</v>
      </c>
      <c r="P1507" s="3" t="n">
        <v>-0.782376766204834</v>
      </c>
      <c r="Q1507" s="3" t="n">
        <v>-0.782376766204834</v>
      </c>
      <c r="R1507" s="3" t="n">
        <v>-0.7702532410621643</v>
      </c>
      <c r="S1507" s="3" t="n">
        <v>-0.981044590473175</v>
      </c>
      <c r="T1507" s="3" t="n">
        <v>-0.7080408334732056</v>
      </c>
      <c r="U1507" s="3" t="n">
        <v>-0.851290225982666</v>
      </c>
      <c r="V1507" s="3" t="n">
        <v>-0.6766988039016724</v>
      </c>
      <c r="W1507" s="3" t="n">
        <v>-0.5113358497619629</v>
      </c>
      <c r="X1507" s="3" t="n">
        <v>-0.9778295159339905</v>
      </c>
      <c r="Y1507" s="3" t="n">
        <v>-0.782376766204834</v>
      </c>
      <c r="Z1507" s="3" t="n">
        <v>-0.981044590473175</v>
      </c>
      <c r="AA1507" s="3" t="n">
        <v>-0.981044590473175</v>
      </c>
      <c r="AB1507" s="3" t="n">
        <v>-0.9778295159339905</v>
      </c>
      <c r="AC1507" s="3" t="n">
        <v>-1.059903144836426</v>
      </c>
      <c r="AD1507" s="3" t="n">
        <v>-0.851290225982666</v>
      </c>
      <c r="AE1507" s="3" t="n">
        <v>-0.851290225982666</v>
      </c>
    </row>
    <row r="1508">
      <c r="A1508" s="3" t="inlineStr">
        <is>
          <t>MUS.distn.dec.ove.mean.9</t>
        </is>
      </c>
      <c r="B1508" s="3" t="inlineStr">
        <is>
          <t>MUS</t>
        </is>
      </c>
      <c r="C1508" s="3" t="n">
        <v>2005</v>
      </c>
      <c r="D1508" s="3" t="inlineStr">
        <is>
          <t>Overall</t>
        </is>
      </c>
      <c r="E1508" s="3" t="inlineStr">
        <is>
          <t>Deciles</t>
        </is>
      </c>
      <c r="F1508" s="3" t="inlineStr">
        <is>
          <t>mean</t>
        </is>
      </c>
      <c r="G1508" s="3" t="n">
        <v>9</v>
      </c>
      <c r="H1508" s="3" t="n">
        <v>-0.782376766204834</v>
      </c>
      <c r="I1508" s="3" t="n">
        <v>-0.782376766204834</v>
      </c>
      <c r="J1508" s="3" t="n">
        <v>-0.851290225982666</v>
      </c>
      <c r="K1508" s="3" t="n">
        <v>-0.851290225982666</v>
      </c>
      <c r="L1508" s="3" t="n">
        <v>-0.782376766204834</v>
      </c>
      <c r="M1508" s="3" t="n">
        <v>-0.782376766204834</v>
      </c>
      <c r="N1508" s="3" t="n">
        <v>-0.782376766204834</v>
      </c>
      <c r="O1508" s="3" t="n">
        <v>-0.782376766204834</v>
      </c>
      <c r="P1508" s="3" t="n">
        <v>-0.782376766204834</v>
      </c>
      <c r="Q1508" s="3" t="n">
        <v>-0.782376766204834</v>
      </c>
      <c r="R1508" s="3" t="n">
        <v>-0.7702532410621643</v>
      </c>
      <c r="S1508" s="3" t="n">
        <v>-0.981044590473175</v>
      </c>
      <c r="T1508" s="3" t="n">
        <v>-0.7080408334732056</v>
      </c>
      <c r="U1508" s="3" t="n">
        <v>-0.851290225982666</v>
      </c>
      <c r="V1508" s="3" t="n">
        <v>-0.6766988039016724</v>
      </c>
      <c r="W1508" s="3" t="n">
        <v>-0.5113358497619629</v>
      </c>
      <c r="X1508" s="3" t="n">
        <v>-0.9778295159339905</v>
      </c>
      <c r="Y1508" s="3" t="n">
        <v>-0.782376766204834</v>
      </c>
      <c r="Z1508" s="3" t="n">
        <v>-0.981044590473175</v>
      </c>
      <c r="AA1508" s="3" t="n">
        <v>-0.981044590473175</v>
      </c>
      <c r="AB1508" s="3" t="n">
        <v>-0.9778295159339905</v>
      </c>
      <c r="AC1508" s="3" t="n">
        <v>-1.059903144836426</v>
      </c>
      <c r="AD1508" s="3" t="n">
        <v>-0.851290225982666</v>
      </c>
      <c r="AE1508" s="3" t="n">
        <v>-0.851290225982666</v>
      </c>
    </row>
    <row r="1509">
      <c r="A1509" s="3" t="inlineStr">
        <is>
          <t>MUS.distn.dec.ove.mean.10</t>
        </is>
      </c>
      <c r="B1509" s="3" t="inlineStr">
        <is>
          <t>MUS</t>
        </is>
      </c>
      <c r="C1509" s="3" t="n">
        <v>2005</v>
      </c>
      <c r="D1509" s="3" t="inlineStr">
        <is>
          <t>Overall</t>
        </is>
      </c>
      <c r="E1509" s="3" t="inlineStr">
        <is>
          <t>Deciles</t>
        </is>
      </c>
      <c r="F1509" s="3" t="inlineStr">
        <is>
          <t>mean</t>
        </is>
      </c>
      <c r="G1509" s="3" t="n">
        <v>10</v>
      </c>
      <c r="H1509" s="3" t="n">
        <v>-0.782376766204834</v>
      </c>
      <c r="I1509" s="3" t="n">
        <v>-0.782376766204834</v>
      </c>
      <c r="J1509" s="3" t="n">
        <v>-0.851290225982666</v>
      </c>
      <c r="K1509" s="3" t="n">
        <v>-0.851290225982666</v>
      </c>
      <c r="L1509" s="3" t="n">
        <v>-0.782376766204834</v>
      </c>
      <c r="M1509" s="3" t="n">
        <v>-0.782376766204834</v>
      </c>
      <c r="N1509" s="3" t="n">
        <v>-0.782376766204834</v>
      </c>
      <c r="O1509" s="3" t="n">
        <v>-0.782376766204834</v>
      </c>
      <c r="P1509" s="3" t="n">
        <v>-0.782376766204834</v>
      </c>
      <c r="Q1509" s="3" t="n">
        <v>-0.782376766204834</v>
      </c>
      <c r="R1509" s="3" t="n">
        <v>-0.7702532410621643</v>
      </c>
      <c r="S1509" s="3" t="n">
        <v>-0.981044590473175</v>
      </c>
      <c r="T1509" s="3" t="n">
        <v>-0.7080408334732056</v>
      </c>
      <c r="U1509" s="3" t="n">
        <v>-0.851290225982666</v>
      </c>
      <c r="V1509" s="3" t="n">
        <v>-0.6766988039016724</v>
      </c>
      <c r="W1509" s="3" t="n">
        <v>-0.5113358497619629</v>
      </c>
      <c r="X1509" s="3" t="n">
        <v>-0.9778295159339905</v>
      </c>
      <c r="Y1509" s="3" t="n">
        <v>-0.782376766204834</v>
      </c>
      <c r="Z1509" s="3" t="n">
        <v>-0.981044590473175</v>
      </c>
      <c r="AA1509" s="3" t="n">
        <v>-0.981044590473175</v>
      </c>
      <c r="AB1509" s="3" t="n">
        <v>-0.9778295159339905</v>
      </c>
      <c r="AC1509" s="3" t="n">
        <v>-1.059903144836426</v>
      </c>
      <c r="AD1509" s="3" t="n">
        <v>-0.851290225982666</v>
      </c>
      <c r="AE1509" s="3" t="n">
        <v>-0.851290225982666</v>
      </c>
    </row>
    <row r="1510">
      <c r="A1510" s="3" t="inlineStr">
        <is>
          <t>MUS.distn.bkt.ove.mean.9999</t>
        </is>
      </c>
      <c r="B1510" s="3" t="inlineStr">
        <is>
          <t>MUS</t>
        </is>
      </c>
      <c r="C1510" s="3" t="n">
        <v>2005</v>
      </c>
      <c r="D1510" s="3" t="inlineStr">
        <is>
          <t>Overall</t>
        </is>
      </c>
      <c r="E1510" s="3" t="inlineStr">
        <is>
          <t>Basket</t>
        </is>
      </c>
      <c r="F1510" s="3" t="inlineStr">
        <is>
          <t>mean</t>
        </is>
      </c>
      <c r="G1510" s="3" t="n">
        <v>9999</v>
      </c>
      <c r="H1510" s="3" t="n">
        <v>-0.7839853167533875</v>
      </c>
      <c r="I1510" s="3" t="n">
        <v>-0.7839853167533875</v>
      </c>
      <c r="J1510" s="3" t="n">
        <v>-0.8626193404197693</v>
      </c>
      <c r="K1510" s="3" t="n">
        <v>-0.8626193404197693</v>
      </c>
      <c r="L1510" s="3" t="n">
        <v>-0.7839853167533875</v>
      </c>
      <c r="M1510" s="3" t="n">
        <v>-0.7839853167533875</v>
      </c>
      <c r="N1510" s="3" t="n">
        <v>-0.7839853167533875</v>
      </c>
      <c r="O1510" s="3" t="n">
        <v>-0.7839853167533875</v>
      </c>
      <c r="P1510" s="3" t="n">
        <v>-0.7839853167533875</v>
      </c>
      <c r="Q1510" s="3" t="n">
        <v>-0.7839853167533875</v>
      </c>
      <c r="R1510" s="3" t="n">
        <v>-0.7711172103881836</v>
      </c>
      <c r="S1510" s="3" t="n">
        <v>-1.111237406730652</v>
      </c>
      <c r="T1510" s="3" t="n">
        <v>-0.708448052406311</v>
      </c>
      <c r="U1510" s="3" t="n">
        <v>-0.8626193404197693</v>
      </c>
      <c r="V1510" s="3" t="n">
        <v>-0.6782930493354797</v>
      </c>
      <c r="W1510" s="3" t="n">
        <v>-0.530118465423584</v>
      </c>
      <c r="X1510" s="3" t="n">
        <v>-1.092859745025635</v>
      </c>
      <c r="Y1510" s="3" t="n">
        <v>-0.7839853167533875</v>
      </c>
      <c r="Z1510" s="3" t="n">
        <v>-1.111237406730652</v>
      </c>
      <c r="AA1510" s="3" t="n">
        <v>-1.111237406730652</v>
      </c>
      <c r="AB1510" s="3" t="n">
        <v>-1.092859745025635</v>
      </c>
      <c r="AC1510" s="3" t="n">
        <v>-1.385143280029297</v>
      </c>
      <c r="AD1510" s="3" t="n">
        <v>-0.8626193404197693</v>
      </c>
      <c r="AE1510" s="3" t="n">
        <v>-0.8626193404197693</v>
      </c>
    </row>
    <row r="1511">
      <c r="A1511" s="3" t="inlineStr">
        <is>
          <t>MWI.distn.dec.ove.mean.1</t>
        </is>
      </c>
      <c r="B1511" s="3" t="inlineStr">
        <is>
          <t>MWI</t>
        </is>
      </c>
      <c r="C1511" s="3" t="n">
        <v>2005</v>
      </c>
      <c r="D1511" s="3" t="inlineStr">
        <is>
          <t>Overall</t>
        </is>
      </c>
      <c r="E1511" s="3" t="inlineStr">
        <is>
          <t>Deciles</t>
        </is>
      </c>
      <c r="F1511" s="3" t="inlineStr">
        <is>
          <t>mean</t>
        </is>
      </c>
      <c r="G1511" s="3" t="n">
        <v>1</v>
      </c>
      <c r="H1511" s="3" t="n">
        <v>-0.7983207702636719</v>
      </c>
      <c r="I1511" s="3" t="n">
        <v>-0.7983207702636719</v>
      </c>
      <c r="J1511" s="3" t="n">
        <v>-0.9656617641448975</v>
      </c>
      <c r="K1511" s="3" t="n">
        <v>-0.9656617641448975</v>
      </c>
      <c r="L1511" s="3" t="n">
        <v>-0.7983207702636719</v>
      </c>
      <c r="M1511" s="3" t="n">
        <v>-0.7983207702636719</v>
      </c>
      <c r="N1511" s="3" t="n">
        <v>-0.7983207702636719</v>
      </c>
      <c r="O1511" s="3" t="n">
        <v>-0.7983207702636719</v>
      </c>
      <c r="P1511" s="3" t="n">
        <v>-0.7983207702636719</v>
      </c>
      <c r="Q1511" s="3" t="n">
        <v>-0.7983207702636719</v>
      </c>
      <c r="R1511" s="3" t="n">
        <v>-0.7784932851791382</v>
      </c>
      <c r="S1511" s="3" t="n">
        <v>-2.688254594802856</v>
      </c>
      <c r="T1511" s="3" t="n">
        <v>-0.7114566564559937</v>
      </c>
      <c r="U1511" s="3" t="n">
        <v>-0.9656617641448975</v>
      </c>
      <c r="V1511" s="3" t="n">
        <v>-0.6920371651649475</v>
      </c>
      <c r="W1511" s="3" t="n">
        <v>-0.714110791683197</v>
      </c>
      <c r="X1511" s="3" t="n">
        <v>-2.519359111785889</v>
      </c>
      <c r="Y1511" s="3" t="n">
        <v>-0.7983207702636719</v>
      </c>
      <c r="Z1511" s="3" t="n">
        <v>-2.688254594802856</v>
      </c>
      <c r="AA1511" s="3" t="n">
        <v>-2.688254594802856</v>
      </c>
      <c r="AB1511" s="3" t="n">
        <v>-2.519359111785889</v>
      </c>
      <c r="AC1511" s="3" t="n">
        <v>-2.012744903564453</v>
      </c>
      <c r="AD1511" s="3" t="n">
        <v>-0.9656617641448975</v>
      </c>
      <c r="AE1511" s="3" t="n">
        <v>-0.9656617641448975</v>
      </c>
    </row>
    <row r="1512">
      <c r="A1512" s="3" t="inlineStr">
        <is>
          <t>MWI.distn.dec.ove.mean.2</t>
        </is>
      </c>
      <c r="B1512" s="3" t="inlineStr">
        <is>
          <t>MWI</t>
        </is>
      </c>
      <c r="C1512" s="3" t="n">
        <v>2005</v>
      </c>
      <c r="D1512" s="3" t="inlineStr">
        <is>
          <t>Overall</t>
        </is>
      </c>
      <c r="E1512" s="3" t="inlineStr">
        <is>
          <t>Deciles</t>
        </is>
      </c>
      <c r="F1512" s="3" t="inlineStr">
        <is>
          <t>mean</t>
        </is>
      </c>
      <c r="G1512" s="3" t="n">
        <v>2</v>
      </c>
      <c r="H1512" s="3" t="n">
        <v>-0.7983207702636719</v>
      </c>
      <c r="I1512" s="3" t="n">
        <v>-0.7983207702636719</v>
      </c>
      <c r="J1512" s="3" t="n">
        <v>-0.9656617641448975</v>
      </c>
      <c r="K1512" s="3" t="n">
        <v>-0.9656617641448975</v>
      </c>
      <c r="L1512" s="3" t="n">
        <v>-0.7983207702636719</v>
      </c>
      <c r="M1512" s="3" t="n">
        <v>-0.7983207702636719</v>
      </c>
      <c r="N1512" s="3" t="n">
        <v>-0.7983207702636719</v>
      </c>
      <c r="O1512" s="3" t="n">
        <v>-0.7983207702636719</v>
      </c>
      <c r="P1512" s="3" t="n">
        <v>-0.7983207702636719</v>
      </c>
      <c r="Q1512" s="3" t="n">
        <v>-0.7983207702636719</v>
      </c>
      <c r="R1512" s="3" t="n">
        <v>-0.7784932851791382</v>
      </c>
      <c r="S1512" s="3" t="n">
        <v>-2.688254594802856</v>
      </c>
      <c r="T1512" s="3" t="n">
        <v>-0.7114566564559937</v>
      </c>
      <c r="U1512" s="3" t="n">
        <v>-0.9656617641448975</v>
      </c>
      <c r="V1512" s="3" t="n">
        <v>-0.6920371651649475</v>
      </c>
      <c r="W1512" s="3" t="n">
        <v>-0.714110791683197</v>
      </c>
      <c r="X1512" s="3" t="n">
        <v>-2.519359111785889</v>
      </c>
      <c r="Y1512" s="3" t="n">
        <v>-0.7983207702636719</v>
      </c>
      <c r="Z1512" s="3" t="n">
        <v>-2.688254594802856</v>
      </c>
      <c r="AA1512" s="3" t="n">
        <v>-2.688254594802856</v>
      </c>
      <c r="AB1512" s="3" t="n">
        <v>-2.519359111785889</v>
      </c>
      <c r="AC1512" s="3" t="n">
        <v>-2.012744903564453</v>
      </c>
      <c r="AD1512" s="3" t="n">
        <v>-0.9656617641448975</v>
      </c>
      <c r="AE1512" s="3" t="n">
        <v>-0.9656617641448975</v>
      </c>
    </row>
    <row r="1513">
      <c r="A1513" s="3" t="inlineStr">
        <is>
          <t>MWI.distn.dec.ove.mean.3</t>
        </is>
      </c>
      <c r="B1513" s="3" t="inlineStr">
        <is>
          <t>MWI</t>
        </is>
      </c>
      <c r="C1513" s="3" t="n">
        <v>2005</v>
      </c>
      <c r="D1513" s="3" t="inlineStr">
        <is>
          <t>Overall</t>
        </is>
      </c>
      <c r="E1513" s="3" t="inlineStr">
        <is>
          <t>Deciles</t>
        </is>
      </c>
      <c r="F1513" s="3" t="inlineStr">
        <is>
          <t>mean</t>
        </is>
      </c>
      <c r="G1513" s="3" t="n">
        <v>3</v>
      </c>
      <c r="H1513" s="3" t="n">
        <v>-0.7983207702636719</v>
      </c>
      <c r="I1513" s="3" t="n">
        <v>-0.7983207702636719</v>
      </c>
      <c r="J1513" s="3" t="n">
        <v>-0.9656617641448975</v>
      </c>
      <c r="K1513" s="3" t="n">
        <v>-0.9656617641448975</v>
      </c>
      <c r="L1513" s="3" t="n">
        <v>-0.7983207702636719</v>
      </c>
      <c r="M1513" s="3" t="n">
        <v>-0.7983207702636719</v>
      </c>
      <c r="N1513" s="3" t="n">
        <v>-0.7983207702636719</v>
      </c>
      <c r="O1513" s="3" t="n">
        <v>-0.7983207702636719</v>
      </c>
      <c r="P1513" s="3" t="n">
        <v>-0.7983207702636719</v>
      </c>
      <c r="Q1513" s="3" t="n">
        <v>-0.7983207702636719</v>
      </c>
      <c r="R1513" s="3" t="n">
        <v>-0.7784932851791382</v>
      </c>
      <c r="S1513" s="3" t="n">
        <v>-2.688254594802856</v>
      </c>
      <c r="T1513" s="3" t="n">
        <v>-0.7114566564559937</v>
      </c>
      <c r="U1513" s="3" t="n">
        <v>-0.9656617641448975</v>
      </c>
      <c r="V1513" s="3" t="n">
        <v>-0.6920371651649475</v>
      </c>
      <c r="W1513" s="3" t="n">
        <v>-0.714110791683197</v>
      </c>
      <c r="X1513" s="3" t="n">
        <v>-2.519359111785889</v>
      </c>
      <c r="Y1513" s="3" t="n">
        <v>-0.7983207702636719</v>
      </c>
      <c r="Z1513" s="3" t="n">
        <v>-2.688254594802856</v>
      </c>
      <c r="AA1513" s="3" t="n">
        <v>-2.688254594802856</v>
      </c>
      <c r="AB1513" s="3" t="n">
        <v>-2.519359111785889</v>
      </c>
      <c r="AC1513" s="3" t="n">
        <v>-2.012744903564453</v>
      </c>
      <c r="AD1513" s="3" t="n">
        <v>-0.9656617641448975</v>
      </c>
      <c r="AE1513" s="3" t="n">
        <v>-0.9656617641448975</v>
      </c>
    </row>
    <row r="1514">
      <c r="A1514" s="3" t="inlineStr">
        <is>
          <t>MWI.distn.dec.ove.mean.4</t>
        </is>
      </c>
      <c r="B1514" s="3" t="inlineStr">
        <is>
          <t>MWI</t>
        </is>
      </c>
      <c r="C1514" s="3" t="n">
        <v>2005</v>
      </c>
      <c r="D1514" s="3" t="inlineStr">
        <is>
          <t>Overall</t>
        </is>
      </c>
      <c r="E1514" s="3" t="inlineStr">
        <is>
          <t>Deciles</t>
        </is>
      </c>
      <c r="F1514" s="3" t="inlineStr">
        <is>
          <t>mean</t>
        </is>
      </c>
      <c r="G1514" s="3" t="n">
        <v>4</v>
      </c>
      <c r="H1514" s="3" t="n">
        <v>-0.7919999957084656</v>
      </c>
      <c r="I1514" s="3" t="n">
        <v>-0.7919999957084656</v>
      </c>
      <c r="J1514" s="3" t="n">
        <v>-0.9190000295639038</v>
      </c>
      <c r="K1514" s="3" t="n">
        <v>-0.9190000295639038</v>
      </c>
      <c r="L1514" s="3" t="n">
        <v>-0.7919999957084656</v>
      </c>
      <c r="M1514" s="3" t="n">
        <v>-0.7919999957084656</v>
      </c>
      <c r="N1514" s="3" t="n">
        <v>-0.7919999957084656</v>
      </c>
      <c r="O1514" s="3" t="n">
        <v>-0.7919999957084656</v>
      </c>
      <c r="P1514" s="3" t="n">
        <v>-0.7919999957084656</v>
      </c>
      <c r="Q1514" s="3" t="n">
        <v>-0.7919999957084656</v>
      </c>
      <c r="R1514" s="3" t="n">
        <v>-0.7749999761581421</v>
      </c>
      <c r="S1514" s="3" t="n">
        <v>-1.830999970436096</v>
      </c>
      <c r="T1514" s="3" t="n">
        <v>-0.7099999785423279</v>
      </c>
      <c r="U1514" s="3" t="n">
        <v>-0.9190000295639038</v>
      </c>
      <c r="V1514" s="3" t="n">
        <v>-0.6850000023841858</v>
      </c>
      <c r="W1514" s="3" t="n">
        <v>-0.6010000109672546</v>
      </c>
      <c r="X1514" s="3" t="n">
        <v>-1.777999997138977</v>
      </c>
      <c r="Y1514" s="3" t="n">
        <v>-0.7919999957084656</v>
      </c>
      <c r="Z1514" s="3" t="n">
        <v>-1.830999970436096</v>
      </c>
      <c r="AA1514" s="3" t="n">
        <v>-1.830999970436096</v>
      </c>
      <c r="AB1514" s="3" t="n">
        <v>-1.777999997138977</v>
      </c>
      <c r="AC1514" s="3" t="n">
        <v>-0.9720000028610229</v>
      </c>
      <c r="AD1514" s="3" t="n">
        <v>-0.9190000295639038</v>
      </c>
      <c r="AE1514" s="3" t="n">
        <v>-0.9190000295639038</v>
      </c>
    </row>
    <row r="1515">
      <c r="A1515" s="3" t="inlineStr">
        <is>
          <t>MWI.distn.dec.ove.mean.5</t>
        </is>
      </c>
      <c r="B1515" s="3" t="inlineStr">
        <is>
          <t>MWI</t>
        </is>
      </c>
      <c r="C1515" s="3" t="n">
        <v>2005</v>
      </c>
      <c r="D1515" s="3" t="inlineStr">
        <is>
          <t>Overall</t>
        </is>
      </c>
      <c r="E1515" s="3" t="inlineStr">
        <is>
          <t>Deciles</t>
        </is>
      </c>
      <c r="F1515" s="3" t="inlineStr">
        <is>
          <t>mean</t>
        </is>
      </c>
      <c r="G1515" s="3" t="n">
        <v>5</v>
      </c>
      <c r="H1515" s="3" t="n">
        <v>-0.7919999957084656</v>
      </c>
      <c r="I1515" s="3" t="n">
        <v>-0.7919999957084656</v>
      </c>
      <c r="J1515" s="3" t="n">
        <v>-0.9190000295639038</v>
      </c>
      <c r="K1515" s="3" t="n">
        <v>-0.9190000295639038</v>
      </c>
      <c r="L1515" s="3" t="n">
        <v>-0.7919999957084656</v>
      </c>
      <c r="M1515" s="3" t="n">
        <v>-0.7919999957084656</v>
      </c>
      <c r="N1515" s="3" t="n">
        <v>-0.7919999957084656</v>
      </c>
      <c r="O1515" s="3" t="n">
        <v>-0.7919999957084656</v>
      </c>
      <c r="P1515" s="3" t="n">
        <v>-0.7919999957084656</v>
      </c>
      <c r="Q1515" s="3" t="n">
        <v>-0.7919999957084656</v>
      </c>
      <c r="R1515" s="3" t="n">
        <v>-0.7749999761581421</v>
      </c>
      <c r="S1515" s="3" t="n">
        <v>-1.830999970436096</v>
      </c>
      <c r="T1515" s="3" t="n">
        <v>-0.7099999785423279</v>
      </c>
      <c r="U1515" s="3" t="n">
        <v>-0.9190000295639038</v>
      </c>
      <c r="V1515" s="3" t="n">
        <v>-0.6850000023841858</v>
      </c>
      <c r="W1515" s="3" t="n">
        <v>-0.6010000109672546</v>
      </c>
      <c r="X1515" s="3" t="n">
        <v>-1.777999997138977</v>
      </c>
      <c r="Y1515" s="3" t="n">
        <v>-0.7919999957084656</v>
      </c>
      <c r="Z1515" s="3" t="n">
        <v>-1.830999970436096</v>
      </c>
      <c r="AA1515" s="3" t="n">
        <v>-1.830999970436096</v>
      </c>
      <c r="AB1515" s="3" t="n">
        <v>-1.777999997138977</v>
      </c>
      <c r="AC1515" s="3" t="n">
        <v>-0.9720000028610229</v>
      </c>
      <c r="AD1515" s="3" t="n">
        <v>-0.9190000295639038</v>
      </c>
      <c r="AE1515" s="3" t="n">
        <v>-0.9190000295639038</v>
      </c>
    </row>
    <row r="1516">
      <c r="A1516" s="3" t="inlineStr">
        <is>
          <t>MWI.distn.dec.ove.mean.6</t>
        </is>
      </c>
      <c r="B1516" s="3" t="inlineStr">
        <is>
          <t>MWI</t>
        </is>
      </c>
      <c r="C1516" s="3" t="n">
        <v>2005</v>
      </c>
      <c r="D1516" s="3" t="inlineStr">
        <is>
          <t>Overall</t>
        </is>
      </c>
      <c r="E1516" s="3" t="inlineStr">
        <is>
          <t>Deciles</t>
        </is>
      </c>
      <c r="F1516" s="3" t="inlineStr">
        <is>
          <t>mean</t>
        </is>
      </c>
      <c r="G1516" s="3" t="n">
        <v>6</v>
      </c>
      <c r="H1516" s="3" t="n">
        <v>-0.7919999957084656</v>
      </c>
      <c r="I1516" s="3" t="n">
        <v>-0.7919999957084656</v>
      </c>
      <c r="J1516" s="3" t="n">
        <v>-0.9190000295639038</v>
      </c>
      <c r="K1516" s="3" t="n">
        <v>-0.9190000295639038</v>
      </c>
      <c r="L1516" s="3" t="n">
        <v>-0.7919999957084656</v>
      </c>
      <c r="M1516" s="3" t="n">
        <v>-0.7919999957084656</v>
      </c>
      <c r="N1516" s="3" t="n">
        <v>-0.7919999957084656</v>
      </c>
      <c r="O1516" s="3" t="n">
        <v>-0.7919999957084656</v>
      </c>
      <c r="P1516" s="3" t="n">
        <v>-0.7919999957084656</v>
      </c>
      <c r="Q1516" s="3" t="n">
        <v>-0.7919999957084656</v>
      </c>
      <c r="R1516" s="3" t="n">
        <v>-0.7749999761581421</v>
      </c>
      <c r="S1516" s="3" t="n">
        <v>-1.830999970436096</v>
      </c>
      <c r="T1516" s="3" t="n">
        <v>-0.7099999785423279</v>
      </c>
      <c r="U1516" s="3" t="n">
        <v>-0.9190000295639038</v>
      </c>
      <c r="V1516" s="3" t="n">
        <v>-0.6850000023841858</v>
      </c>
      <c r="W1516" s="3" t="n">
        <v>-0.6010000109672546</v>
      </c>
      <c r="X1516" s="3" t="n">
        <v>-1.777999997138977</v>
      </c>
      <c r="Y1516" s="3" t="n">
        <v>-0.7919999957084656</v>
      </c>
      <c r="Z1516" s="3" t="n">
        <v>-1.830999970436096</v>
      </c>
      <c r="AA1516" s="3" t="n">
        <v>-1.830999970436096</v>
      </c>
      <c r="AB1516" s="3" t="n">
        <v>-1.777999997138977</v>
      </c>
      <c r="AC1516" s="3" t="n">
        <v>-0.9720000028610229</v>
      </c>
      <c r="AD1516" s="3" t="n">
        <v>-0.9190000295639038</v>
      </c>
      <c r="AE1516" s="3" t="n">
        <v>-0.9190000295639038</v>
      </c>
    </row>
    <row r="1517">
      <c r="A1517" s="3" t="inlineStr">
        <is>
          <t>MWI.distn.dec.ove.mean.7</t>
        </is>
      </c>
      <c r="B1517" s="3" t="inlineStr">
        <is>
          <t>MWI</t>
        </is>
      </c>
      <c r="C1517" s="3" t="n">
        <v>2005</v>
      </c>
      <c r="D1517" s="3" t="inlineStr">
        <is>
          <t>Overall</t>
        </is>
      </c>
      <c r="E1517" s="3" t="inlineStr">
        <is>
          <t>Deciles</t>
        </is>
      </c>
      <c r="F1517" s="3" t="inlineStr">
        <is>
          <t>mean</t>
        </is>
      </c>
      <c r="G1517" s="3" t="n">
        <v>7</v>
      </c>
      <c r="H1517" s="3" t="n">
        <v>-0.7919999957084656</v>
      </c>
      <c r="I1517" s="3" t="n">
        <v>-0.7919999957084656</v>
      </c>
      <c r="J1517" s="3" t="n">
        <v>-0.9190000295639038</v>
      </c>
      <c r="K1517" s="3" t="n">
        <v>-0.9190000295639038</v>
      </c>
      <c r="L1517" s="3" t="n">
        <v>-0.7919999957084656</v>
      </c>
      <c r="M1517" s="3" t="n">
        <v>-0.7919999957084656</v>
      </c>
      <c r="N1517" s="3" t="n">
        <v>-0.7919999957084656</v>
      </c>
      <c r="O1517" s="3" t="n">
        <v>-0.7919999957084656</v>
      </c>
      <c r="P1517" s="3" t="n">
        <v>-0.7919999957084656</v>
      </c>
      <c r="Q1517" s="3" t="n">
        <v>-0.7919999957084656</v>
      </c>
      <c r="R1517" s="3" t="n">
        <v>-0.7749999761581421</v>
      </c>
      <c r="S1517" s="3" t="n">
        <v>-1.830999970436096</v>
      </c>
      <c r="T1517" s="3" t="n">
        <v>-0.7099999785423279</v>
      </c>
      <c r="U1517" s="3" t="n">
        <v>-0.9190000295639038</v>
      </c>
      <c r="V1517" s="3" t="n">
        <v>-0.6850000023841858</v>
      </c>
      <c r="W1517" s="3" t="n">
        <v>-0.6010000109672546</v>
      </c>
      <c r="X1517" s="3" t="n">
        <v>-1.777999997138977</v>
      </c>
      <c r="Y1517" s="3" t="n">
        <v>-0.7919999957084656</v>
      </c>
      <c r="Z1517" s="3" t="n">
        <v>-1.830999970436096</v>
      </c>
      <c r="AA1517" s="3" t="n">
        <v>-1.830999970436096</v>
      </c>
      <c r="AB1517" s="3" t="n">
        <v>-1.777999997138977</v>
      </c>
      <c r="AC1517" s="3" t="n">
        <v>-0.9720000028610229</v>
      </c>
      <c r="AD1517" s="3" t="n">
        <v>-0.9190000295639038</v>
      </c>
      <c r="AE1517" s="3" t="n">
        <v>-0.9190000295639038</v>
      </c>
    </row>
    <row r="1518">
      <c r="A1518" s="3" t="inlineStr">
        <is>
          <t>MWI.distn.dec.ove.mean.8</t>
        </is>
      </c>
      <c r="B1518" s="3" t="inlineStr">
        <is>
          <t>MWI</t>
        </is>
      </c>
      <c r="C1518" s="3" t="n">
        <v>2005</v>
      </c>
      <c r="D1518" s="3" t="inlineStr">
        <is>
          <t>Overall</t>
        </is>
      </c>
      <c r="E1518" s="3" t="inlineStr">
        <is>
          <t>Deciles</t>
        </is>
      </c>
      <c r="F1518" s="3" t="inlineStr">
        <is>
          <t>mean</t>
        </is>
      </c>
      <c r="G1518" s="3" t="n">
        <v>8</v>
      </c>
      <c r="H1518" s="3" t="n">
        <v>-0.7923815846443176</v>
      </c>
      <c r="I1518" s="3" t="n">
        <v>-0.7923815846443176</v>
      </c>
      <c r="J1518" s="3" t="n">
        <v>-0.9214791059494019</v>
      </c>
      <c r="K1518" s="3" t="n">
        <v>-0.9214791059494019</v>
      </c>
      <c r="L1518" s="3" t="n">
        <v>-0.7923815846443176</v>
      </c>
      <c r="M1518" s="3" t="n">
        <v>-0.7923815846443176</v>
      </c>
      <c r="N1518" s="3" t="n">
        <v>-0.7923815846443176</v>
      </c>
      <c r="O1518" s="3" t="n">
        <v>-0.7923815846443176</v>
      </c>
      <c r="P1518" s="3" t="n">
        <v>-0.7923815846443176</v>
      </c>
      <c r="Q1518" s="3" t="n">
        <v>-0.7923815846443176</v>
      </c>
      <c r="R1518" s="3" t="n">
        <v>-0.7752549052238464</v>
      </c>
      <c r="S1518" s="3" t="n">
        <v>-1.848037600517273</v>
      </c>
      <c r="T1518" s="3" t="n">
        <v>-0.7100409269332886</v>
      </c>
      <c r="U1518" s="3" t="n">
        <v>-0.9214791059494019</v>
      </c>
      <c r="V1518" s="3" t="n">
        <v>-0.6857081055641174</v>
      </c>
      <c r="W1518" s="3" t="n">
        <v>-0.6170940399169922</v>
      </c>
      <c r="X1518" s="3" t="n">
        <v>-1.794201135635376</v>
      </c>
      <c r="Y1518" s="3" t="n">
        <v>-0.7923815846443176</v>
      </c>
      <c r="Z1518" s="3" t="n">
        <v>-1.848037600517273</v>
      </c>
      <c r="AA1518" s="3" t="n">
        <v>-1.848037600517273</v>
      </c>
      <c r="AB1518" s="3" t="n">
        <v>-1.794201135635376</v>
      </c>
      <c r="AC1518" s="3" t="n">
        <v>-0.9858620166778564</v>
      </c>
      <c r="AD1518" s="3" t="n">
        <v>-0.9214791059494019</v>
      </c>
      <c r="AE1518" s="3" t="n">
        <v>-0.9214791059494019</v>
      </c>
    </row>
    <row r="1519">
      <c r="A1519" s="3" t="inlineStr">
        <is>
          <t>MWI.distn.dec.ove.mean.9</t>
        </is>
      </c>
      <c r="B1519" s="3" t="inlineStr">
        <is>
          <t>MWI</t>
        </is>
      </c>
      <c r="C1519" s="3" t="n">
        <v>2005</v>
      </c>
      <c r="D1519" s="3" t="inlineStr">
        <is>
          <t>Overall</t>
        </is>
      </c>
      <c r="E1519" s="3" t="inlineStr">
        <is>
          <t>Deciles</t>
        </is>
      </c>
      <c r="F1519" s="3" t="inlineStr">
        <is>
          <t>mean</t>
        </is>
      </c>
      <c r="G1519" s="3" t="n">
        <v>9</v>
      </c>
      <c r="H1519" s="3" t="n">
        <v>-0.7923815846443176</v>
      </c>
      <c r="I1519" s="3" t="n">
        <v>-0.7923815846443176</v>
      </c>
      <c r="J1519" s="3" t="n">
        <v>-0.9214791059494019</v>
      </c>
      <c r="K1519" s="3" t="n">
        <v>-0.9214791059494019</v>
      </c>
      <c r="L1519" s="3" t="n">
        <v>-0.7923815846443176</v>
      </c>
      <c r="M1519" s="3" t="n">
        <v>-0.7923815846443176</v>
      </c>
      <c r="N1519" s="3" t="n">
        <v>-0.7923815846443176</v>
      </c>
      <c r="O1519" s="3" t="n">
        <v>-0.7923815846443176</v>
      </c>
      <c r="P1519" s="3" t="n">
        <v>-0.7923815846443176</v>
      </c>
      <c r="Q1519" s="3" t="n">
        <v>-0.7923815846443176</v>
      </c>
      <c r="R1519" s="3" t="n">
        <v>-0.7752549052238464</v>
      </c>
      <c r="S1519" s="3" t="n">
        <v>-1.848037600517273</v>
      </c>
      <c r="T1519" s="3" t="n">
        <v>-0.7100409269332886</v>
      </c>
      <c r="U1519" s="3" t="n">
        <v>-0.9214791059494019</v>
      </c>
      <c r="V1519" s="3" t="n">
        <v>-0.6857081055641174</v>
      </c>
      <c r="W1519" s="3" t="n">
        <v>-0.6170940399169922</v>
      </c>
      <c r="X1519" s="3" t="n">
        <v>-1.794201135635376</v>
      </c>
      <c r="Y1519" s="3" t="n">
        <v>-0.7923815846443176</v>
      </c>
      <c r="Z1519" s="3" t="n">
        <v>-1.848037600517273</v>
      </c>
      <c r="AA1519" s="3" t="n">
        <v>-1.848037600517273</v>
      </c>
      <c r="AB1519" s="3" t="n">
        <v>-1.794201135635376</v>
      </c>
      <c r="AC1519" s="3" t="n">
        <v>-0.9858620166778564</v>
      </c>
      <c r="AD1519" s="3" t="n">
        <v>-0.9214791059494019</v>
      </c>
      <c r="AE1519" s="3" t="n">
        <v>-0.9214791059494019</v>
      </c>
    </row>
    <row r="1520">
      <c r="A1520" s="3" t="inlineStr">
        <is>
          <t>MWI.distn.dec.ove.mean.10</t>
        </is>
      </c>
      <c r="B1520" s="3" t="inlineStr">
        <is>
          <t>MWI</t>
        </is>
      </c>
      <c r="C1520" s="3" t="n">
        <v>2005</v>
      </c>
      <c r="D1520" s="3" t="inlineStr">
        <is>
          <t>Overall</t>
        </is>
      </c>
      <c r="E1520" s="3" t="inlineStr">
        <is>
          <t>Deciles</t>
        </is>
      </c>
      <c r="F1520" s="3" t="inlineStr">
        <is>
          <t>mean</t>
        </is>
      </c>
      <c r="G1520" s="3" t="n">
        <v>10</v>
      </c>
      <c r="H1520" s="3" t="n">
        <v>-0.7923815846443176</v>
      </c>
      <c r="I1520" s="3" t="n">
        <v>-0.7923815846443176</v>
      </c>
      <c r="J1520" s="3" t="n">
        <v>-0.9214791059494019</v>
      </c>
      <c r="K1520" s="3" t="n">
        <v>-0.9214791059494019</v>
      </c>
      <c r="L1520" s="3" t="n">
        <v>-0.7923815846443176</v>
      </c>
      <c r="M1520" s="3" t="n">
        <v>-0.7923815846443176</v>
      </c>
      <c r="N1520" s="3" t="n">
        <v>-0.7923815846443176</v>
      </c>
      <c r="O1520" s="3" t="n">
        <v>-0.7923815846443176</v>
      </c>
      <c r="P1520" s="3" t="n">
        <v>-0.7923815846443176</v>
      </c>
      <c r="Q1520" s="3" t="n">
        <v>-0.7923815846443176</v>
      </c>
      <c r="R1520" s="3" t="n">
        <v>-0.7752549052238464</v>
      </c>
      <c r="S1520" s="3" t="n">
        <v>-1.848037600517273</v>
      </c>
      <c r="T1520" s="3" t="n">
        <v>-0.7100409269332886</v>
      </c>
      <c r="U1520" s="3" t="n">
        <v>-0.9214791059494019</v>
      </c>
      <c r="V1520" s="3" t="n">
        <v>-0.6857081055641174</v>
      </c>
      <c r="W1520" s="3" t="n">
        <v>-0.6170940399169922</v>
      </c>
      <c r="X1520" s="3" t="n">
        <v>-1.794201135635376</v>
      </c>
      <c r="Y1520" s="3" t="n">
        <v>-0.7923815846443176</v>
      </c>
      <c r="Z1520" s="3" t="n">
        <v>-1.848037600517273</v>
      </c>
      <c r="AA1520" s="3" t="n">
        <v>-1.848037600517273</v>
      </c>
      <c r="AB1520" s="3" t="n">
        <v>-1.794201135635376</v>
      </c>
      <c r="AC1520" s="3" t="n">
        <v>-0.9858620166778564</v>
      </c>
      <c r="AD1520" s="3" t="n">
        <v>-0.9214791059494019</v>
      </c>
      <c r="AE1520" s="3" t="n">
        <v>-0.9214791059494019</v>
      </c>
    </row>
    <row r="1521">
      <c r="A1521" s="3" t="inlineStr">
        <is>
          <t>MWI.distn.bkt.ove.mean.9999</t>
        </is>
      </c>
      <c r="B1521" s="3" t="inlineStr">
        <is>
          <t>MWI</t>
        </is>
      </c>
      <c r="C1521" s="3" t="n">
        <v>2005</v>
      </c>
      <c r="D1521" s="3" t="inlineStr">
        <is>
          <t>Overall</t>
        </is>
      </c>
      <c r="E1521" s="3" t="inlineStr">
        <is>
          <t>Basket</t>
        </is>
      </c>
      <c r="F1521" s="3" t="inlineStr">
        <is>
          <t>mean</t>
        </is>
      </c>
      <c r="G1521" s="3" t="n">
        <v>9999</v>
      </c>
      <c r="H1521" s="3" t="n">
        <v>-0.7940106987953186</v>
      </c>
      <c r="I1521" s="3" t="n">
        <v>-0.7940106987953186</v>
      </c>
      <c r="J1521" s="3" t="n">
        <v>-0.9337422847747803</v>
      </c>
      <c r="K1521" s="3" t="n">
        <v>-0.9337422847747803</v>
      </c>
      <c r="L1521" s="3" t="n">
        <v>-0.7940106987953186</v>
      </c>
      <c r="M1521" s="3" t="n">
        <v>-0.7940106987953186</v>
      </c>
      <c r="N1521" s="3" t="n">
        <v>-0.7940106987953186</v>
      </c>
      <c r="O1521" s="3" t="n">
        <v>-0.7940106987953186</v>
      </c>
      <c r="P1521" s="3" t="n">
        <v>-0.7940106987953186</v>
      </c>
      <c r="Q1521" s="3" t="n">
        <v>-0.7940106987953186</v>
      </c>
      <c r="R1521" s="3" t="n">
        <v>-0.7761244773864746</v>
      </c>
      <c r="S1521" s="3" t="n">
        <v>-2.093287706375122</v>
      </c>
      <c r="T1521" s="3" t="n">
        <v>-0.7104492783546448</v>
      </c>
      <c r="U1521" s="3" t="n">
        <v>-0.9337422847747803</v>
      </c>
      <c r="V1521" s="3" t="n">
        <v>-0.6873235702514648</v>
      </c>
      <c r="W1521" s="3" t="n">
        <v>-0.6397614479064941</v>
      </c>
      <c r="X1521" s="3" t="n">
        <v>-2.005268096923828</v>
      </c>
      <c r="Y1521" s="3" t="n">
        <v>-0.7940106987953186</v>
      </c>
      <c r="Z1521" s="3" t="n">
        <v>-2.093287706375122</v>
      </c>
      <c r="AA1521" s="3" t="n">
        <v>-2.093287706375122</v>
      </c>
      <c r="AB1521" s="3" t="n">
        <v>-2.005268096923828</v>
      </c>
      <c r="AC1521" s="3" t="n">
        <v>-1.288382053375244</v>
      </c>
      <c r="AD1521" s="3" t="n">
        <v>-0.9337422847747803</v>
      </c>
      <c r="AE1521" s="3" t="n">
        <v>-0.9337422847747803</v>
      </c>
    </row>
    <row r="1522">
      <c r="A1522" s="3" t="inlineStr">
        <is>
          <t>MYS.distn.dec.ove.mean.1</t>
        </is>
      </c>
      <c r="B1522" s="3" t="inlineStr">
        <is>
          <t>MYS</t>
        </is>
      </c>
      <c r="C1522" s="3" t="n">
        <v>2005</v>
      </c>
      <c r="D1522" s="3" t="inlineStr">
        <is>
          <t>Overall</t>
        </is>
      </c>
      <c r="E1522" s="3" t="inlineStr">
        <is>
          <t>Deciles</t>
        </is>
      </c>
      <c r="F1522" s="3" t="inlineStr">
        <is>
          <t>mean</t>
        </is>
      </c>
      <c r="G1522" s="3" t="n">
        <v>1</v>
      </c>
      <c r="H1522" s="3" t="n">
        <v>-0.7892489433288574</v>
      </c>
      <c r="I1522" s="3" t="n">
        <v>-0.7892489433288574</v>
      </c>
      <c r="J1522" s="3" t="n">
        <v>-0.8973613977432251</v>
      </c>
      <c r="K1522" s="3" t="n">
        <v>-0.8973613977432251</v>
      </c>
      <c r="L1522" s="3" t="n">
        <v>-0.7892489433288574</v>
      </c>
      <c r="M1522" s="3" t="n">
        <v>-0.7892489433288574</v>
      </c>
      <c r="N1522" s="3" t="n">
        <v>-0.7892489433288574</v>
      </c>
      <c r="O1522" s="3" t="n">
        <v>-0.7892489433288574</v>
      </c>
      <c r="P1522" s="3" t="n">
        <v>-0.7892489433288574</v>
      </c>
      <c r="Q1522" s="3" t="n">
        <v>-0.7892489433288574</v>
      </c>
      <c r="R1522" s="3" t="n">
        <v>-0.7744752764701843</v>
      </c>
      <c r="S1522" s="3" t="n">
        <v>-1.463784694671631</v>
      </c>
      <c r="T1522" s="3" t="n">
        <v>-0.7104546427726746</v>
      </c>
      <c r="U1522" s="3" t="n">
        <v>-0.8973613977432251</v>
      </c>
      <c r="V1522" s="3" t="n">
        <v>-0.6839550137519836</v>
      </c>
      <c r="W1522" s="3" t="n">
        <v>-0.6166780591011047</v>
      </c>
      <c r="X1522" s="3" t="n">
        <v>-1.40846061706543</v>
      </c>
      <c r="Y1522" s="3" t="n">
        <v>-0.7892489433288574</v>
      </c>
      <c r="Z1522" s="3" t="n">
        <v>-1.463784694671631</v>
      </c>
      <c r="AA1522" s="3" t="n">
        <v>-1.463784694671631</v>
      </c>
      <c r="AB1522" s="3" t="n">
        <v>-1.40846061706543</v>
      </c>
      <c r="AC1522" s="3" t="n">
        <v>-2.259161233901978</v>
      </c>
      <c r="AD1522" s="3" t="n">
        <v>-0.8973613977432251</v>
      </c>
      <c r="AE1522" s="3" t="n">
        <v>-0.8973613977432251</v>
      </c>
    </row>
    <row r="1523">
      <c r="A1523" s="3" t="inlineStr">
        <is>
          <t>MYS.distn.dec.ove.mean.2</t>
        </is>
      </c>
      <c r="B1523" s="3" t="inlineStr">
        <is>
          <t>MYS</t>
        </is>
      </c>
      <c r="C1523" s="3" t="n">
        <v>2005</v>
      </c>
      <c r="D1523" s="3" t="inlineStr">
        <is>
          <t>Overall</t>
        </is>
      </c>
      <c r="E1523" s="3" t="inlineStr">
        <is>
          <t>Deciles</t>
        </is>
      </c>
      <c r="F1523" s="3" t="inlineStr">
        <is>
          <t>mean</t>
        </is>
      </c>
      <c r="G1523" s="3" t="n">
        <v>2</v>
      </c>
      <c r="H1523" s="3" t="n">
        <v>-0.7892489433288574</v>
      </c>
      <c r="I1523" s="3" t="n">
        <v>-0.7892489433288574</v>
      </c>
      <c r="J1523" s="3" t="n">
        <v>-0.8973613977432251</v>
      </c>
      <c r="K1523" s="3" t="n">
        <v>-0.8973613977432251</v>
      </c>
      <c r="L1523" s="3" t="n">
        <v>-0.7892489433288574</v>
      </c>
      <c r="M1523" s="3" t="n">
        <v>-0.7892489433288574</v>
      </c>
      <c r="N1523" s="3" t="n">
        <v>-0.7892489433288574</v>
      </c>
      <c r="O1523" s="3" t="n">
        <v>-0.7892489433288574</v>
      </c>
      <c r="P1523" s="3" t="n">
        <v>-0.7892489433288574</v>
      </c>
      <c r="Q1523" s="3" t="n">
        <v>-0.7892489433288574</v>
      </c>
      <c r="R1523" s="3" t="n">
        <v>-0.7744752764701843</v>
      </c>
      <c r="S1523" s="3" t="n">
        <v>-1.463784694671631</v>
      </c>
      <c r="T1523" s="3" t="n">
        <v>-0.7104546427726746</v>
      </c>
      <c r="U1523" s="3" t="n">
        <v>-0.8973613977432251</v>
      </c>
      <c r="V1523" s="3" t="n">
        <v>-0.6839550137519836</v>
      </c>
      <c r="W1523" s="3" t="n">
        <v>-0.6166780591011047</v>
      </c>
      <c r="X1523" s="3" t="n">
        <v>-1.40846061706543</v>
      </c>
      <c r="Y1523" s="3" t="n">
        <v>-0.7892489433288574</v>
      </c>
      <c r="Z1523" s="3" t="n">
        <v>-1.463784694671631</v>
      </c>
      <c r="AA1523" s="3" t="n">
        <v>-1.463784694671631</v>
      </c>
      <c r="AB1523" s="3" t="n">
        <v>-1.40846061706543</v>
      </c>
      <c r="AC1523" s="3" t="n">
        <v>-2.259161233901978</v>
      </c>
      <c r="AD1523" s="3" t="n">
        <v>-0.8973613977432251</v>
      </c>
      <c r="AE1523" s="3" t="n">
        <v>-0.8973613977432251</v>
      </c>
    </row>
    <row r="1524">
      <c r="A1524" s="3" t="inlineStr">
        <is>
          <t>MYS.distn.dec.ove.mean.3</t>
        </is>
      </c>
      <c r="B1524" s="3" t="inlineStr">
        <is>
          <t>MYS</t>
        </is>
      </c>
      <c r="C1524" s="3" t="n">
        <v>2005</v>
      </c>
      <c r="D1524" s="3" t="inlineStr">
        <is>
          <t>Overall</t>
        </is>
      </c>
      <c r="E1524" s="3" t="inlineStr">
        <is>
          <t>Deciles</t>
        </is>
      </c>
      <c r="F1524" s="3" t="inlineStr">
        <is>
          <t>mean</t>
        </is>
      </c>
      <c r="G1524" s="3" t="n">
        <v>3</v>
      </c>
      <c r="H1524" s="3" t="n">
        <v>-0.7892489433288574</v>
      </c>
      <c r="I1524" s="3" t="n">
        <v>-0.7892489433288574</v>
      </c>
      <c r="J1524" s="3" t="n">
        <v>-0.8973613977432251</v>
      </c>
      <c r="K1524" s="3" t="n">
        <v>-0.8973613977432251</v>
      </c>
      <c r="L1524" s="3" t="n">
        <v>-0.7892489433288574</v>
      </c>
      <c r="M1524" s="3" t="n">
        <v>-0.7892489433288574</v>
      </c>
      <c r="N1524" s="3" t="n">
        <v>-0.7892489433288574</v>
      </c>
      <c r="O1524" s="3" t="n">
        <v>-0.7892489433288574</v>
      </c>
      <c r="P1524" s="3" t="n">
        <v>-0.7892489433288574</v>
      </c>
      <c r="Q1524" s="3" t="n">
        <v>-0.7892489433288574</v>
      </c>
      <c r="R1524" s="3" t="n">
        <v>-0.7744752764701843</v>
      </c>
      <c r="S1524" s="3" t="n">
        <v>-1.463784694671631</v>
      </c>
      <c r="T1524" s="3" t="n">
        <v>-0.7104546427726746</v>
      </c>
      <c r="U1524" s="3" t="n">
        <v>-0.8973613977432251</v>
      </c>
      <c r="V1524" s="3" t="n">
        <v>-0.6839550137519836</v>
      </c>
      <c r="W1524" s="3" t="n">
        <v>-0.6166780591011047</v>
      </c>
      <c r="X1524" s="3" t="n">
        <v>-1.40846061706543</v>
      </c>
      <c r="Y1524" s="3" t="n">
        <v>-0.7892489433288574</v>
      </c>
      <c r="Z1524" s="3" t="n">
        <v>-1.463784694671631</v>
      </c>
      <c r="AA1524" s="3" t="n">
        <v>-1.463784694671631</v>
      </c>
      <c r="AB1524" s="3" t="n">
        <v>-1.40846061706543</v>
      </c>
      <c r="AC1524" s="3" t="n">
        <v>-2.259161233901978</v>
      </c>
      <c r="AD1524" s="3" t="n">
        <v>-0.8973613977432251</v>
      </c>
      <c r="AE1524" s="3" t="n">
        <v>-0.8973613977432251</v>
      </c>
    </row>
    <row r="1525">
      <c r="A1525" s="3" t="inlineStr">
        <is>
          <t>MYS.distn.dec.ove.mean.4</t>
        </is>
      </c>
      <c r="B1525" s="3" t="inlineStr">
        <is>
          <t>MYS</t>
        </is>
      </c>
      <c r="C1525" s="3" t="n">
        <v>2005</v>
      </c>
      <c r="D1525" s="3" t="inlineStr">
        <is>
          <t>Overall</t>
        </is>
      </c>
      <c r="E1525" s="3" t="inlineStr">
        <is>
          <t>Deciles</t>
        </is>
      </c>
      <c r="F1525" s="3" t="inlineStr">
        <is>
          <t>mean</t>
        </is>
      </c>
      <c r="G1525" s="3" t="n">
        <v>4</v>
      </c>
      <c r="H1525" s="3" t="n">
        <v>-0.7829999923706055</v>
      </c>
      <c r="I1525" s="3" t="n">
        <v>-0.7829999923706055</v>
      </c>
      <c r="J1525" s="3" t="n">
        <v>-0.8539999723434448</v>
      </c>
      <c r="K1525" s="3" t="n">
        <v>-0.8539999723434448</v>
      </c>
      <c r="L1525" s="3" t="n">
        <v>-0.7829999923706055</v>
      </c>
      <c r="M1525" s="3" t="n">
        <v>-0.7829999923706055</v>
      </c>
      <c r="N1525" s="3" t="n">
        <v>-0.7829999923706055</v>
      </c>
      <c r="O1525" s="3" t="n">
        <v>-0.7829999923706055</v>
      </c>
      <c r="P1525" s="3" t="n">
        <v>-0.7829999923706055</v>
      </c>
      <c r="Q1525" s="3" t="n">
        <v>-0.7829999923706055</v>
      </c>
      <c r="R1525" s="3" t="n">
        <v>-0.7710000276565552</v>
      </c>
      <c r="S1525" s="3" t="n">
        <v>-0.996999979019165</v>
      </c>
      <c r="T1525" s="3" t="n">
        <v>-0.7089999914169312</v>
      </c>
      <c r="U1525" s="3" t="n">
        <v>-0.8539999723434448</v>
      </c>
      <c r="V1525" s="3" t="n">
        <v>-0.6769999861717224</v>
      </c>
      <c r="W1525" s="3" t="n">
        <v>-0.5189999938011169</v>
      </c>
      <c r="X1525" s="3" t="n">
        <v>-0.9940000176429749</v>
      </c>
      <c r="Y1525" s="3" t="n">
        <v>-0.7829999923706055</v>
      </c>
      <c r="Z1525" s="3" t="n">
        <v>-0.996999979019165</v>
      </c>
      <c r="AA1525" s="3" t="n">
        <v>-0.996999979019165</v>
      </c>
      <c r="AB1525" s="3" t="n">
        <v>-0.9940000176429749</v>
      </c>
      <c r="AC1525" s="3" t="n">
        <v>-1.090999960899353</v>
      </c>
      <c r="AD1525" s="3" t="n">
        <v>-0.8539999723434448</v>
      </c>
      <c r="AE1525" s="3" t="n">
        <v>-0.8539999723434448</v>
      </c>
    </row>
    <row r="1526">
      <c r="A1526" s="3" t="inlineStr">
        <is>
          <t>MYS.distn.dec.ove.mean.5</t>
        </is>
      </c>
      <c r="B1526" s="3" t="inlineStr">
        <is>
          <t>MYS</t>
        </is>
      </c>
      <c r="C1526" s="3" t="n">
        <v>2005</v>
      </c>
      <c r="D1526" s="3" t="inlineStr">
        <is>
          <t>Overall</t>
        </is>
      </c>
      <c r="E1526" s="3" t="inlineStr">
        <is>
          <t>Deciles</t>
        </is>
      </c>
      <c r="F1526" s="3" t="inlineStr">
        <is>
          <t>mean</t>
        </is>
      </c>
      <c r="G1526" s="3" t="n">
        <v>5</v>
      </c>
      <c r="H1526" s="3" t="n">
        <v>-0.7829999923706055</v>
      </c>
      <c r="I1526" s="3" t="n">
        <v>-0.7829999923706055</v>
      </c>
      <c r="J1526" s="3" t="n">
        <v>-0.8539999723434448</v>
      </c>
      <c r="K1526" s="3" t="n">
        <v>-0.8539999723434448</v>
      </c>
      <c r="L1526" s="3" t="n">
        <v>-0.7829999923706055</v>
      </c>
      <c r="M1526" s="3" t="n">
        <v>-0.7829999923706055</v>
      </c>
      <c r="N1526" s="3" t="n">
        <v>-0.7829999923706055</v>
      </c>
      <c r="O1526" s="3" t="n">
        <v>-0.7829999923706055</v>
      </c>
      <c r="P1526" s="3" t="n">
        <v>-0.7829999923706055</v>
      </c>
      <c r="Q1526" s="3" t="n">
        <v>-0.7829999923706055</v>
      </c>
      <c r="R1526" s="3" t="n">
        <v>-0.7710000276565552</v>
      </c>
      <c r="S1526" s="3" t="n">
        <v>-0.996999979019165</v>
      </c>
      <c r="T1526" s="3" t="n">
        <v>-0.7089999914169312</v>
      </c>
      <c r="U1526" s="3" t="n">
        <v>-0.8539999723434448</v>
      </c>
      <c r="V1526" s="3" t="n">
        <v>-0.6769999861717224</v>
      </c>
      <c r="W1526" s="3" t="n">
        <v>-0.5189999938011169</v>
      </c>
      <c r="X1526" s="3" t="n">
        <v>-0.9940000176429749</v>
      </c>
      <c r="Y1526" s="3" t="n">
        <v>-0.7829999923706055</v>
      </c>
      <c r="Z1526" s="3" t="n">
        <v>-0.996999979019165</v>
      </c>
      <c r="AA1526" s="3" t="n">
        <v>-0.996999979019165</v>
      </c>
      <c r="AB1526" s="3" t="n">
        <v>-0.9940000176429749</v>
      </c>
      <c r="AC1526" s="3" t="n">
        <v>-1.090999960899353</v>
      </c>
      <c r="AD1526" s="3" t="n">
        <v>-0.8539999723434448</v>
      </c>
      <c r="AE1526" s="3" t="n">
        <v>-0.8539999723434448</v>
      </c>
    </row>
    <row r="1527">
      <c r="A1527" s="3" t="inlineStr">
        <is>
          <t>MYS.distn.dec.ove.mean.6</t>
        </is>
      </c>
      <c r="B1527" s="3" t="inlineStr">
        <is>
          <t>MYS</t>
        </is>
      </c>
      <c r="C1527" s="3" t="n">
        <v>2005</v>
      </c>
      <c r="D1527" s="3" t="inlineStr">
        <is>
          <t>Overall</t>
        </is>
      </c>
      <c r="E1527" s="3" t="inlineStr">
        <is>
          <t>Deciles</t>
        </is>
      </c>
      <c r="F1527" s="3" t="inlineStr">
        <is>
          <t>mean</t>
        </is>
      </c>
      <c r="G1527" s="3" t="n">
        <v>6</v>
      </c>
      <c r="H1527" s="3" t="n">
        <v>-0.7829999923706055</v>
      </c>
      <c r="I1527" s="3" t="n">
        <v>-0.7829999923706055</v>
      </c>
      <c r="J1527" s="3" t="n">
        <v>-0.8539999723434448</v>
      </c>
      <c r="K1527" s="3" t="n">
        <v>-0.8539999723434448</v>
      </c>
      <c r="L1527" s="3" t="n">
        <v>-0.7829999923706055</v>
      </c>
      <c r="M1527" s="3" t="n">
        <v>-0.7829999923706055</v>
      </c>
      <c r="N1527" s="3" t="n">
        <v>-0.7829999923706055</v>
      </c>
      <c r="O1527" s="3" t="n">
        <v>-0.7829999923706055</v>
      </c>
      <c r="P1527" s="3" t="n">
        <v>-0.7829999923706055</v>
      </c>
      <c r="Q1527" s="3" t="n">
        <v>-0.7829999923706055</v>
      </c>
      <c r="R1527" s="3" t="n">
        <v>-0.7710000276565552</v>
      </c>
      <c r="S1527" s="3" t="n">
        <v>-0.996999979019165</v>
      </c>
      <c r="T1527" s="3" t="n">
        <v>-0.7089999914169312</v>
      </c>
      <c r="U1527" s="3" t="n">
        <v>-0.8539999723434448</v>
      </c>
      <c r="V1527" s="3" t="n">
        <v>-0.6769999861717224</v>
      </c>
      <c r="W1527" s="3" t="n">
        <v>-0.5189999938011169</v>
      </c>
      <c r="X1527" s="3" t="n">
        <v>-0.9940000176429749</v>
      </c>
      <c r="Y1527" s="3" t="n">
        <v>-0.7829999923706055</v>
      </c>
      <c r="Z1527" s="3" t="n">
        <v>-0.996999979019165</v>
      </c>
      <c r="AA1527" s="3" t="n">
        <v>-0.996999979019165</v>
      </c>
      <c r="AB1527" s="3" t="n">
        <v>-0.9940000176429749</v>
      </c>
      <c r="AC1527" s="3" t="n">
        <v>-1.090999960899353</v>
      </c>
      <c r="AD1527" s="3" t="n">
        <v>-0.8539999723434448</v>
      </c>
      <c r="AE1527" s="3" t="n">
        <v>-0.8539999723434448</v>
      </c>
    </row>
    <row r="1528">
      <c r="A1528" s="3" t="inlineStr">
        <is>
          <t>MYS.distn.dec.ove.mean.7</t>
        </is>
      </c>
      <c r="B1528" s="3" t="inlineStr">
        <is>
          <t>MYS</t>
        </is>
      </c>
      <c r="C1528" s="3" t="n">
        <v>2005</v>
      </c>
      <c r="D1528" s="3" t="inlineStr">
        <is>
          <t>Overall</t>
        </is>
      </c>
      <c r="E1528" s="3" t="inlineStr">
        <is>
          <t>Deciles</t>
        </is>
      </c>
      <c r="F1528" s="3" t="inlineStr">
        <is>
          <t>mean</t>
        </is>
      </c>
      <c r="G1528" s="3" t="n">
        <v>7</v>
      </c>
      <c r="H1528" s="3" t="n">
        <v>-0.7829999923706055</v>
      </c>
      <c r="I1528" s="3" t="n">
        <v>-0.7829999923706055</v>
      </c>
      <c r="J1528" s="3" t="n">
        <v>-0.8539999723434448</v>
      </c>
      <c r="K1528" s="3" t="n">
        <v>-0.8539999723434448</v>
      </c>
      <c r="L1528" s="3" t="n">
        <v>-0.7829999923706055</v>
      </c>
      <c r="M1528" s="3" t="n">
        <v>-0.7829999923706055</v>
      </c>
      <c r="N1528" s="3" t="n">
        <v>-0.7829999923706055</v>
      </c>
      <c r="O1528" s="3" t="n">
        <v>-0.7829999923706055</v>
      </c>
      <c r="P1528" s="3" t="n">
        <v>-0.7829999923706055</v>
      </c>
      <c r="Q1528" s="3" t="n">
        <v>-0.7829999923706055</v>
      </c>
      <c r="R1528" s="3" t="n">
        <v>-0.7710000276565552</v>
      </c>
      <c r="S1528" s="3" t="n">
        <v>-0.996999979019165</v>
      </c>
      <c r="T1528" s="3" t="n">
        <v>-0.7089999914169312</v>
      </c>
      <c r="U1528" s="3" t="n">
        <v>-0.8539999723434448</v>
      </c>
      <c r="V1528" s="3" t="n">
        <v>-0.6769999861717224</v>
      </c>
      <c r="W1528" s="3" t="n">
        <v>-0.5189999938011169</v>
      </c>
      <c r="X1528" s="3" t="n">
        <v>-0.9940000176429749</v>
      </c>
      <c r="Y1528" s="3" t="n">
        <v>-0.7829999923706055</v>
      </c>
      <c r="Z1528" s="3" t="n">
        <v>-0.996999979019165</v>
      </c>
      <c r="AA1528" s="3" t="n">
        <v>-0.996999979019165</v>
      </c>
      <c r="AB1528" s="3" t="n">
        <v>-0.9940000176429749</v>
      </c>
      <c r="AC1528" s="3" t="n">
        <v>-1.090999960899353</v>
      </c>
      <c r="AD1528" s="3" t="n">
        <v>-0.8539999723434448</v>
      </c>
      <c r="AE1528" s="3" t="n">
        <v>-0.8539999723434448</v>
      </c>
    </row>
    <row r="1529">
      <c r="A1529" s="3" t="inlineStr">
        <is>
          <t>MYS.distn.dec.ove.mean.8</t>
        </is>
      </c>
      <c r="B1529" s="3" t="inlineStr">
        <is>
          <t>MYS</t>
        </is>
      </c>
      <c r="C1529" s="3" t="n">
        <v>2005</v>
      </c>
      <c r="D1529" s="3" t="inlineStr">
        <is>
          <t>Overall</t>
        </is>
      </c>
      <c r="E1529" s="3" t="inlineStr">
        <is>
          <t>Deciles</t>
        </is>
      </c>
      <c r="F1529" s="3" t="inlineStr">
        <is>
          <t>mean</t>
        </is>
      </c>
      <c r="G1529" s="3" t="n">
        <v>8</v>
      </c>
      <c r="H1529" s="3" t="n">
        <v>-0.7833772301673889</v>
      </c>
      <c r="I1529" s="3" t="n">
        <v>-0.7833772301673889</v>
      </c>
      <c r="J1529" s="3" t="n">
        <v>-0.8563037514686584</v>
      </c>
      <c r="K1529" s="3" t="n">
        <v>-0.8563037514686584</v>
      </c>
      <c r="L1529" s="3" t="n">
        <v>-0.7833772301673889</v>
      </c>
      <c r="M1529" s="3" t="n">
        <v>-0.7833772301673889</v>
      </c>
      <c r="N1529" s="3" t="n">
        <v>-0.7833772301673889</v>
      </c>
      <c r="O1529" s="3" t="n">
        <v>-0.7833772301673889</v>
      </c>
      <c r="P1529" s="3" t="n">
        <v>-0.7833772301673889</v>
      </c>
      <c r="Q1529" s="3" t="n">
        <v>-0.7833772301673889</v>
      </c>
      <c r="R1529" s="3" t="n">
        <v>-0.7712535858154297</v>
      </c>
      <c r="S1529" s="3" t="n">
        <v>-1.006277203559875</v>
      </c>
      <c r="T1529" s="3" t="n">
        <v>-0.7090408802032471</v>
      </c>
      <c r="U1529" s="3" t="n">
        <v>-0.8563037514686584</v>
      </c>
      <c r="V1529" s="3" t="n">
        <v>-0.677699863910675</v>
      </c>
      <c r="W1529" s="3" t="n">
        <v>-0.5328981876373291</v>
      </c>
      <c r="X1529" s="3" t="n">
        <v>-1.003057360649109</v>
      </c>
      <c r="Y1529" s="3" t="n">
        <v>-0.7833772301673889</v>
      </c>
      <c r="Z1529" s="3" t="n">
        <v>-1.006277203559875</v>
      </c>
      <c r="AA1529" s="3" t="n">
        <v>-1.006277203559875</v>
      </c>
      <c r="AB1529" s="3" t="n">
        <v>-1.003057360649109</v>
      </c>
      <c r="AC1529" s="3" t="n">
        <v>-1.106559157371521</v>
      </c>
      <c r="AD1529" s="3" t="n">
        <v>-0.8563037514686584</v>
      </c>
      <c r="AE1529" s="3" t="n">
        <v>-0.8563037514686584</v>
      </c>
    </row>
    <row r="1530">
      <c r="A1530" s="3" t="inlineStr">
        <is>
          <t>MYS.distn.dec.ove.mean.9</t>
        </is>
      </c>
      <c r="B1530" s="3" t="inlineStr">
        <is>
          <t>MYS</t>
        </is>
      </c>
      <c r="C1530" s="3" t="n">
        <v>2005</v>
      </c>
      <c r="D1530" s="3" t="inlineStr">
        <is>
          <t>Overall</t>
        </is>
      </c>
      <c r="E1530" s="3" t="inlineStr">
        <is>
          <t>Deciles</t>
        </is>
      </c>
      <c r="F1530" s="3" t="inlineStr">
        <is>
          <t>mean</t>
        </is>
      </c>
      <c r="G1530" s="3" t="n">
        <v>9</v>
      </c>
      <c r="H1530" s="3" t="n">
        <v>-0.7833772301673889</v>
      </c>
      <c r="I1530" s="3" t="n">
        <v>-0.7833772301673889</v>
      </c>
      <c r="J1530" s="3" t="n">
        <v>-0.8563037514686584</v>
      </c>
      <c r="K1530" s="3" t="n">
        <v>-0.8563037514686584</v>
      </c>
      <c r="L1530" s="3" t="n">
        <v>-0.7833772301673889</v>
      </c>
      <c r="M1530" s="3" t="n">
        <v>-0.7833772301673889</v>
      </c>
      <c r="N1530" s="3" t="n">
        <v>-0.7833772301673889</v>
      </c>
      <c r="O1530" s="3" t="n">
        <v>-0.7833772301673889</v>
      </c>
      <c r="P1530" s="3" t="n">
        <v>-0.7833772301673889</v>
      </c>
      <c r="Q1530" s="3" t="n">
        <v>-0.7833772301673889</v>
      </c>
      <c r="R1530" s="3" t="n">
        <v>-0.7712535858154297</v>
      </c>
      <c r="S1530" s="3" t="n">
        <v>-1.006277203559875</v>
      </c>
      <c r="T1530" s="3" t="n">
        <v>-0.7090408802032471</v>
      </c>
      <c r="U1530" s="3" t="n">
        <v>-0.8563037514686584</v>
      </c>
      <c r="V1530" s="3" t="n">
        <v>-0.677699863910675</v>
      </c>
      <c r="W1530" s="3" t="n">
        <v>-0.5328981876373291</v>
      </c>
      <c r="X1530" s="3" t="n">
        <v>-1.003057360649109</v>
      </c>
      <c r="Y1530" s="3" t="n">
        <v>-0.7833772301673889</v>
      </c>
      <c r="Z1530" s="3" t="n">
        <v>-1.006277203559875</v>
      </c>
      <c r="AA1530" s="3" t="n">
        <v>-1.006277203559875</v>
      </c>
      <c r="AB1530" s="3" t="n">
        <v>-1.003057360649109</v>
      </c>
      <c r="AC1530" s="3" t="n">
        <v>-1.106559157371521</v>
      </c>
      <c r="AD1530" s="3" t="n">
        <v>-0.8563037514686584</v>
      </c>
      <c r="AE1530" s="3" t="n">
        <v>-0.8563037514686584</v>
      </c>
    </row>
    <row r="1531">
      <c r="A1531" s="3" t="inlineStr">
        <is>
          <t>MYS.distn.dec.ove.mean.10</t>
        </is>
      </c>
      <c r="B1531" s="3" t="inlineStr">
        <is>
          <t>MYS</t>
        </is>
      </c>
      <c r="C1531" s="3" t="n">
        <v>2005</v>
      </c>
      <c r="D1531" s="3" t="inlineStr">
        <is>
          <t>Overall</t>
        </is>
      </c>
      <c r="E1531" s="3" t="inlineStr">
        <is>
          <t>Deciles</t>
        </is>
      </c>
      <c r="F1531" s="3" t="inlineStr">
        <is>
          <t>mean</t>
        </is>
      </c>
      <c r="G1531" s="3" t="n">
        <v>10</v>
      </c>
      <c r="H1531" s="3" t="n">
        <v>-0.7833772301673889</v>
      </c>
      <c r="I1531" s="3" t="n">
        <v>-0.7833772301673889</v>
      </c>
      <c r="J1531" s="3" t="n">
        <v>-0.8563037514686584</v>
      </c>
      <c r="K1531" s="3" t="n">
        <v>-0.8563037514686584</v>
      </c>
      <c r="L1531" s="3" t="n">
        <v>-0.7833772301673889</v>
      </c>
      <c r="M1531" s="3" t="n">
        <v>-0.7833772301673889</v>
      </c>
      <c r="N1531" s="3" t="n">
        <v>-0.7833772301673889</v>
      </c>
      <c r="O1531" s="3" t="n">
        <v>-0.7833772301673889</v>
      </c>
      <c r="P1531" s="3" t="n">
        <v>-0.7833772301673889</v>
      </c>
      <c r="Q1531" s="3" t="n">
        <v>-0.7833772301673889</v>
      </c>
      <c r="R1531" s="3" t="n">
        <v>-0.7712535858154297</v>
      </c>
      <c r="S1531" s="3" t="n">
        <v>-1.006277203559875</v>
      </c>
      <c r="T1531" s="3" t="n">
        <v>-0.7090408802032471</v>
      </c>
      <c r="U1531" s="3" t="n">
        <v>-0.8563037514686584</v>
      </c>
      <c r="V1531" s="3" t="n">
        <v>-0.677699863910675</v>
      </c>
      <c r="W1531" s="3" t="n">
        <v>-0.5328981876373291</v>
      </c>
      <c r="X1531" s="3" t="n">
        <v>-1.003057360649109</v>
      </c>
      <c r="Y1531" s="3" t="n">
        <v>-0.7833772301673889</v>
      </c>
      <c r="Z1531" s="3" t="n">
        <v>-1.006277203559875</v>
      </c>
      <c r="AA1531" s="3" t="n">
        <v>-1.006277203559875</v>
      </c>
      <c r="AB1531" s="3" t="n">
        <v>-1.003057360649109</v>
      </c>
      <c r="AC1531" s="3" t="n">
        <v>-1.106559157371521</v>
      </c>
      <c r="AD1531" s="3" t="n">
        <v>-0.8563037514686584</v>
      </c>
      <c r="AE1531" s="3" t="n">
        <v>-0.8563037514686584</v>
      </c>
    </row>
    <row r="1532">
      <c r="A1532" s="3" t="inlineStr">
        <is>
          <t>MYS.distn.bkt.ove.mean.9999</t>
        </is>
      </c>
      <c r="B1532" s="3" t="inlineStr">
        <is>
          <t>MYS</t>
        </is>
      </c>
      <c r="C1532" s="3" t="n">
        <v>2005</v>
      </c>
      <c r="D1532" s="3" t="inlineStr">
        <is>
          <t>Overall</t>
        </is>
      </c>
      <c r="E1532" s="3" t="inlineStr">
        <is>
          <t>Basket</t>
        </is>
      </c>
      <c r="F1532" s="3" t="inlineStr">
        <is>
          <t>mean</t>
        </is>
      </c>
      <c r="G1532" s="3" t="n">
        <v>9999</v>
      </c>
      <c r="H1532" s="3" t="n">
        <v>-0.7849878668785095</v>
      </c>
      <c r="I1532" s="3" t="n">
        <v>-0.7849878668785095</v>
      </c>
      <c r="J1532" s="3" t="n">
        <v>-0.8676995038986206</v>
      </c>
      <c r="K1532" s="3" t="n">
        <v>-0.8676995038986206</v>
      </c>
      <c r="L1532" s="3" t="n">
        <v>-0.7849878668785095</v>
      </c>
      <c r="M1532" s="3" t="n">
        <v>-0.7849878668785095</v>
      </c>
      <c r="N1532" s="3" t="n">
        <v>-0.7849878668785095</v>
      </c>
      <c r="O1532" s="3" t="n">
        <v>-0.7849878668785095</v>
      </c>
      <c r="P1532" s="3" t="n">
        <v>-0.7849878668785095</v>
      </c>
      <c r="Q1532" s="3" t="n">
        <v>-0.7849878668785095</v>
      </c>
      <c r="R1532" s="3" t="n">
        <v>-0.7721186876296997</v>
      </c>
      <c r="S1532" s="3" t="n">
        <v>-1.139818549156189</v>
      </c>
      <c r="T1532" s="3" t="n">
        <v>-0.7094486355781555</v>
      </c>
      <c r="U1532" s="3" t="n">
        <v>-0.8676995038986206</v>
      </c>
      <c r="V1532" s="3" t="n">
        <v>-0.6792964339256287</v>
      </c>
      <c r="W1532" s="3" t="n">
        <v>-0.5524728894233704</v>
      </c>
      <c r="X1532" s="3" t="n">
        <v>-1.121055364608765</v>
      </c>
      <c r="Y1532" s="3" t="n">
        <v>-0.7849878668785095</v>
      </c>
      <c r="Z1532" s="3" t="n">
        <v>-1.139818549156189</v>
      </c>
      <c r="AA1532" s="3" t="n">
        <v>-1.139818549156189</v>
      </c>
      <c r="AB1532" s="3" t="n">
        <v>-1.121055364608765</v>
      </c>
      <c r="AC1532" s="3" t="n">
        <v>-1.446116089820862</v>
      </c>
      <c r="AD1532" s="3" t="n">
        <v>-0.8676995038986206</v>
      </c>
      <c r="AE1532" s="3" t="n">
        <v>-0.8676995038986206</v>
      </c>
    </row>
    <row r="1533">
      <c r="A1533" s="3" t="inlineStr">
        <is>
          <t>NAM.distn.dec.ove.mean.1</t>
        </is>
      </c>
      <c r="B1533" s="3" t="inlineStr">
        <is>
          <t>NAM</t>
        </is>
      </c>
      <c r="C1533" s="3" t="n">
        <v>2005</v>
      </c>
      <c r="D1533" s="3" t="inlineStr">
        <is>
          <t>Overall</t>
        </is>
      </c>
      <c r="E1533" s="3" t="inlineStr">
        <is>
          <t>Deciles</t>
        </is>
      </c>
      <c r="F1533" s="3" t="inlineStr">
        <is>
          <t>mean</t>
        </is>
      </c>
      <c r="G1533" s="3" t="n">
        <v>1</v>
      </c>
      <c r="H1533" s="3" t="n">
        <v>-0.7912648916244507</v>
      </c>
      <c r="I1533" s="3" t="n">
        <v>-0.7912648916244507</v>
      </c>
      <c r="J1533" s="3" t="n">
        <v>-0.9120722413063049</v>
      </c>
      <c r="K1533" s="3" t="n">
        <v>-0.9120722413063049</v>
      </c>
      <c r="L1533" s="3" t="n">
        <v>-0.7912648916244507</v>
      </c>
      <c r="M1533" s="3" t="n">
        <v>-0.7912648916244507</v>
      </c>
      <c r="N1533" s="3" t="n">
        <v>-0.7912648916244507</v>
      </c>
      <c r="O1533" s="3" t="n">
        <v>-0.7912648916244507</v>
      </c>
      <c r="P1533" s="3" t="n">
        <v>-0.7912648916244507</v>
      </c>
      <c r="Q1533" s="3" t="n">
        <v>-0.7912648916244507</v>
      </c>
      <c r="R1533" s="3" t="n">
        <v>-0.775479793548584</v>
      </c>
      <c r="S1533" s="3" t="n">
        <v>-1.572430729866028</v>
      </c>
      <c r="T1533" s="3" t="n">
        <v>-0.7104546427726746</v>
      </c>
      <c r="U1533" s="3" t="n">
        <v>-0.9120722413063049</v>
      </c>
      <c r="V1533" s="3" t="n">
        <v>-0.6869857907295227</v>
      </c>
      <c r="W1533" s="3" t="n">
        <v>-0.6547005772590637</v>
      </c>
      <c r="X1533" s="3" t="n">
        <v>-1.510481834411621</v>
      </c>
      <c r="Y1533" s="3" t="n">
        <v>-0.7912648916244507</v>
      </c>
      <c r="Z1533" s="3" t="n">
        <v>-1.572430729866028</v>
      </c>
      <c r="AA1533" s="3" t="n">
        <v>-1.572430729866028</v>
      </c>
      <c r="AB1533" s="3" t="n">
        <v>-1.510481834411621</v>
      </c>
      <c r="AC1533" s="3" t="n">
        <v>-2.571840763092041</v>
      </c>
      <c r="AD1533" s="3" t="n">
        <v>-0.9120722413063049</v>
      </c>
      <c r="AE1533" s="3" t="n">
        <v>-0.9120722413063049</v>
      </c>
    </row>
    <row r="1534">
      <c r="A1534" s="3" t="inlineStr">
        <is>
          <t>NAM.distn.dec.ove.mean.2</t>
        </is>
      </c>
      <c r="B1534" s="3" t="inlineStr">
        <is>
          <t>NAM</t>
        </is>
      </c>
      <c r="C1534" s="3" t="n">
        <v>2005</v>
      </c>
      <c r="D1534" s="3" t="inlineStr">
        <is>
          <t>Overall</t>
        </is>
      </c>
      <c r="E1534" s="3" t="inlineStr">
        <is>
          <t>Deciles</t>
        </is>
      </c>
      <c r="F1534" s="3" t="inlineStr">
        <is>
          <t>mean</t>
        </is>
      </c>
      <c r="G1534" s="3" t="n">
        <v>2</v>
      </c>
      <c r="H1534" s="3" t="n">
        <v>-0.7912648916244507</v>
      </c>
      <c r="I1534" s="3" t="n">
        <v>-0.7912648916244507</v>
      </c>
      <c r="J1534" s="3" t="n">
        <v>-0.9120722413063049</v>
      </c>
      <c r="K1534" s="3" t="n">
        <v>-0.9120722413063049</v>
      </c>
      <c r="L1534" s="3" t="n">
        <v>-0.7912648916244507</v>
      </c>
      <c r="M1534" s="3" t="n">
        <v>-0.7912648916244507</v>
      </c>
      <c r="N1534" s="3" t="n">
        <v>-0.7912648916244507</v>
      </c>
      <c r="O1534" s="3" t="n">
        <v>-0.7912648916244507</v>
      </c>
      <c r="P1534" s="3" t="n">
        <v>-0.7912648916244507</v>
      </c>
      <c r="Q1534" s="3" t="n">
        <v>-0.7912648916244507</v>
      </c>
      <c r="R1534" s="3" t="n">
        <v>-0.775479793548584</v>
      </c>
      <c r="S1534" s="3" t="n">
        <v>-1.572430729866028</v>
      </c>
      <c r="T1534" s="3" t="n">
        <v>-0.7104546427726746</v>
      </c>
      <c r="U1534" s="3" t="n">
        <v>-0.9120722413063049</v>
      </c>
      <c r="V1534" s="3" t="n">
        <v>-0.6869857907295227</v>
      </c>
      <c r="W1534" s="3" t="n">
        <v>-0.6547005772590637</v>
      </c>
      <c r="X1534" s="3" t="n">
        <v>-1.510481834411621</v>
      </c>
      <c r="Y1534" s="3" t="n">
        <v>-0.7912648916244507</v>
      </c>
      <c r="Z1534" s="3" t="n">
        <v>-1.572430729866028</v>
      </c>
      <c r="AA1534" s="3" t="n">
        <v>-1.572430729866028</v>
      </c>
      <c r="AB1534" s="3" t="n">
        <v>-1.510481834411621</v>
      </c>
      <c r="AC1534" s="3" t="n">
        <v>-2.571840763092041</v>
      </c>
      <c r="AD1534" s="3" t="n">
        <v>-0.9120722413063049</v>
      </c>
      <c r="AE1534" s="3" t="n">
        <v>-0.9120722413063049</v>
      </c>
    </row>
    <row r="1535">
      <c r="A1535" s="3" t="inlineStr">
        <is>
          <t>NAM.distn.dec.ove.mean.3</t>
        </is>
      </c>
      <c r="B1535" s="3" t="inlineStr">
        <is>
          <t>NAM</t>
        </is>
      </c>
      <c r="C1535" s="3" t="n">
        <v>2005</v>
      </c>
      <c r="D1535" s="3" t="inlineStr">
        <is>
          <t>Overall</t>
        </is>
      </c>
      <c r="E1535" s="3" t="inlineStr">
        <is>
          <t>Deciles</t>
        </is>
      </c>
      <c r="F1535" s="3" t="inlineStr">
        <is>
          <t>mean</t>
        </is>
      </c>
      <c r="G1535" s="3" t="n">
        <v>3</v>
      </c>
      <c r="H1535" s="3" t="n">
        <v>-0.7912648916244507</v>
      </c>
      <c r="I1535" s="3" t="n">
        <v>-0.7912648916244507</v>
      </c>
      <c r="J1535" s="3" t="n">
        <v>-0.9120722413063049</v>
      </c>
      <c r="K1535" s="3" t="n">
        <v>-0.9120722413063049</v>
      </c>
      <c r="L1535" s="3" t="n">
        <v>-0.7912648916244507</v>
      </c>
      <c r="M1535" s="3" t="n">
        <v>-0.7912648916244507</v>
      </c>
      <c r="N1535" s="3" t="n">
        <v>-0.7912648916244507</v>
      </c>
      <c r="O1535" s="3" t="n">
        <v>-0.7912648916244507</v>
      </c>
      <c r="P1535" s="3" t="n">
        <v>-0.7912648916244507</v>
      </c>
      <c r="Q1535" s="3" t="n">
        <v>-0.7912648916244507</v>
      </c>
      <c r="R1535" s="3" t="n">
        <v>-0.775479793548584</v>
      </c>
      <c r="S1535" s="3" t="n">
        <v>-1.572430729866028</v>
      </c>
      <c r="T1535" s="3" t="n">
        <v>-0.7104546427726746</v>
      </c>
      <c r="U1535" s="3" t="n">
        <v>-0.9120722413063049</v>
      </c>
      <c r="V1535" s="3" t="n">
        <v>-0.6869857907295227</v>
      </c>
      <c r="W1535" s="3" t="n">
        <v>-0.6547005772590637</v>
      </c>
      <c r="X1535" s="3" t="n">
        <v>-1.510481834411621</v>
      </c>
      <c r="Y1535" s="3" t="n">
        <v>-0.7912648916244507</v>
      </c>
      <c r="Z1535" s="3" t="n">
        <v>-1.572430729866028</v>
      </c>
      <c r="AA1535" s="3" t="n">
        <v>-1.572430729866028</v>
      </c>
      <c r="AB1535" s="3" t="n">
        <v>-1.510481834411621</v>
      </c>
      <c r="AC1535" s="3" t="n">
        <v>-2.571840763092041</v>
      </c>
      <c r="AD1535" s="3" t="n">
        <v>-0.9120722413063049</v>
      </c>
      <c r="AE1535" s="3" t="n">
        <v>-0.9120722413063049</v>
      </c>
    </row>
    <row r="1536">
      <c r="A1536" s="3" t="inlineStr">
        <is>
          <t>NAM.distn.dec.ove.mean.4</t>
        </is>
      </c>
      <c r="B1536" s="3" t="inlineStr">
        <is>
          <t>NAM</t>
        </is>
      </c>
      <c r="C1536" s="3" t="n">
        <v>2005</v>
      </c>
      <c r="D1536" s="3" t="inlineStr">
        <is>
          <t>Overall</t>
        </is>
      </c>
      <c r="E1536" s="3" t="inlineStr">
        <is>
          <t>Deciles</t>
        </is>
      </c>
      <c r="F1536" s="3" t="inlineStr">
        <is>
          <t>mean</t>
        </is>
      </c>
      <c r="G1536" s="3" t="n">
        <v>4</v>
      </c>
      <c r="H1536" s="3" t="n">
        <v>-0.7850000262260437</v>
      </c>
      <c r="I1536" s="3" t="n">
        <v>-0.7850000262260437</v>
      </c>
      <c r="J1536" s="3" t="n">
        <v>-0.8679999709129333</v>
      </c>
      <c r="K1536" s="3" t="n">
        <v>-0.8679999709129333</v>
      </c>
      <c r="L1536" s="3" t="n">
        <v>-0.7850000262260437</v>
      </c>
      <c r="M1536" s="3" t="n">
        <v>-0.7850000262260437</v>
      </c>
      <c r="N1536" s="3" t="n">
        <v>-0.7850000262260437</v>
      </c>
      <c r="O1536" s="3" t="n">
        <v>-0.7850000262260437</v>
      </c>
      <c r="P1536" s="3" t="n">
        <v>-0.7850000262260437</v>
      </c>
      <c r="Q1536" s="3" t="n">
        <v>-0.7850000262260437</v>
      </c>
      <c r="R1536" s="3" t="n">
        <v>-0.7720000147819519</v>
      </c>
      <c r="S1536" s="3" t="n">
        <v>-1.070999979972839</v>
      </c>
      <c r="T1536" s="3" t="n">
        <v>-0.7089999914169312</v>
      </c>
      <c r="U1536" s="3" t="n">
        <v>-0.8679999709129333</v>
      </c>
      <c r="V1536" s="3" t="n">
        <v>-0.6800000071525574</v>
      </c>
      <c r="W1536" s="3" t="n">
        <v>-0.5509999990463257</v>
      </c>
      <c r="X1536" s="3" t="n">
        <v>-1.065999984741211</v>
      </c>
      <c r="Y1536" s="3" t="n">
        <v>-0.7850000262260437</v>
      </c>
      <c r="Z1536" s="3" t="n">
        <v>-1.070999979972839</v>
      </c>
      <c r="AA1536" s="3" t="n">
        <v>-1.070999979972839</v>
      </c>
      <c r="AB1536" s="3" t="n">
        <v>-1.065999984741211</v>
      </c>
      <c r="AC1536" s="3" t="n">
        <v>-1.241999983787537</v>
      </c>
      <c r="AD1536" s="3" t="n">
        <v>-0.8679999709129333</v>
      </c>
      <c r="AE1536" s="3" t="n">
        <v>-0.8679999709129333</v>
      </c>
    </row>
    <row r="1537">
      <c r="A1537" s="3" t="inlineStr">
        <is>
          <t>NAM.distn.dec.ove.mean.5</t>
        </is>
      </c>
      <c r="B1537" s="3" t="inlineStr">
        <is>
          <t>NAM</t>
        </is>
      </c>
      <c r="C1537" s="3" t="n">
        <v>2005</v>
      </c>
      <c r="D1537" s="3" t="inlineStr">
        <is>
          <t>Overall</t>
        </is>
      </c>
      <c r="E1537" s="3" t="inlineStr">
        <is>
          <t>Deciles</t>
        </is>
      </c>
      <c r="F1537" s="3" t="inlineStr">
        <is>
          <t>mean</t>
        </is>
      </c>
      <c r="G1537" s="3" t="n">
        <v>5</v>
      </c>
      <c r="H1537" s="3" t="n">
        <v>-0.7850000262260437</v>
      </c>
      <c r="I1537" s="3" t="n">
        <v>-0.7850000262260437</v>
      </c>
      <c r="J1537" s="3" t="n">
        <v>-0.8679999709129333</v>
      </c>
      <c r="K1537" s="3" t="n">
        <v>-0.8679999709129333</v>
      </c>
      <c r="L1537" s="3" t="n">
        <v>-0.7850000262260437</v>
      </c>
      <c r="M1537" s="3" t="n">
        <v>-0.7850000262260437</v>
      </c>
      <c r="N1537" s="3" t="n">
        <v>-0.7850000262260437</v>
      </c>
      <c r="O1537" s="3" t="n">
        <v>-0.7850000262260437</v>
      </c>
      <c r="P1537" s="3" t="n">
        <v>-0.7850000262260437</v>
      </c>
      <c r="Q1537" s="3" t="n">
        <v>-0.7850000262260437</v>
      </c>
      <c r="R1537" s="3" t="n">
        <v>-0.7720000147819519</v>
      </c>
      <c r="S1537" s="3" t="n">
        <v>-1.070999979972839</v>
      </c>
      <c r="T1537" s="3" t="n">
        <v>-0.7089999914169312</v>
      </c>
      <c r="U1537" s="3" t="n">
        <v>-0.8679999709129333</v>
      </c>
      <c r="V1537" s="3" t="n">
        <v>-0.6800000071525574</v>
      </c>
      <c r="W1537" s="3" t="n">
        <v>-0.5509999990463257</v>
      </c>
      <c r="X1537" s="3" t="n">
        <v>-1.065999984741211</v>
      </c>
      <c r="Y1537" s="3" t="n">
        <v>-0.7850000262260437</v>
      </c>
      <c r="Z1537" s="3" t="n">
        <v>-1.070999979972839</v>
      </c>
      <c r="AA1537" s="3" t="n">
        <v>-1.070999979972839</v>
      </c>
      <c r="AB1537" s="3" t="n">
        <v>-1.065999984741211</v>
      </c>
      <c r="AC1537" s="3" t="n">
        <v>-1.241999983787537</v>
      </c>
      <c r="AD1537" s="3" t="n">
        <v>-0.8679999709129333</v>
      </c>
      <c r="AE1537" s="3" t="n">
        <v>-0.8679999709129333</v>
      </c>
    </row>
    <row r="1538">
      <c r="A1538" s="3" t="inlineStr">
        <is>
          <t>NAM.distn.dec.ove.mean.6</t>
        </is>
      </c>
      <c r="B1538" s="3" t="inlineStr">
        <is>
          <t>NAM</t>
        </is>
      </c>
      <c r="C1538" s="3" t="n">
        <v>2005</v>
      </c>
      <c r="D1538" s="3" t="inlineStr">
        <is>
          <t>Overall</t>
        </is>
      </c>
      <c r="E1538" s="3" t="inlineStr">
        <is>
          <t>Deciles</t>
        </is>
      </c>
      <c r="F1538" s="3" t="inlineStr">
        <is>
          <t>mean</t>
        </is>
      </c>
      <c r="G1538" s="3" t="n">
        <v>6</v>
      </c>
      <c r="H1538" s="3" t="n">
        <v>-0.7850000262260437</v>
      </c>
      <c r="I1538" s="3" t="n">
        <v>-0.7850000262260437</v>
      </c>
      <c r="J1538" s="3" t="n">
        <v>-0.8679999709129333</v>
      </c>
      <c r="K1538" s="3" t="n">
        <v>-0.8679999709129333</v>
      </c>
      <c r="L1538" s="3" t="n">
        <v>-0.7850000262260437</v>
      </c>
      <c r="M1538" s="3" t="n">
        <v>-0.7850000262260437</v>
      </c>
      <c r="N1538" s="3" t="n">
        <v>-0.7850000262260437</v>
      </c>
      <c r="O1538" s="3" t="n">
        <v>-0.7850000262260437</v>
      </c>
      <c r="P1538" s="3" t="n">
        <v>-0.7850000262260437</v>
      </c>
      <c r="Q1538" s="3" t="n">
        <v>-0.7850000262260437</v>
      </c>
      <c r="R1538" s="3" t="n">
        <v>-0.7720000147819519</v>
      </c>
      <c r="S1538" s="3" t="n">
        <v>-1.070999979972839</v>
      </c>
      <c r="T1538" s="3" t="n">
        <v>-0.7089999914169312</v>
      </c>
      <c r="U1538" s="3" t="n">
        <v>-0.8679999709129333</v>
      </c>
      <c r="V1538" s="3" t="n">
        <v>-0.6800000071525574</v>
      </c>
      <c r="W1538" s="3" t="n">
        <v>-0.5509999990463257</v>
      </c>
      <c r="X1538" s="3" t="n">
        <v>-1.065999984741211</v>
      </c>
      <c r="Y1538" s="3" t="n">
        <v>-0.7850000262260437</v>
      </c>
      <c r="Z1538" s="3" t="n">
        <v>-1.070999979972839</v>
      </c>
      <c r="AA1538" s="3" t="n">
        <v>-1.070999979972839</v>
      </c>
      <c r="AB1538" s="3" t="n">
        <v>-1.065999984741211</v>
      </c>
      <c r="AC1538" s="3" t="n">
        <v>-1.241999983787537</v>
      </c>
      <c r="AD1538" s="3" t="n">
        <v>-0.8679999709129333</v>
      </c>
      <c r="AE1538" s="3" t="n">
        <v>-0.8679999709129333</v>
      </c>
    </row>
    <row r="1539">
      <c r="A1539" s="3" t="inlineStr">
        <is>
          <t>NAM.distn.dec.ove.mean.7</t>
        </is>
      </c>
      <c r="B1539" s="3" t="inlineStr">
        <is>
          <t>NAM</t>
        </is>
      </c>
      <c r="C1539" s="3" t="n">
        <v>2005</v>
      </c>
      <c r="D1539" s="3" t="inlineStr">
        <is>
          <t>Overall</t>
        </is>
      </c>
      <c r="E1539" s="3" t="inlineStr">
        <is>
          <t>Deciles</t>
        </is>
      </c>
      <c r="F1539" s="3" t="inlineStr">
        <is>
          <t>mean</t>
        </is>
      </c>
      <c r="G1539" s="3" t="n">
        <v>7</v>
      </c>
      <c r="H1539" s="3" t="n">
        <v>-0.7850000262260437</v>
      </c>
      <c r="I1539" s="3" t="n">
        <v>-0.7850000262260437</v>
      </c>
      <c r="J1539" s="3" t="n">
        <v>-0.8679999709129333</v>
      </c>
      <c r="K1539" s="3" t="n">
        <v>-0.8679999709129333</v>
      </c>
      <c r="L1539" s="3" t="n">
        <v>-0.7850000262260437</v>
      </c>
      <c r="M1539" s="3" t="n">
        <v>-0.7850000262260437</v>
      </c>
      <c r="N1539" s="3" t="n">
        <v>-0.7850000262260437</v>
      </c>
      <c r="O1539" s="3" t="n">
        <v>-0.7850000262260437</v>
      </c>
      <c r="P1539" s="3" t="n">
        <v>-0.7850000262260437</v>
      </c>
      <c r="Q1539" s="3" t="n">
        <v>-0.7850000262260437</v>
      </c>
      <c r="R1539" s="3" t="n">
        <v>-0.7720000147819519</v>
      </c>
      <c r="S1539" s="3" t="n">
        <v>-1.070999979972839</v>
      </c>
      <c r="T1539" s="3" t="n">
        <v>-0.7089999914169312</v>
      </c>
      <c r="U1539" s="3" t="n">
        <v>-0.8679999709129333</v>
      </c>
      <c r="V1539" s="3" t="n">
        <v>-0.6800000071525574</v>
      </c>
      <c r="W1539" s="3" t="n">
        <v>-0.5509999990463257</v>
      </c>
      <c r="X1539" s="3" t="n">
        <v>-1.065999984741211</v>
      </c>
      <c r="Y1539" s="3" t="n">
        <v>-0.7850000262260437</v>
      </c>
      <c r="Z1539" s="3" t="n">
        <v>-1.070999979972839</v>
      </c>
      <c r="AA1539" s="3" t="n">
        <v>-1.070999979972839</v>
      </c>
      <c r="AB1539" s="3" t="n">
        <v>-1.065999984741211</v>
      </c>
      <c r="AC1539" s="3" t="n">
        <v>-1.241999983787537</v>
      </c>
      <c r="AD1539" s="3" t="n">
        <v>-0.8679999709129333</v>
      </c>
      <c r="AE1539" s="3" t="n">
        <v>-0.8679999709129333</v>
      </c>
    </row>
    <row r="1540">
      <c r="A1540" s="3" t="inlineStr">
        <is>
          <t>NAM.distn.dec.ove.mean.8</t>
        </is>
      </c>
      <c r="B1540" s="3" t="inlineStr">
        <is>
          <t>NAM</t>
        </is>
      </c>
      <c r="C1540" s="3" t="n">
        <v>2005</v>
      </c>
      <c r="D1540" s="3" t="inlineStr">
        <is>
          <t>Overall</t>
        </is>
      </c>
      <c r="E1540" s="3" t="inlineStr">
        <is>
          <t>Deciles</t>
        </is>
      </c>
      <c r="F1540" s="3" t="inlineStr">
        <is>
          <t>mean</t>
        </is>
      </c>
      <c r="G1540" s="3" t="n">
        <v>8</v>
      </c>
      <c r="H1540" s="3" t="n">
        <v>-0.7853782176971436</v>
      </c>
      <c r="I1540" s="3" t="n">
        <v>-0.7853782176971436</v>
      </c>
      <c r="J1540" s="3" t="n">
        <v>-0.8703414797782898</v>
      </c>
      <c r="K1540" s="3" t="n">
        <v>-0.8703414797782898</v>
      </c>
      <c r="L1540" s="3" t="n">
        <v>-0.7853782176971436</v>
      </c>
      <c r="M1540" s="3" t="n">
        <v>-0.7853782176971436</v>
      </c>
      <c r="N1540" s="3" t="n">
        <v>-0.7853782176971436</v>
      </c>
      <c r="O1540" s="3" t="n">
        <v>-0.7853782176971436</v>
      </c>
      <c r="P1540" s="3" t="n">
        <v>-0.7853782176971436</v>
      </c>
      <c r="Q1540" s="3" t="n">
        <v>-0.7853782176971436</v>
      </c>
      <c r="R1540" s="3" t="n">
        <v>-0.7722538709640503</v>
      </c>
      <c r="S1540" s="3" t="n">
        <v>-1.080965757369995</v>
      </c>
      <c r="T1540" s="3" t="n">
        <v>-0.7090408802032471</v>
      </c>
      <c r="U1540" s="3" t="n">
        <v>-0.8703414797782898</v>
      </c>
      <c r="V1540" s="3" t="n">
        <v>-0.6807029843330383</v>
      </c>
      <c r="W1540" s="3" t="n">
        <v>-0.5657551288604736</v>
      </c>
      <c r="X1540" s="3" t="n">
        <v>-1.075713396072388</v>
      </c>
      <c r="Y1540" s="3" t="n">
        <v>-0.7853782176971436</v>
      </c>
      <c r="Z1540" s="3" t="n">
        <v>-1.080965757369995</v>
      </c>
      <c r="AA1540" s="3" t="n">
        <v>-1.080965757369995</v>
      </c>
      <c r="AB1540" s="3" t="n">
        <v>-1.075713396072388</v>
      </c>
      <c r="AC1540" s="3" t="n">
        <v>-1.25971257686615</v>
      </c>
      <c r="AD1540" s="3" t="n">
        <v>-0.8703414797782898</v>
      </c>
      <c r="AE1540" s="3" t="n">
        <v>-0.8703414797782898</v>
      </c>
    </row>
    <row r="1541">
      <c r="A1541" s="3" t="inlineStr">
        <is>
          <t>NAM.distn.dec.ove.mean.9</t>
        </is>
      </c>
      <c r="B1541" s="3" t="inlineStr">
        <is>
          <t>NAM</t>
        </is>
      </c>
      <c r="C1541" s="3" t="n">
        <v>2005</v>
      </c>
      <c r="D1541" s="3" t="inlineStr">
        <is>
          <t>Overall</t>
        </is>
      </c>
      <c r="E1541" s="3" t="inlineStr">
        <is>
          <t>Deciles</t>
        </is>
      </c>
      <c r="F1541" s="3" t="inlineStr">
        <is>
          <t>mean</t>
        </is>
      </c>
      <c r="G1541" s="3" t="n">
        <v>9</v>
      </c>
      <c r="H1541" s="3" t="n">
        <v>-0.7853782176971436</v>
      </c>
      <c r="I1541" s="3" t="n">
        <v>-0.7853782176971436</v>
      </c>
      <c r="J1541" s="3" t="n">
        <v>-0.8703414797782898</v>
      </c>
      <c r="K1541" s="3" t="n">
        <v>-0.8703414797782898</v>
      </c>
      <c r="L1541" s="3" t="n">
        <v>-0.7853782176971436</v>
      </c>
      <c r="M1541" s="3" t="n">
        <v>-0.7853782176971436</v>
      </c>
      <c r="N1541" s="3" t="n">
        <v>-0.7853782176971436</v>
      </c>
      <c r="O1541" s="3" t="n">
        <v>-0.7853782176971436</v>
      </c>
      <c r="P1541" s="3" t="n">
        <v>-0.7853782176971436</v>
      </c>
      <c r="Q1541" s="3" t="n">
        <v>-0.7853782176971436</v>
      </c>
      <c r="R1541" s="3" t="n">
        <v>-0.7722538709640503</v>
      </c>
      <c r="S1541" s="3" t="n">
        <v>-1.080965757369995</v>
      </c>
      <c r="T1541" s="3" t="n">
        <v>-0.7090408802032471</v>
      </c>
      <c r="U1541" s="3" t="n">
        <v>-0.8703414797782898</v>
      </c>
      <c r="V1541" s="3" t="n">
        <v>-0.6807029843330383</v>
      </c>
      <c r="W1541" s="3" t="n">
        <v>-0.5657551288604736</v>
      </c>
      <c r="X1541" s="3" t="n">
        <v>-1.075713396072388</v>
      </c>
      <c r="Y1541" s="3" t="n">
        <v>-0.7853782176971436</v>
      </c>
      <c r="Z1541" s="3" t="n">
        <v>-1.080965757369995</v>
      </c>
      <c r="AA1541" s="3" t="n">
        <v>-1.080965757369995</v>
      </c>
      <c r="AB1541" s="3" t="n">
        <v>-1.075713396072388</v>
      </c>
      <c r="AC1541" s="3" t="n">
        <v>-1.25971257686615</v>
      </c>
      <c r="AD1541" s="3" t="n">
        <v>-0.8703414797782898</v>
      </c>
      <c r="AE1541" s="3" t="n">
        <v>-0.8703414797782898</v>
      </c>
    </row>
    <row r="1542">
      <c r="A1542" s="3" t="inlineStr">
        <is>
          <t>NAM.distn.dec.ove.mean.10</t>
        </is>
      </c>
      <c r="B1542" s="3" t="inlineStr">
        <is>
          <t>NAM</t>
        </is>
      </c>
      <c r="C1542" s="3" t="n">
        <v>2005</v>
      </c>
      <c r="D1542" s="3" t="inlineStr">
        <is>
          <t>Overall</t>
        </is>
      </c>
      <c r="E1542" s="3" t="inlineStr">
        <is>
          <t>Deciles</t>
        </is>
      </c>
      <c r="F1542" s="3" t="inlineStr">
        <is>
          <t>mean</t>
        </is>
      </c>
      <c r="G1542" s="3" t="n">
        <v>10</v>
      </c>
      <c r="H1542" s="3" t="n">
        <v>-0.7853782176971436</v>
      </c>
      <c r="I1542" s="3" t="n">
        <v>-0.7853782176971436</v>
      </c>
      <c r="J1542" s="3" t="n">
        <v>-0.8703414797782898</v>
      </c>
      <c r="K1542" s="3" t="n">
        <v>-0.8703414797782898</v>
      </c>
      <c r="L1542" s="3" t="n">
        <v>-0.7853782176971436</v>
      </c>
      <c r="M1542" s="3" t="n">
        <v>-0.7853782176971436</v>
      </c>
      <c r="N1542" s="3" t="n">
        <v>-0.7853782176971436</v>
      </c>
      <c r="O1542" s="3" t="n">
        <v>-0.7853782176971436</v>
      </c>
      <c r="P1542" s="3" t="n">
        <v>-0.7853782176971436</v>
      </c>
      <c r="Q1542" s="3" t="n">
        <v>-0.7853782176971436</v>
      </c>
      <c r="R1542" s="3" t="n">
        <v>-0.7722538709640503</v>
      </c>
      <c r="S1542" s="3" t="n">
        <v>-1.080965757369995</v>
      </c>
      <c r="T1542" s="3" t="n">
        <v>-0.7090408802032471</v>
      </c>
      <c r="U1542" s="3" t="n">
        <v>-0.8703414797782898</v>
      </c>
      <c r="V1542" s="3" t="n">
        <v>-0.6807029843330383</v>
      </c>
      <c r="W1542" s="3" t="n">
        <v>-0.5657551288604736</v>
      </c>
      <c r="X1542" s="3" t="n">
        <v>-1.075713396072388</v>
      </c>
      <c r="Y1542" s="3" t="n">
        <v>-0.7853782176971436</v>
      </c>
      <c r="Z1542" s="3" t="n">
        <v>-1.080965757369995</v>
      </c>
      <c r="AA1542" s="3" t="n">
        <v>-1.080965757369995</v>
      </c>
      <c r="AB1542" s="3" t="n">
        <v>-1.075713396072388</v>
      </c>
      <c r="AC1542" s="3" t="n">
        <v>-1.25971257686615</v>
      </c>
      <c r="AD1542" s="3" t="n">
        <v>-0.8703414797782898</v>
      </c>
      <c r="AE1542" s="3" t="n">
        <v>-0.8703414797782898</v>
      </c>
    </row>
    <row r="1543">
      <c r="A1543" s="3" t="inlineStr">
        <is>
          <t>NAM.distn.bkt.ove.mean.9999</t>
        </is>
      </c>
      <c r="B1543" s="3" t="inlineStr">
        <is>
          <t>NAM</t>
        </is>
      </c>
      <c r="C1543" s="3" t="n">
        <v>2005</v>
      </c>
      <c r="D1543" s="3" t="inlineStr">
        <is>
          <t>Overall</t>
        </is>
      </c>
      <c r="E1543" s="3" t="inlineStr">
        <is>
          <t>Basket</t>
        </is>
      </c>
      <c r="F1543" s="3" t="inlineStr">
        <is>
          <t>mean</t>
        </is>
      </c>
      <c r="G1543" s="3" t="n">
        <v>9999</v>
      </c>
      <c r="H1543" s="3" t="n">
        <v>-0.7869929671287537</v>
      </c>
      <c r="I1543" s="3" t="n">
        <v>-0.7869929671287537</v>
      </c>
      <c r="J1543" s="3" t="n">
        <v>-0.8819240927696228</v>
      </c>
      <c r="K1543" s="3" t="n">
        <v>-0.8819240927696228</v>
      </c>
      <c r="L1543" s="3" t="n">
        <v>-0.7869929671287537</v>
      </c>
      <c r="M1543" s="3" t="n">
        <v>-0.7869929671287537</v>
      </c>
      <c r="N1543" s="3" t="n">
        <v>-0.7869929671287537</v>
      </c>
      <c r="O1543" s="3" t="n">
        <v>-0.7869929671287537</v>
      </c>
      <c r="P1543" s="3" t="n">
        <v>-0.7869929671287537</v>
      </c>
      <c r="Q1543" s="3" t="n">
        <v>-0.7869929671287537</v>
      </c>
      <c r="R1543" s="3" t="n">
        <v>-0.773120105266571</v>
      </c>
      <c r="S1543" s="3" t="n">
        <v>-1.224418878555298</v>
      </c>
      <c r="T1543" s="3" t="n">
        <v>-0.7094486355781555</v>
      </c>
      <c r="U1543" s="3" t="n">
        <v>-0.8819240927696228</v>
      </c>
      <c r="V1543" s="3" t="n">
        <v>-0.6823066473007202</v>
      </c>
      <c r="W1543" s="3" t="n">
        <v>-0.586536705493927</v>
      </c>
      <c r="X1543" s="3" t="n">
        <v>-1.202258586883545</v>
      </c>
      <c r="Y1543" s="3" t="n">
        <v>-0.7869929671287537</v>
      </c>
      <c r="Z1543" s="3" t="n">
        <v>-1.224418878555298</v>
      </c>
      <c r="AA1543" s="3" t="n">
        <v>-1.224418878555298</v>
      </c>
      <c r="AB1543" s="3" t="n">
        <v>-1.202258586883545</v>
      </c>
      <c r="AC1543" s="3" t="n">
        <v>-1.646265983581543</v>
      </c>
      <c r="AD1543" s="3" t="n">
        <v>-0.8819240927696228</v>
      </c>
      <c r="AE1543" s="3" t="n">
        <v>-0.8819240927696228</v>
      </c>
    </row>
    <row r="1544">
      <c r="A1544" s="3" t="inlineStr">
        <is>
          <t>NCL.distn.dec.ove.mean.1</t>
        </is>
      </c>
      <c r="B1544" s="3" t="inlineStr">
        <is>
          <t>NCL</t>
        </is>
      </c>
      <c r="C1544" s="3" t="n">
        <v>2005</v>
      </c>
      <c r="D1544" s="3" t="inlineStr">
        <is>
          <t>Overall</t>
        </is>
      </c>
      <c r="E1544" s="3" t="inlineStr">
        <is>
          <t>Deciles</t>
        </is>
      </c>
      <c r="F1544" s="3" t="inlineStr">
        <is>
          <t>mean</t>
        </is>
      </c>
      <c r="G1544" s="3" t="n">
        <v>1</v>
      </c>
      <c r="H1544" s="3" t="n">
        <v>-0.7878549098968506</v>
      </c>
      <c r="I1544" s="3" t="n">
        <v>-0.7878549098968506</v>
      </c>
      <c r="J1544" s="3" t="n">
        <v>-0.8883962808771336</v>
      </c>
      <c r="K1544" s="3" t="n">
        <v>-0.8883962808771336</v>
      </c>
      <c r="L1544" s="3" t="n">
        <v>-0.7878549098968506</v>
      </c>
      <c r="M1544" s="3" t="n">
        <v>-0.7878549098968506</v>
      </c>
      <c r="N1544" s="3" t="n">
        <v>-0.7878549098968506</v>
      </c>
      <c r="O1544" s="3" t="n">
        <v>-0.7878549098968506</v>
      </c>
      <c r="P1544" s="3" t="n">
        <v>-0.7878549098968506</v>
      </c>
      <c r="Q1544" s="3" t="n">
        <v>-0.7878549098968506</v>
      </c>
      <c r="R1544" s="3" t="n">
        <v>-0.7732356596500316</v>
      </c>
      <c r="S1544" s="3" t="n">
        <v>-1.408805674694954</v>
      </c>
      <c r="T1544" s="3" t="n">
        <v>-0.7095591730259835</v>
      </c>
      <c r="U1544" s="3" t="n">
        <v>-0.8883962808771336</v>
      </c>
      <c r="V1544" s="3" t="n">
        <v>-0.681934451803248</v>
      </c>
      <c r="W1544" s="3" t="n">
        <v>-0.5702875047288043</v>
      </c>
      <c r="X1544" s="3" t="n">
        <v>-1.356243993373627</v>
      </c>
      <c r="Y1544" s="3" t="n">
        <v>-0.7878549098968506</v>
      </c>
      <c r="Z1544" s="3" t="n">
        <v>-1.408805674694954</v>
      </c>
      <c r="AA1544" s="3" t="n">
        <v>-1.408805674694954</v>
      </c>
      <c r="AB1544" s="3" t="n">
        <v>-1.356243993373627</v>
      </c>
      <c r="AC1544" s="3" t="n">
        <v>-2.123991362592007</v>
      </c>
      <c r="AD1544" s="3" t="n">
        <v>-0.8883962808771336</v>
      </c>
      <c r="AE1544" s="3" t="n">
        <v>-0.8883962808771336</v>
      </c>
    </row>
    <row r="1545">
      <c r="A1545" s="3" t="inlineStr">
        <is>
          <t>NCL.distn.dec.ove.mean.2</t>
        </is>
      </c>
      <c r="B1545" s="3" t="inlineStr">
        <is>
          <t>NCL</t>
        </is>
      </c>
      <c r="C1545" s="3" t="n">
        <v>2005</v>
      </c>
      <c r="D1545" s="3" t="inlineStr">
        <is>
          <t>Overall</t>
        </is>
      </c>
      <c r="E1545" s="3" t="inlineStr">
        <is>
          <t>Deciles</t>
        </is>
      </c>
      <c r="F1545" s="3" t="inlineStr">
        <is>
          <t>mean</t>
        </is>
      </c>
      <c r="G1545" s="3" t="n">
        <v>2</v>
      </c>
      <c r="H1545" s="3" t="n">
        <v>-0.7878549098968506</v>
      </c>
      <c r="I1545" s="3" t="n">
        <v>-0.7878549098968506</v>
      </c>
      <c r="J1545" s="3" t="n">
        <v>-0.8883962808771336</v>
      </c>
      <c r="K1545" s="3" t="n">
        <v>-0.8883962808771336</v>
      </c>
      <c r="L1545" s="3" t="n">
        <v>-0.7878549098968506</v>
      </c>
      <c r="M1545" s="3" t="n">
        <v>-0.7878549098968506</v>
      </c>
      <c r="N1545" s="3" t="n">
        <v>-0.7878549098968506</v>
      </c>
      <c r="O1545" s="3" t="n">
        <v>-0.7878549098968506</v>
      </c>
      <c r="P1545" s="3" t="n">
        <v>-0.7878549098968506</v>
      </c>
      <c r="Q1545" s="3" t="n">
        <v>-0.7878549098968506</v>
      </c>
      <c r="R1545" s="3" t="n">
        <v>-0.7732356596500316</v>
      </c>
      <c r="S1545" s="3" t="n">
        <v>-1.408805674694954</v>
      </c>
      <c r="T1545" s="3" t="n">
        <v>-0.7095591730259835</v>
      </c>
      <c r="U1545" s="3" t="n">
        <v>-0.8883962808771336</v>
      </c>
      <c r="V1545" s="3" t="n">
        <v>-0.681934451803248</v>
      </c>
      <c r="W1545" s="3" t="n">
        <v>-0.5702875047288043</v>
      </c>
      <c r="X1545" s="3" t="n">
        <v>-1.356243993373627</v>
      </c>
      <c r="Y1545" s="3" t="n">
        <v>-0.7878549098968506</v>
      </c>
      <c r="Z1545" s="3" t="n">
        <v>-1.408805674694954</v>
      </c>
      <c r="AA1545" s="3" t="n">
        <v>-1.408805674694954</v>
      </c>
      <c r="AB1545" s="3" t="n">
        <v>-1.356243993373627</v>
      </c>
      <c r="AC1545" s="3" t="n">
        <v>-2.123991362592007</v>
      </c>
      <c r="AD1545" s="3" t="n">
        <v>-0.8883962808771336</v>
      </c>
      <c r="AE1545" s="3" t="n">
        <v>-0.8883962808771336</v>
      </c>
    </row>
    <row r="1546">
      <c r="A1546" s="3" t="inlineStr">
        <is>
          <t>NCL.distn.dec.ove.mean.3</t>
        </is>
      </c>
      <c r="B1546" s="3" t="inlineStr">
        <is>
          <t>NCL</t>
        </is>
      </c>
      <c r="C1546" s="3" t="n">
        <v>2005</v>
      </c>
      <c r="D1546" s="3" t="inlineStr">
        <is>
          <t>Overall</t>
        </is>
      </c>
      <c r="E1546" s="3" t="inlineStr">
        <is>
          <t>Deciles</t>
        </is>
      </c>
      <c r="F1546" s="3" t="inlineStr">
        <is>
          <t>mean</t>
        </is>
      </c>
      <c r="G1546" s="3" t="n">
        <v>3</v>
      </c>
      <c r="H1546" s="3" t="n">
        <v>-0.7878549098968506</v>
      </c>
      <c r="I1546" s="3" t="n">
        <v>-0.7878549098968506</v>
      </c>
      <c r="J1546" s="3" t="n">
        <v>-0.8883962808771336</v>
      </c>
      <c r="K1546" s="3" t="n">
        <v>-0.8883962808771336</v>
      </c>
      <c r="L1546" s="3" t="n">
        <v>-0.7878549098968506</v>
      </c>
      <c r="M1546" s="3" t="n">
        <v>-0.7878549098968506</v>
      </c>
      <c r="N1546" s="3" t="n">
        <v>-0.7878549098968506</v>
      </c>
      <c r="O1546" s="3" t="n">
        <v>-0.7878549098968506</v>
      </c>
      <c r="P1546" s="3" t="n">
        <v>-0.7878549098968506</v>
      </c>
      <c r="Q1546" s="3" t="n">
        <v>-0.7878549098968506</v>
      </c>
      <c r="R1546" s="3" t="n">
        <v>-0.7732356596500316</v>
      </c>
      <c r="S1546" s="3" t="n">
        <v>-1.408805674694954</v>
      </c>
      <c r="T1546" s="3" t="n">
        <v>-0.7095591730259835</v>
      </c>
      <c r="U1546" s="3" t="n">
        <v>-0.8883962808771336</v>
      </c>
      <c r="V1546" s="3" t="n">
        <v>-0.681934451803248</v>
      </c>
      <c r="W1546" s="3" t="n">
        <v>-0.5702875047288043</v>
      </c>
      <c r="X1546" s="3" t="n">
        <v>-1.356243993373627</v>
      </c>
      <c r="Y1546" s="3" t="n">
        <v>-0.7878549098968506</v>
      </c>
      <c r="Z1546" s="3" t="n">
        <v>-1.408805674694954</v>
      </c>
      <c r="AA1546" s="3" t="n">
        <v>-1.408805674694954</v>
      </c>
      <c r="AB1546" s="3" t="n">
        <v>-1.356243993373627</v>
      </c>
      <c r="AC1546" s="3" t="n">
        <v>-2.123991362592007</v>
      </c>
      <c r="AD1546" s="3" t="n">
        <v>-0.8883962808771336</v>
      </c>
      <c r="AE1546" s="3" t="n">
        <v>-0.8883962808771336</v>
      </c>
    </row>
    <row r="1547">
      <c r="A1547" s="3" t="inlineStr">
        <is>
          <t>NCL.distn.dec.ove.mean.4</t>
        </is>
      </c>
      <c r="B1547" s="3" t="inlineStr">
        <is>
          <t>NCL</t>
        </is>
      </c>
      <c r="C1547" s="3" t="n">
        <v>2005</v>
      </c>
      <c r="D1547" s="3" t="inlineStr">
        <is>
          <t>Overall</t>
        </is>
      </c>
      <c r="E1547" s="3" t="inlineStr">
        <is>
          <t>Deciles</t>
        </is>
      </c>
      <c r="F1547" s="3" t="inlineStr">
        <is>
          <t>mean</t>
        </is>
      </c>
      <c r="G1547" s="3" t="n">
        <v>4</v>
      </c>
      <c r="H1547" s="3" t="n">
        <v>-0.7816170251115839</v>
      </c>
      <c r="I1547" s="3" t="n">
        <v>-0.7816170251115839</v>
      </c>
      <c r="J1547" s="3" t="n">
        <v>-0.8454680810583398</v>
      </c>
      <c r="K1547" s="3" t="n">
        <v>-0.8454680810583398</v>
      </c>
      <c r="L1547" s="3" t="n">
        <v>-0.7816170251115839</v>
      </c>
      <c r="M1547" s="3" t="n">
        <v>-0.7816170251115839</v>
      </c>
      <c r="N1547" s="3" t="n">
        <v>-0.7816170251115839</v>
      </c>
      <c r="O1547" s="3" t="n">
        <v>-0.7816170251115839</v>
      </c>
      <c r="P1547" s="3" t="n">
        <v>-0.7816170251115839</v>
      </c>
      <c r="Q1547" s="3" t="n">
        <v>-0.7816170251115839</v>
      </c>
      <c r="R1547" s="3" t="n">
        <v>-0.7697659489956308</v>
      </c>
      <c r="S1547" s="3" t="n">
        <v>-0.9595531871978272</v>
      </c>
      <c r="T1547" s="3" t="n">
        <v>-0.7081063859006191</v>
      </c>
      <c r="U1547" s="3" t="n">
        <v>-0.8454680810583398</v>
      </c>
      <c r="V1547" s="3" t="n">
        <v>-0.6750000017754575</v>
      </c>
      <c r="W1547" s="3" t="n">
        <v>-0.4799574455048176</v>
      </c>
      <c r="X1547" s="3" t="n">
        <v>-0.9571489362006492</v>
      </c>
      <c r="Y1547" s="3" t="n">
        <v>-0.7816170251115839</v>
      </c>
      <c r="Z1547" s="3" t="n">
        <v>-0.9595531871978272</v>
      </c>
      <c r="AA1547" s="3" t="n">
        <v>-0.9595531871978272</v>
      </c>
      <c r="AB1547" s="3" t="n">
        <v>-0.9571489362006492</v>
      </c>
      <c r="AC1547" s="3" t="n">
        <v>-1.025723396463597</v>
      </c>
      <c r="AD1547" s="3" t="n">
        <v>-0.8454680810583398</v>
      </c>
      <c r="AE1547" s="3" t="n">
        <v>-0.8454680810583398</v>
      </c>
    </row>
    <row r="1548">
      <c r="A1548" s="3" t="inlineStr">
        <is>
          <t>NCL.distn.dec.ove.mean.5</t>
        </is>
      </c>
      <c r="B1548" s="3" t="inlineStr">
        <is>
          <t>NCL</t>
        </is>
      </c>
      <c r="C1548" s="3" t="n">
        <v>2005</v>
      </c>
      <c r="D1548" s="3" t="inlineStr">
        <is>
          <t>Overall</t>
        </is>
      </c>
      <c r="E1548" s="3" t="inlineStr">
        <is>
          <t>Deciles</t>
        </is>
      </c>
      <c r="F1548" s="3" t="inlineStr">
        <is>
          <t>mean</t>
        </is>
      </c>
      <c r="G1548" s="3" t="n">
        <v>5</v>
      </c>
      <c r="H1548" s="3" t="n">
        <v>-0.7816170251115839</v>
      </c>
      <c r="I1548" s="3" t="n">
        <v>-0.7816170251115839</v>
      </c>
      <c r="J1548" s="3" t="n">
        <v>-0.8454680810583398</v>
      </c>
      <c r="K1548" s="3" t="n">
        <v>-0.8454680810583398</v>
      </c>
      <c r="L1548" s="3" t="n">
        <v>-0.7816170251115839</v>
      </c>
      <c r="M1548" s="3" t="n">
        <v>-0.7816170251115839</v>
      </c>
      <c r="N1548" s="3" t="n">
        <v>-0.7816170251115839</v>
      </c>
      <c r="O1548" s="3" t="n">
        <v>-0.7816170251115839</v>
      </c>
      <c r="P1548" s="3" t="n">
        <v>-0.7816170251115839</v>
      </c>
      <c r="Q1548" s="3" t="n">
        <v>-0.7816170251115839</v>
      </c>
      <c r="R1548" s="3" t="n">
        <v>-0.7697659489956308</v>
      </c>
      <c r="S1548" s="3" t="n">
        <v>-0.9595531871978272</v>
      </c>
      <c r="T1548" s="3" t="n">
        <v>-0.7081063859006191</v>
      </c>
      <c r="U1548" s="3" t="n">
        <v>-0.8454680810583398</v>
      </c>
      <c r="V1548" s="3" t="n">
        <v>-0.6750000017754575</v>
      </c>
      <c r="W1548" s="3" t="n">
        <v>-0.4799574455048176</v>
      </c>
      <c r="X1548" s="3" t="n">
        <v>-0.9571489362006492</v>
      </c>
      <c r="Y1548" s="3" t="n">
        <v>-0.7816170251115839</v>
      </c>
      <c r="Z1548" s="3" t="n">
        <v>-0.9595531871978272</v>
      </c>
      <c r="AA1548" s="3" t="n">
        <v>-0.9595531871978272</v>
      </c>
      <c r="AB1548" s="3" t="n">
        <v>-0.9571489362006492</v>
      </c>
      <c r="AC1548" s="3" t="n">
        <v>-1.025723396463597</v>
      </c>
      <c r="AD1548" s="3" t="n">
        <v>-0.8454680810583398</v>
      </c>
      <c r="AE1548" s="3" t="n">
        <v>-0.8454680810583398</v>
      </c>
    </row>
    <row r="1549">
      <c r="A1549" s="3" t="inlineStr">
        <is>
          <t>NCL.distn.dec.ove.mean.6</t>
        </is>
      </c>
      <c r="B1549" s="3" t="inlineStr">
        <is>
          <t>NCL</t>
        </is>
      </c>
      <c r="C1549" s="3" t="n">
        <v>2005</v>
      </c>
      <c r="D1549" s="3" t="inlineStr">
        <is>
          <t>Overall</t>
        </is>
      </c>
      <c r="E1549" s="3" t="inlineStr">
        <is>
          <t>Deciles</t>
        </is>
      </c>
      <c r="F1549" s="3" t="inlineStr">
        <is>
          <t>mean</t>
        </is>
      </c>
      <c r="G1549" s="3" t="n">
        <v>6</v>
      </c>
      <c r="H1549" s="3" t="n">
        <v>-0.7816170251115839</v>
      </c>
      <c r="I1549" s="3" t="n">
        <v>-0.7816170251115839</v>
      </c>
      <c r="J1549" s="3" t="n">
        <v>-0.8454680810583398</v>
      </c>
      <c r="K1549" s="3" t="n">
        <v>-0.8454680810583398</v>
      </c>
      <c r="L1549" s="3" t="n">
        <v>-0.7816170251115839</v>
      </c>
      <c r="M1549" s="3" t="n">
        <v>-0.7816170251115839</v>
      </c>
      <c r="N1549" s="3" t="n">
        <v>-0.7816170251115839</v>
      </c>
      <c r="O1549" s="3" t="n">
        <v>-0.7816170251115839</v>
      </c>
      <c r="P1549" s="3" t="n">
        <v>-0.7816170251115839</v>
      </c>
      <c r="Q1549" s="3" t="n">
        <v>-0.7816170251115839</v>
      </c>
      <c r="R1549" s="3" t="n">
        <v>-0.7697659489956308</v>
      </c>
      <c r="S1549" s="3" t="n">
        <v>-0.9595531871978272</v>
      </c>
      <c r="T1549" s="3" t="n">
        <v>-0.7081063859006191</v>
      </c>
      <c r="U1549" s="3" t="n">
        <v>-0.8454680810583398</v>
      </c>
      <c r="V1549" s="3" t="n">
        <v>-0.6750000017754575</v>
      </c>
      <c r="W1549" s="3" t="n">
        <v>-0.4799574455048176</v>
      </c>
      <c r="X1549" s="3" t="n">
        <v>-0.9571489362006492</v>
      </c>
      <c r="Y1549" s="3" t="n">
        <v>-0.7816170251115839</v>
      </c>
      <c r="Z1549" s="3" t="n">
        <v>-0.9595531871978272</v>
      </c>
      <c r="AA1549" s="3" t="n">
        <v>-0.9595531871978272</v>
      </c>
      <c r="AB1549" s="3" t="n">
        <v>-0.9571489362006492</v>
      </c>
      <c r="AC1549" s="3" t="n">
        <v>-1.025723396463597</v>
      </c>
      <c r="AD1549" s="3" t="n">
        <v>-0.8454680810583398</v>
      </c>
      <c r="AE1549" s="3" t="n">
        <v>-0.8454680810583398</v>
      </c>
    </row>
    <row r="1550">
      <c r="A1550" s="3" t="inlineStr">
        <is>
          <t>NCL.distn.dec.ove.mean.7</t>
        </is>
      </c>
      <c r="B1550" s="3" t="inlineStr">
        <is>
          <t>NCL</t>
        </is>
      </c>
      <c r="C1550" s="3" t="n">
        <v>2005</v>
      </c>
      <c r="D1550" s="3" t="inlineStr">
        <is>
          <t>Overall</t>
        </is>
      </c>
      <c r="E1550" s="3" t="inlineStr">
        <is>
          <t>Deciles</t>
        </is>
      </c>
      <c r="F1550" s="3" t="inlineStr">
        <is>
          <t>mean</t>
        </is>
      </c>
      <c r="G1550" s="3" t="n">
        <v>7</v>
      </c>
      <c r="H1550" s="3" t="n">
        <v>-0.7816170251115839</v>
      </c>
      <c r="I1550" s="3" t="n">
        <v>-0.7816170251115839</v>
      </c>
      <c r="J1550" s="3" t="n">
        <v>-0.8454680810583398</v>
      </c>
      <c r="K1550" s="3" t="n">
        <v>-0.8454680810583398</v>
      </c>
      <c r="L1550" s="3" t="n">
        <v>-0.7816170251115839</v>
      </c>
      <c r="M1550" s="3" t="n">
        <v>-0.7816170251115839</v>
      </c>
      <c r="N1550" s="3" t="n">
        <v>-0.7816170251115839</v>
      </c>
      <c r="O1550" s="3" t="n">
        <v>-0.7816170251115839</v>
      </c>
      <c r="P1550" s="3" t="n">
        <v>-0.7816170251115839</v>
      </c>
      <c r="Q1550" s="3" t="n">
        <v>-0.7816170251115839</v>
      </c>
      <c r="R1550" s="3" t="n">
        <v>-0.7697659489956308</v>
      </c>
      <c r="S1550" s="3" t="n">
        <v>-0.9595531871978272</v>
      </c>
      <c r="T1550" s="3" t="n">
        <v>-0.7081063859006191</v>
      </c>
      <c r="U1550" s="3" t="n">
        <v>-0.8454680810583398</v>
      </c>
      <c r="V1550" s="3" t="n">
        <v>-0.6750000017754575</v>
      </c>
      <c r="W1550" s="3" t="n">
        <v>-0.4799574455048176</v>
      </c>
      <c r="X1550" s="3" t="n">
        <v>-0.9571489362006492</v>
      </c>
      <c r="Y1550" s="3" t="n">
        <v>-0.7816170251115839</v>
      </c>
      <c r="Z1550" s="3" t="n">
        <v>-0.9595531871978272</v>
      </c>
      <c r="AA1550" s="3" t="n">
        <v>-0.9595531871978272</v>
      </c>
      <c r="AB1550" s="3" t="n">
        <v>-0.9571489362006492</v>
      </c>
      <c r="AC1550" s="3" t="n">
        <v>-1.025723396463597</v>
      </c>
      <c r="AD1550" s="3" t="n">
        <v>-0.8454680810583398</v>
      </c>
      <c r="AE1550" s="3" t="n">
        <v>-0.8454680810583398</v>
      </c>
    </row>
    <row r="1551">
      <c r="A1551" s="3" t="inlineStr">
        <is>
          <t>NCL.distn.dec.ove.mean.8</t>
        </is>
      </c>
      <c r="B1551" s="3" t="inlineStr">
        <is>
          <t>NCL</t>
        </is>
      </c>
      <c r="C1551" s="3" t="n">
        <v>2005</v>
      </c>
      <c r="D1551" s="3" t="inlineStr">
        <is>
          <t>Overall</t>
        </is>
      </c>
      <c r="E1551" s="3" t="inlineStr">
        <is>
          <t>Deciles</t>
        </is>
      </c>
      <c r="F1551" s="3" t="inlineStr">
        <is>
          <t>mean</t>
        </is>
      </c>
      <c r="G1551" s="3" t="n">
        <v>8</v>
      </c>
      <c r="H1551" s="3" t="n">
        <v>-0.7819935831617801</v>
      </c>
      <c r="I1551" s="3" t="n">
        <v>-0.7819935831617801</v>
      </c>
      <c r="J1551" s="3" t="n">
        <v>-0.8477488045996808</v>
      </c>
      <c r="K1551" s="3" t="n">
        <v>-0.8477488045996808</v>
      </c>
      <c r="L1551" s="3" t="n">
        <v>-0.7819935831617801</v>
      </c>
      <c r="M1551" s="3" t="n">
        <v>-0.7819935831617801</v>
      </c>
      <c r="N1551" s="3" t="n">
        <v>-0.7819935831617801</v>
      </c>
      <c r="O1551" s="3" t="n">
        <v>-0.7819935831617801</v>
      </c>
      <c r="P1551" s="3" t="n">
        <v>-0.7819935831617801</v>
      </c>
      <c r="Q1551" s="3" t="n">
        <v>-0.7819935831617801</v>
      </c>
      <c r="R1551" s="3" t="n">
        <v>-0.7700191178220384</v>
      </c>
      <c r="S1551" s="3" t="n">
        <v>-0.9684819490351575</v>
      </c>
      <c r="T1551" s="3" t="n">
        <v>-0.70814722142321</v>
      </c>
      <c r="U1551" s="3" t="n">
        <v>-0.8477488045996808</v>
      </c>
      <c r="V1551" s="3" t="n">
        <v>-0.6756977857427394</v>
      </c>
      <c r="W1551" s="3" t="n">
        <v>-0.4928101326556916</v>
      </c>
      <c r="X1551" s="3" t="n">
        <v>-0.9658704755154062</v>
      </c>
      <c r="Y1551" s="3" t="n">
        <v>-0.7819935831617801</v>
      </c>
      <c r="Z1551" s="3" t="n">
        <v>-0.9684819490351575</v>
      </c>
      <c r="AA1551" s="3" t="n">
        <v>-0.9684819490351575</v>
      </c>
      <c r="AB1551" s="3" t="n">
        <v>-0.9658704755154062</v>
      </c>
      <c r="AC1551" s="3" t="n">
        <v>-1.04035159628442</v>
      </c>
      <c r="AD1551" s="3" t="n">
        <v>-0.8477488045996808</v>
      </c>
      <c r="AE1551" s="3" t="n">
        <v>-0.8477488045996808</v>
      </c>
    </row>
    <row r="1552">
      <c r="A1552" s="3" t="inlineStr">
        <is>
          <t>NCL.distn.dec.ove.mean.9</t>
        </is>
      </c>
      <c r="B1552" s="3" t="inlineStr">
        <is>
          <t>NCL</t>
        </is>
      </c>
      <c r="C1552" s="3" t="n">
        <v>2005</v>
      </c>
      <c r="D1552" s="3" t="inlineStr">
        <is>
          <t>Overall</t>
        </is>
      </c>
      <c r="E1552" s="3" t="inlineStr">
        <is>
          <t>Deciles</t>
        </is>
      </c>
      <c r="F1552" s="3" t="inlineStr">
        <is>
          <t>mean</t>
        </is>
      </c>
      <c r="G1552" s="3" t="n">
        <v>9</v>
      </c>
      <c r="H1552" s="3" t="n">
        <v>-0.7819935831617801</v>
      </c>
      <c r="I1552" s="3" t="n">
        <v>-0.7819935831617801</v>
      </c>
      <c r="J1552" s="3" t="n">
        <v>-0.8477488045996808</v>
      </c>
      <c r="K1552" s="3" t="n">
        <v>-0.8477488045996808</v>
      </c>
      <c r="L1552" s="3" t="n">
        <v>-0.7819935831617801</v>
      </c>
      <c r="M1552" s="3" t="n">
        <v>-0.7819935831617801</v>
      </c>
      <c r="N1552" s="3" t="n">
        <v>-0.7819935831617801</v>
      </c>
      <c r="O1552" s="3" t="n">
        <v>-0.7819935831617801</v>
      </c>
      <c r="P1552" s="3" t="n">
        <v>-0.7819935831617801</v>
      </c>
      <c r="Q1552" s="3" t="n">
        <v>-0.7819935831617801</v>
      </c>
      <c r="R1552" s="3" t="n">
        <v>-0.7700191178220384</v>
      </c>
      <c r="S1552" s="3" t="n">
        <v>-0.9684819490351575</v>
      </c>
      <c r="T1552" s="3" t="n">
        <v>-0.70814722142321</v>
      </c>
      <c r="U1552" s="3" t="n">
        <v>-0.8477488045996808</v>
      </c>
      <c r="V1552" s="3" t="n">
        <v>-0.6756977857427394</v>
      </c>
      <c r="W1552" s="3" t="n">
        <v>-0.4928101326556916</v>
      </c>
      <c r="X1552" s="3" t="n">
        <v>-0.9658704755154062</v>
      </c>
      <c r="Y1552" s="3" t="n">
        <v>-0.7819935831617801</v>
      </c>
      <c r="Z1552" s="3" t="n">
        <v>-0.9684819490351575</v>
      </c>
      <c r="AA1552" s="3" t="n">
        <v>-0.9684819490351575</v>
      </c>
      <c r="AB1552" s="3" t="n">
        <v>-0.9658704755154062</v>
      </c>
      <c r="AC1552" s="3" t="n">
        <v>-1.04035159628442</v>
      </c>
      <c r="AD1552" s="3" t="n">
        <v>-0.8477488045996808</v>
      </c>
      <c r="AE1552" s="3" t="n">
        <v>-0.8477488045996808</v>
      </c>
    </row>
    <row r="1553">
      <c r="A1553" s="3" t="inlineStr">
        <is>
          <t>NCL.distn.dec.ove.mean.10</t>
        </is>
      </c>
      <c r="B1553" s="3" t="inlineStr">
        <is>
          <t>NCL</t>
        </is>
      </c>
      <c r="C1553" s="3" t="n">
        <v>2005</v>
      </c>
      <c r="D1553" s="3" t="inlineStr">
        <is>
          <t>Overall</t>
        </is>
      </c>
      <c r="E1553" s="3" t="inlineStr">
        <is>
          <t>Deciles</t>
        </is>
      </c>
      <c r="F1553" s="3" t="inlineStr">
        <is>
          <t>mean</t>
        </is>
      </c>
      <c r="G1553" s="3" t="n">
        <v>10</v>
      </c>
      <c r="H1553" s="3" t="n">
        <v>-0.7819935831617801</v>
      </c>
      <c r="I1553" s="3" t="n">
        <v>-0.7819935831617801</v>
      </c>
      <c r="J1553" s="3" t="n">
        <v>-0.8477488045996808</v>
      </c>
      <c r="K1553" s="3" t="n">
        <v>-0.8477488045996808</v>
      </c>
      <c r="L1553" s="3" t="n">
        <v>-0.7819935831617801</v>
      </c>
      <c r="M1553" s="3" t="n">
        <v>-0.7819935831617801</v>
      </c>
      <c r="N1553" s="3" t="n">
        <v>-0.7819935831617801</v>
      </c>
      <c r="O1553" s="3" t="n">
        <v>-0.7819935831617801</v>
      </c>
      <c r="P1553" s="3" t="n">
        <v>-0.7819935831617801</v>
      </c>
      <c r="Q1553" s="3" t="n">
        <v>-0.7819935831617801</v>
      </c>
      <c r="R1553" s="3" t="n">
        <v>-0.7700191178220384</v>
      </c>
      <c r="S1553" s="3" t="n">
        <v>-0.9684819490351575</v>
      </c>
      <c r="T1553" s="3" t="n">
        <v>-0.70814722142321</v>
      </c>
      <c r="U1553" s="3" t="n">
        <v>-0.8477488045996808</v>
      </c>
      <c r="V1553" s="3" t="n">
        <v>-0.6756977857427394</v>
      </c>
      <c r="W1553" s="3" t="n">
        <v>-0.4928101326556916</v>
      </c>
      <c r="X1553" s="3" t="n">
        <v>-0.9658704755154062</v>
      </c>
      <c r="Y1553" s="3" t="n">
        <v>-0.7819935831617801</v>
      </c>
      <c r="Z1553" s="3" t="n">
        <v>-0.9684819490351575</v>
      </c>
      <c r="AA1553" s="3" t="n">
        <v>-0.9684819490351575</v>
      </c>
      <c r="AB1553" s="3" t="n">
        <v>-0.9658704755154062</v>
      </c>
      <c r="AC1553" s="3" t="n">
        <v>-1.04035159628442</v>
      </c>
      <c r="AD1553" s="3" t="n">
        <v>-0.8477488045996808</v>
      </c>
      <c r="AE1553" s="3" t="n">
        <v>-0.8477488045996808</v>
      </c>
    </row>
    <row r="1554">
      <c r="A1554" s="3" t="inlineStr">
        <is>
          <t>NCL.distn.bkt.ove.mean.9999</t>
        </is>
      </c>
      <c r="B1554" s="3" t="inlineStr">
        <is>
          <t>NCL</t>
        </is>
      </c>
      <c r="C1554" s="3" t="n">
        <v>2005</v>
      </c>
      <c r="D1554" s="3" t="inlineStr">
        <is>
          <t>Overall</t>
        </is>
      </c>
      <c r="E1554" s="3" t="inlineStr">
        <is>
          <t>Basket</t>
        </is>
      </c>
      <c r="F1554" s="3" t="inlineStr">
        <is>
          <t>mean</t>
        </is>
      </c>
      <c r="G1554" s="3" t="n">
        <v>9999</v>
      </c>
      <c r="H1554" s="3" t="n">
        <v>-0.7836013613863194</v>
      </c>
      <c r="I1554" s="3" t="n">
        <v>-0.7836013613863194</v>
      </c>
      <c r="J1554" s="3" t="n">
        <v>-0.8590307616172953</v>
      </c>
      <c r="K1554" s="3" t="n">
        <v>-0.8590307616172953</v>
      </c>
      <c r="L1554" s="3" t="n">
        <v>-0.7836013613863194</v>
      </c>
      <c r="M1554" s="3" t="n">
        <v>-0.7836013613863194</v>
      </c>
      <c r="N1554" s="3" t="n">
        <v>-0.7836013613863194</v>
      </c>
      <c r="O1554" s="3" t="n">
        <v>-0.7836013613863194</v>
      </c>
      <c r="P1554" s="3" t="n">
        <v>-0.7836013613863194</v>
      </c>
      <c r="Q1554" s="3" t="n">
        <v>-0.7836013613863194</v>
      </c>
      <c r="R1554" s="3" t="n">
        <v>-0.7708828220976159</v>
      </c>
      <c r="S1554" s="3" t="n">
        <v>-1.097007578991829</v>
      </c>
      <c r="T1554" s="3" t="n">
        <v>-0.7085544974245923</v>
      </c>
      <c r="U1554" s="3" t="n">
        <v>-0.8590307616172953</v>
      </c>
      <c r="V1554" s="3" t="n">
        <v>-0.6772896647453308</v>
      </c>
      <c r="W1554" s="3" t="n">
        <v>-0.5109122699879586</v>
      </c>
      <c r="X1554" s="3" t="n">
        <v>-1.079493910708326</v>
      </c>
      <c r="Y1554" s="3" t="n">
        <v>-0.7836013613863194</v>
      </c>
      <c r="Z1554" s="3" t="n">
        <v>-1.097007578991829</v>
      </c>
      <c r="AA1554" s="3" t="n">
        <v>-1.097007578991829</v>
      </c>
      <c r="AB1554" s="3" t="n">
        <v>-1.079493910708326</v>
      </c>
      <c r="AC1554" s="3" t="n">
        <v>-1.359592239907447</v>
      </c>
      <c r="AD1554" s="3" t="n">
        <v>-0.8590307616172953</v>
      </c>
      <c r="AE1554" s="3" t="n">
        <v>-0.8590307616172953</v>
      </c>
    </row>
    <row r="1555">
      <c r="A1555" s="3" t="inlineStr">
        <is>
          <t>NER.distn.dec.ove.mean.1</t>
        </is>
      </c>
      <c r="B1555" s="3" t="inlineStr">
        <is>
          <t>NER</t>
        </is>
      </c>
      <c r="C1555" s="3" t="n">
        <v>2005</v>
      </c>
      <c r="D1555" s="3" t="inlineStr">
        <is>
          <t>Overall</t>
        </is>
      </c>
      <c r="E1555" s="3" t="inlineStr">
        <is>
          <t>Deciles</t>
        </is>
      </c>
      <c r="F1555" s="3" t="inlineStr">
        <is>
          <t>mean</t>
        </is>
      </c>
      <c r="G1555" s="3" t="n">
        <v>1</v>
      </c>
      <c r="H1555" s="3" t="n">
        <v>-0.7993287444114685</v>
      </c>
      <c r="I1555" s="3" t="n">
        <v>-0.7993287444114685</v>
      </c>
      <c r="J1555" s="3" t="n">
        <v>-0.9782710075378418</v>
      </c>
      <c r="K1555" s="3" t="n">
        <v>-0.9782710075378418</v>
      </c>
      <c r="L1555" s="3" t="n">
        <v>-0.7993287444114685</v>
      </c>
      <c r="M1555" s="3" t="n">
        <v>-0.7993287444114685</v>
      </c>
      <c r="N1555" s="3" t="n">
        <v>-0.7993287444114685</v>
      </c>
      <c r="O1555" s="3" t="n">
        <v>-0.7993287444114685</v>
      </c>
      <c r="P1555" s="3" t="n">
        <v>-0.7993287444114685</v>
      </c>
      <c r="Q1555" s="3" t="n">
        <v>-0.7993287444114685</v>
      </c>
      <c r="R1555" s="3" t="n">
        <v>-0.7794978022575378</v>
      </c>
      <c r="S1555" s="3" t="n">
        <v>-3.660195827484131</v>
      </c>
      <c r="T1555" s="3" t="n">
        <v>-0.7114566564559937</v>
      </c>
      <c r="U1555" s="3" t="n">
        <v>-0.9782710075378418</v>
      </c>
      <c r="V1555" s="3" t="n">
        <v>-0.6930474638938904</v>
      </c>
      <c r="W1555" s="3" t="n">
        <v>-0.7212399840354919</v>
      </c>
      <c r="X1555" s="3" t="n">
        <v>-3.346864938735962</v>
      </c>
      <c r="Y1555" s="3" t="n">
        <v>-0.7993287444114685</v>
      </c>
      <c r="Z1555" s="3" t="n">
        <v>-3.660195827484131</v>
      </c>
      <c r="AA1555" s="3" t="n">
        <v>-3.660195827484131</v>
      </c>
      <c r="AB1555" s="3" t="n">
        <v>-3.346864938735962</v>
      </c>
      <c r="AC1555" s="3" t="n">
        <v>-2.25709056854248</v>
      </c>
      <c r="AD1555" s="3" t="n">
        <v>-0.9782710075378418</v>
      </c>
      <c r="AE1555" s="3" t="n">
        <v>-0.9782710075378418</v>
      </c>
    </row>
    <row r="1556">
      <c r="A1556" s="3" t="inlineStr">
        <is>
          <t>NER.distn.dec.ove.mean.2</t>
        </is>
      </c>
      <c r="B1556" s="3" t="inlineStr">
        <is>
          <t>NER</t>
        </is>
      </c>
      <c r="C1556" s="3" t="n">
        <v>2005</v>
      </c>
      <c r="D1556" s="3" t="inlineStr">
        <is>
          <t>Overall</t>
        </is>
      </c>
      <c r="E1556" s="3" t="inlineStr">
        <is>
          <t>Deciles</t>
        </is>
      </c>
      <c r="F1556" s="3" t="inlineStr">
        <is>
          <t>mean</t>
        </is>
      </c>
      <c r="G1556" s="3" t="n">
        <v>2</v>
      </c>
      <c r="H1556" s="3" t="n">
        <v>-0.7993287444114685</v>
      </c>
      <c r="I1556" s="3" t="n">
        <v>-0.7993287444114685</v>
      </c>
      <c r="J1556" s="3" t="n">
        <v>-0.9782710075378418</v>
      </c>
      <c r="K1556" s="3" t="n">
        <v>-0.9782710075378418</v>
      </c>
      <c r="L1556" s="3" t="n">
        <v>-0.7993287444114685</v>
      </c>
      <c r="M1556" s="3" t="n">
        <v>-0.7993287444114685</v>
      </c>
      <c r="N1556" s="3" t="n">
        <v>-0.7993287444114685</v>
      </c>
      <c r="O1556" s="3" t="n">
        <v>-0.7993287444114685</v>
      </c>
      <c r="P1556" s="3" t="n">
        <v>-0.7993287444114685</v>
      </c>
      <c r="Q1556" s="3" t="n">
        <v>-0.7993287444114685</v>
      </c>
      <c r="R1556" s="3" t="n">
        <v>-0.7794978022575378</v>
      </c>
      <c r="S1556" s="3" t="n">
        <v>-3.660195827484131</v>
      </c>
      <c r="T1556" s="3" t="n">
        <v>-0.7114566564559937</v>
      </c>
      <c r="U1556" s="3" t="n">
        <v>-0.9782710075378418</v>
      </c>
      <c r="V1556" s="3" t="n">
        <v>-0.6930474638938904</v>
      </c>
      <c r="W1556" s="3" t="n">
        <v>-0.7212399840354919</v>
      </c>
      <c r="X1556" s="3" t="n">
        <v>-3.346864938735962</v>
      </c>
      <c r="Y1556" s="3" t="n">
        <v>-0.7993287444114685</v>
      </c>
      <c r="Z1556" s="3" t="n">
        <v>-3.660195827484131</v>
      </c>
      <c r="AA1556" s="3" t="n">
        <v>-3.660195827484131</v>
      </c>
      <c r="AB1556" s="3" t="n">
        <v>-3.346864938735962</v>
      </c>
      <c r="AC1556" s="3" t="n">
        <v>-2.25709056854248</v>
      </c>
      <c r="AD1556" s="3" t="n">
        <v>-0.9782710075378418</v>
      </c>
      <c r="AE1556" s="3" t="n">
        <v>-0.9782710075378418</v>
      </c>
    </row>
    <row r="1557">
      <c r="A1557" s="3" t="inlineStr">
        <is>
          <t>NER.distn.dec.ove.mean.3</t>
        </is>
      </c>
      <c r="B1557" s="3" t="inlineStr">
        <is>
          <t>NER</t>
        </is>
      </c>
      <c r="C1557" s="3" t="n">
        <v>2005</v>
      </c>
      <c r="D1557" s="3" t="inlineStr">
        <is>
          <t>Overall</t>
        </is>
      </c>
      <c r="E1557" s="3" t="inlineStr">
        <is>
          <t>Deciles</t>
        </is>
      </c>
      <c r="F1557" s="3" t="inlineStr">
        <is>
          <t>mean</t>
        </is>
      </c>
      <c r="G1557" s="3" t="n">
        <v>3</v>
      </c>
      <c r="H1557" s="3" t="n">
        <v>-0.7993287444114685</v>
      </c>
      <c r="I1557" s="3" t="n">
        <v>-0.7993287444114685</v>
      </c>
      <c r="J1557" s="3" t="n">
        <v>-0.9782710075378418</v>
      </c>
      <c r="K1557" s="3" t="n">
        <v>-0.9782710075378418</v>
      </c>
      <c r="L1557" s="3" t="n">
        <v>-0.7993287444114685</v>
      </c>
      <c r="M1557" s="3" t="n">
        <v>-0.7993287444114685</v>
      </c>
      <c r="N1557" s="3" t="n">
        <v>-0.7993287444114685</v>
      </c>
      <c r="O1557" s="3" t="n">
        <v>-0.7993287444114685</v>
      </c>
      <c r="P1557" s="3" t="n">
        <v>-0.7993287444114685</v>
      </c>
      <c r="Q1557" s="3" t="n">
        <v>-0.7993287444114685</v>
      </c>
      <c r="R1557" s="3" t="n">
        <v>-0.7794978022575378</v>
      </c>
      <c r="S1557" s="3" t="n">
        <v>-3.660195827484131</v>
      </c>
      <c r="T1557" s="3" t="n">
        <v>-0.7114566564559937</v>
      </c>
      <c r="U1557" s="3" t="n">
        <v>-0.9782710075378418</v>
      </c>
      <c r="V1557" s="3" t="n">
        <v>-0.6930474638938904</v>
      </c>
      <c r="W1557" s="3" t="n">
        <v>-0.7212399840354919</v>
      </c>
      <c r="X1557" s="3" t="n">
        <v>-3.346864938735962</v>
      </c>
      <c r="Y1557" s="3" t="n">
        <v>-0.7993287444114685</v>
      </c>
      <c r="Z1557" s="3" t="n">
        <v>-3.660195827484131</v>
      </c>
      <c r="AA1557" s="3" t="n">
        <v>-3.660195827484131</v>
      </c>
      <c r="AB1557" s="3" t="n">
        <v>-3.346864938735962</v>
      </c>
      <c r="AC1557" s="3" t="n">
        <v>-2.25709056854248</v>
      </c>
      <c r="AD1557" s="3" t="n">
        <v>-0.9782710075378418</v>
      </c>
      <c r="AE1557" s="3" t="n">
        <v>-0.9782710075378418</v>
      </c>
    </row>
    <row r="1558">
      <c r="A1558" s="3" t="inlineStr">
        <is>
          <t>NER.distn.dec.ove.mean.4</t>
        </is>
      </c>
      <c r="B1558" s="3" t="inlineStr">
        <is>
          <t>NER</t>
        </is>
      </c>
      <c r="C1558" s="3" t="n">
        <v>2005</v>
      </c>
      <c r="D1558" s="3" t="inlineStr">
        <is>
          <t>Overall</t>
        </is>
      </c>
      <c r="E1558" s="3" t="inlineStr">
        <is>
          <t>Deciles</t>
        </is>
      </c>
      <c r="F1558" s="3" t="inlineStr">
        <is>
          <t>mean</t>
        </is>
      </c>
      <c r="G1558" s="3" t="n">
        <v>4</v>
      </c>
      <c r="H1558" s="3" t="n">
        <v>-0.7929999828338623</v>
      </c>
      <c r="I1558" s="3" t="n">
        <v>-0.7929999828338623</v>
      </c>
      <c r="J1558" s="3" t="n">
        <v>-0.9309999942779541</v>
      </c>
      <c r="K1558" s="3" t="n">
        <v>-0.9309999942779541</v>
      </c>
      <c r="L1558" s="3" t="n">
        <v>-0.7929999828338623</v>
      </c>
      <c r="M1558" s="3" t="n">
        <v>-0.7929999828338623</v>
      </c>
      <c r="N1558" s="3" t="n">
        <v>-0.7929999828338623</v>
      </c>
      <c r="O1558" s="3" t="n">
        <v>-0.7929999828338623</v>
      </c>
      <c r="P1558" s="3" t="n">
        <v>-0.7929999828338623</v>
      </c>
      <c r="Q1558" s="3" t="n">
        <v>-0.7929999828338623</v>
      </c>
      <c r="R1558" s="3" t="n">
        <v>-0.7760000228881836</v>
      </c>
      <c r="S1558" s="3" t="n">
        <v>-2.493000030517578</v>
      </c>
      <c r="T1558" s="3" t="n">
        <v>-0.7099999785423279</v>
      </c>
      <c r="U1558" s="3" t="n">
        <v>-0.9309999942779541</v>
      </c>
      <c r="V1558" s="3" t="n">
        <v>-0.6859999895095825</v>
      </c>
      <c r="W1558" s="3" t="n">
        <v>-0.6069999933242798</v>
      </c>
      <c r="X1558" s="3" t="n">
        <v>-2.361999988555908</v>
      </c>
      <c r="Y1558" s="3" t="n">
        <v>-0.7929999828338623</v>
      </c>
      <c r="Z1558" s="3" t="n">
        <v>-2.493000030517578</v>
      </c>
      <c r="AA1558" s="3" t="n">
        <v>-2.493000030517578</v>
      </c>
      <c r="AB1558" s="3" t="n">
        <v>-2.361999988555908</v>
      </c>
      <c r="AC1558" s="3" t="n">
        <v>-1.090000033378601</v>
      </c>
      <c r="AD1558" s="3" t="n">
        <v>-0.9309999942779541</v>
      </c>
      <c r="AE1558" s="3" t="n">
        <v>-0.9309999942779541</v>
      </c>
    </row>
    <row r="1559">
      <c r="A1559" s="3" t="inlineStr">
        <is>
          <t>NER.distn.dec.ove.mean.5</t>
        </is>
      </c>
      <c r="B1559" s="3" t="inlineStr">
        <is>
          <t>NER</t>
        </is>
      </c>
      <c r="C1559" s="3" t="n">
        <v>2005</v>
      </c>
      <c r="D1559" s="3" t="inlineStr">
        <is>
          <t>Overall</t>
        </is>
      </c>
      <c r="E1559" s="3" t="inlineStr">
        <is>
          <t>Deciles</t>
        </is>
      </c>
      <c r="F1559" s="3" t="inlineStr">
        <is>
          <t>mean</t>
        </is>
      </c>
      <c r="G1559" s="3" t="n">
        <v>5</v>
      </c>
      <c r="H1559" s="3" t="n">
        <v>-0.7929999828338623</v>
      </c>
      <c r="I1559" s="3" t="n">
        <v>-0.7929999828338623</v>
      </c>
      <c r="J1559" s="3" t="n">
        <v>-0.9309999942779541</v>
      </c>
      <c r="K1559" s="3" t="n">
        <v>-0.9309999942779541</v>
      </c>
      <c r="L1559" s="3" t="n">
        <v>-0.7929999828338623</v>
      </c>
      <c r="M1559" s="3" t="n">
        <v>-0.7929999828338623</v>
      </c>
      <c r="N1559" s="3" t="n">
        <v>-0.7929999828338623</v>
      </c>
      <c r="O1559" s="3" t="n">
        <v>-0.7929999828338623</v>
      </c>
      <c r="P1559" s="3" t="n">
        <v>-0.7929999828338623</v>
      </c>
      <c r="Q1559" s="3" t="n">
        <v>-0.7929999828338623</v>
      </c>
      <c r="R1559" s="3" t="n">
        <v>-0.7760000228881836</v>
      </c>
      <c r="S1559" s="3" t="n">
        <v>-2.493000030517578</v>
      </c>
      <c r="T1559" s="3" t="n">
        <v>-0.7099999785423279</v>
      </c>
      <c r="U1559" s="3" t="n">
        <v>-0.9309999942779541</v>
      </c>
      <c r="V1559" s="3" t="n">
        <v>-0.6859999895095825</v>
      </c>
      <c r="W1559" s="3" t="n">
        <v>-0.6069999933242798</v>
      </c>
      <c r="X1559" s="3" t="n">
        <v>-2.361999988555908</v>
      </c>
      <c r="Y1559" s="3" t="n">
        <v>-0.7929999828338623</v>
      </c>
      <c r="Z1559" s="3" t="n">
        <v>-2.493000030517578</v>
      </c>
      <c r="AA1559" s="3" t="n">
        <v>-2.493000030517578</v>
      </c>
      <c r="AB1559" s="3" t="n">
        <v>-2.361999988555908</v>
      </c>
      <c r="AC1559" s="3" t="n">
        <v>-1.090000033378601</v>
      </c>
      <c r="AD1559" s="3" t="n">
        <v>-0.9309999942779541</v>
      </c>
      <c r="AE1559" s="3" t="n">
        <v>-0.9309999942779541</v>
      </c>
    </row>
    <row r="1560">
      <c r="A1560" s="3" t="inlineStr">
        <is>
          <t>NER.distn.dec.ove.mean.6</t>
        </is>
      </c>
      <c r="B1560" s="3" t="inlineStr">
        <is>
          <t>NER</t>
        </is>
      </c>
      <c r="C1560" s="3" t="n">
        <v>2005</v>
      </c>
      <c r="D1560" s="3" t="inlineStr">
        <is>
          <t>Overall</t>
        </is>
      </c>
      <c r="E1560" s="3" t="inlineStr">
        <is>
          <t>Deciles</t>
        </is>
      </c>
      <c r="F1560" s="3" t="inlineStr">
        <is>
          <t>mean</t>
        </is>
      </c>
      <c r="G1560" s="3" t="n">
        <v>6</v>
      </c>
      <c r="H1560" s="3" t="n">
        <v>-0.7929999828338623</v>
      </c>
      <c r="I1560" s="3" t="n">
        <v>-0.7929999828338623</v>
      </c>
      <c r="J1560" s="3" t="n">
        <v>-0.9309999942779541</v>
      </c>
      <c r="K1560" s="3" t="n">
        <v>-0.9309999942779541</v>
      </c>
      <c r="L1560" s="3" t="n">
        <v>-0.7929999828338623</v>
      </c>
      <c r="M1560" s="3" t="n">
        <v>-0.7929999828338623</v>
      </c>
      <c r="N1560" s="3" t="n">
        <v>-0.7929999828338623</v>
      </c>
      <c r="O1560" s="3" t="n">
        <v>-0.7929999828338623</v>
      </c>
      <c r="P1560" s="3" t="n">
        <v>-0.7929999828338623</v>
      </c>
      <c r="Q1560" s="3" t="n">
        <v>-0.7929999828338623</v>
      </c>
      <c r="R1560" s="3" t="n">
        <v>-0.7760000228881836</v>
      </c>
      <c r="S1560" s="3" t="n">
        <v>-2.493000030517578</v>
      </c>
      <c r="T1560" s="3" t="n">
        <v>-0.7099999785423279</v>
      </c>
      <c r="U1560" s="3" t="n">
        <v>-0.9309999942779541</v>
      </c>
      <c r="V1560" s="3" t="n">
        <v>-0.6859999895095825</v>
      </c>
      <c r="W1560" s="3" t="n">
        <v>-0.6069999933242798</v>
      </c>
      <c r="X1560" s="3" t="n">
        <v>-2.361999988555908</v>
      </c>
      <c r="Y1560" s="3" t="n">
        <v>-0.7929999828338623</v>
      </c>
      <c r="Z1560" s="3" t="n">
        <v>-2.493000030517578</v>
      </c>
      <c r="AA1560" s="3" t="n">
        <v>-2.493000030517578</v>
      </c>
      <c r="AB1560" s="3" t="n">
        <v>-2.361999988555908</v>
      </c>
      <c r="AC1560" s="3" t="n">
        <v>-1.090000033378601</v>
      </c>
      <c r="AD1560" s="3" t="n">
        <v>-0.9309999942779541</v>
      </c>
      <c r="AE1560" s="3" t="n">
        <v>-0.9309999942779541</v>
      </c>
    </row>
    <row r="1561">
      <c r="A1561" s="3" t="inlineStr">
        <is>
          <t>NER.distn.dec.ove.mean.7</t>
        </is>
      </c>
      <c r="B1561" s="3" t="inlineStr">
        <is>
          <t>NER</t>
        </is>
      </c>
      <c r="C1561" s="3" t="n">
        <v>2005</v>
      </c>
      <c r="D1561" s="3" t="inlineStr">
        <is>
          <t>Overall</t>
        </is>
      </c>
      <c r="E1561" s="3" t="inlineStr">
        <is>
          <t>Deciles</t>
        </is>
      </c>
      <c r="F1561" s="3" t="inlineStr">
        <is>
          <t>mean</t>
        </is>
      </c>
      <c r="G1561" s="3" t="n">
        <v>7</v>
      </c>
      <c r="H1561" s="3" t="n">
        <v>-0.7929999828338623</v>
      </c>
      <c r="I1561" s="3" t="n">
        <v>-0.7929999828338623</v>
      </c>
      <c r="J1561" s="3" t="n">
        <v>-0.9309999942779541</v>
      </c>
      <c r="K1561" s="3" t="n">
        <v>-0.9309999942779541</v>
      </c>
      <c r="L1561" s="3" t="n">
        <v>-0.7929999828338623</v>
      </c>
      <c r="M1561" s="3" t="n">
        <v>-0.7929999828338623</v>
      </c>
      <c r="N1561" s="3" t="n">
        <v>-0.7929999828338623</v>
      </c>
      <c r="O1561" s="3" t="n">
        <v>-0.7929999828338623</v>
      </c>
      <c r="P1561" s="3" t="n">
        <v>-0.7929999828338623</v>
      </c>
      <c r="Q1561" s="3" t="n">
        <v>-0.7929999828338623</v>
      </c>
      <c r="R1561" s="3" t="n">
        <v>-0.7760000228881836</v>
      </c>
      <c r="S1561" s="3" t="n">
        <v>-2.493000030517578</v>
      </c>
      <c r="T1561" s="3" t="n">
        <v>-0.7099999785423279</v>
      </c>
      <c r="U1561" s="3" t="n">
        <v>-0.9309999942779541</v>
      </c>
      <c r="V1561" s="3" t="n">
        <v>-0.6859999895095825</v>
      </c>
      <c r="W1561" s="3" t="n">
        <v>-0.6069999933242798</v>
      </c>
      <c r="X1561" s="3" t="n">
        <v>-2.361999988555908</v>
      </c>
      <c r="Y1561" s="3" t="n">
        <v>-0.7929999828338623</v>
      </c>
      <c r="Z1561" s="3" t="n">
        <v>-2.493000030517578</v>
      </c>
      <c r="AA1561" s="3" t="n">
        <v>-2.493000030517578</v>
      </c>
      <c r="AB1561" s="3" t="n">
        <v>-2.361999988555908</v>
      </c>
      <c r="AC1561" s="3" t="n">
        <v>-1.090000033378601</v>
      </c>
      <c r="AD1561" s="3" t="n">
        <v>-0.9309999942779541</v>
      </c>
      <c r="AE1561" s="3" t="n">
        <v>-0.9309999942779541</v>
      </c>
    </row>
    <row r="1562">
      <c r="A1562" s="3" t="inlineStr">
        <is>
          <t>NER.distn.dec.ove.mean.8</t>
        </is>
      </c>
      <c r="B1562" s="3" t="inlineStr">
        <is>
          <t>NER</t>
        </is>
      </c>
      <c r="C1562" s="3" t="n">
        <v>2005</v>
      </c>
      <c r="D1562" s="3" t="inlineStr">
        <is>
          <t>Overall</t>
        </is>
      </c>
      <c r="E1562" s="3" t="inlineStr">
        <is>
          <t>Deciles</t>
        </is>
      </c>
      <c r="F1562" s="3" t="inlineStr">
        <is>
          <t>mean</t>
        </is>
      </c>
      <c r="G1562" s="3" t="n">
        <v>8</v>
      </c>
      <c r="H1562" s="3" t="n">
        <v>-0.7933820486068726</v>
      </c>
      <c r="I1562" s="3" t="n">
        <v>-0.7933820486068726</v>
      </c>
      <c r="J1562" s="3" t="n">
        <v>-0.9335114359855652</v>
      </c>
      <c r="K1562" s="3" t="n">
        <v>-0.9335114359855652</v>
      </c>
      <c r="L1562" s="3" t="n">
        <v>-0.7933820486068726</v>
      </c>
      <c r="M1562" s="3" t="n">
        <v>-0.7933820486068726</v>
      </c>
      <c r="N1562" s="3" t="n">
        <v>-0.7933820486068726</v>
      </c>
      <c r="O1562" s="3" t="n">
        <v>-0.7933820486068726</v>
      </c>
      <c r="P1562" s="3" t="n">
        <v>-0.7933820486068726</v>
      </c>
      <c r="Q1562" s="3" t="n">
        <v>-0.7933820486068726</v>
      </c>
      <c r="R1562" s="3" t="n">
        <v>-0.776255190372467</v>
      </c>
      <c r="S1562" s="3" t="n">
        <v>-2.516197681427002</v>
      </c>
      <c r="T1562" s="3" t="n">
        <v>-0.7100409269332886</v>
      </c>
      <c r="U1562" s="3" t="n">
        <v>-0.9335114359855652</v>
      </c>
      <c r="V1562" s="3" t="n">
        <v>-0.6867091655731201</v>
      </c>
      <c r="W1562" s="3" t="n">
        <v>-0.6232547163963318</v>
      </c>
      <c r="X1562" s="3" t="n">
        <v>-2.383522510528564</v>
      </c>
      <c r="Y1562" s="3" t="n">
        <v>-0.7933820486068726</v>
      </c>
      <c r="Z1562" s="3" t="n">
        <v>-2.516197681427002</v>
      </c>
      <c r="AA1562" s="3" t="n">
        <v>-2.516197681427002</v>
      </c>
      <c r="AB1562" s="3" t="n">
        <v>-2.383522510528564</v>
      </c>
      <c r="AC1562" s="3" t="n">
        <v>-1.105544805526733</v>
      </c>
      <c r="AD1562" s="3" t="n">
        <v>-0.9335114359855652</v>
      </c>
      <c r="AE1562" s="3" t="n">
        <v>-0.9335114359855652</v>
      </c>
    </row>
    <row r="1563">
      <c r="A1563" s="3" t="inlineStr">
        <is>
          <t>NER.distn.dec.ove.mean.9</t>
        </is>
      </c>
      <c r="B1563" s="3" t="inlineStr">
        <is>
          <t>NER</t>
        </is>
      </c>
      <c r="C1563" s="3" t="n">
        <v>2005</v>
      </c>
      <c r="D1563" s="3" t="inlineStr">
        <is>
          <t>Overall</t>
        </is>
      </c>
      <c r="E1563" s="3" t="inlineStr">
        <is>
          <t>Deciles</t>
        </is>
      </c>
      <c r="F1563" s="3" t="inlineStr">
        <is>
          <t>mean</t>
        </is>
      </c>
      <c r="G1563" s="3" t="n">
        <v>9</v>
      </c>
      <c r="H1563" s="3" t="n">
        <v>-0.7933820486068726</v>
      </c>
      <c r="I1563" s="3" t="n">
        <v>-0.7933820486068726</v>
      </c>
      <c r="J1563" s="3" t="n">
        <v>-0.9335114359855652</v>
      </c>
      <c r="K1563" s="3" t="n">
        <v>-0.9335114359855652</v>
      </c>
      <c r="L1563" s="3" t="n">
        <v>-0.7933820486068726</v>
      </c>
      <c r="M1563" s="3" t="n">
        <v>-0.7933820486068726</v>
      </c>
      <c r="N1563" s="3" t="n">
        <v>-0.7933820486068726</v>
      </c>
      <c r="O1563" s="3" t="n">
        <v>-0.7933820486068726</v>
      </c>
      <c r="P1563" s="3" t="n">
        <v>-0.7933820486068726</v>
      </c>
      <c r="Q1563" s="3" t="n">
        <v>-0.7933820486068726</v>
      </c>
      <c r="R1563" s="3" t="n">
        <v>-0.776255190372467</v>
      </c>
      <c r="S1563" s="3" t="n">
        <v>-2.516197681427002</v>
      </c>
      <c r="T1563" s="3" t="n">
        <v>-0.7100409269332886</v>
      </c>
      <c r="U1563" s="3" t="n">
        <v>-0.9335114359855652</v>
      </c>
      <c r="V1563" s="3" t="n">
        <v>-0.6867091655731201</v>
      </c>
      <c r="W1563" s="3" t="n">
        <v>-0.6232547163963318</v>
      </c>
      <c r="X1563" s="3" t="n">
        <v>-2.383522510528564</v>
      </c>
      <c r="Y1563" s="3" t="n">
        <v>-0.7933820486068726</v>
      </c>
      <c r="Z1563" s="3" t="n">
        <v>-2.516197681427002</v>
      </c>
      <c r="AA1563" s="3" t="n">
        <v>-2.516197681427002</v>
      </c>
      <c r="AB1563" s="3" t="n">
        <v>-2.383522510528564</v>
      </c>
      <c r="AC1563" s="3" t="n">
        <v>-1.105544805526733</v>
      </c>
      <c r="AD1563" s="3" t="n">
        <v>-0.9335114359855652</v>
      </c>
      <c r="AE1563" s="3" t="n">
        <v>-0.9335114359855652</v>
      </c>
    </row>
    <row r="1564">
      <c r="A1564" s="3" t="inlineStr">
        <is>
          <t>NER.distn.dec.ove.mean.10</t>
        </is>
      </c>
      <c r="B1564" s="3" t="inlineStr">
        <is>
          <t>NER</t>
        </is>
      </c>
      <c r="C1564" s="3" t="n">
        <v>2005</v>
      </c>
      <c r="D1564" s="3" t="inlineStr">
        <is>
          <t>Overall</t>
        </is>
      </c>
      <c r="E1564" s="3" t="inlineStr">
        <is>
          <t>Deciles</t>
        </is>
      </c>
      <c r="F1564" s="3" t="inlineStr">
        <is>
          <t>mean</t>
        </is>
      </c>
      <c r="G1564" s="3" t="n">
        <v>10</v>
      </c>
      <c r="H1564" s="3" t="n">
        <v>-0.7933820486068726</v>
      </c>
      <c r="I1564" s="3" t="n">
        <v>-0.7933820486068726</v>
      </c>
      <c r="J1564" s="3" t="n">
        <v>-0.9335114359855652</v>
      </c>
      <c r="K1564" s="3" t="n">
        <v>-0.9335114359855652</v>
      </c>
      <c r="L1564" s="3" t="n">
        <v>-0.7933820486068726</v>
      </c>
      <c r="M1564" s="3" t="n">
        <v>-0.7933820486068726</v>
      </c>
      <c r="N1564" s="3" t="n">
        <v>-0.7933820486068726</v>
      </c>
      <c r="O1564" s="3" t="n">
        <v>-0.7933820486068726</v>
      </c>
      <c r="P1564" s="3" t="n">
        <v>-0.7933820486068726</v>
      </c>
      <c r="Q1564" s="3" t="n">
        <v>-0.7933820486068726</v>
      </c>
      <c r="R1564" s="3" t="n">
        <v>-0.776255190372467</v>
      </c>
      <c r="S1564" s="3" t="n">
        <v>-2.516197681427002</v>
      </c>
      <c r="T1564" s="3" t="n">
        <v>-0.7100409269332886</v>
      </c>
      <c r="U1564" s="3" t="n">
        <v>-0.9335114359855652</v>
      </c>
      <c r="V1564" s="3" t="n">
        <v>-0.6867091655731201</v>
      </c>
      <c r="W1564" s="3" t="n">
        <v>-0.6232547163963318</v>
      </c>
      <c r="X1564" s="3" t="n">
        <v>-2.383522510528564</v>
      </c>
      <c r="Y1564" s="3" t="n">
        <v>-0.7933820486068726</v>
      </c>
      <c r="Z1564" s="3" t="n">
        <v>-2.516197681427002</v>
      </c>
      <c r="AA1564" s="3" t="n">
        <v>-2.516197681427002</v>
      </c>
      <c r="AB1564" s="3" t="n">
        <v>-2.383522510528564</v>
      </c>
      <c r="AC1564" s="3" t="n">
        <v>-1.105544805526733</v>
      </c>
      <c r="AD1564" s="3" t="n">
        <v>-0.9335114359855652</v>
      </c>
      <c r="AE1564" s="3" t="n">
        <v>-0.9335114359855652</v>
      </c>
    </row>
    <row r="1565">
      <c r="A1565" s="3" t="inlineStr">
        <is>
          <t>NER.distn.bkt.ove.mean.9999</t>
        </is>
      </c>
      <c r="B1565" s="3" t="inlineStr">
        <is>
          <t>NER</t>
        </is>
      </c>
      <c r="C1565" s="3" t="n">
        <v>2005</v>
      </c>
      <c r="D1565" s="3" t="inlineStr">
        <is>
          <t>Overall</t>
        </is>
      </c>
      <c r="E1565" s="3" t="inlineStr">
        <is>
          <t>Basket</t>
        </is>
      </c>
      <c r="F1565" s="3" t="inlineStr">
        <is>
          <t>mean</t>
        </is>
      </c>
      <c r="G1565" s="3" t="n">
        <v>9999</v>
      </c>
      <c r="H1565" s="3" t="n">
        <v>-0.7950132489204407</v>
      </c>
      <c r="I1565" s="3" t="n">
        <v>-0.7950132489204407</v>
      </c>
      <c r="J1565" s="3" t="n">
        <v>-0.9459347128868103</v>
      </c>
      <c r="K1565" s="3" t="n">
        <v>-0.9459347128868103</v>
      </c>
      <c r="L1565" s="3" t="n">
        <v>-0.7950132489204407</v>
      </c>
      <c r="M1565" s="3" t="n">
        <v>-0.7950132489204407</v>
      </c>
      <c r="N1565" s="3" t="n">
        <v>-0.7950132489204407</v>
      </c>
      <c r="O1565" s="3" t="n">
        <v>-0.7950132489204407</v>
      </c>
      <c r="P1565" s="3" t="n">
        <v>-0.7950132489204407</v>
      </c>
      <c r="Q1565" s="3" t="n">
        <v>-0.7950132489204407</v>
      </c>
      <c r="R1565" s="3" t="n">
        <v>-0.7771258950233459</v>
      </c>
      <c r="S1565" s="3" t="n">
        <v>-2.850118160247803</v>
      </c>
      <c r="T1565" s="3" t="n">
        <v>-0.7104492783546448</v>
      </c>
      <c r="U1565" s="3" t="n">
        <v>-0.9459347128868103</v>
      </c>
      <c r="V1565" s="3" t="n">
        <v>-0.6883269548416138</v>
      </c>
      <c r="W1565" s="3" t="n">
        <v>-0.6461483836174011</v>
      </c>
      <c r="X1565" s="3" t="n">
        <v>-2.663916110992432</v>
      </c>
      <c r="Y1565" s="3" t="n">
        <v>-0.7950132489204407</v>
      </c>
      <c r="Z1565" s="3" t="n">
        <v>-2.850118160247803</v>
      </c>
      <c r="AA1565" s="3" t="n">
        <v>-2.850118160247803</v>
      </c>
      <c r="AB1565" s="3" t="n">
        <v>-2.663916110992432</v>
      </c>
      <c r="AC1565" s="3" t="n">
        <v>-1.444790601730347</v>
      </c>
      <c r="AD1565" s="3" t="n">
        <v>-0.9459347128868103</v>
      </c>
      <c r="AE1565" s="3" t="n">
        <v>-0.9459347128868103</v>
      </c>
    </row>
    <row r="1566">
      <c r="A1566" s="3" t="inlineStr">
        <is>
          <t>NGA.distn.dec.ove.mean.1</t>
        </is>
      </c>
      <c r="B1566" s="3" t="inlineStr">
        <is>
          <t>NGA</t>
        </is>
      </c>
      <c r="C1566" s="3" t="n">
        <v>2005</v>
      </c>
      <c r="D1566" s="3" t="inlineStr">
        <is>
          <t>Overall</t>
        </is>
      </c>
      <c r="E1566" s="3" t="inlineStr">
        <is>
          <t>Deciles</t>
        </is>
      </c>
      <c r="F1566" s="3" t="inlineStr">
        <is>
          <t>mean</t>
        </is>
      </c>
      <c r="G1566" s="3" t="n">
        <v>1</v>
      </c>
      <c r="H1566" s="3" t="n">
        <v>-0.7942888140678406</v>
      </c>
      <c r="I1566" s="3" t="n">
        <v>-0.7942888140678406</v>
      </c>
      <c r="J1566" s="3" t="n">
        <v>-0.9341384768486023</v>
      </c>
      <c r="K1566" s="3" t="n">
        <v>-0.9341384768486023</v>
      </c>
      <c r="L1566" s="3" t="n">
        <v>-0.7942888140678406</v>
      </c>
      <c r="M1566" s="3" t="n">
        <v>-0.7942888140678406</v>
      </c>
      <c r="N1566" s="3" t="n">
        <v>-0.7942888140678406</v>
      </c>
      <c r="O1566" s="3" t="n">
        <v>-0.7942888140678406</v>
      </c>
      <c r="P1566" s="3" t="n">
        <v>-0.7942888140678406</v>
      </c>
      <c r="Q1566" s="3" t="n">
        <v>-0.7942888140678406</v>
      </c>
      <c r="R1566" s="3" t="n">
        <v>-0.7764842510223389</v>
      </c>
      <c r="S1566" s="3" t="n">
        <v>-1.826427459716797</v>
      </c>
      <c r="T1566" s="3" t="n">
        <v>-0.7114566564559937</v>
      </c>
      <c r="U1566" s="3" t="n">
        <v>-0.9341384768486023</v>
      </c>
      <c r="V1566" s="3" t="n">
        <v>-0.6900166273117065</v>
      </c>
      <c r="W1566" s="3" t="n">
        <v>-0.6891584992408752</v>
      </c>
      <c r="X1566" s="3" t="n">
        <v>-1.745697617530823</v>
      </c>
      <c r="Y1566" s="3" t="n">
        <v>-0.7942888140678406</v>
      </c>
      <c r="Z1566" s="3" t="n">
        <v>-1.826427459716797</v>
      </c>
      <c r="AA1566" s="3" t="n">
        <v>-1.826427459716797</v>
      </c>
      <c r="AB1566" s="3" t="n">
        <v>-1.745697617530823</v>
      </c>
      <c r="AC1566" s="3" t="n">
        <v>-3.665183782577515</v>
      </c>
      <c r="AD1566" s="3" t="n">
        <v>-0.9341384768486023</v>
      </c>
      <c r="AE1566" s="3" t="n">
        <v>-0.9341384768486023</v>
      </c>
    </row>
    <row r="1567">
      <c r="A1567" s="3" t="inlineStr">
        <is>
          <t>NGA.distn.dec.ove.mean.2</t>
        </is>
      </c>
      <c r="B1567" s="3" t="inlineStr">
        <is>
          <t>NGA</t>
        </is>
      </c>
      <c r="C1567" s="3" t="n">
        <v>2005</v>
      </c>
      <c r="D1567" s="3" t="inlineStr">
        <is>
          <t>Overall</t>
        </is>
      </c>
      <c r="E1567" s="3" t="inlineStr">
        <is>
          <t>Deciles</t>
        </is>
      </c>
      <c r="F1567" s="3" t="inlineStr">
        <is>
          <t>mean</t>
        </is>
      </c>
      <c r="G1567" s="3" t="n">
        <v>2</v>
      </c>
      <c r="H1567" s="3" t="n">
        <v>-0.7942888140678406</v>
      </c>
      <c r="I1567" s="3" t="n">
        <v>-0.7942888140678406</v>
      </c>
      <c r="J1567" s="3" t="n">
        <v>-0.9341384768486023</v>
      </c>
      <c r="K1567" s="3" t="n">
        <v>-0.9341384768486023</v>
      </c>
      <c r="L1567" s="3" t="n">
        <v>-0.7942888140678406</v>
      </c>
      <c r="M1567" s="3" t="n">
        <v>-0.7942888140678406</v>
      </c>
      <c r="N1567" s="3" t="n">
        <v>-0.7942888140678406</v>
      </c>
      <c r="O1567" s="3" t="n">
        <v>-0.7942888140678406</v>
      </c>
      <c r="P1567" s="3" t="n">
        <v>-0.7942888140678406</v>
      </c>
      <c r="Q1567" s="3" t="n">
        <v>-0.7942888140678406</v>
      </c>
      <c r="R1567" s="3" t="n">
        <v>-0.7764842510223389</v>
      </c>
      <c r="S1567" s="3" t="n">
        <v>-1.826427459716797</v>
      </c>
      <c r="T1567" s="3" t="n">
        <v>-0.7114566564559937</v>
      </c>
      <c r="U1567" s="3" t="n">
        <v>-0.9341384768486023</v>
      </c>
      <c r="V1567" s="3" t="n">
        <v>-0.6900166273117065</v>
      </c>
      <c r="W1567" s="3" t="n">
        <v>-0.6891584992408752</v>
      </c>
      <c r="X1567" s="3" t="n">
        <v>-1.745697617530823</v>
      </c>
      <c r="Y1567" s="3" t="n">
        <v>-0.7942888140678406</v>
      </c>
      <c r="Z1567" s="3" t="n">
        <v>-1.826427459716797</v>
      </c>
      <c r="AA1567" s="3" t="n">
        <v>-1.826427459716797</v>
      </c>
      <c r="AB1567" s="3" t="n">
        <v>-1.745697617530823</v>
      </c>
      <c r="AC1567" s="3" t="n">
        <v>-3.665183782577515</v>
      </c>
      <c r="AD1567" s="3" t="n">
        <v>-0.9341384768486023</v>
      </c>
      <c r="AE1567" s="3" t="n">
        <v>-0.9341384768486023</v>
      </c>
    </row>
    <row r="1568">
      <c r="A1568" s="3" t="inlineStr">
        <is>
          <t>NGA.distn.dec.ove.mean.3</t>
        </is>
      </c>
      <c r="B1568" s="3" t="inlineStr">
        <is>
          <t>NGA</t>
        </is>
      </c>
      <c r="C1568" s="3" t="n">
        <v>2005</v>
      </c>
      <c r="D1568" s="3" t="inlineStr">
        <is>
          <t>Overall</t>
        </is>
      </c>
      <c r="E1568" s="3" t="inlineStr">
        <is>
          <t>Deciles</t>
        </is>
      </c>
      <c r="F1568" s="3" t="inlineStr">
        <is>
          <t>mean</t>
        </is>
      </c>
      <c r="G1568" s="3" t="n">
        <v>3</v>
      </c>
      <c r="H1568" s="3" t="n">
        <v>-0.7942888140678406</v>
      </c>
      <c r="I1568" s="3" t="n">
        <v>-0.7942888140678406</v>
      </c>
      <c r="J1568" s="3" t="n">
        <v>-0.9341384768486023</v>
      </c>
      <c r="K1568" s="3" t="n">
        <v>-0.9341384768486023</v>
      </c>
      <c r="L1568" s="3" t="n">
        <v>-0.7942888140678406</v>
      </c>
      <c r="M1568" s="3" t="n">
        <v>-0.7942888140678406</v>
      </c>
      <c r="N1568" s="3" t="n">
        <v>-0.7942888140678406</v>
      </c>
      <c r="O1568" s="3" t="n">
        <v>-0.7942888140678406</v>
      </c>
      <c r="P1568" s="3" t="n">
        <v>-0.7942888140678406</v>
      </c>
      <c r="Q1568" s="3" t="n">
        <v>-0.7942888140678406</v>
      </c>
      <c r="R1568" s="3" t="n">
        <v>-0.7764842510223389</v>
      </c>
      <c r="S1568" s="3" t="n">
        <v>-1.826427459716797</v>
      </c>
      <c r="T1568" s="3" t="n">
        <v>-0.7114566564559937</v>
      </c>
      <c r="U1568" s="3" t="n">
        <v>-0.9341384768486023</v>
      </c>
      <c r="V1568" s="3" t="n">
        <v>-0.6900166273117065</v>
      </c>
      <c r="W1568" s="3" t="n">
        <v>-0.6891584992408752</v>
      </c>
      <c r="X1568" s="3" t="n">
        <v>-1.745697617530823</v>
      </c>
      <c r="Y1568" s="3" t="n">
        <v>-0.7942888140678406</v>
      </c>
      <c r="Z1568" s="3" t="n">
        <v>-1.826427459716797</v>
      </c>
      <c r="AA1568" s="3" t="n">
        <v>-1.826427459716797</v>
      </c>
      <c r="AB1568" s="3" t="n">
        <v>-1.745697617530823</v>
      </c>
      <c r="AC1568" s="3" t="n">
        <v>-3.665183782577515</v>
      </c>
      <c r="AD1568" s="3" t="n">
        <v>-0.9341384768486023</v>
      </c>
      <c r="AE1568" s="3" t="n">
        <v>-0.9341384768486023</v>
      </c>
    </row>
    <row r="1569">
      <c r="A1569" s="3" t="inlineStr">
        <is>
          <t>NGA.distn.dec.ove.mean.4</t>
        </is>
      </c>
      <c r="B1569" s="3" t="inlineStr">
        <is>
          <t>NGA</t>
        </is>
      </c>
      <c r="C1569" s="3" t="n">
        <v>2005</v>
      </c>
      <c r="D1569" s="3" t="inlineStr">
        <is>
          <t>Overall</t>
        </is>
      </c>
      <c r="E1569" s="3" t="inlineStr">
        <is>
          <t>Deciles</t>
        </is>
      </c>
      <c r="F1569" s="3" t="inlineStr">
        <is>
          <t>mean</t>
        </is>
      </c>
      <c r="G1569" s="3" t="n">
        <v>4</v>
      </c>
      <c r="H1569" s="3" t="n">
        <v>-0.7879999876022339</v>
      </c>
      <c r="I1569" s="3" t="n">
        <v>-0.7879999876022339</v>
      </c>
      <c r="J1569" s="3" t="n">
        <v>-0.8889999985694885</v>
      </c>
      <c r="K1569" s="3" t="n">
        <v>-0.8889999985694885</v>
      </c>
      <c r="L1569" s="3" t="n">
        <v>-0.7879999876022339</v>
      </c>
      <c r="M1569" s="3" t="n">
        <v>-0.7879999876022339</v>
      </c>
      <c r="N1569" s="3" t="n">
        <v>-0.7879999876022339</v>
      </c>
      <c r="O1569" s="3" t="n">
        <v>-0.7879999876022339</v>
      </c>
      <c r="P1569" s="3" t="n">
        <v>-0.7879999876022339</v>
      </c>
      <c r="Q1569" s="3" t="n">
        <v>-0.7879999876022339</v>
      </c>
      <c r="R1569" s="3" t="n">
        <v>-0.7730000019073486</v>
      </c>
      <c r="S1569" s="3" t="n">
        <v>-1.24399995803833</v>
      </c>
      <c r="T1569" s="3" t="n">
        <v>-0.7099999785423279</v>
      </c>
      <c r="U1569" s="3" t="n">
        <v>-0.8889999985694885</v>
      </c>
      <c r="V1569" s="3" t="n">
        <v>-0.6830000281333923</v>
      </c>
      <c r="W1569" s="3" t="n">
        <v>-0.5799999833106995</v>
      </c>
      <c r="X1569" s="3" t="n">
        <v>-1.23199999332428</v>
      </c>
      <c r="Y1569" s="3" t="n">
        <v>-0.7879999876022339</v>
      </c>
      <c r="Z1569" s="3" t="n">
        <v>-1.24399995803833</v>
      </c>
      <c r="AA1569" s="3" t="n">
        <v>-1.24399995803833</v>
      </c>
      <c r="AB1569" s="3" t="n">
        <v>-1.23199999332428</v>
      </c>
      <c r="AC1569" s="3" t="n">
        <v>-1.769999980926514</v>
      </c>
      <c r="AD1569" s="3" t="n">
        <v>-0.8889999985694885</v>
      </c>
      <c r="AE1569" s="3" t="n">
        <v>-0.8889999985694885</v>
      </c>
    </row>
    <row r="1570">
      <c r="A1570" s="3" t="inlineStr">
        <is>
          <t>NGA.distn.dec.ove.mean.5</t>
        </is>
      </c>
      <c r="B1570" s="3" t="inlineStr">
        <is>
          <t>NGA</t>
        </is>
      </c>
      <c r="C1570" s="3" t="n">
        <v>2005</v>
      </c>
      <c r="D1570" s="3" t="inlineStr">
        <is>
          <t>Overall</t>
        </is>
      </c>
      <c r="E1570" s="3" t="inlineStr">
        <is>
          <t>Deciles</t>
        </is>
      </c>
      <c r="F1570" s="3" t="inlineStr">
        <is>
          <t>mean</t>
        </is>
      </c>
      <c r="G1570" s="3" t="n">
        <v>5</v>
      </c>
      <c r="H1570" s="3" t="n">
        <v>-0.7879999876022339</v>
      </c>
      <c r="I1570" s="3" t="n">
        <v>-0.7879999876022339</v>
      </c>
      <c r="J1570" s="3" t="n">
        <v>-0.8889999985694885</v>
      </c>
      <c r="K1570" s="3" t="n">
        <v>-0.8889999985694885</v>
      </c>
      <c r="L1570" s="3" t="n">
        <v>-0.7879999876022339</v>
      </c>
      <c r="M1570" s="3" t="n">
        <v>-0.7879999876022339</v>
      </c>
      <c r="N1570" s="3" t="n">
        <v>-0.7879999876022339</v>
      </c>
      <c r="O1570" s="3" t="n">
        <v>-0.7879999876022339</v>
      </c>
      <c r="P1570" s="3" t="n">
        <v>-0.7879999876022339</v>
      </c>
      <c r="Q1570" s="3" t="n">
        <v>-0.7879999876022339</v>
      </c>
      <c r="R1570" s="3" t="n">
        <v>-0.7730000019073486</v>
      </c>
      <c r="S1570" s="3" t="n">
        <v>-1.24399995803833</v>
      </c>
      <c r="T1570" s="3" t="n">
        <v>-0.7099999785423279</v>
      </c>
      <c r="U1570" s="3" t="n">
        <v>-0.8889999985694885</v>
      </c>
      <c r="V1570" s="3" t="n">
        <v>-0.6830000281333923</v>
      </c>
      <c r="W1570" s="3" t="n">
        <v>-0.5799999833106995</v>
      </c>
      <c r="X1570" s="3" t="n">
        <v>-1.23199999332428</v>
      </c>
      <c r="Y1570" s="3" t="n">
        <v>-0.7879999876022339</v>
      </c>
      <c r="Z1570" s="3" t="n">
        <v>-1.24399995803833</v>
      </c>
      <c r="AA1570" s="3" t="n">
        <v>-1.24399995803833</v>
      </c>
      <c r="AB1570" s="3" t="n">
        <v>-1.23199999332428</v>
      </c>
      <c r="AC1570" s="3" t="n">
        <v>-1.769999980926514</v>
      </c>
      <c r="AD1570" s="3" t="n">
        <v>-0.8889999985694885</v>
      </c>
      <c r="AE1570" s="3" t="n">
        <v>-0.8889999985694885</v>
      </c>
    </row>
    <row r="1571">
      <c r="A1571" s="3" t="inlineStr">
        <is>
          <t>NGA.distn.dec.ove.mean.6</t>
        </is>
      </c>
      <c r="B1571" s="3" t="inlineStr">
        <is>
          <t>NGA</t>
        </is>
      </c>
      <c r="C1571" s="3" t="n">
        <v>2005</v>
      </c>
      <c r="D1571" s="3" t="inlineStr">
        <is>
          <t>Overall</t>
        </is>
      </c>
      <c r="E1571" s="3" t="inlineStr">
        <is>
          <t>Deciles</t>
        </is>
      </c>
      <c r="F1571" s="3" t="inlineStr">
        <is>
          <t>mean</t>
        </is>
      </c>
      <c r="G1571" s="3" t="n">
        <v>6</v>
      </c>
      <c r="H1571" s="3" t="n">
        <v>-0.7879999876022339</v>
      </c>
      <c r="I1571" s="3" t="n">
        <v>-0.7879999876022339</v>
      </c>
      <c r="J1571" s="3" t="n">
        <v>-0.8889999985694885</v>
      </c>
      <c r="K1571" s="3" t="n">
        <v>-0.8889999985694885</v>
      </c>
      <c r="L1571" s="3" t="n">
        <v>-0.7879999876022339</v>
      </c>
      <c r="M1571" s="3" t="n">
        <v>-0.7879999876022339</v>
      </c>
      <c r="N1571" s="3" t="n">
        <v>-0.7879999876022339</v>
      </c>
      <c r="O1571" s="3" t="n">
        <v>-0.7879999876022339</v>
      </c>
      <c r="P1571" s="3" t="n">
        <v>-0.7879999876022339</v>
      </c>
      <c r="Q1571" s="3" t="n">
        <v>-0.7879999876022339</v>
      </c>
      <c r="R1571" s="3" t="n">
        <v>-0.7730000019073486</v>
      </c>
      <c r="S1571" s="3" t="n">
        <v>-1.24399995803833</v>
      </c>
      <c r="T1571" s="3" t="n">
        <v>-0.7099999785423279</v>
      </c>
      <c r="U1571" s="3" t="n">
        <v>-0.8889999985694885</v>
      </c>
      <c r="V1571" s="3" t="n">
        <v>-0.6830000281333923</v>
      </c>
      <c r="W1571" s="3" t="n">
        <v>-0.5799999833106995</v>
      </c>
      <c r="X1571" s="3" t="n">
        <v>-1.23199999332428</v>
      </c>
      <c r="Y1571" s="3" t="n">
        <v>-0.7879999876022339</v>
      </c>
      <c r="Z1571" s="3" t="n">
        <v>-1.24399995803833</v>
      </c>
      <c r="AA1571" s="3" t="n">
        <v>-1.24399995803833</v>
      </c>
      <c r="AB1571" s="3" t="n">
        <v>-1.23199999332428</v>
      </c>
      <c r="AC1571" s="3" t="n">
        <v>-1.769999980926514</v>
      </c>
      <c r="AD1571" s="3" t="n">
        <v>-0.8889999985694885</v>
      </c>
      <c r="AE1571" s="3" t="n">
        <v>-0.8889999985694885</v>
      </c>
    </row>
    <row r="1572">
      <c r="A1572" s="3" t="inlineStr">
        <is>
          <t>NGA.distn.dec.ove.mean.7</t>
        </is>
      </c>
      <c r="B1572" s="3" t="inlineStr">
        <is>
          <t>NGA</t>
        </is>
      </c>
      <c r="C1572" s="3" t="n">
        <v>2005</v>
      </c>
      <c r="D1572" s="3" t="inlineStr">
        <is>
          <t>Overall</t>
        </is>
      </c>
      <c r="E1572" s="3" t="inlineStr">
        <is>
          <t>Deciles</t>
        </is>
      </c>
      <c r="F1572" s="3" t="inlineStr">
        <is>
          <t>mean</t>
        </is>
      </c>
      <c r="G1572" s="3" t="n">
        <v>7</v>
      </c>
      <c r="H1572" s="3" t="n">
        <v>-0.7879999876022339</v>
      </c>
      <c r="I1572" s="3" t="n">
        <v>-0.7879999876022339</v>
      </c>
      <c r="J1572" s="3" t="n">
        <v>-0.8889999985694885</v>
      </c>
      <c r="K1572" s="3" t="n">
        <v>-0.8889999985694885</v>
      </c>
      <c r="L1572" s="3" t="n">
        <v>-0.7879999876022339</v>
      </c>
      <c r="M1572" s="3" t="n">
        <v>-0.7879999876022339</v>
      </c>
      <c r="N1572" s="3" t="n">
        <v>-0.7879999876022339</v>
      </c>
      <c r="O1572" s="3" t="n">
        <v>-0.7879999876022339</v>
      </c>
      <c r="P1572" s="3" t="n">
        <v>-0.7879999876022339</v>
      </c>
      <c r="Q1572" s="3" t="n">
        <v>-0.7879999876022339</v>
      </c>
      <c r="R1572" s="3" t="n">
        <v>-0.7730000019073486</v>
      </c>
      <c r="S1572" s="3" t="n">
        <v>-1.24399995803833</v>
      </c>
      <c r="T1572" s="3" t="n">
        <v>-0.7099999785423279</v>
      </c>
      <c r="U1572" s="3" t="n">
        <v>-0.8889999985694885</v>
      </c>
      <c r="V1572" s="3" t="n">
        <v>-0.6830000281333923</v>
      </c>
      <c r="W1572" s="3" t="n">
        <v>-0.5799999833106995</v>
      </c>
      <c r="X1572" s="3" t="n">
        <v>-1.23199999332428</v>
      </c>
      <c r="Y1572" s="3" t="n">
        <v>-0.7879999876022339</v>
      </c>
      <c r="Z1572" s="3" t="n">
        <v>-1.24399995803833</v>
      </c>
      <c r="AA1572" s="3" t="n">
        <v>-1.24399995803833</v>
      </c>
      <c r="AB1572" s="3" t="n">
        <v>-1.23199999332428</v>
      </c>
      <c r="AC1572" s="3" t="n">
        <v>-1.769999980926514</v>
      </c>
      <c r="AD1572" s="3" t="n">
        <v>-0.8889999985694885</v>
      </c>
      <c r="AE1572" s="3" t="n">
        <v>-0.8889999985694885</v>
      </c>
    </row>
    <row r="1573">
      <c r="A1573" s="3" t="inlineStr">
        <is>
          <t>NGA.distn.dec.ove.mean.8</t>
        </is>
      </c>
      <c r="B1573" s="3" t="inlineStr">
        <is>
          <t>NGA</t>
        </is>
      </c>
      <c r="C1573" s="3" t="n">
        <v>2005</v>
      </c>
      <c r="D1573" s="3" t="inlineStr">
        <is>
          <t>Overall</t>
        </is>
      </c>
      <c r="E1573" s="3" t="inlineStr">
        <is>
          <t>Deciles</t>
        </is>
      </c>
      <c r="F1573" s="3" t="inlineStr">
        <is>
          <t>mean</t>
        </is>
      </c>
      <c r="G1573" s="3" t="n">
        <v>8</v>
      </c>
      <c r="H1573" s="3" t="n">
        <v>-0.7883796691894531</v>
      </c>
      <c r="I1573" s="3" t="n">
        <v>-0.7883796691894531</v>
      </c>
      <c r="J1573" s="3" t="n">
        <v>-0.8913981318473816</v>
      </c>
      <c r="K1573" s="3" t="n">
        <v>-0.8913981318473816</v>
      </c>
      <c r="L1573" s="3" t="n">
        <v>-0.7883796691894531</v>
      </c>
      <c r="M1573" s="3" t="n">
        <v>-0.7883796691894531</v>
      </c>
      <c r="N1573" s="3" t="n">
        <v>-0.7883796691894531</v>
      </c>
      <c r="O1573" s="3" t="n">
        <v>-0.7883796691894531</v>
      </c>
      <c r="P1573" s="3" t="n">
        <v>-0.7883796691894531</v>
      </c>
      <c r="Q1573" s="3" t="n">
        <v>-0.7883796691894531</v>
      </c>
      <c r="R1573" s="3" t="n">
        <v>-0.7732542157173157</v>
      </c>
      <c r="S1573" s="3" t="n">
        <v>-1.25557553768158</v>
      </c>
      <c r="T1573" s="3" t="n">
        <v>-0.7100409269332886</v>
      </c>
      <c r="U1573" s="3" t="n">
        <v>-0.8913981318473816</v>
      </c>
      <c r="V1573" s="3" t="n">
        <v>-0.6837060451507568</v>
      </c>
      <c r="W1573" s="3" t="n">
        <v>-0.595531702041626</v>
      </c>
      <c r="X1573" s="3" t="n">
        <v>-1.243225932121277</v>
      </c>
      <c r="Y1573" s="3" t="n">
        <v>-0.7883796691894531</v>
      </c>
      <c r="Z1573" s="3" t="n">
        <v>-1.25557553768158</v>
      </c>
      <c r="AA1573" s="3" t="n">
        <v>-1.25557553768158</v>
      </c>
      <c r="AB1573" s="3" t="n">
        <v>-1.243225932121277</v>
      </c>
      <c r="AC1573" s="3" t="n">
        <v>-1.795242547988892</v>
      </c>
      <c r="AD1573" s="3" t="n">
        <v>-0.8913981318473816</v>
      </c>
      <c r="AE1573" s="3" t="n">
        <v>-0.8913981318473816</v>
      </c>
    </row>
    <row r="1574">
      <c r="A1574" s="3" t="inlineStr">
        <is>
          <t>NGA.distn.dec.ove.mean.9</t>
        </is>
      </c>
      <c r="B1574" s="3" t="inlineStr">
        <is>
          <t>NGA</t>
        </is>
      </c>
      <c r="C1574" s="3" t="n">
        <v>2005</v>
      </c>
      <c r="D1574" s="3" t="inlineStr">
        <is>
          <t>Overall</t>
        </is>
      </c>
      <c r="E1574" s="3" t="inlineStr">
        <is>
          <t>Deciles</t>
        </is>
      </c>
      <c r="F1574" s="3" t="inlineStr">
        <is>
          <t>mean</t>
        </is>
      </c>
      <c r="G1574" s="3" t="n">
        <v>9</v>
      </c>
      <c r="H1574" s="3" t="n">
        <v>-0.7883796691894531</v>
      </c>
      <c r="I1574" s="3" t="n">
        <v>-0.7883796691894531</v>
      </c>
      <c r="J1574" s="3" t="n">
        <v>-0.8913981318473816</v>
      </c>
      <c r="K1574" s="3" t="n">
        <v>-0.8913981318473816</v>
      </c>
      <c r="L1574" s="3" t="n">
        <v>-0.7883796691894531</v>
      </c>
      <c r="M1574" s="3" t="n">
        <v>-0.7883796691894531</v>
      </c>
      <c r="N1574" s="3" t="n">
        <v>-0.7883796691894531</v>
      </c>
      <c r="O1574" s="3" t="n">
        <v>-0.7883796691894531</v>
      </c>
      <c r="P1574" s="3" t="n">
        <v>-0.7883796691894531</v>
      </c>
      <c r="Q1574" s="3" t="n">
        <v>-0.7883796691894531</v>
      </c>
      <c r="R1574" s="3" t="n">
        <v>-0.7732542157173157</v>
      </c>
      <c r="S1574" s="3" t="n">
        <v>-1.25557553768158</v>
      </c>
      <c r="T1574" s="3" t="n">
        <v>-0.7100409269332886</v>
      </c>
      <c r="U1574" s="3" t="n">
        <v>-0.8913981318473816</v>
      </c>
      <c r="V1574" s="3" t="n">
        <v>-0.6837060451507568</v>
      </c>
      <c r="W1574" s="3" t="n">
        <v>-0.595531702041626</v>
      </c>
      <c r="X1574" s="3" t="n">
        <v>-1.243225932121277</v>
      </c>
      <c r="Y1574" s="3" t="n">
        <v>-0.7883796691894531</v>
      </c>
      <c r="Z1574" s="3" t="n">
        <v>-1.25557553768158</v>
      </c>
      <c r="AA1574" s="3" t="n">
        <v>-1.25557553768158</v>
      </c>
      <c r="AB1574" s="3" t="n">
        <v>-1.243225932121277</v>
      </c>
      <c r="AC1574" s="3" t="n">
        <v>-1.795242547988892</v>
      </c>
      <c r="AD1574" s="3" t="n">
        <v>-0.8913981318473816</v>
      </c>
      <c r="AE1574" s="3" t="n">
        <v>-0.8913981318473816</v>
      </c>
    </row>
    <row r="1575">
      <c r="A1575" s="3" t="inlineStr">
        <is>
          <t>NGA.distn.dec.ove.mean.10</t>
        </is>
      </c>
      <c r="B1575" s="3" t="inlineStr">
        <is>
          <t>NGA</t>
        </is>
      </c>
      <c r="C1575" s="3" t="n">
        <v>2005</v>
      </c>
      <c r="D1575" s="3" t="inlineStr">
        <is>
          <t>Overall</t>
        </is>
      </c>
      <c r="E1575" s="3" t="inlineStr">
        <is>
          <t>Deciles</t>
        </is>
      </c>
      <c r="F1575" s="3" t="inlineStr">
        <is>
          <t>mean</t>
        </is>
      </c>
      <c r="G1575" s="3" t="n">
        <v>10</v>
      </c>
      <c r="H1575" s="3" t="n">
        <v>-0.7883796691894531</v>
      </c>
      <c r="I1575" s="3" t="n">
        <v>-0.7883796691894531</v>
      </c>
      <c r="J1575" s="3" t="n">
        <v>-0.8913981318473816</v>
      </c>
      <c r="K1575" s="3" t="n">
        <v>-0.8913981318473816</v>
      </c>
      <c r="L1575" s="3" t="n">
        <v>-0.7883796691894531</v>
      </c>
      <c r="M1575" s="3" t="n">
        <v>-0.7883796691894531</v>
      </c>
      <c r="N1575" s="3" t="n">
        <v>-0.7883796691894531</v>
      </c>
      <c r="O1575" s="3" t="n">
        <v>-0.7883796691894531</v>
      </c>
      <c r="P1575" s="3" t="n">
        <v>-0.7883796691894531</v>
      </c>
      <c r="Q1575" s="3" t="n">
        <v>-0.7883796691894531</v>
      </c>
      <c r="R1575" s="3" t="n">
        <v>-0.7732542157173157</v>
      </c>
      <c r="S1575" s="3" t="n">
        <v>-1.25557553768158</v>
      </c>
      <c r="T1575" s="3" t="n">
        <v>-0.7100409269332886</v>
      </c>
      <c r="U1575" s="3" t="n">
        <v>-0.8913981318473816</v>
      </c>
      <c r="V1575" s="3" t="n">
        <v>-0.6837060451507568</v>
      </c>
      <c r="W1575" s="3" t="n">
        <v>-0.595531702041626</v>
      </c>
      <c r="X1575" s="3" t="n">
        <v>-1.243225932121277</v>
      </c>
      <c r="Y1575" s="3" t="n">
        <v>-0.7883796691894531</v>
      </c>
      <c r="Z1575" s="3" t="n">
        <v>-1.25557553768158</v>
      </c>
      <c r="AA1575" s="3" t="n">
        <v>-1.25557553768158</v>
      </c>
      <c r="AB1575" s="3" t="n">
        <v>-1.243225932121277</v>
      </c>
      <c r="AC1575" s="3" t="n">
        <v>-1.795242547988892</v>
      </c>
      <c r="AD1575" s="3" t="n">
        <v>-0.8913981318473816</v>
      </c>
      <c r="AE1575" s="3" t="n">
        <v>-0.8913981318473816</v>
      </c>
    </row>
    <row r="1576">
      <c r="A1576" s="3" t="inlineStr">
        <is>
          <t>NGA.distn.bkt.ove.mean.9999</t>
        </is>
      </c>
      <c r="B1576" s="3" t="inlineStr">
        <is>
          <t>NGA</t>
        </is>
      </c>
      <c r="C1576" s="3" t="n">
        <v>2005</v>
      </c>
      <c r="D1576" s="3" t="inlineStr">
        <is>
          <t>Overall</t>
        </is>
      </c>
      <c r="E1576" s="3" t="inlineStr">
        <is>
          <t>Basket</t>
        </is>
      </c>
      <c r="F1576" s="3" t="inlineStr">
        <is>
          <t>mean</t>
        </is>
      </c>
      <c r="G1576" s="3" t="n">
        <v>9999</v>
      </c>
      <c r="H1576" s="3" t="n">
        <v>-0.7900005578994751</v>
      </c>
      <c r="I1576" s="3" t="n">
        <v>-0.7900005578994751</v>
      </c>
      <c r="J1576" s="3" t="n">
        <v>-0.9032610058784485</v>
      </c>
      <c r="K1576" s="3" t="n">
        <v>-0.9032610058784485</v>
      </c>
      <c r="L1576" s="3" t="n">
        <v>-0.7900005578994751</v>
      </c>
      <c r="M1576" s="3" t="n">
        <v>-0.7900005578994751</v>
      </c>
      <c r="N1576" s="3" t="n">
        <v>-0.7900005578994751</v>
      </c>
      <c r="O1576" s="3" t="n">
        <v>-0.7900005578994751</v>
      </c>
      <c r="P1576" s="3" t="n">
        <v>-0.7900005578994751</v>
      </c>
      <c r="Q1576" s="3" t="n">
        <v>-0.7900005578994751</v>
      </c>
      <c r="R1576" s="3" t="n">
        <v>-0.7741215229034424</v>
      </c>
      <c r="S1576" s="3" t="n">
        <v>-1.422200918197632</v>
      </c>
      <c r="T1576" s="3" t="n">
        <v>-0.7104492783546448</v>
      </c>
      <c r="U1576" s="3" t="n">
        <v>-0.9032610058784485</v>
      </c>
      <c r="V1576" s="3" t="n">
        <v>-0.685316801071167</v>
      </c>
      <c r="W1576" s="3" t="n">
        <v>-0.6174070835113525</v>
      </c>
      <c r="X1576" s="3" t="n">
        <v>-1.389477014541626</v>
      </c>
      <c r="Y1576" s="3" t="n">
        <v>-0.7900005578994751</v>
      </c>
      <c r="Z1576" s="3" t="n">
        <v>-1.422200918197632</v>
      </c>
      <c r="AA1576" s="3" t="n">
        <v>-1.422200918197632</v>
      </c>
      <c r="AB1576" s="3" t="n">
        <v>-1.389477014541626</v>
      </c>
      <c r="AC1576" s="3" t="n">
        <v>-2.346127986907959</v>
      </c>
      <c r="AD1576" s="3" t="n">
        <v>-0.9032610058784485</v>
      </c>
      <c r="AE1576" s="3" t="n">
        <v>-0.9032610058784485</v>
      </c>
    </row>
    <row r="1577">
      <c r="A1577" s="3" t="inlineStr">
        <is>
          <t>NIC.distn.dec.ove.mean.1</t>
        </is>
      </c>
      <c r="B1577" s="3" t="inlineStr">
        <is>
          <t>NIC</t>
        </is>
      </c>
      <c r="C1577" s="3" t="n">
        <v>2005</v>
      </c>
      <c r="D1577" s="3" t="inlineStr">
        <is>
          <t>Overall</t>
        </is>
      </c>
      <c r="E1577" s="3" t="inlineStr">
        <is>
          <t>Deciles</t>
        </is>
      </c>
      <c r="F1577" s="3" t="inlineStr">
        <is>
          <t>mean</t>
        </is>
      </c>
      <c r="G1577" s="3" t="n">
        <v>1</v>
      </c>
      <c r="H1577" s="3" t="n">
        <v>-0.7936522003851438</v>
      </c>
      <c r="I1577" s="3" t="n">
        <v>-0.7936522003851438</v>
      </c>
      <c r="J1577" s="3" t="n">
        <v>-0.9276126356501329</v>
      </c>
      <c r="K1577" s="3" t="n">
        <v>-0.9276126356501329</v>
      </c>
      <c r="L1577" s="3" t="n">
        <v>-0.7936522003851438</v>
      </c>
      <c r="M1577" s="3" t="n">
        <v>-0.7936522003851438</v>
      </c>
      <c r="N1577" s="3" t="n">
        <v>-0.7936522003851438</v>
      </c>
      <c r="O1577" s="3" t="n">
        <v>-0.7936522003851438</v>
      </c>
      <c r="P1577" s="3" t="n">
        <v>-0.7936522003851438</v>
      </c>
      <c r="Q1577" s="3" t="n">
        <v>-0.7936522003851438</v>
      </c>
      <c r="R1577" s="3" t="n">
        <v>-0.7764578367534437</v>
      </c>
      <c r="S1577" s="3" t="n">
        <v>-1.851309371621985</v>
      </c>
      <c r="T1577" s="3" t="n">
        <v>-0.7110083871766141</v>
      </c>
      <c r="U1577" s="3" t="n">
        <v>-0.9276126356501329</v>
      </c>
      <c r="V1577" s="3" t="n">
        <v>-0.688554396754817</v>
      </c>
      <c r="W1577" s="3" t="n">
        <v>-0.6748062403578508</v>
      </c>
      <c r="X1577" s="3" t="n">
        <v>-1.760538414904946</v>
      </c>
      <c r="Y1577" s="3" t="n">
        <v>-0.7936522003851438</v>
      </c>
      <c r="Z1577" s="3" t="n">
        <v>-1.851309371621985</v>
      </c>
      <c r="AA1577" s="3" t="n">
        <v>-1.851309371621985</v>
      </c>
      <c r="AB1577" s="3" t="n">
        <v>-1.760538414904946</v>
      </c>
      <c r="AC1577" s="3" t="n">
        <v>-4.00243950517554</v>
      </c>
      <c r="AD1577" s="3" t="n">
        <v>-0.9276126356501329</v>
      </c>
      <c r="AE1577" s="3" t="n">
        <v>-0.9276126356501329</v>
      </c>
    </row>
    <row r="1578">
      <c r="A1578" s="3" t="inlineStr">
        <is>
          <t>NIC.distn.dec.ove.mean.2</t>
        </is>
      </c>
      <c r="B1578" s="3" t="inlineStr">
        <is>
          <t>NIC</t>
        </is>
      </c>
      <c r="C1578" s="3" t="n">
        <v>2005</v>
      </c>
      <c r="D1578" s="3" t="inlineStr">
        <is>
          <t>Overall</t>
        </is>
      </c>
      <c r="E1578" s="3" t="inlineStr">
        <is>
          <t>Deciles</t>
        </is>
      </c>
      <c r="F1578" s="3" t="inlineStr">
        <is>
          <t>mean</t>
        </is>
      </c>
      <c r="G1578" s="3" t="n">
        <v>2</v>
      </c>
      <c r="H1578" s="3" t="n">
        <v>-0.7936522003851438</v>
      </c>
      <c r="I1578" s="3" t="n">
        <v>-0.7936522003851438</v>
      </c>
      <c r="J1578" s="3" t="n">
        <v>-0.9276126356501329</v>
      </c>
      <c r="K1578" s="3" t="n">
        <v>-0.9276126356501329</v>
      </c>
      <c r="L1578" s="3" t="n">
        <v>-0.7936522003851438</v>
      </c>
      <c r="M1578" s="3" t="n">
        <v>-0.7936522003851438</v>
      </c>
      <c r="N1578" s="3" t="n">
        <v>-0.7936522003851438</v>
      </c>
      <c r="O1578" s="3" t="n">
        <v>-0.7936522003851438</v>
      </c>
      <c r="P1578" s="3" t="n">
        <v>-0.7936522003851438</v>
      </c>
      <c r="Q1578" s="3" t="n">
        <v>-0.7936522003851438</v>
      </c>
      <c r="R1578" s="3" t="n">
        <v>-0.7764578367534437</v>
      </c>
      <c r="S1578" s="3" t="n">
        <v>-1.851309371621985</v>
      </c>
      <c r="T1578" s="3" t="n">
        <v>-0.7110083871766141</v>
      </c>
      <c r="U1578" s="3" t="n">
        <v>-0.9276126356501329</v>
      </c>
      <c r="V1578" s="3" t="n">
        <v>-0.688554396754817</v>
      </c>
      <c r="W1578" s="3" t="n">
        <v>-0.6748062403578508</v>
      </c>
      <c r="X1578" s="3" t="n">
        <v>-1.760538414904946</v>
      </c>
      <c r="Y1578" s="3" t="n">
        <v>-0.7936522003851438</v>
      </c>
      <c r="Z1578" s="3" t="n">
        <v>-1.851309371621985</v>
      </c>
      <c r="AA1578" s="3" t="n">
        <v>-1.851309371621985</v>
      </c>
      <c r="AB1578" s="3" t="n">
        <v>-1.760538414904946</v>
      </c>
      <c r="AC1578" s="3" t="n">
        <v>-4.00243950517554</v>
      </c>
      <c r="AD1578" s="3" t="n">
        <v>-0.9276126356501329</v>
      </c>
      <c r="AE1578" s="3" t="n">
        <v>-0.9276126356501329</v>
      </c>
    </row>
    <row r="1579">
      <c r="A1579" s="3" t="inlineStr">
        <is>
          <t>NIC.distn.dec.ove.mean.3</t>
        </is>
      </c>
      <c r="B1579" s="3" t="inlineStr">
        <is>
          <t>NIC</t>
        </is>
      </c>
      <c r="C1579" s="3" t="n">
        <v>2005</v>
      </c>
      <c r="D1579" s="3" t="inlineStr">
        <is>
          <t>Overall</t>
        </is>
      </c>
      <c r="E1579" s="3" t="inlineStr">
        <is>
          <t>Deciles</t>
        </is>
      </c>
      <c r="F1579" s="3" t="inlineStr">
        <is>
          <t>mean</t>
        </is>
      </c>
      <c r="G1579" s="3" t="n">
        <v>3</v>
      </c>
      <c r="H1579" s="3" t="n">
        <v>-0.7936522003851438</v>
      </c>
      <c r="I1579" s="3" t="n">
        <v>-0.7936522003851438</v>
      </c>
      <c r="J1579" s="3" t="n">
        <v>-0.9276126356501329</v>
      </c>
      <c r="K1579" s="3" t="n">
        <v>-0.9276126356501329</v>
      </c>
      <c r="L1579" s="3" t="n">
        <v>-0.7936522003851438</v>
      </c>
      <c r="M1579" s="3" t="n">
        <v>-0.7936522003851438</v>
      </c>
      <c r="N1579" s="3" t="n">
        <v>-0.7936522003851438</v>
      </c>
      <c r="O1579" s="3" t="n">
        <v>-0.7936522003851438</v>
      </c>
      <c r="P1579" s="3" t="n">
        <v>-0.7936522003851438</v>
      </c>
      <c r="Q1579" s="3" t="n">
        <v>-0.7936522003851438</v>
      </c>
      <c r="R1579" s="3" t="n">
        <v>-0.7764578367534437</v>
      </c>
      <c r="S1579" s="3" t="n">
        <v>-1.851309371621985</v>
      </c>
      <c r="T1579" s="3" t="n">
        <v>-0.7110083871766141</v>
      </c>
      <c r="U1579" s="3" t="n">
        <v>-0.9276126356501329</v>
      </c>
      <c r="V1579" s="3" t="n">
        <v>-0.688554396754817</v>
      </c>
      <c r="W1579" s="3" t="n">
        <v>-0.6748062403578508</v>
      </c>
      <c r="X1579" s="3" t="n">
        <v>-1.760538414904946</v>
      </c>
      <c r="Y1579" s="3" t="n">
        <v>-0.7936522003851438</v>
      </c>
      <c r="Z1579" s="3" t="n">
        <v>-1.851309371621985</v>
      </c>
      <c r="AA1579" s="3" t="n">
        <v>-1.851309371621985</v>
      </c>
      <c r="AB1579" s="3" t="n">
        <v>-1.760538414904946</v>
      </c>
      <c r="AC1579" s="3" t="n">
        <v>-4.00243950517554</v>
      </c>
      <c r="AD1579" s="3" t="n">
        <v>-0.9276126356501329</v>
      </c>
      <c r="AE1579" s="3" t="n">
        <v>-0.9276126356501329</v>
      </c>
    </row>
    <row r="1580">
      <c r="A1580" s="3" t="inlineStr">
        <is>
          <t>NIC.distn.dec.ove.mean.4</t>
        </is>
      </c>
      <c r="B1580" s="3" t="inlineStr">
        <is>
          <t>NIC</t>
        </is>
      </c>
      <c r="C1580" s="3" t="n">
        <v>2005</v>
      </c>
      <c r="D1580" s="3" t="inlineStr">
        <is>
          <t>Overall</t>
        </is>
      </c>
      <c r="E1580" s="3" t="inlineStr">
        <is>
          <t>Deciles</t>
        </is>
      </c>
      <c r="F1580" s="3" t="inlineStr">
        <is>
          <t>mean</t>
        </is>
      </c>
      <c r="G1580" s="3" t="n">
        <v>4</v>
      </c>
      <c r="H1580" s="3" t="n">
        <v>-0.7873684167861938</v>
      </c>
      <c r="I1580" s="3" t="n">
        <v>-0.7873684167861938</v>
      </c>
      <c r="J1580" s="3" t="n">
        <v>-0.8827894769216839</v>
      </c>
      <c r="K1580" s="3" t="n">
        <v>-0.8827894769216839</v>
      </c>
      <c r="L1580" s="3" t="n">
        <v>-0.7873684167861938</v>
      </c>
      <c r="M1580" s="3" t="n">
        <v>-0.7873684167861938</v>
      </c>
      <c r="N1580" s="3" t="n">
        <v>-0.7873684167861938</v>
      </c>
      <c r="O1580" s="3" t="n">
        <v>-0.7873684167861938</v>
      </c>
      <c r="P1580" s="3" t="n">
        <v>-0.7873684167861938</v>
      </c>
      <c r="Q1580" s="3" t="n">
        <v>-0.7873684167861938</v>
      </c>
      <c r="R1580" s="3" t="n">
        <v>-0.7729736864566803</v>
      </c>
      <c r="S1580" s="3" t="n">
        <v>-1.260947363941293</v>
      </c>
      <c r="T1580" s="3" t="n">
        <v>-0.7095526174495095</v>
      </c>
      <c r="U1580" s="3" t="n">
        <v>-0.8827894769216839</v>
      </c>
      <c r="V1580" s="3" t="n">
        <v>-0.6815526375645086</v>
      </c>
      <c r="W1580" s="3" t="n">
        <v>-0.5679210565592113</v>
      </c>
      <c r="X1580" s="3" t="n">
        <v>-1.242473682290629</v>
      </c>
      <c r="Y1580" s="3" t="n">
        <v>-0.7873684167861938</v>
      </c>
      <c r="Z1580" s="3" t="n">
        <v>-1.260947363941293</v>
      </c>
      <c r="AA1580" s="3" t="n">
        <v>-1.260947363941293</v>
      </c>
      <c r="AB1580" s="3" t="n">
        <v>-1.242473682290629</v>
      </c>
      <c r="AC1580" s="3" t="n">
        <v>-1.932868417940642</v>
      </c>
      <c r="AD1580" s="3" t="n">
        <v>-0.8827894769216839</v>
      </c>
      <c r="AE1580" s="3" t="n">
        <v>-0.8827894769216839</v>
      </c>
    </row>
    <row r="1581">
      <c r="A1581" s="3" t="inlineStr">
        <is>
          <t>NIC.distn.dec.ove.mean.5</t>
        </is>
      </c>
      <c r="B1581" s="3" t="inlineStr">
        <is>
          <t>NIC</t>
        </is>
      </c>
      <c r="C1581" s="3" t="n">
        <v>2005</v>
      </c>
      <c r="D1581" s="3" t="inlineStr">
        <is>
          <t>Overall</t>
        </is>
      </c>
      <c r="E1581" s="3" t="inlineStr">
        <is>
          <t>Deciles</t>
        </is>
      </c>
      <c r="F1581" s="3" t="inlineStr">
        <is>
          <t>mean</t>
        </is>
      </c>
      <c r="G1581" s="3" t="n">
        <v>5</v>
      </c>
      <c r="H1581" s="3" t="n">
        <v>-0.7873684167861938</v>
      </c>
      <c r="I1581" s="3" t="n">
        <v>-0.7873684167861938</v>
      </c>
      <c r="J1581" s="3" t="n">
        <v>-0.8827894769216839</v>
      </c>
      <c r="K1581" s="3" t="n">
        <v>-0.8827894769216839</v>
      </c>
      <c r="L1581" s="3" t="n">
        <v>-0.7873684167861938</v>
      </c>
      <c r="M1581" s="3" t="n">
        <v>-0.7873684167861938</v>
      </c>
      <c r="N1581" s="3" t="n">
        <v>-0.7873684167861938</v>
      </c>
      <c r="O1581" s="3" t="n">
        <v>-0.7873684167861938</v>
      </c>
      <c r="P1581" s="3" t="n">
        <v>-0.7873684167861938</v>
      </c>
      <c r="Q1581" s="3" t="n">
        <v>-0.7873684167861938</v>
      </c>
      <c r="R1581" s="3" t="n">
        <v>-0.7729736864566803</v>
      </c>
      <c r="S1581" s="3" t="n">
        <v>-1.260947363941293</v>
      </c>
      <c r="T1581" s="3" t="n">
        <v>-0.7095526174495095</v>
      </c>
      <c r="U1581" s="3" t="n">
        <v>-0.8827894769216839</v>
      </c>
      <c r="V1581" s="3" t="n">
        <v>-0.6815526375645086</v>
      </c>
      <c r="W1581" s="3" t="n">
        <v>-0.5679210565592113</v>
      </c>
      <c r="X1581" s="3" t="n">
        <v>-1.242473682290629</v>
      </c>
      <c r="Y1581" s="3" t="n">
        <v>-0.7873684167861938</v>
      </c>
      <c r="Z1581" s="3" t="n">
        <v>-1.260947363941293</v>
      </c>
      <c r="AA1581" s="3" t="n">
        <v>-1.260947363941293</v>
      </c>
      <c r="AB1581" s="3" t="n">
        <v>-1.242473682290629</v>
      </c>
      <c r="AC1581" s="3" t="n">
        <v>-1.932868417940642</v>
      </c>
      <c r="AD1581" s="3" t="n">
        <v>-0.8827894769216839</v>
      </c>
      <c r="AE1581" s="3" t="n">
        <v>-0.8827894769216839</v>
      </c>
    </row>
    <row r="1582">
      <c r="A1582" s="3" t="inlineStr">
        <is>
          <t>NIC.distn.dec.ove.mean.6</t>
        </is>
      </c>
      <c r="B1582" s="3" t="inlineStr">
        <is>
          <t>NIC</t>
        </is>
      </c>
      <c r="C1582" s="3" t="n">
        <v>2005</v>
      </c>
      <c r="D1582" s="3" t="inlineStr">
        <is>
          <t>Overall</t>
        </is>
      </c>
      <c r="E1582" s="3" t="inlineStr">
        <is>
          <t>Deciles</t>
        </is>
      </c>
      <c r="F1582" s="3" t="inlineStr">
        <is>
          <t>mean</t>
        </is>
      </c>
      <c r="G1582" s="3" t="n">
        <v>6</v>
      </c>
      <c r="H1582" s="3" t="n">
        <v>-0.7873684167861938</v>
      </c>
      <c r="I1582" s="3" t="n">
        <v>-0.7873684167861938</v>
      </c>
      <c r="J1582" s="3" t="n">
        <v>-0.8827894769216839</v>
      </c>
      <c r="K1582" s="3" t="n">
        <v>-0.8827894769216839</v>
      </c>
      <c r="L1582" s="3" t="n">
        <v>-0.7873684167861938</v>
      </c>
      <c r="M1582" s="3" t="n">
        <v>-0.7873684167861938</v>
      </c>
      <c r="N1582" s="3" t="n">
        <v>-0.7873684167861938</v>
      </c>
      <c r="O1582" s="3" t="n">
        <v>-0.7873684167861938</v>
      </c>
      <c r="P1582" s="3" t="n">
        <v>-0.7873684167861938</v>
      </c>
      <c r="Q1582" s="3" t="n">
        <v>-0.7873684167861938</v>
      </c>
      <c r="R1582" s="3" t="n">
        <v>-0.7729736864566803</v>
      </c>
      <c r="S1582" s="3" t="n">
        <v>-1.260947363941293</v>
      </c>
      <c r="T1582" s="3" t="n">
        <v>-0.7095526174495095</v>
      </c>
      <c r="U1582" s="3" t="n">
        <v>-0.8827894769216839</v>
      </c>
      <c r="V1582" s="3" t="n">
        <v>-0.6815526375645086</v>
      </c>
      <c r="W1582" s="3" t="n">
        <v>-0.5679210565592113</v>
      </c>
      <c r="X1582" s="3" t="n">
        <v>-1.242473682290629</v>
      </c>
      <c r="Y1582" s="3" t="n">
        <v>-0.7873684167861938</v>
      </c>
      <c r="Z1582" s="3" t="n">
        <v>-1.260947363941293</v>
      </c>
      <c r="AA1582" s="3" t="n">
        <v>-1.260947363941293</v>
      </c>
      <c r="AB1582" s="3" t="n">
        <v>-1.242473682290629</v>
      </c>
      <c r="AC1582" s="3" t="n">
        <v>-1.932868417940642</v>
      </c>
      <c r="AD1582" s="3" t="n">
        <v>-0.8827894769216839</v>
      </c>
      <c r="AE1582" s="3" t="n">
        <v>-0.8827894769216839</v>
      </c>
    </row>
    <row r="1583">
      <c r="A1583" s="3" t="inlineStr">
        <is>
          <t>NIC.distn.dec.ove.mean.7</t>
        </is>
      </c>
      <c r="B1583" s="3" t="inlineStr">
        <is>
          <t>NIC</t>
        </is>
      </c>
      <c r="C1583" s="3" t="n">
        <v>2005</v>
      </c>
      <c r="D1583" s="3" t="inlineStr">
        <is>
          <t>Overall</t>
        </is>
      </c>
      <c r="E1583" s="3" t="inlineStr">
        <is>
          <t>Deciles</t>
        </is>
      </c>
      <c r="F1583" s="3" t="inlineStr">
        <is>
          <t>mean</t>
        </is>
      </c>
      <c r="G1583" s="3" t="n">
        <v>7</v>
      </c>
      <c r="H1583" s="3" t="n">
        <v>-0.7873684167861938</v>
      </c>
      <c r="I1583" s="3" t="n">
        <v>-0.7873684167861938</v>
      </c>
      <c r="J1583" s="3" t="n">
        <v>-0.8827894769216839</v>
      </c>
      <c r="K1583" s="3" t="n">
        <v>-0.8827894769216839</v>
      </c>
      <c r="L1583" s="3" t="n">
        <v>-0.7873684167861938</v>
      </c>
      <c r="M1583" s="3" t="n">
        <v>-0.7873684167861938</v>
      </c>
      <c r="N1583" s="3" t="n">
        <v>-0.7873684167861938</v>
      </c>
      <c r="O1583" s="3" t="n">
        <v>-0.7873684167861938</v>
      </c>
      <c r="P1583" s="3" t="n">
        <v>-0.7873684167861938</v>
      </c>
      <c r="Q1583" s="3" t="n">
        <v>-0.7873684167861938</v>
      </c>
      <c r="R1583" s="3" t="n">
        <v>-0.7729736864566803</v>
      </c>
      <c r="S1583" s="3" t="n">
        <v>-1.260947363941293</v>
      </c>
      <c r="T1583" s="3" t="n">
        <v>-0.7095526174495095</v>
      </c>
      <c r="U1583" s="3" t="n">
        <v>-0.8827894769216839</v>
      </c>
      <c r="V1583" s="3" t="n">
        <v>-0.6815526375645086</v>
      </c>
      <c r="W1583" s="3" t="n">
        <v>-0.5679210565592113</v>
      </c>
      <c r="X1583" s="3" t="n">
        <v>-1.242473682290629</v>
      </c>
      <c r="Y1583" s="3" t="n">
        <v>-0.7873684167861938</v>
      </c>
      <c r="Z1583" s="3" t="n">
        <v>-1.260947363941293</v>
      </c>
      <c r="AA1583" s="3" t="n">
        <v>-1.260947363941293</v>
      </c>
      <c r="AB1583" s="3" t="n">
        <v>-1.242473682290629</v>
      </c>
      <c r="AC1583" s="3" t="n">
        <v>-1.932868417940642</v>
      </c>
      <c r="AD1583" s="3" t="n">
        <v>-0.8827894769216839</v>
      </c>
      <c r="AE1583" s="3" t="n">
        <v>-0.8827894769216839</v>
      </c>
    </row>
    <row r="1584">
      <c r="A1584" s="3" t="inlineStr">
        <is>
          <t>NIC.distn.dec.ove.mean.8</t>
        </is>
      </c>
      <c r="B1584" s="3" t="inlineStr">
        <is>
          <t>NIC</t>
        </is>
      </c>
      <c r="C1584" s="3" t="n">
        <v>2005</v>
      </c>
      <c r="D1584" s="3" t="inlineStr">
        <is>
          <t>Overall</t>
        </is>
      </c>
      <c r="E1584" s="3" t="inlineStr">
        <is>
          <t>Deciles</t>
        </is>
      </c>
      <c r="F1584" s="3" t="inlineStr">
        <is>
          <t>mean</t>
        </is>
      </c>
      <c r="G1584" s="3" t="n">
        <v>8</v>
      </c>
      <c r="H1584" s="3" t="n">
        <v>-0.7877477627051505</v>
      </c>
      <c r="I1584" s="3" t="n">
        <v>-0.7877477627051505</v>
      </c>
      <c r="J1584" s="3" t="n">
        <v>-0.8851708738427413</v>
      </c>
      <c r="K1584" s="3" t="n">
        <v>-0.8851708738427413</v>
      </c>
      <c r="L1584" s="3" t="n">
        <v>-0.7877477627051505</v>
      </c>
      <c r="M1584" s="3" t="n">
        <v>-0.7877477627051505</v>
      </c>
      <c r="N1584" s="3" t="n">
        <v>-0.7877477627051505</v>
      </c>
      <c r="O1584" s="3" t="n">
        <v>-0.7877477627051505</v>
      </c>
      <c r="P1584" s="3" t="n">
        <v>-0.7877477627051505</v>
      </c>
      <c r="Q1584" s="3" t="n">
        <v>-0.7877477627051505</v>
      </c>
      <c r="R1584" s="3" t="n">
        <v>-0.7732278971295607</v>
      </c>
      <c r="S1584" s="3" t="n">
        <v>-1.272680619829579</v>
      </c>
      <c r="T1584" s="3" t="n">
        <v>-0.7095935376066911</v>
      </c>
      <c r="U1584" s="3" t="n">
        <v>-0.8851708738427413</v>
      </c>
      <c r="V1584" s="3" t="n">
        <v>-0.6822572021107924</v>
      </c>
      <c r="W1584" s="3" t="n">
        <v>-0.5831292993143985</v>
      </c>
      <c r="X1584" s="3" t="n">
        <v>-1.253795093611667</v>
      </c>
      <c r="Y1584" s="3" t="n">
        <v>-0.7877477627051505</v>
      </c>
      <c r="Z1584" s="3" t="n">
        <v>-1.272680619829579</v>
      </c>
      <c r="AA1584" s="3" t="n">
        <v>-1.272680619829579</v>
      </c>
      <c r="AB1584" s="3" t="n">
        <v>-1.253795093611667</v>
      </c>
      <c r="AC1584" s="3" t="n">
        <v>-1.960433708994012</v>
      </c>
      <c r="AD1584" s="3" t="n">
        <v>-0.8851708738427413</v>
      </c>
      <c r="AE1584" s="3" t="n">
        <v>-0.8851708738427413</v>
      </c>
    </row>
    <row r="1585">
      <c r="A1585" s="3" t="inlineStr">
        <is>
          <t>NIC.distn.dec.ove.mean.9</t>
        </is>
      </c>
      <c r="B1585" s="3" t="inlineStr">
        <is>
          <t>NIC</t>
        </is>
      </c>
      <c r="C1585" s="3" t="n">
        <v>2005</v>
      </c>
      <c r="D1585" s="3" t="inlineStr">
        <is>
          <t>Overall</t>
        </is>
      </c>
      <c r="E1585" s="3" t="inlineStr">
        <is>
          <t>Deciles</t>
        </is>
      </c>
      <c r="F1585" s="3" t="inlineStr">
        <is>
          <t>mean</t>
        </is>
      </c>
      <c r="G1585" s="3" t="n">
        <v>9</v>
      </c>
      <c r="H1585" s="3" t="n">
        <v>-0.7877477627051505</v>
      </c>
      <c r="I1585" s="3" t="n">
        <v>-0.7877477627051505</v>
      </c>
      <c r="J1585" s="3" t="n">
        <v>-0.8851708738427413</v>
      </c>
      <c r="K1585" s="3" t="n">
        <v>-0.8851708738427413</v>
      </c>
      <c r="L1585" s="3" t="n">
        <v>-0.7877477627051505</v>
      </c>
      <c r="M1585" s="3" t="n">
        <v>-0.7877477627051505</v>
      </c>
      <c r="N1585" s="3" t="n">
        <v>-0.7877477627051505</v>
      </c>
      <c r="O1585" s="3" t="n">
        <v>-0.7877477627051505</v>
      </c>
      <c r="P1585" s="3" t="n">
        <v>-0.7877477627051505</v>
      </c>
      <c r="Q1585" s="3" t="n">
        <v>-0.7877477627051505</v>
      </c>
      <c r="R1585" s="3" t="n">
        <v>-0.7732278971295607</v>
      </c>
      <c r="S1585" s="3" t="n">
        <v>-1.272680619829579</v>
      </c>
      <c r="T1585" s="3" t="n">
        <v>-0.7095935376066911</v>
      </c>
      <c r="U1585" s="3" t="n">
        <v>-0.8851708738427413</v>
      </c>
      <c r="V1585" s="3" t="n">
        <v>-0.6822572021107924</v>
      </c>
      <c r="W1585" s="3" t="n">
        <v>-0.5831292993143985</v>
      </c>
      <c r="X1585" s="3" t="n">
        <v>-1.253795093611667</v>
      </c>
      <c r="Y1585" s="3" t="n">
        <v>-0.7877477627051505</v>
      </c>
      <c r="Z1585" s="3" t="n">
        <v>-1.272680619829579</v>
      </c>
      <c r="AA1585" s="3" t="n">
        <v>-1.272680619829579</v>
      </c>
      <c r="AB1585" s="3" t="n">
        <v>-1.253795093611667</v>
      </c>
      <c r="AC1585" s="3" t="n">
        <v>-1.960433708994012</v>
      </c>
      <c r="AD1585" s="3" t="n">
        <v>-0.8851708738427413</v>
      </c>
      <c r="AE1585" s="3" t="n">
        <v>-0.8851708738427413</v>
      </c>
    </row>
    <row r="1586">
      <c r="A1586" s="3" t="inlineStr">
        <is>
          <t>NIC.distn.dec.ove.mean.10</t>
        </is>
      </c>
      <c r="B1586" s="3" t="inlineStr">
        <is>
          <t>NIC</t>
        </is>
      </c>
      <c r="C1586" s="3" t="n">
        <v>2005</v>
      </c>
      <c r="D1586" s="3" t="inlineStr">
        <is>
          <t>Overall</t>
        </is>
      </c>
      <c r="E1586" s="3" t="inlineStr">
        <is>
          <t>Deciles</t>
        </is>
      </c>
      <c r="F1586" s="3" t="inlineStr">
        <is>
          <t>mean</t>
        </is>
      </c>
      <c r="G1586" s="3" t="n">
        <v>10</v>
      </c>
      <c r="H1586" s="3" t="n">
        <v>-0.7877477627051505</v>
      </c>
      <c r="I1586" s="3" t="n">
        <v>-0.7877477627051505</v>
      </c>
      <c r="J1586" s="3" t="n">
        <v>-0.8851708738427413</v>
      </c>
      <c r="K1586" s="3" t="n">
        <v>-0.8851708738427413</v>
      </c>
      <c r="L1586" s="3" t="n">
        <v>-0.7877477627051505</v>
      </c>
      <c r="M1586" s="3" t="n">
        <v>-0.7877477627051505</v>
      </c>
      <c r="N1586" s="3" t="n">
        <v>-0.7877477627051505</v>
      </c>
      <c r="O1586" s="3" t="n">
        <v>-0.7877477627051505</v>
      </c>
      <c r="P1586" s="3" t="n">
        <v>-0.7877477627051505</v>
      </c>
      <c r="Q1586" s="3" t="n">
        <v>-0.7877477627051505</v>
      </c>
      <c r="R1586" s="3" t="n">
        <v>-0.7732278971295607</v>
      </c>
      <c r="S1586" s="3" t="n">
        <v>-1.272680619829579</v>
      </c>
      <c r="T1586" s="3" t="n">
        <v>-0.7095935376066911</v>
      </c>
      <c r="U1586" s="3" t="n">
        <v>-0.8851708738427413</v>
      </c>
      <c r="V1586" s="3" t="n">
        <v>-0.6822572021107924</v>
      </c>
      <c r="W1586" s="3" t="n">
        <v>-0.5831292993143985</v>
      </c>
      <c r="X1586" s="3" t="n">
        <v>-1.253795093611667</v>
      </c>
      <c r="Y1586" s="3" t="n">
        <v>-0.7877477627051505</v>
      </c>
      <c r="Z1586" s="3" t="n">
        <v>-1.272680619829579</v>
      </c>
      <c r="AA1586" s="3" t="n">
        <v>-1.272680619829579</v>
      </c>
      <c r="AB1586" s="3" t="n">
        <v>-1.253795093611667</v>
      </c>
      <c r="AC1586" s="3" t="n">
        <v>-1.960433708994012</v>
      </c>
      <c r="AD1586" s="3" t="n">
        <v>-0.8851708738427413</v>
      </c>
      <c r="AE1586" s="3" t="n">
        <v>-0.8851708738427413</v>
      </c>
    </row>
    <row r="1587">
      <c r="A1587" s="3" t="inlineStr">
        <is>
          <t>NIC.distn.bkt.ove.mean.9999</t>
        </is>
      </c>
      <c r="B1587" s="3" t="inlineStr">
        <is>
          <t>NIC</t>
        </is>
      </c>
      <c r="C1587" s="3" t="n">
        <v>2005</v>
      </c>
      <c r="D1587" s="3" t="inlineStr">
        <is>
          <t>Overall</t>
        </is>
      </c>
      <c r="E1587" s="3" t="inlineStr">
        <is>
          <t>Basket</t>
        </is>
      </c>
      <c r="F1587" s="3" t="inlineStr">
        <is>
          <t>mean</t>
        </is>
      </c>
      <c r="G1587" s="3" t="n">
        <v>9999</v>
      </c>
      <c r="H1587" s="3" t="n">
        <v>-0.7893673542298769</v>
      </c>
      <c r="I1587" s="3" t="n">
        <v>-0.7893673542298769</v>
      </c>
      <c r="J1587" s="3" t="n">
        <v>-0.8969508472241854</v>
      </c>
      <c r="K1587" s="3" t="n">
        <v>-0.8969508472241854</v>
      </c>
      <c r="L1587" s="3" t="n">
        <v>-0.7893673542298769</v>
      </c>
      <c r="M1587" s="3" t="n">
        <v>-0.7893673542298769</v>
      </c>
      <c r="N1587" s="3" t="n">
        <v>-0.7893673542298769</v>
      </c>
      <c r="O1587" s="3" t="n">
        <v>-0.7893673542298769</v>
      </c>
      <c r="P1587" s="3" t="n">
        <v>-0.7893673542298769</v>
      </c>
      <c r="Q1587" s="3" t="n">
        <v>-0.7893673542298769</v>
      </c>
      <c r="R1587" s="3" t="n">
        <v>-0.7740951949044278</v>
      </c>
      <c r="S1587" s="3" t="n">
        <v>-1.441575941286589</v>
      </c>
      <c r="T1587" s="3" t="n">
        <v>-0.7100016239442324</v>
      </c>
      <c r="U1587" s="3" t="n">
        <v>-0.8969508472241854</v>
      </c>
      <c r="V1587" s="3" t="n">
        <v>-0.6838645276270414</v>
      </c>
      <c r="W1587" s="3" t="n">
        <v>-0.6045490895446978</v>
      </c>
      <c r="X1587" s="3" t="n">
        <v>-1.401289532059117</v>
      </c>
      <c r="Y1587" s="3" t="n">
        <v>-0.7893673542298769</v>
      </c>
      <c r="Z1587" s="3" t="n">
        <v>-1.441575941286589</v>
      </c>
      <c r="AA1587" s="3" t="n">
        <v>-1.441575941286589</v>
      </c>
      <c r="AB1587" s="3" t="n">
        <v>-1.401289532059117</v>
      </c>
      <c r="AC1587" s="3" t="n">
        <v>-2.562009337701296</v>
      </c>
      <c r="AD1587" s="3" t="n">
        <v>-0.8969508472241854</v>
      </c>
      <c r="AE1587" s="3" t="n">
        <v>-0.8969508472241854</v>
      </c>
    </row>
    <row r="1588">
      <c r="A1588" s="3" t="inlineStr">
        <is>
          <t>NLD.distn.dec.ove.mean.1</t>
        </is>
      </c>
      <c r="B1588" s="3" t="inlineStr">
        <is>
          <t>NLD</t>
        </is>
      </c>
      <c r="C1588" s="3" t="n">
        <v>2005</v>
      </c>
      <c r="D1588" s="3" t="inlineStr">
        <is>
          <t>Overall</t>
        </is>
      </c>
      <c r="E1588" s="3" t="inlineStr">
        <is>
          <t>Deciles</t>
        </is>
      </c>
      <c r="F1588" s="3" t="inlineStr">
        <is>
          <t>mean</t>
        </is>
      </c>
      <c r="G1588" s="3" t="n">
        <v>1</v>
      </c>
      <c r="H1588" s="3" t="n">
        <v>-0.7872329354286194</v>
      </c>
      <c r="I1588" s="3" t="n">
        <v>-0.7872329354286194</v>
      </c>
      <c r="J1588" s="3" t="n">
        <v>-0.8868536353111267</v>
      </c>
      <c r="K1588" s="3" t="n">
        <v>-0.8868536353111267</v>
      </c>
      <c r="L1588" s="3" t="n">
        <v>-0.7872329354286194</v>
      </c>
      <c r="M1588" s="3" t="n">
        <v>-0.7872329354286194</v>
      </c>
      <c r="N1588" s="3" t="n">
        <v>-0.7872329354286194</v>
      </c>
      <c r="O1588" s="3" t="n">
        <v>-0.7872329354286194</v>
      </c>
      <c r="P1588" s="3" t="n">
        <v>-0.7872329354286194</v>
      </c>
      <c r="Q1588" s="3" t="n">
        <v>-0.7872329354286194</v>
      </c>
      <c r="R1588" s="3" t="n">
        <v>-0.7734707593917847</v>
      </c>
      <c r="S1588" s="3" t="n">
        <v>-1.397716164588928</v>
      </c>
      <c r="T1588" s="3" t="n">
        <v>-0.7094525694847107</v>
      </c>
      <c r="U1588" s="3" t="n">
        <v>-0.8868536353111267</v>
      </c>
      <c r="V1588" s="3" t="n">
        <v>-0.6819344758987427</v>
      </c>
      <c r="W1588" s="3" t="n">
        <v>-0.5643970370292664</v>
      </c>
      <c r="X1588" s="3" t="n">
        <v>-1.346114277839661</v>
      </c>
      <c r="Y1588" s="3" t="n">
        <v>-0.7872329354286194</v>
      </c>
      <c r="Z1588" s="3" t="n">
        <v>-1.397716164588928</v>
      </c>
      <c r="AA1588" s="3" t="n">
        <v>-1.397716164588928</v>
      </c>
      <c r="AB1588" s="3" t="n">
        <v>-1.346114277839661</v>
      </c>
      <c r="AC1588" s="3" t="n">
        <v>-2.095573902130127</v>
      </c>
      <c r="AD1588" s="3" t="n">
        <v>-0.8868536353111267</v>
      </c>
      <c r="AE1588" s="3" t="n">
        <v>-0.8868536353111267</v>
      </c>
    </row>
    <row r="1589">
      <c r="A1589" s="3" t="inlineStr">
        <is>
          <t>NLD.distn.dec.ove.mean.2</t>
        </is>
      </c>
      <c r="B1589" s="3" t="inlineStr">
        <is>
          <t>NLD</t>
        </is>
      </c>
      <c r="C1589" s="3" t="n">
        <v>2005</v>
      </c>
      <c r="D1589" s="3" t="inlineStr">
        <is>
          <t>Overall</t>
        </is>
      </c>
      <c r="E1589" s="3" t="inlineStr">
        <is>
          <t>Deciles</t>
        </is>
      </c>
      <c r="F1589" s="3" t="inlineStr">
        <is>
          <t>mean</t>
        </is>
      </c>
      <c r="G1589" s="3" t="n">
        <v>2</v>
      </c>
      <c r="H1589" s="3" t="n">
        <v>-0.7872329354286194</v>
      </c>
      <c r="I1589" s="3" t="n">
        <v>-0.7872329354286194</v>
      </c>
      <c r="J1589" s="3" t="n">
        <v>-0.8868536353111267</v>
      </c>
      <c r="K1589" s="3" t="n">
        <v>-0.8868536353111267</v>
      </c>
      <c r="L1589" s="3" t="n">
        <v>-0.7872329354286194</v>
      </c>
      <c r="M1589" s="3" t="n">
        <v>-0.7872329354286194</v>
      </c>
      <c r="N1589" s="3" t="n">
        <v>-0.7872329354286194</v>
      </c>
      <c r="O1589" s="3" t="n">
        <v>-0.7872329354286194</v>
      </c>
      <c r="P1589" s="3" t="n">
        <v>-0.7872329354286194</v>
      </c>
      <c r="Q1589" s="3" t="n">
        <v>-0.7872329354286194</v>
      </c>
      <c r="R1589" s="3" t="n">
        <v>-0.7734707593917847</v>
      </c>
      <c r="S1589" s="3" t="n">
        <v>-1.397716164588928</v>
      </c>
      <c r="T1589" s="3" t="n">
        <v>-0.7094525694847107</v>
      </c>
      <c r="U1589" s="3" t="n">
        <v>-0.8868536353111267</v>
      </c>
      <c r="V1589" s="3" t="n">
        <v>-0.6819344758987427</v>
      </c>
      <c r="W1589" s="3" t="n">
        <v>-0.5643970370292664</v>
      </c>
      <c r="X1589" s="3" t="n">
        <v>-1.346114277839661</v>
      </c>
      <c r="Y1589" s="3" t="n">
        <v>-0.7872329354286194</v>
      </c>
      <c r="Z1589" s="3" t="n">
        <v>-1.397716164588928</v>
      </c>
      <c r="AA1589" s="3" t="n">
        <v>-1.397716164588928</v>
      </c>
      <c r="AB1589" s="3" t="n">
        <v>-1.346114277839661</v>
      </c>
      <c r="AC1589" s="3" t="n">
        <v>-2.095573902130127</v>
      </c>
      <c r="AD1589" s="3" t="n">
        <v>-0.8868536353111267</v>
      </c>
      <c r="AE1589" s="3" t="n">
        <v>-0.8868536353111267</v>
      </c>
    </row>
    <row r="1590">
      <c r="A1590" s="3" t="inlineStr">
        <is>
          <t>NLD.distn.dec.ove.mean.3</t>
        </is>
      </c>
      <c r="B1590" s="3" t="inlineStr">
        <is>
          <t>NLD</t>
        </is>
      </c>
      <c r="C1590" s="3" t="n">
        <v>2005</v>
      </c>
      <c r="D1590" s="3" t="inlineStr">
        <is>
          <t>Overall</t>
        </is>
      </c>
      <c r="E1590" s="3" t="inlineStr">
        <is>
          <t>Deciles</t>
        </is>
      </c>
      <c r="F1590" s="3" t="inlineStr">
        <is>
          <t>mean</t>
        </is>
      </c>
      <c r="G1590" s="3" t="n">
        <v>3</v>
      </c>
      <c r="H1590" s="3" t="n">
        <v>-0.7872329354286194</v>
      </c>
      <c r="I1590" s="3" t="n">
        <v>-0.7872329354286194</v>
      </c>
      <c r="J1590" s="3" t="n">
        <v>-0.8868536353111267</v>
      </c>
      <c r="K1590" s="3" t="n">
        <v>-0.8868536353111267</v>
      </c>
      <c r="L1590" s="3" t="n">
        <v>-0.7872329354286194</v>
      </c>
      <c r="M1590" s="3" t="n">
        <v>-0.7872329354286194</v>
      </c>
      <c r="N1590" s="3" t="n">
        <v>-0.7872329354286194</v>
      </c>
      <c r="O1590" s="3" t="n">
        <v>-0.7872329354286194</v>
      </c>
      <c r="P1590" s="3" t="n">
        <v>-0.7872329354286194</v>
      </c>
      <c r="Q1590" s="3" t="n">
        <v>-0.7872329354286194</v>
      </c>
      <c r="R1590" s="3" t="n">
        <v>-0.7734707593917847</v>
      </c>
      <c r="S1590" s="3" t="n">
        <v>-1.397716164588928</v>
      </c>
      <c r="T1590" s="3" t="n">
        <v>-0.7094525694847107</v>
      </c>
      <c r="U1590" s="3" t="n">
        <v>-0.8868536353111267</v>
      </c>
      <c r="V1590" s="3" t="n">
        <v>-0.6819344758987427</v>
      </c>
      <c r="W1590" s="3" t="n">
        <v>-0.5643970370292664</v>
      </c>
      <c r="X1590" s="3" t="n">
        <v>-1.346114277839661</v>
      </c>
      <c r="Y1590" s="3" t="n">
        <v>-0.7872329354286194</v>
      </c>
      <c r="Z1590" s="3" t="n">
        <v>-1.397716164588928</v>
      </c>
      <c r="AA1590" s="3" t="n">
        <v>-1.397716164588928</v>
      </c>
      <c r="AB1590" s="3" t="n">
        <v>-1.346114277839661</v>
      </c>
      <c r="AC1590" s="3" t="n">
        <v>-2.095573902130127</v>
      </c>
      <c r="AD1590" s="3" t="n">
        <v>-0.8868536353111267</v>
      </c>
      <c r="AE1590" s="3" t="n">
        <v>-0.8868536353111267</v>
      </c>
    </row>
    <row r="1591">
      <c r="A1591" s="3" t="inlineStr">
        <is>
          <t>NLD.distn.dec.ove.mean.4</t>
        </is>
      </c>
      <c r="B1591" s="3" t="inlineStr">
        <is>
          <t>NLD</t>
        </is>
      </c>
      <c r="C1591" s="3" t="n">
        <v>2005</v>
      </c>
      <c r="D1591" s="3" t="inlineStr">
        <is>
          <t>Overall</t>
        </is>
      </c>
      <c r="E1591" s="3" t="inlineStr">
        <is>
          <t>Deciles</t>
        </is>
      </c>
      <c r="F1591" s="3" t="inlineStr">
        <is>
          <t>mean</t>
        </is>
      </c>
      <c r="G1591" s="3" t="n">
        <v>4</v>
      </c>
      <c r="H1591" s="3" t="n">
        <v>-0.781000018119812</v>
      </c>
      <c r="I1591" s="3" t="n">
        <v>-0.781000018119812</v>
      </c>
      <c r="J1591" s="3" t="n">
        <v>-0.843999981880188</v>
      </c>
      <c r="K1591" s="3" t="n">
        <v>-0.843999981880188</v>
      </c>
      <c r="L1591" s="3" t="n">
        <v>-0.781000018119812</v>
      </c>
      <c r="M1591" s="3" t="n">
        <v>-0.781000018119812</v>
      </c>
      <c r="N1591" s="3" t="n">
        <v>-0.781000018119812</v>
      </c>
      <c r="O1591" s="3" t="n">
        <v>-0.781000018119812</v>
      </c>
      <c r="P1591" s="3" t="n">
        <v>-0.781000018119812</v>
      </c>
      <c r="Q1591" s="3" t="n">
        <v>-0.781000018119812</v>
      </c>
      <c r="R1591" s="3" t="n">
        <v>-0.7699999809265137</v>
      </c>
      <c r="S1591" s="3" t="n">
        <v>-0.9520000219345093</v>
      </c>
      <c r="T1591" s="3" t="n">
        <v>-0.7080000042915344</v>
      </c>
      <c r="U1591" s="3" t="n">
        <v>-0.843999981880188</v>
      </c>
      <c r="V1591" s="3" t="n">
        <v>-0.675000011920929</v>
      </c>
      <c r="W1591" s="3" t="n">
        <v>-0.4749999940395355</v>
      </c>
      <c r="X1591" s="3" t="n">
        <v>-0.949999988079071</v>
      </c>
      <c r="Y1591" s="3" t="n">
        <v>-0.781000018119812</v>
      </c>
      <c r="Z1591" s="3" t="n">
        <v>-0.9520000219345093</v>
      </c>
      <c r="AA1591" s="3" t="n">
        <v>-0.9520000219345093</v>
      </c>
      <c r="AB1591" s="3" t="n">
        <v>-0.949999988079071</v>
      </c>
      <c r="AC1591" s="3" t="n">
        <v>-1.01199996471405</v>
      </c>
      <c r="AD1591" s="3" t="n">
        <v>-0.843999981880188</v>
      </c>
      <c r="AE1591" s="3" t="n">
        <v>-0.843999981880188</v>
      </c>
    </row>
    <row r="1592">
      <c r="A1592" s="3" t="inlineStr">
        <is>
          <t>NLD.distn.dec.ove.mean.5</t>
        </is>
      </c>
      <c r="B1592" s="3" t="inlineStr">
        <is>
          <t>NLD</t>
        </is>
      </c>
      <c r="C1592" s="3" t="n">
        <v>2005</v>
      </c>
      <c r="D1592" s="3" t="inlineStr">
        <is>
          <t>Overall</t>
        </is>
      </c>
      <c r="E1592" s="3" t="inlineStr">
        <is>
          <t>Deciles</t>
        </is>
      </c>
      <c r="F1592" s="3" t="inlineStr">
        <is>
          <t>mean</t>
        </is>
      </c>
      <c r="G1592" s="3" t="n">
        <v>5</v>
      </c>
      <c r="H1592" s="3" t="n">
        <v>-0.781000018119812</v>
      </c>
      <c r="I1592" s="3" t="n">
        <v>-0.781000018119812</v>
      </c>
      <c r="J1592" s="3" t="n">
        <v>-0.843999981880188</v>
      </c>
      <c r="K1592" s="3" t="n">
        <v>-0.843999981880188</v>
      </c>
      <c r="L1592" s="3" t="n">
        <v>-0.781000018119812</v>
      </c>
      <c r="M1592" s="3" t="n">
        <v>-0.781000018119812</v>
      </c>
      <c r="N1592" s="3" t="n">
        <v>-0.781000018119812</v>
      </c>
      <c r="O1592" s="3" t="n">
        <v>-0.781000018119812</v>
      </c>
      <c r="P1592" s="3" t="n">
        <v>-0.781000018119812</v>
      </c>
      <c r="Q1592" s="3" t="n">
        <v>-0.781000018119812</v>
      </c>
      <c r="R1592" s="3" t="n">
        <v>-0.7699999809265137</v>
      </c>
      <c r="S1592" s="3" t="n">
        <v>-0.9520000219345093</v>
      </c>
      <c r="T1592" s="3" t="n">
        <v>-0.7080000042915344</v>
      </c>
      <c r="U1592" s="3" t="n">
        <v>-0.843999981880188</v>
      </c>
      <c r="V1592" s="3" t="n">
        <v>-0.675000011920929</v>
      </c>
      <c r="W1592" s="3" t="n">
        <v>-0.4749999940395355</v>
      </c>
      <c r="X1592" s="3" t="n">
        <v>-0.949999988079071</v>
      </c>
      <c r="Y1592" s="3" t="n">
        <v>-0.781000018119812</v>
      </c>
      <c r="Z1592" s="3" t="n">
        <v>-0.9520000219345093</v>
      </c>
      <c r="AA1592" s="3" t="n">
        <v>-0.9520000219345093</v>
      </c>
      <c r="AB1592" s="3" t="n">
        <v>-0.949999988079071</v>
      </c>
      <c r="AC1592" s="3" t="n">
        <v>-1.01199996471405</v>
      </c>
      <c r="AD1592" s="3" t="n">
        <v>-0.843999981880188</v>
      </c>
      <c r="AE1592" s="3" t="n">
        <v>-0.843999981880188</v>
      </c>
    </row>
    <row r="1593">
      <c r="A1593" s="3" t="inlineStr">
        <is>
          <t>NLD.distn.dec.ove.mean.6</t>
        </is>
      </c>
      <c r="B1593" s="3" t="inlineStr">
        <is>
          <t>NLD</t>
        </is>
      </c>
      <c r="C1593" s="3" t="n">
        <v>2005</v>
      </c>
      <c r="D1593" s="3" t="inlineStr">
        <is>
          <t>Overall</t>
        </is>
      </c>
      <c r="E1593" s="3" t="inlineStr">
        <is>
          <t>Deciles</t>
        </is>
      </c>
      <c r="F1593" s="3" t="inlineStr">
        <is>
          <t>mean</t>
        </is>
      </c>
      <c r="G1593" s="3" t="n">
        <v>6</v>
      </c>
      <c r="H1593" s="3" t="n">
        <v>-0.781000018119812</v>
      </c>
      <c r="I1593" s="3" t="n">
        <v>-0.781000018119812</v>
      </c>
      <c r="J1593" s="3" t="n">
        <v>-0.843999981880188</v>
      </c>
      <c r="K1593" s="3" t="n">
        <v>-0.843999981880188</v>
      </c>
      <c r="L1593" s="3" t="n">
        <v>-0.781000018119812</v>
      </c>
      <c r="M1593" s="3" t="n">
        <v>-0.781000018119812</v>
      </c>
      <c r="N1593" s="3" t="n">
        <v>-0.781000018119812</v>
      </c>
      <c r="O1593" s="3" t="n">
        <v>-0.781000018119812</v>
      </c>
      <c r="P1593" s="3" t="n">
        <v>-0.781000018119812</v>
      </c>
      <c r="Q1593" s="3" t="n">
        <v>-0.781000018119812</v>
      </c>
      <c r="R1593" s="3" t="n">
        <v>-0.7699999809265137</v>
      </c>
      <c r="S1593" s="3" t="n">
        <v>-0.9520000219345093</v>
      </c>
      <c r="T1593" s="3" t="n">
        <v>-0.7080000042915344</v>
      </c>
      <c r="U1593" s="3" t="n">
        <v>-0.843999981880188</v>
      </c>
      <c r="V1593" s="3" t="n">
        <v>-0.675000011920929</v>
      </c>
      <c r="W1593" s="3" t="n">
        <v>-0.4749999940395355</v>
      </c>
      <c r="X1593" s="3" t="n">
        <v>-0.949999988079071</v>
      </c>
      <c r="Y1593" s="3" t="n">
        <v>-0.781000018119812</v>
      </c>
      <c r="Z1593" s="3" t="n">
        <v>-0.9520000219345093</v>
      </c>
      <c r="AA1593" s="3" t="n">
        <v>-0.9520000219345093</v>
      </c>
      <c r="AB1593" s="3" t="n">
        <v>-0.949999988079071</v>
      </c>
      <c r="AC1593" s="3" t="n">
        <v>-1.01199996471405</v>
      </c>
      <c r="AD1593" s="3" t="n">
        <v>-0.843999981880188</v>
      </c>
      <c r="AE1593" s="3" t="n">
        <v>-0.843999981880188</v>
      </c>
    </row>
    <row r="1594">
      <c r="A1594" s="3" t="inlineStr">
        <is>
          <t>NLD.distn.dec.ove.mean.7</t>
        </is>
      </c>
      <c r="B1594" s="3" t="inlineStr">
        <is>
          <t>NLD</t>
        </is>
      </c>
      <c r="C1594" s="3" t="n">
        <v>2005</v>
      </c>
      <c r="D1594" s="3" t="inlineStr">
        <is>
          <t>Overall</t>
        </is>
      </c>
      <c r="E1594" s="3" t="inlineStr">
        <is>
          <t>Deciles</t>
        </is>
      </c>
      <c r="F1594" s="3" t="inlineStr">
        <is>
          <t>mean</t>
        </is>
      </c>
      <c r="G1594" s="3" t="n">
        <v>7</v>
      </c>
      <c r="H1594" s="3" t="n">
        <v>-0.781000018119812</v>
      </c>
      <c r="I1594" s="3" t="n">
        <v>-0.781000018119812</v>
      </c>
      <c r="J1594" s="3" t="n">
        <v>-0.843999981880188</v>
      </c>
      <c r="K1594" s="3" t="n">
        <v>-0.843999981880188</v>
      </c>
      <c r="L1594" s="3" t="n">
        <v>-0.781000018119812</v>
      </c>
      <c r="M1594" s="3" t="n">
        <v>-0.781000018119812</v>
      </c>
      <c r="N1594" s="3" t="n">
        <v>-0.781000018119812</v>
      </c>
      <c r="O1594" s="3" t="n">
        <v>-0.781000018119812</v>
      </c>
      <c r="P1594" s="3" t="n">
        <v>-0.781000018119812</v>
      </c>
      <c r="Q1594" s="3" t="n">
        <v>-0.781000018119812</v>
      </c>
      <c r="R1594" s="3" t="n">
        <v>-0.7699999809265137</v>
      </c>
      <c r="S1594" s="3" t="n">
        <v>-0.9520000219345093</v>
      </c>
      <c r="T1594" s="3" t="n">
        <v>-0.7080000042915344</v>
      </c>
      <c r="U1594" s="3" t="n">
        <v>-0.843999981880188</v>
      </c>
      <c r="V1594" s="3" t="n">
        <v>-0.675000011920929</v>
      </c>
      <c r="W1594" s="3" t="n">
        <v>-0.4749999940395355</v>
      </c>
      <c r="X1594" s="3" t="n">
        <v>-0.949999988079071</v>
      </c>
      <c r="Y1594" s="3" t="n">
        <v>-0.781000018119812</v>
      </c>
      <c r="Z1594" s="3" t="n">
        <v>-0.9520000219345093</v>
      </c>
      <c r="AA1594" s="3" t="n">
        <v>-0.9520000219345093</v>
      </c>
      <c r="AB1594" s="3" t="n">
        <v>-0.949999988079071</v>
      </c>
      <c r="AC1594" s="3" t="n">
        <v>-1.01199996471405</v>
      </c>
      <c r="AD1594" s="3" t="n">
        <v>-0.843999981880188</v>
      </c>
      <c r="AE1594" s="3" t="n">
        <v>-0.843999981880188</v>
      </c>
    </row>
    <row r="1595">
      <c r="A1595" s="3" t="inlineStr">
        <is>
          <t>NLD.distn.dec.ove.mean.8</t>
        </is>
      </c>
      <c r="B1595" s="3" t="inlineStr">
        <is>
          <t>NLD</t>
        </is>
      </c>
      <c r="C1595" s="3" t="n">
        <v>2005</v>
      </c>
      <c r="D1595" s="3" t="inlineStr">
        <is>
          <t>Overall</t>
        </is>
      </c>
      <c r="E1595" s="3" t="inlineStr">
        <is>
          <t>Deciles</t>
        </is>
      </c>
      <c r="F1595" s="3" t="inlineStr">
        <is>
          <t>mean</t>
        </is>
      </c>
      <c r="G1595" s="3" t="n">
        <v>8</v>
      </c>
      <c r="H1595" s="3" t="n">
        <v>-0.7813762426376343</v>
      </c>
      <c r="I1595" s="3" t="n">
        <v>-0.7813762426376343</v>
      </c>
      <c r="J1595" s="3" t="n">
        <v>-0.8462767601013184</v>
      </c>
      <c r="K1595" s="3" t="n">
        <v>-0.8462767601013184</v>
      </c>
      <c r="L1595" s="3" t="n">
        <v>-0.7813762426376343</v>
      </c>
      <c r="M1595" s="3" t="n">
        <v>-0.7813762426376343</v>
      </c>
      <c r="N1595" s="3" t="n">
        <v>-0.7813762426376343</v>
      </c>
      <c r="O1595" s="3" t="n">
        <v>-0.7813762426376343</v>
      </c>
      <c r="P1595" s="3" t="n">
        <v>-0.7813762426376343</v>
      </c>
      <c r="Q1595" s="3" t="n">
        <v>-0.7813762426376343</v>
      </c>
      <c r="R1595" s="3" t="n">
        <v>-0.7702532410621643</v>
      </c>
      <c r="S1595" s="3" t="n">
        <v>-0.9608584642410278</v>
      </c>
      <c r="T1595" s="3" t="n">
        <v>-0.7080408334732056</v>
      </c>
      <c r="U1595" s="3" t="n">
        <v>-0.8462767601013184</v>
      </c>
      <c r="V1595" s="3" t="n">
        <v>-0.6756978034973145</v>
      </c>
      <c r="W1595" s="3" t="n">
        <v>-0.4877199232578278</v>
      </c>
      <c r="X1595" s="3" t="n">
        <v>-0.958656370639801</v>
      </c>
      <c r="Y1595" s="3" t="n">
        <v>-0.7813762426376343</v>
      </c>
      <c r="Z1595" s="3" t="n">
        <v>-0.9608584642410278</v>
      </c>
      <c r="AA1595" s="3" t="n">
        <v>-0.9608584642410278</v>
      </c>
      <c r="AB1595" s="3" t="n">
        <v>-0.958656370639801</v>
      </c>
      <c r="AC1595" s="3" t="n">
        <v>-1.026432514190674</v>
      </c>
      <c r="AD1595" s="3" t="n">
        <v>-0.8462767601013184</v>
      </c>
      <c r="AE1595" s="3" t="n">
        <v>-0.8462767601013184</v>
      </c>
    </row>
    <row r="1596">
      <c r="A1596" s="3" t="inlineStr">
        <is>
          <t>NLD.distn.dec.ove.mean.9</t>
        </is>
      </c>
      <c r="B1596" s="3" t="inlineStr">
        <is>
          <t>NLD</t>
        </is>
      </c>
      <c r="C1596" s="3" t="n">
        <v>2005</v>
      </c>
      <c r="D1596" s="3" t="inlineStr">
        <is>
          <t>Overall</t>
        </is>
      </c>
      <c r="E1596" s="3" t="inlineStr">
        <is>
          <t>Deciles</t>
        </is>
      </c>
      <c r="F1596" s="3" t="inlineStr">
        <is>
          <t>mean</t>
        </is>
      </c>
      <c r="G1596" s="3" t="n">
        <v>9</v>
      </c>
      <c r="H1596" s="3" t="n">
        <v>-0.7813762426376343</v>
      </c>
      <c r="I1596" s="3" t="n">
        <v>-0.7813762426376343</v>
      </c>
      <c r="J1596" s="3" t="n">
        <v>-0.8462767601013184</v>
      </c>
      <c r="K1596" s="3" t="n">
        <v>-0.8462767601013184</v>
      </c>
      <c r="L1596" s="3" t="n">
        <v>-0.7813762426376343</v>
      </c>
      <c r="M1596" s="3" t="n">
        <v>-0.7813762426376343</v>
      </c>
      <c r="N1596" s="3" t="n">
        <v>-0.7813762426376343</v>
      </c>
      <c r="O1596" s="3" t="n">
        <v>-0.7813762426376343</v>
      </c>
      <c r="P1596" s="3" t="n">
        <v>-0.7813762426376343</v>
      </c>
      <c r="Q1596" s="3" t="n">
        <v>-0.7813762426376343</v>
      </c>
      <c r="R1596" s="3" t="n">
        <v>-0.7702532410621643</v>
      </c>
      <c r="S1596" s="3" t="n">
        <v>-0.9608584642410278</v>
      </c>
      <c r="T1596" s="3" t="n">
        <v>-0.7080408334732056</v>
      </c>
      <c r="U1596" s="3" t="n">
        <v>-0.8462767601013184</v>
      </c>
      <c r="V1596" s="3" t="n">
        <v>-0.6756978034973145</v>
      </c>
      <c r="W1596" s="3" t="n">
        <v>-0.4877199232578278</v>
      </c>
      <c r="X1596" s="3" t="n">
        <v>-0.958656370639801</v>
      </c>
      <c r="Y1596" s="3" t="n">
        <v>-0.7813762426376343</v>
      </c>
      <c r="Z1596" s="3" t="n">
        <v>-0.9608584642410278</v>
      </c>
      <c r="AA1596" s="3" t="n">
        <v>-0.9608584642410278</v>
      </c>
      <c r="AB1596" s="3" t="n">
        <v>-0.958656370639801</v>
      </c>
      <c r="AC1596" s="3" t="n">
        <v>-1.026432514190674</v>
      </c>
      <c r="AD1596" s="3" t="n">
        <v>-0.8462767601013184</v>
      </c>
      <c r="AE1596" s="3" t="n">
        <v>-0.8462767601013184</v>
      </c>
    </row>
    <row r="1597">
      <c r="A1597" s="3" t="inlineStr">
        <is>
          <t>NLD.distn.dec.ove.mean.10</t>
        </is>
      </c>
      <c r="B1597" s="3" t="inlineStr">
        <is>
          <t>NLD</t>
        </is>
      </c>
      <c r="C1597" s="3" t="n">
        <v>2005</v>
      </c>
      <c r="D1597" s="3" t="inlineStr">
        <is>
          <t>Overall</t>
        </is>
      </c>
      <c r="E1597" s="3" t="inlineStr">
        <is>
          <t>Deciles</t>
        </is>
      </c>
      <c r="F1597" s="3" t="inlineStr">
        <is>
          <t>mean</t>
        </is>
      </c>
      <c r="G1597" s="3" t="n">
        <v>10</v>
      </c>
      <c r="H1597" s="3" t="n">
        <v>-0.7813762426376343</v>
      </c>
      <c r="I1597" s="3" t="n">
        <v>-0.7813762426376343</v>
      </c>
      <c r="J1597" s="3" t="n">
        <v>-0.8462767601013184</v>
      </c>
      <c r="K1597" s="3" t="n">
        <v>-0.8462767601013184</v>
      </c>
      <c r="L1597" s="3" t="n">
        <v>-0.7813762426376343</v>
      </c>
      <c r="M1597" s="3" t="n">
        <v>-0.7813762426376343</v>
      </c>
      <c r="N1597" s="3" t="n">
        <v>-0.7813762426376343</v>
      </c>
      <c r="O1597" s="3" t="n">
        <v>-0.7813762426376343</v>
      </c>
      <c r="P1597" s="3" t="n">
        <v>-0.7813762426376343</v>
      </c>
      <c r="Q1597" s="3" t="n">
        <v>-0.7813762426376343</v>
      </c>
      <c r="R1597" s="3" t="n">
        <v>-0.7702532410621643</v>
      </c>
      <c r="S1597" s="3" t="n">
        <v>-0.9608584642410278</v>
      </c>
      <c r="T1597" s="3" t="n">
        <v>-0.7080408334732056</v>
      </c>
      <c r="U1597" s="3" t="n">
        <v>-0.8462767601013184</v>
      </c>
      <c r="V1597" s="3" t="n">
        <v>-0.6756978034973145</v>
      </c>
      <c r="W1597" s="3" t="n">
        <v>-0.4877199232578278</v>
      </c>
      <c r="X1597" s="3" t="n">
        <v>-0.958656370639801</v>
      </c>
      <c r="Y1597" s="3" t="n">
        <v>-0.7813762426376343</v>
      </c>
      <c r="Z1597" s="3" t="n">
        <v>-0.9608584642410278</v>
      </c>
      <c r="AA1597" s="3" t="n">
        <v>-0.9608584642410278</v>
      </c>
      <c r="AB1597" s="3" t="n">
        <v>-0.958656370639801</v>
      </c>
      <c r="AC1597" s="3" t="n">
        <v>-1.026432514190674</v>
      </c>
      <c r="AD1597" s="3" t="n">
        <v>-0.8462767601013184</v>
      </c>
      <c r="AE1597" s="3" t="n">
        <v>-0.8462767601013184</v>
      </c>
    </row>
    <row r="1598">
      <c r="A1598" s="3" t="inlineStr">
        <is>
          <t>NLD.distn.bkt.ove.mean.9999</t>
        </is>
      </c>
      <c r="B1598" s="3" t="inlineStr">
        <is>
          <t>NLD</t>
        </is>
      </c>
      <c r="C1598" s="3" t="n">
        <v>2005</v>
      </c>
      <c r="D1598" s="3" t="inlineStr">
        <is>
          <t>Overall</t>
        </is>
      </c>
      <c r="E1598" s="3" t="inlineStr">
        <is>
          <t>Basket</t>
        </is>
      </c>
      <c r="F1598" s="3" t="inlineStr">
        <is>
          <t>mean</t>
        </is>
      </c>
      <c r="G1598" s="3" t="n">
        <v>9999</v>
      </c>
      <c r="H1598" s="3" t="n">
        <v>-0.7829827666282654</v>
      </c>
      <c r="I1598" s="3" t="n">
        <v>-0.7829827666282654</v>
      </c>
      <c r="J1598" s="3" t="n">
        <v>-0.8575391173362732</v>
      </c>
      <c r="K1598" s="3" t="n">
        <v>-0.8575391173362732</v>
      </c>
      <c r="L1598" s="3" t="n">
        <v>-0.7829827666282654</v>
      </c>
      <c r="M1598" s="3" t="n">
        <v>-0.7829827666282654</v>
      </c>
      <c r="N1598" s="3" t="n">
        <v>-0.7829827666282654</v>
      </c>
      <c r="O1598" s="3" t="n">
        <v>-0.7829827666282654</v>
      </c>
      <c r="P1598" s="3" t="n">
        <v>-0.7829827666282654</v>
      </c>
      <c r="Q1598" s="3" t="n">
        <v>-0.7829827666282654</v>
      </c>
      <c r="R1598" s="3" t="n">
        <v>-0.7711172103881836</v>
      </c>
      <c r="S1598" s="3" t="n">
        <v>-1.088372349739075</v>
      </c>
      <c r="T1598" s="3" t="n">
        <v>-0.708448052406311</v>
      </c>
      <c r="U1598" s="3" t="n">
        <v>-0.8575391173362732</v>
      </c>
      <c r="V1598" s="3" t="n">
        <v>-0.6772896647453308</v>
      </c>
      <c r="W1598" s="3" t="n">
        <v>-0.5056350827217102</v>
      </c>
      <c r="X1598" s="3" t="n">
        <v>-1.071431159973145</v>
      </c>
      <c r="Y1598" s="3" t="n">
        <v>-0.7829827666282654</v>
      </c>
      <c r="Z1598" s="3" t="n">
        <v>-1.088372349739075</v>
      </c>
      <c r="AA1598" s="3" t="n">
        <v>-1.088372349739075</v>
      </c>
      <c r="AB1598" s="3" t="n">
        <v>-1.071431159973145</v>
      </c>
      <c r="AC1598" s="3" t="n">
        <v>-1.341401934623718</v>
      </c>
      <c r="AD1598" s="3" t="n">
        <v>-0.8575391173362732</v>
      </c>
      <c r="AE1598" s="3" t="n">
        <v>-0.8575391173362732</v>
      </c>
    </row>
    <row r="1599">
      <c r="A1599" s="3" t="inlineStr">
        <is>
          <t>NOR.distn.dec.ove.mean.1</t>
        </is>
      </c>
      <c r="B1599" s="3" t="inlineStr">
        <is>
          <t>NOR</t>
        </is>
      </c>
      <c r="C1599" s="3" t="n">
        <v>2005</v>
      </c>
      <c r="D1599" s="3" t="inlineStr">
        <is>
          <t>Overall</t>
        </is>
      </c>
      <c r="E1599" s="3" t="inlineStr">
        <is>
          <t>Deciles</t>
        </is>
      </c>
      <c r="F1599" s="3" t="inlineStr">
        <is>
          <t>mean</t>
        </is>
      </c>
      <c r="G1599" s="3" t="n">
        <v>1</v>
      </c>
      <c r="H1599" s="3" t="n">
        <v>-0.7872329354286194</v>
      </c>
      <c r="I1599" s="3" t="n">
        <v>-0.7872329354286194</v>
      </c>
      <c r="J1599" s="3" t="n">
        <v>-0.8868536353111267</v>
      </c>
      <c r="K1599" s="3" t="n">
        <v>-0.8868536353111267</v>
      </c>
      <c r="L1599" s="3" t="n">
        <v>-0.7872329354286194</v>
      </c>
      <c r="M1599" s="3" t="n">
        <v>-0.7872329354286194</v>
      </c>
      <c r="N1599" s="3" t="n">
        <v>-0.7872329354286194</v>
      </c>
      <c r="O1599" s="3" t="n">
        <v>-0.7872329354286194</v>
      </c>
      <c r="P1599" s="3" t="n">
        <v>-0.7872329354286194</v>
      </c>
      <c r="Q1599" s="3" t="n">
        <v>-0.7872329354286194</v>
      </c>
      <c r="R1599" s="3" t="n">
        <v>-0.7734707593917847</v>
      </c>
      <c r="S1599" s="3" t="n">
        <v>-1.396247982978821</v>
      </c>
      <c r="T1599" s="3" t="n">
        <v>-0.7094525694847107</v>
      </c>
      <c r="U1599" s="3" t="n">
        <v>-0.8868536353111267</v>
      </c>
      <c r="V1599" s="3" t="n">
        <v>-0.6819344758987427</v>
      </c>
      <c r="W1599" s="3" t="n">
        <v>-0.5632088184356689</v>
      </c>
      <c r="X1599" s="3" t="n">
        <v>-1.344697237014771</v>
      </c>
      <c r="Y1599" s="3" t="n">
        <v>-0.7872329354286194</v>
      </c>
      <c r="Z1599" s="3" t="n">
        <v>-1.396247982978821</v>
      </c>
      <c r="AA1599" s="3" t="n">
        <v>-1.396247982978821</v>
      </c>
      <c r="AB1599" s="3" t="n">
        <v>-1.344697237014771</v>
      </c>
      <c r="AC1599" s="3" t="n">
        <v>-2.09350323677063</v>
      </c>
      <c r="AD1599" s="3" t="n">
        <v>-0.8868536353111267</v>
      </c>
      <c r="AE1599" s="3" t="n">
        <v>-0.8868536353111267</v>
      </c>
    </row>
    <row r="1600">
      <c r="A1600" s="3" t="inlineStr">
        <is>
          <t>NOR.distn.dec.ove.mean.2</t>
        </is>
      </c>
      <c r="B1600" s="3" t="inlineStr">
        <is>
          <t>NOR</t>
        </is>
      </c>
      <c r="C1600" s="3" t="n">
        <v>2005</v>
      </c>
      <c r="D1600" s="3" t="inlineStr">
        <is>
          <t>Overall</t>
        </is>
      </c>
      <c r="E1600" s="3" t="inlineStr">
        <is>
          <t>Deciles</t>
        </is>
      </c>
      <c r="F1600" s="3" t="inlineStr">
        <is>
          <t>mean</t>
        </is>
      </c>
      <c r="G1600" s="3" t="n">
        <v>2</v>
      </c>
      <c r="H1600" s="3" t="n">
        <v>-0.7872329354286194</v>
      </c>
      <c r="I1600" s="3" t="n">
        <v>-0.7872329354286194</v>
      </c>
      <c r="J1600" s="3" t="n">
        <v>-0.8868536353111267</v>
      </c>
      <c r="K1600" s="3" t="n">
        <v>-0.8868536353111267</v>
      </c>
      <c r="L1600" s="3" t="n">
        <v>-0.7872329354286194</v>
      </c>
      <c r="M1600" s="3" t="n">
        <v>-0.7872329354286194</v>
      </c>
      <c r="N1600" s="3" t="n">
        <v>-0.7872329354286194</v>
      </c>
      <c r="O1600" s="3" t="n">
        <v>-0.7872329354286194</v>
      </c>
      <c r="P1600" s="3" t="n">
        <v>-0.7872329354286194</v>
      </c>
      <c r="Q1600" s="3" t="n">
        <v>-0.7872329354286194</v>
      </c>
      <c r="R1600" s="3" t="n">
        <v>-0.7734707593917847</v>
      </c>
      <c r="S1600" s="3" t="n">
        <v>-1.396247982978821</v>
      </c>
      <c r="T1600" s="3" t="n">
        <v>-0.7094525694847107</v>
      </c>
      <c r="U1600" s="3" t="n">
        <v>-0.8868536353111267</v>
      </c>
      <c r="V1600" s="3" t="n">
        <v>-0.6819344758987427</v>
      </c>
      <c r="W1600" s="3" t="n">
        <v>-0.5632088184356689</v>
      </c>
      <c r="X1600" s="3" t="n">
        <v>-1.344697237014771</v>
      </c>
      <c r="Y1600" s="3" t="n">
        <v>-0.7872329354286194</v>
      </c>
      <c r="Z1600" s="3" t="n">
        <v>-1.396247982978821</v>
      </c>
      <c r="AA1600" s="3" t="n">
        <v>-1.396247982978821</v>
      </c>
      <c r="AB1600" s="3" t="n">
        <v>-1.344697237014771</v>
      </c>
      <c r="AC1600" s="3" t="n">
        <v>-2.09350323677063</v>
      </c>
      <c r="AD1600" s="3" t="n">
        <v>-0.8868536353111267</v>
      </c>
      <c r="AE1600" s="3" t="n">
        <v>-0.8868536353111267</v>
      </c>
    </row>
    <row r="1601">
      <c r="A1601" s="3" t="inlineStr">
        <is>
          <t>NOR.distn.dec.ove.mean.3</t>
        </is>
      </c>
      <c r="B1601" s="3" t="inlineStr">
        <is>
          <t>NOR</t>
        </is>
      </c>
      <c r="C1601" s="3" t="n">
        <v>2005</v>
      </c>
      <c r="D1601" s="3" t="inlineStr">
        <is>
          <t>Overall</t>
        </is>
      </c>
      <c r="E1601" s="3" t="inlineStr">
        <is>
          <t>Deciles</t>
        </is>
      </c>
      <c r="F1601" s="3" t="inlineStr">
        <is>
          <t>mean</t>
        </is>
      </c>
      <c r="G1601" s="3" t="n">
        <v>3</v>
      </c>
      <c r="H1601" s="3" t="n">
        <v>-0.7872329354286194</v>
      </c>
      <c r="I1601" s="3" t="n">
        <v>-0.7872329354286194</v>
      </c>
      <c r="J1601" s="3" t="n">
        <v>-0.8868536353111267</v>
      </c>
      <c r="K1601" s="3" t="n">
        <v>-0.8868536353111267</v>
      </c>
      <c r="L1601" s="3" t="n">
        <v>-0.7872329354286194</v>
      </c>
      <c r="M1601" s="3" t="n">
        <v>-0.7872329354286194</v>
      </c>
      <c r="N1601" s="3" t="n">
        <v>-0.7872329354286194</v>
      </c>
      <c r="O1601" s="3" t="n">
        <v>-0.7872329354286194</v>
      </c>
      <c r="P1601" s="3" t="n">
        <v>-0.7872329354286194</v>
      </c>
      <c r="Q1601" s="3" t="n">
        <v>-0.7872329354286194</v>
      </c>
      <c r="R1601" s="3" t="n">
        <v>-0.7734707593917847</v>
      </c>
      <c r="S1601" s="3" t="n">
        <v>-1.396247982978821</v>
      </c>
      <c r="T1601" s="3" t="n">
        <v>-0.7094525694847107</v>
      </c>
      <c r="U1601" s="3" t="n">
        <v>-0.8868536353111267</v>
      </c>
      <c r="V1601" s="3" t="n">
        <v>-0.6819344758987427</v>
      </c>
      <c r="W1601" s="3" t="n">
        <v>-0.5632088184356689</v>
      </c>
      <c r="X1601" s="3" t="n">
        <v>-1.344697237014771</v>
      </c>
      <c r="Y1601" s="3" t="n">
        <v>-0.7872329354286194</v>
      </c>
      <c r="Z1601" s="3" t="n">
        <v>-1.396247982978821</v>
      </c>
      <c r="AA1601" s="3" t="n">
        <v>-1.396247982978821</v>
      </c>
      <c r="AB1601" s="3" t="n">
        <v>-1.344697237014771</v>
      </c>
      <c r="AC1601" s="3" t="n">
        <v>-2.09350323677063</v>
      </c>
      <c r="AD1601" s="3" t="n">
        <v>-0.8868536353111267</v>
      </c>
      <c r="AE1601" s="3" t="n">
        <v>-0.8868536353111267</v>
      </c>
    </row>
    <row r="1602">
      <c r="A1602" s="3" t="inlineStr">
        <is>
          <t>NOR.distn.dec.ove.mean.4</t>
        </is>
      </c>
      <c r="B1602" s="3" t="inlineStr">
        <is>
          <t>NOR</t>
        </is>
      </c>
      <c r="C1602" s="3" t="n">
        <v>2005</v>
      </c>
      <c r="D1602" s="3" t="inlineStr">
        <is>
          <t>Overall</t>
        </is>
      </c>
      <c r="E1602" s="3" t="inlineStr">
        <is>
          <t>Deciles</t>
        </is>
      </c>
      <c r="F1602" s="3" t="inlineStr">
        <is>
          <t>mean</t>
        </is>
      </c>
      <c r="G1602" s="3" t="n">
        <v>4</v>
      </c>
      <c r="H1602" s="3" t="n">
        <v>-0.781000018119812</v>
      </c>
      <c r="I1602" s="3" t="n">
        <v>-0.781000018119812</v>
      </c>
      <c r="J1602" s="3" t="n">
        <v>-0.843999981880188</v>
      </c>
      <c r="K1602" s="3" t="n">
        <v>-0.843999981880188</v>
      </c>
      <c r="L1602" s="3" t="n">
        <v>-0.781000018119812</v>
      </c>
      <c r="M1602" s="3" t="n">
        <v>-0.781000018119812</v>
      </c>
      <c r="N1602" s="3" t="n">
        <v>-0.781000018119812</v>
      </c>
      <c r="O1602" s="3" t="n">
        <v>-0.781000018119812</v>
      </c>
      <c r="P1602" s="3" t="n">
        <v>-0.781000018119812</v>
      </c>
      <c r="Q1602" s="3" t="n">
        <v>-0.781000018119812</v>
      </c>
      <c r="R1602" s="3" t="n">
        <v>-0.7699999809265137</v>
      </c>
      <c r="S1602" s="3" t="n">
        <v>-0.9509999752044678</v>
      </c>
      <c r="T1602" s="3" t="n">
        <v>-0.7080000042915344</v>
      </c>
      <c r="U1602" s="3" t="n">
        <v>-0.843999981880188</v>
      </c>
      <c r="V1602" s="3" t="n">
        <v>-0.675000011920929</v>
      </c>
      <c r="W1602" s="3" t="n">
        <v>-0.4740000069141388</v>
      </c>
      <c r="X1602" s="3" t="n">
        <v>-0.9490000009536743</v>
      </c>
      <c r="Y1602" s="3" t="n">
        <v>-0.781000018119812</v>
      </c>
      <c r="Z1602" s="3" t="n">
        <v>-0.9509999752044678</v>
      </c>
      <c r="AA1602" s="3" t="n">
        <v>-0.9509999752044678</v>
      </c>
      <c r="AB1602" s="3" t="n">
        <v>-0.9490000009536743</v>
      </c>
      <c r="AC1602" s="3" t="n">
        <v>-1.011000037193298</v>
      </c>
      <c r="AD1602" s="3" t="n">
        <v>-0.843999981880188</v>
      </c>
      <c r="AE1602" s="3" t="n">
        <v>-0.843999981880188</v>
      </c>
    </row>
    <row r="1603">
      <c r="A1603" s="3" t="inlineStr">
        <is>
          <t>NOR.distn.dec.ove.mean.5</t>
        </is>
      </c>
      <c r="B1603" s="3" t="inlineStr">
        <is>
          <t>NOR</t>
        </is>
      </c>
      <c r="C1603" s="3" t="n">
        <v>2005</v>
      </c>
      <c r="D1603" s="3" t="inlineStr">
        <is>
          <t>Overall</t>
        </is>
      </c>
      <c r="E1603" s="3" t="inlineStr">
        <is>
          <t>Deciles</t>
        </is>
      </c>
      <c r="F1603" s="3" t="inlineStr">
        <is>
          <t>mean</t>
        </is>
      </c>
      <c r="G1603" s="3" t="n">
        <v>5</v>
      </c>
      <c r="H1603" s="3" t="n">
        <v>-0.781000018119812</v>
      </c>
      <c r="I1603" s="3" t="n">
        <v>-0.781000018119812</v>
      </c>
      <c r="J1603" s="3" t="n">
        <v>-0.843999981880188</v>
      </c>
      <c r="K1603" s="3" t="n">
        <v>-0.843999981880188</v>
      </c>
      <c r="L1603" s="3" t="n">
        <v>-0.781000018119812</v>
      </c>
      <c r="M1603" s="3" t="n">
        <v>-0.781000018119812</v>
      </c>
      <c r="N1603" s="3" t="n">
        <v>-0.781000018119812</v>
      </c>
      <c r="O1603" s="3" t="n">
        <v>-0.781000018119812</v>
      </c>
      <c r="P1603" s="3" t="n">
        <v>-0.781000018119812</v>
      </c>
      <c r="Q1603" s="3" t="n">
        <v>-0.781000018119812</v>
      </c>
      <c r="R1603" s="3" t="n">
        <v>-0.7699999809265137</v>
      </c>
      <c r="S1603" s="3" t="n">
        <v>-0.9509999752044678</v>
      </c>
      <c r="T1603" s="3" t="n">
        <v>-0.7080000042915344</v>
      </c>
      <c r="U1603" s="3" t="n">
        <v>-0.843999981880188</v>
      </c>
      <c r="V1603" s="3" t="n">
        <v>-0.675000011920929</v>
      </c>
      <c r="W1603" s="3" t="n">
        <v>-0.4740000069141388</v>
      </c>
      <c r="X1603" s="3" t="n">
        <v>-0.9490000009536743</v>
      </c>
      <c r="Y1603" s="3" t="n">
        <v>-0.781000018119812</v>
      </c>
      <c r="Z1603" s="3" t="n">
        <v>-0.9509999752044678</v>
      </c>
      <c r="AA1603" s="3" t="n">
        <v>-0.9509999752044678</v>
      </c>
      <c r="AB1603" s="3" t="n">
        <v>-0.9490000009536743</v>
      </c>
      <c r="AC1603" s="3" t="n">
        <v>-1.011000037193298</v>
      </c>
      <c r="AD1603" s="3" t="n">
        <v>-0.843999981880188</v>
      </c>
      <c r="AE1603" s="3" t="n">
        <v>-0.843999981880188</v>
      </c>
    </row>
    <row r="1604">
      <c r="A1604" s="3" t="inlineStr">
        <is>
          <t>NOR.distn.dec.ove.mean.6</t>
        </is>
      </c>
      <c r="B1604" s="3" t="inlineStr">
        <is>
          <t>NOR</t>
        </is>
      </c>
      <c r="C1604" s="3" t="n">
        <v>2005</v>
      </c>
      <c r="D1604" s="3" t="inlineStr">
        <is>
          <t>Overall</t>
        </is>
      </c>
      <c r="E1604" s="3" t="inlineStr">
        <is>
          <t>Deciles</t>
        </is>
      </c>
      <c r="F1604" s="3" t="inlineStr">
        <is>
          <t>mean</t>
        </is>
      </c>
      <c r="G1604" s="3" t="n">
        <v>6</v>
      </c>
      <c r="H1604" s="3" t="n">
        <v>-0.781000018119812</v>
      </c>
      <c r="I1604" s="3" t="n">
        <v>-0.781000018119812</v>
      </c>
      <c r="J1604" s="3" t="n">
        <v>-0.843999981880188</v>
      </c>
      <c r="K1604" s="3" t="n">
        <v>-0.843999981880188</v>
      </c>
      <c r="L1604" s="3" t="n">
        <v>-0.781000018119812</v>
      </c>
      <c r="M1604" s="3" t="n">
        <v>-0.781000018119812</v>
      </c>
      <c r="N1604" s="3" t="n">
        <v>-0.781000018119812</v>
      </c>
      <c r="O1604" s="3" t="n">
        <v>-0.781000018119812</v>
      </c>
      <c r="P1604" s="3" t="n">
        <v>-0.781000018119812</v>
      </c>
      <c r="Q1604" s="3" t="n">
        <v>-0.781000018119812</v>
      </c>
      <c r="R1604" s="3" t="n">
        <v>-0.7699999809265137</v>
      </c>
      <c r="S1604" s="3" t="n">
        <v>-0.9509999752044678</v>
      </c>
      <c r="T1604" s="3" t="n">
        <v>-0.7080000042915344</v>
      </c>
      <c r="U1604" s="3" t="n">
        <v>-0.843999981880188</v>
      </c>
      <c r="V1604" s="3" t="n">
        <v>-0.675000011920929</v>
      </c>
      <c r="W1604" s="3" t="n">
        <v>-0.4740000069141388</v>
      </c>
      <c r="X1604" s="3" t="n">
        <v>-0.9490000009536743</v>
      </c>
      <c r="Y1604" s="3" t="n">
        <v>-0.781000018119812</v>
      </c>
      <c r="Z1604" s="3" t="n">
        <v>-0.9509999752044678</v>
      </c>
      <c r="AA1604" s="3" t="n">
        <v>-0.9509999752044678</v>
      </c>
      <c r="AB1604" s="3" t="n">
        <v>-0.9490000009536743</v>
      </c>
      <c r="AC1604" s="3" t="n">
        <v>-1.011000037193298</v>
      </c>
      <c r="AD1604" s="3" t="n">
        <v>-0.843999981880188</v>
      </c>
      <c r="AE1604" s="3" t="n">
        <v>-0.843999981880188</v>
      </c>
    </row>
    <row r="1605">
      <c r="A1605" s="3" t="inlineStr">
        <is>
          <t>NOR.distn.dec.ove.mean.7</t>
        </is>
      </c>
      <c r="B1605" s="3" t="inlineStr">
        <is>
          <t>NOR</t>
        </is>
      </c>
      <c r="C1605" s="3" t="n">
        <v>2005</v>
      </c>
      <c r="D1605" s="3" t="inlineStr">
        <is>
          <t>Overall</t>
        </is>
      </c>
      <c r="E1605" s="3" t="inlineStr">
        <is>
          <t>Deciles</t>
        </is>
      </c>
      <c r="F1605" s="3" t="inlineStr">
        <is>
          <t>mean</t>
        </is>
      </c>
      <c r="G1605" s="3" t="n">
        <v>7</v>
      </c>
      <c r="H1605" s="3" t="n">
        <v>-0.781000018119812</v>
      </c>
      <c r="I1605" s="3" t="n">
        <v>-0.781000018119812</v>
      </c>
      <c r="J1605" s="3" t="n">
        <v>-0.843999981880188</v>
      </c>
      <c r="K1605" s="3" t="n">
        <v>-0.843999981880188</v>
      </c>
      <c r="L1605" s="3" t="n">
        <v>-0.781000018119812</v>
      </c>
      <c r="M1605" s="3" t="n">
        <v>-0.781000018119812</v>
      </c>
      <c r="N1605" s="3" t="n">
        <v>-0.781000018119812</v>
      </c>
      <c r="O1605" s="3" t="n">
        <v>-0.781000018119812</v>
      </c>
      <c r="P1605" s="3" t="n">
        <v>-0.781000018119812</v>
      </c>
      <c r="Q1605" s="3" t="n">
        <v>-0.781000018119812</v>
      </c>
      <c r="R1605" s="3" t="n">
        <v>-0.7699999809265137</v>
      </c>
      <c r="S1605" s="3" t="n">
        <v>-0.9509999752044678</v>
      </c>
      <c r="T1605" s="3" t="n">
        <v>-0.7080000042915344</v>
      </c>
      <c r="U1605" s="3" t="n">
        <v>-0.843999981880188</v>
      </c>
      <c r="V1605" s="3" t="n">
        <v>-0.675000011920929</v>
      </c>
      <c r="W1605" s="3" t="n">
        <v>-0.4740000069141388</v>
      </c>
      <c r="X1605" s="3" t="n">
        <v>-0.9490000009536743</v>
      </c>
      <c r="Y1605" s="3" t="n">
        <v>-0.781000018119812</v>
      </c>
      <c r="Z1605" s="3" t="n">
        <v>-0.9509999752044678</v>
      </c>
      <c r="AA1605" s="3" t="n">
        <v>-0.9509999752044678</v>
      </c>
      <c r="AB1605" s="3" t="n">
        <v>-0.9490000009536743</v>
      </c>
      <c r="AC1605" s="3" t="n">
        <v>-1.011000037193298</v>
      </c>
      <c r="AD1605" s="3" t="n">
        <v>-0.843999981880188</v>
      </c>
      <c r="AE1605" s="3" t="n">
        <v>-0.843999981880188</v>
      </c>
    </row>
    <row r="1606">
      <c r="A1606" s="3" t="inlineStr">
        <is>
          <t>NOR.distn.dec.ove.mean.8</t>
        </is>
      </c>
      <c r="B1606" s="3" t="inlineStr">
        <is>
          <t>NOR</t>
        </is>
      </c>
      <c r="C1606" s="3" t="n">
        <v>2005</v>
      </c>
      <c r="D1606" s="3" t="inlineStr">
        <is>
          <t>Overall</t>
        </is>
      </c>
      <c r="E1606" s="3" t="inlineStr">
        <is>
          <t>Deciles</t>
        </is>
      </c>
      <c r="F1606" s="3" t="inlineStr">
        <is>
          <t>mean</t>
        </is>
      </c>
      <c r="G1606" s="3" t="n">
        <v>8</v>
      </c>
      <c r="H1606" s="3" t="n">
        <v>-0.7813762426376343</v>
      </c>
      <c r="I1606" s="3" t="n">
        <v>-0.7813762426376343</v>
      </c>
      <c r="J1606" s="3" t="n">
        <v>-0.8462767601013184</v>
      </c>
      <c r="K1606" s="3" t="n">
        <v>-0.8462767601013184</v>
      </c>
      <c r="L1606" s="3" t="n">
        <v>-0.7813762426376343</v>
      </c>
      <c r="M1606" s="3" t="n">
        <v>-0.7813762426376343</v>
      </c>
      <c r="N1606" s="3" t="n">
        <v>-0.7813762426376343</v>
      </c>
      <c r="O1606" s="3" t="n">
        <v>-0.7813762426376343</v>
      </c>
      <c r="P1606" s="3" t="n">
        <v>-0.7813762426376343</v>
      </c>
      <c r="Q1606" s="3" t="n">
        <v>-0.7813762426376343</v>
      </c>
      <c r="R1606" s="3" t="n">
        <v>-0.7702532410621643</v>
      </c>
      <c r="S1606" s="3" t="n">
        <v>-0.9598491787910461</v>
      </c>
      <c r="T1606" s="3" t="n">
        <v>-0.7080408334732056</v>
      </c>
      <c r="U1606" s="3" t="n">
        <v>-0.8462767601013184</v>
      </c>
      <c r="V1606" s="3" t="n">
        <v>-0.6756978034973145</v>
      </c>
      <c r="W1606" s="3" t="n">
        <v>-0.4866931438446045</v>
      </c>
      <c r="X1606" s="3" t="n">
        <v>-0.9576472640037537</v>
      </c>
      <c r="Y1606" s="3" t="n">
        <v>-0.7813762426376343</v>
      </c>
      <c r="Z1606" s="3" t="n">
        <v>-0.9598491787910461</v>
      </c>
      <c r="AA1606" s="3" t="n">
        <v>-0.9598491787910461</v>
      </c>
      <c r="AB1606" s="3" t="n">
        <v>-0.9576472640037537</v>
      </c>
      <c r="AC1606" s="3" t="n">
        <v>-1.025418162345886</v>
      </c>
      <c r="AD1606" s="3" t="n">
        <v>-0.8462767601013184</v>
      </c>
      <c r="AE1606" s="3" t="n">
        <v>-0.8462767601013184</v>
      </c>
    </row>
    <row r="1607">
      <c r="A1607" s="3" t="inlineStr">
        <is>
          <t>NOR.distn.dec.ove.mean.9</t>
        </is>
      </c>
      <c r="B1607" s="3" t="inlineStr">
        <is>
          <t>NOR</t>
        </is>
      </c>
      <c r="C1607" s="3" t="n">
        <v>2005</v>
      </c>
      <c r="D1607" s="3" t="inlineStr">
        <is>
          <t>Overall</t>
        </is>
      </c>
      <c r="E1607" s="3" t="inlineStr">
        <is>
          <t>Deciles</t>
        </is>
      </c>
      <c r="F1607" s="3" t="inlineStr">
        <is>
          <t>mean</t>
        </is>
      </c>
      <c r="G1607" s="3" t="n">
        <v>9</v>
      </c>
      <c r="H1607" s="3" t="n">
        <v>-0.7813762426376343</v>
      </c>
      <c r="I1607" s="3" t="n">
        <v>-0.7813762426376343</v>
      </c>
      <c r="J1607" s="3" t="n">
        <v>-0.8462767601013184</v>
      </c>
      <c r="K1607" s="3" t="n">
        <v>-0.8462767601013184</v>
      </c>
      <c r="L1607" s="3" t="n">
        <v>-0.7813762426376343</v>
      </c>
      <c r="M1607" s="3" t="n">
        <v>-0.7813762426376343</v>
      </c>
      <c r="N1607" s="3" t="n">
        <v>-0.7813762426376343</v>
      </c>
      <c r="O1607" s="3" t="n">
        <v>-0.7813762426376343</v>
      </c>
      <c r="P1607" s="3" t="n">
        <v>-0.7813762426376343</v>
      </c>
      <c r="Q1607" s="3" t="n">
        <v>-0.7813762426376343</v>
      </c>
      <c r="R1607" s="3" t="n">
        <v>-0.7702532410621643</v>
      </c>
      <c r="S1607" s="3" t="n">
        <v>-0.9598491787910461</v>
      </c>
      <c r="T1607" s="3" t="n">
        <v>-0.7080408334732056</v>
      </c>
      <c r="U1607" s="3" t="n">
        <v>-0.8462767601013184</v>
      </c>
      <c r="V1607" s="3" t="n">
        <v>-0.6756978034973145</v>
      </c>
      <c r="W1607" s="3" t="n">
        <v>-0.4866931438446045</v>
      </c>
      <c r="X1607" s="3" t="n">
        <v>-0.9576472640037537</v>
      </c>
      <c r="Y1607" s="3" t="n">
        <v>-0.7813762426376343</v>
      </c>
      <c r="Z1607" s="3" t="n">
        <v>-0.9598491787910461</v>
      </c>
      <c r="AA1607" s="3" t="n">
        <v>-0.9598491787910461</v>
      </c>
      <c r="AB1607" s="3" t="n">
        <v>-0.9576472640037537</v>
      </c>
      <c r="AC1607" s="3" t="n">
        <v>-1.025418162345886</v>
      </c>
      <c r="AD1607" s="3" t="n">
        <v>-0.8462767601013184</v>
      </c>
      <c r="AE1607" s="3" t="n">
        <v>-0.8462767601013184</v>
      </c>
    </row>
    <row r="1608">
      <c r="A1608" s="3" t="inlineStr">
        <is>
          <t>NOR.distn.dec.ove.mean.10</t>
        </is>
      </c>
      <c r="B1608" s="3" t="inlineStr">
        <is>
          <t>NOR</t>
        </is>
      </c>
      <c r="C1608" s="3" t="n">
        <v>2005</v>
      </c>
      <c r="D1608" s="3" t="inlineStr">
        <is>
          <t>Overall</t>
        </is>
      </c>
      <c r="E1608" s="3" t="inlineStr">
        <is>
          <t>Deciles</t>
        </is>
      </c>
      <c r="F1608" s="3" t="inlineStr">
        <is>
          <t>mean</t>
        </is>
      </c>
      <c r="G1608" s="3" t="n">
        <v>10</v>
      </c>
      <c r="H1608" s="3" t="n">
        <v>-0.7813762426376343</v>
      </c>
      <c r="I1608" s="3" t="n">
        <v>-0.7813762426376343</v>
      </c>
      <c r="J1608" s="3" t="n">
        <v>-0.8462767601013184</v>
      </c>
      <c r="K1608" s="3" t="n">
        <v>-0.8462767601013184</v>
      </c>
      <c r="L1608" s="3" t="n">
        <v>-0.7813762426376343</v>
      </c>
      <c r="M1608" s="3" t="n">
        <v>-0.7813762426376343</v>
      </c>
      <c r="N1608" s="3" t="n">
        <v>-0.7813762426376343</v>
      </c>
      <c r="O1608" s="3" t="n">
        <v>-0.7813762426376343</v>
      </c>
      <c r="P1608" s="3" t="n">
        <v>-0.7813762426376343</v>
      </c>
      <c r="Q1608" s="3" t="n">
        <v>-0.7813762426376343</v>
      </c>
      <c r="R1608" s="3" t="n">
        <v>-0.7702532410621643</v>
      </c>
      <c r="S1608" s="3" t="n">
        <v>-0.9598491787910461</v>
      </c>
      <c r="T1608" s="3" t="n">
        <v>-0.7080408334732056</v>
      </c>
      <c r="U1608" s="3" t="n">
        <v>-0.8462767601013184</v>
      </c>
      <c r="V1608" s="3" t="n">
        <v>-0.6756978034973145</v>
      </c>
      <c r="W1608" s="3" t="n">
        <v>-0.4866931438446045</v>
      </c>
      <c r="X1608" s="3" t="n">
        <v>-0.9576472640037537</v>
      </c>
      <c r="Y1608" s="3" t="n">
        <v>-0.7813762426376343</v>
      </c>
      <c r="Z1608" s="3" t="n">
        <v>-0.9598491787910461</v>
      </c>
      <c r="AA1608" s="3" t="n">
        <v>-0.9598491787910461</v>
      </c>
      <c r="AB1608" s="3" t="n">
        <v>-0.9576472640037537</v>
      </c>
      <c r="AC1608" s="3" t="n">
        <v>-1.025418162345886</v>
      </c>
      <c r="AD1608" s="3" t="n">
        <v>-0.8462767601013184</v>
      </c>
      <c r="AE1608" s="3" t="n">
        <v>-0.8462767601013184</v>
      </c>
    </row>
    <row r="1609">
      <c r="A1609" s="3" t="inlineStr">
        <is>
          <t>NOR.distn.bkt.ove.mean.9999</t>
        </is>
      </c>
      <c r="B1609" s="3" t="inlineStr">
        <is>
          <t>NOR</t>
        </is>
      </c>
      <c r="C1609" s="3" t="n">
        <v>2005</v>
      </c>
      <c r="D1609" s="3" t="inlineStr">
        <is>
          <t>Overall</t>
        </is>
      </c>
      <c r="E1609" s="3" t="inlineStr">
        <is>
          <t>Basket</t>
        </is>
      </c>
      <c r="F1609" s="3" t="inlineStr">
        <is>
          <t>mean</t>
        </is>
      </c>
      <c r="G1609" s="3" t="n">
        <v>9999</v>
      </c>
      <c r="H1609" s="3" t="n">
        <v>-0.7829827666282654</v>
      </c>
      <c r="I1609" s="3" t="n">
        <v>-0.7829827666282654</v>
      </c>
      <c r="J1609" s="3" t="n">
        <v>-0.8575391173362732</v>
      </c>
      <c r="K1609" s="3" t="n">
        <v>-0.8575391173362732</v>
      </c>
      <c r="L1609" s="3" t="n">
        <v>-0.7829827666282654</v>
      </c>
      <c r="M1609" s="3" t="n">
        <v>-0.7829827666282654</v>
      </c>
      <c r="N1609" s="3" t="n">
        <v>-0.7829827666282654</v>
      </c>
      <c r="O1609" s="3" t="n">
        <v>-0.7829827666282654</v>
      </c>
      <c r="P1609" s="3" t="n">
        <v>-0.7829827666282654</v>
      </c>
      <c r="Q1609" s="3" t="n">
        <v>-0.7829827666282654</v>
      </c>
      <c r="R1609" s="3" t="n">
        <v>-0.7711172103881836</v>
      </c>
      <c r="S1609" s="3" t="n">
        <v>-1.087229132652283</v>
      </c>
      <c r="T1609" s="3" t="n">
        <v>-0.708448052406311</v>
      </c>
      <c r="U1609" s="3" t="n">
        <v>-0.8575391173362732</v>
      </c>
      <c r="V1609" s="3" t="n">
        <v>-0.6772896647453308</v>
      </c>
      <c r="W1609" s="3" t="n">
        <v>-0.5045706033706665</v>
      </c>
      <c r="X1609" s="3" t="n">
        <v>-1.070303320884705</v>
      </c>
      <c r="Y1609" s="3" t="n">
        <v>-0.7829827666282654</v>
      </c>
      <c r="Z1609" s="3" t="n">
        <v>-1.087229132652283</v>
      </c>
      <c r="AA1609" s="3" t="n">
        <v>-1.087229132652283</v>
      </c>
      <c r="AB1609" s="3" t="n">
        <v>-1.070303320884705</v>
      </c>
      <c r="AC1609" s="3" t="n">
        <v>-1.340076446533203</v>
      </c>
      <c r="AD1609" s="3" t="n">
        <v>-0.8575391173362732</v>
      </c>
      <c r="AE1609" s="3" t="n">
        <v>-0.8575391173362732</v>
      </c>
    </row>
    <row r="1610">
      <c r="A1610" s="3" t="inlineStr">
        <is>
          <t>NPL.distn.dec.ove.mean.1</t>
        </is>
      </c>
      <c r="B1610" s="3" t="inlineStr">
        <is>
          <t>NPL</t>
        </is>
      </c>
      <c r="C1610" s="3" t="n">
        <v>2005</v>
      </c>
      <c r="D1610" s="3" t="inlineStr">
        <is>
          <t>Overall</t>
        </is>
      </c>
      <c r="E1610" s="3" t="inlineStr">
        <is>
          <t>Deciles</t>
        </is>
      </c>
      <c r="F1610" s="3" t="inlineStr">
        <is>
          <t>mean</t>
        </is>
      </c>
      <c r="G1610" s="3" t="n">
        <v>1</v>
      </c>
      <c r="H1610" s="3" t="n">
        <v>-0.7952967882156372</v>
      </c>
      <c r="I1610" s="3" t="n">
        <v>-0.7952967882156372</v>
      </c>
      <c r="J1610" s="3" t="n">
        <v>-0.94254469871521</v>
      </c>
      <c r="K1610" s="3" t="n">
        <v>-0.94254469871521</v>
      </c>
      <c r="L1610" s="3" t="n">
        <v>-0.7952967882156372</v>
      </c>
      <c r="M1610" s="3" t="n">
        <v>-0.7952967882156372</v>
      </c>
      <c r="N1610" s="3" t="n">
        <v>-0.7952967882156372</v>
      </c>
      <c r="O1610" s="3" t="n">
        <v>-0.7952967882156372</v>
      </c>
      <c r="P1610" s="3" t="n">
        <v>-0.7952967882156372</v>
      </c>
      <c r="Q1610" s="3" t="n">
        <v>-0.7952967882156372</v>
      </c>
      <c r="R1610" s="3" t="n">
        <v>-0.7774887681007385</v>
      </c>
      <c r="S1610" s="3" t="n">
        <v>-1.984991908073425</v>
      </c>
      <c r="T1610" s="3" t="n">
        <v>-0.7114566564559937</v>
      </c>
      <c r="U1610" s="3" t="n">
        <v>-0.94254469871521</v>
      </c>
      <c r="V1610" s="3" t="n">
        <v>-0.6900166273117065</v>
      </c>
      <c r="W1610" s="3" t="n">
        <v>-0.6974759101867676</v>
      </c>
      <c r="X1610" s="3" t="n">
        <v>-1.891644716262817</v>
      </c>
      <c r="Y1610" s="3" t="n">
        <v>-0.7952967882156372</v>
      </c>
      <c r="Z1610" s="3" t="n">
        <v>-1.984991908073425</v>
      </c>
      <c r="AA1610" s="3" t="n">
        <v>-1.984991908073425</v>
      </c>
      <c r="AB1610" s="3" t="n">
        <v>-1.891644716262817</v>
      </c>
      <c r="AC1610" s="3" t="n">
        <v>-4.84342622756958</v>
      </c>
      <c r="AD1610" s="3" t="n">
        <v>-0.94254469871521</v>
      </c>
      <c r="AE1610" s="3" t="n">
        <v>-0.94254469871521</v>
      </c>
    </row>
    <row r="1611">
      <c r="A1611" s="3" t="inlineStr">
        <is>
          <t>NPL.distn.dec.ove.mean.2</t>
        </is>
      </c>
      <c r="B1611" s="3" t="inlineStr">
        <is>
          <t>NPL</t>
        </is>
      </c>
      <c r="C1611" s="3" t="n">
        <v>2005</v>
      </c>
      <c r="D1611" s="3" t="inlineStr">
        <is>
          <t>Overall</t>
        </is>
      </c>
      <c r="E1611" s="3" t="inlineStr">
        <is>
          <t>Deciles</t>
        </is>
      </c>
      <c r="F1611" s="3" t="inlineStr">
        <is>
          <t>mean</t>
        </is>
      </c>
      <c r="G1611" s="3" t="n">
        <v>2</v>
      </c>
      <c r="H1611" s="3" t="n">
        <v>-0.7952967882156372</v>
      </c>
      <c r="I1611" s="3" t="n">
        <v>-0.7952967882156372</v>
      </c>
      <c r="J1611" s="3" t="n">
        <v>-0.94254469871521</v>
      </c>
      <c r="K1611" s="3" t="n">
        <v>-0.94254469871521</v>
      </c>
      <c r="L1611" s="3" t="n">
        <v>-0.7952967882156372</v>
      </c>
      <c r="M1611" s="3" t="n">
        <v>-0.7952967882156372</v>
      </c>
      <c r="N1611" s="3" t="n">
        <v>-0.7952967882156372</v>
      </c>
      <c r="O1611" s="3" t="n">
        <v>-0.7952967882156372</v>
      </c>
      <c r="P1611" s="3" t="n">
        <v>-0.7952967882156372</v>
      </c>
      <c r="Q1611" s="3" t="n">
        <v>-0.7952967882156372</v>
      </c>
      <c r="R1611" s="3" t="n">
        <v>-0.7774887681007385</v>
      </c>
      <c r="S1611" s="3" t="n">
        <v>-1.984991908073425</v>
      </c>
      <c r="T1611" s="3" t="n">
        <v>-0.7114566564559937</v>
      </c>
      <c r="U1611" s="3" t="n">
        <v>-0.94254469871521</v>
      </c>
      <c r="V1611" s="3" t="n">
        <v>-0.6900166273117065</v>
      </c>
      <c r="W1611" s="3" t="n">
        <v>-0.6974759101867676</v>
      </c>
      <c r="X1611" s="3" t="n">
        <v>-1.891644716262817</v>
      </c>
      <c r="Y1611" s="3" t="n">
        <v>-0.7952967882156372</v>
      </c>
      <c r="Z1611" s="3" t="n">
        <v>-1.984991908073425</v>
      </c>
      <c r="AA1611" s="3" t="n">
        <v>-1.984991908073425</v>
      </c>
      <c r="AB1611" s="3" t="n">
        <v>-1.891644716262817</v>
      </c>
      <c r="AC1611" s="3" t="n">
        <v>-4.84342622756958</v>
      </c>
      <c r="AD1611" s="3" t="n">
        <v>-0.94254469871521</v>
      </c>
      <c r="AE1611" s="3" t="n">
        <v>-0.94254469871521</v>
      </c>
    </row>
    <row r="1612">
      <c r="A1612" s="3" t="inlineStr">
        <is>
          <t>NPL.distn.dec.ove.mean.3</t>
        </is>
      </c>
      <c r="B1612" s="3" t="inlineStr">
        <is>
          <t>NPL</t>
        </is>
      </c>
      <c r="C1612" s="3" t="n">
        <v>2005</v>
      </c>
      <c r="D1612" s="3" t="inlineStr">
        <is>
          <t>Overall</t>
        </is>
      </c>
      <c r="E1612" s="3" t="inlineStr">
        <is>
          <t>Deciles</t>
        </is>
      </c>
      <c r="F1612" s="3" t="inlineStr">
        <is>
          <t>mean</t>
        </is>
      </c>
      <c r="G1612" s="3" t="n">
        <v>3</v>
      </c>
      <c r="H1612" s="3" t="n">
        <v>-0.7952967882156372</v>
      </c>
      <c r="I1612" s="3" t="n">
        <v>-0.7952967882156372</v>
      </c>
      <c r="J1612" s="3" t="n">
        <v>-0.94254469871521</v>
      </c>
      <c r="K1612" s="3" t="n">
        <v>-0.94254469871521</v>
      </c>
      <c r="L1612" s="3" t="n">
        <v>-0.7952967882156372</v>
      </c>
      <c r="M1612" s="3" t="n">
        <v>-0.7952967882156372</v>
      </c>
      <c r="N1612" s="3" t="n">
        <v>-0.7952967882156372</v>
      </c>
      <c r="O1612" s="3" t="n">
        <v>-0.7952967882156372</v>
      </c>
      <c r="P1612" s="3" t="n">
        <v>-0.7952967882156372</v>
      </c>
      <c r="Q1612" s="3" t="n">
        <v>-0.7952967882156372</v>
      </c>
      <c r="R1612" s="3" t="n">
        <v>-0.7774887681007385</v>
      </c>
      <c r="S1612" s="3" t="n">
        <v>-1.984991908073425</v>
      </c>
      <c r="T1612" s="3" t="n">
        <v>-0.7114566564559937</v>
      </c>
      <c r="U1612" s="3" t="n">
        <v>-0.94254469871521</v>
      </c>
      <c r="V1612" s="3" t="n">
        <v>-0.6900166273117065</v>
      </c>
      <c r="W1612" s="3" t="n">
        <v>-0.6974759101867676</v>
      </c>
      <c r="X1612" s="3" t="n">
        <v>-1.891644716262817</v>
      </c>
      <c r="Y1612" s="3" t="n">
        <v>-0.7952967882156372</v>
      </c>
      <c r="Z1612" s="3" t="n">
        <v>-1.984991908073425</v>
      </c>
      <c r="AA1612" s="3" t="n">
        <v>-1.984991908073425</v>
      </c>
      <c r="AB1612" s="3" t="n">
        <v>-1.891644716262817</v>
      </c>
      <c r="AC1612" s="3" t="n">
        <v>-4.84342622756958</v>
      </c>
      <c r="AD1612" s="3" t="n">
        <v>-0.94254469871521</v>
      </c>
      <c r="AE1612" s="3" t="n">
        <v>-0.94254469871521</v>
      </c>
    </row>
    <row r="1613">
      <c r="A1613" s="3" t="inlineStr">
        <is>
          <t>NPL.distn.dec.ove.mean.4</t>
        </is>
      </c>
      <c r="B1613" s="3" t="inlineStr">
        <is>
          <t>NPL</t>
        </is>
      </c>
      <c r="C1613" s="3" t="n">
        <v>2005</v>
      </c>
      <c r="D1613" s="3" t="inlineStr">
        <is>
          <t>Overall</t>
        </is>
      </c>
      <c r="E1613" s="3" t="inlineStr">
        <is>
          <t>Deciles</t>
        </is>
      </c>
      <c r="F1613" s="3" t="inlineStr">
        <is>
          <t>mean</t>
        </is>
      </c>
      <c r="G1613" s="3" t="n">
        <v>4</v>
      </c>
      <c r="H1613" s="3" t="n">
        <v>-0.7889999747276306</v>
      </c>
      <c r="I1613" s="3" t="n">
        <v>-0.7889999747276306</v>
      </c>
      <c r="J1613" s="3" t="n">
        <v>-0.8970000147819519</v>
      </c>
      <c r="K1613" s="3" t="n">
        <v>-0.8970000147819519</v>
      </c>
      <c r="L1613" s="3" t="n">
        <v>-0.7889999747276306</v>
      </c>
      <c r="M1613" s="3" t="n">
        <v>-0.7889999747276306</v>
      </c>
      <c r="N1613" s="3" t="n">
        <v>-0.7889999747276306</v>
      </c>
      <c r="O1613" s="3" t="n">
        <v>-0.7889999747276306</v>
      </c>
      <c r="P1613" s="3" t="n">
        <v>-0.7889999747276306</v>
      </c>
      <c r="Q1613" s="3" t="n">
        <v>-0.7889999747276306</v>
      </c>
      <c r="R1613" s="3" t="n">
        <v>-0.7739999890327454</v>
      </c>
      <c r="S1613" s="3" t="n">
        <v>-1.351999998092651</v>
      </c>
      <c r="T1613" s="3" t="n">
        <v>-0.7099999785423279</v>
      </c>
      <c r="U1613" s="3" t="n">
        <v>-0.8970000147819519</v>
      </c>
      <c r="V1613" s="3" t="n">
        <v>-0.6830000281333923</v>
      </c>
      <c r="W1613" s="3" t="n">
        <v>-0.5870000123977661</v>
      </c>
      <c r="X1613" s="3" t="n">
        <v>-1.335000038146973</v>
      </c>
      <c r="Y1613" s="3" t="n">
        <v>-0.7889999747276306</v>
      </c>
      <c r="Z1613" s="3" t="n">
        <v>-1.351999998092651</v>
      </c>
      <c r="AA1613" s="3" t="n">
        <v>-1.351999998092651</v>
      </c>
      <c r="AB1613" s="3" t="n">
        <v>-1.335000038146973</v>
      </c>
      <c r="AC1613" s="3" t="n">
        <v>-2.33899998664856</v>
      </c>
      <c r="AD1613" s="3" t="n">
        <v>-0.8970000147819519</v>
      </c>
      <c r="AE1613" s="3" t="n">
        <v>-0.8970000147819519</v>
      </c>
    </row>
    <row r="1614">
      <c r="A1614" s="3" t="inlineStr">
        <is>
          <t>NPL.distn.dec.ove.mean.5</t>
        </is>
      </c>
      <c r="B1614" s="3" t="inlineStr">
        <is>
          <t>NPL</t>
        </is>
      </c>
      <c r="C1614" s="3" t="n">
        <v>2005</v>
      </c>
      <c r="D1614" s="3" t="inlineStr">
        <is>
          <t>Overall</t>
        </is>
      </c>
      <c r="E1614" s="3" t="inlineStr">
        <is>
          <t>Deciles</t>
        </is>
      </c>
      <c r="F1614" s="3" t="inlineStr">
        <is>
          <t>mean</t>
        </is>
      </c>
      <c r="G1614" s="3" t="n">
        <v>5</v>
      </c>
      <c r="H1614" s="3" t="n">
        <v>-0.7889999747276306</v>
      </c>
      <c r="I1614" s="3" t="n">
        <v>-0.7889999747276306</v>
      </c>
      <c r="J1614" s="3" t="n">
        <v>-0.8970000147819519</v>
      </c>
      <c r="K1614" s="3" t="n">
        <v>-0.8970000147819519</v>
      </c>
      <c r="L1614" s="3" t="n">
        <v>-0.7889999747276306</v>
      </c>
      <c r="M1614" s="3" t="n">
        <v>-0.7889999747276306</v>
      </c>
      <c r="N1614" s="3" t="n">
        <v>-0.7889999747276306</v>
      </c>
      <c r="O1614" s="3" t="n">
        <v>-0.7889999747276306</v>
      </c>
      <c r="P1614" s="3" t="n">
        <v>-0.7889999747276306</v>
      </c>
      <c r="Q1614" s="3" t="n">
        <v>-0.7889999747276306</v>
      </c>
      <c r="R1614" s="3" t="n">
        <v>-0.7739999890327454</v>
      </c>
      <c r="S1614" s="3" t="n">
        <v>-1.351999998092651</v>
      </c>
      <c r="T1614" s="3" t="n">
        <v>-0.7099999785423279</v>
      </c>
      <c r="U1614" s="3" t="n">
        <v>-0.8970000147819519</v>
      </c>
      <c r="V1614" s="3" t="n">
        <v>-0.6830000281333923</v>
      </c>
      <c r="W1614" s="3" t="n">
        <v>-0.5870000123977661</v>
      </c>
      <c r="X1614" s="3" t="n">
        <v>-1.335000038146973</v>
      </c>
      <c r="Y1614" s="3" t="n">
        <v>-0.7889999747276306</v>
      </c>
      <c r="Z1614" s="3" t="n">
        <v>-1.351999998092651</v>
      </c>
      <c r="AA1614" s="3" t="n">
        <v>-1.351999998092651</v>
      </c>
      <c r="AB1614" s="3" t="n">
        <v>-1.335000038146973</v>
      </c>
      <c r="AC1614" s="3" t="n">
        <v>-2.33899998664856</v>
      </c>
      <c r="AD1614" s="3" t="n">
        <v>-0.8970000147819519</v>
      </c>
      <c r="AE1614" s="3" t="n">
        <v>-0.8970000147819519</v>
      </c>
    </row>
    <row r="1615">
      <c r="A1615" s="3" t="inlineStr">
        <is>
          <t>NPL.distn.dec.ove.mean.6</t>
        </is>
      </c>
      <c r="B1615" s="3" t="inlineStr">
        <is>
          <t>NPL</t>
        </is>
      </c>
      <c r="C1615" s="3" t="n">
        <v>2005</v>
      </c>
      <c r="D1615" s="3" t="inlineStr">
        <is>
          <t>Overall</t>
        </is>
      </c>
      <c r="E1615" s="3" t="inlineStr">
        <is>
          <t>Deciles</t>
        </is>
      </c>
      <c r="F1615" s="3" t="inlineStr">
        <is>
          <t>mean</t>
        </is>
      </c>
      <c r="G1615" s="3" t="n">
        <v>6</v>
      </c>
      <c r="H1615" s="3" t="n">
        <v>-0.7889999747276306</v>
      </c>
      <c r="I1615" s="3" t="n">
        <v>-0.7889999747276306</v>
      </c>
      <c r="J1615" s="3" t="n">
        <v>-0.8970000147819519</v>
      </c>
      <c r="K1615" s="3" t="n">
        <v>-0.8970000147819519</v>
      </c>
      <c r="L1615" s="3" t="n">
        <v>-0.7889999747276306</v>
      </c>
      <c r="M1615" s="3" t="n">
        <v>-0.7889999747276306</v>
      </c>
      <c r="N1615" s="3" t="n">
        <v>-0.7889999747276306</v>
      </c>
      <c r="O1615" s="3" t="n">
        <v>-0.7889999747276306</v>
      </c>
      <c r="P1615" s="3" t="n">
        <v>-0.7889999747276306</v>
      </c>
      <c r="Q1615" s="3" t="n">
        <v>-0.7889999747276306</v>
      </c>
      <c r="R1615" s="3" t="n">
        <v>-0.7739999890327454</v>
      </c>
      <c r="S1615" s="3" t="n">
        <v>-1.351999998092651</v>
      </c>
      <c r="T1615" s="3" t="n">
        <v>-0.7099999785423279</v>
      </c>
      <c r="U1615" s="3" t="n">
        <v>-0.8970000147819519</v>
      </c>
      <c r="V1615" s="3" t="n">
        <v>-0.6830000281333923</v>
      </c>
      <c r="W1615" s="3" t="n">
        <v>-0.5870000123977661</v>
      </c>
      <c r="X1615" s="3" t="n">
        <v>-1.335000038146973</v>
      </c>
      <c r="Y1615" s="3" t="n">
        <v>-0.7889999747276306</v>
      </c>
      <c r="Z1615" s="3" t="n">
        <v>-1.351999998092651</v>
      </c>
      <c r="AA1615" s="3" t="n">
        <v>-1.351999998092651</v>
      </c>
      <c r="AB1615" s="3" t="n">
        <v>-1.335000038146973</v>
      </c>
      <c r="AC1615" s="3" t="n">
        <v>-2.33899998664856</v>
      </c>
      <c r="AD1615" s="3" t="n">
        <v>-0.8970000147819519</v>
      </c>
      <c r="AE1615" s="3" t="n">
        <v>-0.8970000147819519</v>
      </c>
    </row>
    <row r="1616">
      <c r="A1616" s="3" t="inlineStr">
        <is>
          <t>NPL.distn.dec.ove.mean.7</t>
        </is>
      </c>
      <c r="B1616" s="3" t="inlineStr">
        <is>
          <t>NPL</t>
        </is>
      </c>
      <c r="C1616" s="3" t="n">
        <v>2005</v>
      </c>
      <c r="D1616" s="3" t="inlineStr">
        <is>
          <t>Overall</t>
        </is>
      </c>
      <c r="E1616" s="3" t="inlineStr">
        <is>
          <t>Deciles</t>
        </is>
      </c>
      <c r="F1616" s="3" t="inlineStr">
        <is>
          <t>mean</t>
        </is>
      </c>
      <c r="G1616" s="3" t="n">
        <v>7</v>
      </c>
      <c r="H1616" s="3" t="n">
        <v>-0.7889999747276306</v>
      </c>
      <c r="I1616" s="3" t="n">
        <v>-0.7889999747276306</v>
      </c>
      <c r="J1616" s="3" t="n">
        <v>-0.8970000147819519</v>
      </c>
      <c r="K1616" s="3" t="n">
        <v>-0.8970000147819519</v>
      </c>
      <c r="L1616" s="3" t="n">
        <v>-0.7889999747276306</v>
      </c>
      <c r="M1616" s="3" t="n">
        <v>-0.7889999747276306</v>
      </c>
      <c r="N1616" s="3" t="n">
        <v>-0.7889999747276306</v>
      </c>
      <c r="O1616" s="3" t="n">
        <v>-0.7889999747276306</v>
      </c>
      <c r="P1616" s="3" t="n">
        <v>-0.7889999747276306</v>
      </c>
      <c r="Q1616" s="3" t="n">
        <v>-0.7889999747276306</v>
      </c>
      <c r="R1616" s="3" t="n">
        <v>-0.7739999890327454</v>
      </c>
      <c r="S1616" s="3" t="n">
        <v>-1.351999998092651</v>
      </c>
      <c r="T1616" s="3" t="n">
        <v>-0.7099999785423279</v>
      </c>
      <c r="U1616" s="3" t="n">
        <v>-0.8970000147819519</v>
      </c>
      <c r="V1616" s="3" t="n">
        <v>-0.6830000281333923</v>
      </c>
      <c r="W1616" s="3" t="n">
        <v>-0.5870000123977661</v>
      </c>
      <c r="X1616" s="3" t="n">
        <v>-1.335000038146973</v>
      </c>
      <c r="Y1616" s="3" t="n">
        <v>-0.7889999747276306</v>
      </c>
      <c r="Z1616" s="3" t="n">
        <v>-1.351999998092651</v>
      </c>
      <c r="AA1616" s="3" t="n">
        <v>-1.351999998092651</v>
      </c>
      <c r="AB1616" s="3" t="n">
        <v>-1.335000038146973</v>
      </c>
      <c r="AC1616" s="3" t="n">
        <v>-2.33899998664856</v>
      </c>
      <c r="AD1616" s="3" t="n">
        <v>-0.8970000147819519</v>
      </c>
      <c r="AE1616" s="3" t="n">
        <v>-0.8970000147819519</v>
      </c>
    </row>
    <row r="1617">
      <c r="A1617" s="3" t="inlineStr">
        <is>
          <t>NPL.distn.dec.ove.mean.8</t>
        </is>
      </c>
      <c r="B1617" s="3" t="inlineStr">
        <is>
          <t>NPL</t>
        </is>
      </c>
      <c r="C1617" s="3" t="n">
        <v>2005</v>
      </c>
      <c r="D1617" s="3" t="inlineStr">
        <is>
          <t>Overall</t>
        </is>
      </c>
      <c r="E1617" s="3" t="inlineStr">
        <is>
          <t>Deciles</t>
        </is>
      </c>
      <c r="F1617" s="3" t="inlineStr">
        <is>
          <t>mean</t>
        </is>
      </c>
      <c r="G1617" s="3" t="n">
        <v>8</v>
      </c>
      <c r="H1617" s="3" t="n">
        <v>-0.7893801331520081</v>
      </c>
      <c r="I1617" s="3" t="n">
        <v>-0.7893801331520081</v>
      </c>
      <c r="J1617" s="3" t="n">
        <v>-0.8994197249412537</v>
      </c>
      <c r="K1617" s="3" t="n">
        <v>-0.8994197249412537</v>
      </c>
      <c r="L1617" s="3" t="n">
        <v>-0.7893801331520081</v>
      </c>
      <c r="M1617" s="3" t="n">
        <v>-0.7893801331520081</v>
      </c>
      <c r="N1617" s="3" t="n">
        <v>-0.7893801331520081</v>
      </c>
      <c r="O1617" s="3" t="n">
        <v>-0.7893801331520081</v>
      </c>
      <c r="P1617" s="3" t="n">
        <v>-0.7893801331520081</v>
      </c>
      <c r="Q1617" s="3" t="n">
        <v>-0.7893801331520081</v>
      </c>
      <c r="R1617" s="3" t="n">
        <v>-0.7742545604705811</v>
      </c>
      <c r="S1617" s="3" t="n">
        <v>-1.364580512046814</v>
      </c>
      <c r="T1617" s="3" t="n">
        <v>-0.7100409269332886</v>
      </c>
      <c r="U1617" s="3" t="n">
        <v>-0.8994197249412537</v>
      </c>
      <c r="V1617" s="3" t="n">
        <v>-0.6837060451507568</v>
      </c>
      <c r="W1617" s="3" t="n">
        <v>-0.6027191281318665</v>
      </c>
      <c r="X1617" s="3" t="n">
        <v>-1.347164511680603</v>
      </c>
      <c r="Y1617" s="3" t="n">
        <v>-0.7893801331520081</v>
      </c>
      <c r="Z1617" s="3" t="n">
        <v>-1.364580512046814</v>
      </c>
      <c r="AA1617" s="3" t="n">
        <v>-1.364580512046814</v>
      </c>
      <c r="AB1617" s="3" t="n">
        <v>-1.347164511680603</v>
      </c>
      <c r="AC1617" s="3" t="n">
        <v>-2.372357130050659</v>
      </c>
      <c r="AD1617" s="3" t="n">
        <v>-0.8994197249412537</v>
      </c>
      <c r="AE1617" s="3" t="n">
        <v>-0.8994197249412537</v>
      </c>
    </row>
    <row r="1618">
      <c r="A1618" s="3" t="inlineStr">
        <is>
          <t>NPL.distn.dec.ove.mean.9</t>
        </is>
      </c>
      <c r="B1618" s="3" t="inlineStr">
        <is>
          <t>NPL</t>
        </is>
      </c>
      <c r="C1618" s="3" t="n">
        <v>2005</v>
      </c>
      <c r="D1618" s="3" t="inlineStr">
        <is>
          <t>Overall</t>
        </is>
      </c>
      <c r="E1618" s="3" t="inlineStr">
        <is>
          <t>Deciles</t>
        </is>
      </c>
      <c r="F1618" s="3" t="inlineStr">
        <is>
          <t>mean</t>
        </is>
      </c>
      <c r="G1618" s="3" t="n">
        <v>9</v>
      </c>
      <c r="H1618" s="3" t="n">
        <v>-0.7893801331520081</v>
      </c>
      <c r="I1618" s="3" t="n">
        <v>-0.7893801331520081</v>
      </c>
      <c r="J1618" s="3" t="n">
        <v>-0.8994197249412537</v>
      </c>
      <c r="K1618" s="3" t="n">
        <v>-0.8994197249412537</v>
      </c>
      <c r="L1618" s="3" t="n">
        <v>-0.7893801331520081</v>
      </c>
      <c r="M1618" s="3" t="n">
        <v>-0.7893801331520081</v>
      </c>
      <c r="N1618" s="3" t="n">
        <v>-0.7893801331520081</v>
      </c>
      <c r="O1618" s="3" t="n">
        <v>-0.7893801331520081</v>
      </c>
      <c r="P1618" s="3" t="n">
        <v>-0.7893801331520081</v>
      </c>
      <c r="Q1618" s="3" t="n">
        <v>-0.7893801331520081</v>
      </c>
      <c r="R1618" s="3" t="n">
        <v>-0.7742545604705811</v>
      </c>
      <c r="S1618" s="3" t="n">
        <v>-1.364580512046814</v>
      </c>
      <c r="T1618" s="3" t="n">
        <v>-0.7100409269332886</v>
      </c>
      <c r="U1618" s="3" t="n">
        <v>-0.8994197249412537</v>
      </c>
      <c r="V1618" s="3" t="n">
        <v>-0.6837060451507568</v>
      </c>
      <c r="W1618" s="3" t="n">
        <v>-0.6027191281318665</v>
      </c>
      <c r="X1618" s="3" t="n">
        <v>-1.347164511680603</v>
      </c>
      <c r="Y1618" s="3" t="n">
        <v>-0.7893801331520081</v>
      </c>
      <c r="Z1618" s="3" t="n">
        <v>-1.364580512046814</v>
      </c>
      <c r="AA1618" s="3" t="n">
        <v>-1.364580512046814</v>
      </c>
      <c r="AB1618" s="3" t="n">
        <v>-1.347164511680603</v>
      </c>
      <c r="AC1618" s="3" t="n">
        <v>-2.372357130050659</v>
      </c>
      <c r="AD1618" s="3" t="n">
        <v>-0.8994197249412537</v>
      </c>
      <c r="AE1618" s="3" t="n">
        <v>-0.8994197249412537</v>
      </c>
    </row>
    <row r="1619">
      <c r="A1619" s="3" t="inlineStr">
        <is>
          <t>NPL.distn.dec.ove.mean.10</t>
        </is>
      </c>
      <c r="B1619" s="3" t="inlineStr">
        <is>
          <t>NPL</t>
        </is>
      </c>
      <c r="C1619" s="3" t="n">
        <v>2005</v>
      </c>
      <c r="D1619" s="3" t="inlineStr">
        <is>
          <t>Overall</t>
        </is>
      </c>
      <c r="E1619" s="3" t="inlineStr">
        <is>
          <t>Deciles</t>
        </is>
      </c>
      <c r="F1619" s="3" t="inlineStr">
        <is>
          <t>mean</t>
        </is>
      </c>
      <c r="G1619" s="3" t="n">
        <v>10</v>
      </c>
      <c r="H1619" s="3" t="n">
        <v>-0.7893801331520081</v>
      </c>
      <c r="I1619" s="3" t="n">
        <v>-0.7893801331520081</v>
      </c>
      <c r="J1619" s="3" t="n">
        <v>-0.8994197249412537</v>
      </c>
      <c r="K1619" s="3" t="n">
        <v>-0.8994197249412537</v>
      </c>
      <c r="L1619" s="3" t="n">
        <v>-0.7893801331520081</v>
      </c>
      <c r="M1619" s="3" t="n">
        <v>-0.7893801331520081</v>
      </c>
      <c r="N1619" s="3" t="n">
        <v>-0.7893801331520081</v>
      </c>
      <c r="O1619" s="3" t="n">
        <v>-0.7893801331520081</v>
      </c>
      <c r="P1619" s="3" t="n">
        <v>-0.7893801331520081</v>
      </c>
      <c r="Q1619" s="3" t="n">
        <v>-0.7893801331520081</v>
      </c>
      <c r="R1619" s="3" t="n">
        <v>-0.7742545604705811</v>
      </c>
      <c r="S1619" s="3" t="n">
        <v>-1.364580512046814</v>
      </c>
      <c r="T1619" s="3" t="n">
        <v>-0.7100409269332886</v>
      </c>
      <c r="U1619" s="3" t="n">
        <v>-0.8994197249412537</v>
      </c>
      <c r="V1619" s="3" t="n">
        <v>-0.6837060451507568</v>
      </c>
      <c r="W1619" s="3" t="n">
        <v>-0.6027191281318665</v>
      </c>
      <c r="X1619" s="3" t="n">
        <v>-1.347164511680603</v>
      </c>
      <c r="Y1619" s="3" t="n">
        <v>-0.7893801331520081</v>
      </c>
      <c r="Z1619" s="3" t="n">
        <v>-1.364580512046814</v>
      </c>
      <c r="AA1619" s="3" t="n">
        <v>-1.364580512046814</v>
      </c>
      <c r="AB1619" s="3" t="n">
        <v>-1.347164511680603</v>
      </c>
      <c r="AC1619" s="3" t="n">
        <v>-2.372357130050659</v>
      </c>
      <c r="AD1619" s="3" t="n">
        <v>-0.8994197249412537</v>
      </c>
      <c r="AE1619" s="3" t="n">
        <v>-0.8994197249412537</v>
      </c>
    </row>
    <row r="1620">
      <c r="A1620" s="3" t="inlineStr">
        <is>
          <t>NPL.distn.bkt.ove.mean.9999</t>
        </is>
      </c>
      <c r="B1620" s="3" t="inlineStr">
        <is>
          <t>NPL</t>
        </is>
      </c>
      <c r="C1620" s="3" t="n">
        <v>2005</v>
      </c>
      <c r="D1620" s="3" t="inlineStr">
        <is>
          <t>Overall</t>
        </is>
      </c>
      <c r="E1620" s="3" t="inlineStr">
        <is>
          <t>Basket</t>
        </is>
      </c>
      <c r="F1620" s="3" t="inlineStr">
        <is>
          <t>mean</t>
        </is>
      </c>
      <c r="G1620" s="3" t="n">
        <v>9999</v>
      </c>
      <c r="H1620" s="3" t="n">
        <v>-0.7910030484199524</v>
      </c>
      <c r="I1620" s="3" t="n">
        <v>-0.7910030484199524</v>
      </c>
      <c r="J1620" s="3" t="n">
        <v>-0.9113893508911133</v>
      </c>
      <c r="K1620" s="3" t="n">
        <v>-0.9113893508911133</v>
      </c>
      <c r="L1620" s="3" t="n">
        <v>-0.7910030484199524</v>
      </c>
      <c r="M1620" s="3" t="n">
        <v>-0.7910030484199524</v>
      </c>
      <c r="N1620" s="3" t="n">
        <v>-0.7910030484199524</v>
      </c>
      <c r="O1620" s="3" t="n">
        <v>-0.7910030484199524</v>
      </c>
      <c r="P1620" s="3" t="n">
        <v>-0.7910030484199524</v>
      </c>
      <c r="Q1620" s="3" t="n">
        <v>-0.7910030484199524</v>
      </c>
      <c r="R1620" s="3" t="n">
        <v>-0.7751230001449585</v>
      </c>
      <c r="S1620" s="3" t="n">
        <v>-1.545671701431274</v>
      </c>
      <c r="T1620" s="3" t="n">
        <v>-0.7104492783546448</v>
      </c>
      <c r="U1620" s="3" t="n">
        <v>-0.9113893508911133</v>
      </c>
      <c r="V1620" s="3" t="n">
        <v>-0.685316801071167</v>
      </c>
      <c r="W1620" s="3" t="n">
        <v>-0.6248584985733032</v>
      </c>
      <c r="X1620" s="3" t="n">
        <v>-1.505642771720886</v>
      </c>
      <c r="Y1620" s="3" t="n">
        <v>-0.7910030484199524</v>
      </c>
      <c r="Z1620" s="3" t="n">
        <v>-1.545671701431274</v>
      </c>
      <c r="AA1620" s="3" t="n">
        <v>-1.545671701431274</v>
      </c>
      <c r="AB1620" s="3" t="n">
        <v>-1.505642771720886</v>
      </c>
      <c r="AC1620" s="3" t="n">
        <v>-3.100335121154785</v>
      </c>
      <c r="AD1620" s="3" t="n">
        <v>-0.9113893508911133</v>
      </c>
      <c r="AE1620" s="3" t="n">
        <v>-0.9113893508911133</v>
      </c>
    </row>
    <row r="1621">
      <c r="A1621" s="3" t="inlineStr">
        <is>
          <t>NRU.distn.dec.ove.mean.1</t>
        </is>
      </c>
      <c r="B1621" s="3" t="inlineStr">
        <is>
          <t>NRU</t>
        </is>
      </c>
      <c r="C1621" s="3" t="n">
        <v>2005</v>
      </c>
      <c r="D1621" s="3" t="inlineStr">
        <is>
          <t>Overall</t>
        </is>
      </c>
      <c r="E1621" s="3" t="inlineStr">
        <is>
          <t>Deciles</t>
        </is>
      </c>
      <c r="F1621" s="3" t="inlineStr">
        <is>
          <t>mean</t>
        </is>
      </c>
      <c r="G1621" s="3" t="n">
        <v>1</v>
      </c>
      <c r="H1621" s="3" t="n">
        <v>-0.7878549098968506</v>
      </c>
      <c r="I1621" s="3" t="n">
        <v>-0.7878549098968506</v>
      </c>
      <c r="J1621" s="3" t="n">
        <v>-0.8883962808771336</v>
      </c>
      <c r="K1621" s="3" t="n">
        <v>-0.8883962808771336</v>
      </c>
      <c r="L1621" s="3" t="n">
        <v>-0.7878549098968506</v>
      </c>
      <c r="M1621" s="3" t="n">
        <v>-0.7878549098968506</v>
      </c>
      <c r="N1621" s="3" t="n">
        <v>-0.7878549098968506</v>
      </c>
      <c r="O1621" s="3" t="n">
        <v>-0.7878549098968506</v>
      </c>
      <c r="P1621" s="3" t="n">
        <v>-0.7878549098968506</v>
      </c>
      <c r="Q1621" s="3" t="n">
        <v>-0.7878549098968506</v>
      </c>
      <c r="R1621" s="3" t="n">
        <v>-0.7732356596500316</v>
      </c>
      <c r="S1621" s="3" t="n">
        <v>-1.408805674694954</v>
      </c>
      <c r="T1621" s="3" t="n">
        <v>-0.7095591730259835</v>
      </c>
      <c r="U1621" s="3" t="n">
        <v>-0.8883962808771336</v>
      </c>
      <c r="V1621" s="3" t="n">
        <v>-0.681934451803248</v>
      </c>
      <c r="W1621" s="3" t="n">
        <v>-0.5702875047288043</v>
      </c>
      <c r="X1621" s="3" t="n">
        <v>-1.356243993373627</v>
      </c>
      <c r="Y1621" s="3" t="n">
        <v>-0.7878549098968506</v>
      </c>
      <c r="Z1621" s="3" t="n">
        <v>-1.408805674694954</v>
      </c>
      <c r="AA1621" s="3" t="n">
        <v>-1.408805674694954</v>
      </c>
      <c r="AB1621" s="3" t="n">
        <v>-1.356243993373627</v>
      </c>
      <c r="AC1621" s="3" t="n">
        <v>-2.123991362592007</v>
      </c>
      <c r="AD1621" s="3" t="n">
        <v>-0.8883962808771336</v>
      </c>
      <c r="AE1621" s="3" t="n">
        <v>-0.8883962808771336</v>
      </c>
    </row>
    <row r="1622">
      <c r="A1622" s="3" t="inlineStr">
        <is>
          <t>NRU.distn.dec.ove.mean.2</t>
        </is>
      </c>
      <c r="B1622" s="3" t="inlineStr">
        <is>
          <t>NRU</t>
        </is>
      </c>
      <c r="C1622" s="3" t="n">
        <v>2005</v>
      </c>
      <c r="D1622" s="3" t="inlineStr">
        <is>
          <t>Overall</t>
        </is>
      </c>
      <c r="E1622" s="3" t="inlineStr">
        <is>
          <t>Deciles</t>
        </is>
      </c>
      <c r="F1622" s="3" t="inlineStr">
        <is>
          <t>mean</t>
        </is>
      </c>
      <c r="G1622" s="3" t="n">
        <v>2</v>
      </c>
      <c r="H1622" s="3" t="n">
        <v>-0.7878549098968506</v>
      </c>
      <c r="I1622" s="3" t="n">
        <v>-0.7878549098968506</v>
      </c>
      <c r="J1622" s="3" t="n">
        <v>-0.8883962808771336</v>
      </c>
      <c r="K1622" s="3" t="n">
        <v>-0.8883962808771336</v>
      </c>
      <c r="L1622" s="3" t="n">
        <v>-0.7878549098968506</v>
      </c>
      <c r="M1622" s="3" t="n">
        <v>-0.7878549098968506</v>
      </c>
      <c r="N1622" s="3" t="n">
        <v>-0.7878549098968506</v>
      </c>
      <c r="O1622" s="3" t="n">
        <v>-0.7878549098968506</v>
      </c>
      <c r="P1622" s="3" t="n">
        <v>-0.7878549098968506</v>
      </c>
      <c r="Q1622" s="3" t="n">
        <v>-0.7878549098968506</v>
      </c>
      <c r="R1622" s="3" t="n">
        <v>-0.7732356596500316</v>
      </c>
      <c r="S1622" s="3" t="n">
        <v>-1.408805674694954</v>
      </c>
      <c r="T1622" s="3" t="n">
        <v>-0.7095591730259835</v>
      </c>
      <c r="U1622" s="3" t="n">
        <v>-0.8883962808771336</v>
      </c>
      <c r="V1622" s="3" t="n">
        <v>-0.681934451803248</v>
      </c>
      <c r="W1622" s="3" t="n">
        <v>-0.5702875047288043</v>
      </c>
      <c r="X1622" s="3" t="n">
        <v>-1.356243993373627</v>
      </c>
      <c r="Y1622" s="3" t="n">
        <v>-0.7878549098968506</v>
      </c>
      <c r="Z1622" s="3" t="n">
        <v>-1.408805674694954</v>
      </c>
      <c r="AA1622" s="3" t="n">
        <v>-1.408805674694954</v>
      </c>
      <c r="AB1622" s="3" t="n">
        <v>-1.356243993373627</v>
      </c>
      <c r="AC1622" s="3" t="n">
        <v>-2.123991362592007</v>
      </c>
      <c r="AD1622" s="3" t="n">
        <v>-0.8883962808771336</v>
      </c>
      <c r="AE1622" s="3" t="n">
        <v>-0.8883962808771336</v>
      </c>
    </row>
    <row r="1623">
      <c r="A1623" s="3" t="inlineStr">
        <is>
          <t>NRU.distn.dec.ove.mean.3</t>
        </is>
      </c>
      <c r="B1623" s="3" t="inlineStr">
        <is>
          <t>NRU</t>
        </is>
      </c>
      <c r="C1623" s="3" t="n">
        <v>2005</v>
      </c>
      <c r="D1623" s="3" t="inlineStr">
        <is>
          <t>Overall</t>
        </is>
      </c>
      <c r="E1623" s="3" t="inlineStr">
        <is>
          <t>Deciles</t>
        </is>
      </c>
      <c r="F1623" s="3" t="inlineStr">
        <is>
          <t>mean</t>
        </is>
      </c>
      <c r="G1623" s="3" t="n">
        <v>3</v>
      </c>
      <c r="H1623" s="3" t="n">
        <v>-0.7878549098968506</v>
      </c>
      <c r="I1623" s="3" t="n">
        <v>-0.7878549098968506</v>
      </c>
      <c r="J1623" s="3" t="n">
        <v>-0.8883962808771336</v>
      </c>
      <c r="K1623" s="3" t="n">
        <v>-0.8883962808771336</v>
      </c>
      <c r="L1623" s="3" t="n">
        <v>-0.7878549098968506</v>
      </c>
      <c r="M1623" s="3" t="n">
        <v>-0.7878549098968506</v>
      </c>
      <c r="N1623" s="3" t="n">
        <v>-0.7878549098968506</v>
      </c>
      <c r="O1623" s="3" t="n">
        <v>-0.7878549098968506</v>
      </c>
      <c r="P1623" s="3" t="n">
        <v>-0.7878549098968506</v>
      </c>
      <c r="Q1623" s="3" t="n">
        <v>-0.7878549098968506</v>
      </c>
      <c r="R1623" s="3" t="n">
        <v>-0.7732356596500316</v>
      </c>
      <c r="S1623" s="3" t="n">
        <v>-1.408805674694954</v>
      </c>
      <c r="T1623" s="3" t="n">
        <v>-0.7095591730259835</v>
      </c>
      <c r="U1623" s="3" t="n">
        <v>-0.8883962808771336</v>
      </c>
      <c r="V1623" s="3" t="n">
        <v>-0.681934451803248</v>
      </c>
      <c r="W1623" s="3" t="n">
        <v>-0.5702875047288043</v>
      </c>
      <c r="X1623" s="3" t="n">
        <v>-1.356243993373627</v>
      </c>
      <c r="Y1623" s="3" t="n">
        <v>-0.7878549098968506</v>
      </c>
      <c r="Z1623" s="3" t="n">
        <v>-1.408805674694954</v>
      </c>
      <c r="AA1623" s="3" t="n">
        <v>-1.408805674694954</v>
      </c>
      <c r="AB1623" s="3" t="n">
        <v>-1.356243993373627</v>
      </c>
      <c r="AC1623" s="3" t="n">
        <v>-2.123991362592007</v>
      </c>
      <c r="AD1623" s="3" t="n">
        <v>-0.8883962808771336</v>
      </c>
      <c r="AE1623" s="3" t="n">
        <v>-0.8883962808771336</v>
      </c>
    </row>
    <row r="1624">
      <c r="A1624" s="3" t="inlineStr">
        <is>
          <t>NRU.distn.dec.ove.mean.4</t>
        </is>
      </c>
      <c r="B1624" s="3" t="inlineStr">
        <is>
          <t>NRU</t>
        </is>
      </c>
      <c r="C1624" s="3" t="n">
        <v>2005</v>
      </c>
      <c r="D1624" s="3" t="inlineStr">
        <is>
          <t>Overall</t>
        </is>
      </c>
      <c r="E1624" s="3" t="inlineStr">
        <is>
          <t>Deciles</t>
        </is>
      </c>
      <c r="F1624" s="3" t="inlineStr">
        <is>
          <t>mean</t>
        </is>
      </c>
      <c r="G1624" s="3" t="n">
        <v>4</v>
      </c>
      <c r="H1624" s="3" t="n">
        <v>-0.7816170251115839</v>
      </c>
      <c r="I1624" s="3" t="n">
        <v>-0.7816170251115839</v>
      </c>
      <c r="J1624" s="3" t="n">
        <v>-0.8454680810583398</v>
      </c>
      <c r="K1624" s="3" t="n">
        <v>-0.8454680810583398</v>
      </c>
      <c r="L1624" s="3" t="n">
        <v>-0.7816170251115839</v>
      </c>
      <c r="M1624" s="3" t="n">
        <v>-0.7816170251115839</v>
      </c>
      <c r="N1624" s="3" t="n">
        <v>-0.7816170251115839</v>
      </c>
      <c r="O1624" s="3" t="n">
        <v>-0.7816170251115839</v>
      </c>
      <c r="P1624" s="3" t="n">
        <v>-0.7816170251115839</v>
      </c>
      <c r="Q1624" s="3" t="n">
        <v>-0.7816170251115839</v>
      </c>
      <c r="R1624" s="3" t="n">
        <v>-0.7697659489956308</v>
      </c>
      <c r="S1624" s="3" t="n">
        <v>-0.9595531871978272</v>
      </c>
      <c r="T1624" s="3" t="n">
        <v>-0.7081063859006191</v>
      </c>
      <c r="U1624" s="3" t="n">
        <v>-0.8454680810583398</v>
      </c>
      <c r="V1624" s="3" t="n">
        <v>-0.6750000017754575</v>
      </c>
      <c r="W1624" s="3" t="n">
        <v>-0.4799574455048176</v>
      </c>
      <c r="X1624" s="3" t="n">
        <v>-0.9571489362006492</v>
      </c>
      <c r="Y1624" s="3" t="n">
        <v>-0.7816170251115839</v>
      </c>
      <c r="Z1624" s="3" t="n">
        <v>-0.9595531871978272</v>
      </c>
      <c r="AA1624" s="3" t="n">
        <v>-0.9595531871978272</v>
      </c>
      <c r="AB1624" s="3" t="n">
        <v>-0.9571489362006492</v>
      </c>
      <c r="AC1624" s="3" t="n">
        <v>-1.025723396463597</v>
      </c>
      <c r="AD1624" s="3" t="n">
        <v>-0.8454680810583398</v>
      </c>
      <c r="AE1624" s="3" t="n">
        <v>-0.8454680810583398</v>
      </c>
    </row>
    <row r="1625">
      <c r="A1625" s="3" t="inlineStr">
        <is>
          <t>NRU.distn.dec.ove.mean.5</t>
        </is>
      </c>
      <c r="B1625" s="3" t="inlineStr">
        <is>
          <t>NRU</t>
        </is>
      </c>
      <c r="C1625" s="3" t="n">
        <v>2005</v>
      </c>
      <c r="D1625" s="3" t="inlineStr">
        <is>
          <t>Overall</t>
        </is>
      </c>
      <c r="E1625" s="3" t="inlineStr">
        <is>
          <t>Deciles</t>
        </is>
      </c>
      <c r="F1625" s="3" t="inlineStr">
        <is>
          <t>mean</t>
        </is>
      </c>
      <c r="G1625" s="3" t="n">
        <v>5</v>
      </c>
      <c r="H1625" s="3" t="n">
        <v>-0.7816170251115839</v>
      </c>
      <c r="I1625" s="3" t="n">
        <v>-0.7816170251115839</v>
      </c>
      <c r="J1625" s="3" t="n">
        <v>-0.8454680810583398</v>
      </c>
      <c r="K1625" s="3" t="n">
        <v>-0.8454680810583398</v>
      </c>
      <c r="L1625" s="3" t="n">
        <v>-0.7816170251115839</v>
      </c>
      <c r="M1625" s="3" t="n">
        <v>-0.7816170251115839</v>
      </c>
      <c r="N1625" s="3" t="n">
        <v>-0.7816170251115839</v>
      </c>
      <c r="O1625" s="3" t="n">
        <v>-0.7816170251115839</v>
      </c>
      <c r="P1625" s="3" t="n">
        <v>-0.7816170251115839</v>
      </c>
      <c r="Q1625" s="3" t="n">
        <v>-0.7816170251115839</v>
      </c>
      <c r="R1625" s="3" t="n">
        <v>-0.7697659489956308</v>
      </c>
      <c r="S1625" s="3" t="n">
        <v>-0.9595531871978272</v>
      </c>
      <c r="T1625" s="3" t="n">
        <v>-0.7081063859006191</v>
      </c>
      <c r="U1625" s="3" t="n">
        <v>-0.8454680810583398</v>
      </c>
      <c r="V1625" s="3" t="n">
        <v>-0.6750000017754575</v>
      </c>
      <c r="W1625" s="3" t="n">
        <v>-0.4799574455048176</v>
      </c>
      <c r="X1625" s="3" t="n">
        <v>-0.9571489362006492</v>
      </c>
      <c r="Y1625" s="3" t="n">
        <v>-0.7816170251115839</v>
      </c>
      <c r="Z1625" s="3" t="n">
        <v>-0.9595531871978272</v>
      </c>
      <c r="AA1625" s="3" t="n">
        <v>-0.9595531871978272</v>
      </c>
      <c r="AB1625" s="3" t="n">
        <v>-0.9571489362006492</v>
      </c>
      <c r="AC1625" s="3" t="n">
        <v>-1.025723396463597</v>
      </c>
      <c r="AD1625" s="3" t="n">
        <v>-0.8454680810583398</v>
      </c>
      <c r="AE1625" s="3" t="n">
        <v>-0.8454680810583398</v>
      </c>
    </row>
    <row r="1626">
      <c r="A1626" s="3" t="inlineStr">
        <is>
          <t>NRU.distn.dec.ove.mean.6</t>
        </is>
      </c>
      <c r="B1626" s="3" t="inlineStr">
        <is>
          <t>NRU</t>
        </is>
      </c>
      <c r="C1626" s="3" t="n">
        <v>2005</v>
      </c>
      <c r="D1626" s="3" t="inlineStr">
        <is>
          <t>Overall</t>
        </is>
      </c>
      <c r="E1626" s="3" t="inlineStr">
        <is>
          <t>Deciles</t>
        </is>
      </c>
      <c r="F1626" s="3" t="inlineStr">
        <is>
          <t>mean</t>
        </is>
      </c>
      <c r="G1626" s="3" t="n">
        <v>6</v>
      </c>
      <c r="H1626" s="3" t="n">
        <v>-0.7816170251115839</v>
      </c>
      <c r="I1626" s="3" t="n">
        <v>-0.7816170251115839</v>
      </c>
      <c r="J1626" s="3" t="n">
        <v>-0.8454680810583398</v>
      </c>
      <c r="K1626" s="3" t="n">
        <v>-0.8454680810583398</v>
      </c>
      <c r="L1626" s="3" t="n">
        <v>-0.7816170251115839</v>
      </c>
      <c r="M1626" s="3" t="n">
        <v>-0.7816170251115839</v>
      </c>
      <c r="N1626" s="3" t="n">
        <v>-0.7816170251115839</v>
      </c>
      <c r="O1626" s="3" t="n">
        <v>-0.7816170251115839</v>
      </c>
      <c r="P1626" s="3" t="n">
        <v>-0.7816170251115839</v>
      </c>
      <c r="Q1626" s="3" t="n">
        <v>-0.7816170251115839</v>
      </c>
      <c r="R1626" s="3" t="n">
        <v>-0.7697659489956308</v>
      </c>
      <c r="S1626" s="3" t="n">
        <v>-0.9595531871978272</v>
      </c>
      <c r="T1626" s="3" t="n">
        <v>-0.7081063859006191</v>
      </c>
      <c r="U1626" s="3" t="n">
        <v>-0.8454680810583398</v>
      </c>
      <c r="V1626" s="3" t="n">
        <v>-0.6750000017754575</v>
      </c>
      <c r="W1626" s="3" t="n">
        <v>-0.4799574455048176</v>
      </c>
      <c r="X1626" s="3" t="n">
        <v>-0.9571489362006492</v>
      </c>
      <c r="Y1626" s="3" t="n">
        <v>-0.7816170251115839</v>
      </c>
      <c r="Z1626" s="3" t="n">
        <v>-0.9595531871978272</v>
      </c>
      <c r="AA1626" s="3" t="n">
        <v>-0.9595531871978272</v>
      </c>
      <c r="AB1626" s="3" t="n">
        <v>-0.9571489362006492</v>
      </c>
      <c r="AC1626" s="3" t="n">
        <v>-1.025723396463597</v>
      </c>
      <c r="AD1626" s="3" t="n">
        <v>-0.8454680810583398</v>
      </c>
      <c r="AE1626" s="3" t="n">
        <v>-0.8454680810583398</v>
      </c>
    </row>
    <row r="1627">
      <c r="A1627" s="3" t="inlineStr">
        <is>
          <t>NRU.distn.dec.ove.mean.7</t>
        </is>
      </c>
      <c r="B1627" s="3" t="inlineStr">
        <is>
          <t>NRU</t>
        </is>
      </c>
      <c r="C1627" s="3" t="n">
        <v>2005</v>
      </c>
      <c r="D1627" s="3" t="inlineStr">
        <is>
          <t>Overall</t>
        </is>
      </c>
      <c r="E1627" s="3" t="inlineStr">
        <is>
          <t>Deciles</t>
        </is>
      </c>
      <c r="F1627" s="3" t="inlineStr">
        <is>
          <t>mean</t>
        </is>
      </c>
      <c r="G1627" s="3" t="n">
        <v>7</v>
      </c>
      <c r="H1627" s="3" t="n">
        <v>-0.7816170251115839</v>
      </c>
      <c r="I1627" s="3" t="n">
        <v>-0.7816170251115839</v>
      </c>
      <c r="J1627" s="3" t="n">
        <v>-0.8454680810583398</v>
      </c>
      <c r="K1627" s="3" t="n">
        <v>-0.8454680810583398</v>
      </c>
      <c r="L1627" s="3" t="n">
        <v>-0.7816170251115839</v>
      </c>
      <c r="M1627" s="3" t="n">
        <v>-0.7816170251115839</v>
      </c>
      <c r="N1627" s="3" t="n">
        <v>-0.7816170251115839</v>
      </c>
      <c r="O1627" s="3" t="n">
        <v>-0.7816170251115839</v>
      </c>
      <c r="P1627" s="3" t="n">
        <v>-0.7816170251115839</v>
      </c>
      <c r="Q1627" s="3" t="n">
        <v>-0.7816170251115839</v>
      </c>
      <c r="R1627" s="3" t="n">
        <v>-0.7697659489956308</v>
      </c>
      <c r="S1627" s="3" t="n">
        <v>-0.9595531871978272</v>
      </c>
      <c r="T1627" s="3" t="n">
        <v>-0.7081063859006191</v>
      </c>
      <c r="U1627" s="3" t="n">
        <v>-0.8454680810583398</v>
      </c>
      <c r="V1627" s="3" t="n">
        <v>-0.6750000017754575</v>
      </c>
      <c r="W1627" s="3" t="n">
        <v>-0.4799574455048176</v>
      </c>
      <c r="X1627" s="3" t="n">
        <v>-0.9571489362006492</v>
      </c>
      <c r="Y1627" s="3" t="n">
        <v>-0.7816170251115839</v>
      </c>
      <c r="Z1627" s="3" t="n">
        <v>-0.9595531871978272</v>
      </c>
      <c r="AA1627" s="3" t="n">
        <v>-0.9595531871978272</v>
      </c>
      <c r="AB1627" s="3" t="n">
        <v>-0.9571489362006492</v>
      </c>
      <c r="AC1627" s="3" t="n">
        <v>-1.025723396463597</v>
      </c>
      <c r="AD1627" s="3" t="n">
        <v>-0.8454680810583398</v>
      </c>
      <c r="AE1627" s="3" t="n">
        <v>-0.8454680810583398</v>
      </c>
    </row>
    <row r="1628">
      <c r="A1628" s="3" t="inlineStr">
        <is>
          <t>NRU.distn.dec.ove.mean.8</t>
        </is>
      </c>
      <c r="B1628" s="3" t="inlineStr">
        <is>
          <t>NRU</t>
        </is>
      </c>
      <c r="C1628" s="3" t="n">
        <v>2005</v>
      </c>
      <c r="D1628" s="3" t="inlineStr">
        <is>
          <t>Overall</t>
        </is>
      </c>
      <c r="E1628" s="3" t="inlineStr">
        <is>
          <t>Deciles</t>
        </is>
      </c>
      <c r="F1628" s="3" t="inlineStr">
        <is>
          <t>mean</t>
        </is>
      </c>
      <c r="G1628" s="3" t="n">
        <v>8</v>
      </c>
      <c r="H1628" s="3" t="n">
        <v>-0.7819935831617801</v>
      </c>
      <c r="I1628" s="3" t="n">
        <v>-0.7819935831617801</v>
      </c>
      <c r="J1628" s="3" t="n">
        <v>-0.8477488045996808</v>
      </c>
      <c r="K1628" s="3" t="n">
        <v>-0.8477488045996808</v>
      </c>
      <c r="L1628" s="3" t="n">
        <v>-0.7819935831617801</v>
      </c>
      <c r="M1628" s="3" t="n">
        <v>-0.7819935831617801</v>
      </c>
      <c r="N1628" s="3" t="n">
        <v>-0.7819935831617801</v>
      </c>
      <c r="O1628" s="3" t="n">
        <v>-0.7819935831617801</v>
      </c>
      <c r="P1628" s="3" t="n">
        <v>-0.7819935831617801</v>
      </c>
      <c r="Q1628" s="3" t="n">
        <v>-0.7819935831617801</v>
      </c>
      <c r="R1628" s="3" t="n">
        <v>-0.7700191178220384</v>
      </c>
      <c r="S1628" s="3" t="n">
        <v>-0.9684819490351575</v>
      </c>
      <c r="T1628" s="3" t="n">
        <v>-0.70814722142321</v>
      </c>
      <c r="U1628" s="3" t="n">
        <v>-0.8477488045996808</v>
      </c>
      <c r="V1628" s="3" t="n">
        <v>-0.6756977857427394</v>
      </c>
      <c r="W1628" s="3" t="n">
        <v>-0.4928101326556916</v>
      </c>
      <c r="X1628" s="3" t="n">
        <v>-0.9658704755154062</v>
      </c>
      <c r="Y1628" s="3" t="n">
        <v>-0.7819935831617801</v>
      </c>
      <c r="Z1628" s="3" t="n">
        <v>-0.9684819490351575</v>
      </c>
      <c r="AA1628" s="3" t="n">
        <v>-0.9684819490351575</v>
      </c>
      <c r="AB1628" s="3" t="n">
        <v>-0.9658704755154062</v>
      </c>
      <c r="AC1628" s="3" t="n">
        <v>-1.04035159628442</v>
      </c>
      <c r="AD1628" s="3" t="n">
        <v>-0.8477488045996808</v>
      </c>
      <c r="AE1628" s="3" t="n">
        <v>-0.8477488045996808</v>
      </c>
    </row>
    <row r="1629">
      <c r="A1629" s="3" t="inlineStr">
        <is>
          <t>NRU.distn.dec.ove.mean.9</t>
        </is>
      </c>
      <c r="B1629" s="3" t="inlineStr">
        <is>
          <t>NRU</t>
        </is>
      </c>
      <c r="C1629" s="3" t="n">
        <v>2005</v>
      </c>
      <c r="D1629" s="3" t="inlineStr">
        <is>
          <t>Overall</t>
        </is>
      </c>
      <c r="E1629" s="3" t="inlineStr">
        <is>
          <t>Deciles</t>
        </is>
      </c>
      <c r="F1629" s="3" t="inlineStr">
        <is>
          <t>mean</t>
        </is>
      </c>
      <c r="G1629" s="3" t="n">
        <v>9</v>
      </c>
      <c r="H1629" s="3" t="n">
        <v>-0.7819935831617801</v>
      </c>
      <c r="I1629" s="3" t="n">
        <v>-0.7819935831617801</v>
      </c>
      <c r="J1629" s="3" t="n">
        <v>-0.8477488045996808</v>
      </c>
      <c r="K1629" s="3" t="n">
        <v>-0.8477488045996808</v>
      </c>
      <c r="L1629" s="3" t="n">
        <v>-0.7819935831617801</v>
      </c>
      <c r="M1629" s="3" t="n">
        <v>-0.7819935831617801</v>
      </c>
      <c r="N1629" s="3" t="n">
        <v>-0.7819935831617801</v>
      </c>
      <c r="O1629" s="3" t="n">
        <v>-0.7819935831617801</v>
      </c>
      <c r="P1629" s="3" t="n">
        <v>-0.7819935831617801</v>
      </c>
      <c r="Q1629" s="3" t="n">
        <v>-0.7819935831617801</v>
      </c>
      <c r="R1629" s="3" t="n">
        <v>-0.7700191178220384</v>
      </c>
      <c r="S1629" s="3" t="n">
        <v>-0.9684819490351575</v>
      </c>
      <c r="T1629" s="3" t="n">
        <v>-0.70814722142321</v>
      </c>
      <c r="U1629" s="3" t="n">
        <v>-0.8477488045996808</v>
      </c>
      <c r="V1629" s="3" t="n">
        <v>-0.6756977857427394</v>
      </c>
      <c r="W1629" s="3" t="n">
        <v>-0.4928101326556916</v>
      </c>
      <c r="X1629" s="3" t="n">
        <v>-0.9658704755154062</v>
      </c>
      <c r="Y1629" s="3" t="n">
        <v>-0.7819935831617801</v>
      </c>
      <c r="Z1629" s="3" t="n">
        <v>-0.9684819490351575</v>
      </c>
      <c r="AA1629" s="3" t="n">
        <v>-0.9684819490351575</v>
      </c>
      <c r="AB1629" s="3" t="n">
        <v>-0.9658704755154062</v>
      </c>
      <c r="AC1629" s="3" t="n">
        <v>-1.04035159628442</v>
      </c>
      <c r="AD1629" s="3" t="n">
        <v>-0.8477488045996808</v>
      </c>
      <c r="AE1629" s="3" t="n">
        <v>-0.8477488045996808</v>
      </c>
    </row>
    <row r="1630">
      <c r="A1630" s="3" t="inlineStr">
        <is>
          <t>NRU.distn.dec.ove.mean.10</t>
        </is>
      </c>
      <c r="B1630" s="3" t="inlineStr">
        <is>
          <t>NRU</t>
        </is>
      </c>
      <c r="C1630" s="3" t="n">
        <v>2005</v>
      </c>
      <c r="D1630" s="3" t="inlineStr">
        <is>
          <t>Overall</t>
        </is>
      </c>
      <c r="E1630" s="3" t="inlineStr">
        <is>
          <t>Deciles</t>
        </is>
      </c>
      <c r="F1630" s="3" t="inlineStr">
        <is>
          <t>mean</t>
        </is>
      </c>
      <c r="G1630" s="3" t="n">
        <v>10</v>
      </c>
      <c r="H1630" s="3" t="n">
        <v>-0.7819935831617801</v>
      </c>
      <c r="I1630" s="3" t="n">
        <v>-0.7819935831617801</v>
      </c>
      <c r="J1630" s="3" t="n">
        <v>-0.8477488045996808</v>
      </c>
      <c r="K1630" s="3" t="n">
        <v>-0.8477488045996808</v>
      </c>
      <c r="L1630" s="3" t="n">
        <v>-0.7819935831617801</v>
      </c>
      <c r="M1630" s="3" t="n">
        <v>-0.7819935831617801</v>
      </c>
      <c r="N1630" s="3" t="n">
        <v>-0.7819935831617801</v>
      </c>
      <c r="O1630" s="3" t="n">
        <v>-0.7819935831617801</v>
      </c>
      <c r="P1630" s="3" t="n">
        <v>-0.7819935831617801</v>
      </c>
      <c r="Q1630" s="3" t="n">
        <v>-0.7819935831617801</v>
      </c>
      <c r="R1630" s="3" t="n">
        <v>-0.7700191178220384</v>
      </c>
      <c r="S1630" s="3" t="n">
        <v>-0.9684819490351575</v>
      </c>
      <c r="T1630" s="3" t="n">
        <v>-0.70814722142321</v>
      </c>
      <c r="U1630" s="3" t="n">
        <v>-0.8477488045996808</v>
      </c>
      <c r="V1630" s="3" t="n">
        <v>-0.6756977857427394</v>
      </c>
      <c r="W1630" s="3" t="n">
        <v>-0.4928101326556916</v>
      </c>
      <c r="X1630" s="3" t="n">
        <v>-0.9658704755154062</v>
      </c>
      <c r="Y1630" s="3" t="n">
        <v>-0.7819935831617801</v>
      </c>
      <c r="Z1630" s="3" t="n">
        <v>-0.9684819490351575</v>
      </c>
      <c r="AA1630" s="3" t="n">
        <v>-0.9684819490351575</v>
      </c>
      <c r="AB1630" s="3" t="n">
        <v>-0.9658704755154062</v>
      </c>
      <c r="AC1630" s="3" t="n">
        <v>-1.04035159628442</v>
      </c>
      <c r="AD1630" s="3" t="n">
        <v>-0.8477488045996808</v>
      </c>
      <c r="AE1630" s="3" t="n">
        <v>-0.8477488045996808</v>
      </c>
    </row>
    <row r="1631">
      <c r="A1631" s="3" t="inlineStr">
        <is>
          <t>NRU.distn.bkt.ove.mean.9999</t>
        </is>
      </c>
      <c r="B1631" s="3" t="inlineStr">
        <is>
          <t>NRU</t>
        </is>
      </c>
      <c r="C1631" s="3" t="n">
        <v>2005</v>
      </c>
      <c r="D1631" s="3" t="inlineStr">
        <is>
          <t>Overall</t>
        </is>
      </c>
      <c r="E1631" s="3" t="inlineStr">
        <is>
          <t>Basket</t>
        </is>
      </c>
      <c r="F1631" s="3" t="inlineStr">
        <is>
          <t>mean</t>
        </is>
      </c>
      <c r="G1631" s="3" t="n">
        <v>9999</v>
      </c>
      <c r="H1631" s="3" t="n">
        <v>-0.7836013613863194</v>
      </c>
      <c r="I1631" s="3" t="n">
        <v>-0.7836013613863194</v>
      </c>
      <c r="J1631" s="3" t="n">
        <v>-0.8590307616172953</v>
      </c>
      <c r="K1631" s="3" t="n">
        <v>-0.8590307616172953</v>
      </c>
      <c r="L1631" s="3" t="n">
        <v>-0.7836013613863194</v>
      </c>
      <c r="M1631" s="3" t="n">
        <v>-0.7836013613863194</v>
      </c>
      <c r="N1631" s="3" t="n">
        <v>-0.7836013613863194</v>
      </c>
      <c r="O1631" s="3" t="n">
        <v>-0.7836013613863194</v>
      </c>
      <c r="P1631" s="3" t="n">
        <v>-0.7836013613863194</v>
      </c>
      <c r="Q1631" s="3" t="n">
        <v>-0.7836013613863194</v>
      </c>
      <c r="R1631" s="3" t="n">
        <v>-0.7708828220976159</v>
      </c>
      <c r="S1631" s="3" t="n">
        <v>-1.097007578991829</v>
      </c>
      <c r="T1631" s="3" t="n">
        <v>-0.7085544974245923</v>
      </c>
      <c r="U1631" s="3" t="n">
        <v>-0.8590307616172953</v>
      </c>
      <c r="V1631" s="3" t="n">
        <v>-0.6772896647453308</v>
      </c>
      <c r="W1631" s="3" t="n">
        <v>-0.5109122699879586</v>
      </c>
      <c r="X1631" s="3" t="n">
        <v>-1.079493910708326</v>
      </c>
      <c r="Y1631" s="3" t="n">
        <v>-0.7836013613863194</v>
      </c>
      <c r="Z1631" s="3" t="n">
        <v>-1.097007578991829</v>
      </c>
      <c r="AA1631" s="3" t="n">
        <v>-1.097007578991829</v>
      </c>
      <c r="AB1631" s="3" t="n">
        <v>-1.079493910708326</v>
      </c>
      <c r="AC1631" s="3" t="n">
        <v>-1.359592239907447</v>
      </c>
      <c r="AD1631" s="3" t="n">
        <v>-0.8590307616172953</v>
      </c>
      <c r="AE1631" s="3" t="n">
        <v>-0.8590307616172953</v>
      </c>
    </row>
    <row r="1632">
      <c r="A1632" s="3" t="inlineStr">
        <is>
          <t>NZL.distn.dec.ove.mean.1</t>
        </is>
      </c>
      <c r="B1632" s="3" t="inlineStr">
        <is>
          <t>NZL</t>
        </is>
      </c>
      <c r="C1632" s="3" t="n">
        <v>2005</v>
      </c>
      <c r="D1632" s="3" t="inlineStr">
        <is>
          <t>Overall</t>
        </is>
      </c>
      <c r="E1632" s="3" t="inlineStr">
        <is>
          <t>Deciles</t>
        </is>
      </c>
      <c r="F1632" s="3" t="inlineStr">
        <is>
          <t>mean</t>
        </is>
      </c>
      <c r="G1632" s="3" t="n">
        <v>1</v>
      </c>
      <c r="H1632" s="3" t="n">
        <v>-0.7892489433288574</v>
      </c>
      <c r="I1632" s="3" t="n">
        <v>-0.7892489433288574</v>
      </c>
      <c r="J1632" s="3" t="n">
        <v>-0.8952598571777344</v>
      </c>
      <c r="K1632" s="3" t="n">
        <v>-0.8952598571777344</v>
      </c>
      <c r="L1632" s="3" t="n">
        <v>-0.7892489433288574</v>
      </c>
      <c r="M1632" s="3" t="n">
        <v>-0.7892489433288574</v>
      </c>
      <c r="N1632" s="3" t="n">
        <v>-0.7892489433288574</v>
      </c>
      <c r="O1632" s="3" t="n">
        <v>-0.7892489433288574</v>
      </c>
      <c r="P1632" s="3" t="n">
        <v>-0.7892489433288574</v>
      </c>
      <c r="Q1632" s="3" t="n">
        <v>-0.7892489433288574</v>
      </c>
      <c r="R1632" s="3" t="n">
        <v>-0.7744752764701843</v>
      </c>
      <c r="S1632" s="3" t="n">
        <v>-1.450570940971375</v>
      </c>
      <c r="T1632" s="3" t="n">
        <v>-0.7094525694847107</v>
      </c>
      <c r="U1632" s="3" t="n">
        <v>-0.8952598571777344</v>
      </c>
      <c r="V1632" s="3" t="n">
        <v>-0.6839550137519836</v>
      </c>
      <c r="W1632" s="3" t="n">
        <v>-0.6083605885505676</v>
      </c>
      <c r="X1632" s="3" t="n">
        <v>-1.395707845687866</v>
      </c>
      <c r="Y1632" s="3" t="n">
        <v>-0.7892489433288574</v>
      </c>
      <c r="Z1632" s="3" t="n">
        <v>-1.450570940971375</v>
      </c>
      <c r="AA1632" s="3" t="n">
        <v>-1.450570940971375</v>
      </c>
      <c r="AB1632" s="3" t="n">
        <v>-1.395707845687866</v>
      </c>
      <c r="AC1632" s="3" t="n">
        <v>-2.223958969116211</v>
      </c>
      <c r="AD1632" s="3" t="n">
        <v>-0.8952598571777344</v>
      </c>
      <c r="AE1632" s="3" t="n">
        <v>-0.8952598571777344</v>
      </c>
    </row>
    <row r="1633">
      <c r="A1633" s="3" t="inlineStr">
        <is>
          <t>NZL.distn.dec.ove.mean.2</t>
        </is>
      </c>
      <c r="B1633" s="3" t="inlineStr">
        <is>
          <t>NZL</t>
        </is>
      </c>
      <c r="C1633" s="3" t="n">
        <v>2005</v>
      </c>
      <c r="D1633" s="3" t="inlineStr">
        <is>
          <t>Overall</t>
        </is>
      </c>
      <c r="E1633" s="3" t="inlineStr">
        <is>
          <t>Deciles</t>
        </is>
      </c>
      <c r="F1633" s="3" t="inlineStr">
        <is>
          <t>mean</t>
        </is>
      </c>
      <c r="G1633" s="3" t="n">
        <v>2</v>
      </c>
      <c r="H1633" s="3" t="n">
        <v>-0.7892489433288574</v>
      </c>
      <c r="I1633" s="3" t="n">
        <v>-0.7892489433288574</v>
      </c>
      <c r="J1633" s="3" t="n">
        <v>-0.8952598571777344</v>
      </c>
      <c r="K1633" s="3" t="n">
        <v>-0.8952598571777344</v>
      </c>
      <c r="L1633" s="3" t="n">
        <v>-0.7892489433288574</v>
      </c>
      <c r="M1633" s="3" t="n">
        <v>-0.7892489433288574</v>
      </c>
      <c r="N1633" s="3" t="n">
        <v>-0.7892489433288574</v>
      </c>
      <c r="O1633" s="3" t="n">
        <v>-0.7892489433288574</v>
      </c>
      <c r="P1633" s="3" t="n">
        <v>-0.7892489433288574</v>
      </c>
      <c r="Q1633" s="3" t="n">
        <v>-0.7892489433288574</v>
      </c>
      <c r="R1633" s="3" t="n">
        <v>-0.7744752764701843</v>
      </c>
      <c r="S1633" s="3" t="n">
        <v>-1.450570940971375</v>
      </c>
      <c r="T1633" s="3" t="n">
        <v>-0.7094525694847107</v>
      </c>
      <c r="U1633" s="3" t="n">
        <v>-0.8952598571777344</v>
      </c>
      <c r="V1633" s="3" t="n">
        <v>-0.6839550137519836</v>
      </c>
      <c r="W1633" s="3" t="n">
        <v>-0.6083605885505676</v>
      </c>
      <c r="X1633" s="3" t="n">
        <v>-1.395707845687866</v>
      </c>
      <c r="Y1633" s="3" t="n">
        <v>-0.7892489433288574</v>
      </c>
      <c r="Z1633" s="3" t="n">
        <v>-1.450570940971375</v>
      </c>
      <c r="AA1633" s="3" t="n">
        <v>-1.450570940971375</v>
      </c>
      <c r="AB1633" s="3" t="n">
        <v>-1.395707845687866</v>
      </c>
      <c r="AC1633" s="3" t="n">
        <v>-2.223958969116211</v>
      </c>
      <c r="AD1633" s="3" t="n">
        <v>-0.8952598571777344</v>
      </c>
      <c r="AE1633" s="3" t="n">
        <v>-0.8952598571777344</v>
      </c>
    </row>
    <row r="1634">
      <c r="A1634" s="3" t="inlineStr">
        <is>
          <t>NZL.distn.dec.ove.mean.3</t>
        </is>
      </c>
      <c r="B1634" s="3" t="inlineStr">
        <is>
          <t>NZL</t>
        </is>
      </c>
      <c r="C1634" s="3" t="n">
        <v>2005</v>
      </c>
      <c r="D1634" s="3" t="inlineStr">
        <is>
          <t>Overall</t>
        </is>
      </c>
      <c r="E1634" s="3" t="inlineStr">
        <is>
          <t>Deciles</t>
        </is>
      </c>
      <c r="F1634" s="3" t="inlineStr">
        <is>
          <t>mean</t>
        </is>
      </c>
      <c r="G1634" s="3" t="n">
        <v>3</v>
      </c>
      <c r="H1634" s="3" t="n">
        <v>-0.7892489433288574</v>
      </c>
      <c r="I1634" s="3" t="n">
        <v>-0.7892489433288574</v>
      </c>
      <c r="J1634" s="3" t="n">
        <v>-0.8952598571777344</v>
      </c>
      <c r="K1634" s="3" t="n">
        <v>-0.8952598571777344</v>
      </c>
      <c r="L1634" s="3" t="n">
        <v>-0.7892489433288574</v>
      </c>
      <c r="M1634" s="3" t="n">
        <v>-0.7892489433288574</v>
      </c>
      <c r="N1634" s="3" t="n">
        <v>-0.7892489433288574</v>
      </c>
      <c r="O1634" s="3" t="n">
        <v>-0.7892489433288574</v>
      </c>
      <c r="P1634" s="3" t="n">
        <v>-0.7892489433288574</v>
      </c>
      <c r="Q1634" s="3" t="n">
        <v>-0.7892489433288574</v>
      </c>
      <c r="R1634" s="3" t="n">
        <v>-0.7744752764701843</v>
      </c>
      <c r="S1634" s="3" t="n">
        <v>-1.450570940971375</v>
      </c>
      <c r="T1634" s="3" t="n">
        <v>-0.7094525694847107</v>
      </c>
      <c r="U1634" s="3" t="n">
        <v>-0.8952598571777344</v>
      </c>
      <c r="V1634" s="3" t="n">
        <v>-0.6839550137519836</v>
      </c>
      <c r="W1634" s="3" t="n">
        <v>-0.6083605885505676</v>
      </c>
      <c r="X1634" s="3" t="n">
        <v>-1.395707845687866</v>
      </c>
      <c r="Y1634" s="3" t="n">
        <v>-0.7892489433288574</v>
      </c>
      <c r="Z1634" s="3" t="n">
        <v>-1.450570940971375</v>
      </c>
      <c r="AA1634" s="3" t="n">
        <v>-1.450570940971375</v>
      </c>
      <c r="AB1634" s="3" t="n">
        <v>-1.395707845687866</v>
      </c>
      <c r="AC1634" s="3" t="n">
        <v>-2.223958969116211</v>
      </c>
      <c r="AD1634" s="3" t="n">
        <v>-0.8952598571777344</v>
      </c>
      <c r="AE1634" s="3" t="n">
        <v>-0.8952598571777344</v>
      </c>
    </row>
    <row r="1635">
      <c r="A1635" s="3" t="inlineStr">
        <is>
          <t>NZL.distn.dec.ove.mean.4</t>
        </is>
      </c>
      <c r="B1635" s="3" t="inlineStr">
        <is>
          <t>NZL</t>
        </is>
      </c>
      <c r="C1635" s="3" t="n">
        <v>2005</v>
      </c>
      <c r="D1635" s="3" t="inlineStr">
        <is>
          <t>Overall</t>
        </is>
      </c>
      <c r="E1635" s="3" t="inlineStr">
        <is>
          <t>Deciles</t>
        </is>
      </c>
      <c r="F1635" s="3" t="inlineStr">
        <is>
          <t>mean</t>
        </is>
      </c>
      <c r="G1635" s="3" t="n">
        <v>4</v>
      </c>
      <c r="H1635" s="3" t="n">
        <v>-0.7829999923706055</v>
      </c>
      <c r="I1635" s="3" t="n">
        <v>-0.7829999923706055</v>
      </c>
      <c r="J1635" s="3" t="n">
        <v>-0.8519999980926514</v>
      </c>
      <c r="K1635" s="3" t="n">
        <v>-0.8519999980926514</v>
      </c>
      <c r="L1635" s="3" t="n">
        <v>-0.7829999923706055</v>
      </c>
      <c r="M1635" s="3" t="n">
        <v>-0.7829999923706055</v>
      </c>
      <c r="N1635" s="3" t="n">
        <v>-0.7829999923706055</v>
      </c>
      <c r="O1635" s="3" t="n">
        <v>-0.7829999923706055</v>
      </c>
      <c r="P1635" s="3" t="n">
        <v>-0.7829999923706055</v>
      </c>
      <c r="Q1635" s="3" t="n">
        <v>-0.7829999923706055</v>
      </c>
      <c r="R1635" s="3" t="n">
        <v>-0.7710000276565552</v>
      </c>
      <c r="S1635" s="3" t="n">
        <v>-0.9879999756813049</v>
      </c>
      <c r="T1635" s="3" t="n">
        <v>-0.7080000042915344</v>
      </c>
      <c r="U1635" s="3" t="n">
        <v>-0.8519999980926514</v>
      </c>
      <c r="V1635" s="3" t="n">
        <v>-0.6769999861717224</v>
      </c>
      <c r="W1635" s="3" t="n">
        <v>-0.5120000243186951</v>
      </c>
      <c r="X1635" s="3" t="n">
        <v>-0.9850000143051147</v>
      </c>
      <c r="Y1635" s="3" t="n">
        <v>-0.7829999923706055</v>
      </c>
      <c r="Z1635" s="3" t="n">
        <v>-0.9879999756813049</v>
      </c>
      <c r="AA1635" s="3" t="n">
        <v>-0.9879999756813049</v>
      </c>
      <c r="AB1635" s="3" t="n">
        <v>-0.9850000143051147</v>
      </c>
      <c r="AC1635" s="3" t="n">
        <v>-1.074000000953674</v>
      </c>
      <c r="AD1635" s="3" t="n">
        <v>-0.8519999980926514</v>
      </c>
      <c r="AE1635" s="3" t="n">
        <v>-0.8519999980926514</v>
      </c>
    </row>
    <row r="1636">
      <c r="A1636" s="3" t="inlineStr">
        <is>
          <t>NZL.distn.dec.ove.mean.5</t>
        </is>
      </c>
      <c r="B1636" s="3" t="inlineStr">
        <is>
          <t>NZL</t>
        </is>
      </c>
      <c r="C1636" s="3" t="n">
        <v>2005</v>
      </c>
      <c r="D1636" s="3" t="inlineStr">
        <is>
          <t>Overall</t>
        </is>
      </c>
      <c r="E1636" s="3" t="inlineStr">
        <is>
          <t>Deciles</t>
        </is>
      </c>
      <c r="F1636" s="3" t="inlineStr">
        <is>
          <t>mean</t>
        </is>
      </c>
      <c r="G1636" s="3" t="n">
        <v>5</v>
      </c>
      <c r="H1636" s="3" t="n">
        <v>-0.7829999923706055</v>
      </c>
      <c r="I1636" s="3" t="n">
        <v>-0.7829999923706055</v>
      </c>
      <c r="J1636" s="3" t="n">
        <v>-0.8519999980926514</v>
      </c>
      <c r="K1636" s="3" t="n">
        <v>-0.8519999980926514</v>
      </c>
      <c r="L1636" s="3" t="n">
        <v>-0.7829999923706055</v>
      </c>
      <c r="M1636" s="3" t="n">
        <v>-0.7829999923706055</v>
      </c>
      <c r="N1636" s="3" t="n">
        <v>-0.7829999923706055</v>
      </c>
      <c r="O1636" s="3" t="n">
        <v>-0.7829999923706055</v>
      </c>
      <c r="P1636" s="3" t="n">
        <v>-0.7829999923706055</v>
      </c>
      <c r="Q1636" s="3" t="n">
        <v>-0.7829999923706055</v>
      </c>
      <c r="R1636" s="3" t="n">
        <v>-0.7710000276565552</v>
      </c>
      <c r="S1636" s="3" t="n">
        <v>-0.9879999756813049</v>
      </c>
      <c r="T1636" s="3" t="n">
        <v>-0.7080000042915344</v>
      </c>
      <c r="U1636" s="3" t="n">
        <v>-0.8519999980926514</v>
      </c>
      <c r="V1636" s="3" t="n">
        <v>-0.6769999861717224</v>
      </c>
      <c r="W1636" s="3" t="n">
        <v>-0.5120000243186951</v>
      </c>
      <c r="X1636" s="3" t="n">
        <v>-0.9850000143051147</v>
      </c>
      <c r="Y1636" s="3" t="n">
        <v>-0.7829999923706055</v>
      </c>
      <c r="Z1636" s="3" t="n">
        <v>-0.9879999756813049</v>
      </c>
      <c r="AA1636" s="3" t="n">
        <v>-0.9879999756813049</v>
      </c>
      <c r="AB1636" s="3" t="n">
        <v>-0.9850000143051147</v>
      </c>
      <c r="AC1636" s="3" t="n">
        <v>-1.074000000953674</v>
      </c>
      <c r="AD1636" s="3" t="n">
        <v>-0.8519999980926514</v>
      </c>
      <c r="AE1636" s="3" t="n">
        <v>-0.8519999980926514</v>
      </c>
    </row>
    <row r="1637">
      <c r="A1637" s="3" t="inlineStr">
        <is>
          <t>NZL.distn.dec.ove.mean.6</t>
        </is>
      </c>
      <c r="B1637" s="3" t="inlineStr">
        <is>
          <t>NZL</t>
        </is>
      </c>
      <c r="C1637" s="3" t="n">
        <v>2005</v>
      </c>
      <c r="D1637" s="3" t="inlineStr">
        <is>
          <t>Overall</t>
        </is>
      </c>
      <c r="E1637" s="3" t="inlineStr">
        <is>
          <t>Deciles</t>
        </is>
      </c>
      <c r="F1637" s="3" t="inlineStr">
        <is>
          <t>mean</t>
        </is>
      </c>
      <c r="G1637" s="3" t="n">
        <v>6</v>
      </c>
      <c r="H1637" s="3" t="n">
        <v>-0.7829999923706055</v>
      </c>
      <c r="I1637" s="3" t="n">
        <v>-0.7829999923706055</v>
      </c>
      <c r="J1637" s="3" t="n">
        <v>-0.8519999980926514</v>
      </c>
      <c r="K1637" s="3" t="n">
        <v>-0.8519999980926514</v>
      </c>
      <c r="L1637" s="3" t="n">
        <v>-0.7829999923706055</v>
      </c>
      <c r="M1637" s="3" t="n">
        <v>-0.7829999923706055</v>
      </c>
      <c r="N1637" s="3" t="n">
        <v>-0.7829999923706055</v>
      </c>
      <c r="O1637" s="3" t="n">
        <v>-0.7829999923706055</v>
      </c>
      <c r="P1637" s="3" t="n">
        <v>-0.7829999923706055</v>
      </c>
      <c r="Q1637" s="3" t="n">
        <v>-0.7829999923706055</v>
      </c>
      <c r="R1637" s="3" t="n">
        <v>-0.7710000276565552</v>
      </c>
      <c r="S1637" s="3" t="n">
        <v>-0.9879999756813049</v>
      </c>
      <c r="T1637" s="3" t="n">
        <v>-0.7080000042915344</v>
      </c>
      <c r="U1637" s="3" t="n">
        <v>-0.8519999980926514</v>
      </c>
      <c r="V1637" s="3" t="n">
        <v>-0.6769999861717224</v>
      </c>
      <c r="W1637" s="3" t="n">
        <v>-0.5120000243186951</v>
      </c>
      <c r="X1637" s="3" t="n">
        <v>-0.9850000143051147</v>
      </c>
      <c r="Y1637" s="3" t="n">
        <v>-0.7829999923706055</v>
      </c>
      <c r="Z1637" s="3" t="n">
        <v>-0.9879999756813049</v>
      </c>
      <c r="AA1637" s="3" t="n">
        <v>-0.9879999756813049</v>
      </c>
      <c r="AB1637" s="3" t="n">
        <v>-0.9850000143051147</v>
      </c>
      <c r="AC1637" s="3" t="n">
        <v>-1.074000000953674</v>
      </c>
      <c r="AD1637" s="3" t="n">
        <v>-0.8519999980926514</v>
      </c>
      <c r="AE1637" s="3" t="n">
        <v>-0.8519999980926514</v>
      </c>
    </row>
    <row r="1638">
      <c r="A1638" s="3" t="inlineStr">
        <is>
          <t>NZL.distn.dec.ove.mean.7</t>
        </is>
      </c>
      <c r="B1638" s="3" t="inlineStr">
        <is>
          <t>NZL</t>
        </is>
      </c>
      <c r="C1638" s="3" t="n">
        <v>2005</v>
      </c>
      <c r="D1638" s="3" t="inlineStr">
        <is>
          <t>Overall</t>
        </is>
      </c>
      <c r="E1638" s="3" t="inlineStr">
        <is>
          <t>Deciles</t>
        </is>
      </c>
      <c r="F1638" s="3" t="inlineStr">
        <is>
          <t>mean</t>
        </is>
      </c>
      <c r="G1638" s="3" t="n">
        <v>7</v>
      </c>
      <c r="H1638" s="3" t="n">
        <v>-0.7829999923706055</v>
      </c>
      <c r="I1638" s="3" t="n">
        <v>-0.7829999923706055</v>
      </c>
      <c r="J1638" s="3" t="n">
        <v>-0.8519999980926514</v>
      </c>
      <c r="K1638" s="3" t="n">
        <v>-0.8519999980926514</v>
      </c>
      <c r="L1638" s="3" t="n">
        <v>-0.7829999923706055</v>
      </c>
      <c r="M1638" s="3" t="n">
        <v>-0.7829999923706055</v>
      </c>
      <c r="N1638" s="3" t="n">
        <v>-0.7829999923706055</v>
      </c>
      <c r="O1638" s="3" t="n">
        <v>-0.7829999923706055</v>
      </c>
      <c r="P1638" s="3" t="n">
        <v>-0.7829999923706055</v>
      </c>
      <c r="Q1638" s="3" t="n">
        <v>-0.7829999923706055</v>
      </c>
      <c r="R1638" s="3" t="n">
        <v>-0.7710000276565552</v>
      </c>
      <c r="S1638" s="3" t="n">
        <v>-0.9879999756813049</v>
      </c>
      <c r="T1638" s="3" t="n">
        <v>-0.7080000042915344</v>
      </c>
      <c r="U1638" s="3" t="n">
        <v>-0.8519999980926514</v>
      </c>
      <c r="V1638" s="3" t="n">
        <v>-0.6769999861717224</v>
      </c>
      <c r="W1638" s="3" t="n">
        <v>-0.5120000243186951</v>
      </c>
      <c r="X1638" s="3" t="n">
        <v>-0.9850000143051147</v>
      </c>
      <c r="Y1638" s="3" t="n">
        <v>-0.7829999923706055</v>
      </c>
      <c r="Z1638" s="3" t="n">
        <v>-0.9879999756813049</v>
      </c>
      <c r="AA1638" s="3" t="n">
        <v>-0.9879999756813049</v>
      </c>
      <c r="AB1638" s="3" t="n">
        <v>-0.9850000143051147</v>
      </c>
      <c r="AC1638" s="3" t="n">
        <v>-1.074000000953674</v>
      </c>
      <c r="AD1638" s="3" t="n">
        <v>-0.8519999980926514</v>
      </c>
      <c r="AE1638" s="3" t="n">
        <v>-0.8519999980926514</v>
      </c>
    </row>
    <row r="1639">
      <c r="A1639" s="3" t="inlineStr">
        <is>
          <t>NZL.distn.dec.ove.mean.8</t>
        </is>
      </c>
      <c r="B1639" s="3" t="inlineStr">
        <is>
          <t>NZL</t>
        </is>
      </c>
      <c r="C1639" s="3" t="n">
        <v>2005</v>
      </c>
      <c r="D1639" s="3" t="inlineStr">
        <is>
          <t>Overall</t>
        </is>
      </c>
      <c r="E1639" s="3" t="inlineStr">
        <is>
          <t>Deciles</t>
        </is>
      </c>
      <c r="F1639" s="3" t="inlineStr">
        <is>
          <t>mean</t>
        </is>
      </c>
      <c r="G1639" s="3" t="n">
        <v>8</v>
      </c>
      <c r="H1639" s="3" t="n">
        <v>-0.7833772301673889</v>
      </c>
      <c r="I1639" s="3" t="n">
        <v>-0.7833772301673889</v>
      </c>
      <c r="J1639" s="3" t="n">
        <v>-0.8542983531951904</v>
      </c>
      <c r="K1639" s="3" t="n">
        <v>-0.8542983531951904</v>
      </c>
      <c r="L1639" s="3" t="n">
        <v>-0.7833772301673889</v>
      </c>
      <c r="M1639" s="3" t="n">
        <v>-0.7833772301673889</v>
      </c>
      <c r="N1639" s="3" t="n">
        <v>-0.7833772301673889</v>
      </c>
      <c r="O1639" s="3" t="n">
        <v>-0.7833772301673889</v>
      </c>
      <c r="P1639" s="3" t="n">
        <v>-0.7833772301673889</v>
      </c>
      <c r="Q1639" s="3" t="n">
        <v>-0.7833772301673889</v>
      </c>
      <c r="R1639" s="3" t="n">
        <v>-0.7712535858154297</v>
      </c>
      <c r="S1639" s="3" t="n">
        <v>-0.997193455696106</v>
      </c>
      <c r="T1639" s="3" t="n">
        <v>-0.7080408334732056</v>
      </c>
      <c r="U1639" s="3" t="n">
        <v>-0.8542983531951904</v>
      </c>
      <c r="V1639" s="3" t="n">
        <v>-0.677699863910675</v>
      </c>
      <c r="W1639" s="3" t="n">
        <v>-0.5257107615470886</v>
      </c>
      <c r="X1639" s="3" t="n">
        <v>-0.9939753413200378</v>
      </c>
      <c r="Y1639" s="3" t="n">
        <v>-0.7833772301673889</v>
      </c>
      <c r="Z1639" s="3" t="n">
        <v>-0.997193455696106</v>
      </c>
      <c r="AA1639" s="3" t="n">
        <v>-0.997193455696106</v>
      </c>
      <c r="AB1639" s="3" t="n">
        <v>-0.9939753413200378</v>
      </c>
      <c r="AC1639" s="3" t="n">
        <v>-1.089316606521606</v>
      </c>
      <c r="AD1639" s="3" t="n">
        <v>-0.8542983531951904</v>
      </c>
      <c r="AE1639" s="3" t="n">
        <v>-0.8542983531951904</v>
      </c>
    </row>
    <row r="1640">
      <c r="A1640" s="3" t="inlineStr">
        <is>
          <t>NZL.distn.dec.ove.mean.9</t>
        </is>
      </c>
      <c r="B1640" s="3" t="inlineStr">
        <is>
          <t>NZL</t>
        </is>
      </c>
      <c r="C1640" s="3" t="n">
        <v>2005</v>
      </c>
      <c r="D1640" s="3" t="inlineStr">
        <is>
          <t>Overall</t>
        </is>
      </c>
      <c r="E1640" s="3" t="inlineStr">
        <is>
          <t>Deciles</t>
        </is>
      </c>
      <c r="F1640" s="3" t="inlineStr">
        <is>
          <t>mean</t>
        </is>
      </c>
      <c r="G1640" s="3" t="n">
        <v>9</v>
      </c>
      <c r="H1640" s="3" t="n">
        <v>-0.7833772301673889</v>
      </c>
      <c r="I1640" s="3" t="n">
        <v>-0.7833772301673889</v>
      </c>
      <c r="J1640" s="3" t="n">
        <v>-0.8542983531951904</v>
      </c>
      <c r="K1640" s="3" t="n">
        <v>-0.8542983531951904</v>
      </c>
      <c r="L1640" s="3" t="n">
        <v>-0.7833772301673889</v>
      </c>
      <c r="M1640" s="3" t="n">
        <v>-0.7833772301673889</v>
      </c>
      <c r="N1640" s="3" t="n">
        <v>-0.7833772301673889</v>
      </c>
      <c r="O1640" s="3" t="n">
        <v>-0.7833772301673889</v>
      </c>
      <c r="P1640" s="3" t="n">
        <v>-0.7833772301673889</v>
      </c>
      <c r="Q1640" s="3" t="n">
        <v>-0.7833772301673889</v>
      </c>
      <c r="R1640" s="3" t="n">
        <v>-0.7712535858154297</v>
      </c>
      <c r="S1640" s="3" t="n">
        <v>-0.997193455696106</v>
      </c>
      <c r="T1640" s="3" t="n">
        <v>-0.7080408334732056</v>
      </c>
      <c r="U1640" s="3" t="n">
        <v>-0.8542983531951904</v>
      </c>
      <c r="V1640" s="3" t="n">
        <v>-0.677699863910675</v>
      </c>
      <c r="W1640" s="3" t="n">
        <v>-0.5257107615470886</v>
      </c>
      <c r="X1640" s="3" t="n">
        <v>-0.9939753413200378</v>
      </c>
      <c r="Y1640" s="3" t="n">
        <v>-0.7833772301673889</v>
      </c>
      <c r="Z1640" s="3" t="n">
        <v>-0.997193455696106</v>
      </c>
      <c r="AA1640" s="3" t="n">
        <v>-0.997193455696106</v>
      </c>
      <c r="AB1640" s="3" t="n">
        <v>-0.9939753413200378</v>
      </c>
      <c r="AC1640" s="3" t="n">
        <v>-1.089316606521606</v>
      </c>
      <c r="AD1640" s="3" t="n">
        <v>-0.8542983531951904</v>
      </c>
      <c r="AE1640" s="3" t="n">
        <v>-0.8542983531951904</v>
      </c>
    </row>
    <row r="1641">
      <c r="A1641" s="3" t="inlineStr">
        <is>
          <t>NZL.distn.dec.ove.mean.10</t>
        </is>
      </c>
      <c r="B1641" s="3" t="inlineStr">
        <is>
          <t>NZL</t>
        </is>
      </c>
      <c r="C1641" s="3" t="n">
        <v>2005</v>
      </c>
      <c r="D1641" s="3" t="inlineStr">
        <is>
          <t>Overall</t>
        </is>
      </c>
      <c r="E1641" s="3" t="inlineStr">
        <is>
          <t>Deciles</t>
        </is>
      </c>
      <c r="F1641" s="3" t="inlineStr">
        <is>
          <t>mean</t>
        </is>
      </c>
      <c r="G1641" s="3" t="n">
        <v>10</v>
      </c>
      <c r="H1641" s="3" t="n">
        <v>-0.7833772301673889</v>
      </c>
      <c r="I1641" s="3" t="n">
        <v>-0.7833772301673889</v>
      </c>
      <c r="J1641" s="3" t="n">
        <v>-0.8542983531951904</v>
      </c>
      <c r="K1641" s="3" t="n">
        <v>-0.8542983531951904</v>
      </c>
      <c r="L1641" s="3" t="n">
        <v>-0.7833772301673889</v>
      </c>
      <c r="M1641" s="3" t="n">
        <v>-0.7833772301673889</v>
      </c>
      <c r="N1641" s="3" t="n">
        <v>-0.7833772301673889</v>
      </c>
      <c r="O1641" s="3" t="n">
        <v>-0.7833772301673889</v>
      </c>
      <c r="P1641" s="3" t="n">
        <v>-0.7833772301673889</v>
      </c>
      <c r="Q1641" s="3" t="n">
        <v>-0.7833772301673889</v>
      </c>
      <c r="R1641" s="3" t="n">
        <v>-0.7712535858154297</v>
      </c>
      <c r="S1641" s="3" t="n">
        <v>-0.997193455696106</v>
      </c>
      <c r="T1641" s="3" t="n">
        <v>-0.7080408334732056</v>
      </c>
      <c r="U1641" s="3" t="n">
        <v>-0.8542983531951904</v>
      </c>
      <c r="V1641" s="3" t="n">
        <v>-0.677699863910675</v>
      </c>
      <c r="W1641" s="3" t="n">
        <v>-0.5257107615470886</v>
      </c>
      <c r="X1641" s="3" t="n">
        <v>-0.9939753413200378</v>
      </c>
      <c r="Y1641" s="3" t="n">
        <v>-0.7833772301673889</v>
      </c>
      <c r="Z1641" s="3" t="n">
        <v>-0.997193455696106</v>
      </c>
      <c r="AA1641" s="3" t="n">
        <v>-0.997193455696106</v>
      </c>
      <c r="AB1641" s="3" t="n">
        <v>-0.9939753413200378</v>
      </c>
      <c r="AC1641" s="3" t="n">
        <v>-1.089316606521606</v>
      </c>
      <c r="AD1641" s="3" t="n">
        <v>-0.8542983531951904</v>
      </c>
      <c r="AE1641" s="3" t="n">
        <v>-0.8542983531951904</v>
      </c>
    </row>
    <row r="1642">
      <c r="A1642" s="3" t="inlineStr">
        <is>
          <t>NZL.distn.bkt.ove.mean.9999</t>
        </is>
      </c>
      <c r="B1642" s="3" t="inlineStr">
        <is>
          <t>NZL</t>
        </is>
      </c>
      <c r="C1642" s="3" t="n">
        <v>2005</v>
      </c>
      <c r="D1642" s="3" t="inlineStr">
        <is>
          <t>Overall</t>
        </is>
      </c>
      <c r="E1642" s="3" t="inlineStr">
        <is>
          <t>Basket</t>
        </is>
      </c>
      <c r="F1642" s="3" t="inlineStr">
        <is>
          <t>mean</t>
        </is>
      </c>
      <c r="G1642" s="3" t="n">
        <v>9999</v>
      </c>
      <c r="H1642" s="3" t="n">
        <v>-0.7849878668785095</v>
      </c>
      <c r="I1642" s="3" t="n">
        <v>-0.7849878668785095</v>
      </c>
      <c r="J1642" s="3" t="n">
        <v>-0.865667462348938</v>
      </c>
      <c r="K1642" s="3" t="n">
        <v>-0.865667462348938</v>
      </c>
      <c r="L1642" s="3" t="n">
        <v>-0.7849878668785095</v>
      </c>
      <c r="M1642" s="3" t="n">
        <v>-0.7849878668785095</v>
      </c>
      <c r="N1642" s="3" t="n">
        <v>-0.7849878668785095</v>
      </c>
      <c r="O1642" s="3" t="n">
        <v>-0.7849878668785095</v>
      </c>
      <c r="P1642" s="3" t="n">
        <v>-0.7849878668785095</v>
      </c>
      <c r="Q1642" s="3" t="n">
        <v>-0.7849878668785095</v>
      </c>
      <c r="R1642" s="3" t="n">
        <v>-0.7721186876296997</v>
      </c>
      <c r="S1642" s="3" t="n">
        <v>-1.129529356956482</v>
      </c>
      <c r="T1642" s="3" t="n">
        <v>-0.708448052406311</v>
      </c>
      <c r="U1642" s="3" t="n">
        <v>-0.865667462348938</v>
      </c>
      <c r="V1642" s="3" t="n">
        <v>-0.6792964339256287</v>
      </c>
      <c r="W1642" s="3" t="n">
        <v>-0.5450214147567749</v>
      </c>
      <c r="X1642" s="3" t="n">
        <v>-1.110904932022095</v>
      </c>
      <c r="Y1642" s="3" t="n">
        <v>-0.7849878668785095</v>
      </c>
      <c r="Z1642" s="3" t="n">
        <v>-1.129529356956482</v>
      </c>
      <c r="AA1642" s="3" t="n">
        <v>-1.129529356956482</v>
      </c>
      <c r="AB1642" s="3" t="n">
        <v>-1.110904932022095</v>
      </c>
      <c r="AC1642" s="3" t="n">
        <v>-1.423582673072815</v>
      </c>
      <c r="AD1642" s="3" t="n">
        <v>-0.865667462348938</v>
      </c>
      <c r="AE1642" s="3" t="n">
        <v>-0.865667462348938</v>
      </c>
    </row>
    <row r="1643">
      <c r="A1643" s="3" t="inlineStr">
        <is>
          <t>OMN.distn.dec.ove.mean.1</t>
        </is>
      </c>
      <c r="B1643" s="3" t="inlineStr">
        <is>
          <t>OMN</t>
        </is>
      </c>
      <c r="C1643" s="3" t="n">
        <v>2005</v>
      </c>
      <c r="D1643" s="3" t="inlineStr">
        <is>
          <t>Overall</t>
        </is>
      </c>
      <c r="E1643" s="3" t="inlineStr">
        <is>
          <t>Deciles</t>
        </is>
      </c>
      <c r="F1643" s="3" t="inlineStr">
        <is>
          <t>mean</t>
        </is>
      </c>
      <c r="G1643" s="3" t="n">
        <v>1</v>
      </c>
      <c r="H1643" s="3" t="n">
        <v>-0.7882409691810608</v>
      </c>
      <c r="I1643" s="3" t="n">
        <v>-0.7882409691810608</v>
      </c>
      <c r="J1643" s="3" t="n">
        <v>-0.8889551758766174</v>
      </c>
      <c r="K1643" s="3" t="n">
        <v>-0.8889551758766174</v>
      </c>
      <c r="L1643" s="3" t="n">
        <v>-0.7882409691810608</v>
      </c>
      <c r="M1643" s="3" t="n">
        <v>-0.7882409691810608</v>
      </c>
      <c r="N1643" s="3" t="n">
        <v>-0.7882409691810608</v>
      </c>
      <c r="O1643" s="3" t="n">
        <v>-0.7882409691810608</v>
      </c>
      <c r="P1643" s="3" t="n">
        <v>-0.7882409691810608</v>
      </c>
      <c r="Q1643" s="3" t="n">
        <v>-0.7882409691810608</v>
      </c>
      <c r="R1643" s="3" t="n">
        <v>-0.7734707593917847</v>
      </c>
      <c r="S1643" s="3" t="n">
        <v>-1.410929918289185</v>
      </c>
      <c r="T1643" s="3" t="n">
        <v>-0.7094525694847107</v>
      </c>
      <c r="U1643" s="3" t="n">
        <v>-0.8889551758766174</v>
      </c>
      <c r="V1643" s="3" t="n">
        <v>-0.6819344758987427</v>
      </c>
      <c r="W1643" s="3" t="n">
        <v>-0.578655481338501</v>
      </c>
      <c r="X1643" s="3" t="n">
        <v>-1.358866930007935</v>
      </c>
      <c r="Y1643" s="3" t="n">
        <v>-0.7882409691810608</v>
      </c>
      <c r="Z1643" s="3" t="n">
        <v>-1.410929918289185</v>
      </c>
      <c r="AA1643" s="3" t="n">
        <v>-1.410929918289185</v>
      </c>
      <c r="AB1643" s="3" t="n">
        <v>-1.358866930007935</v>
      </c>
      <c r="AC1643" s="3" t="n">
        <v>-2.128705501556396</v>
      </c>
      <c r="AD1643" s="3" t="n">
        <v>-0.8889551758766174</v>
      </c>
      <c r="AE1643" s="3" t="n">
        <v>-0.8889551758766174</v>
      </c>
    </row>
    <row r="1644">
      <c r="A1644" s="3" t="inlineStr">
        <is>
          <t>OMN.distn.dec.ove.mean.2</t>
        </is>
      </c>
      <c r="B1644" s="3" t="inlineStr">
        <is>
          <t>OMN</t>
        </is>
      </c>
      <c r="C1644" s="3" t="n">
        <v>2005</v>
      </c>
      <c r="D1644" s="3" t="inlineStr">
        <is>
          <t>Overall</t>
        </is>
      </c>
      <c r="E1644" s="3" t="inlineStr">
        <is>
          <t>Deciles</t>
        </is>
      </c>
      <c r="F1644" s="3" t="inlineStr">
        <is>
          <t>mean</t>
        </is>
      </c>
      <c r="G1644" s="3" t="n">
        <v>2</v>
      </c>
      <c r="H1644" s="3" t="n">
        <v>-0.7882409691810608</v>
      </c>
      <c r="I1644" s="3" t="n">
        <v>-0.7882409691810608</v>
      </c>
      <c r="J1644" s="3" t="n">
        <v>-0.8889551758766174</v>
      </c>
      <c r="K1644" s="3" t="n">
        <v>-0.8889551758766174</v>
      </c>
      <c r="L1644" s="3" t="n">
        <v>-0.7882409691810608</v>
      </c>
      <c r="M1644" s="3" t="n">
        <v>-0.7882409691810608</v>
      </c>
      <c r="N1644" s="3" t="n">
        <v>-0.7882409691810608</v>
      </c>
      <c r="O1644" s="3" t="n">
        <v>-0.7882409691810608</v>
      </c>
      <c r="P1644" s="3" t="n">
        <v>-0.7882409691810608</v>
      </c>
      <c r="Q1644" s="3" t="n">
        <v>-0.7882409691810608</v>
      </c>
      <c r="R1644" s="3" t="n">
        <v>-0.7734707593917847</v>
      </c>
      <c r="S1644" s="3" t="n">
        <v>-1.410929918289185</v>
      </c>
      <c r="T1644" s="3" t="n">
        <v>-0.7094525694847107</v>
      </c>
      <c r="U1644" s="3" t="n">
        <v>-0.8889551758766174</v>
      </c>
      <c r="V1644" s="3" t="n">
        <v>-0.6819344758987427</v>
      </c>
      <c r="W1644" s="3" t="n">
        <v>-0.578655481338501</v>
      </c>
      <c r="X1644" s="3" t="n">
        <v>-1.358866930007935</v>
      </c>
      <c r="Y1644" s="3" t="n">
        <v>-0.7882409691810608</v>
      </c>
      <c r="Z1644" s="3" t="n">
        <v>-1.410929918289185</v>
      </c>
      <c r="AA1644" s="3" t="n">
        <v>-1.410929918289185</v>
      </c>
      <c r="AB1644" s="3" t="n">
        <v>-1.358866930007935</v>
      </c>
      <c r="AC1644" s="3" t="n">
        <v>-2.128705501556396</v>
      </c>
      <c r="AD1644" s="3" t="n">
        <v>-0.8889551758766174</v>
      </c>
      <c r="AE1644" s="3" t="n">
        <v>-0.8889551758766174</v>
      </c>
    </row>
    <row r="1645">
      <c r="A1645" s="3" t="inlineStr">
        <is>
          <t>OMN.distn.dec.ove.mean.3</t>
        </is>
      </c>
      <c r="B1645" s="3" t="inlineStr">
        <is>
          <t>OMN</t>
        </is>
      </c>
      <c r="C1645" s="3" t="n">
        <v>2005</v>
      </c>
      <c r="D1645" s="3" t="inlineStr">
        <is>
          <t>Overall</t>
        </is>
      </c>
      <c r="E1645" s="3" t="inlineStr">
        <is>
          <t>Deciles</t>
        </is>
      </c>
      <c r="F1645" s="3" t="inlineStr">
        <is>
          <t>mean</t>
        </is>
      </c>
      <c r="G1645" s="3" t="n">
        <v>3</v>
      </c>
      <c r="H1645" s="3" t="n">
        <v>-0.7882409691810608</v>
      </c>
      <c r="I1645" s="3" t="n">
        <v>-0.7882409691810608</v>
      </c>
      <c r="J1645" s="3" t="n">
        <v>-0.8889551758766174</v>
      </c>
      <c r="K1645" s="3" t="n">
        <v>-0.8889551758766174</v>
      </c>
      <c r="L1645" s="3" t="n">
        <v>-0.7882409691810608</v>
      </c>
      <c r="M1645" s="3" t="n">
        <v>-0.7882409691810608</v>
      </c>
      <c r="N1645" s="3" t="n">
        <v>-0.7882409691810608</v>
      </c>
      <c r="O1645" s="3" t="n">
        <v>-0.7882409691810608</v>
      </c>
      <c r="P1645" s="3" t="n">
        <v>-0.7882409691810608</v>
      </c>
      <c r="Q1645" s="3" t="n">
        <v>-0.7882409691810608</v>
      </c>
      <c r="R1645" s="3" t="n">
        <v>-0.7734707593917847</v>
      </c>
      <c r="S1645" s="3" t="n">
        <v>-1.410929918289185</v>
      </c>
      <c r="T1645" s="3" t="n">
        <v>-0.7094525694847107</v>
      </c>
      <c r="U1645" s="3" t="n">
        <v>-0.8889551758766174</v>
      </c>
      <c r="V1645" s="3" t="n">
        <v>-0.6819344758987427</v>
      </c>
      <c r="W1645" s="3" t="n">
        <v>-0.578655481338501</v>
      </c>
      <c r="X1645" s="3" t="n">
        <v>-1.358866930007935</v>
      </c>
      <c r="Y1645" s="3" t="n">
        <v>-0.7882409691810608</v>
      </c>
      <c r="Z1645" s="3" t="n">
        <v>-1.410929918289185</v>
      </c>
      <c r="AA1645" s="3" t="n">
        <v>-1.410929918289185</v>
      </c>
      <c r="AB1645" s="3" t="n">
        <v>-1.358866930007935</v>
      </c>
      <c r="AC1645" s="3" t="n">
        <v>-2.128705501556396</v>
      </c>
      <c r="AD1645" s="3" t="n">
        <v>-0.8889551758766174</v>
      </c>
      <c r="AE1645" s="3" t="n">
        <v>-0.8889551758766174</v>
      </c>
    </row>
    <row r="1646">
      <c r="A1646" s="3" t="inlineStr">
        <is>
          <t>OMN.distn.dec.ove.mean.4</t>
        </is>
      </c>
      <c r="B1646" s="3" t="inlineStr">
        <is>
          <t>OMN</t>
        </is>
      </c>
      <c r="C1646" s="3" t="n">
        <v>2005</v>
      </c>
      <c r="D1646" s="3" t="inlineStr">
        <is>
          <t>Overall</t>
        </is>
      </c>
      <c r="E1646" s="3" t="inlineStr">
        <is>
          <t>Deciles</t>
        </is>
      </c>
      <c r="F1646" s="3" t="inlineStr">
        <is>
          <t>mean</t>
        </is>
      </c>
      <c r="G1646" s="3" t="n">
        <v>4</v>
      </c>
      <c r="H1646" s="3" t="n">
        <v>-0.7820000052452087</v>
      </c>
      <c r="I1646" s="3" t="n">
        <v>-0.7820000052452087</v>
      </c>
      <c r="J1646" s="3" t="n">
        <v>-0.8460000157356262</v>
      </c>
      <c r="K1646" s="3" t="n">
        <v>-0.8460000157356262</v>
      </c>
      <c r="L1646" s="3" t="n">
        <v>-0.7820000052452087</v>
      </c>
      <c r="M1646" s="3" t="n">
        <v>-0.7820000052452087</v>
      </c>
      <c r="N1646" s="3" t="n">
        <v>-0.7820000052452087</v>
      </c>
      <c r="O1646" s="3" t="n">
        <v>-0.7820000052452087</v>
      </c>
      <c r="P1646" s="3" t="n">
        <v>-0.7820000052452087</v>
      </c>
      <c r="Q1646" s="3" t="n">
        <v>-0.7820000052452087</v>
      </c>
      <c r="R1646" s="3" t="n">
        <v>-0.7699999809265137</v>
      </c>
      <c r="S1646" s="3" t="n">
        <v>-0.9610000252723694</v>
      </c>
      <c r="T1646" s="3" t="n">
        <v>-0.7080000042915344</v>
      </c>
      <c r="U1646" s="3" t="n">
        <v>-0.8460000157356262</v>
      </c>
      <c r="V1646" s="3" t="n">
        <v>-0.675000011920929</v>
      </c>
      <c r="W1646" s="3" t="n">
        <v>-0.4869999885559082</v>
      </c>
      <c r="X1646" s="3" t="n">
        <v>-0.9589999914169312</v>
      </c>
      <c r="Y1646" s="3" t="n">
        <v>-0.7820000052452087</v>
      </c>
      <c r="Z1646" s="3" t="n">
        <v>-0.9610000252723694</v>
      </c>
      <c r="AA1646" s="3" t="n">
        <v>-0.9610000252723694</v>
      </c>
      <c r="AB1646" s="3" t="n">
        <v>-0.9589999914169312</v>
      </c>
      <c r="AC1646" s="3" t="n">
        <v>-1.027999997138977</v>
      </c>
      <c r="AD1646" s="3" t="n">
        <v>-0.8460000157356262</v>
      </c>
      <c r="AE1646" s="3" t="n">
        <v>-0.8460000157356262</v>
      </c>
    </row>
    <row r="1647">
      <c r="A1647" s="3" t="inlineStr">
        <is>
          <t>OMN.distn.dec.ove.mean.5</t>
        </is>
      </c>
      <c r="B1647" s="3" t="inlineStr">
        <is>
          <t>OMN</t>
        </is>
      </c>
      <c r="C1647" s="3" t="n">
        <v>2005</v>
      </c>
      <c r="D1647" s="3" t="inlineStr">
        <is>
          <t>Overall</t>
        </is>
      </c>
      <c r="E1647" s="3" t="inlineStr">
        <is>
          <t>Deciles</t>
        </is>
      </c>
      <c r="F1647" s="3" t="inlineStr">
        <is>
          <t>mean</t>
        </is>
      </c>
      <c r="G1647" s="3" t="n">
        <v>5</v>
      </c>
      <c r="H1647" s="3" t="n">
        <v>-0.7820000052452087</v>
      </c>
      <c r="I1647" s="3" t="n">
        <v>-0.7820000052452087</v>
      </c>
      <c r="J1647" s="3" t="n">
        <v>-0.8460000157356262</v>
      </c>
      <c r="K1647" s="3" t="n">
        <v>-0.8460000157356262</v>
      </c>
      <c r="L1647" s="3" t="n">
        <v>-0.7820000052452087</v>
      </c>
      <c r="M1647" s="3" t="n">
        <v>-0.7820000052452087</v>
      </c>
      <c r="N1647" s="3" t="n">
        <v>-0.7820000052452087</v>
      </c>
      <c r="O1647" s="3" t="n">
        <v>-0.7820000052452087</v>
      </c>
      <c r="P1647" s="3" t="n">
        <v>-0.7820000052452087</v>
      </c>
      <c r="Q1647" s="3" t="n">
        <v>-0.7820000052452087</v>
      </c>
      <c r="R1647" s="3" t="n">
        <v>-0.7699999809265137</v>
      </c>
      <c r="S1647" s="3" t="n">
        <v>-0.9610000252723694</v>
      </c>
      <c r="T1647" s="3" t="n">
        <v>-0.7080000042915344</v>
      </c>
      <c r="U1647" s="3" t="n">
        <v>-0.8460000157356262</v>
      </c>
      <c r="V1647" s="3" t="n">
        <v>-0.675000011920929</v>
      </c>
      <c r="W1647" s="3" t="n">
        <v>-0.4869999885559082</v>
      </c>
      <c r="X1647" s="3" t="n">
        <v>-0.9589999914169312</v>
      </c>
      <c r="Y1647" s="3" t="n">
        <v>-0.7820000052452087</v>
      </c>
      <c r="Z1647" s="3" t="n">
        <v>-0.9610000252723694</v>
      </c>
      <c r="AA1647" s="3" t="n">
        <v>-0.9610000252723694</v>
      </c>
      <c r="AB1647" s="3" t="n">
        <v>-0.9589999914169312</v>
      </c>
      <c r="AC1647" s="3" t="n">
        <v>-1.027999997138977</v>
      </c>
      <c r="AD1647" s="3" t="n">
        <v>-0.8460000157356262</v>
      </c>
      <c r="AE1647" s="3" t="n">
        <v>-0.8460000157356262</v>
      </c>
    </row>
    <row r="1648">
      <c r="A1648" s="3" t="inlineStr">
        <is>
          <t>OMN.distn.dec.ove.mean.6</t>
        </is>
      </c>
      <c r="B1648" s="3" t="inlineStr">
        <is>
          <t>OMN</t>
        </is>
      </c>
      <c r="C1648" s="3" t="n">
        <v>2005</v>
      </c>
      <c r="D1648" s="3" t="inlineStr">
        <is>
          <t>Overall</t>
        </is>
      </c>
      <c r="E1648" s="3" t="inlineStr">
        <is>
          <t>Deciles</t>
        </is>
      </c>
      <c r="F1648" s="3" t="inlineStr">
        <is>
          <t>mean</t>
        </is>
      </c>
      <c r="G1648" s="3" t="n">
        <v>6</v>
      </c>
      <c r="H1648" s="3" t="n">
        <v>-0.7820000052452087</v>
      </c>
      <c r="I1648" s="3" t="n">
        <v>-0.7820000052452087</v>
      </c>
      <c r="J1648" s="3" t="n">
        <v>-0.8460000157356262</v>
      </c>
      <c r="K1648" s="3" t="n">
        <v>-0.8460000157356262</v>
      </c>
      <c r="L1648" s="3" t="n">
        <v>-0.7820000052452087</v>
      </c>
      <c r="M1648" s="3" t="n">
        <v>-0.7820000052452087</v>
      </c>
      <c r="N1648" s="3" t="n">
        <v>-0.7820000052452087</v>
      </c>
      <c r="O1648" s="3" t="n">
        <v>-0.7820000052452087</v>
      </c>
      <c r="P1648" s="3" t="n">
        <v>-0.7820000052452087</v>
      </c>
      <c r="Q1648" s="3" t="n">
        <v>-0.7820000052452087</v>
      </c>
      <c r="R1648" s="3" t="n">
        <v>-0.7699999809265137</v>
      </c>
      <c r="S1648" s="3" t="n">
        <v>-0.9610000252723694</v>
      </c>
      <c r="T1648" s="3" t="n">
        <v>-0.7080000042915344</v>
      </c>
      <c r="U1648" s="3" t="n">
        <v>-0.8460000157356262</v>
      </c>
      <c r="V1648" s="3" t="n">
        <v>-0.675000011920929</v>
      </c>
      <c r="W1648" s="3" t="n">
        <v>-0.4869999885559082</v>
      </c>
      <c r="X1648" s="3" t="n">
        <v>-0.9589999914169312</v>
      </c>
      <c r="Y1648" s="3" t="n">
        <v>-0.7820000052452087</v>
      </c>
      <c r="Z1648" s="3" t="n">
        <v>-0.9610000252723694</v>
      </c>
      <c r="AA1648" s="3" t="n">
        <v>-0.9610000252723694</v>
      </c>
      <c r="AB1648" s="3" t="n">
        <v>-0.9589999914169312</v>
      </c>
      <c r="AC1648" s="3" t="n">
        <v>-1.027999997138977</v>
      </c>
      <c r="AD1648" s="3" t="n">
        <v>-0.8460000157356262</v>
      </c>
      <c r="AE1648" s="3" t="n">
        <v>-0.8460000157356262</v>
      </c>
    </row>
    <row r="1649">
      <c r="A1649" s="3" t="inlineStr">
        <is>
          <t>OMN.distn.dec.ove.mean.7</t>
        </is>
      </c>
      <c r="B1649" s="3" t="inlineStr">
        <is>
          <t>OMN</t>
        </is>
      </c>
      <c r="C1649" s="3" t="n">
        <v>2005</v>
      </c>
      <c r="D1649" s="3" t="inlineStr">
        <is>
          <t>Overall</t>
        </is>
      </c>
      <c r="E1649" s="3" t="inlineStr">
        <is>
          <t>Deciles</t>
        </is>
      </c>
      <c r="F1649" s="3" t="inlineStr">
        <is>
          <t>mean</t>
        </is>
      </c>
      <c r="G1649" s="3" t="n">
        <v>7</v>
      </c>
      <c r="H1649" s="3" t="n">
        <v>-0.7820000052452087</v>
      </c>
      <c r="I1649" s="3" t="n">
        <v>-0.7820000052452087</v>
      </c>
      <c r="J1649" s="3" t="n">
        <v>-0.8460000157356262</v>
      </c>
      <c r="K1649" s="3" t="n">
        <v>-0.8460000157356262</v>
      </c>
      <c r="L1649" s="3" t="n">
        <v>-0.7820000052452087</v>
      </c>
      <c r="M1649" s="3" t="n">
        <v>-0.7820000052452087</v>
      </c>
      <c r="N1649" s="3" t="n">
        <v>-0.7820000052452087</v>
      </c>
      <c r="O1649" s="3" t="n">
        <v>-0.7820000052452087</v>
      </c>
      <c r="P1649" s="3" t="n">
        <v>-0.7820000052452087</v>
      </c>
      <c r="Q1649" s="3" t="n">
        <v>-0.7820000052452087</v>
      </c>
      <c r="R1649" s="3" t="n">
        <v>-0.7699999809265137</v>
      </c>
      <c r="S1649" s="3" t="n">
        <v>-0.9610000252723694</v>
      </c>
      <c r="T1649" s="3" t="n">
        <v>-0.7080000042915344</v>
      </c>
      <c r="U1649" s="3" t="n">
        <v>-0.8460000157356262</v>
      </c>
      <c r="V1649" s="3" t="n">
        <v>-0.675000011920929</v>
      </c>
      <c r="W1649" s="3" t="n">
        <v>-0.4869999885559082</v>
      </c>
      <c r="X1649" s="3" t="n">
        <v>-0.9589999914169312</v>
      </c>
      <c r="Y1649" s="3" t="n">
        <v>-0.7820000052452087</v>
      </c>
      <c r="Z1649" s="3" t="n">
        <v>-0.9610000252723694</v>
      </c>
      <c r="AA1649" s="3" t="n">
        <v>-0.9610000252723694</v>
      </c>
      <c r="AB1649" s="3" t="n">
        <v>-0.9589999914169312</v>
      </c>
      <c r="AC1649" s="3" t="n">
        <v>-1.027999997138977</v>
      </c>
      <c r="AD1649" s="3" t="n">
        <v>-0.8460000157356262</v>
      </c>
      <c r="AE1649" s="3" t="n">
        <v>-0.8460000157356262</v>
      </c>
    </row>
    <row r="1650">
      <c r="A1650" s="3" t="inlineStr">
        <is>
          <t>OMN.distn.dec.ove.mean.8</t>
        </is>
      </c>
      <c r="B1650" s="3" t="inlineStr">
        <is>
          <t>OMN</t>
        </is>
      </c>
      <c r="C1650" s="3" t="n">
        <v>2005</v>
      </c>
      <c r="D1650" s="3" t="inlineStr">
        <is>
          <t>Overall</t>
        </is>
      </c>
      <c r="E1650" s="3" t="inlineStr">
        <is>
          <t>Deciles</t>
        </is>
      </c>
      <c r="F1650" s="3" t="inlineStr">
        <is>
          <t>mean</t>
        </is>
      </c>
      <c r="G1650" s="3" t="n">
        <v>8</v>
      </c>
      <c r="H1650" s="3" t="n">
        <v>-0.782376766204834</v>
      </c>
      <c r="I1650" s="3" t="n">
        <v>-0.782376766204834</v>
      </c>
      <c r="J1650" s="3" t="n">
        <v>-0.8482821583747864</v>
      </c>
      <c r="K1650" s="3" t="n">
        <v>-0.8482821583747864</v>
      </c>
      <c r="L1650" s="3" t="n">
        <v>-0.782376766204834</v>
      </c>
      <c r="M1650" s="3" t="n">
        <v>-0.782376766204834</v>
      </c>
      <c r="N1650" s="3" t="n">
        <v>-0.782376766204834</v>
      </c>
      <c r="O1650" s="3" t="n">
        <v>-0.782376766204834</v>
      </c>
      <c r="P1650" s="3" t="n">
        <v>-0.782376766204834</v>
      </c>
      <c r="Q1650" s="3" t="n">
        <v>-0.782376766204834</v>
      </c>
      <c r="R1650" s="3" t="n">
        <v>-0.7702532410621643</v>
      </c>
      <c r="S1650" s="3" t="n">
        <v>-0.9699422121047974</v>
      </c>
      <c r="T1650" s="3" t="n">
        <v>-0.7080408334732056</v>
      </c>
      <c r="U1650" s="3" t="n">
        <v>-0.8482821583747864</v>
      </c>
      <c r="V1650" s="3" t="n">
        <v>-0.6756978034973145</v>
      </c>
      <c r="W1650" s="3" t="n">
        <v>-0.5000413060188293</v>
      </c>
      <c r="X1650" s="3" t="n">
        <v>-0.9677383899688721</v>
      </c>
      <c r="Y1650" s="3" t="n">
        <v>-0.782376766204834</v>
      </c>
      <c r="Z1650" s="3" t="n">
        <v>-0.9699422121047974</v>
      </c>
      <c r="AA1650" s="3" t="n">
        <v>-0.9699422121047974</v>
      </c>
      <c r="AB1650" s="3" t="n">
        <v>-0.9677383899688721</v>
      </c>
      <c r="AC1650" s="3" t="n">
        <v>-1.042660593986511</v>
      </c>
      <c r="AD1650" s="3" t="n">
        <v>-0.8482821583747864</v>
      </c>
      <c r="AE1650" s="3" t="n">
        <v>-0.8482821583747864</v>
      </c>
    </row>
    <row r="1651">
      <c r="A1651" s="3" t="inlineStr">
        <is>
          <t>OMN.distn.dec.ove.mean.9</t>
        </is>
      </c>
      <c r="B1651" s="3" t="inlineStr">
        <is>
          <t>OMN</t>
        </is>
      </c>
      <c r="C1651" s="3" t="n">
        <v>2005</v>
      </c>
      <c r="D1651" s="3" t="inlineStr">
        <is>
          <t>Overall</t>
        </is>
      </c>
      <c r="E1651" s="3" t="inlineStr">
        <is>
          <t>Deciles</t>
        </is>
      </c>
      <c r="F1651" s="3" t="inlineStr">
        <is>
          <t>mean</t>
        </is>
      </c>
      <c r="G1651" s="3" t="n">
        <v>9</v>
      </c>
      <c r="H1651" s="3" t="n">
        <v>-0.782376766204834</v>
      </c>
      <c r="I1651" s="3" t="n">
        <v>-0.782376766204834</v>
      </c>
      <c r="J1651" s="3" t="n">
        <v>-0.8482821583747864</v>
      </c>
      <c r="K1651" s="3" t="n">
        <v>-0.8482821583747864</v>
      </c>
      <c r="L1651" s="3" t="n">
        <v>-0.782376766204834</v>
      </c>
      <c r="M1651" s="3" t="n">
        <v>-0.782376766204834</v>
      </c>
      <c r="N1651" s="3" t="n">
        <v>-0.782376766204834</v>
      </c>
      <c r="O1651" s="3" t="n">
        <v>-0.782376766204834</v>
      </c>
      <c r="P1651" s="3" t="n">
        <v>-0.782376766204834</v>
      </c>
      <c r="Q1651" s="3" t="n">
        <v>-0.782376766204834</v>
      </c>
      <c r="R1651" s="3" t="n">
        <v>-0.7702532410621643</v>
      </c>
      <c r="S1651" s="3" t="n">
        <v>-0.9699422121047974</v>
      </c>
      <c r="T1651" s="3" t="n">
        <v>-0.7080408334732056</v>
      </c>
      <c r="U1651" s="3" t="n">
        <v>-0.8482821583747864</v>
      </c>
      <c r="V1651" s="3" t="n">
        <v>-0.6756978034973145</v>
      </c>
      <c r="W1651" s="3" t="n">
        <v>-0.5000413060188293</v>
      </c>
      <c r="X1651" s="3" t="n">
        <v>-0.9677383899688721</v>
      </c>
      <c r="Y1651" s="3" t="n">
        <v>-0.782376766204834</v>
      </c>
      <c r="Z1651" s="3" t="n">
        <v>-0.9699422121047974</v>
      </c>
      <c r="AA1651" s="3" t="n">
        <v>-0.9699422121047974</v>
      </c>
      <c r="AB1651" s="3" t="n">
        <v>-0.9677383899688721</v>
      </c>
      <c r="AC1651" s="3" t="n">
        <v>-1.042660593986511</v>
      </c>
      <c r="AD1651" s="3" t="n">
        <v>-0.8482821583747864</v>
      </c>
      <c r="AE1651" s="3" t="n">
        <v>-0.8482821583747864</v>
      </c>
    </row>
    <row r="1652">
      <c r="A1652" s="3" t="inlineStr">
        <is>
          <t>OMN.distn.dec.ove.mean.10</t>
        </is>
      </c>
      <c r="B1652" s="3" t="inlineStr">
        <is>
          <t>OMN</t>
        </is>
      </c>
      <c r="C1652" s="3" t="n">
        <v>2005</v>
      </c>
      <c r="D1652" s="3" t="inlineStr">
        <is>
          <t>Overall</t>
        </is>
      </c>
      <c r="E1652" s="3" t="inlineStr">
        <is>
          <t>Deciles</t>
        </is>
      </c>
      <c r="F1652" s="3" t="inlineStr">
        <is>
          <t>mean</t>
        </is>
      </c>
      <c r="G1652" s="3" t="n">
        <v>10</v>
      </c>
      <c r="H1652" s="3" t="n">
        <v>-0.782376766204834</v>
      </c>
      <c r="I1652" s="3" t="n">
        <v>-0.782376766204834</v>
      </c>
      <c r="J1652" s="3" t="n">
        <v>-0.8482821583747864</v>
      </c>
      <c r="K1652" s="3" t="n">
        <v>-0.8482821583747864</v>
      </c>
      <c r="L1652" s="3" t="n">
        <v>-0.782376766204834</v>
      </c>
      <c r="M1652" s="3" t="n">
        <v>-0.782376766204834</v>
      </c>
      <c r="N1652" s="3" t="n">
        <v>-0.782376766204834</v>
      </c>
      <c r="O1652" s="3" t="n">
        <v>-0.782376766204834</v>
      </c>
      <c r="P1652" s="3" t="n">
        <v>-0.782376766204834</v>
      </c>
      <c r="Q1652" s="3" t="n">
        <v>-0.782376766204834</v>
      </c>
      <c r="R1652" s="3" t="n">
        <v>-0.7702532410621643</v>
      </c>
      <c r="S1652" s="3" t="n">
        <v>-0.9699422121047974</v>
      </c>
      <c r="T1652" s="3" t="n">
        <v>-0.7080408334732056</v>
      </c>
      <c r="U1652" s="3" t="n">
        <v>-0.8482821583747864</v>
      </c>
      <c r="V1652" s="3" t="n">
        <v>-0.6756978034973145</v>
      </c>
      <c r="W1652" s="3" t="n">
        <v>-0.5000413060188293</v>
      </c>
      <c r="X1652" s="3" t="n">
        <v>-0.9677383899688721</v>
      </c>
      <c r="Y1652" s="3" t="n">
        <v>-0.782376766204834</v>
      </c>
      <c r="Z1652" s="3" t="n">
        <v>-0.9699422121047974</v>
      </c>
      <c r="AA1652" s="3" t="n">
        <v>-0.9699422121047974</v>
      </c>
      <c r="AB1652" s="3" t="n">
        <v>-0.9677383899688721</v>
      </c>
      <c r="AC1652" s="3" t="n">
        <v>-1.042660593986511</v>
      </c>
      <c r="AD1652" s="3" t="n">
        <v>-0.8482821583747864</v>
      </c>
      <c r="AE1652" s="3" t="n">
        <v>-0.8482821583747864</v>
      </c>
    </row>
    <row r="1653">
      <c r="A1653" s="3" t="inlineStr">
        <is>
          <t>OMN.distn.bkt.ove.mean.9999</t>
        </is>
      </c>
      <c r="B1653" s="3" t="inlineStr">
        <is>
          <t>OMN</t>
        </is>
      </c>
      <c r="C1653" s="3" t="n">
        <v>2005</v>
      </c>
      <c r="D1653" s="3" t="inlineStr">
        <is>
          <t>Overall</t>
        </is>
      </c>
      <c r="E1653" s="3" t="inlineStr">
        <is>
          <t>Basket</t>
        </is>
      </c>
      <c r="F1653" s="3" t="inlineStr">
        <is>
          <t>mean</t>
        </is>
      </c>
      <c r="G1653" s="3" t="n">
        <v>9999</v>
      </c>
      <c r="H1653" s="3" t="n">
        <v>-0.7839853167533875</v>
      </c>
      <c r="I1653" s="3" t="n">
        <v>-0.7839853167533875</v>
      </c>
      <c r="J1653" s="3" t="n">
        <v>-0.8595712184906006</v>
      </c>
      <c r="K1653" s="3" t="n">
        <v>-0.8595712184906006</v>
      </c>
      <c r="L1653" s="3" t="n">
        <v>-0.7839853167533875</v>
      </c>
      <c r="M1653" s="3" t="n">
        <v>-0.7839853167533875</v>
      </c>
      <c r="N1653" s="3" t="n">
        <v>-0.7839853167533875</v>
      </c>
      <c r="O1653" s="3" t="n">
        <v>-0.7839853167533875</v>
      </c>
      <c r="P1653" s="3" t="n">
        <v>-0.7839853167533875</v>
      </c>
      <c r="Q1653" s="3" t="n">
        <v>-0.7839853167533875</v>
      </c>
      <c r="R1653" s="3" t="n">
        <v>-0.7711172103881836</v>
      </c>
      <c r="S1653" s="3" t="n">
        <v>-1.098661661148071</v>
      </c>
      <c r="T1653" s="3" t="n">
        <v>-0.708448052406311</v>
      </c>
      <c r="U1653" s="3" t="n">
        <v>-0.8595712184906006</v>
      </c>
      <c r="V1653" s="3" t="n">
        <v>-0.6772896647453308</v>
      </c>
      <c r="W1653" s="3" t="n">
        <v>-0.5184090137481689</v>
      </c>
      <c r="X1653" s="3" t="n">
        <v>-1.081581592559814</v>
      </c>
      <c r="Y1653" s="3" t="n">
        <v>-0.7839853167533875</v>
      </c>
      <c r="Z1653" s="3" t="n">
        <v>-1.098661661148071</v>
      </c>
      <c r="AA1653" s="3" t="n">
        <v>-1.098661661148071</v>
      </c>
      <c r="AB1653" s="3" t="n">
        <v>-1.081581592559814</v>
      </c>
      <c r="AC1653" s="3" t="n">
        <v>-1.36260986328125</v>
      </c>
      <c r="AD1653" s="3" t="n">
        <v>-0.8595712184906006</v>
      </c>
      <c r="AE1653" s="3" t="n">
        <v>-0.8595712184906006</v>
      </c>
    </row>
    <row r="1654">
      <c r="A1654" s="3" t="inlineStr">
        <is>
          <t>PAK.distn.dec.ove.mean.1</t>
        </is>
      </c>
      <c r="B1654" s="3" t="inlineStr">
        <is>
          <t>PAK</t>
        </is>
      </c>
      <c r="C1654" s="3" t="n">
        <v>2005</v>
      </c>
      <c r="D1654" s="3" t="inlineStr">
        <is>
          <t>Overall</t>
        </is>
      </c>
      <c r="E1654" s="3" t="inlineStr">
        <is>
          <t>Deciles</t>
        </is>
      </c>
      <c r="F1654" s="3" t="inlineStr">
        <is>
          <t>mean</t>
        </is>
      </c>
      <c r="G1654" s="3" t="n">
        <v>1</v>
      </c>
      <c r="H1654" s="3" t="n">
        <v>-0.7922728657722473</v>
      </c>
      <c r="I1654" s="3" t="n">
        <v>-0.7922728657722473</v>
      </c>
      <c r="J1654" s="3" t="n">
        <v>-0.915224552154541</v>
      </c>
      <c r="K1654" s="3" t="n">
        <v>-0.915224552154541</v>
      </c>
      <c r="L1654" s="3" t="n">
        <v>-0.7922728657722473</v>
      </c>
      <c r="M1654" s="3" t="n">
        <v>-0.7922728657722473</v>
      </c>
      <c r="N1654" s="3" t="n">
        <v>-0.7922728657722473</v>
      </c>
      <c r="O1654" s="3" t="n">
        <v>-0.7922728657722473</v>
      </c>
      <c r="P1654" s="3" t="n">
        <v>-0.7922728657722473</v>
      </c>
      <c r="Q1654" s="3" t="n">
        <v>-0.7922728657722473</v>
      </c>
      <c r="R1654" s="3" t="n">
        <v>-0.775479793548584</v>
      </c>
      <c r="S1654" s="3" t="n">
        <v>-1.607667207717896</v>
      </c>
      <c r="T1654" s="3" t="n">
        <v>-0.7104546427726746</v>
      </c>
      <c r="U1654" s="3" t="n">
        <v>-0.915224552154541</v>
      </c>
      <c r="V1654" s="3" t="n">
        <v>-0.6869857907295227</v>
      </c>
      <c r="W1654" s="3" t="n">
        <v>-0.6630179882049561</v>
      </c>
      <c r="X1654" s="3" t="n">
        <v>-1.543071985244751</v>
      </c>
      <c r="Y1654" s="3" t="n">
        <v>-0.7922728657722473</v>
      </c>
      <c r="Z1654" s="3" t="n">
        <v>-1.607667207717896</v>
      </c>
      <c r="AA1654" s="3" t="n">
        <v>-1.607667207717896</v>
      </c>
      <c r="AB1654" s="3" t="n">
        <v>-1.543071985244751</v>
      </c>
      <c r="AC1654" s="3" t="n">
        <v>-2.687801361083984</v>
      </c>
      <c r="AD1654" s="3" t="n">
        <v>-0.915224552154541</v>
      </c>
      <c r="AE1654" s="3" t="n">
        <v>-0.915224552154541</v>
      </c>
    </row>
    <row r="1655">
      <c r="A1655" s="3" t="inlineStr">
        <is>
          <t>PAK.distn.dec.ove.mean.2</t>
        </is>
      </c>
      <c r="B1655" s="3" t="inlineStr">
        <is>
          <t>PAK</t>
        </is>
      </c>
      <c r="C1655" s="3" t="n">
        <v>2005</v>
      </c>
      <c r="D1655" s="3" t="inlineStr">
        <is>
          <t>Overall</t>
        </is>
      </c>
      <c r="E1655" s="3" t="inlineStr">
        <is>
          <t>Deciles</t>
        </is>
      </c>
      <c r="F1655" s="3" t="inlineStr">
        <is>
          <t>mean</t>
        </is>
      </c>
      <c r="G1655" s="3" t="n">
        <v>2</v>
      </c>
      <c r="H1655" s="3" t="n">
        <v>-0.7922728657722473</v>
      </c>
      <c r="I1655" s="3" t="n">
        <v>-0.7922728657722473</v>
      </c>
      <c r="J1655" s="3" t="n">
        <v>-0.915224552154541</v>
      </c>
      <c r="K1655" s="3" t="n">
        <v>-0.915224552154541</v>
      </c>
      <c r="L1655" s="3" t="n">
        <v>-0.7922728657722473</v>
      </c>
      <c r="M1655" s="3" t="n">
        <v>-0.7922728657722473</v>
      </c>
      <c r="N1655" s="3" t="n">
        <v>-0.7922728657722473</v>
      </c>
      <c r="O1655" s="3" t="n">
        <v>-0.7922728657722473</v>
      </c>
      <c r="P1655" s="3" t="n">
        <v>-0.7922728657722473</v>
      </c>
      <c r="Q1655" s="3" t="n">
        <v>-0.7922728657722473</v>
      </c>
      <c r="R1655" s="3" t="n">
        <v>-0.775479793548584</v>
      </c>
      <c r="S1655" s="3" t="n">
        <v>-1.607667207717896</v>
      </c>
      <c r="T1655" s="3" t="n">
        <v>-0.7104546427726746</v>
      </c>
      <c r="U1655" s="3" t="n">
        <v>-0.915224552154541</v>
      </c>
      <c r="V1655" s="3" t="n">
        <v>-0.6869857907295227</v>
      </c>
      <c r="W1655" s="3" t="n">
        <v>-0.6630179882049561</v>
      </c>
      <c r="X1655" s="3" t="n">
        <v>-1.543071985244751</v>
      </c>
      <c r="Y1655" s="3" t="n">
        <v>-0.7922728657722473</v>
      </c>
      <c r="Z1655" s="3" t="n">
        <v>-1.607667207717896</v>
      </c>
      <c r="AA1655" s="3" t="n">
        <v>-1.607667207717896</v>
      </c>
      <c r="AB1655" s="3" t="n">
        <v>-1.543071985244751</v>
      </c>
      <c r="AC1655" s="3" t="n">
        <v>-2.687801361083984</v>
      </c>
      <c r="AD1655" s="3" t="n">
        <v>-0.915224552154541</v>
      </c>
      <c r="AE1655" s="3" t="n">
        <v>-0.915224552154541</v>
      </c>
    </row>
    <row r="1656">
      <c r="A1656" s="3" t="inlineStr">
        <is>
          <t>PAK.distn.dec.ove.mean.3</t>
        </is>
      </c>
      <c r="B1656" s="3" t="inlineStr">
        <is>
          <t>PAK</t>
        </is>
      </c>
      <c r="C1656" s="3" t="n">
        <v>2005</v>
      </c>
      <c r="D1656" s="3" t="inlineStr">
        <is>
          <t>Overall</t>
        </is>
      </c>
      <c r="E1656" s="3" t="inlineStr">
        <is>
          <t>Deciles</t>
        </is>
      </c>
      <c r="F1656" s="3" t="inlineStr">
        <is>
          <t>mean</t>
        </is>
      </c>
      <c r="G1656" s="3" t="n">
        <v>3</v>
      </c>
      <c r="H1656" s="3" t="n">
        <v>-0.7922728657722473</v>
      </c>
      <c r="I1656" s="3" t="n">
        <v>-0.7922728657722473</v>
      </c>
      <c r="J1656" s="3" t="n">
        <v>-0.915224552154541</v>
      </c>
      <c r="K1656" s="3" t="n">
        <v>-0.915224552154541</v>
      </c>
      <c r="L1656" s="3" t="n">
        <v>-0.7922728657722473</v>
      </c>
      <c r="M1656" s="3" t="n">
        <v>-0.7922728657722473</v>
      </c>
      <c r="N1656" s="3" t="n">
        <v>-0.7922728657722473</v>
      </c>
      <c r="O1656" s="3" t="n">
        <v>-0.7922728657722473</v>
      </c>
      <c r="P1656" s="3" t="n">
        <v>-0.7922728657722473</v>
      </c>
      <c r="Q1656" s="3" t="n">
        <v>-0.7922728657722473</v>
      </c>
      <c r="R1656" s="3" t="n">
        <v>-0.775479793548584</v>
      </c>
      <c r="S1656" s="3" t="n">
        <v>-1.607667207717896</v>
      </c>
      <c r="T1656" s="3" t="n">
        <v>-0.7104546427726746</v>
      </c>
      <c r="U1656" s="3" t="n">
        <v>-0.915224552154541</v>
      </c>
      <c r="V1656" s="3" t="n">
        <v>-0.6869857907295227</v>
      </c>
      <c r="W1656" s="3" t="n">
        <v>-0.6630179882049561</v>
      </c>
      <c r="X1656" s="3" t="n">
        <v>-1.543071985244751</v>
      </c>
      <c r="Y1656" s="3" t="n">
        <v>-0.7922728657722473</v>
      </c>
      <c r="Z1656" s="3" t="n">
        <v>-1.607667207717896</v>
      </c>
      <c r="AA1656" s="3" t="n">
        <v>-1.607667207717896</v>
      </c>
      <c r="AB1656" s="3" t="n">
        <v>-1.543071985244751</v>
      </c>
      <c r="AC1656" s="3" t="n">
        <v>-2.687801361083984</v>
      </c>
      <c r="AD1656" s="3" t="n">
        <v>-0.915224552154541</v>
      </c>
      <c r="AE1656" s="3" t="n">
        <v>-0.915224552154541</v>
      </c>
    </row>
    <row r="1657">
      <c r="A1657" s="3" t="inlineStr">
        <is>
          <t>PAK.distn.dec.ove.mean.4</t>
        </is>
      </c>
      <c r="B1657" s="3" t="inlineStr">
        <is>
          <t>PAK</t>
        </is>
      </c>
      <c r="C1657" s="3" t="n">
        <v>2005</v>
      </c>
      <c r="D1657" s="3" t="inlineStr">
        <is>
          <t>Overall</t>
        </is>
      </c>
      <c r="E1657" s="3" t="inlineStr">
        <is>
          <t>Deciles</t>
        </is>
      </c>
      <c r="F1657" s="3" t="inlineStr">
        <is>
          <t>mean</t>
        </is>
      </c>
      <c r="G1657" s="3" t="n">
        <v>4</v>
      </c>
      <c r="H1657" s="3" t="n">
        <v>-0.7860000133514404</v>
      </c>
      <c r="I1657" s="3" t="n">
        <v>-0.7860000133514404</v>
      </c>
      <c r="J1657" s="3" t="n">
        <v>-0.8709999918937683</v>
      </c>
      <c r="K1657" s="3" t="n">
        <v>-0.8709999918937683</v>
      </c>
      <c r="L1657" s="3" t="n">
        <v>-0.7860000133514404</v>
      </c>
      <c r="M1657" s="3" t="n">
        <v>-0.7860000133514404</v>
      </c>
      <c r="N1657" s="3" t="n">
        <v>-0.7860000133514404</v>
      </c>
      <c r="O1657" s="3" t="n">
        <v>-0.7860000133514404</v>
      </c>
      <c r="P1657" s="3" t="n">
        <v>-0.7860000133514404</v>
      </c>
      <c r="Q1657" s="3" t="n">
        <v>-0.7860000133514404</v>
      </c>
      <c r="R1657" s="3" t="n">
        <v>-0.7720000147819519</v>
      </c>
      <c r="S1657" s="3" t="n">
        <v>-1.095000028610229</v>
      </c>
      <c r="T1657" s="3" t="n">
        <v>-0.7089999914169312</v>
      </c>
      <c r="U1657" s="3" t="n">
        <v>-0.8709999918937683</v>
      </c>
      <c r="V1657" s="3" t="n">
        <v>-0.6800000071525574</v>
      </c>
      <c r="W1657" s="3" t="n">
        <v>-0.5580000281333923</v>
      </c>
      <c r="X1657" s="3" t="n">
        <v>-1.08899998664856</v>
      </c>
      <c r="Y1657" s="3" t="n">
        <v>-0.7860000133514404</v>
      </c>
      <c r="Z1657" s="3" t="n">
        <v>-1.095000028610229</v>
      </c>
      <c r="AA1657" s="3" t="n">
        <v>-1.095000028610229</v>
      </c>
      <c r="AB1657" s="3" t="n">
        <v>-1.08899998664856</v>
      </c>
      <c r="AC1657" s="3" t="n">
        <v>-1.297999978065491</v>
      </c>
      <c r="AD1657" s="3" t="n">
        <v>-0.8709999918937683</v>
      </c>
      <c r="AE1657" s="3" t="n">
        <v>-0.8709999918937683</v>
      </c>
    </row>
    <row r="1658">
      <c r="A1658" s="3" t="inlineStr">
        <is>
          <t>PAK.distn.dec.ove.mean.5</t>
        </is>
      </c>
      <c r="B1658" s="3" t="inlineStr">
        <is>
          <t>PAK</t>
        </is>
      </c>
      <c r="C1658" s="3" t="n">
        <v>2005</v>
      </c>
      <c r="D1658" s="3" t="inlineStr">
        <is>
          <t>Overall</t>
        </is>
      </c>
      <c r="E1658" s="3" t="inlineStr">
        <is>
          <t>Deciles</t>
        </is>
      </c>
      <c r="F1658" s="3" t="inlineStr">
        <is>
          <t>mean</t>
        </is>
      </c>
      <c r="G1658" s="3" t="n">
        <v>5</v>
      </c>
      <c r="H1658" s="3" t="n">
        <v>-0.7860000133514404</v>
      </c>
      <c r="I1658" s="3" t="n">
        <v>-0.7860000133514404</v>
      </c>
      <c r="J1658" s="3" t="n">
        <v>-0.8709999918937683</v>
      </c>
      <c r="K1658" s="3" t="n">
        <v>-0.8709999918937683</v>
      </c>
      <c r="L1658" s="3" t="n">
        <v>-0.7860000133514404</v>
      </c>
      <c r="M1658" s="3" t="n">
        <v>-0.7860000133514404</v>
      </c>
      <c r="N1658" s="3" t="n">
        <v>-0.7860000133514404</v>
      </c>
      <c r="O1658" s="3" t="n">
        <v>-0.7860000133514404</v>
      </c>
      <c r="P1658" s="3" t="n">
        <v>-0.7860000133514404</v>
      </c>
      <c r="Q1658" s="3" t="n">
        <v>-0.7860000133514404</v>
      </c>
      <c r="R1658" s="3" t="n">
        <v>-0.7720000147819519</v>
      </c>
      <c r="S1658" s="3" t="n">
        <v>-1.095000028610229</v>
      </c>
      <c r="T1658" s="3" t="n">
        <v>-0.7089999914169312</v>
      </c>
      <c r="U1658" s="3" t="n">
        <v>-0.8709999918937683</v>
      </c>
      <c r="V1658" s="3" t="n">
        <v>-0.6800000071525574</v>
      </c>
      <c r="W1658" s="3" t="n">
        <v>-0.5580000281333923</v>
      </c>
      <c r="X1658" s="3" t="n">
        <v>-1.08899998664856</v>
      </c>
      <c r="Y1658" s="3" t="n">
        <v>-0.7860000133514404</v>
      </c>
      <c r="Z1658" s="3" t="n">
        <v>-1.095000028610229</v>
      </c>
      <c r="AA1658" s="3" t="n">
        <v>-1.095000028610229</v>
      </c>
      <c r="AB1658" s="3" t="n">
        <v>-1.08899998664856</v>
      </c>
      <c r="AC1658" s="3" t="n">
        <v>-1.297999978065491</v>
      </c>
      <c r="AD1658" s="3" t="n">
        <v>-0.8709999918937683</v>
      </c>
      <c r="AE1658" s="3" t="n">
        <v>-0.8709999918937683</v>
      </c>
    </row>
    <row r="1659">
      <c r="A1659" s="3" t="inlineStr">
        <is>
          <t>PAK.distn.dec.ove.mean.6</t>
        </is>
      </c>
      <c r="B1659" s="3" t="inlineStr">
        <is>
          <t>PAK</t>
        </is>
      </c>
      <c r="C1659" s="3" t="n">
        <v>2005</v>
      </c>
      <c r="D1659" s="3" t="inlineStr">
        <is>
          <t>Overall</t>
        </is>
      </c>
      <c r="E1659" s="3" t="inlineStr">
        <is>
          <t>Deciles</t>
        </is>
      </c>
      <c r="F1659" s="3" t="inlineStr">
        <is>
          <t>mean</t>
        </is>
      </c>
      <c r="G1659" s="3" t="n">
        <v>6</v>
      </c>
      <c r="H1659" s="3" t="n">
        <v>-0.7860000133514404</v>
      </c>
      <c r="I1659" s="3" t="n">
        <v>-0.7860000133514404</v>
      </c>
      <c r="J1659" s="3" t="n">
        <v>-0.8709999918937683</v>
      </c>
      <c r="K1659" s="3" t="n">
        <v>-0.8709999918937683</v>
      </c>
      <c r="L1659" s="3" t="n">
        <v>-0.7860000133514404</v>
      </c>
      <c r="M1659" s="3" t="n">
        <v>-0.7860000133514404</v>
      </c>
      <c r="N1659" s="3" t="n">
        <v>-0.7860000133514404</v>
      </c>
      <c r="O1659" s="3" t="n">
        <v>-0.7860000133514404</v>
      </c>
      <c r="P1659" s="3" t="n">
        <v>-0.7860000133514404</v>
      </c>
      <c r="Q1659" s="3" t="n">
        <v>-0.7860000133514404</v>
      </c>
      <c r="R1659" s="3" t="n">
        <v>-0.7720000147819519</v>
      </c>
      <c r="S1659" s="3" t="n">
        <v>-1.095000028610229</v>
      </c>
      <c r="T1659" s="3" t="n">
        <v>-0.7089999914169312</v>
      </c>
      <c r="U1659" s="3" t="n">
        <v>-0.8709999918937683</v>
      </c>
      <c r="V1659" s="3" t="n">
        <v>-0.6800000071525574</v>
      </c>
      <c r="W1659" s="3" t="n">
        <v>-0.5580000281333923</v>
      </c>
      <c r="X1659" s="3" t="n">
        <v>-1.08899998664856</v>
      </c>
      <c r="Y1659" s="3" t="n">
        <v>-0.7860000133514404</v>
      </c>
      <c r="Z1659" s="3" t="n">
        <v>-1.095000028610229</v>
      </c>
      <c r="AA1659" s="3" t="n">
        <v>-1.095000028610229</v>
      </c>
      <c r="AB1659" s="3" t="n">
        <v>-1.08899998664856</v>
      </c>
      <c r="AC1659" s="3" t="n">
        <v>-1.297999978065491</v>
      </c>
      <c r="AD1659" s="3" t="n">
        <v>-0.8709999918937683</v>
      </c>
      <c r="AE1659" s="3" t="n">
        <v>-0.8709999918937683</v>
      </c>
    </row>
    <row r="1660">
      <c r="A1660" s="3" t="inlineStr">
        <is>
          <t>PAK.distn.dec.ove.mean.7</t>
        </is>
      </c>
      <c r="B1660" s="3" t="inlineStr">
        <is>
          <t>PAK</t>
        </is>
      </c>
      <c r="C1660" s="3" t="n">
        <v>2005</v>
      </c>
      <c r="D1660" s="3" t="inlineStr">
        <is>
          <t>Overall</t>
        </is>
      </c>
      <c r="E1660" s="3" t="inlineStr">
        <is>
          <t>Deciles</t>
        </is>
      </c>
      <c r="F1660" s="3" t="inlineStr">
        <is>
          <t>mean</t>
        </is>
      </c>
      <c r="G1660" s="3" t="n">
        <v>7</v>
      </c>
      <c r="H1660" s="3" t="n">
        <v>-0.7860000133514404</v>
      </c>
      <c r="I1660" s="3" t="n">
        <v>-0.7860000133514404</v>
      </c>
      <c r="J1660" s="3" t="n">
        <v>-0.8709999918937683</v>
      </c>
      <c r="K1660" s="3" t="n">
        <v>-0.8709999918937683</v>
      </c>
      <c r="L1660" s="3" t="n">
        <v>-0.7860000133514404</v>
      </c>
      <c r="M1660" s="3" t="n">
        <v>-0.7860000133514404</v>
      </c>
      <c r="N1660" s="3" t="n">
        <v>-0.7860000133514404</v>
      </c>
      <c r="O1660" s="3" t="n">
        <v>-0.7860000133514404</v>
      </c>
      <c r="P1660" s="3" t="n">
        <v>-0.7860000133514404</v>
      </c>
      <c r="Q1660" s="3" t="n">
        <v>-0.7860000133514404</v>
      </c>
      <c r="R1660" s="3" t="n">
        <v>-0.7720000147819519</v>
      </c>
      <c r="S1660" s="3" t="n">
        <v>-1.095000028610229</v>
      </c>
      <c r="T1660" s="3" t="n">
        <v>-0.7089999914169312</v>
      </c>
      <c r="U1660" s="3" t="n">
        <v>-0.8709999918937683</v>
      </c>
      <c r="V1660" s="3" t="n">
        <v>-0.6800000071525574</v>
      </c>
      <c r="W1660" s="3" t="n">
        <v>-0.5580000281333923</v>
      </c>
      <c r="X1660" s="3" t="n">
        <v>-1.08899998664856</v>
      </c>
      <c r="Y1660" s="3" t="n">
        <v>-0.7860000133514404</v>
      </c>
      <c r="Z1660" s="3" t="n">
        <v>-1.095000028610229</v>
      </c>
      <c r="AA1660" s="3" t="n">
        <v>-1.095000028610229</v>
      </c>
      <c r="AB1660" s="3" t="n">
        <v>-1.08899998664856</v>
      </c>
      <c r="AC1660" s="3" t="n">
        <v>-1.297999978065491</v>
      </c>
      <c r="AD1660" s="3" t="n">
        <v>-0.8709999918937683</v>
      </c>
      <c r="AE1660" s="3" t="n">
        <v>-0.8709999918937683</v>
      </c>
    </row>
    <row r="1661">
      <c r="A1661" s="3" t="inlineStr">
        <is>
          <t>PAK.distn.dec.ove.mean.8</t>
        </is>
      </c>
      <c r="B1661" s="3" t="inlineStr">
        <is>
          <t>PAK</t>
        </is>
      </c>
      <c r="C1661" s="3" t="n">
        <v>2005</v>
      </c>
      <c r="D1661" s="3" t="inlineStr">
        <is>
          <t>Overall</t>
        </is>
      </c>
      <c r="E1661" s="3" t="inlineStr">
        <is>
          <t>Deciles</t>
        </is>
      </c>
      <c r="F1661" s="3" t="inlineStr">
        <is>
          <t>mean</t>
        </is>
      </c>
      <c r="G1661" s="3" t="n">
        <v>8</v>
      </c>
      <c r="H1661" s="3" t="n">
        <v>-0.7863786816596985</v>
      </c>
      <c r="I1661" s="3" t="n">
        <v>-0.7863786816596985</v>
      </c>
      <c r="J1661" s="3" t="n">
        <v>-0.8733496069908142</v>
      </c>
      <c r="K1661" s="3" t="n">
        <v>-0.8733496069908142</v>
      </c>
      <c r="L1661" s="3" t="n">
        <v>-0.7863786816596985</v>
      </c>
      <c r="M1661" s="3" t="n">
        <v>-0.7863786816596985</v>
      </c>
      <c r="N1661" s="3" t="n">
        <v>-0.7863786816596985</v>
      </c>
      <c r="O1661" s="3" t="n">
        <v>-0.7863786816596985</v>
      </c>
      <c r="P1661" s="3" t="n">
        <v>-0.7863786816596985</v>
      </c>
      <c r="Q1661" s="3" t="n">
        <v>-0.7863786816596985</v>
      </c>
      <c r="R1661" s="3" t="n">
        <v>-0.7722538709640503</v>
      </c>
      <c r="S1661" s="3" t="n">
        <v>-1.105189085006714</v>
      </c>
      <c r="T1661" s="3" t="n">
        <v>-0.7090408802032471</v>
      </c>
      <c r="U1661" s="3" t="n">
        <v>-0.8733496069908142</v>
      </c>
      <c r="V1661" s="3" t="n">
        <v>-0.6807029843330383</v>
      </c>
      <c r="W1661" s="3" t="n">
        <v>-0.5729425549507141</v>
      </c>
      <c r="X1661" s="3" t="n">
        <v>-1.098922967910767</v>
      </c>
      <c r="Y1661" s="3" t="n">
        <v>-0.7863786816596985</v>
      </c>
      <c r="Z1661" s="3" t="n">
        <v>-1.105189085006714</v>
      </c>
      <c r="AA1661" s="3" t="n">
        <v>-1.105189085006714</v>
      </c>
      <c r="AB1661" s="3" t="n">
        <v>-1.098922967910767</v>
      </c>
      <c r="AC1661" s="3" t="n">
        <v>-1.316511154174805</v>
      </c>
      <c r="AD1661" s="3" t="n">
        <v>-0.8733496069908142</v>
      </c>
      <c r="AE1661" s="3" t="n">
        <v>-0.8733496069908142</v>
      </c>
    </row>
    <row r="1662">
      <c r="A1662" s="3" t="inlineStr">
        <is>
          <t>PAK.distn.dec.ove.mean.9</t>
        </is>
      </c>
      <c r="B1662" s="3" t="inlineStr">
        <is>
          <t>PAK</t>
        </is>
      </c>
      <c r="C1662" s="3" t="n">
        <v>2005</v>
      </c>
      <c r="D1662" s="3" t="inlineStr">
        <is>
          <t>Overall</t>
        </is>
      </c>
      <c r="E1662" s="3" t="inlineStr">
        <is>
          <t>Deciles</t>
        </is>
      </c>
      <c r="F1662" s="3" t="inlineStr">
        <is>
          <t>mean</t>
        </is>
      </c>
      <c r="G1662" s="3" t="n">
        <v>9</v>
      </c>
      <c r="H1662" s="3" t="n">
        <v>-0.7863786816596985</v>
      </c>
      <c r="I1662" s="3" t="n">
        <v>-0.7863786816596985</v>
      </c>
      <c r="J1662" s="3" t="n">
        <v>-0.8733496069908142</v>
      </c>
      <c r="K1662" s="3" t="n">
        <v>-0.8733496069908142</v>
      </c>
      <c r="L1662" s="3" t="n">
        <v>-0.7863786816596985</v>
      </c>
      <c r="M1662" s="3" t="n">
        <v>-0.7863786816596985</v>
      </c>
      <c r="N1662" s="3" t="n">
        <v>-0.7863786816596985</v>
      </c>
      <c r="O1662" s="3" t="n">
        <v>-0.7863786816596985</v>
      </c>
      <c r="P1662" s="3" t="n">
        <v>-0.7863786816596985</v>
      </c>
      <c r="Q1662" s="3" t="n">
        <v>-0.7863786816596985</v>
      </c>
      <c r="R1662" s="3" t="n">
        <v>-0.7722538709640503</v>
      </c>
      <c r="S1662" s="3" t="n">
        <v>-1.105189085006714</v>
      </c>
      <c r="T1662" s="3" t="n">
        <v>-0.7090408802032471</v>
      </c>
      <c r="U1662" s="3" t="n">
        <v>-0.8733496069908142</v>
      </c>
      <c r="V1662" s="3" t="n">
        <v>-0.6807029843330383</v>
      </c>
      <c r="W1662" s="3" t="n">
        <v>-0.5729425549507141</v>
      </c>
      <c r="X1662" s="3" t="n">
        <v>-1.098922967910767</v>
      </c>
      <c r="Y1662" s="3" t="n">
        <v>-0.7863786816596985</v>
      </c>
      <c r="Z1662" s="3" t="n">
        <v>-1.105189085006714</v>
      </c>
      <c r="AA1662" s="3" t="n">
        <v>-1.105189085006714</v>
      </c>
      <c r="AB1662" s="3" t="n">
        <v>-1.098922967910767</v>
      </c>
      <c r="AC1662" s="3" t="n">
        <v>-1.316511154174805</v>
      </c>
      <c r="AD1662" s="3" t="n">
        <v>-0.8733496069908142</v>
      </c>
      <c r="AE1662" s="3" t="n">
        <v>-0.8733496069908142</v>
      </c>
    </row>
    <row r="1663">
      <c r="A1663" s="3" t="inlineStr">
        <is>
          <t>PAK.distn.dec.ove.mean.10</t>
        </is>
      </c>
      <c r="B1663" s="3" t="inlineStr">
        <is>
          <t>PAK</t>
        </is>
      </c>
      <c r="C1663" s="3" t="n">
        <v>2005</v>
      </c>
      <c r="D1663" s="3" t="inlineStr">
        <is>
          <t>Overall</t>
        </is>
      </c>
      <c r="E1663" s="3" t="inlineStr">
        <is>
          <t>Deciles</t>
        </is>
      </c>
      <c r="F1663" s="3" t="inlineStr">
        <is>
          <t>mean</t>
        </is>
      </c>
      <c r="G1663" s="3" t="n">
        <v>10</v>
      </c>
      <c r="H1663" s="3" t="n">
        <v>-0.7863786816596985</v>
      </c>
      <c r="I1663" s="3" t="n">
        <v>-0.7863786816596985</v>
      </c>
      <c r="J1663" s="3" t="n">
        <v>-0.8733496069908142</v>
      </c>
      <c r="K1663" s="3" t="n">
        <v>-0.8733496069908142</v>
      </c>
      <c r="L1663" s="3" t="n">
        <v>-0.7863786816596985</v>
      </c>
      <c r="M1663" s="3" t="n">
        <v>-0.7863786816596985</v>
      </c>
      <c r="N1663" s="3" t="n">
        <v>-0.7863786816596985</v>
      </c>
      <c r="O1663" s="3" t="n">
        <v>-0.7863786816596985</v>
      </c>
      <c r="P1663" s="3" t="n">
        <v>-0.7863786816596985</v>
      </c>
      <c r="Q1663" s="3" t="n">
        <v>-0.7863786816596985</v>
      </c>
      <c r="R1663" s="3" t="n">
        <v>-0.7722538709640503</v>
      </c>
      <c r="S1663" s="3" t="n">
        <v>-1.105189085006714</v>
      </c>
      <c r="T1663" s="3" t="n">
        <v>-0.7090408802032471</v>
      </c>
      <c r="U1663" s="3" t="n">
        <v>-0.8733496069908142</v>
      </c>
      <c r="V1663" s="3" t="n">
        <v>-0.6807029843330383</v>
      </c>
      <c r="W1663" s="3" t="n">
        <v>-0.5729425549507141</v>
      </c>
      <c r="X1663" s="3" t="n">
        <v>-1.098922967910767</v>
      </c>
      <c r="Y1663" s="3" t="n">
        <v>-0.7863786816596985</v>
      </c>
      <c r="Z1663" s="3" t="n">
        <v>-1.105189085006714</v>
      </c>
      <c r="AA1663" s="3" t="n">
        <v>-1.105189085006714</v>
      </c>
      <c r="AB1663" s="3" t="n">
        <v>-1.098922967910767</v>
      </c>
      <c r="AC1663" s="3" t="n">
        <v>-1.316511154174805</v>
      </c>
      <c r="AD1663" s="3" t="n">
        <v>-0.8733496069908142</v>
      </c>
      <c r="AE1663" s="3" t="n">
        <v>-0.8733496069908142</v>
      </c>
    </row>
    <row r="1664">
      <c r="A1664" s="3" t="inlineStr">
        <is>
          <t>PAK.distn.bkt.ove.mean.9999</t>
        </is>
      </c>
      <c r="B1664" s="3" t="inlineStr">
        <is>
          <t>PAK</t>
        </is>
      </c>
      <c r="C1664" s="3" t="n">
        <v>2005</v>
      </c>
      <c r="D1664" s="3" t="inlineStr">
        <is>
          <t>Overall</t>
        </is>
      </c>
      <c r="E1664" s="3" t="inlineStr">
        <is>
          <t>Basket</t>
        </is>
      </c>
      <c r="F1664" s="3" t="inlineStr">
        <is>
          <t>mean</t>
        </is>
      </c>
      <c r="G1664" s="3" t="n">
        <v>9999</v>
      </c>
      <c r="H1664" s="3" t="n">
        <v>-0.787995457649231</v>
      </c>
      <c r="I1664" s="3" t="n">
        <v>-0.787995457649231</v>
      </c>
      <c r="J1664" s="3" t="n">
        <v>-0.8849722146987915</v>
      </c>
      <c r="K1664" s="3" t="n">
        <v>-0.8849722146987915</v>
      </c>
      <c r="L1664" s="3" t="n">
        <v>-0.787995457649231</v>
      </c>
      <c r="M1664" s="3" t="n">
        <v>-0.787995457649231</v>
      </c>
      <c r="N1664" s="3" t="n">
        <v>-0.787995457649231</v>
      </c>
      <c r="O1664" s="3" t="n">
        <v>-0.787995457649231</v>
      </c>
      <c r="P1664" s="3" t="n">
        <v>-0.787995457649231</v>
      </c>
      <c r="Q1664" s="3" t="n">
        <v>-0.787995457649231</v>
      </c>
      <c r="R1664" s="3" t="n">
        <v>-0.773120105266571</v>
      </c>
      <c r="S1664" s="3" t="n">
        <v>-1.251856923103333</v>
      </c>
      <c r="T1664" s="3" t="n">
        <v>-0.7094486355781555</v>
      </c>
      <c r="U1664" s="3" t="n">
        <v>-0.8849722146987915</v>
      </c>
      <c r="V1664" s="3" t="n">
        <v>-0.6823066473007202</v>
      </c>
      <c r="W1664" s="3" t="n">
        <v>-0.5939881801605225</v>
      </c>
      <c r="X1664" s="3" t="n">
        <v>-1.228198528289795</v>
      </c>
      <c r="Y1664" s="3" t="n">
        <v>-0.787995457649231</v>
      </c>
      <c r="Z1664" s="3" t="n">
        <v>-1.251856923103333</v>
      </c>
      <c r="AA1664" s="3" t="n">
        <v>-1.251856923103333</v>
      </c>
      <c r="AB1664" s="3" t="n">
        <v>-1.228198528289795</v>
      </c>
      <c r="AC1664" s="3" t="n">
        <v>-1.720493793487549</v>
      </c>
      <c r="AD1664" s="3" t="n">
        <v>-0.8849722146987915</v>
      </c>
      <c r="AE1664" s="3" t="n">
        <v>-0.8849722146987915</v>
      </c>
    </row>
    <row r="1665">
      <c r="A1665" s="3" t="inlineStr">
        <is>
          <t>PAN.distn.dec.ove.mean.1</t>
        </is>
      </c>
      <c r="B1665" s="3" t="inlineStr">
        <is>
          <t>PAN</t>
        </is>
      </c>
      <c r="C1665" s="3" t="n">
        <v>2005</v>
      </c>
      <c r="D1665" s="3" t="inlineStr">
        <is>
          <t>Overall</t>
        </is>
      </c>
      <c r="E1665" s="3" t="inlineStr">
        <is>
          <t>Deciles</t>
        </is>
      </c>
      <c r="F1665" s="3" t="inlineStr">
        <is>
          <t>mean</t>
        </is>
      </c>
      <c r="G1665" s="3" t="n">
        <v>1</v>
      </c>
      <c r="H1665" s="3" t="n">
        <v>-0.7898249251501901</v>
      </c>
      <c r="I1665" s="3" t="n">
        <v>-0.7898249251501901</v>
      </c>
      <c r="J1665" s="3" t="n">
        <v>-0.9006037865366254</v>
      </c>
      <c r="K1665" s="3" t="n">
        <v>-0.9006037865366254</v>
      </c>
      <c r="L1665" s="3" t="n">
        <v>-0.7898249251501901</v>
      </c>
      <c r="M1665" s="3" t="n">
        <v>-0.7898249251501901</v>
      </c>
      <c r="N1665" s="3" t="n">
        <v>-0.7898249251501901</v>
      </c>
      <c r="O1665" s="3" t="n">
        <v>-0.7898249251501901</v>
      </c>
      <c r="P1665" s="3" t="n">
        <v>-0.7898249251501901</v>
      </c>
      <c r="Q1665" s="3" t="n">
        <v>-0.7898249251501901</v>
      </c>
      <c r="R1665" s="3" t="n">
        <v>-0.7744465725762504</v>
      </c>
      <c r="S1665" s="3" t="n">
        <v>-1.490841317176819</v>
      </c>
      <c r="T1665" s="3" t="n">
        <v>-0.7100824441228594</v>
      </c>
      <c r="U1665" s="3" t="n">
        <v>-0.9006037865366254</v>
      </c>
      <c r="V1665" s="3" t="n">
        <v>-0.6846477542604719</v>
      </c>
      <c r="W1665" s="3" t="n">
        <v>-0.6204802887780326</v>
      </c>
      <c r="X1665" s="3" t="n">
        <v>-1.433480068615505</v>
      </c>
      <c r="Y1665" s="3" t="n">
        <v>-0.7898249251501901</v>
      </c>
      <c r="Z1665" s="3" t="n">
        <v>-1.490841317176819</v>
      </c>
      <c r="AA1665" s="3" t="n">
        <v>-1.490841317176819</v>
      </c>
      <c r="AB1665" s="3" t="n">
        <v>-1.433480068615505</v>
      </c>
      <c r="AC1665" s="3" t="n">
        <v>-2.345895099639892</v>
      </c>
      <c r="AD1665" s="3" t="n">
        <v>-0.9006037865366254</v>
      </c>
      <c r="AE1665" s="3" t="n">
        <v>-0.9006037865366254</v>
      </c>
    </row>
    <row r="1666">
      <c r="A1666" s="3" t="inlineStr">
        <is>
          <t>PAN.distn.dec.ove.mean.2</t>
        </is>
      </c>
      <c r="B1666" s="3" t="inlineStr">
        <is>
          <t>PAN</t>
        </is>
      </c>
      <c r="C1666" s="3" t="n">
        <v>2005</v>
      </c>
      <c r="D1666" s="3" t="inlineStr">
        <is>
          <t>Overall</t>
        </is>
      </c>
      <c r="E1666" s="3" t="inlineStr">
        <is>
          <t>Deciles</t>
        </is>
      </c>
      <c r="F1666" s="3" t="inlineStr">
        <is>
          <t>mean</t>
        </is>
      </c>
      <c r="G1666" s="3" t="n">
        <v>2</v>
      </c>
      <c r="H1666" s="3" t="n">
        <v>-0.7898249251501901</v>
      </c>
      <c r="I1666" s="3" t="n">
        <v>-0.7898249251501901</v>
      </c>
      <c r="J1666" s="3" t="n">
        <v>-0.9006037865366254</v>
      </c>
      <c r="K1666" s="3" t="n">
        <v>-0.9006037865366254</v>
      </c>
      <c r="L1666" s="3" t="n">
        <v>-0.7898249251501901</v>
      </c>
      <c r="M1666" s="3" t="n">
        <v>-0.7898249251501901</v>
      </c>
      <c r="N1666" s="3" t="n">
        <v>-0.7898249251501901</v>
      </c>
      <c r="O1666" s="3" t="n">
        <v>-0.7898249251501901</v>
      </c>
      <c r="P1666" s="3" t="n">
        <v>-0.7898249251501901</v>
      </c>
      <c r="Q1666" s="3" t="n">
        <v>-0.7898249251501901</v>
      </c>
      <c r="R1666" s="3" t="n">
        <v>-0.7744465725762504</v>
      </c>
      <c r="S1666" s="3" t="n">
        <v>-1.490841317176819</v>
      </c>
      <c r="T1666" s="3" t="n">
        <v>-0.7100824441228594</v>
      </c>
      <c r="U1666" s="3" t="n">
        <v>-0.9006037865366254</v>
      </c>
      <c r="V1666" s="3" t="n">
        <v>-0.6846477542604719</v>
      </c>
      <c r="W1666" s="3" t="n">
        <v>-0.6204802887780326</v>
      </c>
      <c r="X1666" s="3" t="n">
        <v>-1.433480068615505</v>
      </c>
      <c r="Y1666" s="3" t="n">
        <v>-0.7898249251501901</v>
      </c>
      <c r="Z1666" s="3" t="n">
        <v>-1.490841317176819</v>
      </c>
      <c r="AA1666" s="3" t="n">
        <v>-1.490841317176819</v>
      </c>
      <c r="AB1666" s="3" t="n">
        <v>-1.433480068615505</v>
      </c>
      <c r="AC1666" s="3" t="n">
        <v>-2.345895099639892</v>
      </c>
      <c r="AD1666" s="3" t="n">
        <v>-0.9006037865366254</v>
      </c>
      <c r="AE1666" s="3" t="n">
        <v>-0.9006037865366254</v>
      </c>
    </row>
    <row r="1667">
      <c r="A1667" s="3" t="inlineStr">
        <is>
          <t>PAN.distn.dec.ove.mean.3</t>
        </is>
      </c>
      <c r="B1667" s="3" t="inlineStr">
        <is>
          <t>PAN</t>
        </is>
      </c>
      <c r="C1667" s="3" t="n">
        <v>2005</v>
      </c>
      <c r="D1667" s="3" t="inlineStr">
        <is>
          <t>Overall</t>
        </is>
      </c>
      <c r="E1667" s="3" t="inlineStr">
        <is>
          <t>Deciles</t>
        </is>
      </c>
      <c r="F1667" s="3" t="inlineStr">
        <is>
          <t>mean</t>
        </is>
      </c>
      <c r="G1667" s="3" t="n">
        <v>3</v>
      </c>
      <c r="H1667" s="3" t="n">
        <v>-0.7898249251501901</v>
      </c>
      <c r="I1667" s="3" t="n">
        <v>-0.7898249251501901</v>
      </c>
      <c r="J1667" s="3" t="n">
        <v>-0.9006037865366254</v>
      </c>
      <c r="K1667" s="3" t="n">
        <v>-0.9006037865366254</v>
      </c>
      <c r="L1667" s="3" t="n">
        <v>-0.7898249251501901</v>
      </c>
      <c r="M1667" s="3" t="n">
        <v>-0.7898249251501901</v>
      </c>
      <c r="N1667" s="3" t="n">
        <v>-0.7898249251501901</v>
      </c>
      <c r="O1667" s="3" t="n">
        <v>-0.7898249251501901</v>
      </c>
      <c r="P1667" s="3" t="n">
        <v>-0.7898249251501901</v>
      </c>
      <c r="Q1667" s="3" t="n">
        <v>-0.7898249251501901</v>
      </c>
      <c r="R1667" s="3" t="n">
        <v>-0.7744465725762504</v>
      </c>
      <c r="S1667" s="3" t="n">
        <v>-1.490841317176819</v>
      </c>
      <c r="T1667" s="3" t="n">
        <v>-0.7100824441228594</v>
      </c>
      <c r="U1667" s="3" t="n">
        <v>-0.9006037865366254</v>
      </c>
      <c r="V1667" s="3" t="n">
        <v>-0.6846477542604719</v>
      </c>
      <c r="W1667" s="3" t="n">
        <v>-0.6204802887780326</v>
      </c>
      <c r="X1667" s="3" t="n">
        <v>-1.433480068615505</v>
      </c>
      <c r="Y1667" s="3" t="n">
        <v>-0.7898249251501901</v>
      </c>
      <c r="Z1667" s="3" t="n">
        <v>-1.490841317176819</v>
      </c>
      <c r="AA1667" s="3" t="n">
        <v>-1.490841317176819</v>
      </c>
      <c r="AB1667" s="3" t="n">
        <v>-1.433480068615505</v>
      </c>
      <c r="AC1667" s="3" t="n">
        <v>-2.345895099639892</v>
      </c>
      <c r="AD1667" s="3" t="n">
        <v>-0.9006037865366254</v>
      </c>
      <c r="AE1667" s="3" t="n">
        <v>-0.9006037865366254</v>
      </c>
    </row>
    <row r="1668">
      <c r="A1668" s="3" t="inlineStr">
        <is>
          <t>PAN.distn.dec.ove.mean.4</t>
        </is>
      </c>
      <c r="B1668" s="3" t="inlineStr">
        <is>
          <t>PAN</t>
        </is>
      </c>
      <c r="C1668" s="3" t="n">
        <v>2005</v>
      </c>
      <c r="D1668" s="3" t="inlineStr">
        <is>
          <t>Overall</t>
        </is>
      </c>
      <c r="E1668" s="3" t="inlineStr">
        <is>
          <t>Deciles</t>
        </is>
      </c>
      <c r="F1668" s="3" t="inlineStr">
        <is>
          <t>mean</t>
        </is>
      </c>
      <c r="G1668" s="3" t="n">
        <v>4</v>
      </c>
      <c r="H1668" s="3" t="n">
        <v>-0.7835714289120266</v>
      </c>
      <c r="I1668" s="3" t="n">
        <v>-0.7835714289120266</v>
      </c>
      <c r="J1668" s="3" t="n">
        <v>-0.8570857082094465</v>
      </c>
      <c r="K1668" s="3" t="n">
        <v>-0.8570857082094465</v>
      </c>
      <c r="L1668" s="3" t="n">
        <v>-0.7835714289120266</v>
      </c>
      <c r="M1668" s="3" t="n">
        <v>-0.7835714289120266</v>
      </c>
      <c r="N1668" s="3" t="n">
        <v>-0.7835714289120266</v>
      </c>
      <c r="O1668" s="3" t="n">
        <v>-0.7835714289120266</v>
      </c>
      <c r="P1668" s="3" t="n">
        <v>-0.7835714289120266</v>
      </c>
      <c r="Q1668" s="3" t="n">
        <v>-0.7835714289120266</v>
      </c>
      <c r="R1668" s="3" t="n">
        <v>-0.7709714361599513</v>
      </c>
      <c r="S1668" s="3" t="n">
        <v>-1.015428565229688</v>
      </c>
      <c r="T1668" s="3" t="n">
        <v>-0.708628567627498</v>
      </c>
      <c r="U1668" s="3" t="n">
        <v>-0.8570857082094465</v>
      </c>
      <c r="V1668" s="3" t="n">
        <v>-0.6776857103620256</v>
      </c>
      <c r="W1668" s="3" t="n">
        <v>-0.5221999968801226</v>
      </c>
      <c r="X1668" s="3" t="n">
        <v>-1.011657135827201</v>
      </c>
      <c r="Y1668" s="3" t="n">
        <v>-0.7835714289120266</v>
      </c>
      <c r="Z1668" s="3" t="n">
        <v>-1.015428565229688</v>
      </c>
      <c r="AA1668" s="3" t="n">
        <v>-1.015428565229688</v>
      </c>
      <c r="AB1668" s="3" t="n">
        <v>-1.011657135827201</v>
      </c>
      <c r="AC1668" s="3" t="n">
        <v>-1.132885714939662</v>
      </c>
      <c r="AD1668" s="3" t="n">
        <v>-0.8570857082094465</v>
      </c>
      <c r="AE1668" s="3" t="n">
        <v>-0.8570857082094465</v>
      </c>
    </row>
    <row r="1669">
      <c r="A1669" s="3" t="inlineStr">
        <is>
          <t>PAN.distn.dec.ove.mean.5</t>
        </is>
      </c>
      <c r="B1669" s="3" t="inlineStr">
        <is>
          <t>PAN</t>
        </is>
      </c>
      <c r="C1669" s="3" t="n">
        <v>2005</v>
      </c>
      <c r="D1669" s="3" t="inlineStr">
        <is>
          <t>Overall</t>
        </is>
      </c>
      <c r="E1669" s="3" t="inlineStr">
        <is>
          <t>Deciles</t>
        </is>
      </c>
      <c r="F1669" s="3" t="inlineStr">
        <is>
          <t>mean</t>
        </is>
      </c>
      <c r="G1669" s="3" t="n">
        <v>5</v>
      </c>
      <c r="H1669" s="3" t="n">
        <v>-0.7835714289120266</v>
      </c>
      <c r="I1669" s="3" t="n">
        <v>-0.7835714289120266</v>
      </c>
      <c r="J1669" s="3" t="n">
        <v>-0.8570857082094465</v>
      </c>
      <c r="K1669" s="3" t="n">
        <v>-0.8570857082094465</v>
      </c>
      <c r="L1669" s="3" t="n">
        <v>-0.7835714289120266</v>
      </c>
      <c r="M1669" s="3" t="n">
        <v>-0.7835714289120266</v>
      </c>
      <c r="N1669" s="3" t="n">
        <v>-0.7835714289120266</v>
      </c>
      <c r="O1669" s="3" t="n">
        <v>-0.7835714289120266</v>
      </c>
      <c r="P1669" s="3" t="n">
        <v>-0.7835714289120266</v>
      </c>
      <c r="Q1669" s="3" t="n">
        <v>-0.7835714289120266</v>
      </c>
      <c r="R1669" s="3" t="n">
        <v>-0.7709714361599513</v>
      </c>
      <c r="S1669" s="3" t="n">
        <v>-1.015428565229688</v>
      </c>
      <c r="T1669" s="3" t="n">
        <v>-0.708628567627498</v>
      </c>
      <c r="U1669" s="3" t="n">
        <v>-0.8570857082094465</v>
      </c>
      <c r="V1669" s="3" t="n">
        <v>-0.6776857103620256</v>
      </c>
      <c r="W1669" s="3" t="n">
        <v>-0.5221999968801226</v>
      </c>
      <c r="X1669" s="3" t="n">
        <v>-1.011657135827201</v>
      </c>
      <c r="Y1669" s="3" t="n">
        <v>-0.7835714289120266</v>
      </c>
      <c r="Z1669" s="3" t="n">
        <v>-1.015428565229688</v>
      </c>
      <c r="AA1669" s="3" t="n">
        <v>-1.015428565229688</v>
      </c>
      <c r="AB1669" s="3" t="n">
        <v>-1.011657135827201</v>
      </c>
      <c r="AC1669" s="3" t="n">
        <v>-1.132885714939662</v>
      </c>
      <c r="AD1669" s="3" t="n">
        <v>-0.8570857082094465</v>
      </c>
      <c r="AE1669" s="3" t="n">
        <v>-0.8570857082094465</v>
      </c>
    </row>
    <row r="1670">
      <c r="A1670" s="3" t="inlineStr">
        <is>
          <t>PAN.distn.dec.ove.mean.6</t>
        </is>
      </c>
      <c r="B1670" s="3" t="inlineStr">
        <is>
          <t>PAN</t>
        </is>
      </c>
      <c r="C1670" s="3" t="n">
        <v>2005</v>
      </c>
      <c r="D1670" s="3" t="inlineStr">
        <is>
          <t>Overall</t>
        </is>
      </c>
      <c r="E1670" s="3" t="inlineStr">
        <is>
          <t>Deciles</t>
        </is>
      </c>
      <c r="F1670" s="3" t="inlineStr">
        <is>
          <t>mean</t>
        </is>
      </c>
      <c r="G1670" s="3" t="n">
        <v>6</v>
      </c>
      <c r="H1670" s="3" t="n">
        <v>-0.7835714289120266</v>
      </c>
      <c r="I1670" s="3" t="n">
        <v>-0.7835714289120266</v>
      </c>
      <c r="J1670" s="3" t="n">
        <v>-0.8570857082094465</v>
      </c>
      <c r="K1670" s="3" t="n">
        <v>-0.8570857082094465</v>
      </c>
      <c r="L1670" s="3" t="n">
        <v>-0.7835714289120266</v>
      </c>
      <c r="M1670" s="3" t="n">
        <v>-0.7835714289120266</v>
      </c>
      <c r="N1670" s="3" t="n">
        <v>-0.7835714289120266</v>
      </c>
      <c r="O1670" s="3" t="n">
        <v>-0.7835714289120266</v>
      </c>
      <c r="P1670" s="3" t="n">
        <v>-0.7835714289120266</v>
      </c>
      <c r="Q1670" s="3" t="n">
        <v>-0.7835714289120266</v>
      </c>
      <c r="R1670" s="3" t="n">
        <v>-0.7709714361599513</v>
      </c>
      <c r="S1670" s="3" t="n">
        <v>-1.015428565229688</v>
      </c>
      <c r="T1670" s="3" t="n">
        <v>-0.708628567627498</v>
      </c>
      <c r="U1670" s="3" t="n">
        <v>-0.8570857082094465</v>
      </c>
      <c r="V1670" s="3" t="n">
        <v>-0.6776857103620256</v>
      </c>
      <c r="W1670" s="3" t="n">
        <v>-0.5221999968801226</v>
      </c>
      <c r="X1670" s="3" t="n">
        <v>-1.011657135827201</v>
      </c>
      <c r="Y1670" s="3" t="n">
        <v>-0.7835714289120266</v>
      </c>
      <c r="Z1670" s="3" t="n">
        <v>-1.015428565229688</v>
      </c>
      <c r="AA1670" s="3" t="n">
        <v>-1.015428565229688</v>
      </c>
      <c r="AB1670" s="3" t="n">
        <v>-1.011657135827201</v>
      </c>
      <c r="AC1670" s="3" t="n">
        <v>-1.132885714939662</v>
      </c>
      <c r="AD1670" s="3" t="n">
        <v>-0.8570857082094465</v>
      </c>
      <c r="AE1670" s="3" t="n">
        <v>-0.8570857082094465</v>
      </c>
    </row>
    <row r="1671">
      <c r="A1671" s="3" t="inlineStr">
        <is>
          <t>PAN.distn.dec.ove.mean.7</t>
        </is>
      </c>
      <c r="B1671" s="3" t="inlineStr">
        <is>
          <t>PAN</t>
        </is>
      </c>
      <c r="C1671" s="3" t="n">
        <v>2005</v>
      </c>
      <c r="D1671" s="3" t="inlineStr">
        <is>
          <t>Overall</t>
        </is>
      </c>
      <c r="E1671" s="3" t="inlineStr">
        <is>
          <t>Deciles</t>
        </is>
      </c>
      <c r="F1671" s="3" t="inlineStr">
        <is>
          <t>mean</t>
        </is>
      </c>
      <c r="G1671" s="3" t="n">
        <v>7</v>
      </c>
      <c r="H1671" s="3" t="n">
        <v>-0.7835714289120266</v>
      </c>
      <c r="I1671" s="3" t="n">
        <v>-0.7835714289120266</v>
      </c>
      <c r="J1671" s="3" t="n">
        <v>-0.8570857082094465</v>
      </c>
      <c r="K1671" s="3" t="n">
        <v>-0.8570857082094465</v>
      </c>
      <c r="L1671" s="3" t="n">
        <v>-0.7835714289120266</v>
      </c>
      <c r="M1671" s="3" t="n">
        <v>-0.7835714289120266</v>
      </c>
      <c r="N1671" s="3" t="n">
        <v>-0.7835714289120266</v>
      </c>
      <c r="O1671" s="3" t="n">
        <v>-0.7835714289120266</v>
      </c>
      <c r="P1671" s="3" t="n">
        <v>-0.7835714289120266</v>
      </c>
      <c r="Q1671" s="3" t="n">
        <v>-0.7835714289120266</v>
      </c>
      <c r="R1671" s="3" t="n">
        <v>-0.7709714361599513</v>
      </c>
      <c r="S1671" s="3" t="n">
        <v>-1.015428565229688</v>
      </c>
      <c r="T1671" s="3" t="n">
        <v>-0.708628567627498</v>
      </c>
      <c r="U1671" s="3" t="n">
        <v>-0.8570857082094465</v>
      </c>
      <c r="V1671" s="3" t="n">
        <v>-0.6776857103620256</v>
      </c>
      <c r="W1671" s="3" t="n">
        <v>-0.5221999968801226</v>
      </c>
      <c r="X1671" s="3" t="n">
        <v>-1.011657135827201</v>
      </c>
      <c r="Y1671" s="3" t="n">
        <v>-0.7835714289120266</v>
      </c>
      <c r="Z1671" s="3" t="n">
        <v>-1.015428565229688</v>
      </c>
      <c r="AA1671" s="3" t="n">
        <v>-1.015428565229688</v>
      </c>
      <c r="AB1671" s="3" t="n">
        <v>-1.011657135827201</v>
      </c>
      <c r="AC1671" s="3" t="n">
        <v>-1.132885714939662</v>
      </c>
      <c r="AD1671" s="3" t="n">
        <v>-0.8570857082094465</v>
      </c>
      <c r="AE1671" s="3" t="n">
        <v>-0.8570857082094465</v>
      </c>
    </row>
    <row r="1672">
      <c r="A1672" s="3" t="inlineStr">
        <is>
          <t>PAN.distn.dec.ove.mean.8</t>
        </is>
      </c>
      <c r="B1672" s="3" t="inlineStr">
        <is>
          <t>PAN</t>
        </is>
      </c>
      <c r="C1672" s="3" t="n">
        <v>2005</v>
      </c>
      <c r="D1672" s="3" t="inlineStr">
        <is>
          <t>Overall</t>
        </is>
      </c>
      <c r="E1672" s="3" t="inlineStr">
        <is>
          <t>Deciles</t>
        </is>
      </c>
      <c r="F1672" s="3" t="inlineStr">
        <is>
          <t>mean</t>
        </is>
      </c>
      <c r="G1672" s="3" t="n">
        <v>8</v>
      </c>
      <c r="H1672" s="3" t="n">
        <v>-0.7839489357812064</v>
      </c>
      <c r="I1672" s="3" t="n">
        <v>-0.7839489357812064</v>
      </c>
      <c r="J1672" s="3" t="n">
        <v>-0.8593977723802839</v>
      </c>
      <c r="K1672" s="3" t="n">
        <v>-0.8593977723802839</v>
      </c>
      <c r="L1672" s="3" t="n">
        <v>-0.7839489357812064</v>
      </c>
      <c r="M1672" s="3" t="n">
        <v>-0.7839489357812064</v>
      </c>
      <c r="N1672" s="3" t="n">
        <v>-0.7839489357812064</v>
      </c>
      <c r="O1672" s="3" t="n">
        <v>-0.7839489357812064</v>
      </c>
      <c r="P1672" s="3" t="n">
        <v>-0.7839489357812064</v>
      </c>
      <c r="Q1672" s="3" t="n">
        <v>-0.7839489357812064</v>
      </c>
      <c r="R1672" s="3" t="n">
        <v>-0.7712249892098563</v>
      </c>
      <c r="S1672" s="3" t="n">
        <v>-1.024877253600529</v>
      </c>
      <c r="T1672" s="3" t="n">
        <v>-0.7086694342749459</v>
      </c>
      <c r="U1672" s="3" t="n">
        <v>-0.8593977723802839</v>
      </c>
      <c r="V1672" s="3" t="n">
        <v>-0.6783862863268171</v>
      </c>
      <c r="W1672" s="3" t="n">
        <v>-0.5361838928290776</v>
      </c>
      <c r="X1672" s="3" t="n">
        <v>-1.020875356878553</v>
      </c>
      <c r="Y1672" s="3" t="n">
        <v>-0.7839489357812064</v>
      </c>
      <c r="Z1672" s="3" t="n">
        <v>-1.024877253600529</v>
      </c>
      <c r="AA1672" s="3" t="n">
        <v>-1.024877253600529</v>
      </c>
      <c r="AB1672" s="3" t="n">
        <v>-1.020875356878553</v>
      </c>
      <c r="AC1672" s="3" t="n">
        <v>-1.149042170388358</v>
      </c>
      <c r="AD1672" s="3" t="n">
        <v>-0.8593977723802839</v>
      </c>
      <c r="AE1672" s="3" t="n">
        <v>-0.8593977723802839</v>
      </c>
    </row>
    <row r="1673">
      <c r="A1673" s="3" t="inlineStr">
        <is>
          <t>PAN.distn.dec.ove.mean.9</t>
        </is>
      </c>
      <c r="B1673" s="3" t="inlineStr">
        <is>
          <t>PAN</t>
        </is>
      </c>
      <c r="C1673" s="3" t="n">
        <v>2005</v>
      </c>
      <c r="D1673" s="3" t="inlineStr">
        <is>
          <t>Overall</t>
        </is>
      </c>
      <c r="E1673" s="3" t="inlineStr">
        <is>
          <t>Deciles</t>
        </is>
      </c>
      <c r="F1673" s="3" t="inlineStr">
        <is>
          <t>mean</t>
        </is>
      </c>
      <c r="G1673" s="3" t="n">
        <v>9</v>
      </c>
      <c r="H1673" s="3" t="n">
        <v>-0.7839489357812064</v>
      </c>
      <c r="I1673" s="3" t="n">
        <v>-0.7839489357812064</v>
      </c>
      <c r="J1673" s="3" t="n">
        <v>-0.8593977723802839</v>
      </c>
      <c r="K1673" s="3" t="n">
        <v>-0.8593977723802839</v>
      </c>
      <c r="L1673" s="3" t="n">
        <v>-0.7839489357812064</v>
      </c>
      <c r="M1673" s="3" t="n">
        <v>-0.7839489357812064</v>
      </c>
      <c r="N1673" s="3" t="n">
        <v>-0.7839489357812064</v>
      </c>
      <c r="O1673" s="3" t="n">
        <v>-0.7839489357812064</v>
      </c>
      <c r="P1673" s="3" t="n">
        <v>-0.7839489357812064</v>
      </c>
      <c r="Q1673" s="3" t="n">
        <v>-0.7839489357812064</v>
      </c>
      <c r="R1673" s="3" t="n">
        <v>-0.7712249892098563</v>
      </c>
      <c r="S1673" s="3" t="n">
        <v>-1.024877253600529</v>
      </c>
      <c r="T1673" s="3" t="n">
        <v>-0.7086694342749459</v>
      </c>
      <c r="U1673" s="3" t="n">
        <v>-0.8593977723802839</v>
      </c>
      <c r="V1673" s="3" t="n">
        <v>-0.6783862863268171</v>
      </c>
      <c r="W1673" s="3" t="n">
        <v>-0.5361838928290776</v>
      </c>
      <c r="X1673" s="3" t="n">
        <v>-1.020875356878553</v>
      </c>
      <c r="Y1673" s="3" t="n">
        <v>-0.7839489357812064</v>
      </c>
      <c r="Z1673" s="3" t="n">
        <v>-1.024877253600529</v>
      </c>
      <c r="AA1673" s="3" t="n">
        <v>-1.024877253600529</v>
      </c>
      <c r="AB1673" s="3" t="n">
        <v>-1.020875356878553</v>
      </c>
      <c r="AC1673" s="3" t="n">
        <v>-1.149042170388358</v>
      </c>
      <c r="AD1673" s="3" t="n">
        <v>-0.8593977723802839</v>
      </c>
      <c r="AE1673" s="3" t="n">
        <v>-0.8593977723802839</v>
      </c>
    </row>
    <row r="1674">
      <c r="A1674" s="3" t="inlineStr">
        <is>
          <t>PAN.distn.dec.ove.mean.10</t>
        </is>
      </c>
      <c r="B1674" s="3" t="inlineStr">
        <is>
          <t>PAN</t>
        </is>
      </c>
      <c r="C1674" s="3" t="n">
        <v>2005</v>
      </c>
      <c r="D1674" s="3" t="inlineStr">
        <is>
          <t>Overall</t>
        </is>
      </c>
      <c r="E1674" s="3" t="inlineStr">
        <is>
          <t>Deciles</t>
        </is>
      </c>
      <c r="F1674" s="3" t="inlineStr">
        <is>
          <t>mean</t>
        </is>
      </c>
      <c r="G1674" s="3" t="n">
        <v>10</v>
      </c>
      <c r="H1674" s="3" t="n">
        <v>-0.7839489357812064</v>
      </c>
      <c r="I1674" s="3" t="n">
        <v>-0.7839489357812064</v>
      </c>
      <c r="J1674" s="3" t="n">
        <v>-0.8593977723802839</v>
      </c>
      <c r="K1674" s="3" t="n">
        <v>-0.8593977723802839</v>
      </c>
      <c r="L1674" s="3" t="n">
        <v>-0.7839489357812064</v>
      </c>
      <c r="M1674" s="3" t="n">
        <v>-0.7839489357812064</v>
      </c>
      <c r="N1674" s="3" t="n">
        <v>-0.7839489357812064</v>
      </c>
      <c r="O1674" s="3" t="n">
        <v>-0.7839489357812064</v>
      </c>
      <c r="P1674" s="3" t="n">
        <v>-0.7839489357812064</v>
      </c>
      <c r="Q1674" s="3" t="n">
        <v>-0.7839489357812064</v>
      </c>
      <c r="R1674" s="3" t="n">
        <v>-0.7712249892098563</v>
      </c>
      <c r="S1674" s="3" t="n">
        <v>-1.024877253600529</v>
      </c>
      <c r="T1674" s="3" t="n">
        <v>-0.7086694342749459</v>
      </c>
      <c r="U1674" s="3" t="n">
        <v>-0.8593977723802839</v>
      </c>
      <c r="V1674" s="3" t="n">
        <v>-0.6783862863268171</v>
      </c>
      <c r="W1674" s="3" t="n">
        <v>-0.5361838928290776</v>
      </c>
      <c r="X1674" s="3" t="n">
        <v>-1.020875356878553</v>
      </c>
      <c r="Y1674" s="3" t="n">
        <v>-0.7839489357812064</v>
      </c>
      <c r="Z1674" s="3" t="n">
        <v>-1.024877253600529</v>
      </c>
      <c r="AA1674" s="3" t="n">
        <v>-1.024877253600529</v>
      </c>
      <c r="AB1674" s="3" t="n">
        <v>-1.020875356878553</v>
      </c>
      <c r="AC1674" s="3" t="n">
        <v>-1.149042170388358</v>
      </c>
      <c r="AD1674" s="3" t="n">
        <v>-0.8593977723802839</v>
      </c>
      <c r="AE1674" s="3" t="n">
        <v>-0.8593977723802839</v>
      </c>
    </row>
    <row r="1675">
      <c r="A1675" s="3" t="inlineStr">
        <is>
          <t>PAN.distn.bkt.ove.mean.9999</t>
        </is>
      </c>
      <c r="B1675" s="3" t="inlineStr">
        <is>
          <t>PAN</t>
        </is>
      </c>
      <c r="C1675" s="3" t="n">
        <v>2005</v>
      </c>
      <c r="D1675" s="3" t="inlineStr">
        <is>
          <t>Overall</t>
        </is>
      </c>
      <c r="E1675" s="3" t="inlineStr">
        <is>
          <t>Basket</t>
        </is>
      </c>
      <c r="F1675" s="3" t="inlineStr">
        <is>
          <t>mean</t>
        </is>
      </c>
      <c r="G1675" s="3" t="n">
        <v>9999</v>
      </c>
      <c r="H1675" s="3" t="n">
        <v>-0.7855607322284154</v>
      </c>
      <c r="I1675" s="3" t="n">
        <v>-0.7855607322284154</v>
      </c>
      <c r="J1675" s="3" t="n">
        <v>-0.8708347541945322</v>
      </c>
      <c r="K1675" s="3" t="n">
        <v>-0.8708347541945322</v>
      </c>
      <c r="L1675" s="3" t="n">
        <v>-0.7855607322284154</v>
      </c>
      <c r="M1675" s="3" t="n">
        <v>-0.7855607322284154</v>
      </c>
      <c r="N1675" s="3" t="n">
        <v>-0.7855607322284154</v>
      </c>
      <c r="O1675" s="3" t="n">
        <v>-0.7855607322284154</v>
      </c>
      <c r="P1675" s="3" t="n">
        <v>-0.7855607322284154</v>
      </c>
      <c r="Q1675" s="3" t="n">
        <v>-0.7855607322284154</v>
      </c>
      <c r="R1675" s="3" t="n">
        <v>-0.7720900552613394</v>
      </c>
      <c r="S1675" s="3" t="n">
        <v>-1.160887002944946</v>
      </c>
      <c r="T1675" s="3" t="n">
        <v>-0.7090769904000419</v>
      </c>
      <c r="U1675" s="3" t="n">
        <v>-0.8708347541945322</v>
      </c>
      <c r="V1675" s="3" t="n">
        <v>-0.6799844878060477</v>
      </c>
      <c r="W1675" s="3" t="n">
        <v>-0.5558792540005275</v>
      </c>
      <c r="X1675" s="3" t="n">
        <v>-1.140969473975045</v>
      </c>
      <c r="Y1675" s="3" t="n">
        <v>-0.7855607322284154</v>
      </c>
      <c r="Z1675" s="3" t="n">
        <v>-1.160887002944946</v>
      </c>
      <c r="AA1675" s="3" t="n">
        <v>-1.160887002944946</v>
      </c>
      <c r="AB1675" s="3" t="n">
        <v>-1.140969473975045</v>
      </c>
      <c r="AC1675" s="3" t="n">
        <v>-1.501635466303144</v>
      </c>
      <c r="AD1675" s="3" t="n">
        <v>-0.8708347541945322</v>
      </c>
      <c r="AE1675" s="3" t="n">
        <v>-0.8708347541945322</v>
      </c>
    </row>
    <row r="1676">
      <c r="A1676" s="3" t="inlineStr">
        <is>
          <t>PER.distn.dec.ove.mean.1</t>
        </is>
      </c>
      <c r="B1676" s="3" t="inlineStr">
        <is>
          <t>PER</t>
        </is>
      </c>
      <c r="C1676" s="3" t="n">
        <v>2005</v>
      </c>
      <c r="D1676" s="3" t="inlineStr">
        <is>
          <t>Overall</t>
        </is>
      </c>
      <c r="E1676" s="3" t="inlineStr">
        <is>
          <t>Deciles</t>
        </is>
      </c>
      <c r="F1676" s="3" t="inlineStr">
        <is>
          <t>mean</t>
        </is>
      </c>
      <c r="G1676" s="3" t="n">
        <v>1</v>
      </c>
      <c r="H1676" s="3" t="n">
        <v>-0.7902569174766541</v>
      </c>
      <c r="I1676" s="3" t="n">
        <v>-0.7902569174766541</v>
      </c>
      <c r="J1676" s="3" t="n">
        <v>-0.8994629383087158</v>
      </c>
      <c r="K1676" s="3" t="n">
        <v>-0.8994629383087158</v>
      </c>
      <c r="L1676" s="3" t="n">
        <v>-0.7902569174766541</v>
      </c>
      <c r="M1676" s="3" t="n">
        <v>-0.7902569174766541</v>
      </c>
      <c r="N1676" s="3" t="n">
        <v>-0.7902569174766541</v>
      </c>
      <c r="O1676" s="3" t="n">
        <v>-0.7902569174766541</v>
      </c>
      <c r="P1676" s="3" t="n">
        <v>-0.7902569174766541</v>
      </c>
      <c r="Q1676" s="3" t="n">
        <v>-0.7902569174766541</v>
      </c>
      <c r="R1676" s="3" t="n">
        <v>-0.7744752764701843</v>
      </c>
      <c r="S1676" s="3" t="n">
        <v>-1.478466629981995</v>
      </c>
      <c r="T1676" s="3" t="n">
        <v>-0.7104546427726746</v>
      </c>
      <c r="U1676" s="3" t="n">
        <v>-0.8994629383087158</v>
      </c>
      <c r="V1676" s="3" t="n">
        <v>-0.6849652528762817</v>
      </c>
      <c r="W1676" s="3" t="n">
        <v>-0.6238072514533997</v>
      </c>
      <c r="X1676" s="3" t="n">
        <v>-1.422630190849304</v>
      </c>
      <c r="Y1676" s="3" t="n">
        <v>-0.7902569174766541</v>
      </c>
      <c r="Z1676" s="3" t="n">
        <v>-1.478466629981995</v>
      </c>
      <c r="AA1676" s="3" t="n">
        <v>-1.478466629981995</v>
      </c>
      <c r="AB1676" s="3" t="n">
        <v>-1.422630190849304</v>
      </c>
      <c r="AC1676" s="3" t="n">
        <v>-2.298505067825317</v>
      </c>
      <c r="AD1676" s="3" t="n">
        <v>-0.8994629383087158</v>
      </c>
      <c r="AE1676" s="3" t="n">
        <v>-0.8994629383087158</v>
      </c>
    </row>
    <row r="1677">
      <c r="A1677" s="3" t="inlineStr">
        <is>
          <t>PER.distn.dec.ove.mean.2</t>
        </is>
      </c>
      <c r="B1677" s="3" t="inlineStr">
        <is>
          <t>PER</t>
        </is>
      </c>
      <c r="C1677" s="3" t="n">
        <v>2005</v>
      </c>
      <c r="D1677" s="3" t="inlineStr">
        <is>
          <t>Overall</t>
        </is>
      </c>
      <c r="E1677" s="3" t="inlineStr">
        <is>
          <t>Deciles</t>
        </is>
      </c>
      <c r="F1677" s="3" t="inlineStr">
        <is>
          <t>mean</t>
        </is>
      </c>
      <c r="G1677" s="3" t="n">
        <v>2</v>
      </c>
      <c r="H1677" s="3" t="n">
        <v>-0.7902569174766541</v>
      </c>
      <c r="I1677" s="3" t="n">
        <v>-0.7902569174766541</v>
      </c>
      <c r="J1677" s="3" t="n">
        <v>-0.8994629383087158</v>
      </c>
      <c r="K1677" s="3" t="n">
        <v>-0.8994629383087158</v>
      </c>
      <c r="L1677" s="3" t="n">
        <v>-0.7902569174766541</v>
      </c>
      <c r="M1677" s="3" t="n">
        <v>-0.7902569174766541</v>
      </c>
      <c r="N1677" s="3" t="n">
        <v>-0.7902569174766541</v>
      </c>
      <c r="O1677" s="3" t="n">
        <v>-0.7902569174766541</v>
      </c>
      <c r="P1677" s="3" t="n">
        <v>-0.7902569174766541</v>
      </c>
      <c r="Q1677" s="3" t="n">
        <v>-0.7902569174766541</v>
      </c>
      <c r="R1677" s="3" t="n">
        <v>-0.7744752764701843</v>
      </c>
      <c r="S1677" s="3" t="n">
        <v>-1.478466629981995</v>
      </c>
      <c r="T1677" s="3" t="n">
        <v>-0.7104546427726746</v>
      </c>
      <c r="U1677" s="3" t="n">
        <v>-0.8994629383087158</v>
      </c>
      <c r="V1677" s="3" t="n">
        <v>-0.6849652528762817</v>
      </c>
      <c r="W1677" s="3" t="n">
        <v>-0.6238072514533997</v>
      </c>
      <c r="X1677" s="3" t="n">
        <v>-1.422630190849304</v>
      </c>
      <c r="Y1677" s="3" t="n">
        <v>-0.7902569174766541</v>
      </c>
      <c r="Z1677" s="3" t="n">
        <v>-1.478466629981995</v>
      </c>
      <c r="AA1677" s="3" t="n">
        <v>-1.478466629981995</v>
      </c>
      <c r="AB1677" s="3" t="n">
        <v>-1.422630190849304</v>
      </c>
      <c r="AC1677" s="3" t="n">
        <v>-2.298505067825317</v>
      </c>
      <c r="AD1677" s="3" t="n">
        <v>-0.8994629383087158</v>
      </c>
      <c r="AE1677" s="3" t="n">
        <v>-0.8994629383087158</v>
      </c>
    </row>
    <row r="1678">
      <c r="A1678" s="3" t="inlineStr">
        <is>
          <t>PER.distn.dec.ove.mean.3</t>
        </is>
      </c>
      <c r="B1678" s="3" t="inlineStr">
        <is>
          <t>PER</t>
        </is>
      </c>
      <c r="C1678" s="3" t="n">
        <v>2005</v>
      </c>
      <c r="D1678" s="3" t="inlineStr">
        <is>
          <t>Overall</t>
        </is>
      </c>
      <c r="E1678" s="3" t="inlineStr">
        <is>
          <t>Deciles</t>
        </is>
      </c>
      <c r="F1678" s="3" t="inlineStr">
        <is>
          <t>mean</t>
        </is>
      </c>
      <c r="G1678" s="3" t="n">
        <v>3</v>
      </c>
      <c r="H1678" s="3" t="n">
        <v>-0.7902569174766541</v>
      </c>
      <c r="I1678" s="3" t="n">
        <v>-0.7902569174766541</v>
      </c>
      <c r="J1678" s="3" t="n">
        <v>-0.8994629383087158</v>
      </c>
      <c r="K1678" s="3" t="n">
        <v>-0.8994629383087158</v>
      </c>
      <c r="L1678" s="3" t="n">
        <v>-0.7902569174766541</v>
      </c>
      <c r="M1678" s="3" t="n">
        <v>-0.7902569174766541</v>
      </c>
      <c r="N1678" s="3" t="n">
        <v>-0.7902569174766541</v>
      </c>
      <c r="O1678" s="3" t="n">
        <v>-0.7902569174766541</v>
      </c>
      <c r="P1678" s="3" t="n">
        <v>-0.7902569174766541</v>
      </c>
      <c r="Q1678" s="3" t="n">
        <v>-0.7902569174766541</v>
      </c>
      <c r="R1678" s="3" t="n">
        <v>-0.7744752764701843</v>
      </c>
      <c r="S1678" s="3" t="n">
        <v>-1.478466629981995</v>
      </c>
      <c r="T1678" s="3" t="n">
        <v>-0.7104546427726746</v>
      </c>
      <c r="U1678" s="3" t="n">
        <v>-0.8994629383087158</v>
      </c>
      <c r="V1678" s="3" t="n">
        <v>-0.6849652528762817</v>
      </c>
      <c r="W1678" s="3" t="n">
        <v>-0.6238072514533997</v>
      </c>
      <c r="X1678" s="3" t="n">
        <v>-1.422630190849304</v>
      </c>
      <c r="Y1678" s="3" t="n">
        <v>-0.7902569174766541</v>
      </c>
      <c r="Z1678" s="3" t="n">
        <v>-1.478466629981995</v>
      </c>
      <c r="AA1678" s="3" t="n">
        <v>-1.478466629981995</v>
      </c>
      <c r="AB1678" s="3" t="n">
        <v>-1.422630190849304</v>
      </c>
      <c r="AC1678" s="3" t="n">
        <v>-2.298505067825317</v>
      </c>
      <c r="AD1678" s="3" t="n">
        <v>-0.8994629383087158</v>
      </c>
      <c r="AE1678" s="3" t="n">
        <v>-0.8994629383087158</v>
      </c>
    </row>
    <row r="1679">
      <c r="A1679" s="3" t="inlineStr">
        <is>
          <t>PER.distn.dec.ove.mean.4</t>
        </is>
      </c>
      <c r="B1679" s="3" t="inlineStr">
        <is>
          <t>PER</t>
        </is>
      </c>
      <c r="C1679" s="3" t="n">
        <v>2005</v>
      </c>
      <c r="D1679" s="3" t="inlineStr">
        <is>
          <t>Overall</t>
        </is>
      </c>
      <c r="E1679" s="3" t="inlineStr">
        <is>
          <t>Deciles</t>
        </is>
      </c>
      <c r="F1679" s="3" t="inlineStr">
        <is>
          <t>mean</t>
        </is>
      </c>
      <c r="G1679" s="3" t="n">
        <v>4</v>
      </c>
      <c r="H1679" s="3" t="n">
        <v>-0.7839999794960022</v>
      </c>
      <c r="I1679" s="3" t="n">
        <v>-0.7839999794960022</v>
      </c>
      <c r="J1679" s="3" t="n">
        <v>-0.8560000061988831</v>
      </c>
      <c r="K1679" s="3" t="n">
        <v>-0.8560000061988831</v>
      </c>
      <c r="L1679" s="3" t="n">
        <v>-0.7839999794960022</v>
      </c>
      <c r="M1679" s="3" t="n">
        <v>-0.7839999794960022</v>
      </c>
      <c r="N1679" s="3" t="n">
        <v>-0.7839999794960022</v>
      </c>
      <c r="O1679" s="3" t="n">
        <v>-0.7839999794960022</v>
      </c>
      <c r="P1679" s="3" t="n">
        <v>-0.7839999794960022</v>
      </c>
      <c r="Q1679" s="3" t="n">
        <v>-0.7839999794960022</v>
      </c>
      <c r="R1679" s="3" t="n">
        <v>-0.7710000276565552</v>
      </c>
      <c r="S1679" s="3" t="n">
        <v>-1.006999969482422</v>
      </c>
      <c r="T1679" s="3" t="n">
        <v>-0.7089999914169312</v>
      </c>
      <c r="U1679" s="3" t="n">
        <v>-0.8560000061988831</v>
      </c>
      <c r="V1679" s="3" t="n">
        <v>-0.6779999732971191</v>
      </c>
      <c r="W1679" s="3" t="n">
        <v>-0.5249999761581421</v>
      </c>
      <c r="X1679" s="3" t="n">
        <v>-1.003999948501587</v>
      </c>
      <c r="Y1679" s="3" t="n">
        <v>-0.7839999794960022</v>
      </c>
      <c r="Z1679" s="3" t="n">
        <v>-1.006999969482422</v>
      </c>
      <c r="AA1679" s="3" t="n">
        <v>-1.006999969482422</v>
      </c>
      <c r="AB1679" s="3" t="n">
        <v>-1.003999948501587</v>
      </c>
      <c r="AC1679" s="3" t="n">
        <v>-1.110000014305115</v>
      </c>
      <c r="AD1679" s="3" t="n">
        <v>-0.8560000061988831</v>
      </c>
      <c r="AE1679" s="3" t="n">
        <v>-0.8560000061988831</v>
      </c>
    </row>
    <row r="1680">
      <c r="A1680" s="3" t="inlineStr">
        <is>
          <t>PER.distn.dec.ove.mean.5</t>
        </is>
      </c>
      <c r="B1680" s="3" t="inlineStr">
        <is>
          <t>PER</t>
        </is>
      </c>
      <c r="C1680" s="3" t="n">
        <v>2005</v>
      </c>
      <c r="D1680" s="3" t="inlineStr">
        <is>
          <t>Overall</t>
        </is>
      </c>
      <c r="E1680" s="3" t="inlineStr">
        <is>
          <t>Deciles</t>
        </is>
      </c>
      <c r="F1680" s="3" t="inlineStr">
        <is>
          <t>mean</t>
        </is>
      </c>
      <c r="G1680" s="3" t="n">
        <v>5</v>
      </c>
      <c r="H1680" s="3" t="n">
        <v>-0.7839999794960022</v>
      </c>
      <c r="I1680" s="3" t="n">
        <v>-0.7839999794960022</v>
      </c>
      <c r="J1680" s="3" t="n">
        <v>-0.8560000061988831</v>
      </c>
      <c r="K1680" s="3" t="n">
        <v>-0.8560000061988831</v>
      </c>
      <c r="L1680" s="3" t="n">
        <v>-0.7839999794960022</v>
      </c>
      <c r="M1680" s="3" t="n">
        <v>-0.7839999794960022</v>
      </c>
      <c r="N1680" s="3" t="n">
        <v>-0.7839999794960022</v>
      </c>
      <c r="O1680" s="3" t="n">
        <v>-0.7839999794960022</v>
      </c>
      <c r="P1680" s="3" t="n">
        <v>-0.7839999794960022</v>
      </c>
      <c r="Q1680" s="3" t="n">
        <v>-0.7839999794960022</v>
      </c>
      <c r="R1680" s="3" t="n">
        <v>-0.7710000276565552</v>
      </c>
      <c r="S1680" s="3" t="n">
        <v>-1.006999969482422</v>
      </c>
      <c r="T1680" s="3" t="n">
        <v>-0.7089999914169312</v>
      </c>
      <c r="U1680" s="3" t="n">
        <v>-0.8560000061988831</v>
      </c>
      <c r="V1680" s="3" t="n">
        <v>-0.6779999732971191</v>
      </c>
      <c r="W1680" s="3" t="n">
        <v>-0.5249999761581421</v>
      </c>
      <c r="X1680" s="3" t="n">
        <v>-1.003999948501587</v>
      </c>
      <c r="Y1680" s="3" t="n">
        <v>-0.7839999794960022</v>
      </c>
      <c r="Z1680" s="3" t="n">
        <v>-1.006999969482422</v>
      </c>
      <c r="AA1680" s="3" t="n">
        <v>-1.006999969482422</v>
      </c>
      <c r="AB1680" s="3" t="n">
        <v>-1.003999948501587</v>
      </c>
      <c r="AC1680" s="3" t="n">
        <v>-1.110000014305115</v>
      </c>
      <c r="AD1680" s="3" t="n">
        <v>-0.8560000061988831</v>
      </c>
      <c r="AE1680" s="3" t="n">
        <v>-0.8560000061988831</v>
      </c>
    </row>
    <row r="1681">
      <c r="A1681" s="3" t="inlineStr">
        <is>
          <t>PER.distn.dec.ove.mean.6</t>
        </is>
      </c>
      <c r="B1681" s="3" t="inlineStr">
        <is>
          <t>PER</t>
        </is>
      </c>
      <c r="C1681" s="3" t="n">
        <v>2005</v>
      </c>
      <c r="D1681" s="3" t="inlineStr">
        <is>
          <t>Overall</t>
        </is>
      </c>
      <c r="E1681" s="3" t="inlineStr">
        <is>
          <t>Deciles</t>
        </is>
      </c>
      <c r="F1681" s="3" t="inlineStr">
        <is>
          <t>mean</t>
        </is>
      </c>
      <c r="G1681" s="3" t="n">
        <v>6</v>
      </c>
      <c r="H1681" s="3" t="n">
        <v>-0.7839999794960022</v>
      </c>
      <c r="I1681" s="3" t="n">
        <v>-0.7839999794960022</v>
      </c>
      <c r="J1681" s="3" t="n">
        <v>-0.8560000061988831</v>
      </c>
      <c r="K1681" s="3" t="n">
        <v>-0.8560000061988831</v>
      </c>
      <c r="L1681" s="3" t="n">
        <v>-0.7839999794960022</v>
      </c>
      <c r="M1681" s="3" t="n">
        <v>-0.7839999794960022</v>
      </c>
      <c r="N1681" s="3" t="n">
        <v>-0.7839999794960022</v>
      </c>
      <c r="O1681" s="3" t="n">
        <v>-0.7839999794960022</v>
      </c>
      <c r="P1681" s="3" t="n">
        <v>-0.7839999794960022</v>
      </c>
      <c r="Q1681" s="3" t="n">
        <v>-0.7839999794960022</v>
      </c>
      <c r="R1681" s="3" t="n">
        <v>-0.7710000276565552</v>
      </c>
      <c r="S1681" s="3" t="n">
        <v>-1.006999969482422</v>
      </c>
      <c r="T1681" s="3" t="n">
        <v>-0.7089999914169312</v>
      </c>
      <c r="U1681" s="3" t="n">
        <v>-0.8560000061988831</v>
      </c>
      <c r="V1681" s="3" t="n">
        <v>-0.6779999732971191</v>
      </c>
      <c r="W1681" s="3" t="n">
        <v>-0.5249999761581421</v>
      </c>
      <c r="X1681" s="3" t="n">
        <v>-1.003999948501587</v>
      </c>
      <c r="Y1681" s="3" t="n">
        <v>-0.7839999794960022</v>
      </c>
      <c r="Z1681" s="3" t="n">
        <v>-1.006999969482422</v>
      </c>
      <c r="AA1681" s="3" t="n">
        <v>-1.006999969482422</v>
      </c>
      <c r="AB1681" s="3" t="n">
        <v>-1.003999948501587</v>
      </c>
      <c r="AC1681" s="3" t="n">
        <v>-1.110000014305115</v>
      </c>
      <c r="AD1681" s="3" t="n">
        <v>-0.8560000061988831</v>
      </c>
      <c r="AE1681" s="3" t="n">
        <v>-0.8560000061988831</v>
      </c>
    </row>
    <row r="1682">
      <c r="A1682" s="3" t="inlineStr">
        <is>
          <t>PER.distn.dec.ove.mean.7</t>
        </is>
      </c>
      <c r="B1682" s="3" t="inlineStr">
        <is>
          <t>PER</t>
        </is>
      </c>
      <c r="C1682" s="3" t="n">
        <v>2005</v>
      </c>
      <c r="D1682" s="3" t="inlineStr">
        <is>
          <t>Overall</t>
        </is>
      </c>
      <c r="E1682" s="3" t="inlineStr">
        <is>
          <t>Deciles</t>
        </is>
      </c>
      <c r="F1682" s="3" t="inlineStr">
        <is>
          <t>mean</t>
        </is>
      </c>
      <c r="G1682" s="3" t="n">
        <v>7</v>
      </c>
      <c r="H1682" s="3" t="n">
        <v>-0.7839999794960022</v>
      </c>
      <c r="I1682" s="3" t="n">
        <v>-0.7839999794960022</v>
      </c>
      <c r="J1682" s="3" t="n">
        <v>-0.8560000061988831</v>
      </c>
      <c r="K1682" s="3" t="n">
        <v>-0.8560000061988831</v>
      </c>
      <c r="L1682" s="3" t="n">
        <v>-0.7839999794960022</v>
      </c>
      <c r="M1682" s="3" t="n">
        <v>-0.7839999794960022</v>
      </c>
      <c r="N1682" s="3" t="n">
        <v>-0.7839999794960022</v>
      </c>
      <c r="O1682" s="3" t="n">
        <v>-0.7839999794960022</v>
      </c>
      <c r="P1682" s="3" t="n">
        <v>-0.7839999794960022</v>
      </c>
      <c r="Q1682" s="3" t="n">
        <v>-0.7839999794960022</v>
      </c>
      <c r="R1682" s="3" t="n">
        <v>-0.7710000276565552</v>
      </c>
      <c r="S1682" s="3" t="n">
        <v>-1.006999969482422</v>
      </c>
      <c r="T1682" s="3" t="n">
        <v>-0.7089999914169312</v>
      </c>
      <c r="U1682" s="3" t="n">
        <v>-0.8560000061988831</v>
      </c>
      <c r="V1682" s="3" t="n">
        <v>-0.6779999732971191</v>
      </c>
      <c r="W1682" s="3" t="n">
        <v>-0.5249999761581421</v>
      </c>
      <c r="X1682" s="3" t="n">
        <v>-1.003999948501587</v>
      </c>
      <c r="Y1682" s="3" t="n">
        <v>-0.7839999794960022</v>
      </c>
      <c r="Z1682" s="3" t="n">
        <v>-1.006999969482422</v>
      </c>
      <c r="AA1682" s="3" t="n">
        <v>-1.006999969482422</v>
      </c>
      <c r="AB1682" s="3" t="n">
        <v>-1.003999948501587</v>
      </c>
      <c r="AC1682" s="3" t="n">
        <v>-1.110000014305115</v>
      </c>
      <c r="AD1682" s="3" t="n">
        <v>-0.8560000061988831</v>
      </c>
      <c r="AE1682" s="3" t="n">
        <v>-0.8560000061988831</v>
      </c>
    </row>
    <row r="1683">
      <c r="A1683" s="3" t="inlineStr">
        <is>
          <t>PER.distn.dec.ove.mean.8</t>
        </is>
      </c>
      <c r="B1683" s="3" t="inlineStr">
        <is>
          <t>PER</t>
        </is>
      </c>
      <c r="C1683" s="3" t="n">
        <v>2005</v>
      </c>
      <c r="D1683" s="3" t="inlineStr">
        <is>
          <t>Overall</t>
        </is>
      </c>
      <c r="E1683" s="3" t="inlineStr">
        <is>
          <t>Deciles</t>
        </is>
      </c>
      <c r="F1683" s="3" t="inlineStr">
        <is>
          <t>mean</t>
        </is>
      </c>
      <c r="G1683" s="3" t="n">
        <v>8</v>
      </c>
      <c r="H1683" s="3" t="n">
        <v>-0.7843776941299438</v>
      </c>
      <c r="I1683" s="3" t="n">
        <v>-0.7843776941299438</v>
      </c>
      <c r="J1683" s="3" t="n">
        <v>-0.8583091497421265</v>
      </c>
      <c r="K1683" s="3" t="n">
        <v>-0.8583091497421265</v>
      </c>
      <c r="L1683" s="3" t="n">
        <v>-0.7843776941299438</v>
      </c>
      <c r="M1683" s="3" t="n">
        <v>-0.7843776941299438</v>
      </c>
      <c r="N1683" s="3" t="n">
        <v>-0.7843776941299438</v>
      </c>
      <c r="O1683" s="3" t="n">
        <v>-0.7843776941299438</v>
      </c>
      <c r="P1683" s="3" t="n">
        <v>-0.7843776941299438</v>
      </c>
      <c r="Q1683" s="3" t="n">
        <v>-0.7843776941299438</v>
      </c>
      <c r="R1683" s="3" t="n">
        <v>-0.7712535858154297</v>
      </c>
      <c r="S1683" s="3" t="n">
        <v>-1.016370296478271</v>
      </c>
      <c r="T1683" s="3" t="n">
        <v>-0.7090408802032471</v>
      </c>
      <c r="U1683" s="3" t="n">
        <v>-0.8583091497421265</v>
      </c>
      <c r="V1683" s="3" t="n">
        <v>-0.6787009239196777</v>
      </c>
      <c r="W1683" s="3" t="n">
        <v>-0.5390588641166687</v>
      </c>
      <c r="X1683" s="3" t="n">
        <v>-1.013148427009583</v>
      </c>
      <c r="Y1683" s="3" t="n">
        <v>-0.7843776941299438</v>
      </c>
      <c r="Z1683" s="3" t="n">
        <v>-1.016370296478271</v>
      </c>
      <c r="AA1683" s="3" t="n">
        <v>-1.016370296478271</v>
      </c>
      <c r="AB1683" s="3" t="n">
        <v>-1.013148427009583</v>
      </c>
      <c r="AC1683" s="3" t="n">
        <v>-1.125830054283142</v>
      </c>
      <c r="AD1683" s="3" t="n">
        <v>-0.8583091497421265</v>
      </c>
      <c r="AE1683" s="3" t="n">
        <v>-0.8583091497421265</v>
      </c>
    </row>
    <row r="1684">
      <c r="A1684" s="3" t="inlineStr">
        <is>
          <t>PER.distn.dec.ove.mean.9</t>
        </is>
      </c>
      <c r="B1684" s="3" t="inlineStr">
        <is>
          <t>PER</t>
        </is>
      </c>
      <c r="C1684" s="3" t="n">
        <v>2005</v>
      </c>
      <c r="D1684" s="3" t="inlineStr">
        <is>
          <t>Overall</t>
        </is>
      </c>
      <c r="E1684" s="3" t="inlineStr">
        <is>
          <t>Deciles</t>
        </is>
      </c>
      <c r="F1684" s="3" t="inlineStr">
        <is>
          <t>mean</t>
        </is>
      </c>
      <c r="G1684" s="3" t="n">
        <v>9</v>
      </c>
      <c r="H1684" s="3" t="n">
        <v>-0.7843776941299438</v>
      </c>
      <c r="I1684" s="3" t="n">
        <v>-0.7843776941299438</v>
      </c>
      <c r="J1684" s="3" t="n">
        <v>-0.8583091497421265</v>
      </c>
      <c r="K1684" s="3" t="n">
        <v>-0.8583091497421265</v>
      </c>
      <c r="L1684" s="3" t="n">
        <v>-0.7843776941299438</v>
      </c>
      <c r="M1684" s="3" t="n">
        <v>-0.7843776941299438</v>
      </c>
      <c r="N1684" s="3" t="n">
        <v>-0.7843776941299438</v>
      </c>
      <c r="O1684" s="3" t="n">
        <v>-0.7843776941299438</v>
      </c>
      <c r="P1684" s="3" t="n">
        <v>-0.7843776941299438</v>
      </c>
      <c r="Q1684" s="3" t="n">
        <v>-0.7843776941299438</v>
      </c>
      <c r="R1684" s="3" t="n">
        <v>-0.7712535858154297</v>
      </c>
      <c r="S1684" s="3" t="n">
        <v>-1.016370296478271</v>
      </c>
      <c r="T1684" s="3" t="n">
        <v>-0.7090408802032471</v>
      </c>
      <c r="U1684" s="3" t="n">
        <v>-0.8583091497421265</v>
      </c>
      <c r="V1684" s="3" t="n">
        <v>-0.6787009239196777</v>
      </c>
      <c r="W1684" s="3" t="n">
        <v>-0.5390588641166687</v>
      </c>
      <c r="X1684" s="3" t="n">
        <v>-1.013148427009583</v>
      </c>
      <c r="Y1684" s="3" t="n">
        <v>-0.7843776941299438</v>
      </c>
      <c r="Z1684" s="3" t="n">
        <v>-1.016370296478271</v>
      </c>
      <c r="AA1684" s="3" t="n">
        <v>-1.016370296478271</v>
      </c>
      <c r="AB1684" s="3" t="n">
        <v>-1.013148427009583</v>
      </c>
      <c r="AC1684" s="3" t="n">
        <v>-1.125830054283142</v>
      </c>
      <c r="AD1684" s="3" t="n">
        <v>-0.8583091497421265</v>
      </c>
      <c r="AE1684" s="3" t="n">
        <v>-0.8583091497421265</v>
      </c>
    </row>
    <row r="1685">
      <c r="A1685" s="3" t="inlineStr">
        <is>
          <t>PER.distn.dec.ove.mean.10</t>
        </is>
      </c>
      <c r="B1685" s="3" t="inlineStr">
        <is>
          <t>PER</t>
        </is>
      </c>
      <c r="C1685" s="3" t="n">
        <v>2005</v>
      </c>
      <c r="D1685" s="3" t="inlineStr">
        <is>
          <t>Overall</t>
        </is>
      </c>
      <c r="E1685" s="3" t="inlineStr">
        <is>
          <t>Deciles</t>
        </is>
      </c>
      <c r="F1685" s="3" t="inlineStr">
        <is>
          <t>mean</t>
        </is>
      </c>
      <c r="G1685" s="3" t="n">
        <v>10</v>
      </c>
      <c r="H1685" s="3" t="n">
        <v>-0.7843776941299438</v>
      </c>
      <c r="I1685" s="3" t="n">
        <v>-0.7843776941299438</v>
      </c>
      <c r="J1685" s="3" t="n">
        <v>-0.8583091497421265</v>
      </c>
      <c r="K1685" s="3" t="n">
        <v>-0.8583091497421265</v>
      </c>
      <c r="L1685" s="3" t="n">
        <v>-0.7843776941299438</v>
      </c>
      <c r="M1685" s="3" t="n">
        <v>-0.7843776941299438</v>
      </c>
      <c r="N1685" s="3" t="n">
        <v>-0.7843776941299438</v>
      </c>
      <c r="O1685" s="3" t="n">
        <v>-0.7843776941299438</v>
      </c>
      <c r="P1685" s="3" t="n">
        <v>-0.7843776941299438</v>
      </c>
      <c r="Q1685" s="3" t="n">
        <v>-0.7843776941299438</v>
      </c>
      <c r="R1685" s="3" t="n">
        <v>-0.7712535858154297</v>
      </c>
      <c r="S1685" s="3" t="n">
        <v>-1.016370296478271</v>
      </c>
      <c r="T1685" s="3" t="n">
        <v>-0.7090408802032471</v>
      </c>
      <c r="U1685" s="3" t="n">
        <v>-0.8583091497421265</v>
      </c>
      <c r="V1685" s="3" t="n">
        <v>-0.6787009239196777</v>
      </c>
      <c r="W1685" s="3" t="n">
        <v>-0.5390588641166687</v>
      </c>
      <c r="X1685" s="3" t="n">
        <v>-1.013148427009583</v>
      </c>
      <c r="Y1685" s="3" t="n">
        <v>-0.7843776941299438</v>
      </c>
      <c r="Z1685" s="3" t="n">
        <v>-1.016370296478271</v>
      </c>
      <c r="AA1685" s="3" t="n">
        <v>-1.016370296478271</v>
      </c>
      <c r="AB1685" s="3" t="n">
        <v>-1.013148427009583</v>
      </c>
      <c r="AC1685" s="3" t="n">
        <v>-1.125830054283142</v>
      </c>
      <c r="AD1685" s="3" t="n">
        <v>-0.8583091497421265</v>
      </c>
      <c r="AE1685" s="3" t="n">
        <v>-0.8583091497421265</v>
      </c>
    </row>
    <row r="1686">
      <c r="A1686" s="3" t="inlineStr">
        <is>
          <t>PER.distn.bkt.ove.mean.9999</t>
        </is>
      </c>
      <c r="B1686" s="3" t="inlineStr">
        <is>
          <t>PER</t>
        </is>
      </c>
      <c r="C1686" s="3" t="n">
        <v>2005</v>
      </c>
      <c r="D1686" s="3" t="inlineStr">
        <is>
          <t>Overall</t>
        </is>
      </c>
      <c r="E1686" s="3" t="inlineStr">
        <is>
          <t>Basket</t>
        </is>
      </c>
      <c r="F1686" s="3" t="inlineStr">
        <is>
          <t>mean</t>
        </is>
      </c>
      <c r="G1686" s="3" t="n">
        <v>9999</v>
      </c>
      <c r="H1686" s="3" t="n">
        <v>-0.7859903573989868</v>
      </c>
      <c r="I1686" s="3" t="n">
        <v>-0.7859903573989868</v>
      </c>
      <c r="J1686" s="3" t="n">
        <v>-0.869731605052948</v>
      </c>
      <c r="K1686" s="3" t="n">
        <v>-0.869731605052948</v>
      </c>
      <c r="L1686" s="3" t="n">
        <v>-0.7859903573989868</v>
      </c>
      <c r="M1686" s="3" t="n">
        <v>-0.7859903573989868</v>
      </c>
      <c r="N1686" s="3" t="n">
        <v>-0.7859903573989868</v>
      </c>
      <c r="O1686" s="3" t="n">
        <v>-0.7859903573989868</v>
      </c>
      <c r="P1686" s="3" t="n">
        <v>-0.7859903573989868</v>
      </c>
      <c r="Q1686" s="3" t="n">
        <v>-0.7859903573989868</v>
      </c>
      <c r="R1686" s="3" t="n">
        <v>-0.7721186876296997</v>
      </c>
      <c r="S1686" s="3" t="n">
        <v>-1.151251077651978</v>
      </c>
      <c r="T1686" s="3" t="n">
        <v>-0.7094486355781555</v>
      </c>
      <c r="U1686" s="3" t="n">
        <v>-0.869731605052948</v>
      </c>
      <c r="V1686" s="3" t="n">
        <v>-0.6802998185157776</v>
      </c>
      <c r="W1686" s="3" t="n">
        <v>-0.5588598251342773</v>
      </c>
      <c r="X1686" s="3" t="n">
        <v>-1.132333517074585</v>
      </c>
      <c r="Y1686" s="3" t="n">
        <v>-0.7859903573989868</v>
      </c>
      <c r="Z1686" s="3" t="n">
        <v>-1.151251077651978</v>
      </c>
      <c r="AA1686" s="3" t="n">
        <v>-1.151251077651978</v>
      </c>
      <c r="AB1686" s="3" t="n">
        <v>-1.132333517074585</v>
      </c>
      <c r="AC1686" s="3" t="n">
        <v>-1.471300601959229</v>
      </c>
      <c r="AD1686" s="3" t="n">
        <v>-0.869731605052948</v>
      </c>
      <c r="AE1686" s="3" t="n">
        <v>-0.869731605052948</v>
      </c>
    </row>
    <row r="1687">
      <c r="A1687" s="3" t="inlineStr">
        <is>
          <t>PHL.distn.dec.ove.mean.1</t>
        </is>
      </c>
      <c r="B1687" s="3" t="inlineStr">
        <is>
          <t>PHL</t>
        </is>
      </c>
      <c r="C1687" s="3" t="n">
        <v>2005</v>
      </c>
      <c r="D1687" s="3" t="inlineStr">
        <is>
          <t>Overall</t>
        </is>
      </c>
      <c r="E1687" s="3" t="inlineStr">
        <is>
          <t>Deciles</t>
        </is>
      </c>
      <c r="F1687" s="3" t="inlineStr">
        <is>
          <t>mean</t>
        </is>
      </c>
      <c r="G1687" s="3" t="n">
        <v>1</v>
      </c>
      <c r="H1687" s="3" t="n">
        <v>-0.7922728657722473</v>
      </c>
      <c r="I1687" s="3" t="n">
        <v>-0.7922728657722473</v>
      </c>
      <c r="J1687" s="3" t="n">
        <v>-0.9141737818717957</v>
      </c>
      <c r="K1687" s="3" t="n">
        <v>-0.9141737818717957</v>
      </c>
      <c r="L1687" s="3" t="n">
        <v>-0.7922728657722473</v>
      </c>
      <c r="M1687" s="3" t="n">
        <v>-0.7922728657722473</v>
      </c>
      <c r="N1687" s="3" t="n">
        <v>-0.7922728657722473</v>
      </c>
      <c r="O1687" s="3" t="n">
        <v>-0.7922728657722473</v>
      </c>
      <c r="P1687" s="3" t="n">
        <v>-0.7922728657722473</v>
      </c>
      <c r="Q1687" s="3" t="n">
        <v>-0.7922728657722473</v>
      </c>
      <c r="R1687" s="3" t="n">
        <v>-0.775479793548584</v>
      </c>
      <c r="S1687" s="3" t="n">
        <v>-1.591517210006714</v>
      </c>
      <c r="T1687" s="3" t="n">
        <v>-0.7104546427726746</v>
      </c>
      <c r="U1687" s="3" t="n">
        <v>-0.9141737818717957</v>
      </c>
      <c r="V1687" s="3" t="n">
        <v>-0.6869857907295227</v>
      </c>
      <c r="W1687" s="3" t="n">
        <v>-0.6594533920288086</v>
      </c>
      <c r="X1687" s="3" t="n">
        <v>-1.527485370635986</v>
      </c>
      <c r="Y1687" s="3" t="n">
        <v>-0.7922728657722473</v>
      </c>
      <c r="Z1687" s="3" t="n">
        <v>-1.591517210006714</v>
      </c>
      <c r="AA1687" s="3" t="n">
        <v>-1.591517210006714</v>
      </c>
      <c r="AB1687" s="3" t="n">
        <v>-1.527485370635986</v>
      </c>
      <c r="AC1687" s="3" t="n">
        <v>-2.63189172744751</v>
      </c>
      <c r="AD1687" s="3" t="n">
        <v>-0.9141737818717957</v>
      </c>
      <c r="AE1687" s="3" t="n">
        <v>-0.9141737818717957</v>
      </c>
    </row>
    <row r="1688">
      <c r="A1688" s="3" t="inlineStr">
        <is>
          <t>PHL.distn.dec.ove.mean.2</t>
        </is>
      </c>
      <c r="B1688" s="3" t="inlineStr">
        <is>
          <t>PHL</t>
        </is>
      </c>
      <c r="C1688" s="3" t="n">
        <v>2005</v>
      </c>
      <c r="D1688" s="3" t="inlineStr">
        <is>
          <t>Overall</t>
        </is>
      </c>
      <c r="E1688" s="3" t="inlineStr">
        <is>
          <t>Deciles</t>
        </is>
      </c>
      <c r="F1688" s="3" t="inlineStr">
        <is>
          <t>mean</t>
        </is>
      </c>
      <c r="G1688" s="3" t="n">
        <v>2</v>
      </c>
      <c r="H1688" s="3" t="n">
        <v>-0.7922728657722473</v>
      </c>
      <c r="I1688" s="3" t="n">
        <v>-0.7922728657722473</v>
      </c>
      <c r="J1688" s="3" t="n">
        <v>-0.9141737818717957</v>
      </c>
      <c r="K1688" s="3" t="n">
        <v>-0.9141737818717957</v>
      </c>
      <c r="L1688" s="3" t="n">
        <v>-0.7922728657722473</v>
      </c>
      <c r="M1688" s="3" t="n">
        <v>-0.7922728657722473</v>
      </c>
      <c r="N1688" s="3" t="n">
        <v>-0.7922728657722473</v>
      </c>
      <c r="O1688" s="3" t="n">
        <v>-0.7922728657722473</v>
      </c>
      <c r="P1688" s="3" t="n">
        <v>-0.7922728657722473</v>
      </c>
      <c r="Q1688" s="3" t="n">
        <v>-0.7922728657722473</v>
      </c>
      <c r="R1688" s="3" t="n">
        <v>-0.775479793548584</v>
      </c>
      <c r="S1688" s="3" t="n">
        <v>-1.591517210006714</v>
      </c>
      <c r="T1688" s="3" t="n">
        <v>-0.7104546427726746</v>
      </c>
      <c r="U1688" s="3" t="n">
        <v>-0.9141737818717957</v>
      </c>
      <c r="V1688" s="3" t="n">
        <v>-0.6869857907295227</v>
      </c>
      <c r="W1688" s="3" t="n">
        <v>-0.6594533920288086</v>
      </c>
      <c r="X1688" s="3" t="n">
        <v>-1.527485370635986</v>
      </c>
      <c r="Y1688" s="3" t="n">
        <v>-0.7922728657722473</v>
      </c>
      <c r="Z1688" s="3" t="n">
        <v>-1.591517210006714</v>
      </c>
      <c r="AA1688" s="3" t="n">
        <v>-1.591517210006714</v>
      </c>
      <c r="AB1688" s="3" t="n">
        <v>-1.527485370635986</v>
      </c>
      <c r="AC1688" s="3" t="n">
        <v>-2.63189172744751</v>
      </c>
      <c r="AD1688" s="3" t="n">
        <v>-0.9141737818717957</v>
      </c>
      <c r="AE1688" s="3" t="n">
        <v>-0.9141737818717957</v>
      </c>
    </row>
    <row r="1689">
      <c r="A1689" s="3" t="inlineStr">
        <is>
          <t>PHL.distn.dec.ove.mean.3</t>
        </is>
      </c>
      <c r="B1689" s="3" t="inlineStr">
        <is>
          <t>PHL</t>
        </is>
      </c>
      <c r="C1689" s="3" t="n">
        <v>2005</v>
      </c>
      <c r="D1689" s="3" t="inlineStr">
        <is>
          <t>Overall</t>
        </is>
      </c>
      <c r="E1689" s="3" t="inlineStr">
        <is>
          <t>Deciles</t>
        </is>
      </c>
      <c r="F1689" s="3" t="inlineStr">
        <is>
          <t>mean</t>
        </is>
      </c>
      <c r="G1689" s="3" t="n">
        <v>3</v>
      </c>
      <c r="H1689" s="3" t="n">
        <v>-0.7922728657722473</v>
      </c>
      <c r="I1689" s="3" t="n">
        <v>-0.7922728657722473</v>
      </c>
      <c r="J1689" s="3" t="n">
        <v>-0.9141737818717957</v>
      </c>
      <c r="K1689" s="3" t="n">
        <v>-0.9141737818717957</v>
      </c>
      <c r="L1689" s="3" t="n">
        <v>-0.7922728657722473</v>
      </c>
      <c r="M1689" s="3" t="n">
        <v>-0.7922728657722473</v>
      </c>
      <c r="N1689" s="3" t="n">
        <v>-0.7922728657722473</v>
      </c>
      <c r="O1689" s="3" t="n">
        <v>-0.7922728657722473</v>
      </c>
      <c r="P1689" s="3" t="n">
        <v>-0.7922728657722473</v>
      </c>
      <c r="Q1689" s="3" t="n">
        <v>-0.7922728657722473</v>
      </c>
      <c r="R1689" s="3" t="n">
        <v>-0.775479793548584</v>
      </c>
      <c r="S1689" s="3" t="n">
        <v>-1.591517210006714</v>
      </c>
      <c r="T1689" s="3" t="n">
        <v>-0.7104546427726746</v>
      </c>
      <c r="U1689" s="3" t="n">
        <v>-0.9141737818717957</v>
      </c>
      <c r="V1689" s="3" t="n">
        <v>-0.6869857907295227</v>
      </c>
      <c r="W1689" s="3" t="n">
        <v>-0.6594533920288086</v>
      </c>
      <c r="X1689" s="3" t="n">
        <v>-1.527485370635986</v>
      </c>
      <c r="Y1689" s="3" t="n">
        <v>-0.7922728657722473</v>
      </c>
      <c r="Z1689" s="3" t="n">
        <v>-1.591517210006714</v>
      </c>
      <c r="AA1689" s="3" t="n">
        <v>-1.591517210006714</v>
      </c>
      <c r="AB1689" s="3" t="n">
        <v>-1.527485370635986</v>
      </c>
      <c r="AC1689" s="3" t="n">
        <v>-2.63189172744751</v>
      </c>
      <c r="AD1689" s="3" t="n">
        <v>-0.9141737818717957</v>
      </c>
      <c r="AE1689" s="3" t="n">
        <v>-0.9141737818717957</v>
      </c>
    </row>
    <row r="1690">
      <c r="A1690" s="3" t="inlineStr">
        <is>
          <t>PHL.distn.dec.ove.mean.4</t>
        </is>
      </c>
      <c r="B1690" s="3" t="inlineStr">
        <is>
          <t>PHL</t>
        </is>
      </c>
      <c r="C1690" s="3" t="n">
        <v>2005</v>
      </c>
      <c r="D1690" s="3" t="inlineStr">
        <is>
          <t>Overall</t>
        </is>
      </c>
      <c r="E1690" s="3" t="inlineStr">
        <is>
          <t>Deciles</t>
        </is>
      </c>
      <c r="F1690" s="3" t="inlineStr">
        <is>
          <t>mean</t>
        </is>
      </c>
      <c r="G1690" s="3" t="n">
        <v>4</v>
      </c>
      <c r="H1690" s="3" t="n">
        <v>-0.7860000133514404</v>
      </c>
      <c r="I1690" s="3" t="n">
        <v>-0.7860000133514404</v>
      </c>
      <c r="J1690" s="3" t="n">
        <v>-0.8700000047683716</v>
      </c>
      <c r="K1690" s="3" t="n">
        <v>-0.8700000047683716</v>
      </c>
      <c r="L1690" s="3" t="n">
        <v>-0.7860000133514404</v>
      </c>
      <c r="M1690" s="3" t="n">
        <v>-0.7860000133514404</v>
      </c>
      <c r="N1690" s="3" t="n">
        <v>-0.7860000133514404</v>
      </c>
      <c r="O1690" s="3" t="n">
        <v>-0.7860000133514404</v>
      </c>
      <c r="P1690" s="3" t="n">
        <v>-0.7860000133514404</v>
      </c>
      <c r="Q1690" s="3" t="n">
        <v>-0.7860000133514404</v>
      </c>
      <c r="R1690" s="3" t="n">
        <v>-0.7720000147819519</v>
      </c>
      <c r="S1690" s="3" t="n">
        <v>-1.083999991416931</v>
      </c>
      <c r="T1690" s="3" t="n">
        <v>-0.7089999914169312</v>
      </c>
      <c r="U1690" s="3" t="n">
        <v>-0.8700000047683716</v>
      </c>
      <c r="V1690" s="3" t="n">
        <v>-0.6800000071525574</v>
      </c>
      <c r="W1690" s="3" t="n">
        <v>-0.5550000071525574</v>
      </c>
      <c r="X1690" s="3" t="n">
        <v>-1.077999949455261</v>
      </c>
      <c r="Y1690" s="3" t="n">
        <v>-0.7860000133514404</v>
      </c>
      <c r="Z1690" s="3" t="n">
        <v>-1.083999991416931</v>
      </c>
      <c r="AA1690" s="3" t="n">
        <v>-1.083999991416931</v>
      </c>
      <c r="AB1690" s="3" t="n">
        <v>-1.077999949455261</v>
      </c>
      <c r="AC1690" s="3" t="n">
        <v>-1.271000027656555</v>
      </c>
      <c r="AD1690" s="3" t="n">
        <v>-0.8700000047683716</v>
      </c>
      <c r="AE1690" s="3" t="n">
        <v>-0.8700000047683716</v>
      </c>
    </row>
    <row r="1691">
      <c r="A1691" s="3" t="inlineStr">
        <is>
          <t>PHL.distn.dec.ove.mean.5</t>
        </is>
      </c>
      <c r="B1691" s="3" t="inlineStr">
        <is>
          <t>PHL</t>
        </is>
      </c>
      <c r="C1691" s="3" t="n">
        <v>2005</v>
      </c>
      <c r="D1691" s="3" t="inlineStr">
        <is>
          <t>Overall</t>
        </is>
      </c>
      <c r="E1691" s="3" t="inlineStr">
        <is>
          <t>Deciles</t>
        </is>
      </c>
      <c r="F1691" s="3" t="inlineStr">
        <is>
          <t>mean</t>
        </is>
      </c>
      <c r="G1691" s="3" t="n">
        <v>5</v>
      </c>
      <c r="H1691" s="3" t="n">
        <v>-0.7860000133514404</v>
      </c>
      <c r="I1691" s="3" t="n">
        <v>-0.7860000133514404</v>
      </c>
      <c r="J1691" s="3" t="n">
        <v>-0.8700000047683716</v>
      </c>
      <c r="K1691" s="3" t="n">
        <v>-0.8700000047683716</v>
      </c>
      <c r="L1691" s="3" t="n">
        <v>-0.7860000133514404</v>
      </c>
      <c r="M1691" s="3" t="n">
        <v>-0.7860000133514404</v>
      </c>
      <c r="N1691" s="3" t="n">
        <v>-0.7860000133514404</v>
      </c>
      <c r="O1691" s="3" t="n">
        <v>-0.7860000133514404</v>
      </c>
      <c r="P1691" s="3" t="n">
        <v>-0.7860000133514404</v>
      </c>
      <c r="Q1691" s="3" t="n">
        <v>-0.7860000133514404</v>
      </c>
      <c r="R1691" s="3" t="n">
        <v>-0.7720000147819519</v>
      </c>
      <c r="S1691" s="3" t="n">
        <v>-1.083999991416931</v>
      </c>
      <c r="T1691" s="3" t="n">
        <v>-0.7089999914169312</v>
      </c>
      <c r="U1691" s="3" t="n">
        <v>-0.8700000047683716</v>
      </c>
      <c r="V1691" s="3" t="n">
        <v>-0.6800000071525574</v>
      </c>
      <c r="W1691" s="3" t="n">
        <v>-0.5550000071525574</v>
      </c>
      <c r="X1691" s="3" t="n">
        <v>-1.077999949455261</v>
      </c>
      <c r="Y1691" s="3" t="n">
        <v>-0.7860000133514404</v>
      </c>
      <c r="Z1691" s="3" t="n">
        <v>-1.083999991416931</v>
      </c>
      <c r="AA1691" s="3" t="n">
        <v>-1.083999991416931</v>
      </c>
      <c r="AB1691" s="3" t="n">
        <v>-1.077999949455261</v>
      </c>
      <c r="AC1691" s="3" t="n">
        <v>-1.271000027656555</v>
      </c>
      <c r="AD1691" s="3" t="n">
        <v>-0.8700000047683716</v>
      </c>
      <c r="AE1691" s="3" t="n">
        <v>-0.8700000047683716</v>
      </c>
    </row>
    <row r="1692">
      <c r="A1692" s="3" t="inlineStr">
        <is>
          <t>PHL.distn.dec.ove.mean.6</t>
        </is>
      </c>
      <c r="B1692" s="3" t="inlineStr">
        <is>
          <t>PHL</t>
        </is>
      </c>
      <c r="C1692" s="3" t="n">
        <v>2005</v>
      </c>
      <c r="D1692" s="3" t="inlineStr">
        <is>
          <t>Overall</t>
        </is>
      </c>
      <c r="E1692" s="3" t="inlineStr">
        <is>
          <t>Deciles</t>
        </is>
      </c>
      <c r="F1692" s="3" t="inlineStr">
        <is>
          <t>mean</t>
        </is>
      </c>
      <c r="G1692" s="3" t="n">
        <v>6</v>
      </c>
      <c r="H1692" s="3" t="n">
        <v>-0.7860000133514404</v>
      </c>
      <c r="I1692" s="3" t="n">
        <v>-0.7860000133514404</v>
      </c>
      <c r="J1692" s="3" t="n">
        <v>-0.8700000047683716</v>
      </c>
      <c r="K1692" s="3" t="n">
        <v>-0.8700000047683716</v>
      </c>
      <c r="L1692" s="3" t="n">
        <v>-0.7860000133514404</v>
      </c>
      <c r="M1692" s="3" t="n">
        <v>-0.7860000133514404</v>
      </c>
      <c r="N1692" s="3" t="n">
        <v>-0.7860000133514404</v>
      </c>
      <c r="O1692" s="3" t="n">
        <v>-0.7860000133514404</v>
      </c>
      <c r="P1692" s="3" t="n">
        <v>-0.7860000133514404</v>
      </c>
      <c r="Q1692" s="3" t="n">
        <v>-0.7860000133514404</v>
      </c>
      <c r="R1692" s="3" t="n">
        <v>-0.7720000147819519</v>
      </c>
      <c r="S1692" s="3" t="n">
        <v>-1.083999991416931</v>
      </c>
      <c r="T1692" s="3" t="n">
        <v>-0.7089999914169312</v>
      </c>
      <c r="U1692" s="3" t="n">
        <v>-0.8700000047683716</v>
      </c>
      <c r="V1692" s="3" t="n">
        <v>-0.6800000071525574</v>
      </c>
      <c r="W1692" s="3" t="n">
        <v>-0.5550000071525574</v>
      </c>
      <c r="X1692" s="3" t="n">
        <v>-1.077999949455261</v>
      </c>
      <c r="Y1692" s="3" t="n">
        <v>-0.7860000133514404</v>
      </c>
      <c r="Z1692" s="3" t="n">
        <v>-1.083999991416931</v>
      </c>
      <c r="AA1692" s="3" t="n">
        <v>-1.083999991416931</v>
      </c>
      <c r="AB1692" s="3" t="n">
        <v>-1.077999949455261</v>
      </c>
      <c r="AC1692" s="3" t="n">
        <v>-1.271000027656555</v>
      </c>
      <c r="AD1692" s="3" t="n">
        <v>-0.8700000047683716</v>
      </c>
      <c r="AE1692" s="3" t="n">
        <v>-0.8700000047683716</v>
      </c>
    </row>
    <row r="1693">
      <c r="A1693" s="3" t="inlineStr">
        <is>
          <t>PHL.distn.dec.ove.mean.7</t>
        </is>
      </c>
      <c r="B1693" s="3" t="inlineStr">
        <is>
          <t>PHL</t>
        </is>
      </c>
      <c r="C1693" s="3" t="n">
        <v>2005</v>
      </c>
      <c r="D1693" s="3" t="inlineStr">
        <is>
          <t>Overall</t>
        </is>
      </c>
      <c r="E1693" s="3" t="inlineStr">
        <is>
          <t>Deciles</t>
        </is>
      </c>
      <c r="F1693" s="3" t="inlineStr">
        <is>
          <t>mean</t>
        </is>
      </c>
      <c r="G1693" s="3" t="n">
        <v>7</v>
      </c>
      <c r="H1693" s="3" t="n">
        <v>-0.7860000133514404</v>
      </c>
      <c r="I1693" s="3" t="n">
        <v>-0.7860000133514404</v>
      </c>
      <c r="J1693" s="3" t="n">
        <v>-0.8700000047683716</v>
      </c>
      <c r="K1693" s="3" t="n">
        <v>-0.8700000047683716</v>
      </c>
      <c r="L1693" s="3" t="n">
        <v>-0.7860000133514404</v>
      </c>
      <c r="M1693" s="3" t="n">
        <v>-0.7860000133514404</v>
      </c>
      <c r="N1693" s="3" t="n">
        <v>-0.7860000133514404</v>
      </c>
      <c r="O1693" s="3" t="n">
        <v>-0.7860000133514404</v>
      </c>
      <c r="P1693" s="3" t="n">
        <v>-0.7860000133514404</v>
      </c>
      <c r="Q1693" s="3" t="n">
        <v>-0.7860000133514404</v>
      </c>
      <c r="R1693" s="3" t="n">
        <v>-0.7720000147819519</v>
      </c>
      <c r="S1693" s="3" t="n">
        <v>-1.083999991416931</v>
      </c>
      <c r="T1693" s="3" t="n">
        <v>-0.7089999914169312</v>
      </c>
      <c r="U1693" s="3" t="n">
        <v>-0.8700000047683716</v>
      </c>
      <c r="V1693" s="3" t="n">
        <v>-0.6800000071525574</v>
      </c>
      <c r="W1693" s="3" t="n">
        <v>-0.5550000071525574</v>
      </c>
      <c r="X1693" s="3" t="n">
        <v>-1.077999949455261</v>
      </c>
      <c r="Y1693" s="3" t="n">
        <v>-0.7860000133514404</v>
      </c>
      <c r="Z1693" s="3" t="n">
        <v>-1.083999991416931</v>
      </c>
      <c r="AA1693" s="3" t="n">
        <v>-1.083999991416931</v>
      </c>
      <c r="AB1693" s="3" t="n">
        <v>-1.077999949455261</v>
      </c>
      <c r="AC1693" s="3" t="n">
        <v>-1.271000027656555</v>
      </c>
      <c r="AD1693" s="3" t="n">
        <v>-0.8700000047683716</v>
      </c>
      <c r="AE1693" s="3" t="n">
        <v>-0.8700000047683716</v>
      </c>
    </row>
    <row r="1694">
      <c r="A1694" s="3" t="inlineStr">
        <is>
          <t>PHL.distn.dec.ove.mean.8</t>
        </is>
      </c>
      <c r="B1694" s="3" t="inlineStr">
        <is>
          <t>PHL</t>
        </is>
      </c>
      <c r="C1694" s="3" t="n">
        <v>2005</v>
      </c>
      <c r="D1694" s="3" t="inlineStr">
        <is>
          <t>Overall</t>
        </is>
      </c>
      <c r="E1694" s="3" t="inlineStr">
        <is>
          <t>Deciles</t>
        </is>
      </c>
      <c r="F1694" s="3" t="inlineStr">
        <is>
          <t>mean</t>
        </is>
      </c>
      <c r="G1694" s="3" t="n">
        <v>8</v>
      </c>
      <c r="H1694" s="3" t="n">
        <v>-0.7863786816596985</v>
      </c>
      <c r="I1694" s="3" t="n">
        <v>-0.7863786816596985</v>
      </c>
      <c r="J1694" s="3" t="n">
        <v>-0.8723468780517578</v>
      </c>
      <c r="K1694" s="3" t="n">
        <v>-0.8723468780517578</v>
      </c>
      <c r="L1694" s="3" t="n">
        <v>-0.7863786816596985</v>
      </c>
      <c r="M1694" s="3" t="n">
        <v>-0.7863786816596985</v>
      </c>
      <c r="N1694" s="3" t="n">
        <v>-0.7863786816596985</v>
      </c>
      <c r="O1694" s="3" t="n">
        <v>-0.7863786816596985</v>
      </c>
      <c r="P1694" s="3" t="n">
        <v>-0.7863786816596985</v>
      </c>
      <c r="Q1694" s="3" t="n">
        <v>-0.7863786816596985</v>
      </c>
      <c r="R1694" s="3" t="n">
        <v>-0.7722538709640503</v>
      </c>
      <c r="S1694" s="3" t="n">
        <v>-1.094086766242981</v>
      </c>
      <c r="T1694" s="3" t="n">
        <v>-0.7090408802032471</v>
      </c>
      <c r="U1694" s="3" t="n">
        <v>-0.8723468780517578</v>
      </c>
      <c r="V1694" s="3" t="n">
        <v>-0.6807029843330383</v>
      </c>
      <c r="W1694" s="3" t="n">
        <v>-0.5698622465133667</v>
      </c>
      <c r="X1694" s="3" t="n">
        <v>-1.087822675704956</v>
      </c>
      <c r="Y1694" s="3" t="n">
        <v>-0.7863786816596985</v>
      </c>
      <c r="Z1694" s="3" t="n">
        <v>-1.094086766242981</v>
      </c>
      <c r="AA1694" s="3" t="n">
        <v>-1.094086766242981</v>
      </c>
      <c r="AB1694" s="3" t="n">
        <v>-1.087822675704956</v>
      </c>
      <c r="AC1694" s="3" t="n">
        <v>-1.28912615776062</v>
      </c>
      <c r="AD1694" s="3" t="n">
        <v>-0.8723468780517578</v>
      </c>
      <c r="AE1694" s="3" t="n">
        <v>-0.8723468780517578</v>
      </c>
    </row>
    <row r="1695">
      <c r="A1695" s="3" t="inlineStr">
        <is>
          <t>PHL.distn.dec.ove.mean.9</t>
        </is>
      </c>
      <c r="B1695" s="3" t="inlineStr">
        <is>
          <t>PHL</t>
        </is>
      </c>
      <c r="C1695" s="3" t="n">
        <v>2005</v>
      </c>
      <c r="D1695" s="3" t="inlineStr">
        <is>
          <t>Overall</t>
        </is>
      </c>
      <c r="E1695" s="3" t="inlineStr">
        <is>
          <t>Deciles</t>
        </is>
      </c>
      <c r="F1695" s="3" t="inlineStr">
        <is>
          <t>mean</t>
        </is>
      </c>
      <c r="G1695" s="3" t="n">
        <v>9</v>
      </c>
      <c r="H1695" s="3" t="n">
        <v>-0.7863786816596985</v>
      </c>
      <c r="I1695" s="3" t="n">
        <v>-0.7863786816596985</v>
      </c>
      <c r="J1695" s="3" t="n">
        <v>-0.8723468780517578</v>
      </c>
      <c r="K1695" s="3" t="n">
        <v>-0.8723468780517578</v>
      </c>
      <c r="L1695" s="3" t="n">
        <v>-0.7863786816596985</v>
      </c>
      <c r="M1695" s="3" t="n">
        <v>-0.7863786816596985</v>
      </c>
      <c r="N1695" s="3" t="n">
        <v>-0.7863786816596985</v>
      </c>
      <c r="O1695" s="3" t="n">
        <v>-0.7863786816596985</v>
      </c>
      <c r="P1695" s="3" t="n">
        <v>-0.7863786816596985</v>
      </c>
      <c r="Q1695" s="3" t="n">
        <v>-0.7863786816596985</v>
      </c>
      <c r="R1695" s="3" t="n">
        <v>-0.7722538709640503</v>
      </c>
      <c r="S1695" s="3" t="n">
        <v>-1.094086766242981</v>
      </c>
      <c r="T1695" s="3" t="n">
        <v>-0.7090408802032471</v>
      </c>
      <c r="U1695" s="3" t="n">
        <v>-0.8723468780517578</v>
      </c>
      <c r="V1695" s="3" t="n">
        <v>-0.6807029843330383</v>
      </c>
      <c r="W1695" s="3" t="n">
        <v>-0.5698622465133667</v>
      </c>
      <c r="X1695" s="3" t="n">
        <v>-1.087822675704956</v>
      </c>
      <c r="Y1695" s="3" t="n">
        <v>-0.7863786816596985</v>
      </c>
      <c r="Z1695" s="3" t="n">
        <v>-1.094086766242981</v>
      </c>
      <c r="AA1695" s="3" t="n">
        <v>-1.094086766242981</v>
      </c>
      <c r="AB1695" s="3" t="n">
        <v>-1.087822675704956</v>
      </c>
      <c r="AC1695" s="3" t="n">
        <v>-1.28912615776062</v>
      </c>
      <c r="AD1695" s="3" t="n">
        <v>-0.8723468780517578</v>
      </c>
      <c r="AE1695" s="3" t="n">
        <v>-0.8723468780517578</v>
      </c>
    </row>
    <row r="1696">
      <c r="A1696" s="3" t="inlineStr">
        <is>
          <t>PHL.distn.dec.ove.mean.10</t>
        </is>
      </c>
      <c r="B1696" s="3" t="inlineStr">
        <is>
          <t>PHL</t>
        </is>
      </c>
      <c r="C1696" s="3" t="n">
        <v>2005</v>
      </c>
      <c r="D1696" s="3" t="inlineStr">
        <is>
          <t>Overall</t>
        </is>
      </c>
      <c r="E1696" s="3" t="inlineStr">
        <is>
          <t>Deciles</t>
        </is>
      </c>
      <c r="F1696" s="3" t="inlineStr">
        <is>
          <t>mean</t>
        </is>
      </c>
      <c r="G1696" s="3" t="n">
        <v>10</v>
      </c>
      <c r="H1696" s="3" t="n">
        <v>-0.7863786816596985</v>
      </c>
      <c r="I1696" s="3" t="n">
        <v>-0.7863786816596985</v>
      </c>
      <c r="J1696" s="3" t="n">
        <v>-0.8723468780517578</v>
      </c>
      <c r="K1696" s="3" t="n">
        <v>-0.8723468780517578</v>
      </c>
      <c r="L1696" s="3" t="n">
        <v>-0.7863786816596985</v>
      </c>
      <c r="M1696" s="3" t="n">
        <v>-0.7863786816596985</v>
      </c>
      <c r="N1696" s="3" t="n">
        <v>-0.7863786816596985</v>
      </c>
      <c r="O1696" s="3" t="n">
        <v>-0.7863786816596985</v>
      </c>
      <c r="P1696" s="3" t="n">
        <v>-0.7863786816596985</v>
      </c>
      <c r="Q1696" s="3" t="n">
        <v>-0.7863786816596985</v>
      </c>
      <c r="R1696" s="3" t="n">
        <v>-0.7722538709640503</v>
      </c>
      <c r="S1696" s="3" t="n">
        <v>-1.094086766242981</v>
      </c>
      <c r="T1696" s="3" t="n">
        <v>-0.7090408802032471</v>
      </c>
      <c r="U1696" s="3" t="n">
        <v>-0.8723468780517578</v>
      </c>
      <c r="V1696" s="3" t="n">
        <v>-0.6807029843330383</v>
      </c>
      <c r="W1696" s="3" t="n">
        <v>-0.5698622465133667</v>
      </c>
      <c r="X1696" s="3" t="n">
        <v>-1.087822675704956</v>
      </c>
      <c r="Y1696" s="3" t="n">
        <v>-0.7863786816596985</v>
      </c>
      <c r="Z1696" s="3" t="n">
        <v>-1.094086766242981</v>
      </c>
      <c r="AA1696" s="3" t="n">
        <v>-1.094086766242981</v>
      </c>
      <c r="AB1696" s="3" t="n">
        <v>-1.087822675704956</v>
      </c>
      <c r="AC1696" s="3" t="n">
        <v>-1.28912615776062</v>
      </c>
      <c r="AD1696" s="3" t="n">
        <v>-0.8723468780517578</v>
      </c>
      <c r="AE1696" s="3" t="n">
        <v>-0.8723468780517578</v>
      </c>
    </row>
    <row r="1697">
      <c r="A1697" s="3" t="inlineStr">
        <is>
          <t>PHL.distn.bkt.ove.mean.9999</t>
        </is>
      </c>
      <c r="B1697" s="3" t="inlineStr">
        <is>
          <t>PHL</t>
        </is>
      </c>
      <c r="C1697" s="3" t="n">
        <v>2005</v>
      </c>
      <c r="D1697" s="3" t="inlineStr">
        <is>
          <t>Overall</t>
        </is>
      </c>
      <c r="E1697" s="3" t="inlineStr">
        <is>
          <t>Basket</t>
        </is>
      </c>
      <c r="F1697" s="3" t="inlineStr">
        <is>
          <t>mean</t>
        </is>
      </c>
      <c r="G1697" s="3" t="n">
        <v>9999</v>
      </c>
      <c r="H1697" s="3" t="n">
        <v>-0.787995457649231</v>
      </c>
      <c r="I1697" s="3" t="n">
        <v>-0.787995457649231</v>
      </c>
      <c r="J1697" s="3" t="n">
        <v>-0.8839561939239502</v>
      </c>
      <c r="K1697" s="3" t="n">
        <v>-0.8839561939239502</v>
      </c>
      <c r="L1697" s="3" t="n">
        <v>-0.787995457649231</v>
      </c>
      <c r="M1697" s="3" t="n">
        <v>-0.787995457649231</v>
      </c>
      <c r="N1697" s="3" t="n">
        <v>-0.787995457649231</v>
      </c>
      <c r="O1697" s="3" t="n">
        <v>-0.787995457649231</v>
      </c>
      <c r="P1697" s="3" t="n">
        <v>-0.787995457649231</v>
      </c>
      <c r="Q1697" s="3" t="n">
        <v>-0.787995457649231</v>
      </c>
      <c r="R1697" s="3" t="n">
        <v>-0.773120105266571</v>
      </c>
      <c r="S1697" s="3" t="n">
        <v>-1.239281177520752</v>
      </c>
      <c r="T1697" s="3" t="n">
        <v>-0.7094486355781555</v>
      </c>
      <c r="U1697" s="3" t="n">
        <v>-0.8839561939239502</v>
      </c>
      <c r="V1697" s="3" t="n">
        <v>-0.6823066473007202</v>
      </c>
      <c r="W1697" s="3" t="n">
        <v>-0.5907946825027466</v>
      </c>
      <c r="X1697" s="3" t="n">
        <v>-1.215792417526245</v>
      </c>
      <c r="Y1697" s="3" t="n">
        <v>-0.787995457649231</v>
      </c>
      <c r="Z1697" s="3" t="n">
        <v>-1.239281177520752</v>
      </c>
      <c r="AA1697" s="3" t="n">
        <v>-1.239281177520752</v>
      </c>
      <c r="AB1697" s="3" t="n">
        <v>-1.215792417526245</v>
      </c>
      <c r="AC1697" s="3" t="n">
        <v>-1.684705376625061</v>
      </c>
      <c r="AD1697" s="3" t="n">
        <v>-0.8839561939239502</v>
      </c>
      <c r="AE1697" s="3" t="n">
        <v>-0.8839561939239502</v>
      </c>
    </row>
    <row r="1698">
      <c r="A1698" s="3" t="inlineStr">
        <is>
          <t>PLW.distn.dec.ove.mean.1</t>
        </is>
      </c>
      <c r="B1698" s="3" t="inlineStr">
        <is>
          <t>PLW</t>
        </is>
      </c>
      <c r="C1698" s="3" t="n">
        <v>2005</v>
      </c>
      <c r="D1698" s="3" t="inlineStr">
        <is>
          <t>Overall</t>
        </is>
      </c>
      <c r="E1698" s="3" t="inlineStr">
        <is>
          <t>Deciles</t>
        </is>
      </c>
      <c r="F1698" s="3" t="inlineStr">
        <is>
          <t>mean</t>
        </is>
      </c>
      <c r="G1698" s="3" t="n">
        <v>1</v>
      </c>
      <c r="H1698" s="3" t="n">
        <v>-0.7878549098968506</v>
      </c>
      <c r="I1698" s="3" t="n">
        <v>-0.7878549098968506</v>
      </c>
      <c r="J1698" s="3" t="n">
        <v>-0.8883962808771336</v>
      </c>
      <c r="K1698" s="3" t="n">
        <v>-0.8883962808771336</v>
      </c>
      <c r="L1698" s="3" t="n">
        <v>-0.7878549098968506</v>
      </c>
      <c r="M1698" s="3" t="n">
        <v>-0.7878549098968506</v>
      </c>
      <c r="N1698" s="3" t="n">
        <v>-0.7878549098968506</v>
      </c>
      <c r="O1698" s="3" t="n">
        <v>-0.7878549098968506</v>
      </c>
      <c r="P1698" s="3" t="n">
        <v>-0.7878549098968506</v>
      </c>
      <c r="Q1698" s="3" t="n">
        <v>-0.7878549098968506</v>
      </c>
      <c r="R1698" s="3" t="n">
        <v>-0.7732356596500316</v>
      </c>
      <c r="S1698" s="3" t="n">
        <v>-1.408805674694954</v>
      </c>
      <c r="T1698" s="3" t="n">
        <v>-0.7095591730259835</v>
      </c>
      <c r="U1698" s="3" t="n">
        <v>-0.8883962808771336</v>
      </c>
      <c r="V1698" s="3" t="n">
        <v>-0.681934451803248</v>
      </c>
      <c r="W1698" s="3" t="n">
        <v>-0.5702875047288043</v>
      </c>
      <c r="X1698" s="3" t="n">
        <v>-1.356243993373627</v>
      </c>
      <c r="Y1698" s="3" t="n">
        <v>-0.7878549098968506</v>
      </c>
      <c r="Z1698" s="3" t="n">
        <v>-1.408805674694954</v>
      </c>
      <c r="AA1698" s="3" t="n">
        <v>-1.408805674694954</v>
      </c>
      <c r="AB1698" s="3" t="n">
        <v>-1.356243993373627</v>
      </c>
      <c r="AC1698" s="3" t="n">
        <v>-2.123991362592007</v>
      </c>
      <c r="AD1698" s="3" t="n">
        <v>-0.8883962808771336</v>
      </c>
      <c r="AE1698" s="3" t="n">
        <v>-0.8883962808771336</v>
      </c>
    </row>
    <row r="1699">
      <c r="A1699" s="3" t="inlineStr">
        <is>
          <t>PLW.distn.dec.ove.mean.2</t>
        </is>
      </c>
      <c r="B1699" s="3" t="inlineStr">
        <is>
          <t>PLW</t>
        </is>
      </c>
      <c r="C1699" s="3" t="n">
        <v>2005</v>
      </c>
      <c r="D1699" s="3" t="inlineStr">
        <is>
          <t>Overall</t>
        </is>
      </c>
      <c r="E1699" s="3" t="inlineStr">
        <is>
          <t>Deciles</t>
        </is>
      </c>
      <c r="F1699" s="3" t="inlineStr">
        <is>
          <t>mean</t>
        </is>
      </c>
      <c r="G1699" s="3" t="n">
        <v>2</v>
      </c>
      <c r="H1699" s="3" t="n">
        <v>-0.7878549098968506</v>
      </c>
      <c r="I1699" s="3" t="n">
        <v>-0.7878549098968506</v>
      </c>
      <c r="J1699" s="3" t="n">
        <v>-0.8883962808771336</v>
      </c>
      <c r="K1699" s="3" t="n">
        <v>-0.8883962808771336</v>
      </c>
      <c r="L1699" s="3" t="n">
        <v>-0.7878549098968506</v>
      </c>
      <c r="M1699" s="3" t="n">
        <v>-0.7878549098968506</v>
      </c>
      <c r="N1699" s="3" t="n">
        <v>-0.7878549098968506</v>
      </c>
      <c r="O1699" s="3" t="n">
        <v>-0.7878549098968506</v>
      </c>
      <c r="P1699" s="3" t="n">
        <v>-0.7878549098968506</v>
      </c>
      <c r="Q1699" s="3" t="n">
        <v>-0.7878549098968506</v>
      </c>
      <c r="R1699" s="3" t="n">
        <v>-0.7732356596500316</v>
      </c>
      <c r="S1699" s="3" t="n">
        <v>-1.408805674694954</v>
      </c>
      <c r="T1699" s="3" t="n">
        <v>-0.7095591730259835</v>
      </c>
      <c r="U1699" s="3" t="n">
        <v>-0.8883962808771336</v>
      </c>
      <c r="V1699" s="3" t="n">
        <v>-0.681934451803248</v>
      </c>
      <c r="W1699" s="3" t="n">
        <v>-0.5702875047288043</v>
      </c>
      <c r="X1699" s="3" t="n">
        <v>-1.356243993373627</v>
      </c>
      <c r="Y1699" s="3" t="n">
        <v>-0.7878549098968506</v>
      </c>
      <c r="Z1699" s="3" t="n">
        <v>-1.408805674694954</v>
      </c>
      <c r="AA1699" s="3" t="n">
        <v>-1.408805674694954</v>
      </c>
      <c r="AB1699" s="3" t="n">
        <v>-1.356243993373627</v>
      </c>
      <c r="AC1699" s="3" t="n">
        <v>-2.123991362592007</v>
      </c>
      <c r="AD1699" s="3" t="n">
        <v>-0.8883962808771336</v>
      </c>
      <c r="AE1699" s="3" t="n">
        <v>-0.8883962808771336</v>
      </c>
    </row>
    <row r="1700">
      <c r="A1700" s="3" t="inlineStr">
        <is>
          <t>PLW.distn.dec.ove.mean.3</t>
        </is>
      </c>
      <c r="B1700" s="3" t="inlineStr">
        <is>
          <t>PLW</t>
        </is>
      </c>
      <c r="C1700" s="3" t="n">
        <v>2005</v>
      </c>
      <c r="D1700" s="3" t="inlineStr">
        <is>
          <t>Overall</t>
        </is>
      </c>
      <c r="E1700" s="3" t="inlineStr">
        <is>
          <t>Deciles</t>
        </is>
      </c>
      <c r="F1700" s="3" t="inlineStr">
        <is>
          <t>mean</t>
        </is>
      </c>
      <c r="G1700" s="3" t="n">
        <v>3</v>
      </c>
      <c r="H1700" s="3" t="n">
        <v>-0.7878549098968506</v>
      </c>
      <c r="I1700" s="3" t="n">
        <v>-0.7878549098968506</v>
      </c>
      <c r="J1700" s="3" t="n">
        <v>-0.8883962808771336</v>
      </c>
      <c r="K1700" s="3" t="n">
        <v>-0.8883962808771336</v>
      </c>
      <c r="L1700" s="3" t="n">
        <v>-0.7878549098968506</v>
      </c>
      <c r="M1700" s="3" t="n">
        <v>-0.7878549098968506</v>
      </c>
      <c r="N1700" s="3" t="n">
        <v>-0.7878549098968506</v>
      </c>
      <c r="O1700" s="3" t="n">
        <v>-0.7878549098968506</v>
      </c>
      <c r="P1700" s="3" t="n">
        <v>-0.7878549098968506</v>
      </c>
      <c r="Q1700" s="3" t="n">
        <v>-0.7878549098968506</v>
      </c>
      <c r="R1700" s="3" t="n">
        <v>-0.7732356596500316</v>
      </c>
      <c r="S1700" s="3" t="n">
        <v>-1.408805674694954</v>
      </c>
      <c r="T1700" s="3" t="n">
        <v>-0.7095591730259835</v>
      </c>
      <c r="U1700" s="3" t="n">
        <v>-0.8883962808771336</v>
      </c>
      <c r="V1700" s="3" t="n">
        <v>-0.681934451803248</v>
      </c>
      <c r="W1700" s="3" t="n">
        <v>-0.5702875047288043</v>
      </c>
      <c r="X1700" s="3" t="n">
        <v>-1.356243993373627</v>
      </c>
      <c r="Y1700" s="3" t="n">
        <v>-0.7878549098968506</v>
      </c>
      <c r="Z1700" s="3" t="n">
        <v>-1.408805674694954</v>
      </c>
      <c r="AA1700" s="3" t="n">
        <v>-1.408805674694954</v>
      </c>
      <c r="AB1700" s="3" t="n">
        <v>-1.356243993373627</v>
      </c>
      <c r="AC1700" s="3" t="n">
        <v>-2.123991362592007</v>
      </c>
      <c r="AD1700" s="3" t="n">
        <v>-0.8883962808771336</v>
      </c>
      <c r="AE1700" s="3" t="n">
        <v>-0.8883962808771336</v>
      </c>
    </row>
    <row r="1701">
      <c r="A1701" s="3" t="inlineStr">
        <is>
          <t>PLW.distn.dec.ove.mean.4</t>
        </is>
      </c>
      <c r="B1701" s="3" t="inlineStr">
        <is>
          <t>PLW</t>
        </is>
      </c>
      <c r="C1701" s="3" t="n">
        <v>2005</v>
      </c>
      <c r="D1701" s="3" t="inlineStr">
        <is>
          <t>Overall</t>
        </is>
      </c>
      <c r="E1701" s="3" t="inlineStr">
        <is>
          <t>Deciles</t>
        </is>
      </c>
      <c r="F1701" s="3" t="inlineStr">
        <is>
          <t>mean</t>
        </is>
      </c>
      <c r="G1701" s="3" t="n">
        <v>4</v>
      </c>
      <c r="H1701" s="3" t="n">
        <v>-0.7816170251115839</v>
      </c>
      <c r="I1701" s="3" t="n">
        <v>-0.7816170251115839</v>
      </c>
      <c r="J1701" s="3" t="n">
        <v>-0.8454680810583398</v>
      </c>
      <c r="K1701" s="3" t="n">
        <v>-0.8454680810583398</v>
      </c>
      <c r="L1701" s="3" t="n">
        <v>-0.7816170251115839</v>
      </c>
      <c r="M1701" s="3" t="n">
        <v>-0.7816170251115839</v>
      </c>
      <c r="N1701" s="3" t="n">
        <v>-0.7816170251115839</v>
      </c>
      <c r="O1701" s="3" t="n">
        <v>-0.7816170251115839</v>
      </c>
      <c r="P1701" s="3" t="n">
        <v>-0.7816170251115839</v>
      </c>
      <c r="Q1701" s="3" t="n">
        <v>-0.7816170251115839</v>
      </c>
      <c r="R1701" s="3" t="n">
        <v>-0.7697659489956308</v>
      </c>
      <c r="S1701" s="3" t="n">
        <v>-0.9595531871978272</v>
      </c>
      <c r="T1701" s="3" t="n">
        <v>-0.7081063859006191</v>
      </c>
      <c r="U1701" s="3" t="n">
        <v>-0.8454680810583398</v>
      </c>
      <c r="V1701" s="3" t="n">
        <v>-0.6750000017754575</v>
      </c>
      <c r="W1701" s="3" t="n">
        <v>-0.4799574455048176</v>
      </c>
      <c r="X1701" s="3" t="n">
        <v>-0.9571489362006492</v>
      </c>
      <c r="Y1701" s="3" t="n">
        <v>-0.7816170251115839</v>
      </c>
      <c r="Z1701" s="3" t="n">
        <v>-0.9595531871978272</v>
      </c>
      <c r="AA1701" s="3" t="n">
        <v>-0.9595531871978272</v>
      </c>
      <c r="AB1701" s="3" t="n">
        <v>-0.9571489362006492</v>
      </c>
      <c r="AC1701" s="3" t="n">
        <v>-1.025723396463597</v>
      </c>
      <c r="AD1701" s="3" t="n">
        <v>-0.8454680810583398</v>
      </c>
      <c r="AE1701" s="3" t="n">
        <v>-0.8454680810583398</v>
      </c>
    </row>
    <row r="1702">
      <c r="A1702" s="3" t="inlineStr">
        <is>
          <t>PLW.distn.dec.ove.mean.5</t>
        </is>
      </c>
      <c r="B1702" s="3" t="inlineStr">
        <is>
          <t>PLW</t>
        </is>
      </c>
      <c r="C1702" s="3" t="n">
        <v>2005</v>
      </c>
      <c r="D1702" s="3" t="inlineStr">
        <is>
          <t>Overall</t>
        </is>
      </c>
      <c r="E1702" s="3" t="inlineStr">
        <is>
          <t>Deciles</t>
        </is>
      </c>
      <c r="F1702" s="3" t="inlineStr">
        <is>
          <t>mean</t>
        </is>
      </c>
      <c r="G1702" s="3" t="n">
        <v>5</v>
      </c>
      <c r="H1702" s="3" t="n">
        <v>-0.7816170251115839</v>
      </c>
      <c r="I1702" s="3" t="n">
        <v>-0.7816170251115839</v>
      </c>
      <c r="J1702" s="3" t="n">
        <v>-0.8454680810583398</v>
      </c>
      <c r="K1702" s="3" t="n">
        <v>-0.8454680810583398</v>
      </c>
      <c r="L1702" s="3" t="n">
        <v>-0.7816170251115839</v>
      </c>
      <c r="M1702" s="3" t="n">
        <v>-0.7816170251115839</v>
      </c>
      <c r="N1702" s="3" t="n">
        <v>-0.7816170251115839</v>
      </c>
      <c r="O1702" s="3" t="n">
        <v>-0.7816170251115839</v>
      </c>
      <c r="P1702" s="3" t="n">
        <v>-0.7816170251115839</v>
      </c>
      <c r="Q1702" s="3" t="n">
        <v>-0.7816170251115839</v>
      </c>
      <c r="R1702" s="3" t="n">
        <v>-0.7697659489956308</v>
      </c>
      <c r="S1702" s="3" t="n">
        <v>-0.9595531871978272</v>
      </c>
      <c r="T1702" s="3" t="n">
        <v>-0.7081063859006191</v>
      </c>
      <c r="U1702" s="3" t="n">
        <v>-0.8454680810583398</v>
      </c>
      <c r="V1702" s="3" t="n">
        <v>-0.6750000017754575</v>
      </c>
      <c r="W1702" s="3" t="n">
        <v>-0.4799574455048176</v>
      </c>
      <c r="X1702" s="3" t="n">
        <v>-0.9571489362006492</v>
      </c>
      <c r="Y1702" s="3" t="n">
        <v>-0.7816170251115839</v>
      </c>
      <c r="Z1702" s="3" t="n">
        <v>-0.9595531871978272</v>
      </c>
      <c r="AA1702" s="3" t="n">
        <v>-0.9595531871978272</v>
      </c>
      <c r="AB1702" s="3" t="n">
        <v>-0.9571489362006492</v>
      </c>
      <c r="AC1702" s="3" t="n">
        <v>-1.025723396463597</v>
      </c>
      <c r="AD1702" s="3" t="n">
        <v>-0.8454680810583398</v>
      </c>
      <c r="AE1702" s="3" t="n">
        <v>-0.8454680810583398</v>
      </c>
    </row>
    <row r="1703">
      <c r="A1703" s="3" t="inlineStr">
        <is>
          <t>PLW.distn.dec.ove.mean.6</t>
        </is>
      </c>
      <c r="B1703" s="3" t="inlineStr">
        <is>
          <t>PLW</t>
        </is>
      </c>
      <c r="C1703" s="3" t="n">
        <v>2005</v>
      </c>
      <c r="D1703" s="3" t="inlineStr">
        <is>
          <t>Overall</t>
        </is>
      </c>
      <c r="E1703" s="3" t="inlineStr">
        <is>
          <t>Deciles</t>
        </is>
      </c>
      <c r="F1703" s="3" t="inlineStr">
        <is>
          <t>mean</t>
        </is>
      </c>
      <c r="G1703" s="3" t="n">
        <v>6</v>
      </c>
      <c r="H1703" s="3" t="n">
        <v>-0.7816170251115839</v>
      </c>
      <c r="I1703" s="3" t="n">
        <v>-0.7816170251115839</v>
      </c>
      <c r="J1703" s="3" t="n">
        <v>-0.8454680810583398</v>
      </c>
      <c r="K1703" s="3" t="n">
        <v>-0.8454680810583398</v>
      </c>
      <c r="L1703" s="3" t="n">
        <v>-0.7816170251115839</v>
      </c>
      <c r="M1703" s="3" t="n">
        <v>-0.7816170251115839</v>
      </c>
      <c r="N1703" s="3" t="n">
        <v>-0.7816170251115839</v>
      </c>
      <c r="O1703" s="3" t="n">
        <v>-0.7816170251115839</v>
      </c>
      <c r="P1703" s="3" t="n">
        <v>-0.7816170251115839</v>
      </c>
      <c r="Q1703" s="3" t="n">
        <v>-0.7816170251115839</v>
      </c>
      <c r="R1703" s="3" t="n">
        <v>-0.7697659489956308</v>
      </c>
      <c r="S1703" s="3" t="n">
        <v>-0.9595531871978272</v>
      </c>
      <c r="T1703" s="3" t="n">
        <v>-0.7081063859006191</v>
      </c>
      <c r="U1703" s="3" t="n">
        <v>-0.8454680810583398</v>
      </c>
      <c r="V1703" s="3" t="n">
        <v>-0.6750000017754575</v>
      </c>
      <c r="W1703" s="3" t="n">
        <v>-0.4799574455048176</v>
      </c>
      <c r="X1703" s="3" t="n">
        <v>-0.9571489362006492</v>
      </c>
      <c r="Y1703" s="3" t="n">
        <v>-0.7816170251115839</v>
      </c>
      <c r="Z1703" s="3" t="n">
        <v>-0.9595531871978272</v>
      </c>
      <c r="AA1703" s="3" t="n">
        <v>-0.9595531871978272</v>
      </c>
      <c r="AB1703" s="3" t="n">
        <v>-0.9571489362006492</v>
      </c>
      <c r="AC1703" s="3" t="n">
        <v>-1.025723396463597</v>
      </c>
      <c r="AD1703" s="3" t="n">
        <v>-0.8454680810583398</v>
      </c>
      <c r="AE1703" s="3" t="n">
        <v>-0.8454680810583398</v>
      </c>
    </row>
    <row r="1704">
      <c r="A1704" s="3" t="inlineStr">
        <is>
          <t>PLW.distn.dec.ove.mean.7</t>
        </is>
      </c>
      <c r="B1704" s="3" t="inlineStr">
        <is>
          <t>PLW</t>
        </is>
      </c>
      <c r="C1704" s="3" t="n">
        <v>2005</v>
      </c>
      <c r="D1704" s="3" t="inlineStr">
        <is>
          <t>Overall</t>
        </is>
      </c>
      <c r="E1704" s="3" t="inlineStr">
        <is>
          <t>Deciles</t>
        </is>
      </c>
      <c r="F1704" s="3" t="inlineStr">
        <is>
          <t>mean</t>
        </is>
      </c>
      <c r="G1704" s="3" t="n">
        <v>7</v>
      </c>
      <c r="H1704" s="3" t="n">
        <v>-0.7816170251115839</v>
      </c>
      <c r="I1704" s="3" t="n">
        <v>-0.7816170251115839</v>
      </c>
      <c r="J1704" s="3" t="n">
        <v>-0.8454680810583398</v>
      </c>
      <c r="K1704" s="3" t="n">
        <v>-0.8454680810583398</v>
      </c>
      <c r="L1704" s="3" t="n">
        <v>-0.7816170251115839</v>
      </c>
      <c r="M1704" s="3" t="n">
        <v>-0.7816170251115839</v>
      </c>
      <c r="N1704" s="3" t="n">
        <v>-0.7816170251115839</v>
      </c>
      <c r="O1704" s="3" t="n">
        <v>-0.7816170251115839</v>
      </c>
      <c r="P1704" s="3" t="n">
        <v>-0.7816170251115839</v>
      </c>
      <c r="Q1704" s="3" t="n">
        <v>-0.7816170251115839</v>
      </c>
      <c r="R1704" s="3" t="n">
        <v>-0.7697659489956308</v>
      </c>
      <c r="S1704" s="3" t="n">
        <v>-0.9595531871978272</v>
      </c>
      <c r="T1704" s="3" t="n">
        <v>-0.7081063859006191</v>
      </c>
      <c r="U1704" s="3" t="n">
        <v>-0.8454680810583398</v>
      </c>
      <c r="V1704" s="3" t="n">
        <v>-0.6750000017754575</v>
      </c>
      <c r="W1704" s="3" t="n">
        <v>-0.4799574455048176</v>
      </c>
      <c r="X1704" s="3" t="n">
        <v>-0.9571489362006492</v>
      </c>
      <c r="Y1704" s="3" t="n">
        <v>-0.7816170251115839</v>
      </c>
      <c r="Z1704" s="3" t="n">
        <v>-0.9595531871978272</v>
      </c>
      <c r="AA1704" s="3" t="n">
        <v>-0.9595531871978272</v>
      </c>
      <c r="AB1704" s="3" t="n">
        <v>-0.9571489362006492</v>
      </c>
      <c r="AC1704" s="3" t="n">
        <v>-1.025723396463597</v>
      </c>
      <c r="AD1704" s="3" t="n">
        <v>-0.8454680810583398</v>
      </c>
      <c r="AE1704" s="3" t="n">
        <v>-0.8454680810583398</v>
      </c>
    </row>
    <row r="1705">
      <c r="A1705" s="3" t="inlineStr">
        <is>
          <t>PLW.distn.dec.ove.mean.8</t>
        </is>
      </c>
      <c r="B1705" s="3" t="inlineStr">
        <is>
          <t>PLW</t>
        </is>
      </c>
      <c r="C1705" s="3" t="n">
        <v>2005</v>
      </c>
      <c r="D1705" s="3" t="inlineStr">
        <is>
          <t>Overall</t>
        </is>
      </c>
      <c r="E1705" s="3" t="inlineStr">
        <is>
          <t>Deciles</t>
        </is>
      </c>
      <c r="F1705" s="3" t="inlineStr">
        <is>
          <t>mean</t>
        </is>
      </c>
      <c r="G1705" s="3" t="n">
        <v>8</v>
      </c>
      <c r="H1705" s="3" t="n">
        <v>-0.7819935831617801</v>
      </c>
      <c r="I1705" s="3" t="n">
        <v>-0.7819935831617801</v>
      </c>
      <c r="J1705" s="3" t="n">
        <v>-0.8477488045996808</v>
      </c>
      <c r="K1705" s="3" t="n">
        <v>-0.8477488045996808</v>
      </c>
      <c r="L1705" s="3" t="n">
        <v>-0.7819935831617801</v>
      </c>
      <c r="M1705" s="3" t="n">
        <v>-0.7819935831617801</v>
      </c>
      <c r="N1705" s="3" t="n">
        <v>-0.7819935831617801</v>
      </c>
      <c r="O1705" s="3" t="n">
        <v>-0.7819935831617801</v>
      </c>
      <c r="P1705" s="3" t="n">
        <v>-0.7819935831617801</v>
      </c>
      <c r="Q1705" s="3" t="n">
        <v>-0.7819935831617801</v>
      </c>
      <c r="R1705" s="3" t="n">
        <v>-0.7700191178220384</v>
      </c>
      <c r="S1705" s="3" t="n">
        <v>-0.9684819490351575</v>
      </c>
      <c r="T1705" s="3" t="n">
        <v>-0.70814722142321</v>
      </c>
      <c r="U1705" s="3" t="n">
        <v>-0.8477488045996808</v>
      </c>
      <c r="V1705" s="3" t="n">
        <v>-0.6756977857427394</v>
      </c>
      <c r="W1705" s="3" t="n">
        <v>-0.4928101326556916</v>
      </c>
      <c r="X1705" s="3" t="n">
        <v>-0.9658704755154062</v>
      </c>
      <c r="Y1705" s="3" t="n">
        <v>-0.7819935831617801</v>
      </c>
      <c r="Z1705" s="3" t="n">
        <v>-0.9684819490351575</v>
      </c>
      <c r="AA1705" s="3" t="n">
        <v>-0.9684819490351575</v>
      </c>
      <c r="AB1705" s="3" t="n">
        <v>-0.9658704755154062</v>
      </c>
      <c r="AC1705" s="3" t="n">
        <v>-1.04035159628442</v>
      </c>
      <c r="AD1705" s="3" t="n">
        <v>-0.8477488045996808</v>
      </c>
      <c r="AE1705" s="3" t="n">
        <v>-0.8477488045996808</v>
      </c>
    </row>
    <row r="1706">
      <c r="A1706" s="3" t="inlineStr">
        <is>
          <t>PLW.distn.dec.ove.mean.9</t>
        </is>
      </c>
      <c r="B1706" s="3" t="inlineStr">
        <is>
          <t>PLW</t>
        </is>
      </c>
      <c r="C1706" s="3" t="n">
        <v>2005</v>
      </c>
      <c r="D1706" s="3" t="inlineStr">
        <is>
          <t>Overall</t>
        </is>
      </c>
      <c r="E1706" s="3" t="inlineStr">
        <is>
          <t>Deciles</t>
        </is>
      </c>
      <c r="F1706" s="3" t="inlineStr">
        <is>
          <t>mean</t>
        </is>
      </c>
      <c r="G1706" s="3" t="n">
        <v>9</v>
      </c>
      <c r="H1706" s="3" t="n">
        <v>-0.7819935831617801</v>
      </c>
      <c r="I1706" s="3" t="n">
        <v>-0.7819935831617801</v>
      </c>
      <c r="J1706" s="3" t="n">
        <v>-0.8477488045996808</v>
      </c>
      <c r="K1706" s="3" t="n">
        <v>-0.8477488045996808</v>
      </c>
      <c r="L1706" s="3" t="n">
        <v>-0.7819935831617801</v>
      </c>
      <c r="M1706" s="3" t="n">
        <v>-0.7819935831617801</v>
      </c>
      <c r="N1706" s="3" t="n">
        <v>-0.7819935831617801</v>
      </c>
      <c r="O1706" s="3" t="n">
        <v>-0.7819935831617801</v>
      </c>
      <c r="P1706" s="3" t="n">
        <v>-0.7819935831617801</v>
      </c>
      <c r="Q1706" s="3" t="n">
        <v>-0.7819935831617801</v>
      </c>
      <c r="R1706" s="3" t="n">
        <v>-0.7700191178220384</v>
      </c>
      <c r="S1706" s="3" t="n">
        <v>-0.9684819490351575</v>
      </c>
      <c r="T1706" s="3" t="n">
        <v>-0.70814722142321</v>
      </c>
      <c r="U1706" s="3" t="n">
        <v>-0.8477488045996808</v>
      </c>
      <c r="V1706" s="3" t="n">
        <v>-0.6756977857427394</v>
      </c>
      <c r="W1706" s="3" t="n">
        <v>-0.4928101326556916</v>
      </c>
      <c r="X1706" s="3" t="n">
        <v>-0.9658704755154062</v>
      </c>
      <c r="Y1706" s="3" t="n">
        <v>-0.7819935831617801</v>
      </c>
      <c r="Z1706" s="3" t="n">
        <v>-0.9684819490351575</v>
      </c>
      <c r="AA1706" s="3" t="n">
        <v>-0.9684819490351575</v>
      </c>
      <c r="AB1706" s="3" t="n">
        <v>-0.9658704755154062</v>
      </c>
      <c r="AC1706" s="3" t="n">
        <v>-1.04035159628442</v>
      </c>
      <c r="AD1706" s="3" t="n">
        <v>-0.8477488045996808</v>
      </c>
      <c r="AE1706" s="3" t="n">
        <v>-0.8477488045996808</v>
      </c>
    </row>
    <row r="1707">
      <c r="A1707" s="3" t="inlineStr">
        <is>
          <t>PLW.distn.dec.ove.mean.10</t>
        </is>
      </c>
      <c r="B1707" s="3" t="inlineStr">
        <is>
          <t>PLW</t>
        </is>
      </c>
      <c r="C1707" s="3" t="n">
        <v>2005</v>
      </c>
      <c r="D1707" s="3" t="inlineStr">
        <is>
          <t>Overall</t>
        </is>
      </c>
      <c r="E1707" s="3" t="inlineStr">
        <is>
          <t>Deciles</t>
        </is>
      </c>
      <c r="F1707" s="3" t="inlineStr">
        <is>
          <t>mean</t>
        </is>
      </c>
      <c r="G1707" s="3" t="n">
        <v>10</v>
      </c>
      <c r="H1707" s="3" t="n">
        <v>-0.7819935831617801</v>
      </c>
      <c r="I1707" s="3" t="n">
        <v>-0.7819935831617801</v>
      </c>
      <c r="J1707" s="3" t="n">
        <v>-0.8477488045996808</v>
      </c>
      <c r="K1707" s="3" t="n">
        <v>-0.8477488045996808</v>
      </c>
      <c r="L1707" s="3" t="n">
        <v>-0.7819935831617801</v>
      </c>
      <c r="M1707" s="3" t="n">
        <v>-0.7819935831617801</v>
      </c>
      <c r="N1707" s="3" t="n">
        <v>-0.7819935831617801</v>
      </c>
      <c r="O1707" s="3" t="n">
        <v>-0.7819935831617801</v>
      </c>
      <c r="P1707" s="3" t="n">
        <v>-0.7819935831617801</v>
      </c>
      <c r="Q1707" s="3" t="n">
        <v>-0.7819935831617801</v>
      </c>
      <c r="R1707" s="3" t="n">
        <v>-0.7700191178220384</v>
      </c>
      <c r="S1707" s="3" t="n">
        <v>-0.9684819490351575</v>
      </c>
      <c r="T1707" s="3" t="n">
        <v>-0.70814722142321</v>
      </c>
      <c r="U1707" s="3" t="n">
        <v>-0.8477488045996808</v>
      </c>
      <c r="V1707" s="3" t="n">
        <v>-0.6756977857427394</v>
      </c>
      <c r="W1707" s="3" t="n">
        <v>-0.4928101326556916</v>
      </c>
      <c r="X1707" s="3" t="n">
        <v>-0.9658704755154062</v>
      </c>
      <c r="Y1707" s="3" t="n">
        <v>-0.7819935831617801</v>
      </c>
      <c r="Z1707" s="3" t="n">
        <v>-0.9684819490351575</v>
      </c>
      <c r="AA1707" s="3" t="n">
        <v>-0.9684819490351575</v>
      </c>
      <c r="AB1707" s="3" t="n">
        <v>-0.9658704755154062</v>
      </c>
      <c r="AC1707" s="3" t="n">
        <v>-1.04035159628442</v>
      </c>
      <c r="AD1707" s="3" t="n">
        <v>-0.8477488045996808</v>
      </c>
      <c r="AE1707" s="3" t="n">
        <v>-0.8477488045996808</v>
      </c>
    </row>
    <row r="1708">
      <c r="A1708" s="3" t="inlineStr">
        <is>
          <t>PLW.distn.bkt.ove.mean.9999</t>
        </is>
      </c>
      <c r="B1708" s="3" t="inlineStr">
        <is>
          <t>PLW</t>
        </is>
      </c>
      <c r="C1708" s="3" t="n">
        <v>2005</v>
      </c>
      <c r="D1708" s="3" t="inlineStr">
        <is>
          <t>Overall</t>
        </is>
      </c>
      <c r="E1708" s="3" t="inlineStr">
        <is>
          <t>Basket</t>
        </is>
      </c>
      <c r="F1708" s="3" t="inlineStr">
        <is>
          <t>mean</t>
        </is>
      </c>
      <c r="G1708" s="3" t="n">
        <v>9999</v>
      </c>
      <c r="H1708" s="3" t="n">
        <v>-0.7836013613863194</v>
      </c>
      <c r="I1708" s="3" t="n">
        <v>-0.7836013613863194</v>
      </c>
      <c r="J1708" s="3" t="n">
        <v>-0.8590307616172953</v>
      </c>
      <c r="K1708" s="3" t="n">
        <v>-0.8590307616172953</v>
      </c>
      <c r="L1708" s="3" t="n">
        <v>-0.7836013613863194</v>
      </c>
      <c r="M1708" s="3" t="n">
        <v>-0.7836013613863194</v>
      </c>
      <c r="N1708" s="3" t="n">
        <v>-0.7836013613863194</v>
      </c>
      <c r="O1708" s="3" t="n">
        <v>-0.7836013613863194</v>
      </c>
      <c r="P1708" s="3" t="n">
        <v>-0.7836013613863194</v>
      </c>
      <c r="Q1708" s="3" t="n">
        <v>-0.7836013613863194</v>
      </c>
      <c r="R1708" s="3" t="n">
        <v>-0.7708828220976159</v>
      </c>
      <c r="S1708" s="3" t="n">
        <v>-1.097007578991829</v>
      </c>
      <c r="T1708" s="3" t="n">
        <v>-0.7085544974245923</v>
      </c>
      <c r="U1708" s="3" t="n">
        <v>-0.8590307616172953</v>
      </c>
      <c r="V1708" s="3" t="n">
        <v>-0.6772896647453308</v>
      </c>
      <c r="W1708" s="3" t="n">
        <v>-0.5109122699879586</v>
      </c>
      <c r="X1708" s="3" t="n">
        <v>-1.079493910708326</v>
      </c>
      <c r="Y1708" s="3" t="n">
        <v>-0.7836013613863194</v>
      </c>
      <c r="Z1708" s="3" t="n">
        <v>-1.097007578991829</v>
      </c>
      <c r="AA1708" s="3" t="n">
        <v>-1.097007578991829</v>
      </c>
      <c r="AB1708" s="3" t="n">
        <v>-1.079493910708326</v>
      </c>
      <c r="AC1708" s="3" t="n">
        <v>-1.359592239907447</v>
      </c>
      <c r="AD1708" s="3" t="n">
        <v>-0.8590307616172953</v>
      </c>
      <c r="AE1708" s="3" t="n">
        <v>-0.8590307616172953</v>
      </c>
    </row>
    <row r="1709">
      <c r="A1709" s="3" t="inlineStr">
        <is>
          <t>PNG.distn.dec.ove.mean.1</t>
        </is>
      </c>
      <c r="B1709" s="3" t="inlineStr">
        <is>
          <t>PNG</t>
        </is>
      </c>
      <c r="C1709" s="3" t="n">
        <v>2005</v>
      </c>
      <c r="D1709" s="3" t="inlineStr">
        <is>
          <t>Overall</t>
        </is>
      </c>
      <c r="E1709" s="3" t="inlineStr">
        <is>
          <t>Deciles</t>
        </is>
      </c>
      <c r="F1709" s="3" t="inlineStr">
        <is>
          <t>mean</t>
        </is>
      </c>
      <c r="G1709" s="3" t="n">
        <v>1</v>
      </c>
      <c r="H1709" s="3" t="n">
        <v>-0.7936522003851438</v>
      </c>
      <c r="I1709" s="3" t="n">
        <v>-0.7936522003851438</v>
      </c>
      <c r="J1709" s="3" t="n">
        <v>-0.9276126356501329</v>
      </c>
      <c r="K1709" s="3" t="n">
        <v>-0.9276126356501329</v>
      </c>
      <c r="L1709" s="3" t="n">
        <v>-0.7936522003851438</v>
      </c>
      <c r="M1709" s="3" t="n">
        <v>-0.7936522003851438</v>
      </c>
      <c r="N1709" s="3" t="n">
        <v>-0.7936522003851438</v>
      </c>
      <c r="O1709" s="3" t="n">
        <v>-0.7936522003851438</v>
      </c>
      <c r="P1709" s="3" t="n">
        <v>-0.7936522003851438</v>
      </c>
      <c r="Q1709" s="3" t="n">
        <v>-0.7936522003851438</v>
      </c>
      <c r="R1709" s="3" t="n">
        <v>-0.7764578367534437</v>
      </c>
      <c r="S1709" s="3" t="n">
        <v>-1.851309371621985</v>
      </c>
      <c r="T1709" s="3" t="n">
        <v>-0.7110083871766141</v>
      </c>
      <c r="U1709" s="3" t="n">
        <v>-0.9276126356501329</v>
      </c>
      <c r="V1709" s="3" t="n">
        <v>-0.688554396754817</v>
      </c>
      <c r="W1709" s="3" t="n">
        <v>-0.6748062403578508</v>
      </c>
      <c r="X1709" s="3" t="n">
        <v>-1.760538414904946</v>
      </c>
      <c r="Y1709" s="3" t="n">
        <v>-0.7936522003851438</v>
      </c>
      <c r="Z1709" s="3" t="n">
        <v>-1.851309371621985</v>
      </c>
      <c r="AA1709" s="3" t="n">
        <v>-1.851309371621985</v>
      </c>
      <c r="AB1709" s="3" t="n">
        <v>-1.760538414904946</v>
      </c>
      <c r="AC1709" s="3" t="n">
        <v>-4.00243950517554</v>
      </c>
      <c r="AD1709" s="3" t="n">
        <v>-0.9276126356501329</v>
      </c>
      <c r="AE1709" s="3" t="n">
        <v>-0.9276126356501329</v>
      </c>
    </row>
    <row r="1710">
      <c r="A1710" s="3" t="inlineStr">
        <is>
          <t>PNG.distn.dec.ove.mean.2</t>
        </is>
      </c>
      <c r="B1710" s="3" t="inlineStr">
        <is>
          <t>PNG</t>
        </is>
      </c>
      <c r="C1710" s="3" t="n">
        <v>2005</v>
      </c>
      <c r="D1710" s="3" t="inlineStr">
        <is>
          <t>Overall</t>
        </is>
      </c>
      <c r="E1710" s="3" t="inlineStr">
        <is>
          <t>Deciles</t>
        </is>
      </c>
      <c r="F1710" s="3" t="inlineStr">
        <is>
          <t>mean</t>
        </is>
      </c>
      <c r="G1710" s="3" t="n">
        <v>2</v>
      </c>
      <c r="H1710" s="3" t="n">
        <v>-0.7936522003851438</v>
      </c>
      <c r="I1710" s="3" t="n">
        <v>-0.7936522003851438</v>
      </c>
      <c r="J1710" s="3" t="n">
        <v>-0.9276126356501329</v>
      </c>
      <c r="K1710" s="3" t="n">
        <v>-0.9276126356501329</v>
      </c>
      <c r="L1710" s="3" t="n">
        <v>-0.7936522003851438</v>
      </c>
      <c r="M1710" s="3" t="n">
        <v>-0.7936522003851438</v>
      </c>
      <c r="N1710" s="3" t="n">
        <v>-0.7936522003851438</v>
      </c>
      <c r="O1710" s="3" t="n">
        <v>-0.7936522003851438</v>
      </c>
      <c r="P1710" s="3" t="n">
        <v>-0.7936522003851438</v>
      </c>
      <c r="Q1710" s="3" t="n">
        <v>-0.7936522003851438</v>
      </c>
      <c r="R1710" s="3" t="n">
        <v>-0.7764578367534437</v>
      </c>
      <c r="S1710" s="3" t="n">
        <v>-1.851309371621985</v>
      </c>
      <c r="T1710" s="3" t="n">
        <v>-0.7110083871766141</v>
      </c>
      <c r="U1710" s="3" t="n">
        <v>-0.9276126356501329</v>
      </c>
      <c r="V1710" s="3" t="n">
        <v>-0.688554396754817</v>
      </c>
      <c r="W1710" s="3" t="n">
        <v>-0.6748062403578508</v>
      </c>
      <c r="X1710" s="3" t="n">
        <v>-1.760538414904946</v>
      </c>
      <c r="Y1710" s="3" t="n">
        <v>-0.7936522003851438</v>
      </c>
      <c r="Z1710" s="3" t="n">
        <v>-1.851309371621985</v>
      </c>
      <c r="AA1710" s="3" t="n">
        <v>-1.851309371621985</v>
      </c>
      <c r="AB1710" s="3" t="n">
        <v>-1.760538414904946</v>
      </c>
      <c r="AC1710" s="3" t="n">
        <v>-4.00243950517554</v>
      </c>
      <c r="AD1710" s="3" t="n">
        <v>-0.9276126356501329</v>
      </c>
      <c r="AE1710" s="3" t="n">
        <v>-0.9276126356501329</v>
      </c>
    </row>
    <row r="1711">
      <c r="A1711" s="3" t="inlineStr">
        <is>
          <t>PNG.distn.dec.ove.mean.3</t>
        </is>
      </c>
      <c r="B1711" s="3" t="inlineStr">
        <is>
          <t>PNG</t>
        </is>
      </c>
      <c r="C1711" s="3" t="n">
        <v>2005</v>
      </c>
      <c r="D1711" s="3" t="inlineStr">
        <is>
          <t>Overall</t>
        </is>
      </c>
      <c r="E1711" s="3" t="inlineStr">
        <is>
          <t>Deciles</t>
        </is>
      </c>
      <c r="F1711" s="3" t="inlineStr">
        <is>
          <t>mean</t>
        </is>
      </c>
      <c r="G1711" s="3" t="n">
        <v>3</v>
      </c>
      <c r="H1711" s="3" t="n">
        <v>-0.7936522003851438</v>
      </c>
      <c r="I1711" s="3" t="n">
        <v>-0.7936522003851438</v>
      </c>
      <c r="J1711" s="3" t="n">
        <v>-0.9276126356501329</v>
      </c>
      <c r="K1711" s="3" t="n">
        <v>-0.9276126356501329</v>
      </c>
      <c r="L1711" s="3" t="n">
        <v>-0.7936522003851438</v>
      </c>
      <c r="M1711" s="3" t="n">
        <v>-0.7936522003851438</v>
      </c>
      <c r="N1711" s="3" t="n">
        <v>-0.7936522003851438</v>
      </c>
      <c r="O1711" s="3" t="n">
        <v>-0.7936522003851438</v>
      </c>
      <c r="P1711" s="3" t="n">
        <v>-0.7936522003851438</v>
      </c>
      <c r="Q1711" s="3" t="n">
        <v>-0.7936522003851438</v>
      </c>
      <c r="R1711" s="3" t="n">
        <v>-0.7764578367534437</v>
      </c>
      <c r="S1711" s="3" t="n">
        <v>-1.851309371621985</v>
      </c>
      <c r="T1711" s="3" t="n">
        <v>-0.7110083871766141</v>
      </c>
      <c r="U1711" s="3" t="n">
        <v>-0.9276126356501329</v>
      </c>
      <c r="V1711" s="3" t="n">
        <v>-0.688554396754817</v>
      </c>
      <c r="W1711" s="3" t="n">
        <v>-0.6748062403578508</v>
      </c>
      <c r="X1711" s="3" t="n">
        <v>-1.760538414904946</v>
      </c>
      <c r="Y1711" s="3" t="n">
        <v>-0.7936522003851438</v>
      </c>
      <c r="Z1711" s="3" t="n">
        <v>-1.851309371621985</v>
      </c>
      <c r="AA1711" s="3" t="n">
        <v>-1.851309371621985</v>
      </c>
      <c r="AB1711" s="3" t="n">
        <v>-1.760538414904946</v>
      </c>
      <c r="AC1711" s="3" t="n">
        <v>-4.00243950517554</v>
      </c>
      <c r="AD1711" s="3" t="n">
        <v>-0.9276126356501329</v>
      </c>
      <c r="AE1711" s="3" t="n">
        <v>-0.9276126356501329</v>
      </c>
    </row>
    <row r="1712">
      <c r="A1712" s="3" t="inlineStr">
        <is>
          <t>PNG.distn.dec.ove.mean.4</t>
        </is>
      </c>
      <c r="B1712" s="3" t="inlineStr">
        <is>
          <t>PNG</t>
        </is>
      </c>
      <c r="C1712" s="3" t="n">
        <v>2005</v>
      </c>
      <c r="D1712" s="3" t="inlineStr">
        <is>
          <t>Overall</t>
        </is>
      </c>
      <c r="E1712" s="3" t="inlineStr">
        <is>
          <t>Deciles</t>
        </is>
      </c>
      <c r="F1712" s="3" t="inlineStr">
        <is>
          <t>mean</t>
        </is>
      </c>
      <c r="G1712" s="3" t="n">
        <v>4</v>
      </c>
      <c r="H1712" s="3" t="n">
        <v>-0.7873684167861938</v>
      </c>
      <c r="I1712" s="3" t="n">
        <v>-0.7873684167861938</v>
      </c>
      <c r="J1712" s="3" t="n">
        <v>-0.8827894769216839</v>
      </c>
      <c r="K1712" s="3" t="n">
        <v>-0.8827894769216839</v>
      </c>
      <c r="L1712" s="3" t="n">
        <v>-0.7873684167861938</v>
      </c>
      <c r="M1712" s="3" t="n">
        <v>-0.7873684167861938</v>
      </c>
      <c r="N1712" s="3" t="n">
        <v>-0.7873684167861938</v>
      </c>
      <c r="O1712" s="3" t="n">
        <v>-0.7873684167861938</v>
      </c>
      <c r="P1712" s="3" t="n">
        <v>-0.7873684167861938</v>
      </c>
      <c r="Q1712" s="3" t="n">
        <v>-0.7873684167861938</v>
      </c>
      <c r="R1712" s="3" t="n">
        <v>-0.7729736864566803</v>
      </c>
      <c r="S1712" s="3" t="n">
        <v>-1.260947363941293</v>
      </c>
      <c r="T1712" s="3" t="n">
        <v>-0.7095526174495095</v>
      </c>
      <c r="U1712" s="3" t="n">
        <v>-0.8827894769216839</v>
      </c>
      <c r="V1712" s="3" t="n">
        <v>-0.6815526375645086</v>
      </c>
      <c r="W1712" s="3" t="n">
        <v>-0.5679210565592113</v>
      </c>
      <c r="X1712" s="3" t="n">
        <v>-1.242473682290629</v>
      </c>
      <c r="Y1712" s="3" t="n">
        <v>-0.7873684167861938</v>
      </c>
      <c r="Z1712" s="3" t="n">
        <v>-1.260947363941293</v>
      </c>
      <c r="AA1712" s="3" t="n">
        <v>-1.260947363941293</v>
      </c>
      <c r="AB1712" s="3" t="n">
        <v>-1.242473682290629</v>
      </c>
      <c r="AC1712" s="3" t="n">
        <v>-1.932868417940642</v>
      </c>
      <c r="AD1712" s="3" t="n">
        <v>-0.8827894769216839</v>
      </c>
      <c r="AE1712" s="3" t="n">
        <v>-0.8827894769216839</v>
      </c>
    </row>
    <row r="1713">
      <c r="A1713" s="3" t="inlineStr">
        <is>
          <t>PNG.distn.dec.ove.mean.5</t>
        </is>
      </c>
      <c r="B1713" s="3" t="inlineStr">
        <is>
          <t>PNG</t>
        </is>
      </c>
      <c r="C1713" s="3" t="n">
        <v>2005</v>
      </c>
      <c r="D1713" s="3" t="inlineStr">
        <is>
          <t>Overall</t>
        </is>
      </c>
      <c r="E1713" s="3" t="inlineStr">
        <is>
          <t>Deciles</t>
        </is>
      </c>
      <c r="F1713" s="3" t="inlineStr">
        <is>
          <t>mean</t>
        </is>
      </c>
      <c r="G1713" s="3" t="n">
        <v>5</v>
      </c>
      <c r="H1713" s="3" t="n">
        <v>-0.7873684167861938</v>
      </c>
      <c r="I1713" s="3" t="n">
        <v>-0.7873684167861938</v>
      </c>
      <c r="J1713" s="3" t="n">
        <v>-0.8827894769216839</v>
      </c>
      <c r="K1713" s="3" t="n">
        <v>-0.8827894769216839</v>
      </c>
      <c r="L1713" s="3" t="n">
        <v>-0.7873684167861938</v>
      </c>
      <c r="M1713" s="3" t="n">
        <v>-0.7873684167861938</v>
      </c>
      <c r="N1713" s="3" t="n">
        <v>-0.7873684167861938</v>
      </c>
      <c r="O1713" s="3" t="n">
        <v>-0.7873684167861938</v>
      </c>
      <c r="P1713" s="3" t="n">
        <v>-0.7873684167861938</v>
      </c>
      <c r="Q1713" s="3" t="n">
        <v>-0.7873684167861938</v>
      </c>
      <c r="R1713" s="3" t="n">
        <v>-0.7729736864566803</v>
      </c>
      <c r="S1713" s="3" t="n">
        <v>-1.260947363941293</v>
      </c>
      <c r="T1713" s="3" t="n">
        <v>-0.7095526174495095</v>
      </c>
      <c r="U1713" s="3" t="n">
        <v>-0.8827894769216839</v>
      </c>
      <c r="V1713" s="3" t="n">
        <v>-0.6815526375645086</v>
      </c>
      <c r="W1713" s="3" t="n">
        <v>-0.5679210565592113</v>
      </c>
      <c r="X1713" s="3" t="n">
        <v>-1.242473682290629</v>
      </c>
      <c r="Y1713" s="3" t="n">
        <v>-0.7873684167861938</v>
      </c>
      <c r="Z1713" s="3" t="n">
        <v>-1.260947363941293</v>
      </c>
      <c r="AA1713" s="3" t="n">
        <v>-1.260947363941293</v>
      </c>
      <c r="AB1713" s="3" t="n">
        <v>-1.242473682290629</v>
      </c>
      <c r="AC1713" s="3" t="n">
        <v>-1.932868417940642</v>
      </c>
      <c r="AD1713" s="3" t="n">
        <v>-0.8827894769216839</v>
      </c>
      <c r="AE1713" s="3" t="n">
        <v>-0.8827894769216839</v>
      </c>
    </row>
    <row r="1714">
      <c r="A1714" s="3" t="inlineStr">
        <is>
          <t>PNG.distn.dec.ove.mean.6</t>
        </is>
      </c>
      <c r="B1714" s="3" t="inlineStr">
        <is>
          <t>PNG</t>
        </is>
      </c>
      <c r="C1714" s="3" t="n">
        <v>2005</v>
      </c>
      <c r="D1714" s="3" t="inlineStr">
        <is>
          <t>Overall</t>
        </is>
      </c>
      <c r="E1714" s="3" t="inlineStr">
        <is>
          <t>Deciles</t>
        </is>
      </c>
      <c r="F1714" s="3" t="inlineStr">
        <is>
          <t>mean</t>
        </is>
      </c>
      <c r="G1714" s="3" t="n">
        <v>6</v>
      </c>
      <c r="H1714" s="3" t="n">
        <v>-0.7873684167861938</v>
      </c>
      <c r="I1714" s="3" t="n">
        <v>-0.7873684167861938</v>
      </c>
      <c r="J1714" s="3" t="n">
        <v>-0.8827894769216839</v>
      </c>
      <c r="K1714" s="3" t="n">
        <v>-0.8827894769216839</v>
      </c>
      <c r="L1714" s="3" t="n">
        <v>-0.7873684167861938</v>
      </c>
      <c r="M1714" s="3" t="n">
        <v>-0.7873684167861938</v>
      </c>
      <c r="N1714" s="3" t="n">
        <v>-0.7873684167861938</v>
      </c>
      <c r="O1714" s="3" t="n">
        <v>-0.7873684167861938</v>
      </c>
      <c r="P1714" s="3" t="n">
        <v>-0.7873684167861938</v>
      </c>
      <c r="Q1714" s="3" t="n">
        <v>-0.7873684167861938</v>
      </c>
      <c r="R1714" s="3" t="n">
        <v>-0.7729736864566803</v>
      </c>
      <c r="S1714" s="3" t="n">
        <v>-1.260947363941293</v>
      </c>
      <c r="T1714" s="3" t="n">
        <v>-0.7095526174495095</v>
      </c>
      <c r="U1714" s="3" t="n">
        <v>-0.8827894769216839</v>
      </c>
      <c r="V1714" s="3" t="n">
        <v>-0.6815526375645086</v>
      </c>
      <c r="W1714" s="3" t="n">
        <v>-0.5679210565592113</v>
      </c>
      <c r="X1714" s="3" t="n">
        <v>-1.242473682290629</v>
      </c>
      <c r="Y1714" s="3" t="n">
        <v>-0.7873684167861938</v>
      </c>
      <c r="Z1714" s="3" t="n">
        <v>-1.260947363941293</v>
      </c>
      <c r="AA1714" s="3" t="n">
        <v>-1.260947363941293</v>
      </c>
      <c r="AB1714" s="3" t="n">
        <v>-1.242473682290629</v>
      </c>
      <c r="AC1714" s="3" t="n">
        <v>-1.932868417940642</v>
      </c>
      <c r="AD1714" s="3" t="n">
        <v>-0.8827894769216839</v>
      </c>
      <c r="AE1714" s="3" t="n">
        <v>-0.8827894769216839</v>
      </c>
    </row>
    <row r="1715">
      <c r="A1715" s="3" t="inlineStr">
        <is>
          <t>PNG.distn.dec.ove.mean.7</t>
        </is>
      </c>
      <c r="B1715" s="3" t="inlineStr">
        <is>
          <t>PNG</t>
        </is>
      </c>
      <c r="C1715" s="3" t="n">
        <v>2005</v>
      </c>
      <c r="D1715" s="3" t="inlineStr">
        <is>
          <t>Overall</t>
        </is>
      </c>
      <c r="E1715" s="3" t="inlineStr">
        <is>
          <t>Deciles</t>
        </is>
      </c>
      <c r="F1715" s="3" t="inlineStr">
        <is>
          <t>mean</t>
        </is>
      </c>
      <c r="G1715" s="3" t="n">
        <v>7</v>
      </c>
      <c r="H1715" s="3" t="n">
        <v>-0.7873684167861938</v>
      </c>
      <c r="I1715" s="3" t="n">
        <v>-0.7873684167861938</v>
      </c>
      <c r="J1715" s="3" t="n">
        <v>-0.8827894769216839</v>
      </c>
      <c r="K1715" s="3" t="n">
        <v>-0.8827894769216839</v>
      </c>
      <c r="L1715" s="3" t="n">
        <v>-0.7873684167861938</v>
      </c>
      <c r="M1715" s="3" t="n">
        <v>-0.7873684167861938</v>
      </c>
      <c r="N1715" s="3" t="n">
        <v>-0.7873684167861938</v>
      </c>
      <c r="O1715" s="3" t="n">
        <v>-0.7873684167861938</v>
      </c>
      <c r="P1715" s="3" t="n">
        <v>-0.7873684167861938</v>
      </c>
      <c r="Q1715" s="3" t="n">
        <v>-0.7873684167861938</v>
      </c>
      <c r="R1715" s="3" t="n">
        <v>-0.7729736864566803</v>
      </c>
      <c r="S1715" s="3" t="n">
        <v>-1.260947363941293</v>
      </c>
      <c r="T1715" s="3" t="n">
        <v>-0.7095526174495095</v>
      </c>
      <c r="U1715" s="3" t="n">
        <v>-0.8827894769216839</v>
      </c>
      <c r="V1715" s="3" t="n">
        <v>-0.6815526375645086</v>
      </c>
      <c r="W1715" s="3" t="n">
        <v>-0.5679210565592113</v>
      </c>
      <c r="X1715" s="3" t="n">
        <v>-1.242473682290629</v>
      </c>
      <c r="Y1715" s="3" t="n">
        <v>-0.7873684167861938</v>
      </c>
      <c r="Z1715" s="3" t="n">
        <v>-1.260947363941293</v>
      </c>
      <c r="AA1715" s="3" t="n">
        <v>-1.260947363941293</v>
      </c>
      <c r="AB1715" s="3" t="n">
        <v>-1.242473682290629</v>
      </c>
      <c r="AC1715" s="3" t="n">
        <v>-1.932868417940642</v>
      </c>
      <c r="AD1715" s="3" t="n">
        <v>-0.8827894769216839</v>
      </c>
      <c r="AE1715" s="3" t="n">
        <v>-0.8827894769216839</v>
      </c>
    </row>
    <row r="1716">
      <c r="A1716" s="3" t="inlineStr">
        <is>
          <t>PNG.distn.dec.ove.mean.8</t>
        </is>
      </c>
      <c r="B1716" s="3" t="inlineStr">
        <is>
          <t>PNG</t>
        </is>
      </c>
      <c r="C1716" s="3" t="n">
        <v>2005</v>
      </c>
      <c r="D1716" s="3" t="inlineStr">
        <is>
          <t>Overall</t>
        </is>
      </c>
      <c r="E1716" s="3" t="inlineStr">
        <is>
          <t>Deciles</t>
        </is>
      </c>
      <c r="F1716" s="3" t="inlineStr">
        <is>
          <t>mean</t>
        </is>
      </c>
      <c r="G1716" s="3" t="n">
        <v>8</v>
      </c>
      <c r="H1716" s="3" t="n">
        <v>-0.7877477627051505</v>
      </c>
      <c r="I1716" s="3" t="n">
        <v>-0.7877477627051505</v>
      </c>
      <c r="J1716" s="3" t="n">
        <v>-0.8851708738427413</v>
      </c>
      <c r="K1716" s="3" t="n">
        <v>-0.8851708738427413</v>
      </c>
      <c r="L1716" s="3" t="n">
        <v>-0.7877477627051505</v>
      </c>
      <c r="M1716" s="3" t="n">
        <v>-0.7877477627051505</v>
      </c>
      <c r="N1716" s="3" t="n">
        <v>-0.7877477627051505</v>
      </c>
      <c r="O1716" s="3" t="n">
        <v>-0.7877477627051505</v>
      </c>
      <c r="P1716" s="3" t="n">
        <v>-0.7877477627051505</v>
      </c>
      <c r="Q1716" s="3" t="n">
        <v>-0.7877477627051505</v>
      </c>
      <c r="R1716" s="3" t="n">
        <v>-0.7732278971295607</v>
      </c>
      <c r="S1716" s="3" t="n">
        <v>-1.272680619829579</v>
      </c>
      <c r="T1716" s="3" t="n">
        <v>-0.7095935376066911</v>
      </c>
      <c r="U1716" s="3" t="n">
        <v>-0.8851708738427413</v>
      </c>
      <c r="V1716" s="3" t="n">
        <v>-0.6822572021107924</v>
      </c>
      <c r="W1716" s="3" t="n">
        <v>-0.5831292993143985</v>
      </c>
      <c r="X1716" s="3" t="n">
        <v>-1.253795093611667</v>
      </c>
      <c r="Y1716" s="3" t="n">
        <v>-0.7877477627051505</v>
      </c>
      <c r="Z1716" s="3" t="n">
        <v>-1.272680619829579</v>
      </c>
      <c r="AA1716" s="3" t="n">
        <v>-1.272680619829579</v>
      </c>
      <c r="AB1716" s="3" t="n">
        <v>-1.253795093611667</v>
      </c>
      <c r="AC1716" s="3" t="n">
        <v>-1.960433708994012</v>
      </c>
      <c r="AD1716" s="3" t="n">
        <v>-0.8851708738427413</v>
      </c>
      <c r="AE1716" s="3" t="n">
        <v>-0.8851708738427413</v>
      </c>
    </row>
    <row r="1717">
      <c r="A1717" s="3" t="inlineStr">
        <is>
          <t>PNG.distn.dec.ove.mean.9</t>
        </is>
      </c>
      <c r="B1717" s="3" t="inlineStr">
        <is>
          <t>PNG</t>
        </is>
      </c>
      <c r="C1717" s="3" t="n">
        <v>2005</v>
      </c>
      <c r="D1717" s="3" t="inlineStr">
        <is>
          <t>Overall</t>
        </is>
      </c>
      <c r="E1717" s="3" t="inlineStr">
        <is>
          <t>Deciles</t>
        </is>
      </c>
      <c r="F1717" s="3" t="inlineStr">
        <is>
          <t>mean</t>
        </is>
      </c>
      <c r="G1717" s="3" t="n">
        <v>9</v>
      </c>
      <c r="H1717" s="3" t="n">
        <v>-0.7877477627051505</v>
      </c>
      <c r="I1717" s="3" t="n">
        <v>-0.7877477627051505</v>
      </c>
      <c r="J1717" s="3" t="n">
        <v>-0.8851708738427413</v>
      </c>
      <c r="K1717" s="3" t="n">
        <v>-0.8851708738427413</v>
      </c>
      <c r="L1717" s="3" t="n">
        <v>-0.7877477627051505</v>
      </c>
      <c r="M1717" s="3" t="n">
        <v>-0.7877477627051505</v>
      </c>
      <c r="N1717" s="3" t="n">
        <v>-0.7877477627051505</v>
      </c>
      <c r="O1717" s="3" t="n">
        <v>-0.7877477627051505</v>
      </c>
      <c r="P1717" s="3" t="n">
        <v>-0.7877477627051505</v>
      </c>
      <c r="Q1717" s="3" t="n">
        <v>-0.7877477627051505</v>
      </c>
      <c r="R1717" s="3" t="n">
        <v>-0.7732278971295607</v>
      </c>
      <c r="S1717" s="3" t="n">
        <v>-1.272680619829579</v>
      </c>
      <c r="T1717" s="3" t="n">
        <v>-0.7095935376066911</v>
      </c>
      <c r="U1717" s="3" t="n">
        <v>-0.8851708738427413</v>
      </c>
      <c r="V1717" s="3" t="n">
        <v>-0.6822572021107924</v>
      </c>
      <c r="W1717" s="3" t="n">
        <v>-0.5831292993143985</v>
      </c>
      <c r="X1717" s="3" t="n">
        <v>-1.253795093611667</v>
      </c>
      <c r="Y1717" s="3" t="n">
        <v>-0.7877477627051505</v>
      </c>
      <c r="Z1717" s="3" t="n">
        <v>-1.272680619829579</v>
      </c>
      <c r="AA1717" s="3" t="n">
        <v>-1.272680619829579</v>
      </c>
      <c r="AB1717" s="3" t="n">
        <v>-1.253795093611667</v>
      </c>
      <c r="AC1717" s="3" t="n">
        <v>-1.960433708994012</v>
      </c>
      <c r="AD1717" s="3" t="n">
        <v>-0.8851708738427413</v>
      </c>
      <c r="AE1717" s="3" t="n">
        <v>-0.8851708738427413</v>
      </c>
    </row>
    <row r="1718">
      <c r="A1718" s="3" t="inlineStr">
        <is>
          <t>PNG.distn.dec.ove.mean.10</t>
        </is>
      </c>
      <c r="B1718" s="3" t="inlineStr">
        <is>
          <t>PNG</t>
        </is>
      </c>
      <c r="C1718" s="3" t="n">
        <v>2005</v>
      </c>
      <c r="D1718" s="3" t="inlineStr">
        <is>
          <t>Overall</t>
        </is>
      </c>
      <c r="E1718" s="3" t="inlineStr">
        <is>
          <t>Deciles</t>
        </is>
      </c>
      <c r="F1718" s="3" t="inlineStr">
        <is>
          <t>mean</t>
        </is>
      </c>
      <c r="G1718" s="3" t="n">
        <v>10</v>
      </c>
      <c r="H1718" s="3" t="n">
        <v>-0.7877477627051505</v>
      </c>
      <c r="I1718" s="3" t="n">
        <v>-0.7877477627051505</v>
      </c>
      <c r="J1718" s="3" t="n">
        <v>-0.8851708738427413</v>
      </c>
      <c r="K1718" s="3" t="n">
        <v>-0.8851708738427413</v>
      </c>
      <c r="L1718" s="3" t="n">
        <v>-0.7877477627051505</v>
      </c>
      <c r="M1718" s="3" t="n">
        <v>-0.7877477627051505</v>
      </c>
      <c r="N1718" s="3" t="n">
        <v>-0.7877477627051505</v>
      </c>
      <c r="O1718" s="3" t="n">
        <v>-0.7877477627051505</v>
      </c>
      <c r="P1718" s="3" t="n">
        <v>-0.7877477627051505</v>
      </c>
      <c r="Q1718" s="3" t="n">
        <v>-0.7877477627051505</v>
      </c>
      <c r="R1718" s="3" t="n">
        <v>-0.7732278971295607</v>
      </c>
      <c r="S1718" s="3" t="n">
        <v>-1.272680619829579</v>
      </c>
      <c r="T1718" s="3" t="n">
        <v>-0.7095935376066911</v>
      </c>
      <c r="U1718" s="3" t="n">
        <v>-0.8851708738427413</v>
      </c>
      <c r="V1718" s="3" t="n">
        <v>-0.6822572021107924</v>
      </c>
      <c r="W1718" s="3" t="n">
        <v>-0.5831292993143985</v>
      </c>
      <c r="X1718" s="3" t="n">
        <v>-1.253795093611667</v>
      </c>
      <c r="Y1718" s="3" t="n">
        <v>-0.7877477627051505</v>
      </c>
      <c r="Z1718" s="3" t="n">
        <v>-1.272680619829579</v>
      </c>
      <c r="AA1718" s="3" t="n">
        <v>-1.272680619829579</v>
      </c>
      <c r="AB1718" s="3" t="n">
        <v>-1.253795093611667</v>
      </c>
      <c r="AC1718" s="3" t="n">
        <v>-1.960433708994012</v>
      </c>
      <c r="AD1718" s="3" t="n">
        <v>-0.8851708738427413</v>
      </c>
      <c r="AE1718" s="3" t="n">
        <v>-0.8851708738427413</v>
      </c>
    </row>
    <row r="1719">
      <c r="A1719" s="3" t="inlineStr">
        <is>
          <t>PNG.distn.bkt.ove.mean.9999</t>
        </is>
      </c>
      <c r="B1719" s="3" t="inlineStr">
        <is>
          <t>PNG</t>
        </is>
      </c>
      <c r="C1719" s="3" t="n">
        <v>2005</v>
      </c>
      <c r="D1719" s="3" t="inlineStr">
        <is>
          <t>Overall</t>
        </is>
      </c>
      <c r="E1719" s="3" t="inlineStr">
        <is>
          <t>Basket</t>
        </is>
      </c>
      <c r="F1719" s="3" t="inlineStr">
        <is>
          <t>mean</t>
        </is>
      </c>
      <c r="G1719" s="3" t="n">
        <v>9999</v>
      </c>
      <c r="H1719" s="3" t="n">
        <v>-0.7893673542298769</v>
      </c>
      <c r="I1719" s="3" t="n">
        <v>-0.7893673542298769</v>
      </c>
      <c r="J1719" s="3" t="n">
        <v>-0.8969508472241854</v>
      </c>
      <c r="K1719" s="3" t="n">
        <v>-0.8969508472241854</v>
      </c>
      <c r="L1719" s="3" t="n">
        <v>-0.7893673542298769</v>
      </c>
      <c r="M1719" s="3" t="n">
        <v>-0.7893673542298769</v>
      </c>
      <c r="N1719" s="3" t="n">
        <v>-0.7893673542298769</v>
      </c>
      <c r="O1719" s="3" t="n">
        <v>-0.7893673542298769</v>
      </c>
      <c r="P1719" s="3" t="n">
        <v>-0.7893673542298769</v>
      </c>
      <c r="Q1719" s="3" t="n">
        <v>-0.7893673542298769</v>
      </c>
      <c r="R1719" s="3" t="n">
        <v>-0.7740951949044278</v>
      </c>
      <c r="S1719" s="3" t="n">
        <v>-1.441575941286589</v>
      </c>
      <c r="T1719" s="3" t="n">
        <v>-0.7100016239442324</v>
      </c>
      <c r="U1719" s="3" t="n">
        <v>-0.8969508472241854</v>
      </c>
      <c r="V1719" s="3" t="n">
        <v>-0.6838645276270414</v>
      </c>
      <c r="W1719" s="3" t="n">
        <v>-0.6045490895446978</v>
      </c>
      <c r="X1719" s="3" t="n">
        <v>-1.401289532059117</v>
      </c>
      <c r="Y1719" s="3" t="n">
        <v>-0.7893673542298769</v>
      </c>
      <c r="Z1719" s="3" t="n">
        <v>-1.441575941286589</v>
      </c>
      <c r="AA1719" s="3" t="n">
        <v>-1.441575941286589</v>
      </c>
      <c r="AB1719" s="3" t="n">
        <v>-1.401289532059117</v>
      </c>
      <c r="AC1719" s="3" t="n">
        <v>-2.562009337701296</v>
      </c>
      <c r="AD1719" s="3" t="n">
        <v>-0.8969508472241854</v>
      </c>
      <c r="AE1719" s="3" t="n">
        <v>-0.8969508472241854</v>
      </c>
    </row>
    <row r="1720">
      <c r="A1720" s="3" t="inlineStr">
        <is>
          <t>POL.distn.dec.ove.mean.1</t>
        </is>
      </c>
      <c r="B1720" s="3" t="inlineStr">
        <is>
          <t>POL</t>
        </is>
      </c>
      <c r="C1720" s="3" t="n">
        <v>2005</v>
      </c>
      <c r="D1720" s="3" t="inlineStr">
        <is>
          <t>Overall</t>
        </is>
      </c>
      <c r="E1720" s="3" t="inlineStr">
        <is>
          <t>Deciles</t>
        </is>
      </c>
      <c r="F1720" s="3" t="inlineStr">
        <is>
          <t>mean</t>
        </is>
      </c>
      <c r="G1720" s="3" t="n">
        <v>1</v>
      </c>
      <c r="H1720" s="3" t="n">
        <v>-0.7872329354286194</v>
      </c>
      <c r="I1720" s="3" t="n">
        <v>-0.7872329354286194</v>
      </c>
      <c r="J1720" s="3" t="n">
        <v>-0.8837013244628906</v>
      </c>
      <c r="K1720" s="3" t="n">
        <v>-0.8837013244628906</v>
      </c>
      <c r="L1720" s="3" t="n">
        <v>-0.7872329354286194</v>
      </c>
      <c r="M1720" s="3" t="n">
        <v>-0.7872329354286194</v>
      </c>
      <c r="N1720" s="3" t="n">
        <v>-0.7872329354286194</v>
      </c>
      <c r="O1720" s="3" t="n">
        <v>-0.7872329354286194</v>
      </c>
      <c r="P1720" s="3" t="n">
        <v>-0.7872329354286194</v>
      </c>
      <c r="Q1720" s="3" t="n">
        <v>-0.7872329354286194</v>
      </c>
      <c r="R1720" s="3" t="n">
        <v>-0.772466242313385</v>
      </c>
      <c r="S1720" s="3" t="n">
        <v>-1.383034229278564</v>
      </c>
      <c r="T1720" s="3" t="n">
        <v>-0.7094525694847107</v>
      </c>
      <c r="U1720" s="3" t="n">
        <v>-0.8837013244628906</v>
      </c>
      <c r="V1720" s="3" t="n">
        <v>-0.6809241771697998</v>
      </c>
      <c r="W1720" s="3" t="n">
        <v>-0.5477621555328369</v>
      </c>
      <c r="X1720" s="3" t="n">
        <v>-1.331944584846497</v>
      </c>
      <c r="Y1720" s="3" t="n">
        <v>-0.7872329354286194</v>
      </c>
      <c r="Z1720" s="3" t="n">
        <v>-1.383034229278564</v>
      </c>
      <c r="AA1720" s="3" t="n">
        <v>-1.383034229278564</v>
      </c>
      <c r="AB1720" s="3" t="n">
        <v>-1.331944584846497</v>
      </c>
      <c r="AC1720" s="3" t="n">
        <v>-2.064513206481934</v>
      </c>
      <c r="AD1720" s="3" t="n">
        <v>-0.8837013244628906</v>
      </c>
      <c r="AE1720" s="3" t="n">
        <v>-0.8837013244628906</v>
      </c>
    </row>
    <row r="1721">
      <c r="A1721" s="3" t="inlineStr">
        <is>
          <t>POL.distn.dec.ove.mean.2</t>
        </is>
      </c>
      <c r="B1721" s="3" t="inlineStr">
        <is>
          <t>POL</t>
        </is>
      </c>
      <c r="C1721" s="3" t="n">
        <v>2005</v>
      </c>
      <c r="D1721" s="3" t="inlineStr">
        <is>
          <t>Overall</t>
        </is>
      </c>
      <c r="E1721" s="3" t="inlineStr">
        <is>
          <t>Deciles</t>
        </is>
      </c>
      <c r="F1721" s="3" t="inlineStr">
        <is>
          <t>mean</t>
        </is>
      </c>
      <c r="G1721" s="3" t="n">
        <v>2</v>
      </c>
      <c r="H1721" s="3" t="n">
        <v>-0.7872329354286194</v>
      </c>
      <c r="I1721" s="3" t="n">
        <v>-0.7872329354286194</v>
      </c>
      <c r="J1721" s="3" t="n">
        <v>-0.8837013244628906</v>
      </c>
      <c r="K1721" s="3" t="n">
        <v>-0.8837013244628906</v>
      </c>
      <c r="L1721" s="3" t="n">
        <v>-0.7872329354286194</v>
      </c>
      <c r="M1721" s="3" t="n">
        <v>-0.7872329354286194</v>
      </c>
      <c r="N1721" s="3" t="n">
        <v>-0.7872329354286194</v>
      </c>
      <c r="O1721" s="3" t="n">
        <v>-0.7872329354286194</v>
      </c>
      <c r="P1721" s="3" t="n">
        <v>-0.7872329354286194</v>
      </c>
      <c r="Q1721" s="3" t="n">
        <v>-0.7872329354286194</v>
      </c>
      <c r="R1721" s="3" t="n">
        <v>-0.772466242313385</v>
      </c>
      <c r="S1721" s="3" t="n">
        <v>-1.383034229278564</v>
      </c>
      <c r="T1721" s="3" t="n">
        <v>-0.7094525694847107</v>
      </c>
      <c r="U1721" s="3" t="n">
        <v>-0.8837013244628906</v>
      </c>
      <c r="V1721" s="3" t="n">
        <v>-0.6809241771697998</v>
      </c>
      <c r="W1721" s="3" t="n">
        <v>-0.5477621555328369</v>
      </c>
      <c r="X1721" s="3" t="n">
        <v>-1.331944584846497</v>
      </c>
      <c r="Y1721" s="3" t="n">
        <v>-0.7872329354286194</v>
      </c>
      <c r="Z1721" s="3" t="n">
        <v>-1.383034229278564</v>
      </c>
      <c r="AA1721" s="3" t="n">
        <v>-1.383034229278564</v>
      </c>
      <c r="AB1721" s="3" t="n">
        <v>-1.331944584846497</v>
      </c>
      <c r="AC1721" s="3" t="n">
        <v>-2.064513206481934</v>
      </c>
      <c r="AD1721" s="3" t="n">
        <v>-0.8837013244628906</v>
      </c>
      <c r="AE1721" s="3" t="n">
        <v>-0.8837013244628906</v>
      </c>
    </row>
    <row r="1722">
      <c r="A1722" s="3" t="inlineStr">
        <is>
          <t>POL.distn.dec.ove.mean.3</t>
        </is>
      </c>
      <c r="B1722" s="3" t="inlineStr">
        <is>
          <t>POL</t>
        </is>
      </c>
      <c r="C1722" s="3" t="n">
        <v>2005</v>
      </c>
      <c r="D1722" s="3" t="inlineStr">
        <is>
          <t>Overall</t>
        </is>
      </c>
      <c r="E1722" s="3" t="inlineStr">
        <is>
          <t>Deciles</t>
        </is>
      </c>
      <c r="F1722" s="3" t="inlineStr">
        <is>
          <t>mean</t>
        </is>
      </c>
      <c r="G1722" s="3" t="n">
        <v>3</v>
      </c>
      <c r="H1722" s="3" t="n">
        <v>-0.7872329354286194</v>
      </c>
      <c r="I1722" s="3" t="n">
        <v>-0.7872329354286194</v>
      </c>
      <c r="J1722" s="3" t="n">
        <v>-0.8837013244628906</v>
      </c>
      <c r="K1722" s="3" t="n">
        <v>-0.8837013244628906</v>
      </c>
      <c r="L1722" s="3" t="n">
        <v>-0.7872329354286194</v>
      </c>
      <c r="M1722" s="3" t="n">
        <v>-0.7872329354286194</v>
      </c>
      <c r="N1722" s="3" t="n">
        <v>-0.7872329354286194</v>
      </c>
      <c r="O1722" s="3" t="n">
        <v>-0.7872329354286194</v>
      </c>
      <c r="P1722" s="3" t="n">
        <v>-0.7872329354286194</v>
      </c>
      <c r="Q1722" s="3" t="n">
        <v>-0.7872329354286194</v>
      </c>
      <c r="R1722" s="3" t="n">
        <v>-0.772466242313385</v>
      </c>
      <c r="S1722" s="3" t="n">
        <v>-1.383034229278564</v>
      </c>
      <c r="T1722" s="3" t="n">
        <v>-0.7094525694847107</v>
      </c>
      <c r="U1722" s="3" t="n">
        <v>-0.8837013244628906</v>
      </c>
      <c r="V1722" s="3" t="n">
        <v>-0.6809241771697998</v>
      </c>
      <c r="W1722" s="3" t="n">
        <v>-0.5477621555328369</v>
      </c>
      <c r="X1722" s="3" t="n">
        <v>-1.331944584846497</v>
      </c>
      <c r="Y1722" s="3" t="n">
        <v>-0.7872329354286194</v>
      </c>
      <c r="Z1722" s="3" t="n">
        <v>-1.383034229278564</v>
      </c>
      <c r="AA1722" s="3" t="n">
        <v>-1.383034229278564</v>
      </c>
      <c r="AB1722" s="3" t="n">
        <v>-1.331944584846497</v>
      </c>
      <c r="AC1722" s="3" t="n">
        <v>-2.064513206481934</v>
      </c>
      <c r="AD1722" s="3" t="n">
        <v>-0.8837013244628906</v>
      </c>
      <c r="AE1722" s="3" t="n">
        <v>-0.8837013244628906</v>
      </c>
    </row>
    <row r="1723">
      <c r="A1723" s="3" t="inlineStr">
        <is>
          <t>POL.distn.dec.ove.mean.4</t>
        </is>
      </c>
      <c r="B1723" s="3" t="inlineStr">
        <is>
          <t>POL</t>
        </is>
      </c>
      <c r="C1723" s="3" t="n">
        <v>2005</v>
      </c>
      <c r="D1723" s="3" t="inlineStr">
        <is>
          <t>Overall</t>
        </is>
      </c>
      <c r="E1723" s="3" t="inlineStr">
        <is>
          <t>Deciles</t>
        </is>
      </c>
      <c r="F1723" s="3" t="inlineStr">
        <is>
          <t>mean</t>
        </is>
      </c>
      <c r="G1723" s="3" t="n">
        <v>4</v>
      </c>
      <c r="H1723" s="3" t="n">
        <v>-0.781000018119812</v>
      </c>
      <c r="I1723" s="3" t="n">
        <v>-0.781000018119812</v>
      </c>
      <c r="J1723" s="3" t="n">
        <v>-0.8410000205039978</v>
      </c>
      <c r="K1723" s="3" t="n">
        <v>-0.8410000205039978</v>
      </c>
      <c r="L1723" s="3" t="n">
        <v>-0.781000018119812</v>
      </c>
      <c r="M1723" s="3" t="n">
        <v>-0.781000018119812</v>
      </c>
      <c r="N1723" s="3" t="n">
        <v>-0.781000018119812</v>
      </c>
      <c r="O1723" s="3" t="n">
        <v>-0.781000018119812</v>
      </c>
      <c r="P1723" s="3" t="n">
        <v>-0.781000018119812</v>
      </c>
      <c r="Q1723" s="3" t="n">
        <v>-0.781000018119812</v>
      </c>
      <c r="R1723" s="3" t="n">
        <v>-0.7689999938011169</v>
      </c>
      <c r="S1723" s="3" t="n">
        <v>-0.9419999718666077</v>
      </c>
      <c r="T1723" s="3" t="n">
        <v>-0.7080000042915344</v>
      </c>
      <c r="U1723" s="3" t="n">
        <v>-0.8410000205039978</v>
      </c>
      <c r="V1723" s="3" t="n">
        <v>-0.6740000247955322</v>
      </c>
      <c r="W1723" s="3" t="n">
        <v>-0.460999995470047</v>
      </c>
      <c r="X1723" s="3" t="n">
        <v>-0.9399999976158142</v>
      </c>
      <c r="Y1723" s="3" t="n">
        <v>-0.781000018119812</v>
      </c>
      <c r="Z1723" s="3" t="n">
        <v>-0.9419999718666077</v>
      </c>
      <c r="AA1723" s="3" t="n">
        <v>-0.9419999718666077</v>
      </c>
      <c r="AB1723" s="3" t="n">
        <v>-0.9399999976158142</v>
      </c>
      <c r="AC1723" s="3" t="n">
        <v>-0.996999979019165</v>
      </c>
      <c r="AD1723" s="3" t="n">
        <v>-0.8410000205039978</v>
      </c>
      <c r="AE1723" s="3" t="n">
        <v>-0.8410000205039978</v>
      </c>
    </row>
    <row r="1724">
      <c r="A1724" s="3" t="inlineStr">
        <is>
          <t>POL.distn.dec.ove.mean.5</t>
        </is>
      </c>
      <c r="B1724" s="3" t="inlineStr">
        <is>
          <t>POL</t>
        </is>
      </c>
      <c r="C1724" s="3" t="n">
        <v>2005</v>
      </c>
      <c r="D1724" s="3" t="inlineStr">
        <is>
          <t>Overall</t>
        </is>
      </c>
      <c r="E1724" s="3" t="inlineStr">
        <is>
          <t>Deciles</t>
        </is>
      </c>
      <c r="F1724" s="3" t="inlineStr">
        <is>
          <t>mean</t>
        </is>
      </c>
      <c r="G1724" s="3" t="n">
        <v>5</v>
      </c>
      <c r="H1724" s="3" t="n">
        <v>-0.781000018119812</v>
      </c>
      <c r="I1724" s="3" t="n">
        <v>-0.781000018119812</v>
      </c>
      <c r="J1724" s="3" t="n">
        <v>-0.8410000205039978</v>
      </c>
      <c r="K1724" s="3" t="n">
        <v>-0.8410000205039978</v>
      </c>
      <c r="L1724" s="3" t="n">
        <v>-0.781000018119812</v>
      </c>
      <c r="M1724" s="3" t="n">
        <v>-0.781000018119812</v>
      </c>
      <c r="N1724" s="3" t="n">
        <v>-0.781000018119812</v>
      </c>
      <c r="O1724" s="3" t="n">
        <v>-0.781000018119812</v>
      </c>
      <c r="P1724" s="3" t="n">
        <v>-0.781000018119812</v>
      </c>
      <c r="Q1724" s="3" t="n">
        <v>-0.781000018119812</v>
      </c>
      <c r="R1724" s="3" t="n">
        <v>-0.7689999938011169</v>
      </c>
      <c r="S1724" s="3" t="n">
        <v>-0.9419999718666077</v>
      </c>
      <c r="T1724" s="3" t="n">
        <v>-0.7080000042915344</v>
      </c>
      <c r="U1724" s="3" t="n">
        <v>-0.8410000205039978</v>
      </c>
      <c r="V1724" s="3" t="n">
        <v>-0.6740000247955322</v>
      </c>
      <c r="W1724" s="3" t="n">
        <v>-0.460999995470047</v>
      </c>
      <c r="X1724" s="3" t="n">
        <v>-0.9399999976158142</v>
      </c>
      <c r="Y1724" s="3" t="n">
        <v>-0.781000018119812</v>
      </c>
      <c r="Z1724" s="3" t="n">
        <v>-0.9419999718666077</v>
      </c>
      <c r="AA1724" s="3" t="n">
        <v>-0.9419999718666077</v>
      </c>
      <c r="AB1724" s="3" t="n">
        <v>-0.9399999976158142</v>
      </c>
      <c r="AC1724" s="3" t="n">
        <v>-0.996999979019165</v>
      </c>
      <c r="AD1724" s="3" t="n">
        <v>-0.8410000205039978</v>
      </c>
      <c r="AE1724" s="3" t="n">
        <v>-0.8410000205039978</v>
      </c>
    </row>
    <row r="1725">
      <c r="A1725" s="3" t="inlineStr">
        <is>
          <t>POL.distn.dec.ove.mean.6</t>
        </is>
      </c>
      <c r="B1725" s="3" t="inlineStr">
        <is>
          <t>POL</t>
        </is>
      </c>
      <c r="C1725" s="3" t="n">
        <v>2005</v>
      </c>
      <c r="D1725" s="3" t="inlineStr">
        <is>
          <t>Overall</t>
        </is>
      </c>
      <c r="E1725" s="3" t="inlineStr">
        <is>
          <t>Deciles</t>
        </is>
      </c>
      <c r="F1725" s="3" t="inlineStr">
        <is>
          <t>mean</t>
        </is>
      </c>
      <c r="G1725" s="3" t="n">
        <v>6</v>
      </c>
      <c r="H1725" s="3" t="n">
        <v>-0.781000018119812</v>
      </c>
      <c r="I1725" s="3" t="n">
        <v>-0.781000018119812</v>
      </c>
      <c r="J1725" s="3" t="n">
        <v>-0.8410000205039978</v>
      </c>
      <c r="K1725" s="3" t="n">
        <v>-0.8410000205039978</v>
      </c>
      <c r="L1725" s="3" t="n">
        <v>-0.781000018119812</v>
      </c>
      <c r="M1725" s="3" t="n">
        <v>-0.781000018119812</v>
      </c>
      <c r="N1725" s="3" t="n">
        <v>-0.781000018119812</v>
      </c>
      <c r="O1725" s="3" t="n">
        <v>-0.781000018119812</v>
      </c>
      <c r="P1725" s="3" t="n">
        <v>-0.781000018119812</v>
      </c>
      <c r="Q1725" s="3" t="n">
        <v>-0.781000018119812</v>
      </c>
      <c r="R1725" s="3" t="n">
        <v>-0.7689999938011169</v>
      </c>
      <c r="S1725" s="3" t="n">
        <v>-0.9419999718666077</v>
      </c>
      <c r="T1725" s="3" t="n">
        <v>-0.7080000042915344</v>
      </c>
      <c r="U1725" s="3" t="n">
        <v>-0.8410000205039978</v>
      </c>
      <c r="V1725" s="3" t="n">
        <v>-0.6740000247955322</v>
      </c>
      <c r="W1725" s="3" t="n">
        <v>-0.460999995470047</v>
      </c>
      <c r="X1725" s="3" t="n">
        <v>-0.9399999976158142</v>
      </c>
      <c r="Y1725" s="3" t="n">
        <v>-0.781000018119812</v>
      </c>
      <c r="Z1725" s="3" t="n">
        <v>-0.9419999718666077</v>
      </c>
      <c r="AA1725" s="3" t="n">
        <v>-0.9419999718666077</v>
      </c>
      <c r="AB1725" s="3" t="n">
        <v>-0.9399999976158142</v>
      </c>
      <c r="AC1725" s="3" t="n">
        <v>-0.996999979019165</v>
      </c>
      <c r="AD1725" s="3" t="n">
        <v>-0.8410000205039978</v>
      </c>
      <c r="AE1725" s="3" t="n">
        <v>-0.8410000205039978</v>
      </c>
    </row>
    <row r="1726">
      <c r="A1726" s="3" t="inlineStr">
        <is>
          <t>POL.distn.dec.ove.mean.7</t>
        </is>
      </c>
      <c r="B1726" s="3" t="inlineStr">
        <is>
          <t>POL</t>
        </is>
      </c>
      <c r="C1726" s="3" t="n">
        <v>2005</v>
      </c>
      <c r="D1726" s="3" t="inlineStr">
        <is>
          <t>Overall</t>
        </is>
      </c>
      <c r="E1726" s="3" t="inlineStr">
        <is>
          <t>Deciles</t>
        </is>
      </c>
      <c r="F1726" s="3" t="inlineStr">
        <is>
          <t>mean</t>
        </is>
      </c>
      <c r="G1726" s="3" t="n">
        <v>7</v>
      </c>
      <c r="H1726" s="3" t="n">
        <v>-0.781000018119812</v>
      </c>
      <c r="I1726" s="3" t="n">
        <v>-0.781000018119812</v>
      </c>
      <c r="J1726" s="3" t="n">
        <v>-0.8410000205039978</v>
      </c>
      <c r="K1726" s="3" t="n">
        <v>-0.8410000205039978</v>
      </c>
      <c r="L1726" s="3" t="n">
        <v>-0.781000018119812</v>
      </c>
      <c r="M1726" s="3" t="n">
        <v>-0.781000018119812</v>
      </c>
      <c r="N1726" s="3" t="n">
        <v>-0.781000018119812</v>
      </c>
      <c r="O1726" s="3" t="n">
        <v>-0.781000018119812</v>
      </c>
      <c r="P1726" s="3" t="n">
        <v>-0.781000018119812</v>
      </c>
      <c r="Q1726" s="3" t="n">
        <v>-0.781000018119812</v>
      </c>
      <c r="R1726" s="3" t="n">
        <v>-0.7689999938011169</v>
      </c>
      <c r="S1726" s="3" t="n">
        <v>-0.9419999718666077</v>
      </c>
      <c r="T1726" s="3" t="n">
        <v>-0.7080000042915344</v>
      </c>
      <c r="U1726" s="3" t="n">
        <v>-0.8410000205039978</v>
      </c>
      <c r="V1726" s="3" t="n">
        <v>-0.6740000247955322</v>
      </c>
      <c r="W1726" s="3" t="n">
        <v>-0.460999995470047</v>
      </c>
      <c r="X1726" s="3" t="n">
        <v>-0.9399999976158142</v>
      </c>
      <c r="Y1726" s="3" t="n">
        <v>-0.781000018119812</v>
      </c>
      <c r="Z1726" s="3" t="n">
        <v>-0.9419999718666077</v>
      </c>
      <c r="AA1726" s="3" t="n">
        <v>-0.9419999718666077</v>
      </c>
      <c r="AB1726" s="3" t="n">
        <v>-0.9399999976158142</v>
      </c>
      <c r="AC1726" s="3" t="n">
        <v>-0.996999979019165</v>
      </c>
      <c r="AD1726" s="3" t="n">
        <v>-0.8410000205039978</v>
      </c>
      <c r="AE1726" s="3" t="n">
        <v>-0.8410000205039978</v>
      </c>
    </row>
    <row r="1727">
      <c r="A1727" s="3" t="inlineStr">
        <is>
          <t>POL.distn.dec.ove.mean.8</t>
        </is>
      </c>
      <c r="B1727" s="3" t="inlineStr">
        <is>
          <t>POL</t>
        </is>
      </c>
      <c r="C1727" s="3" t="n">
        <v>2005</v>
      </c>
      <c r="D1727" s="3" t="inlineStr">
        <is>
          <t>Overall</t>
        </is>
      </c>
      <c r="E1727" s="3" t="inlineStr">
        <is>
          <t>Deciles</t>
        </is>
      </c>
      <c r="F1727" s="3" t="inlineStr">
        <is>
          <t>mean</t>
        </is>
      </c>
      <c r="G1727" s="3" t="n">
        <v>8</v>
      </c>
      <c r="H1727" s="3" t="n">
        <v>-0.7813762426376343</v>
      </c>
      <c r="I1727" s="3" t="n">
        <v>-0.7813762426376343</v>
      </c>
      <c r="J1727" s="3" t="n">
        <v>-0.8432686924934387</v>
      </c>
      <c r="K1727" s="3" t="n">
        <v>-0.8432686924934387</v>
      </c>
      <c r="L1727" s="3" t="n">
        <v>-0.7813762426376343</v>
      </c>
      <c r="M1727" s="3" t="n">
        <v>-0.7813762426376343</v>
      </c>
      <c r="N1727" s="3" t="n">
        <v>-0.7813762426376343</v>
      </c>
      <c r="O1727" s="3" t="n">
        <v>-0.7813762426376343</v>
      </c>
      <c r="P1727" s="3" t="n">
        <v>-0.7813762426376343</v>
      </c>
      <c r="Q1727" s="3" t="n">
        <v>-0.7813762426376343</v>
      </c>
      <c r="R1727" s="3" t="n">
        <v>-0.7692528963088989</v>
      </c>
      <c r="S1727" s="3" t="n">
        <v>-0.9507654309272766</v>
      </c>
      <c r="T1727" s="3" t="n">
        <v>-0.7080408334732056</v>
      </c>
      <c r="U1727" s="3" t="n">
        <v>-0.8432686924934387</v>
      </c>
      <c r="V1727" s="3" t="n">
        <v>-0.6746967434883118</v>
      </c>
      <c r="W1727" s="3" t="n">
        <v>-0.4733450412750244</v>
      </c>
      <c r="X1727" s="3" t="n">
        <v>-0.9485653042793274</v>
      </c>
      <c r="Y1727" s="3" t="n">
        <v>-0.7813762426376343</v>
      </c>
      <c r="Z1727" s="3" t="n">
        <v>-0.9507654309272766</v>
      </c>
      <c r="AA1727" s="3" t="n">
        <v>-0.9507654309272766</v>
      </c>
      <c r="AB1727" s="3" t="n">
        <v>-0.9485653042793274</v>
      </c>
      <c r="AC1727" s="3" t="n">
        <v>-1.011218547821045</v>
      </c>
      <c r="AD1727" s="3" t="n">
        <v>-0.8432686924934387</v>
      </c>
      <c r="AE1727" s="3" t="n">
        <v>-0.8432686924934387</v>
      </c>
    </row>
    <row r="1728">
      <c r="A1728" s="3" t="inlineStr">
        <is>
          <t>POL.distn.dec.ove.mean.9</t>
        </is>
      </c>
      <c r="B1728" s="3" t="inlineStr">
        <is>
          <t>POL</t>
        </is>
      </c>
      <c r="C1728" s="3" t="n">
        <v>2005</v>
      </c>
      <c r="D1728" s="3" t="inlineStr">
        <is>
          <t>Overall</t>
        </is>
      </c>
      <c r="E1728" s="3" t="inlineStr">
        <is>
          <t>Deciles</t>
        </is>
      </c>
      <c r="F1728" s="3" t="inlineStr">
        <is>
          <t>mean</t>
        </is>
      </c>
      <c r="G1728" s="3" t="n">
        <v>9</v>
      </c>
      <c r="H1728" s="3" t="n">
        <v>-0.7813762426376343</v>
      </c>
      <c r="I1728" s="3" t="n">
        <v>-0.7813762426376343</v>
      </c>
      <c r="J1728" s="3" t="n">
        <v>-0.8432686924934387</v>
      </c>
      <c r="K1728" s="3" t="n">
        <v>-0.8432686924934387</v>
      </c>
      <c r="L1728" s="3" t="n">
        <v>-0.7813762426376343</v>
      </c>
      <c r="M1728" s="3" t="n">
        <v>-0.7813762426376343</v>
      </c>
      <c r="N1728" s="3" t="n">
        <v>-0.7813762426376343</v>
      </c>
      <c r="O1728" s="3" t="n">
        <v>-0.7813762426376343</v>
      </c>
      <c r="P1728" s="3" t="n">
        <v>-0.7813762426376343</v>
      </c>
      <c r="Q1728" s="3" t="n">
        <v>-0.7813762426376343</v>
      </c>
      <c r="R1728" s="3" t="n">
        <v>-0.7692528963088989</v>
      </c>
      <c r="S1728" s="3" t="n">
        <v>-0.9507654309272766</v>
      </c>
      <c r="T1728" s="3" t="n">
        <v>-0.7080408334732056</v>
      </c>
      <c r="U1728" s="3" t="n">
        <v>-0.8432686924934387</v>
      </c>
      <c r="V1728" s="3" t="n">
        <v>-0.6746967434883118</v>
      </c>
      <c r="W1728" s="3" t="n">
        <v>-0.4733450412750244</v>
      </c>
      <c r="X1728" s="3" t="n">
        <v>-0.9485653042793274</v>
      </c>
      <c r="Y1728" s="3" t="n">
        <v>-0.7813762426376343</v>
      </c>
      <c r="Z1728" s="3" t="n">
        <v>-0.9507654309272766</v>
      </c>
      <c r="AA1728" s="3" t="n">
        <v>-0.9507654309272766</v>
      </c>
      <c r="AB1728" s="3" t="n">
        <v>-0.9485653042793274</v>
      </c>
      <c r="AC1728" s="3" t="n">
        <v>-1.011218547821045</v>
      </c>
      <c r="AD1728" s="3" t="n">
        <v>-0.8432686924934387</v>
      </c>
      <c r="AE1728" s="3" t="n">
        <v>-0.8432686924934387</v>
      </c>
    </row>
    <row r="1729">
      <c r="A1729" s="3" t="inlineStr">
        <is>
          <t>POL.distn.dec.ove.mean.10</t>
        </is>
      </c>
      <c r="B1729" s="3" t="inlineStr">
        <is>
          <t>POL</t>
        </is>
      </c>
      <c r="C1729" s="3" t="n">
        <v>2005</v>
      </c>
      <c r="D1729" s="3" t="inlineStr">
        <is>
          <t>Overall</t>
        </is>
      </c>
      <c r="E1729" s="3" t="inlineStr">
        <is>
          <t>Deciles</t>
        </is>
      </c>
      <c r="F1729" s="3" t="inlineStr">
        <is>
          <t>mean</t>
        </is>
      </c>
      <c r="G1729" s="3" t="n">
        <v>10</v>
      </c>
      <c r="H1729" s="3" t="n">
        <v>-0.7813762426376343</v>
      </c>
      <c r="I1729" s="3" t="n">
        <v>-0.7813762426376343</v>
      </c>
      <c r="J1729" s="3" t="n">
        <v>-0.8432686924934387</v>
      </c>
      <c r="K1729" s="3" t="n">
        <v>-0.8432686924934387</v>
      </c>
      <c r="L1729" s="3" t="n">
        <v>-0.7813762426376343</v>
      </c>
      <c r="M1729" s="3" t="n">
        <v>-0.7813762426376343</v>
      </c>
      <c r="N1729" s="3" t="n">
        <v>-0.7813762426376343</v>
      </c>
      <c r="O1729" s="3" t="n">
        <v>-0.7813762426376343</v>
      </c>
      <c r="P1729" s="3" t="n">
        <v>-0.7813762426376343</v>
      </c>
      <c r="Q1729" s="3" t="n">
        <v>-0.7813762426376343</v>
      </c>
      <c r="R1729" s="3" t="n">
        <v>-0.7692528963088989</v>
      </c>
      <c r="S1729" s="3" t="n">
        <v>-0.9507654309272766</v>
      </c>
      <c r="T1729" s="3" t="n">
        <v>-0.7080408334732056</v>
      </c>
      <c r="U1729" s="3" t="n">
        <v>-0.8432686924934387</v>
      </c>
      <c r="V1729" s="3" t="n">
        <v>-0.6746967434883118</v>
      </c>
      <c r="W1729" s="3" t="n">
        <v>-0.4733450412750244</v>
      </c>
      <c r="X1729" s="3" t="n">
        <v>-0.9485653042793274</v>
      </c>
      <c r="Y1729" s="3" t="n">
        <v>-0.7813762426376343</v>
      </c>
      <c r="Z1729" s="3" t="n">
        <v>-0.9507654309272766</v>
      </c>
      <c r="AA1729" s="3" t="n">
        <v>-0.9507654309272766</v>
      </c>
      <c r="AB1729" s="3" t="n">
        <v>-0.9485653042793274</v>
      </c>
      <c r="AC1729" s="3" t="n">
        <v>-1.011218547821045</v>
      </c>
      <c r="AD1729" s="3" t="n">
        <v>-0.8432686924934387</v>
      </c>
      <c r="AE1729" s="3" t="n">
        <v>-0.8432686924934387</v>
      </c>
    </row>
    <row r="1730">
      <c r="A1730" s="3" t="inlineStr">
        <is>
          <t>POL.distn.bkt.ove.mean.9999</t>
        </is>
      </c>
      <c r="B1730" s="3" t="inlineStr">
        <is>
          <t>POL</t>
        </is>
      </c>
      <c r="C1730" s="3" t="n">
        <v>2005</v>
      </c>
      <c r="D1730" s="3" t="inlineStr">
        <is>
          <t>Overall</t>
        </is>
      </c>
      <c r="E1730" s="3" t="inlineStr">
        <is>
          <t>Basket</t>
        </is>
      </c>
      <c r="F1730" s="3" t="inlineStr">
        <is>
          <t>mean</t>
        </is>
      </c>
      <c r="G1730" s="3" t="n">
        <v>9999</v>
      </c>
      <c r="H1730" s="3" t="n">
        <v>-0.7829827666282654</v>
      </c>
      <c r="I1730" s="3" t="n">
        <v>-0.7829827666282654</v>
      </c>
      <c r="J1730" s="3" t="n">
        <v>-0.8544909954071045</v>
      </c>
      <c r="K1730" s="3" t="n">
        <v>-0.8544909954071045</v>
      </c>
      <c r="L1730" s="3" t="n">
        <v>-0.7829827666282654</v>
      </c>
      <c r="M1730" s="3" t="n">
        <v>-0.7829827666282654</v>
      </c>
      <c r="N1730" s="3" t="n">
        <v>-0.7829827666282654</v>
      </c>
      <c r="O1730" s="3" t="n">
        <v>-0.7829827666282654</v>
      </c>
      <c r="P1730" s="3" t="n">
        <v>-0.7829827666282654</v>
      </c>
      <c r="Q1730" s="3" t="n">
        <v>-0.7829827666282654</v>
      </c>
      <c r="R1730" s="3" t="n">
        <v>-0.7701157331466675</v>
      </c>
      <c r="S1730" s="3" t="n">
        <v>-1.076939940452576</v>
      </c>
      <c r="T1730" s="3" t="n">
        <v>-0.708448052406311</v>
      </c>
      <c r="U1730" s="3" t="n">
        <v>-0.8544909954071045</v>
      </c>
      <c r="V1730" s="3" t="n">
        <v>-0.6762862801551819</v>
      </c>
      <c r="W1730" s="3" t="n">
        <v>-0.4907321631908417</v>
      </c>
      <c r="X1730" s="3" t="n">
        <v>-1.060153007507324</v>
      </c>
      <c r="Y1730" s="3" t="n">
        <v>-0.7829827666282654</v>
      </c>
      <c r="Z1730" s="3" t="n">
        <v>-1.076939940452576</v>
      </c>
      <c r="AA1730" s="3" t="n">
        <v>-1.076939940452576</v>
      </c>
      <c r="AB1730" s="3" t="n">
        <v>-1.060153007507324</v>
      </c>
      <c r="AC1730" s="3" t="n">
        <v>-1.321519494056702</v>
      </c>
      <c r="AD1730" s="3" t="n">
        <v>-0.8544909954071045</v>
      </c>
      <c r="AE1730" s="3" t="n">
        <v>-0.8544909954071045</v>
      </c>
    </row>
    <row r="1731">
      <c r="A1731" s="3" t="inlineStr">
        <is>
          <t>PRI.distn.dec.ove.mean.1</t>
        </is>
      </c>
      <c r="B1731" s="3" t="inlineStr">
        <is>
          <t>PRI</t>
        </is>
      </c>
      <c r="C1731" s="3" t="n">
        <v>2005</v>
      </c>
      <c r="D1731" s="3" t="inlineStr">
        <is>
          <t>Overall</t>
        </is>
      </c>
      <c r="E1731" s="3" t="inlineStr">
        <is>
          <t>Deciles</t>
        </is>
      </c>
      <c r="F1731" s="3" t="inlineStr">
        <is>
          <t>mean</t>
        </is>
      </c>
      <c r="G1731" s="3" t="n">
        <v>1</v>
      </c>
      <c r="H1731" s="3" t="n">
        <v>-0.7878549098968506</v>
      </c>
      <c r="I1731" s="3" t="n">
        <v>-0.7878549098968506</v>
      </c>
      <c r="J1731" s="3" t="n">
        <v>-0.8883962808771336</v>
      </c>
      <c r="K1731" s="3" t="n">
        <v>-0.8883962808771336</v>
      </c>
      <c r="L1731" s="3" t="n">
        <v>-0.7878549098968506</v>
      </c>
      <c r="M1731" s="3" t="n">
        <v>-0.7878549098968506</v>
      </c>
      <c r="N1731" s="3" t="n">
        <v>-0.7878549098968506</v>
      </c>
      <c r="O1731" s="3" t="n">
        <v>-0.7878549098968506</v>
      </c>
      <c r="P1731" s="3" t="n">
        <v>-0.7878549098968506</v>
      </c>
      <c r="Q1731" s="3" t="n">
        <v>-0.7878549098968506</v>
      </c>
      <c r="R1731" s="3" t="n">
        <v>-0.7732356596500316</v>
      </c>
      <c r="S1731" s="3" t="n">
        <v>-1.408805674694954</v>
      </c>
      <c r="T1731" s="3" t="n">
        <v>-0.7095591730259835</v>
      </c>
      <c r="U1731" s="3" t="n">
        <v>-0.8883962808771336</v>
      </c>
      <c r="V1731" s="3" t="n">
        <v>-0.681934451803248</v>
      </c>
      <c r="W1731" s="3" t="n">
        <v>-0.5702875047288043</v>
      </c>
      <c r="X1731" s="3" t="n">
        <v>-1.356243993373627</v>
      </c>
      <c r="Y1731" s="3" t="n">
        <v>-0.7878549098968506</v>
      </c>
      <c r="Z1731" s="3" t="n">
        <v>-1.408805674694954</v>
      </c>
      <c r="AA1731" s="3" t="n">
        <v>-1.408805674694954</v>
      </c>
      <c r="AB1731" s="3" t="n">
        <v>-1.356243993373627</v>
      </c>
      <c r="AC1731" s="3" t="n">
        <v>-2.123991362592007</v>
      </c>
      <c r="AD1731" s="3" t="n">
        <v>-0.8883962808771336</v>
      </c>
      <c r="AE1731" s="3" t="n">
        <v>-0.8883962808771336</v>
      </c>
    </row>
    <row r="1732">
      <c r="A1732" s="3" t="inlineStr">
        <is>
          <t>PRI.distn.dec.ove.mean.2</t>
        </is>
      </c>
      <c r="B1732" s="3" t="inlineStr">
        <is>
          <t>PRI</t>
        </is>
      </c>
      <c r="C1732" s="3" t="n">
        <v>2005</v>
      </c>
      <c r="D1732" s="3" t="inlineStr">
        <is>
          <t>Overall</t>
        </is>
      </c>
      <c r="E1732" s="3" t="inlineStr">
        <is>
          <t>Deciles</t>
        </is>
      </c>
      <c r="F1732" s="3" t="inlineStr">
        <is>
          <t>mean</t>
        </is>
      </c>
      <c r="G1732" s="3" t="n">
        <v>2</v>
      </c>
      <c r="H1732" s="3" t="n">
        <v>-0.7878549098968506</v>
      </c>
      <c r="I1732" s="3" t="n">
        <v>-0.7878549098968506</v>
      </c>
      <c r="J1732" s="3" t="n">
        <v>-0.8883962808771336</v>
      </c>
      <c r="K1732" s="3" t="n">
        <v>-0.8883962808771336</v>
      </c>
      <c r="L1732" s="3" t="n">
        <v>-0.7878549098968506</v>
      </c>
      <c r="M1732" s="3" t="n">
        <v>-0.7878549098968506</v>
      </c>
      <c r="N1732" s="3" t="n">
        <v>-0.7878549098968506</v>
      </c>
      <c r="O1732" s="3" t="n">
        <v>-0.7878549098968506</v>
      </c>
      <c r="P1732" s="3" t="n">
        <v>-0.7878549098968506</v>
      </c>
      <c r="Q1732" s="3" t="n">
        <v>-0.7878549098968506</v>
      </c>
      <c r="R1732" s="3" t="n">
        <v>-0.7732356596500316</v>
      </c>
      <c r="S1732" s="3" t="n">
        <v>-1.408805674694954</v>
      </c>
      <c r="T1732" s="3" t="n">
        <v>-0.7095591730259835</v>
      </c>
      <c r="U1732" s="3" t="n">
        <v>-0.8883962808771336</v>
      </c>
      <c r="V1732" s="3" t="n">
        <v>-0.681934451803248</v>
      </c>
      <c r="W1732" s="3" t="n">
        <v>-0.5702875047288043</v>
      </c>
      <c r="X1732" s="3" t="n">
        <v>-1.356243993373627</v>
      </c>
      <c r="Y1732" s="3" t="n">
        <v>-0.7878549098968506</v>
      </c>
      <c r="Z1732" s="3" t="n">
        <v>-1.408805674694954</v>
      </c>
      <c r="AA1732" s="3" t="n">
        <v>-1.408805674694954</v>
      </c>
      <c r="AB1732" s="3" t="n">
        <v>-1.356243993373627</v>
      </c>
      <c r="AC1732" s="3" t="n">
        <v>-2.123991362592007</v>
      </c>
      <c r="AD1732" s="3" t="n">
        <v>-0.8883962808771336</v>
      </c>
      <c r="AE1732" s="3" t="n">
        <v>-0.8883962808771336</v>
      </c>
    </row>
    <row r="1733">
      <c r="A1733" s="3" t="inlineStr">
        <is>
          <t>PRI.distn.dec.ove.mean.3</t>
        </is>
      </c>
      <c r="B1733" s="3" t="inlineStr">
        <is>
          <t>PRI</t>
        </is>
      </c>
      <c r="C1733" s="3" t="n">
        <v>2005</v>
      </c>
      <c r="D1733" s="3" t="inlineStr">
        <is>
          <t>Overall</t>
        </is>
      </c>
      <c r="E1733" s="3" t="inlineStr">
        <is>
          <t>Deciles</t>
        </is>
      </c>
      <c r="F1733" s="3" t="inlineStr">
        <is>
          <t>mean</t>
        </is>
      </c>
      <c r="G1733" s="3" t="n">
        <v>3</v>
      </c>
      <c r="H1733" s="3" t="n">
        <v>-0.7878549098968506</v>
      </c>
      <c r="I1733" s="3" t="n">
        <v>-0.7878549098968506</v>
      </c>
      <c r="J1733" s="3" t="n">
        <v>-0.8883962808771336</v>
      </c>
      <c r="K1733" s="3" t="n">
        <v>-0.8883962808771336</v>
      </c>
      <c r="L1733" s="3" t="n">
        <v>-0.7878549098968506</v>
      </c>
      <c r="M1733" s="3" t="n">
        <v>-0.7878549098968506</v>
      </c>
      <c r="N1733" s="3" t="n">
        <v>-0.7878549098968506</v>
      </c>
      <c r="O1733" s="3" t="n">
        <v>-0.7878549098968506</v>
      </c>
      <c r="P1733" s="3" t="n">
        <v>-0.7878549098968506</v>
      </c>
      <c r="Q1733" s="3" t="n">
        <v>-0.7878549098968506</v>
      </c>
      <c r="R1733" s="3" t="n">
        <v>-0.7732356596500316</v>
      </c>
      <c r="S1733" s="3" t="n">
        <v>-1.408805674694954</v>
      </c>
      <c r="T1733" s="3" t="n">
        <v>-0.7095591730259835</v>
      </c>
      <c r="U1733" s="3" t="n">
        <v>-0.8883962808771336</v>
      </c>
      <c r="V1733" s="3" t="n">
        <v>-0.681934451803248</v>
      </c>
      <c r="W1733" s="3" t="n">
        <v>-0.5702875047288043</v>
      </c>
      <c r="X1733" s="3" t="n">
        <v>-1.356243993373627</v>
      </c>
      <c r="Y1733" s="3" t="n">
        <v>-0.7878549098968506</v>
      </c>
      <c r="Z1733" s="3" t="n">
        <v>-1.408805674694954</v>
      </c>
      <c r="AA1733" s="3" t="n">
        <v>-1.408805674694954</v>
      </c>
      <c r="AB1733" s="3" t="n">
        <v>-1.356243993373627</v>
      </c>
      <c r="AC1733" s="3" t="n">
        <v>-2.123991362592007</v>
      </c>
      <c r="AD1733" s="3" t="n">
        <v>-0.8883962808771336</v>
      </c>
      <c r="AE1733" s="3" t="n">
        <v>-0.8883962808771336</v>
      </c>
    </row>
    <row r="1734">
      <c r="A1734" s="3" t="inlineStr">
        <is>
          <t>PRI.distn.dec.ove.mean.4</t>
        </is>
      </c>
      <c r="B1734" s="3" t="inlineStr">
        <is>
          <t>PRI</t>
        </is>
      </c>
      <c r="C1734" s="3" t="n">
        <v>2005</v>
      </c>
      <c r="D1734" s="3" t="inlineStr">
        <is>
          <t>Overall</t>
        </is>
      </c>
      <c r="E1734" s="3" t="inlineStr">
        <is>
          <t>Deciles</t>
        </is>
      </c>
      <c r="F1734" s="3" t="inlineStr">
        <is>
          <t>mean</t>
        </is>
      </c>
      <c r="G1734" s="3" t="n">
        <v>4</v>
      </c>
      <c r="H1734" s="3" t="n">
        <v>-0.7816170251115839</v>
      </c>
      <c r="I1734" s="3" t="n">
        <v>-0.7816170251115839</v>
      </c>
      <c r="J1734" s="3" t="n">
        <v>-0.8454680810583398</v>
      </c>
      <c r="K1734" s="3" t="n">
        <v>-0.8454680810583398</v>
      </c>
      <c r="L1734" s="3" t="n">
        <v>-0.7816170251115839</v>
      </c>
      <c r="M1734" s="3" t="n">
        <v>-0.7816170251115839</v>
      </c>
      <c r="N1734" s="3" t="n">
        <v>-0.7816170251115839</v>
      </c>
      <c r="O1734" s="3" t="n">
        <v>-0.7816170251115839</v>
      </c>
      <c r="P1734" s="3" t="n">
        <v>-0.7816170251115839</v>
      </c>
      <c r="Q1734" s="3" t="n">
        <v>-0.7816170251115839</v>
      </c>
      <c r="R1734" s="3" t="n">
        <v>-0.7697659489956308</v>
      </c>
      <c r="S1734" s="3" t="n">
        <v>-0.9595531871978272</v>
      </c>
      <c r="T1734" s="3" t="n">
        <v>-0.7081063859006191</v>
      </c>
      <c r="U1734" s="3" t="n">
        <v>-0.8454680810583398</v>
      </c>
      <c r="V1734" s="3" t="n">
        <v>-0.6750000017754575</v>
      </c>
      <c r="W1734" s="3" t="n">
        <v>-0.4799574455048176</v>
      </c>
      <c r="X1734" s="3" t="n">
        <v>-0.9571489362006492</v>
      </c>
      <c r="Y1734" s="3" t="n">
        <v>-0.7816170251115839</v>
      </c>
      <c r="Z1734" s="3" t="n">
        <v>-0.9595531871978272</v>
      </c>
      <c r="AA1734" s="3" t="n">
        <v>-0.9595531871978272</v>
      </c>
      <c r="AB1734" s="3" t="n">
        <v>-0.9571489362006492</v>
      </c>
      <c r="AC1734" s="3" t="n">
        <v>-1.025723396463597</v>
      </c>
      <c r="AD1734" s="3" t="n">
        <v>-0.8454680810583398</v>
      </c>
      <c r="AE1734" s="3" t="n">
        <v>-0.8454680810583398</v>
      </c>
    </row>
    <row r="1735">
      <c r="A1735" s="3" t="inlineStr">
        <is>
          <t>PRI.distn.dec.ove.mean.5</t>
        </is>
      </c>
      <c r="B1735" s="3" t="inlineStr">
        <is>
          <t>PRI</t>
        </is>
      </c>
      <c r="C1735" s="3" t="n">
        <v>2005</v>
      </c>
      <c r="D1735" s="3" t="inlineStr">
        <is>
          <t>Overall</t>
        </is>
      </c>
      <c r="E1735" s="3" t="inlineStr">
        <is>
          <t>Deciles</t>
        </is>
      </c>
      <c r="F1735" s="3" t="inlineStr">
        <is>
          <t>mean</t>
        </is>
      </c>
      <c r="G1735" s="3" t="n">
        <v>5</v>
      </c>
      <c r="H1735" s="3" t="n">
        <v>-0.7816170251115839</v>
      </c>
      <c r="I1735" s="3" t="n">
        <v>-0.7816170251115839</v>
      </c>
      <c r="J1735" s="3" t="n">
        <v>-0.8454680810583398</v>
      </c>
      <c r="K1735" s="3" t="n">
        <v>-0.8454680810583398</v>
      </c>
      <c r="L1735" s="3" t="n">
        <v>-0.7816170251115839</v>
      </c>
      <c r="M1735" s="3" t="n">
        <v>-0.7816170251115839</v>
      </c>
      <c r="N1735" s="3" t="n">
        <v>-0.7816170251115839</v>
      </c>
      <c r="O1735" s="3" t="n">
        <v>-0.7816170251115839</v>
      </c>
      <c r="P1735" s="3" t="n">
        <v>-0.7816170251115839</v>
      </c>
      <c r="Q1735" s="3" t="n">
        <v>-0.7816170251115839</v>
      </c>
      <c r="R1735" s="3" t="n">
        <v>-0.7697659489956308</v>
      </c>
      <c r="S1735" s="3" t="n">
        <v>-0.9595531871978272</v>
      </c>
      <c r="T1735" s="3" t="n">
        <v>-0.7081063859006191</v>
      </c>
      <c r="U1735" s="3" t="n">
        <v>-0.8454680810583398</v>
      </c>
      <c r="V1735" s="3" t="n">
        <v>-0.6750000017754575</v>
      </c>
      <c r="W1735" s="3" t="n">
        <v>-0.4799574455048176</v>
      </c>
      <c r="X1735" s="3" t="n">
        <v>-0.9571489362006492</v>
      </c>
      <c r="Y1735" s="3" t="n">
        <v>-0.7816170251115839</v>
      </c>
      <c r="Z1735" s="3" t="n">
        <v>-0.9595531871978272</v>
      </c>
      <c r="AA1735" s="3" t="n">
        <v>-0.9595531871978272</v>
      </c>
      <c r="AB1735" s="3" t="n">
        <v>-0.9571489362006492</v>
      </c>
      <c r="AC1735" s="3" t="n">
        <v>-1.025723396463597</v>
      </c>
      <c r="AD1735" s="3" t="n">
        <v>-0.8454680810583398</v>
      </c>
      <c r="AE1735" s="3" t="n">
        <v>-0.8454680810583398</v>
      </c>
    </row>
    <row r="1736">
      <c r="A1736" s="3" t="inlineStr">
        <is>
          <t>PRI.distn.dec.ove.mean.6</t>
        </is>
      </c>
      <c r="B1736" s="3" t="inlineStr">
        <is>
          <t>PRI</t>
        </is>
      </c>
      <c r="C1736" s="3" t="n">
        <v>2005</v>
      </c>
      <c r="D1736" s="3" t="inlineStr">
        <is>
          <t>Overall</t>
        </is>
      </c>
      <c r="E1736" s="3" t="inlineStr">
        <is>
          <t>Deciles</t>
        </is>
      </c>
      <c r="F1736" s="3" t="inlineStr">
        <is>
          <t>mean</t>
        </is>
      </c>
      <c r="G1736" s="3" t="n">
        <v>6</v>
      </c>
      <c r="H1736" s="3" t="n">
        <v>-0.7816170251115839</v>
      </c>
      <c r="I1736" s="3" t="n">
        <v>-0.7816170251115839</v>
      </c>
      <c r="J1736" s="3" t="n">
        <v>-0.8454680810583398</v>
      </c>
      <c r="K1736" s="3" t="n">
        <v>-0.8454680810583398</v>
      </c>
      <c r="L1736" s="3" t="n">
        <v>-0.7816170251115839</v>
      </c>
      <c r="M1736" s="3" t="n">
        <v>-0.7816170251115839</v>
      </c>
      <c r="N1736" s="3" t="n">
        <v>-0.7816170251115839</v>
      </c>
      <c r="O1736" s="3" t="n">
        <v>-0.7816170251115839</v>
      </c>
      <c r="P1736" s="3" t="n">
        <v>-0.7816170251115839</v>
      </c>
      <c r="Q1736" s="3" t="n">
        <v>-0.7816170251115839</v>
      </c>
      <c r="R1736" s="3" t="n">
        <v>-0.7697659489956308</v>
      </c>
      <c r="S1736" s="3" t="n">
        <v>-0.9595531871978272</v>
      </c>
      <c r="T1736" s="3" t="n">
        <v>-0.7081063859006191</v>
      </c>
      <c r="U1736" s="3" t="n">
        <v>-0.8454680810583398</v>
      </c>
      <c r="V1736" s="3" t="n">
        <v>-0.6750000017754575</v>
      </c>
      <c r="W1736" s="3" t="n">
        <v>-0.4799574455048176</v>
      </c>
      <c r="X1736" s="3" t="n">
        <v>-0.9571489362006492</v>
      </c>
      <c r="Y1736" s="3" t="n">
        <v>-0.7816170251115839</v>
      </c>
      <c r="Z1736" s="3" t="n">
        <v>-0.9595531871978272</v>
      </c>
      <c r="AA1736" s="3" t="n">
        <v>-0.9595531871978272</v>
      </c>
      <c r="AB1736" s="3" t="n">
        <v>-0.9571489362006492</v>
      </c>
      <c r="AC1736" s="3" t="n">
        <v>-1.025723396463597</v>
      </c>
      <c r="AD1736" s="3" t="n">
        <v>-0.8454680810583398</v>
      </c>
      <c r="AE1736" s="3" t="n">
        <v>-0.8454680810583398</v>
      </c>
    </row>
    <row r="1737">
      <c r="A1737" s="3" t="inlineStr">
        <is>
          <t>PRI.distn.dec.ove.mean.7</t>
        </is>
      </c>
      <c r="B1737" s="3" t="inlineStr">
        <is>
          <t>PRI</t>
        </is>
      </c>
      <c r="C1737" s="3" t="n">
        <v>2005</v>
      </c>
      <c r="D1737" s="3" t="inlineStr">
        <is>
          <t>Overall</t>
        </is>
      </c>
      <c r="E1737" s="3" t="inlineStr">
        <is>
          <t>Deciles</t>
        </is>
      </c>
      <c r="F1737" s="3" t="inlineStr">
        <is>
          <t>mean</t>
        </is>
      </c>
      <c r="G1737" s="3" t="n">
        <v>7</v>
      </c>
      <c r="H1737" s="3" t="n">
        <v>-0.7816170251115839</v>
      </c>
      <c r="I1737" s="3" t="n">
        <v>-0.7816170251115839</v>
      </c>
      <c r="J1737" s="3" t="n">
        <v>-0.8454680810583398</v>
      </c>
      <c r="K1737" s="3" t="n">
        <v>-0.8454680810583398</v>
      </c>
      <c r="L1737" s="3" t="n">
        <v>-0.7816170251115839</v>
      </c>
      <c r="M1737" s="3" t="n">
        <v>-0.7816170251115839</v>
      </c>
      <c r="N1737" s="3" t="n">
        <v>-0.7816170251115839</v>
      </c>
      <c r="O1737" s="3" t="n">
        <v>-0.7816170251115839</v>
      </c>
      <c r="P1737" s="3" t="n">
        <v>-0.7816170251115839</v>
      </c>
      <c r="Q1737" s="3" t="n">
        <v>-0.7816170251115839</v>
      </c>
      <c r="R1737" s="3" t="n">
        <v>-0.7697659489956308</v>
      </c>
      <c r="S1737" s="3" t="n">
        <v>-0.9595531871978272</v>
      </c>
      <c r="T1737" s="3" t="n">
        <v>-0.7081063859006191</v>
      </c>
      <c r="U1737" s="3" t="n">
        <v>-0.8454680810583398</v>
      </c>
      <c r="V1737" s="3" t="n">
        <v>-0.6750000017754575</v>
      </c>
      <c r="W1737" s="3" t="n">
        <v>-0.4799574455048176</v>
      </c>
      <c r="X1737" s="3" t="n">
        <v>-0.9571489362006492</v>
      </c>
      <c r="Y1737" s="3" t="n">
        <v>-0.7816170251115839</v>
      </c>
      <c r="Z1737" s="3" t="n">
        <v>-0.9595531871978272</v>
      </c>
      <c r="AA1737" s="3" t="n">
        <v>-0.9595531871978272</v>
      </c>
      <c r="AB1737" s="3" t="n">
        <v>-0.9571489362006492</v>
      </c>
      <c r="AC1737" s="3" t="n">
        <v>-1.025723396463597</v>
      </c>
      <c r="AD1737" s="3" t="n">
        <v>-0.8454680810583398</v>
      </c>
      <c r="AE1737" s="3" t="n">
        <v>-0.8454680810583398</v>
      </c>
    </row>
    <row r="1738">
      <c r="A1738" s="3" t="inlineStr">
        <is>
          <t>PRI.distn.dec.ove.mean.8</t>
        </is>
      </c>
      <c r="B1738" s="3" t="inlineStr">
        <is>
          <t>PRI</t>
        </is>
      </c>
      <c r="C1738" s="3" t="n">
        <v>2005</v>
      </c>
      <c r="D1738" s="3" t="inlineStr">
        <is>
          <t>Overall</t>
        </is>
      </c>
      <c r="E1738" s="3" t="inlineStr">
        <is>
          <t>Deciles</t>
        </is>
      </c>
      <c r="F1738" s="3" t="inlineStr">
        <is>
          <t>mean</t>
        </is>
      </c>
      <c r="G1738" s="3" t="n">
        <v>8</v>
      </c>
      <c r="H1738" s="3" t="n">
        <v>-0.7819935831617801</v>
      </c>
      <c r="I1738" s="3" t="n">
        <v>-0.7819935831617801</v>
      </c>
      <c r="J1738" s="3" t="n">
        <v>-0.8477488045996808</v>
      </c>
      <c r="K1738" s="3" t="n">
        <v>-0.8477488045996808</v>
      </c>
      <c r="L1738" s="3" t="n">
        <v>-0.7819935831617801</v>
      </c>
      <c r="M1738" s="3" t="n">
        <v>-0.7819935831617801</v>
      </c>
      <c r="N1738" s="3" t="n">
        <v>-0.7819935831617801</v>
      </c>
      <c r="O1738" s="3" t="n">
        <v>-0.7819935831617801</v>
      </c>
      <c r="P1738" s="3" t="n">
        <v>-0.7819935831617801</v>
      </c>
      <c r="Q1738" s="3" t="n">
        <v>-0.7819935831617801</v>
      </c>
      <c r="R1738" s="3" t="n">
        <v>-0.7700191178220384</v>
      </c>
      <c r="S1738" s="3" t="n">
        <v>-0.9684819490351575</v>
      </c>
      <c r="T1738" s="3" t="n">
        <v>-0.70814722142321</v>
      </c>
      <c r="U1738" s="3" t="n">
        <v>-0.8477488045996808</v>
      </c>
      <c r="V1738" s="3" t="n">
        <v>-0.6756977857427394</v>
      </c>
      <c r="W1738" s="3" t="n">
        <v>-0.4928101326556916</v>
      </c>
      <c r="X1738" s="3" t="n">
        <v>-0.9658704755154062</v>
      </c>
      <c r="Y1738" s="3" t="n">
        <v>-0.7819935831617801</v>
      </c>
      <c r="Z1738" s="3" t="n">
        <v>-0.9684819490351575</v>
      </c>
      <c r="AA1738" s="3" t="n">
        <v>-0.9684819490351575</v>
      </c>
      <c r="AB1738" s="3" t="n">
        <v>-0.9658704755154062</v>
      </c>
      <c r="AC1738" s="3" t="n">
        <v>-1.04035159628442</v>
      </c>
      <c r="AD1738" s="3" t="n">
        <v>-0.8477488045996808</v>
      </c>
      <c r="AE1738" s="3" t="n">
        <v>-0.8477488045996808</v>
      </c>
    </row>
    <row r="1739">
      <c r="A1739" s="3" t="inlineStr">
        <is>
          <t>PRI.distn.dec.ove.mean.9</t>
        </is>
      </c>
      <c r="B1739" s="3" t="inlineStr">
        <is>
          <t>PRI</t>
        </is>
      </c>
      <c r="C1739" s="3" t="n">
        <v>2005</v>
      </c>
      <c r="D1739" s="3" t="inlineStr">
        <is>
          <t>Overall</t>
        </is>
      </c>
      <c r="E1739" s="3" t="inlineStr">
        <is>
          <t>Deciles</t>
        </is>
      </c>
      <c r="F1739" s="3" t="inlineStr">
        <is>
          <t>mean</t>
        </is>
      </c>
      <c r="G1739" s="3" t="n">
        <v>9</v>
      </c>
      <c r="H1739" s="3" t="n">
        <v>-0.7819935831617801</v>
      </c>
      <c r="I1739" s="3" t="n">
        <v>-0.7819935831617801</v>
      </c>
      <c r="J1739" s="3" t="n">
        <v>-0.8477488045996808</v>
      </c>
      <c r="K1739" s="3" t="n">
        <v>-0.8477488045996808</v>
      </c>
      <c r="L1739" s="3" t="n">
        <v>-0.7819935831617801</v>
      </c>
      <c r="M1739" s="3" t="n">
        <v>-0.7819935831617801</v>
      </c>
      <c r="N1739" s="3" t="n">
        <v>-0.7819935831617801</v>
      </c>
      <c r="O1739" s="3" t="n">
        <v>-0.7819935831617801</v>
      </c>
      <c r="P1739" s="3" t="n">
        <v>-0.7819935831617801</v>
      </c>
      <c r="Q1739" s="3" t="n">
        <v>-0.7819935831617801</v>
      </c>
      <c r="R1739" s="3" t="n">
        <v>-0.7700191178220384</v>
      </c>
      <c r="S1739" s="3" t="n">
        <v>-0.9684819490351575</v>
      </c>
      <c r="T1739" s="3" t="n">
        <v>-0.70814722142321</v>
      </c>
      <c r="U1739" s="3" t="n">
        <v>-0.8477488045996808</v>
      </c>
      <c r="V1739" s="3" t="n">
        <v>-0.6756977857427394</v>
      </c>
      <c r="W1739" s="3" t="n">
        <v>-0.4928101326556916</v>
      </c>
      <c r="X1739" s="3" t="n">
        <v>-0.9658704755154062</v>
      </c>
      <c r="Y1739" s="3" t="n">
        <v>-0.7819935831617801</v>
      </c>
      <c r="Z1739" s="3" t="n">
        <v>-0.9684819490351575</v>
      </c>
      <c r="AA1739" s="3" t="n">
        <v>-0.9684819490351575</v>
      </c>
      <c r="AB1739" s="3" t="n">
        <v>-0.9658704755154062</v>
      </c>
      <c r="AC1739" s="3" t="n">
        <v>-1.04035159628442</v>
      </c>
      <c r="AD1739" s="3" t="n">
        <v>-0.8477488045996808</v>
      </c>
      <c r="AE1739" s="3" t="n">
        <v>-0.8477488045996808</v>
      </c>
    </row>
    <row r="1740">
      <c r="A1740" s="3" t="inlineStr">
        <is>
          <t>PRI.distn.dec.ove.mean.10</t>
        </is>
      </c>
      <c r="B1740" s="3" t="inlineStr">
        <is>
          <t>PRI</t>
        </is>
      </c>
      <c r="C1740" s="3" t="n">
        <v>2005</v>
      </c>
      <c r="D1740" s="3" t="inlineStr">
        <is>
          <t>Overall</t>
        </is>
      </c>
      <c r="E1740" s="3" t="inlineStr">
        <is>
          <t>Deciles</t>
        </is>
      </c>
      <c r="F1740" s="3" t="inlineStr">
        <is>
          <t>mean</t>
        </is>
      </c>
      <c r="G1740" s="3" t="n">
        <v>10</v>
      </c>
      <c r="H1740" s="3" t="n">
        <v>-0.7819935831617801</v>
      </c>
      <c r="I1740" s="3" t="n">
        <v>-0.7819935831617801</v>
      </c>
      <c r="J1740" s="3" t="n">
        <v>-0.8477488045996808</v>
      </c>
      <c r="K1740" s="3" t="n">
        <v>-0.8477488045996808</v>
      </c>
      <c r="L1740" s="3" t="n">
        <v>-0.7819935831617801</v>
      </c>
      <c r="M1740" s="3" t="n">
        <v>-0.7819935831617801</v>
      </c>
      <c r="N1740" s="3" t="n">
        <v>-0.7819935831617801</v>
      </c>
      <c r="O1740" s="3" t="n">
        <v>-0.7819935831617801</v>
      </c>
      <c r="P1740" s="3" t="n">
        <v>-0.7819935831617801</v>
      </c>
      <c r="Q1740" s="3" t="n">
        <v>-0.7819935831617801</v>
      </c>
      <c r="R1740" s="3" t="n">
        <v>-0.7700191178220384</v>
      </c>
      <c r="S1740" s="3" t="n">
        <v>-0.9684819490351575</v>
      </c>
      <c r="T1740" s="3" t="n">
        <v>-0.70814722142321</v>
      </c>
      <c r="U1740" s="3" t="n">
        <v>-0.8477488045996808</v>
      </c>
      <c r="V1740" s="3" t="n">
        <v>-0.6756977857427394</v>
      </c>
      <c r="W1740" s="3" t="n">
        <v>-0.4928101326556916</v>
      </c>
      <c r="X1740" s="3" t="n">
        <v>-0.9658704755154062</v>
      </c>
      <c r="Y1740" s="3" t="n">
        <v>-0.7819935831617801</v>
      </c>
      <c r="Z1740" s="3" t="n">
        <v>-0.9684819490351575</v>
      </c>
      <c r="AA1740" s="3" t="n">
        <v>-0.9684819490351575</v>
      </c>
      <c r="AB1740" s="3" t="n">
        <v>-0.9658704755154062</v>
      </c>
      <c r="AC1740" s="3" t="n">
        <v>-1.04035159628442</v>
      </c>
      <c r="AD1740" s="3" t="n">
        <v>-0.8477488045996808</v>
      </c>
      <c r="AE1740" s="3" t="n">
        <v>-0.8477488045996808</v>
      </c>
    </row>
    <row r="1741">
      <c r="A1741" s="3" t="inlineStr">
        <is>
          <t>PRI.distn.bkt.ove.mean.9999</t>
        </is>
      </c>
      <c r="B1741" s="3" t="inlineStr">
        <is>
          <t>PRI</t>
        </is>
      </c>
      <c r="C1741" s="3" t="n">
        <v>2005</v>
      </c>
      <c r="D1741" s="3" t="inlineStr">
        <is>
          <t>Overall</t>
        </is>
      </c>
      <c r="E1741" s="3" t="inlineStr">
        <is>
          <t>Basket</t>
        </is>
      </c>
      <c r="F1741" s="3" t="inlineStr">
        <is>
          <t>mean</t>
        </is>
      </c>
      <c r="G1741" s="3" t="n">
        <v>9999</v>
      </c>
      <c r="H1741" s="3" t="n">
        <v>-0.7836013613863194</v>
      </c>
      <c r="I1741" s="3" t="n">
        <v>-0.7836013613863194</v>
      </c>
      <c r="J1741" s="3" t="n">
        <v>-0.8590307616172953</v>
      </c>
      <c r="K1741" s="3" t="n">
        <v>-0.8590307616172953</v>
      </c>
      <c r="L1741" s="3" t="n">
        <v>-0.7836013613863194</v>
      </c>
      <c r="M1741" s="3" t="n">
        <v>-0.7836013613863194</v>
      </c>
      <c r="N1741" s="3" t="n">
        <v>-0.7836013613863194</v>
      </c>
      <c r="O1741" s="3" t="n">
        <v>-0.7836013613863194</v>
      </c>
      <c r="P1741" s="3" t="n">
        <v>-0.7836013613863194</v>
      </c>
      <c r="Q1741" s="3" t="n">
        <v>-0.7836013613863194</v>
      </c>
      <c r="R1741" s="3" t="n">
        <v>-0.7708828220976159</v>
      </c>
      <c r="S1741" s="3" t="n">
        <v>-1.097007578991829</v>
      </c>
      <c r="T1741" s="3" t="n">
        <v>-0.7085544974245923</v>
      </c>
      <c r="U1741" s="3" t="n">
        <v>-0.8590307616172953</v>
      </c>
      <c r="V1741" s="3" t="n">
        <v>-0.6772896647453308</v>
      </c>
      <c r="W1741" s="3" t="n">
        <v>-0.5109122699879586</v>
      </c>
      <c r="X1741" s="3" t="n">
        <v>-1.079493910708326</v>
      </c>
      <c r="Y1741" s="3" t="n">
        <v>-0.7836013613863194</v>
      </c>
      <c r="Z1741" s="3" t="n">
        <v>-1.097007578991829</v>
      </c>
      <c r="AA1741" s="3" t="n">
        <v>-1.097007578991829</v>
      </c>
      <c r="AB1741" s="3" t="n">
        <v>-1.079493910708326</v>
      </c>
      <c r="AC1741" s="3" t="n">
        <v>-1.359592239907447</v>
      </c>
      <c r="AD1741" s="3" t="n">
        <v>-0.8590307616172953</v>
      </c>
      <c r="AE1741" s="3" t="n">
        <v>-0.8590307616172953</v>
      </c>
    </row>
    <row r="1742">
      <c r="A1742" s="3" t="inlineStr">
        <is>
          <t>PRK.distn.dec.ove.mean.1</t>
        </is>
      </c>
      <c r="B1742" s="3" t="inlineStr">
        <is>
          <t>PRK</t>
        </is>
      </c>
      <c r="C1742" s="3" t="n">
        <v>2005</v>
      </c>
      <c r="D1742" s="3" t="inlineStr">
        <is>
          <t>Overall</t>
        </is>
      </c>
      <c r="E1742" s="3" t="inlineStr">
        <is>
          <t>Deciles</t>
        </is>
      </c>
      <c r="F1742" s="3" t="inlineStr">
        <is>
          <t>mean</t>
        </is>
      </c>
      <c r="G1742" s="3" t="n">
        <v>1</v>
      </c>
      <c r="H1742" s="3" t="n">
        <v>-0.7974043921990828</v>
      </c>
      <c r="I1742" s="3" t="n">
        <v>-0.7974043921990828</v>
      </c>
      <c r="J1742" s="3" t="n">
        <v>-0.9631780900738456</v>
      </c>
      <c r="K1742" s="3" t="n">
        <v>-0.9631780900738456</v>
      </c>
      <c r="L1742" s="3" t="n">
        <v>-0.7974043921990828</v>
      </c>
      <c r="M1742" s="3" t="n">
        <v>-0.7974043921990828</v>
      </c>
      <c r="N1742" s="3" t="n">
        <v>-0.7974043921990828</v>
      </c>
      <c r="O1742" s="3" t="n">
        <v>-0.7974043921990828</v>
      </c>
      <c r="P1742" s="3" t="n">
        <v>-0.7974043921990828</v>
      </c>
      <c r="Q1742" s="3" t="n">
        <v>-0.7974043921990828</v>
      </c>
      <c r="R1742" s="3" t="n">
        <v>-0.7785389450463381</v>
      </c>
      <c r="S1742" s="3" t="n">
        <v>-2.848487377166748</v>
      </c>
      <c r="T1742" s="3" t="n">
        <v>-0.7115022106604143</v>
      </c>
      <c r="U1742" s="3" t="n">
        <v>-0.9631780900738456</v>
      </c>
      <c r="V1742" s="3" t="n">
        <v>-0.6916698109019886</v>
      </c>
      <c r="W1742" s="3" t="n">
        <v>-0.7076836770231073</v>
      </c>
      <c r="X1742" s="3" t="n">
        <v>-2.538359203121879</v>
      </c>
      <c r="Y1742" s="3" t="n">
        <v>-0.7974043921990828</v>
      </c>
      <c r="Z1742" s="3" t="n">
        <v>-2.848487377166748</v>
      </c>
      <c r="AA1742" s="3" t="n">
        <v>-2.848487377166748</v>
      </c>
      <c r="AB1742" s="3" t="n">
        <v>-2.538359203121879</v>
      </c>
      <c r="AC1742" s="3" t="n">
        <v>-6.556386882608587</v>
      </c>
      <c r="AD1742" s="3" t="n">
        <v>-0.9631780900738456</v>
      </c>
      <c r="AE1742" s="3" t="n">
        <v>-0.9631780900738456</v>
      </c>
    </row>
    <row r="1743">
      <c r="A1743" s="3" t="inlineStr">
        <is>
          <t>PRK.distn.dec.ove.mean.2</t>
        </is>
      </c>
      <c r="B1743" s="3" t="inlineStr">
        <is>
          <t>PRK</t>
        </is>
      </c>
      <c r="C1743" s="3" t="n">
        <v>2005</v>
      </c>
      <c r="D1743" s="3" t="inlineStr">
        <is>
          <t>Overall</t>
        </is>
      </c>
      <c r="E1743" s="3" t="inlineStr">
        <is>
          <t>Deciles</t>
        </is>
      </c>
      <c r="F1743" s="3" t="inlineStr">
        <is>
          <t>mean</t>
        </is>
      </c>
      <c r="G1743" s="3" t="n">
        <v>2</v>
      </c>
      <c r="H1743" s="3" t="n">
        <v>-0.7974043921990828</v>
      </c>
      <c r="I1743" s="3" t="n">
        <v>-0.7974043921990828</v>
      </c>
      <c r="J1743" s="3" t="n">
        <v>-0.9631780900738456</v>
      </c>
      <c r="K1743" s="3" t="n">
        <v>-0.9631780900738456</v>
      </c>
      <c r="L1743" s="3" t="n">
        <v>-0.7974043921990828</v>
      </c>
      <c r="M1743" s="3" t="n">
        <v>-0.7974043921990828</v>
      </c>
      <c r="N1743" s="3" t="n">
        <v>-0.7974043921990828</v>
      </c>
      <c r="O1743" s="3" t="n">
        <v>-0.7974043921990828</v>
      </c>
      <c r="P1743" s="3" t="n">
        <v>-0.7974043921990828</v>
      </c>
      <c r="Q1743" s="3" t="n">
        <v>-0.7974043921990828</v>
      </c>
      <c r="R1743" s="3" t="n">
        <v>-0.7785389450463381</v>
      </c>
      <c r="S1743" s="3" t="n">
        <v>-2.848487377166748</v>
      </c>
      <c r="T1743" s="3" t="n">
        <v>-0.7115022106604143</v>
      </c>
      <c r="U1743" s="3" t="n">
        <v>-0.9631780900738456</v>
      </c>
      <c r="V1743" s="3" t="n">
        <v>-0.6916698109019886</v>
      </c>
      <c r="W1743" s="3" t="n">
        <v>-0.7076836770231073</v>
      </c>
      <c r="X1743" s="3" t="n">
        <v>-2.538359203121879</v>
      </c>
      <c r="Y1743" s="3" t="n">
        <v>-0.7974043921990828</v>
      </c>
      <c r="Z1743" s="3" t="n">
        <v>-2.848487377166748</v>
      </c>
      <c r="AA1743" s="3" t="n">
        <v>-2.848487377166748</v>
      </c>
      <c r="AB1743" s="3" t="n">
        <v>-2.538359203121879</v>
      </c>
      <c r="AC1743" s="3" t="n">
        <v>-6.556386882608587</v>
      </c>
      <c r="AD1743" s="3" t="n">
        <v>-0.9631780900738456</v>
      </c>
      <c r="AE1743" s="3" t="n">
        <v>-0.9631780900738456</v>
      </c>
    </row>
    <row r="1744">
      <c r="A1744" s="3" t="inlineStr">
        <is>
          <t>PRK.distn.dec.ove.mean.3</t>
        </is>
      </c>
      <c r="B1744" s="3" t="inlineStr">
        <is>
          <t>PRK</t>
        </is>
      </c>
      <c r="C1744" s="3" t="n">
        <v>2005</v>
      </c>
      <c r="D1744" s="3" t="inlineStr">
        <is>
          <t>Overall</t>
        </is>
      </c>
      <c r="E1744" s="3" t="inlineStr">
        <is>
          <t>Deciles</t>
        </is>
      </c>
      <c r="F1744" s="3" t="inlineStr">
        <is>
          <t>mean</t>
        </is>
      </c>
      <c r="G1744" s="3" t="n">
        <v>3</v>
      </c>
      <c r="H1744" s="3" t="n">
        <v>-0.7974043921990828</v>
      </c>
      <c r="I1744" s="3" t="n">
        <v>-0.7974043921990828</v>
      </c>
      <c r="J1744" s="3" t="n">
        <v>-0.9631780900738456</v>
      </c>
      <c r="K1744" s="3" t="n">
        <v>-0.9631780900738456</v>
      </c>
      <c r="L1744" s="3" t="n">
        <v>-0.7974043921990828</v>
      </c>
      <c r="M1744" s="3" t="n">
        <v>-0.7974043921990828</v>
      </c>
      <c r="N1744" s="3" t="n">
        <v>-0.7974043921990828</v>
      </c>
      <c r="O1744" s="3" t="n">
        <v>-0.7974043921990828</v>
      </c>
      <c r="P1744" s="3" t="n">
        <v>-0.7974043921990828</v>
      </c>
      <c r="Q1744" s="3" t="n">
        <v>-0.7974043921990828</v>
      </c>
      <c r="R1744" s="3" t="n">
        <v>-0.7785389450463381</v>
      </c>
      <c r="S1744" s="3" t="n">
        <v>-2.848487377166748</v>
      </c>
      <c r="T1744" s="3" t="n">
        <v>-0.7115022106604143</v>
      </c>
      <c r="U1744" s="3" t="n">
        <v>-0.9631780900738456</v>
      </c>
      <c r="V1744" s="3" t="n">
        <v>-0.6916698109019886</v>
      </c>
      <c r="W1744" s="3" t="n">
        <v>-0.7076836770231073</v>
      </c>
      <c r="X1744" s="3" t="n">
        <v>-2.538359203121879</v>
      </c>
      <c r="Y1744" s="3" t="n">
        <v>-0.7974043921990828</v>
      </c>
      <c r="Z1744" s="3" t="n">
        <v>-2.848487377166748</v>
      </c>
      <c r="AA1744" s="3" t="n">
        <v>-2.848487377166748</v>
      </c>
      <c r="AB1744" s="3" t="n">
        <v>-2.538359203121879</v>
      </c>
      <c r="AC1744" s="3" t="n">
        <v>-6.556386882608587</v>
      </c>
      <c r="AD1744" s="3" t="n">
        <v>-0.9631780900738456</v>
      </c>
      <c r="AE1744" s="3" t="n">
        <v>-0.9631780900738456</v>
      </c>
    </row>
    <row r="1745">
      <c r="A1745" s="3" t="inlineStr">
        <is>
          <t>PRK.distn.dec.ove.mean.4</t>
        </is>
      </c>
      <c r="B1745" s="3" t="inlineStr">
        <is>
          <t>PRK</t>
        </is>
      </c>
      <c r="C1745" s="3" t="n">
        <v>2005</v>
      </c>
      <c r="D1745" s="3" t="inlineStr">
        <is>
          <t>Overall</t>
        </is>
      </c>
      <c r="E1745" s="3" t="inlineStr">
        <is>
          <t>Deciles</t>
        </is>
      </c>
      <c r="F1745" s="3" t="inlineStr">
        <is>
          <t>mean</t>
        </is>
      </c>
      <c r="G1745" s="3" t="n">
        <v>4</v>
      </c>
      <c r="H1745" s="3" t="n">
        <v>-0.7910909165035594</v>
      </c>
      <c r="I1745" s="3" t="n">
        <v>-0.7910909165035594</v>
      </c>
      <c r="J1745" s="3" t="n">
        <v>-0.9166363667358052</v>
      </c>
      <c r="K1745" s="3" t="n">
        <v>-0.9166363667358052</v>
      </c>
      <c r="L1745" s="3" t="n">
        <v>-0.7910909165035594</v>
      </c>
      <c r="M1745" s="3" t="n">
        <v>-0.7910909165035594</v>
      </c>
      <c r="N1745" s="3" t="n">
        <v>-0.7910909165035594</v>
      </c>
      <c r="O1745" s="3" t="n">
        <v>-0.7910909165035594</v>
      </c>
      <c r="P1745" s="3" t="n">
        <v>-0.7910909165035594</v>
      </c>
      <c r="Q1745" s="3" t="n">
        <v>-0.7910909165035594</v>
      </c>
      <c r="R1745" s="3" t="n">
        <v>-0.7750454463741996</v>
      </c>
      <c r="S1745" s="3" t="n">
        <v>-1.940136329694228</v>
      </c>
      <c r="T1745" s="3" t="n">
        <v>-0.7100454406304793</v>
      </c>
      <c r="U1745" s="3" t="n">
        <v>-0.9166363667358052</v>
      </c>
      <c r="V1745" s="3" t="n">
        <v>-0.6846363652836193</v>
      </c>
      <c r="W1745" s="3" t="n">
        <v>-0.5955909084190022</v>
      </c>
      <c r="X1745" s="3" t="n">
        <v>-1.791409107771787</v>
      </c>
      <c r="Y1745" s="3" t="n">
        <v>-0.7910909165035594</v>
      </c>
      <c r="Z1745" s="3" t="n">
        <v>-1.940136329694228</v>
      </c>
      <c r="AA1745" s="3" t="n">
        <v>-1.940136329694228</v>
      </c>
      <c r="AB1745" s="3" t="n">
        <v>-1.791409107771787</v>
      </c>
      <c r="AC1745" s="3" t="n">
        <v>-3.166227286512202</v>
      </c>
      <c r="AD1745" s="3" t="n">
        <v>-0.9166363667358052</v>
      </c>
      <c r="AE1745" s="3" t="n">
        <v>-0.9166363667358052</v>
      </c>
    </row>
    <row r="1746">
      <c r="A1746" s="3" t="inlineStr">
        <is>
          <t>PRK.distn.dec.ove.mean.5</t>
        </is>
      </c>
      <c r="B1746" s="3" t="inlineStr">
        <is>
          <t>PRK</t>
        </is>
      </c>
      <c r="C1746" s="3" t="n">
        <v>2005</v>
      </c>
      <c r="D1746" s="3" t="inlineStr">
        <is>
          <t>Overall</t>
        </is>
      </c>
      <c r="E1746" s="3" t="inlineStr">
        <is>
          <t>Deciles</t>
        </is>
      </c>
      <c r="F1746" s="3" t="inlineStr">
        <is>
          <t>mean</t>
        </is>
      </c>
      <c r="G1746" s="3" t="n">
        <v>5</v>
      </c>
      <c r="H1746" s="3" t="n">
        <v>-0.7910909165035594</v>
      </c>
      <c r="I1746" s="3" t="n">
        <v>-0.7910909165035594</v>
      </c>
      <c r="J1746" s="3" t="n">
        <v>-0.9166363667358052</v>
      </c>
      <c r="K1746" s="3" t="n">
        <v>-0.9166363667358052</v>
      </c>
      <c r="L1746" s="3" t="n">
        <v>-0.7910909165035594</v>
      </c>
      <c r="M1746" s="3" t="n">
        <v>-0.7910909165035594</v>
      </c>
      <c r="N1746" s="3" t="n">
        <v>-0.7910909165035594</v>
      </c>
      <c r="O1746" s="3" t="n">
        <v>-0.7910909165035594</v>
      </c>
      <c r="P1746" s="3" t="n">
        <v>-0.7910909165035594</v>
      </c>
      <c r="Q1746" s="3" t="n">
        <v>-0.7910909165035594</v>
      </c>
      <c r="R1746" s="3" t="n">
        <v>-0.7750454463741996</v>
      </c>
      <c r="S1746" s="3" t="n">
        <v>-1.940136329694228</v>
      </c>
      <c r="T1746" s="3" t="n">
        <v>-0.7100454406304793</v>
      </c>
      <c r="U1746" s="3" t="n">
        <v>-0.9166363667358052</v>
      </c>
      <c r="V1746" s="3" t="n">
        <v>-0.6846363652836193</v>
      </c>
      <c r="W1746" s="3" t="n">
        <v>-0.5955909084190022</v>
      </c>
      <c r="X1746" s="3" t="n">
        <v>-1.791409107771787</v>
      </c>
      <c r="Y1746" s="3" t="n">
        <v>-0.7910909165035594</v>
      </c>
      <c r="Z1746" s="3" t="n">
        <v>-1.940136329694228</v>
      </c>
      <c r="AA1746" s="3" t="n">
        <v>-1.940136329694228</v>
      </c>
      <c r="AB1746" s="3" t="n">
        <v>-1.791409107771787</v>
      </c>
      <c r="AC1746" s="3" t="n">
        <v>-3.166227286512202</v>
      </c>
      <c r="AD1746" s="3" t="n">
        <v>-0.9166363667358052</v>
      </c>
      <c r="AE1746" s="3" t="n">
        <v>-0.9166363667358052</v>
      </c>
    </row>
    <row r="1747">
      <c r="A1747" s="3" t="inlineStr">
        <is>
          <t>PRK.distn.dec.ove.mean.6</t>
        </is>
      </c>
      <c r="B1747" s="3" t="inlineStr">
        <is>
          <t>PRK</t>
        </is>
      </c>
      <c r="C1747" s="3" t="n">
        <v>2005</v>
      </c>
      <c r="D1747" s="3" t="inlineStr">
        <is>
          <t>Overall</t>
        </is>
      </c>
      <c r="E1747" s="3" t="inlineStr">
        <is>
          <t>Deciles</t>
        </is>
      </c>
      <c r="F1747" s="3" t="inlineStr">
        <is>
          <t>mean</t>
        </is>
      </c>
      <c r="G1747" s="3" t="n">
        <v>6</v>
      </c>
      <c r="H1747" s="3" t="n">
        <v>-0.7910909165035594</v>
      </c>
      <c r="I1747" s="3" t="n">
        <v>-0.7910909165035594</v>
      </c>
      <c r="J1747" s="3" t="n">
        <v>-0.9166363667358052</v>
      </c>
      <c r="K1747" s="3" t="n">
        <v>-0.9166363667358052</v>
      </c>
      <c r="L1747" s="3" t="n">
        <v>-0.7910909165035594</v>
      </c>
      <c r="M1747" s="3" t="n">
        <v>-0.7910909165035594</v>
      </c>
      <c r="N1747" s="3" t="n">
        <v>-0.7910909165035594</v>
      </c>
      <c r="O1747" s="3" t="n">
        <v>-0.7910909165035594</v>
      </c>
      <c r="P1747" s="3" t="n">
        <v>-0.7910909165035594</v>
      </c>
      <c r="Q1747" s="3" t="n">
        <v>-0.7910909165035594</v>
      </c>
      <c r="R1747" s="3" t="n">
        <v>-0.7750454463741996</v>
      </c>
      <c r="S1747" s="3" t="n">
        <v>-1.940136329694228</v>
      </c>
      <c r="T1747" s="3" t="n">
        <v>-0.7100454406304793</v>
      </c>
      <c r="U1747" s="3" t="n">
        <v>-0.9166363667358052</v>
      </c>
      <c r="V1747" s="3" t="n">
        <v>-0.6846363652836193</v>
      </c>
      <c r="W1747" s="3" t="n">
        <v>-0.5955909084190022</v>
      </c>
      <c r="X1747" s="3" t="n">
        <v>-1.791409107771787</v>
      </c>
      <c r="Y1747" s="3" t="n">
        <v>-0.7910909165035594</v>
      </c>
      <c r="Z1747" s="3" t="n">
        <v>-1.940136329694228</v>
      </c>
      <c r="AA1747" s="3" t="n">
        <v>-1.940136329694228</v>
      </c>
      <c r="AB1747" s="3" t="n">
        <v>-1.791409107771787</v>
      </c>
      <c r="AC1747" s="3" t="n">
        <v>-3.166227286512202</v>
      </c>
      <c r="AD1747" s="3" t="n">
        <v>-0.9166363667358052</v>
      </c>
      <c r="AE1747" s="3" t="n">
        <v>-0.9166363667358052</v>
      </c>
    </row>
    <row r="1748">
      <c r="A1748" s="3" t="inlineStr">
        <is>
          <t>PRK.distn.dec.ove.mean.7</t>
        </is>
      </c>
      <c r="B1748" s="3" t="inlineStr">
        <is>
          <t>PRK</t>
        </is>
      </c>
      <c r="C1748" s="3" t="n">
        <v>2005</v>
      </c>
      <c r="D1748" s="3" t="inlineStr">
        <is>
          <t>Overall</t>
        </is>
      </c>
      <c r="E1748" s="3" t="inlineStr">
        <is>
          <t>Deciles</t>
        </is>
      </c>
      <c r="F1748" s="3" t="inlineStr">
        <is>
          <t>mean</t>
        </is>
      </c>
      <c r="G1748" s="3" t="n">
        <v>7</v>
      </c>
      <c r="H1748" s="3" t="n">
        <v>-0.7910909165035594</v>
      </c>
      <c r="I1748" s="3" t="n">
        <v>-0.7910909165035594</v>
      </c>
      <c r="J1748" s="3" t="n">
        <v>-0.9166363667358052</v>
      </c>
      <c r="K1748" s="3" t="n">
        <v>-0.9166363667358052</v>
      </c>
      <c r="L1748" s="3" t="n">
        <v>-0.7910909165035594</v>
      </c>
      <c r="M1748" s="3" t="n">
        <v>-0.7910909165035594</v>
      </c>
      <c r="N1748" s="3" t="n">
        <v>-0.7910909165035594</v>
      </c>
      <c r="O1748" s="3" t="n">
        <v>-0.7910909165035594</v>
      </c>
      <c r="P1748" s="3" t="n">
        <v>-0.7910909165035594</v>
      </c>
      <c r="Q1748" s="3" t="n">
        <v>-0.7910909165035594</v>
      </c>
      <c r="R1748" s="3" t="n">
        <v>-0.7750454463741996</v>
      </c>
      <c r="S1748" s="3" t="n">
        <v>-1.940136329694228</v>
      </c>
      <c r="T1748" s="3" t="n">
        <v>-0.7100454406304793</v>
      </c>
      <c r="U1748" s="3" t="n">
        <v>-0.9166363667358052</v>
      </c>
      <c r="V1748" s="3" t="n">
        <v>-0.6846363652836193</v>
      </c>
      <c r="W1748" s="3" t="n">
        <v>-0.5955909084190022</v>
      </c>
      <c r="X1748" s="3" t="n">
        <v>-1.791409107771787</v>
      </c>
      <c r="Y1748" s="3" t="n">
        <v>-0.7910909165035594</v>
      </c>
      <c r="Z1748" s="3" t="n">
        <v>-1.940136329694228</v>
      </c>
      <c r="AA1748" s="3" t="n">
        <v>-1.940136329694228</v>
      </c>
      <c r="AB1748" s="3" t="n">
        <v>-1.791409107771787</v>
      </c>
      <c r="AC1748" s="3" t="n">
        <v>-3.166227286512202</v>
      </c>
      <c r="AD1748" s="3" t="n">
        <v>-0.9166363667358052</v>
      </c>
      <c r="AE1748" s="3" t="n">
        <v>-0.9166363667358052</v>
      </c>
    </row>
    <row r="1749">
      <c r="A1749" s="3" t="inlineStr">
        <is>
          <t>PRK.distn.dec.ove.mean.8</t>
        </is>
      </c>
      <c r="B1749" s="3" t="inlineStr">
        <is>
          <t>PRK</t>
        </is>
      </c>
      <c r="C1749" s="3" t="n">
        <v>2005</v>
      </c>
      <c r="D1749" s="3" t="inlineStr">
        <is>
          <t>Overall</t>
        </is>
      </c>
      <c r="E1749" s="3" t="inlineStr">
        <is>
          <t>Deciles</t>
        </is>
      </c>
      <c r="F1749" s="3" t="inlineStr">
        <is>
          <t>mean</t>
        </is>
      </c>
      <c r="G1749" s="3" t="n">
        <v>8</v>
      </c>
      <c r="H1749" s="3" t="n">
        <v>-0.7914720340208574</v>
      </c>
      <c r="I1749" s="3" t="n">
        <v>-0.7914720340208574</v>
      </c>
      <c r="J1749" s="3" t="n">
        <v>-0.9191090735522184</v>
      </c>
      <c r="K1749" s="3" t="n">
        <v>-0.9191090735522184</v>
      </c>
      <c r="L1749" s="3" t="n">
        <v>-0.7914720340208574</v>
      </c>
      <c r="M1749" s="3" t="n">
        <v>-0.7914720340208574</v>
      </c>
      <c r="N1749" s="3" t="n">
        <v>-0.7914720340208574</v>
      </c>
      <c r="O1749" s="3" t="n">
        <v>-0.7914720340208574</v>
      </c>
      <c r="P1749" s="3" t="n">
        <v>-0.7914720340208574</v>
      </c>
      <c r="Q1749" s="3" t="n">
        <v>-0.7914720340208574</v>
      </c>
      <c r="R1749" s="3" t="n">
        <v>-0.7753003591840918</v>
      </c>
      <c r="S1749" s="3" t="n">
        <v>-1.958189584992149</v>
      </c>
      <c r="T1749" s="3" t="n">
        <v>-0.7100863836028359</v>
      </c>
      <c r="U1749" s="3" t="n">
        <v>-0.9191090735522184</v>
      </c>
      <c r="V1749" s="3" t="n">
        <v>-0.6853441162542864</v>
      </c>
      <c r="W1749" s="3" t="n">
        <v>-0.6115401116284457</v>
      </c>
      <c r="X1749" s="3" t="n">
        <v>-1.807732414115559</v>
      </c>
      <c r="Y1749" s="3" t="n">
        <v>-0.7914720340208574</v>
      </c>
      <c r="Z1749" s="3" t="n">
        <v>-1.958189584992149</v>
      </c>
      <c r="AA1749" s="3" t="n">
        <v>-1.958189584992149</v>
      </c>
      <c r="AB1749" s="3" t="n">
        <v>-1.807732414115559</v>
      </c>
      <c r="AC1749" s="3" t="n">
        <v>-3.211381879719821</v>
      </c>
      <c r="AD1749" s="3" t="n">
        <v>-0.9191090735522184</v>
      </c>
      <c r="AE1749" s="3" t="n">
        <v>-0.9191090735522184</v>
      </c>
    </row>
    <row r="1750">
      <c r="A1750" s="3" t="inlineStr">
        <is>
          <t>PRK.distn.dec.ove.mean.9</t>
        </is>
      </c>
      <c r="B1750" s="3" t="inlineStr">
        <is>
          <t>PRK</t>
        </is>
      </c>
      <c r="C1750" s="3" t="n">
        <v>2005</v>
      </c>
      <c r="D1750" s="3" t="inlineStr">
        <is>
          <t>Overall</t>
        </is>
      </c>
      <c r="E1750" s="3" t="inlineStr">
        <is>
          <t>Deciles</t>
        </is>
      </c>
      <c r="F1750" s="3" t="inlineStr">
        <is>
          <t>mean</t>
        </is>
      </c>
      <c r="G1750" s="3" t="n">
        <v>9</v>
      </c>
      <c r="H1750" s="3" t="n">
        <v>-0.7914720340208574</v>
      </c>
      <c r="I1750" s="3" t="n">
        <v>-0.7914720340208574</v>
      </c>
      <c r="J1750" s="3" t="n">
        <v>-0.9191090735522184</v>
      </c>
      <c r="K1750" s="3" t="n">
        <v>-0.9191090735522184</v>
      </c>
      <c r="L1750" s="3" t="n">
        <v>-0.7914720340208574</v>
      </c>
      <c r="M1750" s="3" t="n">
        <v>-0.7914720340208574</v>
      </c>
      <c r="N1750" s="3" t="n">
        <v>-0.7914720340208574</v>
      </c>
      <c r="O1750" s="3" t="n">
        <v>-0.7914720340208574</v>
      </c>
      <c r="P1750" s="3" t="n">
        <v>-0.7914720340208574</v>
      </c>
      <c r="Q1750" s="3" t="n">
        <v>-0.7914720340208574</v>
      </c>
      <c r="R1750" s="3" t="n">
        <v>-0.7753003591840918</v>
      </c>
      <c r="S1750" s="3" t="n">
        <v>-1.958189584992149</v>
      </c>
      <c r="T1750" s="3" t="n">
        <v>-0.7100863836028359</v>
      </c>
      <c r="U1750" s="3" t="n">
        <v>-0.9191090735522184</v>
      </c>
      <c r="V1750" s="3" t="n">
        <v>-0.6853441162542864</v>
      </c>
      <c r="W1750" s="3" t="n">
        <v>-0.6115401116284457</v>
      </c>
      <c r="X1750" s="3" t="n">
        <v>-1.807732414115559</v>
      </c>
      <c r="Y1750" s="3" t="n">
        <v>-0.7914720340208574</v>
      </c>
      <c r="Z1750" s="3" t="n">
        <v>-1.958189584992149</v>
      </c>
      <c r="AA1750" s="3" t="n">
        <v>-1.958189584992149</v>
      </c>
      <c r="AB1750" s="3" t="n">
        <v>-1.807732414115559</v>
      </c>
      <c r="AC1750" s="3" t="n">
        <v>-3.211381879719821</v>
      </c>
      <c r="AD1750" s="3" t="n">
        <v>-0.9191090735522184</v>
      </c>
      <c r="AE1750" s="3" t="n">
        <v>-0.9191090735522184</v>
      </c>
    </row>
    <row r="1751">
      <c r="A1751" s="3" t="inlineStr">
        <is>
          <t>PRK.distn.dec.ove.mean.10</t>
        </is>
      </c>
      <c r="B1751" s="3" t="inlineStr">
        <is>
          <t>PRK</t>
        </is>
      </c>
      <c r="C1751" s="3" t="n">
        <v>2005</v>
      </c>
      <c r="D1751" s="3" t="inlineStr">
        <is>
          <t>Overall</t>
        </is>
      </c>
      <c r="E1751" s="3" t="inlineStr">
        <is>
          <t>Deciles</t>
        </is>
      </c>
      <c r="F1751" s="3" t="inlineStr">
        <is>
          <t>mean</t>
        </is>
      </c>
      <c r="G1751" s="3" t="n">
        <v>10</v>
      </c>
      <c r="H1751" s="3" t="n">
        <v>-0.7914720340208574</v>
      </c>
      <c r="I1751" s="3" t="n">
        <v>-0.7914720340208574</v>
      </c>
      <c r="J1751" s="3" t="n">
        <v>-0.9191090735522184</v>
      </c>
      <c r="K1751" s="3" t="n">
        <v>-0.9191090735522184</v>
      </c>
      <c r="L1751" s="3" t="n">
        <v>-0.7914720340208574</v>
      </c>
      <c r="M1751" s="3" t="n">
        <v>-0.7914720340208574</v>
      </c>
      <c r="N1751" s="3" t="n">
        <v>-0.7914720340208574</v>
      </c>
      <c r="O1751" s="3" t="n">
        <v>-0.7914720340208574</v>
      </c>
      <c r="P1751" s="3" t="n">
        <v>-0.7914720340208574</v>
      </c>
      <c r="Q1751" s="3" t="n">
        <v>-0.7914720340208574</v>
      </c>
      <c r="R1751" s="3" t="n">
        <v>-0.7753003591840918</v>
      </c>
      <c r="S1751" s="3" t="n">
        <v>-1.958189584992149</v>
      </c>
      <c r="T1751" s="3" t="n">
        <v>-0.7100863836028359</v>
      </c>
      <c r="U1751" s="3" t="n">
        <v>-0.9191090735522184</v>
      </c>
      <c r="V1751" s="3" t="n">
        <v>-0.6853441162542864</v>
      </c>
      <c r="W1751" s="3" t="n">
        <v>-0.6115401116284457</v>
      </c>
      <c r="X1751" s="3" t="n">
        <v>-1.807732414115559</v>
      </c>
      <c r="Y1751" s="3" t="n">
        <v>-0.7914720340208574</v>
      </c>
      <c r="Z1751" s="3" t="n">
        <v>-1.958189584992149</v>
      </c>
      <c r="AA1751" s="3" t="n">
        <v>-1.958189584992149</v>
      </c>
      <c r="AB1751" s="3" t="n">
        <v>-1.807732414115559</v>
      </c>
      <c r="AC1751" s="3" t="n">
        <v>-3.211381879719821</v>
      </c>
      <c r="AD1751" s="3" t="n">
        <v>-0.9191090735522184</v>
      </c>
      <c r="AE1751" s="3" t="n">
        <v>-0.9191090735522184</v>
      </c>
    </row>
    <row r="1752">
      <c r="A1752" s="3" t="inlineStr">
        <is>
          <t>PRK.distn.bkt.ove.mean.9999</t>
        </is>
      </c>
      <c r="B1752" s="3" t="inlineStr">
        <is>
          <t>PRK</t>
        </is>
      </c>
      <c r="C1752" s="3" t="n">
        <v>2005</v>
      </c>
      <c r="D1752" s="3" t="inlineStr">
        <is>
          <t>Overall</t>
        </is>
      </c>
      <c r="E1752" s="3" t="inlineStr">
        <is>
          <t>Basket</t>
        </is>
      </c>
      <c r="F1752" s="3" t="inlineStr">
        <is>
          <t>mean</t>
        </is>
      </c>
      <c r="G1752" s="3" t="n">
        <v>9999</v>
      </c>
      <c r="H1752" s="3" t="n">
        <v>-0.7930992977185682</v>
      </c>
      <c r="I1752" s="3" t="n">
        <v>-0.7930992977185682</v>
      </c>
      <c r="J1752" s="3" t="n">
        <v>-0.9313406971367922</v>
      </c>
      <c r="K1752" s="3" t="n">
        <v>-0.9313406971367922</v>
      </c>
      <c r="L1752" s="3" t="n">
        <v>-0.7930992977185682</v>
      </c>
      <c r="M1752" s="3" t="n">
        <v>-0.7930992977185682</v>
      </c>
      <c r="N1752" s="3" t="n">
        <v>-0.7930992977185682</v>
      </c>
      <c r="O1752" s="3" t="n">
        <v>-0.7930992977185682</v>
      </c>
      <c r="P1752" s="3" t="n">
        <v>-0.7930992977185682</v>
      </c>
      <c r="Q1752" s="3" t="n">
        <v>-0.7930992977185682</v>
      </c>
      <c r="R1752" s="3" t="n">
        <v>-0.7761699828234586</v>
      </c>
      <c r="S1752" s="3" t="n">
        <v>-2.218057627027685</v>
      </c>
      <c r="T1752" s="3" t="n">
        <v>-0.7104947621172125</v>
      </c>
      <c r="U1752" s="3" t="n">
        <v>-0.9313406971367922</v>
      </c>
      <c r="V1752" s="3" t="n">
        <v>-0.6869587058370764</v>
      </c>
      <c r="W1752" s="3" t="n">
        <v>-0.6340034956281836</v>
      </c>
      <c r="X1752" s="3" t="n">
        <v>-2.020391117442738</v>
      </c>
      <c r="Y1752" s="3" t="n">
        <v>-0.7930992977185682</v>
      </c>
      <c r="Z1752" s="3" t="n">
        <v>-2.218057627027685</v>
      </c>
      <c r="AA1752" s="3" t="n">
        <v>-2.218057627027685</v>
      </c>
      <c r="AB1752" s="3" t="n">
        <v>-2.020391117442738</v>
      </c>
      <c r="AC1752" s="3" t="n">
        <v>-4.196821532466195</v>
      </c>
      <c r="AD1752" s="3" t="n">
        <v>-0.9313406971367922</v>
      </c>
      <c r="AE1752" s="3" t="n">
        <v>-0.9313406971367922</v>
      </c>
    </row>
    <row r="1753">
      <c r="A1753" s="3" t="inlineStr">
        <is>
          <t>PRT.distn.dec.ove.mean.1</t>
        </is>
      </c>
      <c r="B1753" s="3" t="inlineStr">
        <is>
          <t>PRT</t>
        </is>
      </c>
      <c r="C1753" s="3" t="n">
        <v>2005</v>
      </c>
      <c r="D1753" s="3" t="inlineStr">
        <is>
          <t>Overall</t>
        </is>
      </c>
      <c r="E1753" s="3" t="inlineStr">
        <is>
          <t>Deciles</t>
        </is>
      </c>
      <c r="F1753" s="3" t="inlineStr">
        <is>
          <t>mean</t>
        </is>
      </c>
      <c r="G1753" s="3" t="n">
        <v>1</v>
      </c>
      <c r="H1753" s="3" t="n">
        <v>-0.7892489433288574</v>
      </c>
      <c r="I1753" s="3" t="n">
        <v>-0.7892489433288574</v>
      </c>
      <c r="J1753" s="3" t="n">
        <v>-0.8973613977432251</v>
      </c>
      <c r="K1753" s="3" t="n">
        <v>-0.8973613977432251</v>
      </c>
      <c r="L1753" s="3" t="n">
        <v>-0.7892489433288574</v>
      </c>
      <c r="M1753" s="3" t="n">
        <v>-0.7892489433288574</v>
      </c>
      <c r="N1753" s="3" t="n">
        <v>-0.7892489433288574</v>
      </c>
      <c r="O1753" s="3" t="n">
        <v>-0.7892489433288574</v>
      </c>
      <c r="P1753" s="3" t="n">
        <v>-0.7892489433288574</v>
      </c>
      <c r="Q1753" s="3" t="n">
        <v>-0.7892489433288574</v>
      </c>
      <c r="R1753" s="3" t="n">
        <v>-0.7744752764701843</v>
      </c>
      <c r="S1753" s="3" t="n">
        <v>-1.465252876281738</v>
      </c>
      <c r="T1753" s="3" t="n">
        <v>-0.7104546427726746</v>
      </c>
      <c r="U1753" s="3" t="n">
        <v>-0.8973613977432251</v>
      </c>
      <c r="V1753" s="3" t="n">
        <v>-0.6839550137519836</v>
      </c>
      <c r="W1753" s="3" t="n">
        <v>-0.6166780591011047</v>
      </c>
      <c r="X1753" s="3" t="n">
        <v>-1.40846061706543</v>
      </c>
      <c r="Y1753" s="3" t="n">
        <v>-0.7892489433288574</v>
      </c>
      <c r="Z1753" s="3" t="n">
        <v>-1.465252876281738</v>
      </c>
      <c r="AA1753" s="3" t="n">
        <v>-1.465252876281738</v>
      </c>
      <c r="AB1753" s="3" t="n">
        <v>-1.40846061706543</v>
      </c>
      <c r="AC1753" s="3" t="n">
        <v>-2.259161233901978</v>
      </c>
      <c r="AD1753" s="3" t="n">
        <v>-0.8973613977432251</v>
      </c>
      <c r="AE1753" s="3" t="n">
        <v>-0.8973613977432251</v>
      </c>
    </row>
    <row r="1754">
      <c r="A1754" s="3" t="inlineStr">
        <is>
          <t>PRT.distn.dec.ove.mean.2</t>
        </is>
      </c>
      <c r="B1754" s="3" t="inlineStr">
        <is>
          <t>PRT</t>
        </is>
      </c>
      <c r="C1754" s="3" t="n">
        <v>2005</v>
      </c>
      <c r="D1754" s="3" t="inlineStr">
        <is>
          <t>Overall</t>
        </is>
      </c>
      <c r="E1754" s="3" t="inlineStr">
        <is>
          <t>Deciles</t>
        </is>
      </c>
      <c r="F1754" s="3" t="inlineStr">
        <is>
          <t>mean</t>
        </is>
      </c>
      <c r="G1754" s="3" t="n">
        <v>2</v>
      </c>
      <c r="H1754" s="3" t="n">
        <v>-0.7892489433288574</v>
      </c>
      <c r="I1754" s="3" t="n">
        <v>-0.7892489433288574</v>
      </c>
      <c r="J1754" s="3" t="n">
        <v>-0.8973613977432251</v>
      </c>
      <c r="K1754" s="3" t="n">
        <v>-0.8973613977432251</v>
      </c>
      <c r="L1754" s="3" t="n">
        <v>-0.7892489433288574</v>
      </c>
      <c r="M1754" s="3" t="n">
        <v>-0.7892489433288574</v>
      </c>
      <c r="N1754" s="3" t="n">
        <v>-0.7892489433288574</v>
      </c>
      <c r="O1754" s="3" t="n">
        <v>-0.7892489433288574</v>
      </c>
      <c r="P1754" s="3" t="n">
        <v>-0.7892489433288574</v>
      </c>
      <c r="Q1754" s="3" t="n">
        <v>-0.7892489433288574</v>
      </c>
      <c r="R1754" s="3" t="n">
        <v>-0.7744752764701843</v>
      </c>
      <c r="S1754" s="3" t="n">
        <v>-1.465252876281738</v>
      </c>
      <c r="T1754" s="3" t="n">
        <v>-0.7104546427726746</v>
      </c>
      <c r="U1754" s="3" t="n">
        <v>-0.8973613977432251</v>
      </c>
      <c r="V1754" s="3" t="n">
        <v>-0.6839550137519836</v>
      </c>
      <c r="W1754" s="3" t="n">
        <v>-0.6166780591011047</v>
      </c>
      <c r="X1754" s="3" t="n">
        <v>-1.40846061706543</v>
      </c>
      <c r="Y1754" s="3" t="n">
        <v>-0.7892489433288574</v>
      </c>
      <c r="Z1754" s="3" t="n">
        <v>-1.465252876281738</v>
      </c>
      <c r="AA1754" s="3" t="n">
        <v>-1.465252876281738</v>
      </c>
      <c r="AB1754" s="3" t="n">
        <v>-1.40846061706543</v>
      </c>
      <c r="AC1754" s="3" t="n">
        <v>-2.259161233901978</v>
      </c>
      <c r="AD1754" s="3" t="n">
        <v>-0.8973613977432251</v>
      </c>
      <c r="AE1754" s="3" t="n">
        <v>-0.8973613977432251</v>
      </c>
    </row>
    <row r="1755">
      <c r="A1755" s="3" t="inlineStr">
        <is>
          <t>PRT.distn.dec.ove.mean.3</t>
        </is>
      </c>
      <c r="B1755" s="3" t="inlineStr">
        <is>
          <t>PRT</t>
        </is>
      </c>
      <c r="C1755" s="3" t="n">
        <v>2005</v>
      </c>
      <c r="D1755" s="3" t="inlineStr">
        <is>
          <t>Overall</t>
        </is>
      </c>
      <c r="E1755" s="3" t="inlineStr">
        <is>
          <t>Deciles</t>
        </is>
      </c>
      <c r="F1755" s="3" t="inlineStr">
        <is>
          <t>mean</t>
        </is>
      </c>
      <c r="G1755" s="3" t="n">
        <v>3</v>
      </c>
      <c r="H1755" s="3" t="n">
        <v>-0.7892489433288574</v>
      </c>
      <c r="I1755" s="3" t="n">
        <v>-0.7892489433288574</v>
      </c>
      <c r="J1755" s="3" t="n">
        <v>-0.8973613977432251</v>
      </c>
      <c r="K1755" s="3" t="n">
        <v>-0.8973613977432251</v>
      </c>
      <c r="L1755" s="3" t="n">
        <v>-0.7892489433288574</v>
      </c>
      <c r="M1755" s="3" t="n">
        <v>-0.7892489433288574</v>
      </c>
      <c r="N1755" s="3" t="n">
        <v>-0.7892489433288574</v>
      </c>
      <c r="O1755" s="3" t="n">
        <v>-0.7892489433288574</v>
      </c>
      <c r="P1755" s="3" t="n">
        <v>-0.7892489433288574</v>
      </c>
      <c r="Q1755" s="3" t="n">
        <v>-0.7892489433288574</v>
      </c>
      <c r="R1755" s="3" t="n">
        <v>-0.7744752764701843</v>
      </c>
      <c r="S1755" s="3" t="n">
        <v>-1.465252876281738</v>
      </c>
      <c r="T1755" s="3" t="n">
        <v>-0.7104546427726746</v>
      </c>
      <c r="U1755" s="3" t="n">
        <v>-0.8973613977432251</v>
      </c>
      <c r="V1755" s="3" t="n">
        <v>-0.6839550137519836</v>
      </c>
      <c r="W1755" s="3" t="n">
        <v>-0.6166780591011047</v>
      </c>
      <c r="X1755" s="3" t="n">
        <v>-1.40846061706543</v>
      </c>
      <c r="Y1755" s="3" t="n">
        <v>-0.7892489433288574</v>
      </c>
      <c r="Z1755" s="3" t="n">
        <v>-1.465252876281738</v>
      </c>
      <c r="AA1755" s="3" t="n">
        <v>-1.465252876281738</v>
      </c>
      <c r="AB1755" s="3" t="n">
        <v>-1.40846061706543</v>
      </c>
      <c r="AC1755" s="3" t="n">
        <v>-2.259161233901978</v>
      </c>
      <c r="AD1755" s="3" t="n">
        <v>-0.8973613977432251</v>
      </c>
      <c r="AE1755" s="3" t="n">
        <v>-0.8973613977432251</v>
      </c>
    </row>
    <row r="1756">
      <c r="A1756" s="3" t="inlineStr">
        <is>
          <t>PRT.distn.dec.ove.mean.4</t>
        </is>
      </c>
      <c r="B1756" s="3" t="inlineStr">
        <is>
          <t>PRT</t>
        </is>
      </c>
      <c r="C1756" s="3" t="n">
        <v>2005</v>
      </c>
      <c r="D1756" s="3" t="inlineStr">
        <is>
          <t>Overall</t>
        </is>
      </c>
      <c r="E1756" s="3" t="inlineStr">
        <is>
          <t>Deciles</t>
        </is>
      </c>
      <c r="F1756" s="3" t="inlineStr">
        <is>
          <t>mean</t>
        </is>
      </c>
      <c r="G1756" s="3" t="n">
        <v>4</v>
      </c>
      <c r="H1756" s="3" t="n">
        <v>-0.7829999923706055</v>
      </c>
      <c r="I1756" s="3" t="n">
        <v>-0.7829999923706055</v>
      </c>
      <c r="J1756" s="3" t="n">
        <v>-0.8539999723434448</v>
      </c>
      <c r="K1756" s="3" t="n">
        <v>-0.8539999723434448</v>
      </c>
      <c r="L1756" s="3" t="n">
        <v>-0.7829999923706055</v>
      </c>
      <c r="M1756" s="3" t="n">
        <v>-0.7829999923706055</v>
      </c>
      <c r="N1756" s="3" t="n">
        <v>-0.7829999923706055</v>
      </c>
      <c r="O1756" s="3" t="n">
        <v>-0.7829999923706055</v>
      </c>
      <c r="P1756" s="3" t="n">
        <v>-0.7829999923706055</v>
      </c>
      <c r="Q1756" s="3" t="n">
        <v>-0.7829999923706055</v>
      </c>
      <c r="R1756" s="3" t="n">
        <v>-0.7710000276565552</v>
      </c>
      <c r="S1756" s="3" t="n">
        <v>-0.9980000257492065</v>
      </c>
      <c r="T1756" s="3" t="n">
        <v>-0.7089999914169312</v>
      </c>
      <c r="U1756" s="3" t="n">
        <v>-0.8539999723434448</v>
      </c>
      <c r="V1756" s="3" t="n">
        <v>-0.6769999861717224</v>
      </c>
      <c r="W1756" s="3" t="n">
        <v>-0.5189999938011169</v>
      </c>
      <c r="X1756" s="3" t="n">
        <v>-0.9940000176429749</v>
      </c>
      <c r="Y1756" s="3" t="n">
        <v>-0.7829999923706055</v>
      </c>
      <c r="Z1756" s="3" t="n">
        <v>-0.9980000257492065</v>
      </c>
      <c r="AA1756" s="3" t="n">
        <v>-0.9980000257492065</v>
      </c>
      <c r="AB1756" s="3" t="n">
        <v>-0.9940000176429749</v>
      </c>
      <c r="AC1756" s="3" t="n">
        <v>-1.090999960899353</v>
      </c>
      <c r="AD1756" s="3" t="n">
        <v>-0.8539999723434448</v>
      </c>
      <c r="AE1756" s="3" t="n">
        <v>-0.8539999723434448</v>
      </c>
    </row>
    <row r="1757">
      <c r="A1757" s="3" t="inlineStr">
        <is>
          <t>PRT.distn.dec.ove.mean.5</t>
        </is>
      </c>
      <c r="B1757" s="3" t="inlineStr">
        <is>
          <t>PRT</t>
        </is>
      </c>
      <c r="C1757" s="3" t="n">
        <v>2005</v>
      </c>
      <c r="D1757" s="3" t="inlineStr">
        <is>
          <t>Overall</t>
        </is>
      </c>
      <c r="E1757" s="3" t="inlineStr">
        <is>
          <t>Deciles</t>
        </is>
      </c>
      <c r="F1757" s="3" t="inlineStr">
        <is>
          <t>mean</t>
        </is>
      </c>
      <c r="G1757" s="3" t="n">
        <v>5</v>
      </c>
      <c r="H1757" s="3" t="n">
        <v>-0.7829999923706055</v>
      </c>
      <c r="I1757" s="3" t="n">
        <v>-0.7829999923706055</v>
      </c>
      <c r="J1757" s="3" t="n">
        <v>-0.8539999723434448</v>
      </c>
      <c r="K1757" s="3" t="n">
        <v>-0.8539999723434448</v>
      </c>
      <c r="L1757" s="3" t="n">
        <v>-0.7829999923706055</v>
      </c>
      <c r="M1757" s="3" t="n">
        <v>-0.7829999923706055</v>
      </c>
      <c r="N1757" s="3" t="n">
        <v>-0.7829999923706055</v>
      </c>
      <c r="O1757" s="3" t="n">
        <v>-0.7829999923706055</v>
      </c>
      <c r="P1757" s="3" t="n">
        <v>-0.7829999923706055</v>
      </c>
      <c r="Q1757" s="3" t="n">
        <v>-0.7829999923706055</v>
      </c>
      <c r="R1757" s="3" t="n">
        <v>-0.7710000276565552</v>
      </c>
      <c r="S1757" s="3" t="n">
        <v>-0.9980000257492065</v>
      </c>
      <c r="T1757" s="3" t="n">
        <v>-0.7089999914169312</v>
      </c>
      <c r="U1757" s="3" t="n">
        <v>-0.8539999723434448</v>
      </c>
      <c r="V1757" s="3" t="n">
        <v>-0.6769999861717224</v>
      </c>
      <c r="W1757" s="3" t="n">
        <v>-0.5189999938011169</v>
      </c>
      <c r="X1757" s="3" t="n">
        <v>-0.9940000176429749</v>
      </c>
      <c r="Y1757" s="3" t="n">
        <v>-0.7829999923706055</v>
      </c>
      <c r="Z1757" s="3" t="n">
        <v>-0.9980000257492065</v>
      </c>
      <c r="AA1757" s="3" t="n">
        <v>-0.9980000257492065</v>
      </c>
      <c r="AB1757" s="3" t="n">
        <v>-0.9940000176429749</v>
      </c>
      <c r="AC1757" s="3" t="n">
        <v>-1.090999960899353</v>
      </c>
      <c r="AD1757" s="3" t="n">
        <v>-0.8539999723434448</v>
      </c>
      <c r="AE1757" s="3" t="n">
        <v>-0.8539999723434448</v>
      </c>
    </row>
    <row r="1758">
      <c r="A1758" s="3" t="inlineStr">
        <is>
          <t>PRT.distn.dec.ove.mean.6</t>
        </is>
      </c>
      <c r="B1758" s="3" t="inlineStr">
        <is>
          <t>PRT</t>
        </is>
      </c>
      <c r="C1758" s="3" t="n">
        <v>2005</v>
      </c>
      <c r="D1758" s="3" t="inlineStr">
        <is>
          <t>Overall</t>
        </is>
      </c>
      <c r="E1758" s="3" t="inlineStr">
        <is>
          <t>Deciles</t>
        </is>
      </c>
      <c r="F1758" s="3" t="inlineStr">
        <is>
          <t>mean</t>
        </is>
      </c>
      <c r="G1758" s="3" t="n">
        <v>6</v>
      </c>
      <c r="H1758" s="3" t="n">
        <v>-0.7829999923706055</v>
      </c>
      <c r="I1758" s="3" t="n">
        <v>-0.7829999923706055</v>
      </c>
      <c r="J1758" s="3" t="n">
        <v>-0.8539999723434448</v>
      </c>
      <c r="K1758" s="3" t="n">
        <v>-0.8539999723434448</v>
      </c>
      <c r="L1758" s="3" t="n">
        <v>-0.7829999923706055</v>
      </c>
      <c r="M1758" s="3" t="n">
        <v>-0.7829999923706055</v>
      </c>
      <c r="N1758" s="3" t="n">
        <v>-0.7829999923706055</v>
      </c>
      <c r="O1758" s="3" t="n">
        <v>-0.7829999923706055</v>
      </c>
      <c r="P1758" s="3" t="n">
        <v>-0.7829999923706055</v>
      </c>
      <c r="Q1758" s="3" t="n">
        <v>-0.7829999923706055</v>
      </c>
      <c r="R1758" s="3" t="n">
        <v>-0.7710000276565552</v>
      </c>
      <c r="S1758" s="3" t="n">
        <v>-0.9980000257492065</v>
      </c>
      <c r="T1758" s="3" t="n">
        <v>-0.7089999914169312</v>
      </c>
      <c r="U1758" s="3" t="n">
        <v>-0.8539999723434448</v>
      </c>
      <c r="V1758" s="3" t="n">
        <v>-0.6769999861717224</v>
      </c>
      <c r="W1758" s="3" t="n">
        <v>-0.5189999938011169</v>
      </c>
      <c r="X1758" s="3" t="n">
        <v>-0.9940000176429749</v>
      </c>
      <c r="Y1758" s="3" t="n">
        <v>-0.7829999923706055</v>
      </c>
      <c r="Z1758" s="3" t="n">
        <v>-0.9980000257492065</v>
      </c>
      <c r="AA1758" s="3" t="n">
        <v>-0.9980000257492065</v>
      </c>
      <c r="AB1758" s="3" t="n">
        <v>-0.9940000176429749</v>
      </c>
      <c r="AC1758" s="3" t="n">
        <v>-1.090999960899353</v>
      </c>
      <c r="AD1758" s="3" t="n">
        <v>-0.8539999723434448</v>
      </c>
      <c r="AE1758" s="3" t="n">
        <v>-0.8539999723434448</v>
      </c>
    </row>
    <row r="1759">
      <c r="A1759" s="3" t="inlineStr">
        <is>
          <t>PRT.distn.dec.ove.mean.7</t>
        </is>
      </c>
      <c r="B1759" s="3" t="inlineStr">
        <is>
          <t>PRT</t>
        </is>
      </c>
      <c r="C1759" s="3" t="n">
        <v>2005</v>
      </c>
      <c r="D1759" s="3" t="inlineStr">
        <is>
          <t>Overall</t>
        </is>
      </c>
      <c r="E1759" s="3" t="inlineStr">
        <is>
          <t>Deciles</t>
        </is>
      </c>
      <c r="F1759" s="3" t="inlineStr">
        <is>
          <t>mean</t>
        </is>
      </c>
      <c r="G1759" s="3" t="n">
        <v>7</v>
      </c>
      <c r="H1759" s="3" t="n">
        <v>-0.7829999923706055</v>
      </c>
      <c r="I1759" s="3" t="n">
        <v>-0.7829999923706055</v>
      </c>
      <c r="J1759" s="3" t="n">
        <v>-0.8539999723434448</v>
      </c>
      <c r="K1759" s="3" t="n">
        <v>-0.8539999723434448</v>
      </c>
      <c r="L1759" s="3" t="n">
        <v>-0.7829999923706055</v>
      </c>
      <c r="M1759" s="3" t="n">
        <v>-0.7829999923706055</v>
      </c>
      <c r="N1759" s="3" t="n">
        <v>-0.7829999923706055</v>
      </c>
      <c r="O1759" s="3" t="n">
        <v>-0.7829999923706055</v>
      </c>
      <c r="P1759" s="3" t="n">
        <v>-0.7829999923706055</v>
      </c>
      <c r="Q1759" s="3" t="n">
        <v>-0.7829999923706055</v>
      </c>
      <c r="R1759" s="3" t="n">
        <v>-0.7710000276565552</v>
      </c>
      <c r="S1759" s="3" t="n">
        <v>-0.9980000257492065</v>
      </c>
      <c r="T1759" s="3" t="n">
        <v>-0.7089999914169312</v>
      </c>
      <c r="U1759" s="3" t="n">
        <v>-0.8539999723434448</v>
      </c>
      <c r="V1759" s="3" t="n">
        <v>-0.6769999861717224</v>
      </c>
      <c r="W1759" s="3" t="n">
        <v>-0.5189999938011169</v>
      </c>
      <c r="X1759" s="3" t="n">
        <v>-0.9940000176429749</v>
      </c>
      <c r="Y1759" s="3" t="n">
        <v>-0.7829999923706055</v>
      </c>
      <c r="Z1759" s="3" t="n">
        <v>-0.9980000257492065</v>
      </c>
      <c r="AA1759" s="3" t="n">
        <v>-0.9980000257492065</v>
      </c>
      <c r="AB1759" s="3" t="n">
        <v>-0.9940000176429749</v>
      </c>
      <c r="AC1759" s="3" t="n">
        <v>-1.090999960899353</v>
      </c>
      <c r="AD1759" s="3" t="n">
        <v>-0.8539999723434448</v>
      </c>
      <c r="AE1759" s="3" t="n">
        <v>-0.8539999723434448</v>
      </c>
    </row>
    <row r="1760">
      <c r="A1760" s="3" t="inlineStr">
        <is>
          <t>PRT.distn.dec.ove.mean.8</t>
        </is>
      </c>
      <c r="B1760" s="3" t="inlineStr">
        <is>
          <t>PRT</t>
        </is>
      </c>
      <c r="C1760" s="3" t="n">
        <v>2005</v>
      </c>
      <c r="D1760" s="3" t="inlineStr">
        <is>
          <t>Overall</t>
        </is>
      </c>
      <c r="E1760" s="3" t="inlineStr">
        <is>
          <t>Deciles</t>
        </is>
      </c>
      <c r="F1760" s="3" t="inlineStr">
        <is>
          <t>mean</t>
        </is>
      </c>
      <c r="G1760" s="3" t="n">
        <v>8</v>
      </c>
      <c r="H1760" s="3" t="n">
        <v>-0.7833772301673889</v>
      </c>
      <c r="I1760" s="3" t="n">
        <v>-0.7833772301673889</v>
      </c>
      <c r="J1760" s="3" t="n">
        <v>-0.8563037514686584</v>
      </c>
      <c r="K1760" s="3" t="n">
        <v>-0.8563037514686584</v>
      </c>
      <c r="L1760" s="3" t="n">
        <v>-0.7833772301673889</v>
      </c>
      <c r="M1760" s="3" t="n">
        <v>-0.7833772301673889</v>
      </c>
      <c r="N1760" s="3" t="n">
        <v>-0.7833772301673889</v>
      </c>
      <c r="O1760" s="3" t="n">
        <v>-0.7833772301673889</v>
      </c>
      <c r="P1760" s="3" t="n">
        <v>-0.7833772301673889</v>
      </c>
      <c r="Q1760" s="3" t="n">
        <v>-0.7833772301673889</v>
      </c>
      <c r="R1760" s="3" t="n">
        <v>-0.7712535858154297</v>
      </c>
      <c r="S1760" s="3" t="n">
        <v>-1.007286548614502</v>
      </c>
      <c r="T1760" s="3" t="n">
        <v>-0.7090408802032471</v>
      </c>
      <c r="U1760" s="3" t="n">
        <v>-0.8563037514686584</v>
      </c>
      <c r="V1760" s="3" t="n">
        <v>-0.677699863910675</v>
      </c>
      <c r="W1760" s="3" t="n">
        <v>-0.5328981876373291</v>
      </c>
      <c r="X1760" s="3" t="n">
        <v>-1.003057360649109</v>
      </c>
      <c r="Y1760" s="3" t="n">
        <v>-0.7833772301673889</v>
      </c>
      <c r="Z1760" s="3" t="n">
        <v>-1.007286548614502</v>
      </c>
      <c r="AA1760" s="3" t="n">
        <v>-1.007286548614502</v>
      </c>
      <c r="AB1760" s="3" t="n">
        <v>-1.003057360649109</v>
      </c>
      <c r="AC1760" s="3" t="n">
        <v>-1.106559157371521</v>
      </c>
      <c r="AD1760" s="3" t="n">
        <v>-0.8563037514686584</v>
      </c>
      <c r="AE1760" s="3" t="n">
        <v>-0.8563037514686584</v>
      </c>
    </row>
    <row r="1761">
      <c r="A1761" s="3" t="inlineStr">
        <is>
          <t>PRT.distn.dec.ove.mean.9</t>
        </is>
      </c>
      <c r="B1761" s="3" t="inlineStr">
        <is>
          <t>PRT</t>
        </is>
      </c>
      <c r="C1761" s="3" t="n">
        <v>2005</v>
      </c>
      <c r="D1761" s="3" t="inlineStr">
        <is>
          <t>Overall</t>
        </is>
      </c>
      <c r="E1761" s="3" t="inlineStr">
        <is>
          <t>Deciles</t>
        </is>
      </c>
      <c r="F1761" s="3" t="inlineStr">
        <is>
          <t>mean</t>
        </is>
      </c>
      <c r="G1761" s="3" t="n">
        <v>9</v>
      </c>
      <c r="H1761" s="3" t="n">
        <v>-0.7833772301673889</v>
      </c>
      <c r="I1761" s="3" t="n">
        <v>-0.7833772301673889</v>
      </c>
      <c r="J1761" s="3" t="n">
        <v>-0.8563037514686584</v>
      </c>
      <c r="K1761" s="3" t="n">
        <v>-0.8563037514686584</v>
      </c>
      <c r="L1761" s="3" t="n">
        <v>-0.7833772301673889</v>
      </c>
      <c r="M1761" s="3" t="n">
        <v>-0.7833772301673889</v>
      </c>
      <c r="N1761" s="3" t="n">
        <v>-0.7833772301673889</v>
      </c>
      <c r="O1761" s="3" t="n">
        <v>-0.7833772301673889</v>
      </c>
      <c r="P1761" s="3" t="n">
        <v>-0.7833772301673889</v>
      </c>
      <c r="Q1761" s="3" t="n">
        <v>-0.7833772301673889</v>
      </c>
      <c r="R1761" s="3" t="n">
        <v>-0.7712535858154297</v>
      </c>
      <c r="S1761" s="3" t="n">
        <v>-1.007286548614502</v>
      </c>
      <c r="T1761" s="3" t="n">
        <v>-0.7090408802032471</v>
      </c>
      <c r="U1761" s="3" t="n">
        <v>-0.8563037514686584</v>
      </c>
      <c r="V1761" s="3" t="n">
        <v>-0.677699863910675</v>
      </c>
      <c r="W1761" s="3" t="n">
        <v>-0.5328981876373291</v>
      </c>
      <c r="X1761" s="3" t="n">
        <v>-1.003057360649109</v>
      </c>
      <c r="Y1761" s="3" t="n">
        <v>-0.7833772301673889</v>
      </c>
      <c r="Z1761" s="3" t="n">
        <v>-1.007286548614502</v>
      </c>
      <c r="AA1761" s="3" t="n">
        <v>-1.007286548614502</v>
      </c>
      <c r="AB1761" s="3" t="n">
        <v>-1.003057360649109</v>
      </c>
      <c r="AC1761" s="3" t="n">
        <v>-1.106559157371521</v>
      </c>
      <c r="AD1761" s="3" t="n">
        <v>-0.8563037514686584</v>
      </c>
      <c r="AE1761" s="3" t="n">
        <v>-0.8563037514686584</v>
      </c>
    </row>
    <row r="1762">
      <c r="A1762" s="3" t="inlineStr">
        <is>
          <t>PRT.distn.dec.ove.mean.10</t>
        </is>
      </c>
      <c r="B1762" s="3" t="inlineStr">
        <is>
          <t>PRT</t>
        </is>
      </c>
      <c r="C1762" s="3" t="n">
        <v>2005</v>
      </c>
      <c r="D1762" s="3" t="inlineStr">
        <is>
          <t>Overall</t>
        </is>
      </c>
      <c r="E1762" s="3" t="inlineStr">
        <is>
          <t>Deciles</t>
        </is>
      </c>
      <c r="F1762" s="3" t="inlineStr">
        <is>
          <t>mean</t>
        </is>
      </c>
      <c r="G1762" s="3" t="n">
        <v>10</v>
      </c>
      <c r="H1762" s="3" t="n">
        <v>-0.7833772301673889</v>
      </c>
      <c r="I1762" s="3" t="n">
        <v>-0.7833772301673889</v>
      </c>
      <c r="J1762" s="3" t="n">
        <v>-0.8563037514686584</v>
      </c>
      <c r="K1762" s="3" t="n">
        <v>-0.8563037514686584</v>
      </c>
      <c r="L1762" s="3" t="n">
        <v>-0.7833772301673889</v>
      </c>
      <c r="M1762" s="3" t="n">
        <v>-0.7833772301673889</v>
      </c>
      <c r="N1762" s="3" t="n">
        <v>-0.7833772301673889</v>
      </c>
      <c r="O1762" s="3" t="n">
        <v>-0.7833772301673889</v>
      </c>
      <c r="P1762" s="3" t="n">
        <v>-0.7833772301673889</v>
      </c>
      <c r="Q1762" s="3" t="n">
        <v>-0.7833772301673889</v>
      </c>
      <c r="R1762" s="3" t="n">
        <v>-0.7712535858154297</v>
      </c>
      <c r="S1762" s="3" t="n">
        <v>-1.007286548614502</v>
      </c>
      <c r="T1762" s="3" t="n">
        <v>-0.7090408802032471</v>
      </c>
      <c r="U1762" s="3" t="n">
        <v>-0.8563037514686584</v>
      </c>
      <c r="V1762" s="3" t="n">
        <v>-0.677699863910675</v>
      </c>
      <c r="W1762" s="3" t="n">
        <v>-0.5328981876373291</v>
      </c>
      <c r="X1762" s="3" t="n">
        <v>-1.003057360649109</v>
      </c>
      <c r="Y1762" s="3" t="n">
        <v>-0.7833772301673889</v>
      </c>
      <c r="Z1762" s="3" t="n">
        <v>-1.007286548614502</v>
      </c>
      <c r="AA1762" s="3" t="n">
        <v>-1.007286548614502</v>
      </c>
      <c r="AB1762" s="3" t="n">
        <v>-1.003057360649109</v>
      </c>
      <c r="AC1762" s="3" t="n">
        <v>-1.106559157371521</v>
      </c>
      <c r="AD1762" s="3" t="n">
        <v>-0.8563037514686584</v>
      </c>
      <c r="AE1762" s="3" t="n">
        <v>-0.8563037514686584</v>
      </c>
    </row>
    <row r="1763">
      <c r="A1763" s="3" t="inlineStr">
        <is>
          <t>PRT.distn.bkt.ove.mean.9999</t>
        </is>
      </c>
      <c r="B1763" s="3" t="inlineStr">
        <is>
          <t>PRT</t>
        </is>
      </c>
      <c r="C1763" s="3" t="n">
        <v>2005</v>
      </c>
      <c r="D1763" s="3" t="inlineStr">
        <is>
          <t>Overall</t>
        </is>
      </c>
      <c r="E1763" s="3" t="inlineStr">
        <is>
          <t>Basket</t>
        </is>
      </c>
      <c r="F1763" s="3" t="inlineStr">
        <is>
          <t>mean</t>
        </is>
      </c>
      <c r="G1763" s="3" t="n">
        <v>9999</v>
      </c>
      <c r="H1763" s="3" t="n">
        <v>-0.7849878668785095</v>
      </c>
      <c r="I1763" s="3" t="n">
        <v>-0.7849878668785095</v>
      </c>
      <c r="J1763" s="3" t="n">
        <v>-0.8676995038986206</v>
      </c>
      <c r="K1763" s="3" t="n">
        <v>-0.8676995038986206</v>
      </c>
      <c r="L1763" s="3" t="n">
        <v>-0.7849878668785095</v>
      </c>
      <c r="M1763" s="3" t="n">
        <v>-0.7849878668785095</v>
      </c>
      <c r="N1763" s="3" t="n">
        <v>-0.7849878668785095</v>
      </c>
      <c r="O1763" s="3" t="n">
        <v>-0.7849878668785095</v>
      </c>
      <c r="P1763" s="3" t="n">
        <v>-0.7849878668785095</v>
      </c>
      <c r="Q1763" s="3" t="n">
        <v>-0.7849878668785095</v>
      </c>
      <c r="R1763" s="3" t="n">
        <v>-0.7721186876296997</v>
      </c>
      <c r="S1763" s="3" t="n">
        <v>-1.140961885452271</v>
      </c>
      <c r="T1763" s="3" t="n">
        <v>-0.7094486355781555</v>
      </c>
      <c r="U1763" s="3" t="n">
        <v>-0.8676995038986206</v>
      </c>
      <c r="V1763" s="3" t="n">
        <v>-0.6792964339256287</v>
      </c>
      <c r="W1763" s="3" t="n">
        <v>-0.5524728894233704</v>
      </c>
      <c r="X1763" s="3" t="n">
        <v>-1.121055364608765</v>
      </c>
      <c r="Y1763" s="3" t="n">
        <v>-0.7849878668785095</v>
      </c>
      <c r="Z1763" s="3" t="n">
        <v>-1.140961885452271</v>
      </c>
      <c r="AA1763" s="3" t="n">
        <v>-1.140961885452271</v>
      </c>
      <c r="AB1763" s="3" t="n">
        <v>-1.121055364608765</v>
      </c>
      <c r="AC1763" s="3" t="n">
        <v>-1.446116089820862</v>
      </c>
      <c r="AD1763" s="3" t="n">
        <v>-0.8676995038986206</v>
      </c>
      <c r="AE1763" s="3" t="n">
        <v>-0.8676995038986206</v>
      </c>
    </row>
    <row r="1764">
      <c r="A1764" s="3" t="inlineStr">
        <is>
          <t>PRY.distn.dec.ove.mean.1</t>
        </is>
      </c>
      <c r="B1764" s="3" t="inlineStr">
        <is>
          <t>PRY</t>
        </is>
      </c>
      <c r="C1764" s="3" t="n">
        <v>2005</v>
      </c>
      <c r="D1764" s="3" t="inlineStr">
        <is>
          <t>Overall</t>
        </is>
      </c>
      <c r="E1764" s="3" t="inlineStr">
        <is>
          <t>Deciles</t>
        </is>
      </c>
      <c r="F1764" s="3" t="inlineStr">
        <is>
          <t>mean</t>
        </is>
      </c>
      <c r="G1764" s="3" t="n">
        <v>1</v>
      </c>
      <c r="H1764" s="3" t="n">
        <v>-0.7912648916244507</v>
      </c>
      <c r="I1764" s="3" t="n">
        <v>-0.7912648916244507</v>
      </c>
      <c r="J1764" s="3" t="n">
        <v>-0.9068183898925781</v>
      </c>
      <c r="K1764" s="3" t="n">
        <v>-0.9068183898925781</v>
      </c>
      <c r="L1764" s="3" t="n">
        <v>-0.7912648916244507</v>
      </c>
      <c r="M1764" s="3" t="n">
        <v>-0.7912648916244507</v>
      </c>
      <c r="N1764" s="3" t="n">
        <v>-0.7912648916244507</v>
      </c>
      <c r="O1764" s="3" t="n">
        <v>-0.7912648916244507</v>
      </c>
      <c r="P1764" s="3" t="n">
        <v>-0.7912648916244507</v>
      </c>
      <c r="Q1764" s="3" t="n">
        <v>-0.7912648916244507</v>
      </c>
      <c r="R1764" s="3" t="n">
        <v>-0.775479793548584</v>
      </c>
      <c r="S1764" s="3" t="n">
        <v>-1.528385043144226</v>
      </c>
      <c r="T1764" s="3" t="n">
        <v>-0.7104546427726746</v>
      </c>
      <c r="U1764" s="3" t="n">
        <v>-0.9068183898925781</v>
      </c>
      <c r="V1764" s="3" t="n">
        <v>-0.6859755516052246</v>
      </c>
      <c r="W1764" s="3" t="n">
        <v>-0.6428185105323792</v>
      </c>
      <c r="X1764" s="3" t="n">
        <v>-1.469389915466309</v>
      </c>
      <c r="Y1764" s="3" t="n">
        <v>-0.7912648916244507</v>
      </c>
      <c r="Z1764" s="3" t="n">
        <v>-1.528385043144226</v>
      </c>
      <c r="AA1764" s="3" t="n">
        <v>-1.528385043144226</v>
      </c>
      <c r="AB1764" s="3" t="n">
        <v>-1.469389915466309</v>
      </c>
      <c r="AC1764" s="3" t="n">
        <v>-2.435173034667969</v>
      </c>
      <c r="AD1764" s="3" t="n">
        <v>-0.9068183898925781</v>
      </c>
      <c r="AE1764" s="3" t="n">
        <v>-0.9068183898925781</v>
      </c>
    </row>
    <row r="1765">
      <c r="A1765" s="3" t="inlineStr">
        <is>
          <t>PRY.distn.dec.ove.mean.2</t>
        </is>
      </c>
      <c r="B1765" s="3" t="inlineStr">
        <is>
          <t>PRY</t>
        </is>
      </c>
      <c r="C1765" s="3" t="n">
        <v>2005</v>
      </c>
      <c r="D1765" s="3" t="inlineStr">
        <is>
          <t>Overall</t>
        </is>
      </c>
      <c r="E1765" s="3" t="inlineStr">
        <is>
          <t>Deciles</t>
        </is>
      </c>
      <c r="F1765" s="3" t="inlineStr">
        <is>
          <t>mean</t>
        </is>
      </c>
      <c r="G1765" s="3" t="n">
        <v>2</v>
      </c>
      <c r="H1765" s="3" t="n">
        <v>-0.7912648916244507</v>
      </c>
      <c r="I1765" s="3" t="n">
        <v>-0.7912648916244507</v>
      </c>
      <c r="J1765" s="3" t="n">
        <v>-0.9068183898925781</v>
      </c>
      <c r="K1765" s="3" t="n">
        <v>-0.9068183898925781</v>
      </c>
      <c r="L1765" s="3" t="n">
        <v>-0.7912648916244507</v>
      </c>
      <c r="M1765" s="3" t="n">
        <v>-0.7912648916244507</v>
      </c>
      <c r="N1765" s="3" t="n">
        <v>-0.7912648916244507</v>
      </c>
      <c r="O1765" s="3" t="n">
        <v>-0.7912648916244507</v>
      </c>
      <c r="P1765" s="3" t="n">
        <v>-0.7912648916244507</v>
      </c>
      <c r="Q1765" s="3" t="n">
        <v>-0.7912648916244507</v>
      </c>
      <c r="R1765" s="3" t="n">
        <v>-0.775479793548584</v>
      </c>
      <c r="S1765" s="3" t="n">
        <v>-1.528385043144226</v>
      </c>
      <c r="T1765" s="3" t="n">
        <v>-0.7104546427726746</v>
      </c>
      <c r="U1765" s="3" t="n">
        <v>-0.9068183898925781</v>
      </c>
      <c r="V1765" s="3" t="n">
        <v>-0.6859755516052246</v>
      </c>
      <c r="W1765" s="3" t="n">
        <v>-0.6428185105323792</v>
      </c>
      <c r="X1765" s="3" t="n">
        <v>-1.469389915466309</v>
      </c>
      <c r="Y1765" s="3" t="n">
        <v>-0.7912648916244507</v>
      </c>
      <c r="Z1765" s="3" t="n">
        <v>-1.528385043144226</v>
      </c>
      <c r="AA1765" s="3" t="n">
        <v>-1.528385043144226</v>
      </c>
      <c r="AB1765" s="3" t="n">
        <v>-1.469389915466309</v>
      </c>
      <c r="AC1765" s="3" t="n">
        <v>-2.435173034667969</v>
      </c>
      <c r="AD1765" s="3" t="n">
        <v>-0.9068183898925781</v>
      </c>
      <c r="AE1765" s="3" t="n">
        <v>-0.9068183898925781</v>
      </c>
    </row>
    <row r="1766">
      <c r="A1766" s="3" t="inlineStr">
        <is>
          <t>PRY.distn.dec.ove.mean.3</t>
        </is>
      </c>
      <c r="B1766" s="3" t="inlineStr">
        <is>
          <t>PRY</t>
        </is>
      </c>
      <c r="C1766" s="3" t="n">
        <v>2005</v>
      </c>
      <c r="D1766" s="3" t="inlineStr">
        <is>
          <t>Overall</t>
        </is>
      </c>
      <c r="E1766" s="3" t="inlineStr">
        <is>
          <t>Deciles</t>
        </is>
      </c>
      <c r="F1766" s="3" t="inlineStr">
        <is>
          <t>mean</t>
        </is>
      </c>
      <c r="G1766" s="3" t="n">
        <v>3</v>
      </c>
      <c r="H1766" s="3" t="n">
        <v>-0.7912648916244507</v>
      </c>
      <c r="I1766" s="3" t="n">
        <v>-0.7912648916244507</v>
      </c>
      <c r="J1766" s="3" t="n">
        <v>-0.9068183898925781</v>
      </c>
      <c r="K1766" s="3" t="n">
        <v>-0.9068183898925781</v>
      </c>
      <c r="L1766" s="3" t="n">
        <v>-0.7912648916244507</v>
      </c>
      <c r="M1766" s="3" t="n">
        <v>-0.7912648916244507</v>
      </c>
      <c r="N1766" s="3" t="n">
        <v>-0.7912648916244507</v>
      </c>
      <c r="O1766" s="3" t="n">
        <v>-0.7912648916244507</v>
      </c>
      <c r="P1766" s="3" t="n">
        <v>-0.7912648916244507</v>
      </c>
      <c r="Q1766" s="3" t="n">
        <v>-0.7912648916244507</v>
      </c>
      <c r="R1766" s="3" t="n">
        <v>-0.775479793548584</v>
      </c>
      <c r="S1766" s="3" t="n">
        <v>-1.528385043144226</v>
      </c>
      <c r="T1766" s="3" t="n">
        <v>-0.7104546427726746</v>
      </c>
      <c r="U1766" s="3" t="n">
        <v>-0.9068183898925781</v>
      </c>
      <c r="V1766" s="3" t="n">
        <v>-0.6859755516052246</v>
      </c>
      <c r="W1766" s="3" t="n">
        <v>-0.6428185105323792</v>
      </c>
      <c r="X1766" s="3" t="n">
        <v>-1.469389915466309</v>
      </c>
      <c r="Y1766" s="3" t="n">
        <v>-0.7912648916244507</v>
      </c>
      <c r="Z1766" s="3" t="n">
        <v>-1.528385043144226</v>
      </c>
      <c r="AA1766" s="3" t="n">
        <v>-1.528385043144226</v>
      </c>
      <c r="AB1766" s="3" t="n">
        <v>-1.469389915466309</v>
      </c>
      <c r="AC1766" s="3" t="n">
        <v>-2.435173034667969</v>
      </c>
      <c r="AD1766" s="3" t="n">
        <v>-0.9068183898925781</v>
      </c>
      <c r="AE1766" s="3" t="n">
        <v>-0.9068183898925781</v>
      </c>
    </row>
    <row r="1767">
      <c r="A1767" s="3" t="inlineStr">
        <is>
          <t>PRY.distn.dec.ove.mean.4</t>
        </is>
      </c>
      <c r="B1767" s="3" t="inlineStr">
        <is>
          <t>PRY</t>
        </is>
      </c>
      <c r="C1767" s="3" t="n">
        <v>2005</v>
      </c>
      <c r="D1767" s="3" t="inlineStr">
        <is>
          <t>Overall</t>
        </is>
      </c>
      <c r="E1767" s="3" t="inlineStr">
        <is>
          <t>Deciles</t>
        </is>
      </c>
      <c r="F1767" s="3" t="inlineStr">
        <is>
          <t>mean</t>
        </is>
      </c>
      <c r="G1767" s="3" t="n">
        <v>4</v>
      </c>
      <c r="H1767" s="3" t="n">
        <v>-0.7850000262260437</v>
      </c>
      <c r="I1767" s="3" t="n">
        <v>-0.7850000262260437</v>
      </c>
      <c r="J1767" s="3" t="n">
        <v>-0.8629999756813049</v>
      </c>
      <c r="K1767" s="3" t="n">
        <v>-0.8629999756813049</v>
      </c>
      <c r="L1767" s="3" t="n">
        <v>-0.7850000262260437</v>
      </c>
      <c r="M1767" s="3" t="n">
        <v>-0.7850000262260437</v>
      </c>
      <c r="N1767" s="3" t="n">
        <v>-0.7850000262260437</v>
      </c>
      <c r="O1767" s="3" t="n">
        <v>-0.7850000262260437</v>
      </c>
      <c r="P1767" s="3" t="n">
        <v>-0.7850000262260437</v>
      </c>
      <c r="Q1767" s="3" t="n">
        <v>-0.7850000262260437</v>
      </c>
      <c r="R1767" s="3" t="n">
        <v>-0.7720000147819519</v>
      </c>
      <c r="S1767" s="3" t="n">
        <v>-1.041000008583069</v>
      </c>
      <c r="T1767" s="3" t="n">
        <v>-0.7089999914169312</v>
      </c>
      <c r="U1767" s="3" t="n">
        <v>-0.8629999756813049</v>
      </c>
      <c r="V1767" s="3" t="n">
        <v>-0.6790000200271606</v>
      </c>
      <c r="W1767" s="3" t="n">
        <v>-0.5410000085830688</v>
      </c>
      <c r="X1767" s="3" t="n">
        <v>-1.036999940872192</v>
      </c>
      <c r="Y1767" s="3" t="n">
        <v>-0.7850000262260437</v>
      </c>
      <c r="Z1767" s="3" t="n">
        <v>-1.041000008583069</v>
      </c>
      <c r="AA1767" s="3" t="n">
        <v>-1.041000008583069</v>
      </c>
      <c r="AB1767" s="3" t="n">
        <v>-1.036999940872192</v>
      </c>
      <c r="AC1767" s="3" t="n">
        <v>-1.175999999046326</v>
      </c>
      <c r="AD1767" s="3" t="n">
        <v>-0.8629999756813049</v>
      </c>
      <c r="AE1767" s="3" t="n">
        <v>-0.8629999756813049</v>
      </c>
    </row>
    <row r="1768">
      <c r="A1768" s="3" t="inlineStr">
        <is>
          <t>PRY.distn.dec.ove.mean.5</t>
        </is>
      </c>
      <c r="B1768" s="3" t="inlineStr">
        <is>
          <t>PRY</t>
        </is>
      </c>
      <c r="C1768" s="3" t="n">
        <v>2005</v>
      </c>
      <c r="D1768" s="3" t="inlineStr">
        <is>
          <t>Overall</t>
        </is>
      </c>
      <c r="E1768" s="3" t="inlineStr">
        <is>
          <t>Deciles</t>
        </is>
      </c>
      <c r="F1768" s="3" t="inlineStr">
        <is>
          <t>mean</t>
        </is>
      </c>
      <c r="G1768" s="3" t="n">
        <v>5</v>
      </c>
      <c r="H1768" s="3" t="n">
        <v>-0.7850000262260437</v>
      </c>
      <c r="I1768" s="3" t="n">
        <v>-0.7850000262260437</v>
      </c>
      <c r="J1768" s="3" t="n">
        <v>-0.8629999756813049</v>
      </c>
      <c r="K1768" s="3" t="n">
        <v>-0.8629999756813049</v>
      </c>
      <c r="L1768" s="3" t="n">
        <v>-0.7850000262260437</v>
      </c>
      <c r="M1768" s="3" t="n">
        <v>-0.7850000262260437</v>
      </c>
      <c r="N1768" s="3" t="n">
        <v>-0.7850000262260437</v>
      </c>
      <c r="O1768" s="3" t="n">
        <v>-0.7850000262260437</v>
      </c>
      <c r="P1768" s="3" t="n">
        <v>-0.7850000262260437</v>
      </c>
      <c r="Q1768" s="3" t="n">
        <v>-0.7850000262260437</v>
      </c>
      <c r="R1768" s="3" t="n">
        <v>-0.7720000147819519</v>
      </c>
      <c r="S1768" s="3" t="n">
        <v>-1.041000008583069</v>
      </c>
      <c r="T1768" s="3" t="n">
        <v>-0.7089999914169312</v>
      </c>
      <c r="U1768" s="3" t="n">
        <v>-0.8629999756813049</v>
      </c>
      <c r="V1768" s="3" t="n">
        <v>-0.6790000200271606</v>
      </c>
      <c r="W1768" s="3" t="n">
        <v>-0.5410000085830688</v>
      </c>
      <c r="X1768" s="3" t="n">
        <v>-1.036999940872192</v>
      </c>
      <c r="Y1768" s="3" t="n">
        <v>-0.7850000262260437</v>
      </c>
      <c r="Z1768" s="3" t="n">
        <v>-1.041000008583069</v>
      </c>
      <c r="AA1768" s="3" t="n">
        <v>-1.041000008583069</v>
      </c>
      <c r="AB1768" s="3" t="n">
        <v>-1.036999940872192</v>
      </c>
      <c r="AC1768" s="3" t="n">
        <v>-1.175999999046326</v>
      </c>
      <c r="AD1768" s="3" t="n">
        <v>-0.8629999756813049</v>
      </c>
      <c r="AE1768" s="3" t="n">
        <v>-0.8629999756813049</v>
      </c>
    </row>
    <row r="1769">
      <c r="A1769" s="3" t="inlineStr">
        <is>
          <t>PRY.distn.dec.ove.mean.6</t>
        </is>
      </c>
      <c r="B1769" s="3" t="inlineStr">
        <is>
          <t>PRY</t>
        </is>
      </c>
      <c r="C1769" s="3" t="n">
        <v>2005</v>
      </c>
      <c r="D1769" s="3" t="inlineStr">
        <is>
          <t>Overall</t>
        </is>
      </c>
      <c r="E1769" s="3" t="inlineStr">
        <is>
          <t>Deciles</t>
        </is>
      </c>
      <c r="F1769" s="3" t="inlineStr">
        <is>
          <t>mean</t>
        </is>
      </c>
      <c r="G1769" s="3" t="n">
        <v>6</v>
      </c>
      <c r="H1769" s="3" t="n">
        <v>-0.7850000262260437</v>
      </c>
      <c r="I1769" s="3" t="n">
        <v>-0.7850000262260437</v>
      </c>
      <c r="J1769" s="3" t="n">
        <v>-0.8629999756813049</v>
      </c>
      <c r="K1769" s="3" t="n">
        <v>-0.8629999756813049</v>
      </c>
      <c r="L1769" s="3" t="n">
        <v>-0.7850000262260437</v>
      </c>
      <c r="M1769" s="3" t="n">
        <v>-0.7850000262260437</v>
      </c>
      <c r="N1769" s="3" t="n">
        <v>-0.7850000262260437</v>
      </c>
      <c r="O1769" s="3" t="n">
        <v>-0.7850000262260437</v>
      </c>
      <c r="P1769" s="3" t="n">
        <v>-0.7850000262260437</v>
      </c>
      <c r="Q1769" s="3" t="n">
        <v>-0.7850000262260437</v>
      </c>
      <c r="R1769" s="3" t="n">
        <v>-0.7720000147819519</v>
      </c>
      <c r="S1769" s="3" t="n">
        <v>-1.041000008583069</v>
      </c>
      <c r="T1769" s="3" t="n">
        <v>-0.7089999914169312</v>
      </c>
      <c r="U1769" s="3" t="n">
        <v>-0.8629999756813049</v>
      </c>
      <c r="V1769" s="3" t="n">
        <v>-0.6790000200271606</v>
      </c>
      <c r="W1769" s="3" t="n">
        <v>-0.5410000085830688</v>
      </c>
      <c r="X1769" s="3" t="n">
        <v>-1.036999940872192</v>
      </c>
      <c r="Y1769" s="3" t="n">
        <v>-0.7850000262260437</v>
      </c>
      <c r="Z1769" s="3" t="n">
        <v>-1.041000008583069</v>
      </c>
      <c r="AA1769" s="3" t="n">
        <v>-1.041000008583069</v>
      </c>
      <c r="AB1769" s="3" t="n">
        <v>-1.036999940872192</v>
      </c>
      <c r="AC1769" s="3" t="n">
        <v>-1.175999999046326</v>
      </c>
      <c r="AD1769" s="3" t="n">
        <v>-0.8629999756813049</v>
      </c>
      <c r="AE1769" s="3" t="n">
        <v>-0.8629999756813049</v>
      </c>
    </row>
    <row r="1770">
      <c r="A1770" s="3" t="inlineStr">
        <is>
          <t>PRY.distn.dec.ove.mean.7</t>
        </is>
      </c>
      <c r="B1770" s="3" t="inlineStr">
        <is>
          <t>PRY</t>
        </is>
      </c>
      <c r="C1770" s="3" t="n">
        <v>2005</v>
      </c>
      <c r="D1770" s="3" t="inlineStr">
        <is>
          <t>Overall</t>
        </is>
      </c>
      <c r="E1770" s="3" t="inlineStr">
        <is>
          <t>Deciles</t>
        </is>
      </c>
      <c r="F1770" s="3" t="inlineStr">
        <is>
          <t>mean</t>
        </is>
      </c>
      <c r="G1770" s="3" t="n">
        <v>7</v>
      </c>
      <c r="H1770" s="3" t="n">
        <v>-0.7850000262260437</v>
      </c>
      <c r="I1770" s="3" t="n">
        <v>-0.7850000262260437</v>
      </c>
      <c r="J1770" s="3" t="n">
        <v>-0.8629999756813049</v>
      </c>
      <c r="K1770" s="3" t="n">
        <v>-0.8629999756813049</v>
      </c>
      <c r="L1770" s="3" t="n">
        <v>-0.7850000262260437</v>
      </c>
      <c r="M1770" s="3" t="n">
        <v>-0.7850000262260437</v>
      </c>
      <c r="N1770" s="3" t="n">
        <v>-0.7850000262260437</v>
      </c>
      <c r="O1770" s="3" t="n">
        <v>-0.7850000262260437</v>
      </c>
      <c r="P1770" s="3" t="n">
        <v>-0.7850000262260437</v>
      </c>
      <c r="Q1770" s="3" t="n">
        <v>-0.7850000262260437</v>
      </c>
      <c r="R1770" s="3" t="n">
        <v>-0.7720000147819519</v>
      </c>
      <c r="S1770" s="3" t="n">
        <v>-1.041000008583069</v>
      </c>
      <c r="T1770" s="3" t="n">
        <v>-0.7089999914169312</v>
      </c>
      <c r="U1770" s="3" t="n">
        <v>-0.8629999756813049</v>
      </c>
      <c r="V1770" s="3" t="n">
        <v>-0.6790000200271606</v>
      </c>
      <c r="W1770" s="3" t="n">
        <v>-0.5410000085830688</v>
      </c>
      <c r="X1770" s="3" t="n">
        <v>-1.036999940872192</v>
      </c>
      <c r="Y1770" s="3" t="n">
        <v>-0.7850000262260437</v>
      </c>
      <c r="Z1770" s="3" t="n">
        <v>-1.041000008583069</v>
      </c>
      <c r="AA1770" s="3" t="n">
        <v>-1.041000008583069</v>
      </c>
      <c r="AB1770" s="3" t="n">
        <v>-1.036999940872192</v>
      </c>
      <c r="AC1770" s="3" t="n">
        <v>-1.175999999046326</v>
      </c>
      <c r="AD1770" s="3" t="n">
        <v>-0.8629999756813049</v>
      </c>
      <c r="AE1770" s="3" t="n">
        <v>-0.8629999756813049</v>
      </c>
    </row>
    <row r="1771">
      <c r="A1771" s="3" t="inlineStr">
        <is>
          <t>PRY.distn.dec.ove.mean.8</t>
        </is>
      </c>
      <c r="B1771" s="3" t="inlineStr">
        <is>
          <t>PRY</t>
        </is>
      </c>
      <c r="C1771" s="3" t="n">
        <v>2005</v>
      </c>
      <c r="D1771" s="3" t="inlineStr">
        <is>
          <t>Overall</t>
        </is>
      </c>
      <c r="E1771" s="3" t="inlineStr">
        <is>
          <t>Deciles</t>
        </is>
      </c>
      <c r="F1771" s="3" t="inlineStr">
        <is>
          <t>mean</t>
        </is>
      </c>
      <c r="G1771" s="3" t="n">
        <v>8</v>
      </c>
      <c r="H1771" s="3" t="n">
        <v>-0.7853782176971436</v>
      </c>
      <c r="I1771" s="3" t="n">
        <v>-0.7853782176971436</v>
      </c>
      <c r="J1771" s="3" t="n">
        <v>-0.8653280138969421</v>
      </c>
      <c r="K1771" s="3" t="n">
        <v>-0.8653280138969421</v>
      </c>
      <c r="L1771" s="3" t="n">
        <v>-0.7853782176971436</v>
      </c>
      <c r="M1771" s="3" t="n">
        <v>-0.7853782176971436</v>
      </c>
      <c r="N1771" s="3" t="n">
        <v>-0.7853782176971436</v>
      </c>
      <c r="O1771" s="3" t="n">
        <v>-0.7853782176971436</v>
      </c>
      <c r="P1771" s="3" t="n">
        <v>-0.7853782176971436</v>
      </c>
      <c r="Q1771" s="3" t="n">
        <v>-0.7853782176971436</v>
      </c>
      <c r="R1771" s="3" t="n">
        <v>-0.7722538709640503</v>
      </c>
      <c r="S1771" s="3" t="n">
        <v>-1.050686597824097</v>
      </c>
      <c r="T1771" s="3" t="n">
        <v>-0.7090408802032471</v>
      </c>
      <c r="U1771" s="3" t="n">
        <v>-0.8653280138969421</v>
      </c>
      <c r="V1771" s="3" t="n">
        <v>-0.6797019243240356</v>
      </c>
      <c r="W1771" s="3" t="n">
        <v>-0.555487334728241</v>
      </c>
      <c r="X1771" s="3" t="n">
        <v>-1.046449184417725</v>
      </c>
      <c r="Y1771" s="3" t="n">
        <v>-0.7853782176971436</v>
      </c>
      <c r="Z1771" s="3" t="n">
        <v>-1.050686597824097</v>
      </c>
      <c r="AA1771" s="3" t="n">
        <v>-1.050686597824097</v>
      </c>
      <c r="AB1771" s="3" t="n">
        <v>-1.046449184417725</v>
      </c>
      <c r="AC1771" s="3" t="n">
        <v>-1.192771315574646</v>
      </c>
      <c r="AD1771" s="3" t="n">
        <v>-0.8653280138969421</v>
      </c>
      <c r="AE1771" s="3" t="n">
        <v>-0.8653280138969421</v>
      </c>
    </row>
    <row r="1772">
      <c r="A1772" s="3" t="inlineStr">
        <is>
          <t>PRY.distn.dec.ove.mean.9</t>
        </is>
      </c>
      <c r="B1772" s="3" t="inlineStr">
        <is>
          <t>PRY</t>
        </is>
      </c>
      <c r="C1772" s="3" t="n">
        <v>2005</v>
      </c>
      <c r="D1772" s="3" t="inlineStr">
        <is>
          <t>Overall</t>
        </is>
      </c>
      <c r="E1772" s="3" t="inlineStr">
        <is>
          <t>Deciles</t>
        </is>
      </c>
      <c r="F1772" s="3" t="inlineStr">
        <is>
          <t>mean</t>
        </is>
      </c>
      <c r="G1772" s="3" t="n">
        <v>9</v>
      </c>
      <c r="H1772" s="3" t="n">
        <v>-0.7853782176971436</v>
      </c>
      <c r="I1772" s="3" t="n">
        <v>-0.7853782176971436</v>
      </c>
      <c r="J1772" s="3" t="n">
        <v>-0.8653280138969421</v>
      </c>
      <c r="K1772" s="3" t="n">
        <v>-0.8653280138969421</v>
      </c>
      <c r="L1772" s="3" t="n">
        <v>-0.7853782176971436</v>
      </c>
      <c r="M1772" s="3" t="n">
        <v>-0.7853782176971436</v>
      </c>
      <c r="N1772" s="3" t="n">
        <v>-0.7853782176971436</v>
      </c>
      <c r="O1772" s="3" t="n">
        <v>-0.7853782176971436</v>
      </c>
      <c r="P1772" s="3" t="n">
        <v>-0.7853782176971436</v>
      </c>
      <c r="Q1772" s="3" t="n">
        <v>-0.7853782176971436</v>
      </c>
      <c r="R1772" s="3" t="n">
        <v>-0.7722538709640503</v>
      </c>
      <c r="S1772" s="3" t="n">
        <v>-1.050686597824097</v>
      </c>
      <c r="T1772" s="3" t="n">
        <v>-0.7090408802032471</v>
      </c>
      <c r="U1772" s="3" t="n">
        <v>-0.8653280138969421</v>
      </c>
      <c r="V1772" s="3" t="n">
        <v>-0.6797019243240356</v>
      </c>
      <c r="W1772" s="3" t="n">
        <v>-0.555487334728241</v>
      </c>
      <c r="X1772" s="3" t="n">
        <v>-1.046449184417725</v>
      </c>
      <c r="Y1772" s="3" t="n">
        <v>-0.7853782176971436</v>
      </c>
      <c r="Z1772" s="3" t="n">
        <v>-1.050686597824097</v>
      </c>
      <c r="AA1772" s="3" t="n">
        <v>-1.050686597824097</v>
      </c>
      <c r="AB1772" s="3" t="n">
        <v>-1.046449184417725</v>
      </c>
      <c r="AC1772" s="3" t="n">
        <v>-1.192771315574646</v>
      </c>
      <c r="AD1772" s="3" t="n">
        <v>-0.8653280138969421</v>
      </c>
      <c r="AE1772" s="3" t="n">
        <v>-0.8653280138969421</v>
      </c>
    </row>
    <row r="1773">
      <c r="A1773" s="3" t="inlineStr">
        <is>
          <t>PRY.distn.dec.ove.mean.10</t>
        </is>
      </c>
      <c r="B1773" s="3" t="inlineStr">
        <is>
          <t>PRY</t>
        </is>
      </c>
      <c r="C1773" s="3" t="n">
        <v>2005</v>
      </c>
      <c r="D1773" s="3" t="inlineStr">
        <is>
          <t>Overall</t>
        </is>
      </c>
      <c r="E1773" s="3" t="inlineStr">
        <is>
          <t>Deciles</t>
        </is>
      </c>
      <c r="F1773" s="3" t="inlineStr">
        <is>
          <t>mean</t>
        </is>
      </c>
      <c r="G1773" s="3" t="n">
        <v>10</v>
      </c>
      <c r="H1773" s="3" t="n">
        <v>-0.7853782176971436</v>
      </c>
      <c r="I1773" s="3" t="n">
        <v>-0.7853782176971436</v>
      </c>
      <c r="J1773" s="3" t="n">
        <v>-0.8653280138969421</v>
      </c>
      <c r="K1773" s="3" t="n">
        <v>-0.8653280138969421</v>
      </c>
      <c r="L1773" s="3" t="n">
        <v>-0.7853782176971436</v>
      </c>
      <c r="M1773" s="3" t="n">
        <v>-0.7853782176971436</v>
      </c>
      <c r="N1773" s="3" t="n">
        <v>-0.7853782176971436</v>
      </c>
      <c r="O1773" s="3" t="n">
        <v>-0.7853782176971436</v>
      </c>
      <c r="P1773" s="3" t="n">
        <v>-0.7853782176971436</v>
      </c>
      <c r="Q1773" s="3" t="n">
        <v>-0.7853782176971436</v>
      </c>
      <c r="R1773" s="3" t="n">
        <v>-0.7722538709640503</v>
      </c>
      <c r="S1773" s="3" t="n">
        <v>-1.050686597824097</v>
      </c>
      <c r="T1773" s="3" t="n">
        <v>-0.7090408802032471</v>
      </c>
      <c r="U1773" s="3" t="n">
        <v>-0.8653280138969421</v>
      </c>
      <c r="V1773" s="3" t="n">
        <v>-0.6797019243240356</v>
      </c>
      <c r="W1773" s="3" t="n">
        <v>-0.555487334728241</v>
      </c>
      <c r="X1773" s="3" t="n">
        <v>-1.046449184417725</v>
      </c>
      <c r="Y1773" s="3" t="n">
        <v>-0.7853782176971436</v>
      </c>
      <c r="Z1773" s="3" t="n">
        <v>-1.050686597824097</v>
      </c>
      <c r="AA1773" s="3" t="n">
        <v>-1.050686597824097</v>
      </c>
      <c r="AB1773" s="3" t="n">
        <v>-1.046449184417725</v>
      </c>
      <c r="AC1773" s="3" t="n">
        <v>-1.192771315574646</v>
      </c>
      <c r="AD1773" s="3" t="n">
        <v>-0.8653280138969421</v>
      </c>
      <c r="AE1773" s="3" t="n">
        <v>-0.8653280138969421</v>
      </c>
    </row>
    <row r="1774">
      <c r="A1774" s="3" t="inlineStr">
        <is>
          <t>PRY.distn.bkt.ove.mean.9999</t>
        </is>
      </c>
      <c r="B1774" s="3" t="inlineStr">
        <is>
          <t>PRY</t>
        </is>
      </c>
      <c r="C1774" s="3" t="n">
        <v>2005</v>
      </c>
      <c r="D1774" s="3" t="inlineStr">
        <is>
          <t>Overall</t>
        </is>
      </c>
      <c r="E1774" s="3" t="inlineStr">
        <is>
          <t>Basket</t>
        </is>
      </c>
      <c r="F1774" s="3" t="inlineStr">
        <is>
          <t>mean</t>
        </is>
      </c>
      <c r="G1774" s="3" t="n">
        <v>9999</v>
      </c>
      <c r="H1774" s="3" t="n">
        <v>-0.7869929671287537</v>
      </c>
      <c r="I1774" s="3" t="n">
        <v>-0.7869929671287537</v>
      </c>
      <c r="J1774" s="3" t="n">
        <v>-0.8768439292907715</v>
      </c>
      <c r="K1774" s="3" t="n">
        <v>-0.8768439292907715</v>
      </c>
      <c r="L1774" s="3" t="n">
        <v>-0.7869929671287537</v>
      </c>
      <c r="M1774" s="3" t="n">
        <v>-0.7869929671287537</v>
      </c>
      <c r="N1774" s="3" t="n">
        <v>-0.7869929671287537</v>
      </c>
      <c r="O1774" s="3" t="n">
        <v>-0.7869929671287537</v>
      </c>
      <c r="P1774" s="3" t="n">
        <v>-0.7869929671287537</v>
      </c>
      <c r="Q1774" s="3" t="n">
        <v>-0.7869929671287537</v>
      </c>
      <c r="R1774" s="3" t="n">
        <v>-0.773120105266571</v>
      </c>
      <c r="S1774" s="3" t="n">
        <v>-1.190121531486511</v>
      </c>
      <c r="T1774" s="3" t="n">
        <v>-0.7094486355781555</v>
      </c>
      <c r="U1774" s="3" t="n">
        <v>-0.8768439292907715</v>
      </c>
      <c r="V1774" s="3" t="n">
        <v>-0.6813032627105713</v>
      </c>
      <c r="W1774" s="3" t="n">
        <v>-0.5758917331695557</v>
      </c>
      <c r="X1774" s="3" t="n">
        <v>-1.169551730155945</v>
      </c>
      <c r="Y1774" s="3" t="n">
        <v>-0.7869929671287537</v>
      </c>
      <c r="Z1774" s="3" t="n">
        <v>-1.190121531486511</v>
      </c>
      <c r="AA1774" s="3" t="n">
        <v>-1.190121531486511</v>
      </c>
      <c r="AB1774" s="3" t="n">
        <v>-1.169551730155945</v>
      </c>
      <c r="AC1774" s="3" t="n">
        <v>-1.558783292770386</v>
      </c>
      <c r="AD1774" s="3" t="n">
        <v>-0.8768439292907715</v>
      </c>
      <c r="AE1774" s="3" t="n">
        <v>-0.8768439292907715</v>
      </c>
    </row>
    <row r="1775">
      <c r="A1775" s="3" t="inlineStr">
        <is>
          <t>PSE.distn.dec.ove.mean.1</t>
        </is>
      </c>
      <c r="B1775" s="3" t="inlineStr">
        <is>
          <t>PSE</t>
        </is>
      </c>
      <c r="C1775" s="3" t="n">
        <v>2005</v>
      </c>
      <c r="D1775" s="3" t="inlineStr">
        <is>
          <t>Overall</t>
        </is>
      </c>
      <c r="E1775" s="3" t="inlineStr">
        <is>
          <t>Deciles</t>
        </is>
      </c>
      <c r="F1775" s="3" t="inlineStr">
        <is>
          <t>mean</t>
        </is>
      </c>
      <c r="G1775" s="3" t="n">
        <v>1</v>
      </c>
      <c r="H1775" s="3" t="n">
        <v>-0.7936522003851438</v>
      </c>
      <c r="I1775" s="3" t="n">
        <v>-0.7936522003851438</v>
      </c>
      <c r="J1775" s="3" t="n">
        <v>-0.9276126356501329</v>
      </c>
      <c r="K1775" s="3" t="n">
        <v>-0.9276126356501329</v>
      </c>
      <c r="L1775" s="3" t="n">
        <v>-0.7936522003851438</v>
      </c>
      <c r="M1775" s="3" t="n">
        <v>-0.7936522003851438</v>
      </c>
      <c r="N1775" s="3" t="n">
        <v>-0.7936522003851438</v>
      </c>
      <c r="O1775" s="3" t="n">
        <v>-0.7936522003851438</v>
      </c>
      <c r="P1775" s="3" t="n">
        <v>-0.7936522003851438</v>
      </c>
      <c r="Q1775" s="3" t="n">
        <v>-0.7936522003851438</v>
      </c>
      <c r="R1775" s="3" t="n">
        <v>-0.7764578367534437</v>
      </c>
      <c r="S1775" s="3" t="n">
        <v>-1.851309371621985</v>
      </c>
      <c r="T1775" s="3" t="n">
        <v>-0.7110083871766141</v>
      </c>
      <c r="U1775" s="3" t="n">
        <v>-0.9276126356501329</v>
      </c>
      <c r="V1775" s="3" t="n">
        <v>-0.688554396754817</v>
      </c>
      <c r="W1775" s="3" t="n">
        <v>-0.6748062403578508</v>
      </c>
      <c r="X1775" s="3" t="n">
        <v>-1.760538414904946</v>
      </c>
      <c r="Y1775" s="3" t="n">
        <v>-0.7936522003851438</v>
      </c>
      <c r="Z1775" s="3" t="n">
        <v>-1.851309371621985</v>
      </c>
      <c r="AA1775" s="3" t="n">
        <v>-1.851309371621985</v>
      </c>
      <c r="AB1775" s="3" t="n">
        <v>-1.760538414904946</v>
      </c>
      <c r="AC1775" s="3" t="n">
        <v>-4.00243950517554</v>
      </c>
      <c r="AD1775" s="3" t="n">
        <v>-0.9276126356501329</v>
      </c>
      <c r="AE1775" s="3" t="n">
        <v>-0.9276126356501329</v>
      </c>
    </row>
    <row r="1776">
      <c r="A1776" s="3" t="inlineStr">
        <is>
          <t>PSE.distn.dec.ove.mean.2</t>
        </is>
      </c>
      <c r="B1776" s="3" t="inlineStr">
        <is>
          <t>PSE</t>
        </is>
      </c>
      <c r="C1776" s="3" t="n">
        <v>2005</v>
      </c>
      <c r="D1776" s="3" t="inlineStr">
        <is>
          <t>Overall</t>
        </is>
      </c>
      <c r="E1776" s="3" t="inlineStr">
        <is>
          <t>Deciles</t>
        </is>
      </c>
      <c r="F1776" s="3" t="inlineStr">
        <is>
          <t>mean</t>
        </is>
      </c>
      <c r="G1776" s="3" t="n">
        <v>2</v>
      </c>
      <c r="H1776" s="3" t="n">
        <v>-0.7936522003851438</v>
      </c>
      <c r="I1776" s="3" t="n">
        <v>-0.7936522003851438</v>
      </c>
      <c r="J1776" s="3" t="n">
        <v>-0.9276126356501329</v>
      </c>
      <c r="K1776" s="3" t="n">
        <v>-0.9276126356501329</v>
      </c>
      <c r="L1776" s="3" t="n">
        <v>-0.7936522003851438</v>
      </c>
      <c r="M1776" s="3" t="n">
        <v>-0.7936522003851438</v>
      </c>
      <c r="N1776" s="3" t="n">
        <v>-0.7936522003851438</v>
      </c>
      <c r="O1776" s="3" t="n">
        <v>-0.7936522003851438</v>
      </c>
      <c r="P1776" s="3" t="n">
        <v>-0.7936522003851438</v>
      </c>
      <c r="Q1776" s="3" t="n">
        <v>-0.7936522003851438</v>
      </c>
      <c r="R1776" s="3" t="n">
        <v>-0.7764578367534437</v>
      </c>
      <c r="S1776" s="3" t="n">
        <v>-1.851309371621985</v>
      </c>
      <c r="T1776" s="3" t="n">
        <v>-0.7110083871766141</v>
      </c>
      <c r="U1776" s="3" t="n">
        <v>-0.9276126356501329</v>
      </c>
      <c r="V1776" s="3" t="n">
        <v>-0.688554396754817</v>
      </c>
      <c r="W1776" s="3" t="n">
        <v>-0.6748062403578508</v>
      </c>
      <c r="X1776" s="3" t="n">
        <v>-1.760538414904946</v>
      </c>
      <c r="Y1776" s="3" t="n">
        <v>-0.7936522003851438</v>
      </c>
      <c r="Z1776" s="3" t="n">
        <v>-1.851309371621985</v>
      </c>
      <c r="AA1776" s="3" t="n">
        <v>-1.851309371621985</v>
      </c>
      <c r="AB1776" s="3" t="n">
        <v>-1.760538414904946</v>
      </c>
      <c r="AC1776" s="3" t="n">
        <v>-4.00243950517554</v>
      </c>
      <c r="AD1776" s="3" t="n">
        <v>-0.9276126356501329</v>
      </c>
      <c r="AE1776" s="3" t="n">
        <v>-0.9276126356501329</v>
      </c>
    </row>
    <row r="1777">
      <c r="A1777" s="3" t="inlineStr">
        <is>
          <t>PSE.distn.dec.ove.mean.3</t>
        </is>
      </c>
      <c r="B1777" s="3" t="inlineStr">
        <is>
          <t>PSE</t>
        </is>
      </c>
      <c r="C1777" s="3" t="n">
        <v>2005</v>
      </c>
      <c r="D1777" s="3" t="inlineStr">
        <is>
          <t>Overall</t>
        </is>
      </c>
      <c r="E1777" s="3" t="inlineStr">
        <is>
          <t>Deciles</t>
        </is>
      </c>
      <c r="F1777" s="3" t="inlineStr">
        <is>
          <t>mean</t>
        </is>
      </c>
      <c r="G1777" s="3" t="n">
        <v>3</v>
      </c>
      <c r="H1777" s="3" t="n">
        <v>-0.7936522003851438</v>
      </c>
      <c r="I1777" s="3" t="n">
        <v>-0.7936522003851438</v>
      </c>
      <c r="J1777" s="3" t="n">
        <v>-0.9276126356501329</v>
      </c>
      <c r="K1777" s="3" t="n">
        <v>-0.9276126356501329</v>
      </c>
      <c r="L1777" s="3" t="n">
        <v>-0.7936522003851438</v>
      </c>
      <c r="M1777" s="3" t="n">
        <v>-0.7936522003851438</v>
      </c>
      <c r="N1777" s="3" t="n">
        <v>-0.7936522003851438</v>
      </c>
      <c r="O1777" s="3" t="n">
        <v>-0.7936522003851438</v>
      </c>
      <c r="P1777" s="3" t="n">
        <v>-0.7936522003851438</v>
      </c>
      <c r="Q1777" s="3" t="n">
        <v>-0.7936522003851438</v>
      </c>
      <c r="R1777" s="3" t="n">
        <v>-0.7764578367534437</v>
      </c>
      <c r="S1777" s="3" t="n">
        <v>-1.851309371621985</v>
      </c>
      <c r="T1777" s="3" t="n">
        <v>-0.7110083871766141</v>
      </c>
      <c r="U1777" s="3" t="n">
        <v>-0.9276126356501329</v>
      </c>
      <c r="V1777" s="3" t="n">
        <v>-0.688554396754817</v>
      </c>
      <c r="W1777" s="3" t="n">
        <v>-0.6748062403578508</v>
      </c>
      <c r="X1777" s="3" t="n">
        <v>-1.760538414904946</v>
      </c>
      <c r="Y1777" s="3" t="n">
        <v>-0.7936522003851438</v>
      </c>
      <c r="Z1777" s="3" t="n">
        <v>-1.851309371621985</v>
      </c>
      <c r="AA1777" s="3" t="n">
        <v>-1.851309371621985</v>
      </c>
      <c r="AB1777" s="3" t="n">
        <v>-1.760538414904946</v>
      </c>
      <c r="AC1777" s="3" t="n">
        <v>-4.00243950517554</v>
      </c>
      <c r="AD1777" s="3" t="n">
        <v>-0.9276126356501329</v>
      </c>
      <c r="AE1777" s="3" t="n">
        <v>-0.9276126356501329</v>
      </c>
    </row>
    <row r="1778">
      <c r="A1778" s="3" t="inlineStr">
        <is>
          <t>PSE.distn.dec.ove.mean.4</t>
        </is>
      </c>
      <c r="B1778" s="3" t="inlineStr">
        <is>
          <t>PSE</t>
        </is>
      </c>
      <c r="C1778" s="3" t="n">
        <v>2005</v>
      </c>
      <c r="D1778" s="3" t="inlineStr">
        <is>
          <t>Overall</t>
        </is>
      </c>
      <c r="E1778" s="3" t="inlineStr">
        <is>
          <t>Deciles</t>
        </is>
      </c>
      <c r="F1778" s="3" t="inlineStr">
        <is>
          <t>mean</t>
        </is>
      </c>
      <c r="G1778" s="3" t="n">
        <v>4</v>
      </c>
      <c r="H1778" s="3" t="n">
        <v>-0.7873684167861938</v>
      </c>
      <c r="I1778" s="3" t="n">
        <v>-0.7873684167861938</v>
      </c>
      <c r="J1778" s="3" t="n">
        <v>-0.8827894769216839</v>
      </c>
      <c r="K1778" s="3" t="n">
        <v>-0.8827894769216839</v>
      </c>
      <c r="L1778" s="3" t="n">
        <v>-0.7873684167861938</v>
      </c>
      <c r="M1778" s="3" t="n">
        <v>-0.7873684167861938</v>
      </c>
      <c r="N1778" s="3" t="n">
        <v>-0.7873684167861938</v>
      </c>
      <c r="O1778" s="3" t="n">
        <v>-0.7873684167861938</v>
      </c>
      <c r="P1778" s="3" t="n">
        <v>-0.7873684167861938</v>
      </c>
      <c r="Q1778" s="3" t="n">
        <v>-0.7873684167861938</v>
      </c>
      <c r="R1778" s="3" t="n">
        <v>-0.7729736864566803</v>
      </c>
      <c r="S1778" s="3" t="n">
        <v>-1.260947363941293</v>
      </c>
      <c r="T1778" s="3" t="n">
        <v>-0.7095526174495095</v>
      </c>
      <c r="U1778" s="3" t="n">
        <v>-0.8827894769216839</v>
      </c>
      <c r="V1778" s="3" t="n">
        <v>-0.6815526375645086</v>
      </c>
      <c r="W1778" s="3" t="n">
        <v>-0.5679210565592113</v>
      </c>
      <c r="X1778" s="3" t="n">
        <v>-1.242473682290629</v>
      </c>
      <c r="Y1778" s="3" t="n">
        <v>-0.7873684167861938</v>
      </c>
      <c r="Z1778" s="3" t="n">
        <v>-1.260947363941293</v>
      </c>
      <c r="AA1778" s="3" t="n">
        <v>-1.260947363941293</v>
      </c>
      <c r="AB1778" s="3" t="n">
        <v>-1.242473682290629</v>
      </c>
      <c r="AC1778" s="3" t="n">
        <v>-1.932868417940642</v>
      </c>
      <c r="AD1778" s="3" t="n">
        <v>-0.8827894769216839</v>
      </c>
      <c r="AE1778" s="3" t="n">
        <v>-0.8827894769216839</v>
      </c>
    </row>
    <row r="1779">
      <c r="A1779" s="3" t="inlineStr">
        <is>
          <t>PSE.distn.dec.ove.mean.5</t>
        </is>
      </c>
      <c r="B1779" s="3" t="inlineStr">
        <is>
          <t>PSE</t>
        </is>
      </c>
      <c r="C1779" s="3" t="n">
        <v>2005</v>
      </c>
      <c r="D1779" s="3" t="inlineStr">
        <is>
          <t>Overall</t>
        </is>
      </c>
      <c r="E1779" s="3" t="inlineStr">
        <is>
          <t>Deciles</t>
        </is>
      </c>
      <c r="F1779" s="3" t="inlineStr">
        <is>
          <t>mean</t>
        </is>
      </c>
      <c r="G1779" s="3" t="n">
        <v>5</v>
      </c>
      <c r="H1779" s="3" t="n">
        <v>-0.7873684167861938</v>
      </c>
      <c r="I1779" s="3" t="n">
        <v>-0.7873684167861938</v>
      </c>
      <c r="J1779" s="3" t="n">
        <v>-0.8827894769216839</v>
      </c>
      <c r="K1779" s="3" t="n">
        <v>-0.8827894769216839</v>
      </c>
      <c r="L1779" s="3" t="n">
        <v>-0.7873684167861938</v>
      </c>
      <c r="M1779" s="3" t="n">
        <v>-0.7873684167861938</v>
      </c>
      <c r="N1779" s="3" t="n">
        <v>-0.7873684167861938</v>
      </c>
      <c r="O1779" s="3" t="n">
        <v>-0.7873684167861938</v>
      </c>
      <c r="P1779" s="3" t="n">
        <v>-0.7873684167861938</v>
      </c>
      <c r="Q1779" s="3" t="n">
        <v>-0.7873684167861938</v>
      </c>
      <c r="R1779" s="3" t="n">
        <v>-0.7729736864566803</v>
      </c>
      <c r="S1779" s="3" t="n">
        <v>-1.260947363941293</v>
      </c>
      <c r="T1779" s="3" t="n">
        <v>-0.7095526174495095</v>
      </c>
      <c r="U1779" s="3" t="n">
        <v>-0.8827894769216839</v>
      </c>
      <c r="V1779" s="3" t="n">
        <v>-0.6815526375645086</v>
      </c>
      <c r="W1779" s="3" t="n">
        <v>-0.5679210565592113</v>
      </c>
      <c r="X1779" s="3" t="n">
        <v>-1.242473682290629</v>
      </c>
      <c r="Y1779" s="3" t="n">
        <v>-0.7873684167861938</v>
      </c>
      <c r="Z1779" s="3" t="n">
        <v>-1.260947363941293</v>
      </c>
      <c r="AA1779" s="3" t="n">
        <v>-1.260947363941293</v>
      </c>
      <c r="AB1779" s="3" t="n">
        <v>-1.242473682290629</v>
      </c>
      <c r="AC1779" s="3" t="n">
        <v>-1.932868417940642</v>
      </c>
      <c r="AD1779" s="3" t="n">
        <v>-0.8827894769216839</v>
      </c>
      <c r="AE1779" s="3" t="n">
        <v>-0.8827894769216839</v>
      </c>
    </row>
    <row r="1780">
      <c r="A1780" s="3" t="inlineStr">
        <is>
          <t>PSE.distn.dec.ove.mean.6</t>
        </is>
      </c>
      <c r="B1780" s="3" t="inlineStr">
        <is>
          <t>PSE</t>
        </is>
      </c>
      <c r="C1780" s="3" t="n">
        <v>2005</v>
      </c>
      <c r="D1780" s="3" t="inlineStr">
        <is>
          <t>Overall</t>
        </is>
      </c>
      <c r="E1780" s="3" t="inlineStr">
        <is>
          <t>Deciles</t>
        </is>
      </c>
      <c r="F1780" s="3" t="inlineStr">
        <is>
          <t>mean</t>
        </is>
      </c>
      <c r="G1780" s="3" t="n">
        <v>6</v>
      </c>
      <c r="H1780" s="3" t="n">
        <v>-0.7873684167861938</v>
      </c>
      <c r="I1780" s="3" t="n">
        <v>-0.7873684167861938</v>
      </c>
      <c r="J1780" s="3" t="n">
        <v>-0.8827894769216839</v>
      </c>
      <c r="K1780" s="3" t="n">
        <v>-0.8827894769216839</v>
      </c>
      <c r="L1780" s="3" t="n">
        <v>-0.7873684167861938</v>
      </c>
      <c r="M1780" s="3" t="n">
        <v>-0.7873684167861938</v>
      </c>
      <c r="N1780" s="3" t="n">
        <v>-0.7873684167861938</v>
      </c>
      <c r="O1780" s="3" t="n">
        <v>-0.7873684167861938</v>
      </c>
      <c r="P1780" s="3" t="n">
        <v>-0.7873684167861938</v>
      </c>
      <c r="Q1780" s="3" t="n">
        <v>-0.7873684167861938</v>
      </c>
      <c r="R1780" s="3" t="n">
        <v>-0.7729736864566803</v>
      </c>
      <c r="S1780" s="3" t="n">
        <v>-1.260947363941293</v>
      </c>
      <c r="T1780" s="3" t="n">
        <v>-0.7095526174495095</v>
      </c>
      <c r="U1780" s="3" t="n">
        <v>-0.8827894769216839</v>
      </c>
      <c r="V1780" s="3" t="n">
        <v>-0.6815526375645086</v>
      </c>
      <c r="W1780" s="3" t="n">
        <v>-0.5679210565592113</v>
      </c>
      <c r="X1780" s="3" t="n">
        <v>-1.242473682290629</v>
      </c>
      <c r="Y1780" s="3" t="n">
        <v>-0.7873684167861938</v>
      </c>
      <c r="Z1780" s="3" t="n">
        <v>-1.260947363941293</v>
      </c>
      <c r="AA1780" s="3" t="n">
        <v>-1.260947363941293</v>
      </c>
      <c r="AB1780" s="3" t="n">
        <v>-1.242473682290629</v>
      </c>
      <c r="AC1780" s="3" t="n">
        <v>-1.932868417940642</v>
      </c>
      <c r="AD1780" s="3" t="n">
        <v>-0.8827894769216839</v>
      </c>
      <c r="AE1780" s="3" t="n">
        <v>-0.8827894769216839</v>
      </c>
    </row>
    <row r="1781">
      <c r="A1781" s="3" t="inlineStr">
        <is>
          <t>PSE.distn.dec.ove.mean.7</t>
        </is>
      </c>
      <c r="B1781" s="3" t="inlineStr">
        <is>
          <t>PSE</t>
        </is>
      </c>
      <c r="C1781" s="3" t="n">
        <v>2005</v>
      </c>
      <c r="D1781" s="3" t="inlineStr">
        <is>
          <t>Overall</t>
        </is>
      </c>
      <c r="E1781" s="3" t="inlineStr">
        <is>
          <t>Deciles</t>
        </is>
      </c>
      <c r="F1781" s="3" t="inlineStr">
        <is>
          <t>mean</t>
        </is>
      </c>
      <c r="G1781" s="3" t="n">
        <v>7</v>
      </c>
      <c r="H1781" s="3" t="n">
        <v>-0.7873684167861938</v>
      </c>
      <c r="I1781" s="3" t="n">
        <v>-0.7873684167861938</v>
      </c>
      <c r="J1781" s="3" t="n">
        <v>-0.8827894769216839</v>
      </c>
      <c r="K1781" s="3" t="n">
        <v>-0.8827894769216839</v>
      </c>
      <c r="L1781" s="3" t="n">
        <v>-0.7873684167861938</v>
      </c>
      <c r="M1781" s="3" t="n">
        <v>-0.7873684167861938</v>
      </c>
      <c r="N1781" s="3" t="n">
        <v>-0.7873684167861938</v>
      </c>
      <c r="O1781" s="3" t="n">
        <v>-0.7873684167861938</v>
      </c>
      <c r="P1781" s="3" t="n">
        <v>-0.7873684167861938</v>
      </c>
      <c r="Q1781" s="3" t="n">
        <v>-0.7873684167861938</v>
      </c>
      <c r="R1781" s="3" t="n">
        <v>-0.7729736864566803</v>
      </c>
      <c r="S1781" s="3" t="n">
        <v>-1.260947363941293</v>
      </c>
      <c r="T1781" s="3" t="n">
        <v>-0.7095526174495095</v>
      </c>
      <c r="U1781" s="3" t="n">
        <v>-0.8827894769216839</v>
      </c>
      <c r="V1781" s="3" t="n">
        <v>-0.6815526375645086</v>
      </c>
      <c r="W1781" s="3" t="n">
        <v>-0.5679210565592113</v>
      </c>
      <c r="X1781" s="3" t="n">
        <v>-1.242473682290629</v>
      </c>
      <c r="Y1781" s="3" t="n">
        <v>-0.7873684167861938</v>
      </c>
      <c r="Z1781" s="3" t="n">
        <v>-1.260947363941293</v>
      </c>
      <c r="AA1781" s="3" t="n">
        <v>-1.260947363941293</v>
      </c>
      <c r="AB1781" s="3" t="n">
        <v>-1.242473682290629</v>
      </c>
      <c r="AC1781" s="3" t="n">
        <v>-1.932868417940642</v>
      </c>
      <c r="AD1781" s="3" t="n">
        <v>-0.8827894769216839</v>
      </c>
      <c r="AE1781" s="3" t="n">
        <v>-0.8827894769216839</v>
      </c>
    </row>
    <row r="1782">
      <c r="A1782" s="3" t="inlineStr">
        <is>
          <t>PSE.distn.dec.ove.mean.8</t>
        </is>
      </c>
      <c r="B1782" s="3" t="inlineStr">
        <is>
          <t>PSE</t>
        </is>
      </c>
      <c r="C1782" s="3" t="n">
        <v>2005</v>
      </c>
      <c r="D1782" s="3" t="inlineStr">
        <is>
          <t>Overall</t>
        </is>
      </c>
      <c r="E1782" s="3" t="inlineStr">
        <is>
          <t>Deciles</t>
        </is>
      </c>
      <c r="F1782" s="3" t="inlineStr">
        <is>
          <t>mean</t>
        </is>
      </c>
      <c r="G1782" s="3" t="n">
        <v>8</v>
      </c>
      <c r="H1782" s="3" t="n">
        <v>-0.7877477627051505</v>
      </c>
      <c r="I1782" s="3" t="n">
        <v>-0.7877477627051505</v>
      </c>
      <c r="J1782" s="3" t="n">
        <v>-0.8851708738427413</v>
      </c>
      <c r="K1782" s="3" t="n">
        <v>-0.8851708738427413</v>
      </c>
      <c r="L1782" s="3" t="n">
        <v>-0.7877477627051505</v>
      </c>
      <c r="M1782" s="3" t="n">
        <v>-0.7877477627051505</v>
      </c>
      <c r="N1782" s="3" t="n">
        <v>-0.7877477627051505</v>
      </c>
      <c r="O1782" s="3" t="n">
        <v>-0.7877477627051505</v>
      </c>
      <c r="P1782" s="3" t="n">
        <v>-0.7877477627051505</v>
      </c>
      <c r="Q1782" s="3" t="n">
        <v>-0.7877477627051505</v>
      </c>
      <c r="R1782" s="3" t="n">
        <v>-0.7732278971295607</v>
      </c>
      <c r="S1782" s="3" t="n">
        <v>-1.272680619829579</v>
      </c>
      <c r="T1782" s="3" t="n">
        <v>-0.7095935376066911</v>
      </c>
      <c r="U1782" s="3" t="n">
        <v>-0.8851708738427413</v>
      </c>
      <c r="V1782" s="3" t="n">
        <v>-0.6822572021107924</v>
      </c>
      <c r="W1782" s="3" t="n">
        <v>-0.5831292993143985</v>
      </c>
      <c r="X1782" s="3" t="n">
        <v>-1.253795093611667</v>
      </c>
      <c r="Y1782" s="3" t="n">
        <v>-0.7877477627051505</v>
      </c>
      <c r="Z1782" s="3" t="n">
        <v>-1.272680619829579</v>
      </c>
      <c r="AA1782" s="3" t="n">
        <v>-1.272680619829579</v>
      </c>
      <c r="AB1782" s="3" t="n">
        <v>-1.253795093611667</v>
      </c>
      <c r="AC1782" s="3" t="n">
        <v>-1.960433708994012</v>
      </c>
      <c r="AD1782" s="3" t="n">
        <v>-0.8851708738427413</v>
      </c>
      <c r="AE1782" s="3" t="n">
        <v>-0.8851708738427413</v>
      </c>
    </row>
    <row r="1783">
      <c r="A1783" s="3" t="inlineStr">
        <is>
          <t>PSE.distn.dec.ove.mean.9</t>
        </is>
      </c>
      <c r="B1783" s="3" t="inlineStr">
        <is>
          <t>PSE</t>
        </is>
      </c>
      <c r="C1783" s="3" t="n">
        <v>2005</v>
      </c>
      <c r="D1783" s="3" t="inlineStr">
        <is>
          <t>Overall</t>
        </is>
      </c>
      <c r="E1783" s="3" t="inlineStr">
        <is>
          <t>Deciles</t>
        </is>
      </c>
      <c r="F1783" s="3" t="inlineStr">
        <is>
          <t>mean</t>
        </is>
      </c>
      <c r="G1783" s="3" t="n">
        <v>9</v>
      </c>
      <c r="H1783" s="3" t="n">
        <v>-0.7877477627051505</v>
      </c>
      <c r="I1783" s="3" t="n">
        <v>-0.7877477627051505</v>
      </c>
      <c r="J1783" s="3" t="n">
        <v>-0.8851708738427413</v>
      </c>
      <c r="K1783" s="3" t="n">
        <v>-0.8851708738427413</v>
      </c>
      <c r="L1783" s="3" t="n">
        <v>-0.7877477627051505</v>
      </c>
      <c r="M1783" s="3" t="n">
        <v>-0.7877477627051505</v>
      </c>
      <c r="N1783" s="3" t="n">
        <v>-0.7877477627051505</v>
      </c>
      <c r="O1783" s="3" t="n">
        <v>-0.7877477627051505</v>
      </c>
      <c r="P1783" s="3" t="n">
        <v>-0.7877477627051505</v>
      </c>
      <c r="Q1783" s="3" t="n">
        <v>-0.7877477627051505</v>
      </c>
      <c r="R1783" s="3" t="n">
        <v>-0.7732278971295607</v>
      </c>
      <c r="S1783" s="3" t="n">
        <v>-1.272680619829579</v>
      </c>
      <c r="T1783" s="3" t="n">
        <v>-0.7095935376066911</v>
      </c>
      <c r="U1783" s="3" t="n">
        <v>-0.8851708738427413</v>
      </c>
      <c r="V1783" s="3" t="n">
        <v>-0.6822572021107924</v>
      </c>
      <c r="W1783" s="3" t="n">
        <v>-0.5831292993143985</v>
      </c>
      <c r="X1783" s="3" t="n">
        <v>-1.253795093611667</v>
      </c>
      <c r="Y1783" s="3" t="n">
        <v>-0.7877477627051505</v>
      </c>
      <c r="Z1783" s="3" t="n">
        <v>-1.272680619829579</v>
      </c>
      <c r="AA1783" s="3" t="n">
        <v>-1.272680619829579</v>
      </c>
      <c r="AB1783" s="3" t="n">
        <v>-1.253795093611667</v>
      </c>
      <c r="AC1783" s="3" t="n">
        <v>-1.960433708994012</v>
      </c>
      <c r="AD1783" s="3" t="n">
        <v>-0.8851708738427413</v>
      </c>
      <c r="AE1783" s="3" t="n">
        <v>-0.8851708738427413</v>
      </c>
    </row>
    <row r="1784">
      <c r="A1784" s="3" t="inlineStr">
        <is>
          <t>PSE.distn.dec.ove.mean.10</t>
        </is>
      </c>
      <c r="B1784" s="3" t="inlineStr">
        <is>
          <t>PSE</t>
        </is>
      </c>
      <c r="C1784" s="3" t="n">
        <v>2005</v>
      </c>
      <c r="D1784" s="3" t="inlineStr">
        <is>
          <t>Overall</t>
        </is>
      </c>
      <c r="E1784" s="3" t="inlineStr">
        <is>
          <t>Deciles</t>
        </is>
      </c>
      <c r="F1784" s="3" t="inlineStr">
        <is>
          <t>mean</t>
        </is>
      </c>
      <c r="G1784" s="3" t="n">
        <v>10</v>
      </c>
      <c r="H1784" s="3" t="n">
        <v>-0.7877477627051505</v>
      </c>
      <c r="I1784" s="3" t="n">
        <v>-0.7877477627051505</v>
      </c>
      <c r="J1784" s="3" t="n">
        <v>-0.8851708738427413</v>
      </c>
      <c r="K1784" s="3" t="n">
        <v>-0.8851708738427413</v>
      </c>
      <c r="L1784" s="3" t="n">
        <v>-0.7877477627051505</v>
      </c>
      <c r="M1784" s="3" t="n">
        <v>-0.7877477627051505</v>
      </c>
      <c r="N1784" s="3" t="n">
        <v>-0.7877477627051505</v>
      </c>
      <c r="O1784" s="3" t="n">
        <v>-0.7877477627051505</v>
      </c>
      <c r="P1784" s="3" t="n">
        <v>-0.7877477627051505</v>
      </c>
      <c r="Q1784" s="3" t="n">
        <v>-0.7877477627051505</v>
      </c>
      <c r="R1784" s="3" t="n">
        <v>-0.7732278971295607</v>
      </c>
      <c r="S1784" s="3" t="n">
        <v>-1.272680619829579</v>
      </c>
      <c r="T1784" s="3" t="n">
        <v>-0.7095935376066911</v>
      </c>
      <c r="U1784" s="3" t="n">
        <v>-0.8851708738427413</v>
      </c>
      <c r="V1784" s="3" t="n">
        <v>-0.6822572021107924</v>
      </c>
      <c r="W1784" s="3" t="n">
        <v>-0.5831292993143985</v>
      </c>
      <c r="X1784" s="3" t="n">
        <v>-1.253795093611667</v>
      </c>
      <c r="Y1784" s="3" t="n">
        <v>-0.7877477627051505</v>
      </c>
      <c r="Z1784" s="3" t="n">
        <v>-1.272680619829579</v>
      </c>
      <c r="AA1784" s="3" t="n">
        <v>-1.272680619829579</v>
      </c>
      <c r="AB1784" s="3" t="n">
        <v>-1.253795093611667</v>
      </c>
      <c r="AC1784" s="3" t="n">
        <v>-1.960433708994012</v>
      </c>
      <c r="AD1784" s="3" t="n">
        <v>-0.8851708738427413</v>
      </c>
      <c r="AE1784" s="3" t="n">
        <v>-0.8851708738427413</v>
      </c>
    </row>
    <row r="1785">
      <c r="A1785" s="3" t="inlineStr">
        <is>
          <t>PSE.distn.bkt.ove.mean.9999</t>
        </is>
      </c>
      <c r="B1785" s="3" t="inlineStr">
        <is>
          <t>PSE</t>
        </is>
      </c>
      <c r="C1785" s="3" t="n">
        <v>2005</v>
      </c>
      <c r="D1785" s="3" t="inlineStr">
        <is>
          <t>Overall</t>
        </is>
      </c>
      <c r="E1785" s="3" t="inlineStr">
        <is>
          <t>Basket</t>
        </is>
      </c>
      <c r="F1785" s="3" t="inlineStr">
        <is>
          <t>mean</t>
        </is>
      </c>
      <c r="G1785" s="3" t="n">
        <v>9999</v>
      </c>
      <c r="H1785" s="3" t="n">
        <v>-0.7893673542298769</v>
      </c>
      <c r="I1785" s="3" t="n">
        <v>-0.7893673542298769</v>
      </c>
      <c r="J1785" s="3" t="n">
        <v>-0.8969508472241854</v>
      </c>
      <c r="K1785" s="3" t="n">
        <v>-0.8969508472241854</v>
      </c>
      <c r="L1785" s="3" t="n">
        <v>-0.7893673542298769</v>
      </c>
      <c r="M1785" s="3" t="n">
        <v>-0.7893673542298769</v>
      </c>
      <c r="N1785" s="3" t="n">
        <v>-0.7893673542298769</v>
      </c>
      <c r="O1785" s="3" t="n">
        <v>-0.7893673542298769</v>
      </c>
      <c r="P1785" s="3" t="n">
        <v>-0.7893673542298769</v>
      </c>
      <c r="Q1785" s="3" t="n">
        <v>-0.7893673542298769</v>
      </c>
      <c r="R1785" s="3" t="n">
        <v>-0.7740951949044278</v>
      </c>
      <c r="S1785" s="3" t="n">
        <v>-1.441575941286589</v>
      </c>
      <c r="T1785" s="3" t="n">
        <v>-0.7100016239442324</v>
      </c>
      <c r="U1785" s="3" t="n">
        <v>-0.8969508472241854</v>
      </c>
      <c r="V1785" s="3" t="n">
        <v>-0.6838645276270414</v>
      </c>
      <c r="W1785" s="3" t="n">
        <v>-0.6045490895446978</v>
      </c>
      <c r="X1785" s="3" t="n">
        <v>-1.401289532059117</v>
      </c>
      <c r="Y1785" s="3" t="n">
        <v>-0.7893673542298769</v>
      </c>
      <c r="Z1785" s="3" t="n">
        <v>-1.441575941286589</v>
      </c>
      <c r="AA1785" s="3" t="n">
        <v>-1.441575941286589</v>
      </c>
      <c r="AB1785" s="3" t="n">
        <v>-1.401289532059117</v>
      </c>
      <c r="AC1785" s="3" t="n">
        <v>-2.562009337701296</v>
      </c>
      <c r="AD1785" s="3" t="n">
        <v>-0.8969508472241854</v>
      </c>
      <c r="AE1785" s="3" t="n">
        <v>-0.8969508472241854</v>
      </c>
    </row>
    <row r="1786">
      <c r="A1786" s="3" t="inlineStr">
        <is>
          <t>PYF.distn.dec.ove.mean.1</t>
        </is>
      </c>
      <c r="B1786" s="3" t="inlineStr">
        <is>
          <t>PYF</t>
        </is>
      </c>
      <c r="C1786" s="3" t="n">
        <v>2005</v>
      </c>
      <c r="D1786" s="3" t="inlineStr">
        <is>
          <t>Overall</t>
        </is>
      </c>
      <c r="E1786" s="3" t="inlineStr">
        <is>
          <t>Deciles</t>
        </is>
      </c>
      <c r="F1786" s="3" t="inlineStr">
        <is>
          <t>mean</t>
        </is>
      </c>
      <c r="G1786" s="3" t="n">
        <v>1</v>
      </c>
      <c r="H1786" s="3" t="n">
        <v>-0.7878549098968506</v>
      </c>
      <c r="I1786" s="3" t="n">
        <v>-0.7878549098968506</v>
      </c>
      <c r="J1786" s="3" t="n">
        <v>-0.8883962808771336</v>
      </c>
      <c r="K1786" s="3" t="n">
        <v>-0.8883962808771336</v>
      </c>
      <c r="L1786" s="3" t="n">
        <v>-0.7878549098968506</v>
      </c>
      <c r="M1786" s="3" t="n">
        <v>-0.7878549098968506</v>
      </c>
      <c r="N1786" s="3" t="n">
        <v>-0.7878549098968506</v>
      </c>
      <c r="O1786" s="3" t="n">
        <v>-0.7878549098968506</v>
      </c>
      <c r="P1786" s="3" t="n">
        <v>-0.7878549098968506</v>
      </c>
      <c r="Q1786" s="3" t="n">
        <v>-0.7878549098968506</v>
      </c>
      <c r="R1786" s="3" t="n">
        <v>-0.7732356596500316</v>
      </c>
      <c r="S1786" s="3" t="n">
        <v>-1.408805674694954</v>
      </c>
      <c r="T1786" s="3" t="n">
        <v>-0.7095591730259835</v>
      </c>
      <c r="U1786" s="3" t="n">
        <v>-0.8883962808771336</v>
      </c>
      <c r="V1786" s="3" t="n">
        <v>-0.681934451803248</v>
      </c>
      <c r="W1786" s="3" t="n">
        <v>-0.5702875047288043</v>
      </c>
      <c r="X1786" s="3" t="n">
        <v>-1.356243993373627</v>
      </c>
      <c r="Y1786" s="3" t="n">
        <v>-0.7878549098968506</v>
      </c>
      <c r="Z1786" s="3" t="n">
        <v>-1.408805674694954</v>
      </c>
      <c r="AA1786" s="3" t="n">
        <v>-1.408805674694954</v>
      </c>
      <c r="AB1786" s="3" t="n">
        <v>-1.356243993373627</v>
      </c>
      <c r="AC1786" s="3" t="n">
        <v>-2.123991362592007</v>
      </c>
      <c r="AD1786" s="3" t="n">
        <v>-0.8883962808771336</v>
      </c>
      <c r="AE1786" s="3" t="n">
        <v>-0.8883962808771336</v>
      </c>
    </row>
    <row r="1787">
      <c r="A1787" s="3" t="inlineStr">
        <is>
          <t>PYF.distn.dec.ove.mean.2</t>
        </is>
      </c>
      <c r="B1787" s="3" t="inlineStr">
        <is>
          <t>PYF</t>
        </is>
      </c>
      <c r="C1787" s="3" t="n">
        <v>2005</v>
      </c>
      <c r="D1787" s="3" t="inlineStr">
        <is>
          <t>Overall</t>
        </is>
      </c>
      <c r="E1787" s="3" t="inlineStr">
        <is>
          <t>Deciles</t>
        </is>
      </c>
      <c r="F1787" s="3" t="inlineStr">
        <is>
          <t>mean</t>
        </is>
      </c>
      <c r="G1787" s="3" t="n">
        <v>2</v>
      </c>
      <c r="H1787" s="3" t="n">
        <v>-0.7878549098968506</v>
      </c>
      <c r="I1787" s="3" t="n">
        <v>-0.7878549098968506</v>
      </c>
      <c r="J1787" s="3" t="n">
        <v>-0.8883962808771336</v>
      </c>
      <c r="K1787" s="3" t="n">
        <v>-0.8883962808771336</v>
      </c>
      <c r="L1787" s="3" t="n">
        <v>-0.7878549098968506</v>
      </c>
      <c r="M1787" s="3" t="n">
        <v>-0.7878549098968506</v>
      </c>
      <c r="N1787" s="3" t="n">
        <v>-0.7878549098968506</v>
      </c>
      <c r="O1787" s="3" t="n">
        <v>-0.7878549098968506</v>
      </c>
      <c r="P1787" s="3" t="n">
        <v>-0.7878549098968506</v>
      </c>
      <c r="Q1787" s="3" t="n">
        <v>-0.7878549098968506</v>
      </c>
      <c r="R1787" s="3" t="n">
        <v>-0.7732356596500316</v>
      </c>
      <c r="S1787" s="3" t="n">
        <v>-1.408805674694954</v>
      </c>
      <c r="T1787" s="3" t="n">
        <v>-0.7095591730259835</v>
      </c>
      <c r="U1787" s="3" t="n">
        <v>-0.8883962808771336</v>
      </c>
      <c r="V1787" s="3" t="n">
        <v>-0.681934451803248</v>
      </c>
      <c r="W1787" s="3" t="n">
        <v>-0.5702875047288043</v>
      </c>
      <c r="X1787" s="3" t="n">
        <v>-1.356243993373627</v>
      </c>
      <c r="Y1787" s="3" t="n">
        <v>-0.7878549098968506</v>
      </c>
      <c r="Z1787" s="3" t="n">
        <v>-1.408805674694954</v>
      </c>
      <c r="AA1787" s="3" t="n">
        <v>-1.408805674694954</v>
      </c>
      <c r="AB1787" s="3" t="n">
        <v>-1.356243993373627</v>
      </c>
      <c r="AC1787" s="3" t="n">
        <v>-2.123991362592007</v>
      </c>
      <c r="AD1787" s="3" t="n">
        <v>-0.8883962808771336</v>
      </c>
      <c r="AE1787" s="3" t="n">
        <v>-0.8883962808771336</v>
      </c>
    </row>
    <row r="1788">
      <c r="A1788" s="3" t="inlineStr">
        <is>
          <t>PYF.distn.dec.ove.mean.3</t>
        </is>
      </c>
      <c r="B1788" s="3" t="inlineStr">
        <is>
          <t>PYF</t>
        </is>
      </c>
      <c r="C1788" s="3" t="n">
        <v>2005</v>
      </c>
      <c r="D1788" s="3" t="inlineStr">
        <is>
          <t>Overall</t>
        </is>
      </c>
      <c r="E1788" s="3" t="inlineStr">
        <is>
          <t>Deciles</t>
        </is>
      </c>
      <c r="F1788" s="3" t="inlineStr">
        <is>
          <t>mean</t>
        </is>
      </c>
      <c r="G1788" s="3" t="n">
        <v>3</v>
      </c>
      <c r="H1788" s="3" t="n">
        <v>-0.7878549098968506</v>
      </c>
      <c r="I1788" s="3" t="n">
        <v>-0.7878549098968506</v>
      </c>
      <c r="J1788" s="3" t="n">
        <v>-0.8883962808771336</v>
      </c>
      <c r="K1788" s="3" t="n">
        <v>-0.8883962808771336</v>
      </c>
      <c r="L1788" s="3" t="n">
        <v>-0.7878549098968506</v>
      </c>
      <c r="M1788" s="3" t="n">
        <v>-0.7878549098968506</v>
      </c>
      <c r="N1788" s="3" t="n">
        <v>-0.7878549098968506</v>
      </c>
      <c r="O1788" s="3" t="n">
        <v>-0.7878549098968506</v>
      </c>
      <c r="P1788" s="3" t="n">
        <v>-0.7878549098968506</v>
      </c>
      <c r="Q1788" s="3" t="n">
        <v>-0.7878549098968506</v>
      </c>
      <c r="R1788" s="3" t="n">
        <v>-0.7732356596500316</v>
      </c>
      <c r="S1788" s="3" t="n">
        <v>-1.408805674694954</v>
      </c>
      <c r="T1788" s="3" t="n">
        <v>-0.7095591730259835</v>
      </c>
      <c r="U1788" s="3" t="n">
        <v>-0.8883962808771336</v>
      </c>
      <c r="V1788" s="3" t="n">
        <v>-0.681934451803248</v>
      </c>
      <c r="W1788" s="3" t="n">
        <v>-0.5702875047288043</v>
      </c>
      <c r="X1788" s="3" t="n">
        <v>-1.356243993373627</v>
      </c>
      <c r="Y1788" s="3" t="n">
        <v>-0.7878549098968506</v>
      </c>
      <c r="Z1788" s="3" t="n">
        <v>-1.408805674694954</v>
      </c>
      <c r="AA1788" s="3" t="n">
        <v>-1.408805674694954</v>
      </c>
      <c r="AB1788" s="3" t="n">
        <v>-1.356243993373627</v>
      </c>
      <c r="AC1788" s="3" t="n">
        <v>-2.123991362592007</v>
      </c>
      <c r="AD1788" s="3" t="n">
        <v>-0.8883962808771336</v>
      </c>
      <c r="AE1788" s="3" t="n">
        <v>-0.8883962808771336</v>
      </c>
    </row>
    <row r="1789">
      <c r="A1789" s="3" t="inlineStr">
        <is>
          <t>PYF.distn.dec.ove.mean.4</t>
        </is>
      </c>
      <c r="B1789" s="3" t="inlineStr">
        <is>
          <t>PYF</t>
        </is>
      </c>
      <c r="C1789" s="3" t="n">
        <v>2005</v>
      </c>
      <c r="D1789" s="3" t="inlineStr">
        <is>
          <t>Overall</t>
        </is>
      </c>
      <c r="E1789" s="3" t="inlineStr">
        <is>
          <t>Deciles</t>
        </is>
      </c>
      <c r="F1789" s="3" t="inlineStr">
        <is>
          <t>mean</t>
        </is>
      </c>
      <c r="G1789" s="3" t="n">
        <v>4</v>
      </c>
      <c r="H1789" s="3" t="n">
        <v>-0.7816170251115839</v>
      </c>
      <c r="I1789" s="3" t="n">
        <v>-0.7816170251115839</v>
      </c>
      <c r="J1789" s="3" t="n">
        <v>-0.8454680810583398</v>
      </c>
      <c r="K1789" s="3" t="n">
        <v>-0.8454680810583398</v>
      </c>
      <c r="L1789" s="3" t="n">
        <v>-0.7816170251115839</v>
      </c>
      <c r="M1789" s="3" t="n">
        <v>-0.7816170251115839</v>
      </c>
      <c r="N1789" s="3" t="n">
        <v>-0.7816170251115839</v>
      </c>
      <c r="O1789" s="3" t="n">
        <v>-0.7816170251115839</v>
      </c>
      <c r="P1789" s="3" t="n">
        <v>-0.7816170251115839</v>
      </c>
      <c r="Q1789" s="3" t="n">
        <v>-0.7816170251115839</v>
      </c>
      <c r="R1789" s="3" t="n">
        <v>-0.7697659489956308</v>
      </c>
      <c r="S1789" s="3" t="n">
        <v>-0.9595531871978272</v>
      </c>
      <c r="T1789" s="3" t="n">
        <v>-0.7081063859006191</v>
      </c>
      <c r="U1789" s="3" t="n">
        <v>-0.8454680810583398</v>
      </c>
      <c r="V1789" s="3" t="n">
        <v>-0.6750000017754575</v>
      </c>
      <c r="W1789" s="3" t="n">
        <v>-0.4799574455048176</v>
      </c>
      <c r="X1789" s="3" t="n">
        <v>-0.9571489362006492</v>
      </c>
      <c r="Y1789" s="3" t="n">
        <v>-0.7816170251115839</v>
      </c>
      <c r="Z1789" s="3" t="n">
        <v>-0.9595531871978272</v>
      </c>
      <c r="AA1789" s="3" t="n">
        <v>-0.9595531871978272</v>
      </c>
      <c r="AB1789" s="3" t="n">
        <v>-0.9571489362006492</v>
      </c>
      <c r="AC1789" s="3" t="n">
        <v>-1.025723396463597</v>
      </c>
      <c r="AD1789" s="3" t="n">
        <v>-0.8454680810583398</v>
      </c>
      <c r="AE1789" s="3" t="n">
        <v>-0.8454680810583398</v>
      </c>
    </row>
    <row r="1790">
      <c r="A1790" s="3" t="inlineStr">
        <is>
          <t>PYF.distn.dec.ove.mean.5</t>
        </is>
      </c>
      <c r="B1790" s="3" t="inlineStr">
        <is>
          <t>PYF</t>
        </is>
      </c>
      <c r="C1790" s="3" t="n">
        <v>2005</v>
      </c>
      <c r="D1790" s="3" t="inlineStr">
        <is>
          <t>Overall</t>
        </is>
      </c>
      <c r="E1790" s="3" t="inlineStr">
        <is>
          <t>Deciles</t>
        </is>
      </c>
      <c r="F1790" s="3" t="inlineStr">
        <is>
          <t>mean</t>
        </is>
      </c>
      <c r="G1790" s="3" t="n">
        <v>5</v>
      </c>
      <c r="H1790" s="3" t="n">
        <v>-0.7816170251115839</v>
      </c>
      <c r="I1790" s="3" t="n">
        <v>-0.7816170251115839</v>
      </c>
      <c r="J1790" s="3" t="n">
        <v>-0.8454680810583398</v>
      </c>
      <c r="K1790" s="3" t="n">
        <v>-0.8454680810583398</v>
      </c>
      <c r="L1790" s="3" t="n">
        <v>-0.7816170251115839</v>
      </c>
      <c r="M1790" s="3" t="n">
        <v>-0.7816170251115839</v>
      </c>
      <c r="N1790" s="3" t="n">
        <v>-0.7816170251115839</v>
      </c>
      <c r="O1790" s="3" t="n">
        <v>-0.7816170251115839</v>
      </c>
      <c r="P1790" s="3" t="n">
        <v>-0.7816170251115839</v>
      </c>
      <c r="Q1790" s="3" t="n">
        <v>-0.7816170251115839</v>
      </c>
      <c r="R1790" s="3" t="n">
        <v>-0.7697659489956308</v>
      </c>
      <c r="S1790" s="3" t="n">
        <v>-0.9595531871978272</v>
      </c>
      <c r="T1790" s="3" t="n">
        <v>-0.7081063859006191</v>
      </c>
      <c r="U1790" s="3" t="n">
        <v>-0.8454680810583398</v>
      </c>
      <c r="V1790" s="3" t="n">
        <v>-0.6750000017754575</v>
      </c>
      <c r="W1790" s="3" t="n">
        <v>-0.4799574455048176</v>
      </c>
      <c r="X1790" s="3" t="n">
        <v>-0.9571489362006492</v>
      </c>
      <c r="Y1790" s="3" t="n">
        <v>-0.7816170251115839</v>
      </c>
      <c r="Z1790" s="3" t="n">
        <v>-0.9595531871978272</v>
      </c>
      <c r="AA1790" s="3" t="n">
        <v>-0.9595531871978272</v>
      </c>
      <c r="AB1790" s="3" t="n">
        <v>-0.9571489362006492</v>
      </c>
      <c r="AC1790" s="3" t="n">
        <v>-1.025723396463597</v>
      </c>
      <c r="AD1790" s="3" t="n">
        <v>-0.8454680810583398</v>
      </c>
      <c r="AE1790" s="3" t="n">
        <v>-0.8454680810583398</v>
      </c>
    </row>
    <row r="1791">
      <c r="A1791" s="3" t="inlineStr">
        <is>
          <t>PYF.distn.dec.ove.mean.6</t>
        </is>
      </c>
      <c r="B1791" s="3" t="inlineStr">
        <is>
          <t>PYF</t>
        </is>
      </c>
      <c r="C1791" s="3" t="n">
        <v>2005</v>
      </c>
      <c r="D1791" s="3" t="inlineStr">
        <is>
          <t>Overall</t>
        </is>
      </c>
      <c r="E1791" s="3" t="inlineStr">
        <is>
          <t>Deciles</t>
        </is>
      </c>
      <c r="F1791" s="3" t="inlineStr">
        <is>
          <t>mean</t>
        </is>
      </c>
      <c r="G1791" s="3" t="n">
        <v>6</v>
      </c>
      <c r="H1791" s="3" t="n">
        <v>-0.7816170251115839</v>
      </c>
      <c r="I1791" s="3" t="n">
        <v>-0.7816170251115839</v>
      </c>
      <c r="J1791" s="3" t="n">
        <v>-0.8454680810583398</v>
      </c>
      <c r="K1791" s="3" t="n">
        <v>-0.8454680810583398</v>
      </c>
      <c r="L1791" s="3" t="n">
        <v>-0.7816170251115839</v>
      </c>
      <c r="M1791" s="3" t="n">
        <v>-0.7816170251115839</v>
      </c>
      <c r="N1791" s="3" t="n">
        <v>-0.7816170251115839</v>
      </c>
      <c r="O1791" s="3" t="n">
        <v>-0.7816170251115839</v>
      </c>
      <c r="P1791" s="3" t="n">
        <v>-0.7816170251115839</v>
      </c>
      <c r="Q1791" s="3" t="n">
        <v>-0.7816170251115839</v>
      </c>
      <c r="R1791" s="3" t="n">
        <v>-0.7697659489956308</v>
      </c>
      <c r="S1791" s="3" t="n">
        <v>-0.9595531871978272</v>
      </c>
      <c r="T1791" s="3" t="n">
        <v>-0.7081063859006191</v>
      </c>
      <c r="U1791" s="3" t="n">
        <v>-0.8454680810583398</v>
      </c>
      <c r="V1791" s="3" t="n">
        <v>-0.6750000017754575</v>
      </c>
      <c r="W1791" s="3" t="n">
        <v>-0.4799574455048176</v>
      </c>
      <c r="X1791" s="3" t="n">
        <v>-0.9571489362006492</v>
      </c>
      <c r="Y1791" s="3" t="n">
        <v>-0.7816170251115839</v>
      </c>
      <c r="Z1791" s="3" t="n">
        <v>-0.9595531871978272</v>
      </c>
      <c r="AA1791" s="3" t="n">
        <v>-0.9595531871978272</v>
      </c>
      <c r="AB1791" s="3" t="n">
        <v>-0.9571489362006492</v>
      </c>
      <c r="AC1791" s="3" t="n">
        <v>-1.025723396463597</v>
      </c>
      <c r="AD1791" s="3" t="n">
        <v>-0.8454680810583398</v>
      </c>
      <c r="AE1791" s="3" t="n">
        <v>-0.8454680810583398</v>
      </c>
    </row>
    <row r="1792">
      <c r="A1792" s="3" t="inlineStr">
        <is>
          <t>PYF.distn.dec.ove.mean.7</t>
        </is>
      </c>
      <c r="B1792" s="3" t="inlineStr">
        <is>
          <t>PYF</t>
        </is>
      </c>
      <c r="C1792" s="3" t="n">
        <v>2005</v>
      </c>
      <c r="D1792" s="3" t="inlineStr">
        <is>
          <t>Overall</t>
        </is>
      </c>
      <c r="E1792" s="3" t="inlineStr">
        <is>
          <t>Deciles</t>
        </is>
      </c>
      <c r="F1792" s="3" t="inlineStr">
        <is>
          <t>mean</t>
        </is>
      </c>
      <c r="G1792" s="3" t="n">
        <v>7</v>
      </c>
      <c r="H1792" s="3" t="n">
        <v>-0.7816170251115839</v>
      </c>
      <c r="I1792" s="3" t="n">
        <v>-0.7816170251115839</v>
      </c>
      <c r="J1792" s="3" t="n">
        <v>-0.8454680810583398</v>
      </c>
      <c r="K1792" s="3" t="n">
        <v>-0.8454680810583398</v>
      </c>
      <c r="L1792" s="3" t="n">
        <v>-0.7816170251115839</v>
      </c>
      <c r="M1792" s="3" t="n">
        <v>-0.7816170251115839</v>
      </c>
      <c r="N1792" s="3" t="n">
        <v>-0.7816170251115839</v>
      </c>
      <c r="O1792" s="3" t="n">
        <v>-0.7816170251115839</v>
      </c>
      <c r="P1792" s="3" t="n">
        <v>-0.7816170251115839</v>
      </c>
      <c r="Q1792" s="3" t="n">
        <v>-0.7816170251115839</v>
      </c>
      <c r="R1792" s="3" t="n">
        <v>-0.7697659489956308</v>
      </c>
      <c r="S1792" s="3" t="n">
        <v>-0.9595531871978272</v>
      </c>
      <c r="T1792" s="3" t="n">
        <v>-0.7081063859006191</v>
      </c>
      <c r="U1792" s="3" t="n">
        <v>-0.8454680810583398</v>
      </c>
      <c r="V1792" s="3" t="n">
        <v>-0.6750000017754575</v>
      </c>
      <c r="W1792" s="3" t="n">
        <v>-0.4799574455048176</v>
      </c>
      <c r="X1792" s="3" t="n">
        <v>-0.9571489362006492</v>
      </c>
      <c r="Y1792" s="3" t="n">
        <v>-0.7816170251115839</v>
      </c>
      <c r="Z1792" s="3" t="n">
        <v>-0.9595531871978272</v>
      </c>
      <c r="AA1792" s="3" t="n">
        <v>-0.9595531871978272</v>
      </c>
      <c r="AB1792" s="3" t="n">
        <v>-0.9571489362006492</v>
      </c>
      <c r="AC1792" s="3" t="n">
        <v>-1.025723396463597</v>
      </c>
      <c r="AD1792" s="3" t="n">
        <v>-0.8454680810583398</v>
      </c>
      <c r="AE1792" s="3" t="n">
        <v>-0.8454680810583398</v>
      </c>
    </row>
    <row r="1793">
      <c r="A1793" s="3" t="inlineStr">
        <is>
          <t>PYF.distn.dec.ove.mean.8</t>
        </is>
      </c>
      <c r="B1793" s="3" t="inlineStr">
        <is>
          <t>PYF</t>
        </is>
      </c>
      <c r="C1793" s="3" t="n">
        <v>2005</v>
      </c>
      <c r="D1793" s="3" t="inlineStr">
        <is>
          <t>Overall</t>
        </is>
      </c>
      <c r="E1793" s="3" t="inlineStr">
        <is>
          <t>Deciles</t>
        </is>
      </c>
      <c r="F1793" s="3" t="inlineStr">
        <is>
          <t>mean</t>
        </is>
      </c>
      <c r="G1793" s="3" t="n">
        <v>8</v>
      </c>
      <c r="H1793" s="3" t="n">
        <v>-0.7819935831617801</v>
      </c>
      <c r="I1793" s="3" t="n">
        <v>-0.7819935831617801</v>
      </c>
      <c r="J1793" s="3" t="n">
        <v>-0.8477488045996808</v>
      </c>
      <c r="K1793" s="3" t="n">
        <v>-0.8477488045996808</v>
      </c>
      <c r="L1793" s="3" t="n">
        <v>-0.7819935831617801</v>
      </c>
      <c r="M1793" s="3" t="n">
        <v>-0.7819935831617801</v>
      </c>
      <c r="N1793" s="3" t="n">
        <v>-0.7819935831617801</v>
      </c>
      <c r="O1793" s="3" t="n">
        <v>-0.7819935831617801</v>
      </c>
      <c r="P1793" s="3" t="n">
        <v>-0.7819935831617801</v>
      </c>
      <c r="Q1793" s="3" t="n">
        <v>-0.7819935831617801</v>
      </c>
      <c r="R1793" s="3" t="n">
        <v>-0.7700191178220384</v>
      </c>
      <c r="S1793" s="3" t="n">
        <v>-0.9684819490351575</v>
      </c>
      <c r="T1793" s="3" t="n">
        <v>-0.70814722142321</v>
      </c>
      <c r="U1793" s="3" t="n">
        <v>-0.8477488045996808</v>
      </c>
      <c r="V1793" s="3" t="n">
        <v>-0.6756977857427394</v>
      </c>
      <c r="W1793" s="3" t="n">
        <v>-0.4928101326556916</v>
      </c>
      <c r="X1793" s="3" t="n">
        <v>-0.9658704755154062</v>
      </c>
      <c r="Y1793" s="3" t="n">
        <v>-0.7819935831617801</v>
      </c>
      <c r="Z1793" s="3" t="n">
        <v>-0.9684819490351575</v>
      </c>
      <c r="AA1793" s="3" t="n">
        <v>-0.9684819490351575</v>
      </c>
      <c r="AB1793" s="3" t="n">
        <v>-0.9658704755154062</v>
      </c>
      <c r="AC1793" s="3" t="n">
        <v>-1.04035159628442</v>
      </c>
      <c r="AD1793" s="3" t="n">
        <v>-0.8477488045996808</v>
      </c>
      <c r="AE1793" s="3" t="n">
        <v>-0.8477488045996808</v>
      </c>
    </row>
    <row r="1794">
      <c r="A1794" s="3" t="inlineStr">
        <is>
          <t>PYF.distn.dec.ove.mean.9</t>
        </is>
      </c>
      <c r="B1794" s="3" t="inlineStr">
        <is>
          <t>PYF</t>
        </is>
      </c>
      <c r="C1794" s="3" t="n">
        <v>2005</v>
      </c>
      <c r="D1794" s="3" t="inlineStr">
        <is>
          <t>Overall</t>
        </is>
      </c>
      <c r="E1794" s="3" t="inlineStr">
        <is>
          <t>Deciles</t>
        </is>
      </c>
      <c r="F1794" s="3" t="inlineStr">
        <is>
          <t>mean</t>
        </is>
      </c>
      <c r="G1794" s="3" t="n">
        <v>9</v>
      </c>
      <c r="H1794" s="3" t="n">
        <v>-0.7819935831617801</v>
      </c>
      <c r="I1794" s="3" t="n">
        <v>-0.7819935831617801</v>
      </c>
      <c r="J1794" s="3" t="n">
        <v>-0.8477488045996808</v>
      </c>
      <c r="K1794" s="3" t="n">
        <v>-0.8477488045996808</v>
      </c>
      <c r="L1794" s="3" t="n">
        <v>-0.7819935831617801</v>
      </c>
      <c r="M1794" s="3" t="n">
        <v>-0.7819935831617801</v>
      </c>
      <c r="N1794" s="3" t="n">
        <v>-0.7819935831617801</v>
      </c>
      <c r="O1794" s="3" t="n">
        <v>-0.7819935831617801</v>
      </c>
      <c r="P1794" s="3" t="n">
        <v>-0.7819935831617801</v>
      </c>
      <c r="Q1794" s="3" t="n">
        <v>-0.7819935831617801</v>
      </c>
      <c r="R1794" s="3" t="n">
        <v>-0.7700191178220384</v>
      </c>
      <c r="S1794" s="3" t="n">
        <v>-0.9684819490351575</v>
      </c>
      <c r="T1794" s="3" t="n">
        <v>-0.70814722142321</v>
      </c>
      <c r="U1794" s="3" t="n">
        <v>-0.8477488045996808</v>
      </c>
      <c r="V1794" s="3" t="n">
        <v>-0.6756977857427394</v>
      </c>
      <c r="W1794" s="3" t="n">
        <v>-0.4928101326556916</v>
      </c>
      <c r="X1794" s="3" t="n">
        <v>-0.9658704755154062</v>
      </c>
      <c r="Y1794" s="3" t="n">
        <v>-0.7819935831617801</v>
      </c>
      <c r="Z1794" s="3" t="n">
        <v>-0.9684819490351575</v>
      </c>
      <c r="AA1794" s="3" t="n">
        <v>-0.9684819490351575</v>
      </c>
      <c r="AB1794" s="3" t="n">
        <v>-0.9658704755154062</v>
      </c>
      <c r="AC1794" s="3" t="n">
        <v>-1.04035159628442</v>
      </c>
      <c r="AD1794" s="3" t="n">
        <v>-0.8477488045996808</v>
      </c>
      <c r="AE1794" s="3" t="n">
        <v>-0.8477488045996808</v>
      </c>
    </row>
    <row r="1795">
      <c r="A1795" s="3" t="inlineStr">
        <is>
          <t>PYF.distn.dec.ove.mean.10</t>
        </is>
      </c>
      <c r="B1795" s="3" t="inlineStr">
        <is>
          <t>PYF</t>
        </is>
      </c>
      <c r="C1795" s="3" t="n">
        <v>2005</v>
      </c>
      <c r="D1795" s="3" t="inlineStr">
        <is>
          <t>Overall</t>
        </is>
      </c>
      <c r="E1795" s="3" t="inlineStr">
        <is>
          <t>Deciles</t>
        </is>
      </c>
      <c r="F1795" s="3" t="inlineStr">
        <is>
          <t>mean</t>
        </is>
      </c>
      <c r="G1795" s="3" t="n">
        <v>10</v>
      </c>
      <c r="H1795" s="3" t="n">
        <v>-0.7819935831617801</v>
      </c>
      <c r="I1795" s="3" t="n">
        <v>-0.7819935831617801</v>
      </c>
      <c r="J1795" s="3" t="n">
        <v>-0.8477488045996808</v>
      </c>
      <c r="K1795" s="3" t="n">
        <v>-0.8477488045996808</v>
      </c>
      <c r="L1795" s="3" t="n">
        <v>-0.7819935831617801</v>
      </c>
      <c r="M1795" s="3" t="n">
        <v>-0.7819935831617801</v>
      </c>
      <c r="N1795" s="3" t="n">
        <v>-0.7819935831617801</v>
      </c>
      <c r="O1795" s="3" t="n">
        <v>-0.7819935831617801</v>
      </c>
      <c r="P1795" s="3" t="n">
        <v>-0.7819935831617801</v>
      </c>
      <c r="Q1795" s="3" t="n">
        <v>-0.7819935831617801</v>
      </c>
      <c r="R1795" s="3" t="n">
        <v>-0.7700191178220384</v>
      </c>
      <c r="S1795" s="3" t="n">
        <v>-0.9684819490351575</v>
      </c>
      <c r="T1795" s="3" t="n">
        <v>-0.70814722142321</v>
      </c>
      <c r="U1795" s="3" t="n">
        <v>-0.8477488045996808</v>
      </c>
      <c r="V1795" s="3" t="n">
        <v>-0.6756977857427394</v>
      </c>
      <c r="W1795" s="3" t="n">
        <v>-0.4928101326556916</v>
      </c>
      <c r="X1795" s="3" t="n">
        <v>-0.9658704755154062</v>
      </c>
      <c r="Y1795" s="3" t="n">
        <v>-0.7819935831617801</v>
      </c>
      <c r="Z1795" s="3" t="n">
        <v>-0.9684819490351575</v>
      </c>
      <c r="AA1795" s="3" t="n">
        <v>-0.9684819490351575</v>
      </c>
      <c r="AB1795" s="3" t="n">
        <v>-0.9658704755154062</v>
      </c>
      <c r="AC1795" s="3" t="n">
        <v>-1.04035159628442</v>
      </c>
      <c r="AD1795" s="3" t="n">
        <v>-0.8477488045996808</v>
      </c>
      <c r="AE1795" s="3" t="n">
        <v>-0.8477488045996808</v>
      </c>
    </row>
    <row r="1796">
      <c r="A1796" s="3" t="inlineStr">
        <is>
          <t>PYF.distn.bkt.ove.mean.9999</t>
        </is>
      </c>
      <c r="B1796" s="3" t="inlineStr">
        <is>
          <t>PYF</t>
        </is>
      </c>
      <c r="C1796" s="3" t="n">
        <v>2005</v>
      </c>
      <c r="D1796" s="3" t="inlineStr">
        <is>
          <t>Overall</t>
        </is>
      </c>
      <c r="E1796" s="3" t="inlineStr">
        <is>
          <t>Basket</t>
        </is>
      </c>
      <c r="F1796" s="3" t="inlineStr">
        <is>
          <t>mean</t>
        </is>
      </c>
      <c r="G1796" s="3" t="n">
        <v>9999</v>
      </c>
      <c r="H1796" s="3" t="n">
        <v>-0.7836013613863194</v>
      </c>
      <c r="I1796" s="3" t="n">
        <v>-0.7836013613863194</v>
      </c>
      <c r="J1796" s="3" t="n">
        <v>-0.8590307616172953</v>
      </c>
      <c r="K1796" s="3" t="n">
        <v>-0.8590307616172953</v>
      </c>
      <c r="L1796" s="3" t="n">
        <v>-0.7836013613863194</v>
      </c>
      <c r="M1796" s="3" t="n">
        <v>-0.7836013613863194</v>
      </c>
      <c r="N1796" s="3" t="n">
        <v>-0.7836013613863194</v>
      </c>
      <c r="O1796" s="3" t="n">
        <v>-0.7836013613863194</v>
      </c>
      <c r="P1796" s="3" t="n">
        <v>-0.7836013613863194</v>
      </c>
      <c r="Q1796" s="3" t="n">
        <v>-0.7836013613863194</v>
      </c>
      <c r="R1796" s="3" t="n">
        <v>-0.7708828220976159</v>
      </c>
      <c r="S1796" s="3" t="n">
        <v>-1.097007578991829</v>
      </c>
      <c r="T1796" s="3" t="n">
        <v>-0.7085544974245923</v>
      </c>
      <c r="U1796" s="3" t="n">
        <v>-0.8590307616172953</v>
      </c>
      <c r="V1796" s="3" t="n">
        <v>-0.6772896647453308</v>
      </c>
      <c r="W1796" s="3" t="n">
        <v>-0.5109122699879586</v>
      </c>
      <c r="X1796" s="3" t="n">
        <v>-1.079493910708326</v>
      </c>
      <c r="Y1796" s="3" t="n">
        <v>-0.7836013613863194</v>
      </c>
      <c r="Z1796" s="3" t="n">
        <v>-1.097007578991829</v>
      </c>
      <c r="AA1796" s="3" t="n">
        <v>-1.097007578991829</v>
      </c>
      <c r="AB1796" s="3" t="n">
        <v>-1.079493910708326</v>
      </c>
      <c r="AC1796" s="3" t="n">
        <v>-1.359592239907447</v>
      </c>
      <c r="AD1796" s="3" t="n">
        <v>-0.8590307616172953</v>
      </c>
      <c r="AE1796" s="3" t="n">
        <v>-0.8590307616172953</v>
      </c>
    </row>
    <row r="1797">
      <c r="A1797" s="3" t="inlineStr">
        <is>
          <t>QAT.distn.dec.ove.mean.1</t>
        </is>
      </c>
      <c r="B1797" s="3" t="inlineStr">
        <is>
          <t>QAT</t>
        </is>
      </c>
      <c r="C1797" s="3" t="n">
        <v>2005</v>
      </c>
      <c r="D1797" s="3" t="inlineStr">
        <is>
          <t>Overall</t>
        </is>
      </c>
      <c r="E1797" s="3" t="inlineStr">
        <is>
          <t>Deciles</t>
        </is>
      </c>
      <c r="F1797" s="3" t="inlineStr">
        <is>
          <t>mean</t>
        </is>
      </c>
      <c r="G1797" s="3" t="n">
        <v>1</v>
      </c>
      <c r="H1797" s="3" t="n">
        <v>-0.7892489433288574</v>
      </c>
      <c r="I1797" s="3" t="n">
        <v>-0.7892489433288574</v>
      </c>
      <c r="J1797" s="3" t="n">
        <v>-0.8973613977432251</v>
      </c>
      <c r="K1797" s="3" t="n">
        <v>-0.8973613977432251</v>
      </c>
      <c r="L1797" s="3" t="n">
        <v>-0.7892489433288574</v>
      </c>
      <c r="M1797" s="3" t="n">
        <v>-0.7892489433288574</v>
      </c>
      <c r="N1797" s="3" t="n">
        <v>-0.7892489433288574</v>
      </c>
      <c r="O1797" s="3" t="n">
        <v>-0.7892489433288574</v>
      </c>
      <c r="P1797" s="3" t="n">
        <v>-0.7892489433288574</v>
      </c>
      <c r="Q1797" s="3" t="n">
        <v>-0.7892489433288574</v>
      </c>
      <c r="R1797" s="3" t="n">
        <v>-0.7744752764701843</v>
      </c>
      <c r="S1797" s="3" t="n">
        <v>-1.463784694671631</v>
      </c>
      <c r="T1797" s="3" t="n">
        <v>-0.7104546427726746</v>
      </c>
      <c r="U1797" s="3" t="n">
        <v>-0.8973613977432251</v>
      </c>
      <c r="V1797" s="3" t="n">
        <v>-0.6839550137519836</v>
      </c>
      <c r="W1797" s="3" t="n">
        <v>-0.6166780591011047</v>
      </c>
      <c r="X1797" s="3" t="n">
        <v>-1.40846061706543</v>
      </c>
      <c r="Y1797" s="3" t="n">
        <v>-0.7892489433288574</v>
      </c>
      <c r="Z1797" s="3" t="n">
        <v>-1.463784694671631</v>
      </c>
      <c r="AA1797" s="3" t="n">
        <v>-1.463784694671631</v>
      </c>
      <c r="AB1797" s="3" t="n">
        <v>-1.40846061706543</v>
      </c>
      <c r="AC1797" s="3" t="n">
        <v>-2.259161233901978</v>
      </c>
      <c r="AD1797" s="3" t="n">
        <v>-0.8973613977432251</v>
      </c>
      <c r="AE1797" s="3" t="n">
        <v>-0.8973613977432251</v>
      </c>
    </row>
    <row r="1798">
      <c r="A1798" s="3" t="inlineStr">
        <is>
          <t>QAT.distn.dec.ove.mean.2</t>
        </is>
      </c>
      <c r="B1798" s="3" t="inlineStr">
        <is>
          <t>QAT</t>
        </is>
      </c>
      <c r="C1798" s="3" t="n">
        <v>2005</v>
      </c>
      <c r="D1798" s="3" t="inlineStr">
        <is>
          <t>Overall</t>
        </is>
      </c>
      <c r="E1798" s="3" t="inlineStr">
        <is>
          <t>Deciles</t>
        </is>
      </c>
      <c r="F1798" s="3" t="inlineStr">
        <is>
          <t>mean</t>
        </is>
      </c>
      <c r="G1798" s="3" t="n">
        <v>2</v>
      </c>
      <c r="H1798" s="3" t="n">
        <v>-0.7892489433288574</v>
      </c>
      <c r="I1798" s="3" t="n">
        <v>-0.7892489433288574</v>
      </c>
      <c r="J1798" s="3" t="n">
        <v>-0.8973613977432251</v>
      </c>
      <c r="K1798" s="3" t="n">
        <v>-0.8973613977432251</v>
      </c>
      <c r="L1798" s="3" t="n">
        <v>-0.7892489433288574</v>
      </c>
      <c r="M1798" s="3" t="n">
        <v>-0.7892489433288574</v>
      </c>
      <c r="N1798" s="3" t="n">
        <v>-0.7892489433288574</v>
      </c>
      <c r="O1798" s="3" t="n">
        <v>-0.7892489433288574</v>
      </c>
      <c r="P1798" s="3" t="n">
        <v>-0.7892489433288574</v>
      </c>
      <c r="Q1798" s="3" t="n">
        <v>-0.7892489433288574</v>
      </c>
      <c r="R1798" s="3" t="n">
        <v>-0.7744752764701843</v>
      </c>
      <c r="S1798" s="3" t="n">
        <v>-1.463784694671631</v>
      </c>
      <c r="T1798" s="3" t="n">
        <v>-0.7104546427726746</v>
      </c>
      <c r="U1798" s="3" t="n">
        <v>-0.8973613977432251</v>
      </c>
      <c r="V1798" s="3" t="n">
        <v>-0.6839550137519836</v>
      </c>
      <c r="W1798" s="3" t="n">
        <v>-0.6166780591011047</v>
      </c>
      <c r="X1798" s="3" t="n">
        <v>-1.40846061706543</v>
      </c>
      <c r="Y1798" s="3" t="n">
        <v>-0.7892489433288574</v>
      </c>
      <c r="Z1798" s="3" t="n">
        <v>-1.463784694671631</v>
      </c>
      <c r="AA1798" s="3" t="n">
        <v>-1.463784694671631</v>
      </c>
      <c r="AB1798" s="3" t="n">
        <v>-1.40846061706543</v>
      </c>
      <c r="AC1798" s="3" t="n">
        <v>-2.259161233901978</v>
      </c>
      <c r="AD1798" s="3" t="n">
        <v>-0.8973613977432251</v>
      </c>
      <c r="AE1798" s="3" t="n">
        <v>-0.8973613977432251</v>
      </c>
    </row>
    <row r="1799">
      <c r="A1799" s="3" t="inlineStr">
        <is>
          <t>QAT.distn.dec.ove.mean.3</t>
        </is>
      </c>
      <c r="B1799" s="3" t="inlineStr">
        <is>
          <t>QAT</t>
        </is>
      </c>
      <c r="C1799" s="3" t="n">
        <v>2005</v>
      </c>
      <c r="D1799" s="3" t="inlineStr">
        <is>
          <t>Overall</t>
        </is>
      </c>
      <c r="E1799" s="3" t="inlineStr">
        <is>
          <t>Deciles</t>
        </is>
      </c>
      <c r="F1799" s="3" t="inlineStr">
        <is>
          <t>mean</t>
        </is>
      </c>
      <c r="G1799" s="3" t="n">
        <v>3</v>
      </c>
      <c r="H1799" s="3" t="n">
        <v>-0.7892489433288574</v>
      </c>
      <c r="I1799" s="3" t="n">
        <v>-0.7892489433288574</v>
      </c>
      <c r="J1799" s="3" t="n">
        <v>-0.8973613977432251</v>
      </c>
      <c r="K1799" s="3" t="n">
        <v>-0.8973613977432251</v>
      </c>
      <c r="L1799" s="3" t="n">
        <v>-0.7892489433288574</v>
      </c>
      <c r="M1799" s="3" t="n">
        <v>-0.7892489433288574</v>
      </c>
      <c r="N1799" s="3" t="n">
        <v>-0.7892489433288574</v>
      </c>
      <c r="O1799" s="3" t="n">
        <v>-0.7892489433288574</v>
      </c>
      <c r="P1799" s="3" t="n">
        <v>-0.7892489433288574</v>
      </c>
      <c r="Q1799" s="3" t="n">
        <v>-0.7892489433288574</v>
      </c>
      <c r="R1799" s="3" t="n">
        <v>-0.7744752764701843</v>
      </c>
      <c r="S1799" s="3" t="n">
        <v>-1.463784694671631</v>
      </c>
      <c r="T1799" s="3" t="n">
        <v>-0.7104546427726746</v>
      </c>
      <c r="U1799" s="3" t="n">
        <v>-0.8973613977432251</v>
      </c>
      <c r="V1799" s="3" t="n">
        <v>-0.6839550137519836</v>
      </c>
      <c r="W1799" s="3" t="n">
        <v>-0.6166780591011047</v>
      </c>
      <c r="X1799" s="3" t="n">
        <v>-1.40846061706543</v>
      </c>
      <c r="Y1799" s="3" t="n">
        <v>-0.7892489433288574</v>
      </c>
      <c r="Z1799" s="3" t="n">
        <v>-1.463784694671631</v>
      </c>
      <c r="AA1799" s="3" t="n">
        <v>-1.463784694671631</v>
      </c>
      <c r="AB1799" s="3" t="n">
        <v>-1.40846061706543</v>
      </c>
      <c r="AC1799" s="3" t="n">
        <v>-2.259161233901978</v>
      </c>
      <c r="AD1799" s="3" t="n">
        <v>-0.8973613977432251</v>
      </c>
      <c r="AE1799" s="3" t="n">
        <v>-0.8973613977432251</v>
      </c>
    </row>
    <row r="1800">
      <c r="A1800" s="3" t="inlineStr">
        <is>
          <t>QAT.distn.dec.ove.mean.4</t>
        </is>
      </c>
      <c r="B1800" s="3" t="inlineStr">
        <is>
          <t>QAT</t>
        </is>
      </c>
      <c r="C1800" s="3" t="n">
        <v>2005</v>
      </c>
      <c r="D1800" s="3" t="inlineStr">
        <is>
          <t>Overall</t>
        </is>
      </c>
      <c r="E1800" s="3" t="inlineStr">
        <is>
          <t>Deciles</t>
        </is>
      </c>
      <c r="F1800" s="3" t="inlineStr">
        <is>
          <t>mean</t>
        </is>
      </c>
      <c r="G1800" s="3" t="n">
        <v>4</v>
      </c>
      <c r="H1800" s="3" t="n">
        <v>-0.7829999923706055</v>
      </c>
      <c r="I1800" s="3" t="n">
        <v>-0.7829999923706055</v>
      </c>
      <c r="J1800" s="3" t="n">
        <v>-0.8539999723434448</v>
      </c>
      <c r="K1800" s="3" t="n">
        <v>-0.8539999723434448</v>
      </c>
      <c r="L1800" s="3" t="n">
        <v>-0.7829999923706055</v>
      </c>
      <c r="M1800" s="3" t="n">
        <v>-0.7829999923706055</v>
      </c>
      <c r="N1800" s="3" t="n">
        <v>-0.7829999923706055</v>
      </c>
      <c r="O1800" s="3" t="n">
        <v>-0.7829999923706055</v>
      </c>
      <c r="P1800" s="3" t="n">
        <v>-0.7829999923706055</v>
      </c>
      <c r="Q1800" s="3" t="n">
        <v>-0.7829999923706055</v>
      </c>
      <c r="R1800" s="3" t="n">
        <v>-0.7710000276565552</v>
      </c>
      <c r="S1800" s="3" t="n">
        <v>-0.996999979019165</v>
      </c>
      <c r="T1800" s="3" t="n">
        <v>-0.7089999914169312</v>
      </c>
      <c r="U1800" s="3" t="n">
        <v>-0.8539999723434448</v>
      </c>
      <c r="V1800" s="3" t="n">
        <v>-0.6769999861717224</v>
      </c>
      <c r="W1800" s="3" t="n">
        <v>-0.5189999938011169</v>
      </c>
      <c r="X1800" s="3" t="n">
        <v>-0.9940000176429749</v>
      </c>
      <c r="Y1800" s="3" t="n">
        <v>-0.7829999923706055</v>
      </c>
      <c r="Z1800" s="3" t="n">
        <v>-0.996999979019165</v>
      </c>
      <c r="AA1800" s="3" t="n">
        <v>-0.996999979019165</v>
      </c>
      <c r="AB1800" s="3" t="n">
        <v>-0.9940000176429749</v>
      </c>
      <c r="AC1800" s="3" t="n">
        <v>-1.090999960899353</v>
      </c>
      <c r="AD1800" s="3" t="n">
        <v>-0.8539999723434448</v>
      </c>
      <c r="AE1800" s="3" t="n">
        <v>-0.8539999723434448</v>
      </c>
    </row>
    <row r="1801">
      <c r="A1801" s="3" t="inlineStr">
        <is>
          <t>QAT.distn.dec.ove.mean.5</t>
        </is>
      </c>
      <c r="B1801" s="3" t="inlineStr">
        <is>
          <t>QAT</t>
        </is>
      </c>
      <c r="C1801" s="3" t="n">
        <v>2005</v>
      </c>
      <c r="D1801" s="3" t="inlineStr">
        <is>
          <t>Overall</t>
        </is>
      </c>
      <c r="E1801" s="3" t="inlineStr">
        <is>
          <t>Deciles</t>
        </is>
      </c>
      <c r="F1801" s="3" t="inlineStr">
        <is>
          <t>mean</t>
        </is>
      </c>
      <c r="G1801" s="3" t="n">
        <v>5</v>
      </c>
      <c r="H1801" s="3" t="n">
        <v>-0.7829999923706055</v>
      </c>
      <c r="I1801" s="3" t="n">
        <v>-0.7829999923706055</v>
      </c>
      <c r="J1801" s="3" t="n">
        <v>-0.8539999723434448</v>
      </c>
      <c r="K1801" s="3" t="n">
        <v>-0.8539999723434448</v>
      </c>
      <c r="L1801" s="3" t="n">
        <v>-0.7829999923706055</v>
      </c>
      <c r="M1801" s="3" t="n">
        <v>-0.7829999923706055</v>
      </c>
      <c r="N1801" s="3" t="n">
        <v>-0.7829999923706055</v>
      </c>
      <c r="O1801" s="3" t="n">
        <v>-0.7829999923706055</v>
      </c>
      <c r="P1801" s="3" t="n">
        <v>-0.7829999923706055</v>
      </c>
      <c r="Q1801" s="3" t="n">
        <v>-0.7829999923706055</v>
      </c>
      <c r="R1801" s="3" t="n">
        <v>-0.7710000276565552</v>
      </c>
      <c r="S1801" s="3" t="n">
        <v>-0.996999979019165</v>
      </c>
      <c r="T1801" s="3" t="n">
        <v>-0.7089999914169312</v>
      </c>
      <c r="U1801" s="3" t="n">
        <v>-0.8539999723434448</v>
      </c>
      <c r="V1801" s="3" t="n">
        <v>-0.6769999861717224</v>
      </c>
      <c r="W1801" s="3" t="n">
        <v>-0.5189999938011169</v>
      </c>
      <c r="X1801" s="3" t="n">
        <v>-0.9940000176429749</v>
      </c>
      <c r="Y1801" s="3" t="n">
        <v>-0.7829999923706055</v>
      </c>
      <c r="Z1801" s="3" t="n">
        <v>-0.996999979019165</v>
      </c>
      <c r="AA1801" s="3" t="n">
        <v>-0.996999979019165</v>
      </c>
      <c r="AB1801" s="3" t="n">
        <v>-0.9940000176429749</v>
      </c>
      <c r="AC1801" s="3" t="n">
        <v>-1.090999960899353</v>
      </c>
      <c r="AD1801" s="3" t="n">
        <v>-0.8539999723434448</v>
      </c>
      <c r="AE1801" s="3" t="n">
        <v>-0.8539999723434448</v>
      </c>
    </row>
    <row r="1802">
      <c r="A1802" s="3" t="inlineStr">
        <is>
          <t>QAT.distn.dec.ove.mean.6</t>
        </is>
      </c>
      <c r="B1802" s="3" t="inlineStr">
        <is>
          <t>QAT</t>
        </is>
      </c>
      <c r="C1802" s="3" t="n">
        <v>2005</v>
      </c>
      <c r="D1802" s="3" t="inlineStr">
        <is>
          <t>Overall</t>
        </is>
      </c>
      <c r="E1802" s="3" t="inlineStr">
        <is>
          <t>Deciles</t>
        </is>
      </c>
      <c r="F1802" s="3" t="inlineStr">
        <is>
          <t>mean</t>
        </is>
      </c>
      <c r="G1802" s="3" t="n">
        <v>6</v>
      </c>
      <c r="H1802" s="3" t="n">
        <v>-0.7829999923706055</v>
      </c>
      <c r="I1802" s="3" t="n">
        <v>-0.7829999923706055</v>
      </c>
      <c r="J1802" s="3" t="n">
        <v>-0.8539999723434448</v>
      </c>
      <c r="K1802" s="3" t="n">
        <v>-0.8539999723434448</v>
      </c>
      <c r="L1802" s="3" t="n">
        <v>-0.7829999923706055</v>
      </c>
      <c r="M1802" s="3" t="n">
        <v>-0.7829999923706055</v>
      </c>
      <c r="N1802" s="3" t="n">
        <v>-0.7829999923706055</v>
      </c>
      <c r="O1802" s="3" t="n">
        <v>-0.7829999923706055</v>
      </c>
      <c r="P1802" s="3" t="n">
        <v>-0.7829999923706055</v>
      </c>
      <c r="Q1802" s="3" t="n">
        <v>-0.7829999923706055</v>
      </c>
      <c r="R1802" s="3" t="n">
        <v>-0.7710000276565552</v>
      </c>
      <c r="S1802" s="3" t="n">
        <v>-0.996999979019165</v>
      </c>
      <c r="T1802" s="3" t="n">
        <v>-0.7089999914169312</v>
      </c>
      <c r="U1802" s="3" t="n">
        <v>-0.8539999723434448</v>
      </c>
      <c r="V1802" s="3" t="n">
        <v>-0.6769999861717224</v>
      </c>
      <c r="W1802" s="3" t="n">
        <v>-0.5189999938011169</v>
      </c>
      <c r="X1802" s="3" t="n">
        <v>-0.9940000176429749</v>
      </c>
      <c r="Y1802" s="3" t="n">
        <v>-0.7829999923706055</v>
      </c>
      <c r="Z1802" s="3" t="n">
        <v>-0.996999979019165</v>
      </c>
      <c r="AA1802" s="3" t="n">
        <v>-0.996999979019165</v>
      </c>
      <c r="AB1802" s="3" t="n">
        <v>-0.9940000176429749</v>
      </c>
      <c r="AC1802" s="3" t="n">
        <v>-1.090999960899353</v>
      </c>
      <c r="AD1802" s="3" t="n">
        <v>-0.8539999723434448</v>
      </c>
      <c r="AE1802" s="3" t="n">
        <v>-0.8539999723434448</v>
      </c>
    </row>
    <row r="1803">
      <c r="A1803" s="3" t="inlineStr">
        <is>
          <t>QAT.distn.dec.ove.mean.7</t>
        </is>
      </c>
      <c r="B1803" s="3" t="inlineStr">
        <is>
          <t>QAT</t>
        </is>
      </c>
      <c r="C1803" s="3" t="n">
        <v>2005</v>
      </c>
      <c r="D1803" s="3" t="inlineStr">
        <is>
          <t>Overall</t>
        </is>
      </c>
      <c r="E1803" s="3" t="inlineStr">
        <is>
          <t>Deciles</t>
        </is>
      </c>
      <c r="F1803" s="3" t="inlineStr">
        <is>
          <t>mean</t>
        </is>
      </c>
      <c r="G1803" s="3" t="n">
        <v>7</v>
      </c>
      <c r="H1803" s="3" t="n">
        <v>-0.7829999923706055</v>
      </c>
      <c r="I1803" s="3" t="n">
        <v>-0.7829999923706055</v>
      </c>
      <c r="J1803" s="3" t="n">
        <v>-0.8539999723434448</v>
      </c>
      <c r="K1803" s="3" t="n">
        <v>-0.8539999723434448</v>
      </c>
      <c r="L1803" s="3" t="n">
        <v>-0.7829999923706055</v>
      </c>
      <c r="M1803" s="3" t="n">
        <v>-0.7829999923706055</v>
      </c>
      <c r="N1803" s="3" t="n">
        <v>-0.7829999923706055</v>
      </c>
      <c r="O1803" s="3" t="n">
        <v>-0.7829999923706055</v>
      </c>
      <c r="P1803" s="3" t="n">
        <v>-0.7829999923706055</v>
      </c>
      <c r="Q1803" s="3" t="n">
        <v>-0.7829999923706055</v>
      </c>
      <c r="R1803" s="3" t="n">
        <v>-0.7710000276565552</v>
      </c>
      <c r="S1803" s="3" t="n">
        <v>-0.996999979019165</v>
      </c>
      <c r="T1803" s="3" t="n">
        <v>-0.7089999914169312</v>
      </c>
      <c r="U1803" s="3" t="n">
        <v>-0.8539999723434448</v>
      </c>
      <c r="V1803" s="3" t="n">
        <v>-0.6769999861717224</v>
      </c>
      <c r="W1803" s="3" t="n">
        <v>-0.5189999938011169</v>
      </c>
      <c r="X1803" s="3" t="n">
        <v>-0.9940000176429749</v>
      </c>
      <c r="Y1803" s="3" t="n">
        <v>-0.7829999923706055</v>
      </c>
      <c r="Z1803" s="3" t="n">
        <v>-0.996999979019165</v>
      </c>
      <c r="AA1803" s="3" t="n">
        <v>-0.996999979019165</v>
      </c>
      <c r="AB1803" s="3" t="n">
        <v>-0.9940000176429749</v>
      </c>
      <c r="AC1803" s="3" t="n">
        <v>-1.090999960899353</v>
      </c>
      <c r="AD1803" s="3" t="n">
        <v>-0.8539999723434448</v>
      </c>
      <c r="AE1803" s="3" t="n">
        <v>-0.8539999723434448</v>
      </c>
    </row>
    <row r="1804">
      <c r="A1804" s="3" t="inlineStr">
        <is>
          <t>QAT.distn.dec.ove.mean.8</t>
        </is>
      </c>
      <c r="B1804" s="3" t="inlineStr">
        <is>
          <t>QAT</t>
        </is>
      </c>
      <c r="C1804" s="3" t="n">
        <v>2005</v>
      </c>
      <c r="D1804" s="3" t="inlineStr">
        <is>
          <t>Overall</t>
        </is>
      </c>
      <c r="E1804" s="3" t="inlineStr">
        <is>
          <t>Deciles</t>
        </is>
      </c>
      <c r="F1804" s="3" t="inlineStr">
        <is>
          <t>mean</t>
        </is>
      </c>
      <c r="G1804" s="3" t="n">
        <v>8</v>
      </c>
      <c r="H1804" s="3" t="n">
        <v>-0.7833772301673889</v>
      </c>
      <c r="I1804" s="3" t="n">
        <v>-0.7833772301673889</v>
      </c>
      <c r="J1804" s="3" t="n">
        <v>-0.8563037514686584</v>
      </c>
      <c r="K1804" s="3" t="n">
        <v>-0.8563037514686584</v>
      </c>
      <c r="L1804" s="3" t="n">
        <v>-0.7833772301673889</v>
      </c>
      <c r="M1804" s="3" t="n">
        <v>-0.7833772301673889</v>
      </c>
      <c r="N1804" s="3" t="n">
        <v>-0.7833772301673889</v>
      </c>
      <c r="O1804" s="3" t="n">
        <v>-0.7833772301673889</v>
      </c>
      <c r="P1804" s="3" t="n">
        <v>-0.7833772301673889</v>
      </c>
      <c r="Q1804" s="3" t="n">
        <v>-0.7833772301673889</v>
      </c>
      <c r="R1804" s="3" t="n">
        <v>-0.7712535858154297</v>
      </c>
      <c r="S1804" s="3" t="n">
        <v>-1.006277203559875</v>
      </c>
      <c r="T1804" s="3" t="n">
        <v>-0.7090408802032471</v>
      </c>
      <c r="U1804" s="3" t="n">
        <v>-0.8563037514686584</v>
      </c>
      <c r="V1804" s="3" t="n">
        <v>-0.677699863910675</v>
      </c>
      <c r="W1804" s="3" t="n">
        <v>-0.5328981876373291</v>
      </c>
      <c r="X1804" s="3" t="n">
        <v>-1.003057360649109</v>
      </c>
      <c r="Y1804" s="3" t="n">
        <v>-0.7833772301673889</v>
      </c>
      <c r="Z1804" s="3" t="n">
        <v>-1.006277203559875</v>
      </c>
      <c r="AA1804" s="3" t="n">
        <v>-1.006277203559875</v>
      </c>
      <c r="AB1804" s="3" t="n">
        <v>-1.003057360649109</v>
      </c>
      <c r="AC1804" s="3" t="n">
        <v>-1.106559157371521</v>
      </c>
      <c r="AD1804" s="3" t="n">
        <v>-0.8563037514686584</v>
      </c>
      <c r="AE1804" s="3" t="n">
        <v>-0.8563037514686584</v>
      </c>
    </row>
    <row r="1805">
      <c r="A1805" s="3" t="inlineStr">
        <is>
          <t>QAT.distn.dec.ove.mean.9</t>
        </is>
      </c>
      <c r="B1805" s="3" t="inlineStr">
        <is>
          <t>QAT</t>
        </is>
      </c>
      <c r="C1805" s="3" t="n">
        <v>2005</v>
      </c>
      <c r="D1805" s="3" t="inlineStr">
        <is>
          <t>Overall</t>
        </is>
      </c>
      <c r="E1805" s="3" t="inlineStr">
        <is>
          <t>Deciles</t>
        </is>
      </c>
      <c r="F1805" s="3" t="inlineStr">
        <is>
          <t>mean</t>
        </is>
      </c>
      <c r="G1805" s="3" t="n">
        <v>9</v>
      </c>
      <c r="H1805" s="3" t="n">
        <v>-0.7833772301673889</v>
      </c>
      <c r="I1805" s="3" t="n">
        <v>-0.7833772301673889</v>
      </c>
      <c r="J1805" s="3" t="n">
        <v>-0.8563037514686584</v>
      </c>
      <c r="K1805" s="3" t="n">
        <v>-0.8563037514686584</v>
      </c>
      <c r="L1805" s="3" t="n">
        <v>-0.7833772301673889</v>
      </c>
      <c r="M1805" s="3" t="n">
        <v>-0.7833772301673889</v>
      </c>
      <c r="N1805" s="3" t="n">
        <v>-0.7833772301673889</v>
      </c>
      <c r="O1805" s="3" t="n">
        <v>-0.7833772301673889</v>
      </c>
      <c r="P1805" s="3" t="n">
        <v>-0.7833772301673889</v>
      </c>
      <c r="Q1805" s="3" t="n">
        <v>-0.7833772301673889</v>
      </c>
      <c r="R1805" s="3" t="n">
        <v>-0.7712535858154297</v>
      </c>
      <c r="S1805" s="3" t="n">
        <v>-1.006277203559875</v>
      </c>
      <c r="T1805" s="3" t="n">
        <v>-0.7090408802032471</v>
      </c>
      <c r="U1805" s="3" t="n">
        <v>-0.8563037514686584</v>
      </c>
      <c r="V1805" s="3" t="n">
        <v>-0.677699863910675</v>
      </c>
      <c r="W1805" s="3" t="n">
        <v>-0.5328981876373291</v>
      </c>
      <c r="X1805" s="3" t="n">
        <v>-1.003057360649109</v>
      </c>
      <c r="Y1805" s="3" t="n">
        <v>-0.7833772301673889</v>
      </c>
      <c r="Z1805" s="3" t="n">
        <v>-1.006277203559875</v>
      </c>
      <c r="AA1805" s="3" t="n">
        <v>-1.006277203559875</v>
      </c>
      <c r="AB1805" s="3" t="n">
        <v>-1.003057360649109</v>
      </c>
      <c r="AC1805" s="3" t="n">
        <v>-1.106559157371521</v>
      </c>
      <c r="AD1805" s="3" t="n">
        <v>-0.8563037514686584</v>
      </c>
      <c r="AE1805" s="3" t="n">
        <v>-0.8563037514686584</v>
      </c>
    </row>
    <row r="1806">
      <c r="A1806" s="3" t="inlineStr">
        <is>
          <t>QAT.distn.dec.ove.mean.10</t>
        </is>
      </c>
      <c r="B1806" s="3" t="inlineStr">
        <is>
          <t>QAT</t>
        </is>
      </c>
      <c r="C1806" s="3" t="n">
        <v>2005</v>
      </c>
      <c r="D1806" s="3" t="inlineStr">
        <is>
          <t>Overall</t>
        </is>
      </c>
      <c r="E1806" s="3" t="inlineStr">
        <is>
          <t>Deciles</t>
        </is>
      </c>
      <c r="F1806" s="3" t="inlineStr">
        <is>
          <t>mean</t>
        </is>
      </c>
      <c r="G1806" s="3" t="n">
        <v>10</v>
      </c>
      <c r="H1806" s="3" t="n">
        <v>-0.7833772301673889</v>
      </c>
      <c r="I1806" s="3" t="n">
        <v>-0.7833772301673889</v>
      </c>
      <c r="J1806" s="3" t="n">
        <v>-0.8563037514686584</v>
      </c>
      <c r="K1806" s="3" t="n">
        <v>-0.8563037514686584</v>
      </c>
      <c r="L1806" s="3" t="n">
        <v>-0.7833772301673889</v>
      </c>
      <c r="M1806" s="3" t="n">
        <v>-0.7833772301673889</v>
      </c>
      <c r="N1806" s="3" t="n">
        <v>-0.7833772301673889</v>
      </c>
      <c r="O1806" s="3" t="n">
        <v>-0.7833772301673889</v>
      </c>
      <c r="P1806" s="3" t="n">
        <v>-0.7833772301673889</v>
      </c>
      <c r="Q1806" s="3" t="n">
        <v>-0.7833772301673889</v>
      </c>
      <c r="R1806" s="3" t="n">
        <v>-0.7712535858154297</v>
      </c>
      <c r="S1806" s="3" t="n">
        <v>-1.006277203559875</v>
      </c>
      <c r="T1806" s="3" t="n">
        <v>-0.7090408802032471</v>
      </c>
      <c r="U1806" s="3" t="n">
        <v>-0.8563037514686584</v>
      </c>
      <c r="V1806" s="3" t="n">
        <v>-0.677699863910675</v>
      </c>
      <c r="W1806" s="3" t="n">
        <v>-0.5328981876373291</v>
      </c>
      <c r="X1806" s="3" t="n">
        <v>-1.003057360649109</v>
      </c>
      <c r="Y1806" s="3" t="n">
        <v>-0.7833772301673889</v>
      </c>
      <c r="Z1806" s="3" t="n">
        <v>-1.006277203559875</v>
      </c>
      <c r="AA1806" s="3" t="n">
        <v>-1.006277203559875</v>
      </c>
      <c r="AB1806" s="3" t="n">
        <v>-1.003057360649109</v>
      </c>
      <c r="AC1806" s="3" t="n">
        <v>-1.106559157371521</v>
      </c>
      <c r="AD1806" s="3" t="n">
        <v>-0.8563037514686584</v>
      </c>
      <c r="AE1806" s="3" t="n">
        <v>-0.8563037514686584</v>
      </c>
    </row>
    <row r="1807">
      <c r="A1807" s="3" t="inlineStr">
        <is>
          <t>QAT.distn.bkt.ove.mean.9999</t>
        </is>
      </c>
      <c r="B1807" s="3" t="inlineStr">
        <is>
          <t>QAT</t>
        </is>
      </c>
      <c r="C1807" s="3" t="n">
        <v>2005</v>
      </c>
      <c r="D1807" s="3" t="inlineStr">
        <is>
          <t>Overall</t>
        </is>
      </c>
      <c r="E1807" s="3" t="inlineStr">
        <is>
          <t>Basket</t>
        </is>
      </c>
      <c r="F1807" s="3" t="inlineStr">
        <is>
          <t>mean</t>
        </is>
      </c>
      <c r="G1807" s="3" t="n">
        <v>9999</v>
      </c>
      <c r="H1807" s="3" t="n">
        <v>-0.7849878668785095</v>
      </c>
      <c r="I1807" s="3" t="n">
        <v>-0.7849878668785095</v>
      </c>
      <c r="J1807" s="3" t="n">
        <v>-0.8676995038986206</v>
      </c>
      <c r="K1807" s="3" t="n">
        <v>-0.8676995038986206</v>
      </c>
      <c r="L1807" s="3" t="n">
        <v>-0.7849878668785095</v>
      </c>
      <c r="M1807" s="3" t="n">
        <v>-0.7849878668785095</v>
      </c>
      <c r="N1807" s="3" t="n">
        <v>-0.7849878668785095</v>
      </c>
      <c r="O1807" s="3" t="n">
        <v>-0.7849878668785095</v>
      </c>
      <c r="P1807" s="3" t="n">
        <v>-0.7849878668785095</v>
      </c>
      <c r="Q1807" s="3" t="n">
        <v>-0.7849878668785095</v>
      </c>
      <c r="R1807" s="3" t="n">
        <v>-0.7721186876296997</v>
      </c>
      <c r="S1807" s="3" t="n">
        <v>-1.139818549156189</v>
      </c>
      <c r="T1807" s="3" t="n">
        <v>-0.7094486355781555</v>
      </c>
      <c r="U1807" s="3" t="n">
        <v>-0.8676995038986206</v>
      </c>
      <c r="V1807" s="3" t="n">
        <v>-0.6792964339256287</v>
      </c>
      <c r="W1807" s="3" t="n">
        <v>-0.5524728894233704</v>
      </c>
      <c r="X1807" s="3" t="n">
        <v>-1.121055364608765</v>
      </c>
      <c r="Y1807" s="3" t="n">
        <v>-0.7849878668785095</v>
      </c>
      <c r="Z1807" s="3" t="n">
        <v>-1.139818549156189</v>
      </c>
      <c r="AA1807" s="3" t="n">
        <v>-1.139818549156189</v>
      </c>
      <c r="AB1807" s="3" t="n">
        <v>-1.121055364608765</v>
      </c>
      <c r="AC1807" s="3" t="n">
        <v>-1.446116089820862</v>
      </c>
      <c r="AD1807" s="3" t="n">
        <v>-0.8676995038986206</v>
      </c>
      <c r="AE1807" s="3" t="n">
        <v>-0.8676995038986206</v>
      </c>
    </row>
    <row r="1808">
      <c r="A1808" s="3" t="inlineStr">
        <is>
          <t>ROU.distn.dec.ove.mean.1</t>
        </is>
      </c>
      <c r="B1808" s="3" t="inlineStr">
        <is>
          <t>ROU</t>
        </is>
      </c>
      <c r="C1808" s="3" t="n">
        <v>2005</v>
      </c>
      <c r="D1808" s="3" t="inlineStr">
        <is>
          <t>Overall</t>
        </is>
      </c>
      <c r="E1808" s="3" t="inlineStr">
        <is>
          <t>Deciles</t>
        </is>
      </c>
      <c r="F1808" s="3" t="inlineStr">
        <is>
          <t>mean</t>
        </is>
      </c>
      <c r="G1808" s="3" t="n">
        <v>1</v>
      </c>
      <c r="H1808" s="3" t="n">
        <v>-0.7882409691810608</v>
      </c>
      <c r="I1808" s="3" t="n">
        <v>-0.7882409691810608</v>
      </c>
      <c r="J1808" s="3" t="n">
        <v>-0.8921075463294983</v>
      </c>
      <c r="K1808" s="3" t="n">
        <v>-0.8921075463294983</v>
      </c>
      <c r="L1808" s="3" t="n">
        <v>-0.7882409691810608</v>
      </c>
      <c r="M1808" s="3" t="n">
        <v>-0.7882409691810608</v>
      </c>
      <c r="N1808" s="3" t="n">
        <v>-0.7882409691810608</v>
      </c>
      <c r="O1808" s="3" t="n">
        <v>-0.7882409691810608</v>
      </c>
      <c r="P1808" s="3" t="n">
        <v>-0.7882409691810608</v>
      </c>
      <c r="Q1808" s="3" t="n">
        <v>-0.7882409691810608</v>
      </c>
      <c r="R1808" s="3" t="n">
        <v>-0.7734707593917847</v>
      </c>
      <c r="S1808" s="3" t="n">
        <v>-1.428548097610474</v>
      </c>
      <c r="T1808" s="3" t="n">
        <v>-0.7094525694847107</v>
      </c>
      <c r="U1808" s="3" t="n">
        <v>-0.8921075463294983</v>
      </c>
      <c r="V1808" s="3" t="n">
        <v>-0.6829447150230408</v>
      </c>
      <c r="W1808" s="3" t="n">
        <v>-0.594102144241333</v>
      </c>
      <c r="X1808" s="3" t="n">
        <v>-1.3758704662323</v>
      </c>
      <c r="Y1808" s="3" t="n">
        <v>-0.7882409691810608</v>
      </c>
      <c r="Z1808" s="3" t="n">
        <v>-1.428548097610474</v>
      </c>
      <c r="AA1808" s="3" t="n">
        <v>-1.428548097610474</v>
      </c>
      <c r="AB1808" s="3" t="n">
        <v>-1.3758704662323</v>
      </c>
      <c r="AC1808" s="3" t="n">
        <v>-2.170120000839233</v>
      </c>
      <c r="AD1808" s="3" t="n">
        <v>-0.8921075463294983</v>
      </c>
      <c r="AE1808" s="3" t="n">
        <v>-0.8921075463294983</v>
      </c>
    </row>
    <row r="1809">
      <c r="A1809" s="3" t="inlineStr">
        <is>
          <t>ROU.distn.dec.ove.mean.2</t>
        </is>
      </c>
      <c r="B1809" s="3" t="inlineStr">
        <is>
          <t>ROU</t>
        </is>
      </c>
      <c r="C1809" s="3" t="n">
        <v>2005</v>
      </c>
      <c r="D1809" s="3" t="inlineStr">
        <is>
          <t>Overall</t>
        </is>
      </c>
      <c r="E1809" s="3" t="inlineStr">
        <is>
          <t>Deciles</t>
        </is>
      </c>
      <c r="F1809" s="3" t="inlineStr">
        <is>
          <t>mean</t>
        </is>
      </c>
      <c r="G1809" s="3" t="n">
        <v>2</v>
      </c>
      <c r="H1809" s="3" t="n">
        <v>-0.7882409691810608</v>
      </c>
      <c r="I1809" s="3" t="n">
        <v>-0.7882409691810608</v>
      </c>
      <c r="J1809" s="3" t="n">
        <v>-0.8921075463294983</v>
      </c>
      <c r="K1809" s="3" t="n">
        <v>-0.8921075463294983</v>
      </c>
      <c r="L1809" s="3" t="n">
        <v>-0.7882409691810608</v>
      </c>
      <c r="M1809" s="3" t="n">
        <v>-0.7882409691810608</v>
      </c>
      <c r="N1809" s="3" t="n">
        <v>-0.7882409691810608</v>
      </c>
      <c r="O1809" s="3" t="n">
        <v>-0.7882409691810608</v>
      </c>
      <c r="P1809" s="3" t="n">
        <v>-0.7882409691810608</v>
      </c>
      <c r="Q1809" s="3" t="n">
        <v>-0.7882409691810608</v>
      </c>
      <c r="R1809" s="3" t="n">
        <v>-0.7734707593917847</v>
      </c>
      <c r="S1809" s="3" t="n">
        <v>-1.428548097610474</v>
      </c>
      <c r="T1809" s="3" t="n">
        <v>-0.7094525694847107</v>
      </c>
      <c r="U1809" s="3" t="n">
        <v>-0.8921075463294983</v>
      </c>
      <c r="V1809" s="3" t="n">
        <v>-0.6829447150230408</v>
      </c>
      <c r="W1809" s="3" t="n">
        <v>-0.594102144241333</v>
      </c>
      <c r="X1809" s="3" t="n">
        <v>-1.3758704662323</v>
      </c>
      <c r="Y1809" s="3" t="n">
        <v>-0.7882409691810608</v>
      </c>
      <c r="Z1809" s="3" t="n">
        <v>-1.428548097610474</v>
      </c>
      <c r="AA1809" s="3" t="n">
        <v>-1.428548097610474</v>
      </c>
      <c r="AB1809" s="3" t="n">
        <v>-1.3758704662323</v>
      </c>
      <c r="AC1809" s="3" t="n">
        <v>-2.170120000839233</v>
      </c>
      <c r="AD1809" s="3" t="n">
        <v>-0.8921075463294983</v>
      </c>
      <c r="AE1809" s="3" t="n">
        <v>-0.8921075463294983</v>
      </c>
    </row>
    <row r="1810">
      <c r="A1810" s="3" t="inlineStr">
        <is>
          <t>ROU.distn.dec.ove.mean.3</t>
        </is>
      </c>
      <c r="B1810" s="3" t="inlineStr">
        <is>
          <t>ROU</t>
        </is>
      </c>
      <c r="C1810" s="3" t="n">
        <v>2005</v>
      </c>
      <c r="D1810" s="3" t="inlineStr">
        <is>
          <t>Overall</t>
        </is>
      </c>
      <c r="E1810" s="3" t="inlineStr">
        <is>
          <t>Deciles</t>
        </is>
      </c>
      <c r="F1810" s="3" t="inlineStr">
        <is>
          <t>mean</t>
        </is>
      </c>
      <c r="G1810" s="3" t="n">
        <v>3</v>
      </c>
      <c r="H1810" s="3" t="n">
        <v>-0.7882409691810608</v>
      </c>
      <c r="I1810" s="3" t="n">
        <v>-0.7882409691810608</v>
      </c>
      <c r="J1810" s="3" t="n">
        <v>-0.8921075463294983</v>
      </c>
      <c r="K1810" s="3" t="n">
        <v>-0.8921075463294983</v>
      </c>
      <c r="L1810" s="3" t="n">
        <v>-0.7882409691810608</v>
      </c>
      <c r="M1810" s="3" t="n">
        <v>-0.7882409691810608</v>
      </c>
      <c r="N1810" s="3" t="n">
        <v>-0.7882409691810608</v>
      </c>
      <c r="O1810" s="3" t="n">
        <v>-0.7882409691810608</v>
      </c>
      <c r="P1810" s="3" t="n">
        <v>-0.7882409691810608</v>
      </c>
      <c r="Q1810" s="3" t="n">
        <v>-0.7882409691810608</v>
      </c>
      <c r="R1810" s="3" t="n">
        <v>-0.7734707593917847</v>
      </c>
      <c r="S1810" s="3" t="n">
        <v>-1.428548097610474</v>
      </c>
      <c r="T1810" s="3" t="n">
        <v>-0.7094525694847107</v>
      </c>
      <c r="U1810" s="3" t="n">
        <v>-0.8921075463294983</v>
      </c>
      <c r="V1810" s="3" t="n">
        <v>-0.6829447150230408</v>
      </c>
      <c r="W1810" s="3" t="n">
        <v>-0.594102144241333</v>
      </c>
      <c r="X1810" s="3" t="n">
        <v>-1.3758704662323</v>
      </c>
      <c r="Y1810" s="3" t="n">
        <v>-0.7882409691810608</v>
      </c>
      <c r="Z1810" s="3" t="n">
        <v>-1.428548097610474</v>
      </c>
      <c r="AA1810" s="3" t="n">
        <v>-1.428548097610474</v>
      </c>
      <c r="AB1810" s="3" t="n">
        <v>-1.3758704662323</v>
      </c>
      <c r="AC1810" s="3" t="n">
        <v>-2.170120000839233</v>
      </c>
      <c r="AD1810" s="3" t="n">
        <v>-0.8921075463294983</v>
      </c>
      <c r="AE1810" s="3" t="n">
        <v>-0.8921075463294983</v>
      </c>
    </row>
    <row r="1811">
      <c r="A1811" s="3" t="inlineStr">
        <is>
          <t>ROU.distn.dec.ove.mean.4</t>
        </is>
      </c>
      <c r="B1811" s="3" t="inlineStr">
        <is>
          <t>ROU</t>
        </is>
      </c>
      <c r="C1811" s="3" t="n">
        <v>2005</v>
      </c>
      <c r="D1811" s="3" t="inlineStr">
        <is>
          <t>Overall</t>
        </is>
      </c>
      <c r="E1811" s="3" t="inlineStr">
        <is>
          <t>Deciles</t>
        </is>
      </c>
      <c r="F1811" s="3" t="inlineStr">
        <is>
          <t>mean</t>
        </is>
      </c>
      <c r="G1811" s="3" t="n">
        <v>4</v>
      </c>
      <c r="H1811" s="3" t="n">
        <v>-0.7820000052452087</v>
      </c>
      <c r="I1811" s="3" t="n">
        <v>-0.7820000052452087</v>
      </c>
      <c r="J1811" s="3" t="n">
        <v>-0.8489999771118164</v>
      </c>
      <c r="K1811" s="3" t="n">
        <v>-0.8489999771118164</v>
      </c>
      <c r="L1811" s="3" t="n">
        <v>-0.7820000052452087</v>
      </c>
      <c r="M1811" s="3" t="n">
        <v>-0.7820000052452087</v>
      </c>
      <c r="N1811" s="3" t="n">
        <v>-0.7820000052452087</v>
      </c>
      <c r="O1811" s="3" t="n">
        <v>-0.7820000052452087</v>
      </c>
      <c r="P1811" s="3" t="n">
        <v>-0.7820000052452087</v>
      </c>
      <c r="Q1811" s="3" t="n">
        <v>-0.7820000052452087</v>
      </c>
      <c r="R1811" s="3" t="n">
        <v>-0.7699999809265137</v>
      </c>
      <c r="S1811" s="3" t="n">
        <v>-0.9729999899864197</v>
      </c>
      <c r="T1811" s="3" t="n">
        <v>-0.7080000042915344</v>
      </c>
      <c r="U1811" s="3" t="n">
        <v>-0.8489999771118164</v>
      </c>
      <c r="V1811" s="3" t="n">
        <v>-0.6759999990463257</v>
      </c>
      <c r="W1811" s="3" t="n">
        <v>-0.5</v>
      </c>
      <c r="X1811" s="3" t="n">
        <v>-0.9710000157356262</v>
      </c>
      <c r="Y1811" s="3" t="n">
        <v>-0.7820000052452087</v>
      </c>
      <c r="Z1811" s="3" t="n">
        <v>-0.9729999899864197</v>
      </c>
      <c r="AA1811" s="3" t="n">
        <v>-0.9729999899864197</v>
      </c>
      <c r="AB1811" s="3" t="n">
        <v>-0.9710000157356262</v>
      </c>
      <c r="AC1811" s="3" t="n">
        <v>-1.047999978065491</v>
      </c>
      <c r="AD1811" s="3" t="n">
        <v>-0.8489999771118164</v>
      </c>
      <c r="AE1811" s="3" t="n">
        <v>-0.8489999771118164</v>
      </c>
    </row>
    <row r="1812">
      <c r="A1812" s="3" t="inlineStr">
        <is>
          <t>ROU.distn.dec.ove.mean.5</t>
        </is>
      </c>
      <c r="B1812" s="3" t="inlineStr">
        <is>
          <t>ROU</t>
        </is>
      </c>
      <c r="C1812" s="3" t="n">
        <v>2005</v>
      </c>
      <c r="D1812" s="3" t="inlineStr">
        <is>
          <t>Overall</t>
        </is>
      </c>
      <c r="E1812" s="3" t="inlineStr">
        <is>
          <t>Deciles</t>
        </is>
      </c>
      <c r="F1812" s="3" t="inlineStr">
        <is>
          <t>mean</t>
        </is>
      </c>
      <c r="G1812" s="3" t="n">
        <v>5</v>
      </c>
      <c r="H1812" s="3" t="n">
        <v>-0.7820000052452087</v>
      </c>
      <c r="I1812" s="3" t="n">
        <v>-0.7820000052452087</v>
      </c>
      <c r="J1812" s="3" t="n">
        <v>-0.8489999771118164</v>
      </c>
      <c r="K1812" s="3" t="n">
        <v>-0.8489999771118164</v>
      </c>
      <c r="L1812" s="3" t="n">
        <v>-0.7820000052452087</v>
      </c>
      <c r="M1812" s="3" t="n">
        <v>-0.7820000052452087</v>
      </c>
      <c r="N1812" s="3" t="n">
        <v>-0.7820000052452087</v>
      </c>
      <c r="O1812" s="3" t="n">
        <v>-0.7820000052452087</v>
      </c>
      <c r="P1812" s="3" t="n">
        <v>-0.7820000052452087</v>
      </c>
      <c r="Q1812" s="3" t="n">
        <v>-0.7820000052452087</v>
      </c>
      <c r="R1812" s="3" t="n">
        <v>-0.7699999809265137</v>
      </c>
      <c r="S1812" s="3" t="n">
        <v>-0.9729999899864197</v>
      </c>
      <c r="T1812" s="3" t="n">
        <v>-0.7080000042915344</v>
      </c>
      <c r="U1812" s="3" t="n">
        <v>-0.8489999771118164</v>
      </c>
      <c r="V1812" s="3" t="n">
        <v>-0.6759999990463257</v>
      </c>
      <c r="W1812" s="3" t="n">
        <v>-0.5</v>
      </c>
      <c r="X1812" s="3" t="n">
        <v>-0.9710000157356262</v>
      </c>
      <c r="Y1812" s="3" t="n">
        <v>-0.7820000052452087</v>
      </c>
      <c r="Z1812" s="3" t="n">
        <v>-0.9729999899864197</v>
      </c>
      <c r="AA1812" s="3" t="n">
        <v>-0.9729999899864197</v>
      </c>
      <c r="AB1812" s="3" t="n">
        <v>-0.9710000157356262</v>
      </c>
      <c r="AC1812" s="3" t="n">
        <v>-1.047999978065491</v>
      </c>
      <c r="AD1812" s="3" t="n">
        <v>-0.8489999771118164</v>
      </c>
      <c r="AE1812" s="3" t="n">
        <v>-0.8489999771118164</v>
      </c>
    </row>
    <row r="1813">
      <c r="A1813" s="3" t="inlineStr">
        <is>
          <t>ROU.distn.dec.ove.mean.6</t>
        </is>
      </c>
      <c r="B1813" s="3" t="inlineStr">
        <is>
          <t>ROU</t>
        </is>
      </c>
      <c r="C1813" s="3" t="n">
        <v>2005</v>
      </c>
      <c r="D1813" s="3" t="inlineStr">
        <is>
          <t>Overall</t>
        </is>
      </c>
      <c r="E1813" s="3" t="inlineStr">
        <is>
          <t>Deciles</t>
        </is>
      </c>
      <c r="F1813" s="3" t="inlineStr">
        <is>
          <t>mean</t>
        </is>
      </c>
      <c r="G1813" s="3" t="n">
        <v>6</v>
      </c>
      <c r="H1813" s="3" t="n">
        <v>-0.7820000052452087</v>
      </c>
      <c r="I1813" s="3" t="n">
        <v>-0.7820000052452087</v>
      </c>
      <c r="J1813" s="3" t="n">
        <v>-0.8489999771118164</v>
      </c>
      <c r="K1813" s="3" t="n">
        <v>-0.8489999771118164</v>
      </c>
      <c r="L1813" s="3" t="n">
        <v>-0.7820000052452087</v>
      </c>
      <c r="M1813" s="3" t="n">
        <v>-0.7820000052452087</v>
      </c>
      <c r="N1813" s="3" t="n">
        <v>-0.7820000052452087</v>
      </c>
      <c r="O1813" s="3" t="n">
        <v>-0.7820000052452087</v>
      </c>
      <c r="P1813" s="3" t="n">
        <v>-0.7820000052452087</v>
      </c>
      <c r="Q1813" s="3" t="n">
        <v>-0.7820000052452087</v>
      </c>
      <c r="R1813" s="3" t="n">
        <v>-0.7699999809265137</v>
      </c>
      <c r="S1813" s="3" t="n">
        <v>-0.9729999899864197</v>
      </c>
      <c r="T1813" s="3" t="n">
        <v>-0.7080000042915344</v>
      </c>
      <c r="U1813" s="3" t="n">
        <v>-0.8489999771118164</v>
      </c>
      <c r="V1813" s="3" t="n">
        <v>-0.6759999990463257</v>
      </c>
      <c r="W1813" s="3" t="n">
        <v>-0.5</v>
      </c>
      <c r="X1813" s="3" t="n">
        <v>-0.9710000157356262</v>
      </c>
      <c r="Y1813" s="3" t="n">
        <v>-0.7820000052452087</v>
      </c>
      <c r="Z1813" s="3" t="n">
        <v>-0.9729999899864197</v>
      </c>
      <c r="AA1813" s="3" t="n">
        <v>-0.9729999899864197</v>
      </c>
      <c r="AB1813" s="3" t="n">
        <v>-0.9710000157356262</v>
      </c>
      <c r="AC1813" s="3" t="n">
        <v>-1.047999978065491</v>
      </c>
      <c r="AD1813" s="3" t="n">
        <v>-0.8489999771118164</v>
      </c>
      <c r="AE1813" s="3" t="n">
        <v>-0.8489999771118164</v>
      </c>
    </row>
    <row r="1814">
      <c r="A1814" s="3" t="inlineStr">
        <is>
          <t>ROU.distn.dec.ove.mean.7</t>
        </is>
      </c>
      <c r="B1814" s="3" t="inlineStr">
        <is>
          <t>ROU</t>
        </is>
      </c>
      <c r="C1814" s="3" t="n">
        <v>2005</v>
      </c>
      <c r="D1814" s="3" t="inlineStr">
        <is>
          <t>Overall</t>
        </is>
      </c>
      <c r="E1814" s="3" t="inlineStr">
        <is>
          <t>Deciles</t>
        </is>
      </c>
      <c r="F1814" s="3" t="inlineStr">
        <is>
          <t>mean</t>
        </is>
      </c>
      <c r="G1814" s="3" t="n">
        <v>7</v>
      </c>
      <c r="H1814" s="3" t="n">
        <v>-0.7820000052452087</v>
      </c>
      <c r="I1814" s="3" t="n">
        <v>-0.7820000052452087</v>
      </c>
      <c r="J1814" s="3" t="n">
        <v>-0.8489999771118164</v>
      </c>
      <c r="K1814" s="3" t="n">
        <v>-0.8489999771118164</v>
      </c>
      <c r="L1814" s="3" t="n">
        <v>-0.7820000052452087</v>
      </c>
      <c r="M1814" s="3" t="n">
        <v>-0.7820000052452087</v>
      </c>
      <c r="N1814" s="3" t="n">
        <v>-0.7820000052452087</v>
      </c>
      <c r="O1814" s="3" t="n">
        <v>-0.7820000052452087</v>
      </c>
      <c r="P1814" s="3" t="n">
        <v>-0.7820000052452087</v>
      </c>
      <c r="Q1814" s="3" t="n">
        <v>-0.7820000052452087</v>
      </c>
      <c r="R1814" s="3" t="n">
        <v>-0.7699999809265137</v>
      </c>
      <c r="S1814" s="3" t="n">
        <v>-0.9729999899864197</v>
      </c>
      <c r="T1814" s="3" t="n">
        <v>-0.7080000042915344</v>
      </c>
      <c r="U1814" s="3" t="n">
        <v>-0.8489999771118164</v>
      </c>
      <c r="V1814" s="3" t="n">
        <v>-0.6759999990463257</v>
      </c>
      <c r="W1814" s="3" t="n">
        <v>-0.5</v>
      </c>
      <c r="X1814" s="3" t="n">
        <v>-0.9710000157356262</v>
      </c>
      <c r="Y1814" s="3" t="n">
        <v>-0.7820000052452087</v>
      </c>
      <c r="Z1814" s="3" t="n">
        <v>-0.9729999899864197</v>
      </c>
      <c r="AA1814" s="3" t="n">
        <v>-0.9729999899864197</v>
      </c>
      <c r="AB1814" s="3" t="n">
        <v>-0.9710000157356262</v>
      </c>
      <c r="AC1814" s="3" t="n">
        <v>-1.047999978065491</v>
      </c>
      <c r="AD1814" s="3" t="n">
        <v>-0.8489999771118164</v>
      </c>
      <c r="AE1814" s="3" t="n">
        <v>-0.8489999771118164</v>
      </c>
    </row>
    <row r="1815">
      <c r="A1815" s="3" t="inlineStr">
        <is>
          <t>ROU.distn.dec.ove.mean.8</t>
        </is>
      </c>
      <c r="B1815" s="3" t="inlineStr">
        <is>
          <t>ROU</t>
        </is>
      </c>
      <c r="C1815" s="3" t="n">
        <v>2005</v>
      </c>
      <c r="D1815" s="3" t="inlineStr">
        <is>
          <t>Overall</t>
        </is>
      </c>
      <c r="E1815" s="3" t="inlineStr">
        <is>
          <t>Deciles</t>
        </is>
      </c>
      <c r="F1815" s="3" t="inlineStr">
        <is>
          <t>mean</t>
        </is>
      </c>
      <c r="G1815" s="3" t="n">
        <v>8</v>
      </c>
      <c r="H1815" s="3" t="n">
        <v>-0.782376766204834</v>
      </c>
      <c r="I1815" s="3" t="n">
        <v>-0.782376766204834</v>
      </c>
      <c r="J1815" s="3" t="n">
        <v>-0.851290225982666</v>
      </c>
      <c r="K1815" s="3" t="n">
        <v>-0.851290225982666</v>
      </c>
      <c r="L1815" s="3" t="n">
        <v>-0.782376766204834</v>
      </c>
      <c r="M1815" s="3" t="n">
        <v>-0.782376766204834</v>
      </c>
      <c r="N1815" s="3" t="n">
        <v>-0.782376766204834</v>
      </c>
      <c r="O1815" s="3" t="n">
        <v>-0.782376766204834</v>
      </c>
      <c r="P1815" s="3" t="n">
        <v>-0.782376766204834</v>
      </c>
      <c r="Q1815" s="3" t="n">
        <v>-0.782376766204834</v>
      </c>
      <c r="R1815" s="3" t="n">
        <v>-0.7702532410621643</v>
      </c>
      <c r="S1815" s="3" t="n">
        <v>-0.9820538759231567</v>
      </c>
      <c r="T1815" s="3" t="n">
        <v>-0.7080408334732056</v>
      </c>
      <c r="U1815" s="3" t="n">
        <v>-0.851290225982666</v>
      </c>
      <c r="V1815" s="3" t="n">
        <v>-0.6766988039016724</v>
      </c>
      <c r="W1815" s="3" t="n">
        <v>-0.5133894085884094</v>
      </c>
      <c r="X1815" s="3" t="n">
        <v>-0.9798477292060852</v>
      </c>
      <c r="Y1815" s="3" t="n">
        <v>-0.782376766204834</v>
      </c>
      <c r="Z1815" s="3" t="n">
        <v>-0.9820538759231567</v>
      </c>
      <c r="AA1815" s="3" t="n">
        <v>-0.9820538759231567</v>
      </c>
      <c r="AB1815" s="3" t="n">
        <v>-0.9798477292060852</v>
      </c>
      <c r="AC1815" s="3" t="n">
        <v>-1.06294584274292</v>
      </c>
      <c r="AD1815" s="3" t="n">
        <v>-0.851290225982666</v>
      </c>
      <c r="AE1815" s="3" t="n">
        <v>-0.851290225982666</v>
      </c>
    </row>
    <row r="1816">
      <c r="A1816" s="3" t="inlineStr">
        <is>
          <t>ROU.distn.dec.ove.mean.9</t>
        </is>
      </c>
      <c r="B1816" s="3" t="inlineStr">
        <is>
          <t>ROU</t>
        </is>
      </c>
      <c r="C1816" s="3" t="n">
        <v>2005</v>
      </c>
      <c r="D1816" s="3" t="inlineStr">
        <is>
          <t>Overall</t>
        </is>
      </c>
      <c r="E1816" s="3" t="inlineStr">
        <is>
          <t>Deciles</t>
        </is>
      </c>
      <c r="F1816" s="3" t="inlineStr">
        <is>
          <t>mean</t>
        </is>
      </c>
      <c r="G1816" s="3" t="n">
        <v>9</v>
      </c>
      <c r="H1816" s="3" t="n">
        <v>-0.782376766204834</v>
      </c>
      <c r="I1816" s="3" t="n">
        <v>-0.782376766204834</v>
      </c>
      <c r="J1816" s="3" t="n">
        <v>-0.851290225982666</v>
      </c>
      <c r="K1816" s="3" t="n">
        <v>-0.851290225982666</v>
      </c>
      <c r="L1816" s="3" t="n">
        <v>-0.782376766204834</v>
      </c>
      <c r="M1816" s="3" t="n">
        <v>-0.782376766204834</v>
      </c>
      <c r="N1816" s="3" t="n">
        <v>-0.782376766204834</v>
      </c>
      <c r="O1816" s="3" t="n">
        <v>-0.782376766204834</v>
      </c>
      <c r="P1816" s="3" t="n">
        <v>-0.782376766204834</v>
      </c>
      <c r="Q1816" s="3" t="n">
        <v>-0.782376766204834</v>
      </c>
      <c r="R1816" s="3" t="n">
        <v>-0.7702532410621643</v>
      </c>
      <c r="S1816" s="3" t="n">
        <v>-0.9820538759231567</v>
      </c>
      <c r="T1816" s="3" t="n">
        <v>-0.7080408334732056</v>
      </c>
      <c r="U1816" s="3" t="n">
        <v>-0.851290225982666</v>
      </c>
      <c r="V1816" s="3" t="n">
        <v>-0.6766988039016724</v>
      </c>
      <c r="W1816" s="3" t="n">
        <v>-0.5133894085884094</v>
      </c>
      <c r="X1816" s="3" t="n">
        <v>-0.9798477292060852</v>
      </c>
      <c r="Y1816" s="3" t="n">
        <v>-0.782376766204834</v>
      </c>
      <c r="Z1816" s="3" t="n">
        <v>-0.9820538759231567</v>
      </c>
      <c r="AA1816" s="3" t="n">
        <v>-0.9820538759231567</v>
      </c>
      <c r="AB1816" s="3" t="n">
        <v>-0.9798477292060852</v>
      </c>
      <c r="AC1816" s="3" t="n">
        <v>-1.06294584274292</v>
      </c>
      <c r="AD1816" s="3" t="n">
        <v>-0.851290225982666</v>
      </c>
      <c r="AE1816" s="3" t="n">
        <v>-0.851290225982666</v>
      </c>
    </row>
    <row r="1817">
      <c r="A1817" s="3" t="inlineStr">
        <is>
          <t>ROU.distn.dec.ove.mean.10</t>
        </is>
      </c>
      <c r="B1817" s="3" t="inlineStr">
        <is>
          <t>ROU</t>
        </is>
      </c>
      <c r="C1817" s="3" t="n">
        <v>2005</v>
      </c>
      <c r="D1817" s="3" t="inlineStr">
        <is>
          <t>Overall</t>
        </is>
      </c>
      <c r="E1817" s="3" t="inlineStr">
        <is>
          <t>Deciles</t>
        </is>
      </c>
      <c r="F1817" s="3" t="inlineStr">
        <is>
          <t>mean</t>
        </is>
      </c>
      <c r="G1817" s="3" t="n">
        <v>10</v>
      </c>
      <c r="H1817" s="3" t="n">
        <v>-0.782376766204834</v>
      </c>
      <c r="I1817" s="3" t="n">
        <v>-0.782376766204834</v>
      </c>
      <c r="J1817" s="3" t="n">
        <v>-0.851290225982666</v>
      </c>
      <c r="K1817" s="3" t="n">
        <v>-0.851290225982666</v>
      </c>
      <c r="L1817" s="3" t="n">
        <v>-0.782376766204834</v>
      </c>
      <c r="M1817" s="3" t="n">
        <v>-0.782376766204834</v>
      </c>
      <c r="N1817" s="3" t="n">
        <v>-0.782376766204834</v>
      </c>
      <c r="O1817" s="3" t="n">
        <v>-0.782376766204834</v>
      </c>
      <c r="P1817" s="3" t="n">
        <v>-0.782376766204834</v>
      </c>
      <c r="Q1817" s="3" t="n">
        <v>-0.782376766204834</v>
      </c>
      <c r="R1817" s="3" t="n">
        <v>-0.7702532410621643</v>
      </c>
      <c r="S1817" s="3" t="n">
        <v>-0.9820538759231567</v>
      </c>
      <c r="T1817" s="3" t="n">
        <v>-0.7080408334732056</v>
      </c>
      <c r="U1817" s="3" t="n">
        <v>-0.851290225982666</v>
      </c>
      <c r="V1817" s="3" t="n">
        <v>-0.6766988039016724</v>
      </c>
      <c r="W1817" s="3" t="n">
        <v>-0.5133894085884094</v>
      </c>
      <c r="X1817" s="3" t="n">
        <v>-0.9798477292060852</v>
      </c>
      <c r="Y1817" s="3" t="n">
        <v>-0.782376766204834</v>
      </c>
      <c r="Z1817" s="3" t="n">
        <v>-0.9820538759231567</v>
      </c>
      <c r="AA1817" s="3" t="n">
        <v>-0.9820538759231567</v>
      </c>
      <c r="AB1817" s="3" t="n">
        <v>-0.9798477292060852</v>
      </c>
      <c r="AC1817" s="3" t="n">
        <v>-1.06294584274292</v>
      </c>
      <c r="AD1817" s="3" t="n">
        <v>-0.851290225982666</v>
      </c>
      <c r="AE1817" s="3" t="n">
        <v>-0.851290225982666</v>
      </c>
    </row>
    <row r="1818">
      <c r="A1818" s="3" t="inlineStr">
        <is>
          <t>ROU.distn.bkt.ove.mean.9999</t>
        </is>
      </c>
      <c r="B1818" s="3" t="inlineStr">
        <is>
          <t>ROU</t>
        </is>
      </c>
      <c r="C1818" s="3" t="n">
        <v>2005</v>
      </c>
      <c r="D1818" s="3" t="inlineStr">
        <is>
          <t>Overall</t>
        </is>
      </c>
      <c r="E1818" s="3" t="inlineStr">
        <is>
          <t>Basket</t>
        </is>
      </c>
      <c r="F1818" s="3" t="inlineStr">
        <is>
          <t>mean</t>
        </is>
      </c>
      <c r="G1818" s="3" t="n">
        <v>9999</v>
      </c>
      <c r="H1818" s="3" t="n">
        <v>-0.7839853167533875</v>
      </c>
      <c r="I1818" s="3" t="n">
        <v>-0.7839853167533875</v>
      </c>
      <c r="J1818" s="3" t="n">
        <v>-0.8626193404197693</v>
      </c>
      <c r="K1818" s="3" t="n">
        <v>-0.8626193404197693</v>
      </c>
      <c r="L1818" s="3" t="n">
        <v>-0.7839853167533875</v>
      </c>
      <c r="M1818" s="3" t="n">
        <v>-0.7839853167533875</v>
      </c>
      <c r="N1818" s="3" t="n">
        <v>-0.7839853167533875</v>
      </c>
      <c r="O1818" s="3" t="n">
        <v>-0.7839853167533875</v>
      </c>
      <c r="P1818" s="3" t="n">
        <v>-0.7839853167533875</v>
      </c>
      <c r="Q1818" s="3" t="n">
        <v>-0.7839853167533875</v>
      </c>
      <c r="R1818" s="3" t="n">
        <v>-0.7711172103881836</v>
      </c>
      <c r="S1818" s="3" t="n">
        <v>-1.112380623817444</v>
      </c>
      <c r="T1818" s="3" t="n">
        <v>-0.708448052406311</v>
      </c>
      <c r="U1818" s="3" t="n">
        <v>-0.8626193404197693</v>
      </c>
      <c r="V1818" s="3" t="n">
        <v>-0.6782930493354797</v>
      </c>
      <c r="W1818" s="3" t="n">
        <v>-0.5322474837303162</v>
      </c>
      <c r="X1818" s="3" t="n">
        <v>-1.095115423202515</v>
      </c>
      <c r="Y1818" s="3" t="n">
        <v>-0.7839853167533875</v>
      </c>
      <c r="Z1818" s="3" t="n">
        <v>-1.112380623817444</v>
      </c>
      <c r="AA1818" s="3" t="n">
        <v>-1.112380623817444</v>
      </c>
      <c r="AB1818" s="3" t="n">
        <v>-1.095115423202515</v>
      </c>
      <c r="AC1818" s="3" t="n">
        <v>-1.389119744300842</v>
      </c>
      <c r="AD1818" s="3" t="n">
        <v>-0.8626193404197693</v>
      </c>
      <c r="AE1818" s="3" t="n">
        <v>-0.8626193404197693</v>
      </c>
    </row>
    <row r="1819">
      <c r="A1819" s="3" t="inlineStr">
        <is>
          <t>RUS.distn.dec.ove.mean.1</t>
        </is>
      </c>
      <c r="B1819" s="3" t="inlineStr">
        <is>
          <t>RUS</t>
        </is>
      </c>
      <c r="C1819" s="3" t="n">
        <v>2005</v>
      </c>
      <c r="D1819" s="3" t="inlineStr">
        <is>
          <t>Overall</t>
        </is>
      </c>
      <c r="E1819" s="3" t="inlineStr">
        <is>
          <t>Deciles</t>
        </is>
      </c>
      <c r="F1819" s="3" t="inlineStr">
        <is>
          <t>mean</t>
        </is>
      </c>
      <c r="G1819" s="3" t="n">
        <v>1</v>
      </c>
      <c r="H1819" s="3" t="n">
        <v>-0.7882409691810608</v>
      </c>
      <c r="I1819" s="3" t="n">
        <v>-0.7882409691810608</v>
      </c>
      <c r="J1819" s="3" t="n">
        <v>-0.8900059461593628</v>
      </c>
      <c r="K1819" s="3" t="n">
        <v>-0.8900059461593628</v>
      </c>
      <c r="L1819" s="3" t="n">
        <v>-0.7882409691810608</v>
      </c>
      <c r="M1819" s="3" t="n">
        <v>-0.7882409691810608</v>
      </c>
      <c r="N1819" s="3" t="n">
        <v>-0.7882409691810608</v>
      </c>
      <c r="O1819" s="3" t="n">
        <v>-0.7882409691810608</v>
      </c>
      <c r="P1819" s="3" t="n">
        <v>-0.7882409691810608</v>
      </c>
      <c r="Q1819" s="3" t="n">
        <v>-0.7882409691810608</v>
      </c>
      <c r="R1819" s="3" t="n">
        <v>-0.7734707593917847</v>
      </c>
      <c r="S1819" s="3" t="n">
        <v>-1.418270826339722</v>
      </c>
      <c r="T1819" s="3" t="n">
        <v>-0.7094525694847107</v>
      </c>
      <c r="U1819" s="3" t="n">
        <v>-0.8900059461593628</v>
      </c>
      <c r="V1819" s="3" t="n">
        <v>-0.6829447150230408</v>
      </c>
      <c r="W1819" s="3" t="n">
        <v>-0.5857847332954407</v>
      </c>
      <c r="X1819" s="3" t="n">
        <v>-1.365951657295227</v>
      </c>
      <c r="Y1819" s="3" t="n">
        <v>-0.7882409691810608</v>
      </c>
      <c r="Z1819" s="3" t="n">
        <v>-1.418270826339722</v>
      </c>
      <c r="AA1819" s="3" t="n">
        <v>-1.418270826339722</v>
      </c>
      <c r="AB1819" s="3" t="n">
        <v>-1.365951657295227</v>
      </c>
      <c r="AC1819" s="3" t="n">
        <v>-2.145271301269531</v>
      </c>
      <c r="AD1819" s="3" t="n">
        <v>-0.8900059461593628</v>
      </c>
      <c r="AE1819" s="3" t="n">
        <v>-0.8900059461593628</v>
      </c>
    </row>
    <row r="1820">
      <c r="A1820" s="3" t="inlineStr">
        <is>
          <t>RUS.distn.dec.ove.mean.2</t>
        </is>
      </c>
      <c r="B1820" s="3" t="inlineStr">
        <is>
          <t>RUS</t>
        </is>
      </c>
      <c r="C1820" s="3" t="n">
        <v>2005</v>
      </c>
      <c r="D1820" s="3" t="inlineStr">
        <is>
          <t>Overall</t>
        </is>
      </c>
      <c r="E1820" s="3" t="inlineStr">
        <is>
          <t>Deciles</t>
        </is>
      </c>
      <c r="F1820" s="3" t="inlineStr">
        <is>
          <t>mean</t>
        </is>
      </c>
      <c r="G1820" s="3" t="n">
        <v>2</v>
      </c>
      <c r="H1820" s="3" t="n">
        <v>-0.7882409691810608</v>
      </c>
      <c r="I1820" s="3" t="n">
        <v>-0.7882409691810608</v>
      </c>
      <c r="J1820" s="3" t="n">
        <v>-0.8900059461593628</v>
      </c>
      <c r="K1820" s="3" t="n">
        <v>-0.8900059461593628</v>
      </c>
      <c r="L1820" s="3" t="n">
        <v>-0.7882409691810608</v>
      </c>
      <c r="M1820" s="3" t="n">
        <v>-0.7882409691810608</v>
      </c>
      <c r="N1820" s="3" t="n">
        <v>-0.7882409691810608</v>
      </c>
      <c r="O1820" s="3" t="n">
        <v>-0.7882409691810608</v>
      </c>
      <c r="P1820" s="3" t="n">
        <v>-0.7882409691810608</v>
      </c>
      <c r="Q1820" s="3" t="n">
        <v>-0.7882409691810608</v>
      </c>
      <c r="R1820" s="3" t="n">
        <v>-0.7734707593917847</v>
      </c>
      <c r="S1820" s="3" t="n">
        <v>-1.418270826339722</v>
      </c>
      <c r="T1820" s="3" t="n">
        <v>-0.7094525694847107</v>
      </c>
      <c r="U1820" s="3" t="n">
        <v>-0.8900059461593628</v>
      </c>
      <c r="V1820" s="3" t="n">
        <v>-0.6829447150230408</v>
      </c>
      <c r="W1820" s="3" t="n">
        <v>-0.5857847332954407</v>
      </c>
      <c r="X1820" s="3" t="n">
        <v>-1.365951657295227</v>
      </c>
      <c r="Y1820" s="3" t="n">
        <v>-0.7882409691810608</v>
      </c>
      <c r="Z1820" s="3" t="n">
        <v>-1.418270826339722</v>
      </c>
      <c r="AA1820" s="3" t="n">
        <v>-1.418270826339722</v>
      </c>
      <c r="AB1820" s="3" t="n">
        <v>-1.365951657295227</v>
      </c>
      <c r="AC1820" s="3" t="n">
        <v>-2.145271301269531</v>
      </c>
      <c r="AD1820" s="3" t="n">
        <v>-0.8900059461593628</v>
      </c>
      <c r="AE1820" s="3" t="n">
        <v>-0.8900059461593628</v>
      </c>
    </row>
    <row r="1821">
      <c r="A1821" s="3" t="inlineStr">
        <is>
          <t>RUS.distn.dec.ove.mean.3</t>
        </is>
      </c>
      <c r="B1821" s="3" t="inlineStr">
        <is>
          <t>RUS</t>
        </is>
      </c>
      <c r="C1821" s="3" t="n">
        <v>2005</v>
      </c>
      <c r="D1821" s="3" t="inlineStr">
        <is>
          <t>Overall</t>
        </is>
      </c>
      <c r="E1821" s="3" t="inlineStr">
        <is>
          <t>Deciles</t>
        </is>
      </c>
      <c r="F1821" s="3" t="inlineStr">
        <is>
          <t>mean</t>
        </is>
      </c>
      <c r="G1821" s="3" t="n">
        <v>3</v>
      </c>
      <c r="H1821" s="3" t="n">
        <v>-0.7882409691810608</v>
      </c>
      <c r="I1821" s="3" t="n">
        <v>-0.7882409691810608</v>
      </c>
      <c r="J1821" s="3" t="n">
        <v>-0.8900059461593628</v>
      </c>
      <c r="K1821" s="3" t="n">
        <v>-0.8900059461593628</v>
      </c>
      <c r="L1821" s="3" t="n">
        <v>-0.7882409691810608</v>
      </c>
      <c r="M1821" s="3" t="n">
        <v>-0.7882409691810608</v>
      </c>
      <c r="N1821" s="3" t="n">
        <v>-0.7882409691810608</v>
      </c>
      <c r="O1821" s="3" t="n">
        <v>-0.7882409691810608</v>
      </c>
      <c r="P1821" s="3" t="n">
        <v>-0.7882409691810608</v>
      </c>
      <c r="Q1821" s="3" t="n">
        <v>-0.7882409691810608</v>
      </c>
      <c r="R1821" s="3" t="n">
        <v>-0.7734707593917847</v>
      </c>
      <c r="S1821" s="3" t="n">
        <v>-1.418270826339722</v>
      </c>
      <c r="T1821" s="3" t="n">
        <v>-0.7094525694847107</v>
      </c>
      <c r="U1821" s="3" t="n">
        <v>-0.8900059461593628</v>
      </c>
      <c r="V1821" s="3" t="n">
        <v>-0.6829447150230408</v>
      </c>
      <c r="W1821" s="3" t="n">
        <v>-0.5857847332954407</v>
      </c>
      <c r="X1821" s="3" t="n">
        <v>-1.365951657295227</v>
      </c>
      <c r="Y1821" s="3" t="n">
        <v>-0.7882409691810608</v>
      </c>
      <c r="Z1821" s="3" t="n">
        <v>-1.418270826339722</v>
      </c>
      <c r="AA1821" s="3" t="n">
        <v>-1.418270826339722</v>
      </c>
      <c r="AB1821" s="3" t="n">
        <v>-1.365951657295227</v>
      </c>
      <c r="AC1821" s="3" t="n">
        <v>-2.145271301269531</v>
      </c>
      <c r="AD1821" s="3" t="n">
        <v>-0.8900059461593628</v>
      </c>
      <c r="AE1821" s="3" t="n">
        <v>-0.8900059461593628</v>
      </c>
    </row>
    <row r="1822">
      <c r="A1822" s="3" t="inlineStr">
        <is>
          <t>RUS.distn.dec.ove.mean.4</t>
        </is>
      </c>
      <c r="B1822" s="3" t="inlineStr">
        <is>
          <t>RUS</t>
        </is>
      </c>
      <c r="C1822" s="3" t="n">
        <v>2005</v>
      </c>
      <c r="D1822" s="3" t="inlineStr">
        <is>
          <t>Overall</t>
        </is>
      </c>
      <c r="E1822" s="3" t="inlineStr">
        <is>
          <t>Deciles</t>
        </is>
      </c>
      <c r="F1822" s="3" t="inlineStr">
        <is>
          <t>mean</t>
        </is>
      </c>
      <c r="G1822" s="3" t="n">
        <v>4</v>
      </c>
      <c r="H1822" s="3" t="n">
        <v>-0.7820000052452087</v>
      </c>
      <c r="I1822" s="3" t="n">
        <v>-0.7820000052452087</v>
      </c>
      <c r="J1822" s="3" t="n">
        <v>-0.8470000028610229</v>
      </c>
      <c r="K1822" s="3" t="n">
        <v>-0.8470000028610229</v>
      </c>
      <c r="L1822" s="3" t="n">
        <v>-0.7820000052452087</v>
      </c>
      <c r="M1822" s="3" t="n">
        <v>-0.7820000052452087</v>
      </c>
      <c r="N1822" s="3" t="n">
        <v>-0.7820000052452087</v>
      </c>
      <c r="O1822" s="3" t="n">
        <v>-0.7820000052452087</v>
      </c>
      <c r="P1822" s="3" t="n">
        <v>-0.7820000052452087</v>
      </c>
      <c r="Q1822" s="3" t="n">
        <v>-0.7820000052452087</v>
      </c>
      <c r="R1822" s="3" t="n">
        <v>-0.7699999809265137</v>
      </c>
      <c r="S1822" s="3" t="n">
        <v>-0.9660000205039978</v>
      </c>
      <c r="T1822" s="3" t="n">
        <v>-0.7080000042915344</v>
      </c>
      <c r="U1822" s="3" t="n">
        <v>-0.8470000028610229</v>
      </c>
      <c r="V1822" s="3" t="n">
        <v>-0.6759999990463257</v>
      </c>
      <c r="W1822" s="3" t="n">
        <v>-0.4930000007152557</v>
      </c>
      <c r="X1822" s="3" t="n">
        <v>-0.9639999866485596</v>
      </c>
      <c r="Y1822" s="3" t="n">
        <v>-0.7820000052452087</v>
      </c>
      <c r="Z1822" s="3" t="n">
        <v>-0.9660000205039978</v>
      </c>
      <c r="AA1822" s="3" t="n">
        <v>-0.9660000205039978</v>
      </c>
      <c r="AB1822" s="3" t="n">
        <v>-0.9639999866485596</v>
      </c>
      <c r="AC1822" s="3" t="n">
        <v>-1.03600001335144</v>
      </c>
      <c r="AD1822" s="3" t="n">
        <v>-0.8470000028610229</v>
      </c>
      <c r="AE1822" s="3" t="n">
        <v>-0.8470000028610229</v>
      </c>
    </row>
    <row r="1823">
      <c r="A1823" s="3" t="inlineStr">
        <is>
          <t>RUS.distn.dec.ove.mean.5</t>
        </is>
      </c>
      <c r="B1823" s="3" t="inlineStr">
        <is>
          <t>RUS</t>
        </is>
      </c>
      <c r="C1823" s="3" t="n">
        <v>2005</v>
      </c>
      <c r="D1823" s="3" t="inlineStr">
        <is>
          <t>Overall</t>
        </is>
      </c>
      <c r="E1823" s="3" t="inlineStr">
        <is>
          <t>Deciles</t>
        </is>
      </c>
      <c r="F1823" s="3" t="inlineStr">
        <is>
          <t>mean</t>
        </is>
      </c>
      <c r="G1823" s="3" t="n">
        <v>5</v>
      </c>
      <c r="H1823" s="3" t="n">
        <v>-0.7820000052452087</v>
      </c>
      <c r="I1823" s="3" t="n">
        <v>-0.7820000052452087</v>
      </c>
      <c r="J1823" s="3" t="n">
        <v>-0.8470000028610229</v>
      </c>
      <c r="K1823" s="3" t="n">
        <v>-0.8470000028610229</v>
      </c>
      <c r="L1823" s="3" t="n">
        <v>-0.7820000052452087</v>
      </c>
      <c r="M1823" s="3" t="n">
        <v>-0.7820000052452087</v>
      </c>
      <c r="N1823" s="3" t="n">
        <v>-0.7820000052452087</v>
      </c>
      <c r="O1823" s="3" t="n">
        <v>-0.7820000052452087</v>
      </c>
      <c r="P1823" s="3" t="n">
        <v>-0.7820000052452087</v>
      </c>
      <c r="Q1823" s="3" t="n">
        <v>-0.7820000052452087</v>
      </c>
      <c r="R1823" s="3" t="n">
        <v>-0.7699999809265137</v>
      </c>
      <c r="S1823" s="3" t="n">
        <v>-0.9660000205039978</v>
      </c>
      <c r="T1823" s="3" t="n">
        <v>-0.7080000042915344</v>
      </c>
      <c r="U1823" s="3" t="n">
        <v>-0.8470000028610229</v>
      </c>
      <c r="V1823" s="3" t="n">
        <v>-0.6759999990463257</v>
      </c>
      <c r="W1823" s="3" t="n">
        <v>-0.4930000007152557</v>
      </c>
      <c r="X1823" s="3" t="n">
        <v>-0.9639999866485596</v>
      </c>
      <c r="Y1823" s="3" t="n">
        <v>-0.7820000052452087</v>
      </c>
      <c r="Z1823" s="3" t="n">
        <v>-0.9660000205039978</v>
      </c>
      <c r="AA1823" s="3" t="n">
        <v>-0.9660000205039978</v>
      </c>
      <c r="AB1823" s="3" t="n">
        <v>-0.9639999866485596</v>
      </c>
      <c r="AC1823" s="3" t="n">
        <v>-1.03600001335144</v>
      </c>
      <c r="AD1823" s="3" t="n">
        <v>-0.8470000028610229</v>
      </c>
      <c r="AE1823" s="3" t="n">
        <v>-0.8470000028610229</v>
      </c>
    </row>
    <row r="1824">
      <c r="A1824" s="3" t="inlineStr">
        <is>
          <t>RUS.distn.dec.ove.mean.6</t>
        </is>
      </c>
      <c r="B1824" s="3" t="inlineStr">
        <is>
          <t>RUS</t>
        </is>
      </c>
      <c r="C1824" s="3" t="n">
        <v>2005</v>
      </c>
      <c r="D1824" s="3" t="inlineStr">
        <is>
          <t>Overall</t>
        </is>
      </c>
      <c r="E1824" s="3" t="inlineStr">
        <is>
          <t>Deciles</t>
        </is>
      </c>
      <c r="F1824" s="3" t="inlineStr">
        <is>
          <t>mean</t>
        </is>
      </c>
      <c r="G1824" s="3" t="n">
        <v>6</v>
      </c>
      <c r="H1824" s="3" t="n">
        <v>-0.7820000052452087</v>
      </c>
      <c r="I1824" s="3" t="n">
        <v>-0.7820000052452087</v>
      </c>
      <c r="J1824" s="3" t="n">
        <v>-0.8470000028610229</v>
      </c>
      <c r="K1824" s="3" t="n">
        <v>-0.8470000028610229</v>
      </c>
      <c r="L1824" s="3" t="n">
        <v>-0.7820000052452087</v>
      </c>
      <c r="M1824" s="3" t="n">
        <v>-0.7820000052452087</v>
      </c>
      <c r="N1824" s="3" t="n">
        <v>-0.7820000052452087</v>
      </c>
      <c r="O1824" s="3" t="n">
        <v>-0.7820000052452087</v>
      </c>
      <c r="P1824" s="3" t="n">
        <v>-0.7820000052452087</v>
      </c>
      <c r="Q1824" s="3" t="n">
        <v>-0.7820000052452087</v>
      </c>
      <c r="R1824" s="3" t="n">
        <v>-0.7699999809265137</v>
      </c>
      <c r="S1824" s="3" t="n">
        <v>-0.9660000205039978</v>
      </c>
      <c r="T1824" s="3" t="n">
        <v>-0.7080000042915344</v>
      </c>
      <c r="U1824" s="3" t="n">
        <v>-0.8470000028610229</v>
      </c>
      <c r="V1824" s="3" t="n">
        <v>-0.6759999990463257</v>
      </c>
      <c r="W1824" s="3" t="n">
        <v>-0.4930000007152557</v>
      </c>
      <c r="X1824" s="3" t="n">
        <v>-0.9639999866485596</v>
      </c>
      <c r="Y1824" s="3" t="n">
        <v>-0.7820000052452087</v>
      </c>
      <c r="Z1824" s="3" t="n">
        <v>-0.9660000205039978</v>
      </c>
      <c r="AA1824" s="3" t="n">
        <v>-0.9660000205039978</v>
      </c>
      <c r="AB1824" s="3" t="n">
        <v>-0.9639999866485596</v>
      </c>
      <c r="AC1824" s="3" t="n">
        <v>-1.03600001335144</v>
      </c>
      <c r="AD1824" s="3" t="n">
        <v>-0.8470000028610229</v>
      </c>
      <c r="AE1824" s="3" t="n">
        <v>-0.8470000028610229</v>
      </c>
    </row>
    <row r="1825">
      <c r="A1825" s="3" t="inlineStr">
        <is>
          <t>RUS.distn.dec.ove.mean.7</t>
        </is>
      </c>
      <c r="B1825" s="3" t="inlineStr">
        <is>
          <t>RUS</t>
        </is>
      </c>
      <c r="C1825" s="3" t="n">
        <v>2005</v>
      </c>
      <c r="D1825" s="3" t="inlineStr">
        <is>
          <t>Overall</t>
        </is>
      </c>
      <c r="E1825" s="3" t="inlineStr">
        <is>
          <t>Deciles</t>
        </is>
      </c>
      <c r="F1825" s="3" t="inlineStr">
        <is>
          <t>mean</t>
        </is>
      </c>
      <c r="G1825" s="3" t="n">
        <v>7</v>
      </c>
      <c r="H1825" s="3" t="n">
        <v>-0.7820000052452087</v>
      </c>
      <c r="I1825" s="3" t="n">
        <v>-0.7820000052452087</v>
      </c>
      <c r="J1825" s="3" t="n">
        <v>-0.8470000028610229</v>
      </c>
      <c r="K1825" s="3" t="n">
        <v>-0.8470000028610229</v>
      </c>
      <c r="L1825" s="3" t="n">
        <v>-0.7820000052452087</v>
      </c>
      <c r="M1825" s="3" t="n">
        <v>-0.7820000052452087</v>
      </c>
      <c r="N1825" s="3" t="n">
        <v>-0.7820000052452087</v>
      </c>
      <c r="O1825" s="3" t="n">
        <v>-0.7820000052452087</v>
      </c>
      <c r="P1825" s="3" t="n">
        <v>-0.7820000052452087</v>
      </c>
      <c r="Q1825" s="3" t="n">
        <v>-0.7820000052452087</v>
      </c>
      <c r="R1825" s="3" t="n">
        <v>-0.7699999809265137</v>
      </c>
      <c r="S1825" s="3" t="n">
        <v>-0.9660000205039978</v>
      </c>
      <c r="T1825" s="3" t="n">
        <v>-0.7080000042915344</v>
      </c>
      <c r="U1825" s="3" t="n">
        <v>-0.8470000028610229</v>
      </c>
      <c r="V1825" s="3" t="n">
        <v>-0.6759999990463257</v>
      </c>
      <c r="W1825" s="3" t="n">
        <v>-0.4930000007152557</v>
      </c>
      <c r="X1825" s="3" t="n">
        <v>-0.9639999866485596</v>
      </c>
      <c r="Y1825" s="3" t="n">
        <v>-0.7820000052452087</v>
      </c>
      <c r="Z1825" s="3" t="n">
        <v>-0.9660000205039978</v>
      </c>
      <c r="AA1825" s="3" t="n">
        <v>-0.9660000205039978</v>
      </c>
      <c r="AB1825" s="3" t="n">
        <v>-0.9639999866485596</v>
      </c>
      <c r="AC1825" s="3" t="n">
        <v>-1.03600001335144</v>
      </c>
      <c r="AD1825" s="3" t="n">
        <v>-0.8470000028610229</v>
      </c>
      <c r="AE1825" s="3" t="n">
        <v>-0.8470000028610229</v>
      </c>
    </row>
    <row r="1826">
      <c r="A1826" s="3" t="inlineStr">
        <is>
          <t>RUS.distn.dec.ove.mean.8</t>
        </is>
      </c>
      <c r="B1826" s="3" t="inlineStr">
        <is>
          <t>RUS</t>
        </is>
      </c>
      <c r="C1826" s="3" t="n">
        <v>2005</v>
      </c>
      <c r="D1826" s="3" t="inlineStr">
        <is>
          <t>Overall</t>
        </is>
      </c>
      <c r="E1826" s="3" t="inlineStr">
        <is>
          <t>Deciles</t>
        </is>
      </c>
      <c r="F1826" s="3" t="inlineStr">
        <is>
          <t>mean</t>
        </is>
      </c>
      <c r="G1826" s="3" t="n">
        <v>8</v>
      </c>
      <c r="H1826" s="3" t="n">
        <v>-0.782376766204834</v>
      </c>
      <c r="I1826" s="3" t="n">
        <v>-0.782376766204834</v>
      </c>
      <c r="J1826" s="3" t="n">
        <v>-0.849284827709198</v>
      </c>
      <c r="K1826" s="3" t="n">
        <v>-0.849284827709198</v>
      </c>
      <c r="L1826" s="3" t="n">
        <v>-0.782376766204834</v>
      </c>
      <c r="M1826" s="3" t="n">
        <v>-0.782376766204834</v>
      </c>
      <c r="N1826" s="3" t="n">
        <v>-0.782376766204834</v>
      </c>
      <c r="O1826" s="3" t="n">
        <v>-0.782376766204834</v>
      </c>
      <c r="P1826" s="3" t="n">
        <v>-0.782376766204834</v>
      </c>
      <c r="Q1826" s="3" t="n">
        <v>-0.782376766204834</v>
      </c>
      <c r="R1826" s="3" t="n">
        <v>-0.7702532410621643</v>
      </c>
      <c r="S1826" s="3" t="n">
        <v>-0.9749887585639954</v>
      </c>
      <c r="T1826" s="3" t="n">
        <v>-0.7080408334732056</v>
      </c>
      <c r="U1826" s="3" t="n">
        <v>-0.849284827709198</v>
      </c>
      <c r="V1826" s="3" t="n">
        <v>-0.6766988039016724</v>
      </c>
      <c r="W1826" s="3" t="n">
        <v>-0.5062019228935242</v>
      </c>
      <c r="X1826" s="3" t="n">
        <v>-0.9727839827537537</v>
      </c>
      <c r="Y1826" s="3" t="n">
        <v>-0.782376766204834</v>
      </c>
      <c r="Z1826" s="3" t="n">
        <v>-0.9749887585639954</v>
      </c>
      <c r="AA1826" s="3" t="n">
        <v>-0.9749887585639954</v>
      </c>
      <c r="AB1826" s="3" t="n">
        <v>-0.9727839827537537</v>
      </c>
      <c r="AC1826" s="3" t="n">
        <v>-1.050774693489075</v>
      </c>
      <c r="AD1826" s="3" t="n">
        <v>-0.849284827709198</v>
      </c>
      <c r="AE1826" s="3" t="n">
        <v>-0.849284827709198</v>
      </c>
    </row>
    <row r="1827">
      <c r="A1827" s="3" t="inlineStr">
        <is>
          <t>RUS.distn.dec.ove.mean.9</t>
        </is>
      </c>
      <c r="B1827" s="3" t="inlineStr">
        <is>
          <t>RUS</t>
        </is>
      </c>
      <c r="C1827" s="3" t="n">
        <v>2005</v>
      </c>
      <c r="D1827" s="3" t="inlineStr">
        <is>
          <t>Overall</t>
        </is>
      </c>
      <c r="E1827" s="3" t="inlineStr">
        <is>
          <t>Deciles</t>
        </is>
      </c>
      <c r="F1827" s="3" t="inlineStr">
        <is>
          <t>mean</t>
        </is>
      </c>
      <c r="G1827" s="3" t="n">
        <v>9</v>
      </c>
      <c r="H1827" s="3" t="n">
        <v>-0.782376766204834</v>
      </c>
      <c r="I1827" s="3" t="n">
        <v>-0.782376766204834</v>
      </c>
      <c r="J1827" s="3" t="n">
        <v>-0.849284827709198</v>
      </c>
      <c r="K1827" s="3" t="n">
        <v>-0.849284827709198</v>
      </c>
      <c r="L1827" s="3" t="n">
        <v>-0.782376766204834</v>
      </c>
      <c r="M1827" s="3" t="n">
        <v>-0.782376766204834</v>
      </c>
      <c r="N1827" s="3" t="n">
        <v>-0.782376766204834</v>
      </c>
      <c r="O1827" s="3" t="n">
        <v>-0.782376766204834</v>
      </c>
      <c r="P1827" s="3" t="n">
        <v>-0.782376766204834</v>
      </c>
      <c r="Q1827" s="3" t="n">
        <v>-0.782376766204834</v>
      </c>
      <c r="R1827" s="3" t="n">
        <v>-0.7702532410621643</v>
      </c>
      <c r="S1827" s="3" t="n">
        <v>-0.9749887585639954</v>
      </c>
      <c r="T1827" s="3" t="n">
        <v>-0.7080408334732056</v>
      </c>
      <c r="U1827" s="3" t="n">
        <v>-0.849284827709198</v>
      </c>
      <c r="V1827" s="3" t="n">
        <v>-0.6766988039016724</v>
      </c>
      <c r="W1827" s="3" t="n">
        <v>-0.5062019228935242</v>
      </c>
      <c r="X1827" s="3" t="n">
        <v>-0.9727839827537537</v>
      </c>
      <c r="Y1827" s="3" t="n">
        <v>-0.782376766204834</v>
      </c>
      <c r="Z1827" s="3" t="n">
        <v>-0.9749887585639954</v>
      </c>
      <c r="AA1827" s="3" t="n">
        <v>-0.9749887585639954</v>
      </c>
      <c r="AB1827" s="3" t="n">
        <v>-0.9727839827537537</v>
      </c>
      <c r="AC1827" s="3" t="n">
        <v>-1.050774693489075</v>
      </c>
      <c r="AD1827" s="3" t="n">
        <v>-0.849284827709198</v>
      </c>
      <c r="AE1827" s="3" t="n">
        <v>-0.849284827709198</v>
      </c>
    </row>
    <row r="1828">
      <c r="A1828" s="3" t="inlineStr">
        <is>
          <t>RUS.distn.dec.ove.mean.10</t>
        </is>
      </c>
      <c r="B1828" s="3" t="inlineStr">
        <is>
          <t>RUS</t>
        </is>
      </c>
      <c r="C1828" s="3" t="n">
        <v>2005</v>
      </c>
      <c r="D1828" s="3" t="inlineStr">
        <is>
          <t>Overall</t>
        </is>
      </c>
      <c r="E1828" s="3" t="inlineStr">
        <is>
          <t>Deciles</t>
        </is>
      </c>
      <c r="F1828" s="3" t="inlineStr">
        <is>
          <t>mean</t>
        </is>
      </c>
      <c r="G1828" s="3" t="n">
        <v>10</v>
      </c>
      <c r="H1828" s="3" t="n">
        <v>-0.782376766204834</v>
      </c>
      <c r="I1828" s="3" t="n">
        <v>-0.782376766204834</v>
      </c>
      <c r="J1828" s="3" t="n">
        <v>-0.849284827709198</v>
      </c>
      <c r="K1828" s="3" t="n">
        <v>-0.849284827709198</v>
      </c>
      <c r="L1828" s="3" t="n">
        <v>-0.782376766204834</v>
      </c>
      <c r="M1828" s="3" t="n">
        <v>-0.782376766204834</v>
      </c>
      <c r="N1828" s="3" t="n">
        <v>-0.782376766204834</v>
      </c>
      <c r="O1828" s="3" t="n">
        <v>-0.782376766204834</v>
      </c>
      <c r="P1828" s="3" t="n">
        <v>-0.782376766204834</v>
      </c>
      <c r="Q1828" s="3" t="n">
        <v>-0.782376766204834</v>
      </c>
      <c r="R1828" s="3" t="n">
        <v>-0.7702532410621643</v>
      </c>
      <c r="S1828" s="3" t="n">
        <v>-0.9749887585639954</v>
      </c>
      <c r="T1828" s="3" t="n">
        <v>-0.7080408334732056</v>
      </c>
      <c r="U1828" s="3" t="n">
        <v>-0.849284827709198</v>
      </c>
      <c r="V1828" s="3" t="n">
        <v>-0.6766988039016724</v>
      </c>
      <c r="W1828" s="3" t="n">
        <v>-0.5062019228935242</v>
      </c>
      <c r="X1828" s="3" t="n">
        <v>-0.9727839827537537</v>
      </c>
      <c r="Y1828" s="3" t="n">
        <v>-0.782376766204834</v>
      </c>
      <c r="Z1828" s="3" t="n">
        <v>-0.9749887585639954</v>
      </c>
      <c r="AA1828" s="3" t="n">
        <v>-0.9749887585639954</v>
      </c>
      <c r="AB1828" s="3" t="n">
        <v>-0.9727839827537537</v>
      </c>
      <c r="AC1828" s="3" t="n">
        <v>-1.050774693489075</v>
      </c>
      <c r="AD1828" s="3" t="n">
        <v>-0.849284827709198</v>
      </c>
      <c r="AE1828" s="3" t="n">
        <v>-0.849284827709198</v>
      </c>
    </row>
    <row r="1829">
      <c r="A1829" s="3" t="inlineStr">
        <is>
          <t>RUS.distn.bkt.ove.mean.9999</t>
        </is>
      </c>
      <c r="B1829" s="3" t="inlineStr">
        <is>
          <t>RUS</t>
        </is>
      </c>
      <c r="C1829" s="3" t="n">
        <v>2005</v>
      </c>
      <c r="D1829" s="3" t="inlineStr">
        <is>
          <t>Overall</t>
        </is>
      </c>
      <c r="E1829" s="3" t="inlineStr">
        <is>
          <t>Basket</t>
        </is>
      </c>
      <c r="F1829" s="3" t="inlineStr">
        <is>
          <t>mean</t>
        </is>
      </c>
      <c r="G1829" s="3" t="n">
        <v>9999</v>
      </c>
      <c r="H1829" s="3" t="n">
        <v>-0.7839853167533875</v>
      </c>
      <c r="I1829" s="3" t="n">
        <v>-0.7839853167533875</v>
      </c>
      <c r="J1829" s="3" t="n">
        <v>-0.8605872392654419</v>
      </c>
      <c r="K1829" s="3" t="n">
        <v>-0.8605872392654419</v>
      </c>
      <c r="L1829" s="3" t="n">
        <v>-0.7839853167533875</v>
      </c>
      <c r="M1829" s="3" t="n">
        <v>-0.7839853167533875</v>
      </c>
      <c r="N1829" s="3" t="n">
        <v>-0.7839853167533875</v>
      </c>
      <c r="O1829" s="3" t="n">
        <v>-0.7839853167533875</v>
      </c>
      <c r="P1829" s="3" t="n">
        <v>-0.7839853167533875</v>
      </c>
      <c r="Q1829" s="3" t="n">
        <v>-0.7839853167533875</v>
      </c>
      <c r="R1829" s="3" t="n">
        <v>-0.7711172103881836</v>
      </c>
      <c r="S1829" s="3" t="n">
        <v>-1.104377865791321</v>
      </c>
      <c r="T1829" s="3" t="n">
        <v>-0.708448052406311</v>
      </c>
      <c r="U1829" s="3" t="n">
        <v>-0.8605872392654419</v>
      </c>
      <c r="V1829" s="3" t="n">
        <v>-0.6782930493354797</v>
      </c>
      <c r="W1829" s="3" t="n">
        <v>-0.5247960090637207</v>
      </c>
      <c r="X1829" s="3" t="n">
        <v>-1.087220668792725</v>
      </c>
      <c r="Y1829" s="3" t="n">
        <v>-0.7839853167533875</v>
      </c>
      <c r="Z1829" s="3" t="n">
        <v>-1.104377865791321</v>
      </c>
      <c r="AA1829" s="3" t="n">
        <v>-1.104377865791321</v>
      </c>
      <c r="AB1829" s="3" t="n">
        <v>-1.087220668792725</v>
      </c>
      <c r="AC1829" s="3" t="n">
        <v>-1.373213768005371</v>
      </c>
      <c r="AD1829" s="3" t="n">
        <v>-0.8605872392654419</v>
      </c>
      <c r="AE1829" s="3" t="n">
        <v>-0.8605872392654419</v>
      </c>
    </row>
    <row r="1830">
      <c r="A1830" s="3" t="inlineStr">
        <is>
          <t>RWA.distn.dec.ove.mean.1</t>
        </is>
      </c>
      <c r="B1830" s="3" t="inlineStr">
        <is>
          <t>RWA</t>
        </is>
      </c>
      <c r="C1830" s="3" t="n">
        <v>2005</v>
      </c>
      <c r="D1830" s="3" t="inlineStr">
        <is>
          <t>Overall</t>
        </is>
      </c>
      <c r="E1830" s="3" t="inlineStr">
        <is>
          <t>Deciles</t>
        </is>
      </c>
      <c r="F1830" s="3" t="inlineStr">
        <is>
          <t>mean</t>
        </is>
      </c>
      <c r="G1830" s="3" t="n">
        <v>1</v>
      </c>
      <c r="H1830" s="3" t="n">
        <v>-0.7973127365112305</v>
      </c>
      <c r="I1830" s="3" t="n">
        <v>-0.7973127365112305</v>
      </c>
      <c r="J1830" s="3" t="n">
        <v>-0.963560163974762</v>
      </c>
      <c r="K1830" s="3" t="n">
        <v>-0.963560163974762</v>
      </c>
      <c r="L1830" s="3" t="n">
        <v>-0.7973127365112305</v>
      </c>
      <c r="M1830" s="3" t="n">
        <v>-0.7973127365112305</v>
      </c>
      <c r="N1830" s="3" t="n">
        <v>-0.7973127365112305</v>
      </c>
      <c r="O1830" s="3" t="n">
        <v>-0.7973127365112305</v>
      </c>
      <c r="P1830" s="3" t="n">
        <v>-0.7973127365112305</v>
      </c>
      <c r="Q1830" s="3" t="n">
        <v>-0.7973127365112305</v>
      </c>
      <c r="R1830" s="3" t="n">
        <v>-0.7784932851791382</v>
      </c>
      <c r="S1830" s="3" t="n">
        <v>-2.606035947799683</v>
      </c>
      <c r="T1830" s="3" t="n">
        <v>-0.7114566564559937</v>
      </c>
      <c r="U1830" s="3" t="n">
        <v>-0.963560163974762</v>
      </c>
      <c r="V1830" s="3" t="n">
        <v>-0.6920371651649475</v>
      </c>
      <c r="W1830" s="3" t="n">
        <v>-0.7129225730895996</v>
      </c>
      <c r="X1830" s="3" t="n">
        <v>-2.447093963623047</v>
      </c>
      <c r="Y1830" s="3" t="n">
        <v>-0.7973127365112305</v>
      </c>
      <c r="Z1830" s="3" t="n">
        <v>-2.606035947799683</v>
      </c>
      <c r="AA1830" s="3" t="n">
        <v>-2.606035947799683</v>
      </c>
      <c r="AB1830" s="3" t="n">
        <v>-2.447093963623047</v>
      </c>
      <c r="AC1830" s="3" t="n">
        <v>-4.669485569000244</v>
      </c>
      <c r="AD1830" s="3" t="n">
        <v>-0.963560163974762</v>
      </c>
      <c r="AE1830" s="3" t="n">
        <v>-0.963560163974762</v>
      </c>
    </row>
    <row r="1831">
      <c r="A1831" s="3" t="inlineStr">
        <is>
          <t>RWA.distn.dec.ove.mean.2</t>
        </is>
      </c>
      <c r="B1831" s="3" t="inlineStr">
        <is>
          <t>RWA</t>
        </is>
      </c>
      <c r="C1831" s="3" t="n">
        <v>2005</v>
      </c>
      <c r="D1831" s="3" t="inlineStr">
        <is>
          <t>Overall</t>
        </is>
      </c>
      <c r="E1831" s="3" t="inlineStr">
        <is>
          <t>Deciles</t>
        </is>
      </c>
      <c r="F1831" s="3" t="inlineStr">
        <is>
          <t>mean</t>
        </is>
      </c>
      <c r="G1831" s="3" t="n">
        <v>2</v>
      </c>
      <c r="H1831" s="3" t="n">
        <v>-0.7973127365112305</v>
      </c>
      <c r="I1831" s="3" t="n">
        <v>-0.7973127365112305</v>
      </c>
      <c r="J1831" s="3" t="n">
        <v>-0.963560163974762</v>
      </c>
      <c r="K1831" s="3" t="n">
        <v>-0.963560163974762</v>
      </c>
      <c r="L1831" s="3" t="n">
        <v>-0.7973127365112305</v>
      </c>
      <c r="M1831" s="3" t="n">
        <v>-0.7973127365112305</v>
      </c>
      <c r="N1831" s="3" t="n">
        <v>-0.7973127365112305</v>
      </c>
      <c r="O1831" s="3" t="n">
        <v>-0.7973127365112305</v>
      </c>
      <c r="P1831" s="3" t="n">
        <v>-0.7973127365112305</v>
      </c>
      <c r="Q1831" s="3" t="n">
        <v>-0.7973127365112305</v>
      </c>
      <c r="R1831" s="3" t="n">
        <v>-0.7784932851791382</v>
      </c>
      <c r="S1831" s="3" t="n">
        <v>-2.606035947799683</v>
      </c>
      <c r="T1831" s="3" t="n">
        <v>-0.7114566564559937</v>
      </c>
      <c r="U1831" s="3" t="n">
        <v>-0.963560163974762</v>
      </c>
      <c r="V1831" s="3" t="n">
        <v>-0.6920371651649475</v>
      </c>
      <c r="W1831" s="3" t="n">
        <v>-0.7129225730895996</v>
      </c>
      <c r="X1831" s="3" t="n">
        <v>-2.447093963623047</v>
      </c>
      <c r="Y1831" s="3" t="n">
        <v>-0.7973127365112305</v>
      </c>
      <c r="Z1831" s="3" t="n">
        <v>-2.606035947799683</v>
      </c>
      <c r="AA1831" s="3" t="n">
        <v>-2.606035947799683</v>
      </c>
      <c r="AB1831" s="3" t="n">
        <v>-2.447093963623047</v>
      </c>
      <c r="AC1831" s="3" t="n">
        <v>-4.669485569000244</v>
      </c>
      <c r="AD1831" s="3" t="n">
        <v>-0.963560163974762</v>
      </c>
      <c r="AE1831" s="3" t="n">
        <v>-0.963560163974762</v>
      </c>
    </row>
    <row r="1832">
      <c r="A1832" s="3" t="inlineStr">
        <is>
          <t>RWA.distn.dec.ove.mean.3</t>
        </is>
      </c>
      <c r="B1832" s="3" t="inlineStr">
        <is>
          <t>RWA</t>
        </is>
      </c>
      <c r="C1832" s="3" t="n">
        <v>2005</v>
      </c>
      <c r="D1832" s="3" t="inlineStr">
        <is>
          <t>Overall</t>
        </is>
      </c>
      <c r="E1832" s="3" t="inlineStr">
        <is>
          <t>Deciles</t>
        </is>
      </c>
      <c r="F1832" s="3" t="inlineStr">
        <is>
          <t>mean</t>
        </is>
      </c>
      <c r="G1832" s="3" t="n">
        <v>3</v>
      </c>
      <c r="H1832" s="3" t="n">
        <v>-0.7973127365112305</v>
      </c>
      <c r="I1832" s="3" t="n">
        <v>-0.7973127365112305</v>
      </c>
      <c r="J1832" s="3" t="n">
        <v>-0.963560163974762</v>
      </c>
      <c r="K1832" s="3" t="n">
        <v>-0.963560163974762</v>
      </c>
      <c r="L1832" s="3" t="n">
        <v>-0.7973127365112305</v>
      </c>
      <c r="M1832" s="3" t="n">
        <v>-0.7973127365112305</v>
      </c>
      <c r="N1832" s="3" t="n">
        <v>-0.7973127365112305</v>
      </c>
      <c r="O1832" s="3" t="n">
        <v>-0.7973127365112305</v>
      </c>
      <c r="P1832" s="3" t="n">
        <v>-0.7973127365112305</v>
      </c>
      <c r="Q1832" s="3" t="n">
        <v>-0.7973127365112305</v>
      </c>
      <c r="R1832" s="3" t="n">
        <v>-0.7784932851791382</v>
      </c>
      <c r="S1832" s="3" t="n">
        <v>-2.606035947799683</v>
      </c>
      <c r="T1832" s="3" t="n">
        <v>-0.7114566564559937</v>
      </c>
      <c r="U1832" s="3" t="n">
        <v>-0.963560163974762</v>
      </c>
      <c r="V1832" s="3" t="n">
        <v>-0.6920371651649475</v>
      </c>
      <c r="W1832" s="3" t="n">
        <v>-0.7129225730895996</v>
      </c>
      <c r="X1832" s="3" t="n">
        <v>-2.447093963623047</v>
      </c>
      <c r="Y1832" s="3" t="n">
        <v>-0.7973127365112305</v>
      </c>
      <c r="Z1832" s="3" t="n">
        <v>-2.606035947799683</v>
      </c>
      <c r="AA1832" s="3" t="n">
        <v>-2.606035947799683</v>
      </c>
      <c r="AB1832" s="3" t="n">
        <v>-2.447093963623047</v>
      </c>
      <c r="AC1832" s="3" t="n">
        <v>-4.669485569000244</v>
      </c>
      <c r="AD1832" s="3" t="n">
        <v>-0.963560163974762</v>
      </c>
      <c r="AE1832" s="3" t="n">
        <v>-0.963560163974762</v>
      </c>
    </row>
    <row r="1833">
      <c r="A1833" s="3" t="inlineStr">
        <is>
          <t>RWA.distn.dec.ove.mean.4</t>
        </is>
      </c>
      <c r="B1833" s="3" t="inlineStr">
        <is>
          <t>RWA</t>
        </is>
      </c>
      <c r="C1833" s="3" t="n">
        <v>2005</v>
      </c>
      <c r="D1833" s="3" t="inlineStr">
        <is>
          <t>Overall</t>
        </is>
      </c>
      <c r="E1833" s="3" t="inlineStr">
        <is>
          <t>Deciles</t>
        </is>
      </c>
      <c r="F1833" s="3" t="inlineStr">
        <is>
          <t>mean</t>
        </is>
      </c>
      <c r="G1833" s="3" t="n">
        <v>4</v>
      </c>
      <c r="H1833" s="3" t="n">
        <v>-0.7910000085830688</v>
      </c>
      <c r="I1833" s="3" t="n">
        <v>-0.7910000085830688</v>
      </c>
      <c r="J1833" s="3" t="n">
        <v>-0.9169999957084656</v>
      </c>
      <c r="K1833" s="3" t="n">
        <v>-0.9169999957084656</v>
      </c>
      <c r="L1833" s="3" t="n">
        <v>-0.7910000085830688</v>
      </c>
      <c r="M1833" s="3" t="n">
        <v>-0.7910000085830688</v>
      </c>
      <c r="N1833" s="3" t="n">
        <v>-0.7910000085830688</v>
      </c>
      <c r="O1833" s="3" t="n">
        <v>-0.7910000085830688</v>
      </c>
      <c r="P1833" s="3" t="n">
        <v>-0.7910000085830688</v>
      </c>
      <c r="Q1833" s="3" t="n">
        <v>-0.7910000085830688</v>
      </c>
      <c r="R1833" s="3" t="n">
        <v>-0.7749999761581421</v>
      </c>
      <c r="S1833" s="3" t="n">
        <v>-1.774999976158142</v>
      </c>
      <c r="T1833" s="3" t="n">
        <v>-0.7099999785423279</v>
      </c>
      <c r="U1833" s="3" t="n">
        <v>-0.9169999957084656</v>
      </c>
      <c r="V1833" s="3" t="n">
        <v>-0.6850000023841858</v>
      </c>
      <c r="W1833" s="3" t="n">
        <v>-0.6000000238418579</v>
      </c>
      <c r="X1833" s="3" t="n">
        <v>-1.726999998092651</v>
      </c>
      <c r="Y1833" s="3" t="n">
        <v>-0.7910000085830688</v>
      </c>
      <c r="Z1833" s="3" t="n">
        <v>-1.774999976158142</v>
      </c>
      <c r="AA1833" s="3" t="n">
        <v>-1.774999976158142</v>
      </c>
      <c r="AB1833" s="3" t="n">
        <v>-1.726999998092651</v>
      </c>
      <c r="AC1833" s="3" t="n">
        <v>-2.255000114440918</v>
      </c>
      <c r="AD1833" s="3" t="n">
        <v>-0.9169999957084656</v>
      </c>
      <c r="AE1833" s="3" t="n">
        <v>-0.9169999957084656</v>
      </c>
    </row>
    <row r="1834">
      <c r="A1834" s="3" t="inlineStr">
        <is>
          <t>RWA.distn.dec.ove.mean.5</t>
        </is>
      </c>
      <c r="B1834" s="3" t="inlineStr">
        <is>
          <t>RWA</t>
        </is>
      </c>
      <c r="C1834" s="3" t="n">
        <v>2005</v>
      </c>
      <c r="D1834" s="3" t="inlineStr">
        <is>
          <t>Overall</t>
        </is>
      </c>
      <c r="E1834" s="3" t="inlineStr">
        <is>
          <t>Deciles</t>
        </is>
      </c>
      <c r="F1834" s="3" t="inlineStr">
        <is>
          <t>mean</t>
        </is>
      </c>
      <c r="G1834" s="3" t="n">
        <v>5</v>
      </c>
      <c r="H1834" s="3" t="n">
        <v>-0.7910000085830688</v>
      </c>
      <c r="I1834" s="3" t="n">
        <v>-0.7910000085830688</v>
      </c>
      <c r="J1834" s="3" t="n">
        <v>-0.9169999957084656</v>
      </c>
      <c r="K1834" s="3" t="n">
        <v>-0.9169999957084656</v>
      </c>
      <c r="L1834" s="3" t="n">
        <v>-0.7910000085830688</v>
      </c>
      <c r="M1834" s="3" t="n">
        <v>-0.7910000085830688</v>
      </c>
      <c r="N1834" s="3" t="n">
        <v>-0.7910000085830688</v>
      </c>
      <c r="O1834" s="3" t="n">
        <v>-0.7910000085830688</v>
      </c>
      <c r="P1834" s="3" t="n">
        <v>-0.7910000085830688</v>
      </c>
      <c r="Q1834" s="3" t="n">
        <v>-0.7910000085830688</v>
      </c>
      <c r="R1834" s="3" t="n">
        <v>-0.7749999761581421</v>
      </c>
      <c r="S1834" s="3" t="n">
        <v>-1.774999976158142</v>
      </c>
      <c r="T1834" s="3" t="n">
        <v>-0.7099999785423279</v>
      </c>
      <c r="U1834" s="3" t="n">
        <v>-0.9169999957084656</v>
      </c>
      <c r="V1834" s="3" t="n">
        <v>-0.6850000023841858</v>
      </c>
      <c r="W1834" s="3" t="n">
        <v>-0.6000000238418579</v>
      </c>
      <c r="X1834" s="3" t="n">
        <v>-1.726999998092651</v>
      </c>
      <c r="Y1834" s="3" t="n">
        <v>-0.7910000085830688</v>
      </c>
      <c r="Z1834" s="3" t="n">
        <v>-1.774999976158142</v>
      </c>
      <c r="AA1834" s="3" t="n">
        <v>-1.774999976158142</v>
      </c>
      <c r="AB1834" s="3" t="n">
        <v>-1.726999998092651</v>
      </c>
      <c r="AC1834" s="3" t="n">
        <v>-2.255000114440918</v>
      </c>
      <c r="AD1834" s="3" t="n">
        <v>-0.9169999957084656</v>
      </c>
      <c r="AE1834" s="3" t="n">
        <v>-0.9169999957084656</v>
      </c>
    </row>
    <row r="1835">
      <c r="A1835" s="3" t="inlineStr">
        <is>
          <t>RWA.distn.dec.ove.mean.6</t>
        </is>
      </c>
      <c r="B1835" s="3" t="inlineStr">
        <is>
          <t>RWA</t>
        </is>
      </c>
      <c r="C1835" s="3" t="n">
        <v>2005</v>
      </c>
      <c r="D1835" s="3" t="inlineStr">
        <is>
          <t>Overall</t>
        </is>
      </c>
      <c r="E1835" s="3" t="inlineStr">
        <is>
          <t>Deciles</t>
        </is>
      </c>
      <c r="F1835" s="3" t="inlineStr">
        <is>
          <t>mean</t>
        </is>
      </c>
      <c r="G1835" s="3" t="n">
        <v>6</v>
      </c>
      <c r="H1835" s="3" t="n">
        <v>-0.7910000085830688</v>
      </c>
      <c r="I1835" s="3" t="n">
        <v>-0.7910000085830688</v>
      </c>
      <c r="J1835" s="3" t="n">
        <v>-0.9169999957084656</v>
      </c>
      <c r="K1835" s="3" t="n">
        <v>-0.9169999957084656</v>
      </c>
      <c r="L1835" s="3" t="n">
        <v>-0.7910000085830688</v>
      </c>
      <c r="M1835" s="3" t="n">
        <v>-0.7910000085830688</v>
      </c>
      <c r="N1835" s="3" t="n">
        <v>-0.7910000085830688</v>
      </c>
      <c r="O1835" s="3" t="n">
        <v>-0.7910000085830688</v>
      </c>
      <c r="P1835" s="3" t="n">
        <v>-0.7910000085830688</v>
      </c>
      <c r="Q1835" s="3" t="n">
        <v>-0.7910000085830688</v>
      </c>
      <c r="R1835" s="3" t="n">
        <v>-0.7749999761581421</v>
      </c>
      <c r="S1835" s="3" t="n">
        <v>-1.774999976158142</v>
      </c>
      <c r="T1835" s="3" t="n">
        <v>-0.7099999785423279</v>
      </c>
      <c r="U1835" s="3" t="n">
        <v>-0.9169999957084656</v>
      </c>
      <c r="V1835" s="3" t="n">
        <v>-0.6850000023841858</v>
      </c>
      <c r="W1835" s="3" t="n">
        <v>-0.6000000238418579</v>
      </c>
      <c r="X1835" s="3" t="n">
        <v>-1.726999998092651</v>
      </c>
      <c r="Y1835" s="3" t="n">
        <v>-0.7910000085830688</v>
      </c>
      <c r="Z1835" s="3" t="n">
        <v>-1.774999976158142</v>
      </c>
      <c r="AA1835" s="3" t="n">
        <v>-1.774999976158142</v>
      </c>
      <c r="AB1835" s="3" t="n">
        <v>-1.726999998092651</v>
      </c>
      <c r="AC1835" s="3" t="n">
        <v>-2.255000114440918</v>
      </c>
      <c r="AD1835" s="3" t="n">
        <v>-0.9169999957084656</v>
      </c>
      <c r="AE1835" s="3" t="n">
        <v>-0.9169999957084656</v>
      </c>
    </row>
    <row r="1836">
      <c r="A1836" s="3" t="inlineStr">
        <is>
          <t>RWA.distn.dec.ove.mean.7</t>
        </is>
      </c>
      <c r="B1836" s="3" t="inlineStr">
        <is>
          <t>RWA</t>
        </is>
      </c>
      <c r="C1836" s="3" t="n">
        <v>2005</v>
      </c>
      <c r="D1836" s="3" t="inlineStr">
        <is>
          <t>Overall</t>
        </is>
      </c>
      <c r="E1836" s="3" t="inlineStr">
        <is>
          <t>Deciles</t>
        </is>
      </c>
      <c r="F1836" s="3" t="inlineStr">
        <is>
          <t>mean</t>
        </is>
      </c>
      <c r="G1836" s="3" t="n">
        <v>7</v>
      </c>
      <c r="H1836" s="3" t="n">
        <v>-0.7910000085830688</v>
      </c>
      <c r="I1836" s="3" t="n">
        <v>-0.7910000085830688</v>
      </c>
      <c r="J1836" s="3" t="n">
        <v>-0.9169999957084656</v>
      </c>
      <c r="K1836" s="3" t="n">
        <v>-0.9169999957084656</v>
      </c>
      <c r="L1836" s="3" t="n">
        <v>-0.7910000085830688</v>
      </c>
      <c r="M1836" s="3" t="n">
        <v>-0.7910000085830688</v>
      </c>
      <c r="N1836" s="3" t="n">
        <v>-0.7910000085830688</v>
      </c>
      <c r="O1836" s="3" t="n">
        <v>-0.7910000085830688</v>
      </c>
      <c r="P1836" s="3" t="n">
        <v>-0.7910000085830688</v>
      </c>
      <c r="Q1836" s="3" t="n">
        <v>-0.7910000085830688</v>
      </c>
      <c r="R1836" s="3" t="n">
        <v>-0.7749999761581421</v>
      </c>
      <c r="S1836" s="3" t="n">
        <v>-1.774999976158142</v>
      </c>
      <c r="T1836" s="3" t="n">
        <v>-0.7099999785423279</v>
      </c>
      <c r="U1836" s="3" t="n">
        <v>-0.9169999957084656</v>
      </c>
      <c r="V1836" s="3" t="n">
        <v>-0.6850000023841858</v>
      </c>
      <c r="W1836" s="3" t="n">
        <v>-0.6000000238418579</v>
      </c>
      <c r="X1836" s="3" t="n">
        <v>-1.726999998092651</v>
      </c>
      <c r="Y1836" s="3" t="n">
        <v>-0.7910000085830688</v>
      </c>
      <c r="Z1836" s="3" t="n">
        <v>-1.774999976158142</v>
      </c>
      <c r="AA1836" s="3" t="n">
        <v>-1.774999976158142</v>
      </c>
      <c r="AB1836" s="3" t="n">
        <v>-1.726999998092651</v>
      </c>
      <c r="AC1836" s="3" t="n">
        <v>-2.255000114440918</v>
      </c>
      <c r="AD1836" s="3" t="n">
        <v>-0.9169999957084656</v>
      </c>
      <c r="AE1836" s="3" t="n">
        <v>-0.9169999957084656</v>
      </c>
    </row>
    <row r="1837">
      <c r="A1837" s="3" t="inlineStr">
        <is>
          <t>RWA.distn.dec.ove.mean.8</t>
        </is>
      </c>
      <c r="B1837" s="3" t="inlineStr">
        <is>
          <t>RWA</t>
        </is>
      </c>
      <c r="C1837" s="3" t="n">
        <v>2005</v>
      </c>
      <c r="D1837" s="3" t="inlineStr">
        <is>
          <t>Overall</t>
        </is>
      </c>
      <c r="E1837" s="3" t="inlineStr">
        <is>
          <t>Deciles</t>
        </is>
      </c>
      <c r="F1837" s="3" t="inlineStr">
        <is>
          <t>mean</t>
        </is>
      </c>
      <c r="G1837" s="3" t="n">
        <v>8</v>
      </c>
      <c r="H1837" s="3" t="n">
        <v>-0.7913810610771179</v>
      </c>
      <c r="I1837" s="3" t="n">
        <v>-0.7913810610771179</v>
      </c>
      <c r="J1837" s="3" t="n">
        <v>-0.9194737076759338</v>
      </c>
      <c r="K1837" s="3" t="n">
        <v>-0.9194737076759338</v>
      </c>
      <c r="L1837" s="3" t="n">
        <v>-0.7913810610771179</v>
      </c>
      <c r="M1837" s="3" t="n">
        <v>-0.7913810610771179</v>
      </c>
      <c r="N1837" s="3" t="n">
        <v>-0.7913810610771179</v>
      </c>
      <c r="O1837" s="3" t="n">
        <v>-0.7913810610771179</v>
      </c>
      <c r="P1837" s="3" t="n">
        <v>-0.7913810610771179</v>
      </c>
      <c r="Q1837" s="3" t="n">
        <v>-0.7913810610771179</v>
      </c>
      <c r="R1837" s="3" t="n">
        <v>-0.7752549052238464</v>
      </c>
      <c r="S1837" s="3" t="n">
        <v>-1.791516542434692</v>
      </c>
      <c r="T1837" s="3" t="n">
        <v>-0.7100409269332886</v>
      </c>
      <c r="U1837" s="3" t="n">
        <v>-0.9194737076759338</v>
      </c>
      <c r="V1837" s="3" t="n">
        <v>-0.6857081055641174</v>
      </c>
      <c r="W1837" s="3" t="n">
        <v>-0.6160672903060913</v>
      </c>
      <c r="X1837" s="3" t="n">
        <v>-1.742736458778381</v>
      </c>
      <c r="Y1837" s="3" t="n">
        <v>-0.7913810610771179</v>
      </c>
      <c r="Z1837" s="3" t="n">
        <v>-1.791516542434692</v>
      </c>
      <c r="AA1837" s="3" t="n">
        <v>-1.791516542434692</v>
      </c>
      <c r="AB1837" s="3" t="n">
        <v>-1.742736458778381</v>
      </c>
      <c r="AC1837" s="3" t="n">
        <v>-2.287159204483032</v>
      </c>
      <c r="AD1837" s="3" t="n">
        <v>-0.9194737076759338</v>
      </c>
      <c r="AE1837" s="3" t="n">
        <v>-0.9194737076759338</v>
      </c>
    </row>
    <row r="1838">
      <c r="A1838" s="3" t="inlineStr">
        <is>
          <t>RWA.distn.dec.ove.mean.9</t>
        </is>
      </c>
      <c r="B1838" s="3" t="inlineStr">
        <is>
          <t>RWA</t>
        </is>
      </c>
      <c r="C1838" s="3" t="n">
        <v>2005</v>
      </c>
      <c r="D1838" s="3" t="inlineStr">
        <is>
          <t>Overall</t>
        </is>
      </c>
      <c r="E1838" s="3" t="inlineStr">
        <is>
          <t>Deciles</t>
        </is>
      </c>
      <c r="F1838" s="3" t="inlineStr">
        <is>
          <t>mean</t>
        </is>
      </c>
      <c r="G1838" s="3" t="n">
        <v>9</v>
      </c>
      <c r="H1838" s="3" t="n">
        <v>-0.7913810610771179</v>
      </c>
      <c r="I1838" s="3" t="n">
        <v>-0.7913810610771179</v>
      </c>
      <c r="J1838" s="3" t="n">
        <v>-0.9194737076759338</v>
      </c>
      <c r="K1838" s="3" t="n">
        <v>-0.9194737076759338</v>
      </c>
      <c r="L1838" s="3" t="n">
        <v>-0.7913810610771179</v>
      </c>
      <c r="M1838" s="3" t="n">
        <v>-0.7913810610771179</v>
      </c>
      <c r="N1838" s="3" t="n">
        <v>-0.7913810610771179</v>
      </c>
      <c r="O1838" s="3" t="n">
        <v>-0.7913810610771179</v>
      </c>
      <c r="P1838" s="3" t="n">
        <v>-0.7913810610771179</v>
      </c>
      <c r="Q1838" s="3" t="n">
        <v>-0.7913810610771179</v>
      </c>
      <c r="R1838" s="3" t="n">
        <v>-0.7752549052238464</v>
      </c>
      <c r="S1838" s="3" t="n">
        <v>-1.791516542434692</v>
      </c>
      <c r="T1838" s="3" t="n">
        <v>-0.7100409269332886</v>
      </c>
      <c r="U1838" s="3" t="n">
        <v>-0.9194737076759338</v>
      </c>
      <c r="V1838" s="3" t="n">
        <v>-0.6857081055641174</v>
      </c>
      <c r="W1838" s="3" t="n">
        <v>-0.6160672903060913</v>
      </c>
      <c r="X1838" s="3" t="n">
        <v>-1.742736458778381</v>
      </c>
      <c r="Y1838" s="3" t="n">
        <v>-0.7913810610771179</v>
      </c>
      <c r="Z1838" s="3" t="n">
        <v>-1.791516542434692</v>
      </c>
      <c r="AA1838" s="3" t="n">
        <v>-1.791516542434692</v>
      </c>
      <c r="AB1838" s="3" t="n">
        <v>-1.742736458778381</v>
      </c>
      <c r="AC1838" s="3" t="n">
        <v>-2.287159204483032</v>
      </c>
      <c r="AD1838" s="3" t="n">
        <v>-0.9194737076759338</v>
      </c>
      <c r="AE1838" s="3" t="n">
        <v>-0.9194737076759338</v>
      </c>
    </row>
    <row r="1839">
      <c r="A1839" s="3" t="inlineStr">
        <is>
          <t>RWA.distn.dec.ove.mean.10</t>
        </is>
      </c>
      <c r="B1839" s="3" t="inlineStr">
        <is>
          <t>RWA</t>
        </is>
      </c>
      <c r="C1839" s="3" t="n">
        <v>2005</v>
      </c>
      <c r="D1839" s="3" t="inlineStr">
        <is>
          <t>Overall</t>
        </is>
      </c>
      <c r="E1839" s="3" t="inlineStr">
        <is>
          <t>Deciles</t>
        </is>
      </c>
      <c r="F1839" s="3" t="inlineStr">
        <is>
          <t>mean</t>
        </is>
      </c>
      <c r="G1839" s="3" t="n">
        <v>10</v>
      </c>
      <c r="H1839" s="3" t="n">
        <v>-0.7913810610771179</v>
      </c>
      <c r="I1839" s="3" t="n">
        <v>-0.7913810610771179</v>
      </c>
      <c r="J1839" s="3" t="n">
        <v>-0.9194737076759338</v>
      </c>
      <c r="K1839" s="3" t="n">
        <v>-0.9194737076759338</v>
      </c>
      <c r="L1839" s="3" t="n">
        <v>-0.7913810610771179</v>
      </c>
      <c r="M1839" s="3" t="n">
        <v>-0.7913810610771179</v>
      </c>
      <c r="N1839" s="3" t="n">
        <v>-0.7913810610771179</v>
      </c>
      <c r="O1839" s="3" t="n">
        <v>-0.7913810610771179</v>
      </c>
      <c r="P1839" s="3" t="n">
        <v>-0.7913810610771179</v>
      </c>
      <c r="Q1839" s="3" t="n">
        <v>-0.7913810610771179</v>
      </c>
      <c r="R1839" s="3" t="n">
        <v>-0.7752549052238464</v>
      </c>
      <c r="S1839" s="3" t="n">
        <v>-1.791516542434692</v>
      </c>
      <c r="T1839" s="3" t="n">
        <v>-0.7100409269332886</v>
      </c>
      <c r="U1839" s="3" t="n">
        <v>-0.9194737076759338</v>
      </c>
      <c r="V1839" s="3" t="n">
        <v>-0.6857081055641174</v>
      </c>
      <c r="W1839" s="3" t="n">
        <v>-0.6160672903060913</v>
      </c>
      <c r="X1839" s="3" t="n">
        <v>-1.742736458778381</v>
      </c>
      <c r="Y1839" s="3" t="n">
        <v>-0.7913810610771179</v>
      </c>
      <c r="Z1839" s="3" t="n">
        <v>-1.791516542434692</v>
      </c>
      <c r="AA1839" s="3" t="n">
        <v>-1.791516542434692</v>
      </c>
      <c r="AB1839" s="3" t="n">
        <v>-1.742736458778381</v>
      </c>
      <c r="AC1839" s="3" t="n">
        <v>-2.287159204483032</v>
      </c>
      <c r="AD1839" s="3" t="n">
        <v>-0.9194737076759338</v>
      </c>
      <c r="AE1839" s="3" t="n">
        <v>-0.9194737076759338</v>
      </c>
    </row>
    <row r="1840">
      <c r="A1840" s="3" t="inlineStr">
        <is>
          <t>RWA.distn.bkt.ove.mean.9999</t>
        </is>
      </c>
      <c r="B1840" s="3" t="inlineStr">
        <is>
          <t>RWA</t>
        </is>
      </c>
      <c r="C1840" s="3" t="n">
        <v>2005</v>
      </c>
      <c r="D1840" s="3" t="inlineStr">
        <is>
          <t>Overall</t>
        </is>
      </c>
      <c r="E1840" s="3" t="inlineStr">
        <is>
          <t>Basket</t>
        </is>
      </c>
      <c r="F1840" s="3" t="inlineStr">
        <is>
          <t>mean</t>
        </is>
      </c>
      <c r="G1840" s="3" t="n">
        <v>9999</v>
      </c>
      <c r="H1840" s="3" t="n">
        <v>-0.7930081486701965</v>
      </c>
      <c r="I1840" s="3" t="n">
        <v>-0.7930081486701965</v>
      </c>
      <c r="J1840" s="3" t="n">
        <v>-0.9317101836204529</v>
      </c>
      <c r="K1840" s="3" t="n">
        <v>-0.9317101836204529</v>
      </c>
      <c r="L1840" s="3" t="n">
        <v>-0.7930081486701965</v>
      </c>
      <c r="M1840" s="3" t="n">
        <v>-0.7930081486701965</v>
      </c>
      <c r="N1840" s="3" t="n">
        <v>-0.7930081486701965</v>
      </c>
      <c r="O1840" s="3" t="n">
        <v>-0.7930081486701965</v>
      </c>
      <c r="P1840" s="3" t="n">
        <v>-0.7930081486701965</v>
      </c>
      <c r="Q1840" s="3" t="n">
        <v>-0.7930081486701965</v>
      </c>
      <c r="R1840" s="3" t="n">
        <v>-0.7761244773864746</v>
      </c>
      <c r="S1840" s="3" t="n">
        <v>-2.029265642166138</v>
      </c>
      <c r="T1840" s="3" t="n">
        <v>-0.7104492783546448</v>
      </c>
      <c r="U1840" s="3" t="n">
        <v>-0.9317101836204529</v>
      </c>
      <c r="V1840" s="3" t="n">
        <v>-0.6873235702514648</v>
      </c>
      <c r="W1840" s="3" t="n">
        <v>-0.6386969685554504</v>
      </c>
      <c r="X1840" s="3" t="n">
        <v>-1.947749137878418</v>
      </c>
      <c r="Y1840" s="3" t="n">
        <v>-0.7930081486701965</v>
      </c>
      <c r="Z1840" s="3" t="n">
        <v>-2.029265642166138</v>
      </c>
      <c r="AA1840" s="3" t="n">
        <v>-2.029265642166138</v>
      </c>
      <c r="AB1840" s="3" t="n">
        <v>-1.947749137878418</v>
      </c>
      <c r="AC1840" s="3" t="n">
        <v>-2.988993406295776</v>
      </c>
      <c r="AD1840" s="3" t="n">
        <v>-0.9317101836204529</v>
      </c>
      <c r="AE1840" s="3" t="n">
        <v>-0.9317101836204529</v>
      </c>
    </row>
    <row r="1841">
      <c r="A1841" s="3" t="inlineStr">
        <is>
          <t>SAU.distn.dec.ove.mean.1</t>
        </is>
      </c>
      <c r="B1841" s="3" t="inlineStr">
        <is>
          <t>SAU</t>
        </is>
      </c>
      <c r="C1841" s="3" t="n">
        <v>2005</v>
      </c>
      <c r="D1841" s="3" t="inlineStr">
        <is>
          <t>Overall</t>
        </is>
      </c>
      <c r="E1841" s="3" t="inlineStr">
        <is>
          <t>Deciles</t>
        </is>
      </c>
      <c r="F1841" s="3" t="inlineStr">
        <is>
          <t>mean</t>
        </is>
      </c>
      <c r="G1841" s="3" t="n">
        <v>1</v>
      </c>
      <c r="H1841" s="3" t="n">
        <v>-0.7882409691810608</v>
      </c>
      <c r="I1841" s="3" t="n">
        <v>-0.7882409691810608</v>
      </c>
      <c r="J1841" s="3" t="n">
        <v>-0.8921075463294983</v>
      </c>
      <c r="K1841" s="3" t="n">
        <v>-0.8921075463294983</v>
      </c>
      <c r="L1841" s="3" t="n">
        <v>-0.7882409691810608</v>
      </c>
      <c r="M1841" s="3" t="n">
        <v>-0.7882409691810608</v>
      </c>
      <c r="N1841" s="3" t="n">
        <v>-0.7882409691810608</v>
      </c>
      <c r="O1841" s="3" t="n">
        <v>-0.7882409691810608</v>
      </c>
      <c r="P1841" s="3" t="n">
        <v>-0.7882409691810608</v>
      </c>
      <c r="Q1841" s="3" t="n">
        <v>-0.7882409691810608</v>
      </c>
      <c r="R1841" s="3" t="n">
        <v>-0.7734707593917847</v>
      </c>
      <c r="S1841" s="3" t="n">
        <v>-1.428548097610474</v>
      </c>
      <c r="T1841" s="3" t="n">
        <v>-0.7094525694847107</v>
      </c>
      <c r="U1841" s="3" t="n">
        <v>-0.8921075463294983</v>
      </c>
      <c r="V1841" s="3" t="n">
        <v>-0.6829447150230408</v>
      </c>
      <c r="W1841" s="3" t="n">
        <v>-0.5929139256477356</v>
      </c>
      <c r="X1841" s="3" t="n">
        <v>-1.37445342540741</v>
      </c>
      <c r="Y1841" s="3" t="n">
        <v>-0.7882409691810608</v>
      </c>
      <c r="Z1841" s="3" t="n">
        <v>-1.428548097610474</v>
      </c>
      <c r="AA1841" s="3" t="n">
        <v>-1.428548097610474</v>
      </c>
      <c r="AB1841" s="3" t="n">
        <v>-1.37445342540741</v>
      </c>
      <c r="AC1841" s="3" t="n">
        <v>-2.168049335479736</v>
      </c>
      <c r="AD1841" s="3" t="n">
        <v>-0.8921075463294983</v>
      </c>
      <c r="AE1841" s="3" t="n">
        <v>-0.8921075463294983</v>
      </c>
    </row>
    <row r="1842">
      <c r="A1842" s="3" t="inlineStr">
        <is>
          <t>SAU.distn.dec.ove.mean.2</t>
        </is>
      </c>
      <c r="B1842" s="3" t="inlineStr">
        <is>
          <t>SAU</t>
        </is>
      </c>
      <c r="C1842" s="3" t="n">
        <v>2005</v>
      </c>
      <c r="D1842" s="3" t="inlineStr">
        <is>
          <t>Overall</t>
        </is>
      </c>
      <c r="E1842" s="3" t="inlineStr">
        <is>
          <t>Deciles</t>
        </is>
      </c>
      <c r="F1842" s="3" t="inlineStr">
        <is>
          <t>mean</t>
        </is>
      </c>
      <c r="G1842" s="3" t="n">
        <v>2</v>
      </c>
      <c r="H1842" s="3" t="n">
        <v>-0.7882409691810608</v>
      </c>
      <c r="I1842" s="3" t="n">
        <v>-0.7882409691810608</v>
      </c>
      <c r="J1842" s="3" t="n">
        <v>-0.8921075463294983</v>
      </c>
      <c r="K1842" s="3" t="n">
        <v>-0.8921075463294983</v>
      </c>
      <c r="L1842" s="3" t="n">
        <v>-0.7882409691810608</v>
      </c>
      <c r="M1842" s="3" t="n">
        <v>-0.7882409691810608</v>
      </c>
      <c r="N1842" s="3" t="n">
        <v>-0.7882409691810608</v>
      </c>
      <c r="O1842" s="3" t="n">
        <v>-0.7882409691810608</v>
      </c>
      <c r="P1842" s="3" t="n">
        <v>-0.7882409691810608</v>
      </c>
      <c r="Q1842" s="3" t="n">
        <v>-0.7882409691810608</v>
      </c>
      <c r="R1842" s="3" t="n">
        <v>-0.7734707593917847</v>
      </c>
      <c r="S1842" s="3" t="n">
        <v>-1.428548097610474</v>
      </c>
      <c r="T1842" s="3" t="n">
        <v>-0.7094525694847107</v>
      </c>
      <c r="U1842" s="3" t="n">
        <v>-0.8921075463294983</v>
      </c>
      <c r="V1842" s="3" t="n">
        <v>-0.6829447150230408</v>
      </c>
      <c r="W1842" s="3" t="n">
        <v>-0.5929139256477356</v>
      </c>
      <c r="X1842" s="3" t="n">
        <v>-1.37445342540741</v>
      </c>
      <c r="Y1842" s="3" t="n">
        <v>-0.7882409691810608</v>
      </c>
      <c r="Z1842" s="3" t="n">
        <v>-1.428548097610474</v>
      </c>
      <c r="AA1842" s="3" t="n">
        <v>-1.428548097610474</v>
      </c>
      <c r="AB1842" s="3" t="n">
        <v>-1.37445342540741</v>
      </c>
      <c r="AC1842" s="3" t="n">
        <v>-2.168049335479736</v>
      </c>
      <c r="AD1842" s="3" t="n">
        <v>-0.8921075463294983</v>
      </c>
      <c r="AE1842" s="3" t="n">
        <v>-0.8921075463294983</v>
      </c>
    </row>
    <row r="1843">
      <c r="A1843" s="3" t="inlineStr">
        <is>
          <t>SAU.distn.dec.ove.mean.3</t>
        </is>
      </c>
      <c r="B1843" s="3" t="inlineStr">
        <is>
          <t>SAU</t>
        </is>
      </c>
      <c r="C1843" s="3" t="n">
        <v>2005</v>
      </c>
      <c r="D1843" s="3" t="inlineStr">
        <is>
          <t>Overall</t>
        </is>
      </c>
      <c r="E1843" s="3" t="inlineStr">
        <is>
          <t>Deciles</t>
        </is>
      </c>
      <c r="F1843" s="3" t="inlineStr">
        <is>
          <t>mean</t>
        </is>
      </c>
      <c r="G1843" s="3" t="n">
        <v>3</v>
      </c>
      <c r="H1843" s="3" t="n">
        <v>-0.7882409691810608</v>
      </c>
      <c r="I1843" s="3" t="n">
        <v>-0.7882409691810608</v>
      </c>
      <c r="J1843" s="3" t="n">
        <v>-0.8921075463294983</v>
      </c>
      <c r="K1843" s="3" t="n">
        <v>-0.8921075463294983</v>
      </c>
      <c r="L1843" s="3" t="n">
        <v>-0.7882409691810608</v>
      </c>
      <c r="M1843" s="3" t="n">
        <v>-0.7882409691810608</v>
      </c>
      <c r="N1843" s="3" t="n">
        <v>-0.7882409691810608</v>
      </c>
      <c r="O1843" s="3" t="n">
        <v>-0.7882409691810608</v>
      </c>
      <c r="P1843" s="3" t="n">
        <v>-0.7882409691810608</v>
      </c>
      <c r="Q1843" s="3" t="n">
        <v>-0.7882409691810608</v>
      </c>
      <c r="R1843" s="3" t="n">
        <v>-0.7734707593917847</v>
      </c>
      <c r="S1843" s="3" t="n">
        <v>-1.428548097610474</v>
      </c>
      <c r="T1843" s="3" t="n">
        <v>-0.7094525694847107</v>
      </c>
      <c r="U1843" s="3" t="n">
        <v>-0.8921075463294983</v>
      </c>
      <c r="V1843" s="3" t="n">
        <v>-0.6829447150230408</v>
      </c>
      <c r="W1843" s="3" t="n">
        <v>-0.5929139256477356</v>
      </c>
      <c r="X1843" s="3" t="n">
        <v>-1.37445342540741</v>
      </c>
      <c r="Y1843" s="3" t="n">
        <v>-0.7882409691810608</v>
      </c>
      <c r="Z1843" s="3" t="n">
        <v>-1.428548097610474</v>
      </c>
      <c r="AA1843" s="3" t="n">
        <v>-1.428548097610474</v>
      </c>
      <c r="AB1843" s="3" t="n">
        <v>-1.37445342540741</v>
      </c>
      <c r="AC1843" s="3" t="n">
        <v>-2.168049335479736</v>
      </c>
      <c r="AD1843" s="3" t="n">
        <v>-0.8921075463294983</v>
      </c>
      <c r="AE1843" s="3" t="n">
        <v>-0.8921075463294983</v>
      </c>
    </row>
    <row r="1844">
      <c r="A1844" s="3" t="inlineStr">
        <is>
          <t>SAU.distn.dec.ove.mean.4</t>
        </is>
      </c>
      <c r="B1844" s="3" t="inlineStr">
        <is>
          <t>SAU</t>
        </is>
      </c>
      <c r="C1844" s="3" t="n">
        <v>2005</v>
      </c>
      <c r="D1844" s="3" t="inlineStr">
        <is>
          <t>Overall</t>
        </is>
      </c>
      <c r="E1844" s="3" t="inlineStr">
        <is>
          <t>Deciles</t>
        </is>
      </c>
      <c r="F1844" s="3" t="inlineStr">
        <is>
          <t>mean</t>
        </is>
      </c>
      <c r="G1844" s="3" t="n">
        <v>4</v>
      </c>
      <c r="H1844" s="3" t="n">
        <v>-0.7820000052452087</v>
      </c>
      <c r="I1844" s="3" t="n">
        <v>-0.7820000052452087</v>
      </c>
      <c r="J1844" s="3" t="n">
        <v>-0.8489999771118164</v>
      </c>
      <c r="K1844" s="3" t="n">
        <v>-0.8489999771118164</v>
      </c>
      <c r="L1844" s="3" t="n">
        <v>-0.7820000052452087</v>
      </c>
      <c r="M1844" s="3" t="n">
        <v>-0.7820000052452087</v>
      </c>
      <c r="N1844" s="3" t="n">
        <v>-0.7820000052452087</v>
      </c>
      <c r="O1844" s="3" t="n">
        <v>-0.7820000052452087</v>
      </c>
      <c r="P1844" s="3" t="n">
        <v>-0.7820000052452087</v>
      </c>
      <c r="Q1844" s="3" t="n">
        <v>-0.7820000052452087</v>
      </c>
      <c r="R1844" s="3" t="n">
        <v>-0.7699999809265137</v>
      </c>
      <c r="S1844" s="3" t="n">
        <v>-0.9729999899864197</v>
      </c>
      <c r="T1844" s="3" t="n">
        <v>-0.7080000042915344</v>
      </c>
      <c r="U1844" s="3" t="n">
        <v>-0.8489999771118164</v>
      </c>
      <c r="V1844" s="3" t="n">
        <v>-0.6759999990463257</v>
      </c>
      <c r="W1844" s="3" t="n">
        <v>-0.4990000128746033</v>
      </c>
      <c r="X1844" s="3" t="n">
        <v>-0.9700000286102295</v>
      </c>
      <c r="Y1844" s="3" t="n">
        <v>-0.7820000052452087</v>
      </c>
      <c r="Z1844" s="3" t="n">
        <v>-0.9729999899864197</v>
      </c>
      <c r="AA1844" s="3" t="n">
        <v>-0.9729999899864197</v>
      </c>
      <c r="AB1844" s="3" t="n">
        <v>-0.9700000286102295</v>
      </c>
      <c r="AC1844" s="3" t="n">
        <v>-1.047000050544739</v>
      </c>
      <c r="AD1844" s="3" t="n">
        <v>-0.8489999771118164</v>
      </c>
      <c r="AE1844" s="3" t="n">
        <v>-0.8489999771118164</v>
      </c>
    </row>
    <row r="1845">
      <c r="A1845" s="3" t="inlineStr">
        <is>
          <t>SAU.distn.dec.ove.mean.5</t>
        </is>
      </c>
      <c r="B1845" s="3" t="inlineStr">
        <is>
          <t>SAU</t>
        </is>
      </c>
      <c r="C1845" s="3" t="n">
        <v>2005</v>
      </c>
      <c r="D1845" s="3" t="inlineStr">
        <is>
          <t>Overall</t>
        </is>
      </c>
      <c r="E1845" s="3" t="inlineStr">
        <is>
          <t>Deciles</t>
        </is>
      </c>
      <c r="F1845" s="3" t="inlineStr">
        <is>
          <t>mean</t>
        </is>
      </c>
      <c r="G1845" s="3" t="n">
        <v>5</v>
      </c>
      <c r="H1845" s="3" t="n">
        <v>-0.7820000052452087</v>
      </c>
      <c r="I1845" s="3" t="n">
        <v>-0.7820000052452087</v>
      </c>
      <c r="J1845" s="3" t="n">
        <v>-0.8489999771118164</v>
      </c>
      <c r="K1845" s="3" t="n">
        <v>-0.8489999771118164</v>
      </c>
      <c r="L1845" s="3" t="n">
        <v>-0.7820000052452087</v>
      </c>
      <c r="M1845" s="3" t="n">
        <v>-0.7820000052452087</v>
      </c>
      <c r="N1845" s="3" t="n">
        <v>-0.7820000052452087</v>
      </c>
      <c r="O1845" s="3" t="n">
        <v>-0.7820000052452087</v>
      </c>
      <c r="P1845" s="3" t="n">
        <v>-0.7820000052452087</v>
      </c>
      <c r="Q1845" s="3" t="n">
        <v>-0.7820000052452087</v>
      </c>
      <c r="R1845" s="3" t="n">
        <v>-0.7699999809265137</v>
      </c>
      <c r="S1845" s="3" t="n">
        <v>-0.9729999899864197</v>
      </c>
      <c r="T1845" s="3" t="n">
        <v>-0.7080000042915344</v>
      </c>
      <c r="U1845" s="3" t="n">
        <v>-0.8489999771118164</v>
      </c>
      <c r="V1845" s="3" t="n">
        <v>-0.6759999990463257</v>
      </c>
      <c r="W1845" s="3" t="n">
        <v>-0.4990000128746033</v>
      </c>
      <c r="X1845" s="3" t="n">
        <v>-0.9700000286102295</v>
      </c>
      <c r="Y1845" s="3" t="n">
        <v>-0.7820000052452087</v>
      </c>
      <c r="Z1845" s="3" t="n">
        <v>-0.9729999899864197</v>
      </c>
      <c r="AA1845" s="3" t="n">
        <v>-0.9729999899864197</v>
      </c>
      <c r="AB1845" s="3" t="n">
        <v>-0.9700000286102295</v>
      </c>
      <c r="AC1845" s="3" t="n">
        <v>-1.047000050544739</v>
      </c>
      <c r="AD1845" s="3" t="n">
        <v>-0.8489999771118164</v>
      </c>
      <c r="AE1845" s="3" t="n">
        <v>-0.8489999771118164</v>
      </c>
    </row>
    <row r="1846">
      <c r="A1846" s="3" t="inlineStr">
        <is>
          <t>SAU.distn.dec.ove.mean.6</t>
        </is>
      </c>
      <c r="B1846" s="3" t="inlineStr">
        <is>
          <t>SAU</t>
        </is>
      </c>
      <c r="C1846" s="3" t="n">
        <v>2005</v>
      </c>
      <c r="D1846" s="3" t="inlineStr">
        <is>
          <t>Overall</t>
        </is>
      </c>
      <c r="E1846" s="3" t="inlineStr">
        <is>
          <t>Deciles</t>
        </is>
      </c>
      <c r="F1846" s="3" t="inlineStr">
        <is>
          <t>mean</t>
        </is>
      </c>
      <c r="G1846" s="3" t="n">
        <v>6</v>
      </c>
      <c r="H1846" s="3" t="n">
        <v>-0.7820000052452087</v>
      </c>
      <c r="I1846" s="3" t="n">
        <v>-0.7820000052452087</v>
      </c>
      <c r="J1846" s="3" t="n">
        <v>-0.8489999771118164</v>
      </c>
      <c r="K1846" s="3" t="n">
        <v>-0.8489999771118164</v>
      </c>
      <c r="L1846" s="3" t="n">
        <v>-0.7820000052452087</v>
      </c>
      <c r="M1846" s="3" t="n">
        <v>-0.7820000052452087</v>
      </c>
      <c r="N1846" s="3" t="n">
        <v>-0.7820000052452087</v>
      </c>
      <c r="O1846" s="3" t="n">
        <v>-0.7820000052452087</v>
      </c>
      <c r="P1846" s="3" t="n">
        <v>-0.7820000052452087</v>
      </c>
      <c r="Q1846" s="3" t="n">
        <v>-0.7820000052452087</v>
      </c>
      <c r="R1846" s="3" t="n">
        <v>-0.7699999809265137</v>
      </c>
      <c r="S1846" s="3" t="n">
        <v>-0.9729999899864197</v>
      </c>
      <c r="T1846" s="3" t="n">
        <v>-0.7080000042915344</v>
      </c>
      <c r="U1846" s="3" t="n">
        <v>-0.8489999771118164</v>
      </c>
      <c r="V1846" s="3" t="n">
        <v>-0.6759999990463257</v>
      </c>
      <c r="W1846" s="3" t="n">
        <v>-0.4990000128746033</v>
      </c>
      <c r="X1846" s="3" t="n">
        <v>-0.9700000286102295</v>
      </c>
      <c r="Y1846" s="3" t="n">
        <v>-0.7820000052452087</v>
      </c>
      <c r="Z1846" s="3" t="n">
        <v>-0.9729999899864197</v>
      </c>
      <c r="AA1846" s="3" t="n">
        <v>-0.9729999899864197</v>
      </c>
      <c r="AB1846" s="3" t="n">
        <v>-0.9700000286102295</v>
      </c>
      <c r="AC1846" s="3" t="n">
        <v>-1.047000050544739</v>
      </c>
      <c r="AD1846" s="3" t="n">
        <v>-0.8489999771118164</v>
      </c>
      <c r="AE1846" s="3" t="n">
        <v>-0.8489999771118164</v>
      </c>
    </row>
    <row r="1847">
      <c r="A1847" s="3" t="inlineStr">
        <is>
          <t>SAU.distn.dec.ove.mean.7</t>
        </is>
      </c>
      <c r="B1847" s="3" t="inlineStr">
        <is>
          <t>SAU</t>
        </is>
      </c>
      <c r="C1847" s="3" t="n">
        <v>2005</v>
      </c>
      <c r="D1847" s="3" t="inlineStr">
        <is>
          <t>Overall</t>
        </is>
      </c>
      <c r="E1847" s="3" t="inlineStr">
        <is>
          <t>Deciles</t>
        </is>
      </c>
      <c r="F1847" s="3" t="inlineStr">
        <is>
          <t>mean</t>
        </is>
      </c>
      <c r="G1847" s="3" t="n">
        <v>7</v>
      </c>
      <c r="H1847" s="3" t="n">
        <v>-0.7820000052452087</v>
      </c>
      <c r="I1847" s="3" t="n">
        <v>-0.7820000052452087</v>
      </c>
      <c r="J1847" s="3" t="n">
        <v>-0.8489999771118164</v>
      </c>
      <c r="K1847" s="3" t="n">
        <v>-0.8489999771118164</v>
      </c>
      <c r="L1847" s="3" t="n">
        <v>-0.7820000052452087</v>
      </c>
      <c r="M1847" s="3" t="n">
        <v>-0.7820000052452087</v>
      </c>
      <c r="N1847" s="3" t="n">
        <v>-0.7820000052452087</v>
      </c>
      <c r="O1847" s="3" t="n">
        <v>-0.7820000052452087</v>
      </c>
      <c r="P1847" s="3" t="n">
        <v>-0.7820000052452087</v>
      </c>
      <c r="Q1847" s="3" t="n">
        <v>-0.7820000052452087</v>
      </c>
      <c r="R1847" s="3" t="n">
        <v>-0.7699999809265137</v>
      </c>
      <c r="S1847" s="3" t="n">
        <v>-0.9729999899864197</v>
      </c>
      <c r="T1847" s="3" t="n">
        <v>-0.7080000042915344</v>
      </c>
      <c r="U1847" s="3" t="n">
        <v>-0.8489999771118164</v>
      </c>
      <c r="V1847" s="3" t="n">
        <v>-0.6759999990463257</v>
      </c>
      <c r="W1847" s="3" t="n">
        <v>-0.4990000128746033</v>
      </c>
      <c r="X1847" s="3" t="n">
        <v>-0.9700000286102295</v>
      </c>
      <c r="Y1847" s="3" t="n">
        <v>-0.7820000052452087</v>
      </c>
      <c r="Z1847" s="3" t="n">
        <v>-0.9729999899864197</v>
      </c>
      <c r="AA1847" s="3" t="n">
        <v>-0.9729999899864197</v>
      </c>
      <c r="AB1847" s="3" t="n">
        <v>-0.9700000286102295</v>
      </c>
      <c r="AC1847" s="3" t="n">
        <v>-1.047000050544739</v>
      </c>
      <c r="AD1847" s="3" t="n">
        <v>-0.8489999771118164</v>
      </c>
      <c r="AE1847" s="3" t="n">
        <v>-0.8489999771118164</v>
      </c>
    </row>
    <row r="1848">
      <c r="A1848" s="3" t="inlineStr">
        <is>
          <t>SAU.distn.dec.ove.mean.8</t>
        </is>
      </c>
      <c r="B1848" s="3" t="inlineStr">
        <is>
          <t>SAU</t>
        </is>
      </c>
      <c r="C1848" s="3" t="n">
        <v>2005</v>
      </c>
      <c r="D1848" s="3" t="inlineStr">
        <is>
          <t>Overall</t>
        </is>
      </c>
      <c r="E1848" s="3" t="inlineStr">
        <is>
          <t>Deciles</t>
        </is>
      </c>
      <c r="F1848" s="3" t="inlineStr">
        <is>
          <t>mean</t>
        </is>
      </c>
      <c r="G1848" s="3" t="n">
        <v>8</v>
      </c>
      <c r="H1848" s="3" t="n">
        <v>-0.782376766204834</v>
      </c>
      <c r="I1848" s="3" t="n">
        <v>-0.782376766204834</v>
      </c>
      <c r="J1848" s="3" t="n">
        <v>-0.851290225982666</v>
      </c>
      <c r="K1848" s="3" t="n">
        <v>-0.851290225982666</v>
      </c>
      <c r="L1848" s="3" t="n">
        <v>-0.782376766204834</v>
      </c>
      <c r="M1848" s="3" t="n">
        <v>-0.782376766204834</v>
      </c>
      <c r="N1848" s="3" t="n">
        <v>-0.782376766204834</v>
      </c>
      <c r="O1848" s="3" t="n">
        <v>-0.782376766204834</v>
      </c>
      <c r="P1848" s="3" t="n">
        <v>-0.782376766204834</v>
      </c>
      <c r="Q1848" s="3" t="n">
        <v>-0.782376766204834</v>
      </c>
      <c r="R1848" s="3" t="n">
        <v>-0.7702532410621643</v>
      </c>
      <c r="S1848" s="3" t="n">
        <v>-0.9820538759231567</v>
      </c>
      <c r="T1848" s="3" t="n">
        <v>-0.7080408334732056</v>
      </c>
      <c r="U1848" s="3" t="n">
        <v>-0.851290225982666</v>
      </c>
      <c r="V1848" s="3" t="n">
        <v>-0.6766988039016724</v>
      </c>
      <c r="W1848" s="3" t="n">
        <v>-0.5123625993728638</v>
      </c>
      <c r="X1848" s="3" t="n">
        <v>-0.9788386225700378</v>
      </c>
      <c r="Y1848" s="3" t="n">
        <v>-0.782376766204834</v>
      </c>
      <c r="Z1848" s="3" t="n">
        <v>-0.9820538759231567</v>
      </c>
      <c r="AA1848" s="3" t="n">
        <v>-0.9820538759231567</v>
      </c>
      <c r="AB1848" s="3" t="n">
        <v>-0.9788386225700378</v>
      </c>
      <c r="AC1848" s="3" t="n">
        <v>-1.061931610107422</v>
      </c>
      <c r="AD1848" s="3" t="n">
        <v>-0.851290225982666</v>
      </c>
      <c r="AE1848" s="3" t="n">
        <v>-0.851290225982666</v>
      </c>
    </row>
    <row r="1849">
      <c r="A1849" s="3" t="inlineStr">
        <is>
          <t>SAU.distn.dec.ove.mean.9</t>
        </is>
      </c>
      <c r="B1849" s="3" t="inlineStr">
        <is>
          <t>SAU</t>
        </is>
      </c>
      <c r="C1849" s="3" t="n">
        <v>2005</v>
      </c>
      <c r="D1849" s="3" t="inlineStr">
        <is>
          <t>Overall</t>
        </is>
      </c>
      <c r="E1849" s="3" t="inlineStr">
        <is>
          <t>Deciles</t>
        </is>
      </c>
      <c r="F1849" s="3" t="inlineStr">
        <is>
          <t>mean</t>
        </is>
      </c>
      <c r="G1849" s="3" t="n">
        <v>9</v>
      </c>
      <c r="H1849" s="3" t="n">
        <v>-0.782376766204834</v>
      </c>
      <c r="I1849" s="3" t="n">
        <v>-0.782376766204834</v>
      </c>
      <c r="J1849" s="3" t="n">
        <v>-0.851290225982666</v>
      </c>
      <c r="K1849" s="3" t="n">
        <v>-0.851290225982666</v>
      </c>
      <c r="L1849" s="3" t="n">
        <v>-0.782376766204834</v>
      </c>
      <c r="M1849" s="3" t="n">
        <v>-0.782376766204834</v>
      </c>
      <c r="N1849" s="3" t="n">
        <v>-0.782376766204834</v>
      </c>
      <c r="O1849" s="3" t="n">
        <v>-0.782376766204834</v>
      </c>
      <c r="P1849" s="3" t="n">
        <v>-0.782376766204834</v>
      </c>
      <c r="Q1849" s="3" t="n">
        <v>-0.782376766204834</v>
      </c>
      <c r="R1849" s="3" t="n">
        <v>-0.7702532410621643</v>
      </c>
      <c r="S1849" s="3" t="n">
        <v>-0.9820538759231567</v>
      </c>
      <c r="T1849" s="3" t="n">
        <v>-0.7080408334732056</v>
      </c>
      <c r="U1849" s="3" t="n">
        <v>-0.851290225982666</v>
      </c>
      <c r="V1849" s="3" t="n">
        <v>-0.6766988039016724</v>
      </c>
      <c r="W1849" s="3" t="n">
        <v>-0.5123625993728638</v>
      </c>
      <c r="X1849" s="3" t="n">
        <v>-0.9788386225700378</v>
      </c>
      <c r="Y1849" s="3" t="n">
        <v>-0.782376766204834</v>
      </c>
      <c r="Z1849" s="3" t="n">
        <v>-0.9820538759231567</v>
      </c>
      <c r="AA1849" s="3" t="n">
        <v>-0.9820538759231567</v>
      </c>
      <c r="AB1849" s="3" t="n">
        <v>-0.9788386225700378</v>
      </c>
      <c r="AC1849" s="3" t="n">
        <v>-1.061931610107422</v>
      </c>
      <c r="AD1849" s="3" t="n">
        <v>-0.851290225982666</v>
      </c>
      <c r="AE1849" s="3" t="n">
        <v>-0.851290225982666</v>
      </c>
    </row>
    <row r="1850">
      <c r="A1850" s="3" t="inlineStr">
        <is>
          <t>SAU.distn.dec.ove.mean.10</t>
        </is>
      </c>
      <c r="B1850" s="3" t="inlineStr">
        <is>
          <t>SAU</t>
        </is>
      </c>
      <c r="C1850" s="3" t="n">
        <v>2005</v>
      </c>
      <c r="D1850" s="3" t="inlineStr">
        <is>
          <t>Overall</t>
        </is>
      </c>
      <c r="E1850" s="3" t="inlineStr">
        <is>
          <t>Deciles</t>
        </is>
      </c>
      <c r="F1850" s="3" t="inlineStr">
        <is>
          <t>mean</t>
        </is>
      </c>
      <c r="G1850" s="3" t="n">
        <v>10</v>
      </c>
      <c r="H1850" s="3" t="n">
        <v>-0.782376766204834</v>
      </c>
      <c r="I1850" s="3" t="n">
        <v>-0.782376766204834</v>
      </c>
      <c r="J1850" s="3" t="n">
        <v>-0.851290225982666</v>
      </c>
      <c r="K1850" s="3" t="n">
        <v>-0.851290225982666</v>
      </c>
      <c r="L1850" s="3" t="n">
        <v>-0.782376766204834</v>
      </c>
      <c r="M1850" s="3" t="n">
        <v>-0.782376766204834</v>
      </c>
      <c r="N1850" s="3" t="n">
        <v>-0.782376766204834</v>
      </c>
      <c r="O1850" s="3" t="n">
        <v>-0.782376766204834</v>
      </c>
      <c r="P1850" s="3" t="n">
        <v>-0.782376766204834</v>
      </c>
      <c r="Q1850" s="3" t="n">
        <v>-0.782376766204834</v>
      </c>
      <c r="R1850" s="3" t="n">
        <v>-0.7702532410621643</v>
      </c>
      <c r="S1850" s="3" t="n">
        <v>-0.9820538759231567</v>
      </c>
      <c r="T1850" s="3" t="n">
        <v>-0.7080408334732056</v>
      </c>
      <c r="U1850" s="3" t="n">
        <v>-0.851290225982666</v>
      </c>
      <c r="V1850" s="3" t="n">
        <v>-0.6766988039016724</v>
      </c>
      <c r="W1850" s="3" t="n">
        <v>-0.5123625993728638</v>
      </c>
      <c r="X1850" s="3" t="n">
        <v>-0.9788386225700378</v>
      </c>
      <c r="Y1850" s="3" t="n">
        <v>-0.782376766204834</v>
      </c>
      <c r="Z1850" s="3" t="n">
        <v>-0.9820538759231567</v>
      </c>
      <c r="AA1850" s="3" t="n">
        <v>-0.9820538759231567</v>
      </c>
      <c r="AB1850" s="3" t="n">
        <v>-0.9788386225700378</v>
      </c>
      <c r="AC1850" s="3" t="n">
        <v>-1.061931610107422</v>
      </c>
      <c r="AD1850" s="3" t="n">
        <v>-0.851290225982666</v>
      </c>
      <c r="AE1850" s="3" t="n">
        <v>-0.851290225982666</v>
      </c>
    </row>
    <row r="1851">
      <c r="A1851" s="3" t="inlineStr">
        <is>
          <t>SAU.distn.bkt.ove.mean.9999</t>
        </is>
      </c>
      <c r="B1851" s="3" t="inlineStr">
        <is>
          <t>SAU</t>
        </is>
      </c>
      <c r="C1851" s="3" t="n">
        <v>2005</v>
      </c>
      <c r="D1851" s="3" t="inlineStr">
        <is>
          <t>Overall</t>
        </is>
      </c>
      <c r="E1851" s="3" t="inlineStr">
        <is>
          <t>Basket</t>
        </is>
      </c>
      <c r="F1851" s="3" t="inlineStr">
        <is>
          <t>mean</t>
        </is>
      </c>
      <c r="G1851" s="3" t="n">
        <v>9999</v>
      </c>
      <c r="H1851" s="3" t="n">
        <v>-0.7839853167533875</v>
      </c>
      <c r="I1851" s="3" t="n">
        <v>-0.7839853167533875</v>
      </c>
      <c r="J1851" s="3" t="n">
        <v>-0.8626193404197693</v>
      </c>
      <c r="K1851" s="3" t="n">
        <v>-0.8626193404197693</v>
      </c>
      <c r="L1851" s="3" t="n">
        <v>-0.7839853167533875</v>
      </c>
      <c r="M1851" s="3" t="n">
        <v>-0.7839853167533875</v>
      </c>
      <c r="N1851" s="3" t="n">
        <v>-0.7839853167533875</v>
      </c>
      <c r="O1851" s="3" t="n">
        <v>-0.7839853167533875</v>
      </c>
      <c r="P1851" s="3" t="n">
        <v>-0.7839853167533875</v>
      </c>
      <c r="Q1851" s="3" t="n">
        <v>-0.7839853167533875</v>
      </c>
      <c r="R1851" s="3" t="n">
        <v>-0.7711172103881836</v>
      </c>
      <c r="S1851" s="3" t="n">
        <v>-1.112380623817444</v>
      </c>
      <c r="T1851" s="3" t="n">
        <v>-0.708448052406311</v>
      </c>
      <c r="U1851" s="3" t="n">
        <v>-0.8626193404197693</v>
      </c>
      <c r="V1851" s="3" t="n">
        <v>-0.6782930493354797</v>
      </c>
      <c r="W1851" s="3" t="n">
        <v>-0.5311829447746277</v>
      </c>
      <c r="X1851" s="3" t="n">
        <v>-1.093987584114075</v>
      </c>
      <c r="Y1851" s="3" t="n">
        <v>-0.7839853167533875</v>
      </c>
      <c r="Z1851" s="3" t="n">
        <v>-1.112380623817444</v>
      </c>
      <c r="AA1851" s="3" t="n">
        <v>-1.112380623817444</v>
      </c>
      <c r="AB1851" s="3" t="n">
        <v>-1.093987584114075</v>
      </c>
      <c r="AC1851" s="3" t="n">
        <v>-1.387794256210327</v>
      </c>
      <c r="AD1851" s="3" t="n">
        <v>-0.8626193404197693</v>
      </c>
      <c r="AE1851" s="3" t="n">
        <v>-0.8626193404197693</v>
      </c>
    </row>
    <row r="1852">
      <c r="A1852" s="3" t="inlineStr">
        <is>
          <t>SDN.distn.dec.ove.mean.1</t>
        </is>
      </c>
      <c r="B1852" s="3" t="inlineStr">
        <is>
          <t>SDN</t>
        </is>
      </c>
      <c r="C1852" s="3" t="n">
        <v>2005</v>
      </c>
      <c r="D1852" s="3" t="inlineStr">
        <is>
          <t>Overall</t>
        </is>
      </c>
      <c r="E1852" s="3" t="inlineStr">
        <is>
          <t>Deciles</t>
        </is>
      </c>
      <c r="F1852" s="3" t="inlineStr">
        <is>
          <t>mean</t>
        </is>
      </c>
      <c r="G1852" s="3" t="n">
        <v>1</v>
      </c>
      <c r="H1852" s="3" t="n">
        <v>-0.7932808399200439</v>
      </c>
      <c r="I1852" s="3" t="n">
        <v>-0.7932808399200439</v>
      </c>
      <c r="J1852" s="3" t="n">
        <v>-0.921529233455658</v>
      </c>
      <c r="K1852" s="3" t="n">
        <v>-0.921529233455658</v>
      </c>
      <c r="L1852" s="3" t="n">
        <v>-0.7932808399200439</v>
      </c>
      <c r="M1852" s="3" t="n">
        <v>-0.7932808399200439</v>
      </c>
      <c r="N1852" s="3" t="n">
        <v>-0.7932808399200439</v>
      </c>
      <c r="O1852" s="3" t="n">
        <v>-0.7932808399200439</v>
      </c>
      <c r="P1852" s="3" t="n">
        <v>-0.7932808399200439</v>
      </c>
      <c r="Q1852" s="3" t="n">
        <v>-0.7932808399200439</v>
      </c>
      <c r="R1852" s="3" t="n">
        <v>-0.7764842510223389</v>
      </c>
      <c r="S1852" s="3" t="n">
        <v>-1.666394829750061</v>
      </c>
      <c r="T1852" s="3" t="n">
        <v>-0.7104546427726746</v>
      </c>
      <c r="U1852" s="3" t="n">
        <v>-0.921529233455658</v>
      </c>
      <c r="V1852" s="3" t="n">
        <v>-0.6879960894584656</v>
      </c>
      <c r="W1852" s="3" t="n">
        <v>-0.6725236177444458</v>
      </c>
      <c r="X1852" s="3" t="n">
        <v>-1.598333477973938</v>
      </c>
      <c r="Y1852" s="3" t="n">
        <v>-0.7932808399200439</v>
      </c>
      <c r="Z1852" s="3" t="n">
        <v>-1.666394829750061</v>
      </c>
      <c r="AA1852" s="3" t="n">
        <v>-1.666394829750061</v>
      </c>
      <c r="AB1852" s="3" t="n">
        <v>-1.598333477973938</v>
      </c>
      <c r="AC1852" s="3" t="n">
        <v>-2.905227661132812</v>
      </c>
      <c r="AD1852" s="3" t="n">
        <v>-0.921529233455658</v>
      </c>
      <c r="AE1852" s="3" t="n">
        <v>-0.921529233455658</v>
      </c>
    </row>
    <row r="1853">
      <c r="A1853" s="3" t="inlineStr">
        <is>
          <t>SDN.distn.dec.ove.mean.2</t>
        </is>
      </c>
      <c r="B1853" s="3" t="inlineStr">
        <is>
          <t>SDN</t>
        </is>
      </c>
      <c r="C1853" s="3" t="n">
        <v>2005</v>
      </c>
      <c r="D1853" s="3" t="inlineStr">
        <is>
          <t>Overall</t>
        </is>
      </c>
      <c r="E1853" s="3" t="inlineStr">
        <is>
          <t>Deciles</t>
        </is>
      </c>
      <c r="F1853" s="3" t="inlineStr">
        <is>
          <t>mean</t>
        </is>
      </c>
      <c r="G1853" s="3" t="n">
        <v>2</v>
      </c>
      <c r="H1853" s="3" t="n">
        <v>-0.7932808399200439</v>
      </c>
      <c r="I1853" s="3" t="n">
        <v>-0.7932808399200439</v>
      </c>
      <c r="J1853" s="3" t="n">
        <v>-0.921529233455658</v>
      </c>
      <c r="K1853" s="3" t="n">
        <v>-0.921529233455658</v>
      </c>
      <c r="L1853" s="3" t="n">
        <v>-0.7932808399200439</v>
      </c>
      <c r="M1853" s="3" t="n">
        <v>-0.7932808399200439</v>
      </c>
      <c r="N1853" s="3" t="n">
        <v>-0.7932808399200439</v>
      </c>
      <c r="O1853" s="3" t="n">
        <v>-0.7932808399200439</v>
      </c>
      <c r="P1853" s="3" t="n">
        <v>-0.7932808399200439</v>
      </c>
      <c r="Q1853" s="3" t="n">
        <v>-0.7932808399200439</v>
      </c>
      <c r="R1853" s="3" t="n">
        <v>-0.7764842510223389</v>
      </c>
      <c r="S1853" s="3" t="n">
        <v>-1.666394829750061</v>
      </c>
      <c r="T1853" s="3" t="n">
        <v>-0.7104546427726746</v>
      </c>
      <c r="U1853" s="3" t="n">
        <v>-0.921529233455658</v>
      </c>
      <c r="V1853" s="3" t="n">
        <v>-0.6879960894584656</v>
      </c>
      <c r="W1853" s="3" t="n">
        <v>-0.6725236177444458</v>
      </c>
      <c r="X1853" s="3" t="n">
        <v>-1.598333477973938</v>
      </c>
      <c r="Y1853" s="3" t="n">
        <v>-0.7932808399200439</v>
      </c>
      <c r="Z1853" s="3" t="n">
        <v>-1.666394829750061</v>
      </c>
      <c r="AA1853" s="3" t="n">
        <v>-1.666394829750061</v>
      </c>
      <c r="AB1853" s="3" t="n">
        <v>-1.598333477973938</v>
      </c>
      <c r="AC1853" s="3" t="n">
        <v>-2.905227661132812</v>
      </c>
      <c r="AD1853" s="3" t="n">
        <v>-0.921529233455658</v>
      </c>
      <c r="AE1853" s="3" t="n">
        <v>-0.921529233455658</v>
      </c>
    </row>
    <row r="1854">
      <c r="A1854" s="3" t="inlineStr">
        <is>
          <t>SDN.distn.dec.ove.mean.3</t>
        </is>
      </c>
      <c r="B1854" s="3" t="inlineStr">
        <is>
          <t>SDN</t>
        </is>
      </c>
      <c r="C1854" s="3" t="n">
        <v>2005</v>
      </c>
      <c r="D1854" s="3" t="inlineStr">
        <is>
          <t>Overall</t>
        </is>
      </c>
      <c r="E1854" s="3" t="inlineStr">
        <is>
          <t>Deciles</t>
        </is>
      </c>
      <c r="F1854" s="3" t="inlineStr">
        <is>
          <t>mean</t>
        </is>
      </c>
      <c r="G1854" s="3" t="n">
        <v>3</v>
      </c>
      <c r="H1854" s="3" t="n">
        <v>-0.7932808399200439</v>
      </c>
      <c r="I1854" s="3" t="n">
        <v>-0.7932808399200439</v>
      </c>
      <c r="J1854" s="3" t="n">
        <v>-0.921529233455658</v>
      </c>
      <c r="K1854" s="3" t="n">
        <v>-0.921529233455658</v>
      </c>
      <c r="L1854" s="3" t="n">
        <v>-0.7932808399200439</v>
      </c>
      <c r="M1854" s="3" t="n">
        <v>-0.7932808399200439</v>
      </c>
      <c r="N1854" s="3" t="n">
        <v>-0.7932808399200439</v>
      </c>
      <c r="O1854" s="3" t="n">
        <v>-0.7932808399200439</v>
      </c>
      <c r="P1854" s="3" t="n">
        <v>-0.7932808399200439</v>
      </c>
      <c r="Q1854" s="3" t="n">
        <v>-0.7932808399200439</v>
      </c>
      <c r="R1854" s="3" t="n">
        <v>-0.7764842510223389</v>
      </c>
      <c r="S1854" s="3" t="n">
        <v>-1.666394829750061</v>
      </c>
      <c r="T1854" s="3" t="n">
        <v>-0.7104546427726746</v>
      </c>
      <c r="U1854" s="3" t="n">
        <v>-0.921529233455658</v>
      </c>
      <c r="V1854" s="3" t="n">
        <v>-0.6879960894584656</v>
      </c>
      <c r="W1854" s="3" t="n">
        <v>-0.6725236177444458</v>
      </c>
      <c r="X1854" s="3" t="n">
        <v>-1.598333477973938</v>
      </c>
      <c r="Y1854" s="3" t="n">
        <v>-0.7932808399200439</v>
      </c>
      <c r="Z1854" s="3" t="n">
        <v>-1.666394829750061</v>
      </c>
      <c r="AA1854" s="3" t="n">
        <v>-1.666394829750061</v>
      </c>
      <c r="AB1854" s="3" t="n">
        <v>-1.598333477973938</v>
      </c>
      <c r="AC1854" s="3" t="n">
        <v>-2.905227661132812</v>
      </c>
      <c r="AD1854" s="3" t="n">
        <v>-0.921529233455658</v>
      </c>
      <c r="AE1854" s="3" t="n">
        <v>-0.921529233455658</v>
      </c>
    </row>
    <row r="1855">
      <c r="A1855" s="3" t="inlineStr">
        <is>
          <t>SDN.distn.dec.ove.mean.4</t>
        </is>
      </c>
      <c r="B1855" s="3" t="inlineStr">
        <is>
          <t>SDN</t>
        </is>
      </c>
      <c r="C1855" s="3" t="n">
        <v>2005</v>
      </c>
      <c r="D1855" s="3" t="inlineStr">
        <is>
          <t>Overall</t>
        </is>
      </c>
      <c r="E1855" s="3" t="inlineStr">
        <is>
          <t>Deciles</t>
        </is>
      </c>
      <c r="F1855" s="3" t="inlineStr">
        <is>
          <t>mean</t>
        </is>
      </c>
      <c r="G1855" s="3" t="n">
        <v>4</v>
      </c>
      <c r="H1855" s="3" t="n">
        <v>-0.7870000004768372</v>
      </c>
      <c r="I1855" s="3" t="n">
        <v>-0.7870000004768372</v>
      </c>
      <c r="J1855" s="3" t="n">
        <v>-0.8769999742507935</v>
      </c>
      <c r="K1855" s="3" t="n">
        <v>-0.8769999742507935</v>
      </c>
      <c r="L1855" s="3" t="n">
        <v>-0.7870000004768372</v>
      </c>
      <c r="M1855" s="3" t="n">
        <v>-0.7870000004768372</v>
      </c>
      <c r="N1855" s="3" t="n">
        <v>-0.7870000004768372</v>
      </c>
      <c r="O1855" s="3" t="n">
        <v>-0.7870000004768372</v>
      </c>
      <c r="P1855" s="3" t="n">
        <v>-0.7870000004768372</v>
      </c>
      <c r="Q1855" s="3" t="n">
        <v>-0.7870000004768372</v>
      </c>
      <c r="R1855" s="3" t="n">
        <v>-0.7730000019073486</v>
      </c>
      <c r="S1855" s="3" t="n">
        <v>-1.134999990463257</v>
      </c>
      <c r="T1855" s="3" t="n">
        <v>-0.7089999914169312</v>
      </c>
      <c r="U1855" s="3" t="n">
        <v>-0.8769999742507935</v>
      </c>
      <c r="V1855" s="3" t="n">
        <v>-0.6809999942779541</v>
      </c>
      <c r="W1855" s="3" t="n">
        <v>-0.5659999847412109</v>
      </c>
      <c r="X1855" s="3" t="n">
        <v>-1.128000020980835</v>
      </c>
      <c r="Y1855" s="3" t="n">
        <v>-0.7870000004768372</v>
      </c>
      <c r="Z1855" s="3" t="n">
        <v>-1.134999990463257</v>
      </c>
      <c r="AA1855" s="3" t="n">
        <v>-1.134999990463257</v>
      </c>
      <c r="AB1855" s="3" t="n">
        <v>-1.128000020980835</v>
      </c>
      <c r="AC1855" s="3" t="n">
        <v>-1.402999997138977</v>
      </c>
      <c r="AD1855" s="3" t="n">
        <v>-0.8769999742507935</v>
      </c>
      <c r="AE1855" s="3" t="n">
        <v>-0.8769999742507935</v>
      </c>
    </row>
    <row r="1856">
      <c r="A1856" s="3" t="inlineStr">
        <is>
          <t>SDN.distn.dec.ove.mean.5</t>
        </is>
      </c>
      <c r="B1856" s="3" t="inlineStr">
        <is>
          <t>SDN</t>
        </is>
      </c>
      <c r="C1856" s="3" t="n">
        <v>2005</v>
      </c>
      <c r="D1856" s="3" t="inlineStr">
        <is>
          <t>Overall</t>
        </is>
      </c>
      <c r="E1856" s="3" t="inlineStr">
        <is>
          <t>Deciles</t>
        </is>
      </c>
      <c r="F1856" s="3" t="inlineStr">
        <is>
          <t>mean</t>
        </is>
      </c>
      <c r="G1856" s="3" t="n">
        <v>5</v>
      </c>
      <c r="H1856" s="3" t="n">
        <v>-0.7870000004768372</v>
      </c>
      <c r="I1856" s="3" t="n">
        <v>-0.7870000004768372</v>
      </c>
      <c r="J1856" s="3" t="n">
        <v>-0.8769999742507935</v>
      </c>
      <c r="K1856" s="3" t="n">
        <v>-0.8769999742507935</v>
      </c>
      <c r="L1856" s="3" t="n">
        <v>-0.7870000004768372</v>
      </c>
      <c r="M1856" s="3" t="n">
        <v>-0.7870000004768372</v>
      </c>
      <c r="N1856" s="3" t="n">
        <v>-0.7870000004768372</v>
      </c>
      <c r="O1856" s="3" t="n">
        <v>-0.7870000004768372</v>
      </c>
      <c r="P1856" s="3" t="n">
        <v>-0.7870000004768372</v>
      </c>
      <c r="Q1856" s="3" t="n">
        <v>-0.7870000004768372</v>
      </c>
      <c r="R1856" s="3" t="n">
        <v>-0.7730000019073486</v>
      </c>
      <c r="S1856" s="3" t="n">
        <v>-1.134999990463257</v>
      </c>
      <c r="T1856" s="3" t="n">
        <v>-0.7089999914169312</v>
      </c>
      <c r="U1856" s="3" t="n">
        <v>-0.8769999742507935</v>
      </c>
      <c r="V1856" s="3" t="n">
        <v>-0.6809999942779541</v>
      </c>
      <c r="W1856" s="3" t="n">
        <v>-0.5659999847412109</v>
      </c>
      <c r="X1856" s="3" t="n">
        <v>-1.128000020980835</v>
      </c>
      <c r="Y1856" s="3" t="n">
        <v>-0.7870000004768372</v>
      </c>
      <c r="Z1856" s="3" t="n">
        <v>-1.134999990463257</v>
      </c>
      <c r="AA1856" s="3" t="n">
        <v>-1.134999990463257</v>
      </c>
      <c r="AB1856" s="3" t="n">
        <v>-1.128000020980835</v>
      </c>
      <c r="AC1856" s="3" t="n">
        <v>-1.402999997138977</v>
      </c>
      <c r="AD1856" s="3" t="n">
        <v>-0.8769999742507935</v>
      </c>
      <c r="AE1856" s="3" t="n">
        <v>-0.8769999742507935</v>
      </c>
    </row>
    <row r="1857">
      <c r="A1857" s="3" t="inlineStr">
        <is>
          <t>SDN.distn.dec.ove.mean.6</t>
        </is>
      </c>
      <c r="B1857" s="3" t="inlineStr">
        <is>
          <t>SDN</t>
        </is>
      </c>
      <c r="C1857" s="3" t="n">
        <v>2005</v>
      </c>
      <c r="D1857" s="3" t="inlineStr">
        <is>
          <t>Overall</t>
        </is>
      </c>
      <c r="E1857" s="3" t="inlineStr">
        <is>
          <t>Deciles</t>
        </is>
      </c>
      <c r="F1857" s="3" t="inlineStr">
        <is>
          <t>mean</t>
        </is>
      </c>
      <c r="G1857" s="3" t="n">
        <v>6</v>
      </c>
      <c r="H1857" s="3" t="n">
        <v>-0.7870000004768372</v>
      </c>
      <c r="I1857" s="3" t="n">
        <v>-0.7870000004768372</v>
      </c>
      <c r="J1857" s="3" t="n">
        <v>-0.8769999742507935</v>
      </c>
      <c r="K1857" s="3" t="n">
        <v>-0.8769999742507935</v>
      </c>
      <c r="L1857" s="3" t="n">
        <v>-0.7870000004768372</v>
      </c>
      <c r="M1857" s="3" t="n">
        <v>-0.7870000004768372</v>
      </c>
      <c r="N1857" s="3" t="n">
        <v>-0.7870000004768372</v>
      </c>
      <c r="O1857" s="3" t="n">
        <v>-0.7870000004768372</v>
      </c>
      <c r="P1857" s="3" t="n">
        <v>-0.7870000004768372</v>
      </c>
      <c r="Q1857" s="3" t="n">
        <v>-0.7870000004768372</v>
      </c>
      <c r="R1857" s="3" t="n">
        <v>-0.7730000019073486</v>
      </c>
      <c r="S1857" s="3" t="n">
        <v>-1.134999990463257</v>
      </c>
      <c r="T1857" s="3" t="n">
        <v>-0.7089999914169312</v>
      </c>
      <c r="U1857" s="3" t="n">
        <v>-0.8769999742507935</v>
      </c>
      <c r="V1857" s="3" t="n">
        <v>-0.6809999942779541</v>
      </c>
      <c r="W1857" s="3" t="n">
        <v>-0.5659999847412109</v>
      </c>
      <c r="X1857" s="3" t="n">
        <v>-1.128000020980835</v>
      </c>
      <c r="Y1857" s="3" t="n">
        <v>-0.7870000004768372</v>
      </c>
      <c r="Z1857" s="3" t="n">
        <v>-1.134999990463257</v>
      </c>
      <c r="AA1857" s="3" t="n">
        <v>-1.134999990463257</v>
      </c>
      <c r="AB1857" s="3" t="n">
        <v>-1.128000020980835</v>
      </c>
      <c r="AC1857" s="3" t="n">
        <v>-1.402999997138977</v>
      </c>
      <c r="AD1857" s="3" t="n">
        <v>-0.8769999742507935</v>
      </c>
      <c r="AE1857" s="3" t="n">
        <v>-0.8769999742507935</v>
      </c>
    </row>
    <row r="1858">
      <c r="A1858" s="3" t="inlineStr">
        <is>
          <t>SDN.distn.dec.ove.mean.7</t>
        </is>
      </c>
      <c r="B1858" s="3" t="inlineStr">
        <is>
          <t>SDN</t>
        </is>
      </c>
      <c r="C1858" s="3" t="n">
        <v>2005</v>
      </c>
      <c r="D1858" s="3" t="inlineStr">
        <is>
          <t>Overall</t>
        </is>
      </c>
      <c r="E1858" s="3" t="inlineStr">
        <is>
          <t>Deciles</t>
        </is>
      </c>
      <c r="F1858" s="3" t="inlineStr">
        <is>
          <t>mean</t>
        </is>
      </c>
      <c r="G1858" s="3" t="n">
        <v>7</v>
      </c>
      <c r="H1858" s="3" t="n">
        <v>-0.7870000004768372</v>
      </c>
      <c r="I1858" s="3" t="n">
        <v>-0.7870000004768372</v>
      </c>
      <c r="J1858" s="3" t="n">
        <v>-0.8769999742507935</v>
      </c>
      <c r="K1858" s="3" t="n">
        <v>-0.8769999742507935</v>
      </c>
      <c r="L1858" s="3" t="n">
        <v>-0.7870000004768372</v>
      </c>
      <c r="M1858" s="3" t="n">
        <v>-0.7870000004768372</v>
      </c>
      <c r="N1858" s="3" t="n">
        <v>-0.7870000004768372</v>
      </c>
      <c r="O1858" s="3" t="n">
        <v>-0.7870000004768372</v>
      </c>
      <c r="P1858" s="3" t="n">
        <v>-0.7870000004768372</v>
      </c>
      <c r="Q1858" s="3" t="n">
        <v>-0.7870000004768372</v>
      </c>
      <c r="R1858" s="3" t="n">
        <v>-0.7730000019073486</v>
      </c>
      <c r="S1858" s="3" t="n">
        <v>-1.134999990463257</v>
      </c>
      <c r="T1858" s="3" t="n">
        <v>-0.7089999914169312</v>
      </c>
      <c r="U1858" s="3" t="n">
        <v>-0.8769999742507935</v>
      </c>
      <c r="V1858" s="3" t="n">
        <v>-0.6809999942779541</v>
      </c>
      <c r="W1858" s="3" t="n">
        <v>-0.5659999847412109</v>
      </c>
      <c r="X1858" s="3" t="n">
        <v>-1.128000020980835</v>
      </c>
      <c r="Y1858" s="3" t="n">
        <v>-0.7870000004768372</v>
      </c>
      <c r="Z1858" s="3" t="n">
        <v>-1.134999990463257</v>
      </c>
      <c r="AA1858" s="3" t="n">
        <v>-1.134999990463257</v>
      </c>
      <c r="AB1858" s="3" t="n">
        <v>-1.128000020980835</v>
      </c>
      <c r="AC1858" s="3" t="n">
        <v>-1.402999997138977</v>
      </c>
      <c r="AD1858" s="3" t="n">
        <v>-0.8769999742507935</v>
      </c>
      <c r="AE1858" s="3" t="n">
        <v>-0.8769999742507935</v>
      </c>
    </row>
    <row r="1859">
      <c r="A1859" s="3" t="inlineStr">
        <is>
          <t>SDN.distn.dec.ove.mean.8</t>
        </is>
      </c>
      <c r="B1859" s="3" t="inlineStr">
        <is>
          <t>SDN</t>
        </is>
      </c>
      <c r="C1859" s="3" t="n">
        <v>2005</v>
      </c>
      <c r="D1859" s="3" t="inlineStr">
        <is>
          <t>Overall</t>
        </is>
      </c>
      <c r="E1859" s="3" t="inlineStr">
        <is>
          <t>Deciles</t>
        </is>
      </c>
      <c r="F1859" s="3" t="inlineStr">
        <is>
          <t>mean</t>
        </is>
      </c>
      <c r="G1859" s="3" t="n">
        <v>8</v>
      </c>
      <c r="H1859" s="3" t="n">
        <v>-0.7873791456222534</v>
      </c>
      <c r="I1859" s="3" t="n">
        <v>-0.7873791456222534</v>
      </c>
      <c r="J1859" s="3" t="n">
        <v>-0.8793658018112183</v>
      </c>
      <c r="K1859" s="3" t="n">
        <v>-0.8793658018112183</v>
      </c>
      <c r="L1859" s="3" t="n">
        <v>-0.7873791456222534</v>
      </c>
      <c r="M1859" s="3" t="n">
        <v>-0.7873791456222534</v>
      </c>
      <c r="N1859" s="3" t="n">
        <v>-0.7873791456222534</v>
      </c>
      <c r="O1859" s="3" t="n">
        <v>-0.7873791456222534</v>
      </c>
      <c r="P1859" s="3" t="n">
        <v>-0.7873791456222534</v>
      </c>
      <c r="Q1859" s="3" t="n">
        <v>-0.7873791456222534</v>
      </c>
      <c r="R1859" s="3" t="n">
        <v>-0.7732542157173157</v>
      </c>
      <c r="S1859" s="3" t="n">
        <v>-1.145561337471008</v>
      </c>
      <c r="T1859" s="3" t="n">
        <v>-0.7090408802032471</v>
      </c>
      <c r="U1859" s="3" t="n">
        <v>-0.8793658018112183</v>
      </c>
      <c r="V1859" s="3" t="n">
        <v>-0.6817039847373962</v>
      </c>
      <c r="W1859" s="3" t="n">
        <v>-0.5811567902565002</v>
      </c>
      <c r="X1859" s="3" t="n">
        <v>-1.138278365135193</v>
      </c>
      <c r="Y1859" s="3" t="n">
        <v>-0.7873791456222534</v>
      </c>
      <c r="Z1859" s="3" t="n">
        <v>-1.145561337471008</v>
      </c>
      <c r="AA1859" s="3" t="n">
        <v>-1.145561337471008</v>
      </c>
      <c r="AB1859" s="3" t="n">
        <v>-1.138278365135193</v>
      </c>
      <c r="AC1859" s="3" t="n">
        <v>-1.423008680343628</v>
      </c>
      <c r="AD1859" s="3" t="n">
        <v>-0.8793658018112183</v>
      </c>
      <c r="AE1859" s="3" t="n">
        <v>-0.8793658018112183</v>
      </c>
    </row>
    <row r="1860">
      <c r="A1860" s="3" t="inlineStr">
        <is>
          <t>SDN.distn.dec.ove.mean.9</t>
        </is>
      </c>
      <c r="B1860" s="3" t="inlineStr">
        <is>
          <t>SDN</t>
        </is>
      </c>
      <c r="C1860" s="3" t="n">
        <v>2005</v>
      </c>
      <c r="D1860" s="3" t="inlineStr">
        <is>
          <t>Overall</t>
        </is>
      </c>
      <c r="E1860" s="3" t="inlineStr">
        <is>
          <t>Deciles</t>
        </is>
      </c>
      <c r="F1860" s="3" t="inlineStr">
        <is>
          <t>mean</t>
        </is>
      </c>
      <c r="G1860" s="3" t="n">
        <v>9</v>
      </c>
      <c r="H1860" s="3" t="n">
        <v>-0.7873791456222534</v>
      </c>
      <c r="I1860" s="3" t="n">
        <v>-0.7873791456222534</v>
      </c>
      <c r="J1860" s="3" t="n">
        <v>-0.8793658018112183</v>
      </c>
      <c r="K1860" s="3" t="n">
        <v>-0.8793658018112183</v>
      </c>
      <c r="L1860" s="3" t="n">
        <v>-0.7873791456222534</v>
      </c>
      <c r="M1860" s="3" t="n">
        <v>-0.7873791456222534</v>
      </c>
      <c r="N1860" s="3" t="n">
        <v>-0.7873791456222534</v>
      </c>
      <c r="O1860" s="3" t="n">
        <v>-0.7873791456222534</v>
      </c>
      <c r="P1860" s="3" t="n">
        <v>-0.7873791456222534</v>
      </c>
      <c r="Q1860" s="3" t="n">
        <v>-0.7873791456222534</v>
      </c>
      <c r="R1860" s="3" t="n">
        <v>-0.7732542157173157</v>
      </c>
      <c r="S1860" s="3" t="n">
        <v>-1.145561337471008</v>
      </c>
      <c r="T1860" s="3" t="n">
        <v>-0.7090408802032471</v>
      </c>
      <c r="U1860" s="3" t="n">
        <v>-0.8793658018112183</v>
      </c>
      <c r="V1860" s="3" t="n">
        <v>-0.6817039847373962</v>
      </c>
      <c r="W1860" s="3" t="n">
        <v>-0.5811567902565002</v>
      </c>
      <c r="X1860" s="3" t="n">
        <v>-1.138278365135193</v>
      </c>
      <c r="Y1860" s="3" t="n">
        <v>-0.7873791456222534</v>
      </c>
      <c r="Z1860" s="3" t="n">
        <v>-1.145561337471008</v>
      </c>
      <c r="AA1860" s="3" t="n">
        <v>-1.145561337471008</v>
      </c>
      <c r="AB1860" s="3" t="n">
        <v>-1.138278365135193</v>
      </c>
      <c r="AC1860" s="3" t="n">
        <v>-1.423008680343628</v>
      </c>
      <c r="AD1860" s="3" t="n">
        <v>-0.8793658018112183</v>
      </c>
      <c r="AE1860" s="3" t="n">
        <v>-0.8793658018112183</v>
      </c>
    </row>
    <row r="1861">
      <c r="A1861" s="3" t="inlineStr">
        <is>
          <t>SDN.distn.dec.ove.mean.10</t>
        </is>
      </c>
      <c r="B1861" s="3" t="inlineStr">
        <is>
          <t>SDN</t>
        </is>
      </c>
      <c r="C1861" s="3" t="n">
        <v>2005</v>
      </c>
      <c r="D1861" s="3" t="inlineStr">
        <is>
          <t>Overall</t>
        </is>
      </c>
      <c r="E1861" s="3" t="inlineStr">
        <is>
          <t>Deciles</t>
        </is>
      </c>
      <c r="F1861" s="3" t="inlineStr">
        <is>
          <t>mean</t>
        </is>
      </c>
      <c r="G1861" s="3" t="n">
        <v>10</v>
      </c>
      <c r="H1861" s="3" t="n">
        <v>-0.7873791456222534</v>
      </c>
      <c r="I1861" s="3" t="n">
        <v>-0.7873791456222534</v>
      </c>
      <c r="J1861" s="3" t="n">
        <v>-0.8793658018112183</v>
      </c>
      <c r="K1861" s="3" t="n">
        <v>-0.8793658018112183</v>
      </c>
      <c r="L1861" s="3" t="n">
        <v>-0.7873791456222534</v>
      </c>
      <c r="M1861" s="3" t="n">
        <v>-0.7873791456222534</v>
      </c>
      <c r="N1861" s="3" t="n">
        <v>-0.7873791456222534</v>
      </c>
      <c r="O1861" s="3" t="n">
        <v>-0.7873791456222534</v>
      </c>
      <c r="P1861" s="3" t="n">
        <v>-0.7873791456222534</v>
      </c>
      <c r="Q1861" s="3" t="n">
        <v>-0.7873791456222534</v>
      </c>
      <c r="R1861" s="3" t="n">
        <v>-0.7732542157173157</v>
      </c>
      <c r="S1861" s="3" t="n">
        <v>-1.145561337471008</v>
      </c>
      <c r="T1861" s="3" t="n">
        <v>-0.7090408802032471</v>
      </c>
      <c r="U1861" s="3" t="n">
        <v>-0.8793658018112183</v>
      </c>
      <c r="V1861" s="3" t="n">
        <v>-0.6817039847373962</v>
      </c>
      <c r="W1861" s="3" t="n">
        <v>-0.5811567902565002</v>
      </c>
      <c r="X1861" s="3" t="n">
        <v>-1.138278365135193</v>
      </c>
      <c r="Y1861" s="3" t="n">
        <v>-0.7873791456222534</v>
      </c>
      <c r="Z1861" s="3" t="n">
        <v>-1.145561337471008</v>
      </c>
      <c r="AA1861" s="3" t="n">
        <v>-1.145561337471008</v>
      </c>
      <c r="AB1861" s="3" t="n">
        <v>-1.138278365135193</v>
      </c>
      <c r="AC1861" s="3" t="n">
        <v>-1.423008680343628</v>
      </c>
      <c r="AD1861" s="3" t="n">
        <v>-0.8793658018112183</v>
      </c>
      <c r="AE1861" s="3" t="n">
        <v>-0.8793658018112183</v>
      </c>
    </row>
    <row r="1862">
      <c r="A1862" s="3" t="inlineStr">
        <is>
          <t>SDN.distn.bkt.ove.mean.9999</t>
        </is>
      </c>
      <c r="B1862" s="3" t="inlineStr">
        <is>
          <t>SDN</t>
        </is>
      </c>
      <c r="C1862" s="3" t="n">
        <v>2005</v>
      </c>
      <c r="D1862" s="3" t="inlineStr">
        <is>
          <t>Overall</t>
        </is>
      </c>
      <c r="E1862" s="3" t="inlineStr">
        <is>
          <t>Basket</t>
        </is>
      </c>
      <c r="F1862" s="3" t="inlineStr">
        <is>
          <t>mean</t>
        </is>
      </c>
      <c r="G1862" s="3" t="n">
        <v>9999</v>
      </c>
      <c r="H1862" s="3" t="n">
        <v>-0.788998007774353</v>
      </c>
      <c r="I1862" s="3" t="n">
        <v>-0.788998007774353</v>
      </c>
      <c r="J1862" s="3" t="n">
        <v>-0.8910685181617737</v>
      </c>
      <c r="K1862" s="3" t="n">
        <v>-0.8910685181617737</v>
      </c>
      <c r="L1862" s="3" t="n">
        <v>-0.788998007774353</v>
      </c>
      <c r="M1862" s="3" t="n">
        <v>-0.788998007774353</v>
      </c>
      <c r="N1862" s="3" t="n">
        <v>-0.788998007774353</v>
      </c>
      <c r="O1862" s="3" t="n">
        <v>-0.788998007774353</v>
      </c>
      <c r="P1862" s="3" t="n">
        <v>-0.788998007774353</v>
      </c>
      <c r="Q1862" s="3" t="n">
        <v>-0.788998007774353</v>
      </c>
      <c r="R1862" s="3" t="n">
        <v>-0.7741215229034424</v>
      </c>
      <c r="S1862" s="3" t="n">
        <v>-1.297586798667908</v>
      </c>
      <c r="T1862" s="3" t="n">
        <v>-0.7094486355781555</v>
      </c>
      <c r="U1862" s="3" t="n">
        <v>-0.8910685181617737</v>
      </c>
      <c r="V1862" s="3" t="n">
        <v>-0.6833100318908691</v>
      </c>
      <c r="W1862" s="3" t="n">
        <v>-0.6025041341781616</v>
      </c>
      <c r="X1862" s="3" t="n">
        <v>-1.272183537483215</v>
      </c>
      <c r="Y1862" s="3" t="n">
        <v>-0.788998007774353</v>
      </c>
      <c r="Z1862" s="3" t="n">
        <v>-1.297586798667908</v>
      </c>
      <c r="AA1862" s="3" t="n">
        <v>-1.297586798667908</v>
      </c>
      <c r="AB1862" s="3" t="n">
        <v>-1.272183537483215</v>
      </c>
      <c r="AC1862" s="3" t="n">
        <v>-1.859670877456665</v>
      </c>
      <c r="AD1862" s="3" t="n">
        <v>-0.8910685181617737</v>
      </c>
      <c r="AE1862" s="3" t="n">
        <v>-0.8910685181617737</v>
      </c>
    </row>
    <row r="1863">
      <c r="A1863" s="3" t="inlineStr">
        <is>
          <t>SEN.distn.dec.ove.mean.1</t>
        </is>
      </c>
      <c r="B1863" s="3" t="inlineStr">
        <is>
          <t>SEN</t>
        </is>
      </c>
      <c r="C1863" s="3" t="n">
        <v>2005</v>
      </c>
      <c r="D1863" s="3" t="inlineStr">
        <is>
          <t>Overall</t>
        </is>
      </c>
      <c r="E1863" s="3" t="inlineStr">
        <is>
          <t>Deciles</t>
        </is>
      </c>
      <c r="F1863" s="3" t="inlineStr">
        <is>
          <t>mean</t>
        </is>
      </c>
      <c r="G1863" s="3" t="n">
        <v>1</v>
      </c>
      <c r="H1863" s="3" t="n">
        <v>-0.7942888140678406</v>
      </c>
      <c r="I1863" s="3" t="n">
        <v>-0.7942888140678406</v>
      </c>
      <c r="J1863" s="3" t="n">
        <v>-0.9330877065658569</v>
      </c>
      <c r="K1863" s="3" t="n">
        <v>-0.9330877065658569</v>
      </c>
      <c r="L1863" s="3" t="n">
        <v>-0.7942888140678406</v>
      </c>
      <c r="M1863" s="3" t="n">
        <v>-0.7942888140678406</v>
      </c>
      <c r="N1863" s="3" t="n">
        <v>-0.7942888140678406</v>
      </c>
      <c r="O1863" s="3" t="n">
        <v>-0.7942888140678406</v>
      </c>
      <c r="P1863" s="3" t="n">
        <v>-0.7942888140678406</v>
      </c>
      <c r="Q1863" s="3" t="n">
        <v>-0.7942888140678406</v>
      </c>
      <c r="R1863" s="3" t="n">
        <v>-0.7764842510223389</v>
      </c>
      <c r="S1863" s="3" t="n">
        <v>-1.824959278106689</v>
      </c>
      <c r="T1863" s="3" t="n">
        <v>-0.7114566564559937</v>
      </c>
      <c r="U1863" s="3" t="n">
        <v>-0.9330877065658569</v>
      </c>
      <c r="V1863" s="3" t="n">
        <v>-0.6900166273117065</v>
      </c>
      <c r="W1863" s="3" t="n">
        <v>-0.6879702806472778</v>
      </c>
      <c r="X1863" s="3" t="n">
        <v>-1.744280695915222</v>
      </c>
      <c r="Y1863" s="3" t="n">
        <v>-0.7942888140678406</v>
      </c>
      <c r="Z1863" s="3" t="n">
        <v>-1.824959278106689</v>
      </c>
      <c r="AA1863" s="3" t="n">
        <v>-1.824959278106689</v>
      </c>
      <c r="AB1863" s="3" t="n">
        <v>-1.744280695915222</v>
      </c>
      <c r="AC1863" s="3" t="n">
        <v>-3.652759313583374</v>
      </c>
      <c r="AD1863" s="3" t="n">
        <v>-0.9330877065658569</v>
      </c>
      <c r="AE1863" s="3" t="n">
        <v>-0.9330877065658569</v>
      </c>
    </row>
    <row r="1864">
      <c r="A1864" s="3" t="inlineStr">
        <is>
          <t>SEN.distn.dec.ove.mean.2</t>
        </is>
      </c>
      <c r="B1864" s="3" t="inlineStr">
        <is>
          <t>SEN</t>
        </is>
      </c>
      <c r="C1864" s="3" t="n">
        <v>2005</v>
      </c>
      <c r="D1864" s="3" t="inlineStr">
        <is>
          <t>Overall</t>
        </is>
      </c>
      <c r="E1864" s="3" t="inlineStr">
        <is>
          <t>Deciles</t>
        </is>
      </c>
      <c r="F1864" s="3" t="inlineStr">
        <is>
          <t>mean</t>
        </is>
      </c>
      <c r="G1864" s="3" t="n">
        <v>2</v>
      </c>
      <c r="H1864" s="3" t="n">
        <v>-0.7942888140678406</v>
      </c>
      <c r="I1864" s="3" t="n">
        <v>-0.7942888140678406</v>
      </c>
      <c r="J1864" s="3" t="n">
        <v>-0.9330877065658569</v>
      </c>
      <c r="K1864" s="3" t="n">
        <v>-0.9330877065658569</v>
      </c>
      <c r="L1864" s="3" t="n">
        <v>-0.7942888140678406</v>
      </c>
      <c r="M1864" s="3" t="n">
        <v>-0.7942888140678406</v>
      </c>
      <c r="N1864" s="3" t="n">
        <v>-0.7942888140678406</v>
      </c>
      <c r="O1864" s="3" t="n">
        <v>-0.7942888140678406</v>
      </c>
      <c r="P1864" s="3" t="n">
        <v>-0.7942888140678406</v>
      </c>
      <c r="Q1864" s="3" t="n">
        <v>-0.7942888140678406</v>
      </c>
      <c r="R1864" s="3" t="n">
        <v>-0.7764842510223389</v>
      </c>
      <c r="S1864" s="3" t="n">
        <v>-1.824959278106689</v>
      </c>
      <c r="T1864" s="3" t="n">
        <v>-0.7114566564559937</v>
      </c>
      <c r="U1864" s="3" t="n">
        <v>-0.9330877065658569</v>
      </c>
      <c r="V1864" s="3" t="n">
        <v>-0.6900166273117065</v>
      </c>
      <c r="W1864" s="3" t="n">
        <v>-0.6879702806472778</v>
      </c>
      <c r="X1864" s="3" t="n">
        <v>-1.744280695915222</v>
      </c>
      <c r="Y1864" s="3" t="n">
        <v>-0.7942888140678406</v>
      </c>
      <c r="Z1864" s="3" t="n">
        <v>-1.824959278106689</v>
      </c>
      <c r="AA1864" s="3" t="n">
        <v>-1.824959278106689</v>
      </c>
      <c r="AB1864" s="3" t="n">
        <v>-1.744280695915222</v>
      </c>
      <c r="AC1864" s="3" t="n">
        <v>-3.652759313583374</v>
      </c>
      <c r="AD1864" s="3" t="n">
        <v>-0.9330877065658569</v>
      </c>
      <c r="AE1864" s="3" t="n">
        <v>-0.9330877065658569</v>
      </c>
    </row>
    <row r="1865">
      <c r="A1865" s="3" t="inlineStr">
        <is>
          <t>SEN.distn.dec.ove.mean.3</t>
        </is>
      </c>
      <c r="B1865" s="3" t="inlineStr">
        <is>
          <t>SEN</t>
        </is>
      </c>
      <c r="C1865" s="3" t="n">
        <v>2005</v>
      </c>
      <c r="D1865" s="3" t="inlineStr">
        <is>
          <t>Overall</t>
        </is>
      </c>
      <c r="E1865" s="3" t="inlineStr">
        <is>
          <t>Deciles</t>
        </is>
      </c>
      <c r="F1865" s="3" t="inlineStr">
        <is>
          <t>mean</t>
        </is>
      </c>
      <c r="G1865" s="3" t="n">
        <v>3</v>
      </c>
      <c r="H1865" s="3" t="n">
        <v>-0.7942888140678406</v>
      </c>
      <c r="I1865" s="3" t="n">
        <v>-0.7942888140678406</v>
      </c>
      <c r="J1865" s="3" t="n">
        <v>-0.9330877065658569</v>
      </c>
      <c r="K1865" s="3" t="n">
        <v>-0.9330877065658569</v>
      </c>
      <c r="L1865" s="3" t="n">
        <v>-0.7942888140678406</v>
      </c>
      <c r="M1865" s="3" t="n">
        <v>-0.7942888140678406</v>
      </c>
      <c r="N1865" s="3" t="n">
        <v>-0.7942888140678406</v>
      </c>
      <c r="O1865" s="3" t="n">
        <v>-0.7942888140678406</v>
      </c>
      <c r="P1865" s="3" t="n">
        <v>-0.7942888140678406</v>
      </c>
      <c r="Q1865" s="3" t="n">
        <v>-0.7942888140678406</v>
      </c>
      <c r="R1865" s="3" t="n">
        <v>-0.7764842510223389</v>
      </c>
      <c r="S1865" s="3" t="n">
        <v>-1.824959278106689</v>
      </c>
      <c r="T1865" s="3" t="n">
        <v>-0.7114566564559937</v>
      </c>
      <c r="U1865" s="3" t="n">
        <v>-0.9330877065658569</v>
      </c>
      <c r="V1865" s="3" t="n">
        <v>-0.6900166273117065</v>
      </c>
      <c r="W1865" s="3" t="n">
        <v>-0.6879702806472778</v>
      </c>
      <c r="X1865" s="3" t="n">
        <v>-1.744280695915222</v>
      </c>
      <c r="Y1865" s="3" t="n">
        <v>-0.7942888140678406</v>
      </c>
      <c r="Z1865" s="3" t="n">
        <v>-1.824959278106689</v>
      </c>
      <c r="AA1865" s="3" t="n">
        <v>-1.824959278106689</v>
      </c>
      <c r="AB1865" s="3" t="n">
        <v>-1.744280695915222</v>
      </c>
      <c r="AC1865" s="3" t="n">
        <v>-3.652759313583374</v>
      </c>
      <c r="AD1865" s="3" t="n">
        <v>-0.9330877065658569</v>
      </c>
      <c r="AE1865" s="3" t="n">
        <v>-0.9330877065658569</v>
      </c>
    </row>
    <row r="1866">
      <c r="A1866" s="3" t="inlineStr">
        <is>
          <t>SEN.distn.dec.ove.mean.4</t>
        </is>
      </c>
      <c r="B1866" s="3" t="inlineStr">
        <is>
          <t>SEN</t>
        </is>
      </c>
      <c r="C1866" s="3" t="n">
        <v>2005</v>
      </c>
      <c r="D1866" s="3" t="inlineStr">
        <is>
          <t>Overall</t>
        </is>
      </c>
      <c r="E1866" s="3" t="inlineStr">
        <is>
          <t>Deciles</t>
        </is>
      </c>
      <c r="F1866" s="3" t="inlineStr">
        <is>
          <t>mean</t>
        </is>
      </c>
      <c r="G1866" s="3" t="n">
        <v>4</v>
      </c>
      <c r="H1866" s="3" t="n">
        <v>-0.7879999876022339</v>
      </c>
      <c r="I1866" s="3" t="n">
        <v>-0.7879999876022339</v>
      </c>
      <c r="J1866" s="3" t="n">
        <v>-0.8880000114440918</v>
      </c>
      <c r="K1866" s="3" t="n">
        <v>-0.8880000114440918</v>
      </c>
      <c r="L1866" s="3" t="n">
        <v>-0.7879999876022339</v>
      </c>
      <c r="M1866" s="3" t="n">
        <v>-0.7879999876022339</v>
      </c>
      <c r="N1866" s="3" t="n">
        <v>-0.7879999876022339</v>
      </c>
      <c r="O1866" s="3" t="n">
        <v>-0.7879999876022339</v>
      </c>
      <c r="P1866" s="3" t="n">
        <v>-0.7879999876022339</v>
      </c>
      <c r="Q1866" s="3" t="n">
        <v>-0.7879999876022339</v>
      </c>
      <c r="R1866" s="3" t="n">
        <v>-0.7730000019073486</v>
      </c>
      <c r="S1866" s="3" t="n">
        <v>-1.243000030517578</v>
      </c>
      <c r="T1866" s="3" t="n">
        <v>-0.7099999785423279</v>
      </c>
      <c r="U1866" s="3" t="n">
        <v>-0.8880000114440918</v>
      </c>
      <c r="V1866" s="3" t="n">
        <v>-0.6830000281333923</v>
      </c>
      <c r="W1866" s="3" t="n">
        <v>-0.5789999961853027</v>
      </c>
      <c r="X1866" s="3" t="n">
        <v>-1.230999946594238</v>
      </c>
      <c r="Y1866" s="3" t="n">
        <v>-0.7879999876022339</v>
      </c>
      <c r="Z1866" s="3" t="n">
        <v>-1.243000030517578</v>
      </c>
      <c r="AA1866" s="3" t="n">
        <v>-1.243000030517578</v>
      </c>
      <c r="AB1866" s="3" t="n">
        <v>-1.230999946594238</v>
      </c>
      <c r="AC1866" s="3" t="n">
        <v>-1.764000058174133</v>
      </c>
      <c r="AD1866" s="3" t="n">
        <v>-0.8880000114440918</v>
      </c>
      <c r="AE1866" s="3" t="n">
        <v>-0.8880000114440918</v>
      </c>
    </row>
    <row r="1867">
      <c r="A1867" s="3" t="inlineStr">
        <is>
          <t>SEN.distn.dec.ove.mean.5</t>
        </is>
      </c>
      <c r="B1867" s="3" t="inlineStr">
        <is>
          <t>SEN</t>
        </is>
      </c>
      <c r="C1867" s="3" t="n">
        <v>2005</v>
      </c>
      <c r="D1867" s="3" t="inlineStr">
        <is>
          <t>Overall</t>
        </is>
      </c>
      <c r="E1867" s="3" t="inlineStr">
        <is>
          <t>Deciles</t>
        </is>
      </c>
      <c r="F1867" s="3" t="inlineStr">
        <is>
          <t>mean</t>
        </is>
      </c>
      <c r="G1867" s="3" t="n">
        <v>5</v>
      </c>
      <c r="H1867" s="3" t="n">
        <v>-0.7879999876022339</v>
      </c>
      <c r="I1867" s="3" t="n">
        <v>-0.7879999876022339</v>
      </c>
      <c r="J1867" s="3" t="n">
        <v>-0.8880000114440918</v>
      </c>
      <c r="K1867" s="3" t="n">
        <v>-0.8880000114440918</v>
      </c>
      <c r="L1867" s="3" t="n">
        <v>-0.7879999876022339</v>
      </c>
      <c r="M1867" s="3" t="n">
        <v>-0.7879999876022339</v>
      </c>
      <c r="N1867" s="3" t="n">
        <v>-0.7879999876022339</v>
      </c>
      <c r="O1867" s="3" t="n">
        <v>-0.7879999876022339</v>
      </c>
      <c r="P1867" s="3" t="n">
        <v>-0.7879999876022339</v>
      </c>
      <c r="Q1867" s="3" t="n">
        <v>-0.7879999876022339</v>
      </c>
      <c r="R1867" s="3" t="n">
        <v>-0.7730000019073486</v>
      </c>
      <c r="S1867" s="3" t="n">
        <v>-1.243000030517578</v>
      </c>
      <c r="T1867" s="3" t="n">
        <v>-0.7099999785423279</v>
      </c>
      <c r="U1867" s="3" t="n">
        <v>-0.8880000114440918</v>
      </c>
      <c r="V1867" s="3" t="n">
        <v>-0.6830000281333923</v>
      </c>
      <c r="W1867" s="3" t="n">
        <v>-0.5789999961853027</v>
      </c>
      <c r="X1867" s="3" t="n">
        <v>-1.230999946594238</v>
      </c>
      <c r="Y1867" s="3" t="n">
        <v>-0.7879999876022339</v>
      </c>
      <c r="Z1867" s="3" t="n">
        <v>-1.243000030517578</v>
      </c>
      <c r="AA1867" s="3" t="n">
        <v>-1.243000030517578</v>
      </c>
      <c r="AB1867" s="3" t="n">
        <v>-1.230999946594238</v>
      </c>
      <c r="AC1867" s="3" t="n">
        <v>-1.764000058174133</v>
      </c>
      <c r="AD1867" s="3" t="n">
        <v>-0.8880000114440918</v>
      </c>
      <c r="AE1867" s="3" t="n">
        <v>-0.8880000114440918</v>
      </c>
    </row>
    <row r="1868">
      <c r="A1868" s="3" t="inlineStr">
        <is>
          <t>SEN.distn.dec.ove.mean.6</t>
        </is>
      </c>
      <c r="B1868" s="3" t="inlineStr">
        <is>
          <t>SEN</t>
        </is>
      </c>
      <c r="C1868" s="3" t="n">
        <v>2005</v>
      </c>
      <c r="D1868" s="3" t="inlineStr">
        <is>
          <t>Overall</t>
        </is>
      </c>
      <c r="E1868" s="3" t="inlineStr">
        <is>
          <t>Deciles</t>
        </is>
      </c>
      <c r="F1868" s="3" t="inlineStr">
        <is>
          <t>mean</t>
        </is>
      </c>
      <c r="G1868" s="3" t="n">
        <v>6</v>
      </c>
      <c r="H1868" s="3" t="n">
        <v>-0.7879999876022339</v>
      </c>
      <c r="I1868" s="3" t="n">
        <v>-0.7879999876022339</v>
      </c>
      <c r="J1868" s="3" t="n">
        <v>-0.8880000114440918</v>
      </c>
      <c r="K1868" s="3" t="n">
        <v>-0.8880000114440918</v>
      </c>
      <c r="L1868" s="3" t="n">
        <v>-0.7879999876022339</v>
      </c>
      <c r="M1868" s="3" t="n">
        <v>-0.7879999876022339</v>
      </c>
      <c r="N1868" s="3" t="n">
        <v>-0.7879999876022339</v>
      </c>
      <c r="O1868" s="3" t="n">
        <v>-0.7879999876022339</v>
      </c>
      <c r="P1868" s="3" t="n">
        <v>-0.7879999876022339</v>
      </c>
      <c r="Q1868" s="3" t="n">
        <v>-0.7879999876022339</v>
      </c>
      <c r="R1868" s="3" t="n">
        <v>-0.7730000019073486</v>
      </c>
      <c r="S1868" s="3" t="n">
        <v>-1.243000030517578</v>
      </c>
      <c r="T1868" s="3" t="n">
        <v>-0.7099999785423279</v>
      </c>
      <c r="U1868" s="3" t="n">
        <v>-0.8880000114440918</v>
      </c>
      <c r="V1868" s="3" t="n">
        <v>-0.6830000281333923</v>
      </c>
      <c r="W1868" s="3" t="n">
        <v>-0.5789999961853027</v>
      </c>
      <c r="X1868" s="3" t="n">
        <v>-1.230999946594238</v>
      </c>
      <c r="Y1868" s="3" t="n">
        <v>-0.7879999876022339</v>
      </c>
      <c r="Z1868" s="3" t="n">
        <v>-1.243000030517578</v>
      </c>
      <c r="AA1868" s="3" t="n">
        <v>-1.243000030517578</v>
      </c>
      <c r="AB1868" s="3" t="n">
        <v>-1.230999946594238</v>
      </c>
      <c r="AC1868" s="3" t="n">
        <v>-1.764000058174133</v>
      </c>
      <c r="AD1868" s="3" t="n">
        <v>-0.8880000114440918</v>
      </c>
      <c r="AE1868" s="3" t="n">
        <v>-0.8880000114440918</v>
      </c>
    </row>
    <row r="1869">
      <c r="A1869" s="3" t="inlineStr">
        <is>
          <t>SEN.distn.dec.ove.mean.7</t>
        </is>
      </c>
      <c r="B1869" s="3" t="inlineStr">
        <is>
          <t>SEN</t>
        </is>
      </c>
      <c r="C1869" s="3" t="n">
        <v>2005</v>
      </c>
      <c r="D1869" s="3" t="inlineStr">
        <is>
          <t>Overall</t>
        </is>
      </c>
      <c r="E1869" s="3" t="inlineStr">
        <is>
          <t>Deciles</t>
        </is>
      </c>
      <c r="F1869" s="3" t="inlineStr">
        <is>
          <t>mean</t>
        </is>
      </c>
      <c r="G1869" s="3" t="n">
        <v>7</v>
      </c>
      <c r="H1869" s="3" t="n">
        <v>-0.7879999876022339</v>
      </c>
      <c r="I1869" s="3" t="n">
        <v>-0.7879999876022339</v>
      </c>
      <c r="J1869" s="3" t="n">
        <v>-0.8880000114440918</v>
      </c>
      <c r="K1869" s="3" t="n">
        <v>-0.8880000114440918</v>
      </c>
      <c r="L1869" s="3" t="n">
        <v>-0.7879999876022339</v>
      </c>
      <c r="M1869" s="3" t="n">
        <v>-0.7879999876022339</v>
      </c>
      <c r="N1869" s="3" t="n">
        <v>-0.7879999876022339</v>
      </c>
      <c r="O1869" s="3" t="n">
        <v>-0.7879999876022339</v>
      </c>
      <c r="P1869" s="3" t="n">
        <v>-0.7879999876022339</v>
      </c>
      <c r="Q1869" s="3" t="n">
        <v>-0.7879999876022339</v>
      </c>
      <c r="R1869" s="3" t="n">
        <v>-0.7730000019073486</v>
      </c>
      <c r="S1869" s="3" t="n">
        <v>-1.243000030517578</v>
      </c>
      <c r="T1869" s="3" t="n">
        <v>-0.7099999785423279</v>
      </c>
      <c r="U1869" s="3" t="n">
        <v>-0.8880000114440918</v>
      </c>
      <c r="V1869" s="3" t="n">
        <v>-0.6830000281333923</v>
      </c>
      <c r="W1869" s="3" t="n">
        <v>-0.5789999961853027</v>
      </c>
      <c r="X1869" s="3" t="n">
        <v>-1.230999946594238</v>
      </c>
      <c r="Y1869" s="3" t="n">
        <v>-0.7879999876022339</v>
      </c>
      <c r="Z1869" s="3" t="n">
        <v>-1.243000030517578</v>
      </c>
      <c r="AA1869" s="3" t="n">
        <v>-1.243000030517578</v>
      </c>
      <c r="AB1869" s="3" t="n">
        <v>-1.230999946594238</v>
      </c>
      <c r="AC1869" s="3" t="n">
        <v>-1.764000058174133</v>
      </c>
      <c r="AD1869" s="3" t="n">
        <v>-0.8880000114440918</v>
      </c>
      <c r="AE1869" s="3" t="n">
        <v>-0.8880000114440918</v>
      </c>
    </row>
    <row r="1870">
      <c r="A1870" s="3" t="inlineStr">
        <is>
          <t>SEN.distn.dec.ove.mean.8</t>
        </is>
      </c>
      <c r="B1870" s="3" t="inlineStr">
        <is>
          <t>SEN</t>
        </is>
      </c>
      <c r="C1870" s="3" t="n">
        <v>2005</v>
      </c>
      <c r="D1870" s="3" t="inlineStr">
        <is>
          <t>Overall</t>
        </is>
      </c>
      <c r="E1870" s="3" t="inlineStr">
        <is>
          <t>Deciles</t>
        </is>
      </c>
      <c r="F1870" s="3" t="inlineStr">
        <is>
          <t>mean</t>
        </is>
      </c>
      <c r="G1870" s="3" t="n">
        <v>8</v>
      </c>
      <c r="H1870" s="3" t="n">
        <v>-0.7883796691894531</v>
      </c>
      <c r="I1870" s="3" t="n">
        <v>-0.7883796691894531</v>
      </c>
      <c r="J1870" s="3" t="n">
        <v>-0.89039546251297</v>
      </c>
      <c r="K1870" s="3" t="n">
        <v>-0.89039546251297</v>
      </c>
      <c r="L1870" s="3" t="n">
        <v>-0.7883796691894531</v>
      </c>
      <c r="M1870" s="3" t="n">
        <v>-0.7883796691894531</v>
      </c>
      <c r="N1870" s="3" t="n">
        <v>-0.7883796691894531</v>
      </c>
      <c r="O1870" s="3" t="n">
        <v>-0.7883796691894531</v>
      </c>
      <c r="P1870" s="3" t="n">
        <v>-0.7883796691894531</v>
      </c>
      <c r="Q1870" s="3" t="n">
        <v>-0.7883796691894531</v>
      </c>
      <c r="R1870" s="3" t="n">
        <v>-0.7732542157173157</v>
      </c>
      <c r="S1870" s="3" t="n">
        <v>-1.254566311836243</v>
      </c>
      <c r="T1870" s="3" t="n">
        <v>-0.7100409269332886</v>
      </c>
      <c r="U1870" s="3" t="n">
        <v>-0.89039546251297</v>
      </c>
      <c r="V1870" s="3" t="n">
        <v>-0.6837060451507568</v>
      </c>
      <c r="W1870" s="3" t="n">
        <v>-0.5945049524307251</v>
      </c>
      <c r="X1870" s="3" t="n">
        <v>-1.242216825485229</v>
      </c>
      <c r="Y1870" s="3" t="n">
        <v>-0.7883796691894531</v>
      </c>
      <c r="Z1870" s="3" t="n">
        <v>-1.254566311836243</v>
      </c>
      <c r="AA1870" s="3" t="n">
        <v>-1.254566311836243</v>
      </c>
      <c r="AB1870" s="3" t="n">
        <v>-1.242216825485229</v>
      </c>
      <c r="AC1870" s="3" t="n">
        <v>-1.789157032966614</v>
      </c>
      <c r="AD1870" s="3" t="n">
        <v>-0.89039546251297</v>
      </c>
      <c r="AE1870" s="3" t="n">
        <v>-0.89039546251297</v>
      </c>
    </row>
    <row r="1871">
      <c r="A1871" s="3" t="inlineStr">
        <is>
          <t>SEN.distn.dec.ove.mean.9</t>
        </is>
      </c>
      <c r="B1871" s="3" t="inlineStr">
        <is>
          <t>SEN</t>
        </is>
      </c>
      <c r="C1871" s="3" t="n">
        <v>2005</v>
      </c>
      <c r="D1871" s="3" t="inlineStr">
        <is>
          <t>Overall</t>
        </is>
      </c>
      <c r="E1871" s="3" t="inlineStr">
        <is>
          <t>Deciles</t>
        </is>
      </c>
      <c r="F1871" s="3" t="inlineStr">
        <is>
          <t>mean</t>
        </is>
      </c>
      <c r="G1871" s="3" t="n">
        <v>9</v>
      </c>
      <c r="H1871" s="3" t="n">
        <v>-0.7883796691894531</v>
      </c>
      <c r="I1871" s="3" t="n">
        <v>-0.7883796691894531</v>
      </c>
      <c r="J1871" s="3" t="n">
        <v>-0.89039546251297</v>
      </c>
      <c r="K1871" s="3" t="n">
        <v>-0.89039546251297</v>
      </c>
      <c r="L1871" s="3" t="n">
        <v>-0.7883796691894531</v>
      </c>
      <c r="M1871" s="3" t="n">
        <v>-0.7883796691894531</v>
      </c>
      <c r="N1871" s="3" t="n">
        <v>-0.7883796691894531</v>
      </c>
      <c r="O1871" s="3" t="n">
        <v>-0.7883796691894531</v>
      </c>
      <c r="P1871" s="3" t="n">
        <v>-0.7883796691894531</v>
      </c>
      <c r="Q1871" s="3" t="n">
        <v>-0.7883796691894531</v>
      </c>
      <c r="R1871" s="3" t="n">
        <v>-0.7732542157173157</v>
      </c>
      <c r="S1871" s="3" t="n">
        <v>-1.254566311836243</v>
      </c>
      <c r="T1871" s="3" t="n">
        <v>-0.7100409269332886</v>
      </c>
      <c r="U1871" s="3" t="n">
        <v>-0.89039546251297</v>
      </c>
      <c r="V1871" s="3" t="n">
        <v>-0.6837060451507568</v>
      </c>
      <c r="W1871" s="3" t="n">
        <v>-0.5945049524307251</v>
      </c>
      <c r="X1871" s="3" t="n">
        <v>-1.242216825485229</v>
      </c>
      <c r="Y1871" s="3" t="n">
        <v>-0.7883796691894531</v>
      </c>
      <c r="Z1871" s="3" t="n">
        <v>-1.254566311836243</v>
      </c>
      <c r="AA1871" s="3" t="n">
        <v>-1.254566311836243</v>
      </c>
      <c r="AB1871" s="3" t="n">
        <v>-1.242216825485229</v>
      </c>
      <c r="AC1871" s="3" t="n">
        <v>-1.789157032966614</v>
      </c>
      <c r="AD1871" s="3" t="n">
        <v>-0.89039546251297</v>
      </c>
      <c r="AE1871" s="3" t="n">
        <v>-0.89039546251297</v>
      </c>
    </row>
    <row r="1872">
      <c r="A1872" s="3" t="inlineStr">
        <is>
          <t>SEN.distn.dec.ove.mean.10</t>
        </is>
      </c>
      <c r="B1872" s="3" t="inlineStr">
        <is>
          <t>SEN</t>
        </is>
      </c>
      <c r="C1872" s="3" t="n">
        <v>2005</v>
      </c>
      <c r="D1872" s="3" t="inlineStr">
        <is>
          <t>Overall</t>
        </is>
      </c>
      <c r="E1872" s="3" t="inlineStr">
        <is>
          <t>Deciles</t>
        </is>
      </c>
      <c r="F1872" s="3" t="inlineStr">
        <is>
          <t>mean</t>
        </is>
      </c>
      <c r="G1872" s="3" t="n">
        <v>10</v>
      </c>
      <c r="H1872" s="3" t="n">
        <v>-0.7883796691894531</v>
      </c>
      <c r="I1872" s="3" t="n">
        <v>-0.7883796691894531</v>
      </c>
      <c r="J1872" s="3" t="n">
        <v>-0.89039546251297</v>
      </c>
      <c r="K1872" s="3" t="n">
        <v>-0.89039546251297</v>
      </c>
      <c r="L1872" s="3" t="n">
        <v>-0.7883796691894531</v>
      </c>
      <c r="M1872" s="3" t="n">
        <v>-0.7883796691894531</v>
      </c>
      <c r="N1872" s="3" t="n">
        <v>-0.7883796691894531</v>
      </c>
      <c r="O1872" s="3" t="n">
        <v>-0.7883796691894531</v>
      </c>
      <c r="P1872" s="3" t="n">
        <v>-0.7883796691894531</v>
      </c>
      <c r="Q1872" s="3" t="n">
        <v>-0.7883796691894531</v>
      </c>
      <c r="R1872" s="3" t="n">
        <v>-0.7732542157173157</v>
      </c>
      <c r="S1872" s="3" t="n">
        <v>-1.254566311836243</v>
      </c>
      <c r="T1872" s="3" t="n">
        <v>-0.7100409269332886</v>
      </c>
      <c r="U1872" s="3" t="n">
        <v>-0.89039546251297</v>
      </c>
      <c r="V1872" s="3" t="n">
        <v>-0.6837060451507568</v>
      </c>
      <c r="W1872" s="3" t="n">
        <v>-0.5945049524307251</v>
      </c>
      <c r="X1872" s="3" t="n">
        <v>-1.242216825485229</v>
      </c>
      <c r="Y1872" s="3" t="n">
        <v>-0.7883796691894531</v>
      </c>
      <c r="Z1872" s="3" t="n">
        <v>-1.254566311836243</v>
      </c>
      <c r="AA1872" s="3" t="n">
        <v>-1.254566311836243</v>
      </c>
      <c r="AB1872" s="3" t="n">
        <v>-1.242216825485229</v>
      </c>
      <c r="AC1872" s="3" t="n">
        <v>-1.789157032966614</v>
      </c>
      <c r="AD1872" s="3" t="n">
        <v>-0.89039546251297</v>
      </c>
      <c r="AE1872" s="3" t="n">
        <v>-0.89039546251297</v>
      </c>
    </row>
    <row r="1873">
      <c r="A1873" s="3" t="inlineStr">
        <is>
          <t>SEN.distn.bkt.ove.mean.9999</t>
        </is>
      </c>
      <c r="B1873" s="3" t="inlineStr">
        <is>
          <t>SEN</t>
        </is>
      </c>
      <c r="C1873" s="3" t="n">
        <v>2005</v>
      </c>
      <c r="D1873" s="3" t="inlineStr">
        <is>
          <t>Overall</t>
        </is>
      </c>
      <c r="E1873" s="3" t="inlineStr">
        <is>
          <t>Basket</t>
        </is>
      </c>
      <c r="F1873" s="3" t="inlineStr">
        <is>
          <t>mean</t>
        </is>
      </c>
      <c r="G1873" s="3" t="n">
        <v>9999</v>
      </c>
      <c r="H1873" s="3" t="n">
        <v>-0.7900005578994751</v>
      </c>
      <c r="I1873" s="3" t="n">
        <v>-0.7900005578994751</v>
      </c>
      <c r="J1873" s="3" t="n">
        <v>-0.9022449254989624</v>
      </c>
      <c r="K1873" s="3" t="n">
        <v>-0.9022449254989624</v>
      </c>
      <c r="L1873" s="3" t="n">
        <v>-0.7900005578994751</v>
      </c>
      <c r="M1873" s="3" t="n">
        <v>-0.7900005578994751</v>
      </c>
      <c r="N1873" s="3" t="n">
        <v>-0.7900005578994751</v>
      </c>
      <c r="O1873" s="3" t="n">
        <v>-0.7900005578994751</v>
      </c>
      <c r="P1873" s="3" t="n">
        <v>-0.7900005578994751</v>
      </c>
      <c r="Q1873" s="3" t="n">
        <v>-0.7900005578994751</v>
      </c>
      <c r="R1873" s="3" t="n">
        <v>-0.7741215229034424</v>
      </c>
      <c r="S1873" s="3" t="n">
        <v>-1.42105770111084</v>
      </c>
      <c r="T1873" s="3" t="n">
        <v>-0.7104492783546448</v>
      </c>
      <c r="U1873" s="3" t="n">
        <v>-0.9022449254989624</v>
      </c>
      <c r="V1873" s="3" t="n">
        <v>-0.685316801071167</v>
      </c>
      <c r="W1873" s="3" t="n">
        <v>-0.6163425445556641</v>
      </c>
      <c r="X1873" s="3" t="n">
        <v>-1.388349294662476</v>
      </c>
      <c r="Y1873" s="3" t="n">
        <v>-0.7900005578994751</v>
      </c>
      <c r="Z1873" s="3" t="n">
        <v>-1.42105770111084</v>
      </c>
      <c r="AA1873" s="3" t="n">
        <v>-1.42105770111084</v>
      </c>
      <c r="AB1873" s="3" t="n">
        <v>-1.388349294662476</v>
      </c>
      <c r="AC1873" s="3" t="n">
        <v>-2.338174819946289</v>
      </c>
      <c r="AD1873" s="3" t="n">
        <v>-0.9022449254989624</v>
      </c>
      <c r="AE1873" s="3" t="n">
        <v>-0.9022449254989624</v>
      </c>
    </row>
    <row r="1874">
      <c r="A1874" s="3" t="inlineStr">
        <is>
          <t>SGP.distn.dec.ove.mean.1</t>
        </is>
      </c>
      <c r="B1874" s="3" t="inlineStr">
        <is>
          <t>SGP</t>
        </is>
      </c>
      <c r="C1874" s="3" t="n">
        <v>2005</v>
      </c>
      <c r="D1874" s="3" t="inlineStr">
        <is>
          <t>Overall</t>
        </is>
      </c>
      <c r="E1874" s="3" t="inlineStr">
        <is>
          <t>Deciles</t>
        </is>
      </c>
      <c r="F1874" s="3" t="inlineStr">
        <is>
          <t>mean</t>
        </is>
      </c>
      <c r="G1874" s="3" t="n">
        <v>1</v>
      </c>
      <c r="H1874" s="3" t="n">
        <v>-0.7892489433288574</v>
      </c>
      <c r="I1874" s="3" t="n">
        <v>-0.7892489433288574</v>
      </c>
      <c r="J1874" s="3" t="n">
        <v>-0.8973613977432251</v>
      </c>
      <c r="K1874" s="3" t="n">
        <v>-0.8973613977432251</v>
      </c>
      <c r="L1874" s="3" t="n">
        <v>-0.7892489433288574</v>
      </c>
      <c r="M1874" s="3" t="n">
        <v>-0.7892489433288574</v>
      </c>
      <c r="N1874" s="3" t="n">
        <v>-0.7892489433288574</v>
      </c>
      <c r="O1874" s="3" t="n">
        <v>-0.7892489433288574</v>
      </c>
      <c r="P1874" s="3" t="n">
        <v>-0.7892489433288574</v>
      </c>
      <c r="Q1874" s="3" t="n">
        <v>-0.7892489433288574</v>
      </c>
      <c r="R1874" s="3" t="n">
        <v>-0.7744752764701843</v>
      </c>
      <c r="S1874" s="3" t="n">
        <v>-1.462316513061523</v>
      </c>
      <c r="T1874" s="3" t="n">
        <v>-0.7104546427726746</v>
      </c>
      <c r="U1874" s="3" t="n">
        <v>-0.8973613977432251</v>
      </c>
      <c r="V1874" s="3" t="n">
        <v>-0.6839550137519836</v>
      </c>
      <c r="W1874" s="3" t="n">
        <v>-0.6154898405075073</v>
      </c>
      <c r="X1874" s="3" t="n">
        <v>-1.40704357624054</v>
      </c>
      <c r="Y1874" s="3" t="n">
        <v>-0.7892489433288574</v>
      </c>
      <c r="Z1874" s="3" t="n">
        <v>-1.462316513061523</v>
      </c>
      <c r="AA1874" s="3" t="n">
        <v>-1.462316513061523</v>
      </c>
      <c r="AB1874" s="3" t="n">
        <v>-1.40704357624054</v>
      </c>
      <c r="AC1874" s="3" t="n">
        <v>-2.252948999404907</v>
      </c>
      <c r="AD1874" s="3" t="n">
        <v>-0.8973613977432251</v>
      </c>
      <c r="AE1874" s="3" t="n">
        <v>-0.8973613977432251</v>
      </c>
    </row>
    <row r="1875">
      <c r="A1875" s="3" t="inlineStr">
        <is>
          <t>SGP.distn.dec.ove.mean.2</t>
        </is>
      </c>
      <c r="B1875" s="3" t="inlineStr">
        <is>
          <t>SGP</t>
        </is>
      </c>
      <c r="C1875" s="3" t="n">
        <v>2005</v>
      </c>
      <c r="D1875" s="3" t="inlineStr">
        <is>
          <t>Overall</t>
        </is>
      </c>
      <c r="E1875" s="3" t="inlineStr">
        <is>
          <t>Deciles</t>
        </is>
      </c>
      <c r="F1875" s="3" t="inlineStr">
        <is>
          <t>mean</t>
        </is>
      </c>
      <c r="G1875" s="3" t="n">
        <v>2</v>
      </c>
      <c r="H1875" s="3" t="n">
        <v>-0.7892489433288574</v>
      </c>
      <c r="I1875" s="3" t="n">
        <v>-0.7892489433288574</v>
      </c>
      <c r="J1875" s="3" t="n">
        <v>-0.8973613977432251</v>
      </c>
      <c r="K1875" s="3" t="n">
        <v>-0.8973613977432251</v>
      </c>
      <c r="L1875" s="3" t="n">
        <v>-0.7892489433288574</v>
      </c>
      <c r="M1875" s="3" t="n">
        <v>-0.7892489433288574</v>
      </c>
      <c r="N1875" s="3" t="n">
        <v>-0.7892489433288574</v>
      </c>
      <c r="O1875" s="3" t="n">
        <v>-0.7892489433288574</v>
      </c>
      <c r="P1875" s="3" t="n">
        <v>-0.7892489433288574</v>
      </c>
      <c r="Q1875" s="3" t="n">
        <v>-0.7892489433288574</v>
      </c>
      <c r="R1875" s="3" t="n">
        <v>-0.7744752764701843</v>
      </c>
      <c r="S1875" s="3" t="n">
        <v>-1.462316513061523</v>
      </c>
      <c r="T1875" s="3" t="n">
        <v>-0.7104546427726746</v>
      </c>
      <c r="U1875" s="3" t="n">
        <v>-0.8973613977432251</v>
      </c>
      <c r="V1875" s="3" t="n">
        <v>-0.6839550137519836</v>
      </c>
      <c r="W1875" s="3" t="n">
        <v>-0.6154898405075073</v>
      </c>
      <c r="X1875" s="3" t="n">
        <v>-1.40704357624054</v>
      </c>
      <c r="Y1875" s="3" t="n">
        <v>-0.7892489433288574</v>
      </c>
      <c r="Z1875" s="3" t="n">
        <v>-1.462316513061523</v>
      </c>
      <c r="AA1875" s="3" t="n">
        <v>-1.462316513061523</v>
      </c>
      <c r="AB1875" s="3" t="n">
        <v>-1.40704357624054</v>
      </c>
      <c r="AC1875" s="3" t="n">
        <v>-2.252948999404907</v>
      </c>
      <c r="AD1875" s="3" t="n">
        <v>-0.8973613977432251</v>
      </c>
      <c r="AE1875" s="3" t="n">
        <v>-0.8973613977432251</v>
      </c>
    </row>
    <row r="1876">
      <c r="A1876" s="3" t="inlineStr">
        <is>
          <t>SGP.distn.dec.ove.mean.3</t>
        </is>
      </c>
      <c r="B1876" s="3" t="inlineStr">
        <is>
          <t>SGP</t>
        </is>
      </c>
      <c r="C1876" s="3" t="n">
        <v>2005</v>
      </c>
      <c r="D1876" s="3" t="inlineStr">
        <is>
          <t>Overall</t>
        </is>
      </c>
      <c r="E1876" s="3" t="inlineStr">
        <is>
          <t>Deciles</t>
        </is>
      </c>
      <c r="F1876" s="3" t="inlineStr">
        <is>
          <t>mean</t>
        </is>
      </c>
      <c r="G1876" s="3" t="n">
        <v>3</v>
      </c>
      <c r="H1876" s="3" t="n">
        <v>-0.7892489433288574</v>
      </c>
      <c r="I1876" s="3" t="n">
        <v>-0.7892489433288574</v>
      </c>
      <c r="J1876" s="3" t="n">
        <v>-0.8973613977432251</v>
      </c>
      <c r="K1876" s="3" t="n">
        <v>-0.8973613977432251</v>
      </c>
      <c r="L1876" s="3" t="n">
        <v>-0.7892489433288574</v>
      </c>
      <c r="M1876" s="3" t="n">
        <v>-0.7892489433288574</v>
      </c>
      <c r="N1876" s="3" t="n">
        <v>-0.7892489433288574</v>
      </c>
      <c r="O1876" s="3" t="n">
        <v>-0.7892489433288574</v>
      </c>
      <c r="P1876" s="3" t="n">
        <v>-0.7892489433288574</v>
      </c>
      <c r="Q1876" s="3" t="n">
        <v>-0.7892489433288574</v>
      </c>
      <c r="R1876" s="3" t="n">
        <v>-0.7744752764701843</v>
      </c>
      <c r="S1876" s="3" t="n">
        <v>-1.462316513061523</v>
      </c>
      <c r="T1876" s="3" t="n">
        <v>-0.7104546427726746</v>
      </c>
      <c r="U1876" s="3" t="n">
        <v>-0.8973613977432251</v>
      </c>
      <c r="V1876" s="3" t="n">
        <v>-0.6839550137519836</v>
      </c>
      <c r="W1876" s="3" t="n">
        <v>-0.6154898405075073</v>
      </c>
      <c r="X1876" s="3" t="n">
        <v>-1.40704357624054</v>
      </c>
      <c r="Y1876" s="3" t="n">
        <v>-0.7892489433288574</v>
      </c>
      <c r="Z1876" s="3" t="n">
        <v>-1.462316513061523</v>
      </c>
      <c r="AA1876" s="3" t="n">
        <v>-1.462316513061523</v>
      </c>
      <c r="AB1876" s="3" t="n">
        <v>-1.40704357624054</v>
      </c>
      <c r="AC1876" s="3" t="n">
        <v>-2.252948999404907</v>
      </c>
      <c r="AD1876" s="3" t="n">
        <v>-0.8973613977432251</v>
      </c>
      <c r="AE1876" s="3" t="n">
        <v>-0.8973613977432251</v>
      </c>
    </row>
    <row r="1877">
      <c r="A1877" s="3" t="inlineStr">
        <is>
          <t>SGP.distn.dec.ove.mean.4</t>
        </is>
      </c>
      <c r="B1877" s="3" t="inlineStr">
        <is>
          <t>SGP</t>
        </is>
      </c>
      <c r="C1877" s="3" t="n">
        <v>2005</v>
      </c>
      <c r="D1877" s="3" t="inlineStr">
        <is>
          <t>Overall</t>
        </is>
      </c>
      <c r="E1877" s="3" t="inlineStr">
        <is>
          <t>Deciles</t>
        </is>
      </c>
      <c r="F1877" s="3" t="inlineStr">
        <is>
          <t>mean</t>
        </is>
      </c>
      <c r="G1877" s="3" t="n">
        <v>4</v>
      </c>
      <c r="H1877" s="3" t="n">
        <v>-0.7829999923706055</v>
      </c>
      <c r="I1877" s="3" t="n">
        <v>-0.7829999923706055</v>
      </c>
      <c r="J1877" s="3" t="n">
        <v>-0.8539999723434448</v>
      </c>
      <c r="K1877" s="3" t="n">
        <v>-0.8539999723434448</v>
      </c>
      <c r="L1877" s="3" t="n">
        <v>-0.7829999923706055</v>
      </c>
      <c r="M1877" s="3" t="n">
        <v>-0.7829999923706055</v>
      </c>
      <c r="N1877" s="3" t="n">
        <v>-0.7829999923706055</v>
      </c>
      <c r="O1877" s="3" t="n">
        <v>-0.7829999923706055</v>
      </c>
      <c r="P1877" s="3" t="n">
        <v>-0.7829999923706055</v>
      </c>
      <c r="Q1877" s="3" t="n">
        <v>-0.7829999923706055</v>
      </c>
      <c r="R1877" s="3" t="n">
        <v>-0.7710000276565552</v>
      </c>
      <c r="S1877" s="3" t="n">
        <v>-0.9959999918937683</v>
      </c>
      <c r="T1877" s="3" t="n">
        <v>-0.7089999914169312</v>
      </c>
      <c r="U1877" s="3" t="n">
        <v>-0.8539999723434448</v>
      </c>
      <c r="V1877" s="3" t="n">
        <v>-0.6769999861717224</v>
      </c>
      <c r="W1877" s="3" t="n">
        <v>-0.5180000066757202</v>
      </c>
      <c r="X1877" s="3" t="n">
        <v>-0.9929999709129333</v>
      </c>
      <c r="Y1877" s="3" t="n">
        <v>-0.7829999923706055</v>
      </c>
      <c r="Z1877" s="3" t="n">
        <v>-0.9959999918937683</v>
      </c>
      <c r="AA1877" s="3" t="n">
        <v>-0.9959999918937683</v>
      </c>
      <c r="AB1877" s="3" t="n">
        <v>-0.9929999709129333</v>
      </c>
      <c r="AC1877" s="3" t="n">
        <v>-1.088000059127808</v>
      </c>
      <c r="AD1877" s="3" t="n">
        <v>-0.8539999723434448</v>
      </c>
      <c r="AE1877" s="3" t="n">
        <v>-0.8539999723434448</v>
      </c>
    </row>
    <row r="1878">
      <c r="A1878" s="3" t="inlineStr">
        <is>
          <t>SGP.distn.dec.ove.mean.5</t>
        </is>
      </c>
      <c r="B1878" s="3" t="inlineStr">
        <is>
          <t>SGP</t>
        </is>
      </c>
      <c r="C1878" s="3" t="n">
        <v>2005</v>
      </c>
      <c r="D1878" s="3" t="inlineStr">
        <is>
          <t>Overall</t>
        </is>
      </c>
      <c r="E1878" s="3" t="inlineStr">
        <is>
          <t>Deciles</t>
        </is>
      </c>
      <c r="F1878" s="3" t="inlineStr">
        <is>
          <t>mean</t>
        </is>
      </c>
      <c r="G1878" s="3" t="n">
        <v>5</v>
      </c>
      <c r="H1878" s="3" t="n">
        <v>-0.7829999923706055</v>
      </c>
      <c r="I1878" s="3" t="n">
        <v>-0.7829999923706055</v>
      </c>
      <c r="J1878" s="3" t="n">
        <v>-0.8539999723434448</v>
      </c>
      <c r="K1878" s="3" t="n">
        <v>-0.8539999723434448</v>
      </c>
      <c r="L1878" s="3" t="n">
        <v>-0.7829999923706055</v>
      </c>
      <c r="M1878" s="3" t="n">
        <v>-0.7829999923706055</v>
      </c>
      <c r="N1878" s="3" t="n">
        <v>-0.7829999923706055</v>
      </c>
      <c r="O1878" s="3" t="n">
        <v>-0.7829999923706055</v>
      </c>
      <c r="P1878" s="3" t="n">
        <v>-0.7829999923706055</v>
      </c>
      <c r="Q1878" s="3" t="n">
        <v>-0.7829999923706055</v>
      </c>
      <c r="R1878" s="3" t="n">
        <v>-0.7710000276565552</v>
      </c>
      <c r="S1878" s="3" t="n">
        <v>-0.9959999918937683</v>
      </c>
      <c r="T1878" s="3" t="n">
        <v>-0.7089999914169312</v>
      </c>
      <c r="U1878" s="3" t="n">
        <v>-0.8539999723434448</v>
      </c>
      <c r="V1878" s="3" t="n">
        <v>-0.6769999861717224</v>
      </c>
      <c r="W1878" s="3" t="n">
        <v>-0.5180000066757202</v>
      </c>
      <c r="X1878" s="3" t="n">
        <v>-0.9929999709129333</v>
      </c>
      <c r="Y1878" s="3" t="n">
        <v>-0.7829999923706055</v>
      </c>
      <c r="Z1878" s="3" t="n">
        <v>-0.9959999918937683</v>
      </c>
      <c r="AA1878" s="3" t="n">
        <v>-0.9959999918937683</v>
      </c>
      <c r="AB1878" s="3" t="n">
        <v>-0.9929999709129333</v>
      </c>
      <c r="AC1878" s="3" t="n">
        <v>-1.088000059127808</v>
      </c>
      <c r="AD1878" s="3" t="n">
        <v>-0.8539999723434448</v>
      </c>
      <c r="AE1878" s="3" t="n">
        <v>-0.8539999723434448</v>
      </c>
    </row>
    <row r="1879">
      <c r="A1879" s="3" t="inlineStr">
        <is>
          <t>SGP.distn.dec.ove.mean.6</t>
        </is>
      </c>
      <c r="B1879" s="3" t="inlineStr">
        <is>
          <t>SGP</t>
        </is>
      </c>
      <c r="C1879" s="3" t="n">
        <v>2005</v>
      </c>
      <c r="D1879" s="3" t="inlineStr">
        <is>
          <t>Overall</t>
        </is>
      </c>
      <c r="E1879" s="3" t="inlineStr">
        <is>
          <t>Deciles</t>
        </is>
      </c>
      <c r="F1879" s="3" t="inlineStr">
        <is>
          <t>mean</t>
        </is>
      </c>
      <c r="G1879" s="3" t="n">
        <v>6</v>
      </c>
      <c r="H1879" s="3" t="n">
        <v>-0.7829999923706055</v>
      </c>
      <c r="I1879" s="3" t="n">
        <v>-0.7829999923706055</v>
      </c>
      <c r="J1879" s="3" t="n">
        <v>-0.8539999723434448</v>
      </c>
      <c r="K1879" s="3" t="n">
        <v>-0.8539999723434448</v>
      </c>
      <c r="L1879" s="3" t="n">
        <v>-0.7829999923706055</v>
      </c>
      <c r="M1879" s="3" t="n">
        <v>-0.7829999923706055</v>
      </c>
      <c r="N1879" s="3" t="n">
        <v>-0.7829999923706055</v>
      </c>
      <c r="O1879" s="3" t="n">
        <v>-0.7829999923706055</v>
      </c>
      <c r="P1879" s="3" t="n">
        <v>-0.7829999923706055</v>
      </c>
      <c r="Q1879" s="3" t="n">
        <v>-0.7829999923706055</v>
      </c>
      <c r="R1879" s="3" t="n">
        <v>-0.7710000276565552</v>
      </c>
      <c r="S1879" s="3" t="n">
        <v>-0.9959999918937683</v>
      </c>
      <c r="T1879" s="3" t="n">
        <v>-0.7089999914169312</v>
      </c>
      <c r="U1879" s="3" t="n">
        <v>-0.8539999723434448</v>
      </c>
      <c r="V1879" s="3" t="n">
        <v>-0.6769999861717224</v>
      </c>
      <c r="W1879" s="3" t="n">
        <v>-0.5180000066757202</v>
      </c>
      <c r="X1879" s="3" t="n">
        <v>-0.9929999709129333</v>
      </c>
      <c r="Y1879" s="3" t="n">
        <v>-0.7829999923706055</v>
      </c>
      <c r="Z1879" s="3" t="n">
        <v>-0.9959999918937683</v>
      </c>
      <c r="AA1879" s="3" t="n">
        <v>-0.9959999918937683</v>
      </c>
      <c r="AB1879" s="3" t="n">
        <v>-0.9929999709129333</v>
      </c>
      <c r="AC1879" s="3" t="n">
        <v>-1.088000059127808</v>
      </c>
      <c r="AD1879" s="3" t="n">
        <v>-0.8539999723434448</v>
      </c>
      <c r="AE1879" s="3" t="n">
        <v>-0.8539999723434448</v>
      </c>
    </row>
    <row r="1880">
      <c r="A1880" s="3" t="inlineStr">
        <is>
          <t>SGP.distn.dec.ove.mean.7</t>
        </is>
      </c>
      <c r="B1880" s="3" t="inlineStr">
        <is>
          <t>SGP</t>
        </is>
      </c>
      <c r="C1880" s="3" t="n">
        <v>2005</v>
      </c>
      <c r="D1880" s="3" t="inlineStr">
        <is>
          <t>Overall</t>
        </is>
      </c>
      <c r="E1880" s="3" t="inlineStr">
        <is>
          <t>Deciles</t>
        </is>
      </c>
      <c r="F1880" s="3" t="inlineStr">
        <is>
          <t>mean</t>
        </is>
      </c>
      <c r="G1880" s="3" t="n">
        <v>7</v>
      </c>
      <c r="H1880" s="3" t="n">
        <v>-0.7829999923706055</v>
      </c>
      <c r="I1880" s="3" t="n">
        <v>-0.7829999923706055</v>
      </c>
      <c r="J1880" s="3" t="n">
        <v>-0.8539999723434448</v>
      </c>
      <c r="K1880" s="3" t="n">
        <v>-0.8539999723434448</v>
      </c>
      <c r="L1880" s="3" t="n">
        <v>-0.7829999923706055</v>
      </c>
      <c r="M1880" s="3" t="n">
        <v>-0.7829999923706055</v>
      </c>
      <c r="N1880" s="3" t="n">
        <v>-0.7829999923706055</v>
      </c>
      <c r="O1880" s="3" t="n">
        <v>-0.7829999923706055</v>
      </c>
      <c r="P1880" s="3" t="n">
        <v>-0.7829999923706055</v>
      </c>
      <c r="Q1880" s="3" t="n">
        <v>-0.7829999923706055</v>
      </c>
      <c r="R1880" s="3" t="n">
        <v>-0.7710000276565552</v>
      </c>
      <c r="S1880" s="3" t="n">
        <v>-0.9959999918937683</v>
      </c>
      <c r="T1880" s="3" t="n">
        <v>-0.7089999914169312</v>
      </c>
      <c r="U1880" s="3" t="n">
        <v>-0.8539999723434448</v>
      </c>
      <c r="V1880" s="3" t="n">
        <v>-0.6769999861717224</v>
      </c>
      <c r="W1880" s="3" t="n">
        <v>-0.5180000066757202</v>
      </c>
      <c r="X1880" s="3" t="n">
        <v>-0.9929999709129333</v>
      </c>
      <c r="Y1880" s="3" t="n">
        <v>-0.7829999923706055</v>
      </c>
      <c r="Z1880" s="3" t="n">
        <v>-0.9959999918937683</v>
      </c>
      <c r="AA1880" s="3" t="n">
        <v>-0.9959999918937683</v>
      </c>
      <c r="AB1880" s="3" t="n">
        <v>-0.9929999709129333</v>
      </c>
      <c r="AC1880" s="3" t="n">
        <v>-1.088000059127808</v>
      </c>
      <c r="AD1880" s="3" t="n">
        <v>-0.8539999723434448</v>
      </c>
      <c r="AE1880" s="3" t="n">
        <v>-0.8539999723434448</v>
      </c>
    </row>
    <row r="1881">
      <c r="A1881" s="3" t="inlineStr">
        <is>
          <t>SGP.distn.dec.ove.mean.8</t>
        </is>
      </c>
      <c r="B1881" s="3" t="inlineStr">
        <is>
          <t>SGP</t>
        </is>
      </c>
      <c r="C1881" s="3" t="n">
        <v>2005</v>
      </c>
      <c r="D1881" s="3" t="inlineStr">
        <is>
          <t>Overall</t>
        </is>
      </c>
      <c r="E1881" s="3" t="inlineStr">
        <is>
          <t>Deciles</t>
        </is>
      </c>
      <c r="F1881" s="3" t="inlineStr">
        <is>
          <t>mean</t>
        </is>
      </c>
      <c r="G1881" s="3" t="n">
        <v>8</v>
      </c>
      <c r="H1881" s="3" t="n">
        <v>-0.7833772301673889</v>
      </c>
      <c r="I1881" s="3" t="n">
        <v>-0.7833772301673889</v>
      </c>
      <c r="J1881" s="3" t="n">
        <v>-0.8563037514686584</v>
      </c>
      <c r="K1881" s="3" t="n">
        <v>-0.8563037514686584</v>
      </c>
      <c r="L1881" s="3" t="n">
        <v>-0.7833772301673889</v>
      </c>
      <c r="M1881" s="3" t="n">
        <v>-0.7833772301673889</v>
      </c>
      <c r="N1881" s="3" t="n">
        <v>-0.7833772301673889</v>
      </c>
      <c r="O1881" s="3" t="n">
        <v>-0.7833772301673889</v>
      </c>
      <c r="P1881" s="3" t="n">
        <v>-0.7833772301673889</v>
      </c>
      <c r="Q1881" s="3" t="n">
        <v>-0.7833772301673889</v>
      </c>
      <c r="R1881" s="3" t="n">
        <v>-0.7712535858154297</v>
      </c>
      <c r="S1881" s="3" t="n">
        <v>-1.005267858505249</v>
      </c>
      <c r="T1881" s="3" t="n">
        <v>-0.7090408802032471</v>
      </c>
      <c r="U1881" s="3" t="n">
        <v>-0.8563037514686584</v>
      </c>
      <c r="V1881" s="3" t="n">
        <v>-0.677699863910675</v>
      </c>
      <c r="W1881" s="3" t="n">
        <v>-0.5318714380264282</v>
      </c>
      <c r="X1881" s="3" t="n">
        <v>-1.002048254013062</v>
      </c>
      <c r="Y1881" s="3" t="n">
        <v>-0.7833772301673889</v>
      </c>
      <c r="Z1881" s="3" t="n">
        <v>-1.005267858505249</v>
      </c>
      <c r="AA1881" s="3" t="n">
        <v>-1.005267858505249</v>
      </c>
      <c r="AB1881" s="3" t="n">
        <v>-1.002048254013062</v>
      </c>
      <c r="AC1881" s="3" t="n">
        <v>-1.103516340255737</v>
      </c>
      <c r="AD1881" s="3" t="n">
        <v>-0.8563037514686584</v>
      </c>
      <c r="AE1881" s="3" t="n">
        <v>-0.8563037514686584</v>
      </c>
    </row>
    <row r="1882">
      <c r="A1882" s="3" t="inlineStr">
        <is>
          <t>SGP.distn.dec.ove.mean.9</t>
        </is>
      </c>
      <c r="B1882" s="3" t="inlineStr">
        <is>
          <t>SGP</t>
        </is>
      </c>
      <c r="C1882" s="3" t="n">
        <v>2005</v>
      </c>
      <c r="D1882" s="3" t="inlineStr">
        <is>
          <t>Overall</t>
        </is>
      </c>
      <c r="E1882" s="3" t="inlineStr">
        <is>
          <t>Deciles</t>
        </is>
      </c>
      <c r="F1882" s="3" t="inlineStr">
        <is>
          <t>mean</t>
        </is>
      </c>
      <c r="G1882" s="3" t="n">
        <v>9</v>
      </c>
      <c r="H1882" s="3" t="n">
        <v>-0.7833772301673889</v>
      </c>
      <c r="I1882" s="3" t="n">
        <v>-0.7833772301673889</v>
      </c>
      <c r="J1882" s="3" t="n">
        <v>-0.8563037514686584</v>
      </c>
      <c r="K1882" s="3" t="n">
        <v>-0.8563037514686584</v>
      </c>
      <c r="L1882" s="3" t="n">
        <v>-0.7833772301673889</v>
      </c>
      <c r="M1882" s="3" t="n">
        <v>-0.7833772301673889</v>
      </c>
      <c r="N1882" s="3" t="n">
        <v>-0.7833772301673889</v>
      </c>
      <c r="O1882" s="3" t="n">
        <v>-0.7833772301673889</v>
      </c>
      <c r="P1882" s="3" t="n">
        <v>-0.7833772301673889</v>
      </c>
      <c r="Q1882" s="3" t="n">
        <v>-0.7833772301673889</v>
      </c>
      <c r="R1882" s="3" t="n">
        <v>-0.7712535858154297</v>
      </c>
      <c r="S1882" s="3" t="n">
        <v>-1.005267858505249</v>
      </c>
      <c r="T1882" s="3" t="n">
        <v>-0.7090408802032471</v>
      </c>
      <c r="U1882" s="3" t="n">
        <v>-0.8563037514686584</v>
      </c>
      <c r="V1882" s="3" t="n">
        <v>-0.677699863910675</v>
      </c>
      <c r="W1882" s="3" t="n">
        <v>-0.5318714380264282</v>
      </c>
      <c r="X1882" s="3" t="n">
        <v>-1.002048254013062</v>
      </c>
      <c r="Y1882" s="3" t="n">
        <v>-0.7833772301673889</v>
      </c>
      <c r="Z1882" s="3" t="n">
        <v>-1.005267858505249</v>
      </c>
      <c r="AA1882" s="3" t="n">
        <v>-1.005267858505249</v>
      </c>
      <c r="AB1882" s="3" t="n">
        <v>-1.002048254013062</v>
      </c>
      <c r="AC1882" s="3" t="n">
        <v>-1.103516340255737</v>
      </c>
      <c r="AD1882" s="3" t="n">
        <v>-0.8563037514686584</v>
      </c>
      <c r="AE1882" s="3" t="n">
        <v>-0.8563037514686584</v>
      </c>
    </row>
    <row r="1883">
      <c r="A1883" s="3" t="inlineStr">
        <is>
          <t>SGP.distn.dec.ove.mean.10</t>
        </is>
      </c>
      <c r="B1883" s="3" t="inlineStr">
        <is>
          <t>SGP</t>
        </is>
      </c>
      <c r="C1883" s="3" t="n">
        <v>2005</v>
      </c>
      <c r="D1883" s="3" t="inlineStr">
        <is>
          <t>Overall</t>
        </is>
      </c>
      <c r="E1883" s="3" t="inlineStr">
        <is>
          <t>Deciles</t>
        </is>
      </c>
      <c r="F1883" s="3" t="inlineStr">
        <is>
          <t>mean</t>
        </is>
      </c>
      <c r="G1883" s="3" t="n">
        <v>10</v>
      </c>
      <c r="H1883" s="3" t="n">
        <v>-0.7833772301673889</v>
      </c>
      <c r="I1883" s="3" t="n">
        <v>-0.7833772301673889</v>
      </c>
      <c r="J1883" s="3" t="n">
        <v>-0.8563037514686584</v>
      </c>
      <c r="K1883" s="3" t="n">
        <v>-0.8563037514686584</v>
      </c>
      <c r="L1883" s="3" t="n">
        <v>-0.7833772301673889</v>
      </c>
      <c r="M1883" s="3" t="n">
        <v>-0.7833772301673889</v>
      </c>
      <c r="N1883" s="3" t="n">
        <v>-0.7833772301673889</v>
      </c>
      <c r="O1883" s="3" t="n">
        <v>-0.7833772301673889</v>
      </c>
      <c r="P1883" s="3" t="n">
        <v>-0.7833772301673889</v>
      </c>
      <c r="Q1883" s="3" t="n">
        <v>-0.7833772301673889</v>
      </c>
      <c r="R1883" s="3" t="n">
        <v>-0.7712535858154297</v>
      </c>
      <c r="S1883" s="3" t="n">
        <v>-1.005267858505249</v>
      </c>
      <c r="T1883" s="3" t="n">
        <v>-0.7090408802032471</v>
      </c>
      <c r="U1883" s="3" t="n">
        <v>-0.8563037514686584</v>
      </c>
      <c r="V1883" s="3" t="n">
        <v>-0.677699863910675</v>
      </c>
      <c r="W1883" s="3" t="n">
        <v>-0.5318714380264282</v>
      </c>
      <c r="X1883" s="3" t="n">
        <v>-1.002048254013062</v>
      </c>
      <c r="Y1883" s="3" t="n">
        <v>-0.7833772301673889</v>
      </c>
      <c r="Z1883" s="3" t="n">
        <v>-1.005267858505249</v>
      </c>
      <c r="AA1883" s="3" t="n">
        <v>-1.005267858505249</v>
      </c>
      <c r="AB1883" s="3" t="n">
        <v>-1.002048254013062</v>
      </c>
      <c r="AC1883" s="3" t="n">
        <v>-1.103516340255737</v>
      </c>
      <c r="AD1883" s="3" t="n">
        <v>-0.8563037514686584</v>
      </c>
      <c r="AE1883" s="3" t="n">
        <v>-0.8563037514686584</v>
      </c>
    </row>
    <row r="1884">
      <c r="A1884" s="3" t="inlineStr">
        <is>
          <t>SGP.distn.bkt.ove.mean.9999</t>
        </is>
      </c>
      <c r="B1884" s="3" t="inlineStr">
        <is>
          <t>SGP</t>
        </is>
      </c>
      <c r="C1884" s="3" t="n">
        <v>2005</v>
      </c>
      <c r="D1884" s="3" t="inlineStr">
        <is>
          <t>Overall</t>
        </is>
      </c>
      <c r="E1884" s="3" t="inlineStr">
        <is>
          <t>Basket</t>
        </is>
      </c>
      <c r="F1884" s="3" t="inlineStr">
        <is>
          <t>mean</t>
        </is>
      </c>
      <c r="G1884" s="3" t="n">
        <v>9999</v>
      </c>
      <c r="H1884" s="3" t="n">
        <v>-0.7849878668785095</v>
      </c>
      <c r="I1884" s="3" t="n">
        <v>-0.7849878668785095</v>
      </c>
      <c r="J1884" s="3" t="n">
        <v>-0.8676995038986206</v>
      </c>
      <c r="K1884" s="3" t="n">
        <v>-0.8676995038986206</v>
      </c>
      <c r="L1884" s="3" t="n">
        <v>-0.7849878668785095</v>
      </c>
      <c r="M1884" s="3" t="n">
        <v>-0.7849878668785095</v>
      </c>
      <c r="N1884" s="3" t="n">
        <v>-0.7849878668785095</v>
      </c>
      <c r="O1884" s="3" t="n">
        <v>-0.7849878668785095</v>
      </c>
      <c r="P1884" s="3" t="n">
        <v>-0.7849878668785095</v>
      </c>
      <c r="Q1884" s="3" t="n">
        <v>-0.7849878668785095</v>
      </c>
      <c r="R1884" s="3" t="n">
        <v>-0.7721186876296997</v>
      </c>
      <c r="S1884" s="3" t="n">
        <v>-1.138675332069397</v>
      </c>
      <c r="T1884" s="3" t="n">
        <v>-0.7094486355781555</v>
      </c>
      <c r="U1884" s="3" t="n">
        <v>-0.8676995038986206</v>
      </c>
      <c r="V1884" s="3" t="n">
        <v>-0.6792964339256287</v>
      </c>
      <c r="W1884" s="3" t="n">
        <v>-0.5514084100723267</v>
      </c>
      <c r="X1884" s="3" t="n">
        <v>-1.119927525520325</v>
      </c>
      <c r="Y1884" s="3" t="n">
        <v>-0.7849878668785095</v>
      </c>
      <c r="Z1884" s="3" t="n">
        <v>-1.138675332069397</v>
      </c>
      <c r="AA1884" s="3" t="n">
        <v>-1.138675332069397</v>
      </c>
      <c r="AB1884" s="3" t="n">
        <v>-1.119927525520325</v>
      </c>
      <c r="AC1884" s="3" t="n">
        <v>-1.442139625549316</v>
      </c>
      <c r="AD1884" s="3" t="n">
        <v>-0.8676995038986206</v>
      </c>
      <c r="AE1884" s="3" t="n">
        <v>-0.8676995038986206</v>
      </c>
    </row>
    <row r="1885">
      <c r="A1885" s="3" t="inlineStr">
        <is>
          <t>SLB.distn.dec.ove.mean.1</t>
        </is>
      </c>
      <c r="B1885" s="3" t="inlineStr">
        <is>
          <t>SLB</t>
        </is>
      </c>
      <c r="C1885" s="3" t="n">
        <v>2005</v>
      </c>
      <c r="D1885" s="3" t="inlineStr">
        <is>
          <t>Overall</t>
        </is>
      </c>
      <c r="E1885" s="3" t="inlineStr">
        <is>
          <t>Deciles</t>
        </is>
      </c>
      <c r="F1885" s="3" t="inlineStr">
        <is>
          <t>mean</t>
        </is>
      </c>
      <c r="G1885" s="3" t="n">
        <v>1</v>
      </c>
      <c r="H1885" s="3" t="n">
        <v>-0.7936522003851438</v>
      </c>
      <c r="I1885" s="3" t="n">
        <v>-0.7936522003851438</v>
      </c>
      <c r="J1885" s="3" t="n">
        <v>-0.9276126356501329</v>
      </c>
      <c r="K1885" s="3" t="n">
        <v>-0.9276126356501329</v>
      </c>
      <c r="L1885" s="3" t="n">
        <v>-0.7936522003851438</v>
      </c>
      <c r="M1885" s="3" t="n">
        <v>-0.7936522003851438</v>
      </c>
      <c r="N1885" s="3" t="n">
        <v>-0.7936522003851438</v>
      </c>
      <c r="O1885" s="3" t="n">
        <v>-0.7936522003851438</v>
      </c>
      <c r="P1885" s="3" t="n">
        <v>-0.7936522003851438</v>
      </c>
      <c r="Q1885" s="3" t="n">
        <v>-0.7936522003851438</v>
      </c>
      <c r="R1885" s="3" t="n">
        <v>-0.7764578367534437</v>
      </c>
      <c r="S1885" s="3" t="n">
        <v>-1.851309371621985</v>
      </c>
      <c r="T1885" s="3" t="n">
        <v>-0.7110083871766141</v>
      </c>
      <c r="U1885" s="3" t="n">
        <v>-0.9276126356501329</v>
      </c>
      <c r="V1885" s="3" t="n">
        <v>-0.688554396754817</v>
      </c>
      <c r="W1885" s="3" t="n">
        <v>-0.6748062403578508</v>
      </c>
      <c r="X1885" s="3" t="n">
        <v>-1.760538414904946</v>
      </c>
      <c r="Y1885" s="3" t="n">
        <v>-0.7936522003851438</v>
      </c>
      <c r="Z1885" s="3" t="n">
        <v>-1.851309371621985</v>
      </c>
      <c r="AA1885" s="3" t="n">
        <v>-1.851309371621985</v>
      </c>
      <c r="AB1885" s="3" t="n">
        <v>-1.760538414904946</v>
      </c>
      <c r="AC1885" s="3" t="n">
        <v>-4.00243950517554</v>
      </c>
      <c r="AD1885" s="3" t="n">
        <v>-0.9276126356501329</v>
      </c>
      <c r="AE1885" s="3" t="n">
        <v>-0.9276126356501329</v>
      </c>
    </row>
    <row r="1886">
      <c r="A1886" s="3" t="inlineStr">
        <is>
          <t>SLB.distn.dec.ove.mean.2</t>
        </is>
      </c>
      <c r="B1886" s="3" t="inlineStr">
        <is>
          <t>SLB</t>
        </is>
      </c>
      <c r="C1886" s="3" t="n">
        <v>2005</v>
      </c>
      <c r="D1886" s="3" t="inlineStr">
        <is>
          <t>Overall</t>
        </is>
      </c>
      <c r="E1886" s="3" t="inlineStr">
        <is>
          <t>Deciles</t>
        </is>
      </c>
      <c r="F1886" s="3" t="inlineStr">
        <is>
          <t>mean</t>
        </is>
      </c>
      <c r="G1886" s="3" t="n">
        <v>2</v>
      </c>
      <c r="H1886" s="3" t="n">
        <v>-0.7936522003851438</v>
      </c>
      <c r="I1886" s="3" t="n">
        <v>-0.7936522003851438</v>
      </c>
      <c r="J1886" s="3" t="n">
        <v>-0.9276126356501329</v>
      </c>
      <c r="K1886" s="3" t="n">
        <v>-0.9276126356501329</v>
      </c>
      <c r="L1886" s="3" t="n">
        <v>-0.7936522003851438</v>
      </c>
      <c r="M1886" s="3" t="n">
        <v>-0.7936522003851438</v>
      </c>
      <c r="N1886" s="3" t="n">
        <v>-0.7936522003851438</v>
      </c>
      <c r="O1886" s="3" t="n">
        <v>-0.7936522003851438</v>
      </c>
      <c r="P1886" s="3" t="n">
        <v>-0.7936522003851438</v>
      </c>
      <c r="Q1886" s="3" t="n">
        <v>-0.7936522003851438</v>
      </c>
      <c r="R1886" s="3" t="n">
        <v>-0.7764578367534437</v>
      </c>
      <c r="S1886" s="3" t="n">
        <v>-1.851309371621985</v>
      </c>
      <c r="T1886" s="3" t="n">
        <v>-0.7110083871766141</v>
      </c>
      <c r="U1886" s="3" t="n">
        <v>-0.9276126356501329</v>
      </c>
      <c r="V1886" s="3" t="n">
        <v>-0.688554396754817</v>
      </c>
      <c r="W1886" s="3" t="n">
        <v>-0.6748062403578508</v>
      </c>
      <c r="X1886" s="3" t="n">
        <v>-1.760538414904946</v>
      </c>
      <c r="Y1886" s="3" t="n">
        <v>-0.7936522003851438</v>
      </c>
      <c r="Z1886" s="3" t="n">
        <v>-1.851309371621985</v>
      </c>
      <c r="AA1886" s="3" t="n">
        <v>-1.851309371621985</v>
      </c>
      <c r="AB1886" s="3" t="n">
        <v>-1.760538414904946</v>
      </c>
      <c r="AC1886" s="3" t="n">
        <v>-4.00243950517554</v>
      </c>
      <c r="AD1886" s="3" t="n">
        <v>-0.9276126356501329</v>
      </c>
      <c r="AE1886" s="3" t="n">
        <v>-0.9276126356501329</v>
      </c>
    </row>
    <row r="1887">
      <c r="A1887" s="3" t="inlineStr">
        <is>
          <t>SLB.distn.dec.ove.mean.3</t>
        </is>
      </c>
      <c r="B1887" s="3" t="inlineStr">
        <is>
          <t>SLB</t>
        </is>
      </c>
      <c r="C1887" s="3" t="n">
        <v>2005</v>
      </c>
      <c r="D1887" s="3" t="inlineStr">
        <is>
          <t>Overall</t>
        </is>
      </c>
      <c r="E1887" s="3" t="inlineStr">
        <is>
          <t>Deciles</t>
        </is>
      </c>
      <c r="F1887" s="3" t="inlineStr">
        <is>
          <t>mean</t>
        </is>
      </c>
      <c r="G1887" s="3" t="n">
        <v>3</v>
      </c>
      <c r="H1887" s="3" t="n">
        <v>-0.7936522003851438</v>
      </c>
      <c r="I1887" s="3" t="n">
        <v>-0.7936522003851438</v>
      </c>
      <c r="J1887" s="3" t="n">
        <v>-0.9276126356501329</v>
      </c>
      <c r="K1887" s="3" t="n">
        <v>-0.9276126356501329</v>
      </c>
      <c r="L1887" s="3" t="n">
        <v>-0.7936522003851438</v>
      </c>
      <c r="M1887" s="3" t="n">
        <v>-0.7936522003851438</v>
      </c>
      <c r="N1887" s="3" t="n">
        <v>-0.7936522003851438</v>
      </c>
      <c r="O1887" s="3" t="n">
        <v>-0.7936522003851438</v>
      </c>
      <c r="P1887" s="3" t="n">
        <v>-0.7936522003851438</v>
      </c>
      <c r="Q1887" s="3" t="n">
        <v>-0.7936522003851438</v>
      </c>
      <c r="R1887" s="3" t="n">
        <v>-0.7764578367534437</v>
      </c>
      <c r="S1887" s="3" t="n">
        <v>-1.851309371621985</v>
      </c>
      <c r="T1887" s="3" t="n">
        <v>-0.7110083871766141</v>
      </c>
      <c r="U1887" s="3" t="n">
        <v>-0.9276126356501329</v>
      </c>
      <c r="V1887" s="3" t="n">
        <v>-0.688554396754817</v>
      </c>
      <c r="W1887" s="3" t="n">
        <v>-0.6748062403578508</v>
      </c>
      <c r="X1887" s="3" t="n">
        <v>-1.760538414904946</v>
      </c>
      <c r="Y1887" s="3" t="n">
        <v>-0.7936522003851438</v>
      </c>
      <c r="Z1887" s="3" t="n">
        <v>-1.851309371621985</v>
      </c>
      <c r="AA1887" s="3" t="n">
        <v>-1.851309371621985</v>
      </c>
      <c r="AB1887" s="3" t="n">
        <v>-1.760538414904946</v>
      </c>
      <c r="AC1887" s="3" t="n">
        <v>-4.00243950517554</v>
      </c>
      <c r="AD1887" s="3" t="n">
        <v>-0.9276126356501329</v>
      </c>
      <c r="AE1887" s="3" t="n">
        <v>-0.9276126356501329</v>
      </c>
    </row>
    <row r="1888">
      <c r="A1888" s="3" t="inlineStr">
        <is>
          <t>SLB.distn.dec.ove.mean.4</t>
        </is>
      </c>
      <c r="B1888" s="3" t="inlineStr">
        <is>
          <t>SLB</t>
        </is>
      </c>
      <c r="C1888" s="3" t="n">
        <v>2005</v>
      </c>
      <c r="D1888" s="3" t="inlineStr">
        <is>
          <t>Overall</t>
        </is>
      </c>
      <c r="E1888" s="3" t="inlineStr">
        <is>
          <t>Deciles</t>
        </is>
      </c>
      <c r="F1888" s="3" t="inlineStr">
        <is>
          <t>mean</t>
        </is>
      </c>
      <c r="G1888" s="3" t="n">
        <v>4</v>
      </c>
      <c r="H1888" s="3" t="n">
        <v>-0.7873684167861938</v>
      </c>
      <c r="I1888" s="3" t="n">
        <v>-0.7873684167861938</v>
      </c>
      <c r="J1888" s="3" t="n">
        <v>-0.8827894769216839</v>
      </c>
      <c r="K1888" s="3" t="n">
        <v>-0.8827894769216839</v>
      </c>
      <c r="L1888" s="3" t="n">
        <v>-0.7873684167861938</v>
      </c>
      <c r="M1888" s="3" t="n">
        <v>-0.7873684167861938</v>
      </c>
      <c r="N1888" s="3" t="n">
        <v>-0.7873684167861938</v>
      </c>
      <c r="O1888" s="3" t="n">
        <v>-0.7873684167861938</v>
      </c>
      <c r="P1888" s="3" t="n">
        <v>-0.7873684167861938</v>
      </c>
      <c r="Q1888" s="3" t="n">
        <v>-0.7873684167861938</v>
      </c>
      <c r="R1888" s="3" t="n">
        <v>-0.7729736864566803</v>
      </c>
      <c r="S1888" s="3" t="n">
        <v>-1.260947363941293</v>
      </c>
      <c r="T1888" s="3" t="n">
        <v>-0.7095526174495095</v>
      </c>
      <c r="U1888" s="3" t="n">
        <v>-0.8827894769216839</v>
      </c>
      <c r="V1888" s="3" t="n">
        <v>-0.6815526375645086</v>
      </c>
      <c r="W1888" s="3" t="n">
        <v>-0.5679210565592113</v>
      </c>
      <c r="X1888" s="3" t="n">
        <v>-1.242473682290629</v>
      </c>
      <c r="Y1888" s="3" t="n">
        <v>-0.7873684167861938</v>
      </c>
      <c r="Z1888" s="3" t="n">
        <v>-1.260947363941293</v>
      </c>
      <c r="AA1888" s="3" t="n">
        <v>-1.260947363941293</v>
      </c>
      <c r="AB1888" s="3" t="n">
        <v>-1.242473682290629</v>
      </c>
      <c r="AC1888" s="3" t="n">
        <v>-1.932868417940642</v>
      </c>
      <c r="AD1888" s="3" t="n">
        <v>-0.8827894769216839</v>
      </c>
      <c r="AE1888" s="3" t="n">
        <v>-0.8827894769216839</v>
      </c>
    </row>
    <row r="1889">
      <c r="A1889" s="3" t="inlineStr">
        <is>
          <t>SLB.distn.dec.ove.mean.5</t>
        </is>
      </c>
      <c r="B1889" s="3" t="inlineStr">
        <is>
          <t>SLB</t>
        </is>
      </c>
      <c r="C1889" s="3" t="n">
        <v>2005</v>
      </c>
      <c r="D1889" s="3" t="inlineStr">
        <is>
          <t>Overall</t>
        </is>
      </c>
      <c r="E1889" s="3" t="inlineStr">
        <is>
          <t>Deciles</t>
        </is>
      </c>
      <c r="F1889" s="3" t="inlineStr">
        <is>
          <t>mean</t>
        </is>
      </c>
      <c r="G1889" s="3" t="n">
        <v>5</v>
      </c>
      <c r="H1889" s="3" t="n">
        <v>-0.7873684167861938</v>
      </c>
      <c r="I1889" s="3" t="n">
        <v>-0.7873684167861938</v>
      </c>
      <c r="J1889" s="3" t="n">
        <v>-0.8827894769216839</v>
      </c>
      <c r="K1889" s="3" t="n">
        <v>-0.8827894769216839</v>
      </c>
      <c r="L1889" s="3" t="n">
        <v>-0.7873684167861938</v>
      </c>
      <c r="M1889" s="3" t="n">
        <v>-0.7873684167861938</v>
      </c>
      <c r="N1889" s="3" t="n">
        <v>-0.7873684167861938</v>
      </c>
      <c r="O1889" s="3" t="n">
        <v>-0.7873684167861938</v>
      </c>
      <c r="P1889" s="3" t="n">
        <v>-0.7873684167861938</v>
      </c>
      <c r="Q1889" s="3" t="n">
        <v>-0.7873684167861938</v>
      </c>
      <c r="R1889" s="3" t="n">
        <v>-0.7729736864566803</v>
      </c>
      <c r="S1889" s="3" t="n">
        <v>-1.260947363941293</v>
      </c>
      <c r="T1889" s="3" t="n">
        <v>-0.7095526174495095</v>
      </c>
      <c r="U1889" s="3" t="n">
        <v>-0.8827894769216839</v>
      </c>
      <c r="V1889" s="3" t="n">
        <v>-0.6815526375645086</v>
      </c>
      <c r="W1889" s="3" t="n">
        <v>-0.5679210565592113</v>
      </c>
      <c r="X1889" s="3" t="n">
        <v>-1.242473682290629</v>
      </c>
      <c r="Y1889" s="3" t="n">
        <v>-0.7873684167861938</v>
      </c>
      <c r="Z1889" s="3" t="n">
        <v>-1.260947363941293</v>
      </c>
      <c r="AA1889" s="3" t="n">
        <v>-1.260947363941293</v>
      </c>
      <c r="AB1889" s="3" t="n">
        <v>-1.242473682290629</v>
      </c>
      <c r="AC1889" s="3" t="n">
        <v>-1.932868417940642</v>
      </c>
      <c r="AD1889" s="3" t="n">
        <v>-0.8827894769216839</v>
      </c>
      <c r="AE1889" s="3" t="n">
        <v>-0.8827894769216839</v>
      </c>
    </row>
    <row r="1890">
      <c r="A1890" s="3" t="inlineStr">
        <is>
          <t>SLB.distn.dec.ove.mean.6</t>
        </is>
      </c>
      <c r="B1890" s="3" t="inlineStr">
        <is>
          <t>SLB</t>
        </is>
      </c>
      <c r="C1890" s="3" t="n">
        <v>2005</v>
      </c>
      <c r="D1890" s="3" t="inlineStr">
        <is>
          <t>Overall</t>
        </is>
      </c>
      <c r="E1890" s="3" t="inlineStr">
        <is>
          <t>Deciles</t>
        </is>
      </c>
      <c r="F1890" s="3" t="inlineStr">
        <is>
          <t>mean</t>
        </is>
      </c>
      <c r="G1890" s="3" t="n">
        <v>6</v>
      </c>
      <c r="H1890" s="3" t="n">
        <v>-0.7873684167861938</v>
      </c>
      <c r="I1890" s="3" t="n">
        <v>-0.7873684167861938</v>
      </c>
      <c r="J1890" s="3" t="n">
        <v>-0.8827894769216839</v>
      </c>
      <c r="K1890" s="3" t="n">
        <v>-0.8827894769216839</v>
      </c>
      <c r="L1890" s="3" t="n">
        <v>-0.7873684167861938</v>
      </c>
      <c r="M1890" s="3" t="n">
        <v>-0.7873684167861938</v>
      </c>
      <c r="N1890" s="3" t="n">
        <v>-0.7873684167861938</v>
      </c>
      <c r="O1890" s="3" t="n">
        <v>-0.7873684167861938</v>
      </c>
      <c r="P1890" s="3" t="n">
        <v>-0.7873684167861938</v>
      </c>
      <c r="Q1890" s="3" t="n">
        <v>-0.7873684167861938</v>
      </c>
      <c r="R1890" s="3" t="n">
        <v>-0.7729736864566803</v>
      </c>
      <c r="S1890" s="3" t="n">
        <v>-1.260947363941293</v>
      </c>
      <c r="T1890" s="3" t="n">
        <v>-0.7095526174495095</v>
      </c>
      <c r="U1890" s="3" t="n">
        <v>-0.8827894769216839</v>
      </c>
      <c r="V1890" s="3" t="n">
        <v>-0.6815526375645086</v>
      </c>
      <c r="W1890" s="3" t="n">
        <v>-0.5679210565592113</v>
      </c>
      <c r="X1890" s="3" t="n">
        <v>-1.242473682290629</v>
      </c>
      <c r="Y1890" s="3" t="n">
        <v>-0.7873684167861938</v>
      </c>
      <c r="Z1890" s="3" t="n">
        <v>-1.260947363941293</v>
      </c>
      <c r="AA1890" s="3" t="n">
        <v>-1.260947363941293</v>
      </c>
      <c r="AB1890" s="3" t="n">
        <v>-1.242473682290629</v>
      </c>
      <c r="AC1890" s="3" t="n">
        <v>-1.932868417940642</v>
      </c>
      <c r="AD1890" s="3" t="n">
        <v>-0.8827894769216839</v>
      </c>
      <c r="AE1890" s="3" t="n">
        <v>-0.8827894769216839</v>
      </c>
    </row>
    <row r="1891">
      <c r="A1891" s="3" t="inlineStr">
        <is>
          <t>SLB.distn.dec.ove.mean.7</t>
        </is>
      </c>
      <c r="B1891" s="3" t="inlineStr">
        <is>
          <t>SLB</t>
        </is>
      </c>
      <c r="C1891" s="3" t="n">
        <v>2005</v>
      </c>
      <c r="D1891" s="3" t="inlineStr">
        <is>
          <t>Overall</t>
        </is>
      </c>
      <c r="E1891" s="3" t="inlineStr">
        <is>
          <t>Deciles</t>
        </is>
      </c>
      <c r="F1891" s="3" t="inlineStr">
        <is>
          <t>mean</t>
        </is>
      </c>
      <c r="G1891" s="3" t="n">
        <v>7</v>
      </c>
      <c r="H1891" s="3" t="n">
        <v>-0.7873684167861938</v>
      </c>
      <c r="I1891" s="3" t="n">
        <v>-0.7873684167861938</v>
      </c>
      <c r="J1891" s="3" t="n">
        <v>-0.8827894769216839</v>
      </c>
      <c r="K1891" s="3" t="n">
        <v>-0.8827894769216839</v>
      </c>
      <c r="L1891" s="3" t="n">
        <v>-0.7873684167861938</v>
      </c>
      <c r="M1891" s="3" t="n">
        <v>-0.7873684167861938</v>
      </c>
      <c r="N1891" s="3" t="n">
        <v>-0.7873684167861938</v>
      </c>
      <c r="O1891" s="3" t="n">
        <v>-0.7873684167861938</v>
      </c>
      <c r="P1891" s="3" t="n">
        <v>-0.7873684167861938</v>
      </c>
      <c r="Q1891" s="3" t="n">
        <v>-0.7873684167861938</v>
      </c>
      <c r="R1891" s="3" t="n">
        <v>-0.7729736864566803</v>
      </c>
      <c r="S1891" s="3" t="n">
        <v>-1.260947363941293</v>
      </c>
      <c r="T1891" s="3" t="n">
        <v>-0.7095526174495095</v>
      </c>
      <c r="U1891" s="3" t="n">
        <v>-0.8827894769216839</v>
      </c>
      <c r="V1891" s="3" t="n">
        <v>-0.6815526375645086</v>
      </c>
      <c r="W1891" s="3" t="n">
        <v>-0.5679210565592113</v>
      </c>
      <c r="X1891" s="3" t="n">
        <v>-1.242473682290629</v>
      </c>
      <c r="Y1891" s="3" t="n">
        <v>-0.7873684167861938</v>
      </c>
      <c r="Z1891" s="3" t="n">
        <v>-1.260947363941293</v>
      </c>
      <c r="AA1891" s="3" t="n">
        <v>-1.260947363941293</v>
      </c>
      <c r="AB1891" s="3" t="n">
        <v>-1.242473682290629</v>
      </c>
      <c r="AC1891" s="3" t="n">
        <v>-1.932868417940642</v>
      </c>
      <c r="AD1891" s="3" t="n">
        <v>-0.8827894769216839</v>
      </c>
      <c r="AE1891" s="3" t="n">
        <v>-0.8827894769216839</v>
      </c>
    </row>
    <row r="1892">
      <c r="A1892" s="3" t="inlineStr">
        <is>
          <t>SLB.distn.dec.ove.mean.8</t>
        </is>
      </c>
      <c r="B1892" s="3" t="inlineStr">
        <is>
          <t>SLB</t>
        </is>
      </c>
      <c r="C1892" s="3" t="n">
        <v>2005</v>
      </c>
      <c r="D1892" s="3" t="inlineStr">
        <is>
          <t>Overall</t>
        </is>
      </c>
      <c r="E1892" s="3" t="inlineStr">
        <is>
          <t>Deciles</t>
        </is>
      </c>
      <c r="F1892" s="3" t="inlineStr">
        <is>
          <t>mean</t>
        </is>
      </c>
      <c r="G1892" s="3" t="n">
        <v>8</v>
      </c>
      <c r="H1892" s="3" t="n">
        <v>-0.7877477627051505</v>
      </c>
      <c r="I1892" s="3" t="n">
        <v>-0.7877477627051505</v>
      </c>
      <c r="J1892" s="3" t="n">
        <v>-0.8851708738427413</v>
      </c>
      <c r="K1892" s="3" t="n">
        <v>-0.8851708738427413</v>
      </c>
      <c r="L1892" s="3" t="n">
        <v>-0.7877477627051505</v>
      </c>
      <c r="M1892" s="3" t="n">
        <v>-0.7877477627051505</v>
      </c>
      <c r="N1892" s="3" t="n">
        <v>-0.7877477627051505</v>
      </c>
      <c r="O1892" s="3" t="n">
        <v>-0.7877477627051505</v>
      </c>
      <c r="P1892" s="3" t="n">
        <v>-0.7877477627051505</v>
      </c>
      <c r="Q1892" s="3" t="n">
        <v>-0.7877477627051505</v>
      </c>
      <c r="R1892" s="3" t="n">
        <v>-0.7732278971295607</v>
      </c>
      <c r="S1892" s="3" t="n">
        <v>-1.272680619829579</v>
      </c>
      <c r="T1892" s="3" t="n">
        <v>-0.7095935376066911</v>
      </c>
      <c r="U1892" s="3" t="n">
        <v>-0.8851708738427413</v>
      </c>
      <c r="V1892" s="3" t="n">
        <v>-0.6822572021107924</v>
      </c>
      <c r="W1892" s="3" t="n">
        <v>-0.5831292993143985</v>
      </c>
      <c r="X1892" s="3" t="n">
        <v>-1.253795093611667</v>
      </c>
      <c r="Y1892" s="3" t="n">
        <v>-0.7877477627051505</v>
      </c>
      <c r="Z1892" s="3" t="n">
        <v>-1.272680619829579</v>
      </c>
      <c r="AA1892" s="3" t="n">
        <v>-1.272680619829579</v>
      </c>
      <c r="AB1892" s="3" t="n">
        <v>-1.253795093611667</v>
      </c>
      <c r="AC1892" s="3" t="n">
        <v>-1.960433708994012</v>
      </c>
      <c r="AD1892" s="3" t="n">
        <v>-0.8851708738427413</v>
      </c>
      <c r="AE1892" s="3" t="n">
        <v>-0.8851708738427413</v>
      </c>
    </row>
    <row r="1893">
      <c r="A1893" s="3" t="inlineStr">
        <is>
          <t>SLB.distn.dec.ove.mean.9</t>
        </is>
      </c>
      <c r="B1893" s="3" t="inlineStr">
        <is>
          <t>SLB</t>
        </is>
      </c>
      <c r="C1893" s="3" t="n">
        <v>2005</v>
      </c>
      <c r="D1893" s="3" t="inlineStr">
        <is>
          <t>Overall</t>
        </is>
      </c>
      <c r="E1893" s="3" t="inlineStr">
        <is>
          <t>Deciles</t>
        </is>
      </c>
      <c r="F1893" s="3" t="inlineStr">
        <is>
          <t>mean</t>
        </is>
      </c>
      <c r="G1893" s="3" t="n">
        <v>9</v>
      </c>
      <c r="H1893" s="3" t="n">
        <v>-0.7877477627051505</v>
      </c>
      <c r="I1893" s="3" t="n">
        <v>-0.7877477627051505</v>
      </c>
      <c r="J1893" s="3" t="n">
        <v>-0.8851708738427413</v>
      </c>
      <c r="K1893" s="3" t="n">
        <v>-0.8851708738427413</v>
      </c>
      <c r="L1893" s="3" t="n">
        <v>-0.7877477627051505</v>
      </c>
      <c r="M1893" s="3" t="n">
        <v>-0.7877477627051505</v>
      </c>
      <c r="N1893" s="3" t="n">
        <v>-0.7877477627051505</v>
      </c>
      <c r="O1893" s="3" t="n">
        <v>-0.7877477627051505</v>
      </c>
      <c r="P1893" s="3" t="n">
        <v>-0.7877477627051505</v>
      </c>
      <c r="Q1893" s="3" t="n">
        <v>-0.7877477627051505</v>
      </c>
      <c r="R1893" s="3" t="n">
        <v>-0.7732278971295607</v>
      </c>
      <c r="S1893" s="3" t="n">
        <v>-1.272680619829579</v>
      </c>
      <c r="T1893" s="3" t="n">
        <v>-0.7095935376066911</v>
      </c>
      <c r="U1893" s="3" t="n">
        <v>-0.8851708738427413</v>
      </c>
      <c r="V1893" s="3" t="n">
        <v>-0.6822572021107924</v>
      </c>
      <c r="W1893" s="3" t="n">
        <v>-0.5831292993143985</v>
      </c>
      <c r="X1893" s="3" t="n">
        <v>-1.253795093611667</v>
      </c>
      <c r="Y1893" s="3" t="n">
        <v>-0.7877477627051505</v>
      </c>
      <c r="Z1893" s="3" t="n">
        <v>-1.272680619829579</v>
      </c>
      <c r="AA1893" s="3" t="n">
        <v>-1.272680619829579</v>
      </c>
      <c r="AB1893" s="3" t="n">
        <v>-1.253795093611667</v>
      </c>
      <c r="AC1893" s="3" t="n">
        <v>-1.960433708994012</v>
      </c>
      <c r="AD1893" s="3" t="n">
        <v>-0.8851708738427413</v>
      </c>
      <c r="AE1893" s="3" t="n">
        <v>-0.8851708738427413</v>
      </c>
    </row>
    <row r="1894">
      <c r="A1894" s="3" t="inlineStr">
        <is>
          <t>SLB.distn.dec.ove.mean.10</t>
        </is>
      </c>
      <c r="B1894" s="3" t="inlineStr">
        <is>
          <t>SLB</t>
        </is>
      </c>
      <c r="C1894" s="3" t="n">
        <v>2005</v>
      </c>
      <c r="D1894" s="3" t="inlineStr">
        <is>
          <t>Overall</t>
        </is>
      </c>
      <c r="E1894" s="3" t="inlineStr">
        <is>
          <t>Deciles</t>
        </is>
      </c>
      <c r="F1894" s="3" t="inlineStr">
        <is>
          <t>mean</t>
        </is>
      </c>
      <c r="G1894" s="3" t="n">
        <v>10</v>
      </c>
      <c r="H1894" s="3" t="n">
        <v>-0.7877477627051505</v>
      </c>
      <c r="I1894" s="3" t="n">
        <v>-0.7877477627051505</v>
      </c>
      <c r="J1894" s="3" t="n">
        <v>-0.8851708738427413</v>
      </c>
      <c r="K1894" s="3" t="n">
        <v>-0.8851708738427413</v>
      </c>
      <c r="L1894" s="3" t="n">
        <v>-0.7877477627051505</v>
      </c>
      <c r="M1894" s="3" t="n">
        <v>-0.7877477627051505</v>
      </c>
      <c r="N1894" s="3" t="n">
        <v>-0.7877477627051505</v>
      </c>
      <c r="O1894" s="3" t="n">
        <v>-0.7877477627051505</v>
      </c>
      <c r="P1894" s="3" t="n">
        <v>-0.7877477627051505</v>
      </c>
      <c r="Q1894" s="3" t="n">
        <v>-0.7877477627051505</v>
      </c>
      <c r="R1894" s="3" t="n">
        <v>-0.7732278971295607</v>
      </c>
      <c r="S1894" s="3" t="n">
        <v>-1.272680619829579</v>
      </c>
      <c r="T1894" s="3" t="n">
        <v>-0.7095935376066911</v>
      </c>
      <c r="U1894" s="3" t="n">
        <v>-0.8851708738427413</v>
      </c>
      <c r="V1894" s="3" t="n">
        <v>-0.6822572021107924</v>
      </c>
      <c r="W1894" s="3" t="n">
        <v>-0.5831292993143985</v>
      </c>
      <c r="X1894" s="3" t="n">
        <v>-1.253795093611667</v>
      </c>
      <c r="Y1894" s="3" t="n">
        <v>-0.7877477627051505</v>
      </c>
      <c r="Z1894" s="3" t="n">
        <v>-1.272680619829579</v>
      </c>
      <c r="AA1894" s="3" t="n">
        <v>-1.272680619829579</v>
      </c>
      <c r="AB1894" s="3" t="n">
        <v>-1.253795093611667</v>
      </c>
      <c r="AC1894" s="3" t="n">
        <v>-1.960433708994012</v>
      </c>
      <c r="AD1894" s="3" t="n">
        <v>-0.8851708738427413</v>
      </c>
      <c r="AE1894" s="3" t="n">
        <v>-0.8851708738427413</v>
      </c>
    </row>
    <row r="1895">
      <c r="A1895" s="3" t="inlineStr">
        <is>
          <t>SLB.distn.bkt.ove.mean.9999</t>
        </is>
      </c>
      <c r="B1895" s="3" t="inlineStr">
        <is>
          <t>SLB</t>
        </is>
      </c>
      <c r="C1895" s="3" t="n">
        <v>2005</v>
      </c>
      <c r="D1895" s="3" t="inlineStr">
        <is>
          <t>Overall</t>
        </is>
      </c>
      <c r="E1895" s="3" t="inlineStr">
        <is>
          <t>Basket</t>
        </is>
      </c>
      <c r="F1895" s="3" t="inlineStr">
        <is>
          <t>mean</t>
        </is>
      </c>
      <c r="G1895" s="3" t="n">
        <v>9999</v>
      </c>
      <c r="H1895" s="3" t="n">
        <v>-0.7893673542298769</v>
      </c>
      <c r="I1895" s="3" t="n">
        <v>-0.7893673542298769</v>
      </c>
      <c r="J1895" s="3" t="n">
        <v>-0.8969508472241854</v>
      </c>
      <c r="K1895" s="3" t="n">
        <v>-0.8969508472241854</v>
      </c>
      <c r="L1895" s="3" t="n">
        <v>-0.7893673542298769</v>
      </c>
      <c r="M1895" s="3" t="n">
        <v>-0.7893673542298769</v>
      </c>
      <c r="N1895" s="3" t="n">
        <v>-0.7893673542298769</v>
      </c>
      <c r="O1895" s="3" t="n">
        <v>-0.7893673542298769</v>
      </c>
      <c r="P1895" s="3" t="n">
        <v>-0.7893673542298769</v>
      </c>
      <c r="Q1895" s="3" t="n">
        <v>-0.7893673542298769</v>
      </c>
      <c r="R1895" s="3" t="n">
        <v>-0.7740951949044278</v>
      </c>
      <c r="S1895" s="3" t="n">
        <v>-1.441575941286589</v>
      </c>
      <c r="T1895" s="3" t="n">
        <v>-0.7100016239442324</v>
      </c>
      <c r="U1895" s="3" t="n">
        <v>-0.8969508472241854</v>
      </c>
      <c r="V1895" s="3" t="n">
        <v>-0.6838645276270414</v>
      </c>
      <c r="W1895" s="3" t="n">
        <v>-0.6045490895446978</v>
      </c>
      <c r="X1895" s="3" t="n">
        <v>-1.401289532059117</v>
      </c>
      <c r="Y1895" s="3" t="n">
        <v>-0.7893673542298769</v>
      </c>
      <c r="Z1895" s="3" t="n">
        <v>-1.441575941286589</v>
      </c>
      <c r="AA1895" s="3" t="n">
        <v>-1.441575941286589</v>
      </c>
      <c r="AB1895" s="3" t="n">
        <v>-1.401289532059117</v>
      </c>
      <c r="AC1895" s="3" t="n">
        <v>-2.562009337701296</v>
      </c>
      <c r="AD1895" s="3" t="n">
        <v>-0.8969508472241854</v>
      </c>
      <c r="AE1895" s="3" t="n">
        <v>-0.8969508472241854</v>
      </c>
    </row>
    <row r="1896">
      <c r="A1896" s="3" t="inlineStr">
        <is>
          <t>SLE.distn.dec.ove.mean.1</t>
        </is>
      </c>
      <c r="B1896" s="3" t="inlineStr">
        <is>
          <t>SLE</t>
        </is>
      </c>
      <c r="C1896" s="3" t="n">
        <v>2005</v>
      </c>
      <c r="D1896" s="3" t="inlineStr">
        <is>
          <t>Overall</t>
        </is>
      </c>
      <c r="E1896" s="3" t="inlineStr">
        <is>
          <t>Deciles</t>
        </is>
      </c>
      <c r="F1896" s="3" t="inlineStr">
        <is>
          <t>mean</t>
        </is>
      </c>
      <c r="G1896" s="3" t="n">
        <v>1</v>
      </c>
      <c r="H1896" s="3" t="n">
        <v>-0.7963047623634338</v>
      </c>
      <c r="I1896" s="3" t="n">
        <v>-0.7963047623634338</v>
      </c>
      <c r="J1896" s="3" t="n">
        <v>-0.9530524611473083</v>
      </c>
      <c r="K1896" s="3" t="n">
        <v>-0.9530524611473083</v>
      </c>
      <c r="L1896" s="3" t="n">
        <v>-0.7963047623634338</v>
      </c>
      <c r="M1896" s="3" t="n">
        <v>-0.7963047623634338</v>
      </c>
      <c r="N1896" s="3" t="n">
        <v>-0.7963047623634338</v>
      </c>
      <c r="O1896" s="3" t="n">
        <v>-0.7963047623634338</v>
      </c>
      <c r="P1896" s="3" t="n">
        <v>-0.7963047623634338</v>
      </c>
      <c r="Q1896" s="3" t="n">
        <v>-0.7963047623634338</v>
      </c>
      <c r="R1896" s="3" t="n">
        <v>-0.7784932851791382</v>
      </c>
      <c r="S1896" s="3" t="n">
        <v>-2.227243185043335</v>
      </c>
      <c r="T1896" s="3" t="n">
        <v>-0.7114566564559937</v>
      </c>
      <c r="U1896" s="3" t="n">
        <v>-0.9530524611473083</v>
      </c>
      <c r="V1896" s="3" t="n">
        <v>-0.6910269260406494</v>
      </c>
      <c r="W1896" s="3" t="n">
        <v>-0.7057933807373047</v>
      </c>
      <c r="X1896" s="3" t="n">
        <v>-2.111274003982544</v>
      </c>
      <c r="Y1896" s="3" t="n">
        <v>-0.7963047623634338</v>
      </c>
      <c r="Z1896" s="3" t="n">
        <v>-2.227243185043335</v>
      </c>
      <c r="AA1896" s="3" t="n">
        <v>-2.227243185043335</v>
      </c>
      <c r="AB1896" s="3" t="n">
        <v>-2.111274003982544</v>
      </c>
      <c r="AC1896" s="3" t="n">
        <v>-8.866846084594727</v>
      </c>
      <c r="AD1896" s="3" t="n">
        <v>-0.9530524611473083</v>
      </c>
      <c r="AE1896" s="3" t="n">
        <v>-0.9530524611473083</v>
      </c>
    </row>
    <row r="1897">
      <c r="A1897" s="3" t="inlineStr">
        <is>
          <t>SLE.distn.dec.ove.mean.2</t>
        </is>
      </c>
      <c r="B1897" s="3" t="inlineStr">
        <is>
          <t>SLE</t>
        </is>
      </c>
      <c r="C1897" s="3" t="n">
        <v>2005</v>
      </c>
      <c r="D1897" s="3" t="inlineStr">
        <is>
          <t>Overall</t>
        </is>
      </c>
      <c r="E1897" s="3" t="inlineStr">
        <is>
          <t>Deciles</t>
        </is>
      </c>
      <c r="F1897" s="3" t="inlineStr">
        <is>
          <t>mean</t>
        </is>
      </c>
      <c r="G1897" s="3" t="n">
        <v>2</v>
      </c>
      <c r="H1897" s="3" t="n">
        <v>-0.7963047623634338</v>
      </c>
      <c r="I1897" s="3" t="n">
        <v>-0.7963047623634338</v>
      </c>
      <c r="J1897" s="3" t="n">
        <v>-0.9530524611473083</v>
      </c>
      <c r="K1897" s="3" t="n">
        <v>-0.9530524611473083</v>
      </c>
      <c r="L1897" s="3" t="n">
        <v>-0.7963047623634338</v>
      </c>
      <c r="M1897" s="3" t="n">
        <v>-0.7963047623634338</v>
      </c>
      <c r="N1897" s="3" t="n">
        <v>-0.7963047623634338</v>
      </c>
      <c r="O1897" s="3" t="n">
        <v>-0.7963047623634338</v>
      </c>
      <c r="P1897" s="3" t="n">
        <v>-0.7963047623634338</v>
      </c>
      <c r="Q1897" s="3" t="n">
        <v>-0.7963047623634338</v>
      </c>
      <c r="R1897" s="3" t="n">
        <v>-0.7784932851791382</v>
      </c>
      <c r="S1897" s="3" t="n">
        <v>-2.227243185043335</v>
      </c>
      <c r="T1897" s="3" t="n">
        <v>-0.7114566564559937</v>
      </c>
      <c r="U1897" s="3" t="n">
        <v>-0.9530524611473083</v>
      </c>
      <c r="V1897" s="3" t="n">
        <v>-0.6910269260406494</v>
      </c>
      <c r="W1897" s="3" t="n">
        <v>-0.7057933807373047</v>
      </c>
      <c r="X1897" s="3" t="n">
        <v>-2.111274003982544</v>
      </c>
      <c r="Y1897" s="3" t="n">
        <v>-0.7963047623634338</v>
      </c>
      <c r="Z1897" s="3" t="n">
        <v>-2.227243185043335</v>
      </c>
      <c r="AA1897" s="3" t="n">
        <v>-2.227243185043335</v>
      </c>
      <c r="AB1897" s="3" t="n">
        <v>-2.111274003982544</v>
      </c>
      <c r="AC1897" s="3" t="n">
        <v>-8.866846084594727</v>
      </c>
      <c r="AD1897" s="3" t="n">
        <v>-0.9530524611473083</v>
      </c>
      <c r="AE1897" s="3" t="n">
        <v>-0.9530524611473083</v>
      </c>
    </row>
    <row r="1898">
      <c r="A1898" s="3" t="inlineStr">
        <is>
          <t>SLE.distn.dec.ove.mean.3</t>
        </is>
      </c>
      <c r="B1898" s="3" t="inlineStr">
        <is>
          <t>SLE</t>
        </is>
      </c>
      <c r="C1898" s="3" t="n">
        <v>2005</v>
      </c>
      <c r="D1898" s="3" t="inlineStr">
        <is>
          <t>Overall</t>
        </is>
      </c>
      <c r="E1898" s="3" t="inlineStr">
        <is>
          <t>Deciles</t>
        </is>
      </c>
      <c r="F1898" s="3" t="inlineStr">
        <is>
          <t>mean</t>
        </is>
      </c>
      <c r="G1898" s="3" t="n">
        <v>3</v>
      </c>
      <c r="H1898" s="3" t="n">
        <v>-0.7963047623634338</v>
      </c>
      <c r="I1898" s="3" t="n">
        <v>-0.7963047623634338</v>
      </c>
      <c r="J1898" s="3" t="n">
        <v>-0.9530524611473083</v>
      </c>
      <c r="K1898" s="3" t="n">
        <v>-0.9530524611473083</v>
      </c>
      <c r="L1898" s="3" t="n">
        <v>-0.7963047623634338</v>
      </c>
      <c r="M1898" s="3" t="n">
        <v>-0.7963047623634338</v>
      </c>
      <c r="N1898" s="3" t="n">
        <v>-0.7963047623634338</v>
      </c>
      <c r="O1898" s="3" t="n">
        <v>-0.7963047623634338</v>
      </c>
      <c r="P1898" s="3" t="n">
        <v>-0.7963047623634338</v>
      </c>
      <c r="Q1898" s="3" t="n">
        <v>-0.7963047623634338</v>
      </c>
      <c r="R1898" s="3" t="n">
        <v>-0.7784932851791382</v>
      </c>
      <c r="S1898" s="3" t="n">
        <v>-2.227243185043335</v>
      </c>
      <c r="T1898" s="3" t="n">
        <v>-0.7114566564559937</v>
      </c>
      <c r="U1898" s="3" t="n">
        <v>-0.9530524611473083</v>
      </c>
      <c r="V1898" s="3" t="n">
        <v>-0.6910269260406494</v>
      </c>
      <c r="W1898" s="3" t="n">
        <v>-0.7057933807373047</v>
      </c>
      <c r="X1898" s="3" t="n">
        <v>-2.111274003982544</v>
      </c>
      <c r="Y1898" s="3" t="n">
        <v>-0.7963047623634338</v>
      </c>
      <c r="Z1898" s="3" t="n">
        <v>-2.227243185043335</v>
      </c>
      <c r="AA1898" s="3" t="n">
        <v>-2.227243185043335</v>
      </c>
      <c r="AB1898" s="3" t="n">
        <v>-2.111274003982544</v>
      </c>
      <c r="AC1898" s="3" t="n">
        <v>-8.866846084594727</v>
      </c>
      <c r="AD1898" s="3" t="n">
        <v>-0.9530524611473083</v>
      </c>
      <c r="AE1898" s="3" t="n">
        <v>-0.9530524611473083</v>
      </c>
    </row>
    <row r="1899">
      <c r="A1899" s="3" t="inlineStr">
        <is>
          <t>SLE.distn.dec.ove.mean.4</t>
        </is>
      </c>
      <c r="B1899" s="3" t="inlineStr">
        <is>
          <t>SLE</t>
        </is>
      </c>
      <c r="C1899" s="3" t="n">
        <v>2005</v>
      </c>
      <c r="D1899" s="3" t="inlineStr">
        <is>
          <t>Overall</t>
        </is>
      </c>
      <c r="E1899" s="3" t="inlineStr">
        <is>
          <t>Deciles</t>
        </is>
      </c>
      <c r="F1899" s="3" t="inlineStr">
        <is>
          <t>mean</t>
        </is>
      </c>
      <c r="G1899" s="3" t="n">
        <v>4</v>
      </c>
      <c r="H1899" s="3" t="n">
        <v>-0.7900000214576721</v>
      </c>
      <c r="I1899" s="3" t="n">
        <v>-0.7900000214576721</v>
      </c>
      <c r="J1899" s="3" t="n">
        <v>-0.9070000052452087</v>
      </c>
      <c r="K1899" s="3" t="n">
        <v>-0.9070000052452087</v>
      </c>
      <c r="L1899" s="3" t="n">
        <v>-0.7900000214576721</v>
      </c>
      <c r="M1899" s="3" t="n">
        <v>-0.7900000214576721</v>
      </c>
      <c r="N1899" s="3" t="n">
        <v>-0.7900000214576721</v>
      </c>
      <c r="O1899" s="3" t="n">
        <v>-0.7900000214576721</v>
      </c>
      <c r="P1899" s="3" t="n">
        <v>-0.7900000214576721</v>
      </c>
      <c r="Q1899" s="3" t="n">
        <v>-0.7900000214576721</v>
      </c>
      <c r="R1899" s="3" t="n">
        <v>-0.7749999761581421</v>
      </c>
      <c r="S1899" s="3" t="n">
        <v>-1.516999959945679</v>
      </c>
      <c r="T1899" s="3" t="n">
        <v>-0.7099999785423279</v>
      </c>
      <c r="U1899" s="3" t="n">
        <v>-0.9070000052452087</v>
      </c>
      <c r="V1899" s="3" t="n">
        <v>-0.6840000152587891</v>
      </c>
      <c r="W1899" s="3" t="n">
        <v>-0.593999981880188</v>
      </c>
      <c r="X1899" s="3" t="n">
        <v>-1.490000009536743</v>
      </c>
      <c r="Y1899" s="3" t="n">
        <v>-0.7900000214576721</v>
      </c>
      <c r="Z1899" s="3" t="n">
        <v>-1.516999959945679</v>
      </c>
      <c r="AA1899" s="3" t="n">
        <v>-1.516999959945679</v>
      </c>
      <c r="AB1899" s="3" t="n">
        <v>-1.490000009536743</v>
      </c>
      <c r="AC1899" s="3" t="n">
        <v>-4.282000064849854</v>
      </c>
      <c r="AD1899" s="3" t="n">
        <v>-0.9070000052452087</v>
      </c>
      <c r="AE1899" s="3" t="n">
        <v>-0.9070000052452087</v>
      </c>
    </row>
    <row r="1900">
      <c r="A1900" s="3" t="inlineStr">
        <is>
          <t>SLE.distn.dec.ove.mean.5</t>
        </is>
      </c>
      <c r="B1900" s="3" t="inlineStr">
        <is>
          <t>SLE</t>
        </is>
      </c>
      <c r="C1900" s="3" t="n">
        <v>2005</v>
      </c>
      <c r="D1900" s="3" t="inlineStr">
        <is>
          <t>Overall</t>
        </is>
      </c>
      <c r="E1900" s="3" t="inlineStr">
        <is>
          <t>Deciles</t>
        </is>
      </c>
      <c r="F1900" s="3" t="inlineStr">
        <is>
          <t>mean</t>
        </is>
      </c>
      <c r="G1900" s="3" t="n">
        <v>5</v>
      </c>
      <c r="H1900" s="3" t="n">
        <v>-0.7900000214576721</v>
      </c>
      <c r="I1900" s="3" t="n">
        <v>-0.7900000214576721</v>
      </c>
      <c r="J1900" s="3" t="n">
        <v>-0.9070000052452087</v>
      </c>
      <c r="K1900" s="3" t="n">
        <v>-0.9070000052452087</v>
      </c>
      <c r="L1900" s="3" t="n">
        <v>-0.7900000214576721</v>
      </c>
      <c r="M1900" s="3" t="n">
        <v>-0.7900000214576721</v>
      </c>
      <c r="N1900" s="3" t="n">
        <v>-0.7900000214576721</v>
      </c>
      <c r="O1900" s="3" t="n">
        <v>-0.7900000214576721</v>
      </c>
      <c r="P1900" s="3" t="n">
        <v>-0.7900000214576721</v>
      </c>
      <c r="Q1900" s="3" t="n">
        <v>-0.7900000214576721</v>
      </c>
      <c r="R1900" s="3" t="n">
        <v>-0.7749999761581421</v>
      </c>
      <c r="S1900" s="3" t="n">
        <v>-1.516999959945679</v>
      </c>
      <c r="T1900" s="3" t="n">
        <v>-0.7099999785423279</v>
      </c>
      <c r="U1900" s="3" t="n">
        <v>-0.9070000052452087</v>
      </c>
      <c r="V1900" s="3" t="n">
        <v>-0.6840000152587891</v>
      </c>
      <c r="W1900" s="3" t="n">
        <v>-0.593999981880188</v>
      </c>
      <c r="X1900" s="3" t="n">
        <v>-1.490000009536743</v>
      </c>
      <c r="Y1900" s="3" t="n">
        <v>-0.7900000214576721</v>
      </c>
      <c r="Z1900" s="3" t="n">
        <v>-1.516999959945679</v>
      </c>
      <c r="AA1900" s="3" t="n">
        <v>-1.516999959945679</v>
      </c>
      <c r="AB1900" s="3" t="n">
        <v>-1.490000009536743</v>
      </c>
      <c r="AC1900" s="3" t="n">
        <v>-4.282000064849854</v>
      </c>
      <c r="AD1900" s="3" t="n">
        <v>-0.9070000052452087</v>
      </c>
      <c r="AE1900" s="3" t="n">
        <v>-0.9070000052452087</v>
      </c>
    </row>
    <row r="1901">
      <c r="A1901" s="3" t="inlineStr">
        <is>
          <t>SLE.distn.dec.ove.mean.6</t>
        </is>
      </c>
      <c r="B1901" s="3" t="inlineStr">
        <is>
          <t>SLE</t>
        </is>
      </c>
      <c r="C1901" s="3" t="n">
        <v>2005</v>
      </c>
      <c r="D1901" s="3" t="inlineStr">
        <is>
          <t>Overall</t>
        </is>
      </c>
      <c r="E1901" s="3" t="inlineStr">
        <is>
          <t>Deciles</t>
        </is>
      </c>
      <c r="F1901" s="3" t="inlineStr">
        <is>
          <t>mean</t>
        </is>
      </c>
      <c r="G1901" s="3" t="n">
        <v>6</v>
      </c>
      <c r="H1901" s="3" t="n">
        <v>-0.7900000214576721</v>
      </c>
      <c r="I1901" s="3" t="n">
        <v>-0.7900000214576721</v>
      </c>
      <c r="J1901" s="3" t="n">
        <v>-0.9070000052452087</v>
      </c>
      <c r="K1901" s="3" t="n">
        <v>-0.9070000052452087</v>
      </c>
      <c r="L1901" s="3" t="n">
        <v>-0.7900000214576721</v>
      </c>
      <c r="M1901" s="3" t="n">
        <v>-0.7900000214576721</v>
      </c>
      <c r="N1901" s="3" t="n">
        <v>-0.7900000214576721</v>
      </c>
      <c r="O1901" s="3" t="n">
        <v>-0.7900000214576721</v>
      </c>
      <c r="P1901" s="3" t="n">
        <v>-0.7900000214576721</v>
      </c>
      <c r="Q1901" s="3" t="n">
        <v>-0.7900000214576721</v>
      </c>
      <c r="R1901" s="3" t="n">
        <v>-0.7749999761581421</v>
      </c>
      <c r="S1901" s="3" t="n">
        <v>-1.516999959945679</v>
      </c>
      <c r="T1901" s="3" t="n">
        <v>-0.7099999785423279</v>
      </c>
      <c r="U1901" s="3" t="n">
        <v>-0.9070000052452087</v>
      </c>
      <c r="V1901" s="3" t="n">
        <v>-0.6840000152587891</v>
      </c>
      <c r="W1901" s="3" t="n">
        <v>-0.593999981880188</v>
      </c>
      <c r="X1901" s="3" t="n">
        <v>-1.490000009536743</v>
      </c>
      <c r="Y1901" s="3" t="n">
        <v>-0.7900000214576721</v>
      </c>
      <c r="Z1901" s="3" t="n">
        <v>-1.516999959945679</v>
      </c>
      <c r="AA1901" s="3" t="n">
        <v>-1.516999959945679</v>
      </c>
      <c r="AB1901" s="3" t="n">
        <v>-1.490000009536743</v>
      </c>
      <c r="AC1901" s="3" t="n">
        <v>-4.282000064849854</v>
      </c>
      <c r="AD1901" s="3" t="n">
        <v>-0.9070000052452087</v>
      </c>
      <c r="AE1901" s="3" t="n">
        <v>-0.9070000052452087</v>
      </c>
    </row>
    <row r="1902">
      <c r="A1902" s="3" t="inlineStr">
        <is>
          <t>SLE.distn.dec.ove.mean.7</t>
        </is>
      </c>
      <c r="B1902" s="3" t="inlineStr">
        <is>
          <t>SLE</t>
        </is>
      </c>
      <c r="C1902" s="3" t="n">
        <v>2005</v>
      </c>
      <c r="D1902" s="3" t="inlineStr">
        <is>
          <t>Overall</t>
        </is>
      </c>
      <c r="E1902" s="3" t="inlineStr">
        <is>
          <t>Deciles</t>
        </is>
      </c>
      <c r="F1902" s="3" t="inlineStr">
        <is>
          <t>mean</t>
        </is>
      </c>
      <c r="G1902" s="3" t="n">
        <v>7</v>
      </c>
      <c r="H1902" s="3" t="n">
        <v>-0.7900000214576721</v>
      </c>
      <c r="I1902" s="3" t="n">
        <v>-0.7900000214576721</v>
      </c>
      <c r="J1902" s="3" t="n">
        <v>-0.9070000052452087</v>
      </c>
      <c r="K1902" s="3" t="n">
        <v>-0.9070000052452087</v>
      </c>
      <c r="L1902" s="3" t="n">
        <v>-0.7900000214576721</v>
      </c>
      <c r="M1902" s="3" t="n">
        <v>-0.7900000214576721</v>
      </c>
      <c r="N1902" s="3" t="n">
        <v>-0.7900000214576721</v>
      </c>
      <c r="O1902" s="3" t="n">
        <v>-0.7900000214576721</v>
      </c>
      <c r="P1902" s="3" t="n">
        <v>-0.7900000214576721</v>
      </c>
      <c r="Q1902" s="3" t="n">
        <v>-0.7900000214576721</v>
      </c>
      <c r="R1902" s="3" t="n">
        <v>-0.7749999761581421</v>
      </c>
      <c r="S1902" s="3" t="n">
        <v>-1.516999959945679</v>
      </c>
      <c r="T1902" s="3" t="n">
        <v>-0.7099999785423279</v>
      </c>
      <c r="U1902" s="3" t="n">
        <v>-0.9070000052452087</v>
      </c>
      <c r="V1902" s="3" t="n">
        <v>-0.6840000152587891</v>
      </c>
      <c r="W1902" s="3" t="n">
        <v>-0.593999981880188</v>
      </c>
      <c r="X1902" s="3" t="n">
        <v>-1.490000009536743</v>
      </c>
      <c r="Y1902" s="3" t="n">
        <v>-0.7900000214576721</v>
      </c>
      <c r="Z1902" s="3" t="n">
        <v>-1.516999959945679</v>
      </c>
      <c r="AA1902" s="3" t="n">
        <v>-1.516999959945679</v>
      </c>
      <c r="AB1902" s="3" t="n">
        <v>-1.490000009536743</v>
      </c>
      <c r="AC1902" s="3" t="n">
        <v>-4.282000064849854</v>
      </c>
      <c r="AD1902" s="3" t="n">
        <v>-0.9070000052452087</v>
      </c>
      <c r="AE1902" s="3" t="n">
        <v>-0.9070000052452087</v>
      </c>
    </row>
    <row r="1903">
      <c r="A1903" s="3" t="inlineStr">
        <is>
          <t>SLE.distn.dec.ove.mean.8</t>
        </is>
      </c>
      <c r="B1903" s="3" t="inlineStr">
        <is>
          <t>SLE</t>
        </is>
      </c>
      <c r="C1903" s="3" t="n">
        <v>2005</v>
      </c>
      <c r="D1903" s="3" t="inlineStr">
        <is>
          <t>Overall</t>
        </is>
      </c>
      <c r="E1903" s="3" t="inlineStr">
        <is>
          <t>Deciles</t>
        </is>
      </c>
      <c r="F1903" s="3" t="inlineStr">
        <is>
          <t>mean</t>
        </is>
      </c>
      <c r="G1903" s="3" t="n">
        <v>8</v>
      </c>
      <c r="H1903" s="3" t="n">
        <v>-0.790380597114563</v>
      </c>
      <c r="I1903" s="3" t="n">
        <v>-0.790380597114563</v>
      </c>
      <c r="J1903" s="3" t="n">
        <v>-0.9094467163085938</v>
      </c>
      <c r="K1903" s="3" t="n">
        <v>-0.9094467163085938</v>
      </c>
      <c r="L1903" s="3" t="n">
        <v>-0.790380597114563</v>
      </c>
      <c r="M1903" s="3" t="n">
        <v>-0.790380597114563</v>
      </c>
      <c r="N1903" s="3" t="n">
        <v>-0.790380597114563</v>
      </c>
      <c r="O1903" s="3" t="n">
        <v>-0.790380597114563</v>
      </c>
      <c r="P1903" s="3" t="n">
        <v>-0.790380597114563</v>
      </c>
      <c r="Q1903" s="3" t="n">
        <v>-0.790380597114563</v>
      </c>
      <c r="R1903" s="3" t="n">
        <v>-0.7752549052238464</v>
      </c>
      <c r="S1903" s="3" t="n">
        <v>-1.531115889549255</v>
      </c>
      <c r="T1903" s="3" t="n">
        <v>-0.7100409269332886</v>
      </c>
      <c r="U1903" s="3" t="n">
        <v>-0.9094467163085938</v>
      </c>
      <c r="V1903" s="3" t="n">
        <v>-0.6847071051597595</v>
      </c>
      <c r="W1903" s="3" t="n">
        <v>-0.6099066138267517</v>
      </c>
      <c r="X1903" s="3" t="n">
        <v>-1.503576874732971</v>
      </c>
      <c r="Y1903" s="3" t="n">
        <v>-0.790380597114563</v>
      </c>
      <c r="Z1903" s="3" t="n">
        <v>-1.531115889549255</v>
      </c>
      <c r="AA1903" s="3" t="n">
        <v>-1.531115889549255</v>
      </c>
      <c r="AB1903" s="3" t="n">
        <v>-1.503576874732971</v>
      </c>
      <c r="AC1903" s="3" t="n">
        <v>-4.343067169189453</v>
      </c>
      <c r="AD1903" s="3" t="n">
        <v>-0.9094467163085938</v>
      </c>
      <c r="AE1903" s="3" t="n">
        <v>-0.9094467163085938</v>
      </c>
    </row>
    <row r="1904">
      <c r="A1904" s="3" t="inlineStr">
        <is>
          <t>SLE.distn.dec.ove.mean.9</t>
        </is>
      </c>
      <c r="B1904" s="3" t="inlineStr">
        <is>
          <t>SLE</t>
        </is>
      </c>
      <c r="C1904" s="3" t="n">
        <v>2005</v>
      </c>
      <c r="D1904" s="3" t="inlineStr">
        <is>
          <t>Overall</t>
        </is>
      </c>
      <c r="E1904" s="3" t="inlineStr">
        <is>
          <t>Deciles</t>
        </is>
      </c>
      <c r="F1904" s="3" t="inlineStr">
        <is>
          <t>mean</t>
        </is>
      </c>
      <c r="G1904" s="3" t="n">
        <v>9</v>
      </c>
      <c r="H1904" s="3" t="n">
        <v>-0.790380597114563</v>
      </c>
      <c r="I1904" s="3" t="n">
        <v>-0.790380597114563</v>
      </c>
      <c r="J1904" s="3" t="n">
        <v>-0.9094467163085938</v>
      </c>
      <c r="K1904" s="3" t="n">
        <v>-0.9094467163085938</v>
      </c>
      <c r="L1904" s="3" t="n">
        <v>-0.790380597114563</v>
      </c>
      <c r="M1904" s="3" t="n">
        <v>-0.790380597114563</v>
      </c>
      <c r="N1904" s="3" t="n">
        <v>-0.790380597114563</v>
      </c>
      <c r="O1904" s="3" t="n">
        <v>-0.790380597114563</v>
      </c>
      <c r="P1904" s="3" t="n">
        <v>-0.790380597114563</v>
      </c>
      <c r="Q1904" s="3" t="n">
        <v>-0.790380597114563</v>
      </c>
      <c r="R1904" s="3" t="n">
        <v>-0.7752549052238464</v>
      </c>
      <c r="S1904" s="3" t="n">
        <v>-1.531115889549255</v>
      </c>
      <c r="T1904" s="3" t="n">
        <v>-0.7100409269332886</v>
      </c>
      <c r="U1904" s="3" t="n">
        <v>-0.9094467163085938</v>
      </c>
      <c r="V1904" s="3" t="n">
        <v>-0.6847071051597595</v>
      </c>
      <c r="W1904" s="3" t="n">
        <v>-0.6099066138267517</v>
      </c>
      <c r="X1904" s="3" t="n">
        <v>-1.503576874732971</v>
      </c>
      <c r="Y1904" s="3" t="n">
        <v>-0.790380597114563</v>
      </c>
      <c r="Z1904" s="3" t="n">
        <v>-1.531115889549255</v>
      </c>
      <c r="AA1904" s="3" t="n">
        <v>-1.531115889549255</v>
      </c>
      <c r="AB1904" s="3" t="n">
        <v>-1.503576874732971</v>
      </c>
      <c r="AC1904" s="3" t="n">
        <v>-4.343067169189453</v>
      </c>
      <c r="AD1904" s="3" t="n">
        <v>-0.9094467163085938</v>
      </c>
      <c r="AE1904" s="3" t="n">
        <v>-0.9094467163085938</v>
      </c>
    </row>
    <row r="1905">
      <c r="A1905" s="3" t="inlineStr">
        <is>
          <t>SLE.distn.dec.ove.mean.10</t>
        </is>
      </c>
      <c r="B1905" s="3" t="inlineStr">
        <is>
          <t>SLE</t>
        </is>
      </c>
      <c r="C1905" s="3" t="n">
        <v>2005</v>
      </c>
      <c r="D1905" s="3" t="inlineStr">
        <is>
          <t>Overall</t>
        </is>
      </c>
      <c r="E1905" s="3" t="inlineStr">
        <is>
          <t>Deciles</t>
        </is>
      </c>
      <c r="F1905" s="3" t="inlineStr">
        <is>
          <t>mean</t>
        </is>
      </c>
      <c r="G1905" s="3" t="n">
        <v>10</v>
      </c>
      <c r="H1905" s="3" t="n">
        <v>-0.790380597114563</v>
      </c>
      <c r="I1905" s="3" t="n">
        <v>-0.790380597114563</v>
      </c>
      <c r="J1905" s="3" t="n">
        <v>-0.9094467163085938</v>
      </c>
      <c r="K1905" s="3" t="n">
        <v>-0.9094467163085938</v>
      </c>
      <c r="L1905" s="3" t="n">
        <v>-0.790380597114563</v>
      </c>
      <c r="M1905" s="3" t="n">
        <v>-0.790380597114563</v>
      </c>
      <c r="N1905" s="3" t="n">
        <v>-0.790380597114563</v>
      </c>
      <c r="O1905" s="3" t="n">
        <v>-0.790380597114563</v>
      </c>
      <c r="P1905" s="3" t="n">
        <v>-0.790380597114563</v>
      </c>
      <c r="Q1905" s="3" t="n">
        <v>-0.790380597114563</v>
      </c>
      <c r="R1905" s="3" t="n">
        <v>-0.7752549052238464</v>
      </c>
      <c r="S1905" s="3" t="n">
        <v>-1.531115889549255</v>
      </c>
      <c r="T1905" s="3" t="n">
        <v>-0.7100409269332886</v>
      </c>
      <c r="U1905" s="3" t="n">
        <v>-0.9094467163085938</v>
      </c>
      <c r="V1905" s="3" t="n">
        <v>-0.6847071051597595</v>
      </c>
      <c r="W1905" s="3" t="n">
        <v>-0.6099066138267517</v>
      </c>
      <c r="X1905" s="3" t="n">
        <v>-1.503576874732971</v>
      </c>
      <c r="Y1905" s="3" t="n">
        <v>-0.790380597114563</v>
      </c>
      <c r="Z1905" s="3" t="n">
        <v>-1.531115889549255</v>
      </c>
      <c r="AA1905" s="3" t="n">
        <v>-1.531115889549255</v>
      </c>
      <c r="AB1905" s="3" t="n">
        <v>-1.503576874732971</v>
      </c>
      <c r="AC1905" s="3" t="n">
        <v>-4.343067169189453</v>
      </c>
      <c r="AD1905" s="3" t="n">
        <v>-0.9094467163085938</v>
      </c>
      <c r="AE1905" s="3" t="n">
        <v>-0.9094467163085938</v>
      </c>
    </row>
    <row r="1906">
      <c r="A1906" s="3" t="inlineStr">
        <is>
          <t>SLE.distn.bkt.ove.mean.9999</t>
        </is>
      </c>
      <c r="B1906" s="3" t="inlineStr">
        <is>
          <t>SLE</t>
        </is>
      </c>
      <c r="C1906" s="3" t="n">
        <v>2005</v>
      </c>
      <c r="D1906" s="3" t="inlineStr">
        <is>
          <t>Overall</t>
        </is>
      </c>
      <c r="E1906" s="3" t="inlineStr">
        <is>
          <t>Basket</t>
        </is>
      </c>
      <c r="F1906" s="3" t="inlineStr">
        <is>
          <t>mean</t>
        </is>
      </c>
      <c r="G1906" s="3" t="n">
        <v>9999</v>
      </c>
      <c r="H1906" s="3" t="n">
        <v>-0.7920055985450745</v>
      </c>
      <c r="I1906" s="3" t="n">
        <v>-0.7920055985450745</v>
      </c>
      <c r="J1906" s="3" t="n">
        <v>-0.9215497374534607</v>
      </c>
      <c r="K1906" s="3" t="n">
        <v>-0.9215497374534607</v>
      </c>
      <c r="L1906" s="3" t="n">
        <v>-0.7920055985450745</v>
      </c>
      <c r="M1906" s="3" t="n">
        <v>-0.7920055985450745</v>
      </c>
      <c r="N1906" s="3" t="n">
        <v>-0.7920055985450745</v>
      </c>
      <c r="O1906" s="3" t="n">
        <v>-0.7920055985450745</v>
      </c>
      <c r="P1906" s="3" t="n">
        <v>-0.7920055985450745</v>
      </c>
      <c r="Q1906" s="3" t="n">
        <v>-0.7920055985450745</v>
      </c>
      <c r="R1906" s="3" t="n">
        <v>-0.7761244773864746</v>
      </c>
      <c r="S1906" s="3" t="n">
        <v>-1.734307765960693</v>
      </c>
      <c r="T1906" s="3" t="n">
        <v>-0.7104492783546448</v>
      </c>
      <c r="U1906" s="3" t="n">
        <v>-0.9215497374534607</v>
      </c>
      <c r="V1906" s="3" t="n">
        <v>-0.6863201856613159</v>
      </c>
      <c r="W1906" s="3" t="n">
        <v>-0.6323099732398987</v>
      </c>
      <c r="X1906" s="3" t="n">
        <v>-1.680455207824707</v>
      </c>
      <c r="Y1906" s="3" t="n">
        <v>-0.7920055985450745</v>
      </c>
      <c r="Z1906" s="3" t="n">
        <v>-1.734307765960693</v>
      </c>
      <c r="AA1906" s="3" t="n">
        <v>-1.734307765960693</v>
      </c>
      <c r="AB1906" s="3" t="n">
        <v>-1.680455207824707</v>
      </c>
      <c r="AC1906" s="3" t="n">
        <v>-5.675774097442627</v>
      </c>
      <c r="AD1906" s="3" t="n">
        <v>-0.9215497374534607</v>
      </c>
      <c r="AE1906" s="3" t="n">
        <v>-0.9215497374534607</v>
      </c>
    </row>
    <row r="1907">
      <c r="A1907" s="3" t="inlineStr">
        <is>
          <t>SLV.distn.dec.ove.mean.1</t>
        </is>
      </c>
      <c r="B1907" s="3" t="inlineStr">
        <is>
          <t>SLV</t>
        </is>
      </c>
      <c r="C1907" s="3" t="n">
        <v>2005</v>
      </c>
      <c r="D1907" s="3" t="inlineStr">
        <is>
          <t>Overall</t>
        </is>
      </c>
      <c r="E1907" s="3" t="inlineStr">
        <is>
          <t>Deciles</t>
        </is>
      </c>
      <c r="F1907" s="3" t="inlineStr">
        <is>
          <t>mean</t>
        </is>
      </c>
      <c r="G1907" s="3" t="n">
        <v>1</v>
      </c>
      <c r="H1907" s="3" t="n">
        <v>-0.7936522003851438</v>
      </c>
      <c r="I1907" s="3" t="n">
        <v>-0.7936522003851438</v>
      </c>
      <c r="J1907" s="3" t="n">
        <v>-0.9276126356501329</v>
      </c>
      <c r="K1907" s="3" t="n">
        <v>-0.9276126356501329</v>
      </c>
      <c r="L1907" s="3" t="n">
        <v>-0.7936522003851438</v>
      </c>
      <c r="M1907" s="3" t="n">
        <v>-0.7936522003851438</v>
      </c>
      <c r="N1907" s="3" t="n">
        <v>-0.7936522003851438</v>
      </c>
      <c r="O1907" s="3" t="n">
        <v>-0.7936522003851438</v>
      </c>
      <c r="P1907" s="3" t="n">
        <v>-0.7936522003851438</v>
      </c>
      <c r="Q1907" s="3" t="n">
        <v>-0.7936522003851438</v>
      </c>
      <c r="R1907" s="3" t="n">
        <v>-0.7764578367534437</v>
      </c>
      <c r="S1907" s="3" t="n">
        <v>-1.851309371621985</v>
      </c>
      <c r="T1907" s="3" t="n">
        <v>-0.7110083871766141</v>
      </c>
      <c r="U1907" s="3" t="n">
        <v>-0.9276126356501329</v>
      </c>
      <c r="V1907" s="3" t="n">
        <v>-0.688554396754817</v>
      </c>
      <c r="W1907" s="3" t="n">
        <v>-0.6748062403578508</v>
      </c>
      <c r="X1907" s="3" t="n">
        <v>-1.760538414904946</v>
      </c>
      <c r="Y1907" s="3" t="n">
        <v>-0.7936522003851438</v>
      </c>
      <c r="Z1907" s="3" t="n">
        <v>-1.851309371621985</v>
      </c>
      <c r="AA1907" s="3" t="n">
        <v>-1.851309371621985</v>
      </c>
      <c r="AB1907" s="3" t="n">
        <v>-1.760538414904946</v>
      </c>
      <c r="AC1907" s="3" t="n">
        <v>-4.00243950517554</v>
      </c>
      <c r="AD1907" s="3" t="n">
        <v>-0.9276126356501329</v>
      </c>
      <c r="AE1907" s="3" t="n">
        <v>-0.9276126356501329</v>
      </c>
    </row>
    <row r="1908">
      <c r="A1908" s="3" t="inlineStr">
        <is>
          <t>SLV.distn.dec.ove.mean.2</t>
        </is>
      </c>
      <c r="B1908" s="3" t="inlineStr">
        <is>
          <t>SLV</t>
        </is>
      </c>
      <c r="C1908" s="3" t="n">
        <v>2005</v>
      </c>
      <c r="D1908" s="3" t="inlineStr">
        <is>
          <t>Overall</t>
        </is>
      </c>
      <c r="E1908" s="3" t="inlineStr">
        <is>
          <t>Deciles</t>
        </is>
      </c>
      <c r="F1908" s="3" t="inlineStr">
        <is>
          <t>mean</t>
        </is>
      </c>
      <c r="G1908" s="3" t="n">
        <v>2</v>
      </c>
      <c r="H1908" s="3" t="n">
        <v>-0.7936522003851438</v>
      </c>
      <c r="I1908" s="3" t="n">
        <v>-0.7936522003851438</v>
      </c>
      <c r="J1908" s="3" t="n">
        <v>-0.9276126356501329</v>
      </c>
      <c r="K1908" s="3" t="n">
        <v>-0.9276126356501329</v>
      </c>
      <c r="L1908" s="3" t="n">
        <v>-0.7936522003851438</v>
      </c>
      <c r="M1908" s="3" t="n">
        <v>-0.7936522003851438</v>
      </c>
      <c r="N1908" s="3" t="n">
        <v>-0.7936522003851438</v>
      </c>
      <c r="O1908" s="3" t="n">
        <v>-0.7936522003851438</v>
      </c>
      <c r="P1908" s="3" t="n">
        <v>-0.7936522003851438</v>
      </c>
      <c r="Q1908" s="3" t="n">
        <v>-0.7936522003851438</v>
      </c>
      <c r="R1908" s="3" t="n">
        <v>-0.7764578367534437</v>
      </c>
      <c r="S1908" s="3" t="n">
        <v>-1.851309371621985</v>
      </c>
      <c r="T1908" s="3" t="n">
        <v>-0.7110083871766141</v>
      </c>
      <c r="U1908" s="3" t="n">
        <v>-0.9276126356501329</v>
      </c>
      <c r="V1908" s="3" t="n">
        <v>-0.688554396754817</v>
      </c>
      <c r="W1908" s="3" t="n">
        <v>-0.6748062403578508</v>
      </c>
      <c r="X1908" s="3" t="n">
        <v>-1.760538414904946</v>
      </c>
      <c r="Y1908" s="3" t="n">
        <v>-0.7936522003851438</v>
      </c>
      <c r="Z1908" s="3" t="n">
        <v>-1.851309371621985</v>
      </c>
      <c r="AA1908" s="3" t="n">
        <v>-1.851309371621985</v>
      </c>
      <c r="AB1908" s="3" t="n">
        <v>-1.760538414904946</v>
      </c>
      <c r="AC1908" s="3" t="n">
        <v>-4.00243950517554</v>
      </c>
      <c r="AD1908" s="3" t="n">
        <v>-0.9276126356501329</v>
      </c>
      <c r="AE1908" s="3" t="n">
        <v>-0.9276126356501329</v>
      </c>
    </row>
    <row r="1909">
      <c r="A1909" s="3" t="inlineStr">
        <is>
          <t>SLV.distn.dec.ove.mean.3</t>
        </is>
      </c>
      <c r="B1909" s="3" t="inlineStr">
        <is>
          <t>SLV</t>
        </is>
      </c>
      <c r="C1909" s="3" t="n">
        <v>2005</v>
      </c>
      <c r="D1909" s="3" t="inlineStr">
        <is>
          <t>Overall</t>
        </is>
      </c>
      <c r="E1909" s="3" t="inlineStr">
        <is>
          <t>Deciles</t>
        </is>
      </c>
      <c r="F1909" s="3" t="inlineStr">
        <is>
          <t>mean</t>
        </is>
      </c>
      <c r="G1909" s="3" t="n">
        <v>3</v>
      </c>
      <c r="H1909" s="3" t="n">
        <v>-0.7936522003851438</v>
      </c>
      <c r="I1909" s="3" t="n">
        <v>-0.7936522003851438</v>
      </c>
      <c r="J1909" s="3" t="n">
        <v>-0.9276126356501329</v>
      </c>
      <c r="K1909" s="3" t="n">
        <v>-0.9276126356501329</v>
      </c>
      <c r="L1909" s="3" t="n">
        <v>-0.7936522003851438</v>
      </c>
      <c r="M1909" s="3" t="n">
        <v>-0.7936522003851438</v>
      </c>
      <c r="N1909" s="3" t="n">
        <v>-0.7936522003851438</v>
      </c>
      <c r="O1909" s="3" t="n">
        <v>-0.7936522003851438</v>
      </c>
      <c r="P1909" s="3" t="n">
        <v>-0.7936522003851438</v>
      </c>
      <c r="Q1909" s="3" t="n">
        <v>-0.7936522003851438</v>
      </c>
      <c r="R1909" s="3" t="n">
        <v>-0.7764578367534437</v>
      </c>
      <c r="S1909" s="3" t="n">
        <v>-1.851309371621985</v>
      </c>
      <c r="T1909" s="3" t="n">
        <v>-0.7110083871766141</v>
      </c>
      <c r="U1909" s="3" t="n">
        <v>-0.9276126356501329</v>
      </c>
      <c r="V1909" s="3" t="n">
        <v>-0.688554396754817</v>
      </c>
      <c r="W1909" s="3" t="n">
        <v>-0.6748062403578508</v>
      </c>
      <c r="X1909" s="3" t="n">
        <v>-1.760538414904946</v>
      </c>
      <c r="Y1909" s="3" t="n">
        <v>-0.7936522003851438</v>
      </c>
      <c r="Z1909" s="3" t="n">
        <v>-1.851309371621985</v>
      </c>
      <c r="AA1909" s="3" t="n">
        <v>-1.851309371621985</v>
      </c>
      <c r="AB1909" s="3" t="n">
        <v>-1.760538414904946</v>
      </c>
      <c r="AC1909" s="3" t="n">
        <v>-4.00243950517554</v>
      </c>
      <c r="AD1909" s="3" t="n">
        <v>-0.9276126356501329</v>
      </c>
      <c r="AE1909" s="3" t="n">
        <v>-0.9276126356501329</v>
      </c>
    </row>
    <row r="1910">
      <c r="A1910" s="3" t="inlineStr">
        <is>
          <t>SLV.distn.dec.ove.mean.4</t>
        </is>
      </c>
      <c r="B1910" s="3" t="inlineStr">
        <is>
          <t>SLV</t>
        </is>
      </c>
      <c r="C1910" s="3" t="n">
        <v>2005</v>
      </c>
      <c r="D1910" s="3" t="inlineStr">
        <is>
          <t>Overall</t>
        </is>
      </c>
      <c r="E1910" s="3" t="inlineStr">
        <is>
          <t>Deciles</t>
        </is>
      </c>
      <c r="F1910" s="3" t="inlineStr">
        <is>
          <t>mean</t>
        </is>
      </c>
      <c r="G1910" s="3" t="n">
        <v>4</v>
      </c>
      <c r="H1910" s="3" t="n">
        <v>-0.7873684167861938</v>
      </c>
      <c r="I1910" s="3" t="n">
        <v>-0.7873684167861938</v>
      </c>
      <c r="J1910" s="3" t="n">
        <v>-0.8827894769216839</v>
      </c>
      <c r="K1910" s="3" t="n">
        <v>-0.8827894769216839</v>
      </c>
      <c r="L1910" s="3" t="n">
        <v>-0.7873684167861938</v>
      </c>
      <c r="M1910" s="3" t="n">
        <v>-0.7873684167861938</v>
      </c>
      <c r="N1910" s="3" t="n">
        <v>-0.7873684167861938</v>
      </c>
      <c r="O1910" s="3" t="n">
        <v>-0.7873684167861938</v>
      </c>
      <c r="P1910" s="3" t="n">
        <v>-0.7873684167861938</v>
      </c>
      <c r="Q1910" s="3" t="n">
        <v>-0.7873684167861938</v>
      </c>
      <c r="R1910" s="3" t="n">
        <v>-0.7729736864566803</v>
      </c>
      <c r="S1910" s="3" t="n">
        <v>-1.260947363941293</v>
      </c>
      <c r="T1910" s="3" t="n">
        <v>-0.7095526174495095</v>
      </c>
      <c r="U1910" s="3" t="n">
        <v>-0.8827894769216839</v>
      </c>
      <c r="V1910" s="3" t="n">
        <v>-0.6815526375645086</v>
      </c>
      <c r="W1910" s="3" t="n">
        <v>-0.5679210565592113</v>
      </c>
      <c r="X1910" s="3" t="n">
        <v>-1.242473682290629</v>
      </c>
      <c r="Y1910" s="3" t="n">
        <v>-0.7873684167861938</v>
      </c>
      <c r="Z1910" s="3" t="n">
        <v>-1.260947363941293</v>
      </c>
      <c r="AA1910" s="3" t="n">
        <v>-1.260947363941293</v>
      </c>
      <c r="AB1910" s="3" t="n">
        <v>-1.242473682290629</v>
      </c>
      <c r="AC1910" s="3" t="n">
        <v>-1.932868417940642</v>
      </c>
      <c r="AD1910" s="3" t="n">
        <v>-0.8827894769216839</v>
      </c>
      <c r="AE1910" s="3" t="n">
        <v>-0.8827894769216839</v>
      </c>
    </row>
    <row r="1911">
      <c r="A1911" s="3" t="inlineStr">
        <is>
          <t>SLV.distn.dec.ove.mean.5</t>
        </is>
      </c>
      <c r="B1911" s="3" t="inlineStr">
        <is>
          <t>SLV</t>
        </is>
      </c>
      <c r="C1911" s="3" t="n">
        <v>2005</v>
      </c>
      <c r="D1911" s="3" t="inlineStr">
        <is>
          <t>Overall</t>
        </is>
      </c>
      <c r="E1911" s="3" t="inlineStr">
        <is>
          <t>Deciles</t>
        </is>
      </c>
      <c r="F1911" s="3" t="inlineStr">
        <is>
          <t>mean</t>
        </is>
      </c>
      <c r="G1911" s="3" t="n">
        <v>5</v>
      </c>
      <c r="H1911" s="3" t="n">
        <v>-0.7873684167861938</v>
      </c>
      <c r="I1911" s="3" t="n">
        <v>-0.7873684167861938</v>
      </c>
      <c r="J1911" s="3" t="n">
        <v>-0.8827894769216839</v>
      </c>
      <c r="K1911" s="3" t="n">
        <v>-0.8827894769216839</v>
      </c>
      <c r="L1911" s="3" t="n">
        <v>-0.7873684167861938</v>
      </c>
      <c r="M1911" s="3" t="n">
        <v>-0.7873684167861938</v>
      </c>
      <c r="N1911" s="3" t="n">
        <v>-0.7873684167861938</v>
      </c>
      <c r="O1911" s="3" t="n">
        <v>-0.7873684167861938</v>
      </c>
      <c r="P1911" s="3" t="n">
        <v>-0.7873684167861938</v>
      </c>
      <c r="Q1911" s="3" t="n">
        <v>-0.7873684167861938</v>
      </c>
      <c r="R1911" s="3" t="n">
        <v>-0.7729736864566803</v>
      </c>
      <c r="S1911" s="3" t="n">
        <v>-1.260947363941293</v>
      </c>
      <c r="T1911" s="3" t="n">
        <v>-0.7095526174495095</v>
      </c>
      <c r="U1911" s="3" t="n">
        <v>-0.8827894769216839</v>
      </c>
      <c r="V1911" s="3" t="n">
        <v>-0.6815526375645086</v>
      </c>
      <c r="W1911" s="3" t="n">
        <v>-0.5679210565592113</v>
      </c>
      <c r="X1911" s="3" t="n">
        <v>-1.242473682290629</v>
      </c>
      <c r="Y1911" s="3" t="n">
        <v>-0.7873684167861938</v>
      </c>
      <c r="Z1911" s="3" t="n">
        <v>-1.260947363941293</v>
      </c>
      <c r="AA1911" s="3" t="n">
        <v>-1.260947363941293</v>
      </c>
      <c r="AB1911" s="3" t="n">
        <v>-1.242473682290629</v>
      </c>
      <c r="AC1911" s="3" t="n">
        <v>-1.932868417940642</v>
      </c>
      <c r="AD1911" s="3" t="n">
        <v>-0.8827894769216839</v>
      </c>
      <c r="AE1911" s="3" t="n">
        <v>-0.8827894769216839</v>
      </c>
    </row>
    <row r="1912">
      <c r="A1912" s="3" t="inlineStr">
        <is>
          <t>SLV.distn.dec.ove.mean.6</t>
        </is>
      </c>
      <c r="B1912" s="3" t="inlineStr">
        <is>
          <t>SLV</t>
        </is>
      </c>
      <c r="C1912" s="3" t="n">
        <v>2005</v>
      </c>
      <c r="D1912" s="3" t="inlineStr">
        <is>
          <t>Overall</t>
        </is>
      </c>
      <c r="E1912" s="3" t="inlineStr">
        <is>
          <t>Deciles</t>
        </is>
      </c>
      <c r="F1912" s="3" t="inlineStr">
        <is>
          <t>mean</t>
        </is>
      </c>
      <c r="G1912" s="3" t="n">
        <v>6</v>
      </c>
      <c r="H1912" s="3" t="n">
        <v>-0.7873684167861938</v>
      </c>
      <c r="I1912" s="3" t="n">
        <v>-0.7873684167861938</v>
      </c>
      <c r="J1912" s="3" t="n">
        <v>-0.8827894769216839</v>
      </c>
      <c r="K1912" s="3" t="n">
        <v>-0.8827894769216839</v>
      </c>
      <c r="L1912" s="3" t="n">
        <v>-0.7873684167861938</v>
      </c>
      <c r="M1912" s="3" t="n">
        <v>-0.7873684167861938</v>
      </c>
      <c r="N1912" s="3" t="n">
        <v>-0.7873684167861938</v>
      </c>
      <c r="O1912" s="3" t="n">
        <v>-0.7873684167861938</v>
      </c>
      <c r="P1912" s="3" t="n">
        <v>-0.7873684167861938</v>
      </c>
      <c r="Q1912" s="3" t="n">
        <v>-0.7873684167861938</v>
      </c>
      <c r="R1912" s="3" t="n">
        <v>-0.7729736864566803</v>
      </c>
      <c r="S1912" s="3" t="n">
        <v>-1.260947363941293</v>
      </c>
      <c r="T1912" s="3" t="n">
        <v>-0.7095526174495095</v>
      </c>
      <c r="U1912" s="3" t="n">
        <v>-0.8827894769216839</v>
      </c>
      <c r="V1912" s="3" t="n">
        <v>-0.6815526375645086</v>
      </c>
      <c r="W1912" s="3" t="n">
        <v>-0.5679210565592113</v>
      </c>
      <c r="X1912" s="3" t="n">
        <v>-1.242473682290629</v>
      </c>
      <c r="Y1912" s="3" t="n">
        <v>-0.7873684167861938</v>
      </c>
      <c r="Z1912" s="3" t="n">
        <v>-1.260947363941293</v>
      </c>
      <c r="AA1912" s="3" t="n">
        <v>-1.260947363941293</v>
      </c>
      <c r="AB1912" s="3" t="n">
        <v>-1.242473682290629</v>
      </c>
      <c r="AC1912" s="3" t="n">
        <v>-1.932868417940642</v>
      </c>
      <c r="AD1912" s="3" t="n">
        <v>-0.8827894769216839</v>
      </c>
      <c r="AE1912" s="3" t="n">
        <v>-0.8827894769216839</v>
      </c>
    </row>
    <row r="1913">
      <c r="A1913" s="3" t="inlineStr">
        <is>
          <t>SLV.distn.dec.ove.mean.7</t>
        </is>
      </c>
      <c r="B1913" s="3" t="inlineStr">
        <is>
          <t>SLV</t>
        </is>
      </c>
      <c r="C1913" s="3" t="n">
        <v>2005</v>
      </c>
      <c r="D1913" s="3" t="inlineStr">
        <is>
          <t>Overall</t>
        </is>
      </c>
      <c r="E1913" s="3" t="inlineStr">
        <is>
          <t>Deciles</t>
        </is>
      </c>
      <c r="F1913" s="3" t="inlineStr">
        <is>
          <t>mean</t>
        </is>
      </c>
      <c r="G1913" s="3" t="n">
        <v>7</v>
      </c>
      <c r="H1913" s="3" t="n">
        <v>-0.7873684167861938</v>
      </c>
      <c r="I1913" s="3" t="n">
        <v>-0.7873684167861938</v>
      </c>
      <c r="J1913" s="3" t="n">
        <v>-0.8827894769216839</v>
      </c>
      <c r="K1913" s="3" t="n">
        <v>-0.8827894769216839</v>
      </c>
      <c r="L1913" s="3" t="n">
        <v>-0.7873684167861938</v>
      </c>
      <c r="M1913" s="3" t="n">
        <v>-0.7873684167861938</v>
      </c>
      <c r="N1913" s="3" t="n">
        <v>-0.7873684167861938</v>
      </c>
      <c r="O1913" s="3" t="n">
        <v>-0.7873684167861938</v>
      </c>
      <c r="P1913" s="3" t="n">
        <v>-0.7873684167861938</v>
      </c>
      <c r="Q1913" s="3" t="n">
        <v>-0.7873684167861938</v>
      </c>
      <c r="R1913" s="3" t="n">
        <v>-0.7729736864566803</v>
      </c>
      <c r="S1913" s="3" t="n">
        <v>-1.260947363941293</v>
      </c>
      <c r="T1913" s="3" t="n">
        <v>-0.7095526174495095</v>
      </c>
      <c r="U1913" s="3" t="n">
        <v>-0.8827894769216839</v>
      </c>
      <c r="V1913" s="3" t="n">
        <v>-0.6815526375645086</v>
      </c>
      <c r="W1913" s="3" t="n">
        <v>-0.5679210565592113</v>
      </c>
      <c r="X1913" s="3" t="n">
        <v>-1.242473682290629</v>
      </c>
      <c r="Y1913" s="3" t="n">
        <v>-0.7873684167861938</v>
      </c>
      <c r="Z1913" s="3" t="n">
        <v>-1.260947363941293</v>
      </c>
      <c r="AA1913" s="3" t="n">
        <v>-1.260947363941293</v>
      </c>
      <c r="AB1913" s="3" t="n">
        <v>-1.242473682290629</v>
      </c>
      <c r="AC1913" s="3" t="n">
        <v>-1.932868417940642</v>
      </c>
      <c r="AD1913" s="3" t="n">
        <v>-0.8827894769216839</v>
      </c>
      <c r="AE1913" s="3" t="n">
        <v>-0.8827894769216839</v>
      </c>
    </row>
    <row r="1914">
      <c r="A1914" s="3" t="inlineStr">
        <is>
          <t>SLV.distn.dec.ove.mean.8</t>
        </is>
      </c>
      <c r="B1914" s="3" t="inlineStr">
        <is>
          <t>SLV</t>
        </is>
      </c>
      <c r="C1914" s="3" t="n">
        <v>2005</v>
      </c>
      <c r="D1914" s="3" t="inlineStr">
        <is>
          <t>Overall</t>
        </is>
      </c>
      <c r="E1914" s="3" t="inlineStr">
        <is>
          <t>Deciles</t>
        </is>
      </c>
      <c r="F1914" s="3" t="inlineStr">
        <is>
          <t>mean</t>
        </is>
      </c>
      <c r="G1914" s="3" t="n">
        <v>8</v>
      </c>
      <c r="H1914" s="3" t="n">
        <v>-0.7877477627051505</v>
      </c>
      <c r="I1914" s="3" t="n">
        <v>-0.7877477627051505</v>
      </c>
      <c r="J1914" s="3" t="n">
        <v>-0.8851708738427413</v>
      </c>
      <c r="K1914" s="3" t="n">
        <v>-0.8851708738427413</v>
      </c>
      <c r="L1914" s="3" t="n">
        <v>-0.7877477627051505</v>
      </c>
      <c r="M1914" s="3" t="n">
        <v>-0.7877477627051505</v>
      </c>
      <c r="N1914" s="3" t="n">
        <v>-0.7877477627051505</v>
      </c>
      <c r="O1914" s="3" t="n">
        <v>-0.7877477627051505</v>
      </c>
      <c r="P1914" s="3" t="n">
        <v>-0.7877477627051505</v>
      </c>
      <c r="Q1914" s="3" t="n">
        <v>-0.7877477627051505</v>
      </c>
      <c r="R1914" s="3" t="n">
        <v>-0.7732278971295607</v>
      </c>
      <c r="S1914" s="3" t="n">
        <v>-1.272680619829579</v>
      </c>
      <c r="T1914" s="3" t="n">
        <v>-0.7095935376066911</v>
      </c>
      <c r="U1914" s="3" t="n">
        <v>-0.8851708738427413</v>
      </c>
      <c r="V1914" s="3" t="n">
        <v>-0.6822572021107924</v>
      </c>
      <c r="W1914" s="3" t="n">
        <v>-0.5831292993143985</v>
      </c>
      <c r="X1914" s="3" t="n">
        <v>-1.253795093611667</v>
      </c>
      <c r="Y1914" s="3" t="n">
        <v>-0.7877477627051505</v>
      </c>
      <c r="Z1914" s="3" t="n">
        <v>-1.272680619829579</v>
      </c>
      <c r="AA1914" s="3" t="n">
        <v>-1.272680619829579</v>
      </c>
      <c r="AB1914" s="3" t="n">
        <v>-1.253795093611667</v>
      </c>
      <c r="AC1914" s="3" t="n">
        <v>-1.960433708994012</v>
      </c>
      <c r="AD1914" s="3" t="n">
        <v>-0.8851708738427413</v>
      </c>
      <c r="AE1914" s="3" t="n">
        <v>-0.8851708738427413</v>
      </c>
    </row>
    <row r="1915">
      <c r="A1915" s="3" t="inlineStr">
        <is>
          <t>SLV.distn.dec.ove.mean.9</t>
        </is>
      </c>
      <c r="B1915" s="3" t="inlineStr">
        <is>
          <t>SLV</t>
        </is>
      </c>
      <c r="C1915" s="3" t="n">
        <v>2005</v>
      </c>
      <c r="D1915" s="3" t="inlineStr">
        <is>
          <t>Overall</t>
        </is>
      </c>
      <c r="E1915" s="3" t="inlineStr">
        <is>
          <t>Deciles</t>
        </is>
      </c>
      <c r="F1915" s="3" t="inlineStr">
        <is>
          <t>mean</t>
        </is>
      </c>
      <c r="G1915" s="3" t="n">
        <v>9</v>
      </c>
      <c r="H1915" s="3" t="n">
        <v>-0.7877477627051505</v>
      </c>
      <c r="I1915" s="3" t="n">
        <v>-0.7877477627051505</v>
      </c>
      <c r="J1915" s="3" t="n">
        <v>-0.8851708738427413</v>
      </c>
      <c r="K1915" s="3" t="n">
        <v>-0.8851708738427413</v>
      </c>
      <c r="L1915" s="3" t="n">
        <v>-0.7877477627051505</v>
      </c>
      <c r="M1915" s="3" t="n">
        <v>-0.7877477627051505</v>
      </c>
      <c r="N1915" s="3" t="n">
        <v>-0.7877477627051505</v>
      </c>
      <c r="O1915" s="3" t="n">
        <v>-0.7877477627051505</v>
      </c>
      <c r="P1915" s="3" t="n">
        <v>-0.7877477627051505</v>
      </c>
      <c r="Q1915" s="3" t="n">
        <v>-0.7877477627051505</v>
      </c>
      <c r="R1915" s="3" t="n">
        <v>-0.7732278971295607</v>
      </c>
      <c r="S1915" s="3" t="n">
        <v>-1.272680619829579</v>
      </c>
      <c r="T1915" s="3" t="n">
        <v>-0.7095935376066911</v>
      </c>
      <c r="U1915" s="3" t="n">
        <v>-0.8851708738427413</v>
      </c>
      <c r="V1915" s="3" t="n">
        <v>-0.6822572021107924</v>
      </c>
      <c r="W1915" s="3" t="n">
        <v>-0.5831292993143985</v>
      </c>
      <c r="X1915" s="3" t="n">
        <v>-1.253795093611667</v>
      </c>
      <c r="Y1915" s="3" t="n">
        <v>-0.7877477627051505</v>
      </c>
      <c r="Z1915" s="3" t="n">
        <v>-1.272680619829579</v>
      </c>
      <c r="AA1915" s="3" t="n">
        <v>-1.272680619829579</v>
      </c>
      <c r="AB1915" s="3" t="n">
        <v>-1.253795093611667</v>
      </c>
      <c r="AC1915" s="3" t="n">
        <v>-1.960433708994012</v>
      </c>
      <c r="AD1915" s="3" t="n">
        <v>-0.8851708738427413</v>
      </c>
      <c r="AE1915" s="3" t="n">
        <v>-0.8851708738427413</v>
      </c>
    </row>
    <row r="1916">
      <c r="A1916" s="3" t="inlineStr">
        <is>
          <t>SLV.distn.dec.ove.mean.10</t>
        </is>
      </c>
      <c r="B1916" s="3" t="inlineStr">
        <is>
          <t>SLV</t>
        </is>
      </c>
      <c r="C1916" s="3" t="n">
        <v>2005</v>
      </c>
      <c r="D1916" s="3" t="inlineStr">
        <is>
          <t>Overall</t>
        </is>
      </c>
      <c r="E1916" s="3" t="inlineStr">
        <is>
          <t>Deciles</t>
        </is>
      </c>
      <c r="F1916" s="3" t="inlineStr">
        <is>
          <t>mean</t>
        </is>
      </c>
      <c r="G1916" s="3" t="n">
        <v>10</v>
      </c>
      <c r="H1916" s="3" t="n">
        <v>-0.7877477627051505</v>
      </c>
      <c r="I1916" s="3" t="n">
        <v>-0.7877477627051505</v>
      </c>
      <c r="J1916" s="3" t="n">
        <v>-0.8851708738427413</v>
      </c>
      <c r="K1916" s="3" t="n">
        <v>-0.8851708738427413</v>
      </c>
      <c r="L1916" s="3" t="n">
        <v>-0.7877477627051505</v>
      </c>
      <c r="M1916" s="3" t="n">
        <v>-0.7877477627051505</v>
      </c>
      <c r="N1916" s="3" t="n">
        <v>-0.7877477627051505</v>
      </c>
      <c r="O1916" s="3" t="n">
        <v>-0.7877477627051505</v>
      </c>
      <c r="P1916" s="3" t="n">
        <v>-0.7877477627051505</v>
      </c>
      <c r="Q1916" s="3" t="n">
        <v>-0.7877477627051505</v>
      </c>
      <c r="R1916" s="3" t="n">
        <v>-0.7732278971295607</v>
      </c>
      <c r="S1916" s="3" t="n">
        <v>-1.272680619829579</v>
      </c>
      <c r="T1916" s="3" t="n">
        <v>-0.7095935376066911</v>
      </c>
      <c r="U1916" s="3" t="n">
        <v>-0.8851708738427413</v>
      </c>
      <c r="V1916" s="3" t="n">
        <v>-0.6822572021107924</v>
      </c>
      <c r="W1916" s="3" t="n">
        <v>-0.5831292993143985</v>
      </c>
      <c r="X1916" s="3" t="n">
        <v>-1.253795093611667</v>
      </c>
      <c r="Y1916" s="3" t="n">
        <v>-0.7877477627051505</v>
      </c>
      <c r="Z1916" s="3" t="n">
        <v>-1.272680619829579</v>
      </c>
      <c r="AA1916" s="3" t="n">
        <v>-1.272680619829579</v>
      </c>
      <c r="AB1916" s="3" t="n">
        <v>-1.253795093611667</v>
      </c>
      <c r="AC1916" s="3" t="n">
        <v>-1.960433708994012</v>
      </c>
      <c r="AD1916" s="3" t="n">
        <v>-0.8851708738427413</v>
      </c>
      <c r="AE1916" s="3" t="n">
        <v>-0.8851708738427413</v>
      </c>
    </row>
    <row r="1917">
      <c r="A1917" s="3" t="inlineStr">
        <is>
          <t>SLV.distn.bkt.ove.mean.9999</t>
        </is>
      </c>
      <c r="B1917" s="3" t="inlineStr">
        <is>
          <t>SLV</t>
        </is>
      </c>
      <c r="C1917" s="3" t="n">
        <v>2005</v>
      </c>
      <c r="D1917" s="3" t="inlineStr">
        <is>
          <t>Overall</t>
        </is>
      </c>
      <c r="E1917" s="3" t="inlineStr">
        <is>
          <t>Basket</t>
        </is>
      </c>
      <c r="F1917" s="3" t="inlineStr">
        <is>
          <t>mean</t>
        </is>
      </c>
      <c r="G1917" s="3" t="n">
        <v>9999</v>
      </c>
      <c r="H1917" s="3" t="n">
        <v>-0.7893673542298769</v>
      </c>
      <c r="I1917" s="3" t="n">
        <v>-0.7893673542298769</v>
      </c>
      <c r="J1917" s="3" t="n">
        <v>-0.8969508472241854</v>
      </c>
      <c r="K1917" s="3" t="n">
        <v>-0.8969508472241854</v>
      </c>
      <c r="L1917" s="3" t="n">
        <v>-0.7893673542298769</v>
      </c>
      <c r="M1917" s="3" t="n">
        <v>-0.7893673542298769</v>
      </c>
      <c r="N1917" s="3" t="n">
        <v>-0.7893673542298769</v>
      </c>
      <c r="O1917" s="3" t="n">
        <v>-0.7893673542298769</v>
      </c>
      <c r="P1917" s="3" t="n">
        <v>-0.7893673542298769</v>
      </c>
      <c r="Q1917" s="3" t="n">
        <v>-0.7893673542298769</v>
      </c>
      <c r="R1917" s="3" t="n">
        <v>-0.7740951949044278</v>
      </c>
      <c r="S1917" s="3" t="n">
        <v>-1.441575941286589</v>
      </c>
      <c r="T1917" s="3" t="n">
        <v>-0.7100016239442324</v>
      </c>
      <c r="U1917" s="3" t="n">
        <v>-0.8969508472241854</v>
      </c>
      <c r="V1917" s="3" t="n">
        <v>-0.6838645276270414</v>
      </c>
      <c r="W1917" s="3" t="n">
        <v>-0.6045490895446978</v>
      </c>
      <c r="X1917" s="3" t="n">
        <v>-1.401289532059117</v>
      </c>
      <c r="Y1917" s="3" t="n">
        <v>-0.7893673542298769</v>
      </c>
      <c r="Z1917" s="3" t="n">
        <v>-1.441575941286589</v>
      </c>
      <c r="AA1917" s="3" t="n">
        <v>-1.441575941286589</v>
      </c>
      <c r="AB1917" s="3" t="n">
        <v>-1.401289532059117</v>
      </c>
      <c r="AC1917" s="3" t="n">
        <v>-2.562009337701296</v>
      </c>
      <c r="AD1917" s="3" t="n">
        <v>-0.8969508472241854</v>
      </c>
      <c r="AE1917" s="3" t="n">
        <v>-0.8969508472241854</v>
      </c>
    </row>
    <row r="1918">
      <c r="A1918" s="3" t="inlineStr">
        <is>
          <t>SMR.distn.dec.ove.mean.1</t>
        </is>
      </c>
      <c r="B1918" s="3" t="inlineStr">
        <is>
          <t>SMR</t>
        </is>
      </c>
      <c r="C1918" s="3" t="n">
        <v>2005</v>
      </c>
      <c r="D1918" s="3" t="inlineStr">
        <is>
          <t>Overall</t>
        </is>
      </c>
      <c r="E1918" s="3" t="inlineStr">
        <is>
          <t>Deciles</t>
        </is>
      </c>
      <c r="F1918" s="3" t="inlineStr">
        <is>
          <t>mean</t>
        </is>
      </c>
      <c r="G1918" s="3" t="n">
        <v>1</v>
      </c>
      <c r="H1918" s="3" t="n">
        <v>-0.7878549098968506</v>
      </c>
      <c r="I1918" s="3" t="n">
        <v>-0.7878549098968506</v>
      </c>
      <c r="J1918" s="3" t="n">
        <v>-0.8883962808771336</v>
      </c>
      <c r="K1918" s="3" t="n">
        <v>-0.8883962808771336</v>
      </c>
      <c r="L1918" s="3" t="n">
        <v>-0.7878549098968506</v>
      </c>
      <c r="M1918" s="3" t="n">
        <v>-0.7878549098968506</v>
      </c>
      <c r="N1918" s="3" t="n">
        <v>-0.7878549098968506</v>
      </c>
      <c r="O1918" s="3" t="n">
        <v>-0.7878549098968506</v>
      </c>
      <c r="P1918" s="3" t="n">
        <v>-0.7878549098968506</v>
      </c>
      <c r="Q1918" s="3" t="n">
        <v>-0.7878549098968506</v>
      </c>
      <c r="R1918" s="3" t="n">
        <v>-0.7732356596500316</v>
      </c>
      <c r="S1918" s="3" t="n">
        <v>-1.408805674694954</v>
      </c>
      <c r="T1918" s="3" t="n">
        <v>-0.7095591730259835</v>
      </c>
      <c r="U1918" s="3" t="n">
        <v>-0.8883962808771336</v>
      </c>
      <c r="V1918" s="3" t="n">
        <v>-0.681934451803248</v>
      </c>
      <c r="W1918" s="3" t="n">
        <v>-0.5702875047288043</v>
      </c>
      <c r="X1918" s="3" t="n">
        <v>-1.356243993373627</v>
      </c>
      <c r="Y1918" s="3" t="n">
        <v>-0.7878549098968506</v>
      </c>
      <c r="Z1918" s="3" t="n">
        <v>-1.408805674694954</v>
      </c>
      <c r="AA1918" s="3" t="n">
        <v>-1.408805674694954</v>
      </c>
      <c r="AB1918" s="3" t="n">
        <v>-1.356243993373627</v>
      </c>
      <c r="AC1918" s="3" t="n">
        <v>-2.123991362592007</v>
      </c>
      <c r="AD1918" s="3" t="n">
        <v>-0.8883962808771336</v>
      </c>
      <c r="AE1918" s="3" t="n">
        <v>-0.8883962808771336</v>
      </c>
    </row>
    <row r="1919">
      <c r="A1919" s="3" t="inlineStr">
        <is>
          <t>SMR.distn.dec.ove.mean.2</t>
        </is>
      </c>
      <c r="B1919" s="3" t="inlineStr">
        <is>
          <t>SMR</t>
        </is>
      </c>
      <c r="C1919" s="3" t="n">
        <v>2005</v>
      </c>
      <c r="D1919" s="3" t="inlineStr">
        <is>
          <t>Overall</t>
        </is>
      </c>
      <c r="E1919" s="3" t="inlineStr">
        <is>
          <t>Deciles</t>
        </is>
      </c>
      <c r="F1919" s="3" t="inlineStr">
        <is>
          <t>mean</t>
        </is>
      </c>
      <c r="G1919" s="3" t="n">
        <v>2</v>
      </c>
      <c r="H1919" s="3" t="n">
        <v>-0.7878549098968506</v>
      </c>
      <c r="I1919" s="3" t="n">
        <v>-0.7878549098968506</v>
      </c>
      <c r="J1919" s="3" t="n">
        <v>-0.8883962808771336</v>
      </c>
      <c r="K1919" s="3" t="n">
        <v>-0.8883962808771336</v>
      </c>
      <c r="L1919" s="3" t="n">
        <v>-0.7878549098968506</v>
      </c>
      <c r="M1919" s="3" t="n">
        <v>-0.7878549098968506</v>
      </c>
      <c r="N1919" s="3" t="n">
        <v>-0.7878549098968506</v>
      </c>
      <c r="O1919" s="3" t="n">
        <v>-0.7878549098968506</v>
      </c>
      <c r="P1919" s="3" t="n">
        <v>-0.7878549098968506</v>
      </c>
      <c r="Q1919" s="3" t="n">
        <v>-0.7878549098968506</v>
      </c>
      <c r="R1919" s="3" t="n">
        <v>-0.7732356596500316</v>
      </c>
      <c r="S1919" s="3" t="n">
        <v>-1.408805674694954</v>
      </c>
      <c r="T1919" s="3" t="n">
        <v>-0.7095591730259835</v>
      </c>
      <c r="U1919" s="3" t="n">
        <v>-0.8883962808771336</v>
      </c>
      <c r="V1919" s="3" t="n">
        <v>-0.681934451803248</v>
      </c>
      <c r="W1919" s="3" t="n">
        <v>-0.5702875047288043</v>
      </c>
      <c r="X1919" s="3" t="n">
        <v>-1.356243993373627</v>
      </c>
      <c r="Y1919" s="3" t="n">
        <v>-0.7878549098968506</v>
      </c>
      <c r="Z1919" s="3" t="n">
        <v>-1.408805674694954</v>
      </c>
      <c r="AA1919" s="3" t="n">
        <v>-1.408805674694954</v>
      </c>
      <c r="AB1919" s="3" t="n">
        <v>-1.356243993373627</v>
      </c>
      <c r="AC1919" s="3" t="n">
        <v>-2.123991362592007</v>
      </c>
      <c r="AD1919" s="3" t="n">
        <v>-0.8883962808771336</v>
      </c>
      <c r="AE1919" s="3" t="n">
        <v>-0.8883962808771336</v>
      </c>
    </row>
    <row r="1920">
      <c r="A1920" s="3" t="inlineStr">
        <is>
          <t>SMR.distn.dec.ove.mean.3</t>
        </is>
      </c>
      <c r="B1920" s="3" t="inlineStr">
        <is>
          <t>SMR</t>
        </is>
      </c>
      <c r="C1920" s="3" t="n">
        <v>2005</v>
      </c>
      <c r="D1920" s="3" t="inlineStr">
        <is>
          <t>Overall</t>
        </is>
      </c>
      <c r="E1920" s="3" t="inlineStr">
        <is>
          <t>Deciles</t>
        </is>
      </c>
      <c r="F1920" s="3" t="inlineStr">
        <is>
          <t>mean</t>
        </is>
      </c>
      <c r="G1920" s="3" t="n">
        <v>3</v>
      </c>
      <c r="H1920" s="3" t="n">
        <v>-0.7878549098968506</v>
      </c>
      <c r="I1920" s="3" t="n">
        <v>-0.7878549098968506</v>
      </c>
      <c r="J1920" s="3" t="n">
        <v>-0.8883962808771336</v>
      </c>
      <c r="K1920" s="3" t="n">
        <v>-0.8883962808771336</v>
      </c>
      <c r="L1920" s="3" t="n">
        <v>-0.7878549098968506</v>
      </c>
      <c r="M1920" s="3" t="n">
        <v>-0.7878549098968506</v>
      </c>
      <c r="N1920" s="3" t="n">
        <v>-0.7878549098968506</v>
      </c>
      <c r="O1920" s="3" t="n">
        <v>-0.7878549098968506</v>
      </c>
      <c r="P1920" s="3" t="n">
        <v>-0.7878549098968506</v>
      </c>
      <c r="Q1920" s="3" t="n">
        <v>-0.7878549098968506</v>
      </c>
      <c r="R1920" s="3" t="n">
        <v>-0.7732356596500316</v>
      </c>
      <c r="S1920" s="3" t="n">
        <v>-1.408805674694954</v>
      </c>
      <c r="T1920" s="3" t="n">
        <v>-0.7095591730259835</v>
      </c>
      <c r="U1920" s="3" t="n">
        <v>-0.8883962808771336</v>
      </c>
      <c r="V1920" s="3" t="n">
        <v>-0.681934451803248</v>
      </c>
      <c r="W1920" s="3" t="n">
        <v>-0.5702875047288043</v>
      </c>
      <c r="X1920" s="3" t="n">
        <v>-1.356243993373627</v>
      </c>
      <c r="Y1920" s="3" t="n">
        <v>-0.7878549098968506</v>
      </c>
      <c r="Z1920" s="3" t="n">
        <v>-1.408805674694954</v>
      </c>
      <c r="AA1920" s="3" t="n">
        <v>-1.408805674694954</v>
      </c>
      <c r="AB1920" s="3" t="n">
        <v>-1.356243993373627</v>
      </c>
      <c r="AC1920" s="3" t="n">
        <v>-2.123991362592007</v>
      </c>
      <c r="AD1920" s="3" t="n">
        <v>-0.8883962808771336</v>
      </c>
      <c r="AE1920" s="3" t="n">
        <v>-0.8883962808771336</v>
      </c>
    </row>
    <row r="1921">
      <c r="A1921" s="3" t="inlineStr">
        <is>
          <t>SMR.distn.dec.ove.mean.4</t>
        </is>
      </c>
      <c r="B1921" s="3" t="inlineStr">
        <is>
          <t>SMR</t>
        </is>
      </c>
      <c r="C1921" s="3" t="n">
        <v>2005</v>
      </c>
      <c r="D1921" s="3" t="inlineStr">
        <is>
          <t>Overall</t>
        </is>
      </c>
      <c r="E1921" s="3" t="inlineStr">
        <is>
          <t>Deciles</t>
        </is>
      </c>
      <c r="F1921" s="3" t="inlineStr">
        <is>
          <t>mean</t>
        </is>
      </c>
      <c r="G1921" s="3" t="n">
        <v>4</v>
      </c>
      <c r="H1921" s="3" t="n">
        <v>-0.7816170251115839</v>
      </c>
      <c r="I1921" s="3" t="n">
        <v>-0.7816170251115839</v>
      </c>
      <c r="J1921" s="3" t="n">
        <v>-0.8454680810583398</v>
      </c>
      <c r="K1921" s="3" t="n">
        <v>-0.8454680810583398</v>
      </c>
      <c r="L1921" s="3" t="n">
        <v>-0.7816170251115839</v>
      </c>
      <c r="M1921" s="3" t="n">
        <v>-0.7816170251115839</v>
      </c>
      <c r="N1921" s="3" t="n">
        <v>-0.7816170251115839</v>
      </c>
      <c r="O1921" s="3" t="n">
        <v>-0.7816170251115839</v>
      </c>
      <c r="P1921" s="3" t="n">
        <v>-0.7816170251115839</v>
      </c>
      <c r="Q1921" s="3" t="n">
        <v>-0.7816170251115839</v>
      </c>
      <c r="R1921" s="3" t="n">
        <v>-0.7697659489956308</v>
      </c>
      <c r="S1921" s="3" t="n">
        <v>-0.9595531871978272</v>
      </c>
      <c r="T1921" s="3" t="n">
        <v>-0.7081063859006191</v>
      </c>
      <c r="U1921" s="3" t="n">
        <v>-0.8454680810583398</v>
      </c>
      <c r="V1921" s="3" t="n">
        <v>-0.6750000017754575</v>
      </c>
      <c r="W1921" s="3" t="n">
        <v>-0.4799574455048176</v>
      </c>
      <c r="X1921" s="3" t="n">
        <v>-0.9571489362006492</v>
      </c>
      <c r="Y1921" s="3" t="n">
        <v>-0.7816170251115839</v>
      </c>
      <c r="Z1921" s="3" t="n">
        <v>-0.9595531871978272</v>
      </c>
      <c r="AA1921" s="3" t="n">
        <v>-0.9595531871978272</v>
      </c>
      <c r="AB1921" s="3" t="n">
        <v>-0.9571489362006492</v>
      </c>
      <c r="AC1921" s="3" t="n">
        <v>-1.025723396463597</v>
      </c>
      <c r="AD1921" s="3" t="n">
        <v>-0.8454680810583398</v>
      </c>
      <c r="AE1921" s="3" t="n">
        <v>-0.8454680810583398</v>
      </c>
    </row>
    <row r="1922">
      <c r="A1922" s="3" t="inlineStr">
        <is>
          <t>SMR.distn.dec.ove.mean.5</t>
        </is>
      </c>
      <c r="B1922" s="3" t="inlineStr">
        <is>
          <t>SMR</t>
        </is>
      </c>
      <c r="C1922" s="3" t="n">
        <v>2005</v>
      </c>
      <c r="D1922" s="3" t="inlineStr">
        <is>
          <t>Overall</t>
        </is>
      </c>
      <c r="E1922" s="3" t="inlineStr">
        <is>
          <t>Deciles</t>
        </is>
      </c>
      <c r="F1922" s="3" t="inlineStr">
        <is>
          <t>mean</t>
        </is>
      </c>
      <c r="G1922" s="3" t="n">
        <v>5</v>
      </c>
      <c r="H1922" s="3" t="n">
        <v>-0.7816170251115839</v>
      </c>
      <c r="I1922" s="3" t="n">
        <v>-0.7816170251115839</v>
      </c>
      <c r="J1922" s="3" t="n">
        <v>-0.8454680810583398</v>
      </c>
      <c r="K1922" s="3" t="n">
        <v>-0.8454680810583398</v>
      </c>
      <c r="L1922" s="3" t="n">
        <v>-0.7816170251115839</v>
      </c>
      <c r="M1922" s="3" t="n">
        <v>-0.7816170251115839</v>
      </c>
      <c r="N1922" s="3" t="n">
        <v>-0.7816170251115839</v>
      </c>
      <c r="O1922" s="3" t="n">
        <v>-0.7816170251115839</v>
      </c>
      <c r="P1922" s="3" t="n">
        <v>-0.7816170251115839</v>
      </c>
      <c r="Q1922" s="3" t="n">
        <v>-0.7816170251115839</v>
      </c>
      <c r="R1922" s="3" t="n">
        <v>-0.7697659489956308</v>
      </c>
      <c r="S1922" s="3" t="n">
        <v>-0.9595531871978272</v>
      </c>
      <c r="T1922" s="3" t="n">
        <v>-0.7081063859006191</v>
      </c>
      <c r="U1922" s="3" t="n">
        <v>-0.8454680810583398</v>
      </c>
      <c r="V1922" s="3" t="n">
        <v>-0.6750000017754575</v>
      </c>
      <c r="W1922" s="3" t="n">
        <v>-0.4799574455048176</v>
      </c>
      <c r="X1922" s="3" t="n">
        <v>-0.9571489362006492</v>
      </c>
      <c r="Y1922" s="3" t="n">
        <v>-0.7816170251115839</v>
      </c>
      <c r="Z1922" s="3" t="n">
        <v>-0.9595531871978272</v>
      </c>
      <c r="AA1922" s="3" t="n">
        <v>-0.9595531871978272</v>
      </c>
      <c r="AB1922" s="3" t="n">
        <v>-0.9571489362006492</v>
      </c>
      <c r="AC1922" s="3" t="n">
        <v>-1.025723396463597</v>
      </c>
      <c r="AD1922" s="3" t="n">
        <v>-0.8454680810583398</v>
      </c>
      <c r="AE1922" s="3" t="n">
        <v>-0.8454680810583398</v>
      </c>
    </row>
    <row r="1923">
      <c r="A1923" s="3" t="inlineStr">
        <is>
          <t>SMR.distn.dec.ove.mean.6</t>
        </is>
      </c>
      <c r="B1923" s="3" t="inlineStr">
        <is>
          <t>SMR</t>
        </is>
      </c>
      <c r="C1923" s="3" t="n">
        <v>2005</v>
      </c>
      <c r="D1923" s="3" t="inlineStr">
        <is>
          <t>Overall</t>
        </is>
      </c>
      <c r="E1923" s="3" t="inlineStr">
        <is>
          <t>Deciles</t>
        </is>
      </c>
      <c r="F1923" s="3" t="inlineStr">
        <is>
          <t>mean</t>
        </is>
      </c>
      <c r="G1923" s="3" t="n">
        <v>6</v>
      </c>
      <c r="H1923" s="3" t="n">
        <v>-0.7816170251115839</v>
      </c>
      <c r="I1923" s="3" t="n">
        <v>-0.7816170251115839</v>
      </c>
      <c r="J1923" s="3" t="n">
        <v>-0.8454680810583398</v>
      </c>
      <c r="K1923" s="3" t="n">
        <v>-0.8454680810583398</v>
      </c>
      <c r="L1923" s="3" t="n">
        <v>-0.7816170251115839</v>
      </c>
      <c r="M1923" s="3" t="n">
        <v>-0.7816170251115839</v>
      </c>
      <c r="N1923" s="3" t="n">
        <v>-0.7816170251115839</v>
      </c>
      <c r="O1923" s="3" t="n">
        <v>-0.7816170251115839</v>
      </c>
      <c r="P1923" s="3" t="n">
        <v>-0.7816170251115839</v>
      </c>
      <c r="Q1923" s="3" t="n">
        <v>-0.7816170251115839</v>
      </c>
      <c r="R1923" s="3" t="n">
        <v>-0.7697659489956308</v>
      </c>
      <c r="S1923" s="3" t="n">
        <v>-0.9595531871978272</v>
      </c>
      <c r="T1923" s="3" t="n">
        <v>-0.7081063859006191</v>
      </c>
      <c r="U1923" s="3" t="n">
        <v>-0.8454680810583398</v>
      </c>
      <c r="V1923" s="3" t="n">
        <v>-0.6750000017754575</v>
      </c>
      <c r="W1923" s="3" t="n">
        <v>-0.4799574455048176</v>
      </c>
      <c r="X1923" s="3" t="n">
        <v>-0.9571489362006492</v>
      </c>
      <c r="Y1923" s="3" t="n">
        <v>-0.7816170251115839</v>
      </c>
      <c r="Z1923" s="3" t="n">
        <v>-0.9595531871978272</v>
      </c>
      <c r="AA1923" s="3" t="n">
        <v>-0.9595531871978272</v>
      </c>
      <c r="AB1923" s="3" t="n">
        <v>-0.9571489362006492</v>
      </c>
      <c r="AC1923" s="3" t="n">
        <v>-1.025723396463597</v>
      </c>
      <c r="AD1923" s="3" t="n">
        <v>-0.8454680810583398</v>
      </c>
      <c r="AE1923" s="3" t="n">
        <v>-0.8454680810583398</v>
      </c>
    </row>
    <row r="1924">
      <c r="A1924" s="3" t="inlineStr">
        <is>
          <t>SMR.distn.dec.ove.mean.7</t>
        </is>
      </c>
      <c r="B1924" s="3" t="inlineStr">
        <is>
          <t>SMR</t>
        </is>
      </c>
      <c r="C1924" s="3" t="n">
        <v>2005</v>
      </c>
      <c r="D1924" s="3" t="inlineStr">
        <is>
          <t>Overall</t>
        </is>
      </c>
      <c r="E1924" s="3" t="inlineStr">
        <is>
          <t>Deciles</t>
        </is>
      </c>
      <c r="F1924" s="3" t="inlineStr">
        <is>
          <t>mean</t>
        </is>
      </c>
      <c r="G1924" s="3" t="n">
        <v>7</v>
      </c>
      <c r="H1924" s="3" t="n">
        <v>-0.7816170251115839</v>
      </c>
      <c r="I1924" s="3" t="n">
        <v>-0.7816170251115839</v>
      </c>
      <c r="J1924" s="3" t="n">
        <v>-0.8454680810583398</v>
      </c>
      <c r="K1924" s="3" t="n">
        <v>-0.8454680810583398</v>
      </c>
      <c r="L1924" s="3" t="n">
        <v>-0.7816170251115839</v>
      </c>
      <c r="M1924" s="3" t="n">
        <v>-0.7816170251115839</v>
      </c>
      <c r="N1924" s="3" t="n">
        <v>-0.7816170251115839</v>
      </c>
      <c r="O1924" s="3" t="n">
        <v>-0.7816170251115839</v>
      </c>
      <c r="P1924" s="3" t="n">
        <v>-0.7816170251115839</v>
      </c>
      <c r="Q1924" s="3" t="n">
        <v>-0.7816170251115839</v>
      </c>
      <c r="R1924" s="3" t="n">
        <v>-0.7697659489956308</v>
      </c>
      <c r="S1924" s="3" t="n">
        <v>-0.9595531871978272</v>
      </c>
      <c r="T1924" s="3" t="n">
        <v>-0.7081063859006191</v>
      </c>
      <c r="U1924" s="3" t="n">
        <v>-0.8454680810583398</v>
      </c>
      <c r="V1924" s="3" t="n">
        <v>-0.6750000017754575</v>
      </c>
      <c r="W1924" s="3" t="n">
        <v>-0.4799574455048176</v>
      </c>
      <c r="X1924" s="3" t="n">
        <v>-0.9571489362006492</v>
      </c>
      <c r="Y1924" s="3" t="n">
        <v>-0.7816170251115839</v>
      </c>
      <c r="Z1924" s="3" t="n">
        <v>-0.9595531871978272</v>
      </c>
      <c r="AA1924" s="3" t="n">
        <v>-0.9595531871978272</v>
      </c>
      <c r="AB1924" s="3" t="n">
        <v>-0.9571489362006492</v>
      </c>
      <c r="AC1924" s="3" t="n">
        <v>-1.025723396463597</v>
      </c>
      <c r="AD1924" s="3" t="n">
        <v>-0.8454680810583398</v>
      </c>
      <c r="AE1924" s="3" t="n">
        <v>-0.8454680810583398</v>
      </c>
    </row>
    <row r="1925">
      <c r="A1925" s="3" t="inlineStr">
        <is>
          <t>SMR.distn.dec.ove.mean.8</t>
        </is>
      </c>
      <c r="B1925" s="3" t="inlineStr">
        <is>
          <t>SMR</t>
        </is>
      </c>
      <c r="C1925" s="3" t="n">
        <v>2005</v>
      </c>
      <c r="D1925" s="3" t="inlineStr">
        <is>
          <t>Overall</t>
        </is>
      </c>
      <c r="E1925" s="3" t="inlineStr">
        <is>
          <t>Deciles</t>
        </is>
      </c>
      <c r="F1925" s="3" t="inlineStr">
        <is>
          <t>mean</t>
        </is>
      </c>
      <c r="G1925" s="3" t="n">
        <v>8</v>
      </c>
      <c r="H1925" s="3" t="n">
        <v>-0.7819935831617801</v>
      </c>
      <c r="I1925" s="3" t="n">
        <v>-0.7819935831617801</v>
      </c>
      <c r="J1925" s="3" t="n">
        <v>-0.8477488045996808</v>
      </c>
      <c r="K1925" s="3" t="n">
        <v>-0.8477488045996808</v>
      </c>
      <c r="L1925" s="3" t="n">
        <v>-0.7819935831617801</v>
      </c>
      <c r="M1925" s="3" t="n">
        <v>-0.7819935831617801</v>
      </c>
      <c r="N1925" s="3" t="n">
        <v>-0.7819935831617801</v>
      </c>
      <c r="O1925" s="3" t="n">
        <v>-0.7819935831617801</v>
      </c>
      <c r="P1925" s="3" t="n">
        <v>-0.7819935831617801</v>
      </c>
      <c r="Q1925" s="3" t="n">
        <v>-0.7819935831617801</v>
      </c>
      <c r="R1925" s="3" t="n">
        <v>-0.7700191178220384</v>
      </c>
      <c r="S1925" s="3" t="n">
        <v>-0.9684819490351575</v>
      </c>
      <c r="T1925" s="3" t="n">
        <v>-0.70814722142321</v>
      </c>
      <c r="U1925" s="3" t="n">
        <v>-0.8477488045996808</v>
      </c>
      <c r="V1925" s="3" t="n">
        <v>-0.6756977857427394</v>
      </c>
      <c r="W1925" s="3" t="n">
        <v>-0.4928101326556916</v>
      </c>
      <c r="X1925" s="3" t="n">
        <v>-0.9658704755154062</v>
      </c>
      <c r="Y1925" s="3" t="n">
        <v>-0.7819935831617801</v>
      </c>
      <c r="Z1925" s="3" t="n">
        <v>-0.9684819490351575</v>
      </c>
      <c r="AA1925" s="3" t="n">
        <v>-0.9684819490351575</v>
      </c>
      <c r="AB1925" s="3" t="n">
        <v>-0.9658704755154062</v>
      </c>
      <c r="AC1925" s="3" t="n">
        <v>-1.04035159628442</v>
      </c>
      <c r="AD1925" s="3" t="n">
        <v>-0.8477488045996808</v>
      </c>
      <c r="AE1925" s="3" t="n">
        <v>-0.8477488045996808</v>
      </c>
    </row>
    <row r="1926">
      <c r="A1926" s="3" t="inlineStr">
        <is>
          <t>SMR.distn.dec.ove.mean.9</t>
        </is>
      </c>
      <c r="B1926" s="3" t="inlineStr">
        <is>
          <t>SMR</t>
        </is>
      </c>
      <c r="C1926" s="3" t="n">
        <v>2005</v>
      </c>
      <c r="D1926" s="3" t="inlineStr">
        <is>
          <t>Overall</t>
        </is>
      </c>
      <c r="E1926" s="3" t="inlineStr">
        <is>
          <t>Deciles</t>
        </is>
      </c>
      <c r="F1926" s="3" t="inlineStr">
        <is>
          <t>mean</t>
        </is>
      </c>
      <c r="G1926" s="3" t="n">
        <v>9</v>
      </c>
      <c r="H1926" s="3" t="n">
        <v>-0.7819935831617801</v>
      </c>
      <c r="I1926" s="3" t="n">
        <v>-0.7819935831617801</v>
      </c>
      <c r="J1926" s="3" t="n">
        <v>-0.8477488045996808</v>
      </c>
      <c r="K1926" s="3" t="n">
        <v>-0.8477488045996808</v>
      </c>
      <c r="L1926" s="3" t="n">
        <v>-0.7819935831617801</v>
      </c>
      <c r="M1926" s="3" t="n">
        <v>-0.7819935831617801</v>
      </c>
      <c r="N1926" s="3" t="n">
        <v>-0.7819935831617801</v>
      </c>
      <c r="O1926" s="3" t="n">
        <v>-0.7819935831617801</v>
      </c>
      <c r="P1926" s="3" t="n">
        <v>-0.7819935831617801</v>
      </c>
      <c r="Q1926" s="3" t="n">
        <v>-0.7819935831617801</v>
      </c>
      <c r="R1926" s="3" t="n">
        <v>-0.7700191178220384</v>
      </c>
      <c r="S1926" s="3" t="n">
        <v>-0.9684819490351575</v>
      </c>
      <c r="T1926" s="3" t="n">
        <v>-0.70814722142321</v>
      </c>
      <c r="U1926" s="3" t="n">
        <v>-0.8477488045996808</v>
      </c>
      <c r="V1926" s="3" t="n">
        <v>-0.6756977857427394</v>
      </c>
      <c r="W1926" s="3" t="n">
        <v>-0.4928101326556916</v>
      </c>
      <c r="X1926" s="3" t="n">
        <v>-0.9658704755154062</v>
      </c>
      <c r="Y1926" s="3" t="n">
        <v>-0.7819935831617801</v>
      </c>
      <c r="Z1926" s="3" t="n">
        <v>-0.9684819490351575</v>
      </c>
      <c r="AA1926" s="3" t="n">
        <v>-0.9684819490351575</v>
      </c>
      <c r="AB1926" s="3" t="n">
        <v>-0.9658704755154062</v>
      </c>
      <c r="AC1926" s="3" t="n">
        <v>-1.04035159628442</v>
      </c>
      <c r="AD1926" s="3" t="n">
        <v>-0.8477488045996808</v>
      </c>
      <c r="AE1926" s="3" t="n">
        <v>-0.8477488045996808</v>
      </c>
    </row>
    <row r="1927">
      <c r="A1927" s="3" t="inlineStr">
        <is>
          <t>SMR.distn.dec.ove.mean.10</t>
        </is>
      </c>
      <c r="B1927" s="3" t="inlineStr">
        <is>
          <t>SMR</t>
        </is>
      </c>
      <c r="C1927" s="3" t="n">
        <v>2005</v>
      </c>
      <c r="D1927" s="3" t="inlineStr">
        <is>
          <t>Overall</t>
        </is>
      </c>
      <c r="E1927" s="3" t="inlineStr">
        <is>
          <t>Deciles</t>
        </is>
      </c>
      <c r="F1927" s="3" t="inlineStr">
        <is>
          <t>mean</t>
        </is>
      </c>
      <c r="G1927" s="3" t="n">
        <v>10</v>
      </c>
      <c r="H1927" s="3" t="n">
        <v>-0.7819935831617801</v>
      </c>
      <c r="I1927" s="3" t="n">
        <v>-0.7819935831617801</v>
      </c>
      <c r="J1927" s="3" t="n">
        <v>-0.8477488045996808</v>
      </c>
      <c r="K1927" s="3" t="n">
        <v>-0.8477488045996808</v>
      </c>
      <c r="L1927" s="3" t="n">
        <v>-0.7819935831617801</v>
      </c>
      <c r="M1927" s="3" t="n">
        <v>-0.7819935831617801</v>
      </c>
      <c r="N1927" s="3" t="n">
        <v>-0.7819935831617801</v>
      </c>
      <c r="O1927" s="3" t="n">
        <v>-0.7819935831617801</v>
      </c>
      <c r="P1927" s="3" t="n">
        <v>-0.7819935831617801</v>
      </c>
      <c r="Q1927" s="3" t="n">
        <v>-0.7819935831617801</v>
      </c>
      <c r="R1927" s="3" t="n">
        <v>-0.7700191178220384</v>
      </c>
      <c r="S1927" s="3" t="n">
        <v>-0.9684819490351575</v>
      </c>
      <c r="T1927" s="3" t="n">
        <v>-0.70814722142321</v>
      </c>
      <c r="U1927" s="3" t="n">
        <v>-0.8477488045996808</v>
      </c>
      <c r="V1927" s="3" t="n">
        <v>-0.6756977857427394</v>
      </c>
      <c r="W1927" s="3" t="n">
        <v>-0.4928101326556916</v>
      </c>
      <c r="X1927" s="3" t="n">
        <v>-0.9658704755154062</v>
      </c>
      <c r="Y1927" s="3" t="n">
        <v>-0.7819935831617801</v>
      </c>
      <c r="Z1927" s="3" t="n">
        <v>-0.9684819490351575</v>
      </c>
      <c r="AA1927" s="3" t="n">
        <v>-0.9684819490351575</v>
      </c>
      <c r="AB1927" s="3" t="n">
        <v>-0.9658704755154062</v>
      </c>
      <c r="AC1927" s="3" t="n">
        <v>-1.04035159628442</v>
      </c>
      <c r="AD1927" s="3" t="n">
        <v>-0.8477488045996808</v>
      </c>
      <c r="AE1927" s="3" t="n">
        <v>-0.8477488045996808</v>
      </c>
    </row>
    <row r="1928">
      <c r="A1928" s="3" t="inlineStr">
        <is>
          <t>SMR.distn.bkt.ove.mean.9999</t>
        </is>
      </c>
      <c r="B1928" s="3" t="inlineStr">
        <is>
          <t>SMR</t>
        </is>
      </c>
      <c r="C1928" s="3" t="n">
        <v>2005</v>
      </c>
      <c r="D1928" s="3" t="inlineStr">
        <is>
          <t>Overall</t>
        </is>
      </c>
      <c r="E1928" s="3" t="inlineStr">
        <is>
          <t>Basket</t>
        </is>
      </c>
      <c r="F1928" s="3" t="inlineStr">
        <is>
          <t>mean</t>
        </is>
      </c>
      <c r="G1928" s="3" t="n">
        <v>9999</v>
      </c>
      <c r="H1928" s="3" t="n">
        <v>-0.7836013613863194</v>
      </c>
      <c r="I1928" s="3" t="n">
        <v>-0.7836013613863194</v>
      </c>
      <c r="J1928" s="3" t="n">
        <v>-0.8590307616172953</v>
      </c>
      <c r="K1928" s="3" t="n">
        <v>-0.8590307616172953</v>
      </c>
      <c r="L1928" s="3" t="n">
        <v>-0.7836013613863194</v>
      </c>
      <c r="M1928" s="3" t="n">
        <v>-0.7836013613863194</v>
      </c>
      <c r="N1928" s="3" t="n">
        <v>-0.7836013613863194</v>
      </c>
      <c r="O1928" s="3" t="n">
        <v>-0.7836013613863194</v>
      </c>
      <c r="P1928" s="3" t="n">
        <v>-0.7836013613863194</v>
      </c>
      <c r="Q1928" s="3" t="n">
        <v>-0.7836013613863194</v>
      </c>
      <c r="R1928" s="3" t="n">
        <v>-0.7708828220976159</v>
      </c>
      <c r="S1928" s="3" t="n">
        <v>-1.097007578991829</v>
      </c>
      <c r="T1928" s="3" t="n">
        <v>-0.7085544974245923</v>
      </c>
      <c r="U1928" s="3" t="n">
        <v>-0.8590307616172953</v>
      </c>
      <c r="V1928" s="3" t="n">
        <v>-0.6772896647453308</v>
      </c>
      <c r="W1928" s="3" t="n">
        <v>-0.5109122699879586</v>
      </c>
      <c r="X1928" s="3" t="n">
        <v>-1.079493910708326</v>
      </c>
      <c r="Y1928" s="3" t="n">
        <v>-0.7836013613863194</v>
      </c>
      <c r="Z1928" s="3" t="n">
        <v>-1.097007578991829</v>
      </c>
      <c r="AA1928" s="3" t="n">
        <v>-1.097007578991829</v>
      </c>
      <c r="AB1928" s="3" t="n">
        <v>-1.079493910708326</v>
      </c>
      <c r="AC1928" s="3" t="n">
        <v>-1.359592239907447</v>
      </c>
      <c r="AD1928" s="3" t="n">
        <v>-0.8590307616172953</v>
      </c>
      <c r="AE1928" s="3" t="n">
        <v>-0.8590307616172953</v>
      </c>
    </row>
    <row r="1929">
      <c r="A1929" s="3" t="inlineStr">
        <is>
          <t>SOM.distn.dec.ove.mean.1</t>
        </is>
      </c>
      <c r="B1929" s="3" t="inlineStr">
        <is>
          <t>SOM</t>
        </is>
      </c>
      <c r="C1929" s="3" t="n">
        <v>2005</v>
      </c>
      <c r="D1929" s="3" t="inlineStr">
        <is>
          <t>Overall</t>
        </is>
      </c>
      <c r="E1929" s="3" t="inlineStr">
        <is>
          <t>Deciles</t>
        </is>
      </c>
      <c r="F1929" s="3" t="inlineStr">
        <is>
          <t>mean</t>
        </is>
      </c>
      <c r="G1929" s="3" t="n">
        <v>1</v>
      </c>
      <c r="H1929" s="3" t="n">
        <v>-0.7974043921990828</v>
      </c>
      <c r="I1929" s="3" t="n">
        <v>-0.7974043921990828</v>
      </c>
      <c r="J1929" s="3" t="n">
        <v>-0.9631780900738456</v>
      </c>
      <c r="K1929" s="3" t="n">
        <v>-0.9631780900738456</v>
      </c>
      <c r="L1929" s="3" t="n">
        <v>-0.7974043921990828</v>
      </c>
      <c r="M1929" s="3" t="n">
        <v>-0.7974043921990828</v>
      </c>
      <c r="N1929" s="3" t="n">
        <v>-0.7974043921990828</v>
      </c>
      <c r="O1929" s="3" t="n">
        <v>-0.7974043921990828</v>
      </c>
      <c r="P1929" s="3" t="n">
        <v>-0.7974043921990828</v>
      </c>
      <c r="Q1929" s="3" t="n">
        <v>-0.7974043921990828</v>
      </c>
      <c r="R1929" s="3" t="n">
        <v>-0.7785389450463381</v>
      </c>
      <c r="S1929" s="3" t="n">
        <v>-2.848487377166748</v>
      </c>
      <c r="T1929" s="3" t="n">
        <v>-0.7115022106604143</v>
      </c>
      <c r="U1929" s="3" t="n">
        <v>-0.9631780900738456</v>
      </c>
      <c r="V1929" s="3" t="n">
        <v>-0.6916698109019886</v>
      </c>
      <c r="W1929" s="3" t="n">
        <v>-0.7076836770231073</v>
      </c>
      <c r="X1929" s="3" t="n">
        <v>-2.538359203121879</v>
      </c>
      <c r="Y1929" s="3" t="n">
        <v>-0.7974043921990828</v>
      </c>
      <c r="Z1929" s="3" t="n">
        <v>-2.848487377166748</v>
      </c>
      <c r="AA1929" s="3" t="n">
        <v>-2.848487377166748</v>
      </c>
      <c r="AB1929" s="3" t="n">
        <v>-2.538359203121879</v>
      </c>
      <c r="AC1929" s="3" t="n">
        <v>-6.556386882608587</v>
      </c>
      <c r="AD1929" s="3" t="n">
        <v>-0.9631780900738456</v>
      </c>
      <c r="AE1929" s="3" t="n">
        <v>-0.9631780900738456</v>
      </c>
    </row>
    <row r="1930">
      <c r="A1930" s="3" t="inlineStr">
        <is>
          <t>SOM.distn.dec.ove.mean.2</t>
        </is>
      </c>
      <c r="B1930" s="3" t="inlineStr">
        <is>
          <t>SOM</t>
        </is>
      </c>
      <c r="C1930" s="3" t="n">
        <v>2005</v>
      </c>
      <c r="D1930" s="3" t="inlineStr">
        <is>
          <t>Overall</t>
        </is>
      </c>
      <c r="E1930" s="3" t="inlineStr">
        <is>
          <t>Deciles</t>
        </is>
      </c>
      <c r="F1930" s="3" t="inlineStr">
        <is>
          <t>mean</t>
        </is>
      </c>
      <c r="G1930" s="3" t="n">
        <v>2</v>
      </c>
      <c r="H1930" s="3" t="n">
        <v>-0.7974043921990828</v>
      </c>
      <c r="I1930" s="3" t="n">
        <v>-0.7974043921990828</v>
      </c>
      <c r="J1930" s="3" t="n">
        <v>-0.9631780900738456</v>
      </c>
      <c r="K1930" s="3" t="n">
        <v>-0.9631780900738456</v>
      </c>
      <c r="L1930" s="3" t="n">
        <v>-0.7974043921990828</v>
      </c>
      <c r="M1930" s="3" t="n">
        <v>-0.7974043921990828</v>
      </c>
      <c r="N1930" s="3" t="n">
        <v>-0.7974043921990828</v>
      </c>
      <c r="O1930" s="3" t="n">
        <v>-0.7974043921990828</v>
      </c>
      <c r="P1930" s="3" t="n">
        <v>-0.7974043921990828</v>
      </c>
      <c r="Q1930" s="3" t="n">
        <v>-0.7974043921990828</v>
      </c>
      <c r="R1930" s="3" t="n">
        <v>-0.7785389450463381</v>
      </c>
      <c r="S1930" s="3" t="n">
        <v>-2.848487377166748</v>
      </c>
      <c r="T1930" s="3" t="n">
        <v>-0.7115022106604143</v>
      </c>
      <c r="U1930" s="3" t="n">
        <v>-0.9631780900738456</v>
      </c>
      <c r="V1930" s="3" t="n">
        <v>-0.6916698109019886</v>
      </c>
      <c r="W1930" s="3" t="n">
        <v>-0.7076836770231073</v>
      </c>
      <c r="X1930" s="3" t="n">
        <v>-2.538359203121879</v>
      </c>
      <c r="Y1930" s="3" t="n">
        <v>-0.7974043921990828</v>
      </c>
      <c r="Z1930" s="3" t="n">
        <v>-2.848487377166748</v>
      </c>
      <c r="AA1930" s="3" t="n">
        <v>-2.848487377166748</v>
      </c>
      <c r="AB1930" s="3" t="n">
        <v>-2.538359203121879</v>
      </c>
      <c r="AC1930" s="3" t="n">
        <v>-6.556386882608587</v>
      </c>
      <c r="AD1930" s="3" t="n">
        <v>-0.9631780900738456</v>
      </c>
      <c r="AE1930" s="3" t="n">
        <v>-0.9631780900738456</v>
      </c>
    </row>
    <row r="1931">
      <c r="A1931" s="3" t="inlineStr">
        <is>
          <t>SOM.distn.dec.ove.mean.3</t>
        </is>
      </c>
      <c r="B1931" s="3" t="inlineStr">
        <is>
          <t>SOM</t>
        </is>
      </c>
      <c r="C1931" s="3" t="n">
        <v>2005</v>
      </c>
      <c r="D1931" s="3" t="inlineStr">
        <is>
          <t>Overall</t>
        </is>
      </c>
      <c r="E1931" s="3" t="inlineStr">
        <is>
          <t>Deciles</t>
        </is>
      </c>
      <c r="F1931" s="3" t="inlineStr">
        <is>
          <t>mean</t>
        </is>
      </c>
      <c r="G1931" s="3" t="n">
        <v>3</v>
      </c>
      <c r="H1931" s="3" t="n">
        <v>-0.7974043921990828</v>
      </c>
      <c r="I1931" s="3" t="n">
        <v>-0.7974043921990828</v>
      </c>
      <c r="J1931" s="3" t="n">
        <v>-0.9631780900738456</v>
      </c>
      <c r="K1931" s="3" t="n">
        <v>-0.9631780900738456</v>
      </c>
      <c r="L1931" s="3" t="n">
        <v>-0.7974043921990828</v>
      </c>
      <c r="M1931" s="3" t="n">
        <v>-0.7974043921990828</v>
      </c>
      <c r="N1931" s="3" t="n">
        <v>-0.7974043921990828</v>
      </c>
      <c r="O1931" s="3" t="n">
        <v>-0.7974043921990828</v>
      </c>
      <c r="P1931" s="3" t="n">
        <v>-0.7974043921990828</v>
      </c>
      <c r="Q1931" s="3" t="n">
        <v>-0.7974043921990828</v>
      </c>
      <c r="R1931" s="3" t="n">
        <v>-0.7785389450463381</v>
      </c>
      <c r="S1931" s="3" t="n">
        <v>-2.848487377166748</v>
      </c>
      <c r="T1931" s="3" t="n">
        <v>-0.7115022106604143</v>
      </c>
      <c r="U1931" s="3" t="n">
        <v>-0.9631780900738456</v>
      </c>
      <c r="V1931" s="3" t="n">
        <v>-0.6916698109019886</v>
      </c>
      <c r="W1931" s="3" t="n">
        <v>-0.7076836770231073</v>
      </c>
      <c r="X1931" s="3" t="n">
        <v>-2.538359203121879</v>
      </c>
      <c r="Y1931" s="3" t="n">
        <v>-0.7974043921990828</v>
      </c>
      <c r="Z1931" s="3" t="n">
        <v>-2.848487377166748</v>
      </c>
      <c r="AA1931" s="3" t="n">
        <v>-2.848487377166748</v>
      </c>
      <c r="AB1931" s="3" t="n">
        <v>-2.538359203121879</v>
      </c>
      <c r="AC1931" s="3" t="n">
        <v>-6.556386882608587</v>
      </c>
      <c r="AD1931" s="3" t="n">
        <v>-0.9631780900738456</v>
      </c>
      <c r="AE1931" s="3" t="n">
        <v>-0.9631780900738456</v>
      </c>
    </row>
    <row r="1932">
      <c r="A1932" s="3" t="inlineStr">
        <is>
          <t>SOM.distn.dec.ove.mean.4</t>
        </is>
      </c>
      <c r="B1932" s="3" t="inlineStr">
        <is>
          <t>SOM</t>
        </is>
      </c>
      <c r="C1932" s="3" t="n">
        <v>2005</v>
      </c>
      <c r="D1932" s="3" t="inlineStr">
        <is>
          <t>Overall</t>
        </is>
      </c>
      <c r="E1932" s="3" t="inlineStr">
        <is>
          <t>Deciles</t>
        </is>
      </c>
      <c r="F1932" s="3" t="inlineStr">
        <is>
          <t>mean</t>
        </is>
      </c>
      <c r="G1932" s="3" t="n">
        <v>4</v>
      </c>
      <c r="H1932" s="3" t="n">
        <v>-0.7910909165035594</v>
      </c>
      <c r="I1932" s="3" t="n">
        <v>-0.7910909165035594</v>
      </c>
      <c r="J1932" s="3" t="n">
        <v>-0.9166363667358052</v>
      </c>
      <c r="K1932" s="3" t="n">
        <v>-0.9166363667358052</v>
      </c>
      <c r="L1932" s="3" t="n">
        <v>-0.7910909165035594</v>
      </c>
      <c r="M1932" s="3" t="n">
        <v>-0.7910909165035594</v>
      </c>
      <c r="N1932" s="3" t="n">
        <v>-0.7910909165035594</v>
      </c>
      <c r="O1932" s="3" t="n">
        <v>-0.7910909165035594</v>
      </c>
      <c r="P1932" s="3" t="n">
        <v>-0.7910909165035594</v>
      </c>
      <c r="Q1932" s="3" t="n">
        <v>-0.7910909165035594</v>
      </c>
      <c r="R1932" s="3" t="n">
        <v>-0.7750454463741996</v>
      </c>
      <c r="S1932" s="3" t="n">
        <v>-1.940136329694228</v>
      </c>
      <c r="T1932" s="3" t="n">
        <v>-0.7100454406304793</v>
      </c>
      <c r="U1932" s="3" t="n">
        <v>-0.9166363667358052</v>
      </c>
      <c r="V1932" s="3" t="n">
        <v>-0.6846363652836193</v>
      </c>
      <c r="W1932" s="3" t="n">
        <v>-0.5955909084190022</v>
      </c>
      <c r="X1932" s="3" t="n">
        <v>-1.791409107771787</v>
      </c>
      <c r="Y1932" s="3" t="n">
        <v>-0.7910909165035594</v>
      </c>
      <c r="Z1932" s="3" t="n">
        <v>-1.940136329694228</v>
      </c>
      <c r="AA1932" s="3" t="n">
        <v>-1.940136329694228</v>
      </c>
      <c r="AB1932" s="3" t="n">
        <v>-1.791409107771787</v>
      </c>
      <c r="AC1932" s="3" t="n">
        <v>-3.166227286512202</v>
      </c>
      <c r="AD1932" s="3" t="n">
        <v>-0.9166363667358052</v>
      </c>
      <c r="AE1932" s="3" t="n">
        <v>-0.9166363667358052</v>
      </c>
    </row>
    <row r="1933">
      <c r="A1933" s="3" t="inlineStr">
        <is>
          <t>SOM.distn.dec.ove.mean.5</t>
        </is>
      </c>
      <c r="B1933" s="3" t="inlineStr">
        <is>
          <t>SOM</t>
        </is>
      </c>
      <c r="C1933" s="3" t="n">
        <v>2005</v>
      </c>
      <c r="D1933" s="3" t="inlineStr">
        <is>
          <t>Overall</t>
        </is>
      </c>
      <c r="E1933" s="3" t="inlineStr">
        <is>
          <t>Deciles</t>
        </is>
      </c>
      <c r="F1933" s="3" t="inlineStr">
        <is>
          <t>mean</t>
        </is>
      </c>
      <c r="G1933" s="3" t="n">
        <v>5</v>
      </c>
      <c r="H1933" s="3" t="n">
        <v>-0.7910909165035594</v>
      </c>
      <c r="I1933" s="3" t="n">
        <v>-0.7910909165035594</v>
      </c>
      <c r="J1933" s="3" t="n">
        <v>-0.9166363667358052</v>
      </c>
      <c r="K1933" s="3" t="n">
        <v>-0.9166363667358052</v>
      </c>
      <c r="L1933" s="3" t="n">
        <v>-0.7910909165035594</v>
      </c>
      <c r="M1933" s="3" t="n">
        <v>-0.7910909165035594</v>
      </c>
      <c r="N1933" s="3" t="n">
        <v>-0.7910909165035594</v>
      </c>
      <c r="O1933" s="3" t="n">
        <v>-0.7910909165035594</v>
      </c>
      <c r="P1933" s="3" t="n">
        <v>-0.7910909165035594</v>
      </c>
      <c r="Q1933" s="3" t="n">
        <v>-0.7910909165035594</v>
      </c>
      <c r="R1933" s="3" t="n">
        <v>-0.7750454463741996</v>
      </c>
      <c r="S1933" s="3" t="n">
        <v>-1.940136329694228</v>
      </c>
      <c r="T1933" s="3" t="n">
        <v>-0.7100454406304793</v>
      </c>
      <c r="U1933" s="3" t="n">
        <v>-0.9166363667358052</v>
      </c>
      <c r="V1933" s="3" t="n">
        <v>-0.6846363652836193</v>
      </c>
      <c r="W1933" s="3" t="n">
        <v>-0.5955909084190022</v>
      </c>
      <c r="X1933" s="3" t="n">
        <v>-1.791409107771787</v>
      </c>
      <c r="Y1933" s="3" t="n">
        <v>-0.7910909165035594</v>
      </c>
      <c r="Z1933" s="3" t="n">
        <v>-1.940136329694228</v>
      </c>
      <c r="AA1933" s="3" t="n">
        <v>-1.940136329694228</v>
      </c>
      <c r="AB1933" s="3" t="n">
        <v>-1.791409107771787</v>
      </c>
      <c r="AC1933" s="3" t="n">
        <v>-3.166227286512202</v>
      </c>
      <c r="AD1933" s="3" t="n">
        <v>-0.9166363667358052</v>
      </c>
      <c r="AE1933" s="3" t="n">
        <v>-0.9166363667358052</v>
      </c>
    </row>
    <row r="1934">
      <c r="A1934" s="3" t="inlineStr">
        <is>
          <t>SOM.distn.dec.ove.mean.6</t>
        </is>
      </c>
      <c r="B1934" s="3" t="inlineStr">
        <is>
          <t>SOM</t>
        </is>
      </c>
      <c r="C1934" s="3" t="n">
        <v>2005</v>
      </c>
      <c r="D1934" s="3" t="inlineStr">
        <is>
          <t>Overall</t>
        </is>
      </c>
      <c r="E1934" s="3" t="inlineStr">
        <is>
          <t>Deciles</t>
        </is>
      </c>
      <c r="F1934" s="3" t="inlineStr">
        <is>
          <t>mean</t>
        </is>
      </c>
      <c r="G1934" s="3" t="n">
        <v>6</v>
      </c>
      <c r="H1934" s="3" t="n">
        <v>-0.7910909165035594</v>
      </c>
      <c r="I1934" s="3" t="n">
        <v>-0.7910909165035594</v>
      </c>
      <c r="J1934" s="3" t="n">
        <v>-0.9166363667358052</v>
      </c>
      <c r="K1934" s="3" t="n">
        <v>-0.9166363667358052</v>
      </c>
      <c r="L1934" s="3" t="n">
        <v>-0.7910909165035594</v>
      </c>
      <c r="M1934" s="3" t="n">
        <v>-0.7910909165035594</v>
      </c>
      <c r="N1934" s="3" t="n">
        <v>-0.7910909165035594</v>
      </c>
      <c r="O1934" s="3" t="n">
        <v>-0.7910909165035594</v>
      </c>
      <c r="P1934" s="3" t="n">
        <v>-0.7910909165035594</v>
      </c>
      <c r="Q1934" s="3" t="n">
        <v>-0.7910909165035594</v>
      </c>
      <c r="R1934" s="3" t="n">
        <v>-0.7750454463741996</v>
      </c>
      <c r="S1934" s="3" t="n">
        <v>-1.940136329694228</v>
      </c>
      <c r="T1934" s="3" t="n">
        <v>-0.7100454406304793</v>
      </c>
      <c r="U1934" s="3" t="n">
        <v>-0.9166363667358052</v>
      </c>
      <c r="V1934" s="3" t="n">
        <v>-0.6846363652836193</v>
      </c>
      <c r="W1934" s="3" t="n">
        <v>-0.5955909084190022</v>
      </c>
      <c r="X1934" s="3" t="n">
        <v>-1.791409107771787</v>
      </c>
      <c r="Y1934" s="3" t="n">
        <v>-0.7910909165035594</v>
      </c>
      <c r="Z1934" s="3" t="n">
        <v>-1.940136329694228</v>
      </c>
      <c r="AA1934" s="3" t="n">
        <v>-1.940136329694228</v>
      </c>
      <c r="AB1934" s="3" t="n">
        <v>-1.791409107771787</v>
      </c>
      <c r="AC1934" s="3" t="n">
        <v>-3.166227286512202</v>
      </c>
      <c r="AD1934" s="3" t="n">
        <v>-0.9166363667358052</v>
      </c>
      <c r="AE1934" s="3" t="n">
        <v>-0.9166363667358052</v>
      </c>
    </row>
    <row r="1935">
      <c r="A1935" s="3" t="inlineStr">
        <is>
          <t>SOM.distn.dec.ove.mean.7</t>
        </is>
      </c>
      <c r="B1935" s="3" t="inlineStr">
        <is>
          <t>SOM</t>
        </is>
      </c>
      <c r="C1935" s="3" t="n">
        <v>2005</v>
      </c>
      <c r="D1935" s="3" t="inlineStr">
        <is>
          <t>Overall</t>
        </is>
      </c>
      <c r="E1935" s="3" t="inlineStr">
        <is>
          <t>Deciles</t>
        </is>
      </c>
      <c r="F1935" s="3" t="inlineStr">
        <is>
          <t>mean</t>
        </is>
      </c>
      <c r="G1935" s="3" t="n">
        <v>7</v>
      </c>
      <c r="H1935" s="3" t="n">
        <v>-0.7910909165035594</v>
      </c>
      <c r="I1935" s="3" t="n">
        <v>-0.7910909165035594</v>
      </c>
      <c r="J1935" s="3" t="n">
        <v>-0.9166363667358052</v>
      </c>
      <c r="K1935" s="3" t="n">
        <v>-0.9166363667358052</v>
      </c>
      <c r="L1935" s="3" t="n">
        <v>-0.7910909165035594</v>
      </c>
      <c r="M1935" s="3" t="n">
        <v>-0.7910909165035594</v>
      </c>
      <c r="N1935" s="3" t="n">
        <v>-0.7910909165035594</v>
      </c>
      <c r="O1935" s="3" t="n">
        <v>-0.7910909165035594</v>
      </c>
      <c r="P1935" s="3" t="n">
        <v>-0.7910909165035594</v>
      </c>
      <c r="Q1935" s="3" t="n">
        <v>-0.7910909165035594</v>
      </c>
      <c r="R1935" s="3" t="n">
        <v>-0.7750454463741996</v>
      </c>
      <c r="S1935" s="3" t="n">
        <v>-1.940136329694228</v>
      </c>
      <c r="T1935" s="3" t="n">
        <v>-0.7100454406304793</v>
      </c>
      <c r="U1935" s="3" t="n">
        <v>-0.9166363667358052</v>
      </c>
      <c r="V1935" s="3" t="n">
        <v>-0.6846363652836193</v>
      </c>
      <c r="W1935" s="3" t="n">
        <v>-0.5955909084190022</v>
      </c>
      <c r="X1935" s="3" t="n">
        <v>-1.791409107771787</v>
      </c>
      <c r="Y1935" s="3" t="n">
        <v>-0.7910909165035594</v>
      </c>
      <c r="Z1935" s="3" t="n">
        <v>-1.940136329694228</v>
      </c>
      <c r="AA1935" s="3" t="n">
        <v>-1.940136329694228</v>
      </c>
      <c r="AB1935" s="3" t="n">
        <v>-1.791409107771787</v>
      </c>
      <c r="AC1935" s="3" t="n">
        <v>-3.166227286512202</v>
      </c>
      <c r="AD1935" s="3" t="n">
        <v>-0.9166363667358052</v>
      </c>
      <c r="AE1935" s="3" t="n">
        <v>-0.9166363667358052</v>
      </c>
    </row>
    <row r="1936">
      <c r="A1936" s="3" t="inlineStr">
        <is>
          <t>SOM.distn.dec.ove.mean.8</t>
        </is>
      </c>
      <c r="B1936" s="3" t="inlineStr">
        <is>
          <t>SOM</t>
        </is>
      </c>
      <c r="C1936" s="3" t="n">
        <v>2005</v>
      </c>
      <c r="D1936" s="3" t="inlineStr">
        <is>
          <t>Overall</t>
        </is>
      </c>
      <c r="E1936" s="3" t="inlineStr">
        <is>
          <t>Deciles</t>
        </is>
      </c>
      <c r="F1936" s="3" t="inlineStr">
        <is>
          <t>mean</t>
        </is>
      </c>
      <c r="G1936" s="3" t="n">
        <v>8</v>
      </c>
      <c r="H1936" s="3" t="n">
        <v>-0.7914720340208574</v>
      </c>
      <c r="I1936" s="3" t="n">
        <v>-0.7914720340208574</v>
      </c>
      <c r="J1936" s="3" t="n">
        <v>-0.9191090735522184</v>
      </c>
      <c r="K1936" s="3" t="n">
        <v>-0.9191090735522184</v>
      </c>
      <c r="L1936" s="3" t="n">
        <v>-0.7914720340208574</v>
      </c>
      <c r="M1936" s="3" t="n">
        <v>-0.7914720340208574</v>
      </c>
      <c r="N1936" s="3" t="n">
        <v>-0.7914720340208574</v>
      </c>
      <c r="O1936" s="3" t="n">
        <v>-0.7914720340208574</v>
      </c>
      <c r="P1936" s="3" t="n">
        <v>-0.7914720340208574</v>
      </c>
      <c r="Q1936" s="3" t="n">
        <v>-0.7914720340208574</v>
      </c>
      <c r="R1936" s="3" t="n">
        <v>-0.7753003591840918</v>
      </c>
      <c r="S1936" s="3" t="n">
        <v>-1.958189584992149</v>
      </c>
      <c r="T1936" s="3" t="n">
        <v>-0.7100863836028359</v>
      </c>
      <c r="U1936" s="3" t="n">
        <v>-0.9191090735522184</v>
      </c>
      <c r="V1936" s="3" t="n">
        <v>-0.6853441162542864</v>
      </c>
      <c r="W1936" s="3" t="n">
        <v>-0.6115401116284457</v>
      </c>
      <c r="X1936" s="3" t="n">
        <v>-1.807732414115559</v>
      </c>
      <c r="Y1936" s="3" t="n">
        <v>-0.7914720340208574</v>
      </c>
      <c r="Z1936" s="3" t="n">
        <v>-1.958189584992149</v>
      </c>
      <c r="AA1936" s="3" t="n">
        <v>-1.958189584992149</v>
      </c>
      <c r="AB1936" s="3" t="n">
        <v>-1.807732414115559</v>
      </c>
      <c r="AC1936" s="3" t="n">
        <v>-3.211381879719821</v>
      </c>
      <c r="AD1936" s="3" t="n">
        <v>-0.9191090735522184</v>
      </c>
      <c r="AE1936" s="3" t="n">
        <v>-0.9191090735522184</v>
      </c>
    </row>
    <row r="1937">
      <c r="A1937" s="3" t="inlineStr">
        <is>
          <t>SOM.distn.dec.ove.mean.9</t>
        </is>
      </c>
      <c r="B1937" s="3" t="inlineStr">
        <is>
          <t>SOM</t>
        </is>
      </c>
      <c r="C1937" s="3" t="n">
        <v>2005</v>
      </c>
      <c r="D1937" s="3" t="inlineStr">
        <is>
          <t>Overall</t>
        </is>
      </c>
      <c r="E1937" s="3" t="inlineStr">
        <is>
          <t>Deciles</t>
        </is>
      </c>
      <c r="F1937" s="3" t="inlineStr">
        <is>
          <t>mean</t>
        </is>
      </c>
      <c r="G1937" s="3" t="n">
        <v>9</v>
      </c>
      <c r="H1937" s="3" t="n">
        <v>-0.7914720340208574</v>
      </c>
      <c r="I1937" s="3" t="n">
        <v>-0.7914720340208574</v>
      </c>
      <c r="J1937" s="3" t="n">
        <v>-0.9191090735522184</v>
      </c>
      <c r="K1937" s="3" t="n">
        <v>-0.9191090735522184</v>
      </c>
      <c r="L1937" s="3" t="n">
        <v>-0.7914720340208574</v>
      </c>
      <c r="M1937" s="3" t="n">
        <v>-0.7914720340208574</v>
      </c>
      <c r="N1937" s="3" t="n">
        <v>-0.7914720340208574</v>
      </c>
      <c r="O1937" s="3" t="n">
        <v>-0.7914720340208574</v>
      </c>
      <c r="P1937" s="3" t="n">
        <v>-0.7914720340208574</v>
      </c>
      <c r="Q1937" s="3" t="n">
        <v>-0.7914720340208574</v>
      </c>
      <c r="R1937" s="3" t="n">
        <v>-0.7753003591840918</v>
      </c>
      <c r="S1937" s="3" t="n">
        <v>-1.958189584992149</v>
      </c>
      <c r="T1937" s="3" t="n">
        <v>-0.7100863836028359</v>
      </c>
      <c r="U1937" s="3" t="n">
        <v>-0.9191090735522184</v>
      </c>
      <c r="V1937" s="3" t="n">
        <v>-0.6853441162542864</v>
      </c>
      <c r="W1937" s="3" t="n">
        <v>-0.6115401116284457</v>
      </c>
      <c r="X1937" s="3" t="n">
        <v>-1.807732414115559</v>
      </c>
      <c r="Y1937" s="3" t="n">
        <v>-0.7914720340208574</v>
      </c>
      <c r="Z1937" s="3" t="n">
        <v>-1.958189584992149</v>
      </c>
      <c r="AA1937" s="3" t="n">
        <v>-1.958189584992149</v>
      </c>
      <c r="AB1937" s="3" t="n">
        <v>-1.807732414115559</v>
      </c>
      <c r="AC1937" s="3" t="n">
        <v>-3.211381879719821</v>
      </c>
      <c r="AD1937" s="3" t="n">
        <v>-0.9191090735522184</v>
      </c>
      <c r="AE1937" s="3" t="n">
        <v>-0.9191090735522184</v>
      </c>
    </row>
    <row r="1938">
      <c r="A1938" s="3" t="inlineStr">
        <is>
          <t>SOM.distn.dec.ove.mean.10</t>
        </is>
      </c>
      <c r="B1938" s="3" t="inlineStr">
        <is>
          <t>SOM</t>
        </is>
      </c>
      <c r="C1938" s="3" t="n">
        <v>2005</v>
      </c>
      <c r="D1938" s="3" t="inlineStr">
        <is>
          <t>Overall</t>
        </is>
      </c>
      <c r="E1938" s="3" t="inlineStr">
        <is>
          <t>Deciles</t>
        </is>
      </c>
      <c r="F1938" s="3" t="inlineStr">
        <is>
          <t>mean</t>
        </is>
      </c>
      <c r="G1938" s="3" t="n">
        <v>10</v>
      </c>
      <c r="H1938" s="3" t="n">
        <v>-0.7914720340208574</v>
      </c>
      <c r="I1938" s="3" t="n">
        <v>-0.7914720340208574</v>
      </c>
      <c r="J1938" s="3" t="n">
        <v>-0.9191090735522184</v>
      </c>
      <c r="K1938" s="3" t="n">
        <v>-0.9191090735522184</v>
      </c>
      <c r="L1938" s="3" t="n">
        <v>-0.7914720340208574</v>
      </c>
      <c r="M1938" s="3" t="n">
        <v>-0.7914720340208574</v>
      </c>
      <c r="N1938" s="3" t="n">
        <v>-0.7914720340208574</v>
      </c>
      <c r="O1938" s="3" t="n">
        <v>-0.7914720340208574</v>
      </c>
      <c r="P1938" s="3" t="n">
        <v>-0.7914720340208574</v>
      </c>
      <c r="Q1938" s="3" t="n">
        <v>-0.7914720340208574</v>
      </c>
      <c r="R1938" s="3" t="n">
        <v>-0.7753003591840918</v>
      </c>
      <c r="S1938" s="3" t="n">
        <v>-1.958189584992149</v>
      </c>
      <c r="T1938" s="3" t="n">
        <v>-0.7100863836028359</v>
      </c>
      <c r="U1938" s="3" t="n">
        <v>-0.9191090735522184</v>
      </c>
      <c r="V1938" s="3" t="n">
        <v>-0.6853441162542864</v>
      </c>
      <c r="W1938" s="3" t="n">
        <v>-0.6115401116284457</v>
      </c>
      <c r="X1938" s="3" t="n">
        <v>-1.807732414115559</v>
      </c>
      <c r="Y1938" s="3" t="n">
        <v>-0.7914720340208574</v>
      </c>
      <c r="Z1938" s="3" t="n">
        <v>-1.958189584992149</v>
      </c>
      <c r="AA1938" s="3" t="n">
        <v>-1.958189584992149</v>
      </c>
      <c r="AB1938" s="3" t="n">
        <v>-1.807732414115559</v>
      </c>
      <c r="AC1938" s="3" t="n">
        <v>-3.211381879719821</v>
      </c>
      <c r="AD1938" s="3" t="n">
        <v>-0.9191090735522184</v>
      </c>
      <c r="AE1938" s="3" t="n">
        <v>-0.9191090735522184</v>
      </c>
    </row>
    <row r="1939">
      <c r="A1939" s="3" t="inlineStr">
        <is>
          <t>SOM.distn.bkt.ove.mean.9999</t>
        </is>
      </c>
      <c r="B1939" s="3" t="inlineStr">
        <is>
          <t>SOM</t>
        </is>
      </c>
      <c r="C1939" s="3" t="n">
        <v>2005</v>
      </c>
      <c r="D1939" s="3" t="inlineStr">
        <is>
          <t>Overall</t>
        </is>
      </c>
      <c r="E1939" s="3" t="inlineStr">
        <is>
          <t>Basket</t>
        </is>
      </c>
      <c r="F1939" s="3" t="inlineStr">
        <is>
          <t>mean</t>
        </is>
      </c>
      <c r="G1939" s="3" t="n">
        <v>9999</v>
      </c>
      <c r="H1939" s="3" t="n">
        <v>-0.7930992977185682</v>
      </c>
      <c r="I1939" s="3" t="n">
        <v>-0.7930992977185682</v>
      </c>
      <c r="J1939" s="3" t="n">
        <v>-0.9313406971367922</v>
      </c>
      <c r="K1939" s="3" t="n">
        <v>-0.9313406971367922</v>
      </c>
      <c r="L1939" s="3" t="n">
        <v>-0.7930992977185682</v>
      </c>
      <c r="M1939" s="3" t="n">
        <v>-0.7930992977185682</v>
      </c>
      <c r="N1939" s="3" t="n">
        <v>-0.7930992977185682</v>
      </c>
      <c r="O1939" s="3" t="n">
        <v>-0.7930992977185682</v>
      </c>
      <c r="P1939" s="3" t="n">
        <v>-0.7930992977185682</v>
      </c>
      <c r="Q1939" s="3" t="n">
        <v>-0.7930992977185682</v>
      </c>
      <c r="R1939" s="3" t="n">
        <v>-0.7761699828234586</v>
      </c>
      <c r="S1939" s="3" t="n">
        <v>-2.218057627027685</v>
      </c>
      <c r="T1939" s="3" t="n">
        <v>-0.7104947621172125</v>
      </c>
      <c r="U1939" s="3" t="n">
        <v>-0.9313406971367922</v>
      </c>
      <c r="V1939" s="3" t="n">
        <v>-0.6869587058370764</v>
      </c>
      <c r="W1939" s="3" t="n">
        <v>-0.6340034956281836</v>
      </c>
      <c r="X1939" s="3" t="n">
        <v>-2.020391117442738</v>
      </c>
      <c r="Y1939" s="3" t="n">
        <v>-0.7930992977185682</v>
      </c>
      <c r="Z1939" s="3" t="n">
        <v>-2.218057627027685</v>
      </c>
      <c r="AA1939" s="3" t="n">
        <v>-2.218057627027685</v>
      </c>
      <c r="AB1939" s="3" t="n">
        <v>-2.020391117442738</v>
      </c>
      <c r="AC1939" s="3" t="n">
        <v>-4.196821532466195</v>
      </c>
      <c r="AD1939" s="3" t="n">
        <v>-0.9313406971367922</v>
      </c>
      <c r="AE1939" s="3" t="n">
        <v>-0.9313406971367922</v>
      </c>
    </row>
    <row r="1940">
      <c r="A1940" s="3" t="inlineStr">
        <is>
          <t>SRB.distn.dec.ove.mean.1</t>
        </is>
      </c>
      <c r="B1940" s="3" t="inlineStr">
        <is>
          <t>SRB</t>
        </is>
      </c>
      <c r="C1940" s="3" t="n">
        <v>2005</v>
      </c>
      <c r="D1940" s="3" t="inlineStr">
        <is>
          <t>Overall</t>
        </is>
      </c>
      <c r="E1940" s="3" t="inlineStr">
        <is>
          <t>Deciles</t>
        </is>
      </c>
      <c r="F1940" s="3" t="inlineStr">
        <is>
          <t>mean</t>
        </is>
      </c>
      <c r="G1940" s="3" t="n">
        <v>1</v>
      </c>
      <c r="H1940" s="3" t="n">
        <v>-0.7882409691810608</v>
      </c>
      <c r="I1940" s="3" t="n">
        <v>-0.7882409691810608</v>
      </c>
      <c r="J1940" s="3" t="n">
        <v>-0.8921075463294983</v>
      </c>
      <c r="K1940" s="3" t="n">
        <v>-0.8921075463294983</v>
      </c>
      <c r="L1940" s="3" t="n">
        <v>-0.7882409691810608</v>
      </c>
      <c r="M1940" s="3" t="n">
        <v>-0.7882409691810608</v>
      </c>
      <c r="N1940" s="3" t="n">
        <v>-0.7882409691810608</v>
      </c>
      <c r="O1940" s="3" t="n">
        <v>-0.7882409691810608</v>
      </c>
      <c r="P1940" s="3" t="n">
        <v>-0.7882409691810608</v>
      </c>
      <c r="Q1940" s="3" t="n">
        <v>-0.7882409691810608</v>
      </c>
      <c r="R1940" s="3" t="n">
        <v>-0.7734707593917847</v>
      </c>
      <c r="S1940" s="3" t="n">
        <v>-1.431484580039978</v>
      </c>
      <c r="T1940" s="3" t="n">
        <v>-0.7094525694847107</v>
      </c>
      <c r="U1940" s="3" t="n">
        <v>-0.8921075463294983</v>
      </c>
      <c r="V1940" s="3" t="n">
        <v>-0.6829447150230408</v>
      </c>
      <c r="W1940" s="3" t="n">
        <v>-0.5952903628349304</v>
      </c>
      <c r="X1940" s="3" t="n">
        <v>-1.3772873878479</v>
      </c>
      <c r="Y1940" s="3" t="n">
        <v>-0.7882409691810608</v>
      </c>
      <c r="Z1940" s="3" t="n">
        <v>-1.431484580039978</v>
      </c>
      <c r="AA1940" s="3" t="n">
        <v>-1.431484580039978</v>
      </c>
      <c r="AB1940" s="3" t="n">
        <v>-1.3772873878479</v>
      </c>
      <c r="AC1940" s="3" t="n">
        <v>-2.176332235336304</v>
      </c>
      <c r="AD1940" s="3" t="n">
        <v>-0.8921075463294983</v>
      </c>
      <c r="AE1940" s="3" t="n">
        <v>-0.8921075463294983</v>
      </c>
    </row>
    <row r="1941">
      <c r="A1941" s="3" t="inlineStr">
        <is>
          <t>SRB.distn.dec.ove.mean.2</t>
        </is>
      </c>
      <c r="B1941" s="3" t="inlineStr">
        <is>
          <t>SRB</t>
        </is>
      </c>
      <c r="C1941" s="3" t="n">
        <v>2005</v>
      </c>
      <c r="D1941" s="3" t="inlineStr">
        <is>
          <t>Overall</t>
        </is>
      </c>
      <c r="E1941" s="3" t="inlineStr">
        <is>
          <t>Deciles</t>
        </is>
      </c>
      <c r="F1941" s="3" t="inlineStr">
        <is>
          <t>mean</t>
        </is>
      </c>
      <c r="G1941" s="3" t="n">
        <v>2</v>
      </c>
      <c r="H1941" s="3" t="n">
        <v>-0.7882409691810608</v>
      </c>
      <c r="I1941" s="3" t="n">
        <v>-0.7882409691810608</v>
      </c>
      <c r="J1941" s="3" t="n">
        <v>-0.8921075463294983</v>
      </c>
      <c r="K1941" s="3" t="n">
        <v>-0.8921075463294983</v>
      </c>
      <c r="L1941" s="3" t="n">
        <v>-0.7882409691810608</v>
      </c>
      <c r="M1941" s="3" t="n">
        <v>-0.7882409691810608</v>
      </c>
      <c r="N1941" s="3" t="n">
        <v>-0.7882409691810608</v>
      </c>
      <c r="O1941" s="3" t="n">
        <v>-0.7882409691810608</v>
      </c>
      <c r="P1941" s="3" t="n">
        <v>-0.7882409691810608</v>
      </c>
      <c r="Q1941" s="3" t="n">
        <v>-0.7882409691810608</v>
      </c>
      <c r="R1941" s="3" t="n">
        <v>-0.7734707593917847</v>
      </c>
      <c r="S1941" s="3" t="n">
        <v>-1.431484580039978</v>
      </c>
      <c r="T1941" s="3" t="n">
        <v>-0.7094525694847107</v>
      </c>
      <c r="U1941" s="3" t="n">
        <v>-0.8921075463294983</v>
      </c>
      <c r="V1941" s="3" t="n">
        <v>-0.6829447150230408</v>
      </c>
      <c r="W1941" s="3" t="n">
        <v>-0.5952903628349304</v>
      </c>
      <c r="X1941" s="3" t="n">
        <v>-1.3772873878479</v>
      </c>
      <c r="Y1941" s="3" t="n">
        <v>-0.7882409691810608</v>
      </c>
      <c r="Z1941" s="3" t="n">
        <v>-1.431484580039978</v>
      </c>
      <c r="AA1941" s="3" t="n">
        <v>-1.431484580039978</v>
      </c>
      <c r="AB1941" s="3" t="n">
        <v>-1.3772873878479</v>
      </c>
      <c r="AC1941" s="3" t="n">
        <v>-2.176332235336304</v>
      </c>
      <c r="AD1941" s="3" t="n">
        <v>-0.8921075463294983</v>
      </c>
      <c r="AE1941" s="3" t="n">
        <v>-0.8921075463294983</v>
      </c>
    </row>
    <row r="1942">
      <c r="A1942" s="3" t="inlineStr">
        <is>
          <t>SRB.distn.dec.ove.mean.3</t>
        </is>
      </c>
      <c r="B1942" s="3" t="inlineStr">
        <is>
          <t>SRB</t>
        </is>
      </c>
      <c r="C1942" s="3" t="n">
        <v>2005</v>
      </c>
      <c r="D1942" s="3" t="inlineStr">
        <is>
          <t>Overall</t>
        </is>
      </c>
      <c r="E1942" s="3" t="inlineStr">
        <is>
          <t>Deciles</t>
        </is>
      </c>
      <c r="F1942" s="3" t="inlineStr">
        <is>
          <t>mean</t>
        </is>
      </c>
      <c r="G1942" s="3" t="n">
        <v>3</v>
      </c>
      <c r="H1942" s="3" t="n">
        <v>-0.7882409691810608</v>
      </c>
      <c r="I1942" s="3" t="n">
        <v>-0.7882409691810608</v>
      </c>
      <c r="J1942" s="3" t="n">
        <v>-0.8921075463294983</v>
      </c>
      <c r="K1942" s="3" t="n">
        <v>-0.8921075463294983</v>
      </c>
      <c r="L1942" s="3" t="n">
        <v>-0.7882409691810608</v>
      </c>
      <c r="M1942" s="3" t="n">
        <v>-0.7882409691810608</v>
      </c>
      <c r="N1942" s="3" t="n">
        <v>-0.7882409691810608</v>
      </c>
      <c r="O1942" s="3" t="n">
        <v>-0.7882409691810608</v>
      </c>
      <c r="P1942" s="3" t="n">
        <v>-0.7882409691810608</v>
      </c>
      <c r="Q1942" s="3" t="n">
        <v>-0.7882409691810608</v>
      </c>
      <c r="R1942" s="3" t="n">
        <v>-0.7734707593917847</v>
      </c>
      <c r="S1942" s="3" t="n">
        <v>-1.431484580039978</v>
      </c>
      <c r="T1942" s="3" t="n">
        <v>-0.7094525694847107</v>
      </c>
      <c r="U1942" s="3" t="n">
        <v>-0.8921075463294983</v>
      </c>
      <c r="V1942" s="3" t="n">
        <v>-0.6829447150230408</v>
      </c>
      <c r="W1942" s="3" t="n">
        <v>-0.5952903628349304</v>
      </c>
      <c r="X1942" s="3" t="n">
        <v>-1.3772873878479</v>
      </c>
      <c r="Y1942" s="3" t="n">
        <v>-0.7882409691810608</v>
      </c>
      <c r="Z1942" s="3" t="n">
        <v>-1.431484580039978</v>
      </c>
      <c r="AA1942" s="3" t="n">
        <v>-1.431484580039978</v>
      </c>
      <c r="AB1942" s="3" t="n">
        <v>-1.3772873878479</v>
      </c>
      <c r="AC1942" s="3" t="n">
        <v>-2.176332235336304</v>
      </c>
      <c r="AD1942" s="3" t="n">
        <v>-0.8921075463294983</v>
      </c>
      <c r="AE1942" s="3" t="n">
        <v>-0.8921075463294983</v>
      </c>
    </row>
    <row r="1943">
      <c r="A1943" s="3" t="inlineStr">
        <is>
          <t>SRB.distn.dec.ove.mean.4</t>
        </is>
      </c>
      <c r="B1943" s="3" t="inlineStr">
        <is>
          <t>SRB</t>
        </is>
      </c>
      <c r="C1943" s="3" t="n">
        <v>2005</v>
      </c>
      <c r="D1943" s="3" t="inlineStr">
        <is>
          <t>Overall</t>
        </is>
      </c>
      <c r="E1943" s="3" t="inlineStr">
        <is>
          <t>Deciles</t>
        </is>
      </c>
      <c r="F1943" s="3" t="inlineStr">
        <is>
          <t>mean</t>
        </is>
      </c>
      <c r="G1943" s="3" t="n">
        <v>4</v>
      </c>
      <c r="H1943" s="3" t="n">
        <v>-0.7820000052452087</v>
      </c>
      <c r="I1943" s="3" t="n">
        <v>-0.7820000052452087</v>
      </c>
      <c r="J1943" s="3" t="n">
        <v>-0.8489999771118164</v>
      </c>
      <c r="K1943" s="3" t="n">
        <v>-0.8489999771118164</v>
      </c>
      <c r="L1943" s="3" t="n">
        <v>-0.7820000052452087</v>
      </c>
      <c r="M1943" s="3" t="n">
        <v>-0.7820000052452087</v>
      </c>
      <c r="N1943" s="3" t="n">
        <v>-0.7820000052452087</v>
      </c>
      <c r="O1943" s="3" t="n">
        <v>-0.7820000052452087</v>
      </c>
      <c r="P1943" s="3" t="n">
        <v>-0.7820000052452087</v>
      </c>
      <c r="Q1943" s="3" t="n">
        <v>-0.7820000052452087</v>
      </c>
      <c r="R1943" s="3" t="n">
        <v>-0.7699999809265137</v>
      </c>
      <c r="S1943" s="3" t="n">
        <v>-0.9750000238418579</v>
      </c>
      <c r="T1943" s="3" t="n">
        <v>-0.7080000042915344</v>
      </c>
      <c r="U1943" s="3" t="n">
        <v>-0.8489999771118164</v>
      </c>
      <c r="V1943" s="3" t="n">
        <v>-0.6759999990463257</v>
      </c>
      <c r="W1943" s="3" t="n">
        <v>-0.5009999871253967</v>
      </c>
      <c r="X1943" s="3" t="n">
        <v>-0.9720000028610229</v>
      </c>
      <c r="Y1943" s="3" t="n">
        <v>-0.7820000052452087</v>
      </c>
      <c r="Z1943" s="3" t="n">
        <v>-0.9750000238418579</v>
      </c>
      <c r="AA1943" s="3" t="n">
        <v>-0.9750000238418579</v>
      </c>
      <c r="AB1943" s="3" t="n">
        <v>-0.9720000028610229</v>
      </c>
      <c r="AC1943" s="3" t="n">
        <v>-1.050999999046326</v>
      </c>
      <c r="AD1943" s="3" t="n">
        <v>-0.8489999771118164</v>
      </c>
      <c r="AE1943" s="3" t="n">
        <v>-0.8489999771118164</v>
      </c>
    </row>
    <row r="1944">
      <c r="A1944" s="3" t="inlineStr">
        <is>
          <t>SRB.distn.dec.ove.mean.5</t>
        </is>
      </c>
      <c r="B1944" s="3" t="inlineStr">
        <is>
          <t>SRB</t>
        </is>
      </c>
      <c r="C1944" s="3" t="n">
        <v>2005</v>
      </c>
      <c r="D1944" s="3" t="inlineStr">
        <is>
          <t>Overall</t>
        </is>
      </c>
      <c r="E1944" s="3" t="inlineStr">
        <is>
          <t>Deciles</t>
        </is>
      </c>
      <c r="F1944" s="3" t="inlineStr">
        <is>
          <t>mean</t>
        </is>
      </c>
      <c r="G1944" s="3" t="n">
        <v>5</v>
      </c>
      <c r="H1944" s="3" t="n">
        <v>-0.7820000052452087</v>
      </c>
      <c r="I1944" s="3" t="n">
        <v>-0.7820000052452087</v>
      </c>
      <c r="J1944" s="3" t="n">
        <v>-0.8489999771118164</v>
      </c>
      <c r="K1944" s="3" t="n">
        <v>-0.8489999771118164</v>
      </c>
      <c r="L1944" s="3" t="n">
        <v>-0.7820000052452087</v>
      </c>
      <c r="M1944" s="3" t="n">
        <v>-0.7820000052452087</v>
      </c>
      <c r="N1944" s="3" t="n">
        <v>-0.7820000052452087</v>
      </c>
      <c r="O1944" s="3" t="n">
        <v>-0.7820000052452087</v>
      </c>
      <c r="P1944" s="3" t="n">
        <v>-0.7820000052452087</v>
      </c>
      <c r="Q1944" s="3" t="n">
        <v>-0.7820000052452087</v>
      </c>
      <c r="R1944" s="3" t="n">
        <v>-0.7699999809265137</v>
      </c>
      <c r="S1944" s="3" t="n">
        <v>-0.9750000238418579</v>
      </c>
      <c r="T1944" s="3" t="n">
        <v>-0.7080000042915344</v>
      </c>
      <c r="U1944" s="3" t="n">
        <v>-0.8489999771118164</v>
      </c>
      <c r="V1944" s="3" t="n">
        <v>-0.6759999990463257</v>
      </c>
      <c r="W1944" s="3" t="n">
        <v>-0.5009999871253967</v>
      </c>
      <c r="X1944" s="3" t="n">
        <v>-0.9720000028610229</v>
      </c>
      <c r="Y1944" s="3" t="n">
        <v>-0.7820000052452087</v>
      </c>
      <c r="Z1944" s="3" t="n">
        <v>-0.9750000238418579</v>
      </c>
      <c r="AA1944" s="3" t="n">
        <v>-0.9750000238418579</v>
      </c>
      <c r="AB1944" s="3" t="n">
        <v>-0.9720000028610229</v>
      </c>
      <c r="AC1944" s="3" t="n">
        <v>-1.050999999046326</v>
      </c>
      <c r="AD1944" s="3" t="n">
        <v>-0.8489999771118164</v>
      </c>
      <c r="AE1944" s="3" t="n">
        <v>-0.8489999771118164</v>
      </c>
    </row>
    <row r="1945">
      <c r="A1945" s="3" t="inlineStr">
        <is>
          <t>SRB.distn.dec.ove.mean.6</t>
        </is>
      </c>
      <c r="B1945" s="3" t="inlineStr">
        <is>
          <t>SRB</t>
        </is>
      </c>
      <c r="C1945" s="3" t="n">
        <v>2005</v>
      </c>
      <c r="D1945" s="3" t="inlineStr">
        <is>
          <t>Overall</t>
        </is>
      </c>
      <c r="E1945" s="3" t="inlineStr">
        <is>
          <t>Deciles</t>
        </is>
      </c>
      <c r="F1945" s="3" t="inlineStr">
        <is>
          <t>mean</t>
        </is>
      </c>
      <c r="G1945" s="3" t="n">
        <v>6</v>
      </c>
      <c r="H1945" s="3" t="n">
        <v>-0.7820000052452087</v>
      </c>
      <c r="I1945" s="3" t="n">
        <v>-0.7820000052452087</v>
      </c>
      <c r="J1945" s="3" t="n">
        <v>-0.8489999771118164</v>
      </c>
      <c r="K1945" s="3" t="n">
        <v>-0.8489999771118164</v>
      </c>
      <c r="L1945" s="3" t="n">
        <v>-0.7820000052452087</v>
      </c>
      <c r="M1945" s="3" t="n">
        <v>-0.7820000052452087</v>
      </c>
      <c r="N1945" s="3" t="n">
        <v>-0.7820000052452087</v>
      </c>
      <c r="O1945" s="3" t="n">
        <v>-0.7820000052452087</v>
      </c>
      <c r="P1945" s="3" t="n">
        <v>-0.7820000052452087</v>
      </c>
      <c r="Q1945" s="3" t="n">
        <v>-0.7820000052452087</v>
      </c>
      <c r="R1945" s="3" t="n">
        <v>-0.7699999809265137</v>
      </c>
      <c r="S1945" s="3" t="n">
        <v>-0.9750000238418579</v>
      </c>
      <c r="T1945" s="3" t="n">
        <v>-0.7080000042915344</v>
      </c>
      <c r="U1945" s="3" t="n">
        <v>-0.8489999771118164</v>
      </c>
      <c r="V1945" s="3" t="n">
        <v>-0.6759999990463257</v>
      </c>
      <c r="W1945" s="3" t="n">
        <v>-0.5009999871253967</v>
      </c>
      <c r="X1945" s="3" t="n">
        <v>-0.9720000028610229</v>
      </c>
      <c r="Y1945" s="3" t="n">
        <v>-0.7820000052452087</v>
      </c>
      <c r="Z1945" s="3" t="n">
        <v>-0.9750000238418579</v>
      </c>
      <c r="AA1945" s="3" t="n">
        <v>-0.9750000238418579</v>
      </c>
      <c r="AB1945" s="3" t="n">
        <v>-0.9720000028610229</v>
      </c>
      <c r="AC1945" s="3" t="n">
        <v>-1.050999999046326</v>
      </c>
      <c r="AD1945" s="3" t="n">
        <v>-0.8489999771118164</v>
      </c>
      <c r="AE1945" s="3" t="n">
        <v>-0.8489999771118164</v>
      </c>
    </row>
    <row r="1946">
      <c r="A1946" s="3" t="inlineStr">
        <is>
          <t>SRB.distn.dec.ove.mean.7</t>
        </is>
      </c>
      <c r="B1946" s="3" t="inlineStr">
        <is>
          <t>SRB</t>
        </is>
      </c>
      <c r="C1946" s="3" t="n">
        <v>2005</v>
      </c>
      <c r="D1946" s="3" t="inlineStr">
        <is>
          <t>Overall</t>
        </is>
      </c>
      <c r="E1946" s="3" t="inlineStr">
        <is>
          <t>Deciles</t>
        </is>
      </c>
      <c r="F1946" s="3" t="inlineStr">
        <is>
          <t>mean</t>
        </is>
      </c>
      <c r="G1946" s="3" t="n">
        <v>7</v>
      </c>
      <c r="H1946" s="3" t="n">
        <v>-0.7820000052452087</v>
      </c>
      <c r="I1946" s="3" t="n">
        <v>-0.7820000052452087</v>
      </c>
      <c r="J1946" s="3" t="n">
        <v>-0.8489999771118164</v>
      </c>
      <c r="K1946" s="3" t="n">
        <v>-0.8489999771118164</v>
      </c>
      <c r="L1946" s="3" t="n">
        <v>-0.7820000052452087</v>
      </c>
      <c r="M1946" s="3" t="n">
        <v>-0.7820000052452087</v>
      </c>
      <c r="N1946" s="3" t="n">
        <v>-0.7820000052452087</v>
      </c>
      <c r="O1946" s="3" t="n">
        <v>-0.7820000052452087</v>
      </c>
      <c r="P1946" s="3" t="n">
        <v>-0.7820000052452087</v>
      </c>
      <c r="Q1946" s="3" t="n">
        <v>-0.7820000052452087</v>
      </c>
      <c r="R1946" s="3" t="n">
        <v>-0.7699999809265137</v>
      </c>
      <c r="S1946" s="3" t="n">
        <v>-0.9750000238418579</v>
      </c>
      <c r="T1946" s="3" t="n">
        <v>-0.7080000042915344</v>
      </c>
      <c r="U1946" s="3" t="n">
        <v>-0.8489999771118164</v>
      </c>
      <c r="V1946" s="3" t="n">
        <v>-0.6759999990463257</v>
      </c>
      <c r="W1946" s="3" t="n">
        <v>-0.5009999871253967</v>
      </c>
      <c r="X1946" s="3" t="n">
        <v>-0.9720000028610229</v>
      </c>
      <c r="Y1946" s="3" t="n">
        <v>-0.7820000052452087</v>
      </c>
      <c r="Z1946" s="3" t="n">
        <v>-0.9750000238418579</v>
      </c>
      <c r="AA1946" s="3" t="n">
        <v>-0.9750000238418579</v>
      </c>
      <c r="AB1946" s="3" t="n">
        <v>-0.9720000028610229</v>
      </c>
      <c r="AC1946" s="3" t="n">
        <v>-1.050999999046326</v>
      </c>
      <c r="AD1946" s="3" t="n">
        <v>-0.8489999771118164</v>
      </c>
      <c r="AE1946" s="3" t="n">
        <v>-0.8489999771118164</v>
      </c>
    </row>
    <row r="1947">
      <c r="A1947" s="3" t="inlineStr">
        <is>
          <t>SRB.distn.dec.ove.mean.8</t>
        </is>
      </c>
      <c r="B1947" s="3" t="inlineStr">
        <is>
          <t>SRB</t>
        </is>
      </c>
      <c r="C1947" s="3" t="n">
        <v>2005</v>
      </c>
      <c r="D1947" s="3" t="inlineStr">
        <is>
          <t>Overall</t>
        </is>
      </c>
      <c r="E1947" s="3" t="inlineStr">
        <is>
          <t>Deciles</t>
        </is>
      </c>
      <c r="F1947" s="3" t="inlineStr">
        <is>
          <t>mean</t>
        </is>
      </c>
      <c r="G1947" s="3" t="n">
        <v>8</v>
      </c>
      <c r="H1947" s="3" t="n">
        <v>-0.782376766204834</v>
      </c>
      <c r="I1947" s="3" t="n">
        <v>-0.782376766204834</v>
      </c>
      <c r="J1947" s="3" t="n">
        <v>-0.851290225982666</v>
      </c>
      <c r="K1947" s="3" t="n">
        <v>-0.851290225982666</v>
      </c>
      <c r="L1947" s="3" t="n">
        <v>-0.782376766204834</v>
      </c>
      <c r="M1947" s="3" t="n">
        <v>-0.782376766204834</v>
      </c>
      <c r="N1947" s="3" t="n">
        <v>-0.782376766204834</v>
      </c>
      <c r="O1947" s="3" t="n">
        <v>-0.782376766204834</v>
      </c>
      <c r="P1947" s="3" t="n">
        <v>-0.782376766204834</v>
      </c>
      <c r="Q1947" s="3" t="n">
        <v>-0.782376766204834</v>
      </c>
      <c r="R1947" s="3" t="n">
        <v>-0.7702532410621643</v>
      </c>
      <c r="S1947" s="3" t="n">
        <v>-0.9840725064277649</v>
      </c>
      <c r="T1947" s="3" t="n">
        <v>-0.7080408334732056</v>
      </c>
      <c r="U1947" s="3" t="n">
        <v>-0.851290225982666</v>
      </c>
      <c r="V1947" s="3" t="n">
        <v>-0.6766988039016724</v>
      </c>
      <c r="W1947" s="3" t="n">
        <v>-0.5144161581993103</v>
      </c>
      <c r="X1947" s="3" t="n">
        <v>-0.9808568358421326</v>
      </c>
      <c r="Y1947" s="3" t="n">
        <v>-0.782376766204834</v>
      </c>
      <c r="Z1947" s="3" t="n">
        <v>-0.9840725064277649</v>
      </c>
      <c r="AA1947" s="3" t="n">
        <v>-0.9840725064277649</v>
      </c>
      <c r="AB1947" s="3" t="n">
        <v>-0.9808568358421326</v>
      </c>
      <c r="AC1947" s="3" t="n">
        <v>-1.065988659858704</v>
      </c>
      <c r="AD1947" s="3" t="n">
        <v>-0.851290225982666</v>
      </c>
      <c r="AE1947" s="3" t="n">
        <v>-0.851290225982666</v>
      </c>
    </row>
    <row r="1948">
      <c r="A1948" s="3" t="inlineStr">
        <is>
          <t>SRB.distn.dec.ove.mean.9</t>
        </is>
      </c>
      <c r="B1948" s="3" t="inlineStr">
        <is>
          <t>SRB</t>
        </is>
      </c>
      <c r="C1948" s="3" t="n">
        <v>2005</v>
      </c>
      <c r="D1948" s="3" t="inlineStr">
        <is>
          <t>Overall</t>
        </is>
      </c>
      <c r="E1948" s="3" t="inlineStr">
        <is>
          <t>Deciles</t>
        </is>
      </c>
      <c r="F1948" s="3" t="inlineStr">
        <is>
          <t>mean</t>
        </is>
      </c>
      <c r="G1948" s="3" t="n">
        <v>9</v>
      </c>
      <c r="H1948" s="3" t="n">
        <v>-0.782376766204834</v>
      </c>
      <c r="I1948" s="3" t="n">
        <v>-0.782376766204834</v>
      </c>
      <c r="J1948" s="3" t="n">
        <v>-0.851290225982666</v>
      </c>
      <c r="K1948" s="3" t="n">
        <v>-0.851290225982666</v>
      </c>
      <c r="L1948" s="3" t="n">
        <v>-0.782376766204834</v>
      </c>
      <c r="M1948" s="3" t="n">
        <v>-0.782376766204834</v>
      </c>
      <c r="N1948" s="3" t="n">
        <v>-0.782376766204834</v>
      </c>
      <c r="O1948" s="3" t="n">
        <v>-0.782376766204834</v>
      </c>
      <c r="P1948" s="3" t="n">
        <v>-0.782376766204834</v>
      </c>
      <c r="Q1948" s="3" t="n">
        <v>-0.782376766204834</v>
      </c>
      <c r="R1948" s="3" t="n">
        <v>-0.7702532410621643</v>
      </c>
      <c r="S1948" s="3" t="n">
        <v>-0.9840725064277649</v>
      </c>
      <c r="T1948" s="3" t="n">
        <v>-0.7080408334732056</v>
      </c>
      <c r="U1948" s="3" t="n">
        <v>-0.851290225982666</v>
      </c>
      <c r="V1948" s="3" t="n">
        <v>-0.6766988039016724</v>
      </c>
      <c r="W1948" s="3" t="n">
        <v>-0.5144161581993103</v>
      </c>
      <c r="X1948" s="3" t="n">
        <v>-0.9808568358421326</v>
      </c>
      <c r="Y1948" s="3" t="n">
        <v>-0.782376766204834</v>
      </c>
      <c r="Z1948" s="3" t="n">
        <v>-0.9840725064277649</v>
      </c>
      <c r="AA1948" s="3" t="n">
        <v>-0.9840725064277649</v>
      </c>
      <c r="AB1948" s="3" t="n">
        <v>-0.9808568358421326</v>
      </c>
      <c r="AC1948" s="3" t="n">
        <v>-1.065988659858704</v>
      </c>
      <c r="AD1948" s="3" t="n">
        <v>-0.851290225982666</v>
      </c>
      <c r="AE1948" s="3" t="n">
        <v>-0.851290225982666</v>
      </c>
    </row>
    <row r="1949">
      <c r="A1949" s="3" t="inlineStr">
        <is>
          <t>SRB.distn.dec.ove.mean.10</t>
        </is>
      </c>
      <c r="B1949" s="3" t="inlineStr">
        <is>
          <t>SRB</t>
        </is>
      </c>
      <c r="C1949" s="3" t="n">
        <v>2005</v>
      </c>
      <c r="D1949" s="3" t="inlineStr">
        <is>
          <t>Overall</t>
        </is>
      </c>
      <c r="E1949" s="3" t="inlineStr">
        <is>
          <t>Deciles</t>
        </is>
      </c>
      <c r="F1949" s="3" t="inlineStr">
        <is>
          <t>mean</t>
        </is>
      </c>
      <c r="G1949" s="3" t="n">
        <v>10</v>
      </c>
      <c r="H1949" s="3" t="n">
        <v>-0.782376766204834</v>
      </c>
      <c r="I1949" s="3" t="n">
        <v>-0.782376766204834</v>
      </c>
      <c r="J1949" s="3" t="n">
        <v>-0.851290225982666</v>
      </c>
      <c r="K1949" s="3" t="n">
        <v>-0.851290225982666</v>
      </c>
      <c r="L1949" s="3" t="n">
        <v>-0.782376766204834</v>
      </c>
      <c r="M1949" s="3" t="n">
        <v>-0.782376766204834</v>
      </c>
      <c r="N1949" s="3" t="n">
        <v>-0.782376766204834</v>
      </c>
      <c r="O1949" s="3" t="n">
        <v>-0.782376766204834</v>
      </c>
      <c r="P1949" s="3" t="n">
        <v>-0.782376766204834</v>
      </c>
      <c r="Q1949" s="3" t="n">
        <v>-0.782376766204834</v>
      </c>
      <c r="R1949" s="3" t="n">
        <v>-0.7702532410621643</v>
      </c>
      <c r="S1949" s="3" t="n">
        <v>-0.9840725064277649</v>
      </c>
      <c r="T1949" s="3" t="n">
        <v>-0.7080408334732056</v>
      </c>
      <c r="U1949" s="3" t="n">
        <v>-0.851290225982666</v>
      </c>
      <c r="V1949" s="3" t="n">
        <v>-0.6766988039016724</v>
      </c>
      <c r="W1949" s="3" t="n">
        <v>-0.5144161581993103</v>
      </c>
      <c r="X1949" s="3" t="n">
        <v>-0.9808568358421326</v>
      </c>
      <c r="Y1949" s="3" t="n">
        <v>-0.782376766204834</v>
      </c>
      <c r="Z1949" s="3" t="n">
        <v>-0.9840725064277649</v>
      </c>
      <c r="AA1949" s="3" t="n">
        <v>-0.9840725064277649</v>
      </c>
      <c r="AB1949" s="3" t="n">
        <v>-0.9808568358421326</v>
      </c>
      <c r="AC1949" s="3" t="n">
        <v>-1.065988659858704</v>
      </c>
      <c r="AD1949" s="3" t="n">
        <v>-0.851290225982666</v>
      </c>
      <c r="AE1949" s="3" t="n">
        <v>-0.851290225982666</v>
      </c>
    </row>
    <row r="1950">
      <c r="A1950" s="3" t="inlineStr">
        <is>
          <t>SRB.distn.bkt.ove.mean.9999</t>
        </is>
      </c>
      <c r="B1950" s="3" t="inlineStr">
        <is>
          <t>SRB</t>
        </is>
      </c>
      <c r="C1950" s="3" t="n">
        <v>2005</v>
      </c>
      <c r="D1950" s="3" t="inlineStr">
        <is>
          <t>Overall</t>
        </is>
      </c>
      <c r="E1950" s="3" t="inlineStr">
        <is>
          <t>Basket</t>
        </is>
      </c>
      <c r="F1950" s="3" t="inlineStr">
        <is>
          <t>mean</t>
        </is>
      </c>
      <c r="G1950" s="3" t="n">
        <v>9999</v>
      </c>
      <c r="H1950" s="3" t="n">
        <v>-0.7839853167533875</v>
      </c>
      <c r="I1950" s="3" t="n">
        <v>-0.7839853167533875</v>
      </c>
      <c r="J1950" s="3" t="n">
        <v>-0.8626193404197693</v>
      </c>
      <c r="K1950" s="3" t="n">
        <v>-0.8626193404197693</v>
      </c>
      <c r="L1950" s="3" t="n">
        <v>-0.7839853167533875</v>
      </c>
      <c r="M1950" s="3" t="n">
        <v>-0.7839853167533875</v>
      </c>
      <c r="N1950" s="3" t="n">
        <v>-0.7839853167533875</v>
      </c>
      <c r="O1950" s="3" t="n">
        <v>-0.7839853167533875</v>
      </c>
      <c r="P1950" s="3" t="n">
        <v>-0.7839853167533875</v>
      </c>
      <c r="Q1950" s="3" t="n">
        <v>-0.7839853167533875</v>
      </c>
      <c r="R1950" s="3" t="n">
        <v>-0.7711172103881836</v>
      </c>
      <c r="S1950" s="3" t="n">
        <v>-1.114667177200317</v>
      </c>
      <c r="T1950" s="3" t="n">
        <v>-0.708448052406311</v>
      </c>
      <c r="U1950" s="3" t="n">
        <v>-0.8626193404197693</v>
      </c>
      <c r="V1950" s="3" t="n">
        <v>-0.6782930493354797</v>
      </c>
      <c r="W1950" s="3" t="n">
        <v>-0.5333119630813599</v>
      </c>
      <c r="X1950" s="3" t="n">
        <v>-1.096243262290955</v>
      </c>
      <c r="Y1950" s="3" t="n">
        <v>-0.7839853167533875</v>
      </c>
      <c r="Z1950" s="3" t="n">
        <v>-1.114667177200317</v>
      </c>
      <c r="AA1950" s="3" t="n">
        <v>-1.114667177200317</v>
      </c>
      <c r="AB1950" s="3" t="n">
        <v>-1.096243262290955</v>
      </c>
      <c r="AC1950" s="3" t="n">
        <v>-1.393096208572388</v>
      </c>
      <c r="AD1950" s="3" t="n">
        <v>-0.8626193404197693</v>
      </c>
      <c r="AE1950" s="3" t="n">
        <v>-0.8626193404197693</v>
      </c>
    </row>
    <row r="1951">
      <c r="A1951" s="3" t="inlineStr">
        <is>
          <t>SSD.distn.dec.ove.mean.1</t>
        </is>
      </c>
      <c r="B1951" s="3" t="inlineStr">
        <is>
          <t>SSD</t>
        </is>
      </c>
      <c r="C1951" s="3" t="n">
        <v>2005</v>
      </c>
      <c r="D1951" s="3" t="inlineStr">
        <is>
          <t>Overall</t>
        </is>
      </c>
      <c r="E1951" s="3" t="inlineStr">
        <is>
          <t>Deciles</t>
        </is>
      </c>
      <c r="F1951" s="3" t="inlineStr">
        <is>
          <t>mean</t>
        </is>
      </c>
      <c r="G1951" s="3" t="n">
        <v>1</v>
      </c>
      <c r="H1951" s="3" t="n">
        <v>-0.7974043921990828</v>
      </c>
      <c r="I1951" s="3" t="n">
        <v>-0.7974043921990828</v>
      </c>
      <c r="J1951" s="3" t="n">
        <v>-0.9631780900738456</v>
      </c>
      <c r="K1951" s="3" t="n">
        <v>-0.9631780900738456</v>
      </c>
      <c r="L1951" s="3" t="n">
        <v>-0.7974043921990828</v>
      </c>
      <c r="M1951" s="3" t="n">
        <v>-0.7974043921990828</v>
      </c>
      <c r="N1951" s="3" t="n">
        <v>-0.7974043921990828</v>
      </c>
      <c r="O1951" s="3" t="n">
        <v>-0.7974043921990828</v>
      </c>
      <c r="P1951" s="3" t="n">
        <v>-0.7974043921990828</v>
      </c>
      <c r="Q1951" s="3" t="n">
        <v>-0.7974043921990828</v>
      </c>
      <c r="R1951" s="3" t="n">
        <v>-0.7785389450463381</v>
      </c>
      <c r="S1951" s="3" t="n">
        <v>-2.848487377166748</v>
      </c>
      <c r="T1951" s="3" t="n">
        <v>-0.7115022106604143</v>
      </c>
      <c r="U1951" s="3" t="n">
        <v>-0.9631780900738456</v>
      </c>
      <c r="V1951" s="3" t="n">
        <v>-0.6916698109019886</v>
      </c>
      <c r="W1951" s="3" t="n">
        <v>-0.7076836770231073</v>
      </c>
      <c r="X1951" s="3" t="n">
        <v>-2.538359203121879</v>
      </c>
      <c r="Y1951" s="3" t="n">
        <v>-0.7974043921990828</v>
      </c>
      <c r="Z1951" s="3" t="n">
        <v>-2.848487377166748</v>
      </c>
      <c r="AA1951" s="3" t="n">
        <v>-2.848487377166748</v>
      </c>
      <c r="AB1951" s="3" t="n">
        <v>-2.538359203121879</v>
      </c>
      <c r="AC1951" s="3" t="n">
        <v>-6.556386882608587</v>
      </c>
      <c r="AD1951" s="3" t="n">
        <v>-0.9631780900738456</v>
      </c>
      <c r="AE1951" s="3" t="n">
        <v>-0.9631780900738456</v>
      </c>
    </row>
    <row r="1952">
      <c r="A1952" s="3" t="inlineStr">
        <is>
          <t>SSD.distn.dec.ove.mean.2</t>
        </is>
      </c>
      <c r="B1952" s="3" t="inlineStr">
        <is>
          <t>SSD</t>
        </is>
      </c>
      <c r="C1952" s="3" t="n">
        <v>2005</v>
      </c>
      <c r="D1952" s="3" t="inlineStr">
        <is>
          <t>Overall</t>
        </is>
      </c>
      <c r="E1952" s="3" t="inlineStr">
        <is>
          <t>Deciles</t>
        </is>
      </c>
      <c r="F1952" s="3" t="inlineStr">
        <is>
          <t>mean</t>
        </is>
      </c>
      <c r="G1952" s="3" t="n">
        <v>2</v>
      </c>
      <c r="H1952" s="3" t="n">
        <v>-0.7974043921990828</v>
      </c>
      <c r="I1952" s="3" t="n">
        <v>-0.7974043921990828</v>
      </c>
      <c r="J1952" s="3" t="n">
        <v>-0.9631780900738456</v>
      </c>
      <c r="K1952" s="3" t="n">
        <v>-0.9631780900738456</v>
      </c>
      <c r="L1952" s="3" t="n">
        <v>-0.7974043921990828</v>
      </c>
      <c r="M1952" s="3" t="n">
        <v>-0.7974043921990828</v>
      </c>
      <c r="N1952" s="3" t="n">
        <v>-0.7974043921990828</v>
      </c>
      <c r="O1952" s="3" t="n">
        <v>-0.7974043921990828</v>
      </c>
      <c r="P1952" s="3" t="n">
        <v>-0.7974043921990828</v>
      </c>
      <c r="Q1952" s="3" t="n">
        <v>-0.7974043921990828</v>
      </c>
      <c r="R1952" s="3" t="n">
        <v>-0.7785389450463381</v>
      </c>
      <c r="S1952" s="3" t="n">
        <v>-2.848487377166748</v>
      </c>
      <c r="T1952" s="3" t="n">
        <v>-0.7115022106604143</v>
      </c>
      <c r="U1952" s="3" t="n">
        <v>-0.9631780900738456</v>
      </c>
      <c r="V1952" s="3" t="n">
        <v>-0.6916698109019886</v>
      </c>
      <c r="W1952" s="3" t="n">
        <v>-0.7076836770231073</v>
      </c>
      <c r="X1952" s="3" t="n">
        <v>-2.538359203121879</v>
      </c>
      <c r="Y1952" s="3" t="n">
        <v>-0.7974043921990828</v>
      </c>
      <c r="Z1952" s="3" t="n">
        <v>-2.848487377166748</v>
      </c>
      <c r="AA1952" s="3" t="n">
        <v>-2.848487377166748</v>
      </c>
      <c r="AB1952" s="3" t="n">
        <v>-2.538359203121879</v>
      </c>
      <c r="AC1952" s="3" t="n">
        <v>-6.556386882608587</v>
      </c>
      <c r="AD1952" s="3" t="n">
        <v>-0.9631780900738456</v>
      </c>
      <c r="AE1952" s="3" t="n">
        <v>-0.9631780900738456</v>
      </c>
    </row>
    <row r="1953">
      <c r="A1953" s="3" t="inlineStr">
        <is>
          <t>SSD.distn.dec.ove.mean.3</t>
        </is>
      </c>
      <c r="B1953" s="3" t="inlineStr">
        <is>
          <t>SSD</t>
        </is>
      </c>
      <c r="C1953" s="3" t="n">
        <v>2005</v>
      </c>
      <c r="D1953" s="3" t="inlineStr">
        <is>
          <t>Overall</t>
        </is>
      </c>
      <c r="E1953" s="3" t="inlineStr">
        <is>
          <t>Deciles</t>
        </is>
      </c>
      <c r="F1953" s="3" t="inlineStr">
        <is>
          <t>mean</t>
        </is>
      </c>
      <c r="G1953" s="3" t="n">
        <v>3</v>
      </c>
      <c r="H1953" s="3" t="n">
        <v>-0.7974043921990828</v>
      </c>
      <c r="I1953" s="3" t="n">
        <v>-0.7974043921990828</v>
      </c>
      <c r="J1953" s="3" t="n">
        <v>-0.9631780900738456</v>
      </c>
      <c r="K1953" s="3" t="n">
        <v>-0.9631780900738456</v>
      </c>
      <c r="L1953" s="3" t="n">
        <v>-0.7974043921990828</v>
      </c>
      <c r="M1953" s="3" t="n">
        <v>-0.7974043921990828</v>
      </c>
      <c r="N1953" s="3" t="n">
        <v>-0.7974043921990828</v>
      </c>
      <c r="O1953" s="3" t="n">
        <v>-0.7974043921990828</v>
      </c>
      <c r="P1953" s="3" t="n">
        <v>-0.7974043921990828</v>
      </c>
      <c r="Q1953" s="3" t="n">
        <v>-0.7974043921990828</v>
      </c>
      <c r="R1953" s="3" t="n">
        <v>-0.7785389450463381</v>
      </c>
      <c r="S1953" s="3" t="n">
        <v>-2.848487377166748</v>
      </c>
      <c r="T1953" s="3" t="n">
        <v>-0.7115022106604143</v>
      </c>
      <c r="U1953" s="3" t="n">
        <v>-0.9631780900738456</v>
      </c>
      <c r="V1953" s="3" t="n">
        <v>-0.6916698109019886</v>
      </c>
      <c r="W1953" s="3" t="n">
        <v>-0.7076836770231073</v>
      </c>
      <c r="X1953" s="3" t="n">
        <v>-2.538359203121879</v>
      </c>
      <c r="Y1953" s="3" t="n">
        <v>-0.7974043921990828</v>
      </c>
      <c r="Z1953" s="3" t="n">
        <v>-2.848487377166748</v>
      </c>
      <c r="AA1953" s="3" t="n">
        <v>-2.848487377166748</v>
      </c>
      <c r="AB1953" s="3" t="n">
        <v>-2.538359203121879</v>
      </c>
      <c r="AC1953" s="3" t="n">
        <v>-6.556386882608587</v>
      </c>
      <c r="AD1953" s="3" t="n">
        <v>-0.9631780900738456</v>
      </c>
      <c r="AE1953" s="3" t="n">
        <v>-0.9631780900738456</v>
      </c>
    </row>
    <row r="1954">
      <c r="A1954" s="3" t="inlineStr">
        <is>
          <t>SSD.distn.dec.ove.mean.4</t>
        </is>
      </c>
      <c r="B1954" s="3" t="inlineStr">
        <is>
          <t>SSD</t>
        </is>
      </c>
      <c r="C1954" s="3" t="n">
        <v>2005</v>
      </c>
      <c r="D1954" s="3" t="inlineStr">
        <is>
          <t>Overall</t>
        </is>
      </c>
      <c r="E1954" s="3" t="inlineStr">
        <is>
          <t>Deciles</t>
        </is>
      </c>
      <c r="F1954" s="3" t="inlineStr">
        <is>
          <t>mean</t>
        </is>
      </c>
      <c r="G1954" s="3" t="n">
        <v>4</v>
      </c>
      <c r="H1954" s="3" t="n">
        <v>-0.7910909165035594</v>
      </c>
      <c r="I1954" s="3" t="n">
        <v>-0.7910909165035594</v>
      </c>
      <c r="J1954" s="3" t="n">
        <v>-0.9166363667358052</v>
      </c>
      <c r="K1954" s="3" t="n">
        <v>-0.9166363667358052</v>
      </c>
      <c r="L1954" s="3" t="n">
        <v>-0.7910909165035594</v>
      </c>
      <c r="M1954" s="3" t="n">
        <v>-0.7910909165035594</v>
      </c>
      <c r="N1954" s="3" t="n">
        <v>-0.7910909165035594</v>
      </c>
      <c r="O1954" s="3" t="n">
        <v>-0.7910909165035594</v>
      </c>
      <c r="P1954" s="3" t="n">
        <v>-0.7910909165035594</v>
      </c>
      <c r="Q1954" s="3" t="n">
        <v>-0.7910909165035594</v>
      </c>
      <c r="R1954" s="3" t="n">
        <v>-0.7750454463741996</v>
      </c>
      <c r="S1954" s="3" t="n">
        <v>-1.940136329694228</v>
      </c>
      <c r="T1954" s="3" t="n">
        <v>-0.7100454406304793</v>
      </c>
      <c r="U1954" s="3" t="n">
        <v>-0.9166363667358052</v>
      </c>
      <c r="V1954" s="3" t="n">
        <v>-0.6846363652836193</v>
      </c>
      <c r="W1954" s="3" t="n">
        <v>-0.5955909084190022</v>
      </c>
      <c r="X1954" s="3" t="n">
        <v>-1.791409107771787</v>
      </c>
      <c r="Y1954" s="3" t="n">
        <v>-0.7910909165035594</v>
      </c>
      <c r="Z1954" s="3" t="n">
        <v>-1.940136329694228</v>
      </c>
      <c r="AA1954" s="3" t="n">
        <v>-1.940136329694228</v>
      </c>
      <c r="AB1954" s="3" t="n">
        <v>-1.791409107771787</v>
      </c>
      <c r="AC1954" s="3" t="n">
        <v>-3.166227286512202</v>
      </c>
      <c r="AD1954" s="3" t="n">
        <v>-0.9166363667358052</v>
      </c>
      <c r="AE1954" s="3" t="n">
        <v>-0.9166363667358052</v>
      </c>
    </row>
    <row r="1955">
      <c r="A1955" s="3" t="inlineStr">
        <is>
          <t>SSD.distn.dec.ove.mean.5</t>
        </is>
      </c>
      <c r="B1955" s="3" t="inlineStr">
        <is>
          <t>SSD</t>
        </is>
      </c>
      <c r="C1955" s="3" t="n">
        <v>2005</v>
      </c>
      <c r="D1955" s="3" t="inlineStr">
        <is>
          <t>Overall</t>
        </is>
      </c>
      <c r="E1955" s="3" t="inlineStr">
        <is>
          <t>Deciles</t>
        </is>
      </c>
      <c r="F1955" s="3" t="inlineStr">
        <is>
          <t>mean</t>
        </is>
      </c>
      <c r="G1955" s="3" t="n">
        <v>5</v>
      </c>
      <c r="H1955" s="3" t="n">
        <v>-0.7910909165035594</v>
      </c>
      <c r="I1955" s="3" t="n">
        <v>-0.7910909165035594</v>
      </c>
      <c r="J1955" s="3" t="n">
        <v>-0.9166363667358052</v>
      </c>
      <c r="K1955" s="3" t="n">
        <v>-0.9166363667358052</v>
      </c>
      <c r="L1955" s="3" t="n">
        <v>-0.7910909165035594</v>
      </c>
      <c r="M1955" s="3" t="n">
        <v>-0.7910909165035594</v>
      </c>
      <c r="N1955" s="3" t="n">
        <v>-0.7910909165035594</v>
      </c>
      <c r="O1955" s="3" t="n">
        <v>-0.7910909165035594</v>
      </c>
      <c r="P1955" s="3" t="n">
        <v>-0.7910909165035594</v>
      </c>
      <c r="Q1955" s="3" t="n">
        <v>-0.7910909165035594</v>
      </c>
      <c r="R1955" s="3" t="n">
        <v>-0.7750454463741996</v>
      </c>
      <c r="S1955" s="3" t="n">
        <v>-1.940136329694228</v>
      </c>
      <c r="T1955" s="3" t="n">
        <v>-0.7100454406304793</v>
      </c>
      <c r="U1955" s="3" t="n">
        <v>-0.9166363667358052</v>
      </c>
      <c r="V1955" s="3" t="n">
        <v>-0.6846363652836193</v>
      </c>
      <c r="W1955" s="3" t="n">
        <v>-0.5955909084190022</v>
      </c>
      <c r="X1955" s="3" t="n">
        <v>-1.791409107771787</v>
      </c>
      <c r="Y1955" s="3" t="n">
        <v>-0.7910909165035594</v>
      </c>
      <c r="Z1955" s="3" t="n">
        <v>-1.940136329694228</v>
      </c>
      <c r="AA1955" s="3" t="n">
        <v>-1.940136329694228</v>
      </c>
      <c r="AB1955" s="3" t="n">
        <v>-1.791409107771787</v>
      </c>
      <c r="AC1955" s="3" t="n">
        <v>-3.166227286512202</v>
      </c>
      <c r="AD1955" s="3" t="n">
        <v>-0.9166363667358052</v>
      </c>
      <c r="AE1955" s="3" t="n">
        <v>-0.9166363667358052</v>
      </c>
    </row>
    <row r="1956">
      <c r="A1956" s="3" t="inlineStr">
        <is>
          <t>SSD.distn.dec.ove.mean.6</t>
        </is>
      </c>
      <c r="B1956" s="3" t="inlineStr">
        <is>
          <t>SSD</t>
        </is>
      </c>
      <c r="C1956" s="3" t="n">
        <v>2005</v>
      </c>
      <c r="D1956" s="3" t="inlineStr">
        <is>
          <t>Overall</t>
        </is>
      </c>
      <c r="E1956" s="3" t="inlineStr">
        <is>
          <t>Deciles</t>
        </is>
      </c>
      <c r="F1956" s="3" t="inlineStr">
        <is>
          <t>mean</t>
        </is>
      </c>
      <c r="G1956" s="3" t="n">
        <v>6</v>
      </c>
      <c r="H1956" s="3" t="n">
        <v>-0.7910909165035594</v>
      </c>
      <c r="I1956" s="3" t="n">
        <v>-0.7910909165035594</v>
      </c>
      <c r="J1956" s="3" t="n">
        <v>-0.9166363667358052</v>
      </c>
      <c r="K1956" s="3" t="n">
        <v>-0.9166363667358052</v>
      </c>
      <c r="L1956" s="3" t="n">
        <v>-0.7910909165035594</v>
      </c>
      <c r="M1956" s="3" t="n">
        <v>-0.7910909165035594</v>
      </c>
      <c r="N1956" s="3" t="n">
        <v>-0.7910909165035594</v>
      </c>
      <c r="O1956" s="3" t="n">
        <v>-0.7910909165035594</v>
      </c>
      <c r="P1956" s="3" t="n">
        <v>-0.7910909165035594</v>
      </c>
      <c r="Q1956" s="3" t="n">
        <v>-0.7910909165035594</v>
      </c>
      <c r="R1956" s="3" t="n">
        <v>-0.7750454463741996</v>
      </c>
      <c r="S1956" s="3" t="n">
        <v>-1.940136329694228</v>
      </c>
      <c r="T1956" s="3" t="n">
        <v>-0.7100454406304793</v>
      </c>
      <c r="U1956" s="3" t="n">
        <v>-0.9166363667358052</v>
      </c>
      <c r="V1956" s="3" t="n">
        <v>-0.6846363652836193</v>
      </c>
      <c r="W1956" s="3" t="n">
        <v>-0.5955909084190022</v>
      </c>
      <c r="X1956" s="3" t="n">
        <v>-1.791409107771787</v>
      </c>
      <c r="Y1956" s="3" t="n">
        <v>-0.7910909165035594</v>
      </c>
      <c r="Z1956" s="3" t="n">
        <v>-1.940136329694228</v>
      </c>
      <c r="AA1956" s="3" t="n">
        <v>-1.940136329694228</v>
      </c>
      <c r="AB1956" s="3" t="n">
        <v>-1.791409107771787</v>
      </c>
      <c r="AC1956" s="3" t="n">
        <v>-3.166227286512202</v>
      </c>
      <c r="AD1956" s="3" t="n">
        <v>-0.9166363667358052</v>
      </c>
      <c r="AE1956" s="3" t="n">
        <v>-0.9166363667358052</v>
      </c>
    </row>
    <row r="1957">
      <c r="A1957" s="3" t="inlineStr">
        <is>
          <t>SSD.distn.dec.ove.mean.7</t>
        </is>
      </c>
      <c r="B1957" s="3" t="inlineStr">
        <is>
          <t>SSD</t>
        </is>
      </c>
      <c r="C1957" s="3" t="n">
        <v>2005</v>
      </c>
      <c r="D1957" s="3" t="inlineStr">
        <is>
          <t>Overall</t>
        </is>
      </c>
      <c r="E1957" s="3" t="inlineStr">
        <is>
          <t>Deciles</t>
        </is>
      </c>
      <c r="F1957" s="3" t="inlineStr">
        <is>
          <t>mean</t>
        </is>
      </c>
      <c r="G1957" s="3" t="n">
        <v>7</v>
      </c>
      <c r="H1957" s="3" t="n">
        <v>-0.7910909165035594</v>
      </c>
      <c r="I1957" s="3" t="n">
        <v>-0.7910909165035594</v>
      </c>
      <c r="J1957" s="3" t="n">
        <v>-0.9166363667358052</v>
      </c>
      <c r="K1957" s="3" t="n">
        <v>-0.9166363667358052</v>
      </c>
      <c r="L1957" s="3" t="n">
        <v>-0.7910909165035594</v>
      </c>
      <c r="M1957" s="3" t="n">
        <v>-0.7910909165035594</v>
      </c>
      <c r="N1957" s="3" t="n">
        <v>-0.7910909165035594</v>
      </c>
      <c r="O1957" s="3" t="n">
        <v>-0.7910909165035594</v>
      </c>
      <c r="P1957" s="3" t="n">
        <v>-0.7910909165035594</v>
      </c>
      <c r="Q1957" s="3" t="n">
        <v>-0.7910909165035594</v>
      </c>
      <c r="R1957" s="3" t="n">
        <v>-0.7750454463741996</v>
      </c>
      <c r="S1957" s="3" t="n">
        <v>-1.940136329694228</v>
      </c>
      <c r="T1957" s="3" t="n">
        <v>-0.7100454406304793</v>
      </c>
      <c r="U1957" s="3" t="n">
        <v>-0.9166363667358052</v>
      </c>
      <c r="V1957" s="3" t="n">
        <v>-0.6846363652836193</v>
      </c>
      <c r="W1957" s="3" t="n">
        <v>-0.5955909084190022</v>
      </c>
      <c r="X1957" s="3" t="n">
        <v>-1.791409107771787</v>
      </c>
      <c r="Y1957" s="3" t="n">
        <v>-0.7910909165035594</v>
      </c>
      <c r="Z1957" s="3" t="n">
        <v>-1.940136329694228</v>
      </c>
      <c r="AA1957" s="3" t="n">
        <v>-1.940136329694228</v>
      </c>
      <c r="AB1957" s="3" t="n">
        <v>-1.791409107771787</v>
      </c>
      <c r="AC1957" s="3" t="n">
        <v>-3.166227286512202</v>
      </c>
      <c r="AD1957" s="3" t="n">
        <v>-0.9166363667358052</v>
      </c>
      <c r="AE1957" s="3" t="n">
        <v>-0.9166363667358052</v>
      </c>
    </row>
    <row r="1958">
      <c r="A1958" s="3" t="inlineStr">
        <is>
          <t>SSD.distn.dec.ove.mean.8</t>
        </is>
      </c>
      <c r="B1958" s="3" t="inlineStr">
        <is>
          <t>SSD</t>
        </is>
      </c>
      <c r="C1958" s="3" t="n">
        <v>2005</v>
      </c>
      <c r="D1958" s="3" t="inlineStr">
        <is>
          <t>Overall</t>
        </is>
      </c>
      <c r="E1958" s="3" t="inlineStr">
        <is>
          <t>Deciles</t>
        </is>
      </c>
      <c r="F1958" s="3" t="inlineStr">
        <is>
          <t>mean</t>
        </is>
      </c>
      <c r="G1958" s="3" t="n">
        <v>8</v>
      </c>
      <c r="H1958" s="3" t="n">
        <v>-0.7914720340208574</v>
      </c>
      <c r="I1958" s="3" t="n">
        <v>-0.7914720340208574</v>
      </c>
      <c r="J1958" s="3" t="n">
        <v>-0.9191090735522184</v>
      </c>
      <c r="K1958" s="3" t="n">
        <v>-0.9191090735522184</v>
      </c>
      <c r="L1958" s="3" t="n">
        <v>-0.7914720340208574</v>
      </c>
      <c r="M1958" s="3" t="n">
        <v>-0.7914720340208574</v>
      </c>
      <c r="N1958" s="3" t="n">
        <v>-0.7914720340208574</v>
      </c>
      <c r="O1958" s="3" t="n">
        <v>-0.7914720340208574</v>
      </c>
      <c r="P1958" s="3" t="n">
        <v>-0.7914720340208574</v>
      </c>
      <c r="Q1958" s="3" t="n">
        <v>-0.7914720340208574</v>
      </c>
      <c r="R1958" s="3" t="n">
        <v>-0.7753003591840918</v>
      </c>
      <c r="S1958" s="3" t="n">
        <v>-1.958189584992149</v>
      </c>
      <c r="T1958" s="3" t="n">
        <v>-0.7100863836028359</v>
      </c>
      <c r="U1958" s="3" t="n">
        <v>-0.9191090735522184</v>
      </c>
      <c r="V1958" s="3" t="n">
        <v>-0.6853441162542864</v>
      </c>
      <c r="W1958" s="3" t="n">
        <v>-0.6115401116284457</v>
      </c>
      <c r="X1958" s="3" t="n">
        <v>-1.807732414115559</v>
      </c>
      <c r="Y1958" s="3" t="n">
        <v>-0.7914720340208574</v>
      </c>
      <c r="Z1958" s="3" t="n">
        <v>-1.958189584992149</v>
      </c>
      <c r="AA1958" s="3" t="n">
        <v>-1.958189584992149</v>
      </c>
      <c r="AB1958" s="3" t="n">
        <v>-1.807732414115559</v>
      </c>
      <c r="AC1958" s="3" t="n">
        <v>-3.211381879719821</v>
      </c>
      <c r="AD1958" s="3" t="n">
        <v>-0.9191090735522184</v>
      </c>
      <c r="AE1958" s="3" t="n">
        <v>-0.9191090735522184</v>
      </c>
    </row>
    <row r="1959">
      <c r="A1959" s="3" t="inlineStr">
        <is>
          <t>SSD.distn.dec.ove.mean.9</t>
        </is>
      </c>
      <c r="B1959" s="3" t="inlineStr">
        <is>
          <t>SSD</t>
        </is>
      </c>
      <c r="C1959" s="3" t="n">
        <v>2005</v>
      </c>
      <c r="D1959" s="3" t="inlineStr">
        <is>
          <t>Overall</t>
        </is>
      </c>
      <c r="E1959" s="3" t="inlineStr">
        <is>
          <t>Deciles</t>
        </is>
      </c>
      <c r="F1959" s="3" t="inlineStr">
        <is>
          <t>mean</t>
        </is>
      </c>
      <c r="G1959" s="3" t="n">
        <v>9</v>
      </c>
      <c r="H1959" s="3" t="n">
        <v>-0.7914720340208574</v>
      </c>
      <c r="I1959" s="3" t="n">
        <v>-0.7914720340208574</v>
      </c>
      <c r="J1959" s="3" t="n">
        <v>-0.9191090735522184</v>
      </c>
      <c r="K1959" s="3" t="n">
        <v>-0.9191090735522184</v>
      </c>
      <c r="L1959" s="3" t="n">
        <v>-0.7914720340208574</v>
      </c>
      <c r="M1959" s="3" t="n">
        <v>-0.7914720340208574</v>
      </c>
      <c r="N1959" s="3" t="n">
        <v>-0.7914720340208574</v>
      </c>
      <c r="O1959" s="3" t="n">
        <v>-0.7914720340208574</v>
      </c>
      <c r="P1959" s="3" t="n">
        <v>-0.7914720340208574</v>
      </c>
      <c r="Q1959" s="3" t="n">
        <v>-0.7914720340208574</v>
      </c>
      <c r="R1959" s="3" t="n">
        <v>-0.7753003591840918</v>
      </c>
      <c r="S1959" s="3" t="n">
        <v>-1.958189584992149</v>
      </c>
      <c r="T1959" s="3" t="n">
        <v>-0.7100863836028359</v>
      </c>
      <c r="U1959" s="3" t="n">
        <v>-0.9191090735522184</v>
      </c>
      <c r="V1959" s="3" t="n">
        <v>-0.6853441162542864</v>
      </c>
      <c r="W1959" s="3" t="n">
        <v>-0.6115401116284457</v>
      </c>
      <c r="X1959" s="3" t="n">
        <v>-1.807732414115559</v>
      </c>
      <c r="Y1959" s="3" t="n">
        <v>-0.7914720340208574</v>
      </c>
      <c r="Z1959" s="3" t="n">
        <v>-1.958189584992149</v>
      </c>
      <c r="AA1959" s="3" t="n">
        <v>-1.958189584992149</v>
      </c>
      <c r="AB1959" s="3" t="n">
        <v>-1.807732414115559</v>
      </c>
      <c r="AC1959" s="3" t="n">
        <v>-3.211381879719821</v>
      </c>
      <c r="AD1959" s="3" t="n">
        <v>-0.9191090735522184</v>
      </c>
      <c r="AE1959" s="3" t="n">
        <v>-0.9191090735522184</v>
      </c>
    </row>
    <row r="1960">
      <c r="A1960" s="3" t="inlineStr">
        <is>
          <t>SSD.distn.dec.ove.mean.10</t>
        </is>
      </c>
      <c r="B1960" s="3" t="inlineStr">
        <is>
          <t>SSD</t>
        </is>
      </c>
      <c r="C1960" s="3" t="n">
        <v>2005</v>
      </c>
      <c r="D1960" s="3" t="inlineStr">
        <is>
          <t>Overall</t>
        </is>
      </c>
      <c r="E1960" s="3" t="inlineStr">
        <is>
          <t>Deciles</t>
        </is>
      </c>
      <c r="F1960" s="3" t="inlineStr">
        <is>
          <t>mean</t>
        </is>
      </c>
      <c r="G1960" s="3" t="n">
        <v>10</v>
      </c>
      <c r="H1960" s="3" t="n">
        <v>-0.7914720340208574</v>
      </c>
      <c r="I1960" s="3" t="n">
        <v>-0.7914720340208574</v>
      </c>
      <c r="J1960" s="3" t="n">
        <v>-0.9191090735522184</v>
      </c>
      <c r="K1960" s="3" t="n">
        <v>-0.9191090735522184</v>
      </c>
      <c r="L1960" s="3" t="n">
        <v>-0.7914720340208574</v>
      </c>
      <c r="M1960" s="3" t="n">
        <v>-0.7914720340208574</v>
      </c>
      <c r="N1960" s="3" t="n">
        <v>-0.7914720340208574</v>
      </c>
      <c r="O1960" s="3" t="n">
        <v>-0.7914720340208574</v>
      </c>
      <c r="P1960" s="3" t="n">
        <v>-0.7914720340208574</v>
      </c>
      <c r="Q1960" s="3" t="n">
        <v>-0.7914720340208574</v>
      </c>
      <c r="R1960" s="3" t="n">
        <v>-0.7753003591840918</v>
      </c>
      <c r="S1960" s="3" t="n">
        <v>-1.958189584992149</v>
      </c>
      <c r="T1960" s="3" t="n">
        <v>-0.7100863836028359</v>
      </c>
      <c r="U1960" s="3" t="n">
        <v>-0.9191090735522184</v>
      </c>
      <c r="V1960" s="3" t="n">
        <v>-0.6853441162542864</v>
      </c>
      <c r="W1960" s="3" t="n">
        <v>-0.6115401116284457</v>
      </c>
      <c r="X1960" s="3" t="n">
        <v>-1.807732414115559</v>
      </c>
      <c r="Y1960" s="3" t="n">
        <v>-0.7914720340208574</v>
      </c>
      <c r="Z1960" s="3" t="n">
        <v>-1.958189584992149</v>
      </c>
      <c r="AA1960" s="3" t="n">
        <v>-1.958189584992149</v>
      </c>
      <c r="AB1960" s="3" t="n">
        <v>-1.807732414115559</v>
      </c>
      <c r="AC1960" s="3" t="n">
        <v>-3.211381879719821</v>
      </c>
      <c r="AD1960" s="3" t="n">
        <v>-0.9191090735522184</v>
      </c>
      <c r="AE1960" s="3" t="n">
        <v>-0.9191090735522184</v>
      </c>
    </row>
    <row r="1961">
      <c r="A1961" s="3" t="inlineStr">
        <is>
          <t>SSD.distn.bkt.ove.mean.9999</t>
        </is>
      </c>
      <c r="B1961" s="3" t="inlineStr">
        <is>
          <t>SSD</t>
        </is>
      </c>
      <c r="C1961" s="3" t="n">
        <v>2005</v>
      </c>
      <c r="D1961" s="3" t="inlineStr">
        <is>
          <t>Overall</t>
        </is>
      </c>
      <c r="E1961" s="3" t="inlineStr">
        <is>
          <t>Basket</t>
        </is>
      </c>
      <c r="F1961" s="3" t="inlineStr">
        <is>
          <t>mean</t>
        </is>
      </c>
      <c r="G1961" s="3" t="n">
        <v>9999</v>
      </c>
      <c r="H1961" s="3" t="n">
        <v>-0.7930992977185682</v>
      </c>
      <c r="I1961" s="3" t="n">
        <v>-0.7930992977185682</v>
      </c>
      <c r="J1961" s="3" t="n">
        <v>-0.9313406971367922</v>
      </c>
      <c r="K1961" s="3" t="n">
        <v>-0.9313406971367922</v>
      </c>
      <c r="L1961" s="3" t="n">
        <v>-0.7930992977185682</v>
      </c>
      <c r="M1961" s="3" t="n">
        <v>-0.7930992977185682</v>
      </c>
      <c r="N1961" s="3" t="n">
        <v>-0.7930992977185682</v>
      </c>
      <c r="O1961" s="3" t="n">
        <v>-0.7930992977185682</v>
      </c>
      <c r="P1961" s="3" t="n">
        <v>-0.7930992977185682</v>
      </c>
      <c r="Q1961" s="3" t="n">
        <v>-0.7930992977185682</v>
      </c>
      <c r="R1961" s="3" t="n">
        <v>-0.7761699828234586</v>
      </c>
      <c r="S1961" s="3" t="n">
        <v>-2.218057627027685</v>
      </c>
      <c r="T1961" s="3" t="n">
        <v>-0.7104947621172125</v>
      </c>
      <c r="U1961" s="3" t="n">
        <v>-0.9313406971367922</v>
      </c>
      <c r="V1961" s="3" t="n">
        <v>-0.6869587058370764</v>
      </c>
      <c r="W1961" s="3" t="n">
        <v>-0.6340034956281836</v>
      </c>
      <c r="X1961" s="3" t="n">
        <v>-2.020391117442738</v>
      </c>
      <c r="Y1961" s="3" t="n">
        <v>-0.7930992977185682</v>
      </c>
      <c r="Z1961" s="3" t="n">
        <v>-2.218057627027685</v>
      </c>
      <c r="AA1961" s="3" t="n">
        <v>-2.218057627027685</v>
      </c>
      <c r="AB1961" s="3" t="n">
        <v>-2.020391117442738</v>
      </c>
      <c r="AC1961" s="3" t="n">
        <v>-4.196821532466195</v>
      </c>
      <c r="AD1961" s="3" t="n">
        <v>-0.9313406971367922</v>
      </c>
      <c r="AE1961" s="3" t="n">
        <v>-0.9313406971367922</v>
      </c>
    </row>
    <row r="1962">
      <c r="A1962" s="3" t="inlineStr">
        <is>
          <t>STP.distn.dec.ove.mean.1</t>
        </is>
      </c>
      <c r="B1962" s="3" t="inlineStr">
        <is>
          <t>STP</t>
        </is>
      </c>
      <c r="C1962" s="3" t="n">
        <v>2005</v>
      </c>
      <c r="D1962" s="3" t="inlineStr">
        <is>
          <t>Overall</t>
        </is>
      </c>
      <c r="E1962" s="3" t="inlineStr">
        <is>
          <t>Deciles</t>
        </is>
      </c>
      <c r="F1962" s="3" t="inlineStr">
        <is>
          <t>mean</t>
        </is>
      </c>
      <c r="G1962" s="3" t="n">
        <v>1</v>
      </c>
      <c r="H1962" s="3" t="n">
        <v>-0.7942888140678406</v>
      </c>
      <c r="I1962" s="3" t="n">
        <v>-0.7942888140678406</v>
      </c>
      <c r="J1962" s="3" t="n">
        <v>-0.9288846254348755</v>
      </c>
      <c r="K1962" s="3" t="n">
        <v>-0.9288846254348755</v>
      </c>
      <c r="L1962" s="3" t="n">
        <v>-0.7942888140678406</v>
      </c>
      <c r="M1962" s="3" t="n">
        <v>-0.7942888140678406</v>
      </c>
      <c r="N1962" s="3" t="n">
        <v>-0.7942888140678406</v>
      </c>
      <c r="O1962" s="3" t="n">
        <v>-0.7942888140678406</v>
      </c>
      <c r="P1962" s="3" t="n">
        <v>-0.7942888140678406</v>
      </c>
      <c r="Q1962" s="3" t="n">
        <v>-0.7942888140678406</v>
      </c>
      <c r="R1962" s="3" t="n">
        <v>-0.7764842510223389</v>
      </c>
      <c r="S1962" s="3" t="n">
        <v>-1.760358929634094</v>
      </c>
      <c r="T1962" s="3" t="n">
        <v>-0.7114566564559937</v>
      </c>
      <c r="U1962" s="3" t="n">
        <v>-0.9288846254348755</v>
      </c>
      <c r="V1962" s="3" t="n">
        <v>-0.6890063881874084</v>
      </c>
      <c r="W1962" s="3" t="n">
        <v>-0.683217465877533</v>
      </c>
      <c r="X1962" s="3" t="n">
        <v>-1.684768199920654</v>
      </c>
      <c r="Y1962" s="3" t="n">
        <v>-0.7942888140678406</v>
      </c>
      <c r="Z1962" s="3" t="n">
        <v>-1.760358929634094</v>
      </c>
      <c r="AA1962" s="3" t="n">
        <v>-1.760358929634094</v>
      </c>
      <c r="AB1962" s="3" t="n">
        <v>-1.684768199920654</v>
      </c>
      <c r="AC1962" s="3" t="n">
        <v>-3.309019088745117</v>
      </c>
      <c r="AD1962" s="3" t="n">
        <v>-0.9288846254348755</v>
      </c>
      <c r="AE1962" s="3" t="n">
        <v>-0.9288846254348755</v>
      </c>
    </row>
    <row r="1963">
      <c r="A1963" s="3" t="inlineStr">
        <is>
          <t>STP.distn.dec.ove.mean.2</t>
        </is>
      </c>
      <c r="B1963" s="3" t="inlineStr">
        <is>
          <t>STP</t>
        </is>
      </c>
      <c r="C1963" s="3" t="n">
        <v>2005</v>
      </c>
      <c r="D1963" s="3" t="inlineStr">
        <is>
          <t>Overall</t>
        </is>
      </c>
      <c r="E1963" s="3" t="inlineStr">
        <is>
          <t>Deciles</t>
        </is>
      </c>
      <c r="F1963" s="3" t="inlineStr">
        <is>
          <t>mean</t>
        </is>
      </c>
      <c r="G1963" s="3" t="n">
        <v>2</v>
      </c>
      <c r="H1963" s="3" t="n">
        <v>-0.7942888140678406</v>
      </c>
      <c r="I1963" s="3" t="n">
        <v>-0.7942888140678406</v>
      </c>
      <c r="J1963" s="3" t="n">
        <v>-0.9288846254348755</v>
      </c>
      <c r="K1963" s="3" t="n">
        <v>-0.9288846254348755</v>
      </c>
      <c r="L1963" s="3" t="n">
        <v>-0.7942888140678406</v>
      </c>
      <c r="M1963" s="3" t="n">
        <v>-0.7942888140678406</v>
      </c>
      <c r="N1963" s="3" t="n">
        <v>-0.7942888140678406</v>
      </c>
      <c r="O1963" s="3" t="n">
        <v>-0.7942888140678406</v>
      </c>
      <c r="P1963" s="3" t="n">
        <v>-0.7942888140678406</v>
      </c>
      <c r="Q1963" s="3" t="n">
        <v>-0.7942888140678406</v>
      </c>
      <c r="R1963" s="3" t="n">
        <v>-0.7764842510223389</v>
      </c>
      <c r="S1963" s="3" t="n">
        <v>-1.760358929634094</v>
      </c>
      <c r="T1963" s="3" t="n">
        <v>-0.7114566564559937</v>
      </c>
      <c r="U1963" s="3" t="n">
        <v>-0.9288846254348755</v>
      </c>
      <c r="V1963" s="3" t="n">
        <v>-0.6890063881874084</v>
      </c>
      <c r="W1963" s="3" t="n">
        <v>-0.683217465877533</v>
      </c>
      <c r="X1963" s="3" t="n">
        <v>-1.684768199920654</v>
      </c>
      <c r="Y1963" s="3" t="n">
        <v>-0.7942888140678406</v>
      </c>
      <c r="Z1963" s="3" t="n">
        <v>-1.760358929634094</v>
      </c>
      <c r="AA1963" s="3" t="n">
        <v>-1.760358929634094</v>
      </c>
      <c r="AB1963" s="3" t="n">
        <v>-1.684768199920654</v>
      </c>
      <c r="AC1963" s="3" t="n">
        <v>-3.309019088745117</v>
      </c>
      <c r="AD1963" s="3" t="n">
        <v>-0.9288846254348755</v>
      </c>
      <c r="AE1963" s="3" t="n">
        <v>-0.9288846254348755</v>
      </c>
    </row>
    <row r="1964">
      <c r="A1964" s="3" t="inlineStr">
        <is>
          <t>STP.distn.dec.ove.mean.3</t>
        </is>
      </c>
      <c r="B1964" s="3" t="inlineStr">
        <is>
          <t>STP</t>
        </is>
      </c>
      <c r="C1964" s="3" t="n">
        <v>2005</v>
      </c>
      <c r="D1964" s="3" t="inlineStr">
        <is>
          <t>Overall</t>
        </is>
      </c>
      <c r="E1964" s="3" t="inlineStr">
        <is>
          <t>Deciles</t>
        </is>
      </c>
      <c r="F1964" s="3" t="inlineStr">
        <is>
          <t>mean</t>
        </is>
      </c>
      <c r="G1964" s="3" t="n">
        <v>3</v>
      </c>
      <c r="H1964" s="3" t="n">
        <v>-0.7942888140678406</v>
      </c>
      <c r="I1964" s="3" t="n">
        <v>-0.7942888140678406</v>
      </c>
      <c r="J1964" s="3" t="n">
        <v>-0.9288846254348755</v>
      </c>
      <c r="K1964" s="3" t="n">
        <v>-0.9288846254348755</v>
      </c>
      <c r="L1964" s="3" t="n">
        <v>-0.7942888140678406</v>
      </c>
      <c r="M1964" s="3" t="n">
        <v>-0.7942888140678406</v>
      </c>
      <c r="N1964" s="3" t="n">
        <v>-0.7942888140678406</v>
      </c>
      <c r="O1964" s="3" t="n">
        <v>-0.7942888140678406</v>
      </c>
      <c r="P1964" s="3" t="n">
        <v>-0.7942888140678406</v>
      </c>
      <c r="Q1964" s="3" t="n">
        <v>-0.7942888140678406</v>
      </c>
      <c r="R1964" s="3" t="n">
        <v>-0.7764842510223389</v>
      </c>
      <c r="S1964" s="3" t="n">
        <v>-1.760358929634094</v>
      </c>
      <c r="T1964" s="3" t="n">
        <v>-0.7114566564559937</v>
      </c>
      <c r="U1964" s="3" t="n">
        <v>-0.9288846254348755</v>
      </c>
      <c r="V1964" s="3" t="n">
        <v>-0.6890063881874084</v>
      </c>
      <c r="W1964" s="3" t="n">
        <v>-0.683217465877533</v>
      </c>
      <c r="X1964" s="3" t="n">
        <v>-1.684768199920654</v>
      </c>
      <c r="Y1964" s="3" t="n">
        <v>-0.7942888140678406</v>
      </c>
      <c r="Z1964" s="3" t="n">
        <v>-1.760358929634094</v>
      </c>
      <c r="AA1964" s="3" t="n">
        <v>-1.760358929634094</v>
      </c>
      <c r="AB1964" s="3" t="n">
        <v>-1.684768199920654</v>
      </c>
      <c r="AC1964" s="3" t="n">
        <v>-3.309019088745117</v>
      </c>
      <c r="AD1964" s="3" t="n">
        <v>-0.9288846254348755</v>
      </c>
      <c r="AE1964" s="3" t="n">
        <v>-0.9288846254348755</v>
      </c>
    </row>
    <row r="1965">
      <c r="A1965" s="3" t="inlineStr">
        <is>
          <t>STP.distn.dec.ove.mean.4</t>
        </is>
      </c>
      <c r="B1965" s="3" t="inlineStr">
        <is>
          <t>STP</t>
        </is>
      </c>
      <c r="C1965" s="3" t="n">
        <v>2005</v>
      </c>
      <c r="D1965" s="3" t="inlineStr">
        <is>
          <t>Overall</t>
        </is>
      </c>
      <c r="E1965" s="3" t="inlineStr">
        <is>
          <t>Deciles</t>
        </is>
      </c>
      <c r="F1965" s="3" t="inlineStr">
        <is>
          <t>mean</t>
        </is>
      </c>
      <c r="G1965" s="3" t="n">
        <v>4</v>
      </c>
      <c r="H1965" s="3" t="n">
        <v>-0.7879999876022339</v>
      </c>
      <c r="I1965" s="3" t="n">
        <v>-0.7879999876022339</v>
      </c>
      <c r="J1965" s="3" t="n">
        <v>-0.8840000033378601</v>
      </c>
      <c r="K1965" s="3" t="n">
        <v>-0.8840000033378601</v>
      </c>
      <c r="L1965" s="3" t="n">
        <v>-0.7879999876022339</v>
      </c>
      <c r="M1965" s="3" t="n">
        <v>-0.7879999876022339</v>
      </c>
      <c r="N1965" s="3" t="n">
        <v>-0.7879999876022339</v>
      </c>
      <c r="O1965" s="3" t="n">
        <v>-0.7879999876022339</v>
      </c>
      <c r="P1965" s="3" t="n">
        <v>-0.7879999876022339</v>
      </c>
      <c r="Q1965" s="3" t="n">
        <v>-0.7879999876022339</v>
      </c>
      <c r="R1965" s="3" t="n">
        <v>-0.7730000019073486</v>
      </c>
      <c r="S1965" s="3" t="n">
        <v>-1.199000000953674</v>
      </c>
      <c r="T1965" s="3" t="n">
        <v>-0.7099999785423279</v>
      </c>
      <c r="U1965" s="3" t="n">
        <v>-0.8840000033378601</v>
      </c>
      <c r="V1965" s="3" t="n">
        <v>-0.6819999814033508</v>
      </c>
      <c r="W1965" s="3" t="n">
        <v>-0.574999988079071</v>
      </c>
      <c r="X1965" s="3" t="n">
        <v>-1.189000010490417</v>
      </c>
      <c r="Y1965" s="3" t="n">
        <v>-0.7879999876022339</v>
      </c>
      <c r="Z1965" s="3" t="n">
        <v>-1.199000000953674</v>
      </c>
      <c r="AA1965" s="3" t="n">
        <v>-1.199000000953674</v>
      </c>
      <c r="AB1965" s="3" t="n">
        <v>-1.189000010490417</v>
      </c>
      <c r="AC1965" s="3" t="n">
        <v>-1.598000049591064</v>
      </c>
      <c r="AD1965" s="3" t="n">
        <v>-0.8840000033378601</v>
      </c>
      <c r="AE1965" s="3" t="n">
        <v>-0.8840000033378601</v>
      </c>
    </row>
    <row r="1966">
      <c r="A1966" s="3" t="inlineStr">
        <is>
          <t>STP.distn.dec.ove.mean.5</t>
        </is>
      </c>
      <c r="B1966" s="3" t="inlineStr">
        <is>
          <t>STP</t>
        </is>
      </c>
      <c r="C1966" s="3" t="n">
        <v>2005</v>
      </c>
      <c r="D1966" s="3" t="inlineStr">
        <is>
          <t>Overall</t>
        </is>
      </c>
      <c r="E1966" s="3" t="inlineStr">
        <is>
          <t>Deciles</t>
        </is>
      </c>
      <c r="F1966" s="3" t="inlineStr">
        <is>
          <t>mean</t>
        </is>
      </c>
      <c r="G1966" s="3" t="n">
        <v>5</v>
      </c>
      <c r="H1966" s="3" t="n">
        <v>-0.7879999876022339</v>
      </c>
      <c r="I1966" s="3" t="n">
        <v>-0.7879999876022339</v>
      </c>
      <c r="J1966" s="3" t="n">
        <v>-0.8840000033378601</v>
      </c>
      <c r="K1966" s="3" t="n">
        <v>-0.8840000033378601</v>
      </c>
      <c r="L1966" s="3" t="n">
        <v>-0.7879999876022339</v>
      </c>
      <c r="M1966" s="3" t="n">
        <v>-0.7879999876022339</v>
      </c>
      <c r="N1966" s="3" t="n">
        <v>-0.7879999876022339</v>
      </c>
      <c r="O1966" s="3" t="n">
        <v>-0.7879999876022339</v>
      </c>
      <c r="P1966" s="3" t="n">
        <v>-0.7879999876022339</v>
      </c>
      <c r="Q1966" s="3" t="n">
        <v>-0.7879999876022339</v>
      </c>
      <c r="R1966" s="3" t="n">
        <v>-0.7730000019073486</v>
      </c>
      <c r="S1966" s="3" t="n">
        <v>-1.199000000953674</v>
      </c>
      <c r="T1966" s="3" t="n">
        <v>-0.7099999785423279</v>
      </c>
      <c r="U1966" s="3" t="n">
        <v>-0.8840000033378601</v>
      </c>
      <c r="V1966" s="3" t="n">
        <v>-0.6819999814033508</v>
      </c>
      <c r="W1966" s="3" t="n">
        <v>-0.574999988079071</v>
      </c>
      <c r="X1966" s="3" t="n">
        <v>-1.189000010490417</v>
      </c>
      <c r="Y1966" s="3" t="n">
        <v>-0.7879999876022339</v>
      </c>
      <c r="Z1966" s="3" t="n">
        <v>-1.199000000953674</v>
      </c>
      <c r="AA1966" s="3" t="n">
        <v>-1.199000000953674</v>
      </c>
      <c r="AB1966" s="3" t="n">
        <v>-1.189000010490417</v>
      </c>
      <c r="AC1966" s="3" t="n">
        <v>-1.598000049591064</v>
      </c>
      <c r="AD1966" s="3" t="n">
        <v>-0.8840000033378601</v>
      </c>
      <c r="AE1966" s="3" t="n">
        <v>-0.8840000033378601</v>
      </c>
    </row>
    <row r="1967">
      <c r="A1967" s="3" t="inlineStr">
        <is>
          <t>STP.distn.dec.ove.mean.6</t>
        </is>
      </c>
      <c r="B1967" s="3" t="inlineStr">
        <is>
          <t>STP</t>
        </is>
      </c>
      <c r="C1967" s="3" t="n">
        <v>2005</v>
      </c>
      <c r="D1967" s="3" t="inlineStr">
        <is>
          <t>Overall</t>
        </is>
      </c>
      <c r="E1967" s="3" t="inlineStr">
        <is>
          <t>Deciles</t>
        </is>
      </c>
      <c r="F1967" s="3" t="inlineStr">
        <is>
          <t>mean</t>
        </is>
      </c>
      <c r="G1967" s="3" t="n">
        <v>6</v>
      </c>
      <c r="H1967" s="3" t="n">
        <v>-0.7879999876022339</v>
      </c>
      <c r="I1967" s="3" t="n">
        <v>-0.7879999876022339</v>
      </c>
      <c r="J1967" s="3" t="n">
        <v>-0.8840000033378601</v>
      </c>
      <c r="K1967" s="3" t="n">
        <v>-0.8840000033378601</v>
      </c>
      <c r="L1967" s="3" t="n">
        <v>-0.7879999876022339</v>
      </c>
      <c r="M1967" s="3" t="n">
        <v>-0.7879999876022339</v>
      </c>
      <c r="N1967" s="3" t="n">
        <v>-0.7879999876022339</v>
      </c>
      <c r="O1967" s="3" t="n">
        <v>-0.7879999876022339</v>
      </c>
      <c r="P1967" s="3" t="n">
        <v>-0.7879999876022339</v>
      </c>
      <c r="Q1967" s="3" t="n">
        <v>-0.7879999876022339</v>
      </c>
      <c r="R1967" s="3" t="n">
        <v>-0.7730000019073486</v>
      </c>
      <c r="S1967" s="3" t="n">
        <v>-1.199000000953674</v>
      </c>
      <c r="T1967" s="3" t="n">
        <v>-0.7099999785423279</v>
      </c>
      <c r="U1967" s="3" t="n">
        <v>-0.8840000033378601</v>
      </c>
      <c r="V1967" s="3" t="n">
        <v>-0.6819999814033508</v>
      </c>
      <c r="W1967" s="3" t="n">
        <v>-0.574999988079071</v>
      </c>
      <c r="X1967" s="3" t="n">
        <v>-1.189000010490417</v>
      </c>
      <c r="Y1967" s="3" t="n">
        <v>-0.7879999876022339</v>
      </c>
      <c r="Z1967" s="3" t="n">
        <v>-1.199000000953674</v>
      </c>
      <c r="AA1967" s="3" t="n">
        <v>-1.199000000953674</v>
      </c>
      <c r="AB1967" s="3" t="n">
        <v>-1.189000010490417</v>
      </c>
      <c r="AC1967" s="3" t="n">
        <v>-1.598000049591064</v>
      </c>
      <c r="AD1967" s="3" t="n">
        <v>-0.8840000033378601</v>
      </c>
      <c r="AE1967" s="3" t="n">
        <v>-0.8840000033378601</v>
      </c>
    </row>
    <row r="1968">
      <c r="A1968" s="3" t="inlineStr">
        <is>
          <t>STP.distn.dec.ove.mean.7</t>
        </is>
      </c>
      <c r="B1968" s="3" t="inlineStr">
        <is>
          <t>STP</t>
        </is>
      </c>
      <c r="C1968" s="3" t="n">
        <v>2005</v>
      </c>
      <c r="D1968" s="3" t="inlineStr">
        <is>
          <t>Overall</t>
        </is>
      </c>
      <c r="E1968" s="3" t="inlineStr">
        <is>
          <t>Deciles</t>
        </is>
      </c>
      <c r="F1968" s="3" t="inlineStr">
        <is>
          <t>mean</t>
        </is>
      </c>
      <c r="G1968" s="3" t="n">
        <v>7</v>
      </c>
      <c r="H1968" s="3" t="n">
        <v>-0.7879999876022339</v>
      </c>
      <c r="I1968" s="3" t="n">
        <v>-0.7879999876022339</v>
      </c>
      <c r="J1968" s="3" t="n">
        <v>-0.8840000033378601</v>
      </c>
      <c r="K1968" s="3" t="n">
        <v>-0.8840000033378601</v>
      </c>
      <c r="L1968" s="3" t="n">
        <v>-0.7879999876022339</v>
      </c>
      <c r="M1968" s="3" t="n">
        <v>-0.7879999876022339</v>
      </c>
      <c r="N1968" s="3" t="n">
        <v>-0.7879999876022339</v>
      </c>
      <c r="O1968" s="3" t="n">
        <v>-0.7879999876022339</v>
      </c>
      <c r="P1968" s="3" t="n">
        <v>-0.7879999876022339</v>
      </c>
      <c r="Q1968" s="3" t="n">
        <v>-0.7879999876022339</v>
      </c>
      <c r="R1968" s="3" t="n">
        <v>-0.7730000019073486</v>
      </c>
      <c r="S1968" s="3" t="n">
        <v>-1.199000000953674</v>
      </c>
      <c r="T1968" s="3" t="n">
        <v>-0.7099999785423279</v>
      </c>
      <c r="U1968" s="3" t="n">
        <v>-0.8840000033378601</v>
      </c>
      <c r="V1968" s="3" t="n">
        <v>-0.6819999814033508</v>
      </c>
      <c r="W1968" s="3" t="n">
        <v>-0.574999988079071</v>
      </c>
      <c r="X1968" s="3" t="n">
        <v>-1.189000010490417</v>
      </c>
      <c r="Y1968" s="3" t="n">
        <v>-0.7879999876022339</v>
      </c>
      <c r="Z1968" s="3" t="n">
        <v>-1.199000000953674</v>
      </c>
      <c r="AA1968" s="3" t="n">
        <v>-1.199000000953674</v>
      </c>
      <c r="AB1968" s="3" t="n">
        <v>-1.189000010490417</v>
      </c>
      <c r="AC1968" s="3" t="n">
        <v>-1.598000049591064</v>
      </c>
      <c r="AD1968" s="3" t="n">
        <v>-0.8840000033378601</v>
      </c>
      <c r="AE1968" s="3" t="n">
        <v>-0.8840000033378601</v>
      </c>
    </row>
    <row r="1969">
      <c r="A1969" s="3" t="inlineStr">
        <is>
          <t>STP.distn.dec.ove.mean.8</t>
        </is>
      </c>
      <c r="B1969" s="3" t="inlineStr">
        <is>
          <t>STP</t>
        </is>
      </c>
      <c r="C1969" s="3" t="n">
        <v>2005</v>
      </c>
      <c r="D1969" s="3" t="inlineStr">
        <is>
          <t>Overall</t>
        </is>
      </c>
      <c r="E1969" s="3" t="inlineStr">
        <is>
          <t>Deciles</t>
        </is>
      </c>
      <c r="F1969" s="3" t="inlineStr">
        <is>
          <t>mean</t>
        </is>
      </c>
      <c r="G1969" s="3" t="n">
        <v>8</v>
      </c>
      <c r="H1969" s="3" t="n">
        <v>-0.7883796691894531</v>
      </c>
      <c r="I1969" s="3" t="n">
        <v>-0.7883796691894531</v>
      </c>
      <c r="J1969" s="3" t="n">
        <v>-0.8863846659660339</v>
      </c>
      <c r="K1969" s="3" t="n">
        <v>-0.8863846659660339</v>
      </c>
      <c r="L1969" s="3" t="n">
        <v>-0.7883796691894531</v>
      </c>
      <c r="M1969" s="3" t="n">
        <v>-0.7883796691894531</v>
      </c>
      <c r="N1969" s="3" t="n">
        <v>-0.7883796691894531</v>
      </c>
      <c r="O1969" s="3" t="n">
        <v>-0.7883796691894531</v>
      </c>
      <c r="P1969" s="3" t="n">
        <v>-0.7883796691894531</v>
      </c>
      <c r="Q1969" s="3" t="n">
        <v>-0.7883796691894531</v>
      </c>
      <c r="R1969" s="3" t="n">
        <v>-0.7732542157173157</v>
      </c>
      <c r="S1969" s="3" t="n">
        <v>-1.210156798362732</v>
      </c>
      <c r="T1969" s="3" t="n">
        <v>-0.7100409269332886</v>
      </c>
      <c r="U1969" s="3" t="n">
        <v>-0.8863846659660339</v>
      </c>
      <c r="V1969" s="3" t="n">
        <v>-0.6827050447463989</v>
      </c>
      <c r="W1969" s="3" t="n">
        <v>-0.590397834777832</v>
      </c>
      <c r="X1969" s="3" t="n">
        <v>-1.199834108352661</v>
      </c>
      <c r="Y1969" s="3" t="n">
        <v>-0.7883796691894531</v>
      </c>
      <c r="Z1969" s="3" t="n">
        <v>-1.210156798362732</v>
      </c>
      <c r="AA1969" s="3" t="n">
        <v>-1.210156798362732</v>
      </c>
      <c r="AB1969" s="3" t="n">
        <v>-1.199834108352661</v>
      </c>
      <c r="AC1969" s="3" t="n">
        <v>-1.620789647102356</v>
      </c>
      <c r="AD1969" s="3" t="n">
        <v>-0.8863846659660339</v>
      </c>
      <c r="AE1969" s="3" t="n">
        <v>-0.8863846659660339</v>
      </c>
    </row>
    <row r="1970">
      <c r="A1970" s="3" t="inlineStr">
        <is>
          <t>STP.distn.dec.ove.mean.9</t>
        </is>
      </c>
      <c r="B1970" s="3" t="inlineStr">
        <is>
          <t>STP</t>
        </is>
      </c>
      <c r="C1970" s="3" t="n">
        <v>2005</v>
      </c>
      <c r="D1970" s="3" t="inlineStr">
        <is>
          <t>Overall</t>
        </is>
      </c>
      <c r="E1970" s="3" t="inlineStr">
        <is>
          <t>Deciles</t>
        </is>
      </c>
      <c r="F1970" s="3" t="inlineStr">
        <is>
          <t>mean</t>
        </is>
      </c>
      <c r="G1970" s="3" t="n">
        <v>9</v>
      </c>
      <c r="H1970" s="3" t="n">
        <v>-0.7883796691894531</v>
      </c>
      <c r="I1970" s="3" t="n">
        <v>-0.7883796691894531</v>
      </c>
      <c r="J1970" s="3" t="n">
        <v>-0.8863846659660339</v>
      </c>
      <c r="K1970" s="3" t="n">
        <v>-0.8863846659660339</v>
      </c>
      <c r="L1970" s="3" t="n">
        <v>-0.7883796691894531</v>
      </c>
      <c r="M1970" s="3" t="n">
        <v>-0.7883796691894531</v>
      </c>
      <c r="N1970" s="3" t="n">
        <v>-0.7883796691894531</v>
      </c>
      <c r="O1970" s="3" t="n">
        <v>-0.7883796691894531</v>
      </c>
      <c r="P1970" s="3" t="n">
        <v>-0.7883796691894531</v>
      </c>
      <c r="Q1970" s="3" t="n">
        <v>-0.7883796691894531</v>
      </c>
      <c r="R1970" s="3" t="n">
        <v>-0.7732542157173157</v>
      </c>
      <c r="S1970" s="3" t="n">
        <v>-1.210156798362732</v>
      </c>
      <c r="T1970" s="3" t="n">
        <v>-0.7100409269332886</v>
      </c>
      <c r="U1970" s="3" t="n">
        <v>-0.8863846659660339</v>
      </c>
      <c r="V1970" s="3" t="n">
        <v>-0.6827050447463989</v>
      </c>
      <c r="W1970" s="3" t="n">
        <v>-0.590397834777832</v>
      </c>
      <c r="X1970" s="3" t="n">
        <v>-1.199834108352661</v>
      </c>
      <c r="Y1970" s="3" t="n">
        <v>-0.7883796691894531</v>
      </c>
      <c r="Z1970" s="3" t="n">
        <v>-1.210156798362732</v>
      </c>
      <c r="AA1970" s="3" t="n">
        <v>-1.210156798362732</v>
      </c>
      <c r="AB1970" s="3" t="n">
        <v>-1.199834108352661</v>
      </c>
      <c r="AC1970" s="3" t="n">
        <v>-1.620789647102356</v>
      </c>
      <c r="AD1970" s="3" t="n">
        <v>-0.8863846659660339</v>
      </c>
      <c r="AE1970" s="3" t="n">
        <v>-0.8863846659660339</v>
      </c>
    </row>
    <row r="1971">
      <c r="A1971" s="3" t="inlineStr">
        <is>
          <t>STP.distn.dec.ove.mean.10</t>
        </is>
      </c>
      <c r="B1971" s="3" t="inlineStr">
        <is>
          <t>STP</t>
        </is>
      </c>
      <c r="C1971" s="3" t="n">
        <v>2005</v>
      </c>
      <c r="D1971" s="3" t="inlineStr">
        <is>
          <t>Overall</t>
        </is>
      </c>
      <c r="E1971" s="3" t="inlineStr">
        <is>
          <t>Deciles</t>
        </is>
      </c>
      <c r="F1971" s="3" t="inlineStr">
        <is>
          <t>mean</t>
        </is>
      </c>
      <c r="G1971" s="3" t="n">
        <v>10</v>
      </c>
      <c r="H1971" s="3" t="n">
        <v>-0.7883796691894531</v>
      </c>
      <c r="I1971" s="3" t="n">
        <v>-0.7883796691894531</v>
      </c>
      <c r="J1971" s="3" t="n">
        <v>-0.8863846659660339</v>
      </c>
      <c r="K1971" s="3" t="n">
        <v>-0.8863846659660339</v>
      </c>
      <c r="L1971" s="3" t="n">
        <v>-0.7883796691894531</v>
      </c>
      <c r="M1971" s="3" t="n">
        <v>-0.7883796691894531</v>
      </c>
      <c r="N1971" s="3" t="n">
        <v>-0.7883796691894531</v>
      </c>
      <c r="O1971" s="3" t="n">
        <v>-0.7883796691894531</v>
      </c>
      <c r="P1971" s="3" t="n">
        <v>-0.7883796691894531</v>
      </c>
      <c r="Q1971" s="3" t="n">
        <v>-0.7883796691894531</v>
      </c>
      <c r="R1971" s="3" t="n">
        <v>-0.7732542157173157</v>
      </c>
      <c r="S1971" s="3" t="n">
        <v>-1.210156798362732</v>
      </c>
      <c r="T1971" s="3" t="n">
        <v>-0.7100409269332886</v>
      </c>
      <c r="U1971" s="3" t="n">
        <v>-0.8863846659660339</v>
      </c>
      <c r="V1971" s="3" t="n">
        <v>-0.6827050447463989</v>
      </c>
      <c r="W1971" s="3" t="n">
        <v>-0.590397834777832</v>
      </c>
      <c r="X1971" s="3" t="n">
        <v>-1.199834108352661</v>
      </c>
      <c r="Y1971" s="3" t="n">
        <v>-0.7883796691894531</v>
      </c>
      <c r="Z1971" s="3" t="n">
        <v>-1.210156798362732</v>
      </c>
      <c r="AA1971" s="3" t="n">
        <v>-1.210156798362732</v>
      </c>
      <c r="AB1971" s="3" t="n">
        <v>-1.199834108352661</v>
      </c>
      <c r="AC1971" s="3" t="n">
        <v>-1.620789647102356</v>
      </c>
      <c r="AD1971" s="3" t="n">
        <v>-0.8863846659660339</v>
      </c>
      <c r="AE1971" s="3" t="n">
        <v>-0.8863846659660339</v>
      </c>
    </row>
    <row r="1972">
      <c r="A1972" s="3" t="inlineStr">
        <is>
          <t>STP.distn.bkt.ove.mean.9999</t>
        </is>
      </c>
      <c r="B1972" s="3" t="inlineStr">
        <is>
          <t>STP</t>
        </is>
      </c>
      <c r="C1972" s="3" t="n">
        <v>2005</v>
      </c>
      <c r="D1972" s="3" t="inlineStr">
        <is>
          <t>Overall</t>
        </is>
      </c>
      <c r="E1972" s="3" t="inlineStr">
        <is>
          <t>Basket</t>
        </is>
      </c>
      <c r="F1972" s="3" t="inlineStr">
        <is>
          <t>mean</t>
        </is>
      </c>
      <c r="G1972" s="3" t="n">
        <v>9999</v>
      </c>
      <c r="H1972" s="3" t="n">
        <v>-0.7900005578994751</v>
      </c>
      <c r="I1972" s="3" t="n">
        <v>-0.7900005578994751</v>
      </c>
      <c r="J1972" s="3" t="n">
        <v>-0.8981807827949524</v>
      </c>
      <c r="K1972" s="3" t="n">
        <v>-0.8981807827949524</v>
      </c>
      <c r="L1972" s="3" t="n">
        <v>-0.7900005578994751</v>
      </c>
      <c r="M1972" s="3" t="n">
        <v>-0.7900005578994751</v>
      </c>
      <c r="N1972" s="3" t="n">
        <v>-0.7900005578994751</v>
      </c>
      <c r="O1972" s="3" t="n">
        <v>-0.7900005578994751</v>
      </c>
      <c r="P1972" s="3" t="n">
        <v>-0.7900005578994751</v>
      </c>
      <c r="Q1972" s="3" t="n">
        <v>-0.7900005578994751</v>
      </c>
      <c r="R1972" s="3" t="n">
        <v>-0.7741215229034424</v>
      </c>
      <c r="S1972" s="3" t="n">
        <v>-1.370754718780518</v>
      </c>
      <c r="T1972" s="3" t="n">
        <v>-0.7104492783546448</v>
      </c>
      <c r="U1972" s="3" t="n">
        <v>-0.8981807827949524</v>
      </c>
      <c r="V1972" s="3" t="n">
        <v>-0.6843134164810181</v>
      </c>
      <c r="W1972" s="3" t="n">
        <v>-0.6120845675468445</v>
      </c>
      <c r="X1972" s="3" t="n">
        <v>-1.340980648994446</v>
      </c>
      <c r="Y1972" s="3" t="n">
        <v>-0.7900005578994751</v>
      </c>
      <c r="Z1972" s="3" t="n">
        <v>-1.370754718780518</v>
      </c>
      <c r="AA1972" s="3" t="n">
        <v>-1.370754718780518</v>
      </c>
      <c r="AB1972" s="3" t="n">
        <v>-1.340980648994446</v>
      </c>
      <c r="AC1972" s="3" t="n">
        <v>-2.118142604827881</v>
      </c>
      <c r="AD1972" s="3" t="n">
        <v>-0.8981807827949524</v>
      </c>
      <c r="AE1972" s="3" t="n">
        <v>-0.8981807827949524</v>
      </c>
    </row>
    <row r="1973">
      <c r="A1973" s="3" t="inlineStr">
        <is>
          <t>SUR.distn.dec.ove.mean.1</t>
        </is>
      </c>
      <c r="B1973" s="3" t="inlineStr">
        <is>
          <t>SUR</t>
        </is>
      </c>
      <c r="C1973" s="3" t="n">
        <v>2005</v>
      </c>
      <c r="D1973" s="3" t="inlineStr">
        <is>
          <t>Overall</t>
        </is>
      </c>
      <c r="E1973" s="3" t="inlineStr">
        <is>
          <t>Deciles</t>
        </is>
      </c>
      <c r="F1973" s="3" t="inlineStr">
        <is>
          <t>mean</t>
        </is>
      </c>
      <c r="G1973" s="3" t="n">
        <v>1</v>
      </c>
      <c r="H1973" s="3" t="n">
        <v>-0.7898249251501901</v>
      </c>
      <c r="I1973" s="3" t="n">
        <v>-0.7898249251501901</v>
      </c>
      <c r="J1973" s="3" t="n">
        <v>-0.9006037865366254</v>
      </c>
      <c r="K1973" s="3" t="n">
        <v>-0.9006037865366254</v>
      </c>
      <c r="L1973" s="3" t="n">
        <v>-0.7898249251501901</v>
      </c>
      <c r="M1973" s="3" t="n">
        <v>-0.7898249251501901</v>
      </c>
      <c r="N1973" s="3" t="n">
        <v>-0.7898249251501901</v>
      </c>
      <c r="O1973" s="3" t="n">
        <v>-0.7898249251501901</v>
      </c>
      <c r="P1973" s="3" t="n">
        <v>-0.7898249251501901</v>
      </c>
      <c r="Q1973" s="3" t="n">
        <v>-0.7898249251501901</v>
      </c>
      <c r="R1973" s="3" t="n">
        <v>-0.7744465725762504</v>
      </c>
      <c r="S1973" s="3" t="n">
        <v>-1.490841317176819</v>
      </c>
      <c r="T1973" s="3" t="n">
        <v>-0.7100824441228594</v>
      </c>
      <c r="U1973" s="3" t="n">
        <v>-0.9006037865366254</v>
      </c>
      <c r="V1973" s="3" t="n">
        <v>-0.6846477542604719</v>
      </c>
      <c r="W1973" s="3" t="n">
        <v>-0.6204802887780326</v>
      </c>
      <c r="X1973" s="3" t="n">
        <v>-1.433480068615505</v>
      </c>
      <c r="Y1973" s="3" t="n">
        <v>-0.7898249251501901</v>
      </c>
      <c r="Z1973" s="3" t="n">
        <v>-1.490841317176819</v>
      </c>
      <c r="AA1973" s="3" t="n">
        <v>-1.490841317176819</v>
      </c>
      <c r="AB1973" s="3" t="n">
        <v>-1.433480068615505</v>
      </c>
      <c r="AC1973" s="3" t="n">
        <v>-2.345895099639892</v>
      </c>
      <c r="AD1973" s="3" t="n">
        <v>-0.9006037865366254</v>
      </c>
      <c r="AE1973" s="3" t="n">
        <v>-0.9006037865366254</v>
      </c>
    </row>
    <row r="1974">
      <c r="A1974" s="3" t="inlineStr">
        <is>
          <t>SUR.distn.dec.ove.mean.2</t>
        </is>
      </c>
      <c r="B1974" s="3" t="inlineStr">
        <is>
          <t>SUR</t>
        </is>
      </c>
      <c r="C1974" s="3" t="n">
        <v>2005</v>
      </c>
      <c r="D1974" s="3" t="inlineStr">
        <is>
          <t>Overall</t>
        </is>
      </c>
      <c r="E1974" s="3" t="inlineStr">
        <is>
          <t>Deciles</t>
        </is>
      </c>
      <c r="F1974" s="3" t="inlineStr">
        <is>
          <t>mean</t>
        </is>
      </c>
      <c r="G1974" s="3" t="n">
        <v>2</v>
      </c>
      <c r="H1974" s="3" t="n">
        <v>-0.7898249251501901</v>
      </c>
      <c r="I1974" s="3" t="n">
        <v>-0.7898249251501901</v>
      </c>
      <c r="J1974" s="3" t="n">
        <v>-0.9006037865366254</v>
      </c>
      <c r="K1974" s="3" t="n">
        <v>-0.9006037865366254</v>
      </c>
      <c r="L1974" s="3" t="n">
        <v>-0.7898249251501901</v>
      </c>
      <c r="M1974" s="3" t="n">
        <v>-0.7898249251501901</v>
      </c>
      <c r="N1974" s="3" t="n">
        <v>-0.7898249251501901</v>
      </c>
      <c r="O1974" s="3" t="n">
        <v>-0.7898249251501901</v>
      </c>
      <c r="P1974" s="3" t="n">
        <v>-0.7898249251501901</v>
      </c>
      <c r="Q1974" s="3" t="n">
        <v>-0.7898249251501901</v>
      </c>
      <c r="R1974" s="3" t="n">
        <v>-0.7744465725762504</v>
      </c>
      <c r="S1974" s="3" t="n">
        <v>-1.490841317176819</v>
      </c>
      <c r="T1974" s="3" t="n">
        <v>-0.7100824441228594</v>
      </c>
      <c r="U1974" s="3" t="n">
        <v>-0.9006037865366254</v>
      </c>
      <c r="V1974" s="3" t="n">
        <v>-0.6846477542604719</v>
      </c>
      <c r="W1974" s="3" t="n">
        <v>-0.6204802887780326</v>
      </c>
      <c r="X1974" s="3" t="n">
        <v>-1.433480068615505</v>
      </c>
      <c r="Y1974" s="3" t="n">
        <v>-0.7898249251501901</v>
      </c>
      <c r="Z1974" s="3" t="n">
        <v>-1.490841317176819</v>
      </c>
      <c r="AA1974" s="3" t="n">
        <v>-1.490841317176819</v>
      </c>
      <c r="AB1974" s="3" t="n">
        <v>-1.433480068615505</v>
      </c>
      <c r="AC1974" s="3" t="n">
        <v>-2.345895099639892</v>
      </c>
      <c r="AD1974" s="3" t="n">
        <v>-0.9006037865366254</v>
      </c>
      <c r="AE1974" s="3" t="n">
        <v>-0.9006037865366254</v>
      </c>
    </row>
    <row r="1975">
      <c r="A1975" s="3" t="inlineStr">
        <is>
          <t>SUR.distn.dec.ove.mean.3</t>
        </is>
      </c>
      <c r="B1975" s="3" t="inlineStr">
        <is>
          <t>SUR</t>
        </is>
      </c>
      <c r="C1975" s="3" t="n">
        <v>2005</v>
      </c>
      <c r="D1975" s="3" t="inlineStr">
        <is>
          <t>Overall</t>
        </is>
      </c>
      <c r="E1975" s="3" t="inlineStr">
        <is>
          <t>Deciles</t>
        </is>
      </c>
      <c r="F1975" s="3" t="inlineStr">
        <is>
          <t>mean</t>
        </is>
      </c>
      <c r="G1975" s="3" t="n">
        <v>3</v>
      </c>
      <c r="H1975" s="3" t="n">
        <v>-0.7898249251501901</v>
      </c>
      <c r="I1975" s="3" t="n">
        <v>-0.7898249251501901</v>
      </c>
      <c r="J1975" s="3" t="n">
        <v>-0.9006037865366254</v>
      </c>
      <c r="K1975" s="3" t="n">
        <v>-0.9006037865366254</v>
      </c>
      <c r="L1975" s="3" t="n">
        <v>-0.7898249251501901</v>
      </c>
      <c r="M1975" s="3" t="n">
        <v>-0.7898249251501901</v>
      </c>
      <c r="N1975" s="3" t="n">
        <v>-0.7898249251501901</v>
      </c>
      <c r="O1975" s="3" t="n">
        <v>-0.7898249251501901</v>
      </c>
      <c r="P1975" s="3" t="n">
        <v>-0.7898249251501901</v>
      </c>
      <c r="Q1975" s="3" t="n">
        <v>-0.7898249251501901</v>
      </c>
      <c r="R1975" s="3" t="n">
        <v>-0.7744465725762504</v>
      </c>
      <c r="S1975" s="3" t="n">
        <v>-1.490841317176819</v>
      </c>
      <c r="T1975" s="3" t="n">
        <v>-0.7100824441228594</v>
      </c>
      <c r="U1975" s="3" t="n">
        <v>-0.9006037865366254</v>
      </c>
      <c r="V1975" s="3" t="n">
        <v>-0.6846477542604719</v>
      </c>
      <c r="W1975" s="3" t="n">
        <v>-0.6204802887780326</v>
      </c>
      <c r="X1975" s="3" t="n">
        <v>-1.433480068615505</v>
      </c>
      <c r="Y1975" s="3" t="n">
        <v>-0.7898249251501901</v>
      </c>
      <c r="Z1975" s="3" t="n">
        <v>-1.490841317176819</v>
      </c>
      <c r="AA1975" s="3" t="n">
        <v>-1.490841317176819</v>
      </c>
      <c r="AB1975" s="3" t="n">
        <v>-1.433480068615505</v>
      </c>
      <c r="AC1975" s="3" t="n">
        <v>-2.345895099639892</v>
      </c>
      <c r="AD1975" s="3" t="n">
        <v>-0.9006037865366254</v>
      </c>
      <c r="AE1975" s="3" t="n">
        <v>-0.9006037865366254</v>
      </c>
    </row>
    <row r="1976">
      <c r="A1976" s="3" t="inlineStr">
        <is>
          <t>SUR.distn.dec.ove.mean.4</t>
        </is>
      </c>
      <c r="B1976" s="3" t="inlineStr">
        <is>
          <t>SUR</t>
        </is>
      </c>
      <c r="C1976" s="3" t="n">
        <v>2005</v>
      </c>
      <c r="D1976" s="3" t="inlineStr">
        <is>
          <t>Overall</t>
        </is>
      </c>
      <c r="E1976" s="3" t="inlineStr">
        <is>
          <t>Deciles</t>
        </is>
      </c>
      <c r="F1976" s="3" t="inlineStr">
        <is>
          <t>mean</t>
        </is>
      </c>
      <c r="G1976" s="3" t="n">
        <v>4</v>
      </c>
      <c r="H1976" s="3" t="n">
        <v>-0.7835714289120266</v>
      </c>
      <c r="I1976" s="3" t="n">
        <v>-0.7835714289120266</v>
      </c>
      <c r="J1976" s="3" t="n">
        <v>-0.8570857082094465</v>
      </c>
      <c r="K1976" s="3" t="n">
        <v>-0.8570857082094465</v>
      </c>
      <c r="L1976" s="3" t="n">
        <v>-0.7835714289120266</v>
      </c>
      <c r="M1976" s="3" t="n">
        <v>-0.7835714289120266</v>
      </c>
      <c r="N1976" s="3" t="n">
        <v>-0.7835714289120266</v>
      </c>
      <c r="O1976" s="3" t="n">
        <v>-0.7835714289120266</v>
      </c>
      <c r="P1976" s="3" t="n">
        <v>-0.7835714289120266</v>
      </c>
      <c r="Q1976" s="3" t="n">
        <v>-0.7835714289120266</v>
      </c>
      <c r="R1976" s="3" t="n">
        <v>-0.7709714361599513</v>
      </c>
      <c r="S1976" s="3" t="n">
        <v>-1.015428565229688</v>
      </c>
      <c r="T1976" s="3" t="n">
        <v>-0.708628567627498</v>
      </c>
      <c r="U1976" s="3" t="n">
        <v>-0.8570857082094465</v>
      </c>
      <c r="V1976" s="3" t="n">
        <v>-0.6776857103620256</v>
      </c>
      <c r="W1976" s="3" t="n">
        <v>-0.5221999968801226</v>
      </c>
      <c r="X1976" s="3" t="n">
        <v>-1.011657135827201</v>
      </c>
      <c r="Y1976" s="3" t="n">
        <v>-0.7835714289120266</v>
      </c>
      <c r="Z1976" s="3" t="n">
        <v>-1.015428565229688</v>
      </c>
      <c r="AA1976" s="3" t="n">
        <v>-1.015428565229688</v>
      </c>
      <c r="AB1976" s="3" t="n">
        <v>-1.011657135827201</v>
      </c>
      <c r="AC1976" s="3" t="n">
        <v>-1.132885714939662</v>
      </c>
      <c r="AD1976" s="3" t="n">
        <v>-0.8570857082094465</v>
      </c>
      <c r="AE1976" s="3" t="n">
        <v>-0.8570857082094465</v>
      </c>
    </row>
    <row r="1977">
      <c r="A1977" s="3" t="inlineStr">
        <is>
          <t>SUR.distn.dec.ove.mean.5</t>
        </is>
      </c>
      <c r="B1977" s="3" t="inlineStr">
        <is>
          <t>SUR</t>
        </is>
      </c>
      <c r="C1977" s="3" t="n">
        <v>2005</v>
      </c>
      <c r="D1977" s="3" t="inlineStr">
        <is>
          <t>Overall</t>
        </is>
      </c>
      <c r="E1977" s="3" t="inlineStr">
        <is>
          <t>Deciles</t>
        </is>
      </c>
      <c r="F1977" s="3" t="inlineStr">
        <is>
          <t>mean</t>
        </is>
      </c>
      <c r="G1977" s="3" t="n">
        <v>5</v>
      </c>
      <c r="H1977" s="3" t="n">
        <v>-0.7835714289120266</v>
      </c>
      <c r="I1977" s="3" t="n">
        <v>-0.7835714289120266</v>
      </c>
      <c r="J1977" s="3" t="n">
        <v>-0.8570857082094465</v>
      </c>
      <c r="K1977" s="3" t="n">
        <v>-0.8570857082094465</v>
      </c>
      <c r="L1977" s="3" t="n">
        <v>-0.7835714289120266</v>
      </c>
      <c r="M1977" s="3" t="n">
        <v>-0.7835714289120266</v>
      </c>
      <c r="N1977" s="3" t="n">
        <v>-0.7835714289120266</v>
      </c>
      <c r="O1977" s="3" t="n">
        <v>-0.7835714289120266</v>
      </c>
      <c r="P1977" s="3" t="n">
        <v>-0.7835714289120266</v>
      </c>
      <c r="Q1977" s="3" t="n">
        <v>-0.7835714289120266</v>
      </c>
      <c r="R1977" s="3" t="n">
        <v>-0.7709714361599513</v>
      </c>
      <c r="S1977" s="3" t="n">
        <v>-1.015428565229688</v>
      </c>
      <c r="T1977" s="3" t="n">
        <v>-0.708628567627498</v>
      </c>
      <c r="U1977" s="3" t="n">
        <v>-0.8570857082094465</v>
      </c>
      <c r="V1977" s="3" t="n">
        <v>-0.6776857103620256</v>
      </c>
      <c r="W1977" s="3" t="n">
        <v>-0.5221999968801226</v>
      </c>
      <c r="X1977" s="3" t="n">
        <v>-1.011657135827201</v>
      </c>
      <c r="Y1977" s="3" t="n">
        <v>-0.7835714289120266</v>
      </c>
      <c r="Z1977" s="3" t="n">
        <v>-1.015428565229688</v>
      </c>
      <c r="AA1977" s="3" t="n">
        <v>-1.015428565229688</v>
      </c>
      <c r="AB1977" s="3" t="n">
        <v>-1.011657135827201</v>
      </c>
      <c r="AC1977" s="3" t="n">
        <v>-1.132885714939662</v>
      </c>
      <c r="AD1977" s="3" t="n">
        <v>-0.8570857082094465</v>
      </c>
      <c r="AE1977" s="3" t="n">
        <v>-0.8570857082094465</v>
      </c>
    </row>
    <row r="1978">
      <c r="A1978" s="3" t="inlineStr">
        <is>
          <t>SUR.distn.dec.ove.mean.6</t>
        </is>
      </c>
      <c r="B1978" s="3" t="inlineStr">
        <is>
          <t>SUR</t>
        </is>
      </c>
      <c r="C1978" s="3" t="n">
        <v>2005</v>
      </c>
      <c r="D1978" s="3" t="inlineStr">
        <is>
          <t>Overall</t>
        </is>
      </c>
      <c r="E1978" s="3" t="inlineStr">
        <is>
          <t>Deciles</t>
        </is>
      </c>
      <c r="F1978" s="3" t="inlineStr">
        <is>
          <t>mean</t>
        </is>
      </c>
      <c r="G1978" s="3" t="n">
        <v>6</v>
      </c>
      <c r="H1978" s="3" t="n">
        <v>-0.7835714289120266</v>
      </c>
      <c r="I1978" s="3" t="n">
        <v>-0.7835714289120266</v>
      </c>
      <c r="J1978" s="3" t="n">
        <v>-0.8570857082094465</v>
      </c>
      <c r="K1978" s="3" t="n">
        <v>-0.8570857082094465</v>
      </c>
      <c r="L1978" s="3" t="n">
        <v>-0.7835714289120266</v>
      </c>
      <c r="M1978" s="3" t="n">
        <v>-0.7835714289120266</v>
      </c>
      <c r="N1978" s="3" t="n">
        <v>-0.7835714289120266</v>
      </c>
      <c r="O1978" s="3" t="n">
        <v>-0.7835714289120266</v>
      </c>
      <c r="P1978" s="3" t="n">
        <v>-0.7835714289120266</v>
      </c>
      <c r="Q1978" s="3" t="n">
        <v>-0.7835714289120266</v>
      </c>
      <c r="R1978" s="3" t="n">
        <v>-0.7709714361599513</v>
      </c>
      <c r="S1978" s="3" t="n">
        <v>-1.015428565229688</v>
      </c>
      <c r="T1978" s="3" t="n">
        <v>-0.708628567627498</v>
      </c>
      <c r="U1978" s="3" t="n">
        <v>-0.8570857082094465</v>
      </c>
      <c r="V1978" s="3" t="n">
        <v>-0.6776857103620256</v>
      </c>
      <c r="W1978" s="3" t="n">
        <v>-0.5221999968801226</v>
      </c>
      <c r="X1978" s="3" t="n">
        <v>-1.011657135827201</v>
      </c>
      <c r="Y1978" s="3" t="n">
        <v>-0.7835714289120266</v>
      </c>
      <c r="Z1978" s="3" t="n">
        <v>-1.015428565229688</v>
      </c>
      <c r="AA1978" s="3" t="n">
        <v>-1.015428565229688</v>
      </c>
      <c r="AB1978" s="3" t="n">
        <v>-1.011657135827201</v>
      </c>
      <c r="AC1978" s="3" t="n">
        <v>-1.132885714939662</v>
      </c>
      <c r="AD1978" s="3" t="n">
        <v>-0.8570857082094465</v>
      </c>
      <c r="AE1978" s="3" t="n">
        <v>-0.8570857082094465</v>
      </c>
    </row>
    <row r="1979">
      <c r="A1979" s="3" t="inlineStr">
        <is>
          <t>SUR.distn.dec.ove.mean.7</t>
        </is>
      </c>
      <c r="B1979" s="3" t="inlineStr">
        <is>
          <t>SUR</t>
        </is>
      </c>
      <c r="C1979" s="3" t="n">
        <v>2005</v>
      </c>
      <c r="D1979" s="3" t="inlineStr">
        <is>
          <t>Overall</t>
        </is>
      </c>
      <c r="E1979" s="3" t="inlineStr">
        <is>
          <t>Deciles</t>
        </is>
      </c>
      <c r="F1979" s="3" t="inlineStr">
        <is>
          <t>mean</t>
        </is>
      </c>
      <c r="G1979" s="3" t="n">
        <v>7</v>
      </c>
      <c r="H1979" s="3" t="n">
        <v>-0.7835714289120266</v>
      </c>
      <c r="I1979" s="3" t="n">
        <v>-0.7835714289120266</v>
      </c>
      <c r="J1979" s="3" t="n">
        <v>-0.8570857082094465</v>
      </c>
      <c r="K1979" s="3" t="n">
        <v>-0.8570857082094465</v>
      </c>
      <c r="L1979" s="3" t="n">
        <v>-0.7835714289120266</v>
      </c>
      <c r="M1979" s="3" t="n">
        <v>-0.7835714289120266</v>
      </c>
      <c r="N1979" s="3" t="n">
        <v>-0.7835714289120266</v>
      </c>
      <c r="O1979" s="3" t="n">
        <v>-0.7835714289120266</v>
      </c>
      <c r="P1979" s="3" t="n">
        <v>-0.7835714289120266</v>
      </c>
      <c r="Q1979" s="3" t="n">
        <v>-0.7835714289120266</v>
      </c>
      <c r="R1979" s="3" t="n">
        <v>-0.7709714361599513</v>
      </c>
      <c r="S1979" s="3" t="n">
        <v>-1.015428565229688</v>
      </c>
      <c r="T1979" s="3" t="n">
        <v>-0.708628567627498</v>
      </c>
      <c r="U1979" s="3" t="n">
        <v>-0.8570857082094465</v>
      </c>
      <c r="V1979" s="3" t="n">
        <v>-0.6776857103620256</v>
      </c>
      <c r="W1979" s="3" t="n">
        <v>-0.5221999968801226</v>
      </c>
      <c r="X1979" s="3" t="n">
        <v>-1.011657135827201</v>
      </c>
      <c r="Y1979" s="3" t="n">
        <v>-0.7835714289120266</v>
      </c>
      <c r="Z1979" s="3" t="n">
        <v>-1.015428565229688</v>
      </c>
      <c r="AA1979" s="3" t="n">
        <v>-1.015428565229688</v>
      </c>
      <c r="AB1979" s="3" t="n">
        <v>-1.011657135827201</v>
      </c>
      <c r="AC1979" s="3" t="n">
        <v>-1.132885714939662</v>
      </c>
      <c r="AD1979" s="3" t="n">
        <v>-0.8570857082094465</v>
      </c>
      <c r="AE1979" s="3" t="n">
        <v>-0.8570857082094465</v>
      </c>
    </row>
    <row r="1980">
      <c r="A1980" s="3" t="inlineStr">
        <is>
          <t>SUR.distn.dec.ove.mean.8</t>
        </is>
      </c>
      <c r="B1980" s="3" t="inlineStr">
        <is>
          <t>SUR</t>
        </is>
      </c>
      <c r="C1980" s="3" t="n">
        <v>2005</v>
      </c>
      <c r="D1980" s="3" t="inlineStr">
        <is>
          <t>Overall</t>
        </is>
      </c>
      <c r="E1980" s="3" t="inlineStr">
        <is>
          <t>Deciles</t>
        </is>
      </c>
      <c r="F1980" s="3" t="inlineStr">
        <is>
          <t>mean</t>
        </is>
      </c>
      <c r="G1980" s="3" t="n">
        <v>8</v>
      </c>
      <c r="H1980" s="3" t="n">
        <v>-0.7839489357812064</v>
      </c>
      <c r="I1980" s="3" t="n">
        <v>-0.7839489357812064</v>
      </c>
      <c r="J1980" s="3" t="n">
        <v>-0.8593977723802839</v>
      </c>
      <c r="K1980" s="3" t="n">
        <v>-0.8593977723802839</v>
      </c>
      <c r="L1980" s="3" t="n">
        <v>-0.7839489357812064</v>
      </c>
      <c r="M1980" s="3" t="n">
        <v>-0.7839489357812064</v>
      </c>
      <c r="N1980" s="3" t="n">
        <v>-0.7839489357812064</v>
      </c>
      <c r="O1980" s="3" t="n">
        <v>-0.7839489357812064</v>
      </c>
      <c r="P1980" s="3" t="n">
        <v>-0.7839489357812064</v>
      </c>
      <c r="Q1980" s="3" t="n">
        <v>-0.7839489357812064</v>
      </c>
      <c r="R1980" s="3" t="n">
        <v>-0.7712249892098563</v>
      </c>
      <c r="S1980" s="3" t="n">
        <v>-1.024877253600529</v>
      </c>
      <c r="T1980" s="3" t="n">
        <v>-0.7086694342749459</v>
      </c>
      <c r="U1980" s="3" t="n">
        <v>-0.8593977723802839</v>
      </c>
      <c r="V1980" s="3" t="n">
        <v>-0.6783862863268171</v>
      </c>
      <c r="W1980" s="3" t="n">
        <v>-0.5361838928290776</v>
      </c>
      <c r="X1980" s="3" t="n">
        <v>-1.020875356878553</v>
      </c>
      <c r="Y1980" s="3" t="n">
        <v>-0.7839489357812064</v>
      </c>
      <c r="Z1980" s="3" t="n">
        <v>-1.024877253600529</v>
      </c>
      <c r="AA1980" s="3" t="n">
        <v>-1.024877253600529</v>
      </c>
      <c r="AB1980" s="3" t="n">
        <v>-1.020875356878553</v>
      </c>
      <c r="AC1980" s="3" t="n">
        <v>-1.149042170388358</v>
      </c>
      <c r="AD1980" s="3" t="n">
        <v>-0.8593977723802839</v>
      </c>
      <c r="AE1980" s="3" t="n">
        <v>-0.8593977723802839</v>
      </c>
    </row>
    <row r="1981">
      <c r="A1981" s="3" t="inlineStr">
        <is>
          <t>SUR.distn.dec.ove.mean.9</t>
        </is>
      </c>
      <c r="B1981" s="3" t="inlineStr">
        <is>
          <t>SUR</t>
        </is>
      </c>
      <c r="C1981" s="3" t="n">
        <v>2005</v>
      </c>
      <c r="D1981" s="3" t="inlineStr">
        <is>
          <t>Overall</t>
        </is>
      </c>
      <c r="E1981" s="3" t="inlineStr">
        <is>
          <t>Deciles</t>
        </is>
      </c>
      <c r="F1981" s="3" t="inlineStr">
        <is>
          <t>mean</t>
        </is>
      </c>
      <c r="G1981" s="3" t="n">
        <v>9</v>
      </c>
      <c r="H1981" s="3" t="n">
        <v>-0.7839489357812064</v>
      </c>
      <c r="I1981" s="3" t="n">
        <v>-0.7839489357812064</v>
      </c>
      <c r="J1981" s="3" t="n">
        <v>-0.8593977723802839</v>
      </c>
      <c r="K1981" s="3" t="n">
        <v>-0.8593977723802839</v>
      </c>
      <c r="L1981" s="3" t="n">
        <v>-0.7839489357812064</v>
      </c>
      <c r="M1981" s="3" t="n">
        <v>-0.7839489357812064</v>
      </c>
      <c r="N1981" s="3" t="n">
        <v>-0.7839489357812064</v>
      </c>
      <c r="O1981" s="3" t="n">
        <v>-0.7839489357812064</v>
      </c>
      <c r="P1981" s="3" t="n">
        <v>-0.7839489357812064</v>
      </c>
      <c r="Q1981" s="3" t="n">
        <v>-0.7839489357812064</v>
      </c>
      <c r="R1981" s="3" t="n">
        <v>-0.7712249892098563</v>
      </c>
      <c r="S1981" s="3" t="n">
        <v>-1.024877253600529</v>
      </c>
      <c r="T1981" s="3" t="n">
        <v>-0.7086694342749459</v>
      </c>
      <c r="U1981" s="3" t="n">
        <v>-0.8593977723802839</v>
      </c>
      <c r="V1981" s="3" t="n">
        <v>-0.6783862863268171</v>
      </c>
      <c r="W1981" s="3" t="n">
        <v>-0.5361838928290776</v>
      </c>
      <c r="X1981" s="3" t="n">
        <v>-1.020875356878553</v>
      </c>
      <c r="Y1981" s="3" t="n">
        <v>-0.7839489357812064</v>
      </c>
      <c r="Z1981" s="3" t="n">
        <v>-1.024877253600529</v>
      </c>
      <c r="AA1981" s="3" t="n">
        <v>-1.024877253600529</v>
      </c>
      <c r="AB1981" s="3" t="n">
        <v>-1.020875356878553</v>
      </c>
      <c r="AC1981" s="3" t="n">
        <v>-1.149042170388358</v>
      </c>
      <c r="AD1981" s="3" t="n">
        <v>-0.8593977723802839</v>
      </c>
      <c r="AE1981" s="3" t="n">
        <v>-0.8593977723802839</v>
      </c>
    </row>
    <row r="1982">
      <c r="A1982" s="3" t="inlineStr">
        <is>
          <t>SUR.distn.dec.ove.mean.10</t>
        </is>
      </c>
      <c r="B1982" s="3" t="inlineStr">
        <is>
          <t>SUR</t>
        </is>
      </c>
      <c r="C1982" s="3" t="n">
        <v>2005</v>
      </c>
      <c r="D1982" s="3" t="inlineStr">
        <is>
          <t>Overall</t>
        </is>
      </c>
      <c r="E1982" s="3" t="inlineStr">
        <is>
          <t>Deciles</t>
        </is>
      </c>
      <c r="F1982" s="3" t="inlineStr">
        <is>
          <t>mean</t>
        </is>
      </c>
      <c r="G1982" s="3" t="n">
        <v>10</v>
      </c>
      <c r="H1982" s="3" t="n">
        <v>-0.7839489357812064</v>
      </c>
      <c r="I1982" s="3" t="n">
        <v>-0.7839489357812064</v>
      </c>
      <c r="J1982" s="3" t="n">
        <v>-0.8593977723802839</v>
      </c>
      <c r="K1982" s="3" t="n">
        <v>-0.8593977723802839</v>
      </c>
      <c r="L1982" s="3" t="n">
        <v>-0.7839489357812064</v>
      </c>
      <c r="M1982" s="3" t="n">
        <v>-0.7839489357812064</v>
      </c>
      <c r="N1982" s="3" t="n">
        <v>-0.7839489357812064</v>
      </c>
      <c r="O1982" s="3" t="n">
        <v>-0.7839489357812064</v>
      </c>
      <c r="P1982" s="3" t="n">
        <v>-0.7839489357812064</v>
      </c>
      <c r="Q1982" s="3" t="n">
        <v>-0.7839489357812064</v>
      </c>
      <c r="R1982" s="3" t="n">
        <v>-0.7712249892098563</v>
      </c>
      <c r="S1982" s="3" t="n">
        <v>-1.024877253600529</v>
      </c>
      <c r="T1982" s="3" t="n">
        <v>-0.7086694342749459</v>
      </c>
      <c r="U1982" s="3" t="n">
        <v>-0.8593977723802839</v>
      </c>
      <c r="V1982" s="3" t="n">
        <v>-0.6783862863268171</v>
      </c>
      <c r="W1982" s="3" t="n">
        <v>-0.5361838928290776</v>
      </c>
      <c r="X1982" s="3" t="n">
        <v>-1.020875356878553</v>
      </c>
      <c r="Y1982" s="3" t="n">
        <v>-0.7839489357812064</v>
      </c>
      <c r="Z1982" s="3" t="n">
        <v>-1.024877253600529</v>
      </c>
      <c r="AA1982" s="3" t="n">
        <v>-1.024877253600529</v>
      </c>
      <c r="AB1982" s="3" t="n">
        <v>-1.020875356878553</v>
      </c>
      <c r="AC1982" s="3" t="n">
        <v>-1.149042170388358</v>
      </c>
      <c r="AD1982" s="3" t="n">
        <v>-0.8593977723802839</v>
      </c>
      <c r="AE1982" s="3" t="n">
        <v>-0.8593977723802839</v>
      </c>
    </row>
    <row r="1983">
      <c r="A1983" s="3" t="inlineStr">
        <is>
          <t>SUR.distn.bkt.ove.mean.9999</t>
        </is>
      </c>
      <c r="B1983" s="3" t="inlineStr">
        <is>
          <t>SUR</t>
        </is>
      </c>
      <c r="C1983" s="3" t="n">
        <v>2005</v>
      </c>
      <c r="D1983" s="3" t="inlineStr">
        <is>
          <t>Overall</t>
        </is>
      </c>
      <c r="E1983" s="3" t="inlineStr">
        <is>
          <t>Basket</t>
        </is>
      </c>
      <c r="F1983" s="3" t="inlineStr">
        <is>
          <t>mean</t>
        </is>
      </c>
      <c r="G1983" s="3" t="n">
        <v>9999</v>
      </c>
      <c r="H1983" s="3" t="n">
        <v>-0.7855607322284154</v>
      </c>
      <c r="I1983" s="3" t="n">
        <v>-0.7855607322284154</v>
      </c>
      <c r="J1983" s="3" t="n">
        <v>-0.8708347541945322</v>
      </c>
      <c r="K1983" s="3" t="n">
        <v>-0.8708347541945322</v>
      </c>
      <c r="L1983" s="3" t="n">
        <v>-0.7855607322284154</v>
      </c>
      <c r="M1983" s="3" t="n">
        <v>-0.7855607322284154</v>
      </c>
      <c r="N1983" s="3" t="n">
        <v>-0.7855607322284154</v>
      </c>
      <c r="O1983" s="3" t="n">
        <v>-0.7855607322284154</v>
      </c>
      <c r="P1983" s="3" t="n">
        <v>-0.7855607322284154</v>
      </c>
      <c r="Q1983" s="3" t="n">
        <v>-0.7855607322284154</v>
      </c>
      <c r="R1983" s="3" t="n">
        <v>-0.7720900552613394</v>
      </c>
      <c r="S1983" s="3" t="n">
        <v>-1.160887002944946</v>
      </c>
      <c r="T1983" s="3" t="n">
        <v>-0.7090769904000419</v>
      </c>
      <c r="U1983" s="3" t="n">
        <v>-0.8708347541945322</v>
      </c>
      <c r="V1983" s="3" t="n">
        <v>-0.6799844878060477</v>
      </c>
      <c r="W1983" s="3" t="n">
        <v>-0.5558792540005275</v>
      </c>
      <c r="X1983" s="3" t="n">
        <v>-1.140969473975045</v>
      </c>
      <c r="Y1983" s="3" t="n">
        <v>-0.7855607322284154</v>
      </c>
      <c r="Z1983" s="3" t="n">
        <v>-1.160887002944946</v>
      </c>
      <c r="AA1983" s="3" t="n">
        <v>-1.160887002944946</v>
      </c>
      <c r="AB1983" s="3" t="n">
        <v>-1.140969473975045</v>
      </c>
      <c r="AC1983" s="3" t="n">
        <v>-1.501635466303144</v>
      </c>
      <c r="AD1983" s="3" t="n">
        <v>-0.8708347541945322</v>
      </c>
      <c r="AE1983" s="3" t="n">
        <v>-0.8708347541945322</v>
      </c>
    </row>
    <row r="1984">
      <c r="A1984" s="3" t="inlineStr">
        <is>
          <t>SVK.distn.dec.ove.mean.1</t>
        </is>
      </c>
      <c r="B1984" s="3" t="inlineStr">
        <is>
          <t>SVK</t>
        </is>
      </c>
      <c r="C1984" s="3" t="n">
        <v>2005</v>
      </c>
      <c r="D1984" s="3" t="inlineStr">
        <is>
          <t>Overall</t>
        </is>
      </c>
      <c r="E1984" s="3" t="inlineStr">
        <is>
          <t>Deciles</t>
        </is>
      </c>
      <c r="F1984" s="3" t="inlineStr">
        <is>
          <t>mean</t>
        </is>
      </c>
      <c r="G1984" s="3" t="n">
        <v>1</v>
      </c>
      <c r="H1984" s="3" t="n">
        <v>-0.7872329354286194</v>
      </c>
      <c r="I1984" s="3" t="n">
        <v>-0.7872329354286194</v>
      </c>
      <c r="J1984" s="3" t="n">
        <v>-0.8826505541801453</v>
      </c>
      <c r="K1984" s="3" t="n">
        <v>-0.8826505541801453</v>
      </c>
      <c r="L1984" s="3" t="n">
        <v>-0.7872329354286194</v>
      </c>
      <c r="M1984" s="3" t="n">
        <v>-0.7872329354286194</v>
      </c>
      <c r="N1984" s="3" t="n">
        <v>-0.7872329354286194</v>
      </c>
      <c r="O1984" s="3" t="n">
        <v>-0.7872329354286194</v>
      </c>
      <c r="P1984" s="3" t="n">
        <v>-0.7872329354286194</v>
      </c>
      <c r="Q1984" s="3" t="n">
        <v>-0.7872329354286194</v>
      </c>
      <c r="R1984" s="3" t="n">
        <v>-0.772466242313385</v>
      </c>
      <c r="S1984" s="3" t="n">
        <v>-1.37422513961792</v>
      </c>
      <c r="T1984" s="3" t="n">
        <v>-0.7094525694847107</v>
      </c>
      <c r="U1984" s="3" t="n">
        <v>-0.8826505541801453</v>
      </c>
      <c r="V1984" s="3" t="n">
        <v>-0.6799138784408569</v>
      </c>
      <c r="W1984" s="3" t="n">
        <v>-0.5335037112236023</v>
      </c>
      <c r="X1984" s="3" t="n">
        <v>-1.323442816734314</v>
      </c>
      <c r="Y1984" s="3" t="n">
        <v>-0.7872329354286194</v>
      </c>
      <c r="Z1984" s="3" t="n">
        <v>-1.37422513961792</v>
      </c>
      <c r="AA1984" s="3" t="n">
        <v>-1.37422513961792</v>
      </c>
      <c r="AB1984" s="3" t="n">
        <v>-1.323442816734314</v>
      </c>
      <c r="AC1984" s="3" t="n">
        <v>-2.043805837631226</v>
      </c>
      <c r="AD1984" s="3" t="n">
        <v>-0.8826505541801453</v>
      </c>
      <c r="AE1984" s="3" t="n">
        <v>-0.8826505541801453</v>
      </c>
    </row>
    <row r="1985">
      <c r="A1985" s="3" t="inlineStr">
        <is>
          <t>SVK.distn.dec.ove.mean.2</t>
        </is>
      </c>
      <c r="B1985" s="3" t="inlineStr">
        <is>
          <t>SVK</t>
        </is>
      </c>
      <c r="C1985" s="3" t="n">
        <v>2005</v>
      </c>
      <c r="D1985" s="3" t="inlineStr">
        <is>
          <t>Overall</t>
        </is>
      </c>
      <c r="E1985" s="3" t="inlineStr">
        <is>
          <t>Deciles</t>
        </is>
      </c>
      <c r="F1985" s="3" t="inlineStr">
        <is>
          <t>mean</t>
        </is>
      </c>
      <c r="G1985" s="3" t="n">
        <v>2</v>
      </c>
      <c r="H1985" s="3" t="n">
        <v>-0.7872329354286194</v>
      </c>
      <c r="I1985" s="3" t="n">
        <v>-0.7872329354286194</v>
      </c>
      <c r="J1985" s="3" t="n">
        <v>-0.8826505541801453</v>
      </c>
      <c r="K1985" s="3" t="n">
        <v>-0.8826505541801453</v>
      </c>
      <c r="L1985" s="3" t="n">
        <v>-0.7872329354286194</v>
      </c>
      <c r="M1985" s="3" t="n">
        <v>-0.7872329354286194</v>
      </c>
      <c r="N1985" s="3" t="n">
        <v>-0.7872329354286194</v>
      </c>
      <c r="O1985" s="3" t="n">
        <v>-0.7872329354286194</v>
      </c>
      <c r="P1985" s="3" t="n">
        <v>-0.7872329354286194</v>
      </c>
      <c r="Q1985" s="3" t="n">
        <v>-0.7872329354286194</v>
      </c>
      <c r="R1985" s="3" t="n">
        <v>-0.772466242313385</v>
      </c>
      <c r="S1985" s="3" t="n">
        <v>-1.37422513961792</v>
      </c>
      <c r="T1985" s="3" t="n">
        <v>-0.7094525694847107</v>
      </c>
      <c r="U1985" s="3" t="n">
        <v>-0.8826505541801453</v>
      </c>
      <c r="V1985" s="3" t="n">
        <v>-0.6799138784408569</v>
      </c>
      <c r="W1985" s="3" t="n">
        <v>-0.5335037112236023</v>
      </c>
      <c r="X1985" s="3" t="n">
        <v>-1.323442816734314</v>
      </c>
      <c r="Y1985" s="3" t="n">
        <v>-0.7872329354286194</v>
      </c>
      <c r="Z1985" s="3" t="n">
        <v>-1.37422513961792</v>
      </c>
      <c r="AA1985" s="3" t="n">
        <v>-1.37422513961792</v>
      </c>
      <c r="AB1985" s="3" t="n">
        <v>-1.323442816734314</v>
      </c>
      <c r="AC1985" s="3" t="n">
        <v>-2.043805837631226</v>
      </c>
      <c r="AD1985" s="3" t="n">
        <v>-0.8826505541801453</v>
      </c>
      <c r="AE1985" s="3" t="n">
        <v>-0.8826505541801453</v>
      </c>
    </row>
    <row r="1986">
      <c r="A1986" s="3" t="inlineStr">
        <is>
          <t>SVK.distn.dec.ove.mean.3</t>
        </is>
      </c>
      <c r="B1986" s="3" t="inlineStr">
        <is>
          <t>SVK</t>
        </is>
      </c>
      <c r="C1986" s="3" t="n">
        <v>2005</v>
      </c>
      <c r="D1986" s="3" t="inlineStr">
        <is>
          <t>Overall</t>
        </is>
      </c>
      <c r="E1986" s="3" t="inlineStr">
        <is>
          <t>Deciles</t>
        </is>
      </c>
      <c r="F1986" s="3" t="inlineStr">
        <is>
          <t>mean</t>
        </is>
      </c>
      <c r="G1986" s="3" t="n">
        <v>3</v>
      </c>
      <c r="H1986" s="3" t="n">
        <v>-0.7872329354286194</v>
      </c>
      <c r="I1986" s="3" t="n">
        <v>-0.7872329354286194</v>
      </c>
      <c r="J1986" s="3" t="n">
        <v>-0.8826505541801453</v>
      </c>
      <c r="K1986" s="3" t="n">
        <v>-0.8826505541801453</v>
      </c>
      <c r="L1986" s="3" t="n">
        <v>-0.7872329354286194</v>
      </c>
      <c r="M1986" s="3" t="n">
        <v>-0.7872329354286194</v>
      </c>
      <c r="N1986" s="3" t="n">
        <v>-0.7872329354286194</v>
      </c>
      <c r="O1986" s="3" t="n">
        <v>-0.7872329354286194</v>
      </c>
      <c r="P1986" s="3" t="n">
        <v>-0.7872329354286194</v>
      </c>
      <c r="Q1986" s="3" t="n">
        <v>-0.7872329354286194</v>
      </c>
      <c r="R1986" s="3" t="n">
        <v>-0.772466242313385</v>
      </c>
      <c r="S1986" s="3" t="n">
        <v>-1.37422513961792</v>
      </c>
      <c r="T1986" s="3" t="n">
        <v>-0.7094525694847107</v>
      </c>
      <c r="U1986" s="3" t="n">
        <v>-0.8826505541801453</v>
      </c>
      <c r="V1986" s="3" t="n">
        <v>-0.6799138784408569</v>
      </c>
      <c r="W1986" s="3" t="n">
        <v>-0.5335037112236023</v>
      </c>
      <c r="X1986" s="3" t="n">
        <v>-1.323442816734314</v>
      </c>
      <c r="Y1986" s="3" t="n">
        <v>-0.7872329354286194</v>
      </c>
      <c r="Z1986" s="3" t="n">
        <v>-1.37422513961792</v>
      </c>
      <c r="AA1986" s="3" t="n">
        <v>-1.37422513961792</v>
      </c>
      <c r="AB1986" s="3" t="n">
        <v>-1.323442816734314</v>
      </c>
      <c r="AC1986" s="3" t="n">
        <v>-2.043805837631226</v>
      </c>
      <c r="AD1986" s="3" t="n">
        <v>-0.8826505541801453</v>
      </c>
      <c r="AE1986" s="3" t="n">
        <v>-0.8826505541801453</v>
      </c>
    </row>
    <row r="1987">
      <c r="A1987" s="3" t="inlineStr">
        <is>
          <t>SVK.distn.dec.ove.mean.4</t>
        </is>
      </c>
      <c r="B1987" s="3" t="inlineStr">
        <is>
          <t>SVK</t>
        </is>
      </c>
      <c r="C1987" s="3" t="n">
        <v>2005</v>
      </c>
      <c r="D1987" s="3" t="inlineStr">
        <is>
          <t>Overall</t>
        </is>
      </c>
      <c r="E1987" s="3" t="inlineStr">
        <is>
          <t>Deciles</t>
        </is>
      </c>
      <c r="F1987" s="3" t="inlineStr">
        <is>
          <t>mean</t>
        </is>
      </c>
      <c r="G1987" s="3" t="n">
        <v>4</v>
      </c>
      <c r="H1987" s="3" t="n">
        <v>-0.781000018119812</v>
      </c>
      <c r="I1987" s="3" t="n">
        <v>-0.781000018119812</v>
      </c>
      <c r="J1987" s="3" t="n">
        <v>-0.8399999737739563</v>
      </c>
      <c r="K1987" s="3" t="n">
        <v>-0.8399999737739563</v>
      </c>
      <c r="L1987" s="3" t="n">
        <v>-0.781000018119812</v>
      </c>
      <c r="M1987" s="3" t="n">
        <v>-0.781000018119812</v>
      </c>
      <c r="N1987" s="3" t="n">
        <v>-0.781000018119812</v>
      </c>
      <c r="O1987" s="3" t="n">
        <v>-0.781000018119812</v>
      </c>
      <c r="P1987" s="3" t="n">
        <v>-0.781000018119812</v>
      </c>
      <c r="Q1987" s="3" t="n">
        <v>-0.781000018119812</v>
      </c>
      <c r="R1987" s="3" t="n">
        <v>-0.7689999938011169</v>
      </c>
      <c r="S1987" s="3" t="n">
        <v>-0.9359999895095825</v>
      </c>
      <c r="T1987" s="3" t="n">
        <v>-0.7080000042915344</v>
      </c>
      <c r="U1987" s="3" t="n">
        <v>-0.8399999737739563</v>
      </c>
      <c r="V1987" s="3" t="n">
        <v>-0.6729999780654907</v>
      </c>
      <c r="W1987" s="3" t="n">
        <v>-0.4490000009536743</v>
      </c>
      <c r="X1987" s="3" t="n">
        <v>-0.9340000152587891</v>
      </c>
      <c r="Y1987" s="3" t="n">
        <v>-0.781000018119812</v>
      </c>
      <c r="Z1987" s="3" t="n">
        <v>-0.9359999895095825</v>
      </c>
      <c r="AA1987" s="3" t="n">
        <v>-0.9359999895095825</v>
      </c>
      <c r="AB1987" s="3" t="n">
        <v>-0.9340000152587891</v>
      </c>
      <c r="AC1987" s="3" t="n">
        <v>-0.9869999885559082</v>
      </c>
      <c r="AD1987" s="3" t="n">
        <v>-0.8399999737739563</v>
      </c>
      <c r="AE1987" s="3" t="n">
        <v>-0.8399999737739563</v>
      </c>
    </row>
    <row r="1988">
      <c r="A1988" s="3" t="inlineStr">
        <is>
          <t>SVK.distn.dec.ove.mean.5</t>
        </is>
      </c>
      <c r="B1988" s="3" t="inlineStr">
        <is>
          <t>SVK</t>
        </is>
      </c>
      <c r="C1988" s="3" t="n">
        <v>2005</v>
      </c>
      <c r="D1988" s="3" t="inlineStr">
        <is>
          <t>Overall</t>
        </is>
      </c>
      <c r="E1988" s="3" t="inlineStr">
        <is>
          <t>Deciles</t>
        </is>
      </c>
      <c r="F1988" s="3" t="inlineStr">
        <is>
          <t>mean</t>
        </is>
      </c>
      <c r="G1988" s="3" t="n">
        <v>5</v>
      </c>
      <c r="H1988" s="3" t="n">
        <v>-0.781000018119812</v>
      </c>
      <c r="I1988" s="3" t="n">
        <v>-0.781000018119812</v>
      </c>
      <c r="J1988" s="3" t="n">
        <v>-0.8399999737739563</v>
      </c>
      <c r="K1988" s="3" t="n">
        <v>-0.8399999737739563</v>
      </c>
      <c r="L1988" s="3" t="n">
        <v>-0.781000018119812</v>
      </c>
      <c r="M1988" s="3" t="n">
        <v>-0.781000018119812</v>
      </c>
      <c r="N1988" s="3" t="n">
        <v>-0.781000018119812</v>
      </c>
      <c r="O1988" s="3" t="n">
        <v>-0.781000018119812</v>
      </c>
      <c r="P1988" s="3" t="n">
        <v>-0.781000018119812</v>
      </c>
      <c r="Q1988" s="3" t="n">
        <v>-0.781000018119812</v>
      </c>
      <c r="R1988" s="3" t="n">
        <v>-0.7689999938011169</v>
      </c>
      <c r="S1988" s="3" t="n">
        <v>-0.9359999895095825</v>
      </c>
      <c r="T1988" s="3" t="n">
        <v>-0.7080000042915344</v>
      </c>
      <c r="U1988" s="3" t="n">
        <v>-0.8399999737739563</v>
      </c>
      <c r="V1988" s="3" t="n">
        <v>-0.6729999780654907</v>
      </c>
      <c r="W1988" s="3" t="n">
        <v>-0.4490000009536743</v>
      </c>
      <c r="X1988" s="3" t="n">
        <v>-0.9340000152587891</v>
      </c>
      <c r="Y1988" s="3" t="n">
        <v>-0.781000018119812</v>
      </c>
      <c r="Z1988" s="3" t="n">
        <v>-0.9359999895095825</v>
      </c>
      <c r="AA1988" s="3" t="n">
        <v>-0.9359999895095825</v>
      </c>
      <c r="AB1988" s="3" t="n">
        <v>-0.9340000152587891</v>
      </c>
      <c r="AC1988" s="3" t="n">
        <v>-0.9869999885559082</v>
      </c>
      <c r="AD1988" s="3" t="n">
        <v>-0.8399999737739563</v>
      </c>
      <c r="AE1988" s="3" t="n">
        <v>-0.8399999737739563</v>
      </c>
    </row>
    <row r="1989">
      <c r="A1989" s="3" t="inlineStr">
        <is>
          <t>SVK.distn.dec.ove.mean.6</t>
        </is>
      </c>
      <c r="B1989" s="3" t="inlineStr">
        <is>
          <t>SVK</t>
        </is>
      </c>
      <c r="C1989" s="3" t="n">
        <v>2005</v>
      </c>
      <c r="D1989" s="3" t="inlineStr">
        <is>
          <t>Overall</t>
        </is>
      </c>
      <c r="E1989" s="3" t="inlineStr">
        <is>
          <t>Deciles</t>
        </is>
      </c>
      <c r="F1989" s="3" t="inlineStr">
        <is>
          <t>mean</t>
        </is>
      </c>
      <c r="G1989" s="3" t="n">
        <v>6</v>
      </c>
      <c r="H1989" s="3" t="n">
        <v>-0.781000018119812</v>
      </c>
      <c r="I1989" s="3" t="n">
        <v>-0.781000018119812</v>
      </c>
      <c r="J1989" s="3" t="n">
        <v>-0.8399999737739563</v>
      </c>
      <c r="K1989" s="3" t="n">
        <v>-0.8399999737739563</v>
      </c>
      <c r="L1989" s="3" t="n">
        <v>-0.781000018119812</v>
      </c>
      <c r="M1989" s="3" t="n">
        <v>-0.781000018119812</v>
      </c>
      <c r="N1989" s="3" t="n">
        <v>-0.781000018119812</v>
      </c>
      <c r="O1989" s="3" t="n">
        <v>-0.781000018119812</v>
      </c>
      <c r="P1989" s="3" t="n">
        <v>-0.781000018119812</v>
      </c>
      <c r="Q1989" s="3" t="n">
        <v>-0.781000018119812</v>
      </c>
      <c r="R1989" s="3" t="n">
        <v>-0.7689999938011169</v>
      </c>
      <c r="S1989" s="3" t="n">
        <v>-0.9359999895095825</v>
      </c>
      <c r="T1989" s="3" t="n">
        <v>-0.7080000042915344</v>
      </c>
      <c r="U1989" s="3" t="n">
        <v>-0.8399999737739563</v>
      </c>
      <c r="V1989" s="3" t="n">
        <v>-0.6729999780654907</v>
      </c>
      <c r="W1989" s="3" t="n">
        <v>-0.4490000009536743</v>
      </c>
      <c r="X1989" s="3" t="n">
        <v>-0.9340000152587891</v>
      </c>
      <c r="Y1989" s="3" t="n">
        <v>-0.781000018119812</v>
      </c>
      <c r="Z1989" s="3" t="n">
        <v>-0.9359999895095825</v>
      </c>
      <c r="AA1989" s="3" t="n">
        <v>-0.9359999895095825</v>
      </c>
      <c r="AB1989" s="3" t="n">
        <v>-0.9340000152587891</v>
      </c>
      <c r="AC1989" s="3" t="n">
        <v>-0.9869999885559082</v>
      </c>
      <c r="AD1989" s="3" t="n">
        <v>-0.8399999737739563</v>
      </c>
      <c r="AE1989" s="3" t="n">
        <v>-0.8399999737739563</v>
      </c>
    </row>
    <row r="1990">
      <c r="A1990" s="3" t="inlineStr">
        <is>
          <t>SVK.distn.dec.ove.mean.7</t>
        </is>
      </c>
      <c r="B1990" s="3" t="inlineStr">
        <is>
          <t>SVK</t>
        </is>
      </c>
      <c r="C1990" s="3" t="n">
        <v>2005</v>
      </c>
      <c r="D1990" s="3" t="inlineStr">
        <is>
          <t>Overall</t>
        </is>
      </c>
      <c r="E1990" s="3" t="inlineStr">
        <is>
          <t>Deciles</t>
        </is>
      </c>
      <c r="F1990" s="3" t="inlineStr">
        <is>
          <t>mean</t>
        </is>
      </c>
      <c r="G1990" s="3" t="n">
        <v>7</v>
      </c>
      <c r="H1990" s="3" t="n">
        <v>-0.781000018119812</v>
      </c>
      <c r="I1990" s="3" t="n">
        <v>-0.781000018119812</v>
      </c>
      <c r="J1990" s="3" t="n">
        <v>-0.8399999737739563</v>
      </c>
      <c r="K1990" s="3" t="n">
        <v>-0.8399999737739563</v>
      </c>
      <c r="L1990" s="3" t="n">
        <v>-0.781000018119812</v>
      </c>
      <c r="M1990" s="3" t="n">
        <v>-0.781000018119812</v>
      </c>
      <c r="N1990" s="3" t="n">
        <v>-0.781000018119812</v>
      </c>
      <c r="O1990" s="3" t="n">
        <v>-0.781000018119812</v>
      </c>
      <c r="P1990" s="3" t="n">
        <v>-0.781000018119812</v>
      </c>
      <c r="Q1990" s="3" t="n">
        <v>-0.781000018119812</v>
      </c>
      <c r="R1990" s="3" t="n">
        <v>-0.7689999938011169</v>
      </c>
      <c r="S1990" s="3" t="n">
        <v>-0.9359999895095825</v>
      </c>
      <c r="T1990" s="3" t="n">
        <v>-0.7080000042915344</v>
      </c>
      <c r="U1990" s="3" t="n">
        <v>-0.8399999737739563</v>
      </c>
      <c r="V1990" s="3" t="n">
        <v>-0.6729999780654907</v>
      </c>
      <c r="W1990" s="3" t="n">
        <v>-0.4490000009536743</v>
      </c>
      <c r="X1990" s="3" t="n">
        <v>-0.9340000152587891</v>
      </c>
      <c r="Y1990" s="3" t="n">
        <v>-0.781000018119812</v>
      </c>
      <c r="Z1990" s="3" t="n">
        <v>-0.9359999895095825</v>
      </c>
      <c r="AA1990" s="3" t="n">
        <v>-0.9359999895095825</v>
      </c>
      <c r="AB1990" s="3" t="n">
        <v>-0.9340000152587891</v>
      </c>
      <c r="AC1990" s="3" t="n">
        <v>-0.9869999885559082</v>
      </c>
      <c r="AD1990" s="3" t="n">
        <v>-0.8399999737739563</v>
      </c>
      <c r="AE1990" s="3" t="n">
        <v>-0.8399999737739563</v>
      </c>
    </row>
    <row r="1991">
      <c r="A1991" s="3" t="inlineStr">
        <is>
          <t>SVK.distn.dec.ove.mean.8</t>
        </is>
      </c>
      <c r="B1991" s="3" t="inlineStr">
        <is>
          <t>SVK</t>
        </is>
      </c>
      <c r="C1991" s="3" t="n">
        <v>2005</v>
      </c>
      <c r="D1991" s="3" t="inlineStr">
        <is>
          <t>Overall</t>
        </is>
      </c>
      <c r="E1991" s="3" t="inlineStr">
        <is>
          <t>Deciles</t>
        </is>
      </c>
      <c r="F1991" s="3" t="inlineStr">
        <is>
          <t>mean</t>
        </is>
      </c>
      <c r="G1991" s="3" t="n">
        <v>8</v>
      </c>
      <c r="H1991" s="3" t="n">
        <v>-0.7813762426376343</v>
      </c>
      <c r="I1991" s="3" t="n">
        <v>-0.7813762426376343</v>
      </c>
      <c r="J1991" s="3" t="n">
        <v>-0.8422659635543823</v>
      </c>
      <c r="K1991" s="3" t="n">
        <v>-0.8422659635543823</v>
      </c>
      <c r="L1991" s="3" t="n">
        <v>-0.7813762426376343</v>
      </c>
      <c r="M1991" s="3" t="n">
        <v>-0.7813762426376343</v>
      </c>
      <c r="N1991" s="3" t="n">
        <v>-0.7813762426376343</v>
      </c>
      <c r="O1991" s="3" t="n">
        <v>-0.7813762426376343</v>
      </c>
      <c r="P1991" s="3" t="n">
        <v>-0.7813762426376343</v>
      </c>
      <c r="Q1991" s="3" t="n">
        <v>-0.7813762426376343</v>
      </c>
      <c r="R1991" s="3" t="n">
        <v>-0.7692528963088989</v>
      </c>
      <c r="S1991" s="3" t="n">
        <v>-0.9447095990180969</v>
      </c>
      <c r="T1991" s="3" t="n">
        <v>-0.7080408334732056</v>
      </c>
      <c r="U1991" s="3" t="n">
        <v>-0.8422659635543823</v>
      </c>
      <c r="V1991" s="3" t="n">
        <v>-0.6736957430839539</v>
      </c>
      <c r="W1991" s="3" t="n">
        <v>-0.4610236883163452</v>
      </c>
      <c r="X1991" s="3" t="n">
        <v>-0.9425106048583984</v>
      </c>
      <c r="Y1991" s="3" t="n">
        <v>-0.7813762426376343</v>
      </c>
      <c r="Z1991" s="3" t="n">
        <v>-0.9447095990180969</v>
      </c>
      <c r="AA1991" s="3" t="n">
        <v>-0.9447095990180969</v>
      </c>
      <c r="AB1991" s="3" t="n">
        <v>-0.9425106048583984</v>
      </c>
      <c r="AC1991" s="3" t="n">
        <v>-1.001075983047485</v>
      </c>
      <c r="AD1991" s="3" t="n">
        <v>-0.8422659635543823</v>
      </c>
      <c r="AE1991" s="3" t="n">
        <v>-0.8422659635543823</v>
      </c>
    </row>
    <row r="1992">
      <c r="A1992" s="3" t="inlineStr">
        <is>
          <t>SVK.distn.dec.ove.mean.9</t>
        </is>
      </c>
      <c r="B1992" s="3" t="inlineStr">
        <is>
          <t>SVK</t>
        </is>
      </c>
      <c r="C1992" s="3" t="n">
        <v>2005</v>
      </c>
      <c r="D1992" s="3" t="inlineStr">
        <is>
          <t>Overall</t>
        </is>
      </c>
      <c r="E1992" s="3" t="inlineStr">
        <is>
          <t>Deciles</t>
        </is>
      </c>
      <c r="F1992" s="3" t="inlineStr">
        <is>
          <t>mean</t>
        </is>
      </c>
      <c r="G1992" s="3" t="n">
        <v>9</v>
      </c>
      <c r="H1992" s="3" t="n">
        <v>-0.7813762426376343</v>
      </c>
      <c r="I1992" s="3" t="n">
        <v>-0.7813762426376343</v>
      </c>
      <c r="J1992" s="3" t="n">
        <v>-0.8422659635543823</v>
      </c>
      <c r="K1992" s="3" t="n">
        <v>-0.8422659635543823</v>
      </c>
      <c r="L1992" s="3" t="n">
        <v>-0.7813762426376343</v>
      </c>
      <c r="M1992" s="3" t="n">
        <v>-0.7813762426376343</v>
      </c>
      <c r="N1992" s="3" t="n">
        <v>-0.7813762426376343</v>
      </c>
      <c r="O1992" s="3" t="n">
        <v>-0.7813762426376343</v>
      </c>
      <c r="P1992" s="3" t="n">
        <v>-0.7813762426376343</v>
      </c>
      <c r="Q1992" s="3" t="n">
        <v>-0.7813762426376343</v>
      </c>
      <c r="R1992" s="3" t="n">
        <v>-0.7692528963088989</v>
      </c>
      <c r="S1992" s="3" t="n">
        <v>-0.9447095990180969</v>
      </c>
      <c r="T1992" s="3" t="n">
        <v>-0.7080408334732056</v>
      </c>
      <c r="U1992" s="3" t="n">
        <v>-0.8422659635543823</v>
      </c>
      <c r="V1992" s="3" t="n">
        <v>-0.6736957430839539</v>
      </c>
      <c r="W1992" s="3" t="n">
        <v>-0.4610236883163452</v>
      </c>
      <c r="X1992" s="3" t="n">
        <v>-0.9425106048583984</v>
      </c>
      <c r="Y1992" s="3" t="n">
        <v>-0.7813762426376343</v>
      </c>
      <c r="Z1992" s="3" t="n">
        <v>-0.9447095990180969</v>
      </c>
      <c r="AA1992" s="3" t="n">
        <v>-0.9447095990180969</v>
      </c>
      <c r="AB1992" s="3" t="n">
        <v>-0.9425106048583984</v>
      </c>
      <c r="AC1992" s="3" t="n">
        <v>-1.001075983047485</v>
      </c>
      <c r="AD1992" s="3" t="n">
        <v>-0.8422659635543823</v>
      </c>
      <c r="AE1992" s="3" t="n">
        <v>-0.8422659635543823</v>
      </c>
    </row>
    <row r="1993">
      <c r="A1993" s="3" t="inlineStr">
        <is>
          <t>SVK.distn.dec.ove.mean.10</t>
        </is>
      </c>
      <c r="B1993" s="3" t="inlineStr">
        <is>
          <t>SVK</t>
        </is>
      </c>
      <c r="C1993" s="3" t="n">
        <v>2005</v>
      </c>
      <c r="D1993" s="3" t="inlineStr">
        <is>
          <t>Overall</t>
        </is>
      </c>
      <c r="E1993" s="3" t="inlineStr">
        <is>
          <t>Deciles</t>
        </is>
      </c>
      <c r="F1993" s="3" t="inlineStr">
        <is>
          <t>mean</t>
        </is>
      </c>
      <c r="G1993" s="3" t="n">
        <v>10</v>
      </c>
      <c r="H1993" s="3" t="n">
        <v>-0.7813762426376343</v>
      </c>
      <c r="I1993" s="3" t="n">
        <v>-0.7813762426376343</v>
      </c>
      <c r="J1993" s="3" t="n">
        <v>-0.8422659635543823</v>
      </c>
      <c r="K1993" s="3" t="n">
        <v>-0.8422659635543823</v>
      </c>
      <c r="L1993" s="3" t="n">
        <v>-0.7813762426376343</v>
      </c>
      <c r="M1993" s="3" t="n">
        <v>-0.7813762426376343</v>
      </c>
      <c r="N1993" s="3" t="n">
        <v>-0.7813762426376343</v>
      </c>
      <c r="O1993" s="3" t="n">
        <v>-0.7813762426376343</v>
      </c>
      <c r="P1993" s="3" t="n">
        <v>-0.7813762426376343</v>
      </c>
      <c r="Q1993" s="3" t="n">
        <v>-0.7813762426376343</v>
      </c>
      <c r="R1993" s="3" t="n">
        <v>-0.7692528963088989</v>
      </c>
      <c r="S1993" s="3" t="n">
        <v>-0.9447095990180969</v>
      </c>
      <c r="T1993" s="3" t="n">
        <v>-0.7080408334732056</v>
      </c>
      <c r="U1993" s="3" t="n">
        <v>-0.8422659635543823</v>
      </c>
      <c r="V1993" s="3" t="n">
        <v>-0.6736957430839539</v>
      </c>
      <c r="W1993" s="3" t="n">
        <v>-0.4610236883163452</v>
      </c>
      <c r="X1993" s="3" t="n">
        <v>-0.9425106048583984</v>
      </c>
      <c r="Y1993" s="3" t="n">
        <v>-0.7813762426376343</v>
      </c>
      <c r="Z1993" s="3" t="n">
        <v>-0.9447095990180969</v>
      </c>
      <c r="AA1993" s="3" t="n">
        <v>-0.9447095990180969</v>
      </c>
      <c r="AB1993" s="3" t="n">
        <v>-0.9425106048583984</v>
      </c>
      <c r="AC1993" s="3" t="n">
        <v>-1.001075983047485</v>
      </c>
      <c r="AD1993" s="3" t="n">
        <v>-0.8422659635543823</v>
      </c>
      <c r="AE1993" s="3" t="n">
        <v>-0.8422659635543823</v>
      </c>
    </row>
    <row r="1994">
      <c r="A1994" s="3" t="inlineStr">
        <is>
          <t>SVK.distn.bkt.ove.mean.9999</t>
        </is>
      </c>
      <c r="B1994" s="3" t="inlineStr">
        <is>
          <t>SVK</t>
        </is>
      </c>
      <c r="C1994" s="3" t="n">
        <v>2005</v>
      </c>
      <c r="D1994" s="3" t="inlineStr">
        <is>
          <t>Overall</t>
        </is>
      </c>
      <c r="E1994" s="3" t="inlineStr">
        <is>
          <t>Basket</t>
        </is>
      </c>
      <c r="F1994" s="3" t="inlineStr">
        <is>
          <t>mean</t>
        </is>
      </c>
      <c r="G1994" s="3" t="n">
        <v>9999</v>
      </c>
      <c r="H1994" s="3" t="n">
        <v>-0.7829827666282654</v>
      </c>
      <c r="I1994" s="3" t="n">
        <v>-0.7829827666282654</v>
      </c>
      <c r="J1994" s="3" t="n">
        <v>-0.8534749746322632</v>
      </c>
      <c r="K1994" s="3" t="n">
        <v>-0.8534749746322632</v>
      </c>
      <c r="L1994" s="3" t="n">
        <v>-0.7829827666282654</v>
      </c>
      <c r="M1994" s="3" t="n">
        <v>-0.7829827666282654</v>
      </c>
      <c r="N1994" s="3" t="n">
        <v>-0.7829827666282654</v>
      </c>
      <c r="O1994" s="3" t="n">
        <v>-0.7829827666282654</v>
      </c>
      <c r="P1994" s="3" t="n">
        <v>-0.7829827666282654</v>
      </c>
      <c r="Q1994" s="3" t="n">
        <v>-0.7829827666282654</v>
      </c>
      <c r="R1994" s="3" t="n">
        <v>-0.7701157331466675</v>
      </c>
      <c r="S1994" s="3" t="n">
        <v>-1.070080399513245</v>
      </c>
      <c r="T1994" s="3" t="n">
        <v>-0.708448052406311</v>
      </c>
      <c r="U1994" s="3" t="n">
        <v>-0.8534749746322632</v>
      </c>
      <c r="V1994" s="3" t="n">
        <v>-0.675282895565033</v>
      </c>
      <c r="W1994" s="3" t="n">
        <v>-0.4779582321643829</v>
      </c>
      <c r="X1994" s="3" t="n">
        <v>-1.053385972976685</v>
      </c>
      <c r="Y1994" s="3" t="n">
        <v>-0.7829827666282654</v>
      </c>
      <c r="Z1994" s="3" t="n">
        <v>-1.070080399513245</v>
      </c>
      <c r="AA1994" s="3" t="n">
        <v>-1.070080399513245</v>
      </c>
      <c r="AB1994" s="3" t="n">
        <v>-1.053385972976685</v>
      </c>
      <c r="AC1994" s="3" t="n">
        <v>-1.308264493942261</v>
      </c>
      <c r="AD1994" s="3" t="n">
        <v>-0.8534749746322632</v>
      </c>
      <c r="AE1994" s="3" t="n">
        <v>-0.8534749746322632</v>
      </c>
    </row>
    <row r="1995">
      <c r="A1995" s="3" t="inlineStr">
        <is>
          <t>SVN.distn.dec.ove.mean.1</t>
        </is>
      </c>
      <c r="B1995" s="3" t="inlineStr">
        <is>
          <t>SVN</t>
        </is>
      </c>
      <c r="C1995" s="3" t="n">
        <v>2005</v>
      </c>
      <c r="D1995" s="3" t="inlineStr">
        <is>
          <t>Overall</t>
        </is>
      </c>
      <c r="E1995" s="3" t="inlineStr">
        <is>
          <t>Deciles</t>
        </is>
      </c>
      <c r="F1995" s="3" t="inlineStr">
        <is>
          <t>mean</t>
        </is>
      </c>
      <c r="G1995" s="3" t="n">
        <v>1</v>
      </c>
      <c r="H1995" s="3" t="n">
        <v>-0.7862249612808228</v>
      </c>
      <c r="I1995" s="3" t="n">
        <v>-0.7862249612808228</v>
      </c>
      <c r="J1995" s="3" t="n">
        <v>-0.8784474730491638</v>
      </c>
      <c r="K1995" s="3" t="n">
        <v>-0.8784474730491638</v>
      </c>
      <c r="L1995" s="3" t="n">
        <v>-0.7862249612808228</v>
      </c>
      <c r="M1995" s="3" t="n">
        <v>-0.7862249612808228</v>
      </c>
      <c r="N1995" s="3" t="n">
        <v>-0.7862249612808228</v>
      </c>
      <c r="O1995" s="3" t="n">
        <v>-0.7862249612808228</v>
      </c>
      <c r="P1995" s="3" t="n">
        <v>-0.7862249612808228</v>
      </c>
      <c r="Q1995" s="3" t="n">
        <v>-0.7862249612808228</v>
      </c>
      <c r="R1995" s="3" t="n">
        <v>-0.772466242313385</v>
      </c>
      <c r="S1995" s="3" t="n">
        <v>-1.356606841087341</v>
      </c>
      <c r="T1995" s="3" t="n">
        <v>-0.7094525694847107</v>
      </c>
      <c r="U1995" s="3" t="n">
        <v>-0.8784474730491638</v>
      </c>
      <c r="V1995" s="3" t="n">
        <v>-0.6789036393165588</v>
      </c>
      <c r="W1995" s="3" t="n">
        <v>-0.5014222264289856</v>
      </c>
      <c r="X1995" s="3" t="n">
        <v>-1.307856202125549</v>
      </c>
      <c r="Y1995" s="3" t="n">
        <v>-0.7862249612808228</v>
      </c>
      <c r="Z1995" s="3" t="n">
        <v>-1.356606841087341</v>
      </c>
      <c r="AA1995" s="3" t="n">
        <v>-1.356606841087341</v>
      </c>
      <c r="AB1995" s="3" t="n">
        <v>-1.307856202125549</v>
      </c>
      <c r="AC1995" s="3" t="n">
        <v>-2.006532907485962</v>
      </c>
      <c r="AD1995" s="3" t="n">
        <v>-0.8784474730491638</v>
      </c>
      <c r="AE1995" s="3" t="n">
        <v>-0.8784474730491638</v>
      </c>
    </row>
    <row r="1996">
      <c r="A1996" s="3" t="inlineStr">
        <is>
          <t>SVN.distn.dec.ove.mean.2</t>
        </is>
      </c>
      <c r="B1996" s="3" t="inlineStr">
        <is>
          <t>SVN</t>
        </is>
      </c>
      <c r="C1996" s="3" t="n">
        <v>2005</v>
      </c>
      <c r="D1996" s="3" t="inlineStr">
        <is>
          <t>Overall</t>
        </is>
      </c>
      <c r="E1996" s="3" t="inlineStr">
        <is>
          <t>Deciles</t>
        </is>
      </c>
      <c r="F1996" s="3" t="inlineStr">
        <is>
          <t>mean</t>
        </is>
      </c>
      <c r="G1996" s="3" t="n">
        <v>2</v>
      </c>
      <c r="H1996" s="3" t="n">
        <v>-0.7862249612808228</v>
      </c>
      <c r="I1996" s="3" t="n">
        <v>-0.7862249612808228</v>
      </c>
      <c r="J1996" s="3" t="n">
        <v>-0.8784474730491638</v>
      </c>
      <c r="K1996" s="3" t="n">
        <v>-0.8784474730491638</v>
      </c>
      <c r="L1996" s="3" t="n">
        <v>-0.7862249612808228</v>
      </c>
      <c r="M1996" s="3" t="n">
        <v>-0.7862249612808228</v>
      </c>
      <c r="N1996" s="3" t="n">
        <v>-0.7862249612808228</v>
      </c>
      <c r="O1996" s="3" t="n">
        <v>-0.7862249612808228</v>
      </c>
      <c r="P1996" s="3" t="n">
        <v>-0.7862249612808228</v>
      </c>
      <c r="Q1996" s="3" t="n">
        <v>-0.7862249612808228</v>
      </c>
      <c r="R1996" s="3" t="n">
        <v>-0.772466242313385</v>
      </c>
      <c r="S1996" s="3" t="n">
        <v>-1.356606841087341</v>
      </c>
      <c r="T1996" s="3" t="n">
        <v>-0.7094525694847107</v>
      </c>
      <c r="U1996" s="3" t="n">
        <v>-0.8784474730491638</v>
      </c>
      <c r="V1996" s="3" t="n">
        <v>-0.6789036393165588</v>
      </c>
      <c r="W1996" s="3" t="n">
        <v>-0.5014222264289856</v>
      </c>
      <c r="X1996" s="3" t="n">
        <v>-1.307856202125549</v>
      </c>
      <c r="Y1996" s="3" t="n">
        <v>-0.7862249612808228</v>
      </c>
      <c r="Z1996" s="3" t="n">
        <v>-1.356606841087341</v>
      </c>
      <c r="AA1996" s="3" t="n">
        <v>-1.356606841087341</v>
      </c>
      <c r="AB1996" s="3" t="n">
        <v>-1.307856202125549</v>
      </c>
      <c r="AC1996" s="3" t="n">
        <v>-2.006532907485962</v>
      </c>
      <c r="AD1996" s="3" t="n">
        <v>-0.8784474730491638</v>
      </c>
      <c r="AE1996" s="3" t="n">
        <v>-0.8784474730491638</v>
      </c>
    </row>
    <row r="1997">
      <c r="A1997" s="3" t="inlineStr">
        <is>
          <t>SVN.distn.dec.ove.mean.3</t>
        </is>
      </c>
      <c r="B1997" s="3" t="inlineStr">
        <is>
          <t>SVN</t>
        </is>
      </c>
      <c r="C1997" s="3" t="n">
        <v>2005</v>
      </c>
      <c r="D1997" s="3" t="inlineStr">
        <is>
          <t>Overall</t>
        </is>
      </c>
      <c r="E1997" s="3" t="inlineStr">
        <is>
          <t>Deciles</t>
        </is>
      </c>
      <c r="F1997" s="3" t="inlineStr">
        <is>
          <t>mean</t>
        </is>
      </c>
      <c r="G1997" s="3" t="n">
        <v>3</v>
      </c>
      <c r="H1997" s="3" t="n">
        <v>-0.7862249612808228</v>
      </c>
      <c r="I1997" s="3" t="n">
        <v>-0.7862249612808228</v>
      </c>
      <c r="J1997" s="3" t="n">
        <v>-0.8784474730491638</v>
      </c>
      <c r="K1997" s="3" t="n">
        <v>-0.8784474730491638</v>
      </c>
      <c r="L1997" s="3" t="n">
        <v>-0.7862249612808228</v>
      </c>
      <c r="M1997" s="3" t="n">
        <v>-0.7862249612808228</v>
      </c>
      <c r="N1997" s="3" t="n">
        <v>-0.7862249612808228</v>
      </c>
      <c r="O1997" s="3" t="n">
        <v>-0.7862249612808228</v>
      </c>
      <c r="P1997" s="3" t="n">
        <v>-0.7862249612808228</v>
      </c>
      <c r="Q1997" s="3" t="n">
        <v>-0.7862249612808228</v>
      </c>
      <c r="R1997" s="3" t="n">
        <v>-0.772466242313385</v>
      </c>
      <c r="S1997" s="3" t="n">
        <v>-1.356606841087341</v>
      </c>
      <c r="T1997" s="3" t="n">
        <v>-0.7094525694847107</v>
      </c>
      <c r="U1997" s="3" t="n">
        <v>-0.8784474730491638</v>
      </c>
      <c r="V1997" s="3" t="n">
        <v>-0.6789036393165588</v>
      </c>
      <c r="W1997" s="3" t="n">
        <v>-0.5014222264289856</v>
      </c>
      <c r="X1997" s="3" t="n">
        <v>-1.307856202125549</v>
      </c>
      <c r="Y1997" s="3" t="n">
        <v>-0.7862249612808228</v>
      </c>
      <c r="Z1997" s="3" t="n">
        <v>-1.356606841087341</v>
      </c>
      <c r="AA1997" s="3" t="n">
        <v>-1.356606841087341</v>
      </c>
      <c r="AB1997" s="3" t="n">
        <v>-1.307856202125549</v>
      </c>
      <c r="AC1997" s="3" t="n">
        <v>-2.006532907485962</v>
      </c>
      <c r="AD1997" s="3" t="n">
        <v>-0.8784474730491638</v>
      </c>
      <c r="AE1997" s="3" t="n">
        <v>-0.8784474730491638</v>
      </c>
    </row>
    <row r="1998">
      <c r="A1998" s="3" t="inlineStr">
        <is>
          <t>SVN.distn.dec.ove.mean.4</t>
        </is>
      </c>
      <c r="B1998" s="3" t="inlineStr">
        <is>
          <t>SVN</t>
        </is>
      </c>
      <c r="C1998" s="3" t="n">
        <v>2005</v>
      </c>
      <c r="D1998" s="3" t="inlineStr">
        <is>
          <t>Overall</t>
        </is>
      </c>
      <c r="E1998" s="3" t="inlineStr">
        <is>
          <t>Deciles</t>
        </is>
      </c>
      <c r="F1998" s="3" t="inlineStr">
        <is>
          <t>mean</t>
        </is>
      </c>
      <c r="G1998" s="3" t="n">
        <v>4</v>
      </c>
      <c r="H1998" s="3" t="n">
        <v>-0.7799999713897705</v>
      </c>
      <c r="I1998" s="3" t="n">
        <v>-0.7799999713897705</v>
      </c>
      <c r="J1998" s="3" t="n">
        <v>-0.8360000252723694</v>
      </c>
      <c r="K1998" s="3" t="n">
        <v>-0.8360000252723694</v>
      </c>
      <c r="L1998" s="3" t="n">
        <v>-0.7799999713897705</v>
      </c>
      <c r="M1998" s="3" t="n">
        <v>-0.7799999713897705</v>
      </c>
      <c r="N1998" s="3" t="n">
        <v>-0.7799999713897705</v>
      </c>
      <c r="O1998" s="3" t="n">
        <v>-0.7799999713897705</v>
      </c>
      <c r="P1998" s="3" t="n">
        <v>-0.7799999713897705</v>
      </c>
      <c r="Q1998" s="3" t="n">
        <v>-0.7799999713897705</v>
      </c>
      <c r="R1998" s="3" t="n">
        <v>-0.7689999938011169</v>
      </c>
      <c r="S1998" s="3" t="n">
        <v>-0.9240000247955322</v>
      </c>
      <c r="T1998" s="3" t="n">
        <v>-0.7080000042915344</v>
      </c>
      <c r="U1998" s="3" t="n">
        <v>-0.8360000252723694</v>
      </c>
      <c r="V1998" s="3" t="n">
        <v>-0.671999990940094</v>
      </c>
      <c r="W1998" s="3" t="n">
        <v>-0.421999990940094</v>
      </c>
      <c r="X1998" s="3" t="n">
        <v>-0.9229999780654907</v>
      </c>
      <c r="Y1998" s="3" t="n">
        <v>-0.7799999713897705</v>
      </c>
      <c r="Z1998" s="3" t="n">
        <v>-0.9240000247955322</v>
      </c>
      <c r="AA1998" s="3" t="n">
        <v>-0.9240000247955322</v>
      </c>
      <c r="AB1998" s="3" t="n">
        <v>-0.9229999780654907</v>
      </c>
      <c r="AC1998" s="3" t="n">
        <v>-0.968999981880188</v>
      </c>
      <c r="AD1998" s="3" t="n">
        <v>-0.8360000252723694</v>
      </c>
      <c r="AE1998" s="3" t="n">
        <v>-0.8360000252723694</v>
      </c>
    </row>
    <row r="1999">
      <c r="A1999" s="3" t="inlineStr">
        <is>
          <t>SVN.distn.dec.ove.mean.5</t>
        </is>
      </c>
      <c r="B1999" s="3" t="inlineStr">
        <is>
          <t>SVN</t>
        </is>
      </c>
      <c r="C1999" s="3" t="n">
        <v>2005</v>
      </c>
      <c r="D1999" s="3" t="inlineStr">
        <is>
          <t>Overall</t>
        </is>
      </c>
      <c r="E1999" s="3" t="inlineStr">
        <is>
          <t>Deciles</t>
        </is>
      </c>
      <c r="F1999" s="3" t="inlineStr">
        <is>
          <t>mean</t>
        </is>
      </c>
      <c r="G1999" s="3" t="n">
        <v>5</v>
      </c>
      <c r="H1999" s="3" t="n">
        <v>-0.7799999713897705</v>
      </c>
      <c r="I1999" s="3" t="n">
        <v>-0.7799999713897705</v>
      </c>
      <c r="J1999" s="3" t="n">
        <v>-0.8360000252723694</v>
      </c>
      <c r="K1999" s="3" t="n">
        <v>-0.8360000252723694</v>
      </c>
      <c r="L1999" s="3" t="n">
        <v>-0.7799999713897705</v>
      </c>
      <c r="M1999" s="3" t="n">
        <v>-0.7799999713897705</v>
      </c>
      <c r="N1999" s="3" t="n">
        <v>-0.7799999713897705</v>
      </c>
      <c r="O1999" s="3" t="n">
        <v>-0.7799999713897705</v>
      </c>
      <c r="P1999" s="3" t="n">
        <v>-0.7799999713897705</v>
      </c>
      <c r="Q1999" s="3" t="n">
        <v>-0.7799999713897705</v>
      </c>
      <c r="R1999" s="3" t="n">
        <v>-0.7689999938011169</v>
      </c>
      <c r="S1999" s="3" t="n">
        <v>-0.9240000247955322</v>
      </c>
      <c r="T1999" s="3" t="n">
        <v>-0.7080000042915344</v>
      </c>
      <c r="U1999" s="3" t="n">
        <v>-0.8360000252723694</v>
      </c>
      <c r="V1999" s="3" t="n">
        <v>-0.671999990940094</v>
      </c>
      <c r="W1999" s="3" t="n">
        <v>-0.421999990940094</v>
      </c>
      <c r="X1999" s="3" t="n">
        <v>-0.9229999780654907</v>
      </c>
      <c r="Y1999" s="3" t="n">
        <v>-0.7799999713897705</v>
      </c>
      <c r="Z1999" s="3" t="n">
        <v>-0.9240000247955322</v>
      </c>
      <c r="AA1999" s="3" t="n">
        <v>-0.9240000247955322</v>
      </c>
      <c r="AB1999" s="3" t="n">
        <v>-0.9229999780654907</v>
      </c>
      <c r="AC1999" s="3" t="n">
        <v>-0.968999981880188</v>
      </c>
      <c r="AD1999" s="3" t="n">
        <v>-0.8360000252723694</v>
      </c>
      <c r="AE1999" s="3" t="n">
        <v>-0.8360000252723694</v>
      </c>
    </row>
    <row r="2000">
      <c r="A2000" s="3" t="inlineStr">
        <is>
          <t>SVN.distn.dec.ove.mean.6</t>
        </is>
      </c>
      <c r="B2000" s="3" t="inlineStr">
        <is>
          <t>SVN</t>
        </is>
      </c>
      <c r="C2000" s="3" t="n">
        <v>2005</v>
      </c>
      <c r="D2000" s="3" t="inlineStr">
        <is>
          <t>Overall</t>
        </is>
      </c>
      <c r="E2000" s="3" t="inlineStr">
        <is>
          <t>Deciles</t>
        </is>
      </c>
      <c r="F2000" s="3" t="inlineStr">
        <is>
          <t>mean</t>
        </is>
      </c>
      <c r="G2000" s="3" t="n">
        <v>6</v>
      </c>
      <c r="H2000" s="3" t="n">
        <v>-0.7799999713897705</v>
      </c>
      <c r="I2000" s="3" t="n">
        <v>-0.7799999713897705</v>
      </c>
      <c r="J2000" s="3" t="n">
        <v>-0.8360000252723694</v>
      </c>
      <c r="K2000" s="3" t="n">
        <v>-0.8360000252723694</v>
      </c>
      <c r="L2000" s="3" t="n">
        <v>-0.7799999713897705</v>
      </c>
      <c r="M2000" s="3" t="n">
        <v>-0.7799999713897705</v>
      </c>
      <c r="N2000" s="3" t="n">
        <v>-0.7799999713897705</v>
      </c>
      <c r="O2000" s="3" t="n">
        <v>-0.7799999713897705</v>
      </c>
      <c r="P2000" s="3" t="n">
        <v>-0.7799999713897705</v>
      </c>
      <c r="Q2000" s="3" t="n">
        <v>-0.7799999713897705</v>
      </c>
      <c r="R2000" s="3" t="n">
        <v>-0.7689999938011169</v>
      </c>
      <c r="S2000" s="3" t="n">
        <v>-0.9240000247955322</v>
      </c>
      <c r="T2000" s="3" t="n">
        <v>-0.7080000042915344</v>
      </c>
      <c r="U2000" s="3" t="n">
        <v>-0.8360000252723694</v>
      </c>
      <c r="V2000" s="3" t="n">
        <v>-0.671999990940094</v>
      </c>
      <c r="W2000" s="3" t="n">
        <v>-0.421999990940094</v>
      </c>
      <c r="X2000" s="3" t="n">
        <v>-0.9229999780654907</v>
      </c>
      <c r="Y2000" s="3" t="n">
        <v>-0.7799999713897705</v>
      </c>
      <c r="Z2000" s="3" t="n">
        <v>-0.9240000247955322</v>
      </c>
      <c r="AA2000" s="3" t="n">
        <v>-0.9240000247955322</v>
      </c>
      <c r="AB2000" s="3" t="n">
        <v>-0.9229999780654907</v>
      </c>
      <c r="AC2000" s="3" t="n">
        <v>-0.968999981880188</v>
      </c>
      <c r="AD2000" s="3" t="n">
        <v>-0.8360000252723694</v>
      </c>
      <c r="AE2000" s="3" t="n">
        <v>-0.8360000252723694</v>
      </c>
    </row>
    <row r="2001">
      <c r="A2001" s="3" t="inlineStr">
        <is>
          <t>SVN.distn.dec.ove.mean.7</t>
        </is>
      </c>
      <c r="B2001" s="3" t="inlineStr">
        <is>
          <t>SVN</t>
        </is>
      </c>
      <c r="C2001" s="3" t="n">
        <v>2005</v>
      </c>
      <c r="D2001" s="3" t="inlineStr">
        <is>
          <t>Overall</t>
        </is>
      </c>
      <c r="E2001" s="3" t="inlineStr">
        <is>
          <t>Deciles</t>
        </is>
      </c>
      <c r="F2001" s="3" t="inlineStr">
        <is>
          <t>mean</t>
        </is>
      </c>
      <c r="G2001" s="3" t="n">
        <v>7</v>
      </c>
      <c r="H2001" s="3" t="n">
        <v>-0.7799999713897705</v>
      </c>
      <c r="I2001" s="3" t="n">
        <v>-0.7799999713897705</v>
      </c>
      <c r="J2001" s="3" t="n">
        <v>-0.8360000252723694</v>
      </c>
      <c r="K2001" s="3" t="n">
        <v>-0.8360000252723694</v>
      </c>
      <c r="L2001" s="3" t="n">
        <v>-0.7799999713897705</v>
      </c>
      <c r="M2001" s="3" t="n">
        <v>-0.7799999713897705</v>
      </c>
      <c r="N2001" s="3" t="n">
        <v>-0.7799999713897705</v>
      </c>
      <c r="O2001" s="3" t="n">
        <v>-0.7799999713897705</v>
      </c>
      <c r="P2001" s="3" t="n">
        <v>-0.7799999713897705</v>
      </c>
      <c r="Q2001" s="3" t="n">
        <v>-0.7799999713897705</v>
      </c>
      <c r="R2001" s="3" t="n">
        <v>-0.7689999938011169</v>
      </c>
      <c r="S2001" s="3" t="n">
        <v>-0.9240000247955322</v>
      </c>
      <c r="T2001" s="3" t="n">
        <v>-0.7080000042915344</v>
      </c>
      <c r="U2001" s="3" t="n">
        <v>-0.8360000252723694</v>
      </c>
      <c r="V2001" s="3" t="n">
        <v>-0.671999990940094</v>
      </c>
      <c r="W2001" s="3" t="n">
        <v>-0.421999990940094</v>
      </c>
      <c r="X2001" s="3" t="n">
        <v>-0.9229999780654907</v>
      </c>
      <c r="Y2001" s="3" t="n">
        <v>-0.7799999713897705</v>
      </c>
      <c r="Z2001" s="3" t="n">
        <v>-0.9240000247955322</v>
      </c>
      <c r="AA2001" s="3" t="n">
        <v>-0.9240000247955322</v>
      </c>
      <c r="AB2001" s="3" t="n">
        <v>-0.9229999780654907</v>
      </c>
      <c r="AC2001" s="3" t="n">
        <v>-0.968999981880188</v>
      </c>
      <c r="AD2001" s="3" t="n">
        <v>-0.8360000252723694</v>
      </c>
      <c r="AE2001" s="3" t="n">
        <v>-0.8360000252723694</v>
      </c>
    </row>
    <row r="2002">
      <c r="A2002" s="3" t="inlineStr">
        <is>
          <t>SVN.distn.dec.ove.mean.8</t>
        </is>
      </c>
      <c r="B2002" s="3" t="inlineStr">
        <is>
          <t>SVN</t>
        </is>
      </c>
      <c r="C2002" s="3" t="n">
        <v>2005</v>
      </c>
      <c r="D2002" s="3" t="inlineStr">
        <is>
          <t>Overall</t>
        </is>
      </c>
      <c r="E2002" s="3" t="inlineStr">
        <is>
          <t>Deciles</t>
        </is>
      </c>
      <c r="F2002" s="3" t="inlineStr">
        <is>
          <t>mean</t>
        </is>
      </c>
      <c r="G2002" s="3" t="n">
        <v>8</v>
      </c>
      <c r="H2002" s="3" t="n">
        <v>-0.7803757786750793</v>
      </c>
      <c r="I2002" s="3" t="n">
        <v>-0.7803757786750793</v>
      </c>
      <c r="J2002" s="3" t="n">
        <v>-0.8382551670074463</v>
      </c>
      <c r="K2002" s="3" t="n">
        <v>-0.8382551670074463</v>
      </c>
      <c r="L2002" s="3" t="n">
        <v>-0.7803757786750793</v>
      </c>
      <c r="M2002" s="3" t="n">
        <v>-0.7803757786750793</v>
      </c>
      <c r="N2002" s="3" t="n">
        <v>-0.7803757786750793</v>
      </c>
      <c r="O2002" s="3" t="n">
        <v>-0.7803757786750793</v>
      </c>
      <c r="P2002" s="3" t="n">
        <v>-0.7803757786750793</v>
      </c>
      <c r="Q2002" s="3" t="n">
        <v>-0.7803757786750793</v>
      </c>
      <c r="R2002" s="3" t="n">
        <v>-0.7692528963088989</v>
      </c>
      <c r="S2002" s="3" t="n">
        <v>-0.9325979351997375</v>
      </c>
      <c r="T2002" s="3" t="n">
        <v>-0.7080408334732056</v>
      </c>
      <c r="U2002" s="3" t="n">
        <v>-0.8382551670074463</v>
      </c>
      <c r="V2002" s="3" t="n">
        <v>-0.6726946830749512</v>
      </c>
      <c r="W2002" s="3" t="n">
        <v>-0.433300644159317</v>
      </c>
      <c r="X2002" s="3" t="n">
        <v>-0.9314103722572327</v>
      </c>
      <c r="Y2002" s="3" t="n">
        <v>-0.7803757786750793</v>
      </c>
      <c r="Z2002" s="3" t="n">
        <v>-0.9325979351997375</v>
      </c>
      <c r="AA2002" s="3" t="n">
        <v>-0.9325979351997375</v>
      </c>
      <c r="AB2002" s="3" t="n">
        <v>-0.9314103722572327</v>
      </c>
      <c r="AC2002" s="3" t="n">
        <v>-0.9828191995620728</v>
      </c>
      <c r="AD2002" s="3" t="n">
        <v>-0.8382551670074463</v>
      </c>
      <c r="AE2002" s="3" t="n">
        <v>-0.8382551670074463</v>
      </c>
    </row>
    <row r="2003">
      <c r="A2003" s="3" t="inlineStr">
        <is>
          <t>SVN.distn.dec.ove.mean.9</t>
        </is>
      </c>
      <c r="B2003" s="3" t="inlineStr">
        <is>
          <t>SVN</t>
        </is>
      </c>
      <c r="C2003" s="3" t="n">
        <v>2005</v>
      </c>
      <c r="D2003" s="3" t="inlineStr">
        <is>
          <t>Overall</t>
        </is>
      </c>
      <c r="E2003" s="3" t="inlineStr">
        <is>
          <t>Deciles</t>
        </is>
      </c>
      <c r="F2003" s="3" t="inlineStr">
        <is>
          <t>mean</t>
        </is>
      </c>
      <c r="G2003" s="3" t="n">
        <v>9</v>
      </c>
      <c r="H2003" s="3" t="n">
        <v>-0.7803757786750793</v>
      </c>
      <c r="I2003" s="3" t="n">
        <v>-0.7803757786750793</v>
      </c>
      <c r="J2003" s="3" t="n">
        <v>-0.8382551670074463</v>
      </c>
      <c r="K2003" s="3" t="n">
        <v>-0.8382551670074463</v>
      </c>
      <c r="L2003" s="3" t="n">
        <v>-0.7803757786750793</v>
      </c>
      <c r="M2003" s="3" t="n">
        <v>-0.7803757786750793</v>
      </c>
      <c r="N2003" s="3" t="n">
        <v>-0.7803757786750793</v>
      </c>
      <c r="O2003" s="3" t="n">
        <v>-0.7803757786750793</v>
      </c>
      <c r="P2003" s="3" t="n">
        <v>-0.7803757786750793</v>
      </c>
      <c r="Q2003" s="3" t="n">
        <v>-0.7803757786750793</v>
      </c>
      <c r="R2003" s="3" t="n">
        <v>-0.7692528963088989</v>
      </c>
      <c r="S2003" s="3" t="n">
        <v>-0.9325979351997375</v>
      </c>
      <c r="T2003" s="3" t="n">
        <v>-0.7080408334732056</v>
      </c>
      <c r="U2003" s="3" t="n">
        <v>-0.8382551670074463</v>
      </c>
      <c r="V2003" s="3" t="n">
        <v>-0.6726946830749512</v>
      </c>
      <c r="W2003" s="3" t="n">
        <v>-0.433300644159317</v>
      </c>
      <c r="X2003" s="3" t="n">
        <v>-0.9314103722572327</v>
      </c>
      <c r="Y2003" s="3" t="n">
        <v>-0.7803757786750793</v>
      </c>
      <c r="Z2003" s="3" t="n">
        <v>-0.9325979351997375</v>
      </c>
      <c r="AA2003" s="3" t="n">
        <v>-0.9325979351997375</v>
      </c>
      <c r="AB2003" s="3" t="n">
        <v>-0.9314103722572327</v>
      </c>
      <c r="AC2003" s="3" t="n">
        <v>-0.9828191995620728</v>
      </c>
      <c r="AD2003" s="3" t="n">
        <v>-0.8382551670074463</v>
      </c>
      <c r="AE2003" s="3" t="n">
        <v>-0.8382551670074463</v>
      </c>
    </row>
    <row r="2004">
      <c r="A2004" s="3" t="inlineStr">
        <is>
          <t>SVN.distn.dec.ove.mean.10</t>
        </is>
      </c>
      <c r="B2004" s="3" t="inlineStr">
        <is>
          <t>SVN</t>
        </is>
      </c>
      <c r="C2004" s="3" t="n">
        <v>2005</v>
      </c>
      <c r="D2004" s="3" t="inlineStr">
        <is>
          <t>Overall</t>
        </is>
      </c>
      <c r="E2004" s="3" t="inlineStr">
        <is>
          <t>Deciles</t>
        </is>
      </c>
      <c r="F2004" s="3" t="inlineStr">
        <is>
          <t>mean</t>
        </is>
      </c>
      <c r="G2004" s="3" t="n">
        <v>10</v>
      </c>
      <c r="H2004" s="3" t="n">
        <v>-0.7803757786750793</v>
      </c>
      <c r="I2004" s="3" t="n">
        <v>-0.7803757786750793</v>
      </c>
      <c r="J2004" s="3" t="n">
        <v>-0.8382551670074463</v>
      </c>
      <c r="K2004" s="3" t="n">
        <v>-0.8382551670074463</v>
      </c>
      <c r="L2004" s="3" t="n">
        <v>-0.7803757786750793</v>
      </c>
      <c r="M2004" s="3" t="n">
        <v>-0.7803757786750793</v>
      </c>
      <c r="N2004" s="3" t="n">
        <v>-0.7803757786750793</v>
      </c>
      <c r="O2004" s="3" t="n">
        <v>-0.7803757786750793</v>
      </c>
      <c r="P2004" s="3" t="n">
        <v>-0.7803757786750793</v>
      </c>
      <c r="Q2004" s="3" t="n">
        <v>-0.7803757786750793</v>
      </c>
      <c r="R2004" s="3" t="n">
        <v>-0.7692528963088989</v>
      </c>
      <c r="S2004" s="3" t="n">
        <v>-0.9325979351997375</v>
      </c>
      <c r="T2004" s="3" t="n">
        <v>-0.7080408334732056</v>
      </c>
      <c r="U2004" s="3" t="n">
        <v>-0.8382551670074463</v>
      </c>
      <c r="V2004" s="3" t="n">
        <v>-0.6726946830749512</v>
      </c>
      <c r="W2004" s="3" t="n">
        <v>-0.433300644159317</v>
      </c>
      <c r="X2004" s="3" t="n">
        <v>-0.9314103722572327</v>
      </c>
      <c r="Y2004" s="3" t="n">
        <v>-0.7803757786750793</v>
      </c>
      <c r="Z2004" s="3" t="n">
        <v>-0.9325979351997375</v>
      </c>
      <c r="AA2004" s="3" t="n">
        <v>-0.9325979351997375</v>
      </c>
      <c r="AB2004" s="3" t="n">
        <v>-0.9314103722572327</v>
      </c>
      <c r="AC2004" s="3" t="n">
        <v>-0.9828191995620728</v>
      </c>
      <c r="AD2004" s="3" t="n">
        <v>-0.8382551670074463</v>
      </c>
      <c r="AE2004" s="3" t="n">
        <v>-0.8382551670074463</v>
      </c>
    </row>
    <row r="2005">
      <c r="A2005" s="3" t="inlineStr">
        <is>
          <t>SVN.distn.bkt.ove.mean.9999</t>
        </is>
      </c>
      <c r="B2005" s="3" t="inlineStr">
        <is>
          <t>SVN</t>
        </is>
      </c>
      <c r="C2005" s="3" t="n">
        <v>2005</v>
      </c>
      <c r="D2005" s="3" t="inlineStr">
        <is>
          <t>Overall</t>
        </is>
      </c>
      <c r="E2005" s="3" t="inlineStr">
        <is>
          <t>Basket</t>
        </is>
      </c>
      <c r="F2005" s="3" t="inlineStr">
        <is>
          <t>mean</t>
        </is>
      </c>
      <c r="G2005" s="3" t="n">
        <v>9999</v>
      </c>
      <c r="H2005" s="3" t="n">
        <v>-0.7819802165031433</v>
      </c>
      <c r="I2005" s="3" t="n">
        <v>-0.7819802165031433</v>
      </c>
      <c r="J2005" s="3" t="n">
        <v>-0.8494107723236084</v>
      </c>
      <c r="K2005" s="3" t="n">
        <v>-0.8494107723236084</v>
      </c>
      <c r="L2005" s="3" t="n">
        <v>-0.7819802165031433</v>
      </c>
      <c r="M2005" s="3" t="n">
        <v>-0.7819802165031433</v>
      </c>
      <c r="N2005" s="3" t="n">
        <v>-0.7819802165031433</v>
      </c>
      <c r="O2005" s="3" t="n">
        <v>-0.7819802165031433</v>
      </c>
      <c r="P2005" s="3" t="n">
        <v>-0.7819802165031433</v>
      </c>
      <c r="Q2005" s="3" t="n">
        <v>-0.7819802165031433</v>
      </c>
      <c r="R2005" s="3" t="n">
        <v>-0.7701157331466675</v>
      </c>
      <c r="S2005" s="3" t="n">
        <v>-1.056361436843872</v>
      </c>
      <c r="T2005" s="3" t="n">
        <v>-0.708448052406311</v>
      </c>
      <c r="U2005" s="3" t="n">
        <v>-0.8494107723236084</v>
      </c>
      <c r="V2005" s="3" t="n">
        <v>-0.674279510974884</v>
      </c>
      <c r="W2005" s="3" t="n">
        <v>-0.4492168426513672</v>
      </c>
      <c r="X2005" s="3" t="n">
        <v>-1.040979981422424</v>
      </c>
      <c r="Y2005" s="3" t="n">
        <v>-0.7819802165031433</v>
      </c>
      <c r="Z2005" s="3" t="n">
        <v>-1.056361436843872</v>
      </c>
      <c r="AA2005" s="3" t="n">
        <v>-1.056361436843872</v>
      </c>
      <c r="AB2005" s="3" t="n">
        <v>-1.040979981422424</v>
      </c>
      <c r="AC2005" s="3" t="n">
        <v>-1.284405589103699</v>
      </c>
      <c r="AD2005" s="3" t="n">
        <v>-0.8494107723236084</v>
      </c>
      <c r="AE2005" s="3" t="n">
        <v>-0.8494107723236084</v>
      </c>
    </row>
    <row r="2006">
      <c r="A2006" s="3" t="inlineStr">
        <is>
          <t>SWE.distn.dec.ove.mean.1</t>
        </is>
      </c>
      <c r="B2006" s="3" t="inlineStr">
        <is>
          <t>SWE</t>
        </is>
      </c>
      <c r="C2006" s="3" t="n">
        <v>2005</v>
      </c>
      <c r="D2006" s="3" t="inlineStr">
        <is>
          <t>Overall</t>
        </is>
      </c>
      <c r="E2006" s="3" t="inlineStr">
        <is>
          <t>Deciles</t>
        </is>
      </c>
      <c r="F2006" s="3" t="inlineStr">
        <is>
          <t>mean</t>
        </is>
      </c>
      <c r="G2006" s="3" t="n">
        <v>1</v>
      </c>
      <c r="H2006" s="3" t="n">
        <v>-0.7882409691810608</v>
      </c>
      <c r="I2006" s="3" t="n">
        <v>-0.7882409691810608</v>
      </c>
      <c r="J2006" s="3" t="n">
        <v>-0.8921075463294983</v>
      </c>
      <c r="K2006" s="3" t="n">
        <v>-0.8921075463294983</v>
      </c>
      <c r="L2006" s="3" t="n">
        <v>-0.7882409691810608</v>
      </c>
      <c r="M2006" s="3" t="n">
        <v>-0.7882409691810608</v>
      </c>
      <c r="N2006" s="3" t="n">
        <v>-0.7882409691810608</v>
      </c>
      <c r="O2006" s="3" t="n">
        <v>-0.7882409691810608</v>
      </c>
      <c r="P2006" s="3" t="n">
        <v>-0.7882409691810608</v>
      </c>
      <c r="Q2006" s="3" t="n">
        <v>-0.7882409691810608</v>
      </c>
      <c r="R2006" s="3" t="n">
        <v>-0.7734707593917847</v>
      </c>
      <c r="S2006" s="3" t="n">
        <v>-1.428548097610474</v>
      </c>
      <c r="T2006" s="3" t="n">
        <v>-0.7094525694847107</v>
      </c>
      <c r="U2006" s="3" t="n">
        <v>-0.8921075463294983</v>
      </c>
      <c r="V2006" s="3" t="n">
        <v>-0.6829447150230408</v>
      </c>
      <c r="W2006" s="3" t="n">
        <v>-0.5929139256477356</v>
      </c>
      <c r="X2006" s="3" t="n">
        <v>-1.37445342540741</v>
      </c>
      <c r="Y2006" s="3" t="n">
        <v>-0.7882409691810608</v>
      </c>
      <c r="Z2006" s="3" t="n">
        <v>-1.428548097610474</v>
      </c>
      <c r="AA2006" s="3" t="n">
        <v>-1.428548097610474</v>
      </c>
      <c r="AB2006" s="3" t="n">
        <v>-1.37445342540741</v>
      </c>
      <c r="AC2006" s="3" t="n">
        <v>-2.168049335479736</v>
      </c>
      <c r="AD2006" s="3" t="n">
        <v>-0.8921075463294983</v>
      </c>
      <c r="AE2006" s="3" t="n">
        <v>-0.8921075463294983</v>
      </c>
    </row>
    <row r="2007">
      <c r="A2007" s="3" t="inlineStr">
        <is>
          <t>SWE.distn.dec.ove.mean.2</t>
        </is>
      </c>
      <c r="B2007" s="3" t="inlineStr">
        <is>
          <t>SWE</t>
        </is>
      </c>
      <c r="C2007" s="3" t="n">
        <v>2005</v>
      </c>
      <c r="D2007" s="3" t="inlineStr">
        <is>
          <t>Overall</t>
        </is>
      </c>
      <c r="E2007" s="3" t="inlineStr">
        <is>
          <t>Deciles</t>
        </is>
      </c>
      <c r="F2007" s="3" t="inlineStr">
        <is>
          <t>mean</t>
        </is>
      </c>
      <c r="G2007" s="3" t="n">
        <v>2</v>
      </c>
      <c r="H2007" s="3" t="n">
        <v>-0.7882409691810608</v>
      </c>
      <c r="I2007" s="3" t="n">
        <v>-0.7882409691810608</v>
      </c>
      <c r="J2007" s="3" t="n">
        <v>-0.8921075463294983</v>
      </c>
      <c r="K2007" s="3" t="n">
        <v>-0.8921075463294983</v>
      </c>
      <c r="L2007" s="3" t="n">
        <v>-0.7882409691810608</v>
      </c>
      <c r="M2007" s="3" t="n">
        <v>-0.7882409691810608</v>
      </c>
      <c r="N2007" s="3" t="n">
        <v>-0.7882409691810608</v>
      </c>
      <c r="O2007" s="3" t="n">
        <v>-0.7882409691810608</v>
      </c>
      <c r="P2007" s="3" t="n">
        <v>-0.7882409691810608</v>
      </c>
      <c r="Q2007" s="3" t="n">
        <v>-0.7882409691810608</v>
      </c>
      <c r="R2007" s="3" t="n">
        <v>-0.7734707593917847</v>
      </c>
      <c r="S2007" s="3" t="n">
        <v>-1.428548097610474</v>
      </c>
      <c r="T2007" s="3" t="n">
        <v>-0.7094525694847107</v>
      </c>
      <c r="U2007" s="3" t="n">
        <v>-0.8921075463294983</v>
      </c>
      <c r="V2007" s="3" t="n">
        <v>-0.6829447150230408</v>
      </c>
      <c r="W2007" s="3" t="n">
        <v>-0.5929139256477356</v>
      </c>
      <c r="X2007" s="3" t="n">
        <v>-1.37445342540741</v>
      </c>
      <c r="Y2007" s="3" t="n">
        <v>-0.7882409691810608</v>
      </c>
      <c r="Z2007" s="3" t="n">
        <v>-1.428548097610474</v>
      </c>
      <c r="AA2007" s="3" t="n">
        <v>-1.428548097610474</v>
      </c>
      <c r="AB2007" s="3" t="n">
        <v>-1.37445342540741</v>
      </c>
      <c r="AC2007" s="3" t="n">
        <v>-2.168049335479736</v>
      </c>
      <c r="AD2007" s="3" t="n">
        <v>-0.8921075463294983</v>
      </c>
      <c r="AE2007" s="3" t="n">
        <v>-0.8921075463294983</v>
      </c>
    </row>
    <row r="2008">
      <c r="A2008" s="3" t="inlineStr">
        <is>
          <t>SWE.distn.dec.ove.mean.3</t>
        </is>
      </c>
      <c r="B2008" s="3" t="inlineStr">
        <is>
          <t>SWE</t>
        </is>
      </c>
      <c r="C2008" s="3" t="n">
        <v>2005</v>
      </c>
      <c r="D2008" s="3" t="inlineStr">
        <is>
          <t>Overall</t>
        </is>
      </c>
      <c r="E2008" s="3" t="inlineStr">
        <is>
          <t>Deciles</t>
        </is>
      </c>
      <c r="F2008" s="3" t="inlineStr">
        <is>
          <t>mean</t>
        </is>
      </c>
      <c r="G2008" s="3" t="n">
        <v>3</v>
      </c>
      <c r="H2008" s="3" t="n">
        <v>-0.7882409691810608</v>
      </c>
      <c r="I2008" s="3" t="n">
        <v>-0.7882409691810608</v>
      </c>
      <c r="J2008" s="3" t="n">
        <v>-0.8921075463294983</v>
      </c>
      <c r="K2008" s="3" t="n">
        <v>-0.8921075463294983</v>
      </c>
      <c r="L2008" s="3" t="n">
        <v>-0.7882409691810608</v>
      </c>
      <c r="M2008" s="3" t="n">
        <v>-0.7882409691810608</v>
      </c>
      <c r="N2008" s="3" t="n">
        <v>-0.7882409691810608</v>
      </c>
      <c r="O2008" s="3" t="n">
        <v>-0.7882409691810608</v>
      </c>
      <c r="P2008" s="3" t="n">
        <v>-0.7882409691810608</v>
      </c>
      <c r="Q2008" s="3" t="n">
        <v>-0.7882409691810608</v>
      </c>
      <c r="R2008" s="3" t="n">
        <v>-0.7734707593917847</v>
      </c>
      <c r="S2008" s="3" t="n">
        <v>-1.428548097610474</v>
      </c>
      <c r="T2008" s="3" t="n">
        <v>-0.7094525694847107</v>
      </c>
      <c r="U2008" s="3" t="n">
        <v>-0.8921075463294983</v>
      </c>
      <c r="V2008" s="3" t="n">
        <v>-0.6829447150230408</v>
      </c>
      <c r="W2008" s="3" t="n">
        <v>-0.5929139256477356</v>
      </c>
      <c r="X2008" s="3" t="n">
        <v>-1.37445342540741</v>
      </c>
      <c r="Y2008" s="3" t="n">
        <v>-0.7882409691810608</v>
      </c>
      <c r="Z2008" s="3" t="n">
        <v>-1.428548097610474</v>
      </c>
      <c r="AA2008" s="3" t="n">
        <v>-1.428548097610474</v>
      </c>
      <c r="AB2008" s="3" t="n">
        <v>-1.37445342540741</v>
      </c>
      <c r="AC2008" s="3" t="n">
        <v>-2.168049335479736</v>
      </c>
      <c r="AD2008" s="3" t="n">
        <v>-0.8921075463294983</v>
      </c>
      <c r="AE2008" s="3" t="n">
        <v>-0.8921075463294983</v>
      </c>
    </row>
    <row r="2009">
      <c r="A2009" s="3" t="inlineStr">
        <is>
          <t>SWE.distn.dec.ove.mean.4</t>
        </is>
      </c>
      <c r="B2009" s="3" t="inlineStr">
        <is>
          <t>SWE</t>
        </is>
      </c>
      <c r="C2009" s="3" t="n">
        <v>2005</v>
      </c>
      <c r="D2009" s="3" t="inlineStr">
        <is>
          <t>Overall</t>
        </is>
      </c>
      <c r="E2009" s="3" t="inlineStr">
        <is>
          <t>Deciles</t>
        </is>
      </c>
      <c r="F2009" s="3" t="inlineStr">
        <is>
          <t>mean</t>
        </is>
      </c>
      <c r="G2009" s="3" t="n">
        <v>4</v>
      </c>
      <c r="H2009" s="3" t="n">
        <v>-0.7820000052452087</v>
      </c>
      <c r="I2009" s="3" t="n">
        <v>-0.7820000052452087</v>
      </c>
      <c r="J2009" s="3" t="n">
        <v>-0.8489999771118164</v>
      </c>
      <c r="K2009" s="3" t="n">
        <v>-0.8489999771118164</v>
      </c>
      <c r="L2009" s="3" t="n">
        <v>-0.7820000052452087</v>
      </c>
      <c r="M2009" s="3" t="n">
        <v>-0.7820000052452087</v>
      </c>
      <c r="N2009" s="3" t="n">
        <v>-0.7820000052452087</v>
      </c>
      <c r="O2009" s="3" t="n">
        <v>-0.7820000052452087</v>
      </c>
      <c r="P2009" s="3" t="n">
        <v>-0.7820000052452087</v>
      </c>
      <c r="Q2009" s="3" t="n">
        <v>-0.7820000052452087</v>
      </c>
      <c r="R2009" s="3" t="n">
        <v>-0.7699999809265137</v>
      </c>
      <c r="S2009" s="3" t="n">
        <v>-0.9729999899864197</v>
      </c>
      <c r="T2009" s="3" t="n">
        <v>-0.7080000042915344</v>
      </c>
      <c r="U2009" s="3" t="n">
        <v>-0.8489999771118164</v>
      </c>
      <c r="V2009" s="3" t="n">
        <v>-0.6759999990463257</v>
      </c>
      <c r="W2009" s="3" t="n">
        <v>-0.4990000128746033</v>
      </c>
      <c r="X2009" s="3" t="n">
        <v>-0.9700000286102295</v>
      </c>
      <c r="Y2009" s="3" t="n">
        <v>-0.7820000052452087</v>
      </c>
      <c r="Z2009" s="3" t="n">
        <v>-0.9729999899864197</v>
      </c>
      <c r="AA2009" s="3" t="n">
        <v>-0.9729999899864197</v>
      </c>
      <c r="AB2009" s="3" t="n">
        <v>-0.9700000286102295</v>
      </c>
      <c r="AC2009" s="3" t="n">
        <v>-1.047000050544739</v>
      </c>
      <c r="AD2009" s="3" t="n">
        <v>-0.8489999771118164</v>
      </c>
      <c r="AE2009" s="3" t="n">
        <v>-0.8489999771118164</v>
      </c>
    </row>
    <row r="2010">
      <c r="A2010" s="3" t="inlineStr">
        <is>
          <t>SWE.distn.dec.ove.mean.5</t>
        </is>
      </c>
      <c r="B2010" s="3" t="inlineStr">
        <is>
          <t>SWE</t>
        </is>
      </c>
      <c r="C2010" s="3" t="n">
        <v>2005</v>
      </c>
      <c r="D2010" s="3" t="inlineStr">
        <is>
          <t>Overall</t>
        </is>
      </c>
      <c r="E2010" s="3" t="inlineStr">
        <is>
          <t>Deciles</t>
        </is>
      </c>
      <c r="F2010" s="3" t="inlineStr">
        <is>
          <t>mean</t>
        </is>
      </c>
      <c r="G2010" s="3" t="n">
        <v>5</v>
      </c>
      <c r="H2010" s="3" t="n">
        <v>-0.7820000052452087</v>
      </c>
      <c r="I2010" s="3" t="n">
        <v>-0.7820000052452087</v>
      </c>
      <c r="J2010" s="3" t="n">
        <v>-0.8489999771118164</v>
      </c>
      <c r="K2010" s="3" t="n">
        <v>-0.8489999771118164</v>
      </c>
      <c r="L2010" s="3" t="n">
        <v>-0.7820000052452087</v>
      </c>
      <c r="M2010" s="3" t="n">
        <v>-0.7820000052452087</v>
      </c>
      <c r="N2010" s="3" t="n">
        <v>-0.7820000052452087</v>
      </c>
      <c r="O2010" s="3" t="n">
        <v>-0.7820000052452087</v>
      </c>
      <c r="P2010" s="3" t="n">
        <v>-0.7820000052452087</v>
      </c>
      <c r="Q2010" s="3" t="n">
        <v>-0.7820000052452087</v>
      </c>
      <c r="R2010" s="3" t="n">
        <v>-0.7699999809265137</v>
      </c>
      <c r="S2010" s="3" t="n">
        <v>-0.9729999899864197</v>
      </c>
      <c r="T2010" s="3" t="n">
        <v>-0.7080000042915344</v>
      </c>
      <c r="U2010" s="3" t="n">
        <v>-0.8489999771118164</v>
      </c>
      <c r="V2010" s="3" t="n">
        <v>-0.6759999990463257</v>
      </c>
      <c r="W2010" s="3" t="n">
        <v>-0.4990000128746033</v>
      </c>
      <c r="X2010" s="3" t="n">
        <v>-0.9700000286102295</v>
      </c>
      <c r="Y2010" s="3" t="n">
        <v>-0.7820000052452087</v>
      </c>
      <c r="Z2010" s="3" t="n">
        <v>-0.9729999899864197</v>
      </c>
      <c r="AA2010" s="3" t="n">
        <v>-0.9729999899864197</v>
      </c>
      <c r="AB2010" s="3" t="n">
        <v>-0.9700000286102295</v>
      </c>
      <c r="AC2010" s="3" t="n">
        <v>-1.047000050544739</v>
      </c>
      <c r="AD2010" s="3" t="n">
        <v>-0.8489999771118164</v>
      </c>
      <c r="AE2010" s="3" t="n">
        <v>-0.8489999771118164</v>
      </c>
    </row>
    <row r="2011">
      <c r="A2011" s="3" t="inlineStr">
        <is>
          <t>SWE.distn.dec.ove.mean.6</t>
        </is>
      </c>
      <c r="B2011" s="3" t="inlineStr">
        <is>
          <t>SWE</t>
        </is>
      </c>
      <c r="C2011" s="3" t="n">
        <v>2005</v>
      </c>
      <c r="D2011" s="3" t="inlineStr">
        <is>
          <t>Overall</t>
        </is>
      </c>
      <c r="E2011" s="3" t="inlineStr">
        <is>
          <t>Deciles</t>
        </is>
      </c>
      <c r="F2011" s="3" t="inlineStr">
        <is>
          <t>mean</t>
        </is>
      </c>
      <c r="G2011" s="3" t="n">
        <v>6</v>
      </c>
      <c r="H2011" s="3" t="n">
        <v>-0.7820000052452087</v>
      </c>
      <c r="I2011" s="3" t="n">
        <v>-0.7820000052452087</v>
      </c>
      <c r="J2011" s="3" t="n">
        <v>-0.8489999771118164</v>
      </c>
      <c r="K2011" s="3" t="n">
        <v>-0.8489999771118164</v>
      </c>
      <c r="L2011" s="3" t="n">
        <v>-0.7820000052452087</v>
      </c>
      <c r="M2011" s="3" t="n">
        <v>-0.7820000052452087</v>
      </c>
      <c r="N2011" s="3" t="n">
        <v>-0.7820000052452087</v>
      </c>
      <c r="O2011" s="3" t="n">
        <v>-0.7820000052452087</v>
      </c>
      <c r="P2011" s="3" t="n">
        <v>-0.7820000052452087</v>
      </c>
      <c r="Q2011" s="3" t="n">
        <v>-0.7820000052452087</v>
      </c>
      <c r="R2011" s="3" t="n">
        <v>-0.7699999809265137</v>
      </c>
      <c r="S2011" s="3" t="n">
        <v>-0.9729999899864197</v>
      </c>
      <c r="T2011" s="3" t="n">
        <v>-0.7080000042915344</v>
      </c>
      <c r="U2011" s="3" t="n">
        <v>-0.8489999771118164</v>
      </c>
      <c r="V2011" s="3" t="n">
        <v>-0.6759999990463257</v>
      </c>
      <c r="W2011" s="3" t="n">
        <v>-0.4990000128746033</v>
      </c>
      <c r="X2011" s="3" t="n">
        <v>-0.9700000286102295</v>
      </c>
      <c r="Y2011" s="3" t="n">
        <v>-0.7820000052452087</v>
      </c>
      <c r="Z2011" s="3" t="n">
        <v>-0.9729999899864197</v>
      </c>
      <c r="AA2011" s="3" t="n">
        <v>-0.9729999899864197</v>
      </c>
      <c r="AB2011" s="3" t="n">
        <v>-0.9700000286102295</v>
      </c>
      <c r="AC2011" s="3" t="n">
        <v>-1.047000050544739</v>
      </c>
      <c r="AD2011" s="3" t="n">
        <v>-0.8489999771118164</v>
      </c>
      <c r="AE2011" s="3" t="n">
        <v>-0.8489999771118164</v>
      </c>
    </row>
    <row r="2012">
      <c r="A2012" s="3" t="inlineStr">
        <is>
          <t>SWE.distn.dec.ove.mean.7</t>
        </is>
      </c>
      <c r="B2012" s="3" t="inlineStr">
        <is>
          <t>SWE</t>
        </is>
      </c>
      <c r="C2012" s="3" t="n">
        <v>2005</v>
      </c>
      <c r="D2012" s="3" t="inlineStr">
        <is>
          <t>Overall</t>
        </is>
      </c>
      <c r="E2012" s="3" t="inlineStr">
        <is>
          <t>Deciles</t>
        </is>
      </c>
      <c r="F2012" s="3" t="inlineStr">
        <is>
          <t>mean</t>
        </is>
      </c>
      <c r="G2012" s="3" t="n">
        <v>7</v>
      </c>
      <c r="H2012" s="3" t="n">
        <v>-0.7820000052452087</v>
      </c>
      <c r="I2012" s="3" t="n">
        <v>-0.7820000052452087</v>
      </c>
      <c r="J2012" s="3" t="n">
        <v>-0.8489999771118164</v>
      </c>
      <c r="K2012" s="3" t="n">
        <v>-0.8489999771118164</v>
      </c>
      <c r="L2012" s="3" t="n">
        <v>-0.7820000052452087</v>
      </c>
      <c r="M2012" s="3" t="n">
        <v>-0.7820000052452087</v>
      </c>
      <c r="N2012" s="3" t="n">
        <v>-0.7820000052452087</v>
      </c>
      <c r="O2012" s="3" t="n">
        <v>-0.7820000052452087</v>
      </c>
      <c r="P2012" s="3" t="n">
        <v>-0.7820000052452087</v>
      </c>
      <c r="Q2012" s="3" t="n">
        <v>-0.7820000052452087</v>
      </c>
      <c r="R2012" s="3" t="n">
        <v>-0.7699999809265137</v>
      </c>
      <c r="S2012" s="3" t="n">
        <v>-0.9729999899864197</v>
      </c>
      <c r="T2012" s="3" t="n">
        <v>-0.7080000042915344</v>
      </c>
      <c r="U2012" s="3" t="n">
        <v>-0.8489999771118164</v>
      </c>
      <c r="V2012" s="3" t="n">
        <v>-0.6759999990463257</v>
      </c>
      <c r="W2012" s="3" t="n">
        <v>-0.4990000128746033</v>
      </c>
      <c r="X2012" s="3" t="n">
        <v>-0.9700000286102295</v>
      </c>
      <c r="Y2012" s="3" t="n">
        <v>-0.7820000052452087</v>
      </c>
      <c r="Z2012" s="3" t="n">
        <v>-0.9729999899864197</v>
      </c>
      <c r="AA2012" s="3" t="n">
        <v>-0.9729999899864197</v>
      </c>
      <c r="AB2012" s="3" t="n">
        <v>-0.9700000286102295</v>
      </c>
      <c r="AC2012" s="3" t="n">
        <v>-1.047000050544739</v>
      </c>
      <c r="AD2012" s="3" t="n">
        <v>-0.8489999771118164</v>
      </c>
      <c r="AE2012" s="3" t="n">
        <v>-0.8489999771118164</v>
      </c>
    </row>
    <row r="2013">
      <c r="A2013" s="3" t="inlineStr">
        <is>
          <t>SWE.distn.dec.ove.mean.8</t>
        </is>
      </c>
      <c r="B2013" s="3" t="inlineStr">
        <is>
          <t>SWE</t>
        </is>
      </c>
      <c r="C2013" s="3" t="n">
        <v>2005</v>
      </c>
      <c r="D2013" s="3" t="inlineStr">
        <is>
          <t>Overall</t>
        </is>
      </c>
      <c r="E2013" s="3" t="inlineStr">
        <is>
          <t>Deciles</t>
        </is>
      </c>
      <c r="F2013" s="3" t="inlineStr">
        <is>
          <t>mean</t>
        </is>
      </c>
      <c r="G2013" s="3" t="n">
        <v>8</v>
      </c>
      <c r="H2013" s="3" t="n">
        <v>-0.782376766204834</v>
      </c>
      <c r="I2013" s="3" t="n">
        <v>-0.782376766204834</v>
      </c>
      <c r="J2013" s="3" t="n">
        <v>-0.851290225982666</v>
      </c>
      <c r="K2013" s="3" t="n">
        <v>-0.851290225982666</v>
      </c>
      <c r="L2013" s="3" t="n">
        <v>-0.782376766204834</v>
      </c>
      <c r="M2013" s="3" t="n">
        <v>-0.782376766204834</v>
      </c>
      <c r="N2013" s="3" t="n">
        <v>-0.782376766204834</v>
      </c>
      <c r="O2013" s="3" t="n">
        <v>-0.782376766204834</v>
      </c>
      <c r="P2013" s="3" t="n">
        <v>-0.782376766204834</v>
      </c>
      <c r="Q2013" s="3" t="n">
        <v>-0.782376766204834</v>
      </c>
      <c r="R2013" s="3" t="n">
        <v>-0.7702532410621643</v>
      </c>
      <c r="S2013" s="3" t="n">
        <v>-0.9820538759231567</v>
      </c>
      <c r="T2013" s="3" t="n">
        <v>-0.7080408334732056</v>
      </c>
      <c r="U2013" s="3" t="n">
        <v>-0.851290225982666</v>
      </c>
      <c r="V2013" s="3" t="n">
        <v>-0.6766988039016724</v>
      </c>
      <c r="W2013" s="3" t="n">
        <v>-0.5123625993728638</v>
      </c>
      <c r="X2013" s="3" t="n">
        <v>-0.9788386225700378</v>
      </c>
      <c r="Y2013" s="3" t="n">
        <v>-0.782376766204834</v>
      </c>
      <c r="Z2013" s="3" t="n">
        <v>-0.9820538759231567</v>
      </c>
      <c r="AA2013" s="3" t="n">
        <v>-0.9820538759231567</v>
      </c>
      <c r="AB2013" s="3" t="n">
        <v>-0.9788386225700378</v>
      </c>
      <c r="AC2013" s="3" t="n">
        <v>-1.061931610107422</v>
      </c>
      <c r="AD2013" s="3" t="n">
        <v>-0.851290225982666</v>
      </c>
      <c r="AE2013" s="3" t="n">
        <v>-0.851290225982666</v>
      </c>
    </row>
    <row r="2014">
      <c r="A2014" s="3" t="inlineStr">
        <is>
          <t>SWE.distn.dec.ove.mean.9</t>
        </is>
      </c>
      <c r="B2014" s="3" t="inlineStr">
        <is>
          <t>SWE</t>
        </is>
      </c>
      <c r="C2014" s="3" t="n">
        <v>2005</v>
      </c>
      <c r="D2014" s="3" t="inlineStr">
        <is>
          <t>Overall</t>
        </is>
      </c>
      <c r="E2014" s="3" t="inlineStr">
        <is>
          <t>Deciles</t>
        </is>
      </c>
      <c r="F2014" s="3" t="inlineStr">
        <is>
          <t>mean</t>
        </is>
      </c>
      <c r="G2014" s="3" t="n">
        <v>9</v>
      </c>
      <c r="H2014" s="3" t="n">
        <v>-0.782376766204834</v>
      </c>
      <c r="I2014" s="3" t="n">
        <v>-0.782376766204834</v>
      </c>
      <c r="J2014" s="3" t="n">
        <v>-0.851290225982666</v>
      </c>
      <c r="K2014" s="3" t="n">
        <v>-0.851290225982666</v>
      </c>
      <c r="L2014" s="3" t="n">
        <v>-0.782376766204834</v>
      </c>
      <c r="M2014" s="3" t="n">
        <v>-0.782376766204834</v>
      </c>
      <c r="N2014" s="3" t="n">
        <v>-0.782376766204834</v>
      </c>
      <c r="O2014" s="3" t="n">
        <v>-0.782376766204834</v>
      </c>
      <c r="P2014" s="3" t="n">
        <v>-0.782376766204834</v>
      </c>
      <c r="Q2014" s="3" t="n">
        <v>-0.782376766204834</v>
      </c>
      <c r="R2014" s="3" t="n">
        <v>-0.7702532410621643</v>
      </c>
      <c r="S2014" s="3" t="n">
        <v>-0.9820538759231567</v>
      </c>
      <c r="T2014" s="3" t="n">
        <v>-0.7080408334732056</v>
      </c>
      <c r="U2014" s="3" t="n">
        <v>-0.851290225982666</v>
      </c>
      <c r="V2014" s="3" t="n">
        <v>-0.6766988039016724</v>
      </c>
      <c r="W2014" s="3" t="n">
        <v>-0.5123625993728638</v>
      </c>
      <c r="X2014" s="3" t="n">
        <v>-0.9788386225700378</v>
      </c>
      <c r="Y2014" s="3" t="n">
        <v>-0.782376766204834</v>
      </c>
      <c r="Z2014" s="3" t="n">
        <v>-0.9820538759231567</v>
      </c>
      <c r="AA2014" s="3" t="n">
        <v>-0.9820538759231567</v>
      </c>
      <c r="AB2014" s="3" t="n">
        <v>-0.9788386225700378</v>
      </c>
      <c r="AC2014" s="3" t="n">
        <v>-1.061931610107422</v>
      </c>
      <c r="AD2014" s="3" t="n">
        <v>-0.851290225982666</v>
      </c>
      <c r="AE2014" s="3" t="n">
        <v>-0.851290225982666</v>
      </c>
    </row>
    <row r="2015">
      <c r="A2015" s="3" t="inlineStr">
        <is>
          <t>SWE.distn.dec.ove.mean.10</t>
        </is>
      </c>
      <c r="B2015" s="3" t="inlineStr">
        <is>
          <t>SWE</t>
        </is>
      </c>
      <c r="C2015" s="3" t="n">
        <v>2005</v>
      </c>
      <c r="D2015" s="3" t="inlineStr">
        <is>
          <t>Overall</t>
        </is>
      </c>
      <c r="E2015" s="3" t="inlineStr">
        <is>
          <t>Deciles</t>
        </is>
      </c>
      <c r="F2015" s="3" t="inlineStr">
        <is>
          <t>mean</t>
        </is>
      </c>
      <c r="G2015" s="3" t="n">
        <v>10</v>
      </c>
      <c r="H2015" s="3" t="n">
        <v>-0.782376766204834</v>
      </c>
      <c r="I2015" s="3" t="n">
        <v>-0.782376766204834</v>
      </c>
      <c r="J2015" s="3" t="n">
        <v>-0.851290225982666</v>
      </c>
      <c r="K2015" s="3" t="n">
        <v>-0.851290225982666</v>
      </c>
      <c r="L2015" s="3" t="n">
        <v>-0.782376766204834</v>
      </c>
      <c r="M2015" s="3" t="n">
        <v>-0.782376766204834</v>
      </c>
      <c r="N2015" s="3" t="n">
        <v>-0.782376766204834</v>
      </c>
      <c r="O2015" s="3" t="n">
        <v>-0.782376766204834</v>
      </c>
      <c r="P2015" s="3" t="n">
        <v>-0.782376766204834</v>
      </c>
      <c r="Q2015" s="3" t="n">
        <v>-0.782376766204834</v>
      </c>
      <c r="R2015" s="3" t="n">
        <v>-0.7702532410621643</v>
      </c>
      <c r="S2015" s="3" t="n">
        <v>-0.9820538759231567</v>
      </c>
      <c r="T2015" s="3" t="n">
        <v>-0.7080408334732056</v>
      </c>
      <c r="U2015" s="3" t="n">
        <v>-0.851290225982666</v>
      </c>
      <c r="V2015" s="3" t="n">
        <v>-0.6766988039016724</v>
      </c>
      <c r="W2015" s="3" t="n">
        <v>-0.5123625993728638</v>
      </c>
      <c r="X2015" s="3" t="n">
        <v>-0.9788386225700378</v>
      </c>
      <c r="Y2015" s="3" t="n">
        <v>-0.782376766204834</v>
      </c>
      <c r="Z2015" s="3" t="n">
        <v>-0.9820538759231567</v>
      </c>
      <c r="AA2015" s="3" t="n">
        <v>-0.9820538759231567</v>
      </c>
      <c r="AB2015" s="3" t="n">
        <v>-0.9788386225700378</v>
      </c>
      <c r="AC2015" s="3" t="n">
        <v>-1.061931610107422</v>
      </c>
      <c r="AD2015" s="3" t="n">
        <v>-0.851290225982666</v>
      </c>
      <c r="AE2015" s="3" t="n">
        <v>-0.851290225982666</v>
      </c>
    </row>
    <row r="2016">
      <c r="A2016" s="3" t="inlineStr">
        <is>
          <t>SWE.distn.bkt.ove.mean.9999</t>
        </is>
      </c>
      <c r="B2016" s="3" t="inlineStr">
        <is>
          <t>SWE</t>
        </is>
      </c>
      <c r="C2016" s="3" t="n">
        <v>2005</v>
      </c>
      <c r="D2016" s="3" t="inlineStr">
        <is>
          <t>Overall</t>
        </is>
      </c>
      <c r="E2016" s="3" t="inlineStr">
        <is>
          <t>Basket</t>
        </is>
      </c>
      <c r="F2016" s="3" t="inlineStr">
        <is>
          <t>mean</t>
        </is>
      </c>
      <c r="G2016" s="3" t="n">
        <v>9999</v>
      </c>
      <c r="H2016" s="3" t="n">
        <v>-0.7839853167533875</v>
      </c>
      <c r="I2016" s="3" t="n">
        <v>-0.7839853167533875</v>
      </c>
      <c r="J2016" s="3" t="n">
        <v>-0.8626193404197693</v>
      </c>
      <c r="K2016" s="3" t="n">
        <v>-0.8626193404197693</v>
      </c>
      <c r="L2016" s="3" t="n">
        <v>-0.7839853167533875</v>
      </c>
      <c r="M2016" s="3" t="n">
        <v>-0.7839853167533875</v>
      </c>
      <c r="N2016" s="3" t="n">
        <v>-0.7839853167533875</v>
      </c>
      <c r="O2016" s="3" t="n">
        <v>-0.7839853167533875</v>
      </c>
      <c r="P2016" s="3" t="n">
        <v>-0.7839853167533875</v>
      </c>
      <c r="Q2016" s="3" t="n">
        <v>-0.7839853167533875</v>
      </c>
      <c r="R2016" s="3" t="n">
        <v>-0.7711172103881836</v>
      </c>
      <c r="S2016" s="3" t="n">
        <v>-1.112380623817444</v>
      </c>
      <c r="T2016" s="3" t="n">
        <v>-0.708448052406311</v>
      </c>
      <c r="U2016" s="3" t="n">
        <v>-0.8626193404197693</v>
      </c>
      <c r="V2016" s="3" t="n">
        <v>-0.6782930493354797</v>
      </c>
      <c r="W2016" s="3" t="n">
        <v>-0.5311829447746277</v>
      </c>
      <c r="X2016" s="3" t="n">
        <v>-1.093987584114075</v>
      </c>
      <c r="Y2016" s="3" t="n">
        <v>-0.7839853167533875</v>
      </c>
      <c r="Z2016" s="3" t="n">
        <v>-1.112380623817444</v>
      </c>
      <c r="AA2016" s="3" t="n">
        <v>-1.112380623817444</v>
      </c>
      <c r="AB2016" s="3" t="n">
        <v>-1.093987584114075</v>
      </c>
      <c r="AC2016" s="3" t="n">
        <v>-1.387794256210327</v>
      </c>
      <c r="AD2016" s="3" t="n">
        <v>-0.8626193404197693</v>
      </c>
      <c r="AE2016" s="3" t="n">
        <v>-0.8626193404197693</v>
      </c>
    </row>
    <row r="2017">
      <c r="A2017" s="3" t="inlineStr">
        <is>
          <t>SWZ.distn.dec.ove.mean.1</t>
        </is>
      </c>
      <c r="B2017" s="3" t="inlineStr">
        <is>
          <t>SWZ</t>
        </is>
      </c>
      <c r="C2017" s="3" t="n">
        <v>2005</v>
      </c>
      <c r="D2017" s="3" t="inlineStr">
        <is>
          <t>Overall</t>
        </is>
      </c>
      <c r="E2017" s="3" t="inlineStr">
        <is>
          <t>Deciles</t>
        </is>
      </c>
      <c r="F2017" s="3" t="inlineStr">
        <is>
          <t>mean</t>
        </is>
      </c>
      <c r="G2017" s="3" t="n">
        <v>1</v>
      </c>
      <c r="H2017" s="3" t="n">
        <v>-0.7902569174766541</v>
      </c>
      <c r="I2017" s="3" t="n">
        <v>-0.7902569174766541</v>
      </c>
      <c r="J2017" s="3" t="n">
        <v>-0.9047167897224426</v>
      </c>
      <c r="K2017" s="3" t="n">
        <v>-0.9047167897224426</v>
      </c>
      <c r="L2017" s="3" t="n">
        <v>-0.7902569174766541</v>
      </c>
      <c r="M2017" s="3" t="n">
        <v>-0.7902569174766541</v>
      </c>
      <c r="N2017" s="3" t="n">
        <v>-0.7902569174766541</v>
      </c>
      <c r="O2017" s="3" t="n">
        <v>-0.7902569174766541</v>
      </c>
      <c r="P2017" s="3" t="n">
        <v>-0.7902569174766541</v>
      </c>
      <c r="Q2017" s="3" t="n">
        <v>-0.7902569174766541</v>
      </c>
      <c r="R2017" s="3" t="n">
        <v>-0.7744752764701843</v>
      </c>
      <c r="S2017" s="3" t="n">
        <v>-1.51517128944397</v>
      </c>
      <c r="T2017" s="3" t="n">
        <v>-0.7104546427726746</v>
      </c>
      <c r="U2017" s="3" t="n">
        <v>-0.9047167897224426</v>
      </c>
      <c r="V2017" s="3" t="n">
        <v>-0.6859755516052246</v>
      </c>
      <c r="W2017" s="3" t="n">
        <v>-0.6380656957626343</v>
      </c>
      <c r="X2017" s="3" t="n">
        <v>-1.456637263298035</v>
      </c>
      <c r="Y2017" s="3" t="n">
        <v>-0.7902569174766541</v>
      </c>
      <c r="Z2017" s="3" t="n">
        <v>-1.51517128944397</v>
      </c>
      <c r="AA2017" s="3" t="n">
        <v>-1.51517128944397</v>
      </c>
      <c r="AB2017" s="3" t="n">
        <v>-1.456637263298035</v>
      </c>
      <c r="AC2017" s="3" t="n">
        <v>-2.395829200744629</v>
      </c>
      <c r="AD2017" s="3" t="n">
        <v>-0.9047167897224426</v>
      </c>
      <c r="AE2017" s="3" t="n">
        <v>-0.9047167897224426</v>
      </c>
    </row>
    <row r="2018">
      <c r="A2018" s="3" t="inlineStr">
        <is>
          <t>SWZ.distn.dec.ove.mean.2</t>
        </is>
      </c>
      <c r="B2018" s="3" t="inlineStr">
        <is>
          <t>SWZ</t>
        </is>
      </c>
      <c r="C2018" s="3" t="n">
        <v>2005</v>
      </c>
      <c r="D2018" s="3" t="inlineStr">
        <is>
          <t>Overall</t>
        </is>
      </c>
      <c r="E2018" s="3" t="inlineStr">
        <is>
          <t>Deciles</t>
        </is>
      </c>
      <c r="F2018" s="3" t="inlineStr">
        <is>
          <t>mean</t>
        </is>
      </c>
      <c r="G2018" s="3" t="n">
        <v>2</v>
      </c>
      <c r="H2018" s="3" t="n">
        <v>-0.7902569174766541</v>
      </c>
      <c r="I2018" s="3" t="n">
        <v>-0.7902569174766541</v>
      </c>
      <c r="J2018" s="3" t="n">
        <v>-0.9047167897224426</v>
      </c>
      <c r="K2018" s="3" t="n">
        <v>-0.9047167897224426</v>
      </c>
      <c r="L2018" s="3" t="n">
        <v>-0.7902569174766541</v>
      </c>
      <c r="M2018" s="3" t="n">
        <v>-0.7902569174766541</v>
      </c>
      <c r="N2018" s="3" t="n">
        <v>-0.7902569174766541</v>
      </c>
      <c r="O2018" s="3" t="n">
        <v>-0.7902569174766541</v>
      </c>
      <c r="P2018" s="3" t="n">
        <v>-0.7902569174766541</v>
      </c>
      <c r="Q2018" s="3" t="n">
        <v>-0.7902569174766541</v>
      </c>
      <c r="R2018" s="3" t="n">
        <v>-0.7744752764701843</v>
      </c>
      <c r="S2018" s="3" t="n">
        <v>-1.51517128944397</v>
      </c>
      <c r="T2018" s="3" t="n">
        <v>-0.7104546427726746</v>
      </c>
      <c r="U2018" s="3" t="n">
        <v>-0.9047167897224426</v>
      </c>
      <c r="V2018" s="3" t="n">
        <v>-0.6859755516052246</v>
      </c>
      <c r="W2018" s="3" t="n">
        <v>-0.6380656957626343</v>
      </c>
      <c r="X2018" s="3" t="n">
        <v>-1.456637263298035</v>
      </c>
      <c r="Y2018" s="3" t="n">
        <v>-0.7902569174766541</v>
      </c>
      <c r="Z2018" s="3" t="n">
        <v>-1.51517128944397</v>
      </c>
      <c r="AA2018" s="3" t="n">
        <v>-1.51517128944397</v>
      </c>
      <c r="AB2018" s="3" t="n">
        <v>-1.456637263298035</v>
      </c>
      <c r="AC2018" s="3" t="n">
        <v>-2.395829200744629</v>
      </c>
      <c r="AD2018" s="3" t="n">
        <v>-0.9047167897224426</v>
      </c>
      <c r="AE2018" s="3" t="n">
        <v>-0.9047167897224426</v>
      </c>
    </row>
    <row r="2019">
      <c r="A2019" s="3" t="inlineStr">
        <is>
          <t>SWZ.distn.dec.ove.mean.3</t>
        </is>
      </c>
      <c r="B2019" s="3" t="inlineStr">
        <is>
          <t>SWZ</t>
        </is>
      </c>
      <c r="C2019" s="3" t="n">
        <v>2005</v>
      </c>
      <c r="D2019" s="3" t="inlineStr">
        <is>
          <t>Overall</t>
        </is>
      </c>
      <c r="E2019" s="3" t="inlineStr">
        <is>
          <t>Deciles</t>
        </is>
      </c>
      <c r="F2019" s="3" t="inlineStr">
        <is>
          <t>mean</t>
        </is>
      </c>
      <c r="G2019" s="3" t="n">
        <v>3</v>
      </c>
      <c r="H2019" s="3" t="n">
        <v>-0.7902569174766541</v>
      </c>
      <c r="I2019" s="3" t="n">
        <v>-0.7902569174766541</v>
      </c>
      <c r="J2019" s="3" t="n">
        <v>-0.9047167897224426</v>
      </c>
      <c r="K2019" s="3" t="n">
        <v>-0.9047167897224426</v>
      </c>
      <c r="L2019" s="3" t="n">
        <v>-0.7902569174766541</v>
      </c>
      <c r="M2019" s="3" t="n">
        <v>-0.7902569174766541</v>
      </c>
      <c r="N2019" s="3" t="n">
        <v>-0.7902569174766541</v>
      </c>
      <c r="O2019" s="3" t="n">
        <v>-0.7902569174766541</v>
      </c>
      <c r="P2019" s="3" t="n">
        <v>-0.7902569174766541</v>
      </c>
      <c r="Q2019" s="3" t="n">
        <v>-0.7902569174766541</v>
      </c>
      <c r="R2019" s="3" t="n">
        <v>-0.7744752764701843</v>
      </c>
      <c r="S2019" s="3" t="n">
        <v>-1.51517128944397</v>
      </c>
      <c r="T2019" s="3" t="n">
        <v>-0.7104546427726746</v>
      </c>
      <c r="U2019" s="3" t="n">
        <v>-0.9047167897224426</v>
      </c>
      <c r="V2019" s="3" t="n">
        <v>-0.6859755516052246</v>
      </c>
      <c r="W2019" s="3" t="n">
        <v>-0.6380656957626343</v>
      </c>
      <c r="X2019" s="3" t="n">
        <v>-1.456637263298035</v>
      </c>
      <c r="Y2019" s="3" t="n">
        <v>-0.7902569174766541</v>
      </c>
      <c r="Z2019" s="3" t="n">
        <v>-1.51517128944397</v>
      </c>
      <c r="AA2019" s="3" t="n">
        <v>-1.51517128944397</v>
      </c>
      <c r="AB2019" s="3" t="n">
        <v>-1.456637263298035</v>
      </c>
      <c r="AC2019" s="3" t="n">
        <v>-2.395829200744629</v>
      </c>
      <c r="AD2019" s="3" t="n">
        <v>-0.9047167897224426</v>
      </c>
      <c r="AE2019" s="3" t="n">
        <v>-0.9047167897224426</v>
      </c>
    </row>
    <row r="2020">
      <c r="A2020" s="3" t="inlineStr">
        <is>
          <t>SWZ.distn.dec.ove.mean.4</t>
        </is>
      </c>
      <c r="B2020" s="3" t="inlineStr">
        <is>
          <t>SWZ</t>
        </is>
      </c>
      <c r="C2020" s="3" t="n">
        <v>2005</v>
      </c>
      <c r="D2020" s="3" t="inlineStr">
        <is>
          <t>Overall</t>
        </is>
      </c>
      <c r="E2020" s="3" t="inlineStr">
        <is>
          <t>Deciles</t>
        </is>
      </c>
      <c r="F2020" s="3" t="inlineStr">
        <is>
          <t>mean</t>
        </is>
      </c>
      <c r="G2020" s="3" t="n">
        <v>4</v>
      </c>
      <c r="H2020" s="3" t="n">
        <v>-0.7839999794960022</v>
      </c>
      <c r="I2020" s="3" t="n">
        <v>-0.7839999794960022</v>
      </c>
      <c r="J2020" s="3" t="n">
        <v>-0.8610000014305115</v>
      </c>
      <c r="K2020" s="3" t="n">
        <v>-0.8610000014305115</v>
      </c>
      <c r="L2020" s="3" t="n">
        <v>-0.7839999794960022</v>
      </c>
      <c r="M2020" s="3" t="n">
        <v>-0.7839999794960022</v>
      </c>
      <c r="N2020" s="3" t="n">
        <v>-0.7839999794960022</v>
      </c>
      <c r="O2020" s="3" t="n">
        <v>-0.7839999794960022</v>
      </c>
      <c r="P2020" s="3" t="n">
        <v>-0.7839999794960022</v>
      </c>
      <c r="Q2020" s="3" t="n">
        <v>-0.7839999794960022</v>
      </c>
      <c r="R2020" s="3" t="n">
        <v>-0.7710000276565552</v>
      </c>
      <c r="S2020" s="3" t="n">
        <v>-1.031999945640564</v>
      </c>
      <c r="T2020" s="3" t="n">
        <v>-0.7089999914169312</v>
      </c>
      <c r="U2020" s="3" t="n">
        <v>-0.8610000014305115</v>
      </c>
      <c r="V2020" s="3" t="n">
        <v>-0.6790000200271606</v>
      </c>
      <c r="W2020" s="3" t="n">
        <v>-0.5370000004768372</v>
      </c>
      <c r="X2020" s="3" t="n">
        <v>-1.027999997138977</v>
      </c>
      <c r="Y2020" s="3" t="n">
        <v>-0.7839999794960022</v>
      </c>
      <c r="Z2020" s="3" t="n">
        <v>-1.031999945640564</v>
      </c>
      <c r="AA2020" s="3" t="n">
        <v>-1.031999945640564</v>
      </c>
      <c r="AB2020" s="3" t="n">
        <v>-1.027999997138977</v>
      </c>
      <c r="AC2020" s="3" t="n">
        <v>-1.156999945640564</v>
      </c>
      <c r="AD2020" s="3" t="n">
        <v>-0.8610000014305115</v>
      </c>
      <c r="AE2020" s="3" t="n">
        <v>-0.8610000014305115</v>
      </c>
    </row>
    <row r="2021">
      <c r="A2021" s="3" t="inlineStr">
        <is>
          <t>SWZ.distn.dec.ove.mean.5</t>
        </is>
      </c>
      <c r="B2021" s="3" t="inlineStr">
        <is>
          <t>SWZ</t>
        </is>
      </c>
      <c r="C2021" s="3" t="n">
        <v>2005</v>
      </c>
      <c r="D2021" s="3" t="inlineStr">
        <is>
          <t>Overall</t>
        </is>
      </c>
      <c r="E2021" s="3" t="inlineStr">
        <is>
          <t>Deciles</t>
        </is>
      </c>
      <c r="F2021" s="3" t="inlineStr">
        <is>
          <t>mean</t>
        </is>
      </c>
      <c r="G2021" s="3" t="n">
        <v>5</v>
      </c>
      <c r="H2021" s="3" t="n">
        <v>-0.7839999794960022</v>
      </c>
      <c r="I2021" s="3" t="n">
        <v>-0.7839999794960022</v>
      </c>
      <c r="J2021" s="3" t="n">
        <v>-0.8610000014305115</v>
      </c>
      <c r="K2021" s="3" t="n">
        <v>-0.8610000014305115</v>
      </c>
      <c r="L2021" s="3" t="n">
        <v>-0.7839999794960022</v>
      </c>
      <c r="M2021" s="3" t="n">
        <v>-0.7839999794960022</v>
      </c>
      <c r="N2021" s="3" t="n">
        <v>-0.7839999794960022</v>
      </c>
      <c r="O2021" s="3" t="n">
        <v>-0.7839999794960022</v>
      </c>
      <c r="P2021" s="3" t="n">
        <v>-0.7839999794960022</v>
      </c>
      <c r="Q2021" s="3" t="n">
        <v>-0.7839999794960022</v>
      </c>
      <c r="R2021" s="3" t="n">
        <v>-0.7710000276565552</v>
      </c>
      <c r="S2021" s="3" t="n">
        <v>-1.031999945640564</v>
      </c>
      <c r="T2021" s="3" t="n">
        <v>-0.7089999914169312</v>
      </c>
      <c r="U2021" s="3" t="n">
        <v>-0.8610000014305115</v>
      </c>
      <c r="V2021" s="3" t="n">
        <v>-0.6790000200271606</v>
      </c>
      <c r="W2021" s="3" t="n">
        <v>-0.5370000004768372</v>
      </c>
      <c r="X2021" s="3" t="n">
        <v>-1.027999997138977</v>
      </c>
      <c r="Y2021" s="3" t="n">
        <v>-0.7839999794960022</v>
      </c>
      <c r="Z2021" s="3" t="n">
        <v>-1.031999945640564</v>
      </c>
      <c r="AA2021" s="3" t="n">
        <v>-1.031999945640564</v>
      </c>
      <c r="AB2021" s="3" t="n">
        <v>-1.027999997138977</v>
      </c>
      <c r="AC2021" s="3" t="n">
        <v>-1.156999945640564</v>
      </c>
      <c r="AD2021" s="3" t="n">
        <v>-0.8610000014305115</v>
      </c>
      <c r="AE2021" s="3" t="n">
        <v>-0.8610000014305115</v>
      </c>
    </row>
    <row r="2022">
      <c r="A2022" s="3" t="inlineStr">
        <is>
          <t>SWZ.distn.dec.ove.mean.6</t>
        </is>
      </c>
      <c r="B2022" s="3" t="inlineStr">
        <is>
          <t>SWZ</t>
        </is>
      </c>
      <c r="C2022" s="3" t="n">
        <v>2005</v>
      </c>
      <c r="D2022" s="3" t="inlineStr">
        <is>
          <t>Overall</t>
        </is>
      </c>
      <c r="E2022" s="3" t="inlineStr">
        <is>
          <t>Deciles</t>
        </is>
      </c>
      <c r="F2022" s="3" t="inlineStr">
        <is>
          <t>mean</t>
        </is>
      </c>
      <c r="G2022" s="3" t="n">
        <v>6</v>
      </c>
      <c r="H2022" s="3" t="n">
        <v>-0.7839999794960022</v>
      </c>
      <c r="I2022" s="3" t="n">
        <v>-0.7839999794960022</v>
      </c>
      <c r="J2022" s="3" t="n">
        <v>-0.8610000014305115</v>
      </c>
      <c r="K2022" s="3" t="n">
        <v>-0.8610000014305115</v>
      </c>
      <c r="L2022" s="3" t="n">
        <v>-0.7839999794960022</v>
      </c>
      <c r="M2022" s="3" t="n">
        <v>-0.7839999794960022</v>
      </c>
      <c r="N2022" s="3" t="n">
        <v>-0.7839999794960022</v>
      </c>
      <c r="O2022" s="3" t="n">
        <v>-0.7839999794960022</v>
      </c>
      <c r="P2022" s="3" t="n">
        <v>-0.7839999794960022</v>
      </c>
      <c r="Q2022" s="3" t="n">
        <v>-0.7839999794960022</v>
      </c>
      <c r="R2022" s="3" t="n">
        <v>-0.7710000276565552</v>
      </c>
      <c r="S2022" s="3" t="n">
        <v>-1.031999945640564</v>
      </c>
      <c r="T2022" s="3" t="n">
        <v>-0.7089999914169312</v>
      </c>
      <c r="U2022" s="3" t="n">
        <v>-0.8610000014305115</v>
      </c>
      <c r="V2022" s="3" t="n">
        <v>-0.6790000200271606</v>
      </c>
      <c r="W2022" s="3" t="n">
        <v>-0.5370000004768372</v>
      </c>
      <c r="X2022" s="3" t="n">
        <v>-1.027999997138977</v>
      </c>
      <c r="Y2022" s="3" t="n">
        <v>-0.7839999794960022</v>
      </c>
      <c r="Z2022" s="3" t="n">
        <v>-1.031999945640564</v>
      </c>
      <c r="AA2022" s="3" t="n">
        <v>-1.031999945640564</v>
      </c>
      <c r="AB2022" s="3" t="n">
        <v>-1.027999997138977</v>
      </c>
      <c r="AC2022" s="3" t="n">
        <v>-1.156999945640564</v>
      </c>
      <c r="AD2022" s="3" t="n">
        <v>-0.8610000014305115</v>
      </c>
      <c r="AE2022" s="3" t="n">
        <v>-0.8610000014305115</v>
      </c>
    </row>
    <row r="2023">
      <c r="A2023" s="3" t="inlineStr">
        <is>
          <t>SWZ.distn.dec.ove.mean.7</t>
        </is>
      </c>
      <c r="B2023" s="3" t="inlineStr">
        <is>
          <t>SWZ</t>
        </is>
      </c>
      <c r="C2023" s="3" t="n">
        <v>2005</v>
      </c>
      <c r="D2023" s="3" t="inlineStr">
        <is>
          <t>Overall</t>
        </is>
      </c>
      <c r="E2023" s="3" t="inlineStr">
        <is>
          <t>Deciles</t>
        </is>
      </c>
      <c r="F2023" s="3" t="inlineStr">
        <is>
          <t>mean</t>
        </is>
      </c>
      <c r="G2023" s="3" t="n">
        <v>7</v>
      </c>
      <c r="H2023" s="3" t="n">
        <v>-0.7839999794960022</v>
      </c>
      <c r="I2023" s="3" t="n">
        <v>-0.7839999794960022</v>
      </c>
      <c r="J2023" s="3" t="n">
        <v>-0.8610000014305115</v>
      </c>
      <c r="K2023" s="3" t="n">
        <v>-0.8610000014305115</v>
      </c>
      <c r="L2023" s="3" t="n">
        <v>-0.7839999794960022</v>
      </c>
      <c r="M2023" s="3" t="n">
        <v>-0.7839999794960022</v>
      </c>
      <c r="N2023" s="3" t="n">
        <v>-0.7839999794960022</v>
      </c>
      <c r="O2023" s="3" t="n">
        <v>-0.7839999794960022</v>
      </c>
      <c r="P2023" s="3" t="n">
        <v>-0.7839999794960022</v>
      </c>
      <c r="Q2023" s="3" t="n">
        <v>-0.7839999794960022</v>
      </c>
      <c r="R2023" s="3" t="n">
        <v>-0.7710000276565552</v>
      </c>
      <c r="S2023" s="3" t="n">
        <v>-1.031999945640564</v>
      </c>
      <c r="T2023" s="3" t="n">
        <v>-0.7089999914169312</v>
      </c>
      <c r="U2023" s="3" t="n">
        <v>-0.8610000014305115</v>
      </c>
      <c r="V2023" s="3" t="n">
        <v>-0.6790000200271606</v>
      </c>
      <c r="W2023" s="3" t="n">
        <v>-0.5370000004768372</v>
      </c>
      <c r="X2023" s="3" t="n">
        <v>-1.027999997138977</v>
      </c>
      <c r="Y2023" s="3" t="n">
        <v>-0.7839999794960022</v>
      </c>
      <c r="Z2023" s="3" t="n">
        <v>-1.031999945640564</v>
      </c>
      <c r="AA2023" s="3" t="n">
        <v>-1.031999945640564</v>
      </c>
      <c r="AB2023" s="3" t="n">
        <v>-1.027999997138977</v>
      </c>
      <c r="AC2023" s="3" t="n">
        <v>-1.156999945640564</v>
      </c>
      <c r="AD2023" s="3" t="n">
        <v>-0.8610000014305115</v>
      </c>
      <c r="AE2023" s="3" t="n">
        <v>-0.8610000014305115</v>
      </c>
    </row>
    <row r="2024">
      <c r="A2024" s="3" t="inlineStr">
        <is>
          <t>SWZ.distn.dec.ove.mean.8</t>
        </is>
      </c>
      <c r="B2024" s="3" t="inlineStr">
        <is>
          <t>SWZ</t>
        </is>
      </c>
      <c r="C2024" s="3" t="n">
        <v>2005</v>
      </c>
      <c r="D2024" s="3" t="inlineStr">
        <is>
          <t>Overall</t>
        </is>
      </c>
      <c r="E2024" s="3" t="inlineStr">
        <is>
          <t>Deciles</t>
        </is>
      </c>
      <c r="F2024" s="3" t="inlineStr">
        <is>
          <t>mean</t>
        </is>
      </c>
      <c r="G2024" s="3" t="n">
        <v>8</v>
      </c>
      <c r="H2024" s="3" t="n">
        <v>-0.7843776941299438</v>
      </c>
      <c r="I2024" s="3" t="n">
        <v>-0.7843776941299438</v>
      </c>
      <c r="J2024" s="3" t="n">
        <v>-0.8633226156234741</v>
      </c>
      <c r="K2024" s="3" t="n">
        <v>-0.8633226156234741</v>
      </c>
      <c r="L2024" s="3" t="n">
        <v>-0.7843776941299438</v>
      </c>
      <c r="M2024" s="3" t="n">
        <v>-0.7843776941299438</v>
      </c>
      <c r="N2024" s="3" t="n">
        <v>-0.7843776941299438</v>
      </c>
      <c r="O2024" s="3" t="n">
        <v>-0.7843776941299438</v>
      </c>
      <c r="P2024" s="3" t="n">
        <v>-0.7843776941299438</v>
      </c>
      <c r="Q2024" s="3" t="n">
        <v>-0.7843776941299438</v>
      </c>
      <c r="R2024" s="3" t="n">
        <v>-0.7712535858154297</v>
      </c>
      <c r="S2024" s="3" t="n">
        <v>-1.041602849960327</v>
      </c>
      <c r="T2024" s="3" t="n">
        <v>-0.7090408802032471</v>
      </c>
      <c r="U2024" s="3" t="n">
        <v>-0.8633226156234741</v>
      </c>
      <c r="V2024" s="3" t="n">
        <v>-0.6797019243240356</v>
      </c>
      <c r="W2024" s="3" t="n">
        <v>-0.5513802170753479</v>
      </c>
      <c r="X2024" s="3" t="n">
        <v>-1.037367105484009</v>
      </c>
      <c r="Y2024" s="3" t="n">
        <v>-0.7843776941299438</v>
      </c>
      <c r="Z2024" s="3" t="n">
        <v>-1.041602849960327</v>
      </c>
      <c r="AA2024" s="3" t="n">
        <v>-1.041602849960327</v>
      </c>
      <c r="AB2024" s="3" t="n">
        <v>-1.037367105484009</v>
      </c>
      <c r="AC2024" s="3" t="n">
        <v>-1.173500299453735</v>
      </c>
      <c r="AD2024" s="3" t="n">
        <v>-0.8633226156234741</v>
      </c>
      <c r="AE2024" s="3" t="n">
        <v>-0.8633226156234741</v>
      </c>
    </row>
    <row r="2025">
      <c r="A2025" s="3" t="inlineStr">
        <is>
          <t>SWZ.distn.dec.ove.mean.9</t>
        </is>
      </c>
      <c r="B2025" s="3" t="inlineStr">
        <is>
          <t>SWZ</t>
        </is>
      </c>
      <c r="C2025" s="3" t="n">
        <v>2005</v>
      </c>
      <c r="D2025" s="3" t="inlineStr">
        <is>
          <t>Overall</t>
        </is>
      </c>
      <c r="E2025" s="3" t="inlineStr">
        <is>
          <t>Deciles</t>
        </is>
      </c>
      <c r="F2025" s="3" t="inlineStr">
        <is>
          <t>mean</t>
        </is>
      </c>
      <c r="G2025" s="3" t="n">
        <v>9</v>
      </c>
      <c r="H2025" s="3" t="n">
        <v>-0.7843776941299438</v>
      </c>
      <c r="I2025" s="3" t="n">
        <v>-0.7843776941299438</v>
      </c>
      <c r="J2025" s="3" t="n">
        <v>-0.8633226156234741</v>
      </c>
      <c r="K2025" s="3" t="n">
        <v>-0.8633226156234741</v>
      </c>
      <c r="L2025" s="3" t="n">
        <v>-0.7843776941299438</v>
      </c>
      <c r="M2025" s="3" t="n">
        <v>-0.7843776941299438</v>
      </c>
      <c r="N2025" s="3" t="n">
        <v>-0.7843776941299438</v>
      </c>
      <c r="O2025" s="3" t="n">
        <v>-0.7843776941299438</v>
      </c>
      <c r="P2025" s="3" t="n">
        <v>-0.7843776941299438</v>
      </c>
      <c r="Q2025" s="3" t="n">
        <v>-0.7843776941299438</v>
      </c>
      <c r="R2025" s="3" t="n">
        <v>-0.7712535858154297</v>
      </c>
      <c r="S2025" s="3" t="n">
        <v>-1.041602849960327</v>
      </c>
      <c r="T2025" s="3" t="n">
        <v>-0.7090408802032471</v>
      </c>
      <c r="U2025" s="3" t="n">
        <v>-0.8633226156234741</v>
      </c>
      <c r="V2025" s="3" t="n">
        <v>-0.6797019243240356</v>
      </c>
      <c r="W2025" s="3" t="n">
        <v>-0.5513802170753479</v>
      </c>
      <c r="X2025" s="3" t="n">
        <v>-1.037367105484009</v>
      </c>
      <c r="Y2025" s="3" t="n">
        <v>-0.7843776941299438</v>
      </c>
      <c r="Z2025" s="3" t="n">
        <v>-1.041602849960327</v>
      </c>
      <c r="AA2025" s="3" t="n">
        <v>-1.041602849960327</v>
      </c>
      <c r="AB2025" s="3" t="n">
        <v>-1.037367105484009</v>
      </c>
      <c r="AC2025" s="3" t="n">
        <v>-1.173500299453735</v>
      </c>
      <c r="AD2025" s="3" t="n">
        <v>-0.8633226156234741</v>
      </c>
      <c r="AE2025" s="3" t="n">
        <v>-0.8633226156234741</v>
      </c>
    </row>
    <row r="2026">
      <c r="A2026" s="3" t="inlineStr">
        <is>
          <t>SWZ.distn.dec.ove.mean.10</t>
        </is>
      </c>
      <c r="B2026" s="3" t="inlineStr">
        <is>
          <t>SWZ</t>
        </is>
      </c>
      <c r="C2026" s="3" t="n">
        <v>2005</v>
      </c>
      <c r="D2026" s="3" t="inlineStr">
        <is>
          <t>Overall</t>
        </is>
      </c>
      <c r="E2026" s="3" t="inlineStr">
        <is>
          <t>Deciles</t>
        </is>
      </c>
      <c r="F2026" s="3" t="inlineStr">
        <is>
          <t>mean</t>
        </is>
      </c>
      <c r="G2026" s="3" t="n">
        <v>10</v>
      </c>
      <c r="H2026" s="3" t="n">
        <v>-0.7843776941299438</v>
      </c>
      <c r="I2026" s="3" t="n">
        <v>-0.7843776941299438</v>
      </c>
      <c r="J2026" s="3" t="n">
        <v>-0.8633226156234741</v>
      </c>
      <c r="K2026" s="3" t="n">
        <v>-0.8633226156234741</v>
      </c>
      <c r="L2026" s="3" t="n">
        <v>-0.7843776941299438</v>
      </c>
      <c r="M2026" s="3" t="n">
        <v>-0.7843776941299438</v>
      </c>
      <c r="N2026" s="3" t="n">
        <v>-0.7843776941299438</v>
      </c>
      <c r="O2026" s="3" t="n">
        <v>-0.7843776941299438</v>
      </c>
      <c r="P2026" s="3" t="n">
        <v>-0.7843776941299438</v>
      </c>
      <c r="Q2026" s="3" t="n">
        <v>-0.7843776941299438</v>
      </c>
      <c r="R2026" s="3" t="n">
        <v>-0.7712535858154297</v>
      </c>
      <c r="S2026" s="3" t="n">
        <v>-1.041602849960327</v>
      </c>
      <c r="T2026" s="3" t="n">
        <v>-0.7090408802032471</v>
      </c>
      <c r="U2026" s="3" t="n">
        <v>-0.8633226156234741</v>
      </c>
      <c r="V2026" s="3" t="n">
        <v>-0.6797019243240356</v>
      </c>
      <c r="W2026" s="3" t="n">
        <v>-0.5513802170753479</v>
      </c>
      <c r="X2026" s="3" t="n">
        <v>-1.037367105484009</v>
      </c>
      <c r="Y2026" s="3" t="n">
        <v>-0.7843776941299438</v>
      </c>
      <c r="Z2026" s="3" t="n">
        <v>-1.041602849960327</v>
      </c>
      <c r="AA2026" s="3" t="n">
        <v>-1.041602849960327</v>
      </c>
      <c r="AB2026" s="3" t="n">
        <v>-1.037367105484009</v>
      </c>
      <c r="AC2026" s="3" t="n">
        <v>-1.173500299453735</v>
      </c>
      <c r="AD2026" s="3" t="n">
        <v>-0.8633226156234741</v>
      </c>
      <c r="AE2026" s="3" t="n">
        <v>-0.8633226156234741</v>
      </c>
    </row>
    <row r="2027">
      <c r="A2027" s="3" t="inlineStr">
        <is>
          <t>SWZ.distn.bkt.ove.mean.9999</t>
        </is>
      </c>
      <c r="B2027" s="3" t="inlineStr">
        <is>
          <t>SWZ</t>
        </is>
      </c>
      <c r="C2027" s="3" t="n">
        <v>2005</v>
      </c>
      <c r="D2027" s="3" t="inlineStr">
        <is>
          <t>Overall</t>
        </is>
      </c>
      <c r="E2027" s="3" t="inlineStr">
        <is>
          <t>Basket</t>
        </is>
      </c>
      <c r="F2027" s="3" t="inlineStr">
        <is>
          <t>mean</t>
        </is>
      </c>
      <c r="G2027" s="3" t="n">
        <v>9999</v>
      </c>
      <c r="H2027" s="3" t="n">
        <v>-0.7859903573989868</v>
      </c>
      <c r="I2027" s="3" t="n">
        <v>-0.7859903573989868</v>
      </c>
      <c r="J2027" s="3" t="n">
        <v>-0.8748118281364441</v>
      </c>
      <c r="K2027" s="3" t="n">
        <v>-0.8748118281364441</v>
      </c>
      <c r="L2027" s="3" t="n">
        <v>-0.7859903573989868</v>
      </c>
      <c r="M2027" s="3" t="n">
        <v>-0.7859903573989868</v>
      </c>
      <c r="N2027" s="3" t="n">
        <v>-0.7859903573989868</v>
      </c>
      <c r="O2027" s="3" t="n">
        <v>-0.7859903573989868</v>
      </c>
      <c r="P2027" s="3" t="n">
        <v>-0.7859903573989868</v>
      </c>
      <c r="Q2027" s="3" t="n">
        <v>-0.7859903573989868</v>
      </c>
      <c r="R2027" s="3" t="n">
        <v>-0.7721186876296997</v>
      </c>
      <c r="S2027" s="3" t="n">
        <v>-1.179832220077515</v>
      </c>
      <c r="T2027" s="3" t="n">
        <v>-0.7094486355781555</v>
      </c>
      <c r="U2027" s="3" t="n">
        <v>-0.8748118281364441</v>
      </c>
      <c r="V2027" s="3" t="n">
        <v>-0.6813032627105713</v>
      </c>
      <c r="W2027" s="3" t="n">
        <v>-0.5716337561607361</v>
      </c>
      <c r="X2027" s="3" t="n">
        <v>-1.159401297569275</v>
      </c>
      <c r="Y2027" s="3" t="n">
        <v>-0.7859903573989868</v>
      </c>
      <c r="Z2027" s="3" t="n">
        <v>-1.179832220077515</v>
      </c>
      <c r="AA2027" s="3" t="n">
        <v>-1.179832220077515</v>
      </c>
      <c r="AB2027" s="3" t="n">
        <v>-1.159401297569275</v>
      </c>
      <c r="AC2027" s="3" t="n">
        <v>-1.533598780632019</v>
      </c>
      <c r="AD2027" s="3" t="n">
        <v>-0.8748118281364441</v>
      </c>
      <c r="AE2027" s="3" t="n">
        <v>-0.8748118281364441</v>
      </c>
    </row>
    <row r="2028">
      <c r="A2028" s="3" t="inlineStr">
        <is>
          <t>SXM.distn.dec.ove.mean.1</t>
        </is>
      </c>
      <c r="B2028" s="3" t="inlineStr">
        <is>
          <t>SXM</t>
        </is>
      </c>
      <c r="C2028" s="3" t="n">
        <v>2005</v>
      </c>
      <c r="D2028" s="3" t="inlineStr">
        <is>
          <t>Overall</t>
        </is>
      </c>
      <c r="E2028" s="3" t="inlineStr">
        <is>
          <t>Deciles</t>
        </is>
      </c>
      <c r="F2028" s="3" t="inlineStr">
        <is>
          <t>mean</t>
        </is>
      </c>
      <c r="G2028" s="3" t="n">
        <v>1</v>
      </c>
      <c r="H2028" s="3" t="n">
        <v>-0.7878549098968506</v>
      </c>
      <c r="I2028" s="3" t="n">
        <v>-0.7878549098968506</v>
      </c>
      <c r="J2028" s="3" t="n">
        <v>-0.8883962808771336</v>
      </c>
      <c r="K2028" s="3" t="n">
        <v>-0.8883962808771336</v>
      </c>
      <c r="L2028" s="3" t="n">
        <v>-0.7878549098968506</v>
      </c>
      <c r="M2028" s="3" t="n">
        <v>-0.7878549098968506</v>
      </c>
      <c r="N2028" s="3" t="n">
        <v>-0.7878549098968506</v>
      </c>
      <c r="O2028" s="3" t="n">
        <v>-0.7878549098968506</v>
      </c>
      <c r="P2028" s="3" t="n">
        <v>-0.7878549098968506</v>
      </c>
      <c r="Q2028" s="3" t="n">
        <v>-0.7878549098968506</v>
      </c>
      <c r="R2028" s="3" t="n">
        <v>-0.7732356596500316</v>
      </c>
      <c r="S2028" s="3" t="n">
        <v>-1.408805674694954</v>
      </c>
      <c r="T2028" s="3" t="n">
        <v>-0.7095591730259835</v>
      </c>
      <c r="U2028" s="3" t="n">
        <v>-0.8883962808771336</v>
      </c>
      <c r="V2028" s="3" t="n">
        <v>-0.681934451803248</v>
      </c>
      <c r="W2028" s="3" t="n">
        <v>-0.5702875047288043</v>
      </c>
      <c r="X2028" s="3" t="n">
        <v>-1.356243993373627</v>
      </c>
      <c r="Y2028" s="3" t="n">
        <v>-0.7878549098968506</v>
      </c>
      <c r="Z2028" s="3" t="n">
        <v>-1.408805674694954</v>
      </c>
      <c r="AA2028" s="3" t="n">
        <v>-1.408805674694954</v>
      </c>
      <c r="AB2028" s="3" t="n">
        <v>-1.356243993373627</v>
      </c>
      <c r="AC2028" s="3" t="n">
        <v>-2.123991362592007</v>
      </c>
      <c r="AD2028" s="3" t="n">
        <v>-0.8883962808771336</v>
      </c>
      <c r="AE2028" s="3" t="n">
        <v>-0.8883962808771336</v>
      </c>
    </row>
    <row r="2029">
      <c r="A2029" s="3" t="inlineStr">
        <is>
          <t>SXM.distn.dec.ove.mean.2</t>
        </is>
      </c>
      <c r="B2029" s="3" t="inlineStr">
        <is>
          <t>SXM</t>
        </is>
      </c>
      <c r="C2029" s="3" t="n">
        <v>2005</v>
      </c>
      <c r="D2029" s="3" t="inlineStr">
        <is>
          <t>Overall</t>
        </is>
      </c>
      <c r="E2029" s="3" t="inlineStr">
        <is>
          <t>Deciles</t>
        </is>
      </c>
      <c r="F2029" s="3" t="inlineStr">
        <is>
          <t>mean</t>
        </is>
      </c>
      <c r="G2029" s="3" t="n">
        <v>2</v>
      </c>
      <c r="H2029" s="3" t="n">
        <v>-0.7878549098968506</v>
      </c>
      <c r="I2029" s="3" t="n">
        <v>-0.7878549098968506</v>
      </c>
      <c r="J2029" s="3" t="n">
        <v>-0.8883962808771336</v>
      </c>
      <c r="K2029" s="3" t="n">
        <v>-0.8883962808771336</v>
      </c>
      <c r="L2029" s="3" t="n">
        <v>-0.7878549098968506</v>
      </c>
      <c r="M2029" s="3" t="n">
        <v>-0.7878549098968506</v>
      </c>
      <c r="N2029" s="3" t="n">
        <v>-0.7878549098968506</v>
      </c>
      <c r="O2029" s="3" t="n">
        <v>-0.7878549098968506</v>
      </c>
      <c r="P2029" s="3" t="n">
        <v>-0.7878549098968506</v>
      </c>
      <c r="Q2029" s="3" t="n">
        <v>-0.7878549098968506</v>
      </c>
      <c r="R2029" s="3" t="n">
        <v>-0.7732356596500316</v>
      </c>
      <c r="S2029" s="3" t="n">
        <v>-1.408805674694954</v>
      </c>
      <c r="T2029" s="3" t="n">
        <v>-0.7095591730259835</v>
      </c>
      <c r="U2029" s="3" t="n">
        <v>-0.8883962808771336</v>
      </c>
      <c r="V2029" s="3" t="n">
        <v>-0.681934451803248</v>
      </c>
      <c r="W2029" s="3" t="n">
        <v>-0.5702875047288043</v>
      </c>
      <c r="X2029" s="3" t="n">
        <v>-1.356243993373627</v>
      </c>
      <c r="Y2029" s="3" t="n">
        <v>-0.7878549098968506</v>
      </c>
      <c r="Z2029" s="3" t="n">
        <v>-1.408805674694954</v>
      </c>
      <c r="AA2029" s="3" t="n">
        <v>-1.408805674694954</v>
      </c>
      <c r="AB2029" s="3" t="n">
        <v>-1.356243993373627</v>
      </c>
      <c r="AC2029" s="3" t="n">
        <v>-2.123991362592007</v>
      </c>
      <c r="AD2029" s="3" t="n">
        <v>-0.8883962808771336</v>
      </c>
      <c r="AE2029" s="3" t="n">
        <v>-0.8883962808771336</v>
      </c>
    </row>
    <row r="2030">
      <c r="A2030" s="3" t="inlineStr">
        <is>
          <t>SXM.distn.dec.ove.mean.3</t>
        </is>
      </c>
      <c r="B2030" s="3" t="inlineStr">
        <is>
          <t>SXM</t>
        </is>
      </c>
      <c r="C2030" s="3" t="n">
        <v>2005</v>
      </c>
      <c r="D2030" s="3" t="inlineStr">
        <is>
          <t>Overall</t>
        </is>
      </c>
      <c r="E2030" s="3" t="inlineStr">
        <is>
          <t>Deciles</t>
        </is>
      </c>
      <c r="F2030" s="3" t="inlineStr">
        <is>
          <t>mean</t>
        </is>
      </c>
      <c r="G2030" s="3" t="n">
        <v>3</v>
      </c>
      <c r="H2030" s="3" t="n">
        <v>-0.7878549098968506</v>
      </c>
      <c r="I2030" s="3" t="n">
        <v>-0.7878549098968506</v>
      </c>
      <c r="J2030" s="3" t="n">
        <v>-0.8883962808771336</v>
      </c>
      <c r="K2030" s="3" t="n">
        <v>-0.8883962808771336</v>
      </c>
      <c r="L2030" s="3" t="n">
        <v>-0.7878549098968506</v>
      </c>
      <c r="M2030" s="3" t="n">
        <v>-0.7878549098968506</v>
      </c>
      <c r="N2030" s="3" t="n">
        <v>-0.7878549098968506</v>
      </c>
      <c r="O2030" s="3" t="n">
        <v>-0.7878549098968506</v>
      </c>
      <c r="P2030" s="3" t="n">
        <v>-0.7878549098968506</v>
      </c>
      <c r="Q2030" s="3" t="n">
        <v>-0.7878549098968506</v>
      </c>
      <c r="R2030" s="3" t="n">
        <v>-0.7732356596500316</v>
      </c>
      <c r="S2030" s="3" t="n">
        <v>-1.408805674694954</v>
      </c>
      <c r="T2030" s="3" t="n">
        <v>-0.7095591730259835</v>
      </c>
      <c r="U2030" s="3" t="n">
        <v>-0.8883962808771336</v>
      </c>
      <c r="V2030" s="3" t="n">
        <v>-0.681934451803248</v>
      </c>
      <c r="W2030" s="3" t="n">
        <v>-0.5702875047288043</v>
      </c>
      <c r="X2030" s="3" t="n">
        <v>-1.356243993373627</v>
      </c>
      <c r="Y2030" s="3" t="n">
        <v>-0.7878549098968506</v>
      </c>
      <c r="Z2030" s="3" t="n">
        <v>-1.408805674694954</v>
      </c>
      <c r="AA2030" s="3" t="n">
        <v>-1.408805674694954</v>
      </c>
      <c r="AB2030" s="3" t="n">
        <v>-1.356243993373627</v>
      </c>
      <c r="AC2030" s="3" t="n">
        <v>-2.123991362592007</v>
      </c>
      <c r="AD2030" s="3" t="n">
        <v>-0.8883962808771336</v>
      </c>
      <c r="AE2030" s="3" t="n">
        <v>-0.8883962808771336</v>
      </c>
    </row>
    <row r="2031">
      <c r="A2031" s="3" t="inlineStr">
        <is>
          <t>SXM.distn.dec.ove.mean.4</t>
        </is>
      </c>
      <c r="B2031" s="3" t="inlineStr">
        <is>
          <t>SXM</t>
        </is>
      </c>
      <c r="C2031" s="3" t="n">
        <v>2005</v>
      </c>
      <c r="D2031" s="3" t="inlineStr">
        <is>
          <t>Overall</t>
        </is>
      </c>
      <c r="E2031" s="3" t="inlineStr">
        <is>
          <t>Deciles</t>
        </is>
      </c>
      <c r="F2031" s="3" t="inlineStr">
        <is>
          <t>mean</t>
        </is>
      </c>
      <c r="G2031" s="3" t="n">
        <v>4</v>
      </c>
      <c r="H2031" s="3" t="n">
        <v>-0.7816170251115839</v>
      </c>
      <c r="I2031" s="3" t="n">
        <v>-0.7816170251115839</v>
      </c>
      <c r="J2031" s="3" t="n">
        <v>-0.8454680810583398</v>
      </c>
      <c r="K2031" s="3" t="n">
        <v>-0.8454680810583398</v>
      </c>
      <c r="L2031" s="3" t="n">
        <v>-0.7816170251115839</v>
      </c>
      <c r="M2031" s="3" t="n">
        <v>-0.7816170251115839</v>
      </c>
      <c r="N2031" s="3" t="n">
        <v>-0.7816170251115839</v>
      </c>
      <c r="O2031" s="3" t="n">
        <v>-0.7816170251115839</v>
      </c>
      <c r="P2031" s="3" t="n">
        <v>-0.7816170251115839</v>
      </c>
      <c r="Q2031" s="3" t="n">
        <v>-0.7816170251115839</v>
      </c>
      <c r="R2031" s="3" t="n">
        <v>-0.7697659489956308</v>
      </c>
      <c r="S2031" s="3" t="n">
        <v>-0.9595531871978272</v>
      </c>
      <c r="T2031" s="3" t="n">
        <v>-0.7081063859006191</v>
      </c>
      <c r="U2031" s="3" t="n">
        <v>-0.8454680810583398</v>
      </c>
      <c r="V2031" s="3" t="n">
        <v>-0.6750000017754575</v>
      </c>
      <c r="W2031" s="3" t="n">
        <v>-0.4799574455048176</v>
      </c>
      <c r="X2031" s="3" t="n">
        <v>-0.9571489362006492</v>
      </c>
      <c r="Y2031" s="3" t="n">
        <v>-0.7816170251115839</v>
      </c>
      <c r="Z2031" s="3" t="n">
        <v>-0.9595531871978272</v>
      </c>
      <c r="AA2031" s="3" t="n">
        <v>-0.9595531871978272</v>
      </c>
      <c r="AB2031" s="3" t="n">
        <v>-0.9571489362006492</v>
      </c>
      <c r="AC2031" s="3" t="n">
        <v>-1.025723396463597</v>
      </c>
      <c r="AD2031" s="3" t="n">
        <v>-0.8454680810583398</v>
      </c>
      <c r="AE2031" s="3" t="n">
        <v>-0.8454680810583398</v>
      </c>
    </row>
    <row r="2032">
      <c r="A2032" s="3" t="inlineStr">
        <is>
          <t>SXM.distn.dec.ove.mean.5</t>
        </is>
      </c>
      <c r="B2032" s="3" t="inlineStr">
        <is>
          <t>SXM</t>
        </is>
      </c>
      <c r="C2032" s="3" t="n">
        <v>2005</v>
      </c>
      <c r="D2032" s="3" t="inlineStr">
        <is>
          <t>Overall</t>
        </is>
      </c>
      <c r="E2032" s="3" t="inlineStr">
        <is>
          <t>Deciles</t>
        </is>
      </c>
      <c r="F2032" s="3" t="inlineStr">
        <is>
          <t>mean</t>
        </is>
      </c>
      <c r="G2032" s="3" t="n">
        <v>5</v>
      </c>
      <c r="H2032" s="3" t="n">
        <v>-0.7816170251115839</v>
      </c>
      <c r="I2032" s="3" t="n">
        <v>-0.7816170251115839</v>
      </c>
      <c r="J2032" s="3" t="n">
        <v>-0.8454680810583398</v>
      </c>
      <c r="K2032" s="3" t="n">
        <v>-0.8454680810583398</v>
      </c>
      <c r="L2032" s="3" t="n">
        <v>-0.7816170251115839</v>
      </c>
      <c r="M2032" s="3" t="n">
        <v>-0.7816170251115839</v>
      </c>
      <c r="N2032" s="3" t="n">
        <v>-0.7816170251115839</v>
      </c>
      <c r="O2032" s="3" t="n">
        <v>-0.7816170251115839</v>
      </c>
      <c r="P2032" s="3" t="n">
        <v>-0.7816170251115839</v>
      </c>
      <c r="Q2032" s="3" t="n">
        <v>-0.7816170251115839</v>
      </c>
      <c r="R2032" s="3" t="n">
        <v>-0.7697659489956308</v>
      </c>
      <c r="S2032" s="3" t="n">
        <v>-0.9595531871978272</v>
      </c>
      <c r="T2032" s="3" t="n">
        <v>-0.7081063859006191</v>
      </c>
      <c r="U2032" s="3" t="n">
        <v>-0.8454680810583398</v>
      </c>
      <c r="V2032" s="3" t="n">
        <v>-0.6750000017754575</v>
      </c>
      <c r="W2032" s="3" t="n">
        <v>-0.4799574455048176</v>
      </c>
      <c r="X2032" s="3" t="n">
        <v>-0.9571489362006492</v>
      </c>
      <c r="Y2032" s="3" t="n">
        <v>-0.7816170251115839</v>
      </c>
      <c r="Z2032" s="3" t="n">
        <v>-0.9595531871978272</v>
      </c>
      <c r="AA2032" s="3" t="n">
        <v>-0.9595531871978272</v>
      </c>
      <c r="AB2032" s="3" t="n">
        <v>-0.9571489362006492</v>
      </c>
      <c r="AC2032" s="3" t="n">
        <v>-1.025723396463597</v>
      </c>
      <c r="AD2032" s="3" t="n">
        <v>-0.8454680810583398</v>
      </c>
      <c r="AE2032" s="3" t="n">
        <v>-0.8454680810583398</v>
      </c>
    </row>
    <row r="2033">
      <c r="A2033" s="3" t="inlineStr">
        <is>
          <t>SXM.distn.dec.ove.mean.6</t>
        </is>
      </c>
      <c r="B2033" s="3" t="inlineStr">
        <is>
          <t>SXM</t>
        </is>
      </c>
      <c r="C2033" s="3" t="n">
        <v>2005</v>
      </c>
      <c r="D2033" s="3" t="inlineStr">
        <is>
          <t>Overall</t>
        </is>
      </c>
      <c r="E2033" s="3" t="inlineStr">
        <is>
          <t>Deciles</t>
        </is>
      </c>
      <c r="F2033" s="3" t="inlineStr">
        <is>
          <t>mean</t>
        </is>
      </c>
      <c r="G2033" s="3" t="n">
        <v>6</v>
      </c>
      <c r="H2033" s="3" t="n">
        <v>-0.7816170251115839</v>
      </c>
      <c r="I2033" s="3" t="n">
        <v>-0.7816170251115839</v>
      </c>
      <c r="J2033" s="3" t="n">
        <v>-0.8454680810583398</v>
      </c>
      <c r="K2033" s="3" t="n">
        <v>-0.8454680810583398</v>
      </c>
      <c r="L2033" s="3" t="n">
        <v>-0.7816170251115839</v>
      </c>
      <c r="M2033" s="3" t="n">
        <v>-0.7816170251115839</v>
      </c>
      <c r="N2033" s="3" t="n">
        <v>-0.7816170251115839</v>
      </c>
      <c r="O2033" s="3" t="n">
        <v>-0.7816170251115839</v>
      </c>
      <c r="P2033" s="3" t="n">
        <v>-0.7816170251115839</v>
      </c>
      <c r="Q2033" s="3" t="n">
        <v>-0.7816170251115839</v>
      </c>
      <c r="R2033" s="3" t="n">
        <v>-0.7697659489956308</v>
      </c>
      <c r="S2033" s="3" t="n">
        <v>-0.9595531871978272</v>
      </c>
      <c r="T2033" s="3" t="n">
        <v>-0.7081063859006191</v>
      </c>
      <c r="U2033" s="3" t="n">
        <v>-0.8454680810583398</v>
      </c>
      <c r="V2033" s="3" t="n">
        <v>-0.6750000017754575</v>
      </c>
      <c r="W2033" s="3" t="n">
        <v>-0.4799574455048176</v>
      </c>
      <c r="X2033" s="3" t="n">
        <v>-0.9571489362006492</v>
      </c>
      <c r="Y2033" s="3" t="n">
        <v>-0.7816170251115839</v>
      </c>
      <c r="Z2033" s="3" t="n">
        <v>-0.9595531871978272</v>
      </c>
      <c r="AA2033" s="3" t="n">
        <v>-0.9595531871978272</v>
      </c>
      <c r="AB2033" s="3" t="n">
        <v>-0.9571489362006492</v>
      </c>
      <c r="AC2033" s="3" t="n">
        <v>-1.025723396463597</v>
      </c>
      <c r="AD2033" s="3" t="n">
        <v>-0.8454680810583398</v>
      </c>
      <c r="AE2033" s="3" t="n">
        <v>-0.8454680810583398</v>
      </c>
    </row>
    <row r="2034">
      <c r="A2034" s="3" t="inlineStr">
        <is>
          <t>SXM.distn.dec.ove.mean.7</t>
        </is>
      </c>
      <c r="B2034" s="3" t="inlineStr">
        <is>
          <t>SXM</t>
        </is>
      </c>
      <c r="C2034" s="3" t="n">
        <v>2005</v>
      </c>
      <c r="D2034" s="3" t="inlineStr">
        <is>
          <t>Overall</t>
        </is>
      </c>
      <c r="E2034" s="3" t="inlineStr">
        <is>
          <t>Deciles</t>
        </is>
      </c>
      <c r="F2034" s="3" t="inlineStr">
        <is>
          <t>mean</t>
        </is>
      </c>
      <c r="G2034" s="3" t="n">
        <v>7</v>
      </c>
      <c r="H2034" s="3" t="n">
        <v>-0.7816170251115839</v>
      </c>
      <c r="I2034" s="3" t="n">
        <v>-0.7816170251115839</v>
      </c>
      <c r="J2034" s="3" t="n">
        <v>-0.8454680810583398</v>
      </c>
      <c r="K2034" s="3" t="n">
        <v>-0.8454680810583398</v>
      </c>
      <c r="L2034" s="3" t="n">
        <v>-0.7816170251115839</v>
      </c>
      <c r="M2034" s="3" t="n">
        <v>-0.7816170251115839</v>
      </c>
      <c r="N2034" s="3" t="n">
        <v>-0.7816170251115839</v>
      </c>
      <c r="O2034" s="3" t="n">
        <v>-0.7816170251115839</v>
      </c>
      <c r="P2034" s="3" t="n">
        <v>-0.7816170251115839</v>
      </c>
      <c r="Q2034" s="3" t="n">
        <v>-0.7816170251115839</v>
      </c>
      <c r="R2034" s="3" t="n">
        <v>-0.7697659489956308</v>
      </c>
      <c r="S2034" s="3" t="n">
        <v>-0.9595531871978272</v>
      </c>
      <c r="T2034" s="3" t="n">
        <v>-0.7081063859006191</v>
      </c>
      <c r="U2034" s="3" t="n">
        <v>-0.8454680810583398</v>
      </c>
      <c r="V2034" s="3" t="n">
        <v>-0.6750000017754575</v>
      </c>
      <c r="W2034" s="3" t="n">
        <v>-0.4799574455048176</v>
      </c>
      <c r="X2034" s="3" t="n">
        <v>-0.9571489362006492</v>
      </c>
      <c r="Y2034" s="3" t="n">
        <v>-0.7816170251115839</v>
      </c>
      <c r="Z2034" s="3" t="n">
        <v>-0.9595531871978272</v>
      </c>
      <c r="AA2034" s="3" t="n">
        <v>-0.9595531871978272</v>
      </c>
      <c r="AB2034" s="3" t="n">
        <v>-0.9571489362006492</v>
      </c>
      <c r="AC2034" s="3" t="n">
        <v>-1.025723396463597</v>
      </c>
      <c r="AD2034" s="3" t="n">
        <v>-0.8454680810583398</v>
      </c>
      <c r="AE2034" s="3" t="n">
        <v>-0.8454680810583398</v>
      </c>
    </row>
    <row r="2035">
      <c r="A2035" s="3" t="inlineStr">
        <is>
          <t>SXM.distn.dec.ove.mean.8</t>
        </is>
      </c>
      <c r="B2035" s="3" t="inlineStr">
        <is>
          <t>SXM</t>
        </is>
      </c>
      <c r="C2035" s="3" t="n">
        <v>2005</v>
      </c>
      <c r="D2035" s="3" t="inlineStr">
        <is>
          <t>Overall</t>
        </is>
      </c>
      <c r="E2035" s="3" t="inlineStr">
        <is>
          <t>Deciles</t>
        </is>
      </c>
      <c r="F2035" s="3" t="inlineStr">
        <is>
          <t>mean</t>
        </is>
      </c>
      <c r="G2035" s="3" t="n">
        <v>8</v>
      </c>
      <c r="H2035" s="3" t="n">
        <v>-0.7819935831617801</v>
      </c>
      <c r="I2035" s="3" t="n">
        <v>-0.7819935831617801</v>
      </c>
      <c r="J2035" s="3" t="n">
        <v>-0.8477488045996808</v>
      </c>
      <c r="K2035" s="3" t="n">
        <v>-0.8477488045996808</v>
      </c>
      <c r="L2035" s="3" t="n">
        <v>-0.7819935831617801</v>
      </c>
      <c r="M2035" s="3" t="n">
        <v>-0.7819935831617801</v>
      </c>
      <c r="N2035" s="3" t="n">
        <v>-0.7819935831617801</v>
      </c>
      <c r="O2035" s="3" t="n">
        <v>-0.7819935831617801</v>
      </c>
      <c r="P2035" s="3" t="n">
        <v>-0.7819935831617801</v>
      </c>
      <c r="Q2035" s="3" t="n">
        <v>-0.7819935831617801</v>
      </c>
      <c r="R2035" s="3" t="n">
        <v>-0.7700191178220384</v>
      </c>
      <c r="S2035" s="3" t="n">
        <v>-0.9684819490351575</v>
      </c>
      <c r="T2035" s="3" t="n">
        <v>-0.70814722142321</v>
      </c>
      <c r="U2035" s="3" t="n">
        <v>-0.8477488045996808</v>
      </c>
      <c r="V2035" s="3" t="n">
        <v>-0.6756977857427394</v>
      </c>
      <c r="W2035" s="3" t="n">
        <v>-0.4928101326556916</v>
      </c>
      <c r="X2035" s="3" t="n">
        <v>-0.9658704755154062</v>
      </c>
      <c r="Y2035" s="3" t="n">
        <v>-0.7819935831617801</v>
      </c>
      <c r="Z2035" s="3" t="n">
        <v>-0.9684819490351575</v>
      </c>
      <c r="AA2035" s="3" t="n">
        <v>-0.9684819490351575</v>
      </c>
      <c r="AB2035" s="3" t="n">
        <v>-0.9658704755154062</v>
      </c>
      <c r="AC2035" s="3" t="n">
        <v>-1.04035159628442</v>
      </c>
      <c r="AD2035" s="3" t="n">
        <v>-0.8477488045996808</v>
      </c>
      <c r="AE2035" s="3" t="n">
        <v>-0.8477488045996808</v>
      </c>
    </row>
    <row r="2036">
      <c r="A2036" s="3" t="inlineStr">
        <is>
          <t>SXM.distn.dec.ove.mean.9</t>
        </is>
      </c>
      <c r="B2036" s="3" t="inlineStr">
        <is>
          <t>SXM</t>
        </is>
      </c>
      <c r="C2036" s="3" t="n">
        <v>2005</v>
      </c>
      <c r="D2036" s="3" t="inlineStr">
        <is>
          <t>Overall</t>
        </is>
      </c>
      <c r="E2036" s="3" t="inlineStr">
        <is>
          <t>Deciles</t>
        </is>
      </c>
      <c r="F2036" s="3" t="inlineStr">
        <is>
          <t>mean</t>
        </is>
      </c>
      <c r="G2036" s="3" t="n">
        <v>9</v>
      </c>
      <c r="H2036" s="3" t="n">
        <v>-0.7819935831617801</v>
      </c>
      <c r="I2036" s="3" t="n">
        <v>-0.7819935831617801</v>
      </c>
      <c r="J2036" s="3" t="n">
        <v>-0.8477488045996808</v>
      </c>
      <c r="K2036" s="3" t="n">
        <v>-0.8477488045996808</v>
      </c>
      <c r="L2036" s="3" t="n">
        <v>-0.7819935831617801</v>
      </c>
      <c r="M2036" s="3" t="n">
        <v>-0.7819935831617801</v>
      </c>
      <c r="N2036" s="3" t="n">
        <v>-0.7819935831617801</v>
      </c>
      <c r="O2036" s="3" t="n">
        <v>-0.7819935831617801</v>
      </c>
      <c r="P2036" s="3" t="n">
        <v>-0.7819935831617801</v>
      </c>
      <c r="Q2036" s="3" t="n">
        <v>-0.7819935831617801</v>
      </c>
      <c r="R2036" s="3" t="n">
        <v>-0.7700191178220384</v>
      </c>
      <c r="S2036" s="3" t="n">
        <v>-0.9684819490351575</v>
      </c>
      <c r="T2036" s="3" t="n">
        <v>-0.70814722142321</v>
      </c>
      <c r="U2036" s="3" t="n">
        <v>-0.8477488045996808</v>
      </c>
      <c r="V2036" s="3" t="n">
        <v>-0.6756977857427394</v>
      </c>
      <c r="W2036" s="3" t="n">
        <v>-0.4928101326556916</v>
      </c>
      <c r="X2036" s="3" t="n">
        <v>-0.9658704755154062</v>
      </c>
      <c r="Y2036" s="3" t="n">
        <v>-0.7819935831617801</v>
      </c>
      <c r="Z2036" s="3" t="n">
        <v>-0.9684819490351575</v>
      </c>
      <c r="AA2036" s="3" t="n">
        <v>-0.9684819490351575</v>
      </c>
      <c r="AB2036" s="3" t="n">
        <v>-0.9658704755154062</v>
      </c>
      <c r="AC2036" s="3" t="n">
        <v>-1.04035159628442</v>
      </c>
      <c r="AD2036" s="3" t="n">
        <v>-0.8477488045996808</v>
      </c>
      <c r="AE2036" s="3" t="n">
        <v>-0.8477488045996808</v>
      </c>
    </row>
    <row r="2037">
      <c r="A2037" s="3" t="inlineStr">
        <is>
          <t>SXM.distn.dec.ove.mean.10</t>
        </is>
      </c>
      <c r="B2037" s="3" t="inlineStr">
        <is>
          <t>SXM</t>
        </is>
      </c>
      <c r="C2037" s="3" t="n">
        <v>2005</v>
      </c>
      <c r="D2037" s="3" t="inlineStr">
        <is>
          <t>Overall</t>
        </is>
      </c>
      <c r="E2037" s="3" t="inlineStr">
        <is>
          <t>Deciles</t>
        </is>
      </c>
      <c r="F2037" s="3" t="inlineStr">
        <is>
          <t>mean</t>
        </is>
      </c>
      <c r="G2037" s="3" t="n">
        <v>10</v>
      </c>
      <c r="H2037" s="3" t="n">
        <v>-0.7819935831617801</v>
      </c>
      <c r="I2037" s="3" t="n">
        <v>-0.7819935831617801</v>
      </c>
      <c r="J2037" s="3" t="n">
        <v>-0.8477488045996808</v>
      </c>
      <c r="K2037" s="3" t="n">
        <v>-0.8477488045996808</v>
      </c>
      <c r="L2037" s="3" t="n">
        <v>-0.7819935831617801</v>
      </c>
      <c r="M2037" s="3" t="n">
        <v>-0.7819935831617801</v>
      </c>
      <c r="N2037" s="3" t="n">
        <v>-0.7819935831617801</v>
      </c>
      <c r="O2037" s="3" t="n">
        <v>-0.7819935831617801</v>
      </c>
      <c r="P2037" s="3" t="n">
        <v>-0.7819935831617801</v>
      </c>
      <c r="Q2037" s="3" t="n">
        <v>-0.7819935831617801</v>
      </c>
      <c r="R2037" s="3" t="n">
        <v>-0.7700191178220384</v>
      </c>
      <c r="S2037" s="3" t="n">
        <v>-0.9684819490351575</v>
      </c>
      <c r="T2037" s="3" t="n">
        <v>-0.70814722142321</v>
      </c>
      <c r="U2037" s="3" t="n">
        <v>-0.8477488045996808</v>
      </c>
      <c r="V2037" s="3" t="n">
        <v>-0.6756977857427394</v>
      </c>
      <c r="W2037" s="3" t="n">
        <v>-0.4928101326556916</v>
      </c>
      <c r="X2037" s="3" t="n">
        <v>-0.9658704755154062</v>
      </c>
      <c r="Y2037" s="3" t="n">
        <v>-0.7819935831617801</v>
      </c>
      <c r="Z2037" s="3" t="n">
        <v>-0.9684819490351575</v>
      </c>
      <c r="AA2037" s="3" t="n">
        <v>-0.9684819490351575</v>
      </c>
      <c r="AB2037" s="3" t="n">
        <v>-0.9658704755154062</v>
      </c>
      <c r="AC2037" s="3" t="n">
        <v>-1.04035159628442</v>
      </c>
      <c r="AD2037" s="3" t="n">
        <v>-0.8477488045996808</v>
      </c>
      <c r="AE2037" s="3" t="n">
        <v>-0.8477488045996808</v>
      </c>
    </row>
    <row r="2038">
      <c r="A2038" s="3" t="inlineStr">
        <is>
          <t>SXM.distn.bkt.ove.mean.9999</t>
        </is>
      </c>
      <c r="B2038" s="3" t="inlineStr">
        <is>
          <t>SXM</t>
        </is>
      </c>
      <c r="C2038" s="3" t="n">
        <v>2005</v>
      </c>
      <c r="D2038" s="3" t="inlineStr">
        <is>
          <t>Overall</t>
        </is>
      </c>
      <c r="E2038" s="3" t="inlineStr">
        <is>
          <t>Basket</t>
        </is>
      </c>
      <c r="F2038" s="3" t="inlineStr">
        <is>
          <t>mean</t>
        </is>
      </c>
      <c r="G2038" s="3" t="n">
        <v>9999</v>
      </c>
      <c r="H2038" s="3" t="n">
        <v>-0.7836013613863194</v>
      </c>
      <c r="I2038" s="3" t="n">
        <v>-0.7836013613863194</v>
      </c>
      <c r="J2038" s="3" t="n">
        <v>-0.8590307616172953</v>
      </c>
      <c r="K2038" s="3" t="n">
        <v>-0.8590307616172953</v>
      </c>
      <c r="L2038" s="3" t="n">
        <v>-0.7836013613863194</v>
      </c>
      <c r="M2038" s="3" t="n">
        <v>-0.7836013613863194</v>
      </c>
      <c r="N2038" s="3" t="n">
        <v>-0.7836013613863194</v>
      </c>
      <c r="O2038" s="3" t="n">
        <v>-0.7836013613863194</v>
      </c>
      <c r="P2038" s="3" t="n">
        <v>-0.7836013613863194</v>
      </c>
      <c r="Q2038" s="3" t="n">
        <v>-0.7836013613863194</v>
      </c>
      <c r="R2038" s="3" t="n">
        <v>-0.7708828220976159</v>
      </c>
      <c r="S2038" s="3" t="n">
        <v>-1.097007578991829</v>
      </c>
      <c r="T2038" s="3" t="n">
        <v>-0.7085544974245923</v>
      </c>
      <c r="U2038" s="3" t="n">
        <v>-0.8590307616172953</v>
      </c>
      <c r="V2038" s="3" t="n">
        <v>-0.6772896647453308</v>
      </c>
      <c r="W2038" s="3" t="n">
        <v>-0.5109122699879586</v>
      </c>
      <c r="X2038" s="3" t="n">
        <v>-1.079493910708326</v>
      </c>
      <c r="Y2038" s="3" t="n">
        <v>-0.7836013613863194</v>
      </c>
      <c r="Z2038" s="3" t="n">
        <v>-1.097007578991829</v>
      </c>
      <c r="AA2038" s="3" t="n">
        <v>-1.097007578991829</v>
      </c>
      <c r="AB2038" s="3" t="n">
        <v>-1.079493910708326</v>
      </c>
      <c r="AC2038" s="3" t="n">
        <v>-1.359592239907447</v>
      </c>
      <c r="AD2038" s="3" t="n">
        <v>-0.8590307616172953</v>
      </c>
      <c r="AE2038" s="3" t="n">
        <v>-0.8590307616172953</v>
      </c>
    </row>
    <row r="2039">
      <c r="A2039" s="3" t="inlineStr">
        <is>
          <t>SYC.distn.dec.ove.mean.1</t>
        </is>
      </c>
      <c r="B2039" s="3" t="inlineStr">
        <is>
          <t>SYC</t>
        </is>
      </c>
      <c r="C2039" s="3" t="n">
        <v>2005</v>
      </c>
      <c r="D2039" s="3" t="inlineStr">
        <is>
          <t>Overall</t>
        </is>
      </c>
      <c r="E2039" s="3" t="inlineStr">
        <is>
          <t>Deciles</t>
        </is>
      </c>
      <c r="F2039" s="3" t="inlineStr">
        <is>
          <t>mean</t>
        </is>
      </c>
      <c r="G2039" s="3" t="n">
        <v>1</v>
      </c>
      <c r="H2039" s="3" t="n">
        <v>-0.7878549098968506</v>
      </c>
      <c r="I2039" s="3" t="n">
        <v>-0.7878549098968506</v>
      </c>
      <c r="J2039" s="3" t="n">
        <v>-0.8883962808771336</v>
      </c>
      <c r="K2039" s="3" t="n">
        <v>-0.8883962808771336</v>
      </c>
      <c r="L2039" s="3" t="n">
        <v>-0.7878549098968506</v>
      </c>
      <c r="M2039" s="3" t="n">
        <v>-0.7878549098968506</v>
      </c>
      <c r="N2039" s="3" t="n">
        <v>-0.7878549098968506</v>
      </c>
      <c r="O2039" s="3" t="n">
        <v>-0.7878549098968506</v>
      </c>
      <c r="P2039" s="3" t="n">
        <v>-0.7878549098968506</v>
      </c>
      <c r="Q2039" s="3" t="n">
        <v>-0.7878549098968506</v>
      </c>
      <c r="R2039" s="3" t="n">
        <v>-0.7732356596500316</v>
      </c>
      <c r="S2039" s="3" t="n">
        <v>-1.408805674694954</v>
      </c>
      <c r="T2039" s="3" t="n">
        <v>-0.7095591730259835</v>
      </c>
      <c r="U2039" s="3" t="n">
        <v>-0.8883962808771336</v>
      </c>
      <c r="V2039" s="3" t="n">
        <v>-0.681934451803248</v>
      </c>
      <c r="W2039" s="3" t="n">
        <v>-0.5702875047288043</v>
      </c>
      <c r="X2039" s="3" t="n">
        <v>-1.356243993373627</v>
      </c>
      <c r="Y2039" s="3" t="n">
        <v>-0.7878549098968506</v>
      </c>
      <c r="Z2039" s="3" t="n">
        <v>-1.408805674694954</v>
      </c>
      <c r="AA2039" s="3" t="n">
        <v>-1.408805674694954</v>
      </c>
      <c r="AB2039" s="3" t="n">
        <v>-1.356243993373627</v>
      </c>
      <c r="AC2039" s="3" t="n">
        <v>-2.123991362592007</v>
      </c>
      <c r="AD2039" s="3" t="n">
        <v>-0.8883962808771336</v>
      </c>
      <c r="AE2039" s="3" t="n">
        <v>-0.8883962808771336</v>
      </c>
    </row>
    <row r="2040">
      <c r="A2040" s="3" t="inlineStr">
        <is>
          <t>SYC.distn.dec.ove.mean.2</t>
        </is>
      </c>
      <c r="B2040" s="3" t="inlineStr">
        <is>
          <t>SYC</t>
        </is>
      </c>
      <c r="C2040" s="3" t="n">
        <v>2005</v>
      </c>
      <c r="D2040" s="3" t="inlineStr">
        <is>
          <t>Overall</t>
        </is>
      </c>
      <c r="E2040" s="3" t="inlineStr">
        <is>
          <t>Deciles</t>
        </is>
      </c>
      <c r="F2040" s="3" t="inlineStr">
        <is>
          <t>mean</t>
        </is>
      </c>
      <c r="G2040" s="3" t="n">
        <v>2</v>
      </c>
      <c r="H2040" s="3" t="n">
        <v>-0.7878549098968506</v>
      </c>
      <c r="I2040" s="3" t="n">
        <v>-0.7878549098968506</v>
      </c>
      <c r="J2040" s="3" t="n">
        <v>-0.8883962808771336</v>
      </c>
      <c r="K2040" s="3" t="n">
        <v>-0.8883962808771336</v>
      </c>
      <c r="L2040" s="3" t="n">
        <v>-0.7878549098968506</v>
      </c>
      <c r="M2040" s="3" t="n">
        <v>-0.7878549098968506</v>
      </c>
      <c r="N2040" s="3" t="n">
        <v>-0.7878549098968506</v>
      </c>
      <c r="O2040" s="3" t="n">
        <v>-0.7878549098968506</v>
      </c>
      <c r="P2040" s="3" t="n">
        <v>-0.7878549098968506</v>
      </c>
      <c r="Q2040" s="3" t="n">
        <v>-0.7878549098968506</v>
      </c>
      <c r="R2040" s="3" t="n">
        <v>-0.7732356596500316</v>
      </c>
      <c r="S2040" s="3" t="n">
        <v>-1.408805674694954</v>
      </c>
      <c r="T2040" s="3" t="n">
        <v>-0.7095591730259835</v>
      </c>
      <c r="U2040" s="3" t="n">
        <v>-0.8883962808771336</v>
      </c>
      <c r="V2040" s="3" t="n">
        <v>-0.681934451803248</v>
      </c>
      <c r="W2040" s="3" t="n">
        <v>-0.5702875047288043</v>
      </c>
      <c r="X2040" s="3" t="n">
        <v>-1.356243993373627</v>
      </c>
      <c r="Y2040" s="3" t="n">
        <v>-0.7878549098968506</v>
      </c>
      <c r="Z2040" s="3" t="n">
        <v>-1.408805674694954</v>
      </c>
      <c r="AA2040" s="3" t="n">
        <v>-1.408805674694954</v>
      </c>
      <c r="AB2040" s="3" t="n">
        <v>-1.356243993373627</v>
      </c>
      <c r="AC2040" s="3" t="n">
        <v>-2.123991362592007</v>
      </c>
      <c r="AD2040" s="3" t="n">
        <v>-0.8883962808771336</v>
      </c>
      <c r="AE2040" s="3" t="n">
        <v>-0.8883962808771336</v>
      </c>
    </row>
    <row r="2041">
      <c r="A2041" s="3" t="inlineStr">
        <is>
          <t>SYC.distn.dec.ove.mean.3</t>
        </is>
      </c>
      <c r="B2041" s="3" t="inlineStr">
        <is>
          <t>SYC</t>
        </is>
      </c>
      <c r="C2041" s="3" t="n">
        <v>2005</v>
      </c>
      <c r="D2041" s="3" t="inlineStr">
        <is>
          <t>Overall</t>
        </is>
      </c>
      <c r="E2041" s="3" t="inlineStr">
        <is>
          <t>Deciles</t>
        </is>
      </c>
      <c r="F2041" s="3" t="inlineStr">
        <is>
          <t>mean</t>
        </is>
      </c>
      <c r="G2041" s="3" t="n">
        <v>3</v>
      </c>
      <c r="H2041" s="3" t="n">
        <v>-0.7878549098968506</v>
      </c>
      <c r="I2041" s="3" t="n">
        <v>-0.7878549098968506</v>
      </c>
      <c r="J2041" s="3" t="n">
        <v>-0.8883962808771336</v>
      </c>
      <c r="K2041" s="3" t="n">
        <v>-0.8883962808771336</v>
      </c>
      <c r="L2041" s="3" t="n">
        <v>-0.7878549098968506</v>
      </c>
      <c r="M2041" s="3" t="n">
        <v>-0.7878549098968506</v>
      </c>
      <c r="N2041" s="3" t="n">
        <v>-0.7878549098968506</v>
      </c>
      <c r="O2041" s="3" t="n">
        <v>-0.7878549098968506</v>
      </c>
      <c r="P2041" s="3" t="n">
        <v>-0.7878549098968506</v>
      </c>
      <c r="Q2041" s="3" t="n">
        <v>-0.7878549098968506</v>
      </c>
      <c r="R2041" s="3" t="n">
        <v>-0.7732356596500316</v>
      </c>
      <c r="S2041" s="3" t="n">
        <v>-1.408805674694954</v>
      </c>
      <c r="T2041" s="3" t="n">
        <v>-0.7095591730259835</v>
      </c>
      <c r="U2041" s="3" t="n">
        <v>-0.8883962808771336</v>
      </c>
      <c r="V2041" s="3" t="n">
        <v>-0.681934451803248</v>
      </c>
      <c r="W2041" s="3" t="n">
        <v>-0.5702875047288043</v>
      </c>
      <c r="X2041" s="3" t="n">
        <v>-1.356243993373627</v>
      </c>
      <c r="Y2041" s="3" t="n">
        <v>-0.7878549098968506</v>
      </c>
      <c r="Z2041" s="3" t="n">
        <v>-1.408805674694954</v>
      </c>
      <c r="AA2041" s="3" t="n">
        <v>-1.408805674694954</v>
      </c>
      <c r="AB2041" s="3" t="n">
        <v>-1.356243993373627</v>
      </c>
      <c r="AC2041" s="3" t="n">
        <v>-2.123991362592007</v>
      </c>
      <c r="AD2041" s="3" t="n">
        <v>-0.8883962808771336</v>
      </c>
      <c r="AE2041" s="3" t="n">
        <v>-0.8883962808771336</v>
      </c>
    </row>
    <row r="2042">
      <c r="A2042" s="3" t="inlineStr">
        <is>
          <t>SYC.distn.dec.ove.mean.4</t>
        </is>
      </c>
      <c r="B2042" s="3" t="inlineStr">
        <is>
          <t>SYC</t>
        </is>
      </c>
      <c r="C2042" s="3" t="n">
        <v>2005</v>
      </c>
      <c r="D2042" s="3" t="inlineStr">
        <is>
          <t>Overall</t>
        </is>
      </c>
      <c r="E2042" s="3" t="inlineStr">
        <is>
          <t>Deciles</t>
        </is>
      </c>
      <c r="F2042" s="3" t="inlineStr">
        <is>
          <t>mean</t>
        </is>
      </c>
      <c r="G2042" s="3" t="n">
        <v>4</v>
      </c>
      <c r="H2042" s="3" t="n">
        <v>-0.7816170251115839</v>
      </c>
      <c r="I2042" s="3" t="n">
        <v>-0.7816170251115839</v>
      </c>
      <c r="J2042" s="3" t="n">
        <v>-0.8454680810583398</v>
      </c>
      <c r="K2042" s="3" t="n">
        <v>-0.8454680810583398</v>
      </c>
      <c r="L2042" s="3" t="n">
        <v>-0.7816170251115839</v>
      </c>
      <c r="M2042" s="3" t="n">
        <v>-0.7816170251115839</v>
      </c>
      <c r="N2042" s="3" t="n">
        <v>-0.7816170251115839</v>
      </c>
      <c r="O2042" s="3" t="n">
        <v>-0.7816170251115839</v>
      </c>
      <c r="P2042" s="3" t="n">
        <v>-0.7816170251115839</v>
      </c>
      <c r="Q2042" s="3" t="n">
        <v>-0.7816170251115839</v>
      </c>
      <c r="R2042" s="3" t="n">
        <v>-0.7697659489956308</v>
      </c>
      <c r="S2042" s="3" t="n">
        <v>-0.9595531871978272</v>
      </c>
      <c r="T2042" s="3" t="n">
        <v>-0.7081063859006191</v>
      </c>
      <c r="U2042" s="3" t="n">
        <v>-0.8454680810583398</v>
      </c>
      <c r="V2042" s="3" t="n">
        <v>-0.6750000017754575</v>
      </c>
      <c r="W2042" s="3" t="n">
        <v>-0.4799574455048176</v>
      </c>
      <c r="X2042" s="3" t="n">
        <v>-0.9571489362006492</v>
      </c>
      <c r="Y2042" s="3" t="n">
        <v>-0.7816170251115839</v>
      </c>
      <c r="Z2042" s="3" t="n">
        <v>-0.9595531871978272</v>
      </c>
      <c r="AA2042" s="3" t="n">
        <v>-0.9595531871978272</v>
      </c>
      <c r="AB2042" s="3" t="n">
        <v>-0.9571489362006492</v>
      </c>
      <c r="AC2042" s="3" t="n">
        <v>-1.025723396463597</v>
      </c>
      <c r="AD2042" s="3" t="n">
        <v>-0.8454680810583398</v>
      </c>
      <c r="AE2042" s="3" t="n">
        <v>-0.8454680810583398</v>
      </c>
    </row>
    <row r="2043">
      <c r="A2043" s="3" t="inlineStr">
        <is>
          <t>SYC.distn.dec.ove.mean.5</t>
        </is>
      </c>
      <c r="B2043" s="3" t="inlineStr">
        <is>
          <t>SYC</t>
        </is>
      </c>
      <c r="C2043" s="3" t="n">
        <v>2005</v>
      </c>
      <c r="D2043" s="3" t="inlineStr">
        <is>
          <t>Overall</t>
        </is>
      </c>
      <c r="E2043" s="3" t="inlineStr">
        <is>
          <t>Deciles</t>
        </is>
      </c>
      <c r="F2043" s="3" t="inlineStr">
        <is>
          <t>mean</t>
        </is>
      </c>
      <c r="G2043" s="3" t="n">
        <v>5</v>
      </c>
      <c r="H2043" s="3" t="n">
        <v>-0.7816170251115839</v>
      </c>
      <c r="I2043" s="3" t="n">
        <v>-0.7816170251115839</v>
      </c>
      <c r="J2043" s="3" t="n">
        <v>-0.8454680810583398</v>
      </c>
      <c r="K2043" s="3" t="n">
        <v>-0.8454680810583398</v>
      </c>
      <c r="L2043" s="3" t="n">
        <v>-0.7816170251115839</v>
      </c>
      <c r="M2043" s="3" t="n">
        <v>-0.7816170251115839</v>
      </c>
      <c r="N2043" s="3" t="n">
        <v>-0.7816170251115839</v>
      </c>
      <c r="O2043" s="3" t="n">
        <v>-0.7816170251115839</v>
      </c>
      <c r="P2043" s="3" t="n">
        <v>-0.7816170251115839</v>
      </c>
      <c r="Q2043" s="3" t="n">
        <v>-0.7816170251115839</v>
      </c>
      <c r="R2043" s="3" t="n">
        <v>-0.7697659489956308</v>
      </c>
      <c r="S2043" s="3" t="n">
        <v>-0.9595531871978272</v>
      </c>
      <c r="T2043" s="3" t="n">
        <v>-0.7081063859006191</v>
      </c>
      <c r="U2043" s="3" t="n">
        <v>-0.8454680810583398</v>
      </c>
      <c r="V2043" s="3" t="n">
        <v>-0.6750000017754575</v>
      </c>
      <c r="W2043" s="3" t="n">
        <v>-0.4799574455048176</v>
      </c>
      <c r="X2043" s="3" t="n">
        <v>-0.9571489362006492</v>
      </c>
      <c r="Y2043" s="3" t="n">
        <v>-0.7816170251115839</v>
      </c>
      <c r="Z2043" s="3" t="n">
        <v>-0.9595531871978272</v>
      </c>
      <c r="AA2043" s="3" t="n">
        <v>-0.9595531871978272</v>
      </c>
      <c r="AB2043" s="3" t="n">
        <v>-0.9571489362006492</v>
      </c>
      <c r="AC2043" s="3" t="n">
        <v>-1.025723396463597</v>
      </c>
      <c r="AD2043" s="3" t="n">
        <v>-0.8454680810583398</v>
      </c>
      <c r="AE2043" s="3" t="n">
        <v>-0.8454680810583398</v>
      </c>
    </row>
    <row r="2044">
      <c r="A2044" s="3" t="inlineStr">
        <is>
          <t>SYC.distn.dec.ove.mean.6</t>
        </is>
      </c>
      <c r="B2044" s="3" t="inlineStr">
        <is>
          <t>SYC</t>
        </is>
      </c>
      <c r="C2044" s="3" t="n">
        <v>2005</v>
      </c>
      <c r="D2044" s="3" t="inlineStr">
        <is>
          <t>Overall</t>
        </is>
      </c>
      <c r="E2044" s="3" t="inlineStr">
        <is>
          <t>Deciles</t>
        </is>
      </c>
      <c r="F2044" s="3" t="inlineStr">
        <is>
          <t>mean</t>
        </is>
      </c>
      <c r="G2044" s="3" t="n">
        <v>6</v>
      </c>
      <c r="H2044" s="3" t="n">
        <v>-0.7816170251115839</v>
      </c>
      <c r="I2044" s="3" t="n">
        <v>-0.7816170251115839</v>
      </c>
      <c r="J2044" s="3" t="n">
        <v>-0.8454680810583398</v>
      </c>
      <c r="K2044" s="3" t="n">
        <v>-0.8454680810583398</v>
      </c>
      <c r="L2044" s="3" t="n">
        <v>-0.7816170251115839</v>
      </c>
      <c r="M2044" s="3" t="n">
        <v>-0.7816170251115839</v>
      </c>
      <c r="N2044" s="3" t="n">
        <v>-0.7816170251115839</v>
      </c>
      <c r="O2044" s="3" t="n">
        <v>-0.7816170251115839</v>
      </c>
      <c r="P2044" s="3" t="n">
        <v>-0.7816170251115839</v>
      </c>
      <c r="Q2044" s="3" t="n">
        <v>-0.7816170251115839</v>
      </c>
      <c r="R2044" s="3" t="n">
        <v>-0.7697659489956308</v>
      </c>
      <c r="S2044" s="3" t="n">
        <v>-0.9595531871978272</v>
      </c>
      <c r="T2044" s="3" t="n">
        <v>-0.7081063859006191</v>
      </c>
      <c r="U2044" s="3" t="n">
        <v>-0.8454680810583398</v>
      </c>
      <c r="V2044" s="3" t="n">
        <v>-0.6750000017754575</v>
      </c>
      <c r="W2044" s="3" t="n">
        <v>-0.4799574455048176</v>
      </c>
      <c r="X2044" s="3" t="n">
        <v>-0.9571489362006492</v>
      </c>
      <c r="Y2044" s="3" t="n">
        <v>-0.7816170251115839</v>
      </c>
      <c r="Z2044" s="3" t="n">
        <v>-0.9595531871978272</v>
      </c>
      <c r="AA2044" s="3" t="n">
        <v>-0.9595531871978272</v>
      </c>
      <c r="AB2044" s="3" t="n">
        <v>-0.9571489362006492</v>
      </c>
      <c r="AC2044" s="3" t="n">
        <v>-1.025723396463597</v>
      </c>
      <c r="AD2044" s="3" t="n">
        <v>-0.8454680810583398</v>
      </c>
      <c r="AE2044" s="3" t="n">
        <v>-0.8454680810583398</v>
      </c>
    </row>
    <row r="2045">
      <c r="A2045" s="3" t="inlineStr">
        <is>
          <t>SYC.distn.dec.ove.mean.7</t>
        </is>
      </c>
      <c r="B2045" s="3" t="inlineStr">
        <is>
          <t>SYC</t>
        </is>
      </c>
      <c r="C2045" s="3" t="n">
        <v>2005</v>
      </c>
      <c r="D2045" s="3" t="inlineStr">
        <is>
          <t>Overall</t>
        </is>
      </c>
      <c r="E2045" s="3" t="inlineStr">
        <is>
          <t>Deciles</t>
        </is>
      </c>
      <c r="F2045" s="3" t="inlineStr">
        <is>
          <t>mean</t>
        </is>
      </c>
      <c r="G2045" s="3" t="n">
        <v>7</v>
      </c>
      <c r="H2045" s="3" t="n">
        <v>-0.7816170251115839</v>
      </c>
      <c r="I2045" s="3" t="n">
        <v>-0.7816170251115839</v>
      </c>
      <c r="J2045" s="3" t="n">
        <v>-0.8454680810583398</v>
      </c>
      <c r="K2045" s="3" t="n">
        <v>-0.8454680810583398</v>
      </c>
      <c r="L2045" s="3" t="n">
        <v>-0.7816170251115839</v>
      </c>
      <c r="M2045" s="3" t="n">
        <v>-0.7816170251115839</v>
      </c>
      <c r="N2045" s="3" t="n">
        <v>-0.7816170251115839</v>
      </c>
      <c r="O2045" s="3" t="n">
        <v>-0.7816170251115839</v>
      </c>
      <c r="P2045" s="3" t="n">
        <v>-0.7816170251115839</v>
      </c>
      <c r="Q2045" s="3" t="n">
        <v>-0.7816170251115839</v>
      </c>
      <c r="R2045" s="3" t="n">
        <v>-0.7697659489956308</v>
      </c>
      <c r="S2045" s="3" t="n">
        <v>-0.9595531871978272</v>
      </c>
      <c r="T2045" s="3" t="n">
        <v>-0.7081063859006191</v>
      </c>
      <c r="U2045" s="3" t="n">
        <v>-0.8454680810583398</v>
      </c>
      <c r="V2045" s="3" t="n">
        <v>-0.6750000017754575</v>
      </c>
      <c r="W2045" s="3" t="n">
        <v>-0.4799574455048176</v>
      </c>
      <c r="X2045" s="3" t="n">
        <v>-0.9571489362006492</v>
      </c>
      <c r="Y2045" s="3" t="n">
        <v>-0.7816170251115839</v>
      </c>
      <c r="Z2045" s="3" t="n">
        <v>-0.9595531871978272</v>
      </c>
      <c r="AA2045" s="3" t="n">
        <v>-0.9595531871978272</v>
      </c>
      <c r="AB2045" s="3" t="n">
        <v>-0.9571489362006492</v>
      </c>
      <c r="AC2045" s="3" t="n">
        <v>-1.025723396463597</v>
      </c>
      <c r="AD2045" s="3" t="n">
        <v>-0.8454680810583398</v>
      </c>
      <c r="AE2045" s="3" t="n">
        <v>-0.8454680810583398</v>
      </c>
    </row>
    <row r="2046">
      <c r="A2046" s="3" t="inlineStr">
        <is>
          <t>SYC.distn.dec.ove.mean.8</t>
        </is>
      </c>
      <c r="B2046" s="3" t="inlineStr">
        <is>
          <t>SYC</t>
        </is>
      </c>
      <c r="C2046" s="3" t="n">
        <v>2005</v>
      </c>
      <c r="D2046" s="3" t="inlineStr">
        <is>
          <t>Overall</t>
        </is>
      </c>
      <c r="E2046" s="3" t="inlineStr">
        <is>
          <t>Deciles</t>
        </is>
      </c>
      <c r="F2046" s="3" t="inlineStr">
        <is>
          <t>mean</t>
        </is>
      </c>
      <c r="G2046" s="3" t="n">
        <v>8</v>
      </c>
      <c r="H2046" s="3" t="n">
        <v>-0.7819935831617801</v>
      </c>
      <c r="I2046" s="3" t="n">
        <v>-0.7819935831617801</v>
      </c>
      <c r="J2046" s="3" t="n">
        <v>-0.8477488045996808</v>
      </c>
      <c r="K2046" s="3" t="n">
        <v>-0.8477488045996808</v>
      </c>
      <c r="L2046" s="3" t="n">
        <v>-0.7819935831617801</v>
      </c>
      <c r="M2046" s="3" t="n">
        <v>-0.7819935831617801</v>
      </c>
      <c r="N2046" s="3" t="n">
        <v>-0.7819935831617801</v>
      </c>
      <c r="O2046" s="3" t="n">
        <v>-0.7819935831617801</v>
      </c>
      <c r="P2046" s="3" t="n">
        <v>-0.7819935831617801</v>
      </c>
      <c r="Q2046" s="3" t="n">
        <v>-0.7819935831617801</v>
      </c>
      <c r="R2046" s="3" t="n">
        <v>-0.7700191178220384</v>
      </c>
      <c r="S2046" s="3" t="n">
        <v>-0.9684819490351575</v>
      </c>
      <c r="T2046" s="3" t="n">
        <v>-0.70814722142321</v>
      </c>
      <c r="U2046" s="3" t="n">
        <v>-0.8477488045996808</v>
      </c>
      <c r="V2046" s="3" t="n">
        <v>-0.6756977857427394</v>
      </c>
      <c r="W2046" s="3" t="n">
        <v>-0.4928101326556916</v>
      </c>
      <c r="X2046" s="3" t="n">
        <v>-0.9658704755154062</v>
      </c>
      <c r="Y2046" s="3" t="n">
        <v>-0.7819935831617801</v>
      </c>
      <c r="Z2046" s="3" t="n">
        <v>-0.9684819490351575</v>
      </c>
      <c r="AA2046" s="3" t="n">
        <v>-0.9684819490351575</v>
      </c>
      <c r="AB2046" s="3" t="n">
        <v>-0.9658704755154062</v>
      </c>
      <c r="AC2046" s="3" t="n">
        <v>-1.04035159628442</v>
      </c>
      <c r="AD2046" s="3" t="n">
        <v>-0.8477488045996808</v>
      </c>
      <c r="AE2046" s="3" t="n">
        <v>-0.8477488045996808</v>
      </c>
    </row>
    <row r="2047">
      <c r="A2047" s="3" t="inlineStr">
        <is>
          <t>SYC.distn.dec.ove.mean.9</t>
        </is>
      </c>
      <c r="B2047" s="3" t="inlineStr">
        <is>
          <t>SYC</t>
        </is>
      </c>
      <c r="C2047" s="3" t="n">
        <v>2005</v>
      </c>
      <c r="D2047" s="3" t="inlineStr">
        <is>
          <t>Overall</t>
        </is>
      </c>
      <c r="E2047" s="3" t="inlineStr">
        <is>
          <t>Deciles</t>
        </is>
      </c>
      <c r="F2047" s="3" t="inlineStr">
        <is>
          <t>mean</t>
        </is>
      </c>
      <c r="G2047" s="3" t="n">
        <v>9</v>
      </c>
      <c r="H2047" s="3" t="n">
        <v>-0.7819935831617801</v>
      </c>
      <c r="I2047" s="3" t="n">
        <v>-0.7819935831617801</v>
      </c>
      <c r="J2047" s="3" t="n">
        <v>-0.8477488045996808</v>
      </c>
      <c r="K2047" s="3" t="n">
        <v>-0.8477488045996808</v>
      </c>
      <c r="L2047" s="3" t="n">
        <v>-0.7819935831617801</v>
      </c>
      <c r="M2047" s="3" t="n">
        <v>-0.7819935831617801</v>
      </c>
      <c r="N2047" s="3" t="n">
        <v>-0.7819935831617801</v>
      </c>
      <c r="O2047" s="3" t="n">
        <v>-0.7819935831617801</v>
      </c>
      <c r="P2047" s="3" t="n">
        <v>-0.7819935831617801</v>
      </c>
      <c r="Q2047" s="3" t="n">
        <v>-0.7819935831617801</v>
      </c>
      <c r="R2047" s="3" t="n">
        <v>-0.7700191178220384</v>
      </c>
      <c r="S2047" s="3" t="n">
        <v>-0.9684819490351575</v>
      </c>
      <c r="T2047" s="3" t="n">
        <v>-0.70814722142321</v>
      </c>
      <c r="U2047" s="3" t="n">
        <v>-0.8477488045996808</v>
      </c>
      <c r="V2047" s="3" t="n">
        <v>-0.6756977857427394</v>
      </c>
      <c r="W2047" s="3" t="n">
        <v>-0.4928101326556916</v>
      </c>
      <c r="X2047" s="3" t="n">
        <v>-0.9658704755154062</v>
      </c>
      <c r="Y2047" s="3" t="n">
        <v>-0.7819935831617801</v>
      </c>
      <c r="Z2047" s="3" t="n">
        <v>-0.9684819490351575</v>
      </c>
      <c r="AA2047" s="3" t="n">
        <v>-0.9684819490351575</v>
      </c>
      <c r="AB2047" s="3" t="n">
        <v>-0.9658704755154062</v>
      </c>
      <c r="AC2047" s="3" t="n">
        <v>-1.04035159628442</v>
      </c>
      <c r="AD2047" s="3" t="n">
        <v>-0.8477488045996808</v>
      </c>
      <c r="AE2047" s="3" t="n">
        <v>-0.8477488045996808</v>
      </c>
    </row>
    <row r="2048">
      <c r="A2048" s="3" t="inlineStr">
        <is>
          <t>SYC.distn.dec.ove.mean.10</t>
        </is>
      </c>
      <c r="B2048" s="3" t="inlineStr">
        <is>
          <t>SYC</t>
        </is>
      </c>
      <c r="C2048" s="3" t="n">
        <v>2005</v>
      </c>
      <c r="D2048" s="3" t="inlineStr">
        <is>
          <t>Overall</t>
        </is>
      </c>
      <c r="E2048" s="3" t="inlineStr">
        <is>
          <t>Deciles</t>
        </is>
      </c>
      <c r="F2048" s="3" t="inlineStr">
        <is>
          <t>mean</t>
        </is>
      </c>
      <c r="G2048" s="3" t="n">
        <v>10</v>
      </c>
      <c r="H2048" s="3" t="n">
        <v>-0.7819935831617801</v>
      </c>
      <c r="I2048" s="3" t="n">
        <v>-0.7819935831617801</v>
      </c>
      <c r="J2048" s="3" t="n">
        <v>-0.8477488045996808</v>
      </c>
      <c r="K2048" s="3" t="n">
        <v>-0.8477488045996808</v>
      </c>
      <c r="L2048" s="3" t="n">
        <v>-0.7819935831617801</v>
      </c>
      <c r="M2048" s="3" t="n">
        <v>-0.7819935831617801</v>
      </c>
      <c r="N2048" s="3" t="n">
        <v>-0.7819935831617801</v>
      </c>
      <c r="O2048" s="3" t="n">
        <v>-0.7819935831617801</v>
      </c>
      <c r="P2048" s="3" t="n">
        <v>-0.7819935831617801</v>
      </c>
      <c r="Q2048" s="3" t="n">
        <v>-0.7819935831617801</v>
      </c>
      <c r="R2048" s="3" t="n">
        <v>-0.7700191178220384</v>
      </c>
      <c r="S2048" s="3" t="n">
        <v>-0.9684819490351575</v>
      </c>
      <c r="T2048" s="3" t="n">
        <v>-0.70814722142321</v>
      </c>
      <c r="U2048" s="3" t="n">
        <v>-0.8477488045996808</v>
      </c>
      <c r="V2048" s="3" t="n">
        <v>-0.6756977857427394</v>
      </c>
      <c r="W2048" s="3" t="n">
        <v>-0.4928101326556916</v>
      </c>
      <c r="X2048" s="3" t="n">
        <v>-0.9658704755154062</v>
      </c>
      <c r="Y2048" s="3" t="n">
        <v>-0.7819935831617801</v>
      </c>
      <c r="Z2048" s="3" t="n">
        <v>-0.9684819490351575</v>
      </c>
      <c r="AA2048" s="3" t="n">
        <v>-0.9684819490351575</v>
      </c>
      <c r="AB2048" s="3" t="n">
        <v>-0.9658704755154062</v>
      </c>
      <c r="AC2048" s="3" t="n">
        <v>-1.04035159628442</v>
      </c>
      <c r="AD2048" s="3" t="n">
        <v>-0.8477488045996808</v>
      </c>
      <c r="AE2048" s="3" t="n">
        <v>-0.8477488045996808</v>
      </c>
    </row>
    <row r="2049">
      <c r="A2049" s="3" t="inlineStr">
        <is>
          <t>SYC.distn.bkt.ove.mean.9999</t>
        </is>
      </c>
      <c r="B2049" s="3" t="inlineStr">
        <is>
          <t>SYC</t>
        </is>
      </c>
      <c r="C2049" s="3" t="n">
        <v>2005</v>
      </c>
      <c r="D2049" s="3" t="inlineStr">
        <is>
          <t>Overall</t>
        </is>
      </c>
      <c r="E2049" s="3" t="inlineStr">
        <is>
          <t>Basket</t>
        </is>
      </c>
      <c r="F2049" s="3" t="inlineStr">
        <is>
          <t>mean</t>
        </is>
      </c>
      <c r="G2049" s="3" t="n">
        <v>9999</v>
      </c>
      <c r="H2049" s="3" t="n">
        <v>-0.7836013613863194</v>
      </c>
      <c r="I2049" s="3" t="n">
        <v>-0.7836013613863194</v>
      </c>
      <c r="J2049" s="3" t="n">
        <v>-0.8590307616172953</v>
      </c>
      <c r="K2049" s="3" t="n">
        <v>-0.8590307616172953</v>
      </c>
      <c r="L2049" s="3" t="n">
        <v>-0.7836013613863194</v>
      </c>
      <c r="M2049" s="3" t="n">
        <v>-0.7836013613863194</v>
      </c>
      <c r="N2049" s="3" t="n">
        <v>-0.7836013613863194</v>
      </c>
      <c r="O2049" s="3" t="n">
        <v>-0.7836013613863194</v>
      </c>
      <c r="P2049" s="3" t="n">
        <v>-0.7836013613863194</v>
      </c>
      <c r="Q2049" s="3" t="n">
        <v>-0.7836013613863194</v>
      </c>
      <c r="R2049" s="3" t="n">
        <v>-0.7708828220976159</v>
      </c>
      <c r="S2049" s="3" t="n">
        <v>-1.097007578991829</v>
      </c>
      <c r="T2049" s="3" t="n">
        <v>-0.7085544974245923</v>
      </c>
      <c r="U2049" s="3" t="n">
        <v>-0.8590307616172953</v>
      </c>
      <c r="V2049" s="3" t="n">
        <v>-0.6772896647453308</v>
      </c>
      <c r="W2049" s="3" t="n">
        <v>-0.5109122699879586</v>
      </c>
      <c r="X2049" s="3" t="n">
        <v>-1.079493910708326</v>
      </c>
      <c r="Y2049" s="3" t="n">
        <v>-0.7836013613863194</v>
      </c>
      <c r="Z2049" s="3" t="n">
        <v>-1.097007578991829</v>
      </c>
      <c r="AA2049" s="3" t="n">
        <v>-1.097007578991829</v>
      </c>
      <c r="AB2049" s="3" t="n">
        <v>-1.079493910708326</v>
      </c>
      <c r="AC2049" s="3" t="n">
        <v>-1.359592239907447</v>
      </c>
      <c r="AD2049" s="3" t="n">
        <v>-0.8590307616172953</v>
      </c>
      <c r="AE2049" s="3" t="n">
        <v>-0.8590307616172953</v>
      </c>
    </row>
    <row r="2050">
      <c r="A2050" s="3" t="inlineStr">
        <is>
          <t>SYR.distn.dec.ove.mean.1</t>
        </is>
      </c>
      <c r="B2050" s="3" t="inlineStr">
        <is>
          <t>SYR</t>
        </is>
      </c>
      <c r="C2050" s="3" t="n">
        <v>2005</v>
      </c>
      <c r="D2050" s="3" t="inlineStr">
        <is>
          <t>Overall</t>
        </is>
      </c>
      <c r="E2050" s="3" t="inlineStr">
        <is>
          <t>Deciles</t>
        </is>
      </c>
      <c r="F2050" s="3" t="inlineStr">
        <is>
          <t>mean</t>
        </is>
      </c>
      <c r="G2050" s="3" t="n">
        <v>1</v>
      </c>
      <c r="H2050" s="3" t="n">
        <v>-0.7912648916244507</v>
      </c>
      <c r="I2050" s="3" t="n">
        <v>-0.7912648916244507</v>
      </c>
      <c r="J2050" s="3" t="n">
        <v>-0.9089199304580688</v>
      </c>
      <c r="K2050" s="3" t="n">
        <v>-0.9089199304580688</v>
      </c>
      <c r="L2050" s="3" t="n">
        <v>-0.7912648916244507</v>
      </c>
      <c r="M2050" s="3" t="n">
        <v>-0.7912648916244507</v>
      </c>
      <c r="N2050" s="3" t="n">
        <v>-0.7912648916244507</v>
      </c>
      <c r="O2050" s="3" t="n">
        <v>-0.7912648916244507</v>
      </c>
      <c r="P2050" s="3" t="n">
        <v>-0.7912648916244507</v>
      </c>
      <c r="Q2050" s="3" t="n">
        <v>-0.7912648916244507</v>
      </c>
      <c r="R2050" s="3" t="n">
        <v>-0.775479793548584</v>
      </c>
      <c r="S2050" s="3" t="n">
        <v>-1.54893970489502</v>
      </c>
      <c r="T2050" s="3" t="n">
        <v>-0.7104546427726746</v>
      </c>
      <c r="U2050" s="3" t="n">
        <v>-0.9089199304580688</v>
      </c>
      <c r="V2050" s="3" t="n">
        <v>-0.6859755516052246</v>
      </c>
      <c r="W2050" s="3" t="n">
        <v>-0.6487595438957214</v>
      </c>
      <c r="X2050" s="3" t="n">
        <v>-1.489227414131165</v>
      </c>
      <c r="Y2050" s="3" t="n">
        <v>-0.7912648916244507</v>
      </c>
      <c r="Z2050" s="3" t="n">
        <v>-1.54893970489502</v>
      </c>
      <c r="AA2050" s="3" t="n">
        <v>-1.54893970489502</v>
      </c>
      <c r="AB2050" s="3" t="n">
        <v>-1.489227414131165</v>
      </c>
      <c r="AC2050" s="3" t="n">
        <v>-2.499365329742432</v>
      </c>
      <c r="AD2050" s="3" t="n">
        <v>-0.9089199304580688</v>
      </c>
      <c r="AE2050" s="3" t="n">
        <v>-0.9089199304580688</v>
      </c>
    </row>
    <row r="2051">
      <c r="A2051" s="3" t="inlineStr">
        <is>
          <t>SYR.distn.dec.ove.mean.2</t>
        </is>
      </c>
      <c r="B2051" s="3" t="inlineStr">
        <is>
          <t>SYR</t>
        </is>
      </c>
      <c r="C2051" s="3" t="n">
        <v>2005</v>
      </c>
      <c r="D2051" s="3" t="inlineStr">
        <is>
          <t>Overall</t>
        </is>
      </c>
      <c r="E2051" s="3" t="inlineStr">
        <is>
          <t>Deciles</t>
        </is>
      </c>
      <c r="F2051" s="3" t="inlineStr">
        <is>
          <t>mean</t>
        </is>
      </c>
      <c r="G2051" s="3" t="n">
        <v>2</v>
      </c>
      <c r="H2051" s="3" t="n">
        <v>-0.7912648916244507</v>
      </c>
      <c r="I2051" s="3" t="n">
        <v>-0.7912648916244507</v>
      </c>
      <c r="J2051" s="3" t="n">
        <v>-0.9089199304580688</v>
      </c>
      <c r="K2051" s="3" t="n">
        <v>-0.9089199304580688</v>
      </c>
      <c r="L2051" s="3" t="n">
        <v>-0.7912648916244507</v>
      </c>
      <c r="M2051" s="3" t="n">
        <v>-0.7912648916244507</v>
      </c>
      <c r="N2051" s="3" t="n">
        <v>-0.7912648916244507</v>
      </c>
      <c r="O2051" s="3" t="n">
        <v>-0.7912648916244507</v>
      </c>
      <c r="P2051" s="3" t="n">
        <v>-0.7912648916244507</v>
      </c>
      <c r="Q2051" s="3" t="n">
        <v>-0.7912648916244507</v>
      </c>
      <c r="R2051" s="3" t="n">
        <v>-0.775479793548584</v>
      </c>
      <c r="S2051" s="3" t="n">
        <v>-1.54893970489502</v>
      </c>
      <c r="T2051" s="3" t="n">
        <v>-0.7104546427726746</v>
      </c>
      <c r="U2051" s="3" t="n">
        <v>-0.9089199304580688</v>
      </c>
      <c r="V2051" s="3" t="n">
        <v>-0.6859755516052246</v>
      </c>
      <c r="W2051" s="3" t="n">
        <v>-0.6487595438957214</v>
      </c>
      <c r="X2051" s="3" t="n">
        <v>-1.489227414131165</v>
      </c>
      <c r="Y2051" s="3" t="n">
        <v>-0.7912648916244507</v>
      </c>
      <c r="Z2051" s="3" t="n">
        <v>-1.54893970489502</v>
      </c>
      <c r="AA2051" s="3" t="n">
        <v>-1.54893970489502</v>
      </c>
      <c r="AB2051" s="3" t="n">
        <v>-1.489227414131165</v>
      </c>
      <c r="AC2051" s="3" t="n">
        <v>-2.499365329742432</v>
      </c>
      <c r="AD2051" s="3" t="n">
        <v>-0.9089199304580688</v>
      </c>
      <c r="AE2051" s="3" t="n">
        <v>-0.9089199304580688</v>
      </c>
    </row>
    <row r="2052">
      <c r="A2052" s="3" t="inlineStr">
        <is>
          <t>SYR.distn.dec.ove.mean.3</t>
        </is>
      </c>
      <c r="B2052" s="3" t="inlineStr">
        <is>
          <t>SYR</t>
        </is>
      </c>
      <c r="C2052" s="3" t="n">
        <v>2005</v>
      </c>
      <c r="D2052" s="3" t="inlineStr">
        <is>
          <t>Overall</t>
        </is>
      </c>
      <c r="E2052" s="3" t="inlineStr">
        <is>
          <t>Deciles</t>
        </is>
      </c>
      <c r="F2052" s="3" t="inlineStr">
        <is>
          <t>mean</t>
        </is>
      </c>
      <c r="G2052" s="3" t="n">
        <v>3</v>
      </c>
      <c r="H2052" s="3" t="n">
        <v>-0.7912648916244507</v>
      </c>
      <c r="I2052" s="3" t="n">
        <v>-0.7912648916244507</v>
      </c>
      <c r="J2052" s="3" t="n">
        <v>-0.9089199304580688</v>
      </c>
      <c r="K2052" s="3" t="n">
        <v>-0.9089199304580688</v>
      </c>
      <c r="L2052" s="3" t="n">
        <v>-0.7912648916244507</v>
      </c>
      <c r="M2052" s="3" t="n">
        <v>-0.7912648916244507</v>
      </c>
      <c r="N2052" s="3" t="n">
        <v>-0.7912648916244507</v>
      </c>
      <c r="O2052" s="3" t="n">
        <v>-0.7912648916244507</v>
      </c>
      <c r="P2052" s="3" t="n">
        <v>-0.7912648916244507</v>
      </c>
      <c r="Q2052" s="3" t="n">
        <v>-0.7912648916244507</v>
      </c>
      <c r="R2052" s="3" t="n">
        <v>-0.775479793548584</v>
      </c>
      <c r="S2052" s="3" t="n">
        <v>-1.54893970489502</v>
      </c>
      <c r="T2052" s="3" t="n">
        <v>-0.7104546427726746</v>
      </c>
      <c r="U2052" s="3" t="n">
        <v>-0.9089199304580688</v>
      </c>
      <c r="V2052" s="3" t="n">
        <v>-0.6859755516052246</v>
      </c>
      <c r="W2052" s="3" t="n">
        <v>-0.6487595438957214</v>
      </c>
      <c r="X2052" s="3" t="n">
        <v>-1.489227414131165</v>
      </c>
      <c r="Y2052" s="3" t="n">
        <v>-0.7912648916244507</v>
      </c>
      <c r="Z2052" s="3" t="n">
        <v>-1.54893970489502</v>
      </c>
      <c r="AA2052" s="3" t="n">
        <v>-1.54893970489502</v>
      </c>
      <c r="AB2052" s="3" t="n">
        <v>-1.489227414131165</v>
      </c>
      <c r="AC2052" s="3" t="n">
        <v>-2.499365329742432</v>
      </c>
      <c r="AD2052" s="3" t="n">
        <v>-0.9089199304580688</v>
      </c>
      <c r="AE2052" s="3" t="n">
        <v>-0.9089199304580688</v>
      </c>
    </row>
    <row r="2053">
      <c r="A2053" s="3" t="inlineStr">
        <is>
          <t>SYR.distn.dec.ove.mean.4</t>
        </is>
      </c>
      <c r="B2053" s="3" t="inlineStr">
        <is>
          <t>SYR</t>
        </is>
      </c>
      <c r="C2053" s="3" t="n">
        <v>2005</v>
      </c>
      <c r="D2053" s="3" t="inlineStr">
        <is>
          <t>Overall</t>
        </is>
      </c>
      <c r="E2053" s="3" t="inlineStr">
        <is>
          <t>Deciles</t>
        </is>
      </c>
      <c r="F2053" s="3" t="inlineStr">
        <is>
          <t>mean</t>
        </is>
      </c>
      <c r="G2053" s="3" t="n">
        <v>4</v>
      </c>
      <c r="H2053" s="3" t="n">
        <v>-0.7850000262260437</v>
      </c>
      <c r="I2053" s="3" t="n">
        <v>-0.7850000262260437</v>
      </c>
      <c r="J2053" s="3" t="n">
        <v>-0.8650000095367432</v>
      </c>
      <c r="K2053" s="3" t="n">
        <v>-0.8650000095367432</v>
      </c>
      <c r="L2053" s="3" t="n">
        <v>-0.7850000262260437</v>
      </c>
      <c r="M2053" s="3" t="n">
        <v>-0.7850000262260437</v>
      </c>
      <c r="N2053" s="3" t="n">
        <v>-0.7850000262260437</v>
      </c>
      <c r="O2053" s="3" t="n">
        <v>-0.7850000262260437</v>
      </c>
      <c r="P2053" s="3" t="n">
        <v>-0.7850000262260437</v>
      </c>
      <c r="Q2053" s="3" t="n">
        <v>-0.7850000262260437</v>
      </c>
      <c r="R2053" s="3" t="n">
        <v>-0.7720000147819519</v>
      </c>
      <c r="S2053" s="3" t="n">
        <v>-1.054999947547913</v>
      </c>
      <c r="T2053" s="3" t="n">
        <v>-0.7089999914169312</v>
      </c>
      <c r="U2053" s="3" t="n">
        <v>-0.8650000095367432</v>
      </c>
      <c r="V2053" s="3" t="n">
        <v>-0.6790000200271606</v>
      </c>
      <c r="W2053" s="3" t="n">
        <v>-0.5460000038146973</v>
      </c>
      <c r="X2053" s="3" t="n">
        <v>-1.050999999046326</v>
      </c>
      <c r="Y2053" s="3" t="n">
        <v>-0.7850000262260437</v>
      </c>
      <c r="Z2053" s="3" t="n">
        <v>-1.054999947547913</v>
      </c>
      <c r="AA2053" s="3" t="n">
        <v>-1.054999947547913</v>
      </c>
      <c r="AB2053" s="3" t="n">
        <v>-1.050999999046326</v>
      </c>
      <c r="AC2053" s="3" t="n">
        <v>-1.207000017166138</v>
      </c>
      <c r="AD2053" s="3" t="n">
        <v>-0.8650000095367432</v>
      </c>
      <c r="AE2053" s="3" t="n">
        <v>-0.8650000095367432</v>
      </c>
    </row>
    <row r="2054">
      <c r="A2054" s="3" t="inlineStr">
        <is>
          <t>SYR.distn.dec.ove.mean.5</t>
        </is>
      </c>
      <c r="B2054" s="3" t="inlineStr">
        <is>
          <t>SYR</t>
        </is>
      </c>
      <c r="C2054" s="3" t="n">
        <v>2005</v>
      </c>
      <c r="D2054" s="3" t="inlineStr">
        <is>
          <t>Overall</t>
        </is>
      </c>
      <c r="E2054" s="3" t="inlineStr">
        <is>
          <t>Deciles</t>
        </is>
      </c>
      <c r="F2054" s="3" t="inlineStr">
        <is>
          <t>mean</t>
        </is>
      </c>
      <c r="G2054" s="3" t="n">
        <v>5</v>
      </c>
      <c r="H2054" s="3" t="n">
        <v>-0.7850000262260437</v>
      </c>
      <c r="I2054" s="3" t="n">
        <v>-0.7850000262260437</v>
      </c>
      <c r="J2054" s="3" t="n">
        <v>-0.8650000095367432</v>
      </c>
      <c r="K2054" s="3" t="n">
        <v>-0.8650000095367432</v>
      </c>
      <c r="L2054" s="3" t="n">
        <v>-0.7850000262260437</v>
      </c>
      <c r="M2054" s="3" t="n">
        <v>-0.7850000262260437</v>
      </c>
      <c r="N2054" s="3" t="n">
        <v>-0.7850000262260437</v>
      </c>
      <c r="O2054" s="3" t="n">
        <v>-0.7850000262260437</v>
      </c>
      <c r="P2054" s="3" t="n">
        <v>-0.7850000262260437</v>
      </c>
      <c r="Q2054" s="3" t="n">
        <v>-0.7850000262260437</v>
      </c>
      <c r="R2054" s="3" t="n">
        <v>-0.7720000147819519</v>
      </c>
      <c r="S2054" s="3" t="n">
        <v>-1.054999947547913</v>
      </c>
      <c r="T2054" s="3" t="n">
        <v>-0.7089999914169312</v>
      </c>
      <c r="U2054" s="3" t="n">
        <v>-0.8650000095367432</v>
      </c>
      <c r="V2054" s="3" t="n">
        <v>-0.6790000200271606</v>
      </c>
      <c r="W2054" s="3" t="n">
        <v>-0.5460000038146973</v>
      </c>
      <c r="X2054" s="3" t="n">
        <v>-1.050999999046326</v>
      </c>
      <c r="Y2054" s="3" t="n">
        <v>-0.7850000262260437</v>
      </c>
      <c r="Z2054" s="3" t="n">
        <v>-1.054999947547913</v>
      </c>
      <c r="AA2054" s="3" t="n">
        <v>-1.054999947547913</v>
      </c>
      <c r="AB2054" s="3" t="n">
        <v>-1.050999999046326</v>
      </c>
      <c r="AC2054" s="3" t="n">
        <v>-1.207000017166138</v>
      </c>
      <c r="AD2054" s="3" t="n">
        <v>-0.8650000095367432</v>
      </c>
      <c r="AE2054" s="3" t="n">
        <v>-0.8650000095367432</v>
      </c>
    </row>
    <row r="2055">
      <c r="A2055" s="3" t="inlineStr">
        <is>
          <t>SYR.distn.dec.ove.mean.6</t>
        </is>
      </c>
      <c r="B2055" s="3" t="inlineStr">
        <is>
          <t>SYR</t>
        </is>
      </c>
      <c r="C2055" s="3" t="n">
        <v>2005</v>
      </c>
      <c r="D2055" s="3" t="inlineStr">
        <is>
          <t>Overall</t>
        </is>
      </c>
      <c r="E2055" s="3" t="inlineStr">
        <is>
          <t>Deciles</t>
        </is>
      </c>
      <c r="F2055" s="3" t="inlineStr">
        <is>
          <t>mean</t>
        </is>
      </c>
      <c r="G2055" s="3" t="n">
        <v>6</v>
      </c>
      <c r="H2055" s="3" t="n">
        <v>-0.7850000262260437</v>
      </c>
      <c r="I2055" s="3" t="n">
        <v>-0.7850000262260437</v>
      </c>
      <c r="J2055" s="3" t="n">
        <v>-0.8650000095367432</v>
      </c>
      <c r="K2055" s="3" t="n">
        <v>-0.8650000095367432</v>
      </c>
      <c r="L2055" s="3" t="n">
        <v>-0.7850000262260437</v>
      </c>
      <c r="M2055" s="3" t="n">
        <v>-0.7850000262260437</v>
      </c>
      <c r="N2055" s="3" t="n">
        <v>-0.7850000262260437</v>
      </c>
      <c r="O2055" s="3" t="n">
        <v>-0.7850000262260437</v>
      </c>
      <c r="P2055" s="3" t="n">
        <v>-0.7850000262260437</v>
      </c>
      <c r="Q2055" s="3" t="n">
        <v>-0.7850000262260437</v>
      </c>
      <c r="R2055" s="3" t="n">
        <v>-0.7720000147819519</v>
      </c>
      <c r="S2055" s="3" t="n">
        <v>-1.054999947547913</v>
      </c>
      <c r="T2055" s="3" t="n">
        <v>-0.7089999914169312</v>
      </c>
      <c r="U2055" s="3" t="n">
        <v>-0.8650000095367432</v>
      </c>
      <c r="V2055" s="3" t="n">
        <v>-0.6790000200271606</v>
      </c>
      <c r="W2055" s="3" t="n">
        <v>-0.5460000038146973</v>
      </c>
      <c r="X2055" s="3" t="n">
        <v>-1.050999999046326</v>
      </c>
      <c r="Y2055" s="3" t="n">
        <v>-0.7850000262260437</v>
      </c>
      <c r="Z2055" s="3" t="n">
        <v>-1.054999947547913</v>
      </c>
      <c r="AA2055" s="3" t="n">
        <v>-1.054999947547913</v>
      </c>
      <c r="AB2055" s="3" t="n">
        <v>-1.050999999046326</v>
      </c>
      <c r="AC2055" s="3" t="n">
        <v>-1.207000017166138</v>
      </c>
      <c r="AD2055" s="3" t="n">
        <v>-0.8650000095367432</v>
      </c>
      <c r="AE2055" s="3" t="n">
        <v>-0.8650000095367432</v>
      </c>
    </row>
    <row r="2056">
      <c r="A2056" s="3" t="inlineStr">
        <is>
          <t>SYR.distn.dec.ove.mean.7</t>
        </is>
      </c>
      <c r="B2056" s="3" t="inlineStr">
        <is>
          <t>SYR</t>
        </is>
      </c>
      <c r="C2056" s="3" t="n">
        <v>2005</v>
      </c>
      <c r="D2056" s="3" t="inlineStr">
        <is>
          <t>Overall</t>
        </is>
      </c>
      <c r="E2056" s="3" t="inlineStr">
        <is>
          <t>Deciles</t>
        </is>
      </c>
      <c r="F2056" s="3" t="inlineStr">
        <is>
          <t>mean</t>
        </is>
      </c>
      <c r="G2056" s="3" t="n">
        <v>7</v>
      </c>
      <c r="H2056" s="3" t="n">
        <v>-0.7850000262260437</v>
      </c>
      <c r="I2056" s="3" t="n">
        <v>-0.7850000262260437</v>
      </c>
      <c r="J2056" s="3" t="n">
        <v>-0.8650000095367432</v>
      </c>
      <c r="K2056" s="3" t="n">
        <v>-0.8650000095367432</v>
      </c>
      <c r="L2056" s="3" t="n">
        <v>-0.7850000262260437</v>
      </c>
      <c r="M2056" s="3" t="n">
        <v>-0.7850000262260437</v>
      </c>
      <c r="N2056" s="3" t="n">
        <v>-0.7850000262260437</v>
      </c>
      <c r="O2056" s="3" t="n">
        <v>-0.7850000262260437</v>
      </c>
      <c r="P2056" s="3" t="n">
        <v>-0.7850000262260437</v>
      </c>
      <c r="Q2056" s="3" t="n">
        <v>-0.7850000262260437</v>
      </c>
      <c r="R2056" s="3" t="n">
        <v>-0.7720000147819519</v>
      </c>
      <c r="S2056" s="3" t="n">
        <v>-1.054999947547913</v>
      </c>
      <c r="T2056" s="3" t="n">
        <v>-0.7089999914169312</v>
      </c>
      <c r="U2056" s="3" t="n">
        <v>-0.8650000095367432</v>
      </c>
      <c r="V2056" s="3" t="n">
        <v>-0.6790000200271606</v>
      </c>
      <c r="W2056" s="3" t="n">
        <v>-0.5460000038146973</v>
      </c>
      <c r="X2056" s="3" t="n">
        <v>-1.050999999046326</v>
      </c>
      <c r="Y2056" s="3" t="n">
        <v>-0.7850000262260437</v>
      </c>
      <c r="Z2056" s="3" t="n">
        <v>-1.054999947547913</v>
      </c>
      <c r="AA2056" s="3" t="n">
        <v>-1.054999947547913</v>
      </c>
      <c r="AB2056" s="3" t="n">
        <v>-1.050999999046326</v>
      </c>
      <c r="AC2056" s="3" t="n">
        <v>-1.207000017166138</v>
      </c>
      <c r="AD2056" s="3" t="n">
        <v>-0.8650000095367432</v>
      </c>
      <c r="AE2056" s="3" t="n">
        <v>-0.8650000095367432</v>
      </c>
    </row>
    <row r="2057">
      <c r="A2057" s="3" t="inlineStr">
        <is>
          <t>SYR.distn.dec.ove.mean.8</t>
        </is>
      </c>
      <c r="B2057" s="3" t="inlineStr">
        <is>
          <t>SYR</t>
        </is>
      </c>
      <c r="C2057" s="3" t="n">
        <v>2005</v>
      </c>
      <c r="D2057" s="3" t="inlineStr">
        <is>
          <t>Overall</t>
        </is>
      </c>
      <c r="E2057" s="3" t="inlineStr">
        <is>
          <t>Deciles</t>
        </is>
      </c>
      <c r="F2057" s="3" t="inlineStr">
        <is>
          <t>mean</t>
        </is>
      </c>
      <c r="G2057" s="3" t="n">
        <v>8</v>
      </c>
      <c r="H2057" s="3" t="n">
        <v>-0.7853782176971436</v>
      </c>
      <c r="I2057" s="3" t="n">
        <v>-0.7853782176971436</v>
      </c>
      <c r="J2057" s="3" t="n">
        <v>-0.8673334121704102</v>
      </c>
      <c r="K2057" s="3" t="n">
        <v>-0.8673334121704102</v>
      </c>
      <c r="L2057" s="3" t="n">
        <v>-0.7853782176971436</v>
      </c>
      <c r="M2057" s="3" t="n">
        <v>-0.7853782176971436</v>
      </c>
      <c r="N2057" s="3" t="n">
        <v>-0.7853782176971436</v>
      </c>
      <c r="O2057" s="3" t="n">
        <v>-0.7853782176971436</v>
      </c>
      <c r="P2057" s="3" t="n">
        <v>-0.7853782176971436</v>
      </c>
      <c r="Q2057" s="3" t="n">
        <v>-0.7853782176971436</v>
      </c>
      <c r="R2057" s="3" t="n">
        <v>-0.7722538709640503</v>
      </c>
      <c r="S2057" s="3" t="n">
        <v>-1.064816951751709</v>
      </c>
      <c r="T2057" s="3" t="n">
        <v>-0.7090408802032471</v>
      </c>
      <c r="U2057" s="3" t="n">
        <v>-0.8673334121704102</v>
      </c>
      <c r="V2057" s="3" t="n">
        <v>-0.6797019243240356</v>
      </c>
      <c r="W2057" s="3" t="n">
        <v>-0.5606212019920349</v>
      </c>
      <c r="X2057" s="3" t="n">
        <v>-1.060576677322388</v>
      </c>
      <c r="Y2057" s="3" t="n">
        <v>-0.7853782176971436</v>
      </c>
      <c r="Z2057" s="3" t="n">
        <v>-1.064816951751709</v>
      </c>
      <c r="AA2057" s="3" t="n">
        <v>-1.064816951751709</v>
      </c>
      <c r="AB2057" s="3" t="n">
        <v>-1.060576677322388</v>
      </c>
      <c r="AC2057" s="3" t="n">
        <v>-1.224213480949402</v>
      </c>
      <c r="AD2057" s="3" t="n">
        <v>-0.8673334121704102</v>
      </c>
      <c r="AE2057" s="3" t="n">
        <v>-0.8673334121704102</v>
      </c>
    </row>
    <row r="2058">
      <c r="A2058" s="3" t="inlineStr">
        <is>
          <t>SYR.distn.dec.ove.mean.9</t>
        </is>
      </c>
      <c r="B2058" s="3" t="inlineStr">
        <is>
          <t>SYR</t>
        </is>
      </c>
      <c r="C2058" s="3" t="n">
        <v>2005</v>
      </c>
      <c r="D2058" s="3" t="inlineStr">
        <is>
          <t>Overall</t>
        </is>
      </c>
      <c r="E2058" s="3" t="inlineStr">
        <is>
          <t>Deciles</t>
        </is>
      </c>
      <c r="F2058" s="3" t="inlineStr">
        <is>
          <t>mean</t>
        </is>
      </c>
      <c r="G2058" s="3" t="n">
        <v>9</v>
      </c>
      <c r="H2058" s="3" t="n">
        <v>-0.7853782176971436</v>
      </c>
      <c r="I2058" s="3" t="n">
        <v>-0.7853782176971436</v>
      </c>
      <c r="J2058" s="3" t="n">
        <v>-0.8673334121704102</v>
      </c>
      <c r="K2058" s="3" t="n">
        <v>-0.8673334121704102</v>
      </c>
      <c r="L2058" s="3" t="n">
        <v>-0.7853782176971436</v>
      </c>
      <c r="M2058" s="3" t="n">
        <v>-0.7853782176971436</v>
      </c>
      <c r="N2058" s="3" t="n">
        <v>-0.7853782176971436</v>
      </c>
      <c r="O2058" s="3" t="n">
        <v>-0.7853782176971436</v>
      </c>
      <c r="P2058" s="3" t="n">
        <v>-0.7853782176971436</v>
      </c>
      <c r="Q2058" s="3" t="n">
        <v>-0.7853782176971436</v>
      </c>
      <c r="R2058" s="3" t="n">
        <v>-0.7722538709640503</v>
      </c>
      <c r="S2058" s="3" t="n">
        <v>-1.064816951751709</v>
      </c>
      <c r="T2058" s="3" t="n">
        <v>-0.7090408802032471</v>
      </c>
      <c r="U2058" s="3" t="n">
        <v>-0.8673334121704102</v>
      </c>
      <c r="V2058" s="3" t="n">
        <v>-0.6797019243240356</v>
      </c>
      <c r="W2058" s="3" t="n">
        <v>-0.5606212019920349</v>
      </c>
      <c r="X2058" s="3" t="n">
        <v>-1.060576677322388</v>
      </c>
      <c r="Y2058" s="3" t="n">
        <v>-0.7853782176971436</v>
      </c>
      <c r="Z2058" s="3" t="n">
        <v>-1.064816951751709</v>
      </c>
      <c r="AA2058" s="3" t="n">
        <v>-1.064816951751709</v>
      </c>
      <c r="AB2058" s="3" t="n">
        <v>-1.060576677322388</v>
      </c>
      <c r="AC2058" s="3" t="n">
        <v>-1.224213480949402</v>
      </c>
      <c r="AD2058" s="3" t="n">
        <v>-0.8673334121704102</v>
      </c>
      <c r="AE2058" s="3" t="n">
        <v>-0.8673334121704102</v>
      </c>
    </row>
    <row r="2059">
      <c r="A2059" s="3" t="inlineStr">
        <is>
          <t>SYR.distn.dec.ove.mean.10</t>
        </is>
      </c>
      <c r="B2059" s="3" t="inlineStr">
        <is>
          <t>SYR</t>
        </is>
      </c>
      <c r="C2059" s="3" t="n">
        <v>2005</v>
      </c>
      <c r="D2059" s="3" t="inlineStr">
        <is>
          <t>Overall</t>
        </is>
      </c>
      <c r="E2059" s="3" t="inlineStr">
        <is>
          <t>Deciles</t>
        </is>
      </c>
      <c r="F2059" s="3" t="inlineStr">
        <is>
          <t>mean</t>
        </is>
      </c>
      <c r="G2059" s="3" t="n">
        <v>10</v>
      </c>
      <c r="H2059" s="3" t="n">
        <v>-0.7853782176971436</v>
      </c>
      <c r="I2059" s="3" t="n">
        <v>-0.7853782176971436</v>
      </c>
      <c r="J2059" s="3" t="n">
        <v>-0.8673334121704102</v>
      </c>
      <c r="K2059" s="3" t="n">
        <v>-0.8673334121704102</v>
      </c>
      <c r="L2059" s="3" t="n">
        <v>-0.7853782176971436</v>
      </c>
      <c r="M2059" s="3" t="n">
        <v>-0.7853782176971436</v>
      </c>
      <c r="N2059" s="3" t="n">
        <v>-0.7853782176971436</v>
      </c>
      <c r="O2059" s="3" t="n">
        <v>-0.7853782176971436</v>
      </c>
      <c r="P2059" s="3" t="n">
        <v>-0.7853782176971436</v>
      </c>
      <c r="Q2059" s="3" t="n">
        <v>-0.7853782176971436</v>
      </c>
      <c r="R2059" s="3" t="n">
        <v>-0.7722538709640503</v>
      </c>
      <c r="S2059" s="3" t="n">
        <v>-1.064816951751709</v>
      </c>
      <c r="T2059" s="3" t="n">
        <v>-0.7090408802032471</v>
      </c>
      <c r="U2059" s="3" t="n">
        <v>-0.8673334121704102</v>
      </c>
      <c r="V2059" s="3" t="n">
        <v>-0.6797019243240356</v>
      </c>
      <c r="W2059" s="3" t="n">
        <v>-0.5606212019920349</v>
      </c>
      <c r="X2059" s="3" t="n">
        <v>-1.060576677322388</v>
      </c>
      <c r="Y2059" s="3" t="n">
        <v>-0.7853782176971436</v>
      </c>
      <c r="Z2059" s="3" t="n">
        <v>-1.064816951751709</v>
      </c>
      <c r="AA2059" s="3" t="n">
        <v>-1.064816951751709</v>
      </c>
      <c r="AB2059" s="3" t="n">
        <v>-1.060576677322388</v>
      </c>
      <c r="AC2059" s="3" t="n">
        <v>-1.224213480949402</v>
      </c>
      <c r="AD2059" s="3" t="n">
        <v>-0.8673334121704102</v>
      </c>
      <c r="AE2059" s="3" t="n">
        <v>-0.8673334121704102</v>
      </c>
    </row>
    <row r="2060">
      <c r="A2060" s="3" t="inlineStr">
        <is>
          <t>SYR.distn.bkt.ove.mean.9999</t>
        </is>
      </c>
      <c r="B2060" s="3" t="inlineStr">
        <is>
          <t>SYR</t>
        </is>
      </c>
      <c r="C2060" s="3" t="n">
        <v>2005</v>
      </c>
      <c r="D2060" s="3" t="inlineStr">
        <is>
          <t>Overall</t>
        </is>
      </c>
      <c r="E2060" s="3" t="inlineStr">
        <is>
          <t>Basket</t>
        </is>
      </c>
      <c r="F2060" s="3" t="inlineStr">
        <is>
          <t>mean</t>
        </is>
      </c>
      <c r="G2060" s="3" t="n">
        <v>9999</v>
      </c>
      <c r="H2060" s="3" t="n">
        <v>-0.7869929671287537</v>
      </c>
      <c r="I2060" s="3" t="n">
        <v>-0.7869929671287537</v>
      </c>
      <c r="J2060" s="3" t="n">
        <v>-0.8788760304450989</v>
      </c>
      <c r="K2060" s="3" t="n">
        <v>-0.8788760304450989</v>
      </c>
      <c r="L2060" s="3" t="n">
        <v>-0.7869929671287537</v>
      </c>
      <c r="M2060" s="3" t="n">
        <v>-0.7869929671287537</v>
      </c>
      <c r="N2060" s="3" t="n">
        <v>-0.7869929671287537</v>
      </c>
      <c r="O2060" s="3" t="n">
        <v>-0.7869929671287537</v>
      </c>
      <c r="P2060" s="3" t="n">
        <v>-0.7869929671287537</v>
      </c>
      <c r="Q2060" s="3" t="n">
        <v>-0.7869929671287537</v>
      </c>
      <c r="R2060" s="3" t="n">
        <v>-0.773120105266571</v>
      </c>
      <c r="S2060" s="3" t="n">
        <v>-1.206126928329468</v>
      </c>
      <c r="T2060" s="3" t="n">
        <v>-0.7094486355781555</v>
      </c>
      <c r="U2060" s="3" t="n">
        <v>-0.8788760304450989</v>
      </c>
      <c r="V2060" s="3" t="n">
        <v>-0.6813032627105713</v>
      </c>
      <c r="W2060" s="3" t="n">
        <v>-0.5812142491340637</v>
      </c>
      <c r="X2060" s="3" t="n">
        <v>-1.185341238975525</v>
      </c>
      <c r="Y2060" s="3" t="n">
        <v>-0.7869929671287537</v>
      </c>
      <c r="Z2060" s="3" t="n">
        <v>-1.206126928329468</v>
      </c>
      <c r="AA2060" s="3" t="n">
        <v>-1.206126928329468</v>
      </c>
      <c r="AB2060" s="3" t="n">
        <v>-1.185341238975525</v>
      </c>
      <c r="AC2060" s="3" t="n">
        <v>-1.599873661994934</v>
      </c>
      <c r="AD2060" s="3" t="n">
        <v>-0.8788760304450989</v>
      </c>
      <c r="AE2060" s="3" t="n">
        <v>-0.8788760304450989</v>
      </c>
    </row>
    <row r="2061">
      <c r="A2061" s="3" t="inlineStr">
        <is>
          <t>TCA.distn.dec.ove.mean.1</t>
        </is>
      </c>
      <c r="B2061" s="3" t="inlineStr">
        <is>
          <t>TCA</t>
        </is>
      </c>
      <c r="C2061" s="3" t="n">
        <v>2005</v>
      </c>
      <c r="D2061" s="3" t="inlineStr">
        <is>
          <t>Overall</t>
        </is>
      </c>
      <c r="E2061" s="3" t="inlineStr">
        <is>
          <t>Deciles</t>
        </is>
      </c>
      <c r="F2061" s="3" t="inlineStr">
        <is>
          <t>mean</t>
        </is>
      </c>
      <c r="G2061" s="3" t="n">
        <v>1</v>
      </c>
      <c r="H2061" s="3" t="n">
        <v>-0.7878549098968506</v>
      </c>
      <c r="I2061" s="3" t="n">
        <v>-0.7878549098968506</v>
      </c>
      <c r="J2061" s="3" t="n">
        <v>-0.8883962808771336</v>
      </c>
      <c r="K2061" s="3" t="n">
        <v>-0.8883962808771336</v>
      </c>
      <c r="L2061" s="3" t="n">
        <v>-0.7878549098968506</v>
      </c>
      <c r="M2061" s="3" t="n">
        <v>-0.7878549098968506</v>
      </c>
      <c r="N2061" s="3" t="n">
        <v>-0.7878549098968506</v>
      </c>
      <c r="O2061" s="3" t="n">
        <v>-0.7878549098968506</v>
      </c>
      <c r="P2061" s="3" t="n">
        <v>-0.7878549098968506</v>
      </c>
      <c r="Q2061" s="3" t="n">
        <v>-0.7878549098968506</v>
      </c>
      <c r="R2061" s="3" t="n">
        <v>-0.7732356596500316</v>
      </c>
      <c r="S2061" s="3" t="n">
        <v>-1.408805674694954</v>
      </c>
      <c r="T2061" s="3" t="n">
        <v>-0.7095591730259835</v>
      </c>
      <c r="U2061" s="3" t="n">
        <v>-0.8883962808771336</v>
      </c>
      <c r="V2061" s="3" t="n">
        <v>-0.681934451803248</v>
      </c>
      <c r="W2061" s="3" t="n">
        <v>-0.5702875047288043</v>
      </c>
      <c r="X2061" s="3" t="n">
        <v>-1.356243993373627</v>
      </c>
      <c r="Y2061" s="3" t="n">
        <v>-0.7878549098968506</v>
      </c>
      <c r="Z2061" s="3" t="n">
        <v>-1.408805674694954</v>
      </c>
      <c r="AA2061" s="3" t="n">
        <v>-1.408805674694954</v>
      </c>
      <c r="AB2061" s="3" t="n">
        <v>-1.356243993373627</v>
      </c>
      <c r="AC2061" s="3" t="n">
        <v>-2.123991362592007</v>
      </c>
      <c r="AD2061" s="3" t="n">
        <v>-0.8883962808771336</v>
      </c>
      <c r="AE2061" s="3" t="n">
        <v>-0.8883962808771336</v>
      </c>
    </row>
    <row r="2062">
      <c r="A2062" s="3" t="inlineStr">
        <is>
          <t>TCA.distn.dec.ove.mean.2</t>
        </is>
      </c>
      <c r="B2062" s="3" t="inlineStr">
        <is>
          <t>TCA</t>
        </is>
      </c>
      <c r="C2062" s="3" t="n">
        <v>2005</v>
      </c>
      <c r="D2062" s="3" t="inlineStr">
        <is>
          <t>Overall</t>
        </is>
      </c>
      <c r="E2062" s="3" t="inlineStr">
        <is>
          <t>Deciles</t>
        </is>
      </c>
      <c r="F2062" s="3" t="inlineStr">
        <is>
          <t>mean</t>
        </is>
      </c>
      <c r="G2062" s="3" t="n">
        <v>2</v>
      </c>
      <c r="H2062" s="3" t="n">
        <v>-0.7878549098968506</v>
      </c>
      <c r="I2062" s="3" t="n">
        <v>-0.7878549098968506</v>
      </c>
      <c r="J2062" s="3" t="n">
        <v>-0.8883962808771336</v>
      </c>
      <c r="K2062" s="3" t="n">
        <v>-0.8883962808771336</v>
      </c>
      <c r="L2062" s="3" t="n">
        <v>-0.7878549098968506</v>
      </c>
      <c r="M2062" s="3" t="n">
        <v>-0.7878549098968506</v>
      </c>
      <c r="N2062" s="3" t="n">
        <v>-0.7878549098968506</v>
      </c>
      <c r="O2062" s="3" t="n">
        <v>-0.7878549098968506</v>
      </c>
      <c r="P2062" s="3" t="n">
        <v>-0.7878549098968506</v>
      </c>
      <c r="Q2062" s="3" t="n">
        <v>-0.7878549098968506</v>
      </c>
      <c r="R2062" s="3" t="n">
        <v>-0.7732356596500316</v>
      </c>
      <c r="S2062" s="3" t="n">
        <v>-1.408805674694954</v>
      </c>
      <c r="T2062" s="3" t="n">
        <v>-0.7095591730259835</v>
      </c>
      <c r="U2062" s="3" t="n">
        <v>-0.8883962808771336</v>
      </c>
      <c r="V2062" s="3" t="n">
        <v>-0.681934451803248</v>
      </c>
      <c r="W2062" s="3" t="n">
        <v>-0.5702875047288043</v>
      </c>
      <c r="X2062" s="3" t="n">
        <v>-1.356243993373627</v>
      </c>
      <c r="Y2062" s="3" t="n">
        <v>-0.7878549098968506</v>
      </c>
      <c r="Z2062" s="3" t="n">
        <v>-1.408805674694954</v>
      </c>
      <c r="AA2062" s="3" t="n">
        <v>-1.408805674694954</v>
      </c>
      <c r="AB2062" s="3" t="n">
        <v>-1.356243993373627</v>
      </c>
      <c r="AC2062" s="3" t="n">
        <v>-2.123991362592007</v>
      </c>
      <c r="AD2062" s="3" t="n">
        <v>-0.8883962808771336</v>
      </c>
      <c r="AE2062" s="3" t="n">
        <v>-0.8883962808771336</v>
      </c>
    </row>
    <row r="2063">
      <c r="A2063" s="3" t="inlineStr">
        <is>
          <t>TCA.distn.dec.ove.mean.3</t>
        </is>
      </c>
      <c r="B2063" s="3" t="inlineStr">
        <is>
          <t>TCA</t>
        </is>
      </c>
      <c r="C2063" s="3" t="n">
        <v>2005</v>
      </c>
      <c r="D2063" s="3" t="inlineStr">
        <is>
          <t>Overall</t>
        </is>
      </c>
      <c r="E2063" s="3" t="inlineStr">
        <is>
          <t>Deciles</t>
        </is>
      </c>
      <c r="F2063" s="3" t="inlineStr">
        <is>
          <t>mean</t>
        </is>
      </c>
      <c r="G2063" s="3" t="n">
        <v>3</v>
      </c>
      <c r="H2063" s="3" t="n">
        <v>-0.7878549098968506</v>
      </c>
      <c r="I2063" s="3" t="n">
        <v>-0.7878549098968506</v>
      </c>
      <c r="J2063" s="3" t="n">
        <v>-0.8883962808771336</v>
      </c>
      <c r="K2063" s="3" t="n">
        <v>-0.8883962808771336</v>
      </c>
      <c r="L2063" s="3" t="n">
        <v>-0.7878549098968506</v>
      </c>
      <c r="M2063" s="3" t="n">
        <v>-0.7878549098968506</v>
      </c>
      <c r="N2063" s="3" t="n">
        <v>-0.7878549098968506</v>
      </c>
      <c r="O2063" s="3" t="n">
        <v>-0.7878549098968506</v>
      </c>
      <c r="P2063" s="3" t="n">
        <v>-0.7878549098968506</v>
      </c>
      <c r="Q2063" s="3" t="n">
        <v>-0.7878549098968506</v>
      </c>
      <c r="R2063" s="3" t="n">
        <v>-0.7732356596500316</v>
      </c>
      <c r="S2063" s="3" t="n">
        <v>-1.408805674694954</v>
      </c>
      <c r="T2063" s="3" t="n">
        <v>-0.7095591730259835</v>
      </c>
      <c r="U2063" s="3" t="n">
        <v>-0.8883962808771336</v>
      </c>
      <c r="V2063" s="3" t="n">
        <v>-0.681934451803248</v>
      </c>
      <c r="W2063" s="3" t="n">
        <v>-0.5702875047288043</v>
      </c>
      <c r="X2063" s="3" t="n">
        <v>-1.356243993373627</v>
      </c>
      <c r="Y2063" s="3" t="n">
        <v>-0.7878549098968506</v>
      </c>
      <c r="Z2063" s="3" t="n">
        <v>-1.408805674694954</v>
      </c>
      <c r="AA2063" s="3" t="n">
        <v>-1.408805674694954</v>
      </c>
      <c r="AB2063" s="3" t="n">
        <v>-1.356243993373627</v>
      </c>
      <c r="AC2063" s="3" t="n">
        <v>-2.123991362592007</v>
      </c>
      <c r="AD2063" s="3" t="n">
        <v>-0.8883962808771336</v>
      </c>
      <c r="AE2063" s="3" t="n">
        <v>-0.8883962808771336</v>
      </c>
    </row>
    <row r="2064">
      <c r="A2064" s="3" t="inlineStr">
        <is>
          <t>TCA.distn.dec.ove.mean.4</t>
        </is>
      </c>
      <c r="B2064" s="3" t="inlineStr">
        <is>
          <t>TCA</t>
        </is>
      </c>
      <c r="C2064" s="3" t="n">
        <v>2005</v>
      </c>
      <c r="D2064" s="3" t="inlineStr">
        <is>
          <t>Overall</t>
        </is>
      </c>
      <c r="E2064" s="3" t="inlineStr">
        <is>
          <t>Deciles</t>
        </is>
      </c>
      <c r="F2064" s="3" t="inlineStr">
        <is>
          <t>mean</t>
        </is>
      </c>
      <c r="G2064" s="3" t="n">
        <v>4</v>
      </c>
      <c r="H2064" s="3" t="n">
        <v>-0.7816170251115839</v>
      </c>
      <c r="I2064" s="3" t="n">
        <v>-0.7816170251115839</v>
      </c>
      <c r="J2064" s="3" t="n">
        <v>-0.8454680810583398</v>
      </c>
      <c r="K2064" s="3" t="n">
        <v>-0.8454680810583398</v>
      </c>
      <c r="L2064" s="3" t="n">
        <v>-0.7816170251115839</v>
      </c>
      <c r="M2064" s="3" t="n">
        <v>-0.7816170251115839</v>
      </c>
      <c r="N2064" s="3" t="n">
        <v>-0.7816170251115839</v>
      </c>
      <c r="O2064" s="3" t="n">
        <v>-0.7816170251115839</v>
      </c>
      <c r="P2064" s="3" t="n">
        <v>-0.7816170251115839</v>
      </c>
      <c r="Q2064" s="3" t="n">
        <v>-0.7816170251115839</v>
      </c>
      <c r="R2064" s="3" t="n">
        <v>-0.7697659489956308</v>
      </c>
      <c r="S2064" s="3" t="n">
        <v>-0.9595531871978272</v>
      </c>
      <c r="T2064" s="3" t="n">
        <v>-0.7081063859006191</v>
      </c>
      <c r="U2064" s="3" t="n">
        <v>-0.8454680810583398</v>
      </c>
      <c r="V2064" s="3" t="n">
        <v>-0.6750000017754575</v>
      </c>
      <c r="W2064" s="3" t="n">
        <v>-0.4799574455048176</v>
      </c>
      <c r="X2064" s="3" t="n">
        <v>-0.9571489362006492</v>
      </c>
      <c r="Y2064" s="3" t="n">
        <v>-0.7816170251115839</v>
      </c>
      <c r="Z2064" s="3" t="n">
        <v>-0.9595531871978272</v>
      </c>
      <c r="AA2064" s="3" t="n">
        <v>-0.9595531871978272</v>
      </c>
      <c r="AB2064" s="3" t="n">
        <v>-0.9571489362006492</v>
      </c>
      <c r="AC2064" s="3" t="n">
        <v>-1.025723396463597</v>
      </c>
      <c r="AD2064" s="3" t="n">
        <v>-0.8454680810583398</v>
      </c>
      <c r="AE2064" s="3" t="n">
        <v>-0.8454680810583398</v>
      </c>
    </row>
    <row r="2065">
      <c r="A2065" s="3" t="inlineStr">
        <is>
          <t>TCA.distn.dec.ove.mean.5</t>
        </is>
      </c>
      <c r="B2065" s="3" t="inlineStr">
        <is>
          <t>TCA</t>
        </is>
      </c>
      <c r="C2065" s="3" t="n">
        <v>2005</v>
      </c>
      <c r="D2065" s="3" t="inlineStr">
        <is>
          <t>Overall</t>
        </is>
      </c>
      <c r="E2065" s="3" t="inlineStr">
        <is>
          <t>Deciles</t>
        </is>
      </c>
      <c r="F2065" s="3" t="inlineStr">
        <is>
          <t>mean</t>
        </is>
      </c>
      <c r="G2065" s="3" t="n">
        <v>5</v>
      </c>
      <c r="H2065" s="3" t="n">
        <v>-0.7816170251115839</v>
      </c>
      <c r="I2065" s="3" t="n">
        <v>-0.7816170251115839</v>
      </c>
      <c r="J2065" s="3" t="n">
        <v>-0.8454680810583398</v>
      </c>
      <c r="K2065" s="3" t="n">
        <v>-0.8454680810583398</v>
      </c>
      <c r="L2065" s="3" t="n">
        <v>-0.7816170251115839</v>
      </c>
      <c r="M2065" s="3" t="n">
        <v>-0.7816170251115839</v>
      </c>
      <c r="N2065" s="3" t="n">
        <v>-0.7816170251115839</v>
      </c>
      <c r="O2065" s="3" t="n">
        <v>-0.7816170251115839</v>
      </c>
      <c r="P2065" s="3" t="n">
        <v>-0.7816170251115839</v>
      </c>
      <c r="Q2065" s="3" t="n">
        <v>-0.7816170251115839</v>
      </c>
      <c r="R2065" s="3" t="n">
        <v>-0.7697659489956308</v>
      </c>
      <c r="S2065" s="3" t="n">
        <v>-0.9595531871978272</v>
      </c>
      <c r="T2065" s="3" t="n">
        <v>-0.7081063859006191</v>
      </c>
      <c r="U2065" s="3" t="n">
        <v>-0.8454680810583398</v>
      </c>
      <c r="V2065" s="3" t="n">
        <v>-0.6750000017754575</v>
      </c>
      <c r="W2065" s="3" t="n">
        <v>-0.4799574455048176</v>
      </c>
      <c r="X2065" s="3" t="n">
        <v>-0.9571489362006492</v>
      </c>
      <c r="Y2065" s="3" t="n">
        <v>-0.7816170251115839</v>
      </c>
      <c r="Z2065" s="3" t="n">
        <v>-0.9595531871978272</v>
      </c>
      <c r="AA2065" s="3" t="n">
        <v>-0.9595531871978272</v>
      </c>
      <c r="AB2065" s="3" t="n">
        <v>-0.9571489362006492</v>
      </c>
      <c r="AC2065" s="3" t="n">
        <v>-1.025723396463597</v>
      </c>
      <c r="AD2065" s="3" t="n">
        <v>-0.8454680810583398</v>
      </c>
      <c r="AE2065" s="3" t="n">
        <v>-0.8454680810583398</v>
      </c>
    </row>
    <row r="2066">
      <c r="A2066" s="3" t="inlineStr">
        <is>
          <t>TCA.distn.dec.ove.mean.6</t>
        </is>
      </c>
      <c r="B2066" s="3" t="inlineStr">
        <is>
          <t>TCA</t>
        </is>
      </c>
      <c r="C2066" s="3" t="n">
        <v>2005</v>
      </c>
      <c r="D2066" s="3" t="inlineStr">
        <is>
          <t>Overall</t>
        </is>
      </c>
      <c r="E2066" s="3" t="inlineStr">
        <is>
          <t>Deciles</t>
        </is>
      </c>
      <c r="F2066" s="3" t="inlineStr">
        <is>
          <t>mean</t>
        </is>
      </c>
      <c r="G2066" s="3" t="n">
        <v>6</v>
      </c>
      <c r="H2066" s="3" t="n">
        <v>-0.7816170251115839</v>
      </c>
      <c r="I2066" s="3" t="n">
        <v>-0.7816170251115839</v>
      </c>
      <c r="J2066" s="3" t="n">
        <v>-0.8454680810583398</v>
      </c>
      <c r="K2066" s="3" t="n">
        <v>-0.8454680810583398</v>
      </c>
      <c r="L2066" s="3" t="n">
        <v>-0.7816170251115839</v>
      </c>
      <c r="M2066" s="3" t="n">
        <v>-0.7816170251115839</v>
      </c>
      <c r="N2066" s="3" t="n">
        <v>-0.7816170251115839</v>
      </c>
      <c r="O2066" s="3" t="n">
        <v>-0.7816170251115839</v>
      </c>
      <c r="P2066" s="3" t="n">
        <v>-0.7816170251115839</v>
      </c>
      <c r="Q2066" s="3" t="n">
        <v>-0.7816170251115839</v>
      </c>
      <c r="R2066" s="3" t="n">
        <v>-0.7697659489956308</v>
      </c>
      <c r="S2066" s="3" t="n">
        <v>-0.9595531871978272</v>
      </c>
      <c r="T2066" s="3" t="n">
        <v>-0.7081063859006191</v>
      </c>
      <c r="U2066" s="3" t="n">
        <v>-0.8454680810583398</v>
      </c>
      <c r="V2066" s="3" t="n">
        <v>-0.6750000017754575</v>
      </c>
      <c r="W2066" s="3" t="n">
        <v>-0.4799574455048176</v>
      </c>
      <c r="X2066" s="3" t="n">
        <v>-0.9571489362006492</v>
      </c>
      <c r="Y2066" s="3" t="n">
        <v>-0.7816170251115839</v>
      </c>
      <c r="Z2066" s="3" t="n">
        <v>-0.9595531871978272</v>
      </c>
      <c r="AA2066" s="3" t="n">
        <v>-0.9595531871978272</v>
      </c>
      <c r="AB2066" s="3" t="n">
        <v>-0.9571489362006492</v>
      </c>
      <c r="AC2066" s="3" t="n">
        <v>-1.025723396463597</v>
      </c>
      <c r="AD2066" s="3" t="n">
        <v>-0.8454680810583398</v>
      </c>
      <c r="AE2066" s="3" t="n">
        <v>-0.8454680810583398</v>
      </c>
    </row>
    <row r="2067">
      <c r="A2067" s="3" t="inlineStr">
        <is>
          <t>TCA.distn.dec.ove.mean.7</t>
        </is>
      </c>
      <c r="B2067" s="3" t="inlineStr">
        <is>
          <t>TCA</t>
        </is>
      </c>
      <c r="C2067" s="3" t="n">
        <v>2005</v>
      </c>
      <c r="D2067" s="3" t="inlineStr">
        <is>
          <t>Overall</t>
        </is>
      </c>
      <c r="E2067" s="3" t="inlineStr">
        <is>
          <t>Deciles</t>
        </is>
      </c>
      <c r="F2067" s="3" t="inlineStr">
        <is>
          <t>mean</t>
        </is>
      </c>
      <c r="G2067" s="3" t="n">
        <v>7</v>
      </c>
      <c r="H2067" s="3" t="n">
        <v>-0.7816170251115839</v>
      </c>
      <c r="I2067" s="3" t="n">
        <v>-0.7816170251115839</v>
      </c>
      <c r="J2067" s="3" t="n">
        <v>-0.8454680810583398</v>
      </c>
      <c r="K2067" s="3" t="n">
        <v>-0.8454680810583398</v>
      </c>
      <c r="L2067" s="3" t="n">
        <v>-0.7816170251115839</v>
      </c>
      <c r="M2067" s="3" t="n">
        <v>-0.7816170251115839</v>
      </c>
      <c r="N2067" s="3" t="n">
        <v>-0.7816170251115839</v>
      </c>
      <c r="O2067" s="3" t="n">
        <v>-0.7816170251115839</v>
      </c>
      <c r="P2067" s="3" t="n">
        <v>-0.7816170251115839</v>
      </c>
      <c r="Q2067" s="3" t="n">
        <v>-0.7816170251115839</v>
      </c>
      <c r="R2067" s="3" t="n">
        <v>-0.7697659489956308</v>
      </c>
      <c r="S2067" s="3" t="n">
        <v>-0.9595531871978272</v>
      </c>
      <c r="T2067" s="3" t="n">
        <v>-0.7081063859006191</v>
      </c>
      <c r="U2067" s="3" t="n">
        <v>-0.8454680810583398</v>
      </c>
      <c r="V2067" s="3" t="n">
        <v>-0.6750000017754575</v>
      </c>
      <c r="W2067" s="3" t="n">
        <v>-0.4799574455048176</v>
      </c>
      <c r="X2067" s="3" t="n">
        <v>-0.9571489362006492</v>
      </c>
      <c r="Y2067" s="3" t="n">
        <v>-0.7816170251115839</v>
      </c>
      <c r="Z2067" s="3" t="n">
        <v>-0.9595531871978272</v>
      </c>
      <c r="AA2067" s="3" t="n">
        <v>-0.9595531871978272</v>
      </c>
      <c r="AB2067" s="3" t="n">
        <v>-0.9571489362006492</v>
      </c>
      <c r="AC2067" s="3" t="n">
        <v>-1.025723396463597</v>
      </c>
      <c r="AD2067" s="3" t="n">
        <v>-0.8454680810583398</v>
      </c>
      <c r="AE2067" s="3" t="n">
        <v>-0.8454680810583398</v>
      </c>
    </row>
    <row r="2068">
      <c r="A2068" s="3" t="inlineStr">
        <is>
          <t>TCA.distn.dec.ove.mean.8</t>
        </is>
      </c>
      <c r="B2068" s="3" t="inlineStr">
        <is>
          <t>TCA</t>
        </is>
      </c>
      <c r="C2068" s="3" t="n">
        <v>2005</v>
      </c>
      <c r="D2068" s="3" t="inlineStr">
        <is>
          <t>Overall</t>
        </is>
      </c>
      <c r="E2068" s="3" t="inlineStr">
        <is>
          <t>Deciles</t>
        </is>
      </c>
      <c r="F2068" s="3" t="inlineStr">
        <is>
          <t>mean</t>
        </is>
      </c>
      <c r="G2068" s="3" t="n">
        <v>8</v>
      </c>
      <c r="H2068" s="3" t="n">
        <v>-0.7819935831617801</v>
      </c>
      <c r="I2068" s="3" t="n">
        <v>-0.7819935831617801</v>
      </c>
      <c r="J2068" s="3" t="n">
        <v>-0.8477488045996808</v>
      </c>
      <c r="K2068" s="3" t="n">
        <v>-0.8477488045996808</v>
      </c>
      <c r="L2068" s="3" t="n">
        <v>-0.7819935831617801</v>
      </c>
      <c r="M2068" s="3" t="n">
        <v>-0.7819935831617801</v>
      </c>
      <c r="N2068" s="3" t="n">
        <v>-0.7819935831617801</v>
      </c>
      <c r="O2068" s="3" t="n">
        <v>-0.7819935831617801</v>
      </c>
      <c r="P2068" s="3" t="n">
        <v>-0.7819935831617801</v>
      </c>
      <c r="Q2068" s="3" t="n">
        <v>-0.7819935831617801</v>
      </c>
      <c r="R2068" s="3" t="n">
        <v>-0.7700191178220384</v>
      </c>
      <c r="S2068" s="3" t="n">
        <v>-0.9684819490351575</v>
      </c>
      <c r="T2068" s="3" t="n">
        <v>-0.70814722142321</v>
      </c>
      <c r="U2068" s="3" t="n">
        <v>-0.8477488045996808</v>
      </c>
      <c r="V2068" s="3" t="n">
        <v>-0.6756977857427394</v>
      </c>
      <c r="W2068" s="3" t="n">
        <v>-0.4928101326556916</v>
      </c>
      <c r="X2068" s="3" t="n">
        <v>-0.9658704755154062</v>
      </c>
      <c r="Y2068" s="3" t="n">
        <v>-0.7819935831617801</v>
      </c>
      <c r="Z2068" s="3" t="n">
        <v>-0.9684819490351575</v>
      </c>
      <c r="AA2068" s="3" t="n">
        <v>-0.9684819490351575</v>
      </c>
      <c r="AB2068" s="3" t="n">
        <v>-0.9658704755154062</v>
      </c>
      <c r="AC2068" s="3" t="n">
        <v>-1.04035159628442</v>
      </c>
      <c r="AD2068" s="3" t="n">
        <v>-0.8477488045996808</v>
      </c>
      <c r="AE2068" s="3" t="n">
        <v>-0.8477488045996808</v>
      </c>
    </row>
    <row r="2069">
      <c r="A2069" s="3" t="inlineStr">
        <is>
          <t>TCA.distn.dec.ove.mean.9</t>
        </is>
      </c>
      <c r="B2069" s="3" t="inlineStr">
        <is>
          <t>TCA</t>
        </is>
      </c>
      <c r="C2069" s="3" t="n">
        <v>2005</v>
      </c>
      <c r="D2069" s="3" t="inlineStr">
        <is>
          <t>Overall</t>
        </is>
      </c>
      <c r="E2069" s="3" t="inlineStr">
        <is>
          <t>Deciles</t>
        </is>
      </c>
      <c r="F2069" s="3" t="inlineStr">
        <is>
          <t>mean</t>
        </is>
      </c>
      <c r="G2069" s="3" t="n">
        <v>9</v>
      </c>
      <c r="H2069" s="3" t="n">
        <v>-0.7819935831617801</v>
      </c>
      <c r="I2069" s="3" t="n">
        <v>-0.7819935831617801</v>
      </c>
      <c r="J2069" s="3" t="n">
        <v>-0.8477488045996808</v>
      </c>
      <c r="K2069" s="3" t="n">
        <v>-0.8477488045996808</v>
      </c>
      <c r="L2069" s="3" t="n">
        <v>-0.7819935831617801</v>
      </c>
      <c r="M2069" s="3" t="n">
        <v>-0.7819935831617801</v>
      </c>
      <c r="N2069" s="3" t="n">
        <v>-0.7819935831617801</v>
      </c>
      <c r="O2069" s="3" t="n">
        <v>-0.7819935831617801</v>
      </c>
      <c r="P2069" s="3" t="n">
        <v>-0.7819935831617801</v>
      </c>
      <c r="Q2069" s="3" t="n">
        <v>-0.7819935831617801</v>
      </c>
      <c r="R2069" s="3" t="n">
        <v>-0.7700191178220384</v>
      </c>
      <c r="S2069" s="3" t="n">
        <v>-0.9684819490351575</v>
      </c>
      <c r="T2069" s="3" t="n">
        <v>-0.70814722142321</v>
      </c>
      <c r="U2069" s="3" t="n">
        <v>-0.8477488045996808</v>
      </c>
      <c r="V2069" s="3" t="n">
        <v>-0.6756977857427394</v>
      </c>
      <c r="W2069" s="3" t="n">
        <v>-0.4928101326556916</v>
      </c>
      <c r="X2069" s="3" t="n">
        <v>-0.9658704755154062</v>
      </c>
      <c r="Y2069" s="3" t="n">
        <v>-0.7819935831617801</v>
      </c>
      <c r="Z2069" s="3" t="n">
        <v>-0.9684819490351575</v>
      </c>
      <c r="AA2069" s="3" t="n">
        <v>-0.9684819490351575</v>
      </c>
      <c r="AB2069" s="3" t="n">
        <v>-0.9658704755154062</v>
      </c>
      <c r="AC2069" s="3" t="n">
        <v>-1.04035159628442</v>
      </c>
      <c r="AD2069" s="3" t="n">
        <v>-0.8477488045996808</v>
      </c>
      <c r="AE2069" s="3" t="n">
        <v>-0.8477488045996808</v>
      </c>
    </row>
    <row r="2070">
      <c r="A2070" s="3" t="inlineStr">
        <is>
          <t>TCA.distn.dec.ove.mean.10</t>
        </is>
      </c>
      <c r="B2070" s="3" t="inlineStr">
        <is>
          <t>TCA</t>
        </is>
      </c>
      <c r="C2070" s="3" t="n">
        <v>2005</v>
      </c>
      <c r="D2070" s="3" t="inlineStr">
        <is>
          <t>Overall</t>
        </is>
      </c>
      <c r="E2070" s="3" t="inlineStr">
        <is>
          <t>Deciles</t>
        </is>
      </c>
      <c r="F2070" s="3" t="inlineStr">
        <is>
          <t>mean</t>
        </is>
      </c>
      <c r="G2070" s="3" t="n">
        <v>10</v>
      </c>
      <c r="H2070" s="3" t="n">
        <v>-0.7819935831617801</v>
      </c>
      <c r="I2070" s="3" t="n">
        <v>-0.7819935831617801</v>
      </c>
      <c r="J2070" s="3" t="n">
        <v>-0.8477488045996808</v>
      </c>
      <c r="K2070" s="3" t="n">
        <v>-0.8477488045996808</v>
      </c>
      <c r="L2070" s="3" t="n">
        <v>-0.7819935831617801</v>
      </c>
      <c r="M2070" s="3" t="n">
        <v>-0.7819935831617801</v>
      </c>
      <c r="N2070" s="3" t="n">
        <v>-0.7819935831617801</v>
      </c>
      <c r="O2070" s="3" t="n">
        <v>-0.7819935831617801</v>
      </c>
      <c r="P2070" s="3" t="n">
        <v>-0.7819935831617801</v>
      </c>
      <c r="Q2070" s="3" t="n">
        <v>-0.7819935831617801</v>
      </c>
      <c r="R2070" s="3" t="n">
        <v>-0.7700191178220384</v>
      </c>
      <c r="S2070" s="3" t="n">
        <v>-0.9684819490351575</v>
      </c>
      <c r="T2070" s="3" t="n">
        <v>-0.70814722142321</v>
      </c>
      <c r="U2070" s="3" t="n">
        <v>-0.8477488045996808</v>
      </c>
      <c r="V2070" s="3" t="n">
        <v>-0.6756977857427394</v>
      </c>
      <c r="W2070" s="3" t="n">
        <v>-0.4928101326556916</v>
      </c>
      <c r="X2070" s="3" t="n">
        <v>-0.9658704755154062</v>
      </c>
      <c r="Y2070" s="3" t="n">
        <v>-0.7819935831617801</v>
      </c>
      <c r="Z2070" s="3" t="n">
        <v>-0.9684819490351575</v>
      </c>
      <c r="AA2070" s="3" t="n">
        <v>-0.9684819490351575</v>
      </c>
      <c r="AB2070" s="3" t="n">
        <v>-0.9658704755154062</v>
      </c>
      <c r="AC2070" s="3" t="n">
        <v>-1.04035159628442</v>
      </c>
      <c r="AD2070" s="3" t="n">
        <v>-0.8477488045996808</v>
      </c>
      <c r="AE2070" s="3" t="n">
        <v>-0.8477488045996808</v>
      </c>
    </row>
    <row r="2071">
      <c r="A2071" s="3" t="inlineStr">
        <is>
          <t>TCA.distn.bkt.ove.mean.9999</t>
        </is>
      </c>
      <c r="B2071" s="3" t="inlineStr">
        <is>
          <t>TCA</t>
        </is>
      </c>
      <c r="C2071" s="3" t="n">
        <v>2005</v>
      </c>
      <c r="D2071" s="3" t="inlineStr">
        <is>
          <t>Overall</t>
        </is>
      </c>
      <c r="E2071" s="3" t="inlineStr">
        <is>
          <t>Basket</t>
        </is>
      </c>
      <c r="F2071" s="3" t="inlineStr">
        <is>
          <t>mean</t>
        </is>
      </c>
      <c r="G2071" s="3" t="n">
        <v>9999</v>
      </c>
      <c r="H2071" s="3" t="n">
        <v>-0.7836013613863194</v>
      </c>
      <c r="I2071" s="3" t="n">
        <v>-0.7836013613863194</v>
      </c>
      <c r="J2071" s="3" t="n">
        <v>-0.8590307616172953</v>
      </c>
      <c r="K2071" s="3" t="n">
        <v>-0.8590307616172953</v>
      </c>
      <c r="L2071" s="3" t="n">
        <v>-0.7836013613863194</v>
      </c>
      <c r="M2071" s="3" t="n">
        <v>-0.7836013613863194</v>
      </c>
      <c r="N2071" s="3" t="n">
        <v>-0.7836013613863194</v>
      </c>
      <c r="O2071" s="3" t="n">
        <v>-0.7836013613863194</v>
      </c>
      <c r="P2071" s="3" t="n">
        <v>-0.7836013613863194</v>
      </c>
      <c r="Q2071" s="3" t="n">
        <v>-0.7836013613863194</v>
      </c>
      <c r="R2071" s="3" t="n">
        <v>-0.7708828220976159</v>
      </c>
      <c r="S2071" s="3" t="n">
        <v>-1.097007578991829</v>
      </c>
      <c r="T2071" s="3" t="n">
        <v>-0.7085544974245923</v>
      </c>
      <c r="U2071" s="3" t="n">
        <v>-0.8590307616172953</v>
      </c>
      <c r="V2071" s="3" t="n">
        <v>-0.6772896647453308</v>
      </c>
      <c r="W2071" s="3" t="n">
        <v>-0.5109122699879586</v>
      </c>
      <c r="X2071" s="3" t="n">
        <v>-1.079493910708326</v>
      </c>
      <c r="Y2071" s="3" t="n">
        <v>-0.7836013613863194</v>
      </c>
      <c r="Z2071" s="3" t="n">
        <v>-1.097007578991829</v>
      </c>
      <c r="AA2071" s="3" t="n">
        <v>-1.097007578991829</v>
      </c>
      <c r="AB2071" s="3" t="n">
        <v>-1.079493910708326</v>
      </c>
      <c r="AC2071" s="3" t="n">
        <v>-1.359592239907447</v>
      </c>
      <c r="AD2071" s="3" t="n">
        <v>-0.8590307616172953</v>
      </c>
      <c r="AE2071" s="3" t="n">
        <v>-0.8590307616172953</v>
      </c>
    </row>
    <row r="2072">
      <c r="A2072" s="3" t="inlineStr">
        <is>
          <t>TCD.distn.dec.ove.mean.1</t>
        </is>
      </c>
      <c r="B2072" s="3" t="inlineStr">
        <is>
          <t>TCD</t>
        </is>
      </c>
      <c r="C2072" s="3" t="n">
        <v>2005</v>
      </c>
      <c r="D2072" s="3" t="inlineStr">
        <is>
          <t>Overall</t>
        </is>
      </c>
      <c r="E2072" s="3" t="inlineStr">
        <is>
          <t>Deciles</t>
        </is>
      </c>
      <c r="F2072" s="3" t="inlineStr">
        <is>
          <t>mean</t>
        </is>
      </c>
      <c r="G2072" s="3" t="n">
        <v>1</v>
      </c>
      <c r="H2072" s="3" t="n">
        <v>-0.7973127365112305</v>
      </c>
      <c r="I2072" s="3" t="n">
        <v>-0.7973127365112305</v>
      </c>
      <c r="J2072" s="3" t="n">
        <v>-0.9583063125610352</v>
      </c>
      <c r="K2072" s="3" t="n">
        <v>-0.9583063125610352</v>
      </c>
      <c r="L2072" s="3" t="n">
        <v>-0.7973127365112305</v>
      </c>
      <c r="M2072" s="3" t="n">
        <v>-0.7973127365112305</v>
      </c>
      <c r="N2072" s="3" t="n">
        <v>-0.7973127365112305</v>
      </c>
      <c r="O2072" s="3" t="n">
        <v>-0.7973127365112305</v>
      </c>
      <c r="P2072" s="3" t="n">
        <v>-0.7973127365112305</v>
      </c>
      <c r="Q2072" s="3" t="n">
        <v>-0.7973127365112305</v>
      </c>
      <c r="R2072" s="3" t="n">
        <v>-0.7784932851791382</v>
      </c>
      <c r="S2072" s="3" t="n">
        <v>-2.376998424530029</v>
      </c>
      <c r="T2072" s="3" t="n">
        <v>-0.7114566564559937</v>
      </c>
      <c r="U2072" s="3" t="n">
        <v>-0.9583063125610352</v>
      </c>
      <c r="V2072" s="3" t="n">
        <v>-0.6920371651649475</v>
      </c>
      <c r="W2072" s="3" t="n">
        <v>-0.7093579769134521</v>
      </c>
      <c r="X2072" s="3" t="n">
        <v>-2.245885372161865</v>
      </c>
      <c r="Y2072" s="3" t="n">
        <v>-0.7973127365112305</v>
      </c>
      <c r="Z2072" s="3" t="n">
        <v>-2.376998424530029</v>
      </c>
      <c r="AA2072" s="3" t="n">
        <v>-2.376998424530029</v>
      </c>
      <c r="AB2072" s="3" t="n">
        <v>-2.245885372161865</v>
      </c>
      <c r="AC2072" s="3" t="n">
        <v>-16.85570335388184</v>
      </c>
      <c r="AD2072" s="3" t="n">
        <v>-0.9583063125610352</v>
      </c>
      <c r="AE2072" s="3" t="n">
        <v>-0.9583063125610352</v>
      </c>
    </row>
    <row r="2073">
      <c r="A2073" s="3" t="inlineStr">
        <is>
          <t>TCD.distn.dec.ove.mean.2</t>
        </is>
      </c>
      <c r="B2073" s="3" t="inlineStr">
        <is>
          <t>TCD</t>
        </is>
      </c>
      <c r="C2073" s="3" t="n">
        <v>2005</v>
      </c>
      <c r="D2073" s="3" t="inlineStr">
        <is>
          <t>Overall</t>
        </is>
      </c>
      <c r="E2073" s="3" t="inlineStr">
        <is>
          <t>Deciles</t>
        </is>
      </c>
      <c r="F2073" s="3" t="inlineStr">
        <is>
          <t>mean</t>
        </is>
      </c>
      <c r="G2073" s="3" t="n">
        <v>2</v>
      </c>
      <c r="H2073" s="3" t="n">
        <v>-0.7973127365112305</v>
      </c>
      <c r="I2073" s="3" t="n">
        <v>-0.7973127365112305</v>
      </c>
      <c r="J2073" s="3" t="n">
        <v>-0.9583063125610352</v>
      </c>
      <c r="K2073" s="3" t="n">
        <v>-0.9583063125610352</v>
      </c>
      <c r="L2073" s="3" t="n">
        <v>-0.7973127365112305</v>
      </c>
      <c r="M2073" s="3" t="n">
        <v>-0.7973127365112305</v>
      </c>
      <c r="N2073" s="3" t="n">
        <v>-0.7973127365112305</v>
      </c>
      <c r="O2073" s="3" t="n">
        <v>-0.7973127365112305</v>
      </c>
      <c r="P2073" s="3" t="n">
        <v>-0.7973127365112305</v>
      </c>
      <c r="Q2073" s="3" t="n">
        <v>-0.7973127365112305</v>
      </c>
      <c r="R2073" s="3" t="n">
        <v>-0.7784932851791382</v>
      </c>
      <c r="S2073" s="3" t="n">
        <v>-2.376998424530029</v>
      </c>
      <c r="T2073" s="3" t="n">
        <v>-0.7114566564559937</v>
      </c>
      <c r="U2073" s="3" t="n">
        <v>-0.9583063125610352</v>
      </c>
      <c r="V2073" s="3" t="n">
        <v>-0.6920371651649475</v>
      </c>
      <c r="W2073" s="3" t="n">
        <v>-0.7093579769134521</v>
      </c>
      <c r="X2073" s="3" t="n">
        <v>-2.245885372161865</v>
      </c>
      <c r="Y2073" s="3" t="n">
        <v>-0.7973127365112305</v>
      </c>
      <c r="Z2073" s="3" t="n">
        <v>-2.376998424530029</v>
      </c>
      <c r="AA2073" s="3" t="n">
        <v>-2.376998424530029</v>
      </c>
      <c r="AB2073" s="3" t="n">
        <v>-2.245885372161865</v>
      </c>
      <c r="AC2073" s="3" t="n">
        <v>-16.85570335388184</v>
      </c>
      <c r="AD2073" s="3" t="n">
        <v>-0.9583063125610352</v>
      </c>
      <c r="AE2073" s="3" t="n">
        <v>-0.9583063125610352</v>
      </c>
    </row>
    <row r="2074">
      <c r="A2074" s="3" t="inlineStr">
        <is>
          <t>TCD.distn.dec.ove.mean.3</t>
        </is>
      </c>
      <c r="B2074" s="3" t="inlineStr">
        <is>
          <t>TCD</t>
        </is>
      </c>
      <c r="C2074" s="3" t="n">
        <v>2005</v>
      </c>
      <c r="D2074" s="3" t="inlineStr">
        <is>
          <t>Overall</t>
        </is>
      </c>
      <c r="E2074" s="3" t="inlineStr">
        <is>
          <t>Deciles</t>
        </is>
      </c>
      <c r="F2074" s="3" t="inlineStr">
        <is>
          <t>mean</t>
        </is>
      </c>
      <c r="G2074" s="3" t="n">
        <v>3</v>
      </c>
      <c r="H2074" s="3" t="n">
        <v>-0.7973127365112305</v>
      </c>
      <c r="I2074" s="3" t="n">
        <v>-0.7973127365112305</v>
      </c>
      <c r="J2074" s="3" t="n">
        <v>-0.9583063125610352</v>
      </c>
      <c r="K2074" s="3" t="n">
        <v>-0.9583063125610352</v>
      </c>
      <c r="L2074" s="3" t="n">
        <v>-0.7973127365112305</v>
      </c>
      <c r="M2074" s="3" t="n">
        <v>-0.7973127365112305</v>
      </c>
      <c r="N2074" s="3" t="n">
        <v>-0.7973127365112305</v>
      </c>
      <c r="O2074" s="3" t="n">
        <v>-0.7973127365112305</v>
      </c>
      <c r="P2074" s="3" t="n">
        <v>-0.7973127365112305</v>
      </c>
      <c r="Q2074" s="3" t="n">
        <v>-0.7973127365112305</v>
      </c>
      <c r="R2074" s="3" t="n">
        <v>-0.7784932851791382</v>
      </c>
      <c r="S2074" s="3" t="n">
        <v>-2.376998424530029</v>
      </c>
      <c r="T2074" s="3" t="n">
        <v>-0.7114566564559937</v>
      </c>
      <c r="U2074" s="3" t="n">
        <v>-0.9583063125610352</v>
      </c>
      <c r="V2074" s="3" t="n">
        <v>-0.6920371651649475</v>
      </c>
      <c r="W2074" s="3" t="n">
        <v>-0.7093579769134521</v>
      </c>
      <c r="X2074" s="3" t="n">
        <v>-2.245885372161865</v>
      </c>
      <c r="Y2074" s="3" t="n">
        <v>-0.7973127365112305</v>
      </c>
      <c r="Z2074" s="3" t="n">
        <v>-2.376998424530029</v>
      </c>
      <c r="AA2074" s="3" t="n">
        <v>-2.376998424530029</v>
      </c>
      <c r="AB2074" s="3" t="n">
        <v>-2.245885372161865</v>
      </c>
      <c r="AC2074" s="3" t="n">
        <v>-16.85570335388184</v>
      </c>
      <c r="AD2074" s="3" t="n">
        <v>-0.9583063125610352</v>
      </c>
      <c r="AE2074" s="3" t="n">
        <v>-0.9583063125610352</v>
      </c>
    </row>
    <row r="2075">
      <c r="A2075" s="3" t="inlineStr">
        <is>
          <t>TCD.distn.dec.ove.mean.4</t>
        </is>
      </c>
      <c r="B2075" s="3" t="inlineStr">
        <is>
          <t>TCD</t>
        </is>
      </c>
      <c r="C2075" s="3" t="n">
        <v>2005</v>
      </c>
      <c r="D2075" s="3" t="inlineStr">
        <is>
          <t>Overall</t>
        </is>
      </c>
      <c r="E2075" s="3" t="inlineStr">
        <is>
          <t>Deciles</t>
        </is>
      </c>
      <c r="F2075" s="3" t="inlineStr">
        <is>
          <t>mean</t>
        </is>
      </c>
      <c r="G2075" s="3" t="n">
        <v>4</v>
      </c>
      <c r="H2075" s="3" t="n">
        <v>-0.7910000085830688</v>
      </c>
      <c r="I2075" s="3" t="n">
        <v>-0.7910000085830688</v>
      </c>
      <c r="J2075" s="3" t="n">
        <v>-0.9120000004768372</v>
      </c>
      <c r="K2075" s="3" t="n">
        <v>-0.9120000004768372</v>
      </c>
      <c r="L2075" s="3" t="n">
        <v>-0.7910000085830688</v>
      </c>
      <c r="M2075" s="3" t="n">
        <v>-0.7910000085830688</v>
      </c>
      <c r="N2075" s="3" t="n">
        <v>-0.7910000085830688</v>
      </c>
      <c r="O2075" s="3" t="n">
        <v>-0.7910000085830688</v>
      </c>
      <c r="P2075" s="3" t="n">
        <v>-0.7910000085830688</v>
      </c>
      <c r="Q2075" s="3" t="n">
        <v>-0.7910000085830688</v>
      </c>
      <c r="R2075" s="3" t="n">
        <v>-0.7749999761581421</v>
      </c>
      <c r="S2075" s="3" t="n">
        <v>-1.61899995803833</v>
      </c>
      <c r="T2075" s="3" t="n">
        <v>-0.7099999785423279</v>
      </c>
      <c r="U2075" s="3" t="n">
        <v>-0.9120000004768372</v>
      </c>
      <c r="V2075" s="3" t="n">
        <v>-0.6850000023841858</v>
      </c>
      <c r="W2075" s="3" t="n">
        <v>-0.5970000028610229</v>
      </c>
      <c r="X2075" s="3" t="n">
        <v>-1.585000038146973</v>
      </c>
      <c r="Y2075" s="3" t="n">
        <v>-0.7910000085830688</v>
      </c>
      <c r="Z2075" s="3" t="n">
        <v>-1.61899995803833</v>
      </c>
      <c r="AA2075" s="3" t="n">
        <v>-1.61899995803833</v>
      </c>
      <c r="AB2075" s="3" t="n">
        <v>-1.585000038146973</v>
      </c>
      <c r="AC2075" s="3" t="n">
        <v>-8.140000343322754</v>
      </c>
      <c r="AD2075" s="3" t="n">
        <v>-0.9120000004768372</v>
      </c>
      <c r="AE2075" s="3" t="n">
        <v>-0.9120000004768372</v>
      </c>
    </row>
    <row r="2076">
      <c r="A2076" s="3" t="inlineStr">
        <is>
          <t>TCD.distn.dec.ove.mean.5</t>
        </is>
      </c>
      <c r="B2076" s="3" t="inlineStr">
        <is>
          <t>TCD</t>
        </is>
      </c>
      <c r="C2076" s="3" t="n">
        <v>2005</v>
      </c>
      <c r="D2076" s="3" t="inlineStr">
        <is>
          <t>Overall</t>
        </is>
      </c>
      <c r="E2076" s="3" t="inlineStr">
        <is>
          <t>Deciles</t>
        </is>
      </c>
      <c r="F2076" s="3" t="inlineStr">
        <is>
          <t>mean</t>
        </is>
      </c>
      <c r="G2076" s="3" t="n">
        <v>5</v>
      </c>
      <c r="H2076" s="3" t="n">
        <v>-0.7910000085830688</v>
      </c>
      <c r="I2076" s="3" t="n">
        <v>-0.7910000085830688</v>
      </c>
      <c r="J2076" s="3" t="n">
        <v>-0.9120000004768372</v>
      </c>
      <c r="K2076" s="3" t="n">
        <v>-0.9120000004768372</v>
      </c>
      <c r="L2076" s="3" t="n">
        <v>-0.7910000085830688</v>
      </c>
      <c r="M2076" s="3" t="n">
        <v>-0.7910000085830688</v>
      </c>
      <c r="N2076" s="3" t="n">
        <v>-0.7910000085830688</v>
      </c>
      <c r="O2076" s="3" t="n">
        <v>-0.7910000085830688</v>
      </c>
      <c r="P2076" s="3" t="n">
        <v>-0.7910000085830688</v>
      </c>
      <c r="Q2076" s="3" t="n">
        <v>-0.7910000085830688</v>
      </c>
      <c r="R2076" s="3" t="n">
        <v>-0.7749999761581421</v>
      </c>
      <c r="S2076" s="3" t="n">
        <v>-1.61899995803833</v>
      </c>
      <c r="T2076" s="3" t="n">
        <v>-0.7099999785423279</v>
      </c>
      <c r="U2076" s="3" t="n">
        <v>-0.9120000004768372</v>
      </c>
      <c r="V2076" s="3" t="n">
        <v>-0.6850000023841858</v>
      </c>
      <c r="W2076" s="3" t="n">
        <v>-0.5970000028610229</v>
      </c>
      <c r="X2076" s="3" t="n">
        <v>-1.585000038146973</v>
      </c>
      <c r="Y2076" s="3" t="n">
        <v>-0.7910000085830688</v>
      </c>
      <c r="Z2076" s="3" t="n">
        <v>-1.61899995803833</v>
      </c>
      <c r="AA2076" s="3" t="n">
        <v>-1.61899995803833</v>
      </c>
      <c r="AB2076" s="3" t="n">
        <v>-1.585000038146973</v>
      </c>
      <c r="AC2076" s="3" t="n">
        <v>-8.140000343322754</v>
      </c>
      <c r="AD2076" s="3" t="n">
        <v>-0.9120000004768372</v>
      </c>
      <c r="AE2076" s="3" t="n">
        <v>-0.9120000004768372</v>
      </c>
    </row>
    <row r="2077">
      <c r="A2077" s="3" t="inlineStr">
        <is>
          <t>TCD.distn.dec.ove.mean.6</t>
        </is>
      </c>
      <c r="B2077" s="3" t="inlineStr">
        <is>
          <t>TCD</t>
        </is>
      </c>
      <c r="C2077" s="3" t="n">
        <v>2005</v>
      </c>
      <c r="D2077" s="3" t="inlineStr">
        <is>
          <t>Overall</t>
        </is>
      </c>
      <c r="E2077" s="3" t="inlineStr">
        <is>
          <t>Deciles</t>
        </is>
      </c>
      <c r="F2077" s="3" t="inlineStr">
        <is>
          <t>mean</t>
        </is>
      </c>
      <c r="G2077" s="3" t="n">
        <v>6</v>
      </c>
      <c r="H2077" s="3" t="n">
        <v>-0.7910000085830688</v>
      </c>
      <c r="I2077" s="3" t="n">
        <v>-0.7910000085830688</v>
      </c>
      <c r="J2077" s="3" t="n">
        <v>-0.9120000004768372</v>
      </c>
      <c r="K2077" s="3" t="n">
        <v>-0.9120000004768372</v>
      </c>
      <c r="L2077" s="3" t="n">
        <v>-0.7910000085830688</v>
      </c>
      <c r="M2077" s="3" t="n">
        <v>-0.7910000085830688</v>
      </c>
      <c r="N2077" s="3" t="n">
        <v>-0.7910000085830688</v>
      </c>
      <c r="O2077" s="3" t="n">
        <v>-0.7910000085830688</v>
      </c>
      <c r="P2077" s="3" t="n">
        <v>-0.7910000085830688</v>
      </c>
      <c r="Q2077" s="3" t="n">
        <v>-0.7910000085830688</v>
      </c>
      <c r="R2077" s="3" t="n">
        <v>-0.7749999761581421</v>
      </c>
      <c r="S2077" s="3" t="n">
        <v>-1.61899995803833</v>
      </c>
      <c r="T2077" s="3" t="n">
        <v>-0.7099999785423279</v>
      </c>
      <c r="U2077" s="3" t="n">
        <v>-0.9120000004768372</v>
      </c>
      <c r="V2077" s="3" t="n">
        <v>-0.6850000023841858</v>
      </c>
      <c r="W2077" s="3" t="n">
        <v>-0.5970000028610229</v>
      </c>
      <c r="X2077" s="3" t="n">
        <v>-1.585000038146973</v>
      </c>
      <c r="Y2077" s="3" t="n">
        <v>-0.7910000085830688</v>
      </c>
      <c r="Z2077" s="3" t="n">
        <v>-1.61899995803833</v>
      </c>
      <c r="AA2077" s="3" t="n">
        <v>-1.61899995803833</v>
      </c>
      <c r="AB2077" s="3" t="n">
        <v>-1.585000038146973</v>
      </c>
      <c r="AC2077" s="3" t="n">
        <v>-8.140000343322754</v>
      </c>
      <c r="AD2077" s="3" t="n">
        <v>-0.9120000004768372</v>
      </c>
      <c r="AE2077" s="3" t="n">
        <v>-0.9120000004768372</v>
      </c>
    </row>
    <row r="2078">
      <c r="A2078" s="3" t="inlineStr">
        <is>
          <t>TCD.distn.dec.ove.mean.7</t>
        </is>
      </c>
      <c r="B2078" s="3" t="inlineStr">
        <is>
          <t>TCD</t>
        </is>
      </c>
      <c r="C2078" s="3" t="n">
        <v>2005</v>
      </c>
      <c r="D2078" s="3" t="inlineStr">
        <is>
          <t>Overall</t>
        </is>
      </c>
      <c r="E2078" s="3" t="inlineStr">
        <is>
          <t>Deciles</t>
        </is>
      </c>
      <c r="F2078" s="3" t="inlineStr">
        <is>
          <t>mean</t>
        </is>
      </c>
      <c r="G2078" s="3" t="n">
        <v>7</v>
      </c>
      <c r="H2078" s="3" t="n">
        <v>-0.7910000085830688</v>
      </c>
      <c r="I2078" s="3" t="n">
        <v>-0.7910000085830688</v>
      </c>
      <c r="J2078" s="3" t="n">
        <v>-0.9120000004768372</v>
      </c>
      <c r="K2078" s="3" t="n">
        <v>-0.9120000004768372</v>
      </c>
      <c r="L2078" s="3" t="n">
        <v>-0.7910000085830688</v>
      </c>
      <c r="M2078" s="3" t="n">
        <v>-0.7910000085830688</v>
      </c>
      <c r="N2078" s="3" t="n">
        <v>-0.7910000085830688</v>
      </c>
      <c r="O2078" s="3" t="n">
        <v>-0.7910000085830688</v>
      </c>
      <c r="P2078" s="3" t="n">
        <v>-0.7910000085830688</v>
      </c>
      <c r="Q2078" s="3" t="n">
        <v>-0.7910000085830688</v>
      </c>
      <c r="R2078" s="3" t="n">
        <v>-0.7749999761581421</v>
      </c>
      <c r="S2078" s="3" t="n">
        <v>-1.61899995803833</v>
      </c>
      <c r="T2078" s="3" t="n">
        <v>-0.7099999785423279</v>
      </c>
      <c r="U2078" s="3" t="n">
        <v>-0.9120000004768372</v>
      </c>
      <c r="V2078" s="3" t="n">
        <v>-0.6850000023841858</v>
      </c>
      <c r="W2078" s="3" t="n">
        <v>-0.5970000028610229</v>
      </c>
      <c r="X2078" s="3" t="n">
        <v>-1.585000038146973</v>
      </c>
      <c r="Y2078" s="3" t="n">
        <v>-0.7910000085830688</v>
      </c>
      <c r="Z2078" s="3" t="n">
        <v>-1.61899995803833</v>
      </c>
      <c r="AA2078" s="3" t="n">
        <v>-1.61899995803833</v>
      </c>
      <c r="AB2078" s="3" t="n">
        <v>-1.585000038146973</v>
      </c>
      <c r="AC2078" s="3" t="n">
        <v>-8.140000343322754</v>
      </c>
      <c r="AD2078" s="3" t="n">
        <v>-0.9120000004768372</v>
      </c>
      <c r="AE2078" s="3" t="n">
        <v>-0.9120000004768372</v>
      </c>
    </row>
    <row r="2079">
      <c r="A2079" s="3" t="inlineStr">
        <is>
          <t>TCD.distn.dec.ove.mean.8</t>
        </is>
      </c>
      <c r="B2079" s="3" t="inlineStr">
        <is>
          <t>TCD</t>
        </is>
      </c>
      <c r="C2079" s="3" t="n">
        <v>2005</v>
      </c>
      <c r="D2079" s="3" t="inlineStr">
        <is>
          <t>Overall</t>
        </is>
      </c>
      <c r="E2079" s="3" t="inlineStr">
        <is>
          <t>Deciles</t>
        </is>
      </c>
      <c r="F2079" s="3" t="inlineStr">
        <is>
          <t>mean</t>
        </is>
      </c>
      <c r="G2079" s="3" t="n">
        <v>8</v>
      </c>
      <c r="H2079" s="3" t="n">
        <v>-0.7913810610771179</v>
      </c>
      <c r="I2079" s="3" t="n">
        <v>-0.7913810610771179</v>
      </c>
      <c r="J2079" s="3" t="n">
        <v>-0.9144601821899414</v>
      </c>
      <c r="K2079" s="3" t="n">
        <v>-0.9144601821899414</v>
      </c>
      <c r="L2079" s="3" t="n">
        <v>-0.7913810610771179</v>
      </c>
      <c r="M2079" s="3" t="n">
        <v>-0.7913810610771179</v>
      </c>
      <c r="N2079" s="3" t="n">
        <v>-0.7913810610771179</v>
      </c>
      <c r="O2079" s="3" t="n">
        <v>-0.7913810610771179</v>
      </c>
      <c r="P2079" s="3" t="n">
        <v>-0.7913810610771179</v>
      </c>
      <c r="Q2079" s="3" t="n">
        <v>-0.7913810610771179</v>
      </c>
      <c r="R2079" s="3" t="n">
        <v>-0.7752549052238464</v>
      </c>
      <c r="S2079" s="3" t="n">
        <v>-1.63406503200531</v>
      </c>
      <c r="T2079" s="3" t="n">
        <v>-0.7100409269332886</v>
      </c>
      <c r="U2079" s="3" t="n">
        <v>-0.9144601821899414</v>
      </c>
      <c r="V2079" s="3" t="n">
        <v>-0.6857081055641174</v>
      </c>
      <c r="W2079" s="3" t="n">
        <v>-0.6129869222640991</v>
      </c>
      <c r="X2079" s="3" t="n">
        <v>-1.599442481994629</v>
      </c>
      <c r="Y2079" s="3" t="n">
        <v>-0.7913810610771179</v>
      </c>
      <c r="Z2079" s="3" t="n">
        <v>-1.63406503200531</v>
      </c>
      <c r="AA2079" s="3" t="n">
        <v>-1.63406503200531</v>
      </c>
      <c r="AB2079" s="3" t="n">
        <v>-1.599442481994629</v>
      </c>
      <c r="AC2079" s="3" t="n">
        <v>-8.256087303161621</v>
      </c>
      <c r="AD2079" s="3" t="n">
        <v>-0.9144601821899414</v>
      </c>
      <c r="AE2079" s="3" t="n">
        <v>-0.9144601821899414</v>
      </c>
    </row>
    <row r="2080">
      <c r="A2080" s="3" t="inlineStr">
        <is>
          <t>TCD.distn.dec.ove.mean.9</t>
        </is>
      </c>
      <c r="B2080" s="3" t="inlineStr">
        <is>
          <t>TCD</t>
        </is>
      </c>
      <c r="C2080" s="3" t="n">
        <v>2005</v>
      </c>
      <c r="D2080" s="3" t="inlineStr">
        <is>
          <t>Overall</t>
        </is>
      </c>
      <c r="E2080" s="3" t="inlineStr">
        <is>
          <t>Deciles</t>
        </is>
      </c>
      <c r="F2080" s="3" t="inlineStr">
        <is>
          <t>mean</t>
        </is>
      </c>
      <c r="G2080" s="3" t="n">
        <v>9</v>
      </c>
      <c r="H2080" s="3" t="n">
        <v>-0.7913810610771179</v>
      </c>
      <c r="I2080" s="3" t="n">
        <v>-0.7913810610771179</v>
      </c>
      <c r="J2080" s="3" t="n">
        <v>-0.9144601821899414</v>
      </c>
      <c r="K2080" s="3" t="n">
        <v>-0.9144601821899414</v>
      </c>
      <c r="L2080" s="3" t="n">
        <v>-0.7913810610771179</v>
      </c>
      <c r="M2080" s="3" t="n">
        <v>-0.7913810610771179</v>
      </c>
      <c r="N2080" s="3" t="n">
        <v>-0.7913810610771179</v>
      </c>
      <c r="O2080" s="3" t="n">
        <v>-0.7913810610771179</v>
      </c>
      <c r="P2080" s="3" t="n">
        <v>-0.7913810610771179</v>
      </c>
      <c r="Q2080" s="3" t="n">
        <v>-0.7913810610771179</v>
      </c>
      <c r="R2080" s="3" t="n">
        <v>-0.7752549052238464</v>
      </c>
      <c r="S2080" s="3" t="n">
        <v>-1.63406503200531</v>
      </c>
      <c r="T2080" s="3" t="n">
        <v>-0.7100409269332886</v>
      </c>
      <c r="U2080" s="3" t="n">
        <v>-0.9144601821899414</v>
      </c>
      <c r="V2080" s="3" t="n">
        <v>-0.6857081055641174</v>
      </c>
      <c r="W2080" s="3" t="n">
        <v>-0.6129869222640991</v>
      </c>
      <c r="X2080" s="3" t="n">
        <v>-1.599442481994629</v>
      </c>
      <c r="Y2080" s="3" t="n">
        <v>-0.7913810610771179</v>
      </c>
      <c r="Z2080" s="3" t="n">
        <v>-1.63406503200531</v>
      </c>
      <c r="AA2080" s="3" t="n">
        <v>-1.63406503200531</v>
      </c>
      <c r="AB2080" s="3" t="n">
        <v>-1.599442481994629</v>
      </c>
      <c r="AC2080" s="3" t="n">
        <v>-8.256087303161621</v>
      </c>
      <c r="AD2080" s="3" t="n">
        <v>-0.9144601821899414</v>
      </c>
      <c r="AE2080" s="3" t="n">
        <v>-0.9144601821899414</v>
      </c>
    </row>
    <row r="2081">
      <c r="A2081" s="3" t="inlineStr">
        <is>
          <t>TCD.distn.dec.ove.mean.10</t>
        </is>
      </c>
      <c r="B2081" s="3" t="inlineStr">
        <is>
          <t>TCD</t>
        </is>
      </c>
      <c r="C2081" s="3" t="n">
        <v>2005</v>
      </c>
      <c r="D2081" s="3" t="inlineStr">
        <is>
          <t>Overall</t>
        </is>
      </c>
      <c r="E2081" s="3" t="inlineStr">
        <is>
          <t>Deciles</t>
        </is>
      </c>
      <c r="F2081" s="3" t="inlineStr">
        <is>
          <t>mean</t>
        </is>
      </c>
      <c r="G2081" s="3" t="n">
        <v>10</v>
      </c>
      <c r="H2081" s="3" t="n">
        <v>-0.7913810610771179</v>
      </c>
      <c r="I2081" s="3" t="n">
        <v>-0.7913810610771179</v>
      </c>
      <c r="J2081" s="3" t="n">
        <v>-0.9144601821899414</v>
      </c>
      <c r="K2081" s="3" t="n">
        <v>-0.9144601821899414</v>
      </c>
      <c r="L2081" s="3" t="n">
        <v>-0.7913810610771179</v>
      </c>
      <c r="M2081" s="3" t="n">
        <v>-0.7913810610771179</v>
      </c>
      <c r="N2081" s="3" t="n">
        <v>-0.7913810610771179</v>
      </c>
      <c r="O2081" s="3" t="n">
        <v>-0.7913810610771179</v>
      </c>
      <c r="P2081" s="3" t="n">
        <v>-0.7913810610771179</v>
      </c>
      <c r="Q2081" s="3" t="n">
        <v>-0.7913810610771179</v>
      </c>
      <c r="R2081" s="3" t="n">
        <v>-0.7752549052238464</v>
      </c>
      <c r="S2081" s="3" t="n">
        <v>-1.63406503200531</v>
      </c>
      <c r="T2081" s="3" t="n">
        <v>-0.7100409269332886</v>
      </c>
      <c r="U2081" s="3" t="n">
        <v>-0.9144601821899414</v>
      </c>
      <c r="V2081" s="3" t="n">
        <v>-0.6857081055641174</v>
      </c>
      <c r="W2081" s="3" t="n">
        <v>-0.6129869222640991</v>
      </c>
      <c r="X2081" s="3" t="n">
        <v>-1.599442481994629</v>
      </c>
      <c r="Y2081" s="3" t="n">
        <v>-0.7913810610771179</v>
      </c>
      <c r="Z2081" s="3" t="n">
        <v>-1.63406503200531</v>
      </c>
      <c r="AA2081" s="3" t="n">
        <v>-1.63406503200531</v>
      </c>
      <c r="AB2081" s="3" t="n">
        <v>-1.599442481994629</v>
      </c>
      <c r="AC2081" s="3" t="n">
        <v>-8.256087303161621</v>
      </c>
      <c r="AD2081" s="3" t="n">
        <v>-0.9144601821899414</v>
      </c>
      <c r="AE2081" s="3" t="n">
        <v>-0.9144601821899414</v>
      </c>
    </row>
    <row r="2082">
      <c r="A2082" s="3" t="inlineStr">
        <is>
          <t>TCD.distn.bkt.ove.mean.9999</t>
        </is>
      </c>
      <c r="B2082" s="3" t="inlineStr">
        <is>
          <t>TCD</t>
        </is>
      </c>
      <c r="C2082" s="3" t="n">
        <v>2005</v>
      </c>
      <c r="D2082" s="3" t="inlineStr">
        <is>
          <t>Overall</t>
        </is>
      </c>
      <c r="E2082" s="3" t="inlineStr">
        <is>
          <t>Basket</t>
        </is>
      </c>
      <c r="F2082" s="3" t="inlineStr">
        <is>
          <t>mean</t>
        </is>
      </c>
      <c r="G2082" s="3" t="n">
        <v>9999</v>
      </c>
      <c r="H2082" s="3" t="n">
        <v>-0.7930081486701965</v>
      </c>
      <c r="I2082" s="3" t="n">
        <v>-0.7930081486701965</v>
      </c>
      <c r="J2082" s="3" t="n">
        <v>-0.9266299605369568</v>
      </c>
      <c r="K2082" s="3" t="n">
        <v>-0.9266299605369568</v>
      </c>
      <c r="L2082" s="3" t="n">
        <v>-0.7930081486701965</v>
      </c>
      <c r="M2082" s="3" t="n">
        <v>-0.7930081486701965</v>
      </c>
      <c r="N2082" s="3" t="n">
        <v>-0.7930081486701965</v>
      </c>
      <c r="O2082" s="3" t="n">
        <v>-0.7930081486701965</v>
      </c>
      <c r="P2082" s="3" t="n">
        <v>-0.7930081486701965</v>
      </c>
      <c r="Q2082" s="3" t="n">
        <v>-0.7930081486701965</v>
      </c>
      <c r="R2082" s="3" t="n">
        <v>-0.7761244773864746</v>
      </c>
      <c r="S2082" s="3" t="n">
        <v>-1.850919008255005</v>
      </c>
      <c r="T2082" s="3" t="n">
        <v>-0.7104492783546448</v>
      </c>
      <c r="U2082" s="3" t="n">
        <v>-0.9266299605369568</v>
      </c>
      <c r="V2082" s="3" t="n">
        <v>-0.6873235702514648</v>
      </c>
      <c r="W2082" s="3" t="n">
        <v>-0.6355034708976746</v>
      </c>
      <c r="X2082" s="3" t="n">
        <v>-1.787598371505737</v>
      </c>
      <c r="Y2082" s="3" t="n">
        <v>-0.7930081486701965</v>
      </c>
      <c r="Z2082" s="3" t="n">
        <v>-1.850919008255005</v>
      </c>
      <c r="AA2082" s="3" t="n">
        <v>-1.850919008255005</v>
      </c>
      <c r="AB2082" s="3" t="n">
        <v>-1.787598371505737</v>
      </c>
      <c r="AC2082" s="3" t="n">
        <v>-10.78953742980957</v>
      </c>
      <c r="AD2082" s="3" t="n">
        <v>-0.9266299605369568</v>
      </c>
      <c r="AE2082" s="3" t="n">
        <v>-0.9266299605369568</v>
      </c>
    </row>
    <row r="2083">
      <c r="A2083" s="3" t="inlineStr">
        <is>
          <t>TGO.distn.dec.ove.mean.1</t>
        </is>
      </c>
      <c r="B2083" s="3" t="inlineStr">
        <is>
          <t>TGO</t>
        </is>
      </c>
      <c r="C2083" s="3" t="n">
        <v>2005</v>
      </c>
      <c r="D2083" s="3" t="inlineStr">
        <is>
          <t>Overall</t>
        </is>
      </c>
      <c r="E2083" s="3" t="inlineStr">
        <is>
          <t>Deciles</t>
        </is>
      </c>
      <c r="F2083" s="3" t="inlineStr">
        <is>
          <t>mean</t>
        </is>
      </c>
      <c r="G2083" s="3" t="n">
        <v>1</v>
      </c>
      <c r="H2083" s="3" t="n">
        <v>-0.7963047623634338</v>
      </c>
      <c r="I2083" s="3" t="n">
        <v>-0.7963047623634338</v>
      </c>
      <c r="J2083" s="3" t="n">
        <v>-0.945697009563446</v>
      </c>
      <c r="K2083" s="3" t="n">
        <v>-0.945697009563446</v>
      </c>
      <c r="L2083" s="3" t="n">
        <v>-0.7963047623634338</v>
      </c>
      <c r="M2083" s="3" t="n">
        <v>-0.7963047623634338</v>
      </c>
      <c r="N2083" s="3" t="n">
        <v>-0.7963047623634338</v>
      </c>
      <c r="O2083" s="3" t="n">
        <v>-0.7963047623634338</v>
      </c>
      <c r="P2083" s="3" t="n">
        <v>-0.7963047623634338</v>
      </c>
      <c r="Q2083" s="3" t="n">
        <v>-0.7963047623634338</v>
      </c>
      <c r="R2083" s="3" t="n">
        <v>-0.7774887681007385</v>
      </c>
      <c r="S2083" s="3" t="n">
        <v>-2.042251348495483</v>
      </c>
      <c r="T2083" s="3" t="n">
        <v>-0.7114566564559937</v>
      </c>
      <c r="U2083" s="3" t="n">
        <v>-0.945697009563446</v>
      </c>
      <c r="V2083" s="3" t="n">
        <v>-0.6910269260406494</v>
      </c>
      <c r="W2083" s="3" t="n">
        <v>-0.6998523473739624</v>
      </c>
      <c r="X2083" s="3" t="n">
        <v>-1.944072365760803</v>
      </c>
      <c r="Y2083" s="3" t="n">
        <v>-0.7963047623634338</v>
      </c>
      <c r="Z2083" s="3" t="n">
        <v>-2.042251348495483</v>
      </c>
      <c r="AA2083" s="3" t="n">
        <v>-2.042251348495483</v>
      </c>
      <c r="AB2083" s="3" t="n">
        <v>-1.944072365760803</v>
      </c>
      <c r="AC2083" s="3" t="n">
        <v>-5.452219486236572</v>
      </c>
      <c r="AD2083" s="3" t="n">
        <v>-0.945697009563446</v>
      </c>
      <c r="AE2083" s="3" t="n">
        <v>-0.945697009563446</v>
      </c>
    </row>
    <row r="2084">
      <c r="A2084" s="3" t="inlineStr">
        <is>
          <t>TGO.distn.dec.ove.mean.2</t>
        </is>
      </c>
      <c r="B2084" s="3" t="inlineStr">
        <is>
          <t>TGO</t>
        </is>
      </c>
      <c r="C2084" s="3" t="n">
        <v>2005</v>
      </c>
      <c r="D2084" s="3" t="inlineStr">
        <is>
          <t>Overall</t>
        </is>
      </c>
      <c r="E2084" s="3" t="inlineStr">
        <is>
          <t>Deciles</t>
        </is>
      </c>
      <c r="F2084" s="3" t="inlineStr">
        <is>
          <t>mean</t>
        </is>
      </c>
      <c r="G2084" s="3" t="n">
        <v>2</v>
      </c>
      <c r="H2084" s="3" t="n">
        <v>-0.7963047623634338</v>
      </c>
      <c r="I2084" s="3" t="n">
        <v>-0.7963047623634338</v>
      </c>
      <c r="J2084" s="3" t="n">
        <v>-0.945697009563446</v>
      </c>
      <c r="K2084" s="3" t="n">
        <v>-0.945697009563446</v>
      </c>
      <c r="L2084" s="3" t="n">
        <v>-0.7963047623634338</v>
      </c>
      <c r="M2084" s="3" t="n">
        <v>-0.7963047623634338</v>
      </c>
      <c r="N2084" s="3" t="n">
        <v>-0.7963047623634338</v>
      </c>
      <c r="O2084" s="3" t="n">
        <v>-0.7963047623634338</v>
      </c>
      <c r="P2084" s="3" t="n">
        <v>-0.7963047623634338</v>
      </c>
      <c r="Q2084" s="3" t="n">
        <v>-0.7963047623634338</v>
      </c>
      <c r="R2084" s="3" t="n">
        <v>-0.7774887681007385</v>
      </c>
      <c r="S2084" s="3" t="n">
        <v>-2.042251348495483</v>
      </c>
      <c r="T2084" s="3" t="n">
        <v>-0.7114566564559937</v>
      </c>
      <c r="U2084" s="3" t="n">
        <v>-0.945697009563446</v>
      </c>
      <c r="V2084" s="3" t="n">
        <v>-0.6910269260406494</v>
      </c>
      <c r="W2084" s="3" t="n">
        <v>-0.6998523473739624</v>
      </c>
      <c r="X2084" s="3" t="n">
        <v>-1.944072365760803</v>
      </c>
      <c r="Y2084" s="3" t="n">
        <v>-0.7963047623634338</v>
      </c>
      <c r="Z2084" s="3" t="n">
        <v>-2.042251348495483</v>
      </c>
      <c r="AA2084" s="3" t="n">
        <v>-2.042251348495483</v>
      </c>
      <c r="AB2084" s="3" t="n">
        <v>-1.944072365760803</v>
      </c>
      <c r="AC2084" s="3" t="n">
        <v>-5.452219486236572</v>
      </c>
      <c r="AD2084" s="3" t="n">
        <v>-0.945697009563446</v>
      </c>
      <c r="AE2084" s="3" t="n">
        <v>-0.945697009563446</v>
      </c>
    </row>
    <row r="2085">
      <c r="A2085" s="3" t="inlineStr">
        <is>
          <t>TGO.distn.dec.ove.mean.3</t>
        </is>
      </c>
      <c r="B2085" s="3" t="inlineStr">
        <is>
          <t>TGO</t>
        </is>
      </c>
      <c r="C2085" s="3" t="n">
        <v>2005</v>
      </c>
      <c r="D2085" s="3" t="inlineStr">
        <is>
          <t>Overall</t>
        </is>
      </c>
      <c r="E2085" s="3" t="inlineStr">
        <is>
          <t>Deciles</t>
        </is>
      </c>
      <c r="F2085" s="3" t="inlineStr">
        <is>
          <t>mean</t>
        </is>
      </c>
      <c r="G2085" s="3" t="n">
        <v>3</v>
      </c>
      <c r="H2085" s="3" t="n">
        <v>-0.7963047623634338</v>
      </c>
      <c r="I2085" s="3" t="n">
        <v>-0.7963047623634338</v>
      </c>
      <c r="J2085" s="3" t="n">
        <v>-0.945697009563446</v>
      </c>
      <c r="K2085" s="3" t="n">
        <v>-0.945697009563446</v>
      </c>
      <c r="L2085" s="3" t="n">
        <v>-0.7963047623634338</v>
      </c>
      <c r="M2085" s="3" t="n">
        <v>-0.7963047623634338</v>
      </c>
      <c r="N2085" s="3" t="n">
        <v>-0.7963047623634338</v>
      </c>
      <c r="O2085" s="3" t="n">
        <v>-0.7963047623634338</v>
      </c>
      <c r="P2085" s="3" t="n">
        <v>-0.7963047623634338</v>
      </c>
      <c r="Q2085" s="3" t="n">
        <v>-0.7963047623634338</v>
      </c>
      <c r="R2085" s="3" t="n">
        <v>-0.7774887681007385</v>
      </c>
      <c r="S2085" s="3" t="n">
        <v>-2.042251348495483</v>
      </c>
      <c r="T2085" s="3" t="n">
        <v>-0.7114566564559937</v>
      </c>
      <c r="U2085" s="3" t="n">
        <v>-0.945697009563446</v>
      </c>
      <c r="V2085" s="3" t="n">
        <v>-0.6910269260406494</v>
      </c>
      <c r="W2085" s="3" t="n">
        <v>-0.6998523473739624</v>
      </c>
      <c r="X2085" s="3" t="n">
        <v>-1.944072365760803</v>
      </c>
      <c r="Y2085" s="3" t="n">
        <v>-0.7963047623634338</v>
      </c>
      <c r="Z2085" s="3" t="n">
        <v>-2.042251348495483</v>
      </c>
      <c r="AA2085" s="3" t="n">
        <v>-2.042251348495483</v>
      </c>
      <c r="AB2085" s="3" t="n">
        <v>-1.944072365760803</v>
      </c>
      <c r="AC2085" s="3" t="n">
        <v>-5.452219486236572</v>
      </c>
      <c r="AD2085" s="3" t="n">
        <v>-0.945697009563446</v>
      </c>
      <c r="AE2085" s="3" t="n">
        <v>-0.945697009563446</v>
      </c>
    </row>
    <row r="2086">
      <c r="A2086" s="3" t="inlineStr">
        <is>
          <t>TGO.distn.dec.ove.mean.4</t>
        </is>
      </c>
      <c r="B2086" s="3" t="inlineStr">
        <is>
          <t>TGO</t>
        </is>
      </c>
      <c r="C2086" s="3" t="n">
        <v>2005</v>
      </c>
      <c r="D2086" s="3" t="inlineStr">
        <is>
          <t>Overall</t>
        </is>
      </c>
      <c r="E2086" s="3" t="inlineStr">
        <is>
          <t>Deciles</t>
        </is>
      </c>
      <c r="F2086" s="3" t="inlineStr">
        <is>
          <t>mean</t>
        </is>
      </c>
      <c r="G2086" s="3" t="n">
        <v>4</v>
      </c>
      <c r="H2086" s="3" t="n">
        <v>-0.7900000214576721</v>
      </c>
      <c r="I2086" s="3" t="n">
        <v>-0.7900000214576721</v>
      </c>
      <c r="J2086" s="3" t="n">
        <v>-0.8999999761581421</v>
      </c>
      <c r="K2086" s="3" t="n">
        <v>-0.8999999761581421</v>
      </c>
      <c r="L2086" s="3" t="n">
        <v>-0.7900000214576721</v>
      </c>
      <c r="M2086" s="3" t="n">
        <v>-0.7900000214576721</v>
      </c>
      <c r="N2086" s="3" t="n">
        <v>-0.7900000214576721</v>
      </c>
      <c r="O2086" s="3" t="n">
        <v>-0.7900000214576721</v>
      </c>
      <c r="P2086" s="3" t="n">
        <v>-0.7900000214576721</v>
      </c>
      <c r="Q2086" s="3" t="n">
        <v>-0.7900000214576721</v>
      </c>
      <c r="R2086" s="3" t="n">
        <v>-0.7739999890327454</v>
      </c>
      <c r="S2086" s="3" t="n">
        <v>-1.391000032424927</v>
      </c>
      <c r="T2086" s="3" t="n">
        <v>-0.7099999785423279</v>
      </c>
      <c r="U2086" s="3" t="n">
        <v>-0.8999999761581421</v>
      </c>
      <c r="V2086" s="3" t="n">
        <v>-0.6840000152587891</v>
      </c>
      <c r="W2086" s="3" t="n">
        <v>-0.5889999866485596</v>
      </c>
      <c r="X2086" s="3" t="n">
        <v>-1.371999979019165</v>
      </c>
      <c r="Y2086" s="3" t="n">
        <v>-0.7900000214576721</v>
      </c>
      <c r="Z2086" s="3" t="n">
        <v>-1.391000032424927</v>
      </c>
      <c r="AA2086" s="3" t="n">
        <v>-1.391000032424927</v>
      </c>
      <c r="AB2086" s="3" t="n">
        <v>-1.371999979019165</v>
      </c>
      <c r="AC2086" s="3" t="n">
        <v>-2.632999897003174</v>
      </c>
      <c r="AD2086" s="3" t="n">
        <v>-0.8999999761581421</v>
      </c>
      <c r="AE2086" s="3" t="n">
        <v>-0.8999999761581421</v>
      </c>
    </row>
    <row r="2087">
      <c r="A2087" s="3" t="inlineStr">
        <is>
          <t>TGO.distn.dec.ove.mean.5</t>
        </is>
      </c>
      <c r="B2087" s="3" t="inlineStr">
        <is>
          <t>TGO</t>
        </is>
      </c>
      <c r="C2087" s="3" t="n">
        <v>2005</v>
      </c>
      <c r="D2087" s="3" t="inlineStr">
        <is>
          <t>Overall</t>
        </is>
      </c>
      <c r="E2087" s="3" t="inlineStr">
        <is>
          <t>Deciles</t>
        </is>
      </c>
      <c r="F2087" s="3" t="inlineStr">
        <is>
          <t>mean</t>
        </is>
      </c>
      <c r="G2087" s="3" t="n">
        <v>5</v>
      </c>
      <c r="H2087" s="3" t="n">
        <v>-0.7900000214576721</v>
      </c>
      <c r="I2087" s="3" t="n">
        <v>-0.7900000214576721</v>
      </c>
      <c r="J2087" s="3" t="n">
        <v>-0.8999999761581421</v>
      </c>
      <c r="K2087" s="3" t="n">
        <v>-0.8999999761581421</v>
      </c>
      <c r="L2087" s="3" t="n">
        <v>-0.7900000214576721</v>
      </c>
      <c r="M2087" s="3" t="n">
        <v>-0.7900000214576721</v>
      </c>
      <c r="N2087" s="3" t="n">
        <v>-0.7900000214576721</v>
      </c>
      <c r="O2087" s="3" t="n">
        <v>-0.7900000214576721</v>
      </c>
      <c r="P2087" s="3" t="n">
        <v>-0.7900000214576721</v>
      </c>
      <c r="Q2087" s="3" t="n">
        <v>-0.7900000214576721</v>
      </c>
      <c r="R2087" s="3" t="n">
        <v>-0.7739999890327454</v>
      </c>
      <c r="S2087" s="3" t="n">
        <v>-1.391000032424927</v>
      </c>
      <c r="T2087" s="3" t="n">
        <v>-0.7099999785423279</v>
      </c>
      <c r="U2087" s="3" t="n">
        <v>-0.8999999761581421</v>
      </c>
      <c r="V2087" s="3" t="n">
        <v>-0.6840000152587891</v>
      </c>
      <c r="W2087" s="3" t="n">
        <v>-0.5889999866485596</v>
      </c>
      <c r="X2087" s="3" t="n">
        <v>-1.371999979019165</v>
      </c>
      <c r="Y2087" s="3" t="n">
        <v>-0.7900000214576721</v>
      </c>
      <c r="Z2087" s="3" t="n">
        <v>-1.391000032424927</v>
      </c>
      <c r="AA2087" s="3" t="n">
        <v>-1.391000032424927</v>
      </c>
      <c r="AB2087" s="3" t="n">
        <v>-1.371999979019165</v>
      </c>
      <c r="AC2087" s="3" t="n">
        <v>-2.632999897003174</v>
      </c>
      <c r="AD2087" s="3" t="n">
        <v>-0.8999999761581421</v>
      </c>
      <c r="AE2087" s="3" t="n">
        <v>-0.8999999761581421</v>
      </c>
    </row>
    <row r="2088">
      <c r="A2088" s="3" t="inlineStr">
        <is>
          <t>TGO.distn.dec.ove.mean.6</t>
        </is>
      </c>
      <c r="B2088" s="3" t="inlineStr">
        <is>
          <t>TGO</t>
        </is>
      </c>
      <c r="C2088" s="3" t="n">
        <v>2005</v>
      </c>
      <c r="D2088" s="3" t="inlineStr">
        <is>
          <t>Overall</t>
        </is>
      </c>
      <c r="E2088" s="3" t="inlineStr">
        <is>
          <t>Deciles</t>
        </is>
      </c>
      <c r="F2088" s="3" t="inlineStr">
        <is>
          <t>mean</t>
        </is>
      </c>
      <c r="G2088" s="3" t="n">
        <v>6</v>
      </c>
      <c r="H2088" s="3" t="n">
        <v>-0.7900000214576721</v>
      </c>
      <c r="I2088" s="3" t="n">
        <v>-0.7900000214576721</v>
      </c>
      <c r="J2088" s="3" t="n">
        <v>-0.8999999761581421</v>
      </c>
      <c r="K2088" s="3" t="n">
        <v>-0.8999999761581421</v>
      </c>
      <c r="L2088" s="3" t="n">
        <v>-0.7900000214576721</v>
      </c>
      <c r="M2088" s="3" t="n">
        <v>-0.7900000214576721</v>
      </c>
      <c r="N2088" s="3" t="n">
        <v>-0.7900000214576721</v>
      </c>
      <c r="O2088" s="3" t="n">
        <v>-0.7900000214576721</v>
      </c>
      <c r="P2088" s="3" t="n">
        <v>-0.7900000214576721</v>
      </c>
      <c r="Q2088" s="3" t="n">
        <v>-0.7900000214576721</v>
      </c>
      <c r="R2088" s="3" t="n">
        <v>-0.7739999890327454</v>
      </c>
      <c r="S2088" s="3" t="n">
        <v>-1.391000032424927</v>
      </c>
      <c r="T2088" s="3" t="n">
        <v>-0.7099999785423279</v>
      </c>
      <c r="U2088" s="3" t="n">
        <v>-0.8999999761581421</v>
      </c>
      <c r="V2088" s="3" t="n">
        <v>-0.6840000152587891</v>
      </c>
      <c r="W2088" s="3" t="n">
        <v>-0.5889999866485596</v>
      </c>
      <c r="X2088" s="3" t="n">
        <v>-1.371999979019165</v>
      </c>
      <c r="Y2088" s="3" t="n">
        <v>-0.7900000214576721</v>
      </c>
      <c r="Z2088" s="3" t="n">
        <v>-1.391000032424927</v>
      </c>
      <c r="AA2088" s="3" t="n">
        <v>-1.391000032424927</v>
      </c>
      <c r="AB2088" s="3" t="n">
        <v>-1.371999979019165</v>
      </c>
      <c r="AC2088" s="3" t="n">
        <v>-2.632999897003174</v>
      </c>
      <c r="AD2088" s="3" t="n">
        <v>-0.8999999761581421</v>
      </c>
      <c r="AE2088" s="3" t="n">
        <v>-0.8999999761581421</v>
      </c>
    </row>
    <row r="2089">
      <c r="A2089" s="3" t="inlineStr">
        <is>
          <t>TGO.distn.dec.ove.mean.7</t>
        </is>
      </c>
      <c r="B2089" s="3" t="inlineStr">
        <is>
          <t>TGO</t>
        </is>
      </c>
      <c r="C2089" s="3" t="n">
        <v>2005</v>
      </c>
      <c r="D2089" s="3" t="inlineStr">
        <is>
          <t>Overall</t>
        </is>
      </c>
      <c r="E2089" s="3" t="inlineStr">
        <is>
          <t>Deciles</t>
        </is>
      </c>
      <c r="F2089" s="3" t="inlineStr">
        <is>
          <t>mean</t>
        </is>
      </c>
      <c r="G2089" s="3" t="n">
        <v>7</v>
      </c>
      <c r="H2089" s="3" t="n">
        <v>-0.7900000214576721</v>
      </c>
      <c r="I2089" s="3" t="n">
        <v>-0.7900000214576721</v>
      </c>
      <c r="J2089" s="3" t="n">
        <v>-0.8999999761581421</v>
      </c>
      <c r="K2089" s="3" t="n">
        <v>-0.8999999761581421</v>
      </c>
      <c r="L2089" s="3" t="n">
        <v>-0.7900000214576721</v>
      </c>
      <c r="M2089" s="3" t="n">
        <v>-0.7900000214576721</v>
      </c>
      <c r="N2089" s="3" t="n">
        <v>-0.7900000214576721</v>
      </c>
      <c r="O2089" s="3" t="n">
        <v>-0.7900000214576721</v>
      </c>
      <c r="P2089" s="3" t="n">
        <v>-0.7900000214576721</v>
      </c>
      <c r="Q2089" s="3" t="n">
        <v>-0.7900000214576721</v>
      </c>
      <c r="R2089" s="3" t="n">
        <v>-0.7739999890327454</v>
      </c>
      <c r="S2089" s="3" t="n">
        <v>-1.391000032424927</v>
      </c>
      <c r="T2089" s="3" t="n">
        <v>-0.7099999785423279</v>
      </c>
      <c r="U2089" s="3" t="n">
        <v>-0.8999999761581421</v>
      </c>
      <c r="V2089" s="3" t="n">
        <v>-0.6840000152587891</v>
      </c>
      <c r="W2089" s="3" t="n">
        <v>-0.5889999866485596</v>
      </c>
      <c r="X2089" s="3" t="n">
        <v>-1.371999979019165</v>
      </c>
      <c r="Y2089" s="3" t="n">
        <v>-0.7900000214576721</v>
      </c>
      <c r="Z2089" s="3" t="n">
        <v>-1.391000032424927</v>
      </c>
      <c r="AA2089" s="3" t="n">
        <v>-1.391000032424927</v>
      </c>
      <c r="AB2089" s="3" t="n">
        <v>-1.371999979019165</v>
      </c>
      <c r="AC2089" s="3" t="n">
        <v>-2.632999897003174</v>
      </c>
      <c r="AD2089" s="3" t="n">
        <v>-0.8999999761581421</v>
      </c>
      <c r="AE2089" s="3" t="n">
        <v>-0.8999999761581421</v>
      </c>
    </row>
    <row r="2090">
      <c r="A2090" s="3" t="inlineStr">
        <is>
          <t>TGO.distn.dec.ove.mean.8</t>
        </is>
      </c>
      <c r="B2090" s="3" t="inlineStr">
        <is>
          <t>TGO</t>
        </is>
      </c>
      <c r="C2090" s="3" t="n">
        <v>2005</v>
      </c>
      <c r="D2090" s="3" t="inlineStr">
        <is>
          <t>Overall</t>
        </is>
      </c>
      <c r="E2090" s="3" t="inlineStr">
        <is>
          <t>Deciles</t>
        </is>
      </c>
      <c r="F2090" s="3" t="inlineStr">
        <is>
          <t>mean</t>
        </is>
      </c>
      <c r="G2090" s="3" t="n">
        <v>8</v>
      </c>
      <c r="H2090" s="3" t="n">
        <v>-0.790380597114563</v>
      </c>
      <c r="I2090" s="3" t="n">
        <v>-0.790380597114563</v>
      </c>
      <c r="J2090" s="3" t="n">
        <v>-0.9024278521537781</v>
      </c>
      <c r="K2090" s="3" t="n">
        <v>-0.9024278521537781</v>
      </c>
      <c r="L2090" s="3" t="n">
        <v>-0.790380597114563</v>
      </c>
      <c r="M2090" s="3" t="n">
        <v>-0.790380597114563</v>
      </c>
      <c r="N2090" s="3" t="n">
        <v>-0.790380597114563</v>
      </c>
      <c r="O2090" s="3" t="n">
        <v>-0.790380597114563</v>
      </c>
      <c r="P2090" s="3" t="n">
        <v>-0.790380597114563</v>
      </c>
      <c r="Q2090" s="3" t="n">
        <v>-0.790380597114563</v>
      </c>
      <c r="R2090" s="3" t="n">
        <v>-0.7742545604705811</v>
      </c>
      <c r="S2090" s="3" t="n">
        <v>-1.403943419456482</v>
      </c>
      <c r="T2090" s="3" t="n">
        <v>-0.7100409269332886</v>
      </c>
      <c r="U2090" s="3" t="n">
        <v>-0.9024278521537781</v>
      </c>
      <c r="V2090" s="3" t="n">
        <v>-0.6847071051597595</v>
      </c>
      <c r="W2090" s="3" t="n">
        <v>-0.604772686958313</v>
      </c>
      <c r="X2090" s="3" t="n">
        <v>-1.384501695632935</v>
      </c>
      <c r="Y2090" s="3" t="n">
        <v>-0.790380597114563</v>
      </c>
      <c r="Z2090" s="3" t="n">
        <v>-1.403943419456482</v>
      </c>
      <c r="AA2090" s="3" t="n">
        <v>-1.403943419456482</v>
      </c>
      <c r="AB2090" s="3" t="n">
        <v>-1.384501695632935</v>
      </c>
      <c r="AC2090" s="3" t="n">
        <v>-2.670550107955933</v>
      </c>
      <c r="AD2090" s="3" t="n">
        <v>-0.9024278521537781</v>
      </c>
      <c r="AE2090" s="3" t="n">
        <v>-0.9024278521537781</v>
      </c>
    </row>
    <row r="2091">
      <c r="A2091" s="3" t="inlineStr">
        <is>
          <t>TGO.distn.dec.ove.mean.9</t>
        </is>
      </c>
      <c r="B2091" s="3" t="inlineStr">
        <is>
          <t>TGO</t>
        </is>
      </c>
      <c r="C2091" s="3" t="n">
        <v>2005</v>
      </c>
      <c r="D2091" s="3" t="inlineStr">
        <is>
          <t>Overall</t>
        </is>
      </c>
      <c r="E2091" s="3" t="inlineStr">
        <is>
          <t>Deciles</t>
        </is>
      </c>
      <c r="F2091" s="3" t="inlineStr">
        <is>
          <t>mean</t>
        </is>
      </c>
      <c r="G2091" s="3" t="n">
        <v>9</v>
      </c>
      <c r="H2091" s="3" t="n">
        <v>-0.790380597114563</v>
      </c>
      <c r="I2091" s="3" t="n">
        <v>-0.790380597114563</v>
      </c>
      <c r="J2091" s="3" t="n">
        <v>-0.9024278521537781</v>
      </c>
      <c r="K2091" s="3" t="n">
        <v>-0.9024278521537781</v>
      </c>
      <c r="L2091" s="3" t="n">
        <v>-0.790380597114563</v>
      </c>
      <c r="M2091" s="3" t="n">
        <v>-0.790380597114563</v>
      </c>
      <c r="N2091" s="3" t="n">
        <v>-0.790380597114563</v>
      </c>
      <c r="O2091" s="3" t="n">
        <v>-0.790380597114563</v>
      </c>
      <c r="P2091" s="3" t="n">
        <v>-0.790380597114563</v>
      </c>
      <c r="Q2091" s="3" t="n">
        <v>-0.790380597114563</v>
      </c>
      <c r="R2091" s="3" t="n">
        <v>-0.7742545604705811</v>
      </c>
      <c r="S2091" s="3" t="n">
        <v>-1.403943419456482</v>
      </c>
      <c r="T2091" s="3" t="n">
        <v>-0.7100409269332886</v>
      </c>
      <c r="U2091" s="3" t="n">
        <v>-0.9024278521537781</v>
      </c>
      <c r="V2091" s="3" t="n">
        <v>-0.6847071051597595</v>
      </c>
      <c r="W2091" s="3" t="n">
        <v>-0.604772686958313</v>
      </c>
      <c r="X2091" s="3" t="n">
        <v>-1.384501695632935</v>
      </c>
      <c r="Y2091" s="3" t="n">
        <v>-0.790380597114563</v>
      </c>
      <c r="Z2091" s="3" t="n">
        <v>-1.403943419456482</v>
      </c>
      <c r="AA2091" s="3" t="n">
        <v>-1.403943419456482</v>
      </c>
      <c r="AB2091" s="3" t="n">
        <v>-1.384501695632935</v>
      </c>
      <c r="AC2091" s="3" t="n">
        <v>-2.670550107955933</v>
      </c>
      <c r="AD2091" s="3" t="n">
        <v>-0.9024278521537781</v>
      </c>
      <c r="AE2091" s="3" t="n">
        <v>-0.9024278521537781</v>
      </c>
    </row>
    <row r="2092">
      <c r="A2092" s="3" t="inlineStr">
        <is>
          <t>TGO.distn.dec.ove.mean.10</t>
        </is>
      </c>
      <c r="B2092" s="3" t="inlineStr">
        <is>
          <t>TGO</t>
        </is>
      </c>
      <c r="C2092" s="3" t="n">
        <v>2005</v>
      </c>
      <c r="D2092" s="3" t="inlineStr">
        <is>
          <t>Overall</t>
        </is>
      </c>
      <c r="E2092" s="3" t="inlineStr">
        <is>
          <t>Deciles</t>
        </is>
      </c>
      <c r="F2092" s="3" t="inlineStr">
        <is>
          <t>mean</t>
        </is>
      </c>
      <c r="G2092" s="3" t="n">
        <v>10</v>
      </c>
      <c r="H2092" s="3" t="n">
        <v>-0.790380597114563</v>
      </c>
      <c r="I2092" s="3" t="n">
        <v>-0.790380597114563</v>
      </c>
      <c r="J2092" s="3" t="n">
        <v>-0.9024278521537781</v>
      </c>
      <c r="K2092" s="3" t="n">
        <v>-0.9024278521537781</v>
      </c>
      <c r="L2092" s="3" t="n">
        <v>-0.790380597114563</v>
      </c>
      <c r="M2092" s="3" t="n">
        <v>-0.790380597114563</v>
      </c>
      <c r="N2092" s="3" t="n">
        <v>-0.790380597114563</v>
      </c>
      <c r="O2092" s="3" t="n">
        <v>-0.790380597114563</v>
      </c>
      <c r="P2092" s="3" t="n">
        <v>-0.790380597114563</v>
      </c>
      <c r="Q2092" s="3" t="n">
        <v>-0.790380597114563</v>
      </c>
      <c r="R2092" s="3" t="n">
        <v>-0.7742545604705811</v>
      </c>
      <c r="S2092" s="3" t="n">
        <v>-1.403943419456482</v>
      </c>
      <c r="T2092" s="3" t="n">
        <v>-0.7100409269332886</v>
      </c>
      <c r="U2092" s="3" t="n">
        <v>-0.9024278521537781</v>
      </c>
      <c r="V2092" s="3" t="n">
        <v>-0.6847071051597595</v>
      </c>
      <c r="W2092" s="3" t="n">
        <v>-0.604772686958313</v>
      </c>
      <c r="X2092" s="3" t="n">
        <v>-1.384501695632935</v>
      </c>
      <c r="Y2092" s="3" t="n">
        <v>-0.790380597114563</v>
      </c>
      <c r="Z2092" s="3" t="n">
        <v>-1.403943419456482</v>
      </c>
      <c r="AA2092" s="3" t="n">
        <v>-1.403943419456482</v>
      </c>
      <c r="AB2092" s="3" t="n">
        <v>-1.384501695632935</v>
      </c>
      <c r="AC2092" s="3" t="n">
        <v>-2.670550107955933</v>
      </c>
      <c r="AD2092" s="3" t="n">
        <v>-0.9024278521537781</v>
      </c>
      <c r="AE2092" s="3" t="n">
        <v>-0.9024278521537781</v>
      </c>
    </row>
    <row r="2093">
      <c r="A2093" s="3" t="inlineStr">
        <is>
          <t>TGO.distn.bkt.ove.mean.9999</t>
        </is>
      </c>
      <c r="B2093" s="3" t="inlineStr">
        <is>
          <t>TGO</t>
        </is>
      </c>
      <c r="C2093" s="3" t="n">
        <v>2005</v>
      </c>
      <c r="D2093" s="3" t="inlineStr">
        <is>
          <t>Overall</t>
        </is>
      </c>
      <c r="E2093" s="3" t="inlineStr">
        <is>
          <t>Basket</t>
        </is>
      </c>
      <c r="F2093" s="3" t="inlineStr">
        <is>
          <t>mean</t>
        </is>
      </c>
      <c r="G2093" s="3" t="n">
        <v>9999</v>
      </c>
      <c r="H2093" s="3" t="n">
        <v>-0.7920055985450745</v>
      </c>
      <c r="I2093" s="3" t="n">
        <v>-0.7920055985450745</v>
      </c>
      <c r="J2093" s="3" t="n">
        <v>-0.914437472820282</v>
      </c>
      <c r="K2093" s="3" t="n">
        <v>-0.914437472820282</v>
      </c>
      <c r="L2093" s="3" t="n">
        <v>-0.7920055985450745</v>
      </c>
      <c r="M2093" s="3" t="n">
        <v>-0.7920055985450745</v>
      </c>
      <c r="N2093" s="3" t="n">
        <v>-0.7920055985450745</v>
      </c>
      <c r="O2093" s="3" t="n">
        <v>-0.7920055985450745</v>
      </c>
      <c r="P2093" s="3" t="n">
        <v>-0.7920055985450745</v>
      </c>
      <c r="Q2093" s="3" t="n">
        <v>-0.7920055985450745</v>
      </c>
      <c r="R2093" s="3" t="n">
        <v>-0.7751230001449585</v>
      </c>
      <c r="S2093" s="3" t="n">
        <v>-1.590258479118347</v>
      </c>
      <c r="T2093" s="3" t="n">
        <v>-0.7104492783546448</v>
      </c>
      <c r="U2093" s="3" t="n">
        <v>-0.914437472820282</v>
      </c>
      <c r="V2093" s="3" t="n">
        <v>-0.6863201856613159</v>
      </c>
      <c r="W2093" s="3" t="n">
        <v>-0.6269875168800354</v>
      </c>
      <c r="X2093" s="3" t="n">
        <v>-1.547372221946716</v>
      </c>
      <c r="Y2093" s="3" t="n">
        <v>-0.7920055985450745</v>
      </c>
      <c r="Z2093" s="3" t="n">
        <v>-1.590258479118347</v>
      </c>
      <c r="AA2093" s="3" t="n">
        <v>-1.590258479118347</v>
      </c>
      <c r="AB2093" s="3" t="n">
        <v>-1.547372221946716</v>
      </c>
      <c r="AC2093" s="3" t="n">
        <v>-3.490030765533447</v>
      </c>
      <c r="AD2093" s="3" t="n">
        <v>-0.914437472820282</v>
      </c>
      <c r="AE2093" s="3" t="n">
        <v>-0.914437472820282</v>
      </c>
    </row>
    <row r="2094">
      <c r="A2094" s="3" t="inlineStr">
        <is>
          <t>THA.distn.dec.ove.mean.1</t>
        </is>
      </c>
      <c r="B2094" s="3" t="inlineStr">
        <is>
          <t>THA</t>
        </is>
      </c>
      <c r="C2094" s="3" t="n">
        <v>2005</v>
      </c>
      <c r="D2094" s="3" t="inlineStr">
        <is>
          <t>Overall</t>
        </is>
      </c>
      <c r="E2094" s="3" t="inlineStr">
        <is>
          <t>Deciles</t>
        </is>
      </c>
      <c r="F2094" s="3" t="inlineStr">
        <is>
          <t>mean</t>
        </is>
      </c>
      <c r="G2094" s="3" t="n">
        <v>1</v>
      </c>
      <c r="H2094" s="3" t="n">
        <v>-0.7902569174766541</v>
      </c>
      <c r="I2094" s="3" t="n">
        <v>-0.7902569174766541</v>
      </c>
      <c r="J2094" s="3" t="n">
        <v>-0.9015644788742065</v>
      </c>
      <c r="K2094" s="3" t="n">
        <v>-0.9015644788742065</v>
      </c>
      <c r="L2094" s="3" t="n">
        <v>-0.7902569174766541</v>
      </c>
      <c r="M2094" s="3" t="n">
        <v>-0.7902569174766541</v>
      </c>
      <c r="N2094" s="3" t="n">
        <v>-0.7902569174766541</v>
      </c>
      <c r="O2094" s="3" t="n">
        <v>-0.7902569174766541</v>
      </c>
      <c r="P2094" s="3" t="n">
        <v>-0.7902569174766541</v>
      </c>
      <c r="Q2094" s="3" t="n">
        <v>-0.7902569174766541</v>
      </c>
      <c r="R2094" s="3" t="n">
        <v>-0.7744752764701843</v>
      </c>
      <c r="S2094" s="3" t="n">
        <v>-1.493148446083069</v>
      </c>
      <c r="T2094" s="3" t="n">
        <v>-0.7104546427726746</v>
      </c>
      <c r="U2094" s="3" t="n">
        <v>-0.9015644788742065</v>
      </c>
      <c r="V2094" s="3" t="n">
        <v>-0.6849652528762817</v>
      </c>
      <c r="W2094" s="3" t="n">
        <v>-0.6297482848167419</v>
      </c>
      <c r="X2094" s="3" t="n">
        <v>-1.435382843017578</v>
      </c>
      <c r="Y2094" s="3" t="n">
        <v>-0.7902569174766541</v>
      </c>
      <c r="Z2094" s="3" t="n">
        <v>-1.493148446083069</v>
      </c>
      <c r="AA2094" s="3" t="n">
        <v>-1.493148446083069</v>
      </c>
      <c r="AB2094" s="3" t="n">
        <v>-1.435382843017578</v>
      </c>
      <c r="AC2094" s="3" t="n">
        <v>-2.333707332611084</v>
      </c>
      <c r="AD2094" s="3" t="n">
        <v>-0.9015644788742065</v>
      </c>
      <c r="AE2094" s="3" t="n">
        <v>-0.9015644788742065</v>
      </c>
    </row>
    <row r="2095">
      <c r="A2095" s="3" t="inlineStr">
        <is>
          <t>THA.distn.dec.ove.mean.2</t>
        </is>
      </c>
      <c r="B2095" s="3" t="inlineStr">
        <is>
          <t>THA</t>
        </is>
      </c>
      <c r="C2095" s="3" t="n">
        <v>2005</v>
      </c>
      <c r="D2095" s="3" t="inlineStr">
        <is>
          <t>Overall</t>
        </is>
      </c>
      <c r="E2095" s="3" t="inlineStr">
        <is>
          <t>Deciles</t>
        </is>
      </c>
      <c r="F2095" s="3" t="inlineStr">
        <is>
          <t>mean</t>
        </is>
      </c>
      <c r="G2095" s="3" t="n">
        <v>2</v>
      </c>
      <c r="H2095" s="3" t="n">
        <v>-0.7902569174766541</v>
      </c>
      <c r="I2095" s="3" t="n">
        <v>-0.7902569174766541</v>
      </c>
      <c r="J2095" s="3" t="n">
        <v>-0.9015644788742065</v>
      </c>
      <c r="K2095" s="3" t="n">
        <v>-0.9015644788742065</v>
      </c>
      <c r="L2095" s="3" t="n">
        <v>-0.7902569174766541</v>
      </c>
      <c r="M2095" s="3" t="n">
        <v>-0.7902569174766541</v>
      </c>
      <c r="N2095" s="3" t="n">
        <v>-0.7902569174766541</v>
      </c>
      <c r="O2095" s="3" t="n">
        <v>-0.7902569174766541</v>
      </c>
      <c r="P2095" s="3" t="n">
        <v>-0.7902569174766541</v>
      </c>
      <c r="Q2095" s="3" t="n">
        <v>-0.7902569174766541</v>
      </c>
      <c r="R2095" s="3" t="n">
        <v>-0.7744752764701843</v>
      </c>
      <c r="S2095" s="3" t="n">
        <v>-1.493148446083069</v>
      </c>
      <c r="T2095" s="3" t="n">
        <v>-0.7104546427726746</v>
      </c>
      <c r="U2095" s="3" t="n">
        <v>-0.9015644788742065</v>
      </c>
      <c r="V2095" s="3" t="n">
        <v>-0.6849652528762817</v>
      </c>
      <c r="W2095" s="3" t="n">
        <v>-0.6297482848167419</v>
      </c>
      <c r="X2095" s="3" t="n">
        <v>-1.435382843017578</v>
      </c>
      <c r="Y2095" s="3" t="n">
        <v>-0.7902569174766541</v>
      </c>
      <c r="Z2095" s="3" t="n">
        <v>-1.493148446083069</v>
      </c>
      <c r="AA2095" s="3" t="n">
        <v>-1.493148446083069</v>
      </c>
      <c r="AB2095" s="3" t="n">
        <v>-1.435382843017578</v>
      </c>
      <c r="AC2095" s="3" t="n">
        <v>-2.333707332611084</v>
      </c>
      <c r="AD2095" s="3" t="n">
        <v>-0.9015644788742065</v>
      </c>
      <c r="AE2095" s="3" t="n">
        <v>-0.9015644788742065</v>
      </c>
    </row>
    <row r="2096">
      <c r="A2096" s="3" t="inlineStr">
        <is>
          <t>THA.distn.dec.ove.mean.3</t>
        </is>
      </c>
      <c r="B2096" s="3" t="inlineStr">
        <is>
          <t>THA</t>
        </is>
      </c>
      <c r="C2096" s="3" t="n">
        <v>2005</v>
      </c>
      <c r="D2096" s="3" t="inlineStr">
        <is>
          <t>Overall</t>
        </is>
      </c>
      <c r="E2096" s="3" t="inlineStr">
        <is>
          <t>Deciles</t>
        </is>
      </c>
      <c r="F2096" s="3" t="inlineStr">
        <is>
          <t>mean</t>
        </is>
      </c>
      <c r="G2096" s="3" t="n">
        <v>3</v>
      </c>
      <c r="H2096" s="3" t="n">
        <v>-0.7902569174766541</v>
      </c>
      <c r="I2096" s="3" t="n">
        <v>-0.7902569174766541</v>
      </c>
      <c r="J2096" s="3" t="n">
        <v>-0.9015644788742065</v>
      </c>
      <c r="K2096" s="3" t="n">
        <v>-0.9015644788742065</v>
      </c>
      <c r="L2096" s="3" t="n">
        <v>-0.7902569174766541</v>
      </c>
      <c r="M2096" s="3" t="n">
        <v>-0.7902569174766541</v>
      </c>
      <c r="N2096" s="3" t="n">
        <v>-0.7902569174766541</v>
      </c>
      <c r="O2096" s="3" t="n">
        <v>-0.7902569174766541</v>
      </c>
      <c r="P2096" s="3" t="n">
        <v>-0.7902569174766541</v>
      </c>
      <c r="Q2096" s="3" t="n">
        <v>-0.7902569174766541</v>
      </c>
      <c r="R2096" s="3" t="n">
        <v>-0.7744752764701843</v>
      </c>
      <c r="S2096" s="3" t="n">
        <v>-1.493148446083069</v>
      </c>
      <c r="T2096" s="3" t="n">
        <v>-0.7104546427726746</v>
      </c>
      <c r="U2096" s="3" t="n">
        <v>-0.9015644788742065</v>
      </c>
      <c r="V2096" s="3" t="n">
        <v>-0.6849652528762817</v>
      </c>
      <c r="W2096" s="3" t="n">
        <v>-0.6297482848167419</v>
      </c>
      <c r="X2096" s="3" t="n">
        <v>-1.435382843017578</v>
      </c>
      <c r="Y2096" s="3" t="n">
        <v>-0.7902569174766541</v>
      </c>
      <c r="Z2096" s="3" t="n">
        <v>-1.493148446083069</v>
      </c>
      <c r="AA2096" s="3" t="n">
        <v>-1.493148446083069</v>
      </c>
      <c r="AB2096" s="3" t="n">
        <v>-1.435382843017578</v>
      </c>
      <c r="AC2096" s="3" t="n">
        <v>-2.333707332611084</v>
      </c>
      <c r="AD2096" s="3" t="n">
        <v>-0.9015644788742065</v>
      </c>
      <c r="AE2096" s="3" t="n">
        <v>-0.9015644788742065</v>
      </c>
    </row>
    <row r="2097">
      <c r="A2097" s="3" t="inlineStr">
        <is>
          <t>THA.distn.dec.ove.mean.4</t>
        </is>
      </c>
      <c r="B2097" s="3" t="inlineStr">
        <is>
          <t>THA</t>
        </is>
      </c>
      <c r="C2097" s="3" t="n">
        <v>2005</v>
      </c>
      <c r="D2097" s="3" t="inlineStr">
        <is>
          <t>Overall</t>
        </is>
      </c>
      <c r="E2097" s="3" t="inlineStr">
        <is>
          <t>Deciles</t>
        </is>
      </c>
      <c r="F2097" s="3" t="inlineStr">
        <is>
          <t>mean</t>
        </is>
      </c>
      <c r="G2097" s="3" t="n">
        <v>4</v>
      </c>
      <c r="H2097" s="3" t="n">
        <v>-0.7839999794960022</v>
      </c>
      <c r="I2097" s="3" t="n">
        <v>-0.7839999794960022</v>
      </c>
      <c r="J2097" s="3" t="n">
        <v>-0.8579999804496765</v>
      </c>
      <c r="K2097" s="3" t="n">
        <v>-0.8579999804496765</v>
      </c>
      <c r="L2097" s="3" t="n">
        <v>-0.7839999794960022</v>
      </c>
      <c r="M2097" s="3" t="n">
        <v>-0.7839999794960022</v>
      </c>
      <c r="N2097" s="3" t="n">
        <v>-0.7839999794960022</v>
      </c>
      <c r="O2097" s="3" t="n">
        <v>-0.7839999794960022</v>
      </c>
      <c r="P2097" s="3" t="n">
        <v>-0.7839999794960022</v>
      </c>
      <c r="Q2097" s="3" t="n">
        <v>-0.7839999794960022</v>
      </c>
      <c r="R2097" s="3" t="n">
        <v>-0.7710000276565552</v>
      </c>
      <c r="S2097" s="3" t="n">
        <v>-1.016999959945679</v>
      </c>
      <c r="T2097" s="3" t="n">
        <v>-0.7089999914169312</v>
      </c>
      <c r="U2097" s="3" t="n">
        <v>-0.8579999804496765</v>
      </c>
      <c r="V2097" s="3" t="n">
        <v>-0.6779999732971191</v>
      </c>
      <c r="W2097" s="3" t="n">
        <v>-0.5299999713897705</v>
      </c>
      <c r="X2097" s="3" t="n">
        <v>-1.013000011444092</v>
      </c>
      <c r="Y2097" s="3" t="n">
        <v>-0.7839999794960022</v>
      </c>
      <c r="Z2097" s="3" t="n">
        <v>-1.016999959945679</v>
      </c>
      <c r="AA2097" s="3" t="n">
        <v>-1.016999959945679</v>
      </c>
      <c r="AB2097" s="3" t="n">
        <v>-1.013000011444092</v>
      </c>
      <c r="AC2097" s="3" t="n">
        <v>-1.126999974250793</v>
      </c>
      <c r="AD2097" s="3" t="n">
        <v>-0.8579999804496765</v>
      </c>
      <c r="AE2097" s="3" t="n">
        <v>-0.8579999804496765</v>
      </c>
    </row>
    <row r="2098">
      <c r="A2098" s="3" t="inlineStr">
        <is>
          <t>THA.distn.dec.ove.mean.5</t>
        </is>
      </c>
      <c r="B2098" s="3" t="inlineStr">
        <is>
          <t>THA</t>
        </is>
      </c>
      <c r="C2098" s="3" t="n">
        <v>2005</v>
      </c>
      <c r="D2098" s="3" t="inlineStr">
        <is>
          <t>Overall</t>
        </is>
      </c>
      <c r="E2098" s="3" t="inlineStr">
        <is>
          <t>Deciles</t>
        </is>
      </c>
      <c r="F2098" s="3" t="inlineStr">
        <is>
          <t>mean</t>
        </is>
      </c>
      <c r="G2098" s="3" t="n">
        <v>5</v>
      </c>
      <c r="H2098" s="3" t="n">
        <v>-0.7839999794960022</v>
      </c>
      <c r="I2098" s="3" t="n">
        <v>-0.7839999794960022</v>
      </c>
      <c r="J2098" s="3" t="n">
        <v>-0.8579999804496765</v>
      </c>
      <c r="K2098" s="3" t="n">
        <v>-0.8579999804496765</v>
      </c>
      <c r="L2098" s="3" t="n">
        <v>-0.7839999794960022</v>
      </c>
      <c r="M2098" s="3" t="n">
        <v>-0.7839999794960022</v>
      </c>
      <c r="N2098" s="3" t="n">
        <v>-0.7839999794960022</v>
      </c>
      <c r="O2098" s="3" t="n">
        <v>-0.7839999794960022</v>
      </c>
      <c r="P2098" s="3" t="n">
        <v>-0.7839999794960022</v>
      </c>
      <c r="Q2098" s="3" t="n">
        <v>-0.7839999794960022</v>
      </c>
      <c r="R2098" s="3" t="n">
        <v>-0.7710000276565552</v>
      </c>
      <c r="S2098" s="3" t="n">
        <v>-1.016999959945679</v>
      </c>
      <c r="T2098" s="3" t="n">
        <v>-0.7089999914169312</v>
      </c>
      <c r="U2098" s="3" t="n">
        <v>-0.8579999804496765</v>
      </c>
      <c r="V2098" s="3" t="n">
        <v>-0.6779999732971191</v>
      </c>
      <c r="W2098" s="3" t="n">
        <v>-0.5299999713897705</v>
      </c>
      <c r="X2098" s="3" t="n">
        <v>-1.013000011444092</v>
      </c>
      <c r="Y2098" s="3" t="n">
        <v>-0.7839999794960022</v>
      </c>
      <c r="Z2098" s="3" t="n">
        <v>-1.016999959945679</v>
      </c>
      <c r="AA2098" s="3" t="n">
        <v>-1.016999959945679</v>
      </c>
      <c r="AB2098" s="3" t="n">
        <v>-1.013000011444092</v>
      </c>
      <c r="AC2098" s="3" t="n">
        <v>-1.126999974250793</v>
      </c>
      <c r="AD2098" s="3" t="n">
        <v>-0.8579999804496765</v>
      </c>
      <c r="AE2098" s="3" t="n">
        <v>-0.8579999804496765</v>
      </c>
    </row>
    <row r="2099">
      <c r="A2099" s="3" t="inlineStr">
        <is>
          <t>THA.distn.dec.ove.mean.6</t>
        </is>
      </c>
      <c r="B2099" s="3" t="inlineStr">
        <is>
          <t>THA</t>
        </is>
      </c>
      <c r="C2099" s="3" t="n">
        <v>2005</v>
      </c>
      <c r="D2099" s="3" t="inlineStr">
        <is>
          <t>Overall</t>
        </is>
      </c>
      <c r="E2099" s="3" t="inlineStr">
        <is>
          <t>Deciles</t>
        </is>
      </c>
      <c r="F2099" s="3" t="inlineStr">
        <is>
          <t>mean</t>
        </is>
      </c>
      <c r="G2099" s="3" t="n">
        <v>6</v>
      </c>
      <c r="H2099" s="3" t="n">
        <v>-0.7839999794960022</v>
      </c>
      <c r="I2099" s="3" t="n">
        <v>-0.7839999794960022</v>
      </c>
      <c r="J2099" s="3" t="n">
        <v>-0.8579999804496765</v>
      </c>
      <c r="K2099" s="3" t="n">
        <v>-0.8579999804496765</v>
      </c>
      <c r="L2099" s="3" t="n">
        <v>-0.7839999794960022</v>
      </c>
      <c r="M2099" s="3" t="n">
        <v>-0.7839999794960022</v>
      </c>
      <c r="N2099" s="3" t="n">
        <v>-0.7839999794960022</v>
      </c>
      <c r="O2099" s="3" t="n">
        <v>-0.7839999794960022</v>
      </c>
      <c r="P2099" s="3" t="n">
        <v>-0.7839999794960022</v>
      </c>
      <c r="Q2099" s="3" t="n">
        <v>-0.7839999794960022</v>
      </c>
      <c r="R2099" s="3" t="n">
        <v>-0.7710000276565552</v>
      </c>
      <c r="S2099" s="3" t="n">
        <v>-1.016999959945679</v>
      </c>
      <c r="T2099" s="3" t="n">
        <v>-0.7089999914169312</v>
      </c>
      <c r="U2099" s="3" t="n">
        <v>-0.8579999804496765</v>
      </c>
      <c r="V2099" s="3" t="n">
        <v>-0.6779999732971191</v>
      </c>
      <c r="W2099" s="3" t="n">
        <v>-0.5299999713897705</v>
      </c>
      <c r="X2099" s="3" t="n">
        <v>-1.013000011444092</v>
      </c>
      <c r="Y2099" s="3" t="n">
        <v>-0.7839999794960022</v>
      </c>
      <c r="Z2099" s="3" t="n">
        <v>-1.016999959945679</v>
      </c>
      <c r="AA2099" s="3" t="n">
        <v>-1.016999959945679</v>
      </c>
      <c r="AB2099" s="3" t="n">
        <v>-1.013000011444092</v>
      </c>
      <c r="AC2099" s="3" t="n">
        <v>-1.126999974250793</v>
      </c>
      <c r="AD2099" s="3" t="n">
        <v>-0.8579999804496765</v>
      </c>
      <c r="AE2099" s="3" t="n">
        <v>-0.8579999804496765</v>
      </c>
    </row>
    <row r="2100">
      <c r="A2100" s="3" t="inlineStr">
        <is>
          <t>THA.distn.dec.ove.mean.7</t>
        </is>
      </c>
      <c r="B2100" s="3" t="inlineStr">
        <is>
          <t>THA</t>
        </is>
      </c>
      <c r="C2100" s="3" t="n">
        <v>2005</v>
      </c>
      <c r="D2100" s="3" t="inlineStr">
        <is>
          <t>Overall</t>
        </is>
      </c>
      <c r="E2100" s="3" t="inlineStr">
        <is>
          <t>Deciles</t>
        </is>
      </c>
      <c r="F2100" s="3" t="inlineStr">
        <is>
          <t>mean</t>
        </is>
      </c>
      <c r="G2100" s="3" t="n">
        <v>7</v>
      </c>
      <c r="H2100" s="3" t="n">
        <v>-0.7839999794960022</v>
      </c>
      <c r="I2100" s="3" t="n">
        <v>-0.7839999794960022</v>
      </c>
      <c r="J2100" s="3" t="n">
        <v>-0.8579999804496765</v>
      </c>
      <c r="K2100" s="3" t="n">
        <v>-0.8579999804496765</v>
      </c>
      <c r="L2100" s="3" t="n">
        <v>-0.7839999794960022</v>
      </c>
      <c r="M2100" s="3" t="n">
        <v>-0.7839999794960022</v>
      </c>
      <c r="N2100" s="3" t="n">
        <v>-0.7839999794960022</v>
      </c>
      <c r="O2100" s="3" t="n">
        <v>-0.7839999794960022</v>
      </c>
      <c r="P2100" s="3" t="n">
        <v>-0.7839999794960022</v>
      </c>
      <c r="Q2100" s="3" t="n">
        <v>-0.7839999794960022</v>
      </c>
      <c r="R2100" s="3" t="n">
        <v>-0.7710000276565552</v>
      </c>
      <c r="S2100" s="3" t="n">
        <v>-1.016999959945679</v>
      </c>
      <c r="T2100" s="3" t="n">
        <v>-0.7089999914169312</v>
      </c>
      <c r="U2100" s="3" t="n">
        <v>-0.8579999804496765</v>
      </c>
      <c r="V2100" s="3" t="n">
        <v>-0.6779999732971191</v>
      </c>
      <c r="W2100" s="3" t="n">
        <v>-0.5299999713897705</v>
      </c>
      <c r="X2100" s="3" t="n">
        <v>-1.013000011444092</v>
      </c>
      <c r="Y2100" s="3" t="n">
        <v>-0.7839999794960022</v>
      </c>
      <c r="Z2100" s="3" t="n">
        <v>-1.016999959945679</v>
      </c>
      <c r="AA2100" s="3" t="n">
        <v>-1.016999959945679</v>
      </c>
      <c r="AB2100" s="3" t="n">
        <v>-1.013000011444092</v>
      </c>
      <c r="AC2100" s="3" t="n">
        <v>-1.126999974250793</v>
      </c>
      <c r="AD2100" s="3" t="n">
        <v>-0.8579999804496765</v>
      </c>
      <c r="AE2100" s="3" t="n">
        <v>-0.8579999804496765</v>
      </c>
    </row>
    <row r="2101">
      <c r="A2101" s="3" t="inlineStr">
        <is>
          <t>THA.distn.dec.ove.mean.8</t>
        </is>
      </c>
      <c r="B2101" s="3" t="inlineStr">
        <is>
          <t>THA</t>
        </is>
      </c>
      <c r="C2101" s="3" t="n">
        <v>2005</v>
      </c>
      <c r="D2101" s="3" t="inlineStr">
        <is>
          <t>Overall</t>
        </is>
      </c>
      <c r="E2101" s="3" t="inlineStr">
        <is>
          <t>Deciles</t>
        </is>
      </c>
      <c r="F2101" s="3" t="inlineStr">
        <is>
          <t>mean</t>
        </is>
      </c>
      <c r="G2101" s="3" t="n">
        <v>8</v>
      </c>
      <c r="H2101" s="3" t="n">
        <v>-0.7843776941299438</v>
      </c>
      <c r="I2101" s="3" t="n">
        <v>-0.7843776941299438</v>
      </c>
      <c r="J2101" s="3" t="n">
        <v>-0.8603145480155945</v>
      </c>
      <c r="K2101" s="3" t="n">
        <v>-0.8603145480155945</v>
      </c>
      <c r="L2101" s="3" t="n">
        <v>-0.7843776941299438</v>
      </c>
      <c r="M2101" s="3" t="n">
        <v>-0.7843776941299438</v>
      </c>
      <c r="N2101" s="3" t="n">
        <v>-0.7843776941299438</v>
      </c>
      <c r="O2101" s="3" t="n">
        <v>-0.7843776941299438</v>
      </c>
      <c r="P2101" s="3" t="n">
        <v>-0.7843776941299438</v>
      </c>
      <c r="Q2101" s="3" t="n">
        <v>-0.7843776941299438</v>
      </c>
      <c r="R2101" s="3" t="n">
        <v>-0.7712535858154297</v>
      </c>
      <c r="S2101" s="3" t="n">
        <v>-1.026463270187378</v>
      </c>
      <c r="T2101" s="3" t="n">
        <v>-0.7090408802032471</v>
      </c>
      <c r="U2101" s="3" t="n">
        <v>-0.8603145480155945</v>
      </c>
      <c r="V2101" s="3" t="n">
        <v>-0.6787009239196777</v>
      </c>
      <c r="W2101" s="3" t="n">
        <v>-0.5441927909851074</v>
      </c>
      <c r="X2101" s="3" t="n">
        <v>-1.022230505943298</v>
      </c>
      <c r="Y2101" s="3" t="n">
        <v>-0.7843776941299438</v>
      </c>
      <c r="Z2101" s="3" t="n">
        <v>-1.026463270187378</v>
      </c>
      <c r="AA2101" s="3" t="n">
        <v>-1.026463270187378</v>
      </c>
      <c r="AB2101" s="3" t="n">
        <v>-1.022230505943298</v>
      </c>
      <c r="AC2101" s="3" t="n">
        <v>-1.143072485923767</v>
      </c>
      <c r="AD2101" s="3" t="n">
        <v>-0.8603145480155945</v>
      </c>
      <c r="AE2101" s="3" t="n">
        <v>-0.8603145480155945</v>
      </c>
    </row>
    <row r="2102">
      <c r="A2102" s="3" t="inlineStr">
        <is>
          <t>THA.distn.dec.ove.mean.9</t>
        </is>
      </c>
      <c r="B2102" s="3" t="inlineStr">
        <is>
          <t>THA</t>
        </is>
      </c>
      <c r="C2102" s="3" t="n">
        <v>2005</v>
      </c>
      <c r="D2102" s="3" t="inlineStr">
        <is>
          <t>Overall</t>
        </is>
      </c>
      <c r="E2102" s="3" t="inlineStr">
        <is>
          <t>Deciles</t>
        </is>
      </c>
      <c r="F2102" s="3" t="inlineStr">
        <is>
          <t>mean</t>
        </is>
      </c>
      <c r="G2102" s="3" t="n">
        <v>9</v>
      </c>
      <c r="H2102" s="3" t="n">
        <v>-0.7843776941299438</v>
      </c>
      <c r="I2102" s="3" t="n">
        <v>-0.7843776941299438</v>
      </c>
      <c r="J2102" s="3" t="n">
        <v>-0.8603145480155945</v>
      </c>
      <c r="K2102" s="3" t="n">
        <v>-0.8603145480155945</v>
      </c>
      <c r="L2102" s="3" t="n">
        <v>-0.7843776941299438</v>
      </c>
      <c r="M2102" s="3" t="n">
        <v>-0.7843776941299438</v>
      </c>
      <c r="N2102" s="3" t="n">
        <v>-0.7843776941299438</v>
      </c>
      <c r="O2102" s="3" t="n">
        <v>-0.7843776941299438</v>
      </c>
      <c r="P2102" s="3" t="n">
        <v>-0.7843776941299438</v>
      </c>
      <c r="Q2102" s="3" t="n">
        <v>-0.7843776941299438</v>
      </c>
      <c r="R2102" s="3" t="n">
        <v>-0.7712535858154297</v>
      </c>
      <c r="S2102" s="3" t="n">
        <v>-1.026463270187378</v>
      </c>
      <c r="T2102" s="3" t="n">
        <v>-0.7090408802032471</v>
      </c>
      <c r="U2102" s="3" t="n">
        <v>-0.8603145480155945</v>
      </c>
      <c r="V2102" s="3" t="n">
        <v>-0.6787009239196777</v>
      </c>
      <c r="W2102" s="3" t="n">
        <v>-0.5441927909851074</v>
      </c>
      <c r="X2102" s="3" t="n">
        <v>-1.022230505943298</v>
      </c>
      <c r="Y2102" s="3" t="n">
        <v>-0.7843776941299438</v>
      </c>
      <c r="Z2102" s="3" t="n">
        <v>-1.026463270187378</v>
      </c>
      <c r="AA2102" s="3" t="n">
        <v>-1.026463270187378</v>
      </c>
      <c r="AB2102" s="3" t="n">
        <v>-1.022230505943298</v>
      </c>
      <c r="AC2102" s="3" t="n">
        <v>-1.143072485923767</v>
      </c>
      <c r="AD2102" s="3" t="n">
        <v>-0.8603145480155945</v>
      </c>
      <c r="AE2102" s="3" t="n">
        <v>-0.8603145480155945</v>
      </c>
    </row>
    <row r="2103">
      <c r="A2103" s="3" t="inlineStr">
        <is>
          <t>THA.distn.dec.ove.mean.10</t>
        </is>
      </c>
      <c r="B2103" s="3" t="inlineStr">
        <is>
          <t>THA</t>
        </is>
      </c>
      <c r="C2103" s="3" t="n">
        <v>2005</v>
      </c>
      <c r="D2103" s="3" t="inlineStr">
        <is>
          <t>Overall</t>
        </is>
      </c>
      <c r="E2103" s="3" t="inlineStr">
        <is>
          <t>Deciles</t>
        </is>
      </c>
      <c r="F2103" s="3" t="inlineStr">
        <is>
          <t>mean</t>
        </is>
      </c>
      <c r="G2103" s="3" t="n">
        <v>10</v>
      </c>
      <c r="H2103" s="3" t="n">
        <v>-0.7843776941299438</v>
      </c>
      <c r="I2103" s="3" t="n">
        <v>-0.7843776941299438</v>
      </c>
      <c r="J2103" s="3" t="n">
        <v>-0.8603145480155945</v>
      </c>
      <c r="K2103" s="3" t="n">
        <v>-0.8603145480155945</v>
      </c>
      <c r="L2103" s="3" t="n">
        <v>-0.7843776941299438</v>
      </c>
      <c r="M2103" s="3" t="n">
        <v>-0.7843776941299438</v>
      </c>
      <c r="N2103" s="3" t="n">
        <v>-0.7843776941299438</v>
      </c>
      <c r="O2103" s="3" t="n">
        <v>-0.7843776941299438</v>
      </c>
      <c r="P2103" s="3" t="n">
        <v>-0.7843776941299438</v>
      </c>
      <c r="Q2103" s="3" t="n">
        <v>-0.7843776941299438</v>
      </c>
      <c r="R2103" s="3" t="n">
        <v>-0.7712535858154297</v>
      </c>
      <c r="S2103" s="3" t="n">
        <v>-1.026463270187378</v>
      </c>
      <c r="T2103" s="3" t="n">
        <v>-0.7090408802032471</v>
      </c>
      <c r="U2103" s="3" t="n">
        <v>-0.8603145480155945</v>
      </c>
      <c r="V2103" s="3" t="n">
        <v>-0.6787009239196777</v>
      </c>
      <c r="W2103" s="3" t="n">
        <v>-0.5441927909851074</v>
      </c>
      <c r="X2103" s="3" t="n">
        <v>-1.022230505943298</v>
      </c>
      <c r="Y2103" s="3" t="n">
        <v>-0.7843776941299438</v>
      </c>
      <c r="Z2103" s="3" t="n">
        <v>-1.026463270187378</v>
      </c>
      <c r="AA2103" s="3" t="n">
        <v>-1.026463270187378</v>
      </c>
      <c r="AB2103" s="3" t="n">
        <v>-1.022230505943298</v>
      </c>
      <c r="AC2103" s="3" t="n">
        <v>-1.143072485923767</v>
      </c>
      <c r="AD2103" s="3" t="n">
        <v>-0.8603145480155945</v>
      </c>
      <c r="AE2103" s="3" t="n">
        <v>-0.8603145480155945</v>
      </c>
    </row>
    <row r="2104">
      <c r="A2104" s="3" t="inlineStr">
        <is>
          <t>THA.distn.bkt.ove.mean.9999</t>
        </is>
      </c>
      <c r="B2104" s="3" t="inlineStr">
        <is>
          <t>THA</t>
        </is>
      </c>
      <c r="C2104" s="3" t="n">
        <v>2005</v>
      </c>
      <c r="D2104" s="3" t="inlineStr">
        <is>
          <t>Overall</t>
        </is>
      </c>
      <c r="E2104" s="3" t="inlineStr">
        <is>
          <t>Basket</t>
        </is>
      </c>
      <c r="F2104" s="3" t="inlineStr">
        <is>
          <t>mean</t>
        </is>
      </c>
      <c r="G2104" s="3" t="n">
        <v>9999</v>
      </c>
      <c r="H2104" s="3" t="n">
        <v>-0.7859903573989868</v>
      </c>
      <c r="I2104" s="3" t="n">
        <v>-0.7859903573989868</v>
      </c>
      <c r="J2104" s="3" t="n">
        <v>-0.8717637062072754</v>
      </c>
      <c r="K2104" s="3" t="n">
        <v>-0.8717637062072754</v>
      </c>
      <c r="L2104" s="3" t="n">
        <v>-0.7859903573989868</v>
      </c>
      <c r="M2104" s="3" t="n">
        <v>-0.7859903573989868</v>
      </c>
      <c r="N2104" s="3" t="n">
        <v>-0.7859903573989868</v>
      </c>
      <c r="O2104" s="3" t="n">
        <v>-0.7859903573989868</v>
      </c>
      <c r="P2104" s="3" t="n">
        <v>-0.7859903573989868</v>
      </c>
      <c r="Q2104" s="3" t="n">
        <v>-0.7859903573989868</v>
      </c>
      <c r="R2104" s="3" t="n">
        <v>-0.7721186876296997</v>
      </c>
      <c r="S2104" s="3" t="n">
        <v>-1.162683486938477</v>
      </c>
      <c r="T2104" s="3" t="n">
        <v>-0.7094486355781555</v>
      </c>
      <c r="U2104" s="3" t="n">
        <v>-0.8717637062072754</v>
      </c>
      <c r="V2104" s="3" t="n">
        <v>-0.6802998185157776</v>
      </c>
      <c r="W2104" s="3" t="n">
        <v>-0.5641822814941406</v>
      </c>
      <c r="X2104" s="3" t="n">
        <v>-1.142483949661255</v>
      </c>
      <c r="Y2104" s="3" t="n">
        <v>-0.7859903573989868</v>
      </c>
      <c r="Z2104" s="3" t="n">
        <v>-1.162683486938477</v>
      </c>
      <c r="AA2104" s="3" t="n">
        <v>-1.162683486938477</v>
      </c>
      <c r="AB2104" s="3" t="n">
        <v>-1.142483949661255</v>
      </c>
      <c r="AC2104" s="3" t="n">
        <v>-1.493833899497986</v>
      </c>
      <c r="AD2104" s="3" t="n">
        <v>-0.8717637062072754</v>
      </c>
      <c r="AE2104" s="3" t="n">
        <v>-0.8717637062072754</v>
      </c>
    </row>
    <row r="2105">
      <c r="A2105" s="3" t="inlineStr">
        <is>
          <t>TJK.distn.dec.ove.mean.1</t>
        </is>
      </c>
      <c r="B2105" s="3" t="inlineStr">
        <is>
          <t>TJK</t>
        </is>
      </c>
      <c r="C2105" s="3" t="n">
        <v>2005</v>
      </c>
      <c r="D2105" s="3" t="inlineStr">
        <is>
          <t>Overall</t>
        </is>
      </c>
      <c r="E2105" s="3" t="inlineStr">
        <is>
          <t>Deciles</t>
        </is>
      </c>
      <c r="F2105" s="3" t="inlineStr">
        <is>
          <t>mean</t>
        </is>
      </c>
      <c r="G2105" s="3" t="n">
        <v>1</v>
      </c>
      <c r="H2105" s="3" t="n">
        <v>-0.7922728657722473</v>
      </c>
      <c r="I2105" s="3" t="n">
        <v>-0.7922728657722473</v>
      </c>
      <c r="J2105" s="3" t="n">
        <v>-0.9194276332855225</v>
      </c>
      <c r="K2105" s="3" t="n">
        <v>-0.9194276332855225</v>
      </c>
      <c r="L2105" s="3" t="n">
        <v>-0.7922728657722473</v>
      </c>
      <c r="M2105" s="3" t="n">
        <v>-0.7922728657722473</v>
      </c>
      <c r="N2105" s="3" t="n">
        <v>-0.7922728657722473</v>
      </c>
      <c r="O2105" s="3" t="n">
        <v>-0.7922728657722473</v>
      </c>
      <c r="P2105" s="3" t="n">
        <v>-0.7922728657722473</v>
      </c>
      <c r="Q2105" s="3" t="n">
        <v>-0.7922728657722473</v>
      </c>
      <c r="R2105" s="3" t="n">
        <v>-0.7764842510223389</v>
      </c>
      <c r="S2105" s="3" t="n">
        <v>-1.651712894439697</v>
      </c>
      <c r="T2105" s="3" t="n">
        <v>-0.7104546427726746</v>
      </c>
      <c r="U2105" s="3" t="n">
        <v>-0.9194276332855225</v>
      </c>
      <c r="V2105" s="3" t="n">
        <v>-0.6879960894584656</v>
      </c>
      <c r="W2105" s="3" t="n">
        <v>-0.6701472401618958</v>
      </c>
      <c r="X2105" s="3" t="n">
        <v>-1.584163904190063</v>
      </c>
      <c r="Y2105" s="3" t="n">
        <v>-0.7922728657722473</v>
      </c>
      <c r="Z2105" s="3" t="n">
        <v>-1.651712894439697</v>
      </c>
      <c r="AA2105" s="3" t="n">
        <v>-1.651712894439697</v>
      </c>
      <c r="AB2105" s="3" t="n">
        <v>-1.584163904190063</v>
      </c>
      <c r="AC2105" s="3" t="n">
        <v>-2.845176458358765</v>
      </c>
      <c r="AD2105" s="3" t="n">
        <v>-0.9194276332855225</v>
      </c>
      <c r="AE2105" s="3" t="n">
        <v>-0.9194276332855225</v>
      </c>
    </row>
    <row r="2106">
      <c r="A2106" s="3" t="inlineStr">
        <is>
          <t>TJK.distn.dec.ove.mean.2</t>
        </is>
      </c>
      <c r="B2106" s="3" t="inlineStr">
        <is>
          <t>TJK</t>
        </is>
      </c>
      <c r="C2106" s="3" t="n">
        <v>2005</v>
      </c>
      <c r="D2106" s="3" t="inlineStr">
        <is>
          <t>Overall</t>
        </is>
      </c>
      <c r="E2106" s="3" t="inlineStr">
        <is>
          <t>Deciles</t>
        </is>
      </c>
      <c r="F2106" s="3" t="inlineStr">
        <is>
          <t>mean</t>
        </is>
      </c>
      <c r="G2106" s="3" t="n">
        <v>2</v>
      </c>
      <c r="H2106" s="3" t="n">
        <v>-0.7922728657722473</v>
      </c>
      <c r="I2106" s="3" t="n">
        <v>-0.7922728657722473</v>
      </c>
      <c r="J2106" s="3" t="n">
        <v>-0.9194276332855225</v>
      </c>
      <c r="K2106" s="3" t="n">
        <v>-0.9194276332855225</v>
      </c>
      <c r="L2106" s="3" t="n">
        <v>-0.7922728657722473</v>
      </c>
      <c r="M2106" s="3" t="n">
        <v>-0.7922728657722473</v>
      </c>
      <c r="N2106" s="3" t="n">
        <v>-0.7922728657722473</v>
      </c>
      <c r="O2106" s="3" t="n">
        <v>-0.7922728657722473</v>
      </c>
      <c r="P2106" s="3" t="n">
        <v>-0.7922728657722473</v>
      </c>
      <c r="Q2106" s="3" t="n">
        <v>-0.7922728657722473</v>
      </c>
      <c r="R2106" s="3" t="n">
        <v>-0.7764842510223389</v>
      </c>
      <c r="S2106" s="3" t="n">
        <v>-1.651712894439697</v>
      </c>
      <c r="T2106" s="3" t="n">
        <v>-0.7104546427726746</v>
      </c>
      <c r="U2106" s="3" t="n">
        <v>-0.9194276332855225</v>
      </c>
      <c r="V2106" s="3" t="n">
        <v>-0.6879960894584656</v>
      </c>
      <c r="W2106" s="3" t="n">
        <v>-0.6701472401618958</v>
      </c>
      <c r="X2106" s="3" t="n">
        <v>-1.584163904190063</v>
      </c>
      <c r="Y2106" s="3" t="n">
        <v>-0.7922728657722473</v>
      </c>
      <c r="Z2106" s="3" t="n">
        <v>-1.651712894439697</v>
      </c>
      <c r="AA2106" s="3" t="n">
        <v>-1.651712894439697</v>
      </c>
      <c r="AB2106" s="3" t="n">
        <v>-1.584163904190063</v>
      </c>
      <c r="AC2106" s="3" t="n">
        <v>-2.845176458358765</v>
      </c>
      <c r="AD2106" s="3" t="n">
        <v>-0.9194276332855225</v>
      </c>
      <c r="AE2106" s="3" t="n">
        <v>-0.9194276332855225</v>
      </c>
    </row>
    <row r="2107">
      <c r="A2107" s="3" t="inlineStr">
        <is>
          <t>TJK.distn.dec.ove.mean.3</t>
        </is>
      </c>
      <c r="B2107" s="3" t="inlineStr">
        <is>
          <t>TJK</t>
        </is>
      </c>
      <c r="C2107" s="3" t="n">
        <v>2005</v>
      </c>
      <c r="D2107" s="3" t="inlineStr">
        <is>
          <t>Overall</t>
        </is>
      </c>
      <c r="E2107" s="3" t="inlineStr">
        <is>
          <t>Deciles</t>
        </is>
      </c>
      <c r="F2107" s="3" t="inlineStr">
        <is>
          <t>mean</t>
        </is>
      </c>
      <c r="G2107" s="3" t="n">
        <v>3</v>
      </c>
      <c r="H2107" s="3" t="n">
        <v>-0.7922728657722473</v>
      </c>
      <c r="I2107" s="3" t="n">
        <v>-0.7922728657722473</v>
      </c>
      <c r="J2107" s="3" t="n">
        <v>-0.9194276332855225</v>
      </c>
      <c r="K2107" s="3" t="n">
        <v>-0.9194276332855225</v>
      </c>
      <c r="L2107" s="3" t="n">
        <v>-0.7922728657722473</v>
      </c>
      <c r="M2107" s="3" t="n">
        <v>-0.7922728657722473</v>
      </c>
      <c r="N2107" s="3" t="n">
        <v>-0.7922728657722473</v>
      </c>
      <c r="O2107" s="3" t="n">
        <v>-0.7922728657722473</v>
      </c>
      <c r="P2107" s="3" t="n">
        <v>-0.7922728657722473</v>
      </c>
      <c r="Q2107" s="3" t="n">
        <v>-0.7922728657722473</v>
      </c>
      <c r="R2107" s="3" t="n">
        <v>-0.7764842510223389</v>
      </c>
      <c r="S2107" s="3" t="n">
        <v>-1.651712894439697</v>
      </c>
      <c r="T2107" s="3" t="n">
        <v>-0.7104546427726746</v>
      </c>
      <c r="U2107" s="3" t="n">
        <v>-0.9194276332855225</v>
      </c>
      <c r="V2107" s="3" t="n">
        <v>-0.6879960894584656</v>
      </c>
      <c r="W2107" s="3" t="n">
        <v>-0.6701472401618958</v>
      </c>
      <c r="X2107" s="3" t="n">
        <v>-1.584163904190063</v>
      </c>
      <c r="Y2107" s="3" t="n">
        <v>-0.7922728657722473</v>
      </c>
      <c r="Z2107" s="3" t="n">
        <v>-1.651712894439697</v>
      </c>
      <c r="AA2107" s="3" t="n">
        <v>-1.651712894439697</v>
      </c>
      <c r="AB2107" s="3" t="n">
        <v>-1.584163904190063</v>
      </c>
      <c r="AC2107" s="3" t="n">
        <v>-2.845176458358765</v>
      </c>
      <c r="AD2107" s="3" t="n">
        <v>-0.9194276332855225</v>
      </c>
      <c r="AE2107" s="3" t="n">
        <v>-0.9194276332855225</v>
      </c>
    </row>
    <row r="2108">
      <c r="A2108" s="3" t="inlineStr">
        <is>
          <t>TJK.distn.dec.ove.mean.4</t>
        </is>
      </c>
      <c r="B2108" s="3" t="inlineStr">
        <is>
          <t>TJK</t>
        </is>
      </c>
      <c r="C2108" s="3" t="n">
        <v>2005</v>
      </c>
      <c r="D2108" s="3" t="inlineStr">
        <is>
          <t>Overall</t>
        </is>
      </c>
      <c r="E2108" s="3" t="inlineStr">
        <is>
          <t>Deciles</t>
        </is>
      </c>
      <c r="F2108" s="3" t="inlineStr">
        <is>
          <t>mean</t>
        </is>
      </c>
      <c r="G2108" s="3" t="n">
        <v>4</v>
      </c>
      <c r="H2108" s="3" t="n">
        <v>-0.7860000133514404</v>
      </c>
      <c r="I2108" s="3" t="n">
        <v>-0.7860000133514404</v>
      </c>
      <c r="J2108" s="3" t="n">
        <v>-0.875</v>
      </c>
      <c r="K2108" s="3" t="n">
        <v>-0.875</v>
      </c>
      <c r="L2108" s="3" t="n">
        <v>-0.7860000133514404</v>
      </c>
      <c r="M2108" s="3" t="n">
        <v>-0.7860000133514404</v>
      </c>
      <c r="N2108" s="3" t="n">
        <v>-0.7860000133514404</v>
      </c>
      <c r="O2108" s="3" t="n">
        <v>-0.7860000133514404</v>
      </c>
      <c r="P2108" s="3" t="n">
        <v>-0.7860000133514404</v>
      </c>
      <c r="Q2108" s="3" t="n">
        <v>-0.7860000133514404</v>
      </c>
      <c r="R2108" s="3" t="n">
        <v>-0.7730000019073486</v>
      </c>
      <c r="S2108" s="3" t="n">
        <v>-1.125</v>
      </c>
      <c r="T2108" s="3" t="n">
        <v>-0.7089999914169312</v>
      </c>
      <c r="U2108" s="3" t="n">
        <v>-0.875</v>
      </c>
      <c r="V2108" s="3" t="n">
        <v>-0.6809999942779541</v>
      </c>
      <c r="W2108" s="3" t="n">
        <v>-0.5640000104904175</v>
      </c>
      <c r="X2108" s="3" t="n">
        <v>-1.118000030517578</v>
      </c>
      <c r="Y2108" s="3" t="n">
        <v>-0.7860000133514404</v>
      </c>
      <c r="Z2108" s="3" t="n">
        <v>-1.125</v>
      </c>
      <c r="AA2108" s="3" t="n">
        <v>-1.125</v>
      </c>
      <c r="AB2108" s="3" t="n">
        <v>-1.118000030517578</v>
      </c>
      <c r="AC2108" s="3" t="n">
        <v>-1.373999953269958</v>
      </c>
      <c r="AD2108" s="3" t="n">
        <v>-0.875</v>
      </c>
      <c r="AE2108" s="3" t="n">
        <v>-0.875</v>
      </c>
    </row>
    <row r="2109">
      <c r="A2109" s="3" t="inlineStr">
        <is>
          <t>TJK.distn.dec.ove.mean.5</t>
        </is>
      </c>
      <c r="B2109" s="3" t="inlineStr">
        <is>
          <t>TJK</t>
        </is>
      </c>
      <c r="C2109" s="3" t="n">
        <v>2005</v>
      </c>
      <c r="D2109" s="3" t="inlineStr">
        <is>
          <t>Overall</t>
        </is>
      </c>
      <c r="E2109" s="3" t="inlineStr">
        <is>
          <t>Deciles</t>
        </is>
      </c>
      <c r="F2109" s="3" t="inlineStr">
        <is>
          <t>mean</t>
        </is>
      </c>
      <c r="G2109" s="3" t="n">
        <v>5</v>
      </c>
      <c r="H2109" s="3" t="n">
        <v>-0.7860000133514404</v>
      </c>
      <c r="I2109" s="3" t="n">
        <v>-0.7860000133514404</v>
      </c>
      <c r="J2109" s="3" t="n">
        <v>-0.875</v>
      </c>
      <c r="K2109" s="3" t="n">
        <v>-0.875</v>
      </c>
      <c r="L2109" s="3" t="n">
        <v>-0.7860000133514404</v>
      </c>
      <c r="M2109" s="3" t="n">
        <v>-0.7860000133514404</v>
      </c>
      <c r="N2109" s="3" t="n">
        <v>-0.7860000133514404</v>
      </c>
      <c r="O2109" s="3" t="n">
        <v>-0.7860000133514404</v>
      </c>
      <c r="P2109" s="3" t="n">
        <v>-0.7860000133514404</v>
      </c>
      <c r="Q2109" s="3" t="n">
        <v>-0.7860000133514404</v>
      </c>
      <c r="R2109" s="3" t="n">
        <v>-0.7730000019073486</v>
      </c>
      <c r="S2109" s="3" t="n">
        <v>-1.125</v>
      </c>
      <c r="T2109" s="3" t="n">
        <v>-0.7089999914169312</v>
      </c>
      <c r="U2109" s="3" t="n">
        <v>-0.875</v>
      </c>
      <c r="V2109" s="3" t="n">
        <v>-0.6809999942779541</v>
      </c>
      <c r="W2109" s="3" t="n">
        <v>-0.5640000104904175</v>
      </c>
      <c r="X2109" s="3" t="n">
        <v>-1.118000030517578</v>
      </c>
      <c r="Y2109" s="3" t="n">
        <v>-0.7860000133514404</v>
      </c>
      <c r="Z2109" s="3" t="n">
        <v>-1.125</v>
      </c>
      <c r="AA2109" s="3" t="n">
        <v>-1.125</v>
      </c>
      <c r="AB2109" s="3" t="n">
        <v>-1.118000030517578</v>
      </c>
      <c r="AC2109" s="3" t="n">
        <v>-1.373999953269958</v>
      </c>
      <c r="AD2109" s="3" t="n">
        <v>-0.875</v>
      </c>
      <c r="AE2109" s="3" t="n">
        <v>-0.875</v>
      </c>
    </row>
    <row r="2110">
      <c r="A2110" s="3" t="inlineStr">
        <is>
          <t>TJK.distn.dec.ove.mean.6</t>
        </is>
      </c>
      <c r="B2110" s="3" t="inlineStr">
        <is>
          <t>TJK</t>
        </is>
      </c>
      <c r="C2110" s="3" t="n">
        <v>2005</v>
      </c>
      <c r="D2110" s="3" t="inlineStr">
        <is>
          <t>Overall</t>
        </is>
      </c>
      <c r="E2110" s="3" t="inlineStr">
        <is>
          <t>Deciles</t>
        </is>
      </c>
      <c r="F2110" s="3" t="inlineStr">
        <is>
          <t>mean</t>
        </is>
      </c>
      <c r="G2110" s="3" t="n">
        <v>6</v>
      </c>
      <c r="H2110" s="3" t="n">
        <v>-0.7860000133514404</v>
      </c>
      <c r="I2110" s="3" t="n">
        <v>-0.7860000133514404</v>
      </c>
      <c r="J2110" s="3" t="n">
        <v>-0.875</v>
      </c>
      <c r="K2110" s="3" t="n">
        <v>-0.875</v>
      </c>
      <c r="L2110" s="3" t="n">
        <v>-0.7860000133514404</v>
      </c>
      <c r="M2110" s="3" t="n">
        <v>-0.7860000133514404</v>
      </c>
      <c r="N2110" s="3" t="n">
        <v>-0.7860000133514404</v>
      </c>
      <c r="O2110" s="3" t="n">
        <v>-0.7860000133514404</v>
      </c>
      <c r="P2110" s="3" t="n">
        <v>-0.7860000133514404</v>
      </c>
      <c r="Q2110" s="3" t="n">
        <v>-0.7860000133514404</v>
      </c>
      <c r="R2110" s="3" t="n">
        <v>-0.7730000019073486</v>
      </c>
      <c r="S2110" s="3" t="n">
        <v>-1.125</v>
      </c>
      <c r="T2110" s="3" t="n">
        <v>-0.7089999914169312</v>
      </c>
      <c r="U2110" s="3" t="n">
        <v>-0.875</v>
      </c>
      <c r="V2110" s="3" t="n">
        <v>-0.6809999942779541</v>
      </c>
      <c r="W2110" s="3" t="n">
        <v>-0.5640000104904175</v>
      </c>
      <c r="X2110" s="3" t="n">
        <v>-1.118000030517578</v>
      </c>
      <c r="Y2110" s="3" t="n">
        <v>-0.7860000133514404</v>
      </c>
      <c r="Z2110" s="3" t="n">
        <v>-1.125</v>
      </c>
      <c r="AA2110" s="3" t="n">
        <v>-1.125</v>
      </c>
      <c r="AB2110" s="3" t="n">
        <v>-1.118000030517578</v>
      </c>
      <c r="AC2110" s="3" t="n">
        <v>-1.373999953269958</v>
      </c>
      <c r="AD2110" s="3" t="n">
        <v>-0.875</v>
      </c>
      <c r="AE2110" s="3" t="n">
        <v>-0.875</v>
      </c>
    </row>
    <row r="2111">
      <c r="A2111" s="3" t="inlineStr">
        <is>
          <t>TJK.distn.dec.ove.mean.7</t>
        </is>
      </c>
      <c r="B2111" s="3" t="inlineStr">
        <is>
          <t>TJK</t>
        </is>
      </c>
      <c r="C2111" s="3" t="n">
        <v>2005</v>
      </c>
      <c r="D2111" s="3" t="inlineStr">
        <is>
          <t>Overall</t>
        </is>
      </c>
      <c r="E2111" s="3" t="inlineStr">
        <is>
          <t>Deciles</t>
        </is>
      </c>
      <c r="F2111" s="3" t="inlineStr">
        <is>
          <t>mean</t>
        </is>
      </c>
      <c r="G2111" s="3" t="n">
        <v>7</v>
      </c>
      <c r="H2111" s="3" t="n">
        <v>-0.7860000133514404</v>
      </c>
      <c r="I2111" s="3" t="n">
        <v>-0.7860000133514404</v>
      </c>
      <c r="J2111" s="3" t="n">
        <v>-0.875</v>
      </c>
      <c r="K2111" s="3" t="n">
        <v>-0.875</v>
      </c>
      <c r="L2111" s="3" t="n">
        <v>-0.7860000133514404</v>
      </c>
      <c r="M2111" s="3" t="n">
        <v>-0.7860000133514404</v>
      </c>
      <c r="N2111" s="3" t="n">
        <v>-0.7860000133514404</v>
      </c>
      <c r="O2111" s="3" t="n">
        <v>-0.7860000133514404</v>
      </c>
      <c r="P2111" s="3" t="n">
        <v>-0.7860000133514404</v>
      </c>
      <c r="Q2111" s="3" t="n">
        <v>-0.7860000133514404</v>
      </c>
      <c r="R2111" s="3" t="n">
        <v>-0.7730000019073486</v>
      </c>
      <c r="S2111" s="3" t="n">
        <v>-1.125</v>
      </c>
      <c r="T2111" s="3" t="n">
        <v>-0.7089999914169312</v>
      </c>
      <c r="U2111" s="3" t="n">
        <v>-0.875</v>
      </c>
      <c r="V2111" s="3" t="n">
        <v>-0.6809999942779541</v>
      </c>
      <c r="W2111" s="3" t="n">
        <v>-0.5640000104904175</v>
      </c>
      <c r="X2111" s="3" t="n">
        <v>-1.118000030517578</v>
      </c>
      <c r="Y2111" s="3" t="n">
        <v>-0.7860000133514404</v>
      </c>
      <c r="Z2111" s="3" t="n">
        <v>-1.125</v>
      </c>
      <c r="AA2111" s="3" t="n">
        <v>-1.125</v>
      </c>
      <c r="AB2111" s="3" t="n">
        <v>-1.118000030517578</v>
      </c>
      <c r="AC2111" s="3" t="n">
        <v>-1.373999953269958</v>
      </c>
      <c r="AD2111" s="3" t="n">
        <v>-0.875</v>
      </c>
      <c r="AE2111" s="3" t="n">
        <v>-0.875</v>
      </c>
    </row>
    <row r="2112">
      <c r="A2112" s="3" t="inlineStr">
        <is>
          <t>TJK.distn.dec.ove.mean.8</t>
        </is>
      </c>
      <c r="B2112" s="3" t="inlineStr">
        <is>
          <t>TJK</t>
        </is>
      </c>
      <c r="C2112" s="3" t="n">
        <v>2005</v>
      </c>
      <c r="D2112" s="3" t="inlineStr">
        <is>
          <t>Overall</t>
        </is>
      </c>
      <c r="E2112" s="3" t="inlineStr">
        <is>
          <t>Deciles</t>
        </is>
      </c>
      <c r="F2112" s="3" t="inlineStr">
        <is>
          <t>mean</t>
        </is>
      </c>
      <c r="G2112" s="3" t="n">
        <v>8</v>
      </c>
      <c r="H2112" s="3" t="n">
        <v>-0.7863786816596985</v>
      </c>
      <c r="I2112" s="3" t="n">
        <v>-0.7863786816596985</v>
      </c>
      <c r="J2112" s="3" t="n">
        <v>-0.8773604035377502</v>
      </c>
      <c r="K2112" s="3" t="n">
        <v>-0.8773604035377502</v>
      </c>
      <c r="L2112" s="3" t="n">
        <v>-0.7863786816596985</v>
      </c>
      <c r="M2112" s="3" t="n">
        <v>-0.7863786816596985</v>
      </c>
      <c r="N2112" s="3" t="n">
        <v>-0.7863786816596985</v>
      </c>
      <c r="O2112" s="3" t="n">
        <v>-0.7863786816596985</v>
      </c>
      <c r="P2112" s="3" t="n">
        <v>-0.7863786816596985</v>
      </c>
      <c r="Q2112" s="3" t="n">
        <v>-0.7863786816596985</v>
      </c>
      <c r="R2112" s="3" t="n">
        <v>-0.7732542157173157</v>
      </c>
      <c r="S2112" s="3" t="n">
        <v>-1.135468244552612</v>
      </c>
      <c r="T2112" s="3" t="n">
        <v>-0.7090408802032471</v>
      </c>
      <c r="U2112" s="3" t="n">
        <v>-0.8773604035377502</v>
      </c>
      <c r="V2112" s="3" t="n">
        <v>-0.6817039847373962</v>
      </c>
      <c r="W2112" s="3" t="n">
        <v>-0.5791032314300537</v>
      </c>
      <c r="X2112" s="3" t="n">
        <v>-1.12818717956543</v>
      </c>
      <c r="Y2112" s="3" t="n">
        <v>-0.7863786816596985</v>
      </c>
      <c r="Z2112" s="3" t="n">
        <v>-1.135468244552612</v>
      </c>
      <c r="AA2112" s="3" t="n">
        <v>-1.135468244552612</v>
      </c>
      <c r="AB2112" s="3" t="n">
        <v>-1.12818717956543</v>
      </c>
      <c r="AC2112" s="3" t="n">
        <v>-1.393595099449158</v>
      </c>
      <c r="AD2112" s="3" t="n">
        <v>-0.8773604035377502</v>
      </c>
      <c r="AE2112" s="3" t="n">
        <v>-0.8773604035377502</v>
      </c>
    </row>
    <row r="2113">
      <c r="A2113" s="3" t="inlineStr">
        <is>
          <t>TJK.distn.dec.ove.mean.9</t>
        </is>
      </c>
      <c r="B2113" s="3" t="inlineStr">
        <is>
          <t>TJK</t>
        </is>
      </c>
      <c r="C2113" s="3" t="n">
        <v>2005</v>
      </c>
      <c r="D2113" s="3" t="inlineStr">
        <is>
          <t>Overall</t>
        </is>
      </c>
      <c r="E2113" s="3" t="inlineStr">
        <is>
          <t>Deciles</t>
        </is>
      </c>
      <c r="F2113" s="3" t="inlineStr">
        <is>
          <t>mean</t>
        </is>
      </c>
      <c r="G2113" s="3" t="n">
        <v>9</v>
      </c>
      <c r="H2113" s="3" t="n">
        <v>-0.7863786816596985</v>
      </c>
      <c r="I2113" s="3" t="n">
        <v>-0.7863786816596985</v>
      </c>
      <c r="J2113" s="3" t="n">
        <v>-0.8773604035377502</v>
      </c>
      <c r="K2113" s="3" t="n">
        <v>-0.8773604035377502</v>
      </c>
      <c r="L2113" s="3" t="n">
        <v>-0.7863786816596985</v>
      </c>
      <c r="M2113" s="3" t="n">
        <v>-0.7863786816596985</v>
      </c>
      <c r="N2113" s="3" t="n">
        <v>-0.7863786816596985</v>
      </c>
      <c r="O2113" s="3" t="n">
        <v>-0.7863786816596985</v>
      </c>
      <c r="P2113" s="3" t="n">
        <v>-0.7863786816596985</v>
      </c>
      <c r="Q2113" s="3" t="n">
        <v>-0.7863786816596985</v>
      </c>
      <c r="R2113" s="3" t="n">
        <v>-0.7732542157173157</v>
      </c>
      <c r="S2113" s="3" t="n">
        <v>-1.135468244552612</v>
      </c>
      <c r="T2113" s="3" t="n">
        <v>-0.7090408802032471</v>
      </c>
      <c r="U2113" s="3" t="n">
        <v>-0.8773604035377502</v>
      </c>
      <c r="V2113" s="3" t="n">
        <v>-0.6817039847373962</v>
      </c>
      <c r="W2113" s="3" t="n">
        <v>-0.5791032314300537</v>
      </c>
      <c r="X2113" s="3" t="n">
        <v>-1.12818717956543</v>
      </c>
      <c r="Y2113" s="3" t="n">
        <v>-0.7863786816596985</v>
      </c>
      <c r="Z2113" s="3" t="n">
        <v>-1.135468244552612</v>
      </c>
      <c r="AA2113" s="3" t="n">
        <v>-1.135468244552612</v>
      </c>
      <c r="AB2113" s="3" t="n">
        <v>-1.12818717956543</v>
      </c>
      <c r="AC2113" s="3" t="n">
        <v>-1.393595099449158</v>
      </c>
      <c r="AD2113" s="3" t="n">
        <v>-0.8773604035377502</v>
      </c>
      <c r="AE2113" s="3" t="n">
        <v>-0.8773604035377502</v>
      </c>
    </row>
    <row r="2114">
      <c r="A2114" s="3" t="inlineStr">
        <is>
          <t>TJK.distn.dec.ove.mean.10</t>
        </is>
      </c>
      <c r="B2114" s="3" t="inlineStr">
        <is>
          <t>TJK</t>
        </is>
      </c>
      <c r="C2114" s="3" t="n">
        <v>2005</v>
      </c>
      <c r="D2114" s="3" t="inlineStr">
        <is>
          <t>Overall</t>
        </is>
      </c>
      <c r="E2114" s="3" t="inlineStr">
        <is>
          <t>Deciles</t>
        </is>
      </c>
      <c r="F2114" s="3" t="inlineStr">
        <is>
          <t>mean</t>
        </is>
      </c>
      <c r="G2114" s="3" t="n">
        <v>10</v>
      </c>
      <c r="H2114" s="3" t="n">
        <v>-0.7863786816596985</v>
      </c>
      <c r="I2114" s="3" t="n">
        <v>-0.7863786816596985</v>
      </c>
      <c r="J2114" s="3" t="n">
        <v>-0.8773604035377502</v>
      </c>
      <c r="K2114" s="3" t="n">
        <v>-0.8773604035377502</v>
      </c>
      <c r="L2114" s="3" t="n">
        <v>-0.7863786816596985</v>
      </c>
      <c r="M2114" s="3" t="n">
        <v>-0.7863786816596985</v>
      </c>
      <c r="N2114" s="3" t="n">
        <v>-0.7863786816596985</v>
      </c>
      <c r="O2114" s="3" t="n">
        <v>-0.7863786816596985</v>
      </c>
      <c r="P2114" s="3" t="n">
        <v>-0.7863786816596985</v>
      </c>
      <c r="Q2114" s="3" t="n">
        <v>-0.7863786816596985</v>
      </c>
      <c r="R2114" s="3" t="n">
        <v>-0.7732542157173157</v>
      </c>
      <c r="S2114" s="3" t="n">
        <v>-1.135468244552612</v>
      </c>
      <c r="T2114" s="3" t="n">
        <v>-0.7090408802032471</v>
      </c>
      <c r="U2114" s="3" t="n">
        <v>-0.8773604035377502</v>
      </c>
      <c r="V2114" s="3" t="n">
        <v>-0.6817039847373962</v>
      </c>
      <c r="W2114" s="3" t="n">
        <v>-0.5791032314300537</v>
      </c>
      <c r="X2114" s="3" t="n">
        <v>-1.12818717956543</v>
      </c>
      <c r="Y2114" s="3" t="n">
        <v>-0.7863786816596985</v>
      </c>
      <c r="Z2114" s="3" t="n">
        <v>-1.135468244552612</v>
      </c>
      <c r="AA2114" s="3" t="n">
        <v>-1.135468244552612</v>
      </c>
      <c r="AB2114" s="3" t="n">
        <v>-1.12818717956543</v>
      </c>
      <c r="AC2114" s="3" t="n">
        <v>-1.393595099449158</v>
      </c>
      <c r="AD2114" s="3" t="n">
        <v>-0.8773604035377502</v>
      </c>
      <c r="AE2114" s="3" t="n">
        <v>-0.8773604035377502</v>
      </c>
    </row>
    <row r="2115">
      <c r="A2115" s="3" t="inlineStr">
        <is>
          <t>TJK.distn.bkt.ove.mean.9999</t>
        </is>
      </c>
      <c r="B2115" s="3" t="inlineStr">
        <is>
          <t>TJK</t>
        </is>
      </c>
      <c r="C2115" s="3" t="n">
        <v>2005</v>
      </c>
      <c r="D2115" s="3" t="inlineStr">
        <is>
          <t>Overall</t>
        </is>
      </c>
      <c r="E2115" s="3" t="inlineStr">
        <is>
          <t>Basket</t>
        </is>
      </c>
      <c r="F2115" s="3" t="inlineStr">
        <is>
          <t>mean</t>
        </is>
      </c>
      <c r="G2115" s="3" t="n">
        <v>9999</v>
      </c>
      <c r="H2115" s="3" t="n">
        <v>-0.787995457649231</v>
      </c>
      <c r="I2115" s="3" t="n">
        <v>-0.787995457649231</v>
      </c>
      <c r="J2115" s="3" t="n">
        <v>-0.8890364170074463</v>
      </c>
      <c r="K2115" s="3" t="n">
        <v>-0.8890364170074463</v>
      </c>
      <c r="L2115" s="3" t="n">
        <v>-0.787995457649231</v>
      </c>
      <c r="M2115" s="3" t="n">
        <v>-0.787995457649231</v>
      </c>
      <c r="N2115" s="3" t="n">
        <v>-0.787995457649231</v>
      </c>
      <c r="O2115" s="3" t="n">
        <v>-0.787995457649231</v>
      </c>
      <c r="P2115" s="3" t="n">
        <v>-0.787995457649231</v>
      </c>
      <c r="Q2115" s="3" t="n">
        <v>-0.787995457649231</v>
      </c>
      <c r="R2115" s="3" t="n">
        <v>-0.7741215229034424</v>
      </c>
      <c r="S2115" s="3" t="n">
        <v>-1.286154389381409</v>
      </c>
      <c r="T2115" s="3" t="n">
        <v>-0.7094486355781555</v>
      </c>
      <c r="U2115" s="3" t="n">
        <v>-0.8890364170074463</v>
      </c>
      <c r="V2115" s="3" t="n">
        <v>-0.6833100318908691</v>
      </c>
      <c r="W2115" s="3" t="n">
        <v>-0.6003751754760742</v>
      </c>
      <c r="X2115" s="3" t="n">
        <v>-1.260905385017395</v>
      </c>
      <c r="Y2115" s="3" t="n">
        <v>-0.787995457649231</v>
      </c>
      <c r="Z2115" s="3" t="n">
        <v>-1.286154389381409</v>
      </c>
      <c r="AA2115" s="3" t="n">
        <v>-1.286154389381409</v>
      </c>
      <c r="AB2115" s="3" t="n">
        <v>-1.260905385017395</v>
      </c>
      <c r="AC2115" s="3" t="n">
        <v>-1.821231484413147</v>
      </c>
      <c r="AD2115" s="3" t="n">
        <v>-0.8890364170074463</v>
      </c>
      <c r="AE2115" s="3" t="n">
        <v>-0.8890364170074463</v>
      </c>
    </row>
    <row r="2116">
      <c r="A2116" s="3" t="inlineStr">
        <is>
          <t>TKM.distn.dec.ove.mean.1</t>
        </is>
      </c>
      <c r="B2116" s="3" t="inlineStr">
        <is>
          <t>TKM</t>
        </is>
      </c>
      <c r="C2116" s="3" t="n">
        <v>2005</v>
      </c>
      <c r="D2116" s="3" t="inlineStr">
        <is>
          <t>Overall</t>
        </is>
      </c>
      <c r="E2116" s="3" t="inlineStr">
        <is>
          <t>Deciles</t>
        </is>
      </c>
      <c r="F2116" s="3" t="inlineStr">
        <is>
          <t>mean</t>
        </is>
      </c>
      <c r="G2116" s="3" t="n">
        <v>1</v>
      </c>
      <c r="H2116" s="3" t="n">
        <v>-0.7898249251501901</v>
      </c>
      <c r="I2116" s="3" t="n">
        <v>-0.7898249251501901</v>
      </c>
      <c r="J2116" s="3" t="n">
        <v>-0.9006037865366254</v>
      </c>
      <c r="K2116" s="3" t="n">
        <v>-0.9006037865366254</v>
      </c>
      <c r="L2116" s="3" t="n">
        <v>-0.7898249251501901</v>
      </c>
      <c r="M2116" s="3" t="n">
        <v>-0.7898249251501901</v>
      </c>
      <c r="N2116" s="3" t="n">
        <v>-0.7898249251501901</v>
      </c>
      <c r="O2116" s="3" t="n">
        <v>-0.7898249251501901</v>
      </c>
      <c r="P2116" s="3" t="n">
        <v>-0.7898249251501901</v>
      </c>
      <c r="Q2116" s="3" t="n">
        <v>-0.7898249251501901</v>
      </c>
      <c r="R2116" s="3" t="n">
        <v>-0.7744465725762504</v>
      </c>
      <c r="S2116" s="3" t="n">
        <v>-1.490841317176819</v>
      </c>
      <c r="T2116" s="3" t="n">
        <v>-0.7100824441228594</v>
      </c>
      <c r="U2116" s="3" t="n">
        <v>-0.9006037865366254</v>
      </c>
      <c r="V2116" s="3" t="n">
        <v>-0.6846477542604719</v>
      </c>
      <c r="W2116" s="3" t="n">
        <v>-0.6204802887780326</v>
      </c>
      <c r="X2116" s="3" t="n">
        <v>-1.433480068615505</v>
      </c>
      <c r="Y2116" s="3" t="n">
        <v>-0.7898249251501901</v>
      </c>
      <c r="Z2116" s="3" t="n">
        <v>-1.490841317176819</v>
      </c>
      <c r="AA2116" s="3" t="n">
        <v>-1.490841317176819</v>
      </c>
      <c r="AB2116" s="3" t="n">
        <v>-1.433480068615505</v>
      </c>
      <c r="AC2116" s="3" t="n">
        <v>-2.345895099639892</v>
      </c>
      <c r="AD2116" s="3" t="n">
        <v>-0.9006037865366254</v>
      </c>
      <c r="AE2116" s="3" t="n">
        <v>-0.9006037865366254</v>
      </c>
    </row>
    <row r="2117">
      <c r="A2117" s="3" t="inlineStr">
        <is>
          <t>TKM.distn.dec.ove.mean.2</t>
        </is>
      </c>
      <c r="B2117" s="3" t="inlineStr">
        <is>
          <t>TKM</t>
        </is>
      </c>
      <c r="C2117" s="3" t="n">
        <v>2005</v>
      </c>
      <c r="D2117" s="3" t="inlineStr">
        <is>
          <t>Overall</t>
        </is>
      </c>
      <c r="E2117" s="3" t="inlineStr">
        <is>
          <t>Deciles</t>
        </is>
      </c>
      <c r="F2117" s="3" t="inlineStr">
        <is>
          <t>mean</t>
        </is>
      </c>
      <c r="G2117" s="3" t="n">
        <v>2</v>
      </c>
      <c r="H2117" s="3" t="n">
        <v>-0.7898249251501901</v>
      </c>
      <c r="I2117" s="3" t="n">
        <v>-0.7898249251501901</v>
      </c>
      <c r="J2117" s="3" t="n">
        <v>-0.9006037865366254</v>
      </c>
      <c r="K2117" s="3" t="n">
        <v>-0.9006037865366254</v>
      </c>
      <c r="L2117" s="3" t="n">
        <v>-0.7898249251501901</v>
      </c>
      <c r="M2117" s="3" t="n">
        <v>-0.7898249251501901</v>
      </c>
      <c r="N2117" s="3" t="n">
        <v>-0.7898249251501901</v>
      </c>
      <c r="O2117" s="3" t="n">
        <v>-0.7898249251501901</v>
      </c>
      <c r="P2117" s="3" t="n">
        <v>-0.7898249251501901</v>
      </c>
      <c r="Q2117" s="3" t="n">
        <v>-0.7898249251501901</v>
      </c>
      <c r="R2117" s="3" t="n">
        <v>-0.7744465725762504</v>
      </c>
      <c r="S2117" s="3" t="n">
        <v>-1.490841317176819</v>
      </c>
      <c r="T2117" s="3" t="n">
        <v>-0.7100824441228594</v>
      </c>
      <c r="U2117" s="3" t="n">
        <v>-0.9006037865366254</v>
      </c>
      <c r="V2117" s="3" t="n">
        <v>-0.6846477542604719</v>
      </c>
      <c r="W2117" s="3" t="n">
        <v>-0.6204802887780326</v>
      </c>
      <c r="X2117" s="3" t="n">
        <v>-1.433480068615505</v>
      </c>
      <c r="Y2117" s="3" t="n">
        <v>-0.7898249251501901</v>
      </c>
      <c r="Z2117" s="3" t="n">
        <v>-1.490841317176819</v>
      </c>
      <c r="AA2117" s="3" t="n">
        <v>-1.490841317176819</v>
      </c>
      <c r="AB2117" s="3" t="n">
        <v>-1.433480068615505</v>
      </c>
      <c r="AC2117" s="3" t="n">
        <v>-2.345895099639892</v>
      </c>
      <c r="AD2117" s="3" t="n">
        <v>-0.9006037865366254</v>
      </c>
      <c r="AE2117" s="3" t="n">
        <v>-0.9006037865366254</v>
      </c>
    </row>
    <row r="2118">
      <c r="A2118" s="3" t="inlineStr">
        <is>
          <t>TKM.distn.dec.ove.mean.3</t>
        </is>
      </c>
      <c r="B2118" s="3" t="inlineStr">
        <is>
          <t>TKM</t>
        </is>
      </c>
      <c r="C2118" s="3" t="n">
        <v>2005</v>
      </c>
      <c r="D2118" s="3" t="inlineStr">
        <is>
          <t>Overall</t>
        </is>
      </c>
      <c r="E2118" s="3" t="inlineStr">
        <is>
          <t>Deciles</t>
        </is>
      </c>
      <c r="F2118" s="3" t="inlineStr">
        <is>
          <t>mean</t>
        </is>
      </c>
      <c r="G2118" s="3" t="n">
        <v>3</v>
      </c>
      <c r="H2118" s="3" t="n">
        <v>-0.7898249251501901</v>
      </c>
      <c r="I2118" s="3" t="n">
        <v>-0.7898249251501901</v>
      </c>
      <c r="J2118" s="3" t="n">
        <v>-0.9006037865366254</v>
      </c>
      <c r="K2118" s="3" t="n">
        <v>-0.9006037865366254</v>
      </c>
      <c r="L2118" s="3" t="n">
        <v>-0.7898249251501901</v>
      </c>
      <c r="M2118" s="3" t="n">
        <v>-0.7898249251501901</v>
      </c>
      <c r="N2118" s="3" t="n">
        <v>-0.7898249251501901</v>
      </c>
      <c r="O2118" s="3" t="n">
        <v>-0.7898249251501901</v>
      </c>
      <c r="P2118" s="3" t="n">
        <v>-0.7898249251501901</v>
      </c>
      <c r="Q2118" s="3" t="n">
        <v>-0.7898249251501901</v>
      </c>
      <c r="R2118" s="3" t="n">
        <v>-0.7744465725762504</v>
      </c>
      <c r="S2118" s="3" t="n">
        <v>-1.490841317176819</v>
      </c>
      <c r="T2118" s="3" t="n">
        <v>-0.7100824441228594</v>
      </c>
      <c r="U2118" s="3" t="n">
        <v>-0.9006037865366254</v>
      </c>
      <c r="V2118" s="3" t="n">
        <v>-0.6846477542604719</v>
      </c>
      <c r="W2118" s="3" t="n">
        <v>-0.6204802887780326</v>
      </c>
      <c r="X2118" s="3" t="n">
        <v>-1.433480068615505</v>
      </c>
      <c r="Y2118" s="3" t="n">
        <v>-0.7898249251501901</v>
      </c>
      <c r="Z2118" s="3" t="n">
        <v>-1.490841317176819</v>
      </c>
      <c r="AA2118" s="3" t="n">
        <v>-1.490841317176819</v>
      </c>
      <c r="AB2118" s="3" t="n">
        <v>-1.433480068615505</v>
      </c>
      <c r="AC2118" s="3" t="n">
        <v>-2.345895099639892</v>
      </c>
      <c r="AD2118" s="3" t="n">
        <v>-0.9006037865366254</v>
      </c>
      <c r="AE2118" s="3" t="n">
        <v>-0.9006037865366254</v>
      </c>
    </row>
    <row r="2119">
      <c r="A2119" s="3" t="inlineStr">
        <is>
          <t>TKM.distn.dec.ove.mean.4</t>
        </is>
      </c>
      <c r="B2119" s="3" t="inlineStr">
        <is>
          <t>TKM</t>
        </is>
      </c>
      <c r="C2119" s="3" t="n">
        <v>2005</v>
      </c>
      <c r="D2119" s="3" t="inlineStr">
        <is>
          <t>Overall</t>
        </is>
      </c>
      <c r="E2119" s="3" t="inlineStr">
        <is>
          <t>Deciles</t>
        </is>
      </c>
      <c r="F2119" s="3" t="inlineStr">
        <is>
          <t>mean</t>
        </is>
      </c>
      <c r="G2119" s="3" t="n">
        <v>4</v>
      </c>
      <c r="H2119" s="3" t="n">
        <v>-0.7835714289120266</v>
      </c>
      <c r="I2119" s="3" t="n">
        <v>-0.7835714289120266</v>
      </c>
      <c r="J2119" s="3" t="n">
        <v>-0.8570857082094465</v>
      </c>
      <c r="K2119" s="3" t="n">
        <v>-0.8570857082094465</v>
      </c>
      <c r="L2119" s="3" t="n">
        <v>-0.7835714289120266</v>
      </c>
      <c r="M2119" s="3" t="n">
        <v>-0.7835714289120266</v>
      </c>
      <c r="N2119" s="3" t="n">
        <v>-0.7835714289120266</v>
      </c>
      <c r="O2119" s="3" t="n">
        <v>-0.7835714289120266</v>
      </c>
      <c r="P2119" s="3" t="n">
        <v>-0.7835714289120266</v>
      </c>
      <c r="Q2119" s="3" t="n">
        <v>-0.7835714289120266</v>
      </c>
      <c r="R2119" s="3" t="n">
        <v>-0.7709714361599513</v>
      </c>
      <c r="S2119" s="3" t="n">
        <v>-1.015428565229688</v>
      </c>
      <c r="T2119" s="3" t="n">
        <v>-0.708628567627498</v>
      </c>
      <c r="U2119" s="3" t="n">
        <v>-0.8570857082094465</v>
      </c>
      <c r="V2119" s="3" t="n">
        <v>-0.6776857103620256</v>
      </c>
      <c r="W2119" s="3" t="n">
        <v>-0.5221999968801226</v>
      </c>
      <c r="X2119" s="3" t="n">
        <v>-1.011657135827201</v>
      </c>
      <c r="Y2119" s="3" t="n">
        <v>-0.7835714289120266</v>
      </c>
      <c r="Z2119" s="3" t="n">
        <v>-1.015428565229688</v>
      </c>
      <c r="AA2119" s="3" t="n">
        <v>-1.015428565229688</v>
      </c>
      <c r="AB2119" s="3" t="n">
        <v>-1.011657135827201</v>
      </c>
      <c r="AC2119" s="3" t="n">
        <v>-1.132885714939662</v>
      </c>
      <c r="AD2119" s="3" t="n">
        <v>-0.8570857082094465</v>
      </c>
      <c r="AE2119" s="3" t="n">
        <v>-0.8570857082094465</v>
      </c>
    </row>
    <row r="2120">
      <c r="A2120" s="3" t="inlineStr">
        <is>
          <t>TKM.distn.dec.ove.mean.5</t>
        </is>
      </c>
      <c r="B2120" s="3" t="inlineStr">
        <is>
          <t>TKM</t>
        </is>
      </c>
      <c r="C2120" s="3" t="n">
        <v>2005</v>
      </c>
      <c r="D2120" s="3" t="inlineStr">
        <is>
          <t>Overall</t>
        </is>
      </c>
      <c r="E2120" s="3" t="inlineStr">
        <is>
          <t>Deciles</t>
        </is>
      </c>
      <c r="F2120" s="3" t="inlineStr">
        <is>
          <t>mean</t>
        </is>
      </c>
      <c r="G2120" s="3" t="n">
        <v>5</v>
      </c>
      <c r="H2120" s="3" t="n">
        <v>-0.7835714289120266</v>
      </c>
      <c r="I2120" s="3" t="n">
        <v>-0.7835714289120266</v>
      </c>
      <c r="J2120" s="3" t="n">
        <v>-0.8570857082094465</v>
      </c>
      <c r="K2120" s="3" t="n">
        <v>-0.8570857082094465</v>
      </c>
      <c r="L2120" s="3" t="n">
        <v>-0.7835714289120266</v>
      </c>
      <c r="M2120" s="3" t="n">
        <v>-0.7835714289120266</v>
      </c>
      <c r="N2120" s="3" t="n">
        <v>-0.7835714289120266</v>
      </c>
      <c r="O2120" s="3" t="n">
        <v>-0.7835714289120266</v>
      </c>
      <c r="P2120" s="3" t="n">
        <v>-0.7835714289120266</v>
      </c>
      <c r="Q2120" s="3" t="n">
        <v>-0.7835714289120266</v>
      </c>
      <c r="R2120" s="3" t="n">
        <v>-0.7709714361599513</v>
      </c>
      <c r="S2120" s="3" t="n">
        <v>-1.015428565229688</v>
      </c>
      <c r="T2120" s="3" t="n">
        <v>-0.708628567627498</v>
      </c>
      <c r="U2120" s="3" t="n">
        <v>-0.8570857082094465</v>
      </c>
      <c r="V2120" s="3" t="n">
        <v>-0.6776857103620256</v>
      </c>
      <c r="W2120" s="3" t="n">
        <v>-0.5221999968801226</v>
      </c>
      <c r="X2120" s="3" t="n">
        <v>-1.011657135827201</v>
      </c>
      <c r="Y2120" s="3" t="n">
        <v>-0.7835714289120266</v>
      </c>
      <c r="Z2120" s="3" t="n">
        <v>-1.015428565229688</v>
      </c>
      <c r="AA2120" s="3" t="n">
        <v>-1.015428565229688</v>
      </c>
      <c r="AB2120" s="3" t="n">
        <v>-1.011657135827201</v>
      </c>
      <c r="AC2120" s="3" t="n">
        <v>-1.132885714939662</v>
      </c>
      <c r="AD2120" s="3" t="n">
        <v>-0.8570857082094465</v>
      </c>
      <c r="AE2120" s="3" t="n">
        <v>-0.8570857082094465</v>
      </c>
    </row>
    <row r="2121">
      <c r="A2121" s="3" t="inlineStr">
        <is>
          <t>TKM.distn.dec.ove.mean.6</t>
        </is>
      </c>
      <c r="B2121" s="3" t="inlineStr">
        <is>
          <t>TKM</t>
        </is>
      </c>
      <c r="C2121" s="3" t="n">
        <v>2005</v>
      </c>
      <c r="D2121" s="3" t="inlineStr">
        <is>
          <t>Overall</t>
        </is>
      </c>
      <c r="E2121" s="3" t="inlineStr">
        <is>
          <t>Deciles</t>
        </is>
      </c>
      <c r="F2121" s="3" t="inlineStr">
        <is>
          <t>mean</t>
        </is>
      </c>
      <c r="G2121" s="3" t="n">
        <v>6</v>
      </c>
      <c r="H2121" s="3" t="n">
        <v>-0.7835714289120266</v>
      </c>
      <c r="I2121" s="3" t="n">
        <v>-0.7835714289120266</v>
      </c>
      <c r="J2121" s="3" t="n">
        <v>-0.8570857082094465</v>
      </c>
      <c r="K2121" s="3" t="n">
        <v>-0.8570857082094465</v>
      </c>
      <c r="L2121" s="3" t="n">
        <v>-0.7835714289120266</v>
      </c>
      <c r="M2121" s="3" t="n">
        <v>-0.7835714289120266</v>
      </c>
      <c r="N2121" s="3" t="n">
        <v>-0.7835714289120266</v>
      </c>
      <c r="O2121" s="3" t="n">
        <v>-0.7835714289120266</v>
      </c>
      <c r="P2121" s="3" t="n">
        <v>-0.7835714289120266</v>
      </c>
      <c r="Q2121" s="3" t="n">
        <v>-0.7835714289120266</v>
      </c>
      <c r="R2121" s="3" t="n">
        <v>-0.7709714361599513</v>
      </c>
      <c r="S2121" s="3" t="n">
        <v>-1.015428565229688</v>
      </c>
      <c r="T2121" s="3" t="n">
        <v>-0.708628567627498</v>
      </c>
      <c r="U2121" s="3" t="n">
        <v>-0.8570857082094465</v>
      </c>
      <c r="V2121" s="3" t="n">
        <v>-0.6776857103620256</v>
      </c>
      <c r="W2121" s="3" t="n">
        <v>-0.5221999968801226</v>
      </c>
      <c r="X2121" s="3" t="n">
        <v>-1.011657135827201</v>
      </c>
      <c r="Y2121" s="3" t="n">
        <v>-0.7835714289120266</v>
      </c>
      <c r="Z2121" s="3" t="n">
        <v>-1.015428565229688</v>
      </c>
      <c r="AA2121" s="3" t="n">
        <v>-1.015428565229688</v>
      </c>
      <c r="AB2121" s="3" t="n">
        <v>-1.011657135827201</v>
      </c>
      <c r="AC2121" s="3" t="n">
        <v>-1.132885714939662</v>
      </c>
      <c r="AD2121" s="3" t="n">
        <v>-0.8570857082094465</v>
      </c>
      <c r="AE2121" s="3" t="n">
        <v>-0.8570857082094465</v>
      </c>
    </row>
    <row r="2122">
      <c r="A2122" s="3" t="inlineStr">
        <is>
          <t>TKM.distn.dec.ove.mean.7</t>
        </is>
      </c>
      <c r="B2122" s="3" t="inlineStr">
        <is>
          <t>TKM</t>
        </is>
      </c>
      <c r="C2122" s="3" t="n">
        <v>2005</v>
      </c>
      <c r="D2122" s="3" t="inlineStr">
        <is>
          <t>Overall</t>
        </is>
      </c>
      <c r="E2122" s="3" t="inlineStr">
        <is>
          <t>Deciles</t>
        </is>
      </c>
      <c r="F2122" s="3" t="inlineStr">
        <is>
          <t>mean</t>
        </is>
      </c>
      <c r="G2122" s="3" t="n">
        <v>7</v>
      </c>
      <c r="H2122" s="3" t="n">
        <v>-0.7835714289120266</v>
      </c>
      <c r="I2122" s="3" t="n">
        <v>-0.7835714289120266</v>
      </c>
      <c r="J2122" s="3" t="n">
        <v>-0.8570857082094465</v>
      </c>
      <c r="K2122" s="3" t="n">
        <v>-0.8570857082094465</v>
      </c>
      <c r="L2122" s="3" t="n">
        <v>-0.7835714289120266</v>
      </c>
      <c r="M2122" s="3" t="n">
        <v>-0.7835714289120266</v>
      </c>
      <c r="N2122" s="3" t="n">
        <v>-0.7835714289120266</v>
      </c>
      <c r="O2122" s="3" t="n">
        <v>-0.7835714289120266</v>
      </c>
      <c r="P2122" s="3" t="n">
        <v>-0.7835714289120266</v>
      </c>
      <c r="Q2122" s="3" t="n">
        <v>-0.7835714289120266</v>
      </c>
      <c r="R2122" s="3" t="n">
        <v>-0.7709714361599513</v>
      </c>
      <c r="S2122" s="3" t="n">
        <v>-1.015428565229688</v>
      </c>
      <c r="T2122" s="3" t="n">
        <v>-0.708628567627498</v>
      </c>
      <c r="U2122" s="3" t="n">
        <v>-0.8570857082094465</v>
      </c>
      <c r="V2122" s="3" t="n">
        <v>-0.6776857103620256</v>
      </c>
      <c r="W2122" s="3" t="n">
        <v>-0.5221999968801226</v>
      </c>
      <c r="X2122" s="3" t="n">
        <v>-1.011657135827201</v>
      </c>
      <c r="Y2122" s="3" t="n">
        <v>-0.7835714289120266</v>
      </c>
      <c r="Z2122" s="3" t="n">
        <v>-1.015428565229688</v>
      </c>
      <c r="AA2122" s="3" t="n">
        <v>-1.015428565229688</v>
      </c>
      <c r="AB2122" s="3" t="n">
        <v>-1.011657135827201</v>
      </c>
      <c r="AC2122" s="3" t="n">
        <v>-1.132885714939662</v>
      </c>
      <c r="AD2122" s="3" t="n">
        <v>-0.8570857082094465</v>
      </c>
      <c r="AE2122" s="3" t="n">
        <v>-0.8570857082094465</v>
      </c>
    </row>
    <row r="2123">
      <c r="A2123" s="3" t="inlineStr">
        <is>
          <t>TKM.distn.dec.ove.mean.8</t>
        </is>
      </c>
      <c r="B2123" s="3" t="inlineStr">
        <is>
          <t>TKM</t>
        </is>
      </c>
      <c r="C2123" s="3" t="n">
        <v>2005</v>
      </c>
      <c r="D2123" s="3" t="inlineStr">
        <is>
          <t>Overall</t>
        </is>
      </c>
      <c r="E2123" s="3" t="inlineStr">
        <is>
          <t>Deciles</t>
        </is>
      </c>
      <c r="F2123" s="3" t="inlineStr">
        <is>
          <t>mean</t>
        </is>
      </c>
      <c r="G2123" s="3" t="n">
        <v>8</v>
      </c>
      <c r="H2123" s="3" t="n">
        <v>-0.7839489357812064</v>
      </c>
      <c r="I2123" s="3" t="n">
        <v>-0.7839489357812064</v>
      </c>
      <c r="J2123" s="3" t="n">
        <v>-0.8593977723802839</v>
      </c>
      <c r="K2123" s="3" t="n">
        <v>-0.8593977723802839</v>
      </c>
      <c r="L2123" s="3" t="n">
        <v>-0.7839489357812064</v>
      </c>
      <c r="M2123" s="3" t="n">
        <v>-0.7839489357812064</v>
      </c>
      <c r="N2123" s="3" t="n">
        <v>-0.7839489357812064</v>
      </c>
      <c r="O2123" s="3" t="n">
        <v>-0.7839489357812064</v>
      </c>
      <c r="P2123" s="3" t="n">
        <v>-0.7839489357812064</v>
      </c>
      <c r="Q2123" s="3" t="n">
        <v>-0.7839489357812064</v>
      </c>
      <c r="R2123" s="3" t="n">
        <v>-0.7712249892098563</v>
      </c>
      <c r="S2123" s="3" t="n">
        <v>-1.024877253600529</v>
      </c>
      <c r="T2123" s="3" t="n">
        <v>-0.7086694342749459</v>
      </c>
      <c r="U2123" s="3" t="n">
        <v>-0.8593977723802839</v>
      </c>
      <c r="V2123" s="3" t="n">
        <v>-0.6783862863268171</v>
      </c>
      <c r="W2123" s="3" t="n">
        <v>-0.5361838928290776</v>
      </c>
      <c r="X2123" s="3" t="n">
        <v>-1.020875356878553</v>
      </c>
      <c r="Y2123" s="3" t="n">
        <v>-0.7839489357812064</v>
      </c>
      <c r="Z2123" s="3" t="n">
        <v>-1.024877253600529</v>
      </c>
      <c r="AA2123" s="3" t="n">
        <v>-1.024877253600529</v>
      </c>
      <c r="AB2123" s="3" t="n">
        <v>-1.020875356878553</v>
      </c>
      <c r="AC2123" s="3" t="n">
        <v>-1.149042170388358</v>
      </c>
      <c r="AD2123" s="3" t="n">
        <v>-0.8593977723802839</v>
      </c>
      <c r="AE2123" s="3" t="n">
        <v>-0.8593977723802839</v>
      </c>
    </row>
    <row r="2124">
      <c r="A2124" s="3" t="inlineStr">
        <is>
          <t>TKM.distn.dec.ove.mean.9</t>
        </is>
      </c>
      <c r="B2124" s="3" t="inlineStr">
        <is>
          <t>TKM</t>
        </is>
      </c>
      <c r="C2124" s="3" t="n">
        <v>2005</v>
      </c>
      <c r="D2124" s="3" t="inlineStr">
        <is>
          <t>Overall</t>
        </is>
      </c>
      <c r="E2124" s="3" t="inlineStr">
        <is>
          <t>Deciles</t>
        </is>
      </c>
      <c r="F2124" s="3" t="inlineStr">
        <is>
          <t>mean</t>
        </is>
      </c>
      <c r="G2124" s="3" t="n">
        <v>9</v>
      </c>
      <c r="H2124" s="3" t="n">
        <v>-0.7839489357812064</v>
      </c>
      <c r="I2124" s="3" t="n">
        <v>-0.7839489357812064</v>
      </c>
      <c r="J2124" s="3" t="n">
        <v>-0.8593977723802839</v>
      </c>
      <c r="K2124" s="3" t="n">
        <v>-0.8593977723802839</v>
      </c>
      <c r="L2124" s="3" t="n">
        <v>-0.7839489357812064</v>
      </c>
      <c r="M2124" s="3" t="n">
        <v>-0.7839489357812064</v>
      </c>
      <c r="N2124" s="3" t="n">
        <v>-0.7839489357812064</v>
      </c>
      <c r="O2124" s="3" t="n">
        <v>-0.7839489357812064</v>
      </c>
      <c r="P2124" s="3" t="n">
        <v>-0.7839489357812064</v>
      </c>
      <c r="Q2124" s="3" t="n">
        <v>-0.7839489357812064</v>
      </c>
      <c r="R2124" s="3" t="n">
        <v>-0.7712249892098563</v>
      </c>
      <c r="S2124" s="3" t="n">
        <v>-1.024877253600529</v>
      </c>
      <c r="T2124" s="3" t="n">
        <v>-0.7086694342749459</v>
      </c>
      <c r="U2124" s="3" t="n">
        <v>-0.8593977723802839</v>
      </c>
      <c r="V2124" s="3" t="n">
        <v>-0.6783862863268171</v>
      </c>
      <c r="W2124" s="3" t="n">
        <v>-0.5361838928290776</v>
      </c>
      <c r="X2124" s="3" t="n">
        <v>-1.020875356878553</v>
      </c>
      <c r="Y2124" s="3" t="n">
        <v>-0.7839489357812064</v>
      </c>
      <c r="Z2124" s="3" t="n">
        <v>-1.024877253600529</v>
      </c>
      <c r="AA2124" s="3" t="n">
        <v>-1.024877253600529</v>
      </c>
      <c r="AB2124" s="3" t="n">
        <v>-1.020875356878553</v>
      </c>
      <c r="AC2124" s="3" t="n">
        <v>-1.149042170388358</v>
      </c>
      <c r="AD2124" s="3" t="n">
        <v>-0.8593977723802839</v>
      </c>
      <c r="AE2124" s="3" t="n">
        <v>-0.8593977723802839</v>
      </c>
    </row>
    <row r="2125">
      <c r="A2125" s="3" t="inlineStr">
        <is>
          <t>TKM.distn.dec.ove.mean.10</t>
        </is>
      </c>
      <c r="B2125" s="3" t="inlineStr">
        <is>
          <t>TKM</t>
        </is>
      </c>
      <c r="C2125" s="3" t="n">
        <v>2005</v>
      </c>
      <c r="D2125" s="3" t="inlineStr">
        <is>
          <t>Overall</t>
        </is>
      </c>
      <c r="E2125" s="3" t="inlineStr">
        <is>
          <t>Deciles</t>
        </is>
      </c>
      <c r="F2125" s="3" t="inlineStr">
        <is>
          <t>mean</t>
        </is>
      </c>
      <c r="G2125" s="3" t="n">
        <v>10</v>
      </c>
      <c r="H2125" s="3" t="n">
        <v>-0.7839489357812064</v>
      </c>
      <c r="I2125" s="3" t="n">
        <v>-0.7839489357812064</v>
      </c>
      <c r="J2125" s="3" t="n">
        <v>-0.8593977723802839</v>
      </c>
      <c r="K2125" s="3" t="n">
        <v>-0.8593977723802839</v>
      </c>
      <c r="L2125" s="3" t="n">
        <v>-0.7839489357812064</v>
      </c>
      <c r="M2125" s="3" t="n">
        <v>-0.7839489357812064</v>
      </c>
      <c r="N2125" s="3" t="n">
        <v>-0.7839489357812064</v>
      </c>
      <c r="O2125" s="3" t="n">
        <v>-0.7839489357812064</v>
      </c>
      <c r="P2125" s="3" t="n">
        <v>-0.7839489357812064</v>
      </c>
      <c r="Q2125" s="3" t="n">
        <v>-0.7839489357812064</v>
      </c>
      <c r="R2125" s="3" t="n">
        <v>-0.7712249892098563</v>
      </c>
      <c r="S2125" s="3" t="n">
        <v>-1.024877253600529</v>
      </c>
      <c r="T2125" s="3" t="n">
        <v>-0.7086694342749459</v>
      </c>
      <c r="U2125" s="3" t="n">
        <v>-0.8593977723802839</v>
      </c>
      <c r="V2125" s="3" t="n">
        <v>-0.6783862863268171</v>
      </c>
      <c r="W2125" s="3" t="n">
        <v>-0.5361838928290776</v>
      </c>
      <c r="X2125" s="3" t="n">
        <v>-1.020875356878553</v>
      </c>
      <c r="Y2125" s="3" t="n">
        <v>-0.7839489357812064</v>
      </c>
      <c r="Z2125" s="3" t="n">
        <v>-1.024877253600529</v>
      </c>
      <c r="AA2125" s="3" t="n">
        <v>-1.024877253600529</v>
      </c>
      <c r="AB2125" s="3" t="n">
        <v>-1.020875356878553</v>
      </c>
      <c r="AC2125" s="3" t="n">
        <v>-1.149042170388358</v>
      </c>
      <c r="AD2125" s="3" t="n">
        <v>-0.8593977723802839</v>
      </c>
      <c r="AE2125" s="3" t="n">
        <v>-0.8593977723802839</v>
      </c>
    </row>
    <row r="2126">
      <c r="A2126" s="3" t="inlineStr">
        <is>
          <t>TKM.distn.bkt.ove.mean.9999</t>
        </is>
      </c>
      <c r="B2126" s="3" t="inlineStr">
        <is>
          <t>TKM</t>
        </is>
      </c>
      <c r="C2126" s="3" t="n">
        <v>2005</v>
      </c>
      <c r="D2126" s="3" t="inlineStr">
        <is>
          <t>Overall</t>
        </is>
      </c>
      <c r="E2126" s="3" t="inlineStr">
        <is>
          <t>Basket</t>
        </is>
      </c>
      <c r="F2126" s="3" t="inlineStr">
        <is>
          <t>mean</t>
        </is>
      </c>
      <c r="G2126" s="3" t="n">
        <v>9999</v>
      </c>
      <c r="H2126" s="3" t="n">
        <v>-0.7855607322284154</v>
      </c>
      <c r="I2126" s="3" t="n">
        <v>-0.7855607322284154</v>
      </c>
      <c r="J2126" s="3" t="n">
        <v>-0.8708347541945322</v>
      </c>
      <c r="K2126" s="3" t="n">
        <v>-0.8708347541945322</v>
      </c>
      <c r="L2126" s="3" t="n">
        <v>-0.7855607322284154</v>
      </c>
      <c r="M2126" s="3" t="n">
        <v>-0.7855607322284154</v>
      </c>
      <c r="N2126" s="3" t="n">
        <v>-0.7855607322284154</v>
      </c>
      <c r="O2126" s="3" t="n">
        <v>-0.7855607322284154</v>
      </c>
      <c r="P2126" s="3" t="n">
        <v>-0.7855607322284154</v>
      </c>
      <c r="Q2126" s="3" t="n">
        <v>-0.7855607322284154</v>
      </c>
      <c r="R2126" s="3" t="n">
        <v>-0.7720900552613394</v>
      </c>
      <c r="S2126" s="3" t="n">
        <v>-1.160887002944946</v>
      </c>
      <c r="T2126" s="3" t="n">
        <v>-0.7090769904000419</v>
      </c>
      <c r="U2126" s="3" t="n">
        <v>-0.8708347541945322</v>
      </c>
      <c r="V2126" s="3" t="n">
        <v>-0.6799844878060477</v>
      </c>
      <c r="W2126" s="3" t="n">
        <v>-0.5558792540005275</v>
      </c>
      <c r="X2126" s="3" t="n">
        <v>-1.140969473975045</v>
      </c>
      <c r="Y2126" s="3" t="n">
        <v>-0.7855607322284154</v>
      </c>
      <c r="Z2126" s="3" t="n">
        <v>-1.160887002944946</v>
      </c>
      <c r="AA2126" s="3" t="n">
        <v>-1.160887002944946</v>
      </c>
      <c r="AB2126" s="3" t="n">
        <v>-1.140969473975045</v>
      </c>
      <c r="AC2126" s="3" t="n">
        <v>-1.501635466303144</v>
      </c>
      <c r="AD2126" s="3" t="n">
        <v>-0.8708347541945322</v>
      </c>
      <c r="AE2126" s="3" t="n">
        <v>-0.8708347541945322</v>
      </c>
    </row>
    <row r="2127">
      <c r="A2127" s="3" t="inlineStr">
        <is>
          <t>TLS.distn.dec.ove.mean.1</t>
        </is>
      </c>
      <c r="B2127" s="3" t="inlineStr">
        <is>
          <t>TLS</t>
        </is>
      </c>
      <c r="C2127" s="3" t="n">
        <v>2005</v>
      </c>
      <c r="D2127" s="3" t="inlineStr">
        <is>
          <t>Overall</t>
        </is>
      </c>
      <c r="E2127" s="3" t="inlineStr">
        <is>
          <t>Deciles</t>
        </is>
      </c>
      <c r="F2127" s="3" t="inlineStr">
        <is>
          <t>mean</t>
        </is>
      </c>
      <c r="G2127" s="3" t="n">
        <v>1</v>
      </c>
      <c r="H2127" s="3" t="n">
        <v>-0.7936522003851438</v>
      </c>
      <c r="I2127" s="3" t="n">
        <v>-0.7936522003851438</v>
      </c>
      <c r="J2127" s="3" t="n">
        <v>-0.9276126356501329</v>
      </c>
      <c r="K2127" s="3" t="n">
        <v>-0.9276126356501329</v>
      </c>
      <c r="L2127" s="3" t="n">
        <v>-0.7936522003851438</v>
      </c>
      <c r="M2127" s="3" t="n">
        <v>-0.7936522003851438</v>
      </c>
      <c r="N2127" s="3" t="n">
        <v>-0.7936522003851438</v>
      </c>
      <c r="O2127" s="3" t="n">
        <v>-0.7936522003851438</v>
      </c>
      <c r="P2127" s="3" t="n">
        <v>-0.7936522003851438</v>
      </c>
      <c r="Q2127" s="3" t="n">
        <v>-0.7936522003851438</v>
      </c>
      <c r="R2127" s="3" t="n">
        <v>-0.7764578367534437</v>
      </c>
      <c r="S2127" s="3" t="n">
        <v>-1.851309371621985</v>
      </c>
      <c r="T2127" s="3" t="n">
        <v>-0.7110083871766141</v>
      </c>
      <c r="U2127" s="3" t="n">
        <v>-0.9276126356501329</v>
      </c>
      <c r="V2127" s="3" t="n">
        <v>-0.688554396754817</v>
      </c>
      <c r="W2127" s="3" t="n">
        <v>-0.6748062403578508</v>
      </c>
      <c r="X2127" s="3" t="n">
        <v>-1.760538414904946</v>
      </c>
      <c r="Y2127" s="3" t="n">
        <v>-0.7936522003851438</v>
      </c>
      <c r="Z2127" s="3" t="n">
        <v>-1.851309371621985</v>
      </c>
      <c r="AA2127" s="3" t="n">
        <v>-1.851309371621985</v>
      </c>
      <c r="AB2127" s="3" t="n">
        <v>-1.760538414904946</v>
      </c>
      <c r="AC2127" s="3" t="n">
        <v>-4.00243950517554</v>
      </c>
      <c r="AD2127" s="3" t="n">
        <v>-0.9276126356501329</v>
      </c>
      <c r="AE2127" s="3" t="n">
        <v>-0.9276126356501329</v>
      </c>
    </row>
    <row r="2128">
      <c r="A2128" s="3" t="inlineStr">
        <is>
          <t>TLS.distn.dec.ove.mean.2</t>
        </is>
      </c>
      <c r="B2128" s="3" t="inlineStr">
        <is>
          <t>TLS</t>
        </is>
      </c>
      <c r="C2128" s="3" t="n">
        <v>2005</v>
      </c>
      <c r="D2128" s="3" t="inlineStr">
        <is>
          <t>Overall</t>
        </is>
      </c>
      <c r="E2128" s="3" t="inlineStr">
        <is>
          <t>Deciles</t>
        </is>
      </c>
      <c r="F2128" s="3" t="inlineStr">
        <is>
          <t>mean</t>
        </is>
      </c>
      <c r="G2128" s="3" t="n">
        <v>2</v>
      </c>
      <c r="H2128" s="3" t="n">
        <v>-0.7936522003851438</v>
      </c>
      <c r="I2128" s="3" t="n">
        <v>-0.7936522003851438</v>
      </c>
      <c r="J2128" s="3" t="n">
        <v>-0.9276126356501329</v>
      </c>
      <c r="K2128" s="3" t="n">
        <v>-0.9276126356501329</v>
      </c>
      <c r="L2128" s="3" t="n">
        <v>-0.7936522003851438</v>
      </c>
      <c r="M2128" s="3" t="n">
        <v>-0.7936522003851438</v>
      </c>
      <c r="N2128" s="3" t="n">
        <v>-0.7936522003851438</v>
      </c>
      <c r="O2128" s="3" t="n">
        <v>-0.7936522003851438</v>
      </c>
      <c r="P2128" s="3" t="n">
        <v>-0.7936522003851438</v>
      </c>
      <c r="Q2128" s="3" t="n">
        <v>-0.7936522003851438</v>
      </c>
      <c r="R2128" s="3" t="n">
        <v>-0.7764578367534437</v>
      </c>
      <c r="S2128" s="3" t="n">
        <v>-1.851309371621985</v>
      </c>
      <c r="T2128" s="3" t="n">
        <v>-0.7110083871766141</v>
      </c>
      <c r="U2128" s="3" t="n">
        <v>-0.9276126356501329</v>
      </c>
      <c r="V2128" s="3" t="n">
        <v>-0.688554396754817</v>
      </c>
      <c r="W2128" s="3" t="n">
        <v>-0.6748062403578508</v>
      </c>
      <c r="X2128" s="3" t="n">
        <v>-1.760538414904946</v>
      </c>
      <c r="Y2128" s="3" t="n">
        <v>-0.7936522003851438</v>
      </c>
      <c r="Z2128" s="3" t="n">
        <v>-1.851309371621985</v>
      </c>
      <c r="AA2128" s="3" t="n">
        <v>-1.851309371621985</v>
      </c>
      <c r="AB2128" s="3" t="n">
        <v>-1.760538414904946</v>
      </c>
      <c r="AC2128" s="3" t="n">
        <v>-4.00243950517554</v>
      </c>
      <c r="AD2128" s="3" t="n">
        <v>-0.9276126356501329</v>
      </c>
      <c r="AE2128" s="3" t="n">
        <v>-0.9276126356501329</v>
      </c>
    </row>
    <row r="2129">
      <c r="A2129" s="3" t="inlineStr">
        <is>
          <t>TLS.distn.dec.ove.mean.3</t>
        </is>
      </c>
      <c r="B2129" s="3" t="inlineStr">
        <is>
          <t>TLS</t>
        </is>
      </c>
      <c r="C2129" s="3" t="n">
        <v>2005</v>
      </c>
      <c r="D2129" s="3" t="inlineStr">
        <is>
          <t>Overall</t>
        </is>
      </c>
      <c r="E2129" s="3" t="inlineStr">
        <is>
          <t>Deciles</t>
        </is>
      </c>
      <c r="F2129" s="3" t="inlineStr">
        <is>
          <t>mean</t>
        </is>
      </c>
      <c r="G2129" s="3" t="n">
        <v>3</v>
      </c>
      <c r="H2129" s="3" t="n">
        <v>-0.7936522003851438</v>
      </c>
      <c r="I2129" s="3" t="n">
        <v>-0.7936522003851438</v>
      </c>
      <c r="J2129" s="3" t="n">
        <v>-0.9276126356501329</v>
      </c>
      <c r="K2129" s="3" t="n">
        <v>-0.9276126356501329</v>
      </c>
      <c r="L2129" s="3" t="n">
        <v>-0.7936522003851438</v>
      </c>
      <c r="M2129" s="3" t="n">
        <v>-0.7936522003851438</v>
      </c>
      <c r="N2129" s="3" t="n">
        <v>-0.7936522003851438</v>
      </c>
      <c r="O2129" s="3" t="n">
        <v>-0.7936522003851438</v>
      </c>
      <c r="P2129" s="3" t="n">
        <v>-0.7936522003851438</v>
      </c>
      <c r="Q2129" s="3" t="n">
        <v>-0.7936522003851438</v>
      </c>
      <c r="R2129" s="3" t="n">
        <v>-0.7764578367534437</v>
      </c>
      <c r="S2129" s="3" t="n">
        <v>-1.851309371621985</v>
      </c>
      <c r="T2129" s="3" t="n">
        <v>-0.7110083871766141</v>
      </c>
      <c r="U2129" s="3" t="n">
        <v>-0.9276126356501329</v>
      </c>
      <c r="V2129" s="3" t="n">
        <v>-0.688554396754817</v>
      </c>
      <c r="W2129" s="3" t="n">
        <v>-0.6748062403578508</v>
      </c>
      <c r="X2129" s="3" t="n">
        <v>-1.760538414904946</v>
      </c>
      <c r="Y2129" s="3" t="n">
        <v>-0.7936522003851438</v>
      </c>
      <c r="Z2129" s="3" t="n">
        <v>-1.851309371621985</v>
      </c>
      <c r="AA2129" s="3" t="n">
        <v>-1.851309371621985</v>
      </c>
      <c r="AB2129" s="3" t="n">
        <v>-1.760538414904946</v>
      </c>
      <c r="AC2129" s="3" t="n">
        <v>-4.00243950517554</v>
      </c>
      <c r="AD2129" s="3" t="n">
        <v>-0.9276126356501329</v>
      </c>
      <c r="AE2129" s="3" t="n">
        <v>-0.9276126356501329</v>
      </c>
    </row>
    <row r="2130">
      <c r="A2130" s="3" t="inlineStr">
        <is>
          <t>TLS.distn.dec.ove.mean.4</t>
        </is>
      </c>
      <c r="B2130" s="3" t="inlineStr">
        <is>
          <t>TLS</t>
        </is>
      </c>
      <c r="C2130" s="3" t="n">
        <v>2005</v>
      </c>
      <c r="D2130" s="3" t="inlineStr">
        <is>
          <t>Overall</t>
        </is>
      </c>
      <c r="E2130" s="3" t="inlineStr">
        <is>
          <t>Deciles</t>
        </is>
      </c>
      <c r="F2130" s="3" t="inlineStr">
        <is>
          <t>mean</t>
        </is>
      </c>
      <c r="G2130" s="3" t="n">
        <v>4</v>
      </c>
      <c r="H2130" s="3" t="n">
        <v>-0.7873684167861938</v>
      </c>
      <c r="I2130" s="3" t="n">
        <v>-0.7873684167861938</v>
      </c>
      <c r="J2130" s="3" t="n">
        <v>-0.8827894769216839</v>
      </c>
      <c r="K2130" s="3" t="n">
        <v>-0.8827894769216839</v>
      </c>
      <c r="L2130" s="3" t="n">
        <v>-0.7873684167861938</v>
      </c>
      <c r="M2130" s="3" t="n">
        <v>-0.7873684167861938</v>
      </c>
      <c r="N2130" s="3" t="n">
        <v>-0.7873684167861938</v>
      </c>
      <c r="O2130" s="3" t="n">
        <v>-0.7873684167861938</v>
      </c>
      <c r="P2130" s="3" t="n">
        <v>-0.7873684167861938</v>
      </c>
      <c r="Q2130" s="3" t="n">
        <v>-0.7873684167861938</v>
      </c>
      <c r="R2130" s="3" t="n">
        <v>-0.7729736864566803</v>
      </c>
      <c r="S2130" s="3" t="n">
        <v>-1.260947363941293</v>
      </c>
      <c r="T2130" s="3" t="n">
        <v>-0.7095526174495095</v>
      </c>
      <c r="U2130" s="3" t="n">
        <v>-0.8827894769216839</v>
      </c>
      <c r="V2130" s="3" t="n">
        <v>-0.6815526375645086</v>
      </c>
      <c r="W2130" s="3" t="n">
        <v>-0.5679210565592113</v>
      </c>
      <c r="X2130" s="3" t="n">
        <v>-1.242473682290629</v>
      </c>
      <c r="Y2130" s="3" t="n">
        <v>-0.7873684167861938</v>
      </c>
      <c r="Z2130" s="3" t="n">
        <v>-1.260947363941293</v>
      </c>
      <c r="AA2130" s="3" t="n">
        <v>-1.260947363941293</v>
      </c>
      <c r="AB2130" s="3" t="n">
        <v>-1.242473682290629</v>
      </c>
      <c r="AC2130" s="3" t="n">
        <v>-1.932868417940642</v>
      </c>
      <c r="AD2130" s="3" t="n">
        <v>-0.8827894769216839</v>
      </c>
      <c r="AE2130" s="3" t="n">
        <v>-0.8827894769216839</v>
      </c>
    </row>
    <row r="2131">
      <c r="A2131" s="3" t="inlineStr">
        <is>
          <t>TLS.distn.dec.ove.mean.5</t>
        </is>
      </c>
      <c r="B2131" s="3" t="inlineStr">
        <is>
          <t>TLS</t>
        </is>
      </c>
      <c r="C2131" s="3" t="n">
        <v>2005</v>
      </c>
      <c r="D2131" s="3" t="inlineStr">
        <is>
          <t>Overall</t>
        </is>
      </c>
      <c r="E2131" s="3" t="inlineStr">
        <is>
          <t>Deciles</t>
        </is>
      </c>
      <c r="F2131" s="3" t="inlineStr">
        <is>
          <t>mean</t>
        </is>
      </c>
      <c r="G2131" s="3" t="n">
        <v>5</v>
      </c>
      <c r="H2131" s="3" t="n">
        <v>-0.7873684167861938</v>
      </c>
      <c r="I2131" s="3" t="n">
        <v>-0.7873684167861938</v>
      </c>
      <c r="J2131" s="3" t="n">
        <v>-0.8827894769216839</v>
      </c>
      <c r="K2131" s="3" t="n">
        <v>-0.8827894769216839</v>
      </c>
      <c r="L2131" s="3" t="n">
        <v>-0.7873684167861938</v>
      </c>
      <c r="M2131" s="3" t="n">
        <v>-0.7873684167861938</v>
      </c>
      <c r="N2131" s="3" t="n">
        <v>-0.7873684167861938</v>
      </c>
      <c r="O2131" s="3" t="n">
        <v>-0.7873684167861938</v>
      </c>
      <c r="P2131" s="3" t="n">
        <v>-0.7873684167861938</v>
      </c>
      <c r="Q2131" s="3" t="n">
        <v>-0.7873684167861938</v>
      </c>
      <c r="R2131" s="3" t="n">
        <v>-0.7729736864566803</v>
      </c>
      <c r="S2131" s="3" t="n">
        <v>-1.260947363941293</v>
      </c>
      <c r="T2131" s="3" t="n">
        <v>-0.7095526174495095</v>
      </c>
      <c r="U2131" s="3" t="n">
        <v>-0.8827894769216839</v>
      </c>
      <c r="V2131" s="3" t="n">
        <v>-0.6815526375645086</v>
      </c>
      <c r="W2131" s="3" t="n">
        <v>-0.5679210565592113</v>
      </c>
      <c r="X2131" s="3" t="n">
        <v>-1.242473682290629</v>
      </c>
      <c r="Y2131" s="3" t="n">
        <v>-0.7873684167861938</v>
      </c>
      <c r="Z2131" s="3" t="n">
        <v>-1.260947363941293</v>
      </c>
      <c r="AA2131" s="3" t="n">
        <v>-1.260947363941293</v>
      </c>
      <c r="AB2131" s="3" t="n">
        <v>-1.242473682290629</v>
      </c>
      <c r="AC2131" s="3" t="n">
        <v>-1.932868417940642</v>
      </c>
      <c r="AD2131" s="3" t="n">
        <v>-0.8827894769216839</v>
      </c>
      <c r="AE2131" s="3" t="n">
        <v>-0.8827894769216839</v>
      </c>
    </row>
    <row r="2132">
      <c r="A2132" s="3" t="inlineStr">
        <is>
          <t>TLS.distn.dec.ove.mean.6</t>
        </is>
      </c>
      <c r="B2132" s="3" t="inlineStr">
        <is>
          <t>TLS</t>
        </is>
      </c>
      <c r="C2132" s="3" t="n">
        <v>2005</v>
      </c>
      <c r="D2132" s="3" t="inlineStr">
        <is>
          <t>Overall</t>
        </is>
      </c>
      <c r="E2132" s="3" t="inlineStr">
        <is>
          <t>Deciles</t>
        </is>
      </c>
      <c r="F2132" s="3" t="inlineStr">
        <is>
          <t>mean</t>
        </is>
      </c>
      <c r="G2132" s="3" t="n">
        <v>6</v>
      </c>
      <c r="H2132" s="3" t="n">
        <v>-0.7873684167861938</v>
      </c>
      <c r="I2132" s="3" t="n">
        <v>-0.7873684167861938</v>
      </c>
      <c r="J2132" s="3" t="n">
        <v>-0.8827894769216839</v>
      </c>
      <c r="K2132" s="3" t="n">
        <v>-0.8827894769216839</v>
      </c>
      <c r="L2132" s="3" t="n">
        <v>-0.7873684167861938</v>
      </c>
      <c r="M2132" s="3" t="n">
        <v>-0.7873684167861938</v>
      </c>
      <c r="N2132" s="3" t="n">
        <v>-0.7873684167861938</v>
      </c>
      <c r="O2132" s="3" t="n">
        <v>-0.7873684167861938</v>
      </c>
      <c r="P2132" s="3" t="n">
        <v>-0.7873684167861938</v>
      </c>
      <c r="Q2132" s="3" t="n">
        <v>-0.7873684167861938</v>
      </c>
      <c r="R2132" s="3" t="n">
        <v>-0.7729736864566803</v>
      </c>
      <c r="S2132" s="3" t="n">
        <v>-1.260947363941293</v>
      </c>
      <c r="T2132" s="3" t="n">
        <v>-0.7095526174495095</v>
      </c>
      <c r="U2132" s="3" t="n">
        <v>-0.8827894769216839</v>
      </c>
      <c r="V2132" s="3" t="n">
        <v>-0.6815526375645086</v>
      </c>
      <c r="W2132" s="3" t="n">
        <v>-0.5679210565592113</v>
      </c>
      <c r="X2132" s="3" t="n">
        <v>-1.242473682290629</v>
      </c>
      <c r="Y2132" s="3" t="n">
        <v>-0.7873684167861938</v>
      </c>
      <c r="Z2132" s="3" t="n">
        <v>-1.260947363941293</v>
      </c>
      <c r="AA2132" s="3" t="n">
        <v>-1.260947363941293</v>
      </c>
      <c r="AB2132" s="3" t="n">
        <v>-1.242473682290629</v>
      </c>
      <c r="AC2132" s="3" t="n">
        <v>-1.932868417940642</v>
      </c>
      <c r="AD2132" s="3" t="n">
        <v>-0.8827894769216839</v>
      </c>
      <c r="AE2132" s="3" t="n">
        <v>-0.8827894769216839</v>
      </c>
    </row>
    <row r="2133">
      <c r="A2133" s="3" t="inlineStr">
        <is>
          <t>TLS.distn.dec.ove.mean.7</t>
        </is>
      </c>
      <c r="B2133" s="3" t="inlineStr">
        <is>
          <t>TLS</t>
        </is>
      </c>
      <c r="C2133" s="3" t="n">
        <v>2005</v>
      </c>
      <c r="D2133" s="3" t="inlineStr">
        <is>
          <t>Overall</t>
        </is>
      </c>
      <c r="E2133" s="3" t="inlineStr">
        <is>
          <t>Deciles</t>
        </is>
      </c>
      <c r="F2133" s="3" t="inlineStr">
        <is>
          <t>mean</t>
        </is>
      </c>
      <c r="G2133" s="3" t="n">
        <v>7</v>
      </c>
      <c r="H2133" s="3" t="n">
        <v>-0.7873684167861938</v>
      </c>
      <c r="I2133" s="3" t="n">
        <v>-0.7873684167861938</v>
      </c>
      <c r="J2133" s="3" t="n">
        <v>-0.8827894769216839</v>
      </c>
      <c r="K2133" s="3" t="n">
        <v>-0.8827894769216839</v>
      </c>
      <c r="L2133" s="3" t="n">
        <v>-0.7873684167861938</v>
      </c>
      <c r="M2133" s="3" t="n">
        <v>-0.7873684167861938</v>
      </c>
      <c r="N2133" s="3" t="n">
        <v>-0.7873684167861938</v>
      </c>
      <c r="O2133" s="3" t="n">
        <v>-0.7873684167861938</v>
      </c>
      <c r="P2133" s="3" t="n">
        <v>-0.7873684167861938</v>
      </c>
      <c r="Q2133" s="3" t="n">
        <v>-0.7873684167861938</v>
      </c>
      <c r="R2133" s="3" t="n">
        <v>-0.7729736864566803</v>
      </c>
      <c r="S2133" s="3" t="n">
        <v>-1.260947363941293</v>
      </c>
      <c r="T2133" s="3" t="n">
        <v>-0.7095526174495095</v>
      </c>
      <c r="U2133" s="3" t="n">
        <v>-0.8827894769216839</v>
      </c>
      <c r="V2133" s="3" t="n">
        <v>-0.6815526375645086</v>
      </c>
      <c r="W2133" s="3" t="n">
        <v>-0.5679210565592113</v>
      </c>
      <c r="X2133" s="3" t="n">
        <v>-1.242473682290629</v>
      </c>
      <c r="Y2133" s="3" t="n">
        <v>-0.7873684167861938</v>
      </c>
      <c r="Z2133" s="3" t="n">
        <v>-1.260947363941293</v>
      </c>
      <c r="AA2133" s="3" t="n">
        <v>-1.260947363941293</v>
      </c>
      <c r="AB2133" s="3" t="n">
        <v>-1.242473682290629</v>
      </c>
      <c r="AC2133" s="3" t="n">
        <v>-1.932868417940642</v>
      </c>
      <c r="AD2133" s="3" t="n">
        <v>-0.8827894769216839</v>
      </c>
      <c r="AE2133" s="3" t="n">
        <v>-0.8827894769216839</v>
      </c>
    </row>
    <row r="2134">
      <c r="A2134" s="3" t="inlineStr">
        <is>
          <t>TLS.distn.dec.ove.mean.8</t>
        </is>
      </c>
      <c r="B2134" s="3" t="inlineStr">
        <is>
          <t>TLS</t>
        </is>
      </c>
      <c r="C2134" s="3" t="n">
        <v>2005</v>
      </c>
      <c r="D2134" s="3" t="inlineStr">
        <is>
          <t>Overall</t>
        </is>
      </c>
      <c r="E2134" s="3" t="inlineStr">
        <is>
          <t>Deciles</t>
        </is>
      </c>
      <c r="F2134" s="3" t="inlineStr">
        <is>
          <t>mean</t>
        </is>
      </c>
      <c r="G2134" s="3" t="n">
        <v>8</v>
      </c>
      <c r="H2134" s="3" t="n">
        <v>-0.7877477627051505</v>
      </c>
      <c r="I2134" s="3" t="n">
        <v>-0.7877477627051505</v>
      </c>
      <c r="J2134" s="3" t="n">
        <v>-0.8851708738427413</v>
      </c>
      <c r="K2134" s="3" t="n">
        <v>-0.8851708738427413</v>
      </c>
      <c r="L2134" s="3" t="n">
        <v>-0.7877477627051505</v>
      </c>
      <c r="M2134" s="3" t="n">
        <v>-0.7877477627051505</v>
      </c>
      <c r="N2134" s="3" t="n">
        <v>-0.7877477627051505</v>
      </c>
      <c r="O2134" s="3" t="n">
        <v>-0.7877477627051505</v>
      </c>
      <c r="P2134" s="3" t="n">
        <v>-0.7877477627051505</v>
      </c>
      <c r="Q2134" s="3" t="n">
        <v>-0.7877477627051505</v>
      </c>
      <c r="R2134" s="3" t="n">
        <v>-0.7732278971295607</v>
      </c>
      <c r="S2134" s="3" t="n">
        <v>-1.272680619829579</v>
      </c>
      <c r="T2134" s="3" t="n">
        <v>-0.7095935376066911</v>
      </c>
      <c r="U2134" s="3" t="n">
        <v>-0.8851708738427413</v>
      </c>
      <c r="V2134" s="3" t="n">
        <v>-0.6822572021107924</v>
      </c>
      <c r="W2134" s="3" t="n">
        <v>-0.5831292993143985</v>
      </c>
      <c r="X2134" s="3" t="n">
        <v>-1.253795093611667</v>
      </c>
      <c r="Y2134" s="3" t="n">
        <v>-0.7877477627051505</v>
      </c>
      <c r="Z2134" s="3" t="n">
        <v>-1.272680619829579</v>
      </c>
      <c r="AA2134" s="3" t="n">
        <v>-1.272680619829579</v>
      </c>
      <c r="AB2134" s="3" t="n">
        <v>-1.253795093611667</v>
      </c>
      <c r="AC2134" s="3" t="n">
        <v>-1.960433708994012</v>
      </c>
      <c r="AD2134" s="3" t="n">
        <v>-0.8851708738427413</v>
      </c>
      <c r="AE2134" s="3" t="n">
        <v>-0.8851708738427413</v>
      </c>
    </row>
    <row r="2135">
      <c r="A2135" s="3" t="inlineStr">
        <is>
          <t>TLS.distn.dec.ove.mean.9</t>
        </is>
      </c>
      <c r="B2135" s="3" t="inlineStr">
        <is>
          <t>TLS</t>
        </is>
      </c>
      <c r="C2135" s="3" t="n">
        <v>2005</v>
      </c>
      <c r="D2135" s="3" t="inlineStr">
        <is>
          <t>Overall</t>
        </is>
      </c>
      <c r="E2135" s="3" t="inlineStr">
        <is>
          <t>Deciles</t>
        </is>
      </c>
      <c r="F2135" s="3" t="inlineStr">
        <is>
          <t>mean</t>
        </is>
      </c>
      <c r="G2135" s="3" t="n">
        <v>9</v>
      </c>
      <c r="H2135" s="3" t="n">
        <v>-0.7877477627051505</v>
      </c>
      <c r="I2135" s="3" t="n">
        <v>-0.7877477627051505</v>
      </c>
      <c r="J2135" s="3" t="n">
        <v>-0.8851708738427413</v>
      </c>
      <c r="K2135" s="3" t="n">
        <v>-0.8851708738427413</v>
      </c>
      <c r="L2135" s="3" t="n">
        <v>-0.7877477627051505</v>
      </c>
      <c r="M2135" s="3" t="n">
        <v>-0.7877477627051505</v>
      </c>
      <c r="N2135" s="3" t="n">
        <v>-0.7877477627051505</v>
      </c>
      <c r="O2135" s="3" t="n">
        <v>-0.7877477627051505</v>
      </c>
      <c r="P2135" s="3" t="n">
        <v>-0.7877477627051505</v>
      </c>
      <c r="Q2135" s="3" t="n">
        <v>-0.7877477627051505</v>
      </c>
      <c r="R2135" s="3" t="n">
        <v>-0.7732278971295607</v>
      </c>
      <c r="S2135" s="3" t="n">
        <v>-1.272680619829579</v>
      </c>
      <c r="T2135" s="3" t="n">
        <v>-0.7095935376066911</v>
      </c>
      <c r="U2135" s="3" t="n">
        <v>-0.8851708738427413</v>
      </c>
      <c r="V2135" s="3" t="n">
        <v>-0.6822572021107924</v>
      </c>
      <c r="W2135" s="3" t="n">
        <v>-0.5831292993143985</v>
      </c>
      <c r="X2135" s="3" t="n">
        <v>-1.253795093611667</v>
      </c>
      <c r="Y2135" s="3" t="n">
        <v>-0.7877477627051505</v>
      </c>
      <c r="Z2135" s="3" t="n">
        <v>-1.272680619829579</v>
      </c>
      <c r="AA2135" s="3" t="n">
        <v>-1.272680619829579</v>
      </c>
      <c r="AB2135" s="3" t="n">
        <v>-1.253795093611667</v>
      </c>
      <c r="AC2135" s="3" t="n">
        <v>-1.960433708994012</v>
      </c>
      <c r="AD2135" s="3" t="n">
        <v>-0.8851708738427413</v>
      </c>
      <c r="AE2135" s="3" t="n">
        <v>-0.8851708738427413</v>
      </c>
    </row>
    <row r="2136">
      <c r="A2136" s="3" t="inlineStr">
        <is>
          <t>TLS.distn.dec.ove.mean.10</t>
        </is>
      </c>
      <c r="B2136" s="3" t="inlineStr">
        <is>
          <t>TLS</t>
        </is>
      </c>
      <c r="C2136" s="3" t="n">
        <v>2005</v>
      </c>
      <c r="D2136" s="3" t="inlineStr">
        <is>
          <t>Overall</t>
        </is>
      </c>
      <c r="E2136" s="3" t="inlineStr">
        <is>
          <t>Deciles</t>
        </is>
      </c>
      <c r="F2136" s="3" t="inlineStr">
        <is>
          <t>mean</t>
        </is>
      </c>
      <c r="G2136" s="3" t="n">
        <v>10</v>
      </c>
      <c r="H2136" s="3" t="n">
        <v>-0.7877477627051505</v>
      </c>
      <c r="I2136" s="3" t="n">
        <v>-0.7877477627051505</v>
      </c>
      <c r="J2136" s="3" t="n">
        <v>-0.8851708738427413</v>
      </c>
      <c r="K2136" s="3" t="n">
        <v>-0.8851708738427413</v>
      </c>
      <c r="L2136" s="3" t="n">
        <v>-0.7877477627051505</v>
      </c>
      <c r="M2136" s="3" t="n">
        <v>-0.7877477627051505</v>
      </c>
      <c r="N2136" s="3" t="n">
        <v>-0.7877477627051505</v>
      </c>
      <c r="O2136" s="3" t="n">
        <v>-0.7877477627051505</v>
      </c>
      <c r="P2136" s="3" t="n">
        <v>-0.7877477627051505</v>
      </c>
      <c r="Q2136" s="3" t="n">
        <v>-0.7877477627051505</v>
      </c>
      <c r="R2136" s="3" t="n">
        <v>-0.7732278971295607</v>
      </c>
      <c r="S2136" s="3" t="n">
        <v>-1.272680619829579</v>
      </c>
      <c r="T2136" s="3" t="n">
        <v>-0.7095935376066911</v>
      </c>
      <c r="U2136" s="3" t="n">
        <v>-0.8851708738427413</v>
      </c>
      <c r="V2136" s="3" t="n">
        <v>-0.6822572021107924</v>
      </c>
      <c r="W2136" s="3" t="n">
        <v>-0.5831292993143985</v>
      </c>
      <c r="X2136" s="3" t="n">
        <v>-1.253795093611667</v>
      </c>
      <c r="Y2136" s="3" t="n">
        <v>-0.7877477627051505</v>
      </c>
      <c r="Z2136" s="3" t="n">
        <v>-1.272680619829579</v>
      </c>
      <c r="AA2136" s="3" t="n">
        <v>-1.272680619829579</v>
      </c>
      <c r="AB2136" s="3" t="n">
        <v>-1.253795093611667</v>
      </c>
      <c r="AC2136" s="3" t="n">
        <v>-1.960433708994012</v>
      </c>
      <c r="AD2136" s="3" t="n">
        <v>-0.8851708738427413</v>
      </c>
      <c r="AE2136" s="3" t="n">
        <v>-0.8851708738427413</v>
      </c>
    </row>
    <row r="2137">
      <c r="A2137" s="3" t="inlineStr">
        <is>
          <t>TLS.distn.bkt.ove.mean.9999</t>
        </is>
      </c>
      <c r="B2137" s="3" t="inlineStr">
        <is>
          <t>TLS</t>
        </is>
      </c>
      <c r="C2137" s="3" t="n">
        <v>2005</v>
      </c>
      <c r="D2137" s="3" t="inlineStr">
        <is>
          <t>Overall</t>
        </is>
      </c>
      <c r="E2137" s="3" t="inlineStr">
        <is>
          <t>Basket</t>
        </is>
      </c>
      <c r="F2137" s="3" t="inlineStr">
        <is>
          <t>mean</t>
        </is>
      </c>
      <c r="G2137" s="3" t="n">
        <v>9999</v>
      </c>
      <c r="H2137" s="3" t="n">
        <v>-0.7893673542298769</v>
      </c>
      <c r="I2137" s="3" t="n">
        <v>-0.7893673542298769</v>
      </c>
      <c r="J2137" s="3" t="n">
        <v>-0.8969508472241854</v>
      </c>
      <c r="K2137" s="3" t="n">
        <v>-0.8969508472241854</v>
      </c>
      <c r="L2137" s="3" t="n">
        <v>-0.7893673542298769</v>
      </c>
      <c r="M2137" s="3" t="n">
        <v>-0.7893673542298769</v>
      </c>
      <c r="N2137" s="3" t="n">
        <v>-0.7893673542298769</v>
      </c>
      <c r="O2137" s="3" t="n">
        <v>-0.7893673542298769</v>
      </c>
      <c r="P2137" s="3" t="n">
        <v>-0.7893673542298769</v>
      </c>
      <c r="Q2137" s="3" t="n">
        <v>-0.7893673542298769</v>
      </c>
      <c r="R2137" s="3" t="n">
        <v>-0.7740951949044278</v>
      </c>
      <c r="S2137" s="3" t="n">
        <v>-1.441575941286589</v>
      </c>
      <c r="T2137" s="3" t="n">
        <v>-0.7100016239442324</v>
      </c>
      <c r="U2137" s="3" t="n">
        <v>-0.8969508472241854</v>
      </c>
      <c r="V2137" s="3" t="n">
        <v>-0.6838645276270414</v>
      </c>
      <c r="W2137" s="3" t="n">
        <v>-0.6045490895446978</v>
      </c>
      <c r="X2137" s="3" t="n">
        <v>-1.401289532059117</v>
      </c>
      <c r="Y2137" s="3" t="n">
        <v>-0.7893673542298769</v>
      </c>
      <c r="Z2137" s="3" t="n">
        <v>-1.441575941286589</v>
      </c>
      <c r="AA2137" s="3" t="n">
        <v>-1.441575941286589</v>
      </c>
      <c r="AB2137" s="3" t="n">
        <v>-1.401289532059117</v>
      </c>
      <c r="AC2137" s="3" t="n">
        <v>-2.562009337701296</v>
      </c>
      <c r="AD2137" s="3" t="n">
        <v>-0.8969508472241854</v>
      </c>
      <c r="AE2137" s="3" t="n">
        <v>-0.8969508472241854</v>
      </c>
    </row>
    <row r="2138">
      <c r="A2138" s="3" t="inlineStr">
        <is>
          <t>TON.distn.dec.ove.mean.1</t>
        </is>
      </c>
      <c r="B2138" s="3" t="inlineStr">
        <is>
          <t>TON</t>
        </is>
      </c>
      <c r="C2138" s="3" t="n">
        <v>2005</v>
      </c>
      <c r="D2138" s="3" t="inlineStr">
        <is>
          <t>Overall</t>
        </is>
      </c>
      <c r="E2138" s="3" t="inlineStr">
        <is>
          <t>Deciles</t>
        </is>
      </c>
      <c r="F2138" s="3" t="inlineStr">
        <is>
          <t>mean</t>
        </is>
      </c>
      <c r="G2138" s="3" t="n">
        <v>1</v>
      </c>
      <c r="H2138" s="3" t="n">
        <v>-0.7898249251501901</v>
      </c>
      <c r="I2138" s="3" t="n">
        <v>-0.7898249251501901</v>
      </c>
      <c r="J2138" s="3" t="n">
        <v>-0.9006037865366254</v>
      </c>
      <c r="K2138" s="3" t="n">
        <v>-0.9006037865366254</v>
      </c>
      <c r="L2138" s="3" t="n">
        <v>-0.7898249251501901</v>
      </c>
      <c r="M2138" s="3" t="n">
        <v>-0.7898249251501901</v>
      </c>
      <c r="N2138" s="3" t="n">
        <v>-0.7898249251501901</v>
      </c>
      <c r="O2138" s="3" t="n">
        <v>-0.7898249251501901</v>
      </c>
      <c r="P2138" s="3" t="n">
        <v>-0.7898249251501901</v>
      </c>
      <c r="Q2138" s="3" t="n">
        <v>-0.7898249251501901</v>
      </c>
      <c r="R2138" s="3" t="n">
        <v>-0.7744465725762504</v>
      </c>
      <c r="S2138" s="3" t="n">
        <v>-1.490841317176819</v>
      </c>
      <c r="T2138" s="3" t="n">
        <v>-0.7100824441228594</v>
      </c>
      <c r="U2138" s="3" t="n">
        <v>-0.9006037865366254</v>
      </c>
      <c r="V2138" s="3" t="n">
        <v>-0.6846477542604719</v>
      </c>
      <c r="W2138" s="3" t="n">
        <v>-0.6204802887780326</v>
      </c>
      <c r="X2138" s="3" t="n">
        <v>-1.433480068615505</v>
      </c>
      <c r="Y2138" s="3" t="n">
        <v>-0.7898249251501901</v>
      </c>
      <c r="Z2138" s="3" t="n">
        <v>-1.490841317176819</v>
      </c>
      <c r="AA2138" s="3" t="n">
        <v>-1.490841317176819</v>
      </c>
      <c r="AB2138" s="3" t="n">
        <v>-1.433480068615505</v>
      </c>
      <c r="AC2138" s="3" t="n">
        <v>-2.345895099639892</v>
      </c>
      <c r="AD2138" s="3" t="n">
        <v>-0.9006037865366254</v>
      </c>
      <c r="AE2138" s="3" t="n">
        <v>-0.9006037865366254</v>
      </c>
    </row>
    <row r="2139">
      <c r="A2139" s="3" t="inlineStr">
        <is>
          <t>TON.distn.dec.ove.mean.2</t>
        </is>
      </c>
      <c r="B2139" s="3" t="inlineStr">
        <is>
          <t>TON</t>
        </is>
      </c>
      <c r="C2139" s="3" t="n">
        <v>2005</v>
      </c>
      <c r="D2139" s="3" t="inlineStr">
        <is>
          <t>Overall</t>
        </is>
      </c>
      <c r="E2139" s="3" t="inlineStr">
        <is>
          <t>Deciles</t>
        </is>
      </c>
      <c r="F2139" s="3" t="inlineStr">
        <is>
          <t>mean</t>
        </is>
      </c>
      <c r="G2139" s="3" t="n">
        <v>2</v>
      </c>
      <c r="H2139" s="3" t="n">
        <v>-0.7898249251501901</v>
      </c>
      <c r="I2139" s="3" t="n">
        <v>-0.7898249251501901</v>
      </c>
      <c r="J2139" s="3" t="n">
        <v>-0.9006037865366254</v>
      </c>
      <c r="K2139" s="3" t="n">
        <v>-0.9006037865366254</v>
      </c>
      <c r="L2139" s="3" t="n">
        <v>-0.7898249251501901</v>
      </c>
      <c r="M2139" s="3" t="n">
        <v>-0.7898249251501901</v>
      </c>
      <c r="N2139" s="3" t="n">
        <v>-0.7898249251501901</v>
      </c>
      <c r="O2139" s="3" t="n">
        <v>-0.7898249251501901</v>
      </c>
      <c r="P2139" s="3" t="n">
        <v>-0.7898249251501901</v>
      </c>
      <c r="Q2139" s="3" t="n">
        <v>-0.7898249251501901</v>
      </c>
      <c r="R2139" s="3" t="n">
        <v>-0.7744465725762504</v>
      </c>
      <c r="S2139" s="3" t="n">
        <v>-1.490841317176819</v>
      </c>
      <c r="T2139" s="3" t="n">
        <v>-0.7100824441228594</v>
      </c>
      <c r="U2139" s="3" t="n">
        <v>-0.9006037865366254</v>
      </c>
      <c r="V2139" s="3" t="n">
        <v>-0.6846477542604719</v>
      </c>
      <c r="W2139" s="3" t="n">
        <v>-0.6204802887780326</v>
      </c>
      <c r="X2139" s="3" t="n">
        <v>-1.433480068615505</v>
      </c>
      <c r="Y2139" s="3" t="n">
        <v>-0.7898249251501901</v>
      </c>
      <c r="Z2139" s="3" t="n">
        <v>-1.490841317176819</v>
      </c>
      <c r="AA2139" s="3" t="n">
        <v>-1.490841317176819</v>
      </c>
      <c r="AB2139" s="3" t="n">
        <v>-1.433480068615505</v>
      </c>
      <c r="AC2139" s="3" t="n">
        <v>-2.345895099639892</v>
      </c>
      <c r="AD2139" s="3" t="n">
        <v>-0.9006037865366254</v>
      </c>
      <c r="AE2139" s="3" t="n">
        <v>-0.9006037865366254</v>
      </c>
    </row>
    <row r="2140">
      <c r="A2140" s="3" t="inlineStr">
        <is>
          <t>TON.distn.dec.ove.mean.3</t>
        </is>
      </c>
      <c r="B2140" s="3" t="inlineStr">
        <is>
          <t>TON</t>
        </is>
      </c>
      <c r="C2140" s="3" t="n">
        <v>2005</v>
      </c>
      <c r="D2140" s="3" t="inlineStr">
        <is>
          <t>Overall</t>
        </is>
      </c>
      <c r="E2140" s="3" t="inlineStr">
        <is>
          <t>Deciles</t>
        </is>
      </c>
      <c r="F2140" s="3" t="inlineStr">
        <is>
          <t>mean</t>
        </is>
      </c>
      <c r="G2140" s="3" t="n">
        <v>3</v>
      </c>
      <c r="H2140" s="3" t="n">
        <v>-0.7898249251501901</v>
      </c>
      <c r="I2140" s="3" t="n">
        <v>-0.7898249251501901</v>
      </c>
      <c r="J2140" s="3" t="n">
        <v>-0.9006037865366254</v>
      </c>
      <c r="K2140" s="3" t="n">
        <v>-0.9006037865366254</v>
      </c>
      <c r="L2140" s="3" t="n">
        <v>-0.7898249251501901</v>
      </c>
      <c r="M2140" s="3" t="n">
        <v>-0.7898249251501901</v>
      </c>
      <c r="N2140" s="3" t="n">
        <v>-0.7898249251501901</v>
      </c>
      <c r="O2140" s="3" t="n">
        <v>-0.7898249251501901</v>
      </c>
      <c r="P2140" s="3" t="n">
        <v>-0.7898249251501901</v>
      </c>
      <c r="Q2140" s="3" t="n">
        <v>-0.7898249251501901</v>
      </c>
      <c r="R2140" s="3" t="n">
        <v>-0.7744465725762504</v>
      </c>
      <c r="S2140" s="3" t="n">
        <v>-1.490841317176819</v>
      </c>
      <c r="T2140" s="3" t="n">
        <v>-0.7100824441228594</v>
      </c>
      <c r="U2140" s="3" t="n">
        <v>-0.9006037865366254</v>
      </c>
      <c r="V2140" s="3" t="n">
        <v>-0.6846477542604719</v>
      </c>
      <c r="W2140" s="3" t="n">
        <v>-0.6204802887780326</v>
      </c>
      <c r="X2140" s="3" t="n">
        <v>-1.433480068615505</v>
      </c>
      <c r="Y2140" s="3" t="n">
        <v>-0.7898249251501901</v>
      </c>
      <c r="Z2140" s="3" t="n">
        <v>-1.490841317176819</v>
      </c>
      <c r="AA2140" s="3" t="n">
        <v>-1.490841317176819</v>
      </c>
      <c r="AB2140" s="3" t="n">
        <v>-1.433480068615505</v>
      </c>
      <c r="AC2140" s="3" t="n">
        <v>-2.345895099639892</v>
      </c>
      <c r="AD2140" s="3" t="n">
        <v>-0.9006037865366254</v>
      </c>
      <c r="AE2140" s="3" t="n">
        <v>-0.9006037865366254</v>
      </c>
    </row>
    <row r="2141">
      <c r="A2141" s="3" t="inlineStr">
        <is>
          <t>TON.distn.dec.ove.mean.4</t>
        </is>
      </c>
      <c r="B2141" s="3" t="inlineStr">
        <is>
          <t>TON</t>
        </is>
      </c>
      <c r="C2141" s="3" t="n">
        <v>2005</v>
      </c>
      <c r="D2141" s="3" t="inlineStr">
        <is>
          <t>Overall</t>
        </is>
      </c>
      <c r="E2141" s="3" t="inlineStr">
        <is>
          <t>Deciles</t>
        </is>
      </c>
      <c r="F2141" s="3" t="inlineStr">
        <is>
          <t>mean</t>
        </is>
      </c>
      <c r="G2141" s="3" t="n">
        <v>4</v>
      </c>
      <c r="H2141" s="3" t="n">
        <v>-0.7835714289120266</v>
      </c>
      <c r="I2141" s="3" t="n">
        <v>-0.7835714289120266</v>
      </c>
      <c r="J2141" s="3" t="n">
        <v>-0.8570857082094465</v>
      </c>
      <c r="K2141" s="3" t="n">
        <v>-0.8570857082094465</v>
      </c>
      <c r="L2141" s="3" t="n">
        <v>-0.7835714289120266</v>
      </c>
      <c r="M2141" s="3" t="n">
        <v>-0.7835714289120266</v>
      </c>
      <c r="N2141" s="3" t="n">
        <v>-0.7835714289120266</v>
      </c>
      <c r="O2141" s="3" t="n">
        <v>-0.7835714289120266</v>
      </c>
      <c r="P2141" s="3" t="n">
        <v>-0.7835714289120266</v>
      </c>
      <c r="Q2141" s="3" t="n">
        <v>-0.7835714289120266</v>
      </c>
      <c r="R2141" s="3" t="n">
        <v>-0.7709714361599513</v>
      </c>
      <c r="S2141" s="3" t="n">
        <v>-1.015428565229688</v>
      </c>
      <c r="T2141" s="3" t="n">
        <v>-0.708628567627498</v>
      </c>
      <c r="U2141" s="3" t="n">
        <v>-0.8570857082094465</v>
      </c>
      <c r="V2141" s="3" t="n">
        <v>-0.6776857103620256</v>
      </c>
      <c r="W2141" s="3" t="n">
        <v>-0.5221999968801226</v>
      </c>
      <c r="X2141" s="3" t="n">
        <v>-1.011657135827201</v>
      </c>
      <c r="Y2141" s="3" t="n">
        <v>-0.7835714289120266</v>
      </c>
      <c r="Z2141" s="3" t="n">
        <v>-1.015428565229688</v>
      </c>
      <c r="AA2141" s="3" t="n">
        <v>-1.015428565229688</v>
      </c>
      <c r="AB2141" s="3" t="n">
        <v>-1.011657135827201</v>
      </c>
      <c r="AC2141" s="3" t="n">
        <v>-1.132885714939662</v>
      </c>
      <c r="AD2141" s="3" t="n">
        <v>-0.8570857082094465</v>
      </c>
      <c r="AE2141" s="3" t="n">
        <v>-0.8570857082094465</v>
      </c>
    </row>
    <row r="2142">
      <c r="A2142" s="3" t="inlineStr">
        <is>
          <t>TON.distn.dec.ove.mean.5</t>
        </is>
      </c>
      <c r="B2142" s="3" t="inlineStr">
        <is>
          <t>TON</t>
        </is>
      </c>
      <c r="C2142" s="3" t="n">
        <v>2005</v>
      </c>
      <c r="D2142" s="3" t="inlineStr">
        <is>
          <t>Overall</t>
        </is>
      </c>
      <c r="E2142" s="3" t="inlineStr">
        <is>
          <t>Deciles</t>
        </is>
      </c>
      <c r="F2142" s="3" t="inlineStr">
        <is>
          <t>mean</t>
        </is>
      </c>
      <c r="G2142" s="3" t="n">
        <v>5</v>
      </c>
      <c r="H2142" s="3" t="n">
        <v>-0.7835714289120266</v>
      </c>
      <c r="I2142" s="3" t="n">
        <v>-0.7835714289120266</v>
      </c>
      <c r="J2142" s="3" t="n">
        <v>-0.8570857082094465</v>
      </c>
      <c r="K2142" s="3" t="n">
        <v>-0.8570857082094465</v>
      </c>
      <c r="L2142" s="3" t="n">
        <v>-0.7835714289120266</v>
      </c>
      <c r="M2142" s="3" t="n">
        <v>-0.7835714289120266</v>
      </c>
      <c r="N2142" s="3" t="n">
        <v>-0.7835714289120266</v>
      </c>
      <c r="O2142" s="3" t="n">
        <v>-0.7835714289120266</v>
      </c>
      <c r="P2142" s="3" t="n">
        <v>-0.7835714289120266</v>
      </c>
      <c r="Q2142" s="3" t="n">
        <v>-0.7835714289120266</v>
      </c>
      <c r="R2142" s="3" t="n">
        <v>-0.7709714361599513</v>
      </c>
      <c r="S2142" s="3" t="n">
        <v>-1.015428565229688</v>
      </c>
      <c r="T2142" s="3" t="n">
        <v>-0.708628567627498</v>
      </c>
      <c r="U2142" s="3" t="n">
        <v>-0.8570857082094465</v>
      </c>
      <c r="V2142" s="3" t="n">
        <v>-0.6776857103620256</v>
      </c>
      <c r="W2142" s="3" t="n">
        <v>-0.5221999968801226</v>
      </c>
      <c r="X2142" s="3" t="n">
        <v>-1.011657135827201</v>
      </c>
      <c r="Y2142" s="3" t="n">
        <v>-0.7835714289120266</v>
      </c>
      <c r="Z2142" s="3" t="n">
        <v>-1.015428565229688</v>
      </c>
      <c r="AA2142" s="3" t="n">
        <v>-1.015428565229688</v>
      </c>
      <c r="AB2142" s="3" t="n">
        <v>-1.011657135827201</v>
      </c>
      <c r="AC2142" s="3" t="n">
        <v>-1.132885714939662</v>
      </c>
      <c r="AD2142" s="3" t="n">
        <v>-0.8570857082094465</v>
      </c>
      <c r="AE2142" s="3" t="n">
        <v>-0.8570857082094465</v>
      </c>
    </row>
    <row r="2143">
      <c r="A2143" s="3" t="inlineStr">
        <is>
          <t>TON.distn.dec.ove.mean.6</t>
        </is>
      </c>
      <c r="B2143" s="3" t="inlineStr">
        <is>
          <t>TON</t>
        </is>
      </c>
      <c r="C2143" s="3" t="n">
        <v>2005</v>
      </c>
      <c r="D2143" s="3" t="inlineStr">
        <is>
          <t>Overall</t>
        </is>
      </c>
      <c r="E2143" s="3" t="inlineStr">
        <is>
          <t>Deciles</t>
        </is>
      </c>
      <c r="F2143" s="3" t="inlineStr">
        <is>
          <t>mean</t>
        </is>
      </c>
      <c r="G2143" s="3" t="n">
        <v>6</v>
      </c>
      <c r="H2143" s="3" t="n">
        <v>-0.7835714289120266</v>
      </c>
      <c r="I2143" s="3" t="n">
        <v>-0.7835714289120266</v>
      </c>
      <c r="J2143" s="3" t="n">
        <v>-0.8570857082094465</v>
      </c>
      <c r="K2143" s="3" t="n">
        <v>-0.8570857082094465</v>
      </c>
      <c r="L2143" s="3" t="n">
        <v>-0.7835714289120266</v>
      </c>
      <c r="M2143" s="3" t="n">
        <v>-0.7835714289120266</v>
      </c>
      <c r="N2143" s="3" t="n">
        <v>-0.7835714289120266</v>
      </c>
      <c r="O2143" s="3" t="n">
        <v>-0.7835714289120266</v>
      </c>
      <c r="P2143" s="3" t="n">
        <v>-0.7835714289120266</v>
      </c>
      <c r="Q2143" s="3" t="n">
        <v>-0.7835714289120266</v>
      </c>
      <c r="R2143" s="3" t="n">
        <v>-0.7709714361599513</v>
      </c>
      <c r="S2143" s="3" t="n">
        <v>-1.015428565229688</v>
      </c>
      <c r="T2143" s="3" t="n">
        <v>-0.708628567627498</v>
      </c>
      <c r="U2143" s="3" t="n">
        <v>-0.8570857082094465</v>
      </c>
      <c r="V2143" s="3" t="n">
        <v>-0.6776857103620256</v>
      </c>
      <c r="W2143" s="3" t="n">
        <v>-0.5221999968801226</v>
      </c>
      <c r="X2143" s="3" t="n">
        <v>-1.011657135827201</v>
      </c>
      <c r="Y2143" s="3" t="n">
        <v>-0.7835714289120266</v>
      </c>
      <c r="Z2143" s="3" t="n">
        <v>-1.015428565229688</v>
      </c>
      <c r="AA2143" s="3" t="n">
        <v>-1.015428565229688</v>
      </c>
      <c r="AB2143" s="3" t="n">
        <v>-1.011657135827201</v>
      </c>
      <c r="AC2143" s="3" t="n">
        <v>-1.132885714939662</v>
      </c>
      <c r="AD2143" s="3" t="n">
        <v>-0.8570857082094465</v>
      </c>
      <c r="AE2143" s="3" t="n">
        <v>-0.8570857082094465</v>
      </c>
    </row>
    <row r="2144">
      <c r="A2144" s="3" t="inlineStr">
        <is>
          <t>TON.distn.dec.ove.mean.7</t>
        </is>
      </c>
      <c r="B2144" s="3" t="inlineStr">
        <is>
          <t>TON</t>
        </is>
      </c>
      <c r="C2144" s="3" t="n">
        <v>2005</v>
      </c>
      <c r="D2144" s="3" t="inlineStr">
        <is>
          <t>Overall</t>
        </is>
      </c>
      <c r="E2144" s="3" t="inlineStr">
        <is>
          <t>Deciles</t>
        </is>
      </c>
      <c r="F2144" s="3" t="inlineStr">
        <is>
          <t>mean</t>
        </is>
      </c>
      <c r="G2144" s="3" t="n">
        <v>7</v>
      </c>
      <c r="H2144" s="3" t="n">
        <v>-0.7835714289120266</v>
      </c>
      <c r="I2144" s="3" t="n">
        <v>-0.7835714289120266</v>
      </c>
      <c r="J2144" s="3" t="n">
        <v>-0.8570857082094465</v>
      </c>
      <c r="K2144" s="3" t="n">
        <v>-0.8570857082094465</v>
      </c>
      <c r="L2144" s="3" t="n">
        <v>-0.7835714289120266</v>
      </c>
      <c r="M2144" s="3" t="n">
        <v>-0.7835714289120266</v>
      </c>
      <c r="N2144" s="3" t="n">
        <v>-0.7835714289120266</v>
      </c>
      <c r="O2144" s="3" t="n">
        <v>-0.7835714289120266</v>
      </c>
      <c r="P2144" s="3" t="n">
        <v>-0.7835714289120266</v>
      </c>
      <c r="Q2144" s="3" t="n">
        <v>-0.7835714289120266</v>
      </c>
      <c r="R2144" s="3" t="n">
        <v>-0.7709714361599513</v>
      </c>
      <c r="S2144" s="3" t="n">
        <v>-1.015428565229688</v>
      </c>
      <c r="T2144" s="3" t="n">
        <v>-0.708628567627498</v>
      </c>
      <c r="U2144" s="3" t="n">
        <v>-0.8570857082094465</v>
      </c>
      <c r="V2144" s="3" t="n">
        <v>-0.6776857103620256</v>
      </c>
      <c r="W2144" s="3" t="n">
        <v>-0.5221999968801226</v>
      </c>
      <c r="X2144" s="3" t="n">
        <v>-1.011657135827201</v>
      </c>
      <c r="Y2144" s="3" t="n">
        <v>-0.7835714289120266</v>
      </c>
      <c r="Z2144" s="3" t="n">
        <v>-1.015428565229688</v>
      </c>
      <c r="AA2144" s="3" t="n">
        <v>-1.015428565229688</v>
      </c>
      <c r="AB2144" s="3" t="n">
        <v>-1.011657135827201</v>
      </c>
      <c r="AC2144" s="3" t="n">
        <v>-1.132885714939662</v>
      </c>
      <c r="AD2144" s="3" t="n">
        <v>-0.8570857082094465</v>
      </c>
      <c r="AE2144" s="3" t="n">
        <v>-0.8570857082094465</v>
      </c>
    </row>
    <row r="2145">
      <c r="A2145" s="3" t="inlineStr">
        <is>
          <t>TON.distn.dec.ove.mean.8</t>
        </is>
      </c>
      <c r="B2145" s="3" t="inlineStr">
        <is>
          <t>TON</t>
        </is>
      </c>
      <c r="C2145" s="3" t="n">
        <v>2005</v>
      </c>
      <c r="D2145" s="3" t="inlineStr">
        <is>
          <t>Overall</t>
        </is>
      </c>
      <c r="E2145" s="3" t="inlineStr">
        <is>
          <t>Deciles</t>
        </is>
      </c>
      <c r="F2145" s="3" t="inlineStr">
        <is>
          <t>mean</t>
        </is>
      </c>
      <c r="G2145" s="3" t="n">
        <v>8</v>
      </c>
      <c r="H2145" s="3" t="n">
        <v>-0.7839489357812064</v>
      </c>
      <c r="I2145" s="3" t="n">
        <v>-0.7839489357812064</v>
      </c>
      <c r="J2145" s="3" t="n">
        <v>-0.8593977723802839</v>
      </c>
      <c r="K2145" s="3" t="n">
        <v>-0.8593977723802839</v>
      </c>
      <c r="L2145" s="3" t="n">
        <v>-0.7839489357812064</v>
      </c>
      <c r="M2145" s="3" t="n">
        <v>-0.7839489357812064</v>
      </c>
      <c r="N2145" s="3" t="n">
        <v>-0.7839489357812064</v>
      </c>
      <c r="O2145" s="3" t="n">
        <v>-0.7839489357812064</v>
      </c>
      <c r="P2145" s="3" t="n">
        <v>-0.7839489357812064</v>
      </c>
      <c r="Q2145" s="3" t="n">
        <v>-0.7839489357812064</v>
      </c>
      <c r="R2145" s="3" t="n">
        <v>-0.7712249892098563</v>
      </c>
      <c r="S2145" s="3" t="n">
        <v>-1.024877253600529</v>
      </c>
      <c r="T2145" s="3" t="n">
        <v>-0.7086694342749459</v>
      </c>
      <c r="U2145" s="3" t="n">
        <v>-0.8593977723802839</v>
      </c>
      <c r="V2145" s="3" t="n">
        <v>-0.6783862863268171</v>
      </c>
      <c r="W2145" s="3" t="n">
        <v>-0.5361838928290776</v>
      </c>
      <c r="X2145" s="3" t="n">
        <v>-1.020875356878553</v>
      </c>
      <c r="Y2145" s="3" t="n">
        <v>-0.7839489357812064</v>
      </c>
      <c r="Z2145" s="3" t="n">
        <v>-1.024877253600529</v>
      </c>
      <c r="AA2145" s="3" t="n">
        <v>-1.024877253600529</v>
      </c>
      <c r="AB2145" s="3" t="n">
        <v>-1.020875356878553</v>
      </c>
      <c r="AC2145" s="3" t="n">
        <v>-1.149042170388358</v>
      </c>
      <c r="AD2145" s="3" t="n">
        <v>-0.8593977723802839</v>
      </c>
      <c r="AE2145" s="3" t="n">
        <v>-0.8593977723802839</v>
      </c>
    </row>
    <row r="2146">
      <c r="A2146" s="3" t="inlineStr">
        <is>
          <t>TON.distn.dec.ove.mean.9</t>
        </is>
      </c>
      <c r="B2146" s="3" t="inlineStr">
        <is>
          <t>TON</t>
        </is>
      </c>
      <c r="C2146" s="3" t="n">
        <v>2005</v>
      </c>
      <c r="D2146" s="3" t="inlineStr">
        <is>
          <t>Overall</t>
        </is>
      </c>
      <c r="E2146" s="3" t="inlineStr">
        <is>
          <t>Deciles</t>
        </is>
      </c>
      <c r="F2146" s="3" t="inlineStr">
        <is>
          <t>mean</t>
        </is>
      </c>
      <c r="G2146" s="3" t="n">
        <v>9</v>
      </c>
      <c r="H2146" s="3" t="n">
        <v>-0.7839489357812064</v>
      </c>
      <c r="I2146" s="3" t="n">
        <v>-0.7839489357812064</v>
      </c>
      <c r="J2146" s="3" t="n">
        <v>-0.8593977723802839</v>
      </c>
      <c r="K2146" s="3" t="n">
        <v>-0.8593977723802839</v>
      </c>
      <c r="L2146" s="3" t="n">
        <v>-0.7839489357812064</v>
      </c>
      <c r="M2146" s="3" t="n">
        <v>-0.7839489357812064</v>
      </c>
      <c r="N2146" s="3" t="n">
        <v>-0.7839489357812064</v>
      </c>
      <c r="O2146" s="3" t="n">
        <v>-0.7839489357812064</v>
      </c>
      <c r="P2146" s="3" t="n">
        <v>-0.7839489357812064</v>
      </c>
      <c r="Q2146" s="3" t="n">
        <v>-0.7839489357812064</v>
      </c>
      <c r="R2146" s="3" t="n">
        <v>-0.7712249892098563</v>
      </c>
      <c r="S2146" s="3" t="n">
        <v>-1.024877253600529</v>
      </c>
      <c r="T2146" s="3" t="n">
        <v>-0.7086694342749459</v>
      </c>
      <c r="U2146" s="3" t="n">
        <v>-0.8593977723802839</v>
      </c>
      <c r="V2146" s="3" t="n">
        <v>-0.6783862863268171</v>
      </c>
      <c r="W2146" s="3" t="n">
        <v>-0.5361838928290776</v>
      </c>
      <c r="X2146" s="3" t="n">
        <v>-1.020875356878553</v>
      </c>
      <c r="Y2146" s="3" t="n">
        <v>-0.7839489357812064</v>
      </c>
      <c r="Z2146" s="3" t="n">
        <v>-1.024877253600529</v>
      </c>
      <c r="AA2146" s="3" t="n">
        <v>-1.024877253600529</v>
      </c>
      <c r="AB2146" s="3" t="n">
        <v>-1.020875356878553</v>
      </c>
      <c r="AC2146" s="3" t="n">
        <v>-1.149042170388358</v>
      </c>
      <c r="AD2146" s="3" t="n">
        <v>-0.8593977723802839</v>
      </c>
      <c r="AE2146" s="3" t="n">
        <v>-0.8593977723802839</v>
      </c>
    </row>
    <row r="2147">
      <c r="A2147" s="3" t="inlineStr">
        <is>
          <t>TON.distn.dec.ove.mean.10</t>
        </is>
      </c>
      <c r="B2147" s="3" t="inlineStr">
        <is>
          <t>TON</t>
        </is>
      </c>
      <c r="C2147" s="3" t="n">
        <v>2005</v>
      </c>
      <c r="D2147" s="3" t="inlineStr">
        <is>
          <t>Overall</t>
        </is>
      </c>
      <c r="E2147" s="3" t="inlineStr">
        <is>
          <t>Deciles</t>
        </is>
      </c>
      <c r="F2147" s="3" t="inlineStr">
        <is>
          <t>mean</t>
        </is>
      </c>
      <c r="G2147" s="3" t="n">
        <v>10</v>
      </c>
      <c r="H2147" s="3" t="n">
        <v>-0.7839489357812064</v>
      </c>
      <c r="I2147" s="3" t="n">
        <v>-0.7839489357812064</v>
      </c>
      <c r="J2147" s="3" t="n">
        <v>-0.8593977723802839</v>
      </c>
      <c r="K2147" s="3" t="n">
        <v>-0.8593977723802839</v>
      </c>
      <c r="L2147" s="3" t="n">
        <v>-0.7839489357812064</v>
      </c>
      <c r="M2147" s="3" t="n">
        <v>-0.7839489357812064</v>
      </c>
      <c r="N2147" s="3" t="n">
        <v>-0.7839489357812064</v>
      </c>
      <c r="O2147" s="3" t="n">
        <v>-0.7839489357812064</v>
      </c>
      <c r="P2147" s="3" t="n">
        <v>-0.7839489357812064</v>
      </c>
      <c r="Q2147" s="3" t="n">
        <v>-0.7839489357812064</v>
      </c>
      <c r="R2147" s="3" t="n">
        <v>-0.7712249892098563</v>
      </c>
      <c r="S2147" s="3" t="n">
        <v>-1.024877253600529</v>
      </c>
      <c r="T2147" s="3" t="n">
        <v>-0.7086694342749459</v>
      </c>
      <c r="U2147" s="3" t="n">
        <v>-0.8593977723802839</v>
      </c>
      <c r="V2147" s="3" t="n">
        <v>-0.6783862863268171</v>
      </c>
      <c r="W2147" s="3" t="n">
        <v>-0.5361838928290776</v>
      </c>
      <c r="X2147" s="3" t="n">
        <v>-1.020875356878553</v>
      </c>
      <c r="Y2147" s="3" t="n">
        <v>-0.7839489357812064</v>
      </c>
      <c r="Z2147" s="3" t="n">
        <v>-1.024877253600529</v>
      </c>
      <c r="AA2147" s="3" t="n">
        <v>-1.024877253600529</v>
      </c>
      <c r="AB2147" s="3" t="n">
        <v>-1.020875356878553</v>
      </c>
      <c r="AC2147" s="3" t="n">
        <v>-1.149042170388358</v>
      </c>
      <c r="AD2147" s="3" t="n">
        <v>-0.8593977723802839</v>
      </c>
      <c r="AE2147" s="3" t="n">
        <v>-0.8593977723802839</v>
      </c>
    </row>
    <row r="2148">
      <c r="A2148" s="3" t="inlineStr">
        <is>
          <t>TON.distn.bkt.ove.mean.9999</t>
        </is>
      </c>
      <c r="B2148" s="3" t="inlineStr">
        <is>
          <t>TON</t>
        </is>
      </c>
      <c r="C2148" s="3" t="n">
        <v>2005</v>
      </c>
      <c r="D2148" s="3" t="inlineStr">
        <is>
          <t>Overall</t>
        </is>
      </c>
      <c r="E2148" s="3" t="inlineStr">
        <is>
          <t>Basket</t>
        </is>
      </c>
      <c r="F2148" s="3" t="inlineStr">
        <is>
          <t>mean</t>
        </is>
      </c>
      <c r="G2148" s="3" t="n">
        <v>9999</v>
      </c>
      <c r="H2148" s="3" t="n">
        <v>-0.7855607322284154</v>
      </c>
      <c r="I2148" s="3" t="n">
        <v>-0.7855607322284154</v>
      </c>
      <c r="J2148" s="3" t="n">
        <v>-0.8708347541945322</v>
      </c>
      <c r="K2148" s="3" t="n">
        <v>-0.8708347541945322</v>
      </c>
      <c r="L2148" s="3" t="n">
        <v>-0.7855607322284154</v>
      </c>
      <c r="M2148" s="3" t="n">
        <v>-0.7855607322284154</v>
      </c>
      <c r="N2148" s="3" t="n">
        <v>-0.7855607322284154</v>
      </c>
      <c r="O2148" s="3" t="n">
        <v>-0.7855607322284154</v>
      </c>
      <c r="P2148" s="3" t="n">
        <v>-0.7855607322284154</v>
      </c>
      <c r="Q2148" s="3" t="n">
        <v>-0.7855607322284154</v>
      </c>
      <c r="R2148" s="3" t="n">
        <v>-0.7720900552613394</v>
      </c>
      <c r="S2148" s="3" t="n">
        <v>-1.160887002944946</v>
      </c>
      <c r="T2148" s="3" t="n">
        <v>-0.7090769904000419</v>
      </c>
      <c r="U2148" s="3" t="n">
        <v>-0.8708347541945322</v>
      </c>
      <c r="V2148" s="3" t="n">
        <v>-0.6799844878060477</v>
      </c>
      <c r="W2148" s="3" t="n">
        <v>-0.5558792540005275</v>
      </c>
      <c r="X2148" s="3" t="n">
        <v>-1.140969473975045</v>
      </c>
      <c r="Y2148" s="3" t="n">
        <v>-0.7855607322284154</v>
      </c>
      <c r="Z2148" s="3" t="n">
        <v>-1.160887002944946</v>
      </c>
      <c r="AA2148" s="3" t="n">
        <v>-1.160887002944946</v>
      </c>
      <c r="AB2148" s="3" t="n">
        <v>-1.140969473975045</v>
      </c>
      <c r="AC2148" s="3" t="n">
        <v>-1.501635466303144</v>
      </c>
      <c r="AD2148" s="3" t="n">
        <v>-0.8708347541945322</v>
      </c>
      <c r="AE2148" s="3" t="n">
        <v>-0.8708347541945322</v>
      </c>
    </row>
    <row r="2149">
      <c r="A2149" s="3" t="inlineStr">
        <is>
          <t>TTO.distn.dec.ove.mean.1</t>
        </is>
      </c>
      <c r="B2149" s="3" t="inlineStr">
        <is>
          <t>TTO</t>
        </is>
      </c>
      <c r="C2149" s="3" t="n">
        <v>2005</v>
      </c>
      <c r="D2149" s="3" t="inlineStr">
        <is>
          <t>Overall</t>
        </is>
      </c>
      <c r="E2149" s="3" t="inlineStr">
        <is>
          <t>Deciles</t>
        </is>
      </c>
      <c r="F2149" s="3" t="inlineStr">
        <is>
          <t>mean</t>
        </is>
      </c>
      <c r="G2149" s="3" t="n">
        <v>1</v>
      </c>
      <c r="H2149" s="3" t="n">
        <v>-0.7878549098968506</v>
      </c>
      <c r="I2149" s="3" t="n">
        <v>-0.7878549098968506</v>
      </c>
      <c r="J2149" s="3" t="n">
        <v>-0.8883962808771336</v>
      </c>
      <c r="K2149" s="3" t="n">
        <v>-0.8883962808771336</v>
      </c>
      <c r="L2149" s="3" t="n">
        <v>-0.7878549098968506</v>
      </c>
      <c r="M2149" s="3" t="n">
        <v>-0.7878549098968506</v>
      </c>
      <c r="N2149" s="3" t="n">
        <v>-0.7878549098968506</v>
      </c>
      <c r="O2149" s="3" t="n">
        <v>-0.7878549098968506</v>
      </c>
      <c r="P2149" s="3" t="n">
        <v>-0.7878549098968506</v>
      </c>
      <c r="Q2149" s="3" t="n">
        <v>-0.7878549098968506</v>
      </c>
      <c r="R2149" s="3" t="n">
        <v>-0.7732356596500316</v>
      </c>
      <c r="S2149" s="3" t="n">
        <v>-1.408805674694954</v>
      </c>
      <c r="T2149" s="3" t="n">
        <v>-0.7095591730259835</v>
      </c>
      <c r="U2149" s="3" t="n">
        <v>-0.8883962808771336</v>
      </c>
      <c r="V2149" s="3" t="n">
        <v>-0.681934451803248</v>
      </c>
      <c r="W2149" s="3" t="n">
        <v>-0.5702875047288043</v>
      </c>
      <c r="X2149" s="3" t="n">
        <v>-1.356243993373627</v>
      </c>
      <c r="Y2149" s="3" t="n">
        <v>-0.7878549098968506</v>
      </c>
      <c r="Z2149" s="3" t="n">
        <v>-1.408805674694954</v>
      </c>
      <c r="AA2149" s="3" t="n">
        <v>-1.408805674694954</v>
      </c>
      <c r="AB2149" s="3" t="n">
        <v>-1.356243993373627</v>
      </c>
      <c r="AC2149" s="3" t="n">
        <v>-2.123991362592007</v>
      </c>
      <c r="AD2149" s="3" t="n">
        <v>-0.8883962808771336</v>
      </c>
      <c r="AE2149" s="3" t="n">
        <v>-0.8883962808771336</v>
      </c>
    </row>
    <row r="2150">
      <c r="A2150" s="3" t="inlineStr">
        <is>
          <t>TTO.distn.dec.ove.mean.2</t>
        </is>
      </c>
      <c r="B2150" s="3" t="inlineStr">
        <is>
          <t>TTO</t>
        </is>
      </c>
      <c r="C2150" s="3" t="n">
        <v>2005</v>
      </c>
      <c r="D2150" s="3" t="inlineStr">
        <is>
          <t>Overall</t>
        </is>
      </c>
      <c r="E2150" s="3" t="inlineStr">
        <is>
          <t>Deciles</t>
        </is>
      </c>
      <c r="F2150" s="3" t="inlineStr">
        <is>
          <t>mean</t>
        </is>
      </c>
      <c r="G2150" s="3" t="n">
        <v>2</v>
      </c>
      <c r="H2150" s="3" t="n">
        <v>-0.7878549098968506</v>
      </c>
      <c r="I2150" s="3" t="n">
        <v>-0.7878549098968506</v>
      </c>
      <c r="J2150" s="3" t="n">
        <v>-0.8883962808771336</v>
      </c>
      <c r="K2150" s="3" t="n">
        <v>-0.8883962808771336</v>
      </c>
      <c r="L2150" s="3" t="n">
        <v>-0.7878549098968506</v>
      </c>
      <c r="M2150" s="3" t="n">
        <v>-0.7878549098968506</v>
      </c>
      <c r="N2150" s="3" t="n">
        <v>-0.7878549098968506</v>
      </c>
      <c r="O2150" s="3" t="n">
        <v>-0.7878549098968506</v>
      </c>
      <c r="P2150" s="3" t="n">
        <v>-0.7878549098968506</v>
      </c>
      <c r="Q2150" s="3" t="n">
        <v>-0.7878549098968506</v>
      </c>
      <c r="R2150" s="3" t="n">
        <v>-0.7732356596500316</v>
      </c>
      <c r="S2150" s="3" t="n">
        <v>-1.408805674694954</v>
      </c>
      <c r="T2150" s="3" t="n">
        <v>-0.7095591730259835</v>
      </c>
      <c r="U2150" s="3" t="n">
        <v>-0.8883962808771336</v>
      </c>
      <c r="V2150" s="3" t="n">
        <v>-0.681934451803248</v>
      </c>
      <c r="W2150" s="3" t="n">
        <v>-0.5702875047288043</v>
      </c>
      <c r="X2150" s="3" t="n">
        <v>-1.356243993373627</v>
      </c>
      <c r="Y2150" s="3" t="n">
        <v>-0.7878549098968506</v>
      </c>
      <c r="Z2150" s="3" t="n">
        <v>-1.408805674694954</v>
      </c>
      <c r="AA2150" s="3" t="n">
        <v>-1.408805674694954</v>
      </c>
      <c r="AB2150" s="3" t="n">
        <v>-1.356243993373627</v>
      </c>
      <c r="AC2150" s="3" t="n">
        <v>-2.123991362592007</v>
      </c>
      <c r="AD2150" s="3" t="n">
        <v>-0.8883962808771336</v>
      </c>
      <c r="AE2150" s="3" t="n">
        <v>-0.8883962808771336</v>
      </c>
    </row>
    <row r="2151">
      <c r="A2151" s="3" t="inlineStr">
        <is>
          <t>TTO.distn.dec.ove.mean.3</t>
        </is>
      </c>
      <c r="B2151" s="3" t="inlineStr">
        <is>
          <t>TTO</t>
        </is>
      </c>
      <c r="C2151" s="3" t="n">
        <v>2005</v>
      </c>
      <c r="D2151" s="3" t="inlineStr">
        <is>
          <t>Overall</t>
        </is>
      </c>
      <c r="E2151" s="3" t="inlineStr">
        <is>
          <t>Deciles</t>
        </is>
      </c>
      <c r="F2151" s="3" t="inlineStr">
        <is>
          <t>mean</t>
        </is>
      </c>
      <c r="G2151" s="3" t="n">
        <v>3</v>
      </c>
      <c r="H2151" s="3" t="n">
        <v>-0.7878549098968506</v>
      </c>
      <c r="I2151" s="3" t="n">
        <v>-0.7878549098968506</v>
      </c>
      <c r="J2151" s="3" t="n">
        <v>-0.8883962808771336</v>
      </c>
      <c r="K2151" s="3" t="n">
        <v>-0.8883962808771336</v>
      </c>
      <c r="L2151" s="3" t="n">
        <v>-0.7878549098968506</v>
      </c>
      <c r="M2151" s="3" t="n">
        <v>-0.7878549098968506</v>
      </c>
      <c r="N2151" s="3" t="n">
        <v>-0.7878549098968506</v>
      </c>
      <c r="O2151" s="3" t="n">
        <v>-0.7878549098968506</v>
      </c>
      <c r="P2151" s="3" t="n">
        <v>-0.7878549098968506</v>
      </c>
      <c r="Q2151" s="3" t="n">
        <v>-0.7878549098968506</v>
      </c>
      <c r="R2151" s="3" t="n">
        <v>-0.7732356596500316</v>
      </c>
      <c r="S2151" s="3" t="n">
        <v>-1.408805674694954</v>
      </c>
      <c r="T2151" s="3" t="n">
        <v>-0.7095591730259835</v>
      </c>
      <c r="U2151" s="3" t="n">
        <v>-0.8883962808771336</v>
      </c>
      <c r="V2151" s="3" t="n">
        <v>-0.681934451803248</v>
      </c>
      <c r="W2151" s="3" t="n">
        <v>-0.5702875047288043</v>
      </c>
      <c r="X2151" s="3" t="n">
        <v>-1.356243993373627</v>
      </c>
      <c r="Y2151" s="3" t="n">
        <v>-0.7878549098968506</v>
      </c>
      <c r="Z2151" s="3" t="n">
        <v>-1.408805674694954</v>
      </c>
      <c r="AA2151" s="3" t="n">
        <v>-1.408805674694954</v>
      </c>
      <c r="AB2151" s="3" t="n">
        <v>-1.356243993373627</v>
      </c>
      <c r="AC2151" s="3" t="n">
        <v>-2.123991362592007</v>
      </c>
      <c r="AD2151" s="3" t="n">
        <v>-0.8883962808771336</v>
      </c>
      <c r="AE2151" s="3" t="n">
        <v>-0.8883962808771336</v>
      </c>
    </row>
    <row r="2152">
      <c r="A2152" s="3" t="inlineStr">
        <is>
          <t>TTO.distn.dec.ove.mean.4</t>
        </is>
      </c>
      <c r="B2152" s="3" t="inlineStr">
        <is>
          <t>TTO</t>
        </is>
      </c>
      <c r="C2152" s="3" t="n">
        <v>2005</v>
      </c>
      <c r="D2152" s="3" t="inlineStr">
        <is>
          <t>Overall</t>
        </is>
      </c>
      <c r="E2152" s="3" t="inlineStr">
        <is>
          <t>Deciles</t>
        </is>
      </c>
      <c r="F2152" s="3" t="inlineStr">
        <is>
          <t>mean</t>
        </is>
      </c>
      <c r="G2152" s="3" t="n">
        <v>4</v>
      </c>
      <c r="H2152" s="3" t="n">
        <v>-0.7816170251115839</v>
      </c>
      <c r="I2152" s="3" t="n">
        <v>-0.7816170251115839</v>
      </c>
      <c r="J2152" s="3" t="n">
        <v>-0.8454680810583398</v>
      </c>
      <c r="K2152" s="3" t="n">
        <v>-0.8454680810583398</v>
      </c>
      <c r="L2152" s="3" t="n">
        <v>-0.7816170251115839</v>
      </c>
      <c r="M2152" s="3" t="n">
        <v>-0.7816170251115839</v>
      </c>
      <c r="N2152" s="3" t="n">
        <v>-0.7816170251115839</v>
      </c>
      <c r="O2152" s="3" t="n">
        <v>-0.7816170251115839</v>
      </c>
      <c r="P2152" s="3" t="n">
        <v>-0.7816170251115839</v>
      </c>
      <c r="Q2152" s="3" t="n">
        <v>-0.7816170251115839</v>
      </c>
      <c r="R2152" s="3" t="n">
        <v>-0.7697659489956308</v>
      </c>
      <c r="S2152" s="3" t="n">
        <v>-0.9595531871978272</v>
      </c>
      <c r="T2152" s="3" t="n">
        <v>-0.7081063859006191</v>
      </c>
      <c r="U2152" s="3" t="n">
        <v>-0.8454680810583398</v>
      </c>
      <c r="V2152" s="3" t="n">
        <v>-0.6750000017754575</v>
      </c>
      <c r="W2152" s="3" t="n">
        <v>-0.4799574455048176</v>
      </c>
      <c r="X2152" s="3" t="n">
        <v>-0.9571489362006492</v>
      </c>
      <c r="Y2152" s="3" t="n">
        <v>-0.7816170251115839</v>
      </c>
      <c r="Z2152" s="3" t="n">
        <v>-0.9595531871978272</v>
      </c>
      <c r="AA2152" s="3" t="n">
        <v>-0.9595531871978272</v>
      </c>
      <c r="AB2152" s="3" t="n">
        <v>-0.9571489362006492</v>
      </c>
      <c r="AC2152" s="3" t="n">
        <v>-1.025723396463597</v>
      </c>
      <c r="AD2152" s="3" t="n">
        <v>-0.8454680810583398</v>
      </c>
      <c r="AE2152" s="3" t="n">
        <v>-0.8454680810583398</v>
      </c>
    </row>
    <row r="2153">
      <c r="A2153" s="3" t="inlineStr">
        <is>
          <t>TTO.distn.dec.ove.mean.5</t>
        </is>
      </c>
      <c r="B2153" s="3" t="inlineStr">
        <is>
          <t>TTO</t>
        </is>
      </c>
      <c r="C2153" s="3" t="n">
        <v>2005</v>
      </c>
      <c r="D2153" s="3" t="inlineStr">
        <is>
          <t>Overall</t>
        </is>
      </c>
      <c r="E2153" s="3" t="inlineStr">
        <is>
          <t>Deciles</t>
        </is>
      </c>
      <c r="F2153" s="3" t="inlineStr">
        <is>
          <t>mean</t>
        </is>
      </c>
      <c r="G2153" s="3" t="n">
        <v>5</v>
      </c>
      <c r="H2153" s="3" t="n">
        <v>-0.7816170251115839</v>
      </c>
      <c r="I2153" s="3" t="n">
        <v>-0.7816170251115839</v>
      </c>
      <c r="J2153" s="3" t="n">
        <v>-0.8454680810583398</v>
      </c>
      <c r="K2153" s="3" t="n">
        <v>-0.8454680810583398</v>
      </c>
      <c r="L2153" s="3" t="n">
        <v>-0.7816170251115839</v>
      </c>
      <c r="M2153" s="3" t="n">
        <v>-0.7816170251115839</v>
      </c>
      <c r="N2153" s="3" t="n">
        <v>-0.7816170251115839</v>
      </c>
      <c r="O2153" s="3" t="n">
        <v>-0.7816170251115839</v>
      </c>
      <c r="P2153" s="3" t="n">
        <v>-0.7816170251115839</v>
      </c>
      <c r="Q2153" s="3" t="n">
        <v>-0.7816170251115839</v>
      </c>
      <c r="R2153" s="3" t="n">
        <v>-0.7697659489956308</v>
      </c>
      <c r="S2153" s="3" t="n">
        <v>-0.9595531871978272</v>
      </c>
      <c r="T2153" s="3" t="n">
        <v>-0.7081063859006191</v>
      </c>
      <c r="U2153" s="3" t="n">
        <v>-0.8454680810583398</v>
      </c>
      <c r="V2153" s="3" t="n">
        <v>-0.6750000017754575</v>
      </c>
      <c r="W2153" s="3" t="n">
        <v>-0.4799574455048176</v>
      </c>
      <c r="X2153" s="3" t="n">
        <v>-0.9571489362006492</v>
      </c>
      <c r="Y2153" s="3" t="n">
        <v>-0.7816170251115839</v>
      </c>
      <c r="Z2153" s="3" t="n">
        <v>-0.9595531871978272</v>
      </c>
      <c r="AA2153" s="3" t="n">
        <v>-0.9595531871978272</v>
      </c>
      <c r="AB2153" s="3" t="n">
        <v>-0.9571489362006492</v>
      </c>
      <c r="AC2153" s="3" t="n">
        <v>-1.025723396463597</v>
      </c>
      <c r="AD2153" s="3" t="n">
        <v>-0.8454680810583398</v>
      </c>
      <c r="AE2153" s="3" t="n">
        <v>-0.8454680810583398</v>
      </c>
    </row>
    <row r="2154">
      <c r="A2154" s="3" t="inlineStr">
        <is>
          <t>TTO.distn.dec.ove.mean.6</t>
        </is>
      </c>
      <c r="B2154" s="3" t="inlineStr">
        <is>
          <t>TTO</t>
        </is>
      </c>
      <c r="C2154" s="3" t="n">
        <v>2005</v>
      </c>
      <c r="D2154" s="3" t="inlineStr">
        <is>
          <t>Overall</t>
        </is>
      </c>
      <c r="E2154" s="3" t="inlineStr">
        <is>
          <t>Deciles</t>
        </is>
      </c>
      <c r="F2154" s="3" t="inlineStr">
        <is>
          <t>mean</t>
        </is>
      </c>
      <c r="G2154" s="3" t="n">
        <v>6</v>
      </c>
      <c r="H2154" s="3" t="n">
        <v>-0.7816170251115839</v>
      </c>
      <c r="I2154" s="3" t="n">
        <v>-0.7816170251115839</v>
      </c>
      <c r="J2154" s="3" t="n">
        <v>-0.8454680810583398</v>
      </c>
      <c r="K2154" s="3" t="n">
        <v>-0.8454680810583398</v>
      </c>
      <c r="L2154" s="3" t="n">
        <v>-0.7816170251115839</v>
      </c>
      <c r="M2154" s="3" t="n">
        <v>-0.7816170251115839</v>
      </c>
      <c r="N2154" s="3" t="n">
        <v>-0.7816170251115839</v>
      </c>
      <c r="O2154" s="3" t="n">
        <v>-0.7816170251115839</v>
      </c>
      <c r="P2154" s="3" t="n">
        <v>-0.7816170251115839</v>
      </c>
      <c r="Q2154" s="3" t="n">
        <v>-0.7816170251115839</v>
      </c>
      <c r="R2154" s="3" t="n">
        <v>-0.7697659489956308</v>
      </c>
      <c r="S2154" s="3" t="n">
        <v>-0.9595531871978272</v>
      </c>
      <c r="T2154" s="3" t="n">
        <v>-0.7081063859006191</v>
      </c>
      <c r="U2154" s="3" t="n">
        <v>-0.8454680810583398</v>
      </c>
      <c r="V2154" s="3" t="n">
        <v>-0.6750000017754575</v>
      </c>
      <c r="W2154" s="3" t="n">
        <v>-0.4799574455048176</v>
      </c>
      <c r="X2154" s="3" t="n">
        <v>-0.9571489362006492</v>
      </c>
      <c r="Y2154" s="3" t="n">
        <v>-0.7816170251115839</v>
      </c>
      <c r="Z2154" s="3" t="n">
        <v>-0.9595531871978272</v>
      </c>
      <c r="AA2154" s="3" t="n">
        <v>-0.9595531871978272</v>
      </c>
      <c r="AB2154" s="3" t="n">
        <v>-0.9571489362006492</v>
      </c>
      <c r="AC2154" s="3" t="n">
        <v>-1.025723396463597</v>
      </c>
      <c r="AD2154" s="3" t="n">
        <v>-0.8454680810583398</v>
      </c>
      <c r="AE2154" s="3" t="n">
        <v>-0.8454680810583398</v>
      </c>
    </row>
    <row r="2155">
      <c r="A2155" s="3" t="inlineStr">
        <is>
          <t>TTO.distn.dec.ove.mean.7</t>
        </is>
      </c>
      <c r="B2155" s="3" t="inlineStr">
        <is>
          <t>TTO</t>
        </is>
      </c>
      <c r="C2155" s="3" t="n">
        <v>2005</v>
      </c>
      <c r="D2155" s="3" t="inlineStr">
        <is>
          <t>Overall</t>
        </is>
      </c>
      <c r="E2155" s="3" t="inlineStr">
        <is>
          <t>Deciles</t>
        </is>
      </c>
      <c r="F2155" s="3" t="inlineStr">
        <is>
          <t>mean</t>
        </is>
      </c>
      <c r="G2155" s="3" t="n">
        <v>7</v>
      </c>
      <c r="H2155" s="3" t="n">
        <v>-0.7816170251115839</v>
      </c>
      <c r="I2155" s="3" t="n">
        <v>-0.7816170251115839</v>
      </c>
      <c r="J2155" s="3" t="n">
        <v>-0.8454680810583398</v>
      </c>
      <c r="K2155" s="3" t="n">
        <v>-0.8454680810583398</v>
      </c>
      <c r="L2155" s="3" t="n">
        <v>-0.7816170251115839</v>
      </c>
      <c r="M2155" s="3" t="n">
        <v>-0.7816170251115839</v>
      </c>
      <c r="N2155" s="3" t="n">
        <v>-0.7816170251115839</v>
      </c>
      <c r="O2155" s="3" t="n">
        <v>-0.7816170251115839</v>
      </c>
      <c r="P2155" s="3" t="n">
        <v>-0.7816170251115839</v>
      </c>
      <c r="Q2155" s="3" t="n">
        <v>-0.7816170251115839</v>
      </c>
      <c r="R2155" s="3" t="n">
        <v>-0.7697659489956308</v>
      </c>
      <c r="S2155" s="3" t="n">
        <v>-0.9595531871978272</v>
      </c>
      <c r="T2155" s="3" t="n">
        <v>-0.7081063859006191</v>
      </c>
      <c r="U2155" s="3" t="n">
        <v>-0.8454680810583398</v>
      </c>
      <c r="V2155" s="3" t="n">
        <v>-0.6750000017754575</v>
      </c>
      <c r="W2155" s="3" t="n">
        <v>-0.4799574455048176</v>
      </c>
      <c r="X2155" s="3" t="n">
        <v>-0.9571489362006492</v>
      </c>
      <c r="Y2155" s="3" t="n">
        <v>-0.7816170251115839</v>
      </c>
      <c r="Z2155" s="3" t="n">
        <v>-0.9595531871978272</v>
      </c>
      <c r="AA2155" s="3" t="n">
        <v>-0.9595531871978272</v>
      </c>
      <c r="AB2155" s="3" t="n">
        <v>-0.9571489362006492</v>
      </c>
      <c r="AC2155" s="3" t="n">
        <v>-1.025723396463597</v>
      </c>
      <c r="AD2155" s="3" t="n">
        <v>-0.8454680810583398</v>
      </c>
      <c r="AE2155" s="3" t="n">
        <v>-0.8454680810583398</v>
      </c>
    </row>
    <row r="2156">
      <c r="A2156" s="3" t="inlineStr">
        <is>
          <t>TTO.distn.dec.ove.mean.8</t>
        </is>
      </c>
      <c r="B2156" s="3" t="inlineStr">
        <is>
          <t>TTO</t>
        </is>
      </c>
      <c r="C2156" s="3" t="n">
        <v>2005</v>
      </c>
      <c r="D2156" s="3" t="inlineStr">
        <is>
          <t>Overall</t>
        </is>
      </c>
      <c r="E2156" s="3" t="inlineStr">
        <is>
          <t>Deciles</t>
        </is>
      </c>
      <c r="F2156" s="3" t="inlineStr">
        <is>
          <t>mean</t>
        </is>
      </c>
      <c r="G2156" s="3" t="n">
        <v>8</v>
      </c>
      <c r="H2156" s="3" t="n">
        <v>-0.7819935831617801</v>
      </c>
      <c r="I2156" s="3" t="n">
        <v>-0.7819935831617801</v>
      </c>
      <c r="J2156" s="3" t="n">
        <v>-0.8477488045996808</v>
      </c>
      <c r="K2156" s="3" t="n">
        <v>-0.8477488045996808</v>
      </c>
      <c r="L2156" s="3" t="n">
        <v>-0.7819935831617801</v>
      </c>
      <c r="M2156" s="3" t="n">
        <v>-0.7819935831617801</v>
      </c>
      <c r="N2156" s="3" t="n">
        <v>-0.7819935831617801</v>
      </c>
      <c r="O2156" s="3" t="n">
        <v>-0.7819935831617801</v>
      </c>
      <c r="P2156" s="3" t="n">
        <v>-0.7819935831617801</v>
      </c>
      <c r="Q2156" s="3" t="n">
        <v>-0.7819935831617801</v>
      </c>
      <c r="R2156" s="3" t="n">
        <v>-0.7700191178220384</v>
      </c>
      <c r="S2156" s="3" t="n">
        <v>-0.9684819490351575</v>
      </c>
      <c r="T2156" s="3" t="n">
        <v>-0.70814722142321</v>
      </c>
      <c r="U2156" s="3" t="n">
        <v>-0.8477488045996808</v>
      </c>
      <c r="V2156" s="3" t="n">
        <v>-0.6756977857427394</v>
      </c>
      <c r="W2156" s="3" t="n">
        <v>-0.4928101326556916</v>
      </c>
      <c r="X2156" s="3" t="n">
        <v>-0.9658704755154062</v>
      </c>
      <c r="Y2156" s="3" t="n">
        <v>-0.7819935831617801</v>
      </c>
      <c r="Z2156" s="3" t="n">
        <v>-0.9684819490351575</v>
      </c>
      <c r="AA2156" s="3" t="n">
        <v>-0.9684819490351575</v>
      </c>
      <c r="AB2156" s="3" t="n">
        <v>-0.9658704755154062</v>
      </c>
      <c r="AC2156" s="3" t="n">
        <v>-1.04035159628442</v>
      </c>
      <c r="AD2156" s="3" t="n">
        <v>-0.8477488045996808</v>
      </c>
      <c r="AE2156" s="3" t="n">
        <v>-0.8477488045996808</v>
      </c>
    </row>
    <row r="2157">
      <c r="A2157" s="3" t="inlineStr">
        <is>
          <t>TTO.distn.dec.ove.mean.9</t>
        </is>
      </c>
      <c r="B2157" s="3" t="inlineStr">
        <is>
          <t>TTO</t>
        </is>
      </c>
      <c r="C2157" s="3" t="n">
        <v>2005</v>
      </c>
      <c r="D2157" s="3" t="inlineStr">
        <is>
          <t>Overall</t>
        </is>
      </c>
      <c r="E2157" s="3" t="inlineStr">
        <is>
          <t>Deciles</t>
        </is>
      </c>
      <c r="F2157" s="3" t="inlineStr">
        <is>
          <t>mean</t>
        </is>
      </c>
      <c r="G2157" s="3" t="n">
        <v>9</v>
      </c>
      <c r="H2157" s="3" t="n">
        <v>-0.7819935831617801</v>
      </c>
      <c r="I2157" s="3" t="n">
        <v>-0.7819935831617801</v>
      </c>
      <c r="J2157" s="3" t="n">
        <v>-0.8477488045996808</v>
      </c>
      <c r="K2157" s="3" t="n">
        <v>-0.8477488045996808</v>
      </c>
      <c r="L2157" s="3" t="n">
        <v>-0.7819935831617801</v>
      </c>
      <c r="M2157" s="3" t="n">
        <v>-0.7819935831617801</v>
      </c>
      <c r="N2157" s="3" t="n">
        <v>-0.7819935831617801</v>
      </c>
      <c r="O2157" s="3" t="n">
        <v>-0.7819935831617801</v>
      </c>
      <c r="P2157" s="3" t="n">
        <v>-0.7819935831617801</v>
      </c>
      <c r="Q2157" s="3" t="n">
        <v>-0.7819935831617801</v>
      </c>
      <c r="R2157" s="3" t="n">
        <v>-0.7700191178220384</v>
      </c>
      <c r="S2157" s="3" t="n">
        <v>-0.9684819490351575</v>
      </c>
      <c r="T2157" s="3" t="n">
        <v>-0.70814722142321</v>
      </c>
      <c r="U2157" s="3" t="n">
        <v>-0.8477488045996808</v>
      </c>
      <c r="V2157" s="3" t="n">
        <v>-0.6756977857427394</v>
      </c>
      <c r="W2157" s="3" t="n">
        <v>-0.4928101326556916</v>
      </c>
      <c r="X2157" s="3" t="n">
        <v>-0.9658704755154062</v>
      </c>
      <c r="Y2157" s="3" t="n">
        <v>-0.7819935831617801</v>
      </c>
      <c r="Z2157" s="3" t="n">
        <v>-0.9684819490351575</v>
      </c>
      <c r="AA2157" s="3" t="n">
        <v>-0.9684819490351575</v>
      </c>
      <c r="AB2157" s="3" t="n">
        <v>-0.9658704755154062</v>
      </c>
      <c r="AC2157" s="3" t="n">
        <v>-1.04035159628442</v>
      </c>
      <c r="AD2157" s="3" t="n">
        <v>-0.8477488045996808</v>
      </c>
      <c r="AE2157" s="3" t="n">
        <v>-0.8477488045996808</v>
      </c>
    </row>
    <row r="2158">
      <c r="A2158" s="3" t="inlineStr">
        <is>
          <t>TTO.distn.dec.ove.mean.10</t>
        </is>
      </c>
      <c r="B2158" s="3" t="inlineStr">
        <is>
          <t>TTO</t>
        </is>
      </c>
      <c r="C2158" s="3" t="n">
        <v>2005</v>
      </c>
      <c r="D2158" s="3" t="inlineStr">
        <is>
          <t>Overall</t>
        </is>
      </c>
      <c r="E2158" s="3" t="inlineStr">
        <is>
          <t>Deciles</t>
        </is>
      </c>
      <c r="F2158" s="3" t="inlineStr">
        <is>
          <t>mean</t>
        </is>
      </c>
      <c r="G2158" s="3" t="n">
        <v>10</v>
      </c>
      <c r="H2158" s="3" t="n">
        <v>-0.7819935831617801</v>
      </c>
      <c r="I2158" s="3" t="n">
        <v>-0.7819935831617801</v>
      </c>
      <c r="J2158" s="3" t="n">
        <v>-0.8477488045996808</v>
      </c>
      <c r="K2158" s="3" t="n">
        <v>-0.8477488045996808</v>
      </c>
      <c r="L2158" s="3" t="n">
        <v>-0.7819935831617801</v>
      </c>
      <c r="M2158" s="3" t="n">
        <v>-0.7819935831617801</v>
      </c>
      <c r="N2158" s="3" t="n">
        <v>-0.7819935831617801</v>
      </c>
      <c r="O2158" s="3" t="n">
        <v>-0.7819935831617801</v>
      </c>
      <c r="P2158" s="3" t="n">
        <v>-0.7819935831617801</v>
      </c>
      <c r="Q2158" s="3" t="n">
        <v>-0.7819935831617801</v>
      </c>
      <c r="R2158" s="3" t="n">
        <v>-0.7700191178220384</v>
      </c>
      <c r="S2158" s="3" t="n">
        <v>-0.9684819490351575</v>
      </c>
      <c r="T2158" s="3" t="n">
        <v>-0.70814722142321</v>
      </c>
      <c r="U2158" s="3" t="n">
        <v>-0.8477488045996808</v>
      </c>
      <c r="V2158" s="3" t="n">
        <v>-0.6756977857427394</v>
      </c>
      <c r="W2158" s="3" t="n">
        <v>-0.4928101326556916</v>
      </c>
      <c r="X2158" s="3" t="n">
        <v>-0.9658704755154062</v>
      </c>
      <c r="Y2158" s="3" t="n">
        <v>-0.7819935831617801</v>
      </c>
      <c r="Z2158" s="3" t="n">
        <v>-0.9684819490351575</v>
      </c>
      <c r="AA2158" s="3" t="n">
        <v>-0.9684819490351575</v>
      </c>
      <c r="AB2158" s="3" t="n">
        <v>-0.9658704755154062</v>
      </c>
      <c r="AC2158" s="3" t="n">
        <v>-1.04035159628442</v>
      </c>
      <c r="AD2158" s="3" t="n">
        <v>-0.8477488045996808</v>
      </c>
      <c r="AE2158" s="3" t="n">
        <v>-0.8477488045996808</v>
      </c>
    </row>
    <row r="2159">
      <c r="A2159" s="3" t="inlineStr">
        <is>
          <t>TTO.distn.bkt.ove.mean.9999</t>
        </is>
      </c>
      <c r="B2159" s="3" t="inlineStr">
        <is>
          <t>TTO</t>
        </is>
      </c>
      <c r="C2159" s="3" t="n">
        <v>2005</v>
      </c>
      <c r="D2159" s="3" t="inlineStr">
        <is>
          <t>Overall</t>
        </is>
      </c>
      <c r="E2159" s="3" t="inlineStr">
        <is>
          <t>Basket</t>
        </is>
      </c>
      <c r="F2159" s="3" t="inlineStr">
        <is>
          <t>mean</t>
        </is>
      </c>
      <c r="G2159" s="3" t="n">
        <v>9999</v>
      </c>
      <c r="H2159" s="3" t="n">
        <v>-0.7836013613863194</v>
      </c>
      <c r="I2159" s="3" t="n">
        <v>-0.7836013613863194</v>
      </c>
      <c r="J2159" s="3" t="n">
        <v>-0.8590307616172953</v>
      </c>
      <c r="K2159" s="3" t="n">
        <v>-0.8590307616172953</v>
      </c>
      <c r="L2159" s="3" t="n">
        <v>-0.7836013613863194</v>
      </c>
      <c r="M2159" s="3" t="n">
        <v>-0.7836013613863194</v>
      </c>
      <c r="N2159" s="3" t="n">
        <v>-0.7836013613863194</v>
      </c>
      <c r="O2159" s="3" t="n">
        <v>-0.7836013613863194</v>
      </c>
      <c r="P2159" s="3" t="n">
        <v>-0.7836013613863194</v>
      </c>
      <c r="Q2159" s="3" t="n">
        <v>-0.7836013613863194</v>
      </c>
      <c r="R2159" s="3" t="n">
        <v>-0.7708828220976159</v>
      </c>
      <c r="S2159" s="3" t="n">
        <v>-1.097007578991829</v>
      </c>
      <c r="T2159" s="3" t="n">
        <v>-0.7085544974245923</v>
      </c>
      <c r="U2159" s="3" t="n">
        <v>-0.8590307616172953</v>
      </c>
      <c r="V2159" s="3" t="n">
        <v>-0.6772896647453308</v>
      </c>
      <c r="W2159" s="3" t="n">
        <v>-0.5109122699879586</v>
      </c>
      <c r="X2159" s="3" t="n">
        <v>-1.079493910708326</v>
      </c>
      <c r="Y2159" s="3" t="n">
        <v>-0.7836013613863194</v>
      </c>
      <c r="Z2159" s="3" t="n">
        <v>-1.097007578991829</v>
      </c>
      <c r="AA2159" s="3" t="n">
        <v>-1.097007578991829</v>
      </c>
      <c r="AB2159" s="3" t="n">
        <v>-1.079493910708326</v>
      </c>
      <c r="AC2159" s="3" t="n">
        <v>-1.359592239907447</v>
      </c>
      <c r="AD2159" s="3" t="n">
        <v>-0.8590307616172953</v>
      </c>
      <c r="AE2159" s="3" t="n">
        <v>-0.8590307616172953</v>
      </c>
    </row>
    <row r="2160">
      <c r="A2160" s="3" t="inlineStr">
        <is>
          <t>TUN.distn.dec.ove.mean.1</t>
        </is>
      </c>
      <c r="B2160" s="3" t="inlineStr">
        <is>
          <t>TUN</t>
        </is>
      </c>
      <c r="C2160" s="3" t="n">
        <v>2005</v>
      </c>
      <c r="D2160" s="3" t="inlineStr">
        <is>
          <t>Overall</t>
        </is>
      </c>
      <c r="E2160" s="3" t="inlineStr">
        <is>
          <t>Deciles</t>
        </is>
      </c>
      <c r="F2160" s="3" t="inlineStr">
        <is>
          <t>mean</t>
        </is>
      </c>
      <c r="G2160" s="3" t="n">
        <v>1</v>
      </c>
      <c r="H2160" s="3" t="n">
        <v>-0.7902569174766541</v>
      </c>
      <c r="I2160" s="3" t="n">
        <v>-0.7902569174766541</v>
      </c>
      <c r="J2160" s="3" t="n">
        <v>-0.9005137085914612</v>
      </c>
      <c r="K2160" s="3" t="n">
        <v>-0.9005137085914612</v>
      </c>
      <c r="L2160" s="3" t="n">
        <v>-0.7902569174766541</v>
      </c>
      <c r="M2160" s="3" t="n">
        <v>-0.7902569174766541</v>
      </c>
      <c r="N2160" s="3" t="n">
        <v>-0.7902569174766541</v>
      </c>
      <c r="O2160" s="3" t="n">
        <v>-0.7902569174766541</v>
      </c>
      <c r="P2160" s="3" t="n">
        <v>-0.7902569174766541</v>
      </c>
      <c r="Q2160" s="3" t="n">
        <v>-0.7902569174766541</v>
      </c>
      <c r="R2160" s="3" t="n">
        <v>-0.7744752764701843</v>
      </c>
      <c r="S2160" s="3" t="n">
        <v>-1.484339356422424</v>
      </c>
      <c r="T2160" s="3" t="n">
        <v>-0.7104546427726746</v>
      </c>
      <c r="U2160" s="3" t="n">
        <v>-0.9005137085914612</v>
      </c>
      <c r="V2160" s="3" t="n">
        <v>-0.6849652528762817</v>
      </c>
      <c r="W2160" s="3" t="n">
        <v>-0.6261836886405945</v>
      </c>
      <c r="X2160" s="3" t="n">
        <v>-1.426881074905396</v>
      </c>
      <c r="Y2160" s="3" t="n">
        <v>-0.7902569174766541</v>
      </c>
      <c r="Z2160" s="3" t="n">
        <v>-1.484339356422424</v>
      </c>
      <c r="AA2160" s="3" t="n">
        <v>-1.484339356422424</v>
      </c>
      <c r="AB2160" s="3" t="n">
        <v>-1.426881074905396</v>
      </c>
      <c r="AC2160" s="3" t="n">
        <v>-2.310929536819458</v>
      </c>
      <c r="AD2160" s="3" t="n">
        <v>-0.9005137085914612</v>
      </c>
      <c r="AE2160" s="3" t="n">
        <v>-0.9005137085914612</v>
      </c>
    </row>
    <row r="2161">
      <c r="A2161" s="3" t="inlineStr">
        <is>
          <t>TUN.distn.dec.ove.mean.2</t>
        </is>
      </c>
      <c r="B2161" s="3" t="inlineStr">
        <is>
          <t>TUN</t>
        </is>
      </c>
      <c r="C2161" s="3" t="n">
        <v>2005</v>
      </c>
      <c r="D2161" s="3" t="inlineStr">
        <is>
          <t>Overall</t>
        </is>
      </c>
      <c r="E2161" s="3" t="inlineStr">
        <is>
          <t>Deciles</t>
        </is>
      </c>
      <c r="F2161" s="3" t="inlineStr">
        <is>
          <t>mean</t>
        </is>
      </c>
      <c r="G2161" s="3" t="n">
        <v>2</v>
      </c>
      <c r="H2161" s="3" t="n">
        <v>-0.7902569174766541</v>
      </c>
      <c r="I2161" s="3" t="n">
        <v>-0.7902569174766541</v>
      </c>
      <c r="J2161" s="3" t="n">
        <v>-0.9005137085914612</v>
      </c>
      <c r="K2161" s="3" t="n">
        <v>-0.9005137085914612</v>
      </c>
      <c r="L2161" s="3" t="n">
        <v>-0.7902569174766541</v>
      </c>
      <c r="M2161" s="3" t="n">
        <v>-0.7902569174766541</v>
      </c>
      <c r="N2161" s="3" t="n">
        <v>-0.7902569174766541</v>
      </c>
      <c r="O2161" s="3" t="n">
        <v>-0.7902569174766541</v>
      </c>
      <c r="P2161" s="3" t="n">
        <v>-0.7902569174766541</v>
      </c>
      <c r="Q2161" s="3" t="n">
        <v>-0.7902569174766541</v>
      </c>
      <c r="R2161" s="3" t="n">
        <v>-0.7744752764701843</v>
      </c>
      <c r="S2161" s="3" t="n">
        <v>-1.484339356422424</v>
      </c>
      <c r="T2161" s="3" t="n">
        <v>-0.7104546427726746</v>
      </c>
      <c r="U2161" s="3" t="n">
        <v>-0.9005137085914612</v>
      </c>
      <c r="V2161" s="3" t="n">
        <v>-0.6849652528762817</v>
      </c>
      <c r="W2161" s="3" t="n">
        <v>-0.6261836886405945</v>
      </c>
      <c r="X2161" s="3" t="n">
        <v>-1.426881074905396</v>
      </c>
      <c r="Y2161" s="3" t="n">
        <v>-0.7902569174766541</v>
      </c>
      <c r="Z2161" s="3" t="n">
        <v>-1.484339356422424</v>
      </c>
      <c r="AA2161" s="3" t="n">
        <v>-1.484339356422424</v>
      </c>
      <c r="AB2161" s="3" t="n">
        <v>-1.426881074905396</v>
      </c>
      <c r="AC2161" s="3" t="n">
        <v>-2.310929536819458</v>
      </c>
      <c r="AD2161" s="3" t="n">
        <v>-0.9005137085914612</v>
      </c>
      <c r="AE2161" s="3" t="n">
        <v>-0.9005137085914612</v>
      </c>
    </row>
    <row r="2162">
      <c r="A2162" s="3" t="inlineStr">
        <is>
          <t>TUN.distn.dec.ove.mean.3</t>
        </is>
      </c>
      <c r="B2162" s="3" t="inlineStr">
        <is>
          <t>TUN</t>
        </is>
      </c>
      <c r="C2162" s="3" t="n">
        <v>2005</v>
      </c>
      <c r="D2162" s="3" t="inlineStr">
        <is>
          <t>Overall</t>
        </is>
      </c>
      <c r="E2162" s="3" t="inlineStr">
        <is>
          <t>Deciles</t>
        </is>
      </c>
      <c r="F2162" s="3" t="inlineStr">
        <is>
          <t>mean</t>
        </is>
      </c>
      <c r="G2162" s="3" t="n">
        <v>3</v>
      </c>
      <c r="H2162" s="3" t="n">
        <v>-0.7902569174766541</v>
      </c>
      <c r="I2162" s="3" t="n">
        <v>-0.7902569174766541</v>
      </c>
      <c r="J2162" s="3" t="n">
        <v>-0.9005137085914612</v>
      </c>
      <c r="K2162" s="3" t="n">
        <v>-0.9005137085914612</v>
      </c>
      <c r="L2162" s="3" t="n">
        <v>-0.7902569174766541</v>
      </c>
      <c r="M2162" s="3" t="n">
        <v>-0.7902569174766541</v>
      </c>
      <c r="N2162" s="3" t="n">
        <v>-0.7902569174766541</v>
      </c>
      <c r="O2162" s="3" t="n">
        <v>-0.7902569174766541</v>
      </c>
      <c r="P2162" s="3" t="n">
        <v>-0.7902569174766541</v>
      </c>
      <c r="Q2162" s="3" t="n">
        <v>-0.7902569174766541</v>
      </c>
      <c r="R2162" s="3" t="n">
        <v>-0.7744752764701843</v>
      </c>
      <c r="S2162" s="3" t="n">
        <v>-1.484339356422424</v>
      </c>
      <c r="T2162" s="3" t="n">
        <v>-0.7104546427726746</v>
      </c>
      <c r="U2162" s="3" t="n">
        <v>-0.9005137085914612</v>
      </c>
      <c r="V2162" s="3" t="n">
        <v>-0.6849652528762817</v>
      </c>
      <c r="W2162" s="3" t="n">
        <v>-0.6261836886405945</v>
      </c>
      <c r="X2162" s="3" t="n">
        <v>-1.426881074905396</v>
      </c>
      <c r="Y2162" s="3" t="n">
        <v>-0.7902569174766541</v>
      </c>
      <c r="Z2162" s="3" t="n">
        <v>-1.484339356422424</v>
      </c>
      <c r="AA2162" s="3" t="n">
        <v>-1.484339356422424</v>
      </c>
      <c r="AB2162" s="3" t="n">
        <v>-1.426881074905396</v>
      </c>
      <c r="AC2162" s="3" t="n">
        <v>-2.310929536819458</v>
      </c>
      <c r="AD2162" s="3" t="n">
        <v>-0.9005137085914612</v>
      </c>
      <c r="AE2162" s="3" t="n">
        <v>-0.9005137085914612</v>
      </c>
    </row>
    <row r="2163">
      <c r="A2163" s="3" t="inlineStr">
        <is>
          <t>TUN.distn.dec.ove.mean.4</t>
        </is>
      </c>
      <c r="B2163" s="3" t="inlineStr">
        <is>
          <t>TUN</t>
        </is>
      </c>
      <c r="C2163" s="3" t="n">
        <v>2005</v>
      </c>
      <c r="D2163" s="3" t="inlineStr">
        <is>
          <t>Overall</t>
        </is>
      </c>
      <c r="E2163" s="3" t="inlineStr">
        <is>
          <t>Deciles</t>
        </is>
      </c>
      <c r="F2163" s="3" t="inlineStr">
        <is>
          <t>mean</t>
        </is>
      </c>
      <c r="G2163" s="3" t="n">
        <v>4</v>
      </c>
      <c r="H2163" s="3" t="n">
        <v>-0.7839999794960022</v>
      </c>
      <c r="I2163" s="3" t="n">
        <v>-0.7839999794960022</v>
      </c>
      <c r="J2163" s="3" t="n">
        <v>-0.8569999933242798</v>
      </c>
      <c r="K2163" s="3" t="n">
        <v>-0.8569999933242798</v>
      </c>
      <c r="L2163" s="3" t="n">
        <v>-0.7839999794960022</v>
      </c>
      <c r="M2163" s="3" t="n">
        <v>-0.7839999794960022</v>
      </c>
      <c r="N2163" s="3" t="n">
        <v>-0.7839999794960022</v>
      </c>
      <c r="O2163" s="3" t="n">
        <v>-0.7839999794960022</v>
      </c>
      <c r="P2163" s="3" t="n">
        <v>-0.7839999794960022</v>
      </c>
      <c r="Q2163" s="3" t="n">
        <v>-0.7839999794960022</v>
      </c>
      <c r="R2163" s="3" t="n">
        <v>-0.7710000276565552</v>
      </c>
      <c r="S2163" s="3" t="n">
        <v>-1.011000037193298</v>
      </c>
      <c r="T2163" s="3" t="n">
        <v>-0.7089999914169312</v>
      </c>
      <c r="U2163" s="3" t="n">
        <v>-0.8569999933242798</v>
      </c>
      <c r="V2163" s="3" t="n">
        <v>-0.6779999732971191</v>
      </c>
      <c r="W2163" s="3" t="n">
        <v>-0.5270000100135803</v>
      </c>
      <c r="X2163" s="3" t="n">
        <v>-1.006999969482422</v>
      </c>
      <c r="Y2163" s="3" t="n">
        <v>-0.7839999794960022</v>
      </c>
      <c r="Z2163" s="3" t="n">
        <v>-1.011000037193298</v>
      </c>
      <c r="AA2163" s="3" t="n">
        <v>-1.011000037193298</v>
      </c>
      <c r="AB2163" s="3" t="n">
        <v>-1.006999969482422</v>
      </c>
      <c r="AC2163" s="3" t="n">
        <v>-1.116000056266785</v>
      </c>
      <c r="AD2163" s="3" t="n">
        <v>-0.8569999933242798</v>
      </c>
      <c r="AE2163" s="3" t="n">
        <v>-0.8569999933242798</v>
      </c>
    </row>
    <row r="2164">
      <c r="A2164" s="3" t="inlineStr">
        <is>
          <t>TUN.distn.dec.ove.mean.5</t>
        </is>
      </c>
      <c r="B2164" s="3" t="inlineStr">
        <is>
          <t>TUN</t>
        </is>
      </c>
      <c r="C2164" s="3" t="n">
        <v>2005</v>
      </c>
      <c r="D2164" s="3" t="inlineStr">
        <is>
          <t>Overall</t>
        </is>
      </c>
      <c r="E2164" s="3" t="inlineStr">
        <is>
          <t>Deciles</t>
        </is>
      </c>
      <c r="F2164" s="3" t="inlineStr">
        <is>
          <t>mean</t>
        </is>
      </c>
      <c r="G2164" s="3" t="n">
        <v>5</v>
      </c>
      <c r="H2164" s="3" t="n">
        <v>-0.7839999794960022</v>
      </c>
      <c r="I2164" s="3" t="n">
        <v>-0.7839999794960022</v>
      </c>
      <c r="J2164" s="3" t="n">
        <v>-0.8569999933242798</v>
      </c>
      <c r="K2164" s="3" t="n">
        <v>-0.8569999933242798</v>
      </c>
      <c r="L2164" s="3" t="n">
        <v>-0.7839999794960022</v>
      </c>
      <c r="M2164" s="3" t="n">
        <v>-0.7839999794960022</v>
      </c>
      <c r="N2164" s="3" t="n">
        <v>-0.7839999794960022</v>
      </c>
      <c r="O2164" s="3" t="n">
        <v>-0.7839999794960022</v>
      </c>
      <c r="P2164" s="3" t="n">
        <v>-0.7839999794960022</v>
      </c>
      <c r="Q2164" s="3" t="n">
        <v>-0.7839999794960022</v>
      </c>
      <c r="R2164" s="3" t="n">
        <v>-0.7710000276565552</v>
      </c>
      <c r="S2164" s="3" t="n">
        <v>-1.011000037193298</v>
      </c>
      <c r="T2164" s="3" t="n">
        <v>-0.7089999914169312</v>
      </c>
      <c r="U2164" s="3" t="n">
        <v>-0.8569999933242798</v>
      </c>
      <c r="V2164" s="3" t="n">
        <v>-0.6779999732971191</v>
      </c>
      <c r="W2164" s="3" t="n">
        <v>-0.5270000100135803</v>
      </c>
      <c r="X2164" s="3" t="n">
        <v>-1.006999969482422</v>
      </c>
      <c r="Y2164" s="3" t="n">
        <v>-0.7839999794960022</v>
      </c>
      <c r="Z2164" s="3" t="n">
        <v>-1.011000037193298</v>
      </c>
      <c r="AA2164" s="3" t="n">
        <v>-1.011000037193298</v>
      </c>
      <c r="AB2164" s="3" t="n">
        <v>-1.006999969482422</v>
      </c>
      <c r="AC2164" s="3" t="n">
        <v>-1.116000056266785</v>
      </c>
      <c r="AD2164" s="3" t="n">
        <v>-0.8569999933242798</v>
      </c>
      <c r="AE2164" s="3" t="n">
        <v>-0.8569999933242798</v>
      </c>
    </row>
    <row r="2165">
      <c r="A2165" s="3" t="inlineStr">
        <is>
          <t>TUN.distn.dec.ove.mean.6</t>
        </is>
      </c>
      <c r="B2165" s="3" t="inlineStr">
        <is>
          <t>TUN</t>
        </is>
      </c>
      <c r="C2165" s="3" t="n">
        <v>2005</v>
      </c>
      <c r="D2165" s="3" t="inlineStr">
        <is>
          <t>Overall</t>
        </is>
      </c>
      <c r="E2165" s="3" t="inlineStr">
        <is>
          <t>Deciles</t>
        </is>
      </c>
      <c r="F2165" s="3" t="inlineStr">
        <is>
          <t>mean</t>
        </is>
      </c>
      <c r="G2165" s="3" t="n">
        <v>6</v>
      </c>
      <c r="H2165" s="3" t="n">
        <v>-0.7839999794960022</v>
      </c>
      <c r="I2165" s="3" t="n">
        <v>-0.7839999794960022</v>
      </c>
      <c r="J2165" s="3" t="n">
        <v>-0.8569999933242798</v>
      </c>
      <c r="K2165" s="3" t="n">
        <v>-0.8569999933242798</v>
      </c>
      <c r="L2165" s="3" t="n">
        <v>-0.7839999794960022</v>
      </c>
      <c r="M2165" s="3" t="n">
        <v>-0.7839999794960022</v>
      </c>
      <c r="N2165" s="3" t="n">
        <v>-0.7839999794960022</v>
      </c>
      <c r="O2165" s="3" t="n">
        <v>-0.7839999794960022</v>
      </c>
      <c r="P2165" s="3" t="n">
        <v>-0.7839999794960022</v>
      </c>
      <c r="Q2165" s="3" t="n">
        <v>-0.7839999794960022</v>
      </c>
      <c r="R2165" s="3" t="n">
        <v>-0.7710000276565552</v>
      </c>
      <c r="S2165" s="3" t="n">
        <v>-1.011000037193298</v>
      </c>
      <c r="T2165" s="3" t="n">
        <v>-0.7089999914169312</v>
      </c>
      <c r="U2165" s="3" t="n">
        <v>-0.8569999933242798</v>
      </c>
      <c r="V2165" s="3" t="n">
        <v>-0.6779999732971191</v>
      </c>
      <c r="W2165" s="3" t="n">
        <v>-0.5270000100135803</v>
      </c>
      <c r="X2165" s="3" t="n">
        <v>-1.006999969482422</v>
      </c>
      <c r="Y2165" s="3" t="n">
        <v>-0.7839999794960022</v>
      </c>
      <c r="Z2165" s="3" t="n">
        <v>-1.011000037193298</v>
      </c>
      <c r="AA2165" s="3" t="n">
        <v>-1.011000037193298</v>
      </c>
      <c r="AB2165" s="3" t="n">
        <v>-1.006999969482422</v>
      </c>
      <c r="AC2165" s="3" t="n">
        <v>-1.116000056266785</v>
      </c>
      <c r="AD2165" s="3" t="n">
        <v>-0.8569999933242798</v>
      </c>
      <c r="AE2165" s="3" t="n">
        <v>-0.8569999933242798</v>
      </c>
    </row>
    <row r="2166">
      <c r="A2166" s="3" t="inlineStr">
        <is>
          <t>TUN.distn.dec.ove.mean.7</t>
        </is>
      </c>
      <c r="B2166" s="3" t="inlineStr">
        <is>
          <t>TUN</t>
        </is>
      </c>
      <c r="C2166" s="3" t="n">
        <v>2005</v>
      </c>
      <c r="D2166" s="3" t="inlineStr">
        <is>
          <t>Overall</t>
        </is>
      </c>
      <c r="E2166" s="3" t="inlineStr">
        <is>
          <t>Deciles</t>
        </is>
      </c>
      <c r="F2166" s="3" t="inlineStr">
        <is>
          <t>mean</t>
        </is>
      </c>
      <c r="G2166" s="3" t="n">
        <v>7</v>
      </c>
      <c r="H2166" s="3" t="n">
        <v>-0.7839999794960022</v>
      </c>
      <c r="I2166" s="3" t="n">
        <v>-0.7839999794960022</v>
      </c>
      <c r="J2166" s="3" t="n">
        <v>-0.8569999933242798</v>
      </c>
      <c r="K2166" s="3" t="n">
        <v>-0.8569999933242798</v>
      </c>
      <c r="L2166" s="3" t="n">
        <v>-0.7839999794960022</v>
      </c>
      <c r="M2166" s="3" t="n">
        <v>-0.7839999794960022</v>
      </c>
      <c r="N2166" s="3" t="n">
        <v>-0.7839999794960022</v>
      </c>
      <c r="O2166" s="3" t="n">
        <v>-0.7839999794960022</v>
      </c>
      <c r="P2166" s="3" t="n">
        <v>-0.7839999794960022</v>
      </c>
      <c r="Q2166" s="3" t="n">
        <v>-0.7839999794960022</v>
      </c>
      <c r="R2166" s="3" t="n">
        <v>-0.7710000276565552</v>
      </c>
      <c r="S2166" s="3" t="n">
        <v>-1.011000037193298</v>
      </c>
      <c r="T2166" s="3" t="n">
        <v>-0.7089999914169312</v>
      </c>
      <c r="U2166" s="3" t="n">
        <v>-0.8569999933242798</v>
      </c>
      <c r="V2166" s="3" t="n">
        <v>-0.6779999732971191</v>
      </c>
      <c r="W2166" s="3" t="n">
        <v>-0.5270000100135803</v>
      </c>
      <c r="X2166" s="3" t="n">
        <v>-1.006999969482422</v>
      </c>
      <c r="Y2166" s="3" t="n">
        <v>-0.7839999794960022</v>
      </c>
      <c r="Z2166" s="3" t="n">
        <v>-1.011000037193298</v>
      </c>
      <c r="AA2166" s="3" t="n">
        <v>-1.011000037193298</v>
      </c>
      <c r="AB2166" s="3" t="n">
        <v>-1.006999969482422</v>
      </c>
      <c r="AC2166" s="3" t="n">
        <v>-1.116000056266785</v>
      </c>
      <c r="AD2166" s="3" t="n">
        <v>-0.8569999933242798</v>
      </c>
      <c r="AE2166" s="3" t="n">
        <v>-0.8569999933242798</v>
      </c>
    </row>
    <row r="2167">
      <c r="A2167" s="3" t="inlineStr">
        <is>
          <t>TUN.distn.dec.ove.mean.8</t>
        </is>
      </c>
      <c r="B2167" s="3" t="inlineStr">
        <is>
          <t>TUN</t>
        </is>
      </c>
      <c r="C2167" s="3" t="n">
        <v>2005</v>
      </c>
      <c r="D2167" s="3" t="inlineStr">
        <is>
          <t>Overall</t>
        </is>
      </c>
      <c r="E2167" s="3" t="inlineStr">
        <is>
          <t>Deciles</t>
        </is>
      </c>
      <c r="F2167" s="3" t="inlineStr">
        <is>
          <t>mean</t>
        </is>
      </c>
      <c r="G2167" s="3" t="n">
        <v>8</v>
      </c>
      <c r="H2167" s="3" t="n">
        <v>-0.7843776941299438</v>
      </c>
      <c r="I2167" s="3" t="n">
        <v>-0.7843776941299438</v>
      </c>
      <c r="J2167" s="3" t="n">
        <v>-0.8593118190765381</v>
      </c>
      <c r="K2167" s="3" t="n">
        <v>-0.8593118190765381</v>
      </c>
      <c r="L2167" s="3" t="n">
        <v>-0.7843776941299438</v>
      </c>
      <c r="M2167" s="3" t="n">
        <v>-0.7843776941299438</v>
      </c>
      <c r="N2167" s="3" t="n">
        <v>-0.7843776941299438</v>
      </c>
      <c r="O2167" s="3" t="n">
        <v>-0.7843776941299438</v>
      </c>
      <c r="P2167" s="3" t="n">
        <v>-0.7843776941299438</v>
      </c>
      <c r="Q2167" s="3" t="n">
        <v>-0.7843776941299438</v>
      </c>
      <c r="R2167" s="3" t="n">
        <v>-0.7712535858154297</v>
      </c>
      <c r="S2167" s="3" t="n">
        <v>-1.020407438278198</v>
      </c>
      <c r="T2167" s="3" t="n">
        <v>-0.7090408802032471</v>
      </c>
      <c r="U2167" s="3" t="n">
        <v>-0.8593118190765381</v>
      </c>
      <c r="V2167" s="3" t="n">
        <v>-0.6787009239196777</v>
      </c>
      <c r="W2167" s="3" t="n">
        <v>-0.5411124229431152</v>
      </c>
      <c r="X2167" s="3" t="n">
        <v>-1.016175746917725</v>
      </c>
      <c r="Y2167" s="3" t="n">
        <v>-0.7843776941299438</v>
      </c>
      <c r="Z2167" s="3" t="n">
        <v>-1.020407438278198</v>
      </c>
      <c r="AA2167" s="3" t="n">
        <v>-1.020407438278198</v>
      </c>
      <c r="AB2167" s="3" t="n">
        <v>-1.016175746917725</v>
      </c>
      <c r="AC2167" s="3" t="n">
        <v>-1.131915688514709</v>
      </c>
      <c r="AD2167" s="3" t="n">
        <v>-0.8593118190765381</v>
      </c>
      <c r="AE2167" s="3" t="n">
        <v>-0.8593118190765381</v>
      </c>
    </row>
    <row r="2168">
      <c r="A2168" s="3" t="inlineStr">
        <is>
          <t>TUN.distn.dec.ove.mean.9</t>
        </is>
      </c>
      <c r="B2168" s="3" t="inlineStr">
        <is>
          <t>TUN</t>
        </is>
      </c>
      <c r="C2168" s="3" t="n">
        <v>2005</v>
      </c>
      <c r="D2168" s="3" t="inlineStr">
        <is>
          <t>Overall</t>
        </is>
      </c>
      <c r="E2168" s="3" t="inlineStr">
        <is>
          <t>Deciles</t>
        </is>
      </c>
      <c r="F2168" s="3" t="inlineStr">
        <is>
          <t>mean</t>
        </is>
      </c>
      <c r="G2168" s="3" t="n">
        <v>9</v>
      </c>
      <c r="H2168" s="3" t="n">
        <v>-0.7843776941299438</v>
      </c>
      <c r="I2168" s="3" t="n">
        <v>-0.7843776941299438</v>
      </c>
      <c r="J2168" s="3" t="n">
        <v>-0.8593118190765381</v>
      </c>
      <c r="K2168" s="3" t="n">
        <v>-0.8593118190765381</v>
      </c>
      <c r="L2168" s="3" t="n">
        <v>-0.7843776941299438</v>
      </c>
      <c r="M2168" s="3" t="n">
        <v>-0.7843776941299438</v>
      </c>
      <c r="N2168" s="3" t="n">
        <v>-0.7843776941299438</v>
      </c>
      <c r="O2168" s="3" t="n">
        <v>-0.7843776941299438</v>
      </c>
      <c r="P2168" s="3" t="n">
        <v>-0.7843776941299438</v>
      </c>
      <c r="Q2168" s="3" t="n">
        <v>-0.7843776941299438</v>
      </c>
      <c r="R2168" s="3" t="n">
        <v>-0.7712535858154297</v>
      </c>
      <c r="S2168" s="3" t="n">
        <v>-1.020407438278198</v>
      </c>
      <c r="T2168" s="3" t="n">
        <v>-0.7090408802032471</v>
      </c>
      <c r="U2168" s="3" t="n">
        <v>-0.8593118190765381</v>
      </c>
      <c r="V2168" s="3" t="n">
        <v>-0.6787009239196777</v>
      </c>
      <c r="W2168" s="3" t="n">
        <v>-0.5411124229431152</v>
      </c>
      <c r="X2168" s="3" t="n">
        <v>-1.016175746917725</v>
      </c>
      <c r="Y2168" s="3" t="n">
        <v>-0.7843776941299438</v>
      </c>
      <c r="Z2168" s="3" t="n">
        <v>-1.020407438278198</v>
      </c>
      <c r="AA2168" s="3" t="n">
        <v>-1.020407438278198</v>
      </c>
      <c r="AB2168" s="3" t="n">
        <v>-1.016175746917725</v>
      </c>
      <c r="AC2168" s="3" t="n">
        <v>-1.131915688514709</v>
      </c>
      <c r="AD2168" s="3" t="n">
        <v>-0.8593118190765381</v>
      </c>
      <c r="AE2168" s="3" t="n">
        <v>-0.8593118190765381</v>
      </c>
    </row>
    <row r="2169">
      <c r="A2169" s="3" t="inlineStr">
        <is>
          <t>TUN.distn.dec.ove.mean.10</t>
        </is>
      </c>
      <c r="B2169" s="3" t="inlineStr">
        <is>
          <t>TUN</t>
        </is>
      </c>
      <c r="C2169" s="3" t="n">
        <v>2005</v>
      </c>
      <c r="D2169" s="3" t="inlineStr">
        <is>
          <t>Overall</t>
        </is>
      </c>
      <c r="E2169" s="3" t="inlineStr">
        <is>
          <t>Deciles</t>
        </is>
      </c>
      <c r="F2169" s="3" t="inlineStr">
        <is>
          <t>mean</t>
        </is>
      </c>
      <c r="G2169" s="3" t="n">
        <v>10</v>
      </c>
      <c r="H2169" s="3" t="n">
        <v>-0.7843776941299438</v>
      </c>
      <c r="I2169" s="3" t="n">
        <v>-0.7843776941299438</v>
      </c>
      <c r="J2169" s="3" t="n">
        <v>-0.8593118190765381</v>
      </c>
      <c r="K2169" s="3" t="n">
        <v>-0.8593118190765381</v>
      </c>
      <c r="L2169" s="3" t="n">
        <v>-0.7843776941299438</v>
      </c>
      <c r="M2169" s="3" t="n">
        <v>-0.7843776941299438</v>
      </c>
      <c r="N2169" s="3" t="n">
        <v>-0.7843776941299438</v>
      </c>
      <c r="O2169" s="3" t="n">
        <v>-0.7843776941299438</v>
      </c>
      <c r="P2169" s="3" t="n">
        <v>-0.7843776941299438</v>
      </c>
      <c r="Q2169" s="3" t="n">
        <v>-0.7843776941299438</v>
      </c>
      <c r="R2169" s="3" t="n">
        <v>-0.7712535858154297</v>
      </c>
      <c r="S2169" s="3" t="n">
        <v>-1.020407438278198</v>
      </c>
      <c r="T2169" s="3" t="n">
        <v>-0.7090408802032471</v>
      </c>
      <c r="U2169" s="3" t="n">
        <v>-0.8593118190765381</v>
      </c>
      <c r="V2169" s="3" t="n">
        <v>-0.6787009239196777</v>
      </c>
      <c r="W2169" s="3" t="n">
        <v>-0.5411124229431152</v>
      </c>
      <c r="X2169" s="3" t="n">
        <v>-1.016175746917725</v>
      </c>
      <c r="Y2169" s="3" t="n">
        <v>-0.7843776941299438</v>
      </c>
      <c r="Z2169" s="3" t="n">
        <v>-1.020407438278198</v>
      </c>
      <c r="AA2169" s="3" t="n">
        <v>-1.020407438278198</v>
      </c>
      <c r="AB2169" s="3" t="n">
        <v>-1.016175746917725</v>
      </c>
      <c r="AC2169" s="3" t="n">
        <v>-1.131915688514709</v>
      </c>
      <c r="AD2169" s="3" t="n">
        <v>-0.8593118190765381</v>
      </c>
      <c r="AE2169" s="3" t="n">
        <v>-0.8593118190765381</v>
      </c>
    </row>
    <row r="2170">
      <c r="A2170" s="3" t="inlineStr">
        <is>
          <t>TUN.distn.bkt.ove.mean.9999</t>
        </is>
      </c>
      <c r="B2170" s="3" t="inlineStr">
        <is>
          <t>TUN</t>
        </is>
      </c>
      <c r="C2170" s="3" t="n">
        <v>2005</v>
      </c>
      <c r="D2170" s="3" t="inlineStr">
        <is>
          <t>Overall</t>
        </is>
      </c>
      <c r="E2170" s="3" t="inlineStr">
        <is>
          <t>Basket</t>
        </is>
      </c>
      <c r="F2170" s="3" t="inlineStr">
        <is>
          <t>mean</t>
        </is>
      </c>
      <c r="G2170" s="3" t="n">
        <v>9999</v>
      </c>
      <c r="H2170" s="3" t="n">
        <v>-0.7859903573989868</v>
      </c>
      <c r="I2170" s="3" t="n">
        <v>-0.7859903573989868</v>
      </c>
      <c r="J2170" s="3" t="n">
        <v>-0.8707476854324341</v>
      </c>
      <c r="K2170" s="3" t="n">
        <v>-0.8707476854324341</v>
      </c>
      <c r="L2170" s="3" t="n">
        <v>-0.7859903573989868</v>
      </c>
      <c r="M2170" s="3" t="n">
        <v>-0.7859903573989868</v>
      </c>
      <c r="N2170" s="3" t="n">
        <v>-0.7859903573989868</v>
      </c>
      <c r="O2170" s="3" t="n">
        <v>-0.7859903573989868</v>
      </c>
      <c r="P2170" s="3" t="n">
        <v>-0.7859903573989868</v>
      </c>
      <c r="Q2170" s="3" t="n">
        <v>-0.7859903573989868</v>
      </c>
      <c r="R2170" s="3" t="n">
        <v>-0.7721186876296997</v>
      </c>
      <c r="S2170" s="3" t="n">
        <v>-1.155824065208435</v>
      </c>
      <c r="T2170" s="3" t="n">
        <v>-0.7094486355781555</v>
      </c>
      <c r="U2170" s="3" t="n">
        <v>-0.8707476854324341</v>
      </c>
      <c r="V2170" s="3" t="n">
        <v>-0.6802998185157776</v>
      </c>
      <c r="W2170" s="3" t="n">
        <v>-0.5609888434410095</v>
      </c>
      <c r="X2170" s="3" t="n">
        <v>-1.135717034339905</v>
      </c>
      <c r="Y2170" s="3" t="n">
        <v>-0.7859903573989868</v>
      </c>
      <c r="Z2170" s="3" t="n">
        <v>-1.155824065208435</v>
      </c>
      <c r="AA2170" s="3" t="n">
        <v>-1.155824065208435</v>
      </c>
      <c r="AB2170" s="3" t="n">
        <v>-1.135717034339905</v>
      </c>
      <c r="AC2170" s="3" t="n">
        <v>-1.479253530502319</v>
      </c>
      <c r="AD2170" s="3" t="n">
        <v>-0.8707476854324341</v>
      </c>
      <c r="AE2170" s="3" t="n">
        <v>-0.8707476854324341</v>
      </c>
    </row>
    <row r="2171">
      <c r="A2171" s="3" t="inlineStr">
        <is>
          <t>TUR.distn.dec.ove.mean.1</t>
        </is>
      </c>
      <c r="B2171" s="3" t="inlineStr">
        <is>
          <t>TUR</t>
        </is>
      </c>
      <c r="C2171" s="3" t="n">
        <v>2005</v>
      </c>
      <c r="D2171" s="3" t="inlineStr">
        <is>
          <t>Overall</t>
        </is>
      </c>
      <c r="E2171" s="3" t="inlineStr">
        <is>
          <t>Deciles</t>
        </is>
      </c>
      <c r="F2171" s="3" t="inlineStr">
        <is>
          <t>mean</t>
        </is>
      </c>
      <c r="G2171" s="3" t="n">
        <v>1</v>
      </c>
      <c r="H2171" s="3" t="n">
        <v>-0.7892489433288574</v>
      </c>
      <c r="I2171" s="3" t="n">
        <v>-0.7892489433288574</v>
      </c>
      <c r="J2171" s="3" t="n">
        <v>-0.894209086894989</v>
      </c>
      <c r="K2171" s="3" t="n">
        <v>-0.894209086894989</v>
      </c>
      <c r="L2171" s="3" t="n">
        <v>-0.7892489433288574</v>
      </c>
      <c r="M2171" s="3" t="n">
        <v>-0.7892489433288574</v>
      </c>
      <c r="N2171" s="3" t="n">
        <v>-0.7892489433288574</v>
      </c>
      <c r="O2171" s="3" t="n">
        <v>-0.7892489433288574</v>
      </c>
      <c r="P2171" s="3" t="n">
        <v>-0.7892489433288574</v>
      </c>
      <c r="Q2171" s="3" t="n">
        <v>-0.7892489433288574</v>
      </c>
      <c r="R2171" s="3" t="n">
        <v>-0.7734707593917847</v>
      </c>
      <c r="S2171" s="3" t="n">
        <v>-1.440293669700623</v>
      </c>
      <c r="T2171" s="3" t="n">
        <v>-0.7094525694847107</v>
      </c>
      <c r="U2171" s="3" t="n">
        <v>-0.894209086894989</v>
      </c>
      <c r="V2171" s="3" t="n">
        <v>-0.6829447150230408</v>
      </c>
      <c r="W2171" s="3" t="n">
        <v>-0.6024195551872253</v>
      </c>
      <c r="X2171" s="3" t="n">
        <v>-1.385789155960083</v>
      </c>
      <c r="Y2171" s="3" t="n">
        <v>-0.7892489433288574</v>
      </c>
      <c r="Z2171" s="3" t="n">
        <v>-1.440293669700623</v>
      </c>
      <c r="AA2171" s="3" t="n">
        <v>-1.440293669700623</v>
      </c>
      <c r="AB2171" s="3" t="n">
        <v>-1.385789155960083</v>
      </c>
      <c r="AC2171" s="3" t="n">
        <v>-2.199110269546509</v>
      </c>
      <c r="AD2171" s="3" t="n">
        <v>-0.894209086894989</v>
      </c>
      <c r="AE2171" s="3" t="n">
        <v>-0.894209086894989</v>
      </c>
    </row>
    <row r="2172">
      <c r="A2172" s="3" t="inlineStr">
        <is>
          <t>TUR.distn.dec.ove.mean.2</t>
        </is>
      </c>
      <c r="B2172" s="3" t="inlineStr">
        <is>
          <t>TUR</t>
        </is>
      </c>
      <c r="C2172" s="3" t="n">
        <v>2005</v>
      </c>
      <c r="D2172" s="3" t="inlineStr">
        <is>
          <t>Overall</t>
        </is>
      </c>
      <c r="E2172" s="3" t="inlineStr">
        <is>
          <t>Deciles</t>
        </is>
      </c>
      <c r="F2172" s="3" t="inlineStr">
        <is>
          <t>mean</t>
        </is>
      </c>
      <c r="G2172" s="3" t="n">
        <v>2</v>
      </c>
      <c r="H2172" s="3" t="n">
        <v>-0.7892489433288574</v>
      </c>
      <c r="I2172" s="3" t="n">
        <v>-0.7892489433288574</v>
      </c>
      <c r="J2172" s="3" t="n">
        <v>-0.894209086894989</v>
      </c>
      <c r="K2172" s="3" t="n">
        <v>-0.894209086894989</v>
      </c>
      <c r="L2172" s="3" t="n">
        <v>-0.7892489433288574</v>
      </c>
      <c r="M2172" s="3" t="n">
        <v>-0.7892489433288574</v>
      </c>
      <c r="N2172" s="3" t="n">
        <v>-0.7892489433288574</v>
      </c>
      <c r="O2172" s="3" t="n">
        <v>-0.7892489433288574</v>
      </c>
      <c r="P2172" s="3" t="n">
        <v>-0.7892489433288574</v>
      </c>
      <c r="Q2172" s="3" t="n">
        <v>-0.7892489433288574</v>
      </c>
      <c r="R2172" s="3" t="n">
        <v>-0.7734707593917847</v>
      </c>
      <c r="S2172" s="3" t="n">
        <v>-1.440293669700623</v>
      </c>
      <c r="T2172" s="3" t="n">
        <v>-0.7094525694847107</v>
      </c>
      <c r="U2172" s="3" t="n">
        <v>-0.894209086894989</v>
      </c>
      <c r="V2172" s="3" t="n">
        <v>-0.6829447150230408</v>
      </c>
      <c r="W2172" s="3" t="n">
        <v>-0.6024195551872253</v>
      </c>
      <c r="X2172" s="3" t="n">
        <v>-1.385789155960083</v>
      </c>
      <c r="Y2172" s="3" t="n">
        <v>-0.7892489433288574</v>
      </c>
      <c r="Z2172" s="3" t="n">
        <v>-1.440293669700623</v>
      </c>
      <c r="AA2172" s="3" t="n">
        <v>-1.440293669700623</v>
      </c>
      <c r="AB2172" s="3" t="n">
        <v>-1.385789155960083</v>
      </c>
      <c r="AC2172" s="3" t="n">
        <v>-2.199110269546509</v>
      </c>
      <c r="AD2172" s="3" t="n">
        <v>-0.894209086894989</v>
      </c>
      <c r="AE2172" s="3" t="n">
        <v>-0.894209086894989</v>
      </c>
    </row>
    <row r="2173">
      <c r="A2173" s="3" t="inlineStr">
        <is>
          <t>TUR.distn.dec.ove.mean.3</t>
        </is>
      </c>
      <c r="B2173" s="3" t="inlineStr">
        <is>
          <t>TUR</t>
        </is>
      </c>
      <c r="C2173" s="3" t="n">
        <v>2005</v>
      </c>
      <c r="D2173" s="3" t="inlineStr">
        <is>
          <t>Overall</t>
        </is>
      </c>
      <c r="E2173" s="3" t="inlineStr">
        <is>
          <t>Deciles</t>
        </is>
      </c>
      <c r="F2173" s="3" t="inlineStr">
        <is>
          <t>mean</t>
        </is>
      </c>
      <c r="G2173" s="3" t="n">
        <v>3</v>
      </c>
      <c r="H2173" s="3" t="n">
        <v>-0.7892489433288574</v>
      </c>
      <c r="I2173" s="3" t="n">
        <v>-0.7892489433288574</v>
      </c>
      <c r="J2173" s="3" t="n">
        <v>-0.894209086894989</v>
      </c>
      <c r="K2173" s="3" t="n">
        <v>-0.894209086894989</v>
      </c>
      <c r="L2173" s="3" t="n">
        <v>-0.7892489433288574</v>
      </c>
      <c r="M2173" s="3" t="n">
        <v>-0.7892489433288574</v>
      </c>
      <c r="N2173" s="3" t="n">
        <v>-0.7892489433288574</v>
      </c>
      <c r="O2173" s="3" t="n">
        <v>-0.7892489433288574</v>
      </c>
      <c r="P2173" s="3" t="n">
        <v>-0.7892489433288574</v>
      </c>
      <c r="Q2173" s="3" t="n">
        <v>-0.7892489433288574</v>
      </c>
      <c r="R2173" s="3" t="n">
        <v>-0.7734707593917847</v>
      </c>
      <c r="S2173" s="3" t="n">
        <v>-1.440293669700623</v>
      </c>
      <c r="T2173" s="3" t="n">
        <v>-0.7094525694847107</v>
      </c>
      <c r="U2173" s="3" t="n">
        <v>-0.894209086894989</v>
      </c>
      <c r="V2173" s="3" t="n">
        <v>-0.6829447150230408</v>
      </c>
      <c r="W2173" s="3" t="n">
        <v>-0.6024195551872253</v>
      </c>
      <c r="X2173" s="3" t="n">
        <v>-1.385789155960083</v>
      </c>
      <c r="Y2173" s="3" t="n">
        <v>-0.7892489433288574</v>
      </c>
      <c r="Z2173" s="3" t="n">
        <v>-1.440293669700623</v>
      </c>
      <c r="AA2173" s="3" t="n">
        <v>-1.440293669700623</v>
      </c>
      <c r="AB2173" s="3" t="n">
        <v>-1.385789155960083</v>
      </c>
      <c r="AC2173" s="3" t="n">
        <v>-2.199110269546509</v>
      </c>
      <c r="AD2173" s="3" t="n">
        <v>-0.894209086894989</v>
      </c>
      <c r="AE2173" s="3" t="n">
        <v>-0.894209086894989</v>
      </c>
    </row>
    <row r="2174">
      <c r="A2174" s="3" t="inlineStr">
        <is>
          <t>TUR.distn.dec.ove.mean.4</t>
        </is>
      </c>
      <c r="B2174" s="3" t="inlineStr">
        <is>
          <t>TUR</t>
        </is>
      </c>
      <c r="C2174" s="3" t="n">
        <v>2005</v>
      </c>
      <c r="D2174" s="3" t="inlineStr">
        <is>
          <t>Overall</t>
        </is>
      </c>
      <c r="E2174" s="3" t="inlineStr">
        <is>
          <t>Deciles</t>
        </is>
      </c>
      <c r="F2174" s="3" t="inlineStr">
        <is>
          <t>mean</t>
        </is>
      </c>
      <c r="G2174" s="3" t="n">
        <v>4</v>
      </c>
      <c r="H2174" s="3" t="n">
        <v>-0.7829999923706055</v>
      </c>
      <c r="I2174" s="3" t="n">
        <v>-0.7829999923706055</v>
      </c>
      <c r="J2174" s="3" t="n">
        <v>-0.8510000109672546</v>
      </c>
      <c r="K2174" s="3" t="n">
        <v>-0.8510000109672546</v>
      </c>
      <c r="L2174" s="3" t="n">
        <v>-0.7829999923706055</v>
      </c>
      <c r="M2174" s="3" t="n">
        <v>-0.7829999923706055</v>
      </c>
      <c r="N2174" s="3" t="n">
        <v>-0.7829999923706055</v>
      </c>
      <c r="O2174" s="3" t="n">
        <v>-0.7829999923706055</v>
      </c>
      <c r="P2174" s="3" t="n">
        <v>-0.7829999923706055</v>
      </c>
      <c r="Q2174" s="3" t="n">
        <v>-0.7829999923706055</v>
      </c>
      <c r="R2174" s="3" t="n">
        <v>-0.7699999809265137</v>
      </c>
      <c r="S2174" s="3" t="n">
        <v>-0.9810000061988831</v>
      </c>
      <c r="T2174" s="3" t="n">
        <v>-0.7080000042915344</v>
      </c>
      <c r="U2174" s="3" t="n">
        <v>-0.8510000109672546</v>
      </c>
      <c r="V2174" s="3" t="n">
        <v>-0.6759999990463257</v>
      </c>
      <c r="W2174" s="3" t="n">
        <v>-0.5070000290870667</v>
      </c>
      <c r="X2174" s="3" t="n">
        <v>-0.9779999852180481</v>
      </c>
      <c r="Y2174" s="3" t="n">
        <v>-0.7829999923706055</v>
      </c>
      <c r="Z2174" s="3" t="n">
        <v>-0.9810000061988831</v>
      </c>
      <c r="AA2174" s="3" t="n">
        <v>-0.9810000061988831</v>
      </c>
      <c r="AB2174" s="3" t="n">
        <v>-0.9779999852180481</v>
      </c>
      <c r="AC2174" s="3" t="n">
        <v>-1.062000036239624</v>
      </c>
      <c r="AD2174" s="3" t="n">
        <v>-0.8510000109672546</v>
      </c>
      <c r="AE2174" s="3" t="n">
        <v>-0.8510000109672546</v>
      </c>
    </row>
    <row r="2175">
      <c r="A2175" s="3" t="inlineStr">
        <is>
          <t>TUR.distn.dec.ove.mean.5</t>
        </is>
      </c>
      <c r="B2175" s="3" t="inlineStr">
        <is>
          <t>TUR</t>
        </is>
      </c>
      <c r="C2175" s="3" t="n">
        <v>2005</v>
      </c>
      <c r="D2175" s="3" t="inlineStr">
        <is>
          <t>Overall</t>
        </is>
      </c>
      <c r="E2175" s="3" t="inlineStr">
        <is>
          <t>Deciles</t>
        </is>
      </c>
      <c r="F2175" s="3" t="inlineStr">
        <is>
          <t>mean</t>
        </is>
      </c>
      <c r="G2175" s="3" t="n">
        <v>5</v>
      </c>
      <c r="H2175" s="3" t="n">
        <v>-0.7829999923706055</v>
      </c>
      <c r="I2175" s="3" t="n">
        <v>-0.7829999923706055</v>
      </c>
      <c r="J2175" s="3" t="n">
        <v>-0.8510000109672546</v>
      </c>
      <c r="K2175" s="3" t="n">
        <v>-0.8510000109672546</v>
      </c>
      <c r="L2175" s="3" t="n">
        <v>-0.7829999923706055</v>
      </c>
      <c r="M2175" s="3" t="n">
        <v>-0.7829999923706055</v>
      </c>
      <c r="N2175" s="3" t="n">
        <v>-0.7829999923706055</v>
      </c>
      <c r="O2175" s="3" t="n">
        <v>-0.7829999923706055</v>
      </c>
      <c r="P2175" s="3" t="n">
        <v>-0.7829999923706055</v>
      </c>
      <c r="Q2175" s="3" t="n">
        <v>-0.7829999923706055</v>
      </c>
      <c r="R2175" s="3" t="n">
        <v>-0.7699999809265137</v>
      </c>
      <c r="S2175" s="3" t="n">
        <v>-0.9810000061988831</v>
      </c>
      <c r="T2175" s="3" t="n">
        <v>-0.7080000042915344</v>
      </c>
      <c r="U2175" s="3" t="n">
        <v>-0.8510000109672546</v>
      </c>
      <c r="V2175" s="3" t="n">
        <v>-0.6759999990463257</v>
      </c>
      <c r="W2175" s="3" t="n">
        <v>-0.5070000290870667</v>
      </c>
      <c r="X2175" s="3" t="n">
        <v>-0.9779999852180481</v>
      </c>
      <c r="Y2175" s="3" t="n">
        <v>-0.7829999923706055</v>
      </c>
      <c r="Z2175" s="3" t="n">
        <v>-0.9810000061988831</v>
      </c>
      <c r="AA2175" s="3" t="n">
        <v>-0.9810000061988831</v>
      </c>
      <c r="AB2175" s="3" t="n">
        <v>-0.9779999852180481</v>
      </c>
      <c r="AC2175" s="3" t="n">
        <v>-1.062000036239624</v>
      </c>
      <c r="AD2175" s="3" t="n">
        <v>-0.8510000109672546</v>
      </c>
      <c r="AE2175" s="3" t="n">
        <v>-0.8510000109672546</v>
      </c>
    </row>
    <row r="2176">
      <c r="A2176" s="3" t="inlineStr">
        <is>
          <t>TUR.distn.dec.ove.mean.6</t>
        </is>
      </c>
      <c r="B2176" s="3" t="inlineStr">
        <is>
          <t>TUR</t>
        </is>
      </c>
      <c r="C2176" s="3" t="n">
        <v>2005</v>
      </c>
      <c r="D2176" s="3" t="inlineStr">
        <is>
          <t>Overall</t>
        </is>
      </c>
      <c r="E2176" s="3" t="inlineStr">
        <is>
          <t>Deciles</t>
        </is>
      </c>
      <c r="F2176" s="3" t="inlineStr">
        <is>
          <t>mean</t>
        </is>
      </c>
      <c r="G2176" s="3" t="n">
        <v>6</v>
      </c>
      <c r="H2176" s="3" t="n">
        <v>-0.7829999923706055</v>
      </c>
      <c r="I2176" s="3" t="n">
        <v>-0.7829999923706055</v>
      </c>
      <c r="J2176" s="3" t="n">
        <v>-0.8510000109672546</v>
      </c>
      <c r="K2176" s="3" t="n">
        <v>-0.8510000109672546</v>
      </c>
      <c r="L2176" s="3" t="n">
        <v>-0.7829999923706055</v>
      </c>
      <c r="M2176" s="3" t="n">
        <v>-0.7829999923706055</v>
      </c>
      <c r="N2176" s="3" t="n">
        <v>-0.7829999923706055</v>
      </c>
      <c r="O2176" s="3" t="n">
        <v>-0.7829999923706055</v>
      </c>
      <c r="P2176" s="3" t="n">
        <v>-0.7829999923706055</v>
      </c>
      <c r="Q2176" s="3" t="n">
        <v>-0.7829999923706055</v>
      </c>
      <c r="R2176" s="3" t="n">
        <v>-0.7699999809265137</v>
      </c>
      <c r="S2176" s="3" t="n">
        <v>-0.9810000061988831</v>
      </c>
      <c r="T2176" s="3" t="n">
        <v>-0.7080000042915344</v>
      </c>
      <c r="U2176" s="3" t="n">
        <v>-0.8510000109672546</v>
      </c>
      <c r="V2176" s="3" t="n">
        <v>-0.6759999990463257</v>
      </c>
      <c r="W2176" s="3" t="n">
        <v>-0.5070000290870667</v>
      </c>
      <c r="X2176" s="3" t="n">
        <v>-0.9779999852180481</v>
      </c>
      <c r="Y2176" s="3" t="n">
        <v>-0.7829999923706055</v>
      </c>
      <c r="Z2176" s="3" t="n">
        <v>-0.9810000061988831</v>
      </c>
      <c r="AA2176" s="3" t="n">
        <v>-0.9810000061988831</v>
      </c>
      <c r="AB2176" s="3" t="n">
        <v>-0.9779999852180481</v>
      </c>
      <c r="AC2176" s="3" t="n">
        <v>-1.062000036239624</v>
      </c>
      <c r="AD2176" s="3" t="n">
        <v>-0.8510000109672546</v>
      </c>
      <c r="AE2176" s="3" t="n">
        <v>-0.8510000109672546</v>
      </c>
    </row>
    <row r="2177">
      <c r="A2177" s="3" t="inlineStr">
        <is>
          <t>TUR.distn.dec.ove.mean.7</t>
        </is>
      </c>
      <c r="B2177" s="3" t="inlineStr">
        <is>
          <t>TUR</t>
        </is>
      </c>
      <c r="C2177" s="3" t="n">
        <v>2005</v>
      </c>
      <c r="D2177" s="3" t="inlineStr">
        <is>
          <t>Overall</t>
        </is>
      </c>
      <c r="E2177" s="3" t="inlineStr">
        <is>
          <t>Deciles</t>
        </is>
      </c>
      <c r="F2177" s="3" t="inlineStr">
        <is>
          <t>mean</t>
        </is>
      </c>
      <c r="G2177" s="3" t="n">
        <v>7</v>
      </c>
      <c r="H2177" s="3" t="n">
        <v>-0.7829999923706055</v>
      </c>
      <c r="I2177" s="3" t="n">
        <v>-0.7829999923706055</v>
      </c>
      <c r="J2177" s="3" t="n">
        <v>-0.8510000109672546</v>
      </c>
      <c r="K2177" s="3" t="n">
        <v>-0.8510000109672546</v>
      </c>
      <c r="L2177" s="3" t="n">
        <v>-0.7829999923706055</v>
      </c>
      <c r="M2177" s="3" t="n">
        <v>-0.7829999923706055</v>
      </c>
      <c r="N2177" s="3" t="n">
        <v>-0.7829999923706055</v>
      </c>
      <c r="O2177" s="3" t="n">
        <v>-0.7829999923706055</v>
      </c>
      <c r="P2177" s="3" t="n">
        <v>-0.7829999923706055</v>
      </c>
      <c r="Q2177" s="3" t="n">
        <v>-0.7829999923706055</v>
      </c>
      <c r="R2177" s="3" t="n">
        <v>-0.7699999809265137</v>
      </c>
      <c r="S2177" s="3" t="n">
        <v>-0.9810000061988831</v>
      </c>
      <c r="T2177" s="3" t="n">
        <v>-0.7080000042915344</v>
      </c>
      <c r="U2177" s="3" t="n">
        <v>-0.8510000109672546</v>
      </c>
      <c r="V2177" s="3" t="n">
        <v>-0.6759999990463257</v>
      </c>
      <c r="W2177" s="3" t="n">
        <v>-0.5070000290870667</v>
      </c>
      <c r="X2177" s="3" t="n">
        <v>-0.9779999852180481</v>
      </c>
      <c r="Y2177" s="3" t="n">
        <v>-0.7829999923706055</v>
      </c>
      <c r="Z2177" s="3" t="n">
        <v>-0.9810000061988831</v>
      </c>
      <c r="AA2177" s="3" t="n">
        <v>-0.9810000061988831</v>
      </c>
      <c r="AB2177" s="3" t="n">
        <v>-0.9779999852180481</v>
      </c>
      <c r="AC2177" s="3" t="n">
        <v>-1.062000036239624</v>
      </c>
      <c r="AD2177" s="3" t="n">
        <v>-0.8510000109672546</v>
      </c>
      <c r="AE2177" s="3" t="n">
        <v>-0.8510000109672546</v>
      </c>
    </row>
    <row r="2178">
      <c r="A2178" s="3" t="inlineStr">
        <is>
          <t>TUR.distn.dec.ove.mean.8</t>
        </is>
      </c>
      <c r="B2178" s="3" t="inlineStr">
        <is>
          <t>TUR</t>
        </is>
      </c>
      <c r="C2178" s="3" t="n">
        <v>2005</v>
      </c>
      <c r="D2178" s="3" t="inlineStr">
        <is>
          <t>Overall</t>
        </is>
      </c>
      <c r="E2178" s="3" t="inlineStr">
        <is>
          <t>Deciles</t>
        </is>
      </c>
      <c r="F2178" s="3" t="inlineStr">
        <is>
          <t>mean</t>
        </is>
      </c>
      <c r="G2178" s="3" t="n">
        <v>8</v>
      </c>
      <c r="H2178" s="3" t="n">
        <v>-0.7833772301673889</v>
      </c>
      <c r="I2178" s="3" t="n">
        <v>-0.7833772301673889</v>
      </c>
      <c r="J2178" s="3" t="n">
        <v>-0.853295624256134</v>
      </c>
      <c r="K2178" s="3" t="n">
        <v>-0.853295624256134</v>
      </c>
      <c r="L2178" s="3" t="n">
        <v>-0.7833772301673889</v>
      </c>
      <c r="M2178" s="3" t="n">
        <v>-0.7833772301673889</v>
      </c>
      <c r="N2178" s="3" t="n">
        <v>-0.7833772301673889</v>
      </c>
      <c r="O2178" s="3" t="n">
        <v>-0.7833772301673889</v>
      </c>
      <c r="P2178" s="3" t="n">
        <v>-0.7833772301673889</v>
      </c>
      <c r="Q2178" s="3" t="n">
        <v>-0.7833772301673889</v>
      </c>
      <c r="R2178" s="3" t="n">
        <v>-0.7702532410621643</v>
      </c>
      <c r="S2178" s="3" t="n">
        <v>-0.9901283383369446</v>
      </c>
      <c r="T2178" s="3" t="n">
        <v>-0.7080408334732056</v>
      </c>
      <c r="U2178" s="3" t="n">
        <v>-0.853295624256134</v>
      </c>
      <c r="V2178" s="3" t="n">
        <v>-0.6766988039016724</v>
      </c>
      <c r="W2178" s="3" t="n">
        <v>-0.5205768346786499</v>
      </c>
      <c r="X2178" s="3" t="n">
        <v>-0.9869115352630615</v>
      </c>
      <c r="Y2178" s="3" t="n">
        <v>-0.7833772301673889</v>
      </c>
      <c r="Z2178" s="3" t="n">
        <v>-0.9901283383369446</v>
      </c>
      <c r="AA2178" s="3" t="n">
        <v>-0.9901283383369446</v>
      </c>
      <c r="AB2178" s="3" t="n">
        <v>-0.9869115352630615</v>
      </c>
      <c r="AC2178" s="3" t="n">
        <v>-1.077145576477051</v>
      </c>
      <c r="AD2178" s="3" t="n">
        <v>-0.853295624256134</v>
      </c>
      <c r="AE2178" s="3" t="n">
        <v>-0.853295624256134</v>
      </c>
    </row>
    <row r="2179">
      <c r="A2179" s="3" t="inlineStr">
        <is>
          <t>TUR.distn.dec.ove.mean.9</t>
        </is>
      </c>
      <c r="B2179" s="3" t="inlineStr">
        <is>
          <t>TUR</t>
        </is>
      </c>
      <c r="C2179" s="3" t="n">
        <v>2005</v>
      </c>
      <c r="D2179" s="3" t="inlineStr">
        <is>
          <t>Overall</t>
        </is>
      </c>
      <c r="E2179" s="3" t="inlineStr">
        <is>
          <t>Deciles</t>
        </is>
      </c>
      <c r="F2179" s="3" t="inlineStr">
        <is>
          <t>mean</t>
        </is>
      </c>
      <c r="G2179" s="3" t="n">
        <v>9</v>
      </c>
      <c r="H2179" s="3" t="n">
        <v>-0.7833772301673889</v>
      </c>
      <c r="I2179" s="3" t="n">
        <v>-0.7833772301673889</v>
      </c>
      <c r="J2179" s="3" t="n">
        <v>-0.853295624256134</v>
      </c>
      <c r="K2179" s="3" t="n">
        <v>-0.853295624256134</v>
      </c>
      <c r="L2179" s="3" t="n">
        <v>-0.7833772301673889</v>
      </c>
      <c r="M2179" s="3" t="n">
        <v>-0.7833772301673889</v>
      </c>
      <c r="N2179" s="3" t="n">
        <v>-0.7833772301673889</v>
      </c>
      <c r="O2179" s="3" t="n">
        <v>-0.7833772301673889</v>
      </c>
      <c r="P2179" s="3" t="n">
        <v>-0.7833772301673889</v>
      </c>
      <c r="Q2179" s="3" t="n">
        <v>-0.7833772301673889</v>
      </c>
      <c r="R2179" s="3" t="n">
        <v>-0.7702532410621643</v>
      </c>
      <c r="S2179" s="3" t="n">
        <v>-0.9901283383369446</v>
      </c>
      <c r="T2179" s="3" t="n">
        <v>-0.7080408334732056</v>
      </c>
      <c r="U2179" s="3" t="n">
        <v>-0.853295624256134</v>
      </c>
      <c r="V2179" s="3" t="n">
        <v>-0.6766988039016724</v>
      </c>
      <c r="W2179" s="3" t="n">
        <v>-0.5205768346786499</v>
      </c>
      <c r="X2179" s="3" t="n">
        <v>-0.9869115352630615</v>
      </c>
      <c r="Y2179" s="3" t="n">
        <v>-0.7833772301673889</v>
      </c>
      <c r="Z2179" s="3" t="n">
        <v>-0.9901283383369446</v>
      </c>
      <c r="AA2179" s="3" t="n">
        <v>-0.9901283383369446</v>
      </c>
      <c r="AB2179" s="3" t="n">
        <v>-0.9869115352630615</v>
      </c>
      <c r="AC2179" s="3" t="n">
        <v>-1.077145576477051</v>
      </c>
      <c r="AD2179" s="3" t="n">
        <v>-0.853295624256134</v>
      </c>
      <c r="AE2179" s="3" t="n">
        <v>-0.853295624256134</v>
      </c>
    </row>
    <row r="2180">
      <c r="A2180" s="3" t="inlineStr">
        <is>
          <t>TUR.distn.dec.ove.mean.10</t>
        </is>
      </c>
      <c r="B2180" s="3" t="inlineStr">
        <is>
          <t>TUR</t>
        </is>
      </c>
      <c r="C2180" s="3" t="n">
        <v>2005</v>
      </c>
      <c r="D2180" s="3" t="inlineStr">
        <is>
          <t>Overall</t>
        </is>
      </c>
      <c r="E2180" s="3" t="inlineStr">
        <is>
          <t>Deciles</t>
        </is>
      </c>
      <c r="F2180" s="3" t="inlineStr">
        <is>
          <t>mean</t>
        </is>
      </c>
      <c r="G2180" s="3" t="n">
        <v>10</v>
      </c>
      <c r="H2180" s="3" t="n">
        <v>-0.7833772301673889</v>
      </c>
      <c r="I2180" s="3" t="n">
        <v>-0.7833772301673889</v>
      </c>
      <c r="J2180" s="3" t="n">
        <v>-0.853295624256134</v>
      </c>
      <c r="K2180" s="3" t="n">
        <v>-0.853295624256134</v>
      </c>
      <c r="L2180" s="3" t="n">
        <v>-0.7833772301673889</v>
      </c>
      <c r="M2180" s="3" t="n">
        <v>-0.7833772301673889</v>
      </c>
      <c r="N2180" s="3" t="n">
        <v>-0.7833772301673889</v>
      </c>
      <c r="O2180" s="3" t="n">
        <v>-0.7833772301673889</v>
      </c>
      <c r="P2180" s="3" t="n">
        <v>-0.7833772301673889</v>
      </c>
      <c r="Q2180" s="3" t="n">
        <v>-0.7833772301673889</v>
      </c>
      <c r="R2180" s="3" t="n">
        <v>-0.7702532410621643</v>
      </c>
      <c r="S2180" s="3" t="n">
        <v>-0.9901283383369446</v>
      </c>
      <c r="T2180" s="3" t="n">
        <v>-0.7080408334732056</v>
      </c>
      <c r="U2180" s="3" t="n">
        <v>-0.853295624256134</v>
      </c>
      <c r="V2180" s="3" t="n">
        <v>-0.6766988039016724</v>
      </c>
      <c r="W2180" s="3" t="n">
        <v>-0.5205768346786499</v>
      </c>
      <c r="X2180" s="3" t="n">
        <v>-0.9869115352630615</v>
      </c>
      <c r="Y2180" s="3" t="n">
        <v>-0.7833772301673889</v>
      </c>
      <c r="Z2180" s="3" t="n">
        <v>-0.9901283383369446</v>
      </c>
      <c r="AA2180" s="3" t="n">
        <v>-0.9901283383369446</v>
      </c>
      <c r="AB2180" s="3" t="n">
        <v>-0.9869115352630615</v>
      </c>
      <c r="AC2180" s="3" t="n">
        <v>-1.077145576477051</v>
      </c>
      <c r="AD2180" s="3" t="n">
        <v>-0.853295624256134</v>
      </c>
      <c r="AE2180" s="3" t="n">
        <v>-0.853295624256134</v>
      </c>
    </row>
    <row r="2181">
      <c r="A2181" s="3" t="inlineStr">
        <is>
          <t>TUR.distn.bkt.ove.mean.9999</t>
        </is>
      </c>
      <c r="B2181" s="3" t="inlineStr">
        <is>
          <t>TUR</t>
        </is>
      </c>
      <c r="C2181" s="3" t="n">
        <v>2005</v>
      </c>
      <c r="D2181" s="3" t="inlineStr">
        <is>
          <t>Overall</t>
        </is>
      </c>
      <c r="E2181" s="3" t="inlineStr">
        <is>
          <t>Basket</t>
        </is>
      </c>
      <c r="F2181" s="3" t="inlineStr">
        <is>
          <t>mean</t>
        </is>
      </c>
      <c r="G2181" s="3" t="n">
        <v>9999</v>
      </c>
      <c r="H2181" s="3" t="n">
        <v>-0.7849878668785095</v>
      </c>
      <c r="I2181" s="3" t="n">
        <v>-0.7849878668785095</v>
      </c>
      <c r="J2181" s="3" t="n">
        <v>-0.8646514415740967</v>
      </c>
      <c r="K2181" s="3" t="n">
        <v>-0.8646514415740967</v>
      </c>
      <c r="L2181" s="3" t="n">
        <v>-0.7849878668785095</v>
      </c>
      <c r="M2181" s="3" t="n">
        <v>-0.7849878668785095</v>
      </c>
      <c r="N2181" s="3" t="n">
        <v>-0.7849878668785095</v>
      </c>
      <c r="O2181" s="3" t="n">
        <v>-0.7849878668785095</v>
      </c>
      <c r="P2181" s="3" t="n">
        <v>-0.7849878668785095</v>
      </c>
      <c r="Q2181" s="3" t="n">
        <v>-0.7849878668785095</v>
      </c>
      <c r="R2181" s="3" t="n">
        <v>-0.7711172103881836</v>
      </c>
      <c r="S2181" s="3" t="n">
        <v>-1.121526598930359</v>
      </c>
      <c r="T2181" s="3" t="n">
        <v>-0.708448052406311</v>
      </c>
      <c r="U2181" s="3" t="n">
        <v>-0.8646514415740967</v>
      </c>
      <c r="V2181" s="3" t="n">
        <v>-0.6782930493354797</v>
      </c>
      <c r="W2181" s="3" t="n">
        <v>-0.5396989583969116</v>
      </c>
      <c r="X2181" s="3" t="n">
        <v>-1.103010177612305</v>
      </c>
      <c r="Y2181" s="3" t="n">
        <v>-0.7849878668785095</v>
      </c>
      <c r="Z2181" s="3" t="n">
        <v>-1.121526598930359</v>
      </c>
      <c r="AA2181" s="3" t="n">
        <v>-1.121526598930359</v>
      </c>
      <c r="AB2181" s="3" t="n">
        <v>-1.103010177612305</v>
      </c>
      <c r="AC2181" s="3" t="n">
        <v>-1.407676815986633</v>
      </c>
      <c r="AD2181" s="3" t="n">
        <v>-0.8646514415740967</v>
      </c>
      <c r="AE2181" s="3" t="n">
        <v>-0.8646514415740967</v>
      </c>
    </row>
    <row r="2182">
      <c r="A2182" s="3" t="inlineStr">
        <is>
          <t>TUV.distn.dec.ove.mean.1</t>
        </is>
      </c>
      <c r="B2182" s="3" t="inlineStr">
        <is>
          <t>TUV</t>
        </is>
      </c>
      <c r="C2182" s="3" t="n">
        <v>2005</v>
      </c>
      <c r="D2182" s="3" t="inlineStr">
        <is>
          <t>Overall</t>
        </is>
      </c>
      <c r="E2182" s="3" t="inlineStr">
        <is>
          <t>Deciles</t>
        </is>
      </c>
      <c r="F2182" s="3" t="inlineStr">
        <is>
          <t>mean</t>
        </is>
      </c>
      <c r="G2182" s="3" t="n">
        <v>1</v>
      </c>
      <c r="H2182" s="3" t="n">
        <v>-0.7898249251501901</v>
      </c>
      <c r="I2182" s="3" t="n">
        <v>-0.7898249251501901</v>
      </c>
      <c r="J2182" s="3" t="n">
        <v>-0.9006037865366254</v>
      </c>
      <c r="K2182" s="3" t="n">
        <v>-0.9006037865366254</v>
      </c>
      <c r="L2182" s="3" t="n">
        <v>-0.7898249251501901</v>
      </c>
      <c r="M2182" s="3" t="n">
        <v>-0.7898249251501901</v>
      </c>
      <c r="N2182" s="3" t="n">
        <v>-0.7898249251501901</v>
      </c>
      <c r="O2182" s="3" t="n">
        <v>-0.7898249251501901</v>
      </c>
      <c r="P2182" s="3" t="n">
        <v>-0.7898249251501901</v>
      </c>
      <c r="Q2182" s="3" t="n">
        <v>-0.7898249251501901</v>
      </c>
      <c r="R2182" s="3" t="n">
        <v>-0.7744465725762504</v>
      </c>
      <c r="S2182" s="3" t="n">
        <v>-1.490841317176819</v>
      </c>
      <c r="T2182" s="3" t="n">
        <v>-0.7100824441228594</v>
      </c>
      <c r="U2182" s="3" t="n">
        <v>-0.9006037865366254</v>
      </c>
      <c r="V2182" s="3" t="n">
        <v>-0.6846477542604719</v>
      </c>
      <c r="W2182" s="3" t="n">
        <v>-0.6204802887780326</v>
      </c>
      <c r="X2182" s="3" t="n">
        <v>-1.433480068615505</v>
      </c>
      <c r="Y2182" s="3" t="n">
        <v>-0.7898249251501901</v>
      </c>
      <c r="Z2182" s="3" t="n">
        <v>-1.490841317176819</v>
      </c>
      <c r="AA2182" s="3" t="n">
        <v>-1.490841317176819</v>
      </c>
      <c r="AB2182" s="3" t="n">
        <v>-1.433480068615505</v>
      </c>
      <c r="AC2182" s="3" t="n">
        <v>-2.345895099639892</v>
      </c>
      <c r="AD2182" s="3" t="n">
        <v>-0.9006037865366254</v>
      </c>
      <c r="AE2182" s="3" t="n">
        <v>-0.9006037865366254</v>
      </c>
    </row>
    <row r="2183">
      <c r="A2183" s="3" t="inlineStr">
        <is>
          <t>TUV.distn.dec.ove.mean.2</t>
        </is>
      </c>
      <c r="B2183" s="3" t="inlineStr">
        <is>
          <t>TUV</t>
        </is>
      </c>
      <c r="C2183" s="3" t="n">
        <v>2005</v>
      </c>
      <c r="D2183" s="3" t="inlineStr">
        <is>
          <t>Overall</t>
        </is>
      </c>
      <c r="E2183" s="3" t="inlineStr">
        <is>
          <t>Deciles</t>
        </is>
      </c>
      <c r="F2183" s="3" t="inlineStr">
        <is>
          <t>mean</t>
        </is>
      </c>
      <c r="G2183" s="3" t="n">
        <v>2</v>
      </c>
      <c r="H2183" s="3" t="n">
        <v>-0.7898249251501901</v>
      </c>
      <c r="I2183" s="3" t="n">
        <v>-0.7898249251501901</v>
      </c>
      <c r="J2183" s="3" t="n">
        <v>-0.9006037865366254</v>
      </c>
      <c r="K2183" s="3" t="n">
        <v>-0.9006037865366254</v>
      </c>
      <c r="L2183" s="3" t="n">
        <v>-0.7898249251501901</v>
      </c>
      <c r="M2183" s="3" t="n">
        <v>-0.7898249251501901</v>
      </c>
      <c r="N2183" s="3" t="n">
        <v>-0.7898249251501901</v>
      </c>
      <c r="O2183" s="3" t="n">
        <v>-0.7898249251501901</v>
      </c>
      <c r="P2183" s="3" t="n">
        <v>-0.7898249251501901</v>
      </c>
      <c r="Q2183" s="3" t="n">
        <v>-0.7898249251501901</v>
      </c>
      <c r="R2183" s="3" t="n">
        <v>-0.7744465725762504</v>
      </c>
      <c r="S2183" s="3" t="n">
        <v>-1.490841317176819</v>
      </c>
      <c r="T2183" s="3" t="n">
        <v>-0.7100824441228594</v>
      </c>
      <c r="U2183" s="3" t="n">
        <v>-0.9006037865366254</v>
      </c>
      <c r="V2183" s="3" t="n">
        <v>-0.6846477542604719</v>
      </c>
      <c r="W2183" s="3" t="n">
        <v>-0.6204802887780326</v>
      </c>
      <c r="X2183" s="3" t="n">
        <v>-1.433480068615505</v>
      </c>
      <c r="Y2183" s="3" t="n">
        <v>-0.7898249251501901</v>
      </c>
      <c r="Z2183" s="3" t="n">
        <v>-1.490841317176819</v>
      </c>
      <c r="AA2183" s="3" t="n">
        <v>-1.490841317176819</v>
      </c>
      <c r="AB2183" s="3" t="n">
        <v>-1.433480068615505</v>
      </c>
      <c r="AC2183" s="3" t="n">
        <v>-2.345895099639892</v>
      </c>
      <c r="AD2183" s="3" t="n">
        <v>-0.9006037865366254</v>
      </c>
      <c r="AE2183" s="3" t="n">
        <v>-0.9006037865366254</v>
      </c>
    </row>
    <row r="2184">
      <c r="A2184" s="3" t="inlineStr">
        <is>
          <t>TUV.distn.dec.ove.mean.3</t>
        </is>
      </c>
      <c r="B2184" s="3" t="inlineStr">
        <is>
          <t>TUV</t>
        </is>
      </c>
      <c r="C2184" s="3" t="n">
        <v>2005</v>
      </c>
      <c r="D2184" s="3" t="inlineStr">
        <is>
          <t>Overall</t>
        </is>
      </c>
      <c r="E2184" s="3" t="inlineStr">
        <is>
          <t>Deciles</t>
        </is>
      </c>
      <c r="F2184" s="3" t="inlineStr">
        <is>
          <t>mean</t>
        </is>
      </c>
      <c r="G2184" s="3" t="n">
        <v>3</v>
      </c>
      <c r="H2184" s="3" t="n">
        <v>-0.7898249251501901</v>
      </c>
      <c r="I2184" s="3" t="n">
        <v>-0.7898249251501901</v>
      </c>
      <c r="J2184" s="3" t="n">
        <v>-0.9006037865366254</v>
      </c>
      <c r="K2184" s="3" t="n">
        <v>-0.9006037865366254</v>
      </c>
      <c r="L2184" s="3" t="n">
        <v>-0.7898249251501901</v>
      </c>
      <c r="M2184" s="3" t="n">
        <v>-0.7898249251501901</v>
      </c>
      <c r="N2184" s="3" t="n">
        <v>-0.7898249251501901</v>
      </c>
      <c r="O2184" s="3" t="n">
        <v>-0.7898249251501901</v>
      </c>
      <c r="P2184" s="3" t="n">
        <v>-0.7898249251501901</v>
      </c>
      <c r="Q2184" s="3" t="n">
        <v>-0.7898249251501901</v>
      </c>
      <c r="R2184" s="3" t="n">
        <v>-0.7744465725762504</v>
      </c>
      <c r="S2184" s="3" t="n">
        <v>-1.490841317176819</v>
      </c>
      <c r="T2184" s="3" t="n">
        <v>-0.7100824441228594</v>
      </c>
      <c r="U2184" s="3" t="n">
        <v>-0.9006037865366254</v>
      </c>
      <c r="V2184" s="3" t="n">
        <v>-0.6846477542604719</v>
      </c>
      <c r="W2184" s="3" t="n">
        <v>-0.6204802887780326</v>
      </c>
      <c r="X2184" s="3" t="n">
        <v>-1.433480068615505</v>
      </c>
      <c r="Y2184" s="3" t="n">
        <v>-0.7898249251501901</v>
      </c>
      <c r="Z2184" s="3" t="n">
        <v>-1.490841317176819</v>
      </c>
      <c r="AA2184" s="3" t="n">
        <v>-1.490841317176819</v>
      </c>
      <c r="AB2184" s="3" t="n">
        <v>-1.433480068615505</v>
      </c>
      <c r="AC2184" s="3" t="n">
        <v>-2.345895099639892</v>
      </c>
      <c r="AD2184" s="3" t="n">
        <v>-0.9006037865366254</v>
      </c>
      <c r="AE2184" s="3" t="n">
        <v>-0.9006037865366254</v>
      </c>
    </row>
    <row r="2185">
      <c r="A2185" s="3" t="inlineStr">
        <is>
          <t>TUV.distn.dec.ove.mean.4</t>
        </is>
      </c>
      <c r="B2185" s="3" t="inlineStr">
        <is>
          <t>TUV</t>
        </is>
      </c>
      <c r="C2185" s="3" t="n">
        <v>2005</v>
      </c>
      <c r="D2185" s="3" t="inlineStr">
        <is>
          <t>Overall</t>
        </is>
      </c>
      <c r="E2185" s="3" t="inlineStr">
        <is>
          <t>Deciles</t>
        </is>
      </c>
      <c r="F2185" s="3" t="inlineStr">
        <is>
          <t>mean</t>
        </is>
      </c>
      <c r="G2185" s="3" t="n">
        <v>4</v>
      </c>
      <c r="H2185" s="3" t="n">
        <v>-0.7835714289120266</v>
      </c>
      <c r="I2185" s="3" t="n">
        <v>-0.7835714289120266</v>
      </c>
      <c r="J2185" s="3" t="n">
        <v>-0.8570857082094465</v>
      </c>
      <c r="K2185" s="3" t="n">
        <v>-0.8570857082094465</v>
      </c>
      <c r="L2185" s="3" t="n">
        <v>-0.7835714289120266</v>
      </c>
      <c r="M2185" s="3" t="n">
        <v>-0.7835714289120266</v>
      </c>
      <c r="N2185" s="3" t="n">
        <v>-0.7835714289120266</v>
      </c>
      <c r="O2185" s="3" t="n">
        <v>-0.7835714289120266</v>
      </c>
      <c r="P2185" s="3" t="n">
        <v>-0.7835714289120266</v>
      </c>
      <c r="Q2185" s="3" t="n">
        <v>-0.7835714289120266</v>
      </c>
      <c r="R2185" s="3" t="n">
        <v>-0.7709714361599513</v>
      </c>
      <c r="S2185" s="3" t="n">
        <v>-1.015428565229688</v>
      </c>
      <c r="T2185" s="3" t="n">
        <v>-0.708628567627498</v>
      </c>
      <c r="U2185" s="3" t="n">
        <v>-0.8570857082094465</v>
      </c>
      <c r="V2185" s="3" t="n">
        <v>-0.6776857103620256</v>
      </c>
      <c r="W2185" s="3" t="n">
        <v>-0.5221999968801226</v>
      </c>
      <c r="X2185" s="3" t="n">
        <v>-1.011657135827201</v>
      </c>
      <c r="Y2185" s="3" t="n">
        <v>-0.7835714289120266</v>
      </c>
      <c r="Z2185" s="3" t="n">
        <v>-1.015428565229688</v>
      </c>
      <c r="AA2185" s="3" t="n">
        <v>-1.015428565229688</v>
      </c>
      <c r="AB2185" s="3" t="n">
        <v>-1.011657135827201</v>
      </c>
      <c r="AC2185" s="3" t="n">
        <v>-1.132885714939662</v>
      </c>
      <c r="AD2185" s="3" t="n">
        <v>-0.8570857082094465</v>
      </c>
      <c r="AE2185" s="3" t="n">
        <v>-0.8570857082094465</v>
      </c>
    </row>
    <row r="2186">
      <c r="A2186" s="3" t="inlineStr">
        <is>
          <t>TUV.distn.dec.ove.mean.5</t>
        </is>
      </c>
      <c r="B2186" s="3" t="inlineStr">
        <is>
          <t>TUV</t>
        </is>
      </c>
      <c r="C2186" s="3" t="n">
        <v>2005</v>
      </c>
      <c r="D2186" s="3" t="inlineStr">
        <is>
          <t>Overall</t>
        </is>
      </c>
      <c r="E2186" s="3" t="inlineStr">
        <is>
          <t>Deciles</t>
        </is>
      </c>
      <c r="F2186" s="3" t="inlineStr">
        <is>
          <t>mean</t>
        </is>
      </c>
      <c r="G2186" s="3" t="n">
        <v>5</v>
      </c>
      <c r="H2186" s="3" t="n">
        <v>-0.7835714289120266</v>
      </c>
      <c r="I2186" s="3" t="n">
        <v>-0.7835714289120266</v>
      </c>
      <c r="J2186" s="3" t="n">
        <v>-0.8570857082094465</v>
      </c>
      <c r="K2186" s="3" t="n">
        <v>-0.8570857082094465</v>
      </c>
      <c r="L2186" s="3" t="n">
        <v>-0.7835714289120266</v>
      </c>
      <c r="M2186" s="3" t="n">
        <v>-0.7835714289120266</v>
      </c>
      <c r="N2186" s="3" t="n">
        <v>-0.7835714289120266</v>
      </c>
      <c r="O2186" s="3" t="n">
        <v>-0.7835714289120266</v>
      </c>
      <c r="P2186" s="3" t="n">
        <v>-0.7835714289120266</v>
      </c>
      <c r="Q2186" s="3" t="n">
        <v>-0.7835714289120266</v>
      </c>
      <c r="R2186" s="3" t="n">
        <v>-0.7709714361599513</v>
      </c>
      <c r="S2186" s="3" t="n">
        <v>-1.015428565229688</v>
      </c>
      <c r="T2186" s="3" t="n">
        <v>-0.708628567627498</v>
      </c>
      <c r="U2186" s="3" t="n">
        <v>-0.8570857082094465</v>
      </c>
      <c r="V2186" s="3" t="n">
        <v>-0.6776857103620256</v>
      </c>
      <c r="W2186" s="3" t="n">
        <v>-0.5221999968801226</v>
      </c>
      <c r="X2186" s="3" t="n">
        <v>-1.011657135827201</v>
      </c>
      <c r="Y2186" s="3" t="n">
        <v>-0.7835714289120266</v>
      </c>
      <c r="Z2186" s="3" t="n">
        <v>-1.015428565229688</v>
      </c>
      <c r="AA2186" s="3" t="n">
        <v>-1.015428565229688</v>
      </c>
      <c r="AB2186" s="3" t="n">
        <v>-1.011657135827201</v>
      </c>
      <c r="AC2186" s="3" t="n">
        <v>-1.132885714939662</v>
      </c>
      <c r="AD2186" s="3" t="n">
        <v>-0.8570857082094465</v>
      </c>
      <c r="AE2186" s="3" t="n">
        <v>-0.8570857082094465</v>
      </c>
    </row>
    <row r="2187">
      <c r="A2187" s="3" t="inlineStr">
        <is>
          <t>TUV.distn.dec.ove.mean.6</t>
        </is>
      </c>
      <c r="B2187" s="3" t="inlineStr">
        <is>
          <t>TUV</t>
        </is>
      </c>
      <c r="C2187" s="3" t="n">
        <v>2005</v>
      </c>
      <c r="D2187" s="3" t="inlineStr">
        <is>
          <t>Overall</t>
        </is>
      </c>
      <c r="E2187" s="3" t="inlineStr">
        <is>
          <t>Deciles</t>
        </is>
      </c>
      <c r="F2187" s="3" t="inlineStr">
        <is>
          <t>mean</t>
        </is>
      </c>
      <c r="G2187" s="3" t="n">
        <v>6</v>
      </c>
      <c r="H2187" s="3" t="n">
        <v>-0.7835714289120266</v>
      </c>
      <c r="I2187" s="3" t="n">
        <v>-0.7835714289120266</v>
      </c>
      <c r="J2187" s="3" t="n">
        <v>-0.8570857082094465</v>
      </c>
      <c r="K2187" s="3" t="n">
        <v>-0.8570857082094465</v>
      </c>
      <c r="L2187" s="3" t="n">
        <v>-0.7835714289120266</v>
      </c>
      <c r="M2187" s="3" t="n">
        <v>-0.7835714289120266</v>
      </c>
      <c r="N2187" s="3" t="n">
        <v>-0.7835714289120266</v>
      </c>
      <c r="O2187" s="3" t="n">
        <v>-0.7835714289120266</v>
      </c>
      <c r="P2187" s="3" t="n">
        <v>-0.7835714289120266</v>
      </c>
      <c r="Q2187" s="3" t="n">
        <v>-0.7835714289120266</v>
      </c>
      <c r="R2187" s="3" t="n">
        <v>-0.7709714361599513</v>
      </c>
      <c r="S2187" s="3" t="n">
        <v>-1.015428565229688</v>
      </c>
      <c r="T2187" s="3" t="n">
        <v>-0.708628567627498</v>
      </c>
      <c r="U2187" s="3" t="n">
        <v>-0.8570857082094465</v>
      </c>
      <c r="V2187" s="3" t="n">
        <v>-0.6776857103620256</v>
      </c>
      <c r="W2187" s="3" t="n">
        <v>-0.5221999968801226</v>
      </c>
      <c r="X2187" s="3" t="n">
        <v>-1.011657135827201</v>
      </c>
      <c r="Y2187" s="3" t="n">
        <v>-0.7835714289120266</v>
      </c>
      <c r="Z2187" s="3" t="n">
        <v>-1.015428565229688</v>
      </c>
      <c r="AA2187" s="3" t="n">
        <v>-1.015428565229688</v>
      </c>
      <c r="AB2187" s="3" t="n">
        <v>-1.011657135827201</v>
      </c>
      <c r="AC2187" s="3" t="n">
        <v>-1.132885714939662</v>
      </c>
      <c r="AD2187" s="3" t="n">
        <v>-0.8570857082094465</v>
      </c>
      <c r="AE2187" s="3" t="n">
        <v>-0.8570857082094465</v>
      </c>
    </row>
    <row r="2188">
      <c r="A2188" s="3" t="inlineStr">
        <is>
          <t>TUV.distn.dec.ove.mean.7</t>
        </is>
      </c>
      <c r="B2188" s="3" t="inlineStr">
        <is>
          <t>TUV</t>
        </is>
      </c>
      <c r="C2188" s="3" t="n">
        <v>2005</v>
      </c>
      <c r="D2188" s="3" t="inlineStr">
        <is>
          <t>Overall</t>
        </is>
      </c>
      <c r="E2188" s="3" t="inlineStr">
        <is>
          <t>Deciles</t>
        </is>
      </c>
      <c r="F2188" s="3" t="inlineStr">
        <is>
          <t>mean</t>
        </is>
      </c>
      <c r="G2188" s="3" t="n">
        <v>7</v>
      </c>
      <c r="H2188" s="3" t="n">
        <v>-0.7835714289120266</v>
      </c>
      <c r="I2188" s="3" t="n">
        <v>-0.7835714289120266</v>
      </c>
      <c r="J2188" s="3" t="n">
        <v>-0.8570857082094465</v>
      </c>
      <c r="K2188" s="3" t="n">
        <v>-0.8570857082094465</v>
      </c>
      <c r="L2188" s="3" t="n">
        <v>-0.7835714289120266</v>
      </c>
      <c r="M2188" s="3" t="n">
        <v>-0.7835714289120266</v>
      </c>
      <c r="N2188" s="3" t="n">
        <v>-0.7835714289120266</v>
      </c>
      <c r="O2188" s="3" t="n">
        <v>-0.7835714289120266</v>
      </c>
      <c r="P2188" s="3" t="n">
        <v>-0.7835714289120266</v>
      </c>
      <c r="Q2188" s="3" t="n">
        <v>-0.7835714289120266</v>
      </c>
      <c r="R2188" s="3" t="n">
        <v>-0.7709714361599513</v>
      </c>
      <c r="S2188" s="3" t="n">
        <v>-1.015428565229688</v>
      </c>
      <c r="T2188" s="3" t="n">
        <v>-0.708628567627498</v>
      </c>
      <c r="U2188" s="3" t="n">
        <v>-0.8570857082094465</v>
      </c>
      <c r="V2188" s="3" t="n">
        <v>-0.6776857103620256</v>
      </c>
      <c r="W2188" s="3" t="n">
        <v>-0.5221999968801226</v>
      </c>
      <c r="X2188" s="3" t="n">
        <v>-1.011657135827201</v>
      </c>
      <c r="Y2188" s="3" t="n">
        <v>-0.7835714289120266</v>
      </c>
      <c r="Z2188" s="3" t="n">
        <v>-1.015428565229688</v>
      </c>
      <c r="AA2188" s="3" t="n">
        <v>-1.015428565229688</v>
      </c>
      <c r="AB2188" s="3" t="n">
        <v>-1.011657135827201</v>
      </c>
      <c r="AC2188" s="3" t="n">
        <v>-1.132885714939662</v>
      </c>
      <c r="AD2188" s="3" t="n">
        <v>-0.8570857082094465</v>
      </c>
      <c r="AE2188" s="3" t="n">
        <v>-0.8570857082094465</v>
      </c>
    </row>
    <row r="2189">
      <c r="A2189" s="3" t="inlineStr">
        <is>
          <t>TUV.distn.dec.ove.mean.8</t>
        </is>
      </c>
      <c r="B2189" s="3" t="inlineStr">
        <is>
          <t>TUV</t>
        </is>
      </c>
      <c r="C2189" s="3" t="n">
        <v>2005</v>
      </c>
      <c r="D2189" s="3" t="inlineStr">
        <is>
          <t>Overall</t>
        </is>
      </c>
      <c r="E2189" s="3" t="inlineStr">
        <is>
          <t>Deciles</t>
        </is>
      </c>
      <c r="F2189" s="3" t="inlineStr">
        <is>
          <t>mean</t>
        </is>
      </c>
      <c r="G2189" s="3" t="n">
        <v>8</v>
      </c>
      <c r="H2189" s="3" t="n">
        <v>-0.7839489357812064</v>
      </c>
      <c r="I2189" s="3" t="n">
        <v>-0.7839489357812064</v>
      </c>
      <c r="J2189" s="3" t="n">
        <v>-0.8593977723802839</v>
      </c>
      <c r="K2189" s="3" t="n">
        <v>-0.8593977723802839</v>
      </c>
      <c r="L2189" s="3" t="n">
        <v>-0.7839489357812064</v>
      </c>
      <c r="M2189" s="3" t="n">
        <v>-0.7839489357812064</v>
      </c>
      <c r="N2189" s="3" t="n">
        <v>-0.7839489357812064</v>
      </c>
      <c r="O2189" s="3" t="n">
        <v>-0.7839489357812064</v>
      </c>
      <c r="P2189" s="3" t="n">
        <v>-0.7839489357812064</v>
      </c>
      <c r="Q2189" s="3" t="n">
        <v>-0.7839489357812064</v>
      </c>
      <c r="R2189" s="3" t="n">
        <v>-0.7712249892098563</v>
      </c>
      <c r="S2189" s="3" t="n">
        <v>-1.024877253600529</v>
      </c>
      <c r="T2189" s="3" t="n">
        <v>-0.7086694342749459</v>
      </c>
      <c r="U2189" s="3" t="n">
        <v>-0.8593977723802839</v>
      </c>
      <c r="V2189" s="3" t="n">
        <v>-0.6783862863268171</v>
      </c>
      <c r="W2189" s="3" t="n">
        <v>-0.5361838928290776</v>
      </c>
      <c r="X2189" s="3" t="n">
        <v>-1.020875356878553</v>
      </c>
      <c r="Y2189" s="3" t="n">
        <v>-0.7839489357812064</v>
      </c>
      <c r="Z2189" s="3" t="n">
        <v>-1.024877253600529</v>
      </c>
      <c r="AA2189" s="3" t="n">
        <v>-1.024877253600529</v>
      </c>
      <c r="AB2189" s="3" t="n">
        <v>-1.020875356878553</v>
      </c>
      <c r="AC2189" s="3" t="n">
        <v>-1.149042170388358</v>
      </c>
      <c r="AD2189" s="3" t="n">
        <v>-0.8593977723802839</v>
      </c>
      <c r="AE2189" s="3" t="n">
        <v>-0.8593977723802839</v>
      </c>
    </row>
    <row r="2190">
      <c r="A2190" s="3" t="inlineStr">
        <is>
          <t>TUV.distn.dec.ove.mean.9</t>
        </is>
      </c>
      <c r="B2190" s="3" t="inlineStr">
        <is>
          <t>TUV</t>
        </is>
      </c>
      <c r="C2190" s="3" t="n">
        <v>2005</v>
      </c>
      <c r="D2190" s="3" t="inlineStr">
        <is>
          <t>Overall</t>
        </is>
      </c>
      <c r="E2190" s="3" t="inlineStr">
        <is>
          <t>Deciles</t>
        </is>
      </c>
      <c r="F2190" s="3" t="inlineStr">
        <is>
          <t>mean</t>
        </is>
      </c>
      <c r="G2190" s="3" t="n">
        <v>9</v>
      </c>
      <c r="H2190" s="3" t="n">
        <v>-0.7839489357812064</v>
      </c>
      <c r="I2190" s="3" t="n">
        <v>-0.7839489357812064</v>
      </c>
      <c r="J2190" s="3" t="n">
        <v>-0.8593977723802839</v>
      </c>
      <c r="K2190" s="3" t="n">
        <v>-0.8593977723802839</v>
      </c>
      <c r="L2190" s="3" t="n">
        <v>-0.7839489357812064</v>
      </c>
      <c r="M2190" s="3" t="n">
        <v>-0.7839489357812064</v>
      </c>
      <c r="N2190" s="3" t="n">
        <v>-0.7839489357812064</v>
      </c>
      <c r="O2190" s="3" t="n">
        <v>-0.7839489357812064</v>
      </c>
      <c r="P2190" s="3" t="n">
        <v>-0.7839489357812064</v>
      </c>
      <c r="Q2190" s="3" t="n">
        <v>-0.7839489357812064</v>
      </c>
      <c r="R2190" s="3" t="n">
        <v>-0.7712249892098563</v>
      </c>
      <c r="S2190" s="3" t="n">
        <v>-1.024877253600529</v>
      </c>
      <c r="T2190" s="3" t="n">
        <v>-0.7086694342749459</v>
      </c>
      <c r="U2190" s="3" t="n">
        <v>-0.8593977723802839</v>
      </c>
      <c r="V2190" s="3" t="n">
        <v>-0.6783862863268171</v>
      </c>
      <c r="W2190" s="3" t="n">
        <v>-0.5361838928290776</v>
      </c>
      <c r="X2190" s="3" t="n">
        <v>-1.020875356878553</v>
      </c>
      <c r="Y2190" s="3" t="n">
        <v>-0.7839489357812064</v>
      </c>
      <c r="Z2190" s="3" t="n">
        <v>-1.024877253600529</v>
      </c>
      <c r="AA2190" s="3" t="n">
        <v>-1.024877253600529</v>
      </c>
      <c r="AB2190" s="3" t="n">
        <v>-1.020875356878553</v>
      </c>
      <c r="AC2190" s="3" t="n">
        <v>-1.149042170388358</v>
      </c>
      <c r="AD2190" s="3" t="n">
        <v>-0.8593977723802839</v>
      </c>
      <c r="AE2190" s="3" t="n">
        <v>-0.8593977723802839</v>
      </c>
    </row>
    <row r="2191">
      <c r="A2191" s="3" t="inlineStr">
        <is>
          <t>TUV.distn.dec.ove.mean.10</t>
        </is>
      </c>
      <c r="B2191" s="3" t="inlineStr">
        <is>
          <t>TUV</t>
        </is>
      </c>
      <c r="C2191" s="3" t="n">
        <v>2005</v>
      </c>
      <c r="D2191" s="3" t="inlineStr">
        <is>
          <t>Overall</t>
        </is>
      </c>
      <c r="E2191" s="3" t="inlineStr">
        <is>
          <t>Deciles</t>
        </is>
      </c>
      <c r="F2191" s="3" t="inlineStr">
        <is>
          <t>mean</t>
        </is>
      </c>
      <c r="G2191" s="3" t="n">
        <v>10</v>
      </c>
      <c r="H2191" s="3" t="n">
        <v>-0.7839489357812064</v>
      </c>
      <c r="I2191" s="3" t="n">
        <v>-0.7839489357812064</v>
      </c>
      <c r="J2191" s="3" t="n">
        <v>-0.8593977723802839</v>
      </c>
      <c r="K2191" s="3" t="n">
        <v>-0.8593977723802839</v>
      </c>
      <c r="L2191" s="3" t="n">
        <v>-0.7839489357812064</v>
      </c>
      <c r="M2191" s="3" t="n">
        <v>-0.7839489357812064</v>
      </c>
      <c r="N2191" s="3" t="n">
        <v>-0.7839489357812064</v>
      </c>
      <c r="O2191" s="3" t="n">
        <v>-0.7839489357812064</v>
      </c>
      <c r="P2191" s="3" t="n">
        <v>-0.7839489357812064</v>
      </c>
      <c r="Q2191" s="3" t="n">
        <v>-0.7839489357812064</v>
      </c>
      <c r="R2191" s="3" t="n">
        <v>-0.7712249892098563</v>
      </c>
      <c r="S2191" s="3" t="n">
        <v>-1.024877253600529</v>
      </c>
      <c r="T2191" s="3" t="n">
        <v>-0.7086694342749459</v>
      </c>
      <c r="U2191" s="3" t="n">
        <v>-0.8593977723802839</v>
      </c>
      <c r="V2191" s="3" t="n">
        <v>-0.6783862863268171</v>
      </c>
      <c r="W2191" s="3" t="n">
        <v>-0.5361838928290776</v>
      </c>
      <c r="X2191" s="3" t="n">
        <v>-1.020875356878553</v>
      </c>
      <c r="Y2191" s="3" t="n">
        <v>-0.7839489357812064</v>
      </c>
      <c r="Z2191" s="3" t="n">
        <v>-1.024877253600529</v>
      </c>
      <c r="AA2191" s="3" t="n">
        <v>-1.024877253600529</v>
      </c>
      <c r="AB2191" s="3" t="n">
        <v>-1.020875356878553</v>
      </c>
      <c r="AC2191" s="3" t="n">
        <v>-1.149042170388358</v>
      </c>
      <c r="AD2191" s="3" t="n">
        <v>-0.8593977723802839</v>
      </c>
      <c r="AE2191" s="3" t="n">
        <v>-0.8593977723802839</v>
      </c>
    </row>
    <row r="2192">
      <c r="A2192" s="3" t="inlineStr">
        <is>
          <t>TUV.distn.bkt.ove.mean.9999</t>
        </is>
      </c>
      <c r="B2192" s="3" t="inlineStr">
        <is>
          <t>TUV</t>
        </is>
      </c>
      <c r="C2192" s="3" t="n">
        <v>2005</v>
      </c>
      <c r="D2192" s="3" t="inlineStr">
        <is>
          <t>Overall</t>
        </is>
      </c>
      <c r="E2192" s="3" t="inlineStr">
        <is>
          <t>Basket</t>
        </is>
      </c>
      <c r="F2192" s="3" t="inlineStr">
        <is>
          <t>mean</t>
        </is>
      </c>
      <c r="G2192" s="3" t="n">
        <v>9999</v>
      </c>
      <c r="H2192" s="3" t="n">
        <v>-0.7855607322284154</v>
      </c>
      <c r="I2192" s="3" t="n">
        <v>-0.7855607322284154</v>
      </c>
      <c r="J2192" s="3" t="n">
        <v>-0.8708347541945322</v>
      </c>
      <c r="K2192" s="3" t="n">
        <v>-0.8708347541945322</v>
      </c>
      <c r="L2192" s="3" t="n">
        <v>-0.7855607322284154</v>
      </c>
      <c r="M2192" s="3" t="n">
        <v>-0.7855607322284154</v>
      </c>
      <c r="N2192" s="3" t="n">
        <v>-0.7855607322284154</v>
      </c>
      <c r="O2192" s="3" t="n">
        <v>-0.7855607322284154</v>
      </c>
      <c r="P2192" s="3" t="n">
        <v>-0.7855607322284154</v>
      </c>
      <c r="Q2192" s="3" t="n">
        <v>-0.7855607322284154</v>
      </c>
      <c r="R2192" s="3" t="n">
        <v>-0.7720900552613394</v>
      </c>
      <c r="S2192" s="3" t="n">
        <v>-1.160887002944946</v>
      </c>
      <c r="T2192" s="3" t="n">
        <v>-0.7090769904000419</v>
      </c>
      <c r="U2192" s="3" t="n">
        <v>-0.8708347541945322</v>
      </c>
      <c r="V2192" s="3" t="n">
        <v>-0.6799844878060477</v>
      </c>
      <c r="W2192" s="3" t="n">
        <v>-0.5558792540005275</v>
      </c>
      <c r="X2192" s="3" t="n">
        <v>-1.140969473975045</v>
      </c>
      <c r="Y2192" s="3" t="n">
        <v>-0.7855607322284154</v>
      </c>
      <c r="Z2192" s="3" t="n">
        <v>-1.160887002944946</v>
      </c>
      <c r="AA2192" s="3" t="n">
        <v>-1.160887002944946</v>
      </c>
      <c r="AB2192" s="3" t="n">
        <v>-1.140969473975045</v>
      </c>
      <c r="AC2192" s="3" t="n">
        <v>-1.501635466303144</v>
      </c>
      <c r="AD2192" s="3" t="n">
        <v>-0.8708347541945322</v>
      </c>
      <c r="AE2192" s="3" t="n">
        <v>-0.8708347541945322</v>
      </c>
    </row>
    <row r="2193">
      <c r="A2193" s="3" t="inlineStr">
        <is>
          <t>TWN.distn.dec.ove.mean.1</t>
        </is>
      </c>
      <c r="B2193" s="3" t="inlineStr">
        <is>
          <t>TWN</t>
        </is>
      </c>
      <c r="C2193" s="3" t="n">
        <v>2005</v>
      </c>
      <c r="D2193" s="3" t="inlineStr">
        <is>
          <t>Overall</t>
        </is>
      </c>
      <c r="E2193" s="3" t="inlineStr">
        <is>
          <t>Deciles</t>
        </is>
      </c>
      <c r="F2193" s="3" t="inlineStr">
        <is>
          <t>mean</t>
        </is>
      </c>
      <c r="G2193" s="3" t="n">
        <v>1</v>
      </c>
      <c r="H2193" s="3" t="n">
        <v>-0.7892489433288574</v>
      </c>
      <c r="I2193" s="3" t="n">
        <v>-0.7892489433288574</v>
      </c>
      <c r="J2193" s="3" t="n">
        <v>-0.894209086894989</v>
      </c>
      <c r="K2193" s="3" t="n">
        <v>-0.894209086894989</v>
      </c>
      <c r="L2193" s="3" t="n">
        <v>-0.7892489433288574</v>
      </c>
      <c r="M2193" s="3" t="n">
        <v>-0.7892489433288574</v>
      </c>
      <c r="N2193" s="3" t="n">
        <v>-0.7892489433288574</v>
      </c>
      <c r="O2193" s="3" t="n">
        <v>-0.7892489433288574</v>
      </c>
      <c r="P2193" s="3" t="n">
        <v>-0.7892489433288574</v>
      </c>
      <c r="Q2193" s="3" t="n">
        <v>-0.7892489433288574</v>
      </c>
      <c r="R2193" s="3" t="n">
        <v>-0.7734707593917847</v>
      </c>
      <c r="S2193" s="3" t="n">
        <v>-1.440293669700623</v>
      </c>
      <c r="T2193" s="3" t="n">
        <v>-0.7094525694847107</v>
      </c>
      <c r="U2193" s="3" t="n">
        <v>-0.894209086894989</v>
      </c>
      <c r="V2193" s="3" t="n">
        <v>-0.6829447150230408</v>
      </c>
      <c r="W2193" s="3" t="n">
        <v>-0.6024195551872253</v>
      </c>
      <c r="X2193" s="3" t="n">
        <v>-1.385789155960083</v>
      </c>
      <c r="Y2193" s="3" t="n">
        <v>-0.7892489433288574</v>
      </c>
      <c r="Z2193" s="3" t="n">
        <v>-1.440293669700623</v>
      </c>
      <c r="AA2193" s="3" t="n">
        <v>-1.440293669700623</v>
      </c>
      <c r="AB2193" s="3" t="n">
        <v>-1.385789155960083</v>
      </c>
      <c r="AC2193" s="3" t="n">
        <v>-2.199110269546509</v>
      </c>
      <c r="AD2193" s="3" t="n">
        <v>-0.894209086894989</v>
      </c>
      <c r="AE2193" s="3" t="n">
        <v>-0.894209086894989</v>
      </c>
    </row>
    <row r="2194">
      <c r="A2194" s="3" t="inlineStr">
        <is>
          <t>TWN.distn.dec.ove.mean.2</t>
        </is>
      </c>
      <c r="B2194" s="3" t="inlineStr">
        <is>
          <t>TWN</t>
        </is>
      </c>
      <c r="C2194" s="3" t="n">
        <v>2005</v>
      </c>
      <c r="D2194" s="3" t="inlineStr">
        <is>
          <t>Overall</t>
        </is>
      </c>
      <c r="E2194" s="3" t="inlineStr">
        <is>
          <t>Deciles</t>
        </is>
      </c>
      <c r="F2194" s="3" t="inlineStr">
        <is>
          <t>mean</t>
        </is>
      </c>
      <c r="G2194" s="3" t="n">
        <v>2</v>
      </c>
      <c r="H2194" s="3" t="n">
        <v>-0.7892489433288574</v>
      </c>
      <c r="I2194" s="3" t="n">
        <v>-0.7892489433288574</v>
      </c>
      <c r="J2194" s="3" t="n">
        <v>-0.894209086894989</v>
      </c>
      <c r="K2194" s="3" t="n">
        <v>-0.894209086894989</v>
      </c>
      <c r="L2194" s="3" t="n">
        <v>-0.7892489433288574</v>
      </c>
      <c r="M2194" s="3" t="n">
        <v>-0.7892489433288574</v>
      </c>
      <c r="N2194" s="3" t="n">
        <v>-0.7892489433288574</v>
      </c>
      <c r="O2194" s="3" t="n">
        <v>-0.7892489433288574</v>
      </c>
      <c r="P2194" s="3" t="n">
        <v>-0.7892489433288574</v>
      </c>
      <c r="Q2194" s="3" t="n">
        <v>-0.7892489433288574</v>
      </c>
      <c r="R2194" s="3" t="n">
        <v>-0.7734707593917847</v>
      </c>
      <c r="S2194" s="3" t="n">
        <v>-1.440293669700623</v>
      </c>
      <c r="T2194" s="3" t="n">
        <v>-0.7094525694847107</v>
      </c>
      <c r="U2194" s="3" t="n">
        <v>-0.894209086894989</v>
      </c>
      <c r="V2194" s="3" t="n">
        <v>-0.6829447150230408</v>
      </c>
      <c r="W2194" s="3" t="n">
        <v>-0.6024195551872253</v>
      </c>
      <c r="X2194" s="3" t="n">
        <v>-1.385789155960083</v>
      </c>
      <c r="Y2194" s="3" t="n">
        <v>-0.7892489433288574</v>
      </c>
      <c r="Z2194" s="3" t="n">
        <v>-1.440293669700623</v>
      </c>
      <c r="AA2194" s="3" t="n">
        <v>-1.440293669700623</v>
      </c>
      <c r="AB2194" s="3" t="n">
        <v>-1.385789155960083</v>
      </c>
      <c r="AC2194" s="3" t="n">
        <v>-2.199110269546509</v>
      </c>
      <c r="AD2194" s="3" t="n">
        <v>-0.894209086894989</v>
      </c>
      <c r="AE2194" s="3" t="n">
        <v>-0.894209086894989</v>
      </c>
    </row>
    <row r="2195">
      <c r="A2195" s="3" t="inlineStr">
        <is>
          <t>TWN.distn.dec.ove.mean.3</t>
        </is>
      </c>
      <c r="B2195" s="3" t="inlineStr">
        <is>
          <t>TWN</t>
        </is>
      </c>
      <c r="C2195" s="3" t="n">
        <v>2005</v>
      </c>
      <c r="D2195" s="3" t="inlineStr">
        <is>
          <t>Overall</t>
        </is>
      </c>
      <c r="E2195" s="3" t="inlineStr">
        <is>
          <t>Deciles</t>
        </is>
      </c>
      <c r="F2195" s="3" t="inlineStr">
        <is>
          <t>mean</t>
        </is>
      </c>
      <c r="G2195" s="3" t="n">
        <v>3</v>
      </c>
      <c r="H2195" s="3" t="n">
        <v>-0.7892489433288574</v>
      </c>
      <c r="I2195" s="3" t="n">
        <v>-0.7892489433288574</v>
      </c>
      <c r="J2195" s="3" t="n">
        <v>-0.894209086894989</v>
      </c>
      <c r="K2195" s="3" t="n">
        <v>-0.894209086894989</v>
      </c>
      <c r="L2195" s="3" t="n">
        <v>-0.7892489433288574</v>
      </c>
      <c r="M2195" s="3" t="n">
        <v>-0.7892489433288574</v>
      </c>
      <c r="N2195" s="3" t="n">
        <v>-0.7892489433288574</v>
      </c>
      <c r="O2195" s="3" t="n">
        <v>-0.7892489433288574</v>
      </c>
      <c r="P2195" s="3" t="n">
        <v>-0.7892489433288574</v>
      </c>
      <c r="Q2195" s="3" t="n">
        <v>-0.7892489433288574</v>
      </c>
      <c r="R2195" s="3" t="n">
        <v>-0.7734707593917847</v>
      </c>
      <c r="S2195" s="3" t="n">
        <v>-1.440293669700623</v>
      </c>
      <c r="T2195" s="3" t="n">
        <v>-0.7094525694847107</v>
      </c>
      <c r="U2195" s="3" t="n">
        <v>-0.894209086894989</v>
      </c>
      <c r="V2195" s="3" t="n">
        <v>-0.6829447150230408</v>
      </c>
      <c r="W2195" s="3" t="n">
        <v>-0.6024195551872253</v>
      </c>
      <c r="X2195" s="3" t="n">
        <v>-1.385789155960083</v>
      </c>
      <c r="Y2195" s="3" t="n">
        <v>-0.7892489433288574</v>
      </c>
      <c r="Z2195" s="3" t="n">
        <v>-1.440293669700623</v>
      </c>
      <c r="AA2195" s="3" t="n">
        <v>-1.440293669700623</v>
      </c>
      <c r="AB2195" s="3" t="n">
        <v>-1.385789155960083</v>
      </c>
      <c r="AC2195" s="3" t="n">
        <v>-2.199110269546509</v>
      </c>
      <c r="AD2195" s="3" t="n">
        <v>-0.894209086894989</v>
      </c>
      <c r="AE2195" s="3" t="n">
        <v>-0.894209086894989</v>
      </c>
    </row>
    <row r="2196">
      <c r="A2196" s="3" t="inlineStr">
        <is>
          <t>TWN.distn.dec.ove.mean.4</t>
        </is>
      </c>
      <c r="B2196" s="3" t="inlineStr">
        <is>
          <t>TWN</t>
        </is>
      </c>
      <c r="C2196" s="3" t="n">
        <v>2005</v>
      </c>
      <c r="D2196" s="3" t="inlineStr">
        <is>
          <t>Overall</t>
        </is>
      </c>
      <c r="E2196" s="3" t="inlineStr">
        <is>
          <t>Deciles</t>
        </is>
      </c>
      <c r="F2196" s="3" t="inlineStr">
        <is>
          <t>mean</t>
        </is>
      </c>
      <c r="G2196" s="3" t="n">
        <v>4</v>
      </c>
      <c r="H2196" s="3" t="n">
        <v>-0.7829999923706055</v>
      </c>
      <c r="I2196" s="3" t="n">
        <v>-0.7829999923706055</v>
      </c>
      <c r="J2196" s="3" t="n">
        <v>-0.8510000109672546</v>
      </c>
      <c r="K2196" s="3" t="n">
        <v>-0.8510000109672546</v>
      </c>
      <c r="L2196" s="3" t="n">
        <v>-0.7829999923706055</v>
      </c>
      <c r="M2196" s="3" t="n">
        <v>-0.7829999923706055</v>
      </c>
      <c r="N2196" s="3" t="n">
        <v>-0.7829999923706055</v>
      </c>
      <c r="O2196" s="3" t="n">
        <v>-0.7829999923706055</v>
      </c>
      <c r="P2196" s="3" t="n">
        <v>-0.7829999923706055</v>
      </c>
      <c r="Q2196" s="3" t="n">
        <v>-0.7829999923706055</v>
      </c>
      <c r="R2196" s="3" t="n">
        <v>-0.7699999809265137</v>
      </c>
      <c r="S2196" s="3" t="n">
        <v>-0.9810000061988831</v>
      </c>
      <c r="T2196" s="3" t="n">
        <v>-0.7080000042915344</v>
      </c>
      <c r="U2196" s="3" t="n">
        <v>-0.8510000109672546</v>
      </c>
      <c r="V2196" s="3" t="n">
        <v>-0.6759999990463257</v>
      </c>
      <c r="W2196" s="3" t="n">
        <v>-0.5070000290870667</v>
      </c>
      <c r="X2196" s="3" t="n">
        <v>-0.9779999852180481</v>
      </c>
      <c r="Y2196" s="3" t="n">
        <v>-0.7829999923706055</v>
      </c>
      <c r="Z2196" s="3" t="n">
        <v>-0.9810000061988831</v>
      </c>
      <c r="AA2196" s="3" t="n">
        <v>-0.9810000061988831</v>
      </c>
      <c r="AB2196" s="3" t="n">
        <v>-0.9779999852180481</v>
      </c>
      <c r="AC2196" s="3" t="n">
        <v>-1.062000036239624</v>
      </c>
      <c r="AD2196" s="3" t="n">
        <v>-0.8510000109672546</v>
      </c>
      <c r="AE2196" s="3" t="n">
        <v>-0.8510000109672546</v>
      </c>
    </row>
    <row r="2197">
      <c r="A2197" s="3" t="inlineStr">
        <is>
          <t>TWN.distn.dec.ove.mean.5</t>
        </is>
      </c>
      <c r="B2197" s="3" t="inlineStr">
        <is>
          <t>TWN</t>
        </is>
      </c>
      <c r="C2197" s="3" t="n">
        <v>2005</v>
      </c>
      <c r="D2197" s="3" t="inlineStr">
        <is>
          <t>Overall</t>
        </is>
      </c>
      <c r="E2197" s="3" t="inlineStr">
        <is>
          <t>Deciles</t>
        </is>
      </c>
      <c r="F2197" s="3" t="inlineStr">
        <is>
          <t>mean</t>
        </is>
      </c>
      <c r="G2197" s="3" t="n">
        <v>5</v>
      </c>
      <c r="H2197" s="3" t="n">
        <v>-0.7829999923706055</v>
      </c>
      <c r="I2197" s="3" t="n">
        <v>-0.7829999923706055</v>
      </c>
      <c r="J2197" s="3" t="n">
        <v>-0.8510000109672546</v>
      </c>
      <c r="K2197" s="3" t="n">
        <v>-0.8510000109672546</v>
      </c>
      <c r="L2197" s="3" t="n">
        <v>-0.7829999923706055</v>
      </c>
      <c r="M2197" s="3" t="n">
        <v>-0.7829999923706055</v>
      </c>
      <c r="N2197" s="3" t="n">
        <v>-0.7829999923706055</v>
      </c>
      <c r="O2197" s="3" t="n">
        <v>-0.7829999923706055</v>
      </c>
      <c r="P2197" s="3" t="n">
        <v>-0.7829999923706055</v>
      </c>
      <c r="Q2197" s="3" t="n">
        <v>-0.7829999923706055</v>
      </c>
      <c r="R2197" s="3" t="n">
        <v>-0.7699999809265137</v>
      </c>
      <c r="S2197" s="3" t="n">
        <v>-0.9810000061988831</v>
      </c>
      <c r="T2197" s="3" t="n">
        <v>-0.7080000042915344</v>
      </c>
      <c r="U2197" s="3" t="n">
        <v>-0.8510000109672546</v>
      </c>
      <c r="V2197" s="3" t="n">
        <v>-0.6759999990463257</v>
      </c>
      <c r="W2197" s="3" t="n">
        <v>-0.5070000290870667</v>
      </c>
      <c r="X2197" s="3" t="n">
        <v>-0.9779999852180481</v>
      </c>
      <c r="Y2197" s="3" t="n">
        <v>-0.7829999923706055</v>
      </c>
      <c r="Z2197" s="3" t="n">
        <v>-0.9810000061988831</v>
      </c>
      <c r="AA2197" s="3" t="n">
        <v>-0.9810000061988831</v>
      </c>
      <c r="AB2197" s="3" t="n">
        <v>-0.9779999852180481</v>
      </c>
      <c r="AC2197" s="3" t="n">
        <v>-1.062000036239624</v>
      </c>
      <c r="AD2197" s="3" t="n">
        <v>-0.8510000109672546</v>
      </c>
      <c r="AE2197" s="3" t="n">
        <v>-0.8510000109672546</v>
      </c>
    </row>
    <row r="2198">
      <c r="A2198" s="3" t="inlineStr">
        <is>
          <t>TWN.distn.dec.ove.mean.6</t>
        </is>
      </c>
      <c r="B2198" s="3" t="inlineStr">
        <is>
          <t>TWN</t>
        </is>
      </c>
      <c r="C2198" s="3" t="n">
        <v>2005</v>
      </c>
      <c r="D2198" s="3" t="inlineStr">
        <is>
          <t>Overall</t>
        </is>
      </c>
      <c r="E2198" s="3" t="inlineStr">
        <is>
          <t>Deciles</t>
        </is>
      </c>
      <c r="F2198" s="3" t="inlineStr">
        <is>
          <t>mean</t>
        </is>
      </c>
      <c r="G2198" s="3" t="n">
        <v>6</v>
      </c>
      <c r="H2198" s="3" t="n">
        <v>-0.7829999923706055</v>
      </c>
      <c r="I2198" s="3" t="n">
        <v>-0.7829999923706055</v>
      </c>
      <c r="J2198" s="3" t="n">
        <v>-0.8510000109672546</v>
      </c>
      <c r="K2198" s="3" t="n">
        <v>-0.8510000109672546</v>
      </c>
      <c r="L2198" s="3" t="n">
        <v>-0.7829999923706055</v>
      </c>
      <c r="M2198" s="3" t="n">
        <v>-0.7829999923706055</v>
      </c>
      <c r="N2198" s="3" t="n">
        <v>-0.7829999923706055</v>
      </c>
      <c r="O2198" s="3" t="n">
        <v>-0.7829999923706055</v>
      </c>
      <c r="P2198" s="3" t="n">
        <v>-0.7829999923706055</v>
      </c>
      <c r="Q2198" s="3" t="n">
        <v>-0.7829999923706055</v>
      </c>
      <c r="R2198" s="3" t="n">
        <v>-0.7699999809265137</v>
      </c>
      <c r="S2198" s="3" t="n">
        <v>-0.9810000061988831</v>
      </c>
      <c r="T2198" s="3" t="n">
        <v>-0.7080000042915344</v>
      </c>
      <c r="U2198" s="3" t="n">
        <v>-0.8510000109672546</v>
      </c>
      <c r="V2198" s="3" t="n">
        <v>-0.6759999990463257</v>
      </c>
      <c r="W2198" s="3" t="n">
        <v>-0.5070000290870667</v>
      </c>
      <c r="X2198" s="3" t="n">
        <v>-0.9779999852180481</v>
      </c>
      <c r="Y2198" s="3" t="n">
        <v>-0.7829999923706055</v>
      </c>
      <c r="Z2198" s="3" t="n">
        <v>-0.9810000061988831</v>
      </c>
      <c r="AA2198" s="3" t="n">
        <v>-0.9810000061988831</v>
      </c>
      <c r="AB2198" s="3" t="n">
        <v>-0.9779999852180481</v>
      </c>
      <c r="AC2198" s="3" t="n">
        <v>-1.062000036239624</v>
      </c>
      <c r="AD2198" s="3" t="n">
        <v>-0.8510000109672546</v>
      </c>
      <c r="AE2198" s="3" t="n">
        <v>-0.8510000109672546</v>
      </c>
    </row>
    <row r="2199">
      <c r="A2199" s="3" t="inlineStr">
        <is>
          <t>TWN.distn.dec.ove.mean.7</t>
        </is>
      </c>
      <c r="B2199" s="3" t="inlineStr">
        <is>
          <t>TWN</t>
        </is>
      </c>
      <c r="C2199" s="3" t="n">
        <v>2005</v>
      </c>
      <c r="D2199" s="3" t="inlineStr">
        <is>
          <t>Overall</t>
        </is>
      </c>
      <c r="E2199" s="3" t="inlineStr">
        <is>
          <t>Deciles</t>
        </is>
      </c>
      <c r="F2199" s="3" t="inlineStr">
        <is>
          <t>mean</t>
        </is>
      </c>
      <c r="G2199" s="3" t="n">
        <v>7</v>
      </c>
      <c r="H2199" s="3" t="n">
        <v>-0.7829999923706055</v>
      </c>
      <c r="I2199" s="3" t="n">
        <v>-0.7829999923706055</v>
      </c>
      <c r="J2199" s="3" t="n">
        <v>-0.8510000109672546</v>
      </c>
      <c r="K2199" s="3" t="n">
        <v>-0.8510000109672546</v>
      </c>
      <c r="L2199" s="3" t="n">
        <v>-0.7829999923706055</v>
      </c>
      <c r="M2199" s="3" t="n">
        <v>-0.7829999923706055</v>
      </c>
      <c r="N2199" s="3" t="n">
        <v>-0.7829999923706055</v>
      </c>
      <c r="O2199" s="3" t="n">
        <v>-0.7829999923706055</v>
      </c>
      <c r="P2199" s="3" t="n">
        <v>-0.7829999923706055</v>
      </c>
      <c r="Q2199" s="3" t="n">
        <v>-0.7829999923706055</v>
      </c>
      <c r="R2199" s="3" t="n">
        <v>-0.7699999809265137</v>
      </c>
      <c r="S2199" s="3" t="n">
        <v>-0.9810000061988831</v>
      </c>
      <c r="T2199" s="3" t="n">
        <v>-0.7080000042915344</v>
      </c>
      <c r="U2199" s="3" t="n">
        <v>-0.8510000109672546</v>
      </c>
      <c r="V2199" s="3" t="n">
        <v>-0.6759999990463257</v>
      </c>
      <c r="W2199" s="3" t="n">
        <v>-0.5070000290870667</v>
      </c>
      <c r="X2199" s="3" t="n">
        <v>-0.9779999852180481</v>
      </c>
      <c r="Y2199" s="3" t="n">
        <v>-0.7829999923706055</v>
      </c>
      <c r="Z2199" s="3" t="n">
        <v>-0.9810000061988831</v>
      </c>
      <c r="AA2199" s="3" t="n">
        <v>-0.9810000061988831</v>
      </c>
      <c r="AB2199" s="3" t="n">
        <v>-0.9779999852180481</v>
      </c>
      <c r="AC2199" s="3" t="n">
        <v>-1.062000036239624</v>
      </c>
      <c r="AD2199" s="3" t="n">
        <v>-0.8510000109672546</v>
      </c>
      <c r="AE2199" s="3" t="n">
        <v>-0.8510000109672546</v>
      </c>
    </row>
    <row r="2200">
      <c r="A2200" s="3" t="inlineStr">
        <is>
          <t>TWN.distn.dec.ove.mean.8</t>
        </is>
      </c>
      <c r="B2200" s="3" t="inlineStr">
        <is>
          <t>TWN</t>
        </is>
      </c>
      <c r="C2200" s="3" t="n">
        <v>2005</v>
      </c>
      <c r="D2200" s="3" t="inlineStr">
        <is>
          <t>Overall</t>
        </is>
      </c>
      <c r="E2200" s="3" t="inlineStr">
        <is>
          <t>Deciles</t>
        </is>
      </c>
      <c r="F2200" s="3" t="inlineStr">
        <is>
          <t>mean</t>
        </is>
      </c>
      <c r="G2200" s="3" t="n">
        <v>8</v>
      </c>
      <c r="H2200" s="3" t="n">
        <v>-0.7833772301673889</v>
      </c>
      <c r="I2200" s="3" t="n">
        <v>-0.7833772301673889</v>
      </c>
      <c r="J2200" s="3" t="n">
        <v>-0.853295624256134</v>
      </c>
      <c r="K2200" s="3" t="n">
        <v>-0.853295624256134</v>
      </c>
      <c r="L2200" s="3" t="n">
        <v>-0.7833772301673889</v>
      </c>
      <c r="M2200" s="3" t="n">
        <v>-0.7833772301673889</v>
      </c>
      <c r="N2200" s="3" t="n">
        <v>-0.7833772301673889</v>
      </c>
      <c r="O2200" s="3" t="n">
        <v>-0.7833772301673889</v>
      </c>
      <c r="P2200" s="3" t="n">
        <v>-0.7833772301673889</v>
      </c>
      <c r="Q2200" s="3" t="n">
        <v>-0.7833772301673889</v>
      </c>
      <c r="R2200" s="3" t="n">
        <v>-0.7702532410621643</v>
      </c>
      <c r="S2200" s="3" t="n">
        <v>-0.9901283383369446</v>
      </c>
      <c r="T2200" s="3" t="n">
        <v>-0.7080408334732056</v>
      </c>
      <c r="U2200" s="3" t="n">
        <v>-0.853295624256134</v>
      </c>
      <c r="V2200" s="3" t="n">
        <v>-0.6766988039016724</v>
      </c>
      <c r="W2200" s="3" t="n">
        <v>-0.5205768346786499</v>
      </c>
      <c r="X2200" s="3" t="n">
        <v>-0.9869115352630615</v>
      </c>
      <c r="Y2200" s="3" t="n">
        <v>-0.7833772301673889</v>
      </c>
      <c r="Z2200" s="3" t="n">
        <v>-0.9901283383369446</v>
      </c>
      <c r="AA2200" s="3" t="n">
        <v>-0.9901283383369446</v>
      </c>
      <c r="AB2200" s="3" t="n">
        <v>-0.9869115352630615</v>
      </c>
      <c r="AC2200" s="3" t="n">
        <v>-1.077145576477051</v>
      </c>
      <c r="AD2200" s="3" t="n">
        <v>-0.853295624256134</v>
      </c>
      <c r="AE2200" s="3" t="n">
        <v>-0.853295624256134</v>
      </c>
    </row>
    <row r="2201">
      <c r="A2201" s="3" t="inlineStr">
        <is>
          <t>TWN.distn.dec.ove.mean.9</t>
        </is>
      </c>
      <c r="B2201" s="3" t="inlineStr">
        <is>
          <t>TWN</t>
        </is>
      </c>
      <c r="C2201" s="3" t="n">
        <v>2005</v>
      </c>
      <c r="D2201" s="3" t="inlineStr">
        <is>
          <t>Overall</t>
        </is>
      </c>
      <c r="E2201" s="3" t="inlineStr">
        <is>
          <t>Deciles</t>
        </is>
      </c>
      <c r="F2201" s="3" t="inlineStr">
        <is>
          <t>mean</t>
        </is>
      </c>
      <c r="G2201" s="3" t="n">
        <v>9</v>
      </c>
      <c r="H2201" s="3" t="n">
        <v>-0.7833772301673889</v>
      </c>
      <c r="I2201" s="3" t="n">
        <v>-0.7833772301673889</v>
      </c>
      <c r="J2201" s="3" t="n">
        <v>-0.853295624256134</v>
      </c>
      <c r="K2201" s="3" t="n">
        <v>-0.853295624256134</v>
      </c>
      <c r="L2201" s="3" t="n">
        <v>-0.7833772301673889</v>
      </c>
      <c r="M2201" s="3" t="n">
        <v>-0.7833772301673889</v>
      </c>
      <c r="N2201" s="3" t="n">
        <v>-0.7833772301673889</v>
      </c>
      <c r="O2201" s="3" t="n">
        <v>-0.7833772301673889</v>
      </c>
      <c r="P2201" s="3" t="n">
        <v>-0.7833772301673889</v>
      </c>
      <c r="Q2201" s="3" t="n">
        <v>-0.7833772301673889</v>
      </c>
      <c r="R2201" s="3" t="n">
        <v>-0.7702532410621643</v>
      </c>
      <c r="S2201" s="3" t="n">
        <v>-0.9901283383369446</v>
      </c>
      <c r="T2201" s="3" t="n">
        <v>-0.7080408334732056</v>
      </c>
      <c r="U2201" s="3" t="n">
        <v>-0.853295624256134</v>
      </c>
      <c r="V2201" s="3" t="n">
        <v>-0.6766988039016724</v>
      </c>
      <c r="W2201" s="3" t="n">
        <v>-0.5205768346786499</v>
      </c>
      <c r="X2201" s="3" t="n">
        <v>-0.9869115352630615</v>
      </c>
      <c r="Y2201" s="3" t="n">
        <v>-0.7833772301673889</v>
      </c>
      <c r="Z2201" s="3" t="n">
        <v>-0.9901283383369446</v>
      </c>
      <c r="AA2201" s="3" t="n">
        <v>-0.9901283383369446</v>
      </c>
      <c r="AB2201" s="3" t="n">
        <v>-0.9869115352630615</v>
      </c>
      <c r="AC2201" s="3" t="n">
        <v>-1.077145576477051</v>
      </c>
      <c r="AD2201" s="3" t="n">
        <v>-0.853295624256134</v>
      </c>
      <c r="AE2201" s="3" t="n">
        <v>-0.853295624256134</v>
      </c>
    </row>
    <row r="2202">
      <c r="A2202" s="3" t="inlineStr">
        <is>
          <t>TWN.distn.dec.ove.mean.10</t>
        </is>
      </c>
      <c r="B2202" s="3" t="inlineStr">
        <is>
          <t>TWN</t>
        </is>
      </c>
      <c r="C2202" s="3" t="n">
        <v>2005</v>
      </c>
      <c r="D2202" s="3" t="inlineStr">
        <is>
          <t>Overall</t>
        </is>
      </c>
      <c r="E2202" s="3" t="inlineStr">
        <is>
          <t>Deciles</t>
        </is>
      </c>
      <c r="F2202" s="3" t="inlineStr">
        <is>
          <t>mean</t>
        </is>
      </c>
      <c r="G2202" s="3" t="n">
        <v>10</v>
      </c>
      <c r="H2202" s="3" t="n">
        <v>-0.7833772301673889</v>
      </c>
      <c r="I2202" s="3" t="n">
        <v>-0.7833772301673889</v>
      </c>
      <c r="J2202" s="3" t="n">
        <v>-0.853295624256134</v>
      </c>
      <c r="K2202" s="3" t="n">
        <v>-0.853295624256134</v>
      </c>
      <c r="L2202" s="3" t="n">
        <v>-0.7833772301673889</v>
      </c>
      <c r="M2202" s="3" t="n">
        <v>-0.7833772301673889</v>
      </c>
      <c r="N2202" s="3" t="n">
        <v>-0.7833772301673889</v>
      </c>
      <c r="O2202" s="3" t="n">
        <v>-0.7833772301673889</v>
      </c>
      <c r="P2202" s="3" t="n">
        <v>-0.7833772301673889</v>
      </c>
      <c r="Q2202" s="3" t="n">
        <v>-0.7833772301673889</v>
      </c>
      <c r="R2202" s="3" t="n">
        <v>-0.7702532410621643</v>
      </c>
      <c r="S2202" s="3" t="n">
        <v>-0.9901283383369446</v>
      </c>
      <c r="T2202" s="3" t="n">
        <v>-0.7080408334732056</v>
      </c>
      <c r="U2202" s="3" t="n">
        <v>-0.853295624256134</v>
      </c>
      <c r="V2202" s="3" t="n">
        <v>-0.6766988039016724</v>
      </c>
      <c r="W2202" s="3" t="n">
        <v>-0.5205768346786499</v>
      </c>
      <c r="X2202" s="3" t="n">
        <v>-0.9869115352630615</v>
      </c>
      <c r="Y2202" s="3" t="n">
        <v>-0.7833772301673889</v>
      </c>
      <c r="Z2202" s="3" t="n">
        <v>-0.9901283383369446</v>
      </c>
      <c r="AA2202" s="3" t="n">
        <v>-0.9901283383369446</v>
      </c>
      <c r="AB2202" s="3" t="n">
        <v>-0.9869115352630615</v>
      </c>
      <c r="AC2202" s="3" t="n">
        <v>-1.077145576477051</v>
      </c>
      <c r="AD2202" s="3" t="n">
        <v>-0.853295624256134</v>
      </c>
      <c r="AE2202" s="3" t="n">
        <v>-0.853295624256134</v>
      </c>
    </row>
    <row r="2203">
      <c r="A2203" s="3" t="inlineStr">
        <is>
          <t>TWN.distn.bkt.ove.mean.9999</t>
        </is>
      </c>
      <c r="B2203" s="3" t="inlineStr">
        <is>
          <t>TWN</t>
        </is>
      </c>
      <c r="C2203" s="3" t="n">
        <v>2005</v>
      </c>
      <c r="D2203" s="3" t="inlineStr">
        <is>
          <t>Overall</t>
        </is>
      </c>
      <c r="E2203" s="3" t="inlineStr">
        <is>
          <t>Basket</t>
        </is>
      </c>
      <c r="F2203" s="3" t="inlineStr">
        <is>
          <t>mean</t>
        </is>
      </c>
      <c r="G2203" s="3" t="n">
        <v>9999</v>
      </c>
      <c r="H2203" s="3" t="n">
        <v>-0.7849878668785095</v>
      </c>
      <c r="I2203" s="3" t="n">
        <v>-0.7849878668785095</v>
      </c>
      <c r="J2203" s="3" t="n">
        <v>-0.8646514415740967</v>
      </c>
      <c r="K2203" s="3" t="n">
        <v>-0.8646514415740967</v>
      </c>
      <c r="L2203" s="3" t="n">
        <v>-0.7849878668785095</v>
      </c>
      <c r="M2203" s="3" t="n">
        <v>-0.7849878668785095</v>
      </c>
      <c r="N2203" s="3" t="n">
        <v>-0.7849878668785095</v>
      </c>
      <c r="O2203" s="3" t="n">
        <v>-0.7849878668785095</v>
      </c>
      <c r="P2203" s="3" t="n">
        <v>-0.7849878668785095</v>
      </c>
      <c r="Q2203" s="3" t="n">
        <v>-0.7849878668785095</v>
      </c>
      <c r="R2203" s="3" t="n">
        <v>-0.7711172103881836</v>
      </c>
      <c r="S2203" s="3" t="n">
        <v>-1.121526598930359</v>
      </c>
      <c r="T2203" s="3" t="n">
        <v>-0.708448052406311</v>
      </c>
      <c r="U2203" s="3" t="n">
        <v>-0.8646514415740967</v>
      </c>
      <c r="V2203" s="3" t="n">
        <v>-0.6782930493354797</v>
      </c>
      <c r="W2203" s="3" t="n">
        <v>-0.5396989583969116</v>
      </c>
      <c r="X2203" s="3" t="n">
        <v>-1.103010177612305</v>
      </c>
      <c r="Y2203" s="3" t="n">
        <v>-0.7849878668785095</v>
      </c>
      <c r="Z2203" s="3" t="n">
        <v>-1.121526598930359</v>
      </c>
      <c r="AA2203" s="3" t="n">
        <v>-1.121526598930359</v>
      </c>
      <c r="AB2203" s="3" t="n">
        <v>-1.103010177612305</v>
      </c>
      <c r="AC2203" s="3" t="n">
        <v>-1.407676815986633</v>
      </c>
      <c r="AD2203" s="3" t="n">
        <v>-0.8646514415740967</v>
      </c>
      <c r="AE2203" s="3" t="n">
        <v>-0.8646514415740967</v>
      </c>
    </row>
    <row r="2204">
      <c r="A2204" s="3" t="inlineStr">
        <is>
          <t>TZA.distn.dec.ove.mean.1</t>
        </is>
      </c>
      <c r="B2204" s="3" t="inlineStr">
        <is>
          <t>TZA</t>
        </is>
      </c>
      <c r="C2204" s="3" t="n">
        <v>2005</v>
      </c>
      <c r="D2204" s="3" t="inlineStr">
        <is>
          <t>Overall</t>
        </is>
      </c>
      <c r="E2204" s="3" t="inlineStr">
        <is>
          <t>Deciles</t>
        </is>
      </c>
      <c r="F2204" s="3" t="inlineStr">
        <is>
          <t>mean</t>
        </is>
      </c>
      <c r="G2204" s="3" t="n">
        <v>1</v>
      </c>
      <c r="H2204" s="3" t="n">
        <v>-0.7973127365112305</v>
      </c>
      <c r="I2204" s="3" t="n">
        <v>-0.7973127365112305</v>
      </c>
      <c r="J2204" s="3" t="n">
        <v>-0.9551540017127991</v>
      </c>
      <c r="K2204" s="3" t="n">
        <v>-0.9551540017127991</v>
      </c>
      <c r="L2204" s="3" t="n">
        <v>-0.7973127365112305</v>
      </c>
      <c r="M2204" s="3" t="n">
        <v>-0.7973127365112305</v>
      </c>
      <c r="N2204" s="3" t="n">
        <v>-0.7973127365112305</v>
      </c>
      <c r="O2204" s="3" t="n">
        <v>-0.7973127365112305</v>
      </c>
      <c r="P2204" s="3" t="n">
        <v>-0.7973127365112305</v>
      </c>
      <c r="Q2204" s="3" t="n">
        <v>-0.7973127365112305</v>
      </c>
      <c r="R2204" s="3" t="n">
        <v>-0.7784932851791382</v>
      </c>
      <c r="S2204" s="3" t="n">
        <v>-2.29771614074707</v>
      </c>
      <c r="T2204" s="3" t="n">
        <v>-0.7114566564559937</v>
      </c>
      <c r="U2204" s="3" t="n">
        <v>-0.9551540017127991</v>
      </c>
      <c r="V2204" s="3" t="n">
        <v>-0.6910269260406494</v>
      </c>
      <c r="W2204" s="3" t="n">
        <v>-0.7081697583198547</v>
      </c>
      <c r="X2204" s="3" t="n">
        <v>-2.173620223999023</v>
      </c>
      <c r="Y2204" s="3" t="n">
        <v>-0.7973127365112305</v>
      </c>
      <c r="Z2204" s="3" t="n">
        <v>-2.29771614074707</v>
      </c>
      <c r="AA2204" s="3" t="n">
        <v>-2.29771614074707</v>
      </c>
      <c r="AB2204" s="3" t="n">
        <v>-2.173620223999023</v>
      </c>
      <c r="AC2204" s="3" t="n">
        <v>-11.4283332824707</v>
      </c>
      <c r="AD2204" s="3" t="n">
        <v>-0.9551540017127991</v>
      </c>
      <c r="AE2204" s="3" t="n">
        <v>-0.9551540017127991</v>
      </c>
    </row>
    <row r="2205">
      <c r="A2205" s="3" t="inlineStr">
        <is>
          <t>TZA.distn.dec.ove.mean.2</t>
        </is>
      </c>
      <c r="B2205" s="3" t="inlineStr">
        <is>
          <t>TZA</t>
        </is>
      </c>
      <c r="C2205" s="3" t="n">
        <v>2005</v>
      </c>
      <c r="D2205" s="3" t="inlineStr">
        <is>
          <t>Overall</t>
        </is>
      </c>
      <c r="E2205" s="3" t="inlineStr">
        <is>
          <t>Deciles</t>
        </is>
      </c>
      <c r="F2205" s="3" t="inlineStr">
        <is>
          <t>mean</t>
        </is>
      </c>
      <c r="G2205" s="3" t="n">
        <v>2</v>
      </c>
      <c r="H2205" s="3" t="n">
        <v>-0.7973127365112305</v>
      </c>
      <c r="I2205" s="3" t="n">
        <v>-0.7973127365112305</v>
      </c>
      <c r="J2205" s="3" t="n">
        <v>-0.9551540017127991</v>
      </c>
      <c r="K2205" s="3" t="n">
        <v>-0.9551540017127991</v>
      </c>
      <c r="L2205" s="3" t="n">
        <v>-0.7973127365112305</v>
      </c>
      <c r="M2205" s="3" t="n">
        <v>-0.7973127365112305</v>
      </c>
      <c r="N2205" s="3" t="n">
        <v>-0.7973127365112305</v>
      </c>
      <c r="O2205" s="3" t="n">
        <v>-0.7973127365112305</v>
      </c>
      <c r="P2205" s="3" t="n">
        <v>-0.7973127365112305</v>
      </c>
      <c r="Q2205" s="3" t="n">
        <v>-0.7973127365112305</v>
      </c>
      <c r="R2205" s="3" t="n">
        <v>-0.7784932851791382</v>
      </c>
      <c r="S2205" s="3" t="n">
        <v>-2.29771614074707</v>
      </c>
      <c r="T2205" s="3" t="n">
        <v>-0.7114566564559937</v>
      </c>
      <c r="U2205" s="3" t="n">
        <v>-0.9551540017127991</v>
      </c>
      <c r="V2205" s="3" t="n">
        <v>-0.6910269260406494</v>
      </c>
      <c r="W2205" s="3" t="n">
        <v>-0.7081697583198547</v>
      </c>
      <c r="X2205" s="3" t="n">
        <v>-2.173620223999023</v>
      </c>
      <c r="Y2205" s="3" t="n">
        <v>-0.7973127365112305</v>
      </c>
      <c r="Z2205" s="3" t="n">
        <v>-2.29771614074707</v>
      </c>
      <c r="AA2205" s="3" t="n">
        <v>-2.29771614074707</v>
      </c>
      <c r="AB2205" s="3" t="n">
        <v>-2.173620223999023</v>
      </c>
      <c r="AC2205" s="3" t="n">
        <v>-11.4283332824707</v>
      </c>
      <c r="AD2205" s="3" t="n">
        <v>-0.9551540017127991</v>
      </c>
      <c r="AE2205" s="3" t="n">
        <v>-0.9551540017127991</v>
      </c>
    </row>
    <row r="2206">
      <c r="A2206" s="3" t="inlineStr">
        <is>
          <t>TZA.distn.dec.ove.mean.3</t>
        </is>
      </c>
      <c r="B2206" s="3" t="inlineStr">
        <is>
          <t>TZA</t>
        </is>
      </c>
      <c r="C2206" s="3" t="n">
        <v>2005</v>
      </c>
      <c r="D2206" s="3" t="inlineStr">
        <is>
          <t>Overall</t>
        </is>
      </c>
      <c r="E2206" s="3" t="inlineStr">
        <is>
          <t>Deciles</t>
        </is>
      </c>
      <c r="F2206" s="3" t="inlineStr">
        <is>
          <t>mean</t>
        </is>
      </c>
      <c r="G2206" s="3" t="n">
        <v>3</v>
      </c>
      <c r="H2206" s="3" t="n">
        <v>-0.7973127365112305</v>
      </c>
      <c r="I2206" s="3" t="n">
        <v>-0.7973127365112305</v>
      </c>
      <c r="J2206" s="3" t="n">
        <v>-0.9551540017127991</v>
      </c>
      <c r="K2206" s="3" t="n">
        <v>-0.9551540017127991</v>
      </c>
      <c r="L2206" s="3" t="n">
        <v>-0.7973127365112305</v>
      </c>
      <c r="M2206" s="3" t="n">
        <v>-0.7973127365112305</v>
      </c>
      <c r="N2206" s="3" t="n">
        <v>-0.7973127365112305</v>
      </c>
      <c r="O2206" s="3" t="n">
        <v>-0.7973127365112305</v>
      </c>
      <c r="P2206" s="3" t="n">
        <v>-0.7973127365112305</v>
      </c>
      <c r="Q2206" s="3" t="n">
        <v>-0.7973127365112305</v>
      </c>
      <c r="R2206" s="3" t="n">
        <v>-0.7784932851791382</v>
      </c>
      <c r="S2206" s="3" t="n">
        <v>-2.29771614074707</v>
      </c>
      <c r="T2206" s="3" t="n">
        <v>-0.7114566564559937</v>
      </c>
      <c r="U2206" s="3" t="n">
        <v>-0.9551540017127991</v>
      </c>
      <c r="V2206" s="3" t="n">
        <v>-0.6910269260406494</v>
      </c>
      <c r="W2206" s="3" t="n">
        <v>-0.7081697583198547</v>
      </c>
      <c r="X2206" s="3" t="n">
        <v>-2.173620223999023</v>
      </c>
      <c r="Y2206" s="3" t="n">
        <v>-0.7973127365112305</v>
      </c>
      <c r="Z2206" s="3" t="n">
        <v>-2.29771614074707</v>
      </c>
      <c r="AA2206" s="3" t="n">
        <v>-2.29771614074707</v>
      </c>
      <c r="AB2206" s="3" t="n">
        <v>-2.173620223999023</v>
      </c>
      <c r="AC2206" s="3" t="n">
        <v>-11.4283332824707</v>
      </c>
      <c r="AD2206" s="3" t="n">
        <v>-0.9551540017127991</v>
      </c>
      <c r="AE2206" s="3" t="n">
        <v>-0.9551540017127991</v>
      </c>
    </row>
    <row r="2207">
      <c r="A2207" s="3" t="inlineStr">
        <is>
          <t>TZA.distn.dec.ove.mean.4</t>
        </is>
      </c>
      <c r="B2207" s="3" t="inlineStr">
        <is>
          <t>TZA</t>
        </is>
      </c>
      <c r="C2207" s="3" t="n">
        <v>2005</v>
      </c>
      <c r="D2207" s="3" t="inlineStr">
        <is>
          <t>Overall</t>
        </is>
      </c>
      <c r="E2207" s="3" t="inlineStr">
        <is>
          <t>Deciles</t>
        </is>
      </c>
      <c r="F2207" s="3" t="inlineStr">
        <is>
          <t>mean</t>
        </is>
      </c>
      <c r="G2207" s="3" t="n">
        <v>4</v>
      </c>
      <c r="H2207" s="3" t="n">
        <v>-0.7910000085830688</v>
      </c>
      <c r="I2207" s="3" t="n">
        <v>-0.7910000085830688</v>
      </c>
      <c r="J2207" s="3" t="n">
        <v>-0.9089999794960022</v>
      </c>
      <c r="K2207" s="3" t="n">
        <v>-0.9089999794960022</v>
      </c>
      <c r="L2207" s="3" t="n">
        <v>-0.7910000085830688</v>
      </c>
      <c r="M2207" s="3" t="n">
        <v>-0.7910000085830688</v>
      </c>
      <c r="N2207" s="3" t="n">
        <v>-0.7910000085830688</v>
      </c>
      <c r="O2207" s="3" t="n">
        <v>-0.7910000085830688</v>
      </c>
      <c r="P2207" s="3" t="n">
        <v>-0.7910000085830688</v>
      </c>
      <c r="Q2207" s="3" t="n">
        <v>-0.7910000085830688</v>
      </c>
      <c r="R2207" s="3" t="n">
        <v>-0.7749999761581421</v>
      </c>
      <c r="S2207" s="3" t="n">
        <v>-1.565000057220459</v>
      </c>
      <c r="T2207" s="3" t="n">
        <v>-0.7099999785423279</v>
      </c>
      <c r="U2207" s="3" t="n">
        <v>-0.9089999794960022</v>
      </c>
      <c r="V2207" s="3" t="n">
        <v>-0.6840000152587891</v>
      </c>
      <c r="W2207" s="3" t="n">
        <v>-0.5960000157356262</v>
      </c>
      <c r="X2207" s="3" t="n">
        <v>-1.534000039100647</v>
      </c>
      <c r="Y2207" s="3" t="n">
        <v>-0.7910000085830688</v>
      </c>
      <c r="Z2207" s="3" t="n">
        <v>-1.565000057220459</v>
      </c>
      <c r="AA2207" s="3" t="n">
        <v>-1.565000057220459</v>
      </c>
      <c r="AB2207" s="3" t="n">
        <v>-1.534000039100647</v>
      </c>
      <c r="AC2207" s="3" t="n">
        <v>-5.519000053405762</v>
      </c>
      <c r="AD2207" s="3" t="n">
        <v>-0.9089999794960022</v>
      </c>
      <c r="AE2207" s="3" t="n">
        <v>-0.9089999794960022</v>
      </c>
    </row>
    <row r="2208">
      <c r="A2208" s="3" t="inlineStr">
        <is>
          <t>TZA.distn.dec.ove.mean.5</t>
        </is>
      </c>
      <c r="B2208" s="3" t="inlineStr">
        <is>
          <t>TZA</t>
        </is>
      </c>
      <c r="C2208" s="3" t="n">
        <v>2005</v>
      </c>
      <c r="D2208" s="3" t="inlineStr">
        <is>
          <t>Overall</t>
        </is>
      </c>
      <c r="E2208" s="3" t="inlineStr">
        <is>
          <t>Deciles</t>
        </is>
      </c>
      <c r="F2208" s="3" t="inlineStr">
        <is>
          <t>mean</t>
        </is>
      </c>
      <c r="G2208" s="3" t="n">
        <v>5</v>
      </c>
      <c r="H2208" s="3" t="n">
        <v>-0.7910000085830688</v>
      </c>
      <c r="I2208" s="3" t="n">
        <v>-0.7910000085830688</v>
      </c>
      <c r="J2208" s="3" t="n">
        <v>-0.9089999794960022</v>
      </c>
      <c r="K2208" s="3" t="n">
        <v>-0.9089999794960022</v>
      </c>
      <c r="L2208" s="3" t="n">
        <v>-0.7910000085830688</v>
      </c>
      <c r="M2208" s="3" t="n">
        <v>-0.7910000085830688</v>
      </c>
      <c r="N2208" s="3" t="n">
        <v>-0.7910000085830688</v>
      </c>
      <c r="O2208" s="3" t="n">
        <v>-0.7910000085830688</v>
      </c>
      <c r="P2208" s="3" t="n">
        <v>-0.7910000085830688</v>
      </c>
      <c r="Q2208" s="3" t="n">
        <v>-0.7910000085830688</v>
      </c>
      <c r="R2208" s="3" t="n">
        <v>-0.7749999761581421</v>
      </c>
      <c r="S2208" s="3" t="n">
        <v>-1.565000057220459</v>
      </c>
      <c r="T2208" s="3" t="n">
        <v>-0.7099999785423279</v>
      </c>
      <c r="U2208" s="3" t="n">
        <v>-0.9089999794960022</v>
      </c>
      <c r="V2208" s="3" t="n">
        <v>-0.6840000152587891</v>
      </c>
      <c r="W2208" s="3" t="n">
        <v>-0.5960000157356262</v>
      </c>
      <c r="X2208" s="3" t="n">
        <v>-1.534000039100647</v>
      </c>
      <c r="Y2208" s="3" t="n">
        <v>-0.7910000085830688</v>
      </c>
      <c r="Z2208" s="3" t="n">
        <v>-1.565000057220459</v>
      </c>
      <c r="AA2208" s="3" t="n">
        <v>-1.565000057220459</v>
      </c>
      <c r="AB2208" s="3" t="n">
        <v>-1.534000039100647</v>
      </c>
      <c r="AC2208" s="3" t="n">
        <v>-5.519000053405762</v>
      </c>
      <c r="AD2208" s="3" t="n">
        <v>-0.9089999794960022</v>
      </c>
      <c r="AE2208" s="3" t="n">
        <v>-0.9089999794960022</v>
      </c>
    </row>
    <row r="2209">
      <c r="A2209" s="3" t="inlineStr">
        <is>
          <t>TZA.distn.dec.ove.mean.6</t>
        </is>
      </c>
      <c r="B2209" s="3" t="inlineStr">
        <is>
          <t>TZA</t>
        </is>
      </c>
      <c r="C2209" s="3" t="n">
        <v>2005</v>
      </c>
      <c r="D2209" s="3" t="inlineStr">
        <is>
          <t>Overall</t>
        </is>
      </c>
      <c r="E2209" s="3" t="inlineStr">
        <is>
          <t>Deciles</t>
        </is>
      </c>
      <c r="F2209" s="3" t="inlineStr">
        <is>
          <t>mean</t>
        </is>
      </c>
      <c r="G2209" s="3" t="n">
        <v>6</v>
      </c>
      <c r="H2209" s="3" t="n">
        <v>-0.7910000085830688</v>
      </c>
      <c r="I2209" s="3" t="n">
        <v>-0.7910000085830688</v>
      </c>
      <c r="J2209" s="3" t="n">
        <v>-0.9089999794960022</v>
      </c>
      <c r="K2209" s="3" t="n">
        <v>-0.9089999794960022</v>
      </c>
      <c r="L2209" s="3" t="n">
        <v>-0.7910000085830688</v>
      </c>
      <c r="M2209" s="3" t="n">
        <v>-0.7910000085830688</v>
      </c>
      <c r="N2209" s="3" t="n">
        <v>-0.7910000085830688</v>
      </c>
      <c r="O2209" s="3" t="n">
        <v>-0.7910000085830688</v>
      </c>
      <c r="P2209" s="3" t="n">
        <v>-0.7910000085830688</v>
      </c>
      <c r="Q2209" s="3" t="n">
        <v>-0.7910000085830688</v>
      </c>
      <c r="R2209" s="3" t="n">
        <v>-0.7749999761581421</v>
      </c>
      <c r="S2209" s="3" t="n">
        <v>-1.565000057220459</v>
      </c>
      <c r="T2209" s="3" t="n">
        <v>-0.7099999785423279</v>
      </c>
      <c r="U2209" s="3" t="n">
        <v>-0.9089999794960022</v>
      </c>
      <c r="V2209" s="3" t="n">
        <v>-0.6840000152587891</v>
      </c>
      <c r="W2209" s="3" t="n">
        <v>-0.5960000157356262</v>
      </c>
      <c r="X2209" s="3" t="n">
        <v>-1.534000039100647</v>
      </c>
      <c r="Y2209" s="3" t="n">
        <v>-0.7910000085830688</v>
      </c>
      <c r="Z2209" s="3" t="n">
        <v>-1.565000057220459</v>
      </c>
      <c r="AA2209" s="3" t="n">
        <v>-1.565000057220459</v>
      </c>
      <c r="AB2209" s="3" t="n">
        <v>-1.534000039100647</v>
      </c>
      <c r="AC2209" s="3" t="n">
        <v>-5.519000053405762</v>
      </c>
      <c r="AD2209" s="3" t="n">
        <v>-0.9089999794960022</v>
      </c>
      <c r="AE2209" s="3" t="n">
        <v>-0.9089999794960022</v>
      </c>
    </row>
    <row r="2210">
      <c r="A2210" s="3" t="inlineStr">
        <is>
          <t>TZA.distn.dec.ove.mean.7</t>
        </is>
      </c>
      <c r="B2210" s="3" t="inlineStr">
        <is>
          <t>TZA</t>
        </is>
      </c>
      <c r="C2210" s="3" t="n">
        <v>2005</v>
      </c>
      <c r="D2210" s="3" t="inlineStr">
        <is>
          <t>Overall</t>
        </is>
      </c>
      <c r="E2210" s="3" t="inlineStr">
        <is>
          <t>Deciles</t>
        </is>
      </c>
      <c r="F2210" s="3" t="inlineStr">
        <is>
          <t>mean</t>
        </is>
      </c>
      <c r="G2210" s="3" t="n">
        <v>7</v>
      </c>
      <c r="H2210" s="3" t="n">
        <v>-0.7910000085830688</v>
      </c>
      <c r="I2210" s="3" t="n">
        <v>-0.7910000085830688</v>
      </c>
      <c r="J2210" s="3" t="n">
        <v>-0.9089999794960022</v>
      </c>
      <c r="K2210" s="3" t="n">
        <v>-0.9089999794960022</v>
      </c>
      <c r="L2210" s="3" t="n">
        <v>-0.7910000085830688</v>
      </c>
      <c r="M2210" s="3" t="n">
        <v>-0.7910000085830688</v>
      </c>
      <c r="N2210" s="3" t="n">
        <v>-0.7910000085830688</v>
      </c>
      <c r="O2210" s="3" t="n">
        <v>-0.7910000085830688</v>
      </c>
      <c r="P2210" s="3" t="n">
        <v>-0.7910000085830688</v>
      </c>
      <c r="Q2210" s="3" t="n">
        <v>-0.7910000085830688</v>
      </c>
      <c r="R2210" s="3" t="n">
        <v>-0.7749999761581421</v>
      </c>
      <c r="S2210" s="3" t="n">
        <v>-1.565000057220459</v>
      </c>
      <c r="T2210" s="3" t="n">
        <v>-0.7099999785423279</v>
      </c>
      <c r="U2210" s="3" t="n">
        <v>-0.9089999794960022</v>
      </c>
      <c r="V2210" s="3" t="n">
        <v>-0.6840000152587891</v>
      </c>
      <c r="W2210" s="3" t="n">
        <v>-0.5960000157356262</v>
      </c>
      <c r="X2210" s="3" t="n">
        <v>-1.534000039100647</v>
      </c>
      <c r="Y2210" s="3" t="n">
        <v>-0.7910000085830688</v>
      </c>
      <c r="Z2210" s="3" t="n">
        <v>-1.565000057220459</v>
      </c>
      <c r="AA2210" s="3" t="n">
        <v>-1.565000057220459</v>
      </c>
      <c r="AB2210" s="3" t="n">
        <v>-1.534000039100647</v>
      </c>
      <c r="AC2210" s="3" t="n">
        <v>-5.519000053405762</v>
      </c>
      <c r="AD2210" s="3" t="n">
        <v>-0.9089999794960022</v>
      </c>
      <c r="AE2210" s="3" t="n">
        <v>-0.9089999794960022</v>
      </c>
    </row>
    <row r="2211">
      <c r="A2211" s="3" t="inlineStr">
        <is>
          <t>TZA.distn.dec.ove.mean.8</t>
        </is>
      </c>
      <c r="B2211" s="3" t="inlineStr">
        <is>
          <t>TZA</t>
        </is>
      </c>
      <c r="C2211" s="3" t="n">
        <v>2005</v>
      </c>
      <c r="D2211" s="3" t="inlineStr">
        <is>
          <t>Overall</t>
        </is>
      </c>
      <c r="E2211" s="3" t="inlineStr">
        <is>
          <t>Deciles</t>
        </is>
      </c>
      <c r="F2211" s="3" t="inlineStr">
        <is>
          <t>mean</t>
        </is>
      </c>
      <c r="G2211" s="3" t="n">
        <v>8</v>
      </c>
      <c r="H2211" s="3" t="n">
        <v>-0.7913810610771179</v>
      </c>
      <c r="I2211" s="3" t="n">
        <v>-0.7913810610771179</v>
      </c>
      <c r="J2211" s="3" t="n">
        <v>-0.9114521145820618</v>
      </c>
      <c r="K2211" s="3" t="n">
        <v>-0.9114521145820618</v>
      </c>
      <c r="L2211" s="3" t="n">
        <v>-0.7913810610771179</v>
      </c>
      <c r="M2211" s="3" t="n">
        <v>-0.7913810610771179</v>
      </c>
      <c r="N2211" s="3" t="n">
        <v>-0.7913810610771179</v>
      </c>
      <c r="O2211" s="3" t="n">
        <v>-0.7913810610771179</v>
      </c>
      <c r="P2211" s="3" t="n">
        <v>-0.7913810610771179</v>
      </c>
      <c r="Q2211" s="3" t="n">
        <v>-0.7913810610771179</v>
      </c>
      <c r="R2211" s="3" t="n">
        <v>-0.7752549052238464</v>
      </c>
      <c r="S2211" s="3" t="n">
        <v>-1.579562544822693</v>
      </c>
      <c r="T2211" s="3" t="n">
        <v>-0.7100409269332886</v>
      </c>
      <c r="U2211" s="3" t="n">
        <v>-0.9114521145820618</v>
      </c>
      <c r="V2211" s="3" t="n">
        <v>-0.6847071051597595</v>
      </c>
      <c r="W2211" s="3" t="n">
        <v>-0.6119601726531982</v>
      </c>
      <c r="X2211" s="3" t="n">
        <v>-1.547977805137634</v>
      </c>
      <c r="Y2211" s="3" t="n">
        <v>-0.7913810610771179</v>
      </c>
      <c r="Z2211" s="3" t="n">
        <v>-1.579562544822693</v>
      </c>
      <c r="AA2211" s="3" t="n">
        <v>-1.579562544822693</v>
      </c>
      <c r="AB2211" s="3" t="n">
        <v>-1.547977805137634</v>
      </c>
      <c r="AC2211" s="3" t="n">
        <v>-5.597708225250244</v>
      </c>
      <c r="AD2211" s="3" t="n">
        <v>-0.9114521145820618</v>
      </c>
      <c r="AE2211" s="3" t="n">
        <v>-0.9114521145820618</v>
      </c>
    </row>
    <row r="2212">
      <c r="A2212" s="3" t="inlineStr">
        <is>
          <t>TZA.distn.dec.ove.mean.9</t>
        </is>
      </c>
      <c r="B2212" s="3" t="inlineStr">
        <is>
          <t>TZA</t>
        </is>
      </c>
      <c r="C2212" s="3" t="n">
        <v>2005</v>
      </c>
      <c r="D2212" s="3" t="inlineStr">
        <is>
          <t>Overall</t>
        </is>
      </c>
      <c r="E2212" s="3" t="inlineStr">
        <is>
          <t>Deciles</t>
        </is>
      </c>
      <c r="F2212" s="3" t="inlineStr">
        <is>
          <t>mean</t>
        </is>
      </c>
      <c r="G2212" s="3" t="n">
        <v>9</v>
      </c>
      <c r="H2212" s="3" t="n">
        <v>-0.7913810610771179</v>
      </c>
      <c r="I2212" s="3" t="n">
        <v>-0.7913810610771179</v>
      </c>
      <c r="J2212" s="3" t="n">
        <v>-0.9114521145820618</v>
      </c>
      <c r="K2212" s="3" t="n">
        <v>-0.9114521145820618</v>
      </c>
      <c r="L2212" s="3" t="n">
        <v>-0.7913810610771179</v>
      </c>
      <c r="M2212" s="3" t="n">
        <v>-0.7913810610771179</v>
      </c>
      <c r="N2212" s="3" t="n">
        <v>-0.7913810610771179</v>
      </c>
      <c r="O2212" s="3" t="n">
        <v>-0.7913810610771179</v>
      </c>
      <c r="P2212" s="3" t="n">
        <v>-0.7913810610771179</v>
      </c>
      <c r="Q2212" s="3" t="n">
        <v>-0.7913810610771179</v>
      </c>
      <c r="R2212" s="3" t="n">
        <v>-0.7752549052238464</v>
      </c>
      <c r="S2212" s="3" t="n">
        <v>-1.579562544822693</v>
      </c>
      <c r="T2212" s="3" t="n">
        <v>-0.7100409269332886</v>
      </c>
      <c r="U2212" s="3" t="n">
        <v>-0.9114521145820618</v>
      </c>
      <c r="V2212" s="3" t="n">
        <v>-0.6847071051597595</v>
      </c>
      <c r="W2212" s="3" t="n">
        <v>-0.6119601726531982</v>
      </c>
      <c r="X2212" s="3" t="n">
        <v>-1.547977805137634</v>
      </c>
      <c r="Y2212" s="3" t="n">
        <v>-0.7913810610771179</v>
      </c>
      <c r="Z2212" s="3" t="n">
        <v>-1.579562544822693</v>
      </c>
      <c r="AA2212" s="3" t="n">
        <v>-1.579562544822693</v>
      </c>
      <c r="AB2212" s="3" t="n">
        <v>-1.547977805137634</v>
      </c>
      <c r="AC2212" s="3" t="n">
        <v>-5.597708225250244</v>
      </c>
      <c r="AD2212" s="3" t="n">
        <v>-0.9114521145820618</v>
      </c>
      <c r="AE2212" s="3" t="n">
        <v>-0.9114521145820618</v>
      </c>
    </row>
    <row r="2213">
      <c r="A2213" s="3" t="inlineStr">
        <is>
          <t>TZA.distn.dec.ove.mean.10</t>
        </is>
      </c>
      <c r="B2213" s="3" t="inlineStr">
        <is>
          <t>TZA</t>
        </is>
      </c>
      <c r="C2213" s="3" t="n">
        <v>2005</v>
      </c>
      <c r="D2213" s="3" t="inlineStr">
        <is>
          <t>Overall</t>
        </is>
      </c>
      <c r="E2213" s="3" t="inlineStr">
        <is>
          <t>Deciles</t>
        </is>
      </c>
      <c r="F2213" s="3" t="inlineStr">
        <is>
          <t>mean</t>
        </is>
      </c>
      <c r="G2213" s="3" t="n">
        <v>10</v>
      </c>
      <c r="H2213" s="3" t="n">
        <v>-0.7913810610771179</v>
      </c>
      <c r="I2213" s="3" t="n">
        <v>-0.7913810610771179</v>
      </c>
      <c r="J2213" s="3" t="n">
        <v>-0.9114521145820618</v>
      </c>
      <c r="K2213" s="3" t="n">
        <v>-0.9114521145820618</v>
      </c>
      <c r="L2213" s="3" t="n">
        <v>-0.7913810610771179</v>
      </c>
      <c r="M2213" s="3" t="n">
        <v>-0.7913810610771179</v>
      </c>
      <c r="N2213" s="3" t="n">
        <v>-0.7913810610771179</v>
      </c>
      <c r="O2213" s="3" t="n">
        <v>-0.7913810610771179</v>
      </c>
      <c r="P2213" s="3" t="n">
        <v>-0.7913810610771179</v>
      </c>
      <c r="Q2213" s="3" t="n">
        <v>-0.7913810610771179</v>
      </c>
      <c r="R2213" s="3" t="n">
        <v>-0.7752549052238464</v>
      </c>
      <c r="S2213" s="3" t="n">
        <v>-1.579562544822693</v>
      </c>
      <c r="T2213" s="3" t="n">
        <v>-0.7100409269332886</v>
      </c>
      <c r="U2213" s="3" t="n">
        <v>-0.9114521145820618</v>
      </c>
      <c r="V2213" s="3" t="n">
        <v>-0.6847071051597595</v>
      </c>
      <c r="W2213" s="3" t="n">
        <v>-0.6119601726531982</v>
      </c>
      <c r="X2213" s="3" t="n">
        <v>-1.547977805137634</v>
      </c>
      <c r="Y2213" s="3" t="n">
        <v>-0.7913810610771179</v>
      </c>
      <c r="Z2213" s="3" t="n">
        <v>-1.579562544822693</v>
      </c>
      <c r="AA2213" s="3" t="n">
        <v>-1.579562544822693</v>
      </c>
      <c r="AB2213" s="3" t="n">
        <v>-1.547977805137634</v>
      </c>
      <c r="AC2213" s="3" t="n">
        <v>-5.597708225250244</v>
      </c>
      <c r="AD2213" s="3" t="n">
        <v>-0.9114521145820618</v>
      </c>
      <c r="AE2213" s="3" t="n">
        <v>-0.9114521145820618</v>
      </c>
    </row>
    <row r="2214">
      <c r="A2214" s="3" t="inlineStr">
        <is>
          <t>TZA.distn.bkt.ove.mean.9999</t>
        </is>
      </c>
      <c r="B2214" s="3" t="inlineStr">
        <is>
          <t>TZA</t>
        </is>
      </c>
      <c r="C2214" s="3" t="n">
        <v>2005</v>
      </c>
      <c r="D2214" s="3" t="inlineStr">
        <is>
          <t>Overall</t>
        </is>
      </c>
      <c r="E2214" s="3" t="inlineStr">
        <is>
          <t>Basket</t>
        </is>
      </c>
      <c r="F2214" s="3" t="inlineStr">
        <is>
          <t>mean</t>
        </is>
      </c>
      <c r="G2214" s="3" t="n">
        <v>9999</v>
      </c>
      <c r="H2214" s="3" t="n">
        <v>-0.7930081486701965</v>
      </c>
      <c r="I2214" s="3" t="n">
        <v>-0.7930081486701965</v>
      </c>
      <c r="J2214" s="3" t="n">
        <v>-0.9235818386077881</v>
      </c>
      <c r="K2214" s="3" t="n">
        <v>-0.9235818386077881</v>
      </c>
      <c r="L2214" s="3" t="n">
        <v>-0.7930081486701965</v>
      </c>
      <c r="M2214" s="3" t="n">
        <v>-0.7930081486701965</v>
      </c>
      <c r="N2214" s="3" t="n">
        <v>-0.7930081486701965</v>
      </c>
      <c r="O2214" s="3" t="n">
        <v>-0.7930081486701965</v>
      </c>
      <c r="P2214" s="3" t="n">
        <v>-0.7930081486701965</v>
      </c>
      <c r="Q2214" s="3" t="n">
        <v>-0.7930081486701965</v>
      </c>
      <c r="R2214" s="3" t="n">
        <v>-0.7761244773864746</v>
      </c>
      <c r="S2214" s="3" t="n">
        <v>-1.789183616638184</v>
      </c>
      <c r="T2214" s="3" t="n">
        <v>-0.7104492783546448</v>
      </c>
      <c r="U2214" s="3" t="n">
        <v>-0.9235818386077881</v>
      </c>
      <c r="V2214" s="3" t="n">
        <v>-0.6863201856613159</v>
      </c>
      <c r="W2214" s="3" t="n">
        <v>-0.6344389915466309</v>
      </c>
      <c r="X2214" s="3" t="n">
        <v>-1.730079412460327</v>
      </c>
      <c r="Y2214" s="3" t="n">
        <v>-0.7930081486701965</v>
      </c>
      <c r="Z2214" s="3" t="n">
        <v>-1.789183616638184</v>
      </c>
      <c r="AA2214" s="3" t="n">
        <v>-1.789183616638184</v>
      </c>
      <c r="AB2214" s="3" t="n">
        <v>-1.730079412460327</v>
      </c>
      <c r="AC2214" s="3" t="n">
        <v>-7.315412521362305</v>
      </c>
      <c r="AD2214" s="3" t="n">
        <v>-0.9235818386077881</v>
      </c>
      <c r="AE2214" s="3" t="n">
        <v>-0.9235818386077881</v>
      </c>
    </row>
    <row r="2215">
      <c r="A2215" s="3" t="inlineStr">
        <is>
          <t>UGA.distn.dec.ove.mean.1</t>
        </is>
      </c>
      <c r="B2215" s="3" t="inlineStr">
        <is>
          <t>UGA</t>
        </is>
      </c>
      <c r="C2215" s="3" t="n">
        <v>2005</v>
      </c>
      <c r="D2215" s="3" t="inlineStr">
        <is>
          <t>Overall</t>
        </is>
      </c>
      <c r="E2215" s="3" t="inlineStr">
        <is>
          <t>Deciles</t>
        </is>
      </c>
      <c r="F2215" s="3" t="inlineStr">
        <is>
          <t>mean</t>
        </is>
      </c>
      <c r="G2215" s="3" t="n">
        <v>1</v>
      </c>
      <c r="H2215" s="3" t="n">
        <v>-0.7963047623634338</v>
      </c>
      <c r="I2215" s="3" t="n">
        <v>-0.7963047623634338</v>
      </c>
      <c r="J2215" s="3" t="n">
        <v>-0.9477985501289368</v>
      </c>
      <c r="K2215" s="3" t="n">
        <v>-0.9477985501289368</v>
      </c>
      <c r="L2215" s="3" t="n">
        <v>-0.7963047623634338</v>
      </c>
      <c r="M2215" s="3" t="n">
        <v>-0.7963047623634338</v>
      </c>
      <c r="N2215" s="3" t="n">
        <v>-0.7963047623634338</v>
      </c>
      <c r="O2215" s="3" t="n">
        <v>-0.7963047623634338</v>
      </c>
      <c r="P2215" s="3" t="n">
        <v>-0.7963047623634338</v>
      </c>
      <c r="Q2215" s="3" t="n">
        <v>-0.7963047623634338</v>
      </c>
      <c r="R2215" s="3" t="n">
        <v>-0.7774887681007385</v>
      </c>
      <c r="S2215" s="3" t="n">
        <v>-2.096574306488037</v>
      </c>
      <c r="T2215" s="3" t="n">
        <v>-0.7114566564559937</v>
      </c>
      <c r="U2215" s="3" t="n">
        <v>-0.9477985501289368</v>
      </c>
      <c r="V2215" s="3" t="n">
        <v>-0.6910269260406494</v>
      </c>
      <c r="W2215" s="3" t="n">
        <v>-0.7022287249565125</v>
      </c>
      <c r="X2215" s="3" t="n">
        <v>-1.992249011993408</v>
      </c>
      <c r="Y2215" s="3" t="n">
        <v>-0.7963047623634338</v>
      </c>
      <c r="Z2215" s="3" t="n">
        <v>-2.096574306488037</v>
      </c>
      <c r="AA2215" s="3" t="n">
        <v>-2.096574306488037</v>
      </c>
      <c r="AB2215" s="3" t="n">
        <v>-1.992249011993408</v>
      </c>
      <c r="AC2215" s="3" t="n">
        <v>-6.154195785522461</v>
      </c>
      <c r="AD2215" s="3" t="n">
        <v>-0.9477985501289368</v>
      </c>
      <c r="AE2215" s="3" t="n">
        <v>-0.9477985501289368</v>
      </c>
    </row>
    <row r="2216">
      <c r="A2216" s="3" t="inlineStr">
        <is>
          <t>UGA.distn.dec.ove.mean.2</t>
        </is>
      </c>
      <c r="B2216" s="3" t="inlineStr">
        <is>
          <t>UGA</t>
        </is>
      </c>
      <c r="C2216" s="3" t="n">
        <v>2005</v>
      </c>
      <c r="D2216" s="3" t="inlineStr">
        <is>
          <t>Overall</t>
        </is>
      </c>
      <c r="E2216" s="3" t="inlineStr">
        <is>
          <t>Deciles</t>
        </is>
      </c>
      <c r="F2216" s="3" t="inlineStr">
        <is>
          <t>mean</t>
        </is>
      </c>
      <c r="G2216" s="3" t="n">
        <v>2</v>
      </c>
      <c r="H2216" s="3" t="n">
        <v>-0.7963047623634338</v>
      </c>
      <c r="I2216" s="3" t="n">
        <v>-0.7963047623634338</v>
      </c>
      <c r="J2216" s="3" t="n">
        <v>-0.9477985501289368</v>
      </c>
      <c r="K2216" s="3" t="n">
        <v>-0.9477985501289368</v>
      </c>
      <c r="L2216" s="3" t="n">
        <v>-0.7963047623634338</v>
      </c>
      <c r="M2216" s="3" t="n">
        <v>-0.7963047623634338</v>
      </c>
      <c r="N2216" s="3" t="n">
        <v>-0.7963047623634338</v>
      </c>
      <c r="O2216" s="3" t="n">
        <v>-0.7963047623634338</v>
      </c>
      <c r="P2216" s="3" t="n">
        <v>-0.7963047623634338</v>
      </c>
      <c r="Q2216" s="3" t="n">
        <v>-0.7963047623634338</v>
      </c>
      <c r="R2216" s="3" t="n">
        <v>-0.7774887681007385</v>
      </c>
      <c r="S2216" s="3" t="n">
        <v>-2.096574306488037</v>
      </c>
      <c r="T2216" s="3" t="n">
        <v>-0.7114566564559937</v>
      </c>
      <c r="U2216" s="3" t="n">
        <v>-0.9477985501289368</v>
      </c>
      <c r="V2216" s="3" t="n">
        <v>-0.6910269260406494</v>
      </c>
      <c r="W2216" s="3" t="n">
        <v>-0.7022287249565125</v>
      </c>
      <c r="X2216" s="3" t="n">
        <v>-1.992249011993408</v>
      </c>
      <c r="Y2216" s="3" t="n">
        <v>-0.7963047623634338</v>
      </c>
      <c r="Z2216" s="3" t="n">
        <v>-2.096574306488037</v>
      </c>
      <c r="AA2216" s="3" t="n">
        <v>-2.096574306488037</v>
      </c>
      <c r="AB2216" s="3" t="n">
        <v>-1.992249011993408</v>
      </c>
      <c r="AC2216" s="3" t="n">
        <v>-6.154195785522461</v>
      </c>
      <c r="AD2216" s="3" t="n">
        <v>-0.9477985501289368</v>
      </c>
      <c r="AE2216" s="3" t="n">
        <v>-0.9477985501289368</v>
      </c>
    </row>
    <row r="2217">
      <c r="A2217" s="3" t="inlineStr">
        <is>
          <t>UGA.distn.dec.ove.mean.3</t>
        </is>
      </c>
      <c r="B2217" s="3" t="inlineStr">
        <is>
          <t>UGA</t>
        </is>
      </c>
      <c r="C2217" s="3" t="n">
        <v>2005</v>
      </c>
      <c r="D2217" s="3" t="inlineStr">
        <is>
          <t>Overall</t>
        </is>
      </c>
      <c r="E2217" s="3" t="inlineStr">
        <is>
          <t>Deciles</t>
        </is>
      </c>
      <c r="F2217" s="3" t="inlineStr">
        <is>
          <t>mean</t>
        </is>
      </c>
      <c r="G2217" s="3" t="n">
        <v>3</v>
      </c>
      <c r="H2217" s="3" t="n">
        <v>-0.7963047623634338</v>
      </c>
      <c r="I2217" s="3" t="n">
        <v>-0.7963047623634338</v>
      </c>
      <c r="J2217" s="3" t="n">
        <v>-0.9477985501289368</v>
      </c>
      <c r="K2217" s="3" t="n">
        <v>-0.9477985501289368</v>
      </c>
      <c r="L2217" s="3" t="n">
        <v>-0.7963047623634338</v>
      </c>
      <c r="M2217" s="3" t="n">
        <v>-0.7963047623634338</v>
      </c>
      <c r="N2217" s="3" t="n">
        <v>-0.7963047623634338</v>
      </c>
      <c r="O2217" s="3" t="n">
        <v>-0.7963047623634338</v>
      </c>
      <c r="P2217" s="3" t="n">
        <v>-0.7963047623634338</v>
      </c>
      <c r="Q2217" s="3" t="n">
        <v>-0.7963047623634338</v>
      </c>
      <c r="R2217" s="3" t="n">
        <v>-0.7774887681007385</v>
      </c>
      <c r="S2217" s="3" t="n">
        <v>-2.096574306488037</v>
      </c>
      <c r="T2217" s="3" t="n">
        <v>-0.7114566564559937</v>
      </c>
      <c r="U2217" s="3" t="n">
        <v>-0.9477985501289368</v>
      </c>
      <c r="V2217" s="3" t="n">
        <v>-0.6910269260406494</v>
      </c>
      <c r="W2217" s="3" t="n">
        <v>-0.7022287249565125</v>
      </c>
      <c r="X2217" s="3" t="n">
        <v>-1.992249011993408</v>
      </c>
      <c r="Y2217" s="3" t="n">
        <v>-0.7963047623634338</v>
      </c>
      <c r="Z2217" s="3" t="n">
        <v>-2.096574306488037</v>
      </c>
      <c r="AA2217" s="3" t="n">
        <v>-2.096574306488037</v>
      </c>
      <c r="AB2217" s="3" t="n">
        <v>-1.992249011993408</v>
      </c>
      <c r="AC2217" s="3" t="n">
        <v>-6.154195785522461</v>
      </c>
      <c r="AD2217" s="3" t="n">
        <v>-0.9477985501289368</v>
      </c>
      <c r="AE2217" s="3" t="n">
        <v>-0.9477985501289368</v>
      </c>
    </row>
    <row r="2218">
      <c r="A2218" s="3" t="inlineStr">
        <is>
          <t>UGA.distn.dec.ove.mean.4</t>
        </is>
      </c>
      <c r="B2218" s="3" t="inlineStr">
        <is>
          <t>UGA</t>
        </is>
      </c>
      <c r="C2218" s="3" t="n">
        <v>2005</v>
      </c>
      <c r="D2218" s="3" t="inlineStr">
        <is>
          <t>Overall</t>
        </is>
      </c>
      <c r="E2218" s="3" t="inlineStr">
        <is>
          <t>Deciles</t>
        </is>
      </c>
      <c r="F2218" s="3" t="inlineStr">
        <is>
          <t>mean</t>
        </is>
      </c>
      <c r="G2218" s="3" t="n">
        <v>4</v>
      </c>
      <c r="H2218" s="3" t="n">
        <v>-0.7900000214576721</v>
      </c>
      <c r="I2218" s="3" t="n">
        <v>-0.7900000214576721</v>
      </c>
      <c r="J2218" s="3" t="n">
        <v>-0.9020000100135803</v>
      </c>
      <c r="K2218" s="3" t="n">
        <v>-0.9020000100135803</v>
      </c>
      <c r="L2218" s="3" t="n">
        <v>-0.7900000214576721</v>
      </c>
      <c r="M2218" s="3" t="n">
        <v>-0.7900000214576721</v>
      </c>
      <c r="N2218" s="3" t="n">
        <v>-0.7900000214576721</v>
      </c>
      <c r="O2218" s="3" t="n">
        <v>-0.7900000214576721</v>
      </c>
      <c r="P2218" s="3" t="n">
        <v>-0.7900000214576721</v>
      </c>
      <c r="Q2218" s="3" t="n">
        <v>-0.7900000214576721</v>
      </c>
      <c r="R2218" s="3" t="n">
        <v>-0.7739999890327454</v>
      </c>
      <c r="S2218" s="3" t="n">
        <v>-1.427999973297119</v>
      </c>
      <c r="T2218" s="3" t="n">
        <v>-0.7099999785423279</v>
      </c>
      <c r="U2218" s="3" t="n">
        <v>-0.9020000100135803</v>
      </c>
      <c r="V2218" s="3" t="n">
        <v>-0.6840000152587891</v>
      </c>
      <c r="W2218" s="3" t="n">
        <v>-0.5910000205039978</v>
      </c>
      <c r="X2218" s="3" t="n">
        <v>-1.406000018119812</v>
      </c>
      <c r="Y2218" s="3" t="n">
        <v>-0.7900000214576721</v>
      </c>
      <c r="Z2218" s="3" t="n">
        <v>-1.427999973297119</v>
      </c>
      <c r="AA2218" s="3" t="n">
        <v>-1.427999973297119</v>
      </c>
      <c r="AB2218" s="3" t="n">
        <v>-1.406000018119812</v>
      </c>
      <c r="AC2218" s="3" t="n">
        <v>-2.971999883651733</v>
      </c>
      <c r="AD2218" s="3" t="n">
        <v>-0.9020000100135803</v>
      </c>
      <c r="AE2218" s="3" t="n">
        <v>-0.9020000100135803</v>
      </c>
    </row>
    <row r="2219">
      <c r="A2219" s="3" t="inlineStr">
        <is>
          <t>UGA.distn.dec.ove.mean.5</t>
        </is>
      </c>
      <c r="B2219" s="3" t="inlineStr">
        <is>
          <t>UGA</t>
        </is>
      </c>
      <c r="C2219" s="3" t="n">
        <v>2005</v>
      </c>
      <c r="D2219" s="3" t="inlineStr">
        <is>
          <t>Overall</t>
        </is>
      </c>
      <c r="E2219" s="3" t="inlineStr">
        <is>
          <t>Deciles</t>
        </is>
      </c>
      <c r="F2219" s="3" t="inlineStr">
        <is>
          <t>mean</t>
        </is>
      </c>
      <c r="G2219" s="3" t="n">
        <v>5</v>
      </c>
      <c r="H2219" s="3" t="n">
        <v>-0.7900000214576721</v>
      </c>
      <c r="I2219" s="3" t="n">
        <v>-0.7900000214576721</v>
      </c>
      <c r="J2219" s="3" t="n">
        <v>-0.9020000100135803</v>
      </c>
      <c r="K2219" s="3" t="n">
        <v>-0.9020000100135803</v>
      </c>
      <c r="L2219" s="3" t="n">
        <v>-0.7900000214576721</v>
      </c>
      <c r="M2219" s="3" t="n">
        <v>-0.7900000214576721</v>
      </c>
      <c r="N2219" s="3" t="n">
        <v>-0.7900000214576721</v>
      </c>
      <c r="O2219" s="3" t="n">
        <v>-0.7900000214576721</v>
      </c>
      <c r="P2219" s="3" t="n">
        <v>-0.7900000214576721</v>
      </c>
      <c r="Q2219" s="3" t="n">
        <v>-0.7900000214576721</v>
      </c>
      <c r="R2219" s="3" t="n">
        <v>-0.7739999890327454</v>
      </c>
      <c r="S2219" s="3" t="n">
        <v>-1.427999973297119</v>
      </c>
      <c r="T2219" s="3" t="n">
        <v>-0.7099999785423279</v>
      </c>
      <c r="U2219" s="3" t="n">
        <v>-0.9020000100135803</v>
      </c>
      <c r="V2219" s="3" t="n">
        <v>-0.6840000152587891</v>
      </c>
      <c r="W2219" s="3" t="n">
        <v>-0.5910000205039978</v>
      </c>
      <c r="X2219" s="3" t="n">
        <v>-1.406000018119812</v>
      </c>
      <c r="Y2219" s="3" t="n">
        <v>-0.7900000214576721</v>
      </c>
      <c r="Z2219" s="3" t="n">
        <v>-1.427999973297119</v>
      </c>
      <c r="AA2219" s="3" t="n">
        <v>-1.427999973297119</v>
      </c>
      <c r="AB2219" s="3" t="n">
        <v>-1.406000018119812</v>
      </c>
      <c r="AC2219" s="3" t="n">
        <v>-2.971999883651733</v>
      </c>
      <c r="AD2219" s="3" t="n">
        <v>-0.9020000100135803</v>
      </c>
      <c r="AE2219" s="3" t="n">
        <v>-0.9020000100135803</v>
      </c>
    </row>
    <row r="2220">
      <c r="A2220" s="3" t="inlineStr">
        <is>
          <t>UGA.distn.dec.ove.mean.6</t>
        </is>
      </c>
      <c r="B2220" s="3" t="inlineStr">
        <is>
          <t>UGA</t>
        </is>
      </c>
      <c r="C2220" s="3" t="n">
        <v>2005</v>
      </c>
      <c r="D2220" s="3" t="inlineStr">
        <is>
          <t>Overall</t>
        </is>
      </c>
      <c r="E2220" s="3" t="inlineStr">
        <is>
          <t>Deciles</t>
        </is>
      </c>
      <c r="F2220" s="3" t="inlineStr">
        <is>
          <t>mean</t>
        </is>
      </c>
      <c r="G2220" s="3" t="n">
        <v>6</v>
      </c>
      <c r="H2220" s="3" t="n">
        <v>-0.7900000214576721</v>
      </c>
      <c r="I2220" s="3" t="n">
        <v>-0.7900000214576721</v>
      </c>
      <c r="J2220" s="3" t="n">
        <v>-0.9020000100135803</v>
      </c>
      <c r="K2220" s="3" t="n">
        <v>-0.9020000100135803</v>
      </c>
      <c r="L2220" s="3" t="n">
        <v>-0.7900000214576721</v>
      </c>
      <c r="M2220" s="3" t="n">
        <v>-0.7900000214576721</v>
      </c>
      <c r="N2220" s="3" t="n">
        <v>-0.7900000214576721</v>
      </c>
      <c r="O2220" s="3" t="n">
        <v>-0.7900000214576721</v>
      </c>
      <c r="P2220" s="3" t="n">
        <v>-0.7900000214576721</v>
      </c>
      <c r="Q2220" s="3" t="n">
        <v>-0.7900000214576721</v>
      </c>
      <c r="R2220" s="3" t="n">
        <v>-0.7739999890327454</v>
      </c>
      <c r="S2220" s="3" t="n">
        <v>-1.427999973297119</v>
      </c>
      <c r="T2220" s="3" t="n">
        <v>-0.7099999785423279</v>
      </c>
      <c r="U2220" s="3" t="n">
        <v>-0.9020000100135803</v>
      </c>
      <c r="V2220" s="3" t="n">
        <v>-0.6840000152587891</v>
      </c>
      <c r="W2220" s="3" t="n">
        <v>-0.5910000205039978</v>
      </c>
      <c r="X2220" s="3" t="n">
        <v>-1.406000018119812</v>
      </c>
      <c r="Y2220" s="3" t="n">
        <v>-0.7900000214576721</v>
      </c>
      <c r="Z2220" s="3" t="n">
        <v>-1.427999973297119</v>
      </c>
      <c r="AA2220" s="3" t="n">
        <v>-1.427999973297119</v>
      </c>
      <c r="AB2220" s="3" t="n">
        <v>-1.406000018119812</v>
      </c>
      <c r="AC2220" s="3" t="n">
        <v>-2.971999883651733</v>
      </c>
      <c r="AD2220" s="3" t="n">
        <v>-0.9020000100135803</v>
      </c>
      <c r="AE2220" s="3" t="n">
        <v>-0.9020000100135803</v>
      </c>
    </row>
    <row r="2221">
      <c r="A2221" s="3" t="inlineStr">
        <is>
          <t>UGA.distn.dec.ove.mean.7</t>
        </is>
      </c>
      <c r="B2221" s="3" t="inlineStr">
        <is>
          <t>UGA</t>
        </is>
      </c>
      <c r="C2221" s="3" t="n">
        <v>2005</v>
      </c>
      <c r="D2221" s="3" t="inlineStr">
        <is>
          <t>Overall</t>
        </is>
      </c>
      <c r="E2221" s="3" t="inlineStr">
        <is>
          <t>Deciles</t>
        </is>
      </c>
      <c r="F2221" s="3" t="inlineStr">
        <is>
          <t>mean</t>
        </is>
      </c>
      <c r="G2221" s="3" t="n">
        <v>7</v>
      </c>
      <c r="H2221" s="3" t="n">
        <v>-0.7900000214576721</v>
      </c>
      <c r="I2221" s="3" t="n">
        <v>-0.7900000214576721</v>
      </c>
      <c r="J2221" s="3" t="n">
        <v>-0.9020000100135803</v>
      </c>
      <c r="K2221" s="3" t="n">
        <v>-0.9020000100135803</v>
      </c>
      <c r="L2221" s="3" t="n">
        <v>-0.7900000214576721</v>
      </c>
      <c r="M2221" s="3" t="n">
        <v>-0.7900000214576721</v>
      </c>
      <c r="N2221" s="3" t="n">
        <v>-0.7900000214576721</v>
      </c>
      <c r="O2221" s="3" t="n">
        <v>-0.7900000214576721</v>
      </c>
      <c r="P2221" s="3" t="n">
        <v>-0.7900000214576721</v>
      </c>
      <c r="Q2221" s="3" t="n">
        <v>-0.7900000214576721</v>
      </c>
      <c r="R2221" s="3" t="n">
        <v>-0.7739999890327454</v>
      </c>
      <c r="S2221" s="3" t="n">
        <v>-1.427999973297119</v>
      </c>
      <c r="T2221" s="3" t="n">
        <v>-0.7099999785423279</v>
      </c>
      <c r="U2221" s="3" t="n">
        <v>-0.9020000100135803</v>
      </c>
      <c r="V2221" s="3" t="n">
        <v>-0.6840000152587891</v>
      </c>
      <c r="W2221" s="3" t="n">
        <v>-0.5910000205039978</v>
      </c>
      <c r="X2221" s="3" t="n">
        <v>-1.406000018119812</v>
      </c>
      <c r="Y2221" s="3" t="n">
        <v>-0.7900000214576721</v>
      </c>
      <c r="Z2221" s="3" t="n">
        <v>-1.427999973297119</v>
      </c>
      <c r="AA2221" s="3" t="n">
        <v>-1.427999973297119</v>
      </c>
      <c r="AB2221" s="3" t="n">
        <v>-1.406000018119812</v>
      </c>
      <c r="AC2221" s="3" t="n">
        <v>-2.971999883651733</v>
      </c>
      <c r="AD2221" s="3" t="n">
        <v>-0.9020000100135803</v>
      </c>
      <c r="AE2221" s="3" t="n">
        <v>-0.9020000100135803</v>
      </c>
    </row>
    <row r="2222">
      <c r="A2222" s="3" t="inlineStr">
        <is>
          <t>UGA.distn.dec.ove.mean.8</t>
        </is>
      </c>
      <c r="B2222" s="3" t="inlineStr">
        <is>
          <t>UGA</t>
        </is>
      </c>
      <c r="C2222" s="3" t="n">
        <v>2005</v>
      </c>
      <c r="D2222" s="3" t="inlineStr">
        <is>
          <t>Overall</t>
        </is>
      </c>
      <c r="E2222" s="3" t="inlineStr">
        <is>
          <t>Deciles</t>
        </is>
      </c>
      <c r="F2222" s="3" t="inlineStr">
        <is>
          <t>mean</t>
        </is>
      </c>
      <c r="G2222" s="3" t="n">
        <v>8</v>
      </c>
      <c r="H2222" s="3" t="n">
        <v>-0.790380597114563</v>
      </c>
      <c r="I2222" s="3" t="n">
        <v>-0.790380597114563</v>
      </c>
      <c r="J2222" s="3" t="n">
        <v>-0.9044332504272461</v>
      </c>
      <c r="K2222" s="3" t="n">
        <v>-0.9044332504272461</v>
      </c>
      <c r="L2222" s="3" t="n">
        <v>-0.790380597114563</v>
      </c>
      <c r="M2222" s="3" t="n">
        <v>-0.790380597114563</v>
      </c>
      <c r="N2222" s="3" t="n">
        <v>-0.790380597114563</v>
      </c>
      <c r="O2222" s="3" t="n">
        <v>-0.790380597114563</v>
      </c>
      <c r="P2222" s="3" t="n">
        <v>-0.790380597114563</v>
      </c>
      <c r="Q2222" s="3" t="n">
        <v>-0.790380597114563</v>
      </c>
      <c r="R2222" s="3" t="n">
        <v>-0.7742545604705811</v>
      </c>
      <c r="S2222" s="3" t="n">
        <v>-1.441287755966187</v>
      </c>
      <c r="T2222" s="3" t="n">
        <v>-0.7100409269332886</v>
      </c>
      <c r="U2222" s="3" t="n">
        <v>-0.9044332504272461</v>
      </c>
      <c r="V2222" s="3" t="n">
        <v>-0.6847071051597595</v>
      </c>
      <c r="W2222" s="3" t="n">
        <v>-0.6068262457847595</v>
      </c>
      <c r="X2222" s="3" t="n">
        <v>-1.418811440467834</v>
      </c>
      <c r="Y2222" s="3" t="n">
        <v>-0.790380597114563</v>
      </c>
      <c r="Z2222" s="3" t="n">
        <v>-1.441287755966187</v>
      </c>
      <c r="AA2222" s="3" t="n">
        <v>-1.441287755966187</v>
      </c>
      <c r="AB2222" s="3" t="n">
        <v>-1.418811440467834</v>
      </c>
      <c r="AC2222" s="3" t="n">
        <v>-3.014384746551514</v>
      </c>
      <c r="AD2222" s="3" t="n">
        <v>-0.9044332504272461</v>
      </c>
      <c r="AE2222" s="3" t="n">
        <v>-0.9044332504272461</v>
      </c>
    </row>
    <row r="2223">
      <c r="A2223" s="3" t="inlineStr">
        <is>
          <t>UGA.distn.dec.ove.mean.9</t>
        </is>
      </c>
      <c r="B2223" s="3" t="inlineStr">
        <is>
          <t>UGA</t>
        </is>
      </c>
      <c r="C2223" s="3" t="n">
        <v>2005</v>
      </c>
      <c r="D2223" s="3" t="inlineStr">
        <is>
          <t>Overall</t>
        </is>
      </c>
      <c r="E2223" s="3" t="inlineStr">
        <is>
          <t>Deciles</t>
        </is>
      </c>
      <c r="F2223" s="3" t="inlineStr">
        <is>
          <t>mean</t>
        </is>
      </c>
      <c r="G2223" s="3" t="n">
        <v>9</v>
      </c>
      <c r="H2223" s="3" t="n">
        <v>-0.790380597114563</v>
      </c>
      <c r="I2223" s="3" t="n">
        <v>-0.790380597114563</v>
      </c>
      <c r="J2223" s="3" t="n">
        <v>-0.9044332504272461</v>
      </c>
      <c r="K2223" s="3" t="n">
        <v>-0.9044332504272461</v>
      </c>
      <c r="L2223" s="3" t="n">
        <v>-0.790380597114563</v>
      </c>
      <c r="M2223" s="3" t="n">
        <v>-0.790380597114563</v>
      </c>
      <c r="N2223" s="3" t="n">
        <v>-0.790380597114563</v>
      </c>
      <c r="O2223" s="3" t="n">
        <v>-0.790380597114563</v>
      </c>
      <c r="P2223" s="3" t="n">
        <v>-0.790380597114563</v>
      </c>
      <c r="Q2223" s="3" t="n">
        <v>-0.790380597114563</v>
      </c>
      <c r="R2223" s="3" t="n">
        <v>-0.7742545604705811</v>
      </c>
      <c r="S2223" s="3" t="n">
        <v>-1.441287755966187</v>
      </c>
      <c r="T2223" s="3" t="n">
        <v>-0.7100409269332886</v>
      </c>
      <c r="U2223" s="3" t="n">
        <v>-0.9044332504272461</v>
      </c>
      <c r="V2223" s="3" t="n">
        <v>-0.6847071051597595</v>
      </c>
      <c r="W2223" s="3" t="n">
        <v>-0.6068262457847595</v>
      </c>
      <c r="X2223" s="3" t="n">
        <v>-1.418811440467834</v>
      </c>
      <c r="Y2223" s="3" t="n">
        <v>-0.790380597114563</v>
      </c>
      <c r="Z2223" s="3" t="n">
        <v>-1.441287755966187</v>
      </c>
      <c r="AA2223" s="3" t="n">
        <v>-1.441287755966187</v>
      </c>
      <c r="AB2223" s="3" t="n">
        <v>-1.418811440467834</v>
      </c>
      <c r="AC2223" s="3" t="n">
        <v>-3.014384746551514</v>
      </c>
      <c r="AD2223" s="3" t="n">
        <v>-0.9044332504272461</v>
      </c>
      <c r="AE2223" s="3" t="n">
        <v>-0.9044332504272461</v>
      </c>
    </row>
    <row r="2224">
      <c r="A2224" s="3" t="inlineStr">
        <is>
          <t>UGA.distn.dec.ove.mean.10</t>
        </is>
      </c>
      <c r="B2224" s="3" t="inlineStr">
        <is>
          <t>UGA</t>
        </is>
      </c>
      <c r="C2224" s="3" t="n">
        <v>2005</v>
      </c>
      <c r="D2224" s="3" t="inlineStr">
        <is>
          <t>Overall</t>
        </is>
      </c>
      <c r="E2224" s="3" t="inlineStr">
        <is>
          <t>Deciles</t>
        </is>
      </c>
      <c r="F2224" s="3" t="inlineStr">
        <is>
          <t>mean</t>
        </is>
      </c>
      <c r="G2224" s="3" t="n">
        <v>10</v>
      </c>
      <c r="H2224" s="3" t="n">
        <v>-0.790380597114563</v>
      </c>
      <c r="I2224" s="3" t="n">
        <v>-0.790380597114563</v>
      </c>
      <c r="J2224" s="3" t="n">
        <v>-0.9044332504272461</v>
      </c>
      <c r="K2224" s="3" t="n">
        <v>-0.9044332504272461</v>
      </c>
      <c r="L2224" s="3" t="n">
        <v>-0.790380597114563</v>
      </c>
      <c r="M2224" s="3" t="n">
        <v>-0.790380597114563</v>
      </c>
      <c r="N2224" s="3" t="n">
        <v>-0.790380597114563</v>
      </c>
      <c r="O2224" s="3" t="n">
        <v>-0.790380597114563</v>
      </c>
      <c r="P2224" s="3" t="n">
        <v>-0.790380597114563</v>
      </c>
      <c r="Q2224" s="3" t="n">
        <v>-0.790380597114563</v>
      </c>
      <c r="R2224" s="3" t="n">
        <v>-0.7742545604705811</v>
      </c>
      <c r="S2224" s="3" t="n">
        <v>-1.441287755966187</v>
      </c>
      <c r="T2224" s="3" t="n">
        <v>-0.7100409269332886</v>
      </c>
      <c r="U2224" s="3" t="n">
        <v>-0.9044332504272461</v>
      </c>
      <c r="V2224" s="3" t="n">
        <v>-0.6847071051597595</v>
      </c>
      <c r="W2224" s="3" t="n">
        <v>-0.6068262457847595</v>
      </c>
      <c r="X2224" s="3" t="n">
        <v>-1.418811440467834</v>
      </c>
      <c r="Y2224" s="3" t="n">
        <v>-0.790380597114563</v>
      </c>
      <c r="Z2224" s="3" t="n">
        <v>-1.441287755966187</v>
      </c>
      <c r="AA2224" s="3" t="n">
        <v>-1.441287755966187</v>
      </c>
      <c r="AB2224" s="3" t="n">
        <v>-1.418811440467834</v>
      </c>
      <c r="AC2224" s="3" t="n">
        <v>-3.014384746551514</v>
      </c>
      <c r="AD2224" s="3" t="n">
        <v>-0.9044332504272461</v>
      </c>
      <c r="AE2224" s="3" t="n">
        <v>-0.9044332504272461</v>
      </c>
    </row>
    <row r="2225">
      <c r="A2225" s="3" t="inlineStr">
        <is>
          <t>UGA.distn.bkt.ove.mean.9999</t>
        </is>
      </c>
      <c r="B2225" s="3" t="inlineStr">
        <is>
          <t>UGA</t>
        </is>
      </c>
      <c r="C2225" s="3" t="n">
        <v>2005</v>
      </c>
      <c r="D2225" s="3" t="inlineStr">
        <is>
          <t>Overall</t>
        </is>
      </c>
      <c r="E2225" s="3" t="inlineStr">
        <is>
          <t>Basket</t>
        </is>
      </c>
      <c r="F2225" s="3" t="inlineStr">
        <is>
          <t>mean</t>
        </is>
      </c>
      <c r="G2225" s="3" t="n">
        <v>9999</v>
      </c>
      <c r="H2225" s="3" t="n">
        <v>-0.7920055985450745</v>
      </c>
      <c r="I2225" s="3" t="n">
        <v>-0.7920055985450745</v>
      </c>
      <c r="J2225" s="3" t="n">
        <v>-0.9164695739746094</v>
      </c>
      <c r="K2225" s="3" t="n">
        <v>-0.9164695739746094</v>
      </c>
      <c r="L2225" s="3" t="n">
        <v>-0.7920055985450745</v>
      </c>
      <c r="M2225" s="3" t="n">
        <v>-0.7920055985450745</v>
      </c>
      <c r="N2225" s="3" t="n">
        <v>-0.7920055985450745</v>
      </c>
      <c r="O2225" s="3" t="n">
        <v>-0.7920055985450745</v>
      </c>
      <c r="P2225" s="3" t="n">
        <v>-0.7920055985450745</v>
      </c>
      <c r="Q2225" s="3" t="n">
        <v>-0.7920055985450745</v>
      </c>
      <c r="R2225" s="3" t="n">
        <v>-0.7751230001449585</v>
      </c>
      <c r="S2225" s="3" t="n">
        <v>-1.632558584213257</v>
      </c>
      <c r="T2225" s="3" t="n">
        <v>-0.7104492783546448</v>
      </c>
      <c r="U2225" s="3" t="n">
        <v>-0.9164695739746094</v>
      </c>
      <c r="V2225" s="3" t="n">
        <v>-0.6863201856613159</v>
      </c>
      <c r="W2225" s="3" t="n">
        <v>-0.6291164755821228</v>
      </c>
      <c r="X2225" s="3" t="n">
        <v>-1.585718154907227</v>
      </c>
      <c r="Y2225" s="3" t="n">
        <v>-0.7920055985450745</v>
      </c>
      <c r="Z2225" s="3" t="n">
        <v>-1.632558584213257</v>
      </c>
      <c r="AA2225" s="3" t="n">
        <v>-1.632558584213257</v>
      </c>
      <c r="AB2225" s="3" t="n">
        <v>-1.585718154907227</v>
      </c>
      <c r="AC2225" s="3" t="n">
        <v>-3.939374208450317</v>
      </c>
      <c r="AD2225" s="3" t="n">
        <v>-0.9164695739746094</v>
      </c>
      <c r="AE2225" s="3" t="n">
        <v>-0.9164695739746094</v>
      </c>
    </row>
    <row r="2226">
      <c r="A2226" s="3" t="inlineStr">
        <is>
          <t>UKR.distn.dec.ove.mean.1</t>
        </is>
      </c>
      <c r="B2226" s="3" t="inlineStr">
        <is>
          <t>UKR</t>
        </is>
      </c>
      <c r="C2226" s="3" t="n">
        <v>2005</v>
      </c>
      <c r="D2226" s="3" t="inlineStr">
        <is>
          <t>Overall</t>
        </is>
      </c>
      <c r="E2226" s="3" t="inlineStr">
        <is>
          <t>Deciles</t>
        </is>
      </c>
      <c r="F2226" s="3" t="inlineStr">
        <is>
          <t>mean</t>
        </is>
      </c>
      <c r="G2226" s="3" t="n">
        <v>1</v>
      </c>
      <c r="H2226" s="3" t="n">
        <v>-0.7892489433288574</v>
      </c>
      <c r="I2226" s="3" t="n">
        <v>-0.7892489433288574</v>
      </c>
      <c r="J2226" s="3" t="n">
        <v>-0.8973613977432251</v>
      </c>
      <c r="K2226" s="3" t="n">
        <v>-0.8973613977432251</v>
      </c>
      <c r="L2226" s="3" t="n">
        <v>-0.7892489433288574</v>
      </c>
      <c r="M2226" s="3" t="n">
        <v>-0.7892489433288574</v>
      </c>
      <c r="N2226" s="3" t="n">
        <v>-0.7892489433288574</v>
      </c>
      <c r="O2226" s="3" t="n">
        <v>-0.7892489433288574</v>
      </c>
      <c r="P2226" s="3" t="n">
        <v>-0.7892489433288574</v>
      </c>
      <c r="Q2226" s="3" t="n">
        <v>-0.7892489433288574</v>
      </c>
      <c r="R2226" s="3" t="n">
        <v>-0.7744752764701843</v>
      </c>
      <c r="S2226" s="3" t="n">
        <v>-1.462316513061523</v>
      </c>
      <c r="T2226" s="3" t="n">
        <v>-0.7104546427726746</v>
      </c>
      <c r="U2226" s="3" t="n">
        <v>-0.8973613977432251</v>
      </c>
      <c r="V2226" s="3" t="n">
        <v>-0.6839550137519836</v>
      </c>
      <c r="W2226" s="3" t="n">
        <v>-0.6154898405075073</v>
      </c>
      <c r="X2226" s="3" t="n">
        <v>-1.40704357624054</v>
      </c>
      <c r="Y2226" s="3" t="n">
        <v>-0.7892489433288574</v>
      </c>
      <c r="Z2226" s="3" t="n">
        <v>-1.462316513061523</v>
      </c>
      <c r="AA2226" s="3" t="n">
        <v>-1.462316513061523</v>
      </c>
      <c r="AB2226" s="3" t="n">
        <v>-1.40704357624054</v>
      </c>
      <c r="AC2226" s="3" t="n">
        <v>-2.252948999404907</v>
      </c>
      <c r="AD2226" s="3" t="n">
        <v>-0.8973613977432251</v>
      </c>
      <c r="AE2226" s="3" t="n">
        <v>-0.8973613977432251</v>
      </c>
    </row>
    <row r="2227">
      <c r="A2227" s="3" t="inlineStr">
        <is>
          <t>UKR.distn.dec.ove.mean.2</t>
        </is>
      </c>
      <c r="B2227" s="3" t="inlineStr">
        <is>
          <t>UKR</t>
        </is>
      </c>
      <c r="C2227" s="3" t="n">
        <v>2005</v>
      </c>
      <c r="D2227" s="3" t="inlineStr">
        <is>
          <t>Overall</t>
        </is>
      </c>
      <c r="E2227" s="3" t="inlineStr">
        <is>
          <t>Deciles</t>
        </is>
      </c>
      <c r="F2227" s="3" t="inlineStr">
        <is>
          <t>mean</t>
        </is>
      </c>
      <c r="G2227" s="3" t="n">
        <v>2</v>
      </c>
      <c r="H2227" s="3" t="n">
        <v>-0.7892489433288574</v>
      </c>
      <c r="I2227" s="3" t="n">
        <v>-0.7892489433288574</v>
      </c>
      <c r="J2227" s="3" t="n">
        <v>-0.8973613977432251</v>
      </c>
      <c r="K2227" s="3" t="n">
        <v>-0.8973613977432251</v>
      </c>
      <c r="L2227" s="3" t="n">
        <v>-0.7892489433288574</v>
      </c>
      <c r="M2227" s="3" t="n">
        <v>-0.7892489433288574</v>
      </c>
      <c r="N2227" s="3" t="n">
        <v>-0.7892489433288574</v>
      </c>
      <c r="O2227" s="3" t="n">
        <v>-0.7892489433288574</v>
      </c>
      <c r="P2227" s="3" t="n">
        <v>-0.7892489433288574</v>
      </c>
      <c r="Q2227" s="3" t="n">
        <v>-0.7892489433288574</v>
      </c>
      <c r="R2227" s="3" t="n">
        <v>-0.7744752764701843</v>
      </c>
      <c r="S2227" s="3" t="n">
        <v>-1.462316513061523</v>
      </c>
      <c r="T2227" s="3" t="n">
        <v>-0.7104546427726746</v>
      </c>
      <c r="U2227" s="3" t="n">
        <v>-0.8973613977432251</v>
      </c>
      <c r="V2227" s="3" t="n">
        <v>-0.6839550137519836</v>
      </c>
      <c r="W2227" s="3" t="n">
        <v>-0.6154898405075073</v>
      </c>
      <c r="X2227" s="3" t="n">
        <v>-1.40704357624054</v>
      </c>
      <c r="Y2227" s="3" t="n">
        <v>-0.7892489433288574</v>
      </c>
      <c r="Z2227" s="3" t="n">
        <v>-1.462316513061523</v>
      </c>
      <c r="AA2227" s="3" t="n">
        <v>-1.462316513061523</v>
      </c>
      <c r="AB2227" s="3" t="n">
        <v>-1.40704357624054</v>
      </c>
      <c r="AC2227" s="3" t="n">
        <v>-2.252948999404907</v>
      </c>
      <c r="AD2227" s="3" t="n">
        <v>-0.8973613977432251</v>
      </c>
      <c r="AE2227" s="3" t="n">
        <v>-0.8973613977432251</v>
      </c>
    </row>
    <row r="2228">
      <c r="A2228" s="3" t="inlineStr">
        <is>
          <t>UKR.distn.dec.ove.mean.3</t>
        </is>
      </c>
      <c r="B2228" s="3" t="inlineStr">
        <is>
          <t>UKR</t>
        </is>
      </c>
      <c r="C2228" s="3" t="n">
        <v>2005</v>
      </c>
      <c r="D2228" s="3" t="inlineStr">
        <is>
          <t>Overall</t>
        </is>
      </c>
      <c r="E2228" s="3" t="inlineStr">
        <is>
          <t>Deciles</t>
        </is>
      </c>
      <c r="F2228" s="3" t="inlineStr">
        <is>
          <t>mean</t>
        </is>
      </c>
      <c r="G2228" s="3" t="n">
        <v>3</v>
      </c>
      <c r="H2228" s="3" t="n">
        <v>-0.7892489433288574</v>
      </c>
      <c r="I2228" s="3" t="n">
        <v>-0.7892489433288574</v>
      </c>
      <c r="J2228" s="3" t="n">
        <v>-0.8973613977432251</v>
      </c>
      <c r="K2228" s="3" t="n">
        <v>-0.8973613977432251</v>
      </c>
      <c r="L2228" s="3" t="n">
        <v>-0.7892489433288574</v>
      </c>
      <c r="M2228" s="3" t="n">
        <v>-0.7892489433288574</v>
      </c>
      <c r="N2228" s="3" t="n">
        <v>-0.7892489433288574</v>
      </c>
      <c r="O2228" s="3" t="n">
        <v>-0.7892489433288574</v>
      </c>
      <c r="P2228" s="3" t="n">
        <v>-0.7892489433288574</v>
      </c>
      <c r="Q2228" s="3" t="n">
        <v>-0.7892489433288574</v>
      </c>
      <c r="R2228" s="3" t="n">
        <v>-0.7744752764701843</v>
      </c>
      <c r="S2228" s="3" t="n">
        <v>-1.462316513061523</v>
      </c>
      <c r="T2228" s="3" t="n">
        <v>-0.7104546427726746</v>
      </c>
      <c r="U2228" s="3" t="n">
        <v>-0.8973613977432251</v>
      </c>
      <c r="V2228" s="3" t="n">
        <v>-0.6839550137519836</v>
      </c>
      <c r="W2228" s="3" t="n">
        <v>-0.6154898405075073</v>
      </c>
      <c r="X2228" s="3" t="n">
        <v>-1.40704357624054</v>
      </c>
      <c r="Y2228" s="3" t="n">
        <v>-0.7892489433288574</v>
      </c>
      <c r="Z2228" s="3" t="n">
        <v>-1.462316513061523</v>
      </c>
      <c r="AA2228" s="3" t="n">
        <v>-1.462316513061523</v>
      </c>
      <c r="AB2228" s="3" t="n">
        <v>-1.40704357624054</v>
      </c>
      <c r="AC2228" s="3" t="n">
        <v>-2.252948999404907</v>
      </c>
      <c r="AD2228" s="3" t="n">
        <v>-0.8973613977432251</v>
      </c>
      <c r="AE2228" s="3" t="n">
        <v>-0.8973613977432251</v>
      </c>
    </row>
    <row r="2229">
      <c r="A2229" s="3" t="inlineStr">
        <is>
          <t>UKR.distn.dec.ove.mean.4</t>
        </is>
      </c>
      <c r="B2229" s="3" t="inlineStr">
        <is>
          <t>UKR</t>
        </is>
      </c>
      <c r="C2229" s="3" t="n">
        <v>2005</v>
      </c>
      <c r="D2229" s="3" t="inlineStr">
        <is>
          <t>Overall</t>
        </is>
      </c>
      <c r="E2229" s="3" t="inlineStr">
        <is>
          <t>Deciles</t>
        </is>
      </c>
      <c r="F2229" s="3" t="inlineStr">
        <is>
          <t>mean</t>
        </is>
      </c>
      <c r="G2229" s="3" t="n">
        <v>4</v>
      </c>
      <c r="H2229" s="3" t="n">
        <v>-0.7829999923706055</v>
      </c>
      <c r="I2229" s="3" t="n">
        <v>-0.7829999923706055</v>
      </c>
      <c r="J2229" s="3" t="n">
        <v>-0.8539999723434448</v>
      </c>
      <c r="K2229" s="3" t="n">
        <v>-0.8539999723434448</v>
      </c>
      <c r="L2229" s="3" t="n">
        <v>-0.7829999923706055</v>
      </c>
      <c r="M2229" s="3" t="n">
        <v>-0.7829999923706055</v>
      </c>
      <c r="N2229" s="3" t="n">
        <v>-0.7829999923706055</v>
      </c>
      <c r="O2229" s="3" t="n">
        <v>-0.7829999923706055</v>
      </c>
      <c r="P2229" s="3" t="n">
        <v>-0.7829999923706055</v>
      </c>
      <c r="Q2229" s="3" t="n">
        <v>-0.7829999923706055</v>
      </c>
      <c r="R2229" s="3" t="n">
        <v>-0.7710000276565552</v>
      </c>
      <c r="S2229" s="3" t="n">
        <v>-0.9959999918937683</v>
      </c>
      <c r="T2229" s="3" t="n">
        <v>-0.7089999914169312</v>
      </c>
      <c r="U2229" s="3" t="n">
        <v>-0.8539999723434448</v>
      </c>
      <c r="V2229" s="3" t="n">
        <v>-0.6769999861717224</v>
      </c>
      <c r="W2229" s="3" t="n">
        <v>-0.5180000066757202</v>
      </c>
      <c r="X2229" s="3" t="n">
        <v>-0.9929999709129333</v>
      </c>
      <c r="Y2229" s="3" t="n">
        <v>-0.7829999923706055</v>
      </c>
      <c r="Z2229" s="3" t="n">
        <v>-0.9959999918937683</v>
      </c>
      <c r="AA2229" s="3" t="n">
        <v>-0.9959999918937683</v>
      </c>
      <c r="AB2229" s="3" t="n">
        <v>-0.9929999709129333</v>
      </c>
      <c r="AC2229" s="3" t="n">
        <v>-1.088000059127808</v>
      </c>
      <c r="AD2229" s="3" t="n">
        <v>-0.8539999723434448</v>
      </c>
      <c r="AE2229" s="3" t="n">
        <v>-0.8539999723434448</v>
      </c>
    </row>
    <row r="2230">
      <c r="A2230" s="3" t="inlineStr">
        <is>
          <t>UKR.distn.dec.ove.mean.5</t>
        </is>
      </c>
      <c r="B2230" s="3" t="inlineStr">
        <is>
          <t>UKR</t>
        </is>
      </c>
      <c r="C2230" s="3" t="n">
        <v>2005</v>
      </c>
      <c r="D2230" s="3" t="inlineStr">
        <is>
          <t>Overall</t>
        </is>
      </c>
      <c r="E2230" s="3" t="inlineStr">
        <is>
          <t>Deciles</t>
        </is>
      </c>
      <c r="F2230" s="3" t="inlineStr">
        <is>
          <t>mean</t>
        </is>
      </c>
      <c r="G2230" s="3" t="n">
        <v>5</v>
      </c>
      <c r="H2230" s="3" t="n">
        <v>-0.7829999923706055</v>
      </c>
      <c r="I2230" s="3" t="n">
        <v>-0.7829999923706055</v>
      </c>
      <c r="J2230" s="3" t="n">
        <v>-0.8539999723434448</v>
      </c>
      <c r="K2230" s="3" t="n">
        <v>-0.8539999723434448</v>
      </c>
      <c r="L2230" s="3" t="n">
        <v>-0.7829999923706055</v>
      </c>
      <c r="M2230" s="3" t="n">
        <v>-0.7829999923706055</v>
      </c>
      <c r="N2230" s="3" t="n">
        <v>-0.7829999923706055</v>
      </c>
      <c r="O2230" s="3" t="n">
        <v>-0.7829999923706055</v>
      </c>
      <c r="P2230" s="3" t="n">
        <v>-0.7829999923706055</v>
      </c>
      <c r="Q2230" s="3" t="n">
        <v>-0.7829999923706055</v>
      </c>
      <c r="R2230" s="3" t="n">
        <v>-0.7710000276565552</v>
      </c>
      <c r="S2230" s="3" t="n">
        <v>-0.9959999918937683</v>
      </c>
      <c r="T2230" s="3" t="n">
        <v>-0.7089999914169312</v>
      </c>
      <c r="U2230" s="3" t="n">
        <v>-0.8539999723434448</v>
      </c>
      <c r="V2230" s="3" t="n">
        <v>-0.6769999861717224</v>
      </c>
      <c r="W2230" s="3" t="n">
        <v>-0.5180000066757202</v>
      </c>
      <c r="X2230" s="3" t="n">
        <v>-0.9929999709129333</v>
      </c>
      <c r="Y2230" s="3" t="n">
        <v>-0.7829999923706055</v>
      </c>
      <c r="Z2230" s="3" t="n">
        <v>-0.9959999918937683</v>
      </c>
      <c r="AA2230" s="3" t="n">
        <v>-0.9959999918937683</v>
      </c>
      <c r="AB2230" s="3" t="n">
        <v>-0.9929999709129333</v>
      </c>
      <c r="AC2230" s="3" t="n">
        <v>-1.088000059127808</v>
      </c>
      <c r="AD2230" s="3" t="n">
        <v>-0.8539999723434448</v>
      </c>
      <c r="AE2230" s="3" t="n">
        <v>-0.8539999723434448</v>
      </c>
    </row>
    <row r="2231">
      <c r="A2231" s="3" t="inlineStr">
        <is>
          <t>UKR.distn.dec.ove.mean.6</t>
        </is>
      </c>
      <c r="B2231" s="3" t="inlineStr">
        <is>
          <t>UKR</t>
        </is>
      </c>
      <c r="C2231" s="3" t="n">
        <v>2005</v>
      </c>
      <c r="D2231" s="3" t="inlineStr">
        <is>
          <t>Overall</t>
        </is>
      </c>
      <c r="E2231" s="3" t="inlineStr">
        <is>
          <t>Deciles</t>
        </is>
      </c>
      <c r="F2231" s="3" t="inlineStr">
        <is>
          <t>mean</t>
        </is>
      </c>
      <c r="G2231" s="3" t="n">
        <v>6</v>
      </c>
      <c r="H2231" s="3" t="n">
        <v>-0.7829999923706055</v>
      </c>
      <c r="I2231" s="3" t="n">
        <v>-0.7829999923706055</v>
      </c>
      <c r="J2231" s="3" t="n">
        <v>-0.8539999723434448</v>
      </c>
      <c r="K2231" s="3" t="n">
        <v>-0.8539999723434448</v>
      </c>
      <c r="L2231" s="3" t="n">
        <v>-0.7829999923706055</v>
      </c>
      <c r="M2231" s="3" t="n">
        <v>-0.7829999923706055</v>
      </c>
      <c r="N2231" s="3" t="n">
        <v>-0.7829999923706055</v>
      </c>
      <c r="O2231" s="3" t="n">
        <v>-0.7829999923706055</v>
      </c>
      <c r="P2231" s="3" t="n">
        <v>-0.7829999923706055</v>
      </c>
      <c r="Q2231" s="3" t="n">
        <v>-0.7829999923706055</v>
      </c>
      <c r="R2231" s="3" t="n">
        <v>-0.7710000276565552</v>
      </c>
      <c r="S2231" s="3" t="n">
        <v>-0.9959999918937683</v>
      </c>
      <c r="T2231" s="3" t="n">
        <v>-0.7089999914169312</v>
      </c>
      <c r="U2231" s="3" t="n">
        <v>-0.8539999723434448</v>
      </c>
      <c r="V2231" s="3" t="n">
        <v>-0.6769999861717224</v>
      </c>
      <c r="W2231" s="3" t="n">
        <v>-0.5180000066757202</v>
      </c>
      <c r="X2231" s="3" t="n">
        <v>-0.9929999709129333</v>
      </c>
      <c r="Y2231" s="3" t="n">
        <v>-0.7829999923706055</v>
      </c>
      <c r="Z2231" s="3" t="n">
        <v>-0.9959999918937683</v>
      </c>
      <c r="AA2231" s="3" t="n">
        <v>-0.9959999918937683</v>
      </c>
      <c r="AB2231" s="3" t="n">
        <v>-0.9929999709129333</v>
      </c>
      <c r="AC2231" s="3" t="n">
        <v>-1.088000059127808</v>
      </c>
      <c r="AD2231" s="3" t="n">
        <v>-0.8539999723434448</v>
      </c>
      <c r="AE2231" s="3" t="n">
        <v>-0.8539999723434448</v>
      </c>
    </row>
    <row r="2232">
      <c r="A2232" s="3" t="inlineStr">
        <is>
          <t>UKR.distn.dec.ove.mean.7</t>
        </is>
      </c>
      <c r="B2232" s="3" t="inlineStr">
        <is>
          <t>UKR</t>
        </is>
      </c>
      <c r="C2232" s="3" t="n">
        <v>2005</v>
      </c>
      <c r="D2232" s="3" t="inlineStr">
        <is>
          <t>Overall</t>
        </is>
      </c>
      <c r="E2232" s="3" t="inlineStr">
        <is>
          <t>Deciles</t>
        </is>
      </c>
      <c r="F2232" s="3" t="inlineStr">
        <is>
          <t>mean</t>
        </is>
      </c>
      <c r="G2232" s="3" t="n">
        <v>7</v>
      </c>
      <c r="H2232" s="3" t="n">
        <v>-0.7829999923706055</v>
      </c>
      <c r="I2232" s="3" t="n">
        <v>-0.7829999923706055</v>
      </c>
      <c r="J2232" s="3" t="n">
        <v>-0.8539999723434448</v>
      </c>
      <c r="K2232" s="3" t="n">
        <v>-0.8539999723434448</v>
      </c>
      <c r="L2232" s="3" t="n">
        <v>-0.7829999923706055</v>
      </c>
      <c r="M2232" s="3" t="n">
        <v>-0.7829999923706055</v>
      </c>
      <c r="N2232" s="3" t="n">
        <v>-0.7829999923706055</v>
      </c>
      <c r="O2232" s="3" t="n">
        <v>-0.7829999923706055</v>
      </c>
      <c r="P2232" s="3" t="n">
        <v>-0.7829999923706055</v>
      </c>
      <c r="Q2232" s="3" t="n">
        <v>-0.7829999923706055</v>
      </c>
      <c r="R2232" s="3" t="n">
        <v>-0.7710000276565552</v>
      </c>
      <c r="S2232" s="3" t="n">
        <v>-0.9959999918937683</v>
      </c>
      <c r="T2232" s="3" t="n">
        <v>-0.7089999914169312</v>
      </c>
      <c r="U2232" s="3" t="n">
        <v>-0.8539999723434448</v>
      </c>
      <c r="V2232" s="3" t="n">
        <v>-0.6769999861717224</v>
      </c>
      <c r="W2232" s="3" t="n">
        <v>-0.5180000066757202</v>
      </c>
      <c r="X2232" s="3" t="n">
        <v>-0.9929999709129333</v>
      </c>
      <c r="Y2232" s="3" t="n">
        <v>-0.7829999923706055</v>
      </c>
      <c r="Z2232" s="3" t="n">
        <v>-0.9959999918937683</v>
      </c>
      <c r="AA2232" s="3" t="n">
        <v>-0.9959999918937683</v>
      </c>
      <c r="AB2232" s="3" t="n">
        <v>-0.9929999709129333</v>
      </c>
      <c r="AC2232" s="3" t="n">
        <v>-1.088000059127808</v>
      </c>
      <c r="AD2232" s="3" t="n">
        <v>-0.8539999723434448</v>
      </c>
      <c r="AE2232" s="3" t="n">
        <v>-0.8539999723434448</v>
      </c>
    </row>
    <row r="2233">
      <c r="A2233" s="3" t="inlineStr">
        <is>
          <t>UKR.distn.dec.ove.mean.8</t>
        </is>
      </c>
      <c r="B2233" s="3" t="inlineStr">
        <is>
          <t>UKR</t>
        </is>
      </c>
      <c r="C2233" s="3" t="n">
        <v>2005</v>
      </c>
      <c r="D2233" s="3" t="inlineStr">
        <is>
          <t>Overall</t>
        </is>
      </c>
      <c r="E2233" s="3" t="inlineStr">
        <is>
          <t>Deciles</t>
        </is>
      </c>
      <c r="F2233" s="3" t="inlineStr">
        <is>
          <t>mean</t>
        </is>
      </c>
      <c r="G2233" s="3" t="n">
        <v>8</v>
      </c>
      <c r="H2233" s="3" t="n">
        <v>-0.7833772301673889</v>
      </c>
      <c r="I2233" s="3" t="n">
        <v>-0.7833772301673889</v>
      </c>
      <c r="J2233" s="3" t="n">
        <v>-0.8563037514686584</v>
      </c>
      <c r="K2233" s="3" t="n">
        <v>-0.8563037514686584</v>
      </c>
      <c r="L2233" s="3" t="n">
        <v>-0.7833772301673889</v>
      </c>
      <c r="M2233" s="3" t="n">
        <v>-0.7833772301673889</v>
      </c>
      <c r="N2233" s="3" t="n">
        <v>-0.7833772301673889</v>
      </c>
      <c r="O2233" s="3" t="n">
        <v>-0.7833772301673889</v>
      </c>
      <c r="P2233" s="3" t="n">
        <v>-0.7833772301673889</v>
      </c>
      <c r="Q2233" s="3" t="n">
        <v>-0.7833772301673889</v>
      </c>
      <c r="R2233" s="3" t="n">
        <v>-0.7712535858154297</v>
      </c>
      <c r="S2233" s="3" t="n">
        <v>-1.005267858505249</v>
      </c>
      <c r="T2233" s="3" t="n">
        <v>-0.7090408802032471</v>
      </c>
      <c r="U2233" s="3" t="n">
        <v>-0.8563037514686584</v>
      </c>
      <c r="V2233" s="3" t="n">
        <v>-0.677699863910675</v>
      </c>
      <c r="W2233" s="3" t="n">
        <v>-0.5318714380264282</v>
      </c>
      <c r="X2233" s="3" t="n">
        <v>-1.002048254013062</v>
      </c>
      <c r="Y2233" s="3" t="n">
        <v>-0.7833772301673889</v>
      </c>
      <c r="Z2233" s="3" t="n">
        <v>-1.005267858505249</v>
      </c>
      <c r="AA2233" s="3" t="n">
        <v>-1.005267858505249</v>
      </c>
      <c r="AB2233" s="3" t="n">
        <v>-1.002048254013062</v>
      </c>
      <c r="AC2233" s="3" t="n">
        <v>-1.103516340255737</v>
      </c>
      <c r="AD2233" s="3" t="n">
        <v>-0.8563037514686584</v>
      </c>
      <c r="AE2233" s="3" t="n">
        <v>-0.8563037514686584</v>
      </c>
    </row>
    <row r="2234">
      <c r="A2234" s="3" t="inlineStr">
        <is>
          <t>UKR.distn.dec.ove.mean.9</t>
        </is>
      </c>
      <c r="B2234" s="3" t="inlineStr">
        <is>
          <t>UKR</t>
        </is>
      </c>
      <c r="C2234" s="3" t="n">
        <v>2005</v>
      </c>
      <c r="D2234" s="3" t="inlineStr">
        <is>
          <t>Overall</t>
        </is>
      </c>
      <c r="E2234" s="3" t="inlineStr">
        <is>
          <t>Deciles</t>
        </is>
      </c>
      <c r="F2234" s="3" t="inlineStr">
        <is>
          <t>mean</t>
        </is>
      </c>
      <c r="G2234" s="3" t="n">
        <v>9</v>
      </c>
      <c r="H2234" s="3" t="n">
        <v>-0.7833772301673889</v>
      </c>
      <c r="I2234" s="3" t="n">
        <v>-0.7833772301673889</v>
      </c>
      <c r="J2234" s="3" t="n">
        <v>-0.8563037514686584</v>
      </c>
      <c r="K2234" s="3" t="n">
        <v>-0.8563037514686584</v>
      </c>
      <c r="L2234" s="3" t="n">
        <v>-0.7833772301673889</v>
      </c>
      <c r="M2234" s="3" t="n">
        <v>-0.7833772301673889</v>
      </c>
      <c r="N2234" s="3" t="n">
        <v>-0.7833772301673889</v>
      </c>
      <c r="O2234" s="3" t="n">
        <v>-0.7833772301673889</v>
      </c>
      <c r="P2234" s="3" t="n">
        <v>-0.7833772301673889</v>
      </c>
      <c r="Q2234" s="3" t="n">
        <v>-0.7833772301673889</v>
      </c>
      <c r="R2234" s="3" t="n">
        <v>-0.7712535858154297</v>
      </c>
      <c r="S2234" s="3" t="n">
        <v>-1.005267858505249</v>
      </c>
      <c r="T2234" s="3" t="n">
        <v>-0.7090408802032471</v>
      </c>
      <c r="U2234" s="3" t="n">
        <v>-0.8563037514686584</v>
      </c>
      <c r="V2234" s="3" t="n">
        <v>-0.677699863910675</v>
      </c>
      <c r="W2234" s="3" t="n">
        <v>-0.5318714380264282</v>
      </c>
      <c r="X2234" s="3" t="n">
        <v>-1.002048254013062</v>
      </c>
      <c r="Y2234" s="3" t="n">
        <v>-0.7833772301673889</v>
      </c>
      <c r="Z2234" s="3" t="n">
        <v>-1.005267858505249</v>
      </c>
      <c r="AA2234" s="3" t="n">
        <v>-1.005267858505249</v>
      </c>
      <c r="AB2234" s="3" t="n">
        <v>-1.002048254013062</v>
      </c>
      <c r="AC2234" s="3" t="n">
        <v>-1.103516340255737</v>
      </c>
      <c r="AD2234" s="3" t="n">
        <v>-0.8563037514686584</v>
      </c>
      <c r="AE2234" s="3" t="n">
        <v>-0.8563037514686584</v>
      </c>
    </row>
    <row r="2235">
      <c r="A2235" s="3" t="inlineStr">
        <is>
          <t>UKR.distn.dec.ove.mean.10</t>
        </is>
      </c>
      <c r="B2235" s="3" t="inlineStr">
        <is>
          <t>UKR</t>
        </is>
      </c>
      <c r="C2235" s="3" t="n">
        <v>2005</v>
      </c>
      <c r="D2235" s="3" t="inlineStr">
        <is>
          <t>Overall</t>
        </is>
      </c>
      <c r="E2235" s="3" t="inlineStr">
        <is>
          <t>Deciles</t>
        </is>
      </c>
      <c r="F2235" s="3" t="inlineStr">
        <is>
          <t>mean</t>
        </is>
      </c>
      <c r="G2235" s="3" t="n">
        <v>10</v>
      </c>
      <c r="H2235" s="3" t="n">
        <v>-0.7833772301673889</v>
      </c>
      <c r="I2235" s="3" t="n">
        <v>-0.7833772301673889</v>
      </c>
      <c r="J2235" s="3" t="n">
        <v>-0.8563037514686584</v>
      </c>
      <c r="K2235" s="3" t="n">
        <v>-0.8563037514686584</v>
      </c>
      <c r="L2235" s="3" t="n">
        <v>-0.7833772301673889</v>
      </c>
      <c r="M2235" s="3" t="n">
        <v>-0.7833772301673889</v>
      </c>
      <c r="N2235" s="3" t="n">
        <v>-0.7833772301673889</v>
      </c>
      <c r="O2235" s="3" t="n">
        <v>-0.7833772301673889</v>
      </c>
      <c r="P2235" s="3" t="n">
        <v>-0.7833772301673889</v>
      </c>
      <c r="Q2235" s="3" t="n">
        <v>-0.7833772301673889</v>
      </c>
      <c r="R2235" s="3" t="n">
        <v>-0.7712535858154297</v>
      </c>
      <c r="S2235" s="3" t="n">
        <v>-1.005267858505249</v>
      </c>
      <c r="T2235" s="3" t="n">
        <v>-0.7090408802032471</v>
      </c>
      <c r="U2235" s="3" t="n">
        <v>-0.8563037514686584</v>
      </c>
      <c r="V2235" s="3" t="n">
        <v>-0.677699863910675</v>
      </c>
      <c r="W2235" s="3" t="n">
        <v>-0.5318714380264282</v>
      </c>
      <c r="X2235" s="3" t="n">
        <v>-1.002048254013062</v>
      </c>
      <c r="Y2235" s="3" t="n">
        <v>-0.7833772301673889</v>
      </c>
      <c r="Z2235" s="3" t="n">
        <v>-1.005267858505249</v>
      </c>
      <c r="AA2235" s="3" t="n">
        <v>-1.005267858505249</v>
      </c>
      <c r="AB2235" s="3" t="n">
        <v>-1.002048254013062</v>
      </c>
      <c r="AC2235" s="3" t="n">
        <v>-1.103516340255737</v>
      </c>
      <c r="AD2235" s="3" t="n">
        <v>-0.8563037514686584</v>
      </c>
      <c r="AE2235" s="3" t="n">
        <v>-0.8563037514686584</v>
      </c>
    </row>
    <row r="2236">
      <c r="A2236" s="3" t="inlineStr">
        <is>
          <t>UKR.distn.bkt.ove.mean.9999</t>
        </is>
      </c>
      <c r="B2236" s="3" t="inlineStr">
        <is>
          <t>UKR</t>
        </is>
      </c>
      <c r="C2236" s="3" t="n">
        <v>2005</v>
      </c>
      <c r="D2236" s="3" t="inlineStr">
        <is>
          <t>Overall</t>
        </is>
      </c>
      <c r="E2236" s="3" t="inlineStr">
        <is>
          <t>Basket</t>
        </is>
      </c>
      <c r="F2236" s="3" t="inlineStr">
        <is>
          <t>mean</t>
        </is>
      </c>
      <c r="G2236" s="3" t="n">
        <v>9999</v>
      </c>
      <c r="H2236" s="3" t="n">
        <v>-0.7849878668785095</v>
      </c>
      <c r="I2236" s="3" t="n">
        <v>-0.7849878668785095</v>
      </c>
      <c r="J2236" s="3" t="n">
        <v>-0.8676995038986206</v>
      </c>
      <c r="K2236" s="3" t="n">
        <v>-0.8676995038986206</v>
      </c>
      <c r="L2236" s="3" t="n">
        <v>-0.7849878668785095</v>
      </c>
      <c r="M2236" s="3" t="n">
        <v>-0.7849878668785095</v>
      </c>
      <c r="N2236" s="3" t="n">
        <v>-0.7849878668785095</v>
      </c>
      <c r="O2236" s="3" t="n">
        <v>-0.7849878668785095</v>
      </c>
      <c r="P2236" s="3" t="n">
        <v>-0.7849878668785095</v>
      </c>
      <c r="Q2236" s="3" t="n">
        <v>-0.7849878668785095</v>
      </c>
      <c r="R2236" s="3" t="n">
        <v>-0.7721186876296997</v>
      </c>
      <c r="S2236" s="3" t="n">
        <v>-1.138675332069397</v>
      </c>
      <c r="T2236" s="3" t="n">
        <v>-0.7094486355781555</v>
      </c>
      <c r="U2236" s="3" t="n">
        <v>-0.8676995038986206</v>
      </c>
      <c r="V2236" s="3" t="n">
        <v>-0.6792964339256287</v>
      </c>
      <c r="W2236" s="3" t="n">
        <v>-0.5514084100723267</v>
      </c>
      <c r="X2236" s="3" t="n">
        <v>-1.119927525520325</v>
      </c>
      <c r="Y2236" s="3" t="n">
        <v>-0.7849878668785095</v>
      </c>
      <c r="Z2236" s="3" t="n">
        <v>-1.138675332069397</v>
      </c>
      <c r="AA2236" s="3" t="n">
        <v>-1.138675332069397</v>
      </c>
      <c r="AB2236" s="3" t="n">
        <v>-1.119927525520325</v>
      </c>
      <c r="AC2236" s="3" t="n">
        <v>-1.442139625549316</v>
      </c>
      <c r="AD2236" s="3" t="n">
        <v>-0.8676995038986206</v>
      </c>
      <c r="AE2236" s="3" t="n">
        <v>-0.8676995038986206</v>
      </c>
    </row>
    <row r="2237">
      <c r="A2237" s="3" t="inlineStr">
        <is>
          <t>URY.distn.dec.ove.mean.1</t>
        </is>
      </c>
      <c r="B2237" s="3" t="inlineStr">
        <is>
          <t>URY</t>
        </is>
      </c>
      <c r="C2237" s="3" t="n">
        <v>2005</v>
      </c>
      <c r="D2237" s="3" t="inlineStr">
        <is>
          <t>Overall</t>
        </is>
      </c>
      <c r="E2237" s="3" t="inlineStr">
        <is>
          <t>Deciles</t>
        </is>
      </c>
      <c r="F2237" s="3" t="inlineStr">
        <is>
          <t>mean</t>
        </is>
      </c>
      <c r="G2237" s="3" t="n">
        <v>1</v>
      </c>
      <c r="H2237" s="3" t="n">
        <v>-0.7882409691810608</v>
      </c>
      <c r="I2237" s="3" t="n">
        <v>-0.7882409691810608</v>
      </c>
      <c r="J2237" s="3" t="n">
        <v>-0.8921075463294983</v>
      </c>
      <c r="K2237" s="3" t="n">
        <v>-0.8921075463294983</v>
      </c>
      <c r="L2237" s="3" t="n">
        <v>-0.7882409691810608</v>
      </c>
      <c r="M2237" s="3" t="n">
        <v>-0.7882409691810608</v>
      </c>
      <c r="N2237" s="3" t="n">
        <v>-0.7882409691810608</v>
      </c>
      <c r="O2237" s="3" t="n">
        <v>-0.7882409691810608</v>
      </c>
      <c r="P2237" s="3" t="n">
        <v>-0.7882409691810608</v>
      </c>
      <c r="Q2237" s="3" t="n">
        <v>-0.7882409691810608</v>
      </c>
      <c r="R2237" s="3" t="n">
        <v>-0.7734707593917847</v>
      </c>
      <c r="S2237" s="3" t="n">
        <v>-1.427079916000366</v>
      </c>
      <c r="T2237" s="3" t="n">
        <v>-0.7094525694847107</v>
      </c>
      <c r="U2237" s="3" t="n">
        <v>-0.8921075463294983</v>
      </c>
      <c r="V2237" s="3" t="n">
        <v>-0.6829447150230408</v>
      </c>
      <c r="W2237" s="3" t="n">
        <v>-0.591725766658783</v>
      </c>
      <c r="X2237" s="3" t="n">
        <v>-1.373036503791809</v>
      </c>
      <c r="Y2237" s="3" t="n">
        <v>-0.7882409691810608</v>
      </c>
      <c r="Z2237" s="3" t="n">
        <v>-1.427079916000366</v>
      </c>
      <c r="AA2237" s="3" t="n">
        <v>-1.427079916000366</v>
      </c>
      <c r="AB2237" s="3" t="n">
        <v>-1.373036503791809</v>
      </c>
      <c r="AC2237" s="3" t="n">
        <v>-2.163908004760742</v>
      </c>
      <c r="AD2237" s="3" t="n">
        <v>-0.8921075463294983</v>
      </c>
      <c r="AE2237" s="3" t="n">
        <v>-0.8921075463294983</v>
      </c>
    </row>
    <row r="2238">
      <c r="A2238" s="3" t="inlineStr">
        <is>
          <t>URY.distn.dec.ove.mean.2</t>
        </is>
      </c>
      <c r="B2238" s="3" t="inlineStr">
        <is>
          <t>URY</t>
        </is>
      </c>
      <c r="C2238" s="3" t="n">
        <v>2005</v>
      </c>
      <c r="D2238" s="3" t="inlineStr">
        <is>
          <t>Overall</t>
        </is>
      </c>
      <c r="E2238" s="3" t="inlineStr">
        <is>
          <t>Deciles</t>
        </is>
      </c>
      <c r="F2238" s="3" t="inlineStr">
        <is>
          <t>mean</t>
        </is>
      </c>
      <c r="G2238" s="3" t="n">
        <v>2</v>
      </c>
      <c r="H2238" s="3" t="n">
        <v>-0.7882409691810608</v>
      </c>
      <c r="I2238" s="3" t="n">
        <v>-0.7882409691810608</v>
      </c>
      <c r="J2238" s="3" t="n">
        <v>-0.8921075463294983</v>
      </c>
      <c r="K2238" s="3" t="n">
        <v>-0.8921075463294983</v>
      </c>
      <c r="L2238" s="3" t="n">
        <v>-0.7882409691810608</v>
      </c>
      <c r="M2238" s="3" t="n">
        <v>-0.7882409691810608</v>
      </c>
      <c r="N2238" s="3" t="n">
        <v>-0.7882409691810608</v>
      </c>
      <c r="O2238" s="3" t="n">
        <v>-0.7882409691810608</v>
      </c>
      <c r="P2238" s="3" t="n">
        <v>-0.7882409691810608</v>
      </c>
      <c r="Q2238" s="3" t="n">
        <v>-0.7882409691810608</v>
      </c>
      <c r="R2238" s="3" t="n">
        <v>-0.7734707593917847</v>
      </c>
      <c r="S2238" s="3" t="n">
        <v>-1.427079916000366</v>
      </c>
      <c r="T2238" s="3" t="n">
        <v>-0.7094525694847107</v>
      </c>
      <c r="U2238" s="3" t="n">
        <v>-0.8921075463294983</v>
      </c>
      <c r="V2238" s="3" t="n">
        <v>-0.6829447150230408</v>
      </c>
      <c r="W2238" s="3" t="n">
        <v>-0.591725766658783</v>
      </c>
      <c r="X2238" s="3" t="n">
        <v>-1.373036503791809</v>
      </c>
      <c r="Y2238" s="3" t="n">
        <v>-0.7882409691810608</v>
      </c>
      <c r="Z2238" s="3" t="n">
        <v>-1.427079916000366</v>
      </c>
      <c r="AA2238" s="3" t="n">
        <v>-1.427079916000366</v>
      </c>
      <c r="AB2238" s="3" t="n">
        <v>-1.373036503791809</v>
      </c>
      <c r="AC2238" s="3" t="n">
        <v>-2.163908004760742</v>
      </c>
      <c r="AD2238" s="3" t="n">
        <v>-0.8921075463294983</v>
      </c>
      <c r="AE2238" s="3" t="n">
        <v>-0.8921075463294983</v>
      </c>
    </row>
    <row r="2239">
      <c r="A2239" s="3" t="inlineStr">
        <is>
          <t>URY.distn.dec.ove.mean.3</t>
        </is>
      </c>
      <c r="B2239" s="3" t="inlineStr">
        <is>
          <t>URY</t>
        </is>
      </c>
      <c r="C2239" s="3" t="n">
        <v>2005</v>
      </c>
      <c r="D2239" s="3" t="inlineStr">
        <is>
          <t>Overall</t>
        </is>
      </c>
      <c r="E2239" s="3" t="inlineStr">
        <is>
          <t>Deciles</t>
        </is>
      </c>
      <c r="F2239" s="3" t="inlineStr">
        <is>
          <t>mean</t>
        </is>
      </c>
      <c r="G2239" s="3" t="n">
        <v>3</v>
      </c>
      <c r="H2239" s="3" t="n">
        <v>-0.7882409691810608</v>
      </c>
      <c r="I2239" s="3" t="n">
        <v>-0.7882409691810608</v>
      </c>
      <c r="J2239" s="3" t="n">
        <v>-0.8921075463294983</v>
      </c>
      <c r="K2239" s="3" t="n">
        <v>-0.8921075463294983</v>
      </c>
      <c r="L2239" s="3" t="n">
        <v>-0.7882409691810608</v>
      </c>
      <c r="M2239" s="3" t="n">
        <v>-0.7882409691810608</v>
      </c>
      <c r="N2239" s="3" t="n">
        <v>-0.7882409691810608</v>
      </c>
      <c r="O2239" s="3" t="n">
        <v>-0.7882409691810608</v>
      </c>
      <c r="P2239" s="3" t="n">
        <v>-0.7882409691810608</v>
      </c>
      <c r="Q2239" s="3" t="n">
        <v>-0.7882409691810608</v>
      </c>
      <c r="R2239" s="3" t="n">
        <v>-0.7734707593917847</v>
      </c>
      <c r="S2239" s="3" t="n">
        <v>-1.427079916000366</v>
      </c>
      <c r="T2239" s="3" t="n">
        <v>-0.7094525694847107</v>
      </c>
      <c r="U2239" s="3" t="n">
        <v>-0.8921075463294983</v>
      </c>
      <c r="V2239" s="3" t="n">
        <v>-0.6829447150230408</v>
      </c>
      <c r="W2239" s="3" t="n">
        <v>-0.591725766658783</v>
      </c>
      <c r="X2239" s="3" t="n">
        <v>-1.373036503791809</v>
      </c>
      <c r="Y2239" s="3" t="n">
        <v>-0.7882409691810608</v>
      </c>
      <c r="Z2239" s="3" t="n">
        <v>-1.427079916000366</v>
      </c>
      <c r="AA2239" s="3" t="n">
        <v>-1.427079916000366</v>
      </c>
      <c r="AB2239" s="3" t="n">
        <v>-1.373036503791809</v>
      </c>
      <c r="AC2239" s="3" t="n">
        <v>-2.163908004760742</v>
      </c>
      <c r="AD2239" s="3" t="n">
        <v>-0.8921075463294983</v>
      </c>
      <c r="AE2239" s="3" t="n">
        <v>-0.8921075463294983</v>
      </c>
    </row>
    <row r="2240">
      <c r="A2240" s="3" t="inlineStr">
        <is>
          <t>URY.distn.dec.ove.mean.4</t>
        </is>
      </c>
      <c r="B2240" s="3" t="inlineStr">
        <is>
          <t>URY</t>
        </is>
      </c>
      <c r="C2240" s="3" t="n">
        <v>2005</v>
      </c>
      <c r="D2240" s="3" t="inlineStr">
        <is>
          <t>Overall</t>
        </is>
      </c>
      <c r="E2240" s="3" t="inlineStr">
        <is>
          <t>Deciles</t>
        </is>
      </c>
      <c r="F2240" s="3" t="inlineStr">
        <is>
          <t>mean</t>
        </is>
      </c>
      <c r="G2240" s="3" t="n">
        <v>4</v>
      </c>
      <c r="H2240" s="3" t="n">
        <v>-0.7820000052452087</v>
      </c>
      <c r="I2240" s="3" t="n">
        <v>-0.7820000052452087</v>
      </c>
      <c r="J2240" s="3" t="n">
        <v>-0.8489999771118164</v>
      </c>
      <c r="K2240" s="3" t="n">
        <v>-0.8489999771118164</v>
      </c>
      <c r="L2240" s="3" t="n">
        <v>-0.7820000052452087</v>
      </c>
      <c r="M2240" s="3" t="n">
        <v>-0.7820000052452087</v>
      </c>
      <c r="N2240" s="3" t="n">
        <v>-0.7820000052452087</v>
      </c>
      <c r="O2240" s="3" t="n">
        <v>-0.7820000052452087</v>
      </c>
      <c r="P2240" s="3" t="n">
        <v>-0.7820000052452087</v>
      </c>
      <c r="Q2240" s="3" t="n">
        <v>-0.7820000052452087</v>
      </c>
      <c r="R2240" s="3" t="n">
        <v>-0.7699999809265137</v>
      </c>
      <c r="S2240" s="3" t="n">
        <v>-0.9720000028610229</v>
      </c>
      <c r="T2240" s="3" t="n">
        <v>-0.7080000042915344</v>
      </c>
      <c r="U2240" s="3" t="n">
        <v>-0.8489999771118164</v>
      </c>
      <c r="V2240" s="3" t="n">
        <v>-0.6759999990463257</v>
      </c>
      <c r="W2240" s="3" t="n">
        <v>-0.4979999959468842</v>
      </c>
      <c r="X2240" s="3" t="n">
        <v>-0.968999981880188</v>
      </c>
      <c r="Y2240" s="3" t="n">
        <v>-0.7820000052452087</v>
      </c>
      <c r="Z2240" s="3" t="n">
        <v>-0.9720000028610229</v>
      </c>
      <c r="AA2240" s="3" t="n">
        <v>-0.9720000028610229</v>
      </c>
      <c r="AB2240" s="3" t="n">
        <v>-0.968999981880188</v>
      </c>
      <c r="AC2240" s="3" t="n">
        <v>-1.044999957084656</v>
      </c>
      <c r="AD2240" s="3" t="n">
        <v>-0.8489999771118164</v>
      </c>
      <c r="AE2240" s="3" t="n">
        <v>-0.8489999771118164</v>
      </c>
    </row>
    <row r="2241">
      <c r="A2241" s="3" t="inlineStr">
        <is>
          <t>URY.distn.dec.ove.mean.5</t>
        </is>
      </c>
      <c r="B2241" s="3" t="inlineStr">
        <is>
          <t>URY</t>
        </is>
      </c>
      <c r="C2241" s="3" t="n">
        <v>2005</v>
      </c>
      <c r="D2241" s="3" t="inlineStr">
        <is>
          <t>Overall</t>
        </is>
      </c>
      <c r="E2241" s="3" t="inlineStr">
        <is>
          <t>Deciles</t>
        </is>
      </c>
      <c r="F2241" s="3" t="inlineStr">
        <is>
          <t>mean</t>
        </is>
      </c>
      <c r="G2241" s="3" t="n">
        <v>5</v>
      </c>
      <c r="H2241" s="3" t="n">
        <v>-0.7820000052452087</v>
      </c>
      <c r="I2241" s="3" t="n">
        <v>-0.7820000052452087</v>
      </c>
      <c r="J2241" s="3" t="n">
        <v>-0.8489999771118164</v>
      </c>
      <c r="K2241" s="3" t="n">
        <v>-0.8489999771118164</v>
      </c>
      <c r="L2241" s="3" t="n">
        <v>-0.7820000052452087</v>
      </c>
      <c r="M2241" s="3" t="n">
        <v>-0.7820000052452087</v>
      </c>
      <c r="N2241" s="3" t="n">
        <v>-0.7820000052452087</v>
      </c>
      <c r="O2241" s="3" t="n">
        <v>-0.7820000052452087</v>
      </c>
      <c r="P2241" s="3" t="n">
        <v>-0.7820000052452087</v>
      </c>
      <c r="Q2241" s="3" t="n">
        <v>-0.7820000052452087</v>
      </c>
      <c r="R2241" s="3" t="n">
        <v>-0.7699999809265137</v>
      </c>
      <c r="S2241" s="3" t="n">
        <v>-0.9720000028610229</v>
      </c>
      <c r="T2241" s="3" t="n">
        <v>-0.7080000042915344</v>
      </c>
      <c r="U2241" s="3" t="n">
        <v>-0.8489999771118164</v>
      </c>
      <c r="V2241" s="3" t="n">
        <v>-0.6759999990463257</v>
      </c>
      <c r="W2241" s="3" t="n">
        <v>-0.4979999959468842</v>
      </c>
      <c r="X2241" s="3" t="n">
        <v>-0.968999981880188</v>
      </c>
      <c r="Y2241" s="3" t="n">
        <v>-0.7820000052452087</v>
      </c>
      <c r="Z2241" s="3" t="n">
        <v>-0.9720000028610229</v>
      </c>
      <c r="AA2241" s="3" t="n">
        <v>-0.9720000028610229</v>
      </c>
      <c r="AB2241" s="3" t="n">
        <v>-0.968999981880188</v>
      </c>
      <c r="AC2241" s="3" t="n">
        <v>-1.044999957084656</v>
      </c>
      <c r="AD2241" s="3" t="n">
        <v>-0.8489999771118164</v>
      </c>
      <c r="AE2241" s="3" t="n">
        <v>-0.8489999771118164</v>
      </c>
    </row>
    <row r="2242">
      <c r="A2242" s="3" t="inlineStr">
        <is>
          <t>URY.distn.dec.ove.mean.6</t>
        </is>
      </c>
      <c r="B2242" s="3" t="inlineStr">
        <is>
          <t>URY</t>
        </is>
      </c>
      <c r="C2242" s="3" t="n">
        <v>2005</v>
      </c>
      <c r="D2242" s="3" t="inlineStr">
        <is>
          <t>Overall</t>
        </is>
      </c>
      <c r="E2242" s="3" t="inlineStr">
        <is>
          <t>Deciles</t>
        </is>
      </c>
      <c r="F2242" s="3" t="inlineStr">
        <is>
          <t>mean</t>
        </is>
      </c>
      <c r="G2242" s="3" t="n">
        <v>6</v>
      </c>
      <c r="H2242" s="3" t="n">
        <v>-0.7820000052452087</v>
      </c>
      <c r="I2242" s="3" t="n">
        <v>-0.7820000052452087</v>
      </c>
      <c r="J2242" s="3" t="n">
        <v>-0.8489999771118164</v>
      </c>
      <c r="K2242" s="3" t="n">
        <v>-0.8489999771118164</v>
      </c>
      <c r="L2242" s="3" t="n">
        <v>-0.7820000052452087</v>
      </c>
      <c r="M2242" s="3" t="n">
        <v>-0.7820000052452087</v>
      </c>
      <c r="N2242" s="3" t="n">
        <v>-0.7820000052452087</v>
      </c>
      <c r="O2242" s="3" t="n">
        <v>-0.7820000052452087</v>
      </c>
      <c r="P2242" s="3" t="n">
        <v>-0.7820000052452087</v>
      </c>
      <c r="Q2242" s="3" t="n">
        <v>-0.7820000052452087</v>
      </c>
      <c r="R2242" s="3" t="n">
        <v>-0.7699999809265137</v>
      </c>
      <c r="S2242" s="3" t="n">
        <v>-0.9720000028610229</v>
      </c>
      <c r="T2242" s="3" t="n">
        <v>-0.7080000042915344</v>
      </c>
      <c r="U2242" s="3" t="n">
        <v>-0.8489999771118164</v>
      </c>
      <c r="V2242" s="3" t="n">
        <v>-0.6759999990463257</v>
      </c>
      <c r="W2242" s="3" t="n">
        <v>-0.4979999959468842</v>
      </c>
      <c r="X2242" s="3" t="n">
        <v>-0.968999981880188</v>
      </c>
      <c r="Y2242" s="3" t="n">
        <v>-0.7820000052452087</v>
      </c>
      <c r="Z2242" s="3" t="n">
        <v>-0.9720000028610229</v>
      </c>
      <c r="AA2242" s="3" t="n">
        <v>-0.9720000028610229</v>
      </c>
      <c r="AB2242" s="3" t="n">
        <v>-0.968999981880188</v>
      </c>
      <c r="AC2242" s="3" t="n">
        <v>-1.044999957084656</v>
      </c>
      <c r="AD2242" s="3" t="n">
        <v>-0.8489999771118164</v>
      </c>
      <c r="AE2242" s="3" t="n">
        <v>-0.8489999771118164</v>
      </c>
    </row>
    <row r="2243">
      <c r="A2243" s="3" t="inlineStr">
        <is>
          <t>URY.distn.dec.ove.mean.7</t>
        </is>
      </c>
      <c r="B2243" s="3" t="inlineStr">
        <is>
          <t>URY</t>
        </is>
      </c>
      <c r="C2243" s="3" t="n">
        <v>2005</v>
      </c>
      <c r="D2243" s="3" t="inlineStr">
        <is>
          <t>Overall</t>
        </is>
      </c>
      <c r="E2243" s="3" t="inlineStr">
        <is>
          <t>Deciles</t>
        </is>
      </c>
      <c r="F2243" s="3" t="inlineStr">
        <is>
          <t>mean</t>
        </is>
      </c>
      <c r="G2243" s="3" t="n">
        <v>7</v>
      </c>
      <c r="H2243" s="3" t="n">
        <v>-0.7820000052452087</v>
      </c>
      <c r="I2243" s="3" t="n">
        <v>-0.7820000052452087</v>
      </c>
      <c r="J2243" s="3" t="n">
        <v>-0.8489999771118164</v>
      </c>
      <c r="K2243" s="3" t="n">
        <v>-0.8489999771118164</v>
      </c>
      <c r="L2243" s="3" t="n">
        <v>-0.7820000052452087</v>
      </c>
      <c r="M2243" s="3" t="n">
        <v>-0.7820000052452087</v>
      </c>
      <c r="N2243" s="3" t="n">
        <v>-0.7820000052452087</v>
      </c>
      <c r="O2243" s="3" t="n">
        <v>-0.7820000052452087</v>
      </c>
      <c r="P2243" s="3" t="n">
        <v>-0.7820000052452087</v>
      </c>
      <c r="Q2243" s="3" t="n">
        <v>-0.7820000052452087</v>
      </c>
      <c r="R2243" s="3" t="n">
        <v>-0.7699999809265137</v>
      </c>
      <c r="S2243" s="3" t="n">
        <v>-0.9720000028610229</v>
      </c>
      <c r="T2243" s="3" t="n">
        <v>-0.7080000042915344</v>
      </c>
      <c r="U2243" s="3" t="n">
        <v>-0.8489999771118164</v>
      </c>
      <c r="V2243" s="3" t="n">
        <v>-0.6759999990463257</v>
      </c>
      <c r="W2243" s="3" t="n">
        <v>-0.4979999959468842</v>
      </c>
      <c r="X2243" s="3" t="n">
        <v>-0.968999981880188</v>
      </c>
      <c r="Y2243" s="3" t="n">
        <v>-0.7820000052452087</v>
      </c>
      <c r="Z2243" s="3" t="n">
        <v>-0.9720000028610229</v>
      </c>
      <c r="AA2243" s="3" t="n">
        <v>-0.9720000028610229</v>
      </c>
      <c r="AB2243" s="3" t="n">
        <v>-0.968999981880188</v>
      </c>
      <c r="AC2243" s="3" t="n">
        <v>-1.044999957084656</v>
      </c>
      <c r="AD2243" s="3" t="n">
        <v>-0.8489999771118164</v>
      </c>
      <c r="AE2243" s="3" t="n">
        <v>-0.8489999771118164</v>
      </c>
    </row>
    <row r="2244">
      <c r="A2244" s="3" t="inlineStr">
        <is>
          <t>URY.distn.dec.ove.mean.8</t>
        </is>
      </c>
      <c r="B2244" s="3" t="inlineStr">
        <is>
          <t>URY</t>
        </is>
      </c>
      <c r="C2244" s="3" t="n">
        <v>2005</v>
      </c>
      <c r="D2244" s="3" t="inlineStr">
        <is>
          <t>Overall</t>
        </is>
      </c>
      <c r="E2244" s="3" t="inlineStr">
        <is>
          <t>Deciles</t>
        </is>
      </c>
      <c r="F2244" s="3" t="inlineStr">
        <is>
          <t>mean</t>
        </is>
      </c>
      <c r="G2244" s="3" t="n">
        <v>8</v>
      </c>
      <c r="H2244" s="3" t="n">
        <v>-0.782376766204834</v>
      </c>
      <c r="I2244" s="3" t="n">
        <v>-0.782376766204834</v>
      </c>
      <c r="J2244" s="3" t="n">
        <v>-0.851290225982666</v>
      </c>
      <c r="K2244" s="3" t="n">
        <v>-0.851290225982666</v>
      </c>
      <c r="L2244" s="3" t="n">
        <v>-0.782376766204834</v>
      </c>
      <c r="M2244" s="3" t="n">
        <v>-0.782376766204834</v>
      </c>
      <c r="N2244" s="3" t="n">
        <v>-0.782376766204834</v>
      </c>
      <c r="O2244" s="3" t="n">
        <v>-0.782376766204834</v>
      </c>
      <c r="P2244" s="3" t="n">
        <v>-0.782376766204834</v>
      </c>
      <c r="Q2244" s="3" t="n">
        <v>-0.782376766204834</v>
      </c>
      <c r="R2244" s="3" t="n">
        <v>-0.7702532410621643</v>
      </c>
      <c r="S2244" s="3" t="n">
        <v>-0.981044590473175</v>
      </c>
      <c r="T2244" s="3" t="n">
        <v>-0.7080408334732056</v>
      </c>
      <c r="U2244" s="3" t="n">
        <v>-0.851290225982666</v>
      </c>
      <c r="V2244" s="3" t="n">
        <v>-0.6766988039016724</v>
      </c>
      <c r="W2244" s="3" t="n">
        <v>-0.5113358497619629</v>
      </c>
      <c r="X2244" s="3" t="n">
        <v>-0.9778295159339905</v>
      </c>
      <c r="Y2244" s="3" t="n">
        <v>-0.782376766204834</v>
      </c>
      <c r="Z2244" s="3" t="n">
        <v>-0.981044590473175</v>
      </c>
      <c r="AA2244" s="3" t="n">
        <v>-0.981044590473175</v>
      </c>
      <c r="AB2244" s="3" t="n">
        <v>-0.9778295159339905</v>
      </c>
      <c r="AC2244" s="3" t="n">
        <v>-1.059903144836426</v>
      </c>
      <c r="AD2244" s="3" t="n">
        <v>-0.851290225982666</v>
      </c>
      <c r="AE2244" s="3" t="n">
        <v>-0.851290225982666</v>
      </c>
    </row>
    <row r="2245">
      <c r="A2245" s="3" t="inlineStr">
        <is>
          <t>URY.distn.dec.ove.mean.9</t>
        </is>
      </c>
      <c r="B2245" s="3" t="inlineStr">
        <is>
          <t>URY</t>
        </is>
      </c>
      <c r="C2245" s="3" t="n">
        <v>2005</v>
      </c>
      <c r="D2245" s="3" t="inlineStr">
        <is>
          <t>Overall</t>
        </is>
      </c>
      <c r="E2245" s="3" t="inlineStr">
        <is>
          <t>Deciles</t>
        </is>
      </c>
      <c r="F2245" s="3" t="inlineStr">
        <is>
          <t>mean</t>
        </is>
      </c>
      <c r="G2245" s="3" t="n">
        <v>9</v>
      </c>
      <c r="H2245" s="3" t="n">
        <v>-0.782376766204834</v>
      </c>
      <c r="I2245" s="3" t="n">
        <v>-0.782376766204834</v>
      </c>
      <c r="J2245" s="3" t="n">
        <v>-0.851290225982666</v>
      </c>
      <c r="K2245" s="3" t="n">
        <v>-0.851290225982666</v>
      </c>
      <c r="L2245" s="3" t="n">
        <v>-0.782376766204834</v>
      </c>
      <c r="M2245" s="3" t="n">
        <v>-0.782376766204834</v>
      </c>
      <c r="N2245" s="3" t="n">
        <v>-0.782376766204834</v>
      </c>
      <c r="O2245" s="3" t="n">
        <v>-0.782376766204834</v>
      </c>
      <c r="P2245" s="3" t="n">
        <v>-0.782376766204834</v>
      </c>
      <c r="Q2245" s="3" t="n">
        <v>-0.782376766204834</v>
      </c>
      <c r="R2245" s="3" t="n">
        <v>-0.7702532410621643</v>
      </c>
      <c r="S2245" s="3" t="n">
        <v>-0.981044590473175</v>
      </c>
      <c r="T2245" s="3" t="n">
        <v>-0.7080408334732056</v>
      </c>
      <c r="U2245" s="3" t="n">
        <v>-0.851290225982666</v>
      </c>
      <c r="V2245" s="3" t="n">
        <v>-0.6766988039016724</v>
      </c>
      <c r="W2245" s="3" t="n">
        <v>-0.5113358497619629</v>
      </c>
      <c r="X2245" s="3" t="n">
        <v>-0.9778295159339905</v>
      </c>
      <c r="Y2245" s="3" t="n">
        <v>-0.782376766204834</v>
      </c>
      <c r="Z2245" s="3" t="n">
        <v>-0.981044590473175</v>
      </c>
      <c r="AA2245" s="3" t="n">
        <v>-0.981044590473175</v>
      </c>
      <c r="AB2245" s="3" t="n">
        <v>-0.9778295159339905</v>
      </c>
      <c r="AC2245" s="3" t="n">
        <v>-1.059903144836426</v>
      </c>
      <c r="AD2245" s="3" t="n">
        <v>-0.851290225982666</v>
      </c>
      <c r="AE2245" s="3" t="n">
        <v>-0.851290225982666</v>
      </c>
    </row>
    <row r="2246">
      <c r="A2246" s="3" t="inlineStr">
        <is>
          <t>URY.distn.dec.ove.mean.10</t>
        </is>
      </c>
      <c r="B2246" s="3" t="inlineStr">
        <is>
          <t>URY</t>
        </is>
      </c>
      <c r="C2246" s="3" t="n">
        <v>2005</v>
      </c>
      <c r="D2246" s="3" t="inlineStr">
        <is>
          <t>Overall</t>
        </is>
      </c>
      <c r="E2246" s="3" t="inlineStr">
        <is>
          <t>Deciles</t>
        </is>
      </c>
      <c r="F2246" s="3" t="inlineStr">
        <is>
          <t>mean</t>
        </is>
      </c>
      <c r="G2246" s="3" t="n">
        <v>10</v>
      </c>
      <c r="H2246" s="3" t="n">
        <v>-0.782376766204834</v>
      </c>
      <c r="I2246" s="3" t="n">
        <v>-0.782376766204834</v>
      </c>
      <c r="J2246" s="3" t="n">
        <v>-0.851290225982666</v>
      </c>
      <c r="K2246" s="3" t="n">
        <v>-0.851290225982666</v>
      </c>
      <c r="L2246" s="3" t="n">
        <v>-0.782376766204834</v>
      </c>
      <c r="M2246" s="3" t="n">
        <v>-0.782376766204834</v>
      </c>
      <c r="N2246" s="3" t="n">
        <v>-0.782376766204834</v>
      </c>
      <c r="O2246" s="3" t="n">
        <v>-0.782376766204834</v>
      </c>
      <c r="P2246" s="3" t="n">
        <v>-0.782376766204834</v>
      </c>
      <c r="Q2246" s="3" t="n">
        <v>-0.782376766204834</v>
      </c>
      <c r="R2246" s="3" t="n">
        <v>-0.7702532410621643</v>
      </c>
      <c r="S2246" s="3" t="n">
        <v>-0.981044590473175</v>
      </c>
      <c r="T2246" s="3" t="n">
        <v>-0.7080408334732056</v>
      </c>
      <c r="U2246" s="3" t="n">
        <v>-0.851290225982666</v>
      </c>
      <c r="V2246" s="3" t="n">
        <v>-0.6766988039016724</v>
      </c>
      <c r="W2246" s="3" t="n">
        <v>-0.5113358497619629</v>
      </c>
      <c r="X2246" s="3" t="n">
        <v>-0.9778295159339905</v>
      </c>
      <c r="Y2246" s="3" t="n">
        <v>-0.782376766204834</v>
      </c>
      <c r="Z2246" s="3" t="n">
        <v>-0.981044590473175</v>
      </c>
      <c r="AA2246" s="3" t="n">
        <v>-0.981044590473175</v>
      </c>
      <c r="AB2246" s="3" t="n">
        <v>-0.9778295159339905</v>
      </c>
      <c r="AC2246" s="3" t="n">
        <v>-1.059903144836426</v>
      </c>
      <c r="AD2246" s="3" t="n">
        <v>-0.851290225982666</v>
      </c>
      <c r="AE2246" s="3" t="n">
        <v>-0.851290225982666</v>
      </c>
    </row>
    <row r="2247">
      <c r="A2247" s="3" t="inlineStr">
        <is>
          <t>URY.distn.bkt.ove.mean.9999</t>
        </is>
      </c>
      <c r="B2247" s="3" t="inlineStr">
        <is>
          <t>URY</t>
        </is>
      </c>
      <c r="C2247" s="3" t="n">
        <v>2005</v>
      </c>
      <c r="D2247" s="3" t="inlineStr">
        <is>
          <t>Overall</t>
        </is>
      </c>
      <c r="E2247" s="3" t="inlineStr">
        <is>
          <t>Basket</t>
        </is>
      </c>
      <c r="F2247" s="3" t="inlineStr">
        <is>
          <t>mean</t>
        </is>
      </c>
      <c r="G2247" s="3" t="n">
        <v>9999</v>
      </c>
      <c r="H2247" s="3" t="n">
        <v>-0.7839853167533875</v>
      </c>
      <c r="I2247" s="3" t="n">
        <v>-0.7839853167533875</v>
      </c>
      <c r="J2247" s="3" t="n">
        <v>-0.8626193404197693</v>
      </c>
      <c r="K2247" s="3" t="n">
        <v>-0.8626193404197693</v>
      </c>
      <c r="L2247" s="3" t="n">
        <v>-0.7839853167533875</v>
      </c>
      <c r="M2247" s="3" t="n">
        <v>-0.7839853167533875</v>
      </c>
      <c r="N2247" s="3" t="n">
        <v>-0.7839853167533875</v>
      </c>
      <c r="O2247" s="3" t="n">
        <v>-0.7839853167533875</v>
      </c>
      <c r="P2247" s="3" t="n">
        <v>-0.7839853167533875</v>
      </c>
      <c r="Q2247" s="3" t="n">
        <v>-0.7839853167533875</v>
      </c>
      <c r="R2247" s="3" t="n">
        <v>-0.7711172103881836</v>
      </c>
      <c r="S2247" s="3" t="n">
        <v>-1.111237406730652</v>
      </c>
      <c r="T2247" s="3" t="n">
        <v>-0.708448052406311</v>
      </c>
      <c r="U2247" s="3" t="n">
        <v>-0.8626193404197693</v>
      </c>
      <c r="V2247" s="3" t="n">
        <v>-0.6782930493354797</v>
      </c>
      <c r="W2247" s="3" t="n">
        <v>-0.530118465423584</v>
      </c>
      <c r="X2247" s="3" t="n">
        <v>-1.092859745025635</v>
      </c>
      <c r="Y2247" s="3" t="n">
        <v>-0.7839853167533875</v>
      </c>
      <c r="Z2247" s="3" t="n">
        <v>-1.111237406730652</v>
      </c>
      <c r="AA2247" s="3" t="n">
        <v>-1.111237406730652</v>
      </c>
      <c r="AB2247" s="3" t="n">
        <v>-1.092859745025635</v>
      </c>
      <c r="AC2247" s="3" t="n">
        <v>-1.385143280029297</v>
      </c>
      <c r="AD2247" s="3" t="n">
        <v>-0.8626193404197693</v>
      </c>
      <c r="AE2247" s="3" t="n">
        <v>-0.8626193404197693</v>
      </c>
    </row>
    <row r="2248">
      <c r="A2248" s="3" t="inlineStr">
        <is>
          <t>USA.distn.dec.ove.mean.1</t>
        </is>
      </c>
      <c r="B2248" s="3" t="inlineStr">
        <is>
          <t>USA</t>
        </is>
      </c>
      <c r="C2248" s="3" t="n">
        <v>2005</v>
      </c>
      <c r="D2248" s="3" t="inlineStr">
        <is>
          <t>Overall</t>
        </is>
      </c>
      <c r="E2248" s="3" t="inlineStr">
        <is>
          <t>Deciles</t>
        </is>
      </c>
      <c r="F2248" s="3" t="inlineStr">
        <is>
          <t>mean</t>
        </is>
      </c>
      <c r="G2248" s="3" t="n">
        <v>1</v>
      </c>
      <c r="H2248" s="3" t="n">
        <v>-0.7872329354286194</v>
      </c>
      <c r="I2248" s="3" t="n">
        <v>-0.7872329354286194</v>
      </c>
      <c r="J2248" s="3" t="n">
        <v>-0.8837013244628906</v>
      </c>
      <c r="K2248" s="3" t="n">
        <v>-0.8837013244628906</v>
      </c>
      <c r="L2248" s="3" t="n">
        <v>-0.7872329354286194</v>
      </c>
      <c r="M2248" s="3" t="n">
        <v>-0.7872329354286194</v>
      </c>
      <c r="N2248" s="3" t="n">
        <v>-0.7872329354286194</v>
      </c>
      <c r="O2248" s="3" t="n">
        <v>-0.7872329354286194</v>
      </c>
      <c r="P2248" s="3" t="n">
        <v>-0.7872329354286194</v>
      </c>
      <c r="Q2248" s="3" t="n">
        <v>-0.7872329354286194</v>
      </c>
      <c r="R2248" s="3" t="n">
        <v>-0.772466242313385</v>
      </c>
      <c r="S2248" s="3" t="n">
        <v>-1.383034229278564</v>
      </c>
      <c r="T2248" s="3" t="n">
        <v>-0.7094525694847107</v>
      </c>
      <c r="U2248" s="3" t="n">
        <v>-0.8837013244628906</v>
      </c>
      <c r="V2248" s="3" t="n">
        <v>-0.6809241771697998</v>
      </c>
      <c r="W2248" s="3" t="n">
        <v>-0.5453857779502869</v>
      </c>
      <c r="X2248" s="3" t="n">
        <v>-1.331944584846497</v>
      </c>
      <c r="Y2248" s="3" t="n">
        <v>-0.7872329354286194</v>
      </c>
      <c r="Z2248" s="3" t="n">
        <v>-1.383034229278564</v>
      </c>
      <c r="AA2248" s="3" t="n">
        <v>-1.383034229278564</v>
      </c>
      <c r="AB2248" s="3" t="n">
        <v>-1.331944584846497</v>
      </c>
      <c r="AC2248" s="3" t="n">
        <v>-2.062442302703857</v>
      </c>
      <c r="AD2248" s="3" t="n">
        <v>-0.8837013244628906</v>
      </c>
      <c r="AE2248" s="3" t="n">
        <v>-0.8837013244628906</v>
      </c>
    </row>
    <row r="2249">
      <c r="A2249" s="3" t="inlineStr">
        <is>
          <t>USA.distn.dec.ove.mean.2</t>
        </is>
      </c>
      <c r="B2249" s="3" t="inlineStr">
        <is>
          <t>USA</t>
        </is>
      </c>
      <c r="C2249" s="3" t="n">
        <v>2005</v>
      </c>
      <c r="D2249" s="3" t="inlineStr">
        <is>
          <t>Overall</t>
        </is>
      </c>
      <c r="E2249" s="3" t="inlineStr">
        <is>
          <t>Deciles</t>
        </is>
      </c>
      <c r="F2249" s="3" t="inlineStr">
        <is>
          <t>mean</t>
        </is>
      </c>
      <c r="G2249" s="3" t="n">
        <v>2</v>
      </c>
      <c r="H2249" s="3" t="n">
        <v>-0.7872329354286194</v>
      </c>
      <c r="I2249" s="3" t="n">
        <v>-0.7872329354286194</v>
      </c>
      <c r="J2249" s="3" t="n">
        <v>-0.8837013244628906</v>
      </c>
      <c r="K2249" s="3" t="n">
        <v>-0.8837013244628906</v>
      </c>
      <c r="L2249" s="3" t="n">
        <v>-0.7872329354286194</v>
      </c>
      <c r="M2249" s="3" t="n">
        <v>-0.7872329354286194</v>
      </c>
      <c r="N2249" s="3" t="n">
        <v>-0.7872329354286194</v>
      </c>
      <c r="O2249" s="3" t="n">
        <v>-0.7872329354286194</v>
      </c>
      <c r="P2249" s="3" t="n">
        <v>-0.7872329354286194</v>
      </c>
      <c r="Q2249" s="3" t="n">
        <v>-0.7872329354286194</v>
      </c>
      <c r="R2249" s="3" t="n">
        <v>-0.772466242313385</v>
      </c>
      <c r="S2249" s="3" t="n">
        <v>-1.383034229278564</v>
      </c>
      <c r="T2249" s="3" t="n">
        <v>-0.7094525694847107</v>
      </c>
      <c r="U2249" s="3" t="n">
        <v>-0.8837013244628906</v>
      </c>
      <c r="V2249" s="3" t="n">
        <v>-0.6809241771697998</v>
      </c>
      <c r="W2249" s="3" t="n">
        <v>-0.5453857779502869</v>
      </c>
      <c r="X2249" s="3" t="n">
        <v>-1.331944584846497</v>
      </c>
      <c r="Y2249" s="3" t="n">
        <v>-0.7872329354286194</v>
      </c>
      <c r="Z2249" s="3" t="n">
        <v>-1.383034229278564</v>
      </c>
      <c r="AA2249" s="3" t="n">
        <v>-1.383034229278564</v>
      </c>
      <c r="AB2249" s="3" t="n">
        <v>-1.331944584846497</v>
      </c>
      <c r="AC2249" s="3" t="n">
        <v>-2.062442302703857</v>
      </c>
      <c r="AD2249" s="3" t="n">
        <v>-0.8837013244628906</v>
      </c>
      <c r="AE2249" s="3" t="n">
        <v>-0.8837013244628906</v>
      </c>
    </row>
    <row r="2250">
      <c r="A2250" s="3" t="inlineStr">
        <is>
          <t>USA.distn.dec.ove.mean.3</t>
        </is>
      </c>
      <c r="B2250" s="3" t="inlineStr">
        <is>
          <t>USA</t>
        </is>
      </c>
      <c r="C2250" s="3" t="n">
        <v>2005</v>
      </c>
      <c r="D2250" s="3" t="inlineStr">
        <is>
          <t>Overall</t>
        </is>
      </c>
      <c r="E2250" s="3" t="inlineStr">
        <is>
          <t>Deciles</t>
        </is>
      </c>
      <c r="F2250" s="3" t="inlineStr">
        <is>
          <t>mean</t>
        </is>
      </c>
      <c r="G2250" s="3" t="n">
        <v>3</v>
      </c>
      <c r="H2250" s="3" t="n">
        <v>-0.7872329354286194</v>
      </c>
      <c r="I2250" s="3" t="n">
        <v>-0.7872329354286194</v>
      </c>
      <c r="J2250" s="3" t="n">
        <v>-0.8837013244628906</v>
      </c>
      <c r="K2250" s="3" t="n">
        <v>-0.8837013244628906</v>
      </c>
      <c r="L2250" s="3" t="n">
        <v>-0.7872329354286194</v>
      </c>
      <c r="M2250" s="3" t="n">
        <v>-0.7872329354286194</v>
      </c>
      <c r="N2250" s="3" t="n">
        <v>-0.7872329354286194</v>
      </c>
      <c r="O2250" s="3" t="n">
        <v>-0.7872329354286194</v>
      </c>
      <c r="P2250" s="3" t="n">
        <v>-0.7872329354286194</v>
      </c>
      <c r="Q2250" s="3" t="n">
        <v>-0.7872329354286194</v>
      </c>
      <c r="R2250" s="3" t="n">
        <v>-0.772466242313385</v>
      </c>
      <c r="S2250" s="3" t="n">
        <v>-1.383034229278564</v>
      </c>
      <c r="T2250" s="3" t="n">
        <v>-0.7094525694847107</v>
      </c>
      <c r="U2250" s="3" t="n">
        <v>-0.8837013244628906</v>
      </c>
      <c r="V2250" s="3" t="n">
        <v>-0.6809241771697998</v>
      </c>
      <c r="W2250" s="3" t="n">
        <v>-0.5453857779502869</v>
      </c>
      <c r="X2250" s="3" t="n">
        <v>-1.331944584846497</v>
      </c>
      <c r="Y2250" s="3" t="n">
        <v>-0.7872329354286194</v>
      </c>
      <c r="Z2250" s="3" t="n">
        <v>-1.383034229278564</v>
      </c>
      <c r="AA2250" s="3" t="n">
        <v>-1.383034229278564</v>
      </c>
      <c r="AB2250" s="3" t="n">
        <v>-1.331944584846497</v>
      </c>
      <c r="AC2250" s="3" t="n">
        <v>-2.062442302703857</v>
      </c>
      <c r="AD2250" s="3" t="n">
        <v>-0.8837013244628906</v>
      </c>
      <c r="AE2250" s="3" t="n">
        <v>-0.8837013244628906</v>
      </c>
    </row>
    <row r="2251">
      <c r="A2251" s="3" t="inlineStr">
        <is>
          <t>USA.distn.dec.ove.mean.4</t>
        </is>
      </c>
      <c r="B2251" s="3" t="inlineStr">
        <is>
          <t>USA</t>
        </is>
      </c>
      <c r="C2251" s="3" t="n">
        <v>2005</v>
      </c>
      <c r="D2251" s="3" t="inlineStr">
        <is>
          <t>Overall</t>
        </is>
      </c>
      <c r="E2251" s="3" t="inlineStr">
        <is>
          <t>Deciles</t>
        </is>
      </c>
      <c r="F2251" s="3" t="inlineStr">
        <is>
          <t>mean</t>
        </is>
      </c>
      <c r="G2251" s="3" t="n">
        <v>4</v>
      </c>
      <c r="H2251" s="3" t="n">
        <v>-0.781000018119812</v>
      </c>
      <c r="I2251" s="3" t="n">
        <v>-0.781000018119812</v>
      </c>
      <c r="J2251" s="3" t="n">
        <v>-0.8410000205039978</v>
      </c>
      <c r="K2251" s="3" t="n">
        <v>-0.8410000205039978</v>
      </c>
      <c r="L2251" s="3" t="n">
        <v>-0.781000018119812</v>
      </c>
      <c r="M2251" s="3" t="n">
        <v>-0.781000018119812</v>
      </c>
      <c r="N2251" s="3" t="n">
        <v>-0.781000018119812</v>
      </c>
      <c r="O2251" s="3" t="n">
        <v>-0.781000018119812</v>
      </c>
      <c r="P2251" s="3" t="n">
        <v>-0.781000018119812</v>
      </c>
      <c r="Q2251" s="3" t="n">
        <v>-0.781000018119812</v>
      </c>
      <c r="R2251" s="3" t="n">
        <v>-0.7689999938011169</v>
      </c>
      <c r="S2251" s="3" t="n">
        <v>-0.9419999718666077</v>
      </c>
      <c r="T2251" s="3" t="n">
        <v>-0.7080000042915344</v>
      </c>
      <c r="U2251" s="3" t="n">
        <v>-0.8410000205039978</v>
      </c>
      <c r="V2251" s="3" t="n">
        <v>-0.6740000247955322</v>
      </c>
      <c r="W2251" s="3" t="n">
        <v>-0.4589999914169312</v>
      </c>
      <c r="X2251" s="3" t="n">
        <v>-0.9399999976158142</v>
      </c>
      <c r="Y2251" s="3" t="n">
        <v>-0.781000018119812</v>
      </c>
      <c r="Z2251" s="3" t="n">
        <v>-0.9419999718666077</v>
      </c>
      <c r="AA2251" s="3" t="n">
        <v>-0.9419999718666077</v>
      </c>
      <c r="AB2251" s="3" t="n">
        <v>-0.9399999976158142</v>
      </c>
      <c r="AC2251" s="3" t="n">
        <v>-0.9959999918937683</v>
      </c>
      <c r="AD2251" s="3" t="n">
        <v>-0.8410000205039978</v>
      </c>
      <c r="AE2251" s="3" t="n">
        <v>-0.8410000205039978</v>
      </c>
    </row>
    <row r="2252">
      <c r="A2252" s="3" t="inlineStr">
        <is>
          <t>USA.distn.dec.ove.mean.5</t>
        </is>
      </c>
      <c r="B2252" s="3" t="inlineStr">
        <is>
          <t>USA</t>
        </is>
      </c>
      <c r="C2252" s="3" t="n">
        <v>2005</v>
      </c>
      <c r="D2252" s="3" t="inlineStr">
        <is>
          <t>Overall</t>
        </is>
      </c>
      <c r="E2252" s="3" t="inlineStr">
        <is>
          <t>Deciles</t>
        </is>
      </c>
      <c r="F2252" s="3" t="inlineStr">
        <is>
          <t>mean</t>
        </is>
      </c>
      <c r="G2252" s="3" t="n">
        <v>5</v>
      </c>
      <c r="H2252" s="3" t="n">
        <v>-0.781000018119812</v>
      </c>
      <c r="I2252" s="3" t="n">
        <v>-0.781000018119812</v>
      </c>
      <c r="J2252" s="3" t="n">
        <v>-0.8410000205039978</v>
      </c>
      <c r="K2252" s="3" t="n">
        <v>-0.8410000205039978</v>
      </c>
      <c r="L2252" s="3" t="n">
        <v>-0.781000018119812</v>
      </c>
      <c r="M2252" s="3" t="n">
        <v>-0.781000018119812</v>
      </c>
      <c r="N2252" s="3" t="n">
        <v>-0.781000018119812</v>
      </c>
      <c r="O2252" s="3" t="n">
        <v>-0.781000018119812</v>
      </c>
      <c r="P2252" s="3" t="n">
        <v>-0.781000018119812</v>
      </c>
      <c r="Q2252" s="3" t="n">
        <v>-0.781000018119812</v>
      </c>
      <c r="R2252" s="3" t="n">
        <v>-0.7689999938011169</v>
      </c>
      <c r="S2252" s="3" t="n">
        <v>-0.9419999718666077</v>
      </c>
      <c r="T2252" s="3" t="n">
        <v>-0.7080000042915344</v>
      </c>
      <c r="U2252" s="3" t="n">
        <v>-0.8410000205039978</v>
      </c>
      <c r="V2252" s="3" t="n">
        <v>-0.6740000247955322</v>
      </c>
      <c r="W2252" s="3" t="n">
        <v>-0.4589999914169312</v>
      </c>
      <c r="X2252" s="3" t="n">
        <v>-0.9399999976158142</v>
      </c>
      <c r="Y2252" s="3" t="n">
        <v>-0.781000018119812</v>
      </c>
      <c r="Z2252" s="3" t="n">
        <v>-0.9419999718666077</v>
      </c>
      <c r="AA2252" s="3" t="n">
        <v>-0.9419999718666077</v>
      </c>
      <c r="AB2252" s="3" t="n">
        <v>-0.9399999976158142</v>
      </c>
      <c r="AC2252" s="3" t="n">
        <v>-0.9959999918937683</v>
      </c>
      <c r="AD2252" s="3" t="n">
        <v>-0.8410000205039978</v>
      </c>
      <c r="AE2252" s="3" t="n">
        <v>-0.8410000205039978</v>
      </c>
    </row>
    <row r="2253">
      <c r="A2253" s="3" t="inlineStr">
        <is>
          <t>USA.distn.dec.ove.mean.6</t>
        </is>
      </c>
      <c r="B2253" s="3" t="inlineStr">
        <is>
          <t>USA</t>
        </is>
      </c>
      <c r="C2253" s="3" t="n">
        <v>2005</v>
      </c>
      <c r="D2253" s="3" t="inlineStr">
        <is>
          <t>Overall</t>
        </is>
      </c>
      <c r="E2253" s="3" t="inlineStr">
        <is>
          <t>Deciles</t>
        </is>
      </c>
      <c r="F2253" s="3" t="inlineStr">
        <is>
          <t>mean</t>
        </is>
      </c>
      <c r="G2253" s="3" t="n">
        <v>6</v>
      </c>
      <c r="H2253" s="3" t="n">
        <v>-0.781000018119812</v>
      </c>
      <c r="I2253" s="3" t="n">
        <v>-0.781000018119812</v>
      </c>
      <c r="J2253" s="3" t="n">
        <v>-0.8410000205039978</v>
      </c>
      <c r="K2253" s="3" t="n">
        <v>-0.8410000205039978</v>
      </c>
      <c r="L2253" s="3" t="n">
        <v>-0.781000018119812</v>
      </c>
      <c r="M2253" s="3" t="n">
        <v>-0.781000018119812</v>
      </c>
      <c r="N2253" s="3" t="n">
        <v>-0.781000018119812</v>
      </c>
      <c r="O2253" s="3" t="n">
        <v>-0.781000018119812</v>
      </c>
      <c r="P2253" s="3" t="n">
        <v>-0.781000018119812</v>
      </c>
      <c r="Q2253" s="3" t="n">
        <v>-0.781000018119812</v>
      </c>
      <c r="R2253" s="3" t="n">
        <v>-0.7689999938011169</v>
      </c>
      <c r="S2253" s="3" t="n">
        <v>-0.9419999718666077</v>
      </c>
      <c r="T2253" s="3" t="n">
        <v>-0.7080000042915344</v>
      </c>
      <c r="U2253" s="3" t="n">
        <v>-0.8410000205039978</v>
      </c>
      <c r="V2253" s="3" t="n">
        <v>-0.6740000247955322</v>
      </c>
      <c r="W2253" s="3" t="n">
        <v>-0.4589999914169312</v>
      </c>
      <c r="X2253" s="3" t="n">
        <v>-0.9399999976158142</v>
      </c>
      <c r="Y2253" s="3" t="n">
        <v>-0.781000018119812</v>
      </c>
      <c r="Z2253" s="3" t="n">
        <v>-0.9419999718666077</v>
      </c>
      <c r="AA2253" s="3" t="n">
        <v>-0.9419999718666077</v>
      </c>
      <c r="AB2253" s="3" t="n">
        <v>-0.9399999976158142</v>
      </c>
      <c r="AC2253" s="3" t="n">
        <v>-0.9959999918937683</v>
      </c>
      <c r="AD2253" s="3" t="n">
        <v>-0.8410000205039978</v>
      </c>
      <c r="AE2253" s="3" t="n">
        <v>-0.8410000205039978</v>
      </c>
    </row>
    <row r="2254">
      <c r="A2254" s="3" t="inlineStr">
        <is>
          <t>USA.distn.dec.ove.mean.7</t>
        </is>
      </c>
      <c r="B2254" s="3" t="inlineStr">
        <is>
          <t>USA</t>
        </is>
      </c>
      <c r="C2254" s="3" t="n">
        <v>2005</v>
      </c>
      <c r="D2254" s="3" t="inlineStr">
        <is>
          <t>Overall</t>
        </is>
      </c>
      <c r="E2254" s="3" t="inlineStr">
        <is>
          <t>Deciles</t>
        </is>
      </c>
      <c r="F2254" s="3" t="inlineStr">
        <is>
          <t>mean</t>
        </is>
      </c>
      <c r="G2254" s="3" t="n">
        <v>7</v>
      </c>
      <c r="H2254" s="3" t="n">
        <v>-0.781000018119812</v>
      </c>
      <c r="I2254" s="3" t="n">
        <v>-0.781000018119812</v>
      </c>
      <c r="J2254" s="3" t="n">
        <v>-0.8410000205039978</v>
      </c>
      <c r="K2254" s="3" t="n">
        <v>-0.8410000205039978</v>
      </c>
      <c r="L2254" s="3" t="n">
        <v>-0.781000018119812</v>
      </c>
      <c r="M2254" s="3" t="n">
        <v>-0.781000018119812</v>
      </c>
      <c r="N2254" s="3" t="n">
        <v>-0.781000018119812</v>
      </c>
      <c r="O2254" s="3" t="n">
        <v>-0.781000018119812</v>
      </c>
      <c r="P2254" s="3" t="n">
        <v>-0.781000018119812</v>
      </c>
      <c r="Q2254" s="3" t="n">
        <v>-0.781000018119812</v>
      </c>
      <c r="R2254" s="3" t="n">
        <v>-0.7689999938011169</v>
      </c>
      <c r="S2254" s="3" t="n">
        <v>-0.9419999718666077</v>
      </c>
      <c r="T2254" s="3" t="n">
        <v>-0.7080000042915344</v>
      </c>
      <c r="U2254" s="3" t="n">
        <v>-0.8410000205039978</v>
      </c>
      <c r="V2254" s="3" t="n">
        <v>-0.6740000247955322</v>
      </c>
      <c r="W2254" s="3" t="n">
        <v>-0.4589999914169312</v>
      </c>
      <c r="X2254" s="3" t="n">
        <v>-0.9399999976158142</v>
      </c>
      <c r="Y2254" s="3" t="n">
        <v>-0.781000018119812</v>
      </c>
      <c r="Z2254" s="3" t="n">
        <v>-0.9419999718666077</v>
      </c>
      <c r="AA2254" s="3" t="n">
        <v>-0.9419999718666077</v>
      </c>
      <c r="AB2254" s="3" t="n">
        <v>-0.9399999976158142</v>
      </c>
      <c r="AC2254" s="3" t="n">
        <v>-0.9959999918937683</v>
      </c>
      <c r="AD2254" s="3" t="n">
        <v>-0.8410000205039978</v>
      </c>
      <c r="AE2254" s="3" t="n">
        <v>-0.8410000205039978</v>
      </c>
    </row>
    <row r="2255">
      <c r="A2255" s="3" t="inlineStr">
        <is>
          <t>USA.distn.dec.ove.mean.8</t>
        </is>
      </c>
      <c r="B2255" s="3" t="inlineStr">
        <is>
          <t>USA</t>
        </is>
      </c>
      <c r="C2255" s="3" t="n">
        <v>2005</v>
      </c>
      <c r="D2255" s="3" t="inlineStr">
        <is>
          <t>Overall</t>
        </is>
      </c>
      <c r="E2255" s="3" t="inlineStr">
        <is>
          <t>Deciles</t>
        </is>
      </c>
      <c r="F2255" s="3" t="inlineStr">
        <is>
          <t>mean</t>
        </is>
      </c>
      <c r="G2255" s="3" t="n">
        <v>8</v>
      </c>
      <c r="H2255" s="3" t="n">
        <v>-0.7813762426376343</v>
      </c>
      <c r="I2255" s="3" t="n">
        <v>-0.7813762426376343</v>
      </c>
      <c r="J2255" s="3" t="n">
        <v>-0.8432686924934387</v>
      </c>
      <c r="K2255" s="3" t="n">
        <v>-0.8432686924934387</v>
      </c>
      <c r="L2255" s="3" t="n">
        <v>-0.7813762426376343</v>
      </c>
      <c r="M2255" s="3" t="n">
        <v>-0.7813762426376343</v>
      </c>
      <c r="N2255" s="3" t="n">
        <v>-0.7813762426376343</v>
      </c>
      <c r="O2255" s="3" t="n">
        <v>-0.7813762426376343</v>
      </c>
      <c r="P2255" s="3" t="n">
        <v>-0.7813762426376343</v>
      </c>
      <c r="Q2255" s="3" t="n">
        <v>-0.7813762426376343</v>
      </c>
      <c r="R2255" s="3" t="n">
        <v>-0.7692528963088989</v>
      </c>
      <c r="S2255" s="3" t="n">
        <v>-0.9507654309272766</v>
      </c>
      <c r="T2255" s="3" t="n">
        <v>-0.7080408334732056</v>
      </c>
      <c r="U2255" s="3" t="n">
        <v>-0.8432686924934387</v>
      </c>
      <c r="V2255" s="3" t="n">
        <v>-0.6746967434883118</v>
      </c>
      <c r="W2255" s="3" t="n">
        <v>-0.4712914824485779</v>
      </c>
      <c r="X2255" s="3" t="n">
        <v>-0.9485653042793274</v>
      </c>
      <c r="Y2255" s="3" t="n">
        <v>-0.7813762426376343</v>
      </c>
      <c r="Z2255" s="3" t="n">
        <v>-0.9507654309272766</v>
      </c>
      <c r="AA2255" s="3" t="n">
        <v>-0.9507654309272766</v>
      </c>
      <c r="AB2255" s="3" t="n">
        <v>-0.9485653042793274</v>
      </c>
      <c r="AC2255" s="3" t="n">
        <v>-1.010204315185547</v>
      </c>
      <c r="AD2255" s="3" t="n">
        <v>-0.8432686924934387</v>
      </c>
      <c r="AE2255" s="3" t="n">
        <v>-0.8432686924934387</v>
      </c>
    </row>
    <row r="2256">
      <c r="A2256" s="3" t="inlineStr">
        <is>
          <t>USA.distn.dec.ove.mean.9</t>
        </is>
      </c>
      <c r="B2256" s="3" t="inlineStr">
        <is>
          <t>USA</t>
        </is>
      </c>
      <c r="C2256" s="3" t="n">
        <v>2005</v>
      </c>
      <c r="D2256" s="3" t="inlineStr">
        <is>
          <t>Overall</t>
        </is>
      </c>
      <c r="E2256" s="3" t="inlineStr">
        <is>
          <t>Deciles</t>
        </is>
      </c>
      <c r="F2256" s="3" t="inlineStr">
        <is>
          <t>mean</t>
        </is>
      </c>
      <c r="G2256" s="3" t="n">
        <v>9</v>
      </c>
      <c r="H2256" s="3" t="n">
        <v>-0.7813762426376343</v>
      </c>
      <c r="I2256" s="3" t="n">
        <v>-0.7813762426376343</v>
      </c>
      <c r="J2256" s="3" t="n">
        <v>-0.8432686924934387</v>
      </c>
      <c r="K2256" s="3" t="n">
        <v>-0.8432686924934387</v>
      </c>
      <c r="L2256" s="3" t="n">
        <v>-0.7813762426376343</v>
      </c>
      <c r="M2256" s="3" t="n">
        <v>-0.7813762426376343</v>
      </c>
      <c r="N2256" s="3" t="n">
        <v>-0.7813762426376343</v>
      </c>
      <c r="O2256" s="3" t="n">
        <v>-0.7813762426376343</v>
      </c>
      <c r="P2256" s="3" t="n">
        <v>-0.7813762426376343</v>
      </c>
      <c r="Q2256" s="3" t="n">
        <v>-0.7813762426376343</v>
      </c>
      <c r="R2256" s="3" t="n">
        <v>-0.7692528963088989</v>
      </c>
      <c r="S2256" s="3" t="n">
        <v>-0.9507654309272766</v>
      </c>
      <c r="T2256" s="3" t="n">
        <v>-0.7080408334732056</v>
      </c>
      <c r="U2256" s="3" t="n">
        <v>-0.8432686924934387</v>
      </c>
      <c r="V2256" s="3" t="n">
        <v>-0.6746967434883118</v>
      </c>
      <c r="W2256" s="3" t="n">
        <v>-0.4712914824485779</v>
      </c>
      <c r="X2256" s="3" t="n">
        <v>-0.9485653042793274</v>
      </c>
      <c r="Y2256" s="3" t="n">
        <v>-0.7813762426376343</v>
      </c>
      <c r="Z2256" s="3" t="n">
        <v>-0.9507654309272766</v>
      </c>
      <c r="AA2256" s="3" t="n">
        <v>-0.9507654309272766</v>
      </c>
      <c r="AB2256" s="3" t="n">
        <v>-0.9485653042793274</v>
      </c>
      <c r="AC2256" s="3" t="n">
        <v>-1.010204315185547</v>
      </c>
      <c r="AD2256" s="3" t="n">
        <v>-0.8432686924934387</v>
      </c>
      <c r="AE2256" s="3" t="n">
        <v>-0.8432686924934387</v>
      </c>
    </row>
    <row r="2257">
      <c r="A2257" s="3" t="inlineStr">
        <is>
          <t>USA.distn.dec.ove.mean.10</t>
        </is>
      </c>
      <c r="B2257" s="3" t="inlineStr">
        <is>
          <t>USA</t>
        </is>
      </c>
      <c r="C2257" s="3" t="n">
        <v>2005</v>
      </c>
      <c r="D2257" s="3" t="inlineStr">
        <is>
          <t>Overall</t>
        </is>
      </c>
      <c r="E2257" s="3" t="inlineStr">
        <is>
          <t>Deciles</t>
        </is>
      </c>
      <c r="F2257" s="3" t="inlineStr">
        <is>
          <t>mean</t>
        </is>
      </c>
      <c r="G2257" s="3" t="n">
        <v>10</v>
      </c>
      <c r="H2257" s="3" t="n">
        <v>-0.7813762426376343</v>
      </c>
      <c r="I2257" s="3" t="n">
        <v>-0.7813762426376343</v>
      </c>
      <c r="J2257" s="3" t="n">
        <v>-0.8432686924934387</v>
      </c>
      <c r="K2257" s="3" t="n">
        <v>-0.8432686924934387</v>
      </c>
      <c r="L2257" s="3" t="n">
        <v>-0.7813762426376343</v>
      </c>
      <c r="M2257" s="3" t="n">
        <v>-0.7813762426376343</v>
      </c>
      <c r="N2257" s="3" t="n">
        <v>-0.7813762426376343</v>
      </c>
      <c r="O2257" s="3" t="n">
        <v>-0.7813762426376343</v>
      </c>
      <c r="P2257" s="3" t="n">
        <v>-0.7813762426376343</v>
      </c>
      <c r="Q2257" s="3" t="n">
        <v>-0.7813762426376343</v>
      </c>
      <c r="R2257" s="3" t="n">
        <v>-0.7692528963088989</v>
      </c>
      <c r="S2257" s="3" t="n">
        <v>-0.9507654309272766</v>
      </c>
      <c r="T2257" s="3" t="n">
        <v>-0.7080408334732056</v>
      </c>
      <c r="U2257" s="3" t="n">
        <v>-0.8432686924934387</v>
      </c>
      <c r="V2257" s="3" t="n">
        <v>-0.6746967434883118</v>
      </c>
      <c r="W2257" s="3" t="n">
        <v>-0.4712914824485779</v>
      </c>
      <c r="X2257" s="3" t="n">
        <v>-0.9485653042793274</v>
      </c>
      <c r="Y2257" s="3" t="n">
        <v>-0.7813762426376343</v>
      </c>
      <c r="Z2257" s="3" t="n">
        <v>-0.9507654309272766</v>
      </c>
      <c r="AA2257" s="3" t="n">
        <v>-0.9507654309272766</v>
      </c>
      <c r="AB2257" s="3" t="n">
        <v>-0.9485653042793274</v>
      </c>
      <c r="AC2257" s="3" t="n">
        <v>-1.010204315185547</v>
      </c>
      <c r="AD2257" s="3" t="n">
        <v>-0.8432686924934387</v>
      </c>
      <c r="AE2257" s="3" t="n">
        <v>-0.8432686924934387</v>
      </c>
    </row>
    <row r="2258">
      <c r="A2258" s="3" t="inlineStr">
        <is>
          <t>USA.distn.bkt.ove.mean.9999</t>
        </is>
      </c>
      <c r="B2258" s="3" t="inlineStr">
        <is>
          <t>USA</t>
        </is>
      </c>
      <c r="C2258" s="3" t="n">
        <v>2005</v>
      </c>
      <c r="D2258" s="3" t="inlineStr">
        <is>
          <t>Overall</t>
        </is>
      </c>
      <c r="E2258" s="3" t="inlineStr">
        <is>
          <t>Basket</t>
        </is>
      </c>
      <c r="F2258" s="3" t="inlineStr">
        <is>
          <t>mean</t>
        </is>
      </c>
      <c r="G2258" s="3" t="n">
        <v>9999</v>
      </c>
      <c r="H2258" s="3" t="n">
        <v>-0.7829827666282654</v>
      </c>
      <c r="I2258" s="3" t="n">
        <v>-0.7829827666282654</v>
      </c>
      <c r="J2258" s="3" t="n">
        <v>-0.8544909954071045</v>
      </c>
      <c r="K2258" s="3" t="n">
        <v>-0.8544909954071045</v>
      </c>
      <c r="L2258" s="3" t="n">
        <v>-0.7829827666282654</v>
      </c>
      <c r="M2258" s="3" t="n">
        <v>-0.7829827666282654</v>
      </c>
      <c r="N2258" s="3" t="n">
        <v>-0.7829827666282654</v>
      </c>
      <c r="O2258" s="3" t="n">
        <v>-0.7829827666282654</v>
      </c>
      <c r="P2258" s="3" t="n">
        <v>-0.7829827666282654</v>
      </c>
      <c r="Q2258" s="3" t="n">
        <v>-0.7829827666282654</v>
      </c>
      <c r="R2258" s="3" t="n">
        <v>-0.7701157331466675</v>
      </c>
      <c r="S2258" s="3" t="n">
        <v>-1.076939940452576</v>
      </c>
      <c r="T2258" s="3" t="n">
        <v>-0.708448052406311</v>
      </c>
      <c r="U2258" s="3" t="n">
        <v>-0.8544909954071045</v>
      </c>
      <c r="V2258" s="3" t="n">
        <v>-0.6762862801551819</v>
      </c>
      <c r="W2258" s="3" t="n">
        <v>-0.4886031746864319</v>
      </c>
      <c r="X2258" s="3" t="n">
        <v>-1.060153007507324</v>
      </c>
      <c r="Y2258" s="3" t="n">
        <v>-0.7829827666282654</v>
      </c>
      <c r="Z2258" s="3" t="n">
        <v>-1.076939940452576</v>
      </c>
      <c r="AA2258" s="3" t="n">
        <v>-1.076939940452576</v>
      </c>
      <c r="AB2258" s="3" t="n">
        <v>-1.060153007507324</v>
      </c>
      <c r="AC2258" s="3" t="n">
        <v>-1.320194005966187</v>
      </c>
      <c r="AD2258" s="3" t="n">
        <v>-0.8544909954071045</v>
      </c>
      <c r="AE2258" s="3" t="n">
        <v>-0.8544909954071045</v>
      </c>
    </row>
    <row r="2259">
      <c r="A2259" s="3" t="inlineStr">
        <is>
          <t>UZB.distn.dec.ove.mean.1</t>
        </is>
      </c>
      <c r="B2259" s="3" t="inlineStr">
        <is>
          <t>UZB</t>
        </is>
      </c>
      <c r="C2259" s="3" t="n">
        <v>2005</v>
      </c>
      <c r="D2259" s="3" t="inlineStr">
        <is>
          <t>Overall</t>
        </is>
      </c>
      <c r="E2259" s="3" t="inlineStr">
        <is>
          <t>Deciles</t>
        </is>
      </c>
      <c r="F2259" s="3" t="inlineStr">
        <is>
          <t>mean</t>
        </is>
      </c>
      <c r="G2259" s="3" t="n">
        <v>1</v>
      </c>
      <c r="H2259" s="3" t="n">
        <v>-0.7936522003851438</v>
      </c>
      <c r="I2259" s="3" t="n">
        <v>-0.7936522003851438</v>
      </c>
      <c r="J2259" s="3" t="n">
        <v>-0.9276126356501329</v>
      </c>
      <c r="K2259" s="3" t="n">
        <v>-0.9276126356501329</v>
      </c>
      <c r="L2259" s="3" t="n">
        <v>-0.7936522003851438</v>
      </c>
      <c r="M2259" s="3" t="n">
        <v>-0.7936522003851438</v>
      </c>
      <c r="N2259" s="3" t="n">
        <v>-0.7936522003851438</v>
      </c>
      <c r="O2259" s="3" t="n">
        <v>-0.7936522003851438</v>
      </c>
      <c r="P2259" s="3" t="n">
        <v>-0.7936522003851438</v>
      </c>
      <c r="Q2259" s="3" t="n">
        <v>-0.7936522003851438</v>
      </c>
      <c r="R2259" s="3" t="n">
        <v>-0.7764578367534437</v>
      </c>
      <c r="S2259" s="3" t="n">
        <v>-1.851309371621985</v>
      </c>
      <c r="T2259" s="3" t="n">
        <v>-0.7110083871766141</v>
      </c>
      <c r="U2259" s="3" t="n">
        <v>-0.9276126356501329</v>
      </c>
      <c r="V2259" s="3" t="n">
        <v>-0.688554396754817</v>
      </c>
      <c r="W2259" s="3" t="n">
        <v>-0.6748062403578508</v>
      </c>
      <c r="X2259" s="3" t="n">
        <v>-1.760538414904946</v>
      </c>
      <c r="Y2259" s="3" t="n">
        <v>-0.7936522003851438</v>
      </c>
      <c r="Z2259" s="3" t="n">
        <v>-1.851309371621985</v>
      </c>
      <c r="AA2259" s="3" t="n">
        <v>-1.851309371621985</v>
      </c>
      <c r="AB2259" s="3" t="n">
        <v>-1.760538414904946</v>
      </c>
      <c r="AC2259" s="3" t="n">
        <v>-4.00243950517554</v>
      </c>
      <c r="AD2259" s="3" t="n">
        <v>-0.9276126356501329</v>
      </c>
      <c r="AE2259" s="3" t="n">
        <v>-0.9276126356501329</v>
      </c>
    </row>
    <row r="2260">
      <c r="A2260" s="3" t="inlineStr">
        <is>
          <t>UZB.distn.dec.ove.mean.2</t>
        </is>
      </c>
      <c r="B2260" s="3" t="inlineStr">
        <is>
          <t>UZB</t>
        </is>
      </c>
      <c r="C2260" s="3" t="n">
        <v>2005</v>
      </c>
      <c r="D2260" s="3" t="inlineStr">
        <is>
          <t>Overall</t>
        </is>
      </c>
      <c r="E2260" s="3" t="inlineStr">
        <is>
          <t>Deciles</t>
        </is>
      </c>
      <c r="F2260" s="3" t="inlineStr">
        <is>
          <t>mean</t>
        </is>
      </c>
      <c r="G2260" s="3" t="n">
        <v>2</v>
      </c>
      <c r="H2260" s="3" t="n">
        <v>-0.7936522003851438</v>
      </c>
      <c r="I2260" s="3" t="n">
        <v>-0.7936522003851438</v>
      </c>
      <c r="J2260" s="3" t="n">
        <v>-0.9276126356501329</v>
      </c>
      <c r="K2260" s="3" t="n">
        <v>-0.9276126356501329</v>
      </c>
      <c r="L2260" s="3" t="n">
        <v>-0.7936522003851438</v>
      </c>
      <c r="M2260" s="3" t="n">
        <v>-0.7936522003851438</v>
      </c>
      <c r="N2260" s="3" t="n">
        <v>-0.7936522003851438</v>
      </c>
      <c r="O2260" s="3" t="n">
        <v>-0.7936522003851438</v>
      </c>
      <c r="P2260" s="3" t="n">
        <v>-0.7936522003851438</v>
      </c>
      <c r="Q2260" s="3" t="n">
        <v>-0.7936522003851438</v>
      </c>
      <c r="R2260" s="3" t="n">
        <v>-0.7764578367534437</v>
      </c>
      <c r="S2260" s="3" t="n">
        <v>-1.851309371621985</v>
      </c>
      <c r="T2260" s="3" t="n">
        <v>-0.7110083871766141</v>
      </c>
      <c r="U2260" s="3" t="n">
        <v>-0.9276126356501329</v>
      </c>
      <c r="V2260" s="3" t="n">
        <v>-0.688554396754817</v>
      </c>
      <c r="W2260" s="3" t="n">
        <v>-0.6748062403578508</v>
      </c>
      <c r="X2260" s="3" t="n">
        <v>-1.760538414904946</v>
      </c>
      <c r="Y2260" s="3" t="n">
        <v>-0.7936522003851438</v>
      </c>
      <c r="Z2260" s="3" t="n">
        <v>-1.851309371621985</v>
      </c>
      <c r="AA2260" s="3" t="n">
        <v>-1.851309371621985</v>
      </c>
      <c r="AB2260" s="3" t="n">
        <v>-1.760538414904946</v>
      </c>
      <c r="AC2260" s="3" t="n">
        <v>-4.00243950517554</v>
      </c>
      <c r="AD2260" s="3" t="n">
        <v>-0.9276126356501329</v>
      </c>
      <c r="AE2260" s="3" t="n">
        <v>-0.9276126356501329</v>
      </c>
    </row>
    <row r="2261">
      <c r="A2261" s="3" t="inlineStr">
        <is>
          <t>UZB.distn.dec.ove.mean.3</t>
        </is>
      </c>
      <c r="B2261" s="3" t="inlineStr">
        <is>
          <t>UZB</t>
        </is>
      </c>
      <c r="C2261" s="3" t="n">
        <v>2005</v>
      </c>
      <c r="D2261" s="3" t="inlineStr">
        <is>
          <t>Overall</t>
        </is>
      </c>
      <c r="E2261" s="3" t="inlineStr">
        <is>
          <t>Deciles</t>
        </is>
      </c>
      <c r="F2261" s="3" t="inlineStr">
        <is>
          <t>mean</t>
        </is>
      </c>
      <c r="G2261" s="3" t="n">
        <v>3</v>
      </c>
      <c r="H2261" s="3" t="n">
        <v>-0.7936522003851438</v>
      </c>
      <c r="I2261" s="3" t="n">
        <v>-0.7936522003851438</v>
      </c>
      <c r="J2261" s="3" t="n">
        <v>-0.9276126356501329</v>
      </c>
      <c r="K2261" s="3" t="n">
        <v>-0.9276126356501329</v>
      </c>
      <c r="L2261" s="3" t="n">
        <v>-0.7936522003851438</v>
      </c>
      <c r="M2261" s="3" t="n">
        <v>-0.7936522003851438</v>
      </c>
      <c r="N2261" s="3" t="n">
        <v>-0.7936522003851438</v>
      </c>
      <c r="O2261" s="3" t="n">
        <v>-0.7936522003851438</v>
      </c>
      <c r="P2261" s="3" t="n">
        <v>-0.7936522003851438</v>
      </c>
      <c r="Q2261" s="3" t="n">
        <v>-0.7936522003851438</v>
      </c>
      <c r="R2261" s="3" t="n">
        <v>-0.7764578367534437</v>
      </c>
      <c r="S2261" s="3" t="n">
        <v>-1.851309371621985</v>
      </c>
      <c r="T2261" s="3" t="n">
        <v>-0.7110083871766141</v>
      </c>
      <c r="U2261" s="3" t="n">
        <v>-0.9276126356501329</v>
      </c>
      <c r="V2261" s="3" t="n">
        <v>-0.688554396754817</v>
      </c>
      <c r="W2261" s="3" t="n">
        <v>-0.6748062403578508</v>
      </c>
      <c r="X2261" s="3" t="n">
        <v>-1.760538414904946</v>
      </c>
      <c r="Y2261" s="3" t="n">
        <v>-0.7936522003851438</v>
      </c>
      <c r="Z2261" s="3" t="n">
        <v>-1.851309371621985</v>
      </c>
      <c r="AA2261" s="3" t="n">
        <v>-1.851309371621985</v>
      </c>
      <c r="AB2261" s="3" t="n">
        <v>-1.760538414904946</v>
      </c>
      <c r="AC2261" s="3" t="n">
        <v>-4.00243950517554</v>
      </c>
      <c r="AD2261" s="3" t="n">
        <v>-0.9276126356501329</v>
      </c>
      <c r="AE2261" s="3" t="n">
        <v>-0.9276126356501329</v>
      </c>
    </row>
    <row r="2262">
      <c r="A2262" s="3" t="inlineStr">
        <is>
          <t>UZB.distn.dec.ove.mean.4</t>
        </is>
      </c>
      <c r="B2262" s="3" t="inlineStr">
        <is>
          <t>UZB</t>
        </is>
      </c>
      <c r="C2262" s="3" t="n">
        <v>2005</v>
      </c>
      <c r="D2262" s="3" t="inlineStr">
        <is>
          <t>Overall</t>
        </is>
      </c>
      <c r="E2262" s="3" t="inlineStr">
        <is>
          <t>Deciles</t>
        </is>
      </c>
      <c r="F2262" s="3" t="inlineStr">
        <is>
          <t>mean</t>
        </is>
      </c>
      <c r="G2262" s="3" t="n">
        <v>4</v>
      </c>
      <c r="H2262" s="3" t="n">
        <v>-0.7873684167861938</v>
      </c>
      <c r="I2262" s="3" t="n">
        <v>-0.7873684167861938</v>
      </c>
      <c r="J2262" s="3" t="n">
        <v>-0.8827894769216839</v>
      </c>
      <c r="K2262" s="3" t="n">
        <v>-0.8827894769216839</v>
      </c>
      <c r="L2262" s="3" t="n">
        <v>-0.7873684167861938</v>
      </c>
      <c r="M2262" s="3" t="n">
        <v>-0.7873684167861938</v>
      </c>
      <c r="N2262" s="3" t="n">
        <v>-0.7873684167861938</v>
      </c>
      <c r="O2262" s="3" t="n">
        <v>-0.7873684167861938</v>
      </c>
      <c r="P2262" s="3" t="n">
        <v>-0.7873684167861938</v>
      </c>
      <c r="Q2262" s="3" t="n">
        <v>-0.7873684167861938</v>
      </c>
      <c r="R2262" s="3" t="n">
        <v>-0.7729736864566803</v>
      </c>
      <c r="S2262" s="3" t="n">
        <v>-1.260947363941293</v>
      </c>
      <c r="T2262" s="3" t="n">
        <v>-0.7095526174495095</v>
      </c>
      <c r="U2262" s="3" t="n">
        <v>-0.8827894769216839</v>
      </c>
      <c r="V2262" s="3" t="n">
        <v>-0.6815526375645086</v>
      </c>
      <c r="W2262" s="3" t="n">
        <v>-0.5679210565592113</v>
      </c>
      <c r="X2262" s="3" t="n">
        <v>-1.242473682290629</v>
      </c>
      <c r="Y2262" s="3" t="n">
        <v>-0.7873684167861938</v>
      </c>
      <c r="Z2262" s="3" t="n">
        <v>-1.260947363941293</v>
      </c>
      <c r="AA2262" s="3" t="n">
        <v>-1.260947363941293</v>
      </c>
      <c r="AB2262" s="3" t="n">
        <v>-1.242473682290629</v>
      </c>
      <c r="AC2262" s="3" t="n">
        <v>-1.932868417940642</v>
      </c>
      <c r="AD2262" s="3" t="n">
        <v>-0.8827894769216839</v>
      </c>
      <c r="AE2262" s="3" t="n">
        <v>-0.8827894769216839</v>
      </c>
    </row>
    <row r="2263">
      <c r="A2263" s="3" t="inlineStr">
        <is>
          <t>UZB.distn.dec.ove.mean.5</t>
        </is>
      </c>
      <c r="B2263" s="3" t="inlineStr">
        <is>
          <t>UZB</t>
        </is>
      </c>
      <c r="C2263" s="3" t="n">
        <v>2005</v>
      </c>
      <c r="D2263" s="3" t="inlineStr">
        <is>
          <t>Overall</t>
        </is>
      </c>
      <c r="E2263" s="3" t="inlineStr">
        <is>
          <t>Deciles</t>
        </is>
      </c>
      <c r="F2263" s="3" t="inlineStr">
        <is>
          <t>mean</t>
        </is>
      </c>
      <c r="G2263" s="3" t="n">
        <v>5</v>
      </c>
      <c r="H2263" s="3" t="n">
        <v>-0.7873684167861938</v>
      </c>
      <c r="I2263" s="3" t="n">
        <v>-0.7873684167861938</v>
      </c>
      <c r="J2263" s="3" t="n">
        <v>-0.8827894769216839</v>
      </c>
      <c r="K2263" s="3" t="n">
        <v>-0.8827894769216839</v>
      </c>
      <c r="L2263" s="3" t="n">
        <v>-0.7873684167861938</v>
      </c>
      <c r="M2263" s="3" t="n">
        <v>-0.7873684167861938</v>
      </c>
      <c r="N2263" s="3" t="n">
        <v>-0.7873684167861938</v>
      </c>
      <c r="O2263" s="3" t="n">
        <v>-0.7873684167861938</v>
      </c>
      <c r="P2263" s="3" t="n">
        <v>-0.7873684167861938</v>
      </c>
      <c r="Q2263" s="3" t="n">
        <v>-0.7873684167861938</v>
      </c>
      <c r="R2263" s="3" t="n">
        <v>-0.7729736864566803</v>
      </c>
      <c r="S2263" s="3" t="n">
        <v>-1.260947363941293</v>
      </c>
      <c r="T2263" s="3" t="n">
        <v>-0.7095526174495095</v>
      </c>
      <c r="U2263" s="3" t="n">
        <v>-0.8827894769216839</v>
      </c>
      <c r="V2263" s="3" t="n">
        <v>-0.6815526375645086</v>
      </c>
      <c r="W2263" s="3" t="n">
        <v>-0.5679210565592113</v>
      </c>
      <c r="X2263" s="3" t="n">
        <v>-1.242473682290629</v>
      </c>
      <c r="Y2263" s="3" t="n">
        <v>-0.7873684167861938</v>
      </c>
      <c r="Z2263" s="3" t="n">
        <v>-1.260947363941293</v>
      </c>
      <c r="AA2263" s="3" t="n">
        <v>-1.260947363941293</v>
      </c>
      <c r="AB2263" s="3" t="n">
        <v>-1.242473682290629</v>
      </c>
      <c r="AC2263" s="3" t="n">
        <v>-1.932868417940642</v>
      </c>
      <c r="AD2263" s="3" t="n">
        <v>-0.8827894769216839</v>
      </c>
      <c r="AE2263" s="3" t="n">
        <v>-0.8827894769216839</v>
      </c>
    </row>
    <row r="2264">
      <c r="A2264" s="3" t="inlineStr">
        <is>
          <t>UZB.distn.dec.ove.mean.6</t>
        </is>
      </c>
      <c r="B2264" s="3" t="inlineStr">
        <is>
          <t>UZB</t>
        </is>
      </c>
      <c r="C2264" s="3" t="n">
        <v>2005</v>
      </c>
      <c r="D2264" s="3" t="inlineStr">
        <is>
          <t>Overall</t>
        </is>
      </c>
      <c r="E2264" s="3" t="inlineStr">
        <is>
          <t>Deciles</t>
        </is>
      </c>
      <c r="F2264" s="3" t="inlineStr">
        <is>
          <t>mean</t>
        </is>
      </c>
      <c r="G2264" s="3" t="n">
        <v>6</v>
      </c>
      <c r="H2264" s="3" t="n">
        <v>-0.7873684167861938</v>
      </c>
      <c r="I2264" s="3" t="n">
        <v>-0.7873684167861938</v>
      </c>
      <c r="J2264" s="3" t="n">
        <v>-0.8827894769216839</v>
      </c>
      <c r="K2264" s="3" t="n">
        <v>-0.8827894769216839</v>
      </c>
      <c r="L2264" s="3" t="n">
        <v>-0.7873684167861938</v>
      </c>
      <c r="M2264" s="3" t="n">
        <v>-0.7873684167861938</v>
      </c>
      <c r="N2264" s="3" t="n">
        <v>-0.7873684167861938</v>
      </c>
      <c r="O2264" s="3" t="n">
        <v>-0.7873684167861938</v>
      </c>
      <c r="P2264" s="3" t="n">
        <v>-0.7873684167861938</v>
      </c>
      <c r="Q2264" s="3" t="n">
        <v>-0.7873684167861938</v>
      </c>
      <c r="R2264" s="3" t="n">
        <v>-0.7729736864566803</v>
      </c>
      <c r="S2264" s="3" t="n">
        <v>-1.260947363941293</v>
      </c>
      <c r="T2264" s="3" t="n">
        <v>-0.7095526174495095</v>
      </c>
      <c r="U2264" s="3" t="n">
        <v>-0.8827894769216839</v>
      </c>
      <c r="V2264" s="3" t="n">
        <v>-0.6815526375645086</v>
      </c>
      <c r="W2264" s="3" t="n">
        <v>-0.5679210565592113</v>
      </c>
      <c r="X2264" s="3" t="n">
        <v>-1.242473682290629</v>
      </c>
      <c r="Y2264" s="3" t="n">
        <v>-0.7873684167861938</v>
      </c>
      <c r="Z2264" s="3" t="n">
        <v>-1.260947363941293</v>
      </c>
      <c r="AA2264" s="3" t="n">
        <v>-1.260947363941293</v>
      </c>
      <c r="AB2264" s="3" t="n">
        <v>-1.242473682290629</v>
      </c>
      <c r="AC2264" s="3" t="n">
        <v>-1.932868417940642</v>
      </c>
      <c r="AD2264" s="3" t="n">
        <v>-0.8827894769216839</v>
      </c>
      <c r="AE2264" s="3" t="n">
        <v>-0.8827894769216839</v>
      </c>
    </row>
    <row r="2265">
      <c r="A2265" s="3" t="inlineStr">
        <is>
          <t>UZB.distn.dec.ove.mean.7</t>
        </is>
      </c>
      <c r="B2265" s="3" t="inlineStr">
        <is>
          <t>UZB</t>
        </is>
      </c>
      <c r="C2265" s="3" t="n">
        <v>2005</v>
      </c>
      <c r="D2265" s="3" t="inlineStr">
        <is>
          <t>Overall</t>
        </is>
      </c>
      <c r="E2265" s="3" t="inlineStr">
        <is>
          <t>Deciles</t>
        </is>
      </c>
      <c r="F2265" s="3" t="inlineStr">
        <is>
          <t>mean</t>
        </is>
      </c>
      <c r="G2265" s="3" t="n">
        <v>7</v>
      </c>
      <c r="H2265" s="3" t="n">
        <v>-0.7873684167861938</v>
      </c>
      <c r="I2265" s="3" t="n">
        <v>-0.7873684167861938</v>
      </c>
      <c r="J2265" s="3" t="n">
        <v>-0.8827894769216839</v>
      </c>
      <c r="K2265" s="3" t="n">
        <v>-0.8827894769216839</v>
      </c>
      <c r="L2265" s="3" t="n">
        <v>-0.7873684167861938</v>
      </c>
      <c r="M2265" s="3" t="n">
        <v>-0.7873684167861938</v>
      </c>
      <c r="N2265" s="3" t="n">
        <v>-0.7873684167861938</v>
      </c>
      <c r="O2265" s="3" t="n">
        <v>-0.7873684167861938</v>
      </c>
      <c r="P2265" s="3" t="n">
        <v>-0.7873684167861938</v>
      </c>
      <c r="Q2265" s="3" t="n">
        <v>-0.7873684167861938</v>
      </c>
      <c r="R2265" s="3" t="n">
        <v>-0.7729736864566803</v>
      </c>
      <c r="S2265" s="3" t="n">
        <v>-1.260947363941293</v>
      </c>
      <c r="T2265" s="3" t="n">
        <v>-0.7095526174495095</v>
      </c>
      <c r="U2265" s="3" t="n">
        <v>-0.8827894769216839</v>
      </c>
      <c r="V2265" s="3" t="n">
        <v>-0.6815526375645086</v>
      </c>
      <c r="W2265" s="3" t="n">
        <v>-0.5679210565592113</v>
      </c>
      <c r="X2265" s="3" t="n">
        <v>-1.242473682290629</v>
      </c>
      <c r="Y2265" s="3" t="n">
        <v>-0.7873684167861938</v>
      </c>
      <c r="Z2265" s="3" t="n">
        <v>-1.260947363941293</v>
      </c>
      <c r="AA2265" s="3" t="n">
        <v>-1.260947363941293</v>
      </c>
      <c r="AB2265" s="3" t="n">
        <v>-1.242473682290629</v>
      </c>
      <c r="AC2265" s="3" t="n">
        <v>-1.932868417940642</v>
      </c>
      <c r="AD2265" s="3" t="n">
        <v>-0.8827894769216839</v>
      </c>
      <c r="AE2265" s="3" t="n">
        <v>-0.8827894769216839</v>
      </c>
    </row>
    <row r="2266">
      <c r="A2266" s="3" t="inlineStr">
        <is>
          <t>UZB.distn.dec.ove.mean.8</t>
        </is>
      </c>
      <c r="B2266" s="3" t="inlineStr">
        <is>
          <t>UZB</t>
        </is>
      </c>
      <c r="C2266" s="3" t="n">
        <v>2005</v>
      </c>
      <c r="D2266" s="3" t="inlineStr">
        <is>
          <t>Overall</t>
        </is>
      </c>
      <c r="E2266" s="3" t="inlineStr">
        <is>
          <t>Deciles</t>
        </is>
      </c>
      <c r="F2266" s="3" t="inlineStr">
        <is>
          <t>mean</t>
        </is>
      </c>
      <c r="G2266" s="3" t="n">
        <v>8</v>
      </c>
      <c r="H2266" s="3" t="n">
        <v>-0.7877477627051505</v>
      </c>
      <c r="I2266" s="3" t="n">
        <v>-0.7877477627051505</v>
      </c>
      <c r="J2266" s="3" t="n">
        <v>-0.8851708738427413</v>
      </c>
      <c r="K2266" s="3" t="n">
        <v>-0.8851708738427413</v>
      </c>
      <c r="L2266" s="3" t="n">
        <v>-0.7877477627051505</v>
      </c>
      <c r="M2266" s="3" t="n">
        <v>-0.7877477627051505</v>
      </c>
      <c r="N2266" s="3" t="n">
        <v>-0.7877477627051505</v>
      </c>
      <c r="O2266" s="3" t="n">
        <v>-0.7877477627051505</v>
      </c>
      <c r="P2266" s="3" t="n">
        <v>-0.7877477627051505</v>
      </c>
      <c r="Q2266" s="3" t="n">
        <v>-0.7877477627051505</v>
      </c>
      <c r="R2266" s="3" t="n">
        <v>-0.7732278971295607</v>
      </c>
      <c r="S2266" s="3" t="n">
        <v>-1.272680619829579</v>
      </c>
      <c r="T2266" s="3" t="n">
        <v>-0.7095935376066911</v>
      </c>
      <c r="U2266" s="3" t="n">
        <v>-0.8851708738427413</v>
      </c>
      <c r="V2266" s="3" t="n">
        <v>-0.6822572021107924</v>
      </c>
      <c r="W2266" s="3" t="n">
        <v>-0.5831292993143985</v>
      </c>
      <c r="X2266" s="3" t="n">
        <v>-1.253795093611667</v>
      </c>
      <c r="Y2266" s="3" t="n">
        <v>-0.7877477627051505</v>
      </c>
      <c r="Z2266" s="3" t="n">
        <v>-1.272680619829579</v>
      </c>
      <c r="AA2266" s="3" t="n">
        <v>-1.272680619829579</v>
      </c>
      <c r="AB2266" s="3" t="n">
        <v>-1.253795093611667</v>
      </c>
      <c r="AC2266" s="3" t="n">
        <v>-1.960433708994012</v>
      </c>
      <c r="AD2266" s="3" t="n">
        <v>-0.8851708738427413</v>
      </c>
      <c r="AE2266" s="3" t="n">
        <v>-0.8851708738427413</v>
      </c>
    </row>
    <row r="2267">
      <c r="A2267" s="3" t="inlineStr">
        <is>
          <t>UZB.distn.dec.ove.mean.9</t>
        </is>
      </c>
      <c r="B2267" s="3" t="inlineStr">
        <is>
          <t>UZB</t>
        </is>
      </c>
      <c r="C2267" s="3" t="n">
        <v>2005</v>
      </c>
      <c r="D2267" s="3" t="inlineStr">
        <is>
          <t>Overall</t>
        </is>
      </c>
      <c r="E2267" s="3" t="inlineStr">
        <is>
          <t>Deciles</t>
        </is>
      </c>
      <c r="F2267" s="3" t="inlineStr">
        <is>
          <t>mean</t>
        </is>
      </c>
      <c r="G2267" s="3" t="n">
        <v>9</v>
      </c>
      <c r="H2267" s="3" t="n">
        <v>-0.7877477627051505</v>
      </c>
      <c r="I2267" s="3" t="n">
        <v>-0.7877477627051505</v>
      </c>
      <c r="J2267" s="3" t="n">
        <v>-0.8851708738427413</v>
      </c>
      <c r="K2267" s="3" t="n">
        <v>-0.8851708738427413</v>
      </c>
      <c r="L2267" s="3" t="n">
        <v>-0.7877477627051505</v>
      </c>
      <c r="M2267" s="3" t="n">
        <v>-0.7877477627051505</v>
      </c>
      <c r="N2267" s="3" t="n">
        <v>-0.7877477627051505</v>
      </c>
      <c r="O2267" s="3" t="n">
        <v>-0.7877477627051505</v>
      </c>
      <c r="P2267" s="3" t="n">
        <v>-0.7877477627051505</v>
      </c>
      <c r="Q2267" s="3" t="n">
        <v>-0.7877477627051505</v>
      </c>
      <c r="R2267" s="3" t="n">
        <v>-0.7732278971295607</v>
      </c>
      <c r="S2267" s="3" t="n">
        <v>-1.272680619829579</v>
      </c>
      <c r="T2267" s="3" t="n">
        <v>-0.7095935376066911</v>
      </c>
      <c r="U2267" s="3" t="n">
        <v>-0.8851708738427413</v>
      </c>
      <c r="V2267" s="3" t="n">
        <v>-0.6822572021107924</v>
      </c>
      <c r="W2267" s="3" t="n">
        <v>-0.5831292993143985</v>
      </c>
      <c r="X2267" s="3" t="n">
        <v>-1.253795093611667</v>
      </c>
      <c r="Y2267" s="3" t="n">
        <v>-0.7877477627051505</v>
      </c>
      <c r="Z2267" s="3" t="n">
        <v>-1.272680619829579</v>
      </c>
      <c r="AA2267" s="3" t="n">
        <v>-1.272680619829579</v>
      </c>
      <c r="AB2267" s="3" t="n">
        <v>-1.253795093611667</v>
      </c>
      <c r="AC2267" s="3" t="n">
        <v>-1.960433708994012</v>
      </c>
      <c r="AD2267" s="3" t="n">
        <v>-0.8851708738427413</v>
      </c>
      <c r="AE2267" s="3" t="n">
        <v>-0.8851708738427413</v>
      </c>
    </row>
    <row r="2268">
      <c r="A2268" s="3" t="inlineStr">
        <is>
          <t>UZB.distn.dec.ove.mean.10</t>
        </is>
      </c>
      <c r="B2268" s="3" t="inlineStr">
        <is>
          <t>UZB</t>
        </is>
      </c>
      <c r="C2268" s="3" t="n">
        <v>2005</v>
      </c>
      <c r="D2268" s="3" t="inlineStr">
        <is>
          <t>Overall</t>
        </is>
      </c>
      <c r="E2268" s="3" t="inlineStr">
        <is>
          <t>Deciles</t>
        </is>
      </c>
      <c r="F2268" s="3" t="inlineStr">
        <is>
          <t>mean</t>
        </is>
      </c>
      <c r="G2268" s="3" t="n">
        <v>10</v>
      </c>
      <c r="H2268" s="3" t="n">
        <v>-0.7877477627051505</v>
      </c>
      <c r="I2268" s="3" t="n">
        <v>-0.7877477627051505</v>
      </c>
      <c r="J2268" s="3" t="n">
        <v>-0.8851708738427413</v>
      </c>
      <c r="K2268" s="3" t="n">
        <v>-0.8851708738427413</v>
      </c>
      <c r="L2268" s="3" t="n">
        <v>-0.7877477627051505</v>
      </c>
      <c r="M2268" s="3" t="n">
        <v>-0.7877477627051505</v>
      </c>
      <c r="N2268" s="3" t="n">
        <v>-0.7877477627051505</v>
      </c>
      <c r="O2268" s="3" t="n">
        <v>-0.7877477627051505</v>
      </c>
      <c r="P2268" s="3" t="n">
        <v>-0.7877477627051505</v>
      </c>
      <c r="Q2268" s="3" t="n">
        <v>-0.7877477627051505</v>
      </c>
      <c r="R2268" s="3" t="n">
        <v>-0.7732278971295607</v>
      </c>
      <c r="S2268" s="3" t="n">
        <v>-1.272680619829579</v>
      </c>
      <c r="T2268" s="3" t="n">
        <v>-0.7095935376066911</v>
      </c>
      <c r="U2268" s="3" t="n">
        <v>-0.8851708738427413</v>
      </c>
      <c r="V2268" s="3" t="n">
        <v>-0.6822572021107924</v>
      </c>
      <c r="W2268" s="3" t="n">
        <v>-0.5831292993143985</v>
      </c>
      <c r="X2268" s="3" t="n">
        <v>-1.253795093611667</v>
      </c>
      <c r="Y2268" s="3" t="n">
        <v>-0.7877477627051505</v>
      </c>
      <c r="Z2268" s="3" t="n">
        <v>-1.272680619829579</v>
      </c>
      <c r="AA2268" s="3" t="n">
        <v>-1.272680619829579</v>
      </c>
      <c r="AB2268" s="3" t="n">
        <v>-1.253795093611667</v>
      </c>
      <c r="AC2268" s="3" t="n">
        <v>-1.960433708994012</v>
      </c>
      <c r="AD2268" s="3" t="n">
        <v>-0.8851708738427413</v>
      </c>
      <c r="AE2268" s="3" t="n">
        <v>-0.8851708738427413</v>
      </c>
    </row>
    <row r="2269">
      <c r="A2269" s="3" t="inlineStr">
        <is>
          <t>UZB.distn.bkt.ove.mean.9999</t>
        </is>
      </c>
      <c r="B2269" s="3" t="inlineStr">
        <is>
          <t>UZB</t>
        </is>
      </c>
      <c r="C2269" s="3" t="n">
        <v>2005</v>
      </c>
      <c r="D2269" s="3" t="inlineStr">
        <is>
          <t>Overall</t>
        </is>
      </c>
      <c r="E2269" s="3" t="inlineStr">
        <is>
          <t>Basket</t>
        </is>
      </c>
      <c r="F2269" s="3" t="inlineStr">
        <is>
          <t>mean</t>
        </is>
      </c>
      <c r="G2269" s="3" t="n">
        <v>9999</v>
      </c>
      <c r="H2269" s="3" t="n">
        <v>-0.7893673542298769</v>
      </c>
      <c r="I2269" s="3" t="n">
        <v>-0.7893673542298769</v>
      </c>
      <c r="J2269" s="3" t="n">
        <v>-0.8969508472241854</v>
      </c>
      <c r="K2269" s="3" t="n">
        <v>-0.8969508472241854</v>
      </c>
      <c r="L2269" s="3" t="n">
        <v>-0.7893673542298769</v>
      </c>
      <c r="M2269" s="3" t="n">
        <v>-0.7893673542298769</v>
      </c>
      <c r="N2269" s="3" t="n">
        <v>-0.7893673542298769</v>
      </c>
      <c r="O2269" s="3" t="n">
        <v>-0.7893673542298769</v>
      </c>
      <c r="P2269" s="3" t="n">
        <v>-0.7893673542298769</v>
      </c>
      <c r="Q2269" s="3" t="n">
        <v>-0.7893673542298769</v>
      </c>
      <c r="R2269" s="3" t="n">
        <v>-0.7740951949044278</v>
      </c>
      <c r="S2269" s="3" t="n">
        <v>-1.441575941286589</v>
      </c>
      <c r="T2269" s="3" t="n">
        <v>-0.7100016239442324</v>
      </c>
      <c r="U2269" s="3" t="n">
        <v>-0.8969508472241854</v>
      </c>
      <c r="V2269" s="3" t="n">
        <v>-0.6838645276270414</v>
      </c>
      <c r="W2269" s="3" t="n">
        <v>-0.6045490895446978</v>
      </c>
      <c r="X2269" s="3" t="n">
        <v>-1.401289532059117</v>
      </c>
      <c r="Y2269" s="3" t="n">
        <v>-0.7893673542298769</v>
      </c>
      <c r="Z2269" s="3" t="n">
        <v>-1.441575941286589</v>
      </c>
      <c r="AA2269" s="3" t="n">
        <v>-1.441575941286589</v>
      </c>
      <c r="AB2269" s="3" t="n">
        <v>-1.401289532059117</v>
      </c>
      <c r="AC2269" s="3" t="n">
        <v>-2.562009337701296</v>
      </c>
      <c r="AD2269" s="3" t="n">
        <v>-0.8969508472241854</v>
      </c>
      <c r="AE2269" s="3" t="n">
        <v>-0.8969508472241854</v>
      </c>
    </row>
    <row r="2270">
      <c r="A2270" s="3" t="inlineStr">
        <is>
          <t>VCT.distn.dec.ove.mean.1</t>
        </is>
      </c>
      <c r="B2270" s="3" t="inlineStr">
        <is>
          <t>VCT</t>
        </is>
      </c>
      <c r="C2270" s="3" t="n">
        <v>2005</v>
      </c>
      <c r="D2270" s="3" t="inlineStr">
        <is>
          <t>Overall</t>
        </is>
      </c>
      <c r="E2270" s="3" t="inlineStr">
        <is>
          <t>Deciles</t>
        </is>
      </c>
      <c r="F2270" s="3" t="inlineStr">
        <is>
          <t>mean</t>
        </is>
      </c>
      <c r="G2270" s="3" t="n">
        <v>1</v>
      </c>
      <c r="H2270" s="3" t="n">
        <v>-0.7898249251501901</v>
      </c>
      <c r="I2270" s="3" t="n">
        <v>-0.7898249251501901</v>
      </c>
      <c r="J2270" s="3" t="n">
        <v>-0.9006037865366254</v>
      </c>
      <c r="K2270" s="3" t="n">
        <v>-0.9006037865366254</v>
      </c>
      <c r="L2270" s="3" t="n">
        <v>-0.7898249251501901</v>
      </c>
      <c r="M2270" s="3" t="n">
        <v>-0.7898249251501901</v>
      </c>
      <c r="N2270" s="3" t="n">
        <v>-0.7898249251501901</v>
      </c>
      <c r="O2270" s="3" t="n">
        <v>-0.7898249251501901</v>
      </c>
      <c r="P2270" s="3" t="n">
        <v>-0.7898249251501901</v>
      </c>
      <c r="Q2270" s="3" t="n">
        <v>-0.7898249251501901</v>
      </c>
      <c r="R2270" s="3" t="n">
        <v>-0.7744465725762504</v>
      </c>
      <c r="S2270" s="3" t="n">
        <v>-1.490841317176819</v>
      </c>
      <c r="T2270" s="3" t="n">
        <v>-0.7100824441228594</v>
      </c>
      <c r="U2270" s="3" t="n">
        <v>-0.9006037865366254</v>
      </c>
      <c r="V2270" s="3" t="n">
        <v>-0.6846477542604719</v>
      </c>
      <c r="W2270" s="3" t="n">
        <v>-0.6204802887780326</v>
      </c>
      <c r="X2270" s="3" t="n">
        <v>-1.433480068615505</v>
      </c>
      <c r="Y2270" s="3" t="n">
        <v>-0.7898249251501901</v>
      </c>
      <c r="Z2270" s="3" t="n">
        <v>-1.490841317176819</v>
      </c>
      <c r="AA2270" s="3" t="n">
        <v>-1.490841317176819</v>
      </c>
      <c r="AB2270" s="3" t="n">
        <v>-1.433480068615505</v>
      </c>
      <c r="AC2270" s="3" t="n">
        <v>-2.345895099639892</v>
      </c>
      <c r="AD2270" s="3" t="n">
        <v>-0.9006037865366254</v>
      </c>
      <c r="AE2270" s="3" t="n">
        <v>-0.9006037865366254</v>
      </c>
    </row>
    <row r="2271">
      <c r="A2271" s="3" t="inlineStr">
        <is>
          <t>VCT.distn.dec.ove.mean.2</t>
        </is>
      </c>
      <c r="B2271" s="3" t="inlineStr">
        <is>
          <t>VCT</t>
        </is>
      </c>
      <c r="C2271" s="3" t="n">
        <v>2005</v>
      </c>
      <c r="D2271" s="3" t="inlineStr">
        <is>
          <t>Overall</t>
        </is>
      </c>
      <c r="E2271" s="3" t="inlineStr">
        <is>
          <t>Deciles</t>
        </is>
      </c>
      <c r="F2271" s="3" t="inlineStr">
        <is>
          <t>mean</t>
        </is>
      </c>
      <c r="G2271" s="3" t="n">
        <v>2</v>
      </c>
      <c r="H2271" s="3" t="n">
        <v>-0.7898249251501901</v>
      </c>
      <c r="I2271" s="3" t="n">
        <v>-0.7898249251501901</v>
      </c>
      <c r="J2271" s="3" t="n">
        <v>-0.9006037865366254</v>
      </c>
      <c r="K2271" s="3" t="n">
        <v>-0.9006037865366254</v>
      </c>
      <c r="L2271" s="3" t="n">
        <v>-0.7898249251501901</v>
      </c>
      <c r="M2271" s="3" t="n">
        <v>-0.7898249251501901</v>
      </c>
      <c r="N2271" s="3" t="n">
        <v>-0.7898249251501901</v>
      </c>
      <c r="O2271" s="3" t="n">
        <v>-0.7898249251501901</v>
      </c>
      <c r="P2271" s="3" t="n">
        <v>-0.7898249251501901</v>
      </c>
      <c r="Q2271" s="3" t="n">
        <v>-0.7898249251501901</v>
      </c>
      <c r="R2271" s="3" t="n">
        <v>-0.7744465725762504</v>
      </c>
      <c r="S2271" s="3" t="n">
        <v>-1.490841317176819</v>
      </c>
      <c r="T2271" s="3" t="n">
        <v>-0.7100824441228594</v>
      </c>
      <c r="U2271" s="3" t="n">
        <v>-0.9006037865366254</v>
      </c>
      <c r="V2271" s="3" t="n">
        <v>-0.6846477542604719</v>
      </c>
      <c r="W2271" s="3" t="n">
        <v>-0.6204802887780326</v>
      </c>
      <c r="X2271" s="3" t="n">
        <v>-1.433480068615505</v>
      </c>
      <c r="Y2271" s="3" t="n">
        <v>-0.7898249251501901</v>
      </c>
      <c r="Z2271" s="3" t="n">
        <v>-1.490841317176819</v>
      </c>
      <c r="AA2271" s="3" t="n">
        <v>-1.490841317176819</v>
      </c>
      <c r="AB2271" s="3" t="n">
        <v>-1.433480068615505</v>
      </c>
      <c r="AC2271" s="3" t="n">
        <v>-2.345895099639892</v>
      </c>
      <c r="AD2271" s="3" t="n">
        <v>-0.9006037865366254</v>
      </c>
      <c r="AE2271" s="3" t="n">
        <v>-0.9006037865366254</v>
      </c>
    </row>
    <row r="2272">
      <c r="A2272" s="3" t="inlineStr">
        <is>
          <t>VCT.distn.dec.ove.mean.3</t>
        </is>
      </c>
      <c r="B2272" s="3" t="inlineStr">
        <is>
          <t>VCT</t>
        </is>
      </c>
      <c r="C2272" s="3" t="n">
        <v>2005</v>
      </c>
      <c r="D2272" s="3" t="inlineStr">
        <is>
          <t>Overall</t>
        </is>
      </c>
      <c r="E2272" s="3" t="inlineStr">
        <is>
          <t>Deciles</t>
        </is>
      </c>
      <c r="F2272" s="3" t="inlineStr">
        <is>
          <t>mean</t>
        </is>
      </c>
      <c r="G2272" s="3" t="n">
        <v>3</v>
      </c>
      <c r="H2272" s="3" t="n">
        <v>-0.7898249251501901</v>
      </c>
      <c r="I2272" s="3" t="n">
        <v>-0.7898249251501901</v>
      </c>
      <c r="J2272" s="3" t="n">
        <v>-0.9006037865366254</v>
      </c>
      <c r="K2272" s="3" t="n">
        <v>-0.9006037865366254</v>
      </c>
      <c r="L2272" s="3" t="n">
        <v>-0.7898249251501901</v>
      </c>
      <c r="M2272" s="3" t="n">
        <v>-0.7898249251501901</v>
      </c>
      <c r="N2272" s="3" t="n">
        <v>-0.7898249251501901</v>
      </c>
      <c r="O2272" s="3" t="n">
        <v>-0.7898249251501901</v>
      </c>
      <c r="P2272" s="3" t="n">
        <v>-0.7898249251501901</v>
      </c>
      <c r="Q2272" s="3" t="n">
        <v>-0.7898249251501901</v>
      </c>
      <c r="R2272" s="3" t="n">
        <v>-0.7744465725762504</v>
      </c>
      <c r="S2272" s="3" t="n">
        <v>-1.490841317176819</v>
      </c>
      <c r="T2272" s="3" t="n">
        <v>-0.7100824441228594</v>
      </c>
      <c r="U2272" s="3" t="n">
        <v>-0.9006037865366254</v>
      </c>
      <c r="V2272" s="3" t="n">
        <v>-0.6846477542604719</v>
      </c>
      <c r="W2272" s="3" t="n">
        <v>-0.6204802887780326</v>
      </c>
      <c r="X2272" s="3" t="n">
        <v>-1.433480068615505</v>
      </c>
      <c r="Y2272" s="3" t="n">
        <v>-0.7898249251501901</v>
      </c>
      <c r="Z2272" s="3" t="n">
        <v>-1.490841317176819</v>
      </c>
      <c r="AA2272" s="3" t="n">
        <v>-1.490841317176819</v>
      </c>
      <c r="AB2272" s="3" t="n">
        <v>-1.433480068615505</v>
      </c>
      <c r="AC2272" s="3" t="n">
        <v>-2.345895099639892</v>
      </c>
      <c r="AD2272" s="3" t="n">
        <v>-0.9006037865366254</v>
      </c>
      <c r="AE2272" s="3" t="n">
        <v>-0.9006037865366254</v>
      </c>
    </row>
    <row r="2273">
      <c r="A2273" s="3" t="inlineStr">
        <is>
          <t>VCT.distn.dec.ove.mean.4</t>
        </is>
      </c>
      <c r="B2273" s="3" t="inlineStr">
        <is>
          <t>VCT</t>
        </is>
      </c>
      <c r="C2273" s="3" t="n">
        <v>2005</v>
      </c>
      <c r="D2273" s="3" t="inlineStr">
        <is>
          <t>Overall</t>
        </is>
      </c>
      <c r="E2273" s="3" t="inlineStr">
        <is>
          <t>Deciles</t>
        </is>
      </c>
      <c r="F2273" s="3" t="inlineStr">
        <is>
          <t>mean</t>
        </is>
      </c>
      <c r="G2273" s="3" t="n">
        <v>4</v>
      </c>
      <c r="H2273" s="3" t="n">
        <v>-0.7835714289120266</v>
      </c>
      <c r="I2273" s="3" t="n">
        <v>-0.7835714289120266</v>
      </c>
      <c r="J2273" s="3" t="n">
        <v>-0.8570857082094465</v>
      </c>
      <c r="K2273" s="3" t="n">
        <v>-0.8570857082094465</v>
      </c>
      <c r="L2273" s="3" t="n">
        <v>-0.7835714289120266</v>
      </c>
      <c r="M2273" s="3" t="n">
        <v>-0.7835714289120266</v>
      </c>
      <c r="N2273" s="3" t="n">
        <v>-0.7835714289120266</v>
      </c>
      <c r="O2273" s="3" t="n">
        <v>-0.7835714289120266</v>
      </c>
      <c r="P2273" s="3" t="n">
        <v>-0.7835714289120266</v>
      </c>
      <c r="Q2273" s="3" t="n">
        <v>-0.7835714289120266</v>
      </c>
      <c r="R2273" s="3" t="n">
        <v>-0.7709714361599513</v>
      </c>
      <c r="S2273" s="3" t="n">
        <v>-1.015428565229688</v>
      </c>
      <c r="T2273" s="3" t="n">
        <v>-0.708628567627498</v>
      </c>
      <c r="U2273" s="3" t="n">
        <v>-0.8570857082094465</v>
      </c>
      <c r="V2273" s="3" t="n">
        <v>-0.6776857103620256</v>
      </c>
      <c r="W2273" s="3" t="n">
        <v>-0.5221999968801226</v>
      </c>
      <c r="X2273" s="3" t="n">
        <v>-1.011657135827201</v>
      </c>
      <c r="Y2273" s="3" t="n">
        <v>-0.7835714289120266</v>
      </c>
      <c r="Z2273" s="3" t="n">
        <v>-1.015428565229688</v>
      </c>
      <c r="AA2273" s="3" t="n">
        <v>-1.015428565229688</v>
      </c>
      <c r="AB2273" s="3" t="n">
        <v>-1.011657135827201</v>
      </c>
      <c r="AC2273" s="3" t="n">
        <v>-1.132885714939662</v>
      </c>
      <c r="AD2273" s="3" t="n">
        <v>-0.8570857082094465</v>
      </c>
      <c r="AE2273" s="3" t="n">
        <v>-0.8570857082094465</v>
      </c>
    </row>
    <row r="2274">
      <c r="A2274" s="3" t="inlineStr">
        <is>
          <t>VCT.distn.dec.ove.mean.5</t>
        </is>
      </c>
      <c r="B2274" s="3" t="inlineStr">
        <is>
          <t>VCT</t>
        </is>
      </c>
      <c r="C2274" s="3" t="n">
        <v>2005</v>
      </c>
      <c r="D2274" s="3" t="inlineStr">
        <is>
          <t>Overall</t>
        </is>
      </c>
      <c r="E2274" s="3" t="inlineStr">
        <is>
          <t>Deciles</t>
        </is>
      </c>
      <c r="F2274" s="3" t="inlineStr">
        <is>
          <t>mean</t>
        </is>
      </c>
      <c r="G2274" s="3" t="n">
        <v>5</v>
      </c>
      <c r="H2274" s="3" t="n">
        <v>-0.7835714289120266</v>
      </c>
      <c r="I2274" s="3" t="n">
        <v>-0.7835714289120266</v>
      </c>
      <c r="J2274" s="3" t="n">
        <v>-0.8570857082094465</v>
      </c>
      <c r="K2274" s="3" t="n">
        <v>-0.8570857082094465</v>
      </c>
      <c r="L2274" s="3" t="n">
        <v>-0.7835714289120266</v>
      </c>
      <c r="M2274" s="3" t="n">
        <v>-0.7835714289120266</v>
      </c>
      <c r="N2274" s="3" t="n">
        <v>-0.7835714289120266</v>
      </c>
      <c r="O2274" s="3" t="n">
        <v>-0.7835714289120266</v>
      </c>
      <c r="P2274" s="3" t="n">
        <v>-0.7835714289120266</v>
      </c>
      <c r="Q2274" s="3" t="n">
        <v>-0.7835714289120266</v>
      </c>
      <c r="R2274" s="3" t="n">
        <v>-0.7709714361599513</v>
      </c>
      <c r="S2274" s="3" t="n">
        <v>-1.015428565229688</v>
      </c>
      <c r="T2274" s="3" t="n">
        <v>-0.708628567627498</v>
      </c>
      <c r="U2274" s="3" t="n">
        <v>-0.8570857082094465</v>
      </c>
      <c r="V2274" s="3" t="n">
        <v>-0.6776857103620256</v>
      </c>
      <c r="W2274" s="3" t="n">
        <v>-0.5221999968801226</v>
      </c>
      <c r="X2274" s="3" t="n">
        <v>-1.011657135827201</v>
      </c>
      <c r="Y2274" s="3" t="n">
        <v>-0.7835714289120266</v>
      </c>
      <c r="Z2274" s="3" t="n">
        <v>-1.015428565229688</v>
      </c>
      <c r="AA2274" s="3" t="n">
        <v>-1.015428565229688</v>
      </c>
      <c r="AB2274" s="3" t="n">
        <v>-1.011657135827201</v>
      </c>
      <c r="AC2274" s="3" t="n">
        <v>-1.132885714939662</v>
      </c>
      <c r="AD2274" s="3" t="n">
        <v>-0.8570857082094465</v>
      </c>
      <c r="AE2274" s="3" t="n">
        <v>-0.8570857082094465</v>
      </c>
    </row>
    <row r="2275">
      <c r="A2275" s="3" t="inlineStr">
        <is>
          <t>VCT.distn.dec.ove.mean.6</t>
        </is>
      </c>
      <c r="B2275" s="3" t="inlineStr">
        <is>
          <t>VCT</t>
        </is>
      </c>
      <c r="C2275" s="3" t="n">
        <v>2005</v>
      </c>
      <c r="D2275" s="3" t="inlineStr">
        <is>
          <t>Overall</t>
        </is>
      </c>
      <c r="E2275" s="3" t="inlineStr">
        <is>
          <t>Deciles</t>
        </is>
      </c>
      <c r="F2275" s="3" t="inlineStr">
        <is>
          <t>mean</t>
        </is>
      </c>
      <c r="G2275" s="3" t="n">
        <v>6</v>
      </c>
      <c r="H2275" s="3" t="n">
        <v>-0.7835714289120266</v>
      </c>
      <c r="I2275" s="3" t="n">
        <v>-0.7835714289120266</v>
      </c>
      <c r="J2275" s="3" t="n">
        <v>-0.8570857082094465</v>
      </c>
      <c r="K2275" s="3" t="n">
        <v>-0.8570857082094465</v>
      </c>
      <c r="L2275" s="3" t="n">
        <v>-0.7835714289120266</v>
      </c>
      <c r="M2275" s="3" t="n">
        <v>-0.7835714289120266</v>
      </c>
      <c r="N2275" s="3" t="n">
        <v>-0.7835714289120266</v>
      </c>
      <c r="O2275" s="3" t="n">
        <v>-0.7835714289120266</v>
      </c>
      <c r="P2275" s="3" t="n">
        <v>-0.7835714289120266</v>
      </c>
      <c r="Q2275" s="3" t="n">
        <v>-0.7835714289120266</v>
      </c>
      <c r="R2275" s="3" t="n">
        <v>-0.7709714361599513</v>
      </c>
      <c r="S2275" s="3" t="n">
        <v>-1.015428565229688</v>
      </c>
      <c r="T2275" s="3" t="n">
        <v>-0.708628567627498</v>
      </c>
      <c r="U2275" s="3" t="n">
        <v>-0.8570857082094465</v>
      </c>
      <c r="V2275" s="3" t="n">
        <v>-0.6776857103620256</v>
      </c>
      <c r="W2275" s="3" t="n">
        <v>-0.5221999968801226</v>
      </c>
      <c r="X2275" s="3" t="n">
        <v>-1.011657135827201</v>
      </c>
      <c r="Y2275" s="3" t="n">
        <v>-0.7835714289120266</v>
      </c>
      <c r="Z2275" s="3" t="n">
        <v>-1.015428565229688</v>
      </c>
      <c r="AA2275" s="3" t="n">
        <v>-1.015428565229688</v>
      </c>
      <c r="AB2275" s="3" t="n">
        <v>-1.011657135827201</v>
      </c>
      <c r="AC2275" s="3" t="n">
        <v>-1.132885714939662</v>
      </c>
      <c r="AD2275" s="3" t="n">
        <v>-0.8570857082094465</v>
      </c>
      <c r="AE2275" s="3" t="n">
        <v>-0.8570857082094465</v>
      </c>
    </row>
    <row r="2276">
      <c r="A2276" s="3" t="inlineStr">
        <is>
          <t>VCT.distn.dec.ove.mean.7</t>
        </is>
      </c>
      <c r="B2276" s="3" t="inlineStr">
        <is>
          <t>VCT</t>
        </is>
      </c>
      <c r="C2276" s="3" t="n">
        <v>2005</v>
      </c>
      <c r="D2276" s="3" t="inlineStr">
        <is>
          <t>Overall</t>
        </is>
      </c>
      <c r="E2276" s="3" t="inlineStr">
        <is>
          <t>Deciles</t>
        </is>
      </c>
      <c r="F2276" s="3" t="inlineStr">
        <is>
          <t>mean</t>
        </is>
      </c>
      <c r="G2276" s="3" t="n">
        <v>7</v>
      </c>
      <c r="H2276" s="3" t="n">
        <v>-0.7835714289120266</v>
      </c>
      <c r="I2276" s="3" t="n">
        <v>-0.7835714289120266</v>
      </c>
      <c r="J2276" s="3" t="n">
        <v>-0.8570857082094465</v>
      </c>
      <c r="K2276" s="3" t="n">
        <v>-0.8570857082094465</v>
      </c>
      <c r="L2276" s="3" t="n">
        <v>-0.7835714289120266</v>
      </c>
      <c r="M2276" s="3" t="n">
        <v>-0.7835714289120266</v>
      </c>
      <c r="N2276" s="3" t="n">
        <v>-0.7835714289120266</v>
      </c>
      <c r="O2276" s="3" t="n">
        <v>-0.7835714289120266</v>
      </c>
      <c r="P2276" s="3" t="n">
        <v>-0.7835714289120266</v>
      </c>
      <c r="Q2276" s="3" t="n">
        <v>-0.7835714289120266</v>
      </c>
      <c r="R2276" s="3" t="n">
        <v>-0.7709714361599513</v>
      </c>
      <c r="S2276" s="3" t="n">
        <v>-1.015428565229688</v>
      </c>
      <c r="T2276" s="3" t="n">
        <v>-0.708628567627498</v>
      </c>
      <c r="U2276" s="3" t="n">
        <v>-0.8570857082094465</v>
      </c>
      <c r="V2276" s="3" t="n">
        <v>-0.6776857103620256</v>
      </c>
      <c r="W2276" s="3" t="n">
        <v>-0.5221999968801226</v>
      </c>
      <c r="X2276" s="3" t="n">
        <v>-1.011657135827201</v>
      </c>
      <c r="Y2276" s="3" t="n">
        <v>-0.7835714289120266</v>
      </c>
      <c r="Z2276" s="3" t="n">
        <v>-1.015428565229688</v>
      </c>
      <c r="AA2276" s="3" t="n">
        <v>-1.015428565229688</v>
      </c>
      <c r="AB2276" s="3" t="n">
        <v>-1.011657135827201</v>
      </c>
      <c r="AC2276" s="3" t="n">
        <v>-1.132885714939662</v>
      </c>
      <c r="AD2276" s="3" t="n">
        <v>-0.8570857082094465</v>
      </c>
      <c r="AE2276" s="3" t="n">
        <v>-0.8570857082094465</v>
      </c>
    </row>
    <row r="2277">
      <c r="A2277" s="3" t="inlineStr">
        <is>
          <t>VCT.distn.dec.ove.mean.8</t>
        </is>
      </c>
      <c r="B2277" s="3" t="inlineStr">
        <is>
          <t>VCT</t>
        </is>
      </c>
      <c r="C2277" s="3" t="n">
        <v>2005</v>
      </c>
      <c r="D2277" s="3" t="inlineStr">
        <is>
          <t>Overall</t>
        </is>
      </c>
      <c r="E2277" s="3" t="inlineStr">
        <is>
          <t>Deciles</t>
        </is>
      </c>
      <c r="F2277" s="3" t="inlineStr">
        <is>
          <t>mean</t>
        </is>
      </c>
      <c r="G2277" s="3" t="n">
        <v>8</v>
      </c>
      <c r="H2277" s="3" t="n">
        <v>-0.7839489357812064</v>
      </c>
      <c r="I2277" s="3" t="n">
        <v>-0.7839489357812064</v>
      </c>
      <c r="J2277" s="3" t="n">
        <v>-0.8593977723802839</v>
      </c>
      <c r="K2277" s="3" t="n">
        <v>-0.8593977723802839</v>
      </c>
      <c r="L2277" s="3" t="n">
        <v>-0.7839489357812064</v>
      </c>
      <c r="M2277" s="3" t="n">
        <v>-0.7839489357812064</v>
      </c>
      <c r="N2277" s="3" t="n">
        <v>-0.7839489357812064</v>
      </c>
      <c r="O2277" s="3" t="n">
        <v>-0.7839489357812064</v>
      </c>
      <c r="P2277" s="3" t="n">
        <v>-0.7839489357812064</v>
      </c>
      <c r="Q2277" s="3" t="n">
        <v>-0.7839489357812064</v>
      </c>
      <c r="R2277" s="3" t="n">
        <v>-0.7712249892098563</v>
      </c>
      <c r="S2277" s="3" t="n">
        <v>-1.024877253600529</v>
      </c>
      <c r="T2277" s="3" t="n">
        <v>-0.7086694342749459</v>
      </c>
      <c r="U2277" s="3" t="n">
        <v>-0.8593977723802839</v>
      </c>
      <c r="V2277" s="3" t="n">
        <v>-0.6783862863268171</v>
      </c>
      <c r="W2277" s="3" t="n">
        <v>-0.5361838928290776</v>
      </c>
      <c r="X2277" s="3" t="n">
        <v>-1.020875356878553</v>
      </c>
      <c r="Y2277" s="3" t="n">
        <v>-0.7839489357812064</v>
      </c>
      <c r="Z2277" s="3" t="n">
        <v>-1.024877253600529</v>
      </c>
      <c r="AA2277" s="3" t="n">
        <v>-1.024877253600529</v>
      </c>
      <c r="AB2277" s="3" t="n">
        <v>-1.020875356878553</v>
      </c>
      <c r="AC2277" s="3" t="n">
        <v>-1.149042170388358</v>
      </c>
      <c r="AD2277" s="3" t="n">
        <v>-0.8593977723802839</v>
      </c>
      <c r="AE2277" s="3" t="n">
        <v>-0.8593977723802839</v>
      </c>
    </row>
    <row r="2278">
      <c r="A2278" s="3" t="inlineStr">
        <is>
          <t>VCT.distn.dec.ove.mean.9</t>
        </is>
      </c>
      <c r="B2278" s="3" t="inlineStr">
        <is>
          <t>VCT</t>
        </is>
      </c>
      <c r="C2278" s="3" t="n">
        <v>2005</v>
      </c>
      <c r="D2278" s="3" t="inlineStr">
        <is>
          <t>Overall</t>
        </is>
      </c>
      <c r="E2278" s="3" t="inlineStr">
        <is>
          <t>Deciles</t>
        </is>
      </c>
      <c r="F2278" s="3" t="inlineStr">
        <is>
          <t>mean</t>
        </is>
      </c>
      <c r="G2278" s="3" t="n">
        <v>9</v>
      </c>
      <c r="H2278" s="3" t="n">
        <v>-0.7839489357812064</v>
      </c>
      <c r="I2278" s="3" t="n">
        <v>-0.7839489357812064</v>
      </c>
      <c r="J2278" s="3" t="n">
        <v>-0.8593977723802839</v>
      </c>
      <c r="K2278" s="3" t="n">
        <v>-0.8593977723802839</v>
      </c>
      <c r="L2278" s="3" t="n">
        <v>-0.7839489357812064</v>
      </c>
      <c r="M2278" s="3" t="n">
        <v>-0.7839489357812064</v>
      </c>
      <c r="N2278" s="3" t="n">
        <v>-0.7839489357812064</v>
      </c>
      <c r="O2278" s="3" t="n">
        <v>-0.7839489357812064</v>
      </c>
      <c r="P2278" s="3" t="n">
        <v>-0.7839489357812064</v>
      </c>
      <c r="Q2278" s="3" t="n">
        <v>-0.7839489357812064</v>
      </c>
      <c r="R2278" s="3" t="n">
        <v>-0.7712249892098563</v>
      </c>
      <c r="S2278" s="3" t="n">
        <v>-1.024877253600529</v>
      </c>
      <c r="T2278" s="3" t="n">
        <v>-0.7086694342749459</v>
      </c>
      <c r="U2278" s="3" t="n">
        <v>-0.8593977723802839</v>
      </c>
      <c r="V2278" s="3" t="n">
        <v>-0.6783862863268171</v>
      </c>
      <c r="W2278" s="3" t="n">
        <v>-0.5361838928290776</v>
      </c>
      <c r="X2278" s="3" t="n">
        <v>-1.020875356878553</v>
      </c>
      <c r="Y2278" s="3" t="n">
        <v>-0.7839489357812064</v>
      </c>
      <c r="Z2278" s="3" t="n">
        <v>-1.024877253600529</v>
      </c>
      <c r="AA2278" s="3" t="n">
        <v>-1.024877253600529</v>
      </c>
      <c r="AB2278" s="3" t="n">
        <v>-1.020875356878553</v>
      </c>
      <c r="AC2278" s="3" t="n">
        <v>-1.149042170388358</v>
      </c>
      <c r="AD2278" s="3" t="n">
        <v>-0.8593977723802839</v>
      </c>
      <c r="AE2278" s="3" t="n">
        <v>-0.8593977723802839</v>
      </c>
    </row>
    <row r="2279">
      <c r="A2279" s="3" t="inlineStr">
        <is>
          <t>VCT.distn.dec.ove.mean.10</t>
        </is>
      </c>
      <c r="B2279" s="3" t="inlineStr">
        <is>
          <t>VCT</t>
        </is>
      </c>
      <c r="C2279" s="3" t="n">
        <v>2005</v>
      </c>
      <c r="D2279" s="3" t="inlineStr">
        <is>
          <t>Overall</t>
        </is>
      </c>
      <c r="E2279" s="3" t="inlineStr">
        <is>
          <t>Deciles</t>
        </is>
      </c>
      <c r="F2279" s="3" t="inlineStr">
        <is>
          <t>mean</t>
        </is>
      </c>
      <c r="G2279" s="3" t="n">
        <v>10</v>
      </c>
      <c r="H2279" s="3" t="n">
        <v>-0.7839489357812064</v>
      </c>
      <c r="I2279" s="3" t="n">
        <v>-0.7839489357812064</v>
      </c>
      <c r="J2279" s="3" t="n">
        <v>-0.8593977723802839</v>
      </c>
      <c r="K2279" s="3" t="n">
        <v>-0.8593977723802839</v>
      </c>
      <c r="L2279" s="3" t="n">
        <v>-0.7839489357812064</v>
      </c>
      <c r="M2279" s="3" t="n">
        <v>-0.7839489357812064</v>
      </c>
      <c r="N2279" s="3" t="n">
        <v>-0.7839489357812064</v>
      </c>
      <c r="O2279" s="3" t="n">
        <v>-0.7839489357812064</v>
      </c>
      <c r="P2279" s="3" t="n">
        <v>-0.7839489357812064</v>
      </c>
      <c r="Q2279" s="3" t="n">
        <v>-0.7839489357812064</v>
      </c>
      <c r="R2279" s="3" t="n">
        <v>-0.7712249892098563</v>
      </c>
      <c r="S2279" s="3" t="n">
        <v>-1.024877253600529</v>
      </c>
      <c r="T2279" s="3" t="n">
        <v>-0.7086694342749459</v>
      </c>
      <c r="U2279" s="3" t="n">
        <v>-0.8593977723802839</v>
      </c>
      <c r="V2279" s="3" t="n">
        <v>-0.6783862863268171</v>
      </c>
      <c r="W2279" s="3" t="n">
        <v>-0.5361838928290776</v>
      </c>
      <c r="X2279" s="3" t="n">
        <v>-1.020875356878553</v>
      </c>
      <c r="Y2279" s="3" t="n">
        <v>-0.7839489357812064</v>
      </c>
      <c r="Z2279" s="3" t="n">
        <v>-1.024877253600529</v>
      </c>
      <c r="AA2279" s="3" t="n">
        <v>-1.024877253600529</v>
      </c>
      <c r="AB2279" s="3" t="n">
        <v>-1.020875356878553</v>
      </c>
      <c r="AC2279" s="3" t="n">
        <v>-1.149042170388358</v>
      </c>
      <c r="AD2279" s="3" t="n">
        <v>-0.8593977723802839</v>
      </c>
      <c r="AE2279" s="3" t="n">
        <v>-0.8593977723802839</v>
      </c>
    </row>
    <row r="2280">
      <c r="A2280" s="3" t="inlineStr">
        <is>
          <t>VCT.distn.bkt.ove.mean.9999</t>
        </is>
      </c>
      <c r="B2280" s="3" t="inlineStr">
        <is>
          <t>VCT</t>
        </is>
      </c>
      <c r="C2280" s="3" t="n">
        <v>2005</v>
      </c>
      <c r="D2280" s="3" t="inlineStr">
        <is>
          <t>Overall</t>
        </is>
      </c>
      <c r="E2280" s="3" t="inlineStr">
        <is>
          <t>Basket</t>
        </is>
      </c>
      <c r="F2280" s="3" t="inlineStr">
        <is>
          <t>mean</t>
        </is>
      </c>
      <c r="G2280" s="3" t="n">
        <v>9999</v>
      </c>
      <c r="H2280" s="3" t="n">
        <v>-0.7855607322284154</v>
      </c>
      <c r="I2280" s="3" t="n">
        <v>-0.7855607322284154</v>
      </c>
      <c r="J2280" s="3" t="n">
        <v>-0.8708347541945322</v>
      </c>
      <c r="K2280" s="3" t="n">
        <v>-0.8708347541945322</v>
      </c>
      <c r="L2280" s="3" t="n">
        <v>-0.7855607322284154</v>
      </c>
      <c r="M2280" s="3" t="n">
        <v>-0.7855607322284154</v>
      </c>
      <c r="N2280" s="3" t="n">
        <v>-0.7855607322284154</v>
      </c>
      <c r="O2280" s="3" t="n">
        <v>-0.7855607322284154</v>
      </c>
      <c r="P2280" s="3" t="n">
        <v>-0.7855607322284154</v>
      </c>
      <c r="Q2280" s="3" t="n">
        <v>-0.7855607322284154</v>
      </c>
      <c r="R2280" s="3" t="n">
        <v>-0.7720900552613394</v>
      </c>
      <c r="S2280" s="3" t="n">
        <v>-1.160887002944946</v>
      </c>
      <c r="T2280" s="3" t="n">
        <v>-0.7090769904000419</v>
      </c>
      <c r="U2280" s="3" t="n">
        <v>-0.8708347541945322</v>
      </c>
      <c r="V2280" s="3" t="n">
        <v>-0.6799844878060477</v>
      </c>
      <c r="W2280" s="3" t="n">
        <v>-0.5558792540005275</v>
      </c>
      <c r="X2280" s="3" t="n">
        <v>-1.140969473975045</v>
      </c>
      <c r="Y2280" s="3" t="n">
        <v>-0.7855607322284154</v>
      </c>
      <c r="Z2280" s="3" t="n">
        <v>-1.160887002944946</v>
      </c>
      <c r="AA2280" s="3" t="n">
        <v>-1.160887002944946</v>
      </c>
      <c r="AB2280" s="3" t="n">
        <v>-1.140969473975045</v>
      </c>
      <c r="AC2280" s="3" t="n">
        <v>-1.501635466303144</v>
      </c>
      <c r="AD2280" s="3" t="n">
        <v>-0.8708347541945322</v>
      </c>
      <c r="AE2280" s="3" t="n">
        <v>-0.8708347541945322</v>
      </c>
    </row>
    <row r="2281">
      <c r="A2281" s="3" t="inlineStr">
        <is>
          <t>VEN.distn.dec.ove.mean.1</t>
        </is>
      </c>
      <c r="B2281" s="3" t="inlineStr">
        <is>
          <t>VEN</t>
        </is>
      </c>
      <c r="C2281" s="3" t="n">
        <v>2005</v>
      </c>
      <c r="D2281" s="3" t="inlineStr">
        <is>
          <t>Overall</t>
        </is>
      </c>
      <c r="E2281" s="3" t="inlineStr">
        <is>
          <t>Deciles</t>
        </is>
      </c>
      <c r="F2281" s="3" t="inlineStr">
        <is>
          <t>mean</t>
        </is>
      </c>
      <c r="G2281" s="3" t="n">
        <v>1</v>
      </c>
      <c r="H2281" s="3" t="n">
        <v>-0.7892489433288574</v>
      </c>
      <c r="I2281" s="3" t="n">
        <v>-0.7892489433288574</v>
      </c>
      <c r="J2281" s="3" t="n">
        <v>-0.8973613977432251</v>
      </c>
      <c r="K2281" s="3" t="n">
        <v>-0.8973613977432251</v>
      </c>
      <c r="L2281" s="3" t="n">
        <v>-0.7892489433288574</v>
      </c>
      <c r="M2281" s="3" t="n">
        <v>-0.7892489433288574</v>
      </c>
      <c r="N2281" s="3" t="n">
        <v>-0.7892489433288574</v>
      </c>
      <c r="O2281" s="3" t="n">
        <v>-0.7892489433288574</v>
      </c>
      <c r="P2281" s="3" t="n">
        <v>-0.7892489433288574</v>
      </c>
      <c r="Q2281" s="3" t="n">
        <v>-0.7892489433288574</v>
      </c>
      <c r="R2281" s="3" t="n">
        <v>-0.7744752764701843</v>
      </c>
      <c r="S2281" s="3" t="n">
        <v>-1.465252876281738</v>
      </c>
      <c r="T2281" s="3" t="n">
        <v>-0.7104546427726746</v>
      </c>
      <c r="U2281" s="3" t="n">
        <v>-0.8973613977432251</v>
      </c>
      <c r="V2281" s="3" t="n">
        <v>-0.6839550137519836</v>
      </c>
      <c r="W2281" s="3" t="n">
        <v>-0.6166780591011047</v>
      </c>
      <c r="X2281" s="3" t="n">
        <v>-1.40846061706543</v>
      </c>
      <c r="Y2281" s="3" t="n">
        <v>-0.7892489433288574</v>
      </c>
      <c r="Z2281" s="3" t="n">
        <v>-1.465252876281738</v>
      </c>
      <c r="AA2281" s="3" t="n">
        <v>-1.465252876281738</v>
      </c>
      <c r="AB2281" s="3" t="n">
        <v>-1.40846061706543</v>
      </c>
      <c r="AC2281" s="3" t="n">
        <v>-2.259161233901978</v>
      </c>
      <c r="AD2281" s="3" t="n">
        <v>-0.8973613977432251</v>
      </c>
      <c r="AE2281" s="3" t="n">
        <v>-0.8973613977432251</v>
      </c>
    </row>
    <row r="2282">
      <c r="A2282" s="3" t="inlineStr">
        <is>
          <t>VEN.distn.dec.ove.mean.2</t>
        </is>
      </c>
      <c r="B2282" s="3" t="inlineStr">
        <is>
          <t>VEN</t>
        </is>
      </c>
      <c r="C2282" s="3" t="n">
        <v>2005</v>
      </c>
      <c r="D2282" s="3" t="inlineStr">
        <is>
          <t>Overall</t>
        </is>
      </c>
      <c r="E2282" s="3" t="inlineStr">
        <is>
          <t>Deciles</t>
        </is>
      </c>
      <c r="F2282" s="3" t="inlineStr">
        <is>
          <t>mean</t>
        </is>
      </c>
      <c r="G2282" s="3" t="n">
        <v>2</v>
      </c>
      <c r="H2282" s="3" t="n">
        <v>-0.7892489433288574</v>
      </c>
      <c r="I2282" s="3" t="n">
        <v>-0.7892489433288574</v>
      </c>
      <c r="J2282" s="3" t="n">
        <v>-0.8973613977432251</v>
      </c>
      <c r="K2282" s="3" t="n">
        <v>-0.8973613977432251</v>
      </c>
      <c r="L2282" s="3" t="n">
        <v>-0.7892489433288574</v>
      </c>
      <c r="M2282" s="3" t="n">
        <v>-0.7892489433288574</v>
      </c>
      <c r="N2282" s="3" t="n">
        <v>-0.7892489433288574</v>
      </c>
      <c r="O2282" s="3" t="n">
        <v>-0.7892489433288574</v>
      </c>
      <c r="P2282" s="3" t="n">
        <v>-0.7892489433288574</v>
      </c>
      <c r="Q2282" s="3" t="n">
        <v>-0.7892489433288574</v>
      </c>
      <c r="R2282" s="3" t="n">
        <v>-0.7744752764701843</v>
      </c>
      <c r="S2282" s="3" t="n">
        <v>-1.465252876281738</v>
      </c>
      <c r="T2282" s="3" t="n">
        <v>-0.7104546427726746</v>
      </c>
      <c r="U2282" s="3" t="n">
        <v>-0.8973613977432251</v>
      </c>
      <c r="V2282" s="3" t="n">
        <v>-0.6839550137519836</v>
      </c>
      <c r="W2282" s="3" t="n">
        <v>-0.6166780591011047</v>
      </c>
      <c r="X2282" s="3" t="n">
        <v>-1.40846061706543</v>
      </c>
      <c r="Y2282" s="3" t="n">
        <v>-0.7892489433288574</v>
      </c>
      <c r="Z2282" s="3" t="n">
        <v>-1.465252876281738</v>
      </c>
      <c r="AA2282" s="3" t="n">
        <v>-1.465252876281738</v>
      </c>
      <c r="AB2282" s="3" t="n">
        <v>-1.40846061706543</v>
      </c>
      <c r="AC2282" s="3" t="n">
        <v>-2.259161233901978</v>
      </c>
      <c r="AD2282" s="3" t="n">
        <v>-0.8973613977432251</v>
      </c>
      <c r="AE2282" s="3" t="n">
        <v>-0.8973613977432251</v>
      </c>
    </row>
    <row r="2283">
      <c r="A2283" s="3" t="inlineStr">
        <is>
          <t>VEN.distn.dec.ove.mean.3</t>
        </is>
      </c>
      <c r="B2283" s="3" t="inlineStr">
        <is>
          <t>VEN</t>
        </is>
      </c>
      <c r="C2283" s="3" t="n">
        <v>2005</v>
      </c>
      <c r="D2283" s="3" t="inlineStr">
        <is>
          <t>Overall</t>
        </is>
      </c>
      <c r="E2283" s="3" t="inlineStr">
        <is>
          <t>Deciles</t>
        </is>
      </c>
      <c r="F2283" s="3" t="inlineStr">
        <is>
          <t>mean</t>
        </is>
      </c>
      <c r="G2283" s="3" t="n">
        <v>3</v>
      </c>
      <c r="H2283" s="3" t="n">
        <v>-0.7892489433288574</v>
      </c>
      <c r="I2283" s="3" t="n">
        <v>-0.7892489433288574</v>
      </c>
      <c r="J2283" s="3" t="n">
        <v>-0.8973613977432251</v>
      </c>
      <c r="K2283" s="3" t="n">
        <v>-0.8973613977432251</v>
      </c>
      <c r="L2283" s="3" t="n">
        <v>-0.7892489433288574</v>
      </c>
      <c r="M2283" s="3" t="n">
        <v>-0.7892489433288574</v>
      </c>
      <c r="N2283" s="3" t="n">
        <v>-0.7892489433288574</v>
      </c>
      <c r="O2283" s="3" t="n">
        <v>-0.7892489433288574</v>
      </c>
      <c r="P2283" s="3" t="n">
        <v>-0.7892489433288574</v>
      </c>
      <c r="Q2283" s="3" t="n">
        <v>-0.7892489433288574</v>
      </c>
      <c r="R2283" s="3" t="n">
        <v>-0.7744752764701843</v>
      </c>
      <c r="S2283" s="3" t="n">
        <v>-1.465252876281738</v>
      </c>
      <c r="T2283" s="3" t="n">
        <v>-0.7104546427726746</v>
      </c>
      <c r="U2283" s="3" t="n">
        <v>-0.8973613977432251</v>
      </c>
      <c r="V2283" s="3" t="n">
        <v>-0.6839550137519836</v>
      </c>
      <c r="W2283" s="3" t="n">
        <v>-0.6166780591011047</v>
      </c>
      <c r="X2283" s="3" t="n">
        <v>-1.40846061706543</v>
      </c>
      <c r="Y2283" s="3" t="n">
        <v>-0.7892489433288574</v>
      </c>
      <c r="Z2283" s="3" t="n">
        <v>-1.465252876281738</v>
      </c>
      <c r="AA2283" s="3" t="n">
        <v>-1.465252876281738</v>
      </c>
      <c r="AB2283" s="3" t="n">
        <v>-1.40846061706543</v>
      </c>
      <c r="AC2283" s="3" t="n">
        <v>-2.259161233901978</v>
      </c>
      <c r="AD2283" s="3" t="n">
        <v>-0.8973613977432251</v>
      </c>
      <c r="AE2283" s="3" t="n">
        <v>-0.8973613977432251</v>
      </c>
    </row>
    <row r="2284">
      <c r="A2284" s="3" t="inlineStr">
        <is>
          <t>VEN.distn.dec.ove.mean.4</t>
        </is>
      </c>
      <c r="B2284" s="3" t="inlineStr">
        <is>
          <t>VEN</t>
        </is>
      </c>
      <c r="C2284" s="3" t="n">
        <v>2005</v>
      </c>
      <c r="D2284" s="3" t="inlineStr">
        <is>
          <t>Overall</t>
        </is>
      </c>
      <c r="E2284" s="3" t="inlineStr">
        <is>
          <t>Deciles</t>
        </is>
      </c>
      <c r="F2284" s="3" t="inlineStr">
        <is>
          <t>mean</t>
        </is>
      </c>
      <c r="G2284" s="3" t="n">
        <v>4</v>
      </c>
      <c r="H2284" s="3" t="n">
        <v>-0.7829999923706055</v>
      </c>
      <c r="I2284" s="3" t="n">
        <v>-0.7829999923706055</v>
      </c>
      <c r="J2284" s="3" t="n">
        <v>-0.8539999723434448</v>
      </c>
      <c r="K2284" s="3" t="n">
        <v>-0.8539999723434448</v>
      </c>
      <c r="L2284" s="3" t="n">
        <v>-0.7829999923706055</v>
      </c>
      <c r="M2284" s="3" t="n">
        <v>-0.7829999923706055</v>
      </c>
      <c r="N2284" s="3" t="n">
        <v>-0.7829999923706055</v>
      </c>
      <c r="O2284" s="3" t="n">
        <v>-0.7829999923706055</v>
      </c>
      <c r="P2284" s="3" t="n">
        <v>-0.7829999923706055</v>
      </c>
      <c r="Q2284" s="3" t="n">
        <v>-0.7829999923706055</v>
      </c>
      <c r="R2284" s="3" t="n">
        <v>-0.7710000276565552</v>
      </c>
      <c r="S2284" s="3" t="n">
        <v>-0.9980000257492065</v>
      </c>
      <c r="T2284" s="3" t="n">
        <v>-0.7089999914169312</v>
      </c>
      <c r="U2284" s="3" t="n">
        <v>-0.8539999723434448</v>
      </c>
      <c r="V2284" s="3" t="n">
        <v>-0.6769999861717224</v>
      </c>
      <c r="W2284" s="3" t="n">
        <v>-0.5189999938011169</v>
      </c>
      <c r="X2284" s="3" t="n">
        <v>-0.9940000176429749</v>
      </c>
      <c r="Y2284" s="3" t="n">
        <v>-0.7829999923706055</v>
      </c>
      <c r="Z2284" s="3" t="n">
        <v>-0.9980000257492065</v>
      </c>
      <c r="AA2284" s="3" t="n">
        <v>-0.9980000257492065</v>
      </c>
      <c r="AB2284" s="3" t="n">
        <v>-0.9940000176429749</v>
      </c>
      <c r="AC2284" s="3" t="n">
        <v>-1.090999960899353</v>
      </c>
      <c r="AD2284" s="3" t="n">
        <v>-0.8539999723434448</v>
      </c>
      <c r="AE2284" s="3" t="n">
        <v>-0.8539999723434448</v>
      </c>
    </row>
    <row r="2285">
      <c r="A2285" s="3" t="inlineStr">
        <is>
          <t>VEN.distn.dec.ove.mean.5</t>
        </is>
      </c>
      <c r="B2285" s="3" t="inlineStr">
        <is>
          <t>VEN</t>
        </is>
      </c>
      <c r="C2285" s="3" t="n">
        <v>2005</v>
      </c>
      <c r="D2285" s="3" t="inlineStr">
        <is>
          <t>Overall</t>
        </is>
      </c>
      <c r="E2285" s="3" t="inlineStr">
        <is>
          <t>Deciles</t>
        </is>
      </c>
      <c r="F2285" s="3" t="inlineStr">
        <is>
          <t>mean</t>
        </is>
      </c>
      <c r="G2285" s="3" t="n">
        <v>5</v>
      </c>
      <c r="H2285" s="3" t="n">
        <v>-0.7829999923706055</v>
      </c>
      <c r="I2285" s="3" t="n">
        <v>-0.7829999923706055</v>
      </c>
      <c r="J2285" s="3" t="n">
        <v>-0.8539999723434448</v>
      </c>
      <c r="K2285" s="3" t="n">
        <v>-0.8539999723434448</v>
      </c>
      <c r="L2285" s="3" t="n">
        <v>-0.7829999923706055</v>
      </c>
      <c r="M2285" s="3" t="n">
        <v>-0.7829999923706055</v>
      </c>
      <c r="N2285" s="3" t="n">
        <v>-0.7829999923706055</v>
      </c>
      <c r="O2285" s="3" t="n">
        <v>-0.7829999923706055</v>
      </c>
      <c r="P2285" s="3" t="n">
        <v>-0.7829999923706055</v>
      </c>
      <c r="Q2285" s="3" t="n">
        <v>-0.7829999923706055</v>
      </c>
      <c r="R2285" s="3" t="n">
        <v>-0.7710000276565552</v>
      </c>
      <c r="S2285" s="3" t="n">
        <v>-0.9980000257492065</v>
      </c>
      <c r="T2285" s="3" t="n">
        <v>-0.7089999914169312</v>
      </c>
      <c r="U2285" s="3" t="n">
        <v>-0.8539999723434448</v>
      </c>
      <c r="V2285" s="3" t="n">
        <v>-0.6769999861717224</v>
      </c>
      <c r="W2285" s="3" t="n">
        <v>-0.5189999938011169</v>
      </c>
      <c r="X2285" s="3" t="n">
        <v>-0.9940000176429749</v>
      </c>
      <c r="Y2285" s="3" t="n">
        <v>-0.7829999923706055</v>
      </c>
      <c r="Z2285" s="3" t="n">
        <v>-0.9980000257492065</v>
      </c>
      <c r="AA2285" s="3" t="n">
        <v>-0.9980000257492065</v>
      </c>
      <c r="AB2285" s="3" t="n">
        <v>-0.9940000176429749</v>
      </c>
      <c r="AC2285" s="3" t="n">
        <v>-1.090999960899353</v>
      </c>
      <c r="AD2285" s="3" t="n">
        <v>-0.8539999723434448</v>
      </c>
      <c r="AE2285" s="3" t="n">
        <v>-0.8539999723434448</v>
      </c>
    </row>
    <row r="2286">
      <c r="A2286" s="3" t="inlineStr">
        <is>
          <t>VEN.distn.dec.ove.mean.6</t>
        </is>
      </c>
      <c r="B2286" s="3" t="inlineStr">
        <is>
          <t>VEN</t>
        </is>
      </c>
      <c r="C2286" s="3" t="n">
        <v>2005</v>
      </c>
      <c r="D2286" s="3" t="inlineStr">
        <is>
          <t>Overall</t>
        </is>
      </c>
      <c r="E2286" s="3" t="inlineStr">
        <is>
          <t>Deciles</t>
        </is>
      </c>
      <c r="F2286" s="3" t="inlineStr">
        <is>
          <t>mean</t>
        </is>
      </c>
      <c r="G2286" s="3" t="n">
        <v>6</v>
      </c>
      <c r="H2286" s="3" t="n">
        <v>-0.7829999923706055</v>
      </c>
      <c r="I2286" s="3" t="n">
        <v>-0.7829999923706055</v>
      </c>
      <c r="J2286" s="3" t="n">
        <v>-0.8539999723434448</v>
      </c>
      <c r="K2286" s="3" t="n">
        <v>-0.8539999723434448</v>
      </c>
      <c r="L2286" s="3" t="n">
        <v>-0.7829999923706055</v>
      </c>
      <c r="M2286" s="3" t="n">
        <v>-0.7829999923706055</v>
      </c>
      <c r="N2286" s="3" t="n">
        <v>-0.7829999923706055</v>
      </c>
      <c r="O2286" s="3" t="n">
        <v>-0.7829999923706055</v>
      </c>
      <c r="P2286" s="3" t="n">
        <v>-0.7829999923706055</v>
      </c>
      <c r="Q2286" s="3" t="n">
        <v>-0.7829999923706055</v>
      </c>
      <c r="R2286" s="3" t="n">
        <v>-0.7710000276565552</v>
      </c>
      <c r="S2286" s="3" t="n">
        <v>-0.9980000257492065</v>
      </c>
      <c r="T2286" s="3" t="n">
        <v>-0.7089999914169312</v>
      </c>
      <c r="U2286" s="3" t="n">
        <v>-0.8539999723434448</v>
      </c>
      <c r="V2286" s="3" t="n">
        <v>-0.6769999861717224</v>
      </c>
      <c r="W2286" s="3" t="n">
        <v>-0.5189999938011169</v>
      </c>
      <c r="X2286" s="3" t="n">
        <v>-0.9940000176429749</v>
      </c>
      <c r="Y2286" s="3" t="n">
        <v>-0.7829999923706055</v>
      </c>
      <c r="Z2286" s="3" t="n">
        <v>-0.9980000257492065</v>
      </c>
      <c r="AA2286" s="3" t="n">
        <v>-0.9980000257492065</v>
      </c>
      <c r="AB2286" s="3" t="n">
        <v>-0.9940000176429749</v>
      </c>
      <c r="AC2286" s="3" t="n">
        <v>-1.090999960899353</v>
      </c>
      <c r="AD2286" s="3" t="n">
        <v>-0.8539999723434448</v>
      </c>
      <c r="AE2286" s="3" t="n">
        <v>-0.8539999723434448</v>
      </c>
    </row>
    <row r="2287">
      <c r="A2287" s="3" t="inlineStr">
        <is>
          <t>VEN.distn.dec.ove.mean.7</t>
        </is>
      </c>
      <c r="B2287" s="3" t="inlineStr">
        <is>
          <t>VEN</t>
        </is>
      </c>
      <c r="C2287" s="3" t="n">
        <v>2005</v>
      </c>
      <c r="D2287" s="3" t="inlineStr">
        <is>
          <t>Overall</t>
        </is>
      </c>
      <c r="E2287" s="3" t="inlineStr">
        <is>
          <t>Deciles</t>
        </is>
      </c>
      <c r="F2287" s="3" t="inlineStr">
        <is>
          <t>mean</t>
        </is>
      </c>
      <c r="G2287" s="3" t="n">
        <v>7</v>
      </c>
      <c r="H2287" s="3" t="n">
        <v>-0.7829999923706055</v>
      </c>
      <c r="I2287" s="3" t="n">
        <v>-0.7829999923706055</v>
      </c>
      <c r="J2287" s="3" t="n">
        <v>-0.8539999723434448</v>
      </c>
      <c r="K2287" s="3" t="n">
        <v>-0.8539999723434448</v>
      </c>
      <c r="L2287" s="3" t="n">
        <v>-0.7829999923706055</v>
      </c>
      <c r="M2287" s="3" t="n">
        <v>-0.7829999923706055</v>
      </c>
      <c r="N2287" s="3" t="n">
        <v>-0.7829999923706055</v>
      </c>
      <c r="O2287" s="3" t="n">
        <v>-0.7829999923706055</v>
      </c>
      <c r="P2287" s="3" t="n">
        <v>-0.7829999923706055</v>
      </c>
      <c r="Q2287" s="3" t="n">
        <v>-0.7829999923706055</v>
      </c>
      <c r="R2287" s="3" t="n">
        <v>-0.7710000276565552</v>
      </c>
      <c r="S2287" s="3" t="n">
        <v>-0.9980000257492065</v>
      </c>
      <c r="T2287" s="3" t="n">
        <v>-0.7089999914169312</v>
      </c>
      <c r="U2287" s="3" t="n">
        <v>-0.8539999723434448</v>
      </c>
      <c r="V2287" s="3" t="n">
        <v>-0.6769999861717224</v>
      </c>
      <c r="W2287" s="3" t="n">
        <v>-0.5189999938011169</v>
      </c>
      <c r="X2287" s="3" t="n">
        <v>-0.9940000176429749</v>
      </c>
      <c r="Y2287" s="3" t="n">
        <v>-0.7829999923706055</v>
      </c>
      <c r="Z2287" s="3" t="n">
        <v>-0.9980000257492065</v>
      </c>
      <c r="AA2287" s="3" t="n">
        <v>-0.9980000257492065</v>
      </c>
      <c r="AB2287" s="3" t="n">
        <v>-0.9940000176429749</v>
      </c>
      <c r="AC2287" s="3" t="n">
        <v>-1.090999960899353</v>
      </c>
      <c r="AD2287" s="3" t="n">
        <v>-0.8539999723434448</v>
      </c>
      <c r="AE2287" s="3" t="n">
        <v>-0.8539999723434448</v>
      </c>
    </row>
    <row r="2288">
      <c r="A2288" s="3" t="inlineStr">
        <is>
          <t>VEN.distn.dec.ove.mean.8</t>
        </is>
      </c>
      <c r="B2288" s="3" t="inlineStr">
        <is>
          <t>VEN</t>
        </is>
      </c>
      <c r="C2288" s="3" t="n">
        <v>2005</v>
      </c>
      <c r="D2288" s="3" t="inlineStr">
        <is>
          <t>Overall</t>
        </is>
      </c>
      <c r="E2288" s="3" t="inlineStr">
        <is>
          <t>Deciles</t>
        </is>
      </c>
      <c r="F2288" s="3" t="inlineStr">
        <is>
          <t>mean</t>
        </is>
      </c>
      <c r="G2288" s="3" t="n">
        <v>8</v>
      </c>
      <c r="H2288" s="3" t="n">
        <v>-0.7833772301673889</v>
      </c>
      <c r="I2288" s="3" t="n">
        <v>-0.7833772301673889</v>
      </c>
      <c r="J2288" s="3" t="n">
        <v>-0.8563037514686584</v>
      </c>
      <c r="K2288" s="3" t="n">
        <v>-0.8563037514686584</v>
      </c>
      <c r="L2288" s="3" t="n">
        <v>-0.7833772301673889</v>
      </c>
      <c r="M2288" s="3" t="n">
        <v>-0.7833772301673889</v>
      </c>
      <c r="N2288" s="3" t="n">
        <v>-0.7833772301673889</v>
      </c>
      <c r="O2288" s="3" t="n">
        <v>-0.7833772301673889</v>
      </c>
      <c r="P2288" s="3" t="n">
        <v>-0.7833772301673889</v>
      </c>
      <c r="Q2288" s="3" t="n">
        <v>-0.7833772301673889</v>
      </c>
      <c r="R2288" s="3" t="n">
        <v>-0.7712535858154297</v>
      </c>
      <c r="S2288" s="3" t="n">
        <v>-1.007286548614502</v>
      </c>
      <c r="T2288" s="3" t="n">
        <v>-0.7090408802032471</v>
      </c>
      <c r="U2288" s="3" t="n">
        <v>-0.8563037514686584</v>
      </c>
      <c r="V2288" s="3" t="n">
        <v>-0.677699863910675</v>
      </c>
      <c r="W2288" s="3" t="n">
        <v>-0.5328981876373291</v>
      </c>
      <c r="X2288" s="3" t="n">
        <v>-1.003057360649109</v>
      </c>
      <c r="Y2288" s="3" t="n">
        <v>-0.7833772301673889</v>
      </c>
      <c r="Z2288" s="3" t="n">
        <v>-1.007286548614502</v>
      </c>
      <c r="AA2288" s="3" t="n">
        <v>-1.007286548614502</v>
      </c>
      <c r="AB2288" s="3" t="n">
        <v>-1.003057360649109</v>
      </c>
      <c r="AC2288" s="3" t="n">
        <v>-1.106559157371521</v>
      </c>
      <c r="AD2288" s="3" t="n">
        <v>-0.8563037514686584</v>
      </c>
      <c r="AE2288" s="3" t="n">
        <v>-0.8563037514686584</v>
      </c>
    </row>
    <row r="2289">
      <c r="A2289" s="3" t="inlineStr">
        <is>
          <t>VEN.distn.dec.ove.mean.9</t>
        </is>
      </c>
      <c r="B2289" s="3" t="inlineStr">
        <is>
          <t>VEN</t>
        </is>
      </c>
      <c r="C2289" s="3" t="n">
        <v>2005</v>
      </c>
      <c r="D2289" s="3" t="inlineStr">
        <is>
          <t>Overall</t>
        </is>
      </c>
      <c r="E2289" s="3" t="inlineStr">
        <is>
          <t>Deciles</t>
        </is>
      </c>
      <c r="F2289" s="3" t="inlineStr">
        <is>
          <t>mean</t>
        </is>
      </c>
      <c r="G2289" s="3" t="n">
        <v>9</v>
      </c>
      <c r="H2289" s="3" t="n">
        <v>-0.7833772301673889</v>
      </c>
      <c r="I2289" s="3" t="n">
        <v>-0.7833772301673889</v>
      </c>
      <c r="J2289" s="3" t="n">
        <v>-0.8563037514686584</v>
      </c>
      <c r="K2289" s="3" t="n">
        <v>-0.8563037514686584</v>
      </c>
      <c r="L2289" s="3" t="n">
        <v>-0.7833772301673889</v>
      </c>
      <c r="M2289" s="3" t="n">
        <v>-0.7833772301673889</v>
      </c>
      <c r="N2289" s="3" t="n">
        <v>-0.7833772301673889</v>
      </c>
      <c r="O2289" s="3" t="n">
        <v>-0.7833772301673889</v>
      </c>
      <c r="P2289" s="3" t="n">
        <v>-0.7833772301673889</v>
      </c>
      <c r="Q2289" s="3" t="n">
        <v>-0.7833772301673889</v>
      </c>
      <c r="R2289" s="3" t="n">
        <v>-0.7712535858154297</v>
      </c>
      <c r="S2289" s="3" t="n">
        <v>-1.007286548614502</v>
      </c>
      <c r="T2289" s="3" t="n">
        <v>-0.7090408802032471</v>
      </c>
      <c r="U2289" s="3" t="n">
        <v>-0.8563037514686584</v>
      </c>
      <c r="V2289" s="3" t="n">
        <v>-0.677699863910675</v>
      </c>
      <c r="W2289" s="3" t="n">
        <v>-0.5328981876373291</v>
      </c>
      <c r="X2289" s="3" t="n">
        <v>-1.003057360649109</v>
      </c>
      <c r="Y2289" s="3" t="n">
        <v>-0.7833772301673889</v>
      </c>
      <c r="Z2289" s="3" t="n">
        <v>-1.007286548614502</v>
      </c>
      <c r="AA2289" s="3" t="n">
        <v>-1.007286548614502</v>
      </c>
      <c r="AB2289" s="3" t="n">
        <v>-1.003057360649109</v>
      </c>
      <c r="AC2289" s="3" t="n">
        <v>-1.106559157371521</v>
      </c>
      <c r="AD2289" s="3" t="n">
        <v>-0.8563037514686584</v>
      </c>
      <c r="AE2289" s="3" t="n">
        <v>-0.8563037514686584</v>
      </c>
    </row>
    <row r="2290">
      <c r="A2290" s="3" t="inlineStr">
        <is>
          <t>VEN.distn.dec.ove.mean.10</t>
        </is>
      </c>
      <c r="B2290" s="3" t="inlineStr">
        <is>
          <t>VEN</t>
        </is>
      </c>
      <c r="C2290" s="3" t="n">
        <v>2005</v>
      </c>
      <c r="D2290" s="3" t="inlineStr">
        <is>
          <t>Overall</t>
        </is>
      </c>
      <c r="E2290" s="3" t="inlineStr">
        <is>
          <t>Deciles</t>
        </is>
      </c>
      <c r="F2290" s="3" t="inlineStr">
        <is>
          <t>mean</t>
        </is>
      </c>
      <c r="G2290" s="3" t="n">
        <v>10</v>
      </c>
      <c r="H2290" s="3" t="n">
        <v>-0.7833772301673889</v>
      </c>
      <c r="I2290" s="3" t="n">
        <v>-0.7833772301673889</v>
      </c>
      <c r="J2290" s="3" t="n">
        <v>-0.8563037514686584</v>
      </c>
      <c r="K2290" s="3" t="n">
        <v>-0.8563037514686584</v>
      </c>
      <c r="L2290" s="3" t="n">
        <v>-0.7833772301673889</v>
      </c>
      <c r="M2290" s="3" t="n">
        <v>-0.7833772301673889</v>
      </c>
      <c r="N2290" s="3" t="n">
        <v>-0.7833772301673889</v>
      </c>
      <c r="O2290" s="3" t="n">
        <v>-0.7833772301673889</v>
      </c>
      <c r="P2290" s="3" t="n">
        <v>-0.7833772301673889</v>
      </c>
      <c r="Q2290" s="3" t="n">
        <v>-0.7833772301673889</v>
      </c>
      <c r="R2290" s="3" t="n">
        <v>-0.7712535858154297</v>
      </c>
      <c r="S2290" s="3" t="n">
        <v>-1.007286548614502</v>
      </c>
      <c r="T2290" s="3" t="n">
        <v>-0.7090408802032471</v>
      </c>
      <c r="U2290" s="3" t="n">
        <v>-0.8563037514686584</v>
      </c>
      <c r="V2290" s="3" t="n">
        <v>-0.677699863910675</v>
      </c>
      <c r="W2290" s="3" t="n">
        <v>-0.5328981876373291</v>
      </c>
      <c r="X2290" s="3" t="n">
        <v>-1.003057360649109</v>
      </c>
      <c r="Y2290" s="3" t="n">
        <v>-0.7833772301673889</v>
      </c>
      <c r="Z2290" s="3" t="n">
        <v>-1.007286548614502</v>
      </c>
      <c r="AA2290" s="3" t="n">
        <v>-1.007286548614502</v>
      </c>
      <c r="AB2290" s="3" t="n">
        <v>-1.003057360649109</v>
      </c>
      <c r="AC2290" s="3" t="n">
        <v>-1.106559157371521</v>
      </c>
      <c r="AD2290" s="3" t="n">
        <v>-0.8563037514686584</v>
      </c>
      <c r="AE2290" s="3" t="n">
        <v>-0.8563037514686584</v>
      </c>
    </row>
    <row r="2291">
      <c r="A2291" s="3" t="inlineStr">
        <is>
          <t>VEN.distn.bkt.ove.mean.9999</t>
        </is>
      </c>
      <c r="B2291" s="3" t="inlineStr">
        <is>
          <t>VEN</t>
        </is>
      </c>
      <c r="C2291" s="3" t="n">
        <v>2005</v>
      </c>
      <c r="D2291" s="3" t="inlineStr">
        <is>
          <t>Overall</t>
        </is>
      </c>
      <c r="E2291" s="3" t="inlineStr">
        <is>
          <t>Basket</t>
        </is>
      </c>
      <c r="F2291" s="3" t="inlineStr">
        <is>
          <t>mean</t>
        </is>
      </c>
      <c r="G2291" s="3" t="n">
        <v>9999</v>
      </c>
      <c r="H2291" s="3" t="n">
        <v>-0.7849878668785095</v>
      </c>
      <c r="I2291" s="3" t="n">
        <v>-0.7849878668785095</v>
      </c>
      <c r="J2291" s="3" t="n">
        <v>-0.8676995038986206</v>
      </c>
      <c r="K2291" s="3" t="n">
        <v>-0.8676995038986206</v>
      </c>
      <c r="L2291" s="3" t="n">
        <v>-0.7849878668785095</v>
      </c>
      <c r="M2291" s="3" t="n">
        <v>-0.7849878668785095</v>
      </c>
      <c r="N2291" s="3" t="n">
        <v>-0.7849878668785095</v>
      </c>
      <c r="O2291" s="3" t="n">
        <v>-0.7849878668785095</v>
      </c>
      <c r="P2291" s="3" t="n">
        <v>-0.7849878668785095</v>
      </c>
      <c r="Q2291" s="3" t="n">
        <v>-0.7849878668785095</v>
      </c>
      <c r="R2291" s="3" t="n">
        <v>-0.7721186876296997</v>
      </c>
      <c r="S2291" s="3" t="n">
        <v>-1.140961885452271</v>
      </c>
      <c r="T2291" s="3" t="n">
        <v>-0.7094486355781555</v>
      </c>
      <c r="U2291" s="3" t="n">
        <v>-0.8676995038986206</v>
      </c>
      <c r="V2291" s="3" t="n">
        <v>-0.6792964339256287</v>
      </c>
      <c r="W2291" s="3" t="n">
        <v>-0.5524728894233704</v>
      </c>
      <c r="X2291" s="3" t="n">
        <v>-1.121055364608765</v>
      </c>
      <c r="Y2291" s="3" t="n">
        <v>-0.7849878668785095</v>
      </c>
      <c r="Z2291" s="3" t="n">
        <v>-1.140961885452271</v>
      </c>
      <c r="AA2291" s="3" t="n">
        <v>-1.140961885452271</v>
      </c>
      <c r="AB2291" s="3" t="n">
        <v>-1.121055364608765</v>
      </c>
      <c r="AC2291" s="3" t="n">
        <v>-1.446116089820862</v>
      </c>
      <c r="AD2291" s="3" t="n">
        <v>-0.8676995038986206</v>
      </c>
      <c r="AE2291" s="3" t="n">
        <v>-0.8676995038986206</v>
      </c>
    </row>
    <row r="2292">
      <c r="A2292" s="3" t="inlineStr">
        <is>
          <t>VGB.distn.dec.ove.mean.1</t>
        </is>
      </c>
      <c r="B2292" s="3" t="inlineStr">
        <is>
          <t>VGB</t>
        </is>
      </c>
      <c r="C2292" s="3" t="n">
        <v>2005</v>
      </c>
      <c r="D2292" s="3" t="inlineStr">
        <is>
          <t>Overall</t>
        </is>
      </c>
      <c r="E2292" s="3" t="inlineStr">
        <is>
          <t>Deciles</t>
        </is>
      </c>
      <c r="F2292" s="3" t="inlineStr">
        <is>
          <t>mean</t>
        </is>
      </c>
      <c r="G2292" s="3" t="n">
        <v>1</v>
      </c>
      <c r="H2292" s="3" t="n">
        <v>-0.7878549098968506</v>
      </c>
      <c r="I2292" s="3" t="n">
        <v>-0.7878549098968506</v>
      </c>
      <c r="J2292" s="3" t="n">
        <v>-0.8883962808771336</v>
      </c>
      <c r="K2292" s="3" t="n">
        <v>-0.8883962808771336</v>
      </c>
      <c r="L2292" s="3" t="n">
        <v>-0.7878549098968506</v>
      </c>
      <c r="M2292" s="3" t="n">
        <v>-0.7878549098968506</v>
      </c>
      <c r="N2292" s="3" t="n">
        <v>-0.7878549098968506</v>
      </c>
      <c r="O2292" s="3" t="n">
        <v>-0.7878549098968506</v>
      </c>
      <c r="P2292" s="3" t="n">
        <v>-0.7878549098968506</v>
      </c>
      <c r="Q2292" s="3" t="n">
        <v>-0.7878549098968506</v>
      </c>
      <c r="R2292" s="3" t="n">
        <v>-0.7732356596500316</v>
      </c>
      <c r="S2292" s="3" t="n">
        <v>-1.408805674694954</v>
      </c>
      <c r="T2292" s="3" t="n">
        <v>-0.7095591730259835</v>
      </c>
      <c r="U2292" s="3" t="n">
        <v>-0.8883962808771336</v>
      </c>
      <c r="V2292" s="3" t="n">
        <v>-0.681934451803248</v>
      </c>
      <c r="W2292" s="3" t="n">
        <v>-0.5702875047288043</v>
      </c>
      <c r="X2292" s="3" t="n">
        <v>-1.356243993373627</v>
      </c>
      <c r="Y2292" s="3" t="n">
        <v>-0.7878549098968506</v>
      </c>
      <c r="Z2292" s="3" t="n">
        <v>-1.408805674694954</v>
      </c>
      <c r="AA2292" s="3" t="n">
        <v>-1.408805674694954</v>
      </c>
      <c r="AB2292" s="3" t="n">
        <v>-1.356243993373627</v>
      </c>
      <c r="AC2292" s="3" t="n">
        <v>-2.123991362592007</v>
      </c>
      <c r="AD2292" s="3" t="n">
        <v>-0.8883962808771336</v>
      </c>
      <c r="AE2292" s="3" t="n">
        <v>-0.8883962808771336</v>
      </c>
    </row>
    <row r="2293">
      <c r="A2293" s="3" t="inlineStr">
        <is>
          <t>VGB.distn.dec.ove.mean.2</t>
        </is>
      </c>
      <c r="B2293" s="3" t="inlineStr">
        <is>
          <t>VGB</t>
        </is>
      </c>
      <c r="C2293" s="3" t="n">
        <v>2005</v>
      </c>
      <c r="D2293" s="3" t="inlineStr">
        <is>
          <t>Overall</t>
        </is>
      </c>
      <c r="E2293" s="3" t="inlineStr">
        <is>
          <t>Deciles</t>
        </is>
      </c>
      <c r="F2293" s="3" t="inlineStr">
        <is>
          <t>mean</t>
        </is>
      </c>
      <c r="G2293" s="3" t="n">
        <v>2</v>
      </c>
      <c r="H2293" s="3" t="n">
        <v>-0.7878549098968506</v>
      </c>
      <c r="I2293" s="3" t="n">
        <v>-0.7878549098968506</v>
      </c>
      <c r="J2293" s="3" t="n">
        <v>-0.8883962808771336</v>
      </c>
      <c r="K2293" s="3" t="n">
        <v>-0.8883962808771336</v>
      </c>
      <c r="L2293" s="3" t="n">
        <v>-0.7878549098968506</v>
      </c>
      <c r="M2293" s="3" t="n">
        <v>-0.7878549098968506</v>
      </c>
      <c r="N2293" s="3" t="n">
        <v>-0.7878549098968506</v>
      </c>
      <c r="O2293" s="3" t="n">
        <v>-0.7878549098968506</v>
      </c>
      <c r="P2293" s="3" t="n">
        <v>-0.7878549098968506</v>
      </c>
      <c r="Q2293" s="3" t="n">
        <v>-0.7878549098968506</v>
      </c>
      <c r="R2293" s="3" t="n">
        <v>-0.7732356596500316</v>
      </c>
      <c r="S2293" s="3" t="n">
        <v>-1.408805674694954</v>
      </c>
      <c r="T2293" s="3" t="n">
        <v>-0.7095591730259835</v>
      </c>
      <c r="U2293" s="3" t="n">
        <v>-0.8883962808771336</v>
      </c>
      <c r="V2293" s="3" t="n">
        <v>-0.681934451803248</v>
      </c>
      <c r="W2293" s="3" t="n">
        <v>-0.5702875047288043</v>
      </c>
      <c r="X2293" s="3" t="n">
        <v>-1.356243993373627</v>
      </c>
      <c r="Y2293" s="3" t="n">
        <v>-0.7878549098968506</v>
      </c>
      <c r="Z2293" s="3" t="n">
        <v>-1.408805674694954</v>
      </c>
      <c r="AA2293" s="3" t="n">
        <v>-1.408805674694954</v>
      </c>
      <c r="AB2293" s="3" t="n">
        <v>-1.356243993373627</v>
      </c>
      <c r="AC2293" s="3" t="n">
        <v>-2.123991362592007</v>
      </c>
      <c r="AD2293" s="3" t="n">
        <v>-0.8883962808771336</v>
      </c>
      <c r="AE2293" s="3" t="n">
        <v>-0.8883962808771336</v>
      </c>
    </row>
    <row r="2294">
      <c r="A2294" s="3" t="inlineStr">
        <is>
          <t>VGB.distn.dec.ove.mean.3</t>
        </is>
      </c>
      <c r="B2294" s="3" t="inlineStr">
        <is>
          <t>VGB</t>
        </is>
      </c>
      <c r="C2294" s="3" t="n">
        <v>2005</v>
      </c>
      <c r="D2294" s="3" t="inlineStr">
        <is>
          <t>Overall</t>
        </is>
      </c>
      <c r="E2294" s="3" t="inlineStr">
        <is>
          <t>Deciles</t>
        </is>
      </c>
      <c r="F2294" s="3" t="inlineStr">
        <is>
          <t>mean</t>
        </is>
      </c>
      <c r="G2294" s="3" t="n">
        <v>3</v>
      </c>
      <c r="H2294" s="3" t="n">
        <v>-0.7878549098968506</v>
      </c>
      <c r="I2294" s="3" t="n">
        <v>-0.7878549098968506</v>
      </c>
      <c r="J2294" s="3" t="n">
        <v>-0.8883962808771336</v>
      </c>
      <c r="K2294" s="3" t="n">
        <v>-0.8883962808771336</v>
      </c>
      <c r="L2294" s="3" t="n">
        <v>-0.7878549098968506</v>
      </c>
      <c r="M2294" s="3" t="n">
        <v>-0.7878549098968506</v>
      </c>
      <c r="N2294" s="3" t="n">
        <v>-0.7878549098968506</v>
      </c>
      <c r="O2294" s="3" t="n">
        <v>-0.7878549098968506</v>
      </c>
      <c r="P2294" s="3" t="n">
        <v>-0.7878549098968506</v>
      </c>
      <c r="Q2294" s="3" t="n">
        <v>-0.7878549098968506</v>
      </c>
      <c r="R2294" s="3" t="n">
        <v>-0.7732356596500316</v>
      </c>
      <c r="S2294" s="3" t="n">
        <v>-1.408805674694954</v>
      </c>
      <c r="T2294" s="3" t="n">
        <v>-0.7095591730259835</v>
      </c>
      <c r="U2294" s="3" t="n">
        <v>-0.8883962808771336</v>
      </c>
      <c r="V2294" s="3" t="n">
        <v>-0.681934451803248</v>
      </c>
      <c r="W2294" s="3" t="n">
        <v>-0.5702875047288043</v>
      </c>
      <c r="X2294" s="3" t="n">
        <v>-1.356243993373627</v>
      </c>
      <c r="Y2294" s="3" t="n">
        <v>-0.7878549098968506</v>
      </c>
      <c r="Z2294" s="3" t="n">
        <v>-1.408805674694954</v>
      </c>
      <c r="AA2294" s="3" t="n">
        <v>-1.408805674694954</v>
      </c>
      <c r="AB2294" s="3" t="n">
        <v>-1.356243993373627</v>
      </c>
      <c r="AC2294" s="3" t="n">
        <v>-2.123991362592007</v>
      </c>
      <c r="AD2294" s="3" t="n">
        <v>-0.8883962808771336</v>
      </c>
      <c r="AE2294" s="3" t="n">
        <v>-0.8883962808771336</v>
      </c>
    </row>
    <row r="2295">
      <c r="A2295" s="3" t="inlineStr">
        <is>
          <t>VGB.distn.dec.ove.mean.4</t>
        </is>
      </c>
      <c r="B2295" s="3" t="inlineStr">
        <is>
          <t>VGB</t>
        </is>
      </c>
      <c r="C2295" s="3" t="n">
        <v>2005</v>
      </c>
      <c r="D2295" s="3" t="inlineStr">
        <is>
          <t>Overall</t>
        </is>
      </c>
      <c r="E2295" s="3" t="inlineStr">
        <is>
          <t>Deciles</t>
        </is>
      </c>
      <c r="F2295" s="3" t="inlineStr">
        <is>
          <t>mean</t>
        </is>
      </c>
      <c r="G2295" s="3" t="n">
        <v>4</v>
      </c>
      <c r="H2295" s="3" t="n">
        <v>-0.7816170251115839</v>
      </c>
      <c r="I2295" s="3" t="n">
        <v>-0.7816170251115839</v>
      </c>
      <c r="J2295" s="3" t="n">
        <v>-0.8454680810583398</v>
      </c>
      <c r="K2295" s="3" t="n">
        <v>-0.8454680810583398</v>
      </c>
      <c r="L2295" s="3" t="n">
        <v>-0.7816170251115839</v>
      </c>
      <c r="M2295" s="3" t="n">
        <v>-0.7816170251115839</v>
      </c>
      <c r="N2295" s="3" t="n">
        <v>-0.7816170251115839</v>
      </c>
      <c r="O2295" s="3" t="n">
        <v>-0.7816170251115839</v>
      </c>
      <c r="P2295" s="3" t="n">
        <v>-0.7816170251115839</v>
      </c>
      <c r="Q2295" s="3" t="n">
        <v>-0.7816170251115839</v>
      </c>
      <c r="R2295" s="3" t="n">
        <v>-0.7697659489956308</v>
      </c>
      <c r="S2295" s="3" t="n">
        <v>-0.9595531871978272</v>
      </c>
      <c r="T2295" s="3" t="n">
        <v>-0.7081063859006191</v>
      </c>
      <c r="U2295" s="3" t="n">
        <v>-0.8454680810583398</v>
      </c>
      <c r="V2295" s="3" t="n">
        <v>-0.6750000017754575</v>
      </c>
      <c r="W2295" s="3" t="n">
        <v>-0.4799574455048176</v>
      </c>
      <c r="X2295" s="3" t="n">
        <v>-0.9571489362006492</v>
      </c>
      <c r="Y2295" s="3" t="n">
        <v>-0.7816170251115839</v>
      </c>
      <c r="Z2295" s="3" t="n">
        <v>-0.9595531871978272</v>
      </c>
      <c r="AA2295" s="3" t="n">
        <v>-0.9595531871978272</v>
      </c>
      <c r="AB2295" s="3" t="n">
        <v>-0.9571489362006492</v>
      </c>
      <c r="AC2295" s="3" t="n">
        <v>-1.025723396463597</v>
      </c>
      <c r="AD2295" s="3" t="n">
        <v>-0.8454680810583398</v>
      </c>
      <c r="AE2295" s="3" t="n">
        <v>-0.8454680810583398</v>
      </c>
    </row>
    <row r="2296">
      <c r="A2296" s="3" t="inlineStr">
        <is>
          <t>VGB.distn.dec.ove.mean.5</t>
        </is>
      </c>
      <c r="B2296" s="3" t="inlineStr">
        <is>
          <t>VGB</t>
        </is>
      </c>
      <c r="C2296" s="3" t="n">
        <v>2005</v>
      </c>
      <c r="D2296" s="3" t="inlineStr">
        <is>
          <t>Overall</t>
        </is>
      </c>
      <c r="E2296" s="3" t="inlineStr">
        <is>
          <t>Deciles</t>
        </is>
      </c>
      <c r="F2296" s="3" t="inlineStr">
        <is>
          <t>mean</t>
        </is>
      </c>
      <c r="G2296" s="3" t="n">
        <v>5</v>
      </c>
      <c r="H2296" s="3" t="n">
        <v>-0.7816170251115839</v>
      </c>
      <c r="I2296" s="3" t="n">
        <v>-0.7816170251115839</v>
      </c>
      <c r="J2296" s="3" t="n">
        <v>-0.8454680810583398</v>
      </c>
      <c r="K2296" s="3" t="n">
        <v>-0.8454680810583398</v>
      </c>
      <c r="L2296" s="3" t="n">
        <v>-0.7816170251115839</v>
      </c>
      <c r="M2296" s="3" t="n">
        <v>-0.7816170251115839</v>
      </c>
      <c r="N2296" s="3" t="n">
        <v>-0.7816170251115839</v>
      </c>
      <c r="O2296" s="3" t="n">
        <v>-0.7816170251115839</v>
      </c>
      <c r="P2296" s="3" t="n">
        <v>-0.7816170251115839</v>
      </c>
      <c r="Q2296" s="3" t="n">
        <v>-0.7816170251115839</v>
      </c>
      <c r="R2296" s="3" t="n">
        <v>-0.7697659489956308</v>
      </c>
      <c r="S2296" s="3" t="n">
        <v>-0.9595531871978272</v>
      </c>
      <c r="T2296" s="3" t="n">
        <v>-0.7081063859006191</v>
      </c>
      <c r="U2296" s="3" t="n">
        <v>-0.8454680810583398</v>
      </c>
      <c r="V2296" s="3" t="n">
        <v>-0.6750000017754575</v>
      </c>
      <c r="W2296" s="3" t="n">
        <v>-0.4799574455048176</v>
      </c>
      <c r="X2296" s="3" t="n">
        <v>-0.9571489362006492</v>
      </c>
      <c r="Y2296" s="3" t="n">
        <v>-0.7816170251115839</v>
      </c>
      <c r="Z2296" s="3" t="n">
        <v>-0.9595531871978272</v>
      </c>
      <c r="AA2296" s="3" t="n">
        <v>-0.9595531871978272</v>
      </c>
      <c r="AB2296" s="3" t="n">
        <v>-0.9571489362006492</v>
      </c>
      <c r="AC2296" s="3" t="n">
        <v>-1.025723396463597</v>
      </c>
      <c r="AD2296" s="3" t="n">
        <v>-0.8454680810583398</v>
      </c>
      <c r="AE2296" s="3" t="n">
        <v>-0.8454680810583398</v>
      </c>
    </row>
    <row r="2297">
      <c r="A2297" s="3" t="inlineStr">
        <is>
          <t>VGB.distn.dec.ove.mean.6</t>
        </is>
      </c>
      <c r="B2297" s="3" t="inlineStr">
        <is>
          <t>VGB</t>
        </is>
      </c>
      <c r="C2297" s="3" t="n">
        <v>2005</v>
      </c>
      <c r="D2297" s="3" t="inlineStr">
        <is>
          <t>Overall</t>
        </is>
      </c>
      <c r="E2297" s="3" t="inlineStr">
        <is>
          <t>Deciles</t>
        </is>
      </c>
      <c r="F2297" s="3" t="inlineStr">
        <is>
          <t>mean</t>
        </is>
      </c>
      <c r="G2297" s="3" t="n">
        <v>6</v>
      </c>
      <c r="H2297" s="3" t="n">
        <v>-0.7816170251115839</v>
      </c>
      <c r="I2297" s="3" t="n">
        <v>-0.7816170251115839</v>
      </c>
      <c r="J2297" s="3" t="n">
        <v>-0.8454680810583398</v>
      </c>
      <c r="K2297" s="3" t="n">
        <v>-0.8454680810583398</v>
      </c>
      <c r="L2297" s="3" t="n">
        <v>-0.7816170251115839</v>
      </c>
      <c r="M2297" s="3" t="n">
        <v>-0.7816170251115839</v>
      </c>
      <c r="N2297" s="3" t="n">
        <v>-0.7816170251115839</v>
      </c>
      <c r="O2297" s="3" t="n">
        <v>-0.7816170251115839</v>
      </c>
      <c r="P2297" s="3" t="n">
        <v>-0.7816170251115839</v>
      </c>
      <c r="Q2297" s="3" t="n">
        <v>-0.7816170251115839</v>
      </c>
      <c r="R2297" s="3" t="n">
        <v>-0.7697659489956308</v>
      </c>
      <c r="S2297" s="3" t="n">
        <v>-0.9595531871978272</v>
      </c>
      <c r="T2297" s="3" t="n">
        <v>-0.7081063859006191</v>
      </c>
      <c r="U2297" s="3" t="n">
        <v>-0.8454680810583398</v>
      </c>
      <c r="V2297" s="3" t="n">
        <v>-0.6750000017754575</v>
      </c>
      <c r="W2297" s="3" t="n">
        <v>-0.4799574455048176</v>
      </c>
      <c r="X2297" s="3" t="n">
        <v>-0.9571489362006492</v>
      </c>
      <c r="Y2297" s="3" t="n">
        <v>-0.7816170251115839</v>
      </c>
      <c r="Z2297" s="3" t="n">
        <v>-0.9595531871978272</v>
      </c>
      <c r="AA2297" s="3" t="n">
        <v>-0.9595531871978272</v>
      </c>
      <c r="AB2297" s="3" t="n">
        <v>-0.9571489362006492</v>
      </c>
      <c r="AC2297" s="3" t="n">
        <v>-1.025723396463597</v>
      </c>
      <c r="AD2297" s="3" t="n">
        <v>-0.8454680810583398</v>
      </c>
      <c r="AE2297" s="3" t="n">
        <v>-0.8454680810583398</v>
      </c>
    </row>
    <row r="2298">
      <c r="A2298" s="3" t="inlineStr">
        <is>
          <t>VGB.distn.dec.ove.mean.7</t>
        </is>
      </c>
      <c r="B2298" s="3" t="inlineStr">
        <is>
          <t>VGB</t>
        </is>
      </c>
      <c r="C2298" s="3" t="n">
        <v>2005</v>
      </c>
      <c r="D2298" s="3" t="inlineStr">
        <is>
          <t>Overall</t>
        </is>
      </c>
      <c r="E2298" s="3" t="inlineStr">
        <is>
          <t>Deciles</t>
        </is>
      </c>
      <c r="F2298" s="3" t="inlineStr">
        <is>
          <t>mean</t>
        </is>
      </c>
      <c r="G2298" s="3" t="n">
        <v>7</v>
      </c>
      <c r="H2298" s="3" t="n">
        <v>-0.7816170251115839</v>
      </c>
      <c r="I2298" s="3" t="n">
        <v>-0.7816170251115839</v>
      </c>
      <c r="J2298" s="3" t="n">
        <v>-0.8454680810583398</v>
      </c>
      <c r="K2298" s="3" t="n">
        <v>-0.8454680810583398</v>
      </c>
      <c r="L2298" s="3" t="n">
        <v>-0.7816170251115839</v>
      </c>
      <c r="M2298" s="3" t="n">
        <v>-0.7816170251115839</v>
      </c>
      <c r="N2298" s="3" t="n">
        <v>-0.7816170251115839</v>
      </c>
      <c r="O2298" s="3" t="n">
        <v>-0.7816170251115839</v>
      </c>
      <c r="P2298" s="3" t="n">
        <v>-0.7816170251115839</v>
      </c>
      <c r="Q2298" s="3" t="n">
        <v>-0.7816170251115839</v>
      </c>
      <c r="R2298" s="3" t="n">
        <v>-0.7697659489956308</v>
      </c>
      <c r="S2298" s="3" t="n">
        <v>-0.9595531871978272</v>
      </c>
      <c r="T2298" s="3" t="n">
        <v>-0.7081063859006191</v>
      </c>
      <c r="U2298" s="3" t="n">
        <v>-0.8454680810583398</v>
      </c>
      <c r="V2298" s="3" t="n">
        <v>-0.6750000017754575</v>
      </c>
      <c r="W2298" s="3" t="n">
        <v>-0.4799574455048176</v>
      </c>
      <c r="X2298" s="3" t="n">
        <v>-0.9571489362006492</v>
      </c>
      <c r="Y2298" s="3" t="n">
        <v>-0.7816170251115839</v>
      </c>
      <c r="Z2298" s="3" t="n">
        <v>-0.9595531871978272</v>
      </c>
      <c r="AA2298" s="3" t="n">
        <v>-0.9595531871978272</v>
      </c>
      <c r="AB2298" s="3" t="n">
        <v>-0.9571489362006492</v>
      </c>
      <c r="AC2298" s="3" t="n">
        <v>-1.025723396463597</v>
      </c>
      <c r="AD2298" s="3" t="n">
        <v>-0.8454680810583398</v>
      </c>
      <c r="AE2298" s="3" t="n">
        <v>-0.8454680810583398</v>
      </c>
    </row>
    <row r="2299">
      <c r="A2299" s="3" t="inlineStr">
        <is>
          <t>VGB.distn.dec.ove.mean.8</t>
        </is>
      </c>
      <c r="B2299" s="3" t="inlineStr">
        <is>
          <t>VGB</t>
        </is>
      </c>
      <c r="C2299" s="3" t="n">
        <v>2005</v>
      </c>
      <c r="D2299" s="3" t="inlineStr">
        <is>
          <t>Overall</t>
        </is>
      </c>
      <c r="E2299" s="3" t="inlineStr">
        <is>
          <t>Deciles</t>
        </is>
      </c>
      <c r="F2299" s="3" t="inlineStr">
        <is>
          <t>mean</t>
        </is>
      </c>
      <c r="G2299" s="3" t="n">
        <v>8</v>
      </c>
      <c r="H2299" s="3" t="n">
        <v>-0.7819935831617801</v>
      </c>
      <c r="I2299" s="3" t="n">
        <v>-0.7819935831617801</v>
      </c>
      <c r="J2299" s="3" t="n">
        <v>-0.8477488045996808</v>
      </c>
      <c r="K2299" s="3" t="n">
        <v>-0.8477488045996808</v>
      </c>
      <c r="L2299" s="3" t="n">
        <v>-0.7819935831617801</v>
      </c>
      <c r="M2299" s="3" t="n">
        <v>-0.7819935831617801</v>
      </c>
      <c r="N2299" s="3" t="n">
        <v>-0.7819935831617801</v>
      </c>
      <c r="O2299" s="3" t="n">
        <v>-0.7819935831617801</v>
      </c>
      <c r="P2299" s="3" t="n">
        <v>-0.7819935831617801</v>
      </c>
      <c r="Q2299" s="3" t="n">
        <v>-0.7819935831617801</v>
      </c>
      <c r="R2299" s="3" t="n">
        <v>-0.7700191178220384</v>
      </c>
      <c r="S2299" s="3" t="n">
        <v>-0.9684819490351575</v>
      </c>
      <c r="T2299" s="3" t="n">
        <v>-0.70814722142321</v>
      </c>
      <c r="U2299" s="3" t="n">
        <v>-0.8477488045996808</v>
      </c>
      <c r="V2299" s="3" t="n">
        <v>-0.6756977857427394</v>
      </c>
      <c r="W2299" s="3" t="n">
        <v>-0.4928101326556916</v>
      </c>
      <c r="X2299" s="3" t="n">
        <v>-0.9658704755154062</v>
      </c>
      <c r="Y2299" s="3" t="n">
        <v>-0.7819935831617801</v>
      </c>
      <c r="Z2299" s="3" t="n">
        <v>-0.9684819490351575</v>
      </c>
      <c r="AA2299" s="3" t="n">
        <v>-0.9684819490351575</v>
      </c>
      <c r="AB2299" s="3" t="n">
        <v>-0.9658704755154062</v>
      </c>
      <c r="AC2299" s="3" t="n">
        <v>-1.04035159628442</v>
      </c>
      <c r="AD2299" s="3" t="n">
        <v>-0.8477488045996808</v>
      </c>
      <c r="AE2299" s="3" t="n">
        <v>-0.8477488045996808</v>
      </c>
    </row>
    <row r="2300">
      <c r="A2300" s="3" t="inlineStr">
        <is>
          <t>VGB.distn.dec.ove.mean.9</t>
        </is>
      </c>
      <c r="B2300" s="3" t="inlineStr">
        <is>
          <t>VGB</t>
        </is>
      </c>
      <c r="C2300" s="3" t="n">
        <v>2005</v>
      </c>
      <c r="D2300" s="3" t="inlineStr">
        <is>
          <t>Overall</t>
        </is>
      </c>
      <c r="E2300" s="3" t="inlineStr">
        <is>
          <t>Deciles</t>
        </is>
      </c>
      <c r="F2300" s="3" t="inlineStr">
        <is>
          <t>mean</t>
        </is>
      </c>
      <c r="G2300" s="3" t="n">
        <v>9</v>
      </c>
      <c r="H2300" s="3" t="n">
        <v>-0.7819935831617801</v>
      </c>
      <c r="I2300" s="3" t="n">
        <v>-0.7819935831617801</v>
      </c>
      <c r="J2300" s="3" t="n">
        <v>-0.8477488045996808</v>
      </c>
      <c r="K2300" s="3" t="n">
        <v>-0.8477488045996808</v>
      </c>
      <c r="L2300" s="3" t="n">
        <v>-0.7819935831617801</v>
      </c>
      <c r="M2300" s="3" t="n">
        <v>-0.7819935831617801</v>
      </c>
      <c r="N2300" s="3" t="n">
        <v>-0.7819935831617801</v>
      </c>
      <c r="O2300" s="3" t="n">
        <v>-0.7819935831617801</v>
      </c>
      <c r="P2300" s="3" t="n">
        <v>-0.7819935831617801</v>
      </c>
      <c r="Q2300" s="3" t="n">
        <v>-0.7819935831617801</v>
      </c>
      <c r="R2300" s="3" t="n">
        <v>-0.7700191178220384</v>
      </c>
      <c r="S2300" s="3" t="n">
        <v>-0.9684819490351575</v>
      </c>
      <c r="T2300" s="3" t="n">
        <v>-0.70814722142321</v>
      </c>
      <c r="U2300" s="3" t="n">
        <v>-0.8477488045996808</v>
      </c>
      <c r="V2300" s="3" t="n">
        <v>-0.6756977857427394</v>
      </c>
      <c r="W2300" s="3" t="n">
        <v>-0.4928101326556916</v>
      </c>
      <c r="X2300" s="3" t="n">
        <v>-0.9658704755154062</v>
      </c>
      <c r="Y2300" s="3" t="n">
        <v>-0.7819935831617801</v>
      </c>
      <c r="Z2300" s="3" t="n">
        <v>-0.9684819490351575</v>
      </c>
      <c r="AA2300" s="3" t="n">
        <v>-0.9684819490351575</v>
      </c>
      <c r="AB2300" s="3" t="n">
        <v>-0.9658704755154062</v>
      </c>
      <c r="AC2300" s="3" t="n">
        <v>-1.04035159628442</v>
      </c>
      <c r="AD2300" s="3" t="n">
        <v>-0.8477488045996808</v>
      </c>
      <c r="AE2300" s="3" t="n">
        <v>-0.8477488045996808</v>
      </c>
    </row>
    <row r="2301">
      <c r="A2301" s="3" t="inlineStr">
        <is>
          <t>VGB.distn.dec.ove.mean.10</t>
        </is>
      </c>
      <c r="B2301" s="3" t="inlineStr">
        <is>
          <t>VGB</t>
        </is>
      </c>
      <c r="C2301" s="3" t="n">
        <v>2005</v>
      </c>
      <c r="D2301" s="3" t="inlineStr">
        <is>
          <t>Overall</t>
        </is>
      </c>
      <c r="E2301" s="3" t="inlineStr">
        <is>
          <t>Deciles</t>
        </is>
      </c>
      <c r="F2301" s="3" t="inlineStr">
        <is>
          <t>mean</t>
        </is>
      </c>
      <c r="G2301" s="3" t="n">
        <v>10</v>
      </c>
      <c r="H2301" s="3" t="n">
        <v>-0.7819935831617801</v>
      </c>
      <c r="I2301" s="3" t="n">
        <v>-0.7819935831617801</v>
      </c>
      <c r="J2301" s="3" t="n">
        <v>-0.8477488045996808</v>
      </c>
      <c r="K2301" s="3" t="n">
        <v>-0.8477488045996808</v>
      </c>
      <c r="L2301" s="3" t="n">
        <v>-0.7819935831617801</v>
      </c>
      <c r="M2301" s="3" t="n">
        <v>-0.7819935831617801</v>
      </c>
      <c r="N2301" s="3" t="n">
        <v>-0.7819935831617801</v>
      </c>
      <c r="O2301" s="3" t="n">
        <v>-0.7819935831617801</v>
      </c>
      <c r="P2301" s="3" t="n">
        <v>-0.7819935831617801</v>
      </c>
      <c r="Q2301" s="3" t="n">
        <v>-0.7819935831617801</v>
      </c>
      <c r="R2301" s="3" t="n">
        <v>-0.7700191178220384</v>
      </c>
      <c r="S2301" s="3" t="n">
        <v>-0.9684819490351575</v>
      </c>
      <c r="T2301" s="3" t="n">
        <v>-0.70814722142321</v>
      </c>
      <c r="U2301" s="3" t="n">
        <v>-0.8477488045996808</v>
      </c>
      <c r="V2301" s="3" t="n">
        <v>-0.6756977857427394</v>
      </c>
      <c r="W2301" s="3" t="n">
        <v>-0.4928101326556916</v>
      </c>
      <c r="X2301" s="3" t="n">
        <v>-0.9658704755154062</v>
      </c>
      <c r="Y2301" s="3" t="n">
        <v>-0.7819935831617801</v>
      </c>
      <c r="Z2301" s="3" t="n">
        <v>-0.9684819490351575</v>
      </c>
      <c r="AA2301" s="3" t="n">
        <v>-0.9684819490351575</v>
      </c>
      <c r="AB2301" s="3" t="n">
        <v>-0.9658704755154062</v>
      </c>
      <c r="AC2301" s="3" t="n">
        <v>-1.04035159628442</v>
      </c>
      <c r="AD2301" s="3" t="n">
        <v>-0.8477488045996808</v>
      </c>
      <c r="AE2301" s="3" t="n">
        <v>-0.8477488045996808</v>
      </c>
    </row>
    <row r="2302">
      <c r="A2302" s="3" t="inlineStr">
        <is>
          <t>VGB.distn.bkt.ove.mean.9999</t>
        </is>
      </c>
      <c r="B2302" s="3" t="inlineStr">
        <is>
          <t>VGB</t>
        </is>
      </c>
      <c r="C2302" s="3" t="n">
        <v>2005</v>
      </c>
      <c r="D2302" s="3" t="inlineStr">
        <is>
          <t>Overall</t>
        </is>
      </c>
      <c r="E2302" s="3" t="inlineStr">
        <is>
          <t>Basket</t>
        </is>
      </c>
      <c r="F2302" s="3" t="inlineStr">
        <is>
          <t>mean</t>
        </is>
      </c>
      <c r="G2302" s="3" t="n">
        <v>9999</v>
      </c>
      <c r="H2302" s="3" t="n">
        <v>-0.7836013613863194</v>
      </c>
      <c r="I2302" s="3" t="n">
        <v>-0.7836013613863194</v>
      </c>
      <c r="J2302" s="3" t="n">
        <v>-0.8590307616172953</v>
      </c>
      <c r="K2302" s="3" t="n">
        <v>-0.8590307616172953</v>
      </c>
      <c r="L2302" s="3" t="n">
        <v>-0.7836013613863194</v>
      </c>
      <c r="M2302" s="3" t="n">
        <v>-0.7836013613863194</v>
      </c>
      <c r="N2302" s="3" t="n">
        <v>-0.7836013613863194</v>
      </c>
      <c r="O2302" s="3" t="n">
        <v>-0.7836013613863194</v>
      </c>
      <c r="P2302" s="3" t="n">
        <v>-0.7836013613863194</v>
      </c>
      <c r="Q2302" s="3" t="n">
        <v>-0.7836013613863194</v>
      </c>
      <c r="R2302" s="3" t="n">
        <v>-0.7708828220976159</v>
      </c>
      <c r="S2302" s="3" t="n">
        <v>-1.097007578991829</v>
      </c>
      <c r="T2302" s="3" t="n">
        <v>-0.7085544974245923</v>
      </c>
      <c r="U2302" s="3" t="n">
        <v>-0.8590307616172953</v>
      </c>
      <c r="V2302" s="3" t="n">
        <v>-0.6772896647453308</v>
      </c>
      <c r="W2302" s="3" t="n">
        <v>-0.5109122699879586</v>
      </c>
      <c r="X2302" s="3" t="n">
        <v>-1.079493910708326</v>
      </c>
      <c r="Y2302" s="3" t="n">
        <v>-0.7836013613863194</v>
      </c>
      <c r="Z2302" s="3" t="n">
        <v>-1.097007578991829</v>
      </c>
      <c r="AA2302" s="3" t="n">
        <v>-1.097007578991829</v>
      </c>
      <c r="AB2302" s="3" t="n">
        <v>-1.079493910708326</v>
      </c>
      <c r="AC2302" s="3" t="n">
        <v>-1.359592239907447</v>
      </c>
      <c r="AD2302" s="3" t="n">
        <v>-0.8590307616172953</v>
      </c>
      <c r="AE2302" s="3" t="n">
        <v>-0.8590307616172953</v>
      </c>
    </row>
    <row r="2303">
      <c r="A2303" s="3" t="inlineStr">
        <is>
          <t>VIR.distn.dec.ove.mean.1</t>
        </is>
      </c>
      <c r="B2303" s="3" t="inlineStr">
        <is>
          <t>VIR</t>
        </is>
      </c>
      <c r="C2303" s="3" t="n">
        <v>2005</v>
      </c>
      <c r="D2303" s="3" t="inlineStr">
        <is>
          <t>Overall</t>
        </is>
      </c>
      <c r="E2303" s="3" t="inlineStr">
        <is>
          <t>Deciles</t>
        </is>
      </c>
      <c r="F2303" s="3" t="inlineStr">
        <is>
          <t>mean</t>
        </is>
      </c>
      <c r="G2303" s="3" t="n">
        <v>1</v>
      </c>
      <c r="H2303" s="3" t="n">
        <v>-0.7878549098968506</v>
      </c>
      <c r="I2303" s="3" t="n">
        <v>-0.7878549098968506</v>
      </c>
      <c r="J2303" s="3" t="n">
        <v>-0.8883962808771336</v>
      </c>
      <c r="K2303" s="3" t="n">
        <v>-0.8883962808771336</v>
      </c>
      <c r="L2303" s="3" t="n">
        <v>-0.7878549098968506</v>
      </c>
      <c r="M2303" s="3" t="n">
        <v>-0.7878549098968506</v>
      </c>
      <c r="N2303" s="3" t="n">
        <v>-0.7878549098968506</v>
      </c>
      <c r="O2303" s="3" t="n">
        <v>-0.7878549098968506</v>
      </c>
      <c r="P2303" s="3" t="n">
        <v>-0.7878549098968506</v>
      </c>
      <c r="Q2303" s="3" t="n">
        <v>-0.7878549098968506</v>
      </c>
      <c r="R2303" s="3" t="n">
        <v>-0.7732356596500316</v>
      </c>
      <c r="S2303" s="3" t="n">
        <v>-1.408805674694954</v>
      </c>
      <c r="T2303" s="3" t="n">
        <v>-0.7095591730259835</v>
      </c>
      <c r="U2303" s="3" t="n">
        <v>-0.8883962808771336</v>
      </c>
      <c r="V2303" s="3" t="n">
        <v>-0.681934451803248</v>
      </c>
      <c r="W2303" s="3" t="n">
        <v>-0.5702875047288043</v>
      </c>
      <c r="X2303" s="3" t="n">
        <v>-1.356243993373627</v>
      </c>
      <c r="Y2303" s="3" t="n">
        <v>-0.7878549098968506</v>
      </c>
      <c r="Z2303" s="3" t="n">
        <v>-1.408805674694954</v>
      </c>
      <c r="AA2303" s="3" t="n">
        <v>-1.408805674694954</v>
      </c>
      <c r="AB2303" s="3" t="n">
        <v>-1.356243993373627</v>
      </c>
      <c r="AC2303" s="3" t="n">
        <v>-2.123991362592007</v>
      </c>
      <c r="AD2303" s="3" t="n">
        <v>-0.8883962808771336</v>
      </c>
      <c r="AE2303" s="3" t="n">
        <v>-0.8883962808771336</v>
      </c>
    </row>
    <row r="2304">
      <c r="A2304" s="3" t="inlineStr">
        <is>
          <t>VIR.distn.dec.ove.mean.2</t>
        </is>
      </c>
      <c r="B2304" s="3" t="inlineStr">
        <is>
          <t>VIR</t>
        </is>
      </c>
      <c r="C2304" s="3" t="n">
        <v>2005</v>
      </c>
      <c r="D2304" s="3" t="inlineStr">
        <is>
          <t>Overall</t>
        </is>
      </c>
      <c r="E2304" s="3" t="inlineStr">
        <is>
          <t>Deciles</t>
        </is>
      </c>
      <c r="F2304" s="3" t="inlineStr">
        <is>
          <t>mean</t>
        </is>
      </c>
      <c r="G2304" s="3" t="n">
        <v>2</v>
      </c>
      <c r="H2304" s="3" t="n">
        <v>-0.7878549098968506</v>
      </c>
      <c r="I2304" s="3" t="n">
        <v>-0.7878549098968506</v>
      </c>
      <c r="J2304" s="3" t="n">
        <v>-0.8883962808771336</v>
      </c>
      <c r="K2304" s="3" t="n">
        <v>-0.8883962808771336</v>
      </c>
      <c r="L2304" s="3" t="n">
        <v>-0.7878549098968506</v>
      </c>
      <c r="M2304" s="3" t="n">
        <v>-0.7878549098968506</v>
      </c>
      <c r="N2304" s="3" t="n">
        <v>-0.7878549098968506</v>
      </c>
      <c r="O2304" s="3" t="n">
        <v>-0.7878549098968506</v>
      </c>
      <c r="P2304" s="3" t="n">
        <v>-0.7878549098968506</v>
      </c>
      <c r="Q2304" s="3" t="n">
        <v>-0.7878549098968506</v>
      </c>
      <c r="R2304" s="3" t="n">
        <v>-0.7732356596500316</v>
      </c>
      <c r="S2304" s="3" t="n">
        <v>-1.408805674694954</v>
      </c>
      <c r="T2304" s="3" t="n">
        <v>-0.7095591730259835</v>
      </c>
      <c r="U2304" s="3" t="n">
        <v>-0.8883962808771336</v>
      </c>
      <c r="V2304" s="3" t="n">
        <v>-0.681934451803248</v>
      </c>
      <c r="W2304" s="3" t="n">
        <v>-0.5702875047288043</v>
      </c>
      <c r="X2304" s="3" t="n">
        <v>-1.356243993373627</v>
      </c>
      <c r="Y2304" s="3" t="n">
        <v>-0.7878549098968506</v>
      </c>
      <c r="Z2304" s="3" t="n">
        <v>-1.408805674694954</v>
      </c>
      <c r="AA2304" s="3" t="n">
        <v>-1.408805674694954</v>
      </c>
      <c r="AB2304" s="3" t="n">
        <v>-1.356243993373627</v>
      </c>
      <c r="AC2304" s="3" t="n">
        <v>-2.123991362592007</v>
      </c>
      <c r="AD2304" s="3" t="n">
        <v>-0.8883962808771336</v>
      </c>
      <c r="AE2304" s="3" t="n">
        <v>-0.8883962808771336</v>
      </c>
    </row>
    <row r="2305">
      <c r="A2305" s="3" t="inlineStr">
        <is>
          <t>VIR.distn.dec.ove.mean.3</t>
        </is>
      </c>
      <c r="B2305" s="3" t="inlineStr">
        <is>
          <t>VIR</t>
        </is>
      </c>
      <c r="C2305" s="3" t="n">
        <v>2005</v>
      </c>
      <c r="D2305" s="3" t="inlineStr">
        <is>
          <t>Overall</t>
        </is>
      </c>
      <c r="E2305" s="3" t="inlineStr">
        <is>
          <t>Deciles</t>
        </is>
      </c>
      <c r="F2305" s="3" t="inlineStr">
        <is>
          <t>mean</t>
        </is>
      </c>
      <c r="G2305" s="3" t="n">
        <v>3</v>
      </c>
      <c r="H2305" s="3" t="n">
        <v>-0.7878549098968506</v>
      </c>
      <c r="I2305" s="3" t="n">
        <v>-0.7878549098968506</v>
      </c>
      <c r="J2305" s="3" t="n">
        <v>-0.8883962808771336</v>
      </c>
      <c r="K2305" s="3" t="n">
        <v>-0.8883962808771336</v>
      </c>
      <c r="L2305" s="3" t="n">
        <v>-0.7878549098968506</v>
      </c>
      <c r="M2305" s="3" t="n">
        <v>-0.7878549098968506</v>
      </c>
      <c r="N2305" s="3" t="n">
        <v>-0.7878549098968506</v>
      </c>
      <c r="O2305" s="3" t="n">
        <v>-0.7878549098968506</v>
      </c>
      <c r="P2305" s="3" t="n">
        <v>-0.7878549098968506</v>
      </c>
      <c r="Q2305" s="3" t="n">
        <v>-0.7878549098968506</v>
      </c>
      <c r="R2305" s="3" t="n">
        <v>-0.7732356596500316</v>
      </c>
      <c r="S2305" s="3" t="n">
        <v>-1.408805674694954</v>
      </c>
      <c r="T2305" s="3" t="n">
        <v>-0.7095591730259835</v>
      </c>
      <c r="U2305" s="3" t="n">
        <v>-0.8883962808771336</v>
      </c>
      <c r="V2305" s="3" t="n">
        <v>-0.681934451803248</v>
      </c>
      <c r="W2305" s="3" t="n">
        <v>-0.5702875047288043</v>
      </c>
      <c r="X2305" s="3" t="n">
        <v>-1.356243993373627</v>
      </c>
      <c r="Y2305" s="3" t="n">
        <v>-0.7878549098968506</v>
      </c>
      <c r="Z2305" s="3" t="n">
        <v>-1.408805674694954</v>
      </c>
      <c r="AA2305" s="3" t="n">
        <v>-1.408805674694954</v>
      </c>
      <c r="AB2305" s="3" t="n">
        <v>-1.356243993373627</v>
      </c>
      <c r="AC2305" s="3" t="n">
        <v>-2.123991362592007</v>
      </c>
      <c r="AD2305" s="3" t="n">
        <v>-0.8883962808771336</v>
      </c>
      <c r="AE2305" s="3" t="n">
        <v>-0.8883962808771336</v>
      </c>
    </row>
    <row r="2306">
      <c r="A2306" s="3" t="inlineStr">
        <is>
          <t>VIR.distn.dec.ove.mean.4</t>
        </is>
      </c>
      <c r="B2306" s="3" t="inlineStr">
        <is>
          <t>VIR</t>
        </is>
      </c>
      <c r="C2306" s="3" t="n">
        <v>2005</v>
      </c>
      <c r="D2306" s="3" t="inlineStr">
        <is>
          <t>Overall</t>
        </is>
      </c>
      <c r="E2306" s="3" t="inlineStr">
        <is>
          <t>Deciles</t>
        </is>
      </c>
      <c r="F2306" s="3" t="inlineStr">
        <is>
          <t>mean</t>
        </is>
      </c>
      <c r="G2306" s="3" t="n">
        <v>4</v>
      </c>
      <c r="H2306" s="3" t="n">
        <v>-0.7816170251115839</v>
      </c>
      <c r="I2306" s="3" t="n">
        <v>-0.7816170251115839</v>
      </c>
      <c r="J2306" s="3" t="n">
        <v>-0.8454680810583398</v>
      </c>
      <c r="K2306" s="3" t="n">
        <v>-0.8454680810583398</v>
      </c>
      <c r="L2306" s="3" t="n">
        <v>-0.7816170251115839</v>
      </c>
      <c r="M2306" s="3" t="n">
        <v>-0.7816170251115839</v>
      </c>
      <c r="N2306" s="3" t="n">
        <v>-0.7816170251115839</v>
      </c>
      <c r="O2306" s="3" t="n">
        <v>-0.7816170251115839</v>
      </c>
      <c r="P2306" s="3" t="n">
        <v>-0.7816170251115839</v>
      </c>
      <c r="Q2306" s="3" t="n">
        <v>-0.7816170251115839</v>
      </c>
      <c r="R2306" s="3" t="n">
        <v>-0.7697659489956308</v>
      </c>
      <c r="S2306" s="3" t="n">
        <v>-0.9595531871978272</v>
      </c>
      <c r="T2306" s="3" t="n">
        <v>-0.7081063859006191</v>
      </c>
      <c r="U2306" s="3" t="n">
        <v>-0.8454680810583398</v>
      </c>
      <c r="V2306" s="3" t="n">
        <v>-0.6750000017754575</v>
      </c>
      <c r="W2306" s="3" t="n">
        <v>-0.4799574455048176</v>
      </c>
      <c r="X2306" s="3" t="n">
        <v>-0.9571489362006492</v>
      </c>
      <c r="Y2306" s="3" t="n">
        <v>-0.7816170251115839</v>
      </c>
      <c r="Z2306" s="3" t="n">
        <v>-0.9595531871978272</v>
      </c>
      <c r="AA2306" s="3" t="n">
        <v>-0.9595531871978272</v>
      </c>
      <c r="AB2306" s="3" t="n">
        <v>-0.9571489362006492</v>
      </c>
      <c r="AC2306" s="3" t="n">
        <v>-1.025723396463597</v>
      </c>
      <c r="AD2306" s="3" t="n">
        <v>-0.8454680810583398</v>
      </c>
      <c r="AE2306" s="3" t="n">
        <v>-0.8454680810583398</v>
      </c>
    </row>
    <row r="2307">
      <c r="A2307" s="3" t="inlineStr">
        <is>
          <t>VIR.distn.dec.ove.mean.5</t>
        </is>
      </c>
      <c r="B2307" s="3" t="inlineStr">
        <is>
          <t>VIR</t>
        </is>
      </c>
      <c r="C2307" s="3" t="n">
        <v>2005</v>
      </c>
      <c r="D2307" s="3" t="inlineStr">
        <is>
          <t>Overall</t>
        </is>
      </c>
      <c r="E2307" s="3" t="inlineStr">
        <is>
          <t>Deciles</t>
        </is>
      </c>
      <c r="F2307" s="3" t="inlineStr">
        <is>
          <t>mean</t>
        </is>
      </c>
      <c r="G2307" s="3" t="n">
        <v>5</v>
      </c>
      <c r="H2307" s="3" t="n">
        <v>-0.7816170251115839</v>
      </c>
      <c r="I2307" s="3" t="n">
        <v>-0.7816170251115839</v>
      </c>
      <c r="J2307" s="3" t="n">
        <v>-0.8454680810583398</v>
      </c>
      <c r="K2307" s="3" t="n">
        <v>-0.8454680810583398</v>
      </c>
      <c r="L2307" s="3" t="n">
        <v>-0.7816170251115839</v>
      </c>
      <c r="M2307" s="3" t="n">
        <v>-0.7816170251115839</v>
      </c>
      <c r="N2307" s="3" t="n">
        <v>-0.7816170251115839</v>
      </c>
      <c r="O2307" s="3" t="n">
        <v>-0.7816170251115839</v>
      </c>
      <c r="P2307" s="3" t="n">
        <v>-0.7816170251115839</v>
      </c>
      <c r="Q2307" s="3" t="n">
        <v>-0.7816170251115839</v>
      </c>
      <c r="R2307" s="3" t="n">
        <v>-0.7697659489956308</v>
      </c>
      <c r="S2307" s="3" t="n">
        <v>-0.9595531871978272</v>
      </c>
      <c r="T2307" s="3" t="n">
        <v>-0.7081063859006191</v>
      </c>
      <c r="U2307" s="3" t="n">
        <v>-0.8454680810583398</v>
      </c>
      <c r="V2307" s="3" t="n">
        <v>-0.6750000017754575</v>
      </c>
      <c r="W2307" s="3" t="n">
        <v>-0.4799574455048176</v>
      </c>
      <c r="X2307" s="3" t="n">
        <v>-0.9571489362006492</v>
      </c>
      <c r="Y2307" s="3" t="n">
        <v>-0.7816170251115839</v>
      </c>
      <c r="Z2307" s="3" t="n">
        <v>-0.9595531871978272</v>
      </c>
      <c r="AA2307" s="3" t="n">
        <v>-0.9595531871978272</v>
      </c>
      <c r="AB2307" s="3" t="n">
        <v>-0.9571489362006492</v>
      </c>
      <c r="AC2307" s="3" t="n">
        <v>-1.025723396463597</v>
      </c>
      <c r="AD2307" s="3" t="n">
        <v>-0.8454680810583398</v>
      </c>
      <c r="AE2307" s="3" t="n">
        <v>-0.8454680810583398</v>
      </c>
    </row>
    <row r="2308">
      <c r="A2308" s="3" t="inlineStr">
        <is>
          <t>VIR.distn.dec.ove.mean.6</t>
        </is>
      </c>
      <c r="B2308" s="3" t="inlineStr">
        <is>
          <t>VIR</t>
        </is>
      </c>
      <c r="C2308" s="3" t="n">
        <v>2005</v>
      </c>
      <c r="D2308" s="3" t="inlineStr">
        <is>
          <t>Overall</t>
        </is>
      </c>
      <c r="E2308" s="3" t="inlineStr">
        <is>
          <t>Deciles</t>
        </is>
      </c>
      <c r="F2308" s="3" t="inlineStr">
        <is>
          <t>mean</t>
        </is>
      </c>
      <c r="G2308" s="3" t="n">
        <v>6</v>
      </c>
      <c r="H2308" s="3" t="n">
        <v>-0.7816170251115839</v>
      </c>
      <c r="I2308" s="3" t="n">
        <v>-0.7816170251115839</v>
      </c>
      <c r="J2308" s="3" t="n">
        <v>-0.8454680810583398</v>
      </c>
      <c r="K2308" s="3" t="n">
        <v>-0.8454680810583398</v>
      </c>
      <c r="L2308" s="3" t="n">
        <v>-0.7816170251115839</v>
      </c>
      <c r="M2308" s="3" t="n">
        <v>-0.7816170251115839</v>
      </c>
      <c r="N2308" s="3" t="n">
        <v>-0.7816170251115839</v>
      </c>
      <c r="O2308" s="3" t="n">
        <v>-0.7816170251115839</v>
      </c>
      <c r="P2308" s="3" t="n">
        <v>-0.7816170251115839</v>
      </c>
      <c r="Q2308" s="3" t="n">
        <v>-0.7816170251115839</v>
      </c>
      <c r="R2308" s="3" t="n">
        <v>-0.7697659489956308</v>
      </c>
      <c r="S2308" s="3" t="n">
        <v>-0.9595531871978272</v>
      </c>
      <c r="T2308" s="3" t="n">
        <v>-0.7081063859006191</v>
      </c>
      <c r="U2308" s="3" t="n">
        <v>-0.8454680810583398</v>
      </c>
      <c r="V2308" s="3" t="n">
        <v>-0.6750000017754575</v>
      </c>
      <c r="W2308" s="3" t="n">
        <v>-0.4799574455048176</v>
      </c>
      <c r="X2308" s="3" t="n">
        <v>-0.9571489362006492</v>
      </c>
      <c r="Y2308" s="3" t="n">
        <v>-0.7816170251115839</v>
      </c>
      <c r="Z2308" s="3" t="n">
        <v>-0.9595531871978272</v>
      </c>
      <c r="AA2308" s="3" t="n">
        <v>-0.9595531871978272</v>
      </c>
      <c r="AB2308" s="3" t="n">
        <v>-0.9571489362006492</v>
      </c>
      <c r="AC2308" s="3" t="n">
        <v>-1.025723396463597</v>
      </c>
      <c r="AD2308" s="3" t="n">
        <v>-0.8454680810583398</v>
      </c>
      <c r="AE2308" s="3" t="n">
        <v>-0.8454680810583398</v>
      </c>
    </row>
    <row r="2309">
      <c r="A2309" s="3" t="inlineStr">
        <is>
          <t>VIR.distn.dec.ove.mean.7</t>
        </is>
      </c>
      <c r="B2309" s="3" t="inlineStr">
        <is>
          <t>VIR</t>
        </is>
      </c>
      <c r="C2309" s="3" t="n">
        <v>2005</v>
      </c>
      <c r="D2309" s="3" t="inlineStr">
        <is>
          <t>Overall</t>
        </is>
      </c>
      <c r="E2309" s="3" t="inlineStr">
        <is>
          <t>Deciles</t>
        </is>
      </c>
      <c r="F2309" s="3" t="inlineStr">
        <is>
          <t>mean</t>
        </is>
      </c>
      <c r="G2309" s="3" t="n">
        <v>7</v>
      </c>
      <c r="H2309" s="3" t="n">
        <v>-0.7816170251115839</v>
      </c>
      <c r="I2309" s="3" t="n">
        <v>-0.7816170251115839</v>
      </c>
      <c r="J2309" s="3" t="n">
        <v>-0.8454680810583398</v>
      </c>
      <c r="K2309" s="3" t="n">
        <v>-0.8454680810583398</v>
      </c>
      <c r="L2309" s="3" t="n">
        <v>-0.7816170251115839</v>
      </c>
      <c r="M2309" s="3" t="n">
        <v>-0.7816170251115839</v>
      </c>
      <c r="N2309" s="3" t="n">
        <v>-0.7816170251115839</v>
      </c>
      <c r="O2309" s="3" t="n">
        <v>-0.7816170251115839</v>
      </c>
      <c r="P2309" s="3" t="n">
        <v>-0.7816170251115839</v>
      </c>
      <c r="Q2309" s="3" t="n">
        <v>-0.7816170251115839</v>
      </c>
      <c r="R2309" s="3" t="n">
        <v>-0.7697659489956308</v>
      </c>
      <c r="S2309" s="3" t="n">
        <v>-0.9595531871978272</v>
      </c>
      <c r="T2309" s="3" t="n">
        <v>-0.7081063859006191</v>
      </c>
      <c r="U2309" s="3" t="n">
        <v>-0.8454680810583398</v>
      </c>
      <c r="V2309" s="3" t="n">
        <v>-0.6750000017754575</v>
      </c>
      <c r="W2309" s="3" t="n">
        <v>-0.4799574455048176</v>
      </c>
      <c r="X2309" s="3" t="n">
        <v>-0.9571489362006492</v>
      </c>
      <c r="Y2309" s="3" t="n">
        <v>-0.7816170251115839</v>
      </c>
      <c r="Z2309" s="3" t="n">
        <v>-0.9595531871978272</v>
      </c>
      <c r="AA2309" s="3" t="n">
        <v>-0.9595531871978272</v>
      </c>
      <c r="AB2309" s="3" t="n">
        <v>-0.9571489362006492</v>
      </c>
      <c r="AC2309" s="3" t="n">
        <v>-1.025723396463597</v>
      </c>
      <c r="AD2309" s="3" t="n">
        <v>-0.8454680810583398</v>
      </c>
      <c r="AE2309" s="3" t="n">
        <v>-0.8454680810583398</v>
      </c>
    </row>
    <row r="2310">
      <c r="A2310" s="3" t="inlineStr">
        <is>
          <t>VIR.distn.dec.ove.mean.8</t>
        </is>
      </c>
      <c r="B2310" s="3" t="inlineStr">
        <is>
          <t>VIR</t>
        </is>
      </c>
      <c r="C2310" s="3" t="n">
        <v>2005</v>
      </c>
      <c r="D2310" s="3" t="inlineStr">
        <is>
          <t>Overall</t>
        </is>
      </c>
      <c r="E2310" s="3" t="inlineStr">
        <is>
          <t>Deciles</t>
        </is>
      </c>
      <c r="F2310" s="3" t="inlineStr">
        <is>
          <t>mean</t>
        </is>
      </c>
      <c r="G2310" s="3" t="n">
        <v>8</v>
      </c>
      <c r="H2310" s="3" t="n">
        <v>-0.7819935831617801</v>
      </c>
      <c r="I2310" s="3" t="n">
        <v>-0.7819935831617801</v>
      </c>
      <c r="J2310" s="3" t="n">
        <v>-0.8477488045996808</v>
      </c>
      <c r="K2310" s="3" t="n">
        <v>-0.8477488045996808</v>
      </c>
      <c r="L2310" s="3" t="n">
        <v>-0.7819935831617801</v>
      </c>
      <c r="M2310" s="3" t="n">
        <v>-0.7819935831617801</v>
      </c>
      <c r="N2310" s="3" t="n">
        <v>-0.7819935831617801</v>
      </c>
      <c r="O2310" s="3" t="n">
        <v>-0.7819935831617801</v>
      </c>
      <c r="P2310" s="3" t="n">
        <v>-0.7819935831617801</v>
      </c>
      <c r="Q2310" s="3" t="n">
        <v>-0.7819935831617801</v>
      </c>
      <c r="R2310" s="3" t="n">
        <v>-0.7700191178220384</v>
      </c>
      <c r="S2310" s="3" t="n">
        <v>-0.9684819490351575</v>
      </c>
      <c r="T2310" s="3" t="n">
        <v>-0.70814722142321</v>
      </c>
      <c r="U2310" s="3" t="n">
        <v>-0.8477488045996808</v>
      </c>
      <c r="V2310" s="3" t="n">
        <v>-0.6756977857427394</v>
      </c>
      <c r="W2310" s="3" t="n">
        <v>-0.4928101326556916</v>
      </c>
      <c r="X2310" s="3" t="n">
        <v>-0.9658704755154062</v>
      </c>
      <c r="Y2310" s="3" t="n">
        <v>-0.7819935831617801</v>
      </c>
      <c r="Z2310" s="3" t="n">
        <v>-0.9684819490351575</v>
      </c>
      <c r="AA2310" s="3" t="n">
        <v>-0.9684819490351575</v>
      </c>
      <c r="AB2310" s="3" t="n">
        <v>-0.9658704755154062</v>
      </c>
      <c r="AC2310" s="3" t="n">
        <v>-1.04035159628442</v>
      </c>
      <c r="AD2310" s="3" t="n">
        <v>-0.8477488045996808</v>
      </c>
      <c r="AE2310" s="3" t="n">
        <v>-0.8477488045996808</v>
      </c>
    </row>
    <row r="2311">
      <c r="A2311" s="3" t="inlineStr">
        <is>
          <t>VIR.distn.dec.ove.mean.9</t>
        </is>
      </c>
      <c r="B2311" s="3" t="inlineStr">
        <is>
          <t>VIR</t>
        </is>
      </c>
      <c r="C2311" s="3" t="n">
        <v>2005</v>
      </c>
      <c r="D2311" s="3" t="inlineStr">
        <is>
          <t>Overall</t>
        </is>
      </c>
      <c r="E2311" s="3" t="inlineStr">
        <is>
          <t>Deciles</t>
        </is>
      </c>
      <c r="F2311" s="3" t="inlineStr">
        <is>
          <t>mean</t>
        </is>
      </c>
      <c r="G2311" s="3" t="n">
        <v>9</v>
      </c>
      <c r="H2311" s="3" t="n">
        <v>-0.7819935831617801</v>
      </c>
      <c r="I2311" s="3" t="n">
        <v>-0.7819935831617801</v>
      </c>
      <c r="J2311" s="3" t="n">
        <v>-0.8477488045996808</v>
      </c>
      <c r="K2311" s="3" t="n">
        <v>-0.8477488045996808</v>
      </c>
      <c r="L2311" s="3" t="n">
        <v>-0.7819935831617801</v>
      </c>
      <c r="M2311" s="3" t="n">
        <v>-0.7819935831617801</v>
      </c>
      <c r="N2311" s="3" t="n">
        <v>-0.7819935831617801</v>
      </c>
      <c r="O2311" s="3" t="n">
        <v>-0.7819935831617801</v>
      </c>
      <c r="P2311" s="3" t="n">
        <v>-0.7819935831617801</v>
      </c>
      <c r="Q2311" s="3" t="n">
        <v>-0.7819935831617801</v>
      </c>
      <c r="R2311" s="3" t="n">
        <v>-0.7700191178220384</v>
      </c>
      <c r="S2311" s="3" t="n">
        <v>-0.9684819490351575</v>
      </c>
      <c r="T2311" s="3" t="n">
        <v>-0.70814722142321</v>
      </c>
      <c r="U2311" s="3" t="n">
        <v>-0.8477488045996808</v>
      </c>
      <c r="V2311" s="3" t="n">
        <v>-0.6756977857427394</v>
      </c>
      <c r="W2311" s="3" t="n">
        <v>-0.4928101326556916</v>
      </c>
      <c r="X2311" s="3" t="n">
        <v>-0.9658704755154062</v>
      </c>
      <c r="Y2311" s="3" t="n">
        <v>-0.7819935831617801</v>
      </c>
      <c r="Z2311" s="3" t="n">
        <v>-0.9684819490351575</v>
      </c>
      <c r="AA2311" s="3" t="n">
        <v>-0.9684819490351575</v>
      </c>
      <c r="AB2311" s="3" t="n">
        <v>-0.9658704755154062</v>
      </c>
      <c r="AC2311" s="3" t="n">
        <v>-1.04035159628442</v>
      </c>
      <c r="AD2311" s="3" t="n">
        <v>-0.8477488045996808</v>
      </c>
      <c r="AE2311" s="3" t="n">
        <v>-0.8477488045996808</v>
      </c>
    </row>
    <row r="2312">
      <c r="A2312" s="3" t="inlineStr">
        <is>
          <t>VIR.distn.dec.ove.mean.10</t>
        </is>
      </c>
      <c r="B2312" s="3" t="inlineStr">
        <is>
          <t>VIR</t>
        </is>
      </c>
      <c r="C2312" s="3" t="n">
        <v>2005</v>
      </c>
      <c r="D2312" s="3" t="inlineStr">
        <is>
          <t>Overall</t>
        </is>
      </c>
      <c r="E2312" s="3" t="inlineStr">
        <is>
          <t>Deciles</t>
        </is>
      </c>
      <c r="F2312" s="3" t="inlineStr">
        <is>
          <t>mean</t>
        </is>
      </c>
      <c r="G2312" s="3" t="n">
        <v>10</v>
      </c>
      <c r="H2312" s="3" t="n">
        <v>-0.7819935831617801</v>
      </c>
      <c r="I2312" s="3" t="n">
        <v>-0.7819935831617801</v>
      </c>
      <c r="J2312" s="3" t="n">
        <v>-0.8477488045996808</v>
      </c>
      <c r="K2312" s="3" t="n">
        <v>-0.8477488045996808</v>
      </c>
      <c r="L2312" s="3" t="n">
        <v>-0.7819935831617801</v>
      </c>
      <c r="M2312" s="3" t="n">
        <v>-0.7819935831617801</v>
      </c>
      <c r="N2312" s="3" t="n">
        <v>-0.7819935831617801</v>
      </c>
      <c r="O2312" s="3" t="n">
        <v>-0.7819935831617801</v>
      </c>
      <c r="P2312" s="3" t="n">
        <v>-0.7819935831617801</v>
      </c>
      <c r="Q2312" s="3" t="n">
        <v>-0.7819935831617801</v>
      </c>
      <c r="R2312" s="3" t="n">
        <v>-0.7700191178220384</v>
      </c>
      <c r="S2312" s="3" t="n">
        <v>-0.9684819490351575</v>
      </c>
      <c r="T2312" s="3" t="n">
        <v>-0.70814722142321</v>
      </c>
      <c r="U2312" s="3" t="n">
        <v>-0.8477488045996808</v>
      </c>
      <c r="V2312" s="3" t="n">
        <v>-0.6756977857427394</v>
      </c>
      <c r="W2312" s="3" t="n">
        <v>-0.4928101326556916</v>
      </c>
      <c r="X2312" s="3" t="n">
        <v>-0.9658704755154062</v>
      </c>
      <c r="Y2312" s="3" t="n">
        <v>-0.7819935831617801</v>
      </c>
      <c r="Z2312" s="3" t="n">
        <v>-0.9684819490351575</v>
      </c>
      <c r="AA2312" s="3" t="n">
        <v>-0.9684819490351575</v>
      </c>
      <c r="AB2312" s="3" t="n">
        <v>-0.9658704755154062</v>
      </c>
      <c r="AC2312" s="3" t="n">
        <v>-1.04035159628442</v>
      </c>
      <c r="AD2312" s="3" t="n">
        <v>-0.8477488045996808</v>
      </c>
      <c r="AE2312" s="3" t="n">
        <v>-0.8477488045996808</v>
      </c>
    </row>
    <row r="2313">
      <c r="A2313" s="3" t="inlineStr">
        <is>
          <t>VIR.distn.bkt.ove.mean.9999</t>
        </is>
      </c>
      <c r="B2313" s="3" t="inlineStr">
        <is>
          <t>VIR</t>
        </is>
      </c>
      <c r="C2313" s="3" t="n">
        <v>2005</v>
      </c>
      <c r="D2313" s="3" t="inlineStr">
        <is>
          <t>Overall</t>
        </is>
      </c>
      <c r="E2313" s="3" t="inlineStr">
        <is>
          <t>Basket</t>
        </is>
      </c>
      <c r="F2313" s="3" t="inlineStr">
        <is>
          <t>mean</t>
        </is>
      </c>
      <c r="G2313" s="3" t="n">
        <v>9999</v>
      </c>
      <c r="H2313" s="3" t="n">
        <v>-0.7836013613863194</v>
      </c>
      <c r="I2313" s="3" t="n">
        <v>-0.7836013613863194</v>
      </c>
      <c r="J2313" s="3" t="n">
        <v>-0.8590307616172953</v>
      </c>
      <c r="K2313" s="3" t="n">
        <v>-0.8590307616172953</v>
      </c>
      <c r="L2313" s="3" t="n">
        <v>-0.7836013613863194</v>
      </c>
      <c r="M2313" s="3" t="n">
        <v>-0.7836013613863194</v>
      </c>
      <c r="N2313" s="3" t="n">
        <v>-0.7836013613863194</v>
      </c>
      <c r="O2313" s="3" t="n">
        <v>-0.7836013613863194</v>
      </c>
      <c r="P2313" s="3" t="n">
        <v>-0.7836013613863194</v>
      </c>
      <c r="Q2313" s="3" t="n">
        <v>-0.7836013613863194</v>
      </c>
      <c r="R2313" s="3" t="n">
        <v>-0.7708828220976159</v>
      </c>
      <c r="S2313" s="3" t="n">
        <v>-1.097007578991829</v>
      </c>
      <c r="T2313" s="3" t="n">
        <v>-0.7085544974245923</v>
      </c>
      <c r="U2313" s="3" t="n">
        <v>-0.8590307616172953</v>
      </c>
      <c r="V2313" s="3" t="n">
        <v>-0.6772896647453308</v>
      </c>
      <c r="W2313" s="3" t="n">
        <v>-0.5109122699879586</v>
      </c>
      <c r="X2313" s="3" t="n">
        <v>-1.079493910708326</v>
      </c>
      <c r="Y2313" s="3" t="n">
        <v>-0.7836013613863194</v>
      </c>
      <c r="Z2313" s="3" t="n">
        <v>-1.097007578991829</v>
      </c>
      <c r="AA2313" s="3" t="n">
        <v>-1.097007578991829</v>
      </c>
      <c r="AB2313" s="3" t="n">
        <v>-1.079493910708326</v>
      </c>
      <c r="AC2313" s="3" t="n">
        <v>-1.359592239907447</v>
      </c>
      <c r="AD2313" s="3" t="n">
        <v>-0.8590307616172953</v>
      </c>
      <c r="AE2313" s="3" t="n">
        <v>-0.8590307616172953</v>
      </c>
    </row>
    <row r="2314">
      <c r="A2314" s="3" t="inlineStr">
        <is>
          <t>VNM.distn.dec.ove.mean.1</t>
        </is>
      </c>
      <c r="B2314" s="3" t="inlineStr">
        <is>
          <t>VNM</t>
        </is>
      </c>
      <c r="C2314" s="3" t="n">
        <v>2005</v>
      </c>
      <c r="D2314" s="3" t="inlineStr">
        <is>
          <t>Overall</t>
        </is>
      </c>
      <c r="E2314" s="3" t="inlineStr">
        <is>
          <t>Deciles</t>
        </is>
      </c>
      <c r="F2314" s="3" t="inlineStr">
        <is>
          <t>mean</t>
        </is>
      </c>
      <c r="G2314" s="3" t="n">
        <v>1</v>
      </c>
      <c r="H2314" s="3" t="n">
        <v>-0.7932808399200439</v>
      </c>
      <c r="I2314" s="3" t="n">
        <v>-0.7932808399200439</v>
      </c>
      <c r="J2314" s="3" t="n">
        <v>-0.9278338551521301</v>
      </c>
      <c r="K2314" s="3" t="n">
        <v>-0.9278338551521301</v>
      </c>
      <c r="L2314" s="3" t="n">
        <v>-0.7932808399200439</v>
      </c>
      <c r="M2314" s="3" t="n">
        <v>-0.7932808399200439</v>
      </c>
      <c r="N2314" s="3" t="n">
        <v>-0.7932808399200439</v>
      </c>
      <c r="O2314" s="3" t="n">
        <v>-0.7932808399200439</v>
      </c>
      <c r="P2314" s="3" t="n">
        <v>-0.7932808399200439</v>
      </c>
      <c r="Q2314" s="3" t="n">
        <v>-0.7932808399200439</v>
      </c>
      <c r="R2314" s="3" t="n">
        <v>-0.7764842510223389</v>
      </c>
      <c r="S2314" s="3" t="n">
        <v>-1.738336086273193</v>
      </c>
      <c r="T2314" s="3" t="n">
        <v>-0.7114566564559937</v>
      </c>
      <c r="U2314" s="3" t="n">
        <v>-0.9278338551521301</v>
      </c>
      <c r="V2314" s="3" t="n">
        <v>-0.6890063881874084</v>
      </c>
      <c r="W2314" s="3" t="n">
        <v>-0.6808410882949829</v>
      </c>
      <c r="X2314" s="3" t="n">
        <v>-1.664930701255798</v>
      </c>
      <c r="Y2314" s="3" t="n">
        <v>-0.7932808399200439</v>
      </c>
      <c r="Z2314" s="3" t="n">
        <v>-1.738336086273193</v>
      </c>
      <c r="AA2314" s="3" t="n">
        <v>-1.738336086273193</v>
      </c>
      <c r="AB2314" s="3" t="n">
        <v>-1.664930701255798</v>
      </c>
      <c r="AC2314" s="3" t="n">
        <v>-3.211694955825806</v>
      </c>
      <c r="AD2314" s="3" t="n">
        <v>-0.9278338551521301</v>
      </c>
      <c r="AE2314" s="3" t="n">
        <v>-0.9278338551521301</v>
      </c>
    </row>
    <row r="2315">
      <c r="A2315" s="3" t="inlineStr">
        <is>
          <t>VNM.distn.dec.ove.mean.2</t>
        </is>
      </c>
      <c r="B2315" s="3" t="inlineStr">
        <is>
          <t>VNM</t>
        </is>
      </c>
      <c r="C2315" s="3" t="n">
        <v>2005</v>
      </c>
      <c r="D2315" s="3" t="inlineStr">
        <is>
          <t>Overall</t>
        </is>
      </c>
      <c r="E2315" s="3" t="inlineStr">
        <is>
          <t>Deciles</t>
        </is>
      </c>
      <c r="F2315" s="3" t="inlineStr">
        <is>
          <t>mean</t>
        </is>
      </c>
      <c r="G2315" s="3" t="n">
        <v>2</v>
      </c>
      <c r="H2315" s="3" t="n">
        <v>-0.7932808399200439</v>
      </c>
      <c r="I2315" s="3" t="n">
        <v>-0.7932808399200439</v>
      </c>
      <c r="J2315" s="3" t="n">
        <v>-0.9278338551521301</v>
      </c>
      <c r="K2315" s="3" t="n">
        <v>-0.9278338551521301</v>
      </c>
      <c r="L2315" s="3" t="n">
        <v>-0.7932808399200439</v>
      </c>
      <c r="M2315" s="3" t="n">
        <v>-0.7932808399200439</v>
      </c>
      <c r="N2315" s="3" t="n">
        <v>-0.7932808399200439</v>
      </c>
      <c r="O2315" s="3" t="n">
        <v>-0.7932808399200439</v>
      </c>
      <c r="P2315" s="3" t="n">
        <v>-0.7932808399200439</v>
      </c>
      <c r="Q2315" s="3" t="n">
        <v>-0.7932808399200439</v>
      </c>
      <c r="R2315" s="3" t="n">
        <v>-0.7764842510223389</v>
      </c>
      <c r="S2315" s="3" t="n">
        <v>-1.738336086273193</v>
      </c>
      <c r="T2315" s="3" t="n">
        <v>-0.7114566564559937</v>
      </c>
      <c r="U2315" s="3" t="n">
        <v>-0.9278338551521301</v>
      </c>
      <c r="V2315" s="3" t="n">
        <v>-0.6890063881874084</v>
      </c>
      <c r="W2315" s="3" t="n">
        <v>-0.6808410882949829</v>
      </c>
      <c r="X2315" s="3" t="n">
        <v>-1.664930701255798</v>
      </c>
      <c r="Y2315" s="3" t="n">
        <v>-0.7932808399200439</v>
      </c>
      <c r="Z2315" s="3" t="n">
        <v>-1.738336086273193</v>
      </c>
      <c r="AA2315" s="3" t="n">
        <v>-1.738336086273193</v>
      </c>
      <c r="AB2315" s="3" t="n">
        <v>-1.664930701255798</v>
      </c>
      <c r="AC2315" s="3" t="n">
        <v>-3.211694955825806</v>
      </c>
      <c r="AD2315" s="3" t="n">
        <v>-0.9278338551521301</v>
      </c>
      <c r="AE2315" s="3" t="n">
        <v>-0.9278338551521301</v>
      </c>
    </row>
    <row r="2316">
      <c r="A2316" s="3" t="inlineStr">
        <is>
          <t>VNM.distn.dec.ove.mean.3</t>
        </is>
      </c>
      <c r="B2316" s="3" t="inlineStr">
        <is>
          <t>VNM</t>
        </is>
      </c>
      <c r="C2316" s="3" t="n">
        <v>2005</v>
      </c>
      <c r="D2316" s="3" t="inlineStr">
        <is>
          <t>Overall</t>
        </is>
      </c>
      <c r="E2316" s="3" t="inlineStr">
        <is>
          <t>Deciles</t>
        </is>
      </c>
      <c r="F2316" s="3" t="inlineStr">
        <is>
          <t>mean</t>
        </is>
      </c>
      <c r="G2316" s="3" t="n">
        <v>3</v>
      </c>
      <c r="H2316" s="3" t="n">
        <v>-0.7932808399200439</v>
      </c>
      <c r="I2316" s="3" t="n">
        <v>-0.7932808399200439</v>
      </c>
      <c r="J2316" s="3" t="n">
        <v>-0.9278338551521301</v>
      </c>
      <c r="K2316" s="3" t="n">
        <v>-0.9278338551521301</v>
      </c>
      <c r="L2316" s="3" t="n">
        <v>-0.7932808399200439</v>
      </c>
      <c r="M2316" s="3" t="n">
        <v>-0.7932808399200439</v>
      </c>
      <c r="N2316" s="3" t="n">
        <v>-0.7932808399200439</v>
      </c>
      <c r="O2316" s="3" t="n">
        <v>-0.7932808399200439</v>
      </c>
      <c r="P2316" s="3" t="n">
        <v>-0.7932808399200439</v>
      </c>
      <c r="Q2316" s="3" t="n">
        <v>-0.7932808399200439</v>
      </c>
      <c r="R2316" s="3" t="n">
        <v>-0.7764842510223389</v>
      </c>
      <c r="S2316" s="3" t="n">
        <v>-1.738336086273193</v>
      </c>
      <c r="T2316" s="3" t="n">
        <v>-0.7114566564559937</v>
      </c>
      <c r="U2316" s="3" t="n">
        <v>-0.9278338551521301</v>
      </c>
      <c r="V2316" s="3" t="n">
        <v>-0.6890063881874084</v>
      </c>
      <c r="W2316" s="3" t="n">
        <v>-0.6808410882949829</v>
      </c>
      <c r="X2316" s="3" t="n">
        <v>-1.664930701255798</v>
      </c>
      <c r="Y2316" s="3" t="n">
        <v>-0.7932808399200439</v>
      </c>
      <c r="Z2316" s="3" t="n">
        <v>-1.738336086273193</v>
      </c>
      <c r="AA2316" s="3" t="n">
        <v>-1.738336086273193</v>
      </c>
      <c r="AB2316" s="3" t="n">
        <v>-1.664930701255798</v>
      </c>
      <c r="AC2316" s="3" t="n">
        <v>-3.211694955825806</v>
      </c>
      <c r="AD2316" s="3" t="n">
        <v>-0.9278338551521301</v>
      </c>
      <c r="AE2316" s="3" t="n">
        <v>-0.9278338551521301</v>
      </c>
    </row>
    <row r="2317">
      <c r="A2317" s="3" t="inlineStr">
        <is>
          <t>VNM.distn.dec.ove.mean.4</t>
        </is>
      </c>
      <c r="B2317" s="3" t="inlineStr">
        <is>
          <t>VNM</t>
        </is>
      </c>
      <c r="C2317" s="3" t="n">
        <v>2005</v>
      </c>
      <c r="D2317" s="3" t="inlineStr">
        <is>
          <t>Overall</t>
        </is>
      </c>
      <c r="E2317" s="3" t="inlineStr">
        <is>
          <t>Deciles</t>
        </is>
      </c>
      <c r="F2317" s="3" t="inlineStr">
        <is>
          <t>mean</t>
        </is>
      </c>
      <c r="G2317" s="3" t="n">
        <v>4</v>
      </c>
      <c r="H2317" s="3" t="n">
        <v>-0.7870000004768372</v>
      </c>
      <c r="I2317" s="3" t="n">
        <v>-0.7870000004768372</v>
      </c>
      <c r="J2317" s="3" t="n">
        <v>-0.8830000162124634</v>
      </c>
      <c r="K2317" s="3" t="n">
        <v>-0.8830000162124634</v>
      </c>
      <c r="L2317" s="3" t="n">
        <v>-0.7870000004768372</v>
      </c>
      <c r="M2317" s="3" t="n">
        <v>-0.7870000004768372</v>
      </c>
      <c r="N2317" s="3" t="n">
        <v>-0.7870000004768372</v>
      </c>
      <c r="O2317" s="3" t="n">
        <v>-0.7870000004768372</v>
      </c>
      <c r="P2317" s="3" t="n">
        <v>-0.7870000004768372</v>
      </c>
      <c r="Q2317" s="3" t="n">
        <v>-0.7870000004768372</v>
      </c>
      <c r="R2317" s="3" t="n">
        <v>-0.7730000019073486</v>
      </c>
      <c r="S2317" s="3" t="n">
        <v>-1.184000015258789</v>
      </c>
      <c r="T2317" s="3" t="n">
        <v>-0.7099999785423279</v>
      </c>
      <c r="U2317" s="3" t="n">
        <v>-0.8830000162124634</v>
      </c>
      <c r="V2317" s="3" t="n">
        <v>-0.6819999814033508</v>
      </c>
      <c r="W2317" s="3" t="n">
        <v>-0.5730000138282776</v>
      </c>
      <c r="X2317" s="3" t="n">
        <v>-1.174999952316284</v>
      </c>
      <c r="Y2317" s="3" t="n">
        <v>-0.7870000004768372</v>
      </c>
      <c r="Z2317" s="3" t="n">
        <v>-1.184000015258789</v>
      </c>
      <c r="AA2317" s="3" t="n">
        <v>-1.184000015258789</v>
      </c>
      <c r="AB2317" s="3" t="n">
        <v>-1.174999952316284</v>
      </c>
      <c r="AC2317" s="3" t="n">
        <v>-1.550999999046326</v>
      </c>
      <c r="AD2317" s="3" t="n">
        <v>-0.8830000162124634</v>
      </c>
      <c r="AE2317" s="3" t="n">
        <v>-0.8830000162124634</v>
      </c>
    </row>
    <row r="2318">
      <c r="A2318" s="3" t="inlineStr">
        <is>
          <t>VNM.distn.dec.ove.mean.5</t>
        </is>
      </c>
      <c r="B2318" s="3" t="inlineStr">
        <is>
          <t>VNM</t>
        </is>
      </c>
      <c r="C2318" s="3" t="n">
        <v>2005</v>
      </c>
      <c r="D2318" s="3" t="inlineStr">
        <is>
          <t>Overall</t>
        </is>
      </c>
      <c r="E2318" s="3" t="inlineStr">
        <is>
          <t>Deciles</t>
        </is>
      </c>
      <c r="F2318" s="3" t="inlineStr">
        <is>
          <t>mean</t>
        </is>
      </c>
      <c r="G2318" s="3" t="n">
        <v>5</v>
      </c>
      <c r="H2318" s="3" t="n">
        <v>-0.7870000004768372</v>
      </c>
      <c r="I2318" s="3" t="n">
        <v>-0.7870000004768372</v>
      </c>
      <c r="J2318" s="3" t="n">
        <v>-0.8830000162124634</v>
      </c>
      <c r="K2318" s="3" t="n">
        <v>-0.8830000162124634</v>
      </c>
      <c r="L2318" s="3" t="n">
        <v>-0.7870000004768372</v>
      </c>
      <c r="M2318" s="3" t="n">
        <v>-0.7870000004768372</v>
      </c>
      <c r="N2318" s="3" t="n">
        <v>-0.7870000004768372</v>
      </c>
      <c r="O2318" s="3" t="n">
        <v>-0.7870000004768372</v>
      </c>
      <c r="P2318" s="3" t="n">
        <v>-0.7870000004768372</v>
      </c>
      <c r="Q2318" s="3" t="n">
        <v>-0.7870000004768372</v>
      </c>
      <c r="R2318" s="3" t="n">
        <v>-0.7730000019073486</v>
      </c>
      <c r="S2318" s="3" t="n">
        <v>-1.184000015258789</v>
      </c>
      <c r="T2318" s="3" t="n">
        <v>-0.7099999785423279</v>
      </c>
      <c r="U2318" s="3" t="n">
        <v>-0.8830000162124634</v>
      </c>
      <c r="V2318" s="3" t="n">
        <v>-0.6819999814033508</v>
      </c>
      <c r="W2318" s="3" t="n">
        <v>-0.5730000138282776</v>
      </c>
      <c r="X2318" s="3" t="n">
        <v>-1.174999952316284</v>
      </c>
      <c r="Y2318" s="3" t="n">
        <v>-0.7870000004768372</v>
      </c>
      <c r="Z2318" s="3" t="n">
        <v>-1.184000015258789</v>
      </c>
      <c r="AA2318" s="3" t="n">
        <v>-1.184000015258789</v>
      </c>
      <c r="AB2318" s="3" t="n">
        <v>-1.174999952316284</v>
      </c>
      <c r="AC2318" s="3" t="n">
        <v>-1.550999999046326</v>
      </c>
      <c r="AD2318" s="3" t="n">
        <v>-0.8830000162124634</v>
      </c>
      <c r="AE2318" s="3" t="n">
        <v>-0.8830000162124634</v>
      </c>
    </row>
    <row r="2319">
      <c r="A2319" s="3" t="inlineStr">
        <is>
          <t>VNM.distn.dec.ove.mean.6</t>
        </is>
      </c>
      <c r="B2319" s="3" t="inlineStr">
        <is>
          <t>VNM</t>
        </is>
      </c>
      <c r="C2319" s="3" t="n">
        <v>2005</v>
      </c>
      <c r="D2319" s="3" t="inlineStr">
        <is>
          <t>Overall</t>
        </is>
      </c>
      <c r="E2319" s="3" t="inlineStr">
        <is>
          <t>Deciles</t>
        </is>
      </c>
      <c r="F2319" s="3" t="inlineStr">
        <is>
          <t>mean</t>
        </is>
      </c>
      <c r="G2319" s="3" t="n">
        <v>6</v>
      </c>
      <c r="H2319" s="3" t="n">
        <v>-0.7870000004768372</v>
      </c>
      <c r="I2319" s="3" t="n">
        <v>-0.7870000004768372</v>
      </c>
      <c r="J2319" s="3" t="n">
        <v>-0.8830000162124634</v>
      </c>
      <c r="K2319" s="3" t="n">
        <v>-0.8830000162124634</v>
      </c>
      <c r="L2319" s="3" t="n">
        <v>-0.7870000004768372</v>
      </c>
      <c r="M2319" s="3" t="n">
        <v>-0.7870000004768372</v>
      </c>
      <c r="N2319" s="3" t="n">
        <v>-0.7870000004768372</v>
      </c>
      <c r="O2319" s="3" t="n">
        <v>-0.7870000004768372</v>
      </c>
      <c r="P2319" s="3" t="n">
        <v>-0.7870000004768372</v>
      </c>
      <c r="Q2319" s="3" t="n">
        <v>-0.7870000004768372</v>
      </c>
      <c r="R2319" s="3" t="n">
        <v>-0.7730000019073486</v>
      </c>
      <c r="S2319" s="3" t="n">
        <v>-1.184000015258789</v>
      </c>
      <c r="T2319" s="3" t="n">
        <v>-0.7099999785423279</v>
      </c>
      <c r="U2319" s="3" t="n">
        <v>-0.8830000162124634</v>
      </c>
      <c r="V2319" s="3" t="n">
        <v>-0.6819999814033508</v>
      </c>
      <c r="W2319" s="3" t="n">
        <v>-0.5730000138282776</v>
      </c>
      <c r="X2319" s="3" t="n">
        <v>-1.174999952316284</v>
      </c>
      <c r="Y2319" s="3" t="n">
        <v>-0.7870000004768372</v>
      </c>
      <c r="Z2319" s="3" t="n">
        <v>-1.184000015258789</v>
      </c>
      <c r="AA2319" s="3" t="n">
        <v>-1.184000015258789</v>
      </c>
      <c r="AB2319" s="3" t="n">
        <v>-1.174999952316284</v>
      </c>
      <c r="AC2319" s="3" t="n">
        <v>-1.550999999046326</v>
      </c>
      <c r="AD2319" s="3" t="n">
        <v>-0.8830000162124634</v>
      </c>
      <c r="AE2319" s="3" t="n">
        <v>-0.8830000162124634</v>
      </c>
    </row>
    <row r="2320">
      <c r="A2320" s="3" t="inlineStr">
        <is>
          <t>VNM.distn.dec.ove.mean.7</t>
        </is>
      </c>
      <c r="B2320" s="3" t="inlineStr">
        <is>
          <t>VNM</t>
        </is>
      </c>
      <c r="C2320" s="3" t="n">
        <v>2005</v>
      </c>
      <c r="D2320" s="3" t="inlineStr">
        <is>
          <t>Overall</t>
        </is>
      </c>
      <c r="E2320" s="3" t="inlineStr">
        <is>
          <t>Deciles</t>
        </is>
      </c>
      <c r="F2320" s="3" t="inlineStr">
        <is>
          <t>mean</t>
        </is>
      </c>
      <c r="G2320" s="3" t="n">
        <v>7</v>
      </c>
      <c r="H2320" s="3" t="n">
        <v>-0.7870000004768372</v>
      </c>
      <c r="I2320" s="3" t="n">
        <v>-0.7870000004768372</v>
      </c>
      <c r="J2320" s="3" t="n">
        <v>-0.8830000162124634</v>
      </c>
      <c r="K2320" s="3" t="n">
        <v>-0.8830000162124634</v>
      </c>
      <c r="L2320" s="3" t="n">
        <v>-0.7870000004768372</v>
      </c>
      <c r="M2320" s="3" t="n">
        <v>-0.7870000004768372</v>
      </c>
      <c r="N2320" s="3" t="n">
        <v>-0.7870000004768372</v>
      </c>
      <c r="O2320" s="3" t="n">
        <v>-0.7870000004768372</v>
      </c>
      <c r="P2320" s="3" t="n">
        <v>-0.7870000004768372</v>
      </c>
      <c r="Q2320" s="3" t="n">
        <v>-0.7870000004768372</v>
      </c>
      <c r="R2320" s="3" t="n">
        <v>-0.7730000019073486</v>
      </c>
      <c r="S2320" s="3" t="n">
        <v>-1.184000015258789</v>
      </c>
      <c r="T2320" s="3" t="n">
        <v>-0.7099999785423279</v>
      </c>
      <c r="U2320" s="3" t="n">
        <v>-0.8830000162124634</v>
      </c>
      <c r="V2320" s="3" t="n">
        <v>-0.6819999814033508</v>
      </c>
      <c r="W2320" s="3" t="n">
        <v>-0.5730000138282776</v>
      </c>
      <c r="X2320" s="3" t="n">
        <v>-1.174999952316284</v>
      </c>
      <c r="Y2320" s="3" t="n">
        <v>-0.7870000004768372</v>
      </c>
      <c r="Z2320" s="3" t="n">
        <v>-1.184000015258789</v>
      </c>
      <c r="AA2320" s="3" t="n">
        <v>-1.184000015258789</v>
      </c>
      <c r="AB2320" s="3" t="n">
        <v>-1.174999952316284</v>
      </c>
      <c r="AC2320" s="3" t="n">
        <v>-1.550999999046326</v>
      </c>
      <c r="AD2320" s="3" t="n">
        <v>-0.8830000162124634</v>
      </c>
      <c r="AE2320" s="3" t="n">
        <v>-0.8830000162124634</v>
      </c>
    </row>
    <row r="2321">
      <c r="A2321" s="3" t="inlineStr">
        <is>
          <t>VNM.distn.dec.ove.mean.8</t>
        </is>
      </c>
      <c r="B2321" s="3" t="inlineStr">
        <is>
          <t>VNM</t>
        </is>
      </c>
      <c r="C2321" s="3" t="n">
        <v>2005</v>
      </c>
      <c r="D2321" s="3" t="inlineStr">
        <is>
          <t>Overall</t>
        </is>
      </c>
      <c r="E2321" s="3" t="inlineStr">
        <is>
          <t>Deciles</t>
        </is>
      </c>
      <c r="F2321" s="3" t="inlineStr">
        <is>
          <t>mean</t>
        </is>
      </c>
      <c r="G2321" s="3" t="n">
        <v>8</v>
      </c>
      <c r="H2321" s="3" t="n">
        <v>-0.7873791456222534</v>
      </c>
      <c r="I2321" s="3" t="n">
        <v>-0.7873791456222534</v>
      </c>
      <c r="J2321" s="3" t="n">
        <v>-0.8853819966316223</v>
      </c>
      <c r="K2321" s="3" t="n">
        <v>-0.8853819966316223</v>
      </c>
      <c r="L2321" s="3" t="n">
        <v>-0.7873791456222534</v>
      </c>
      <c r="M2321" s="3" t="n">
        <v>-0.7873791456222534</v>
      </c>
      <c r="N2321" s="3" t="n">
        <v>-0.7873791456222534</v>
      </c>
      <c r="O2321" s="3" t="n">
        <v>-0.7873791456222534</v>
      </c>
      <c r="P2321" s="3" t="n">
        <v>-0.7873791456222534</v>
      </c>
      <c r="Q2321" s="3" t="n">
        <v>-0.7873791456222534</v>
      </c>
      <c r="R2321" s="3" t="n">
        <v>-0.7732542157173157</v>
      </c>
      <c r="S2321" s="3" t="n">
        <v>-1.195017218589783</v>
      </c>
      <c r="T2321" s="3" t="n">
        <v>-0.7100409269332886</v>
      </c>
      <c r="U2321" s="3" t="n">
        <v>-0.8853819966316223</v>
      </c>
      <c r="V2321" s="3" t="n">
        <v>-0.6827050447463989</v>
      </c>
      <c r="W2321" s="3" t="n">
        <v>-0.5883442759513855</v>
      </c>
      <c r="X2321" s="3" t="n">
        <v>-1.185706615447998</v>
      </c>
      <c r="Y2321" s="3" t="n">
        <v>-0.7873791456222534</v>
      </c>
      <c r="Z2321" s="3" t="n">
        <v>-1.195017218589783</v>
      </c>
      <c r="AA2321" s="3" t="n">
        <v>-1.195017218589783</v>
      </c>
      <c r="AB2321" s="3" t="n">
        <v>-1.185706615447998</v>
      </c>
      <c r="AC2321" s="3" t="n">
        <v>-1.573119282722473</v>
      </c>
      <c r="AD2321" s="3" t="n">
        <v>-0.8853819966316223</v>
      </c>
      <c r="AE2321" s="3" t="n">
        <v>-0.8853819966316223</v>
      </c>
    </row>
    <row r="2322">
      <c r="A2322" s="3" t="inlineStr">
        <is>
          <t>VNM.distn.dec.ove.mean.9</t>
        </is>
      </c>
      <c r="B2322" s="3" t="inlineStr">
        <is>
          <t>VNM</t>
        </is>
      </c>
      <c r="C2322" s="3" t="n">
        <v>2005</v>
      </c>
      <c r="D2322" s="3" t="inlineStr">
        <is>
          <t>Overall</t>
        </is>
      </c>
      <c r="E2322" s="3" t="inlineStr">
        <is>
          <t>Deciles</t>
        </is>
      </c>
      <c r="F2322" s="3" t="inlineStr">
        <is>
          <t>mean</t>
        </is>
      </c>
      <c r="G2322" s="3" t="n">
        <v>9</v>
      </c>
      <c r="H2322" s="3" t="n">
        <v>-0.7873791456222534</v>
      </c>
      <c r="I2322" s="3" t="n">
        <v>-0.7873791456222534</v>
      </c>
      <c r="J2322" s="3" t="n">
        <v>-0.8853819966316223</v>
      </c>
      <c r="K2322" s="3" t="n">
        <v>-0.8853819966316223</v>
      </c>
      <c r="L2322" s="3" t="n">
        <v>-0.7873791456222534</v>
      </c>
      <c r="M2322" s="3" t="n">
        <v>-0.7873791456222534</v>
      </c>
      <c r="N2322" s="3" t="n">
        <v>-0.7873791456222534</v>
      </c>
      <c r="O2322" s="3" t="n">
        <v>-0.7873791456222534</v>
      </c>
      <c r="P2322" s="3" t="n">
        <v>-0.7873791456222534</v>
      </c>
      <c r="Q2322" s="3" t="n">
        <v>-0.7873791456222534</v>
      </c>
      <c r="R2322" s="3" t="n">
        <v>-0.7732542157173157</v>
      </c>
      <c r="S2322" s="3" t="n">
        <v>-1.195017218589783</v>
      </c>
      <c r="T2322" s="3" t="n">
        <v>-0.7100409269332886</v>
      </c>
      <c r="U2322" s="3" t="n">
        <v>-0.8853819966316223</v>
      </c>
      <c r="V2322" s="3" t="n">
        <v>-0.6827050447463989</v>
      </c>
      <c r="W2322" s="3" t="n">
        <v>-0.5883442759513855</v>
      </c>
      <c r="X2322" s="3" t="n">
        <v>-1.185706615447998</v>
      </c>
      <c r="Y2322" s="3" t="n">
        <v>-0.7873791456222534</v>
      </c>
      <c r="Z2322" s="3" t="n">
        <v>-1.195017218589783</v>
      </c>
      <c r="AA2322" s="3" t="n">
        <v>-1.195017218589783</v>
      </c>
      <c r="AB2322" s="3" t="n">
        <v>-1.185706615447998</v>
      </c>
      <c r="AC2322" s="3" t="n">
        <v>-1.573119282722473</v>
      </c>
      <c r="AD2322" s="3" t="n">
        <v>-0.8853819966316223</v>
      </c>
      <c r="AE2322" s="3" t="n">
        <v>-0.8853819966316223</v>
      </c>
    </row>
    <row r="2323">
      <c r="A2323" s="3" t="inlineStr">
        <is>
          <t>VNM.distn.dec.ove.mean.10</t>
        </is>
      </c>
      <c r="B2323" s="3" t="inlineStr">
        <is>
          <t>VNM</t>
        </is>
      </c>
      <c r="C2323" s="3" t="n">
        <v>2005</v>
      </c>
      <c r="D2323" s="3" t="inlineStr">
        <is>
          <t>Overall</t>
        </is>
      </c>
      <c r="E2323" s="3" t="inlineStr">
        <is>
          <t>Deciles</t>
        </is>
      </c>
      <c r="F2323" s="3" t="inlineStr">
        <is>
          <t>mean</t>
        </is>
      </c>
      <c r="G2323" s="3" t="n">
        <v>10</v>
      </c>
      <c r="H2323" s="3" t="n">
        <v>-0.7873791456222534</v>
      </c>
      <c r="I2323" s="3" t="n">
        <v>-0.7873791456222534</v>
      </c>
      <c r="J2323" s="3" t="n">
        <v>-0.8853819966316223</v>
      </c>
      <c r="K2323" s="3" t="n">
        <v>-0.8853819966316223</v>
      </c>
      <c r="L2323" s="3" t="n">
        <v>-0.7873791456222534</v>
      </c>
      <c r="M2323" s="3" t="n">
        <v>-0.7873791456222534</v>
      </c>
      <c r="N2323" s="3" t="n">
        <v>-0.7873791456222534</v>
      </c>
      <c r="O2323" s="3" t="n">
        <v>-0.7873791456222534</v>
      </c>
      <c r="P2323" s="3" t="n">
        <v>-0.7873791456222534</v>
      </c>
      <c r="Q2323" s="3" t="n">
        <v>-0.7873791456222534</v>
      </c>
      <c r="R2323" s="3" t="n">
        <v>-0.7732542157173157</v>
      </c>
      <c r="S2323" s="3" t="n">
        <v>-1.195017218589783</v>
      </c>
      <c r="T2323" s="3" t="n">
        <v>-0.7100409269332886</v>
      </c>
      <c r="U2323" s="3" t="n">
        <v>-0.8853819966316223</v>
      </c>
      <c r="V2323" s="3" t="n">
        <v>-0.6827050447463989</v>
      </c>
      <c r="W2323" s="3" t="n">
        <v>-0.5883442759513855</v>
      </c>
      <c r="X2323" s="3" t="n">
        <v>-1.185706615447998</v>
      </c>
      <c r="Y2323" s="3" t="n">
        <v>-0.7873791456222534</v>
      </c>
      <c r="Z2323" s="3" t="n">
        <v>-1.195017218589783</v>
      </c>
      <c r="AA2323" s="3" t="n">
        <v>-1.195017218589783</v>
      </c>
      <c r="AB2323" s="3" t="n">
        <v>-1.185706615447998</v>
      </c>
      <c r="AC2323" s="3" t="n">
        <v>-1.573119282722473</v>
      </c>
      <c r="AD2323" s="3" t="n">
        <v>-0.8853819966316223</v>
      </c>
      <c r="AE2323" s="3" t="n">
        <v>-0.8853819966316223</v>
      </c>
    </row>
    <row r="2324">
      <c r="A2324" s="3" t="inlineStr">
        <is>
          <t>VNM.distn.bkt.ove.mean.9999</t>
        </is>
      </c>
      <c r="B2324" s="3" t="inlineStr">
        <is>
          <t>VNM</t>
        </is>
      </c>
      <c r="C2324" s="3" t="n">
        <v>2005</v>
      </c>
      <c r="D2324" s="3" t="inlineStr">
        <is>
          <t>Overall</t>
        </is>
      </c>
      <c r="E2324" s="3" t="inlineStr">
        <is>
          <t>Basket</t>
        </is>
      </c>
      <c r="F2324" s="3" t="inlineStr">
        <is>
          <t>mean</t>
        </is>
      </c>
      <c r="G2324" s="3" t="n">
        <v>9999</v>
      </c>
      <c r="H2324" s="3" t="n">
        <v>-0.788998007774353</v>
      </c>
      <c r="I2324" s="3" t="n">
        <v>-0.788998007774353</v>
      </c>
      <c r="J2324" s="3" t="n">
        <v>-0.8971647620201111</v>
      </c>
      <c r="K2324" s="3" t="n">
        <v>-0.8971647620201111</v>
      </c>
      <c r="L2324" s="3" t="n">
        <v>-0.788998007774353</v>
      </c>
      <c r="M2324" s="3" t="n">
        <v>-0.788998007774353</v>
      </c>
      <c r="N2324" s="3" t="n">
        <v>-0.788998007774353</v>
      </c>
      <c r="O2324" s="3" t="n">
        <v>-0.788998007774353</v>
      </c>
      <c r="P2324" s="3" t="n">
        <v>-0.788998007774353</v>
      </c>
      <c r="Q2324" s="3" t="n">
        <v>-0.788998007774353</v>
      </c>
      <c r="R2324" s="3" t="n">
        <v>-0.7741215229034424</v>
      </c>
      <c r="S2324" s="3" t="n">
        <v>-1.353605985641479</v>
      </c>
      <c r="T2324" s="3" t="n">
        <v>-0.7104492783546448</v>
      </c>
      <c r="U2324" s="3" t="n">
        <v>-0.8971647620201111</v>
      </c>
      <c r="V2324" s="3" t="n">
        <v>-0.6843134164810181</v>
      </c>
      <c r="W2324" s="3" t="n">
        <v>-0.6099556088447571</v>
      </c>
      <c r="X2324" s="3" t="n">
        <v>-1.325191140174866</v>
      </c>
      <c r="Y2324" s="3" t="n">
        <v>-0.788998007774353</v>
      </c>
      <c r="Z2324" s="3" t="n">
        <v>-1.353605985641479</v>
      </c>
      <c r="AA2324" s="3" t="n">
        <v>-1.353605985641479</v>
      </c>
      <c r="AB2324" s="3" t="n">
        <v>-1.325191140174866</v>
      </c>
      <c r="AC2324" s="3" t="n">
        <v>-2.055844306945801</v>
      </c>
      <c r="AD2324" s="3" t="n">
        <v>-0.8971647620201111</v>
      </c>
      <c r="AE2324" s="3" t="n">
        <v>-0.8971647620201111</v>
      </c>
    </row>
    <row r="2325">
      <c r="A2325" s="3" t="inlineStr">
        <is>
          <t>VUT.distn.dec.ove.mean.1</t>
        </is>
      </c>
      <c r="B2325" s="3" t="inlineStr">
        <is>
          <t>VUT</t>
        </is>
      </c>
      <c r="C2325" s="3" t="n">
        <v>2005</v>
      </c>
      <c r="D2325" s="3" t="inlineStr">
        <is>
          <t>Overall</t>
        </is>
      </c>
      <c r="E2325" s="3" t="inlineStr">
        <is>
          <t>Deciles</t>
        </is>
      </c>
      <c r="F2325" s="3" t="inlineStr">
        <is>
          <t>mean</t>
        </is>
      </c>
      <c r="G2325" s="3" t="n">
        <v>1</v>
      </c>
      <c r="H2325" s="3" t="n">
        <v>-0.7936522003851438</v>
      </c>
      <c r="I2325" s="3" t="n">
        <v>-0.7936522003851438</v>
      </c>
      <c r="J2325" s="3" t="n">
        <v>-0.9276126356501329</v>
      </c>
      <c r="K2325" s="3" t="n">
        <v>-0.9276126356501329</v>
      </c>
      <c r="L2325" s="3" t="n">
        <v>-0.7936522003851438</v>
      </c>
      <c r="M2325" s="3" t="n">
        <v>-0.7936522003851438</v>
      </c>
      <c r="N2325" s="3" t="n">
        <v>-0.7936522003851438</v>
      </c>
      <c r="O2325" s="3" t="n">
        <v>-0.7936522003851438</v>
      </c>
      <c r="P2325" s="3" t="n">
        <v>-0.7936522003851438</v>
      </c>
      <c r="Q2325" s="3" t="n">
        <v>-0.7936522003851438</v>
      </c>
      <c r="R2325" s="3" t="n">
        <v>-0.7764578367534437</v>
      </c>
      <c r="S2325" s="3" t="n">
        <v>-1.851309371621985</v>
      </c>
      <c r="T2325" s="3" t="n">
        <v>-0.7110083871766141</v>
      </c>
      <c r="U2325" s="3" t="n">
        <v>-0.9276126356501329</v>
      </c>
      <c r="V2325" s="3" t="n">
        <v>-0.688554396754817</v>
      </c>
      <c r="W2325" s="3" t="n">
        <v>-0.6748062403578508</v>
      </c>
      <c r="X2325" s="3" t="n">
        <v>-1.760538414904946</v>
      </c>
      <c r="Y2325" s="3" t="n">
        <v>-0.7936522003851438</v>
      </c>
      <c r="Z2325" s="3" t="n">
        <v>-1.851309371621985</v>
      </c>
      <c r="AA2325" s="3" t="n">
        <v>-1.851309371621985</v>
      </c>
      <c r="AB2325" s="3" t="n">
        <v>-1.760538414904946</v>
      </c>
      <c r="AC2325" s="3" t="n">
        <v>-4.00243950517554</v>
      </c>
      <c r="AD2325" s="3" t="n">
        <v>-0.9276126356501329</v>
      </c>
      <c r="AE2325" s="3" t="n">
        <v>-0.9276126356501329</v>
      </c>
    </row>
    <row r="2326">
      <c r="A2326" s="3" t="inlineStr">
        <is>
          <t>VUT.distn.dec.ove.mean.2</t>
        </is>
      </c>
      <c r="B2326" s="3" t="inlineStr">
        <is>
          <t>VUT</t>
        </is>
      </c>
      <c r="C2326" s="3" t="n">
        <v>2005</v>
      </c>
      <c r="D2326" s="3" t="inlineStr">
        <is>
          <t>Overall</t>
        </is>
      </c>
      <c r="E2326" s="3" t="inlineStr">
        <is>
          <t>Deciles</t>
        </is>
      </c>
      <c r="F2326" s="3" t="inlineStr">
        <is>
          <t>mean</t>
        </is>
      </c>
      <c r="G2326" s="3" t="n">
        <v>2</v>
      </c>
      <c r="H2326" s="3" t="n">
        <v>-0.7936522003851438</v>
      </c>
      <c r="I2326" s="3" t="n">
        <v>-0.7936522003851438</v>
      </c>
      <c r="J2326" s="3" t="n">
        <v>-0.9276126356501329</v>
      </c>
      <c r="K2326" s="3" t="n">
        <v>-0.9276126356501329</v>
      </c>
      <c r="L2326" s="3" t="n">
        <v>-0.7936522003851438</v>
      </c>
      <c r="M2326" s="3" t="n">
        <v>-0.7936522003851438</v>
      </c>
      <c r="N2326" s="3" t="n">
        <v>-0.7936522003851438</v>
      </c>
      <c r="O2326" s="3" t="n">
        <v>-0.7936522003851438</v>
      </c>
      <c r="P2326" s="3" t="n">
        <v>-0.7936522003851438</v>
      </c>
      <c r="Q2326" s="3" t="n">
        <v>-0.7936522003851438</v>
      </c>
      <c r="R2326" s="3" t="n">
        <v>-0.7764578367534437</v>
      </c>
      <c r="S2326" s="3" t="n">
        <v>-1.851309371621985</v>
      </c>
      <c r="T2326" s="3" t="n">
        <v>-0.7110083871766141</v>
      </c>
      <c r="U2326" s="3" t="n">
        <v>-0.9276126356501329</v>
      </c>
      <c r="V2326" s="3" t="n">
        <v>-0.688554396754817</v>
      </c>
      <c r="W2326" s="3" t="n">
        <v>-0.6748062403578508</v>
      </c>
      <c r="X2326" s="3" t="n">
        <v>-1.760538414904946</v>
      </c>
      <c r="Y2326" s="3" t="n">
        <v>-0.7936522003851438</v>
      </c>
      <c r="Z2326" s="3" t="n">
        <v>-1.851309371621985</v>
      </c>
      <c r="AA2326" s="3" t="n">
        <v>-1.851309371621985</v>
      </c>
      <c r="AB2326" s="3" t="n">
        <v>-1.760538414904946</v>
      </c>
      <c r="AC2326" s="3" t="n">
        <v>-4.00243950517554</v>
      </c>
      <c r="AD2326" s="3" t="n">
        <v>-0.9276126356501329</v>
      </c>
      <c r="AE2326" s="3" t="n">
        <v>-0.9276126356501329</v>
      </c>
    </row>
    <row r="2327">
      <c r="A2327" s="3" t="inlineStr">
        <is>
          <t>VUT.distn.dec.ove.mean.3</t>
        </is>
      </c>
      <c r="B2327" s="3" t="inlineStr">
        <is>
          <t>VUT</t>
        </is>
      </c>
      <c r="C2327" s="3" t="n">
        <v>2005</v>
      </c>
      <c r="D2327" s="3" t="inlineStr">
        <is>
          <t>Overall</t>
        </is>
      </c>
      <c r="E2327" s="3" t="inlineStr">
        <is>
          <t>Deciles</t>
        </is>
      </c>
      <c r="F2327" s="3" t="inlineStr">
        <is>
          <t>mean</t>
        </is>
      </c>
      <c r="G2327" s="3" t="n">
        <v>3</v>
      </c>
      <c r="H2327" s="3" t="n">
        <v>-0.7936522003851438</v>
      </c>
      <c r="I2327" s="3" t="n">
        <v>-0.7936522003851438</v>
      </c>
      <c r="J2327" s="3" t="n">
        <v>-0.9276126356501329</v>
      </c>
      <c r="K2327" s="3" t="n">
        <v>-0.9276126356501329</v>
      </c>
      <c r="L2327" s="3" t="n">
        <v>-0.7936522003851438</v>
      </c>
      <c r="M2327" s="3" t="n">
        <v>-0.7936522003851438</v>
      </c>
      <c r="N2327" s="3" t="n">
        <v>-0.7936522003851438</v>
      </c>
      <c r="O2327" s="3" t="n">
        <v>-0.7936522003851438</v>
      </c>
      <c r="P2327" s="3" t="n">
        <v>-0.7936522003851438</v>
      </c>
      <c r="Q2327" s="3" t="n">
        <v>-0.7936522003851438</v>
      </c>
      <c r="R2327" s="3" t="n">
        <v>-0.7764578367534437</v>
      </c>
      <c r="S2327" s="3" t="n">
        <v>-1.851309371621985</v>
      </c>
      <c r="T2327" s="3" t="n">
        <v>-0.7110083871766141</v>
      </c>
      <c r="U2327" s="3" t="n">
        <v>-0.9276126356501329</v>
      </c>
      <c r="V2327" s="3" t="n">
        <v>-0.688554396754817</v>
      </c>
      <c r="W2327" s="3" t="n">
        <v>-0.6748062403578508</v>
      </c>
      <c r="X2327" s="3" t="n">
        <v>-1.760538414904946</v>
      </c>
      <c r="Y2327" s="3" t="n">
        <v>-0.7936522003851438</v>
      </c>
      <c r="Z2327" s="3" t="n">
        <v>-1.851309371621985</v>
      </c>
      <c r="AA2327" s="3" t="n">
        <v>-1.851309371621985</v>
      </c>
      <c r="AB2327" s="3" t="n">
        <v>-1.760538414904946</v>
      </c>
      <c r="AC2327" s="3" t="n">
        <v>-4.00243950517554</v>
      </c>
      <c r="AD2327" s="3" t="n">
        <v>-0.9276126356501329</v>
      </c>
      <c r="AE2327" s="3" t="n">
        <v>-0.9276126356501329</v>
      </c>
    </row>
    <row r="2328">
      <c r="A2328" s="3" t="inlineStr">
        <is>
          <t>VUT.distn.dec.ove.mean.4</t>
        </is>
      </c>
      <c r="B2328" s="3" t="inlineStr">
        <is>
          <t>VUT</t>
        </is>
      </c>
      <c r="C2328" s="3" t="n">
        <v>2005</v>
      </c>
      <c r="D2328" s="3" t="inlineStr">
        <is>
          <t>Overall</t>
        </is>
      </c>
      <c r="E2328" s="3" t="inlineStr">
        <is>
          <t>Deciles</t>
        </is>
      </c>
      <c r="F2328" s="3" t="inlineStr">
        <is>
          <t>mean</t>
        </is>
      </c>
      <c r="G2328" s="3" t="n">
        <v>4</v>
      </c>
      <c r="H2328" s="3" t="n">
        <v>-0.7873684167861938</v>
      </c>
      <c r="I2328" s="3" t="n">
        <v>-0.7873684167861938</v>
      </c>
      <c r="J2328" s="3" t="n">
        <v>-0.8827894769216839</v>
      </c>
      <c r="K2328" s="3" t="n">
        <v>-0.8827894769216839</v>
      </c>
      <c r="L2328" s="3" t="n">
        <v>-0.7873684167861938</v>
      </c>
      <c r="M2328" s="3" t="n">
        <v>-0.7873684167861938</v>
      </c>
      <c r="N2328" s="3" t="n">
        <v>-0.7873684167861938</v>
      </c>
      <c r="O2328" s="3" t="n">
        <v>-0.7873684167861938</v>
      </c>
      <c r="P2328" s="3" t="n">
        <v>-0.7873684167861938</v>
      </c>
      <c r="Q2328" s="3" t="n">
        <v>-0.7873684167861938</v>
      </c>
      <c r="R2328" s="3" t="n">
        <v>-0.7729736864566803</v>
      </c>
      <c r="S2328" s="3" t="n">
        <v>-1.260947363941293</v>
      </c>
      <c r="T2328" s="3" t="n">
        <v>-0.7095526174495095</v>
      </c>
      <c r="U2328" s="3" t="n">
        <v>-0.8827894769216839</v>
      </c>
      <c r="V2328" s="3" t="n">
        <v>-0.6815526375645086</v>
      </c>
      <c r="W2328" s="3" t="n">
        <v>-0.5679210565592113</v>
      </c>
      <c r="X2328" s="3" t="n">
        <v>-1.242473682290629</v>
      </c>
      <c r="Y2328" s="3" t="n">
        <v>-0.7873684167861938</v>
      </c>
      <c r="Z2328" s="3" t="n">
        <v>-1.260947363941293</v>
      </c>
      <c r="AA2328" s="3" t="n">
        <v>-1.260947363941293</v>
      </c>
      <c r="AB2328" s="3" t="n">
        <v>-1.242473682290629</v>
      </c>
      <c r="AC2328" s="3" t="n">
        <v>-1.932868417940642</v>
      </c>
      <c r="AD2328" s="3" t="n">
        <v>-0.8827894769216839</v>
      </c>
      <c r="AE2328" s="3" t="n">
        <v>-0.8827894769216839</v>
      </c>
    </row>
    <row r="2329">
      <c r="A2329" s="3" t="inlineStr">
        <is>
          <t>VUT.distn.dec.ove.mean.5</t>
        </is>
      </c>
      <c r="B2329" s="3" t="inlineStr">
        <is>
          <t>VUT</t>
        </is>
      </c>
      <c r="C2329" s="3" t="n">
        <v>2005</v>
      </c>
      <c r="D2329" s="3" t="inlineStr">
        <is>
          <t>Overall</t>
        </is>
      </c>
      <c r="E2329" s="3" t="inlineStr">
        <is>
          <t>Deciles</t>
        </is>
      </c>
      <c r="F2329" s="3" t="inlineStr">
        <is>
          <t>mean</t>
        </is>
      </c>
      <c r="G2329" s="3" t="n">
        <v>5</v>
      </c>
      <c r="H2329" s="3" t="n">
        <v>-0.7873684167861938</v>
      </c>
      <c r="I2329" s="3" t="n">
        <v>-0.7873684167861938</v>
      </c>
      <c r="J2329" s="3" t="n">
        <v>-0.8827894769216839</v>
      </c>
      <c r="K2329" s="3" t="n">
        <v>-0.8827894769216839</v>
      </c>
      <c r="L2329" s="3" t="n">
        <v>-0.7873684167861938</v>
      </c>
      <c r="M2329" s="3" t="n">
        <v>-0.7873684167861938</v>
      </c>
      <c r="N2329" s="3" t="n">
        <v>-0.7873684167861938</v>
      </c>
      <c r="O2329" s="3" t="n">
        <v>-0.7873684167861938</v>
      </c>
      <c r="P2329" s="3" t="n">
        <v>-0.7873684167861938</v>
      </c>
      <c r="Q2329" s="3" t="n">
        <v>-0.7873684167861938</v>
      </c>
      <c r="R2329" s="3" t="n">
        <v>-0.7729736864566803</v>
      </c>
      <c r="S2329" s="3" t="n">
        <v>-1.260947363941293</v>
      </c>
      <c r="T2329" s="3" t="n">
        <v>-0.7095526174495095</v>
      </c>
      <c r="U2329" s="3" t="n">
        <v>-0.8827894769216839</v>
      </c>
      <c r="V2329" s="3" t="n">
        <v>-0.6815526375645086</v>
      </c>
      <c r="W2329" s="3" t="n">
        <v>-0.5679210565592113</v>
      </c>
      <c r="X2329" s="3" t="n">
        <v>-1.242473682290629</v>
      </c>
      <c r="Y2329" s="3" t="n">
        <v>-0.7873684167861938</v>
      </c>
      <c r="Z2329" s="3" t="n">
        <v>-1.260947363941293</v>
      </c>
      <c r="AA2329" s="3" t="n">
        <v>-1.260947363941293</v>
      </c>
      <c r="AB2329" s="3" t="n">
        <v>-1.242473682290629</v>
      </c>
      <c r="AC2329" s="3" t="n">
        <v>-1.932868417940642</v>
      </c>
      <c r="AD2329" s="3" t="n">
        <v>-0.8827894769216839</v>
      </c>
      <c r="AE2329" s="3" t="n">
        <v>-0.8827894769216839</v>
      </c>
    </row>
    <row r="2330">
      <c r="A2330" s="3" t="inlineStr">
        <is>
          <t>VUT.distn.dec.ove.mean.6</t>
        </is>
      </c>
      <c r="B2330" s="3" t="inlineStr">
        <is>
          <t>VUT</t>
        </is>
      </c>
      <c r="C2330" s="3" t="n">
        <v>2005</v>
      </c>
      <c r="D2330" s="3" t="inlineStr">
        <is>
          <t>Overall</t>
        </is>
      </c>
      <c r="E2330" s="3" t="inlineStr">
        <is>
          <t>Deciles</t>
        </is>
      </c>
      <c r="F2330" s="3" t="inlineStr">
        <is>
          <t>mean</t>
        </is>
      </c>
      <c r="G2330" s="3" t="n">
        <v>6</v>
      </c>
      <c r="H2330" s="3" t="n">
        <v>-0.7873684167861938</v>
      </c>
      <c r="I2330" s="3" t="n">
        <v>-0.7873684167861938</v>
      </c>
      <c r="J2330" s="3" t="n">
        <v>-0.8827894769216839</v>
      </c>
      <c r="K2330" s="3" t="n">
        <v>-0.8827894769216839</v>
      </c>
      <c r="L2330" s="3" t="n">
        <v>-0.7873684167861938</v>
      </c>
      <c r="M2330" s="3" t="n">
        <v>-0.7873684167861938</v>
      </c>
      <c r="N2330" s="3" t="n">
        <v>-0.7873684167861938</v>
      </c>
      <c r="O2330" s="3" t="n">
        <v>-0.7873684167861938</v>
      </c>
      <c r="P2330" s="3" t="n">
        <v>-0.7873684167861938</v>
      </c>
      <c r="Q2330" s="3" t="n">
        <v>-0.7873684167861938</v>
      </c>
      <c r="R2330" s="3" t="n">
        <v>-0.7729736864566803</v>
      </c>
      <c r="S2330" s="3" t="n">
        <v>-1.260947363941293</v>
      </c>
      <c r="T2330" s="3" t="n">
        <v>-0.7095526174495095</v>
      </c>
      <c r="U2330" s="3" t="n">
        <v>-0.8827894769216839</v>
      </c>
      <c r="V2330" s="3" t="n">
        <v>-0.6815526375645086</v>
      </c>
      <c r="W2330" s="3" t="n">
        <v>-0.5679210565592113</v>
      </c>
      <c r="X2330" s="3" t="n">
        <v>-1.242473682290629</v>
      </c>
      <c r="Y2330" s="3" t="n">
        <v>-0.7873684167861938</v>
      </c>
      <c r="Z2330" s="3" t="n">
        <v>-1.260947363941293</v>
      </c>
      <c r="AA2330" s="3" t="n">
        <v>-1.260947363941293</v>
      </c>
      <c r="AB2330" s="3" t="n">
        <v>-1.242473682290629</v>
      </c>
      <c r="AC2330" s="3" t="n">
        <v>-1.932868417940642</v>
      </c>
      <c r="AD2330" s="3" t="n">
        <v>-0.8827894769216839</v>
      </c>
      <c r="AE2330" s="3" t="n">
        <v>-0.8827894769216839</v>
      </c>
    </row>
    <row r="2331">
      <c r="A2331" s="3" t="inlineStr">
        <is>
          <t>VUT.distn.dec.ove.mean.7</t>
        </is>
      </c>
      <c r="B2331" s="3" t="inlineStr">
        <is>
          <t>VUT</t>
        </is>
      </c>
      <c r="C2331" s="3" t="n">
        <v>2005</v>
      </c>
      <c r="D2331" s="3" t="inlineStr">
        <is>
          <t>Overall</t>
        </is>
      </c>
      <c r="E2331" s="3" t="inlineStr">
        <is>
          <t>Deciles</t>
        </is>
      </c>
      <c r="F2331" s="3" t="inlineStr">
        <is>
          <t>mean</t>
        </is>
      </c>
      <c r="G2331" s="3" t="n">
        <v>7</v>
      </c>
      <c r="H2331" s="3" t="n">
        <v>-0.7873684167861938</v>
      </c>
      <c r="I2331" s="3" t="n">
        <v>-0.7873684167861938</v>
      </c>
      <c r="J2331" s="3" t="n">
        <v>-0.8827894769216839</v>
      </c>
      <c r="K2331" s="3" t="n">
        <v>-0.8827894769216839</v>
      </c>
      <c r="L2331" s="3" t="n">
        <v>-0.7873684167861938</v>
      </c>
      <c r="M2331" s="3" t="n">
        <v>-0.7873684167861938</v>
      </c>
      <c r="N2331" s="3" t="n">
        <v>-0.7873684167861938</v>
      </c>
      <c r="O2331" s="3" t="n">
        <v>-0.7873684167861938</v>
      </c>
      <c r="P2331" s="3" t="n">
        <v>-0.7873684167861938</v>
      </c>
      <c r="Q2331" s="3" t="n">
        <v>-0.7873684167861938</v>
      </c>
      <c r="R2331" s="3" t="n">
        <v>-0.7729736864566803</v>
      </c>
      <c r="S2331" s="3" t="n">
        <v>-1.260947363941293</v>
      </c>
      <c r="T2331" s="3" t="n">
        <v>-0.7095526174495095</v>
      </c>
      <c r="U2331" s="3" t="n">
        <v>-0.8827894769216839</v>
      </c>
      <c r="V2331" s="3" t="n">
        <v>-0.6815526375645086</v>
      </c>
      <c r="W2331" s="3" t="n">
        <v>-0.5679210565592113</v>
      </c>
      <c r="X2331" s="3" t="n">
        <v>-1.242473682290629</v>
      </c>
      <c r="Y2331" s="3" t="n">
        <v>-0.7873684167861938</v>
      </c>
      <c r="Z2331" s="3" t="n">
        <v>-1.260947363941293</v>
      </c>
      <c r="AA2331" s="3" t="n">
        <v>-1.260947363941293</v>
      </c>
      <c r="AB2331" s="3" t="n">
        <v>-1.242473682290629</v>
      </c>
      <c r="AC2331" s="3" t="n">
        <v>-1.932868417940642</v>
      </c>
      <c r="AD2331" s="3" t="n">
        <v>-0.8827894769216839</v>
      </c>
      <c r="AE2331" s="3" t="n">
        <v>-0.8827894769216839</v>
      </c>
    </row>
    <row r="2332">
      <c r="A2332" s="3" t="inlineStr">
        <is>
          <t>VUT.distn.dec.ove.mean.8</t>
        </is>
      </c>
      <c r="B2332" s="3" t="inlineStr">
        <is>
          <t>VUT</t>
        </is>
      </c>
      <c r="C2332" s="3" t="n">
        <v>2005</v>
      </c>
      <c r="D2332" s="3" t="inlineStr">
        <is>
          <t>Overall</t>
        </is>
      </c>
      <c r="E2332" s="3" t="inlineStr">
        <is>
          <t>Deciles</t>
        </is>
      </c>
      <c r="F2332" s="3" t="inlineStr">
        <is>
          <t>mean</t>
        </is>
      </c>
      <c r="G2332" s="3" t="n">
        <v>8</v>
      </c>
      <c r="H2332" s="3" t="n">
        <v>-0.7877477627051505</v>
      </c>
      <c r="I2332" s="3" t="n">
        <v>-0.7877477627051505</v>
      </c>
      <c r="J2332" s="3" t="n">
        <v>-0.8851708738427413</v>
      </c>
      <c r="K2332" s="3" t="n">
        <v>-0.8851708738427413</v>
      </c>
      <c r="L2332" s="3" t="n">
        <v>-0.7877477627051505</v>
      </c>
      <c r="M2332" s="3" t="n">
        <v>-0.7877477627051505</v>
      </c>
      <c r="N2332" s="3" t="n">
        <v>-0.7877477627051505</v>
      </c>
      <c r="O2332" s="3" t="n">
        <v>-0.7877477627051505</v>
      </c>
      <c r="P2332" s="3" t="n">
        <v>-0.7877477627051505</v>
      </c>
      <c r="Q2332" s="3" t="n">
        <v>-0.7877477627051505</v>
      </c>
      <c r="R2332" s="3" t="n">
        <v>-0.7732278971295607</v>
      </c>
      <c r="S2332" s="3" t="n">
        <v>-1.272680619829579</v>
      </c>
      <c r="T2332" s="3" t="n">
        <v>-0.7095935376066911</v>
      </c>
      <c r="U2332" s="3" t="n">
        <v>-0.8851708738427413</v>
      </c>
      <c r="V2332" s="3" t="n">
        <v>-0.6822572021107924</v>
      </c>
      <c r="W2332" s="3" t="n">
        <v>-0.5831292993143985</v>
      </c>
      <c r="X2332" s="3" t="n">
        <v>-1.253795093611667</v>
      </c>
      <c r="Y2332" s="3" t="n">
        <v>-0.7877477627051505</v>
      </c>
      <c r="Z2332" s="3" t="n">
        <v>-1.272680619829579</v>
      </c>
      <c r="AA2332" s="3" t="n">
        <v>-1.272680619829579</v>
      </c>
      <c r="AB2332" s="3" t="n">
        <v>-1.253795093611667</v>
      </c>
      <c r="AC2332" s="3" t="n">
        <v>-1.960433708994012</v>
      </c>
      <c r="AD2332" s="3" t="n">
        <v>-0.8851708738427413</v>
      </c>
      <c r="AE2332" s="3" t="n">
        <v>-0.8851708738427413</v>
      </c>
    </row>
    <row r="2333">
      <c r="A2333" s="3" t="inlineStr">
        <is>
          <t>VUT.distn.dec.ove.mean.9</t>
        </is>
      </c>
      <c r="B2333" s="3" t="inlineStr">
        <is>
          <t>VUT</t>
        </is>
      </c>
      <c r="C2333" s="3" t="n">
        <v>2005</v>
      </c>
      <c r="D2333" s="3" t="inlineStr">
        <is>
          <t>Overall</t>
        </is>
      </c>
      <c r="E2333" s="3" t="inlineStr">
        <is>
          <t>Deciles</t>
        </is>
      </c>
      <c r="F2333" s="3" t="inlineStr">
        <is>
          <t>mean</t>
        </is>
      </c>
      <c r="G2333" s="3" t="n">
        <v>9</v>
      </c>
      <c r="H2333" s="3" t="n">
        <v>-0.7877477627051505</v>
      </c>
      <c r="I2333" s="3" t="n">
        <v>-0.7877477627051505</v>
      </c>
      <c r="J2333" s="3" t="n">
        <v>-0.8851708738427413</v>
      </c>
      <c r="K2333" s="3" t="n">
        <v>-0.8851708738427413</v>
      </c>
      <c r="L2333" s="3" t="n">
        <v>-0.7877477627051505</v>
      </c>
      <c r="M2333" s="3" t="n">
        <v>-0.7877477627051505</v>
      </c>
      <c r="N2333" s="3" t="n">
        <v>-0.7877477627051505</v>
      </c>
      <c r="O2333" s="3" t="n">
        <v>-0.7877477627051505</v>
      </c>
      <c r="P2333" s="3" t="n">
        <v>-0.7877477627051505</v>
      </c>
      <c r="Q2333" s="3" t="n">
        <v>-0.7877477627051505</v>
      </c>
      <c r="R2333" s="3" t="n">
        <v>-0.7732278971295607</v>
      </c>
      <c r="S2333" s="3" t="n">
        <v>-1.272680619829579</v>
      </c>
      <c r="T2333" s="3" t="n">
        <v>-0.7095935376066911</v>
      </c>
      <c r="U2333" s="3" t="n">
        <v>-0.8851708738427413</v>
      </c>
      <c r="V2333" s="3" t="n">
        <v>-0.6822572021107924</v>
      </c>
      <c r="W2333" s="3" t="n">
        <v>-0.5831292993143985</v>
      </c>
      <c r="X2333" s="3" t="n">
        <v>-1.253795093611667</v>
      </c>
      <c r="Y2333" s="3" t="n">
        <v>-0.7877477627051505</v>
      </c>
      <c r="Z2333" s="3" t="n">
        <v>-1.272680619829579</v>
      </c>
      <c r="AA2333" s="3" t="n">
        <v>-1.272680619829579</v>
      </c>
      <c r="AB2333" s="3" t="n">
        <v>-1.253795093611667</v>
      </c>
      <c r="AC2333" s="3" t="n">
        <v>-1.960433708994012</v>
      </c>
      <c r="AD2333" s="3" t="n">
        <v>-0.8851708738427413</v>
      </c>
      <c r="AE2333" s="3" t="n">
        <v>-0.8851708738427413</v>
      </c>
    </row>
    <row r="2334">
      <c r="A2334" s="3" t="inlineStr">
        <is>
          <t>VUT.distn.dec.ove.mean.10</t>
        </is>
      </c>
      <c r="B2334" s="3" t="inlineStr">
        <is>
          <t>VUT</t>
        </is>
      </c>
      <c r="C2334" s="3" t="n">
        <v>2005</v>
      </c>
      <c r="D2334" s="3" t="inlineStr">
        <is>
          <t>Overall</t>
        </is>
      </c>
      <c r="E2334" s="3" t="inlineStr">
        <is>
          <t>Deciles</t>
        </is>
      </c>
      <c r="F2334" s="3" t="inlineStr">
        <is>
          <t>mean</t>
        </is>
      </c>
      <c r="G2334" s="3" t="n">
        <v>10</v>
      </c>
      <c r="H2334" s="3" t="n">
        <v>-0.7877477627051505</v>
      </c>
      <c r="I2334" s="3" t="n">
        <v>-0.7877477627051505</v>
      </c>
      <c r="J2334" s="3" t="n">
        <v>-0.8851708738427413</v>
      </c>
      <c r="K2334" s="3" t="n">
        <v>-0.8851708738427413</v>
      </c>
      <c r="L2334" s="3" t="n">
        <v>-0.7877477627051505</v>
      </c>
      <c r="M2334" s="3" t="n">
        <v>-0.7877477627051505</v>
      </c>
      <c r="N2334" s="3" t="n">
        <v>-0.7877477627051505</v>
      </c>
      <c r="O2334" s="3" t="n">
        <v>-0.7877477627051505</v>
      </c>
      <c r="P2334" s="3" t="n">
        <v>-0.7877477627051505</v>
      </c>
      <c r="Q2334" s="3" t="n">
        <v>-0.7877477627051505</v>
      </c>
      <c r="R2334" s="3" t="n">
        <v>-0.7732278971295607</v>
      </c>
      <c r="S2334" s="3" t="n">
        <v>-1.272680619829579</v>
      </c>
      <c r="T2334" s="3" t="n">
        <v>-0.7095935376066911</v>
      </c>
      <c r="U2334" s="3" t="n">
        <v>-0.8851708738427413</v>
      </c>
      <c r="V2334" s="3" t="n">
        <v>-0.6822572021107924</v>
      </c>
      <c r="W2334" s="3" t="n">
        <v>-0.5831292993143985</v>
      </c>
      <c r="X2334" s="3" t="n">
        <v>-1.253795093611667</v>
      </c>
      <c r="Y2334" s="3" t="n">
        <v>-0.7877477627051505</v>
      </c>
      <c r="Z2334" s="3" t="n">
        <v>-1.272680619829579</v>
      </c>
      <c r="AA2334" s="3" t="n">
        <v>-1.272680619829579</v>
      </c>
      <c r="AB2334" s="3" t="n">
        <v>-1.253795093611667</v>
      </c>
      <c r="AC2334" s="3" t="n">
        <v>-1.960433708994012</v>
      </c>
      <c r="AD2334" s="3" t="n">
        <v>-0.8851708738427413</v>
      </c>
      <c r="AE2334" s="3" t="n">
        <v>-0.8851708738427413</v>
      </c>
    </row>
    <row r="2335">
      <c r="A2335" s="3" t="inlineStr">
        <is>
          <t>VUT.distn.bkt.ove.mean.9999</t>
        </is>
      </c>
      <c r="B2335" s="3" t="inlineStr">
        <is>
          <t>VUT</t>
        </is>
      </c>
      <c r="C2335" s="3" t="n">
        <v>2005</v>
      </c>
      <c r="D2335" s="3" t="inlineStr">
        <is>
          <t>Overall</t>
        </is>
      </c>
      <c r="E2335" s="3" t="inlineStr">
        <is>
          <t>Basket</t>
        </is>
      </c>
      <c r="F2335" s="3" t="inlineStr">
        <is>
          <t>mean</t>
        </is>
      </c>
      <c r="G2335" s="3" t="n">
        <v>9999</v>
      </c>
      <c r="H2335" s="3" t="n">
        <v>-0.7893673542298769</v>
      </c>
      <c r="I2335" s="3" t="n">
        <v>-0.7893673542298769</v>
      </c>
      <c r="J2335" s="3" t="n">
        <v>-0.8969508472241854</v>
      </c>
      <c r="K2335" s="3" t="n">
        <v>-0.8969508472241854</v>
      </c>
      <c r="L2335" s="3" t="n">
        <v>-0.7893673542298769</v>
      </c>
      <c r="M2335" s="3" t="n">
        <v>-0.7893673542298769</v>
      </c>
      <c r="N2335" s="3" t="n">
        <v>-0.7893673542298769</v>
      </c>
      <c r="O2335" s="3" t="n">
        <v>-0.7893673542298769</v>
      </c>
      <c r="P2335" s="3" t="n">
        <v>-0.7893673542298769</v>
      </c>
      <c r="Q2335" s="3" t="n">
        <v>-0.7893673542298769</v>
      </c>
      <c r="R2335" s="3" t="n">
        <v>-0.7740951949044278</v>
      </c>
      <c r="S2335" s="3" t="n">
        <v>-1.441575941286589</v>
      </c>
      <c r="T2335" s="3" t="n">
        <v>-0.7100016239442324</v>
      </c>
      <c r="U2335" s="3" t="n">
        <v>-0.8969508472241854</v>
      </c>
      <c r="V2335" s="3" t="n">
        <v>-0.6838645276270414</v>
      </c>
      <c r="W2335" s="3" t="n">
        <v>-0.6045490895446978</v>
      </c>
      <c r="X2335" s="3" t="n">
        <v>-1.401289532059117</v>
      </c>
      <c r="Y2335" s="3" t="n">
        <v>-0.7893673542298769</v>
      </c>
      <c r="Z2335" s="3" t="n">
        <v>-1.441575941286589</v>
      </c>
      <c r="AA2335" s="3" t="n">
        <v>-1.441575941286589</v>
      </c>
      <c r="AB2335" s="3" t="n">
        <v>-1.401289532059117</v>
      </c>
      <c r="AC2335" s="3" t="n">
        <v>-2.562009337701296</v>
      </c>
      <c r="AD2335" s="3" t="n">
        <v>-0.8969508472241854</v>
      </c>
      <c r="AE2335" s="3" t="n">
        <v>-0.8969508472241854</v>
      </c>
    </row>
    <row r="2336">
      <c r="A2336" s="3" t="inlineStr">
        <is>
          <t>WSM.distn.dec.ove.mean.1</t>
        </is>
      </c>
      <c r="B2336" s="3" t="inlineStr">
        <is>
          <t>WSM</t>
        </is>
      </c>
      <c r="C2336" s="3" t="n">
        <v>2005</v>
      </c>
      <c r="D2336" s="3" t="inlineStr">
        <is>
          <t>Overall</t>
        </is>
      </c>
      <c r="E2336" s="3" t="inlineStr">
        <is>
          <t>Deciles</t>
        </is>
      </c>
      <c r="F2336" s="3" t="inlineStr">
        <is>
          <t>mean</t>
        </is>
      </c>
      <c r="G2336" s="3" t="n">
        <v>1</v>
      </c>
      <c r="H2336" s="3" t="n">
        <v>-0.7936522003851438</v>
      </c>
      <c r="I2336" s="3" t="n">
        <v>-0.7936522003851438</v>
      </c>
      <c r="J2336" s="3" t="n">
        <v>-0.9276126356501329</v>
      </c>
      <c r="K2336" s="3" t="n">
        <v>-0.9276126356501329</v>
      </c>
      <c r="L2336" s="3" t="n">
        <v>-0.7936522003851438</v>
      </c>
      <c r="M2336" s="3" t="n">
        <v>-0.7936522003851438</v>
      </c>
      <c r="N2336" s="3" t="n">
        <v>-0.7936522003851438</v>
      </c>
      <c r="O2336" s="3" t="n">
        <v>-0.7936522003851438</v>
      </c>
      <c r="P2336" s="3" t="n">
        <v>-0.7936522003851438</v>
      </c>
      <c r="Q2336" s="3" t="n">
        <v>-0.7936522003851438</v>
      </c>
      <c r="R2336" s="3" t="n">
        <v>-0.7764578367534437</v>
      </c>
      <c r="S2336" s="3" t="n">
        <v>-1.851309371621985</v>
      </c>
      <c r="T2336" s="3" t="n">
        <v>-0.7110083871766141</v>
      </c>
      <c r="U2336" s="3" t="n">
        <v>-0.9276126356501329</v>
      </c>
      <c r="V2336" s="3" t="n">
        <v>-0.688554396754817</v>
      </c>
      <c r="W2336" s="3" t="n">
        <v>-0.6748062403578508</v>
      </c>
      <c r="X2336" s="3" t="n">
        <v>-1.760538414904946</v>
      </c>
      <c r="Y2336" s="3" t="n">
        <v>-0.7936522003851438</v>
      </c>
      <c r="Z2336" s="3" t="n">
        <v>-1.851309371621985</v>
      </c>
      <c r="AA2336" s="3" t="n">
        <v>-1.851309371621985</v>
      </c>
      <c r="AB2336" s="3" t="n">
        <v>-1.760538414904946</v>
      </c>
      <c r="AC2336" s="3" t="n">
        <v>-4.00243950517554</v>
      </c>
      <c r="AD2336" s="3" t="n">
        <v>-0.9276126356501329</v>
      </c>
      <c r="AE2336" s="3" t="n">
        <v>-0.9276126356501329</v>
      </c>
    </row>
    <row r="2337">
      <c r="A2337" s="3" t="inlineStr">
        <is>
          <t>WSM.distn.dec.ove.mean.2</t>
        </is>
      </c>
      <c r="B2337" s="3" t="inlineStr">
        <is>
          <t>WSM</t>
        </is>
      </c>
      <c r="C2337" s="3" t="n">
        <v>2005</v>
      </c>
      <c r="D2337" s="3" t="inlineStr">
        <is>
          <t>Overall</t>
        </is>
      </c>
      <c r="E2337" s="3" t="inlineStr">
        <is>
          <t>Deciles</t>
        </is>
      </c>
      <c r="F2337" s="3" t="inlineStr">
        <is>
          <t>mean</t>
        </is>
      </c>
      <c r="G2337" s="3" t="n">
        <v>2</v>
      </c>
      <c r="H2337" s="3" t="n">
        <v>-0.7936522003851438</v>
      </c>
      <c r="I2337" s="3" t="n">
        <v>-0.7936522003851438</v>
      </c>
      <c r="J2337" s="3" t="n">
        <v>-0.9276126356501329</v>
      </c>
      <c r="K2337" s="3" t="n">
        <v>-0.9276126356501329</v>
      </c>
      <c r="L2337" s="3" t="n">
        <v>-0.7936522003851438</v>
      </c>
      <c r="M2337" s="3" t="n">
        <v>-0.7936522003851438</v>
      </c>
      <c r="N2337" s="3" t="n">
        <v>-0.7936522003851438</v>
      </c>
      <c r="O2337" s="3" t="n">
        <v>-0.7936522003851438</v>
      </c>
      <c r="P2337" s="3" t="n">
        <v>-0.7936522003851438</v>
      </c>
      <c r="Q2337" s="3" t="n">
        <v>-0.7936522003851438</v>
      </c>
      <c r="R2337" s="3" t="n">
        <v>-0.7764578367534437</v>
      </c>
      <c r="S2337" s="3" t="n">
        <v>-1.851309371621985</v>
      </c>
      <c r="T2337" s="3" t="n">
        <v>-0.7110083871766141</v>
      </c>
      <c r="U2337" s="3" t="n">
        <v>-0.9276126356501329</v>
      </c>
      <c r="V2337" s="3" t="n">
        <v>-0.688554396754817</v>
      </c>
      <c r="W2337" s="3" t="n">
        <v>-0.6748062403578508</v>
      </c>
      <c r="X2337" s="3" t="n">
        <v>-1.760538414904946</v>
      </c>
      <c r="Y2337" s="3" t="n">
        <v>-0.7936522003851438</v>
      </c>
      <c r="Z2337" s="3" t="n">
        <v>-1.851309371621985</v>
      </c>
      <c r="AA2337" s="3" t="n">
        <v>-1.851309371621985</v>
      </c>
      <c r="AB2337" s="3" t="n">
        <v>-1.760538414904946</v>
      </c>
      <c r="AC2337" s="3" t="n">
        <v>-4.00243950517554</v>
      </c>
      <c r="AD2337" s="3" t="n">
        <v>-0.9276126356501329</v>
      </c>
      <c r="AE2337" s="3" t="n">
        <v>-0.9276126356501329</v>
      </c>
    </row>
    <row r="2338">
      <c r="A2338" s="3" t="inlineStr">
        <is>
          <t>WSM.distn.dec.ove.mean.3</t>
        </is>
      </c>
      <c r="B2338" s="3" t="inlineStr">
        <is>
          <t>WSM</t>
        </is>
      </c>
      <c r="C2338" s="3" t="n">
        <v>2005</v>
      </c>
      <c r="D2338" s="3" t="inlineStr">
        <is>
          <t>Overall</t>
        </is>
      </c>
      <c r="E2338" s="3" t="inlineStr">
        <is>
          <t>Deciles</t>
        </is>
      </c>
      <c r="F2338" s="3" t="inlineStr">
        <is>
          <t>mean</t>
        </is>
      </c>
      <c r="G2338" s="3" t="n">
        <v>3</v>
      </c>
      <c r="H2338" s="3" t="n">
        <v>-0.7936522003851438</v>
      </c>
      <c r="I2338" s="3" t="n">
        <v>-0.7936522003851438</v>
      </c>
      <c r="J2338" s="3" t="n">
        <v>-0.9276126356501329</v>
      </c>
      <c r="K2338" s="3" t="n">
        <v>-0.9276126356501329</v>
      </c>
      <c r="L2338" s="3" t="n">
        <v>-0.7936522003851438</v>
      </c>
      <c r="M2338" s="3" t="n">
        <v>-0.7936522003851438</v>
      </c>
      <c r="N2338" s="3" t="n">
        <v>-0.7936522003851438</v>
      </c>
      <c r="O2338" s="3" t="n">
        <v>-0.7936522003851438</v>
      </c>
      <c r="P2338" s="3" t="n">
        <v>-0.7936522003851438</v>
      </c>
      <c r="Q2338" s="3" t="n">
        <v>-0.7936522003851438</v>
      </c>
      <c r="R2338" s="3" t="n">
        <v>-0.7764578367534437</v>
      </c>
      <c r="S2338" s="3" t="n">
        <v>-1.851309371621985</v>
      </c>
      <c r="T2338" s="3" t="n">
        <v>-0.7110083871766141</v>
      </c>
      <c r="U2338" s="3" t="n">
        <v>-0.9276126356501329</v>
      </c>
      <c r="V2338" s="3" t="n">
        <v>-0.688554396754817</v>
      </c>
      <c r="W2338" s="3" t="n">
        <v>-0.6748062403578508</v>
      </c>
      <c r="X2338" s="3" t="n">
        <v>-1.760538414904946</v>
      </c>
      <c r="Y2338" s="3" t="n">
        <v>-0.7936522003851438</v>
      </c>
      <c r="Z2338" s="3" t="n">
        <v>-1.851309371621985</v>
      </c>
      <c r="AA2338" s="3" t="n">
        <v>-1.851309371621985</v>
      </c>
      <c r="AB2338" s="3" t="n">
        <v>-1.760538414904946</v>
      </c>
      <c r="AC2338" s="3" t="n">
        <v>-4.00243950517554</v>
      </c>
      <c r="AD2338" s="3" t="n">
        <v>-0.9276126356501329</v>
      </c>
      <c r="AE2338" s="3" t="n">
        <v>-0.9276126356501329</v>
      </c>
    </row>
    <row r="2339">
      <c r="A2339" s="3" t="inlineStr">
        <is>
          <t>WSM.distn.dec.ove.mean.4</t>
        </is>
      </c>
      <c r="B2339" s="3" t="inlineStr">
        <is>
          <t>WSM</t>
        </is>
      </c>
      <c r="C2339" s="3" t="n">
        <v>2005</v>
      </c>
      <c r="D2339" s="3" t="inlineStr">
        <is>
          <t>Overall</t>
        </is>
      </c>
      <c r="E2339" s="3" t="inlineStr">
        <is>
          <t>Deciles</t>
        </is>
      </c>
      <c r="F2339" s="3" t="inlineStr">
        <is>
          <t>mean</t>
        </is>
      </c>
      <c r="G2339" s="3" t="n">
        <v>4</v>
      </c>
      <c r="H2339" s="3" t="n">
        <v>-0.7873684167861938</v>
      </c>
      <c r="I2339" s="3" t="n">
        <v>-0.7873684167861938</v>
      </c>
      <c r="J2339" s="3" t="n">
        <v>-0.8827894769216839</v>
      </c>
      <c r="K2339" s="3" t="n">
        <v>-0.8827894769216839</v>
      </c>
      <c r="L2339" s="3" t="n">
        <v>-0.7873684167861938</v>
      </c>
      <c r="M2339" s="3" t="n">
        <v>-0.7873684167861938</v>
      </c>
      <c r="N2339" s="3" t="n">
        <v>-0.7873684167861938</v>
      </c>
      <c r="O2339" s="3" t="n">
        <v>-0.7873684167861938</v>
      </c>
      <c r="P2339" s="3" t="n">
        <v>-0.7873684167861938</v>
      </c>
      <c r="Q2339" s="3" t="n">
        <v>-0.7873684167861938</v>
      </c>
      <c r="R2339" s="3" t="n">
        <v>-0.7729736864566803</v>
      </c>
      <c r="S2339" s="3" t="n">
        <v>-1.260947363941293</v>
      </c>
      <c r="T2339" s="3" t="n">
        <v>-0.7095526174495095</v>
      </c>
      <c r="U2339" s="3" t="n">
        <v>-0.8827894769216839</v>
      </c>
      <c r="V2339" s="3" t="n">
        <v>-0.6815526375645086</v>
      </c>
      <c r="W2339" s="3" t="n">
        <v>-0.5679210565592113</v>
      </c>
      <c r="X2339" s="3" t="n">
        <v>-1.242473682290629</v>
      </c>
      <c r="Y2339" s="3" t="n">
        <v>-0.7873684167861938</v>
      </c>
      <c r="Z2339" s="3" t="n">
        <v>-1.260947363941293</v>
      </c>
      <c r="AA2339" s="3" t="n">
        <v>-1.260947363941293</v>
      </c>
      <c r="AB2339" s="3" t="n">
        <v>-1.242473682290629</v>
      </c>
      <c r="AC2339" s="3" t="n">
        <v>-1.932868417940642</v>
      </c>
      <c r="AD2339" s="3" t="n">
        <v>-0.8827894769216839</v>
      </c>
      <c r="AE2339" s="3" t="n">
        <v>-0.8827894769216839</v>
      </c>
    </row>
    <row r="2340">
      <c r="A2340" s="3" t="inlineStr">
        <is>
          <t>WSM.distn.dec.ove.mean.5</t>
        </is>
      </c>
      <c r="B2340" s="3" t="inlineStr">
        <is>
          <t>WSM</t>
        </is>
      </c>
      <c r="C2340" s="3" t="n">
        <v>2005</v>
      </c>
      <c r="D2340" s="3" t="inlineStr">
        <is>
          <t>Overall</t>
        </is>
      </c>
      <c r="E2340" s="3" t="inlineStr">
        <is>
          <t>Deciles</t>
        </is>
      </c>
      <c r="F2340" s="3" t="inlineStr">
        <is>
          <t>mean</t>
        </is>
      </c>
      <c r="G2340" s="3" t="n">
        <v>5</v>
      </c>
      <c r="H2340" s="3" t="n">
        <v>-0.7873684167861938</v>
      </c>
      <c r="I2340" s="3" t="n">
        <v>-0.7873684167861938</v>
      </c>
      <c r="J2340" s="3" t="n">
        <v>-0.8827894769216839</v>
      </c>
      <c r="K2340" s="3" t="n">
        <v>-0.8827894769216839</v>
      </c>
      <c r="L2340" s="3" t="n">
        <v>-0.7873684167861938</v>
      </c>
      <c r="M2340" s="3" t="n">
        <v>-0.7873684167861938</v>
      </c>
      <c r="N2340" s="3" t="n">
        <v>-0.7873684167861938</v>
      </c>
      <c r="O2340" s="3" t="n">
        <v>-0.7873684167861938</v>
      </c>
      <c r="P2340" s="3" t="n">
        <v>-0.7873684167861938</v>
      </c>
      <c r="Q2340" s="3" t="n">
        <v>-0.7873684167861938</v>
      </c>
      <c r="R2340" s="3" t="n">
        <v>-0.7729736864566803</v>
      </c>
      <c r="S2340" s="3" t="n">
        <v>-1.260947363941293</v>
      </c>
      <c r="T2340" s="3" t="n">
        <v>-0.7095526174495095</v>
      </c>
      <c r="U2340" s="3" t="n">
        <v>-0.8827894769216839</v>
      </c>
      <c r="V2340" s="3" t="n">
        <v>-0.6815526375645086</v>
      </c>
      <c r="W2340" s="3" t="n">
        <v>-0.5679210565592113</v>
      </c>
      <c r="X2340" s="3" t="n">
        <v>-1.242473682290629</v>
      </c>
      <c r="Y2340" s="3" t="n">
        <v>-0.7873684167861938</v>
      </c>
      <c r="Z2340" s="3" t="n">
        <v>-1.260947363941293</v>
      </c>
      <c r="AA2340" s="3" t="n">
        <v>-1.260947363941293</v>
      </c>
      <c r="AB2340" s="3" t="n">
        <v>-1.242473682290629</v>
      </c>
      <c r="AC2340" s="3" t="n">
        <v>-1.932868417940642</v>
      </c>
      <c r="AD2340" s="3" t="n">
        <v>-0.8827894769216839</v>
      </c>
      <c r="AE2340" s="3" t="n">
        <v>-0.8827894769216839</v>
      </c>
    </row>
    <row r="2341">
      <c r="A2341" s="3" t="inlineStr">
        <is>
          <t>WSM.distn.dec.ove.mean.6</t>
        </is>
      </c>
      <c r="B2341" s="3" t="inlineStr">
        <is>
          <t>WSM</t>
        </is>
      </c>
      <c r="C2341" s="3" t="n">
        <v>2005</v>
      </c>
      <c r="D2341" s="3" t="inlineStr">
        <is>
          <t>Overall</t>
        </is>
      </c>
      <c r="E2341" s="3" t="inlineStr">
        <is>
          <t>Deciles</t>
        </is>
      </c>
      <c r="F2341" s="3" t="inlineStr">
        <is>
          <t>mean</t>
        </is>
      </c>
      <c r="G2341" s="3" t="n">
        <v>6</v>
      </c>
      <c r="H2341" s="3" t="n">
        <v>-0.7873684167861938</v>
      </c>
      <c r="I2341" s="3" t="n">
        <v>-0.7873684167861938</v>
      </c>
      <c r="J2341" s="3" t="n">
        <v>-0.8827894769216839</v>
      </c>
      <c r="K2341" s="3" t="n">
        <v>-0.8827894769216839</v>
      </c>
      <c r="L2341" s="3" t="n">
        <v>-0.7873684167861938</v>
      </c>
      <c r="M2341" s="3" t="n">
        <v>-0.7873684167861938</v>
      </c>
      <c r="N2341" s="3" t="n">
        <v>-0.7873684167861938</v>
      </c>
      <c r="O2341" s="3" t="n">
        <v>-0.7873684167861938</v>
      </c>
      <c r="P2341" s="3" t="n">
        <v>-0.7873684167861938</v>
      </c>
      <c r="Q2341" s="3" t="n">
        <v>-0.7873684167861938</v>
      </c>
      <c r="R2341" s="3" t="n">
        <v>-0.7729736864566803</v>
      </c>
      <c r="S2341" s="3" t="n">
        <v>-1.260947363941293</v>
      </c>
      <c r="T2341" s="3" t="n">
        <v>-0.7095526174495095</v>
      </c>
      <c r="U2341" s="3" t="n">
        <v>-0.8827894769216839</v>
      </c>
      <c r="V2341" s="3" t="n">
        <v>-0.6815526375645086</v>
      </c>
      <c r="W2341" s="3" t="n">
        <v>-0.5679210565592113</v>
      </c>
      <c r="X2341" s="3" t="n">
        <v>-1.242473682290629</v>
      </c>
      <c r="Y2341" s="3" t="n">
        <v>-0.7873684167861938</v>
      </c>
      <c r="Z2341" s="3" t="n">
        <v>-1.260947363941293</v>
      </c>
      <c r="AA2341" s="3" t="n">
        <v>-1.260947363941293</v>
      </c>
      <c r="AB2341" s="3" t="n">
        <v>-1.242473682290629</v>
      </c>
      <c r="AC2341" s="3" t="n">
        <v>-1.932868417940642</v>
      </c>
      <c r="AD2341" s="3" t="n">
        <v>-0.8827894769216839</v>
      </c>
      <c r="AE2341" s="3" t="n">
        <v>-0.8827894769216839</v>
      </c>
    </row>
    <row r="2342">
      <c r="A2342" s="3" t="inlineStr">
        <is>
          <t>WSM.distn.dec.ove.mean.7</t>
        </is>
      </c>
      <c r="B2342" s="3" t="inlineStr">
        <is>
          <t>WSM</t>
        </is>
      </c>
      <c r="C2342" s="3" t="n">
        <v>2005</v>
      </c>
      <c r="D2342" s="3" t="inlineStr">
        <is>
          <t>Overall</t>
        </is>
      </c>
      <c r="E2342" s="3" t="inlineStr">
        <is>
          <t>Deciles</t>
        </is>
      </c>
      <c r="F2342" s="3" t="inlineStr">
        <is>
          <t>mean</t>
        </is>
      </c>
      <c r="G2342" s="3" t="n">
        <v>7</v>
      </c>
      <c r="H2342" s="3" t="n">
        <v>-0.7873684167861938</v>
      </c>
      <c r="I2342" s="3" t="n">
        <v>-0.7873684167861938</v>
      </c>
      <c r="J2342" s="3" t="n">
        <v>-0.8827894769216839</v>
      </c>
      <c r="K2342" s="3" t="n">
        <v>-0.8827894769216839</v>
      </c>
      <c r="L2342" s="3" t="n">
        <v>-0.7873684167861938</v>
      </c>
      <c r="M2342" s="3" t="n">
        <v>-0.7873684167861938</v>
      </c>
      <c r="N2342" s="3" t="n">
        <v>-0.7873684167861938</v>
      </c>
      <c r="O2342" s="3" t="n">
        <v>-0.7873684167861938</v>
      </c>
      <c r="P2342" s="3" t="n">
        <v>-0.7873684167861938</v>
      </c>
      <c r="Q2342" s="3" t="n">
        <v>-0.7873684167861938</v>
      </c>
      <c r="R2342" s="3" t="n">
        <v>-0.7729736864566803</v>
      </c>
      <c r="S2342" s="3" t="n">
        <v>-1.260947363941293</v>
      </c>
      <c r="T2342" s="3" t="n">
        <v>-0.7095526174495095</v>
      </c>
      <c r="U2342" s="3" t="n">
        <v>-0.8827894769216839</v>
      </c>
      <c r="V2342" s="3" t="n">
        <v>-0.6815526375645086</v>
      </c>
      <c r="W2342" s="3" t="n">
        <v>-0.5679210565592113</v>
      </c>
      <c r="X2342" s="3" t="n">
        <v>-1.242473682290629</v>
      </c>
      <c r="Y2342" s="3" t="n">
        <v>-0.7873684167861938</v>
      </c>
      <c r="Z2342" s="3" t="n">
        <v>-1.260947363941293</v>
      </c>
      <c r="AA2342" s="3" t="n">
        <v>-1.260947363941293</v>
      </c>
      <c r="AB2342" s="3" t="n">
        <v>-1.242473682290629</v>
      </c>
      <c r="AC2342" s="3" t="n">
        <v>-1.932868417940642</v>
      </c>
      <c r="AD2342" s="3" t="n">
        <v>-0.8827894769216839</v>
      </c>
      <c r="AE2342" s="3" t="n">
        <v>-0.8827894769216839</v>
      </c>
    </row>
    <row r="2343">
      <c r="A2343" s="3" t="inlineStr">
        <is>
          <t>WSM.distn.dec.ove.mean.8</t>
        </is>
      </c>
      <c r="B2343" s="3" t="inlineStr">
        <is>
          <t>WSM</t>
        </is>
      </c>
      <c r="C2343" s="3" t="n">
        <v>2005</v>
      </c>
      <c r="D2343" s="3" t="inlineStr">
        <is>
          <t>Overall</t>
        </is>
      </c>
      <c r="E2343" s="3" t="inlineStr">
        <is>
          <t>Deciles</t>
        </is>
      </c>
      <c r="F2343" s="3" t="inlineStr">
        <is>
          <t>mean</t>
        </is>
      </c>
      <c r="G2343" s="3" t="n">
        <v>8</v>
      </c>
      <c r="H2343" s="3" t="n">
        <v>-0.7877477627051505</v>
      </c>
      <c r="I2343" s="3" t="n">
        <v>-0.7877477627051505</v>
      </c>
      <c r="J2343" s="3" t="n">
        <v>-0.8851708738427413</v>
      </c>
      <c r="K2343" s="3" t="n">
        <v>-0.8851708738427413</v>
      </c>
      <c r="L2343" s="3" t="n">
        <v>-0.7877477627051505</v>
      </c>
      <c r="M2343" s="3" t="n">
        <v>-0.7877477627051505</v>
      </c>
      <c r="N2343" s="3" t="n">
        <v>-0.7877477627051505</v>
      </c>
      <c r="O2343" s="3" t="n">
        <v>-0.7877477627051505</v>
      </c>
      <c r="P2343" s="3" t="n">
        <v>-0.7877477627051505</v>
      </c>
      <c r="Q2343" s="3" t="n">
        <v>-0.7877477627051505</v>
      </c>
      <c r="R2343" s="3" t="n">
        <v>-0.7732278971295607</v>
      </c>
      <c r="S2343" s="3" t="n">
        <v>-1.272680619829579</v>
      </c>
      <c r="T2343" s="3" t="n">
        <v>-0.7095935376066911</v>
      </c>
      <c r="U2343" s="3" t="n">
        <v>-0.8851708738427413</v>
      </c>
      <c r="V2343" s="3" t="n">
        <v>-0.6822572021107924</v>
      </c>
      <c r="W2343" s="3" t="n">
        <v>-0.5831292993143985</v>
      </c>
      <c r="X2343" s="3" t="n">
        <v>-1.253795093611667</v>
      </c>
      <c r="Y2343" s="3" t="n">
        <v>-0.7877477627051505</v>
      </c>
      <c r="Z2343" s="3" t="n">
        <v>-1.272680619829579</v>
      </c>
      <c r="AA2343" s="3" t="n">
        <v>-1.272680619829579</v>
      </c>
      <c r="AB2343" s="3" t="n">
        <v>-1.253795093611667</v>
      </c>
      <c r="AC2343" s="3" t="n">
        <v>-1.960433708994012</v>
      </c>
      <c r="AD2343" s="3" t="n">
        <v>-0.8851708738427413</v>
      </c>
      <c r="AE2343" s="3" t="n">
        <v>-0.8851708738427413</v>
      </c>
    </row>
    <row r="2344">
      <c r="A2344" s="3" t="inlineStr">
        <is>
          <t>WSM.distn.dec.ove.mean.9</t>
        </is>
      </c>
      <c r="B2344" s="3" t="inlineStr">
        <is>
          <t>WSM</t>
        </is>
      </c>
      <c r="C2344" s="3" t="n">
        <v>2005</v>
      </c>
      <c r="D2344" s="3" t="inlineStr">
        <is>
          <t>Overall</t>
        </is>
      </c>
      <c r="E2344" s="3" t="inlineStr">
        <is>
          <t>Deciles</t>
        </is>
      </c>
      <c r="F2344" s="3" t="inlineStr">
        <is>
          <t>mean</t>
        </is>
      </c>
      <c r="G2344" s="3" t="n">
        <v>9</v>
      </c>
      <c r="H2344" s="3" t="n">
        <v>-0.7877477627051505</v>
      </c>
      <c r="I2344" s="3" t="n">
        <v>-0.7877477627051505</v>
      </c>
      <c r="J2344" s="3" t="n">
        <v>-0.8851708738427413</v>
      </c>
      <c r="K2344" s="3" t="n">
        <v>-0.8851708738427413</v>
      </c>
      <c r="L2344" s="3" t="n">
        <v>-0.7877477627051505</v>
      </c>
      <c r="M2344" s="3" t="n">
        <v>-0.7877477627051505</v>
      </c>
      <c r="N2344" s="3" t="n">
        <v>-0.7877477627051505</v>
      </c>
      <c r="O2344" s="3" t="n">
        <v>-0.7877477627051505</v>
      </c>
      <c r="P2344" s="3" t="n">
        <v>-0.7877477627051505</v>
      </c>
      <c r="Q2344" s="3" t="n">
        <v>-0.7877477627051505</v>
      </c>
      <c r="R2344" s="3" t="n">
        <v>-0.7732278971295607</v>
      </c>
      <c r="S2344" s="3" t="n">
        <v>-1.272680619829579</v>
      </c>
      <c r="T2344" s="3" t="n">
        <v>-0.7095935376066911</v>
      </c>
      <c r="U2344" s="3" t="n">
        <v>-0.8851708738427413</v>
      </c>
      <c r="V2344" s="3" t="n">
        <v>-0.6822572021107924</v>
      </c>
      <c r="W2344" s="3" t="n">
        <v>-0.5831292993143985</v>
      </c>
      <c r="X2344" s="3" t="n">
        <v>-1.253795093611667</v>
      </c>
      <c r="Y2344" s="3" t="n">
        <v>-0.7877477627051505</v>
      </c>
      <c r="Z2344" s="3" t="n">
        <v>-1.272680619829579</v>
      </c>
      <c r="AA2344" s="3" t="n">
        <v>-1.272680619829579</v>
      </c>
      <c r="AB2344" s="3" t="n">
        <v>-1.253795093611667</v>
      </c>
      <c r="AC2344" s="3" t="n">
        <v>-1.960433708994012</v>
      </c>
      <c r="AD2344" s="3" t="n">
        <v>-0.8851708738427413</v>
      </c>
      <c r="AE2344" s="3" t="n">
        <v>-0.8851708738427413</v>
      </c>
    </row>
    <row r="2345">
      <c r="A2345" s="3" t="inlineStr">
        <is>
          <t>WSM.distn.dec.ove.mean.10</t>
        </is>
      </c>
      <c r="B2345" s="3" t="inlineStr">
        <is>
          <t>WSM</t>
        </is>
      </c>
      <c r="C2345" s="3" t="n">
        <v>2005</v>
      </c>
      <c r="D2345" s="3" t="inlineStr">
        <is>
          <t>Overall</t>
        </is>
      </c>
      <c r="E2345" s="3" t="inlineStr">
        <is>
          <t>Deciles</t>
        </is>
      </c>
      <c r="F2345" s="3" t="inlineStr">
        <is>
          <t>mean</t>
        </is>
      </c>
      <c r="G2345" s="3" t="n">
        <v>10</v>
      </c>
      <c r="H2345" s="3" t="n">
        <v>-0.7877477627051505</v>
      </c>
      <c r="I2345" s="3" t="n">
        <v>-0.7877477627051505</v>
      </c>
      <c r="J2345" s="3" t="n">
        <v>-0.8851708738427413</v>
      </c>
      <c r="K2345" s="3" t="n">
        <v>-0.8851708738427413</v>
      </c>
      <c r="L2345" s="3" t="n">
        <v>-0.7877477627051505</v>
      </c>
      <c r="M2345" s="3" t="n">
        <v>-0.7877477627051505</v>
      </c>
      <c r="N2345" s="3" t="n">
        <v>-0.7877477627051505</v>
      </c>
      <c r="O2345" s="3" t="n">
        <v>-0.7877477627051505</v>
      </c>
      <c r="P2345" s="3" t="n">
        <v>-0.7877477627051505</v>
      </c>
      <c r="Q2345" s="3" t="n">
        <v>-0.7877477627051505</v>
      </c>
      <c r="R2345" s="3" t="n">
        <v>-0.7732278971295607</v>
      </c>
      <c r="S2345" s="3" t="n">
        <v>-1.272680619829579</v>
      </c>
      <c r="T2345" s="3" t="n">
        <v>-0.7095935376066911</v>
      </c>
      <c r="U2345" s="3" t="n">
        <v>-0.8851708738427413</v>
      </c>
      <c r="V2345" s="3" t="n">
        <v>-0.6822572021107924</v>
      </c>
      <c r="W2345" s="3" t="n">
        <v>-0.5831292993143985</v>
      </c>
      <c r="X2345" s="3" t="n">
        <v>-1.253795093611667</v>
      </c>
      <c r="Y2345" s="3" t="n">
        <v>-0.7877477627051505</v>
      </c>
      <c r="Z2345" s="3" t="n">
        <v>-1.272680619829579</v>
      </c>
      <c r="AA2345" s="3" t="n">
        <v>-1.272680619829579</v>
      </c>
      <c r="AB2345" s="3" t="n">
        <v>-1.253795093611667</v>
      </c>
      <c r="AC2345" s="3" t="n">
        <v>-1.960433708994012</v>
      </c>
      <c r="AD2345" s="3" t="n">
        <v>-0.8851708738427413</v>
      </c>
      <c r="AE2345" s="3" t="n">
        <v>-0.8851708738427413</v>
      </c>
    </row>
    <row r="2346">
      <c r="A2346" s="3" t="inlineStr">
        <is>
          <t>WSM.distn.bkt.ove.mean.9999</t>
        </is>
      </c>
      <c r="B2346" s="3" t="inlineStr">
        <is>
          <t>WSM</t>
        </is>
      </c>
      <c r="C2346" s="3" t="n">
        <v>2005</v>
      </c>
      <c r="D2346" s="3" t="inlineStr">
        <is>
          <t>Overall</t>
        </is>
      </c>
      <c r="E2346" s="3" t="inlineStr">
        <is>
          <t>Basket</t>
        </is>
      </c>
      <c r="F2346" s="3" t="inlineStr">
        <is>
          <t>mean</t>
        </is>
      </c>
      <c r="G2346" s="3" t="n">
        <v>9999</v>
      </c>
      <c r="H2346" s="3" t="n">
        <v>-0.7893673542298769</v>
      </c>
      <c r="I2346" s="3" t="n">
        <v>-0.7893673542298769</v>
      </c>
      <c r="J2346" s="3" t="n">
        <v>-0.8969508472241854</v>
      </c>
      <c r="K2346" s="3" t="n">
        <v>-0.8969508472241854</v>
      </c>
      <c r="L2346" s="3" t="n">
        <v>-0.7893673542298769</v>
      </c>
      <c r="M2346" s="3" t="n">
        <v>-0.7893673542298769</v>
      </c>
      <c r="N2346" s="3" t="n">
        <v>-0.7893673542298769</v>
      </c>
      <c r="O2346" s="3" t="n">
        <v>-0.7893673542298769</v>
      </c>
      <c r="P2346" s="3" t="n">
        <v>-0.7893673542298769</v>
      </c>
      <c r="Q2346" s="3" t="n">
        <v>-0.7893673542298769</v>
      </c>
      <c r="R2346" s="3" t="n">
        <v>-0.7740951949044278</v>
      </c>
      <c r="S2346" s="3" t="n">
        <v>-1.441575941286589</v>
      </c>
      <c r="T2346" s="3" t="n">
        <v>-0.7100016239442324</v>
      </c>
      <c r="U2346" s="3" t="n">
        <v>-0.8969508472241854</v>
      </c>
      <c r="V2346" s="3" t="n">
        <v>-0.6838645276270414</v>
      </c>
      <c r="W2346" s="3" t="n">
        <v>-0.6045490895446978</v>
      </c>
      <c r="X2346" s="3" t="n">
        <v>-1.401289532059117</v>
      </c>
      <c r="Y2346" s="3" t="n">
        <v>-0.7893673542298769</v>
      </c>
      <c r="Z2346" s="3" t="n">
        <v>-1.441575941286589</v>
      </c>
      <c r="AA2346" s="3" t="n">
        <v>-1.441575941286589</v>
      </c>
      <c r="AB2346" s="3" t="n">
        <v>-1.401289532059117</v>
      </c>
      <c r="AC2346" s="3" t="n">
        <v>-2.562009337701296</v>
      </c>
      <c r="AD2346" s="3" t="n">
        <v>-0.8969508472241854</v>
      </c>
      <c r="AE2346" s="3" t="n">
        <v>-0.8969508472241854</v>
      </c>
    </row>
    <row r="2347">
      <c r="A2347" s="3" t="inlineStr">
        <is>
          <t>XKX.distn.dec.ove.mean.1</t>
        </is>
      </c>
      <c r="B2347" s="3" t="inlineStr">
        <is>
          <t>XKX</t>
        </is>
      </c>
      <c r="C2347" s="3" t="n">
        <v>2005</v>
      </c>
      <c r="D2347" s="3" t="inlineStr">
        <is>
          <t>Overall</t>
        </is>
      </c>
      <c r="E2347" s="3" t="inlineStr">
        <is>
          <t>Deciles</t>
        </is>
      </c>
      <c r="F2347" s="3" t="inlineStr">
        <is>
          <t>mean</t>
        </is>
      </c>
      <c r="G2347" s="3" t="n">
        <v>1</v>
      </c>
      <c r="H2347" s="3" t="n">
        <v>-0.7898249251501901</v>
      </c>
      <c r="I2347" s="3" t="n">
        <v>-0.7898249251501901</v>
      </c>
      <c r="J2347" s="3" t="n">
        <v>-0.9006037865366254</v>
      </c>
      <c r="K2347" s="3" t="n">
        <v>-0.9006037865366254</v>
      </c>
      <c r="L2347" s="3" t="n">
        <v>-0.7898249251501901</v>
      </c>
      <c r="M2347" s="3" t="n">
        <v>-0.7898249251501901</v>
      </c>
      <c r="N2347" s="3" t="n">
        <v>-0.7898249251501901</v>
      </c>
      <c r="O2347" s="3" t="n">
        <v>-0.7898249251501901</v>
      </c>
      <c r="P2347" s="3" t="n">
        <v>-0.7898249251501901</v>
      </c>
      <c r="Q2347" s="3" t="n">
        <v>-0.7898249251501901</v>
      </c>
      <c r="R2347" s="3" t="n">
        <v>-0.7744465725762504</v>
      </c>
      <c r="S2347" s="3" t="n">
        <v>-1.490841317176819</v>
      </c>
      <c r="T2347" s="3" t="n">
        <v>-0.7100824441228594</v>
      </c>
      <c r="U2347" s="3" t="n">
        <v>-0.9006037865366254</v>
      </c>
      <c r="V2347" s="3" t="n">
        <v>-0.6846477542604719</v>
      </c>
      <c r="W2347" s="3" t="n">
        <v>-0.6204802887780326</v>
      </c>
      <c r="X2347" s="3" t="n">
        <v>-1.433480068615505</v>
      </c>
      <c r="Y2347" s="3" t="n">
        <v>-0.7898249251501901</v>
      </c>
      <c r="Z2347" s="3" t="n">
        <v>-1.490841317176819</v>
      </c>
      <c r="AA2347" s="3" t="n">
        <v>-1.490841317176819</v>
      </c>
      <c r="AB2347" s="3" t="n">
        <v>-1.433480068615505</v>
      </c>
      <c r="AC2347" s="3" t="n">
        <v>-2.345895099639892</v>
      </c>
      <c r="AD2347" s="3" t="n">
        <v>-0.9006037865366254</v>
      </c>
      <c r="AE2347" s="3" t="n">
        <v>-0.9006037865366254</v>
      </c>
    </row>
    <row r="2348">
      <c r="A2348" s="3" t="inlineStr">
        <is>
          <t>XKX.distn.dec.ove.mean.2</t>
        </is>
      </c>
      <c r="B2348" s="3" t="inlineStr">
        <is>
          <t>XKX</t>
        </is>
      </c>
      <c r="C2348" s="3" t="n">
        <v>2005</v>
      </c>
      <c r="D2348" s="3" t="inlineStr">
        <is>
          <t>Overall</t>
        </is>
      </c>
      <c r="E2348" s="3" t="inlineStr">
        <is>
          <t>Deciles</t>
        </is>
      </c>
      <c r="F2348" s="3" t="inlineStr">
        <is>
          <t>mean</t>
        </is>
      </c>
      <c r="G2348" s="3" t="n">
        <v>2</v>
      </c>
      <c r="H2348" s="3" t="n">
        <v>-0.7898249251501901</v>
      </c>
      <c r="I2348" s="3" t="n">
        <v>-0.7898249251501901</v>
      </c>
      <c r="J2348" s="3" t="n">
        <v>-0.9006037865366254</v>
      </c>
      <c r="K2348" s="3" t="n">
        <v>-0.9006037865366254</v>
      </c>
      <c r="L2348" s="3" t="n">
        <v>-0.7898249251501901</v>
      </c>
      <c r="M2348" s="3" t="n">
        <v>-0.7898249251501901</v>
      </c>
      <c r="N2348" s="3" t="n">
        <v>-0.7898249251501901</v>
      </c>
      <c r="O2348" s="3" t="n">
        <v>-0.7898249251501901</v>
      </c>
      <c r="P2348" s="3" t="n">
        <v>-0.7898249251501901</v>
      </c>
      <c r="Q2348" s="3" t="n">
        <v>-0.7898249251501901</v>
      </c>
      <c r="R2348" s="3" t="n">
        <v>-0.7744465725762504</v>
      </c>
      <c r="S2348" s="3" t="n">
        <v>-1.490841317176819</v>
      </c>
      <c r="T2348" s="3" t="n">
        <v>-0.7100824441228594</v>
      </c>
      <c r="U2348" s="3" t="n">
        <v>-0.9006037865366254</v>
      </c>
      <c r="V2348" s="3" t="n">
        <v>-0.6846477542604719</v>
      </c>
      <c r="W2348" s="3" t="n">
        <v>-0.6204802887780326</v>
      </c>
      <c r="X2348" s="3" t="n">
        <v>-1.433480068615505</v>
      </c>
      <c r="Y2348" s="3" t="n">
        <v>-0.7898249251501901</v>
      </c>
      <c r="Z2348" s="3" t="n">
        <v>-1.490841317176819</v>
      </c>
      <c r="AA2348" s="3" t="n">
        <v>-1.490841317176819</v>
      </c>
      <c r="AB2348" s="3" t="n">
        <v>-1.433480068615505</v>
      </c>
      <c r="AC2348" s="3" t="n">
        <v>-2.345895099639892</v>
      </c>
      <c r="AD2348" s="3" t="n">
        <v>-0.9006037865366254</v>
      </c>
      <c r="AE2348" s="3" t="n">
        <v>-0.9006037865366254</v>
      </c>
    </row>
    <row r="2349">
      <c r="A2349" s="3" t="inlineStr">
        <is>
          <t>XKX.distn.dec.ove.mean.3</t>
        </is>
      </c>
      <c r="B2349" s="3" t="inlineStr">
        <is>
          <t>XKX</t>
        </is>
      </c>
      <c r="C2349" s="3" t="n">
        <v>2005</v>
      </c>
      <c r="D2349" s="3" t="inlineStr">
        <is>
          <t>Overall</t>
        </is>
      </c>
      <c r="E2349" s="3" t="inlineStr">
        <is>
          <t>Deciles</t>
        </is>
      </c>
      <c r="F2349" s="3" t="inlineStr">
        <is>
          <t>mean</t>
        </is>
      </c>
      <c r="G2349" s="3" t="n">
        <v>3</v>
      </c>
      <c r="H2349" s="3" t="n">
        <v>-0.7898249251501901</v>
      </c>
      <c r="I2349" s="3" t="n">
        <v>-0.7898249251501901</v>
      </c>
      <c r="J2349" s="3" t="n">
        <v>-0.9006037865366254</v>
      </c>
      <c r="K2349" s="3" t="n">
        <v>-0.9006037865366254</v>
      </c>
      <c r="L2349" s="3" t="n">
        <v>-0.7898249251501901</v>
      </c>
      <c r="M2349" s="3" t="n">
        <v>-0.7898249251501901</v>
      </c>
      <c r="N2349" s="3" t="n">
        <v>-0.7898249251501901</v>
      </c>
      <c r="O2349" s="3" t="n">
        <v>-0.7898249251501901</v>
      </c>
      <c r="P2349" s="3" t="n">
        <v>-0.7898249251501901</v>
      </c>
      <c r="Q2349" s="3" t="n">
        <v>-0.7898249251501901</v>
      </c>
      <c r="R2349" s="3" t="n">
        <v>-0.7744465725762504</v>
      </c>
      <c r="S2349" s="3" t="n">
        <v>-1.490841317176819</v>
      </c>
      <c r="T2349" s="3" t="n">
        <v>-0.7100824441228594</v>
      </c>
      <c r="U2349" s="3" t="n">
        <v>-0.9006037865366254</v>
      </c>
      <c r="V2349" s="3" t="n">
        <v>-0.6846477542604719</v>
      </c>
      <c r="W2349" s="3" t="n">
        <v>-0.6204802887780326</v>
      </c>
      <c r="X2349" s="3" t="n">
        <v>-1.433480068615505</v>
      </c>
      <c r="Y2349" s="3" t="n">
        <v>-0.7898249251501901</v>
      </c>
      <c r="Z2349" s="3" t="n">
        <v>-1.490841317176819</v>
      </c>
      <c r="AA2349" s="3" t="n">
        <v>-1.490841317176819</v>
      </c>
      <c r="AB2349" s="3" t="n">
        <v>-1.433480068615505</v>
      </c>
      <c r="AC2349" s="3" t="n">
        <v>-2.345895099639892</v>
      </c>
      <c r="AD2349" s="3" t="n">
        <v>-0.9006037865366254</v>
      </c>
      <c r="AE2349" s="3" t="n">
        <v>-0.9006037865366254</v>
      </c>
    </row>
    <row r="2350">
      <c r="A2350" s="3" t="inlineStr">
        <is>
          <t>XKX.distn.dec.ove.mean.4</t>
        </is>
      </c>
      <c r="B2350" s="3" t="inlineStr">
        <is>
          <t>XKX</t>
        </is>
      </c>
      <c r="C2350" s="3" t="n">
        <v>2005</v>
      </c>
      <c r="D2350" s="3" t="inlineStr">
        <is>
          <t>Overall</t>
        </is>
      </c>
      <c r="E2350" s="3" t="inlineStr">
        <is>
          <t>Deciles</t>
        </is>
      </c>
      <c r="F2350" s="3" t="inlineStr">
        <is>
          <t>mean</t>
        </is>
      </c>
      <c r="G2350" s="3" t="n">
        <v>4</v>
      </c>
      <c r="H2350" s="3" t="n">
        <v>-0.7835714289120266</v>
      </c>
      <c r="I2350" s="3" t="n">
        <v>-0.7835714289120266</v>
      </c>
      <c r="J2350" s="3" t="n">
        <v>-0.8570857082094465</v>
      </c>
      <c r="K2350" s="3" t="n">
        <v>-0.8570857082094465</v>
      </c>
      <c r="L2350" s="3" t="n">
        <v>-0.7835714289120266</v>
      </c>
      <c r="M2350" s="3" t="n">
        <v>-0.7835714289120266</v>
      </c>
      <c r="N2350" s="3" t="n">
        <v>-0.7835714289120266</v>
      </c>
      <c r="O2350" s="3" t="n">
        <v>-0.7835714289120266</v>
      </c>
      <c r="P2350" s="3" t="n">
        <v>-0.7835714289120266</v>
      </c>
      <c r="Q2350" s="3" t="n">
        <v>-0.7835714289120266</v>
      </c>
      <c r="R2350" s="3" t="n">
        <v>-0.7709714361599513</v>
      </c>
      <c r="S2350" s="3" t="n">
        <v>-1.015428565229688</v>
      </c>
      <c r="T2350" s="3" t="n">
        <v>-0.708628567627498</v>
      </c>
      <c r="U2350" s="3" t="n">
        <v>-0.8570857082094465</v>
      </c>
      <c r="V2350" s="3" t="n">
        <v>-0.6776857103620256</v>
      </c>
      <c r="W2350" s="3" t="n">
        <v>-0.5221999968801226</v>
      </c>
      <c r="X2350" s="3" t="n">
        <v>-1.011657135827201</v>
      </c>
      <c r="Y2350" s="3" t="n">
        <v>-0.7835714289120266</v>
      </c>
      <c r="Z2350" s="3" t="n">
        <v>-1.015428565229688</v>
      </c>
      <c r="AA2350" s="3" t="n">
        <v>-1.015428565229688</v>
      </c>
      <c r="AB2350" s="3" t="n">
        <v>-1.011657135827201</v>
      </c>
      <c r="AC2350" s="3" t="n">
        <v>-1.132885714939662</v>
      </c>
      <c r="AD2350" s="3" t="n">
        <v>-0.8570857082094465</v>
      </c>
      <c r="AE2350" s="3" t="n">
        <v>-0.8570857082094465</v>
      </c>
    </row>
    <row r="2351">
      <c r="A2351" s="3" t="inlineStr">
        <is>
          <t>XKX.distn.dec.ove.mean.5</t>
        </is>
      </c>
      <c r="B2351" s="3" t="inlineStr">
        <is>
          <t>XKX</t>
        </is>
      </c>
      <c r="C2351" s="3" t="n">
        <v>2005</v>
      </c>
      <c r="D2351" s="3" t="inlineStr">
        <is>
          <t>Overall</t>
        </is>
      </c>
      <c r="E2351" s="3" t="inlineStr">
        <is>
          <t>Deciles</t>
        </is>
      </c>
      <c r="F2351" s="3" t="inlineStr">
        <is>
          <t>mean</t>
        </is>
      </c>
      <c r="G2351" s="3" t="n">
        <v>5</v>
      </c>
      <c r="H2351" s="3" t="n">
        <v>-0.7835714289120266</v>
      </c>
      <c r="I2351" s="3" t="n">
        <v>-0.7835714289120266</v>
      </c>
      <c r="J2351" s="3" t="n">
        <v>-0.8570857082094465</v>
      </c>
      <c r="K2351" s="3" t="n">
        <v>-0.8570857082094465</v>
      </c>
      <c r="L2351" s="3" t="n">
        <v>-0.7835714289120266</v>
      </c>
      <c r="M2351" s="3" t="n">
        <v>-0.7835714289120266</v>
      </c>
      <c r="N2351" s="3" t="n">
        <v>-0.7835714289120266</v>
      </c>
      <c r="O2351" s="3" t="n">
        <v>-0.7835714289120266</v>
      </c>
      <c r="P2351" s="3" t="n">
        <v>-0.7835714289120266</v>
      </c>
      <c r="Q2351" s="3" t="n">
        <v>-0.7835714289120266</v>
      </c>
      <c r="R2351" s="3" t="n">
        <v>-0.7709714361599513</v>
      </c>
      <c r="S2351" s="3" t="n">
        <v>-1.015428565229688</v>
      </c>
      <c r="T2351" s="3" t="n">
        <v>-0.708628567627498</v>
      </c>
      <c r="U2351" s="3" t="n">
        <v>-0.8570857082094465</v>
      </c>
      <c r="V2351" s="3" t="n">
        <v>-0.6776857103620256</v>
      </c>
      <c r="W2351" s="3" t="n">
        <v>-0.5221999968801226</v>
      </c>
      <c r="X2351" s="3" t="n">
        <v>-1.011657135827201</v>
      </c>
      <c r="Y2351" s="3" t="n">
        <v>-0.7835714289120266</v>
      </c>
      <c r="Z2351" s="3" t="n">
        <v>-1.015428565229688</v>
      </c>
      <c r="AA2351" s="3" t="n">
        <v>-1.015428565229688</v>
      </c>
      <c r="AB2351" s="3" t="n">
        <v>-1.011657135827201</v>
      </c>
      <c r="AC2351" s="3" t="n">
        <v>-1.132885714939662</v>
      </c>
      <c r="AD2351" s="3" t="n">
        <v>-0.8570857082094465</v>
      </c>
      <c r="AE2351" s="3" t="n">
        <v>-0.8570857082094465</v>
      </c>
    </row>
    <row r="2352">
      <c r="A2352" s="3" t="inlineStr">
        <is>
          <t>XKX.distn.dec.ove.mean.6</t>
        </is>
      </c>
      <c r="B2352" s="3" t="inlineStr">
        <is>
          <t>XKX</t>
        </is>
      </c>
      <c r="C2352" s="3" t="n">
        <v>2005</v>
      </c>
      <c r="D2352" s="3" t="inlineStr">
        <is>
          <t>Overall</t>
        </is>
      </c>
      <c r="E2352" s="3" t="inlineStr">
        <is>
          <t>Deciles</t>
        </is>
      </c>
      <c r="F2352" s="3" t="inlineStr">
        <is>
          <t>mean</t>
        </is>
      </c>
      <c r="G2352" s="3" t="n">
        <v>6</v>
      </c>
      <c r="H2352" s="3" t="n">
        <v>-0.7835714289120266</v>
      </c>
      <c r="I2352" s="3" t="n">
        <v>-0.7835714289120266</v>
      </c>
      <c r="J2352" s="3" t="n">
        <v>-0.8570857082094465</v>
      </c>
      <c r="K2352" s="3" t="n">
        <v>-0.8570857082094465</v>
      </c>
      <c r="L2352" s="3" t="n">
        <v>-0.7835714289120266</v>
      </c>
      <c r="M2352" s="3" t="n">
        <v>-0.7835714289120266</v>
      </c>
      <c r="N2352" s="3" t="n">
        <v>-0.7835714289120266</v>
      </c>
      <c r="O2352" s="3" t="n">
        <v>-0.7835714289120266</v>
      </c>
      <c r="P2352" s="3" t="n">
        <v>-0.7835714289120266</v>
      </c>
      <c r="Q2352" s="3" t="n">
        <v>-0.7835714289120266</v>
      </c>
      <c r="R2352" s="3" t="n">
        <v>-0.7709714361599513</v>
      </c>
      <c r="S2352" s="3" t="n">
        <v>-1.015428565229688</v>
      </c>
      <c r="T2352" s="3" t="n">
        <v>-0.708628567627498</v>
      </c>
      <c r="U2352" s="3" t="n">
        <v>-0.8570857082094465</v>
      </c>
      <c r="V2352" s="3" t="n">
        <v>-0.6776857103620256</v>
      </c>
      <c r="W2352" s="3" t="n">
        <v>-0.5221999968801226</v>
      </c>
      <c r="X2352" s="3" t="n">
        <v>-1.011657135827201</v>
      </c>
      <c r="Y2352" s="3" t="n">
        <v>-0.7835714289120266</v>
      </c>
      <c r="Z2352" s="3" t="n">
        <v>-1.015428565229688</v>
      </c>
      <c r="AA2352" s="3" t="n">
        <v>-1.015428565229688</v>
      </c>
      <c r="AB2352" s="3" t="n">
        <v>-1.011657135827201</v>
      </c>
      <c r="AC2352" s="3" t="n">
        <v>-1.132885714939662</v>
      </c>
      <c r="AD2352" s="3" t="n">
        <v>-0.8570857082094465</v>
      </c>
      <c r="AE2352" s="3" t="n">
        <v>-0.8570857082094465</v>
      </c>
    </row>
    <row r="2353">
      <c r="A2353" s="3" t="inlineStr">
        <is>
          <t>XKX.distn.dec.ove.mean.7</t>
        </is>
      </c>
      <c r="B2353" s="3" t="inlineStr">
        <is>
          <t>XKX</t>
        </is>
      </c>
      <c r="C2353" s="3" t="n">
        <v>2005</v>
      </c>
      <c r="D2353" s="3" t="inlineStr">
        <is>
          <t>Overall</t>
        </is>
      </c>
      <c r="E2353" s="3" t="inlineStr">
        <is>
          <t>Deciles</t>
        </is>
      </c>
      <c r="F2353" s="3" t="inlineStr">
        <is>
          <t>mean</t>
        </is>
      </c>
      <c r="G2353" s="3" t="n">
        <v>7</v>
      </c>
      <c r="H2353" s="3" t="n">
        <v>-0.7835714289120266</v>
      </c>
      <c r="I2353" s="3" t="n">
        <v>-0.7835714289120266</v>
      </c>
      <c r="J2353" s="3" t="n">
        <v>-0.8570857082094465</v>
      </c>
      <c r="K2353" s="3" t="n">
        <v>-0.8570857082094465</v>
      </c>
      <c r="L2353" s="3" t="n">
        <v>-0.7835714289120266</v>
      </c>
      <c r="M2353" s="3" t="n">
        <v>-0.7835714289120266</v>
      </c>
      <c r="N2353" s="3" t="n">
        <v>-0.7835714289120266</v>
      </c>
      <c r="O2353" s="3" t="n">
        <v>-0.7835714289120266</v>
      </c>
      <c r="P2353" s="3" t="n">
        <v>-0.7835714289120266</v>
      </c>
      <c r="Q2353" s="3" t="n">
        <v>-0.7835714289120266</v>
      </c>
      <c r="R2353" s="3" t="n">
        <v>-0.7709714361599513</v>
      </c>
      <c r="S2353" s="3" t="n">
        <v>-1.015428565229688</v>
      </c>
      <c r="T2353" s="3" t="n">
        <v>-0.708628567627498</v>
      </c>
      <c r="U2353" s="3" t="n">
        <v>-0.8570857082094465</v>
      </c>
      <c r="V2353" s="3" t="n">
        <v>-0.6776857103620256</v>
      </c>
      <c r="W2353" s="3" t="n">
        <v>-0.5221999968801226</v>
      </c>
      <c r="X2353" s="3" t="n">
        <v>-1.011657135827201</v>
      </c>
      <c r="Y2353" s="3" t="n">
        <v>-0.7835714289120266</v>
      </c>
      <c r="Z2353" s="3" t="n">
        <v>-1.015428565229688</v>
      </c>
      <c r="AA2353" s="3" t="n">
        <v>-1.015428565229688</v>
      </c>
      <c r="AB2353" s="3" t="n">
        <v>-1.011657135827201</v>
      </c>
      <c r="AC2353" s="3" t="n">
        <v>-1.132885714939662</v>
      </c>
      <c r="AD2353" s="3" t="n">
        <v>-0.8570857082094465</v>
      </c>
      <c r="AE2353" s="3" t="n">
        <v>-0.8570857082094465</v>
      </c>
    </row>
    <row r="2354">
      <c r="A2354" s="3" t="inlineStr">
        <is>
          <t>XKX.distn.dec.ove.mean.8</t>
        </is>
      </c>
      <c r="B2354" s="3" t="inlineStr">
        <is>
          <t>XKX</t>
        </is>
      </c>
      <c r="C2354" s="3" t="n">
        <v>2005</v>
      </c>
      <c r="D2354" s="3" t="inlineStr">
        <is>
          <t>Overall</t>
        </is>
      </c>
      <c r="E2354" s="3" t="inlineStr">
        <is>
          <t>Deciles</t>
        </is>
      </c>
      <c r="F2354" s="3" t="inlineStr">
        <is>
          <t>mean</t>
        </is>
      </c>
      <c r="G2354" s="3" t="n">
        <v>8</v>
      </c>
      <c r="H2354" s="3" t="n">
        <v>-0.7839489357812064</v>
      </c>
      <c r="I2354" s="3" t="n">
        <v>-0.7839489357812064</v>
      </c>
      <c r="J2354" s="3" t="n">
        <v>-0.8593977723802839</v>
      </c>
      <c r="K2354" s="3" t="n">
        <v>-0.8593977723802839</v>
      </c>
      <c r="L2354" s="3" t="n">
        <v>-0.7839489357812064</v>
      </c>
      <c r="M2354" s="3" t="n">
        <v>-0.7839489357812064</v>
      </c>
      <c r="N2354" s="3" t="n">
        <v>-0.7839489357812064</v>
      </c>
      <c r="O2354" s="3" t="n">
        <v>-0.7839489357812064</v>
      </c>
      <c r="P2354" s="3" t="n">
        <v>-0.7839489357812064</v>
      </c>
      <c r="Q2354" s="3" t="n">
        <v>-0.7839489357812064</v>
      </c>
      <c r="R2354" s="3" t="n">
        <v>-0.7712249892098563</v>
      </c>
      <c r="S2354" s="3" t="n">
        <v>-1.024877253600529</v>
      </c>
      <c r="T2354" s="3" t="n">
        <v>-0.7086694342749459</v>
      </c>
      <c r="U2354" s="3" t="n">
        <v>-0.8593977723802839</v>
      </c>
      <c r="V2354" s="3" t="n">
        <v>-0.6783862863268171</v>
      </c>
      <c r="W2354" s="3" t="n">
        <v>-0.5361838928290776</v>
      </c>
      <c r="X2354" s="3" t="n">
        <v>-1.020875356878553</v>
      </c>
      <c r="Y2354" s="3" t="n">
        <v>-0.7839489357812064</v>
      </c>
      <c r="Z2354" s="3" t="n">
        <v>-1.024877253600529</v>
      </c>
      <c r="AA2354" s="3" t="n">
        <v>-1.024877253600529</v>
      </c>
      <c r="AB2354" s="3" t="n">
        <v>-1.020875356878553</v>
      </c>
      <c r="AC2354" s="3" t="n">
        <v>-1.149042170388358</v>
      </c>
      <c r="AD2354" s="3" t="n">
        <v>-0.8593977723802839</v>
      </c>
      <c r="AE2354" s="3" t="n">
        <v>-0.8593977723802839</v>
      </c>
    </row>
    <row r="2355">
      <c r="A2355" s="3" t="inlineStr">
        <is>
          <t>XKX.distn.dec.ove.mean.9</t>
        </is>
      </c>
      <c r="B2355" s="3" t="inlineStr">
        <is>
          <t>XKX</t>
        </is>
      </c>
      <c r="C2355" s="3" t="n">
        <v>2005</v>
      </c>
      <c r="D2355" s="3" t="inlineStr">
        <is>
          <t>Overall</t>
        </is>
      </c>
      <c r="E2355" s="3" t="inlineStr">
        <is>
          <t>Deciles</t>
        </is>
      </c>
      <c r="F2355" s="3" t="inlineStr">
        <is>
          <t>mean</t>
        </is>
      </c>
      <c r="G2355" s="3" t="n">
        <v>9</v>
      </c>
      <c r="H2355" s="3" t="n">
        <v>-0.7839489357812064</v>
      </c>
      <c r="I2355" s="3" t="n">
        <v>-0.7839489357812064</v>
      </c>
      <c r="J2355" s="3" t="n">
        <v>-0.8593977723802839</v>
      </c>
      <c r="K2355" s="3" t="n">
        <v>-0.8593977723802839</v>
      </c>
      <c r="L2355" s="3" t="n">
        <v>-0.7839489357812064</v>
      </c>
      <c r="M2355" s="3" t="n">
        <v>-0.7839489357812064</v>
      </c>
      <c r="N2355" s="3" t="n">
        <v>-0.7839489357812064</v>
      </c>
      <c r="O2355" s="3" t="n">
        <v>-0.7839489357812064</v>
      </c>
      <c r="P2355" s="3" t="n">
        <v>-0.7839489357812064</v>
      </c>
      <c r="Q2355" s="3" t="n">
        <v>-0.7839489357812064</v>
      </c>
      <c r="R2355" s="3" t="n">
        <v>-0.7712249892098563</v>
      </c>
      <c r="S2355" s="3" t="n">
        <v>-1.024877253600529</v>
      </c>
      <c r="T2355" s="3" t="n">
        <v>-0.7086694342749459</v>
      </c>
      <c r="U2355" s="3" t="n">
        <v>-0.8593977723802839</v>
      </c>
      <c r="V2355" s="3" t="n">
        <v>-0.6783862863268171</v>
      </c>
      <c r="W2355" s="3" t="n">
        <v>-0.5361838928290776</v>
      </c>
      <c r="X2355" s="3" t="n">
        <v>-1.020875356878553</v>
      </c>
      <c r="Y2355" s="3" t="n">
        <v>-0.7839489357812064</v>
      </c>
      <c r="Z2355" s="3" t="n">
        <v>-1.024877253600529</v>
      </c>
      <c r="AA2355" s="3" t="n">
        <v>-1.024877253600529</v>
      </c>
      <c r="AB2355" s="3" t="n">
        <v>-1.020875356878553</v>
      </c>
      <c r="AC2355" s="3" t="n">
        <v>-1.149042170388358</v>
      </c>
      <c r="AD2355" s="3" t="n">
        <v>-0.8593977723802839</v>
      </c>
      <c r="AE2355" s="3" t="n">
        <v>-0.8593977723802839</v>
      </c>
    </row>
    <row r="2356">
      <c r="A2356" s="3" t="inlineStr">
        <is>
          <t>XKX.distn.dec.ove.mean.10</t>
        </is>
      </c>
      <c r="B2356" s="3" t="inlineStr">
        <is>
          <t>XKX</t>
        </is>
      </c>
      <c r="C2356" s="3" t="n">
        <v>2005</v>
      </c>
      <c r="D2356" s="3" t="inlineStr">
        <is>
          <t>Overall</t>
        </is>
      </c>
      <c r="E2356" s="3" t="inlineStr">
        <is>
          <t>Deciles</t>
        </is>
      </c>
      <c r="F2356" s="3" t="inlineStr">
        <is>
          <t>mean</t>
        </is>
      </c>
      <c r="G2356" s="3" t="n">
        <v>10</v>
      </c>
      <c r="H2356" s="3" t="n">
        <v>-0.7839489357812064</v>
      </c>
      <c r="I2356" s="3" t="n">
        <v>-0.7839489357812064</v>
      </c>
      <c r="J2356" s="3" t="n">
        <v>-0.8593977723802839</v>
      </c>
      <c r="K2356" s="3" t="n">
        <v>-0.8593977723802839</v>
      </c>
      <c r="L2356" s="3" t="n">
        <v>-0.7839489357812064</v>
      </c>
      <c r="M2356" s="3" t="n">
        <v>-0.7839489357812064</v>
      </c>
      <c r="N2356" s="3" t="n">
        <v>-0.7839489357812064</v>
      </c>
      <c r="O2356" s="3" t="n">
        <v>-0.7839489357812064</v>
      </c>
      <c r="P2356" s="3" t="n">
        <v>-0.7839489357812064</v>
      </c>
      <c r="Q2356" s="3" t="n">
        <v>-0.7839489357812064</v>
      </c>
      <c r="R2356" s="3" t="n">
        <v>-0.7712249892098563</v>
      </c>
      <c r="S2356" s="3" t="n">
        <v>-1.024877253600529</v>
      </c>
      <c r="T2356" s="3" t="n">
        <v>-0.7086694342749459</v>
      </c>
      <c r="U2356" s="3" t="n">
        <v>-0.8593977723802839</v>
      </c>
      <c r="V2356" s="3" t="n">
        <v>-0.6783862863268171</v>
      </c>
      <c r="W2356" s="3" t="n">
        <v>-0.5361838928290776</v>
      </c>
      <c r="X2356" s="3" t="n">
        <v>-1.020875356878553</v>
      </c>
      <c r="Y2356" s="3" t="n">
        <v>-0.7839489357812064</v>
      </c>
      <c r="Z2356" s="3" t="n">
        <v>-1.024877253600529</v>
      </c>
      <c r="AA2356" s="3" t="n">
        <v>-1.024877253600529</v>
      </c>
      <c r="AB2356" s="3" t="n">
        <v>-1.020875356878553</v>
      </c>
      <c r="AC2356" s="3" t="n">
        <v>-1.149042170388358</v>
      </c>
      <c r="AD2356" s="3" t="n">
        <v>-0.8593977723802839</v>
      </c>
      <c r="AE2356" s="3" t="n">
        <v>-0.8593977723802839</v>
      </c>
    </row>
    <row r="2357">
      <c r="A2357" s="3" t="inlineStr">
        <is>
          <t>XKX.distn.bkt.ove.mean.9999</t>
        </is>
      </c>
      <c r="B2357" s="3" t="inlineStr">
        <is>
          <t>XKX</t>
        </is>
      </c>
      <c r="C2357" s="3" t="n">
        <v>2005</v>
      </c>
      <c r="D2357" s="3" t="inlineStr">
        <is>
          <t>Overall</t>
        </is>
      </c>
      <c r="E2357" s="3" t="inlineStr">
        <is>
          <t>Basket</t>
        </is>
      </c>
      <c r="F2357" s="3" t="inlineStr">
        <is>
          <t>mean</t>
        </is>
      </c>
      <c r="G2357" s="3" t="n">
        <v>9999</v>
      </c>
      <c r="H2357" s="3" t="n">
        <v>-0.7855607322284154</v>
      </c>
      <c r="I2357" s="3" t="n">
        <v>-0.7855607322284154</v>
      </c>
      <c r="J2357" s="3" t="n">
        <v>-0.8708347541945322</v>
      </c>
      <c r="K2357" s="3" t="n">
        <v>-0.8708347541945322</v>
      </c>
      <c r="L2357" s="3" t="n">
        <v>-0.7855607322284154</v>
      </c>
      <c r="M2357" s="3" t="n">
        <v>-0.7855607322284154</v>
      </c>
      <c r="N2357" s="3" t="n">
        <v>-0.7855607322284154</v>
      </c>
      <c r="O2357" s="3" t="n">
        <v>-0.7855607322284154</v>
      </c>
      <c r="P2357" s="3" t="n">
        <v>-0.7855607322284154</v>
      </c>
      <c r="Q2357" s="3" t="n">
        <v>-0.7855607322284154</v>
      </c>
      <c r="R2357" s="3" t="n">
        <v>-0.7720900552613394</v>
      </c>
      <c r="S2357" s="3" t="n">
        <v>-1.160887002944946</v>
      </c>
      <c r="T2357" s="3" t="n">
        <v>-0.7090769904000419</v>
      </c>
      <c r="U2357" s="3" t="n">
        <v>-0.8708347541945322</v>
      </c>
      <c r="V2357" s="3" t="n">
        <v>-0.6799844878060477</v>
      </c>
      <c r="W2357" s="3" t="n">
        <v>-0.5558792540005275</v>
      </c>
      <c r="X2357" s="3" t="n">
        <v>-1.140969473975045</v>
      </c>
      <c r="Y2357" s="3" t="n">
        <v>-0.7855607322284154</v>
      </c>
      <c r="Z2357" s="3" t="n">
        <v>-1.160887002944946</v>
      </c>
      <c r="AA2357" s="3" t="n">
        <v>-1.160887002944946</v>
      </c>
      <c r="AB2357" s="3" t="n">
        <v>-1.140969473975045</v>
      </c>
      <c r="AC2357" s="3" t="n">
        <v>-1.501635466303144</v>
      </c>
      <c r="AD2357" s="3" t="n">
        <v>-0.8708347541945322</v>
      </c>
      <c r="AE2357" s="3" t="n">
        <v>-0.8708347541945322</v>
      </c>
    </row>
    <row r="2358">
      <c r="A2358" s="3" t="inlineStr">
        <is>
          <t>YEM.distn.dec.ove.mean.1</t>
        </is>
      </c>
      <c r="B2358" s="3" t="inlineStr">
        <is>
          <t>YEM</t>
        </is>
      </c>
      <c r="C2358" s="3" t="n">
        <v>2005</v>
      </c>
      <c r="D2358" s="3" t="inlineStr">
        <is>
          <t>Overall</t>
        </is>
      </c>
      <c r="E2358" s="3" t="inlineStr">
        <is>
          <t>Deciles</t>
        </is>
      </c>
      <c r="F2358" s="3" t="inlineStr">
        <is>
          <t>mean</t>
        </is>
      </c>
      <c r="G2358" s="3" t="n">
        <v>1</v>
      </c>
      <c r="H2358" s="3" t="n">
        <v>-0.7932808399200439</v>
      </c>
      <c r="I2358" s="3" t="n">
        <v>-0.7932808399200439</v>
      </c>
      <c r="J2358" s="3" t="n">
        <v>-0.9278338551521301</v>
      </c>
      <c r="K2358" s="3" t="n">
        <v>-0.9278338551521301</v>
      </c>
      <c r="L2358" s="3" t="n">
        <v>-0.7932808399200439</v>
      </c>
      <c r="M2358" s="3" t="n">
        <v>-0.7932808399200439</v>
      </c>
      <c r="N2358" s="3" t="n">
        <v>-0.7932808399200439</v>
      </c>
      <c r="O2358" s="3" t="n">
        <v>-0.7932808399200439</v>
      </c>
      <c r="P2358" s="3" t="n">
        <v>-0.7932808399200439</v>
      </c>
      <c r="Q2358" s="3" t="n">
        <v>-0.7932808399200439</v>
      </c>
      <c r="R2358" s="3" t="n">
        <v>-0.7764842510223389</v>
      </c>
      <c r="S2358" s="3" t="n">
        <v>-1.739804267883301</v>
      </c>
      <c r="T2358" s="3" t="n">
        <v>-0.7114566564559937</v>
      </c>
      <c r="U2358" s="3" t="n">
        <v>-0.9278338551521301</v>
      </c>
      <c r="V2358" s="3" t="n">
        <v>-0.6890063881874084</v>
      </c>
      <c r="W2358" s="3" t="n">
        <v>-0.6808410882949829</v>
      </c>
      <c r="X2358" s="3" t="n">
        <v>-1.666347742080688</v>
      </c>
      <c r="Y2358" s="3" t="n">
        <v>-0.7932808399200439</v>
      </c>
      <c r="Z2358" s="3" t="n">
        <v>-1.739804267883301</v>
      </c>
      <c r="AA2358" s="3" t="n">
        <v>-1.739804267883301</v>
      </c>
      <c r="AB2358" s="3" t="n">
        <v>-1.666347742080688</v>
      </c>
      <c r="AC2358" s="3" t="n">
        <v>-3.2158362865448</v>
      </c>
      <c r="AD2358" s="3" t="n">
        <v>-0.9278338551521301</v>
      </c>
      <c r="AE2358" s="3" t="n">
        <v>-0.9278338551521301</v>
      </c>
    </row>
    <row r="2359">
      <c r="A2359" s="3" t="inlineStr">
        <is>
          <t>YEM.distn.dec.ove.mean.2</t>
        </is>
      </c>
      <c r="B2359" s="3" t="inlineStr">
        <is>
          <t>YEM</t>
        </is>
      </c>
      <c r="C2359" s="3" t="n">
        <v>2005</v>
      </c>
      <c r="D2359" s="3" t="inlineStr">
        <is>
          <t>Overall</t>
        </is>
      </c>
      <c r="E2359" s="3" t="inlineStr">
        <is>
          <t>Deciles</t>
        </is>
      </c>
      <c r="F2359" s="3" t="inlineStr">
        <is>
          <t>mean</t>
        </is>
      </c>
      <c r="G2359" s="3" t="n">
        <v>2</v>
      </c>
      <c r="H2359" s="3" t="n">
        <v>-0.7932808399200439</v>
      </c>
      <c r="I2359" s="3" t="n">
        <v>-0.7932808399200439</v>
      </c>
      <c r="J2359" s="3" t="n">
        <v>-0.9278338551521301</v>
      </c>
      <c r="K2359" s="3" t="n">
        <v>-0.9278338551521301</v>
      </c>
      <c r="L2359" s="3" t="n">
        <v>-0.7932808399200439</v>
      </c>
      <c r="M2359" s="3" t="n">
        <v>-0.7932808399200439</v>
      </c>
      <c r="N2359" s="3" t="n">
        <v>-0.7932808399200439</v>
      </c>
      <c r="O2359" s="3" t="n">
        <v>-0.7932808399200439</v>
      </c>
      <c r="P2359" s="3" t="n">
        <v>-0.7932808399200439</v>
      </c>
      <c r="Q2359" s="3" t="n">
        <v>-0.7932808399200439</v>
      </c>
      <c r="R2359" s="3" t="n">
        <v>-0.7764842510223389</v>
      </c>
      <c r="S2359" s="3" t="n">
        <v>-1.739804267883301</v>
      </c>
      <c r="T2359" s="3" t="n">
        <v>-0.7114566564559937</v>
      </c>
      <c r="U2359" s="3" t="n">
        <v>-0.9278338551521301</v>
      </c>
      <c r="V2359" s="3" t="n">
        <v>-0.6890063881874084</v>
      </c>
      <c r="W2359" s="3" t="n">
        <v>-0.6808410882949829</v>
      </c>
      <c r="X2359" s="3" t="n">
        <v>-1.666347742080688</v>
      </c>
      <c r="Y2359" s="3" t="n">
        <v>-0.7932808399200439</v>
      </c>
      <c r="Z2359" s="3" t="n">
        <v>-1.739804267883301</v>
      </c>
      <c r="AA2359" s="3" t="n">
        <v>-1.739804267883301</v>
      </c>
      <c r="AB2359" s="3" t="n">
        <v>-1.666347742080688</v>
      </c>
      <c r="AC2359" s="3" t="n">
        <v>-3.2158362865448</v>
      </c>
      <c r="AD2359" s="3" t="n">
        <v>-0.9278338551521301</v>
      </c>
      <c r="AE2359" s="3" t="n">
        <v>-0.9278338551521301</v>
      </c>
    </row>
    <row r="2360">
      <c r="A2360" s="3" t="inlineStr">
        <is>
          <t>YEM.distn.dec.ove.mean.3</t>
        </is>
      </c>
      <c r="B2360" s="3" t="inlineStr">
        <is>
          <t>YEM</t>
        </is>
      </c>
      <c r="C2360" s="3" t="n">
        <v>2005</v>
      </c>
      <c r="D2360" s="3" t="inlineStr">
        <is>
          <t>Overall</t>
        </is>
      </c>
      <c r="E2360" s="3" t="inlineStr">
        <is>
          <t>Deciles</t>
        </is>
      </c>
      <c r="F2360" s="3" t="inlineStr">
        <is>
          <t>mean</t>
        </is>
      </c>
      <c r="G2360" s="3" t="n">
        <v>3</v>
      </c>
      <c r="H2360" s="3" t="n">
        <v>-0.7932808399200439</v>
      </c>
      <c r="I2360" s="3" t="n">
        <v>-0.7932808399200439</v>
      </c>
      <c r="J2360" s="3" t="n">
        <v>-0.9278338551521301</v>
      </c>
      <c r="K2360" s="3" t="n">
        <v>-0.9278338551521301</v>
      </c>
      <c r="L2360" s="3" t="n">
        <v>-0.7932808399200439</v>
      </c>
      <c r="M2360" s="3" t="n">
        <v>-0.7932808399200439</v>
      </c>
      <c r="N2360" s="3" t="n">
        <v>-0.7932808399200439</v>
      </c>
      <c r="O2360" s="3" t="n">
        <v>-0.7932808399200439</v>
      </c>
      <c r="P2360" s="3" t="n">
        <v>-0.7932808399200439</v>
      </c>
      <c r="Q2360" s="3" t="n">
        <v>-0.7932808399200439</v>
      </c>
      <c r="R2360" s="3" t="n">
        <v>-0.7764842510223389</v>
      </c>
      <c r="S2360" s="3" t="n">
        <v>-1.739804267883301</v>
      </c>
      <c r="T2360" s="3" t="n">
        <v>-0.7114566564559937</v>
      </c>
      <c r="U2360" s="3" t="n">
        <v>-0.9278338551521301</v>
      </c>
      <c r="V2360" s="3" t="n">
        <v>-0.6890063881874084</v>
      </c>
      <c r="W2360" s="3" t="n">
        <v>-0.6808410882949829</v>
      </c>
      <c r="X2360" s="3" t="n">
        <v>-1.666347742080688</v>
      </c>
      <c r="Y2360" s="3" t="n">
        <v>-0.7932808399200439</v>
      </c>
      <c r="Z2360" s="3" t="n">
        <v>-1.739804267883301</v>
      </c>
      <c r="AA2360" s="3" t="n">
        <v>-1.739804267883301</v>
      </c>
      <c r="AB2360" s="3" t="n">
        <v>-1.666347742080688</v>
      </c>
      <c r="AC2360" s="3" t="n">
        <v>-3.2158362865448</v>
      </c>
      <c r="AD2360" s="3" t="n">
        <v>-0.9278338551521301</v>
      </c>
      <c r="AE2360" s="3" t="n">
        <v>-0.9278338551521301</v>
      </c>
    </row>
    <row r="2361">
      <c r="A2361" s="3" t="inlineStr">
        <is>
          <t>YEM.distn.dec.ove.mean.4</t>
        </is>
      </c>
      <c r="B2361" s="3" t="inlineStr">
        <is>
          <t>YEM</t>
        </is>
      </c>
      <c r="C2361" s="3" t="n">
        <v>2005</v>
      </c>
      <c r="D2361" s="3" t="inlineStr">
        <is>
          <t>Overall</t>
        </is>
      </c>
      <c r="E2361" s="3" t="inlineStr">
        <is>
          <t>Deciles</t>
        </is>
      </c>
      <c r="F2361" s="3" t="inlineStr">
        <is>
          <t>mean</t>
        </is>
      </c>
      <c r="G2361" s="3" t="n">
        <v>4</v>
      </c>
      <c r="H2361" s="3" t="n">
        <v>-0.7870000004768372</v>
      </c>
      <c r="I2361" s="3" t="n">
        <v>-0.7870000004768372</v>
      </c>
      <c r="J2361" s="3" t="n">
        <v>-0.8830000162124634</v>
      </c>
      <c r="K2361" s="3" t="n">
        <v>-0.8830000162124634</v>
      </c>
      <c r="L2361" s="3" t="n">
        <v>-0.7870000004768372</v>
      </c>
      <c r="M2361" s="3" t="n">
        <v>-0.7870000004768372</v>
      </c>
      <c r="N2361" s="3" t="n">
        <v>-0.7870000004768372</v>
      </c>
      <c r="O2361" s="3" t="n">
        <v>-0.7870000004768372</v>
      </c>
      <c r="P2361" s="3" t="n">
        <v>-0.7870000004768372</v>
      </c>
      <c r="Q2361" s="3" t="n">
        <v>-0.7870000004768372</v>
      </c>
      <c r="R2361" s="3" t="n">
        <v>-0.7730000019073486</v>
      </c>
      <c r="S2361" s="3" t="n">
        <v>-1.184999942779541</v>
      </c>
      <c r="T2361" s="3" t="n">
        <v>-0.7099999785423279</v>
      </c>
      <c r="U2361" s="3" t="n">
        <v>-0.8830000162124634</v>
      </c>
      <c r="V2361" s="3" t="n">
        <v>-0.6819999814033508</v>
      </c>
      <c r="W2361" s="3" t="n">
        <v>-0.5730000138282776</v>
      </c>
      <c r="X2361" s="3" t="n">
        <v>-1.175999999046326</v>
      </c>
      <c r="Y2361" s="3" t="n">
        <v>-0.7870000004768372</v>
      </c>
      <c r="Z2361" s="3" t="n">
        <v>-1.184999942779541</v>
      </c>
      <c r="AA2361" s="3" t="n">
        <v>-1.184999942779541</v>
      </c>
      <c r="AB2361" s="3" t="n">
        <v>-1.175999999046326</v>
      </c>
      <c r="AC2361" s="3" t="n">
        <v>-1.552999973297119</v>
      </c>
      <c r="AD2361" s="3" t="n">
        <v>-0.8830000162124634</v>
      </c>
      <c r="AE2361" s="3" t="n">
        <v>-0.8830000162124634</v>
      </c>
    </row>
    <row r="2362">
      <c r="A2362" s="3" t="inlineStr">
        <is>
          <t>YEM.distn.dec.ove.mean.5</t>
        </is>
      </c>
      <c r="B2362" s="3" t="inlineStr">
        <is>
          <t>YEM</t>
        </is>
      </c>
      <c r="C2362" s="3" t="n">
        <v>2005</v>
      </c>
      <c r="D2362" s="3" t="inlineStr">
        <is>
          <t>Overall</t>
        </is>
      </c>
      <c r="E2362" s="3" t="inlineStr">
        <is>
          <t>Deciles</t>
        </is>
      </c>
      <c r="F2362" s="3" t="inlineStr">
        <is>
          <t>mean</t>
        </is>
      </c>
      <c r="G2362" s="3" t="n">
        <v>5</v>
      </c>
      <c r="H2362" s="3" t="n">
        <v>-0.7870000004768372</v>
      </c>
      <c r="I2362" s="3" t="n">
        <v>-0.7870000004768372</v>
      </c>
      <c r="J2362" s="3" t="n">
        <v>-0.8830000162124634</v>
      </c>
      <c r="K2362" s="3" t="n">
        <v>-0.8830000162124634</v>
      </c>
      <c r="L2362" s="3" t="n">
        <v>-0.7870000004768372</v>
      </c>
      <c r="M2362" s="3" t="n">
        <v>-0.7870000004768372</v>
      </c>
      <c r="N2362" s="3" t="n">
        <v>-0.7870000004768372</v>
      </c>
      <c r="O2362" s="3" t="n">
        <v>-0.7870000004768372</v>
      </c>
      <c r="P2362" s="3" t="n">
        <v>-0.7870000004768372</v>
      </c>
      <c r="Q2362" s="3" t="n">
        <v>-0.7870000004768372</v>
      </c>
      <c r="R2362" s="3" t="n">
        <v>-0.7730000019073486</v>
      </c>
      <c r="S2362" s="3" t="n">
        <v>-1.184999942779541</v>
      </c>
      <c r="T2362" s="3" t="n">
        <v>-0.7099999785423279</v>
      </c>
      <c r="U2362" s="3" t="n">
        <v>-0.8830000162124634</v>
      </c>
      <c r="V2362" s="3" t="n">
        <v>-0.6819999814033508</v>
      </c>
      <c r="W2362" s="3" t="n">
        <v>-0.5730000138282776</v>
      </c>
      <c r="X2362" s="3" t="n">
        <v>-1.175999999046326</v>
      </c>
      <c r="Y2362" s="3" t="n">
        <v>-0.7870000004768372</v>
      </c>
      <c r="Z2362" s="3" t="n">
        <v>-1.184999942779541</v>
      </c>
      <c r="AA2362" s="3" t="n">
        <v>-1.184999942779541</v>
      </c>
      <c r="AB2362" s="3" t="n">
        <v>-1.175999999046326</v>
      </c>
      <c r="AC2362" s="3" t="n">
        <v>-1.552999973297119</v>
      </c>
      <c r="AD2362" s="3" t="n">
        <v>-0.8830000162124634</v>
      </c>
      <c r="AE2362" s="3" t="n">
        <v>-0.8830000162124634</v>
      </c>
    </row>
    <row r="2363">
      <c r="A2363" s="3" t="inlineStr">
        <is>
          <t>YEM.distn.dec.ove.mean.6</t>
        </is>
      </c>
      <c r="B2363" s="3" t="inlineStr">
        <is>
          <t>YEM</t>
        </is>
      </c>
      <c r="C2363" s="3" t="n">
        <v>2005</v>
      </c>
      <c r="D2363" s="3" t="inlineStr">
        <is>
          <t>Overall</t>
        </is>
      </c>
      <c r="E2363" s="3" t="inlineStr">
        <is>
          <t>Deciles</t>
        </is>
      </c>
      <c r="F2363" s="3" t="inlineStr">
        <is>
          <t>mean</t>
        </is>
      </c>
      <c r="G2363" s="3" t="n">
        <v>6</v>
      </c>
      <c r="H2363" s="3" t="n">
        <v>-0.7870000004768372</v>
      </c>
      <c r="I2363" s="3" t="n">
        <v>-0.7870000004768372</v>
      </c>
      <c r="J2363" s="3" t="n">
        <v>-0.8830000162124634</v>
      </c>
      <c r="K2363" s="3" t="n">
        <v>-0.8830000162124634</v>
      </c>
      <c r="L2363" s="3" t="n">
        <v>-0.7870000004768372</v>
      </c>
      <c r="M2363" s="3" t="n">
        <v>-0.7870000004768372</v>
      </c>
      <c r="N2363" s="3" t="n">
        <v>-0.7870000004768372</v>
      </c>
      <c r="O2363" s="3" t="n">
        <v>-0.7870000004768372</v>
      </c>
      <c r="P2363" s="3" t="n">
        <v>-0.7870000004768372</v>
      </c>
      <c r="Q2363" s="3" t="n">
        <v>-0.7870000004768372</v>
      </c>
      <c r="R2363" s="3" t="n">
        <v>-0.7730000019073486</v>
      </c>
      <c r="S2363" s="3" t="n">
        <v>-1.184999942779541</v>
      </c>
      <c r="T2363" s="3" t="n">
        <v>-0.7099999785423279</v>
      </c>
      <c r="U2363" s="3" t="n">
        <v>-0.8830000162124634</v>
      </c>
      <c r="V2363" s="3" t="n">
        <v>-0.6819999814033508</v>
      </c>
      <c r="W2363" s="3" t="n">
        <v>-0.5730000138282776</v>
      </c>
      <c r="X2363" s="3" t="n">
        <v>-1.175999999046326</v>
      </c>
      <c r="Y2363" s="3" t="n">
        <v>-0.7870000004768372</v>
      </c>
      <c r="Z2363" s="3" t="n">
        <v>-1.184999942779541</v>
      </c>
      <c r="AA2363" s="3" t="n">
        <v>-1.184999942779541</v>
      </c>
      <c r="AB2363" s="3" t="n">
        <v>-1.175999999046326</v>
      </c>
      <c r="AC2363" s="3" t="n">
        <v>-1.552999973297119</v>
      </c>
      <c r="AD2363" s="3" t="n">
        <v>-0.8830000162124634</v>
      </c>
      <c r="AE2363" s="3" t="n">
        <v>-0.8830000162124634</v>
      </c>
    </row>
    <row r="2364">
      <c r="A2364" s="3" t="inlineStr">
        <is>
          <t>YEM.distn.dec.ove.mean.7</t>
        </is>
      </c>
      <c r="B2364" s="3" t="inlineStr">
        <is>
          <t>YEM</t>
        </is>
      </c>
      <c r="C2364" s="3" t="n">
        <v>2005</v>
      </c>
      <c r="D2364" s="3" t="inlineStr">
        <is>
          <t>Overall</t>
        </is>
      </c>
      <c r="E2364" s="3" t="inlineStr">
        <is>
          <t>Deciles</t>
        </is>
      </c>
      <c r="F2364" s="3" t="inlineStr">
        <is>
          <t>mean</t>
        </is>
      </c>
      <c r="G2364" s="3" t="n">
        <v>7</v>
      </c>
      <c r="H2364" s="3" t="n">
        <v>-0.7870000004768372</v>
      </c>
      <c r="I2364" s="3" t="n">
        <v>-0.7870000004768372</v>
      </c>
      <c r="J2364" s="3" t="n">
        <v>-0.8830000162124634</v>
      </c>
      <c r="K2364" s="3" t="n">
        <v>-0.8830000162124634</v>
      </c>
      <c r="L2364" s="3" t="n">
        <v>-0.7870000004768372</v>
      </c>
      <c r="M2364" s="3" t="n">
        <v>-0.7870000004768372</v>
      </c>
      <c r="N2364" s="3" t="n">
        <v>-0.7870000004768372</v>
      </c>
      <c r="O2364" s="3" t="n">
        <v>-0.7870000004768372</v>
      </c>
      <c r="P2364" s="3" t="n">
        <v>-0.7870000004768372</v>
      </c>
      <c r="Q2364" s="3" t="n">
        <v>-0.7870000004768372</v>
      </c>
      <c r="R2364" s="3" t="n">
        <v>-0.7730000019073486</v>
      </c>
      <c r="S2364" s="3" t="n">
        <v>-1.184999942779541</v>
      </c>
      <c r="T2364" s="3" t="n">
        <v>-0.7099999785423279</v>
      </c>
      <c r="U2364" s="3" t="n">
        <v>-0.8830000162124634</v>
      </c>
      <c r="V2364" s="3" t="n">
        <v>-0.6819999814033508</v>
      </c>
      <c r="W2364" s="3" t="n">
        <v>-0.5730000138282776</v>
      </c>
      <c r="X2364" s="3" t="n">
        <v>-1.175999999046326</v>
      </c>
      <c r="Y2364" s="3" t="n">
        <v>-0.7870000004768372</v>
      </c>
      <c r="Z2364" s="3" t="n">
        <v>-1.184999942779541</v>
      </c>
      <c r="AA2364" s="3" t="n">
        <v>-1.184999942779541</v>
      </c>
      <c r="AB2364" s="3" t="n">
        <v>-1.175999999046326</v>
      </c>
      <c r="AC2364" s="3" t="n">
        <v>-1.552999973297119</v>
      </c>
      <c r="AD2364" s="3" t="n">
        <v>-0.8830000162124634</v>
      </c>
      <c r="AE2364" s="3" t="n">
        <v>-0.8830000162124634</v>
      </c>
    </row>
    <row r="2365">
      <c r="A2365" s="3" t="inlineStr">
        <is>
          <t>YEM.distn.dec.ove.mean.8</t>
        </is>
      </c>
      <c r="B2365" s="3" t="inlineStr">
        <is>
          <t>YEM</t>
        </is>
      </c>
      <c r="C2365" s="3" t="n">
        <v>2005</v>
      </c>
      <c r="D2365" s="3" t="inlineStr">
        <is>
          <t>Overall</t>
        </is>
      </c>
      <c r="E2365" s="3" t="inlineStr">
        <is>
          <t>Deciles</t>
        </is>
      </c>
      <c r="F2365" s="3" t="inlineStr">
        <is>
          <t>mean</t>
        </is>
      </c>
      <c r="G2365" s="3" t="n">
        <v>8</v>
      </c>
      <c r="H2365" s="3" t="n">
        <v>-0.7873791456222534</v>
      </c>
      <c r="I2365" s="3" t="n">
        <v>-0.7873791456222534</v>
      </c>
      <c r="J2365" s="3" t="n">
        <v>-0.8853819966316223</v>
      </c>
      <c r="K2365" s="3" t="n">
        <v>-0.8853819966316223</v>
      </c>
      <c r="L2365" s="3" t="n">
        <v>-0.7873791456222534</v>
      </c>
      <c r="M2365" s="3" t="n">
        <v>-0.7873791456222534</v>
      </c>
      <c r="N2365" s="3" t="n">
        <v>-0.7873791456222534</v>
      </c>
      <c r="O2365" s="3" t="n">
        <v>-0.7873791456222534</v>
      </c>
      <c r="P2365" s="3" t="n">
        <v>-0.7873791456222534</v>
      </c>
      <c r="Q2365" s="3" t="n">
        <v>-0.7873791456222534</v>
      </c>
      <c r="R2365" s="3" t="n">
        <v>-0.7732542157173157</v>
      </c>
      <c r="S2365" s="3" t="n">
        <v>-1.196026563644409</v>
      </c>
      <c r="T2365" s="3" t="n">
        <v>-0.7100409269332886</v>
      </c>
      <c r="U2365" s="3" t="n">
        <v>-0.8853819966316223</v>
      </c>
      <c r="V2365" s="3" t="n">
        <v>-0.6827050447463989</v>
      </c>
      <c r="W2365" s="3" t="n">
        <v>-0.5883442759513855</v>
      </c>
      <c r="X2365" s="3" t="n">
        <v>-1.186715722084045</v>
      </c>
      <c r="Y2365" s="3" t="n">
        <v>-0.7873791456222534</v>
      </c>
      <c r="Z2365" s="3" t="n">
        <v>-1.196026563644409</v>
      </c>
      <c r="AA2365" s="3" t="n">
        <v>-1.196026563644409</v>
      </c>
      <c r="AB2365" s="3" t="n">
        <v>-1.186715722084045</v>
      </c>
      <c r="AC2365" s="3" t="n">
        <v>-1.575147867202759</v>
      </c>
      <c r="AD2365" s="3" t="n">
        <v>-0.8853819966316223</v>
      </c>
      <c r="AE2365" s="3" t="n">
        <v>-0.8853819966316223</v>
      </c>
    </row>
    <row r="2366">
      <c r="A2366" s="3" t="inlineStr">
        <is>
          <t>YEM.distn.dec.ove.mean.9</t>
        </is>
      </c>
      <c r="B2366" s="3" t="inlineStr">
        <is>
          <t>YEM</t>
        </is>
      </c>
      <c r="C2366" s="3" t="n">
        <v>2005</v>
      </c>
      <c r="D2366" s="3" t="inlineStr">
        <is>
          <t>Overall</t>
        </is>
      </c>
      <c r="E2366" s="3" t="inlineStr">
        <is>
          <t>Deciles</t>
        </is>
      </c>
      <c r="F2366" s="3" t="inlineStr">
        <is>
          <t>mean</t>
        </is>
      </c>
      <c r="G2366" s="3" t="n">
        <v>9</v>
      </c>
      <c r="H2366" s="3" t="n">
        <v>-0.7873791456222534</v>
      </c>
      <c r="I2366" s="3" t="n">
        <v>-0.7873791456222534</v>
      </c>
      <c r="J2366" s="3" t="n">
        <v>-0.8853819966316223</v>
      </c>
      <c r="K2366" s="3" t="n">
        <v>-0.8853819966316223</v>
      </c>
      <c r="L2366" s="3" t="n">
        <v>-0.7873791456222534</v>
      </c>
      <c r="M2366" s="3" t="n">
        <v>-0.7873791456222534</v>
      </c>
      <c r="N2366" s="3" t="n">
        <v>-0.7873791456222534</v>
      </c>
      <c r="O2366" s="3" t="n">
        <v>-0.7873791456222534</v>
      </c>
      <c r="P2366" s="3" t="n">
        <v>-0.7873791456222534</v>
      </c>
      <c r="Q2366" s="3" t="n">
        <v>-0.7873791456222534</v>
      </c>
      <c r="R2366" s="3" t="n">
        <v>-0.7732542157173157</v>
      </c>
      <c r="S2366" s="3" t="n">
        <v>-1.196026563644409</v>
      </c>
      <c r="T2366" s="3" t="n">
        <v>-0.7100409269332886</v>
      </c>
      <c r="U2366" s="3" t="n">
        <v>-0.8853819966316223</v>
      </c>
      <c r="V2366" s="3" t="n">
        <v>-0.6827050447463989</v>
      </c>
      <c r="W2366" s="3" t="n">
        <v>-0.5883442759513855</v>
      </c>
      <c r="X2366" s="3" t="n">
        <v>-1.186715722084045</v>
      </c>
      <c r="Y2366" s="3" t="n">
        <v>-0.7873791456222534</v>
      </c>
      <c r="Z2366" s="3" t="n">
        <v>-1.196026563644409</v>
      </c>
      <c r="AA2366" s="3" t="n">
        <v>-1.196026563644409</v>
      </c>
      <c r="AB2366" s="3" t="n">
        <v>-1.186715722084045</v>
      </c>
      <c r="AC2366" s="3" t="n">
        <v>-1.575147867202759</v>
      </c>
      <c r="AD2366" s="3" t="n">
        <v>-0.8853819966316223</v>
      </c>
      <c r="AE2366" s="3" t="n">
        <v>-0.8853819966316223</v>
      </c>
    </row>
    <row r="2367">
      <c r="A2367" s="3" t="inlineStr">
        <is>
          <t>YEM.distn.dec.ove.mean.10</t>
        </is>
      </c>
      <c r="B2367" s="3" t="inlineStr">
        <is>
          <t>YEM</t>
        </is>
      </c>
      <c r="C2367" s="3" t="n">
        <v>2005</v>
      </c>
      <c r="D2367" s="3" t="inlineStr">
        <is>
          <t>Overall</t>
        </is>
      </c>
      <c r="E2367" s="3" t="inlineStr">
        <is>
          <t>Deciles</t>
        </is>
      </c>
      <c r="F2367" s="3" t="inlineStr">
        <is>
          <t>mean</t>
        </is>
      </c>
      <c r="G2367" s="3" t="n">
        <v>10</v>
      </c>
      <c r="H2367" s="3" t="n">
        <v>-0.7873791456222534</v>
      </c>
      <c r="I2367" s="3" t="n">
        <v>-0.7873791456222534</v>
      </c>
      <c r="J2367" s="3" t="n">
        <v>-0.8853819966316223</v>
      </c>
      <c r="K2367" s="3" t="n">
        <v>-0.8853819966316223</v>
      </c>
      <c r="L2367" s="3" t="n">
        <v>-0.7873791456222534</v>
      </c>
      <c r="M2367" s="3" t="n">
        <v>-0.7873791456222534</v>
      </c>
      <c r="N2367" s="3" t="n">
        <v>-0.7873791456222534</v>
      </c>
      <c r="O2367" s="3" t="n">
        <v>-0.7873791456222534</v>
      </c>
      <c r="P2367" s="3" t="n">
        <v>-0.7873791456222534</v>
      </c>
      <c r="Q2367" s="3" t="n">
        <v>-0.7873791456222534</v>
      </c>
      <c r="R2367" s="3" t="n">
        <v>-0.7732542157173157</v>
      </c>
      <c r="S2367" s="3" t="n">
        <v>-1.196026563644409</v>
      </c>
      <c r="T2367" s="3" t="n">
        <v>-0.7100409269332886</v>
      </c>
      <c r="U2367" s="3" t="n">
        <v>-0.8853819966316223</v>
      </c>
      <c r="V2367" s="3" t="n">
        <v>-0.6827050447463989</v>
      </c>
      <c r="W2367" s="3" t="n">
        <v>-0.5883442759513855</v>
      </c>
      <c r="X2367" s="3" t="n">
        <v>-1.186715722084045</v>
      </c>
      <c r="Y2367" s="3" t="n">
        <v>-0.7873791456222534</v>
      </c>
      <c r="Z2367" s="3" t="n">
        <v>-1.196026563644409</v>
      </c>
      <c r="AA2367" s="3" t="n">
        <v>-1.196026563644409</v>
      </c>
      <c r="AB2367" s="3" t="n">
        <v>-1.186715722084045</v>
      </c>
      <c r="AC2367" s="3" t="n">
        <v>-1.575147867202759</v>
      </c>
      <c r="AD2367" s="3" t="n">
        <v>-0.8853819966316223</v>
      </c>
      <c r="AE2367" s="3" t="n">
        <v>-0.8853819966316223</v>
      </c>
    </row>
    <row r="2368">
      <c r="A2368" s="3" t="inlineStr">
        <is>
          <t>YEM.distn.bkt.ove.mean.9999</t>
        </is>
      </c>
      <c r="B2368" s="3" t="inlineStr">
        <is>
          <t>YEM</t>
        </is>
      </c>
      <c r="C2368" s="3" t="n">
        <v>2005</v>
      </c>
      <c r="D2368" s="3" t="inlineStr">
        <is>
          <t>Overall</t>
        </is>
      </c>
      <c r="E2368" s="3" t="inlineStr">
        <is>
          <t>Basket</t>
        </is>
      </c>
      <c r="F2368" s="3" t="inlineStr">
        <is>
          <t>mean</t>
        </is>
      </c>
      <c r="G2368" s="3" t="n">
        <v>9999</v>
      </c>
      <c r="H2368" s="3" t="n">
        <v>-0.788998007774353</v>
      </c>
      <c r="I2368" s="3" t="n">
        <v>-0.788998007774353</v>
      </c>
      <c r="J2368" s="3" t="n">
        <v>-0.8971647620201111</v>
      </c>
      <c r="K2368" s="3" t="n">
        <v>-0.8971647620201111</v>
      </c>
      <c r="L2368" s="3" t="n">
        <v>-0.788998007774353</v>
      </c>
      <c r="M2368" s="3" t="n">
        <v>-0.788998007774353</v>
      </c>
      <c r="N2368" s="3" t="n">
        <v>-0.788998007774353</v>
      </c>
      <c r="O2368" s="3" t="n">
        <v>-0.788998007774353</v>
      </c>
      <c r="P2368" s="3" t="n">
        <v>-0.788998007774353</v>
      </c>
      <c r="Q2368" s="3" t="n">
        <v>-0.788998007774353</v>
      </c>
      <c r="R2368" s="3" t="n">
        <v>-0.7741215229034424</v>
      </c>
      <c r="S2368" s="3" t="n">
        <v>-1.354749202728271</v>
      </c>
      <c r="T2368" s="3" t="n">
        <v>-0.7104492783546448</v>
      </c>
      <c r="U2368" s="3" t="n">
        <v>-0.8971647620201111</v>
      </c>
      <c r="V2368" s="3" t="n">
        <v>-0.6843134164810181</v>
      </c>
      <c r="W2368" s="3" t="n">
        <v>-0.6099556088447571</v>
      </c>
      <c r="X2368" s="3" t="n">
        <v>-1.326318979263306</v>
      </c>
      <c r="Y2368" s="3" t="n">
        <v>-0.788998007774353</v>
      </c>
      <c r="Z2368" s="3" t="n">
        <v>-1.354749202728271</v>
      </c>
      <c r="AA2368" s="3" t="n">
        <v>-1.354749202728271</v>
      </c>
      <c r="AB2368" s="3" t="n">
        <v>-1.326318979263306</v>
      </c>
      <c r="AC2368" s="3" t="n">
        <v>-2.058495283126831</v>
      </c>
      <c r="AD2368" s="3" t="n">
        <v>-0.8971647620201111</v>
      </c>
      <c r="AE2368" s="3" t="n">
        <v>-0.8971647620201111</v>
      </c>
    </row>
    <row r="2369">
      <c r="A2369" s="3" t="inlineStr">
        <is>
          <t>ZAF.distn.dec.ove.mean.1</t>
        </is>
      </c>
      <c r="B2369" s="3" t="inlineStr">
        <is>
          <t>ZAF</t>
        </is>
      </c>
      <c r="C2369" s="3" t="n">
        <v>2005</v>
      </c>
      <c r="D2369" s="3" t="inlineStr">
        <is>
          <t>Overall</t>
        </is>
      </c>
      <c r="E2369" s="3" t="inlineStr">
        <is>
          <t>Deciles</t>
        </is>
      </c>
      <c r="F2369" s="3" t="inlineStr">
        <is>
          <t>mean</t>
        </is>
      </c>
      <c r="G2369" s="3" t="n">
        <v>1</v>
      </c>
      <c r="H2369" s="3" t="n">
        <v>-0.7892489433288574</v>
      </c>
      <c r="I2369" s="3" t="n">
        <v>-0.7892489433288574</v>
      </c>
      <c r="J2369" s="3" t="n">
        <v>-0.8952598571777344</v>
      </c>
      <c r="K2369" s="3" t="n">
        <v>-0.8952598571777344</v>
      </c>
      <c r="L2369" s="3" t="n">
        <v>-0.7892489433288574</v>
      </c>
      <c r="M2369" s="3" t="n">
        <v>-0.7892489433288574</v>
      </c>
      <c r="N2369" s="3" t="n">
        <v>-0.7892489433288574</v>
      </c>
      <c r="O2369" s="3" t="n">
        <v>-0.7892489433288574</v>
      </c>
      <c r="P2369" s="3" t="n">
        <v>-0.7892489433288574</v>
      </c>
      <c r="Q2369" s="3" t="n">
        <v>-0.7892489433288574</v>
      </c>
      <c r="R2369" s="3" t="n">
        <v>-0.7744752764701843</v>
      </c>
      <c r="S2369" s="3" t="n">
        <v>-1.450570940971375</v>
      </c>
      <c r="T2369" s="3" t="n">
        <v>-0.7094525694847107</v>
      </c>
      <c r="U2369" s="3" t="n">
        <v>-0.8952598571777344</v>
      </c>
      <c r="V2369" s="3" t="n">
        <v>-0.6839550137519836</v>
      </c>
      <c r="W2369" s="3" t="n">
        <v>-0.6083605885505676</v>
      </c>
      <c r="X2369" s="3" t="n">
        <v>-1.395707845687866</v>
      </c>
      <c r="Y2369" s="3" t="n">
        <v>-0.7892489433288574</v>
      </c>
      <c r="Z2369" s="3" t="n">
        <v>-1.450570940971375</v>
      </c>
      <c r="AA2369" s="3" t="n">
        <v>-1.450570940971375</v>
      </c>
      <c r="AB2369" s="3" t="n">
        <v>-1.395707845687866</v>
      </c>
      <c r="AC2369" s="3" t="n">
        <v>-2.223958969116211</v>
      </c>
      <c r="AD2369" s="3" t="n">
        <v>-0.8952598571777344</v>
      </c>
      <c r="AE2369" s="3" t="n">
        <v>-0.8952598571777344</v>
      </c>
    </row>
    <row r="2370">
      <c r="A2370" s="3" t="inlineStr">
        <is>
          <t>ZAF.distn.dec.ove.mean.2</t>
        </is>
      </c>
      <c r="B2370" s="3" t="inlineStr">
        <is>
          <t>ZAF</t>
        </is>
      </c>
      <c r="C2370" s="3" t="n">
        <v>2005</v>
      </c>
      <c r="D2370" s="3" t="inlineStr">
        <is>
          <t>Overall</t>
        </is>
      </c>
      <c r="E2370" s="3" t="inlineStr">
        <is>
          <t>Deciles</t>
        </is>
      </c>
      <c r="F2370" s="3" t="inlineStr">
        <is>
          <t>mean</t>
        </is>
      </c>
      <c r="G2370" s="3" t="n">
        <v>2</v>
      </c>
      <c r="H2370" s="3" t="n">
        <v>-0.7892489433288574</v>
      </c>
      <c r="I2370" s="3" t="n">
        <v>-0.7892489433288574</v>
      </c>
      <c r="J2370" s="3" t="n">
        <v>-0.8952598571777344</v>
      </c>
      <c r="K2370" s="3" t="n">
        <v>-0.8952598571777344</v>
      </c>
      <c r="L2370" s="3" t="n">
        <v>-0.7892489433288574</v>
      </c>
      <c r="M2370" s="3" t="n">
        <v>-0.7892489433288574</v>
      </c>
      <c r="N2370" s="3" t="n">
        <v>-0.7892489433288574</v>
      </c>
      <c r="O2370" s="3" t="n">
        <v>-0.7892489433288574</v>
      </c>
      <c r="P2370" s="3" t="n">
        <v>-0.7892489433288574</v>
      </c>
      <c r="Q2370" s="3" t="n">
        <v>-0.7892489433288574</v>
      </c>
      <c r="R2370" s="3" t="n">
        <v>-0.7744752764701843</v>
      </c>
      <c r="S2370" s="3" t="n">
        <v>-1.450570940971375</v>
      </c>
      <c r="T2370" s="3" t="n">
        <v>-0.7094525694847107</v>
      </c>
      <c r="U2370" s="3" t="n">
        <v>-0.8952598571777344</v>
      </c>
      <c r="V2370" s="3" t="n">
        <v>-0.6839550137519836</v>
      </c>
      <c r="W2370" s="3" t="n">
        <v>-0.6083605885505676</v>
      </c>
      <c r="X2370" s="3" t="n">
        <v>-1.395707845687866</v>
      </c>
      <c r="Y2370" s="3" t="n">
        <v>-0.7892489433288574</v>
      </c>
      <c r="Z2370" s="3" t="n">
        <v>-1.450570940971375</v>
      </c>
      <c r="AA2370" s="3" t="n">
        <v>-1.450570940971375</v>
      </c>
      <c r="AB2370" s="3" t="n">
        <v>-1.395707845687866</v>
      </c>
      <c r="AC2370" s="3" t="n">
        <v>-2.223958969116211</v>
      </c>
      <c r="AD2370" s="3" t="n">
        <v>-0.8952598571777344</v>
      </c>
      <c r="AE2370" s="3" t="n">
        <v>-0.8952598571777344</v>
      </c>
    </row>
    <row r="2371">
      <c r="A2371" s="3" t="inlineStr">
        <is>
          <t>ZAF.distn.dec.ove.mean.3</t>
        </is>
      </c>
      <c r="B2371" s="3" t="inlineStr">
        <is>
          <t>ZAF</t>
        </is>
      </c>
      <c r="C2371" s="3" t="n">
        <v>2005</v>
      </c>
      <c r="D2371" s="3" t="inlineStr">
        <is>
          <t>Overall</t>
        </is>
      </c>
      <c r="E2371" s="3" t="inlineStr">
        <is>
          <t>Deciles</t>
        </is>
      </c>
      <c r="F2371" s="3" t="inlineStr">
        <is>
          <t>mean</t>
        </is>
      </c>
      <c r="G2371" s="3" t="n">
        <v>3</v>
      </c>
      <c r="H2371" s="3" t="n">
        <v>-0.7892489433288574</v>
      </c>
      <c r="I2371" s="3" t="n">
        <v>-0.7892489433288574</v>
      </c>
      <c r="J2371" s="3" t="n">
        <v>-0.8952598571777344</v>
      </c>
      <c r="K2371" s="3" t="n">
        <v>-0.8952598571777344</v>
      </c>
      <c r="L2371" s="3" t="n">
        <v>-0.7892489433288574</v>
      </c>
      <c r="M2371" s="3" t="n">
        <v>-0.7892489433288574</v>
      </c>
      <c r="N2371" s="3" t="n">
        <v>-0.7892489433288574</v>
      </c>
      <c r="O2371" s="3" t="n">
        <v>-0.7892489433288574</v>
      </c>
      <c r="P2371" s="3" t="n">
        <v>-0.7892489433288574</v>
      </c>
      <c r="Q2371" s="3" t="n">
        <v>-0.7892489433288574</v>
      </c>
      <c r="R2371" s="3" t="n">
        <v>-0.7744752764701843</v>
      </c>
      <c r="S2371" s="3" t="n">
        <v>-1.450570940971375</v>
      </c>
      <c r="T2371" s="3" t="n">
        <v>-0.7094525694847107</v>
      </c>
      <c r="U2371" s="3" t="n">
        <v>-0.8952598571777344</v>
      </c>
      <c r="V2371" s="3" t="n">
        <v>-0.6839550137519836</v>
      </c>
      <c r="W2371" s="3" t="n">
        <v>-0.6083605885505676</v>
      </c>
      <c r="X2371" s="3" t="n">
        <v>-1.395707845687866</v>
      </c>
      <c r="Y2371" s="3" t="n">
        <v>-0.7892489433288574</v>
      </c>
      <c r="Z2371" s="3" t="n">
        <v>-1.450570940971375</v>
      </c>
      <c r="AA2371" s="3" t="n">
        <v>-1.450570940971375</v>
      </c>
      <c r="AB2371" s="3" t="n">
        <v>-1.395707845687866</v>
      </c>
      <c r="AC2371" s="3" t="n">
        <v>-2.223958969116211</v>
      </c>
      <c r="AD2371" s="3" t="n">
        <v>-0.8952598571777344</v>
      </c>
      <c r="AE2371" s="3" t="n">
        <v>-0.8952598571777344</v>
      </c>
    </row>
    <row r="2372">
      <c r="A2372" s="3" t="inlineStr">
        <is>
          <t>ZAF.distn.dec.ove.mean.4</t>
        </is>
      </c>
      <c r="B2372" s="3" t="inlineStr">
        <is>
          <t>ZAF</t>
        </is>
      </c>
      <c r="C2372" s="3" t="n">
        <v>2005</v>
      </c>
      <c r="D2372" s="3" t="inlineStr">
        <is>
          <t>Overall</t>
        </is>
      </c>
      <c r="E2372" s="3" t="inlineStr">
        <is>
          <t>Deciles</t>
        </is>
      </c>
      <c r="F2372" s="3" t="inlineStr">
        <is>
          <t>mean</t>
        </is>
      </c>
      <c r="G2372" s="3" t="n">
        <v>4</v>
      </c>
      <c r="H2372" s="3" t="n">
        <v>-0.7829999923706055</v>
      </c>
      <c r="I2372" s="3" t="n">
        <v>-0.7829999923706055</v>
      </c>
      <c r="J2372" s="3" t="n">
        <v>-0.8519999980926514</v>
      </c>
      <c r="K2372" s="3" t="n">
        <v>-0.8519999980926514</v>
      </c>
      <c r="L2372" s="3" t="n">
        <v>-0.7829999923706055</v>
      </c>
      <c r="M2372" s="3" t="n">
        <v>-0.7829999923706055</v>
      </c>
      <c r="N2372" s="3" t="n">
        <v>-0.7829999923706055</v>
      </c>
      <c r="O2372" s="3" t="n">
        <v>-0.7829999923706055</v>
      </c>
      <c r="P2372" s="3" t="n">
        <v>-0.7829999923706055</v>
      </c>
      <c r="Q2372" s="3" t="n">
        <v>-0.7829999923706055</v>
      </c>
      <c r="R2372" s="3" t="n">
        <v>-0.7710000276565552</v>
      </c>
      <c r="S2372" s="3" t="n">
        <v>-0.9879999756813049</v>
      </c>
      <c r="T2372" s="3" t="n">
        <v>-0.7080000042915344</v>
      </c>
      <c r="U2372" s="3" t="n">
        <v>-0.8519999980926514</v>
      </c>
      <c r="V2372" s="3" t="n">
        <v>-0.6769999861717224</v>
      </c>
      <c r="W2372" s="3" t="n">
        <v>-0.5120000243186951</v>
      </c>
      <c r="X2372" s="3" t="n">
        <v>-0.9850000143051147</v>
      </c>
      <c r="Y2372" s="3" t="n">
        <v>-0.7829999923706055</v>
      </c>
      <c r="Z2372" s="3" t="n">
        <v>-0.9879999756813049</v>
      </c>
      <c r="AA2372" s="3" t="n">
        <v>-0.9879999756813049</v>
      </c>
      <c r="AB2372" s="3" t="n">
        <v>-0.9850000143051147</v>
      </c>
      <c r="AC2372" s="3" t="n">
        <v>-1.074000000953674</v>
      </c>
      <c r="AD2372" s="3" t="n">
        <v>-0.8519999980926514</v>
      </c>
      <c r="AE2372" s="3" t="n">
        <v>-0.8519999980926514</v>
      </c>
    </row>
    <row r="2373">
      <c r="A2373" s="3" t="inlineStr">
        <is>
          <t>ZAF.distn.dec.ove.mean.5</t>
        </is>
      </c>
      <c r="B2373" s="3" t="inlineStr">
        <is>
          <t>ZAF</t>
        </is>
      </c>
      <c r="C2373" s="3" t="n">
        <v>2005</v>
      </c>
      <c r="D2373" s="3" t="inlineStr">
        <is>
          <t>Overall</t>
        </is>
      </c>
      <c r="E2373" s="3" t="inlineStr">
        <is>
          <t>Deciles</t>
        </is>
      </c>
      <c r="F2373" s="3" t="inlineStr">
        <is>
          <t>mean</t>
        </is>
      </c>
      <c r="G2373" s="3" t="n">
        <v>5</v>
      </c>
      <c r="H2373" s="3" t="n">
        <v>-0.7829999923706055</v>
      </c>
      <c r="I2373" s="3" t="n">
        <v>-0.7829999923706055</v>
      </c>
      <c r="J2373" s="3" t="n">
        <v>-0.8519999980926514</v>
      </c>
      <c r="K2373" s="3" t="n">
        <v>-0.8519999980926514</v>
      </c>
      <c r="L2373" s="3" t="n">
        <v>-0.7829999923706055</v>
      </c>
      <c r="M2373" s="3" t="n">
        <v>-0.7829999923706055</v>
      </c>
      <c r="N2373" s="3" t="n">
        <v>-0.7829999923706055</v>
      </c>
      <c r="O2373" s="3" t="n">
        <v>-0.7829999923706055</v>
      </c>
      <c r="P2373" s="3" t="n">
        <v>-0.7829999923706055</v>
      </c>
      <c r="Q2373" s="3" t="n">
        <v>-0.7829999923706055</v>
      </c>
      <c r="R2373" s="3" t="n">
        <v>-0.7710000276565552</v>
      </c>
      <c r="S2373" s="3" t="n">
        <v>-0.9879999756813049</v>
      </c>
      <c r="T2373" s="3" t="n">
        <v>-0.7080000042915344</v>
      </c>
      <c r="U2373" s="3" t="n">
        <v>-0.8519999980926514</v>
      </c>
      <c r="V2373" s="3" t="n">
        <v>-0.6769999861717224</v>
      </c>
      <c r="W2373" s="3" t="n">
        <v>-0.5120000243186951</v>
      </c>
      <c r="X2373" s="3" t="n">
        <v>-0.9850000143051147</v>
      </c>
      <c r="Y2373" s="3" t="n">
        <v>-0.7829999923706055</v>
      </c>
      <c r="Z2373" s="3" t="n">
        <v>-0.9879999756813049</v>
      </c>
      <c r="AA2373" s="3" t="n">
        <v>-0.9879999756813049</v>
      </c>
      <c r="AB2373" s="3" t="n">
        <v>-0.9850000143051147</v>
      </c>
      <c r="AC2373" s="3" t="n">
        <v>-1.074000000953674</v>
      </c>
      <c r="AD2373" s="3" t="n">
        <v>-0.8519999980926514</v>
      </c>
      <c r="AE2373" s="3" t="n">
        <v>-0.8519999980926514</v>
      </c>
    </row>
    <row r="2374">
      <c r="A2374" s="3" t="inlineStr">
        <is>
          <t>ZAF.distn.dec.ove.mean.6</t>
        </is>
      </c>
      <c r="B2374" s="3" t="inlineStr">
        <is>
          <t>ZAF</t>
        </is>
      </c>
      <c r="C2374" s="3" t="n">
        <v>2005</v>
      </c>
      <c r="D2374" s="3" t="inlineStr">
        <is>
          <t>Overall</t>
        </is>
      </c>
      <c r="E2374" s="3" t="inlineStr">
        <is>
          <t>Deciles</t>
        </is>
      </c>
      <c r="F2374" s="3" t="inlineStr">
        <is>
          <t>mean</t>
        </is>
      </c>
      <c r="G2374" s="3" t="n">
        <v>6</v>
      </c>
      <c r="H2374" s="3" t="n">
        <v>-0.7829999923706055</v>
      </c>
      <c r="I2374" s="3" t="n">
        <v>-0.7829999923706055</v>
      </c>
      <c r="J2374" s="3" t="n">
        <v>-0.8519999980926514</v>
      </c>
      <c r="K2374" s="3" t="n">
        <v>-0.8519999980926514</v>
      </c>
      <c r="L2374" s="3" t="n">
        <v>-0.7829999923706055</v>
      </c>
      <c r="M2374" s="3" t="n">
        <v>-0.7829999923706055</v>
      </c>
      <c r="N2374" s="3" t="n">
        <v>-0.7829999923706055</v>
      </c>
      <c r="O2374" s="3" t="n">
        <v>-0.7829999923706055</v>
      </c>
      <c r="P2374" s="3" t="n">
        <v>-0.7829999923706055</v>
      </c>
      <c r="Q2374" s="3" t="n">
        <v>-0.7829999923706055</v>
      </c>
      <c r="R2374" s="3" t="n">
        <v>-0.7710000276565552</v>
      </c>
      <c r="S2374" s="3" t="n">
        <v>-0.9879999756813049</v>
      </c>
      <c r="T2374" s="3" t="n">
        <v>-0.7080000042915344</v>
      </c>
      <c r="U2374" s="3" t="n">
        <v>-0.8519999980926514</v>
      </c>
      <c r="V2374" s="3" t="n">
        <v>-0.6769999861717224</v>
      </c>
      <c r="W2374" s="3" t="n">
        <v>-0.5120000243186951</v>
      </c>
      <c r="X2374" s="3" t="n">
        <v>-0.9850000143051147</v>
      </c>
      <c r="Y2374" s="3" t="n">
        <v>-0.7829999923706055</v>
      </c>
      <c r="Z2374" s="3" t="n">
        <v>-0.9879999756813049</v>
      </c>
      <c r="AA2374" s="3" t="n">
        <v>-0.9879999756813049</v>
      </c>
      <c r="AB2374" s="3" t="n">
        <v>-0.9850000143051147</v>
      </c>
      <c r="AC2374" s="3" t="n">
        <v>-1.074000000953674</v>
      </c>
      <c r="AD2374" s="3" t="n">
        <v>-0.8519999980926514</v>
      </c>
      <c r="AE2374" s="3" t="n">
        <v>-0.8519999980926514</v>
      </c>
    </row>
    <row r="2375">
      <c r="A2375" s="3" t="inlineStr">
        <is>
          <t>ZAF.distn.dec.ove.mean.7</t>
        </is>
      </c>
      <c r="B2375" s="3" t="inlineStr">
        <is>
          <t>ZAF</t>
        </is>
      </c>
      <c r="C2375" s="3" t="n">
        <v>2005</v>
      </c>
      <c r="D2375" s="3" t="inlineStr">
        <is>
          <t>Overall</t>
        </is>
      </c>
      <c r="E2375" s="3" t="inlineStr">
        <is>
          <t>Deciles</t>
        </is>
      </c>
      <c r="F2375" s="3" t="inlineStr">
        <is>
          <t>mean</t>
        </is>
      </c>
      <c r="G2375" s="3" t="n">
        <v>7</v>
      </c>
      <c r="H2375" s="3" t="n">
        <v>-0.7829999923706055</v>
      </c>
      <c r="I2375" s="3" t="n">
        <v>-0.7829999923706055</v>
      </c>
      <c r="J2375" s="3" t="n">
        <v>-0.8519999980926514</v>
      </c>
      <c r="K2375" s="3" t="n">
        <v>-0.8519999980926514</v>
      </c>
      <c r="L2375" s="3" t="n">
        <v>-0.7829999923706055</v>
      </c>
      <c r="M2375" s="3" t="n">
        <v>-0.7829999923706055</v>
      </c>
      <c r="N2375" s="3" t="n">
        <v>-0.7829999923706055</v>
      </c>
      <c r="O2375" s="3" t="n">
        <v>-0.7829999923706055</v>
      </c>
      <c r="P2375" s="3" t="n">
        <v>-0.7829999923706055</v>
      </c>
      <c r="Q2375" s="3" t="n">
        <v>-0.7829999923706055</v>
      </c>
      <c r="R2375" s="3" t="n">
        <v>-0.7710000276565552</v>
      </c>
      <c r="S2375" s="3" t="n">
        <v>-0.9879999756813049</v>
      </c>
      <c r="T2375" s="3" t="n">
        <v>-0.7080000042915344</v>
      </c>
      <c r="U2375" s="3" t="n">
        <v>-0.8519999980926514</v>
      </c>
      <c r="V2375" s="3" t="n">
        <v>-0.6769999861717224</v>
      </c>
      <c r="W2375" s="3" t="n">
        <v>-0.5120000243186951</v>
      </c>
      <c r="X2375" s="3" t="n">
        <v>-0.9850000143051147</v>
      </c>
      <c r="Y2375" s="3" t="n">
        <v>-0.7829999923706055</v>
      </c>
      <c r="Z2375" s="3" t="n">
        <v>-0.9879999756813049</v>
      </c>
      <c r="AA2375" s="3" t="n">
        <v>-0.9879999756813049</v>
      </c>
      <c r="AB2375" s="3" t="n">
        <v>-0.9850000143051147</v>
      </c>
      <c r="AC2375" s="3" t="n">
        <v>-1.074000000953674</v>
      </c>
      <c r="AD2375" s="3" t="n">
        <v>-0.8519999980926514</v>
      </c>
      <c r="AE2375" s="3" t="n">
        <v>-0.8519999980926514</v>
      </c>
    </row>
    <row r="2376">
      <c r="A2376" s="3" t="inlineStr">
        <is>
          <t>ZAF.distn.dec.ove.mean.8</t>
        </is>
      </c>
      <c r="B2376" s="3" t="inlineStr">
        <is>
          <t>ZAF</t>
        </is>
      </c>
      <c r="C2376" s="3" t="n">
        <v>2005</v>
      </c>
      <c r="D2376" s="3" t="inlineStr">
        <is>
          <t>Overall</t>
        </is>
      </c>
      <c r="E2376" s="3" t="inlineStr">
        <is>
          <t>Deciles</t>
        </is>
      </c>
      <c r="F2376" s="3" t="inlineStr">
        <is>
          <t>mean</t>
        </is>
      </c>
      <c r="G2376" s="3" t="n">
        <v>8</v>
      </c>
      <c r="H2376" s="3" t="n">
        <v>-0.7833772301673889</v>
      </c>
      <c r="I2376" s="3" t="n">
        <v>-0.7833772301673889</v>
      </c>
      <c r="J2376" s="3" t="n">
        <v>-0.8542983531951904</v>
      </c>
      <c r="K2376" s="3" t="n">
        <v>-0.8542983531951904</v>
      </c>
      <c r="L2376" s="3" t="n">
        <v>-0.7833772301673889</v>
      </c>
      <c r="M2376" s="3" t="n">
        <v>-0.7833772301673889</v>
      </c>
      <c r="N2376" s="3" t="n">
        <v>-0.7833772301673889</v>
      </c>
      <c r="O2376" s="3" t="n">
        <v>-0.7833772301673889</v>
      </c>
      <c r="P2376" s="3" t="n">
        <v>-0.7833772301673889</v>
      </c>
      <c r="Q2376" s="3" t="n">
        <v>-0.7833772301673889</v>
      </c>
      <c r="R2376" s="3" t="n">
        <v>-0.7712535858154297</v>
      </c>
      <c r="S2376" s="3" t="n">
        <v>-0.997193455696106</v>
      </c>
      <c r="T2376" s="3" t="n">
        <v>-0.7080408334732056</v>
      </c>
      <c r="U2376" s="3" t="n">
        <v>-0.8542983531951904</v>
      </c>
      <c r="V2376" s="3" t="n">
        <v>-0.677699863910675</v>
      </c>
      <c r="W2376" s="3" t="n">
        <v>-0.5257107615470886</v>
      </c>
      <c r="X2376" s="3" t="n">
        <v>-0.9939753413200378</v>
      </c>
      <c r="Y2376" s="3" t="n">
        <v>-0.7833772301673889</v>
      </c>
      <c r="Z2376" s="3" t="n">
        <v>-0.997193455696106</v>
      </c>
      <c r="AA2376" s="3" t="n">
        <v>-0.997193455696106</v>
      </c>
      <c r="AB2376" s="3" t="n">
        <v>-0.9939753413200378</v>
      </c>
      <c r="AC2376" s="3" t="n">
        <v>-1.089316606521606</v>
      </c>
      <c r="AD2376" s="3" t="n">
        <v>-0.8542983531951904</v>
      </c>
      <c r="AE2376" s="3" t="n">
        <v>-0.8542983531951904</v>
      </c>
    </row>
    <row r="2377">
      <c r="A2377" s="3" t="inlineStr">
        <is>
          <t>ZAF.distn.dec.ove.mean.9</t>
        </is>
      </c>
      <c r="B2377" s="3" t="inlineStr">
        <is>
          <t>ZAF</t>
        </is>
      </c>
      <c r="C2377" s="3" t="n">
        <v>2005</v>
      </c>
      <c r="D2377" s="3" t="inlineStr">
        <is>
          <t>Overall</t>
        </is>
      </c>
      <c r="E2377" s="3" t="inlineStr">
        <is>
          <t>Deciles</t>
        </is>
      </c>
      <c r="F2377" s="3" t="inlineStr">
        <is>
          <t>mean</t>
        </is>
      </c>
      <c r="G2377" s="3" t="n">
        <v>9</v>
      </c>
      <c r="H2377" s="3" t="n">
        <v>-0.7833772301673889</v>
      </c>
      <c r="I2377" s="3" t="n">
        <v>-0.7833772301673889</v>
      </c>
      <c r="J2377" s="3" t="n">
        <v>-0.8542983531951904</v>
      </c>
      <c r="K2377" s="3" t="n">
        <v>-0.8542983531951904</v>
      </c>
      <c r="L2377" s="3" t="n">
        <v>-0.7833772301673889</v>
      </c>
      <c r="M2377" s="3" t="n">
        <v>-0.7833772301673889</v>
      </c>
      <c r="N2377" s="3" t="n">
        <v>-0.7833772301673889</v>
      </c>
      <c r="O2377" s="3" t="n">
        <v>-0.7833772301673889</v>
      </c>
      <c r="P2377" s="3" t="n">
        <v>-0.7833772301673889</v>
      </c>
      <c r="Q2377" s="3" t="n">
        <v>-0.7833772301673889</v>
      </c>
      <c r="R2377" s="3" t="n">
        <v>-0.7712535858154297</v>
      </c>
      <c r="S2377" s="3" t="n">
        <v>-0.997193455696106</v>
      </c>
      <c r="T2377" s="3" t="n">
        <v>-0.7080408334732056</v>
      </c>
      <c r="U2377" s="3" t="n">
        <v>-0.8542983531951904</v>
      </c>
      <c r="V2377" s="3" t="n">
        <v>-0.677699863910675</v>
      </c>
      <c r="W2377" s="3" t="n">
        <v>-0.5257107615470886</v>
      </c>
      <c r="X2377" s="3" t="n">
        <v>-0.9939753413200378</v>
      </c>
      <c r="Y2377" s="3" t="n">
        <v>-0.7833772301673889</v>
      </c>
      <c r="Z2377" s="3" t="n">
        <v>-0.997193455696106</v>
      </c>
      <c r="AA2377" s="3" t="n">
        <v>-0.997193455696106</v>
      </c>
      <c r="AB2377" s="3" t="n">
        <v>-0.9939753413200378</v>
      </c>
      <c r="AC2377" s="3" t="n">
        <v>-1.089316606521606</v>
      </c>
      <c r="AD2377" s="3" t="n">
        <v>-0.8542983531951904</v>
      </c>
      <c r="AE2377" s="3" t="n">
        <v>-0.8542983531951904</v>
      </c>
    </row>
    <row r="2378">
      <c r="A2378" s="3" t="inlineStr">
        <is>
          <t>ZAF.distn.dec.ove.mean.10</t>
        </is>
      </c>
      <c r="B2378" s="3" t="inlineStr">
        <is>
          <t>ZAF</t>
        </is>
      </c>
      <c r="C2378" s="3" t="n">
        <v>2005</v>
      </c>
      <c r="D2378" s="3" t="inlineStr">
        <is>
          <t>Overall</t>
        </is>
      </c>
      <c r="E2378" s="3" t="inlineStr">
        <is>
          <t>Deciles</t>
        </is>
      </c>
      <c r="F2378" s="3" t="inlineStr">
        <is>
          <t>mean</t>
        </is>
      </c>
      <c r="G2378" s="3" t="n">
        <v>10</v>
      </c>
      <c r="H2378" s="3" t="n">
        <v>-0.7833772301673889</v>
      </c>
      <c r="I2378" s="3" t="n">
        <v>-0.7833772301673889</v>
      </c>
      <c r="J2378" s="3" t="n">
        <v>-0.8542983531951904</v>
      </c>
      <c r="K2378" s="3" t="n">
        <v>-0.8542983531951904</v>
      </c>
      <c r="L2378" s="3" t="n">
        <v>-0.7833772301673889</v>
      </c>
      <c r="M2378" s="3" t="n">
        <v>-0.7833772301673889</v>
      </c>
      <c r="N2378" s="3" t="n">
        <v>-0.7833772301673889</v>
      </c>
      <c r="O2378" s="3" t="n">
        <v>-0.7833772301673889</v>
      </c>
      <c r="P2378" s="3" t="n">
        <v>-0.7833772301673889</v>
      </c>
      <c r="Q2378" s="3" t="n">
        <v>-0.7833772301673889</v>
      </c>
      <c r="R2378" s="3" t="n">
        <v>-0.7712535858154297</v>
      </c>
      <c r="S2378" s="3" t="n">
        <v>-0.997193455696106</v>
      </c>
      <c r="T2378" s="3" t="n">
        <v>-0.7080408334732056</v>
      </c>
      <c r="U2378" s="3" t="n">
        <v>-0.8542983531951904</v>
      </c>
      <c r="V2378" s="3" t="n">
        <v>-0.677699863910675</v>
      </c>
      <c r="W2378" s="3" t="n">
        <v>-0.5257107615470886</v>
      </c>
      <c r="X2378" s="3" t="n">
        <v>-0.9939753413200378</v>
      </c>
      <c r="Y2378" s="3" t="n">
        <v>-0.7833772301673889</v>
      </c>
      <c r="Z2378" s="3" t="n">
        <v>-0.997193455696106</v>
      </c>
      <c r="AA2378" s="3" t="n">
        <v>-0.997193455696106</v>
      </c>
      <c r="AB2378" s="3" t="n">
        <v>-0.9939753413200378</v>
      </c>
      <c r="AC2378" s="3" t="n">
        <v>-1.089316606521606</v>
      </c>
      <c r="AD2378" s="3" t="n">
        <v>-0.8542983531951904</v>
      </c>
      <c r="AE2378" s="3" t="n">
        <v>-0.8542983531951904</v>
      </c>
    </row>
    <row r="2379">
      <c r="A2379" s="3" t="inlineStr">
        <is>
          <t>ZAF.distn.bkt.ove.mean.9999</t>
        </is>
      </c>
      <c r="B2379" s="3" t="inlineStr">
        <is>
          <t>ZAF</t>
        </is>
      </c>
      <c r="C2379" s="3" t="n">
        <v>2005</v>
      </c>
      <c r="D2379" s="3" t="inlineStr">
        <is>
          <t>Overall</t>
        </is>
      </c>
      <c r="E2379" s="3" t="inlineStr">
        <is>
          <t>Basket</t>
        </is>
      </c>
      <c r="F2379" s="3" t="inlineStr">
        <is>
          <t>mean</t>
        </is>
      </c>
      <c r="G2379" s="3" t="n">
        <v>9999</v>
      </c>
      <c r="H2379" s="3" t="n">
        <v>-0.7849878668785095</v>
      </c>
      <c r="I2379" s="3" t="n">
        <v>-0.7849878668785095</v>
      </c>
      <c r="J2379" s="3" t="n">
        <v>-0.865667462348938</v>
      </c>
      <c r="K2379" s="3" t="n">
        <v>-0.865667462348938</v>
      </c>
      <c r="L2379" s="3" t="n">
        <v>-0.7849878668785095</v>
      </c>
      <c r="M2379" s="3" t="n">
        <v>-0.7849878668785095</v>
      </c>
      <c r="N2379" s="3" t="n">
        <v>-0.7849878668785095</v>
      </c>
      <c r="O2379" s="3" t="n">
        <v>-0.7849878668785095</v>
      </c>
      <c r="P2379" s="3" t="n">
        <v>-0.7849878668785095</v>
      </c>
      <c r="Q2379" s="3" t="n">
        <v>-0.7849878668785095</v>
      </c>
      <c r="R2379" s="3" t="n">
        <v>-0.7721186876296997</v>
      </c>
      <c r="S2379" s="3" t="n">
        <v>-1.129529356956482</v>
      </c>
      <c r="T2379" s="3" t="n">
        <v>-0.708448052406311</v>
      </c>
      <c r="U2379" s="3" t="n">
        <v>-0.865667462348938</v>
      </c>
      <c r="V2379" s="3" t="n">
        <v>-0.6792964339256287</v>
      </c>
      <c r="W2379" s="3" t="n">
        <v>-0.5450214147567749</v>
      </c>
      <c r="X2379" s="3" t="n">
        <v>-1.110904932022095</v>
      </c>
      <c r="Y2379" s="3" t="n">
        <v>-0.7849878668785095</v>
      </c>
      <c r="Z2379" s="3" t="n">
        <v>-1.129529356956482</v>
      </c>
      <c r="AA2379" s="3" t="n">
        <v>-1.129529356956482</v>
      </c>
      <c r="AB2379" s="3" t="n">
        <v>-1.110904932022095</v>
      </c>
      <c r="AC2379" s="3" t="n">
        <v>-1.423582673072815</v>
      </c>
      <c r="AD2379" s="3" t="n">
        <v>-0.865667462348938</v>
      </c>
      <c r="AE2379" s="3" t="n">
        <v>-0.865667462348938</v>
      </c>
    </row>
    <row r="2380">
      <c r="A2380" s="3" t="inlineStr">
        <is>
          <t>ZMB.distn.dec.ove.mean.1</t>
        </is>
      </c>
      <c r="B2380" s="3" t="inlineStr">
        <is>
          <t>ZMB</t>
        </is>
      </c>
      <c r="C2380" s="3" t="n">
        <v>2005</v>
      </c>
      <c r="D2380" s="3" t="inlineStr">
        <is>
          <t>Overall</t>
        </is>
      </c>
      <c r="E2380" s="3" t="inlineStr">
        <is>
          <t>Deciles</t>
        </is>
      </c>
      <c r="F2380" s="3" t="inlineStr">
        <is>
          <t>mean</t>
        </is>
      </c>
      <c r="G2380" s="3" t="n">
        <v>1</v>
      </c>
      <c r="H2380" s="3" t="n">
        <v>-0.7963047623634338</v>
      </c>
      <c r="I2380" s="3" t="n">
        <v>-0.7963047623634338</v>
      </c>
      <c r="J2380" s="3" t="n">
        <v>-0.9477985501289368</v>
      </c>
      <c r="K2380" s="3" t="n">
        <v>-0.9477985501289368</v>
      </c>
      <c r="L2380" s="3" t="n">
        <v>-0.7963047623634338</v>
      </c>
      <c r="M2380" s="3" t="n">
        <v>-0.7963047623634338</v>
      </c>
      <c r="N2380" s="3" t="n">
        <v>-0.7963047623634338</v>
      </c>
      <c r="O2380" s="3" t="n">
        <v>-0.7963047623634338</v>
      </c>
      <c r="P2380" s="3" t="n">
        <v>-0.7963047623634338</v>
      </c>
      <c r="Q2380" s="3" t="n">
        <v>-0.7963047623634338</v>
      </c>
      <c r="R2380" s="3" t="n">
        <v>-0.7774887681007385</v>
      </c>
      <c r="S2380" s="3" t="n">
        <v>-2.086297035217285</v>
      </c>
      <c r="T2380" s="3" t="n">
        <v>-0.7114566564559937</v>
      </c>
      <c r="U2380" s="3" t="n">
        <v>-0.9477985501289368</v>
      </c>
      <c r="V2380" s="3" t="n">
        <v>-0.6910269260406494</v>
      </c>
      <c r="W2380" s="3" t="n">
        <v>-0.7022287249565125</v>
      </c>
      <c r="X2380" s="3" t="n">
        <v>-1.983747243881226</v>
      </c>
      <c r="Y2380" s="3" t="n">
        <v>-0.7963047623634338</v>
      </c>
      <c r="Z2380" s="3" t="n">
        <v>-2.086297035217285</v>
      </c>
      <c r="AA2380" s="3" t="n">
        <v>-2.086297035217285</v>
      </c>
      <c r="AB2380" s="3" t="n">
        <v>-1.983747243881226</v>
      </c>
      <c r="AC2380" s="3" t="n">
        <v>-6.015457153320312</v>
      </c>
      <c r="AD2380" s="3" t="n">
        <v>-0.9477985501289368</v>
      </c>
      <c r="AE2380" s="3" t="n">
        <v>-0.9477985501289368</v>
      </c>
    </row>
    <row r="2381">
      <c r="A2381" s="3" t="inlineStr">
        <is>
          <t>ZMB.distn.dec.ove.mean.2</t>
        </is>
      </c>
      <c r="B2381" s="3" t="inlineStr">
        <is>
          <t>ZMB</t>
        </is>
      </c>
      <c r="C2381" s="3" t="n">
        <v>2005</v>
      </c>
      <c r="D2381" s="3" t="inlineStr">
        <is>
          <t>Overall</t>
        </is>
      </c>
      <c r="E2381" s="3" t="inlineStr">
        <is>
          <t>Deciles</t>
        </is>
      </c>
      <c r="F2381" s="3" t="inlineStr">
        <is>
          <t>mean</t>
        </is>
      </c>
      <c r="G2381" s="3" t="n">
        <v>2</v>
      </c>
      <c r="H2381" s="3" t="n">
        <v>-0.7963047623634338</v>
      </c>
      <c r="I2381" s="3" t="n">
        <v>-0.7963047623634338</v>
      </c>
      <c r="J2381" s="3" t="n">
        <v>-0.9477985501289368</v>
      </c>
      <c r="K2381" s="3" t="n">
        <v>-0.9477985501289368</v>
      </c>
      <c r="L2381" s="3" t="n">
        <v>-0.7963047623634338</v>
      </c>
      <c r="M2381" s="3" t="n">
        <v>-0.7963047623634338</v>
      </c>
      <c r="N2381" s="3" t="n">
        <v>-0.7963047623634338</v>
      </c>
      <c r="O2381" s="3" t="n">
        <v>-0.7963047623634338</v>
      </c>
      <c r="P2381" s="3" t="n">
        <v>-0.7963047623634338</v>
      </c>
      <c r="Q2381" s="3" t="n">
        <v>-0.7963047623634338</v>
      </c>
      <c r="R2381" s="3" t="n">
        <v>-0.7774887681007385</v>
      </c>
      <c r="S2381" s="3" t="n">
        <v>-2.086297035217285</v>
      </c>
      <c r="T2381" s="3" t="n">
        <v>-0.7114566564559937</v>
      </c>
      <c r="U2381" s="3" t="n">
        <v>-0.9477985501289368</v>
      </c>
      <c r="V2381" s="3" t="n">
        <v>-0.6910269260406494</v>
      </c>
      <c r="W2381" s="3" t="n">
        <v>-0.7022287249565125</v>
      </c>
      <c r="X2381" s="3" t="n">
        <v>-1.983747243881226</v>
      </c>
      <c r="Y2381" s="3" t="n">
        <v>-0.7963047623634338</v>
      </c>
      <c r="Z2381" s="3" t="n">
        <v>-2.086297035217285</v>
      </c>
      <c r="AA2381" s="3" t="n">
        <v>-2.086297035217285</v>
      </c>
      <c r="AB2381" s="3" t="n">
        <v>-1.983747243881226</v>
      </c>
      <c r="AC2381" s="3" t="n">
        <v>-6.015457153320312</v>
      </c>
      <c r="AD2381" s="3" t="n">
        <v>-0.9477985501289368</v>
      </c>
      <c r="AE2381" s="3" t="n">
        <v>-0.9477985501289368</v>
      </c>
    </row>
    <row r="2382">
      <c r="A2382" s="3" t="inlineStr">
        <is>
          <t>ZMB.distn.dec.ove.mean.3</t>
        </is>
      </c>
      <c r="B2382" s="3" t="inlineStr">
        <is>
          <t>ZMB</t>
        </is>
      </c>
      <c r="C2382" s="3" t="n">
        <v>2005</v>
      </c>
      <c r="D2382" s="3" t="inlineStr">
        <is>
          <t>Overall</t>
        </is>
      </c>
      <c r="E2382" s="3" t="inlineStr">
        <is>
          <t>Deciles</t>
        </is>
      </c>
      <c r="F2382" s="3" t="inlineStr">
        <is>
          <t>mean</t>
        </is>
      </c>
      <c r="G2382" s="3" t="n">
        <v>3</v>
      </c>
      <c r="H2382" s="3" t="n">
        <v>-0.7963047623634338</v>
      </c>
      <c r="I2382" s="3" t="n">
        <v>-0.7963047623634338</v>
      </c>
      <c r="J2382" s="3" t="n">
        <v>-0.9477985501289368</v>
      </c>
      <c r="K2382" s="3" t="n">
        <v>-0.9477985501289368</v>
      </c>
      <c r="L2382" s="3" t="n">
        <v>-0.7963047623634338</v>
      </c>
      <c r="M2382" s="3" t="n">
        <v>-0.7963047623634338</v>
      </c>
      <c r="N2382" s="3" t="n">
        <v>-0.7963047623634338</v>
      </c>
      <c r="O2382" s="3" t="n">
        <v>-0.7963047623634338</v>
      </c>
      <c r="P2382" s="3" t="n">
        <v>-0.7963047623634338</v>
      </c>
      <c r="Q2382" s="3" t="n">
        <v>-0.7963047623634338</v>
      </c>
      <c r="R2382" s="3" t="n">
        <v>-0.7774887681007385</v>
      </c>
      <c r="S2382" s="3" t="n">
        <v>-2.086297035217285</v>
      </c>
      <c r="T2382" s="3" t="n">
        <v>-0.7114566564559937</v>
      </c>
      <c r="U2382" s="3" t="n">
        <v>-0.9477985501289368</v>
      </c>
      <c r="V2382" s="3" t="n">
        <v>-0.6910269260406494</v>
      </c>
      <c r="W2382" s="3" t="n">
        <v>-0.7022287249565125</v>
      </c>
      <c r="X2382" s="3" t="n">
        <v>-1.983747243881226</v>
      </c>
      <c r="Y2382" s="3" t="n">
        <v>-0.7963047623634338</v>
      </c>
      <c r="Z2382" s="3" t="n">
        <v>-2.086297035217285</v>
      </c>
      <c r="AA2382" s="3" t="n">
        <v>-2.086297035217285</v>
      </c>
      <c r="AB2382" s="3" t="n">
        <v>-1.983747243881226</v>
      </c>
      <c r="AC2382" s="3" t="n">
        <v>-6.015457153320312</v>
      </c>
      <c r="AD2382" s="3" t="n">
        <v>-0.9477985501289368</v>
      </c>
      <c r="AE2382" s="3" t="n">
        <v>-0.9477985501289368</v>
      </c>
    </row>
    <row r="2383">
      <c r="A2383" s="3" t="inlineStr">
        <is>
          <t>ZMB.distn.dec.ove.mean.4</t>
        </is>
      </c>
      <c r="B2383" s="3" t="inlineStr">
        <is>
          <t>ZMB</t>
        </is>
      </c>
      <c r="C2383" s="3" t="n">
        <v>2005</v>
      </c>
      <c r="D2383" s="3" t="inlineStr">
        <is>
          <t>Overall</t>
        </is>
      </c>
      <c r="E2383" s="3" t="inlineStr">
        <is>
          <t>Deciles</t>
        </is>
      </c>
      <c r="F2383" s="3" t="inlineStr">
        <is>
          <t>mean</t>
        </is>
      </c>
      <c r="G2383" s="3" t="n">
        <v>4</v>
      </c>
      <c r="H2383" s="3" t="n">
        <v>-0.7900000214576721</v>
      </c>
      <c r="I2383" s="3" t="n">
        <v>-0.7900000214576721</v>
      </c>
      <c r="J2383" s="3" t="n">
        <v>-0.9020000100135803</v>
      </c>
      <c r="K2383" s="3" t="n">
        <v>-0.9020000100135803</v>
      </c>
      <c r="L2383" s="3" t="n">
        <v>-0.7900000214576721</v>
      </c>
      <c r="M2383" s="3" t="n">
        <v>-0.7900000214576721</v>
      </c>
      <c r="N2383" s="3" t="n">
        <v>-0.7900000214576721</v>
      </c>
      <c r="O2383" s="3" t="n">
        <v>-0.7900000214576721</v>
      </c>
      <c r="P2383" s="3" t="n">
        <v>-0.7900000214576721</v>
      </c>
      <c r="Q2383" s="3" t="n">
        <v>-0.7900000214576721</v>
      </c>
      <c r="R2383" s="3" t="n">
        <v>-0.7739999890327454</v>
      </c>
      <c r="S2383" s="3" t="n">
        <v>-1.421000003814697</v>
      </c>
      <c r="T2383" s="3" t="n">
        <v>-0.7099999785423279</v>
      </c>
      <c r="U2383" s="3" t="n">
        <v>-0.9020000100135803</v>
      </c>
      <c r="V2383" s="3" t="n">
        <v>-0.6840000152587891</v>
      </c>
      <c r="W2383" s="3" t="n">
        <v>-0.5910000205039978</v>
      </c>
      <c r="X2383" s="3" t="n">
        <v>-1.399999976158142</v>
      </c>
      <c r="Y2383" s="3" t="n">
        <v>-0.7900000214576721</v>
      </c>
      <c r="Z2383" s="3" t="n">
        <v>-1.421000003814697</v>
      </c>
      <c r="AA2383" s="3" t="n">
        <v>-1.421000003814697</v>
      </c>
      <c r="AB2383" s="3" t="n">
        <v>-1.399999976158142</v>
      </c>
      <c r="AC2383" s="3" t="n">
        <v>-2.904999971389771</v>
      </c>
      <c r="AD2383" s="3" t="n">
        <v>-0.9020000100135803</v>
      </c>
      <c r="AE2383" s="3" t="n">
        <v>-0.9020000100135803</v>
      </c>
    </row>
    <row r="2384">
      <c r="A2384" s="3" t="inlineStr">
        <is>
          <t>ZMB.distn.dec.ove.mean.5</t>
        </is>
      </c>
      <c r="B2384" s="3" t="inlineStr">
        <is>
          <t>ZMB</t>
        </is>
      </c>
      <c r="C2384" s="3" t="n">
        <v>2005</v>
      </c>
      <c r="D2384" s="3" t="inlineStr">
        <is>
          <t>Overall</t>
        </is>
      </c>
      <c r="E2384" s="3" t="inlineStr">
        <is>
          <t>Deciles</t>
        </is>
      </c>
      <c r="F2384" s="3" t="inlineStr">
        <is>
          <t>mean</t>
        </is>
      </c>
      <c r="G2384" s="3" t="n">
        <v>5</v>
      </c>
      <c r="H2384" s="3" t="n">
        <v>-0.7900000214576721</v>
      </c>
      <c r="I2384" s="3" t="n">
        <v>-0.7900000214576721</v>
      </c>
      <c r="J2384" s="3" t="n">
        <v>-0.9020000100135803</v>
      </c>
      <c r="K2384" s="3" t="n">
        <v>-0.9020000100135803</v>
      </c>
      <c r="L2384" s="3" t="n">
        <v>-0.7900000214576721</v>
      </c>
      <c r="M2384" s="3" t="n">
        <v>-0.7900000214576721</v>
      </c>
      <c r="N2384" s="3" t="n">
        <v>-0.7900000214576721</v>
      </c>
      <c r="O2384" s="3" t="n">
        <v>-0.7900000214576721</v>
      </c>
      <c r="P2384" s="3" t="n">
        <v>-0.7900000214576721</v>
      </c>
      <c r="Q2384" s="3" t="n">
        <v>-0.7900000214576721</v>
      </c>
      <c r="R2384" s="3" t="n">
        <v>-0.7739999890327454</v>
      </c>
      <c r="S2384" s="3" t="n">
        <v>-1.421000003814697</v>
      </c>
      <c r="T2384" s="3" t="n">
        <v>-0.7099999785423279</v>
      </c>
      <c r="U2384" s="3" t="n">
        <v>-0.9020000100135803</v>
      </c>
      <c r="V2384" s="3" t="n">
        <v>-0.6840000152587891</v>
      </c>
      <c r="W2384" s="3" t="n">
        <v>-0.5910000205039978</v>
      </c>
      <c r="X2384" s="3" t="n">
        <v>-1.399999976158142</v>
      </c>
      <c r="Y2384" s="3" t="n">
        <v>-0.7900000214576721</v>
      </c>
      <c r="Z2384" s="3" t="n">
        <v>-1.421000003814697</v>
      </c>
      <c r="AA2384" s="3" t="n">
        <v>-1.421000003814697</v>
      </c>
      <c r="AB2384" s="3" t="n">
        <v>-1.399999976158142</v>
      </c>
      <c r="AC2384" s="3" t="n">
        <v>-2.904999971389771</v>
      </c>
      <c r="AD2384" s="3" t="n">
        <v>-0.9020000100135803</v>
      </c>
      <c r="AE2384" s="3" t="n">
        <v>-0.9020000100135803</v>
      </c>
    </row>
    <row r="2385">
      <c r="A2385" s="3" t="inlineStr">
        <is>
          <t>ZMB.distn.dec.ove.mean.6</t>
        </is>
      </c>
      <c r="B2385" s="3" t="inlineStr">
        <is>
          <t>ZMB</t>
        </is>
      </c>
      <c r="C2385" s="3" t="n">
        <v>2005</v>
      </c>
      <c r="D2385" s="3" t="inlineStr">
        <is>
          <t>Overall</t>
        </is>
      </c>
      <c r="E2385" s="3" t="inlineStr">
        <is>
          <t>Deciles</t>
        </is>
      </c>
      <c r="F2385" s="3" t="inlineStr">
        <is>
          <t>mean</t>
        </is>
      </c>
      <c r="G2385" s="3" t="n">
        <v>6</v>
      </c>
      <c r="H2385" s="3" t="n">
        <v>-0.7900000214576721</v>
      </c>
      <c r="I2385" s="3" t="n">
        <v>-0.7900000214576721</v>
      </c>
      <c r="J2385" s="3" t="n">
        <v>-0.9020000100135803</v>
      </c>
      <c r="K2385" s="3" t="n">
        <v>-0.9020000100135803</v>
      </c>
      <c r="L2385" s="3" t="n">
        <v>-0.7900000214576721</v>
      </c>
      <c r="M2385" s="3" t="n">
        <v>-0.7900000214576721</v>
      </c>
      <c r="N2385" s="3" t="n">
        <v>-0.7900000214576721</v>
      </c>
      <c r="O2385" s="3" t="n">
        <v>-0.7900000214576721</v>
      </c>
      <c r="P2385" s="3" t="n">
        <v>-0.7900000214576721</v>
      </c>
      <c r="Q2385" s="3" t="n">
        <v>-0.7900000214576721</v>
      </c>
      <c r="R2385" s="3" t="n">
        <v>-0.7739999890327454</v>
      </c>
      <c r="S2385" s="3" t="n">
        <v>-1.421000003814697</v>
      </c>
      <c r="T2385" s="3" t="n">
        <v>-0.7099999785423279</v>
      </c>
      <c r="U2385" s="3" t="n">
        <v>-0.9020000100135803</v>
      </c>
      <c r="V2385" s="3" t="n">
        <v>-0.6840000152587891</v>
      </c>
      <c r="W2385" s="3" t="n">
        <v>-0.5910000205039978</v>
      </c>
      <c r="X2385" s="3" t="n">
        <v>-1.399999976158142</v>
      </c>
      <c r="Y2385" s="3" t="n">
        <v>-0.7900000214576721</v>
      </c>
      <c r="Z2385" s="3" t="n">
        <v>-1.421000003814697</v>
      </c>
      <c r="AA2385" s="3" t="n">
        <v>-1.421000003814697</v>
      </c>
      <c r="AB2385" s="3" t="n">
        <v>-1.399999976158142</v>
      </c>
      <c r="AC2385" s="3" t="n">
        <v>-2.904999971389771</v>
      </c>
      <c r="AD2385" s="3" t="n">
        <v>-0.9020000100135803</v>
      </c>
      <c r="AE2385" s="3" t="n">
        <v>-0.9020000100135803</v>
      </c>
    </row>
    <row r="2386">
      <c r="A2386" s="3" t="inlineStr">
        <is>
          <t>ZMB.distn.dec.ove.mean.7</t>
        </is>
      </c>
      <c r="B2386" s="3" t="inlineStr">
        <is>
          <t>ZMB</t>
        </is>
      </c>
      <c r="C2386" s="3" t="n">
        <v>2005</v>
      </c>
      <c r="D2386" s="3" t="inlineStr">
        <is>
          <t>Overall</t>
        </is>
      </c>
      <c r="E2386" s="3" t="inlineStr">
        <is>
          <t>Deciles</t>
        </is>
      </c>
      <c r="F2386" s="3" t="inlineStr">
        <is>
          <t>mean</t>
        </is>
      </c>
      <c r="G2386" s="3" t="n">
        <v>7</v>
      </c>
      <c r="H2386" s="3" t="n">
        <v>-0.7900000214576721</v>
      </c>
      <c r="I2386" s="3" t="n">
        <v>-0.7900000214576721</v>
      </c>
      <c r="J2386" s="3" t="n">
        <v>-0.9020000100135803</v>
      </c>
      <c r="K2386" s="3" t="n">
        <v>-0.9020000100135803</v>
      </c>
      <c r="L2386" s="3" t="n">
        <v>-0.7900000214576721</v>
      </c>
      <c r="M2386" s="3" t="n">
        <v>-0.7900000214576721</v>
      </c>
      <c r="N2386" s="3" t="n">
        <v>-0.7900000214576721</v>
      </c>
      <c r="O2386" s="3" t="n">
        <v>-0.7900000214576721</v>
      </c>
      <c r="P2386" s="3" t="n">
        <v>-0.7900000214576721</v>
      </c>
      <c r="Q2386" s="3" t="n">
        <v>-0.7900000214576721</v>
      </c>
      <c r="R2386" s="3" t="n">
        <v>-0.7739999890327454</v>
      </c>
      <c r="S2386" s="3" t="n">
        <v>-1.421000003814697</v>
      </c>
      <c r="T2386" s="3" t="n">
        <v>-0.7099999785423279</v>
      </c>
      <c r="U2386" s="3" t="n">
        <v>-0.9020000100135803</v>
      </c>
      <c r="V2386" s="3" t="n">
        <v>-0.6840000152587891</v>
      </c>
      <c r="W2386" s="3" t="n">
        <v>-0.5910000205039978</v>
      </c>
      <c r="X2386" s="3" t="n">
        <v>-1.399999976158142</v>
      </c>
      <c r="Y2386" s="3" t="n">
        <v>-0.7900000214576721</v>
      </c>
      <c r="Z2386" s="3" t="n">
        <v>-1.421000003814697</v>
      </c>
      <c r="AA2386" s="3" t="n">
        <v>-1.421000003814697</v>
      </c>
      <c r="AB2386" s="3" t="n">
        <v>-1.399999976158142</v>
      </c>
      <c r="AC2386" s="3" t="n">
        <v>-2.904999971389771</v>
      </c>
      <c r="AD2386" s="3" t="n">
        <v>-0.9020000100135803</v>
      </c>
      <c r="AE2386" s="3" t="n">
        <v>-0.9020000100135803</v>
      </c>
    </row>
    <row r="2387">
      <c r="A2387" s="3" t="inlineStr">
        <is>
          <t>ZMB.distn.dec.ove.mean.8</t>
        </is>
      </c>
      <c r="B2387" s="3" t="inlineStr">
        <is>
          <t>ZMB</t>
        </is>
      </c>
      <c r="C2387" s="3" t="n">
        <v>2005</v>
      </c>
      <c r="D2387" s="3" t="inlineStr">
        <is>
          <t>Overall</t>
        </is>
      </c>
      <c r="E2387" s="3" t="inlineStr">
        <is>
          <t>Deciles</t>
        </is>
      </c>
      <c r="F2387" s="3" t="inlineStr">
        <is>
          <t>mean</t>
        </is>
      </c>
      <c r="G2387" s="3" t="n">
        <v>8</v>
      </c>
      <c r="H2387" s="3" t="n">
        <v>-0.790380597114563</v>
      </c>
      <c r="I2387" s="3" t="n">
        <v>-0.790380597114563</v>
      </c>
      <c r="J2387" s="3" t="n">
        <v>-0.9044332504272461</v>
      </c>
      <c r="K2387" s="3" t="n">
        <v>-0.9044332504272461</v>
      </c>
      <c r="L2387" s="3" t="n">
        <v>-0.790380597114563</v>
      </c>
      <c r="M2387" s="3" t="n">
        <v>-0.790380597114563</v>
      </c>
      <c r="N2387" s="3" t="n">
        <v>-0.790380597114563</v>
      </c>
      <c r="O2387" s="3" t="n">
        <v>-0.790380597114563</v>
      </c>
      <c r="P2387" s="3" t="n">
        <v>-0.790380597114563</v>
      </c>
      <c r="Q2387" s="3" t="n">
        <v>-0.790380597114563</v>
      </c>
      <c r="R2387" s="3" t="n">
        <v>-0.7742545604705811</v>
      </c>
      <c r="S2387" s="3" t="n">
        <v>-1.43422257900238</v>
      </c>
      <c r="T2387" s="3" t="n">
        <v>-0.7100409269332886</v>
      </c>
      <c r="U2387" s="3" t="n">
        <v>-0.9044332504272461</v>
      </c>
      <c r="V2387" s="3" t="n">
        <v>-0.6847071051597595</v>
      </c>
      <c r="W2387" s="3" t="n">
        <v>-0.6068262457847595</v>
      </c>
      <c r="X2387" s="3" t="n">
        <v>-1.41275680065155</v>
      </c>
      <c r="Y2387" s="3" t="n">
        <v>-0.790380597114563</v>
      </c>
      <c r="Z2387" s="3" t="n">
        <v>-1.43422257900238</v>
      </c>
      <c r="AA2387" s="3" t="n">
        <v>-1.43422257900238</v>
      </c>
      <c r="AB2387" s="3" t="n">
        <v>-1.41275680065155</v>
      </c>
      <c r="AC2387" s="3" t="n">
        <v>-2.946429252624512</v>
      </c>
      <c r="AD2387" s="3" t="n">
        <v>-0.9044332504272461</v>
      </c>
      <c r="AE2387" s="3" t="n">
        <v>-0.9044332504272461</v>
      </c>
    </row>
    <row r="2388">
      <c r="A2388" s="3" t="inlineStr">
        <is>
          <t>ZMB.distn.dec.ove.mean.9</t>
        </is>
      </c>
      <c r="B2388" s="3" t="inlineStr">
        <is>
          <t>ZMB</t>
        </is>
      </c>
      <c r="C2388" s="3" t="n">
        <v>2005</v>
      </c>
      <c r="D2388" s="3" t="inlineStr">
        <is>
          <t>Overall</t>
        </is>
      </c>
      <c r="E2388" s="3" t="inlineStr">
        <is>
          <t>Deciles</t>
        </is>
      </c>
      <c r="F2388" s="3" t="inlineStr">
        <is>
          <t>mean</t>
        </is>
      </c>
      <c r="G2388" s="3" t="n">
        <v>9</v>
      </c>
      <c r="H2388" s="3" t="n">
        <v>-0.790380597114563</v>
      </c>
      <c r="I2388" s="3" t="n">
        <v>-0.790380597114563</v>
      </c>
      <c r="J2388" s="3" t="n">
        <v>-0.9044332504272461</v>
      </c>
      <c r="K2388" s="3" t="n">
        <v>-0.9044332504272461</v>
      </c>
      <c r="L2388" s="3" t="n">
        <v>-0.790380597114563</v>
      </c>
      <c r="M2388" s="3" t="n">
        <v>-0.790380597114563</v>
      </c>
      <c r="N2388" s="3" t="n">
        <v>-0.790380597114563</v>
      </c>
      <c r="O2388" s="3" t="n">
        <v>-0.790380597114563</v>
      </c>
      <c r="P2388" s="3" t="n">
        <v>-0.790380597114563</v>
      </c>
      <c r="Q2388" s="3" t="n">
        <v>-0.790380597114563</v>
      </c>
      <c r="R2388" s="3" t="n">
        <v>-0.7742545604705811</v>
      </c>
      <c r="S2388" s="3" t="n">
        <v>-1.43422257900238</v>
      </c>
      <c r="T2388" s="3" t="n">
        <v>-0.7100409269332886</v>
      </c>
      <c r="U2388" s="3" t="n">
        <v>-0.9044332504272461</v>
      </c>
      <c r="V2388" s="3" t="n">
        <v>-0.6847071051597595</v>
      </c>
      <c r="W2388" s="3" t="n">
        <v>-0.6068262457847595</v>
      </c>
      <c r="X2388" s="3" t="n">
        <v>-1.41275680065155</v>
      </c>
      <c r="Y2388" s="3" t="n">
        <v>-0.790380597114563</v>
      </c>
      <c r="Z2388" s="3" t="n">
        <v>-1.43422257900238</v>
      </c>
      <c r="AA2388" s="3" t="n">
        <v>-1.43422257900238</v>
      </c>
      <c r="AB2388" s="3" t="n">
        <v>-1.41275680065155</v>
      </c>
      <c r="AC2388" s="3" t="n">
        <v>-2.946429252624512</v>
      </c>
      <c r="AD2388" s="3" t="n">
        <v>-0.9044332504272461</v>
      </c>
      <c r="AE2388" s="3" t="n">
        <v>-0.9044332504272461</v>
      </c>
    </row>
    <row r="2389">
      <c r="A2389" s="3" t="inlineStr">
        <is>
          <t>ZMB.distn.dec.ove.mean.10</t>
        </is>
      </c>
      <c r="B2389" s="3" t="inlineStr">
        <is>
          <t>ZMB</t>
        </is>
      </c>
      <c r="C2389" s="3" t="n">
        <v>2005</v>
      </c>
      <c r="D2389" s="3" t="inlineStr">
        <is>
          <t>Overall</t>
        </is>
      </c>
      <c r="E2389" s="3" t="inlineStr">
        <is>
          <t>Deciles</t>
        </is>
      </c>
      <c r="F2389" s="3" t="inlineStr">
        <is>
          <t>mean</t>
        </is>
      </c>
      <c r="G2389" s="3" t="n">
        <v>10</v>
      </c>
      <c r="H2389" s="3" t="n">
        <v>-0.790380597114563</v>
      </c>
      <c r="I2389" s="3" t="n">
        <v>-0.790380597114563</v>
      </c>
      <c r="J2389" s="3" t="n">
        <v>-0.9044332504272461</v>
      </c>
      <c r="K2389" s="3" t="n">
        <v>-0.9044332504272461</v>
      </c>
      <c r="L2389" s="3" t="n">
        <v>-0.790380597114563</v>
      </c>
      <c r="M2389" s="3" t="n">
        <v>-0.790380597114563</v>
      </c>
      <c r="N2389" s="3" t="n">
        <v>-0.790380597114563</v>
      </c>
      <c r="O2389" s="3" t="n">
        <v>-0.790380597114563</v>
      </c>
      <c r="P2389" s="3" t="n">
        <v>-0.790380597114563</v>
      </c>
      <c r="Q2389" s="3" t="n">
        <v>-0.790380597114563</v>
      </c>
      <c r="R2389" s="3" t="n">
        <v>-0.7742545604705811</v>
      </c>
      <c r="S2389" s="3" t="n">
        <v>-1.43422257900238</v>
      </c>
      <c r="T2389" s="3" t="n">
        <v>-0.7100409269332886</v>
      </c>
      <c r="U2389" s="3" t="n">
        <v>-0.9044332504272461</v>
      </c>
      <c r="V2389" s="3" t="n">
        <v>-0.6847071051597595</v>
      </c>
      <c r="W2389" s="3" t="n">
        <v>-0.6068262457847595</v>
      </c>
      <c r="X2389" s="3" t="n">
        <v>-1.41275680065155</v>
      </c>
      <c r="Y2389" s="3" t="n">
        <v>-0.790380597114563</v>
      </c>
      <c r="Z2389" s="3" t="n">
        <v>-1.43422257900238</v>
      </c>
      <c r="AA2389" s="3" t="n">
        <v>-1.43422257900238</v>
      </c>
      <c r="AB2389" s="3" t="n">
        <v>-1.41275680065155</v>
      </c>
      <c r="AC2389" s="3" t="n">
        <v>-2.946429252624512</v>
      </c>
      <c r="AD2389" s="3" t="n">
        <v>-0.9044332504272461</v>
      </c>
      <c r="AE2389" s="3" t="n">
        <v>-0.9044332504272461</v>
      </c>
    </row>
    <row r="2390">
      <c r="A2390" s="3" t="inlineStr">
        <is>
          <t>ZMB.distn.bkt.ove.mean.9999</t>
        </is>
      </c>
      <c r="B2390" s="3" t="inlineStr">
        <is>
          <t>ZMB</t>
        </is>
      </c>
      <c r="C2390" s="3" t="n">
        <v>2005</v>
      </c>
      <c r="D2390" s="3" t="inlineStr">
        <is>
          <t>Overall</t>
        </is>
      </c>
      <c r="E2390" s="3" t="inlineStr">
        <is>
          <t>Basket</t>
        </is>
      </c>
      <c r="F2390" s="3" t="inlineStr">
        <is>
          <t>mean</t>
        </is>
      </c>
      <c r="G2390" s="3" t="n">
        <v>9999</v>
      </c>
      <c r="H2390" s="3" t="n">
        <v>-0.7920055985450745</v>
      </c>
      <c r="I2390" s="3" t="n">
        <v>-0.7920055985450745</v>
      </c>
      <c r="J2390" s="3" t="n">
        <v>-0.9164695739746094</v>
      </c>
      <c r="K2390" s="3" t="n">
        <v>-0.9164695739746094</v>
      </c>
      <c r="L2390" s="3" t="n">
        <v>-0.7920055985450745</v>
      </c>
      <c r="M2390" s="3" t="n">
        <v>-0.7920055985450745</v>
      </c>
      <c r="N2390" s="3" t="n">
        <v>-0.7920055985450745</v>
      </c>
      <c r="O2390" s="3" t="n">
        <v>-0.7920055985450745</v>
      </c>
      <c r="P2390" s="3" t="n">
        <v>-0.7920055985450745</v>
      </c>
      <c r="Q2390" s="3" t="n">
        <v>-0.7920055985450745</v>
      </c>
      <c r="R2390" s="3" t="n">
        <v>-0.7751230001449585</v>
      </c>
      <c r="S2390" s="3" t="n">
        <v>-1.624555826187134</v>
      </c>
      <c r="T2390" s="3" t="n">
        <v>-0.7104492783546448</v>
      </c>
      <c r="U2390" s="3" t="n">
        <v>-0.9164695739746094</v>
      </c>
      <c r="V2390" s="3" t="n">
        <v>-0.6863201856613159</v>
      </c>
      <c r="W2390" s="3" t="n">
        <v>-0.6291164755821228</v>
      </c>
      <c r="X2390" s="3" t="n">
        <v>-1.578951239585876</v>
      </c>
      <c r="Y2390" s="3" t="n">
        <v>-0.7920055985450745</v>
      </c>
      <c r="Z2390" s="3" t="n">
        <v>-1.624555826187134</v>
      </c>
      <c r="AA2390" s="3" t="n">
        <v>-1.624555826187134</v>
      </c>
      <c r="AB2390" s="3" t="n">
        <v>-1.578951239585876</v>
      </c>
      <c r="AC2390" s="3" t="n">
        <v>-3.850565910339355</v>
      </c>
      <c r="AD2390" s="3" t="n">
        <v>-0.9164695739746094</v>
      </c>
      <c r="AE2390" s="3" t="n">
        <v>-0.9164695739746094</v>
      </c>
    </row>
    <row r="2391">
      <c r="A2391" s="3" t="inlineStr">
        <is>
          <t>ZWE.distn.dec.ove.mean.1</t>
        </is>
      </c>
      <c r="B2391" s="3" t="inlineStr">
        <is>
          <t>ZWE</t>
        </is>
      </c>
      <c r="C2391" s="3" t="n">
        <v>2005</v>
      </c>
      <c r="D2391" s="3" t="inlineStr">
        <is>
          <t>Overall</t>
        </is>
      </c>
      <c r="E2391" s="3" t="inlineStr">
        <is>
          <t>Deciles</t>
        </is>
      </c>
      <c r="F2391" s="3" t="inlineStr">
        <is>
          <t>mean</t>
        </is>
      </c>
      <c r="G2391" s="3" t="n">
        <v>1</v>
      </c>
      <c r="H2391" s="3" t="n">
        <v>-0.7993287444114685</v>
      </c>
      <c r="I2391" s="3" t="n">
        <v>-0.7993287444114685</v>
      </c>
      <c r="J2391" s="3" t="n">
        <v>-0.9866772294044495</v>
      </c>
      <c r="K2391" s="3" t="n">
        <v>-0.9866772294044495</v>
      </c>
      <c r="L2391" s="3" t="n">
        <v>-0.7993287444114685</v>
      </c>
      <c r="M2391" s="3" t="n">
        <v>-0.7993287444114685</v>
      </c>
      <c r="N2391" s="3" t="n">
        <v>-0.7993287444114685</v>
      </c>
      <c r="O2391" s="3" t="n">
        <v>-0.7993287444114685</v>
      </c>
      <c r="P2391" s="3" t="n">
        <v>-0.7993287444114685</v>
      </c>
      <c r="Q2391" s="3" t="n">
        <v>-0.7993287444114685</v>
      </c>
      <c r="R2391" s="3" t="n">
        <v>-0.7794978022575378</v>
      </c>
      <c r="S2391" s="3" t="n">
        <v>-5.056443691253662</v>
      </c>
      <c r="T2391" s="3" t="n">
        <v>-0.7124587297439575</v>
      </c>
      <c r="U2391" s="3" t="n">
        <v>-0.9866772294044495</v>
      </c>
      <c r="V2391" s="3" t="n">
        <v>-0.6930474638938904</v>
      </c>
      <c r="W2391" s="3" t="n">
        <v>-0.7248046398162842</v>
      </c>
      <c r="X2391" s="3" t="n">
        <v>-4.454929828643799</v>
      </c>
      <c r="Y2391" s="3" t="n">
        <v>-0.7993287444114685</v>
      </c>
      <c r="Z2391" s="3" t="n">
        <v>-5.056443691253662</v>
      </c>
      <c r="AA2391" s="3" t="n">
        <v>-5.056443691253662</v>
      </c>
      <c r="AB2391" s="3" t="n">
        <v>-4.454929828643799</v>
      </c>
      <c r="AC2391" s="3" t="n">
        <v>-3.114370822906494</v>
      </c>
      <c r="AD2391" s="3" t="n">
        <v>-0.9866772294044495</v>
      </c>
      <c r="AE2391" s="3" t="n">
        <v>-0.9866772294044495</v>
      </c>
    </row>
    <row r="2392">
      <c r="A2392" s="3" t="inlineStr">
        <is>
          <t>ZWE.distn.dec.ove.mean.2</t>
        </is>
      </c>
      <c r="B2392" s="3" t="inlineStr">
        <is>
          <t>ZWE</t>
        </is>
      </c>
      <c r="C2392" s="3" t="n">
        <v>2005</v>
      </c>
      <c r="D2392" s="3" t="inlineStr">
        <is>
          <t>Overall</t>
        </is>
      </c>
      <c r="E2392" s="3" t="inlineStr">
        <is>
          <t>Deciles</t>
        </is>
      </c>
      <c r="F2392" s="3" t="inlineStr">
        <is>
          <t>mean</t>
        </is>
      </c>
      <c r="G2392" s="3" t="n">
        <v>2</v>
      </c>
      <c r="H2392" s="3" t="n">
        <v>-0.7993287444114685</v>
      </c>
      <c r="I2392" s="3" t="n">
        <v>-0.7993287444114685</v>
      </c>
      <c r="J2392" s="3" t="n">
        <v>-0.9866772294044495</v>
      </c>
      <c r="K2392" s="3" t="n">
        <v>-0.9866772294044495</v>
      </c>
      <c r="L2392" s="3" t="n">
        <v>-0.7993287444114685</v>
      </c>
      <c r="M2392" s="3" t="n">
        <v>-0.7993287444114685</v>
      </c>
      <c r="N2392" s="3" t="n">
        <v>-0.7993287444114685</v>
      </c>
      <c r="O2392" s="3" t="n">
        <v>-0.7993287444114685</v>
      </c>
      <c r="P2392" s="3" t="n">
        <v>-0.7993287444114685</v>
      </c>
      <c r="Q2392" s="3" t="n">
        <v>-0.7993287444114685</v>
      </c>
      <c r="R2392" s="3" t="n">
        <v>-0.7794978022575378</v>
      </c>
      <c r="S2392" s="3" t="n">
        <v>-5.056443691253662</v>
      </c>
      <c r="T2392" s="3" t="n">
        <v>-0.7124587297439575</v>
      </c>
      <c r="U2392" s="3" t="n">
        <v>-0.9866772294044495</v>
      </c>
      <c r="V2392" s="3" t="n">
        <v>-0.6930474638938904</v>
      </c>
      <c r="W2392" s="3" t="n">
        <v>-0.7248046398162842</v>
      </c>
      <c r="X2392" s="3" t="n">
        <v>-4.454929828643799</v>
      </c>
      <c r="Y2392" s="3" t="n">
        <v>-0.7993287444114685</v>
      </c>
      <c r="Z2392" s="3" t="n">
        <v>-5.056443691253662</v>
      </c>
      <c r="AA2392" s="3" t="n">
        <v>-5.056443691253662</v>
      </c>
      <c r="AB2392" s="3" t="n">
        <v>-4.454929828643799</v>
      </c>
      <c r="AC2392" s="3" t="n">
        <v>-3.114370822906494</v>
      </c>
      <c r="AD2392" s="3" t="n">
        <v>-0.9866772294044495</v>
      </c>
      <c r="AE2392" s="3" t="n">
        <v>-0.9866772294044495</v>
      </c>
    </row>
    <row r="2393">
      <c r="A2393" s="3" t="inlineStr">
        <is>
          <t>ZWE.distn.dec.ove.mean.3</t>
        </is>
      </c>
      <c r="B2393" s="3" t="inlineStr">
        <is>
          <t>ZWE</t>
        </is>
      </c>
      <c r="C2393" s="3" t="n">
        <v>2005</v>
      </c>
      <c r="D2393" s="3" t="inlineStr">
        <is>
          <t>Overall</t>
        </is>
      </c>
      <c r="E2393" s="3" t="inlineStr">
        <is>
          <t>Deciles</t>
        </is>
      </c>
      <c r="F2393" s="3" t="inlineStr">
        <is>
          <t>mean</t>
        </is>
      </c>
      <c r="G2393" s="3" t="n">
        <v>3</v>
      </c>
      <c r="H2393" s="3" t="n">
        <v>-0.7993287444114685</v>
      </c>
      <c r="I2393" s="3" t="n">
        <v>-0.7993287444114685</v>
      </c>
      <c r="J2393" s="3" t="n">
        <v>-0.9866772294044495</v>
      </c>
      <c r="K2393" s="3" t="n">
        <v>-0.9866772294044495</v>
      </c>
      <c r="L2393" s="3" t="n">
        <v>-0.7993287444114685</v>
      </c>
      <c r="M2393" s="3" t="n">
        <v>-0.7993287444114685</v>
      </c>
      <c r="N2393" s="3" t="n">
        <v>-0.7993287444114685</v>
      </c>
      <c r="O2393" s="3" t="n">
        <v>-0.7993287444114685</v>
      </c>
      <c r="P2393" s="3" t="n">
        <v>-0.7993287444114685</v>
      </c>
      <c r="Q2393" s="3" t="n">
        <v>-0.7993287444114685</v>
      </c>
      <c r="R2393" s="3" t="n">
        <v>-0.7794978022575378</v>
      </c>
      <c r="S2393" s="3" t="n">
        <v>-5.056443691253662</v>
      </c>
      <c r="T2393" s="3" t="n">
        <v>-0.7124587297439575</v>
      </c>
      <c r="U2393" s="3" t="n">
        <v>-0.9866772294044495</v>
      </c>
      <c r="V2393" s="3" t="n">
        <v>-0.6930474638938904</v>
      </c>
      <c r="W2393" s="3" t="n">
        <v>-0.7248046398162842</v>
      </c>
      <c r="X2393" s="3" t="n">
        <v>-4.454929828643799</v>
      </c>
      <c r="Y2393" s="3" t="n">
        <v>-0.7993287444114685</v>
      </c>
      <c r="Z2393" s="3" t="n">
        <v>-5.056443691253662</v>
      </c>
      <c r="AA2393" s="3" t="n">
        <v>-5.056443691253662</v>
      </c>
      <c r="AB2393" s="3" t="n">
        <v>-4.454929828643799</v>
      </c>
      <c r="AC2393" s="3" t="n">
        <v>-3.114370822906494</v>
      </c>
      <c r="AD2393" s="3" t="n">
        <v>-0.9866772294044495</v>
      </c>
      <c r="AE2393" s="3" t="n">
        <v>-0.9866772294044495</v>
      </c>
    </row>
    <row r="2394">
      <c r="A2394" s="3" t="inlineStr">
        <is>
          <t>ZWE.distn.dec.ove.mean.4</t>
        </is>
      </c>
      <c r="B2394" s="3" t="inlineStr">
        <is>
          <t>ZWE</t>
        </is>
      </c>
      <c r="C2394" s="3" t="n">
        <v>2005</v>
      </c>
      <c r="D2394" s="3" t="inlineStr">
        <is>
          <t>Overall</t>
        </is>
      </c>
      <c r="E2394" s="3" t="inlineStr">
        <is>
          <t>Deciles</t>
        </is>
      </c>
      <c r="F2394" s="3" t="inlineStr">
        <is>
          <t>mean</t>
        </is>
      </c>
      <c r="G2394" s="3" t="n">
        <v>4</v>
      </c>
      <c r="H2394" s="3" t="n">
        <v>-0.7929999828338623</v>
      </c>
      <c r="I2394" s="3" t="n">
        <v>-0.7929999828338623</v>
      </c>
      <c r="J2394" s="3" t="n">
        <v>-0.9390000104904175</v>
      </c>
      <c r="K2394" s="3" t="n">
        <v>-0.9390000104904175</v>
      </c>
      <c r="L2394" s="3" t="n">
        <v>-0.7929999828338623</v>
      </c>
      <c r="M2394" s="3" t="n">
        <v>-0.7929999828338623</v>
      </c>
      <c r="N2394" s="3" t="n">
        <v>-0.7929999828338623</v>
      </c>
      <c r="O2394" s="3" t="n">
        <v>-0.7929999828338623</v>
      </c>
      <c r="P2394" s="3" t="n">
        <v>-0.7929999828338623</v>
      </c>
      <c r="Q2394" s="3" t="n">
        <v>-0.7929999828338623</v>
      </c>
      <c r="R2394" s="3" t="n">
        <v>-0.7760000228881836</v>
      </c>
      <c r="S2394" s="3" t="n">
        <v>-3.444000005722046</v>
      </c>
      <c r="T2394" s="3" t="n">
        <v>-0.7110000252723694</v>
      </c>
      <c r="U2394" s="3" t="n">
        <v>-0.9390000104904175</v>
      </c>
      <c r="V2394" s="3" t="n">
        <v>-0.6859999895095825</v>
      </c>
      <c r="W2394" s="3" t="n">
        <v>-0.6100000143051147</v>
      </c>
      <c r="X2394" s="3" t="n">
        <v>-3.144000053405762</v>
      </c>
      <c r="Y2394" s="3" t="n">
        <v>-0.7929999828338623</v>
      </c>
      <c r="Z2394" s="3" t="n">
        <v>-3.444000005722046</v>
      </c>
      <c r="AA2394" s="3" t="n">
        <v>-3.444000005722046</v>
      </c>
      <c r="AB2394" s="3" t="n">
        <v>-3.144000053405762</v>
      </c>
      <c r="AC2394" s="3" t="n">
        <v>-1.503999948501587</v>
      </c>
      <c r="AD2394" s="3" t="n">
        <v>-0.9390000104904175</v>
      </c>
      <c r="AE2394" s="3" t="n">
        <v>-0.9390000104904175</v>
      </c>
    </row>
    <row r="2395">
      <c r="A2395" s="3" t="inlineStr">
        <is>
          <t>ZWE.distn.dec.ove.mean.5</t>
        </is>
      </c>
      <c r="B2395" s="3" t="inlineStr">
        <is>
          <t>ZWE</t>
        </is>
      </c>
      <c r="C2395" s="3" t="n">
        <v>2005</v>
      </c>
      <c r="D2395" s="3" t="inlineStr">
        <is>
          <t>Overall</t>
        </is>
      </c>
      <c r="E2395" s="3" t="inlineStr">
        <is>
          <t>Deciles</t>
        </is>
      </c>
      <c r="F2395" s="3" t="inlineStr">
        <is>
          <t>mean</t>
        </is>
      </c>
      <c r="G2395" s="3" t="n">
        <v>5</v>
      </c>
      <c r="H2395" s="3" t="n">
        <v>-0.7929999828338623</v>
      </c>
      <c r="I2395" s="3" t="n">
        <v>-0.7929999828338623</v>
      </c>
      <c r="J2395" s="3" t="n">
        <v>-0.9390000104904175</v>
      </c>
      <c r="K2395" s="3" t="n">
        <v>-0.9390000104904175</v>
      </c>
      <c r="L2395" s="3" t="n">
        <v>-0.7929999828338623</v>
      </c>
      <c r="M2395" s="3" t="n">
        <v>-0.7929999828338623</v>
      </c>
      <c r="N2395" s="3" t="n">
        <v>-0.7929999828338623</v>
      </c>
      <c r="O2395" s="3" t="n">
        <v>-0.7929999828338623</v>
      </c>
      <c r="P2395" s="3" t="n">
        <v>-0.7929999828338623</v>
      </c>
      <c r="Q2395" s="3" t="n">
        <v>-0.7929999828338623</v>
      </c>
      <c r="R2395" s="3" t="n">
        <v>-0.7760000228881836</v>
      </c>
      <c r="S2395" s="3" t="n">
        <v>-3.444000005722046</v>
      </c>
      <c r="T2395" s="3" t="n">
        <v>-0.7110000252723694</v>
      </c>
      <c r="U2395" s="3" t="n">
        <v>-0.9390000104904175</v>
      </c>
      <c r="V2395" s="3" t="n">
        <v>-0.6859999895095825</v>
      </c>
      <c r="W2395" s="3" t="n">
        <v>-0.6100000143051147</v>
      </c>
      <c r="X2395" s="3" t="n">
        <v>-3.144000053405762</v>
      </c>
      <c r="Y2395" s="3" t="n">
        <v>-0.7929999828338623</v>
      </c>
      <c r="Z2395" s="3" t="n">
        <v>-3.444000005722046</v>
      </c>
      <c r="AA2395" s="3" t="n">
        <v>-3.444000005722046</v>
      </c>
      <c r="AB2395" s="3" t="n">
        <v>-3.144000053405762</v>
      </c>
      <c r="AC2395" s="3" t="n">
        <v>-1.503999948501587</v>
      </c>
      <c r="AD2395" s="3" t="n">
        <v>-0.9390000104904175</v>
      </c>
      <c r="AE2395" s="3" t="n">
        <v>-0.9390000104904175</v>
      </c>
    </row>
    <row r="2396">
      <c r="A2396" s="3" t="inlineStr">
        <is>
          <t>ZWE.distn.dec.ove.mean.6</t>
        </is>
      </c>
      <c r="B2396" s="3" t="inlineStr">
        <is>
          <t>ZWE</t>
        </is>
      </c>
      <c r="C2396" s="3" t="n">
        <v>2005</v>
      </c>
      <c r="D2396" s="3" t="inlineStr">
        <is>
          <t>Overall</t>
        </is>
      </c>
      <c r="E2396" s="3" t="inlineStr">
        <is>
          <t>Deciles</t>
        </is>
      </c>
      <c r="F2396" s="3" t="inlineStr">
        <is>
          <t>mean</t>
        </is>
      </c>
      <c r="G2396" s="3" t="n">
        <v>6</v>
      </c>
      <c r="H2396" s="3" t="n">
        <v>-0.7929999828338623</v>
      </c>
      <c r="I2396" s="3" t="n">
        <v>-0.7929999828338623</v>
      </c>
      <c r="J2396" s="3" t="n">
        <v>-0.9390000104904175</v>
      </c>
      <c r="K2396" s="3" t="n">
        <v>-0.9390000104904175</v>
      </c>
      <c r="L2396" s="3" t="n">
        <v>-0.7929999828338623</v>
      </c>
      <c r="M2396" s="3" t="n">
        <v>-0.7929999828338623</v>
      </c>
      <c r="N2396" s="3" t="n">
        <v>-0.7929999828338623</v>
      </c>
      <c r="O2396" s="3" t="n">
        <v>-0.7929999828338623</v>
      </c>
      <c r="P2396" s="3" t="n">
        <v>-0.7929999828338623</v>
      </c>
      <c r="Q2396" s="3" t="n">
        <v>-0.7929999828338623</v>
      </c>
      <c r="R2396" s="3" t="n">
        <v>-0.7760000228881836</v>
      </c>
      <c r="S2396" s="3" t="n">
        <v>-3.444000005722046</v>
      </c>
      <c r="T2396" s="3" t="n">
        <v>-0.7110000252723694</v>
      </c>
      <c r="U2396" s="3" t="n">
        <v>-0.9390000104904175</v>
      </c>
      <c r="V2396" s="3" t="n">
        <v>-0.6859999895095825</v>
      </c>
      <c r="W2396" s="3" t="n">
        <v>-0.6100000143051147</v>
      </c>
      <c r="X2396" s="3" t="n">
        <v>-3.144000053405762</v>
      </c>
      <c r="Y2396" s="3" t="n">
        <v>-0.7929999828338623</v>
      </c>
      <c r="Z2396" s="3" t="n">
        <v>-3.444000005722046</v>
      </c>
      <c r="AA2396" s="3" t="n">
        <v>-3.444000005722046</v>
      </c>
      <c r="AB2396" s="3" t="n">
        <v>-3.144000053405762</v>
      </c>
      <c r="AC2396" s="3" t="n">
        <v>-1.503999948501587</v>
      </c>
      <c r="AD2396" s="3" t="n">
        <v>-0.9390000104904175</v>
      </c>
      <c r="AE2396" s="3" t="n">
        <v>-0.9390000104904175</v>
      </c>
    </row>
    <row r="2397">
      <c r="A2397" s="3" t="inlineStr">
        <is>
          <t>ZWE.distn.dec.ove.mean.7</t>
        </is>
      </c>
      <c r="B2397" s="3" t="inlineStr">
        <is>
          <t>ZWE</t>
        </is>
      </c>
      <c r="C2397" s="3" t="n">
        <v>2005</v>
      </c>
      <c r="D2397" s="3" t="inlineStr">
        <is>
          <t>Overall</t>
        </is>
      </c>
      <c r="E2397" s="3" t="inlineStr">
        <is>
          <t>Deciles</t>
        </is>
      </c>
      <c r="F2397" s="3" t="inlineStr">
        <is>
          <t>mean</t>
        </is>
      </c>
      <c r="G2397" s="3" t="n">
        <v>7</v>
      </c>
      <c r="H2397" s="3" t="n">
        <v>-0.7929999828338623</v>
      </c>
      <c r="I2397" s="3" t="n">
        <v>-0.7929999828338623</v>
      </c>
      <c r="J2397" s="3" t="n">
        <v>-0.9390000104904175</v>
      </c>
      <c r="K2397" s="3" t="n">
        <v>-0.9390000104904175</v>
      </c>
      <c r="L2397" s="3" t="n">
        <v>-0.7929999828338623</v>
      </c>
      <c r="M2397" s="3" t="n">
        <v>-0.7929999828338623</v>
      </c>
      <c r="N2397" s="3" t="n">
        <v>-0.7929999828338623</v>
      </c>
      <c r="O2397" s="3" t="n">
        <v>-0.7929999828338623</v>
      </c>
      <c r="P2397" s="3" t="n">
        <v>-0.7929999828338623</v>
      </c>
      <c r="Q2397" s="3" t="n">
        <v>-0.7929999828338623</v>
      </c>
      <c r="R2397" s="3" t="n">
        <v>-0.7760000228881836</v>
      </c>
      <c r="S2397" s="3" t="n">
        <v>-3.444000005722046</v>
      </c>
      <c r="T2397" s="3" t="n">
        <v>-0.7110000252723694</v>
      </c>
      <c r="U2397" s="3" t="n">
        <v>-0.9390000104904175</v>
      </c>
      <c r="V2397" s="3" t="n">
        <v>-0.6859999895095825</v>
      </c>
      <c r="W2397" s="3" t="n">
        <v>-0.6100000143051147</v>
      </c>
      <c r="X2397" s="3" t="n">
        <v>-3.144000053405762</v>
      </c>
      <c r="Y2397" s="3" t="n">
        <v>-0.7929999828338623</v>
      </c>
      <c r="Z2397" s="3" t="n">
        <v>-3.444000005722046</v>
      </c>
      <c r="AA2397" s="3" t="n">
        <v>-3.444000005722046</v>
      </c>
      <c r="AB2397" s="3" t="n">
        <v>-3.144000053405762</v>
      </c>
      <c r="AC2397" s="3" t="n">
        <v>-1.503999948501587</v>
      </c>
      <c r="AD2397" s="3" t="n">
        <v>-0.9390000104904175</v>
      </c>
      <c r="AE2397" s="3" t="n">
        <v>-0.9390000104904175</v>
      </c>
    </row>
    <row r="2398">
      <c r="A2398" s="3" t="inlineStr">
        <is>
          <t>ZWE.distn.dec.ove.mean.8</t>
        </is>
      </c>
      <c r="B2398" s="3" t="inlineStr">
        <is>
          <t>ZWE</t>
        </is>
      </c>
      <c r="C2398" s="3" t="n">
        <v>2005</v>
      </c>
      <c r="D2398" s="3" t="inlineStr">
        <is>
          <t>Overall</t>
        </is>
      </c>
      <c r="E2398" s="3" t="inlineStr">
        <is>
          <t>Deciles</t>
        </is>
      </c>
      <c r="F2398" s="3" t="inlineStr">
        <is>
          <t>mean</t>
        </is>
      </c>
      <c r="G2398" s="3" t="n">
        <v>8</v>
      </c>
      <c r="H2398" s="3" t="n">
        <v>-0.7933820486068726</v>
      </c>
      <c r="I2398" s="3" t="n">
        <v>-0.7933820486068726</v>
      </c>
      <c r="J2398" s="3" t="n">
        <v>-0.9415330290794373</v>
      </c>
      <c r="K2398" s="3" t="n">
        <v>-0.9415330290794373</v>
      </c>
      <c r="L2398" s="3" t="n">
        <v>-0.7933820486068726</v>
      </c>
      <c r="M2398" s="3" t="n">
        <v>-0.7933820486068726</v>
      </c>
      <c r="N2398" s="3" t="n">
        <v>-0.7933820486068726</v>
      </c>
      <c r="O2398" s="3" t="n">
        <v>-0.7933820486068726</v>
      </c>
      <c r="P2398" s="3" t="n">
        <v>-0.7933820486068726</v>
      </c>
      <c r="Q2398" s="3" t="n">
        <v>-0.7933820486068726</v>
      </c>
      <c r="R2398" s="3" t="n">
        <v>-0.776255190372467</v>
      </c>
      <c r="S2398" s="3" t="n">
        <v>-3.476046800613403</v>
      </c>
      <c r="T2398" s="3" t="n">
        <v>-0.7110409736633301</v>
      </c>
      <c r="U2398" s="3" t="n">
        <v>-0.9415330290794373</v>
      </c>
      <c r="V2398" s="3" t="n">
        <v>-0.6867091655731201</v>
      </c>
      <c r="W2398" s="3" t="n">
        <v>-0.626335084438324</v>
      </c>
      <c r="X2398" s="3" t="n">
        <v>-3.172648191452026</v>
      </c>
      <c r="Y2398" s="3" t="n">
        <v>-0.7933820486068726</v>
      </c>
      <c r="Z2398" s="3" t="n">
        <v>-3.476046800613403</v>
      </c>
      <c r="AA2398" s="3" t="n">
        <v>-3.476046800613403</v>
      </c>
      <c r="AB2398" s="3" t="n">
        <v>-3.172648191452026</v>
      </c>
      <c r="AC2398" s="3" t="n">
        <v>-1.52544903755188</v>
      </c>
      <c r="AD2398" s="3" t="n">
        <v>-0.9415330290794373</v>
      </c>
      <c r="AE2398" s="3" t="n">
        <v>-0.9415330290794373</v>
      </c>
    </row>
    <row r="2399">
      <c r="A2399" s="3" t="inlineStr">
        <is>
          <t>ZWE.distn.dec.ove.mean.9</t>
        </is>
      </c>
      <c r="B2399" s="3" t="inlineStr">
        <is>
          <t>ZWE</t>
        </is>
      </c>
      <c r="C2399" s="3" t="n">
        <v>2005</v>
      </c>
      <c r="D2399" s="3" t="inlineStr">
        <is>
          <t>Overall</t>
        </is>
      </c>
      <c r="E2399" s="3" t="inlineStr">
        <is>
          <t>Deciles</t>
        </is>
      </c>
      <c r="F2399" s="3" t="inlineStr">
        <is>
          <t>mean</t>
        </is>
      </c>
      <c r="G2399" s="3" t="n">
        <v>9</v>
      </c>
      <c r="H2399" s="3" t="n">
        <v>-0.7933820486068726</v>
      </c>
      <c r="I2399" s="3" t="n">
        <v>-0.7933820486068726</v>
      </c>
      <c r="J2399" s="3" t="n">
        <v>-0.9415330290794373</v>
      </c>
      <c r="K2399" s="3" t="n">
        <v>-0.9415330290794373</v>
      </c>
      <c r="L2399" s="3" t="n">
        <v>-0.7933820486068726</v>
      </c>
      <c r="M2399" s="3" t="n">
        <v>-0.7933820486068726</v>
      </c>
      <c r="N2399" s="3" t="n">
        <v>-0.7933820486068726</v>
      </c>
      <c r="O2399" s="3" t="n">
        <v>-0.7933820486068726</v>
      </c>
      <c r="P2399" s="3" t="n">
        <v>-0.7933820486068726</v>
      </c>
      <c r="Q2399" s="3" t="n">
        <v>-0.7933820486068726</v>
      </c>
      <c r="R2399" s="3" t="n">
        <v>-0.776255190372467</v>
      </c>
      <c r="S2399" s="3" t="n">
        <v>-3.476046800613403</v>
      </c>
      <c r="T2399" s="3" t="n">
        <v>-0.7110409736633301</v>
      </c>
      <c r="U2399" s="3" t="n">
        <v>-0.9415330290794373</v>
      </c>
      <c r="V2399" s="3" t="n">
        <v>-0.6867091655731201</v>
      </c>
      <c r="W2399" s="3" t="n">
        <v>-0.626335084438324</v>
      </c>
      <c r="X2399" s="3" t="n">
        <v>-3.172648191452026</v>
      </c>
      <c r="Y2399" s="3" t="n">
        <v>-0.7933820486068726</v>
      </c>
      <c r="Z2399" s="3" t="n">
        <v>-3.476046800613403</v>
      </c>
      <c r="AA2399" s="3" t="n">
        <v>-3.476046800613403</v>
      </c>
      <c r="AB2399" s="3" t="n">
        <v>-3.172648191452026</v>
      </c>
      <c r="AC2399" s="3" t="n">
        <v>-1.52544903755188</v>
      </c>
      <c r="AD2399" s="3" t="n">
        <v>-0.9415330290794373</v>
      </c>
      <c r="AE2399" s="3" t="n">
        <v>-0.9415330290794373</v>
      </c>
    </row>
    <row r="2400">
      <c r="A2400" s="3" t="inlineStr">
        <is>
          <t>ZWE.distn.dec.ove.mean.10</t>
        </is>
      </c>
      <c r="B2400" s="3" t="inlineStr">
        <is>
          <t>ZWE</t>
        </is>
      </c>
      <c r="C2400" s="3" t="n">
        <v>2005</v>
      </c>
      <c r="D2400" s="3" t="inlineStr">
        <is>
          <t>Overall</t>
        </is>
      </c>
      <c r="E2400" s="3" t="inlineStr">
        <is>
          <t>Deciles</t>
        </is>
      </c>
      <c r="F2400" s="3" t="inlineStr">
        <is>
          <t>mean</t>
        </is>
      </c>
      <c r="G2400" s="3" t="n">
        <v>10</v>
      </c>
      <c r="H2400" s="3" t="n">
        <v>-0.7933820486068726</v>
      </c>
      <c r="I2400" s="3" t="n">
        <v>-0.7933820486068726</v>
      </c>
      <c r="J2400" s="3" t="n">
        <v>-0.9415330290794373</v>
      </c>
      <c r="K2400" s="3" t="n">
        <v>-0.9415330290794373</v>
      </c>
      <c r="L2400" s="3" t="n">
        <v>-0.7933820486068726</v>
      </c>
      <c r="M2400" s="3" t="n">
        <v>-0.7933820486068726</v>
      </c>
      <c r="N2400" s="3" t="n">
        <v>-0.7933820486068726</v>
      </c>
      <c r="O2400" s="3" t="n">
        <v>-0.7933820486068726</v>
      </c>
      <c r="P2400" s="3" t="n">
        <v>-0.7933820486068726</v>
      </c>
      <c r="Q2400" s="3" t="n">
        <v>-0.7933820486068726</v>
      </c>
      <c r="R2400" s="3" t="n">
        <v>-0.776255190372467</v>
      </c>
      <c r="S2400" s="3" t="n">
        <v>-3.476046800613403</v>
      </c>
      <c r="T2400" s="3" t="n">
        <v>-0.7110409736633301</v>
      </c>
      <c r="U2400" s="3" t="n">
        <v>-0.9415330290794373</v>
      </c>
      <c r="V2400" s="3" t="n">
        <v>-0.6867091655731201</v>
      </c>
      <c r="W2400" s="3" t="n">
        <v>-0.626335084438324</v>
      </c>
      <c r="X2400" s="3" t="n">
        <v>-3.172648191452026</v>
      </c>
      <c r="Y2400" s="3" t="n">
        <v>-0.7933820486068726</v>
      </c>
      <c r="Z2400" s="3" t="n">
        <v>-3.476046800613403</v>
      </c>
      <c r="AA2400" s="3" t="n">
        <v>-3.476046800613403</v>
      </c>
      <c r="AB2400" s="3" t="n">
        <v>-3.172648191452026</v>
      </c>
      <c r="AC2400" s="3" t="n">
        <v>-1.52544903755188</v>
      </c>
      <c r="AD2400" s="3" t="n">
        <v>-0.9415330290794373</v>
      </c>
      <c r="AE2400" s="3" t="n">
        <v>-0.9415330290794373</v>
      </c>
    </row>
    <row r="2401">
      <c r="A2401" s="3" t="inlineStr">
        <is>
          <t>ZWE.distn.bkt.ove.mean.9999</t>
        </is>
      </c>
      <c r="B2401" s="3" t="inlineStr">
        <is>
          <t>ZWE</t>
        </is>
      </c>
      <c r="C2401" s="3" t="n">
        <v>2005</v>
      </c>
      <c r="D2401" s="3" t="inlineStr">
        <is>
          <t>Overall</t>
        </is>
      </c>
      <c r="E2401" s="3" t="inlineStr">
        <is>
          <t>Basket</t>
        </is>
      </c>
      <c r="F2401" s="3" t="inlineStr">
        <is>
          <t>mean</t>
        </is>
      </c>
      <c r="G2401" s="3" t="n">
        <v>9999</v>
      </c>
      <c r="H2401" s="3" t="n">
        <v>-0.7950132489204407</v>
      </c>
      <c r="I2401" s="3" t="n">
        <v>-0.7950132489204407</v>
      </c>
      <c r="J2401" s="3" t="n">
        <v>-0.9540630578994751</v>
      </c>
      <c r="K2401" s="3" t="n">
        <v>-0.9540630578994751</v>
      </c>
      <c r="L2401" s="3" t="n">
        <v>-0.7950132489204407</v>
      </c>
      <c r="M2401" s="3" t="n">
        <v>-0.7950132489204407</v>
      </c>
      <c r="N2401" s="3" t="n">
        <v>-0.7950132489204407</v>
      </c>
      <c r="O2401" s="3" t="n">
        <v>-0.7950132489204407</v>
      </c>
      <c r="P2401" s="3" t="n">
        <v>-0.7950132489204407</v>
      </c>
      <c r="Q2401" s="3" t="n">
        <v>-0.7950132489204407</v>
      </c>
      <c r="R2401" s="3" t="n">
        <v>-0.7771258950233459</v>
      </c>
      <c r="S2401" s="3" t="n">
        <v>-3.937347173690796</v>
      </c>
      <c r="T2401" s="3" t="n">
        <v>-0.711449921131134</v>
      </c>
      <c r="U2401" s="3" t="n">
        <v>-0.9540630578994751</v>
      </c>
      <c r="V2401" s="3" t="n">
        <v>-0.6883269548416138</v>
      </c>
      <c r="W2401" s="3" t="n">
        <v>-0.6493419408798218</v>
      </c>
      <c r="X2401" s="3" t="n">
        <v>-3.545873403549194</v>
      </c>
      <c r="Y2401" s="3" t="n">
        <v>-0.7950132489204407</v>
      </c>
      <c r="Z2401" s="3" t="n">
        <v>-3.937347173690796</v>
      </c>
      <c r="AA2401" s="3" t="n">
        <v>-3.937347173690796</v>
      </c>
      <c r="AB2401" s="3" t="n">
        <v>-3.545873403549194</v>
      </c>
      <c r="AC2401" s="3" t="n">
        <v>-1.993545889854431</v>
      </c>
      <c r="AD2401" s="3" t="n">
        <v>-0.9540630578994751</v>
      </c>
      <c r="AE2401" s="3" t="n">
        <v>-0.9540630578994751</v>
      </c>
    </row>
  </sheetData>
  <pageMargins left="0.75" right="0.75" top="1" bottom="1" header="0.5" footer="0.5"/>
</worksheet>
</file>

<file path=xl/worksheets/sheet12.xml><?xml version="1.0" encoding="utf-8"?>
<worksheet xmlns="http://schemas.openxmlformats.org/spreadsheetml/2006/main">
  <sheetPr>
    <tabColor rgb="00DCE6F1"/>
    <outlinePr summaryBelow="1" summaryRight="1"/>
    <pageSetUpPr/>
  </sheetPr>
  <dimension ref="A1:H33"/>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ASPIRE, extract_legacy_tables.py. Legacy table unchanged: paste the legacy data rows (all countries) at A4</t>
        </is>
      </c>
    </row>
    <row r="2">
      <c r="A2" s="1" t="inlineStr">
        <is>
          <t>ASPIRE - social protection benefits per capita by quintile (PPP $ per day)</t>
        </is>
      </c>
      <c r="B2" s="2" t="n"/>
      <c r="C2" s="2" t="n"/>
      <c r="D2" s="2" t="n"/>
      <c r="E2" s="2" t="n"/>
      <c r="F2" s="2" t="n"/>
      <c r="G2" s="2" t="n"/>
      <c r="H2" s="2" t="n"/>
    </row>
    <row r="3">
      <c r="A3" s="188" t="inlineStr">
        <is>
          <t>Series_Code</t>
        </is>
      </c>
      <c r="B3" s="188" t="inlineStr">
        <is>
          <t>Country Name</t>
        </is>
      </c>
      <c r="C3" s="188" t="inlineStr">
        <is>
          <t>ISO-3 Country Code</t>
        </is>
      </c>
      <c r="D3" s="188" t="inlineStr">
        <is>
          <t>Year</t>
        </is>
      </c>
      <c r="E3" s="188" t="inlineStr">
        <is>
          <t>(firstnm) Value</t>
        </is>
      </c>
      <c r="F3" s="188" t="inlineStr">
        <is>
          <t>(firstnm) indicator_name</t>
        </is>
      </c>
      <c r="G3" s="188" t="inlineStr">
        <is>
          <t>(firstnm) Sub_Topic5</t>
        </is>
      </c>
      <c r="H3" s="188" t="inlineStr">
        <is>
          <t>(firstnm) Sub_Topic6</t>
        </is>
      </c>
    </row>
    <row r="4">
      <c r="A4" s="3" t="inlineStr">
        <is>
          <t>EGY.per_allsp.avt_q1_preT_tot</t>
        </is>
      </c>
      <c r="B4" s="3" t="inlineStr">
        <is>
          <t>Egypt, Arab Rep.</t>
        </is>
      </c>
      <c r="C4" s="3" t="inlineStr">
        <is>
          <t>EGY</t>
        </is>
      </c>
      <c r="D4" s="3" t="n">
        <v>2008</v>
      </c>
      <c r="E4" s="3" t="n">
        <v>1.701829075813293</v>
      </c>
      <c r="F4" s="3" t="inlineStr">
        <is>
          <t>Average per capita transfer held by 1st quintile (poorest) -All Social Protection and Labor (preT)</t>
        </is>
      </c>
      <c r="G4" s="3" t="inlineStr">
        <is>
          <t>All Social Protection and Labor</t>
        </is>
      </c>
      <c r="H4" s="3" t="inlineStr">
        <is>
          <t>All Social Protection and Labor</t>
        </is>
      </c>
    </row>
    <row r="5">
      <c r="A5" s="3" t="inlineStr">
        <is>
          <t>EGY.per_allsp.avt_q2_preT_tot</t>
        </is>
      </c>
      <c r="B5" s="3" t="inlineStr">
        <is>
          <t>Egypt, Arab Rep.</t>
        </is>
      </c>
      <c r="C5" s="3" t="inlineStr">
        <is>
          <t>EGY</t>
        </is>
      </c>
      <c r="D5" s="3" t="n">
        <v>2008</v>
      </c>
      <c r="E5" s="3" t="n">
        <v>1.4042809009552</v>
      </c>
      <c r="F5" s="3" t="inlineStr">
        <is>
          <t>Average per capita transfer held by 2nd quintile -All Social Protection and Labor (preT)</t>
        </is>
      </c>
      <c r="G5" s="3" t="inlineStr">
        <is>
          <t>All Social Protection and Labor</t>
        </is>
      </c>
      <c r="H5" s="3" t="inlineStr">
        <is>
          <t>All Social Protection and Labor</t>
        </is>
      </c>
    </row>
    <row r="6">
      <c r="A6" s="3" t="inlineStr">
        <is>
          <t>EGY.per_allsp.avt_q3_preT_tot</t>
        </is>
      </c>
      <c r="B6" s="3" t="inlineStr">
        <is>
          <t>Egypt, Arab Rep.</t>
        </is>
      </c>
      <c r="C6" s="3" t="inlineStr">
        <is>
          <t>EGY</t>
        </is>
      </c>
      <c r="D6" s="3" t="n">
        <v>2008</v>
      </c>
      <c r="E6" s="3" t="n">
        <v>1.858706116676331</v>
      </c>
      <c r="F6" s="3" t="inlineStr">
        <is>
          <t>Average per capita transfer held by 3rd quintile -All Social Protection and Labor (preT)</t>
        </is>
      </c>
      <c r="G6" s="3" t="inlineStr">
        <is>
          <t>All Social Protection and Labor</t>
        </is>
      </c>
      <c r="H6" s="3" t="inlineStr">
        <is>
          <t>All Social Protection and Labor</t>
        </is>
      </c>
    </row>
    <row r="7">
      <c r="A7" s="3" t="inlineStr">
        <is>
          <t>EGY.per_allsp.avt_q4_preT_tot</t>
        </is>
      </c>
      <c r="B7" s="3" t="inlineStr">
        <is>
          <t>Egypt, Arab Rep.</t>
        </is>
      </c>
      <c r="C7" s="3" t="inlineStr">
        <is>
          <t>EGY</t>
        </is>
      </c>
      <c r="D7" s="3" t="n">
        <v>2008</v>
      </c>
      <c r="E7" s="3" t="n">
        <v>1.829251289367676</v>
      </c>
      <c r="F7" s="3" t="inlineStr">
        <is>
          <t>Average per capita transfer held by 4th quintile -All Social Protection and Labor (preT)</t>
        </is>
      </c>
      <c r="G7" s="3" t="inlineStr">
        <is>
          <t>All Social Protection and Labor</t>
        </is>
      </c>
      <c r="H7" s="3" t="inlineStr">
        <is>
          <t>All Social Protection and Labor</t>
        </is>
      </c>
    </row>
    <row r="8">
      <c r="A8" s="3" t="inlineStr">
        <is>
          <t>EGY.per_allsp.avt_q5_preT_tot</t>
        </is>
      </c>
      <c r="B8" s="3" t="inlineStr">
        <is>
          <t>Egypt, Arab Rep.</t>
        </is>
      </c>
      <c r="C8" s="3" t="inlineStr">
        <is>
          <t>EGY</t>
        </is>
      </c>
      <c r="D8" s="3" t="n">
        <v>2008</v>
      </c>
      <c r="E8" s="3" t="n">
        <v>4.406506061553955</v>
      </c>
      <c r="F8" s="3" t="inlineStr">
        <is>
          <t>Average per capita transfer held by 5th quintile (richest) -All Social Protection and Labor (preT)</t>
        </is>
      </c>
      <c r="G8" s="3" t="inlineStr">
        <is>
          <t>All Social Protection and Labor</t>
        </is>
      </c>
      <c r="H8" s="3" t="inlineStr">
        <is>
          <t>All Social Protection and Labor</t>
        </is>
      </c>
    </row>
    <row r="9">
      <c r="A9" s="3" t="inlineStr">
        <is>
          <t>EGY.per_sa_allsa.avt_q1_preT_tot</t>
        </is>
      </c>
      <c r="B9" s="3" t="inlineStr">
        <is>
          <t>Egypt, Arab Rep.</t>
        </is>
      </c>
      <c r="C9" s="3" t="inlineStr">
        <is>
          <t>EGY</t>
        </is>
      </c>
      <c r="D9" s="3" t="n">
        <v>2008</v>
      </c>
      <c r="E9" s="3" t="n">
        <v>0.3547559082508087</v>
      </c>
      <c r="F9" s="3" t="inlineStr">
        <is>
          <t>Average per capita transfer held by 1st quintile (poorest) - All Social Assistance (preT)</t>
        </is>
      </c>
      <c r="G9" s="3" t="inlineStr">
        <is>
          <t>Social Assistance</t>
        </is>
      </c>
      <c r="H9" s="3" t="inlineStr">
        <is>
          <t>All Social Assistance</t>
        </is>
      </c>
    </row>
    <row r="10">
      <c r="A10" s="3" t="inlineStr">
        <is>
          <t>EGY.per_sa_allsa.avt_q2_preT_tot</t>
        </is>
      </c>
      <c r="B10" s="3" t="inlineStr">
        <is>
          <t>Egypt, Arab Rep.</t>
        </is>
      </c>
      <c r="C10" s="3" t="inlineStr">
        <is>
          <t>EGY</t>
        </is>
      </c>
      <c r="D10" s="3" t="n">
        <v>2008</v>
      </c>
      <c r="E10" s="3" t="n">
        <v>0.2657167911529541</v>
      </c>
      <c r="F10" s="3" t="inlineStr">
        <is>
          <t>Average per capita transfer held by 2nd quintile - All Social Assistance (preT)</t>
        </is>
      </c>
      <c r="G10" s="3" t="inlineStr">
        <is>
          <t>Social Assistance</t>
        </is>
      </c>
      <c r="H10" s="3" t="inlineStr">
        <is>
          <t>All Social Assistance</t>
        </is>
      </c>
    </row>
    <row r="11">
      <c r="A11" s="3" t="inlineStr">
        <is>
          <t>EGY.per_sa_allsa.avt_q3_preT_tot</t>
        </is>
      </c>
      <c r="B11" s="3" t="inlineStr">
        <is>
          <t>Egypt, Arab Rep.</t>
        </is>
      </c>
      <c r="C11" s="3" t="inlineStr">
        <is>
          <t>EGY</t>
        </is>
      </c>
      <c r="D11" s="3" t="n">
        <v>2008</v>
      </c>
      <c r="E11" s="3" t="n">
        <v>0.3326095044612885</v>
      </c>
      <c r="F11" s="3" t="inlineStr">
        <is>
          <t>Average per capita transfer held by 3rd quintile - All Social Assistance (preT)</t>
        </is>
      </c>
      <c r="G11" s="3" t="inlineStr">
        <is>
          <t>Social Assistance</t>
        </is>
      </c>
      <c r="H11" s="3" t="inlineStr">
        <is>
          <t>All Social Assistance</t>
        </is>
      </c>
    </row>
    <row r="12">
      <c r="A12" s="3" t="inlineStr">
        <is>
          <t>EGY.per_sa_allsa.avt_q4_preT_tot</t>
        </is>
      </c>
      <c r="B12" s="3" t="inlineStr">
        <is>
          <t>Egypt, Arab Rep.</t>
        </is>
      </c>
      <c r="C12" s="3" t="inlineStr">
        <is>
          <t>EGY</t>
        </is>
      </c>
      <c r="D12" s="3" t="n">
        <v>2008</v>
      </c>
      <c r="E12" s="3" t="n">
        <v>0.3066478967666626</v>
      </c>
      <c r="F12" s="3" t="inlineStr">
        <is>
          <t>Average per capita transfer held by 4th quintile - All Social Assistance (preT)</t>
        </is>
      </c>
      <c r="G12" s="3" t="inlineStr">
        <is>
          <t>Social Assistance</t>
        </is>
      </c>
      <c r="H12" s="3" t="inlineStr">
        <is>
          <t>All Social Assistance</t>
        </is>
      </c>
    </row>
    <row r="13">
      <c r="A13" s="3" t="inlineStr">
        <is>
          <t>EGY.per_sa_allsa.avt_q5_preT_tot</t>
        </is>
      </c>
      <c r="B13" s="3" t="inlineStr">
        <is>
          <t>Egypt, Arab Rep.</t>
        </is>
      </c>
      <c r="C13" s="3" t="inlineStr">
        <is>
          <t>EGY</t>
        </is>
      </c>
      <c r="D13" s="3" t="n">
        <v>2008</v>
      </c>
      <c r="E13" s="3" t="n">
        <v>0.3710348010063171</v>
      </c>
      <c r="F13" s="3" t="inlineStr">
        <is>
          <t>Average per capita transfer held by 5th quintile (richest) - All Social Assistance (preT)</t>
        </is>
      </c>
      <c r="G13" s="3" t="inlineStr">
        <is>
          <t>Social Assistance</t>
        </is>
      </c>
      <c r="H13" s="3" t="inlineStr">
        <is>
          <t>All Social Assistance</t>
        </is>
      </c>
    </row>
    <row r="14">
      <c r="A14" s="3" t="inlineStr">
        <is>
          <t>EGY.per_sa_ct.avt_q1_preT_tot</t>
        </is>
      </c>
      <c r="B14" s="3" t="inlineStr">
        <is>
          <t>Egypt, Arab Rep.</t>
        </is>
      </c>
      <c r="C14" s="3" t="inlineStr">
        <is>
          <t>EGY</t>
        </is>
      </c>
      <c r="D14" s="3" t="n">
        <v>2008</v>
      </c>
      <c r="E14" s="3" t="n">
        <v>1.024693727493286</v>
      </c>
      <c r="F14" s="3" t="inlineStr">
        <is>
          <t>Average per capita transfer held by 1st quintile (poorest) - Cash Transfer (preT)</t>
        </is>
      </c>
      <c r="G14" s="3" t="inlineStr">
        <is>
          <t>Social Assistance</t>
        </is>
      </c>
      <c r="H14" s="3" t="inlineStr">
        <is>
          <t>Cash Transfers</t>
        </is>
      </c>
    </row>
    <row r="15">
      <c r="A15" s="3" t="inlineStr">
        <is>
          <t>EGY.per_sa_ct.avt_q2_preT_tot</t>
        </is>
      </c>
      <c r="B15" s="3" t="inlineStr">
        <is>
          <t>Egypt, Arab Rep.</t>
        </is>
      </c>
      <c r="C15" s="3" t="inlineStr">
        <is>
          <t>EGY</t>
        </is>
      </c>
      <c r="D15" s="3" t="n">
        <v>2008</v>
      </c>
      <c r="E15" s="3" t="n">
        <v>0.7078378796577454</v>
      </c>
      <c r="F15" s="3" t="inlineStr">
        <is>
          <t>Average per capita transfer held by 2nd quintile - Cash Transfer (preT)</t>
        </is>
      </c>
      <c r="G15" s="3" t="inlineStr">
        <is>
          <t>Social Assistance</t>
        </is>
      </c>
      <c r="H15" s="3" t="inlineStr">
        <is>
          <t>Cash Transfers</t>
        </is>
      </c>
    </row>
    <row r="16">
      <c r="A16" s="3" t="inlineStr">
        <is>
          <t>EGY.per_sa_ct.avt_q3_preT_tot</t>
        </is>
      </c>
      <c r="B16" s="3" t="inlineStr">
        <is>
          <t>Egypt, Arab Rep.</t>
        </is>
      </c>
      <c r="C16" s="3" t="inlineStr">
        <is>
          <t>EGY</t>
        </is>
      </c>
      <c r="D16" s="3" t="n">
        <v>2008</v>
      </c>
      <c r="E16" s="3" t="n">
        <v>1.08569598197937</v>
      </c>
      <c r="F16" s="3" t="inlineStr">
        <is>
          <t>Average per capita transfer held by 3rd quintile - Cash Transfer (preT)</t>
        </is>
      </c>
      <c r="G16" s="3" t="inlineStr">
        <is>
          <t>Social Assistance</t>
        </is>
      </c>
      <c r="H16" s="3" t="inlineStr">
        <is>
          <t>Cash Transfers</t>
        </is>
      </c>
    </row>
    <row r="17">
      <c r="A17" s="3" t="inlineStr">
        <is>
          <t>EGY.per_sa_ct.avt_q4_preT_tot</t>
        </is>
      </c>
      <c r="B17" s="3" t="inlineStr">
        <is>
          <t>Egypt, Arab Rep.</t>
        </is>
      </c>
      <c r="C17" s="3" t="inlineStr">
        <is>
          <t>EGY</t>
        </is>
      </c>
      <c r="D17" s="3" t="n">
        <v>2008</v>
      </c>
      <c r="E17" s="3" t="n">
        <v>0.784868061542511</v>
      </c>
      <c r="F17" s="3" t="inlineStr">
        <is>
          <t>Average per capita transfer held by 4th quintile - Cash Transfer (preT)</t>
        </is>
      </c>
      <c r="G17" s="3" t="inlineStr">
        <is>
          <t>Social Assistance</t>
        </is>
      </c>
      <c r="H17" s="3" t="inlineStr">
        <is>
          <t>Cash Transfers</t>
        </is>
      </c>
    </row>
    <row r="18">
      <c r="A18" s="3" t="inlineStr">
        <is>
          <t>EGY.per_sa_ct.avt_q5_preT_tot</t>
        </is>
      </c>
      <c r="B18" s="3" t="inlineStr">
        <is>
          <t>Egypt, Arab Rep.</t>
        </is>
      </c>
      <c r="C18" s="3" t="inlineStr">
        <is>
          <t>EGY</t>
        </is>
      </c>
      <c r="D18" s="3" t="n">
        <v>2008</v>
      </c>
      <c r="E18" s="3" t="n">
        <v>0.9650470614433289</v>
      </c>
      <c r="F18" s="3" t="inlineStr">
        <is>
          <t>Average per capita transfer held by 5th quintile (richest) - Cash Transfer (preT)</t>
        </is>
      </c>
      <c r="G18" s="3" t="inlineStr">
        <is>
          <t>Social Assistance</t>
        </is>
      </c>
      <c r="H18" s="3" t="inlineStr">
        <is>
          <t>Cash Transfers</t>
        </is>
      </c>
    </row>
    <row r="19">
      <c r="A19" s="3" t="inlineStr">
        <is>
          <t>EGY.per_sa_ik.avt_q1_preT_tot</t>
        </is>
      </c>
      <c r="B19" s="3" t="inlineStr">
        <is>
          <t>Egypt, Arab Rep.</t>
        </is>
      </c>
      <c r="C19" s="3" t="inlineStr">
        <is>
          <t>EGY</t>
        </is>
      </c>
      <c r="D19" s="3" t="n">
        <v>2008</v>
      </c>
      <c r="E19" s="3" t="n">
        <v>0.1784599423408508</v>
      </c>
      <c r="F19" s="3" t="inlineStr">
        <is>
          <t>Average per capita transfer held by 1st quintile (poorest) - In-Kind (preT)</t>
        </is>
      </c>
      <c r="G19" s="3" t="inlineStr">
        <is>
          <t>Social Assistance</t>
        </is>
      </c>
      <c r="H19" s="3" t="inlineStr">
        <is>
          <t>In-Kind</t>
        </is>
      </c>
    </row>
    <row r="20">
      <c r="A20" s="3" t="inlineStr">
        <is>
          <t>EGY.per_sa_ik.avt_q2_preT_tot</t>
        </is>
      </c>
      <c r="B20" s="3" t="inlineStr">
        <is>
          <t>Egypt, Arab Rep.</t>
        </is>
      </c>
      <c r="C20" s="3" t="inlineStr">
        <is>
          <t>EGY</t>
        </is>
      </c>
      <c r="D20" s="3" t="n">
        <v>2008</v>
      </c>
      <c r="E20" s="3" t="n">
        <v>0.1986256092786789</v>
      </c>
      <c r="F20" s="3" t="inlineStr">
        <is>
          <t>Average per capita transfer held by 2nd quintile - In-Kind (preT)</t>
        </is>
      </c>
      <c r="G20" s="3" t="inlineStr">
        <is>
          <t>Social Assistance</t>
        </is>
      </c>
      <c r="H20" s="3" t="inlineStr">
        <is>
          <t>In-Kind</t>
        </is>
      </c>
    </row>
    <row r="21">
      <c r="A21" s="3" t="inlineStr">
        <is>
          <t>EGY.per_sa_ik.avt_q3_preT_tot</t>
        </is>
      </c>
      <c r="B21" s="3" t="inlineStr">
        <is>
          <t>Egypt, Arab Rep.</t>
        </is>
      </c>
      <c r="C21" s="3" t="inlineStr">
        <is>
          <t>EGY</t>
        </is>
      </c>
      <c r="D21" s="3" t="n">
        <v>2008</v>
      </c>
      <c r="E21" s="3" t="n">
        <v>0.2165990024805069</v>
      </c>
      <c r="F21" s="3" t="inlineStr">
        <is>
          <t>Average per capita transfer held by 3rd quintile - In-Kind (preT)</t>
        </is>
      </c>
      <c r="G21" s="3" t="inlineStr">
        <is>
          <t>Social Assistance</t>
        </is>
      </c>
      <c r="H21" s="3" t="inlineStr">
        <is>
          <t>In-Kind</t>
        </is>
      </c>
    </row>
    <row r="22">
      <c r="A22" s="3" t="inlineStr">
        <is>
          <t>EGY.per_sa_ik.avt_q4_preT_tot</t>
        </is>
      </c>
      <c r="B22" s="3" t="inlineStr">
        <is>
          <t>Egypt, Arab Rep.</t>
        </is>
      </c>
      <c r="C22" s="3" t="inlineStr">
        <is>
          <t>EGY</t>
        </is>
      </c>
      <c r="D22" s="3" t="n">
        <v>2008</v>
      </c>
      <c r="E22" s="3" t="n">
        <v>0.2341246455907822</v>
      </c>
      <c r="F22" s="3" t="inlineStr">
        <is>
          <t>Average per capita transfer held by 4th quintile - In-Kind (preT)</t>
        </is>
      </c>
      <c r="G22" s="3" t="inlineStr">
        <is>
          <t>Social Assistance</t>
        </is>
      </c>
      <c r="H22" s="3" t="inlineStr">
        <is>
          <t>In-Kind</t>
        </is>
      </c>
    </row>
    <row r="23">
      <c r="A23" s="3" t="inlineStr">
        <is>
          <t>EGY.per_sa_ik.avt_q5_preT_tot</t>
        </is>
      </c>
      <c r="B23" s="3" t="inlineStr">
        <is>
          <t>Egypt, Arab Rep.</t>
        </is>
      </c>
      <c r="C23" s="3" t="inlineStr">
        <is>
          <t>EGY</t>
        </is>
      </c>
      <c r="D23" s="3" t="n">
        <v>2008</v>
      </c>
      <c r="E23" s="3" t="n">
        <v>0.3122527003288269</v>
      </c>
      <c r="F23" s="3" t="inlineStr">
        <is>
          <t>Average per capita transfer held by 5th quintile (richest) - In-Kind (preT)</t>
        </is>
      </c>
      <c r="G23" s="3" t="inlineStr">
        <is>
          <t>Social Assistance</t>
        </is>
      </c>
      <c r="H23" s="3" t="inlineStr">
        <is>
          <t>In-Kind</t>
        </is>
      </c>
    </row>
    <row r="24">
      <c r="A24" s="3" t="inlineStr">
        <is>
          <t>EGY.per_si_allsi.avt_q1_preT_tot</t>
        </is>
      </c>
      <c r="B24" s="3" t="inlineStr">
        <is>
          <t>Egypt, Arab Rep.</t>
        </is>
      </c>
      <c r="C24" s="3" t="inlineStr">
        <is>
          <t>EGY</t>
        </is>
      </c>
      <c r="D24" s="3" t="n">
        <v>2008</v>
      </c>
      <c r="E24" s="3" t="n">
        <v>3.410625696182251</v>
      </c>
      <c r="F24" s="3" t="inlineStr">
        <is>
          <t>Average per capita transfer held by 1st quintile (poorest) - All Social Insurance (preT)</t>
        </is>
      </c>
      <c r="G24" s="3" t="inlineStr">
        <is>
          <t>Social Insurance</t>
        </is>
      </c>
      <c r="H24" s="3" t="inlineStr">
        <is>
          <t>All Social Insurance</t>
        </is>
      </c>
    </row>
    <row r="25">
      <c r="A25" s="3" t="inlineStr">
        <is>
          <t>EGY.per_si_allsi.avt_q2_preT_tot</t>
        </is>
      </c>
      <c r="B25" s="3" t="inlineStr">
        <is>
          <t>Egypt, Arab Rep.</t>
        </is>
      </c>
      <c r="C25" s="3" t="inlineStr">
        <is>
          <t>EGY</t>
        </is>
      </c>
      <c r="D25" s="3" t="n">
        <v>2008</v>
      </c>
      <c r="E25" s="3" t="n">
        <v>3.653099775314331</v>
      </c>
      <c r="F25" s="3" t="inlineStr">
        <is>
          <t>Average per capita transfer held by 2nd quintile - All Social Insurance (preT)</t>
        </is>
      </c>
      <c r="G25" s="3" t="inlineStr">
        <is>
          <t>Social Insurance</t>
        </is>
      </c>
      <c r="H25" s="3" t="inlineStr">
        <is>
          <t>All Social Insurance</t>
        </is>
      </c>
    </row>
    <row r="26">
      <c r="A26" s="3" t="inlineStr">
        <is>
          <t>EGY.per_si_allsi.avt_q3_preT_tot</t>
        </is>
      </c>
      <c r="B26" s="3" t="inlineStr">
        <is>
          <t>Egypt, Arab Rep.</t>
        </is>
      </c>
      <c r="C26" s="3" t="inlineStr">
        <is>
          <t>EGY</t>
        </is>
      </c>
      <c r="D26" s="3" t="n">
        <v>2008</v>
      </c>
      <c r="E26" s="3" t="n">
        <v>4.544201850891113</v>
      </c>
      <c r="F26" s="3" t="inlineStr">
        <is>
          <t>Average per capita transfer held by 3rd quintile - All Social Insurance (preT)</t>
        </is>
      </c>
      <c r="G26" s="3" t="inlineStr">
        <is>
          <t>Social Insurance</t>
        </is>
      </c>
      <c r="H26" s="3" t="inlineStr">
        <is>
          <t>All Social Insurance</t>
        </is>
      </c>
    </row>
    <row r="27">
      <c r="A27" s="3" t="inlineStr">
        <is>
          <t>EGY.per_si_allsi.avt_q4_preT_tot</t>
        </is>
      </c>
      <c r="B27" s="3" t="inlineStr">
        <is>
          <t>Egypt, Arab Rep.</t>
        </is>
      </c>
      <c r="C27" s="3" t="inlineStr">
        <is>
          <t>EGY</t>
        </is>
      </c>
      <c r="D27" s="3" t="n">
        <v>2008</v>
      </c>
      <c r="E27" s="3" t="n">
        <v>4.691322326660156</v>
      </c>
      <c r="F27" s="3" t="inlineStr">
        <is>
          <t>Average per capita transfer held by 4th quintile - All Social Insurance (preT)</t>
        </is>
      </c>
      <c r="G27" s="3" t="inlineStr">
        <is>
          <t>Social Insurance</t>
        </is>
      </c>
      <c r="H27" s="3" t="inlineStr">
        <is>
          <t>All Social Insurance</t>
        </is>
      </c>
    </row>
    <row r="28">
      <c r="A28" s="3" t="inlineStr">
        <is>
          <t>EGY.per_si_allsi.avt_q5_preT_tot</t>
        </is>
      </c>
      <c r="B28" s="3" t="inlineStr">
        <is>
          <t>Egypt, Arab Rep.</t>
        </is>
      </c>
      <c r="C28" s="3" t="inlineStr">
        <is>
          <t>EGY</t>
        </is>
      </c>
      <c r="D28" s="3" t="n">
        <v>2008</v>
      </c>
      <c r="E28" s="3" t="n">
        <v>7.790436744689941</v>
      </c>
      <c r="F28" s="3" t="inlineStr">
        <is>
          <t>Average per capita transfer held by 5th quintile (richest) - All Social Insurance (preT)</t>
        </is>
      </c>
      <c r="G28" s="3" t="inlineStr">
        <is>
          <t>Social Insurance</t>
        </is>
      </c>
      <c r="H28" s="3" t="inlineStr">
        <is>
          <t>All Social Insurance</t>
        </is>
      </c>
    </row>
    <row r="29">
      <c r="A29" s="3" t="inlineStr">
        <is>
          <t>EGY.per_si_cp.avt_q1_preT_tot</t>
        </is>
      </c>
      <c r="B29" s="3" t="inlineStr">
        <is>
          <t>Egypt, Arab Rep.</t>
        </is>
      </c>
      <c r="C29" s="3" t="inlineStr">
        <is>
          <t>EGY</t>
        </is>
      </c>
      <c r="D29" s="3" t="n">
        <v>2008</v>
      </c>
      <c r="E29" s="3" t="n">
        <v>3.410625696182251</v>
      </c>
      <c r="F29" s="3" t="inlineStr">
        <is>
          <t>Average per capita transfer held by 1st quintile (poorest) - Contributory Pensions (preT)</t>
        </is>
      </c>
      <c r="G29" s="3" t="inlineStr">
        <is>
          <t>Social Insurance</t>
        </is>
      </c>
      <c r="H29" s="3" t="inlineStr">
        <is>
          <t>Contributory Pensions</t>
        </is>
      </c>
    </row>
    <row r="30">
      <c r="A30" s="3" t="inlineStr">
        <is>
          <t>EGY.per_si_cp.avt_q2_preT_tot</t>
        </is>
      </c>
      <c r="B30" s="3" t="inlineStr">
        <is>
          <t>Egypt, Arab Rep.</t>
        </is>
      </c>
      <c r="C30" s="3" t="inlineStr">
        <is>
          <t>EGY</t>
        </is>
      </c>
      <c r="D30" s="3" t="n">
        <v>2008</v>
      </c>
      <c r="E30" s="3" t="n">
        <v>3.653099775314331</v>
      </c>
      <c r="F30" s="3" t="inlineStr">
        <is>
          <t>Average per capita transfer held by 2nd quintile - Contributory Pensions (preT)</t>
        </is>
      </c>
      <c r="G30" s="3" t="inlineStr">
        <is>
          <t>Social Insurance</t>
        </is>
      </c>
      <c r="H30" s="3" t="inlineStr">
        <is>
          <t>Contributory Pensions</t>
        </is>
      </c>
    </row>
    <row r="31">
      <c r="A31" s="3" t="inlineStr">
        <is>
          <t>EGY.per_si_cp.avt_q3_preT_tot</t>
        </is>
      </c>
      <c r="B31" s="3" t="inlineStr">
        <is>
          <t>Egypt, Arab Rep.</t>
        </is>
      </c>
      <c r="C31" s="3" t="inlineStr">
        <is>
          <t>EGY</t>
        </is>
      </c>
      <c r="D31" s="3" t="n">
        <v>2008</v>
      </c>
      <c r="E31" s="3" t="n">
        <v>4.544201850891113</v>
      </c>
      <c r="F31" s="3" t="inlineStr">
        <is>
          <t>Average per capita transfer held by 3rd quintile - Contributory Pensions (preT)</t>
        </is>
      </c>
      <c r="G31" s="3" t="inlineStr">
        <is>
          <t>Social Insurance</t>
        </is>
      </c>
      <c r="H31" s="3" t="inlineStr">
        <is>
          <t>Contributory Pensions</t>
        </is>
      </c>
    </row>
    <row r="32">
      <c r="A32" s="3" t="inlineStr">
        <is>
          <t>EGY.per_si_cp.avt_q4_preT_tot</t>
        </is>
      </c>
      <c r="B32" s="3" t="inlineStr">
        <is>
          <t>Egypt, Arab Rep.</t>
        </is>
      </c>
      <c r="C32" s="3" t="inlineStr">
        <is>
          <t>EGY</t>
        </is>
      </c>
      <c r="D32" s="3" t="n">
        <v>2008</v>
      </c>
      <c r="E32" s="3" t="n">
        <v>4.691322326660156</v>
      </c>
      <c r="F32" s="3" t="inlineStr">
        <is>
          <t>Average per capita transfer held by 4th quintile - Contributory Pensions (preT)</t>
        </is>
      </c>
      <c r="G32" s="3" t="inlineStr">
        <is>
          <t>Social Insurance</t>
        </is>
      </c>
      <c r="H32" s="3" t="inlineStr">
        <is>
          <t>Contributory Pensions</t>
        </is>
      </c>
    </row>
    <row r="33">
      <c r="A33" s="3" t="inlineStr">
        <is>
          <t>EGY.per_si_cp.avt_q5_preT_tot</t>
        </is>
      </c>
      <c r="B33" s="3" t="inlineStr">
        <is>
          <t>Egypt, Arab Rep.</t>
        </is>
      </c>
      <c r="C33" s="3" t="inlineStr">
        <is>
          <t>EGY</t>
        </is>
      </c>
      <c r="D33" s="3" t="n">
        <v>2008</v>
      </c>
      <c r="E33" s="3" t="n">
        <v>7.790436744689941</v>
      </c>
      <c r="F33" s="3" t="inlineStr">
        <is>
          <t>Average per capita transfer held by 5th quintile (richest) - Contributory Pensions (preT)</t>
        </is>
      </c>
      <c r="G33" s="3" t="inlineStr">
        <is>
          <t>Social Insurance</t>
        </is>
      </c>
      <c r="H33" s="3" t="inlineStr">
        <is>
          <t>Contributory Pensions</t>
        </is>
      </c>
    </row>
  </sheetData>
  <pageMargins left="0.75" right="0.75" top="1" bottom="1" header="0.5" footer="0.5"/>
</worksheet>
</file>

<file path=xl/worksheets/sheet13.xml><?xml version="1.0" encoding="utf-8"?>
<worksheet xmlns="http://schemas.openxmlformats.org/spreadsheetml/2006/main">
  <sheetPr>
    <tabColor rgb="00DCE6F1"/>
    <outlinePr summaryBelow="1" summaryRight="1"/>
    <pageSetUpPr/>
  </sheetPr>
  <dimension ref="A1:F6"/>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WHOCooking, extract_legacy_tables.py. Legacy table unchanged: paste the legacy data rows (all countries) at A4</t>
        </is>
      </c>
    </row>
    <row r="2">
      <c r="A2" s="1" t="inlineStr">
        <is>
          <t>WHOCooking - main cooking fuel and its share by sample</t>
        </is>
      </c>
      <c r="B2" s="2" t="n"/>
      <c r="C2" s="2" t="n"/>
      <c r="D2" s="2" t="n"/>
      <c r="E2" s="2" t="n"/>
      <c r="F2" s="2" t="n"/>
    </row>
    <row r="3">
      <c r="A3" s="188" t="inlineStr">
        <is>
          <t>code</t>
        </is>
      </c>
      <c r="B3" s="188" t="inlineStr">
        <is>
          <t>iso3</t>
        </is>
      </c>
      <c r="C3" s="188" t="inlineStr">
        <is>
          <t>year</t>
        </is>
      </c>
      <c r="D3" s="188" t="inlineStr">
        <is>
          <t>sample</t>
        </is>
      </c>
      <c r="E3" s="188" t="inlineStr">
        <is>
          <t>main_fuel</t>
        </is>
      </c>
      <c r="F3" s="188" t="inlineStr">
        <is>
          <t>max_share</t>
        </is>
      </c>
    </row>
    <row r="4">
      <c r="A4" s="3" t="inlineStr">
        <is>
          <t>EGY.distn.pcoff.ove</t>
        </is>
      </c>
      <c r="B4" s="3" t="inlineStr">
        <is>
          <t>EGY</t>
        </is>
      </c>
      <c r="C4" s="3" t="n">
        <v>2017</v>
      </c>
      <c r="D4" s="3" t="inlineStr">
        <is>
          <t>Overall</t>
        </is>
      </c>
      <c r="E4" s="3" t="inlineStr">
        <is>
          <t>lpg</t>
        </is>
      </c>
      <c r="F4" s="3" t="n">
        <v>74.05000305175781</v>
      </c>
    </row>
    <row r="5">
      <c r="A5" s="3" t="inlineStr">
        <is>
          <t>EGY.distn.pcoff.rur</t>
        </is>
      </c>
      <c r="B5" s="3" t="inlineStr">
        <is>
          <t>EGY</t>
        </is>
      </c>
      <c r="C5" s="3" t="n">
        <v>2017</v>
      </c>
      <c r="D5" s="3" t="inlineStr">
        <is>
          <t>Rural</t>
        </is>
      </c>
      <c r="E5" s="3" t="inlineStr">
        <is>
          <t>lpg</t>
        </is>
      </c>
      <c r="F5" s="3" t="n">
        <v>96.48000335693359</v>
      </c>
    </row>
    <row r="6">
      <c r="A6" s="3" t="inlineStr">
        <is>
          <t>EGY.distn.pcoff.urb</t>
        </is>
      </c>
      <c r="B6" s="3" t="inlineStr">
        <is>
          <t>EGY</t>
        </is>
      </c>
      <c r="C6" s="3" t="n">
        <v>2017</v>
      </c>
      <c r="D6" s="3" t="inlineStr">
        <is>
          <t>Urban</t>
        </is>
      </c>
      <c r="E6" s="3" t="inlineStr">
        <is>
          <t>nga</t>
        </is>
      </c>
      <c r="F6" s="3" t="n">
        <v>54.29499816894531</v>
      </c>
    </row>
  </sheetData>
  <pageMargins left="0.75" right="0.75" top="1" bottom="1" header="0.5" footer="0.5"/>
</worksheet>
</file>

<file path=xl/worksheets/sheet14.xml><?xml version="1.0" encoding="utf-8"?>
<worksheet xmlns="http://schemas.openxmlformats.org/spreadsheetml/2006/main">
  <sheetPr>
    <tabColor rgb="00DCE6F1"/>
    <outlinePr summaryBelow="1" summaryRight="1"/>
    <pageSetUpPr/>
  </sheetPr>
  <dimension ref="A1:BR1503"/>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GDPRatios, extract_legacy_tables.py. Legacy table unchanged: paste the legacy data rows (all countries) at A4; the key column BR is a formula, filled to row 1503</t>
        </is>
      </c>
    </row>
    <row r="2">
      <c r="A2" s="1" t="inlineStr">
        <is>
          <t>GDPRatios - WDI ratios to GDP (%), all countries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row>
    <row r="3">
      <c r="A3" s="188" t="inlineStr">
        <is>
          <t>Country Name</t>
        </is>
      </c>
      <c r="B3" s="188" t="inlineStr">
        <is>
          <t>Country Code</t>
        </is>
      </c>
      <c r="C3" s="188" t="inlineStr">
        <is>
          <t>Indicator Name</t>
        </is>
      </c>
      <c r="D3" s="188" t="inlineStr">
        <is>
          <t>Indicator Code</t>
        </is>
      </c>
      <c r="E3" s="188" t="inlineStr">
        <is>
          <t>Latest Year</t>
        </is>
      </c>
      <c r="F3" s="188" t="n">
        <v>1960</v>
      </c>
      <c r="G3" s="188" t="n">
        <v>1961</v>
      </c>
      <c r="H3" s="188" t="n">
        <v>1962</v>
      </c>
      <c r="I3" s="188" t="n">
        <v>1963</v>
      </c>
      <c r="J3" s="188" t="n">
        <v>1964</v>
      </c>
      <c r="K3" s="188" t="n">
        <v>1965</v>
      </c>
      <c r="L3" s="188" t="n">
        <v>1966</v>
      </c>
      <c r="M3" s="188" t="n">
        <v>1967</v>
      </c>
      <c r="N3" s="188" t="n">
        <v>1968</v>
      </c>
      <c r="O3" s="188" t="n">
        <v>1969</v>
      </c>
      <c r="P3" s="188" t="n">
        <v>1970</v>
      </c>
      <c r="Q3" s="188" t="n">
        <v>1971</v>
      </c>
      <c r="R3" s="188" t="n">
        <v>1972</v>
      </c>
      <c r="S3" s="188" t="n">
        <v>1973</v>
      </c>
      <c r="T3" s="188" t="n">
        <v>1974</v>
      </c>
      <c r="U3" s="188" t="n">
        <v>1975</v>
      </c>
      <c r="V3" s="188" t="n">
        <v>1976</v>
      </c>
      <c r="W3" s="188" t="n">
        <v>1977</v>
      </c>
      <c r="X3" s="188" t="n">
        <v>1978</v>
      </c>
      <c r="Y3" s="188" t="n">
        <v>1979</v>
      </c>
      <c r="Z3" s="188" t="n">
        <v>1980</v>
      </c>
      <c r="AA3" s="188" t="n">
        <v>1981</v>
      </c>
      <c r="AB3" s="188" t="n">
        <v>1982</v>
      </c>
      <c r="AC3" s="188" t="n">
        <v>1983</v>
      </c>
      <c r="AD3" s="188" t="n">
        <v>1984</v>
      </c>
      <c r="AE3" s="188" t="n">
        <v>1985</v>
      </c>
      <c r="AF3" s="188" t="n">
        <v>1986</v>
      </c>
      <c r="AG3" s="188" t="n">
        <v>1987</v>
      </c>
      <c r="AH3" s="188" t="n">
        <v>1988</v>
      </c>
      <c r="AI3" s="188" t="n">
        <v>1989</v>
      </c>
      <c r="AJ3" s="188" t="n">
        <v>1990</v>
      </c>
      <c r="AK3" s="188" t="n">
        <v>1991</v>
      </c>
      <c r="AL3" s="188" t="n">
        <v>1992</v>
      </c>
      <c r="AM3" s="188" t="n">
        <v>1993</v>
      </c>
      <c r="AN3" s="188" t="n">
        <v>1994</v>
      </c>
      <c r="AO3" s="188" t="n">
        <v>1995</v>
      </c>
      <c r="AP3" s="188" t="n">
        <v>1996</v>
      </c>
      <c r="AQ3" s="188" t="n">
        <v>1997</v>
      </c>
      <c r="AR3" s="188" t="n">
        <v>1998</v>
      </c>
      <c r="AS3" s="188" t="n">
        <v>1999</v>
      </c>
      <c r="AT3" s="188" t="n">
        <v>2000</v>
      </c>
      <c r="AU3" s="188" t="n">
        <v>2001</v>
      </c>
      <c r="AV3" s="188" t="n">
        <v>2002</v>
      </c>
      <c r="AW3" s="188" t="n">
        <v>2003</v>
      </c>
      <c r="AX3" s="188" t="n">
        <v>2004</v>
      </c>
      <c r="AY3" s="188" t="n">
        <v>2005</v>
      </c>
      <c r="AZ3" s="188" t="n">
        <v>2006</v>
      </c>
      <c r="BA3" s="188" t="n">
        <v>2007</v>
      </c>
      <c r="BB3" s="188" t="n">
        <v>2008</v>
      </c>
      <c r="BC3" s="188" t="n">
        <v>2009</v>
      </c>
      <c r="BD3" s="188" t="n">
        <v>2010</v>
      </c>
      <c r="BE3" s="188" t="n">
        <v>2011</v>
      </c>
      <c r="BF3" s="188" t="n">
        <v>2012</v>
      </c>
      <c r="BG3" s="188" t="n">
        <v>2013</v>
      </c>
      <c r="BH3" s="188" t="n">
        <v>2014</v>
      </c>
      <c r="BI3" s="188" t="n">
        <v>2015</v>
      </c>
      <c r="BJ3" s="188" t="n">
        <v>2016</v>
      </c>
      <c r="BK3" s="188" t="n">
        <v>2017</v>
      </c>
      <c r="BL3" s="188" t="n">
        <v>2018</v>
      </c>
      <c r="BM3" s="188" t="n">
        <v>2019</v>
      </c>
      <c r="BN3" s="188" t="n">
        <v>2020</v>
      </c>
      <c r="BO3" s="188" t="n">
        <v>2021</v>
      </c>
      <c r="BP3" s="188" t="n">
        <v>2022</v>
      </c>
      <c r="BQ3" s="188" t="n">
        <v>2023</v>
      </c>
      <c r="BR3" s="188" t="inlineStr">
        <is>
          <t>Key</t>
        </is>
      </c>
    </row>
    <row r="4">
      <c r="A4" s="3" t="inlineStr">
        <is>
          <t>Aruba</t>
        </is>
      </c>
      <c r="B4" s="3" t="inlineStr">
        <is>
          <t>ABW</t>
        </is>
      </c>
      <c r="C4" s="3" t="inlineStr">
        <is>
          <t>Households and NPISHs final consumption expenditure (% of GDP)</t>
        </is>
      </c>
      <c r="D4" s="3" t="inlineStr">
        <is>
          <t>NE.CON.PRVT.ZS</t>
        </is>
      </c>
      <c r="E4" s="3" t="n">
        <v>2022</v>
      </c>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c r="AI4" s="3" t="n"/>
      <c r="AJ4" s="3" t="n"/>
      <c r="AK4" s="3" t="n"/>
      <c r="AL4" s="3" t="n"/>
      <c r="AM4" s="3" t="n"/>
      <c r="AN4" s="3" t="n"/>
      <c r="AO4" s="3" t="n">
        <v>50.4653130287648</v>
      </c>
      <c r="AP4" s="3" t="n">
        <v>53.44129554655871</v>
      </c>
      <c r="AQ4" s="3" t="n">
        <v>49.85412107950401</v>
      </c>
      <c r="AR4" s="3" t="n">
        <v>50.31868500503187</v>
      </c>
      <c r="AS4" s="3" t="n">
        <v>51.9455252918288</v>
      </c>
      <c r="AT4" s="3" t="n">
        <v>49.38720374059186</v>
      </c>
      <c r="AU4" s="3" t="n">
        <v>49.55639124766029</v>
      </c>
      <c r="AV4" s="3" t="n">
        <v>52.58194037076061</v>
      </c>
      <c r="AW4" s="3" t="n">
        <v>54.00550976233684</v>
      </c>
      <c r="AX4" s="3" t="n">
        <v>51.7617420772831</v>
      </c>
      <c r="AY4" s="3" t="n">
        <v>52.90326673580419</v>
      </c>
      <c r="AZ4" s="3" t="n">
        <v>55.01219092625932</v>
      </c>
      <c r="BA4" s="3" t="n">
        <v>56.68868081597704</v>
      </c>
      <c r="BB4" s="3" t="n">
        <v>54.70018357190607</v>
      </c>
      <c r="BC4" s="3" t="n">
        <v>57.24423521587998</v>
      </c>
      <c r="BD4" s="3" t="n">
        <v>60.28002665792945</v>
      </c>
      <c r="BE4" s="3" t="n">
        <v>62.41073258999595</v>
      </c>
      <c r="BF4" s="3" t="n">
        <v>60.73761066285456</v>
      </c>
      <c r="BG4" s="3" t="n">
        <v>58.77549816695205</v>
      </c>
      <c r="BH4" s="3" t="n">
        <v>58.39586309690027</v>
      </c>
      <c r="BI4" s="3" t="n">
        <v>55.33322246532735</v>
      </c>
      <c r="BJ4" s="3" t="n">
        <v>54.53635632885309</v>
      </c>
      <c r="BK4" s="3" t="n">
        <v>55.13411019306839</v>
      </c>
      <c r="BL4" s="3" t="n">
        <v>55.23525971246698</v>
      </c>
      <c r="BM4" s="3" t="n">
        <v>53.93733301746489</v>
      </c>
      <c r="BN4" s="3" t="n">
        <v>63.34734552095943</v>
      </c>
      <c r="BO4" s="3" t="n">
        <v>59.07262985803742</v>
      </c>
      <c r="BP4" s="3" t="n">
        <v>53.75437696196725</v>
      </c>
      <c r="BQ4" s="3" t="n"/>
      <c r="BR4" s="34" t="str">
        <f>B4&amp;"|"&amp;D4</f>
        <v>ABW|NE.CON.PRVT.ZS</v>
      </c>
    </row>
    <row r="5">
      <c r="A5" s="3" t="inlineStr">
        <is>
          <t>Africa Eastern and Southern</t>
        </is>
      </c>
      <c r="B5" s="3" t="inlineStr">
        <is>
          <t>AFE</t>
        </is>
      </c>
      <c r="C5" s="3" t="inlineStr">
        <is>
          <t>Households and NPISHs final consumption expenditure (% of GDP)</t>
        </is>
      </c>
      <c r="D5" s="3" t="inlineStr">
        <is>
          <t>NE.CON.PRVT.ZS</t>
        </is>
      </c>
      <c r="E5" s="3" t="n">
        <v>2023</v>
      </c>
      <c r="F5" s="3" t="n"/>
      <c r="G5" s="3" t="n"/>
      <c r="H5" s="3" t="n"/>
      <c r="I5" s="3" t="n"/>
      <c r="J5" s="3" t="n"/>
      <c r="K5" s="3" t="n"/>
      <c r="L5" s="3" t="n"/>
      <c r="M5" s="3" t="n"/>
      <c r="N5" s="3" t="n"/>
      <c r="O5" s="3" t="n"/>
      <c r="P5" s="3" t="n"/>
      <c r="Q5" s="3" t="n"/>
      <c r="R5" s="3" t="n"/>
      <c r="S5" s="3" t="n"/>
      <c r="T5" s="3" t="n"/>
      <c r="U5" s="3" t="n"/>
      <c r="V5" s="3" t="n"/>
      <c r="W5" s="3" t="n"/>
      <c r="X5" s="3" t="n"/>
      <c r="Y5" s="3" t="n"/>
      <c r="Z5" s="3" t="n"/>
      <c r="AA5" s="3" t="n"/>
      <c r="AB5" s="3" t="n">
        <v>57.96851052649976</v>
      </c>
      <c r="AC5" s="3" t="n">
        <v>58.91652285944259</v>
      </c>
      <c r="AD5" s="3" t="n">
        <v>59.1281562381355</v>
      </c>
      <c r="AE5" s="3" t="n">
        <v>54.17451635581888</v>
      </c>
      <c r="AF5" s="3" t="n">
        <v>57.66292952872377</v>
      </c>
      <c r="AG5" s="3" t="n">
        <v>61.95811765170733</v>
      </c>
      <c r="AH5" s="3" t="n">
        <v>62.54286656386486</v>
      </c>
      <c r="AI5" s="3" t="n">
        <v>63.78666945650755</v>
      </c>
      <c r="AJ5" s="3" t="n">
        <v>67.887031015023</v>
      </c>
      <c r="AK5" s="3" t="n">
        <v>67.83886343517074</v>
      </c>
      <c r="AL5" s="3" t="n">
        <v>66.02651922002181</v>
      </c>
      <c r="AM5" s="3" t="n">
        <v>64.638981547789</v>
      </c>
      <c r="AN5" s="3" t="n">
        <v>68.44462661273131</v>
      </c>
      <c r="AO5" s="3" t="n">
        <v>69.48586790137735</v>
      </c>
      <c r="AP5" s="3" t="n">
        <v>68.08754143926747</v>
      </c>
      <c r="AQ5" s="3" t="n">
        <v>68.94031597693818</v>
      </c>
      <c r="AR5" s="3" t="n">
        <v>70.69779910024637</v>
      </c>
      <c r="AS5" s="3" t="n">
        <v>70.20451239544606</v>
      </c>
      <c r="AT5" s="3" t="n">
        <v>69.63564924223307</v>
      </c>
      <c r="AU5" s="3" t="n">
        <v>67.72865640281861</v>
      </c>
      <c r="AV5" s="3" t="n">
        <v>64.50198759814172</v>
      </c>
      <c r="AW5" s="3" t="n">
        <v>64.20259378045647</v>
      </c>
      <c r="AX5" s="3" t="n">
        <v>64.05799529842685</v>
      </c>
      <c r="AY5" s="3" t="n">
        <v>62.95360485176615</v>
      </c>
      <c r="AZ5" s="3" t="n">
        <v>61.39861773653578</v>
      </c>
      <c r="BA5" s="3" t="n">
        <v>60.20316060620565</v>
      </c>
      <c r="BB5" s="3" t="n">
        <v>58.80107423054127</v>
      </c>
      <c r="BC5" s="3" t="n">
        <v>62.83007186746299</v>
      </c>
      <c r="BD5" s="3" t="n">
        <v>61.79487593451671</v>
      </c>
      <c r="BE5" s="3" t="n">
        <v>61.61723322222361</v>
      </c>
      <c r="BF5" s="3" t="n">
        <v>64.30397323493848</v>
      </c>
      <c r="BG5" s="3" t="n">
        <v>63.50115980482742</v>
      </c>
      <c r="BH5" s="3" t="n">
        <v>64.56954649972293</v>
      </c>
      <c r="BI5" s="3" t="n">
        <v>67.09887761160958</v>
      </c>
      <c r="BJ5" s="3" t="n">
        <v>67.80816111742354</v>
      </c>
      <c r="BK5" s="3" t="n">
        <v>66.64028593529866</v>
      </c>
      <c r="BL5" s="3" t="n">
        <v>67.40739802811639</v>
      </c>
      <c r="BM5" s="3" t="n">
        <v>67.04932976292697</v>
      </c>
      <c r="BN5" s="3" t="n">
        <v>66.36127768457411</v>
      </c>
      <c r="BO5" s="3" t="n">
        <v>65.15951823325061</v>
      </c>
      <c r="BP5" s="3" t="n">
        <v>65.88725109986679</v>
      </c>
      <c r="BQ5" s="3" t="n">
        <v>68.96278314167502</v>
      </c>
      <c r="BR5" s="34" t="str">
        <f>B5&amp;"|"&amp;D5</f>
        <v>AFE|NE.CON.PRVT.ZS</v>
      </c>
    </row>
    <row r="6">
      <c r="A6" s="3" t="inlineStr">
        <is>
          <t>Afghanistan</t>
        </is>
      </c>
      <c r="B6" s="3" t="inlineStr">
        <is>
          <t>AFG</t>
        </is>
      </c>
      <c r="C6" s="3" t="inlineStr">
        <is>
          <t>Households and NPISHs final consumption expenditure (% of GDP)</t>
        </is>
      </c>
      <c r="D6" s="3" t="inlineStr">
        <is>
          <t>NE.CON.PRVT.ZS</t>
        </is>
      </c>
      <c r="E6" s="3" t="n">
        <v>2022</v>
      </c>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c r="AR6" s="3" t="n"/>
      <c r="AS6" s="3" t="n"/>
      <c r="AT6" s="3" t="n"/>
      <c r="AU6" s="3" t="n"/>
      <c r="AV6" s="3" t="n"/>
      <c r="AW6" s="3" t="n"/>
      <c r="AX6" s="3" t="n"/>
      <c r="AY6" s="3" t="n"/>
      <c r="AZ6" s="3" t="n"/>
      <c r="BA6" s="3" t="n"/>
      <c r="BB6" s="3" t="n"/>
      <c r="BC6" s="3" t="n"/>
      <c r="BD6" s="3" t="n"/>
      <c r="BE6" s="3" t="n"/>
      <c r="BF6" s="3" t="n"/>
      <c r="BG6" s="3" t="n"/>
      <c r="BH6" s="3" t="n"/>
      <c r="BI6" s="3" t="n"/>
      <c r="BJ6" s="3" t="n"/>
      <c r="BK6" s="3" t="n"/>
      <c r="BL6" s="3" t="n"/>
      <c r="BM6" s="3" t="n"/>
      <c r="BN6" s="3" t="n">
        <v>92.30334743570867</v>
      </c>
      <c r="BO6" s="3" t="n">
        <v>88.47832272461341</v>
      </c>
      <c r="BP6" s="3" t="n">
        <v>97.61149908721943</v>
      </c>
      <c r="BQ6" s="3" t="n"/>
      <c r="BR6" s="34" t="str">
        <f>B6&amp;"|"&amp;D6</f>
        <v>AFG|NE.CON.PRVT.ZS</v>
      </c>
    </row>
    <row r="7">
      <c r="A7" s="3" t="inlineStr">
        <is>
          <t>Africa Western and Central</t>
        </is>
      </c>
      <c r="B7" s="3" t="inlineStr">
        <is>
          <t>AFW</t>
        </is>
      </c>
      <c r="C7" s="3" t="inlineStr">
        <is>
          <t>Households and NPISHs final consumption expenditure (% of GDP)</t>
        </is>
      </c>
      <c r="D7" s="3" t="inlineStr">
        <is>
          <t>NE.CON.PRVT.ZS</t>
        </is>
      </c>
      <c r="E7" s="3" t="inlineStr">
        <is>
          <t>0x2a</t>
        </is>
      </c>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c r="AP7" s="3" t="n"/>
      <c r="AQ7" s="3" t="n"/>
      <c r="AR7" s="3" t="n"/>
      <c r="AS7" s="3" t="n"/>
      <c r="AT7" s="3" t="n"/>
      <c r="AU7" s="3" t="n"/>
      <c r="AV7" s="3" t="n"/>
      <c r="AW7" s="3" t="n"/>
      <c r="AX7" s="3" t="n"/>
      <c r="AY7" s="3" t="n"/>
      <c r="AZ7" s="3" t="n"/>
      <c r="BA7" s="3" t="n"/>
      <c r="BB7" s="3" t="n"/>
      <c r="BC7" s="3" t="n"/>
      <c r="BD7" s="3" t="n"/>
      <c r="BE7" s="3" t="n"/>
      <c r="BF7" s="3" t="n"/>
      <c r="BG7" s="3" t="n"/>
      <c r="BH7" s="3" t="n"/>
      <c r="BI7" s="3" t="n"/>
      <c r="BJ7" s="3" t="n"/>
      <c r="BK7" s="3" t="n"/>
      <c r="BL7" s="3" t="n"/>
      <c r="BM7" s="3" t="n"/>
      <c r="BN7" s="3" t="n"/>
      <c r="BO7" s="3" t="n"/>
      <c r="BP7" s="3" t="n"/>
      <c r="BQ7" s="3" t="n"/>
      <c r="BR7" s="34" t="str">
        <f>B7&amp;"|"&amp;D7</f>
        <v>AFW|NE.CON.PRVT.ZS</v>
      </c>
    </row>
    <row r="8">
      <c r="A8" s="3" t="inlineStr">
        <is>
          <t>Angola</t>
        </is>
      </c>
      <c r="B8" s="3" t="inlineStr">
        <is>
          <t>AGO</t>
        </is>
      </c>
      <c r="C8" s="3" t="inlineStr">
        <is>
          <t>Households and NPISHs final consumption expenditure (% of GDP)</t>
        </is>
      </c>
      <c r="D8" s="3" t="inlineStr">
        <is>
          <t>NE.CON.PRVT.ZS</t>
        </is>
      </c>
      <c r="E8" s="3" t="n">
        <v>2023</v>
      </c>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c r="AI8" s="3" t="n"/>
      <c r="AJ8" s="3" t="n"/>
      <c r="AK8" s="3" t="n"/>
      <c r="AL8" s="3" t="n"/>
      <c r="AM8" s="3" t="n"/>
      <c r="AN8" s="3" t="n"/>
      <c r="AO8" s="3" t="n"/>
      <c r="AP8" s="3" t="n"/>
      <c r="AQ8" s="3" t="n"/>
      <c r="AR8" s="3" t="n"/>
      <c r="AS8" s="3" t="n"/>
      <c r="AT8" s="3" t="n"/>
      <c r="AU8" s="3" t="n"/>
      <c r="AV8" s="3" t="n">
        <v>41.50784883939374</v>
      </c>
      <c r="AW8" s="3" t="n">
        <v>42.95318073050701</v>
      </c>
      <c r="AX8" s="3" t="n">
        <v>41.61349196547418</v>
      </c>
      <c r="AY8" s="3" t="n">
        <v>31.95280962477097</v>
      </c>
      <c r="AZ8" s="3" t="n">
        <v>29.04693899560118</v>
      </c>
      <c r="BA8" s="3" t="n">
        <v>30.98098708935778</v>
      </c>
      <c r="BB8" s="3" t="n">
        <v>28.79598600285127</v>
      </c>
      <c r="BC8" s="3" t="n">
        <v>42.21208636875529</v>
      </c>
      <c r="BD8" s="3" t="n">
        <v>35.79775297530361</v>
      </c>
      <c r="BE8" s="3" t="n">
        <v>33.98239891240233</v>
      </c>
      <c r="BF8" s="3" t="n">
        <v>35.40962539724089</v>
      </c>
      <c r="BG8" s="3" t="n">
        <v>37.55284196958182</v>
      </c>
      <c r="BH8" s="3" t="n">
        <v>44.46674600748304</v>
      </c>
      <c r="BI8" s="3" t="n">
        <v>52.74399652308328</v>
      </c>
      <c r="BJ8" s="3" t="n">
        <v>56.02579886540825</v>
      </c>
      <c r="BK8" s="3" t="n">
        <v>57.18249797555025</v>
      </c>
      <c r="BL8" s="3" t="n">
        <v>56.36146563360908</v>
      </c>
      <c r="BM8" s="3" t="n">
        <v>49.93691319038053</v>
      </c>
      <c r="BN8" s="3" t="n">
        <v>54.04846359478134</v>
      </c>
      <c r="BO8" s="3" t="n">
        <v>44.83075412687474</v>
      </c>
      <c r="BP8" s="3" t="n">
        <v>46.88352484102597</v>
      </c>
      <c r="BQ8" s="3" t="n">
        <v>53.81427219730321</v>
      </c>
      <c r="BR8" s="34" t="str">
        <f>B8&amp;"|"&amp;D8</f>
        <v>AGO|NE.CON.PRVT.ZS</v>
      </c>
    </row>
    <row r="9">
      <c r="A9" s="3" t="inlineStr">
        <is>
          <t>Albania</t>
        </is>
      </c>
      <c r="B9" s="3" t="inlineStr">
        <is>
          <t>ALB</t>
        </is>
      </c>
      <c r="C9" s="3" t="inlineStr">
        <is>
          <t>Households and NPISHs final consumption expenditure (% of GDP)</t>
        </is>
      </c>
      <c r="D9" s="3" t="inlineStr">
        <is>
          <t>NE.CON.PRVT.ZS</t>
        </is>
      </c>
      <c r="E9" s="3" t="n">
        <v>2023</v>
      </c>
      <c r="F9" s="3" t="n"/>
      <c r="G9" s="3" t="n"/>
      <c r="H9" s="3" t="n"/>
      <c r="I9" s="3" t="n"/>
      <c r="J9" s="3" t="n"/>
      <c r="K9" s="3" t="n"/>
      <c r="L9" s="3" t="n"/>
      <c r="M9" s="3" t="n"/>
      <c r="N9" s="3" t="n"/>
      <c r="O9" s="3" t="n"/>
      <c r="P9" s="3" t="n"/>
      <c r="Q9" s="3" t="n"/>
      <c r="R9" s="3" t="n"/>
      <c r="S9" s="3" t="n"/>
      <c r="T9" s="3" t="n"/>
      <c r="U9" s="3" t="n"/>
      <c r="V9" s="3" t="n"/>
      <c r="W9" s="3" t="n"/>
      <c r="X9" s="3" t="n"/>
      <c r="Y9" s="3" t="n"/>
      <c r="Z9" s="3" t="n">
        <v>58.1037695512998</v>
      </c>
      <c r="AA9" s="3" t="n">
        <v>56.85128746899607</v>
      </c>
      <c r="AB9" s="3" t="n">
        <v>60.08536970263226</v>
      </c>
      <c r="AC9" s="3" t="n">
        <v>59.84071631938508</v>
      </c>
      <c r="AD9" s="3" t="n">
        <v>62.9594960077711</v>
      </c>
      <c r="AE9" s="3" t="n">
        <v>62.32471343989472</v>
      </c>
      <c r="AF9" s="3" t="n">
        <v>62.42054615966401</v>
      </c>
      <c r="AG9" s="3" t="n">
        <v>64.29389830936115</v>
      </c>
      <c r="AH9" s="3" t="n">
        <v>66.82067887109542</v>
      </c>
      <c r="AI9" s="3" t="n">
        <v>64.50585529206556</v>
      </c>
      <c r="AJ9" s="3" t="n">
        <v>62.67947546373863</v>
      </c>
      <c r="AK9" s="3" t="n">
        <v>94.22457550848982</v>
      </c>
      <c r="AL9" s="3" t="n">
        <v>165.5038353450094</v>
      </c>
      <c r="AM9" s="3" t="n">
        <v>123.8532312868657</v>
      </c>
      <c r="AN9" s="3" t="n">
        <v>101.1827194841901</v>
      </c>
      <c r="AO9" s="3" t="n">
        <v>91.58934785106013</v>
      </c>
      <c r="AP9" s="3" t="n">
        <v>94.13742414590305</v>
      </c>
      <c r="AQ9" s="3" t="n">
        <v>97.9238600282503</v>
      </c>
      <c r="AR9" s="3" t="n">
        <v>94.61630046148089</v>
      </c>
      <c r="AS9" s="3" t="n">
        <v>86.5371555972353</v>
      </c>
      <c r="AT9" s="3" t="n">
        <v>82.73478398799679</v>
      </c>
      <c r="AU9" s="3" t="n">
        <v>78.20954514073146</v>
      </c>
      <c r="AV9" s="3" t="n">
        <v>80.03468338755172</v>
      </c>
      <c r="AW9" s="3" t="n">
        <v>80.33043299918258</v>
      </c>
      <c r="AX9" s="3" t="n">
        <v>77.20939028490244</v>
      </c>
      <c r="AY9" s="3" t="n">
        <v>76.94544887044044</v>
      </c>
      <c r="AZ9" s="3" t="n">
        <v>77.62307573318361</v>
      </c>
      <c r="BA9" s="3" t="n">
        <v>81.76691406152902</v>
      </c>
      <c r="BB9" s="3" t="n">
        <v>83.09373392210061</v>
      </c>
      <c r="BC9" s="3" t="n">
        <v>80.81940598075417</v>
      </c>
      <c r="BD9" s="3" t="n">
        <v>78.10933694727119</v>
      </c>
      <c r="BE9" s="3" t="n">
        <v>78.29943473286669</v>
      </c>
      <c r="BF9" s="3" t="n">
        <v>77.96688052544584</v>
      </c>
      <c r="BG9" s="3" t="n">
        <v>80.02937366162661</v>
      </c>
      <c r="BH9" s="3" t="n">
        <v>80.78735473606129</v>
      </c>
      <c r="BI9" s="3" t="n">
        <v>80.69475921124278</v>
      </c>
      <c r="BJ9" s="3" t="n">
        <v>80.96106090477352</v>
      </c>
      <c r="BK9" s="3" t="n">
        <v>79.60803076684725</v>
      </c>
      <c r="BL9" s="3" t="n">
        <v>79.10771325065447</v>
      </c>
      <c r="BM9" s="3" t="n">
        <v>80.00019341293022</v>
      </c>
      <c r="BN9" s="3" t="n">
        <v>80.64694404913358</v>
      </c>
      <c r="BO9" s="3" t="n">
        <v>76.65213492093899</v>
      </c>
      <c r="BP9" s="3" t="n">
        <v>75.77444004435219</v>
      </c>
      <c r="BQ9" s="3" t="n">
        <v>75.47465034549745</v>
      </c>
      <c r="BR9" s="34" t="str">
        <f>B9&amp;"|"&amp;D9</f>
        <v>ALB|NE.CON.PRVT.ZS</v>
      </c>
    </row>
    <row r="10">
      <c r="A10" s="3" t="inlineStr">
        <is>
          <t>Andorra</t>
        </is>
      </c>
      <c r="B10" s="3" t="inlineStr">
        <is>
          <t>AND</t>
        </is>
      </c>
      <c r="C10" s="3" t="inlineStr">
        <is>
          <t>Households and NPISHs final consumption expenditure (% of GDP)</t>
        </is>
      </c>
      <c r="D10" s="3" t="inlineStr">
        <is>
          <t>NE.CON.PRVT.ZS</t>
        </is>
      </c>
      <c r="E10" s="3" t="inlineStr">
        <is>
          <t>0x2a</t>
        </is>
      </c>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c r="AH10" s="3" t="n"/>
      <c r="AI10" s="3" t="n"/>
      <c r="AJ10" s="3" t="n"/>
      <c r="AK10" s="3" t="n"/>
      <c r="AL10" s="3" t="n"/>
      <c r="AM10" s="3" t="n"/>
      <c r="AN10" s="3" t="n"/>
      <c r="AO10" s="3" t="n"/>
      <c r="AP10" s="3" t="n"/>
      <c r="AQ10" s="3" t="n"/>
      <c r="AR10" s="3" t="n"/>
      <c r="AS10" s="3" t="n"/>
      <c r="AT10" s="3" t="n"/>
      <c r="AU10" s="3" t="n"/>
      <c r="AV10" s="3" t="n"/>
      <c r="AW10" s="3" t="n"/>
      <c r="AX10" s="3" t="n"/>
      <c r="AY10" s="3" t="n"/>
      <c r="AZ10" s="3" t="n"/>
      <c r="BA10" s="3" t="n"/>
      <c r="BB10" s="3" t="n"/>
      <c r="BC10" s="3" t="n"/>
      <c r="BD10" s="3" t="n"/>
      <c r="BE10" s="3" t="n"/>
      <c r="BF10" s="3" t="n"/>
      <c r="BG10" s="3" t="n"/>
      <c r="BH10" s="3" t="n"/>
      <c r="BI10" s="3" t="n"/>
      <c r="BJ10" s="3" t="n"/>
      <c r="BK10" s="3" t="n"/>
      <c r="BL10" s="3" t="n"/>
      <c r="BM10" s="3" t="n"/>
      <c r="BN10" s="3" t="n"/>
      <c r="BO10" s="3" t="n"/>
      <c r="BP10" s="3" t="n"/>
      <c r="BQ10" s="3" t="n"/>
      <c r="BR10" s="34" t="str">
        <f>B10&amp;"|"&amp;D10</f>
        <v>AND|NE.CON.PRVT.ZS</v>
      </c>
    </row>
    <row r="11">
      <c r="A11" s="3" t="inlineStr">
        <is>
          <t>Arab World</t>
        </is>
      </c>
      <c r="B11" s="3" t="inlineStr">
        <is>
          <t>ARB</t>
        </is>
      </c>
      <c r="C11" s="3" t="inlineStr">
        <is>
          <t>Households and NPISHs final consumption expenditure (% of GDP)</t>
        </is>
      </c>
      <c r="D11" s="3" t="inlineStr">
        <is>
          <t>NE.CON.PRVT.ZS</t>
        </is>
      </c>
      <c r="E11" s="3" t="n">
        <v>2023</v>
      </c>
      <c r="F11" s="3" t="n"/>
      <c r="G11" s="3" t="n"/>
      <c r="H11" s="3" t="n"/>
      <c r="I11" s="3" t="n"/>
      <c r="J11" s="3" t="n"/>
      <c r="K11" s="3" t="n"/>
      <c r="L11" s="3" t="n"/>
      <c r="M11" s="3" t="n"/>
      <c r="N11" s="3" t="n">
        <v>62.31600888474173</v>
      </c>
      <c r="O11" s="3" t="n">
        <v>61.98833693146174</v>
      </c>
      <c r="P11" s="3" t="n">
        <v>63.17499590795514</v>
      </c>
      <c r="Q11" s="3" t="n">
        <v>60.20446372096957</v>
      </c>
      <c r="R11" s="3" t="n">
        <v>57.57638331092436</v>
      </c>
      <c r="S11" s="3" t="n">
        <v>50.07298082609197</v>
      </c>
      <c r="T11" s="3" t="n">
        <v>32.926740066388</v>
      </c>
      <c r="U11" s="3" t="n">
        <v>40.18196283360015</v>
      </c>
      <c r="V11" s="3" t="n">
        <v>37.8872259497262</v>
      </c>
      <c r="W11" s="3" t="n">
        <v>43.41249511556089</v>
      </c>
      <c r="X11" s="3" t="n">
        <v>46.60383299615039</v>
      </c>
      <c r="Y11" s="3" t="n">
        <v>42.24362343054923</v>
      </c>
      <c r="Z11" s="3" t="n">
        <v>37.5171870065911</v>
      </c>
      <c r="AA11" s="3" t="n">
        <v>40.63455877628333</v>
      </c>
      <c r="AB11" s="3" t="n">
        <v>48.77803474544559</v>
      </c>
      <c r="AC11" s="3" t="n">
        <v>53.61054820984651</v>
      </c>
      <c r="AD11" s="3" t="n">
        <v>56.47635384105961</v>
      </c>
      <c r="AE11" s="3" t="n">
        <v>58.44737499639535</v>
      </c>
      <c r="AF11" s="3" t="n">
        <v>63.53609663948259</v>
      </c>
      <c r="AG11" s="3" t="n">
        <v>62.08997864956893</v>
      </c>
      <c r="AH11" s="3" t="n">
        <v>63.41116233035478</v>
      </c>
      <c r="AI11" s="3" t="n">
        <v>67.74822455749559</v>
      </c>
      <c r="AJ11" s="3" t="n">
        <v>60.24493266189921</v>
      </c>
      <c r="AK11" s="3" t="n">
        <v>63.33304480034187</v>
      </c>
      <c r="AL11" s="3" t="n">
        <v>59.21549499229941</v>
      </c>
      <c r="AM11" s="3" t="n">
        <v>63.26745979836079</v>
      </c>
      <c r="AN11" s="3" t="n">
        <v>62.26954530517265</v>
      </c>
      <c r="AO11" s="3" t="n">
        <v>61.08877071123507</v>
      </c>
      <c r="AP11" s="3" t="n">
        <v>58.81581566602338</v>
      </c>
      <c r="AQ11" s="3" t="n">
        <v>57.74430278592519</v>
      </c>
      <c r="AR11" s="3" t="n">
        <v>60.53546825998541</v>
      </c>
      <c r="AS11" s="3" t="n">
        <v>55.48583364951281</v>
      </c>
      <c r="AT11" s="3" t="n">
        <v>48.91923680573681</v>
      </c>
      <c r="AU11" s="3" t="n">
        <v>50.48287855081576</v>
      </c>
      <c r="AV11" s="3" t="n">
        <v>51.06757080645108</v>
      </c>
      <c r="AW11" s="3" t="n">
        <v>48.88044687622819</v>
      </c>
      <c r="AX11" s="3" t="n">
        <v>46.36045116414683</v>
      </c>
      <c r="AY11" s="3" t="n">
        <v>42.48094480481932</v>
      </c>
      <c r="AZ11" s="3" t="n">
        <v>41.6010819163509</v>
      </c>
      <c r="BA11" s="3" t="n">
        <v>43.27173676127989</v>
      </c>
      <c r="BB11" s="3" t="n">
        <v>41.4965197277575</v>
      </c>
      <c r="BC11" s="3" t="n">
        <v>48.86920720014738</v>
      </c>
      <c r="BD11" s="3" t="n">
        <v>43.50666314521069</v>
      </c>
      <c r="BE11" s="3" t="n">
        <v>39.94993638252947</v>
      </c>
      <c r="BF11" s="3" t="n">
        <v>40.19964922195204</v>
      </c>
      <c r="BG11" s="3" t="n">
        <v>41.40631796866365</v>
      </c>
      <c r="BH11" s="3" t="n">
        <v>44.39106306140408</v>
      </c>
      <c r="BI11" s="3" t="n">
        <v>50.71831966589907</v>
      </c>
      <c r="BJ11" s="3" t="n">
        <v>52.3876159123888</v>
      </c>
      <c r="BK11" s="3" t="n">
        <v>50.4327394439355</v>
      </c>
      <c r="BL11" s="3" t="n">
        <v>47.07359422535832</v>
      </c>
      <c r="BM11" s="3" t="n">
        <v>49.12441963749518</v>
      </c>
      <c r="BN11" s="3" t="n">
        <v>54.24074766608668</v>
      </c>
      <c r="BO11" s="3" t="n">
        <v>50.8123726988848</v>
      </c>
      <c r="BP11" s="3" t="n">
        <v>45.01494960770538</v>
      </c>
      <c r="BQ11" s="3" t="n">
        <v>47.51604101755865</v>
      </c>
      <c r="BR11" s="34" t="str">
        <f>B11&amp;"|"&amp;D11</f>
        <v>ARB|NE.CON.PRVT.ZS</v>
      </c>
    </row>
    <row r="12">
      <c r="A12" s="3" t="inlineStr">
        <is>
          <t>United Arab Emirates</t>
        </is>
      </c>
      <c r="B12" s="3" t="inlineStr">
        <is>
          <t>ARE</t>
        </is>
      </c>
      <c r="C12" s="3" t="inlineStr">
        <is>
          <t>Households and NPISHs final consumption expenditure (% of GDP)</t>
        </is>
      </c>
      <c r="D12" s="3" t="inlineStr">
        <is>
          <t>NE.CON.PRVT.ZS</t>
        </is>
      </c>
      <c r="E12" s="3" t="n">
        <v>2020</v>
      </c>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c r="AB12" s="3" t="n"/>
      <c r="AC12" s="3" t="n"/>
      <c r="AD12" s="3" t="n"/>
      <c r="AE12" s="3" t="n"/>
      <c r="AF12" s="3" t="n"/>
      <c r="AG12" s="3" t="n"/>
      <c r="AH12" s="3" t="n"/>
      <c r="AI12" s="3" t="n"/>
      <c r="AJ12" s="3" t="n"/>
      <c r="AK12" s="3" t="n"/>
      <c r="AL12" s="3" t="n"/>
      <c r="AM12" s="3" t="n"/>
      <c r="AN12" s="3" t="n"/>
      <c r="AO12" s="3" t="n"/>
      <c r="AP12" s="3" t="n"/>
      <c r="AQ12" s="3" t="n"/>
      <c r="AR12" s="3" t="n"/>
      <c r="AS12" s="3" t="n"/>
      <c r="AT12" s="3" t="n"/>
      <c r="AU12" s="3" t="n">
        <v>59.12950009488366</v>
      </c>
      <c r="AV12" s="3" t="n">
        <v>61.37269566079841</v>
      </c>
      <c r="AW12" s="3" t="n">
        <v>58.5738706526928</v>
      </c>
      <c r="AX12" s="3" t="n">
        <v>60.7617941000396</v>
      </c>
      <c r="AY12" s="3" t="n">
        <v>56.34278856898038</v>
      </c>
      <c r="AZ12" s="3" t="n">
        <v>56.02675954950394</v>
      </c>
      <c r="BA12" s="3" t="n">
        <v>60.09777716779085</v>
      </c>
      <c r="BB12" s="3" t="n">
        <v>58.38284860182878</v>
      </c>
      <c r="BC12" s="3" t="n">
        <v>52.28760709944801</v>
      </c>
      <c r="BD12" s="3" t="n">
        <v>40.77689097136931</v>
      </c>
      <c r="BE12" s="3" t="n">
        <v>37.31613792724448</v>
      </c>
      <c r="BF12" s="3" t="n">
        <v>31.30381227432366</v>
      </c>
      <c r="BG12" s="3" t="n">
        <v>33.08056830045622</v>
      </c>
      <c r="BH12" s="3" t="n">
        <v>35.30969292095455</v>
      </c>
      <c r="BI12" s="3" t="n">
        <v>34.25146800461833</v>
      </c>
      <c r="BJ12" s="3" t="n">
        <v>34.99852500517942</v>
      </c>
      <c r="BK12" s="3" t="n">
        <v>36.83773092950682</v>
      </c>
      <c r="BL12" s="3" t="n">
        <v>37.86821301416261</v>
      </c>
      <c r="BM12" s="3" t="n">
        <v>39.19211133486461</v>
      </c>
      <c r="BN12" s="3" t="n">
        <v>40.17069301872108</v>
      </c>
      <c r="BO12" s="3" t="n"/>
      <c r="BP12" s="3" t="n"/>
      <c r="BQ12" s="3" t="n"/>
      <c r="BR12" s="34" t="str">
        <f>B12&amp;"|"&amp;D12</f>
        <v>ARE|NE.CON.PRVT.ZS</v>
      </c>
    </row>
    <row r="13">
      <c r="A13" s="3" t="inlineStr">
        <is>
          <t>Argentina</t>
        </is>
      </c>
      <c r="B13" s="3" t="inlineStr">
        <is>
          <t>ARG</t>
        </is>
      </c>
      <c r="C13" s="3" t="inlineStr">
        <is>
          <t>Households and NPISHs final consumption expenditure (% of GDP)</t>
        </is>
      </c>
      <c r="D13" s="3" t="inlineStr">
        <is>
          <t>NE.CON.PRVT.ZS</t>
        </is>
      </c>
      <c r="E13" s="3" t="n">
        <v>2023</v>
      </c>
      <c r="F13" s="3" t="n">
        <v>69.15612686295979</v>
      </c>
      <c r="G13" s="3" t="n">
        <v>62.31108476154076</v>
      </c>
      <c r="H13" s="3" t="n">
        <v>67.05396861436425</v>
      </c>
      <c r="I13" s="3" t="n">
        <v>71.76125608521882</v>
      </c>
      <c r="J13" s="3" t="n">
        <v>68.67166334935771</v>
      </c>
      <c r="K13" s="3" t="n">
        <v>67.4075437566741</v>
      </c>
      <c r="L13" s="3" t="n">
        <v>66.98989196775126</v>
      </c>
      <c r="M13" s="3" t="n">
        <v>66.54715258037072</v>
      </c>
      <c r="N13" s="3" t="n">
        <v>67.39941083886481</v>
      </c>
      <c r="O13" s="3" t="n">
        <v>66.50822692334761</v>
      </c>
      <c r="P13" s="3" t="n">
        <v>64.95167811835466</v>
      </c>
      <c r="Q13" s="3" t="n">
        <v>66.34147511555149</v>
      </c>
      <c r="R13" s="3" t="n">
        <v>66.39687155175895</v>
      </c>
      <c r="S13" s="3" t="n">
        <v>65.663698601238</v>
      </c>
      <c r="T13" s="3" t="n">
        <v>63.97287328621202</v>
      </c>
      <c r="U13" s="3" t="n">
        <v>58.1245533888674</v>
      </c>
      <c r="V13" s="3" t="n">
        <v>56.59670650402835</v>
      </c>
      <c r="W13" s="3" t="n">
        <v>57.75347283231797</v>
      </c>
      <c r="X13" s="3" t="n">
        <v>58.14078401925599</v>
      </c>
      <c r="Y13" s="3" t="n">
        <v>62.95402901491153</v>
      </c>
      <c r="Z13" s="3" t="n"/>
      <c r="AA13" s="3" t="n"/>
      <c r="AB13" s="3" t="n"/>
      <c r="AC13" s="3" t="n"/>
      <c r="AD13" s="3" t="n"/>
      <c r="AE13" s="3" t="n"/>
      <c r="AF13" s="3" t="n"/>
      <c r="AG13" s="3" t="n">
        <v>75.43319775590062</v>
      </c>
      <c r="AH13" s="3" t="n">
        <v>73.71828348129873</v>
      </c>
      <c r="AI13" s="3" t="n">
        <v>73.51173620077161</v>
      </c>
      <c r="AJ13" s="3" t="n">
        <v>77.13937287613822</v>
      </c>
      <c r="AK13" s="3" t="n">
        <v>80.44422596036922</v>
      </c>
      <c r="AL13" s="3" t="n">
        <v>81.85652655866443</v>
      </c>
      <c r="AM13" s="3" t="n">
        <v>69.2059625707668</v>
      </c>
      <c r="AN13" s="3" t="n">
        <v>69.92190498756992</v>
      </c>
      <c r="AO13" s="3" t="n">
        <v>68.56078874014536</v>
      </c>
      <c r="AP13" s="3" t="n">
        <v>68.52372765361717</v>
      </c>
      <c r="AQ13" s="3" t="n">
        <v>69.32637094984275</v>
      </c>
      <c r="AR13" s="3" t="n">
        <v>69.05335622469775</v>
      </c>
      <c r="AS13" s="3" t="n">
        <v>70.14226507196946</v>
      </c>
      <c r="AT13" s="3" t="n">
        <v>69.33201180491109</v>
      </c>
      <c r="AU13" s="3" t="n">
        <v>68.91198430944922</v>
      </c>
      <c r="AV13" s="3" t="n">
        <v>61.89842385949197</v>
      </c>
      <c r="AW13" s="3" t="n">
        <v>63.19780641351176</v>
      </c>
      <c r="AX13" s="3" t="n">
        <v>64.33150084960634</v>
      </c>
      <c r="AY13" s="3" t="n">
        <v>63.02939214646614</v>
      </c>
      <c r="AZ13" s="3" t="n">
        <v>63.27018804125959</v>
      </c>
      <c r="BA13" s="3" t="n">
        <v>62.53123290743645</v>
      </c>
      <c r="BB13" s="3" t="n">
        <v>63.07458347651603</v>
      </c>
      <c r="BC13" s="3" t="n">
        <v>62.97814768722907</v>
      </c>
      <c r="BD13" s="3" t="n">
        <v>64.23411476399943</v>
      </c>
      <c r="BE13" s="3" t="n">
        <v>64.2203212799743</v>
      </c>
      <c r="BF13" s="3" t="n">
        <v>64.90339910714906</v>
      </c>
      <c r="BG13" s="3" t="n">
        <v>65.98756553007384</v>
      </c>
      <c r="BH13" s="3" t="n">
        <v>65.38307972508878</v>
      </c>
      <c r="BI13" s="3" t="n">
        <v>65.90583734482627</v>
      </c>
      <c r="BJ13" s="3" t="n">
        <v>65.72189146512207</v>
      </c>
      <c r="BK13" s="3" t="n">
        <v>66.73957332125158</v>
      </c>
      <c r="BL13" s="3" t="n">
        <v>69.47018228772332</v>
      </c>
      <c r="BM13" s="3" t="n">
        <v>66.12758630510459</v>
      </c>
      <c r="BN13" s="3" t="n">
        <v>65.70470680815809</v>
      </c>
      <c r="BO13" s="3" t="n">
        <v>62.99008318490967</v>
      </c>
      <c r="BP13" s="3" t="n">
        <v>65.52038299104602</v>
      </c>
      <c r="BQ13" s="3" t="n">
        <v>67.15153353551777</v>
      </c>
      <c r="BR13" s="34" t="str">
        <f>B13&amp;"|"&amp;D13</f>
        <v>ARG|NE.CON.PRVT.ZS</v>
      </c>
    </row>
    <row r="14">
      <c r="A14" s="3" t="inlineStr">
        <is>
          <t>Armenia</t>
        </is>
      </c>
      <c r="B14" s="3" t="inlineStr">
        <is>
          <t>ARM</t>
        </is>
      </c>
      <c r="C14" s="3" t="inlineStr">
        <is>
          <t>Households and NPISHs final consumption expenditure (% of GDP)</t>
        </is>
      </c>
      <c r="D14" s="3" t="inlineStr">
        <is>
          <t>NE.CON.PRVT.ZS</t>
        </is>
      </c>
      <c r="E14" s="3" t="n">
        <v>2023</v>
      </c>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c r="AB14" s="3" t="n"/>
      <c r="AC14" s="3" t="n"/>
      <c r="AD14" s="3" t="n"/>
      <c r="AE14" s="3" t="n"/>
      <c r="AF14" s="3" t="n"/>
      <c r="AG14" s="3" t="n"/>
      <c r="AH14" s="3" t="n"/>
      <c r="AI14" s="3" t="n"/>
      <c r="AJ14" s="3" t="n">
        <v>48.61856489763466</v>
      </c>
      <c r="AK14" s="3" t="n">
        <v>57.2844773497302</v>
      </c>
      <c r="AL14" s="3" t="n">
        <v>94.14229988071827</v>
      </c>
      <c r="AM14" s="3" t="n">
        <v>93.39253415386366</v>
      </c>
      <c r="AN14" s="3" t="n">
        <v>94.28754302659985</v>
      </c>
      <c r="AO14" s="3" t="n">
        <v>106.1276480813516</v>
      </c>
      <c r="AP14" s="3" t="n">
        <v>100.3110933804597</v>
      </c>
      <c r="AQ14" s="3" t="n">
        <v>103.2584690228647</v>
      </c>
      <c r="AR14" s="3" t="n">
        <v>99.85796431620631</v>
      </c>
      <c r="AS14" s="3" t="n">
        <v>96.04466646187491</v>
      </c>
      <c r="AT14" s="3" t="n">
        <v>102.1660884697097</v>
      </c>
      <c r="AU14" s="3" t="n">
        <v>98.41246974172805</v>
      </c>
      <c r="AV14" s="3" t="n">
        <v>93.70047098959927</v>
      </c>
      <c r="AW14" s="3" t="n">
        <v>87.61175611105138</v>
      </c>
      <c r="AX14" s="3" t="n">
        <v>86.7635992099145</v>
      </c>
      <c r="AY14" s="3" t="n">
        <v>79.42411476240223</v>
      </c>
      <c r="AZ14" s="3" t="n">
        <v>76.00939887654113</v>
      </c>
      <c r="BA14" s="3" t="n">
        <v>75.35690817790486</v>
      </c>
      <c r="BB14" s="3" t="n">
        <v>75.29218147407413</v>
      </c>
      <c r="BC14" s="3" t="n">
        <v>84.54739562096491</v>
      </c>
      <c r="BD14" s="3" t="n">
        <v>86.25688604890112</v>
      </c>
      <c r="BE14" s="3" t="n">
        <v>88.00510520850274</v>
      </c>
      <c r="BF14" s="3" t="n">
        <v>85.8798294276954</v>
      </c>
      <c r="BG14" s="3" t="n">
        <v>86.78850528560412</v>
      </c>
      <c r="BH14" s="3" t="n">
        <v>85.54718554219033</v>
      </c>
      <c r="BI14" s="3" t="n">
        <v>77.9158468542082</v>
      </c>
      <c r="BJ14" s="3" t="n">
        <v>76.30365795863216</v>
      </c>
      <c r="BK14" s="3" t="n">
        <v>80.02999302739748</v>
      </c>
      <c r="BL14" s="3" t="n">
        <v>79.80088931505669</v>
      </c>
      <c r="BM14" s="3" t="n">
        <v>83.43946189533273</v>
      </c>
      <c r="BN14" s="3" t="n">
        <v>75.32638252825271</v>
      </c>
      <c r="BO14" s="3" t="n">
        <v>71.24328235945943</v>
      </c>
      <c r="BP14" s="3" t="n">
        <v>66.64574353354796</v>
      </c>
      <c r="BQ14" s="3" t="n">
        <v>65.27797985317683</v>
      </c>
      <c r="BR14" s="34" t="str">
        <f>B14&amp;"|"&amp;D14</f>
        <v>ARM|NE.CON.PRVT.ZS</v>
      </c>
    </row>
    <row r="15">
      <c r="A15" s="3" t="inlineStr">
        <is>
          <t>American Samoa</t>
        </is>
      </c>
      <c r="B15" s="3" t="inlineStr">
        <is>
          <t>ASM</t>
        </is>
      </c>
      <c r="C15" s="3" t="inlineStr">
        <is>
          <t>Households and NPISHs final consumption expenditure (% of GDP)</t>
        </is>
      </c>
      <c r="D15" s="3" t="inlineStr">
        <is>
          <t>NE.CON.PRVT.ZS</t>
        </is>
      </c>
      <c r="E15" s="3" t="n">
        <v>2022</v>
      </c>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c r="AH15" s="3" t="n"/>
      <c r="AI15" s="3" t="n"/>
      <c r="AJ15" s="3" t="n"/>
      <c r="AK15" s="3" t="n"/>
      <c r="AL15" s="3" t="n"/>
      <c r="AM15" s="3" t="n"/>
      <c r="AN15" s="3" t="n"/>
      <c r="AO15" s="3" t="n"/>
      <c r="AP15" s="3" t="n"/>
      <c r="AQ15" s="3" t="n"/>
      <c r="AR15" s="3" t="n"/>
      <c r="AS15" s="3" t="n"/>
      <c r="AT15" s="3" t="n"/>
      <c r="AU15" s="3" t="n"/>
      <c r="AV15" s="3" t="n">
        <v>60.9375</v>
      </c>
      <c r="AW15" s="3" t="n">
        <v>63.35877862595419</v>
      </c>
      <c r="AX15" s="3" t="n">
        <v>70.13752455795678</v>
      </c>
      <c r="AY15" s="3" t="n">
        <v>73.40000000000001</v>
      </c>
      <c r="AZ15" s="3" t="n">
        <v>76.06490872210954</v>
      </c>
      <c r="BA15" s="3" t="n">
        <v>74.13127413127413</v>
      </c>
      <c r="BB15" s="3" t="n">
        <v>72.67857142857143</v>
      </c>
      <c r="BC15" s="3" t="n">
        <v>58.96296296296296</v>
      </c>
      <c r="BD15" s="3" t="n">
        <v>69.9825479930192</v>
      </c>
      <c r="BE15" s="3" t="n">
        <v>72.10526315789474</v>
      </c>
      <c r="BF15" s="3" t="n">
        <v>65.625</v>
      </c>
      <c r="BG15" s="3" t="n">
        <v>69.90595611285266</v>
      </c>
      <c r="BH15" s="3" t="n">
        <v>72.00622083981337</v>
      </c>
      <c r="BI15" s="3" t="n">
        <v>68.35066864784547</v>
      </c>
      <c r="BJ15" s="3" t="n">
        <v>69.00149031296571</v>
      </c>
      <c r="BK15" s="3" t="n">
        <v>76.9607843137255</v>
      </c>
      <c r="BL15" s="3" t="n">
        <v>76.21283255086072</v>
      </c>
      <c r="BM15" s="3" t="n">
        <v>78.67078825347758</v>
      </c>
      <c r="BN15" s="3" t="n">
        <v>73.92510402219141</v>
      </c>
      <c r="BO15" s="3" t="n">
        <v>80.26666666666667</v>
      </c>
      <c r="BP15" s="3" t="n">
        <v>71.29735935706086</v>
      </c>
      <c r="BQ15" s="3" t="n"/>
      <c r="BR15" s="34" t="str">
        <f>B15&amp;"|"&amp;D15</f>
        <v>ASM|NE.CON.PRVT.ZS</v>
      </c>
    </row>
    <row r="16">
      <c r="A16" s="3" t="inlineStr">
        <is>
          <t>Antigua and Barbuda</t>
        </is>
      </c>
      <c r="B16" s="3" t="inlineStr">
        <is>
          <t>ATG</t>
        </is>
      </c>
      <c r="C16" s="3" t="inlineStr">
        <is>
          <t>Households and NPISHs final consumption expenditure (% of GDP)</t>
        </is>
      </c>
      <c r="D16" s="3" t="inlineStr">
        <is>
          <t>NE.CON.PRVT.ZS</t>
        </is>
      </c>
      <c r="E16" s="3" t="inlineStr">
        <is>
          <t>0x2a</t>
        </is>
      </c>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c r="AC16" s="3" t="n"/>
      <c r="AD16" s="3" t="n"/>
      <c r="AE16" s="3" t="n"/>
      <c r="AF16" s="3" t="n"/>
      <c r="AG16" s="3" t="n"/>
      <c r="AH16" s="3" t="n"/>
      <c r="AI16" s="3" t="n"/>
      <c r="AJ16" s="3" t="n"/>
      <c r="AK16" s="3" t="n"/>
      <c r="AL16" s="3" t="n"/>
      <c r="AM16" s="3" t="n"/>
      <c r="AN16" s="3" t="n"/>
      <c r="AO16" s="3" t="n"/>
      <c r="AP16" s="3" t="n"/>
      <c r="AQ16" s="3" t="n"/>
      <c r="AR16" s="3" t="n"/>
      <c r="AS16" s="3" t="n"/>
      <c r="AT16" s="3" t="n"/>
      <c r="AU16" s="3" t="n"/>
      <c r="AV16" s="3" t="n"/>
      <c r="AW16" s="3" t="n"/>
      <c r="AX16" s="3" t="n"/>
      <c r="AY16" s="3" t="n"/>
      <c r="AZ16" s="3" t="n"/>
      <c r="BA16" s="3" t="n"/>
      <c r="BB16" s="3" t="n"/>
      <c r="BC16" s="3" t="n"/>
      <c r="BD16" s="3" t="n"/>
      <c r="BE16" s="3" t="n"/>
      <c r="BF16" s="3" t="n"/>
      <c r="BG16" s="3" t="n"/>
      <c r="BH16" s="3" t="n"/>
      <c r="BI16" s="3" t="n"/>
      <c r="BJ16" s="3" t="n"/>
      <c r="BK16" s="3" t="n"/>
      <c r="BL16" s="3" t="n"/>
      <c r="BM16" s="3" t="n"/>
      <c r="BN16" s="3" t="n"/>
      <c r="BO16" s="3" t="n"/>
      <c r="BP16" s="3" t="n"/>
      <c r="BQ16" s="3" t="n"/>
      <c r="BR16" s="34" t="str">
        <f>B16&amp;"|"&amp;D16</f>
        <v>ATG|NE.CON.PRVT.ZS</v>
      </c>
    </row>
    <row r="17">
      <c r="A17" s="3" t="inlineStr">
        <is>
          <t>Australia</t>
        </is>
      </c>
      <c r="B17" s="3" t="inlineStr">
        <is>
          <t>AUS</t>
        </is>
      </c>
      <c r="C17" s="3" t="inlineStr">
        <is>
          <t>Households and NPISHs final consumption expenditure (% of GDP)</t>
        </is>
      </c>
      <c r="D17" s="3" t="inlineStr">
        <is>
          <t>NE.CON.PRVT.ZS</t>
        </is>
      </c>
      <c r="E17" s="3" t="n">
        <v>2023</v>
      </c>
      <c r="F17" s="3" t="n">
        <v>57.63558658881599</v>
      </c>
      <c r="G17" s="3" t="n">
        <v>57.95493342437692</v>
      </c>
      <c r="H17" s="3" t="n">
        <v>59.01731504384978</v>
      </c>
      <c r="I17" s="3" t="n">
        <v>58.31426788685524</v>
      </c>
      <c r="J17" s="3" t="n">
        <v>57.31965554562139</v>
      </c>
      <c r="K17" s="3" t="n">
        <v>56.93528219721468</v>
      </c>
      <c r="L17" s="3" t="n">
        <v>57.69830202608481</v>
      </c>
      <c r="M17" s="3" t="n">
        <v>55.96556418086163</v>
      </c>
      <c r="N17" s="3" t="n">
        <v>56.72909034886507</v>
      </c>
      <c r="O17" s="3" t="n">
        <v>55.05449882453516</v>
      </c>
      <c r="P17" s="3" t="n">
        <v>54.07668337623628</v>
      </c>
      <c r="Q17" s="3" t="n">
        <v>54.43128901218667</v>
      </c>
      <c r="R17" s="3" t="n">
        <v>54.57831054840955</v>
      </c>
      <c r="S17" s="3" t="n">
        <v>54.4199116820554</v>
      </c>
      <c r="T17" s="3" t="n">
        <v>53.5038600443988</v>
      </c>
      <c r="U17" s="3" t="n">
        <v>55.87257034594063</v>
      </c>
      <c r="V17" s="3" t="n">
        <v>55.78178240629649</v>
      </c>
      <c r="W17" s="3" t="n">
        <v>56.69365820192718</v>
      </c>
      <c r="X17" s="3" t="n">
        <v>57.83091244836186</v>
      </c>
      <c r="Y17" s="3" t="n">
        <v>56.64794401731353</v>
      </c>
      <c r="Z17" s="3" t="n">
        <v>55.91032003090363</v>
      </c>
      <c r="AA17" s="3" t="n">
        <v>56.00624844117144</v>
      </c>
      <c r="AB17" s="3" t="n">
        <v>56.06885139630495</v>
      </c>
      <c r="AC17" s="3" t="n">
        <v>59.06331172259414</v>
      </c>
      <c r="AD17" s="3" t="n">
        <v>56.81139616072181</v>
      </c>
      <c r="AE17" s="3" t="n">
        <v>54.91114461028896</v>
      </c>
      <c r="AF17" s="3" t="n">
        <v>55.88594954517053</v>
      </c>
      <c r="AG17" s="3" t="n">
        <v>56.34898185107193</v>
      </c>
      <c r="AH17" s="3" t="n">
        <v>54.92279062888974</v>
      </c>
      <c r="AI17" s="3" t="n">
        <v>54.02457402756092</v>
      </c>
      <c r="AJ17" s="3" t="n">
        <v>54.68538034816343</v>
      </c>
      <c r="AK17" s="3" t="n">
        <v>56.68699632332581</v>
      </c>
      <c r="AL17" s="3" t="n">
        <v>58.40844281795824</v>
      </c>
      <c r="AM17" s="3" t="n">
        <v>57.72577163168783</v>
      </c>
      <c r="AN17" s="3" t="n">
        <v>57.17289133775243</v>
      </c>
      <c r="AO17" s="3" t="n">
        <v>57.32747667622608</v>
      </c>
      <c r="AP17" s="3" t="n">
        <v>57.07952639946764</v>
      </c>
      <c r="AQ17" s="3" t="n">
        <v>56.59939101614076</v>
      </c>
      <c r="AR17" s="3" t="n">
        <v>56.97118321906184</v>
      </c>
      <c r="AS17" s="3" t="n">
        <v>57.5636813352053</v>
      </c>
      <c r="AT17" s="3" t="n">
        <v>57.36621626923646</v>
      </c>
      <c r="AU17" s="3" t="n">
        <v>57.97834894444743</v>
      </c>
      <c r="AV17" s="3" t="n">
        <v>57.23990873109251</v>
      </c>
      <c r="AW17" s="3" t="n">
        <v>57.7393077892388</v>
      </c>
      <c r="AX17" s="3" t="n">
        <v>57.31863268714218</v>
      </c>
      <c r="AY17" s="3" t="n">
        <v>56.87347235158984</v>
      </c>
      <c r="AZ17" s="3" t="n">
        <v>56.04015666501599</v>
      </c>
      <c r="BA17" s="3" t="n">
        <v>55.96677021513779</v>
      </c>
      <c r="BB17" s="3" t="n">
        <v>55.85196701674848</v>
      </c>
      <c r="BC17" s="3" t="n">
        <v>53.92380618673405</v>
      </c>
      <c r="BD17" s="3" t="n">
        <v>55.30523673681233</v>
      </c>
      <c r="BE17" s="3" t="n">
        <v>53.84213594464037</v>
      </c>
      <c r="BF17" s="3" t="n">
        <v>53.55837884081841</v>
      </c>
      <c r="BG17" s="3" t="n">
        <v>54.58361112104824</v>
      </c>
      <c r="BH17" s="3" t="n">
        <v>54.78781892798315</v>
      </c>
      <c r="BI17" s="3" t="n">
        <v>56.03769973281764</v>
      </c>
      <c r="BJ17" s="3" t="n">
        <v>56.91382910492027</v>
      </c>
      <c r="BK17" s="3" t="n">
        <v>55.45630330719153</v>
      </c>
      <c r="BL17" s="3" t="n">
        <v>55.11599715482769</v>
      </c>
      <c r="BM17" s="3" t="n">
        <v>53.92145399945232</v>
      </c>
      <c r="BN17" s="3" t="n">
        <v>52.0807236528506</v>
      </c>
      <c r="BO17" s="3" t="n">
        <v>50.60445660182077</v>
      </c>
      <c r="BP17" s="3" t="n">
        <v>48.68985835460936</v>
      </c>
      <c r="BQ17" s="3" t="n">
        <v>49.64665387072139</v>
      </c>
      <c r="BR17" s="34" t="str">
        <f>B17&amp;"|"&amp;D17</f>
        <v>AUS|NE.CON.PRVT.ZS</v>
      </c>
    </row>
    <row r="18">
      <c r="A18" s="3" t="inlineStr">
        <is>
          <t>Austria</t>
        </is>
      </c>
      <c r="B18" s="3" t="inlineStr">
        <is>
          <t>AUT</t>
        </is>
      </c>
      <c r="C18" s="3" t="inlineStr">
        <is>
          <t>Households and NPISHs final consumption expenditure (% of GDP)</t>
        </is>
      </c>
      <c r="D18" s="3" t="inlineStr">
        <is>
          <t>NE.CON.PRVT.ZS</t>
        </is>
      </c>
      <c r="E18" s="3" t="n">
        <v>2023</v>
      </c>
      <c r="F18" s="3" t="n"/>
      <c r="G18" s="3" t="n"/>
      <c r="H18" s="3" t="n"/>
      <c r="I18" s="3" t="n"/>
      <c r="J18" s="3" t="n"/>
      <c r="K18" s="3" t="n"/>
      <c r="L18" s="3" t="n"/>
      <c r="M18" s="3" t="n"/>
      <c r="N18" s="3" t="n"/>
      <c r="O18" s="3" t="n"/>
      <c r="P18" s="3" t="n">
        <v>55.17684711009569</v>
      </c>
      <c r="Q18" s="3" t="n">
        <v>55.37451785816327</v>
      </c>
      <c r="R18" s="3" t="n">
        <v>54.73553132725149</v>
      </c>
      <c r="S18" s="3" t="n">
        <v>54.2408214725051</v>
      </c>
      <c r="T18" s="3" t="n">
        <v>53.99735299227665</v>
      </c>
      <c r="U18" s="3" t="n">
        <v>56.70432746914982</v>
      </c>
      <c r="V18" s="3" t="n">
        <v>57.17781557747122</v>
      </c>
      <c r="W18" s="3" t="n">
        <v>58.05826470902203</v>
      </c>
      <c r="X18" s="3" t="n">
        <v>56.17255206326076</v>
      </c>
      <c r="Y18" s="3" t="n">
        <v>55.81481430538213</v>
      </c>
      <c r="Z18" s="3" t="n">
        <v>56.50380114317504</v>
      </c>
      <c r="AA18" s="3" t="n">
        <v>57.50673331985971</v>
      </c>
      <c r="AB18" s="3" t="n">
        <v>57.69202919865051</v>
      </c>
      <c r="AC18" s="3" t="n">
        <v>58.91969108872821</v>
      </c>
      <c r="AD18" s="3" t="n">
        <v>57.81763627621943</v>
      </c>
      <c r="AE18" s="3" t="n">
        <v>57.72784583035472</v>
      </c>
      <c r="AF18" s="3" t="n">
        <v>56.92485185627585</v>
      </c>
      <c r="AG18" s="3" t="n">
        <v>56.81296993894034</v>
      </c>
      <c r="AH18" s="3" t="n">
        <v>56.3024996497777</v>
      </c>
      <c r="AI18" s="3" t="n">
        <v>55.9812363737833</v>
      </c>
      <c r="AJ18" s="3" t="n">
        <v>55.9173349051597</v>
      </c>
      <c r="AK18" s="3" t="n">
        <v>55.41901039681724</v>
      </c>
      <c r="AL18" s="3" t="n">
        <v>56.11389060431021</v>
      </c>
      <c r="AM18" s="3" t="n">
        <v>56.0366600765965</v>
      </c>
      <c r="AN18" s="3" t="n">
        <v>55.7030949230416</v>
      </c>
      <c r="AO18" s="3" t="n">
        <v>54.93848974074048</v>
      </c>
      <c r="AP18" s="3" t="n">
        <v>55.5080319542669</v>
      </c>
      <c r="AQ18" s="3" t="n">
        <v>54.76232563403781</v>
      </c>
      <c r="AR18" s="3" t="n">
        <v>54.30407481952452</v>
      </c>
      <c r="AS18" s="3" t="n">
        <v>53.63186604619913</v>
      </c>
      <c r="AT18" s="3" t="n">
        <v>53.86670853805558</v>
      </c>
      <c r="AU18" s="3" t="n">
        <v>54.11115597373324</v>
      </c>
      <c r="AV18" s="3" t="n">
        <v>53.53990879758337</v>
      </c>
      <c r="AW18" s="3" t="n">
        <v>54.08337770590374</v>
      </c>
      <c r="AX18" s="3" t="n">
        <v>53.86195469280448</v>
      </c>
      <c r="AY18" s="3" t="n">
        <v>53.80972699284931</v>
      </c>
      <c r="AZ18" s="3" t="n">
        <v>53.21524976528469</v>
      </c>
      <c r="BA18" s="3" t="n">
        <v>52.01573910821322</v>
      </c>
      <c r="BB18" s="3" t="n">
        <v>51.82527578201</v>
      </c>
      <c r="BC18" s="3" t="n">
        <v>53.48156507467158</v>
      </c>
      <c r="BD18" s="3" t="n">
        <v>53.50191201900771</v>
      </c>
      <c r="BE18" s="3" t="n">
        <v>53.37973923467764</v>
      </c>
      <c r="BF18" s="3" t="n">
        <v>53.4598132187912</v>
      </c>
      <c r="BG18" s="3" t="n">
        <v>53.66286087934249</v>
      </c>
      <c r="BH18" s="3" t="n">
        <v>53.3964545942265</v>
      </c>
      <c r="BI18" s="3" t="n">
        <v>52.6828319800756</v>
      </c>
      <c r="BJ18" s="3" t="n">
        <v>52.26185547608772</v>
      </c>
      <c r="BK18" s="3" t="n">
        <v>52.5091341994776</v>
      </c>
      <c r="BL18" s="3" t="n">
        <v>51.93369478855949</v>
      </c>
      <c r="BM18" s="3" t="n">
        <v>51.55624543132232</v>
      </c>
      <c r="BN18" s="3" t="n">
        <v>49.77441952428803</v>
      </c>
      <c r="BO18" s="3" t="n">
        <v>49.79222508893588</v>
      </c>
      <c r="BP18" s="3" t="n">
        <v>51.2068486386181</v>
      </c>
      <c r="BQ18" s="3" t="n">
        <v>51.75915480058105</v>
      </c>
      <c r="BR18" s="34" t="str">
        <f>B18&amp;"|"&amp;D18</f>
        <v>AUT|NE.CON.PRVT.ZS</v>
      </c>
    </row>
    <row r="19">
      <c r="A19" s="3" t="inlineStr">
        <is>
          <t>Azerbaijan</t>
        </is>
      </c>
      <c r="B19" s="3" t="inlineStr">
        <is>
          <t>AZE</t>
        </is>
      </c>
      <c r="C19" s="3" t="inlineStr">
        <is>
          <t>Households and NPISHs final consumption expenditure (% of GDP)</t>
        </is>
      </c>
      <c r="D19" s="3" t="inlineStr">
        <is>
          <t>NE.CON.PRVT.ZS</t>
        </is>
      </c>
      <c r="E19" s="3" t="n">
        <v>2023</v>
      </c>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c r="AH19" s="3" t="n"/>
      <c r="AI19" s="3" t="n"/>
      <c r="AJ19" s="3" t="n">
        <v>52.59208731241473</v>
      </c>
      <c r="AK19" s="3" t="n">
        <v>50.76721556886228</v>
      </c>
      <c r="AL19" s="3" t="n">
        <v>63.838924503641</v>
      </c>
      <c r="AM19" s="3" t="n">
        <v>65.69171974522293</v>
      </c>
      <c r="AN19" s="3" t="n">
        <v>77.57427275153455</v>
      </c>
      <c r="AO19" s="3" t="n">
        <v>84.34717405567531</v>
      </c>
      <c r="AP19" s="3" t="n">
        <v>87.68206104076704</v>
      </c>
      <c r="AQ19" s="3" t="n">
        <v>74.46727669949024</v>
      </c>
      <c r="AR19" s="3" t="n">
        <v>80.00348776376214</v>
      </c>
      <c r="AS19" s="3" t="n">
        <v>75.77547614632725</v>
      </c>
      <c r="AT19" s="3" t="n">
        <v>64.41152158707955</v>
      </c>
      <c r="AU19" s="3" t="n">
        <v>61.4963503649635</v>
      </c>
      <c r="AV19" s="3" t="n">
        <v>62.90144329896907</v>
      </c>
      <c r="AW19" s="3" t="n">
        <v>59.96221926817324</v>
      </c>
      <c r="AX19" s="3" t="n">
        <v>55.81229045039975</v>
      </c>
      <c r="AY19" s="3" t="n">
        <v>42.12098223198243</v>
      </c>
      <c r="AZ19" s="3" t="n">
        <v>37.10298620520425</v>
      </c>
      <c r="BA19" s="3" t="n">
        <v>33.40138573015285</v>
      </c>
      <c r="BB19" s="3" t="n">
        <v>33.43556600859053</v>
      </c>
      <c r="BC19" s="3" t="n">
        <v>42.75662542308611</v>
      </c>
      <c r="BD19" s="3" t="n">
        <v>39.36253385140704</v>
      </c>
      <c r="BE19" s="3" t="n">
        <v>37.25855381897777</v>
      </c>
      <c r="BF19" s="3" t="n">
        <v>39.47102588973708</v>
      </c>
      <c r="BG19" s="3" t="n">
        <v>41.90299405314358</v>
      </c>
      <c r="BH19" s="3" t="n">
        <v>45.43761575623453</v>
      </c>
      <c r="BI19" s="3" t="n">
        <v>56.69014343508643</v>
      </c>
      <c r="BJ19" s="3" t="n">
        <v>58.70845276474054</v>
      </c>
      <c r="BK19" s="3" t="n">
        <v>57.58639024820225</v>
      </c>
      <c r="BL19" s="3" t="n">
        <v>54.14061329471108</v>
      </c>
      <c r="BM19" s="3" t="n">
        <v>57.50669750244823</v>
      </c>
      <c r="BN19" s="3" t="n">
        <v>60.88585950858455</v>
      </c>
      <c r="BO19" s="3" t="n">
        <v>52.36333087275974</v>
      </c>
      <c r="BP19" s="3" t="n">
        <v>43.36271494117831</v>
      </c>
      <c r="BQ19" s="3" t="n">
        <v>53.21136046762137</v>
      </c>
      <c r="BR19" s="34" t="str">
        <f>B19&amp;"|"&amp;D19</f>
        <v>AZE|NE.CON.PRVT.ZS</v>
      </c>
    </row>
    <row r="20">
      <c r="A20" s="3" t="inlineStr">
        <is>
          <t>Burundi</t>
        </is>
      </c>
      <c r="B20" s="3" t="inlineStr">
        <is>
          <t>BDI</t>
        </is>
      </c>
      <c r="C20" s="3" t="inlineStr">
        <is>
          <t>Households and NPISHs final consumption expenditure (% of GDP)</t>
        </is>
      </c>
      <c r="D20" s="3" t="inlineStr">
        <is>
          <t>NE.CON.PRVT.ZS</t>
        </is>
      </c>
      <c r="E20" s="3" t="n">
        <v>2023</v>
      </c>
      <c r="F20" s="3" t="n">
        <v>91.96429550838242</v>
      </c>
      <c r="G20" s="3" t="n">
        <v>92.24137900458636</v>
      </c>
      <c r="H20" s="3" t="n">
        <v>92.62295102698967</v>
      </c>
      <c r="I20" s="3" t="n">
        <v>96.24060233074631</v>
      </c>
      <c r="J20" s="3" t="n">
        <v>87.24831640273621</v>
      </c>
      <c r="K20" s="3" t="n">
        <v>89.47462579760273</v>
      </c>
      <c r="L20" s="3" t="n">
        <v>88.3493133652013</v>
      </c>
      <c r="M20" s="3" t="n">
        <v>86.96814306775207</v>
      </c>
      <c r="N20" s="3" t="n">
        <v>87.0817217716781</v>
      </c>
      <c r="O20" s="3" t="n">
        <v>85.86132307877186</v>
      </c>
      <c r="P20" s="3" t="n">
        <v>86.629847780744</v>
      </c>
      <c r="Q20" s="3" t="n">
        <v>87.54367488259197</v>
      </c>
      <c r="R20" s="3" t="n">
        <v>87.2352445428193</v>
      </c>
      <c r="S20" s="3" t="n">
        <v>85.42194447980094</v>
      </c>
      <c r="T20" s="3" t="n">
        <v>89.14544217436878</v>
      </c>
      <c r="U20" s="3" t="n">
        <v>91.60008083806147</v>
      </c>
      <c r="V20" s="3" t="n">
        <v>85.13093526667976</v>
      </c>
      <c r="W20" s="3" t="n">
        <v>77.34840152440633</v>
      </c>
      <c r="X20" s="3" t="n">
        <v>80.6872868502175</v>
      </c>
      <c r="Y20" s="3" t="n">
        <v>80.7943803807471</v>
      </c>
      <c r="Z20" s="3" t="n">
        <v>91.37920203345439</v>
      </c>
      <c r="AA20" s="3" t="n">
        <v>86.81854560381223</v>
      </c>
      <c r="AB20" s="3" t="n">
        <v>91.57900975984209</v>
      </c>
      <c r="AC20" s="3" t="n">
        <v>84.56009457767887</v>
      </c>
      <c r="AD20" s="3" t="n">
        <v>85.85828925878599</v>
      </c>
      <c r="AE20" s="3" t="n">
        <v>88.06708986893963</v>
      </c>
      <c r="AF20" s="3" t="n">
        <v>89.108812253555</v>
      </c>
      <c r="AG20" s="3" t="n">
        <v>83.68921676060771</v>
      </c>
      <c r="AH20" s="3" t="n">
        <v>87.62092179726778</v>
      </c>
      <c r="AI20" s="3" t="n">
        <v>86.55054259574638</v>
      </c>
      <c r="AJ20" s="3" t="n">
        <v>94.54914946512756</v>
      </c>
      <c r="AK20" s="3" t="n">
        <v>93.40960141200011</v>
      </c>
      <c r="AL20" s="3" t="n">
        <v>90.85188330005639</v>
      </c>
      <c r="AM20" s="3" t="n">
        <v>85.74748185320522</v>
      </c>
      <c r="AN20" s="3" t="n">
        <v>93.82194148027877</v>
      </c>
      <c r="AO20" s="3" t="n">
        <v>88.93821676696906</v>
      </c>
      <c r="AP20" s="3" t="n">
        <v>81.73087575066515</v>
      </c>
      <c r="AQ20" s="3" t="n">
        <v>81.73395565927655</v>
      </c>
      <c r="AR20" s="3" t="n">
        <v>87.52748625687157</v>
      </c>
      <c r="AS20" s="3" t="n">
        <v>84.34343434343434</v>
      </c>
      <c r="AT20" s="3" t="n">
        <v>92.27794726425739</v>
      </c>
      <c r="AU20" s="3" t="n">
        <v>90.60430890613075</v>
      </c>
      <c r="AV20" s="3" t="n">
        <v>93.62057400090072</v>
      </c>
      <c r="AW20" s="3" t="n">
        <v>89.28335871859613</v>
      </c>
      <c r="AX20" s="3" t="n">
        <v>88.09625818226895</v>
      </c>
      <c r="AY20" s="3" t="n">
        <v>90.39639344370839</v>
      </c>
      <c r="AZ20" s="3" t="n">
        <v>94.08702954424002</v>
      </c>
      <c r="BA20" s="3" t="n">
        <v>91.01354865048516</v>
      </c>
      <c r="BB20" s="3" t="n">
        <v>92.59101509623319</v>
      </c>
      <c r="BC20" s="3" t="n">
        <v>83.92514016597697</v>
      </c>
      <c r="BD20" s="3" t="n">
        <v>81.03962060688984</v>
      </c>
      <c r="BE20" s="3" t="n">
        <v>86.15423683488123</v>
      </c>
      <c r="BF20" s="3" t="n">
        <v>84.67522991165997</v>
      </c>
      <c r="BG20" s="3" t="n">
        <v>89.08073005670076</v>
      </c>
      <c r="BH20" s="3" t="n">
        <v>85.49994874550747</v>
      </c>
      <c r="BI20" s="3" t="n">
        <v>75.4179085083594</v>
      </c>
      <c r="BJ20" s="3" t="n">
        <v>77.56405269158222</v>
      </c>
      <c r="BK20" s="3" t="n">
        <v>76.2948426528167</v>
      </c>
      <c r="BL20" s="3" t="n">
        <v>77.91468625363261</v>
      </c>
      <c r="BM20" s="3" t="n">
        <v>77.30865000083735</v>
      </c>
      <c r="BN20" s="3" t="n">
        <v>74.88441999966201</v>
      </c>
      <c r="BO20" s="3" t="n">
        <v>74.93298999995849</v>
      </c>
      <c r="BP20" s="3" t="n">
        <v>74.01079025644725</v>
      </c>
      <c r="BQ20" s="3" t="n">
        <v>75.57378972113897</v>
      </c>
      <c r="BR20" s="34" t="str">
        <f>B20&amp;"|"&amp;D20</f>
        <v>BDI|NE.CON.PRVT.ZS</v>
      </c>
    </row>
    <row r="21">
      <c r="A21" s="3" t="inlineStr">
        <is>
          <t>Belgium</t>
        </is>
      </c>
      <c r="B21" s="3" t="inlineStr">
        <is>
          <t>BEL</t>
        </is>
      </c>
      <c r="C21" s="3" t="inlineStr">
        <is>
          <t>Households and NPISHs final consumption expenditure (% of GDP)</t>
        </is>
      </c>
      <c r="D21" s="3" t="inlineStr">
        <is>
          <t>NE.CON.PRVT.ZS</t>
        </is>
      </c>
      <c r="E21" s="3" t="n">
        <v>2023</v>
      </c>
      <c r="F21" s="3" t="n"/>
      <c r="G21" s="3" t="n"/>
      <c r="H21" s="3" t="n"/>
      <c r="I21" s="3" t="n"/>
      <c r="J21" s="3" t="n"/>
      <c r="K21" s="3" t="n"/>
      <c r="L21" s="3" t="n"/>
      <c r="M21" s="3" t="n"/>
      <c r="N21" s="3" t="n"/>
      <c r="O21" s="3" t="n"/>
      <c r="P21" s="3" t="n">
        <v>51.13589889291781</v>
      </c>
      <c r="Q21" s="3" t="n">
        <v>51.56925376335375</v>
      </c>
      <c r="R21" s="3" t="n">
        <v>51.53096874135144</v>
      </c>
      <c r="S21" s="3" t="n">
        <v>51.92123201397892</v>
      </c>
      <c r="T21" s="3" t="n">
        <v>51.31065136767879</v>
      </c>
      <c r="U21" s="3" t="n">
        <v>52.58277782931707</v>
      </c>
      <c r="V21" s="3" t="n">
        <v>52.41036401999965</v>
      </c>
      <c r="W21" s="3" t="n">
        <v>53.29382846867535</v>
      </c>
      <c r="X21" s="3" t="n">
        <v>53.0402559927922</v>
      </c>
      <c r="Y21" s="3" t="n">
        <v>54.17542869500434</v>
      </c>
      <c r="Z21" s="3" t="n">
        <v>54.71076828799926</v>
      </c>
      <c r="AA21" s="3" t="n">
        <v>56.2812533362594</v>
      </c>
      <c r="AB21" s="3" t="n">
        <v>57.08373078665626</v>
      </c>
      <c r="AC21" s="3" t="n">
        <v>57.6041262474897</v>
      </c>
      <c r="AD21" s="3" t="n">
        <v>56.50604167269907</v>
      </c>
      <c r="AE21" s="3" t="n">
        <v>57.27060060943662</v>
      </c>
      <c r="AF21" s="3" t="n">
        <v>56.41432785435095</v>
      </c>
      <c r="AG21" s="3" t="n">
        <v>56.08656612638899</v>
      </c>
      <c r="AH21" s="3" t="n">
        <v>54.79117799833931</v>
      </c>
      <c r="AI21" s="3" t="n">
        <v>54.19578497072847</v>
      </c>
      <c r="AJ21" s="3" t="n">
        <v>54.17739614414896</v>
      </c>
      <c r="AK21" s="3" t="n">
        <v>54.77539841300073</v>
      </c>
      <c r="AL21" s="3" t="n">
        <v>54.13377304031498</v>
      </c>
      <c r="AM21" s="3" t="n">
        <v>53.65794279257356</v>
      </c>
      <c r="AN21" s="3" t="n">
        <v>53.31171004005837</v>
      </c>
      <c r="AO21" s="3" t="n">
        <v>53.06008719691423</v>
      </c>
      <c r="AP21" s="3" t="n">
        <v>53.47886083669992</v>
      </c>
      <c r="AQ21" s="3" t="n">
        <v>52.66403839331731</v>
      </c>
      <c r="AR21" s="3" t="n">
        <v>52.91685545503083</v>
      </c>
      <c r="AS21" s="3" t="n">
        <v>52.0728198372647</v>
      </c>
      <c r="AT21" s="3" t="n">
        <v>52.3121863010792</v>
      </c>
      <c r="AU21" s="3" t="n">
        <v>52.40549015661571</v>
      </c>
      <c r="AV21" s="3" t="n">
        <v>51.53627058006798</v>
      </c>
      <c r="AW21" s="3" t="n">
        <v>51.19345576567869</v>
      </c>
      <c r="AX21" s="3" t="n">
        <v>50.24157763113433</v>
      </c>
      <c r="AY21" s="3" t="n">
        <v>50.18833199586115</v>
      </c>
      <c r="AZ21" s="3" t="n">
        <v>50.04817754185357</v>
      </c>
      <c r="BA21" s="3" t="n">
        <v>49.64566850077222</v>
      </c>
      <c r="BB21" s="3" t="n">
        <v>50.72429281484128</v>
      </c>
      <c r="BC21" s="3" t="n">
        <v>51.37283503928736</v>
      </c>
      <c r="BD21" s="3" t="n">
        <v>51.43808133555066</v>
      </c>
      <c r="BE21" s="3" t="n">
        <v>51.54263210838801</v>
      </c>
      <c r="BF21" s="3" t="n">
        <v>51.94377052665542</v>
      </c>
      <c r="BG21" s="3" t="n">
        <v>52.46118407656282</v>
      </c>
      <c r="BH21" s="3" t="n">
        <v>51.81111420179437</v>
      </c>
      <c r="BI21" s="3" t="n">
        <v>51.33894438559602</v>
      </c>
      <c r="BJ21" s="3" t="n">
        <v>51.29154611887456</v>
      </c>
      <c r="BK21" s="3" t="n">
        <v>51.47213763124646</v>
      </c>
      <c r="BL21" s="3" t="n">
        <v>51.7780862461276</v>
      </c>
      <c r="BM21" s="3" t="n">
        <v>51.32212547855941</v>
      </c>
      <c r="BN21" s="3" t="n">
        <v>49.39307570843662</v>
      </c>
      <c r="BO21" s="3" t="n">
        <v>48.77916282526593</v>
      </c>
      <c r="BP21" s="3" t="n">
        <v>50.67927768656747</v>
      </c>
      <c r="BQ21" s="3" t="n">
        <v>51.35983666122854</v>
      </c>
      <c r="BR21" s="34" t="str">
        <f>B21&amp;"|"&amp;D21</f>
        <v>BEL|NE.CON.PRVT.ZS</v>
      </c>
    </row>
    <row r="22">
      <c r="A22" s="3" t="inlineStr">
        <is>
          <t>Benin</t>
        </is>
      </c>
      <c r="B22" s="3" t="inlineStr">
        <is>
          <t>BEN</t>
        </is>
      </c>
      <c r="C22" s="3" t="inlineStr">
        <is>
          <t>Households and NPISHs final consumption expenditure (% of GDP)</t>
        </is>
      </c>
      <c r="D22" s="3" t="inlineStr">
        <is>
          <t>NE.CON.PRVT.ZS</t>
        </is>
      </c>
      <c r="E22" s="3" t="n">
        <v>2023</v>
      </c>
      <c r="F22" s="3" t="n">
        <v>84.41254072196833</v>
      </c>
      <c r="G22" s="3" t="n">
        <v>84.11241293206795</v>
      </c>
      <c r="H22" s="3" t="n">
        <v>85.33794067915804</v>
      </c>
      <c r="I22" s="3" t="n">
        <v>86.55583171301396</v>
      </c>
      <c r="J22" s="3" t="n">
        <v>88.7539065090735</v>
      </c>
      <c r="K22" s="3" t="n">
        <v>90.01235057208294</v>
      </c>
      <c r="L22" s="3" t="n">
        <v>92.34384332879884</v>
      </c>
      <c r="M22" s="3" t="n">
        <v>91.06938972126305</v>
      </c>
      <c r="N22" s="3" t="n">
        <v>88.37316374939778</v>
      </c>
      <c r="O22" s="3" t="n">
        <v>88.06669029694277</v>
      </c>
      <c r="P22" s="3" t="n">
        <v>87.9538998386204</v>
      </c>
      <c r="Q22" s="3" t="n">
        <v>89.71396802894823</v>
      </c>
      <c r="R22" s="3" t="n">
        <v>88.90851213967737</v>
      </c>
      <c r="S22" s="3" t="n">
        <v>87.24958078200396</v>
      </c>
      <c r="T22" s="3" t="n">
        <v>88.33305872684687</v>
      </c>
      <c r="U22" s="3" t="n">
        <v>90.33142750069037</v>
      </c>
      <c r="V22" s="3" t="n">
        <v>92.79233588539336</v>
      </c>
      <c r="W22" s="3" t="n">
        <v>92.54257332620867</v>
      </c>
      <c r="X22" s="3" t="n">
        <v>93.64038946414317</v>
      </c>
      <c r="Y22" s="3" t="n">
        <v>92.45824526637111</v>
      </c>
      <c r="Z22" s="3" t="n">
        <v>97.70641316512064</v>
      </c>
      <c r="AA22" s="3" t="n">
        <v>103.1935442352674</v>
      </c>
      <c r="AB22" s="3" t="n">
        <v>84.22116967434411</v>
      </c>
      <c r="AC22" s="3" t="n">
        <v>86.06929781947645</v>
      </c>
      <c r="AD22" s="3" t="n">
        <v>84.94279405766704</v>
      </c>
      <c r="AE22" s="3" t="n">
        <v>88.68775884472008</v>
      </c>
      <c r="AF22" s="3" t="n">
        <v>87.21685461817152</v>
      </c>
      <c r="AG22" s="3" t="n">
        <v>87.20973181885638</v>
      </c>
      <c r="AH22" s="3" t="n">
        <v>89.45597251328545</v>
      </c>
      <c r="AI22" s="3" t="n">
        <v>88.40803978343857</v>
      </c>
      <c r="AJ22" s="3" t="n">
        <v>75.72774648830065</v>
      </c>
      <c r="AK22" s="3" t="n">
        <v>78.68008512897984</v>
      </c>
      <c r="AL22" s="3" t="n">
        <v>80.88859509198485</v>
      </c>
      <c r="AM22" s="3" t="n">
        <v>79.14024400495784</v>
      </c>
      <c r="AN22" s="3" t="n">
        <v>74.3112522724454</v>
      </c>
      <c r="AO22" s="3" t="n">
        <v>73.19484091833895</v>
      </c>
      <c r="AP22" s="3" t="n">
        <v>72.45690481468579</v>
      </c>
      <c r="AQ22" s="3" t="n">
        <v>72.60153072968498</v>
      </c>
      <c r="AR22" s="3" t="n">
        <v>74.13707555244841</v>
      </c>
      <c r="AS22" s="3" t="n">
        <v>81.99970694611234</v>
      </c>
      <c r="AT22" s="3" t="n">
        <v>82.04852958847582</v>
      </c>
      <c r="AU22" s="3" t="n">
        <v>82.68389352408242</v>
      </c>
      <c r="AV22" s="3" t="n">
        <v>81.69516147014559</v>
      </c>
      <c r="AW22" s="3" t="n">
        <v>80.33502636184605</v>
      </c>
      <c r="AX22" s="3" t="n">
        <v>78.84781050832245</v>
      </c>
      <c r="AY22" s="3" t="n">
        <v>81.05153194867466</v>
      </c>
      <c r="AZ22" s="3" t="n">
        <v>81.11864456569064</v>
      </c>
      <c r="BA22" s="3" t="n">
        <v>79.0827306084785</v>
      </c>
      <c r="BB22" s="3" t="n">
        <v>79.51990780994794</v>
      </c>
      <c r="BC22" s="3" t="n">
        <v>78.69235980386078</v>
      </c>
      <c r="BD22" s="3" t="n">
        <v>78.46679936176805</v>
      </c>
      <c r="BE22" s="3" t="n">
        <v>78.03161702630946</v>
      </c>
      <c r="BF22" s="3" t="n">
        <v>76.53865648399493</v>
      </c>
      <c r="BG22" s="3" t="n">
        <v>74.15495719652655</v>
      </c>
      <c r="BH22" s="3" t="n">
        <v>72.96880678111631</v>
      </c>
      <c r="BI22" s="3" t="n">
        <v>75.17216426890747</v>
      </c>
      <c r="BJ22" s="3" t="n">
        <v>73.22049383103767</v>
      </c>
      <c r="BK22" s="3" t="n">
        <v>72.62600087932866</v>
      </c>
      <c r="BL22" s="3" t="n">
        <v>70.44971483323803</v>
      </c>
      <c r="BM22" s="3" t="n">
        <v>68.44841410921532</v>
      </c>
      <c r="BN22" s="3" t="n">
        <v>68.05508686696153</v>
      </c>
      <c r="BO22" s="3" t="n">
        <v>67.29066562942498</v>
      </c>
      <c r="BP22" s="3" t="n">
        <v>61.04346736872996</v>
      </c>
      <c r="BQ22" s="3" t="n">
        <v>58.98829480777331</v>
      </c>
      <c r="BR22" s="34" t="str">
        <f>B22&amp;"|"&amp;D22</f>
        <v>BEN|NE.CON.PRVT.ZS</v>
      </c>
    </row>
    <row r="23">
      <c r="A23" s="3" t="inlineStr">
        <is>
          <t>Burkina Faso</t>
        </is>
      </c>
      <c r="B23" s="3" t="inlineStr">
        <is>
          <t>BFA</t>
        </is>
      </c>
      <c r="C23" s="3" t="inlineStr">
        <is>
          <t>Households and NPISHs final consumption expenditure (% of GDP)</t>
        </is>
      </c>
      <c r="D23" s="3" t="inlineStr">
        <is>
          <t>NE.CON.PRVT.ZS</t>
        </is>
      </c>
      <c r="E23" s="3" t="n">
        <v>2023</v>
      </c>
      <c r="F23" s="3" t="n">
        <v>88.13820089089907</v>
      </c>
      <c r="G23" s="3" t="n">
        <v>87.09866188821721</v>
      </c>
      <c r="H23" s="3" t="n">
        <v>86.95958865201682</v>
      </c>
      <c r="I23" s="3" t="n">
        <v>86.94586119779181</v>
      </c>
      <c r="J23" s="3" t="n">
        <v>85.30698916987404</v>
      </c>
      <c r="K23" s="3" t="n">
        <v>86.23785447494026</v>
      </c>
      <c r="L23" s="3" t="n">
        <v>87.35595726706912</v>
      </c>
      <c r="M23" s="3" t="n">
        <v>90.00346852071924</v>
      </c>
      <c r="N23" s="3" t="n">
        <v>87.88016944056095</v>
      </c>
      <c r="O23" s="3" t="n">
        <v>88.26230595210937</v>
      </c>
      <c r="P23" s="3" t="n">
        <v>86.45276865370253</v>
      </c>
      <c r="Q23" s="3" t="n">
        <v>85.05787220675597</v>
      </c>
      <c r="R23" s="3" t="n">
        <v>82.76366160201812</v>
      </c>
      <c r="S23" s="3" t="n">
        <v>80.03604377488452</v>
      </c>
      <c r="T23" s="3" t="n">
        <v>74.02872273229993</v>
      </c>
      <c r="U23" s="3" t="n">
        <v>78.37481364198918</v>
      </c>
      <c r="V23" s="3" t="n">
        <v>77.54720154646633</v>
      </c>
      <c r="W23" s="3" t="n">
        <v>84.84243900526202</v>
      </c>
      <c r="X23" s="3" t="n">
        <v>83.99063213134677</v>
      </c>
      <c r="Y23" s="3" t="n">
        <v>85.93901448997917</v>
      </c>
      <c r="Z23" s="3" t="n">
        <v>90.21201948986879</v>
      </c>
      <c r="AA23" s="3" t="n">
        <v>91.05080187699048</v>
      </c>
      <c r="AB23" s="3" t="n">
        <v>83.50922759159349</v>
      </c>
      <c r="AC23" s="3" t="n">
        <v>82.01342506404393</v>
      </c>
      <c r="AD23" s="3" t="n">
        <v>82.50221294577827</v>
      </c>
      <c r="AE23" s="3" t="n">
        <v>80.84889452896158</v>
      </c>
      <c r="AF23" s="3" t="n">
        <v>80.85167522004787</v>
      </c>
      <c r="AG23" s="3" t="n">
        <v>77.56008062633295</v>
      </c>
      <c r="AH23" s="3" t="n">
        <v>77.32342679872195</v>
      </c>
      <c r="AI23" s="3" t="n">
        <v>74.34879233763566</v>
      </c>
      <c r="AJ23" s="3" t="n">
        <v>73.51887669994834</v>
      </c>
      <c r="AK23" s="3" t="n">
        <v>69.964427216188</v>
      </c>
      <c r="AL23" s="3" t="n">
        <v>69.6450965881789</v>
      </c>
      <c r="AM23" s="3" t="n">
        <v>70.92238699992485</v>
      </c>
      <c r="AN23" s="3" t="n">
        <v>57.5948976503618</v>
      </c>
      <c r="AO23" s="3" t="n">
        <v>63.34233130100056</v>
      </c>
      <c r="AP23" s="3" t="n">
        <v>67.71878242245596</v>
      </c>
      <c r="AQ23" s="3" t="n">
        <v>64.66631552257762</v>
      </c>
      <c r="AR23" s="3" t="n">
        <v>68.85166056134754</v>
      </c>
      <c r="AS23" s="3" t="n">
        <v>89.19193919428592</v>
      </c>
      <c r="AT23" s="3" t="n">
        <v>88.75361943221061</v>
      </c>
      <c r="AU23" s="3" t="n">
        <v>85.39850625062125</v>
      </c>
      <c r="AV23" s="3" t="n">
        <v>85.54025511074632</v>
      </c>
      <c r="AW23" s="3" t="n">
        <v>82.88123090126277</v>
      </c>
      <c r="AX23" s="3" t="n">
        <v>83.96361848160404</v>
      </c>
      <c r="AY23" s="3" t="n">
        <v>83.13205375890104</v>
      </c>
      <c r="AZ23" s="3" t="n">
        <v>81.96568970065769</v>
      </c>
      <c r="BA23" s="3" t="n">
        <v>78.1414382593744</v>
      </c>
      <c r="BB23" s="3" t="n">
        <v>79.68460758238083</v>
      </c>
      <c r="BC23" s="3" t="n">
        <v>77.50838507106768</v>
      </c>
      <c r="BD23" s="3" t="n">
        <v>71.5935788138145</v>
      </c>
      <c r="BE23" s="3" t="n">
        <v>68.69611487972981</v>
      </c>
      <c r="BF23" s="3" t="n">
        <v>69.1348624816742</v>
      </c>
      <c r="BG23" s="3" t="n">
        <v>71.51637910304365</v>
      </c>
      <c r="BH23" s="3" t="n">
        <v>70.22252638028428</v>
      </c>
      <c r="BI23" s="3" t="n">
        <v>71.52311026629124</v>
      </c>
      <c r="BJ23" s="3" t="n">
        <v>68.75859864462416</v>
      </c>
      <c r="BK23" s="3" t="n">
        <v>66.54656361585629</v>
      </c>
      <c r="BL23" s="3" t="n">
        <v>64.27929904563531</v>
      </c>
      <c r="BM23" s="3" t="n">
        <v>61.6354911461834</v>
      </c>
      <c r="BN23" s="3" t="n">
        <v>60.24038968590121</v>
      </c>
      <c r="BO23" s="3" t="n">
        <v>61.01225490216138</v>
      </c>
      <c r="BP23" s="3" t="n">
        <v>63.98583507119102</v>
      </c>
      <c r="BQ23" s="3" t="n">
        <v>64.57881213218964</v>
      </c>
      <c r="BR23" s="34" t="str">
        <f>B23&amp;"|"&amp;D23</f>
        <v>BFA|NE.CON.PRVT.ZS</v>
      </c>
    </row>
    <row r="24">
      <c r="A24" s="3" t="inlineStr">
        <is>
          <t>Bangladesh</t>
        </is>
      </c>
      <c r="B24" s="3" t="inlineStr">
        <is>
          <t>BGD</t>
        </is>
      </c>
      <c r="C24" s="3" t="inlineStr">
        <is>
          <t>Households and NPISHs final consumption expenditure (% of GDP)</t>
        </is>
      </c>
      <c r="D24" s="3" t="inlineStr">
        <is>
          <t>NE.CON.PRVT.ZS</t>
        </is>
      </c>
      <c r="E24" s="3" t="n">
        <v>2023</v>
      </c>
      <c r="F24" s="3" t="n">
        <v>86.22472303358627</v>
      </c>
      <c r="G24" s="3" t="n">
        <v>86.8352922913092</v>
      </c>
      <c r="H24" s="3" t="n">
        <v>81.75784461221728</v>
      </c>
      <c r="I24" s="3" t="n">
        <v>84.87560554555343</v>
      </c>
      <c r="J24" s="3" t="n">
        <v>83.7577591192366</v>
      </c>
      <c r="K24" s="3" t="n"/>
      <c r="L24" s="3" t="n"/>
      <c r="M24" s="3" t="n"/>
      <c r="N24" s="3" t="n"/>
      <c r="O24" s="3" t="n"/>
      <c r="P24" s="3" t="n"/>
      <c r="Q24" s="3" t="n"/>
      <c r="R24" s="3" t="n"/>
      <c r="S24" s="3" t="n"/>
      <c r="T24" s="3" t="n"/>
      <c r="U24" s="3" t="n"/>
      <c r="V24" s="3" t="n"/>
      <c r="W24" s="3" t="n"/>
      <c r="X24" s="3" t="n"/>
      <c r="Y24" s="3" t="n"/>
      <c r="Z24" s="3" t="n"/>
      <c r="AA24" s="3" t="n">
        <v>80.76976547388782</v>
      </c>
      <c r="AB24" s="3" t="n">
        <v>80.7867495939383</v>
      </c>
      <c r="AC24" s="3" t="n">
        <v>83.64209555176856</v>
      </c>
      <c r="AD24" s="3" t="n">
        <v>88.87829504398324</v>
      </c>
      <c r="AE24" s="3" t="n">
        <v>81.45497799699261</v>
      </c>
      <c r="AF24" s="3" t="n">
        <v>80.58758061972901</v>
      </c>
      <c r="AG24" s="3" t="n">
        <v>81.75837947849222</v>
      </c>
      <c r="AH24" s="3" t="n">
        <v>82.05591698672922</v>
      </c>
      <c r="AI24" s="3" t="n">
        <v>80.56279244457963</v>
      </c>
      <c r="AJ24" s="3" t="n">
        <v>80.04046037292709</v>
      </c>
      <c r="AK24" s="3" t="n">
        <v>81.29048935974652</v>
      </c>
      <c r="AL24" s="3" t="n">
        <v>81.68436743800103</v>
      </c>
      <c r="AM24" s="3" t="n">
        <v>82.74687769731295</v>
      </c>
      <c r="AN24" s="3" t="n">
        <v>82.01298942657719</v>
      </c>
      <c r="AO24" s="3" t="n">
        <v>82.24332385020681</v>
      </c>
      <c r="AP24" s="3" t="n">
        <v>78.85211342502161</v>
      </c>
      <c r="AQ24" s="3" t="n">
        <v>77.95699290108115</v>
      </c>
      <c r="AR24" s="3" t="n">
        <v>76.23860936791493</v>
      </c>
      <c r="AS24" s="3" t="n">
        <v>76.2326634048507</v>
      </c>
      <c r="AT24" s="3" t="n">
        <v>75.00810045608361</v>
      </c>
      <c r="AU24" s="3" t="n">
        <v>74.52283781325406</v>
      </c>
      <c r="AV24" s="3" t="n">
        <v>74.13841270406935</v>
      </c>
      <c r="AW24" s="3" t="n">
        <v>74.68607907322055</v>
      </c>
      <c r="AX24" s="3" t="n">
        <v>73.63770369481391</v>
      </c>
      <c r="AY24" s="3" t="n">
        <v>73.7640610844816</v>
      </c>
      <c r="AZ24" s="3" t="n">
        <v>73.12330820718712</v>
      </c>
      <c r="BA24" s="3" t="n">
        <v>73.8931599871735</v>
      </c>
      <c r="BB24" s="3" t="n">
        <v>75.63231107545275</v>
      </c>
      <c r="BC24" s="3" t="n">
        <v>74.57384125559979</v>
      </c>
      <c r="BD24" s="3" t="n">
        <v>74.11465031352084</v>
      </c>
      <c r="BE24" s="3" t="n">
        <v>74.28046964672873</v>
      </c>
      <c r="BF24" s="3" t="n">
        <v>73.73689485126553</v>
      </c>
      <c r="BG24" s="3" t="n">
        <v>72.84777398170495</v>
      </c>
      <c r="BH24" s="3" t="n">
        <v>72.57253691817006</v>
      </c>
      <c r="BI24" s="3" t="n">
        <v>72.43728948029701</v>
      </c>
      <c r="BJ24" s="3" t="n">
        <v>66.8644422199967</v>
      </c>
      <c r="BK24" s="3" t="n">
        <v>66.91191680686615</v>
      </c>
      <c r="BL24" s="3" t="n">
        <v>67.58965176483407</v>
      </c>
      <c r="BM24" s="3" t="n">
        <v>66.87742901445858</v>
      </c>
      <c r="BN24" s="3" t="n">
        <v>66.95119025592867</v>
      </c>
      <c r="BO24" s="3" t="n">
        <v>68.77543351271582</v>
      </c>
      <c r="BP24" s="3" t="n">
        <v>69.0766062753121</v>
      </c>
      <c r="BQ24" s="3" t="n">
        <v>68.57531629315726</v>
      </c>
      <c r="BR24" s="34" t="str">
        <f>B24&amp;"|"&amp;D24</f>
        <v>BGD|NE.CON.PRVT.ZS</v>
      </c>
    </row>
    <row r="25">
      <c r="A25" s="3" t="inlineStr">
        <is>
          <t>Bulgaria</t>
        </is>
      </c>
      <c r="B25" s="3" t="inlineStr">
        <is>
          <t>BGR</t>
        </is>
      </c>
      <c r="C25" s="3" t="inlineStr">
        <is>
          <t>Households and NPISHs final consumption expenditure (% of GDP)</t>
        </is>
      </c>
      <c r="D25" s="3" t="inlineStr">
        <is>
          <t>NE.CON.PRVT.ZS</t>
        </is>
      </c>
      <c r="E25" s="3" t="n">
        <v>2023</v>
      </c>
      <c r="F25" s="3" t="n"/>
      <c r="G25" s="3" t="n"/>
      <c r="H25" s="3" t="n"/>
      <c r="I25" s="3" t="n"/>
      <c r="J25" s="3" t="n"/>
      <c r="K25" s="3" t="n"/>
      <c r="L25" s="3" t="n"/>
      <c r="M25" s="3" t="n"/>
      <c r="N25" s="3" t="n"/>
      <c r="O25" s="3" t="n"/>
      <c r="P25" s="3" t="n"/>
      <c r="Q25" s="3" t="n"/>
      <c r="R25" s="3" t="n"/>
      <c r="S25" s="3" t="n"/>
      <c r="T25" s="3" t="n"/>
      <c r="U25" s="3" t="n"/>
      <c r="V25" s="3" t="n"/>
      <c r="W25" s="3" t="n"/>
      <c r="X25" s="3" t="n"/>
      <c r="Y25" s="3" t="n"/>
      <c r="Z25" s="3" t="n">
        <v>55.33480671552093</v>
      </c>
      <c r="AA25" s="3" t="n">
        <v>48.66129843985909</v>
      </c>
      <c r="AB25" s="3" t="n">
        <v>49.79354082652604</v>
      </c>
      <c r="AC25" s="3" t="n">
        <v>50.92169608178544</v>
      </c>
      <c r="AD25" s="3" t="n">
        <v>49.78134502019203</v>
      </c>
      <c r="AE25" s="3" t="n">
        <v>51.63413130113851</v>
      </c>
      <c r="AF25" s="3" t="n">
        <v>50.61207652844835</v>
      </c>
      <c r="AG25" s="3" t="n">
        <v>52.06028802697961</v>
      </c>
      <c r="AH25" s="3" t="n">
        <v>49.58912612041695</v>
      </c>
      <c r="AI25" s="3" t="n">
        <v>52.09402918704774</v>
      </c>
      <c r="AJ25" s="3" t="n">
        <v>59.83397443523549</v>
      </c>
      <c r="AK25" s="3" t="n">
        <v>54.10906411201179</v>
      </c>
      <c r="AL25" s="3" t="n">
        <v>65.61503984063745</v>
      </c>
      <c r="AM25" s="3" t="n">
        <v>73.49013047842088</v>
      </c>
      <c r="AN25" s="3" t="n">
        <v>74.03538812785388</v>
      </c>
      <c r="AO25" s="3" t="n">
        <v>57.50671996124412</v>
      </c>
      <c r="AP25" s="3" t="n">
        <v>73.82036532657503</v>
      </c>
      <c r="AQ25" s="3" t="n">
        <v>65.44081219157459</v>
      </c>
      <c r="AR25" s="3" t="n">
        <v>56.10864957941482</v>
      </c>
      <c r="AS25" s="3" t="n">
        <v>65.1251834050129</v>
      </c>
      <c r="AT25" s="3" t="n">
        <v>66.4767351896257</v>
      </c>
      <c r="AU25" s="3" t="n">
        <v>68.59920621397163</v>
      </c>
      <c r="AV25" s="3" t="n">
        <v>68.26782885129323</v>
      </c>
      <c r="AW25" s="3" t="n">
        <v>67.99523040492129</v>
      </c>
      <c r="AX25" s="3" t="n">
        <v>68.35535541514628</v>
      </c>
      <c r="AY25" s="3" t="n">
        <v>68.76184140115413</v>
      </c>
      <c r="AZ25" s="3" t="n">
        <v>66.88842964939325</v>
      </c>
      <c r="BA25" s="3" t="n">
        <v>68.5279295424825</v>
      </c>
      <c r="BB25" s="3" t="n">
        <v>65.6590646520218</v>
      </c>
      <c r="BC25" s="3" t="n">
        <v>62.97736728828809</v>
      </c>
      <c r="BD25" s="3" t="n">
        <v>64.1640253414988</v>
      </c>
      <c r="BE25" s="3" t="n">
        <v>62.633518327148</v>
      </c>
      <c r="BF25" s="3" t="n">
        <v>65.60072581252908</v>
      </c>
      <c r="BG25" s="3" t="n">
        <v>62.4701077789796</v>
      </c>
      <c r="BH25" s="3" t="n">
        <v>62.73823589781813</v>
      </c>
      <c r="BI25" s="3" t="n">
        <v>62.03213937093706</v>
      </c>
      <c r="BJ25" s="3" t="n">
        <v>60.53858271782805</v>
      </c>
      <c r="BK25" s="3" t="n">
        <v>60.31156754556966</v>
      </c>
      <c r="BL25" s="3" t="n">
        <v>59.83752384648378</v>
      </c>
      <c r="BM25" s="3" t="n">
        <v>59.07877575556261</v>
      </c>
      <c r="BN25" s="3" t="n">
        <v>58.31838889457159</v>
      </c>
      <c r="BO25" s="3" t="n">
        <v>58.14297738779549</v>
      </c>
      <c r="BP25" s="3" t="n">
        <v>58.09586311997995</v>
      </c>
      <c r="BQ25" s="3" t="n">
        <v>59.80168979633532</v>
      </c>
      <c r="BR25" s="34" t="str">
        <f>B25&amp;"|"&amp;D25</f>
        <v>BGR|NE.CON.PRVT.ZS</v>
      </c>
    </row>
    <row r="26">
      <c r="A26" s="3" t="inlineStr">
        <is>
          <t>Bahrain</t>
        </is>
      </c>
      <c r="B26" s="3" t="inlineStr">
        <is>
          <t>BHR</t>
        </is>
      </c>
      <c r="C26" s="3" t="inlineStr">
        <is>
          <t>Households and NPISHs final consumption expenditure (% of GDP)</t>
        </is>
      </c>
      <c r="D26" s="3" t="inlineStr">
        <is>
          <t>NE.CON.PRVT.ZS</t>
        </is>
      </c>
      <c r="E26" s="3" t="n">
        <v>2021</v>
      </c>
      <c r="F26" s="3" t="n"/>
      <c r="G26" s="3" t="n"/>
      <c r="H26" s="3" t="n"/>
      <c r="I26" s="3" t="n"/>
      <c r="J26" s="3" t="n"/>
      <c r="K26" s="3" t="n"/>
      <c r="L26" s="3" t="n"/>
      <c r="M26" s="3" t="n"/>
      <c r="N26" s="3" t="n"/>
      <c r="O26" s="3" t="n"/>
      <c r="P26" s="3" t="n"/>
      <c r="Q26" s="3" t="n"/>
      <c r="R26" s="3" t="n"/>
      <c r="S26" s="3" t="n"/>
      <c r="T26" s="3" t="n"/>
      <c r="U26" s="3" t="n"/>
      <c r="V26" s="3" t="n"/>
      <c r="W26" s="3" t="n"/>
      <c r="X26" s="3" t="n"/>
      <c r="Y26" s="3" t="n"/>
      <c r="Z26" s="3" t="n">
        <v>28.12065837031265</v>
      </c>
      <c r="AA26" s="3" t="n">
        <v>28.84779108537738</v>
      </c>
      <c r="AB26" s="3" t="n">
        <v>30.33979443286698</v>
      </c>
      <c r="AC26" s="3" t="n">
        <v>30.15874441351479</v>
      </c>
      <c r="AD26" s="3" t="n">
        <v>30.07602542668413</v>
      </c>
      <c r="AE26" s="3" t="n">
        <v>26.068127795189</v>
      </c>
      <c r="AF26" s="3" t="n">
        <v>28.36780607606013</v>
      </c>
      <c r="AG26" s="3" t="n">
        <v>30.95428850946731</v>
      </c>
      <c r="AH26" s="3" t="n">
        <v>33.05962329375961</v>
      </c>
      <c r="AI26" s="3" t="n">
        <v>34.99811930529408</v>
      </c>
      <c r="AJ26" s="3" t="n">
        <v>33.77615901972109</v>
      </c>
      <c r="AK26" s="3" t="n">
        <v>51.57604621748807</v>
      </c>
      <c r="AL26" s="3" t="n">
        <v>51.96334809181035</v>
      </c>
      <c r="AM26" s="3" t="n">
        <v>49.49425364698525</v>
      </c>
      <c r="AN26" s="3" t="n">
        <v>45.85525426643965</v>
      </c>
      <c r="AO26" s="3" t="n">
        <v>46.63625560010941</v>
      </c>
      <c r="AP26" s="3" t="n">
        <v>47.17967109697373</v>
      </c>
      <c r="AQ26" s="3" t="n">
        <v>47.05106908745129</v>
      </c>
      <c r="AR26" s="3" t="n">
        <v>50.21234431620092</v>
      </c>
      <c r="AS26" s="3" t="n">
        <v>48.69459347291791</v>
      </c>
      <c r="AT26" s="3" t="n">
        <v>44.66391794931992</v>
      </c>
      <c r="AU26" s="3" t="n">
        <v>46.83486170575251</v>
      </c>
      <c r="AV26" s="3" t="n">
        <v>45.09974606061278</v>
      </c>
      <c r="AW26" s="3" t="n">
        <v>42.91364582757983</v>
      </c>
      <c r="AX26" s="3" t="n">
        <v>47.56859191903666</v>
      </c>
      <c r="AY26" s="3" t="n">
        <v>39.73342171532117</v>
      </c>
      <c r="AZ26" s="3" t="n">
        <v>34.72711881215156</v>
      </c>
      <c r="BA26" s="3" t="n">
        <v>31.6130753639933</v>
      </c>
      <c r="BB26" s="3" t="n">
        <v>34.48656812139894</v>
      </c>
      <c r="BC26" s="3" t="n">
        <v>40.90961266213476</v>
      </c>
      <c r="BD26" s="3" t="n">
        <v>41.18371691081785</v>
      </c>
      <c r="BE26" s="3" t="n">
        <v>39.07902033271719</v>
      </c>
      <c r="BF26" s="3" t="n">
        <v>38.00500616689184</v>
      </c>
      <c r="BG26" s="3" t="n">
        <v>40.77045551882983</v>
      </c>
      <c r="BH26" s="3" t="n">
        <v>40.49648791041424</v>
      </c>
      <c r="BI26" s="3" t="n">
        <v>45.39096598230245</v>
      </c>
      <c r="BJ26" s="3" t="n">
        <v>44.93268624160382</v>
      </c>
      <c r="BK26" s="3" t="n">
        <v>42.01687927809966</v>
      </c>
      <c r="BL26" s="3" t="n">
        <v>40.75046958698718</v>
      </c>
      <c r="BM26" s="3" t="n">
        <v>40.40210800212329</v>
      </c>
      <c r="BN26" s="3" t="n">
        <v>42.1303355896619</v>
      </c>
      <c r="BO26" s="3" t="n">
        <v>39.15371831790606</v>
      </c>
      <c r="BP26" s="3" t="n"/>
      <c r="BQ26" s="3" t="n"/>
      <c r="BR26" s="34" t="str">
        <f>B26&amp;"|"&amp;D26</f>
        <v>BHR|NE.CON.PRVT.ZS</v>
      </c>
    </row>
    <row r="27">
      <c r="A27" s="3" t="inlineStr">
        <is>
          <t>Bahamas, The</t>
        </is>
      </c>
      <c r="B27" s="3" t="inlineStr">
        <is>
          <t>BHS</t>
        </is>
      </c>
      <c r="C27" s="3" t="inlineStr">
        <is>
          <t>Households and NPISHs final consumption expenditure (% of GDP)</t>
        </is>
      </c>
      <c r="D27" s="3" t="inlineStr">
        <is>
          <t>NE.CON.PRVT.ZS</t>
        </is>
      </c>
      <c r="E27" s="3" t="n">
        <v>2023</v>
      </c>
      <c r="F27" s="3" t="n"/>
      <c r="G27" s="3" t="n"/>
      <c r="H27" s="3" t="n"/>
      <c r="I27" s="3" t="n"/>
      <c r="J27" s="3" t="n"/>
      <c r="K27" s="3" t="n"/>
      <c r="L27" s="3" t="n"/>
      <c r="M27" s="3" t="n"/>
      <c r="N27" s="3" t="n"/>
      <c r="O27" s="3" t="n"/>
      <c r="P27" s="3" t="n"/>
      <c r="Q27" s="3" t="n"/>
      <c r="R27" s="3" t="n"/>
      <c r="S27" s="3" t="n"/>
      <c r="T27" s="3" t="n"/>
      <c r="U27" s="3" t="n"/>
      <c r="V27" s="3" t="n"/>
      <c r="W27" s="3" t="n">
        <v>55.65217391304348</v>
      </c>
      <c r="X27" s="3" t="n">
        <v>58.08505526189332</v>
      </c>
      <c r="Y27" s="3" t="n">
        <v>65.88874663197521</v>
      </c>
      <c r="Z27" s="3" t="n">
        <v>61.70149030180484</v>
      </c>
      <c r="AA27" s="3" t="n">
        <v>62.31335436382754</v>
      </c>
      <c r="AB27" s="3" t="n">
        <v>59.06354938858265</v>
      </c>
      <c r="AC27" s="3" t="n">
        <v>57.38111726685133</v>
      </c>
      <c r="AD27" s="3" t="n">
        <v>65.43530449267551</v>
      </c>
      <c r="AE27" s="3" t="n">
        <v>62.85172417166045</v>
      </c>
      <c r="AF27" s="3" t="n">
        <v>63.52679474216381</v>
      </c>
      <c r="AG27" s="3" t="n">
        <v>63.6588085356967</v>
      </c>
      <c r="AH27" s="3" t="n"/>
      <c r="AI27" s="3" t="n">
        <v>62.52514696276943</v>
      </c>
      <c r="AJ27" s="3" t="n">
        <v>62.82564750473784</v>
      </c>
      <c r="AK27" s="3" t="n">
        <v>65.92685686367787</v>
      </c>
      <c r="AL27" s="3" t="n">
        <v>64.59729816661306</v>
      </c>
      <c r="AM27" s="3" t="n">
        <v>66.6830530401035</v>
      </c>
      <c r="AN27" s="3" t="n">
        <v>65.3899969315741</v>
      </c>
      <c r="AO27" s="3" t="n">
        <v>68.06386701662292</v>
      </c>
      <c r="AP27" s="3" t="n">
        <v>69.63812690495982</v>
      </c>
      <c r="AQ27" s="3" t="n">
        <v>59.35543778306982</v>
      </c>
      <c r="AR27" s="3" t="n">
        <v>60.53368690017297</v>
      </c>
      <c r="AS27" s="3" t="n">
        <v>58.01373526621351</v>
      </c>
      <c r="AT27" s="3" t="n">
        <v>57.29111852083894</v>
      </c>
      <c r="AU27" s="3" t="n">
        <v>60.54103053320398</v>
      </c>
      <c r="AV27" s="3" t="n">
        <v>56.75046953325917</v>
      </c>
      <c r="AW27" s="3" t="n">
        <v>57.90696599470806</v>
      </c>
      <c r="AX27" s="3" t="n">
        <v>58.48404634197249</v>
      </c>
      <c r="AY27" s="3" t="n">
        <v>59.42945446412232</v>
      </c>
      <c r="AZ27" s="3" t="n">
        <v>61.53187931839976</v>
      </c>
      <c r="BA27" s="3" t="n">
        <v>60.41528148467651</v>
      </c>
      <c r="BB27" s="3" t="n">
        <v>61.25498764962949</v>
      </c>
      <c r="BC27" s="3" t="n">
        <v>60.59130671731804</v>
      </c>
      <c r="BD27" s="3" t="n">
        <v>61.68233000784488</v>
      </c>
      <c r="BE27" s="3" t="n">
        <v>62.96938071287778</v>
      </c>
      <c r="BF27" s="3" t="n">
        <v>63.56606501562428</v>
      </c>
      <c r="BG27" s="3" t="n">
        <v>64.9714307701187</v>
      </c>
      <c r="BH27" s="3" t="n">
        <v>65.46413828924467</v>
      </c>
      <c r="BI27" s="3" t="n">
        <v>64.57132086464071</v>
      </c>
      <c r="BJ27" s="3" t="n">
        <v>65.15227626840129</v>
      </c>
      <c r="BK27" s="3" t="n">
        <v>67.38254594784541</v>
      </c>
      <c r="BL27" s="3" t="n">
        <v>66.85267680210529</v>
      </c>
      <c r="BM27" s="3" t="n">
        <v>61.28363116731458</v>
      </c>
      <c r="BN27" s="3" t="n">
        <v>65.47870097005483</v>
      </c>
      <c r="BO27" s="3" t="n">
        <v>70.78785106738559</v>
      </c>
      <c r="BP27" s="3" t="n">
        <v>66.03483450564843</v>
      </c>
      <c r="BQ27" s="3" t="n">
        <v>67.45684695051783</v>
      </c>
      <c r="BR27" s="34" t="str">
        <f>B27&amp;"|"&amp;D27</f>
        <v>BHS|NE.CON.PRVT.ZS</v>
      </c>
    </row>
    <row r="28">
      <c r="A28" s="3" t="inlineStr">
        <is>
          <t>Bosnia and Herzegovina</t>
        </is>
      </c>
      <c r="B28" s="3" t="inlineStr">
        <is>
          <t>BIH</t>
        </is>
      </c>
      <c r="C28" s="3" t="inlineStr">
        <is>
          <t>Households and NPISHs final consumption expenditure (% of GDP)</t>
        </is>
      </c>
      <c r="D28" s="3" t="inlineStr">
        <is>
          <t>NE.CON.PRVT.ZS</t>
        </is>
      </c>
      <c r="E28" s="3" t="n">
        <v>2023</v>
      </c>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c r="AH28" s="3" t="n"/>
      <c r="AI28" s="3" t="n"/>
      <c r="AJ28" s="3" t="n"/>
      <c r="AK28" s="3" t="n"/>
      <c r="AL28" s="3" t="n"/>
      <c r="AM28" s="3" t="n"/>
      <c r="AN28" s="3" t="n"/>
      <c r="AO28" s="3" t="n"/>
      <c r="AP28" s="3" t="n"/>
      <c r="AQ28" s="3" t="n"/>
      <c r="AR28" s="3" t="n"/>
      <c r="AS28" s="3" t="n"/>
      <c r="AT28" s="3" t="n">
        <v>100.8682246587641</v>
      </c>
      <c r="AU28" s="3" t="n">
        <v>101.0800475576402</v>
      </c>
      <c r="AV28" s="3" t="n">
        <v>97.6009918421081</v>
      </c>
      <c r="AW28" s="3" t="n">
        <v>97.78669699075353</v>
      </c>
      <c r="AX28" s="3" t="n">
        <v>94.11546868160829</v>
      </c>
      <c r="AY28" s="3" t="n">
        <v>92.77281064300483</v>
      </c>
      <c r="AZ28" s="3" t="n">
        <v>88.59508050938358</v>
      </c>
      <c r="BA28" s="3" t="n">
        <v>85.99591271163995</v>
      </c>
      <c r="BB28" s="3" t="n">
        <v>85.21146025716914</v>
      </c>
      <c r="BC28" s="3" t="n">
        <v>84.41877282323667</v>
      </c>
      <c r="BD28" s="3" t="n">
        <v>83.76334911818444</v>
      </c>
      <c r="BE28" s="3" t="n">
        <v>83.22964865357983</v>
      </c>
      <c r="BF28" s="3" t="n">
        <v>84.78855186812157</v>
      </c>
      <c r="BG28" s="3" t="n">
        <v>83.65152053004408</v>
      </c>
      <c r="BH28" s="3" t="n">
        <v>82.89427041217517</v>
      </c>
      <c r="BI28" s="3" t="n">
        <v>79.30582173462433</v>
      </c>
      <c r="BJ28" s="3" t="n">
        <v>77.33500676769501</v>
      </c>
      <c r="BK28" s="3" t="n">
        <v>75.50088707801692</v>
      </c>
      <c r="BL28" s="3" t="n">
        <v>73.35580908125888</v>
      </c>
      <c r="BM28" s="3" t="n">
        <v>72.33791680558707</v>
      </c>
      <c r="BN28" s="3" t="n">
        <v>71.93098103410732</v>
      </c>
      <c r="BO28" s="3" t="n">
        <v>68.11694235168075</v>
      </c>
      <c r="BP28" s="3" t="n">
        <v>67.45356618267138</v>
      </c>
      <c r="BQ28" s="3" t="n">
        <v>71.88692514331649</v>
      </c>
      <c r="BR28" s="34" t="str">
        <f>B28&amp;"|"&amp;D28</f>
        <v>BIH|NE.CON.PRVT.ZS</v>
      </c>
    </row>
    <row r="29">
      <c r="A29" s="3" t="inlineStr">
        <is>
          <t>Belarus</t>
        </is>
      </c>
      <c r="B29" s="3" t="inlineStr">
        <is>
          <t>BLR</t>
        </is>
      </c>
      <c r="C29" s="3" t="inlineStr">
        <is>
          <t>Households and NPISHs final consumption expenditure (% of GDP)</t>
        </is>
      </c>
      <c r="D29" s="3" t="inlineStr">
        <is>
          <t>NE.CON.PRVT.ZS</t>
        </is>
      </c>
      <c r="E29" s="3" t="n">
        <v>2023</v>
      </c>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v>47.34411085450346</v>
      </c>
      <c r="AK29" s="3" t="n">
        <v>44.44444444444444</v>
      </c>
      <c r="AL29" s="3" t="n">
        <v>51.08695652173913</v>
      </c>
      <c r="AM29" s="3" t="n">
        <v>56.24365482233502</v>
      </c>
      <c r="AN29" s="3" t="n">
        <v>59.38852357668745</v>
      </c>
      <c r="AO29" s="3" t="n">
        <v>59.08750195629433</v>
      </c>
      <c r="AP29" s="3" t="n">
        <v>60.00448292578673</v>
      </c>
      <c r="AQ29" s="3" t="n">
        <v>57.05994602404384</v>
      </c>
      <c r="AR29" s="3" t="n">
        <v>57.84670467314476</v>
      </c>
      <c r="AS29" s="3" t="n">
        <v>58.64327390299743</v>
      </c>
      <c r="AT29" s="3" t="n">
        <v>56.91059580897326</v>
      </c>
      <c r="AU29" s="3" t="n">
        <v>57.62437984766963</v>
      </c>
      <c r="AV29" s="3" t="n">
        <v>59.49124464865734</v>
      </c>
      <c r="AW29" s="3" t="n">
        <v>57.13035487682142</v>
      </c>
      <c r="AX29" s="3" t="n">
        <v>53.72641113142556</v>
      </c>
      <c r="AY29" s="3" t="n">
        <v>51.98787098241662</v>
      </c>
      <c r="AZ29" s="3" t="n">
        <v>51.47551944693252</v>
      </c>
      <c r="BA29" s="3" t="n">
        <v>51.81108893812915</v>
      </c>
      <c r="BB29" s="3" t="n">
        <v>51.95722655226719</v>
      </c>
      <c r="BC29" s="3" t="n">
        <v>56.20942309627684</v>
      </c>
      <c r="BD29" s="3" t="n">
        <v>55.6450619420435</v>
      </c>
      <c r="BE29" s="3" t="n">
        <v>48.70552816156488</v>
      </c>
      <c r="BF29" s="3" t="n">
        <v>48.05162077781777</v>
      </c>
      <c r="BG29" s="3" t="n">
        <v>51.25635820503854</v>
      </c>
      <c r="BH29" s="3" t="n">
        <v>52.82765981210985</v>
      </c>
      <c r="BI29" s="3" t="n">
        <v>52.87732176621065</v>
      </c>
      <c r="BJ29" s="3" t="n">
        <v>54.51031606441352</v>
      </c>
      <c r="BK29" s="3" t="n">
        <v>54.45587623406589</v>
      </c>
      <c r="BL29" s="3" t="n">
        <v>53.55297580117724</v>
      </c>
      <c r="BM29" s="3" t="n">
        <v>53.9634236855387</v>
      </c>
      <c r="BN29" s="3" t="n">
        <v>52.23515739275052</v>
      </c>
      <c r="BO29" s="3" t="n">
        <v>50.87149972580125</v>
      </c>
      <c r="BP29" s="3" t="n">
        <v>53.43086904682024</v>
      </c>
      <c r="BQ29" s="3" t="n">
        <v>54.74356120745784</v>
      </c>
      <c r="BR29" s="34" t="str">
        <f>B29&amp;"|"&amp;D29</f>
        <v>BLR|NE.CON.PRVT.ZS</v>
      </c>
    </row>
    <row r="30">
      <c r="A30" s="3" t="inlineStr">
        <is>
          <t>Belize</t>
        </is>
      </c>
      <c r="B30" s="3" t="inlineStr">
        <is>
          <t>BLZ</t>
        </is>
      </c>
      <c r="C30" s="3" t="inlineStr">
        <is>
          <t>Households and NPISHs final consumption expenditure (% of GDP)</t>
        </is>
      </c>
      <c r="D30" s="3" t="inlineStr">
        <is>
          <t>NE.CON.PRVT.ZS</t>
        </is>
      </c>
      <c r="E30" s="3" t="n">
        <v>2023</v>
      </c>
      <c r="F30" s="3" t="n"/>
      <c r="G30" s="3" t="n"/>
      <c r="H30" s="3" t="n"/>
      <c r="I30" s="3" t="n"/>
      <c r="J30" s="3" t="n"/>
      <c r="K30" s="3" t="n"/>
      <c r="L30" s="3" t="n"/>
      <c r="M30" s="3" t="n"/>
      <c r="N30" s="3" t="n"/>
      <c r="O30" s="3" t="n"/>
      <c r="P30" s="3" t="n"/>
      <c r="Q30" s="3" t="n"/>
      <c r="R30" s="3" t="n"/>
      <c r="S30" s="3" t="n"/>
      <c r="T30" s="3" t="n"/>
      <c r="U30" s="3" t="n"/>
      <c r="V30" s="3" t="n"/>
      <c r="W30" s="3" t="n"/>
      <c r="X30" s="3" t="n"/>
      <c r="Y30" s="3" t="n"/>
      <c r="Z30" s="3" t="n">
        <v>48.74120425217032</v>
      </c>
      <c r="AA30" s="3" t="n">
        <v>52.580112385592</v>
      </c>
      <c r="AB30" s="3" t="n">
        <v>54.88866935978837</v>
      </c>
      <c r="AC30" s="3" t="n">
        <v>50.69561868532209</v>
      </c>
      <c r="AD30" s="3" t="n">
        <v>43.60191497730301</v>
      </c>
      <c r="AE30" s="3" t="n">
        <v>47.485004068892</v>
      </c>
      <c r="AF30" s="3" t="n">
        <v>41.84104617623194</v>
      </c>
      <c r="AG30" s="3" t="n">
        <v>42.24328893396304</v>
      </c>
      <c r="AH30" s="3" t="n">
        <v>43.45299862046822</v>
      </c>
      <c r="AI30" s="3" t="n">
        <v>44.36845236806622</v>
      </c>
      <c r="AJ30" s="3" t="n">
        <v>33.43596126950531</v>
      </c>
      <c r="AK30" s="3" t="n">
        <v>34.29042618694882</v>
      </c>
      <c r="AL30" s="3" t="n">
        <v>53.74211955464219</v>
      </c>
      <c r="AM30" s="3" t="n">
        <v>52.34758480758867</v>
      </c>
      <c r="AN30" s="3" t="n">
        <v>54.89972834656913</v>
      </c>
      <c r="AO30" s="3" t="n">
        <v>55.49484324610845</v>
      </c>
      <c r="AP30" s="3" t="n">
        <v>56.80402227464194</v>
      </c>
      <c r="AQ30" s="3" t="n">
        <v>62.39765228625869</v>
      </c>
      <c r="AR30" s="3" t="n">
        <v>63.32636309681908</v>
      </c>
      <c r="AS30" s="3" t="n">
        <v>61.89007969632132</v>
      </c>
      <c r="AT30" s="3" t="n">
        <v>59.0127511593577</v>
      </c>
      <c r="AU30" s="3" t="n">
        <v>61.87394766009602</v>
      </c>
      <c r="AV30" s="3" t="n">
        <v>63.50715754690429</v>
      </c>
      <c r="AW30" s="3" t="n">
        <v>63.83825360176439</v>
      </c>
      <c r="AX30" s="3" t="n">
        <v>61.73037341783348</v>
      </c>
      <c r="AY30" s="3" t="n">
        <v>59.9713379384999</v>
      </c>
      <c r="AZ30" s="3" t="n">
        <v>56.37157952996059</v>
      </c>
      <c r="BA30" s="3" t="n">
        <v>55.83012732016201</v>
      </c>
      <c r="BB30" s="3" t="n">
        <v>57.57666730862135</v>
      </c>
      <c r="BC30" s="3" t="n">
        <v>57.30752275912897</v>
      </c>
      <c r="BD30" s="3" t="n">
        <v>57.69553759396994</v>
      </c>
      <c r="BE30" s="3" t="n">
        <v>57.42004430159254</v>
      </c>
      <c r="BF30" s="3" t="n">
        <v>57.79176334634154</v>
      </c>
      <c r="BG30" s="3" t="n">
        <v>59.61499123430806</v>
      </c>
      <c r="BH30" s="3" t="n">
        <v>58.86365577355384</v>
      </c>
      <c r="BI30" s="3" t="n">
        <v>57.67959734947543</v>
      </c>
      <c r="BJ30" s="3" t="n">
        <v>57.19606114724537</v>
      </c>
      <c r="BK30" s="3" t="n">
        <v>56.63907876968022</v>
      </c>
      <c r="BL30" s="3" t="n">
        <v>57.69329051462537</v>
      </c>
      <c r="BM30" s="3" t="n">
        <v>57.65918247971407</v>
      </c>
      <c r="BN30" s="3" t="n">
        <v>58.19538042559943</v>
      </c>
      <c r="BO30" s="3" t="n">
        <v>59.27629643219385</v>
      </c>
      <c r="BP30" s="3" t="n">
        <v>59.92455350724521</v>
      </c>
      <c r="BQ30" s="3" t="n">
        <v>56.83376504647265</v>
      </c>
      <c r="BR30" s="34" t="str">
        <f>B30&amp;"|"&amp;D30</f>
        <v>BLZ|NE.CON.PRVT.ZS</v>
      </c>
    </row>
    <row r="31">
      <c r="A31" s="3" t="inlineStr">
        <is>
          <t>Bermuda</t>
        </is>
      </c>
      <c r="B31" s="3" t="inlineStr">
        <is>
          <t>BMU</t>
        </is>
      </c>
      <c r="C31" s="3" t="inlineStr">
        <is>
          <t>Households and NPISHs final consumption expenditure (% of GDP)</t>
        </is>
      </c>
      <c r="D31" s="3" t="inlineStr">
        <is>
          <t>NE.CON.PRVT.ZS</t>
        </is>
      </c>
      <c r="E31" s="3" t="n">
        <v>2022</v>
      </c>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c r="AH31" s="3" t="n"/>
      <c r="AI31" s="3" t="n"/>
      <c r="AJ31" s="3" t="n"/>
      <c r="AK31" s="3" t="n"/>
      <c r="AL31" s="3" t="n"/>
      <c r="AM31" s="3" t="n"/>
      <c r="AN31" s="3" t="n"/>
      <c r="AO31" s="3" t="n"/>
      <c r="AP31" s="3" t="n"/>
      <c r="AQ31" s="3" t="n"/>
      <c r="AR31" s="3" t="n"/>
      <c r="AS31" s="3" t="n"/>
      <c r="AT31" s="3" t="n"/>
      <c r="AU31" s="3" t="n"/>
      <c r="AV31" s="3" t="n"/>
      <c r="AW31" s="3" t="n"/>
      <c r="AX31" s="3" t="n"/>
      <c r="AY31" s="3" t="n"/>
      <c r="AZ31" s="3" t="n"/>
      <c r="BA31" s="3" t="n"/>
      <c r="BB31" s="3" t="n"/>
      <c r="BC31" s="3" t="n"/>
      <c r="BD31" s="3" t="n">
        <v>47.81572941307336</v>
      </c>
      <c r="BE31" s="3" t="n">
        <v>49.48948079353163</v>
      </c>
      <c r="BF31" s="3" t="n">
        <v>48.76065114418076</v>
      </c>
      <c r="BG31" s="3" t="n">
        <v>48.49477771818176</v>
      </c>
      <c r="BH31" s="3" t="n">
        <v>48.99720735367762</v>
      </c>
      <c r="BI31" s="3" t="n">
        <v>48.65441508287348</v>
      </c>
      <c r="BJ31" s="3" t="n">
        <v>48.81864418251192</v>
      </c>
      <c r="BK31" s="3" t="n">
        <v>49.18508226183216</v>
      </c>
      <c r="BL31" s="3" t="n">
        <v>48.77631080198567</v>
      </c>
      <c r="BM31" s="3" t="n">
        <v>48.1756565161956</v>
      </c>
      <c r="BN31" s="3" t="n">
        <v>47.74621479692534</v>
      </c>
      <c r="BO31" s="3" t="n">
        <v>47.05070549296813</v>
      </c>
      <c r="BP31" s="3" t="n">
        <v>47.18513588435331</v>
      </c>
      <c r="BQ31" s="3" t="n"/>
      <c r="BR31" s="34" t="str">
        <f>B31&amp;"|"&amp;D31</f>
        <v>BMU|NE.CON.PRVT.ZS</v>
      </c>
    </row>
    <row r="32">
      <c r="A32" s="3" t="inlineStr">
        <is>
          <t>Bolivia</t>
        </is>
      </c>
      <c r="B32" s="3" t="inlineStr">
        <is>
          <t>BOL</t>
        </is>
      </c>
      <c r="C32" s="3" t="inlineStr">
        <is>
          <t>Households and NPISHs final consumption expenditure (% of GDP)</t>
        </is>
      </c>
      <c r="D32" s="3" t="inlineStr">
        <is>
          <t>NE.CON.PRVT.ZS</t>
        </is>
      </c>
      <c r="E32" s="3" t="n">
        <v>2023</v>
      </c>
      <c r="F32" s="3" t="n">
        <v>84.01428890377316</v>
      </c>
      <c r="G32" s="3" t="n">
        <v>86.49425287356321</v>
      </c>
      <c r="H32" s="3" t="n">
        <v>84.77567110944247</v>
      </c>
      <c r="I32" s="3" t="n">
        <v>83.87377963737796</v>
      </c>
      <c r="J32" s="3" t="n">
        <v>78.05972458610553</v>
      </c>
      <c r="K32" s="3" t="n">
        <v>76.74094707520891</v>
      </c>
      <c r="L32" s="3" t="n">
        <v>77.35849056603774</v>
      </c>
      <c r="M32" s="3" t="n">
        <v>78.3383450272859</v>
      </c>
      <c r="N32" s="3" t="n">
        <v>75.66718995290424</v>
      </c>
      <c r="O32" s="3" t="n">
        <v>75.15392973560304</v>
      </c>
      <c r="P32" s="3" t="n">
        <v>73.68813110412184</v>
      </c>
      <c r="Q32" s="3" t="n">
        <v>75.8297480024585</v>
      </c>
      <c r="R32" s="3" t="n">
        <v>72.60765550239235</v>
      </c>
      <c r="S32" s="3" t="n">
        <v>70.33871478315923</v>
      </c>
      <c r="T32" s="3" t="n">
        <v>67.52962451815543</v>
      </c>
      <c r="U32" s="3" t="n">
        <v>72.77526081715781</v>
      </c>
      <c r="V32" s="3" t="n">
        <v>72.18248669215431</v>
      </c>
      <c r="W32" s="3" t="n">
        <v>71.98556851086234</v>
      </c>
      <c r="X32" s="3" t="n">
        <v>70.13111353421452</v>
      </c>
      <c r="Y32" s="3" t="n">
        <v>67.32291320252743</v>
      </c>
      <c r="Z32" s="3" t="n">
        <v>67.27880925899026</v>
      </c>
      <c r="AA32" s="3" t="n">
        <v>70.34600132934344</v>
      </c>
      <c r="AB32" s="3" t="n">
        <v>72.91391583833828</v>
      </c>
      <c r="AC32" s="3" t="n">
        <v>73.45572873403736</v>
      </c>
      <c r="AD32" s="3" t="n">
        <v>69.18380151639045</v>
      </c>
      <c r="AE32" s="3" t="n">
        <v>73.76731894242067</v>
      </c>
      <c r="AF32" s="3" t="n">
        <v>81.37693367884584</v>
      </c>
      <c r="AG32" s="3" t="n">
        <v>79.7279557114518</v>
      </c>
      <c r="AH32" s="3" t="n">
        <v>79.0040635886302</v>
      </c>
      <c r="AI32" s="3" t="n">
        <v>77.13003667161604</v>
      </c>
      <c r="AJ32" s="3" t="n">
        <v>76.86189001567824</v>
      </c>
      <c r="AK32" s="3" t="n">
        <v>77.83377555543572</v>
      </c>
      <c r="AL32" s="3" t="n">
        <v>79.44449774384545</v>
      </c>
      <c r="AM32" s="3" t="n">
        <v>79.37138299609379</v>
      </c>
      <c r="AN32" s="3" t="n">
        <v>77.59512593090332</v>
      </c>
      <c r="AO32" s="3" t="n">
        <v>75.81852063998279</v>
      </c>
      <c r="AP32" s="3" t="n">
        <v>75.1280623180225</v>
      </c>
      <c r="AQ32" s="3" t="n">
        <v>74.71295874712266</v>
      </c>
      <c r="AR32" s="3" t="n">
        <v>75.05841065045601</v>
      </c>
      <c r="AS32" s="3" t="n">
        <v>76.83671336785662</v>
      </c>
      <c r="AT32" s="3" t="n">
        <v>76.36550686593112</v>
      </c>
      <c r="AU32" s="3" t="n">
        <v>75.29095928560508</v>
      </c>
      <c r="AV32" s="3" t="n">
        <v>73.81878657296163</v>
      </c>
      <c r="AW32" s="3" t="n">
        <v>71.01315364918702</v>
      </c>
      <c r="AX32" s="3" t="n">
        <v>67.9072457083634</v>
      </c>
      <c r="AY32" s="3" t="n">
        <v>66.31747623560398</v>
      </c>
      <c r="AZ32" s="3" t="n">
        <v>62.77485612779624</v>
      </c>
      <c r="BA32" s="3" t="n">
        <v>63.22529058341502</v>
      </c>
      <c r="BB32" s="3" t="n">
        <v>62.2237940773414</v>
      </c>
      <c r="BC32" s="3" t="n">
        <v>65.5017984494668</v>
      </c>
      <c r="BD32" s="3" t="n">
        <v>62.29847705867656</v>
      </c>
      <c r="BE32" s="3" t="n">
        <v>60.70433775606401</v>
      </c>
      <c r="BF32" s="3" t="n">
        <v>59.50374890870014</v>
      </c>
      <c r="BG32" s="3" t="n">
        <v>60.18670730156983</v>
      </c>
      <c r="BH32" s="3" t="n">
        <v>62.93744990913724</v>
      </c>
      <c r="BI32" s="3" t="n">
        <v>68.41971807143014</v>
      </c>
      <c r="BJ32" s="3" t="n">
        <v>68.90940941567919</v>
      </c>
      <c r="BK32" s="3" t="n">
        <v>67.65443763776483</v>
      </c>
      <c r="BL32" s="3" t="n">
        <v>67.01037724780197</v>
      </c>
      <c r="BM32" s="3" t="n">
        <v>68.4446792339957</v>
      </c>
      <c r="BN32" s="3" t="n">
        <v>69.44131911683709</v>
      </c>
      <c r="BO32" s="3" t="n">
        <v>67.24297612901633</v>
      </c>
      <c r="BP32" s="3" t="n">
        <v>66.82600705017197</v>
      </c>
      <c r="BQ32" s="3" t="n">
        <v>67.60970693304048</v>
      </c>
      <c r="BR32" s="34" t="str">
        <f>B32&amp;"|"&amp;D32</f>
        <v>BOL|NE.CON.PRVT.ZS</v>
      </c>
    </row>
    <row r="33">
      <c r="A33" s="3" t="inlineStr">
        <is>
          <t>Brazil</t>
        </is>
      </c>
      <c r="B33" s="3" t="inlineStr">
        <is>
          <t>BRA</t>
        </is>
      </c>
      <c r="C33" s="3" t="inlineStr">
        <is>
          <t>Households and NPISHs final consumption expenditure (% of GDP)</t>
        </is>
      </c>
      <c r="D33" s="3" t="inlineStr">
        <is>
          <t>NE.CON.PRVT.ZS</t>
        </is>
      </c>
      <c r="E33" s="3" t="n">
        <v>2023</v>
      </c>
      <c r="F33" s="3" t="n">
        <v>59.0185802565624</v>
      </c>
      <c r="G33" s="3" t="n">
        <v>56.49824315737443</v>
      </c>
      <c r="H33" s="3" t="n">
        <v>72.57026103892227</v>
      </c>
      <c r="I33" s="3" t="n">
        <v>67.15389845567799</v>
      </c>
      <c r="J33" s="3" t="n">
        <v>69.79299319858205</v>
      </c>
      <c r="K33" s="3" t="n">
        <v>64.91139545998604</v>
      </c>
      <c r="L33" s="3" t="n">
        <v>65.18379201003965</v>
      </c>
      <c r="M33" s="3" t="n">
        <v>70.40515496224916</v>
      </c>
      <c r="N33" s="3" t="n">
        <v>70.44590439038117</v>
      </c>
      <c r="O33" s="3" t="n">
        <v>67.28236345171534</v>
      </c>
      <c r="P33" s="3" t="n">
        <v>68.55352738232699</v>
      </c>
      <c r="Q33" s="3" t="n">
        <v>70.06058071747103</v>
      </c>
      <c r="R33" s="3" t="n">
        <v>69.78531366393891</v>
      </c>
      <c r="S33" s="3" t="n">
        <v>64.05545436639316</v>
      </c>
      <c r="T33" s="3" t="n">
        <v>67.73728553058585</v>
      </c>
      <c r="U33" s="3" t="n">
        <v>63.66320179586483</v>
      </c>
      <c r="V33" s="3" t="n">
        <v>68.53949291200659</v>
      </c>
      <c r="W33" s="3" t="n">
        <v>69.0929041463132</v>
      </c>
      <c r="X33" s="3" t="n">
        <v>68.73902089830167</v>
      </c>
      <c r="Y33" s="3" t="n">
        <v>70.6875640463586</v>
      </c>
      <c r="Z33" s="3" t="n">
        <v>69.01292402374369</v>
      </c>
      <c r="AA33" s="3" t="n">
        <v>69.4376564143566</v>
      </c>
      <c r="AB33" s="3" t="n">
        <v>72.22371895440031</v>
      </c>
      <c r="AC33" s="3" t="n">
        <v>76.370554631571</v>
      </c>
      <c r="AD33" s="3" t="n">
        <v>78.07760783157597</v>
      </c>
      <c r="AE33" s="3" t="n">
        <v>69.5399225516596</v>
      </c>
      <c r="AF33" s="3" t="n">
        <v>70.85077847410926</v>
      </c>
      <c r="AG33" s="3" t="n">
        <v>64.69015994211989</v>
      </c>
      <c r="AH33" s="3" t="n">
        <v>63.75117873201734</v>
      </c>
      <c r="AI33" s="3" t="n">
        <v>54.12973398767573</v>
      </c>
      <c r="AJ33" s="3" t="n">
        <v>59.30249784463951</v>
      </c>
      <c r="AK33" s="3" t="n">
        <v>61.56819161994493</v>
      </c>
      <c r="AL33" s="3" t="n">
        <v>61.51919592959797</v>
      </c>
      <c r="AM33" s="3" t="n">
        <v>60.08239899198661</v>
      </c>
      <c r="AN33" s="3" t="n">
        <v>59.63732748265953</v>
      </c>
      <c r="AO33" s="3" t="n">
        <v>63.70643870348211</v>
      </c>
      <c r="AP33" s="3" t="n">
        <v>65.15739921748222</v>
      </c>
      <c r="AQ33" s="3" t="n">
        <v>65.30962969090245</v>
      </c>
      <c r="AR33" s="3" t="n">
        <v>64.14230075938252</v>
      </c>
      <c r="AS33" s="3" t="n">
        <v>64.68011944304779</v>
      </c>
      <c r="AT33" s="3" t="n">
        <v>64.59270033523495</v>
      </c>
      <c r="AU33" s="3" t="n">
        <v>64.10770837307403</v>
      </c>
      <c r="AV33" s="3" t="n">
        <v>61.89843503034308</v>
      </c>
      <c r="AW33" s="3" t="n">
        <v>61.84465041752121</v>
      </c>
      <c r="AX33" s="3" t="n">
        <v>60.20657718780328</v>
      </c>
      <c r="AY33" s="3" t="n">
        <v>60.5042518106462</v>
      </c>
      <c r="AZ33" s="3" t="n">
        <v>60.43767644404117</v>
      </c>
      <c r="BA33" s="3" t="n">
        <v>59.87494756360754</v>
      </c>
      <c r="BB33" s="3" t="n">
        <v>59.7307926656317</v>
      </c>
      <c r="BC33" s="3" t="n">
        <v>61.95645990061147</v>
      </c>
      <c r="BD33" s="3" t="n">
        <v>60.22282916440097</v>
      </c>
      <c r="BE33" s="3" t="n">
        <v>60.27385176156926</v>
      </c>
      <c r="BF33" s="3" t="n">
        <v>61.41186682825312</v>
      </c>
      <c r="BG33" s="3" t="n">
        <v>61.71525007882222</v>
      </c>
      <c r="BH33" s="3" t="n">
        <v>62.95957070943473</v>
      </c>
      <c r="BI33" s="3" t="n">
        <v>63.96479727348553</v>
      </c>
      <c r="BJ33" s="3" t="n">
        <v>64.25147959877039</v>
      </c>
      <c r="BK33" s="3" t="n">
        <v>64.49430633975143</v>
      </c>
      <c r="BL33" s="3" t="n">
        <v>64.61607496907901</v>
      </c>
      <c r="BM33" s="3" t="n">
        <v>65.14404739474777</v>
      </c>
      <c r="BN33" s="3" t="n">
        <v>63.14400090964081</v>
      </c>
      <c r="BO33" s="3" t="n">
        <v>61.36799663609384</v>
      </c>
      <c r="BP33" s="3" t="n">
        <v>63.06410280517562</v>
      </c>
      <c r="BQ33" s="3" t="n">
        <v>63.3285869038863</v>
      </c>
      <c r="BR33" s="34" t="str">
        <f>B33&amp;"|"&amp;D33</f>
        <v>BRA|NE.CON.PRVT.ZS</v>
      </c>
    </row>
    <row r="34">
      <c r="A34" s="3" t="inlineStr">
        <is>
          <t>Barbados</t>
        </is>
      </c>
      <c r="B34" s="3" t="inlineStr">
        <is>
          <t>BRB</t>
        </is>
      </c>
      <c r="C34" s="3" t="inlineStr">
        <is>
          <t>Households and NPISHs final consumption expenditure (% of GDP)</t>
        </is>
      </c>
      <c r="D34" s="3" t="inlineStr">
        <is>
          <t>NE.CON.PRVT.ZS</t>
        </is>
      </c>
      <c r="E34" s="3" t="n">
        <v>2022</v>
      </c>
      <c r="F34" s="3" t="n"/>
      <c r="G34" s="3" t="n"/>
      <c r="H34" s="3" t="n"/>
      <c r="I34" s="3" t="n"/>
      <c r="J34" s="3" t="n"/>
      <c r="K34" s="3" t="n"/>
      <c r="L34" s="3" t="n"/>
      <c r="M34" s="3" t="n"/>
      <c r="N34" s="3" t="n"/>
      <c r="O34" s="3" t="n"/>
      <c r="P34" s="3" t="n"/>
      <c r="Q34" s="3" t="n"/>
      <c r="R34" s="3" t="n"/>
      <c r="S34" s="3" t="n"/>
      <c r="T34" s="3" t="n"/>
      <c r="U34" s="3" t="n">
        <v>74.21314286206629</v>
      </c>
      <c r="V34" s="3" t="n">
        <v>73.96846403863172</v>
      </c>
      <c r="W34" s="3" t="n">
        <v>70.1818306255674</v>
      </c>
      <c r="X34" s="3" t="n">
        <v>70.33996843567758</v>
      </c>
      <c r="Y34" s="3" t="n">
        <v>71.59385893347178</v>
      </c>
      <c r="Z34" s="3" t="n">
        <v>53.10412573673871</v>
      </c>
      <c r="AA34" s="3" t="n">
        <v>55.12271307452031</v>
      </c>
      <c r="AB34" s="3" t="n">
        <v>53.95130286202478</v>
      </c>
      <c r="AC34" s="3" t="n">
        <v>53.14159292035399</v>
      </c>
      <c r="AD34" s="3" t="n">
        <v>52.8608342561831</v>
      </c>
      <c r="AE34" s="3" t="n">
        <v>49.27689594356261</v>
      </c>
      <c r="AF34" s="3" t="n">
        <v>56.15804690009637</v>
      </c>
      <c r="AG34" s="3" t="n">
        <v>56.80863477246207</v>
      </c>
      <c r="AH34" s="3" t="n">
        <v>52.47942951179375</v>
      </c>
      <c r="AI34" s="3" t="n">
        <v>51.99752168525402</v>
      </c>
      <c r="AJ34" s="3" t="n">
        <v>69.62935507783543</v>
      </c>
      <c r="AK34" s="3" t="n">
        <v>71.97096456692913</v>
      </c>
      <c r="AL34" s="3" t="n">
        <v>73.21921308124681</v>
      </c>
      <c r="AM34" s="3" t="n">
        <v>72.24337349397591</v>
      </c>
      <c r="AN34" s="3" t="n">
        <v>70.41599260457592</v>
      </c>
      <c r="AO34" s="3" t="n">
        <v>75.78605068400987</v>
      </c>
      <c r="AP34" s="3" t="n">
        <v>73.85359697097181</v>
      </c>
      <c r="AQ34" s="3" t="n">
        <v>75.59402985074627</v>
      </c>
      <c r="AR34" s="3" t="n">
        <v>72.70384751147193</v>
      </c>
      <c r="AS34" s="3" t="n">
        <v>74.28330806804783</v>
      </c>
      <c r="AT34" s="3" t="n">
        <v>74.42229122405621</v>
      </c>
      <c r="AU34" s="3" t="n">
        <v>76.23669995089213</v>
      </c>
      <c r="AV34" s="3" t="n">
        <v>74.02704007725737</v>
      </c>
      <c r="AW34" s="3" t="n">
        <v>66.91073375915252</v>
      </c>
      <c r="AX34" s="3" t="n">
        <v>71.72739149368559</v>
      </c>
      <c r="AY34" s="3" t="n">
        <v>73.53056682811886</v>
      </c>
      <c r="AZ34" s="3" t="n">
        <v>70.8151027734795</v>
      </c>
      <c r="BA34" s="3" t="n">
        <v>69.28344251985388</v>
      </c>
      <c r="BB34" s="3" t="n">
        <v>71.77946695339506</v>
      </c>
      <c r="BC34" s="3" t="n">
        <v>71.54206438528296</v>
      </c>
      <c r="BD34" s="3" t="n">
        <v>74.80755457922341</v>
      </c>
      <c r="BE34" s="3" t="n">
        <v>74.86769904448268</v>
      </c>
      <c r="BF34" s="3" t="n">
        <v>76.56107347595801</v>
      </c>
      <c r="BG34" s="3" t="n">
        <v>76.31866727878179</v>
      </c>
      <c r="BH34" s="3" t="n">
        <v>77.55787329432428</v>
      </c>
      <c r="BI34" s="3" t="n">
        <v>77.22605705174983</v>
      </c>
      <c r="BJ34" s="3" t="n">
        <v>78.53336540977435</v>
      </c>
      <c r="BK34" s="3" t="n">
        <v>77.29834156384642</v>
      </c>
      <c r="BL34" s="3" t="n">
        <v>75.62727446662521</v>
      </c>
      <c r="BM34" s="3" t="n">
        <v>73.89554873203635</v>
      </c>
      <c r="BN34" s="3" t="n">
        <v>82.06045661467843</v>
      </c>
      <c r="BO34" s="3" t="n">
        <v>79.58847190733135</v>
      </c>
      <c r="BP34" s="3" t="n">
        <v>75.55656122340818</v>
      </c>
      <c r="BQ34" s="3" t="n"/>
      <c r="BR34" s="34" t="str">
        <f>B34&amp;"|"&amp;D34</f>
        <v>BRB|NE.CON.PRVT.ZS</v>
      </c>
    </row>
    <row r="35">
      <c r="A35" s="3" t="inlineStr">
        <is>
          <t>Brunei Darussalam</t>
        </is>
      </c>
      <c r="B35" s="3" t="inlineStr">
        <is>
          <t>BRN</t>
        </is>
      </c>
      <c r="C35" s="3" t="inlineStr">
        <is>
          <t>Households and NPISHs final consumption expenditure (% of GDP)</t>
        </is>
      </c>
      <c r="D35" s="3" t="inlineStr">
        <is>
          <t>NE.CON.PRVT.ZS</t>
        </is>
      </c>
      <c r="E35" s="3" t="n">
        <v>2023</v>
      </c>
      <c r="F35" s="3" t="n"/>
      <c r="G35" s="3" t="n"/>
      <c r="H35" s="3" t="n"/>
      <c r="I35" s="3" t="n"/>
      <c r="J35" s="3" t="n"/>
      <c r="K35" s="3" t="n"/>
      <c r="L35" s="3" t="n"/>
      <c r="M35" s="3" t="n"/>
      <c r="N35" s="3" t="n"/>
      <c r="O35" s="3" t="n"/>
      <c r="P35" s="3" t="n"/>
      <c r="Q35" s="3" t="n"/>
      <c r="R35" s="3" t="n"/>
      <c r="S35" s="3" t="n"/>
      <c r="T35" s="3" t="n">
        <v>7.262441709349438</v>
      </c>
      <c r="U35" s="3" t="n">
        <v>11.00924054288189</v>
      </c>
      <c r="V35" s="3" t="n">
        <v>10.21017604732516</v>
      </c>
      <c r="W35" s="3" t="n">
        <v>9.912936500425854</v>
      </c>
      <c r="X35" s="3" t="n">
        <v>10.8941837289364</v>
      </c>
      <c r="Y35" s="3" t="n">
        <v>10.61160223712913</v>
      </c>
      <c r="Z35" s="3" t="n">
        <v>6.973923590054579</v>
      </c>
      <c r="AA35" s="3" t="n">
        <v>9.333839232478724</v>
      </c>
      <c r="AB35" s="3" t="n">
        <v>10.01588954029916</v>
      </c>
      <c r="AC35" s="3" t="n">
        <v>11.34922881867084</v>
      </c>
      <c r="AD35" s="3" t="n"/>
      <c r="AE35" s="3" t="n"/>
      <c r="AF35" s="3" t="n"/>
      <c r="AG35" s="3" t="n"/>
      <c r="AH35" s="3" t="n"/>
      <c r="AI35" s="3" t="n">
        <v>26.63777581476128</v>
      </c>
      <c r="AJ35" s="3" t="n">
        <v>26.48487697853001</v>
      </c>
      <c r="AK35" s="3" t="n">
        <v>26.81782642689601</v>
      </c>
      <c r="AL35" s="3" t="n">
        <v>30.91709464416727</v>
      </c>
      <c r="AM35" s="3" t="n">
        <v>38.54386493819717</v>
      </c>
      <c r="AN35" s="3" t="n">
        <v>38.82748678519942</v>
      </c>
      <c r="AO35" s="3" t="n">
        <v>36.6467958271237</v>
      </c>
      <c r="AP35" s="3" t="n">
        <v>38.66629696381533</v>
      </c>
      <c r="AQ35" s="3" t="n">
        <v>39.28987948684722</v>
      </c>
      <c r="AR35" s="3" t="n">
        <v>40.26548672566372</v>
      </c>
      <c r="AS35" s="3" t="n">
        <v>34.50044889059895</v>
      </c>
      <c r="AT35" s="3" t="n">
        <v>24.83055292069101</v>
      </c>
      <c r="AU35" s="3" t="n">
        <v>26.3460420504303</v>
      </c>
      <c r="AV35" s="3" t="n">
        <v>25.60107649526141</v>
      </c>
      <c r="AW35" s="3" t="n">
        <v>27.31933445374579</v>
      </c>
      <c r="AX35" s="3" t="n">
        <v>26.5626548194979</v>
      </c>
      <c r="AY35" s="3" t="n">
        <v>22.4610626169258</v>
      </c>
      <c r="AZ35" s="3" t="n">
        <v>19.80928134841817</v>
      </c>
      <c r="BA35" s="3" t="n">
        <v>20.16415201668608</v>
      </c>
      <c r="BB35" s="3" t="n">
        <v>17.68809534314807</v>
      </c>
      <c r="BC35" s="3" t="n">
        <v>24.36055933842793</v>
      </c>
      <c r="BD35" s="3" t="n">
        <v>14.71375066880685</v>
      </c>
      <c r="BE35" s="3" t="n">
        <v>12.77517916148135</v>
      </c>
      <c r="BF35" s="3" t="n">
        <v>13.76337222315038</v>
      </c>
      <c r="BG35" s="3" t="n">
        <v>15.26127479128937</v>
      </c>
      <c r="BH35" s="3" t="n">
        <v>15.60220831256116</v>
      </c>
      <c r="BI35" s="3" t="n">
        <v>19.78560411744853</v>
      </c>
      <c r="BJ35" s="3" t="n">
        <v>21.15000063500127</v>
      </c>
      <c r="BK35" s="3" t="n">
        <v>20.47556500295563</v>
      </c>
      <c r="BL35" s="3" t="n">
        <v>19.54186178670761</v>
      </c>
      <c r="BM35" s="3" t="n">
        <v>20.4513741473817</v>
      </c>
      <c r="BN35" s="3" t="n">
        <v>23.75933157236402</v>
      </c>
      <c r="BO35" s="3" t="n">
        <v>24.8518568259291</v>
      </c>
      <c r="BP35" s="3" t="n">
        <v>23.25526726287836</v>
      </c>
      <c r="BQ35" s="3" t="n">
        <v>27.56362122007612</v>
      </c>
      <c r="BR35" s="34" t="str">
        <f>B35&amp;"|"&amp;D35</f>
        <v>BRN|NE.CON.PRVT.ZS</v>
      </c>
    </row>
    <row r="36">
      <c r="A36" s="3" t="inlineStr">
        <is>
          <t>Bhutan</t>
        </is>
      </c>
      <c r="B36" s="3" t="inlineStr">
        <is>
          <t>BTN</t>
        </is>
      </c>
      <c r="C36" s="3" t="inlineStr">
        <is>
          <t>Households and NPISHs final consumption expenditure (% of GDP)</t>
        </is>
      </c>
      <c r="D36" s="3" t="inlineStr">
        <is>
          <t>NE.CON.PRVT.ZS</t>
        </is>
      </c>
      <c r="E36" s="3" t="n">
        <v>2022</v>
      </c>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c r="AC36" s="3" t="n"/>
      <c r="AD36" s="3" t="n"/>
      <c r="AE36" s="3" t="n"/>
      <c r="AF36" s="3" t="n"/>
      <c r="AG36" s="3" t="n"/>
      <c r="AH36" s="3" t="n"/>
      <c r="AI36" s="3" t="n"/>
      <c r="AJ36" s="3" t="n">
        <v>64.70545848348065</v>
      </c>
      <c r="AK36" s="3" t="n">
        <v>66.4907334505827</v>
      </c>
      <c r="AL36" s="3" t="n">
        <v>74.36960046496264</v>
      </c>
      <c r="AM36" s="3" t="n">
        <v>58.9374653753421</v>
      </c>
      <c r="AN36" s="3" t="n">
        <v>50.45072618603599</v>
      </c>
      <c r="AO36" s="3" t="n">
        <v>45.86619412876541</v>
      </c>
      <c r="AP36" s="3" t="n">
        <v>55.73489754230796</v>
      </c>
      <c r="AQ36" s="3" t="n">
        <v>64.51093300177305</v>
      </c>
      <c r="AR36" s="3" t="n">
        <v>69.06291064947584</v>
      </c>
      <c r="AS36" s="3" t="n">
        <v>69.76884230768663</v>
      </c>
      <c r="AT36" s="3" t="n">
        <v>40.04134182820228</v>
      </c>
      <c r="AU36" s="3" t="n">
        <v>35.54942323495693</v>
      </c>
      <c r="AV36" s="3" t="n">
        <v>33.18137560354695</v>
      </c>
      <c r="AW36" s="3" t="n">
        <v>34.96953286035141</v>
      </c>
      <c r="AX36" s="3" t="n">
        <v>39.18568250589685</v>
      </c>
      <c r="AY36" s="3" t="n">
        <v>39.85428585747711</v>
      </c>
      <c r="AZ36" s="3" t="n">
        <v>33.56112685815216</v>
      </c>
      <c r="BA36" s="3" t="n">
        <v>38.45993619875984</v>
      </c>
      <c r="BB36" s="3" t="n">
        <v>43.88433826778586</v>
      </c>
      <c r="BC36" s="3" t="n">
        <v>43.20802174264275</v>
      </c>
      <c r="BD36" s="3" t="n">
        <v>40.85832556672301</v>
      </c>
      <c r="BE36" s="3" t="n">
        <v>36.32667292082927</v>
      </c>
      <c r="BF36" s="3" t="n">
        <v>31.56853616656312</v>
      </c>
      <c r="BG36" s="3" t="n">
        <v>36.81476357080632</v>
      </c>
      <c r="BH36" s="3" t="n">
        <v>44.06652113949405</v>
      </c>
      <c r="BI36" s="3" t="n">
        <v>50.25376734710542</v>
      </c>
      <c r="BJ36" s="3" t="n">
        <v>46.85071190663619</v>
      </c>
      <c r="BK36" s="3" t="n">
        <v>47.54270701954241</v>
      </c>
      <c r="BL36" s="3" t="n">
        <v>48.84983719171792</v>
      </c>
      <c r="BM36" s="3" t="n">
        <v>48.00540671746253</v>
      </c>
      <c r="BN36" s="3" t="n">
        <v>54.31315943141538</v>
      </c>
      <c r="BO36" s="3" t="n">
        <v>52.12415015313537</v>
      </c>
      <c r="BP36" s="3" t="n">
        <v>57.55071000023229</v>
      </c>
      <c r="BQ36" s="3" t="n"/>
      <c r="BR36" s="34" t="str">
        <f>B36&amp;"|"&amp;D36</f>
        <v>BTN|NE.CON.PRVT.ZS</v>
      </c>
    </row>
    <row r="37">
      <c r="A37" s="3" t="inlineStr">
        <is>
          <t>Botswana</t>
        </is>
      </c>
      <c r="B37" s="3" t="inlineStr">
        <is>
          <t>BWA</t>
        </is>
      </c>
      <c r="C37" s="3" t="inlineStr">
        <is>
          <t>Households and NPISHs final consumption expenditure (% of GDP)</t>
        </is>
      </c>
      <c r="D37" s="3" t="inlineStr">
        <is>
          <t>NE.CON.PRVT.ZS</t>
        </is>
      </c>
      <c r="E37" s="3" t="n">
        <v>2023</v>
      </c>
      <c r="F37" s="3" t="n">
        <v>91.89834555688215</v>
      </c>
      <c r="G37" s="3" t="n">
        <v>90.53127112986013</v>
      </c>
      <c r="H37" s="3" t="n">
        <v>88.7005738604406</v>
      </c>
      <c r="I37" s="3" t="n">
        <v>87.4031989312428</v>
      </c>
      <c r="J37" s="3" t="n">
        <v>84.01189961708158</v>
      </c>
      <c r="K37" s="3" t="n">
        <v>80.03048780487806</v>
      </c>
      <c r="L37" s="3" t="n">
        <v>73.57723577235772</v>
      </c>
      <c r="M37" s="3" t="n">
        <v>74.9105221227363</v>
      </c>
      <c r="N37" s="3" t="n">
        <v>85.47368421052632</v>
      </c>
      <c r="O37" s="3" t="n">
        <v>70.83708370837084</v>
      </c>
      <c r="P37" s="3" t="n">
        <v>72.15373459028281</v>
      </c>
      <c r="Q37" s="3" t="n">
        <v>61.61894273127754</v>
      </c>
      <c r="R37" s="3" t="n">
        <v>58.89063729346971</v>
      </c>
      <c r="S37" s="3" t="n">
        <v>57.71614045441134</v>
      </c>
      <c r="T37" s="3" t="n">
        <v>58.76412599182495</v>
      </c>
      <c r="U37" s="3" t="n">
        <v>59.31848467542358</v>
      </c>
      <c r="V37" s="3" t="n">
        <v>60.77279752704791</v>
      </c>
      <c r="W37" s="3" t="n">
        <v>61.78829717291256</v>
      </c>
      <c r="X37" s="3" t="n">
        <v>58.97331015441252</v>
      </c>
      <c r="Y37" s="3" t="n">
        <v>54.49715653995809</v>
      </c>
      <c r="Z37" s="3" t="n">
        <v>51.99199563398217</v>
      </c>
      <c r="AA37" s="3" t="n">
        <v>53.61157484696717</v>
      </c>
      <c r="AB37" s="3" t="n">
        <v>51.0023443854361</v>
      </c>
      <c r="AC37" s="3" t="n">
        <v>45.24633510907182</v>
      </c>
      <c r="AD37" s="3" t="n">
        <v>42.69575742528165</v>
      </c>
      <c r="AE37" s="3" t="n">
        <v>38.9636719394611</v>
      </c>
      <c r="AF37" s="3" t="n">
        <v>35.34525583705911</v>
      </c>
      <c r="AG37" s="3" t="n">
        <v>30.91529019548416</v>
      </c>
      <c r="AH37" s="3" t="n">
        <v>25.93366144174697</v>
      </c>
      <c r="AI37" s="3" t="n">
        <v>28.1393084468621</v>
      </c>
      <c r="AJ37" s="3" t="n">
        <v>33.23289399987238</v>
      </c>
      <c r="AK37" s="3" t="n">
        <v>36.06059655615845</v>
      </c>
      <c r="AL37" s="3" t="n">
        <v>36.61507333188537</v>
      </c>
      <c r="AM37" s="3" t="n">
        <v>35.34218458667669</v>
      </c>
      <c r="AN37" s="3" t="n">
        <v>38.23658020394242</v>
      </c>
      <c r="AO37" s="3" t="n">
        <v>39.43130347257171</v>
      </c>
      <c r="AP37" s="3" t="n">
        <v>35.3616839074397</v>
      </c>
      <c r="AQ37" s="3" t="n">
        <v>35.45215465031264</v>
      </c>
      <c r="AR37" s="3" t="n">
        <v>36.91315945465323</v>
      </c>
      <c r="AS37" s="3" t="n">
        <v>32.70718493458563</v>
      </c>
      <c r="AT37" s="3" t="n">
        <v>33.32204572160008</v>
      </c>
      <c r="AU37" s="3" t="n">
        <v>34.45466991414555</v>
      </c>
      <c r="AV37" s="3" t="n">
        <v>37.37534867503487</v>
      </c>
      <c r="AW37" s="3" t="n">
        <v>38.57666126221649</v>
      </c>
      <c r="AX37" s="3" t="n">
        <v>39.78627602304533</v>
      </c>
      <c r="AY37" s="3" t="n">
        <v>38.10674035140871</v>
      </c>
      <c r="AZ37" s="3" t="n">
        <v>33.31845872677614</v>
      </c>
      <c r="BA37" s="3" t="n">
        <v>34.63724082769134</v>
      </c>
      <c r="BB37" s="3" t="n">
        <v>38.52820798038582</v>
      </c>
      <c r="BC37" s="3" t="n">
        <v>44.18093880995701</v>
      </c>
      <c r="BD37" s="3" t="n">
        <v>42.77406588658528</v>
      </c>
      <c r="BE37" s="3" t="n">
        <v>40.52144522323503</v>
      </c>
      <c r="BF37" s="3" t="n">
        <v>45.99336121769364</v>
      </c>
      <c r="BG37" s="3" t="n">
        <v>46.56845112936455</v>
      </c>
      <c r="BH37" s="3" t="n">
        <v>42.30999438067468</v>
      </c>
      <c r="BI37" s="3" t="n">
        <v>45.99775719507345</v>
      </c>
      <c r="BJ37" s="3" t="n">
        <v>40.6985608181809</v>
      </c>
      <c r="BK37" s="3" t="n">
        <v>42.04201475536007</v>
      </c>
      <c r="BL37" s="3" t="n">
        <v>43.46718252124369</v>
      </c>
      <c r="BM37" s="3" t="n">
        <v>44.25293641077826</v>
      </c>
      <c r="BN37" s="3" t="n">
        <v>48.54345051502933</v>
      </c>
      <c r="BO37" s="3" t="n">
        <v>43.30325916415364</v>
      </c>
      <c r="BP37" s="3" t="n">
        <v>40.57842995434131</v>
      </c>
      <c r="BQ37" s="3" t="n">
        <v>42.94494502748326</v>
      </c>
      <c r="BR37" s="34" t="str">
        <f>B37&amp;"|"&amp;D37</f>
        <v>BWA|NE.CON.PRVT.ZS</v>
      </c>
    </row>
    <row r="38">
      <c r="A38" s="3" t="inlineStr">
        <is>
          <t>Central African Republic</t>
        </is>
      </c>
      <c r="B38" s="3" t="inlineStr">
        <is>
          <t>CAF</t>
        </is>
      </c>
      <c r="C38" s="3" t="inlineStr">
        <is>
          <t>Households and NPISHs final consumption expenditure (% of GDP)</t>
        </is>
      </c>
      <c r="D38" s="3" t="inlineStr">
        <is>
          <t>NE.CON.PRVT.ZS</t>
        </is>
      </c>
      <c r="E38" s="3" t="n">
        <v>2023</v>
      </c>
      <c r="F38" s="3" t="n">
        <v>72.00000808727177</v>
      </c>
      <c r="G38" s="3" t="n">
        <v>68.87419819744704</v>
      </c>
      <c r="H38" s="3" t="n">
        <v>69.50819822520809</v>
      </c>
      <c r="I38" s="3" t="n">
        <v>71.92431111862938</v>
      </c>
      <c r="J38" s="3" t="n">
        <v>67.81610845223697</v>
      </c>
      <c r="K38" s="3" t="n">
        <v>66.93767479674797</v>
      </c>
      <c r="L38" s="3" t="n">
        <v>71.64948969072165</v>
      </c>
      <c r="M38" s="3" t="n">
        <v>76.67491315136476</v>
      </c>
      <c r="N38" s="3" t="n">
        <v>69.08921477747543</v>
      </c>
      <c r="O38" s="3" t="n">
        <v>73.85015492469628</v>
      </c>
      <c r="P38" s="3" t="n">
        <v>71.55203231281617</v>
      </c>
      <c r="Q38" s="3" t="n">
        <v>69.94673456764268</v>
      </c>
      <c r="R38" s="3" t="n">
        <v>71.49444192898856</v>
      </c>
      <c r="S38" s="3" t="n">
        <v>67.50074940718957</v>
      </c>
      <c r="T38" s="3" t="n">
        <v>80.16655775530811</v>
      </c>
      <c r="U38" s="3" t="n">
        <v>87.85990395851863</v>
      </c>
      <c r="V38" s="3" t="n">
        <v>81.63027560704688</v>
      </c>
      <c r="W38" s="3" t="n">
        <v>85.21027836143499</v>
      </c>
      <c r="X38" s="3" t="n">
        <v>85.49822327259616</v>
      </c>
      <c r="Y38" s="3" t="n">
        <v>87.27570455557422</v>
      </c>
      <c r="Z38" s="3" t="n">
        <v>93.70959304583374</v>
      </c>
      <c r="AA38" s="3" t="n">
        <v>85.94748046554534</v>
      </c>
      <c r="AB38" s="3" t="n">
        <v>89.47661308035384</v>
      </c>
      <c r="AC38" s="3" t="n">
        <v>83.74220059716633</v>
      </c>
      <c r="AD38" s="3" t="n">
        <v>85.55583454451863</v>
      </c>
      <c r="AE38" s="3" t="n">
        <v>79.11490303568442</v>
      </c>
      <c r="AF38" s="3" t="n">
        <v>82.06933283931177</v>
      </c>
      <c r="AG38" s="3" t="n">
        <v>80.61184345407295</v>
      </c>
      <c r="AH38" s="3" t="n">
        <v>80.66771422807818</v>
      </c>
      <c r="AI38" s="3" t="n">
        <v>78.60245812099565</v>
      </c>
      <c r="AJ38" s="3" t="n">
        <v>80.72019477125849</v>
      </c>
      <c r="AK38" s="3" t="n">
        <v>79.25788860093627</v>
      </c>
      <c r="AL38" s="3" t="n">
        <v>79.96858635941592</v>
      </c>
      <c r="AM38" s="3" t="n">
        <v>79.68478582060905</v>
      </c>
      <c r="AN38" s="3" t="n">
        <v>73.42945896533044</v>
      </c>
      <c r="AO38" s="3" t="n">
        <v>77.00167940439519</v>
      </c>
      <c r="AP38" s="3" t="n">
        <v>83.96200483766472</v>
      </c>
      <c r="AQ38" s="3" t="n">
        <v>80.11568867833176</v>
      </c>
      <c r="AR38" s="3" t="n">
        <v>83.26268699085131</v>
      </c>
      <c r="AS38" s="3" t="n">
        <v>74.81982802047111</v>
      </c>
      <c r="AT38" s="3" t="n">
        <v>77.55841917663368</v>
      </c>
      <c r="AU38" s="3" t="n">
        <v>81.16508481598386</v>
      </c>
      <c r="AV38" s="3" t="n">
        <v>80.72889064210491</v>
      </c>
      <c r="AW38" s="3" t="n">
        <v>82.99659750647719</v>
      </c>
      <c r="AX38" s="3" t="n">
        <v>88.00337358500953</v>
      </c>
      <c r="AY38" s="3" t="n">
        <v>89.54968415800039</v>
      </c>
      <c r="AZ38" s="3" t="n">
        <v>90.67163973901191</v>
      </c>
      <c r="BA38" s="3" t="n">
        <v>92.29612813380744</v>
      </c>
      <c r="BB38" s="3" t="n">
        <v>92.64941623737431</v>
      </c>
      <c r="BC38" s="3" t="n">
        <v>86.84715039762372</v>
      </c>
      <c r="BD38" s="3" t="n">
        <v>82.29020263323216</v>
      </c>
      <c r="BE38" s="3" t="n">
        <v>83.46212363869314</v>
      </c>
      <c r="BF38" s="3" t="n">
        <v>88.20532147904001</v>
      </c>
      <c r="BG38" s="3" t="n">
        <v>83.57884884009034</v>
      </c>
      <c r="BH38" s="3" t="n">
        <v>82.22179230379508</v>
      </c>
      <c r="BI38" s="3" t="n">
        <v>82.42754779611248</v>
      </c>
      <c r="BJ38" s="3" t="n">
        <v>84.01540060433688</v>
      </c>
      <c r="BK38" s="3" t="n">
        <v>82.9557126758878</v>
      </c>
      <c r="BL38" s="3" t="n">
        <v>93.70012999793293</v>
      </c>
      <c r="BM38" s="3" t="n">
        <v>96.08881999920207</v>
      </c>
      <c r="BN38" s="3" t="n">
        <v>91.20026000251129</v>
      </c>
      <c r="BO38" s="3" t="n">
        <v>92.8403899983936</v>
      </c>
      <c r="BP38" s="3" t="n">
        <v>97.36499999755178</v>
      </c>
      <c r="BQ38" s="3" t="n">
        <v>97.36499999720628</v>
      </c>
      <c r="BR38" s="34" t="str">
        <f>B38&amp;"|"&amp;D38</f>
        <v>CAF|NE.CON.PRVT.ZS</v>
      </c>
    </row>
    <row r="39">
      <c r="A39" s="3" t="inlineStr">
        <is>
          <t>Canada</t>
        </is>
      </c>
      <c r="B39" s="3" t="inlineStr">
        <is>
          <t>CAN</t>
        </is>
      </c>
      <c r="C39" s="3" t="inlineStr">
        <is>
          <t>Households and NPISHs final consumption expenditure (% of GDP)</t>
        </is>
      </c>
      <c r="D39" s="3" t="inlineStr">
        <is>
          <t>NE.CON.PRVT.ZS</t>
        </is>
      </c>
      <c r="E39" s="3" t="n">
        <v>2023</v>
      </c>
      <c r="F39" s="3" t="n"/>
      <c r="G39" s="3" t="n">
        <v>63.2576181643539</v>
      </c>
      <c r="H39" s="3" t="n">
        <v>61.99894549983321</v>
      </c>
      <c r="I39" s="3" t="n">
        <v>61.42237103745685</v>
      </c>
      <c r="J39" s="3" t="n">
        <v>60.11605986926938</v>
      </c>
      <c r="K39" s="3" t="n">
        <v>59.04995554837065</v>
      </c>
      <c r="L39" s="3" t="n">
        <v>57.58902444150839</v>
      </c>
      <c r="M39" s="3" t="n">
        <v>57.86285419180133</v>
      </c>
      <c r="N39" s="3" t="n">
        <v>57.83399444628765</v>
      </c>
      <c r="O39" s="3" t="n">
        <v>57.31840845956463</v>
      </c>
      <c r="P39" s="3" t="n">
        <v>56.21359211711856</v>
      </c>
      <c r="Q39" s="3" t="n">
        <v>56.07630059426383</v>
      </c>
      <c r="R39" s="3" t="n">
        <v>56.20032090353855</v>
      </c>
      <c r="S39" s="3" t="n">
        <v>54.74833643856707</v>
      </c>
      <c r="T39" s="3" t="n">
        <v>53.42157738486812</v>
      </c>
      <c r="U39" s="3" t="n">
        <v>54.78081510608595</v>
      </c>
      <c r="V39" s="3" t="n">
        <v>54.07745889669321</v>
      </c>
      <c r="W39" s="3" t="n">
        <v>54.52689693105188</v>
      </c>
      <c r="X39" s="3" t="n">
        <v>54.95957383423795</v>
      </c>
      <c r="Y39" s="3" t="n">
        <v>53.74875430995568</v>
      </c>
      <c r="Z39" s="3" t="n">
        <v>53.6118107044961</v>
      </c>
      <c r="AA39" s="3" t="n">
        <v>52.73619685197553</v>
      </c>
      <c r="AB39" s="3" t="n">
        <v>53.63116690409886</v>
      </c>
      <c r="AC39" s="3" t="n">
        <v>54.22058502406745</v>
      </c>
      <c r="AD39" s="3" t="n">
        <v>53.73994017134719</v>
      </c>
      <c r="AE39" s="3" t="n">
        <v>54.12027750501473</v>
      </c>
      <c r="AF39" s="3" t="n">
        <v>55.47500142414978</v>
      </c>
      <c r="AG39" s="3" t="n">
        <v>54.99498551370626</v>
      </c>
      <c r="AH39" s="3" t="n">
        <v>54.46837902420505</v>
      </c>
      <c r="AI39" s="3" t="n">
        <v>54.8581775189516</v>
      </c>
      <c r="AJ39" s="3" t="n">
        <v>55.84161633124899</v>
      </c>
      <c r="AK39" s="3" t="n">
        <v>57.2806306312725</v>
      </c>
      <c r="AL39" s="3" t="n">
        <v>57.70242582498651</v>
      </c>
      <c r="AM39" s="3" t="n">
        <v>57.65015655181737</v>
      </c>
      <c r="AN39" s="3" t="n">
        <v>56.58672276292597</v>
      </c>
      <c r="AO39" s="3" t="n">
        <v>55.82651231751002</v>
      </c>
      <c r="AP39" s="3" t="n">
        <v>56.42426328803002</v>
      </c>
      <c r="AQ39" s="3" t="n">
        <v>56.87648514987953</v>
      </c>
      <c r="AR39" s="3" t="n">
        <v>57.08333200430816</v>
      </c>
      <c r="AS39" s="3" t="n">
        <v>56.24788549057115</v>
      </c>
      <c r="AT39" s="3" t="n">
        <v>54.53459703470779</v>
      </c>
      <c r="AU39" s="3" t="n">
        <v>55.09416487918675</v>
      </c>
      <c r="AV39" s="3" t="n">
        <v>56.01158427628013</v>
      </c>
      <c r="AW39" s="3" t="n">
        <v>55.67558908524622</v>
      </c>
      <c r="AX39" s="3" t="n">
        <v>54.71834001635069</v>
      </c>
      <c r="AY39" s="3" t="n">
        <v>54.3060398586636</v>
      </c>
      <c r="AZ39" s="3" t="n">
        <v>54.4190263896072</v>
      </c>
      <c r="BA39" s="3" t="n">
        <v>54.72814167818161</v>
      </c>
      <c r="BB39" s="3" t="n">
        <v>54.46132863419108</v>
      </c>
      <c r="BC39" s="3" t="n">
        <v>57.5729284798776</v>
      </c>
      <c r="BD39" s="3" t="n">
        <v>56.99836619156974</v>
      </c>
      <c r="BE39" s="3" t="n">
        <v>55.90274978960724</v>
      </c>
      <c r="BF39" s="3" t="n">
        <v>56.0203151808363</v>
      </c>
      <c r="BG39" s="3" t="n">
        <v>55.96086527052978</v>
      </c>
      <c r="BH39" s="3" t="n">
        <v>55.79631429592605</v>
      </c>
      <c r="BI39" s="3" t="n">
        <v>57.8089690631528</v>
      </c>
      <c r="BJ39" s="3" t="n">
        <v>58.48431005567424</v>
      </c>
      <c r="BK39" s="3" t="n">
        <v>57.97623235283263</v>
      </c>
      <c r="BL39" s="3" t="n">
        <v>57.88693511391653</v>
      </c>
      <c r="BM39" s="3" t="n">
        <v>57.75455433891361</v>
      </c>
      <c r="BN39" s="3" t="n">
        <v>56.82378859783673</v>
      </c>
      <c r="BO39" s="3" t="n">
        <v>54.21781136638933</v>
      </c>
      <c r="BP39" s="3" t="n">
        <v>53.78931919187826</v>
      </c>
      <c r="BQ39" s="3" t="n">
        <v>55.22541295709124</v>
      </c>
      <c r="BR39" s="34" t="str">
        <f>B39&amp;"|"&amp;D39</f>
        <v>CAN|NE.CON.PRVT.ZS</v>
      </c>
    </row>
    <row r="40">
      <c r="A40" s="3" t="inlineStr">
        <is>
          <t>Central Europe and the Baltics</t>
        </is>
      </c>
      <c r="B40" s="3" t="inlineStr">
        <is>
          <t>CEB</t>
        </is>
      </c>
      <c r="C40" s="3" t="inlineStr">
        <is>
          <t>Households and NPISHs final consumption expenditure (% of GDP)</t>
        </is>
      </c>
      <c r="D40" s="3" t="inlineStr">
        <is>
          <t>NE.CON.PRVT.ZS</t>
        </is>
      </c>
      <c r="E40" s="3" t="n">
        <v>2023</v>
      </c>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C40" s="3" t="n"/>
      <c r="AD40" s="3" t="n"/>
      <c r="AE40" s="3" t="n"/>
      <c r="AF40" s="3" t="n"/>
      <c r="AG40" s="3" t="n"/>
      <c r="AH40" s="3" t="n"/>
      <c r="AI40" s="3" t="n"/>
      <c r="AJ40" s="3" t="n"/>
      <c r="AK40" s="3" t="n"/>
      <c r="AL40" s="3" t="n"/>
      <c r="AM40" s="3" t="n"/>
      <c r="AN40" s="3" t="n"/>
      <c r="AO40" s="3" t="n">
        <v>58.03431493354007</v>
      </c>
      <c r="AP40" s="3" t="n">
        <v>59.39218582009303</v>
      </c>
      <c r="AQ40" s="3" t="n">
        <v>59.53612099923195</v>
      </c>
      <c r="AR40" s="3" t="n">
        <v>59.53541859298601</v>
      </c>
      <c r="AS40" s="3" t="n">
        <v>59.85579081951641</v>
      </c>
      <c r="AT40" s="3" t="n">
        <v>60.18526755389549</v>
      </c>
      <c r="AU40" s="3" t="n">
        <v>60.56865528674427</v>
      </c>
      <c r="AV40" s="3" t="n">
        <v>61.02310314219714</v>
      </c>
      <c r="AW40" s="3" t="n">
        <v>60.27057778105252</v>
      </c>
      <c r="AX40" s="3" t="n">
        <v>59.97382402538184</v>
      </c>
      <c r="AY40" s="3" t="n">
        <v>59.60250939944446</v>
      </c>
      <c r="AZ40" s="3" t="n">
        <v>58.62082433192257</v>
      </c>
      <c r="BA40" s="3" t="n">
        <v>57.91934340527119</v>
      </c>
      <c r="BB40" s="3" t="n">
        <v>58.19173181307605</v>
      </c>
      <c r="BC40" s="3" t="n">
        <v>58.48944499568552</v>
      </c>
      <c r="BD40" s="3" t="n">
        <v>58.68348402253564</v>
      </c>
      <c r="BE40" s="3" t="n">
        <v>58.33496924394795</v>
      </c>
      <c r="BF40" s="3" t="n">
        <v>58.81297696938028</v>
      </c>
      <c r="BG40" s="3" t="n">
        <v>57.93532501087363</v>
      </c>
      <c r="BH40" s="3" t="n">
        <v>57.09965949516322</v>
      </c>
      <c r="BI40" s="3" t="n">
        <v>56.15867255989806</v>
      </c>
      <c r="BJ40" s="3" t="n">
        <v>56.33780272443654</v>
      </c>
      <c r="BK40" s="3" t="n">
        <v>56.62069073440718</v>
      </c>
      <c r="BL40" s="3" t="n">
        <v>56.35506457004473</v>
      </c>
      <c r="BM40" s="3" t="n">
        <v>55.64707751204045</v>
      </c>
      <c r="BN40" s="3" t="n">
        <v>54.8246993784827</v>
      </c>
      <c r="BO40" s="3" t="n">
        <v>54.58318529749832</v>
      </c>
      <c r="BP40" s="3" t="n">
        <v>56.35026410660711</v>
      </c>
      <c r="BQ40" s="3" t="n">
        <v>55.74391215267804</v>
      </c>
      <c r="BR40" s="34" t="str">
        <f>B40&amp;"|"&amp;D40</f>
        <v>CEB|NE.CON.PRVT.ZS</v>
      </c>
    </row>
    <row r="41">
      <c r="A41" s="3" t="inlineStr">
        <is>
          <t>Switzerland</t>
        </is>
      </c>
      <c r="B41" s="3" t="inlineStr">
        <is>
          <t>CHE</t>
        </is>
      </c>
      <c r="C41" s="3" t="inlineStr">
        <is>
          <t>Households and NPISHs final consumption expenditure (% of GDP)</t>
        </is>
      </c>
      <c r="D41" s="3" t="inlineStr">
        <is>
          <t>NE.CON.PRVT.ZS</t>
        </is>
      </c>
      <c r="E41" s="3" t="n">
        <v>2023</v>
      </c>
      <c r="F41" s="3" t="n"/>
      <c r="G41" s="3" t="n"/>
      <c r="H41" s="3" t="n"/>
      <c r="I41" s="3" t="n"/>
      <c r="J41" s="3" t="n"/>
      <c r="K41" s="3" t="n"/>
      <c r="L41" s="3" t="n"/>
      <c r="M41" s="3" t="n"/>
      <c r="N41" s="3" t="n"/>
      <c r="O41" s="3" t="n"/>
      <c r="P41" s="3" t="n">
        <v>54.37226492684831</v>
      </c>
      <c r="Q41" s="3" t="n">
        <v>53.62495318000927</v>
      </c>
      <c r="R41" s="3" t="n">
        <v>53.69602097881142</v>
      </c>
      <c r="S41" s="3" t="n">
        <v>53.98807939452043</v>
      </c>
      <c r="T41" s="3" t="n">
        <v>54.47300011787664</v>
      </c>
      <c r="U41" s="3" t="n">
        <v>56.76491038570126</v>
      </c>
      <c r="V41" s="3" t="n">
        <v>57.91082514404423</v>
      </c>
      <c r="W41" s="3" t="n">
        <v>58.76472861307062</v>
      </c>
      <c r="X41" s="3" t="n">
        <v>58.08981438086713</v>
      </c>
      <c r="Y41" s="3" t="n">
        <v>58.74860803034196</v>
      </c>
      <c r="Z41" s="3" t="n">
        <v>58.65518333116903</v>
      </c>
      <c r="AA41" s="3" t="n">
        <v>58.45164426361683</v>
      </c>
      <c r="AB41" s="3" t="n">
        <v>58.52067159691222</v>
      </c>
      <c r="AC41" s="3" t="n">
        <v>59.39033935654518</v>
      </c>
      <c r="AD41" s="3" t="n">
        <v>58.21620277159496</v>
      </c>
      <c r="AE41" s="3" t="n">
        <v>57.57354484893876</v>
      </c>
      <c r="AF41" s="3" t="n">
        <v>57.11011419989763</v>
      </c>
      <c r="AG41" s="3" t="n">
        <v>57.08857425805392</v>
      </c>
      <c r="AH41" s="3" t="n">
        <v>55.88833809341204</v>
      </c>
      <c r="AI41" s="3" t="n">
        <v>54.75438274642852</v>
      </c>
      <c r="AJ41" s="3" t="n">
        <v>53.99780557766071</v>
      </c>
      <c r="AK41" s="3" t="n">
        <v>55.41818594902195</v>
      </c>
      <c r="AL41" s="3" t="n">
        <v>56.62494551388436</v>
      </c>
      <c r="AM41" s="3" t="n">
        <v>56.62092058938168</v>
      </c>
      <c r="AN41" s="3" t="n">
        <v>55.85056544572917</v>
      </c>
      <c r="AO41" s="3" t="n">
        <v>56.34086539677322</v>
      </c>
      <c r="AP41" s="3" t="n">
        <v>57.19281949802831</v>
      </c>
      <c r="AQ41" s="3" t="n">
        <v>57.76074379078398</v>
      </c>
      <c r="AR41" s="3" t="n">
        <v>57.47885387128528</v>
      </c>
      <c r="AS41" s="3" t="n">
        <v>57.8227119294821</v>
      </c>
      <c r="AT41" s="3" t="n">
        <v>56.66732842736888</v>
      </c>
      <c r="AU41" s="3" t="n">
        <v>56.77554044788615</v>
      </c>
      <c r="AV41" s="3" t="n">
        <v>56.90473055086237</v>
      </c>
      <c r="AW41" s="3" t="n">
        <v>57.17474769856389</v>
      </c>
      <c r="AX41" s="3" t="n">
        <v>56.8537499914388</v>
      </c>
      <c r="AY41" s="3" t="n">
        <v>56.11535327708606</v>
      </c>
      <c r="AZ41" s="3" t="n">
        <v>54.36508510689142</v>
      </c>
      <c r="BA41" s="3" t="n">
        <v>53.01300420649711</v>
      </c>
      <c r="BB41" s="3" t="n">
        <v>52.53663764598635</v>
      </c>
      <c r="BC41" s="3" t="n">
        <v>54.03003238891283</v>
      </c>
      <c r="BD41" s="3" t="n">
        <v>53.31069571612488</v>
      </c>
      <c r="BE41" s="3" t="n">
        <v>52.88843556780299</v>
      </c>
      <c r="BF41" s="3" t="n">
        <v>52.92395797029224</v>
      </c>
      <c r="BG41" s="3" t="n">
        <v>52.98976804521338</v>
      </c>
      <c r="BH41" s="3" t="n">
        <v>52.50405061684791</v>
      </c>
      <c r="BI41" s="3" t="n">
        <v>52.8681404124669</v>
      </c>
      <c r="BJ41" s="3" t="n">
        <v>52.85358252213504</v>
      </c>
      <c r="BK41" s="3" t="n">
        <v>53.37112118430638</v>
      </c>
      <c r="BL41" s="3" t="n">
        <v>52.47275813562457</v>
      </c>
      <c r="BM41" s="3" t="n">
        <v>52.40412801280618</v>
      </c>
      <c r="BN41" s="3" t="n">
        <v>51.88965925106375</v>
      </c>
      <c r="BO41" s="3" t="n">
        <v>49.63260050700131</v>
      </c>
      <c r="BP41" s="3" t="n">
        <v>50.38778267049684</v>
      </c>
      <c r="BQ41" s="3" t="n">
        <v>51.60861570841922</v>
      </c>
      <c r="BR41" s="34" t="str">
        <f>B41&amp;"|"&amp;D41</f>
        <v>CHE|NE.CON.PRVT.ZS</v>
      </c>
    </row>
    <row r="42">
      <c r="A42" s="3" t="inlineStr">
        <is>
          <t>Channel Islands</t>
        </is>
      </c>
      <c r="B42" s="3" t="inlineStr">
        <is>
          <t>CHI</t>
        </is>
      </c>
      <c r="C42" s="3" t="inlineStr">
        <is>
          <t>Households and NPISHs final consumption expenditure (% of GDP)</t>
        </is>
      </c>
      <c r="D42" s="3" t="inlineStr">
        <is>
          <t>NE.CON.PRVT.ZS</t>
        </is>
      </c>
      <c r="E42" s="3" t="inlineStr">
        <is>
          <t>0x2a</t>
        </is>
      </c>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c r="AC42" s="3" t="n"/>
      <c r="AD42" s="3" t="n"/>
      <c r="AE42" s="3" t="n"/>
      <c r="AF42" s="3" t="n"/>
      <c r="AG42" s="3" t="n"/>
      <c r="AH42" s="3" t="n"/>
      <c r="AI42" s="3" t="n"/>
      <c r="AJ42" s="3" t="n"/>
      <c r="AK42" s="3" t="n"/>
      <c r="AL42" s="3" t="n"/>
      <c r="AM42" s="3" t="n"/>
      <c r="AN42" s="3" t="n"/>
      <c r="AO42" s="3" t="n"/>
      <c r="AP42" s="3" t="n"/>
      <c r="AQ42" s="3" t="n"/>
      <c r="AR42" s="3" t="n"/>
      <c r="AS42" s="3" t="n"/>
      <c r="AT42" s="3" t="n"/>
      <c r="AU42" s="3" t="n"/>
      <c r="AV42" s="3" t="n"/>
      <c r="AW42" s="3" t="n"/>
      <c r="AX42" s="3" t="n"/>
      <c r="AY42" s="3" t="n"/>
      <c r="AZ42" s="3" t="n"/>
      <c r="BA42" s="3" t="n"/>
      <c r="BB42" s="3" t="n"/>
      <c r="BC42" s="3" t="n"/>
      <c r="BD42" s="3" t="n"/>
      <c r="BE42" s="3" t="n"/>
      <c r="BF42" s="3" t="n"/>
      <c r="BG42" s="3" t="n"/>
      <c r="BH42" s="3" t="n"/>
      <c r="BI42" s="3" t="n"/>
      <c r="BJ42" s="3" t="n"/>
      <c r="BK42" s="3" t="n"/>
      <c r="BL42" s="3" t="n"/>
      <c r="BM42" s="3" t="n"/>
      <c r="BN42" s="3" t="n"/>
      <c r="BO42" s="3" t="n"/>
      <c r="BP42" s="3" t="n"/>
      <c r="BQ42" s="3" t="n"/>
      <c r="BR42" s="34" t="str">
        <f>B42&amp;"|"&amp;D42</f>
        <v>CHI|NE.CON.PRVT.ZS</v>
      </c>
    </row>
    <row r="43">
      <c r="A43" s="3" t="inlineStr">
        <is>
          <t>Chile</t>
        </is>
      </c>
      <c r="B43" s="3" t="inlineStr">
        <is>
          <t>CHL</t>
        </is>
      </c>
      <c r="C43" s="3" t="inlineStr">
        <is>
          <t>Households and NPISHs final consumption expenditure (% of GDP)</t>
        </is>
      </c>
      <c r="D43" s="3" t="inlineStr">
        <is>
          <t>NE.CON.PRVT.ZS</t>
        </is>
      </c>
      <c r="E43" s="3" t="n">
        <v>2023</v>
      </c>
      <c r="F43" s="3" t="n">
        <v>78.5932004689228</v>
      </c>
      <c r="G43" s="3" t="n">
        <v>78.43873930226596</v>
      </c>
      <c r="H43" s="3" t="n">
        <v>77.89771721747596</v>
      </c>
      <c r="I43" s="3" t="n">
        <v>78.02426343187307</v>
      </c>
      <c r="J43" s="3" t="n">
        <v>77.21249047923602</v>
      </c>
      <c r="K43" s="3" t="n">
        <v>73.52861257654874</v>
      </c>
      <c r="L43" s="3" t="n">
        <v>71.28614916271802</v>
      </c>
      <c r="M43" s="3" t="n">
        <v>71.35740241505509</v>
      </c>
      <c r="N43" s="3" t="n">
        <v>71.77719506035035</v>
      </c>
      <c r="O43" s="3" t="n">
        <v>71.41732627736212</v>
      </c>
      <c r="P43" s="3" t="n">
        <v>70.11085483184377</v>
      </c>
      <c r="Q43" s="3" t="n">
        <v>71.26611486961747</v>
      </c>
      <c r="R43" s="3" t="n">
        <v>75.24382599081601</v>
      </c>
      <c r="S43" s="3" t="n">
        <v>80.7909156223146</v>
      </c>
      <c r="T43" s="3" t="n">
        <v>62.42535507572714</v>
      </c>
      <c r="U43" s="3" t="n">
        <v>73.18375011294563</v>
      </c>
      <c r="V43" s="3" t="n">
        <v>68.90895851598721</v>
      </c>
      <c r="W43" s="3" t="n">
        <v>72.80363257523915</v>
      </c>
      <c r="X43" s="3" t="n">
        <v>71.10208561150088</v>
      </c>
      <c r="Y43" s="3" t="n">
        <v>70.74491591357462</v>
      </c>
      <c r="Z43" s="3" t="n">
        <v>70.6913032833411</v>
      </c>
      <c r="AA43" s="3" t="n">
        <v>75.20180332147288</v>
      </c>
      <c r="AB43" s="3" t="n">
        <v>75.17055894092277</v>
      </c>
      <c r="AC43" s="3" t="n">
        <v>71.65343255662194</v>
      </c>
      <c r="AD43" s="3" t="n">
        <v>69.72141182483641</v>
      </c>
      <c r="AE43" s="3" t="n">
        <v>67.58934414120753</v>
      </c>
      <c r="AF43" s="3" t="n">
        <v>65.47555297158524</v>
      </c>
      <c r="AG43" s="3" t="n">
        <v>64.00482672103685</v>
      </c>
      <c r="AH43" s="3" t="n">
        <v>59.90920057687116</v>
      </c>
      <c r="AI43" s="3" t="n">
        <v>60.1322131947645</v>
      </c>
      <c r="AJ43" s="3" t="n">
        <v>61.86310664966227</v>
      </c>
      <c r="AK43" s="3" t="n">
        <v>63.31043202575027</v>
      </c>
      <c r="AL43" s="3" t="n">
        <v>65.15272065393354</v>
      </c>
      <c r="AM43" s="3" t="n">
        <v>65.90710266030565</v>
      </c>
      <c r="AN43" s="3" t="n">
        <v>64.63635626440372</v>
      </c>
      <c r="AO43" s="3" t="n">
        <v>62.55719887495493</v>
      </c>
      <c r="AP43" s="3" t="n">
        <v>60.83440485150662</v>
      </c>
      <c r="AQ43" s="3" t="n">
        <v>61.04638016952312</v>
      </c>
      <c r="AR43" s="3" t="n">
        <v>63.1227429590208</v>
      </c>
      <c r="AS43" s="3" t="n">
        <v>62.87470276888462</v>
      </c>
      <c r="AT43" s="3" t="n">
        <v>62.12273391150467</v>
      </c>
      <c r="AU43" s="3" t="n">
        <v>61.71583284614601</v>
      </c>
      <c r="AV43" s="3" t="n">
        <v>61.112429508575</v>
      </c>
      <c r="AW43" s="3" t="n">
        <v>59.99414665640202</v>
      </c>
      <c r="AX43" s="3" t="n">
        <v>57.84442424467174</v>
      </c>
      <c r="AY43" s="3" t="n">
        <v>57.4900587964009</v>
      </c>
      <c r="AZ43" s="3" t="n">
        <v>53.49685080125553</v>
      </c>
      <c r="BA43" s="3" t="n">
        <v>53.823342973315</v>
      </c>
      <c r="BB43" s="3" t="n">
        <v>58.18963299683485</v>
      </c>
      <c r="BC43" s="3" t="n">
        <v>56.66622565493164</v>
      </c>
      <c r="BD43" s="3" t="n">
        <v>56.58804689469753</v>
      </c>
      <c r="BE43" s="3" t="n">
        <v>58.14459463461189</v>
      </c>
      <c r="BF43" s="3" t="n">
        <v>59.34768090711005</v>
      </c>
      <c r="BG43" s="3" t="n">
        <v>60.6858177600604</v>
      </c>
      <c r="BH43" s="3" t="n">
        <v>61.2424027925022</v>
      </c>
      <c r="BI43" s="3" t="n">
        <v>61.77539583338927</v>
      </c>
      <c r="BJ43" s="3" t="n">
        <v>62.16008695475919</v>
      </c>
      <c r="BK43" s="3" t="n">
        <v>62.07802214088844</v>
      </c>
      <c r="BL43" s="3" t="n">
        <v>62.05940897118819</v>
      </c>
      <c r="BM43" s="3" t="n">
        <v>61.66945343717379</v>
      </c>
      <c r="BN43" s="3" t="n">
        <v>58.43751410649888</v>
      </c>
      <c r="BO43" s="3" t="n">
        <v>62.09420981382719</v>
      </c>
      <c r="BP43" s="3" t="n">
        <v>63.69383523525356</v>
      </c>
      <c r="BQ43" s="3" t="n">
        <v>60.63714042799473</v>
      </c>
      <c r="BR43" s="34" t="str">
        <f>B43&amp;"|"&amp;D43</f>
        <v>CHL|NE.CON.PRVT.ZS</v>
      </c>
    </row>
    <row r="44">
      <c r="A44" s="3" t="inlineStr">
        <is>
          <t>China</t>
        </is>
      </c>
      <c r="B44" s="3" t="inlineStr">
        <is>
          <t>CHN</t>
        </is>
      </c>
      <c r="C44" s="3" t="inlineStr">
        <is>
          <t>Households and NPISHs final consumption expenditure (% of GDP)</t>
        </is>
      </c>
      <c r="D44" s="3" t="inlineStr">
        <is>
          <t>NE.CON.PRVT.ZS</t>
        </is>
      </c>
      <c r="E44" s="3" t="n">
        <v>2022</v>
      </c>
      <c r="F44" s="3" t="n">
        <v>50.45235018025984</v>
      </c>
      <c r="G44" s="3" t="n">
        <v>66.2744461575915</v>
      </c>
      <c r="H44" s="3" t="n">
        <v>72.16485974875236</v>
      </c>
      <c r="I44" s="3" t="n">
        <v>67.62797404470079</v>
      </c>
      <c r="J44" s="3" t="n">
        <v>60.52112388597863</v>
      </c>
      <c r="K44" s="3" t="n">
        <v>54.87312572087658</v>
      </c>
      <c r="L44" s="3" t="n">
        <v>54.06364165828348</v>
      </c>
      <c r="M44" s="3" t="n">
        <v>60.27756102998551</v>
      </c>
      <c r="N44" s="3" t="n">
        <v>61.72811192018807</v>
      </c>
      <c r="O44" s="3" t="n">
        <v>57.47120578942004</v>
      </c>
      <c r="P44" s="3" t="n">
        <v>52.93678992849936</v>
      </c>
      <c r="Q44" s="3" t="n">
        <v>51.36554194309902</v>
      </c>
      <c r="R44" s="3" t="n">
        <v>52.2723711017082</v>
      </c>
      <c r="S44" s="3" t="n">
        <v>51.97373194978594</v>
      </c>
      <c r="T44" s="3" t="n">
        <v>51.8796194787283</v>
      </c>
      <c r="U44" s="3" t="n">
        <v>50.28787629544333</v>
      </c>
      <c r="V44" s="3" t="n">
        <v>53.15197751455531</v>
      </c>
      <c r="W44" s="3" t="n">
        <v>50.70153846153846</v>
      </c>
      <c r="X44" s="3" t="n">
        <v>47.81849009610252</v>
      </c>
      <c r="Y44" s="3" t="n">
        <v>49.11564392003642</v>
      </c>
      <c r="Z44" s="3" t="n">
        <v>50.93932816813922</v>
      </c>
      <c r="AA44" s="3" t="n">
        <v>53.23379266501481</v>
      </c>
      <c r="AB44" s="3" t="n">
        <v>53.35813154685377</v>
      </c>
      <c r="AC44" s="3" t="n">
        <v>53.49573051295447</v>
      </c>
      <c r="AD44" s="3" t="n">
        <v>50.69102134587511</v>
      </c>
      <c r="AE44" s="3" t="n">
        <v>50.85690006380715</v>
      </c>
      <c r="AF44" s="3" t="n">
        <v>51.01619905158987</v>
      </c>
      <c r="AG44" s="3" t="n">
        <v>49.67393367162238</v>
      </c>
      <c r="AH44" s="3" t="n">
        <v>49.61759944623874</v>
      </c>
      <c r="AI44" s="3" t="n">
        <v>51.09489010197969</v>
      </c>
      <c r="AJ44" s="3" t="n">
        <v>49.99260180838014</v>
      </c>
      <c r="AK44" s="3" t="n">
        <v>47.91715790405717</v>
      </c>
      <c r="AL44" s="3" t="n">
        <v>45.27461980967651</v>
      </c>
      <c r="AM44" s="3" t="n">
        <v>43.99616114518854</v>
      </c>
      <c r="AN44" s="3" t="n">
        <v>44.08781767084147</v>
      </c>
      <c r="AO44" s="3" t="n">
        <v>45.7541656975042</v>
      </c>
      <c r="AP44" s="3" t="n">
        <v>46.8492422197393</v>
      </c>
      <c r="AQ44" s="3" t="n">
        <v>45.89575778844564</v>
      </c>
      <c r="AR44" s="3" t="n">
        <v>45.50532405546364</v>
      </c>
      <c r="AS44" s="3" t="n">
        <v>46.20561663566094</v>
      </c>
      <c r="AT44" s="3" t="n">
        <v>46.73235842320395</v>
      </c>
      <c r="AU44" s="3" t="n">
        <v>45.51980966300299</v>
      </c>
      <c r="AV44" s="3" t="n">
        <v>44.91301883372969</v>
      </c>
      <c r="AW44" s="3" t="n">
        <v>42.70778499533964</v>
      </c>
      <c r="AX44" s="3" t="n">
        <v>40.61090560072302</v>
      </c>
      <c r="AY44" s="3" t="n">
        <v>39.58687835593799</v>
      </c>
      <c r="AZ44" s="3" t="n">
        <v>37.75197952322906</v>
      </c>
      <c r="BA44" s="3" t="n">
        <v>36.36952581760971</v>
      </c>
      <c r="BB44" s="3" t="n">
        <v>35.28788015163351</v>
      </c>
      <c r="BC44" s="3" t="n">
        <v>35.32729590566193</v>
      </c>
      <c r="BD44" s="3" t="n">
        <v>34.32634108900404</v>
      </c>
      <c r="BE44" s="3" t="n">
        <v>34.92042834383259</v>
      </c>
      <c r="BF44" s="3" t="n">
        <v>35.38653491212235</v>
      </c>
      <c r="BG44" s="3" t="n">
        <v>35.83313111988537</v>
      </c>
      <c r="BH44" s="3" t="n">
        <v>36.70789835883895</v>
      </c>
      <c r="BI44" s="3" t="n">
        <v>37.77300365522985</v>
      </c>
      <c r="BJ44" s="3" t="n">
        <v>38.67498194984877</v>
      </c>
      <c r="BK44" s="3" t="n">
        <v>38.54274621691714</v>
      </c>
      <c r="BL44" s="3" t="n">
        <v>38.52188051846655</v>
      </c>
      <c r="BM44" s="3" t="n">
        <v>39.24806213076437</v>
      </c>
      <c r="BN44" s="3" t="n">
        <v>38.20031238879631</v>
      </c>
      <c r="BO44" s="3" t="n">
        <v>38.1135652499102</v>
      </c>
      <c r="BP44" s="3" t="n">
        <v>37.39180924427504</v>
      </c>
      <c r="BQ44" s="3" t="n"/>
      <c r="BR44" s="34" t="str">
        <f>B44&amp;"|"&amp;D44</f>
        <v>CHN|NE.CON.PRVT.ZS</v>
      </c>
    </row>
    <row r="45">
      <c r="A45" s="3" t="inlineStr">
        <is>
          <t>Cote d'Ivoire</t>
        </is>
      </c>
      <c r="B45" s="3" t="inlineStr">
        <is>
          <t>CIV</t>
        </is>
      </c>
      <c r="C45" s="3" t="inlineStr">
        <is>
          <t>Households and NPISHs final consumption expenditure (% of GDP)</t>
        </is>
      </c>
      <c r="D45" s="3" t="inlineStr">
        <is>
          <t>NE.CON.PRVT.ZS</t>
        </is>
      </c>
      <c r="E45" s="3" t="n">
        <v>2023</v>
      </c>
      <c r="F45" s="3" t="n">
        <v>62.97146848084331</v>
      </c>
      <c r="G45" s="3" t="n">
        <v>63.90003113829227</v>
      </c>
      <c r="H45" s="3" t="n">
        <v>66.2971353120809</v>
      </c>
      <c r="I45" s="3" t="n">
        <v>61.22679441044743</v>
      </c>
      <c r="J45" s="3" t="n">
        <v>56.66446796737187</v>
      </c>
      <c r="K45" s="3" t="n">
        <v>60.64773934486185</v>
      </c>
      <c r="L45" s="3" t="n">
        <v>59.73768018546172</v>
      </c>
      <c r="M45" s="3" t="n">
        <v>61.8243214822509</v>
      </c>
      <c r="N45" s="3" t="n">
        <v>58.25977232197238</v>
      </c>
      <c r="O45" s="3" t="n">
        <v>58.57586885193454</v>
      </c>
      <c r="P45" s="3" t="n">
        <v>57.27069201754345</v>
      </c>
      <c r="Q45" s="3" t="n">
        <v>58.48234434420827</v>
      </c>
      <c r="R45" s="3" t="n">
        <v>59.02167165568982</v>
      </c>
      <c r="S45" s="3" t="n">
        <v>58.54050941755828</v>
      </c>
      <c r="T45" s="3" t="n">
        <v>54.46549361215738</v>
      </c>
      <c r="U45" s="3" t="n">
        <v>60.41941942840264</v>
      </c>
      <c r="V45" s="3" t="n">
        <v>55.33213571909986</v>
      </c>
      <c r="W45" s="3" t="n">
        <v>52.74818183636635</v>
      </c>
      <c r="X45" s="3" t="n">
        <v>54.86313644335058</v>
      </c>
      <c r="Y45" s="3" t="n">
        <v>56.90266389212202</v>
      </c>
      <c r="Z45" s="3" t="n">
        <v>62.78431830435714</v>
      </c>
      <c r="AA45" s="3" t="n">
        <v>63.5550326817381</v>
      </c>
      <c r="AB45" s="3" t="n">
        <v>62.32204917495643</v>
      </c>
      <c r="AC45" s="3" t="n">
        <v>63.48913889829097</v>
      </c>
      <c r="AD45" s="3" t="n">
        <v>59.66549828074515</v>
      </c>
      <c r="AE45" s="3" t="n">
        <v>58.58427940487072</v>
      </c>
      <c r="AF45" s="3" t="n">
        <v>63.49399248498596</v>
      </c>
      <c r="AG45" s="3" t="n">
        <v>67.57858503385977</v>
      </c>
      <c r="AH45" s="3" t="n">
        <v>67.6489358177146</v>
      </c>
      <c r="AI45" s="3" t="n">
        <v>69.86364060026327</v>
      </c>
      <c r="AJ45" s="3" t="n">
        <v>71.93319708355619</v>
      </c>
      <c r="AK45" s="3" t="n">
        <v>73.2551160720527</v>
      </c>
      <c r="AL45" s="3" t="n">
        <v>73.37826985229216</v>
      </c>
      <c r="AM45" s="3" t="n">
        <v>71.19614757772696</v>
      </c>
      <c r="AN45" s="3" t="n">
        <v>63.04202310894361</v>
      </c>
      <c r="AO45" s="3" t="n">
        <v>66.47706081247961</v>
      </c>
      <c r="AP45" s="3" t="n"/>
      <c r="AQ45" s="3" t="n"/>
      <c r="AR45" s="3" t="n"/>
      <c r="AS45" s="3" t="n"/>
      <c r="AT45" s="3" t="n"/>
      <c r="AU45" s="3" t="n"/>
      <c r="AV45" s="3" t="n"/>
      <c r="AW45" s="3" t="n"/>
      <c r="AX45" s="3" t="n"/>
      <c r="AY45" s="3" t="n"/>
      <c r="AZ45" s="3" t="n"/>
      <c r="BA45" s="3" t="n"/>
      <c r="BB45" s="3" t="n"/>
      <c r="BC45" s="3" t="n"/>
      <c r="BD45" s="3" t="n"/>
      <c r="BE45" s="3" t="n"/>
      <c r="BF45" s="3" t="n"/>
      <c r="BG45" s="3" t="n"/>
      <c r="BH45" s="3" t="n"/>
      <c r="BI45" s="3" t="n">
        <v>65.26899676135969</v>
      </c>
      <c r="BJ45" s="3" t="n">
        <v>64.62225662607331</v>
      </c>
      <c r="BK45" s="3" t="n">
        <v>66.57888962180364</v>
      </c>
      <c r="BL45" s="3" t="n">
        <v>68.34897434490995</v>
      </c>
      <c r="BM45" s="3" t="n">
        <v>66.52201024432486</v>
      </c>
      <c r="BN45" s="3" t="n">
        <v>66.89119699431748</v>
      </c>
      <c r="BO45" s="3" t="n">
        <v>66.98352056621498</v>
      </c>
      <c r="BP45" s="3" t="n">
        <v>67.60794780110324</v>
      </c>
      <c r="BQ45" s="3" t="n">
        <v>67.67325526116011</v>
      </c>
      <c r="BR45" s="34" t="str">
        <f>B45&amp;"|"&amp;D45</f>
        <v>CIV|NE.CON.PRVT.ZS</v>
      </c>
    </row>
    <row r="46">
      <c r="A46" s="3" t="inlineStr">
        <is>
          <t>Cameroon</t>
        </is>
      </c>
      <c r="B46" s="3" t="inlineStr">
        <is>
          <t>CMR</t>
        </is>
      </c>
      <c r="C46" s="3" t="inlineStr">
        <is>
          <t>Households and NPISHs final consumption expenditure (% of GDP)</t>
        </is>
      </c>
      <c r="D46" s="3" t="inlineStr">
        <is>
          <t>NE.CON.PRVT.ZS</t>
        </is>
      </c>
      <c r="E46" s="3" t="n">
        <v>2023</v>
      </c>
      <c r="F46" s="3" t="n"/>
      <c r="G46" s="3" t="n"/>
      <c r="H46" s="3" t="n"/>
      <c r="I46" s="3" t="n"/>
      <c r="J46" s="3" t="n"/>
      <c r="K46" s="3" t="n">
        <v>74.937342482899</v>
      </c>
      <c r="L46" s="3" t="n">
        <v>74.41415446369982</v>
      </c>
      <c r="M46" s="3" t="n">
        <v>74.33782456477991</v>
      </c>
      <c r="N46" s="3" t="n">
        <v>75.90733513361461</v>
      </c>
      <c r="O46" s="3" t="n">
        <v>75.21845808535795</v>
      </c>
      <c r="P46" s="3" t="n">
        <v>70.45883337968019</v>
      </c>
      <c r="Q46" s="3" t="n">
        <v>75.30832579778868</v>
      </c>
      <c r="R46" s="3" t="n">
        <v>75.26492033883257</v>
      </c>
      <c r="S46" s="3" t="n">
        <v>71.8499306048157</v>
      </c>
      <c r="T46" s="3" t="n">
        <v>69.24706415770109</v>
      </c>
      <c r="U46" s="3" t="n">
        <v>71.99085600665438</v>
      </c>
      <c r="V46" s="3" t="n">
        <v>76.37544678452447</v>
      </c>
      <c r="W46" s="3" t="n">
        <v>64.43644932688956</v>
      </c>
      <c r="X46" s="3" t="n">
        <v>63.44801572377327</v>
      </c>
      <c r="Y46" s="3" t="n">
        <v>69.40671782692056</v>
      </c>
      <c r="Z46" s="3" t="n">
        <v>68.55552742038122</v>
      </c>
      <c r="AA46" s="3" t="n">
        <v>71.51804056824415</v>
      </c>
      <c r="AB46" s="3" t="n">
        <v>61.59953689122353</v>
      </c>
      <c r="AC46" s="3" t="n">
        <v>63.34721554976043</v>
      </c>
      <c r="AD46" s="3" t="n">
        <v>61.81502266274448</v>
      </c>
      <c r="AE46" s="3" t="n">
        <v>64.33408915516533</v>
      </c>
      <c r="AF46" s="3" t="n">
        <v>62.65159325963491</v>
      </c>
      <c r="AG46" s="3" t="n">
        <v>66.85203478671305</v>
      </c>
      <c r="AH46" s="3" t="n">
        <v>68.30177596641559</v>
      </c>
      <c r="AI46" s="3" t="n">
        <v>69.16113994846978</v>
      </c>
      <c r="AJ46" s="3" t="n">
        <v>66.56824278121675</v>
      </c>
      <c r="AK46" s="3" t="n">
        <v>64.69373133346143</v>
      </c>
      <c r="AL46" s="3" t="n">
        <v>70.65064350154105</v>
      </c>
      <c r="AM46" s="3" t="n">
        <v>65.94824465780727</v>
      </c>
      <c r="AN46" s="3" t="n">
        <v>65.96057252988743</v>
      </c>
      <c r="AO46" s="3" t="n">
        <v>65.08951939460546</v>
      </c>
      <c r="AP46" s="3" t="n">
        <v>67.69787694716392</v>
      </c>
      <c r="AQ46" s="3" t="n">
        <v>66.63489626429991</v>
      </c>
      <c r="AR46" s="3" t="n">
        <v>69.32520254952283</v>
      </c>
      <c r="AS46" s="3" t="n">
        <v>69.64707374135715</v>
      </c>
      <c r="AT46" s="3" t="n">
        <v>70.22987502764833</v>
      </c>
      <c r="AU46" s="3" t="n">
        <v>70.60460563004604</v>
      </c>
      <c r="AV46" s="3" t="n">
        <v>71.90725983550116</v>
      </c>
      <c r="AW46" s="3" t="n">
        <v>72.08040738993662</v>
      </c>
      <c r="AX46" s="3" t="n">
        <v>70.87934769619552</v>
      </c>
      <c r="AY46" s="3" t="n">
        <v>71.14568897251597</v>
      </c>
      <c r="AZ46" s="3" t="n">
        <v>71.04920383641775</v>
      </c>
      <c r="BA46" s="3" t="n">
        <v>70.80938360234077</v>
      </c>
      <c r="BB46" s="3" t="n">
        <v>72.11254030228112</v>
      </c>
      <c r="BC46" s="3" t="n">
        <v>73.19092272408018</v>
      </c>
      <c r="BD46" s="3" t="n">
        <v>72.85930335457792</v>
      </c>
      <c r="BE46" s="3" t="n">
        <v>72.27550888698734</v>
      </c>
      <c r="BF46" s="3" t="n">
        <v>72.02387274910855</v>
      </c>
      <c r="BG46" s="3" t="n">
        <v>71.48036785054276</v>
      </c>
      <c r="BH46" s="3" t="n">
        <v>71.82567086756788</v>
      </c>
      <c r="BI46" s="3" t="n">
        <v>73.0581065048367</v>
      </c>
      <c r="BJ46" s="3" t="n">
        <v>70.79627354572179</v>
      </c>
      <c r="BK46" s="3" t="n">
        <v>71.3712625886384</v>
      </c>
      <c r="BL46" s="3" t="n">
        <v>71.6570474634682</v>
      </c>
      <c r="BM46" s="3" t="n">
        <v>72.64733500254822</v>
      </c>
      <c r="BN46" s="3" t="n">
        <v>73.32481780796708</v>
      </c>
      <c r="BO46" s="3" t="n">
        <v>73.53234960654562</v>
      </c>
      <c r="BP46" s="3" t="n">
        <v>73.98277166663648</v>
      </c>
      <c r="BQ46" s="3" t="n">
        <v>73.30000000011107</v>
      </c>
      <c r="BR46" s="34" t="str">
        <f>B46&amp;"|"&amp;D46</f>
        <v>CMR|NE.CON.PRVT.ZS</v>
      </c>
    </row>
    <row r="47">
      <c r="A47" s="3" t="inlineStr">
        <is>
          <t>Congo, Dem. Rep.</t>
        </is>
      </c>
      <c r="B47" s="3" t="inlineStr">
        <is>
          <t>COD</t>
        </is>
      </c>
      <c r="C47" s="3" t="inlineStr">
        <is>
          <t>Households and NPISHs final consumption expenditure (% of GDP)</t>
        </is>
      </c>
      <c r="D47" s="3" t="inlineStr">
        <is>
          <t>NE.CON.PRVT.ZS</t>
        </is>
      </c>
      <c r="E47" s="3" t="n">
        <v>2023</v>
      </c>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v>85.00222294801755</v>
      </c>
      <c r="AO47" s="3" t="n">
        <v>80.95664769192814</v>
      </c>
      <c r="AP47" s="3" t="n">
        <v>66.2581158078344</v>
      </c>
      <c r="AQ47" s="3" t="n">
        <v>85.94874982435937</v>
      </c>
      <c r="AR47" s="3" t="n">
        <v>92.89894886734551</v>
      </c>
      <c r="AS47" s="3" t="n">
        <v>84.92525170894422</v>
      </c>
      <c r="AT47" s="3" t="n">
        <v>87.62409309609509</v>
      </c>
      <c r="AU47" s="3" t="n">
        <v>90.56221896847795</v>
      </c>
      <c r="AV47" s="3" t="n">
        <v>84.65913679689741</v>
      </c>
      <c r="AW47" s="3" t="n">
        <v>91.56010179336829</v>
      </c>
      <c r="AX47" s="3" t="n">
        <v>85.36559664717879</v>
      </c>
      <c r="AY47" s="3" t="n">
        <v>89.24650663264001</v>
      </c>
      <c r="AZ47" s="3" t="n">
        <v>83.96406775451941</v>
      </c>
      <c r="BA47" s="3" t="n">
        <v>81.34222166441715</v>
      </c>
      <c r="BB47" s="3" t="n">
        <v>86.60780451708889</v>
      </c>
      <c r="BC47" s="3" t="n">
        <v>87.66592940841879</v>
      </c>
      <c r="BD47" s="3" t="n">
        <v>72.44884341698511</v>
      </c>
      <c r="BE47" s="3" t="n">
        <v>73.21034616488886</v>
      </c>
      <c r="BF47" s="3" t="n">
        <v>84.59620200650842</v>
      </c>
      <c r="BG47" s="3" t="n">
        <v>74.54675926623324</v>
      </c>
      <c r="BH47" s="3" t="n">
        <v>73.48069963942669</v>
      </c>
      <c r="BI47" s="3" t="n">
        <v>76.29798042473206</v>
      </c>
      <c r="BJ47" s="3" t="n">
        <v>83.17443253773136</v>
      </c>
      <c r="BK47" s="3" t="n">
        <v>73.34583361812186</v>
      </c>
      <c r="BL47" s="3" t="n">
        <v>77.89411910980657</v>
      </c>
      <c r="BM47" s="3" t="n">
        <v>75.97614083934043</v>
      </c>
      <c r="BN47" s="3" t="n">
        <v>69.103935086528</v>
      </c>
      <c r="BO47" s="3" t="n">
        <v>63.92653240702946</v>
      </c>
      <c r="BP47" s="3" t="n">
        <v>61.90226029280985</v>
      </c>
      <c r="BQ47" s="3" t="n">
        <v>62.72081908115818</v>
      </c>
      <c r="BR47" s="34" t="str">
        <f>B47&amp;"|"&amp;D47</f>
        <v>COD|NE.CON.PRVT.ZS</v>
      </c>
    </row>
    <row r="48">
      <c r="A48" s="3" t="inlineStr">
        <is>
          <t>Congo, Rep.</t>
        </is>
      </c>
      <c r="B48" s="3" t="inlineStr">
        <is>
          <t>COG</t>
        </is>
      </c>
      <c r="C48" s="3" t="inlineStr">
        <is>
          <t>Households and NPISHs final consumption expenditure (% of GDP)</t>
        </is>
      </c>
      <c r="D48" s="3" t="inlineStr">
        <is>
          <t>NE.CON.PRVT.ZS</t>
        </is>
      </c>
      <c r="E48" s="3" t="n">
        <v>2023</v>
      </c>
      <c r="F48" s="3" t="n">
        <v>96.87104529889365</v>
      </c>
      <c r="G48" s="3" t="n">
        <v>85.94604734377577</v>
      </c>
      <c r="H48" s="3" t="n">
        <v>82.4087411625206</v>
      </c>
      <c r="I48" s="3" t="n">
        <v>83.3728789431685</v>
      </c>
      <c r="J48" s="3" t="n">
        <v>83.42761701120926</v>
      </c>
      <c r="K48" s="3" t="n">
        <v>80.45267933072442</v>
      </c>
      <c r="L48" s="3" t="n">
        <v>75.27676402214021</v>
      </c>
      <c r="M48" s="3" t="n">
        <v>77.73974807187467</v>
      </c>
      <c r="N48" s="3" t="n">
        <v>79.26049212218651</v>
      </c>
      <c r="O48" s="3" t="n">
        <v>80.40638354507027</v>
      </c>
      <c r="P48" s="3" t="n">
        <v>81.84211328947369</v>
      </c>
      <c r="Q48" s="3" t="n">
        <v>76.32469222389216</v>
      </c>
      <c r="R48" s="3" t="n">
        <v>77.00483584541062</v>
      </c>
      <c r="S48" s="3" t="n">
        <v>62.25164097682119</v>
      </c>
      <c r="T48" s="3" t="n">
        <v>53.37116266855926</v>
      </c>
      <c r="U48" s="3" t="n">
        <v>70.74208746958638</v>
      </c>
      <c r="V48" s="3" t="n">
        <v>77.48197110371603</v>
      </c>
      <c r="W48" s="3" t="n">
        <v>73.72352468085106</v>
      </c>
      <c r="X48" s="3" t="n">
        <v>67.07029404942007</v>
      </c>
      <c r="Y48" s="3" t="n">
        <v>54.86278592156862</v>
      </c>
      <c r="Z48" s="3" t="n">
        <v>46.75360987791343</v>
      </c>
      <c r="AA48" s="3" t="n">
        <v>56.47036920804873</v>
      </c>
      <c r="AB48" s="3" t="n">
        <v>40.01413943661971</v>
      </c>
      <c r="AC48" s="3" t="n">
        <v>39.83983971471471</v>
      </c>
      <c r="AD48" s="3" t="n">
        <v>38.82107459572248</v>
      </c>
      <c r="AE48" s="3" t="n">
        <v>52.48248763906057</v>
      </c>
      <c r="AF48" s="3" t="n">
        <v>59.43153826635177</v>
      </c>
      <c r="AG48" s="3" t="n">
        <v>56.58068457853948</v>
      </c>
      <c r="AH48" s="3" t="n">
        <v>60.13657056145675</v>
      </c>
      <c r="AI48" s="3" t="n">
        <v>52.68266880864609</v>
      </c>
      <c r="AJ48" s="3" t="n">
        <v>31.80531758530184</v>
      </c>
      <c r="AK48" s="3" t="n">
        <v>38.14686067386497</v>
      </c>
      <c r="AL48" s="3" t="n">
        <v>27.22508494332818</v>
      </c>
      <c r="AM48" s="3" t="n">
        <v>31.34623698197606</v>
      </c>
      <c r="AN48" s="3" t="n">
        <v>39.4020715420009</v>
      </c>
      <c r="AO48" s="3" t="n">
        <v>46.5993925392918</v>
      </c>
      <c r="AP48" s="3" t="n">
        <v>45.85662845271986</v>
      </c>
      <c r="AQ48" s="3" t="n">
        <v>41.38270708858892</v>
      </c>
      <c r="AR48" s="3" t="n">
        <v>45.46960959916529</v>
      </c>
      <c r="AS48" s="3" t="n">
        <v>36.91598608983647</v>
      </c>
      <c r="AT48" s="3" t="n">
        <v>23.50451396728463</v>
      </c>
      <c r="AU48" s="3" t="n">
        <v>33.75991499780306</v>
      </c>
      <c r="AV48" s="3" t="n">
        <v>29.73375478169984</v>
      </c>
      <c r="AW48" s="3" t="n">
        <v>25.14738095284969</v>
      </c>
      <c r="AX48" s="3" t="n">
        <v>35.53124394087466</v>
      </c>
      <c r="AY48" s="3" t="n">
        <v>31.09889743199966</v>
      </c>
      <c r="AZ48" s="3" t="n">
        <v>29.63952917341189</v>
      </c>
      <c r="BA48" s="3" t="n">
        <v>33.76117884776689</v>
      </c>
      <c r="BB48" s="3" t="n">
        <v>32.09019066610443</v>
      </c>
      <c r="BC48" s="3" t="n">
        <v>38.88563778373182</v>
      </c>
      <c r="BD48" s="3" t="n">
        <v>29.24663117294222</v>
      </c>
      <c r="BE48" s="3" t="n">
        <v>27.69141851160367</v>
      </c>
      <c r="BF48" s="3" t="n">
        <v>23.70639820006757</v>
      </c>
      <c r="BG48" s="3" t="n">
        <v>25.99668160016257</v>
      </c>
      <c r="BH48" s="3" t="n">
        <v>28.35153150217122</v>
      </c>
      <c r="BI48" s="3" t="n">
        <v>39.51803584304356</v>
      </c>
      <c r="BJ48" s="3" t="n">
        <v>45.54739179647929</v>
      </c>
      <c r="BK48" s="3" t="n">
        <v>34.71055568452231</v>
      </c>
      <c r="BL48" s="3" t="n">
        <v>33.13091417638457</v>
      </c>
      <c r="BM48" s="3" t="n">
        <v>40.03714772865737</v>
      </c>
      <c r="BN48" s="3" t="n">
        <v>46.65861733319389</v>
      </c>
      <c r="BO48" s="3" t="n">
        <v>43.02564071375573</v>
      </c>
      <c r="BP48" s="3" t="n">
        <v>37.7210439137298</v>
      </c>
      <c r="BQ48" s="3" t="n">
        <v>44.10828071740801</v>
      </c>
      <c r="BR48" s="34" t="str">
        <f>B48&amp;"|"&amp;D48</f>
        <v>COG|NE.CON.PRVT.ZS</v>
      </c>
    </row>
    <row r="49">
      <c r="A49" s="3" t="inlineStr">
        <is>
          <t>Colombia</t>
        </is>
      </c>
      <c r="B49" s="3" t="inlineStr">
        <is>
          <t>COL</t>
        </is>
      </c>
      <c r="C49" s="3" t="inlineStr">
        <is>
          <t>Households and NPISHs final consumption expenditure (% of GDP)</t>
        </is>
      </c>
      <c r="D49" s="3" t="inlineStr">
        <is>
          <t>NE.CON.PRVT.ZS</t>
        </is>
      </c>
      <c r="E49" s="3" t="n">
        <v>2023</v>
      </c>
      <c r="F49" s="3" t="n">
        <v>73.03077463761885</v>
      </c>
      <c r="G49" s="3" t="n">
        <v>74.08449886591499</v>
      </c>
      <c r="H49" s="3" t="n">
        <v>74.83901524012259</v>
      </c>
      <c r="I49" s="3" t="n">
        <v>75.20602566311703</v>
      </c>
      <c r="J49" s="3" t="n">
        <v>76.71621958954842</v>
      </c>
      <c r="K49" s="3" t="n">
        <v>74.53709826742494</v>
      </c>
      <c r="L49" s="3" t="n">
        <v>76.60639967251143</v>
      </c>
      <c r="M49" s="3" t="n">
        <v>73.54563097604847</v>
      </c>
      <c r="N49" s="3" t="n">
        <v>73.48561306667216</v>
      </c>
      <c r="O49" s="3" t="n">
        <v>73.78723328082486</v>
      </c>
      <c r="P49" s="3" t="n">
        <v>71.79968064593878</v>
      </c>
      <c r="Q49" s="3" t="n">
        <v>73.66857832005439</v>
      </c>
      <c r="R49" s="3" t="n">
        <v>71.8475429029502</v>
      </c>
      <c r="S49" s="3" t="n">
        <v>70.00658002961013</v>
      </c>
      <c r="T49" s="3" t="n">
        <v>70.8847213261204</v>
      </c>
      <c r="U49" s="3" t="n">
        <v>72.27183862081222</v>
      </c>
      <c r="V49" s="3" t="n">
        <v>71.07933943299454</v>
      </c>
      <c r="W49" s="3" t="n">
        <v>69.86965611728017</v>
      </c>
      <c r="X49" s="3" t="n">
        <v>70.3318464145172</v>
      </c>
      <c r="Y49" s="3" t="n">
        <v>70.76404526516697</v>
      </c>
      <c r="Z49" s="3" t="n">
        <v>70.21815809971314</v>
      </c>
      <c r="AA49" s="3" t="n">
        <v>72.50935936690685</v>
      </c>
      <c r="AB49" s="3" t="n">
        <v>72.86851629240884</v>
      </c>
      <c r="AC49" s="3" t="n">
        <v>71.93308617131451</v>
      </c>
      <c r="AD49" s="3" t="n">
        <v>70.57771851980924</v>
      </c>
      <c r="AE49" s="3" t="n">
        <v>68.97836698931489</v>
      </c>
      <c r="AF49" s="3" t="n">
        <v>65.34622499026217</v>
      </c>
      <c r="AG49" s="3" t="n">
        <v>66.12802807848414</v>
      </c>
      <c r="AH49" s="3" t="n">
        <v>65.5020036913064</v>
      </c>
      <c r="AI49" s="3" t="n">
        <v>65.28620418520396</v>
      </c>
      <c r="AJ49" s="3" t="n">
        <v>63.99327628644205</v>
      </c>
      <c r="AK49" s="3" t="n">
        <v>64.47610440559562</v>
      </c>
      <c r="AL49" s="3" t="n">
        <v>66.88715078939357</v>
      </c>
      <c r="AM49" s="3" t="n">
        <v>66.81477743745333</v>
      </c>
      <c r="AN49" s="3" t="n">
        <v>65.90891261205545</v>
      </c>
      <c r="AO49" s="3" t="n">
        <v>65.68262462362078</v>
      </c>
      <c r="AP49" s="3" t="n">
        <v>65.4997112590712</v>
      </c>
      <c r="AQ49" s="3" t="n">
        <v>65.06891633573184</v>
      </c>
      <c r="AR49" s="3" t="n">
        <v>65.85920640458659</v>
      </c>
      <c r="AS49" s="3" t="n">
        <v>64.41539456947862</v>
      </c>
      <c r="AT49" s="3" t="n">
        <v>69.46832844996668</v>
      </c>
      <c r="AU49" s="3" t="n">
        <v>70.52835719124556</v>
      </c>
      <c r="AV49" s="3" t="n">
        <v>70.05906498779161</v>
      </c>
      <c r="AW49" s="3" t="n">
        <v>69.07341790743359</v>
      </c>
      <c r="AX49" s="3" t="n">
        <v>67.1993293519018</v>
      </c>
      <c r="AY49" s="3" t="n">
        <v>67.86819663981915</v>
      </c>
      <c r="AZ49" s="3" t="n">
        <v>67.36459785536857</v>
      </c>
      <c r="BA49" s="3" t="n">
        <v>67.04830270754685</v>
      </c>
      <c r="BB49" s="3" t="n">
        <v>66.08359178603068</v>
      </c>
      <c r="BC49" s="3" t="n">
        <v>66.51540949092271</v>
      </c>
      <c r="BD49" s="3" t="n">
        <v>65.93390434878518</v>
      </c>
      <c r="BE49" s="3" t="n">
        <v>64.57256030874458</v>
      </c>
      <c r="BF49" s="3" t="n">
        <v>65.63261901225353</v>
      </c>
      <c r="BG49" s="3" t="n">
        <v>65.53390104650234</v>
      </c>
      <c r="BH49" s="3" t="n">
        <v>65.97090324720189</v>
      </c>
      <c r="BI49" s="3" t="n">
        <v>68.47501901348599</v>
      </c>
      <c r="BJ49" s="3" t="n">
        <v>69.05967014825508</v>
      </c>
      <c r="BK49" s="3" t="n">
        <v>68.51231597736384</v>
      </c>
      <c r="BL49" s="3" t="n">
        <v>68.11835702086785</v>
      </c>
      <c r="BM49" s="3" t="n">
        <v>68.66861371157323</v>
      </c>
      <c r="BN49" s="3" t="n">
        <v>70.72403705265357</v>
      </c>
      <c r="BO49" s="3" t="n">
        <v>72.70185153198719</v>
      </c>
      <c r="BP49" s="3" t="n">
        <v>73.86696475893511</v>
      </c>
      <c r="BQ49" s="3" t="n">
        <v>77.50804051027607</v>
      </c>
      <c r="BR49" s="34" t="str">
        <f>B49&amp;"|"&amp;D49</f>
        <v>COL|NE.CON.PRVT.ZS</v>
      </c>
    </row>
    <row r="50">
      <c r="A50" s="3" t="inlineStr">
        <is>
          <t>Comoros</t>
        </is>
      </c>
      <c r="B50" s="3" t="inlineStr">
        <is>
          <t>COM</t>
        </is>
      </c>
      <c r="C50" s="3" t="inlineStr">
        <is>
          <t>Households and NPISHs final consumption expenditure (% of GDP)</t>
        </is>
      </c>
      <c r="D50" s="3" t="inlineStr">
        <is>
          <t>NE.CON.PRVT.ZS</t>
        </is>
      </c>
      <c r="E50" s="3" t="n">
        <v>2023</v>
      </c>
      <c r="F50" s="3" t="n"/>
      <c r="G50" s="3" t="n"/>
      <c r="H50" s="3" t="n"/>
      <c r="I50" s="3" t="n"/>
      <c r="J50" s="3" t="n"/>
      <c r="K50" s="3" t="n"/>
      <c r="L50" s="3" t="n"/>
      <c r="M50" s="3" t="n"/>
      <c r="N50" s="3" t="n"/>
      <c r="O50" s="3" t="n"/>
      <c r="P50" s="3" t="n"/>
      <c r="Q50" s="3" t="n"/>
      <c r="R50" s="3" t="n"/>
      <c r="S50" s="3" t="n"/>
      <c r="T50" s="3" t="n"/>
      <c r="U50" s="3" t="n"/>
      <c r="V50" s="3" t="n"/>
      <c r="W50" s="3" t="n"/>
      <c r="X50" s="3" t="n"/>
      <c r="Y50" s="3" t="n"/>
      <c r="Z50" s="3" t="n">
        <v>88.99569551932555</v>
      </c>
      <c r="AA50" s="3" t="n">
        <v>88.99801326985794</v>
      </c>
      <c r="AB50" s="3" t="n">
        <v>88.99712234975027</v>
      </c>
      <c r="AC50" s="3" t="n">
        <v>88.99753492193919</v>
      </c>
      <c r="AD50" s="3" t="n">
        <v>88.99682791435369</v>
      </c>
      <c r="AE50" s="3" t="n">
        <v>88.99763523834309</v>
      </c>
      <c r="AF50" s="3" t="n">
        <v>88.99748673554872</v>
      </c>
      <c r="AG50" s="3" t="n">
        <v>88.99721997673456</v>
      </c>
      <c r="AH50" s="3" t="n">
        <v>88.99813527716563</v>
      </c>
      <c r="AI50" s="3" t="n">
        <v>88.99782435074771</v>
      </c>
      <c r="AJ50" s="3" t="n">
        <v>88.99717876378558</v>
      </c>
      <c r="AK50" s="3" t="n">
        <v>88.99810268883262</v>
      </c>
      <c r="AL50" s="3" t="n">
        <v>88.99773677167826</v>
      </c>
      <c r="AM50" s="3" t="n">
        <v>88.99780096383287</v>
      </c>
      <c r="AN50" s="3" t="n">
        <v>88.99781807237981</v>
      </c>
      <c r="AO50" s="3" t="n">
        <v>88.99756648588495</v>
      </c>
      <c r="AP50" s="3" t="n">
        <v>88.99769661072722</v>
      </c>
      <c r="AQ50" s="3" t="n">
        <v>88.99739868994264</v>
      </c>
      <c r="AR50" s="3" t="n">
        <v>88.99711157385639</v>
      </c>
      <c r="AS50" s="3" t="n">
        <v>88.99710092408046</v>
      </c>
      <c r="AT50" s="3" t="n">
        <v>88.9972465046649</v>
      </c>
      <c r="AU50" s="3" t="n">
        <v>88.99747975143808</v>
      </c>
      <c r="AV50" s="3" t="n">
        <v>88.99753184461902</v>
      </c>
      <c r="AW50" s="3" t="n">
        <v>88.99740596082454</v>
      </c>
      <c r="AX50" s="3" t="n">
        <v>88.99745843524197</v>
      </c>
      <c r="AY50" s="3" t="n">
        <v>88.99748219942063</v>
      </c>
      <c r="AZ50" s="3" t="n">
        <v>88.99762112702305</v>
      </c>
      <c r="BA50" s="3" t="n">
        <v>87.59395995476618</v>
      </c>
      <c r="BB50" s="3" t="n">
        <v>89.59280154625712</v>
      </c>
      <c r="BC50" s="3" t="n">
        <v>89.80559417784625</v>
      </c>
      <c r="BD50" s="3" t="n">
        <v>90.95851869878646</v>
      </c>
      <c r="BE50" s="3" t="n">
        <v>93.40673016294429</v>
      </c>
      <c r="BF50" s="3" t="n">
        <v>96.72351562017974</v>
      </c>
      <c r="BG50" s="3" t="n">
        <v>95.46359289634006</v>
      </c>
      <c r="BH50" s="3" t="n">
        <v>94.40467249062161</v>
      </c>
      <c r="BI50" s="3" t="n">
        <v>93.30261050645973</v>
      </c>
      <c r="BJ50" s="3" t="n">
        <v>92.61149949240158</v>
      </c>
      <c r="BK50" s="3" t="n">
        <v>92.10450601747166</v>
      </c>
      <c r="BL50" s="3" t="n">
        <v>92.08032550203438</v>
      </c>
      <c r="BM50" s="3" t="n">
        <v>93.89146690481314</v>
      </c>
      <c r="BN50" s="3" t="n">
        <v>100.0238794655548</v>
      </c>
      <c r="BO50" s="3" t="n">
        <v>96.98042721789002</v>
      </c>
      <c r="BP50" s="3" t="n">
        <v>99.77290044723981</v>
      </c>
      <c r="BQ50" s="3" t="n">
        <v>100.0606018813668</v>
      </c>
      <c r="BR50" s="34" t="str">
        <f>B50&amp;"|"&amp;D50</f>
        <v>COM|NE.CON.PRVT.ZS</v>
      </c>
    </row>
    <row r="51">
      <c r="A51" s="3" t="inlineStr">
        <is>
          <t>Cabo Verde</t>
        </is>
      </c>
      <c r="B51" s="3" t="inlineStr">
        <is>
          <t>CPV</t>
        </is>
      </c>
      <c r="C51" s="3" t="inlineStr">
        <is>
          <t>Households and NPISHs final consumption expenditure (% of GDP)</t>
        </is>
      </c>
      <c r="D51" s="3" t="inlineStr">
        <is>
          <t>NE.CON.PRVT.ZS</t>
        </is>
      </c>
      <c r="E51" s="3" t="n">
        <v>2023</v>
      </c>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c r="AH51" s="3" t="n"/>
      <c r="AI51" s="3" t="n"/>
      <c r="AJ51" s="3" t="n"/>
      <c r="AK51" s="3" t="n"/>
      <c r="AL51" s="3" t="n"/>
      <c r="AM51" s="3" t="n"/>
      <c r="AN51" s="3" t="n"/>
      <c r="AO51" s="3" t="n"/>
      <c r="AP51" s="3" t="n"/>
      <c r="AQ51" s="3" t="n"/>
      <c r="AR51" s="3" t="n"/>
      <c r="AS51" s="3" t="n"/>
      <c r="AT51" s="3" t="n"/>
      <c r="AU51" s="3" t="n"/>
      <c r="AV51" s="3" t="n"/>
      <c r="AW51" s="3" t="n"/>
      <c r="AX51" s="3" t="n"/>
      <c r="AY51" s="3" t="n"/>
      <c r="AZ51" s="3" t="n"/>
      <c r="BA51" s="3" t="n">
        <v>60.58399562516782</v>
      </c>
      <c r="BB51" s="3" t="n">
        <v>58.21059364842193</v>
      </c>
      <c r="BC51" s="3" t="n">
        <v>61.3979202302409</v>
      </c>
      <c r="BD51" s="3" t="n">
        <v>60.23452038395421</v>
      </c>
      <c r="BE51" s="3" t="n">
        <v>60.00996552893062</v>
      </c>
      <c r="BF51" s="3" t="n">
        <v>62.00408751209137</v>
      </c>
      <c r="BG51" s="3" t="n">
        <v>62.39793057475548</v>
      </c>
      <c r="BH51" s="3" t="n">
        <v>62.01858197568541</v>
      </c>
      <c r="BI51" s="3" t="n">
        <v>62.37135719461355</v>
      </c>
      <c r="BJ51" s="3" t="n">
        <v>64.04521966469196</v>
      </c>
      <c r="BK51" s="3" t="n">
        <v>68.86350536379864</v>
      </c>
      <c r="BL51" s="3" t="n">
        <v>68.52025458380503</v>
      </c>
      <c r="BM51" s="3" t="n">
        <v>66.94614912778442</v>
      </c>
      <c r="BN51" s="3" t="n">
        <v>73.11547891584743</v>
      </c>
      <c r="BO51" s="3" t="n">
        <v>75.41806519110528</v>
      </c>
      <c r="BP51" s="3" t="n">
        <v>73.37292256331669</v>
      </c>
      <c r="BQ51" s="3" t="n">
        <v>74.66612754607472</v>
      </c>
      <c r="BR51" s="34" t="str">
        <f>B51&amp;"|"&amp;D51</f>
        <v>CPV|NE.CON.PRVT.ZS</v>
      </c>
    </row>
    <row r="52">
      <c r="A52" s="3" t="inlineStr">
        <is>
          <t>Costa Rica</t>
        </is>
      </c>
      <c r="B52" s="3" t="inlineStr">
        <is>
          <t>CRI</t>
        </is>
      </c>
      <c r="C52" s="3" t="inlineStr">
        <is>
          <t>Households and NPISHs final consumption expenditure (% of GDP)</t>
        </is>
      </c>
      <c r="D52" s="3" t="inlineStr">
        <is>
          <t>NE.CON.PRVT.ZS</t>
        </is>
      </c>
      <c r="E52" s="3" t="n">
        <v>2023</v>
      </c>
      <c r="F52" s="3" t="n">
        <v>77.03897381304151</v>
      </c>
      <c r="G52" s="3" t="n">
        <v>73.6967700174994</v>
      </c>
      <c r="H52" s="3" t="n">
        <v>72.40004112219405</v>
      </c>
      <c r="I52" s="3" t="n">
        <v>74.11725819666786</v>
      </c>
      <c r="J52" s="3" t="n">
        <v>75.48915520324203</v>
      </c>
      <c r="K52" s="3" t="n">
        <v>78.52615102323274</v>
      </c>
      <c r="L52" s="3" t="n">
        <v>74.41470359176866</v>
      </c>
      <c r="M52" s="3" t="n">
        <v>74.34558202927163</v>
      </c>
      <c r="N52" s="3" t="n">
        <v>74.25634568545743</v>
      </c>
      <c r="O52" s="3" t="n">
        <v>72.84847713032948</v>
      </c>
      <c r="P52" s="3" t="n">
        <v>73.64242696428622</v>
      </c>
      <c r="Q52" s="3" t="n">
        <v>72.10312759295758</v>
      </c>
      <c r="R52" s="3" t="n">
        <v>69.96397185910077</v>
      </c>
      <c r="S52" s="3" t="n">
        <v>68.13547913745298</v>
      </c>
      <c r="T52" s="3" t="n">
        <v>73.94538370230396</v>
      </c>
      <c r="U52" s="3" t="n">
        <v>71.62324644218396</v>
      </c>
      <c r="V52" s="3" t="n">
        <v>66.34777225328406</v>
      </c>
      <c r="W52" s="3" t="n">
        <v>65.21437077659104</v>
      </c>
      <c r="X52" s="3" t="n">
        <v>67.60206643729472</v>
      </c>
      <c r="Y52" s="3" t="n">
        <v>66.90444130467307</v>
      </c>
      <c r="Z52" s="3" t="n">
        <v>65.54588031936085</v>
      </c>
      <c r="AA52" s="3" t="n">
        <v>60.14374048736977</v>
      </c>
      <c r="AB52" s="3" t="n">
        <v>57.83984674122576</v>
      </c>
      <c r="AC52" s="3" t="n">
        <v>61.4633373029989</v>
      </c>
      <c r="AD52" s="3" t="n">
        <v>61.24535230466184</v>
      </c>
      <c r="AE52" s="3" t="n">
        <v>60.11242937796016</v>
      </c>
      <c r="AF52" s="3" t="n">
        <v>58.55357688175772</v>
      </c>
      <c r="AG52" s="3" t="n">
        <v>62.02259558983234</v>
      </c>
      <c r="AH52" s="3" t="n">
        <v>61.70065545309296</v>
      </c>
      <c r="AI52" s="3" t="n">
        <v>60.3231851183828</v>
      </c>
      <c r="AJ52" s="3" t="n">
        <v>61.42193551891477</v>
      </c>
      <c r="AK52" s="3" t="n">
        <v>73.03267796163671</v>
      </c>
      <c r="AL52" s="3" t="n">
        <v>72.98918186992022</v>
      </c>
      <c r="AM52" s="3" t="n">
        <v>73.477306972886</v>
      </c>
      <c r="AN52" s="3" t="n">
        <v>72.15935646155084</v>
      </c>
      <c r="AO52" s="3" t="n">
        <v>71.04741738059811</v>
      </c>
      <c r="AP52" s="3" t="n">
        <v>73.2197703436949</v>
      </c>
      <c r="AQ52" s="3" t="n">
        <v>71.71664834469301</v>
      </c>
      <c r="AR52" s="3" t="n">
        <v>68.72031668954885</v>
      </c>
      <c r="AS52" s="3" t="n">
        <v>68.0559742710561</v>
      </c>
      <c r="AT52" s="3" t="n">
        <v>66.24976268508001</v>
      </c>
      <c r="AU52" s="3" t="n">
        <v>65.4238122162692</v>
      </c>
      <c r="AV52" s="3" t="n">
        <v>67.38949029476012</v>
      </c>
      <c r="AW52" s="3" t="n">
        <v>68.52176522107118</v>
      </c>
      <c r="AX52" s="3" t="n">
        <v>67.93479235799734</v>
      </c>
      <c r="AY52" s="3" t="n">
        <v>69.81659224846879</v>
      </c>
      <c r="AZ52" s="3" t="n">
        <v>68.93580182673192</v>
      </c>
      <c r="BA52" s="3" t="n">
        <v>69.2002838961609</v>
      </c>
      <c r="BB52" s="3" t="n">
        <v>70.60037657845196</v>
      </c>
      <c r="BC52" s="3" t="n">
        <v>66.29366595610594</v>
      </c>
      <c r="BD52" s="3" t="n">
        <v>65.39863782608977</v>
      </c>
      <c r="BE52" s="3" t="n">
        <v>66.68418893501848</v>
      </c>
      <c r="BF52" s="3" t="n">
        <v>67.10166141280938</v>
      </c>
      <c r="BG52" s="3" t="n">
        <v>66.16246256511269</v>
      </c>
      <c r="BH52" s="3" t="n">
        <v>66.23095494619155</v>
      </c>
      <c r="BI52" s="3" t="n">
        <v>64.9482778517656</v>
      </c>
      <c r="BJ52" s="3" t="n">
        <v>64.0606655180768</v>
      </c>
      <c r="BK52" s="3" t="n">
        <v>65.1235385563006</v>
      </c>
      <c r="BL52" s="3" t="n">
        <v>64.90272600631968</v>
      </c>
      <c r="BM52" s="3" t="n">
        <v>64.29460072154592</v>
      </c>
      <c r="BN52" s="3" t="n">
        <v>62.45910419615623</v>
      </c>
      <c r="BO52" s="3" t="n">
        <v>63.31634538576517</v>
      </c>
      <c r="BP52" s="3" t="n">
        <v>64.85969368410727</v>
      </c>
      <c r="BQ52" s="3" t="n">
        <v>65.43581516028908</v>
      </c>
      <c r="BR52" s="34" t="str">
        <f>B52&amp;"|"&amp;D52</f>
        <v>CRI|NE.CON.PRVT.ZS</v>
      </c>
    </row>
    <row r="53">
      <c r="A53" s="3" t="inlineStr">
        <is>
          <t>Caribbean small states</t>
        </is>
      </c>
      <c r="B53" s="3" t="inlineStr">
        <is>
          <t>CSS</t>
        </is>
      </c>
      <c r="C53" s="3" t="inlineStr">
        <is>
          <t>Households and NPISHs final consumption expenditure (% of GDP)</t>
        </is>
      </c>
      <c r="D53" s="3" t="inlineStr">
        <is>
          <t>NE.CON.PRVT.ZS</t>
        </is>
      </c>
      <c r="E53" s="3" t="inlineStr">
        <is>
          <t>0x2a</t>
        </is>
      </c>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c r="AH53" s="3" t="n"/>
      <c r="AI53" s="3" t="n"/>
      <c r="AJ53" s="3" t="n"/>
      <c r="AK53" s="3" t="n"/>
      <c r="AL53" s="3" t="n"/>
      <c r="AM53" s="3" t="n"/>
      <c r="AN53" s="3" t="n"/>
      <c r="AO53" s="3" t="n"/>
      <c r="AP53" s="3" t="n"/>
      <c r="AQ53" s="3" t="n"/>
      <c r="AR53" s="3" t="n"/>
      <c r="AS53" s="3" t="n"/>
      <c r="AT53" s="3" t="n"/>
      <c r="AU53" s="3" t="n"/>
      <c r="AV53" s="3" t="n"/>
      <c r="AW53" s="3" t="n"/>
      <c r="AX53" s="3" t="n"/>
      <c r="AY53" s="3" t="n"/>
      <c r="AZ53" s="3" t="n"/>
      <c r="BA53" s="3" t="n"/>
      <c r="BB53" s="3" t="n"/>
      <c r="BC53" s="3" t="n"/>
      <c r="BD53" s="3" t="n"/>
      <c r="BE53" s="3" t="n"/>
      <c r="BF53" s="3" t="n"/>
      <c r="BG53" s="3" t="n"/>
      <c r="BH53" s="3" t="n"/>
      <c r="BI53" s="3" t="n"/>
      <c r="BJ53" s="3" t="n"/>
      <c r="BK53" s="3" t="n"/>
      <c r="BL53" s="3" t="n"/>
      <c r="BM53" s="3" t="n"/>
      <c r="BN53" s="3" t="n"/>
      <c r="BO53" s="3" t="n"/>
      <c r="BP53" s="3" t="n"/>
      <c r="BQ53" s="3" t="n"/>
      <c r="BR53" s="34" t="str">
        <f>B53&amp;"|"&amp;D53</f>
        <v>CSS|NE.CON.PRVT.ZS</v>
      </c>
    </row>
    <row r="54">
      <c r="A54" s="3" t="inlineStr">
        <is>
          <t>Cuba</t>
        </is>
      </c>
      <c r="B54" s="3" t="inlineStr">
        <is>
          <t>CUB</t>
        </is>
      </c>
      <c r="C54" s="3" t="inlineStr">
        <is>
          <t>Households and NPISHs final consumption expenditure (% of GDP)</t>
        </is>
      </c>
      <c r="D54" s="3" t="inlineStr">
        <is>
          <t>NE.CON.PRVT.ZS</t>
        </is>
      </c>
      <c r="E54" s="3" t="n">
        <v>2022</v>
      </c>
      <c r="F54" s="3" t="n"/>
      <c r="G54" s="3" t="n"/>
      <c r="H54" s="3" t="n"/>
      <c r="I54" s="3" t="n"/>
      <c r="J54" s="3" t="n"/>
      <c r="K54" s="3" t="n"/>
      <c r="L54" s="3" t="n"/>
      <c r="M54" s="3" t="n"/>
      <c r="N54" s="3" t="n"/>
      <c r="O54" s="3" t="n"/>
      <c r="P54" s="3" t="n">
        <v>54.59067383251293</v>
      </c>
      <c r="Q54" s="3" t="n">
        <v>54.5828670292664</v>
      </c>
      <c r="R54" s="3" t="n">
        <v>54.58556463505798</v>
      </c>
      <c r="S54" s="3" t="n">
        <v>54.59895927821447</v>
      </c>
      <c r="T54" s="3" t="n">
        <v>54.62588281583704</v>
      </c>
      <c r="U54" s="3" t="n">
        <v>54.56009023372428</v>
      </c>
      <c r="V54" s="3" t="n">
        <v>54.54384341524414</v>
      </c>
      <c r="W54" s="3" t="n">
        <v>54.59904853585604</v>
      </c>
      <c r="X54" s="3" t="n">
        <v>54.66592800916007</v>
      </c>
      <c r="Y54" s="3" t="n">
        <v>54.7605026679129</v>
      </c>
      <c r="Z54" s="3" t="n">
        <v>54.23112836174018</v>
      </c>
      <c r="AA54" s="3" t="n">
        <v>54.46260778116051</v>
      </c>
      <c r="AB54" s="3" t="n">
        <v>54.87507731190928</v>
      </c>
      <c r="AC54" s="3" t="n">
        <v>55.00032428886252</v>
      </c>
      <c r="AD54" s="3" t="n">
        <v>55.23337497987851</v>
      </c>
      <c r="AE54" s="3" t="n">
        <v>51.58425851815694</v>
      </c>
      <c r="AF54" s="3" t="n">
        <v>55.62000364400411</v>
      </c>
      <c r="AG54" s="3" t="n">
        <v>56.93742295959625</v>
      </c>
      <c r="AH54" s="3" t="n">
        <v>55.62656102250332</v>
      </c>
      <c r="AI54" s="3" t="n">
        <v>56.39862941883249</v>
      </c>
      <c r="AJ54" s="3" t="n">
        <v>53.90128676273549</v>
      </c>
      <c r="AK54" s="3" t="n">
        <v>59.39463697417248</v>
      </c>
      <c r="AL54" s="3" t="n">
        <v>61.05363459585925</v>
      </c>
      <c r="AM54" s="3" t="n">
        <v>61.94110458987446</v>
      </c>
      <c r="AN54" s="3" t="n">
        <v>67.95862140146389</v>
      </c>
      <c r="AO54" s="3" t="n">
        <v>70.5094057958156</v>
      </c>
      <c r="AP54" s="3" t="n">
        <v>59.54663009783279</v>
      </c>
      <c r="AQ54" s="3" t="n">
        <v>61.11785921041005</v>
      </c>
      <c r="AR54" s="3" t="n">
        <v>63.12321625702423</v>
      </c>
      <c r="AS54" s="3" t="n">
        <v>62.01212276625562</v>
      </c>
      <c r="AT54" s="3" t="n">
        <v>60.71603839635667</v>
      </c>
      <c r="AU54" s="3" t="n">
        <v>60.53834305481908</v>
      </c>
      <c r="AV54" s="3" t="n">
        <v>58.37424271743499</v>
      </c>
      <c r="AW54" s="3" t="n">
        <v>58.4462357804196</v>
      </c>
      <c r="AX54" s="3" t="n">
        <v>54.98756642148523</v>
      </c>
      <c r="AY54" s="3" t="n">
        <v>52.9021356031335</v>
      </c>
      <c r="AZ54" s="3" t="n">
        <v>55.79889577345154</v>
      </c>
      <c r="BA54" s="3" t="n">
        <v>51.70201983144467</v>
      </c>
      <c r="BB54" s="3" t="n">
        <v>49.05659446471829</v>
      </c>
      <c r="BC54" s="3" t="n">
        <v>48.09600515463918</v>
      </c>
      <c r="BD54" s="3" t="n">
        <v>50.31867926874767</v>
      </c>
      <c r="BE54" s="3" t="n">
        <v>52.86128424409334</v>
      </c>
      <c r="BF54" s="3" t="n">
        <v>54.35391914247823</v>
      </c>
      <c r="BG54" s="3" t="n">
        <v>54.28267745113289</v>
      </c>
      <c r="BH54" s="3" t="n">
        <v>55.08820783548919</v>
      </c>
      <c r="BI54" s="3" t="n">
        <v>55.72413603143707</v>
      </c>
      <c r="BJ54" s="3" t="n">
        <v>55.84849755308251</v>
      </c>
      <c r="BK54" s="3" t="n">
        <v>55.98413657789221</v>
      </c>
      <c r="BL54" s="3" t="n">
        <v>55.95900030082002</v>
      </c>
      <c r="BM54" s="3" t="n">
        <v>54.66625929635804</v>
      </c>
      <c r="BN54" s="3" t="n">
        <v>50.62327785840572</v>
      </c>
      <c r="BO54" s="3" t="n">
        <v>52.59933688897595</v>
      </c>
      <c r="BP54" s="3" t="n">
        <v>59.64963186070775</v>
      </c>
      <c r="BQ54" s="3" t="n"/>
      <c r="BR54" s="34" t="str">
        <f>B54&amp;"|"&amp;D54</f>
        <v>CUB|NE.CON.PRVT.ZS</v>
      </c>
    </row>
    <row r="55">
      <c r="A55" s="3" t="inlineStr">
        <is>
          <t>Curacao</t>
        </is>
      </c>
      <c r="B55" s="3" t="inlineStr">
        <is>
          <t>CUW</t>
        </is>
      </c>
      <c r="C55" s="3" t="inlineStr">
        <is>
          <t>Households and NPISHs final consumption expenditure (% of GDP)</t>
        </is>
      </c>
      <c r="D55" s="3" t="inlineStr">
        <is>
          <t>NE.CON.PRVT.ZS</t>
        </is>
      </c>
      <c r="E55" s="3" t="n">
        <v>2018</v>
      </c>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c r="AH55" s="3" t="n"/>
      <c r="AI55" s="3" t="n"/>
      <c r="AJ55" s="3" t="n"/>
      <c r="AK55" s="3" t="n"/>
      <c r="AL55" s="3" t="n"/>
      <c r="AM55" s="3" t="n"/>
      <c r="AN55" s="3" t="n"/>
      <c r="AO55" s="3" t="n"/>
      <c r="AP55" s="3" t="n"/>
      <c r="AQ55" s="3" t="n"/>
      <c r="AR55" s="3" t="n"/>
      <c r="AS55" s="3" t="n"/>
      <c r="AT55" s="3" t="n"/>
      <c r="AU55" s="3" t="n"/>
      <c r="AV55" s="3" t="n"/>
      <c r="AW55" s="3" t="n"/>
      <c r="AX55" s="3" t="n"/>
      <c r="AY55" s="3" t="n">
        <v>64.93124795637885</v>
      </c>
      <c r="AZ55" s="3" t="n">
        <v>67.52106973124077</v>
      </c>
      <c r="BA55" s="3" t="n">
        <v>72.22550174044204</v>
      </c>
      <c r="BB55" s="3" t="n">
        <v>72.85600570024505</v>
      </c>
      <c r="BC55" s="3" t="n">
        <v>70.2190718994774</v>
      </c>
      <c r="BD55" s="3" t="n">
        <v>80.03363907681376</v>
      </c>
      <c r="BE55" s="3" t="n">
        <v>73.36318335432497</v>
      </c>
      <c r="BF55" s="3" t="n">
        <v>73.41585312557152</v>
      </c>
      <c r="BG55" s="3" t="n">
        <v>73.15719646374778</v>
      </c>
      <c r="BH55" s="3" t="n">
        <v>71.0492968979182</v>
      </c>
      <c r="BI55" s="3" t="n">
        <v>69.23563985106118</v>
      </c>
      <c r="BJ55" s="3" t="n">
        <v>68.35364678563319</v>
      </c>
      <c r="BK55" s="3" t="n">
        <v>73.53432063582656</v>
      </c>
      <c r="BL55" s="3" t="n">
        <v>73.22950900542142</v>
      </c>
      <c r="BM55" s="3" t="n"/>
      <c r="BN55" s="3" t="n"/>
      <c r="BO55" s="3" t="n"/>
      <c r="BP55" s="3" t="n"/>
      <c r="BQ55" s="3" t="n"/>
      <c r="BR55" s="34" t="str">
        <f>B55&amp;"|"&amp;D55</f>
        <v>CUW|NE.CON.PRVT.ZS</v>
      </c>
    </row>
    <row r="56">
      <c r="A56" s="3" t="inlineStr">
        <is>
          <t>Cayman Islands</t>
        </is>
      </c>
      <c r="B56" s="3" t="inlineStr">
        <is>
          <t>CYM</t>
        </is>
      </c>
      <c r="C56" s="3" t="inlineStr">
        <is>
          <t>Households and NPISHs final consumption expenditure (% of GDP)</t>
        </is>
      </c>
      <c r="D56" s="3" t="inlineStr">
        <is>
          <t>NE.CON.PRVT.ZS</t>
        </is>
      </c>
      <c r="E56" s="3" t="inlineStr">
        <is>
          <t>0x2a</t>
        </is>
      </c>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c r="AC56" s="3" t="n"/>
      <c r="AD56" s="3" t="n"/>
      <c r="AE56" s="3" t="n"/>
      <c r="AF56" s="3" t="n"/>
      <c r="AG56" s="3" t="n"/>
      <c r="AH56" s="3" t="n"/>
      <c r="AI56" s="3" t="n"/>
      <c r="AJ56" s="3" t="n"/>
      <c r="AK56" s="3" t="n"/>
      <c r="AL56" s="3" t="n"/>
      <c r="AM56" s="3" t="n"/>
      <c r="AN56" s="3" t="n"/>
      <c r="AO56" s="3" t="n"/>
      <c r="AP56" s="3" t="n"/>
      <c r="AQ56" s="3" t="n"/>
      <c r="AR56" s="3" t="n"/>
      <c r="AS56" s="3" t="n"/>
      <c r="AT56" s="3" t="n"/>
      <c r="AU56" s="3" t="n"/>
      <c r="AV56" s="3" t="n"/>
      <c r="AW56" s="3" t="n"/>
      <c r="AX56" s="3" t="n"/>
      <c r="AY56" s="3" t="n"/>
      <c r="AZ56" s="3" t="n"/>
      <c r="BA56" s="3" t="n"/>
      <c r="BB56" s="3" t="n"/>
      <c r="BC56" s="3" t="n"/>
      <c r="BD56" s="3" t="n"/>
      <c r="BE56" s="3" t="n"/>
      <c r="BF56" s="3" t="n"/>
      <c r="BG56" s="3" t="n"/>
      <c r="BH56" s="3" t="n"/>
      <c r="BI56" s="3" t="n"/>
      <c r="BJ56" s="3" t="n"/>
      <c r="BK56" s="3" t="n"/>
      <c r="BL56" s="3" t="n"/>
      <c r="BM56" s="3" t="n"/>
      <c r="BN56" s="3" t="n"/>
      <c r="BO56" s="3" t="n"/>
      <c r="BP56" s="3" t="n"/>
      <c r="BQ56" s="3" t="n"/>
      <c r="BR56" s="34" t="str">
        <f>B56&amp;"|"&amp;D56</f>
        <v>CYM|NE.CON.PRVT.ZS</v>
      </c>
    </row>
    <row r="57">
      <c r="A57" s="3" t="inlineStr">
        <is>
          <t>Cyprus</t>
        </is>
      </c>
      <c r="B57" s="3" t="inlineStr">
        <is>
          <t>CYP</t>
        </is>
      </c>
      <c r="C57" s="3" t="inlineStr">
        <is>
          <t>Households and NPISHs final consumption expenditure (% of GDP)</t>
        </is>
      </c>
      <c r="D57" s="3" t="inlineStr">
        <is>
          <t>NE.CON.PRVT.ZS</t>
        </is>
      </c>
      <c r="E57" s="3" t="n">
        <v>2023</v>
      </c>
      <c r="F57" s="3" t="n"/>
      <c r="G57" s="3" t="n"/>
      <c r="H57" s="3" t="n"/>
      <c r="I57" s="3" t="n"/>
      <c r="J57" s="3" t="n"/>
      <c r="K57" s="3" t="n"/>
      <c r="L57" s="3" t="n"/>
      <c r="M57" s="3" t="n"/>
      <c r="N57" s="3" t="n"/>
      <c r="O57" s="3" t="n"/>
      <c r="P57" s="3" t="n"/>
      <c r="Q57" s="3" t="n"/>
      <c r="R57" s="3" t="n"/>
      <c r="S57" s="3" t="n"/>
      <c r="T57" s="3" t="n"/>
      <c r="U57" s="3" t="n">
        <v>81.20621547282165</v>
      </c>
      <c r="V57" s="3" t="n">
        <v>75.68134730465449</v>
      </c>
      <c r="W57" s="3" t="n">
        <v>75.72677512932812</v>
      </c>
      <c r="X57" s="3" t="n">
        <v>74.35340798186655</v>
      </c>
      <c r="Y57" s="3" t="n">
        <v>68.22800445915962</v>
      </c>
      <c r="Z57" s="3" t="n">
        <v>66.86834229668041</v>
      </c>
      <c r="AA57" s="3" t="n">
        <v>65.5022809984587</v>
      </c>
      <c r="AB57" s="3" t="n">
        <v>66.15279734592029</v>
      </c>
      <c r="AC57" s="3" t="n">
        <v>67.37045773554111</v>
      </c>
      <c r="AD57" s="3" t="n">
        <v>63.66831114326359</v>
      </c>
      <c r="AE57" s="3" t="n">
        <v>63.81054655632885</v>
      </c>
      <c r="AF57" s="3" t="n">
        <v>61.16559426753921</v>
      </c>
      <c r="AG57" s="3" t="n">
        <v>59.53263821550669</v>
      </c>
      <c r="AH57" s="3" t="n">
        <v>60.63430281476057</v>
      </c>
      <c r="AI57" s="3" t="n">
        <v>59.5196915425435</v>
      </c>
      <c r="AJ57" s="3" t="n">
        <v>61.22393601883649</v>
      </c>
      <c r="AK57" s="3" t="n">
        <v>65.70830702860744</v>
      </c>
      <c r="AL57" s="3" t="n">
        <v>63.44709693796579</v>
      </c>
      <c r="AM57" s="3" t="n">
        <v>59.47415131560828</v>
      </c>
      <c r="AN57" s="3" t="n">
        <v>58.22444955635358</v>
      </c>
      <c r="AO57" s="3" t="n">
        <v>61.85858298021753</v>
      </c>
      <c r="AP57" s="3" t="n">
        <v>63.02346801472123</v>
      </c>
      <c r="AQ57" s="3" t="n">
        <v>62.5147475284044</v>
      </c>
      <c r="AR57" s="3" t="n">
        <v>62.36982848807112</v>
      </c>
      <c r="AS57" s="3" t="n">
        <v>61.35438086448823</v>
      </c>
      <c r="AT57" s="3" t="n">
        <v>61.90367873241113</v>
      </c>
      <c r="AU57" s="3" t="n">
        <v>61.60048300364785</v>
      </c>
      <c r="AV57" s="3" t="n">
        <v>61.76027741599188</v>
      </c>
      <c r="AW57" s="3" t="n">
        <v>60.89295934820613</v>
      </c>
      <c r="AX57" s="3" t="n">
        <v>61.47630105910306</v>
      </c>
      <c r="AY57" s="3" t="n">
        <v>61.57097957632234</v>
      </c>
      <c r="AZ57" s="3" t="n">
        <v>61.43164963939416</v>
      </c>
      <c r="BA57" s="3" t="n">
        <v>63.93139647772482</v>
      </c>
      <c r="BB57" s="3" t="n">
        <v>66.75461356949781</v>
      </c>
      <c r="BC57" s="3" t="n">
        <v>63.69545907034422</v>
      </c>
      <c r="BD57" s="3" t="n">
        <v>65.79881011002087</v>
      </c>
      <c r="BE57" s="3" t="n">
        <v>65.79993780867481</v>
      </c>
      <c r="BF57" s="3" t="n">
        <v>66.86826494000731</v>
      </c>
      <c r="BG57" s="3" t="n">
        <v>67.03439058208751</v>
      </c>
      <c r="BH57" s="3" t="n">
        <v>68.68043269272843</v>
      </c>
      <c r="BI57" s="3" t="n">
        <v>67.30983067297743</v>
      </c>
      <c r="BJ57" s="3" t="n">
        <v>65.51269350665852</v>
      </c>
      <c r="BK57" s="3" t="n">
        <v>64.92429122997619</v>
      </c>
      <c r="BL57" s="3" t="n">
        <v>64.7719929255212</v>
      </c>
      <c r="BM57" s="3" t="n">
        <v>63.08809308815737</v>
      </c>
      <c r="BN57" s="3" t="n">
        <v>61.07110539501704</v>
      </c>
      <c r="BO57" s="3" t="n">
        <v>57.60210657812235</v>
      </c>
      <c r="BP57" s="3" t="n">
        <v>59.7808762645354</v>
      </c>
      <c r="BQ57" s="3" t="n">
        <v>59.92217324454503</v>
      </c>
      <c r="BR57" s="34" t="str">
        <f>B57&amp;"|"&amp;D57</f>
        <v>CYP|NE.CON.PRVT.ZS</v>
      </c>
    </row>
    <row r="58">
      <c r="A58" s="3" t="inlineStr">
        <is>
          <t>Czechia</t>
        </is>
      </c>
      <c r="B58" s="3" t="inlineStr">
        <is>
          <t>CZE</t>
        </is>
      </c>
      <c r="C58" s="3" t="inlineStr">
        <is>
          <t>Households and NPISHs final consumption expenditure (% of GDP)</t>
        </is>
      </c>
      <c r="D58" s="3" t="inlineStr">
        <is>
          <t>NE.CON.PRVT.ZS</t>
        </is>
      </c>
      <c r="E58" s="3" t="n">
        <v>2023</v>
      </c>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C58" s="3" t="n"/>
      <c r="AD58" s="3" t="n"/>
      <c r="AE58" s="3" t="n"/>
      <c r="AF58" s="3" t="n"/>
      <c r="AG58" s="3" t="n"/>
      <c r="AH58" s="3" t="n"/>
      <c r="AI58" s="3" t="n"/>
      <c r="AJ58" s="3" t="n">
        <v>49.27018722740306</v>
      </c>
      <c r="AK58" s="3" t="n">
        <v>47.36220882485502</v>
      </c>
      <c r="AL58" s="3" t="n">
        <v>51.30013004766143</v>
      </c>
      <c r="AM58" s="3" t="n">
        <v>49.92463469037268</v>
      </c>
      <c r="AN58" s="3" t="n">
        <v>49.23228729765037</v>
      </c>
      <c r="AO58" s="3" t="n">
        <v>48.69893366309467</v>
      </c>
      <c r="AP58" s="3" t="n">
        <v>49.27093270211097</v>
      </c>
      <c r="AQ58" s="3" t="n">
        <v>51.10871303444301</v>
      </c>
      <c r="AR58" s="3" t="n">
        <v>50.37062557033586</v>
      </c>
      <c r="AS58" s="3" t="n">
        <v>50.76953532272547</v>
      </c>
      <c r="AT58" s="3" t="n">
        <v>50.39184273153838</v>
      </c>
      <c r="AU58" s="3" t="n">
        <v>49.70393071141154</v>
      </c>
      <c r="AV58" s="3" t="n">
        <v>49.75239522226458</v>
      </c>
      <c r="AW58" s="3" t="n">
        <v>49.90444321348477</v>
      </c>
      <c r="AX58" s="3" t="n">
        <v>48.69789526978862</v>
      </c>
      <c r="AY58" s="3" t="n">
        <v>47.8034612236848</v>
      </c>
      <c r="AZ58" s="3" t="n">
        <v>46.96567230671325</v>
      </c>
      <c r="BA58" s="3" t="n">
        <v>46.06197174632268</v>
      </c>
      <c r="BB58" s="3" t="n">
        <v>47.37797005090456</v>
      </c>
      <c r="BC58" s="3" t="n">
        <v>48.63415201602298</v>
      </c>
      <c r="BD58" s="3" t="n">
        <v>49.04933043149413</v>
      </c>
      <c r="BE58" s="3" t="n">
        <v>49.23141266708728</v>
      </c>
      <c r="BF58" s="3" t="n">
        <v>49.4240766247843</v>
      </c>
      <c r="BG58" s="3" t="n">
        <v>49.56933830676803</v>
      </c>
      <c r="BH58" s="3" t="n">
        <v>48.32404689990211</v>
      </c>
      <c r="BI58" s="3" t="n">
        <v>47.15960511767904</v>
      </c>
      <c r="BJ58" s="3" t="n">
        <v>47.38595330749845</v>
      </c>
      <c r="BK58" s="3" t="n">
        <v>47.34847751099987</v>
      </c>
      <c r="BL58" s="3" t="n">
        <v>47.45922061610187</v>
      </c>
      <c r="BM58" s="3" t="n">
        <v>46.81590151632618</v>
      </c>
      <c r="BN58" s="3" t="n">
        <v>45.33227561252316</v>
      </c>
      <c r="BO58" s="3" t="n">
        <v>45.3729809385506</v>
      </c>
      <c r="BP58" s="3" t="n">
        <v>46.66810672926715</v>
      </c>
      <c r="BQ58" s="3" t="n">
        <v>45.6346797113074</v>
      </c>
      <c r="BR58" s="34" t="str">
        <f>B58&amp;"|"&amp;D58</f>
        <v>CZE|NE.CON.PRVT.ZS</v>
      </c>
    </row>
    <row r="59">
      <c r="A59" s="3" t="inlineStr">
        <is>
          <t>Germany</t>
        </is>
      </c>
      <c r="B59" s="3" t="inlineStr">
        <is>
          <t>DEU</t>
        </is>
      </c>
      <c r="C59" s="3" t="inlineStr">
        <is>
          <t>Households and NPISHs final consumption expenditure (% of GDP)</t>
        </is>
      </c>
      <c r="D59" s="3" t="inlineStr">
        <is>
          <t>NE.CON.PRVT.ZS</t>
        </is>
      </c>
      <c r="E59" s="3" t="n">
        <v>2023</v>
      </c>
      <c r="F59" s="3" t="n"/>
      <c r="G59" s="3" t="n"/>
      <c r="H59" s="3" t="n"/>
      <c r="I59" s="3" t="n"/>
      <c r="J59" s="3" t="n"/>
      <c r="K59" s="3" t="n"/>
      <c r="L59" s="3" t="n"/>
      <c r="M59" s="3" t="n"/>
      <c r="N59" s="3" t="n"/>
      <c r="O59" s="3" t="n"/>
      <c r="P59" s="3" t="n">
        <v>55.56740781857049</v>
      </c>
      <c r="Q59" s="3" t="n">
        <v>55.77341242949447</v>
      </c>
      <c r="R59" s="3" t="n">
        <v>56.40403054338914</v>
      </c>
      <c r="S59" s="3" t="n">
        <v>55.95206409671501</v>
      </c>
      <c r="T59" s="3" t="n">
        <v>55.73318041598895</v>
      </c>
      <c r="U59" s="3" t="n">
        <v>58.19853268541528</v>
      </c>
      <c r="V59" s="3" t="n">
        <v>58.09035316883862</v>
      </c>
      <c r="W59" s="3" t="n">
        <v>58.37772563712843</v>
      </c>
      <c r="X59" s="3" t="n">
        <v>57.79839176932226</v>
      </c>
      <c r="Y59" s="3" t="n">
        <v>58.09805895401993</v>
      </c>
      <c r="Z59" s="3" t="n">
        <v>58.85862188351874</v>
      </c>
      <c r="AA59" s="3" t="n">
        <v>59.43060718412521</v>
      </c>
      <c r="AB59" s="3" t="n">
        <v>59.32957699976972</v>
      </c>
      <c r="AC59" s="3" t="n">
        <v>59.43284232005127</v>
      </c>
      <c r="AD59" s="3" t="n">
        <v>59.22716694813074</v>
      </c>
      <c r="AE59" s="3" t="n">
        <v>58.60583605080299</v>
      </c>
      <c r="AF59" s="3" t="n">
        <v>57.14414007097955</v>
      </c>
      <c r="AG59" s="3" t="n">
        <v>57.56375391663276</v>
      </c>
      <c r="AH59" s="3" t="n">
        <v>57.07275610966377</v>
      </c>
      <c r="AI59" s="3" t="n">
        <v>57.14078629824345</v>
      </c>
      <c r="AJ59" s="3" t="n">
        <v>56.34629800397381</v>
      </c>
      <c r="AK59" s="3" t="n">
        <v>56.03827721024089</v>
      </c>
      <c r="AL59" s="3" t="n">
        <v>56.02029305664901</v>
      </c>
      <c r="AM59" s="3" t="n">
        <v>56.65952744033035</v>
      </c>
      <c r="AN59" s="3" t="n">
        <v>56.19195977152852</v>
      </c>
      <c r="AO59" s="3" t="n">
        <v>55.84225777336761</v>
      </c>
      <c r="AP59" s="3" t="n">
        <v>56.31072458337236</v>
      </c>
      <c r="AQ59" s="3" t="n">
        <v>56.1917242434286</v>
      </c>
      <c r="AR59" s="3" t="n">
        <v>55.65254514947231</v>
      </c>
      <c r="AS59" s="3" t="n">
        <v>56.19724396449589</v>
      </c>
      <c r="AT59" s="3" t="n">
        <v>56.29925702554183</v>
      </c>
      <c r="AU59" s="3" t="n">
        <v>56.4640466918906</v>
      </c>
      <c r="AV59" s="3" t="n">
        <v>55.74177024002329</v>
      </c>
      <c r="AW59" s="3" t="n">
        <v>56.4634626080115</v>
      </c>
      <c r="AX59" s="3" t="n">
        <v>56.14301752028711</v>
      </c>
      <c r="AY59" s="3" t="n">
        <v>56.53853717372209</v>
      </c>
      <c r="AZ59" s="3" t="n">
        <v>55.68542774246566</v>
      </c>
      <c r="BA59" s="3" t="n">
        <v>53.99391890540297</v>
      </c>
      <c r="BB59" s="3" t="n">
        <v>54.22467788995834</v>
      </c>
      <c r="BC59" s="3" t="n">
        <v>56.44073548592854</v>
      </c>
      <c r="BD59" s="3" t="n">
        <v>55.10868039307441</v>
      </c>
      <c r="BE59" s="3" t="n">
        <v>54.38668527896166</v>
      </c>
      <c r="BF59" s="3" t="n">
        <v>54.90695039904418</v>
      </c>
      <c r="BG59" s="3" t="n">
        <v>54.556849911964</v>
      </c>
      <c r="BH59" s="3" t="n">
        <v>53.42225091633276</v>
      </c>
      <c r="BI59" s="3" t="n">
        <v>52.97004804737325</v>
      </c>
      <c r="BJ59" s="3" t="n">
        <v>52.75448681549347</v>
      </c>
      <c r="BK59" s="3" t="n">
        <v>52.10840607744953</v>
      </c>
      <c r="BL59" s="3" t="n">
        <v>52.09971920545544</v>
      </c>
      <c r="BM59" s="3" t="n">
        <v>51.94231040467918</v>
      </c>
      <c r="BN59" s="3" t="n">
        <v>50.19981020821276</v>
      </c>
      <c r="BO59" s="3" t="n">
        <v>49.35769672006524</v>
      </c>
      <c r="BP59" s="3" t="n">
        <v>51.05478473280868</v>
      </c>
      <c r="BQ59" s="3" t="n">
        <v>50.7066699667084</v>
      </c>
      <c r="BR59" s="34" t="str">
        <f>B59&amp;"|"&amp;D59</f>
        <v>DEU|NE.CON.PRVT.ZS</v>
      </c>
    </row>
    <row r="60">
      <c r="A60" s="3" t="inlineStr">
        <is>
          <t>Djibouti</t>
        </is>
      </c>
      <c r="B60" s="3" t="inlineStr">
        <is>
          <t>DJI</t>
        </is>
      </c>
      <c r="C60" s="3" t="inlineStr">
        <is>
          <t>Households and NPISHs final consumption expenditure (% of GDP)</t>
        </is>
      </c>
      <c r="D60" s="3" t="inlineStr">
        <is>
          <t>NE.CON.PRVT.ZS</t>
        </is>
      </c>
      <c r="E60" s="3" t="n">
        <v>2023</v>
      </c>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c r="AC60" s="3" t="n"/>
      <c r="AD60" s="3" t="n"/>
      <c r="AE60" s="3" t="n"/>
      <c r="AF60" s="3" t="n"/>
      <c r="AG60" s="3" t="n"/>
      <c r="AH60" s="3" t="n"/>
      <c r="AI60" s="3" t="n"/>
      <c r="AJ60" s="3" t="n"/>
      <c r="AK60" s="3" t="n"/>
      <c r="AL60" s="3" t="n"/>
      <c r="AM60" s="3" t="n"/>
      <c r="AN60" s="3" t="n"/>
      <c r="AO60" s="3" t="n"/>
      <c r="AP60" s="3" t="n"/>
      <c r="AQ60" s="3" t="n"/>
      <c r="AR60" s="3" t="n"/>
      <c r="AS60" s="3" t="n"/>
      <c r="AT60" s="3" t="n"/>
      <c r="AU60" s="3" t="n"/>
      <c r="AV60" s="3" t="n"/>
      <c r="AW60" s="3" t="n"/>
      <c r="AX60" s="3" t="n"/>
      <c r="AY60" s="3" t="n"/>
      <c r="AZ60" s="3" t="n"/>
      <c r="BA60" s="3" t="n"/>
      <c r="BB60" s="3" t="n"/>
      <c r="BC60" s="3" t="n"/>
      <c r="BD60" s="3" t="n"/>
      <c r="BE60" s="3" t="n"/>
      <c r="BF60" s="3" t="n"/>
      <c r="BG60" s="3" t="n">
        <v>58.37463686179032</v>
      </c>
      <c r="BH60" s="3" t="n">
        <v>60.67125129321708</v>
      </c>
      <c r="BI60" s="3" t="n">
        <v>61.57051403062231</v>
      </c>
      <c r="BJ60" s="3" t="n">
        <v>61.39124701686447</v>
      </c>
      <c r="BK60" s="3" t="n">
        <v>62.37016518771185</v>
      </c>
      <c r="BL60" s="3" t="n">
        <v>63.02184294198068</v>
      </c>
      <c r="BM60" s="3" t="n">
        <v>65.41103613009798</v>
      </c>
      <c r="BN60" s="3" t="n">
        <v>70.95448816643729</v>
      </c>
      <c r="BO60" s="3" t="n">
        <v>75.70911582467289</v>
      </c>
      <c r="BP60" s="3" t="n">
        <v>68.48949906584993</v>
      </c>
      <c r="BQ60" s="3" t="n">
        <v>60.56921844515161</v>
      </c>
      <c r="BR60" s="34" t="str">
        <f>B60&amp;"|"&amp;D60</f>
        <v>DJI|NE.CON.PRVT.ZS</v>
      </c>
    </row>
    <row r="61">
      <c r="A61" s="3" t="inlineStr">
        <is>
          <t>Dominica</t>
        </is>
      </c>
      <c r="B61" s="3" t="inlineStr">
        <is>
          <t>DMA</t>
        </is>
      </c>
      <c r="C61" s="3" t="inlineStr">
        <is>
          <t>Households and NPISHs final consumption expenditure (% of GDP)</t>
        </is>
      </c>
      <c r="D61" s="3" t="inlineStr">
        <is>
          <t>NE.CON.PRVT.ZS</t>
        </is>
      </c>
      <c r="E61" s="3" t="n">
        <v>2018</v>
      </c>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c r="AH61" s="3" t="n"/>
      <c r="AI61" s="3" t="n"/>
      <c r="AJ61" s="3" t="n"/>
      <c r="AK61" s="3" t="n"/>
      <c r="AL61" s="3" t="n"/>
      <c r="AM61" s="3" t="n"/>
      <c r="AN61" s="3" t="n"/>
      <c r="AO61" s="3" t="n"/>
      <c r="AP61" s="3" t="n"/>
      <c r="AQ61" s="3" t="n"/>
      <c r="AR61" s="3" t="n"/>
      <c r="AS61" s="3" t="n"/>
      <c r="AT61" s="3" t="n"/>
      <c r="AU61" s="3" t="n"/>
      <c r="AV61" s="3" t="n"/>
      <c r="AW61" s="3" t="n"/>
      <c r="AX61" s="3" t="n"/>
      <c r="AY61" s="3" t="n"/>
      <c r="AZ61" s="3" t="n">
        <v>79.11794852327081</v>
      </c>
      <c r="BA61" s="3" t="n">
        <v>85.30293308488103</v>
      </c>
      <c r="BB61" s="3" t="n">
        <v>92.78398848930168</v>
      </c>
      <c r="BC61" s="3" t="n">
        <v>87.59636501325255</v>
      </c>
      <c r="BD61" s="3" t="n">
        <v>82.88795721989305</v>
      </c>
      <c r="BE61" s="3" t="n">
        <v>81.32498503071476</v>
      </c>
      <c r="BF61" s="3" t="n">
        <v>85.42893940664081</v>
      </c>
      <c r="BG61" s="3" t="n">
        <v>76.52073732718894</v>
      </c>
      <c r="BH61" s="3" t="n">
        <v>77.03962538073957</v>
      </c>
      <c r="BI61" s="3" t="n">
        <v>78.48752388714992</v>
      </c>
      <c r="BJ61" s="3" t="n">
        <v>78.23141494517361</v>
      </c>
      <c r="BK61" s="3" t="n">
        <v>79.64053146237369</v>
      </c>
      <c r="BL61" s="3" t="n">
        <v>87.73132694207814</v>
      </c>
      <c r="BM61" s="3" t="n"/>
      <c r="BN61" s="3" t="n"/>
      <c r="BO61" s="3" t="n"/>
      <c r="BP61" s="3" t="n"/>
      <c r="BQ61" s="3" t="n"/>
      <c r="BR61" s="34" t="str">
        <f>B61&amp;"|"&amp;D61</f>
        <v>DMA|NE.CON.PRVT.ZS</v>
      </c>
    </row>
    <row r="62">
      <c r="A62" s="3" t="inlineStr">
        <is>
          <t>Denmark</t>
        </is>
      </c>
      <c r="B62" s="3" t="inlineStr">
        <is>
          <t>DNK</t>
        </is>
      </c>
      <c r="C62" s="3" t="inlineStr">
        <is>
          <t>Households and NPISHs final consumption expenditure (% of GDP)</t>
        </is>
      </c>
      <c r="D62" s="3" t="inlineStr">
        <is>
          <t>NE.CON.PRVT.ZS</t>
        </is>
      </c>
      <c r="E62" s="3" t="n">
        <v>2023</v>
      </c>
      <c r="F62" s="3" t="n"/>
      <c r="G62" s="3" t="n"/>
      <c r="H62" s="3" t="n"/>
      <c r="I62" s="3" t="n"/>
      <c r="J62" s="3" t="n"/>
      <c r="K62" s="3" t="n"/>
      <c r="L62" s="3" t="n">
        <v>58.00977853390427</v>
      </c>
      <c r="M62" s="3" t="n">
        <v>58.2782486788346</v>
      </c>
      <c r="N62" s="3" t="n">
        <v>56.85697235681576</v>
      </c>
      <c r="O62" s="3" t="n">
        <v>55.27052363104181</v>
      </c>
      <c r="P62" s="3" t="n">
        <v>55.12443933957393</v>
      </c>
      <c r="Q62" s="3" t="n">
        <v>53.7458008483158</v>
      </c>
      <c r="R62" s="3" t="n">
        <v>51.26816072897127</v>
      </c>
      <c r="S62" s="3" t="n">
        <v>52.39616350994378</v>
      </c>
      <c r="T62" s="3" t="n">
        <v>52.76571814647901</v>
      </c>
      <c r="U62" s="3" t="n">
        <v>53.89204778505948</v>
      </c>
      <c r="V62" s="3" t="n">
        <v>55.02297751361447</v>
      </c>
      <c r="W62" s="3" t="n">
        <v>55.35986656947284</v>
      </c>
      <c r="X62" s="3" t="n">
        <v>54.61817650932074</v>
      </c>
      <c r="Y62" s="3" t="n">
        <v>54.3531204331132</v>
      </c>
      <c r="Z62" s="3" t="n">
        <v>54.05833170783836</v>
      </c>
      <c r="AA62" s="3" t="n">
        <v>54.30697012358217</v>
      </c>
      <c r="AB62" s="3" t="n">
        <v>53.1290813587203</v>
      </c>
      <c r="AC62" s="3" t="n">
        <v>52.4436185034716</v>
      </c>
      <c r="AD62" s="3" t="n">
        <v>52.58989368808123</v>
      </c>
      <c r="AE62" s="3" t="n">
        <v>52.53533734750043</v>
      </c>
      <c r="AF62" s="3" t="n">
        <v>52.88290044137079</v>
      </c>
      <c r="AG62" s="3" t="n">
        <v>51.62494540352823</v>
      </c>
      <c r="AH62" s="3" t="n">
        <v>50.76559343512673</v>
      </c>
      <c r="AI62" s="3" t="n">
        <v>50.52122664293746</v>
      </c>
      <c r="AJ62" s="3" t="n">
        <v>49.73888716935314</v>
      </c>
      <c r="AK62" s="3" t="n">
        <v>49.92182590134377</v>
      </c>
      <c r="AL62" s="3" t="n">
        <v>49.99059516075778</v>
      </c>
      <c r="AM62" s="3" t="n">
        <v>49.7935902079426</v>
      </c>
      <c r="AN62" s="3" t="n">
        <v>50.93808732080423</v>
      </c>
      <c r="AO62" s="3" t="n">
        <v>50.55219573966143</v>
      </c>
      <c r="AP62" s="3" t="n">
        <v>50.16739594199662</v>
      </c>
      <c r="AQ62" s="3" t="n">
        <v>49.94157675338907</v>
      </c>
      <c r="AR62" s="3" t="n">
        <v>50.14172652897258</v>
      </c>
      <c r="AS62" s="3" t="n">
        <v>48.74657620200043</v>
      </c>
      <c r="AT62" s="3" t="n">
        <v>47.06408401143834</v>
      </c>
      <c r="AU62" s="3" t="n">
        <v>46.709466548455</v>
      </c>
      <c r="AV62" s="3" t="n">
        <v>46.9359078735438</v>
      </c>
      <c r="AW62" s="3" t="n">
        <v>47.24513702177142</v>
      </c>
      <c r="AX62" s="3" t="n">
        <v>47.72566800459291</v>
      </c>
      <c r="AY62" s="3" t="n">
        <v>47.79036930740614</v>
      </c>
      <c r="AZ62" s="3" t="n">
        <v>47.40481310094972</v>
      </c>
      <c r="BA62" s="3" t="n">
        <v>47.4869862718368</v>
      </c>
      <c r="BB62" s="3" t="n">
        <v>47.39165368863512</v>
      </c>
      <c r="BC62" s="3" t="n">
        <v>48.47955425152229</v>
      </c>
      <c r="BD62" s="3" t="n">
        <v>47.61223059212801</v>
      </c>
      <c r="BE62" s="3" t="n">
        <v>47.91388314543152</v>
      </c>
      <c r="BF62" s="3" t="n">
        <v>48.04213166914787</v>
      </c>
      <c r="BG62" s="3" t="n">
        <v>47.69420570302543</v>
      </c>
      <c r="BH62" s="3" t="n">
        <v>47.16096222396855</v>
      </c>
      <c r="BI62" s="3" t="n">
        <v>47.11146567121175</v>
      </c>
      <c r="BJ62" s="3" t="n">
        <v>46.67296045242006</v>
      </c>
      <c r="BK62" s="3" t="n">
        <v>46.35949146691277</v>
      </c>
      <c r="BL62" s="3" t="n">
        <v>46.98074828465856</v>
      </c>
      <c r="BM62" s="3" t="n">
        <v>46.94924926994516</v>
      </c>
      <c r="BN62" s="3" t="n">
        <v>46.27105707247408</v>
      </c>
      <c r="BO62" s="3" t="n">
        <v>45.31794764525255</v>
      </c>
      <c r="BP62" s="3" t="n">
        <v>43.24690548231147</v>
      </c>
      <c r="BQ62" s="3" t="n">
        <v>45.79132809357883</v>
      </c>
      <c r="BR62" s="34" t="str">
        <f>B62&amp;"|"&amp;D62</f>
        <v>DNK|NE.CON.PRVT.ZS</v>
      </c>
    </row>
    <row r="63">
      <c r="A63" s="3" t="inlineStr">
        <is>
          <t>Dominican Republic</t>
        </is>
      </c>
      <c r="B63" s="3" t="inlineStr">
        <is>
          <t>DOM</t>
        </is>
      </c>
      <c r="C63" s="3" t="inlineStr">
        <is>
          <t>Households and NPISHs final consumption expenditure (% of GDP)</t>
        </is>
      </c>
      <c r="D63" s="3" t="inlineStr">
        <is>
          <t>NE.CON.PRVT.ZS</t>
        </is>
      </c>
      <c r="E63" s="3" t="n">
        <v>2023</v>
      </c>
      <c r="F63" s="3" t="n">
        <v>70.12199737745273</v>
      </c>
      <c r="G63" s="3" t="n">
        <v>73.85721637143668</v>
      </c>
      <c r="H63" s="3" t="n">
        <v>75.29426040529063</v>
      </c>
      <c r="I63" s="3" t="n">
        <v>75.11694038232784</v>
      </c>
      <c r="J63" s="3" t="n">
        <v>76.25783699861907</v>
      </c>
      <c r="K63" s="3" t="n">
        <v>77.67143339713996</v>
      </c>
      <c r="L63" s="3" t="n">
        <v>80.05894908019108</v>
      </c>
      <c r="M63" s="3" t="n">
        <v>80.31503672207189</v>
      </c>
      <c r="N63" s="3" t="n">
        <v>81.22509498656288</v>
      </c>
      <c r="O63" s="3" t="n">
        <v>78.84599756196668</v>
      </c>
      <c r="P63" s="3" t="n">
        <v>79.25526057892964</v>
      </c>
      <c r="Q63" s="3" t="n">
        <v>81.69249966996701</v>
      </c>
      <c r="R63" s="3" t="n">
        <v>74.7172810707457</v>
      </c>
      <c r="S63" s="3" t="n">
        <v>74.05951396281132</v>
      </c>
      <c r="T63" s="3" t="n">
        <v>76.04250232764808</v>
      </c>
      <c r="U63" s="3" t="n">
        <v>72.6761739581018</v>
      </c>
      <c r="V63" s="3" t="n">
        <v>80.72265453625207</v>
      </c>
      <c r="W63" s="3" t="n">
        <v>81.28619447581261</v>
      </c>
      <c r="X63" s="3" t="n">
        <v>81.22042983271376</v>
      </c>
      <c r="Y63" s="3" t="n">
        <v>76.75554011784389</v>
      </c>
      <c r="Z63" s="3" t="n">
        <v>81.63937791548962</v>
      </c>
      <c r="AA63" s="3" t="n">
        <v>75.5192633859257</v>
      </c>
      <c r="AB63" s="3" t="n">
        <v>79.52953698260639</v>
      </c>
      <c r="AC63" s="3" t="n">
        <v>79.09471285599636</v>
      </c>
      <c r="AD63" s="3" t="n">
        <v>82.88849411074695</v>
      </c>
      <c r="AE63" s="3" t="n">
        <v>80.21653732056197</v>
      </c>
      <c r="AF63" s="3" t="n">
        <v>76.6789899047844</v>
      </c>
      <c r="AG63" s="3" t="n">
        <v>80.1546338579514</v>
      </c>
      <c r="AH63" s="3" t="n">
        <v>75.62748715849074</v>
      </c>
      <c r="AI63" s="3" t="n">
        <v>79.43366221546012</v>
      </c>
      <c r="AJ63" s="3" t="n">
        <v>81.70129415248896</v>
      </c>
      <c r="AK63" s="3" t="n">
        <v>83.07140111501006</v>
      </c>
      <c r="AL63" s="3" t="n">
        <v>84.22278194304315</v>
      </c>
      <c r="AM63" s="3" t="n">
        <v>80.98302624567594</v>
      </c>
      <c r="AN63" s="3" t="n">
        <v>78.83870611545534</v>
      </c>
      <c r="AO63" s="3" t="n">
        <v>78.55738491516772</v>
      </c>
      <c r="AP63" s="3" t="n">
        <v>77.6321969268118</v>
      </c>
      <c r="AQ63" s="3" t="n">
        <v>74.61620520508674</v>
      </c>
      <c r="AR63" s="3" t="n">
        <v>71.90033755474866</v>
      </c>
      <c r="AS63" s="3" t="n">
        <v>71.3437226404166</v>
      </c>
      <c r="AT63" s="3" t="n">
        <v>71.69172944386047</v>
      </c>
      <c r="AU63" s="3" t="n">
        <v>70.42847458360647</v>
      </c>
      <c r="AV63" s="3" t="n">
        <v>70.34689200125651</v>
      </c>
      <c r="AW63" s="3" t="n">
        <v>72.09746112895064</v>
      </c>
      <c r="AX63" s="3" t="n">
        <v>70.84102716207281</v>
      </c>
      <c r="AY63" s="3" t="n">
        <v>72.12882050780985</v>
      </c>
      <c r="AZ63" s="3" t="n">
        <v>71.60275392481006</v>
      </c>
      <c r="BA63" s="3" t="n">
        <v>70.89472782076</v>
      </c>
      <c r="BB63" s="3" t="n">
        <v>73.49823728844692</v>
      </c>
      <c r="BC63" s="3" t="n">
        <v>74.27137667768982</v>
      </c>
      <c r="BD63" s="3" t="n">
        <v>74.34135435809485</v>
      </c>
      <c r="BE63" s="3" t="n">
        <v>76.2673158189701</v>
      </c>
      <c r="BF63" s="3" t="n">
        <v>75.04042719538113</v>
      </c>
      <c r="BG63" s="3" t="n">
        <v>73.17543766771333</v>
      </c>
      <c r="BH63" s="3" t="n">
        <v>71.60941250382422</v>
      </c>
      <c r="BI63" s="3" t="n">
        <v>70.917021990262</v>
      </c>
      <c r="BJ63" s="3" t="n">
        <v>70.49233145047265</v>
      </c>
      <c r="BK63" s="3" t="n">
        <v>69.45026693102946</v>
      </c>
      <c r="BL63" s="3" t="n">
        <v>68.29757587565484</v>
      </c>
      <c r="BM63" s="3" t="n">
        <v>67.79896006181592</v>
      </c>
      <c r="BN63" s="3" t="n">
        <v>69.69261048580233</v>
      </c>
      <c r="BO63" s="3" t="n">
        <v>66.41225799093155</v>
      </c>
      <c r="BP63" s="3" t="n">
        <v>65.48540878457139</v>
      </c>
      <c r="BQ63" s="3" t="n">
        <v>64.71066996957425</v>
      </c>
      <c r="BR63" s="34" t="str">
        <f>B63&amp;"|"&amp;D63</f>
        <v>DOM|NE.CON.PRVT.ZS</v>
      </c>
    </row>
    <row r="64">
      <c r="A64" s="3" t="inlineStr">
        <is>
          <t>Algeria</t>
        </is>
      </c>
      <c r="B64" s="3" t="inlineStr">
        <is>
          <t>DZA</t>
        </is>
      </c>
      <c r="C64" s="3" t="inlineStr">
        <is>
          <t>Households and NPISHs final consumption expenditure (% of GDP)</t>
        </is>
      </c>
      <c r="D64" s="3" t="inlineStr">
        <is>
          <t>NE.CON.PRVT.ZS</t>
        </is>
      </c>
      <c r="E64" s="3" t="n">
        <v>2023</v>
      </c>
      <c r="F64" s="3" t="n">
        <v>56.06922076496821</v>
      </c>
      <c r="G64" s="3" t="n">
        <v>48.7833896786407</v>
      </c>
      <c r="H64" s="3" t="n">
        <v>47.68774235669209</v>
      </c>
      <c r="I64" s="3" t="n">
        <v>63.55938354463036</v>
      </c>
      <c r="J64" s="3" t="n">
        <v>64.88388759657504</v>
      </c>
      <c r="K64" s="3" t="n">
        <v>64.24598107373097</v>
      </c>
      <c r="L64" s="3" t="n">
        <v>63.70975144455273</v>
      </c>
      <c r="M64" s="3" t="n">
        <v>56.87326786987094</v>
      </c>
      <c r="N64" s="3" t="n">
        <v>56.36951625649027</v>
      </c>
      <c r="O64" s="3" t="n">
        <v>55.14116479024283</v>
      </c>
      <c r="P64" s="3" t="n">
        <v>53.89862070438086</v>
      </c>
      <c r="Q64" s="3" t="n">
        <v>55.37210376373889</v>
      </c>
      <c r="R64" s="3" t="n">
        <v>53.51729662542846</v>
      </c>
      <c r="S64" s="3" t="n">
        <v>49.82329729126697</v>
      </c>
      <c r="T64" s="3" t="n">
        <v>44.94412159892862</v>
      </c>
      <c r="U64" s="3" t="n">
        <v>49.51309576490432</v>
      </c>
      <c r="V64" s="3" t="n">
        <v>46.97090191852715</v>
      </c>
      <c r="W64" s="3" t="n">
        <v>49.53093923407799</v>
      </c>
      <c r="X64" s="3" t="n">
        <v>47.01638074528955</v>
      </c>
      <c r="Y64" s="3" t="n">
        <v>44.10724399962077</v>
      </c>
      <c r="Z64" s="3" t="n">
        <v>41.7230755378367</v>
      </c>
      <c r="AA64" s="3" t="n">
        <v>44.20062473197002</v>
      </c>
      <c r="AB64" s="3" t="n">
        <v>44.60501142175377</v>
      </c>
      <c r="AC64" s="3" t="n">
        <v>44.07359804545177</v>
      </c>
      <c r="AD64" s="3" t="n">
        <v>50.56053667138393</v>
      </c>
      <c r="AE64" s="3" t="n">
        <v>51.87091996182007</v>
      </c>
      <c r="AF64" s="3" t="n">
        <v>57.76293584549662</v>
      </c>
      <c r="AG64" s="3" t="n">
        <v>57.15168435062462</v>
      </c>
      <c r="AH64" s="3" t="n">
        <v>59.34191262834929</v>
      </c>
      <c r="AI64" s="3" t="n">
        <v>61.80014135454564</v>
      </c>
      <c r="AJ64" s="3" t="n">
        <v>56.83699187157938</v>
      </c>
      <c r="AK64" s="3" t="n">
        <v>47.92184911846064</v>
      </c>
      <c r="AL64" s="3" t="n">
        <v>51.77447063013793</v>
      </c>
      <c r="AM64" s="3" t="n">
        <v>54.93996430558653</v>
      </c>
      <c r="AN64" s="3" t="n">
        <v>55.56821798779429</v>
      </c>
      <c r="AO64" s="3" t="n">
        <v>55.12910552061182</v>
      </c>
      <c r="AP64" s="3" t="n">
        <v>52.73151497289226</v>
      </c>
      <c r="AQ64" s="3" t="n">
        <v>51.44594079134968</v>
      </c>
      <c r="AR64" s="3" t="n">
        <v>54.9973461454764</v>
      </c>
      <c r="AS64" s="3" t="n">
        <v>51.59396676793698</v>
      </c>
      <c r="AT64" s="3" t="n">
        <v>41.57104838252035</v>
      </c>
      <c r="AU64" s="3" t="n">
        <v>41.77846969018924</v>
      </c>
      <c r="AV64" s="3" t="n">
        <v>42.06482622426414</v>
      </c>
      <c r="AW64" s="3" t="n">
        <v>39.23105354203277</v>
      </c>
      <c r="AX64" s="3" t="n">
        <v>37.75376678435627</v>
      </c>
      <c r="AY64" s="3" t="n">
        <v>34.49745734978195</v>
      </c>
      <c r="AZ64" s="3" t="n">
        <v>32.07345843694484</v>
      </c>
      <c r="BA64" s="3" t="n">
        <v>32.14545044242508</v>
      </c>
      <c r="BB64" s="3" t="n">
        <v>30.43143450806519</v>
      </c>
      <c r="BC64" s="3" t="n">
        <v>36.67426026516271</v>
      </c>
      <c r="BD64" s="3" t="n">
        <v>33.26462360325923</v>
      </c>
      <c r="BE64" s="3" t="n">
        <v>30.37718834989987</v>
      </c>
      <c r="BF64" s="3" t="n">
        <v>31.95938407239233</v>
      </c>
      <c r="BG64" s="3" t="n">
        <v>34.43518703134518</v>
      </c>
      <c r="BH64" s="3" t="n">
        <v>35.79280727691441</v>
      </c>
      <c r="BI64" s="3" t="n">
        <v>39.84426102513239</v>
      </c>
      <c r="BJ64" s="3" t="n">
        <v>41.12419995219212</v>
      </c>
      <c r="BK64" s="3" t="n">
        <v>42.05682268161553</v>
      </c>
      <c r="BL64" s="3" t="n">
        <v>41.72938494333743</v>
      </c>
      <c r="BM64" s="3" t="n">
        <v>42.80037084293142</v>
      </c>
      <c r="BN64" s="3" t="n">
        <v>46.5668369396335</v>
      </c>
      <c r="BO64" s="3" t="n">
        <v>42.16455976106362</v>
      </c>
      <c r="BP64" s="3" t="n">
        <v>37.72176669453879</v>
      </c>
      <c r="BQ64" s="3" t="n">
        <v>41.19461252315434</v>
      </c>
      <c r="BR64" s="34" t="str">
        <f>B64&amp;"|"&amp;D64</f>
        <v>DZA|NE.CON.PRVT.ZS</v>
      </c>
    </row>
    <row r="65">
      <c r="A65" s="3" t="inlineStr">
        <is>
          <t>East Asia &amp; Pacific (excluding high income)</t>
        </is>
      </c>
      <c r="B65" s="3" t="inlineStr">
        <is>
          <t>EAP</t>
        </is>
      </c>
      <c r="C65" s="3" t="inlineStr">
        <is>
          <t>Households and NPISHs final consumption expenditure (% of GDP)</t>
        </is>
      </c>
      <c r="D65" s="3" t="inlineStr">
        <is>
          <t>NE.CON.PRVT.ZS</t>
        </is>
      </c>
      <c r="E65" s="3" t="n">
        <v>2022</v>
      </c>
      <c r="F65" s="3" t="n">
        <v>54.24309726952067</v>
      </c>
      <c r="G65" s="3" t="n">
        <v>67.57614198676347</v>
      </c>
      <c r="H65" s="3" t="n">
        <v>76.54381649429143</v>
      </c>
      <c r="I65" s="3" t="n">
        <v>71.99565803727178</v>
      </c>
      <c r="J65" s="3" t="n">
        <v>65.76137904604839</v>
      </c>
      <c r="K65" s="3" t="n">
        <v>60.53663978256492</v>
      </c>
      <c r="L65" s="3" t="n">
        <v>59.56936263551837</v>
      </c>
      <c r="M65" s="3" t="n">
        <v>65.32203404731443</v>
      </c>
      <c r="N65" s="3" t="n">
        <v>66.08852077828269</v>
      </c>
      <c r="O65" s="3" t="n">
        <v>62.29949178525307</v>
      </c>
      <c r="P65" s="3" t="n">
        <v>59.7187768085362</v>
      </c>
      <c r="Q65" s="3" t="n">
        <v>57.74184220332334</v>
      </c>
      <c r="R65" s="3" t="n">
        <v>58.55213155115153</v>
      </c>
      <c r="S65" s="3" t="n">
        <v>57.95423687720368</v>
      </c>
      <c r="T65" s="3" t="n">
        <v>57.5329411494565</v>
      </c>
      <c r="U65" s="3" t="n">
        <v>57.06382120614462</v>
      </c>
      <c r="V65" s="3" t="n">
        <v>58.68027722308635</v>
      </c>
      <c r="W65" s="3" t="n">
        <v>56.7988318898203</v>
      </c>
      <c r="X65" s="3" t="n">
        <v>54.8163595431303</v>
      </c>
      <c r="Y65" s="3" t="n">
        <v>53.60293511090705</v>
      </c>
      <c r="Z65" s="3" t="n">
        <v>55.2879952237572</v>
      </c>
      <c r="AA65" s="3" t="n">
        <v>58.21586446249673</v>
      </c>
      <c r="AB65" s="3" t="n">
        <v>59.00394935565146</v>
      </c>
      <c r="AC65" s="3" t="n">
        <v>56.74714725786815</v>
      </c>
      <c r="AD65" s="3" t="n">
        <v>55.38585619160812</v>
      </c>
      <c r="AE65" s="3" t="n">
        <v>55.20185356968977</v>
      </c>
      <c r="AF65" s="3" t="n">
        <v>54.38752433450716</v>
      </c>
      <c r="AG65" s="3" t="n">
        <v>51.99897598235097</v>
      </c>
      <c r="AH65" s="3" t="n">
        <v>53.20845691492978</v>
      </c>
      <c r="AI65" s="3" t="n">
        <v>55.35149252433457</v>
      </c>
      <c r="AJ65" s="3" t="n">
        <v>55.67868582242033</v>
      </c>
      <c r="AK65" s="3" t="n">
        <v>54.4727207990268</v>
      </c>
      <c r="AL65" s="3" t="n">
        <v>52.77498383803371</v>
      </c>
      <c r="AM65" s="3" t="n">
        <v>50.86037362563531</v>
      </c>
      <c r="AN65" s="3" t="n">
        <v>50.64108895489971</v>
      </c>
      <c r="AO65" s="3" t="n">
        <v>51.35520676613754</v>
      </c>
      <c r="AP65" s="3" t="n">
        <v>51.86736125091408</v>
      </c>
      <c r="AQ65" s="3" t="n">
        <v>50.90010170525792</v>
      </c>
      <c r="AR65" s="3" t="n">
        <v>49.39659385167216</v>
      </c>
      <c r="AS65" s="3" t="n">
        <v>51.02798781247887</v>
      </c>
      <c r="AT65" s="3" t="n">
        <v>50.27071890275919</v>
      </c>
      <c r="AU65" s="3" t="n">
        <v>49.55047509631466</v>
      </c>
      <c r="AV65" s="3" t="n">
        <v>49.58685537535201</v>
      </c>
      <c r="AW65" s="3" t="n">
        <v>48.01609328449613</v>
      </c>
      <c r="AX65" s="3" t="n">
        <v>46.11577161430488</v>
      </c>
      <c r="AY65" s="3" t="n">
        <v>45.00298786955446</v>
      </c>
      <c r="AZ65" s="3" t="n">
        <v>43.38049265019882</v>
      </c>
      <c r="BA65" s="3" t="n">
        <v>42.02868912561748</v>
      </c>
      <c r="BB65" s="3" t="n">
        <v>40.62855282775794</v>
      </c>
      <c r="BC65" s="3" t="n">
        <v>40.17634064733117</v>
      </c>
      <c r="BD65" s="3" t="n">
        <v>39.1633985894608</v>
      </c>
      <c r="BE65" s="3" t="n">
        <v>39.31443862558591</v>
      </c>
      <c r="BF65" s="3" t="n">
        <v>39.66558792851178</v>
      </c>
      <c r="BG65" s="3" t="n">
        <v>39.87204833104673</v>
      </c>
      <c r="BH65" s="3" t="n">
        <v>40.36591405922091</v>
      </c>
      <c r="BI65" s="3" t="n">
        <v>41.17149965117397</v>
      </c>
      <c r="BJ65" s="3" t="n">
        <v>42.01718142820495</v>
      </c>
      <c r="BK65" s="3" t="n">
        <v>41.77034245537528</v>
      </c>
      <c r="BL65" s="3" t="n">
        <v>41.62961560986284</v>
      </c>
      <c r="BM65" s="3" t="n">
        <v>42.47952234770572</v>
      </c>
      <c r="BN65" s="3" t="n">
        <v>41.59820458839805</v>
      </c>
      <c r="BO65" s="3" t="n">
        <v>41.01741580373059</v>
      </c>
      <c r="BP65" s="3" t="n">
        <v>40.44259829356564</v>
      </c>
      <c r="BQ65" s="3" t="n"/>
      <c r="BR65" s="34" t="str">
        <f>B65&amp;"|"&amp;D65</f>
        <v>EAP|NE.CON.PRVT.ZS</v>
      </c>
    </row>
    <row r="66">
      <c r="A66" s="3" t="inlineStr">
        <is>
          <t>Early-demographic dividend</t>
        </is>
      </c>
      <c r="B66" s="3" t="inlineStr">
        <is>
          <t>EAR</t>
        </is>
      </c>
      <c r="C66" s="3" t="inlineStr">
        <is>
          <t>Households and NPISHs final consumption expenditure (% of GDP)</t>
        </is>
      </c>
      <c r="D66" s="3" t="inlineStr">
        <is>
          <t>NE.CON.PRVT.ZS</t>
        </is>
      </c>
      <c r="E66" s="3" t="n">
        <v>2023</v>
      </c>
      <c r="F66" s="3" t="n"/>
      <c r="G66" s="3" t="n"/>
      <c r="H66" s="3" t="n"/>
      <c r="I66" s="3" t="n"/>
      <c r="J66" s="3" t="n"/>
      <c r="K66" s="3" t="n"/>
      <c r="L66" s="3" t="n"/>
      <c r="M66" s="3" t="n">
        <v>69.29049614550213</v>
      </c>
      <c r="N66" s="3" t="n">
        <v>67.18180911661736</v>
      </c>
      <c r="O66" s="3" t="n">
        <v>66.51922695794853</v>
      </c>
      <c r="P66" s="3" t="n">
        <v>66.27663583753602</v>
      </c>
      <c r="Q66" s="3" t="n">
        <v>66.61188700427968</v>
      </c>
      <c r="R66" s="3" t="n">
        <v>65.68900463189252</v>
      </c>
      <c r="S66" s="3" t="n">
        <v>62.90173365416466</v>
      </c>
      <c r="T66" s="3" t="n">
        <v>57.2906158644236</v>
      </c>
      <c r="U66" s="3" t="n">
        <v>58.5211364339382</v>
      </c>
      <c r="V66" s="3" t="n">
        <v>56.17717658571021</v>
      </c>
      <c r="W66" s="3" t="n">
        <v>57.51739216019701</v>
      </c>
      <c r="X66" s="3" t="n">
        <v>59.94703319234792</v>
      </c>
      <c r="Y66" s="3" t="n">
        <v>58.0814300450484</v>
      </c>
      <c r="Z66" s="3" t="n">
        <v>57.22195640694313</v>
      </c>
      <c r="AA66" s="3" t="n">
        <v>58.82102223026215</v>
      </c>
      <c r="AB66" s="3" t="n">
        <v>60.87981554991838</v>
      </c>
      <c r="AC66" s="3" t="n">
        <v>62.66491753471611</v>
      </c>
      <c r="AD66" s="3" t="n">
        <v>63.00846161594554</v>
      </c>
      <c r="AE66" s="3" t="n">
        <v>64.59838281642473</v>
      </c>
      <c r="AF66" s="3" t="n">
        <v>66.35543026614096</v>
      </c>
      <c r="AG66" s="3" t="n">
        <v>65.61818969489387</v>
      </c>
      <c r="AH66" s="3" t="n">
        <v>66.22318392435153</v>
      </c>
      <c r="AI66" s="3" t="n">
        <v>65.12108996618592</v>
      </c>
      <c r="AJ66" s="3" t="n">
        <v>65.76976802969664</v>
      </c>
      <c r="AK66" s="3" t="n">
        <v>66.85535430992317</v>
      </c>
      <c r="AL66" s="3" t="n">
        <v>67.60728714820051</v>
      </c>
      <c r="AM66" s="3" t="n">
        <v>67.19039845285225</v>
      </c>
      <c r="AN66" s="3" t="n">
        <v>66.69664660259377</v>
      </c>
      <c r="AO66" s="3" t="n">
        <v>65.58325749980456</v>
      </c>
      <c r="AP66" s="3" t="n">
        <v>64.92502481102184</v>
      </c>
      <c r="AQ66" s="3" t="n">
        <v>65.10796167137727</v>
      </c>
      <c r="AR66" s="3" t="n">
        <v>65.90639613484478</v>
      </c>
      <c r="AS66" s="3" t="n">
        <v>65.66580128769999</v>
      </c>
      <c r="AT66" s="3" t="n">
        <v>64.23020554461773</v>
      </c>
      <c r="AU66" s="3" t="n">
        <v>64.70654391115912</v>
      </c>
      <c r="AV66" s="3" t="n">
        <v>64.20081595976667</v>
      </c>
      <c r="AW66" s="3" t="n">
        <v>63.36268632917036</v>
      </c>
      <c r="AX66" s="3" t="n">
        <v>61.77396355419624</v>
      </c>
      <c r="AY66" s="3" t="n">
        <v>60.59625519995902</v>
      </c>
      <c r="AZ66" s="3" t="n">
        <v>59.21606186227392</v>
      </c>
      <c r="BA66" s="3" t="n">
        <v>59.42166104159155</v>
      </c>
      <c r="BB66" s="3" t="n">
        <v>58.96148127055172</v>
      </c>
      <c r="BC66" s="3" t="n">
        <v>60.21370855269392</v>
      </c>
      <c r="BD66" s="3" t="n">
        <v>58.92554942683269</v>
      </c>
      <c r="BE66" s="3" t="n">
        <v>58.4515417269908</v>
      </c>
      <c r="BF66" s="3" t="n">
        <v>59.24250606032685</v>
      </c>
      <c r="BG66" s="3" t="n">
        <v>60.33625479428841</v>
      </c>
      <c r="BH66" s="3" t="n">
        <v>61.25875786173387</v>
      </c>
      <c r="BI66" s="3" t="n">
        <v>62.16577367568397</v>
      </c>
      <c r="BJ66" s="3" t="n">
        <v>62.03464833386969</v>
      </c>
      <c r="BK66" s="3" t="n">
        <v>61.28365428841941</v>
      </c>
      <c r="BL66" s="3" t="n">
        <v>60.78699344914795</v>
      </c>
      <c r="BM66" s="3" t="n">
        <v>61.596362439446</v>
      </c>
      <c r="BN66" s="3" t="n">
        <v>62.07914308497191</v>
      </c>
      <c r="BO66" s="3" t="n">
        <v>61.44319790883031</v>
      </c>
      <c r="BP66" s="3" t="n">
        <v>61.09300332406231</v>
      </c>
      <c r="BQ66" s="3" t="n">
        <v>61.80390071891136</v>
      </c>
      <c r="BR66" s="34" t="str">
        <f>B66&amp;"|"&amp;D66</f>
        <v>EAR|NE.CON.PRVT.ZS</v>
      </c>
    </row>
    <row r="67">
      <c r="A67" s="3" t="inlineStr">
        <is>
          <t>East Asia &amp; Pacific</t>
        </is>
      </c>
      <c r="B67" s="3" t="inlineStr">
        <is>
          <t>EAS</t>
        </is>
      </c>
      <c r="C67" s="3" t="inlineStr">
        <is>
          <t>Households and NPISHs final consumption expenditure (% of GDP)</t>
        </is>
      </c>
      <c r="D67" s="3" t="inlineStr">
        <is>
          <t>NE.CON.PRVT.ZS</t>
        </is>
      </c>
      <c r="E67" s="3" t="n">
        <v>2022</v>
      </c>
      <c r="F67" s="3" t="n"/>
      <c r="G67" s="3" t="n"/>
      <c r="H67" s="3" t="n"/>
      <c r="I67" s="3" t="n"/>
      <c r="J67" s="3" t="n"/>
      <c r="K67" s="3" t="n"/>
      <c r="L67" s="3" t="n"/>
      <c r="M67" s="3" t="n">
        <v>61.04450322380441</v>
      </c>
      <c r="N67" s="3" t="n">
        <v>58.04580095511989</v>
      </c>
      <c r="O67" s="3" t="n">
        <v>54.23241442613126</v>
      </c>
      <c r="P67" s="3" t="n">
        <v>51.24075479793792</v>
      </c>
      <c r="Q67" s="3" t="n">
        <v>51.31276917338226</v>
      </c>
      <c r="R67" s="3" t="n">
        <v>51.35477324395386</v>
      </c>
      <c r="S67" s="3" t="n">
        <v>50.79692684194146</v>
      </c>
      <c r="T67" s="3" t="n">
        <v>51.25989020878807</v>
      </c>
      <c r="U67" s="3" t="n">
        <v>52.88955845722862</v>
      </c>
      <c r="V67" s="3" t="n">
        <v>53.15548939358605</v>
      </c>
      <c r="W67" s="3" t="n">
        <v>52.82076898127159</v>
      </c>
      <c r="X67" s="3" t="n">
        <v>52.51585618842203</v>
      </c>
      <c r="Y67" s="3" t="n">
        <v>52.82282119112239</v>
      </c>
      <c r="Z67" s="3" t="n">
        <v>53.13138852149728</v>
      </c>
      <c r="AA67" s="3" t="n">
        <v>53.44307342682156</v>
      </c>
      <c r="AB67" s="3" t="n">
        <v>54.43659775752173</v>
      </c>
      <c r="AC67" s="3" t="n">
        <v>54.23140871277417</v>
      </c>
      <c r="AD67" s="3" t="n">
        <v>53.30416096973375</v>
      </c>
      <c r="AE67" s="3" t="n">
        <v>52.94105098099535</v>
      </c>
      <c r="AF67" s="3" t="n">
        <v>52.2839496321123</v>
      </c>
      <c r="AG67" s="3" t="n">
        <v>51.80743529313459</v>
      </c>
      <c r="AH67" s="3" t="n">
        <v>51.32293653958197</v>
      </c>
      <c r="AI67" s="3" t="n">
        <v>51.69613670154574</v>
      </c>
      <c r="AJ67" s="3" t="n">
        <v>51.81170778661958</v>
      </c>
      <c r="AK67" s="3" t="n">
        <v>51.39843177474943</v>
      </c>
      <c r="AL67" s="3" t="n">
        <v>51.80816142205482</v>
      </c>
      <c r="AM67" s="3" t="n">
        <v>52.22258423552388</v>
      </c>
      <c r="AN67" s="3" t="n">
        <v>52.88328376178092</v>
      </c>
      <c r="AO67" s="3" t="n">
        <v>52.93692261784496</v>
      </c>
      <c r="AP67" s="3" t="n">
        <v>52.93690717864688</v>
      </c>
      <c r="AQ67" s="3" t="n">
        <v>52.84025360920038</v>
      </c>
      <c r="AR67" s="3" t="n">
        <v>52.63378448147409</v>
      </c>
      <c r="AS67" s="3" t="n">
        <v>53.75725343375619</v>
      </c>
      <c r="AT67" s="3" t="n">
        <v>53.38749962739843</v>
      </c>
      <c r="AU67" s="3" t="n">
        <v>53.7564285161745</v>
      </c>
      <c r="AV67" s="3" t="n">
        <v>53.96039633992814</v>
      </c>
      <c r="AW67" s="3" t="n">
        <v>53.25093038561585</v>
      </c>
      <c r="AX67" s="3" t="n">
        <v>52.33957949428157</v>
      </c>
      <c r="AY67" s="3" t="n">
        <v>51.81289935218258</v>
      </c>
      <c r="AZ67" s="3" t="n">
        <v>50.85523355601006</v>
      </c>
      <c r="BA67" s="3" t="n">
        <v>49.59629427958283</v>
      </c>
      <c r="BB67" s="3" t="n">
        <v>49.02738027714495</v>
      </c>
      <c r="BC67" s="3" t="n">
        <v>49.02627828411364</v>
      </c>
      <c r="BD67" s="3" t="n">
        <v>47.8133007687869</v>
      </c>
      <c r="BE67" s="3" t="n">
        <v>47.55926070782668</v>
      </c>
      <c r="BF67" s="3" t="n">
        <v>47.52206495835311</v>
      </c>
      <c r="BG67" s="3" t="n">
        <v>46.87637180502607</v>
      </c>
      <c r="BH67" s="3" t="n">
        <v>46.54641451736633</v>
      </c>
      <c r="BI67" s="3" t="n">
        <v>46.20508214103723</v>
      </c>
      <c r="BJ67" s="3" t="n">
        <v>46.60940957618558</v>
      </c>
      <c r="BK67" s="3" t="n">
        <v>46.13141729416197</v>
      </c>
      <c r="BL67" s="3" t="n">
        <v>45.8921203020322</v>
      </c>
      <c r="BM67" s="3" t="n">
        <v>46.30515376960489</v>
      </c>
      <c r="BN67" s="3" t="n">
        <v>45.21163738874375</v>
      </c>
      <c r="BO67" s="3" t="n">
        <v>44.15672091391388</v>
      </c>
      <c r="BP67" s="3" t="n">
        <v>43.79544529095011</v>
      </c>
      <c r="BQ67" s="3" t="n"/>
      <c r="BR67" s="34" t="str">
        <f>B67&amp;"|"&amp;D67</f>
        <v>EAS|NE.CON.PRVT.ZS</v>
      </c>
    </row>
    <row r="68">
      <c r="A68" s="3" t="inlineStr">
        <is>
          <t>Europe &amp; Central Asia (excluding high income)</t>
        </is>
      </c>
      <c r="B68" s="3" t="inlineStr">
        <is>
          <t>ECA</t>
        </is>
      </c>
      <c r="C68" s="3" t="inlineStr">
        <is>
          <t>Households and NPISHs final consumption expenditure (% of GDP)</t>
        </is>
      </c>
      <c r="D68" s="3" t="inlineStr">
        <is>
          <t>NE.CON.PRVT.ZS</t>
        </is>
      </c>
      <c r="E68" s="3" t="n">
        <v>2023</v>
      </c>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v>55.06642682246776</v>
      </c>
      <c r="AJ68" s="3" t="n">
        <v>61.55698264647127</v>
      </c>
      <c r="AK68" s="3" t="n">
        <v>62.48226401739735</v>
      </c>
      <c r="AL68" s="3" t="n">
        <v>61.17409722199579</v>
      </c>
      <c r="AM68" s="3" t="n">
        <v>65.93810666696689</v>
      </c>
      <c r="AN68" s="3" t="n">
        <v>66.4508221046157</v>
      </c>
      <c r="AO68" s="3" t="n">
        <v>69.38159647570168</v>
      </c>
      <c r="AP68" s="3" t="n">
        <v>69.00944821930011</v>
      </c>
      <c r="AQ68" s="3" t="n">
        <v>68.80727517362259</v>
      </c>
      <c r="AR68" s="3" t="n">
        <v>67.71487467907497</v>
      </c>
      <c r="AS68" s="3" t="n">
        <v>68.8219935182877</v>
      </c>
      <c r="AT68" s="3" t="n">
        <v>67.66912829166345</v>
      </c>
      <c r="AU68" s="3" t="n">
        <v>66.07572710934238</v>
      </c>
      <c r="AV68" s="3" t="n">
        <v>65.241177481763</v>
      </c>
      <c r="AW68" s="3" t="n">
        <v>66.08948027846279</v>
      </c>
      <c r="AX68" s="3" t="n">
        <v>64.79266360863058</v>
      </c>
      <c r="AY68" s="3" t="n">
        <v>63.58150506484609</v>
      </c>
      <c r="AZ68" s="3" t="n">
        <v>61.75462544373952</v>
      </c>
      <c r="BA68" s="3" t="n">
        <v>61.73455682625424</v>
      </c>
      <c r="BB68" s="3" t="n">
        <v>61.16003362248406</v>
      </c>
      <c r="BC68" s="3" t="n">
        <v>61.91571733795307</v>
      </c>
      <c r="BD68" s="3" t="n">
        <v>61.76060270415046</v>
      </c>
      <c r="BE68" s="3" t="n">
        <v>60.93626722382884</v>
      </c>
      <c r="BF68" s="3" t="n">
        <v>61.03890166696166</v>
      </c>
      <c r="BG68" s="3" t="n">
        <v>61.78603437449519</v>
      </c>
      <c r="BH68" s="3" t="n">
        <v>60.63577468601582</v>
      </c>
      <c r="BI68" s="3" t="n">
        <v>61.14507360913476</v>
      </c>
      <c r="BJ68" s="3" t="n">
        <v>61.12433828499434</v>
      </c>
      <c r="BK68" s="3" t="n">
        <v>60.25248509940966</v>
      </c>
      <c r="BL68" s="3" t="n">
        <v>58.77418483370739</v>
      </c>
      <c r="BM68" s="3" t="n">
        <v>59.75918568582787</v>
      </c>
      <c r="BN68" s="3" t="n">
        <v>59.74952051831494</v>
      </c>
      <c r="BO68" s="3" t="n">
        <v>58.22784538942646</v>
      </c>
      <c r="BP68" s="3" t="n">
        <v>57.83576009949053</v>
      </c>
      <c r="BQ68" s="3" t="n">
        <v>59.81092102496752</v>
      </c>
      <c r="BR68" s="34" t="str">
        <f>B68&amp;"|"&amp;D68</f>
        <v>ECA|NE.CON.PRVT.ZS</v>
      </c>
    </row>
    <row r="69">
      <c r="A69" s="3" t="inlineStr">
        <is>
          <t>Europe &amp; Central Asia</t>
        </is>
      </c>
      <c r="B69" s="3" t="inlineStr">
        <is>
          <t>ECS</t>
        </is>
      </c>
      <c r="C69" s="3" t="inlineStr">
        <is>
          <t>Households and NPISHs final consumption expenditure (% of GDP)</t>
        </is>
      </c>
      <c r="D69" s="3" t="inlineStr">
        <is>
          <t>NE.CON.PRVT.ZS</t>
        </is>
      </c>
      <c r="E69" s="3" t="n">
        <v>2023</v>
      </c>
      <c r="F69" s="3" t="n"/>
      <c r="G69" s="3" t="n"/>
      <c r="H69" s="3" t="n"/>
      <c r="I69" s="3" t="n"/>
      <c r="J69" s="3" t="n"/>
      <c r="K69" s="3" t="n"/>
      <c r="L69" s="3" t="n"/>
      <c r="M69" s="3" t="n"/>
      <c r="N69" s="3" t="n"/>
      <c r="O69" s="3" t="n"/>
      <c r="P69" s="3" t="n">
        <v>57.15013452135922</v>
      </c>
      <c r="Q69" s="3" t="n">
        <v>57.2655067078213</v>
      </c>
      <c r="R69" s="3" t="n">
        <v>57.29826797599677</v>
      </c>
      <c r="S69" s="3" t="n">
        <v>56.75230268204542</v>
      </c>
      <c r="T69" s="3" t="n">
        <v>57.03100805794147</v>
      </c>
      <c r="U69" s="3" t="n">
        <v>58.12524137794842</v>
      </c>
      <c r="V69" s="3" t="n">
        <v>57.78325518643533</v>
      </c>
      <c r="W69" s="3" t="n">
        <v>57.85573785309672</v>
      </c>
      <c r="X69" s="3" t="n">
        <v>57.34206331392437</v>
      </c>
      <c r="Y69" s="3" t="n">
        <v>57.62770188811888</v>
      </c>
      <c r="Z69" s="3" t="n">
        <v>58.17959698239024</v>
      </c>
      <c r="AA69" s="3" t="n">
        <v>58.66077344836563</v>
      </c>
      <c r="AB69" s="3" t="n">
        <v>58.72660818163248</v>
      </c>
      <c r="AC69" s="3" t="n">
        <v>58.66558877810923</v>
      </c>
      <c r="AD69" s="3" t="n">
        <v>58.2769188691287</v>
      </c>
      <c r="AE69" s="3" t="n">
        <v>58.16155030840127</v>
      </c>
      <c r="AF69" s="3" t="n">
        <v>57.87230475873098</v>
      </c>
      <c r="AG69" s="3" t="n">
        <v>58.28732366341176</v>
      </c>
      <c r="AH69" s="3" t="n">
        <v>57.82134031047315</v>
      </c>
      <c r="AI69" s="3" t="n">
        <v>57.00316724033831</v>
      </c>
      <c r="AJ69" s="3" t="n">
        <v>57.29388101410917</v>
      </c>
      <c r="AK69" s="3" t="n">
        <v>57.41180876923641</v>
      </c>
      <c r="AL69" s="3" t="n">
        <v>57.46049507612343</v>
      </c>
      <c r="AM69" s="3" t="n">
        <v>58.06799469252631</v>
      </c>
      <c r="AN69" s="3" t="n">
        <v>58.05810038978709</v>
      </c>
      <c r="AO69" s="3" t="n">
        <v>57.08334299608484</v>
      </c>
      <c r="AP69" s="3" t="n">
        <v>57.42749800647628</v>
      </c>
      <c r="AQ69" s="3" t="n">
        <v>57.74024219508578</v>
      </c>
      <c r="AR69" s="3" t="n">
        <v>57.86920039029593</v>
      </c>
      <c r="AS69" s="3" t="n">
        <v>57.97367300799008</v>
      </c>
      <c r="AT69" s="3" t="n">
        <v>57.65701757960971</v>
      </c>
      <c r="AU69" s="3" t="n">
        <v>57.48563826765878</v>
      </c>
      <c r="AV69" s="3" t="n">
        <v>57.2700710078996</v>
      </c>
      <c r="AW69" s="3" t="n">
        <v>57.28412312063719</v>
      </c>
      <c r="AX69" s="3" t="n">
        <v>56.99351455914468</v>
      </c>
      <c r="AY69" s="3" t="n">
        <v>56.89606977283629</v>
      </c>
      <c r="AZ69" s="3" t="n">
        <v>56.11030288536368</v>
      </c>
      <c r="BA69" s="3" t="n">
        <v>55.59113117723685</v>
      </c>
      <c r="BB69" s="3" t="n">
        <v>55.54394402333462</v>
      </c>
      <c r="BC69" s="3" t="n">
        <v>56.8239681994633</v>
      </c>
      <c r="BD69" s="3" t="n">
        <v>56.34601146784367</v>
      </c>
      <c r="BE69" s="3" t="n">
        <v>55.91232762951551</v>
      </c>
      <c r="BF69" s="3" t="n">
        <v>56.18540442210774</v>
      </c>
      <c r="BG69" s="3" t="n">
        <v>56.26311917677165</v>
      </c>
      <c r="BH69" s="3" t="n">
        <v>55.94142972857004</v>
      </c>
      <c r="BI69" s="3" t="n">
        <v>55.64611772480755</v>
      </c>
      <c r="BJ69" s="3" t="n">
        <v>55.57848805716311</v>
      </c>
      <c r="BK69" s="3" t="n">
        <v>55.14042898460154</v>
      </c>
      <c r="BL69" s="3" t="n">
        <v>54.74630342073959</v>
      </c>
      <c r="BM69" s="3" t="n">
        <v>54.53536725664054</v>
      </c>
      <c r="BN69" s="3" t="n">
        <v>52.87669169801895</v>
      </c>
      <c r="BO69" s="3" t="n">
        <v>52.09110293474485</v>
      </c>
      <c r="BP69" s="3" t="n">
        <v>52.87825310164084</v>
      </c>
      <c r="BQ69" s="3" t="n">
        <v>53.47483627118801</v>
      </c>
      <c r="BR69" s="34" t="str">
        <f>B69&amp;"|"&amp;D69</f>
        <v>ECS|NE.CON.PRVT.ZS</v>
      </c>
    </row>
    <row r="70">
      <c r="A70" s="3" t="inlineStr">
        <is>
          <t>Ecuador</t>
        </is>
      </c>
      <c r="B70" s="3" t="inlineStr">
        <is>
          <t>ECU</t>
        </is>
      </c>
      <c r="C70" s="3" t="inlineStr">
        <is>
          <t>Households and NPISHs final consumption expenditure (% of GDP)</t>
        </is>
      </c>
      <c r="D70" s="3" t="inlineStr">
        <is>
          <t>NE.CON.PRVT.ZS</t>
        </is>
      </c>
      <c r="E70" s="3" t="n">
        <v>2023</v>
      </c>
      <c r="F70" s="3" t="n">
        <v>66.11969826446618</v>
      </c>
      <c r="G70" s="3" t="n">
        <v>66.02422530279503</v>
      </c>
      <c r="H70" s="3" t="n">
        <v>66.47878233692398</v>
      </c>
      <c r="I70" s="3" t="n">
        <v>66.95084996768618</v>
      </c>
      <c r="J70" s="3" t="n">
        <v>67.47714059545753</v>
      </c>
      <c r="K70" s="3" t="n">
        <v>67.51231399083953</v>
      </c>
      <c r="L70" s="3" t="n">
        <v>69.09459690422113</v>
      </c>
      <c r="M70" s="3" t="n">
        <v>71.53823972367664</v>
      </c>
      <c r="N70" s="3" t="n">
        <v>77.32088620322108</v>
      </c>
      <c r="O70" s="3" t="n">
        <v>72.87939112893504</v>
      </c>
      <c r="P70" s="3" t="n">
        <v>74.31555062821289</v>
      </c>
      <c r="Q70" s="3" t="n">
        <v>75.19833629990194</v>
      </c>
      <c r="R70" s="3" t="n">
        <v>70.66139942093793</v>
      </c>
      <c r="S70" s="3" t="n">
        <v>67.44925949062826</v>
      </c>
      <c r="T70" s="3" t="n">
        <v>55.41922070267018</v>
      </c>
      <c r="U70" s="3" t="n">
        <v>61.74952002278476</v>
      </c>
      <c r="V70" s="3" t="n">
        <v>60.69596633465991</v>
      </c>
      <c r="W70" s="3" t="n">
        <v>56.43397672873783</v>
      </c>
      <c r="X70" s="3" t="n">
        <v>57.44940309833515</v>
      </c>
      <c r="Y70" s="3" t="n">
        <v>58.64100396580524</v>
      </c>
      <c r="Z70" s="3" t="n">
        <v>57.06252741923924</v>
      </c>
      <c r="AA70" s="3" t="n">
        <v>58.98036688649226</v>
      </c>
      <c r="AB70" s="3" t="n">
        <v>64.00114456107589</v>
      </c>
      <c r="AC70" s="3" t="n">
        <v>63.70322990299787</v>
      </c>
      <c r="AD70" s="3" t="n">
        <v>63.32454233239046</v>
      </c>
      <c r="AE70" s="3" t="n">
        <v>62.64097151638826</v>
      </c>
      <c r="AF70" s="3" t="n">
        <v>62.66866438406504</v>
      </c>
      <c r="AG70" s="3" t="n">
        <v>66.31004924617686</v>
      </c>
      <c r="AH70" s="3" t="n">
        <v>62.26504201023639</v>
      </c>
      <c r="AI70" s="3" t="n">
        <v>63.77605575270254</v>
      </c>
      <c r="AJ70" s="3" t="n">
        <v>62.69218702002689</v>
      </c>
      <c r="AK70" s="3" t="n">
        <v>64.46343091868859</v>
      </c>
      <c r="AL70" s="3" t="n">
        <v>63.93016805849604</v>
      </c>
      <c r="AM70" s="3" t="n">
        <v>71.41815670648934</v>
      </c>
      <c r="AN70" s="3" t="n">
        <v>70.97504775784311</v>
      </c>
      <c r="AO70" s="3" t="n">
        <v>72.29900099374841</v>
      </c>
      <c r="AP70" s="3" t="n">
        <v>70.25588388571646</v>
      </c>
      <c r="AQ70" s="3" t="n">
        <v>70.36907667806406</v>
      </c>
      <c r="AR70" s="3" t="n">
        <v>72.52255138443329</v>
      </c>
      <c r="AS70" s="3" t="n">
        <v>65.05017201031808</v>
      </c>
      <c r="AT70" s="3" t="n">
        <v>63.60830737646589</v>
      </c>
      <c r="AU70" s="3" t="n">
        <v>72.63098998121464</v>
      </c>
      <c r="AV70" s="3" t="n">
        <v>73.45665073703721</v>
      </c>
      <c r="AW70" s="3" t="n">
        <v>71.80766232863671</v>
      </c>
      <c r="AX70" s="3" t="n">
        <v>70.38035317967662</v>
      </c>
      <c r="AY70" s="3" t="n">
        <v>68.20189673245132</v>
      </c>
      <c r="AZ70" s="3" t="n">
        <v>65.44325524708911</v>
      </c>
      <c r="BA70" s="3" t="n">
        <v>64.38590956940222</v>
      </c>
      <c r="BB70" s="3" t="n">
        <v>60.46594998141789</v>
      </c>
      <c r="BC70" s="3" t="n">
        <v>63.15669838501313</v>
      </c>
      <c r="BD70" s="3" t="n">
        <v>63.6594012715438</v>
      </c>
      <c r="BE70" s="3" t="n">
        <v>61.21302552299726</v>
      </c>
      <c r="BF70" s="3" t="n">
        <v>60.57985971581164</v>
      </c>
      <c r="BG70" s="3" t="n">
        <v>59.55132038789469</v>
      </c>
      <c r="BH70" s="3" t="n">
        <v>59.27076665996156</v>
      </c>
      <c r="BI70" s="3" t="n">
        <v>64.25881804750105</v>
      </c>
      <c r="BJ70" s="3" t="n">
        <v>63.52015230492216</v>
      </c>
      <c r="BK70" s="3" t="n">
        <v>62.86862593783486</v>
      </c>
      <c r="BL70" s="3" t="n">
        <v>62.82440744077896</v>
      </c>
      <c r="BM70" s="3" t="n">
        <v>63.75227240453716</v>
      </c>
      <c r="BN70" s="3" t="n">
        <v>63.51468754047338</v>
      </c>
      <c r="BO70" s="3" t="n">
        <v>63.81996048014141</v>
      </c>
      <c r="BP70" s="3" t="n">
        <v>64.35258707002231</v>
      </c>
      <c r="BQ70" s="3" t="n">
        <v>64.34859015233864</v>
      </c>
      <c r="BR70" s="34" t="str">
        <f>B70&amp;"|"&amp;D70</f>
        <v>ECU|NE.CON.PRVT.ZS</v>
      </c>
    </row>
    <row r="71">
      <c r="A71" s="3" t="inlineStr">
        <is>
          <t>Egypt, Arab Rep.</t>
        </is>
      </c>
      <c r="B71" s="3" t="inlineStr">
        <is>
          <t>EGY</t>
        </is>
      </c>
      <c r="C71" s="3" t="inlineStr">
        <is>
          <t>Households and NPISHs final consumption expenditure (% of GDP)</t>
        </is>
      </c>
      <c r="D71" s="3" t="inlineStr">
        <is>
          <t>NE.CON.PRVT.ZS</t>
        </is>
      </c>
      <c r="E71" s="3" t="n">
        <v>2023</v>
      </c>
      <c r="F71" s="3" t="n">
        <v>70.95166575641726</v>
      </c>
      <c r="G71" s="3" t="n">
        <v>69.67799642218246</v>
      </c>
      <c r="H71" s="3" t="n">
        <v>71.46357899895852</v>
      </c>
      <c r="I71" s="3" t="n">
        <v>69.88190057676462</v>
      </c>
      <c r="J71" s="3" t="n">
        <v>67.44810744810745</v>
      </c>
      <c r="K71" s="3" t="n">
        <v>67.08452880158904</v>
      </c>
      <c r="L71" s="3" t="n">
        <v>68.04891015417331</v>
      </c>
      <c r="M71" s="3" t="n">
        <v>68.95218557677134</v>
      </c>
      <c r="N71" s="3" t="n">
        <v>70.50019692792438</v>
      </c>
      <c r="O71" s="3" t="n">
        <v>68.40347361389446</v>
      </c>
      <c r="P71" s="3" t="n">
        <v>66.6260619690155</v>
      </c>
      <c r="Q71" s="3" t="n">
        <v>67.34306958556743</v>
      </c>
      <c r="R71" s="3" t="n">
        <v>67.66561952684107</v>
      </c>
      <c r="S71" s="3" t="n">
        <v>67.04778583937954</v>
      </c>
      <c r="T71" s="3" t="n">
        <v>66.88804340484927</v>
      </c>
      <c r="U71" s="3" t="n">
        <v>66.10447367429238</v>
      </c>
      <c r="V71" s="3" t="n">
        <v>65.68475375115592</v>
      </c>
      <c r="W71" s="3" t="n">
        <v>65.12015980706221</v>
      </c>
      <c r="X71" s="3" t="n">
        <v>66.59297017339148</v>
      </c>
      <c r="Y71" s="3" t="n">
        <v>68.08726534753932</v>
      </c>
      <c r="Z71" s="3" t="n">
        <v>69.17015047339885</v>
      </c>
      <c r="AA71" s="3" t="n">
        <v>63.09864657798506</v>
      </c>
      <c r="AB71" s="3" t="n">
        <v>64.50391877449235</v>
      </c>
      <c r="AC71" s="3" t="n">
        <v>64.66165413533834</v>
      </c>
      <c r="AD71" s="3" t="n">
        <v>65.50632911392405</v>
      </c>
      <c r="AE71" s="3" t="n">
        <v>64.6112600536193</v>
      </c>
      <c r="AF71" s="3" t="n">
        <v>64.17233560090703</v>
      </c>
      <c r="AG71" s="3" t="n">
        <v>69.70873436893203</v>
      </c>
      <c r="AH71" s="3" t="n">
        <v>70.77922077922078</v>
      </c>
      <c r="AI71" s="3" t="n">
        <v>70.2597412987013</v>
      </c>
      <c r="AJ71" s="3" t="n">
        <v>71.92066805845512</v>
      </c>
      <c r="AK71" s="3" t="n">
        <v>73.06666666666666</v>
      </c>
      <c r="AL71" s="3" t="n">
        <v>72.60963335729691</v>
      </c>
      <c r="AM71" s="3" t="n">
        <v>74.0979381443299</v>
      </c>
      <c r="AN71" s="3" t="n">
        <v>74.57142857142857</v>
      </c>
      <c r="AO71" s="3" t="n">
        <v>74.4607843137255</v>
      </c>
      <c r="AP71" s="3" t="n">
        <v>76.93984306887532</v>
      </c>
      <c r="AQ71" s="3" t="n">
        <v>77.17186912373073</v>
      </c>
      <c r="AR71" s="3" t="n">
        <v>76.68754349338901</v>
      </c>
      <c r="AS71" s="3" t="n">
        <v>75.03250975292588</v>
      </c>
      <c r="AT71" s="3" t="n">
        <v>75.86004116436342</v>
      </c>
      <c r="AU71" s="3" t="n">
        <v>75.27181488709228</v>
      </c>
      <c r="AV71" s="3" t="n">
        <v>73.76616521509634</v>
      </c>
      <c r="AW71" s="3" t="n">
        <v>73.02994011976048</v>
      </c>
      <c r="AX71" s="3" t="n">
        <v>71.66701009684731</v>
      </c>
      <c r="AY71" s="3" t="n">
        <v>71.5506035283194</v>
      </c>
      <c r="AZ71" s="3" t="n">
        <v>70.60061518536507</v>
      </c>
      <c r="BA71" s="3" t="n">
        <v>72.3952738990333</v>
      </c>
      <c r="BB71" s="3" t="n">
        <v>72.31714126186488</v>
      </c>
      <c r="BC71" s="3" t="n">
        <v>76.09863749760123</v>
      </c>
      <c r="BD71" s="3" t="n">
        <v>74.57318083872038</v>
      </c>
      <c r="BE71" s="3" t="n">
        <v>75.56706294216322</v>
      </c>
      <c r="BF71" s="3" t="n">
        <v>80.71296351585359</v>
      </c>
      <c r="BG71" s="3" t="n">
        <v>80.77295205332187</v>
      </c>
      <c r="BH71" s="3" t="n">
        <v>82.93896713615024</v>
      </c>
      <c r="BI71" s="3" t="n">
        <v>82.42972298375547</v>
      </c>
      <c r="BJ71" s="3" t="n">
        <v>83.08850668044585</v>
      </c>
      <c r="BK71" s="3" t="n">
        <v>86.08003501189857</v>
      </c>
      <c r="BL71" s="3" t="n">
        <v>83.29047190433329</v>
      </c>
      <c r="BM71" s="3" t="n">
        <v>80.49678341672623</v>
      </c>
      <c r="BN71" s="3" t="n">
        <v>83.64593830250627</v>
      </c>
      <c r="BO71" s="3" t="n">
        <v>86.00501268178475</v>
      </c>
      <c r="BP71" s="3" t="n">
        <v>82.52215492508766</v>
      </c>
      <c r="BQ71" s="3" t="n">
        <v>82.57183370423617</v>
      </c>
      <c r="BR71" s="34" t="str">
        <f>B71&amp;"|"&amp;D71</f>
        <v>EGY|NE.CON.PRVT.ZS</v>
      </c>
    </row>
    <row r="72">
      <c r="A72" s="3" t="inlineStr">
        <is>
          <t>Euro area</t>
        </is>
      </c>
      <c r="B72" s="3" t="inlineStr">
        <is>
          <t>EMU</t>
        </is>
      </c>
      <c r="C72" s="3" t="inlineStr">
        <is>
          <t>Households and NPISHs final consumption expenditure (% of GDP)</t>
        </is>
      </c>
      <c r="D72" s="3" t="inlineStr">
        <is>
          <t>NE.CON.PRVT.ZS</t>
        </is>
      </c>
      <c r="E72" s="3" t="n">
        <v>2023</v>
      </c>
      <c r="F72" s="3" t="n"/>
      <c r="G72" s="3" t="n"/>
      <c r="H72" s="3" t="n"/>
      <c r="I72" s="3" t="n"/>
      <c r="J72" s="3" t="n"/>
      <c r="K72" s="3" t="n"/>
      <c r="L72" s="3" t="n"/>
      <c r="M72" s="3" t="n"/>
      <c r="N72" s="3" t="n"/>
      <c r="O72" s="3" t="n"/>
      <c r="P72" s="3" t="n">
        <v>56.33246203474024</v>
      </c>
      <c r="Q72" s="3" t="n">
        <v>56.37671585351652</v>
      </c>
      <c r="R72" s="3" t="n">
        <v>56.38386977842774</v>
      </c>
      <c r="S72" s="3" t="n">
        <v>55.93829990822201</v>
      </c>
      <c r="T72" s="3" t="n">
        <v>55.95776784162837</v>
      </c>
      <c r="U72" s="3" t="n">
        <v>57.49418673194516</v>
      </c>
      <c r="V72" s="3" t="n">
        <v>57.36629463367451</v>
      </c>
      <c r="W72" s="3" t="n">
        <v>57.50337295416437</v>
      </c>
      <c r="X72" s="3" t="n">
        <v>56.85398635100315</v>
      </c>
      <c r="Y72" s="3" t="n">
        <v>57.16919292167415</v>
      </c>
      <c r="Z72" s="3" t="n">
        <v>57.84934353152325</v>
      </c>
      <c r="AA72" s="3" t="n">
        <v>58.5138819044856</v>
      </c>
      <c r="AB72" s="3" t="n">
        <v>58.57145092365057</v>
      </c>
      <c r="AC72" s="3" t="n">
        <v>58.40466562056005</v>
      </c>
      <c r="AD72" s="3" t="n">
        <v>58.06214528271118</v>
      </c>
      <c r="AE72" s="3" t="n">
        <v>57.98686101072328</v>
      </c>
      <c r="AF72" s="3" t="n">
        <v>57.24570391653976</v>
      </c>
      <c r="AG72" s="3" t="n">
        <v>57.54963467694581</v>
      </c>
      <c r="AH72" s="3" t="n">
        <v>56.89457722573388</v>
      </c>
      <c r="AI72" s="3" t="n">
        <v>56.94576111578768</v>
      </c>
      <c r="AJ72" s="3" t="n">
        <v>56.43517014385449</v>
      </c>
      <c r="AK72" s="3" t="n">
        <v>56.61268052545147</v>
      </c>
      <c r="AL72" s="3" t="n">
        <v>56.9918576444542</v>
      </c>
      <c r="AM72" s="3" t="n">
        <v>57.02010902244496</v>
      </c>
      <c r="AN72" s="3" t="n">
        <v>56.69111811950685</v>
      </c>
      <c r="AO72" s="3" t="n">
        <v>56.22602907551649</v>
      </c>
      <c r="AP72" s="3" t="n">
        <v>56.5483143712571</v>
      </c>
      <c r="AQ72" s="3" t="n">
        <v>56.24250616517826</v>
      </c>
      <c r="AR72" s="3" t="n">
        <v>56.04124529449226</v>
      </c>
      <c r="AS72" s="3" t="n">
        <v>56.214630709883</v>
      </c>
      <c r="AT72" s="3" t="n">
        <v>56.26588024505556</v>
      </c>
      <c r="AU72" s="3" t="n">
        <v>56.0886635207742</v>
      </c>
      <c r="AV72" s="3" t="n">
        <v>55.70178911814209</v>
      </c>
      <c r="AW72" s="3" t="n">
        <v>55.94125458034045</v>
      </c>
      <c r="AX72" s="3" t="n">
        <v>55.6799974003112</v>
      </c>
      <c r="AY72" s="3" t="n">
        <v>55.89434502919541</v>
      </c>
      <c r="AZ72" s="3" t="n">
        <v>55.41779182156391</v>
      </c>
      <c r="BA72" s="3" t="n">
        <v>54.75775590131205</v>
      </c>
      <c r="BB72" s="3" t="n">
        <v>55.10605255611301</v>
      </c>
      <c r="BC72" s="3" t="n">
        <v>56.15012423555373</v>
      </c>
      <c r="BD72" s="3" t="n">
        <v>55.91282695102511</v>
      </c>
      <c r="BE72" s="3" t="n">
        <v>55.725436197158</v>
      </c>
      <c r="BF72" s="3" t="n">
        <v>55.9211266667466</v>
      </c>
      <c r="BG72" s="3" t="n">
        <v>55.61784208135448</v>
      </c>
      <c r="BH72" s="3" t="n">
        <v>55.06647393864353</v>
      </c>
      <c r="BI72" s="3" t="n">
        <v>54.37730992564568</v>
      </c>
      <c r="BJ72" s="3" t="n">
        <v>54.19679946637613</v>
      </c>
      <c r="BK72" s="3" t="n">
        <v>53.8551408366103</v>
      </c>
      <c r="BL72" s="3" t="n">
        <v>53.68239129724856</v>
      </c>
      <c r="BM72" s="3" t="n">
        <v>53.24910343878327</v>
      </c>
      <c r="BN72" s="3" t="n">
        <v>51.67255927986154</v>
      </c>
      <c r="BO72" s="3" t="n">
        <v>50.93785834320891</v>
      </c>
      <c r="BP72" s="3" t="n">
        <v>52.33613448500813</v>
      </c>
      <c r="BQ72" s="3" t="n">
        <v>52.41699705203159</v>
      </c>
      <c r="BR72" s="34" t="str">
        <f>B72&amp;"|"&amp;D72</f>
        <v>EMU|NE.CON.PRVT.ZS</v>
      </c>
    </row>
    <row r="73">
      <c r="A73" s="3" t="inlineStr">
        <is>
          <t>Eritrea</t>
        </is>
      </c>
      <c r="B73" s="3" t="inlineStr">
        <is>
          <t>ERI</t>
        </is>
      </c>
      <c r="C73" s="3" t="inlineStr">
        <is>
          <t>Households and NPISHs final consumption expenditure (% of GDP)</t>
        </is>
      </c>
      <c r="D73" s="3" t="inlineStr">
        <is>
          <t>NE.CON.PRVT.ZS</t>
        </is>
      </c>
      <c r="E73" s="3" t="n">
        <v>2011</v>
      </c>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c r="AH73" s="3" t="n"/>
      <c r="AI73" s="3" t="n"/>
      <c r="AJ73" s="3" t="n"/>
      <c r="AK73" s="3" t="n"/>
      <c r="AL73" s="3" t="n">
        <v>103.9511592811085</v>
      </c>
      <c r="AM73" s="3" t="n">
        <v>93.2436851140358</v>
      </c>
      <c r="AN73" s="3" t="n">
        <v>99.80764533463605</v>
      </c>
      <c r="AO73" s="3" t="n">
        <v>94.33946962938934</v>
      </c>
      <c r="AP73" s="3" t="n">
        <v>91.82733747674999</v>
      </c>
      <c r="AQ73" s="3" t="n">
        <v>94.98124491670477</v>
      </c>
      <c r="AR73" s="3" t="n">
        <v>80.63930345856573</v>
      </c>
      <c r="AS73" s="3" t="n">
        <v>69.54282916407016</v>
      </c>
      <c r="AT73" s="3" t="n">
        <v>71.74659787609292</v>
      </c>
      <c r="AU73" s="3" t="n">
        <v>72.53833818814546</v>
      </c>
      <c r="AV73" s="3" t="n">
        <v>83.82220121810251</v>
      </c>
      <c r="AW73" s="3" t="n">
        <v>87.97812137183399</v>
      </c>
      <c r="AX73" s="3" t="n">
        <v>97.14623270513995</v>
      </c>
      <c r="AY73" s="3" t="n">
        <v>93.20111228462827</v>
      </c>
      <c r="AZ73" s="3" t="n">
        <v>91.8608306017987</v>
      </c>
      <c r="BA73" s="3" t="n">
        <v>84.70763400244549</v>
      </c>
      <c r="BB73" s="3" t="n">
        <v>82.62905358233822</v>
      </c>
      <c r="BC73" s="3" t="n">
        <v>89.53936350899559</v>
      </c>
      <c r="BD73" s="3" t="n">
        <v>113.7107730330458</v>
      </c>
      <c r="BE73" s="3" t="n">
        <v>98.17168544917384</v>
      </c>
      <c r="BF73" s="3" t="n"/>
      <c r="BG73" s="3" t="n"/>
      <c r="BH73" s="3" t="n"/>
      <c r="BI73" s="3" t="n"/>
      <c r="BJ73" s="3" t="n"/>
      <c r="BK73" s="3" t="n"/>
      <c r="BL73" s="3" t="n"/>
      <c r="BM73" s="3" t="n"/>
      <c r="BN73" s="3" t="n"/>
      <c r="BO73" s="3" t="n"/>
      <c r="BP73" s="3" t="n"/>
      <c r="BQ73" s="3" t="n"/>
      <c r="BR73" s="34" t="str">
        <f>B73&amp;"|"&amp;D73</f>
        <v>ERI|NE.CON.PRVT.ZS</v>
      </c>
    </row>
    <row r="74">
      <c r="A74" s="3" t="inlineStr">
        <is>
          <t>Spain</t>
        </is>
      </c>
      <c r="B74" s="3" t="inlineStr">
        <is>
          <t>ESP</t>
        </is>
      </c>
      <c r="C74" s="3" t="inlineStr">
        <is>
          <t>Households and NPISHs final consumption expenditure (% of GDP)</t>
        </is>
      </c>
      <c r="D74" s="3" t="inlineStr">
        <is>
          <t>NE.CON.PRVT.ZS</t>
        </is>
      </c>
      <c r="E74" s="3" t="n">
        <v>2023</v>
      </c>
      <c r="F74" s="3" t="n"/>
      <c r="G74" s="3" t="n"/>
      <c r="H74" s="3" t="n"/>
      <c r="I74" s="3" t="n"/>
      <c r="J74" s="3" t="n"/>
      <c r="K74" s="3" t="n"/>
      <c r="L74" s="3" t="n"/>
      <c r="M74" s="3" t="n"/>
      <c r="N74" s="3" t="n"/>
      <c r="O74" s="3" t="n"/>
      <c r="P74" s="3" t="n">
        <v>63.98839760722539</v>
      </c>
      <c r="Q74" s="3" t="n">
        <v>64.17949333956993</v>
      </c>
      <c r="R74" s="3" t="n">
        <v>63.76430141034929</v>
      </c>
      <c r="S74" s="3" t="n">
        <v>63.46855117013117</v>
      </c>
      <c r="T74" s="3" t="n">
        <v>64.10991369047284</v>
      </c>
      <c r="U74" s="3" t="n">
        <v>64.21109396690208</v>
      </c>
      <c r="V74" s="3" t="n">
        <v>65.57834541988069</v>
      </c>
      <c r="W74" s="3" t="n">
        <v>64.91425554712342</v>
      </c>
      <c r="X74" s="3" t="n">
        <v>63.74911194392718</v>
      </c>
      <c r="Y74" s="3" t="n">
        <v>64.30461145109955</v>
      </c>
      <c r="Z74" s="3" t="n">
        <v>65.51613500020697</v>
      </c>
      <c r="AA74" s="3" t="n">
        <v>65.96705618778934</v>
      </c>
      <c r="AB74" s="3" t="n">
        <v>65.63730741399077</v>
      </c>
      <c r="AC74" s="3" t="n">
        <v>64.98260225734919</v>
      </c>
      <c r="AD74" s="3" t="n">
        <v>63.56245251249067</v>
      </c>
      <c r="AE74" s="3" t="n">
        <v>63.27900840673414</v>
      </c>
      <c r="AF74" s="3" t="n">
        <v>62.49255585131843</v>
      </c>
      <c r="AG74" s="3" t="n">
        <v>62.4879658692527</v>
      </c>
      <c r="AH74" s="3" t="n">
        <v>61.7060500683002</v>
      </c>
      <c r="AI74" s="3" t="n">
        <v>61.96944472105535</v>
      </c>
      <c r="AJ74" s="3" t="n">
        <v>61.39391263824299</v>
      </c>
      <c r="AK74" s="3" t="n">
        <v>61.3110497673684</v>
      </c>
      <c r="AL74" s="3" t="n">
        <v>61.98121158510659</v>
      </c>
      <c r="AM74" s="3" t="n">
        <v>61.8853922579766</v>
      </c>
      <c r="AN74" s="3" t="n">
        <v>61.67628481995933</v>
      </c>
      <c r="AO74" s="3" t="n">
        <v>60.98856244626434</v>
      </c>
      <c r="AP74" s="3" t="n">
        <v>60.4667183153006</v>
      </c>
      <c r="AQ74" s="3" t="n">
        <v>60.20898649637567</v>
      </c>
      <c r="AR74" s="3" t="n">
        <v>59.67269372096411</v>
      </c>
      <c r="AS74" s="3" t="n">
        <v>59.60521920422747</v>
      </c>
      <c r="AT74" s="3" t="n">
        <v>59.61741202838306</v>
      </c>
      <c r="AU74" s="3" t="n">
        <v>59.2702066925062</v>
      </c>
      <c r="AV74" s="3" t="n">
        <v>58.68265310478793</v>
      </c>
      <c r="AW74" s="3" t="n">
        <v>57.9258001710156</v>
      </c>
      <c r="AX74" s="3" t="n">
        <v>58.24592145788464</v>
      </c>
      <c r="AY74" s="3" t="n">
        <v>58.08496619964048</v>
      </c>
      <c r="AZ74" s="3" t="n">
        <v>57.76884968764414</v>
      </c>
      <c r="BA74" s="3" t="n">
        <v>57.63026724274991</v>
      </c>
      <c r="BB74" s="3" t="n">
        <v>57.45781363644966</v>
      </c>
      <c r="BC74" s="3" t="n">
        <v>56.928449121547</v>
      </c>
      <c r="BD74" s="3" t="n">
        <v>58.08891320945382</v>
      </c>
      <c r="BE74" s="3" t="n">
        <v>58.47966135313975</v>
      </c>
      <c r="BF74" s="3" t="n">
        <v>59.52192989261995</v>
      </c>
      <c r="BG74" s="3" t="n">
        <v>58.95577151243734</v>
      </c>
      <c r="BH74" s="3" t="n">
        <v>59.33626313179832</v>
      </c>
      <c r="BI74" s="3" t="n">
        <v>58.45651391532448</v>
      </c>
      <c r="BJ74" s="3" t="n">
        <v>58.17061789989412</v>
      </c>
      <c r="BK74" s="3" t="n">
        <v>58.33175626154846</v>
      </c>
      <c r="BL74" s="3" t="n">
        <v>58.10265155636998</v>
      </c>
      <c r="BM74" s="3" t="n">
        <v>57.36873079606556</v>
      </c>
      <c r="BN74" s="3" t="n">
        <v>56.07680002859671</v>
      </c>
      <c r="BO74" s="3" t="n">
        <v>56.21685524711811</v>
      </c>
      <c r="BP74" s="3" t="n">
        <v>56.93880688692692</v>
      </c>
      <c r="BQ74" s="3" t="n">
        <v>55.61749216253765</v>
      </c>
      <c r="BR74" s="34" t="str">
        <f>B74&amp;"|"&amp;D74</f>
        <v>ESP|NE.CON.PRVT.ZS</v>
      </c>
    </row>
    <row r="75">
      <c r="A75" s="3" t="inlineStr">
        <is>
          <t>Estonia</t>
        </is>
      </c>
      <c r="B75" s="3" t="inlineStr">
        <is>
          <t>EST</t>
        </is>
      </c>
      <c r="C75" s="3" t="inlineStr">
        <is>
          <t>Households and NPISHs final consumption expenditure (% of GDP)</t>
        </is>
      </c>
      <c r="D75" s="3" t="inlineStr">
        <is>
          <t>NE.CON.PRVT.ZS</t>
        </is>
      </c>
      <c r="E75" s="3" t="n">
        <v>2023</v>
      </c>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c r="AH75" s="3" t="n"/>
      <c r="AI75" s="3" t="n"/>
      <c r="AJ75" s="3" t="n"/>
      <c r="AK75" s="3" t="n"/>
      <c r="AL75" s="3" t="n"/>
      <c r="AM75" s="3" t="n">
        <v>58.26366066978438</v>
      </c>
      <c r="AN75" s="3" t="n">
        <v>58.61480327418664</v>
      </c>
      <c r="AO75" s="3" t="n">
        <v>55.91102019193204</v>
      </c>
      <c r="AP75" s="3" t="n">
        <v>57.94150495792086</v>
      </c>
      <c r="AQ75" s="3" t="n">
        <v>57.98182463073491</v>
      </c>
      <c r="AR75" s="3" t="n">
        <v>57.381856552907</v>
      </c>
      <c r="AS75" s="3" t="n">
        <v>56.18038976920568</v>
      </c>
      <c r="AT75" s="3" t="n">
        <v>54.39962927226048</v>
      </c>
      <c r="AU75" s="3" t="n">
        <v>54.78231286967397</v>
      </c>
      <c r="AV75" s="3" t="n">
        <v>55.42999879835043</v>
      </c>
      <c r="AW75" s="3" t="n">
        <v>55.270900571404</v>
      </c>
      <c r="AX75" s="3" t="n">
        <v>55.42329556176099</v>
      </c>
      <c r="AY75" s="3" t="n">
        <v>54.36095587956559</v>
      </c>
      <c r="AZ75" s="3" t="n">
        <v>54.13744488327378</v>
      </c>
      <c r="BA75" s="3" t="n">
        <v>52.40525557250405</v>
      </c>
      <c r="BB75" s="3" t="n">
        <v>53.31069250906724</v>
      </c>
      <c r="BC75" s="3" t="n">
        <v>53.34192479742222</v>
      </c>
      <c r="BD75" s="3" t="n">
        <v>52.42841054702622</v>
      </c>
      <c r="BE75" s="3" t="n">
        <v>50.25172006713814</v>
      </c>
      <c r="BF75" s="3" t="n">
        <v>50.79299839110836</v>
      </c>
      <c r="BG75" s="3" t="n">
        <v>51.44329817314819</v>
      </c>
      <c r="BH75" s="3" t="n">
        <v>50.62899330843537</v>
      </c>
      <c r="BI75" s="3" t="n">
        <v>51.39506058785649</v>
      </c>
      <c r="BJ75" s="3" t="n">
        <v>51.46584200504785</v>
      </c>
      <c r="BK75" s="3" t="n">
        <v>50.2236085555468</v>
      </c>
      <c r="BL75" s="3" t="n">
        <v>50.11433286585746</v>
      </c>
      <c r="BM75" s="3" t="n">
        <v>49.95836108873169</v>
      </c>
      <c r="BN75" s="3" t="n">
        <v>49.76830645502041</v>
      </c>
      <c r="BO75" s="3" t="n">
        <v>49.8040615142639</v>
      </c>
      <c r="BP75" s="3" t="n">
        <v>51.44123044816772</v>
      </c>
      <c r="BQ75" s="3" t="n">
        <v>52.9694832989619</v>
      </c>
      <c r="BR75" s="34" t="str">
        <f>B75&amp;"|"&amp;D75</f>
        <v>EST|NE.CON.PRVT.ZS</v>
      </c>
    </row>
    <row r="76">
      <c r="A76" s="3" t="inlineStr">
        <is>
          <t>Ethiopia</t>
        </is>
      </c>
      <c r="B76" s="3" t="inlineStr">
        <is>
          <t>ETH</t>
        </is>
      </c>
      <c r="C76" s="3" t="inlineStr">
        <is>
          <t>Households and NPISHs final consumption expenditure (% of GDP)</t>
        </is>
      </c>
      <c r="D76" s="3" t="inlineStr">
        <is>
          <t>NE.CON.PRVT.ZS</t>
        </is>
      </c>
      <c r="E76" s="3" t="n">
        <v>2023</v>
      </c>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c r="AC76" s="3" t="n"/>
      <c r="AD76" s="3" t="n"/>
      <c r="AE76" s="3" t="n"/>
      <c r="AF76" s="3" t="n"/>
      <c r="AG76" s="3" t="n"/>
      <c r="AH76" s="3" t="n"/>
      <c r="AI76" s="3" t="n"/>
      <c r="AJ76" s="3" t="n"/>
      <c r="AK76" s="3" t="n"/>
      <c r="AL76" s="3" t="n"/>
      <c r="AM76" s="3" t="n"/>
      <c r="AN76" s="3" t="n"/>
      <c r="AO76" s="3" t="n"/>
      <c r="AP76" s="3" t="n"/>
      <c r="AQ76" s="3" t="n"/>
      <c r="AR76" s="3" t="n"/>
      <c r="AS76" s="3" t="n"/>
      <c r="AT76" s="3" t="n"/>
      <c r="AU76" s="3" t="n"/>
      <c r="AV76" s="3" t="n"/>
      <c r="AW76" s="3" t="n"/>
      <c r="AX76" s="3" t="n"/>
      <c r="AY76" s="3" t="n"/>
      <c r="AZ76" s="3" t="n"/>
      <c r="BA76" s="3" t="n"/>
      <c r="BB76" s="3" t="n"/>
      <c r="BC76" s="3" t="n"/>
      <c r="BD76" s="3" t="n"/>
      <c r="BE76" s="3" t="n">
        <v>72.43331647551592</v>
      </c>
      <c r="BF76" s="3" t="n">
        <v>72.46315710057962</v>
      </c>
      <c r="BG76" s="3" t="n">
        <v>73.46704796888646</v>
      </c>
      <c r="BH76" s="3" t="n">
        <v>70.21452507163232</v>
      </c>
      <c r="BI76" s="3" t="n">
        <v>71.2444353893903</v>
      </c>
      <c r="BJ76" s="3" t="n">
        <v>66.46687035304576</v>
      </c>
      <c r="BK76" s="3" t="n">
        <v>66.53073517584704</v>
      </c>
      <c r="BL76" s="3" t="n">
        <v>65.6642066504524</v>
      </c>
      <c r="BM76" s="3" t="n">
        <v>68.68231211286366</v>
      </c>
      <c r="BN76" s="3" t="n">
        <v>70.0432684287148</v>
      </c>
      <c r="BO76" s="3" t="n">
        <v>72.22051755530492</v>
      </c>
      <c r="BP76" s="3" t="n">
        <v>77.40362821919388</v>
      </c>
      <c r="BQ76" s="3" t="n">
        <v>78.90959594639401</v>
      </c>
      <c r="BR76" s="34" t="str">
        <f>B76&amp;"|"&amp;D76</f>
        <v>ETH|NE.CON.PRVT.ZS</v>
      </c>
    </row>
    <row r="77">
      <c r="A77" s="3" t="inlineStr">
        <is>
          <t>European Union</t>
        </is>
      </c>
      <c r="B77" s="3" t="inlineStr">
        <is>
          <t>EUU</t>
        </is>
      </c>
      <c r="C77" s="3" t="inlineStr">
        <is>
          <t>Households and NPISHs final consumption expenditure (% of GDP)</t>
        </is>
      </c>
      <c r="D77" s="3" t="inlineStr">
        <is>
          <t>NE.CON.PRVT.ZS</t>
        </is>
      </c>
      <c r="E77" s="3" t="n">
        <v>2023</v>
      </c>
      <c r="F77" s="3" t="n"/>
      <c r="G77" s="3" t="n"/>
      <c r="H77" s="3" t="n"/>
      <c r="I77" s="3" t="n"/>
      <c r="J77" s="3" t="n"/>
      <c r="K77" s="3" t="n"/>
      <c r="L77" s="3" t="n"/>
      <c r="M77" s="3" t="n"/>
      <c r="N77" s="3" t="n"/>
      <c r="O77" s="3" t="n"/>
      <c r="P77" s="3" t="n">
        <v>56.14539967990316</v>
      </c>
      <c r="Q77" s="3" t="n">
        <v>56.17229336561928</v>
      </c>
      <c r="R77" s="3" t="n">
        <v>56.15300587074778</v>
      </c>
      <c r="S77" s="3" t="n">
        <v>55.78137288942743</v>
      </c>
      <c r="T77" s="3" t="n">
        <v>55.85183289668198</v>
      </c>
      <c r="U77" s="3" t="n">
        <v>57.21606242780199</v>
      </c>
      <c r="V77" s="3" t="n">
        <v>57.1257193847957</v>
      </c>
      <c r="W77" s="3" t="n">
        <v>57.31389399100375</v>
      </c>
      <c r="X77" s="3" t="n">
        <v>56.7255841019874</v>
      </c>
      <c r="Y77" s="3" t="n">
        <v>57.01108552777819</v>
      </c>
      <c r="Z77" s="3" t="n">
        <v>57.58271823374888</v>
      </c>
      <c r="AA77" s="3" t="n">
        <v>58.10882332857814</v>
      </c>
      <c r="AB77" s="3" t="n">
        <v>58.18455508084092</v>
      </c>
      <c r="AC77" s="3" t="n">
        <v>58.01277470973199</v>
      </c>
      <c r="AD77" s="3" t="n">
        <v>57.59382172450844</v>
      </c>
      <c r="AE77" s="3" t="n">
        <v>57.55200686644004</v>
      </c>
      <c r="AF77" s="3" t="n">
        <v>56.99425137743205</v>
      </c>
      <c r="AG77" s="3" t="n">
        <v>57.34430155151146</v>
      </c>
      <c r="AH77" s="3" t="n">
        <v>56.71893140385066</v>
      </c>
      <c r="AI77" s="3" t="n">
        <v>56.71279658649214</v>
      </c>
      <c r="AJ77" s="3" t="n">
        <v>56.40178739323281</v>
      </c>
      <c r="AK77" s="3" t="n">
        <v>56.44902098869363</v>
      </c>
      <c r="AL77" s="3" t="n">
        <v>56.88499506570835</v>
      </c>
      <c r="AM77" s="3" t="n">
        <v>56.92290147816053</v>
      </c>
      <c r="AN77" s="3" t="n">
        <v>56.50764898814028</v>
      </c>
      <c r="AO77" s="3" t="n">
        <v>55.88338986843948</v>
      </c>
      <c r="AP77" s="3" t="n">
        <v>56.22116365893929</v>
      </c>
      <c r="AQ77" s="3" t="n">
        <v>55.95455388140317</v>
      </c>
      <c r="AR77" s="3" t="n">
        <v>55.78486876000319</v>
      </c>
      <c r="AS77" s="3" t="n">
        <v>55.91516975717234</v>
      </c>
      <c r="AT77" s="3" t="n">
        <v>55.94251870170292</v>
      </c>
      <c r="AU77" s="3" t="n">
        <v>55.82473785920789</v>
      </c>
      <c r="AV77" s="3" t="n">
        <v>55.5211216325348</v>
      </c>
      <c r="AW77" s="3" t="n">
        <v>55.68745654279191</v>
      </c>
      <c r="AX77" s="3" t="n">
        <v>55.42919954448712</v>
      </c>
      <c r="AY77" s="3" t="n">
        <v>55.64484981102412</v>
      </c>
      <c r="AZ77" s="3" t="n">
        <v>55.12064410018388</v>
      </c>
      <c r="BA77" s="3" t="n">
        <v>54.51017834888349</v>
      </c>
      <c r="BB77" s="3" t="n">
        <v>54.87011329680309</v>
      </c>
      <c r="BC77" s="3" t="n">
        <v>55.87073063655138</v>
      </c>
      <c r="BD77" s="3" t="n">
        <v>55.6260571132357</v>
      </c>
      <c r="BE77" s="3" t="n">
        <v>55.42149970678925</v>
      </c>
      <c r="BF77" s="3" t="n">
        <v>55.62832361175405</v>
      </c>
      <c r="BG77" s="3" t="n">
        <v>55.2777615216585</v>
      </c>
      <c r="BH77" s="3" t="n">
        <v>54.7295362981586</v>
      </c>
      <c r="BI77" s="3" t="n">
        <v>54.03546646980507</v>
      </c>
      <c r="BJ77" s="3" t="n">
        <v>53.86994456874278</v>
      </c>
      <c r="BK77" s="3" t="n">
        <v>53.60784738781182</v>
      </c>
      <c r="BL77" s="3" t="n">
        <v>53.47738357672047</v>
      </c>
      <c r="BM77" s="3" t="n">
        <v>53.02358553013075</v>
      </c>
      <c r="BN77" s="3" t="n">
        <v>51.52437667714366</v>
      </c>
      <c r="BO77" s="3" t="n">
        <v>50.83702886815521</v>
      </c>
      <c r="BP77" s="3" t="n">
        <v>52.14842899628422</v>
      </c>
      <c r="BQ77" s="3" t="n">
        <v>52.25669933280166</v>
      </c>
      <c r="BR77" s="34" t="str">
        <f>B77&amp;"|"&amp;D77</f>
        <v>EUU|NE.CON.PRVT.ZS</v>
      </c>
    </row>
    <row r="78">
      <c r="A78" s="3" t="inlineStr">
        <is>
          <t>Fragile and conflict affected situations</t>
        </is>
      </c>
      <c r="B78" s="3" t="inlineStr">
        <is>
          <t>FCS</t>
        </is>
      </c>
      <c r="C78" s="3" t="inlineStr">
        <is>
          <t>Households and NPISHs final consumption expenditure (% of GDP)</t>
        </is>
      </c>
      <c r="D78" s="3" t="inlineStr">
        <is>
          <t>NE.CON.PRVT.ZS</t>
        </is>
      </c>
      <c r="E78" s="3" t="inlineStr">
        <is>
          <t>0x2a</t>
        </is>
      </c>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c r="AC78" s="3" t="n"/>
      <c r="AD78" s="3" t="n"/>
      <c r="AE78" s="3" t="n"/>
      <c r="AF78" s="3" t="n"/>
      <c r="AG78" s="3" t="n"/>
      <c r="AH78" s="3" t="n"/>
      <c r="AI78" s="3" t="n"/>
      <c r="AJ78" s="3" t="n"/>
      <c r="AK78" s="3" t="n"/>
      <c r="AL78" s="3" t="n"/>
      <c r="AM78" s="3" t="n"/>
      <c r="AN78" s="3" t="n"/>
      <c r="AO78" s="3" t="n"/>
      <c r="AP78" s="3" t="n"/>
      <c r="AQ78" s="3" t="n"/>
      <c r="AR78" s="3" t="n"/>
      <c r="AS78" s="3" t="n"/>
      <c r="AT78" s="3" t="n"/>
      <c r="AU78" s="3" t="n"/>
      <c r="AV78" s="3" t="n"/>
      <c r="AW78" s="3" t="n"/>
      <c r="AX78" s="3" t="n"/>
      <c r="AY78" s="3" t="n"/>
      <c r="AZ78" s="3" t="n"/>
      <c r="BA78" s="3" t="n"/>
      <c r="BB78" s="3" t="n"/>
      <c r="BC78" s="3" t="n"/>
      <c r="BD78" s="3" t="n"/>
      <c r="BE78" s="3" t="n"/>
      <c r="BF78" s="3" t="n"/>
      <c r="BG78" s="3" t="n"/>
      <c r="BH78" s="3" t="n"/>
      <c r="BI78" s="3" t="n"/>
      <c r="BJ78" s="3" t="n"/>
      <c r="BK78" s="3" t="n"/>
      <c r="BL78" s="3" t="n"/>
      <c r="BM78" s="3" t="n"/>
      <c r="BN78" s="3" t="n"/>
      <c r="BO78" s="3" t="n"/>
      <c r="BP78" s="3" t="n"/>
      <c r="BQ78" s="3" t="n"/>
      <c r="BR78" s="34" t="str">
        <f>B78&amp;"|"&amp;D78</f>
        <v>FCS|NE.CON.PRVT.ZS</v>
      </c>
    </row>
    <row r="79">
      <c r="A79" s="3" t="inlineStr">
        <is>
          <t>Finland</t>
        </is>
      </c>
      <c r="B79" s="3" t="inlineStr">
        <is>
          <t>FIN</t>
        </is>
      </c>
      <c r="C79" s="3" t="inlineStr">
        <is>
          <t>Households and NPISHs final consumption expenditure (% of GDP)</t>
        </is>
      </c>
      <c r="D79" s="3" t="inlineStr">
        <is>
          <t>NE.CON.PRVT.ZS</t>
        </is>
      </c>
      <c r="E79" s="3" t="n">
        <v>2023</v>
      </c>
      <c r="F79" s="3" t="n"/>
      <c r="G79" s="3" t="n"/>
      <c r="H79" s="3" t="n"/>
      <c r="I79" s="3" t="n"/>
      <c r="J79" s="3" t="n"/>
      <c r="K79" s="3" t="n"/>
      <c r="L79" s="3" t="n"/>
      <c r="M79" s="3" t="n"/>
      <c r="N79" s="3" t="n"/>
      <c r="O79" s="3" t="n"/>
      <c r="P79" s="3" t="n">
        <v>54.35191544257412</v>
      </c>
      <c r="Q79" s="3" t="n">
        <v>53.69415710120285</v>
      </c>
      <c r="R79" s="3" t="n">
        <v>54.10681957747489</v>
      </c>
      <c r="S79" s="3" t="n">
        <v>52.82753629117576</v>
      </c>
      <c r="T79" s="3" t="n">
        <v>51.03712400565398</v>
      </c>
      <c r="U79" s="3" t="n">
        <v>52.84104843553329</v>
      </c>
      <c r="V79" s="3" t="n">
        <v>53.37318485787647</v>
      </c>
      <c r="W79" s="3" t="n">
        <v>53.79647210253319</v>
      </c>
      <c r="X79" s="3" t="n">
        <v>53.76809561774061</v>
      </c>
      <c r="Y79" s="3" t="n">
        <v>52.74957019915659</v>
      </c>
      <c r="Z79" s="3" t="n">
        <v>51.88519475889116</v>
      </c>
      <c r="AA79" s="3" t="n">
        <v>51.80077232248404</v>
      </c>
      <c r="AB79" s="3" t="n">
        <v>52.76732939279957</v>
      </c>
      <c r="AC79" s="3" t="n">
        <v>52.58209080247948</v>
      </c>
      <c r="AD79" s="3" t="n">
        <v>51.78077066965956</v>
      </c>
      <c r="AE79" s="3" t="n">
        <v>52.06627178298567</v>
      </c>
      <c r="AF79" s="3" t="n">
        <v>52.15893321423445</v>
      </c>
      <c r="AG79" s="3" t="n">
        <v>52.14572626853329</v>
      </c>
      <c r="AH79" s="3" t="n">
        <v>50.80093322732427</v>
      </c>
      <c r="AI79" s="3" t="n">
        <v>50.26487059179659</v>
      </c>
      <c r="AJ79" s="3" t="n">
        <v>50.05551951978364</v>
      </c>
      <c r="AK79" s="3" t="n">
        <v>53.17782713264825</v>
      </c>
      <c r="AL79" s="3" t="n">
        <v>54.01382368899059</v>
      </c>
      <c r="AM79" s="3" t="n">
        <v>53.87128389415223</v>
      </c>
      <c r="AN79" s="3" t="n">
        <v>52.55595102976341</v>
      </c>
      <c r="AO79" s="3" t="n">
        <v>50.95840647799572</v>
      </c>
      <c r="AP79" s="3" t="n">
        <v>51.54531116836299</v>
      </c>
      <c r="AQ79" s="3" t="n">
        <v>50.09521059138863</v>
      </c>
      <c r="AR79" s="3" t="n">
        <v>49.08860002988197</v>
      </c>
      <c r="AS79" s="3" t="n">
        <v>48.84411736896845</v>
      </c>
      <c r="AT79" s="3" t="n">
        <v>47.80053062839888</v>
      </c>
      <c r="AU79" s="3" t="n">
        <v>47.55234117874824</v>
      </c>
      <c r="AV79" s="3" t="n">
        <v>48.2530339560632</v>
      </c>
      <c r="AW79" s="3" t="n">
        <v>49.65370447251712</v>
      </c>
      <c r="AX79" s="3" t="n">
        <v>49.37955882538203</v>
      </c>
      <c r="AY79" s="3" t="n">
        <v>49.63719054934512</v>
      </c>
      <c r="AZ79" s="3" t="n">
        <v>49.81809979351868</v>
      </c>
      <c r="BA79" s="3" t="n">
        <v>48.57541481354772</v>
      </c>
      <c r="BB79" s="3" t="n">
        <v>49.3218026921988</v>
      </c>
      <c r="BC79" s="3" t="n">
        <v>52.14556498869307</v>
      </c>
      <c r="BD79" s="3" t="n">
        <v>52.63018023524659</v>
      </c>
      <c r="BE79" s="3" t="n">
        <v>53.16215315306215</v>
      </c>
      <c r="BF79" s="3" t="n">
        <v>54.0422907226033</v>
      </c>
      <c r="BG79" s="3" t="n">
        <v>54.18336832728892</v>
      </c>
      <c r="BH79" s="3" t="n">
        <v>54.52133187044761</v>
      </c>
      <c r="BI79" s="3" t="n">
        <v>54.47122548903659</v>
      </c>
      <c r="BJ79" s="3" t="n">
        <v>54.33159554611572</v>
      </c>
      <c r="BK79" s="3" t="n">
        <v>53.15972974047839</v>
      </c>
      <c r="BL79" s="3" t="n">
        <v>53.08615534862204</v>
      </c>
      <c r="BM79" s="3" t="n">
        <v>52.56485087009815</v>
      </c>
      <c r="BN79" s="3" t="n">
        <v>51.14897621388182</v>
      </c>
      <c r="BO79" s="3" t="n">
        <v>51.26424217278907</v>
      </c>
      <c r="BP79" s="3" t="n">
        <v>51.91174767545679</v>
      </c>
      <c r="BQ79" s="3" t="n">
        <v>52.4664565511031</v>
      </c>
      <c r="BR79" s="34" t="str">
        <f>B79&amp;"|"&amp;D79</f>
        <v>FIN|NE.CON.PRVT.ZS</v>
      </c>
    </row>
    <row r="80">
      <c r="A80" s="3" t="inlineStr">
        <is>
          <t>Fiji</t>
        </is>
      </c>
      <c r="B80" s="3" t="inlineStr">
        <is>
          <t>FJI</t>
        </is>
      </c>
      <c r="C80" s="3" t="inlineStr">
        <is>
          <t>Households and NPISHs final consumption expenditure (% of GDP)</t>
        </is>
      </c>
      <c r="D80" s="3" t="inlineStr">
        <is>
          <t>NE.CON.PRVT.ZS</t>
        </is>
      </c>
      <c r="E80" s="3" t="n">
        <v>2023</v>
      </c>
      <c r="F80" s="3" t="n"/>
      <c r="G80" s="3" t="n"/>
      <c r="H80" s="3" t="n"/>
      <c r="I80" s="3" t="n"/>
      <c r="J80" s="3" t="n"/>
      <c r="K80" s="3" t="n"/>
      <c r="L80" s="3" t="n"/>
      <c r="M80" s="3" t="n"/>
      <c r="N80" s="3" t="n"/>
      <c r="O80" s="3" t="n"/>
      <c r="P80" s="3" t="n"/>
      <c r="Q80" s="3" t="n"/>
      <c r="R80" s="3" t="n"/>
      <c r="S80" s="3" t="n"/>
      <c r="T80" s="3" t="n"/>
      <c r="U80" s="3" t="n"/>
      <c r="V80" s="3" t="n"/>
      <c r="W80" s="3" t="n"/>
      <c r="X80" s="3" t="n"/>
      <c r="Y80" s="3" t="n"/>
      <c r="Z80" s="3" t="n">
        <v>56.61050430898615</v>
      </c>
      <c r="AA80" s="3" t="n">
        <v>63.29051803861638</v>
      </c>
      <c r="AB80" s="3" t="n">
        <v>62.23450642200189</v>
      </c>
      <c r="AC80" s="3" t="n">
        <v>64.37568854164878</v>
      </c>
      <c r="AD80" s="3" t="n">
        <v>62.79149494096769</v>
      </c>
      <c r="AE80" s="3" t="n">
        <v>62.47641323597136</v>
      </c>
      <c r="AF80" s="3" t="n">
        <v>61.70072346334125</v>
      </c>
      <c r="AG80" s="3" t="n">
        <v>63.76273475814476</v>
      </c>
      <c r="AH80" s="3" t="n">
        <v>66.03280398272361</v>
      </c>
      <c r="AI80" s="3" t="n">
        <v>67.81834207734745</v>
      </c>
      <c r="AJ80" s="3" t="n">
        <v>73.00674237673837</v>
      </c>
      <c r="AK80" s="3" t="n">
        <v>70.37439764936337</v>
      </c>
      <c r="AL80" s="3" t="n">
        <v>71.64946161861756</v>
      </c>
      <c r="AM80" s="3" t="n">
        <v>71.0074489593657</v>
      </c>
      <c r="AN80" s="3" t="n">
        <v>71.47458755751749</v>
      </c>
      <c r="AO80" s="3" t="n">
        <v>72.03296762784655</v>
      </c>
      <c r="AP80" s="3" t="n">
        <v>62.37260645420461</v>
      </c>
      <c r="AQ80" s="3" t="n">
        <v>61.43101471367974</v>
      </c>
      <c r="AR80" s="3" t="n">
        <v>52.59444359872126</v>
      </c>
      <c r="AS80" s="3" t="n">
        <v>57.98362916546499</v>
      </c>
      <c r="AT80" s="3" t="n">
        <v>67.396892758167</v>
      </c>
      <c r="AU80" s="3" t="n">
        <v>70.18291866028709</v>
      </c>
      <c r="AV80" s="3" t="n">
        <v>62.21219195849545</v>
      </c>
      <c r="AW80" s="3" t="n">
        <v>64.07487159497386</v>
      </c>
      <c r="AX80" s="3" t="n">
        <v>72.64685815345933</v>
      </c>
      <c r="AY80" s="3" t="n">
        <v>73.5580753968254</v>
      </c>
      <c r="AZ80" s="3" t="n">
        <v>79.81131682220177</v>
      </c>
      <c r="BA80" s="3" t="n">
        <v>79.01999779415819</v>
      </c>
      <c r="BB80" s="3" t="n">
        <v>77.69909191994003</v>
      </c>
      <c r="BC80" s="3" t="n">
        <v>74.34731877558009</v>
      </c>
      <c r="BD80" s="3" t="n">
        <v>72.57919373426709</v>
      </c>
      <c r="BE80" s="3" t="n">
        <v>67.59436519968573</v>
      </c>
      <c r="BF80" s="3" t="n">
        <v>67.06281940601409</v>
      </c>
      <c r="BG80" s="3" t="n">
        <v>66.02960832077879</v>
      </c>
      <c r="BH80" s="3" t="n">
        <v>65.25699963709084</v>
      </c>
      <c r="BI80" s="3" t="n">
        <v>60.94470350226061</v>
      </c>
      <c r="BJ80" s="3" t="n">
        <v>63.82279556005487</v>
      </c>
      <c r="BK80" s="3" t="n">
        <v>64.28675115036201</v>
      </c>
      <c r="BL80" s="3" t="n">
        <v>66.29681678013708</v>
      </c>
      <c r="BM80" s="3" t="n">
        <v>70.43422889760663</v>
      </c>
      <c r="BN80" s="3" t="n">
        <v>77.73972309548451</v>
      </c>
      <c r="BO80" s="3" t="n">
        <v>82.33475361606928</v>
      </c>
      <c r="BP80" s="3" t="n">
        <v>70.39020331166346</v>
      </c>
      <c r="BQ80" s="3" t="n">
        <v>67.49282361056989</v>
      </c>
      <c r="BR80" s="34" t="str">
        <f>B80&amp;"|"&amp;D80</f>
        <v>FJI|NE.CON.PRVT.ZS</v>
      </c>
    </row>
    <row r="81">
      <c r="A81" s="3" t="inlineStr">
        <is>
          <t>France</t>
        </is>
      </c>
      <c r="B81" s="3" t="inlineStr">
        <is>
          <t>FRA</t>
        </is>
      </c>
      <c r="C81" s="3" t="inlineStr">
        <is>
          <t>Households and NPISHs final consumption expenditure (% of GDP)</t>
        </is>
      </c>
      <c r="D81" s="3" t="inlineStr">
        <is>
          <t>NE.CON.PRVT.ZS</t>
        </is>
      </c>
      <c r="E81" s="3" t="n">
        <v>2023</v>
      </c>
      <c r="F81" s="3" t="n">
        <v>57.22979032326943</v>
      </c>
      <c r="G81" s="3" t="n">
        <v>57.46134908911866</v>
      </c>
      <c r="H81" s="3" t="n">
        <v>57.37004885249358</v>
      </c>
      <c r="I81" s="3" t="n">
        <v>57.48502994011976</v>
      </c>
      <c r="J81" s="3" t="n">
        <v>56.4935340258639</v>
      </c>
      <c r="K81" s="3" t="n">
        <v>55.76928109706629</v>
      </c>
      <c r="L81" s="3" t="n">
        <v>55.4910293869075</v>
      </c>
      <c r="M81" s="3" t="n">
        <v>55.49388575576526</v>
      </c>
      <c r="N81" s="3" t="n">
        <v>55.73846012100365</v>
      </c>
      <c r="O81" s="3" t="n">
        <v>55.2426890696474</v>
      </c>
      <c r="P81" s="3" t="n">
        <v>54.26657544272781</v>
      </c>
      <c r="Q81" s="3" t="n">
        <v>54.29553754850491</v>
      </c>
      <c r="R81" s="3" t="n">
        <v>54.16871689022091</v>
      </c>
      <c r="S81" s="3" t="n">
        <v>53.53073901779995</v>
      </c>
      <c r="T81" s="3" t="n">
        <v>53.9509380612128</v>
      </c>
      <c r="U81" s="3" t="n">
        <v>54.55408774101647</v>
      </c>
      <c r="V81" s="3" t="n">
        <v>54.59260780890056</v>
      </c>
      <c r="W81" s="3" t="n">
        <v>54.42183522540229</v>
      </c>
      <c r="X81" s="3" t="n">
        <v>54.09160795832663</v>
      </c>
      <c r="Y81" s="3" t="n">
        <v>54.28492503955199</v>
      </c>
      <c r="Z81" s="3" t="n">
        <v>54.74334285145096</v>
      </c>
      <c r="AA81" s="3" t="n">
        <v>56.19969214780826</v>
      </c>
      <c r="AB81" s="3" t="n">
        <v>56.4556672565526</v>
      </c>
      <c r="AC81" s="3" t="n">
        <v>56.16176181223405</v>
      </c>
      <c r="AD81" s="3" t="n">
        <v>56.11091467123036</v>
      </c>
      <c r="AE81" s="3" t="n">
        <v>56.61531314299138</v>
      </c>
      <c r="AF81" s="3" t="n">
        <v>56.05821781594803</v>
      </c>
      <c r="AG81" s="3" t="n">
        <v>56.68909312451299</v>
      </c>
      <c r="AH81" s="3" t="n">
        <v>55.61885615775793</v>
      </c>
      <c r="AI81" s="3" t="n">
        <v>55.27995097886816</v>
      </c>
      <c r="AJ81" s="3" t="n">
        <v>55.20594259766541</v>
      </c>
      <c r="AK81" s="3" t="n">
        <v>55.05672319903271</v>
      </c>
      <c r="AL81" s="3" t="n">
        <v>55.111261619317</v>
      </c>
      <c r="AM81" s="3" t="n">
        <v>55.36752299891693</v>
      </c>
      <c r="AN81" s="3" t="n">
        <v>55.0019620855571</v>
      </c>
      <c r="AO81" s="3" t="n">
        <v>54.71047950664588</v>
      </c>
      <c r="AP81" s="3" t="n">
        <v>55.12606746489963</v>
      </c>
      <c r="AQ81" s="3" t="n">
        <v>54.13416234973239</v>
      </c>
      <c r="AR81" s="3" t="n">
        <v>53.95807073916929</v>
      </c>
      <c r="AS81" s="3" t="n">
        <v>53.61302898860028</v>
      </c>
      <c r="AT81" s="3" t="n">
        <v>53.85737039128627</v>
      </c>
      <c r="AU81" s="3" t="n">
        <v>54.12079053439085</v>
      </c>
      <c r="AV81" s="3" t="n">
        <v>53.97312934831143</v>
      </c>
      <c r="AW81" s="3" t="n">
        <v>54.24440075404773</v>
      </c>
      <c r="AX81" s="3" t="n">
        <v>54.05297710882332</v>
      </c>
      <c r="AY81" s="3" t="n">
        <v>54.39488534207673</v>
      </c>
      <c r="AZ81" s="3" t="n">
        <v>54.23642332255319</v>
      </c>
      <c r="BA81" s="3" t="n">
        <v>54.11628961140643</v>
      </c>
      <c r="BB81" s="3" t="n">
        <v>54.46591513667072</v>
      </c>
      <c r="BC81" s="3" t="n">
        <v>55.37744355310981</v>
      </c>
      <c r="BD81" s="3" t="n">
        <v>55.35569032856894</v>
      </c>
      <c r="BE81" s="3" t="n">
        <v>54.98251285362342</v>
      </c>
      <c r="BF81" s="3" t="n">
        <v>54.7188726180149</v>
      </c>
      <c r="BG81" s="3" t="n">
        <v>54.63569856068589</v>
      </c>
      <c r="BH81" s="3" t="n">
        <v>54.30970361876764</v>
      </c>
      <c r="BI81" s="3" t="n">
        <v>54.04624750731431</v>
      </c>
      <c r="BJ81" s="3" t="n">
        <v>54.26329455461166</v>
      </c>
      <c r="BK81" s="3" t="n">
        <v>53.98438649476198</v>
      </c>
      <c r="BL81" s="3" t="n">
        <v>53.88176562831898</v>
      </c>
      <c r="BM81" s="3" t="n">
        <v>53.60917446623469</v>
      </c>
      <c r="BN81" s="3" t="n">
        <v>53.19647843329456</v>
      </c>
      <c r="BO81" s="3" t="n">
        <v>52.57505841051461</v>
      </c>
      <c r="BP81" s="3" t="n">
        <v>53.39222732667145</v>
      </c>
      <c r="BQ81" s="3" t="n">
        <v>53.72512575362991</v>
      </c>
      <c r="BR81" s="34" t="str">
        <f>B81&amp;"|"&amp;D81</f>
        <v>FRA|NE.CON.PRVT.ZS</v>
      </c>
    </row>
    <row r="82">
      <c r="A82" s="3" t="inlineStr">
        <is>
          <t>Faroe Islands</t>
        </is>
      </c>
      <c r="B82" s="3" t="inlineStr">
        <is>
          <t>FRO</t>
        </is>
      </c>
      <c r="C82" s="3" t="inlineStr">
        <is>
          <t>Households and NPISHs final consumption expenditure (% of GDP)</t>
        </is>
      </c>
      <c r="D82" s="3" t="inlineStr">
        <is>
          <t>NE.CON.PRVT.ZS</t>
        </is>
      </c>
      <c r="E82" s="3" t="n">
        <v>2022</v>
      </c>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c r="AC82" s="3" t="n"/>
      <c r="AD82" s="3" t="n"/>
      <c r="AE82" s="3" t="n"/>
      <c r="AF82" s="3" t="n"/>
      <c r="AG82" s="3" t="n"/>
      <c r="AH82" s="3" t="n"/>
      <c r="AI82" s="3" t="n"/>
      <c r="AJ82" s="3" t="n"/>
      <c r="AK82" s="3" t="n"/>
      <c r="AL82" s="3" t="n"/>
      <c r="AM82" s="3" t="n"/>
      <c r="AN82" s="3" t="n"/>
      <c r="AO82" s="3" t="n"/>
      <c r="AP82" s="3" t="n"/>
      <c r="AQ82" s="3" t="n"/>
      <c r="AR82" s="3" t="n">
        <v>51.02327529144771</v>
      </c>
      <c r="AS82" s="3" t="n">
        <v>53.41044870980043</v>
      </c>
      <c r="AT82" s="3" t="n">
        <v>51.43062511593396</v>
      </c>
      <c r="AU82" s="3" t="n">
        <v>50.13410378286578</v>
      </c>
      <c r="AV82" s="3" t="n">
        <v>50.57964535836687</v>
      </c>
      <c r="AW82" s="3" t="n">
        <v>54.36261281748077</v>
      </c>
      <c r="AX82" s="3" t="n">
        <v>56.38234041729571</v>
      </c>
      <c r="AY82" s="3" t="n">
        <v>64.58068795603145</v>
      </c>
      <c r="AZ82" s="3" t="n">
        <v>57.4495570353455</v>
      </c>
      <c r="BA82" s="3" t="n">
        <v>54.85317563163144</v>
      </c>
      <c r="BB82" s="3" t="n">
        <v>53.99450120926129</v>
      </c>
      <c r="BC82" s="3" t="n">
        <v>58.52675706196329</v>
      </c>
      <c r="BD82" s="3" t="n">
        <v>51.3336688475088</v>
      </c>
      <c r="BE82" s="3" t="n">
        <v>52.12449637988195</v>
      </c>
      <c r="BF82" s="3" t="n">
        <v>54.03037092357481</v>
      </c>
      <c r="BG82" s="3" t="n">
        <v>51.18046132971507</v>
      </c>
      <c r="BH82" s="3" t="n">
        <v>48.6933499645364</v>
      </c>
      <c r="BI82" s="3" t="n">
        <v>46.95270543396662</v>
      </c>
      <c r="BJ82" s="3" t="n">
        <v>45.65798227920288</v>
      </c>
      <c r="BK82" s="3" t="n">
        <v>43.48274635361081</v>
      </c>
      <c r="BL82" s="3" t="n">
        <v>43.12235532510877</v>
      </c>
      <c r="BM82" s="3" t="n">
        <v>41.86079604136734</v>
      </c>
      <c r="BN82" s="3" t="n">
        <v>43.21300044984255</v>
      </c>
      <c r="BO82" s="3" t="n">
        <v>42.10741607846892</v>
      </c>
      <c r="BP82" s="3" t="n">
        <v>41.35234060479368</v>
      </c>
      <c r="BQ82" s="3" t="n"/>
      <c r="BR82" s="34" t="str">
        <f>B82&amp;"|"&amp;D82</f>
        <v>FRO|NE.CON.PRVT.ZS</v>
      </c>
    </row>
    <row r="83">
      <c r="A83" s="3" t="inlineStr">
        <is>
          <t>Micronesia, Fed. Sts.</t>
        </is>
      </c>
      <c r="B83" s="3" t="inlineStr">
        <is>
          <t>FSM</t>
        </is>
      </c>
      <c r="C83" s="3" t="inlineStr">
        <is>
          <t>Households and NPISHs final consumption expenditure (% of GDP)</t>
        </is>
      </c>
      <c r="D83" s="3" t="inlineStr">
        <is>
          <t>NE.CON.PRVT.ZS</t>
        </is>
      </c>
      <c r="E83" s="3" t="n">
        <v>1983</v>
      </c>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v>106.2889369427838</v>
      </c>
      <c r="AD83" s="3" t="n"/>
      <c r="AE83" s="3" t="n"/>
      <c r="AF83" s="3" t="n"/>
      <c r="AG83" s="3" t="n"/>
      <c r="AH83" s="3" t="n"/>
      <c r="AI83" s="3" t="n"/>
      <c r="AJ83" s="3" t="n"/>
      <c r="AK83" s="3" t="n"/>
      <c r="AL83" s="3" t="n"/>
      <c r="AM83" s="3" t="n"/>
      <c r="AN83" s="3" t="n"/>
      <c r="AO83" s="3" t="n"/>
      <c r="AP83" s="3" t="n"/>
      <c r="AQ83" s="3" t="n"/>
      <c r="AR83" s="3" t="n"/>
      <c r="AS83" s="3" t="n"/>
      <c r="AT83" s="3" t="n"/>
      <c r="AU83" s="3" t="n"/>
      <c r="AV83" s="3" t="n"/>
      <c r="AW83" s="3" t="n"/>
      <c r="AX83" s="3" t="n"/>
      <c r="AY83" s="3" t="n"/>
      <c r="AZ83" s="3" t="n"/>
      <c r="BA83" s="3" t="n"/>
      <c r="BB83" s="3" t="n"/>
      <c r="BC83" s="3" t="n"/>
      <c r="BD83" s="3" t="n"/>
      <c r="BE83" s="3" t="n"/>
      <c r="BF83" s="3" t="n"/>
      <c r="BG83" s="3" t="n"/>
      <c r="BH83" s="3" t="n"/>
      <c r="BI83" s="3" t="n"/>
      <c r="BJ83" s="3" t="n"/>
      <c r="BK83" s="3" t="n"/>
      <c r="BL83" s="3" t="n"/>
      <c r="BM83" s="3" t="n"/>
      <c r="BN83" s="3" t="n"/>
      <c r="BO83" s="3" t="n"/>
      <c r="BP83" s="3" t="n"/>
      <c r="BQ83" s="3" t="n"/>
      <c r="BR83" s="34" t="str">
        <f>B83&amp;"|"&amp;D83</f>
        <v>FSM|NE.CON.PRVT.ZS</v>
      </c>
    </row>
    <row r="84">
      <c r="A84" s="3" t="inlineStr">
        <is>
          <t>Gabon</t>
        </is>
      </c>
      <c r="B84" s="3" t="inlineStr">
        <is>
          <t>GAB</t>
        </is>
      </c>
      <c r="C84" s="3" t="inlineStr">
        <is>
          <t>Households and NPISHs final consumption expenditure (% of GDP)</t>
        </is>
      </c>
      <c r="D84" s="3" t="inlineStr">
        <is>
          <t>NE.CON.PRVT.ZS</t>
        </is>
      </c>
      <c r="E84" s="3" t="n">
        <v>2023</v>
      </c>
      <c r="F84" s="3" t="n"/>
      <c r="G84" s="3" t="n"/>
      <c r="H84" s="3" t="n"/>
      <c r="I84" s="3" t="n"/>
      <c r="J84" s="3" t="n"/>
      <c r="K84" s="3" t="n"/>
      <c r="L84" s="3" t="n"/>
      <c r="M84" s="3" t="n"/>
      <c r="N84" s="3" t="n"/>
      <c r="O84" s="3" t="n"/>
      <c r="P84" s="3" t="n">
        <v>36.64805884959578</v>
      </c>
      <c r="Q84" s="3" t="n">
        <v>35.29981921979067</v>
      </c>
      <c r="R84" s="3" t="n">
        <v>33.36399078341014</v>
      </c>
      <c r="S84" s="3" t="n">
        <v>45.68589075108628</v>
      </c>
      <c r="T84" s="3" t="n">
        <v>24.69733925208502</v>
      </c>
      <c r="U84" s="3" t="n">
        <v>23.48615916955017</v>
      </c>
      <c r="V84" s="3" t="n">
        <v>16.45111945487415</v>
      </c>
      <c r="W84" s="3" t="n">
        <v>23.50043465662127</v>
      </c>
      <c r="X84" s="3" t="n">
        <v>36.4614206231454</v>
      </c>
      <c r="Y84" s="3" t="n">
        <v>33.91252094322061</v>
      </c>
      <c r="Z84" s="3" t="n">
        <v>26.14465826144659</v>
      </c>
      <c r="AA84" s="3" t="n">
        <v>26.73654121010005</v>
      </c>
      <c r="AB84" s="3" t="n">
        <v>27.34460425603499</v>
      </c>
      <c r="AC84" s="3" t="n">
        <v>29.83053470556372</v>
      </c>
      <c r="AD84" s="3" t="n">
        <v>29.86762626911708</v>
      </c>
      <c r="AE84" s="3" t="n">
        <v>32.3025658113962</v>
      </c>
      <c r="AF84" s="3" t="n">
        <v>47.36574191906337</v>
      </c>
      <c r="AG84" s="3" t="n">
        <v>51.60701609469379</v>
      </c>
      <c r="AH84" s="3" t="n">
        <v>47.79791606502295</v>
      </c>
      <c r="AI84" s="3" t="n">
        <v>54.92324971920629</v>
      </c>
      <c r="AJ84" s="3" t="n">
        <v>49.7408367271381</v>
      </c>
      <c r="AK84" s="3" t="n">
        <v>44.48377217309265</v>
      </c>
      <c r="AL84" s="3" t="n">
        <v>49.62078043046492</v>
      </c>
      <c r="AM84" s="3" t="n">
        <v>48.37825099945128</v>
      </c>
      <c r="AN84" s="3" t="n">
        <v>43.02587296637717</v>
      </c>
      <c r="AO84" s="3" t="n">
        <v>41.2892089528119</v>
      </c>
      <c r="AP84" s="3" t="n">
        <v>39.14971848393299</v>
      </c>
      <c r="AQ84" s="3" t="n">
        <v>33.65555948666817</v>
      </c>
      <c r="AR84" s="3" t="n">
        <v>46.60631379962193</v>
      </c>
      <c r="AS84" s="3" t="n">
        <v>42.78718216649251</v>
      </c>
      <c r="AT84" s="3" t="n">
        <v>32.17543373427193</v>
      </c>
      <c r="AU84" s="3" t="n">
        <v>36.06699921827178</v>
      </c>
      <c r="AV84" s="3" t="n">
        <v>37.31508051419065</v>
      </c>
      <c r="AW84" s="3" t="n">
        <v>37.31607346574737</v>
      </c>
      <c r="AX84" s="3" t="n">
        <v>35.14732770848403</v>
      </c>
      <c r="AY84" s="3" t="n">
        <v>30.03240112076884</v>
      </c>
      <c r="AZ84" s="3" t="n">
        <v>30.12077691337921</v>
      </c>
      <c r="BA84" s="3" t="n">
        <v>29.52244698929596</v>
      </c>
      <c r="BB84" s="3" t="n">
        <v>27.07906696528723</v>
      </c>
      <c r="BC84" s="3" t="n">
        <v>35.05637096622728</v>
      </c>
      <c r="BD84" s="3" t="n">
        <v>30.64261978348547</v>
      </c>
      <c r="BE84" s="3" t="n">
        <v>27.57352746789589</v>
      </c>
      <c r="BF84" s="3" t="n">
        <v>29.44516849145653</v>
      </c>
      <c r="BG84" s="3" t="n">
        <v>32.28340975752864</v>
      </c>
      <c r="BH84" s="3" t="n">
        <v>34.49002649647139</v>
      </c>
      <c r="BI84" s="3" t="n">
        <v>37.8384101109841</v>
      </c>
      <c r="BJ84" s="3" t="n">
        <v>40.43922373129007</v>
      </c>
      <c r="BK84" s="3" t="n">
        <v>39.96974380030191</v>
      </c>
      <c r="BL84" s="3" t="n">
        <v>38.61440857835213</v>
      </c>
      <c r="BM84" s="3" t="n">
        <v>37.67371712973733</v>
      </c>
      <c r="BN84" s="3" t="n">
        <v>41.97974646643436</v>
      </c>
      <c r="BO84" s="3" t="n">
        <v>32.88879887945531</v>
      </c>
      <c r="BP84" s="3" t="n">
        <v>29.17108417436859</v>
      </c>
      <c r="BQ84" s="3" t="n">
        <v>32.26501934745193</v>
      </c>
      <c r="BR84" s="34" t="str">
        <f>B84&amp;"|"&amp;D84</f>
        <v>GAB|NE.CON.PRVT.ZS</v>
      </c>
    </row>
    <row r="85">
      <c r="A85" s="3" t="inlineStr">
        <is>
          <t>United Kingdom</t>
        </is>
      </c>
      <c r="B85" s="3" t="inlineStr">
        <is>
          <t>GBR</t>
        </is>
      </c>
      <c r="C85" s="3" t="inlineStr">
        <is>
          <t>Households and NPISHs final consumption expenditure (% of GDP)</t>
        </is>
      </c>
      <c r="D85" s="3" t="inlineStr">
        <is>
          <t>NE.CON.PRVT.ZS</t>
        </is>
      </c>
      <c r="E85" s="3" t="n">
        <v>2023</v>
      </c>
      <c r="F85" s="3" t="n">
        <v>73.88128847256739</v>
      </c>
      <c r="G85" s="3" t="n">
        <v>73.19916441563119</v>
      </c>
      <c r="H85" s="3" t="n">
        <v>74.18551883378709</v>
      </c>
      <c r="I85" s="3" t="n">
        <v>74.14273006631085</v>
      </c>
      <c r="J85" s="3" t="n">
        <v>72.56432956668742</v>
      </c>
      <c r="K85" s="3" t="n">
        <v>71.52144860584062</v>
      </c>
      <c r="L85" s="3" t="n">
        <v>70.89127811017124</v>
      </c>
      <c r="M85" s="3" t="n">
        <v>70.54772216796876</v>
      </c>
      <c r="N85" s="3" t="n">
        <v>69.29140534521157</v>
      </c>
      <c r="O85" s="3" t="n">
        <v>68.04342943103838</v>
      </c>
      <c r="P85" s="3" t="n">
        <v>66.14434445648381</v>
      </c>
      <c r="Q85" s="3" t="n">
        <v>66.34727571475517</v>
      </c>
      <c r="R85" s="3" t="n">
        <v>67.19008434478503</v>
      </c>
      <c r="S85" s="3" t="n">
        <v>66.60228643407893</v>
      </c>
      <c r="T85" s="3" t="n">
        <v>68.52347164419446</v>
      </c>
      <c r="U85" s="3" t="n">
        <v>68.02078628035947</v>
      </c>
      <c r="V85" s="3" t="n">
        <v>66.7937280803399</v>
      </c>
      <c r="W85" s="3" t="n">
        <v>65.46742918523233</v>
      </c>
      <c r="X85" s="3" t="n">
        <v>64.94322659465755</v>
      </c>
      <c r="Y85" s="3" t="n">
        <v>65.11203996275803</v>
      </c>
      <c r="Z85" s="3" t="n">
        <v>64.43865370613376</v>
      </c>
      <c r="AA85" s="3" t="n">
        <v>64.79528810598882</v>
      </c>
      <c r="AB85" s="3" t="n">
        <v>64.83119390530979</v>
      </c>
      <c r="AC85" s="3" t="n">
        <v>64.96711000894734</v>
      </c>
      <c r="AD85" s="3" t="n">
        <v>65.08395975166165</v>
      </c>
      <c r="AE85" s="3" t="n">
        <v>64.8684753613761</v>
      </c>
      <c r="AF85" s="3" t="n">
        <v>66.88589679535765</v>
      </c>
      <c r="AG85" s="3" t="n">
        <v>66.2518800785148</v>
      </c>
      <c r="AH85" s="3" t="n">
        <v>66.72955961936479</v>
      </c>
      <c r="AI85" s="3" t="n">
        <v>66.12829631146383</v>
      </c>
      <c r="AJ85" s="3" t="n">
        <v>66.45464914004675</v>
      </c>
      <c r="AK85" s="3" t="n">
        <v>67.0944520237173</v>
      </c>
      <c r="AL85" s="3" t="n">
        <v>68.15940372227264</v>
      </c>
      <c r="AM85" s="3" t="n">
        <v>69.1153985819531</v>
      </c>
      <c r="AN85" s="3" t="n">
        <v>69.08732910536288</v>
      </c>
      <c r="AO85" s="3" t="n">
        <v>63.70654285697515</v>
      </c>
      <c r="AP85" s="3" t="n">
        <v>64.04323989305412</v>
      </c>
      <c r="AQ85" s="3" t="n">
        <v>65.65614822661932</v>
      </c>
      <c r="AR85" s="3" t="n">
        <v>66.17920262473447</v>
      </c>
      <c r="AS85" s="3" t="n">
        <v>66.49770716071346</v>
      </c>
      <c r="AT85" s="3" t="n">
        <v>66.14250984781313</v>
      </c>
      <c r="AU85" s="3" t="n">
        <v>66.16646381098212</v>
      </c>
      <c r="AV85" s="3" t="n">
        <v>65.86757693847524</v>
      </c>
      <c r="AW85" s="3" t="n">
        <v>65.34966074190159</v>
      </c>
      <c r="AX85" s="3" t="n">
        <v>65.13283690082766</v>
      </c>
      <c r="AY85" s="3" t="n">
        <v>64.54517572487988</v>
      </c>
      <c r="AZ85" s="3" t="n">
        <v>63.71234981705636</v>
      </c>
      <c r="BA85" s="3" t="n">
        <v>63.613586881578</v>
      </c>
      <c r="BB85" s="3" t="n">
        <v>63.71247489959839</v>
      </c>
      <c r="BC85" s="3" t="n">
        <v>64.28607401075153</v>
      </c>
      <c r="BD85" s="3" t="n">
        <v>63.85341359594617</v>
      </c>
      <c r="BE85" s="3" t="n">
        <v>63.96441696389369</v>
      </c>
      <c r="BF85" s="3" t="n">
        <v>64.1910119243865</v>
      </c>
      <c r="BG85" s="3" t="n">
        <v>64.73095571307556</v>
      </c>
      <c r="BH85" s="3" t="n">
        <v>64.35844240633895</v>
      </c>
      <c r="BI85" s="3" t="n">
        <v>64.09373367751118</v>
      </c>
      <c r="BJ85" s="3" t="n">
        <v>64.74271268223002</v>
      </c>
      <c r="BK85" s="3" t="n">
        <v>64.19844205135988</v>
      </c>
      <c r="BL85" s="3" t="n">
        <v>64.65968562061865</v>
      </c>
      <c r="BM85" s="3" t="n">
        <v>63.92079218557863</v>
      </c>
      <c r="BN85" s="3" t="n">
        <v>59.21589630316763</v>
      </c>
      <c r="BO85" s="3" t="n">
        <v>59.95134143783994</v>
      </c>
      <c r="BP85" s="3" t="n">
        <v>61.86263982049345</v>
      </c>
      <c r="BQ85" s="3" t="n">
        <v>61.82389309857971</v>
      </c>
      <c r="BR85" s="34" t="str">
        <f>B85&amp;"|"&amp;D85</f>
        <v>GBR|NE.CON.PRVT.ZS</v>
      </c>
    </row>
    <row r="86">
      <c r="A86" s="3" t="inlineStr">
        <is>
          <t>Georgia</t>
        </is>
      </c>
      <c r="B86" s="3" t="inlineStr">
        <is>
          <t>GEO</t>
        </is>
      </c>
      <c r="C86" s="3" t="inlineStr">
        <is>
          <t>Households and NPISHs final consumption expenditure (% of GDP)</t>
        </is>
      </c>
      <c r="D86" s="3" t="inlineStr">
        <is>
          <t>NE.CON.PRVT.ZS</t>
        </is>
      </c>
      <c r="E86" s="3" t="n">
        <v>2023</v>
      </c>
      <c r="F86" s="3" t="n"/>
      <c r="G86" s="3" t="n"/>
      <c r="H86" s="3" t="n"/>
      <c r="I86" s="3" t="n"/>
      <c r="J86" s="3" t="n"/>
      <c r="K86" s="3" t="n"/>
      <c r="L86" s="3" t="n"/>
      <c r="M86" s="3" t="n"/>
      <c r="N86" s="3" t="n"/>
      <c r="O86" s="3" t="n"/>
      <c r="P86" s="3" t="n"/>
      <c r="Q86" s="3" t="n"/>
      <c r="R86" s="3" t="n"/>
      <c r="S86" s="3" t="n"/>
      <c r="T86" s="3" t="n"/>
      <c r="U86" s="3" t="n"/>
      <c r="V86" s="3" t="n"/>
      <c r="W86" s="3" t="n"/>
      <c r="X86" s="3" t="n"/>
      <c r="Y86" s="3" t="n"/>
      <c r="Z86" s="3" t="n">
        <v>55.75221238938053</v>
      </c>
      <c r="AA86" s="3" t="n">
        <v>55.28455284552846</v>
      </c>
      <c r="AB86" s="3" t="n">
        <v>53.07692307692308</v>
      </c>
      <c r="AC86" s="3" t="n">
        <v>53.03030303030303</v>
      </c>
      <c r="AD86" s="3" t="n">
        <v>52.85714285714286</v>
      </c>
      <c r="AE86" s="3" t="n">
        <v>56.42857142857143</v>
      </c>
      <c r="AF86" s="3" t="n">
        <v>57.66423357664233</v>
      </c>
      <c r="AG86" s="3" t="n">
        <v>57.04225352112676</v>
      </c>
      <c r="AH86" s="3" t="n">
        <v>59.58904109589042</v>
      </c>
      <c r="AI86" s="3" t="n">
        <v>62.5</v>
      </c>
      <c r="AJ86" s="3" t="n">
        <v>67.33333333333333</v>
      </c>
      <c r="AK86" s="3" t="n">
        <v>65.625</v>
      </c>
      <c r="AL86" s="3" t="n">
        <v>84.9195710455764</v>
      </c>
      <c r="AM86" s="3" t="n">
        <v>113.0000182961413</v>
      </c>
      <c r="AN86" s="3" t="n">
        <v>138.8814030810152</v>
      </c>
      <c r="AO86" s="3" t="n">
        <v>101.8850766393519</v>
      </c>
      <c r="AP86" s="3" t="n">
        <v>105.3164404808065</v>
      </c>
      <c r="AQ86" s="3" t="n">
        <v>102.030501218468</v>
      </c>
      <c r="AR86" s="3" t="n">
        <v>84.12152884251608</v>
      </c>
      <c r="AS86" s="3" t="n">
        <v>81.15468096741758</v>
      </c>
      <c r="AT86" s="3" t="n">
        <v>90.5129155565852</v>
      </c>
      <c r="AU86" s="3" t="n">
        <v>79.47204075516932</v>
      </c>
      <c r="AV86" s="3" t="n">
        <v>77.81593079399141</v>
      </c>
      <c r="AW86" s="3" t="n">
        <v>80.31433542345371</v>
      </c>
      <c r="AX86" s="3" t="n">
        <v>77.16885681422595</v>
      </c>
      <c r="AY86" s="3" t="n">
        <v>73.10793484153551</v>
      </c>
      <c r="AZ86" s="3" t="n">
        <v>85.24789882450199</v>
      </c>
      <c r="BA86" s="3" t="n">
        <v>79.6125645823771</v>
      </c>
      <c r="BB86" s="3" t="n">
        <v>85.48983218784896</v>
      </c>
      <c r="BC86" s="3" t="n">
        <v>89.40120093405982</v>
      </c>
      <c r="BD86" s="3" t="n">
        <v>78.50527473023612</v>
      </c>
      <c r="BE86" s="3" t="n">
        <v>79.08471550634124</v>
      </c>
      <c r="BF86" s="3" t="n">
        <v>78.33691615585904</v>
      </c>
      <c r="BG86" s="3" t="n">
        <v>75.58778845493856</v>
      </c>
      <c r="BH86" s="3" t="n">
        <v>75.92208656452935</v>
      </c>
      <c r="BI86" s="3" t="n">
        <v>75.25546543938869</v>
      </c>
      <c r="BJ86" s="3" t="n">
        <v>70.83960331573333</v>
      </c>
      <c r="BK86" s="3" t="n">
        <v>71.81455732946299</v>
      </c>
      <c r="BL86" s="3" t="n">
        <v>69.2424604398995</v>
      </c>
      <c r="BM86" s="3" t="n">
        <v>68.889522583759</v>
      </c>
      <c r="BN86" s="3" t="n">
        <v>79.87235252766676</v>
      </c>
      <c r="BO86" s="3" t="n">
        <v>81.44690633028128</v>
      </c>
      <c r="BP86" s="3" t="n">
        <v>73.14171465824869</v>
      </c>
      <c r="BQ86" s="3" t="n">
        <v>68.90784774318969</v>
      </c>
      <c r="BR86" s="34" t="str">
        <f>B86&amp;"|"&amp;D86</f>
        <v>GEO|NE.CON.PRVT.ZS</v>
      </c>
    </row>
    <row r="87">
      <c r="A87" s="3" t="inlineStr">
        <is>
          <t>Ghana</t>
        </is>
      </c>
      <c r="B87" s="3" t="inlineStr">
        <is>
          <t>GHA</t>
        </is>
      </c>
      <c r="C87" s="3" t="inlineStr">
        <is>
          <t>Households and NPISHs final consumption expenditure (% of GDP)</t>
        </is>
      </c>
      <c r="D87" s="3" t="inlineStr">
        <is>
          <t>NE.CON.PRVT.ZS</t>
        </is>
      </c>
      <c r="E87" s="3" t="n">
        <v>2023</v>
      </c>
      <c r="F87" s="3" t="n">
        <v>72.84234752589182</v>
      </c>
      <c r="G87" s="3" t="n">
        <v>79.35483870967742</v>
      </c>
      <c r="H87" s="3" t="n">
        <v>76.7983789260385</v>
      </c>
      <c r="I87" s="3" t="n">
        <v>76.18181818181819</v>
      </c>
      <c r="J87" s="3" t="n">
        <v>72.73462783171522</v>
      </c>
      <c r="K87" s="3" t="n">
        <v>77.28512960436562</v>
      </c>
      <c r="L87" s="3" t="n">
        <v>79.11725955204216</v>
      </c>
      <c r="M87" s="3" t="n">
        <v>77.26063829787235</v>
      </c>
      <c r="N87" s="3" t="n">
        <v>72.58823529411764</v>
      </c>
      <c r="O87" s="3" t="n">
        <v>74.56271864067966</v>
      </c>
      <c r="P87" s="3" t="n">
        <v>74.36918990703852</v>
      </c>
      <c r="Q87" s="3" t="n">
        <v>77.40000000000001</v>
      </c>
      <c r="R87" s="3" t="n">
        <v>74.81349911190053</v>
      </c>
      <c r="S87" s="3" t="n">
        <v>75.00714081690946</v>
      </c>
      <c r="T87" s="3" t="n">
        <v>78.21888412017167</v>
      </c>
      <c r="U87" s="3" t="n">
        <v>73.31061896649631</v>
      </c>
      <c r="V87" s="3" t="n">
        <v>79.22157523751149</v>
      </c>
      <c r="W87" s="3" t="n">
        <v>77.37167428110723</v>
      </c>
      <c r="X87" s="3" t="n">
        <v>84.65643762508338</v>
      </c>
      <c r="Y87" s="3" t="n">
        <v>83.1053787825101</v>
      </c>
      <c r="Z87" s="3" t="n">
        <v>83.90040138149911</v>
      </c>
      <c r="AA87" s="3" t="n">
        <v>87.204306997494</v>
      </c>
      <c r="AB87" s="3" t="n">
        <v>89.78496489340783</v>
      </c>
      <c r="AC87" s="3" t="n">
        <v>90.82200415131658</v>
      </c>
      <c r="AD87" s="3" t="n">
        <v>88.5903733354031</v>
      </c>
      <c r="AE87" s="3" t="n">
        <v>83.96667521746228</v>
      </c>
      <c r="AF87" s="3" t="n">
        <v>83.13058645699101</v>
      </c>
      <c r="AG87" s="3" t="n">
        <v>85.45469168900804</v>
      </c>
      <c r="AH87" s="3" t="n">
        <v>84.87465705729474</v>
      </c>
      <c r="AI87" s="3" t="n">
        <v>84.54679392103098</v>
      </c>
      <c r="AJ87" s="3" t="n">
        <v>85.21681952903778</v>
      </c>
      <c r="AK87" s="3" t="n">
        <v>83.19912964994445</v>
      </c>
      <c r="AL87" s="3" t="n">
        <v>86.63411675511752</v>
      </c>
      <c r="AM87" s="3" t="n">
        <v>79.50174324010227</v>
      </c>
      <c r="AN87" s="3" t="n">
        <v>73.82280499519692</v>
      </c>
      <c r="AO87" s="3" t="n">
        <v>76.33531999432383</v>
      </c>
      <c r="AP87" s="3" t="n">
        <v>74.736874597617</v>
      </c>
      <c r="AQ87" s="3" t="n">
        <v>83.41940283702014</v>
      </c>
      <c r="AR87" s="3" t="n">
        <v>79.42329440333025</v>
      </c>
      <c r="AS87" s="3" t="n">
        <v>85.70454523367574</v>
      </c>
      <c r="AT87" s="3" t="n">
        <v>84.27369855446092</v>
      </c>
      <c r="AU87" s="3" t="n">
        <v>83.25803570724993</v>
      </c>
      <c r="AV87" s="3" t="n">
        <v>82.68396913757113</v>
      </c>
      <c r="AW87" s="3" t="n">
        <v>81.45892768339891</v>
      </c>
      <c r="AX87" s="3" t="n">
        <v>80.51336428753739</v>
      </c>
      <c r="AY87" s="3" t="n">
        <v>80.96283394748963</v>
      </c>
      <c r="AZ87" s="3" t="n">
        <v>81.93149313630978</v>
      </c>
      <c r="BA87" s="3" t="n">
        <v>92.39465572753318</v>
      </c>
      <c r="BB87" s="3" t="n">
        <v>94.23170884214038</v>
      </c>
      <c r="BC87" s="3" t="n">
        <v>89.00491677157338</v>
      </c>
      <c r="BD87" s="3" t="n">
        <v>93.6136944370181</v>
      </c>
      <c r="BE87" s="3" t="n">
        <v>85.82364549940081</v>
      </c>
      <c r="BF87" s="3" t="n">
        <v>83.71753034569693</v>
      </c>
      <c r="BG87" s="3" t="n">
        <v>76.32277605001102</v>
      </c>
      <c r="BH87" s="3" t="n">
        <v>71.93989840485148</v>
      </c>
      <c r="BI87" s="3" t="n">
        <v>73.46772930474457</v>
      </c>
      <c r="BJ87" s="3" t="n">
        <v>72.14793461169127</v>
      </c>
      <c r="BK87" s="3" t="n">
        <v>76.27204364425253</v>
      </c>
      <c r="BL87" s="3" t="n">
        <v>72.23461116885792</v>
      </c>
      <c r="BM87" s="3" t="n">
        <v>76.23512358068338</v>
      </c>
      <c r="BN87" s="3" t="n">
        <v>77.46758060103562</v>
      </c>
      <c r="BO87" s="3" t="n">
        <v>77.55526099164319</v>
      </c>
      <c r="BP87" s="3" t="n">
        <v>78.61315297240637</v>
      </c>
      <c r="BQ87" s="3" t="n">
        <v>84.24851070852407</v>
      </c>
      <c r="BR87" s="34" t="str">
        <f>B87&amp;"|"&amp;D87</f>
        <v>GHA|NE.CON.PRVT.ZS</v>
      </c>
    </row>
    <row r="88">
      <c r="A88" s="3" t="inlineStr">
        <is>
          <t>Gibraltar</t>
        </is>
      </c>
      <c r="B88" s="3" t="inlineStr">
        <is>
          <t>GIB</t>
        </is>
      </c>
      <c r="C88" s="3" t="inlineStr">
        <is>
          <t>Households and NPISHs final consumption expenditure (% of GDP)</t>
        </is>
      </c>
      <c r="D88" s="3" t="inlineStr">
        <is>
          <t>NE.CON.PRVT.ZS</t>
        </is>
      </c>
      <c r="E88" s="3" t="inlineStr">
        <is>
          <t>0x2a</t>
        </is>
      </c>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c r="AD88" s="3" t="n"/>
      <c r="AE88" s="3" t="n"/>
      <c r="AF88" s="3" t="n"/>
      <c r="AG88" s="3" t="n"/>
      <c r="AH88" s="3" t="n"/>
      <c r="AI88" s="3" t="n"/>
      <c r="AJ88" s="3" t="n"/>
      <c r="AK88" s="3" t="n"/>
      <c r="AL88" s="3" t="n"/>
      <c r="AM88" s="3" t="n"/>
      <c r="AN88" s="3" t="n"/>
      <c r="AO88" s="3" t="n"/>
      <c r="AP88" s="3" t="n"/>
      <c r="AQ88" s="3" t="n"/>
      <c r="AR88" s="3" t="n"/>
      <c r="AS88" s="3" t="n"/>
      <c r="AT88" s="3" t="n"/>
      <c r="AU88" s="3" t="n"/>
      <c r="AV88" s="3" t="n"/>
      <c r="AW88" s="3" t="n"/>
      <c r="AX88" s="3" t="n"/>
      <c r="AY88" s="3" t="n"/>
      <c r="AZ88" s="3" t="n"/>
      <c r="BA88" s="3" t="n"/>
      <c r="BB88" s="3" t="n"/>
      <c r="BC88" s="3" t="n"/>
      <c r="BD88" s="3" t="n"/>
      <c r="BE88" s="3" t="n"/>
      <c r="BF88" s="3" t="n"/>
      <c r="BG88" s="3" t="n"/>
      <c r="BH88" s="3" t="n"/>
      <c r="BI88" s="3" t="n"/>
      <c r="BJ88" s="3" t="n"/>
      <c r="BK88" s="3" t="n"/>
      <c r="BL88" s="3" t="n"/>
      <c r="BM88" s="3" t="n"/>
      <c r="BN88" s="3" t="n"/>
      <c r="BO88" s="3" t="n"/>
      <c r="BP88" s="3" t="n"/>
      <c r="BQ88" s="3" t="n"/>
      <c r="BR88" s="34" t="str">
        <f>B88&amp;"|"&amp;D88</f>
        <v>GIB|NE.CON.PRVT.ZS</v>
      </c>
    </row>
    <row r="89">
      <c r="A89" s="3" t="inlineStr">
        <is>
          <t>Guinea</t>
        </is>
      </c>
      <c r="B89" s="3" t="inlineStr">
        <is>
          <t>GIN</t>
        </is>
      </c>
      <c r="C89" s="3" t="inlineStr">
        <is>
          <t>Households and NPISHs final consumption expenditure (% of GDP)</t>
        </is>
      </c>
      <c r="D89" s="3" t="inlineStr">
        <is>
          <t>NE.CON.PRVT.ZS</t>
        </is>
      </c>
      <c r="E89" s="3" t="n">
        <v>2023</v>
      </c>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c r="AD89" s="3" t="n"/>
      <c r="AE89" s="3" t="n"/>
      <c r="AF89" s="3" t="n">
        <v>48.43063879861369</v>
      </c>
      <c r="AG89" s="3" t="n">
        <v>48.61683461945691</v>
      </c>
      <c r="AH89" s="3" t="n">
        <v>52.0787738348802</v>
      </c>
      <c r="AI89" s="3" t="n">
        <v>47.88303039121762</v>
      </c>
      <c r="AJ89" s="3" t="n">
        <v>45.87326701749515</v>
      </c>
      <c r="AK89" s="3" t="n">
        <v>46.58188353623354</v>
      </c>
      <c r="AL89" s="3" t="n">
        <v>48.92642004878573</v>
      </c>
      <c r="AM89" s="3" t="n">
        <v>49.060625232197</v>
      </c>
      <c r="AN89" s="3" t="n">
        <v>50.92926527025396</v>
      </c>
      <c r="AO89" s="3" t="n">
        <v>51.08127958522404</v>
      </c>
      <c r="AP89" s="3" t="n">
        <v>52.72888929213851</v>
      </c>
      <c r="AQ89" s="3" t="n">
        <v>51.35884320569915</v>
      </c>
      <c r="AR89" s="3" t="n">
        <v>54.60941906245965</v>
      </c>
      <c r="AS89" s="3" t="n">
        <v>53.21211370888292</v>
      </c>
      <c r="AT89" s="3" t="n">
        <v>52.7250263265998</v>
      </c>
      <c r="AU89" s="3" t="n">
        <v>53.23019272268107</v>
      </c>
      <c r="AV89" s="3" t="n">
        <v>54.70413290501641</v>
      </c>
      <c r="AW89" s="3" t="n">
        <v>47.6193487569288</v>
      </c>
      <c r="AX89" s="3" t="n">
        <v>50.41883397460158</v>
      </c>
      <c r="AY89" s="3" t="n">
        <v>50.61663221058084</v>
      </c>
      <c r="AZ89" s="3" t="n">
        <v>90.89984177852379</v>
      </c>
      <c r="BA89" s="3" t="n">
        <v>93.82113047528009</v>
      </c>
      <c r="BB89" s="3" t="n">
        <v>88.71670117991363</v>
      </c>
      <c r="BC89" s="3" t="n">
        <v>93.51246028969467</v>
      </c>
      <c r="BD89" s="3" t="n">
        <v>79.97056090608976</v>
      </c>
      <c r="BE89" s="3" t="n">
        <v>81.71527682042571</v>
      </c>
      <c r="BF89" s="3" t="n">
        <v>79.90251897274288</v>
      </c>
      <c r="BG89" s="3" t="n">
        <v>85.11782506888528</v>
      </c>
      <c r="BH89" s="3" t="n">
        <v>82.78522121243751</v>
      </c>
      <c r="BI89" s="3" t="n">
        <v>85.78372565814499</v>
      </c>
      <c r="BJ89" s="3" t="n">
        <v>83.54305309375452</v>
      </c>
      <c r="BK89" s="3" t="n">
        <v>74.38459813633894</v>
      </c>
      <c r="BL89" s="3" t="n">
        <v>73.54070088354567</v>
      </c>
      <c r="BM89" s="3" t="n">
        <v>73.20033161216108</v>
      </c>
      <c r="BN89" s="3" t="n">
        <v>72.43767031150929</v>
      </c>
      <c r="BO89" s="3" t="n">
        <v>72.58278522585051</v>
      </c>
      <c r="BP89" s="3" t="n">
        <v>73.73162527375784</v>
      </c>
      <c r="BQ89" s="3" t="n">
        <v>51.99145222683298</v>
      </c>
      <c r="BR89" s="34" t="str">
        <f>B89&amp;"|"&amp;D89</f>
        <v>GIN|NE.CON.PRVT.ZS</v>
      </c>
    </row>
    <row r="90">
      <c r="A90" s="3" t="inlineStr">
        <is>
          <t>Gambia, The</t>
        </is>
      </c>
      <c r="B90" s="3" t="inlineStr">
        <is>
          <t>GMB</t>
        </is>
      </c>
      <c r="C90" s="3" t="inlineStr">
        <is>
          <t>Households and NPISHs final consumption expenditure (% of GDP)</t>
        </is>
      </c>
      <c r="D90" s="3" t="inlineStr">
        <is>
          <t>NE.CON.PRVT.ZS</t>
        </is>
      </c>
      <c r="E90" s="3" t="n">
        <v>2023</v>
      </c>
      <c r="F90" s="3" t="n"/>
      <c r="G90" s="3" t="n"/>
      <c r="H90" s="3" t="n"/>
      <c r="I90" s="3" t="n"/>
      <c r="J90" s="3" t="n"/>
      <c r="K90" s="3" t="n"/>
      <c r="L90" s="3" t="n"/>
      <c r="M90" s="3" t="n"/>
      <c r="N90" s="3" t="n"/>
      <c r="O90" s="3" t="n"/>
      <c r="P90" s="3" t="n"/>
      <c r="Q90" s="3" t="n"/>
      <c r="R90" s="3" t="n"/>
      <c r="S90" s="3" t="n"/>
      <c r="T90" s="3" t="n"/>
      <c r="U90" s="3" t="n"/>
      <c r="V90" s="3" t="n"/>
      <c r="W90" s="3" t="n">
        <v>68.25941315035114</v>
      </c>
      <c r="X90" s="3" t="n">
        <v>71.40532924107143</v>
      </c>
      <c r="Y90" s="3" t="n">
        <v>70.10969669263348</v>
      </c>
      <c r="Z90" s="3" t="n">
        <v>62.95446202806989</v>
      </c>
      <c r="AA90" s="3" t="n">
        <v>51.50271598700002</v>
      </c>
      <c r="AB90" s="3" t="n">
        <v>60.94209257901396</v>
      </c>
      <c r="AC90" s="3" t="n">
        <v>53.74643932058961</v>
      </c>
      <c r="AD90" s="3" t="n">
        <v>54.51541850220264</v>
      </c>
      <c r="AE90" s="3" t="n">
        <v>79.03178792877866</v>
      </c>
      <c r="AF90" s="3" t="n">
        <v>74.42828251400124</v>
      </c>
      <c r="AG90" s="3" t="n">
        <v>71.03616735007688</v>
      </c>
      <c r="AH90" s="3" t="n">
        <v>73.9110875094329</v>
      </c>
      <c r="AI90" s="3" t="n">
        <v>75.43220126553263</v>
      </c>
      <c r="AJ90" s="3" t="n">
        <v>75.58940381817251</v>
      </c>
      <c r="AK90" s="3" t="n">
        <v>82.42805773296018</v>
      </c>
      <c r="AL90" s="3" t="n">
        <v>79.65490522108313</v>
      </c>
      <c r="AM90" s="3" t="n">
        <v>89.07683467824612</v>
      </c>
      <c r="AN90" s="3" t="n">
        <v>94.10217975249492</v>
      </c>
      <c r="AO90" s="3" t="n">
        <v>83.6122187354993</v>
      </c>
      <c r="AP90" s="3" t="n">
        <v>93.43796961778476</v>
      </c>
      <c r="AQ90" s="3" t="n">
        <v>82.70329519943185</v>
      </c>
      <c r="AR90" s="3" t="n">
        <v>88.420290762405</v>
      </c>
      <c r="AS90" s="3" t="n">
        <v>87.2616142563101</v>
      </c>
      <c r="AT90" s="3" t="n">
        <v>89.87628761770461</v>
      </c>
      <c r="AU90" s="3" t="n">
        <v>81.20453235332428</v>
      </c>
      <c r="AV90" s="3" t="n">
        <v>88.51791422694028</v>
      </c>
      <c r="AW90" s="3" t="n">
        <v>87.33148912920925</v>
      </c>
      <c r="AX90" s="3" t="n">
        <v>90.90576623594156</v>
      </c>
      <c r="AY90" s="3" t="n">
        <v>92.98190898131485</v>
      </c>
      <c r="AZ90" s="3" t="n">
        <v>85.7985060736946</v>
      </c>
      <c r="BA90" s="3" t="n">
        <v>87.28077076001816</v>
      </c>
      <c r="BB90" s="3" t="n">
        <v>93.12080638815598</v>
      </c>
      <c r="BC90" s="3" t="n">
        <v>90.39777180673164</v>
      </c>
      <c r="BD90" s="3" t="n">
        <v>93.30867632246537</v>
      </c>
      <c r="BE90" s="3" t="n">
        <v>85.9391408581838</v>
      </c>
      <c r="BF90" s="3" t="n">
        <v>78.38632158930614</v>
      </c>
      <c r="BG90" s="3" t="n">
        <v>85.5433713043018</v>
      </c>
      <c r="BH90" s="3" t="n">
        <v>87.42381487246838</v>
      </c>
      <c r="BI90" s="3" t="n">
        <v>81.66122872037539</v>
      </c>
      <c r="BJ90" s="3" t="n">
        <v>78.98313999497745</v>
      </c>
      <c r="BK90" s="3" t="n">
        <v>86.02343674815666</v>
      </c>
      <c r="BL90" s="3" t="n">
        <v>88.49874336323182</v>
      </c>
      <c r="BM90" s="3" t="n">
        <v>88.99840252796216</v>
      </c>
      <c r="BN90" s="3" t="n">
        <v>92.70242898203892</v>
      </c>
      <c r="BO90" s="3" t="n">
        <v>90.88709482092062</v>
      </c>
      <c r="BP90" s="3" t="n">
        <v>83.88276069978295</v>
      </c>
      <c r="BQ90" s="3" t="n">
        <v>81.64494709138071</v>
      </c>
      <c r="BR90" s="34" t="str">
        <f>B90&amp;"|"&amp;D90</f>
        <v>GMB|NE.CON.PRVT.ZS</v>
      </c>
    </row>
    <row r="91">
      <c r="A91" s="3" t="inlineStr">
        <is>
          <t>Guinea-Bissau</t>
        </is>
      </c>
      <c r="B91" s="3" t="inlineStr">
        <is>
          <t>GNB</t>
        </is>
      </c>
      <c r="C91" s="3" t="inlineStr">
        <is>
          <t>Households and NPISHs final consumption expenditure (% of GDP)</t>
        </is>
      </c>
      <c r="D91" s="3" t="inlineStr">
        <is>
          <t>NE.CON.PRVT.ZS</t>
        </is>
      </c>
      <c r="E91" s="3" t="n">
        <v>2023</v>
      </c>
      <c r="F91" s="3" t="n"/>
      <c r="G91" s="3" t="n"/>
      <c r="H91" s="3" t="n"/>
      <c r="I91" s="3" t="n"/>
      <c r="J91" s="3" t="n"/>
      <c r="K91" s="3" t="n"/>
      <c r="L91" s="3" t="n"/>
      <c r="M91" s="3" t="n"/>
      <c r="N91" s="3" t="n"/>
      <c r="O91" s="3" t="n"/>
      <c r="P91" s="3" t="n">
        <v>76.6761198034732</v>
      </c>
      <c r="Q91" s="3" t="n">
        <v>80.49764960700664</v>
      </c>
      <c r="R91" s="3" t="n">
        <v>85.74090622260483</v>
      </c>
      <c r="S91" s="3" t="n">
        <v>89.30985306500189</v>
      </c>
      <c r="T91" s="3" t="n">
        <v>92.17905467285186</v>
      </c>
      <c r="U91" s="3" t="n">
        <v>82.47098252542415</v>
      </c>
      <c r="V91" s="3" t="n">
        <v>81.49919694568977</v>
      </c>
      <c r="W91" s="3" t="n">
        <v>84.98273260118768</v>
      </c>
      <c r="X91" s="3" t="n">
        <v>84.69320152048361</v>
      </c>
      <c r="Y91" s="3" t="n">
        <v>88.49176152773181</v>
      </c>
      <c r="Z91" s="3" t="n"/>
      <c r="AA91" s="3" t="n">
        <v>70.29222575499575</v>
      </c>
      <c r="AB91" s="3" t="n">
        <v>75.74744749442426</v>
      </c>
      <c r="AC91" s="3" t="n">
        <v>78.12955455172533</v>
      </c>
      <c r="AD91" s="3" t="n">
        <v>84.72453430617956</v>
      </c>
      <c r="AE91" s="3" t="n">
        <v>104.5705303781872</v>
      </c>
      <c r="AF91" s="3" t="n">
        <v>89.5768682201967</v>
      </c>
      <c r="AG91" s="3" t="n">
        <v>81.67656511807557</v>
      </c>
      <c r="AH91" s="3" t="n">
        <v>84.38765372254454</v>
      </c>
      <c r="AI91" s="3" t="n">
        <v>87.08804590779846</v>
      </c>
      <c r="AJ91" s="3" t="n">
        <v>86.88158422346184</v>
      </c>
      <c r="AK91" s="3" t="n">
        <v>86.20205849739379</v>
      </c>
      <c r="AL91" s="3" t="n">
        <v>88.12175312308098</v>
      </c>
      <c r="AM91" s="3" t="n">
        <v>85.93718544327696</v>
      </c>
      <c r="AN91" s="3" t="n">
        <v>88.96032289014779</v>
      </c>
      <c r="AO91" s="3" t="n">
        <v>94.76739100084001</v>
      </c>
      <c r="AP91" s="3" t="n">
        <v>91.70072318769982</v>
      </c>
      <c r="AQ91" s="3" t="n">
        <v>96.3888738618095</v>
      </c>
      <c r="AR91" s="3" t="n">
        <v>94.42478930659964</v>
      </c>
      <c r="AS91" s="3" t="n">
        <v>98.14346678252586</v>
      </c>
      <c r="AT91" s="3" t="n">
        <v>90.83167985949517</v>
      </c>
      <c r="AU91" s="3" t="n">
        <v>93.57543525565315</v>
      </c>
      <c r="AV91" s="3" t="n">
        <v>79.37496123687056</v>
      </c>
      <c r="AW91" s="3" t="n">
        <v>71.96553261915484</v>
      </c>
      <c r="AX91" s="3" t="n">
        <v>82.20052230424984</v>
      </c>
      <c r="AY91" s="3" t="n">
        <v>85.84580435744859</v>
      </c>
      <c r="AZ91" s="3" t="n">
        <v>93.17636661447844</v>
      </c>
      <c r="BA91" s="3" t="n">
        <v>84.57807688439593</v>
      </c>
      <c r="BB91" s="3" t="n">
        <v>91.08851221579545</v>
      </c>
      <c r="BC91" s="3" t="n">
        <v>87.2957273590836</v>
      </c>
      <c r="BD91" s="3" t="n">
        <v>83.59514640476102</v>
      </c>
      <c r="BE91" s="3" t="n">
        <v>79.53427454479187</v>
      </c>
      <c r="BF91" s="3" t="n">
        <v>82.36597859499024</v>
      </c>
      <c r="BG91" s="3" t="n">
        <v>80.32723613991452</v>
      </c>
      <c r="BH91" s="3" t="n">
        <v>77.24416889211064</v>
      </c>
      <c r="BI91" s="3" t="n">
        <v>74.11005088778414</v>
      </c>
      <c r="BJ91" s="3" t="n">
        <v>73.39443075580276</v>
      </c>
      <c r="BK91" s="3" t="n">
        <v>70.12968146090518</v>
      </c>
      <c r="BL91" s="3" t="n">
        <v>69.39476714417113</v>
      </c>
      <c r="BM91" s="3" t="n">
        <v>67.63037305541235</v>
      </c>
      <c r="BN91" s="3" t="n">
        <v>61.35960336712879</v>
      </c>
      <c r="BO91" s="3" t="n">
        <v>67.30442456962582</v>
      </c>
      <c r="BP91" s="3" t="n">
        <v>67.51385111501008</v>
      </c>
      <c r="BQ91" s="3" t="n">
        <v>66.57735270742022</v>
      </c>
      <c r="BR91" s="34" t="str">
        <f>B91&amp;"|"&amp;D91</f>
        <v>GNB|NE.CON.PRVT.ZS</v>
      </c>
    </row>
    <row r="92">
      <c r="A92" s="3" t="inlineStr">
        <is>
          <t>Equatorial Guinea</t>
        </is>
      </c>
      <c r="B92" s="3" t="inlineStr">
        <is>
          <t>GNQ</t>
        </is>
      </c>
      <c r="C92" s="3" t="inlineStr">
        <is>
          <t>Households and NPISHs final consumption expenditure (% of GDP)</t>
        </is>
      </c>
      <c r="D92" s="3" t="inlineStr">
        <is>
          <t>NE.CON.PRVT.ZS</t>
        </is>
      </c>
      <c r="E92" s="3" t="n">
        <v>2023</v>
      </c>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3" t="n"/>
      <c r="AL92" s="3" t="n"/>
      <c r="AM92" s="3" t="n"/>
      <c r="AN92" s="3" t="n"/>
      <c r="AO92" s="3" t="n"/>
      <c r="AP92" s="3" t="n"/>
      <c r="AQ92" s="3" t="n"/>
      <c r="AR92" s="3" t="n"/>
      <c r="AS92" s="3" t="n"/>
      <c r="AT92" s="3" t="n"/>
      <c r="AU92" s="3" t="n"/>
      <c r="AV92" s="3" t="n"/>
      <c r="AW92" s="3" t="n"/>
      <c r="AX92" s="3" t="n"/>
      <c r="AY92" s="3" t="n">
        <v>13.97689179569021</v>
      </c>
      <c r="AZ92" s="3" t="n">
        <v>20.11758870535628</v>
      </c>
      <c r="BA92" s="3" t="n">
        <v>19.60509221685221</v>
      </c>
      <c r="BB92" s="3" t="n">
        <v>16.04990758252925</v>
      </c>
      <c r="BC92" s="3" t="n">
        <v>23.00812622015556</v>
      </c>
      <c r="BD92" s="3" t="n">
        <v>23.41573825429776</v>
      </c>
      <c r="BE92" s="3" t="n">
        <v>20.36210101754038</v>
      </c>
      <c r="BF92" s="3" t="n">
        <v>20.14236283924664</v>
      </c>
      <c r="BG92" s="3" t="n">
        <v>25.87366419012518</v>
      </c>
      <c r="BH92" s="3" t="n">
        <v>27.85737628097977</v>
      </c>
      <c r="BI92" s="3" t="n">
        <v>39.0761498418302</v>
      </c>
      <c r="BJ92" s="3" t="n">
        <v>47.86791161437034</v>
      </c>
      <c r="BK92" s="3" t="n">
        <v>46.97539417856593</v>
      </c>
      <c r="BL92" s="3" t="n">
        <v>48.38727813656364</v>
      </c>
      <c r="BM92" s="3" t="n">
        <v>56.26491825102566</v>
      </c>
      <c r="BN92" s="3" t="n">
        <v>60.81358877531431</v>
      </c>
      <c r="BO92" s="3" t="n">
        <v>52.97593903002819</v>
      </c>
      <c r="BP92" s="3" t="n">
        <v>44.67853456322349</v>
      </c>
      <c r="BQ92" s="3" t="n">
        <v>54.67603464853381</v>
      </c>
      <c r="BR92" s="34" t="str">
        <f>B92&amp;"|"&amp;D92</f>
        <v>GNQ|NE.CON.PRVT.ZS</v>
      </c>
    </row>
    <row r="93">
      <c r="A93" s="3" t="inlineStr">
        <is>
          <t>Greece</t>
        </is>
      </c>
      <c r="B93" s="3" t="inlineStr">
        <is>
          <t>GRC</t>
        </is>
      </c>
      <c r="C93" s="3" t="inlineStr">
        <is>
          <t>Households and NPISHs final consumption expenditure (% of GDP)</t>
        </is>
      </c>
      <c r="D93" s="3" t="inlineStr">
        <is>
          <t>NE.CON.PRVT.ZS</t>
        </is>
      </c>
      <c r="E93" s="3" t="n">
        <v>2023</v>
      </c>
      <c r="F93" s="3" t="n">
        <v>73.93148621209143</v>
      </c>
      <c r="G93" s="3" t="n">
        <v>69.90707566499621</v>
      </c>
      <c r="H93" s="3" t="n">
        <v>70.56161512282063</v>
      </c>
      <c r="I93" s="3" t="n">
        <v>67.80822577630835</v>
      </c>
      <c r="J93" s="3" t="n">
        <v>67.00556023875819</v>
      </c>
      <c r="K93" s="3" t="n">
        <v>64.90329575854443</v>
      </c>
      <c r="L93" s="3" t="n">
        <v>64.18171698569685</v>
      </c>
      <c r="M93" s="3" t="n">
        <v>64.59405314988109</v>
      </c>
      <c r="N93" s="3" t="n">
        <v>64.2723836495969</v>
      </c>
      <c r="O93" s="3" t="n">
        <v>61.19864470422577</v>
      </c>
      <c r="P93" s="3" t="n">
        <v>60.98098430521972</v>
      </c>
      <c r="Q93" s="3" t="n">
        <v>59.54540003146236</v>
      </c>
      <c r="R93" s="3" t="n">
        <v>56.93564614633983</v>
      </c>
      <c r="S93" s="3" t="n">
        <v>53.68537425824962</v>
      </c>
      <c r="T93" s="3" t="n">
        <v>57.7512814248862</v>
      </c>
      <c r="U93" s="3" t="n">
        <v>58.21103198803406</v>
      </c>
      <c r="V93" s="3" t="n">
        <v>56.7792275924187</v>
      </c>
      <c r="W93" s="3" t="n">
        <v>59.51385076295481</v>
      </c>
      <c r="X93" s="3" t="n">
        <v>59.58165490720672</v>
      </c>
      <c r="Y93" s="3" t="n">
        <v>58.95175425265696</v>
      </c>
      <c r="Z93" s="3" t="n">
        <v>60.42156072158642</v>
      </c>
      <c r="AA93" s="3" t="n">
        <v>61.71242531611782</v>
      </c>
      <c r="AB93" s="3" t="n">
        <v>61.41556857901532</v>
      </c>
      <c r="AC93" s="3" t="n">
        <v>62.729579615329</v>
      </c>
      <c r="AD93" s="3" t="n">
        <v>60.38962862127246</v>
      </c>
      <c r="AE93" s="3" t="n">
        <v>59.51623872117907</v>
      </c>
      <c r="AF93" s="3" t="n">
        <v>60.05584796373276</v>
      </c>
      <c r="AG93" s="3" t="n">
        <v>64.19295248141626</v>
      </c>
      <c r="AH93" s="3" t="n">
        <v>64.37982497558082</v>
      </c>
      <c r="AI93" s="3" t="n">
        <v>65.35253689139866</v>
      </c>
      <c r="AJ93" s="3" t="n">
        <v>66.58527770609309</v>
      </c>
      <c r="AK93" s="3" t="n">
        <v>66.39625299036123</v>
      </c>
      <c r="AL93" s="3" t="n">
        <v>67.94454024467362</v>
      </c>
      <c r="AM93" s="3" t="n">
        <v>68.34161501670577</v>
      </c>
      <c r="AN93" s="3" t="n">
        <v>68.18277845962425</v>
      </c>
      <c r="AO93" s="3" t="n">
        <v>67.99302769296452</v>
      </c>
      <c r="AP93" s="3" t="n">
        <v>67.96062445473888</v>
      </c>
      <c r="AQ93" s="3" t="n">
        <v>66.70613588260044</v>
      </c>
      <c r="AR93" s="3" t="n">
        <v>67.00209545464003</v>
      </c>
      <c r="AS93" s="3" t="n">
        <v>66.73565952432106</v>
      </c>
      <c r="AT93" s="3" t="n">
        <v>66.89322560811721</v>
      </c>
      <c r="AU93" s="3" t="n">
        <v>66.15617052774502</v>
      </c>
      <c r="AV93" s="3" t="n">
        <v>66.14626981677389</v>
      </c>
      <c r="AW93" s="3" t="n">
        <v>64.76706678072428</v>
      </c>
      <c r="AX93" s="3" t="n">
        <v>64.02001986167119</v>
      </c>
      <c r="AY93" s="3" t="n">
        <v>66.15689191560877</v>
      </c>
      <c r="AZ93" s="3" t="n">
        <v>64.19483678736766</v>
      </c>
      <c r="BA93" s="3" t="n">
        <v>64.83245315459479</v>
      </c>
      <c r="BB93" s="3" t="n">
        <v>67.37415316368555</v>
      </c>
      <c r="BC93" s="3" t="n">
        <v>68.132563203609</v>
      </c>
      <c r="BD93" s="3" t="n">
        <v>67.25791518205344</v>
      </c>
      <c r="BE93" s="3" t="n">
        <v>69.72737176812007</v>
      </c>
      <c r="BF93" s="3" t="n">
        <v>70.21750260998164</v>
      </c>
      <c r="BG93" s="3" t="n">
        <v>69.79434734689026</v>
      </c>
      <c r="BH93" s="3" t="n">
        <v>69.07625458614565</v>
      </c>
      <c r="BI93" s="3" t="n">
        <v>68.29686825162557</v>
      </c>
      <c r="BJ93" s="3" t="n">
        <v>67.99476734398287</v>
      </c>
      <c r="BK93" s="3" t="n">
        <v>68.99480077171395</v>
      </c>
      <c r="BL93" s="3" t="n">
        <v>69.23861612020418</v>
      </c>
      <c r="BM93" s="3" t="n">
        <v>69.04868875764588</v>
      </c>
      <c r="BN93" s="3" t="n">
        <v>70.20553451321956</v>
      </c>
      <c r="BO93" s="3" t="n">
        <v>68.20772649321222</v>
      </c>
      <c r="BP93" s="3" t="n">
        <v>68.47172840063406</v>
      </c>
      <c r="BQ93" s="3" t="n">
        <v>68.38591629829043</v>
      </c>
      <c r="BR93" s="34" t="str">
        <f>B93&amp;"|"&amp;D93</f>
        <v>GRC|NE.CON.PRVT.ZS</v>
      </c>
    </row>
    <row r="94">
      <c r="A94" s="3" t="inlineStr">
        <is>
          <t>Grenada</t>
        </is>
      </c>
      <c r="B94" s="3" t="inlineStr">
        <is>
          <t>GRD</t>
        </is>
      </c>
      <c r="C94" s="3" t="inlineStr">
        <is>
          <t>Households and NPISHs final consumption expenditure (% of GDP)</t>
        </is>
      </c>
      <c r="D94" s="3" t="inlineStr">
        <is>
          <t>NE.CON.PRVT.ZS</t>
        </is>
      </c>
      <c r="E94" s="3" t="inlineStr">
        <is>
          <t>0x2a</t>
        </is>
      </c>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3" t="n"/>
      <c r="AL94" s="3" t="n"/>
      <c r="AM94" s="3" t="n"/>
      <c r="AN94" s="3" t="n"/>
      <c r="AO94" s="3" t="n"/>
      <c r="AP94" s="3" t="n"/>
      <c r="AQ94" s="3" t="n"/>
      <c r="AR94" s="3" t="n"/>
      <c r="AS94" s="3" t="n"/>
      <c r="AT94" s="3" t="n"/>
      <c r="AU94" s="3" t="n"/>
      <c r="AV94" s="3" t="n"/>
      <c r="AW94" s="3" t="n"/>
      <c r="AX94" s="3" t="n"/>
      <c r="AY94" s="3" t="n"/>
      <c r="AZ94" s="3" t="n"/>
      <c r="BA94" s="3" t="n"/>
      <c r="BB94" s="3" t="n"/>
      <c r="BC94" s="3" t="n"/>
      <c r="BD94" s="3" t="n"/>
      <c r="BE94" s="3" t="n"/>
      <c r="BF94" s="3" t="n"/>
      <c r="BG94" s="3" t="n"/>
      <c r="BH94" s="3" t="n"/>
      <c r="BI94" s="3" t="n"/>
      <c r="BJ94" s="3" t="n"/>
      <c r="BK94" s="3" t="n"/>
      <c r="BL94" s="3" t="n"/>
      <c r="BM94" s="3" t="n"/>
      <c r="BN94" s="3" t="n"/>
      <c r="BO94" s="3" t="n"/>
      <c r="BP94" s="3" t="n"/>
      <c r="BQ94" s="3" t="n"/>
      <c r="BR94" s="34" t="str">
        <f>B94&amp;"|"&amp;D94</f>
        <v>GRD|NE.CON.PRVT.ZS</v>
      </c>
    </row>
    <row r="95">
      <c r="A95" s="3" t="inlineStr">
        <is>
          <t>Greenland</t>
        </is>
      </c>
      <c r="B95" s="3" t="inlineStr">
        <is>
          <t>GRL</t>
        </is>
      </c>
      <c r="C95" s="3" t="inlineStr">
        <is>
          <t>Households and NPISHs final consumption expenditure (% of GDP)</t>
        </is>
      </c>
      <c r="D95" s="3" t="inlineStr">
        <is>
          <t>NE.CON.PRVT.ZS</t>
        </is>
      </c>
      <c r="E95" s="3" t="n">
        <v>2021</v>
      </c>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3" t="n"/>
      <c r="AL95" s="3" t="n"/>
      <c r="AM95" s="3" t="n"/>
      <c r="AN95" s="3" t="n"/>
      <c r="AO95" s="3" t="n"/>
      <c r="AP95" s="3" t="n"/>
      <c r="AQ95" s="3" t="n"/>
      <c r="AR95" s="3" t="n"/>
      <c r="AS95" s="3" t="n"/>
      <c r="AT95" s="3" t="n"/>
      <c r="AU95" s="3" t="n"/>
      <c r="AV95" s="3" t="n"/>
      <c r="AW95" s="3" t="n">
        <v>44.73053775587714</v>
      </c>
      <c r="AX95" s="3" t="n">
        <v>47.00468004432762</v>
      </c>
      <c r="AY95" s="3" t="n">
        <v>47.57822430159288</v>
      </c>
      <c r="AZ95" s="3" t="n">
        <v>45.59161341519442</v>
      </c>
      <c r="BA95" s="3" t="n">
        <v>45.96033411445788</v>
      </c>
      <c r="BB95" s="3" t="n">
        <v>45.12860360890689</v>
      </c>
      <c r="BC95" s="3" t="n">
        <v>43.48364644468693</v>
      </c>
      <c r="BD95" s="3" t="n">
        <v>43.19150447506748</v>
      </c>
      <c r="BE95" s="3" t="n">
        <v>43.85273485474011</v>
      </c>
      <c r="BF95" s="3" t="n">
        <v>42.5052095392452</v>
      </c>
      <c r="BG95" s="3" t="n">
        <v>42.56175602639345</v>
      </c>
      <c r="BH95" s="3" t="n">
        <v>41.70459532317723</v>
      </c>
      <c r="BI95" s="3" t="n">
        <v>39.71261701697415</v>
      </c>
      <c r="BJ95" s="3" t="n">
        <v>37.46714443279905</v>
      </c>
      <c r="BK95" s="3" t="n">
        <v>36.79556426557048</v>
      </c>
      <c r="BL95" s="3" t="n">
        <v>35.98395530703095</v>
      </c>
      <c r="BM95" s="3" t="n">
        <v>35.04282055386586</v>
      </c>
      <c r="BN95" s="3" t="n">
        <v>35.28288883269621</v>
      </c>
      <c r="BO95" s="3" t="n">
        <v>35.82843014367943</v>
      </c>
      <c r="BP95" s="3" t="n"/>
      <c r="BQ95" s="3" t="n"/>
      <c r="BR95" s="34" t="str">
        <f>B95&amp;"|"&amp;D95</f>
        <v>GRL|NE.CON.PRVT.ZS</v>
      </c>
    </row>
    <row r="96">
      <c r="A96" s="3" t="inlineStr">
        <is>
          <t>Guatemala</t>
        </is>
      </c>
      <c r="B96" s="3" t="inlineStr">
        <is>
          <t>GTM</t>
        </is>
      </c>
      <c r="C96" s="3" t="inlineStr">
        <is>
          <t>Households and NPISHs final consumption expenditure (% of GDP)</t>
        </is>
      </c>
      <c r="D96" s="3" t="inlineStr">
        <is>
          <t>NE.CON.PRVT.ZS</t>
        </is>
      </c>
      <c r="E96" s="3" t="n">
        <v>2023</v>
      </c>
      <c r="F96" s="3" t="n">
        <v>83.94021501918505</v>
      </c>
      <c r="G96" s="3" t="n">
        <v>84.90759588628177</v>
      </c>
      <c r="H96" s="3" t="n">
        <v>86.10528156698146</v>
      </c>
      <c r="I96" s="3" t="n">
        <v>84.48685460880584</v>
      </c>
      <c r="J96" s="3" t="n">
        <v>82.98822900378947</v>
      </c>
      <c r="K96" s="3" t="n">
        <v>82.16164054090736</v>
      </c>
      <c r="L96" s="3" t="n">
        <v>81.88681958725822</v>
      </c>
      <c r="M96" s="3" t="n">
        <v>82.61437908496731</v>
      </c>
      <c r="N96" s="3" t="n">
        <v>79.37907482148401</v>
      </c>
      <c r="O96" s="3" t="n">
        <v>80.3777591452582</v>
      </c>
      <c r="P96" s="3" t="n">
        <v>78.4296218487395</v>
      </c>
      <c r="Q96" s="3" t="n">
        <v>80.00806126561871</v>
      </c>
      <c r="R96" s="3" t="n">
        <v>80.04568600390233</v>
      </c>
      <c r="S96" s="3" t="n">
        <v>79.15304066818307</v>
      </c>
      <c r="T96" s="3" t="n">
        <v>78.12431055272214</v>
      </c>
      <c r="U96" s="3" t="n">
        <v>78.8502180531556</v>
      </c>
      <c r="V96" s="3" t="n">
        <v>77.79533696216356</v>
      </c>
      <c r="W96" s="3" t="n">
        <v>75.29422405641003</v>
      </c>
      <c r="X96" s="3" t="n">
        <v>77.00885984881693</v>
      </c>
      <c r="Y96" s="3" t="n">
        <v>78.68773567386968</v>
      </c>
      <c r="Z96" s="3" t="n">
        <v>78.90895579219922</v>
      </c>
      <c r="AA96" s="3" t="n">
        <v>81.58001574510546</v>
      </c>
      <c r="AB96" s="3" t="n">
        <v>82.01216526369733</v>
      </c>
      <c r="AC96" s="3" t="n">
        <v>82.88397644711706</v>
      </c>
      <c r="AD96" s="3" t="n">
        <v>82.91130007485428</v>
      </c>
      <c r="AE96" s="3" t="n">
        <v>82.58481902865695</v>
      </c>
      <c r="AF96" s="3" t="n">
        <v>81.11124775153904</v>
      </c>
      <c r="AG96" s="3" t="n">
        <v>84.63215368148956</v>
      </c>
      <c r="AH96" s="3" t="n">
        <v>84.1518690918044</v>
      </c>
      <c r="AI96" s="3" t="n">
        <v>83.7561067846289</v>
      </c>
      <c r="AJ96" s="3" t="n">
        <v>83.62761493621529</v>
      </c>
      <c r="AK96" s="3" t="n">
        <v>83.8971971967492</v>
      </c>
      <c r="AL96" s="3" t="n">
        <v>84.4800715956291</v>
      </c>
      <c r="AM96" s="3" t="n">
        <v>84.77026726099352</v>
      </c>
      <c r="AN96" s="3" t="n">
        <v>86.07645204170731</v>
      </c>
      <c r="AO96" s="3" t="n">
        <v>85.60627090110228</v>
      </c>
      <c r="AP96" s="3" t="n">
        <v>87.0056299875838</v>
      </c>
      <c r="AQ96" s="3" t="n">
        <v>86.95789393160956</v>
      </c>
      <c r="AR96" s="3" t="n">
        <v>85.00754282282283</v>
      </c>
      <c r="AS96" s="3" t="n">
        <v>84.67502967950277</v>
      </c>
      <c r="AT96" s="3" t="n">
        <v>83.91751707857534</v>
      </c>
      <c r="AU96" s="3" t="n">
        <v>84.76225041030561</v>
      </c>
      <c r="AV96" s="3" t="n">
        <v>84.56831723572624</v>
      </c>
      <c r="AW96" s="3" t="n">
        <v>85.84701641664164</v>
      </c>
      <c r="AX96" s="3" t="n">
        <v>86.925423004826</v>
      </c>
      <c r="AY96" s="3" t="n">
        <v>89.12660709967257</v>
      </c>
      <c r="AZ96" s="3" t="n">
        <v>89.19716556515496</v>
      </c>
      <c r="BA96" s="3" t="n">
        <v>88.69636376206688</v>
      </c>
      <c r="BB96" s="3" t="n">
        <v>90.74001222917224</v>
      </c>
      <c r="BC96" s="3" t="n">
        <v>87.32957228616236</v>
      </c>
      <c r="BD96" s="3" t="n">
        <v>87.49025964082523</v>
      </c>
      <c r="BE96" s="3" t="n">
        <v>86.73210234902133</v>
      </c>
      <c r="BF96" s="3" t="n">
        <v>87.31959567675257</v>
      </c>
      <c r="BG96" s="3" t="n">
        <v>85.5583344939829</v>
      </c>
      <c r="BH96" s="3" t="n">
        <v>85.26800592266504</v>
      </c>
      <c r="BI96" s="3" t="n">
        <v>84.31737414538787</v>
      </c>
      <c r="BJ96" s="3" t="n">
        <v>84.56423768520865</v>
      </c>
      <c r="BK96" s="3" t="n">
        <v>84.91039843173034</v>
      </c>
      <c r="BL96" s="3" t="n">
        <v>85.76234688794293</v>
      </c>
      <c r="BM96" s="3" t="n">
        <v>84.85594890224895</v>
      </c>
      <c r="BN96" s="3" t="n">
        <v>83.47817414437758</v>
      </c>
      <c r="BO96" s="3" t="n">
        <v>85.89135427164227</v>
      </c>
      <c r="BP96" s="3" t="n">
        <v>88.4606750040072</v>
      </c>
      <c r="BQ96" s="3" t="n">
        <v>87.79181077571225</v>
      </c>
      <c r="BR96" s="34" t="str">
        <f>B96&amp;"|"&amp;D96</f>
        <v>GTM|NE.CON.PRVT.ZS</v>
      </c>
    </row>
    <row r="97">
      <c r="A97" s="3" t="inlineStr">
        <is>
          <t>Guam</t>
        </is>
      </c>
      <c r="B97" s="3" t="inlineStr">
        <is>
          <t>GUM</t>
        </is>
      </c>
      <c r="C97" s="3" t="inlineStr">
        <is>
          <t>Households and NPISHs final consumption expenditure (% of GDP)</t>
        </is>
      </c>
      <c r="D97" s="3" t="inlineStr">
        <is>
          <t>NE.CON.PRVT.ZS</t>
        </is>
      </c>
      <c r="E97" s="3" t="n">
        <v>2022</v>
      </c>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3" t="n"/>
      <c r="AL97" s="3" t="n"/>
      <c r="AM97" s="3" t="n"/>
      <c r="AN97" s="3" t="n"/>
      <c r="AO97" s="3" t="n"/>
      <c r="AP97" s="3" t="n"/>
      <c r="AQ97" s="3" t="n"/>
      <c r="AR97" s="3" t="n"/>
      <c r="AS97" s="3" t="n"/>
      <c r="AT97" s="3" t="n"/>
      <c r="AU97" s="3" t="n"/>
      <c r="AV97" s="3" t="n">
        <v>65.46847377725398</v>
      </c>
      <c r="AW97" s="3" t="n">
        <v>59.12020173718129</v>
      </c>
      <c r="AX97" s="3" t="n">
        <v>57.94779012664771</v>
      </c>
      <c r="AY97" s="3" t="n">
        <v>57.77355803465463</v>
      </c>
      <c r="AZ97" s="3" t="n">
        <v>58.02265219443134</v>
      </c>
      <c r="BA97" s="3" t="n">
        <v>57.97134409824881</v>
      </c>
      <c r="BB97" s="3" t="n">
        <v>59.66079862601975</v>
      </c>
      <c r="BC97" s="3" t="n">
        <v>58.96851698425849</v>
      </c>
      <c r="BD97" s="3" t="n">
        <v>57.78945241462922</v>
      </c>
      <c r="BE97" s="3" t="n">
        <v>59.18940609951846</v>
      </c>
      <c r="BF97" s="3" t="n">
        <v>60.89268755935423</v>
      </c>
      <c r="BG97" s="3" t="n">
        <v>59.60363030190776</v>
      </c>
      <c r="BH97" s="3" t="n">
        <v>58.11051693404634</v>
      </c>
      <c r="BI97" s="3" t="n">
        <v>56.68218658389378</v>
      </c>
      <c r="BJ97" s="3" t="n">
        <v>57.34621250635485</v>
      </c>
      <c r="BK97" s="3" t="n">
        <v>59.0221187427241</v>
      </c>
      <c r="BL97" s="3" t="n">
        <v>59.56040323913403</v>
      </c>
      <c r="BM97" s="3" t="n">
        <v>57.21479150275373</v>
      </c>
      <c r="BN97" s="3" t="n">
        <v>60.29411764705882</v>
      </c>
      <c r="BO97" s="3" t="n">
        <v>61.40519730510105</v>
      </c>
      <c r="BP97" s="3" t="n">
        <v>59.91316931982634</v>
      </c>
      <c r="BQ97" s="3" t="n"/>
      <c r="BR97" s="34" t="str">
        <f>B97&amp;"|"&amp;D97</f>
        <v>GUM|NE.CON.PRVT.ZS</v>
      </c>
    </row>
    <row r="98">
      <c r="A98" s="3" t="inlineStr">
        <is>
          <t>Guyana</t>
        </is>
      </c>
      <c r="B98" s="3" t="inlineStr">
        <is>
          <t>GUY</t>
        </is>
      </c>
      <c r="C98" s="3" t="inlineStr">
        <is>
          <t>Households and NPISHs final consumption expenditure (% of GDP)</t>
        </is>
      </c>
      <c r="D98" s="3" t="inlineStr">
        <is>
          <t>NE.CON.PRVT.ZS</t>
        </is>
      </c>
      <c r="E98" s="3" t="n">
        <v>2005</v>
      </c>
      <c r="F98" s="3" t="n">
        <v>68.50582590815627</v>
      </c>
      <c r="G98" s="3" t="n">
        <v>65.00313873195229</v>
      </c>
      <c r="H98" s="3" t="n">
        <v>60.05385996409336</v>
      </c>
      <c r="I98" s="3" t="n">
        <v>54.16528377032858</v>
      </c>
      <c r="J98" s="3" t="n">
        <v>66.39712488769092</v>
      </c>
      <c r="K98" s="3" t="n">
        <v>65.15862068965518</v>
      </c>
      <c r="L98" s="3" t="n">
        <v>66.10082304526749</v>
      </c>
      <c r="M98" s="3" t="n">
        <v>60.87467669880085</v>
      </c>
      <c r="N98" s="3" t="n">
        <v>59.4341675734494</v>
      </c>
      <c r="O98" s="3" t="n">
        <v>59.50661853188929</v>
      </c>
      <c r="P98" s="3" t="n">
        <v>60.81030619865572</v>
      </c>
      <c r="Q98" s="3" t="n">
        <v>59.61708916858714</v>
      </c>
      <c r="R98" s="3" t="n">
        <v>61.95561488403138</v>
      </c>
      <c r="S98" s="3" t="n">
        <v>64.71774193548387</v>
      </c>
      <c r="T98" s="3" t="n">
        <v>54.67686184141615</v>
      </c>
      <c r="U98" s="3" t="n">
        <v>47.35157894736842</v>
      </c>
      <c r="V98" s="3" t="n">
        <v>59.29935745092861</v>
      </c>
      <c r="W98" s="3" t="n">
        <v>60.7006312794523</v>
      </c>
      <c r="X98" s="3" t="n">
        <v>56.15681943677527</v>
      </c>
      <c r="Y98" s="3" t="n">
        <v>52.1830932810497</v>
      </c>
      <c r="Z98" s="3" t="n">
        <v>55.39124668435014</v>
      </c>
      <c r="AA98" s="3" t="n">
        <v>62.96180732384516</v>
      </c>
      <c r="AB98" s="3" t="n">
        <v>66.54218533886583</v>
      </c>
      <c r="AC98" s="3" t="n">
        <v>70.19754768392372</v>
      </c>
      <c r="AD98" s="3" t="n">
        <v>61.67768721120341</v>
      </c>
      <c r="AE98" s="3" t="n">
        <v>59.94871282051282</v>
      </c>
      <c r="AF98" s="3" t="n">
        <v>35.29493250207062</v>
      </c>
      <c r="AG98" s="3" t="n">
        <v>52.69064884343456</v>
      </c>
      <c r="AH98" s="3" t="n">
        <v>55.05075290117818</v>
      </c>
      <c r="AI98" s="3" t="n">
        <v>68.48983747278824</v>
      </c>
      <c r="AJ98" s="3" t="n">
        <v>72.40345058679031</v>
      </c>
      <c r="AK98" s="3" t="n">
        <v>63.29361699943541</v>
      </c>
      <c r="AL98" s="3" t="n">
        <v>54.97369431249197</v>
      </c>
      <c r="AM98" s="3" t="n">
        <v>61.09924159393816</v>
      </c>
      <c r="AN98" s="3" t="n">
        <v>70.26352754707708</v>
      </c>
      <c r="AO98" s="3" t="n">
        <v>62.67106189330784</v>
      </c>
      <c r="AP98" s="3" t="n">
        <v>58.0231787390799</v>
      </c>
      <c r="AQ98" s="3" t="n">
        <v>60.39114538456901</v>
      </c>
      <c r="AR98" s="3" t="n">
        <v>64.61947576750867</v>
      </c>
      <c r="AS98" s="3" t="n">
        <v>64.06839641377459</v>
      </c>
      <c r="AT98" s="3" t="n">
        <v>66.16056117045758</v>
      </c>
      <c r="AU98" s="3" t="n">
        <v>67.17739299780067</v>
      </c>
      <c r="AV98" s="3" t="n">
        <v>65.53065692244408</v>
      </c>
      <c r="AW98" s="3" t="n">
        <v>60.84828291592626</v>
      </c>
      <c r="AX98" s="3" t="n">
        <v>58.87487542365558</v>
      </c>
      <c r="AY98" s="3" t="n">
        <v>73.40619749746776</v>
      </c>
      <c r="AZ98" s="3" t="n"/>
      <c r="BA98" s="3" t="n"/>
      <c r="BB98" s="3" t="n"/>
      <c r="BC98" s="3" t="n"/>
      <c r="BD98" s="3" t="n"/>
      <c r="BE98" s="3" t="n"/>
      <c r="BF98" s="3" t="n"/>
      <c r="BG98" s="3" t="n"/>
      <c r="BH98" s="3" t="n"/>
      <c r="BI98" s="3" t="n"/>
      <c r="BJ98" s="3" t="n"/>
      <c r="BK98" s="3" t="n"/>
      <c r="BL98" s="3" t="n"/>
      <c r="BM98" s="3" t="n"/>
      <c r="BN98" s="3" t="n"/>
      <c r="BO98" s="3" t="n"/>
      <c r="BP98" s="3" t="n"/>
      <c r="BQ98" s="3" t="n"/>
      <c r="BR98" s="34" t="str">
        <f>B98&amp;"|"&amp;D98</f>
        <v>GUY|NE.CON.PRVT.ZS</v>
      </c>
    </row>
    <row r="99">
      <c r="A99" s="3" t="inlineStr">
        <is>
          <t>High income</t>
        </is>
      </c>
      <c r="B99" s="3" t="inlineStr">
        <is>
          <t>HIC</t>
        </is>
      </c>
      <c r="C99" s="3" t="inlineStr">
        <is>
          <t>Households and NPISHs final consumption expenditure (% of GDP)</t>
        </is>
      </c>
      <c r="D99" s="3" t="inlineStr">
        <is>
          <t>NE.CON.PRVT.ZS</t>
        </is>
      </c>
      <c r="E99" s="3" t="n">
        <v>2022</v>
      </c>
      <c r="F99" s="3" t="n"/>
      <c r="G99" s="3" t="n"/>
      <c r="H99" s="3" t="n"/>
      <c r="I99" s="3" t="n"/>
      <c r="J99" s="3" t="n"/>
      <c r="K99" s="3" t="n"/>
      <c r="L99" s="3" t="n"/>
      <c r="M99" s="3" t="n"/>
      <c r="N99" s="3" t="n"/>
      <c r="O99" s="3" t="n"/>
      <c r="P99" s="3" t="n">
        <v>57.76136955190688</v>
      </c>
      <c r="Q99" s="3" t="n">
        <v>57.69794441724542</v>
      </c>
      <c r="R99" s="3" t="n">
        <v>57.47273746448071</v>
      </c>
      <c r="S99" s="3" t="n">
        <v>56.65078164125386</v>
      </c>
      <c r="T99" s="3" t="n">
        <v>56.28539708149935</v>
      </c>
      <c r="U99" s="3" t="n">
        <v>57.65532669154963</v>
      </c>
      <c r="V99" s="3" t="n">
        <v>57.38260300742786</v>
      </c>
      <c r="W99" s="3" t="n">
        <v>57.44871447378851</v>
      </c>
      <c r="X99" s="3" t="n">
        <v>56.95305303359811</v>
      </c>
      <c r="Y99" s="3" t="n">
        <v>57.02711233519469</v>
      </c>
      <c r="Z99" s="3" t="n">
        <v>57.25044194474083</v>
      </c>
      <c r="AA99" s="3" t="n">
        <v>57.02266545009128</v>
      </c>
      <c r="AB99" s="3" t="n">
        <v>58.22594040748048</v>
      </c>
      <c r="AC99" s="3" t="n">
        <v>58.84682698720558</v>
      </c>
      <c r="AD99" s="3" t="n">
        <v>58.2434915677207</v>
      </c>
      <c r="AE99" s="3" t="n">
        <v>58.68135485356157</v>
      </c>
      <c r="AF99" s="3" t="n">
        <v>58.4738959263142</v>
      </c>
      <c r="AG99" s="3" t="n">
        <v>58.3828659561178</v>
      </c>
      <c r="AH99" s="3" t="n">
        <v>57.96646418968202</v>
      </c>
      <c r="AI99" s="3" t="n">
        <v>57.66777566799885</v>
      </c>
      <c r="AJ99" s="3" t="n">
        <v>57.81730277189303</v>
      </c>
      <c r="AK99" s="3" t="n">
        <v>57.76125148660496</v>
      </c>
      <c r="AL99" s="3" t="n">
        <v>57.9961796454776</v>
      </c>
      <c r="AM99" s="3" t="n">
        <v>58.56277736920376</v>
      </c>
      <c r="AN99" s="3" t="n">
        <v>58.65965367250225</v>
      </c>
      <c r="AO99" s="3" t="n">
        <v>58.10976220586839</v>
      </c>
      <c r="AP99" s="3" t="n">
        <v>58.39934826964654</v>
      </c>
      <c r="AQ99" s="3" t="n">
        <v>58.63775481838439</v>
      </c>
      <c r="AR99" s="3" t="n">
        <v>59.13059978809202</v>
      </c>
      <c r="AS99" s="3" t="n">
        <v>59.42597824968909</v>
      </c>
      <c r="AT99" s="3" t="n">
        <v>59.43379895484077</v>
      </c>
      <c r="AU99" s="3" t="n">
        <v>60.14726982612435</v>
      </c>
      <c r="AV99" s="3" t="n">
        <v>60.32239673396761</v>
      </c>
      <c r="AW99" s="3" t="n">
        <v>60.04664441236584</v>
      </c>
      <c r="AX99" s="3" t="n">
        <v>59.53903598383447</v>
      </c>
      <c r="AY99" s="3" t="n">
        <v>59.34059969004938</v>
      </c>
      <c r="AZ99" s="3" t="n">
        <v>58.92518378025338</v>
      </c>
      <c r="BA99" s="3" t="n">
        <v>58.53837216987675</v>
      </c>
      <c r="BB99" s="3" t="n">
        <v>58.57885111726303</v>
      </c>
      <c r="BC99" s="3" t="n">
        <v>59.87496234390532</v>
      </c>
      <c r="BD99" s="3" t="n">
        <v>59.16484306835726</v>
      </c>
      <c r="BE99" s="3" t="n">
        <v>58.70769979309189</v>
      </c>
      <c r="BF99" s="3" t="n">
        <v>58.72211886121856</v>
      </c>
      <c r="BG99" s="3" t="n">
        <v>58.69376197247138</v>
      </c>
      <c r="BH99" s="3" t="n">
        <v>58.65926255108322</v>
      </c>
      <c r="BI99" s="3" t="n">
        <v>58.99477084907335</v>
      </c>
      <c r="BJ99" s="3" t="n">
        <v>59.19028970879781</v>
      </c>
      <c r="BK99" s="3" t="n">
        <v>58.93501827418191</v>
      </c>
      <c r="BL99" s="3" t="n">
        <v>58.5753835406151</v>
      </c>
      <c r="BM99" s="3" t="n">
        <v>58.49223298838338</v>
      </c>
      <c r="BN99" s="3" t="n">
        <v>57.6453369165361</v>
      </c>
      <c r="BO99" s="3" t="n">
        <v>57.49328092657562</v>
      </c>
      <c r="BP99" s="3" t="n">
        <v>57.98894921891736</v>
      </c>
      <c r="BQ99" s="3" t="n"/>
      <c r="BR99" s="34" t="str">
        <f>B99&amp;"|"&amp;D99</f>
        <v>HIC|NE.CON.PRVT.ZS</v>
      </c>
    </row>
    <row r="100">
      <c r="A100" s="3" t="inlineStr">
        <is>
          <t>Hong Kong SAR, China</t>
        </is>
      </c>
      <c r="B100" s="3" t="inlineStr">
        <is>
          <t>HKG</t>
        </is>
      </c>
      <c r="C100" s="3" t="inlineStr">
        <is>
          <t>Households and NPISHs final consumption expenditure (% of GDP)</t>
        </is>
      </c>
      <c r="D100" s="3" t="inlineStr">
        <is>
          <t>NE.CON.PRVT.ZS</t>
        </is>
      </c>
      <c r="E100" s="3" t="n">
        <v>2023</v>
      </c>
      <c r="F100" s="3" t="n">
        <v>70.67754335108788</v>
      </c>
      <c r="G100" s="3" t="n">
        <v>77.29040912139503</v>
      </c>
      <c r="H100" s="3" t="n">
        <v>74.13376309427881</v>
      </c>
      <c r="I100" s="3" t="n">
        <v>68.17876666346983</v>
      </c>
      <c r="J100" s="3" t="n">
        <v>65.99091520861373</v>
      </c>
      <c r="K100" s="3" t="n">
        <v>63.36988461262811</v>
      </c>
      <c r="L100" s="3" t="n">
        <v>70.19325024506372</v>
      </c>
      <c r="M100" s="3" t="n">
        <v>69.21486268174475</v>
      </c>
      <c r="N100" s="3" t="n">
        <v>71.80185084376701</v>
      </c>
      <c r="O100" s="3" t="n">
        <v>69.04872151052118</v>
      </c>
      <c r="P100" s="3" t="n">
        <v>66.23387864623908</v>
      </c>
      <c r="Q100" s="3" t="n">
        <v>66.2006671414115</v>
      </c>
      <c r="R100" s="3" t="n">
        <v>63.34088721944556</v>
      </c>
      <c r="S100" s="3" t="n">
        <v>65.61327945410991</v>
      </c>
      <c r="T100" s="3" t="n">
        <v>65.19898391193904</v>
      </c>
      <c r="U100" s="3" t="n">
        <v>65.46613160176652</v>
      </c>
      <c r="V100" s="3" t="n">
        <v>58.49325479764394</v>
      </c>
      <c r="W100" s="3" t="n">
        <v>61.36537306915562</v>
      </c>
      <c r="X100" s="3" t="n">
        <v>64.55666689981581</v>
      </c>
      <c r="Y100" s="3" t="n">
        <v>60.56473010267013</v>
      </c>
      <c r="Z100" s="3" t="n">
        <v>60.0428912609056</v>
      </c>
      <c r="AA100" s="3" t="n">
        <v>59.75526852481305</v>
      </c>
      <c r="AB100" s="3" t="n">
        <v>61.21272416519987</v>
      </c>
      <c r="AC100" s="3" t="n">
        <v>64.13446182593047</v>
      </c>
      <c r="AD100" s="3" t="n">
        <v>60.79880301688602</v>
      </c>
      <c r="AE100" s="3" t="n">
        <v>61.45515733762872</v>
      </c>
      <c r="AF100" s="3" t="n">
        <v>60.48514156462055</v>
      </c>
      <c r="AG100" s="3" t="n">
        <v>57.2383919750741</v>
      </c>
      <c r="AH100" s="3" t="n">
        <v>56.60707695740609</v>
      </c>
      <c r="AI100" s="3" t="n">
        <v>55.68438081251234</v>
      </c>
      <c r="AJ100" s="3" t="n">
        <v>57.45491075600411</v>
      </c>
      <c r="AK100" s="3" t="n">
        <v>59.15049839221319</v>
      </c>
      <c r="AL100" s="3" t="n">
        <v>58.99879821094495</v>
      </c>
      <c r="AM100" s="3" t="n">
        <v>58.52762054113276</v>
      </c>
      <c r="AN100" s="3" t="n">
        <v>59.92168519735902</v>
      </c>
      <c r="AO100" s="3" t="n">
        <v>62.16338428927101</v>
      </c>
      <c r="AP100" s="3" t="n">
        <v>61.54006189584563</v>
      </c>
      <c r="AQ100" s="3" t="n">
        <v>61.11327574516617</v>
      </c>
      <c r="AR100" s="3" t="n">
        <v>61.43528577129428</v>
      </c>
      <c r="AS100" s="3" t="n">
        <v>60.2436649750456</v>
      </c>
      <c r="AT100" s="3" t="n">
        <v>58.64092811893224</v>
      </c>
      <c r="AU100" s="3" t="n">
        <v>59.61463642818108</v>
      </c>
      <c r="AV100" s="3" t="n">
        <v>58.02645565044195</v>
      </c>
      <c r="AW100" s="3" t="n">
        <v>57.52994623086907</v>
      </c>
      <c r="AX100" s="3" t="n">
        <v>58.57804668214182</v>
      </c>
      <c r="AY100" s="3" t="n">
        <v>57.47748959900859</v>
      </c>
      <c r="AZ100" s="3" t="n">
        <v>57.78364467113801</v>
      </c>
      <c r="BA100" s="3" t="n">
        <v>59.51018805928919</v>
      </c>
      <c r="BB100" s="3" t="n">
        <v>60.1165338301258</v>
      </c>
      <c r="BC100" s="3" t="n">
        <v>61.08892900084074</v>
      </c>
      <c r="BD100" s="3" t="n">
        <v>61.37557618733435</v>
      </c>
      <c r="BE100" s="3" t="n">
        <v>63.29523425505188</v>
      </c>
      <c r="BF100" s="3" t="n">
        <v>64.55232764490376</v>
      </c>
      <c r="BG100" s="3" t="n">
        <v>66.0830891757724</v>
      </c>
      <c r="BH100" s="3" t="n">
        <v>66.49401218138898</v>
      </c>
      <c r="BI100" s="3" t="n">
        <v>66.42639725136348</v>
      </c>
      <c r="BJ100" s="3" t="n">
        <v>66.25320505356544</v>
      </c>
      <c r="BK100" s="3" t="n">
        <v>67.09157843007868</v>
      </c>
      <c r="BL100" s="3" t="n">
        <v>68.29396891969434</v>
      </c>
      <c r="BM100" s="3" t="n">
        <v>69.37450747305294</v>
      </c>
      <c r="BN100" s="3" t="n">
        <v>66.34302429223786</v>
      </c>
      <c r="BO100" s="3" t="n">
        <v>64.97704127619053</v>
      </c>
      <c r="BP100" s="3" t="n">
        <v>66.33516072763518</v>
      </c>
      <c r="BQ100" s="3" t="n">
        <v>70.25902876581907</v>
      </c>
      <c r="BR100" s="34" t="str">
        <f>B100&amp;"|"&amp;D100</f>
        <v>HKG|NE.CON.PRVT.ZS</v>
      </c>
    </row>
    <row r="101">
      <c r="A101" s="3" t="inlineStr">
        <is>
          <t>Honduras</t>
        </is>
      </c>
      <c r="B101" s="3" t="inlineStr">
        <is>
          <t>HND</t>
        </is>
      </c>
      <c r="C101" s="3" t="inlineStr">
        <is>
          <t>Households and NPISHs final consumption expenditure (% of GDP)</t>
        </is>
      </c>
      <c r="D101" s="3" t="inlineStr">
        <is>
          <t>NE.CON.PRVT.ZS</t>
        </is>
      </c>
      <c r="E101" s="3" t="n">
        <v>2023</v>
      </c>
      <c r="F101" s="3" t="n">
        <v>76.71681811410696</v>
      </c>
      <c r="G101" s="3" t="n">
        <v>75.94048287478944</v>
      </c>
      <c r="H101" s="3" t="n">
        <v>74.01676337846551</v>
      </c>
      <c r="I101" s="3" t="n">
        <v>75.93856655290102</v>
      </c>
      <c r="J101" s="3" t="n">
        <v>76.47702407002188</v>
      </c>
      <c r="K101" s="3" t="n">
        <v>74.90415806546741</v>
      </c>
      <c r="L101" s="3" t="n">
        <v>75.09773615783253</v>
      </c>
      <c r="M101" s="3" t="n">
        <v>72.31232235412138</v>
      </c>
      <c r="N101" s="3" t="n">
        <v>72.74273345701917</v>
      </c>
      <c r="O101" s="3" t="n">
        <v>72.38023410327588</v>
      </c>
      <c r="P101" s="3" t="n">
        <v>73.85892116182573</v>
      </c>
      <c r="Q101" s="3" t="n">
        <v>71.75102599179206</v>
      </c>
      <c r="R101" s="3" t="n">
        <v>70.98381512975187</v>
      </c>
      <c r="S101" s="3" t="n">
        <v>71.616442280353</v>
      </c>
      <c r="T101" s="3" t="n">
        <v>74.04543257612373</v>
      </c>
      <c r="U101" s="3" t="n">
        <v>77.66903914590748</v>
      </c>
      <c r="V101" s="3" t="n">
        <v>72.32937953743989</v>
      </c>
      <c r="W101" s="3" t="n">
        <v>68.88290113455828</v>
      </c>
      <c r="X101" s="3" t="n">
        <v>41.58538342313654</v>
      </c>
      <c r="Y101" s="3" t="n">
        <v>41.89847224148468</v>
      </c>
      <c r="Z101" s="3" t="n">
        <v>44.86966199346688</v>
      </c>
      <c r="AA101" s="3" t="n">
        <v>50.34750064286698</v>
      </c>
      <c r="AB101" s="3" t="n">
        <v>50.50974380003451</v>
      </c>
      <c r="AC101" s="3" t="n">
        <v>52.3153544520674</v>
      </c>
      <c r="AD101" s="3" t="n">
        <v>51.12595250267606</v>
      </c>
      <c r="AE101" s="3" t="n">
        <v>51.26824768504193</v>
      </c>
      <c r="AF101" s="3" t="n">
        <v>49.36746105317118</v>
      </c>
      <c r="AG101" s="3" t="n">
        <v>47.78272918555173</v>
      </c>
      <c r="AH101" s="3" t="n">
        <v>45.40718230638608</v>
      </c>
      <c r="AI101" s="3" t="n">
        <v>45.86829781629296</v>
      </c>
      <c r="AJ101" s="3" t="n">
        <v>41.39123703070942</v>
      </c>
      <c r="AK101" s="3" t="n">
        <v>44.59131413232669</v>
      </c>
      <c r="AL101" s="3" t="n">
        <v>46.06333165055005</v>
      </c>
      <c r="AM101" s="3" t="n">
        <v>45.84298423106005</v>
      </c>
      <c r="AN101" s="3" t="n">
        <v>46.40330836273128</v>
      </c>
      <c r="AO101" s="3" t="n">
        <v>46.44709862082284</v>
      </c>
      <c r="AP101" s="3" t="n">
        <v>49.85266789154822</v>
      </c>
      <c r="AQ101" s="3" t="n">
        <v>52.52451960318302</v>
      </c>
      <c r="AR101" s="3" t="n">
        <v>54.44299932355646</v>
      </c>
      <c r="AS101" s="3" t="n">
        <v>57.76093615893877</v>
      </c>
      <c r="AT101" s="3" t="n">
        <v>70.75080024977919</v>
      </c>
      <c r="AU101" s="3" t="n">
        <v>72.49140105577216</v>
      </c>
      <c r="AV101" s="3" t="n">
        <v>73.30230880119164</v>
      </c>
      <c r="AW101" s="3" t="n">
        <v>73.85851063382856</v>
      </c>
      <c r="AX101" s="3" t="n">
        <v>73.93947649489961</v>
      </c>
      <c r="AY101" s="3" t="n">
        <v>75.33233123298615</v>
      </c>
      <c r="AZ101" s="3" t="n">
        <v>77.67703404948422</v>
      </c>
      <c r="BA101" s="3" t="n">
        <v>77.78498008281984</v>
      </c>
      <c r="BB101" s="3" t="n">
        <v>79.91760439209517</v>
      </c>
      <c r="BC101" s="3" t="n">
        <v>78.54514095232705</v>
      </c>
      <c r="BD101" s="3" t="n">
        <v>78.11775358687008</v>
      </c>
      <c r="BE101" s="3" t="n">
        <v>77.6372587588254</v>
      </c>
      <c r="BF101" s="3" t="n">
        <v>78.61657098341351</v>
      </c>
      <c r="BG101" s="3" t="n">
        <v>81.92895617297951</v>
      </c>
      <c r="BH101" s="3" t="n">
        <v>80.33364404950396</v>
      </c>
      <c r="BI101" s="3" t="n">
        <v>77.50766064327684</v>
      </c>
      <c r="BJ101" s="3" t="n">
        <v>76.89642260202665</v>
      </c>
      <c r="BK101" s="3" t="n">
        <v>77.30629017506344</v>
      </c>
      <c r="BL101" s="3" t="n">
        <v>80.60720870650351</v>
      </c>
      <c r="BM101" s="3" t="n">
        <v>82.17530545548163</v>
      </c>
      <c r="BN101" s="3" t="n">
        <v>80.92311396138749</v>
      </c>
      <c r="BO101" s="3" t="n">
        <v>84.73688282871949</v>
      </c>
      <c r="BP101" s="3" t="n">
        <v>87.2178097271961</v>
      </c>
      <c r="BQ101" s="3" t="n">
        <v>86.39249106591302</v>
      </c>
      <c r="BR101" s="34" t="str">
        <f>B101&amp;"|"&amp;D101</f>
        <v>HND|NE.CON.PRVT.ZS</v>
      </c>
    </row>
    <row r="102">
      <c r="A102" s="3" t="inlineStr">
        <is>
          <t>Heavily indebted poor countries (HIPC)</t>
        </is>
      </c>
      <c r="B102" s="3" t="inlineStr">
        <is>
          <t>HPC</t>
        </is>
      </c>
      <c r="C102" s="3" t="inlineStr">
        <is>
          <t>Households and NPISHs final consumption expenditure (% of GDP)</t>
        </is>
      </c>
      <c r="D102" s="3" t="inlineStr">
        <is>
          <t>NE.CON.PRVT.ZS</t>
        </is>
      </c>
      <c r="E102" s="3" t="n">
        <v>2023</v>
      </c>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v>80.08743777580305</v>
      </c>
      <c r="AK102" s="3" t="n">
        <v>78.69885633419442</v>
      </c>
      <c r="AL102" s="3" t="n">
        <v>76.13273045272058</v>
      </c>
      <c r="AM102" s="3" t="n">
        <v>75.84937919731961</v>
      </c>
      <c r="AN102" s="3" t="n">
        <v>75.09450112603845</v>
      </c>
      <c r="AO102" s="3" t="n">
        <v>77.17752367586279</v>
      </c>
      <c r="AP102" s="3" t="n">
        <v>72.00939532392466</v>
      </c>
      <c r="AQ102" s="3" t="n">
        <v>72.30348444860371</v>
      </c>
      <c r="AR102" s="3" t="n">
        <v>75.57172101872416</v>
      </c>
      <c r="AS102" s="3" t="n">
        <v>76.01890982477686</v>
      </c>
      <c r="AT102" s="3" t="n">
        <v>76.78644853806512</v>
      </c>
      <c r="AU102" s="3" t="n">
        <v>74.1735066532155</v>
      </c>
      <c r="AV102" s="3" t="n">
        <v>74.18540512233652</v>
      </c>
      <c r="AW102" s="3" t="n">
        <v>72.06874133596243</v>
      </c>
      <c r="AX102" s="3" t="n">
        <v>70.14887928187548</v>
      </c>
      <c r="AY102" s="3" t="n">
        <v>70.62987179454467</v>
      </c>
      <c r="AZ102" s="3" t="n">
        <v>70.3977183332518</v>
      </c>
      <c r="BA102" s="3" t="n">
        <v>69.73769246347034</v>
      </c>
      <c r="BB102" s="3" t="n">
        <v>70.25192917690831</v>
      </c>
      <c r="BC102" s="3" t="n">
        <v>72.39769043772235</v>
      </c>
      <c r="BD102" s="3" t="n">
        <v>70.21484331162158</v>
      </c>
      <c r="BE102" s="3" t="n">
        <v>69.93728604483981</v>
      </c>
      <c r="BF102" s="3" t="n">
        <v>72.18003479180003</v>
      </c>
      <c r="BG102" s="3" t="n">
        <v>71.77634977262912</v>
      </c>
      <c r="BH102" s="3" t="n">
        <v>70.83772088984966</v>
      </c>
      <c r="BI102" s="3" t="n">
        <v>72.51737070268609</v>
      </c>
      <c r="BJ102" s="3" t="n">
        <v>71.61276735892937</v>
      </c>
      <c r="BK102" s="3" t="n">
        <v>70.54744258508087</v>
      </c>
      <c r="BL102" s="3" t="n">
        <v>70.89064814205446</v>
      </c>
      <c r="BM102" s="3" t="n">
        <v>71.06174329362138</v>
      </c>
      <c r="BN102" s="3" t="n">
        <v>70.47780329765231</v>
      </c>
      <c r="BO102" s="3" t="n">
        <v>70.29407765162851</v>
      </c>
      <c r="BP102" s="3" t="n">
        <v>70.29658905740997</v>
      </c>
      <c r="BQ102" s="3" t="n">
        <v>71.59913568677921</v>
      </c>
      <c r="BR102" s="34" t="str">
        <f>B102&amp;"|"&amp;D102</f>
        <v>HPC|NE.CON.PRVT.ZS</v>
      </c>
    </row>
    <row r="103">
      <c r="A103" s="3" t="inlineStr">
        <is>
          <t>Croatia</t>
        </is>
      </c>
      <c r="B103" s="3" t="inlineStr">
        <is>
          <t>HRV</t>
        </is>
      </c>
      <c r="C103" s="3" t="inlineStr">
        <is>
          <t>Households and NPISHs final consumption expenditure (% of GDP)</t>
        </is>
      </c>
      <c r="D103" s="3" t="inlineStr">
        <is>
          <t>NE.CON.PRVT.ZS</t>
        </is>
      </c>
      <c r="E103" s="3" t="n">
        <v>2023</v>
      </c>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3" t="n"/>
      <c r="AL103" s="3" t="n"/>
      <c r="AM103" s="3" t="n"/>
      <c r="AN103" s="3" t="n"/>
      <c r="AO103" s="3" t="n">
        <v>65.77366543591191</v>
      </c>
      <c r="AP103" s="3" t="n">
        <v>63.09296992891144</v>
      </c>
      <c r="AQ103" s="3" t="n">
        <v>65.09266362103926</v>
      </c>
      <c r="AR103" s="3" t="n">
        <v>61.79187835517642</v>
      </c>
      <c r="AS103" s="3" t="n">
        <v>60.67672062980409</v>
      </c>
      <c r="AT103" s="3" t="n">
        <v>62.23084579465056</v>
      </c>
      <c r="AU103" s="3" t="n">
        <v>63.8265546097614</v>
      </c>
      <c r="AV103" s="3" t="n">
        <v>65.04713739065431</v>
      </c>
      <c r="AW103" s="3" t="n">
        <v>63.1503799980557</v>
      </c>
      <c r="AX103" s="3" t="n">
        <v>62.46786113260862</v>
      </c>
      <c r="AY103" s="3" t="n">
        <v>62.67709349093988</v>
      </c>
      <c r="AZ103" s="3" t="n">
        <v>60.27882903065633</v>
      </c>
      <c r="BA103" s="3" t="n">
        <v>59.44733251663686</v>
      </c>
      <c r="BB103" s="3" t="n">
        <v>59.99217912234327</v>
      </c>
      <c r="BC103" s="3" t="n">
        <v>59.00839960893411</v>
      </c>
      <c r="BD103" s="3" t="n">
        <v>59.11864877705719</v>
      </c>
      <c r="BE103" s="3" t="n">
        <v>60.03426712946064</v>
      </c>
      <c r="BF103" s="3" t="n">
        <v>61.01084915061713</v>
      </c>
      <c r="BG103" s="3" t="n">
        <v>60.94227587416269</v>
      </c>
      <c r="BH103" s="3" t="n">
        <v>59.35365628146633</v>
      </c>
      <c r="BI103" s="3" t="n">
        <v>57.84118741281281</v>
      </c>
      <c r="BJ103" s="3" t="n">
        <v>56.94412108886102</v>
      </c>
      <c r="BK103" s="3" t="n">
        <v>56.63507323032925</v>
      </c>
      <c r="BL103" s="3" t="n">
        <v>56.52187114154845</v>
      </c>
      <c r="BM103" s="3" t="n">
        <v>56.38099562577344</v>
      </c>
      <c r="BN103" s="3" t="n">
        <v>58.29248530684632</v>
      </c>
      <c r="BO103" s="3" t="n">
        <v>57.12859622092402</v>
      </c>
      <c r="BP103" s="3" t="n">
        <v>58.35560338883734</v>
      </c>
      <c r="BQ103" s="3" t="n">
        <v>58.01705063592485</v>
      </c>
      <c r="BR103" s="34" t="str">
        <f>B103&amp;"|"&amp;D103</f>
        <v>HRV|NE.CON.PRVT.ZS</v>
      </c>
    </row>
    <row r="104">
      <c r="A104" s="3" t="inlineStr">
        <is>
          <t>Haiti</t>
        </is>
      </c>
      <c r="B104" s="3" t="inlineStr">
        <is>
          <t>HTI</t>
        </is>
      </c>
      <c r="C104" s="3" t="inlineStr">
        <is>
          <t>Households and NPISHs final consumption expenditure (% of GDP)</t>
        </is>
      </c>
      <c r="D104" s="3" t="inlineStr">
        <is>
          <t>NE.CON.PRVT.ZS</t>
        </is>
      </c>
      <c r="E104" s="3" t="n">
        <v>2023</v>
      </c>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3" t="n"/>
      <c r="AL104" s="3" t="n"/>
      <c r="AM104" s="3" t="n"/>
      <c r="AN104" s="3" t="n"/>
      <c r="AO104" s="3" t="n"/>
      <c r="AP104" s="3" t="n"/>
      <c r="AQ104" s="3" t="n"/>
      <c r="AR104" s="3" t="n"/>
      <c r="AS104" s="3" t="n"/>
      <c r="AT104" s="3" t="n">
        <v>97.13393315517433</v>
      </c>
      <c r="AU104" s="3" t="n">
        <v>98.10925828411227</v>
      </c>
      <c r="AV104" s="3" t="n">
        <v>95.04070500296535</v>
      </c>
      <c r="AW104" s="3" t="n">
        <v>94.06242104724272</v>
      </c>
      <c r="AX104" s="3" t="n">
        <v>98.28744043475875</v>
      </c>
      <c r="AY104" s="3" t="n">
        <v>101.3365416820375</v>
      </c>
      <c r="AZ104" s="3" t="n">
        <v>97.8183764272092</v>
      </c>
      <c r="BA104" s="3" t="n">
        <v>100.4950264477832</v>
      </c>
      <c r="BB104" s="3" t="n">
        <v>97.80110171975127</v>
      </c>
      <c r="BC104" s="3" t="n">
        <v>95.67221785200418</v>
      </c>
      <c r="BD104" s="3" t="n">
        <v>95.31415436209315</v>
      </c>
      <c r="BE104" s="3" t="n">
        <v>96.44827425228935</v>
      </c>
      <c r="BF104" s="3" t="n">
        <v>95.99937005415234</v>
      </c>
      <c r="BG104" s="3" t="n">
        <v>94.60141190764169</v>
      </c>
      <c r="BH104" s="3" t="n">
        <v>96.18116333235776</v>
      </c>
      <c r="BI104" s="3" t="n">
        <v>96.06762535779779</v>
      </c>
      <c r="BJ104" s="3" t="n">
        <v>96.25235862234226</v>
      </c>
      <c r="BK104" s="3" t="n">
        <v>95.11125236497351</v>
      </c>
      <c r="BL104" s="3" t="n">
        <v>98.99217340875582</v>
      </c>
      <c r="BM104" s="3" t="n">
        <v>96.60399754412917</v>
      </c>
      <c r="BN104" s="3" t="n">
        <v>97.09672838482408</v>
      </c>
      <c r="BO104" s="3" t="n">
        <v>97.63225608595637</v>
      </c>
      <c r="BP104" s="3" t="n">
        <v>99.28575269781707</v>
      </c>
      <c r="BQ104" s="3" t="n">
        <v>100.1734850648758</v>
      </c>
      <c r="BR104" s="34" t="str">
        <f>B104&amp;"|"&amp;D104</f>
        <v>HTI|NE.CON.PRVT.ZS</v>
      </c>
    </row>
    <row r="105">
      <c r="A105" s="3" t="inlineStr">
        <is>
          <t>Hungary</t>
        </is>
      </c>
      <c r="B105" s="3" t="inlineStr">
        <is>
          <t>HUN</t>
        </is>
      </c>
      <c r="C105" s="3" t="inlineStr">
        <is>
          <t>Households and NPISHs final consumption expenditure (% of GDP)</t>
        </is>
      </c>
      <c r="D105" s="3" t="inlineStr">
        <is>
          <t>NE.CON.PRVT.ZS</t>
        </is>
      </c>
      <c r="E105" s="3" t="n">
        <v>2023</v>
      </c>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3" t="n">
        <v>54.95038859331968</v>
      </c>
      <c r="AL105" s="3" t="n">
        <v>57.77583980565987</v>
      </c>
      <c r="AM105" s="3" t="n">
        <v>59.79995350526573</v>
      </c>
      <c r="AN105" s="3" t="n">
        <v>58.15309551469333</v>
      </c>
      <c r="AO105" s="3" t="n">
        <v>53.99203595727084</v>
      </c>
      <c r="AP105" s="3" t="n">
        <v>53.08430346636377</v>
      </c>
      <c r="AQ105" s="3" t="n">
        <v>51.50079913430889</v>
      </c>
      <c r="AR105" s="3" t="n">
        <v>51.93840398252656</v>
      </c>
      <c r="AS105" s="3" t="n">
        <v>54.31706993897167</v>
      </c>
      <c r="AT105" s="3" t="n">
        <v>54.42863026953062</v>
      </c>
      <c r="AU105" s="3" t="n">
        <v>53.97195867183593</v>
      </c>
      <c r="AV105" s="3" t="n">
        <v>54.57829502923018</v>
      </c>
      <c r="AW105" s="3" t="n">
        <v>56.31406066624844</v>
      </c>
      <c r="AX105" s="3" t="n">
        <v>54.91495784071471</v>
      </c>
      <c r="AY105" s="3" t="n">
        <v>54.68845582684214</v>
      </c>
      <c r="AZ105" s="3" t="n">
        <v>53.22809733859884</v>
      </c>
      <c r="BA105" s="3" t="n">
        <v>54.25860206578395</v>
      </c>
      <c r="BB105" s="3" t="n">
        <v>53.52460173863109</v>
      </c>
      <c r="BC105" s="3" t="n">
        <v>53.47344285853476</v>
      </c>
      <c r="BD105" s="3" t="n">
        <v>52.66559221757044</v>
      </c>
      <c r="BE105" s="3" t="n">
        <v>52.88653083330197</v>
      </c>
      <c r="BF105" s="3" t="n">
        <v>53.77314005892616</v>
      </c>
      <c r="BG105" s="3" t="n">
        <v>52.18160785503301</v>
      </c>
      <c r="BH105" s="3" t="n">
        <v>50.09766433823049</v>
      </c>
      <c r="BI105" s="3" t="n">
        <v>49.04134575127571</v>
      </c>
      <c r="BJ105" s="3" t="n">
        <v>50.08478273034032</v>
      </c>
      <c r="BK105" s="3" t="n">
        <v>50.09331820945449</v>
      </c>
      <c r="BL105" s="3" t="n">
        <v>49.24811998881685</v>
      </c>
      <c r="BM105" s="3" t="n">
        <v>49.21320000695555</v>
      </c>
      <c r="BN105" s="3" t="n">
        <v>49.47442302707219</v>
      </c>
      <c r="BO105" s="3" t="n">
        <v>48.26894140359845</v>
      </c>
      <c r="BP105" s="3" t="n">
        <v>49.8286929355896</v>
      </c>
      <c r="BQ105" s="3" t="n">
        <v>49.51005403306443</v>
      </c>
      <c r="BR105" s="34" t="str">
        <f>B105&amp;"|"&amp;D105</f>
        <v>HUN|NE.CON.PRVT.ZS</v>
      </c>
    </row>
    <row r="106">
      <c r="A106" s="3" t="inlineStr">
        <is>
          <t>IBRD only</t>
        </is>
      </c>
      <c r="B106" s="3" t="inlineStr">
        <is>
          <t>IBD</t>
        </is>
      </c>
      <c r="C106" s="3" t="inlineStr">
        <is>
          <t>Households and NPISHs final consumption expenditure (% of GDP)</t>
        </is>
      </c>
      <c r="D106" s="3" t="inlineStr">
        <is>
          <t>NE.CON.PRVT.ZS</t>
        </is>
      </c>
      <c r="E106" s="3" t="n">
        <v>2022</v>
      </c>
      <c r="F106" s="3" t="n"/>
      <c r="G106" s="3" t="n"/>
      <c r="H106" s="3" t="n"/>
      <c r="I106" s="3" t="n"/>
      <c r="J106" s="3" t="n"/>
      <c r="K106" s="3" t="n">
        <v>65.051082523547</v>
      </c>
      <c r="L106" s="3" t="n">
        <v>63.45235337393474</v>
      </c>
      <c r="M106" s="3" t="n">
        <v>65.73938407228161</v>
      </c>
      <c r="N106" s="3" t="n">
        <v>64.90168249417322</v>
      </c>
      <c r="O106" s="3" t="n">
        <v>63.2522092515247</v>
      </c>
      <c r="P106" s="3" t="n">
        <v>62.25613098036966</v>
      </c>
      <c r="Q106" s="3" t="n">
        <v>62.06849741153083</v>
      </c>
      <c r="R106" s="3" t="n">
        <v>61.67958730884401</v>
      </c>
      <c r="S106" s="3" t="n">
        <v>60.12027299066616</v>
      </c>
      <c r="T106" s="3" t="n">
        <v>57.40126167863811</v>
      </c>
      <c r="U106" s="3" t="n">
        <v>58.01763075870221</v>
      </c>
      <c r="V106" s="3" t="n">
        <v>56.49489580548158</v>
      </c>
      <c r="W106" s="3" t="n">
        <v>56.51857215819069</v>
      </c>
      <c r="X106" s="3" t="n">
        <v>57.51869873610978</v>
      </c>
      <c r="Y106" s="3" t="n">
        <v>55.92786747165333</v>
      </c>
      <c r="Z106" s="3" t="n">
        <v>56.50241018161327</v>
      </c>
      <c r="AA106" s="3" t="n">
        <v>58.74410356414003</v>
      </c>
      <c r="AB106" s="3" t="n">
        <v>59.01789978590269</v>
      </c>
      <c r="AC106" s="3" t="n">
        <v>59.51796741557829</v>
      </c>
      <c r="AD106" s="3" t="n">
        <v>58.82133629346585</v>
      </c>
      <c r="AE106" s="3" t="n">
        <v>59.46694058645537</v>
      </c>
      <c r="AF106" s="3" t="n">
        <v>60.55068879512484</v>
      </c>
      <c r="AG106" s="3" t="n">
        <v>59.40586116852587</v>
      </c>
      <c r="AH106" s="3" t="n">
        <v>59.93317248348939</v>
      </c>
      <c r="AI106" s="3" t="n">
        <v>58.7225567753465</v>
      </c>
      <c r="AJ106" s="3" t="n">
        <v>59.92113523901956</v>
      </c>
      <c r="AK106" s="3" t="n">
        <v>60.89970378697287</v>
      </c>
      <c r="AL106" s="3" t="n">
        <v>60.12903006903947</v>
      </c>
      <c r="AM106" s="3" t="n">
        <v>60.74373055543302</v>
      </c>
      <c r="AN106" s="3" t="n">
        <v>60.93481544644609</v>
      </c>
      <c r="AO106" s="3" t="n">
        <v>60.62466695229129</v>
      </c>
      <c r="AP106" s="3" t="n">
        <v>60.78163767947684</v>
      </c>
      <c r="AQ106" s="3" t="n">
        <v>60.77751814735757</v>
      </c>
      <c r="AR106" s="3" t="n">
        <v>60.96451161203127</v>
      </c>
      <c r="AS106" s="3" t="n">
        <v>60.56555220097732</v>
      </c>
      <c r="AT106" s="3" t="n">
        <v>59.58756821126278</v>
      </c>
      <c r="AU106" s="3" t="n">
        <v>59.28675607713985</v>
      </c>
      <c r="AV106" s="3" t="n">
        <v>58.32509039857936</v>
      </c>
      <c r="AW106" s="3" t="n">
        <v>57.37250049780979</v>
      </c>
      <c r="AX106" s="3" t="n">
        <v>55.74092827243605</v>
      </c>
      <c r="AY106" s="3" t="n">
        <v>55.01101284490599</v>
      </c>
      <c r="AZ106" s="3" t="n">
        <v>53.4430628975702</v>
      </c>
      <c r="BA106" s="3" t="n">
        <v>52.65195057966459</v>
      </c>
      <c r="BB106" s="3" t="n">
        <v>51.70718587980836</v>
      </c>
      <c r="BC106" s="3" t="n">
        <v>52.22039346895196</v>
      </c>
      <c r="BD106" s="3" t="n">
        <v>51.01756077545162</v>
      </c>
      <c r="BE106" s="3" t="n">
        <v>50.53479591664849</v>
      </c>
      <c r="BF106" s="3" t="n">
        <v>50.76588139447365</v>
      </c>
      <c r="BG106" s="3" t="n">
        <v>51.05004137217192</v>
      </c>
      <c r="BH106" s="3" t="n">
        <v>51.46857927063595</v>
      </c>
      <c r="BI106" s="3" t="n">
        <v>51.02039738383135</v>
      </c>
      <c r="BJ106" s="3" t="n">
        <v>51.36789230229428</v>
      </c>
      <c r="BK106" s="3" t="n">
        <v>51.03750988208628</v>
      </c>
      <c r="BL106" s="3" t="n">
        <v>50.20097153454827</v>
      </c>
      <c r="BM106" s="3" t="n">
        <v>50.84043400324132</v>
      </c>
      <c r="BN106" s="3" t="n">
        <v>49.74931138788282</v>
      </c>
      <c r="BO106" s="3" t="n">
        <v>48.88424381139458</v>
      </c>
      <c r="BP106" s="3" t="n">
        <v>48.99611480479489</v>
      </c>
      <c r="BQ106" s="3" t="n"/>
      <c r="BR106" s="34" t="str">
        <f>B106&amp;"|"&amp;D106</f>
        <v>IBD|NE.CON.PRVT.ZS</v>
      </c>
    </row>
    <row r="107">
      <c r="A107" s="3" t="inlineStr">
        <is>
          <t>IDA &amp; IBRD total</t>
        </is>
      </c>
      <c r="B107" s="3" t="inlineStr">
        <is>
          <t>IBT</t>
        </is>
      </c>
      <c r="C107" s="3" t="inlineStr">
        <is>
          <t>Households and NPISHs final consumption expenditure (% of GDP)</t>
        </is>
      </c>
      <c r="D107" s="3" t="inlineStr">
        <is>
          <t>NE.CON.PRVT.ZS</t>
        </is>
      </c>
      <c r="E107" s="3" t="n">
        <v>2023</v>
      </c>
      <c r="F107" s="3" t="n"/>
      <c r="G107" s="3" t="n"/>
      <c r="H107" s="3" t="n"/>
      <c r="I107" s="3" t="n"/>
      <c r="J107" s="3" t="n"/>
      <c r="K107" s="3" t="n"/>
      <c r="L107" s="3" t="n"/>
      <c r="M107" s="3" t="n">
        <v>65.09433337458226</v>
      </c>
      <c r="N107" s="3" t="n">
        <v>64.18910099794269</v>
      </c>
      <c r="O107" s="3" t="n">
        <v>62.56227181422174</v>
      </c>
      <c r="P107" s="3" t="n">
        <v>61.29714477697397</v>
      </c>
      <c r="Q107" s="3" t="n">
        <v>62.00067104499236</v>
      </c>
      <c r="R107" s="3" t="n">
        <v>61.529476313997</v>
      </c>
      <c r="S107" s="3" t="n">
        <v>59.92357531283226</v>
      </c>
      <c r="T107" s="3" t="n">
        <v>57.01531785111388</v>
      </c>
      <c r="U107" s="3" t="n">
        <v>57.4310667775399</v>
      </c>
      <c r="V107" s="3" t="n">
        <v>56.23129542059655</v>
      </c>
      <c r="W107" s="3" t="n">
        <v>56.68675188664977</v>
      </c>
      <c r="X107" s="3" t="n">
        <v>57.65100672757418</v>
      </c>
      <c r="Y107" s="3" t="n">
        <v>56.33797319652982</v>
      </c>
      <c r="Z107" s="3" t="n">
        <v>56.69574131786595</v>
      </c>
      <c r="AA107" s="3" t="n">
        <v>55.87980372050346</v>
      </c>
      <c r="AB107" s="3" t="n">
        <v>56.42236254276087</v>
      </c>
      <c r="AC107" s="3" t="n">
        <v>58.26249005378625</v>
      </c>
      <c r="AD107" s="3" t="n">
        <v>58.47740260135465</v>
      </c>
      <c r="AE107" s="3" t="n">
        <v>58.80667841594776</v>
      </c>
      <c r="AF107" s="3" t="n">
        <v>61.01534445781193</v>
      </c>
      <c r="AG107" s="3" t="n">
        <v>60.3006010989971</v>
      </c>
      <c r="AH107" s="3" t="n">
        <v>60.88847753439596</v>
      </c>
      <c r="AI107" s="3" t="n">
        <v>59.86355507295188</v>
      </c>
      <c r="AJ107" s="3" t="n">
        <v>61.14185617421292</v>
      </c>
      <c r="AK107" s="3" t="n">
        <v>61.97273840693759</v>
      </c>
      <c r="AL107" s="3" t="n">
        <v>61.3133283245929</v>
      </c>
      <c r="AM107" s="3" t="n">
        <v>62.08165636404457</v>
      </c>
      <c r="AN107" s="3" t="n">
        <v>61.89684399326012</v>
      </c>
      <c r="AO107" s="3" t="n">
        <v>61.03151719407943</v>
      </c>
      <c r="AP107" s="3" t="n">
        <v>60.74759143441104</v>
      </c>
      <c r="AQ107" s="3" t="n">
        <v>60.76322327156139</v>
      </c>
      <c r="AR107" s="3" t="n">
        <v>60.7337233213827</v>
      </c>
      <c r="AS107" s="3" t="n">
        <v>61.98573616672913</v>
      </c>
      <c r="AT107" s="3" t="n">
        <v>61.03100116236527</v>
      </c>
      <c r="AU107" s="3" t="n">
        <v>60.71601182725664</v>
      </c>
      <c r="AV107" s="3" t="n">
        <v>59.60122144542277</v>
      </c>
      <c r="AW107" s="3" t="n">
        <v>58.63619239815461</v>
      </c>
      <c r="AX107" s="3" t="n">
        <v>56.97091832499282</v>
      </c>
      <c r="AY107" s="3" t="n">
        <v>56.2245831107682</v>
      </c>
      <c r="AZ107" s="3" t="n">
        <v>54.53797459626126</v>
      </c>
      <c r="BA107" s="3" t="n">
        <v>53.81367063745189</v>
      </c>
      <c r="BB107" s="3" t="n">
        <v>52.91849768579515</v>
      </c>
      <c r="BC107" s="3" t="n">
        <v>53.52427166374897</v>
      </c>
      <c r="BD107" s="3" t="n">
        <v>52.20650187046205</v>
      </c>
      <c r="BE107" s="3" t="n">
        <v>51.79799306952842</v>
      </c>
      <c r="BF107" s="3" t="n">
        <v>52.06726861121162</v>
      </c>
      <c r="BG107" s="3" t="n">
        <v>52.24460598796129</v>
      </c>
      <c r="BH107" s="3" t="n">
        <v>52.5927816053671</v>
      </c>
      <c r="BI107" s="3" t="n">
        <v>52.3743258939453</v>
      </c>
      <c r="BJ107" s="3" t="n">
        <v>52.8654294395283</v>
      </c>
      <c r="BK107" s="3" t="n">
        <v>52.6041957630592</v>
      </c>
      <c r="BL107" s="3" t="n">
        <v>51.80317134437799</v>
      </c>
      <c r="BM107" s="3" t="n">
        <v>52.31623799706483</v>
      </c>
      <c r="BN107" s="3" t="n">
        <v>51.31520837840302</v>
      </c>
      <c r="BO107" s="3" t="n">
        <v>50.58913543157535</v>
      </c>
      <c r="BP107" s="3" t="n">
        <v>50.77684724241476</v>
      </c>
      <c r="BQ107" s="3" t="n">
        <v>52.92799560699177</v>
      </c>
      <c r="BR107" s="34" t="str">
        <f>B107&amp;"|"&amp;D107</f>
        <v>IBT|NE.CON.PRVT.ZS</v>
      </c>
    </row>
    <row r="108">
      <c r="A108" s="3" t="inlineStr">
        <is>
          <t>IDA total</t>
        </is>
      </c>
      <c r="B108" s="3" t="inlineStr">
        <is>
          <t>IDA</t>
        </is>
      </c>
      <c r="C108" s="3" t="inlineStr">
        <is>
          <t>Households and NPISHs final consumption expenditure (% of GDP)</t>
        </is>
      </c>
      <c r="D108" s="3" t="inlineStr">
        <is>
          <t>NE.CON.PRVT.ZS</t>
        </is>
      </c>
      <c r="E108" s="3" t="n">
        <v>2023</v>
      </c>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v>51.94868569250822</v>
      </c>
      <c r="AB108" s="3" t="n">
        <v>53.78319992901284</v>
      </c>
      <c r="AC108" s="3" t="n">
        <v>60.85396500431459</v>
      </c>
      <c r="AD108" s="3" t="n">
        <v>67.22033906312221</v>
      </c>
      <c r="AE108" s="3" t="n">
        <v>64.81594082770931</v>
      </c>
      <c r="AF108" s="3" t="n">
        <v>76.31144354061044</v>
      </c>
      <c r="AG108" s="3" t="n">
        <v>80.07016302022114</v>
      </c>
      <c r="AH108" s="3" t="n">
        <v>81.35521511059552</v>
      </c>
      <c r="AI108" s="3" t="n">
        <v>82.91717239974199</v>
      </c>
      <c r="AJ108" s="3" t="n">
        <v>85.38282233884765</v>
      </c>
      <c r="AK108" s="3" t="n">
        <v>85.06772219057231</v>
      </c>
      <c r="AL108" s="3" t="n">
        <v>84.65271927470825</v>
      </c>
      <c r="AM108" s="3" t="n">
        <v>87.64414989481949</v>
      </c>
      <c r="AN108" s="3" t="n">
        <v>80.57046766990142</v>
      </c>
      <c r="AO108" s="3" t="n">
        <v>71.66931856640836</v>
      </c>
      <c r="AP108" s="3" t="n">
        <v>65.59393147289228</v>
      </c>
      <c r="AQ108" s="3" t="n">
        <v>65.5493908048531</v>
      </c>
      <c r="AR108" s="3" t="n">
        <v>64.16348704982757</v>
      </c>
      <c r="AS108" s="3" t="n">
        <v>88.46461245536115</v>
      </c>
      <c r="AT108" s="3" t="n">
        <v>88.35141707926428</v>
      </c>
      <c r="AU108" s="3" t="n">
        <v>87.64422416473377</v>
      </c>
      <c r="AV108" s="3" t="n">
        <v>84.10469200699634</v>
      </c>
      <c r="AW108" s="3" t="n">
        <v>82.91403097491315</v>
      </c>
      <c r="AX108" s="3" t="n">
        <v>80.47752819775063</v>
      </c>
      <c r="AY108" s="3" t="n">
        <v>79.21240395829936</v>
      </c>
      <c r="AZ108" s="3" t="n">
        <v>75.37926755773847</v>
      </c>
      <c r="BA108" s="3" t="n">
        <v>75.46535489919253</v>
      </c>
      <c r="BB108" s="3" t="n">
        <v>75.49649011420284</v>
      </c>
      <c r="BC108" s="3" t="n">
        <v>77.90474280687498</v>
      </c>
      <c r="BD108" s="3" t="n">
        <v>73.8467017124818</v>
      </c>
      <c r="BE108" s="3" t="n">
        <v>74.68390670588532</v>
      </c>
      <c r="BF108" s="3" t="n">
        <v>75.70256372593805</v>
      </c>
      <c r="BG108" s="3" t="n">
        <v>73.80107087523923</v>
      </c>
      <c r="BH108" s="3" t="n">
        <v>72.99338868728424</v>
      </c>
      <c r="BI108" s="3" t="n">
        <v>77.11617190855726</v>
      </c>
      <c r="BJ108" s="3" t="n">
        <v>80.15227854531818</v>
      </c>
      <c r="BK108" s="3" t="n">
        <v>81.50918943627313</v>
      </c>
      <c r="BL108" s="3" t="n">
        <v>81.29311646909639</v>
      </c>
      <c r="BM108" s="3" t="n">
        <v>79.38519801873673</v>
      </c>
      <c r="BN108" s="3" t="n">
        <v>79.91553746858931</v>
      </c>
      <c r="BO108" s="3" t="n">
        <v>82.57371015580323</v>
      </c>
      <c r="BP108" s="3" t="n">
        <v>84.02389283248087</v>
      </c>
      <c r="BQ108" s="3" t="n">
        <v>86.90229305956869</v>
      </c>
      <c r="BR108" s="34" t="str">
        <f>B108&amp;"|"&amp;D108</f>
        <v>IDA|NE.CON.PRVT.ZS</v>
      </c>
    </row>
    <row r="109">
      <c r="A109" s="3" t="inlineStr">
        <is>
          <t>IDA blend</t>
        </is>
      </c>
      <c r="B109" s="3" t="inlineStr">
        <is>
          <t>IDB</t>
        </is>
      </c>
      <c r="C109" s="3" t="inlineStr">
        <is>
          <t>Households and NPISHs final consumption expenditure (% of GDP)</t>
        </is>
      </c>
      <c r="D109" s="3" t="inlineStr">
        <is>
          <t>NE.CON.PRVT.ZS</t>
        </is>
      </c>
      <c r="E109" s="3" t="inlineStr">
        <is>
          <t>0x2a</t>
        </is>
      </c>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3" t="n"/>
      <c r="AL109" s="3" t="n"/>
      <c r="AM109" s="3" t="n"/>
      <c r="AN109" s="3" t="n"/>
      <c r="AO109" s="3" t="n"/>
      <c r="AP109" s="3" t="n"/>
      <c r="AQ109" s="3" t="n"/>
      <c r="AR109" s="3" t="n"/>
      <c r="AS109" s="3" t="n"/>
      <c r="AT109" s="3" t="n"/>
      <c r="AU109" s="3" t="n"/>
      <c r="AV109" s="3" t="n"/>
      <c r="AW109" s="3" t="n"/>
      <c r="AX109" s="3" t="n"/>
      <c r="AY109" s="3" t="n"/>
      <c r="AZ109" s="3" t="n"/>
      <c r="BA109" s="3" t="n"/>
      <c r="BB109" s="3" t="n"/>
      <c r="BC109" s="3" t="n"/>
      <c r="BD109" s="3" t="n"/>
      <c r="BE109" s="3" t="n"/>
      <c r="BF109" s="3" t="n"/>
      <c r="BG109" s="3" t="n"/>
      <c r="BH109" s="3" t="n"/>
      <c r="BI109" s="3" t="n"/>
      <c r="BJ109" s="3" t="n"/>
      <c r="BK109" s="3" t="n"/>
      <c r="BL109" s="3" t="n"/>
      <c r="BM109" s="3" t="n"/>
      <c r="BN109" s="3" t="n"/>
      <c r="BO109" s="3" t="n"/>
      <c r="BP109" s="3" t="n"/>
      <c r="BQ109" s="3" t="n"/>
      <c r="BR109" s="34" t="str">
        <f>B109&amp;"|"&amp;D109</f>
        <v>IDB|NE.CON.PRVT.ZS</v>
      </c>
    </row>
    <row r="110">
      <c r="A110" s="3" t="inlineStr">
        <is>
          <t>Indonesia</t>
        </is>
      </c>
      <c r="B110" s="3" t="inlineStr">
        <is>
          <t>IDN</t>
        </is>
      </c>
      <c r="C110" s="3" t="inlineStr">
        <is>
          <t>Households and NPISHs final consumption expenditure (% of GDP)</t>
        </is>
      </c>
      <c r="D110" s="3" t="inlineStr">
        <is>
          <t>NE.CON.PRVT.ZS</t>
        </is>
      </c>
      <c r="E110" s="3" t="n">
        <v>2023</v>
      </c>
      <c r="F110" s="3" t="n">
        <v>79.80522808815992</v>
      </c>
      <c r="G110" s="3" t="n">
        <v>82.02510104233141</v>
      </c>
      <c r="H110" s="3" t="n">
        <v>88.38289266721594</v>
      </c>
      <c r="I110" s="3" t="n">
        <v>84.9694589877836</v>
      </c>
      <c r="J110" s="3" t="n">
        <v>81.60510268451672</v>
      </c>
      <c r="K110" s="3" t="n">
        <v>88.15900463939266</v>
      </c>
      <c r="L110" s="3" t="n">
        <v>96.01139601139602</v>
      </c>
      <c r="M110" s="3" t="n">
        <v>92.71054493984431</v>
      </c>
      <c r="N110" s="3" t="n">
        <v>88.443744932513</v>
      </c>
      <c r="O110" s="3" t="n">
        <v>86.82855040470935</v>
      </c>
      <c r="P110" s="3" t="n">
        <v>80.59880239520957</v>
      </c>
      <c r="Q110" s="3" t="n">
        <v>77.140522875817</v>
      </c>
      <c r="R110" s="3" t="n">
        <v>74.53111305872042</v>
      </c>
      <c r="S110" s="3" t="n">
        <v>70.93760180057453</v>
      </c>
      <c r="T110" s="3" t="n">
        <v>67.78670153156519</v>
      </c>
      <c r="U110" s="3" t="n">
        <v>69.1674906070793</v>
      </c>
      <c r="V110" s="3" t="n">
        <v>67.65373350488468</v>
      </c>
      <c r="W110" s="3" t="n">
        <v>65.53362054001167</v>
      </c>
      <c r="X110" s="3" t="n">
        <v>66.75679240305989</v>
      </c>
      <c r="Y110" s="3" t="n">
        <v>60.93194776646037</v>
      </c>
      <c r="Z110" s="3" t="n">
        <v>60.51815683331977</v>
      </c>
      <c r="AA110" s="3" t="n">
        <v>65.81894238066151</v>
      </c>
      <c r="AB110" s="3" t="n">
        <v>69.87838866660182</v>
      </c>
      <c r="AC110" s="3" t="n">
        <v>60.70659017389983</v>
      </c>
      <c r="AD110" s="3" t="n">
        <v>61.8749339496501</v>
      </c>
      <c r="AE110" s="3" t="n">
        <v>60.38948150775754</v>
      </c>
      <c r="AF110" s="3" t="n">
        <v>63.96628241597178</v>
      </c>
      <c r="AG110" s="3" t="n">
        <v>61.98695849680612</v>
      </c>
      <c r="AH110" s="3" t="n">
        <v>63.13812059831899</v>
      </c>
      <c r="AI110" s="3" t="n">
        <v>59.95405081924363</v>
      </c>
      <c r="AJ110" s="3" t="n">
        <v>63.48976365714847</v>
      </c>
      <c r="AK110" s="3" t="n">
        <v>64.22161862245011</v>
      </c>
      <c r="AL110" s="3" t="n">
        <v>62.83995390259904</v>
      </c>
      <c r="AM110" s="3" t="n">
        <v>58.51199511910819</v>
      </c>
      <c r="AN110" s="3" t="n">
        <v>59.68276883687575</v>
      </c>
      <c r="AO110" s="3" t="n">
        <v>61.57705558529427</v>
      </c>
      <c r="AP110" s="3" t="n">
        <v>62.35718255696925</v>
      </c>
      <c r="AQ110" s="3" t="n">
        <v>61.68126344002939</v>
      </c>
      <c r="AR110" s="3" t="n">
        <v>67.78145201665492</v>
      </c>
      <c r="AS110" s="3" t="n">
        <v>73.94379683188153</v>
      </c>
      <c r="AT110" s="3" t="n">
        <v>61.65037104343676</v>
      </c>
      <c r="AU110" s="3" t="n">
        <v>63.15016139005613</v>
      </c>
      <c r="AV110" s="3" t="n">
        <v>67.62223702782043</v>
      </c>
      <c r="AW110" s="3" t="n">
        <v>68.13801991642543</v>
      </c>
      <c r="AX110" s="3" t="n">
        <v>66.76848186504711</v>
      </c>
      <c r="AY110" s="3" t="n">
        <v>64.36249016006344</v>
      </c>
      <c r="AZ110" s="3" t="n">
        <v>62.66905670814785</v>
      </c>
      <c r="BA110" s="3" t="n">
        <v>63.5426895366344</v>
      </c>
      <c r="BB110" s="3" t="n">
        <v>60.62125272824603</v>
      </c>
      <c r="BC110" s="3" t="n">
        <v>58.70275630877651</v>
      </c>
      <c r="BD110" s="3" t="n">
        <v>56.2171757974798</v>
      </c>
      <c r="BE110" s="3" t="n">
        <v>55.4233565436278</v>
      </c>
      <c r="BF110" s="3" t="n">
        <v>56.38924648936138</v>
      </c>
      <c r="BG110" s="3" t="n">
        <v>56.82946235826986</v>
      </c>
      <c r="BH110" s="3" t="n">
        <v>57.13911658634419</v>
      </c>
      <c r="BI110" s="3" t="n">
        <v>57.45001789727952</v>
      </c>
      <c r="BJ110" s="3" t="n">
        <v>57.82680081409619</v>
      </c>
      <c r="BK110" s="3" t="n">
        <v>57.27557297442012</v>
      </c>
      <c r="BL110" s="3" t="n">
        <v>56.97989563208667</v>
      </c>
      <c r="BM110" s="3" t="n">
        <v>57.9304645760915</v>
      </c>
      <c r="BN110" s="3" t="n">
        <v>58.93389228318627</v>
      </c>
      <c r="BO110" s="3" t="n">
        <v>55.62881318525934</v>
      </c>
      <c r="BP110" s="3" t="n">
        <v>53.0461750807275</v>
      </c>
      <c r="BQ110" s="3" t="n">
        <v>54.42318759655333</v>
      </c>
      <c r="BR110" s="34" t="str">
        <f>B110&amp;"|"&amp;D110</f>
        <v>IDN|NE.CON.PRVT.ZS</v>
      </c>
    </row>
    <row r="111">
      <c r="A111" s="3" t="inlineStr">
        <is>
          <t>IDA only</t>
        </is>
      </c>
      <c r="B111" s="3" t="inlineStr">
        <is>
          <t>IDX</t>
        </is>
      </c>
      <c r="C111" s="3" t="inlineStr">
        <is>
          <t>Households and NPISHs final consumption expenditure (% of GDP)</t>
        </is>
      </c>
      <c r="D111" s="3" t="inlineStr">
        <is>
          <t>NE.CON.PRVT.ZS</t>
        </is>
      </c>
      <c r="E111" s="3" t="n">
        <v>2023</v>
      </c>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v>83.68301317770053</v>
      </c>
      <c r="AK111" s="3" t="n">
        <v>83.82232318236407</v>
      </c>
      <c r="AL111" s="3" t="n">
        <v>82.37263329685587</v>
      </c>
      <c r="AM111" s="3" t="n">
        <v>83.85107475849823</v>
      </c>
      <c r="AN111" s="3" t="n">
        <v>82.61101921918393</v>
      </c>
      <c r="AO111" s="3" t="n">
        <v>82.5784691886445</v>
      </c>
      <c r="AP111" s="3" t="n">
        <v>77.97833518379247</v>
      </c>
      <c r="AQ111" s="3" t="n">
        <v>78.15186143971088</v>
      </c>
      <c r="AR111" s="3" t="n">
        <v>79.97058794774283</v>
      </c>
      <c r="AS111" s="3" t="n">
        <v>79.32681769021288</v>
      </c>
      <c r="AT111" s="3" t="n">
        <v>78.68899188986421</v>
      </c>
      <c r="AU111" s="3" t="n">
        <v>77.58855984652695</v>
      </c>
      <c r="AV111" s="3" t="n">
        <v>77.31143992225215</v>
      </c>
      <c r="AW111" s="3" t="n">
        <v>75.56463451492348</v>
      </c>
      <c r="AX111" s="3" t="n">
        <v>73.99167423575011</v>
      </c>
      <c r="AY111" s="3" t="n">
        <v>74.43274282081649</v>
      </c>
      <c r="AZ111" s="3" t="n">
        <v>74.25320458461523</v>
      </c>
      <c r="BA111" s="3" t="n">
        <v>73.92166735900227</v>
      </c>
      <c r="BB111" s="3" t="n">
        <v>74.78062201452529</v>
      </c>
      <c r="BC111" s="3" t="n">
        <v>75.29495499960942</v>
      </c>
      <c r="BD111" s="3" t="n">
        <v>72.09229174227319</v>
      </c>
      <c r="BE111" s="3" t="n">
        <v>73.06009992680205</v>
      </c>
      <c r="BF111" s="3" t="n">
        <v>75.81379421090512</v>
      </c>
      <c r="BG111" s="3" t="n">
        <v>74.25670024589952</v>
      </c>
      <c r="BH111" s="3" t="n">
        <v>73.90173136490726</v>
      </c>
      <c r="BI111" s="3" t="n">
        <v>74.6364280378743</v>
      </c>
      <c r="BJ111" s="3" t="n">
        <v>73.08971584162479</v>
      </c>
      <c r="BK111" s="3" t="n">
        <v>72.11077629795035</v>
      </c>
      <c r="BL111" s="3" t="n">
        <v>72.72019406927551</v>
      </c>
      <c r="BM111" s="3" t="n">
        <v>72.39623983840745</v>
      </c>
      <c r="BN111" s="3" t="n">
        <v>72.06390852529107</v>
      </c>
      <c r="BO111" s="3" t="n">
        <v>73.65153117694906</v>
      </c>
      <c r="BP111" s="3" t="n">
        <v>75.00529870566875</v>
      </c>
      <c r="BQ111" s="3" t="n">
        <v>75.00539912842751</v>
      </c>
      <c r="BR111" s="34" t="str">
        <f>B111&amp;"|"&amp;D111</f>
        <v>IDX|NE.CON.PRVT.ZS</v>
      </c>
    </row>
    <row r="112">
      <c r="A112" s="3" t="inlineStr">
        <is>
          <t>Isle of Man</t>
        </is>
      </c>
      <c r="B112" s="3" t="inlineStr">
        <is>
          <t>IMN</t>
        </is>
      </c>
      <c r="C112" s="3" t="inlineStr">
        <is>
          <t>Households and NPISHs final consumption expenditure (% of GDP)</t>
        </is>
      </c>
      <c r="D112" s="3" t="inlineStr">
        <is>
          <t>NE.CON.PRVT.ZS</t>
        </is>
      </c>
      <c r="E112" s="3" t="inlineStr">
        <is>
          <t>0x2a</t>
        </is>
      </c>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c r="AL112" s="3" t="n"/>
      <c r="AM112" s="3" t="n"/>
      <c r="AN112" s="3" t="n"/>
      <c r="AO112" s="3" t="n"/>
      <c r="AP112" s="3" t="n"/>
      <c r="AQ112" s="3" t="n"/>
      <c r="AR112" s="3" t="n"/>
      <c r="AS112" s="3" t="n"/>
      <c r="AT112" s="3" t="n"/>
      <c r="AU112" s="3" t="n"/>
      <c r="AV112" s="3" t="n"/>
      <c r="AW112" s="3" t="n"/>
      <c r="AX112" s="3" t="n"/>
      <c r="AY112" s="3" t="n"/>
      <c r="AZ112" s="3" t="n"/>
      <c r="BA112" s="3" t="n"/>
      <c r="BB112" s="3" t="n"/>
      <c r="BC112" s="3" t="n"/>
      <c r="BD112" s="3" t="n"/>
      <c r="BE112" s="3" t="n"/>
      <c r="BF112" s="3" t="n"/>
      <c r="BG112" s="3" t="n"/>
      <c r="BH112" s="3" t="n"/>
      <c r="BI112" s="3" t="n"/>
      <c r="BJ112" s="3" t="n"/>
      <c r="BK112" s="3" t="n"/>
      <c r="BL112" s="3" t="n"/>
      <c r="BM112" s="3" t="n"/>
      <c r="BN112" s="3" t="n"/>
      <c r="BO112" s="3" t="n"/>
      <c r="BP112" s="3" t="n"/>
      <c r="BQ112" s="3" t="n"/>
      <c r="BR112" s="34" t="str">
        <f>B112&amp;"|"&amp;D112</f>
        <v>IMN|NE.CON.PRVT.ZS</v>
      </c>
    </row>
    <row r="113">
      <c r="A113" s="3" t="inlineStr">
        <is>
          <t>India</t>
        </is>
      </c>
      <c r="B113" s="3" t="inlineStr">
        <is>
          <t>IND</t>
        </is>
      </c>
      <c r="C113" s="3" t="inlineStr">
        <is>
          <t>Households and NPISHs final consumption expenditure (% of GDP)</t>
        </is>
      </c>
      <c r="D113" s="3" t="inlineStr">
        <is>
          <t>NE.CON.PRVT.ZS</t>
        </is>
      </c>
      <c r="E113" s="3" t="n">
        <v>2023</v>
      </c>
      <c r="F113" s="3" t="n">
        <v>87.38392282449638</v>
      </c>
      <c r="G113" s="3" t="n">
        <v>86.2450247837844</v>
      </c>
      <c r="H113" s="3" t="n">
        <v>84.52084963876058</v>
      </c>
      <c r="I113" s="3" t="n">
        <v>81.70467428782108</v>
      </c>
      <c r="J113" s="3" t="n">
        <v>82.46304222645959</v>
      </c>
      <c r="K113" s="3" t="n">
        <v>82.54756420567793</v>
      </c>
      <c r="L113" s="3" t="n">
        <v>84.92090268464811</v>
      </c>
      <c r="M113" s="3" t="n">
        <v>86.40982063911426</v>
      </c>
      <c r="N113" s="3" t="n">
        <v>81.64508490912145</v>
      </c>
      <c r="O113" s="3" t="n">
        <v>80.21595726952808</v>
      </c>
      <c r="P113" s="3" t="n">
        <v>79.68466792395786</v>
      </c>
      <c r="Q113" s="3" t="n">
        <v>80.27961382954601</v>
      </c>
      <c r="R113" s="3" t="n">
        <v>80.27293947836536</v>
      </c>
      <c r="S113" s="3" t="n">
        <v>79.50657858594325</v>
      </c>
      <c r="T113" s="3" t="n">
        <v>81.59789458994605</v>
      </c>
      <c r="U113" s="3" t="n">
        <v>77.73460259045088</v>
      </c>
      <c r="V113" s="3" t="n">
        <v>75.00950692597485</v>
      </c>
      <c r="W113" s="3" t="n">
        <v>76.2362666376865</v>
      </c>
      <c r="X113" s="3" t="n">
        <v>76.54872078835002</v>
      </c>
      <c r="Y113" s="3" t="n">
        <v>75.79681622104495</v>
      </c>
      <c r="Z113" s="3" t="n">
        <v>77.84614004805705</v>
      </c>
      <c r="AA113" s="3" t="n">
        <v>76.1424401198215</v>
      </c>
      <c r="AB113" s="3" t="n">
        <v>75.14686792254309</v>
      </c>
      <c r="AC113" s="3" t="n">
        <v>75.54472966593831</v>
      </c>
      <c r="AD113" s="3" t="n">
        <v>74.60461489647899</v>
      </c>
      <c r="AE113" s="3" t="n">
        <v>72.97891567380486</v>
      </c>
      <c r="AF113" s="3" t="n">
        <v>73.1591191769959</v>
      </c>
      <c r="AG113" s="3" t="n">
        <v>71.44960277634956</v>
      </c>
      <c r="AH113" s="3" t="n">
        <v>70.11952668436946</v>
      </c>
      <c r="AI113" s="3" t="n">
        <v>68.17139052921566</v>
      </c>
      <c r="AJ113" s="3" t="n">
        <v>67.07513358299347</v>
      </c>
      <c r="AK113" s="3" t="n">
        <v>67.01807390161046</v>
      </c>
      <c r="AL113" s="3" t="n">
        <v>65.74433865877981</v>
      </c>
      <c r="AM113" s="3" t="n">
        <v>65.45155698478604</v>
      </c>
      <c r="AN113" s="3" t="n">
        <v>64.84083990956775</v>
      </c>
      <c r="AO113" s="3" t="n">
        <v>63.70046087966521</v>
      </c>
      <c r="AP113" s="3" t="n">
        <v>64.55521816945534</v>
      </c>
      <c r="AQ113" s="3" t="n">
        <v>63.91183232307223</v>
      </c>
      <c r="AR113" s="3" t="n">
        <v>63.80873394438845</v>
      </c>
      <c r="AS113" s="3" t="n">
        <v>64.00948654073342</v>
      </c>
      <c r="AT113" s="3" t="n">
        <v>63.73898113770582</v>
      </c>
      <c r="AU113" s="3" t="n">
        <v>64.1468574278813</v>
      </c>
      <c r="AV113" s="3" t="n">
        <v>63.02964675649056</v>
      </c>
      <c r="AW113" s="3" t="n">
        <v>61.50375761168856</v>
      </c>
      <c r="AX113" s="3" t="n">
        <v>58.35154793954476</v>
      </c>
      <c r="AY113" s="3" t="n">
        <v>57.3787299354735</v>
      </c>
      <c r="AZ113" s="3" t="n">
        <v>56.10994540550173</v>
      </c>
      <c r="BA113" s="3" t="n">
        <v>55.76051107551952</v>
      </c>
      <c r="BB113" s="3" t="n">
        <v>56.67681598162255</v>
      </c>
      <c r="BC113" s="3" t="n">
        <v>55.95988846512937</v>
      </c>
      <c r="BD113" s="3" t="n">
        <v>54.72485776198005</v>
      </c>
      <c r="BE113" s="3" t="n">
        <v>56.20721858436553</v>
      </c>
      <c r="BF113" s="3" t="n">
        <v>56.46095378932291</v>
      </c>
      <c r="BG113" s="3" t="n">
        <v>57.645766090844</v>
      </c>
      <c r="BH113" s="3" t="n">
        <v>58.12771710128891</v>
      </c>
      <c r="BI113" s="3" t="n">
        <v>59.00728107782241</v>
      </c>
      <c r="BJ113" s="3" t="n">
        <v>59.29528123279403</v>
      </c>
      <c r="BK113" s="3" t="n">
        <v>58.72514967625789</v>
      </c>
      <c r="BL113" s="3" t="n">
        <v>59.28832281240356</v>
      </c>
      <c r="BM113" s="3" t="n">
        <v>60.91128763803603</v>
      </c>
      <c r="BN113" s="3" t="n">
        <v>61.0981287103198</v>
      </c>
      <c r="BO113" s="3" t="n">
        <v>60.9503796335723</v>
      </c>
      <c r="BP113" s="3" t="n">
        <v>60.93785234530379</v>
      </c>
      <c r="BQ113" s="3" t="n">
        <v>60.34103557807477</v>
      </c>
      <c r="BR113" s="34" t="str">
        <f>B113&amp;"|"&amp;D113</f>
        <v>IND|NE.CON.PRVT.ZS</v>
      </c>
    </row>
    <row r="114">
      <c r="A114" s="3" t="inlineStr">
        <is>
          <t>Not classified</t>
        </is>
      </c>
      <c r="B114" s="3" t="inlineStr">
        <is>
          <t>INX</t>
        </is>
      </c>
      <c r="C114" s="3" t="inlineStr">
        <is>
          <t>Households and NPISHs final consumption expenditure (% of GDP)</t>
        </is>
      </c>
      <c r="D114" s="3" t="inlineStr">
        <is>
          <t>NE.CON.PRVT.ZS</t>
        </is>
      </c>
      <c r="E114" s="3" t="inlineStr">
        <is>
          <t>0x2a</t>
        </is>
      </c>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3" t="n"/>
      <c r="AL114" s="3" t="n"/>
      <c r="AM114" s="3" t="n"/>
      <c r="AN114" s="3" t="n"/>
      <c r="AO114" s="3" t="n"/>
      <c r="AP114" s="3" t="n"/>
      <c r="AQ114" s="3" t="n"/>
      <c r="AR114" s="3" t="n"/>
      <c r="AS114" s="3" t="n"/>
      <c r="AT114" s="3" t="n"/>
      <c r="AU114" s="3" t="n"/>
      <c r="AV114" s="3" t="n"/>
      <c r="AW114" s="3" t="n"/>
      <c r="AX114" s="3" t="n"/>
      <c r="AY114" s="3" t="n"/>
      <c r="AZ114" s="3" t="n"/>
      <c r="BA114" s="3" t="n"/>
      <c r="BB114" s="3" t="n"/>
      <c r="BC114" s="3" t="n"/>
      <c r="BD114" s="3" t="n"/>
      <c r="BE114" s="3" t="n"/>
      <c r="BF114" s="3" t="n"/>
      <c r="BG114" s="3" t="n"/>
      <c r="BH114" s="3" t="n"/>
      <c r="BI114" s="3" t="n"/>
      <c r="BJ114" s="3" t="n"/>
      <c r="BK114" s="3" t="n"/>
      <c r="BL114" s="3" t="n"/>
      <c r="BM114" s="3" t="n"/>
      <c r="BN114" s="3" t="n"/>
      <c r="BO114" s="3" t="n"/>
      <c r="BP114" s="3" t="n"/>
      <c r="BQ114" s="3" t="n"/>
      <c r="BR114" s="34" t="str">
        <f>B114&amp;"|"&amp;D114</f>
        <v>INX|NE.CON.PRVT.ZS</v>
      </c>
    </row>
    <row r="115">
      <c r="A115" s="3" t="inlineStr">
        <is>
          <t>Ireland</t>
        </is>
      </c>
      <c r="B115" s="3" t="inlineStr">
        <is>
          <t>IRL</t>
        </is>
      </c>
      <c r="C115" s="3" t="inlineStr">
        <is>
          <t>Households and NPISHs final consumption expenditure (% of GDP)</t>
        </is>
      </c>
      <c r="D115" s="3" t="inlineStr">
        <is>
          <t>NE.CON.PRVT.ZS</t>
        </is>
      </c>
      <c r="E115" s="3" t="n">
        <v>2023</v>
      </c>
      <c r="F115" s="3" t="n"/>
      <c r="G115" s="3" t="n"/>
      <c r="H115" s="3" t="n"/>
      <c r="I115" s="3" t="n"/>
      <c r="J115" s="3" t="n"/>
      <c r="K115" s="3" t="n"/>
      <c r="L115" s="3" t="n"/>
      <c r="M115" s="3" t="n"/>
      <c r="N115" s="3" t="n"/>
      <c r="O115" s="3" t="n"/>
      <c r="P115" s="3" t="n">
        <v>69.70219538840743</v>
      </c>
      <c r="Q115" s="3" t="n">
        <v>68.85455482476007</v>
      </c>
      <c r="R115" s="3" t="n">
        <v>65.74953099247782</v>
      </c>
      <c r="S115" s="3" t="n">
        <v>65.12175911645981</v>
      </c>
      <c r="T115" s="3" t="n">
        <v>69.24487937725952</v>
      </c>
      <c r="U115" s="3" t="n">
        <v>64.89755324773233</v>
      </c>
      <c r="V115" s="3" t="n">
        <v>65.28448101384066</v>
      </c>
      <c r="W115" s="3" t="n">
        <v>64.90773256899675</v>
      </c>
      <c r="X115" s="3" t="n">
        <v>64.53217109490681</v>
      </c>
      <c r="Y115" s="3" t="n">
        <v>66.08759194091849</v>
      </c>
      <c r="Z115" s="3" t="n">
        <v>66.56625241851467</v>
      </c>
      <c r="AA115" s="3" t="n">
        <v>66.72473477640773</v>
      </c>
      <c r="AB115" s="3" t="n">
        <v>60.50127024106732</v>
      </c>
      <c r="AC115" s="3" t="n">
        <v>60.34804894698136</v>
      </c>
      <c r="AD115" s="3" t="n">
        <v>59.53004229452915</v>
      </c>
      <c r="AE115" s="3" t="n">
        <v>60.28128848907187</v>
      </c>
      <c r="AF115" s="3" t="n">
        <v>60.61453614993428</v>
      </c>
      <c r="AG115" s="3" t="n">
        <v>59.96937514791666</v>
      </c>
      <c r="AH115" s="3" t="n">
        <v>59.89349602996267</v>
      </c>
      <c r="AI115" s="3" t="n">
        <v>59.46218540558888</v>
      </c>
      <c r="AJ115" s="3" t="n">
        <v>57.16298406311287</v>
      </c>
      <c r="AK115" s="3" t="n">
        <v>57.58544871651251</v>
      </c>
      <c r="AL115" s="3" t="n">
        <v>57.41309577625135</v>
      </c>
      <c r="AM115" s="3" t="n">
        <v>55.88354242861633</v>
      </c>
      <c r="AN115" s="3" t="n">
        <v>55.69153008164262</v>
      </c>
      <c r="AO115" s="3" t="n">
        <v>52.4087095502928</v>
      </c>
      <c r="AP115" s="3" t="n">
        <v>52.73188934255829</v>
      </c>
      <c r="AQ115" s="3" t="n">
        <v>50.19493094950055</v>
      </c>
      <c r="AR115" s="3" t="n">
        <v>48.56981057036175</v>
      </c>
      <c r="AS115" s="3" t="n">
        <v>47.45195703005329</v>
      </c>
      <c r="AT115" s="3" t="n">
        <v>46.92342540329101</v>
      </c>
      <c r="AU115" s="3" t="n">
        <v>45.57274750667082</v>
      </c>
      <c r="AV115" s="3" t="n">
        <v>44.56126945612849</v>
      </c>
      <c r="AW115" s="3" t="n">
        <v>44.4646578225959</v>
      </c>
      <c r="AX115" s="3" t="n">
        <v>43.76506620048792</v>
      </c>
      <c r="AY115" s="3" t="n">
        <v>43.63464246414404</v>
      </c>
      <c r="AZ115" s="3" t="n">
        <v>43.81941882736607</v>
      </c>
      <c r="BA115" s="3" t="n">
        <v>45.19010146050277</v>
      </c>
      <c r="BB115" s="3" t="n">
        <v>48.38157346094813</v>
      </c>
      <c r="BC115" s="3" t="n">
        <v>47.27559089248813</v>
      </c>
      <c r="BD115" s="3" t="n">
        <v>47.41900709662529</v>
      </c>
      <c r="BE115" s="3" t="n">
        <v>46.00162139627097</v>
      </c>
      <c r="BF115" s="3" t="n">
        <v>45.30111264519587</v>
      </c>
      <c r="BG115" s="3" t="n">
        <v>44.98733409343517</v>
      </c>
      <c r="BH115" s="3" t="n">
        <v>42.74142630550398</v>
      </c>
      <c r="BI115" s="3" t="n">
        <v>32.90281938496381</v>
      </c>
      <c r="BJ115" s="3" t="n">
        <v>33.8473467997979</v>
      </c>
      <c r="BK115" s="3" t="n">
        <v>31.83231879024244</v>
      </c>
      <c r="BL115" s="3" t="n">
        <v>30.68365131362175</v>
      </c>
      <c r="BM115" s="3" t="n">
        <v>29.40803561736756</v>
      </c>
      <c r="BN115" s="3" t="n">
        <v>25.09260075308585</v>
      </c>
      <c r="BO115" s="3" t="n">
        <v>24.44699255009115</v>
      </c>
      <c r="BP115" s="3" t="n">
        <v>24.51853932537997</v>
      </c>
      <c r="BQ115" s="3" t="n">
        <v>27.0484148755984</v>
      </c>
      <c r="BR115" s="34" t="str">
        <f>B115&amp;"|"&amp;D115</f>
        <v>IRL|NE.CON.PRVT.ZS</v>
      </c>
    </row>
    <row r="116">
      <c r="A116" s="3" t="inlineStr">
        <is>
          <t>Iran, Islamic Rep.</t>
        </is>
      </c>
      <c r="B116" s="3" t="inlineStr">
        <is>
          <t>IRN</t>
        </is>
      </c>
      <c r="C116" s="3" t="inlineStr">
        <is>
          <t>Households and NPISHs final consumption expenditure (% of GDP)</t>
        </is>
      </c>
      <c r="D116" s="3" t="inlineStr">
        <is>
          <t>NE.CON.PRVT.ZS</t>
        </is>
      </c>
      <c r="E116" s="3" t="n">
        <v>2023</v>
      </c>
      <c r="F116" s="3" t="n">
        <v>81.84181675401454</v>
      </c>
      <c r="G116" s="3" t="n">
        <v>79.83407189797013</v>
      </c>
      <c r="H116" s="3" t="n">
        <v>77.93628491329757</v>
      </c>
      <c r="I116" s="3" t="n">
        <v>75.93292232794754</v>
      </c>
      <c r="J116" s="3" t="n">
        <v>70.34925401062235</v>
      </c>
      <c r="K116" s="3" t="n">
        <v>64.12430211645594</v>
      </c>
      <c r="L116" s="3" t="n">
        <v>63.54608983708408</v>
      </c>
      <c r="M116" s="3" t="n">
        <v>63.29503680150673</v>
      </c>
      <c r="N116" s="3" t="n">
        <v>56.72388127150314</v>
      </c>
      <c r="O116" s="3" t="n">
        <v>57.94582317271614</v>
      </c>
      <c r="P116" s="3" t="n">
        <v>57.72425246375118</v>
      </c>
      <c r="Q116" s="3" t="n">
        <v>55.85458534655476</v>
      </c>
      <c r="R116" s="3" t="n">
        <v>50.83385051585423</v>
      </c>
      <c r="S116" s="3" t="n">
        <v>44.46741331536698</v>
      </c>
      <c r="T116" s="3" t="n">
        <v>36.74698276454762</v>
      </c>
      <c r="U116" s="3" t="n">
        <v>45.53727628292118</v>
      </c>
      <c r="V116" s="3" t="n">
        <v>37.870085448355</v>
      </c>
      <c r="W116" s="3" t="n">
        <v>42.13220790985923</v>
      </c>
      <c r="X116" s="3" t="n">
        <v>50.22860611800569</v>
      </c>
      <c r="Y116" s="3" t="n">
        <v>52.41649137616886</v>
      </c>
      <c r="Z116" s="3" t="n">
        <v>57.67569283407099</v>
      </c>
      <c r="AA116" s="3" t="n">
        <v>64.08724189534746</v>
      </c>
      <c r="AB116" s="3" t="n">
        <v>61.87682440746157</v>
      </c>
      <c r="AC116" s="3" t="n">
        <v>62.55738397737093</v>
      </c>
      <c r="AD116" s="3" t="n">
        <v>65.61797814649979</v>
      </c>
      <c r="AE116" s="3" t="n">
        <v>67.01484226647972</v>
      </c>
      <c r="AF116" s="3" t="n">
        <v>71.71862290389352</v>
      </c>
      <c r="AG116" s="3" t="n">
        <v>68.92329966987559</v>
      </c>
      <c r="AH116" s="3" t="n">
        <v>75.07512346974394</v>
      </c>
      <c r="AI116" s="3" t="n">
        <v>71.54117255803951</v>
      </c>
      <c r="AJ116" s="3" t="n">
        <v>67.87553562120051</v>
      </c>
      <c r="AK116" s="3" t="n">
        <v>62.40622076569113</v>
      </c>
      <c r="AL116" s="3" t="n">
        <v>61.25888393119847</v>
      </c>
      <c r="AM116" s="3" t="n">
        <v>52.42815267572482</v>
      </c>
      <c r="AN116" s="3" t="n">
        <v>51.3732191762798</v>
      </c>
      <c r="AO116" s="3" t="n">
        <v>50.03272275940974</v>
      </c>
      <c r="AP116" s="3" t="n">
        <v>47.3850050719417</v>
      </c>
      <c r="AQ116" s="3" t="n">
        <v>52.40022189086011</v>
      </c>
      <c r="AR116" s="3" t="n">
        <v>57.92447325337535</v>
      </c>
      <c r="AS116" s="3" t="n">
        <v>52.07258249318626</v>
      </c>
      <c r="AT116" s="3" t="n">
        <v>49.72716688843602</v>
      </c>
      <c r="AU116" s="3" t="n">
        <v>50.22078515115646</v>
      </c>
      <c r="AV116" s="3" t="n">
        <v>46.59456634426451</v>
      </c>
      <c r="AW116" s="3" t="n">
        <v>44.4422978366207</v>
      </c>
      <c r="AX116" s="3" t="n">
        <v>42.67812678081056</v>
      </c>
      <c r="AY116" s="3" t="n">
        <v>41.2033637241402</v>
      </c>
      <c r="AZ116" s="3" t="n">
        <v>41.43660015976371</v>
      </c>
      <c r="BA116" s="3" t="n">
        <v>41.42524054054644</v>
      </c>
      <c r="BB116" s="3" t="n">
        <v>41.66039775468371</v>
      </c>
      <c r="BC116" s="3" t="n">
        <v>44.49558363147254</v>
      </c>
      <c r="BD116" s="3" t="n">
        <v>42.92200845375871</v>
      </c>
      <c r="BE116" s="3" t="n">
        <v>42.27294580661331</v>
      </c>
      <c r="BF116" s="3" t="n">
        <v>47.80559932951468</v>
      </c>
      <c r="BG116" s="3" t="n">
        <v>46.84665122169468</v>
      </c>
      <c r="BH116" s="3" t="n">
        <v>47.34892940742705</v>
      </c>
      <c r="BI116" s="3" t="n">
        <v>53.42159098363353</v>
      </c>
      <c r="BJ116" s="3" t="n">
        <v>51.03832199218722</v>
      </c>
      <c r="BK116" s="3" t="n">
        <v>48.91613272059056</v>
      </c>
      <c r="BL116" s="3" t="n">
        <v>48.02319384130851</v>
      </c>
      <c r="BM116" s="3" t="n">
        <v>49.07656738177605</v>
      </c>
      <c r="BN116" s="3" t="n">
        <v>46.26938038078013</v>
      </c>
      <c r="BO116" s="3" t="n">
        <v>43.14413692399066</v>
      </c>
      <c r="BP116" s="3" t="n">
        <v>45.28053109785024</v>
      </c>
      <c r="BQ116" s="3" t="n">
        <v>47.21367134176788</v>
      </c>
      <c r="BR116" s="34" t="str">
        <f>B116&amp;"|"&amp;D116</f>
        <v>IRN|NE.CON.PRVT.ZS</v>
      </c>
    </row>
    <row r="117">
      <c r="A117" s="3" t="inlineStr">
        <is>
          <t>Iraq</t>
        </is>
      </c>
      <c r="B117" s="3" t="inlineStr">
        <is>
          <t>IRQ</t>
        </is>
      </c>
      <c r="C117" s="3" t="inlineStr">
        <is>
          <t>Households and NPISHs final consumption expenditure (% of GDP)</t>
        </is>
      </c>
      <c r="D117" s="3" t="inlineStr">
        <is>
          <t>NE.CON.PRVT.ZS</t>
        </is>
      </c>
      <c r="E117" s="3" t="n">
        <v>2021</v>
      </c>
      <c r="F117" s="3" t="n"/>
      <c r="G117" s="3" t="n"/>
      <c r="H117" s="3" t="n"/>
      <c r="I117" s="3" t="n"/>
      <c r="J117" s="3" t="n"/>
      <c r="K117" s="3" t="n"/>
      <c r="L117" s="3" t="n"/>
      <c r="M117" s="3" t="n"/>
      <c r="N117" s="3" t="n"/>
      <c r="O117" s="3" t="n"/>
      <c r="P117" s="3" t="n">
        <v>49.29601501834627</v>
      </c>
      <c r="Q117" s="3" t="n">
        <v>47.05064402810339</v>
      </c>
      <c r="R117" s="3" t="n">
        <v>45.49105512960968</v>
      </c>
      <c r="S117" s="3" t="n">
        <v>32.77391975308663</v>
      </c>
      <c r="T117" s="3" t="n">
        <v>20.50633655797001</v>
      </c>
      <c r="U117" s="3" t="n">
        <v>36.23782804519053</v>
      </c>
      <c r="V117" s="3" t="n">
        <v>34.0396719435439</v>
      </c>
      <c r="W117" s="3" t="n">
        <v>43.94182513400035</v>
      </c>
      <c r="X117" s="3" t="n">
        <v>37.46472851646018</v>
      </c>
      <c r="Y117" s="3" t="n">
        <v>26.61186331399097</v>
      </c>
      <c r="Z117" s="3" t="n">
        <v>22.8391891292081</v>
      </c>
      <c r="AA117" s="3" t="n">
        <v>36.62850646432098</v>
      </c>
      <c r="AB117" s="3" t="n">
        <v>47.46946447812412</v>
      </c>
      <c r="AC117" s="3" t="n">
        <v>54.26194437841735</v>
      </c>
      <c r="AD117" s="3" t="n">
        <v>53.7093925461659</v>
      </c>
      <c r="AE117" s="3" t="n">
        <v>53.94889353708452</v>
      </c>
      <c r="AF117" s="3" t="n">
        <v>57.3143598143602</v>
      </c>
      <c r="AG117" s="3" t="n">
        <v>52.29772727272757</v>
      </c>
      <c r="AH117" s="3" t="n">
        <v>51.98279144924432</v>
      </c>
      <c r="AI117" s="3" t="n">
        <v>78.3265304122427</v>
      </c>
      <c r="AJ117" s="3" t="n">
        <v>45.22900592742276</v>
      </c>
      <c r="AK117" s="3" t="n">
        <v>94.28690555832996</v>
      </c>
      <c r="AL117" s="3" t="n">
        <v>55.025697516428</v>
      </c>
      <c r="AM117" s="3" t="n">
        <v>31.162743990382</v>
      </c>
      <c r="AN117" s="3" t="n">
        <v>33.99561171875876</v>
      </c>
      <c r="AO117" s="3" t="n">
        <v>41.58520067312845</v>
      </c>
      <c r="AP117" s="3" t="n">
        <v>36.83108399688253</v>
      </c>
      <c r="AQ117" s="3" t="n">
        <v>30.72806434497676</v>
      </c>
      <c r="AR117" s="3" t="n">
        <v>31.83401580564115</v>
      </c>
      <c r="AS117" s="3" t="n">
        <v>18.27406191233809</v>
      </c>
      <c r="AT117" s="3" t="n">
        <v>13.5404720495412</v>
      </c>
      <c r="AU117" s="3" t="n">
        <v>19.66297191268015</v>
      </c>
      <c r="AV117" s="3" t="n">
        <v>24.27088370100082</v>
      </c>
      <c r="AW117" s="3" t="n">
        <v>46.02378927293491</v>
      </c>
      <c r="AX117" s="3" t="n">
        <v>36.7026229880555</v>
      </c>
      <c r="AY117" s="3" t="n">
        <v>37.52466970928307</v>
      </c>
      <c r="AZ117" s="3" t="n">
        <v>37.16612629105022</v>
      </c>
      <c r="BA117" s="3" t="n">
        <v>38.547126425619</v>
      </c>
      <c r="BB117" s="3" t="n">
        <v>31.26318981689343</v>
      </c>
      <c r="BC117" s="3" t="n">
        <v>52.24626539384747</v>
      </c>
      <c r="BD117" s="3" t="n">
        <v>44.4429809673602</v>
      </c>
      <c r="BE117" s="3" t="n">
        <v>35.09012180410588</v>
      </c>
      <c r="BF117" s="3" t="n">
        <v>39.84634476309814</v>
      </c>
      <c r="BG117" s="3" t="n">
        <v>38.63361232475358</v>
      </c>
      <c r="BH117" s="3" t="n">
        <v>42.06630026570857</v>
      </c>
      <c r="BI117" s="3" t="n">
        <v>55.679054762146</v>
      </c>
      <c r="BJ117" s="3" t="n">
        <v>56.83304415285919</v>
      </c>
      <c r="BK117" s="3" t="n">
        <v>51.45513072692914</v>
      </c>
      <c r="BL117" s="3" t="n">
        <v>43.5380775467623</v>
      </c>
      <c r="BM117" s="3" t="n">
        <v>42.96722821305562</v>
      </c>
      <c r="BN117" s="3" t="n">
        <v>52.29465811464176</v>
      </c>
      <c r="BO117" s="3" t="n">
        <v>40.34338598308709</v>
      </c>
      <c r="BP117" s="3" t="n"/>
      <c r="BQ117" s="3" t="n"/>
      <c r="BR117" s="34" t="str">
        <f>B117&amp;"|"&amp;D117</f>
        <v>IRQ|NE.CON.PRVT.ZS</v>
      </c>
    </row>
    <row r="118">
      <c r="A118" s="3" t="inlineStr">
        <is>
          <t>Iceland</t>
        </is>
      </c>
      <c r="B118" s="3" t="inlineStr">
        <is>
          <t>ISL</t>
        </is>
      </c>
      <c r="C118" s="3" t="inlineStr">
        <is>
          <t>Households and NPISHs final consumption expenditure (% of GDP)</t>
        </is>
      </c>
      <c r="D118" s="3" t="inlineStr">
        <is>
          <t>NE.CON.PRVT.ZS</t>
        </is>
      </c>
      <c r="E118" s="3" t="n">
        <v>2023</v>
      </c>
      <c r="F118" s="3" t="n"/>
      <c r="G118" s="3" t="n"/>
      <c r="H118" s="3" t="n"/>
      <c r="I118" s="3" t="n"/>
      <c r="J118" s="3" t="n"/>
      <c r="K118" s="3" t="n"/>
      <c r="L118" s="3" t="n"/>
      <c r="M118" s="3" t="n"/>
      <c r="N118" s="3" t="n"/>
      <c r="O118" s="3" t="n"/>
      <c r="P118" s="3" t="n">
        <v>60.00474649406689</v>
      </c>
      <c r="Q118" s="3" t="n">
        <v>59.65165702814922</v>
      </c>
      <c r="R118" s="3" t="n">
        <v>58.43117516803247</v>
      </c>
      <c r="S118" s="3" t="n">
        <v>55.28483023016884</v>
      </c>
      <c r="T118" s="3" t="n">
        <v>57.62499892699115</v>
      </c>
      <c r="U118" s="3" t="n">
        <v>56.72085265822129</v>
      </c>
      <c r="V118" s="3" t="n">
        <v>55.21570167036738</v>
      </c>
      <c r="W118" s="3" t="n">
        <v>55.06504689596823</v>
      </c>
      <c r="X118" s="3" t="n">
        <v>55.45142802767536</v>
      </c>
      <c r="Y118" s="3" t="n">
        <v>56.45958956038298</v>
      </c>
      <c r="Z118" s="3" t="n">
        <v>56.31410732753006</v>
      </c>
      <c r="AA118" s="3" t="n">
        <v>57.77150681246562</v>
      </c>
      <c r="AB118" s="3" t="n">
        <v>58.85683739616547</v>
      </c>
      <c r="AC118" s="3" t="n">
        <v>58.89770332082927</v>
      </c>
      <c r="AD118" s="3" t="n">
        <v>60.52547638344442</v>
      </c>
      <c r="AE118" s="3" t="n">
        <v>61.78123487469639</v>
      </c>
      <c r="AF118" s="3" t="n">
        <v>59.96966856279767</v>
      </c>
      <c r="AG118" s="3" t="n">
        <v>61.79080154569851</v>
      </c>
      <c r="AH118" s="3" t="n">
        <v>60.39686598930457</v>
      </c>
      <c r="AI118" s="3" t="n">
        <v>59.87350073200663</v>
      </c>
      <c r="AJ118" s="3" t="n">
        <v>58.8881941529352</v>
      </c>
      <c r="AK118" s="3" t="n">
        <v>59.7186783366252</v>
      </c>
      <c r="AL118" s="3" t="n">
        <v>59.86745748120123</v>
      </c>
      <c r="AM118" s="3" t="n">
        <v>57.35879996254294</v>
      </c>
      <c r="AN118" s="3" t="n">
        <v>56.41137684650565</v>
      </c>
      <c r="AO118" s="3" t="n">
        <v>57.11377574213638</v>
      </c>
      <c r="AP118" s="3" t="n">
        <v>57.59070067022518</v>
      </c>
      <c r="AQ118" s="3" t="n">
        <v>56.97245592674768</v>
      </c>
      <c r="AR118" s="3" t="n">
        <v>57.22300540573564</v>
      </c>
      <c r="AS118" s="3" t="n">
        <v>58.85537686672958</v>
      </c>
      <c r="AT118" s="3" t="n">
        <v>59.23031288705472</v>
      </c>
      <c r="AU118" s="3" t="n">
        <v>55.00034953029969</v>
      </c>
      <c r="AV118" s="3" t="n">
        <v>54.07286870648262</v>
      </c>
      <c r="AW118" s="3" t="n">
        <v>56.40821295787678</v>
      </c>
      <c r="AX118" s="3" t="n">
        <v>56.47064196088781</v>
      </c>
      <c r="AY118" s="3" t="n">
        <v>58.40725869346174</v>
      </c>
      <c r="AZ118" s="3" t="n">
        <v>56.34623489014653</v>
      </c>
      <c r="BA118" s="3" t="n">
        <v>55.61114813692593</v>
      </c>
      <c r="BB118" s="3" t="n">
        <v>51.80422445949812</v>
      </c>
      <c r="BC118" s="3" t="n">
        <v>51.32824690533297</v>
      </c>
      <c r="BD118" s="3" t="n">
        <v>51.42376021471532</v>
      </c>
      <c r="BE118" s="3" t="n">
        <v>51.85887834760607</v>
      </c>
      <c r="BF118" s="3" t="n">
        <v>53.46134392970582</v>
      </c>
      <c r="BG118" s="3" t="n">
        <v>52.474272074468</v>
      </c>
      <c r="BH118" s="3" t="n">
        <v>52.2798323365547</v>
      </c>
      <c r="BI118" s="3" t="n">
        <v>49.6837817037925</v>
      </c>
      <c r="BJ118" s="3" t="n">
        <v>49.27131154298269</v>
      </c>
      <c r="BK118" s="3" t="n">
        <v>50.0957638673483</v>
      </c>
      <c r="BL118" s="3" t="n">
        <v>50.28676174415191</v>
      </c>
      <c r="BM118" s="3" t="n">
        <v>50.17523173895283</v>
      </c>
      <c r="BN118" s="3" t="n">
        <v>51.95880680798073</v>
      </c>
      <c r="BO118" s="3" t="n">
        <v>51.49572391104633</v>
      </c>
      <c r="BP118" s="3" t="n">
        <v>50.27075494421857</v>
      </c>
      <c r="BQ118" s="3" t="n">
        <v>49.99321493696043</v>
      </c>
      <c r="BR118" s="34" t="str">
        <f>B118&amp;"|"&amp;D118</f>
        <v>ISL|NE.CON.PRVT.ZS</v>
      </c>
    </row>
    <row r="119">
      <c r="A119" s="3" t="inlineStr">
        <is>
          <t>Israel</t>
        </is>
      </c>
      <c r="B119" s="3" t="inlineStr">
        <is>
          <t>ISR</t>
        </is>
      </c>
      <c r="C119" s="3" t="inlineStr">
        <is>
          <t>Households and NPISHs final consumption expenditure (% of GDP)</t>
        </is>
      </c>
      <c r="D119" s="3" t="inlineStr">
        <is>
          <t>NE.CON.PRVT.ZS</t>
        </is>
      </c>
      <c r="E119" s="3" t="n">
        <v>2023</v>
      </c>
      <c r="F119" s="3" t="n"/>
      <c r="G119" s="3" t="n"/>
      <c r="H119" s="3" t="n"/>
      <c r="I119" s="3" t="n"/>
      <c r="J119" s="3" t="n"/>
      <c r="K119" s="3" t="n"/>
      <c r="L119" s="3" t="n"/>
      <c r="M119" s="3" t="n"/>
      <c r="N119" s="3" t="n"/>
      <c r="O119" s="3" t="n"/>
      <c r="P119" s="3" t="n">
        <v>50.6046445360787</v>
      </c>
      <c r="Q119" s="3" t="n">
        <v>46.9886401383189</v>
      </c>
      <c r="R119" s="3" t="n">
        <v>45.67106552988846</v>
      </c>
      <c r="S119" s="3" t="n">
        <v>45.96224078424156</v>
      </c>
      <c r="T119" s="3" t="n">
        <v>47.53989913987595</v>
      </c>
      <c r="U119" s="3" t="n">
        <v>47.55968320337939</v>
      </c>
      <c r="V119" s="3" t="n">
        <v>48.77116897273295</v>
      </c>
      <c r="W119" s="3" t="n">
        <v>48.35464022704743</v>
      </c>
      <c r="X119" s="3" t="n">
        <v>48.83525986406642</v>
      </c>
      <c r="Y119" s="3" t="n">
        <v>49.34674281677293</v>
      </c>
      <c r="Z119" s="3" t="n">
        <v>47.00640934247627</v>
      </c>
      <c r="AA119" s="3" t="n">
        <v>48.52988844428847</v>
      </c>
      <c r="AB119" s="3" t="n">
        <v>49.92245415646438</v>
      </c>
      <c r="AC119" s="3" t="n">
        <v>51.28185969388268</v>
      </c>
      <c r="AD119" s="3" t="n">
        <v>47.91739963370257</v>
      </c>
      <c r="AE119" s="3" t="n">
        <v>50.46935588140082</v>
      </c>
      <c r="AF119" s="3" t="n">
        <v>54.38217122855652</v>
      </c>
      <c r="AG119" s="3" t="n">
        <v>55.2888628123677</v>
      </c>
      <c r="AH119" s="3" t="n">
        <v>54.907191582897</v>
      </c>
      <c r="AI119" s="3" t="n">
        <v>55.32442467594254</v>
      </c>
      <c r="AJ119" s="3" t="n">
        <v>54.19839814871516</v>
      </c>
      <c r="AK119" s="3" t="n">
        <v>52.70143442450282</v>
      </c>
      <c r="AL119" s="3" t="n">
        <v>52.26738253054021</v>
      </c>
      <c r="AM119" s="3" t="n">
        <v>53.60260009577621</v>
      </c>
      <c r="AN119" s="3" t="n">
        <v>54.11299044308458</v>
      </c>
      <c r="AO119" s="3" t="n">
        <v>52.96719169363428</v>
      </c>
      <c r="AP119" s="3" t="n">
        <v>52.04014653460175</v>
      </c>
      <c r="AQ119" s="3" t="n">
        <v>51.31555097826932</v>
      </c>
      <c r="AR119" s="3" t="n">
        <v>51.46249621866231</v>
      </c>
      <c r="AS119" s="3" t="n">
        <v>51.6076760350902</v>
      </c>
      <c r="AT119" s="3" t="n">
        <v>51.35144849412716</v>
      </c>
      <c r="AU119" s="3" t="n">
        <v>52.67536986050122</v>
      </c>
      <c r="AV119" s="3" t="n">
        <v>53.4403865180036</v>
      </c>
      <c r="AW119" s="3" t="n">
        <v>53.24800146858378</v>
      </c>
      <c r="AX119" s="3" t="n">
        <v>53.6583971352662</v>
      </c>
      <c r="AY119" s="3" t="n">
        <v>53.57369712807035</v>
      </c>
      <c r="AZ119" s="3" t="n">
        <v>53.80922184038774</v>
      </c>
      <c r="BA119" s="3" t="n">
        <v>54.78619721148314</v>
      </c>
      <c r="BB119" s="3" t="n">
        <v>55.68869869363766</v>
      </c>
      <c r="BC119" s="3" t="n">
        <v>54.71965110036523</v>
      </c>
      <c r="BD119" s="3" t="n">
        <v>54.9906958458347</v>
      </c>
      <c r="BE119" s="3" t="n">
        <v>55.17365980445956</v>
      </c>
      <c r="BF119" s="3" t="n">
        <v>54.44623063861847</v>
      </c>
      <c r="BG119" s="3" t="n">
        <v>53.90527618622392</v>
      </c>
      <c r="BH119" s="3" t="n">
        <v>53.71305297301514</v>
      </c>
      <c r="BI119" s="3" t="n">
        <v>52.89394638595874</v>
      </c>
      <c r="BJ119" s="3" t="n">
        <v>53.08824747672953</v>
      </c>
      <c r="BK119" s="3" t="n">
        <v>52.81539925610833</v>
      </c>
      <c r="BL119" s="3" t="n">
        <v>52.54953502340959</v>
      </c>
      <c r="BM119" s="3" t="n">
        <v>51.88692704267905</v>
      </c>
      <c r="BN119" s="3" t="n">
        <v>48.26673090745734</v>
      </c>
      <c r="BO119" s="3" t="n">
        <v>49.14102292297112</v>
      </c>
      <c r="BP119" s="3" t="n">
        <v>49.20694250314353</v>
      </c>
      <c r="BQ119" s="3" t="n">
        <v>48.17247180821035</v>
      </c>
      <c r="BR119" s="34" t="str">
        <f>B119&amp;"|"&amp;D119</f>
        <v>ISR|NE.CON.PRVT.ZS</v>
      </c>
    </row>
    <row r="120">
      <c r="A120" s="3" t="inlineStr">
        <is>
          <t>Italy</t>
        </is>
      </c>
      <c r="B120" s="3" t="inlineStr">
        <is>
          <t>ITA</t>
        </is>
      </c>
      <c r="C120" s="3" t="inlineStr">
        <is>
          <t>Households and NPISHs final consumption expenditure (% of GDP)</t>
        </is>
      </c>
      <c r="D120" s="3" t="inlineStr">
        <is>
          <t>NE.CON.PRVT.ZS</t>
        </is>
      </c>
      <c r="E120" s="3" t="n">
        <v>2023</v>
      </c>
      <c r="F120" s="3" t="n"/>
      <c r="G120" s="3" t="n"/>
      <c r="H120" s="3" t="n"/>
      <c r="I120" s="3" t="n"/>
      <c r="J120" s="3" t="n"/>
      <c r="K120" s="3" t="n"/>
      <c r="L120" s="3" t="n"/>
      <c r="M120" s="3" t="n"/>
      <c r="N120" s="3" t="n"/>
      <c r="O120" s="3" t="n"/>
      <c r="P120" s="3" t="n">
        <v>58.94403968002629</v>
      </c>
      <c r="Q120" s="3" t="n">
        <v>59.12548911596653</v>
      </c>
      <c r="R120" s="3" t="n">
        <v>59.38749676474329</v>
      </c>
      <c r="S120" s="3" t="n">
        <v>59.4343620777773</v>
      </c>
      <c r="T120" s="3" t="n">
        <v>58.82797897272943</v>
      </c>
      <c r="U120" s="3" t="n">
        <v>60.39939337090704</v>
      </c>
      <c r="V120" s="3" t="n">
        <v>59.37902090883463</v>
      </c>
      <c r="W120" s="3" t="n">
        <v>59.08829147848511</v>
      </c>
      <c r="X120" s="3" t="n">
        <v>57.8481675397599</v>
      </c>
      <c r="Y120" s="3" t="n">
        <v>58.31075600939034</v>
      </c>
      <c r="Z120" s="3" t="n">
        <v>59.5808577462864</v>
      </c>
      <c r="AA120" s="3" t="n">
        <v>59.62761750267664</v>
      </c>
      <c r="AB120" s="3" t="n">
        <v>59.80134598316877</v>
      </c>
      <c r="AC120" s="3" t="n">
        <v>59.05736020417767</v>
      </c>
      <c r="AD120" s="3" t="n">
        <v>59.14306047897519</v>
      </c>
      <c r="AE120" s="3" t="n">
        <v>59.11684666647884</v>
      </c>
      <c r="AF120" s="3" t="n">
        <v>59.12820382190171</v>
      </c>
      <c r="AG120" s="3" t="n">
        <v>58.87586852487537</v>
      </c>
      <c r="AH120" s="3" t="n">
        <v>58.39282661312012</v>
      </c>
      <c r="AI120" s="3" t="n">
        <v>58.9081453791115</v>
      </c>
      <c r="AJ120" s="3" t="n">
        <v>57.73547408665004</v>
      </c>
      <c r="AK120" s="3" t="n">
        <v>58.01191587353717</v>
      </c>
      <c r="AL120" s="3" t="n">
        <v>58.97032983369564</v>
      </c>
      <c r="AM120" s="3" t="n">
        <v>58.48845079491648</v>
      </c>
      <c r="AN120" s="3" t="n">
        <v>59.00373232987898</v>
      </c>
      <c r="AO120" s="3" t="n">
        <v>58.8624541003672</v>
      </c>
      <c r="AP120" s="3" t="n">
        <v>58.4977598134075</v>
      </c>
      <c r="AQ120" s="3" t="n">
        <v>59.10437912576774</v>
      </c>
      <c r="AR120" s="3" t="n">
        <v>59.70388181614867</v>
      </c>
      <c r="AS120" s="3" t="n">
        <v>60.43898244436134</v>
      </c>
      <c r="AT120" s="3" t="n">
        <v>60.54952791871917</v>
      </c>
      <c r="AU120" s="3" t="n">
        <v>59.49358993627049</v>
      </c>
      <c r="AV120" s="3" t="n">
        <v>59.1257572899538</v>
      </c>
      <c r="AW120" s="3" t="n">
        <v>59.38965644917463</v>
      </c>
      <c r="AX120" s="3" t="n">
        <v>58.98887227943723</v>
      </c>
      <c r="AY120" s="3" t="n">
        <v>59.31496128941248</v>
      </c>
      <c r="AZ120" s="3" t="n">
        <v>59.37981182038773</v>
      </c>
      <c r="BA120" s="3" t="n">
        <v>59.06568564881793</v>
      </c>
      <c r="BB120" s="3" t="n">
        <v>59.42887321079803</v>
      </c>
      <c r="BC120" s="3" t="n">
        <v>60.43305338087498</v>
      </c>
      <c r="BD120" s="3" t="n">
        <v>60.72530313488772</v>
      </c>
      <c r="BE120" s="3" t="n">
        <v>61.11646733858343</v>
      </c>
      <c r="BF120" s="3" t="n">
        <v>61.29865897230704</v>
      </c>
      <c r="BG120" s="3" t="n">
        <v>60.90149175511438</v>
      </c>
      <c r="BH120" s="3" t="n">
        <v>60.60624960366364</v>
      </c>
      <c r="BI120" s="3" t="n">
        <v>60.76860854620308</v>
      </c>
      <c r="BJ120" s="3" t="n">
        <v>60.12422670113955</v>
      </c>
      <c r="BK120" s="3" t="n">
        <v>60.2525531604185</v>
      </c>
      <c r="BL120" s="3" t="n">
        <v>60.18811654929752</v>
      </c>
      <c r="BM120" s="3" t="n">
        <v>59.81579591110894</v>
      </c>
      <c r="BN120" s="3" t="n">
        <v>58.02374226767262</v>
      </c>
      <c r="BO120" s="3" t="n">
        <v>56.6932918448335</v>
      </c>
      <c r="BP120" s="3" t="n">
        <v>59.4142036017297</v>
      </c>
      <c r="BQ120" s="3" t="n">
        <v>59.55166541701169</v>
      </c>
      <c r="BR120" s="34" t="str">
        <f>B120&amp;"|"&amp;D120</f>
        <v>ITA|NE.CON.PRVT.ZS</v>
      </c>
    </row>
    <row r="121">
      <c r="A121" s="3" t="inlineStr">
        <is>
          <t>Jamaica</t>
        </is>
      </c>
      <c r="B121" s="3" t="inlineStr">
        <is>
          <t>JAM</t>
        </is>
      </c>
      <c r="C121" s="3" t="inlineStr">
        <is>
          <t>Households and NPISHs final consumption expenditure (% of GDP)</t>
        </is>
      </c>
      <c r="D121" s="3" t="inlineStr">
        <is>
          <t>NE.CON.PRVT.ZS</t>
        </is>
      </c>
      <c r="E121" s="3" t="n">
        <v>2019</v>
      </c>
      <c r="F121" s="3" t="n">
        <v>69.13393676630713</v>
      </c>
      <c r="G121" s="3" t="n">
        <v>66.74790433394409</v>
      </c>
      <c r="H121" s="3" t="n">
        <v>67.38221846198157</v>
      </c>
      <c r="I121" s="3" t="n">
        <v>66.7356923311403</v>
      </c>
      <c r="J121" s="3" t="n">
        <v>70.68141125463913</v>
      </c>
      <c r="K121" s="3" t="n">
        <v>68.87960829493088</v>
      </c>
      <c r="L121" s="3" t="n">
        <v>62.40745468470769</v>
      </c>
      <c r="M121" s="3" t="n">
        <v>62.67741159490016</v>
      </c>
      <c r="N121" s="3" t="n">
        <v>60.90566873339238</v>
      </c>
      <c r="O121" s="3" t="n">
        <v>61.2068097108895</v>
      </c>
      <c r="P121" s="3" t="n">
        <v>60.91748342025315</v>
      </c>
      <c r="Q121" s="3" t="n">
        <v>62.62476606363069</v>
      </c>
      <c r="R121" s="3" t="n">
        <v>67.25731359877702</v>
      </c>
      <c r="S121" s="3" t="n">
        <v>61.78847607419036</v>
      </c>
      <c r="T121" s="3" t="n">
        <v>68.02519451648759</v>
      </c>
      <c r="U121" s="3" t="n">
        <v>66.23212068266885</v>
      </c>
      <c r="V121" s="3" t="n">
        <v>69.78564270084715</v>
      </c>
      <c r="W121" s="3" t="n">
        <v>65.66022968758182</v>
      </c>
      <c r="X121" s="3" t="n">
        <v>61.66853797643983</v>
      </c>
      <c r="Y121" s="3" t="n">
        <v>62.32913521975839</v>
      </c>
      <c r="Z121" s="3" t="n">
        <v>63.82644612515976</v>
      </c>
      <c r="AA121" s="3" t="n">
        <v>67.68735231491078</v>
      </c>
      <c r="AB121" s="3" t="n">
        <v>67.77794761371214</v>
      </c>
      <c r="AC121" s="3" t="n">
        <v>64.96453461985165</v>
      </c>
      <c r="AD121" s="3" t="n">
        <v>66.43693255194599</v>
      </c>
      <c r="AE121" s="3" t="n">
        <v>70.63806410189684</v>
      </c>
      <c r="AF121" s="3" t="n">
        <v>65.8461457118331</v>
      </c>
      <c r="AG121" s="3" t="n">
        <v>65.1693168463004</v>
      </c>
      <c r="AH121" s="3" t="n">
        <v>66.17102478874246</v>
      </c>
      <c r="AI121" s="3" t="n">
        <v>69.2509181364114</v>
      </c>
      <c r="AJ121" s="3" t="n">
        <v>64.89284865460074</v>
      </c>
      <c r="AK121" s="3" t="n">
        <v>65.84523353996512</v>
      </c>
      <c r="AL121" s="3" t="n">
        <v>66.37468545929229</v>
      </c>
      <c r="AM121" s="3" t="n">
        <v>58.89759950487024</v>
      </c>
      <c r="AN121" s="3" t="n">
        <v>66.74390115463711</v>
      </c>
      <c r="AO121" s="3" t="n">
        <v>69.84140031494974</v>
      </c>
      <c r="AP121" s="3" t="n">
        <v>69.75056292766106</v>
      </c>
      <c r="AQ121" s="3" t="n">
        <v>68.63338477937047</v>
      </c>
      <c r="AR121" s="3" t="n">
        <v>70.33085075909482</v>
      </c>
      <c r="AS121" s="3" t="n">
        <v>71.33194229095457</v>
      </c>
      <c r="AT121" s="3" t="n">
        <v>74.51180477874597</v>
      </c>
      <c r="AU121" s="3" t="n">
        <v>73.56209049874327</v>
      </c>
      <c r="AV121" s="3" t="n">
        <v>74.25699440022952</v>
      </c>
      <c r="AW121" s="3" t="n">
        <v>74.46034048961452</v>
      </c>
      <c r="AX121" s="3" t="n">
        <v>74.87718035977844</v>
      </c>
      <c r="AY121" s="3" t="n">
        <v>78.78764944107752</v>
      </c>
      <c r="AZ121" s="3" t="n">
        <v>78.17032496277105</v>
      </c>
      <c r="BA121" s="3" t="n">
        <v>80.32828533747652</v>
      </c>
      <c r="BB121" s="3" t="n">
        <v>89.13422708442779</v>
      </c>
      <c r="BC121" s="3" t="n">
        <v>80.3311127110522</v>
      </c>
      <c r="BD121" s="3" t="n">
        <v>81.923192696618</v>
      </c>
      <c r="BE121" s="3" t="n">
        <v>85.84341767805645</v>
      </c>
      <c r="BF121" s="3" t="n">
        <v>85.46242902126583</v>
      </c>
      <c r="BG121" s="3" t="n">
        <v>85.34756049873752</v>
      </c>
      <c r="BH121" s="3" t="n">
        <v>85.23966812438914</v>
      </c>
      <c r="BI121" s="3" t="n">
        <v>81.10626344764674</v>
      </c>
      <c r="BJ121" s="3" t="n">
        <v>77.70025128125044</v>
      </c>
      <c r="BK121" s="3" t="n">
        <v>78.2944288333927</v>
      </c>
      <c r="BL121" s="3" t="n">
        <v>76.10073937563725</v>
      </c>
      <c r="BM121" s="3" t="n">
        <v>76.18720897559884</v>
      </c>
      <c r="BN121" s="3" t="n"/>
      <c r="BO121" s="3" t="n"/>
      <c r="BP121" s="3" t="n"/>
      <c r="BQ121" s="3" t="n"/>
      <c r="BR121" s="34" t="str">
        <f>B121&amp;"|"&amp;D121</f>
        <v>JAM|NE.CON.PRVT.ZS</v>
      </c>
    </row>
    <row r="122">
      <c r="A122" s="3" t="inlineStr">
        <is>
          <t>Jordan</t>
        </is>
      </c>
      <c r="B122" s="3" t="inlineStr">
        <is>
          <t>JOR</t>
        </is>
      </c>
      <c r="C122" s="3" t="inlineStr">
        <is>
          <t>Households and NPISHs final consumption expenditure (% of GDP)</t>
        </is>
      </c>
      <c r="D122" s="3" t="inlineStr">
        <is>
          <t>NE.CON.PRVT.ZS</t>
        </is>
      </c>
      <c r="E122" s="3" t="n">
        <v>2021</v>
      </c>
      <c r="F122" s="3" t="n"/>
      <c r="G122" s="3" t="n"/>
      <c r="H122" s="3" t="n"/>
      <c r="I122" s="3" t="n"/>
      <c r="J122" s="3" t="n"/>
      <c r="K122" s="3" t="n"/>
      <c r="L122" s="3" t="n"/>
      <c r="M122" s="3" t="n"/>
      <c r="N122" s="3" t="n"/>
      <c r="O122" s="3" t="n"/>
      <c r="P122" s="3" t="n"/>
      <c r="Q122" s="3" t="n"/>
      <c r="R122" s="3" t="n"/>
      <c r="S122" s="3" t="n"/>
      <c r="T122" s="3" t="n"/>
      <c r="U122" s="3" t="n"/>
      <c r="V122" s="3" t="n">
        <v>79.79548660084626</v>
      </c>
      <c r="W122" s="3" t="n">
        <v>82.41599073001159</v>
      </c>
      <c r="X122" s="3" t="n">
        <v>83.83000125738715</v>
      </c>
      <c r="Y122" s="3" t="n">
        <v>86.15776081424936</v>
      </c>
      <c r="Z122" s="3" t="n">
        <v>78.53034595244227</v>
      </c>
      <c r="AA122" s="3" t="n">
        <v>77.37125500483225</v>
      </c>
      <c r="AB122" s="3" t="n">
        <v>85.24937882552572</v>
      </c>
      <c r="AC122" s="3" t="n">
        <v>86.02932945259153</v>
      </c>
      <c r="AD122" s="3" t="n">
        <v>82.56270618421742</v>
      </c>
      <c r="AE122" s="3" t="n">
        <v>88.56185933218309</v>
      </c>
      <c r="AF122" s="3" t="n">
        <v>80.11604552555234</v>
      </c>
      <c r="AG122" s="3" t="n">
        <v>76.43766125858224</v>
      </c>
      <c r="AH122" s="3" t="n">
        <v>72.85069799114743</v>
      </c>
      <c r="AI122" s="3" t="n">
        <v>69.59389816532673</v>
      </c>
      <c r="AJ122" s="3" t="n">
        <v>74.93390315453986</v>
      </c>
      <c r="AK122" s="3" t="n">
        <v>72.43069641649763</v>
      </c>
      <c r="AL122" s="3" t="n">
        <v>76.60923997341015</v>
      </c>
      <c r="AM122" s="3" t="n">
        <v>71.90299660179178</v>
      </c>
      <c r="AN122" s="3" t="n">
        <v>67.355931425424</v>
      </c>
      <c r="AO122" s="3" t="n">
        <v>64.60432265043376</v>
      </c>
      <c r="AP122" s="3" t="n">
        <v>70.25409235279746</v>
      </c>
      <c r="AQ122" s="3" t="n">
        <v>70.99643781753061</v>
      </c>
      <c r="AR122" s="3" t="n">
        <v>73.29851331598275</v>
      </c>
      <c r="AS122" s="3" t="n">
        <v>72.29981136320372</v>
      </c>
      <c r="AT122" s="3" t="n">
        <v>80.61413306216348</v>
      </c>
      <c r="AU122" s="3" t="n">
        <v>81.04404670239012</v>
      </c>
      <c r="AV122" s="3" t="n">
        <v>76.41006770680012</v>
      </c>
      <c r="AW122" s="3" t="n">
        <v>76.93776197656564</v>
      </c>
      <c r="AX122" s="3" t="n">
        <v>81.55952984216836</v>
      </c>
      <c r="AY122" s="3" t="n">
        <v>87.81818589226495</v>
      </c>
      <c r="AZ122" s="3" t="n">
        <v>85.0197650673511</v>
      </c>
      <c r="BA122" s="3" t="n">
        <v>86.65435691146044</v>
      </c>
      <c r="BB122" s="3" t="n">
        <v>74.38988571183727</v>
      </c>
      <c r="BC122" s="3" t="n">
        <v>68.54020217781168</v>
      </c>
      <c r="BD122" s="3" t="n">
        <v>65.94341728816936</v>
      </c>
      <c r="BE122" s="3" t="n">
        <v>73.78538473010056</v>
      </c>
      <c r="BF122" s="3" t="n">
        <v>77.25994534022487</v>
      </c>
      <c r="BG122" s="3" t="n">
        <v>83.99334454838862</v>
      </c>
      <c r="BH122" s="3" t="n">
        <v>81.64185200690247</v>
      </c>
      <c r="BI122" s="3" t="n">
        <v>79.61153774453962</v>
      </c>
      <c r="BJ122" s="3" t="n">
        <v>79.26927287950431</v>
      </c>
      <c r="BK122" s="3" t="n">
        <v>78.99264875170306</v>
      </c>
      <c r="BL122" s="3" t="n">
        <v>76.60429865237843</v>
      </c>
      <c r="BM122" s="3" t="n">
        <v>74.69380004430801</v>
      </c>
      <c r="BN122" s="3" t="n">
        <v>79.81365554793214</v>
      </c>
      <c r="BO122" s="3" t="n">
        <v>78.85554537521948</v>
      </c>
      <c r="BP122" s="3" t="n"/>
      <c r="BQ122" s="3" t="n"/>
      <c r="BR122" s="34" t="str">
        <f>B122&amp;"|"&amp;D122</f>
        <v>JOR|NE.CON.PRVT.ZS</v>
      </c>
    </row>
    <row r="123">
      <c r="A123" s="3" t="inlineStr">
        <is>
          <t>Japan</t>
        </is>
      </c>
      <c r="B123" s="3" t="inlineStr">
        <is>
          <t>JPN</t>
        </is>
      </c>
      <c r="C123" s="3" t="inlineStr">
        <is>
          <t>Households and NPISHs final consumption expenditure (% of GDP)</t>
        </is>
      </c>
      <c r="D123" s="3" t="inlineStr">
        <is>
          <t>NE.CON.PRVT.ZS</t>
        </is>
      </c>
      <c r="E123" s="3" t="n">
        <v>2022</v>
      </c>
      <c r="F123" s="3" t="n"/>
      <c r="G123" s="3" t="n"/>
      <c r="H123" s="3" t="n"/>
      <c r="I123" s="3" t="n"/>
      <c r="J123" s="3" t="n"/>
      <c r="K123" s="3" t="n"/>
      <c r="L123" s="3" t="n"/>
      <c r="M123" s="3" t="n"/>
      <c r="N123" s="3" t="n"/>
      <c r="O123" s="3" t="n"/>
      <c r="P123" s="3" t="n">
        <v>45.66969454432702</v>
      </c>
      <c r="Q123" s="3" t="n">
        <v>46.80448842229193</v>
      </c>
      <c r="R123" s="3" t="n">
        <v>47.18712880837524</v>
      </c>
      <c r="S123" s="3" t="n">
        <v>46.83222935667056</v>
      </c>
      <c r="T123" s="3" t="n">
        <v>47.44899865905822</v>
      </c>
      <c r="U123" s="3" t="n">
        <v>49.91860482371029</v>
      </c>
      <c r="V123" s="3" t="n">
        <v>50.22957625556895</v>
      </c>
      <c r="W123" s="3" t="n">
        <v>50.39583727000038</v>
      </c>
      <c r="X123" s="3" t="n">
        <v>50.39927274582853</v>
      </c>
      <c r="Y123" s="3" t="n">
        <v>51.2963475970186</v>
      </c>
      <c r="Z123" s="3" t="n">
        <v>51.4141315133521</v>
      </c>
      <c r="AA123" s="3" t="n">
        <v>51.01685663503096</v>
      </c>
      <c r="AB123" s="3" t="n">
        <v>52.12173394822825</v>
      </c>
      <c r="AC123" s="3" t="n">
        <v>52.51038532805511</v>
      </c>
      <c r="AD123" s="3" t="n">
        <v>51.97332445733578</v>
      </c>
      <c r="AE123" s="3" t="n">
        <v>51.6502724920115</v>
      </c>
      <c r="AF123" s="3" t="n">
        <v>51.31823819169544</v>
      </c>
      <c r="AG123" s="3" t="n">
        <v>51.36615828093647</v>
      </c>
      <c r="AH123" s="3" t="n">
        <v>50.55867072391653</v>
      </c>
      <c r="AI123" s="3" t="n">
        <v>50.47493660169219</v>
      </c>
      <c r="AJ123" s="3" t="n">
        <v>50.46461581751031</v>
      </c>
      <c r="AK123" s="3" t="n">
        <v>49.95509940704356</v>
      </c>
      <c r="AL123" s="3" t="n">
        <v>50.70164066572358</v>
      </c>
      <c r="AM123" s="3" t="n">
        <v>51.77879863896334</v>
      </c>
      <c r="AN123" s="3" t="n">
        <v>52.72983176689871</v>
      </c>
      <c r="AO123" s="3" t="n">
        <v>52.74382277299188</v>
      </c>
      <c r="AP123" s="3" t="n">
        <v>52.44951052361622</v>
      </c>
      <c r="AQ123" s="3" t="n">
        <v>52.60381193548874</v>
      </c>
      <c r="AR123" s="3" t="n">
        <v>52.99932488023241</v>
      </c>
      <c r="AS123" s="3" t="n">
        <v>54.0973647617484</v>
      </c>
      <c r="AT123" s="3" t="n">
        <v>53.6687711295312</v>
      </c>
      <c r="AU123" s="3" t="n">
        <v>54.42205916292535</v>
      </c>
      <c r="AV123" s="3" t="n">
        <v>55.06246488179596</v>
      </c>
      <c r="AW123" s="3" t="n">
        <v>54.89712551477322</v>
      </c>
      <c r="AX123" s="3" t="n">
        <v>54.73026207548948</v>
      </c>
      <c r="AY123" s="3" t="n">
        <v>54.80194383037793</v>
      </c>
      <c r="AZ123" s="3" t="n">
        <v>55.02901693704171</v>
      </c>
      <c r="BA123" s="3" t="n">
        <v>54.83529294615411</v>
      </c>
      <c r="BB123" s="3" t="n">
        <v>55.76379844940679</v>
      </c>
      <c r="BC123" s="3" t="n">
        <v>57.61411925201196</v>
      </c>
      <c r="BD123" s="3" t="n">
        <v>56.8685654241306</v>
      </c>
      <c r="BE123" s="3" t="n">
        <v>57.22006823213399</v>
      </c>
      <c r="BF123" s="3" t="n">
        <v>57.67911944399987</v>
      </c>
      <c r="BG123" s="3" t="n">
        <v>58.13846101223391</v>
      </c>
      <c r="BH123" s="3" t="n">
        <v>57.63158452692792</v>
      </c>
      <c r="BI123" s="3" t="n">
        <v>55.7707966603492</v>
      </c>
      <c r="BJ123" s="3" t="n">
        <v>54.70149969340402</v>
      </c>
      <c r="BK123" s="3" t="n">
        <v>54.6136947563884</v>
      </c>
      <c r="BL123" s="3" t="n">
        <v>54.77466992891689</v>
      </c>
      <c r="BM123" s="3" t="n">
        <v>54.55458112658869</v>
      </c>
      <c r="BN123" s="3" t="n">
        <v>54.05305069467266</v>
      </c>
      <c r="BO123" s="3" t="n">
        <v>53.53661083436457</v>
      </c>
      <c r="BP123" s="3" t="n">
        <v>55.57564532067583</v>
      </c>
      <c r="BQ123" s="3" t="n"/>
      <c r="BR123" s="34" t="str">
        <f>B123&amp;"|"&amp;D123</f>
        <v>JPN|NE.CON.PRVT.ZS</v>
      </c>
    </row>
    <row r="124">
      <c r="A124" s="3" t="inlineStr">
        <is>
          <t>Kazakhstan</t>
        </is>
      </c>
      <c r="B124" s="3" t="inlineStr">
        <is>
          <t>KAZ</t>
        </is>
      </c>
      <c r="C124" s="3" t="inlineStr">
        <is>
          <t>Households and NPISHs final consumption expenditure (% of GDP)</t>
        </is>
      </c>
      <c r="D124" s="3" t="inlineStr">
        <is>
          <t>NE.CON.PRVT.ZS</t>
        </is>
      </c>
      <c r="E124" s="3" t="n">
        <v>2022</v>
      </c>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c r="AL124" s="3" t="n"/>
      <c r="AM124" s="3" t="n">
        <v>70.8739051969371</v>
      </c>
      <c r="AN124" s="3" t="n">
        <v>77.65549669774964</v>
      </c>
      <c r="AO124" s="3" t="n">
        <v>71.10403376093237</v>
      </c>
      <c r="AP124" s="3" t="n">
        <v>67.29932557993831</v>
      </c>
      <c r="AQ124" s="3" t="n">
        <v>70.51731536038346</v>
      </c>
      <c r="AR124" s="3" t="n">
        <v>73.27391363171266</v>
      </c>
      <c r="AS124" s="3" t="n">
        <v>72.41019802908697</v>
      </c>
      <c r="AT124" s="3" t="n">
        <v>61.88657293799119</v>
      </c>
      <c r="AU124" s="3" t="n">
        <v>57.91219713644276</v>
      </c>
      <c r="AV124" s="3" t="n">
        <v>54.5990094530399</v>
      </c>
      <c r="AW124" s="3" t="n">
        <v>54.48489717627065</v>
      </c>
      <c r="AX124" s="3" t="n">
        <v>53.53301712364571</v>
      </c>
      <c r="AY124" s="3" t="n">
        <v>49.85697099969851</v>
      </c>
      <c r="AZ124" s="3" t="n">
        <v>45.7216849411506</v>
      </c>
      <c r="BA124" s="3" t="n">
        <v>45.10141096425359</v>
      </c>
      <c r="BB124" s="3" t="n">
        <v>44.41181265024994</v>
      </c>
      <c r="BC124" s="3" t="n">
        <v>47.52281958815349</v>
      </c>
      <c r="BD124" s="3" t="n">
        <v>45.38048215863965</v>
      </c>
      <c r="BE124" s="3" t="n">
        <v>42.19121646152648</v>
      </c>
      <c r="BF124" s="3" t="n">
        <v>44.93675108180713</v>
      </c>
      <c r="BG124" s="3" t="n">
        <v>49.89658928291366</v>
      </c>
      <c r="BH124" s="3" t="n">
        <v>48.48250432065914</v>
      </c>
      <c r="BI124" s="3" t="n">
        <v>53.71781414000662</v>
      </c>
      <c r="BJ124" s="3" t="n">
        <v>54.54431688387447</v>
      </c>
      <c r="BK124" s="3" t="n">
        <v>52.58798576677718</v>
      </c>
      <c r="BL124" s="3" t="n">
        <v>52.09806135006861</v>
      </c>
      <c r="BM124" s="3" t="n">
        <v>52.27885631502788</v>
      </c>
      <c r="BN124" s="3" t="n">
        <v>53.00389503419277</v>
      </c>
      <c r="BO124" s="3" t="n">
        <v>51.64028303031062</v>
      </c>
      <c r="BP124" s="3" t="n">
        <v>48.97151701402095</v>
      </c>
      <c r="BQ124" s="3" t="n"/>
      <c r="BR124" s="34" t="str">
        <f>B124&amp;"|"&amp;D124</f>
        <v>KAZ|NE.CON.PRVT.ZS</v>
      </c>
    </row>
    <row r="125">
      <c r="A125" s="3" t="inlineStr">
        <is>
          <t>Kenya</t>
        </is>
      </c>
      <c r="B125" s="3" t="inlineStr">
        <is>
          <t>KEN</t>
        </is>
      </c>
      <c r="C125" s="3" t="inlineStr">
        <is>
          <t>Households and NPISHs final consumption expenditure (% of GDP)</t>
        </is>
      </c>
      <c r="D125" s="3" t="inlineStr">
        <is>
          <t>NE.CON.PRVT.ZS</t>
        </is>
      </c>
      <c r="E125" s="3" t="n">
        <v>2023</v>
      </c>
      <c r="F125" s="3" t="n">
        <v>71.89795025331665</v>
      </c>
      <c r="G125" s="3" t="n">
        <v>71.19350578924059</v>
      </c>
      <c r="H125" s="3" t="n">
        <v>71.93426968805403</v>
      </c>
      <c r="I125" s="3" t="n">
        <v>72.51945834236106</v>
      </c>
      <c r="J125" s="3" t="n">
        <v>68.90945485393387</v>
      </c>
      <c r="K125" s="3" t="n">
        <v>70.06173402405557</v>
      </c>
      <c r="L125" s="3" t="n">
        <v>66.12163186804138</v>
      </c>
      <c r="M125" s="3" t="n">
        <v>66.60611085870059</v>
      </c>
      <c r="N125" s="3" t="n">
        <v>64.64039352809733</v>
      </c>
      <c r="O125" s="3" t="n">
        <v>62.75318229816646</v>
      </c>
      <c r="P125" s="3" t="n">
        <v>60.18404463381412</v>
      </c>
      <c r="Q125" s="3" t="n">
        <v>64.65345435651983</v>
      </c>
      <c r="R125" s="3" t="n">
        <v>62.17114004783417</v>
      </c>
      <c r="S125" s="3" t="n">
        <v>59.01172720027326</v>
      </c>
      <c r="T125" s="3" t="n">
        <v>64.42915056095032</v>
      </c>
      <c r="U125" s="3" t="n">
        <v>68.22094092086571</v>
      </c>
      <c r="V125" s="3" t="n">
        <v>61.60566868464502</v>
      </c>
      <c r="W125" s="3" t="n">
        <v>55.64815312651218</v>
      </c>
      <c r="X125" s="3" t="n">
        <v>60.49577261395404</v>
      </c>
      <c r="Y125" s="3" t="n">
        <v>64.50519268732297</v>
      </c>
      <c r="Z125" s="3" t="n">
        <v>62.02559591817489</v>
      </c>
      <c r="AA125" s="3" t="n">
        <v>61.73568111455109</v>
      </c>
      <c r="AB125" s="3" t="n">
        <v>63.50302785282955</v>
      </c>
      <c r="AC125" s="3" t="n">
        <v>61.14428298250331</v>
      </c>
      <c r="AD125" s="3" t="n">
        <v>64.224843292329</v>
      </c>
      <c r="AE125" s="3" t="n">
        <v>58.24234512694968</v>
      </c>
      <c r="AF125" s="3" t="n">
        <v>59.92227154389317</v>
      </c>
      <c r="AG125" s="3" t="n">
        <v>62.2532895990875</v>
      </c>
      <c r="AH125" s="3" t="n">
        <v>61.54199737827023</v>
      </c>
      <c r="AI125" s="3" t="n">
        <v>68.88507964303676</v>
      </c>
      <c r="AJ125" s="3" t="n">
        <v>62.38967338634157</v>
      </c>
      <c r="AK125" s="3" t="n">
        <v>63.51437585717233</v>
      </c>
      <c r="AL125" s="3" t="n">
        <v>67.30425087658102</v>
      </c>
      <c r="AM125" s="3" t="n">
        <v>63.12596641587783</v>
      </c>
      <c r="AN125" s="3" t="n">
        <v>62.4163872464492</v>
      </c>
      <c r="AO125" s="3" t="n">
        <v>69.26173615543308</v>
      </c>
      <c r="AP125" s="3" t="n">
        <v>76.06955252776898</v>
      </c>
      <c r="AQ125" s="3" t="n">
        <v>77.17953611064593</v>
      </c>
      <c r="AR125" s="3" t="n">
        <v>77.69400906103162</v>
      </c>
      <c r="AS125" s="3" t="n">
        <v>78.58002958846893</v>
      </c>
      <c r="AT125" s="3" t="n">
        <v>78.29077156623894</v>
      </c>
      <c r="AU125" s="3" t="n">
        <v>79.57030878603753</v>
      </c>
      <c r="AV125" s="3" t="n">
        <v>78.61447034064052</v>
      </c>
      <c r="AW125" s="3" t="n">
        <v>77.11918019547934</v>
      </c>
      <c r="AX125" s="3" t="n">
        <v>75.52468789457039</v>
      </c>
      <c r="AY125" s="3" t="n">
        <v>75.39938900563315</v>
      </c>
      <c r="AZ125" s="3" t="n">
        <v>76.23178007358592</v>
      </c>
      <c r="BA125" s="3" t="n">
        <v>74.85466095923999</v>
      </c>
      <c r="BB125" s="3" t="n">
        <v>75.32755980730212</v>
      </c>
      <c r="BC125" s="3" t="n">
        <v>72.47434243424648</v>
      </c>
      <c r="BD125" s="3" t="n">
        <v>72.82572137768474</v>
      </c>
      <c r="BE125" s="3" t="n">
        <v>76.0117563568555</v>
      </c>
      <c r="BF125" s="3" t="n">
        <v>75.2015180428055</v>
      </c>
      <c r="BG125" s="3" t="n">
        <v>76.49696252646704</v>
      </c>
      <c r="BH125" s="3" t="n">
        <v>76.06804650694097</v>
      </c>
      <c r="BI125" s="3" t="n">
        <v>75.51675787155065</v>
      </c>
      <c r="BJ125" s="3" t="n">
        <v>76.40732156062946</v>
      </c>
      <c r="BK125" s="3" t="n">
        <v>77.91296197890561</v>
      </c>
      <c r="BL125" s="3" t="n">
        <v>77.10290785945259</v>
      </c>
      <c r="BM125" s="3" t="n">
        <v>77.42266129972015</v>
      </c>
      <c r="BN125" s="3" t="n">
        <v>76.43936063880123</v>
      </c>
      <c r="BO125" s="3" t="n">
        <v>75.49614962575436</v>
      </c>
      <c r="BP125" s="3" t="n">
        <v>76.37858253156338</v>
      </c>
      <c r="BQ125" s="3" t="n">
        <v>76.99105155240777</v>
      </c>
      <c r="BR125" s="34" t="str">
        <f>B125&amp;"|"&amp;D125</f>
        <v>KEN|NE.CON.PRVT.ZS</v>
      </c>
    </row>
    <row r="126">
      <c r="A126" s="3" t="inlineStr">
        <is>
          <t>Kyrgyz Republic</t>
        </is>
      </c>
      <c r="B126" s="3" t="inlineStr">
        <is>
          <t>KGZ</t>
        </is>
      </c>
      <c r="C126" s="3" t="inlineStr">
        <is>
          <t>Households and NPISHs final consumption expenditure (% of GDP)</t>
        </is>
      </c>
      <c r="D126" s="3" t="inlineStr">
        <is>
          <t>NE.CON.PRVT.ZS</t>
        </is>
      </c>
      <c r="E126" s="3" t="n">
        <v>2022</v>
      </c>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c r="AD126" s="3" t="n"/>
      <c r="AE126" s="3" t="n"/>
      <c r="AF126" s="3" t="n"/>
      <c r="AG126" s="3" t="n">
        <v>64.82084690553745</v>
      </c>
      <c r="AH126" s="3" t="n">
        <v>63.63636363636363</v>
      </c>
      <c r="AI126" s="3" t="n">
        <v>67.2</v>
      </c>
      <c r="AJ126" s="3" t="n">
        <v>71.26168224299066</v>
      </c>
      <c r="AK126" s="3" t="n">
        <v>64.10810810810811</v>
      </c>
      <c r="AL126" s="3" t="n">
        <v>70.72710103871576</v>
      </c>
      <c r="AM126" s="3" t="n">
        <v>75.69238239303789</v>
      </c>
      <c r="AN126" s="3" t="n">
        <v>78.3895766773163</v>
      </c>
      <c r="AO126" s="3" t="n">
        <v>75.01099404772965</v>
      </c>
      <c r="AP126" s="3" t="n">
        <v>82.10416550922463</v>
      </c>
      <c r="AQ126" s="3" t="n">
        <v>68.92754605565459</v>
      </c>
      <c r="AR126" s="3" t="n">
        <v>88.24419128531892</v>
      </c>
      <c r="AS126" s="3" t="n">
        <v>77.64688987362547</v>
      </c>
      <c r="AT126" s="3" t="n">
        <v>65.6840739499707</v>
      </c>
      <c r="AU126" s="3" t="n">
        <v>64.82245697618548</v>
      </c>
      <c r="AV126" s="3" t="n">
        <v>67.53199021319732</v>
      </c>
      <c r="AW126" s="3" t="n">
        <v>77.90975231127655</v>
      </c>
      <c r="AX126" s="3" t="n">
        <v>76.04289104373365</v>
      </c>
      <c r="AY126" s="3" t="n">
        <v>84.54487250642225</v>
      </c>
      <c r="AZ126" s="3" t="n">
        <v>95.12566333421499</v>
      </c>
      <c r="BA126" s="3" t="n">
        <v>87.48640746114982</v>
      </c>
      <c r="BB126" s="3" t="n">
        <v>92.53850830807072</v>
      </c>
      <c r="BC126" s="3" t="n">
        <v>78.2805535552862</v>
      </c>
      <c r="BD126" s="3" t="n">
        <v>84.59554030438903</v>
      </c>
      <c r="BE126" s="3" t="n">
        <v>83.402479325261</v>
      </c>
      <c r="BF126" s="3" t="n">
        <v>95.80061023353849</v>
      </c>
      <c r="BG126" s="3" t="n">
        <v>97.1806511100078</v>
      </c>
      <c r="BH126" s="3" t="n">
        <v>95.99881705241407</v>
      </c>
      <c r="BI126" s="3" t="n">
        <v>90.54657327218743</v>
      </c>
      <c r="BJ126" s="3" t="n">
        <v>82.7994261135949</v>
      </c>
      <c r="BK126" s="3" t="n">
        <v>82.07949958876533</v>
      </c>
      <c r="BL126" s="3" t="n">
        <v>82.48577062714617</v>
      </c>
      <c r="BM126" s="3" t="n">
        <v>77.33009874999847</v>
      </c>
      <c r="BN126" s="3" t="n">
        <v>76.42574840320744</v>
      </c>
      <c r="BO126" s="3" t="n">
        <v>85.52358976632051</v>
      </c>
      <c r="BP126" s="3" t="n">
        <v>88.68581817626074</v>
      </c>
      <c r="BQ126" s="3" t="n"/>
      <c r="BR126" s="34" t="str">
        <f>B126&amp;"|"&amp;D126</f>
        <v>KGZ|NE.CON.PRVT.ZS</v>
      </c>
    </row>
    <row r="127">
      <c r="A127" s="3" t="inlineStr">
        <is>
          <t>Cambodia</t>
        </is>
      </c>
      <c r="B127" s="3" t="inlineStr">
        <is>
          <t>KHM</t>
        </is>
      </c>
      <c r="C127" s="3" t="inlineStr">
        <is>
          <t>Households and NPISHs final consumption expenditure (% of GDP)</t>
        </is>
      </c>
      <c r="D127" s="3" t="inlineStr">
        <is>
          <t>NE.CON.PRVT.ZS</t>
        </is>
      </c>
      <c r="E127" s="3" t="n">
        <v>2023</v>
      </c>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c r="AL127" s="3" t="n"/>
      <c r="AM127" s="3" t="n">
        <v>101.139517133294</v>
      </c>
      <c r="AN127" s="3" t="n">
        <v>95.0233586634084</v>
      </c>
      <c r="AO127" s="3" t="n">
        <v>94.82552454758994</v>
      </c>
      <c r="AP127" s="3" t="n">
        <v>98.00931977362509</v>
      </c>
      <c r="AQ127" s="3" t="n">
        <v>90.32233503840739</v>
      </c>
      <c r="AR127" s="3" t="n">
        <v>95.62292038687781</v>
      </c>
      <c r="AS127" s="3" t="n">
        <v>89.83332846146254</v>
      </c>
      <c r="AT127" s="3" t="n">
        <v>88.8079925671683</v>
      </c>
      <c r="AU127" s="3" t="n">
        <v>84.7595121133713</v>
      </c>
      <c r="AV127" s="3" t="n">
        <v>83.89718531771793</v>
      </c>
      <c r="AW127" s="3" t="n">
        <v>83.57213929786627</v>
      </c>
      <c r="AX127" s="3" t="n">
        <v>85.13127469537267</v>
      </c>
      <c r="AY127" s="3" t="n">
        <v>84.29423349877132</v>
      </c>
      <c r="AZ127" s="3" t="n">
        <v>80.96209984261607</v>
      </c>
      <c r="BA127" s="3" t="n">
        <v>78.14815743783086</v>
      </c>
      <c r="BB127" s="3" t="n">
        <v>79.44406127329569</v>
      </c>
      <c r="BC127" s="3" t="n">
        <v>76.16010019916294</v>
      </c>
      <c r="BD127" s="3" t="n">
        <v>81.29184712433577</v>
      </c>
      <c r="BE127" s="3" t="n">
        <v>82.85971495036107</v>
      </c>
      <c r="BF127" s="3" t="n">
        <v>80.08426138238259</v>
      </c>
      <c r="BG127" s="3" t="n">
        <v>78.637313230356</v>
      </c>
      <c r="BH127" s="3" t="n">
        <v>77.55071936023768</v>
      </c>
      <c r="BI127" s="3" t="n">
        <v>76.80514752804194</v>
      </c>
      <c r="BJ127" s="3" t="n">
        <v>76.11975321017029</v>
      </c>
      <c r="BK127" s="3" t="n">
        <v>73.39147662952547</v>
      </c>
      <c r="BL127" s="3" t="n">
        <v>70.68094002996793</v>
      </c>
      <c r="BM127" s="3" t="n">
        <v>69.46822310208626</v>
      </c>
      <c r="BN127" s="3" t="n">
        <v>69.5039926599368</v>
      </c>
      <c r="BO127" s="3" t="n">
        <v>65.86968324374213</v>
      </c>
      <c r="BP127" s="3" t="n">
        <v>61.74683817914875</v>
      </c>
      <c r="BQ127" s="3" t="n">
        <v>41.76190105446758</v>
      </c>
      <c r="BR127" s="34" t="str">
        <f>B127&amp;"|"&amp;D127</f>
        <v>KHM|NE.CON.PRVT.ZS</v>
      </c>
    </row>
    <row r="128">
      <c r="A128" s="3" t="inlineStr">
        <is>
          <t>Kiribati</t>
        </is>
      </c>
      <c r="B128" s="3" t="inlineStr">
        <is>
          <t>KIR</t>
        </is>
      </c>
      <c r="C128" s="3" t="inlineStr">
        <is>
          <t>Households and NPISHs final consumption expenditure (% of GDP)</t>
        </is>
      </c>
      <c r="D128" s="3" t="inlineStr">
        <is>
          <t>NE.CON.PRVT.ZS</t>
        </is>
      </c>
      <c r="E128" s="3" t="inlineStr">
        <is>
          <t>0x2a</t>
        </is>
      </c>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c r="AL128" s="3" t="n"/>
      <c r="AM128" s="3" t="n"/>
      <c r="AN128" s="3" t="n"/>
      <c r="AO128" s="3" t="n"/>
      <c r="AP128" s="3" t="n"/>
      <c r="AQ128" s="3" t="n"/>
      <c r="AR128" s="3" t="n"/>
      <c r="AS128" s="3" t="n"/>
      <c r="AT128" s="3" t="n"/>
      <c r="AU128" s="3" t="n"/>
      <c r="AV128" s="3" t="n"/>
      <c r="AW128" s="3" t="n"/>
      <c r="AX128" s="3" t="n"/>
      <c r="AY128" s="3" t="n"/>
      <c r="AZ128" s="3" t="n"/>
      <c r="BA128" s="3" t="n"/>
      <c r="BB128" s="3" t="n"/>
      <c r="BC128" s="3" t="n"/>
      <c r="BD128" s="3" t="n"/>
      <c r="BE128" s="3" t="n"/>
      <c r="BF128" s="3" t="n"/>
      <c r="BG128" s="3" t="n"/>
      <c r="BH128" s="3" t="n"/>
      <c r="BI128" s="3" t="n"/>
      <c r="BJ128" s="3" t="n"/>
      <c r="BK128" s="3" t="n"/>
      <c r="BL128" s="3" t="n"/>
      <c r="BM128" s="3" t="n"/>
      <c r="BN128" s="3" t="n"/>
      <c r="BO128" s="3" t="n"/>
      <c r="BP128" s="3" t="n"/>
      <c r="BQ128" s="3" t="n"/>
      <c r="BR128" s="34" t="str">
        <f>B128&amp;"|"&amp;D128</f>
        <v>KIR|NE.CON.PRVT.ZS</v>
      </c>
    </row>
    <row r="129">
      <c r="A129" s="3" t="inlineStr">
        <is>
          <t>St. Kitts and Nevis</t>
        </is>
      </c>
      <c r="B129" s="3" t="inlineStr">
        <is>
          <t>KNA</t>
        </is>
      </c>
      <c r="C129" s="3" t="inlineStr">
        <is>
          <t>Households and NPISHs final consumption expenditure (% of GDP)</t>
        </is>
      </c>
      <c r="D129" s="3" t="inlineStr">
        <is>
          <t>NE.CON.PRVT.ZS</t>
        </is>
      </c>
      <c r="E129" s="3" t="inlineStr">
        <is>
          <t>0x2a</t>
        </is>
      </c>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c r="AP129" s="3" t="n"/>
      <c r="AQ129" s="3" t="n"/>
      <c r="AR129" s="3" t="n"/>
      <c r="AS129" s="3" t="n"/>
      <c r="AT129" s="3" t="n"/>
      <c r="AU129" s="3" t="n"/>
      <c r="AV129" s="3" t="n"/>
      <c r="AW129" s="3" t="n"/>
      <c r="AX129" s="3" t="n"/>
      <c r="AY129" s="3" t="n"/>
      <c r="AZ129" s="3" t="n"/>
      <c r="BA129" s="3" t="n"/>
      <c r="BB129" s="3" t="n"/>
      <c r="BC129" s="3" t="n"/>
      <c r="BD129" s="3" t="n"/>
      <c r="BE129" s="3" t="n"/>
      <c r="BF129" s="3" t="n"/>
      <c r="BG129" s="3" t="n"/>
      <c r="BH129" s="3" t="n"/>
      <c r="BI129" s="3" t="n"/>
      <c r="BJ129" s="3" t="n"/>
      <c r="BK129" s="3" t="n"/>
      <c r="BL129" s="3" t="n"/>
      <c r="BM129" s="3" t="n"/>
      <c r="BN129" s="3" t="n"/>
      <c r="BO129" s="3" t="n"/>
      <c r="BP129" s="3" t="n"/>
      <c r="BQ129" s="3" t="n"/>
      <c r="BR129" s="34" t="str">
        <f>B129&amp;"|"&amp;D129</f>
        <v>KNA|NE.CON.PRVT.ZS</v>
      </c>
    </row>
    <row r="130">
      <c r="A130" s="3" t="inlineStr">
        <is>
          <t>Korea, Rep.</t>
        </is>
      </c>
      <c r="B130" s="3" t="inlineStr">
        <is>
          <t>KOR</t>
        </is>
      </c>
      <c r="C130" s="3" t="inlineStr">
        <is>
          <t>Households and NPISHs final consumption expenditure (% of GDP)</t>
        </is>
      </c>
      <c r="D130" s="3" t="inlineStr">
        <is>
          <t>NE.CON.PRVT.ZS</t>
        </is>
      </c>
      <c r="E130" s="3" t="n">
        <v>2023</v>
      </c>
      <c r="F130" s="3" t="n">
        <v>85.1140456182473</v>
      </c>
      <c r="G130" s="3" t="n">
        <v>83.85813722240636</v>
      </c>
      <c r="H130" s="3" t="n">
        <v>83.11013938234491</v>
      </c>
      <c r="I130" s="3" t="n">
        <v>80.59787849566055</v>
      </c>
      <c r="J130" s="3" t="n">
        <v>82.77680140597539</v>
      </c>
      <c r="K130" s="3" t="n">
        <v>83.44960307914361</v>
      </c>
      <c r="L130" s="3" t="n">
        <v>78.59487852921865</v>
      </c>
      <c r="M130" s="3" t="n">
        <v>79.15651644336175</v>
      </c>
      <c r="N130" s="3" t="n">
        <v>75.43859649122807</v>
      </c>
      <c r="O130" s="3" t="n">
        <v>72.21042165679938</v>
      </c>
      <c r="P130" s="3" t="n">
        <v>73.73596510047915</v>
      </c>
      <c r="Q130" s="3" t="n">
        <v>75.4043048283886</v>
      </c>
      <c r="R130" s="3" t="n">
        <v>72.75113058556131</v>
      </c>
      <c r="S130" s="3" t="n">
        <v>68.72433195230944</v>
      </c>
      <c r="T130" s="3" t="n">
        <v>68.86274509803921</v>
      </c>
      <c r="U130" s="3" t="n">
        <v>69.10068667248377</v>
      </c>
      <c r="V130" s="3" t="n">
        <v>64.36556851473108</v>
      </c>
      <c r="W130" s="3" t="n">
        <v>61.05674410606133</v>
      </c>
      <c r="X130" s="3" t="n">
        <v>59.69786718082252</v>
      </c>
      <c r="Y130" s="3" t="n">
        <v>59.99481518287282</v>
      </c>
      <c r="Z130" s="3" t="n">
        <v>62.72281252910629</v>
      </c>
      <c r="AA130" s="3" t="n">
        <v>62.77758315918325</v>
      </c>
      <c r="AB130" s="3" t="n">
        <v>61.58263887191769</v>
      </c>
      <c r="AC130" s="3" t="n">
        <v>58.45584833159764</v>
      </c>
      <c r="AD130" s="3" t="n">
        <v>56.55180662490632</v>
      </c>
      <c r="AE130" s="3" t="n">
        <v>55.94595238608551</v>
      </c>
      <c r="AF130" s="3" t="n">
        <v>53.24734089554094</v>
      </c>
      <c r="AG130" s="3" t="n">
        <v>50.76164071988154</v>
      </c>
      <c r="AH130" s="3" t="n">
        <v>48.87999358880836</v>
      </c>
      <c r="AI130" s="3" t="n">
        <v>50.60222506631412</v>
      </c>
      <c r="AJ130" s="3" t="n">
        <v>50.22906297586412</v>
      </c>
      <c r="AK130" s="3" t="n">
        <v>50.3316340943686</v>
      </c>
      <c r="AL130" s="3" t="n">
        <v>50.92775548676086</v>
      </c>
      <c r="AM130" s="3" t="n">
        <v>51.11486626903309</v>
      </c>
      <c r="AN130" s="3" t="n">
        <v>51.75157465877248</v>
      </c>
      <c r="AO130" s="3" t="n">
        <v>51.96231573898461</v>
      </c>
      <c r="AP130" s="3" t="n">
        <v>53.24971391516242</v>
      </c>
      <c r="AQ130" s="3" t="n">
        <v>53.39928760384191</v>
      </c>
      <c r="AR130" s="3" t="n">
        <v>50.31457592514585</v>
      </c>
      <c r="AS130" s="3" t="n">
        <v>52.61227857496708</v>
      </c>
      <c r="AT130" s="3" t="n">
        <v>54.50010005610508</v>
      </c>
      <c r="AU130" s="3" t="n">
        <v>55.40026870477593</v>
      </c>
      <c r="AV130" s="3" t="n">
        <v>56.09577321851162</v>
      </c>
      <c r="AW130" s="3" t="n">
        <v>54.06680479838541</v>
      </c>
      <c r="AX130" s="3" t="n">
        <v>51.59404173664016</v>
      </c>
      <c r="AY130" s="3" t="n">
        <v>52.31730648918928</v>
      </c>
      <c r="AZ130" s="3" t="n">
        <v>53.03071843071038</v>
      </c>
      <c r="BA130" s="3" t="n">
        <v>52.47594617110912</v>
      </c>
      <c r="BB130" s="3" t="n">
        <v>52.53397434536762</v>
      </c>
      <c r="BC130" s="3" t="n">
        <v>51.67045160496014</v>
      </c>
      <c r="BD130" s="3" t="n">
        <v>50.43517701952018</v>
      </c>
      <c r="BE130" s="3" t="n">
        <v>51.19877270189034</v>
      </c>
      <c r="BF130" s="3" t="n">
        <v>51.26770748429601</v>
      </c>
      <c r="BG130" s="3" t="n">
        <v>50.50608697610524</v>
      </c>
      <c r="BH130" s="3" t="n">
        <v>49.93590559365816</v>
      </c>
      <c r="BI130" s="3" t="n">
        <v>48.54056077958992</v>
      </c>
      <c r="BJ130" s="3" t="n">
        <v>47.95580095263065</v>
      </c>
      <c r="BK130" s="3" t="n">
        <v>47.54547343348705</v>
      </c>
      <c r="BL130" s="3" t="n">
        <v>48.02337233850769</v>
      </c>
      <c r="BM130" s="3" t="n">
        <v>48.63261751206717</v>
      </c>
      <c r="BN130" s="3" t="n">
        <v>46.39092830302388</v>
      </c>
      <c r="BO130" s="3" t="n">
        <v>45.95799871983371</v>
      </c>
      <c r="BP130" s="3" t="n">
        <v>48.08078217615635</v>
      </c>
      <c r="BQ130" s="3" t="n">
        <v>48.92755959833109</v>
      </c>
      <c r="BR130" s="34" t="str">
        <f>B130&amp;"|"&amp;D130</f>
        <v>KOR|NE.CON.PRVT.ZS</v>
      </c>
    </row>
    <row r="131">
      <c r="A131" s="3" t="inlineStr">
        <is>
          <t>Kuwait</t>
        </is>
      </c>
      <c r="B131" s="3" t="inlineStr">
        <is>
          <t>KWT</t>
        </is>
      </c>
      <c r="C131" s="3" t="inlineStr">
        <is>
          <t>Households and NPISHs final consumption expenditure (% of GDP)</t>
        </is>
      </c>
      <c r="D131" s="3" t="inlineStr">
        <is>
          <t>NE.CON.PRVT.ZS</t>
        </is>
      </c>
      <c r="E131" s="3" t="n">
        <v>2019</v>
      </c>
      <c r="F131" s="3" t="n"/>
      <c r="G131" s="3" t="n"/>
      <c r="H131" s="3" t="n"/>
      <c r="I131" s="3" t="n"/>
      <c r="J131" s="3" t="n"/>
      <c r="K131" s="3" t="n">
        <v>26.43524699599466</v>
      </c>
      <c r="L131" s="3" t="n">
        <v>27.16627634660422</v>
      </c>
      <c r="M131" s="3" t="n">
        <v>32.11009174311927</v>
      </c>
      <c r="N131" s="3" t="n">
        <v>31.23028391167193</v>
      </c>
      <c r="O131" s="3" t="n">
        <v>30.94034378159757</v>
      </c>
      <c r="P131" s="3" t="n">
        <v>38.61444022215726</v>
      </c>
      <c r="Q131" s="3" t="n">
        <v>30.39513897779266</v>
      </c>
      <c r="R131" s="3" t="n">
        <v>29.19398907103825</v>
      </c>
      <c r="S131" s="3" t="n">
        <v>27.34866903559628</v>
      </c>
      <c r="T131" s="3" t="n">
        <v>14.78625792778017</v>
      </c>
      <c r="U131" s="3" t="n">
        <v>21.76082530080799</v>
      </c>
      <c r="V131" s="3" t="n">
        <v>26.81980363049197</v>
      </c>
      <c r="W131" s="3" t="n">
        <v>33.63611597175929</v>
      </c>
      <c r="X131" s="3" t="n">
        <v>34.65047018267946</v>
      </c>
      <c r="Y131" s="3" t="n">
        <v>26.02853960725576</v>
      </c>
      <c r="Z131" s="3" t="n">
        <v>30.85518587120047</v>
      </c>
      <c r="AA131" s="3" t="n">
        <v>38.13306741867596</v>
      </c>
      <c r="AB131" s="3" t="n">
        <v>53.39407315789879</v>
      </c>
      <c r="AC131" s="3" t="n">
        <v>44.27757906254391</v>
      </c>
      <c r="AD131" s="3" t="n">
        <v>42.56611792798768</v>
      </c>
      <c r="AE131" s="3" t="n">
        <v>47.81377966306663</v>
      </c>
      <c r="AF131" s="3" t="n">
        <v>52.74630541469524</v>
      </c>
      <c r="AG131" s="3" t="n">
        <v>45.00098679193989</v>
      </c>
      <c r="AH131" s="3" t="n">
        <v>53.40712522356969</v>
      </c>
      <c r="AI131" s="3" t="n">
        <v>51.26909094991975</v>
      </c>
      <c r="AJ131" s="3" t="n">
        <v>56.75874283991559</v>
      </c>
      <c r="AK131" s="3" t="n">
        <v>93.01233283316292</v>
      </c>
      <c r="AL131" s="3" t="n">
        <v>38.33004310769685</v>
      </c>
      <c r="AM131" s="3" t="n">
        <v>43.4643073326333</v>
      </c>
      <c r="AN131" s="3" t="n">
        <v>41.3956669944038</v>
      </c>
      <c r="AO131" s="3" t="n">
        <v>42.65519663786835</v>
      </c>
      <c r="AP131" s="3" t="n">
        <v>44.53553361402467</v>
      </c>
      <c r="AQ131" s="3" t="n">
        <v>46.47267750659846</v>
      </c>
      <c r="AR131" s="3" t="n">
        <v>58.28242585214697</v>
      </c>
      <c r="AS131" s="3" t="n">
        <v>52.08131127517803</v>
      </c>
      <c r="AT131" s="3" t="n">
        <v>41.52960597391597</v>
      </c>
      <c r="AU131" s="3" t="n">
        <v>46.29813084112149</v>
      </c>
      <c r="AV131" s="3" t="n">
        <v>49.5893011216566</v>
      </c>
      <c r="AW131" s="3" t="n">
        <v>42.74139284512729</v>
      </c>
      <c r="AX131" s="3" t="n">
        <v>37.42200300284871</v>
      </c>
      <c r="AY131" s="3" t="n">
        <v>32.15290846515097</v>
      </c>
      <c r="AZ131" s="3" t="n">
        <v>28.56987733079964</v>
      </c>
      <c r="BA131" s="3" t="n">
        <v>30.44020061017906</v>
      </c>
      <c r="BB131" s="3" t="n">
        <v>28.137698827354</v>
      </c>
      <c r="BC131" s="3" t="n">
        <v>33.49892773525882</v>
      </c>
      <c r="BD131" s="3" t="n">
        <v>28.89195565289252</v>
      </c>
      <c r="BE131" s="3" t="n">
        <v>24.25103193953385</v>
      </c>
      <c r="BF131" s="3" t="n">
        <v>23.65307043379207</v>
      </c>
      <c r="BG131" s="3" t="n">
        <v>25.14508271400361</v>
      </c>
      <c r="BH131" s="3" t="n">
        <v>28.98047801696341</v>
      </c>
      <c r="BI131" s="3" t="n">
        <v>41.54926462320714</v>
      </c>
      <c r="BJ131" s="3" t="n">
        <v>45.22866807090777</v>
      </c>
      <c r="BK131" s="3" t="n">
        <v>43.29530650641831</v>
      </c>
      <c r="BL131" s="3" t="n">
        <v>39.76245889665682</v>
      </c>
      <c r="BM131" s="3" t="n">
        <v>40.60922240760564</v>
      </c>
      <c r="BN131" s="3" t="n"/>
      <c r="BO131" s="3" t="n"/>
      <c r="BP131" s="3" t="n"/>
      <c r="BQ131" s="3" t="n"/>
      <c r="BR131" s="34" t="str">
        <f>B131&amp;"|"&amp;D131</f>
        <v>KWT|NE.CON.PRVT.ZS</v>
      </c>
    </row>
    <row r="132">
      <c r="A132" s="3" t="inlineStr">
        <is>
          <t>Latin America &amp; Caribbean (excluding high income)</t>
        </is>
      </c>
      <c r="B132" s="3" t="inlineStr">
        <is>
          <t>LAC</t>
        </is>
      </c>
      <c r="C132" s="3" t="inlineStr">
        <is>
          <t>Households and NPISHs final consumption expenditure (% of GDP)</t>
        </is>
      </c>
      <c r="D132" s="3" t="inlineStr">
        <is>
          <t>NE.CON.PRVT.ZS</t>
        </is>
      </c>
      <c r="E132" s="3" t="n">
        <v>2023</v>
      </c>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v>61.8266349796364</v>
      </c>
      <c r="AJ132" s="3" t="n">
        <v>66.23216475146661</v>
      </c>
      <c r="AK132" s="3" t="n">
        <v>69.39754122574416</v>
      </c>
      <c r="AL132" s="3" t="n">
        <v>70.95072460820377</v>
      </c>
      <c r="AM132" s="3" t="n">
        <v>68.05950163742907</v>
      </c>
      <c r="AN132" s="3" t="n">
        <v>67.01683807947663</v>
      </c>
      <c r="AO132" s="3" t="n">
        <v>66.98458651815648</v>
      </c>
      <c r="AP132" s="3" t="n">
        <v>67.51510224516012</v>
      </c>
      <c r="AQ132" s="3" t="n">
        <v>67.70972708278858</v>
      </c>
      <c r="AR132" s="3" t="n">
        <v>67.03361173847992</v>
      </c>
      <c r="AS132" s="3" t="n">
        <v>67.43125556316913</v>
      </c>
      <c r="AT132" s="3" t="n">
        <v>67.93992041442939</v>
      </c>
      <c r="AU132" s="3" t="n">
        <v>68.17849105660319</v>
      </c>
      <c r="AV132" s="3" t="n">
        <v>67.31039066726623</v>
      </c>
      <c r="AW132" s="3" t="n">
        <v>67.42594092845975</v>
      </c>
      <c r="AX132" s="3" t="n">
        <v>66.19806132413139</v>
      </c>
      <c r="AY132" s="3" t="n">
        <v>66.32402979684886</v>
      </c>
      <c r="AZ132" s="3" t="n">
        <v>65.13752804373863</v>
      </c>
      <c r="BA132" s="3" t="n">
        <v>64.53200248747561</v>
      </c>
      <c r="BB132" s="3" t="n">
        <v>64.57534601214654</v>
      </c>
      <c r="BC132" s="3" t="n">
        <v>64.96324344829249</v>
      </c>
      <c r="BD132" s="3" t="n">
        <v>64.28978624799228</v>
      </c>
      <c r="BE132" s="3" t="n">
        <v>63.93768003001448</v>
      </c>
      <c r="BF132" s="3" t="n">
        <v>64.65138303887498</v>
      </c>
      <c r="BG132" s="3" t="n">
        <v>65.30121620112344</v>
      </c>
      <c r="BH132" s="3" t="n">
        <v>65.96215615098571</v>
      </c>
      <c r="BI132" s="3" t="n">
        <v>66.51460351990667</v>
      </c>
      <c r="BJ132" s="3" t="n">
        <v>66.49165032026823</v>
      </c>
      <c r="BK132" s="3" t="n">
        <v>66.40919071270893</v>
      </c>
      <c r="BL132" s="3" t="n">
        <v>66.59408303193641</v>
      </c>
      <c r="BM132" s="3" t="n">
        <v>66.58245483014851</v>
      </c>
      <c r="BN132" s="3" t="n">
        <v>65.40774606769514</v>
      </c>
      <c r="BO132" s="3" t="n">
        <v>65.12819031109048</v>
      </c>
      <c r="BP132" s="3" t="n">
        <v>66.95207105852876</v>
      </c>
      <c r="BQ132" s="3" t="n">
        <v>67.42250499125944</v>
      </c>
      <c r="BR132" s="34" t="str">
        <f>B132&amp;"|"&amp;D132</f>
        <v>LAC|NE.CON.PRVT.ZS</v>
      </c>
    </row>
    <row r="133">
      <c r="A133" s="3" t="inlineStr">
        <is>
          <t>Lao PDR</t>
        </is>
      </c>
      <c r="B133" s="3" t="inlineStr">
        <is>
          <t>LAO</t>
        </is>
      </c>
      <c r="C133" s="3" t="inlineStr">
        <is>
          <t>Households and NPISHs final consumption expenditure (% of GDP)</t>
        </is>
      </c>
      <c r="D133" s="3" t="inlineStr">
        <is>
          <t>NE.CON.PRVT.ZS</t>
        </is>
      </c>
      <c r="E133" s="3" t="n">
        <v>2016</v>
      </c>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c r="AD133" s="3" t="n">
        <v>90.89431209121564</v>
      </c>
      <c r="AE133" s="3" t="n">
        <v>89.95305405532417</v>
      </c>
      <c r="AF133" s="3" t="n">
        <v>88.50710888562419</v>
      </c>
      <c r="AG133" s="3" t="n">
        <v>89.44327443950932</v>
      </c>
      <c r="AH133" s="3" t="n">
        <v>93.90970869276187</v>
      </c>
      <c r="AI133" s="3" t="n"/>
      <c r="AJ133" s="3" t="n"/>
      <c r="AK133" s="3" t="n"/>
      <c r="AL133" s="3" t="n"/>
      <c r="AM133" s="3" t="n"/>
      <c r="AN133" s="3" t="n"/>
      <c r="AO133" s="3" t="n"/>
      <c r="AP133" s="3" t="n"/>
      <c r="AQ133" s="3" t="n"/>
      <c r="AR133" s="3" t="n"/>
      <c r="AS133" s="3" t="n"/>
      <c r="AT133" s="3" t="n">
        <v>87.63606726251777</v>
      </c>
      <c r="AU133" s="3" t="n">
        <v>90.12246616948374</v>
      </c>
      <c r="AV133" s="3" t="n">
        <v>71.80617210312151</v>
      </c>
      <c r="AW133" s="3" t="n">
        <v>78.14117448514311</v>
      </c>
      <c r="AX133" s="3" t="n">
        <v>76.75620742618111</v>
      </c>
      <c r="AY133" s="3" t="n">
        <v>71.64160243866374</v>
      </c>
      <c r="AZ133" s="3" t="n">
        <v>68.00935354206904</v>
      </c>
      <c r="BA133" s="3" t="n">
        <v>71.75572301884931</v>
      </c>
      <c r="BB133" s="3" t="n">
        <v>76.08635453983251</v>
      </c>
      <c r="BC133" s="3" t="n">
        <v>69.4467921205737</v>
      </c>
      <c r="BD133" s="3" t="n">
        <v>74.59157395449829</v>
      </c>
      <c r="BE133" s="3" t="n">
        <v>65.80286581926099</v>
      </c>
      <c r="BF133" s="3" t="n">
        <v>76.51070067467572</v>
      </c>
      <c r="BG133" s="3" t="n">
        <v>74.11167102037309</v>
      </c>
      <c r="BH133" s="3" t="n">
        <v>72.5687449323944</v>
      </c>
      <c r="BI133" s="3" t="n">
        <v>71.23014626872036</v>
      </c>
      <c r="BJ133" s="3" t="n">
        <v>65.69453142428391</v>
      </c>
      <c r="BK133" s="3" t="n"/>
      <c r="BL133" s="3" t="n"/>
      <c r="BM133" s="3" t="n"/>
      <c r="BN133" s="3" t="n"/>
      <c r="BO133" s="3" t="n"/>
      <c r="BP133" s="3" t="n"/>
      <c r="BQ133" s="3" t="n"/>
      <c r="BR133" s="34" t="str">
        <f>B133&amp;"|"&amp;D133</f>
        <v>LAO|NE.CON.PRVT.ZS</v>
      </c>
    </row>
    <row r="134">
      <c r="A134" s="3" t="inlineStr">
        <is>
          <t>Lebanon</t>
        </is>
      </c>
      <c r="B134" s="3" t="inlineStr">
        <is>
          <t>LBN</t>
        </is>
      </c>
      <c r="C134" s="3" t="inlineStr">
        <is>
          <t>Households and NPISHs final consumption expenditure (% of GDP)</t>
        </is>
      </c>
      <c r="D134" s="3" t="inlineStr">
        <is>
          <t>NE.CON.PRVT.ZS</t>
        </is>
      </c>
      <c r="E134" s="3" t="n">
        <v>2022</v>
      </c>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v>116.8548942153032</v>
      </c>
      <c r="AK134" s="3" t="n">
        <v>105.2954353032316</v>
      </c>
      <c r="AL134" s="3" t="n">
        <v>117.8682832743933</v>
      </c>
      <c r="AM134" s="3" t="n">
        <v>114.9953510371557</v>
      </c>
      <c r="AN134" s="3" t="n">
        <v>105.2954367557021</v>
      </c>
      <c r="AO134" s="3" t="n">
        <v>102.6940459948469</v>
      </c>
      <c r="AP134" s="3" t="n">
        <v>93.23967916422279</v>
      </c>
      <c r="AQ134" s="3" t="n">
        <v>86.76701030927835</v>
      </c>
      <c r="AR134" s="3" t="n">
        <v>82.09109334965008</v>
      </c>
      <c r="AS134" s="3" t="n">
        <v>82.91194752698013</v>
      </c>
      <c r="AT134" s="3" t="n">
        <v>84.0814757878555</v>
      </c>
      <c r="AU134" s="3" t="n">
        <v>83.93655804863381</v>
      </c>
      <c r="AV134" s="3" t="n">
        <v>82.99390412856748</v>
      </c>
      <c r="AW134" s="3" t="n">
        <v>84.82246077621799</v>
      </c>
      <c r="AX134" s="3" t="n">
        <v>83.3458292576255</v>
      </c>
      <c r="AY134" s="3" t="n">
        <v>82.00842196188351</v>
      </c>
      <c r="AZ134" s="3" t="n">
        <v>84.81644878062818</v>
      </c>
      <c r="BA134" s="3" t="n">
        <v>85.67802940704786</v>
      </c>
      <c r="BB134" s="3" t="n">
        <v>88.13887118344829</v>
      </c>
      <c r="BC134" s="3" t="n">
        <v>84.1765049782136</v>
      </c>
      <c r="BD134" s="3" t="n">
        <v>87.89327791791585</v>
      </c>
      <c r="BE134" s="3" t="n">
        <v>89.99857760878103</v>
      </c>
      <c r="BF134" s="3" t="n">
        <v>92.47015432797681</v>
      </c>
      <c r="BG134" s="3" t="n">
        <v>92.34105338289143</v>
      </c>
      <c r="BH134" s="3" t="n">
        <v>94.59166704357094</v>
      </c>
      <c r="BI134" s="3" t="n">
        <v>90.80518349746725</v>
      </c>
      <c r="BJ134" s="3" t="n">
        <v>88.14458555331413</v>
      </c>
      <c r="BK134" s="3" t="n">
        <v>89.60490967951914</v>
      </c>
      <c r="BL134" s="3" t="n">
        <v>88.92430858385613</v>
      </c>
      <c r="BM134" s="3" t="n">
        <v>93.6331403584653</v>
      </c>
      <c r="BN134" s="3" t="n">
        <v>100.1466999994502</v>
      </c>
      <c r="BO134" s="3" t="n">
        <v>119.0577436214091</v>
      </c>
      <c r="BP134" s="3" t="n">
        <v>140.3802237652824</v>
      </c>
      <c r="BQ134" s="3" t="n"/>
      <c r="BR134" s="34" t="str">
        <f>B134&amp;"|"&amp;D134</f>
        <v>LBN|NE.CON.PRVT.ZS</v>
      </c>
    </row>
    <row r="135">
      <c r="A135" s="3" t="inlineStr">
        <is>
          <t>Liberia</t>
        </is>
      </c>
      <c r="B135" s="3" t="inlineStr">
        <is>
          <t>LBR</t>
        </is>
      </c>
      <c r="C135" s="3" t="inlineStr">
        <is>
          <t>Households and NPISHs final consumption expenditure (% of GDP)</t>
        </is>
      </c>
      <c r="D135" s="3" t="inlineStr">
        <is>
          <t>NE.CON.PRVT.ZS</t>
        </is>
      </c>
      <c r="E135" s="3" t="inlineStr">
        <is>
          <t>0x2a</t>
        </is>
      </c>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3" t="n"/>
      <c r="AL135" s="3" t="n"/>
      <c r="AM135" s="3" t="n"/>
      <c r="AN135" s="3" t="n"/>
      <c r="AO135" s="3" t="n"/>
      <c r="AP135" s="3" t="n"/>
      <c r="AQ135" s="3" t="n"/>
      <c r="AR135" s="3" t="n"/>
      <c r="AS135" s="3" t="n"/>
      <c r="AT135" s="3" t="n"/>
      <c r="AU135" s="3" t="n"/>
      <c r="AV135" s="3" t="n"/>
      <c r="AW135" s="3" t="n"/>
      <c r="AX135" s="3" t="n"/>
      <c r="AY135" s="3" t="n"/>
      <c r="AZ135" s="3" t="n"/>
      <c r="BA135" s="3" t="n"/>
      <c r="BB135" s="3" t="n"/>
      <c r="BC135" s="3" t="n"/>
      <c r="BD135" s="3" t="n"/>
      <c r="BE135" s="3" t="n"/>
      <c r="BF135" s="3" t="n"/>
      <c r="BG135" s="3" t="n"/>
      <c r="BH135" s="3" t="n"/>
      <c r="BI135" s="3" t="n"/>
      <c r="BJ135" s="3" t="n"/>
      <c r="BK135" s="3" t="n"/>
      <c r="BL135" s="3" t="n"/>
      <c r="BM135" s="3" t="n"/>
      <c r="BN135" s="3" t="n"/>
      <c r="BO135" s="3" t="n"/>
      <c r="BP135" s="3" t="n"/>
      <c r="BQ135" s="3" t="n"/>
      <c r="BR135" s="34" t="str">
        <f>B135&amp;"|"&amp;D135</f>
        <v>LBR|NE.CON.PRVT.ZS</v>
      </c>
    </row>
    <row r="136">
      <c r="A136" s="3" t="inlineStr">
        <is>
          <t>Libya</t>
        </is>
      </c>
      <c r="B136" s="3" t="inlineStr">
        <is>
          <t>LBY</t>
        </is>
      </c>
      <c r="C136" s="3" t="inlineStr">
        <is>
          <t>Households and NPISHs final consumption expenditure (% of GDP)</t>
        </is>
      </c>
      <c r="D136" s="3" t="inlineStr">
        <is>
          <t>NE.CON.PRVT.ZS</t>
        </is>
      </c>
      <c r="E136" s="3" t="n">
        <v>2023</v>
      </c>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v>48.43005497861942</v>
      </c>
      <c r="AK136" s="3" t="n">
        <v>57.37668411090079</v>
      </c>
      <c r="AL136" s="3" t="n">
        <v>53.84131642385495</v>
      </c>
      <c r="AM136" s="3" t="n">
        <v>64.17702528932705</v>
      </c>
      <c r="AN136" s="3" t="n">
        <v>60.12842379853517</v>
      </c>
      <c r="AO136" s="3" t="n">
        <v>58.76404494382022</v>
      </c>
      <c r="AP136" s="3" t="n">
        <v>55.90311986863711</v>
      </c>
      <c r="AQ136" s="3" t="n">
        <v>59.14198883313308</v>
      </c>
      <c r="AR136" s="3" t="n">
        <v>63.34955266049286</v>
      </c>
      <c r="AS136" s="3" t="n">
        <v>51.02481121898597</v>
      </c>
      <c r="AT136" s="3" t="n">
        <v>40.61830425466789</v>
      </c>
      <c r="AU136" s="3" t="n">
        <v>43.57558139534884</v>
      </c>
      <c r="AV136" s="3" t="n">
        <v>53.58680608949715</v>
      </c>
      <c r="AW136" s="3" t="n">
        <v>33.92931409875074</v>
      </c>
      <c r="AX136" s="3" t="n">
        <v>35.21306997375694</v>
      </c>
      <c r="AY136" s="3" t="n">
        <v>24.45676677646451</v>
      </c>
      <c r="AZ136" s="3" t="n">
        <v>22.94532044728718</v>
      </c>
      <c r="BA136" s="3" t="n">
        <v>23.36012758799322</v>
      </c>
      <c r="BB136" s="3" t="n">
        <v>21.26102774845423</v>
      </c>
      <c r="BC136" s="3" t="n">
        <v>36.89862723284566</v>
      </c>
      <c r="BD136" s="3" t="n">
        <v>28.27505246534774</v>
      </c>
      <c r="BE136" s="3" t="n">
        <v>34.56928934225365</v>
      </c>
      <c r="BF136" s="3" t="n">
        <v>24.89893383763635</v>
      </c>
      <c r="BG136" s="3" t="n">
        <v>33.2084856099867</v>
      </c>
      <c r="BH136" s="3" t="n">
        <v>43.17725720438298</v>
      </c>
      <c r="BI136" s="3" t="n">
        <v>44.23153229869325</v>
      </c>
      <c r="BJ136" s="3" t="n">
        <v>49.73442349869301</v>
      </c>
      <c r="BK136" s="3" t="n">
        <v>39.18000457238578</v>
      </c>
      <c r="BL136" s="3" t="n">
        <v>34.08242169251361</v>
      </c>
      <c r="BM136" s="3" t="n">
        <v>47.87738848394476</v>
      </c>
      <c r="BN136" s="3" t="n">
        <v>50.76661897464986</v>
      </c>
      <c r="BO136" s="3" t="n">
        <v>29.63289154154863</v>
      </c>
      <c r="BP136" s="3" t="n">
        <v>23.7967293076391</v>
      </c>
      <c r="BQ136" s="3" t="n">
        <v>26.12969929133909</v>
      </c>
      <c r="BR136" s="34" t="str">
        <f>B136&amp;"|"&amp;D136</f>
        <v>LBY|NE.CON.PRVT.ZS</v>
      </c>
    </row>
    <row r="137">
      <c r="A137" s="3" t="inlineStr">
        <is>
          <t>St. Lucia</t>
        </is>
      </c>
      <c r="B137" s="3" t="inlineStr">
        <is>
          <t>LCA</t>
        </is>
      </c>
      <c r="C137" s="3" t="inlineStr">
        <is>
          <t>Households and NPISHs final consumption expenditure (% of GDP)</t>
        </is>
      </c>
      <c r="D137" s="3" t="inlineStr">
        <is>
          <t>NE.CON.PRVT.ZS</t>
        </is>
      </c>
      <c r="E137" s="3" t="inlineStr">
        <is>
          <t>0x2a</t>
        </is>
      </c>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c r="AL137" s="3" t="n"/>
      <c r="AM137" s="3" t="n"/>
      <c r="AN137" s="3" t="n"/>
      <c r="AO137" s="3" t="n"/>
      <c r="AP137" s="3" t="n"/>
      <c r="AQ137" s="3" t="n"/>
      <c r="AR137" s="3" t="n"/>
      <c r="AS137" s="3" t="n"/>
      <c r="AT137" s="3" t="n"/>
      <c r="AU137" s="3" t="n"/>
      <c r="AV137" s="3" t="n"/>
      <c r="AW137" s="3" t="n"/>
      <c r="AX137" s="3" t="n"/>
      <c r="AY137" s="3" t="n"/>
      <c r="AZ137" s="3" t="n"/>
      <c r="BA137" s="3" t="n"/>
      <c r="BB137" s="3" t="n"/>
      <c r="BC137" s="3" t="n"/>
      <c r="BD137" s="3" t="n"/>
      <c r="BE137" s="3" t="n"/>
      <c r="BF137" s="3" t="n"/>
      <c r="BG137" s="3" t="n"/>
      <c r="BH137" s="3" t="n"/>
      <c r="BI137" s="3" t="n"/>
      <c r="BJ137" s="3" t="n"/>
      <c r="BK137" s="3" t="n"/>
      <c r="BL137" s="3" t="n"/>
      <c r="BM137" s="3" t="n"/>
      <c r="BN137" s="3" t="n"/>
      <c r="BO137" s="3" t="n"/>
      <c r="BP137" s="3" t="n"/>
      <c r="BQ137" s="3" t="n"/>
      <c r="BR137" s="34" t="str">
        <f>B137&amp;"|"&amp;D137</f>
        <v>LCA|NE.CON.PRVT.ZS</v>
      </c>
    </row>
    <row r="138">
      <c r="A138" s="3" t="inlineStr">
        <is>
          <t>Latin America &amp; Caribbean</t>
        </is>
      </c>
      <c r="B138" s="3" t="inlineStr">
        <is>
          <t>LCN</t>
        </is>
      </c>
      <c r="C138" s="3" t="inlineStr">
        <is>
          <t>Households and NPISHs final consumption expenditure (% of GDP)</t>
        </is>
      </c>
      <c r="D138" s="3" t="inlineStr">
        <is>
          <t>NE.CON.PRVT.ZS</t>
        </is>
      </c>
      <c r="E138" s="3" t="n">
        <v>2023</v>
      </c>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v>62.08008674607732</v>
      </c>
      <c r="AJ138" s="3" t="n">
        <v>65.75164905549718</v>
      </c>
      <c r="AK138" s="3" t="n">
        <v>68.7428811841002</v>
      </c>
      <c r="AL138" s="3" t="n">
        <v>70.26088968121648</v>
      </c>
      <c r="AM138" s="3" t="n">
        <v>68.00482829386027</v>
      </c>
      <c r="AN138" s="3" t="n">
        <v>66.93284416406139</v>
      </c>
      <c r="AO138" s="3" t="n">
        <v>66.78712982881862</v>
      </c>
      <c r="AP138" s="3" t="n">
        <v>66.99297959365246</v>
      </c>
      <c r="AQ138" s="3" t="n">
        <v>66.82811890873289</v>
      </c>
      <c r="AR138" s="3" t="n">
        <v>66.45903493781773</v>
      </c>
      <c r="AS138" s="3" t="n">
        <v>66.63270299048021</v>
      </c>
      <c r="AT138" s="3" t="n">
        <v>66.6913347057564</v>
      </c>
      <c r="AU138" s="3" t="n">
        <v>66.83022595182767</v>
      </c>
      <c r="AV138" s="3" t="n">
        <v>65.93518822604358</v>
      </c>
      <c r="AW138" s="3" t="n">
        <v>65.98982467671712</v>
      </c>
      <c r="AX138" s="3" t="n">
        <v>64.52329953821803</v>
      </c>
      <c r="AY138" s="3" t="n">
        <v>64.51697594281737</v>
      </c>
      <c r="AZ138" s="3" t="n">
        <v>63.29083767528844</v>
      </c>
      <c r="BA138" s="3" t="n">
        <v>63.01428776632394</v>
      </c>
      <c r="BB138" s="3" t="n">
        <v>63.1495865952582</v>
      </c>
      <c r="BC138" s="3" t="n">
        <v>64.22184333240213</v>
      </c>
      <c r="BD138" s="3" t="n">
        <v>63.24687743312537</v>
      </c>
      <c r="BE138" s="3" t="n">
        <v>63.15707662020882</v>
      </c>
      <c r="BF138" s="3" t="n">
        <v>63.97511993140547</v>
      </c>
      <c r="BG138" s="3" t="n">
        <v>64.95371809597687</v>
      </c>
      <c r="BH138" s="3" t="n">
        <v>66.30617924909519</v>
      </c>
      <c r="BI138" s="3" t="n">
        <v>65.92875605401747</v>
      </c>
      <c r="BJ138" s="3" t="n">
        <v>65.88172830585417</v>
      </c>
      <c r="BK138" s="3" t="n">
        <v>65.88045507450757</v>
      </c>
      <c r="BL138" s="3" t="n">
        <v>66.02104160076109</v>
      </c>
      <c r="BM138" s="3" t="n">
        <v>66.02534318444872</v>
      </c>
      <c r="BN138" s="3" t="n">
        <v>64.76951529461329</v>
      </c>
      <c r="BO138" s="3" t="n">
        <v>64.90401424741981</v>
      </c>
      <c r="BP138" s="3" t="n">
        <v>66.54786222668984</v>
      </c>
      <c r="BQ138" s="3" t="n">
        <v>66.93814320746296</v>
      </c>
      <c r="BR138" s="34" t="str">
        <f>B138&amp;"|"&amp;D138</f>
        <v>LCN|NE.CON.PRVT.ZS</v>
      </c>
    </row>
    <row r="139">
      <c r="A139" s="3" t="inlineStr">
        <is>
          <t>Least developed countries: UN classification</t>
        </is>
      </c>
      <c r="B139" s="3" t="inlineStr">
        <is>
          <t>LDC</t>
        </is>
      </c>
      <c r="C139" s="3" t="inlineStr">
        <is>
          <t>Households and NPISHs final consumption expenditure (% of GDP)</t>
        </is>
      </c>
      <c r="D139" s="3" t="inlineStr">
        <is>
          <t>NE.CON.PRVT.ZS</t>
        </is>
      </c>
      <c r="E139" s="3" t="n">
        <v>2023</v>
      </c>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v>84.49403933820064</v>
      </c>
      <c r="AK139" s="3" t="n">
        <v>84.20050057677678</v>
      </c>
      <c r="AL139" s="3" t="n">
        <v>81.48465735731408</v>
      </c>
      <c r="AM139" s="3" t="n">
        <v>84.16383053056002</v>
      </c>
      <c r="AN139" s="3" t="n">
        <v>85.808461686619</v>
      </c>
      <c r="AO139" s="3" t="n">
        <v>84.81552440344214</v>
      </c>
      <c r="AP139" s="3" t="n">
        <v>80.56974794973821</v>
      </c>
      <c r="AQ139" s="3" t="n">
        <v>79.83964297968762</v>
      </c>
      <c r="AR139" s="3" t="n">
        <v>82.9954711718598</v>
      </c>
      <c r="AS139" s="3" t="n">
        <v>81.42949752924821</v>
      </c>
      <c r="AT139" s="3" t="n">
        <v>79.09774223564625</v>
      </c>
      <c r="AU139" s="3" t="n">
        <v>78.04584208566661</v>
      </c>
      <c r="AV139" s="3" t="n">
        <v>75.83381722060493</v>
      </c>
      <c r="AW139" s="3" t="n">
        <v>73.80178430817665</v>
      </c>
      <c r="AX139" s="3" t="n">
        <v>71.65289128606713</v>
      </c>
      <c r="AY139" s="3" t="n">
        <v>69.48592553940937</v>
      </c>
      <c r="AZ139" s="3" t="n">
        <v>67.22419019477813</v>
      </c>
      <c r="BA139" s="3" t="n">
        <v>65.68601545283724</v>
      </c>
      <c r="BB139" s="3" t="n">
        <v>64.69354168428526</v>
      </c>
      <c r="BC139" s="3" t="n">
        <v>69.29232407418387</v>
      </c>
      <c r="BD139" s="3" t="n">
        <v>65.69467887486776</v>
      </c>
      <c r="BE139" s="3" t="n">
        <v>65.01989046000588</v>
      </c>
      <c r="BF139" s="3" t="n">
        <v>67.35197568174802</v>
      </c>
      <c r="BG139" s="3" t="n">
        <v>67.54174391183744</v>
      </c>
      <c r="BH139" s="3" t="n">
        <v>69.00276465694873</v>
      </c>
      <c r="BI139" s="3" t="n">
        <v>72.89312898509748</v>
      </c>
      <c r="BJ139" s="3" t="n">
        <v>72.22398573645611</v>
      </c>
      <c r="BK139" s="3" t="n">
        <v>70.88360683854475</v>
      </c>
      <c r="BL139" s="3" t="n">
        <v>71.37170157034836</v>
      </c>
      <c r="BM139" s="3" t="n">
        <v>70.28964775504102</v>
      </c>
      <c r="BN139" s="3" t="n">
        <v>70.40926161687385</v>
      </c>
      <c r="BO139" s="3" t="n">
        <v>71.43035915333994</v>
      </c>
      <c r="BP139" s="3" t="n">
        <v>72.37474988436698</v>
      </c>
      <c r="BQ139" s="3" t="n">
        <v>72.93157471834832</v>
      </c>
      <c r="BR139" s="34" t="str">
        <f>B139&amp;"|"&amp;D139</f>
        <v>LDC|NE.CON.PRVT.ZS</v>
      </c>
    </row>
    <row r="140">
      <c r="A140" s="3" t="inlineStr">
        <is>
          <t>Low income</t>
        </is>
      </c>
      <c r="B140" s="3" t="inlineStr">
        <is>
          <t>LIC</t>
        </is>
      </c>
      <c r="C140" s="3" t="inlineStr">
        <is>
          <t>Households and NPISHs final consumption expenditure (% of GDP)</t>
        </is>
      </c>
      <c r="D140" s="3" t="inlineStr">
        <is>
          <t>NE.CON.PRVT.ZS</t>
        </is>
      </c>
      <c r="E140" s="3" t="n">
        <v>2023</v>
      </c>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v>77.50958181329291</v>
      </c>
      <c r="AK140" s="3" t="n">
        <v>78.33008083354879</v>
      </c>
      <c r="AL140" s="3" t="n">
        <v>74.84708880348609</v>
      </c>
      <c r="AM140" s="3" t="n">
        <v>78.20050533169386</v>
      </c>
      <c r="AN140" s="3" t="n">
        <v>82.38842042086826</v>
      </c>
      <c r="AO140" s="3" t="n">
        <v>81.83929922060165</v>
      </c>
      <c r="AP140" s="3" t="n">
        <v>76.37221711810204</v>
      </c>
      <c r="AQ140" s="3" t="n">
        <v>75.72464098045783</v>
      </c>
      <c r="AR140" s="3" t="n">
        <v>78.54204122311815</v>
      </c>
      <c r="AS140" s="3" t="n">
        <v>76.78545005342443</v>
      </c>
      <c r="AT140" s="3" t="n">
        <v>75.47253941737468</v>
      </c>
      <c r="AU140" s="3" t="n">
        <v>71.61404105191349</v>
      </c>
      <c r="AV140" s="3" t="n">
        <v>72.12992053942399</v>
      </c>
      <c r="AW140" s="3" t="n">
        <v>71.19799888987124</v>
      </c>
      <c r="AX140" s="3" t="n">
        <v>68.50140579911837</v>
      </c>
      <c r="AY140" s="3" t="n">
        <v>69.44562314411455</v>
      </c>
      <c r="AZ140" s="3" t="n">
        <v>69.7621929614739</v>
      </c>
      <c r="BA140" s="3" t="n">
        <v>67.59338130837484</v>
      </c>
      <c r="BB140" s="3" t="n">
        <v>70.34827556692007</v>
      </c>
      <c r="BC140" s="3" t="n">
        <v>74.37832628699313</v>
      </c>
      <c r="BD140" s="3" t="n">
        <v>70.66181579081348</v>
      </c>
      <c r="BE140" s="3" t="n">
        <v>73.60546592790152</v>
      </c>
      <c r="BF140" s="3" t="n">
        <v>80.21799028373245</v>
      </c>
      <c r="BG140" s="3" t="n">
        <v>77.28177740703313</v>
      </c>
      <c r="BH140" s="3" t="n">
        <v>79.01801126154353</v>
      </c>
      <c r="BI140" s="3" t="n">
        <v>80.72440993455059</v>
      </c>
      <c r="BJ140" s="3" t="n">
        <v>81.9562285031361</v>
      </c>
      <c r="BK140" s="3" t="n">
        <v>80.03600494812247</v>
      </c>
      <c r="BL140" s="3" t="n">
        <v>81.1713268937004</v>
      </c>
      <c r="BM140" s="3" t="n">
        <v>80.92020616593015</v>
      </c>
      <c r="BN140" s="3" t="n">
        <v>79.67097942676385</v>
      </c>
      <c r="BO140" s="3" t="n">
        <v>80.11650005844892</v>
      </c>
      <c r="BP140" s="3" t="n">
        <v>81.3310634930739</v>
      </c>
      <c r="BQ140" s="3" t="n">
        <v>83.37062543680317</v>
      </c>
      <c r="BR140" s="34" t="str">
        <f>B140&amp;"|"&amp;D140</f>
        <v>LIC|NE.CON.PRVT.ZS</v>
      </c>
    </row>
    <row r="141">
      <c r="A141" s="3" t="inlineStr">
        <is>
          <t>Liechtenstein</t>
        </is>
      </c>
      <c r="B141" s="3" t="inlineStr">
        <is>
          <t>LIE</t>
        </is>
      </c>
      <c r="C141" s="3" t="inlineStr">
        <is>
          <t>Households and NPISHs final consumption expenditure (% of GDP)</t>
        </is>
      </c>
      <c r="D141" s="3" t="inlineStr">
        <is>
          <t>NE.CON.PRVT.ZS</t>
        </is>
      </c>
      <c r="E141" s="3" t="inlineStr">
        <is>
          <t>0x2a</t>
        </is>
      </c>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3" t="n"/>
      <c r="AL141" s="3" t="n"/>
      <c r="AM141" s="3" t="n"/>
      <c r="AN141" s="3" t="n"/>
      <c r="AO141" s="3" t="n"/>
      <c r="AP141" s="3" t="n"/>
      <c r="AQ141" s="3" t="n"/>
      <c r="AR141" s="3" t="n"/>
      <c r="AS141" s="3" t="n"/>
      <c r="AT141" s="3" t="n"/>
      <c r="AU141" s="3" t="n"/>
      <c r="AV141" s="3" t="n"/>
      <c r="AW141" s="3" t="n"/>
      <c r="AX141" s="3" t="n"/>
      <c r="AY141" s="3" t="n"/>
      <c r="AZ141" s="3" t="n"/>
      <c r="BA141" s="3" t="n"/>
      <c r="BB141" s="3" t="n"/>
      <c r="BC141" s="3" t="n"/>
      <c r="BD141" s="3" t="n"/>
      <c r="BE141" s="3" t="n"/>
      <c r="BF141" s="3" t="n"/>
      <c r="BG141" s="3" t="n"/>
      <c r="BH141" s="3" t="n"/>
      <c r="BI141" s="3" t="n"/>
      <c r="BJ141" s="3" t="n"/>
      <c r="BK141" s="3" t="n"/>
      <c r="BL141" s="3" t="n"/>
      <c r="BM141" s="3" t="n"/>
      <c r="BN141" s="3" t="n"/>
      <c r="BO141" s="3" t="n"/>
      <c r="BP141" s="3" t="n"/>
      <c r="BQ141" s="3" t="n"/>
      <c r="BR141" s="34" t="str">
        <f>B141&amp;"|"&amp;D141</f>
        <v>LIE|NE.CON.PRVT.ZS</v>
      </c>
    </row>
    <row r="142">
      <c r="A142" s="3" t="inlineStr">
        <is>
          <t>Sri Lanka</t>
        </is>
      </c>
      <c r="B142" s="3" t="inlineStr">
        <is>
          <t>LKA</t>
        </is>
      </c>
      <c r="C142" s="3" t="inlineStr">
        <is>
          <t>Households and NPISHs final consumption expenditure (% of GDP)</t>
        </is>
      </c>
      <c r="D142" s="3" t="inlineStr">
        <is>
          <t>NE.CON.PRVT.ZS</t>
        </is>
      </c>
      <c r="E142" s="3" t="n">
        <v>2023</v>
      </c>
      <c r="F142" s="3" t="n">
        <v>77.03402026523618</v>
      </c>
      <c r="G142" s="3" t="n">
        <v>72.38801970763635</v>
      </c>
      <c r="H142" s="3" t="n">
        <v>73.29430204591105</v>
      </c>
      <c r="I142" s="3" t="n">
        <v>73.43145520184233</v>
      </c>
      <c r="J142" s="3" t="n">
        <v>75.26996986141408</v>
      </c>
      <c r="K142" s="3" t="n">
        <v>75.16474517565561</v>
      </c>
      <c r="L142" s="3" t="n">
        <v>75.05951781216265</v>
      </c>
      <c r="M142" s="3" t="n">
        <v>74.95429899302866</v>
      </c>
      <c r="N142" s="3" t="n">
        <v>74.84907156838962</v>
      </c>
      <c r="O142" s="3" t="n">
        <v>74.74384779820437</v>
      </c>
      <c r="P142" s="3" t="n">
        <v>74.63861241217799</v>
      </c>
      <c r="Q142" s="3" t="n">
        <v>74.53338078291814</v>
      </c>
      <c r="R142" s="3" t="n">
        <v>74.42814979996065</v>
      </c>
      <c r="S142" s="3" t="n">
        <v>74.32297326668116</v>
      </c>
      <c r="T142" s="3" t="n">
        <v>74.21774431029405</v>
      </c>
      <c r="U142" s="3" t="n">
        <v>74.11250329232043</v>
      </c>
      <c r="V142" s="3" t="n">
        <v>74.00728404463133</v>
      </c>
      <c r="W142" s="3" t="n">
        <v>73.90205180322465</v>
      </c>
      <c r="X142" s="3" t="n">
        <v>73.79683581389898</v>
      </c>
      <c r="Y142" s="3" t="n">
        <v>73.69160287857675</v>
      </c>
      <c r="Z142" s="3" t="n">
        <v>73.58637846287974</v>
      </c>
      <c r="AA142" s="3" t="n">
        <v>73.48114816775484</v>
      </c>
      <c r="AB142" s="3" t="n">
        <v>73.37592454503316</v>
      </c>
      <c r="AC142" s="3" t="n">
        <v>73.27070501064958</v>
      </c>
      <c r="AD142" s="3" t="n">
        <v>73.16548072795391</v>
      </c>
      <c r="AE142" s="3" t="n">
        <v>73.06026173979984</v>
      </c>
      <c r="AF142" s="3" t="n">
        <v>72.95502412605725</v>
      </c>
      <c r="AG142" s="3" t="n">
        <v>72.8497938726026</v>
      </c>
      <c r="AH142" s="3" t="n">
        <v>72.74459190384806</v>
      </c>
      <c r="AI142" s="3" t="n">
        <v>72.63935591188252</v>
      </c>
      <c r="AJ142" s="3" t="n">
        <v>72.53412226835393</v>
      </c>
      <c r="AK142" s="3" t="n">
        <v>72.42890330204516</v>
      </c>
      <c r="AL142" s="3" t="n">
        <v>72.32367623441333</v>
      </c>
      <c r="AM142" s="3" t="n">
        <v>72.21845005154485</v>
      </c>
      <c r="AN142" s="3" t="n">
        <v>72.11323400404778</v>
      </c>
      <c r="AO142" s="3" t="n">
        <v>72.00800572650546</v>
      </c>
      <c r="AP142" s="3" t="n">
        <v>71.90278182802867</v>
      </c>
      <c r="AQ142" s="3" t="n">
        <v>71.79756097013048</v>
      </c>
      <c r="AR142" s="3" t="n">
        <v>71.69233172165433</v>
      </c>
      <c r="AS142" s="3" t="n">
        <v>71.5871040984192</v>
      </c>
      <c r="AT142" s="3" t="n">
        <v>71.48186756740425</v>
      </c>
      <c r="AU142" s="3" t="n">
        <v>71.37661130682295</v>
      </c>
      <c r="AV142" s="3" t="n">
        <v>71.27143212686131</v>
      </c>
      <c r="AW142" s="3" t="n">
        <v>71.84822998263893</v>
      </c>
      <c r="AX142" s="3" t="n">
        <v>70.93757966292033</v>
      </c>
      <c r="AY142" s="3" t="n">
        <v>69.01408278436486</v>
      </c>
      <c r="AZ142" s="3" t="n">
        <v>67.66228374644399</v>
      </c>
      <c r="BA142" s="3" t="n">
        <v>67.15217979326502</v>
      </c>
      <c r="BB142" s="3" t="n">
        <v>69.95054279587602</v>
      </c>
      <c r="BC142" s="3" t="n">
        <v>64.44740784064172</v>
      </c>
      <c r="BD142" s="3" t="n"/>
      <c r="BE142" s="3" t="n"/>
      <c r="BF142" s="3" t="n"/>
      <c r="BG142" s="3" t="n"/>
      <c r="BH142" s="3" t="n"/>
      <c r="BI142" s="3" t="n">
        <v>63.94474827838813</v>
      </c>
      <c r="BJ142" s="3" t="n">
        <v>62.20013604007131</v>
      </c>
      <c r="BK142" s="3" t="n">
        <v>59.11215111911186</v>
      </c>
      <c r="BL142" s="3" t="n">
        <v>60.25096785103894</v>
      </c>
      <c r="BM142" s="3" t="n">
        <v>62.69719723688587</v>
      </c>
      <c r="BN142" s="3" t="n">
        <v>62.90480775781858</v>
      </c>
      <c r="BO142" s="3" t="n">
        <v>61.20143272013559</v>
      </c>
      <c r="BP142" s="3" t="n">
        <v>67.78224388897236</v>
      </c>
      <c r="BQ142" s="3" t="n">
        <v>69.34035462754812</v>
      </c>
      <c r="BR142" s="34" t="str">
        <f>B142&amp;"|"&amp;D142</f>
        <v>LKA|NE.CON.PRVT.ZS</v>
      </c>
    </row>
    <row r="143">
      <c r="A143" s="3" t="inlineStr">
        <is>
          <t>Lower middle income</t>
        </is>
      </c>
      <c r="B143" s="3" t="inlineStr">
        <is>
          <t>LMC</t>
        </is>
      </c>
      <c r="C143" s="3" t="inlineStr">
        <is>
          <t>Households and NPISHs final consumption expenditure (% of GDP)</t>
        </is>
      </c>
      <c r="D143" s="3" t="inlineStr">
        <is>
          <t>NE.CON.PRVT.ZS</t>
        </is>
      </c>
      <c r="E143" s="3" t="n">
        <v>2023</v>
      </c>
      <c r="F143" s="3" t="n"/>
      <c r="G143" s="3" t="n"/>
      <c r="H143" s="3" t="n"/>
      <c r="I143" s="3" t="n"/>
      <c r="J143" s="3" t="n"/>
      <c r="K143" s="3" t="n">
        <v>83.21609180438959</v>
      </c>
      <c r="L143" s="3" t="n">
        <v>78.59443799614183</v>
      </c>
      <c r="M143" s="3" t="n">
        <v>81.29379077321622</v>
      </c>
      <c r="N143" s="3" t="n">
        <v>78.17741666956596</v>
      </c>
      <c r="O143" s="3" t="n">
        <v>76.36753943735603</v>
      </c>
      <c r="P143" s="3" t="n">
        <v>76.00028306258866</v>
      </c>
      <c r="Q143" s="3" t="n">
        <v>79.32443812150021</v>
      </c>
      <c r="R143" s="3" t="n">
        <v>78.52063208552767</v>
      </c>
      <c r="S143" s="3" t="n">
        <v>76.36701166158709</v>
      </c>
      <c r="T143" s="3" t="n">
        <v>73.09962172599323</v>
      </c>
      <c r="U143" s="3" t="n">
        <v>68.72113397295584</v>
      </c>
      <c r="V143" s="3" t="n">
        <v>67.17148147668709</v>
      </c>
      <c r="W143" s="3" t="n">
        <v>69.81957282285093</v>
      </c>
      <c r="X143" s="3" t="n">
        <v>70.4163969895839</v>
      </c>
      <c r="Y143" s="3" t="n">
        <v>69.13534115601696</v>
      </c>
      <c r="Z143" s="3" t="n">
        <v>69.48318085857039</v>
      </c>
      <c r="AA143" s="3" t="n">
        <v>56.74424314672234</v>
      </c>
      <c r="AB143" s="3" t="n">
        <v>58.81493414002541</v>
      </c>
      <c r="AC143" s="3" t="n">
        <v>64.25088366822681</v>
      </c>
      <c r="AD143" s="3" t="n">
        <v>66.79605097291468</v>
      </c>
      <c r="AE143" s="3" t="n">
        <v>66.31007194444864</v>
      </c>
      <c r="AF143" s="3" t="n">
        <v>70.48618828724413</v>
      </c>
      <c r="AG143" s="3" t="n">
        <v>70.12982539045687</v>
      </c>
      <c r="AH143" s="3" t="n">
        <v>70.67620766016334</v>
      </c>
      <c r="AI143" s="3" t="n">
        <v>72.36205210961195</v>
      </c>
      <c r="AJ143" s="3" t="n">
        <v>72.23248411506803</v>
      </c>
      <c r="AK143" s="3" t="n">
        <v>70.9487158810243</v>
      </c>
      <c r="AL143" s="3" t="n">
        <v>72.53196632199047</v>
      </c>
      <c r="AM143" s="3" t="n">
        <v>72.81365133303235</v>
      </c>
      <c r="AN143" s="3" t="n">
        <v>69.9633170485212</v>
      </c>
      <c r="AO143" s="3" t="n">
        <v>66.0562567317113</v>
      </c>
      <c r="AP143" s="3" t="n">
        <v>64.61005018683078</v>
      </c>
      <c r="AQ143" s="3" t="n">
        <v>64.2081296387916</v>
      </c>
      <c r="AR143" s="3" t="n">
        <v>63.00632493076407</v>
      </c>
      <c r="AS143" s="3" t="n">
        <v>73.04217598846856</v>
      </c>
      <c r="AT143" s="3" t="n">
        <v>72.51332514660169</v>
      </c>
      <c r="AU143" s="3" t="n">
        <v>72.65763527459866</v>
      </c>
      <c r="AV143" s="3" t="n">
        <v>70.24074429244777</v>
      </c>
      <c r="AW143" s="3" t="n">
        <v>68.93845083744262</v>
      </c>
      <c r="AX143" s="3" t="n">
        <v>66.37320734990412</v>
      </c>
      <c r="AY143" s="3" t="n">
        <v>65.08145396203241</v>
      </c>
      <c r="AZ143" s="3" t="n">
        <v>62.81421945005103</v>
      </c>
      <c r="BA143" s="3" t="n">
        <v>63.17397675403743</v>
      </c>
      <c r="BB143" s="3" t="n">
        <v>63.21601377574468</v>
      </c>
      <c r="BC143" s="3" t="n">
        <v>64.37118938906681</v>
      </c>
      <c r="BD143" s="3" t="n">
        <v>62.11818554786625</v>
      </c>
      <c r="BE143" s="3" t="n">
        <v>62.83984621366263</v>
      </c>
      <c r="BF143" s="3" t="n">
        <v>63.48210800605106</v>
      </c>
      <c r="BG143" s="3" t="n">
        <v>63.73743084076428</v>
      </c>
      <c r="BH143" s="3" t="n">
        <v>64.0586519784577</v>
      </c>
      <c r="BI143" s="3" t="n">
        <v>66.41833222769151</v>
      </c>
      <c r="BJ143" s="3" t="n">
        <v>67.71597260688692</v>
      </c>
      <c r="BK143" s="3" t="n">
        <v>67.57817103134556</v>
      </c>
      <c r="BL143" s="3" t="n">
        <v>67.47839296687684</v>
      </c>
      <c r="BM143" s="3" t="n">
        <v>67.75137719237325</v>
      </c>
      <c r="BN143" s="3" t="n">
        <v>68.62223393049554</v>
      </c>
      <c r="BO143" s="3" t="n">
        <v>69.46592952546169</v>
      </c>
      <c r="BP143" s="3" t="n">
        <v>69.6789238614996</v>
      </c>
      <c r="BQ143" s="3" t="n">
        <v>69.65592660133166</v>
      </c>
      <c r="BR143" s="34" t="str">
        <f>B143&amp;"|"&amp;D143</f>
        <v>LMC|NE.CON.PRVT.ZS</v>
      </c>
    </row>
    <row r="144">
      <c r="A144" s="3" t="inlineStr">
        <is>
          <t>Low &amp; middle income</t>
        </is>
      </c>
      <c r="B144" s="3" t="inlineStr">
        <is>
          <t>LMY</t>
        </is>
      </c>
      <c r="C144" s="3" t="inlineStr">
        <is>
          <t>Households and NPISHs final consumption expenditure (% of GDP)</t>
        </is>
      </c>
      <c r="D144" s="3" t="inlineStr">
        <is>
          <t>NE.CON.PRVT.ZS</t>
        </is>
      </c>
      <c r="E144" s="3" t="n">
        <v>2022</v>
      </c>
      <c r="F144" s="3" t="n">
        <v>63.27710311119718</v>
      </c>
      <c r="G144" s="3" t="n">
        <v>67.99426418856392</v>
      </c>
      <c r="H144" s="3" t="n">
        <v>70.06327436619159</v>
      </c>
      <c r="I144" s="3" t="n">
        <v>68.33451089672667</v>
      </c>
      <c r="J144" s="3" t="n">
        <v>66.71098359058585</v>
      </c>
      <c r="K144" s="3" t="n">
        <v>64.44652921286932</v>
      </c>
      <c r="L144" s="3" t="n">
        <v>62.60502759024894</v>
      </c>
      <c r="M144" s="3" t="n">
        <v>65.13194091255802</v>
      </c>
      <c r="N144" s="3" t="n">
        <v>64.16017853443509</v>
      </c>
      <c r="O144" s="3" t="n">
        <v>62.38486331680083</v>
      </c>
      <c r="P144" s="3" t="n">
        <v>61.16999696603283</v>
      </c>
      <c r="Q144" s="3" t="n">
        <v>61.96072583716946</v>
      </c>
      <c r="R144" s="3" t="n">
        <v>61.30430489184374</v>
      </c>
      <c r="S144" s="3" t="n">
        <v>59.53414364405336</v>
      </c>
      <c r="T144" s="3" t="n">
        <v>57.37266278615092</v>
      </c>
      <c r="U144" s="3" t="n">
        <v>57.52505996081057</v>
      </c>
      <c r="V144" s="3" t="n">
        <v>56.17675293445416</v>
      </c>
      <c r="W144" s="3" t="n">
        <v>56.4838578295319</v>
      </c>
      <c r="X144" s="3" t="n">
        <v>57.31405454615063</v>
      </c>
      <c r="Y144" s="3" t="n">
        <v>55.996942705273</v>
      </c>
      <c r="Z144" s="3" t="n">
        <v>56.31514520712826</v>
      </c>
      <c r="AA144" s="3" t="n">
        <v>55.30686585272486</v>
      </c>
      <c r="AB144" s="3" t="n">
        <v>55.91986349203754</v>
      </c>
      <c r="AC144" s="3" t="n">
        <v>57.55020901046574</v>
      </c>
      <c r="AD144" s="3" t="n">
        <v>58.60862268170649</v>
      </c>
      <c r="AE144" s="3" t="n">
        <v>58.89307278227294</v>
      </c>
      <c r="AF144" s="3" t="n">
        <v>61.00616724380659</v>
      </c>
      <c r="AG144" s="3" t="n">
        <v>60.44583000578479</v>
      </c>
      <c r="AH144" s="3" t="n">
        <v>60.94713098219511</v>
      </c>
      <c r="AI144" s="3" t="n">
        <v>61.85875734800737</v>
      </c>
      <c r="AJ144" s="3" t="n">
        <v>62.28786732231221</v>
      </c>
      <c r="AK144" s="3" t="n">
        <v>64.03144012976196</v>
      </c>
      <c r="AL144" s="3" t="n">
        <v>64.13296188911748</v>
      </c>
      <c r="AM144" s="3" t="n">
        <v>63.34938619884777</v>
      </c>
      <c r="AN144" s="3" t="n">
        <v>62.5060268203909</v>
      </c>
      <c r="AO144" s="3" t="n">
        <v>61.61190890804556</v>
      </c>
      <c r="AP144" s="3" t="n">
        <v>61.18496836726068</v>
      </c>
      <c r="AQ144" s="3" t="n">
        <v>61.11799293702966</v>
      </c>
      <c r="AR144" s="3" t="n">
        <v>60.6907789165481</v>
      </c>
      <c r="AS144" s="3" t="n">
        <v>62.2655138277441</v>
      </c>
      <c r="AT144" s="3" t="n">
        <v>61.72907025603691</v>
      </c>
      <c r="AU144" s="3" t="n">
        <v>61.19198231078586</v>
      </c>
      <c r="AV144" s="3" t="n">
        <v>59.7968227974937</v>
      </c>
      <c r="AW144" s="3" t="n">
        <v>58.8435298093905</v>
      </c>
      <c r="AX144" s="3" t="n">
        <v>57.08456844180204</v>
      </c>
      <c r="AY144" s="3" t="n">
        <v>56.35106850511655</v>
      </c>
      <c r="AZ144" s="3" t="n">
        <v>54.68011447952254</v>
      </c>
      <c r="BA144" s="3" t="n">
        <v>53.78820158770707</v>
      </c>
      <c r="BB144" s="3" t="n">
        <v>52.64862229713858</v>
      </c>
      <c r="BC144" s="3" t="n">
        <v>52.69179046539671</v>
      </c>
      <c r="BD144" s="3" t="n">
        <v>51.62121490810786</v>
      </c>
      <c r="BE144" s="3" t="n">
        <v>51.32514403668443</v>
      </c>
      <c r="BF144" s="3" t="n">
        <v>51.48888103976229</v>
      </c>
      <c r="BG144" s="3" t="n">
        <v>51.49068297151997</v>
      </c>
      <c r="BH144" s="3" t="n">
        <v>51.65676893379483</v>
      </c>
      <c r="BI144" s="3" t="n">
        <v>52.06134995716704</v>
      </c>
      <c r="BJ144" s="3" t="n">
        <v>52.56288947957751</v>
      </c>
      <c r="BK144" s="3" t="n">
        <v>52.26534951319775</v>
      </c>
      <c r="BL144" s="3" t="n">
        <v>51.51290428083978</v>
      </c>
      <c r="BM144" s="3" t="n">
        <v>52.03727240602593</v>
      </c>
      <c r="BN144" s="3" t="n">
        <v>50.97012807356072</v>
      </c>
      <c r="BO144" s="3" t="n">
        <v>50.2384591337499</v>
      </c>
      <c r="BP144" s="3" t="n">
        <v>50.51807712776686</v>
      </c>
      <c r="BQ144" s="3" t="n"/>
      <c r="BR144" s="34" t="str">
        <f>B144&amp;"|"&amp;D144</f>
        <v>LMY|NE.CON.PRVT.ZS</v>
      </c>
    </row>
    <row r="145">
      <c r="A145" s="3" t="inlineStr">
        <is>
          <t>Lesotho</t>
        </is>
      </c>
      <c r="B145" s="3" t="inlineStr">
        <is>
          <t>LSO</t>
        </is>
      </c>
      <c r="C145" s="3" t="inlineStr">
        <is>
          <t>Households and NPISHs final consumption expenditure (% of GDP)</t>
        </is>
      </c>
      <c r="D145" s="3" t="inlineStr">
        <is>
          <t>NE.CON.PRVT.ZS</t>
        </is>
      </c>
      <c r="E145" s="3" t="n">
        <v>2022</v>
      </c>
      <c r="F145" s="3" t="n">
        <v>108.0971659919028</v>
      </c>
      <c r="G145" s="3" t="n">
        <v>107.843137254902</v>
      </c>
      <c r="H145" s="3" t="n">
        <v>107.3578595317726</v>
      </c>
      <c r="I145" s="3" t="n">
        <v>110.4166666666667</v>
      </c>
      <c r="J145" s="3" t="n">
        <v>109.1644204851752</v>
      </c>
      <c r="K145" s="3" t="n">
        <v>108.6734693877551</v>
      </c>
      <c r="L145" s="3" t="n">
        <v>122.962962962963</v>
      </c>
      <c r="M145" s="3" t="n">
        <v>117.0092133238838</v>
      </c>
      <c r="N145" s="3" t="n">
        <v>116.6324903167008</v>
      </c>
      <c r="O145" s="3" t="n">
        <v>113.3701188455009</v>
      </c>
      <c r="P145" s="3" t="n">
        <v>118.3299389002037</v>
      </c>
      <c r="Q145" s="3" t="n">
        <v>121.9378427787934</v>
      </c>
      <c r="R145" s="3" t="n">
        <v>128.9389067524116</v>
      </c>
      <c r="S145" s="3" t="n">
        <v>129.7265160523187</v>
      </c>
      <c r="T145" s="3" t="n">
        <v>140</v>
      </c>
      <c r="U145" s="3" t="n">
        <v>156.9620253164557</v>
      </c>
      <c r="V145" s="3" t="n">
        <v>171.6510903426791</v>
      </c>
      <c r="W145" s="3" t="n">
        <v>163.6525877453896</v>
      </c>
      <c r="X145" s="3" t="n">
        <v>134.9439171699741</v>
      </c>
      <c r="Y145" s="3" t="n">
        <v>152.3945968072043</v>
      </c>
      <c r="Z145" s="3" t="n">
        <v>130.2490330258852</v>
      </c>
      <c r="AA145" s="3" t="n">
        <v>139.2172965879265</v>
      </c>
      <c r="AB145" s="3" t="n"/>
      <c r="AC145" s="3" t="n"/>
      <c r="AD145" s="3" t="n"/>
      <c r="AE145" s="3" t="n"/>
      <c r="AF145" s="3" t="n"/>
      <c r="AG145" s="3" t="n"/>
      <c r="AH145" s="3" t="n"/>
      <c r="AI145" s="3" t="n"/>
      <c r="AJ145" s="3" t="n"/>
      <c r="AK145" s="3" t="n"/>
      <c r="AL145" s="3" t="n"/>
      <c r="AM145" s="3" t="n"/>
      <c r="AN145" s="3" t="n"/>
      <c r="AO145" s="3" t="n"/>
      <c r="AP145" s="3" t="n"/>
      <c r="AQ145" s="3" t="n"/>
      <c r="AR145" s="3" t="n"/>
      <c r="AS145" s="3" t="n"/>
      <c r="AT145" s="3" t="n"/>
      <c r="AU145" s="3" t="n"/>
      <c r="AV145" s="3" t="n"/>
      <c r="AW145" s="3" t="n"/>
      <c r="AX145" s="3" t="n"/>
      <c r="AY145" s="3" t="n"/>
      <c r="AZ145" s="3" t="n"/>
      <c r="BA145" s="3" t="n">
        <v>96.62138428742651</v>
      </c>
      <c r="BB145" s="3" t="n">
        <v>88.96741337555379</v>
      </c>
      <c r="BC145" s="3" t="n">
        <v>95.34754336433679</v>
      </c>
      <c r="BD145" s="3" t="n">
        <v>94.63611222628386</v>
      </c>
      <c r="BE145" s="3" t="n">
        <v>90.84348943453239</v>
      </c>
      <c r="BF145" s="3" t="n">
        <v>91.38961999431992</v>
      </c>
      <c r="BG145" s="3" t="n">
        <v>83.64588624361969</v>
      </c>
      <c r="BH145" s="3" t="n">
        <v>77.05814486549338</v>
      </c>
      <c r="BI145" s="3" t="n">
        <v>76.55856935790993</v>
      </c>
      <c r="BJ145" s="3" t="n">
        <v>76.35571775982906</v>
      </c>
      <c r="BK145" s="3" t="n">
        <v>89.52671849565073</v>
      </c>
      <c r="BL145" s="3" t="n">
        <v>85.25845706462799</v>
      </c>
      <c r="BM145" s="3" t="n">
        <v>83.61089942287924</v>
      </c>
      <c r="BN145" s="3" t="n">
        <v>89.04715475359956</v>
      </c>
      <c r="BO145" s="3" t="n">
        <v>84.6166748474248</v>
      </c>
      <c r="BP145" s="3" t="n">
        <v>88.66426319422952</v>
      </c>
      <c r="BQ145" s="3" t="n"/>
      <c r="BR145" s="34" t="str">
        <f>B145&amp;"|"&amp;D145</f>
        <v>LSO|NE.CON.PRVT.ZS</v>
      </c>
    </row>
    <row r="146">
      <c r="A146" s="3" t="inlineStr">
        <is>
          <t>Late-demographic dividend</t>
        </is>
      </c>
      <c r="B146" s="3" t="inlineStr">
        <is>
          <t>LTE</t>
        </is>
      </c>
      <c r="C146" s="3" t="inlineStr">
        <is>
          <t>Households and NPISHs final consumption expenditure (% of GDP)</t>
        </is>
      </c>
      <c r="D146" s="3" t="inlineStr">
        <is>
          <t>NE.CON.PRVT.ZS</t>
        </is>
      </c>
      <c r="E146" s="3" t="n">
        <v>2022</v>
      </c>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v>56.98477100560647</v>
      </c>
      <c r="AI146" s="3" t="n">
        <v>53.63077774814607</v>
      </c>
      <c r="AJ146" s="3" t="n">
        <v>55.91640668294387</v>
      </c>
      <c r="AK146" s="3" t="n">
        <v>54.8215157349135</v>
      </c>
      <c r="AL146" s="3" t="n">
        <v>51.35536435381868</v>
      </c>
      <c r="AM146" s="3" t="n">
        <v>53.17664675715911</v>
      </c>
      <c r="AN146" s="3" t="n">
        <v>54.77787657308208</v>
      </c>
      <c r="AO146" s="3" t="n">
        <v>56.73153054802366</v>
      </c>
      <c r="AP146" s="3" t="n">
        <v>57.32836075096296</v>
      </c>
      <c r="AQ146" s="3" t="n">
        <v>57.2577635977767</v>
      </c>
      <c r="AR146" s="3" t="n">
        <v>56.96531145930523</v>
      </c>
      <c r="AS146" s="3" t="n">
        <v>55.4039811390629</v>
      </c>
      <c r="AT146" s="3" t="n">
        <v>54.39565786035143</v>
      </c>
      <c r="AU146" s="3" t="n">
        <v>53.64346805941141</v>
      </c>
      <c r="AV146" s="3" t="n">
        <v>52.87867044939976</v>
      </c>
      <c r="AW146" s="3" t="n">
        <v>51.4559413207784</v>
      </c>
      <c r="AX146" s="3" t="n">
        <v>50.3063435142015</v>
      </c>
      <c r="AY146" s="3" t="n">
        <v>49.74550942622336</v>
      </c>
      <c r="AZ146" s="3" t="n">
        <v>48.49351546806603</v>
      </c>
      <c r="BA146" s="3" t="n">
        <v>47.81276571596528</v>
      </c>
      <c r="BB146" s="3" t="n">
        <v>47.1137759870124</v>
      </c>
      <c r="BC146" s="3" t="n">
        <v>47.33094784991761</v>
      </c>
      <c r="BD146" s="3" t="n">
        <v>45.78706166234318</v>
      </c>
      <c r="BE146" s="3" t="n">
        <v>45.36855134242187</v>
      </c>
      <c r="BF146" s="3" t="n">
        <v>45.19707228043433</v>
      </c>
      <c r="BG146" s="3" t="n">
        <v>45.39422331347946</v>
      </c>
      <c r="BH146" s="3" t="n">
        <v>45.66051745485647</v>
      </c>
      <c r="BI146" s="3" t="n">
        <v>45.04938513002741</v>
      </c>
      <c r="BJ146" s="3" t="n">
        <v>45.63655041652833</v>
      </c>
      <c r="BK146" s="3" t="n">
        <v>45.6743817499871</v>
      </c>
      <c r="BL146" s="3" t="n">
        <v>44.97963045526593</v>
      </c>
      <c r="BM146" s="3" t="n">
        <v>45.51862636615013</v>
      </c>
      <c r="BN146" s="3" t="n">
        <v>44.12903148648062</v>
      </c>
      <c r="BO146" s="3" t="n">
        <v>43.52204177672014</v>
      </c>
      <c r="BP146" s="3" t="n">
        <v>43.26298609023661</v>
      </c>
      <c r="BQ146" s="3" t="n"/>
      <c r="BR146" s="34" t="str">
        <f>B146&amp;"|"&amp;D146</f>
        <v>LTE|NE.CON.PRVT.ZS</v>
      </c>
    </row>
    <row r="147">
      <c r="A147" s="3" t="inlineStr">
        <is>
          <t>Lithuania</t>
        </is>
      </c>
      <c r="B147" s="3" t="inlineStr">
        <is>
          <t>LTU</t>
        </is>
      </c>
      <c r="C147" s="3" t="inlineStr">
        <is>
          <t>Households and NPISHs final consumption expenditure (% of GDP)</t>
        </is>
      </c>
      <c r="D147" s="3" t="inlineStr">
        <is>
          <t>NE.CON.PRVT.ZS</t>
        </is>
      </c>
      <c r="E147" s="3" t="n">
        <v>2023</v>
      </c>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c r="AL147" s="3" t="n"/>
      <c r="AM147" s="3" t="n"/>
      <c r="AN147" s="3" t="n"/>
      <c r="AO147" s="3" t="n">
        <v>63.84012542820233</v>
      </c>
      <c r="AP147" s="3" t="n">
        <v>64.1029501246454</v>
      </c>
      <c r="AQ147" s="3" t="n">
        <v>61.2954987594301</v>
      </c>
      <c r="AR147" s="3" t="n">
        <v>61.13860085879628</v>
      </c>
      <c r="AS147" s="3" t="n">
        <v>64.92209639528645</v>
      </c>
      <c r="AT147" s="3" t="n">
        <v>64.92510104142964</v>
      </c>
      <c r="AU147" s="3" t="n">
        <v>65.21115800548691</v>
      </c>
      <c r="AV147" s="3" t="n">
        <v>64.28492907143928</v>
      </c>
      <c r="AW147" s="3" t="n">
        <v>64.24979321316353</v>
      </c>
      <c r="AX147" s="3" t="n">
        <v>64.98806866359647</v>
      </c>
      <c r="AY147" s="3" t="n">
        <v>64.43352532800048</v>
      </c>
      <c r="AZ147" s="3" t="n">
        <v>64.16631719958819</v>
      </c>
      <c r="BA147" s="3" t="n">
        <v>63.32997934350846</v>
      </c>
      <c r="BB147" s="3" t="n">
        <v>64.80276663241384</v>
      </c>
      <c r="BC147" s="3" t="n">
        <v>67.83749795283975</v>
      </c>
      <c r="BD147" s="3" t="n">
        <v>64.03196808656169</v>
      </c>
      <c r="BE147" s="3" t="n">
        <v>62.40319048005873</v>
      </c>
      <c r="BF147" s="3" t="n">
        <v>62.17498549767626</v>
      </c>
      <c r="BG147" s="3" t="n">
        <v>62.367389458669</v>
      </c>
      <c r="BH147" s="3" t="n">
        <v>61.94443386679062</v>
      </c>
      <c r="BI147" s="3" t="n">
        <v>62.51460342232726</v>
      </c>
      <c r="BJ147" s="3" t="n">
        <v>63.07194404546871</v>
      </c>
      <c r="BK147" s="3" t="n">
        <v>62.20321756184086</v>
      </c>
      <c r="BL147" s="3" t="n">
        <v>61.45581261092716</v>
      </c>
      <c r="BM147" s="3" t="n">
        <v>60.01199366982603</v>
      </c>
      <c r="BN147" s="3" t="n">
        <v>57.63166818424944</v>
      </c>
      <c r="BO147" s="3" t="n">
        <v>57.57469527085956</v>
      </c>
      <c r="BP147" s="3" t="n">
        <v>58.34511342123039</v>
      </c>
      <c r="BQ147" s="3" t="n">
        <v>58.76288002451138</v>
      </c>
      <c r="BR147" s="34" t="str">
        <f>B147&amp;"|"&amp;D147</f>
        <v>LTU|NE.CON.PRVT.ZS</v>
      </c>
    </row>
    <row r="148">
      <c r="A148" s="3" t="inlineStr">
        <is>
          <t>Luxembourg</t>
        </is>
      </c>
      <c r="B148" s="3" t="inlineStr">
        <is>
          <t>LUX</t>
        </is>
      </c>
      <c r="C148" s="3" t="inlineStr">
        <is>
          <t>Households and NPISHs final consumption expenditure (% of GDP)</t>
        </is>
      </c>
      <c r="D148" s="3" t="inlineStr">
        <is>
          <t>NE.CON.PRVT.ZS</t>
        </is>
      </c>
      <c r="E148" s="3" t="n">
        <v>2023</v>
      </c>
      <c r="F148" s="3" t="n"/>
      <c r="G148" s="3" t="n"/>
      <c r="H148" s="3" t="n"/>
      <c r="I148" s="3" t="n"/>
      <c r="J148" s="3" t="n"/>
      <c r="K148" s="3" t="n"/>
      <c r="L148" s="3" t="n"/>
      <c r="M148" s="3" t="n"/>
      <c r="N148" s="3" t="n"/>
      <c r="O148" s="3" t="n"/>
      <c r="P148" s="3" t="n">
        <v>47.16847159561327</v>
      </c>
      <c r="Q148" s="3" t="n">
        <v>51.20679741346983</v>
      </c>
      <c r="R148" s="3" t="n">
        <v>50.03441060039269</v>
      </c>
      <c r="S148" s="3" t="n">
        <v>45.65778442947548</v>
      </c>
      <c r="T148" s="3" t="n">
        <v>43.06484457340638</v>
      </c>
      <c r="U148" s="3" t="n">
        <v>53.95423352693884</v>
      </c>
      <c r="V148" s="3" t="n">
        <v>52.86753152572419</v>
      </c>
      <c r="W148" s="3" t="n">
        <v>55.62579674778397</v>
      </c>
      <c r="X148" s="3" t="n">
        <v>54.1110668327287</v>
      </c>
      <c r="Y148" s="3" t="n">
        <v>54.01323725735041</v>
      </c>
      <c r="Z148" s="3" t="n">
        <v>54.85520848204884</v>
      </c>
      <c r="AA148" s="3" t="n">
        <v>56.84560370503983</v>
      </c>
      <c r="AB148" s="3" t="n">
        <v>56.31494859363417</v>
      </c>
      <c r="AC148" s="3" t="n">
        <v>55.69340089696546</v>
      </c>
      <c r="AD148" s="3" t="n">
        <v>54.29536076028511</v>
      </c>
      <c r="AE148" s="3" t="n">
        <v>54.98419372564084</v>
      </c>
      <c r="AF148" s="3" t="n">
        <v>51.8406246234954</v>
      </c>
      <c r="AG148" s="3" t="n">
        <v>52.57636188570438</v>
      </c>
      <c r="AH148" s="3" t="n">
        <v>51.11353274328862</v>
      </c>
      <c r="AI148" s="3" t="n">
        <v>48.43743880548303</v>
      </c>
      <c r="AJ148" s="3" t="n">
        <v>48.24710144160866</v>
      </c>
      <c r="AK148" s="3" t="n">
        <v>48.24761049050409</v>
      </c>
      <c r="AL148" s="3" t="n">
        <v>46.50889532571941</v>
      </c>
      <c r="AM148" s="3" t="n">
        <v>44.69556317826531</v>
      </c>
      <c r="AN148" s="3" t="n">
        <v>44.39196173349011</v>
      </c>
      <c r="AO148" s="3" t="n">
        <v>44.43689896499484</v>
      </c>
      <c r="AP148" s="3" t="n">
        <v>43.95749395435125</v>
      </c>
      <c r="AQ148" s="3" t="n">
        <v>42.5697423686727</v>
      </c>
      <c r="AR148" s="3" t="n">
        <v>43.58551185598073</v>
      </c>
      <c r="AS148" s="3" t="n">
        <v>41.37307625615036</v>
      </c>
      <c r="AT148" s="3" t="n">
        <v>40.06793344495767</v>
      </c>
      <c r="AU148" s="3" t="n">
        <v>40.81879526324431</v>
      </c>
      <c r="AV148" s="3" t="n">
        <v>41.58205954525619</v>
      </c>
      <c r="AW148" s="3" t="n">
        <v>41.60291150205509</v>
      </c>
      <c r="AX148" s="3" t="n">
        <v>40.07723545034874</v>
      </c>
      <c r="AY148" s="3" t="n">
        <v>38.33605682456972</v>
      </c>
      <c r="AZ148" s="3" t="n">
        <v>36.22368017364717</v>
      </c>
      <c r="BA148" s="3" t="n">
        <v>34.38941702814547</v>
      </c>
      <c r="BB148" s="3" t="n">
        <v>34.15510278431212</v>
      </c>
      <c r="BC148" s="3" t="n">
        <v>35.41862699001656</v>
      </c>
      <c r="BD148" s="3" t="n">
        <v>34.38316626659401</v>
      </c>
      <c r="BE148" s="3" t="n">
        <v>34.42262164245007</v>
      </c>
      <c r="BF148" s="3" t="n">
        <v>34.30686358093255</v>
      </c>
      <c r="BG148" s="3" t="n">
        <v>33.27112947443042</v>
      </c>
      <c r="BH148" s="3" t="n">
        <v>32.71862803579334</v>
      </c>
      <c r="BI148" s="3" t="n">
        <v>32.53442816175684</v>
      </c>
      <c r="BJ148" s="3" t="n">
        <v>32.63401083275092</v>
      </c>
      <c r="BK148" s="3" t="n">
        <v>33.18990646254527</v>
      </c>
      <c r="BL148" s="3" t="n">
        <v>33.57287294038419</v>
      </c>
      <c r="BM148" s="3" t="n">
        <v>33.59313689081682</v>
      </c>
      <c r="BN148" s="3" t="n">
        <v>30.21309641533782</v>
      </c>
      <c r="BO148" s="3" t="n">
        <v>30.38431549873785</v>
      </c>
      <c r="BP148" s="3" t="n">
        <v>30.57277405873931</v>
      </c>
      <c r="BQ148" s="3" t="n">
        <v>32.21949286304756</v>
      </c>
      <c r="BR148" s="34" t="str">
        <f>B148&amp;"|"&amp;D148</f>
        <v>LUX|NE.CON.PRVT.ZS</v>
      </c>
    </row>
    <row r="149">
      <c r="A149" s="3" t="inlineStr">
        <is>
          <t>Latvia</t>
        </is>
      </c>
      <c r="B149" s="3" t="inlineStr">
        <is>
          <t>LVA</t>
        </is>
      </c>
      <c r="C149" s="3" t="inlineStr">
        <is>
          <t>Households and NPISHs final consumption expenditure (% of GDP)</t>
        </is>
      </c>
      <c r="D149" s="3" t="inlineStr">
        <is>
          <t>NE.CON.PRVT.ZS</t>
        </is>
      </c>
      <c r="E149" s="3" t="n">
        <v>2023</v>
      </c>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3" t="n"/>
      <c r="AL149" s="3" t="n"/>
      <c r="AM149" s="3" t="n"/>
      <c r="AN149" s="3" t="n">
        <v>74.25386658549338</v>
      </c>
      <c r="AO149" s="3" t="n">
        <v>65.52712918390368</v>
      </c>
      <c r="AP149" s="3" t="n">
        <v>68.03531669373724</v>
      </c>
      <c r="AQ149" s="3" t="n">
        <v>66.95948320083973</v>
      </c>
      <c r="AR149" s="3" t="n">
        <v>63.80066687116718</v>
      </c>
      <c r="AS149" s="3" t="n">
        <v>65.18214363603667</v>
      </c>
      <c r="AT149" s="3" t="n">
        <v>62.59224371004398</v>
      </c>
      <c r="AU149" s="3" t="n">
        <v>61.9748688489723</v>
      </c>
      <c r="AV149" s="3" t="n">
        <v>61.65360414400279</v>
      </c>
      <c r="AW149" s="3" t="n">
        <v>61.63658156836447</v>
      </c>
      <c r="AX149" s="3" t="n">
        <v>62.41250682746609</v>
      </c>
      <c r="AY149" s="3" t="n">
        <v>61.37189400305073</v>
      </c>
      <c r="AZ149" s="3" t="n">
        <v>63.59781602058933</v>
      </c>
      <c r="BA149" s="3" t="n">
        <v>59.86816060510656</v>
      </c>
      <c r="BB149" s="3" t="n">
        <v>57.68161484943539</v>
      </c>
      <c r="BC149" s="3" t="n">
        <v>60.50702715493593</v>
      </c>
      <c r="BD149" s="3" t="n">
        <v>63.33676839536532</v>
      </c>
      <c r="BE149" s="3" t="n">
        <v>61.5409151258055</v>
      </c>
      <c r="BF149" s="3" t="n">
        <v>60.50443671233789</v>
      </c>
      <c r="BG149" s="3" t="n">
        <v>62.37370329522032</v>
      </c>
      <c r="BH149" s="3" t="n">
        <v>61.27243849753756</v>
      </c>
      <c r="BI149" s="3" t="n">
        <v>59.86429094495121</v>
      </c>
      <c r="BJ149" s="3" t="n">
        <v>60.69118032626125</v>
      </c>
      <c r="BK149" s="3" t="n">
        <v>60.65951061487933</v>
      </c>
      <c r="BL149" s="3" t="n">
        <v>59.59984778529247</v>
      </c>
      <c r="BM149" s="3" t="n">
        <v>58.72025618531254</v>
      </c>
      <c r="BN149" s="3" t="n">
        <v>57.01674443734665</v>
      </c>
      <c r="BO149" s="3" t="n">
        <v>57.10438942992238</v>
      </c>
      <c r="BP149" s="3" t="n">
        <v>60.28335140450392</v>
      </c>
      <c r="BQ149" s="3" t="n">
        <v>61.13885112856017</v>
      </c>
      <c r="BR149" s="34" t="str">
        <f>B149&amp;"|"&amp;D149</f>
        <v>LVA|NE.CON.PRVT.ZS</v>
      </c>
    </row>
    <row r="150">
      <c r="A150" s="3" t="inlineStr">
        <is>
          <t>Macao SAR, China</t>
        </is>
      </c>
      <c r="B150" s="3" t="inlineStr">
        <is>
          <t>MAC</t>
        </is>
      </c>
      <c r="C150" s="3" t="inlineStr">
        <is>
          <t>Households and NPISHs final consumption expenditure (% of GDP)</t>
        </is>
      </c>
      <c r="D150" s="3" t="inlineStr">
        <is>
          <t>NE.CON.PRVT.ZS</t>
        </is>
      </c>
      <c r="E150" s="3" t="n">
        <v>2023</v>
      </c>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v>61.18374806691973</v>
      </c>
      <c r="AC150" s="3" t="n">
        <v>59.21721650703559</v>
      </c>
      <c r="AD150" s="3" t="n">
        <v>54.37458257799829</v>
      </c>
      <c r="AE150" s="3" t="n">
        <v>56.45709040844424</v>
      </c>
      <c r="AF150" s="3" t="n">
        <v>55.52659444489696</v>
      </c>
      <c r="AG150" s="3" t="n">
        <v>49.17415981123653</v>
      </c>
      <c r="AH150" s="3" t="n">
        <v>50.05162201814921</v>
      </c>
      <c r="AI150" s="3" t="n">
        <v>48.36914017573722</v>
      </c>
      <c r="AJ150" s="3" t="n">
        <v>46.16743471582181</v>
      </c>
      <c r="AK150" s="3" t="n">
        <v>46.82460680868007</v>
      </c>
      <c r="AL150" s="3" t="n">
        <v>42.01230250899717</v>
      </c>
      <c r="AM150" s="3" t="n">
        <v>41.36815755078532</v>
      </c>
      <c r="AN150" s="3" t="n">
        <v>42.03507235414718</v>
      </c>
      <c r="AO150" s="3" t="n">
        <v>41.51081186990132</v>
      </c>
      <c r="AP150" s="3" t="n">
        <v>44.24913422184909</v>
      </c>
      <c r="AQ150" s="3" t="n">
        <v>45.36326150342472</v>
      </c>
      <c r="AR150" s="3" t="n">
        <v>47.75802942586378</v>
      </c>
      <c r="AS150" s="3" t="n">
        <v>49.21648066044948</v>
      </c>
      <c r="AT150" s="3" t="n">
        <v>46.40512056502786</v>
      </c>
      <c r="AU150" s="3" t="n">
        <v>45.92103353171723</v>
      </c>
      <c r="AV150" s="3" t="n">
        <v>43.79939209726444</v>
      </c>
      <c r="AW150" s="3" t="n">
        <v>39.72515760351943</v>
      </c>
      <c r="AX150" s="3" t="n">
        <v>33.67337377901665</v>
      </c>
      <c r="AY150" s="3" t="n">
        <v>32.28147615870246</v>
      </c>
      <c r="AZ150" s="3" t="n">
        <v>29.45871914228578</v>
      </c>
      <c r="BA150" s="3" t="n">
        <v>27.62364945573319</v>
      </c>
      <c r="BB150" s="3" t="n">
        <v>28.09314571362496</v>
      </c>
      <c r="BC150" s="3" t="n">
        <v>28.39182423141858</v>
      </c>
      <c r="BD150" s="3" t="n">
        <v>23.69942963844653</v>
      </c>
      <c r="BE150" s="3" t="n">
        <v>21.34627231432653</v>
      </c>
      <c r="BF150" s="3" t="n">
        <v>20.655789961748</v>
      </c>
      <c r="BG150" s="3" t="n">
        <v>19.54101991795774</v>
      </c>
      <c r="BH150" s="3" t="n">
        <v>20.45831851061307</v>
      </c>
      <c r="BI150" s="3" t="n">
        <v>26.47869938950482</v>
      </c>
      <c r="BJ150" s="3" t="n">
        <v>26.65536265346446</v>
      </c>
      <c r="BK150" s="3" t="n">
        <v>24.54417986997411</v>
      </c>
      <c r="BL150" s="3" t="n">
        <v>23.84008152143417</v>
      </c>
      <c r="BM150" s="3" t="n">
        <v>24.94488684932739</v>
      </c>
      <c r="BN150" s="3" t="n">
        <v>46.61408300447965</v>
      </c>
      <c r="BO150" s="3" t="n">
        <v>41.84192057307423</v>
      </c>
      <c r="BP150" s="3" t="n">
        <v>49.80462513873896</v>
      </c>
      <c r="BQ150" s="3" t="n">
        <v>28.99087694148277</v>
      </c>
      <c r="BR150" s="34" t="str">
        <f>B150&amp;"|"&amp;D150</f>
        <v>MAC|NE.CON.PRVT.ZS</v>
      </c>
    </row>
    <row r="151">
      <c r="A151" s="3" t="inlineStr">
        <is>
          <t>St. Martin (French part)</t>
        </is>
      </c>
      <c r="B151" s="3" t="inlineStr">
        <is>
          <t>MAF</t>
        </is>
      </c>
      <c r="C151" s="3" t="inlineStr">
        <is>
          <t>Households and NPISHs final consumption expenditure (% of GDP)</t>
        </is>
      </c>
      <c r="D151" s="3" t="inlineStr">
        <is>
          <t>NE.CON.PRVT.ZS</t>
        </is>
      </c>
      <c r="E151" s="3" t="inlineStr">
        <is>
          <t>0x2a</t>
        </is>
      </c>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c r="AL151" s="3" t="n"/>
      <c r="AM151" s="3" t="n"/>
      <c r="AN151" s="3" t="n"/>
      <c r="AO151" s="3" t="n"/>
      <c r="AP151" s="3" t="n"/>
      <c r="AQ151" s="3" t="n"/>
      <c r="AR151" s="3" t="n"/>
      <c r="AS151" s="3" t="n"/>
      <c r="AT151" s="3" t="n"/>
      <c r="AU151" s="3" t="n"/>
      <c r="AV151" s="3" t="n"/>
      <c r="AW151" s="3" t="n"/>
      <c r="AX151" s="3" t="n"/>
      <c r="AY151" s="3" t="n"/>
      <c r="AZ151" s="3" t="n"/>
      <c r="BA151" s="3" t="n"/>
      <c r="BB151" s="3" t="n"/>
      <c r="BC151" s="3" t="n"/>
      <c r="BD151" s="3" t="n"/>
      <c r="BE151" s="3" t="n"/>
      <c r="BF151" s="3" t="n"/>
      <c r="BG151" s="3" t="n"/>
      <c r="BH151" s="3" t="n"/>
      <c r="BI151" s="3" t="n"/>
      <c r="BJ151" s="3" t="n"/>
      <c r="BK151" s="3" t="n"/>
      <c r="BL151" s="3" t="n"/>
      <c r="BM151" s="3" t="n"/>
      <c r="BN151" s="3" t="n"/>
      <c r="BO151" s="3" t="n"/>
      <c r="BP151" s="3" t="n"/>
      <c r="BQ151" s="3" t="n"/>
      <c r="BR151" s="34" t="str">
        <f>B151&amp;"|"&amp;D151</f>
        <v>MAF|NE.CON.PRVT.ZS</v>
      </c>
    </row>
    <row r="152">
      <c r="A152" s="3" t="inlineStr">
        <is>
          <t>Morocco</t>
        </is>
      </c>
      <c r="B152" s="3" t="inlineStr">
        <is>
          <t>MAR</t>
        </is>
      </c>
      <c r="C152" s="3" t="inlineStr">
        <is>
          <t>Households and NPISHs final consumption expenditure (% of GDP)</t>
        </is>
      </c>
      <c r="D152" s="3" t="inlineStr">
        <is>
          <t>NE.CON.PRVT.ZS</t>
        </is>
      </c>
      <c r="E152" s="3" t="n">
        <v>2023</v>
      </c>
      <c r="F152" s="3" t="n">
        <v>77.03206203914303</v>
      </c>
      <c r="G152" s="3" t="n">
        <v>80.49710828753234</v>
      </c>
      <c r="H152" s="3" t="n">
        <v>79.5255078220697</v>
      </c>
      <c r="I152" s="3" t="n">
        <v>77.47052221707055</v>
      </c>
      <c r="J152" s="3" t="n">
        <v>76.12272662921846</v>
      </c>
      <c r="K152" s="3" t="n">
        <v>76.11260053619303</v>
      </c>
      <c r="L152" s="3" t="n">
        <v>77.60373660346249</v>
      </c>
      <c r="M152" s="3" t="n">
        <v>76.56331084587443</v>
      </c>
      <c r="N152" s="3" t="n">
        <v>76.17638236182422</v>
      </c>
      <c r="O152" s="3" t="n">
        <v>74.31138048595703</v>
      </c>
      <c r="P152" s="3" t="n">
        <v>73.43439388641926</v>
      </c>
      <c r="Q152" s="3" t="n">
        <v>72.51488568701423</v>
      </c>
      <c r="R152" s="3" t="n">
        <v>72.9856500321268</v>
      </c>
      <c r="S152" s="3" t="n">
        <v>72.73911686690592</v>
      </c>
      <c r="T152" s="3" t="n">
        <v>68.14341085271319</v>
      </c>
      <c r="U152" s="3" t="n">
        <v>69.39386449149983</v>
      </c>
      <c r="V152" s="3" t="n">
        <v>67.94550949098121</v>
      </c>
      <c r="W152" s="3" t="n">
        <v>67.16062780088825</v>
      </c>
      <c r="X152" s="3" t="n">
        <v>67.46872393661386</v>
      </c>
      <c r="Y152" s="3" t="n">
        <v>67.03624905307609</v>
      </c>
      <c r="Z152" s="3" t="n">
        <v>60.49194142578642</v>
      </c>
      <c r="AA152" s="3" t="n">
        <v>62.14961935763835</v>
      </c>
      <c r="AB152" s="3" t="n">
        <v>60.76388830237022</v>
      </c>
      <c r="AC152" s="3" t="n">
        <v>64.28137478831653</v>
      </c>
      <c r="AD152" s="3" t="n">
        <v>62.12992720042191</v>
      </c>
      <c r="AE152" s="3" t="n">
        <v>60.41767966880326</v>
      </c>
      <c r="AF152" s="3" t="n">
        <v>61.28964623904015</v>
      </c>
      <c r="AG152" s="3" t="n">
        <v>61.14350664773836</v>
      </c>
      <c r="AH152" s="3" t="n">
        <v>58.15095384463864</v>
      </c>
      <c r="AI152" s="3" t="n">
        <v>57.62884596447815</v>
      </c>
      <c r="AJ152" s="3" t="n">
        <v>58.75020248156596</v>
      </c>
      <c r="AK152" s="3" t="n">
        <v>62.24577931554951</v>
      </c>
      <c r="AL152" s="3" t="n">
        <v>61.74380466876207</v>
      </c>
      <c r="AM152" s="3" t="n">
        <v>61.13250696867233</v>
      </c>
      <c r="AN152" s="3" t="n">
        <v>62.41616347767677</v>
      </c>
      <c r="AO152" s="3" t="n">
        <v>62.93975489091604</v>
      </c>
      <c r="AP152" s="3" t="n">
        <v>63.15490842272765</v>
      </c>
      <c r="AQ152" s="3" t="n">
        <v>61.36160888415611</v>
      </c>
      <c r="AR152" s="3" t="n">
        <v>54.19351852113344</v>
      </c>
      <c r="AS152" s="3" t="n">
        <v>54.64585118351616</v>
      </c>
      <c r="AT152" s="3" t="n">
        <v>55.66719229257691</v>
      </c>
      <c r="AU152" s="3" t="n">
        <v>51.76288999696978</v>
      </c>
      <c r="AV152" s="3" t="n">
        <v>51.89930230269406</v>
      </c>
      <c r="AW152" s="3" t="n">
        <v>51.01634326133219</v>
      </c>
      <c r="AX152" s="3" t="n">
        <v>50.99319591249023</v>
      </c>
      <c r="AY152" s="3" t="n">
        <v>51.83721132305133</v>
      </c>
      <c r="AZ152" s="3" t="n">
        <v>51.77811552321032</v>
      </c>
      <c r="BA152" s="3" t="n">
        <v>52.67453361545942</v>
      </c>
      <c r="BB152" s="3" t="n">
        <v>52.99491494026477</v>
      </c>
      <c r="BC152" s="3" t="n">
        <v>53.83713127284141</v>
      </c>
      <c r="BD152" s="3" t="n">
        <v>54.30392435008968</v>
      </c>
      <c r="BE152" s="3" t="n">
        <v>54.83737918204348</v>
      </c>
      <c r="BF152" s="3" t="n">
        <v>55.51155393586669</v>
      </c>
      <c r="BG152" s="3" t="n">
        <v>55.31650676270792</v>
      </c>
      <c r="BH152" s="3" t="n">
        <v>61.74821809089583</v>
      </c>
      <c r="BI152" s="3" t="n">
        <v>58.96334263657351</v>
      </c>
      <c r="BJ152" s="3" t="n">
        <v>59.33375310372685</v>
      </c>
      <c r="BK152" s="3" t="n">
        <v>59.32039046213971</v>
      </c>
      <c r="BL152" s="3" t="n">
        <v>59.46268396979008</v>
      </c>
      <c r="BM152" s="3" t="n">
        <v>59.03813084956398</v>
      </c>
      <c r="BN152" s="3" t="n">
        <v>59.07363010281333</v>
      </c>
      <c r="BO152" s="3" t="n">
        <v>59.73192691454719</v>
      </c>
      <c r="BP152" s="3" t="n">
        <v>61.97474285009751</v>
      </c>
      <c r="BQ152" s="3" t="n">
        <v>61.59232619845907</v>
      </c>
      <c r="BR152" s="34" t="str">
        <f>B152&amp;"|"&amp;D152</f>
        <v>MAR|NE.CON.PRVT.ZS</v>
      </c>
    </row>
    <row r="153">
      <c r="A153" s="3" t="inlineStr">
        <is>
          <t>Monaco</t>
        </is>
      </c>
      <c r="B153" s="3" t="inlineStr">
        <is>
          <t>MCO</t>
        </is>
      </c>
      <c r="C153" s="3" t="inlineStr">
        <is>
          <t>Households and NPISHs final consumption expenditure (% of GDP)</t>
        </is>
      </c>
      <c r="D153" s="3" t="inlineStr">
        <is>
          <t>NE.CON.PRVT.ZS</t>
        </is>
      </c>
      <c r="E153" s="3" t="inlineStr">
        <is>
          <t>0x2a</t>
        </is>
      </c>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c r="AL153" s="3" t="n"/>
      <c r="AM153" s="3" t="n"/>
      <c r="AN153" s="3" t="n"/>
      <c r="AO153" s="3" t="n"/>
      <c r="AP153" s="3" t="n"/>
      <c r="AQ153" s="3" t="n"/>
      <c r="AR153" s="3" t="n"/>
      <c r="AS153" s="3" t="n"/>
      <c r="AT153" s="3" t="n"/>
      <c r="AU153" s="3" t="n"/>
      <c r="AV153" s="3" t="n"/>
      <c r="AW153" s="3" t="n"/>
      <c r="AX153" s="3" t="n"/>
      <c r="AY153" s="3" t="n"/>
      <c r="AZ153" s="3" t="n"/>
      <c r="BA153" s="3" t="n"/>
      <c r="BB153" s="3" t="n"/>
      <c r="BC153" s="3" t="n"/>
      <c r="BD153" s="3" t="n"/>
      <c r="BE153" s="3" t="n"/>
      <c r="BF153" s="3" t="n"/>
      <c r="BG153" s="3" t="n"/>
      <c r="BH153" s="3" t="n"/>
      <c r="BI153" s="3" t="n"/>
      <c r="BJ153" s="3" t="n"/>
      <c r="BK153" s="3" t="n"/>
      <c r="BL153" s="3" t="n"/>
      <c r="BM153" s="3" t="n"/>
      <c r="BN153" s="3" t="n"/>
      <c r="BO153" s="3" t="n"/>
      <c r="BP153" s="3" t="n"/>
      <c r="BQ153" s="3" t="n"/>
      <c r="BR153" s="34" t="str">
        <f>B153&amp;"|"&amp;D153</f>
        <v>MCO|NE.CON.PRVT.ZS</v>
      </c>
    </row>
    <row r="154">
      <c r="A154" s="3" t="inlineStr">
        <is>
          <t>Moldova</t>
        </is>
      </c>
      <c r="B154" s="3" t="inlineStr">
        <is>
          <t>MDA</t>
        </is>
      </c>
      <c r="C154" s="3" t="inlineStr">
        <is>
          <t>Households and NPISHs final consumption expenditure (% of GDP)</t>
        </is>
      </c>
      <c r="D154" s="3" t="inlineStr">
        <is>
          <t>NE.CON.PRVT.ZS</t>
        </is>
      </c>
      <c r="E154" s="3" t="n">
        <v>2023</v>
      </c>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3" t="n"/>
      <c r="AL154" s="3" t="n"/>
      <c r="AM154" s="3" t="n"/>
      <c r="AN154" s="3" t="n"/>
      <c r="AO154" s="3" t="n">
        <v>56.98495998666608</v>
      </c>
      <c r="AP154" s="3" t="n">
        <v>68.36163662437053</v>
      </c>
      <c r="AQ154" s="3" t="n">
        <v>68.54049719776046</v>
      </c>
      <c r="AR154" s="3" t="n">
        <v>76.18102297132255</v>
      </c>
      <c r="AS154" s="3" t="n">
        <v>74.68378582766427</v>
      </c>
      <c r="AT154" s="3" t="n">
        <v>88.35970380705885</v>
      </c>
      <c r="AU154" s="3" t="n">
        <v>86.74556916186947</v>
      </c>
      <c r="AV154" s="3" t="n">
        <v>83.02452072539205</v>
      </c>
      <c r="AW154" s="3" t="n">
        <v>90.57267822875556</v>
      </c>
      <c r="AX154" s="3" t="n">
        <v>89.04721528471529</v>
      </c>
      <c r="AY154" s="3" t="n">
        <v>93.43291458621056</v>
      </c>
      <c r="AZ154" s="3" t="n">
        <v>93.90833668498905</v>
      </c>
      <c r="BA154" s="3" t="n">
        <v>93.50549878345498</v>
      </c>
      <c r="BB154" s="3" t="n">
        <v>93.14202822542195</v>
      </c>
      <c r="BC154" s="3" t="n">
        <v>89.71331083108115</v>
      </c>
      <c r="BD154" s="3" t="n">
        <v>90.21318335027068</v>
      </c>
      <c r="BE154" s="3" t="n">
        <v>92.92842063982675</v>
      </c>
      <c r="BF154" s="3" t="n">
        <v>93.15205147267477</v>
      </c>
      <c r="BG154" s="3" t="n">
        <v>91.2577363541893</v>
      </c>
      <c r="BH154" s="3" t="n">
        <v>93.48186296479805</v>
      </c>
      <c r="BI154" s="3" t="n">
        <v>87.59104645166464</v>
      </c>
      <c r="BJ154" s="3" t="n">
        <v>86.90780766579338</v>
      </c>
      <c r="BK154" s="3" t="n">
        <v>86.8631721339315</v>
      </c>
      <c r="BL154" s="3" t="n">
        <v>85.18107459940074</v>
      </c>
      <c r="BM154" s="3" t="n">
        <v>84.93538458738658</v>
      </c>
      <c r="BN154" s="3" t="n">
        <v>82.37840030384419</v>
      </c>
      <c r="BO154" s="3" t="n">
        <v>83.55491132593947</v>
      </c>
      <c r="BP154" s="3" t="n">
        <v>84.85355008471159</v>
      </c>
      <c r="BQ154" s="3" t="n">
        <v>85.26487146550528</v>
      </c>
      <c r="BR154" s="34" t="str">
        <f>B154&amp;"|"&amp;D154</f>
        <v>MDA|NE.CON.PRVT.ZS</v>
      </c>
    </row>
    <row r="155">
      <c r="A155" s="3" t="inlineStr">
        <is>
          <t>Madagascar</t>
        </is>
      </c>
      <c r="B155" s="3" t="inlineStr">
        <is>
          <t>MDG</t>
        </is>
      </c>
      <c r="C155" s="3" t="inlineStr">
        <is>
          <t>Households and NPISHs final consumption expenditure (% of GDP)</t>
        </is>
      </c>
      <c r="D155" s="3" t="inlineStr">
        <is>
          <t>NE.CON.PRVT.ZS</t>
        </is>
      </c>
      <c r="E155" s="3" t="n">
        <v>2023</v>
      </c>
      <c r="F155" s="3" t="n">
        <v>85.36761673449091</v>
      </c>
      <c r="G155" s="3" t="n">
        <v>83.6514717185009</v>
      </c>
      <c r="H155" s="3" t="n">
        <v>82.36348348488811</v>
      </c>
      <c r="I155" s="3" t="n">
        <v>83.85608755469607</v>
      </c>
      <c r="J155" s="3" t="n">
        <v>83.42442908409747</v>
      </c>
      <c r="K155" s="3" t="n">
        <v>84.29115366651135</v>
      </c>
      <c r="L155" s="3" t="n">
        <v>81.88797093371548</v>
      </c>
      <c r="M155" s="3" t="n">
        <v>79.37092861501857</v>
      </c>
      <c r="N155" s="3" t="n">
        <v>78.96962684111989</v>
      </c>
      <c r="O155" s="3" t="n">
        <v>78.76646174897024</v>
      </c>
      <c r="P155" s="3" t="n">
        <v>79.40777345102951</v>
      </c>
      <c r="Q155" s="3" t="n">
        <v>80.5489540554656</v>
      </c>
      <c r="R155" s="3" t="n">
        <v>81.58581996976767</v>
      </c>
      <c r="S155" s="3" t="n">
        <v>83.28900239783023</v>
      </c>
      <c r="T155" s="3" t="n">
        <v>84.81998349947632</v>
      </c>
      <c r="U155" s="3" t="n">
        <v>86.0583232120602</v>
      </c>
      <c r="V155" s="3" t="n">
        <v>83.01373966921284</v>
      </c>
      <c r="W155" s="3" t="n">
        <v>84.50009151971355</v>
      </c>
      <c r="X155" s="3" t="n">
        <v>85.43117042258581</v>
      </c>
      <c r="Y155" s="3" t="n">
        <v>87.44740460941165</v>
      </c>
      <c r="Z155" s="3" t="n">
        <v>39.49587143784144</v>
      </c>
      <c r="AA155" s="3" t="n">
        <v>50.64733804799998</v>
      </c>
      <c r="AB155" s="3" t="n">
        <v>63.0982590764776</v>
      </c>
      <c r="AC155" s="3" t="n">
        <v>64.54318021589869</v>
      </c>
      <c r="AD155" s="3" t="n">
        <v>59.50984291191388</v>
      </c>
      <c r="AE155" s="3" t="n">
        <v>69.2816665806606</v>
      </c>
      <c r="AF155" s="3" t="n">
        <v>68.15454391135046</v>
      </c>
      <c r="AG155" s="3" t="n">
        <v>62.09216272711193</v>
      </c>
      <c r="AH155" s="3" t="n">
        <v>73.85020223160569</v>
      </c>
      <c r="AI155" s="3" t="n">
        <v>48.22365161954561</v>
      </c>
      <c r="AJ155" s="3" t="n">
        <v>59.80210898421902</v>
      </c>
      <c r="AK155" s="3" t="n">
        <v>61.56585076228722</v>
      </c>
      <c r="AL155" s="3" t="n">
        <v>54.65891835614062</v>
      </c>
      <c r="AM155" s="3" t="n">
        <v>55.35049588715664</v>
      </c>
      <c r="AN155" s="3" t="n">
        <v>59.0551057727382</v>
      </c>
      <c r="AO155" s="3" t="n">
        <v>83.15842256572414</v>
      </c>
      <c r="AP155" s="3" t="n">
        <v>81.79782154691127</v>
      </c>
      <c r="AQ155" s="3" t="n">
        <v>79.94588010952953</v>
      </c>
      <c r="AR155" s="3" t="n">
        <v>75.24590329914473</v>
      </c>
      <c r="AS155" s="3" t="n">
        <v>74.9286619890552</v>
      </c>
      <c r="AT155" s="3" t="n">
        <v>75.32660517271763</v>
      </c>
      <c r="AU155" s="3" t="n">
        <v>69.51380236322674</v>
      </c>
      <c r="AV155" s="3" t="n">
        <v>80.68542206492478</v>
      </c>
      <c r="AW155" s="3" t="n">
        <v>75.25433656395593</v>
      </c>
      <c r="AX155" s="3" t="n">
        <v>69.95713927621853</v>
      </c>
      <c r="AY155" s="3" t="n">
        <v>75.04310794503124</v>
      </c>
      <c r="AZ155" s="3" t="n">
        <v>69.94303424688594</v>
      </c>
      <c r="BA155" s="3" t="n">
        <v>65.56335115335516</v>
      </c>
      <c r="BB155" s="3" t="n">
        <v>66.11987761405298</v>
      </c>
      <c r="BC155" s="3" t="n">
        <v>71.92951187382766</v>
      </c>
      <c r="BD155" s="3" t="n">
        <v>73.98266609103527</v>
      </c>
      <c r="BE155" s="3" t="n">
        <v>73.57554733399311</v>
      </c>
      <c r="BF155" s="3" t="n">
        <v>73.91374543072635</v>
      </c>
      <c r="BG155" s="3" t="n">
        <v>77.66368794120271</v>
      </c>
      <c r="BH155" s="3" t="n">
        <v>73.11493156128135</v>
      </c>
      <c r="BI155" s="3" t="n">
        <v>73.30690457090202</v>
      </c>
      <c r="BJ155" s="3" t="n">
        <v>71.52228575143181</v>
      </c>
      <c r="BK155" s="3" t="n">
        <v>71.60919313973164</v>
      </c>
      <c r="BL155" s="3" t="n">
        <v>72.02004566146253</v>
      </c>
      <c r="BM155" s="3" t="n">
        <v>70.89671705173662</v>
      </c>
      <c r="BN155" s="3" t="n">
        <v>76.97856074504476</v>
      </c>
      <c r="BO155" s="3" t="n">
        <v>76.59695140632073</v>
      </c>
      <c r="BP155" s="3" t="n">
        <v>70.0329641114682</v>
      </c>
      <c r="BQ155" s="3" t="n">
        <v>66.52861071958259</v>
      </c>
      <c r="BR155" s="34" t="str">
        <f>B155&amp;"|"&amp;D155</f>
        <v>MDG|NE.CON.PRVT.ZS</v>
      </c>
    </row>
    <row r="156">
      <c r="A156" s="3" t="inlineStr">
        <is>
          <t>Maldives</t>
        </is>
      </c>
      <c r="B156" s="3" t="inlineStr">
        <is>
          <t>MDV</t>
        </is>
      </c>
      <c r="C156" s="3" t="inlineStr">
        <is>
          <t>Households and NPISHs final consumption expenditure (% of GDP)</t>
        </is>
      </c>
      <c r="D156" s="3" t="inlineStr">
        <is>
          <t>NE.CON.PRVT.ZS</t>
        </is>
      </c>
      <c r="E156" s="3" t="inlineStr">
        <is>
          <t>0x2a</t>
        </is>
      </c>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3" t="n"/>
      <c r="AL156" s="3" t="n"/>
      <c r="AM156" s="3" t="n"/>
      <c r="AN156" s="3" t="n"/>
      <c r="AO156" s="3" t="n"/>
      <c r="AP156" s="3" t="n"/>
      <c r="AQ156" s="3" t="n"/>
      <c r="AR156" s="3" t="n"/>
      <c r="AS156" s="3" t="n"/>
      <c r="AT156" s="3" t="n"/>
      <c r="AU156" s="3" t="n"/>
      <c r="AV156" s="3" t="n"/>
      <c r="AW156" s="3" t="n"/>
      <c r="AX156" s="3" t="n"/>
      <c r="AY156" s="3" t="n"/>
      <c r="AZ156" s="3" t="n"/>
      <c r="BA156" s="3" t="n"/>
      <c r="BB156" s="3" t="n"/>
      <c r="BC156" s="3" t="n"/>
      <c r="BD156" s="3" t="n"/>
      <c r="BE156" s="3" t="n"/>
      <c r="BF156" s="3" t="n"/>
      <c r="BG156" s="3" t="n"/>
      <c r="BH156" s="3" t="n"/>
      <c r="BI156" s="3" t="n"/>
      <c r="BJ156" s="3" t="n"/>
      <c r="BK156" s="3" t="n"/>
      <c r="BL156" s="3" t="n"/>
      <c r="BM156" s="3" t="n"/>
      <c r="BN156" s="3" t="n"/>
      <c r="BO156" s="3" t="n"/>
      <c r="BP156" s="3" t="n"/>
      <c r="BQ156" s="3" t="n"/>
      <c r="BR156" s="34" t="str">
        <f>B156&amp;"|"&amp;D156</f>
        <v>MDV|NE.CON.PRVT.ZS</v>
      </c>
    </row>
    <row r="157">
      <c r="A157" s="3" t="inlineStr">
        <is>
          <t>Middle East &amp; North Africa</t>
        </is>
      </c>
      <c r="B157" s="3" t="inlineStr">
        <is>
          <t>MEA</t>
        </is>
      </c>
      <c r="C157" s="3" t="inlineStr">
        <is>
          <t>Households and NPISHs final consumption expenditure (% of GDP)</t>
        </is>
      </c>
      <c r="D157" s="3" t="inlineStr">
        <is>
          <t>NE.CON.PRVT.ZS</t>
        </is>
      </c>
      <c r="E157" s="3" t="n">
        <v>2023</v>
      </c>
      <c r="F157" s="3" t="n"/>
      <c r="G157" s="3" t="n"/>
      <c r="H157" s="3" t="n"/>
      <c r="I157" s="3" t="n"/>
      <c r="J157" s="3" t="n"/>
      <c r="K157" s="3" t="n"/>
      <c r="L157" s="3" t="n"/>
      <c r="M157" s="3" t="n"/>
      <c r="N157" s="3" t="n"/>
      <c r="O157" s="3" t="n"/>
      <c r="P157" s="3" t="n">
        <v>56.87170371900875</v>
      </c>
      <c r="Q157" s="3" t="n">
        <v>54.02140026350816</v>
      </c>
      <c r="R157" s="3" t="n">
        <v>51.23642132509807</v>
      </c>
      <c r="S157" s="3" t="n">
        <v>45.27810603033682</v>
      </c>
      <c r="T157" s="3" t="n">
        <v>32.69676437611101</v>
      </c>
      <c r="U157" s="3" t="n">
        <v>39.18220122143158</v>
      </c>
      <c r="V157" s="3" t="n">
        <v>35.61461396723893</v>
      </c>
      <c r="W157" s="3" t="n">
        <v>40.13384019682103</v>
      </c>
      <c r="X157" s="3" t="n">
        <v>44.02941104683953</v>
      </c>
      <c r="Y157" s="3" t="n">
        <v>41.44474039450029</v>
      </c>
      <c r="Z157" s="3" t="n">
        <v>38.14327125138637</v>
      </c>
      <c r="AA157" s="3" t="n">
        <v>41.72881600650433</v>
      </c>
      <c r="AB157" s="3" t="n">
        <v>48.43455243283589</v>
      </c>
      <c r="AC157" s="3" t="n">
        <v>53.11147913689069</v>
      </c>
      <c r="AD157" s="3" t="n">
        <v>55.5140488984855</v>
      </c>
      <c r="AE157" s="3" t="n">
        <v>58.19036349720522</v>
      </c>
      <c r="AF157" s="3" t="n">
        <v>64.16849161373642</v>
      </c>
      <c r="AG157" s="3" t="n">
        <v>59.84554377357045</v>
      </c>
      <c r="AH157" s="3" t="n">
        <v>61.62132952443451</v>
      </c>
      <c r="AI157" s="3" t="n">
        <v>62.84204166157053</v>
      </c>
      <c r="AJ157" s="3" t="n">
        <v>55.47964594682198</v>
      </c>
      <c r="AK157" s="3" t="n">
        <v>57.28165112229659</v>
      </c>
      <c r="AL157" s="3" t="n">
        <v>56.13607294180244</v>
      </c>
      <c r="AM157" s="3" t="n">
        <v>59.56398901900114</v>
      </c>
      <c r="AN157" s="3" t="n">
        <v>58.76386608941561</v>
      </c>
      <c r="AO157" s="3" t="n">
        <v>57.42929915817258</v>
      </c>
      <c r="AP157" s="3" t="n">
        <v>55.50884980513982</v>
      </c>
      <c r="AQ157" s="3" t="n">
        <v>55.39936659466912</v>
      </c>
      <c r="AR157" s="3" t="n">
        <v>58.33184379869615</v>
      </c>
      <c r="AS157" s="3" t="n">
        <v>53.90211396168277</v>
      </c>
      <c r="AT157" s="3" t="n">
        <v>48.89445846592631</v>
      </c>
      <c r="AU157" s="3" t="n">
        <v>50.44925450211339</v>
      </c>
      <c r="AV157" s="3" t="n">
        <v>50.47585583901163</v>
      </c>
      <c r="AW157" s="3" t="n">
        <v>48.5005891293082</v>
      </c>
      <c r="AX157" s="3" t="n">
        <v>46.44392826659355</v>
      </c>
      <c r="AY157" s="3" t="n">
        <v>43.01823472057612</v>
      </c>
      <c r="AZ157" s="3" t="n">
        <v>42.25461637048102</v>
      </c>
      <c r="BA157" s="3" t="n">
        <v>43.72776559365592</v>
      </c>
      <c r="BB157" s="3" t="n">
        <v>42.31661241057429</v>
      </c>
      <c r="BC157" s="3" t="n">
        <v>48.11917257789955</v>
      </c>
      <c r="BD157" s="3" t="n">
        <v>43.89181421064103</v>
      </c>
      <c r="BE157" s="3" t="n">
        <v>41.11886645086887</v>
      </c>
      <c r="BF157" s="3" t="n">
        <v>42.00753651925768</v>
      </c>
      <c r="BG157" s="3" t="n">
        <v>42.57890907669756</v>
      </c>
      <c r="BH157" s="3" t="n">
        <v>44.83997271233498</v>
      </c>
      <c r="BI157" s="3" t="n">
        <v>50.50193367178009</v>
      </c>
      <c r="BJ157" s="3" t="n">
        <v>51.62515482401911</v>
      </c>
      <c r="BK157" s="3" t="n">
        <v>49.84163880019382</v>
      </c>
      <c r="BL157" s="3" t="n">
        <v>47.12593582534787</v>
      </c>
      <c r="BM157" s="3" t="n">
        <v>48.82592590983369</v>
      </c>
      <c r="BN157" s="3" t="n">
        <v>52.35172113913481</v>
      </c>
      <c r="BO157" s="3" t="n">
        <v>49.46202009177014</v>
      </c>
      <c r="BP157" s="3" t="n">
        <v>45.10885129633533</v>
      </c>
      <c r="BQ157" s="3" t="n">
        <v>46.20084090274691</v>
      </c>
      <c r="BR157" s="34" t="str">
        <f>B157&amp;"|"&amp;D157</f>
        <v>MEA|NE.CON.PRVT.ZS</v>
      </c>
    </row>
    <row r="158">
      <c r="A158" s="3" t="inlineStr">
        <is>
          <t>Mexico</t>
        </is>
      </c>
      <c r="B158" s="3" t="inlineStr">
        <is>
          <t>MEX</t>
        </is>
      </c>
      <c r="C158" s="3" t="inlineStr">
        <is>
          <t>Households and NPISHs final consumption expenditure (% of GDP)</t>
        </is>
      </c>
      <c r="D158" s="3" t="inlineStr">
        <is>
          <t>NE.CON.PRVT.ZS</t>
        </is>
      </c>
      <c r="E158" s="3" t="n">
        <v>2023</v>
      </c>
      <c r="F158" s="3" t="n">
        <v>77.21349693251534</v>
      </c>
      <c r="G158" s="3" t="n">
        <v>76.87514124293784</v>
      </c>
      <c r="H158" s="3" t="n">
        <v>77.15157894736842</v>
      </c>
      <c r="I158" s="3" t="n">
        <v>74.70985849056603</v>
      </c>
      <c r="J158" s="3" t="n">
        <v>74.74856573705179</v>
      </c>
      <c r="K158" s="3" t="n">
        <v>73.13626373626374</v>
      </c>
      <c r="L158" s="3" t="n">
        <v>73.22039473684211</v>
      </c>
      <c r="M158" s="3" t="n">
        <v>73.25753012048193</v>
      </c>
      <c r="N158" s="3" t="n">
        <v>74.10272479564033</v>
      </c>
      <c r="O158" s="3" t="n">
        <v>72.98325123152709</v>
      </c>
      <c r="P158" s="3" t="n">
        <v>71.96436936936938</v>
      </c>
      <c r="Q158" s="3" t="n">
        <v>73.22071428571428</v>
      </c>
      <c r="R158" s="3" t="n">
        <v>71.78166371681417</v>
      </c>
      <c r="S158" s="3" t="n">
        <v>70.47599131693198</v>
      </c>
      <c r="T158" s="3" t="n">
        <v>69.81601111111111</v>
      </c>
      <c r="U158" s="3" t="n">
        <v>68.72031818181819</v>
      </c>
      <c r="V158" s="3" t="n">
        <v>68.07879649890592</v>
      </c>
      <c r="W158" s="3" t="n">
        <v>66.31078961600866</v>
      </c>
      <c r="X158" s="3" t="n">
        <v>66.06047068891742</v>
      </c>
      <c r="Y158" s="3" t="n">
        <v>64.40283898305084</v>
      </c>
      <c r="Z158" s="3" t="n">
        <v>61.64981595731761</v>
      </c>
      <c r="AA158" s="3" t="n">
        <v>61.0011243614943</v>
      </c>
      <c r="AB158" s="3" t="n">
        <v>57.97279310569537</v>
      </c>
      <c r="AC158" s="3" t="n">
        <v>58.02110692696435</v>
      </c>
      <c r="AD158" s="3" t="n">
        <v>60.12443967040545</v>
      </c>
      <c r="AE158" s="3" t="n">
        <v>60.96453570591971</v>
      </c>
      <c r="AF158" s="3" t="n">
        <v>65.85321593281176</v>
      </c>
      <c r="AG158" s="3" t="n">
        <v>62.58835693525916</v>
      </c>
      <c r="AH158" s="3" t="n">
        <v>68.20600087414233</v>
      </c>
      <c r="AI158" s="3" t="n">
        <v>69.34357394226711</v>
      </c>
      <c r="AJ158" s="3" t="n">
        <v>69.96679255670931</v>
      </c>
      <c r="AK158" s="3" t="n">
        <v>70.7962728484782</v>
      </c>
      <c r="AL158" s="3" t="n">
        <v>71.90090315380311</v>
      </c>
      <c r="AM158" s="3" t="n">
        <v>71.07404487117456</v>
      </c>
      <c r="AN158" s="3" t="n">
        <v>70.23962562668903</v>
      </c>
      <c r="AO158" s="3" t="n">
        <v>68.79998710010716</v>
      </c>
      <c r="AP158" s="3" t="n">
        <v>68.84783163415311</v>
      </c>
      <c r="AQ158" s="3" t="n">
        <v>68.881640067563</v>
      </c>
      <c r="AR158" s="3" t="n">
        <v>68.06949246704171</v>
      </c>
      <c r="AS158" s="3" t="n">
        <v>67.75292454105774</v>
      </c>
      <c r="AT158" s="3" t="n">
        <v>69.00919052899852</v>
      </c>
      <c r="AU158" s="3" t="n">
        <v>69.25700439571155</v>
      </c>
      <c r="AV158" s="3" t="n">
        <v>69.65921483275272</v>
      </c>
      <c r="AW158" s="3" t="n">
        <v>70.64951357595174</v>
      </c>
      <c r="AX158" s="3" t="n">
        <v>69.91887675839936</v>
      </c>
      <c r="AY158" s="3" t="n">
        <v>71.22674359307972</v>
      </c>
      <c r="AZ158" s="3" t="n">
        <v>69.27428098169881</v>
      </c>
      <c r="BA158" s="3" t="n">
        <v>69.3229644300248</v>
      </c>
      <c r="BB158" s="3" t="n">
        <v>70.27469908603365</v>
      </c>
      <c r="BC158" s="3" t="n">
        <v>69.11922676465146</v>
      </c>
      <c r="BD158" s="3" t="n">
        <v>70.54294556390374</v>
      </c>
      <c r="BE158" s="3" t="n">
        <v>69.90249657365266</v>
      </c>
      <c r="BF158" s="3" t="n">
        <v>69.16299813413735</v>
      </c>
      <c r="BG158" s="3" t="n">
        <v>70.74787945334698</v>
      </c>
      <c r="BH158" s="3" t="n">
        <v>70.80840719365867</v>
      </c>
      <c r="BI158" s="3" t="n">
        <v>69.1492541424672</v>
      </c>
      <c r="BJ158" s="3" t="n">
        <v>68.93057536692307</v>
      </c>
      <c r="BK158" s="3" t="n">
        <v>68.23570050739059</v>
      </c>
      <c r="BL158" s="3" t="n">
        <v>67.39101095377328</v>
      </c>
      <c r="BM158" s="3" t="n">
        <v>67.61239762703089</v>
      </c>
      <c r="BN158" s="3" t="n">
        <v>66.11052129020767</v>
      </c>
      <c r="BO158" s="3" t="n">
        <v>68.15230489949307</v>
      </c>
      <c r="BP158" s="3" t="n">
        <v>70.62711244171987</v>
      </c>
      <c r="BQ158" s="3" t="n">
        <v>70.366201438421</v>
      </c>
      <c r="BR158" s="34" t="str">
        <f>B158&amp;"|"&amp;D158</f>
        <v>MEX|NE.CON.PRVT.ZS</v>
      </c>
    </row>
    <row r="159">
      <c r="A159" s="3" t="inlineStr">
        <is>
          <t>Marshall Islands</t>
        </is>
      </c>
      <c r="B159" s="3" t="inlineStr">
        <is>
          <t>MHL</t>
        </is>
      </c>
      <c r="C159" s="3" t="inlineStr">
        <is>
          <t>Households and NPISHs final consumption expenditure (% of GDP)</t>
        </is>
      </c>
      <c r="D159" s="3" t="inlineStr">
        <is>
          <t>NE.CON.PRVT.ZS</t>
        </is>
      </c>
      <c r="E159" s="3" t="n">
        <v>2022</v>
      </c>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c r="AL159" s="3" t="n"/>
      <c r="AM159" s="3" t="n"/>
      <c r="AN159" s="3" t="n"/>
      <c r="AO159" s="3" t="n"/>
      <c r="AP159" s="3" t="n"/>
      <c r="AQ159" s="3" t="n"/>
      <c r="AR159" s="3" t="n"/>
      <c r="AS159" s="3" t="n"/>
      <c r="AT159" s="3" t="n"/>
      <c r="AU159" s="3" t="n"/>
      <c r="AV159" s="3" t="n"/>
      <c r="AW159" s="3" t="n"/>
      <c r="AX159" s="3" t="n">
        <v>80.29445003198467</v>
      </c>
      <c r="AY159" s="3" t="n">
        <v>83.58498131228848</v>
      </c>
      <c r="AZ159" s="3" t="n">
        <v>80.61716645607738</v>
      </c>
      <c r="BA159" s="3" t="n">
        <v>83.07279727580686</v>
      </c>
      <c r="BB159" s="3" t="n">
        <v>84.30359060908367</v>
      </c>
      <c r="BC159" s="3" t="n">
        <v>81.04608151948266</v>
      </c>
      <c r="BD159" s="3" t="n">
        <v>78.16134235594365</v>
      </c>
      <c r="BE159" s="3" t="n">
        <v>77.86438874449036</v>
      </c>
      <c r="BF159" s="3" t="n">
        <v>77.14220577894379</v>
      </c>
      <c r="BG159" s="3" t="n">
        <v>79.19033410875312</v>
      </c>
      <c r="BH159" s="3" t="n">
        <v>77.34428245065276</v>
      </c>
      <c r="BI159" s="3" t="n">
        <v>77.77711756762207</v>
      </c>
      <c r="BJ159" s="3" t="n">
        <v>73.55117446688806</v>
      </c>
      <c r="BK159" s="3" t="n">
        <v>76.1711778629882</v>
      </c>
      <c r="BL159" s="3" t="n">
        <v>75.55247582553622</v>
      </c>
      <c r="BM159" s="3" t="n">
        <v>75.54928001992343</v>
      </c>
      <c r="BN159" s="3" t="n">
        <v>70.64841250404767</v>
      </c>
      <c r="BO159" s="3" t="n">
        <v>66.31764270734489</v>
      </c>
      <c r="BP159" s="3" t="n">
        <v>71.6777285986759</v>
      </c>
      <c r="BQ159" s="3" t="n"/>
      <c r="BR159" s="34" t="str">
        <f>B159&amp;"|"&amp;D159</f>
        <v>MHL|NE.CON.PRVT.ZS</v>
      </c>
    </row>
    <row r="160">
      <c r="A160" s="3" t="inlineStr">
        <is>
          <t>Middle income</t>
        </is>
      </c>
      <c r="B160" s="3" t="inlineStr">
        <is>
          <t>MIC</t>
        </is>
      </c>
      <c r="C160" s="3" t="inlineStr">
        <is>
          <t>Households and NPISHs final consumption expenditure (% of GDP)</t>
        </is>
      </c>
      <c r="D160" s="3" t="inlineStr">
        <is>
          <t>NE.CON.PRVT.ZS</t>
        </is>
      </c>
      <c r="E160" s="3" t="n">
        <v>2022</v>
      </c>
      <c r="F160" s="3" t="n">
        <v>63.52413869841331</v>
      </c>
      <c r="G160" s="3" t="n">
        <v>68.45670799245732</v>
      </c>
      <c r="H160" s="3" t="n">
        <v>70.6720542422533</v>
      </c>
      <c r="I160" s="3" t="n">
        <v>68.69490231933439</v>
      </c>
      <c r="J160" s="3" t="n">
        <v>67.01518636187018</v>
      </c>
      <c r="K160" s="3" t="n">
        <v>64.58707951950065</v>
      </c>
      <c r="L160" s="3" t="n">
        <v>62.55296573834016</v>
      </c>
      <c r="M160" s="3" t="n">
        <v>65.13024089889718</v>
      </c>
      <c r="N160" s="3" t="n">
        <v>64.32316561545987</v>
      </c>
      <c r="O160" s="3" t="n">
        <v>62.51438810913914</v>
      </c>
      <c r="P160" s="3" t="n">
        <v>61.21768791079963</v>
      </c>
      <c r="Q160" s="3" t="n">
        <v>61.9943574251359</v>
      </c>
      <c r="R160" s="3" t="n">
        <v>61.42738755462788</v>
      </c>
      <c r="S160" s="3" t="n">
        <v>59.65312646078473</v>
      </c>
      <c r="T160" s="3" t="n">
        <v>57.29469784686129</v>
      </c>
      <c r="U160" s="3" t="n">
        <v>57.37543076224085</v>
      </c>
      <c r="V160" s="3" t="n">
        <v>56.0356331931118</v>
      </c>
      <c r="W160" s="3" t="n">
        <v>56.27065784975866</v>
      </c>
      <c r="X160" s="3" t="n">
        <v>57.01002047910397</v>
      </c>
      <c r="Y160" s="3" t="n">
        <v>55.60688484500427</v>
      </c>
      <c r="Z160" s="3" t="n">
        <v>55.95381918108124</v>
      </c>
      <c r="AA160" s="3" t="n">
        <v>54.80288571324535</v>
      </c>
      <c r="AB160" s="3" t="n">
        <v>55.51236773634248</v>
      </c>
      <c r="AC160" s="3" t="n">
        <v>57.21313708643739</v>
      </c>
      <c r="AD160" s="3" t="n">
        <v>58.26278634955456</v>
      </c>
      <c r="AE160" s="3" t="n">
        <v>58.6631518307249</v>
      </c>
      <c r="AF160" s="3" t="n">
        <v>60.85047984374528</v>
      </c>
      <c r="AG160" s="3" t="n">
        <v>60.16423684724561</v>
      </c>
      <c r="AH160" s="3" t="n">
        <v>60.59813048579051</v>
      </c>
      <c r="AI160" s="3" t="n">
        <v>61.59569258435658</v>
      </c>
      <c r="AJ160" s="3" t="n">
        <v>61.92373186625735</v>
      </c>
      <c r="AK160" s="3" t="n">
        <v>63.66353657568536</v>
      </c>
      <c r="AL160" s="3" t="n">
        <v>63.95706204035469</v>
      </c>
      <c r="AM160" s="3" t="n">
        <v>63.07302095365242</v>
      </c>
      <c r="AN160" s="3" t="n">
        <v>62.13897540251949</v>
      </c>
      <c r="AO160" s="3" t="n">
        <v>61.28632102515135</v>
      </c>
      <c r="AP160" s="3" t="n">
        <v>60.95787709910837</v>
      </c>
      <c r="AQ160" s="3" t="n">
        <v>60.89864470532543</v>
      </c>
      <c r="AR160" s="3" t="n">
        <v>60.42259035190014</v>
      </c>
      <c r="AS160" s="3" t="n">
        <v>62.04139180642844</v>
      </c>
      <c r="AT160" s="3" t="n">
        <v>61.50555417317454</v>
      </c>
      <c r="AU160" s="3" t="n">
        <v>61.02564308899709</v>
      </c>
      <c r="AV160" s="3" t="n">
        <v>59.59686095606155</v>
      </c>
      <c r="AW160" s="3" t="n">
        <v>58.64301378302053</v>
      </c>
      <c r="AX160" s="3" t="n">
        <v>56.90005234732526</v>
      </c>
      <c r="AY160" s="3" t="n">
        <v>56.13646469601288</v>
      </c>
      <c r="AZ160" s="3" t="n">
        <v>54.43118002826958</v>
      </c>
      <c r="BA160" s="3" t="n">
        <v>53.56185596400525</v>
      </c>
      <c r="BB160" s="3" t="n">
        <v>52.35278260690613</v>
      </c>
      <c r="BC160" s="3" t="n">
        <v>52.32733068195961</v>
      </c>
      <c r="BD160" s="3" t="n">
        <v>51.31496037528889</v>
      </c>
      <c r="BE160" s="3" t="n">
        <v>50.98131298732093</v>
      </c>
      <c r="BF160" s="3" t="n">
        <v>51.08332788973292</v>
      </c>
      <c r="BG160" s="3" t="n">
        <v>51.13365720086166</v>
      </c>
      <c r="BH160" s="3" t="n">
        <v>51.27022990985483</v>
      </c>
      <c r="BI160" s="3" t="n">
        <v>51.65053461335276</v>
      </c>
      <c r="BJ160" s="3" t="n">
        <v>52.17256517547268</v>
      </c>
      <c r="BK160" s="3" t="n">
        <v>51.90887721059809</v>
      </c>
      <c r="BL160" s="3" t="n">
        <v>51.13928517475102</v>
      </c>
      <c r="BM160" s="3" t="n">
        <v>51.6614294255012</v>
      </c>
      <c r="BN160" s="3" t="n">
        <v>50.59080303056665</v>
      </c>
      <c r="BO160" s="3" t="n">
        <v>49.88210474742111</v>
      </c>
      <c r="BP160" s="3" t="n">
        <v>50.1232180225844</v>
      </c>
      <c r="BQ160" s="3" t="n"/>
      <c r="BR160" s="34" t="str">
        <f>B160&amp;"|"&amp;D160</f>
        <v>MIC|NE.CON.PRVT.ZS</v>
      </c>
    </row>
    <row r="161">
      <c r="A161" s="3" t="inlineStr">
        <is>
          <t>North Macedonia</t>
        </is>
      </c>
      <c r="B161" s="3" t="inlineStr">
        <is>
          <t>MKD</t>
        </is>
      </c>
      <c r="C161" s="3" t="inlineStr">
        <is>
          <t>Households and NPISHs final consumption expenditure (% of GDP)</t>
        </is>
      </c>
      <c r="D161" s="3" t="inlineStr">
        <is>
          <t>NE.CON.PRVT.ZS</t>
        </is>
      </c>
      <c r="E161" s="3" t="n">
        <v>2023</v>
      </c>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v>63.76766917293233</v>
      </c>
      <c r="AK161" s="3" t="n">
        <v>62.03192148760331</v>
      </c>
      <c r="AL161" s="3" t="n">
        <v>66.4622037723682</v>
      </c>
      <c r="AM161" s="3" t="n">
        <v>67.9905757395594</v>
      </c>
      <c r="AN161" s="3" t="n">
        <v>71.97857142857143</v>
      </c>
      <c r="AO161" s="3" t="n">
        <v>66.95111350393414</v>
      </c>
      <c r="AP161" s="3" t="n">
        <v>74.05187695656625</v>
      </c>
      <c r="AQ161" s="3" t="n">
        <v>81.22700766113165</v>
      </c>
      <c r="AR161" s="3" t="n">
        <v>84.69718024857501</v>
      </c>
      <c r="AS161" s="3" t="n">
        <v>83.32126433383216</v>
      </c>
      <c r="AT161" s="3" t="n">
        <v>75.45627116462762</v>
      </c>
      <c r="AU161" s="3" t="n">
        <v>71.89383223781959</v>
      </c>
      <c r="AV161" s="3" t="n">
        <v>77.3486837780038</v>
      </c>
      <c r="AW161" s="3" t="n">
        <v>79.74796608781737</v>
      </c>
      <c r="AX161" s="3" t="n">
        <v>81.01116152514727</v>
      </c>
      <c r="AY161" s="3" t="n">
        <v>80.19562518033892</v>
      </c>
      <c r="AZ161" s="3" t="n">
        <v>79.04939672679488</v>
      </c>
      <c r="BA161" s="3" t="n">
        <v>77.34446443847901</v>
      </c>
      <c r="BB161" s="3" t="n">
        <v>78.60517245534962</v>
      </c>
      <c r="BC161" s="3" t="n">
        <v>76.74749530898023</v>
      </c>
      <c r="BD161" s="3" t="n">
        <v>75.54265303135634</v>
      </c>
      <c r="BE161" s="3" t="n">
        <v>73.91002744589453</v>
      </c>
      <c r="BF161" s="3" t="n">
        <v>73.89110419260216</v>
      </c>
      <c r="BG161" s="3" t="n">
        <v>71.75163531523778</v>
      </c>
      <c r="BH161" s="3" t="n">
        <v>69.80465514725253</v>
      </c>
      <c r="BI161" s="3" t="n">
        <v>68.84251655771317</v>
      </c>
      <c r="BJ161" s="3" t="n">
        <v>66.91818189460234</v>
      </c>
      <c r="BK161" s="3" t="n">
        <v>66.6521599855041</v>
      </c>
      <c r="BL161" s="3" t="n">
        <v>65.85254767143104</v>
      </c>
      <c r="BM161" s="3" t="n">
        <v>65.50254589761839</v>
      </c>
      <c r="BN161" s="3" t="n">
        <v>66.04201530002391</v>
      </c>
      <c r="BO161" s="3" t="n">
        <v>67.78208089712041</v>
      </c>
      <c r="BP161" s="3" t="n">
        <v>69.52751758408549</v>
      </c>
      <c r="BQ161" s="3" t="n">
        <v>72.87032884413837</v>
      </c>
      <c r="BR161" s="34" t="str">
        <f>B161&amp;"|"&amp;D161</f>
        <v>MKD|NE.CON.PRVT.ZS</v>
      </c>
    </row>
    <row r="162">
      <c r="A162" s="3" t="inlineStr">
        <is>
          <t>Mali</t>
        </is>
      </c>
      <c r="B162" s="3" t="inlineStr">
        <is>
          <t>MLI</t>
        </is>
      </c>
      <c r="C162" s="3" t="inlineStr">
        <is>
          <t>Households and NPISHs final consumption expenditure (% of GDP)</t>
        </is>
      </c>
      <c r="D162" s="3" t="inlineStr">
        <is>
          <t>NE.CON.PRVT.ZS</t>
        </is>
      </c>
      <c r="E162" s="3" t="n">
        <v>2023</v>
      </c>
      <c r="F162" s="3" t="n"/>
      <c r="G162" s="3" t="n"/>
      <c r="H162" s="3" t="n"/>
      <c r="I162" s="3" t="n"/>
      <c r="J162" s="3" t="n"/>
      <c r="K162" s="3" t="n"/>
      <c r="L162" s="3" t="n"/>
      <c r="M162" s="3" t="n">
        <v>82.66287411547097</v>
      </c>
      <c r="N162" s="3" t="n">
        <v>78.34964974709311</v>
      </c>
      <c r="O162" s="3" t="n">
        <v>77.76836749414956</v>
      </c>
      <c r="P162" s="3" t="n">
        <v>78.27723012936465</v>
      </c>
      <c r="Q162" s="3" t="n">
        <v>78.53684138026227</v>
      </c>
      <c r="R162" s="3" t="n">
        <v>78.72285594504748</v>
      </c>
      <c r="S162" s="3" t="n">
        <v>85.28482359356185</v>
      </c>
      <c r="T162" s="3" t="n">
        <v>101.6725946426872</v>
      </c>
      <c r="U162" s="3" t="n">
        <v>92.19747341939947</v>
      </c>
      <c r="V162" s="3" t="n">
        <v>86.83904777408785</v>
      </c>
      <c r="W162" s="3" t="n">
        <v>79.81343034808998</v>
      </c>
      <c r="X162" s="3" t="n">
        <v>90.33162888550986</v>
      </c>
      <c r="Y162" s="3" t="n">
        <v>87.94629109371988</v>
      </c>
      <c r="Z162" s="3" t="n">
        <v>114.4168658515377</v>
      </c>
      <c r="AA162" s="3" t="n">
        <v>115.5031043476693</v>
      </c>
      <c r="AB162" s="3" t="n">
        <v>115.3782977405062</v>
      </c>
      <c r="AC162" s="3" t="n">
        <v>116.1566222957979</v>
      </c>
      <c r="AD162" s="3" t="n">
        <v>117.8145995882165</v>
      </c>
      <c r="AE162" s="3" t="n">
        <v>94.4165824445667</v>
      </c>
      <c r="AF162" s="3" t="n">
        <v>85.51655359353781</v>
      </c>
      <c r="AG162" s="3" t="n">
        <v>77.61619994708201</v>
      </c>
      <c r="AH162" s="3" t="n">
        <v>81.5002814991736</v>
      </c>
      <c r="AI162" s="3" t="n">
        <v>74.81856547551808</v>
      </c>
      <c r="AJ162" s="3" t="n">
        <v>78.54728954714192</v>
      </c>
      <c r="AK162" s="3" t="n">
        <v>85.42666439473555</v>
      </c>
      <c r="AL162" s="3" t="n">
        <v>83.90298507499041</v>
      </c>
      <c r="AM162" s="3" t="n">
        <v>86.80834658941843</v>
      </c>
      <c r="AN162" s="3" t="n">
        <v>85.94755910932949</v>
      </c>
      <c r="AO162" s="3" t="n">
        <v>85.9619844491105</v>
      </c>
      <c r="AP162" s="3" t="n">
        <v>84.29492712864747</v>
      </c>
      <c r="AQ162" s="3" t="n">
        <v>77.24768050879501</v>
      </c>
      <c r="AR162" s="3" t="n">
        <v>69.12421687760414</v>
      </c>
      <c r="AS162" s="3" t="n">
        <v>76.94658020981092</v>
      </c>
      <c r="AT162" s="3" t="n">
        <v>76.87230069577012</v>
      </c>
      <c r="AU162" s="3" t="n">
        <v>72.08805630327831</v>
      </c>
      <c r="AV162" s="3" t="n">
        <v>70.54791375838171</v>
      </c>
      <c r="AW162" s="3" t="n">
        <v>70.71107146957623</v>
      </c>
      <c r="AX162" s="3" t="n">
        <v>70.86731151474864</v>
      </c>
      <c r="AY162" s="3" t="n">
        <v>73.41926591996794</v>
      </c>
      <c r="AZ162" s="3" t="n">
        <v>69.66409513511836</v>
      </c>
      <c r="BA162" s="3" t="n">
        <v>70.52562768941596</v>
      </c>
      <c r="BB162" s="3" t="n">
        <v>73.08950520399014</v>
      </c>
      <c r="BC162" s="3" t="n">
        <v>70.43991396838275</v>
      </c>
      <c r="BD162" s="3" t="n">
        <v>72.59756635499105</v>
      </c>
      <c r="BE162" s="3" t="n">
        <v>69.94458949475084</v>
      </c>
      <c r="BF162" s="3" t="n">
        <v>70.74041773451127</v>
      </c>
      <c r="BG162" s="3" t="n">
        <v>78.7356128527221</v>
      </c>
      <c r="BH162" s="3" t="n">
        <v>79.11024613294086</v>
      </c>
      <c r="BI162" s="3" t="n">
        <v>78.41977415203758</v>
      </c>
      <c r="BJ162" s="3" t="n">
        <v>76.67422008045077</v>
      </c>
      <c r="BK162" s="3" t="n">
        <v>75.86679525969197</v>
      </c>
      <c r="BL162" s="3" t="n">
        <v>74.76451156110483</v>
      </c>
      <c r="BM162" s="3" t="n">
        <v>73.97332811890367</v>
      </c>
      <c r="BN162" s="3" t="n">
        <v>73.40612183093019</v>
      </c>
      <c r="BO162" s="3" t="n">
        <v>73.44054643201019</v>
      </c>
      <c r="BP162" s="3" t="n">
        <v>74.75816180909858</v>
      </c>
      <c r="BQ162" s="3" t="n">
        <v>74.33306121638566</v>
      </c>
      <c r="BR162" s="34" t="str">
        <f>B162&amp;"|"&amp;D162</f>
        <v>MLI|NE.CON.PRVT.ZS</v>
      </c>
    </row>
    <row r="163">
      <c r="A163" s="3" t="inlineStr">
        <is>
          <t>Malta</t>
        </is>
      </c>
      <c r="B163" s="3" t="inlineStr">
        <is>
          <t>MLT</t>
        </is>
      </c>
      <c r="C163" s="3" t="inlineStr">
        <is>
          <t>Households and NPISHs final consumption expenditure (% of GDP)</t>
        </is>
      </c>
      <c r="D163" s="3" t="inlineStr">
        <is>
          <t>NE.CON.PRVT.ZS</t>
        </is>
      </c>
      <c r="E163" s="3" t="n">
        <v>2023</v>
      </c>
      <c r="F163" s="3" t="n"/>
      <c r="G163" s="3" t="n"/>
      <c r="H163" s="3" t="n"/>
      <c r="I163" s="3" t="n"/>
      <c r="J163" s="3" t="n"/>
      <c r="K163" s="3" t="n"/>
      <c r="L163" s="3" t="n"/>
      <c r="M163" s="3" t="n"/>
      <c r="N163" s="3" t="n"/>
      <c r="O163" s="3" t="n"/>
      <c r="P163" s="3" t="n">
        <v>79.41615923691991</v>
      </c>
      <c r="Q163" s="3" t="n">
        <v>78.29965671732806</v>
      </c>
      <c r="R163" s="3" t="n">
        <v>80.21491331908253</v>
      </c>
      <c r="S163" s="3" t="n">
        <v>79.37661898502122</v>
      </c>
      <c r="T163" s="3" t="n">
        <v>82.91961175605555</v>
      </c>
      <c r="U163" s="3" t="n">
        <v>72.99043752231711</v>
      </c>
      <c r="V163" s="3" t="n">
        <v>67.93719013955196</v>
      </c>
      <c r="W163" s="3" t="n">
        <v>73.31758687567692</v>
      </c>
      <c r="X163" s="3" t="n">
        <v>68.44878370294725</v>
      </c>
      <c r="Y163" s="3" t="n">
        <v>64.47483525024094</v>
      </c>
      <c r="Z163" s="3" t="n">
        <v>65.9385683985841</v>
      </c>
      <c r="AA163" s="3" t="n">
        <v>65.27955288964404</v>
      </c>
      <c r="AB163" s="3" t="n">
        <v>67.50286506864099</v>
      </c>
      <c r="AC163" s="3" t="n">
        <v>68.34552021810784</v>
      </c>
      <c r="AD163" s="3" t="n">
        <v>70.20904308180063</v>
      </c>
      <c r="AE163" s="3" t="n">
        <v>71.38364682051889</v>
      </c>
      <c r="AF163" s="3" t="n">
        <v>68.39678717243999</v>
      </c>
      <c r="AG163" s="3" t="n">
        <v>65.20250187987237</v>
      </c>
      <c r="AH163" s="3" t="n">
        <v>65.1605156691481</v>
      </c>
      <c r="AI163" s="3" t="n">
        <v>64.74159800309212</v>
      </c>
      <c r="AJ163" s="3" t="n">
        <v>63.95163892296469</v>
      </c>
      <c r="AK163" s="3" t="n">
        <v>62.48805523248907</v>
      </c>
      <c r="AL163" s="3" t="n">
        <v>61.93415068688228</v>
      </c>
      <c r="AM163" s="3" t="n">
        <v>60.8489004023298</v>
      </c>
      <c r="AN163" s="3" t="n">
        <v>60.27262113227279</v>
      </c>
      <c r="AO163" s="3" t="n">
        <v>61.51918335944192</v>
      </c>
      <c r="AP163" s="3" t="n">
        <v>63.8539149550798</v>
      </c>
      <c r="AQ163" s="3" t="n">
        <v>62.9891021188549</v>
      </c>
      <c r="AR163" s="3" t="n">
        <v>62.43836738247851</v>
      </c>
      <c r="AS163" s="3" t="n">
        <v>63.38682861394746</v>
      </c>
      <c r="AT163" s="3" t="n">
        <v>63.40795349060653</v>
      </c>
      <c r="AU163" s="3" t="n">
        <v>64.40391688768953</v>
      </c>
      <c r="AV163" s="3" t="n">
        <v>60.7806266608418</v>
      </c>
      <c r="AW163" s="3" t="n">
        <v>61.03629859434852</v>
      </c>
      <c r="AX163" s="3" t="n">
        <v>63.20081697724449</v>
      </c>
      <c r="AY163" s="3" t="n">
        <v>64.32132555408283</v>
      </c>
      <c r="AZ163" s="3" t="n">
        <v>64.6137661705794</v>
      </c>
      <c r="BA163" s="3" t="n">
        <v>62.07396997702806</v>
      </c>
      <c r="BB163" s="3" t="n">
        <v>59.87489804544911</v>
      </c>
      <c r="BC163" s="3" t="n">
        <v>61.19483139504269</v>
      </c>
      <c r="BD163" s="3" t="n">
        <v>58.60310319195712</v>
      </c>
      <c r="BE163" s="3" t="n">
        <v>61.24758986988196</v>
      </c>
      <c r="BF163" s="3" t="n">
        <v>59.44818784669246</v>
      </c>
      <c r="BG163" s="3" t="n">
        <v>57.44709859801679</v>
      </c>
      <c r="BH163" s="3" t="n">
        <v>53.8404997919215</v>
      </c>
      <c r="BI163" s="3" t="n">
        <v>49.00569172267134</v>
      </c>
      <c r="BJ163" s="3" t="n">
        <v>48.32310491328739</v>
      </c>
      <c r="BK163" s="3" t="n">
        <v>45.51555985501743</v>
      </c>
      <c r="BL163" s="3" t="n">
        <v>46.04737833015795</v>
      </c>
      <c r="BM163" s="3" t="n">
        <v>44.64616395047554</v>
      </c>
      <c r="BN163" s="3" t="n">
        <v>43.23010354128689</v>
      </c>
      <c r="BO163" s="3" t="n">
        <v>41.23702319295987</v>
      </c>
      <c r="BP163" s="3" t="n">
        <v>42.38855686144969</v>
      </c>
      <c r="BQ163" s="3" t="n">
        <v>43.37855494083333</v>
      </c>
      <c r="BR163" s="34" t="str">
        <f>B163&amp;"|"&amp;D163</f>
        <v>MLT|NE.CON.PRVT.ZS</v>
      </c>
    </row>
    <row r="164">
      <c r="A164" s="3" t="inlineStr">
        <is>
          <t>Myanmar</t>
        </is>
      </c>
      <c r="B164" s="3" t="inlineStr">
        <is>
          <t>MMR</t>
        </is>
      </c>
      <c r="C164" s="3" t="inlineStr">
        <is>
          <t>Households and NPISHs final consumption expenditure (% of GDP)</t>
        </is>
      </c>
      <c r="D164" s="3" t="inlineStr">
        <is>
          <t>NE.CON.PRVT.ZS</t>
        </is>
      </c>
      <c r="E164" s="3" t="inlineStr">
        <is>
          <t>0x2a</t>
        </is>
      </c>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3" t="n"/>
      <c r="AL164" s="3" t="n"/>
      <c r="AM164" s="3" t="n"/>
      <c r="AN164" s="3" t="n"/>
      <c r="AO164" s="3" t="n"/>
      <c r="AP164" s="3" t="n"/>
      <c r="AQ164" s="3" t="n"/>
      <c r="AR164" s="3" t="n"/>
      <c r="AS164" s="3" t="n"/>
      <c r="AT164" s="3" t="n"/>
      <c r="AU164" s="3" t="n"/>
      <c r="AV164" s="3" t="n"/>
      <c r="AW164" s="3" t="n"/>
      <c r="AX164" s="3" t="n"/>
      <c r="AY164" s="3" t="n"/>
      <c r="AZ164" s="3" t="n"/>
      <c r="BA164" s="3" t="n"/>
      <c r="BB164" s="3" t="n"/>
      <c r="BC164" s="3" t="n"/>
      <c r="BD164" s="3" t="n"/>
      <c r="BE164" s="3" t="n"/>
      <c r="BF164" s="3" t="n"/>
      <c r="BG164" s="3" t="n"/>
      <c r="BH164" s="3" t="n"/>
      <c r="BI164" s="3" t="n"/>
      <c r="BJ164" s="3" t="n"/>
      <c r="BK164" s="3" t="n"/>
      <c r="BL164" s="3" t="n"/>
      <c r="BM164" s="3" t="n"/>
      <c r="BN164" s="3" t="n"/>
      <c r="BO164" s="3" t="n"/>
      <c r="BP164" s="3" t="n"/>
      <c r="BQ164" s="3" t="n"/>
      <c r="BR164" s="34" t="str">
        <f>B164&amp;"|"&amp;D164</f>
        <v>MMR|NE.CON.PRVT.ZS</v>
      </c>
    </row>
    <row r="165">
      <c r="A165" s="3" t="inlineStr">
        <is>
          <t>Middle East &amp; North Africa (excluding high income)</t>
        </is>
      </c>
      <c r="B165" s="3" t="inlineStr">
        <is>
          <t>MNA</t>
        </is>
      </c>
      <c r="C165" s="3" t="inlineStr">
        <is>
          <t>Households and NPISHs final consumption expenditure (% of GDP)</t>
        </is>
      </c>
      <c r="D165" s="3" t="inlineStr">
        <is>
          <t>NE.CON.PRVT.ZS</t>
        </is>
      </c>
      <c r="E165" s="3" t="n">
        <v>2023</v>
      </c>
      <c r="F165" s="3" t="n"/>
      <c r="G165" s="3" t="n"/>
      <c r="H165" s="3" t="n"/>
      <c r="I165" s="3" t="n"/>
      <c r="J165" s="3" t="n"/>
      <c r="K165" s="3" t="n">
        <v>57.0354252023381</v>
      </c>
      <c r="L165" s="3" t="n">
        <v>55.89887204323646</v>
      </c>
      <c r="M165" s="3" t="n">
        <v>55.1328446208276</v>
      </c>
      <c r="N165" s="3" t="n">
        <v>51.58023789598558</v>
      </c>
      <c r="O165" s="3" t="n">
        <v>51.51754681396472</v>
      </c>
      <c r="P165" s="3" t="n">
        <v>52.19417590028274</v>
      </c>
      <c r="Q165" s="3" t="n">
        <v>51.5930339315232</v>
      </c>
      <c r="R165" s="3" t="n">
        <v>49.49916876751406</v>
      </c>
      <c r="S165" s="3" t="n">
        <v>44.56678315264999</v>
      </c>
      <c r="T165" s="3" t="n">
        <v>36.778154109052</v>
      </c>
      <c r="U165" s="3" t="n">
        <v>43.42993280101282</v>
      </c>
      <c r="V165" s="3" t="n">
        <v>38.55118243959724</v>
      </c>
      <c r="W165" s="3" t="n">
        <v>41.49938978161469</v>
      </c>
      <c r="X165" s="3" t="n">
        <v>44.59609391134502</v>
      </c>
      <c r="Y165" s="3" t="n">
        <v>42.28852616754575</v>
      </c>
      <c r="Z165" s="3" t="n">
        <v>41.32896084904259</v>
      </c>
      <c r="AA165" s="3" t="n">
        <v>47.54790843016038</v>
      </c>
      <c r="AB165" s="3" t="n">
        <v>49.49827635037036</v>
      </c>
      <c r="AC165" s="3" t="n">
        <v>51.65519030961227</v>
      </c>
      <c r="AD165" s="3" t="n">
        <v>54.17904425872728</v>
      </c>
      <c r="AE165" s="3" t="n">
        <v>55.06838418929551</v>
      </c>
      <c r="AF165" s="3" t="n">
        <v>59.99690392357316</v>
      </c>
      <c r="AG165" s="3" t="n">
        <v>56.62567031956844</v>
      </c>
      <c r="AH165" s="3" t="n">
        <v>58.79943444688789</v>
      </c>
      <c r="AI165" s="3" t="n">
        <v>61.97751348888928</v>
      </c>
      <c r="AJ165" s="3" t="n">
        <v>51.97813863021752</v>
      </c>
      <c r="AK165" s="3" t="n">
        <v>61.21031650261737</v>
      </c>
      <c r="AL165" s="3" t="n">
        <v>61.61229948943754</v>
      </c>
      <c r="AM165" s="3" t="n">
        <v>65.23881358550125</v>
      </c>
      <c r="AN165" s="3" t="n">
        <v>63.91700888557753</v>
      </c>
      <c r="AO165" s="3" t="n">
        <v>61.86648813184357</v>
      </c>
      <c r="AP165" s="3" t="n">
        <v>59.92737975618026</v>
      </c>
      <c r="AQ165" s="3" t="n">
        <v>60.89500735981996</v>
      </c>
      <c r="AR165" s="3" t="n">
        <v>62.72176698882092</v>
      </c>
      <c r="AS165" s="3" t="n">
        <v>57.42977168403751</v>
      </c>
      <c r="AT165" s="3" t="n">
        <v>53.8295589581172</v>
      </c>
      <c r="AU165" s="3" t="n">
        <v>55.03656611417468</v>
      </c>
      <c r="AV165" s="3" t="n">
        <v>54.6249170226809</v>
      </c>
      <c r="AW165" s="3" t="n">
        <v>53.3595085500135</v>
      </c>
      <c r="AX165" s="3" t="n">
        <v>50.72946557227107</v>
      </c>
      <c r="AY165" s="3" t="n">
        <v>48.53193804232373</v>
      </c>
      <c r="AZ165" s="3" t="n">
        <v>47.85629416222972</v>
      </c>
      <c r="BA165" s="3" t="n">
        <v>48.30364142579391</v>
      </c>
      <c r="BB165" s="3" t="n">
        <v>47.15617756594927</v>
      </c>
      <c r="BC165" s="3" t="n">
        <v>54.17422445100664</v>
      </c>
      <c r="BD165" s="3" t="n">
        <v>51.32443336107477</v>
      </c>
      <c r="BE165" s="3" t="n">
        <v>50.30861561259762</v>
      </c>
      <c r="BF165" s="3" t="n">
        <v>53.58017896019545</v>
      </c>
      <c r="BG165" s="3" t="n">
        <v>54.53405594081858</v>
      </c>
      <c r="BH165" s="3" t="n">
        <v>57.63803707607856</v>
      </c>
      <c r="BI165" s="3" t="n">
        <v>63.28239206571208</v>
      </c>
      <c r="BJ165" s="3" t="n">
        <v>62.8962456018151</v>
      </c>
      <c r="BK165" s="3" t="n">
        <v>60.05045351782845</v>
      </c>
      <c r="BL165" s="3" t="n">
        <v>58.80345131393499</v>
      </c>
      <c r="BM165" s="3" t="n">
        <v>60.63744221524043</v>
      </c>
      <c r="BN165" s="3" t="n">
        <v>65.1903448856382</v>
      </c>
      <c r="BO165" s="3" t="n">
        <v>61.28158762500435</v>
      </c>
      <c r="BP165" s="3" t="n">
        <v>58.23796466033845</v>
      </c>
      <c r="BQ165" s="3" t="n">
        <v>58.40814933576791</v>
      </c>
      <c r="BR165" s="34" t="str">
        <f>B165&amp;"|"&amp;D165</f>
        <v>MNA|NE.CON.PRVT.ZS</v>
      </c>
    </row>
    <row r="166">
      <c r="A166" s="3" t="inlineStr">
        <is>
          <t>Montenegro</t>
        </is>
      </c>
      <c r="B166" s="3" t="inlineStr">
        <is>
          <t>MNE</t>
        </is>
      </c>
      <c r="C166" s="3" t="inlineStr">
        <is>
          <t>Households and NPISHs final consumption expenditure (% of GDP)</t>
        </is>
      </c>
      <c r="D166" s="3" t="inlineStr">
        <is>
          <t>NE.CON.PRVT.ZS</t>
        </is>
      </c>
      <c r="E166" s="3" t="n">
        <v>2023</v>
      </c>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3" t="n"/>
      <c r="AL166" s="3" t="n"/>
      <c r="AM166" s="3" t="n"/>
      <c r="AN166" s="3" t="n"/>
      <c r="AO166" s="3" t="n"/>
      <c r="AP166" s="3" t="n"/>
      <c r="AQ166" s="3" t="n"/>
      <c r="AR166" s="3" t="n"/>
      <c r="AS166" s="3" t="n"/>
      <c r="AT166" s="3" t="n">
        <v>69.97200898189826</v>
      </c>
      <c r="AU166" s="3" t="n">
        <v>74.9561041147084</v>
      </c>
      <c r="AV166" s="3" t="n">
        <v>80.8952529233221</v>
      </c>
      <c r="AW166" s="3" t="n">
        <v>74.197286587627</v>
      </c>
      <c r="AX166" s="3" t="n">
        <v>73.12932279224307</v>
      </c>
      <c r="AY166" s="3" t="n">
        <v>69.85979017010524</v>
      </c>
      <c r="AZ166" s="3" t="n">
        <v>93.83558202807946</v>
      </c>
      <c r="BA166" s="3" t="n">
        <v>88.10075236284773</v>
      </c>
      <c r="BB166" s="3" t="n">
        <v>89.90617181790411</v>
      </c>
      <c r="BC166" s="3" t="n">
        <v>81.95956693073818</v>
      </c>
      <c r="BD166" s="3" t="n">
        <v>81.82817134866515</v>
      </c>
      <c r="BE166" s="3" t="n">
        <v>81.56951415730489</v>
      </c>
      <c r="BF166" s="3" t="n">
        <v>82.74050071711976</v>
      </c>
      <c r="BG166" s="3" t="n">
        <v>81.00292611318845</v>
      </c>
      <c r="BH166" s="3" t="n">
        <v>80.24605528985327</v>
      </c>
      <c r="BI166" s="3" t="n">
        <v>79.16178685416821</v>
      </c>
      <c r="BJ166" s="3" t="n">
        <v>76.75531224813244</v>
      </c>
      <c r="BK166" s="3" t="n">
        <v>74.79550909715566</v>
      </c>
      <c r="BL166" s="3" t="n">
        <v>73.43998558907859</v>
      </c>
      <c r="BM166" s="3" t="n">
        <v>71.37560074631614</v>
      </c>
      <c r="BN166" s="3" t="n">
        <v>81.2245837049489</v>
      </c>
      <c r="BO166" s="3" t="n">
        <v>72.99701964595783</v>
      </c>
      <c r="BP166" s="3" t="n">
        <v>74.67190342770735</v>
      </c>
      <c r="BQ166" s="3" t="n">
        <v>73.55646676658311</v>
      </c>
      <c r="BR166" s="34" t="str">
        <f>B166&amp;"|"&amp;D166</f>
        <v>MNE|NE.CON.PRVT.ZS</v>
      </c>
    </row>
    <row r="167">
      <c r="A167" s="3" t="inlineStr">
        <is>
          <t>Mongolia</t>
        </is>
      </c>
      <c r="B167" s="3" t="inlineStr">
        <is>
          <t>MNG</t>
        </is>
      </c>
      <c r="C167" s="3" t="inlineStr">
        <is>
          <t>Households and NPISHs final consumption expenditure (% of GDP)</t>
        </is>
      </c>
      <c r="D167" s="3" t="inlineStr">
        <is>
          <t>NE.CON.PRVT.ZS</t>
        </is>
      </c>
      <c r="E167" s="3" t="n">
        <v>2023</v>
      </c>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v>52.33404344716929</v>
      </c>
      <c r="AB167" s="3" t="n">
        <v>45.35599004012665</v>
      </c>
      <c r="AC167" s="3" t="n">
        <v>56.39754704107571</v>
      </c>
      <c r="AD167" s="3" t="n">
        <v>55.75596480850891</v>
      </c>
      <c r="AE167" s="3" t="n">
        <v>55.46850505828256</v>
      </c>
      <c r="AF167" s="3" t="n">
        <v>60.18306696204744</v>
      </c>
      <c r="AG167" s="3" t="n">
        <v>64.82220686698018</v>
      </c>
      <c r="AH167" s="3" t="n">
        <v>65.23500926785964</v>
      </c>
      <c r="AI167" s="3" t="n">
        <v>53.93563339754789</v>
      </c>
      <c r="AJ167" s="3" t="n">
        <v>50.84845718793973</v>
      </c>
      <c r="AK167" s="3" t="n">
        <v>55.02800467354202</v>
      </c>
      <c r="AL167" s="3" t="n">
        <v>48.28428977996602</v>
      </c>
      <c r="AM167" s="3" t="n">
        <v>44.5278706317928</v>
      </c>
      <c r="AN167" s="3" t="n">
        <v>40.57696656431538</v>
      </c>
      <c r="AO167" s="3" t="n">
        <v>53.56686217746645</v>
      </c>
      <c r="AP167" s="3" t="n">
        <v>58.49051370380318</v>
      </c>
      <c r="AQ167" s="3" t="n">
        <v>54.00014428943943</v>
      </c>
      <c r="AR167" s="3" t="n">
        <v>58.52210645436937</v>
      </c>
      <c r="AS167" s="3" t="n">
        <v>58.4818959711925</v>
      </c>
      <c r="AT167" s="3" t="n">
        <v>75.10753019921772</v>
      </c>
      <c r="AU167" s="3" t="n">
        <v>75.57741432702447</v>
      </c>
      <c r="AV167" s="3" t="n">
        <v>77.12116150086717</v>
      </c>
      <c r="AW167" s="3" t="n">
        <v>70.12410212961507</v>
      </c>
      <c r="AX167" s="3" t="n">
        <v>64.84583931192275</v>
      </c>
      <c r="AY167" s="3" t="n">
        <v>55.17523407222652</v>
      </c>
      <c r="AZ167" s="3" t="n">
        <v>47.30283190149315</v>
      </c>
      <c r="BA167" s="3" t="n">
        <v>48.60706906955429</v>
      </c>
      <c r="BB167" s="3" t="n">
        <v>56.23314230785472</v>
      </c>
      <c r="BC167" s="3" t="n">
        <v>58.43540522055363</v>
      </c>
      <c r="BD167" s="3" t="n">
        <v>55.21698650319203</v>
      </c>
      <c r="BE167" s="3" t="n">
        <v>51.48615542920712</v>
      </c>
      <c r="BF167" s="3" t="n">
        <v>53.01883124024916</v>
      </c>
      <c r="BG167" s="3" t="n">
        <v>55.79868054287888</v>
      </c>
      <c r="BH167" s="3" t="n">
        <v>56.63200684173756</v>
      </c>
      <c r="BI167" s="3" t="n">
        <v>61.89994053435556</v>
      </c>
      <c r="BJ167" s="3" t="n">
        <v>60.72614382903456</v>
      </c>
      <c r="BK167" s="3" t="n">
        <v>56.26442268883355</v>
      </c>
      <c r="BL167" s="3" t="n">
        <v>57.95539636162715</v>
      </c>
      <c r="BM167" s="3" t="n">
        <v>57.26223824087619</v>
      </c>
      <c r="BN167" s="3" t="n">
        <v>60.47158060984844</v>
      </c>
      <c r="BO167" s="3" t="n">
        <v>53.00257841074503</v>
      </c>
      <c r="BP167" s="3" t="n">
        <v>51.86017039864102</v>
      </c>
      <c r="BQ167" s="3" t="n">
        <v>47.83837714620898</v>
      </c>
      <c r="BR167" s="34" t="str">
        <f>B167&amp;"|"&amp;D167</f>
        <v>MNG|NE.CON.PRVT.ZS</v>
      </c>
    </row>
    <row r="168">
      <c r="A168" s="3" t="inlineStr">
        <is>
          <t>Northern Mariana Islands</t>
        </is>
      </c>
      <c r="B168" s="3" t="inlineStr">
        <is>
          <t>MNP</t>
        </is>
      </c>
      <c r="C168" s="3" t="inlineStr">
        <is>
          <t>Households and NPISHs final consumption expenditure (% of GDP)</t>
        </is>
      </c>
      <c r="D168" s="3" t="inlineStr">
        <is>
          <t>NE.CON.PRVT.ZS</t>
        </is>
      </c>
      <c r="E168" s="3" t="n">
        <v>2020</v>
      </c>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3" t="n"/>
      <c r="AL168" s="3" t="n"/>
      <c r="AM168" s="3" t="n"/>
      <c r="AN168" s="3" t="n"/>
      <c r="AO168" s="3" t="n"/>
      <c r="AP168" s="3" t="n"/>
      <c r="AQ168" s="3" t="n"/>
      <c r="AR168" s="3" t="n"/>
      <c r="AS168" s="3" t="n"/>
      <c r="AT168" s="3" t="n"/>
      <c r="AU168" s="3" t="n"/>
      <c r="AV168" s="3" t="n">
        <v>35.74766355140187</v>
      </c>
      <c r="AW168" s="3" t="n">
        <v>37.93381759483454</v>
      </c>
      <c r="AX168" s="3" t="n">
        <v>39.42148760330578</v>
      </c>
      <c r="AY168" s="3" t="n">
        <v>40.05655042412818</v>
      </c>
      <c r="AZ168" s="3" t="n">
        <v>47.87878787878788</v>
      </c>
      <c r="BA168" s="3" t="n">
        <v>51.1727078891258</v>
      </c>
      <c r="BB168" s="3" t="n">
        <v>53.6741214057508</v>
      </c>
      <c r="BC168" s="3" t="n">
        <v>54.21383647798742</v>
      </c>
      <c r="BD168" s="3" t="n">
        <v>55.31914893617022</v>
      </c>
      <c r="BE168" s="3" t="n">
        <v>61.17969821673525</v>
      </c>
      <c r="BF168" s="3" t="n">
        <v>61.66219839142091</v>
      </c>
      <c r="BG168" s="3" t="n">
        <v>63.47150259067358</v>
      </c>
      <c r="BH168" s="3" t="n">
        <v>63.10096153846154</v>
      </c>
      <c r="BI168" s="3" t="n">
        <v>58.13186813186814</v>
      </c>
      <c r="BJ168" s="3" t="n">
        <v>46.42276422764228</v>
      </c>
      <c r="BK168" s="3" t="n">
        <v>41.92307692307693</v>
      </c>
      <c r="BL168" s="3" t="n">
        <v>52.19062259800153</v>
      </c>
      <c r="BM168" s="3" t="n">
        <v>58.17104149026249</v>
      </c>
      <c r="BN168" s="3" t="n">
        <v>75.05827505827506</v>
      </c>
      <c r="BO168" s="3" t="n"/>
      <c r="BP168" s="3" t="n"/>
      <c r="BQ168" s="3" t="n"/>
      <c r="BR168" s="34" t="str">
        <f>B168&amp;"|"&amp;D168</f>
        <v>MNP|NE.CON.PRVT.ZS</v>
      </c>
    </row>
    <row r="169">
      <c r="A169" s="3" t="inlineStr">
        <is>
          <t>Mozambique</t>
        </is>
      </c>
      <c r="B169" s="3" t="inlineStr">
        <is>
          <t>MOZ</t>
        </is>
      </c>
      <c r="C169" s="3" t="inlineStr">
        <is>
          <t>Households and NPISHs final consumption expenditure (% of GDP)</t>
        </is>
      </c>
      <c r="D169" s="3" t="inlineStr">
        <is>
          <t>NE.CON.PRVT.ZS</t>
        </is>
      </c>
      <c r="E169" s="3" t="n">
        <v>2022</v>
      </c>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3" t="n">
        <v>88.77541874935643</v>
      </c>
      <c r="AL169" s="3" t="n">
        <v>90.03517769500233</v>
      </c>
      <c r="AM169" s="3" t="n">
        <v>86.29336075188544</v>
      </c>
      <c r="AN169" s="3" t="n">
        <v>82.80722394167117</v>
      </c>
      <c r="AO169" s="3" t="n">
        <v>89.54397442779852</v>
      </c>
      <c r="AP169" s="3" t="n">
        <v>90.7786233212757</v>
      </c>
      <c r="AQ169" s="3" t="n">
        <v>84.40451852022977</v>
      </c>
      <c r="AR169" s="3" t="n">
        <v>77.56102801991635</v>
      </c>
      <c r="AS169" s="3" t="n">
        <v>68.33778047905977</v>
      </c>
      <c r="AT169" s="3" t="n">
        <v>70.00365568927893</v>
      </c>
      <c r="AU169" s="3" t="n">
        <v>62.81655432197113</v>
      </c>
      <c r="AV169" s="3" t="n">
        <v>74.929978349373</v>
      </c>
      <c r="AW169" s="3" t="n">
        <v>75.70907091813854</v>
      </c>
      <c r="AX169" s="3" t="n">
        <v>73.81569618599319</v>
      </c>
      <c r="AY169" s="3" t="n">
        <v>74.44633066917234</v>
      </c>
      <c r="AZ169" s="3" t="n">
        <v>71.5263872779916</v>
      </c>
      <c r="BA169" s="3" t="n">
        <v>71.87695574898294</v>
      </c>
      <c r="BB169" s="3" t="n">
        <v>72.38384816369903</v>
      </c>
      <c r="BC169" s="3" t="n">
        <v>75.19642884996233</v>
      </c>
      <c r="BD169" s="3" t="n">
        <v>74.53986649256213</v>
      </c>
      <c r="BE169" s="3" t="n">
        <v>73.35356109252707</v>
      </c>
      <c r="BF169" s="3" t="n">
        <v>75.31498994150256</v>
      </c>
      <c r="BG169" s="3" t="n">
        <v>73.84235629282696</v>
      </c>
      <c r="BH169" s="3" t="n">
        <v>71.05083075066486</v>
      </c>
      <c r="BI169" s="3" t="n">
        <v>65.8561193103582</v>
      </c>
      <c r="BJ169" s="3" t="n">
        <v>67.27562609750849</v>
      </c>
      <c r="BK169" s="3" t="n">
        <v>66.88964176510834</v>
      </c>
      <c r="BL169" s="3" t="n">
        <v>65.83747778227388</v>
      </c>
      <c r="BM169" s="3" t="n">
        <v>67.88574264144145</v>
      </c>
      <c r="BN169" s="3" t="n">
        <v>68.86388265854322</v>
      </c>
      <c r="BO169" s="3" t="n">
        <v>72.27873968390705</v>
      </c>
      <c r="BP169" s="3" t="n">
        <v>75.22456996610028</v>
      </c>
      <c r="BQ169" s="3" t="n"/>
      <c r="BR169" s="34" t="str">
        <f>B169&amp;"|"&amp;D169</f>
        <v>MOZ|NE.CON.PRVT.ZS</v>
      </c>
    </row>
    <row r="170">
      <c r="A170" s="3" t="inlineStr">
        <is>
          <t>Mauritania</t>
        </is>
      </c>
      <c r="B170" s="3" t="inlineStr">
        <is>
          <t>MRT</t>
        </is>
      </c>
      <c r="C170" s="3" t="inlineStr">
        <is>
          <t>Households and NPISHs final consumption expenditure (% of GDP)</t>
        </is>
      </c>
      <c r="D170" s="3" t="inlineStr">
        <is>
          <t>NE.CON.PRVT.ZS</t>
        </is>
      </c>
      <c r="E170" s="3" t="n">
        <v>2023</v>
      </c>
      <c r="F170" s="3" t="n"/>
      <c r="G170" s="3" t="n"/>
      <c r="H170" s="3" t="n"/>
      <c r="I170" s="3" t="n"/>
      <c r="J170" s="3" t="n"/>
      <c r="K170" s="3" t="n"/>
      <c r="L170" s="3" t="n">
        <v>34.14063940089072</v>
      </c>
      <c r="M170" s="3" t="n">
        <v>36.81641025466223</v>
      </c>
      <c r="N170" s="3" t="n">
        <v>38.43585723342809</v>
      </c>
      <c r="O170" s="3" t="n">
        <v>39.46871219831997</v>
      </c>
      <c r="P170" s="3" t="n">
        <v>40.59898220506236</v>
      </c>
      <c r="Q170" s="3" t="n">
        <v>39.48874217779497</v>
      </c>
      <c r="R170" s="3" t="n">
        <v>41.99490766249092</v>
      </c>
      <c r="S170" s="3" t="n">
        <v>56.50211657738014</v>
      </c>
      <c r="T170" s="3" t="n">
        <v>64.55294433344541</v>
      </c>
      <c r="U170" s="3" t="n">
        <v>58.4025460346393</v>
      </c>
      <c r="V170" s="3" t="n">
        <v>59.9525109834149</v>
      </c>
      <c r="W170" s="3" t="n">
        <v>60.89857473471766</v>
      </c>
      <c r="X170" s="3" t="n">
        <v>58.78505204818316</v>
      </c>
      <c r="Y170" s="3" t="n">
        <v>61.07165392043681</v>
      </c>
      <c r="Z170" s="3" t="n">
        <v>55.08011610153801</v>
      </c>
      <c r="AA170" s="3" t="n">
        <v>57.4082668300528</v>
      </c>
      <c r="AB170" s="3" t="n">
        <v>74.11054102029352</v>
      </c>
      <c r="AC170" s="3" t="n">
        <v>67.30939606252537</v>
      </c>
      <c r="AD170" s="3" t="n">
        <v>68.45100354318733</v>
      </c>
      <c r="AE170" s="3" t="n">
        <v>60.19479361280553</v>
      </c>
      <c r="AF170" s="3" t="n">
        <v>65.98577524332296</v>
      </c>
      <c r="AG170" s="3" t="n">
        <v>61.2314915482922</v>
      </c>
      <c r="AH170" s="3" t="n">
        <v>57.22350814909307</v>
      </c>
      <c r="AI170" s="3" t="n">
        <v>59.63972603816683</v>
      </c>
      <c r="AJ170" s="3" t="n">
        <v>65.42663230182768</v>
      </c>
      <c r="AK170" s="3" t="n">
        <v>64.9865720769628</v>
      </c>
      <c r="AL170" s="3" t="n">
        <v>73.11232735490191</v>
      </c>
      <c r="AM170" s="3" t="n">
        <v>79.48772187903701</v>
      </c>
      <c r="AN170" s="3" t="n">
        <v>44.08074798114132</v>
      </c>
      <c r="AO170" s="3" t="n">
        <v>71.35153608993741</v>
      </c>
      <c r="AP170" s="3" t="n">
        <v>79.36130966097721</v>
      </c>
      <c r="AQ170" s="3" t="n">
        <v>84.59697241266959</v>
      </c>
      <c r="AR170" s="3" t="n">
        <v>71.92917804883322</v>
      </c>
      <c r="AS170" s="3" t="n">
        <v>72.22717932083286</v>
      </c>
      <c r="AT170" s="3" t="n">
        <v>75.9650514171003</v>
      </c>
      <c r="AU170" s="3" t="n">
        <v>76.69170445632501</v>
      </c>
      <c r="AV170" s="3" t="n">
        <v>77.38002701926838</v>
      </c>
      <c r="AW170" s="3" t="n">
        <v>76.30811029691749</v>
      </c>
      <c r="AX170" s="3" t="n">
        <v>73.90412480582022</v>
      </c>
      <c r="AY170" s="3" t="n">
        <v>68.70311102935183</v>
      </c>
      <c r="AZ170" s="3" t="n">
        <v>58.07328922011653</v>
      </c>
      <c r="BA170" s="3" t="n">
        <v>62.13831446977734</v>
      </c>
      <c r="BB170" s="3" t="n">
        <v>62.95119859218229</v>
      </c>
      <c r="BC170" s="3" t="n">
        <v>65.32107998192656</v>
      </c>
      <c r="BD170" s="3" t="n">
        <v>56.17087426562333</v>
      </c>
      <c r="BE170" s="3" t="n">
        <v>49.01050318985506</v>
      </c>
      <c r="BF170" s="3" t="n">
        <v>53.02913013372827</v>
      </c>
      <c r="BG170" s="3" t="n">
        <v>52.05716172521905</v>
      </c>
      <c r="BH170" s="3" t="n">
        <v>61.4016653588719</v>
      </c>
      <c r="BI170" s="3" t="n">
        <v>63.87724340052922</v>
      </c>
      <c r="BJ170" s="3" t="n">
        <v>60.58484999547618</v>
      </c>
      <c r="BK170" s="3" t="n">
        <v>58.52356691613919</v>
      </c>
      <c r="BL170" s="3" t="n">
        <v>56.54011287230308</v>
      </c>
      <c r="BM170" s="3" t="n">
        <v>54.87388038962182</v>
      </c>
      <c r="BN170" s="3" t="n">
        <v>53.0081491355276</v>
      </c>
      <c r="BO170" s="3" t="n">
        <v>53.00930199275156</v>
      </c>
      <c r="BP170" s="3" t="n">
        <v>53.44512269210178</v>
      </c>
      <c r="BQ170" s="3" t="n">
        <v>53.33944653228698</v>
      </c>
      <c r="BR170" s="34" t="str">
        <f>B170&amp;"|"&amp;D170</f>
        <v>MRT|NE.CON.PRVT.ZS</v>
      </c>
    </row>
    <row r="171">
      <c r="A171" s="3" t="inlineStr">
        <is>
          <t>Mauritius</t>
        </is>
      </c>
      <c r="B171" s="3" t="inlineStr">
        <is>
          <t>MUS</t>
        </is>
      </c>
      <c r="C171" s="3" t="inlineStr">
        <is>
          <t>Households and NPISHs final consumption expenditure (% of GDP)</t>
        </is>
      </c>
      <c r="D171" s="3" t="inlineStr">
        <is>
          <t>NE.CON.PRVT.ZS</t>
        </is>
      </c>
      <c r="E171" s="3" t="n">
        <v>2023</v>
      </c>
      <c r="F171" s="3" t="n"/>
      <c r="G171" s="3" t="n"/>
      <c r="H171" s="3" t="n"/>
      <c r="I171" s="3" t="n"/>
      <c r="J171" s="3" t="n"/>
      <c r="K171" s="3" t="n"/>
      <c r="L171" s="3" t="n"/>
      <c r="M171" s="3" t="n"/>
      <c r="N171" s="3" t="n"/>
      <c r="O171" s="3" t="n"/>
      <c r="P171" s="3" t="n"/>
      <c r="Q171" s="3" t="n"/>
      <c r="R171" s="3" t="n"/>
      <c r="S171" s="3" t="n"/>
      <c r="T171" s="3" t="n"/>
      <c r="U171" s="3" t="n"/>
      <c r="V171" s="3" t="n">
        <v>61.732600024726</v>
      </c>
      <c r="W171" s="3" t="n">
        <v>65.14638169350371</v>
      </c>
      <c r="X171" s="3" t="n">
        <v>65.81251774854022</v>
      </c>
      <c r="Y171" s="3" t="n">
        <v>66.43534904262597</v>
      </c>
      <c r="Z171" s="3" t="n">
        <v>74.44891549255468</v>
      </c>
      <c r="AA171" s="3" t="n">
        <v>70.33326697663382</v>
      </c>
      <c r="AB171" s="3" t="n">
        <v>69.85687955840115</v>
      </c>
      <c r="AC171" s="3" t="n">
        <v>68.60539590360312</v>
      </c>
      <c r="AD171" s="3" t="n">
        <v>67.62019387941478</v>
      </c>
      <c r="AE171" s="3" t="n">
        <v>66.01452987760655</v>
      </c>
      <c r="AF171" s="3" t="n">
        <v>60.10445169205995</v>
      </c>
      <c r="AG171" s="3" t="n">
        <v>59.84163015894752</v>
      </c>
      <c r="AH171" s="3" t="n">
        <v>60.4247971249794</v>
      </c>
      <c r="AI171" s="3" t="n">
        <v>63.1041950184795</v>
      </c>
      <c r="AJ171" s="3" t="n">
        <v>62.58783688136259</v>
      </c>
      <c r="AK171" s="3" t="n">
        <v>61.08148571671094</v>
      </c>
      <c r="AL171" s="3" t="n">
        <v>60.05678770612831</v>
      </c>
      <c r="AM171" s="3" t="n">
        <v>60.66612264562853</v>
      </c>
      <c r="AN171" s="3" t="n">
        <v>61.52156159732775</v>
      </c>
      <c r="AO171" s="3" t="n">
        <v>61.83642714246136</v>
      </c>
      <c r="AP171" s="3" t="n">
        <v>60.84132113231085</v>
      </c>
      <c r="AQ171" s="3" t="n">
        <v>60.59521771048734</v>
      </c>
      <c r="AR171" s="3" t="n">
        <v>60.49099246888075</v>
      </c>
      <c r="AS171" s="3" t="n">
        <v>61.32527413222204</v>
      </c>
      <c r="AT171" s="3" t="n">
        <v>59.09412584195601</v>
      </c>
      <c r="AU171" s="3" t="n">
        <v>58.36286803696343</v>
      </c>
      <c r="AV171" s="3" t="n">
        <v>59.59192168695182</v>
      </c>
      <c r="AW171" s="3" t="n">
        <v>59.54357817987231</v>
      </c>
      <c r="AX171" s="3" t="n">
        <v>62.38700770519742</v>
      </c>
      <c r="AY171" s="3" t="n">
        <v>67.10347820186013</v>
      </c>
      <c r="AZ171" s="3" t="n">
        <v>66.75012339031723</v>
      </c>
      <c r="BA171" s="3" t="n">
        <v>66.42425287311283</v>
      </c>
      <c r="BB171" s="3" t="n">
        <v>72.25931737108361</v>
      </c>
      <c r="BC171" s="3" t="n">
        <v>73.24853644826499</v>
      </c>
      <c r="BD171" s="3" t="n">
        <v>73.19073766792117</v>
      </c>
      <c r="BE171" s="3" t="n">
        <v>73.38551385616685</v>
      </c>
      <c r="BF171" s="3" t="n">
        <v>74.24881075963084</v>
      </c>
      <c r="BG171" s="3" t="n">
        <v>73.26389532896498</v>
      </c>
      <c r="BH171" s="3" t="n">
        <v>72.93449997627081</v>
      </c>
      <c r="BI171" s="3" t="n">
        <v>72.57065207062357</v>
      </c>
      <c r="BJ171" s="3" t="n">
        <v>71.19096555113713</v>
      </c>
      <c r="BK171" s="3" t="n">
        <v>72.01185972199018</v>
      </c>
      <c r="BL171" s="3" t="n">
        <v>72.45938881745117</v>
      </c>
      <c r="BM171" s="3" t="n">
        <v>73.3724136314996</v>
      </c>
      <c r="BN171" s="3" t="n">
        <v>72.63597356942037</v>
      </c>
      <c r="BO171" s="3" t="n">
        <v>73.1023147113555</v>
      </c>
      <c r="BP171" s="3" t="n">
        <v>70.18438569032588</v>
      </c>
      <c r="BQ171" s="3" t="n">
        <v>67.5919646227356</v>
      </c>
      <c r="BR171" s="34" t="str">
        <f>B171&amp;"|"&amp;D171</f>
        <v>MUS|NE.CON.PRVT.ZS</v>
      </c>
    </row>
    <row r="172">
      <c r="A172" s="3" t="inlineStr">
        <is>
          <t>Malawi</t>
        </is>
      </c>
      <c r="B172" s="3" t="inlineStr">
        <is>
          <t>MWI</t>
        </is>
      </c>
      <c r="C172" s="3" t="inlineStr">
        <is>
          <t>Households and NPISHs final consumption expenditure (% of GDP)</t>
        </is>
      </c>
      <c r="D172" s="3" t="inlineStr">
        <is>
          <t>NE.CON.PRVT.ZS</t>
        </is>
      </c>
      <c r="E172" s="3" t="inlineStr">
        <is>
          <t>0x2a</t>
        </is>
      </c>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3" t="n"/>
      <c r="AL172" s="3" t="n"/>
      <c r="AM172" s="3" t="n"/>
      <c r="AN172" s="3" t="n"/>
      <c r="AO172" s="3" t="n"/>
      <c r="AP172" s="3" t="n"/>
      <c r="AQ172" s="3" t="n"/>
      <c r="AR172" s="3" t="n"/>
      <c r="AS172" s="3" t="n"/>
      <c r="AT172" s="3" t="n"/>
      <c r="AU172" s="3" t="n"/>
      <c r="AV172" s="3" t="n"/>
      <c r="AW172" s="3" t="n"/>
      <c r="AX172" s="3" t="n"/>
      <c r="AY172" s="3" t="n"/>
      <c r="AZ172" s="3" t="n"/>
      <c r="BA172" s="3" t="n"/>
      <c r="BB172" s="3" t="n"/>
      <c r="BC172" s="3" t="n"/>
      <c r="BD172" s="3" t="n"/>
      <c r="BE172" s="3" t="n"/>
      <c r="BF172" s="3" t="n"/>
      <c r="BG172" s="3" t="n"/>
      <c r="BH172" s="3" t="n"/>
      <c r="BI172" s="3" t="n"/>
      <c r="BJ172" s="3" t="n"/>
      <c r="BK172" s="3" t="n"/>
      <c r="BL172" s="3" t="n"/>
      <c r="BM172" s="3" t="n"/>
      <c r="BN172" s="3" t="n"/>
      <c r="BO172" s="3" t="n"/>
      <c r="BP172" s="3" t="n"/>
      <c r="BQ172" s="3" t="n"/>
      <c r="BR172" s="34" t="str">
        <f>B172&amp;"|"&amp;D172</f>
        <v>MWI|NE.CON.PRVT.ZS</v>
      </c>
    </row>
    <row r="173">
      <c r="A173" s="3" t="inlineStr">
        <is>
          <t>Malaysia</t>
        </is>
      </c>
      <c r="B173" s="3" t="inlineStr">
        <is>
          <t>MYS</t>
        </is>
      </c>
      <c r="C173" s="3" t="inlineStr">
        <is>
          <t>Households and NPISHs final consumption expenditure (% of GDP)</t>
        </is>
      </c>
      <c r="D173" s="3" t="inlineStr">
        <is>
          <t>NE.CON.PRVT.ZS</t>
        </is>
      </c>
      <c r="E173" s="3" t="n">
        <v>2023</v>
      </c>
      <c r="F173" s="3" t="n">
        <v>61.95022161609274</v>
      </c>
      <c r="G173" s="3" t="n">
        <v>65.9223634489866</v>
      </c>
      <c r="H173" s="3" t="n">
        <v>66.68842826832055</v>
      </c>
      <c r="I173" s="3" t="n">
        <v>63.75585632483082</v>
      </c>
      <c r="J173" s="3" t="n">
        <v>62.67252962012947</v>
      </c>
      <c r="K173" s="3" t="n">
        <v>60.1767955801105</v>
      </c>
      <c r="L173" s="3" t="n">
        <v>59.8669853476047</v>
      </c>
      <c r="M173" s="3" t="n">
        <v>63.72669534931367</v>
      </c>
      <c r="N173" s="3" t="n">
        <v>63.00147130946543</v>
      </c>
      <c r="O173" s="3" t="n">
        <v>59.93046888928508</v>
      </c>
      <c r="P173" s="3" t="n">
        <v>59.97971088004059</v>
      </c>
      <c r="Q173" s="3" t="n">
        <v>61.06522578155153</v>
      </c>
      <c r="R173" s="3" t="n">
        <v>60.56962025316456</v>
      </c>
      <c r="S173" s="3" t="n">
        <v>55.05527960262778</v>
      </c>
      <c r="T173" s="3" t="n">
        <v>55.8929040160994</v>
      </c>
      <c r="U173" s="3" t="n">
        <v>58.59752821063944</v>
      </c>
      <c r="V173" s="3" t="n">
        <v>52.39451664589638</v>
      </c>
      <c r="W173" s="3" t="n">
        <v>51.98515769944342</v>
      </c>
      <c r="X173" s="3" t="n">
        <v>51.69191785883967</v>
      </c>
      <c r="Y173" s="3" t="n">
        <v>48.26382905393762</v>
      </c>
      <c r="Z173" s="3" t="n">
        <v>50.5477601860884</v>
      </c>
      <c r="AA173" s="3" t="n">
        <v>53.10259837189523</v>
      </c>
      <c r="AB173" s="3" t="n">
        <v>53.07752520008307</v>
      </c>
      <c r="AC173" s="3" t="n">
        <v>51.75458520243031</v>
      </c>
      <c r="AD173" s="3" t="n">
        <v>49.77247014456317</v>
      </c>
      <c r="AE173" s="3" t="n">
        <v>51.99819284884472</v>
      </c>
      <c r="AF173" s="3" t="n">
        <v>50.98052909461687</v>
      </c>
      <c r="AG173" s="3" t="n">
        <v>48.17537152370969</v>
      </c>
      <c r="AH173" s="3" t="n">
        <v>49.19779149074375</v>
      </c>
      <c r="AI173" s="3" t="n">
        <v>50.0023756806325</v>
      </c>
      <c r="AJ173" s="3" t="n">
        <v>51.80255456370034</v>
      </c>
      <c r="AK173" s="3" t="n">
        <v>52.17503922323199</v>
      </c>
      <c r="AL173" s="3" t="n">
        <v>50.27076890404959</v>
      </c>
      <c r="AM173" s="3" t="n">
        <v>48.28507381209566</v>
      </c>
      <c r="AN173" s="3" t="n">
        <v>48.13645688909808</v>
      </c>
      <c r="AO173" s="3" t="n">
        <v>47.92177028223649</v>
      </c>
      <c r="AP173" s="3" t="n">
        <v>46.03045733293396</v>
      </c>
      <c r="AQ173" s="3" t="n">
        <v>45.34608491988858</v>
      </c>
      <c r="AR173" s="3" t="n">
        <v>41.56077996631867</v>
      </c>
      <c r="AS173" s="3" t="n">
        <v>41.57944434839276</v>
      </c>
      <c r="AT173" s="3" t="n">
        <v>43.7543665702397</v>
      </c>
      <c r="AU173" s="3" t="n">
        <v>46.12242929953287</v>
      </c>
      <c r="AV173" s="3" t="n">
        <v>45.01021625049255</v>
      </c>
      <c r="AW173" s="3" t="n">
        <v>44.57684308055276</v>
      </c>
      <c r="AX173" s="3" t="n">
        <v>43.99786519508573</v>
      </c>
      <c r="AY173" s="3" t="n">
        <v>44.18648289665881</v>
      </c>
      <c r="AZ173" s="3" t="n">
        <v>44.33496876591866</v>
      </c>
      <c r="BA173" s="3" t="n">
        <v>45.15255358162744</v>
      </c>
      <c r="BB173" s="3" t="n">
        <v>44.70620781376429</v>
      </c>
      <c r="BC173" s="3" t="n">
        <v>48.84121219262769</v>
      </c>
      <c r="BD173" s="3" t="n">
        <v>48.11658635995101</v>
      </c>
      <c r="BE173" s="3" t="n">
        <v>47.96799062883542</v>
      </c>
      <c r="BF173" s="3" t="n">
        <v>49.65117188947873</v>
      </c>
      <c r="BG173" s="3" t="n">
        <v>51.81049936482318</v>
      </c>
      <c r="BH173" s="3" t="n">
        <v>52.41887742974559</v>
      </c>
      <c r="BI173" s="3" t="n">
        <v>53.96186666037715</v>
      </c>
      <c r="BJ173" s="3" t="n">
        <v>54.78770932260358</v>
      </c>
      <c r="BK173" s="3" t="n">
        <v>55.39175303380032</v>
      </c>
      <c r="BL173" s="3" t="n">
        <v>57.42581640632631</v>
      </c>
      <c r="BM173" s="3" t="n">
        <v>59.7716877634033</v>
      </c>
      <c r="BN173" s="3" t="n">
        <v>61.01202886029631</v>
      </c>
      <c r="BO173" s="3" t="n">
        <v>57.94910243381225</v>
      </c>
      <c r="BP173" s="3" t="n">
        <v>57.59646010765529</v>
      </c>
      <c r="BQ173" s="3" t="n">
        <v>60.42969562824307</v>
      </c>
      <c r="BR173" s="34" t="str">
        <f>B173&amp;"|"&amp;D173</f>
        <v>MYS|NE.CON.PRVT.ZS</v>
      </c>
    </row>
    <row r="174">
      <c r="A174" s="3" t="inlineStr">
        <is>
          <t>North America</t>
        </is>
      </c>
      <c r="B174" s="3" t="inlineStr">
        <is>
          <t>NAC</t>
        </is>
      </c>
      <c r="C174" s="3" t="inlineStr">
        <is>
          <t>Households and NPISHs final consumption expenditure (% of GDP)</t>
        </is>
      </c>
      <c r="D174" s="3" t="inlineStr">
        <is>
          <t>NE.CON.PRVT.ZS</t>
        </is>
      </c>
      <c r="E174" s="3" t="n">
        <v>2022</v>
      </c>
      <c r="F174" s="3" t="n"/>
      <c r="G174" s="3" t="n"/>
      <c r="H174" s="3" t="n"/>
      <c r="I174" s="3" t="n"/>
      <c r="J174" s="3" t="n"/>
      <c r="K174" s="3" t="n"/>
      <c r="L174" s="3" t="n"/>
      <c r="M174" s="3" t="n"/>
      <c r="N174" s="3" t="n"/>
      <c r="O174" s="3" t="n"/>
      <c r="P174" s="3" t="n">
        <v>59.95598109813933</v>
      </c>
      <c r="Q174" s="3" t="n">
        <v>59.77911184729272</v>
      </c>
      <c r="R174" s="3" t="n">
        <v>59.74659215862902</v>
      </c>
      <c r="S174" s="3" t="n">
        <v>59.19927105613688</v>
      </c>
      <c r="T174" s="3" t="n">
        <v>59.56214597664092</v>
      </c>
      <c r="U174" s="3" t="n">
        <v>60.5707350692312</v>
      </c>
      <c r="V174" s="3" t="n">
        <v>60.55109457478613</v>
      </c>
      <c r="W174" s="3" t="n">
        <v>60.58331318780397</v>
      </c>
      <c r="X174" s="3" t="n">
        <v>60.01507536455637</v>
      </c>
      <c r="Y174" s="3" t="n">
        <v>59.78934791816533</v>
      </c>
      <c r="Z174" s="3" t="n">
        <v>60.60331488316212</v>
      </c>
      <c r="AA174" s="3" t="n">
        <v>59.64608448369741</v>
      </c>
      <c r="AB174" s="3" t="n">
        <v>61.23270433360462</v>
      </c>
      <c r="AC174" s="3" t="n">
        <v>62.05166699845137</v>
      </c>
      <c r="AD174" s="3" t="n">
        <v>61.08323134146934</v>
      </c>
      <c r="AE174" s="3" t="n">
        <v>61.87229490799532</v>
      </c>
      <c r="AF174" s="3" t="n">
        <v>62.45016833498858</v>
      </c>
      <c r="AG174" s="3" t="n">
        <v>62.67757026238866</v>
      </c>
      <c r="AH174" s="3" t="n">
        <v>62.78649908694629</v>
      </c>
      <c r="AI174" s="3" t="n">
        <v>62.62221202072408</v>
      </c>
      <c r="AJ174" s="3" t="n">
        <v>63.14808725857682</v>
      </c>
      <c r="AK174" s="3" t="n">
        <v>63.42796900009547</v>
      </c>
      <c r="AL174" s="3" t="n">
        <v>63.82197081389211</v>
      </c>
      <c r="AM174" s="3" t="n">
        <v>64.34854727774461</v>
      </c>
      <c r="AN174" s="3" t="n">
        <v>64.1827225807222</v>
      </c>
      <c r="AO174" s="3" t="n">
        <v>64.28888704355639</v>
      </c>
      <c r="AP174" s="3" t="n">
        <v>64.34329239671651</v>
      </c>
      <c r="AQ174" s="3" t="n">
        <v>64.0032275505432</v>
      </c>
      <c r="AR174" s="3" t="n">
        <v>64.33979362601535</v>
      </c>
      <c r="AS174" s="3" t="n">
        <v>64.64947672414866</v>
      </c>
      <c r="AT174" s="3" t="n">
        <v>65.23537683662876</v>
      </c>
      <c r="AU174" s="3" t="n">
        <v>66.07796249910912</v>
      </c>
      <c r="AV174" s="3" t="n">
        <v>66.50762471748961</v>
      </c>
      <c r="AW174" s="3" t="n">
        <v>66.70092136556599</v>
      </c>
      <c r="AX174" s="3" t="n">
        <v>66.39489991428297</v>
      </c>
      <c r="AY174" s="3" t="n">
        <v>66.17914012401094</v>
      </c>
      <c r="AZ174" s="3" t="n">
        <v>66.03268004122683</v>
      </c>
      <c r="BA174" s="3" t="n">
        <v>66.16656675446315</v>
      </c>
      <c r="BB174" s="3" t="n">
        <v>66.74259210332009</v>
      </c>
      <c r="BC174" s="3" t="n">
        <v>67.37767843948873</v>
      </c>
      <c r="BD174" s="3" t="n">
        <v>67.08643871957598</v>
      </c>
      <c r="BE174" s="3" t="n">
        <v>67.26967199517618</v>
      </c>
      <c r="BF174" s="3" t="n">
        <v>66.75283419641951</v>
      </c>
      <c r="BG174" s="3" t="n">
        <v>66.32277565510418</v>
      </c>
      <c r="BH174" s="3" t="n">
        <v>66.34878613725023</v>
      </c>
      <c r="BI174" s="3" t="n">
        <v>66.47374462867045</v>
      </c>
      <c r="BJ174" s="3" t="n">
        <v>66.98123629278328</v>
      </c>
      <c r="BK174" s="3" t="n">
        <v>67.00197175382591</v>
      </c>
      <c r="BL174" s="3" t="n">
        <v>66.71427609505663</v>
      </c>
      <c r="BM174" s="3" t="n">
        <v>66.29387506855318</v>
      </c>
      <c r="BN174" s="3" t="n">
        <v>65.91254366071945</v>
      </c>
      <c r="BO174" s="3" t="n">
        <v>66.90983846607853</v>
      </c>
      <c r="BP174" s="3" t="n">
        <v>66.9143597136713</v>
      </c>
      <c r="BQ174" s="3" t="n"/>
      <c r="BR174" s="34" t="str">
        <f>B174&amp;"|"&amp;D174</f>
        <v>NAC|NE.CON.PRVT.ZS</v>
      </c>
    </row>
    <row r="175">
      <c r="A175" s="3" t="inlineStr">
        <is>
          <t>Namibia</t>
        </is>
      </c>
      <c r="B175" s="3" t="inlineStr">
        <is>
          <t>NAM</t>
        </is>
      </c>
      <c r="C175" s="3" t="inlineStr">
        <is>
          <t>Households and NPISHs final consumption expenditure (% of GDP)</t>
        </is>
      </c>
      <c r="D175" s="3" t="inlineStr">
        <is>
          <t>NE.CON.PRVT.ZS</t>
        </is>
      </c>
      <c r="E175" s="3" t="n">
        <v>2023</v>
      </c>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v>49.56767300640773</v>
      </c>
      <c r="AA175" s="3" t="n">
        <v>74.3007662192534</v>
      </c>
      <c r="AB175" s="3" t="n">
        <v>75.08717820990431</v>
      </c>
      <c r="AC175" s="3" t="n">
        <v>72.11018272323034</v>
      </c>
      <c r="AD175" s="3" t="n">
        <v>72.45304302107455</v>
      </c>
      <c r="AE175" s="3" t="n">
        <v>56.10734795879642</v>
      </c>
      <c r="AF175" s="3" t="n">
        <v>59.53413476502384</v>
      </c>
      <c r="AG175" s="3" t="n">
        <v>70.16428646868634</v>
      </c>
      <c r="AH175" s="3" t="n">
        <v>61.22856839988876</v>
      </c>
      <c r="AI175" s="3" t="n">
        <v>61.91406797176433</v>
      </c>
      <c r="AJ175" s="3" t="n">
        <v>53.2731924288771</v>
      </c>
      <c r="AK175" s="3" t="n">
        <v>64.23692235644724</v>
      </c>
      <c r="AL175" s="3" t="n">
        <v>58.65238678664964</v>
      </c>
      <c r="AM175" s="3" t="n">
        <v>60.02814389090153</v>
      </c>
      <c r="AN175" s="3" t="n">
        <v>56.67414014644151</v>
      </c>
      <c r="AO175" s="3" t="n">
        <v>57.84147964425014</v>
      </c>
      <c r="AP175" s="3" t="n">
        <v>58.57200648683261</v>
      </c>
      <c r="AQ175" s="3" t="n">
        <v>61.61117906193406</v>
      </c>
      <c r="AR175" s="3" t="n">
        <v>60.64822426843837</v>
      </c>
      <c r="AS175" s="3" t="n">
        <v>60.12777171735461</v>
      </c>
      <c r="AT175" s="3" t="n">
        <v>60.55063868901077</v>
      </c>
      <c r="AU175" s="3" t="n">
        <v>64.48864914994662</v>
      </c>
      <c r="AV175" s="3" t="n">
        <v>61.7420727525269</v>
      </c>
      <c r="AW175" s="3" t="n">
        <v>65.83210181058196</v>
      </c>
      <c r="AX175" s="3" t="n">
        <v>60.70297092023856</v>
      </c>
      <c r="AY175" s="3" t="n">
        <v>57.8368092648092</v>
      </c>
      <c r="AZ175" s="3" t="n">
        <v>56.03166135274574</v>
      </c>
      <c r="BA175" s="3" t="n">
        <v>56.39950006763736</v>
      </c>
      <c r="BB175" s="3" t="n">
        <v>62.05841050098848</v>
      </c>
      <c r="BC175" s="3" t="n">
        <v>69.6925849923373</v>
      </c>
      <c r="BD175" s="3" t="n">
        <v>61.1119817731514</v>
      </c>
      <c r="BE175" s="3" t="n">
        <v>64.76321978981663</v>
      </c>
      <c r="BF175" s="3" t="n">
        <v>68.40255564849699</v>
      </c>
      <c r="BG175" s="3" t="n">
        <v>65.3852452630354</v>
      </c>
      <c r="BH175" s="3" t="n">
        <v>62.54235575923401</v>
      </c>
      <c r="BI175" s="3" t="n">
        <v>68.71214011008084</v>
      </c>
      <c r="BJ175" s="3" t="n">
        <v>74.92978586819611</v>
      </c>
      <c r="BK175" s="3" t="n">
        <v>70.60732247028194</v>
      </c>
      <c r="BL175" s="3" t="n">
        <v>69.66457042213506</v>
      </c>
      <c r="BM175" s="3" t="n">
        <v>69.2156745364738</v>
      </c>
      <c r="BN175" s="3" t="n">
        <v>69.16404141508333</v>
      </c>
      <c r="BO175" s="3" t="n">
        <v>77.06591111124752</v>
      </c>
      <c r="BP175" s="3" t="n">
        <v>75.41607424768364</v>
      </c>
      <c r="BQ175" s="3" t="n">
        <v>73.25579178408978</v>
      </c>
      <c r="BR175" s="34" t="str">
        <f>B175&amp;"|"&amp;D175</f>
        <v>NAM|NE.CON.PRVT.ZS</v>
      </c>
    </row>
    <row r="176">
      <c r="A176" s="3" t="inlineStr">
        <is>
          <t>New Caledonia</t>
        </is>
      </c>
      <c r="B176" s="3" t="inlineStr">
        <is>
          <t>NCL</t>
        </is>
      </c>
      <c r="C176" s="3" t="inlineStr">
        <is>
          <t>Households and NPISHs final consumption expenditure (% of GDP)</t>
        </is>
      </c>
      <c r="D176" s="3" t="inlineStr">
        <is>
          <t>NE.CON.PRVT.ZS</t>
        </is>
      </c>
      <c r="E176" s="3" t="n">
        <v>2017</v>
      </c>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v>59.41727516348411</v>
      </c>
      <c r="AB176" s="3" t="n">
        <v>60.96602062751029</v>
      </c>
      <c r="AC176" s="3" t="n">
        <v>60.09057405032578</v>
      </c>
      <c r="AD176" s="3" t="n">
        <v>57.3172384010615</v>
      </c>
      <c r="AE176" s="3" t="n">
        <v>54.77980444790674</v>
      </c>
      <c r="AF176" s="3" t="n">
        <v>58.69871734803493</v>
      </c>
      <c r="AG176" s="3" t="n"/>
      <c r="AH176" s="3" t="n"/>
      <c r="AI176" s="3" t="n"/>
      <c r="AJ176" s="3" t="n">
        <v>77.30000115924402</v>
      </c>
      <c r="AK176" s="3" t="n"/>
      <c r="AL176" s="3" t="n"/>
      <c r="AM176" s="3" t="n"/>
      <c r="AN176" s="3" t="n"/>
      <c r="AO176" s="3" t="n"/>
      <c r="AP176" s="3" t="n"/>
      <c r="AQ176" s="3" t="n"/>
      <c r="AR176" s="3" t="n">
        <v>70.24152060999246</v>
      </c>
      <c r="AS176" s="3" t="n">
        <v>69.21091153557583</v>
      </c>
      <c r="AT176" s="3" t="n">
        <v>65.0611279928758</v>
      </c>
      <c r="AU176" s="3" t="n">
        <v>69.55519837350653</v>
      </c>
      <c r="AV176" s="3" t="n">
        <v>67.12324625983609</v>
      </c>
      <c r="AW176" s="3" t="n">
        <v>64.04244505260861</v>
      </c>
      <c r="AX176" s="3" t="n">
        <v>62.3648020308779</v>
      </c>
      <c r="AY176" s="3" t="n">
        <v>63.57023556966753</v>
      </c>
      <c r="AZ176" s="3" t="n">
        <v>61.43596501194332</v>
      </c>
      <c r="BA176" s="3" t="n">
        <v>56.90528113839315</v>
      </c>
      <c r="BB176" s="3" t="n">
        <v>64.50465533676923</v>
      </c>
      <c r="BC176" s="3" t="n">
        <v>65.09483493685504</v>
      </c>
      <c r="BD176" s="3" t="n">
        <v>61.50314445263034</v>
      </c>
      <c r="BE176" s="3" t="n">
        <v>61.70301715637942</v>
      </c>
      <c r="BF176" s="3" t="n">
        <v>63.71872582611972</v>
      </c>
      <c r="BG176" s="3" t="n">
        <v>63.92308333260242</v>
      </c>
      <c r="BH176" s="3" t="n">
        <v>62.75247700947885</v>
      </c>
      <c r="BI176" s="3" t="n">
        <v>65.35163041512116</v>
      </c>
      <c r="BJ176" s="3" t="n">
        <v>65.7971566117495</v>
      </c>
      <c r="BK176" s="3" t="n">
        <v>65.60686752321526</v>
      </c>
      <c r="BL176" s="3" t="n"/>
      <c r="BM176" s="3" t="n"/>
      <c r="BN176" s="3" t="n"/>
      <c r="BO176" s="3" t="n"/>
      <c r="BP176" s="3" t="n"/>
      <c r="BQ176" s="3" t="n"/>
      <c r="BR176" s="34" t="str">
        <f>B176&amp;"|"&amp;D176</f>
        <v>NCL|NE.CON.PRVT.ZS</v>
      </c>
    </row>
    <row r="177">
      <c r="A177" s="3" t="inlineStr">
        <is>
          <t>Niger</t>
        </is>
      </c>
      <c r="B177" s="3" t="inlineStr">
        <is>
          <t>NER</t>
        </is>
      </c>
      <c r="C177" s="3" t="inlineStr">
        <is>
          <t>Households and NPISHs final consumption expenditure (% of GDP)</t>
        </is>
      </c>
      <c r="D177" s="3" t="inlineStr">
        <is>
          <t>NE.CON.PRVT.ZS</t>
        </is>
      </c>
      <c r="E177" s="3" t="n">
        <v>2021</v>
      </c>
      <c r="F177" s="3" t="n">
        <v>85.56715190476166</v>
      </c>
      <c r="G177" s="3" t="n">
        <v>85.43944122926956</v>
      </c>
      <c r="H177" s="3" t="n">
        <v>85.22434382238816</v>
      </c>
      <c r="I177" s="3" t="n">
        <v>81.14111594642401</v>
      </c>
      <c r="J177" s="3" t="n">
        <v>86.64815586237664</v>
      </c>
      <c r="K177" s="3" t="n">
        <v>90.07732409169107</v>
      </c>
      <c r="L177" s="3" t="n">
        <v>88.70429956564911</v>
      </c>
      <c r="M177" s="3" t="n">
        <v>89.24927990454898</v>
      </c>
      <c r="N177" s="3" t="n">
        <v>88.14648973717092</v>
      </c>
      <c r="O177" s="3" t="n">
        <v>92.15641216397263</v>
      </c>
      <c r="P177" s="3" t="n">
        <v>88.80027293896056</v>
      </c>
      <c r="Q177" s="3" t="n">
        <v>87.21175510832043</v>
      </c>
      <c r="R177" s="3" t="n">
        <v>85.90409353448561</v>
      </c>
      <c r="S177" s="3" t="n">
        <v>84.6605841711789</v>
      </c>
      <c r="T177" s="3" t="n">
        <v>93.47912853546434</v>
      </c>
      <c r="U177" s="3" t="n">
        <v>86.62013399202064</v>
      </c>
      <c r="V177" s="3" t="n">
        <v>84.88580920978382</v>
      </c>
      <c r="W177" s="3" t="n">
        <v>75.69770323159619</v>
      </c>
      <c r="X177" s="3" t="n">
        <v>70.70013084004562</v>
      </c>
      <c r="Y177" s="3" t="n">
        <v>71.08589545812161</v>
      </c>
      <c r="Z177" s="3" t="n">
        <v>75.0496096569053</v>
      </c>
      <c r="AA177" s="3" t="n">
        <v>80.81822620471719</v>
      </c>
      <c r="AB177" s="3" t="n">
        <v>83.224651760602</v>
      </c>
      <c r="AC177" s="3" t="n">
        <v>82.30646773496598</v>
      </c>
      <c r="AD177" s="3" t="n">
        <v>90.68793494400123</v>
      </c>
      <c r="AE177" s="3" t="n">
        <v>88.55881110859414</v>
      </c>
      <c r="AF177" s="3" t="n">
        <v>77.7749317680766</v>
      </c>
      <c r="AG177" s="3" t="n">
        <v>81.50395243263021</v>
      </c>
      <c r="AH177" s="3" t="n">
        <v>70.73173518630114</v>
      </c>
      <c r="AI177" s="3" t="n">
        <v>77.31388476603183</v>
      </c>
      <c r="AJ177" s="3" t="n">
        <v>73.25957761915568</v>
      </c>
      <c r="AK177" s="3" t="n">
        <v>74.5683622454814</v>
      </c>
      <c r="AL177" s="3" t="n">
        <v>76.77884232875306</v>
      </c>
      <c r="AM177" s="3" t="n">
        <v>76.2868524287861</v>
      </c>
      <c r="AN177" s="3" t="n">
        <v>74.80913863974521</v>
      </c>
      <c r="AO177" s="3" t="n">
        <v>74.40801044628594</v>
      </c>
      <c r="AP177" s="3" t="n">
        <v>71.46912151043973</v>
      </c>
      <c r="AQ177" s="3" t="n">
        <v>71.92587533260671</v>
      </c>
      <c r="AR177" s="3" t="n">
        <v>72.50857902462204</v>
      </c>
      <c r="AS177" s="3" t="n">
        <v>72.88775578094449</v>
      </c>
      <c r="AT177" s="3" t="n">
        <v>72.17917221223897</v>
      </c>
      <c r="AU177" s="3" t="n">
        <v>73.160619655153</v>
      </c>
      <c r="AV177" s="3" t="n">
        <v>73.72610234274451</v>
      </c>
      <c r="AW177" s="3" t="n">
        <v>74.4672488353696</v>
      </c>
      <c r="AX177" s="3" t="n">
        <v>76.47956775128907</v>
      </c>
      <c r="AY177" s="3" t="n">
        <v>72.40990993189507</v>
      </c>
      <c r="AZ177" s="3" t="n">
        <v>72.07606544070153</v>
      </c>
      <c r="BA177" s="3" t="n">
        <v>73.24334776738229</v>
      </c>
      <c r="BB177" s="3" t="n">
        <v>69.76398668092284</v>
      </c>
      <c r="BC177" s="3" t="n">
        <v>72.73744423322253</v>
      </c>
      <c r="BD177" s="3" t="n">
        <v>71.45601034564865</v>
      </c>
      <c r="BE177" s="3" t="n">
        <v>71.66771324893735</v>
      </c>
      <c r="BF177" s="3" t="n">
        <v>68.46937734081035</v>
      </c>
      <c r="BG177" s="3" t="n">
        <v>67.32831739065949</v>
      </c>
      <c r="BH177" s="3" t="n">
        <v>64.80068598892771</v>
      </c>
      <c r="BI177" s="3" t="n">
        <v>67.33630661271121</v>
      </c>
      <c r="BJ177" s="3" t="n">
        <v>69.33036415540379</v>
      </c>
      <c r="BK177" s="3" t="n">
        <v>71.49330905711435</v>
      </c>
      <c r="BL177" s="3" t="n">
        <v>70.11449281079946</v>
      </c>
      <c r="BM177" s="3" t="n">
        <v>68.78322539470003</v>
      </c>
      <c r="BN177" s="3" t="n">
        <v>71.23497898284083</v>
      </c>
      <c r="BO177" s="3" t="n">
        <v>72.04433279960953</v>
      </c>
      <c r="BP177" s="3" t="n"/>
      <c r="BQ177" s="3" t="n"/>
      <c r="BR177" s="34" t="str">
        <f>B177&amp;"|"&amp;D177</f>
        <v>NER|NE.CON.PRVT.ZS</v>
      </c>
    </row>
    <row r="178">
      <c r="A178" s="3" t="inlineStr">
        <is>
          <t>Nigeria</t>
        </is>
      </c>
      <c r="B178" s="3" t="inlineStr">
        <is>
          <t>NGA</t>
        </is>
      </c>
      <c r="C178" s="3" t="inlineStr">
        <is>
          <t>Households and NPISHs final consumption expenditure (% of GDP)</t>
        </is>
      </c>
      <c r="D178" s="3" t="inlineStr">
        <is>
          <t>NE.CON.PRVT.ZS</t>
        </is>
      </c>
      <c r="E178" s="3" t="inlineStr">
        <is>
          <t>0x2a</t>
        </is>
      </c>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3" t="n"/>
      <c r="AL178" s="3" t="n"/>
      <c r="AM178" s="3" t="n"/>
      <c r="AN178" s="3" t="n"/>
      <c r="AO178" s="3" t="n"/>
      <c r="AP178" s="3" t="n"/>
      <c r="AQ178" s="3" t="n"/>
      <c r="AR178" s="3" t="n"/>
      <c r="AS178" s="3" t="n"/>
      <c r="AT178" s="3" t="n"/>
      <c r="AU178" s="3" t="n"/>
      <c r="AV178" s="3" t="n"/>
      <c r="AW178" s="3" t="n"/>
      <c r="AX178" s="3" t="n"/>
      <c r="AY178" s="3" t="n"/>
      <c r="AZ178" s="3" t="n"/>
      <c r="BA178" s="3" t="n"/>
      <c r="BB178" s="3" t="n"/>
      <c r="BC178" s="3" t="n"/>
      <c r="BD178" s="3" t="n"/>
      <c r="BE178" s="3" t="n"/>
      <c r="BF178" s="3" t="n"/>
      <c r="BG178" s="3" t="n"/>
      <c r="BH178" s="3" t="n"/>
      <c r="BI178" s="3" t="n"/>
      <c r="BJ178" s="3" t="n"/>
      <c r="BK178" s="3" t="n"/>
      <c r="BL178" s="3" t="n"/>
      <c r="BM178" s="3" t="n"/>
      <c r="BN178" s="3" t="n"/>
      <c r="BO178" s="3" t="n"/>
      <c r="BP178" s="3" t="n"/>
      <c r="BQ178" s="3" t="n"/>
      <c r="BR178" s="34" t="str">
        <f>B178&amp;"|"&amp;D178</f>
        <v>NGA|NE.CON.PRVT.ZS</v>
      </c>
    </row>
    <row r="179">
      <c r="A179" s="3" t="inlineStr">
        <is>
          <t>Nicaragua</t>
        </is>
      </c>
      <c r="B179" s="3" t="inlineStr">
        <is>
          <t>NIC</t>
        </is>
      </c>
      <c r="C179" s="3" t="inlineStr">
        <is>
          <t>Households and NPISHs final consumption expenditure (% of GDP)</t>
        </is>
      </c>
      <c r="D179" s="3" t="inlineStr">
        <is>
          <t>NE.CON.PRVT.ZS</t>
        </is>
      </c>
      <c r="E179" s="3" t="n">
        <v>2023</v>
      </c>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3" t="n"/>
      <c r="AL179" s="3" t="n"/>
      <c r="AM179" s="3" t="n"/>
      <c r="AN179" s="3" t="n">
        <v>86.18516541448727</v>
      </c>
      <c r="AO179" s="3" t="n">
        <v>83.57961113350903</v>
      </c>
      <c r="AP179" s="3" t="n">
        <v>83.66460651771159</v>
      </c>
      <c r="AQ179" s="3" t="n">
        <v>84.86643552607327</v>
      </c>
      <c r="AR179" s="3" t="n">
        <v>84.18027840012668</v>
      </c>
      <c r="AS179" s="3" t="n">
        <v>83.53102453140953</v>
      </c>
      <c r="AT179" s="3" t="n">
        <v>85.03700111570842</v>
      </c>
      <c r="AU179" s="3" t="n">
        <v>85.92057647724097</v>
      </c>
      <c r="AV179" s="3" t="n">
        <v>88.85439472992125</v>
      </c>
      <c r="AW179" s="3" t="n">
        <v>89.1605008526943</v>
      </c>
      <c r="AX179" s="3" t="n">
        <v>87.65176714161686</v>
      </c>
      <c r="AY179" s="3" t="n">
        <v>87.5495926776204</v>
      </c>
      <c r="AZ179" s="3" t="n">
        <v>81.35781484037092</v>
      </c>
      <c r="BA179" s="3" t="n">
        <v>81.57589210739607</v>
      </c>
      <c r="BB179" s="3" t="n">
        <v>80.41336071250653</v>
      </c>
      <c r="BC179" s="3" t="n">
        <v>81.33312795113483</v>
      </c>
      <c r="BD179" s="3" t="n">
        <v>80.49365951713962</v>
      </c>
      <c r="BE179" s="3" t="n">
        <v>77.21254482576124</v>
      </c>
      <c r="BF179" s="3" t="n">
        <v>75.65858713754017</v>
      </c>
      <c r="BG179" s="3" t="n">
        <v>75.88876326285589</v>
      </c>
      <c r="BH179" s="3" t="n">
        <v>73.52327960493251</v>
      </c>
      <c r="BI179" s="3" t="n">
        <v>70.49786170540139</v>
      </c>
      <c r="BJ179" s="3" t="n">
        <v>70.38831121700302</v>
      </c>
      <c r="BK179" s="3" t="n">
        <v>69.37626725885875</v>
      </c>
      <c r="BL179" s="3" t="n">
        <v>70.55315483663756</v>
      </c>
      <c r="BM179" s="3" t="n">
        <v>71.38920720660748</v>
      </c>
      <c r="BN179" s="3" t="n">
        <v>70.52795451779633</v>
      </c>
      <c r="BO179" s="3" t="n">
        <v>74.78355087132459</v>
      </c>
      <c r="BP179" s="3" t="n">
        <v>80.12938343379074</v>
      </c>
      <c r="BQ179" s="3" t="n">
        <v>78.08018247916789</v>
      </c>
      <c r="BR179" s="34" t="str">
        <f>B179&amp;"|"&amp;D179</f>
        <v>NIC|NE.CON.PRVT.ZS</v>
      </c>
    </row>
    <row r="180">
      <c r="A180" s="3" t="inlineStr">
        <is>
          <t>Netherlands</t>
        </is>
      </c>
      <c r="B180" s="3" t="inlineStr">
        <is>
          <t>NLD</t>
        </is>
      </c>
      <c r="C180" s="3" t="inlineStr">
        <is>
          <t>Households and NPISHs final consumption expenditure (% of GDP)</t>
        </is>
      </c>
      <c r="D180" s="3" t="inlineStr">
        <is>
          <t>NE.CON.PRVT.ZS</t>
        </is>
      </c>
      <c r="E180" s="3" t="n">
        <v>2023</v>
      </c>
      <c r="F180" s="3" t="n"/>
      <c r="G180" s="3" t="n"/>
      <c r="H180" s="3" t="n"/>
      <c r="I180" s="3" t="n"/>
      <c r="J180" s="3" t="n"/>
      <c r="K180" s="3" t="n"/>
      <c r="L180" s="3" t="n"/>
      <c r="M180" s="3" t="n"/>
      <c r="N180" s="3" t="n"/>
      <c r="O180" s="3" t="n">
        <v>53.50865029078622</v>
      </c>
      <c r="P180" s="3" t="n">
        <v>53.35499012811282</v>
      </c>
      <c r="Q180" s="3" t="n">
        <v>52.06593047646408</v>
      </c>
      <c r="R180" s="3" t="n">
        <v>51.27160929394966</v>
      </c>
      <c r="S180" s="3" t="n">
        <v>51.15897124009866</v>
      </c>
      <c r="T180" s="3" t="n">
        <v>49.2928408850884</v>
      </c>
      <c r="U180" s="3" t="n">
        <v>51.43561395640243</v>
      </c>
      <c r="V180" s="3" t="n">
        <v>51.901848755027</v>
      </c>
      <c r="W180" s="3" t="n">
        <v>52.98404506719277</v>
      </c>
      <c r="X180" s="3" t="n">
        <v>53.32150844805086</v>
      </c>
      <c r="Y180" s="3" t="n">
        <v>52.95569156578299</v>
      </c>
      <c r="Z180" s="3" t="n">
        <v>52.51140000065203</v>
      </c>
      <c r="AA180" s="3" t="n">
        <v>51.27147188719816</v>
      </c>
      <c r="AB180" s="3" t="n">
        <v>51.34140435109072</v>
      </c>
      <c r="AC180" s="3" t="n">
        <v>51.62173830607999</v>
      </c>
      <c r="AD180" s="3" t="n">
        <v>50.60116421819267</v>
      </c>
      <c r="AE180" s="3" t="n">
        <v>50.97628819603792</v>
      </c>
      <c r="AF180" s="3" t="n">
        <v>50.58039756119062</v>
      </c>
      <c r="AG180" s="3" t="n">
        <v>50.95264159162398</v>
      </c>
      <c r="AH180" s="3" t="n">
        <v>50.026467222518</v>
      </c>
      <c r="AI180" s="3" t="n">
        <v>49.5924885171371</v>
      </c>
      <c r="AJ180" s="3" t="n">
        <v>49.4392493099684</v>
      </c>
      <c r="AK180" s="3" t="n">
        <v>49.79298313682761</v>
      </c>
      <c r="AL180" s="3" t="n">
        <v>49.59671683177051</v>
      </c>
      <c r="AM180" s="3" t="n">
        <v>49.66220174391304</v>
      </c>
      <c r="AN180" s="3" t="n">
        <v>49.41245293608932</v>
      </c>
      <c r="AO180" s="3" t="n">
        <v>49.22241743969752</v>
      </c>
      <c r="AP180" s="3" t="n">
        <v>50.02016684802322</v>
      </c>
      <c r="AQ180" s="3" t="n">
        <v>49.7867474515372</v>
      </c>
      <c r="AR180" s="3" t="n">
        <v>50.10005199152918</v>
      </c>
      <c r="AS180" s="3" t="n">
        <v>50.78112521128406</v>
      </c>
      <c r="AT180" s="3" t="n">
        <v>50.33019400142034</v>
      </c>
      <c r="AU180" s="3" t="n">
        <v>49.73095017234546</v>
      </c>
      <c r="AV180" s="3" t="n">
        <v>50.02883443050503</v>
      </c>
      <c r="AW180" s="3" t="n">
        <v>49.96275423646185</v>
      </c>
      <c r="AX180" s="3" t="n">
        <v>49.43130934882086</v>
      </c>
      <c r="AY180" s="3" t="n">
        <v>48.80873071051385</v>
      </c>
      <c r="AZ180" s="3" t="n">
        <v>47.19714102910635</v>
      </c>
      <c r="BA180" s="3" t="n">
        <v>46.32298076457192</v>
      </c>
      <c r="BB180" s="3" t="n">
        <v>45.64800880101607</v>
      </c>
      <c r="BC180" s="3" t="n">
        <v>45.69667211871161</v>
      </c>
      <c r="BD180" s="3" t="n">
        <v>45.4497666567061</v>
      </c>
      <c r="BE180" s="3" t="n">
        <v>45.63925462705982</v>
      </c>
      <c r="BF180" s="3" t="n">
        <v>45.51033285040875</v>
      </c>
      <c r="BG180" s="3" t="n">
        <v>45.48945209648383</v>
      </c>
      <c r="BH180" s="3" t="n">
        <v>45.30406813985348</v>
      </c>
      <c r="BI180" s="3" t="n">
        <v>45.04527483739319</v>
      </c>
      <c r="BJ180" s="3" t="n">
        <v>44.61732198092151</v>
      </c>
      <c r="BK180" s="3" t="n">
        <v>44.33553795590574</v>
      </c>
      <c r="BL180" s="3" t="n">
        <v>44.12994016695371</v>
      </c>
      <c r="BM180" s="3" t="n">
        <v>43.48377416041965</v>
      </c>
      <c r="BN180" s="3" t="n">
        <v>42.11894090618055</v>
      </c>
      <c r="BO180" s="3" t="n">
        <v>41.45593720099198</v>
      </c>
      <c r="BP180" s="3" t="n">
        <v>42.88492294081993</v>
      </c>
      <c r="BQ180" s="3" t="n">
        <v>43.50440872422603</v>
      </c>
      <c r="BR180" s="34" t="str">
        <f>B180&amp;"|"&amp;D180</f>
        <v>NLD|NE.CON.PRVT.ZS</v>
      </c>
    </row>
    <row r="181">
      <c r="A181" s="3" t="inlineStr">
        <is>
          <t>Norway</t>
        </is>
      </c>
      <c r="B181" s="3" t="inlineStr">
        <is>
          <t>NOR</t>
        </is>
      </c>
      <c r="C181" s="3" t="inlineStr">
        <is>
          <t>Households and NPISHs final consumption expenditure (% of GDP)</t>
        </is>
      </c>
      <c r="D181" s="3" t="inlineStr">
        <is>
          <t>NE.CON.PRVT.ZS</t>
        </is>
      </c>
      <c r="E181" s="3" t="n">
        <v>2023</v>
      </c>
      <c r="F181" s="3" t="n"/>
      <c r="G181" s="3" t="n"/>
      <c r="H181" s="3" t="n"/>
      <c r="I181" s="3" t="n"/>
      <c r="J181" s="3" t="n"/>
      <c r="K181" s="3" t="n"/>
      <c r="L181" s="3" t="n"/>
      <c r="M181" s="3" t="n"/>
      <c r="N181" s="3" t="n"/>
      <c r="O181" s="3" t="n"/>
      <c r="P181" s="3" t="n">
        <v>52.01026985687752</v>
      </c>
      <c r="Q181" s="3" t="n">
        <v>51.93543057620727</v>
      </c>
      <c r="R181" s="3" t="n">
        <v>51.32911281719452</v>
      </c>
      <c r="S181" s="3" t="n">
        <v>50.25013853826735</v>
      </c>
      <c r="T181" s="3" t="n">
        <v>49.04142200706216</v>
      </c>
      <c r="U181" s="3" t="n">
        <v>50.20163050119582</v>
      </c>
      <c r="V181" s="3" t="n">
        <v>50.60244035509053</v>
      </c>
      <c r="W181" s="3" t="n">
        <v>51.87266934578763</v>
      </c>
      <c r="X181" s="3" t="n">
        <v>49.97191322210696</v>
      </c>
      <c r="Y181" s="3" t="n">
        <v>49.73036455603994</v>
      </c>
      <c r="Z181" s="3" t="n">
        <v>46.99650306806293</v>
      </c>
      <c r="AA181" s="3" t="n">
        <v>46.44081169711763</v>
      </c>
      <c r="AB181" s="3" t="n">
        <v>47.18308291597106</v>
      </c>
      <c r="AC181" s="3" t="n">
        <v>46.8815119079654</v>
      </c>
      <c r="AD181" s="3" t="n">
        <v>45.54360831296423</v>
      </c>
      <c r="AE181" s="3" t="n">
        <v>47.38443319902845</v>
      </c>
      <c r="AF181" s="3" t="n">
        <v>51.4735905085305</v>
      </c>
      <c r="AG181" s="3" t="n">
        <v>50.74156446791017</v>
      </c>
      <c r="AH181" s="3" t="n">
        <v>50.27165238132525</v>
      </c>
      <c r="AI181" s="3" t="n">
        <v>49.10955695166489</v>
      </c>
      <c r="AJ181" s="3" t="n">
        <v>48.88119264770404</v>
      </c>
      <c r="AK181" s="3" t="n">
        <v>49.09155574006407</v>
      </c>
      <c r="AL181" s="3" t="n">
        <v>49.9314346575361</v>
      </c>
      <c r="AM181" s="3" t="n">
        <v>49.73421822046035</v>
      </c>
      <c r="AN181" s="3" t="n">
        <v>49.50258681604294</v>
      </c>
      <c r="AO181" s="3" t="n">
        <v>48.8935126638135</v>
      </c>
      <c r="AP181" s="3" t="n">
        <v>48.07086942670328</v>
      </c>
      <c r="AQ181" s="3" t="n">
        <v>46.90469097727233</v>
      </c>
      <c r="AR181" s="3" t="n">
        <v>48.50453259177972</v>
      </c>
      <c r="AS181" s="3" t="n">
        <v>47.14247475054542</v>
      </c>
      <c r="AT181" s="3" t="n">
        <v>42.40517065438942</v>
      </c>
      <c r="AU181" s="3" t="n">
        <v>42.60589720611627</v>
      </c>
      <c r="AV181" s="3" t="n">
        <v>44.62271720332834</v>
      </c>
      <c r="AW181" s="3" t="n">
        <v>45.60644543576576</v>
      </c>
      <c r="AX181" s="3" t="n">
        <v>44.19818994554625</v>
      </c>
      <c r="AY181" s="3" t="n">
        <v>41.78961130915451</v>
      </c>
      <c r="AZ181" s="3" t="n">
        <v>40.08825680230449</v>
      </c>
      <c r="BA181" s="3" t="n">
        <v>40.30270649536856</v>
      </c>
      <c r="BB181" s="3" t="n">
        <v>38.16554067582333</v>
      </c>
      <c r="BC181" s="3" t="n">
        <v>42.0494304245747</v>
      </c>
      <c r="BD181" s="3" t="n">
        <v>41.72374470848649</v>
      </c>
      <c r="BE181" s="3" t="n">
        <v>40.03976612932213</v>
      </c>
      <c r="BF181" s="3" t="n">
        <v>39.44259661651942</v>
      </c>
      <c r="BG181" s="3" t="n">
        <v>39.94350127089781</v>
      </c>
      <c r="BH181" s="3" t="n">
        <v>40.74931304431433</v>
      </c>
      <c r="BI181" s="3" t="n">
        <v>43.26481870229312</v>
      </c>
      <c r="BJ181" s="3" t="n">
        <v>45.29531921175468</v>
      </c>
      <c r="BK181" s="3" t="n">
        <v>44.28562701788058</v>
      </c>
      <c r="BL181" s="3" t="n">
        <v>42.72130283083202</v>
      </c>
      <c r="BM181" s="3" t="n">
        <v>43.8989896125509</v>
      </c>
      <c r="BN181" s="3" t="n">
        <v>43.44710139170753</v>
      </c>
      <c r="BO181" s="3" t="n">
        <v>37.61271861183724</v>
      </c>
      <c r="BP181" s="3" t="n">
        <v>31.81621494729503</v>
      </c>
      <c r="BQ181" s="3" t="n">
        <v>37.51622993936598</v>
      </c>
      <c r="BR181" s="34" t="str">
        <f>B181&amp;"|"&amp;D181</f>
        <v>NOR|NE.CON.PRVT.ZS</v>
      </c>
    </row>
    <row r="182">
      <c r="A182" s="3" t="inlineStr">
        <is>
          <t>Nepal</t>
        </is>
      </c>
      <c r="B182" s="3" t="inlineStr">
        <is>
          <t>NPL</t>
        </is>
      </c>
      <c r="C182" s="3" t="inlineStr">
        <is>
          <t>Households and NPISHs final consumption expenditure (% of GDP)</t>
        </is>
      </c>
      <c r="D182" s="3" t="inlineStr">
        <is>
          <t>NE.CON.PRVT.ZS</t>
        </is>
      </c>
      <c r="E182" s="3" t="n">
        <v>2023</v>
      </c>
      <c r="F182" s="3" t="n"/>
      <c r="G182" s="3" t="n"/>
      <c r="H182" s="3" t="n"/>
      <c r="I182" s="3" t="n"/>
      <c r="J182" s="3" t="n"/>
      <c r="K182" s="3" t="n"/>
      <c r="L182" s="3" t="n"/>
      <c r="M182" s="3" t="n"/>
      <c r="N182" s="3" t="n"/>
      <c r="O182" s="3" t="n"/>
      <c r="P182" s="3" t="n"/>
      <c r="Q182" s="3" t="n"/>
      <c r="R182" s="3" t="n"/>
      <c r="S182" s="3" t="n"/>
      <c r="T182" s="3" t="n"/>
      <c r="U182" s="3" t="n">
        <v>82.38489025870363</v>
      </c>
      <c r="V182" s="3" t="n">
        <v>80.83246970698212</v>
      </c>
      <c r="W182" s="3" t="n">
        <v>79.21296296296296</v>
      </c>
      <c r="X182" s="3" t="n">
        <v>79.16582184610493</v>
      </c>
      <c r="Y182" s="3" t="n">
        <v>79.86045608885682</v>
      </c>
      <c r="Z182" s="3" t="n">
        <v>82.20204625934848</v>
      </c>
      <c r="AA182" s="3" t="n">
        <v>82.07053160047263</v>
      </c>
      <c r="AB182" s="3" t="n">
        <v>81.55414887192846</v>
      </c>
      <c r="AC182" s="3" t="n">
        <v>81.33293957345971</v>
      </c>
      <c r="AD182" s="3" t="n">
        <v>80.88347277976963</v>
      </c>
      <c r="AE182" s="3" t="n">
        <v>76.53157729790065</v>
      </c>
      <c r="AF182" s="3" t="n">
        <v>79.28684229416409</v>
      </c>
      <c r="AG182" s="3" t="n">
        <v>78.82746148064638</v>
      </c>
      <c r="AH182" s="3" t="n">
        <v>79.67706030738823</v>
      </c>
      <c r="AI182" s="3" t="n">
        <v>79.68629647470007</v>
      </c>
      <c r="AJ182" s="3" t="n">
        <v>84.34524444960161</v>
      </c>
      <c r="AK182" s="3" t="n">
        <v>82.48619558808088</v>
      </c>
      <c r="AL182" s="3" t="n">
        <v>81.27373711974771</v>
      </c>
      <c r="AM182" s="3" t="n">
        <v>79.27152468664974</v>
      </c>
      <c r="AN182" s="3" t="n">
        <v>82.01794532096832</v>
      </c>
      <c r="AO182" s="3" t="n">
        <v>75.09775353028402</v>
      </c>
      <c r="AP182" s="3" t="n">
        <v>76.37012301486865</v>
      </c>
      <c r="AQ182" s="3" t="n">
        <v>77.13154114069579</v>
      </c>
      <c r="AR182" s="3" t="n">
        <v>76.91402549485615</v>
      </c>
      <c r="AS182" s="3" t="n">
        <v>77.46085207405069</v>
      </c>
      <c r="AT182" s="3" t="n">
        <v>75.87776161565057</v>
      </c>
      <c r="AU182" s="3" t="n">
        <v>80.23060492705156</v>
      </c>
      <c r="AV182" s="3" t="n">
        <v>82.11190347877756</v>
      </c>
      <c r="AW182" s="3" t="n">
        <v>82.7737828377327</v>
      </c>
      <c r="AX182" s="3" t="n">
        <v>79.60667962120097</v>
      </c>
      <c r="AY182" s="3" t="n">
        <v>79.54513221651408</v>
      </c>
      <c r="AZ182" s="3" t="n">
        <v>82.33393906593037</v>
      </c>
      <c r="BA182" s="3" t="n">
        <v>80.98431439064503</v>
      </c>
      <c r="BB182" s="3" t="n">
        <v>80.27958757224228</v>
      </c>
      <c r="BC182" s="3" t="n">
        <v>79.78721683908884</v>
      </c>
      <c r="BD182" s="3" t="n">
        <v>78.55601030874247</v>
      </c>
      <c r="BE182" s="3" t="n">
        <v>84.67691303861868</v>
      </c>
      <c r="BF182" s="3" t="n">
        <v>82.98299249895821</v>
      </c>
      <c r="BG182" s="3" t="n">
        <v>84.28670819349433</v>
      </c>
      <c r="BH182" s="3" t="n">
        <v>82.63415406018626</v>
      </c>
      <c r="BI182" s="3" t="n">
        <v>83.56274631191047</v>
      </c>
      <c r="BJ182" s="3" t="n">
        <v>88.43113676553934</v>
      </c>
      <c r="BK182" s="3" t="n">
        <v>78.49671885617519</v>
      </c>
      <c r="BL182" s="3" t="n">
        <v>77.1468635859033</v>
      </c>
      <c r="BM182" s="3" t="n">
        <v>76.57949750174535</v>
      </c>
      <c r="BN182" s="3" t="n">
        <v>85.21291045752699</v>
      </c>
      <c r="BO182" s="3" t="n">
        <v>85.37314198689796</v>
      </c>
      <c r="BP182" s="3" t="n">
        <v>85.00372663536687</v>
      </c>
      <c r="BQ182" s="3" t="n">
        <v>85.94460570972609</v>
      </c>
      <c r="BR182" s="34" t="str">
        <f>B182&amp;"|"&amp;D182</f>
        <v>NPL|NE.CON.PRVT.ZS</v>
      </c>
    </row>
    <row r="183">
      <c r="A183" s="3" t="inlineStr">
        <is>
          <t>Nauru</t>
        </is>
      </c>
      <c r="B183" s="3" t="inlineStr">
        <is>
          <t>NRU</t>
        </is>
      </c>
      <c r="C183" s="3" t="inlineStr">
        <is>
          <t>Households and NPISHs final consumption expenditure (% of GDP)</t>
        </is>
      </c>
      <c r="D183" s="3" t="inlineStr">
        <is>
          <t>NE.CON.PRVT.ZS</t>
        </is>
      </c>
      <c r="E183" s="3" t="inlineStr">
        <is>
          <t>0x2a</t>
        </is>
      </c>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3" t="n"/>
      <c r="AL183" s="3" t="n"/>
      <c r="AM183" s="3" t="n"/>
      <c r="AN183" s="3" t="n"/>
      <c r="AO183" s="3" t="n"/>
      <c r="AP183" s="3" t="n"/>
      <c r="AQ183" s="3" t="n"/>
      <c r="AR183" s="3" t="n"/>
      <c r="AS183" s="3" t="n"/>
      <c r="AT183" s="3" t="n"/>
      <c r="AU183" s="3" t="n"/>
      <c r="AV183" s="3" t="n"/>
      <c r="AW183" s="3" t="n"/>
      <c r="AX183" s="3" t="n"/>
      <c r="AY183" s="3" t="n"/>
      <c r="AZ183" s="3" t="n"/>
      <c r="BA183" s="3" t="n"/>
      <c r="BB183" s="3" t="n"/>
      <c r="BC183" s="3" t="n"/>
      <c r="BD183" s="3" t="n"/>
      <c r="BE183" s="3" t="n"/>
      <c r="BF183" s="3" t="n"/>
      <c r="BG183" s="3" t="n"/>
      <c r="BH183" s="3" t="n"/>
      <c r="BI183" s="3" t="n"/>
      <c r="BJ183" s="3" t="n"/>
      <c r="BK183" s="3" t="n"/>
      <c r="BL183" s="3" t="n"/>
      <c r="BM183" s="3" t="n"/>
      <c r="BN183" s="3" t="n"/>
      <c r="BO183" s="3" t="n"/>
      <c r="BP183" s="3" t="n"/>
      <c r="BQ183" s="3" t="n"/>
      <c r="BR183" s="34" t="str">
        <f>B183&amp;"|"&amp;D183</f>
        <v>NRU|NE.CON.PRVT.ZS</v>
      </c>
    </row>
    <row r="184">
      <c r="A184" s="3" t="inlineStr">
        <is>
          <t>New Zealand</t>
        </is>
      </c>
      <c r="B184" s="3" t="inlineStr">
        <is>
          <t>NZL</t>
        </is>
      </c>
      <c r="C184" s="3" t="inlineStr">
        <is>
          <t>Households and NPISHs final consumption expenditure (% of GDP)</t>
        </is>
      </c>
      <c r="D184" s="3" t="inlineStr">
        <is>
          <t>NE.CON.PRVT.ZS</t>
        </is>
      </c>
      <c r="E184" s="3" t="n">
        <v>2022</v>
      </c>
      <c r="F184" s="3" t="n"/>
      <c r="G184" s="3" t="n"/>
      <c r="H184" s="3" t="n"/>
      <c r="I184" s="3" t="n"/>
      <c r="J184" s="3" t="n"/>
      <c r="K184" s="3" t="n"/>
      <c r="L184" s="3" t="n"/>
      <c r="M184" s="3" t="n"/>
      <c r="N184" s="3" t="n"/>
      <c r="O184" s="3" t="n"/>
      <c r="P184" s="3" t="n">
        <v>63.87146724844624</v>
      </c>
      <c r="Q184" s="3" t="n">
        <v>61.94018964259664</v>
      </c>
      <c r="R184" s="3" t="n">
        <v>60.92479674796748</v>
      </c>
      <c r="S184" s="3" t="n">
        <v>59.88479513096403</v>
      </c>
      <c r="T184" s="3" t="n">
        <v>61.89910979228487</v>
      </c>
      <c r="U184" s="3" t="n">
        <v>62.84685634000703</v>
      </c>
      <c r="V184" s="3" t="n">
        <v>59.02320252076769</v>
      </c>
      <c r="W184" s="3" t="n">
        <v>59.03599053889918</v>
      </c>
      <c r="X184" s="3" t="n">
        <v>58.79300620417371</v>
      </c>
      <c r="Y184" s="3" t="n">
        <v>58.71666022419792</v>
      </c>
      <c r="Z184" s="3" t="n">
        <v>59.59893714190816</v>
      </c>
      <c r="AA184" s="3" t="n">
        <v>57.54909983633388</v>
      </c>
      <c r="AB184" s="3" t="n">
        <v>58.11079631080837</v>
      </c>
      <c r="AC184" s="3" t="n">
        <v>56.76011787288112</v>
      </c>
      <c r="AD184" s="3" t="n">
        <v>56.98935024530334</v>
      </c>
      <c r="AE184" s="3" t="n">
        <v>58.34110551514021</v>
      </c>
      <c r="AF184" s="3" t="n">
        <v>56.66488361258261</v>
      </c>
      <c r="AG184" s="3" t="n">
        <v>57.49218127184644</v>
      </c>
      <c r="AH184" s="3" t="n">
        <v>58.03498866504128</v>
      </c>
      <c r="AI184" s="3" t="n">
        <v>58.67514687651592</v>
      </c>
      <c r="AJ184" s="3" t="n">
        <v>60.21910754397257</v>
      </c>
      <c r="AK184" s="3" t="n">
        <v>60.09846380665289</v>
      </c>
      <c r="AL184" s="3" t="n">
        <v>59.29533414182677</v>
      </c>
      <c r="AM184" s="3" t="n">
        <v>57.2556902157848</v>
      </c>
      <c r="AN184" s="3" t="n">
        <v>57.59381898454746</v>
      </c>
      <c r="AO184" s="3" t="n">
        <v>57.67176524377572</v>
      </c>
      <c r="AP184" s="3" t="n">
        <v>58.64036953145864</v>
      </c>
      <c r="AQ184" s="3" t="n">
        <v>58.84176883079711</v>
      </c>
      <c r="AR184" s="3" t="n">
        <v>60.3036713908599</v>
      </c>
      <c r="AS184" s="3" t="n">
        <v>58.99018802603572</v>
      </c>
      <c r="AT184" s="3" t="n">
        <v>57.90185165096504</v>
      </c>
      <c r="AU184" s="3" t="n">
        <v>56.52231338181366</v>
      </c>
      <c r="AV184" s="3" t="n">
        <v>57.45703908093594</v>
      </c>
      <c r="AW184" s="3" t="n">
        <v>57.29816888347566</v>
      </c>
      <c r="AX184" s="3" t="n">
        <v>57.36061956922599</v>
      </c>
      <c r="AY184" s="3" t="n">
        <v>58.08134432326605</v>
      </c>
      <c r="AZ184" s="3" t="n">
        <v>58.26492407153322</v>
      </c>
      <c r="BA184" s="3" t="n">
        <v>56.67504138252453</v>
      </c>
      <c r="BB184" s="3" t="n">
        <v>57.73681931934574</v>
      </c>
      <c r="BC184" s="3" t="n">
        <v>58.16311301188326</v>
      </c>
      <c r="BD184" s="3" t="n">
        <v>57.82769914724945</v>
      </c>
      <c r="BE184" s="3" t="n">
        <v>58.30728066469511</v>
      </c>
      <c r="BF184" s="3" t="n">
        <v>58.80116233091488</v>
      </c>
      <c r="BG184" s="3" t="n">
        <v>57.5093321649334</v>
      </c>
      <c r="BH184" s="3" t="n">
        <v>57.42462886126436</v>
      </c>
      <c r="BI184" s="3" t="n">
        <v>57.34444805538045</v>
      </c>
      <c r="BJ184" s="3" t="n">
        <v>57.95538718367317</v>
      </c>
      <c r="BK184" s="3" t="n">
        <v>57.45655673422215</v>
      </c>
      <c r="BL184" s="3" t="n">
        <v>57.86467128061587</v>
      </c>
      <c r="BM184" s="3" t="n">
        <v>57.21674533776987</v>
      </c>
      <c r="BN184" s="3" t="n">
        <v>57.12182004439133</v>
      </c>
      <c r="BO184" s="3" t="n">
        <v>57.61652193797023</v>
      </c>
      <c r="BP184" s="3" t="n">
        <v>58.15584976255577</v>
      </c>
      <c r="BQ184" s="3" t="n"/>
      <c r="BR184" s="34" t="str">
        <f>B184&amp;"|"&amp;D184</f>
        <v>NZL|NE.CON.PRVT.ZS</v>
      </c>
    </row>
    <row r="185">
      <c r="A185" s="3" t="inlineStr">
        <is>
          <t>OECD members</t>
        </is>
      </c>
      <c r="B185" s="3" t="inlineStr">
        <is>
          <t>OED</t>
        </is>
      </c>
      <c r="C185" s="3" t="inlineStr">
        <is>
          <t>Households and NPISHs final consumption expenditure (% of GDP)</t>
        </is>
      </c>
      <c r="D185" s="3" t="inlineStr">
        <is>
          <t>NE.CON.PRVT.ZS</t>
        </is>
      </c>
      <c r="E185" s="3" t="n">
        <v>2022</v>
      </c>
      <c r="F185" s="3" t="n"/>
      <c r="G185" s="3" t="n"/>
      <c r="H185" s="3" t="n"/>
      <c r="I185" s="3" t="n"/>
      <c r="J185" s="3" t="n"/>
      <c r="K185" s="3" t="n"/>
      <c r="L185" s="3" t="n"/>
      <c r="M185" s="3" t="n"/>
      <c r="N185" s="3" t="n"/>
      <c r="O185" s="3" t="n"/>
      <c r="P185" s="3" t="n">
        <v>57.91739870544587</v>
      </c>
      <c r="Q185" s="3" t="n">
        <v>57.96895787050443</v>
      </c>
      <c r="R185" s="3" t="n">
        <v>57.76650206968817</v>
      </c>
      <c r="S185" s="3" t="n">
        <v>57.04409489504984</v>
      </c>
      <c r="T185" s="3" t="n">
        <v>57.2976769695954</v>
      </c>
      <c r="U185" s="3" t="n">
        <v>58.52341591731359</v>
      </c>
      <c r="V185" s="3" t="n">
        <v>58.36241965637422</v>
      </c>
      <c r="W185" s="3" t="n">
        <v>58.27786470357725</v>
      </c>
      <c r="X185" s="3" t="n">
        <v>57.62715874899232</v>
      </c>
      <c r="Y185" s="3" t="n">
        <v>57.84228774525898</v>
      </c>
      <c r="Z185" s="3" t="n">
        <v>58.41990097070148</v>
      </c>
      <c r="AA185" s="3" t="n">
        <v>58.25515379336169</v>
      </c>
      <c r="AB185" s="3" t="n">
        <v>59.05203646715991</v>
      </c>
      <c r="AC185" s="3" t="n">
        <v>59.46927440983737</v>
      </c>
      <c r="AD185" s="3" t="n">
        <v>58.84851949640042</v>
      </c>
      <c r="AE185" s="3" t="n">
        <v>59.12218258656662</v>
      </c>
      <c r="AF185" s="3" t="n">
        <v>58.76480492316588</v>
      </c>
      <c r="AG185" s="3" t="n">
        <v>58.75706886023663</v>
      </c>
      <c r="AH185" s="3" t="n">
        <v>58.3067730126965</v>
      </c>
      <c r="AI185" s="3" t="n">
        <v>58.33629039668129</v>
      </c>
      <c r="AJ185" s="3" t="n">
        <v>58.40271815737174</v>
      </c>
      <c r="AK185" s="3" t="n">
        <v>58.41287790014982</v>
      </c>
      <c r="AL185" s="3" t="n">
        <v>58.84667143160658</v>
      </c>
      <c r="AM185" s="3" t="n">
        <v>59.30050901887979</v>
      </c>
      <c r="AN185" s="3" t="n">
        <v>59.20627566852507</v>
      </c>
      <c r="AO185" s="3" t="n">
        <v>58.5196108818735</v>
      </c>
      <c r="AP185" s="3" t="n">
        <v>58.85808538556769</v>
      </c>
      <c r="AQ185" s="3" t="n">
        <v>59.15418122124776</v>
      </c>
      <c r="AR185" s="3" t="n">
        <v>59.51524695344415</v>
      </c>
      <c r="AS185" s="3" t="n">
        <v>59.90174130598241</v>
      </c>
      <c r="AT185" s="3" t="n">
        <v>60.23978563884327</v>
      </c>
      <c r="AU185" s="3" t="n">
        <v>60.88482009516598</v>
      </c>
      <c r="AV185" s="3" t="n">
        <v>61.06354192978688</v>
      </c>
      <c r="AW185" s="3" t="n">
        <v>60.85138076303924</v>
      </c>
      <c r="AX185" s="3" t="n">
        <v>60.38548987029355</v>
      </c>
      <c r="AY185" s="3" t="n">
        <v>60.42910653355097</v>
      </c>
      <c r="AZ185" s="3" t="n">
        <v>60.12767058771268</v>
      </c>
      <c r="BA185" s="3" t="n">
        <v>59.78320569042863</v>
      </c>
      <c r="BB185" s="3" t="n">
        <v>60.01718201501234</v>
      </c>
      <c r="BC185" s="3" t="n">
        <v>60.89486366601178</v>
      </c>
      <c r="BD185" s="3" t="n">
        <v>60.6645697430305</v>
      </c>
      <c r="BE185" s="3" t="n">
        <v>60.52909394822129</v>
      </c>
      <c r="BF185" s="3" t="n">
        <v>60.63219674687947</v>
      </c>
      <c r="BG185" s="3" t="n">
        <v>60.56399627424388</v>
      </c>
      <c r="BH185" s="3" t="n">
        <v>60.39430061760407</v>
      </c>
      <c r="BI185" s="3" t="n">
        <v>60.39166502656184</v>
      </c>
      <c r="BJ185" s="3" t="n">
        <v>60.42722071359421</v>
      </c>
      <c r="BK185" s="3" t="n">
        <v>60.20966826244039</v>
      </c>
      <c r="BL185" s="3" t="n">
        <v>59.9705013737593</v>
      </c>
      <c r="BM185" s="3" t="n">
        <v>59.77745551339646</v>
      </c>
      <c r="BN185" s="3" t="n">
        <v>58.67808848767092</v>
      </c>
      <c r="BO185" s="3" t="n">
        <v>58.84133975481193</v>
      </c>
      <c r="BP185" s="3" t="n">
        <v>59.95597405474571</v>
      </c>
      <c r="BQ185" s="3" t="n"/>
      <c r="BR185" s="34" t="str">
        <f>B185&amp;"|"&amp;D185</f>
        <v>OED|NE.CON.PRVT.ZS</v>
      </c>
    </row>
    <row r="186">
      <c r="A186" s="3" t="inlineStr">
        <is>
          <t>Oman</t>
        </is>
      </c>
      <c r="B186" s="3" t="inlineStr">
        <is>
          <t>OMN</t>
        </is>
      </c>
      <c r="C186" s="3" t="inlineStr">
        <is>
          <t>Households and NPISHs final consumption expenditure (% of GDP)</t>
        </is>
      </c>
      <c r="D186" s="3" t="inlineStr">
        <is>
          <t>NE.CON.PRVT.ZS</t>
        </is>
      </c>
      <c r="E186" s="3" t="n">
        <v>2021</v>
      </c>
      <c r="F186" s="3" t="n"/>
      <c r="G186" s="3" t="n"/>
      <c r="H186" s="3" t="n"/>
      <c r="I186" s="3" t="n"/>
      <c r="J186" s="3" t="n"/>
      <c r="K186" s="3" t="n"/>
      <c r="L186" s="3" t="n"/>
      <c r="M186" s="3" t="n">
        <v>53.09278350515464</v>
      </c>
      <c r="N186" s="3" t="n">
        <v>27.19186785260483</v>
      </c>
      <c r="O186" s="3" t="n">
        <v>22.9</v>
      </c>
      <c r="P186" s="3" t="n">
        <v>19.38202247191011</v>
      </c>
      <c r="Q186" s="3" t="n">
        <v>17.10631494804157</v>
      </c>
      <c r="R186" s="3" t="n">
        <v>24.92897727272727</v>
      </c>
      <c r="S186" s="3" t="n">
        <v>23.96694214876033</v>
      </c>
      <c r="T186" s="3" t="n">
        <v>8.724714160070361</v>
      </c>
      <c r="U186" s="3" t="n">
        <v>15.89340180798147</v>
      </c>
      <c r="V186" s="3" t="n">
        <v>20.53601718873686</v>
      </c>
      <c r="W186" s="3" t="n">
        <v>26.0033770592124</v>
      </c>
      <c r="X186" s="3" t="n">
        <v>32.84732880641006</v>
      </c>
      <c r="Y186" s="3" t="n">
        <v>26.1341527723924</v>
      </c>
      <c r="Z186" s="3" t="n">
        <v>27.69953051643192</v>
      </c>
      <c r="AA186" s="3" t="n">
        <v>25.80864572214551</v>
      </c>
      <c r="AB186" s="3" t="n">
        <v>31.90388472814115</v>
      </c>
      <c r="AC186" s="3" t="n">
        <v>31.36975916528921</v>
      </c>
      <c r="AD186" s="3" t="n">
        <v>30.80180183136959</v>
      </c>
      <c r="AE186" s="3" t="n">
        <v>32.57038781707769</v>
      </c>
      <c r="AF186" s="3" t="n">
        <v>36.45851819499881</v>
      </c>
      <c r="AG186" s="3" t="n">
        <v>30.95158923059164</v>
      </c>
      <c r="AH186" s="3" t="n">
        <v>36.58551713443945</v>
      </c>
      <c r="AI186" s="3" t="n">
        <v>35.65323565323565</v>
      </c>
      <c r="AJ186" s="3" t="n">
        <v>45.73042133143404</v>
      </c>
      <c r="AK186" s="3" t="n">
        <v>51.53575261419923</v>
      </c>
      <c r="AL186" s="3" t="n">
        <v>50.07125670962217</v>
      </c>
      <c r="AM186" s="3" t="n">
        <v>52.08255058705971</v>
      </c>
      <c r="AN186" s="3" t="n">
        <v>51.12407746663177</v>
      </c>
      <c r="AO186" s="3" t="n">
        <v>51.45857247837802</v>
      </c>
      <c r="AP186" s="3" t="n">
        <v>48.58089474490578</v>
      </c>
      <c r="AQ186" s="3" t="n">
        <v>47.67222267838082</v>
      </c>
      <c r="AR186" s="3" t="n">
        <v>47.27275304977577</v>
      </c>
      <c r="AS186" s="3" t="n">
        <v>43.54910204655719</v>
      </c>
      <c r="AT186" s="3" t="n">
        <v>35.36364449024217</v>
      </c>
      <c r="AU186" s="3" t="n">
        <v>37.26410976051724</v>
      </c>
      <c r="AV186" s="3" t="n">
        <v>36.15916957474553</v>
      </c>
      <c r="AW186" s="3" t="n">
        <v>37.59385608414783</v>
      </c>
      <c r="AX186" s="3" t="n">
        <v>37.17000196478601</v>
      </c>
      <c r="AY186" s="3" t="n">
        <v>30.56598204314813</v>
      </c>
      <c r="AZ186" s="3" t="n">
        <v>29.71106758111114</v>
      </c>
      <c r="BA186" s="3" t="n">
        <v>30.62390403299543</v>
      </c>
      <c r="BB186" s="3" t="n">
        <v>28.06143048084527</v>
      </c>
      <c r="BC186" s="3" t="n">
        <v>36.44849100143143</v>
      </c>
      <c r="BD186" s="3" t="n">
        <v>29.35337094837935</v>
      </c>
      <c r="BE186" s="3" t="n">
        <v>30.32740672130157</v>
      </c>
      <c r="BF186" s="3" t="n">
        <v>29.27367021039196</v>
      </c>
      <c r="BG186" s="3" t="n">
        <v>29.22898520549213</v>
      </c>
      <c r="BH186" s="3" t="n">
        <v>29.16128923653585</v>
      </c>
      <c r="BI186" s="3" t="n">
        <v>36.06361290365216</v>
      </c>
      <c r="BJ186" s="3" t="n">
        <v>38.01329317686156</v>
      </c>
      <c r="BK186" s="3" t="n">
        <v>39.15064298442556</v>
      </c>
      <c r="BL186" s="3" t="n">
        <v>34.80331969076853</v>
      </c>
      <c r="BM186" s="3" t="n">
        <v>37.5186801892532</v>
      </c>
      <c r="BN186" s="3" t="n">
        <v>44.07719696392284</v>
      </c>
      <c r="BO186" s="3" t="n">
        <v>44.31402609261631</v>
      </c>
      <c r="BP186" s="3" t="n"/>
      <c r="BQ186" s="3" t="n"/>
      <c r="BR186" s="34" t="str">
        <f>B186&amp;"|"&amp;D186</f>
        <v>OMN|NE.CON.PRVT.ZS</v>
      </c>
    </row>
    <row r="187">
      <c r="A187" s="3" t="inlineStr">
        <is>
          <t>Other small states</t>
        </is>
      </c>
      <c r="B187" s="3" t="inlineStr">
        <is>
          <t>OSS</t>
        </is>
      </c>
      <c r="C187" s="3" t="inlineStr">
        <is>
          <t>Households and NPISHs final consumption expenditure (% of GDP)</t>
        </is>
      </c>
      <c r="D187" s="3" t="inlineStr">
        <is>
          <t>NE.CON.PRVT.ZS</t>
        </is>
      </c>
      <c r="E187" s="3" t="n">
        <v>2023</v>
      </c>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v>42.10606852593062</v>
      </c>
      <c r="AA187" s="3" t="n">
        <v>43.93024773503267</v>
      </c>
      <c r="AB187" s="3" t="n">
        <v>44.54411051443237</v>
      </c>
      <c r="AC187" s="3" t="n">
        <v>45.17057911036793</v>
      </c>
      <c r="AD187" s="3" t="n">
        <v>44.73834286496172</v>
      </c>
      <c r="AE187" s="3" t="n">
        <v>45.04027220111269</v>
      </c>
      <c r="AF187" s="3" t="n">
        <v>50.74031319799548</v>
      </c>
      <c r="AG187" s="3" t="n">
        <v>52.37357298883604</v>
      </c>
      <c r="AH187" s="3" t="n">
        <v>53.69427367012364</v>
      </c>
      <c r="AI187" s="3" t="n">
        <v>53.1109191142116</v>
      </c>
      <c r="AJ187" s="3" t="n">
        <v>54.41123529040962</v>
      </c>
      <c r="AK187" s="3" t="n">
        <v>58.42184591886119</v>
      </c>
      <c r="AL187" s="3" t="n">
        <v>58.7249185219432</v>
      </c>
      <c r="AM187" s="3" t="n">
        <v>57.04862699817155</v>
      </c>
      <c r="AN187" s="3" t="n">
        <v>55.78797368802355</v>
      </c>
      <c r="AO187" s="3" t="n">
        <v>57.2593148158474</v>
      </c>
      <c r="AP187" s="3" t="n">
        <v>58.07915766260716</v>
      </c>
      <c r="AQ187" s="3" t="n">
        <v>57.46259251200389</v>
      </c>
      <c r="AR187" s="3" t="n">
        <v>58.51872418255808</v>
      </c>
      <c r="AS187" s="3" t="n">
        <v>57.76079480311074</v>
      </c>
      <c r="AT187" s="3" t="n">
        <v>54.2327742158831</v>
      </c>
      <c r="AU187" s="3" t="n">
        <v>54.06424132115988</v>
      </c>
      <c r="AV187" s="3" t="n">
        <v>53.62239893335292</v>
      </c>
      <c r="AW187" s="3" t="n">
        <v>54.10235153111274</v>
      </c>
      <c r="AX187" s="3" t="n">
        <v>55.41704817677089</v>
      </c>
      <c r="AY187" s="3" t="n">
        <v>54.05979536072211</v>
      </c>
      <c r="AZ187" s="3" t="n">
        <v>52.4180250923205</v>
      </c>
      <c r="BA187" s="3" t="n">
        <v>52.05071559585059</v>
      </c>
      <c r="BB187" s="3" t="n">
        <v>52.7558369835286</v>
      </c>
      <c r="BC187" s="3" t="n">
        <v>54.50750006273611</v>
      </c>
      <c r="BD187" s="3" t="n">
        <v>53.01981879518014</v>
      </c>
      <c r="BE187" s="3" t="n">
        <v>51.56673236487749</v>
      </c>
      <c r="BF187" s="3" t="n">
        <v>51.07354119206357</v>
      </c>
      <c r="BG187" s="3" t="n">
        <v>51.40762873780565</v>
      </c>
      <c r="BH187" s="3" t="n">
        <v>51.60792885933591</v>
      </c>
      <c r="BI187" s="3" t="n">
        <v>52.35189479837253</v>
      </c>
      <c r="BJ187" s="3" t="n">
        <v>52.13716017739881</v>
      </c>
      <c r="BK187" s="3" t="n">
        <v>51.32872733516438</v>
      </c>
      <c r="BL187" s="3" t="n">
        <v>51.05024794469695</v>
      </c>
      <c r="BM187" s="3" t="n">
        <v>50.40073860159627</v>
      </c>
      <c r="BN187" s="3" t="n">
        <v>51.66507763958656</v>
      </c>
      <c r="BO187" s="3" t="n">
        <v>49.51735211893843</v>
      </c>
      <c r="BP187" s="3" t="n">
        <v>48.97064927667451</v>
      </c>
      <c r="BQ187" s="3" t="n">
        <v>51.33586618188693</v>
      </c>
      <c r="BR187" s="34" t="str">
        <f>B187&amp;"|"&amp;D187</f>
        <v>OSS|NE.CON.PRVT.ZS</v>
      </c>
    </row>
    <row r="188">
      <c r="A188" s="3" t="inlineStr">
        <is>
          <t>Pakistan</t>
        </is>
      </c>
      <c r="B188" s="3" t="inlineStr">
        <is>
          <t>PAK</t>
        </is>
      </c>
      <c r="C188" s="3" t="inlineStr">
        <is>
          <t>Households and NPISHs final consumption expenditure (% of GDP)</t>
        </is>
      </c>
      <c r="D188" s="3" t="inlineStr">
        <is>
          <t>NE.CON.PRVT.ZS</t>
        </is>
      </c>
      <c r="E188" s="3" t="n">
        <v>2023</v>
      </c>
      <c r="F188" s="3" t="n">
        <v>82.24487509801726</v>
      </c>
      <c r="G188" s="3" t="n">
        <v>83.87804007546016</v>
      </c>
      <c r="H188" s="3" t="n">
        <v>82.06577344701583</v>
      </c>
      <c r="I188" s="3" t="n">
        <v>78.91347723562488</v>
      </c>
      <c r="J188" s="3" t="n">
        <v>75.44581618655693</v>
      </c>
      <c r="K188" s="3" t="n">
        <v>76.30954489109261</v>
      </c>
      <c r="L188" s="3" t="n">
        <v>71.82819101267444</v>
      </c>
      <c r="M188" s="3" t="n">
        <v>76.33489000168795</v>
      </c>
      <c r="N188" s="3" t="n">
        <v>77.45978692291622</v>
      </c>
      <c r="O188" s="3" t="n">
        <v>78.02123388715567</v>
      </c>
      <c r="P188" s="3" t="n">
        <v>76.79210906577872</v>
      </c>
      <c r="Q188" s="3" t="n">
        <v>76.84432281309681</v>
      </c>
      <c r="R188" s="3" t="n">
        <v>75.60587492912406</v>
      </c>
      <c r="S188" s="3" t="n">
        <v>75.20595033485449</v>
      </c>
      <c r="T188" s="3" t="n">
        <v>80.80520306008944</v>
      </c>
      <c r="U188" s="3" t="n">
        <v>81.8803234307403</v>
      </c>
      <c r="V188" s="3" t="n">
        <v>79.18136908962597</v>
      </c>
      <c r="W188" s="3" t="n">
        <v>79.04145631327296</v>
      </c>
      <c r="X188" s="3" t="n">
        <v>81.22596889992855</v>
      </c>
      <c r="Y188" s="3" t="n">
        <v>83.22653464330607</v>
      </c>
      <c r="Z188" s="3" t="n">
        <v>82.99676743004282</v>
      </c>
      <c r="AA188" s="3" t="n">
        <v>80.56729787631741</v>
      </c>
      <c r="AB188" s="3" t="n">
        <v>81.33601103162337</v>
      </c>
      <c r="AC188" s="3" t="n">
        <v>80.11866504567946</v>
      </c>
      <c r="AD188" s="3" t="n">
        <v>80.21567310303429</v>
      </c>
      <c r="AE188" s="3" t="n">
        <v>81.61395468032879</v>
      </c>
      <c r="AF188" s="3" t="n">
        <v>76.28913264869823</v>
      </c>
      <c r="AG188" s="3" t="n">
        <v>72.60947563142054</v>
      </c>
      <c r="AH188" s="3" t="n">
        <v>72.04218605870099</v>
      </c>
      <c r="AI188" s="3" t="n">
        <v>70.58142631650742</v>
      </c>
      <c r="AJ188" s="3" t="n">
        <v>71.38501045046223</v>
      </c>
      <c r="AK188" s="3" t="n">
        <v>68.33705663335293</v>
      </c>
      <c r="AL188" s="3" t="n">
        <v>70.16382075062842</v>
      </c>
      <c r="AM188" s="3" t="n">
        <v>72.37313743218132</v>
      </c>
      <c r="AN188" s="3" t="n">
        <v>71.30113400508678</v>
      </c>
      <c r="AO188" s="3" t="n">
        <v>72.42376690987084</v>
      </c>
      <c r="AP188" s="3" t="n">
        <v>72.88216574779511</v>
      </c>
      <c r="AQ188" s="3" t="n">
        <v>74.87559259271461</v>
      </c>
      <c r="AR188" s="3" t="n">
        <v>72.06683756240533</v>
      </c>
      <c r="AS188" s="3" t="n">
        <v>75.68792180995032</v>
      </c>
      <c r="AT188" s="3" t="n">
        <v>75.97400143968468</v>
      </c>
      <c r="AU188" s="3" t="n">
        <v>77.67224955852791</v>
      </c>
      <c r="AV188" s="3" t="n">
        <v>76.01209080821437</v>
      </c>
      <c r="AW188" s="3" t="n">
        <v>75.27479178287064</v>
      </c>
      <c r="AX188" s="3" t="n">
        <v>76.62483981065304</v>
      </c>
      <c r="AY188" s="3" t="n">
        <v>79.94741483293578</v>
      </c>
      <c r="AZ188" s="3" t="n">
        <v>78.10101893920073</v>
      </c>
      <c r="BA188" s="3" t="n">
        <v>79.5992966173462</v>
      </c>
      <c r="BB188" s="3" t="n">
        <v>82.01880944429551</v>
      </c>
      <c r="BC188" s="3" t="n">
        <v>79.43835342409677</v>
      </c>
      <c r="BD188" s="3" t="n">
        <v>79.83424855024472</v>
      </c>
      <c r="BE188" s="3" t="n">
        <v>80.53931127093351</v>
      </c>
      <c r="BF188" s="3" t="n">
        <v>82.30276571969056</v>
      </c>
      <c r="BG188" s="3" t="n">
        <v>81.29309274528252</v>
      </c>
      <c r="BH188" s="3" t="n">
        <v>82.14494930215352</v>
      </c>
      <c r="BI188" s="3" t="n">
        <v>81.13915215010888</v>
      </c>
      <c r="BJ188" s="3" t="n">
        <v>80.68344221577789</v>
      </c>
      <c r="BK188" s="3" t="n">
        <v>81.94218298132702</v>
      </c>
      <c r="BL188" s="3" t="n">
        <v>82.4005398342069</v>
      </c>
      <c r="BM188" s="3" t="n">
        <v>83.87445240295416</v>
      </c>
      <c r="BN188" s="3" t="n">
        <v>81.51482037102373</v>
      </c>
      <c r="BO188" s="3" t="n">
        <v>83.46296154512595</v>
      </c>
      <c r="BP188" s="3" t="n">
        <v>86.0721990202899</v>
      </c>
      <c r="BQ188" s="3" t="n">
        <v>83.419477520542</v>
      </c>
      <c r="BR188" s="34" t="str">
        <f>B188&amp;"|"&amp;D188</f>
        <v>PAK|NE.CON.PRVT.ZS</v>
      </c>
    </row>
    <row r="189">
      <c r="A189" s="3" t="inlineStr">
        <is>
          <t>Panama</t>
        </is>
      </c>
      <c r="B189" s="3" t="inlineStr">
        <is>
          <t>PAN</t>
        </is>
      </c>
      <c r="C189" s="3" t="inlineStr">
        <is>
          <t>Households and NPISHs final consumption expenditure (% of GDP)</t>
        </is>
      </c>
      <c r="D189" s="3" t="inlineStr">
        <is>
          <t>NE.CON.PRVT.ZS</t>
        </is>
      </c>
      <c r="E189" s="3" t="n">
        <v>2022</v>
      </c>
      <c r="F189" s="3" t="n">
        <v>69.60020821112131</v>
      </c>
      <c r="G189" s="3" t="n">
        <v>66.35383120908047</v>
      </c>
      <c r="H189" s="3" t="n">
        <v>64.04030295609296</v>
      </c>
      <c r="I189" s="3" t="n">
        <v>65.20762412586323</v>
      </c>
      <c r="J189" s="3" t="n">
        <v>66.84456040327906</v>
      </c>
      <c r="K189" s="3" t="n">
        <v>65.84918238472851</v>
      </c>
      <c r="L189" s="3" t="n">
        <v>61.38678319999396</v>
      </c>
      <c r="M189" s="3" t="n">
        <v>59.93896419137172</v>
      </c>
      <c r="N189" s="3" t="n">
        <v>57.32393977629764</v>
      </c>
      <c r="O189" s="3" t="n">
        <v>58.21436025394788</v>
      </c>
      <c r="P189" s="3" t="n">
        <v>55.97296948408238</v>
      </c>
      <c r="Q189" s="3" t="n">
        <v>53.38263128731666</v>
      </c>
      <c r="R189" s="3" t="n">
        <v>51.11471970705117</v>
      </c>
      <c r="S189" s="3" t="n">
        <v>49.13214770204558</v>
      </c>
      <c r="T189" s="3" t="n">
        <v>53.38363765679011</v>
      </c>
      <c r="U189" s="3" t="n">
        <v>53.03667004050951</v>
      </c>
      <c r="V189" s="3" t="n">
        <v>51.57830475258741</v>
      </c>
      <c r="W189" s="3" t="n">
        <v>55.59785935742669</v>
      </c>
      <c r="X189" s="3" t="n">
        <v>54.07191289440727</v>
      </c>
      <c r="Y189" s="3" t="n">
        <v>56.02350092788557</v>
      </c>
      <c r="Z189" s="3" t="n">
        <v>52.7213708005121</v>
      </c>
      <c r="AA189" s="3" t="n">
        <v>56.17664334447152</v>
      </c>
      <c r="AB189" s="3" t="n">
        <v>49.37118007814491</v>
      </c>
      <c r="AC189" s="3" t="n">
        <v>57.07400097293003</v>
      </c>
      <c r="AD189" s="3" t="n">
        <v>65.69708210569576</v>
      </c>
      <c r="AE189" s="3" t="n">
        <v>65.59490305391084</v>
      </c>
      <c r="AF189" s="3" t="n">
        <v>61.81530729301988</v>
      </c>
      <c r="AG189" s="3" t="n">
        <v>60.05365992383955</v>
      </c>
      <c r="AH189" s="3" t="n">
        <v>64.50792519339267</v>
      </c>
      <c r="AI189" s="3" t="n">
        <v>76.36041667391797</v>
      </c>
      <c r="AJ189" s="3" t="n">
        <v>66.31622450037435</v>
      </c>
      <c r="AK189" s="3" t="n">
        <v>68.50123514499005</v>
      </c>
      <c r="AL189" s="3" t="n">
        <v>65.28391987319806</v>
      </c>
      <c r="AM189" s="3" t="n">
        <v>64.75688582544269</v>
      </c>
      <c r="AN189" s="3" t="n">
        <v>62.07950980865537</v>
      </c>
      <c r="AO189" s="3" t="n">
        <v>59.97206108157296</v>
      </c>
      <c r="AP189" s="3" t="n">
        <v>59.56476747769666</v>
      </c>
      <c r="AQ189" s="3" t="n">
        <v>58.4625394649676</v>
      </c>
      <c r="AR189" s="3" t="n">
        <v>63.18189013638338</v>
      </c>
      <c r="AS189" s="3" t="n">
        <v>63.52686055447388</v>
      </c>
      <c r="AT189" s="3" t="n">
        <v>60.99485334784338</v>
      </c>
      <c r="AU189" s="3" t="n">
        <v>62.72379535283493</v>
      </c>
      <c r="AV189" s="3" t="n">
        <v>65.38792085496125</v>
      </c>
      <c r="AW189" s="3" t="n">
        <v>63.08527574143304</v>
      </c>
      <c r="AX189" s="3" t="n">
        <v>65.19320893573232</v>
      </c>
      <c r="AY189" s="3" t="n">
        <v>63.22867376483474</v>
      </c>
      <c r="AZ189" s="3" t="n">
        <v>61.44458185740083</v>
      </c>
      <c r="BA189" s="3" t="n">
        <v>58.14288686408774</v>
      </c>
      <c r="BB189" s="3" t="n">
        <v>56.11926584855365</v>
      </c>
      <c r="BC189" s="3" t="n">
        <v>55.97228293321167</v>
      </c>
      <c r="BD189" s="3" t="n">
        <v>57.36424939000936</v>
      </c>
      <c r="BE189" s="3" t="n">
        <v>55.52550151732716</v>
      </c>
      <c r="BF189" s="3" t="n">
        <v>53.13148502214956</v>
      </c>
      <c r="BG189" s="3" t="n">
        <v>52.5902469084362</v>
      </c>
      <c r="BH189" s="3" t="n">
        <v>54.02552813022071</v>
      </c>
      <c r="BI189" s="3" t="n">
        <v>51.52555470514939</v>
      </c>
      <c r="BJ189" s="3" t="n">
        <v>51.99170403935918</v>
      </c>
      <c r="BK189" s="3" t="n">
        <v>50.66990050271129</v>
      </c>
      <c r="BL189" s="3" t="n">
        <v>49.19933315980562</v>
      </c>
      <c r="BM189" s="3" t="n">
        <v>50.63055733720711</v>
      </c>
      <c r="BN189" s="3" t="n">
        <v>55.57936495322375</v>
      </c>
      <c r="BO189" s="3" t="n">
        <v>50.51387158233681</v>
      </c>
      <c r="BP189" s="3" t="n">
        <v>46.07900783450904</v>
      </c>
      <c r="BQ189" s="3" t="n"/>
      <c r="BR189" s="34" t="str">
        <f>B189&amp;"|"&amp;D189</f>
        <v>PAN|NE.CON.PRVT.ZS</v>
      </c>
    </row>
    <row r="190">
      <c r="A190" s="3" t="inlineStr">
        <is>
          <t>Peru</t>
        </is>
      </c>
      <c r="B190" s="3" t="inlineStr">
        <is>
          <t>PER</t>
        </is>
      </c>
      <c r="C190" s="3" t="inlineStr">
        <is>
          <t>Households and NPISHs final consumption expenditure (% of GDP)</t>
        </is>
      </c>
      <c r="D190" s="3" t="inlineStr">
        <is>
          <t>NE.CON.PRVT.ZS</t>
        </is>
      </c>
      <c r="E190" s="3" t="n">
        <v>2023</v>
      </c>
      <c r="F190" s="3" t="n">
        <v>52.38946692309084</v>
      </c>
      <c r="G190" s="3" t="n">
        <v>52.94058539542448</v>
      </c>
      <c r="H190" s="3" t="n">
        <v>53.85915302665087</v>
      </c>
      <c r="I190" s="3" t="n">
        <v>56.69130166285593</v>
      </c>
      <c r="J190" s="3" t="n">
        <v>54.50553509566481</v>
      </c>
      <c r="K190" s="3" t="n">
        <v>57.12351364050406</v>
      </c>
      <c r="L190" s="3" t="n">
        <v>55.84557034709943</v>
      </c>
      <c r="M190" s="3" t="n">
        <v>57.907288722688</v>
      </c>
      <c r="N190" s="3" t="n">
        <v>62.97682118170124</v>
      </c>
      <c r="O190" s="3" t="n">
        <v>62.81963181264241</v>
      </c>
      <c r="P190" s="3" t="n">
        <v>68.52624433255757</v>
      </c>
      <c r="Q190" s="3" t="n">
        <v>68.76411799835429</v>
      </c>
      <c r="R190" s="3" t="n">
        <v>70.38208043664677</v>
      </c>
      <c r="S190" s="3" t="n">
        <v>67.00627004493155</v>
      </c>
      <c r="T190" s="3" t="n">
        <v>68.24262698103995</v>
      </c>
      <c r="U190" s="3" t="n">
        <v>72.11146594104149</v>
      </c>
      <c r="V190" s="3" t="n">
        <v>72.09955158234675</v>
      </c>
      <c r="W190" s="3" t="n">
        <v>71.58898772038353</v>
      </c>
      <c r="X190" s="3" t="n">
        <v>66.96566910581899</v>
      </c>
      <c r="Y190" s="3" t="n">
        <v>59.43095883789835</v>
      </c>
      <c r="Z190" s="3" t="n">
        <v>53.44611961062525</v>
      </c>
      <c r="AA190" s="3" t="n">
        <v>57.97145317290104</v>
      </c>
      <c r="AB190" s="3" t="n">
        <v>55.90949047170602</v>
      </c>
      <c r="AC190" s="3" t="n">
        <v>59.82494869204871</v>
      </c>
      <c r="AD190" s="3" t="n">
        <v>60.47393728693091</v>
      </c>
      <c r="AE190" s="3" t="n">
        <v>59.15827139501496</v>
      </c>
      <c r="AF190" s="3" t="n">
        <v>66.51695777634153</v>
      </c>
      <c r="AG190" s="3" t="n">
        <v>66.93298686427327</v>
      </c>
      <c r="AH190" s="3" t="n">
        <v>68.28291101471521</v>
      </c>
      <c r="AI190" s="3" t="n">
        <v>68.11936196646265</v>
      </c>
      <c r="AJ190" s="3" t="n">
        <v>74.63713998468208</v>
      </c>
      <c r="AK190" s="3" t="n">
        <v>77.2442158384942</v>
      </c>
      <c r="AL190" s="3" t="n">
        <v>77.30599151240426</v>
      </c>
      <c r="AM190" s="3" t="n">
        <v>76.80819357121062</v>
      </c>
      <c r="AN190" s="3" t="n">
        <v>72.33589304009982</v>
      </c>
      <c r="AO190" s="3" t="n">
        <v>71.10998395183888</v>
      </c>
      <c r="AP190" s="3" t="n">
        <v>72.07498193295282</v>
      </c>
      <c r="AQ190" s="3" t="n">
        <v>70.4870727219909</v>
      </c>
      <c r="AR190" s="3" t="n">
        <v>71.36100279236834</v>
      </c>
      <c r="AS190" s="3" t="n">
        <v>70.20175557374057</v>
      </c>
      <c r="AT190" s="3" t="n">
        <v>70.92267310503699</v>
      </c>
      <c r="AU190" s="3" t="n">
        <v>71.98496660767995</v>
      </c>
      <c r="AV190" s="3" t="n">
        <v>71.56639386375078</v>
      </c>
      <c r="AW190" s="3" t="n">
        <v>70.56627042581619</v>
      </c>
      <c r="AX190" s="3" t="n">
        <v>67.9996490227477</v>
      </c>
      <c r="AY190" s="3" t="n">
        <v>64.93146532987171</v>
      </c>
      <c r="AZ190" s="3" t="n">
        <v>60.14448567028742</v>
      </c>
      <c r="BA190" s="3" t="n">
        <v>60.15646260631294</v>
      </c>
      <c r="BB190" s="3" t="n">
        <v>62.42929924387401</v>
      </c>
      <c r="BC190" s="3" t="n">
        <v>63.78279016219572</v>
      </c>
      <c r="BD190" s="3" t="n">
        <v>61.73413566739606</v>
      </c>
      <c r="BE190" s="3" t="n">
        <v>60.4195337058106</v>
      </c>
      <c r="BF190" s="3" t="n">
        <v>62.24339786393666</v>
      </c>
      <c r="BG190" s="3" t="n">
        <v>63.09543082957414</v>
      </c>
      <c r="BH190" s="3" t="n">
        <v>64.57096945658294</v>
      </c>
      <c r="BI190" s="3" t="n">
        <v>65.31743037907665</v>
      </c>
      <c r="BJ190" s="3" t="n">
        <v>65.00321152195261</v>
      </c>
      <c r="BK190" s="3" t="n">
        <v>64.14971751001833</v>
      </c>
      <c r="BL190" s="3" t="n">
        <v>63.85848318999218</v>
      </c>
      <c r="BM190" s="3" t="n">
        <v>64.78731836888963</v>
      </c>
      <c r="BN190" s="3" t="n">
        <v>64.21371898595712</v>
      </c>
      <c r="BO190" s="3" t="n">
        <v>60.90177371980236</v>
      </c>
      <c r="BP190" s="3" t="n">
        <v>63.87035624634386</v>
      </c>
      <c r="BQ190" s="3" t="n">
        <v>64.25009482362806</v>
      </c>
      <c r="BR190" s="34" t="str">
        <f>B190&amp;"|"&amp;D190</f>
        <v>PER|NE.CON.PRVT.ZS</v>
      </c>
    </row>
    <row r="191">
      <c r="A191" s="3" t="inlineStr">
        <is>
          <t>Philippines</t>
        </is>
      </c>
      <c r="B191" s="3" t="inlineStr">
        <is>
          <t>PHL</t>
        </is>
      </c>
      <c r="C191" s="3" t="inlineStr">
        <is>
          <t>Households and NPISHs final consumption expenditure (% of GDP)</t>
        </is>
      </c>
      <c r="D191" s="3" t="inlineStr">
        <is>
          <t>NE.CON.PRVT.ZS</t>
        </is>
      </c>
      <c r="E191" s="3" t="n">
        <v>2023</v>
      </c>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v>61.16390972855346</v>
      </c>
      <c r="AB191" s="3" t="n">
        <v>61.98727913266296</v>
      </c>
      <c r="AC191" s="3" t="n">
        <v>60.57583739677541</v>
      </c>
      <c r="AD191" s="3" t="n">
        <v>66.43207648811206</v>
      </c>
      <c r="AE191" s="3" t="n">
        <v>71.70431490336459</v>
      </c>
      <c r="AF191" s="3" t="n">
        <v>71.17400561825148</v>
      </c>
      <c r="AG191" s="3" t="n">
        <v>68.36572529320938</v>
      </c>
      <c r="AH191" s="3" t="n">
        <v>67.63949554102801</v>
      </c>
      <c r="AI191" s="3" t="n">
        <v>67.34275931420861</v>
      </c>
      <c r="AJ191" s="3" t="n">
        <v>67.88665389676549</v>
      </c>
      <c r="AK191" s="3" t="n">
        <v>70.66647660496021</v>
      </c>
      <c r="AL191" s="3" t="n">
        <v>72.36131517592838</v>
      </c>
      <c r="AM191" s="3" t="n">
        <v>72.63818991643252</v>
      </c>
      <c r="AN191" s="3" t="n">
        <v>71.085294454074</v>
      </c>
      <c r="AO191" s="3" t="n">
        <v>70.96865249853052</v>
      </c>
      <c r="AP191" s="3" t="n">
        <v>70.27429512588769</v>
      </c>
      <c r="AQ191" s="3" t="n">
        <v>69.59700286421473</v>
      </c>
      <c r="AR191" s="3" t="n">
        <v>72.05297404824925</v>
      </c>
      <c r="AS191" s="3" t="n">
        <v>72.32126900412948</v>
      </c>
      <c r="AT191" s="3" t="n">
        <v>71.71788084519176</v>
      </c>
      <c r="AU191" s="3" t="n">
        <v>72.90246350313856</v>
      </c>
      <c r="AV191" s="3" t="n">
        <v>73.10427177661349</v>
      </c>
      <c r="AW191" s="3" t="n">
        <v>73.50465870778727</v>
      </c>
      <c r="AX191" s="3" t="n">
        <v>73.59967103428954</v>
      </c>
      <c r="AY191" s="3" t="n">
        <v>73.95388051559671</v>
      </c>
      <c r="AZ191" s="3" t="n">
        <v>73.27738632776861</v>
      </c>
      <c r="BA191" s="3" t="n">
        <v>72.25637785976521</v>
      </c>
      <c r="BB191" s="3" t="n">
        <v>73.18582451875449</v>
      </c>
      <c r="BC191" s="3" t="n">
        <v>73.18921981194495</v>
      </c>
      <c r="BD191" s="3" t="n">
        <v>70.19245275809772</v>
      </c>
      <c r="BE191" s="3" t="n">
        <v>72.13141019527698</v>
      </c>
      <c r="BF191" s="3" t="n">
        <v>72.55498271762852</v>
      </c>
      <c r="BG191" s="3" t="n">
        <v>72.01076248969115</v>
      </c>
      <c r="BH191" s="3" t="n">
        <v>71.27402058381821</v>
      </c>
      <c r="BI191" s="3" t="n">
        <v>72.47288809442881</v>
      </c>
      <c r="BJ191" s="3" t="n">
        <v>72.55358837448075</v>
      </c>
      <c r="BK191" s="3" t="n">
        <v>72.18164786519468</v>
      </c>
      <c r="BL191" s="3" t="n">
        <v>72.54282185862573</v>
      </c>
      <c r="BM191" s="3" t="n">
        <v>73.20643933756951</v>
      </c>
      <c r="BN191" s="3" t="n">
        <v>75.06904806674282</v>
      </c>
      <c r="BO191" s="3" t="n">
        <v>75.26060812441546</v>
      </c>
      <c r="BP191" s="3" t="n">
        <v>75.92534462206716</v>
      </c>
      <c r="BQ191" s="3" t="n">
        <v>76.51888043693428</v>
      </c>
      <c r="BR191" s="34" t="str">
        <f>B191&amp;"|"&amp;D191</f>
        <v>PHL|NE.CON.PRVT.ZS</v>
      </c>
    </row>
    <row r="192">
      <c r="A192" s="3" t="inlineStr">
        <is>
          <t>Palau</t>
        </is>
      </c>
      <c r="B192" s="3" t="inlineStr">
        <is>
          <t>PLW</t>
        </is>
      </c>
      <c r="C192" s="3" t="inlineStr">
        <is>
          <t>Households and NPISHs final consumption expenditure (% of GDP)</t>
        </is>
      </c>
      <c r="D192" s="3" t="inlineStr">
        <is>
          <t>NE.CON.PRVT.ZS</t>
        </is>
      </c>
      <c r="E192" s="3" t="n">
        <v>2022</v>
      </c>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3" t="n"/>
      <c r="AL192" s="3" t="n"/>
      <c r="AM192" s="3" t="n"/>
      <c r="AN192" s="3" t="n"/>
      <c r="AO192" s="3" t="n"/>
      <c r="AP192" s="3" t="n"/>
      <c r="AQ192" s="3" t="n"/>
      <c r="AR192" s="3" t="n"/>
      <c r="AS192" s="3" t="n"/>
      <c r="AT192" s="3" t="n"/>
      <c r="AU192" s="3" t="n"/>
      <c r="AV192" s="3" t="n"/>
      <c r="AW192" s="3" t="n"/>
      <c r="AX192" s="3" t="n"/>
      <c r="AY192" s="3" t="n">
        <v>93.2746279356146</v>
      </c>
      <c r="AZ192" s="3" t="n">
        <v>93.49492100641064</v>
      </c>
      <c r="BA192" s="3" t="n">
        <v>92.46071906139117</v>
      </c>
      <c r="BB192" s="3" t="n">
        <v>91.95616147261538</v>
      </c>
      <c r="BC192" s="3" t="n">
        <v>91.47412271673885</v>
      </c>
      <c r="BD192" s="3" t="n">
        <v>89.06003807393803</v>
      </c>
      <c r="BE192" s="3" t="n">
        <v>85.31772640349207</v>
      </c>
      <c r="BF192" s="3" t="n">
        <v>83.60114314828841</v>
      </c>
      <c r="BG192" s="3" t="n">
        <v>83.28902020841457</v>
      </c>
      <c r="BH192" s="3" t="n">
        <v>78.53215245443718</v>
      </c>
      <c r="BI192" s="3" t="n">
        <v>69.34549863661356</v>
      </c>
      <c r="BJ192" s="3" t="n">
        <v>68.78842093327343</v>
      </c>
      <c r="BK192" s="3" t="n">
        <v>71.88522959786566</v>
      </c>
      <c r="BL192" s="3" t="n">
        <v>72.95548655546196</v>
      </c>
      <c r="BM192" s="3" t="n">
        <v>74.04728909038396</v>
      </c>
      <c r="BN192" s="3" t="n">
        <v>80.76775424797262</v>
      </c>
      <c r="BO192" s="3" t="n">
        <v>86.99053158971358</v>
      </c>
      <c r="BP192" s="3" t="n">
        <v>82.02680469741597</v>
      </c>
      <c r="BQ192" s="3" t="n"/>
      <c r="BR192" s="34" t="str">
        <f>B192&amp;"|"&amp;D192</f>
        <v>PLW|NE.CON.PRVT.ZS</v>
      </c>
    </row>
    <row r="193">
      <c r="A193" s="3" t="inlineStr">
        <is>
          <t>Papua New Guinea</t>
        </is>
      </c>
      <c r="B193" s="3" t="inlineStr">
        <is>
          <t>PNG</t>
        </is>
      </c>
      <c r="C193" s="3" t="inlineStr">
        <is>
          <t>Households and NPISHs final consumption expenditure (% of GDP)</t>
        </is>
      </c>
      <c r="D193" s="3" t="inlineStr">
        <is>
          <t>NE.CON.PRVT.ZS</t>
        </is>
      </c>
      <c r="E193" s="3" t="n">
        <v>2004</v>
      </c>
      <c r="F193" s="3" t="n"/>
      <c r="G193" s="3" t="n">
        <v>70.49405306495883</v>
      </c>
      <c r="H193" s="3" t="n">
        <v>69.38250428816467</v>
      </c>
      <c r="I193" s="3" t="n">
        <v>66.47727272727273</v>
      </c>
      <c r="J193" s="3" t="n">
        <v>64.34336023477623</v>
      </c>
      <c r="K193" s="3" t="n">
        <v>64.10673608851285</v>
      </c>
      <c r="L193" s="3" t="n">
        <v>65.13892867373245</v>
      </c>
      <c r="M193" s="3" t="n">
        <v>65.56796004869167</v>
      </c>
      <c r="N193" s="3" t="n">
        <v>66.20499395083243</v>
      </c>
      <c r="O193" s="3" t="n">
        <v>66.00973832171407</v>
      </c>
      <c r="P193" s="3" t="n">
        <v>63.63636994511278</v>
      </c>
      <c r="Q193" s="3" t="n">
        <v>62.68939794488572</v>
      </c>
      <c r="R193" s="3" t="n">
        <v>58.24849738467329</v>
      </c>
      <c r="S193" s="3" t="n">
        <v>47.77521591778725</v>
      </c>
      <c r="T193" s="3" t="n">
        <v>47.29531448694121</v>
      </c>
      <c r="U193" s="3" t="n">
        <v>53.67170703464248</v>
      </c>
      <c r="V193" s="3" t="n">
        <v>52.15251561425961</v>
      </c>
      <c r="W193" s="3" t="n">
        <v>53.37697343088179</v>
      </c>
      <c r="X193" s="3" t="n">
        <v>55.89109276558766</v>
      </c>
      <c r="Y193" s="3" t="n">
        <v>54.55103181728336</v>
      </c>
      <c r="Z193" s="3" t="n">
        <v>61.5479187401206</v>
      </c>
      <c r="AA193" s="3" t="n">
        <v>65.67927075898167</v>
      </c>
      <c r="AB193" s="3" t="n">
        <v>63.91493254058999</v>
      </c>
      <c r="AC193" s="3" t="n">
        <v>64.52275379229872</v>
      </c>
      <c r="AD193" s="3" t="n">
        <v>63.45642135168412</v>
      </c>
      <c r="AE193" s="3" t="n">
        <v>67.01455934101071</v>
      </c>
      <c r="AF193" s="3" t="n">
        <v>65.05850795008359</v>
      </c>
      <c r="AG193" s="3" t="n">
        <v>63.58827606026964</v>
      </c>
      <c r="AH193" s="3" t="n">
        <v>60.55329484874294</v>
      </c>
      <c r="AI193" s="3" t="n">
        <v>64.41540532554093</v>
      </c>
      <c r="AJ193" s="3" t="n">
        <v>59.04362525193421</v>
      </c>
      <c r="AK193" s="3" t="n">
        <v>58.83348125138674</v>
      </c>
      <c r="AL193" s="3" t="n">
        <v>50.76249112005683</v>
      </c>
      <c r="AM193" s="3" t="n">
        <v>42.02913439214316</v>
      </c>
      <c r="AN193" s="3" t="n">
        <v>46.25807099072383</v>
      </c>
      <c r="AO193" s="3" t="n">
        <v>43.6421892908454</v>
      </c>
      <c r="AP193" s="3" t="n">
        <v>46.34175607458755</v>
      </c>
      <c r="AQ193" s="3" t="n">
        <v>60.56609130459348</v>
      </c>
      <c r="AR193" s="3" t="n">
        <v>58.81138064483059</v>
      </c>
      <c r="AS193" s="3" t="n">
        <v>56.45297116059898</v>
      </c>
      <c r="AT193" s="3" t="n">
        <v>44.60523326280326</v>
      </c>
      <c r="AU193" s="3" t="n">
        <v>47.73114569606495</v>
      </c>
      <c r="AV193" s="3" t="n">
        <v>60.56838831452962</v>
      </c>
      <c r="AW193" s="3" t="n">
        <v>49.4338554374409</v>
      </c>
      <c r="AX193" s="3" t="n">
        <v>51.44474590018459</v>
      </c>
      <c r="AY193" s="3" t="n"/>
      <c r="AZ193" s="3" t="n"/>
      <c r="BA193" s="3" t="n"/>
      <c r="BB193" s="3" t="n"/>
      <c r="BC193" s="3" t="n"/>
      <c r="BD193" s="3" t="n"/>
      <c r="BE193" s="3" t="n"/>
      <c r="BF193" s="3" t="n"/>
      <c r="BG193" s="3" t="n"/>
      <c r="BH193" s="3" t="n"/>
      <c r="BI193" s="3" t="n"/>
      <c r="BJ193" s="3" t="n"/>
      <c r="BK193" s="3" t="n"/>
      <c r="BL193" s="3" t="n"/>
      <c r="BM193" s="3" t="n"/>
      <c r="BN193" s="3" t="n"/>
      <c r="BO193" s="3" t="n"/>
      <c r="BP193" s="3" t="n"/>
      <c r="BQ193" s="3" t="n"/>
      <c r="BR193" s="34" t="str">
        <f>B193&amp;"|"&amp;D193</f>
        <v>PNG|NE.CON.PRVT.ZS</v>
      </c>
    </row>
    <row r="194">
      <c r="A194" s="3" t="inlineStr">
        <is>
          <t>Poland</t>
        </is>
      </c>
      <c r="B194" s="3" t="inlineStr">
        <is>
          <t>POL</t>
        </is>
      </c>
      <c r="C194" s="3" t="inlineStr">
        <is>
          <t>Households and NPISHs final consumption expenditure (% of GDP)</t>
        </is>
      </c>
      <c r="D194" s="3" t="inlineStr">
        <is>
          <t>NE.CON.PRVT.ZS</t>
        </is>
      </c>
      <c r="E194" s="3" t="n">
        <v>2023</v>
      </c>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3" t="n"/>
      <c r="AL194" s="3" t="n"/>
      <c r="AM194" s="3" t="n"/>
      <c r="AN194" s="3" t="n"/>
      <c r="AO194" s="3" t="n">
        <v>59.2905581637976</v>
      </c>
      <c r="AP194" s="3" t="n">
        <v>61.23242347133692</v>
      </c>
      <c r="AQ194" s="3" t="n">
        <v>62.12383893819534</v>
      </c>
      <c r="AR194" s="3" t="n">
        <v>62.00183494398809</v>
      </c>
      <c r="AS194" s="3" t="n">
        <v>62.63413043155975</v>
      </c>
      <c r="AT194" s="3" t="n">
        <v>63.83698761361314</v>
      </c>
      <c r="AU194" s="3" t="n">
        <v>64.60933941357409</v>
      </c>
      <c r="AV194" s="3" t="n">
        <v>66.51498250461086</v>
      </c>
      <c r="AW194" s="3" t="n">
        <v>65.01950063270819</v>
      </c>
      <c r="AX194" s="3" t="n">
        <v>64.42533472083645</v>
      </c>
      <c r="AY194" s="3" t="n">
        <v>63.08562082925303</v>
      </c>
      <c r="AZ194" s="3" t="n">
        <v>62.11443281520734</v>
      </c>
      <c r="BA194" s="3" t="n">
        <v>60.40944566268185</v>
      </c>
      <c r="BB194" s="3" t="n">
        <v>61.95083740999136</v>
      </c>
      <c r="BC194" s="3" t="n">
        <v>61.67052349629197</v>
      </c>
      <c r="BD194" s="3" t="n">
        <v>62.13266051668749</v>
      </c>
      <c r="BE194" s="3" t="n">
        <v>61.47778025940356</v>
      </c>
      <c r="BF194" s="3" t="n">
        <v>61.61865001094411</v>
      </c>
      <c r="BG194" s="3" t="n">
        <v>61.09435712331439</v>
      </c>
      <c r="BH194" s="3" t="n">
        <v>60.27013581472369</v>
      </c>
      <c r="BI194" s="3" t="n">
        <v>58.91482264657034</v>
      </c>
      <c r="BJ194" s="3" t="n">
        <v>58.83002689934465</v>
      </c>
      <c r="BK194" s="3" t="n">
        <v>59.45468868677231</v>
      </c>
      <c r="BL194" s="3" t="n">
        <v>58.85367828729381</v>
      </c>
      <c r="BM194" s="3" t="n">
        <v>57.7795334220089</v>
      </c>
      <c r="BN194" s="3" t="n">
        <v>56.52953023349726</v>
      </c>
      <c r="BO194" s="3" t="n">
        <v>56.1877732012517</v>
      </c>
      <c r="BP194" s="3" t="n">
        <v>57.85446718776323</v>
      </c>
      <c r="BQ194" s="3" t="n">
        <v>57.22752487656654</v>
      </c>
      <c r="BR194" s="34" t="str">
        <f>B194&amp;"|"&amp;D194</f>
        <v>POL|NE.CON.PRVT.ZS</v>
      </c>
    </row>
    <row r="195">
      <c r="A195" s="3" t="inlineStr">
        <is>
          <t>Pre-demographic dividend</t>
        </is>
      </c>
      <c r="B195" s="3" t="inlineStr">
        <is>
          <t>PRE</t>
        </is>
      </c>
      <c r="C195" s="3" t="inlineStr">
        <is>
          <t>Households and NPISHs final consumption expenditure (% of GDP)</t>
        </is>
      </c>
      <c r="D195" s="3" t="inlineStr">
        <is>
          <t>NE.CON.PRVT.ZS</t>
        </is>
      </c>
      <c r="E195" s="3" t="inlineStr">
        <is>
          <t>0x2a</t>
        </is>
      </c>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3" t="n"/>
      <c r="AL195" s="3" t="n"/>
      <c r="AM195" s="3" t="n"/>
      <c r="AN195" s="3" t="n"/>
      <c r="AO195" s="3" t="n"/>
      <c r="AP195" s="3" t="n"/>
      <c r="AQ195" s="3" t="n"/>
      <c r="AR195" s="3" t="n"/>
      <c r="AS195" s="3" t="n"/>
      <c r="AT195" s="3" t="n"/>
      <c r="AU195" s="3" t="n"/>
      <c r="AV195" s="3" t="n"/>
      <c r="AW195" s="3" t="n"/>
      <c r="AX195" s="3" t="n"/>
      <c r="AY195" s="3" t="n"/>
      <c r="AZ195" s="3" t="n"/>
      <c r="BA195" s="3" t="n"/>
      <c r="BB195" s="3" t="n"/>
      <c r="BC195" s="3" t="n"/>
      <c r="BD195" s="3" t="n"/>
      <c r="BE195" s="3" t="n"/>
      <c r="BF195" s="3" t="n"/>
      <c r="BG195" s="3" t="n"/>
      <c r="BH195" s="3" t="n"/>
      <c r="BI195" s="3" t="n"/>
      <c r="BJ195" s="3" t="n"/>
      <c r="BK195" s="3" t="n"/>
      <c r="BL195" s="3" t="n"/>
      <c r="BM195" s="3" t="n"/>
      <c r="BN195" s="3" t="n"/>
      <c r="BO195" s="3" t="n"/>
      <c r="BP195" s="3" t="n"/>
      <c r="BQ195" s="3" t="n"/>
      <c r="BR195" s="34" t="str">
        <f>B195&amp;"|"&amp;D195</f>
        <v>PRE|NE.CON.PRVT.ZS</v>
      </c>
    </row>
    <row r="196">
      <c r="A196" s="3" t="inlineStr">
        <is>
          <t>Puerto Rico</t>
        </is>
      </c>
      <c r="B196" s="3" t="inlineStr">
        <is>
          <t>PRI</t>
        </is>
      </c>
      <c r="C196" s="3" t="inlineStr">
        <is>
          <t>Households and NPISHs final consumption expenditure (% of GDP)</t>
        </is>
      </c>
      <c r="D196" s="3" t="inlineStr">
        <is>
          <t>NE.CON.PRVT.ZS</t>
        </is>
      </c>
      <c r="E196" s="3" t="n">
        <v>2023</v>
      </c>
      <c r="F196" s="3" t="n">
        <v>82.62899698563744</v>
      </c>
      <c r="G196" s="3" t="n"/>
      <c r="H196" s="3" t="n"/>
      <c r="I196" s="3" t="n">
        <v>76.70551936921495</v>
      </c>
      <c r="J196" s="3" t="n">
        <v>78.66173896129158</v>
      </c>
      <c r="K196" s="3" t="n">
        <v>77.04320666319624</v>
      </c>
      <c r="L196" s="3" t="n">
        <v>78.12647847342691</v>
      </c>
      <c r="M196" s="3" t="n">
        <v>73.79624649701361</v>
      </c>
      <c r="N196" s="3" t="n">
        <v>72.70974452647336</v>
      </c>
      <c r="O196" s="3" t="n">
        <v>71.49102158853992</v>
      </c>
      <c r="P196" s="3" t="n">
        <v>70.59010467356546</v>
      </c>
      <c r="Q196" s="3" t="n">
        <v>75.65169653609122</v>
      </c>
      <c r="R196" s="3" t="n">
        <v>74.84396972617674</v>
      </c>
      <c r="S196" s="3" t="n">
        <v>74.73866103050383</v>
      </c>
      <c r="T196" s="3" t="n">
        <v>75.17567145534041</v>
      </c>
      <c r="U196" s="3" t="n">
        <v>78.95295366112488</v>
      </c>
      <c r="V196" s="3" t="n">
        <v>83.51359186495105</v>
      </c>
      <c r="W196" s="3" t="n">
        <v>83.12968549778526</v>
      </c>
      <c r="X196" s="3" t="n">
        <v>79.5987460815047</v>
      </c>
      <c r="Y196" s="3" t="n">
        <v>75.82117647058824</v>
      </c>
      <c r="Z196" s="3" t="n">
        <v>74.50696517757565</v>
      </c>
      <c r="AA196" s="3" t="n">
        <v>74.57021628634281</v>
      </c>
      <c r="AB196" s="3" t="n">
        <v>74.81120482933871</v>
      </c>
      <c r="AC196" s="3" t="n">
        <v>76.97810911869234</v>
      </c>
      <c r="AD196" s="3" t="n">
        <v>73.38931042760377</v>
      </c>
      <c r="AE196" s="3" t="n">
        <v>74.2138674762928</v>
      </c>
      <c r="AF196" s="3" t="n">
        <v>71.72558872840118</v>
      </c>
      <c r="AG196" s="3" t="n">
        <v>70.51794321104813</v>
      </c>
      <c r="AH196" s="3" t="n">
        <v>69.34942279559459</v>
      </c>
      <c r="AI196" s="3" t="n">
        <v>67.8738832152039</v>
      </c>
      <c r="AJ196" s="3" t="n">
        <v>64.78647391531784</v>
      </c>
      <c r="AK196" s="3" t="n">
        <v>63.3712650754416</v>
      </c>
      <c r="AL196" s="3" t="n">
        <v>62.14447813671386</v>
      </c>
      <c r="AM196" s="3" t="n">
        <v>61.80114345589578</v>
      </c>
      <c r="AN196" s="3" t="n">
        <v>61.55004342334702</v>
      </c>
      <c r="AO196" s="3" t="n">
        <v>60.78528102966162</v>
      </c>
      <c r="AP196" s="3" t="n">
        <v>61.38175443835563</v>
      </c>
      <c r="AQ196" s="3" t="n">
        <v>62.27981760821618</v>
      </c>
      <c r="AR196" s="3" t="n">
        <v>59.12817270145545</v>
      </c>
      <c r="AS196" s="3" t="n">
        <v>58.79566397538078</v>
      </c>
      <c r="AT196" s="3" t="n">
        <v>58.56004200849895</v>
      </c>
      <c r="AU196" s="3" t="n">
        <v>54.31462799313378</v>
      </c>
      <c r="AV196" s="3" t="n">
        <v>54.23485308592851</v>
      </c>
      <c r="AW196" s="3" t="n">
        <v>54.75721460320685</v>
      </c>
      <c r="AX196" s="3" t="n">
        <v>55.09743600137611</v>
      </c>
      <c r="AY196" s="3" t="n">
        <v>56.08701005602948</v>
      </c>
      <c r="AZ196" s="3" t="n">
        <v>57.45993690804313</v>
      </c>
      <c r="BA196" s="3" t="n">
        <v>58.18160318239826</v>
      </c>
      <c r="BB196" s="3" t="n">
        <v>58.25951283275291</v>
      </c>
      <c r="BC196" s="3" t="n">
        <v>57.18914443651334</v>
      </c>
      <c r="BD196" s="3" t="n">
        <v>57.71808260309632</v>
      </c>
      <c r="BE196" s="3" t="n">
        <v>57.95098638089839</v>
      </c>
      <c r="BF196" s="3" t="n">
        <v>59.95876524150099</v>
      </c>
      <c r="BG196" s="3" t="n">
        <v>60.98350414836505</v>
      </c>
      <c r="BH196" s="3" t="n">
        <v>60.42160830409836</v>
      </c>
      <c r="BI196" s="3" t="n">
        <v>59.62776479920291</v>
      </c>
      <c r="BJ196" s="3" t="n">
        <v>58.44482334595593</v>
      </c>
      <c r="BK196" s="3" t="n">
        <v>60.37362669231624</v>
      </c>
      <c r="BL196" s="3" t="n">
        <v>64.53875419604766</v>
      </c>
      <c r="BM196" s="3" t="n">
        <v>65.40583526117132</v>
      </c>
      <c r="BN196" s="3" t="n">
        <v>63.48204078506055</v>
      </c>
      <c r="BO196" s="3" t="n">
        <v>75.03058445914837</v>
      </c>
      <c r="BP196" s="3" t="n">
        <v>78.05052867377201</v>
      </c>
      <c r="BQ196" s="3" t="n">
        <v>79.95229948864441</v>
      </c>
      <c r="BR196" s="34" t="str">
        <f>B196&amp;"|"&amp;D196</f>
        <v>PRI|NE.CON.PRVT.ZS</v>
      </c>
    </row>
    <row r="197">
      <c r="A197" s="3" t="inlineStr">
        <is>
          <t>Korea, Dem. People's Rep.</t>
        </is>
      </c>
      <c r="B197" s="3" t="inlineStr">
        <is>
          <t>PRK</t>
        </is>
      </c>
      <c r="C197" s="3" t="inlineStr">
        <is>
          <t>Households and NPISHs final consumption expenditure (% of GDP)</t>
        </is>
      </c>
      <c r="D197" s="3" t="inlineStr">
        <is>
          <t>NE.CON.PRVT.ZS</t>
        </is>
      </c>
      <c r="E197" s="3" t="inlineStr">
        <is>
          <t>0x2a</t>
        </is>
      </c>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3" t="n"/>
      <c r="AL197" s="3" t="n"/>
      <c r="AM197" s="3" t="n"/>
      <c r="AN197" s="3" t="n"/>
      <c r="AO197" s="3" t="n"/>
      <c r="AP197" s="3" t="n"/>
      <c r="AQ197" s="3" t="n"/>
      <c r="AR197" s="3" t="n"/>
      <c r="AS197" s="3" t="n"/>
      <c r="AT197" s="3" t="n"/>
      <c r="AU197" s="3" t="n"/>
      <c r="AV197" s="3" t="n"/>
      <c r="AW197" s="3" t="n"/>
      <c r="AX197" s="3" t="n"/>
      <c r="AY197" s="3" t="n"/>
      <c r="AZ197" s="3" t="n"/>
      <c r="BA197" s="3" t="n"/>
      <c r="BB197" s="3" t="n"/>
      <c r="BC197" s="3" t="n"/>
      <c r="BD197" s="3" t="n"/>
      <c r="BE197" s="3" t="n"/>
      <c r="BF197" s="3" t="n"/>
      <c r="BG197" s="3" t="n"/>
      <c r="BH197" s="3" t="n"/>
      <c r="BI197" s="3" t="n"/>
      <c r="BJ197" s="3" t="n"/>
      <c r="BK197" s="3" t="n"/>
      <c r="BL197" s="3" t="n"/>
      <c r="BM197" s="3" t="n"/>
      <c r="BN197" s="3" t="n"/>
      <c r="BO197" s="3" t="n"/>
      <c r="BP197" s="3" t="n"/>
      <c r="BQ197" s="3" t="n"/>
      <c r="BR197" s="34" t="str">
        <f>B197&amp;"|"&amp;D197</f>
        <v>PRK|NE.CON.PRVT.ZS</v>
      </c>
    </row>
    <row r="198">
      <c r="A198" s="3" t="inlineStr">
        <is>
          <t>Portugal</t>
        </is>
      </c>
      <c r="B198" s="3" t="inlineStr">
        <is>
          <t>PRT</t>
        </is>
      </c>
      <c r="C198" s="3" t="inlineStr">
        <is>
          <t>Households and NPISHs final consumption expenditure (% of GDP)</t>
        </is>
      </c>
      <c r="D198" s="3" t="inlineStr">
        <is>
          <t>NE.CON.PRVT.ZS</t>
        </is>
      </c>
      <c r="E198" s="3" t="n">
        <v>2023</v>
      </c>
      <c r="F198" s="3" t="n"/>
      <c r="G198" s="3" t="n"/>
      <c r="H198" s="3" t="n"/>
      <c r="I198" s="3" t="n"/>
      <c r="J198" s="3" t="n"/>
      <c r="K198" s="3" t="n"/>
      <c r="L198" s="3" t="n"/>
      <c r="M198" s="3" t="n"/>
      <c r="N198" s="3" t="n"/>
      <c r="O198" s="3" t="n"/>
      <c r="P198" s="3" t="n">
        <v>65.74165255465412</v>
      </c>
      <c r="Q198" s="3" t="n">
        <v>68.07462518058381</v>
      </c>
      <c r="R198" s="3" t="n">
        <v>63.98275376494651</v>
      </c>
      <c r="S198" s="3" t="n">
        <v>64.66886218719793</v>
      </c>
      <c r="T198" s="3" t="n">
        <v>72.46689681902994</v>
      </c>
      <c r="U198" s="3" t="n">
        <v>76.92117787272683</v>
      </c>
      <c r="V198" s="3" t="n">
        <v>74.80316783918549</v>
      </c>
      <c r="W198" s="3" t="n">
        <v>71.76689336530815</v>
      </c>
      <c r="X198" s="3" t="n">
        <v>67.83156598494509</v>
      </c>
      <c r="Y198" s="3" t="n">
        <v>67.36104611352765</v>
      </c>
      <c r="Z198" s="3" t="n">
        <v>67.43341853880708</v>
      </c>
      <c r="AA198" s="3" t="n">
        <v>69.6433868349512</v>
      </c>
      <c r="AB198" s="3" t="n">
        <v>69.4958484289412</v>
      </c>
      <c r="AC198" s="3" t="n">
        <v>69.41104183049461</v>
      </c>
      <c r="AD198" s="3" t="n">
        <v>70.67057250123968</v>
      </c>
      <c r="AE198" s="3" t="n">
        <v>67.89133776437929</v>
      </c>
      <c r="AF198" s="3" t="n">
        <v>65.05230311401387</v>
      </c>
      <c r="AG198" s="3" t="n">
        <v>64.28064186156465</v>
      </c>
      <c r="AH198" s="3" t="n">
        <v>64.09282956565147</v>
      </c>
      <c r="AI198" s="3" t="n">
        <v>63.26122595638635</v>
      </c>
      <c r="AJ198" s="3" t="n">
        <v>63.88249666904434</v>
      </c>
      <c r="AK198" s="3" t="n">
        <v>64.79385414438713</v>
      </c>
      <c r="AL198" s="3" t="n">
        <v>65.77225700047778</v>
      </c>
      <c r="AM198" s="3" t="n">
        <v>67.56570451327498</v>
      </c>
      <c r="AN198" s="3" t="n">
        <v>66.55829300395997</v>
      </c>
      <c r="AO198" s="3" t="n">
        <v>64.7197965929067</v>
      </c>
      <c r="AP198" s="3" t="n">
        <v>65.02601848017592</v>
      </c>
      <c r="AQ198" s="3" t="n">
        <v>63.87369081654272</v>
      </c>
      <c r="AR198" s="3" t="n">
        <v>63.01793027730339</v>
      </c>
      <c r="AS198" s="3" t="n">
        <v>63.29384710564645</v>
      </c>
      <c r="AT198" s="3" t="n">
        <v>63.40111737429539</v>
      </c>
      <c r="AU198" s="3" t="n">
        <v>62.81013982477439</v>
      </c>
      <c r="AV198" s="3" t="n">
        <v>62.70511110565666</v>
      </c>
      <c r="AW198" s="3" t="n">
        <v>63.18346230558129</v>
      </c>
      <c r="AX198" s="3" t="n">
        <v>63.62254686072604</v>
      </c>
      <c r="AY198" s="3" t="n">
        <v>64.43240791402712</v>
      </c>
      <c r="AZ198" s="3" t="n">
        <v>64.58580722516788</v>
      </c>
      <c r="BA198" s="3" t="n">
        <v>64.85099180406243</v>
      </c>
      <c r="BB198" s="3" t="n">
        <v>66.20503955212175</v>
      </c>
      <c r="BC198" s="3" t="n">
        <v>64.75682606641931</v>
      </c>
      <c r="BD198" s="3" t="n">
        <v>65.92552220933243</v>
      </c>
      <c r="BE198" s="3" t="n">
        <v>65.88673129071047</v>
      </c>
      <c r="BF198" s="3" t="n">
        <v>66.45736882116012</v>
      </c>
      <c r="BG198" s="3" t="n">
        <v>65.42120921623726</v>
      </c>
      <c r="BH198" s="3" t="n">
        <v>66.13528919183815</v>
      </c>
      <c r="BI198" s="3" t="n">
        <v>65.55465868807082</v>
      </c>
      <c r="BJ198" s="3" t="n">
        <v>65.43218063532704</v>
      </c>
      <c r="BK198" s="3" t="n">
        <v>64.57914404599076</v>
      </c>
      <c r="BL198" s="3" t="n">
        <v>64.26972342168149</v>
      </c>
      <c r="BM198" s="3" t="n">
        <v>64.05803308246098</v>
      </c>
      <c r="BN198" s="3" t="n">
        <v>64.05637536567072</v>
      </c>
      <c r="BO198" s="3" t="n">
        <v>63.50117021404667</v>
      </c>
      <c r="BP198" s="3" t="n">
        <v>64.19237560524783</v>
      </c>
      <c r="BQ198" s="3" t="n">
        <v>62.58191034131361</v>
      </c>
      <c r="BR198" s="34" t="str">
        <f>B198&amp;"|"&amp;D198</f>
        <v>PRT|NE.CON.PRVT.ZS</v>
      </c>
    </row>
    <row r="199">
      <c r="A199" s="3" t="inlineStr">
        <is>
          <t>Paraguay</t>
        </is>
      </c>
      <c r="B199" s="3" t="inlineStr">
        <is>
          <t>PRY</t>
        </is>
      </c>
      <c r="C199" s="3" t="inlineStr">
        <is>
          <t>Households and NPISHs final consumption expenditure (% of GDP)</t>
        </is>
      </c>
      <c r="D199" s="3" t="inlineStr">
        <is>
          <t>NE.CON.PRVT.ZS</t>
        </is>
      </c>
      <c r="E199" s="3" t="n">
        <v>2023</v>
      </c>
      <c r="F199" s="3" t="n"/>
      <c r="G199" s="3" t="n"/>
      <c r="H199" s="3" t="n">
        <v>82.46127442351681</v>
      </c>
      <c r="I199" s="3" t="n">
        <v>83.30232365831456</v>
      </c>
      <c r="J199" s="3" t="n">
        <v>83.41366710720656</v>
      </c>
      <c r="K199" s="3" t="n">
        <v>78.92363844557346</v>
      </c>
      <c r="L199" s="3" t="n">
        <v>79.26305747674682</v>
      </c>
      <c r="M199" s="3" t="n">
        <v>79.08887349581946</v>
      </c>
      <c r="N199" s="3" t="n">
        <v>80.23580277198553</v>
      </c>
      <c r="O199" s="3" t="n">
        <v>79.55573309745601</v>
      </c>
      <c r="P199" s="3" t="n">
        <v>77.46960131338324</v>
      </c>
      <c r="Q199" s="3" t="n">
        <v>79.51418744625948</v>
      </c>
      <c r="R199" s="3" t="n">
        <v>76.99769863466059</v>
      </c>
      <c r="S199" s="3" t="n">
        <v>73.77009973133923</v>
      </c>
      <c r="T199" s="3" t="n">
        <v>75.16620342237344</v>
      </c>
      <c r="U199" s="3" t="n">
        <v>74.25999926485608</v>
      </c>
      <c r="V199" s="3" t="n">
        <v>72.4869084267219</v>
      </c>
      <c r="W199" s="3" t="n">
        <v>72.09914571415538</v>
      </c>
      <c r="X199" s="3" t="n">
        <v>69.8330760025049</v>
      </c>
      <c r="Y199" s="3" t="n">
        <v>71.19420042089207</v>
      </c>
      <c r="Z199" s="3" t="n">
        <v>71.2444621283624</v>
      </c>
      <c r="AA199" s="3" t="n">
        <v>71.12767377509719</v>
      </c>
      <c r="AB199" s="3" t="n">
        <v>74.89674915879715</v>
      </c>
      <c r="AC199" s="3" t="n">
        <v>78.16519810666783</v>
      </c>
      <c r="AD199" s="3" t="n">
        <v>75.40039053906339</v>
      </c>
      <c r="AE199" s="3" t="n">
        <v>72.59330029567344</v>
      </c>
      <c r="AF199" s="3" t="n">
        <v>68.82484001280046</v>
      </c>
      <c r="AG199" s="3" t="n">
        <v>69.95697629684749</v>
      </c>
      <c r="AH199" s="3" t="n">
        <v>61.71020170558149</v>
      </c>
      <c r="AI199" s="3" t="n">
        <v>53.87890980275255</v>
      </c>
      <c r="AJ199" s="3" t="n">
        <v>62.88741946534403</v>
      </c>
      <c r="AK199" s="3" t="n">
        <v>61.70667594139513</v>
      </c>
      <c r="AL199" s="3" t="n">
        <v>63.30325945289089</v>
      </c>
      <c r="AM199" s="3" t="n">
        <v>65.42451570159457</v>
      </c>
      <c r="AN199" s="3" t="n">
        <v>68.14179214193477</v>
      </c>
      <c r="AO199" s="3" t="n">
        <v>63.62183136320926</v>
      </c>
      <c r="AP199" s="3" t="n">
        <v>65.79860901719569</v>
      </c>
      <c r="AQ199" s="3" t="n">
        <v>65.89257725312655</v>
      </c>
      <c r="AR199" s="3" t="n">
        <v>61.92374090343534</v>
      </c>
      <c r="AS199" s="3" t="n">
        <v>63.10815974712041</v>
      </c>
      <c r="AT199" s="3" t="n">
        <v>64.23856090813278</v>
      </c>
      <c r="AU199" s="3" t="n">
        <v>63.87159367129853</v>
      </c>
      <c r="AV199" s="3" t="n">
        <v>57.99484756770507</v>
      </c>
      <c r="AW199" s="3" t="n">
        <v>58.27464987695387</v>
      </c>
      <c r="AX199" s="3" t="n">
        <v>61.07336301907564</v>
      </c>
      <c r="AY199" s="3" t="n">
        <v>60.81267085011896</v>
      </c>
      <c r="AZ199" s="3" t="n">
        <v>61.89249198933594</v>
      </c>
      <c r="BA199" s="3" t="n">
        <v>63.25528720671121</v>
      </c>
      <c r="BB199" s="3" t="n">
        <v>66.22247544319201</v>
      </c>
      <c r="BC199" s="3" t="n">
        <v>66.59442226377249</v>
      </c>
      <c r="BD199" s="3" t="n">
        <v>64.08150641597243</v>
      </c>
      <c r="BE199" s="3" t="n">
        <v>63.29221051806508</v>
      </c>
      <c r="BF199" s="3" t="n">
        <v>65.78425928045533</v>
      </c>
      <c r="BG199" s="3" t="n">
        <v>62.62580657056469</v>
      </c>
      <c r="BH199" s="3" t="n">
        <v>63.94724899441222</v>
      </c>
      <c r="BI199" s="3" t="n">
        <v>63.76389066447798</v>
      </c>
      <c r="BJ199" s="3" t="n">
        <v>62.30368479421284</v>
      </c>
      <c r="BK199" s="3" t="n">
        <v>63.03384364259201</v>
      </c>
      <c r="BL199" s="3" t="n">
        <v>64.06045746091419</v>
      </c>
      <c r="BM199" s="3" t="n">
        <v>65.41599951963819</v>
      </c>
      <c r="BN199" s="3" t="n">
        <v>63.5330303169111</v>
      </c>
      <c r="BO199" s="3" t="n">
        <v>62.75632893892339</v>
      </c>
      <c r="BP199" s="3" t="n">
        <v>65.45357374762675</v>
      </c>
      <c r="BQ199" s="3" t="n">
        <v>66.26678935673213</v>
      </c>
      <c r="BR199" s="34" t="str">
        <f>B199&amp;"|"&amp;D199</f>
        <v>PRY|NE.CON.PRVT.ZS</v>
      </c>
    </row>
    <row r="200">
      <c r="A200" s="3" t="inlineStr">
        <is>
          <t>West Bank and Gaza</t>
        </is>
      </c>
      <c r="B200" s="3" t="inlineStr">
        <is>
          <t>PSE</t>
        </is>
      </c>
      <c r="C200" s="3" t="inlineStr">
        <is>
          <t>Households and NPISHs final consumption expenditure (% of GDP)</t>
        </is>
      </c>
      <c r="D200" s="3" t="inlineStr">
        <is>
          <t>NE.CON.PRVT.ZS</t>
        </is>
      </c>
      <c r="E200" s="3" t="n">
        <v>2023</v>
      </c>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3" t="n"/>
      <c r="AL200" s="3" t="n"/>
      <c r="AM200" s="3" t="n"/>
      <c r="AN200" s="3" t="n">
        <v>98.66352477754722</v>
      </c>
      <c r="AO200" s="3" t="n">
        <v>100.0852930425247</v>
      </c>
      <c r="AP200" s="3" t="n">
        <v>99.41635382449554</v>
      </c>
      <c r="AQ200" s="3" t="n">
        <v>98.47864248098304</v>
      </c>
      <c r="AR200" s="3" t="n">
        <v>95.83067014110821</v>
      </c>
      <c r="AS200" s="3" t="n">
        <v>94.39970031841169</v>
      </c>
      <c r="AT200" s="3" t="n">
        <v>89.64206231454006</v>
      </c>
      <c r="AU200" s="3" t="n">
        <v>94.04800559482479</v>
      </c>
      <c r="AV200" s="3" t="n">
        <v>95.5593677934642</v>
      </c>
      <c r="AW200" s="3" t="n">
        <v>99.09526209677419</v>
      </c>
      <c r="AX200" s="3" t="n">
        <v>100.2129000021724</v>
      </c>
      <c r="AY200" s="3" t="n">
        <v>102.9381352790838</v>
      </c>
      <c r="AZ200" s="3" t="n">
        <v>104.6725127610643</v>
      </c>
      <c r="BA200" s="3" t="n">
        <v>103.4716371202091</v>
      </c>
      <c r="BB200" s="3" t="n">
        <v>100.9069271175312</v>
      </c>
      <c r="BC200" s="3" t="n">
        <v>95.98674202604597</v>
      </c>
      <c r="BD200" s="3" t="n">
        <v>93.21592728399524</v>
      </c>
      <c r="BE200" s="3" t="n">
        <v>91.20605036607932</v>
      </c>
      <c r="BF200" s="3" t="n">
        <v>88.7790373840962</v>
      </c>
      <c r="BG200" s="3" t="n">
        <v>87.89759905293921</v>
      </c>
      <c r="BH200" s="3" t="n">
        <v>89.17989663824099</v>
      </c>
      <c r="BI200" s="3" t="n">
        <v>88.37637055910224</v>
      </c>
      <c r="BJ200" s="3" t="n">
        <v>87.85231152712684</v>
      </c>
      <c r="BK200" s="3" t="n">
        <v>88.67683531746032</v>
      </c>
      <c r="BL200" s="3" t="n">
        <v>88.88895715321382</v>
      </c>
      <c r="BM200" s="3" t="n">
        <v>90.04523302302508</v>
      </c>
      <c r="BN200" s="3" t="n">
        <v>88.71404933136746</v>
      </c>
      <c r="BO200" s="3" t="n">
        <v>88.5101330829974</v>
      </c>
      <c r="BP200" s="3" t="n">
        <v>99.84868644178341</v>
      </c>
      <c r="BQ200" s="3" t="n">
        <v>101.645752257664</v>
      </c>
      <c r="BR200" s="34" t="str">
        <f>B200&amp;"|"&amp;D200</f>
        <v>PSE|NE.CON.PRVT.ZS</v>
      </c>
    </row>
    <row r="201">
      <c r="A201" s="3" t="inlineStr">
        <is>
          <t>Pacific island small states</t>
        </is>
      </c>
      <c r="B201" s="3" t="inlineStr">
        <is>
          <t>PSS</t>
        </is>
      </c>
      <c r="C201" s="3" t="inlineStr">
        <is>
          <t>Households and NPISHs final consumption expenditure (% of GDP)</t>
        </is>
      </c>
      <c r="D201" s="3" t="inlineStr">
        <is>
          <t>NE.CON.PRVT.ZS</t>
        </is>
      </c>
      <c r="E201" s="3" t="n">
        <v>2022</v>
      </c>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v>73.56776845771257</v>
      </c>
      <c r="AD201" s="3" t="n">
        <v>72.11298296872181</v>
      </c>
      <c r="AE201" s="3" t="n">
        <v>72.65279220065887</v>
      </c>
      <c r="AF201" s="3" t="n">
        <v>74.19877074320537</v>
      </c>
      <c r="AG201" s="3" t="n">
        <v>72.87963810605676</v>
      </c>
      <c r="AH201" s="3" t="n">
        <v>73.27802197437701</v>
      </c>
      <c r="AI201" s="3" t="n">
        <v>74.72863585721215</v>
      </c>
      <c r="AJ201" s="3" t="n">
        <v>79.16807411008722</v>
      </c>
      <c r="AK201" s="3" t="n">
        <v>77.32686455608071</v>
      </c>
      <c r="AL201" s="3" t="n">
        <v>77.10721786498699</v>
      </c>
      <c r="AM201" s="3" t="n">
        <v>76.80540187430536</v>
      </c>
      <c r="AN201" s="3" t="n">
        <v>75.45177395669377</v>
      </c>
      <c r="AO201" s="3" t="n">
        <v>75.5193357134067</v>
      </c>
      <c r="AP201" s="3" t="n">
        <v>67.37826599343352</v>
      </c>
      <c r="AQ201" s="3" t="n">
        <v>65.54449081729588</v>
      </c>
      <c r="AR201" s="3" t="n">
        <v>58.46604592420227</v>
      </c>
      <c r="AS201" s="3" t="n">
        <v>64.53560186878981</v>
      </c>
      <c r="AT201" s="3" t="n">
        <v>69.99129350945167</v>
      </c>
      <c r="AU201" s="3" t="n">
        <v>71.58226463659116</v>
      </c>
      <c r="AV201" s="3" t="n">
        <v>67.63660846617789</v>
      </c>
      <c r="AW201" s="3" t="n">
        <v>71.14423926237194</v>
      </c>
      <c r="AX201" s="3" t="n">
        <v>78.89306510776682</v>
      </c>
      <c r="AY201" s="3" t="n">
        <v>78.95057240187194</v>
      </c>
      <c r="AZ201" s="3" t="n">
        <v>82.53145391691834</v>
      </c>
      <c r="BA201" s="3" t="n">
        <v>81.68909894665558</v>
      </c>
      <c r="BB201" s="3" t="n">
        <v>80.46880555310416</v>
      </c>
      <c r="BC201" s="3" t="n">
        <v>76.43598536620438</v>
      </c>
      <c r="BD201" s="3" t="n">
        <v>74.95744995649115</v>
      </c>
      <c r="BE201" s="3" t="n">
        <v>71.16597848956401</v>
      </c>
      <c r="BF201" s="3" t="n">
        <v>70.93691761201453</v>
      </c>
      <c r="BG201" s="3" t="n">
        <v>71.2313306518856</v>
      </c>
      <c r="BH201" s="3" t="n">
        <v>71.08359984998791</v>
      </c>
      <c r="BI201" s="3" t="n">
        <v>68.114398157533</v>
      </c>
      <c r="BJ201" s="3" t="n">
        <v>68.83438787879552</v>
      </c>
      <c r="BK201" s="3" t="n">
        <v>68.44199708612152</v>
      </c>
      <c r="BL201" s="3" t="n">
        <v>68.82259283083665</v>
      </c>
      <c r="BM201" s="3" t="n">
        <v>70.77871952506001</v>
      </c>
      <c r="BN201" s="3" t="n">
        <v>74.73938035571229</v>
      </c>
      <c r="BO201" s="3" t="n">
        <v>77.56008356940458</v>
      </c>
      <c r="BP201" s="3" t="n">
        <v>71.08577802312881</v>
      </c>
      <c r="BQ201" s="3" t="n"/>
      <c r="BR201" s="34" t="str">
        <f>B201&amp;"|"&amp;D201</f>
        <v>PSS|NE.CON.PRVT.ZS</v>
      </c>
    </row>
    <row r="202">
      <c r="A202" s="3" t="inlineStr">
        <is>
          <t>Post-demographic dividend</t>
        </is>
      </c>
      <c r="B202" s="3" t="inlineStr">
        <is>
          <t>PST</t>
        </is>
      </c>
      <c r="C202" s="3" t="inlineStr">
        <is>
          <t>Households and NPISHs final consumption expenditure (% of GDP)</t>
        </is>
      </c>
      <c r="D202" s="3" t="inlineStr">
        <is>
          <t>NE.CON.PRVT.ZS</t>
        </is>
      </c>
      <c r="E202" s="3" t="n">
        <v>2022</v>
      </c>
      <c r="F202" s="3" t="n"/>
      <c r="G202" s="3" t="n"/>
      <c r="H202" s="3" t="n"/>
      <c r="I202" s="3" t="n"/>
      <c r="J202" s="3" t="n"/>
      <c r="K202" s="3" t="n"/>
      <c r="L202" s="3" t="n"/>
      <c r="M202" s="3" t="n"/>
      <c r="N202" s="3" t="n"/>
      <c r="O202" s="3" t="n"/>
      <c r="P202" s="3" t="n">
        <v>57.5049075669091</v>
      </c>
      <c r="Q202" s="3" t="n">
        <v>57.49884703193317</v>
      </c>
      <c r="R202" s="3" t="n">
        <v>57.31512253468968</v>
      </c>
      <c r="S202" s="3" t="n">
        <v>56.56098806648987</v>
      </c>
      <c r="T202" s="3" t="n">
        <v>56.84716446308177</v>
      </c>
      <c r="U202" s="3" t="n">
        <v>58.11975466088884</v>
      </c>
      <c r="V202" s="3" t="n">
        <v>57.99022482005716</v>
      </c>
      <c r="W202" s="3" t="n">
        <v>57.94730810202354</v>
      </c>
      <c r="X202" s="3" t="n">
        <v>57.27094890970557</v>
      </c>
      <c r="Y202" s="3" t="n">
        <v>57.50610068276538</v>
      </c>
      <c r="Z202" s="3" t="n">
        <v>58.05991890242657</v>
      </c>
      <c r="AA202" s="3" t="n">
        <v>57.84163658496574</v>
      </c>
      <c r="AB202" s="3" t="n">
        <v>58.79317503050919</v>
      </c>
      <c r="AC202" s="3" t="n">
        <v>59.21687994386833</v>
      </c>
      <c r="AD202" s="3" t="n">
        <v>58.54585494041338</v>
      </c>
      <c r="AE202" s="3" t="n">
        <v>58.85186109891231</v>
      </c>
      <c r="AF202" s="3" t="n">
        <v>58.50353246593749</v>
      </c>
      <c r="AG202" s="3" t="n">
        <v>58.43581588045522</v>
      </c>
      <c r="AH202" s="3" t="n">
        <v>57.93916285371261</v>
      </c>
      <c r="AI202" s="3" t="n">
        <v>57.90358216403727</v>
      </c>
      <c r="AJ202" s="3" t="n">
        <v>57.95497928624522</v>
      </c>
      <c r="AK202" s="3" t="n">
        <v>57.98585948512707</v>
      </c>
      <c r="AL202" s="3" t="n">
        <v>58.40877205004232</v>
      </c>
      <c r="AM202" s="3" t="n">
        <v>58.78967242958883</v>
      </c>
      <c r="AN202" s="3" t="n">
        <v>58.78767335750539</v>
      </c>
      <c r="AO202" s="3" t="n">
        <v>58.26634368178225</v>
      </c>
      <c r="AP202" s="3" t="n">
        <v>58.59499068298827</v>
      </c>
      <c r="AQ202" s="3" t="n">
        <v>58.83983441873234</v>
      </c>
      <c r="AR202" s="3" t="n">
        <v>59.24390351095889</v>
      </c>
      <c r="AS202" s="3" t="n">
        <v>59.64992050325078</v>
      </c>
      <c r="AT202" s="3" t="n">
        <v>59.8893817780748</v>
      </c>
      <c r="AU202" s="3" t="n">
        <v>60.594771619389</v>
      </c>
      <c r="AV202" s="3" t="n">
        <v>60.76590088916332</v>
      </c>
      <c r="AW202" s="3" t="n">
        <v>60.57211847474905</v>
      </c>
      <c r="AX202" s="3" t="n">
        <v>60.10936303916252</v>
      </c>
      <c r="AY202" s="3" t="n">
        <v>60.10600556200506</v>
      </c>
      <c r="AZ202" s="3" t="n">
        <v>59.86157301548221</v>
      </c>
      <c r="BA202" s="3" t="n">
        <v>59.487300101641</v>
      </c>
      <c r="BB202" s="3" t="n">
        <v>59.6844139126606</v>
      </c>
      <c r="BC202" s="3" t="n">
        <v>60.66808232248181</v>
      </c>
      <c r="BD202" s="3" t="n">
        <v>60.29849999492317</v>
      </c>
      <c r="BE202" s="3" t="n">
        <v>60.18073578566025</v>
      </c>
      <c r="BF202" s="3" t="n">
        <v>60.30875746541309</v>
      </c>
      <c r="BG202" s="3" t="n">
        <v>60.21371222323708</v>
      </c>
      <c r="BH202" s="3" t="n">
        <v>60.05913590859968</v>
      </c>
      <c r="BI202" s="3" t="n">
        <v>60.2116912610816</v>
      </c>
      <c r="BJ202" s="3" t="n">
        <v>60.27271608330891</v>
      </c>
      <c r="BK202" s="3" t="n">
        <v>60.08204255290801</v>
      </c>
      <c r="BL202" s="3" t="n">
        <v>59.92121389087826</v>
      </c>
      <c r="BM202" s="3" t="n">
        <v>59.76204238542005</v>
      </c>
      <c r="BN202" s="3" t="n">
        <v>58.76447920943397</v>
      </c>
      <c r="BO202" s="3" t="n">
        <v>58.8259417813362</v>
      </c>
      <c r="BP202" s="3" t="n">
        <v>59.81464190591993</v>
      </c>
      <c r="BQ202" s="3" t="n"/>
      <c r="BR202" s="34" t="str">
        <f>B202&amp;"|"&amp;D202</f>
        <v>PST|NE.CON.PRVT.ZS</v>
      </c>
    </row>
    <row r="203">
      <c r="A203" s="3" t="inlineStr">
        <is>
          <t>French Polynesia</t>
        </is>
      </c>
      <c r="B203" s="3" t="inlineStr">
        <is>
          <t>PYF</t>
        </is>
      </c>
      <c r="C203" s="3" t="inlineStr">
        <is>
          <t>Households and NPISHs final consumption expenditure (% of GDP)</t>
        </is>
      </c>
      <c r="D203" s="3" t="inlineStr">
        <is>
          <t>NE.CON.PRVT.ZS</t>
        </is>
      </c>
      <c r="E203" s="3" t="n">
        <v>2022</v>
      </c>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3" t="n"/>
      <c r="AL203" s="3" t="n"/>
      <c r="AM203" s="3" t="n"/>
      <c r="AN203" s="3" t="n"/>
      <c r="AO203" s="3" t="n"/>
      <c r="AP203" s="3" t="n"/>
      <c r="AQ203" s="3" t="n"/>
      <c r="AR203" s="3" t="n"/>
      <c r="AS203" s="3" t="n"/>
      <c r="AT203" s="3" t="n"/>
      <c r="AU203" s="3" t="n"/>
      <c r="AV203" s="3" t="n"/>
      <c r="AW203" s="3" t="n"/>
      <c r="AX203" s="3" t="n"/>
      <c r="AY203" s="3" t="n">
        <v>61.32629901575595</v>
      </c>
      <c r="AZ203" s="3" t="n">
        <v>62.39082920577184</v>
      </c>
      <c r="BA203" s="3" t="n">
        <v>62.362680660553</v>
      </c>
      <c r="BB203" s="3" t="n">
        <v>63.58062961856423</v>
      </c>
      <c r="BC203" s="3" t="n">
        <v>64.20021762785638</v>
      </c>
      <c r="BD203" s="3" t="n">
        <v>66.69380171096797</v>
      </c>
      <c r="BE203" s="3" t="n">
        <v>67.71957334717153</v>
      </c>
      <c r="BF203" s="3" t="n">
        <v>68.06328072547777</v>
      </c>
      <c r="BG203" s="3" t="n">
        <v>67.39802310498358</v>
      </c>
      <c r="BH203" s="3" t="n">
        <v>66.47967151587318</v>
      </c>
      <c r="BI203" s="3" t="n">
        <v>65.34325398210932</v>
      </c>
      <c r="BJ203" s="3" t="n">
        <v>64.84801339142584</v>
      </c>
      <c r="BK203" s="3" t="n">
        <v>64.53411663515608</v>
      </c>
      <c r="BL203" s="3" t="n">
        <v>64.87158310400784</v>
      </c>
      <c r="BM203" s="3" t="n">
        <v>65.97316126298473</v>
      </c>
      <c r="BN203" s="3" t="n">
        <v>67.33262879178818</v>
      </c>
      <c r="BO203" s="3" t="n">
        <v>70.96142006646488</v>
      </c>
      <c r="BP203" s="3" t="n">
        <v>71.47457999590794</v>
      </c>
      <c r="BQ203" s="3" t="n"/>
      <c r="BR203" s="34" t="str">
        <f>B203&amp;"|"&amp;D203</f>
        <v>PYF|NE.CON.PRVT.ZS</v>
      </c>
    </row>
    <row r="204">
      <c r="A204" s="3" t="inlineStr">
        <is>
          <t>Qatar</t>
        </is>
      </c>
      <c r="B204" s="3" t="inlineStr">
        <is>
          <t>QAT</t>
        </is>
      </c>
      <c r="C204" s="3" t="inlineStr">
        <is>
          <t>Households and NPISHs final consumption expenditure (% of GDP)</t>
        </is>
      </c>
      <c r="D204" s="3" t="inlineStr">
        <is>
          <t>NE.CON.PRVT.ZS</t>
        </is>
      </c>
      <c r="E204" s="3" t="n">
        <v>2022</v>
      </c>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3" t="n"/>
      <c r="AL204" s="3" t="n"/>
      <c r="AM204" s="3" t="n"/>
      <c r="AN204" s="3" t="n">
        <v>29.91468859919715</v>
      </c>
      <c r="AO204" s="3" t="n">
        <v>32.05050208696917</v>
      </c>
      <c r="AP204" s="3" t="n">
        <v>27.28044630277918</v>
      </c>
      <c r="AQ204" s="3" t="n">
        <v>22.69963954892257</v>
      </c>
      <c r="AR204" s="3" t="n">
        <v>25.31208523726328</v>
      </c>
      <c r="AS204" s="3" t="n">
        <v>21.11458402606903</v>
      </c>
      <c r="AT204" s="3" t="n">
        <v>15.22600006187544</v>
      </c>
      <c r="AU204" s="3" t="n">
        <v>15.43703007518797</v>
      </c>
      <c r="AV204" s="3" t="n">
        <v>18.41978321321151</v>
      </c>
      <c r="AW204" s="3" t="n">
        <v>16.49603679534922</v>
      </c>
      <c r="AX204" s="3" t="n">
        <v>17.45792644920008</v>
      </c>
      <c r="AY204" s="3" t="n">
        <v>15.97189233208506</v>
      </c>
      <c r="AZ204" s="3" t="n">
        <v>16.32906308802361</v>
      </c>
      <c r="BA204" s="3" t="n">
        <v>17.13894786181036</v>
      </c>
      <c r="BB204" s="3" t="n">
        <v>15.41435186840268</v>
      </c>
      <c r="BC204" s="3" t="n">
        <v>19.27688167512206</v>
      </c>
      <c r="BD204" s="3" t="n">
        <v>16.17011240701088</v>
      </c>
      <c r="BE204" s="3" t="n">
        <v>13.41128782569992</v>
      </c>
      <c r="BF204" s="3" t="n">
        <v>13.4086888915127</v>
      </c>
      <c r="BG204" s="3" t="n">
        <v>14.5638923819704</v>
      </c>
      <c r="BH204" s="3" t="n">
        <v>15.78091269014243</v>
      </c>
      <c r="BI204" s="3" t="n">
        <v>22.29019294010772</v>
      </c>
      <c r="BJ204" s="3" t="n">
        <v>25.70711601305352</v>
      </c>
      <c r="BK204" s="3" t="n">
        <v>25.4929510585329</v>
      </c>
      <c r="BL204" s="3" t="n">
        <v>23.01463352644831</v>
      </c>
      <c r="BM204" s="3" t="n">
        <v>23.46966056248867</v>
      </c>
      <c r="BN204" s="3" t="n">
        <v>25.9767821998352</v>
      </c>
      <c r="BO204" s="3" t="n">
        <v>21.87661762319518</v>
      </c>
      <c r="BP204" s="3" t="n">
        <v>19.49182960589731</v>
      </c>
      <c r="BQ204" s="3" t="n"/>
      <c r="BR204" s="34" t="str">
        <f>B204&amp;"|"&amp;D204</f>
        <v>QAT|NE.CON.PRVT.ZS</v>
      </c>
    </row>
    <row r="205">
      <c r="A205" s="3" t="inlineStr">
        <is>
          <t>Romania</t>
        </is>
      </c>
      <c r="B205" s="3" t="inlineStr">
        <is>
          <t>ROU</t>
        </is>
      </c>
      <c r="C205" s="3" t="inlineStr">
        <is>
          <t>Households and NPISHs final consumption expenditure (% of GDP)</t>
        </is>
      </c>
      <c r="D205" s="3" t="inlineStr">
        <is>
          <t>NE.CON.PRVT.ZS</t>
        </is>
      </c>
      <c r="E205" s="3" t="n">
        <v>2023</v>
      </c>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v>65.88180440610793</v>
      </c>
      <c r="AK205" s="3" t="n">
        <v>60.73778302100822</v>
      </c>
      <c r="AL205" s="3" t="n">
        <v>62.71976381609501</v>
      </c>
      <c r="AM205" s="3" t="n">
        <v>63.69947793449725</v>
      </c>
      <c r="AN205" s="3" t="n">
        <v>63.48918621847071</v>
      </c>
      <c r="AO205" s="3" t="n">
        <v>69.4662707276693</v>
      </c>
      <c r="AP205" s="3" t="n">
        <v>73.09816732088132</v>
      </c>
      <c r="AQ205" s="3" t="n">
        <v>72.82049874314218</v>
      </c>
      <c r="AR205" s="3" t="n">
        <v>77.53224328990994</v>
      </c>
      <c r="AS205" s="3" t="n">
        <v>72.28224589307483</v>
      </c>
      <c r="AT205" s="3" t="n">
        <v>68.81497061445647</v>
      </c>
      <c r="AU205" s="3" t="n">
        <v>69.16392512569064</v>
      </c>
      <c r="AV205" s="3" t="n">
        <v>68.68718046384255</v>
      </c>
      <c r="AW205" s="3" t="n">
        <v>68.51393514716732</v>
      </c>
      <c r="AX205" s="3" t="n">
        <v>70.19444738469309</v>
      </c>
      <c r="AY205" s="3" t="n">
        <v>71.119448068914</v>
      </c>
      <c r="AZ205" s="3" t="n">
        <v>68.75093723760993</v>
      </c>
      <c r="BA205" s="3" t="n">
        <v>67.35593015686727</v>
      </c>
      <c r="BB205" s="3" t="n">
        <v>63.8898470012852</v>
      </c>
      <c r="BC205" s="3" t="n">
        <v>63.12481352223719</v>
      </c>
      <c r="BD205" s="3" t="n">
        <v>64.47360652985927</v>
      </c>
      <c r="BE205" s="3" t="n">
        <v>64.46561182472918</v>
      </c>
      <c r="BF205" s="3" t="n">
        <v>64.6796144727716</v>
      </c>
      <c r="BG205" s="3" t="n">
        <v>61.37554149925531</v>
      </c>
      <c r="BH205" s="3" t="n">
        <v>61.02043666064463</v>
      </c>
      <c r="BI205" s="3" t="n">
        <v>61.38521207684695</v>
      </c>
      <c r="BJ205" s="3" t="n">
        <v>62.08920587292074</v>
      </c>
      <c r="BK205" s="3" t="n">
        <v>62.80329118736919</v>
      </c>
      <c r="BL205" s="3" t="n">
        <v>63.37664872615709</v>
      </c>
      <c r="BM205" s="3" t="n">
        <v>62.2733091519735</v>
      </c>
      <c r="BN205" s="3" t="n">
        <v>61.10491333503003</v>
      </c>
      <c r="BO205" s="3" t="n">
        <v>61.4765091753373</v>
      </c>
      <c r="BP205" s="3" t="n">
        <v>63.14696576589897</v>
      </c>
      <c r="BQ205" s="3" t="n">
        <v>62.20771278565259</v>
      </c>
      <c r="BR205" s="34" t="str">
        <f>B205&amp;"|"&amp;D205</f>
        <v>ROU|NE.CON.PRVT.ZS</v>
      </c>
    </row>
    <row r="206">
      <c r="A206" s="3" t="inlineStr">
        <is>
          <t>Russian Federation</t>
        </is>
      </c>
      <c r="B206" s="3" t="inlineStr">
        <is>
          <t>RUS</t>
        </is>
      </c>
      <c r="C206" s="3" t="inlineStr">
        <is>
          <t>Households and NPISHs final consumption expenditure (% of GDP)</t>
        </is>
      </c>
      <c r="D206" s="3" t="inlineStr">
        <is>
          <t>NE.CON.PRVT.ZS</t>
        </is>
      </c>
      <c r="E206" s="3" t="n">
        <v>2023</v>
      </c>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c r="AD206" s="3" t="n"/>
      <c r="AE206" s="3" t="n"/>
      <c r="AF206" s="3" t="n"/>
      <c r="AG206" s="3" t="n"/>
      <c r="AH206" s="3" t="n">
        <v>54.51993262212241</v>
      </c>
      <c r="AI206" s="3" t="n">
        <v>45.14834205933682</v>
      </c>
      <c r="AJ206" s="3" t="n">
        <v>48.8688295560385</v>
      </c>
      <c r="AK206" s="3" t="n">
        <v>46.94458348230246</v>
      </c>
      <c r="AL206" s="3" t="n">
        <v>37.46133613887428</v>
      </c>
      <c r="AM206" s="3" t="n">
        <v>45.24290088041514</v>
      </c>
      <c r="AN206" s="3" t="n">
        <v>50.800032746623</v>
      </c>
      <c r="AO206" s="3" t="n">
        <v>52.08879862621656</v>
      </c>
      <c r="AP206" s="3" t="n">
        <v>52.02146342328323</v>
      </c>
      <c r="AQ206" s="3" t="n">
        <v>54.7531412832538</v>
      </c>
      <c r="AR206" s="3" t="n">
        <v>57.46831389898857</v>
      </c>
      <c r="AS206" s="3" t="n">
        <v>53.54291887382189</v>
      </c>
      <c r="AT206" s="3" t="n">
        <v>46.18756317288451</v>
      </c>
      <c r="AU206" s="3" t="n">
        <v>49.38625041348084</v>
      </c>
      <c r="AV206" s="3" t="n">
        <v>51.16753612483264</v>
      </c>
      <c r="AW206" s="3" t="n">
        <v>50.66763741447554</v>
      </c>
      <c r="AX206" s="3" t="n">
        <v>50.43756231202544</v>
      </c>
      <c r="AY206" s="3" t="n">
        <v>49.94177287807031</v>
      </c>
      <c r="AZ206" s="3" t="n">
        <v>48.77661617598238</v>
      </c>
      <c r="BA206" s="3" t="n">
        <v>48.77838498265268</v>
      </c>
      <c r="BB206" s="3" t="n">
        <v>48.89811213196175</v>
      </c>
      <c r="BC206" s="3" t="n">
        <v>54.63648459892233</v>
      </c>
      <c r="BD206" s="3" t="n">
        <v>51.48790997793036</v>
      </c>
      <c r="BE206" s="3" t="n">
        <v>50.38493528961639</v>
      </c>
      <c r="BF206" s="3" t="n">
        <v>51.44691748135922</v>
      </c>
      <c r="BG206" s="3" t="n">
        <v>53.16562011462519</v>
      </c>
      <c r="BH206" s="3" t="n">
        <v>53.7630013918765</v>
      </c>
      <c r="BI206" s="3" t="n">
        <v>52.6798287104904</v>
      </c>
      <c r="BJ206" s="3" t="n">
        <v>53.24781203535316</v>
      </c>
      <c r="BK206" s="3" t="n">
        <v>52.87119786767012</v>
      </c>
      <c r="BL206" s="3" t="n">
        <v>50.36591929460042</v>
      </c>
      <c r="BM206" s="3" t="n">
        <v>51.5990121186078</v>
      </c>
      <c r="BN206" s="3" t="n">
        <v>51.49570724357945</v>
      </c>
      <c r="BO206" s="3" t="n">
        <v>49.94720297542214</v>
      </c>
      <c r="BP206" s="3" t="n">
        <v>48.55934230476198</v>
      </c>
      <c r="BQ206" s="3" t="n">
        <v>49.80263764833156</v>
      </c>
      <c r="BR206" s="34" t="str">
        <f>B206&amp;"|"&amp;D206</f>
        <v>RUS|NE.CON.PRVT.ZS</v>
      </c>
    </row>
    <row r="207">
      <c r="A207" s="3" t="inlineStr">
        <is>
          <t>Rwanda</t>
        </is>
      </c>
      <c r="B207" s="3" t="inlineStr">
        <is>
          <t>RWA</t>
        </is>
      </c>
      <c r="C207" s="3" t="inlineStr">
        <is>
          <t>Households and NPISHs final consumption expenditure (% of GDP)</t>
        </is>
      </c>
      <c r="D207" s="3" t="inlineStr">
        <is>
          <t>NE.CON.PRVT.ZS</t>
        </is>
      </c>
      <c r="E207" s="3" t="n">
        <v>2023</v>
      </c>
      <c r="F207" s="3" t="n">
        <v>81.51254322436104</v>
      </c>
      <c r="G207" s="3" t="n">
        <v>81.63927126042344</v>
      </c>
      <c r="H207" s="3" t="n">
        <v>84.95997216256178</v>
      </c>
      <c r="I207" s="3" t="n">
        <v>87.96872031250001</v>
      </c>
      <c r="J207" s="3" t="n">
        <v>81.53840684023416</v>
      </c>
      <c r="K207" s="3" t="n">
        <v>80.91397189703923</v>
      </c>
      <c r="L207" s="3" t="n">
        <v>85.30652857071665</v>
      </c>
      <c r="M207" s="3" t="n">
        <v>86.29356008220054</v>
      </c>
      <c r="N207" s="3" t="n">
        <v>89.60511084267134</v>
      </c>
      <c r="O207" s="3" t="n">
        <v>91.25596408865569</v>
      </c>
      <c r="P207" s="3" t="n">
        <v>87.94906172035303</v>
      </c>
      <c r="Q207" s="3" t="n">
        <v>87.62932456373053</v>
      </c>
      <c r="R207" s="3" t="n">
        <v>87.70925683556852</v>
      </c>
      <c r="S207" s="3" t="n">
        <v>81.02459102559799</v>
      </c>
      <c r="T207" s="3" t="n">
        <v>86.68061715408209</v>
      </c>
      <c r="U207" s="3" t="n">
        <v>78.15045233398888</v>
      </c>
      <c r="V207" s="3" t="n">
        <v>74.30095896511753</v>
      </c>
      <c r="W207" s="3" t="n">
        <v>71.00377794241396</v>
      </c>
      <c r="X207" s="3" t="n">
        <v>76.61937278783493</v>
      </c>
      <c r="Y207" s="3" t="n">
        <v>76.55194405094335</v>
      </c>
      <c r="Z207" s="3" t="n">
        <v>83.31326996319389</v>
      </c>
      <c r="AA207" s="3" t="n">
        <v>78.60396402971269</v>
      </c>
      <c r="AB207" s="3" t="n">
        <v>81.91022894217213</v>
      </c>
      <c r="AC207" s="3" t="n">
        <v>83.8932650563606</v>
      </c>
      <c r="AD207" s="3" t="n">
        <v>81.01576861269034</v>
      </c>
      <c r="AE207" s="3" t="n">
        <v>80.52539946174194</v>
      </c>
      <c r="AF207" s="3" t="n">
        <v>79.74862039823</v>
      </c>
      <c r="AG207" s="3" t="n">
        <v>82.51792596853753</v>
      </c>
      <c r="AH207" s="3" t="n">
        <v>83.00087284498639</v>
      </c>
      <c r="AI207" s="3" t="n">
        <v>85.03590651486418</v>
      </c>
      <c r="AJ207" s="3" t="n">
        <v>83.66400138344716</v>
      </c>
      <c r="AK207" s="3" t="n">
        <v>84.65168250812799</v>
      </c>
      <c r="AL207" s="3" t="n">
        <v>82.58847368901459</v>
      </c>
      <c r="AM207" s="3" t="n">
        <v>84.29538086110277</v>
      </c>
      <c r="AN207" s="3" t="n">
        <v>137.2678979137404</v>
      </c>
      <c r="AO207" s="3" t="n">
        <v>96.94808358175901</v>
      </c>
      <c r="AP207" s="3" t="n">
        <v>94.30650112694744</v>
      </c>
      <c r="AQ207" s="3" t="n">
        <v>94.48033814129771</v>
      </c>
      <c r="AR207" s="3" t="n">
        <v>92.77321380715293</v>
      </c>
      <c r="AS207" s="3" t="n">
        <v>88.21085335025106</v>
      </c>
      <c r="AT207" s="3" t="n">
        <v>88.37460835654872</v>
      </c>
      <c r="AU207" s="3" t="n">
        <v>85.53963094073839</v>
      </c>
      <c r="AV207" s="3" t="n">
        <v>85.50028355286389</v>
      </c>
      <c r="AW207" s="3" t="n">
        <v>83.5719889982377</v>
      </c>
      <c r="AX207" s="3" t="n">
        <v>81.76819293087179</v>
      </c>
      <c r="AY207" s="3" t="n">
        <v>81.28729260499674</v>
      </c>
      <c r="AZ207" s="3" t="n">
        <v>80.34455892493772</v>
      </c>
      <c r="BA207" s="3" t="n">
        <v>77.68180256334821</v>
      </c>
      <c r="BB207" s="3" t="n">
        <v>81.43003802871995</v>
      </c>
      <c r="BC207" s="3" t="n">
        <v>82.30061162297628</v>
      </c>
      <c r="BD207" s="3" t="n">
        <v>82.17735511481757</v>
      </c>
      <c r="BE207" s="3" t="n">
        <v>81.47340298636023</v>
      </c>
      <c r="BF207" s="3" t="n">
        <v>80.29550752262253</v>
      </c>
      <c r="BG207" s="3" t="n">
        <v>78.41189953071883</v>
      </c>
      <c r="BH207" s="3" t="n">
        <v>78.65493113306307</v>
      </c>
      <c r="BI207" s="3" t="n">
        <v>80.64764897101885</v>
      </c>
      <c r="BJ207" s="3" t="n">
        <v>77.67755588232974</v>
      </c>
      <c r="BK207" s="3" t="n">
        <v>73.77599901432683</v>
      </c>
      <c r="BL207" s="3" t="n">
        <v>76.49825234819625</v>
      </c>
      <c r="BM207" s="3" t="n">
        <v>71.47950803468287</v>
      </c>
      <c r="BN207" s="3" t="n">
        <v>76.41795442790225</v>
      </c>
      <c r="BO207" s="3" t="n">
        <v>71.67277158351202</v>
      </c>
      <c r="BP207" s="3" t="n">
        <v>73.41431342303515</v>
      </c>
      <c r="BQ207" s="3" t="n">
        <v>75.3046734956086</v>
      </c>
      <c r="BR207" s="34" t="str">
        <f>B207&amp;"|"&amp;D207</f>
        <v>RWA|NE.CON.PRVT.ZS</v>
      </c>
    </row>
    <row r="208">
      <c r="A208" s="3" t="inlineStr">
        <is>
          <t>South Asia</t>
        </is>
      </c>
      <c r="B208" s="3" t="inlineStr">
        <is>
          <t>SAS</t>
        </is>
      </c>
      <c r="C208" s="3" t="inlineStr">
        <is>
          <t>Households and NPISHs final consumption expenditure (% of GDP)</t>
        </is>
      </c>
      <c r="D208" s="3" t="inlineStr">
        <is>
          <t>NE.CON.PRVT.ZS</t>
        </is>
      </c>
      <c r="E208" s="3" t="n">
        <v>2023</v>
      </c>
      <c r="F208" s="3" t="n">
        <v>87.10616181148596</v>
      </c>
      <c r="G208" s="3" t="n">
        <v>86.24185452339189</v>
      </c>
      <c r="H208" s="3" t="n">
        <v>84.2100108580612</v>
      </c>
      <c r="I208" s="3" t="n">
        <v>82.56690993764208</v>
      </c>
      <c r="J208" s="3" t="n">
        <v>82.88640798517977</v>
      </c>
      <c r="K208" s="3" t="n">
        <v>82.81913327730813</v>
      </c>
      <c r="L208" s="3" t="n">
        <v>82.35214691259003</v>
      </c>
      <c r="M208" s="3" t="n">
        <v>84.30555843070373</v>
      </c>
      <c r="N208" s="3" t="n">
        <v>80.26094519471987</v>
      </c>
      <c r="O208" s="3" t="n">
        <v>78.80606606365033</v>
      </c>
      <c r="P208" s="3" t="n">
        <v>78.57945569728615</v>
      </c>
      <c r="Q208" s="3" t="n">
        <v>79.93310469561604</v>
      </c>
      <c r="R208" s="3" t="n">
        <v>81.78362837080668</v>
      </c>
      <c r="S208" s="3" t="n">
        <v>80.56148468040494</v>
      </c>
      <c r="T208" s="3" t="n">
        <v>80.84589737774618</v>
      </c>
      <c r="U208" s="3" t="n">
        <v>73.7015335423574</v>
      </c>
      <c r="V208" s="3" t="n">
        <v>76.91149172214813</v>
      </c>
      <c r="W208" s="3" t="n">
        <v>79.07809116658071</v>
      </c>
      <c r="X208" s="3" t="n">
        <v>78.4734423736075</v>
      </c>
      <c r="Y208" s="3" t="n">
        <v>77.73088826697904</v>
      </c>
      <c r="Z208" s="3" t="n">
        <v>79.76295156836144</v>
      </c>
      <c r="AA208" s="3" t="n">
        <v>77.71906340831136</v>
      </c>
      <c r="AB208" s="3" t="n">
        <v>77.00586550212813</v>
      </c>
      <c r="AC208" s="3" t="n">
        <v>77.24403608943371</v>
      </c>
      <c r="AD208" s="3" t="n">
        <v>76.94062449656977</v>
      </c>
      <c r="AE208" s="3" t="n">
        <v>75.21809417201702</v>
      </c>
      <c r="AF208" s="3" t="n">
        <v>74.69068692961891</v>
      </c>
      <c r="AG208" s="3" t="n">
        <v>72.99819624458533</v>
      </c>
      <c r="AH208" s="3" t="n">
        <v>71.91868775355769</v>
      </c>
      <c r="AI208" s="3" t="n">
        <v>70.16258129707815</v>
      </c>
      <c r="AJ208" s="3" t="n">
        <v>69.36186332128894</v>
      </c>
      <c r="AK208" s="3" t="n">
        <v>69.2921324024303</v>
      </c>
      <c r="AL208" s="3" t="n">
        <v>68.50743906930809</v>
      </c>
      <c r="AM208" s="3" t="n">
        <v>68.78862000264232</v>
      </c>
      <c r="AN208" s="3" t="n">
        <v>67.88426489819902</v>
      </c>
      <c r="AO208" s="3" t="n">
        <v>67.15520174366148</v>
      </c>
      <c r="AP208" s="3" t="n">
        <v>67.68278798915024</v>
      </c>
      <c r="AQ208" s="3" t="n">
        <v>67.2813372699742</v>
      </c>
      <c r="AR208" s="3" t="n">
        <v>66.73271580748684</v>
      </c>
      <c r="AS208" s="3" t="n">
        <v>67.15643759452722</v>
      </c>
      <c r="AT208" s="3" t="n">
        <v>67.38833206083753</v>
      </c>
      <c r="AU208" s="3" t="n">
        <v>67.89062986462235</v>
      </c>
      <c r="AV208" s="3" t="n">
        <v>66.59846829954625</v>
      </c>
      <c r="AW208" s="3" t="n">
        <v>65.28817961757409</v>
      </c>
      <c r="AX208" s="3" t="n">
        <v>62.90366304674958</v>
      </c>
      <c r="AY208" s="3" t="n">
        <v>62.40409248101475</v>
      </c>
      <c r="AZ208" s="3" t="n">
        <v>60.95387833171927</v>
      </c>
      <c r="BA208" s="3" t="n">
        <v>60.39945058701138</v>
      </c>
      <c r="BB208" s="3" t="n">
        <v>62.04285828582729</v>
      </c>
      <c r="BC208" s="3" t="n">
        <v>60.42584462771128</v>
      </c>
      <c r="BD208" s="3" t="n">
        <v>58.70675423632588</v>
      </c>
      <c r="BE208" s="3" t="n">
        <v>60.20404624220135</v>
      </c>
      <c r="BF208" s="3" t="n">
        <v>60.66159631406855</v>
      </c>
      <c r="BG208" s="3" t="n">
        <v>61.46965297331207</v>
      </c>
      <c r="BH208" s="3" t="n">
        <v>61.92633849027849</v>
      </c>
      <c r="BI208" s="3" t="n">
        <v>62.82442703210782</v>
      </c>
      <c r="BJ208" s="3" t="n">
        <v>62.62329759118303</v>
      </c>
      <c r="BK208" s="3" t="n">
        <v>62.04403106095511</v>
      </c>
      <c r="BL208" s="3" t="n">
        <v>62.72955806408156</v>
      </c>
      <c r="BM208" s="3" t="n">
        <v>63.84588366671239</v>
      </c>
      <c r="BN208" s="3" t="n">
        <v>63.91247125335312</v>
      </c>
      <c r="BO208" s="3" t="n">
        <v>63.95896052351034</v>
      </c>
      <c r="BP208" s="3" t="n">
        <v>64.40938293577135</v>
      </c>
      <c r="BQ208" s="3" t="n">
        <v>63.37075246156849</v>
      </c>
      <c r="BR208" s="34" t="str">
        <f>B208&amp;"|"&amp;D208</f>
        <v>SAS|NE.CON.PRVT.ZS</v>
      </c>
    </row>
    <row r="209">
      <c r="A209" s="3" t="inlineStr">
        <is>
          <t>Saudi Arabia</t>
        </is>
      </c>
      <c r="B209" s="3" t="inlineStr">
        <is>
          <t>SAU</t>
        </is>
      </c>
      <c r="C209" s="3" t="inlineStr">
        <is>
          <t>Households and NPISHs final consumption expenditure (% of GDP)</t>
        </is>
      </c>
      <c r="D209" s="3" t="inlineStr">
        <is>
          <t>NE.CON.PRVT.ZS</t>
        </is>
      </c>
      <c r="E209" s="3" t="n">
        <v>2023</v>
      </c>
      <c r="F209" s="3" t="n"/>
      <c r="G209" s="3" t="n"/>
      <c r="H209" s="3" t="n"/>
      <c r="I209" s="3" t="n"/>
      <c r="J209" s="3" t="n"/>
      <c r="K209" s="3" t="n"/>
      <c r="L209" s="3" t="n"/>
      <c r="M209" s="3" t="n"/>
      <c r="N209" s="3" t="n">
        <v>33.13996072921137</v>
      </c>
      <c r="O209" s="3" t="n">
        <v>35.47338557832316</v>
      </c>
      <c r="P209" s="3" t="n">
        <v>32.51095131829077</v>
      </c>
      <c r="Q209" s="3" t="n">
        <v>26.63088997115116</v>
      </c>
      <c r="R209" s="3" t="n">
        <v>23.79918114639505</v>
      </c>
      <c r="S209" s="3" t="n">
        <v>20.46061656198108</v>
      </c>
      <c r="T209" s="3" t="n">
        <v>10.90400456530369</v>
      </c>
      <c r="U209" s="3" t="n">
        <v>16.46994469093782</v>
      </c>
      <c r="V209" s="3" t="n">
        <v>16.90271753562893</v>
      </c>
      <c r="W209" s="3" t="n">
        <v>26.21854459106535</v>
      </c>
      <c r="X209" s="3" t="n">
        <v>31.72634688185993</v>
      </c>
      <c r="Y209" s="3" t="n">
        <v>31.45199474381414</v>
      </c>
      <c r="Z209" s="3" t="n">
        <v>25.04453022666114</v>
      </c>
      <c r="AA209" s="3" t="n">
        <v>26.56621219923416</v>
      </c>
      <c r="AB209" s="3" t="n">
        <v>36.34868483669437</v>
      </c>
      <c r="AC209" s="3" t="n">
        <v>45.09307890868677</v>
      </c>
      <c r="AD209" s="3" t="n">
        <v>47.73388240764023</v>
      </c>
      <c r="AE209" s="3" t="n">
        <v>53.21669439144553</v>
      </c>
      <c r="AF209" s="3" t="n">
        <v>54.95745605862989</v>
      </c>
      <c r="AG209" s="3" t="n">
        <v>53.33046667352173</v>
      </c>
      <c r="AH209" s="3" t="n">
        <v>53.25775522738481</v>
      </c>
      <c r="AI209" s="3" t="n">
        <v>51.2909414252307</v>
      </c>
      <c r="AJ209" s="3" t="n">
        <v>46.33811928948413</v>
      </c>
      <c r="AK209" s="3" t="n">
        <v>43.94175000403897</v>
      </c>
      <c r="AL209" s="3" t="n">
        <v>44.17309123207517</v>
      </c>
      <c r="AM209" s="3" t="n">
        <v>47.74411856254957</v>
      </c>
      <c r="AN209" s="3" t="n">
        <v>47.50350631136045</v>
      </c>
      <c r="AO209" s="3" t="n">
        <v>46.62270407212846</v>
      </c>
      <c r="AP209" s="3" t="n">
        <v>43.67046959647655</v>
      </c>
      <c r="AQ209" s="3" t="n">
        <v>42.06173757187861</v>
      </c>
      <c r="AR209" s="3" t="n">
        <v>45.67847851048676</v>
      </c>
      <c r="AS209" s="3" t="n">
        <v>41.58967348735817</v>
      </c>
      <c r="AT209" s="3" t="n">
        <v>36.17586512091923</v>
      </c>
      <c r="AU209" s="3" t="n">
        <v>37.34337799558591</v>
      </c>
      <c r="AV209" s="3" t="n">
        <v>37.05089294002155</v>
      </c>
      <c r="AW209" s="3" t="n">
        <v>34.1458260995281</v>
      </c>
      <c r="AX209" s="3" t="n">
        <v>30.38845367794757</v>
      </c>
      <c r="AY209" s="3" t="n">
        <v>26.3374746398802</v>
      </c>
      <c r="AZ209" s="3" t="n">
        <v>26.02637919760027</v>
      </c>
      <c r="BA209" s="3" t="n">
        <v>27.85344364704999</v>
      </c>
      <c r="BB209" s="3" t="n">
        <v>26.8795806361255</v>
      </c>
      <c r="BC209" s="3" t="n">
        <v>36.77880477305255</v>
      </c>
      <c r="BD209" s="3" t="n">
        <v>32.28111998473327</v>
      </c>
      <c r="BE209" s="3" t="n">
        <v>26.8808377144929</v>
      </c>
      <c r="BF209" s="3" t="n">
        <v>28.30923202071075</v>
      </c>
      <c r="BG209" s="3" t="n">
        <v>29.95247245128391</v>
      </c>
      <c r="BH209" s="3" t="n">
        <v>32.33546869108228</v>
      </c>
      <c r="BI209" s="3" t="n">
        <v>40.83091223254039</v>
      </c>
      <c r="BJ209" s="3" t="n">
        <v>43.67923923923924</v>
      </c>
      <c r="BK209" s="3" t="n">
        <v>42.35350939680669</v>
      </c>
      <c r="BL209" s="3" t="n">
        <v>37.83495013212318</v>
      </c>
      <c r="BM209" s="3" t="n">
        <v>40.32015971415288</v>
      </c>
      <c r="BN209" s="3" t="n">
        <v>44.25983206205009</v>
      </c>
      <c r="BO209" s="3" t="n">
        <v>42.34103142535962</v>
      </c>
      <c r="BP209" s="3" t="n">
        <v>35.81411560776235</v>
      </c>
      <c r="BQ209" s="3" t="n">
        <v>39.95550322273168</v>
      </c>
      <c r="BR209" s="34" t="str">
        <f>B209&amp;"|"&amp;D209</f>
        <v>SAU|NE.CON.PRVT.ZS</v>
      </c>
    </row>
    <row r="210">
      <c r="A210" s="3" t="inlineStr">
        <is>
          <t>Sudan</t>
        </is>
      </c>
      <c r="B210" s="3" t="inlineStr">
        <is>
          <t>SDN</t>
        </is>
      </c>
      <c r="C210" s="3" t="inlineStr">
        <is>
          <t>Households and NPISHs final consumption expenditure (% of GDP)</t>
        </is>
      </c>
      <c r="D210" s="3" t="inlineStr">
        <is>
          <t>NE.CON.PRVT.ZS</t>
        </is>
      </c>
      <c r="E210" s="3" t="n">
        <v>2023</v>
      </c>
      <c r="F210" s="3" t="n">
        <v>76.38959714431412</v>
      </c>
      <c r="G210" s="3" t="n">
        <v>74.61249412869893</v>
      </c>
      <c r="H210" s="3" t="n">
        <v>72.88648648648649</v>
      </c>
      <c r="I210" s="3" t="n">
        <v>74.85653560042508</v>
      </c>
      <c r="J210" s="3" t="n">
        <v>74.76210177906496</v>
      </c>
      <c r="K210" s="3" t="n">
        <v>73.93807066296149</v>
      </c>
      <c r="L210" s="3" t="n">
        <v>67.49854904236796</v>
      </c>
      <c r="M210" s="3" t="n">
        <v>68.12578166875112</v>
      </c>
      <c r="N210" s="3" t="n">
        <v>67.88770968846283</v>
      </c>
      <c r="O210" s="3" t="n">
        <v>64.63547334058759</v>
      </c>
      <c r="P210" s="3" t="n">
        <v>66.37494872145494</v>
      </c>
      <c r="Q210" s="3" t="n">
        <v>71.92520080321286</v>
      </c>
      <c r="R210" s="3" t="n">
        <v>72.11427249595191</v>
      </c>
      <c r="S210" s="3" t="n">
        <v>70.41530564629024</v>
      </c>
      <c r="T210" s="3" t="n">
        <v>75.99564744287269</v>
      </c>
      <c r="U210" s="3" t="n">
        <v>76.96796474931523</v>
      </c>
      <c r="V210" s="3" t="n">
        <v>76.06266119018053</v>
      </c>
      <c r="W210" s="3" t="n">
        <v>80.02450980392157</v>
      </c>
      <c r="X210" s="3" t="n">
        <v>81.49729483084545</v>
      </c>
      <c r="Y210" s="3" t="n">
        <v>80.72185778737303</v>
      </c>
      <c r="Z210" s="3" t="n">
        <v>81.99468263366026</v>
      </c>
      <c r="AA210" s="3" t="n">
        <v>81.86492287725254</v>
      </c>
      <c r="AB210" s="3" t="n">
        <v>85.73833573833572</v>
      </c>
      <c r="AC210" s="3" t="n">
        <v>86.45506206071481</v>
      </c>
      <c r="AD210" s="3" t="n">
        <v>89.82542943181735</v>
      </c>
      <c r="AE210" s="3" t="n">
        <v>84.3294491980909</v>
      </c>
      <c r="AF210" s="3" t="n">
        <v>75.30568161550505</v>
      </c>
      <c r="AG210" s="3" t="n">
        <v>77.75633958103639</v>
      </c>
      <c r="AH210" s="3" t="n">
        <v>82.48745680424882</v>
      </c>
      <c r="AI210" s="3" t="n">
        <v>83.97647828185578</v>
      </c>
      <c r="AJ210" s="3" t="n">
        <v>84.51932318484927</v>
      </c>
      <c r="AK210" s="3" t="n">
        <v>78.40801460752053</v>
      </c>
      <c r="AL210" s="3" t="n">
        <v>80.26908644015104</v>
      </c>
      <c r="AM210" s="3" t="n">
        <v>82.65079051516095</v>
      </c>
      <c r="AN210" s="3" t="n">
        <v>82.99151400298948</v>
      </c>
      <c r="AO210" s="3" t="n">
        <v>85.22039686128137</v>
      </c>
      <c r="AP210" s="3" t="n">
        <v>90.16120044626878</v>
      </c>
      <c r="AQ210" s="3" t="n">
        <v>85.62982299255725</v>
      </c>
      <c r="AR210" s="3" t="n">
        <v>85.25802784696148</v>
      </c>
      <c r="AS210" s="3" t="n">
        <v>85.82713539490993</v>
      </c>
      <c r="AT210" s="3" t="n">
        <v>69.78818784225572</v>
      </c>
      <c r="AU210" s="3" t="n">
        <v>61.32759848492413</v>
      </c>
      <c r="AV210" s="3" t="n">
        <v>59.57226814386121</v>
      </c>
      <c r="AW210" s="3" t="n">
        <v>57.24540307544882</v>
      </c>
      <c r="AX210" s="3" t="n">
        <v>50.7529549935584</v>
      </c>
      <c r="AY210" s="3" t="n">
        <v>54.49488430524571</v>
      </c>
      <c r="AZ210" s="3" t="n">
        <v>54.87190638318299</v>
      </c>
      <c r="BA210" s="3" t="n">
        <v>48.47172940088892</v>
      </c>
      <c r="BB210" s="3" t="n">
        <v>52.43746503982987</v>
      </c>
      <c r="BC210" s="3" t="n">
        <v>64.25513138184627</v>
      </c>
      <c r="BD210" s="3" t="n">
        <v>59.05575946722801</v>
      </c>
      <c r="BE210" s="3" t="n">
        <v>60.16485667211271</v>
      </c>
      <c r="BF210" s="3" t="n">
        <v>80.52789958058698</v>
      </c>
      <c r="BG210" s="3" t="n">
        <v>81.08022950366571</v>
      </c>
      <c r="BH210" s="3" t="n">
        <v>86.15956604801738</v>
      </c>
      <c r="BI210" s="3" t="n">
        <v>85.31297435316888</v>
      </c>
      <c r="BJ210" s="3" t="n">
        <v>85.05393743966351</v>
      </c>
      <c r="BK210" s="3" t="n">
        <v>82.51461649331554</v>
      </c>
      <c r="BL210" s="3" t="n">
        <v>90.01487455256606</v>
      </c>
      <c r="BM210" s="3" t="n">
        <v>88.42471701527505</v>
      </c>
      <c r="BN210" s="3" t="n">
        <v>79.4725433816095</v>
      </c>
      <c r="BO210" s="3" t="n">
        <v>85.20615257500938</v>
      </c>
      <c r="BP210" s="3" t="n">
        <v>79.5257298839862</v>
      </c>
      <c r="BQ210" s="3" t="n">
        <v>81.68476568064953</v>
      </c>
      <c r="BR210" s="34" t="str">
        <f>B210&amp;"|"&amp;D210</f>
        <v>SDN|NE.CON.PRVT.ZS</v>
      </c>
    </row>
    <row r="211">
      <c r="A211" s="3" t="inlineStr">
        <is>
          <t>Senegal</t>
        </is>
      </c>
      <c r="B211" s="3" t="inlineStr">
        <is>
          <t>SEN</t>
        </is>
      </c>
      <c r="C211" s="3" t="inlineStr">
        <is>
          <t>Households and NPISHs final consumption expenditure (% of GDP)</t>
        </is>
      </c>
      <c r="D211" s="3" t="inlineStr">
        <is>
          <t>NE.CON.PRVT.ZS</t>
        </is>
      </c>
      <c r="E211" s="3" t="n">
        <v>2023</v>
      </c>
      <c r="F211" s="3" t="n">
        <v>80.34962674894867</v>
      </c>
      <c r="G211" s="3" t="n">
        <v>80.91268174061995</v>
      </c>
      <c r="H211" s="3" t="n">
        <v>82.65237264575653</v>
      </c>
      <c r="I211" s="3" t="n">
        <v>82.17839413180511</v>
      </c>
      <c r="J211" s="3" t="n">
        <v>82.20528459998164</v>
      </c>
      <c r="K211" s="3" t="n">
        <v>79.56323563125444</v>
      </c>
      <c r="L211" s="3" t="n">
        <v>79.04121540810984</v>
      </c>
      <c r="M211" s="3" t="n">
        <v>77.41633547471459</v>
      </c>
      <c r="N211" s="3" t="n">
        <v>73.43508998660191</v>
      </c>
      <c r="O211" s="3" t="n">
        <v>73.0880047038001</v>
      </c>
      <c r="P211" s="3" t="n">
        <v>68.21924987135112</v>
      </c>
      <c r="Q211" s="3" t="n">
        <v>69.5779141841583</v>
      </c>
      <c r="R211" s="3" t="n">
        <v>66.95736009704244</v>
      </c>
      <c r="S211" s="3" t="n">
        <v>69.85707145038695</v>
      </c>
      <c r="T211" s="3" t="n">
        <v>64.15050658265476</v>
      </c>
      <c r="U211" s="3" t="n">
        <v>67.0288278129479</v>
      </c>
      <c r="V211" s="3" t="n">
        <v>70.216320104308</v>
      </c>
      <c r="W211" s="3" t="n">
        <v>69.55645129692535</v>
      </c>
      <c r="X211" s="3" t="n">
        <v>72.24467749597298</v>
      </c>
      <c r="Y211" s="3" t="n">
        <v>71.30887098876241</v>
      </c>
      <c r="Z211" s="3" t="n">
        <v>73.93595895156943</v>
      </c>
      <c r="AA211" s="3" t="n">
        <v>72.47483544663125</v>
      </c>
      <c r="AB211" s="3" t="n">
        <v>75.09694217388305</v>
      </c>
      <c r="AC211" s="3" t="n">
        <v>78.68262868724845</v>
      </c>
      <c r="AD211" s="3" t="n">
        <v>78.65272626113902</v>
      </c>
      <c r="AE211" s="3" t="n">
        <v>77.54342894480185</v>
      </c>
      <c r="AF211" s="3" t="n">
        <v>79.73937022835847</v>
      </c>
      <c r="AG211" s="3" t="n">
        <v>76.40090176678727</v>
      </c>
      <c r="AH211" s="3" t="n">
        <v>79.14613061011084</v>
      </c>
      <c r="AI211" s="3" t="n">
        <v>79.7189629661994</v>
      </c>
      <c r="AJ211" s="3" t="n">
        <v>79.74752923061871</v>
      </c>
      <c r="AK211" s="3" t="n">
        <v>80.38379877518457</v>
      </c>
      <c r="AL211" s="3" t="n">
        <v>80.81106868601641</v>
      </c>
      <c r="AM211" s="3" t="n">
        <v>83.21629543089686</v>
      </c>
      <c r="AN211" s="3" t="n">
        <v>81.93477284863124</v>
      </c>
      <c r="AO211" s="3" t="n">
        <v>79.83045441693942</v>
      </c>
      <c r="AP211" s="3" t="n">
        <v>80.64307628799634</v>
      </c>
      <c r="AQ211" s="3" t="n">
        <v>78.57085597241829</v>
      </c>
      <c r="AR211" s="3" t="n">
        <v>78.80074706406073</v>
      </c>
      <c r="AS211" s="3" t="n">
        <v>77.00003946224211</v>
      </c>
      <c r="AT211" s="3" t="n">
        <v>78.69243265924757</v>
      </c>
      <c r="AU211" s="3" t="n">
        <v>77.34503709566697</v>
      </c>
      <c r="AV211" s="3" t="n">
        <v>78.61897908227211</v>
      </c>
      <c r="AW211" s="3" t="n">
        <v>78.42059572884776</v>
      </c>
      <c r="AX211" s="3" t="n">
        <v>79.14314402748461</v>
      </c>
      <c r="AY211" s="3" t="n">
        <v>78.26841567775408</v>
      </c>
      <c r="AZ211" s="3" t="n">
        <v>80.3453620723574</v>
      </c>
      <c r="BA211" s="3" t="n">
        <v>79.95680796447773</v>
      </c>
      <c r="BB211" s="3" t="n">
        <v>82.05426190848841</v>
      </c>
      <c r="BC211" s="3" t="n">
        <v>79.55441425097909</v>
      </c>
      <c r="BD211" s="3" t="n">
        <v>78.24560691758616</v>
      </c>
      <c r="BE211" s="3" t="n">
        <v>79.13872290774732</v>
      </c>
      <c r="BF211" s="3" t="n">
        <v>77.82800228061311</v>
      </c>
      <c r="BG211" s="3" t="n">
        <v>77.26121594303773</v>
      </c>
      <c r="BH211" s="3" t="n">
        <v>74.27052720710373</v>
      </c>
      <c r="BI211" s="3" t="n">
        <v>72.62336265838142</v>
      </c>
      <c r="BJ211" s="3" t="n">
        <v>71.59349897849903</v>
      </c>
      <c r="BK211" s="3" t="n">
        <v>70.39556764237197</v>
      </c>
      <c r="BL211" s="3" t="n">
        <v>69.4590847883465</v>
      </c>
      <c r="BM211" s="3" t="n">
        <v>68.29667389818415</v>
      </c>
      <c r="BN211" s="3" t="n">
        <v>68.73256125251604</v>
      </c>
      <c r="BO211" s="3" t="n">
        <v>66.5813037694025</v>
      </c>
      <c r="BP211" s="3" t="n">
        <v>65.81875999177615</v>
      </c>
      <c r="BQ211" s="3" t="n">
        <v>55.92918532526805</v>
      </c>
      <c r="BR211" s="34" t="str">
        <f>B211&amp;"|"&amp;D211</f>
        <v>SEN|NE.CON.PRVT.ZS</v>
      </c>
    </row>
    <row r="212">
      <c r="A212" s="3" t="inlineStr">
        <is>
          <t>Singapore</t>
        </is>
      </c>
      <c r="B212" s="3" t="inlineStr">
        <is>
          <t>SGP</t>
        </is>
      </c>
      <c r="C212" s="3" t="inlineStr">
        <is>
          <t>Households and NPISHs final consumption expenditure (% of GDP)</t>
        </is>
      </c>
      <c r="D212" s="3" t="inlineStr">
        <is>
          <t>NE.CON.PRVT.ZS</t>
        </is>
      </c>
      <c r="E212" s="3" t="n">
        <v>2023</v>
      </c>
      <c r="F212" s="3" t="n">
        <v>89.4270881616761</v>
      </c>
      <c r="G212" s="3" t="n">
        <v>90.44730208911864</v>
      </c>
      <c r="H212" s="3" t="n">
        <v>87.16640967856719</v>
      </c>
      <c r="I212" s="3" t="n">
        <v>83.19686721253115</v>
      </c>
      <c r="J212" s="3" t="n">
        <v>82.16790881192459</v>
      </c>
      <c r="K212" s="3" t="n">
        <v>78.84434910845958</v>
      </c>
      <c r="L212" s="3" t="n">
        <v>76.57013466809677</v>
      </c>
      <c r="M212" s="3" t="n">
        <v>75.69856724451832</v>
      </c>
      <c r="N212" s="3" t="n">
        <v>73.26551186875631</v>
      </c>
      <c r="O212" s="3" t="n">
        <v>68.12626690020271</v>
      </c>
      <c r="P212" s="3" t="n">
        <v>67.14404776078786</v>
      </c>
      <c r="Q212" s="3" t="n">
        <v>65.86386527944126</v>
      </c>
      <c r="R212" s="3" t="n">
        <v>61.56366308131482</v>
      </c>
      <c r="S212" s="3" t="n">
        <v>61.5596983339105</v>
      </c>
      <c r="T212" s="3" t="n">
        <v>60.47274654363515</v>
      </c>
      <c r="U212" s="3" t="n">
        <v>60.07997843932784</v>
      </c>
      <c r="V212" s="3" t="n">
        <v>58.22413586253783</v>
      </c>
      <c r="W212" s="3" t="n">
        <v>57.40222097204217</v>
      </c>
      <c r="X212" s="3" t="n">
        <v>55.99648805174125</v>
      </c>
      <c r="Y212" s="3" t="n">
        <v>54.07403553251471</v>
      </c>
      <c r="Z212" s="3" t="n">
        <v>50.49865479172465</v>
      </c>
      <c r="AA212" s="3" t="n">
        <v>47.92336584080126</v>
      </c>
      <c r="AB212" s="3" t="n">
        <v>45.74441161583464</v>
      </c>
      <c r="AC212" s="3" t="n">
        <v>43.71774659729886</v>
      </c>
      <c r="AD212" s="3" t="n">
        <v>43.53684604029676</v>
      </c>
      <c r="AE212" s="3" t="n">
        <v>44.75219515060152</v>
      </c>
      <c r="AF212" s="3" t="n">
        <v>46.58093009265713</v>
      </c>
      <c r="AG212" s="3" t="n">
        <v>47.13004533529457</v>
      </c>
      <c r="AH212" s="3" t="n">
        <v>46.4621586568424</v>
      </c>
      <c r="AI212" s="3" t="n">
        <v>45.82676137892788</v>
      </c>
      <c r="AJ212" s="3" t="n">
        <v>44.57990447183593</v>
      </c>
      <c r="AK212" s="3" t="n">
        <v>43.24177391180351</v>
      </c>
      <c r="AL212" s="3" t="n">
        <v>43.32903125522549</v>
      </c>
      <c r="AM212" s="3" t="n">
        <v>43.6228019742022</v>
      </c>
      <c r="AN212" s="3" t="n">
        <v>42.96844043022369</v>
      </c>
      <c r="AO212" s="3" t="n">
        <v>40.86875408252875</v>
      </c>
      <c r="AP212" s="3" t="n">
        <v>40.42166136877178</v>
      </c>
      <c r="AQ212" s="3" t="n">
        <v>39.7801356612612</v>
      </c>
      <c r="AR212" s="3" t="n">
        <v>39.45240596090326</v>
      </c>
      <c r="AS212" s="3" t="n">
        <v>41.89965983487462</v>
      </c>
      <c r="AT212" s="3" t="n">
        <v>41.85521673295804</v>
      </c>
      <c r="AU212" s="3" t="n">
        <v>46.24497158229202</v>
      </c>
      <c r="AV212" s="3" t="n">
        <v>46.18248489270547</v>
      </c>
      <c r="AW212" s="3" t="n">
        <v>45.53536106429718</v>
      </c>
      <c r="AX212" s="3" t="n">
        <v>41.99842619308451</v>
      </c>
      <c r="AY212" s="3" t="n">
        <v>39.84787728642413</v>
      </c>
      <c r="AZ212" s="3" t="n">
        <v>38.10609640631642</v>
      </c>
      <c r="BA212" s="3" t="n">
        <v>36.76596347015889</v>
      </c>
      <c r="BB212" s="3" t="n">
        <v>39.95092384654248</v>
      </c>
      <c r="BC212" s="3" t="n">
        <v>39.10292162205708</v>
      </c>
      <c r="BD212" s="3" t="n">
        <v>36.33783829658135</v>
      </c>
      <c r="BE212" s="3" t="n">
        <v>36.61561002015267</v>
      </c>
      <c r="BF212" s="3" t="n">
        <v>37.30604807054794</v>
      </c>
      <c r="BG212" s="3" t="n">
        <v>37.3334601292955</v>
      </c>
      <c r="BH212" s="3" t="n">
        <v>37.5843813189642</v>
      </c>
      <c r="BI212" s="3" t="n">
        <v>37.15808060615321</v>
      </c>
      <c r="BJ212" s="3" t="n">
        <v>36.4607950720948</v>
      </c>
      <c r="BK212" s="3" t="n">
        <v>35.20102005770313</v>
      </c>
      <c r="BL212" s="3" t="n">
        <v>34.55141907831855</v>
      </c>
      <c r="BM212" s="3" t="n">
        <v>35.35773564854379</v>
      </c>
      <c r="BN212" s="3" t="n">
        <v>31.9575457514022</v>
      </c>
      <c r="BO212" s="3" t="n">
        <v>28.98812886699136</v>
      </c>
      <c r="BP212" s="3" t="n">
        <v>28.26273401176665</v>
      </c>
      <c r="BQ212" s="3" t="n">
        <v>31.31522442511908</v>
      </c>
      <c r="BR212" s="34" t="str">
        <f>B212&amp;"|"&amp;D212</f>
        <v>SGP|NE.CON.PRVT.ZS</v>
      </c>
    </row>
    <row r="213">
      <c r="A213" s="3" t="inlineStr">
        <is>
          <t>Solomon Islands</t>
        </is>
      </c>
      <c r="B213" s="3" t="inlineStr">
        <is>
          <t>SLB</t>
        </is>
      </c>
      <c r="C213" s="3" t="inlineStr">
        <is>
          <t>Households and NPISHs final consumption expenditure (% of GDP)</t>
        </is>
      </c>
      <c r="D213" s="3" t="inlineStr">
        <is>
          <t>NE.CON.PRVT.ZS</t>
        </is>
      </c>
      <c r="E213" s="3" t="n">
        <v>2022</v>
      </c>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3" t="n"/>
      <c r="AL213" s="3" t="n"/>
      <c r="AM213" s="3" t="n"/>
      <c r="AN213" s="3" t="n"/>
      <c r="AO213" s="3" t="n"/>
      <c r="AP213" s="3" t="n"/>
      <c r="AQ213" s="3" t="n"/>
      <c r="AR213" s="3" t="n"/>
      <c r="AS213" s="3" t="n"/>
      <c r="AT213" s="3" t="n"/>
      <c r="AU213" s="3" t="n"/>
      <c r="AV213" s="3" t="n"/>
      <c r="AW213" s="3" t="n">
        <v>66.84210526315789</v>
      </c>
      <c r="AX213" s="3" t="n">
        <v>68.14639298866653</v>
      </c>
      <c r="AY213" s="3" t="n">
        <v>63.39178477059812</v>
      </c>
      <c r="AZ213" s="3" t="n">
        <v>63.38513945071323</v>
      </c>
      <c r="BA213" s="3" t="n">
        <v>61.80550334561311</v>
      </c>
      <c r="BB213" s="3" t="n">
        <v>64.7448046550291</v>
      </c>
      <c r="BC213" s="3" t="n">
        <v>63.91782764147455</v>
      </c>
      <c r="BD213" s="3" t="n">
        <v>64.46914262046114</v>
      </c>
      <c r="BE213" s="3" t="n">
        <v>62.01611415216188</v>
      </c>
      <c r="BF213" s="3" t="n">
        <v>62.79437912245483</v>
      </c>
      <c r="BG213" s="3" t="n">
        <v>61.82813448492529</v>
      </c>
      <c r="BH213" s="3" t="n">
        <v>63.87419672497284</v>
      </c>
      <c r="BI213" s="3" t="n">
        <v>63.44948172763893</v>
      </c>
      <c r="BJ213" s="3" t="n">
        <v>62.77589288971581</v>
      </c>
      <c r="BK213" s="3" t="n">
        <v>60.42888689531433</v>
      </c>
      <c r="BL213" s="3" t="n">
        <v>59.29275867705552</v>
      </c>
      <c r="BM213" s="3" t="n">
        <v>59.71739458969322</v>
      </c>
      <c r="BN213" s="3" t="n">
        <v>62.91194420226678</v>
      </c>
      <c r="BO213" s="3" t="n">
        <v>63.8131532032515</v>
      </c>
      <c r="BP213" s="3" t="n">
        <v>61.72531214528944</v>
      </c>
      <c r="BQ213" s="3" t="n"/>
      <c r="BR213" s="34" t="str">
        <f>B213&amp;"|"&amp;D213</f>
        <v>SLB|NE.CON.PRVT.ZS</v>
      </c>
    </row>
    <row r="214">
      <c r="A214" s="3" t="inlineStr">
        <is>
          <t>Sierra Leone</t>
        </is>
      </c>
      <c r="B214" s="3" t="inlineStr">
        <is>
          <t>SLE</t>
        </is>
      </c>
      <c r="C214" s="3" t="inlineStr">
        <is>
          <t>Households and NPISHs final consumption expenditure (% of GDP)</t>
        </is>
      </c>
      <c r="D214" s="3" t="inlineStr">
        <is>
          <t>NE.CON.PRVT.ZS</t>
        </is>
      </c>
      <c r="E214" s="3" t="n">
        <v>2023</v>
      </c>
      <c r="F214" s="3" t="n"/>
      <c r="G214" s="3" t="n"/>
      <c r="H214" s="3" t="n"/>
      <c r="I214" s="3" t="n"/>
      <c r="J214" s="3" t="n">
        <v>78.55795677454437</v>
      </c>
      <c r="K214" s="3" t="n">
        <v>79.85975847292559</v>
      </c>
      <c r="L214" s="3" t="n">
        <v>79.19463087248322</v>
      </c>
      <c r="M214" s="3" t="n">
        <v>86.81710213776722</v>
      </c>
      <c r="N214" s="3" t="n">
        <v>83.59911278713548</v>
      </c>
      <c r="O214" s="3" t="n">
        <v>71.52609557366219</v>
      </c>
      <c r="P214" s="3" t="n">
        <v>74.19715282928439</v>
      </c>
      <c r="Q214" s="3" t="n">
        <v>76.79264351145191</v>
      </c>
      <c r="R214" s="3" t="n">
        <v>77.06574846083171</v>
      </c>
      <c r="S214" s="3" t="n">
        <v>63.80107013730859</v>
      </c>
      <c r="T214" s="3" t="n">
        <v>65.62204872000058</v>
      </c>
      <c r="U214" s="3" t="n">
        <v>77.60513737542226</v>
      </c>
      <c r="V214" s="3" t="n">
        <v>80.69197522686878</v>
      </c>
      <c r="W214" s="3" t="n">
        <v>79.53367143969562</v>
      </c>
      <c r="X214" s="3" t="n">
        <v>71.50660936594426</v>
      </c>
      <c r="Y214" s="3" t="n">
        <v>75.03139669094315</v>
      </c>
      <c r="Z214" s="3" t="n">
        <v>90.72263089571614</v>
      </c>
      <c r="AA214" s="3" t="n">
        <v>90.65934065934066</v>
      </c>
      <c r="AB214" s="3" t="n">
        <v>88.22062947958865</v>
      </c>
      <c r="AC214" s="3" t="n">
        <v>87.80448803368689</v>
      </c>
      <c r="AD214" s="3" t="n">
        <v>82.14324967942846</v>
      </c>
      <c r="AE214" s="3" t="n">
        <v>91.68842878861723</v>
      </c>
      <c r="AF214" s="3" t="n">
        <v>79.08468306288033</v>
      </c>
      <c r="AG214" s="3" t="n">
        <v>71.66696448173202</v>
      </c>
      <c r="AH214" s="3" t="n">
        <v>73.07098160159128</v>
      </c>
      <c r="AI214" s="3" t="n">
        <v>78.14493525943307</v>
      </c>
      <c r="AJ214" s="3" t="n">
        <v>78.50507185981745</v>
      </c>
      <c r="AK214" s="3" t="n">
        <v>77.09484596050581</v>
      </c>
      <c r="AL214" s="3" t="n">
        <v>84.44570085779658</v>
      </c>
      <c r="AM214" s="3" t="n">
        <v>86.48845636384056</v>
      </c>
      <c r="AN214" s="3" t="n">
        <v>76.77267307775337</v>
      </c>
      <c r="AO214" s="3" t="n">
        <v>93.48050553758608</v>
      </c>
      <c r="AP214" s="3" t="n">
        <v>92.79936152201343</v>
      </c>
      <c r="AQ214" s="3" t="n">
        <v>95.29700211746351</v>
      </c>
      <c r="AR214" s="3" t="n">
        <v>92.96536662712933</v>
      </c>
      <c r="AS214" s="3" t="n">
        <v>94.27310003113347</v>
      </c>
      <c r="AT214" s="3" t="n">
        <v>105.8308126214001</v>
      </c>
      <c r="AU214" s="3" t="n">
        <v>95.82841109763123</v>
      </c>
      <c r="AV214" s="3" t="n">
        <v>95.66122860625568</v>
      </c>
      <c r="AW214" s="3" t="n">
        <v>94.99699149689744</v>
      </c>
      <c r="AX214" s="3" t="n">
        <v>91.88270138358887</v>
      </c>
      <c r="AY214" s="3" t="n">
        <v>90.45739061243594</v>
      </c>
      <c r="AZ214" s="3" t="n">
        <v>87.78582370623157</v>
      </c>
      <c r="BA214" s="3" t="n">
        <v>90.89774111629551</v>
      </c>
      <c r="BB214" s="3" t="n">
        <v>93.28619114282377</v>
      </c>
      <c r="BC214" s="3" t="n">
        <v>94.04094389969741</v>
      </c>
      <c r="BD214" s="3" t="n">
        <v>76.20006115358755</v>
      </c>
      <c r="BE214" s="3" t="n">
        <v>87.51851338389842</v>
      </c>
      <c r="BF214" s="3" t="n">
        <v>81.49208296900494</v>
      </c>
      <c r="BG214" s="3" t="n">
        <v>107.7321805338906</v>
      </c>
      <c r="BH214" s="3" t="n">
        <v>100.8309493346473</v>
      </c>
      <c r="BI214" s="3" t="n">
        <v>102.2849401025357</v>
      </c>
      <c r="BJ214" s="3" t="n">
        <v>97.17281880748435</v>
      </c>
      <c r="BK214" s="3" t="n">
        <v>93.58455735982012</v>
      </c>
      <c r="BL214" s="3" t="n">
        <v>97.6922977687785</v>
      </c>
      <c r="BM214" s="3" t="n">
        <v>98.59837289473774</v>
      </c>
      <c r="BN214" s="3" t="n">
        <v>101.1852409901009</v>
      </c>
      <c r="BO214" s="3" t="n">
        <v>106.0429625023166</v>
      </c>
      <c r="BP214" s="3" t="n">
        <v>100.919696100419</v>
      </c>
      <c r="BQ214" s="3" t="n">
        <v>106.2438399369209</v>
      </c>
      <c r="BR214" s="34" t="str">
        <f>B214&amp;"|"&amp;D214</f>
        <v>SLE|NE.CON.PRVT.ZS</v>
      </c>
    </row>
    <row r="215">
      <c r="A215" s="3" t="inlineStr">
        <is>
          <t>El Salvador</t>
        </is>
      </c>
      <c r="B215" s="3" t="inlineStr">
        <is>
          <t>SLV</t>
        </is>
      </c>
      <c r="C215" s="3" t="inlineStr">
        <is>
          <t>Households and NPISHs final consumption expenditure (% of GDP)</t>
        </is>
      </c>
      <c r="D215" s="3" t="inlineStr">
        <is>
          <t>NE.CON.PRVT.ZS</t>
        </is>
      </c>
      <c r="E215" s="3" t="n">
        <v>2023</v>
      </c>
      <c r="F215" s="3" t="n"/>
      <c r="G215" s="3" t="n"/>
      <c r="H215" s="3" t="n"/>
      <c r="I215" s="3" t="n"/>
      <c r="J215" s="3" t="n"/>
      <c r="K215" s="3" t="n">
        <v>78.58086861413662</v>
      </c>
      <c r="L215" s="3" t="n">
        <v>79.82614682847061</v>
      </c>
      <c r="M215" s="3" t="n">
        <v>79.09854538004507</v>
      </c>
      <c r="N215" s="3" t="n">
        <v>80.79938987488217</v>
      </c>
      <c r="O215" s="3" t="n">
        <v>79.04707451877262</v>
      </c>
      <c r="P215" s="3" t="n">
        <v>75.74409490520073</v>
      </c>
      <c r="Q215" s="3" t="n">
        <v>76.22163018918829</v>
      </c>
      <c r="R215" s="3" t="n">
        <v>74.19681575032445</v>
      </c>
      <c r="S215" s="3" t="n">
        <v>74.26923983582007</v>
      </c>
      <c r="T215" s="3" t="n">
        <v>74.91536004994357</v>
      </c>
      <c r="U215" s="3" t="n">
        <v>71.855292027297</v>
      </c>
      <c r="V215" s="3" t="n">
        <v>69.63251543489119</v>
      </c>
      <c r="W215" s="3" t="n">
        <v>64.66325027320643</v>
      </c>
      <c r="X215" s="3" t="n">
        <v>70.59169874295068</v>
      </c>
      <c r="Y215" s="3" t="n">
        <v>68.92171440801337</v>
      </c>
      <c r="Z215" s="3" t="n">
        <v>71.82061276065241</v>
      </c>
      <c r="AA215" s="3" t="n">
        <v>76.83579210777422</v>
      </c>
      <c r="AB215" s="3" t="n">
        <v>76.69328252435264</v>
      </c>
      <c r="AC215" s="3" t="n">
        <v>77.53618166457989</v>
      </c>
      <c r="AD215" s="3" t="n">
        <v>78.7857491993983</v>
      </c>
      <c r="AE215" s="3" t="n">
        <v>81.22665522496949</v>
      </c>
      <c r="AF215" s="3" t="n">
        <v>76.94553426721666</v>
      </c>
      <c r="AG215" s="3" t="n">
        <v>81.00285499475524</v>
      </c>
      <c r="AH215" s="3" t="n">
        <v>80.95091983541295</v>
      </c>
      <c r="AI215" s="3" t="n">
        <v>82.93103040922985</v>
      </c>
      <c r="AJ215" s="3" t="n">
        <v>88.92797040455362</v>
      </c>
      <c r="AK215" s="3" t="n">
        <v>87.67001557248058</v>
      </c>
      <c r="AL215" s="3" t="n">
        <v>87.74660120112513</v>
      </c>
      <c r="AM215" s="3" t="n">
        <v>86.56008203980761</v>
      </c>
      <c r="AN215" s="3" t="n">
        <v>85.67943340247083</v>
      </c>
      <c r="AO215" s="3" t="n">
        <v>85.53745740097473</v>
      </c>
      <c r="AP215" s="3" t="n">
        <v>86.71733612113701</v>
      </c>
      <c r="AQ215" s="3" t="n">
        <v>85.54700835209904</v>
      </c>
      <c r="AR215" s="3" t="n">
        <v>81.62098409864231</v>
      </c>
      <c r="AS215" s="3" t="n">
        <v>82.38478023735317</v>
      </c>
      <c r="AT215" s="3" t="n">
        <v>84.3007454343568</v>
      </c>
      <c r="AU215" s="3" t="n">
        <v>84.35142567002626</v>
      </c>
      <c r="AV215" s="3" t="n">
        <v>83.8125466260563</v>
      </c>
      <c r="AW215" s="3" t="n">
        <v>84.15322876155696</v>
      </c>
      <c r="AX215" s="3" t="n">
        <v>86.0585248573443</v>
      </c>
      <c r="AY215" s="3" t="n">
        <v>86.5832085998095</v>
      </c>
      <c r="AZ215" s="3" t="n">
        <v>87.16641176908091</v>
      </c>
      <c r="BA215" s="3" t="n">
        <v>91.34274839449205</v>
      </c>
      <c r="BB215" s="3" t="n">
        <v>92.30139284779082</v>
      </c>
      <c r="BC215" s="3" t="n">
        <v>88.01246703428434</v>
      </c>
      <c r="BD215" s="3" t="n">
        <v>87.26073183318228</v>
      </c>
      <c r="BE215" s="3" t="n">
        <v>87.76727020308837</v>
      </c>
      <c r="BF215" s="3" t="n">
        <v>87.03950921507612</v>
      </c>
      <c r="BG215" s="3" t="n">
        <v>87.67616329619081</v>
      </c>
      <c r="BH215" s="3" t="n">
        <v>86.64729233712218</v>
      </c>
      <c r="BI215" s="3" t="n">
        <v>85.07353794482863</v>
      </c>
      <c r="BJ215" s="3" t="n">
        <v>83.61795892181652</v>
      </c>
      <c r="BK215" s="3" t="n">
        <v>83.43501130340896</v>
      </c>
      <c r="BL215" s="3" t="n">
        <v>83.28371286871874</v>
      </c>
      <c r="BM215" s="3" t="n">
        <v>81.75334081813494</v>
      </c>
      <c r="BN215" s="3" t="n">
        <v>80.49748025676141</v>
      </c>
      <c r="BO215" s="3" t="n">
        <v>81.58043517333181</v>
      </c>
      <c r="BP215" s="3" t="n">
        <v>83.6639373883207</v>
      </c>
      <c r="BQ215" s="3" t="n">
        <v>81.37961324826652</v>
      </c>
      <c r="BR215" s="34" t="str">
        <f>B215&amp;"|"&amp;D215</f>
        <v>SLV|NE.CON.PRVT.ZS</v>
      </c>
    </row>
    <row r="216">
      <c r="A216" s="3" t="inlineStr">
        <is>
          <t>San Marino</t>
        </is>
      </c>
      <c r="B216" s="3" t="inlineStr">
        <is>
          <t>SMR</t>
        </is>
      </c>
      <c r="C216" s="3" t="inlineStr">
        <is>
          <t>Households and NPISHs final consumption expenditure (% of GDP)</t>
        </is>
      </c>
      <c r="D216" s="3" t="inlineStr">
        <is>
          <t>NE.CON.PRVT.ZS</t>
        </is>
      </c>
      <c r="E216" s="3" t="n">
        <v>2021</v>
      </c>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3" t="n"/>
      <c r="AL216" s="3" t="n"/>
      <c r="AM216" s="3" t="n"/>
      <c r="AN216" s="3" t="n"/>
      <c r="AO216" s="3" t="n"/>
      <c r="AP216" s="3" t="n"/>
      <c r="AQ216" s="3" t="n"/>
      <c r="AR216" s="3" t="n"/>
      <c r="AS216" s="3" t="n"/>
      <c r="AT216" s="3" t="n"/>
      <c r="AU216" s="3" t="n"/>
      <c r="AV216" s="3" t="n"/>
      <c r="AW216" s="3" t="n"/>
      <c r="AX216" s="3" t="n"/>
      <c r="AY216" s="3" t="n"/>
      <c r="AZ216" s="3" t="n"/>
      <c r="BA216" s="3" t="n"/>
      <c r="BB216" s="3" t="n"/>
      <c r="BC216" s="3" t="n"/>
      <c r="BD216" s="3" t="n"/>
      <c r="BE216" s="3" t="n"/>
      <c r="BF216" s="3" t="n"/>
      <c r="BG216" s="3" t="n"/>
      <c r="BH216" s="3" t="n"/>
      <c r="BI216" s="3" t="n">
        <v>40.38191207399046</v>
      </c>
      <c r="BJ216" s="3" t="n">
        <v>38.54392283060893</v>
      </c>
      <c r="BK216" s="3" t="n">
        <v>37.30649849154629</v>
      </c>
      <c r="BL216" s="3" t="n">
        <v>36.27249916555402</v>
      </c>
      <c r="BM216" s="3" t="n">
        <v>35.72553305762526</v>
      </c>
      <c r="BN216" s="3" t="n">
        <v>36.27510125491779</v>
      </c>
      <c r="BO216" s="3" t="n">
        <v>33.13432404250094</v>
      </c>
      <c r="BP216" s="3" t="n"/>
      <c r="BQ216" s="3" t="n"/>
      <c r="BR216" s="34" t="str">
        <f>B216&amp;"|"&amp;D216</f>
        <v>SMR|NE.CON.PRVT.ZS</v>
      </c>
    </row>
    <row r="217">
      <c r="A217" s="3" t="inlineStr">
        <is>
          <t>Somalia</t>
        </is>
      </c>
      <c r="B217" s="3" t="inlineStr">
        <is>
          <t>SOM</t>
        </is>
      </c>
      <c r="C217" s="3" t="inlineStr">
        <is>
          <t>Households and NPISHs final consumption expenditure (% of GDP)</t>
        </is>
      </c>
      <c r="D217" s="3" t="inlineStr">
        <is>
          <t>NE.CON.PRVT.ZS</t>
        </is>
      </c>
      <c r="E217" s="3" t="n">
        <v>2023</v>
      </c>
      <c r="F217" s="3" t="n">
        <v>86.36150634046827</v>
      </c>
      <c r="G217" s="3" t="n">
        <v>88.80204710250622</v>
      </c>
      <c r="H217" s="3" t="n">
        <v>97.24169609061181</v>
      </c>
      <c r="I217" s="3" t="n">
        <v>92.12384303399516</v>
      </c>
      <c r="J217" s="3" t="n">
        <v>95.75478776202915</v>
      </c>
      <c r="K217" s="3" t="n">
        <v>84.0025289724171</v>
      </c>
      <c r="L217" s="3" t="n">
        <v>86.8526997389034</v>
      </c>
      <c r="M217" s="3" t="n">
        <v>87.27657033578028</v>
      </c>
      <c r="N217" s="3" t="n">
        <v>84.62890625</v>
      </c>
      <c r="O217" s="3" t="n">
        <v>85.20397084526039</v>
      </c>
      <c r="P217" s="3" t="n">
        <v>77.10500296202908</v>
      </c>
      <c r="Q217" s="3" t="n">
        <v>81.09897244507214</v>
      </c>
      <c r="R217" s="3" t="n">
        <v>65.8705269180124</v>
      </c>
      <c r="S217" s="3" t="n">
        <v>82.90326645997405</v>
      </c>
      <c r="T217" s="3" t="n">
        <v>58.03139572319065</v>
      </c>
      <c r="U217" s="3" t="n">
        <v>67.21345555217721</v>
      </c>
      <c r="V217" s="3" t="n">
        <v>62.05340802025038</v>
      </c>
      <c r="W217" s="3" t="n">
        <v>103.4302437209302</v>
      </c>
      <c r="X217" s="3" t="n">
        <v>82.81345409174313</v>
      </c>
      <c r="Y217" s="3" t="n">
        <v>88.58095759599333</v>
      </c>
      <c r="Z217" s="3" t="n">
        <v>97.46266185341099</v>
      </c>
      <c r="AA217" s="3" t="n">
        <v>93.90641770039898</v>
      </c>
      <c r="AB217" s="3" t="n">
        <v>99.49844036961973</v>
      </c>
      <c r="AC217" s="3" t="n">
        <v>106.5871219789917</v>
      </c>
      <c r="AD217" s="3" t="n">
        <v>105.4310650024898</v>
      </c>
      <c r="AE217" s="3" t="n"/>
      <c r="AF217" s="3" t="n"/>
      <c r="AG217" s="3" t="n"/>
      <c r="AH217" s="3" t="n"/>
      <c r="AI217" s="3" t="n"/>
      <c r="AJ217" s="3" t="n"/>
      <c r="AK217" s="3" t="n"/>
      <c r="AL217" s="3" t="n"/>
      <c r="AM217" s="3" t="n"/>
      <c r="AN217" s="3" t="n"/>
      <c r="AO217" s="3" t="n"/>
      <c r="AP217" s="3" t="n"/>
      <c r="AQ217" s="3" t="n"/>
      <c r="AR217" s="3" t="n"/>
      <c r="AS217" s="3" t="n"/>
      <c r="AT217" s="3" t="n"/>
      <c r="AU217" s="3" t="n"/>
      <c r="AV217" s="3" t="n"/>
      <c r="AW217" s="3" t="n"/>
      <c r="AX217" s="3" t="n"/>
      <c r="AY217" s="3" t="n"/>
      <c r="AZ217" s="3" t="n"/>
      <c r="BA217" s="3" t="n"/>
      <c r="BB217" s="3" t="n"/>
      <c r="BC217" s="3" t="n"/>
      <c r="BD217" s="3" t="n"/>
      <c r="BE217" s="3" t="n"/>
      <c r="BF217" s="3" t="n"/>
      <c r="BG217" s="3" t="n">
        <v>127.748992386936</v>
      </c>
      <c r="BH217" s="3" t="n">
        <v>126.2954815523971</v>
      </c>
      <c r="BI217" s="3" t="n">
        <v>125.9555943999463</v>
      </c>
      <c r="BJ217" s="3" t="n">
        <v>125.5274670810327</v>
      </c>
      <c r="BK217" s="3" t="n">
        <v>125.327673295262</v>
      </c>
      <c r="BL217" s="3" t="n">
        <v>127.0562866411028</v>
      </c>
      <c r="BM217" s="3" t="n">
        <v>125.1755064558081</v>
      </c>
      <c r="BN217" s="3" t="n">
        <v>128.2976048101893</v>
      </c>
      <c r="BO217" s="3" t="n">
        <v>125.0602856032053</v>
      </c>
      <c r="BP217" s="3" t="n">
        <v>128.0275045913801</v>
      </c>
      <c r="BQ217" s="3" t="n">
        <v>126.4479823362293</v>
      </c>
      <c r="BR217" s="34" t="str">
        <f>B217&amp;"|"&amp;D217</f>
        <v>SOM|NE.CON.PRVT.ZS</v>
      </c>
    </row>
    <row r="218">
      <c r="A218" s="3" t="inlineStr">
        <is>
          <t>Serbia</t>
        </is>
      </c>
      <c r="B218" s="3" t="inlineStr">
        <is>
          <t>SRB</t>
        </is>
      </c>
      <c r="C218" s="3" t="inlineStr">
        <is>
          <t>Households and NPISHs final consumption expenditure (% of GDP)</t>
        </is>
      </c>
      <c r="D218" s="3" t="inlineStr">
        <is>
          <t>NE.CON.PRVT.ZS</t>
        </is>
      </c>
      <c r="E218" s="3" t="n">
        <v>2023</v>
      </c>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3" t="n"/>
      <c r="AL218" s="3" t="n"/>
      <c r="AM218" s="3" t="n"/>
      <c r="AN218" s="3" t="n"/>
      <c r="AO218" s="3" t="n">
        <v>71.01484542034055</v>
      </c>
      <c r="AP218" s="3" t="n">
        <v>73.44453482208928</v>
      </c>
      <c r="AQ218" s="3" t="n">
        <v>71.35028598794128</v>
      </c>
      <c r="AR218" s="3" t="n">
        <v>76.11593659362093</v>
      </c>
      <c r="AS218" s="3" t="n">
        <v>78.53529110233528</v>
      </c>
      <c r="AT218" s="3" t="n">
        <v>76.41843898148596</v>
      </c>
      <c r="AU218" s="3" t="n">
        <v>76.36873677986287</v>
      </c>
      <c r="AV218" s="3" t="n">
        <v>73.69806539759884</v>
      </c>
      <c r="AW218" s="3" t="n">
        <v>70.7938942854318</v>
      </c>
      <c r="AX218" s="3" t="n">
        <v>75.16664704282459</v>
      </c>
      <c r="AY218" s="3" t="n">
        <v>74.86627524050098</v>
      </c>
      <c r="AZ218" s="3" t="n">
        <v>75.89916730344397</v>
      </c>
      <c r="BA218" s="3" t="n">
        <v>75.30146972720974</v>
      </c>
      <c r="BB218" s="3" t="n">
        <v>75.24801485825053</v>
      </c>
      <c r="BC218" s="3" t="n">
        <v>75.1557196592353</v>
      </c>
      <c r="BD218" s="3" t="n">
        <v>75.48110241082109</v>
      </c>
      <c r="BE218" s="3" t="n">
        <v>75.53451342710973</v>
      </c>
      <c r="BF218" s="3" t="n">
        <v>75.53789405667563</v>
      </c>
      <c r="BG218" s="3" t="n">
        <v>72.94117378718947</v>
      </c>
      <c r="BH218" s="3" t="n">
        <v>73.50041226535396</v>
      </c>
      <c r="BI218" s="3" t="n">
        <v>71.94874907196267</v>
      </c>
      <c r="BJ218" s="3" t="n">
        <v>70.75005147197936</v>
      </c>
      <c r="BK218" s="3" t="n">
        <v>70.86886252368986</v>
      </c>
      <c r="BL218" s="3" t="n">
        <v>69.43112506017722</v>
      </c>
      <c r="BM218" s="3" t="n">
        <v>68.2250525756765</v>
      </c>
      <c r="BN218" s="3" t="n">
        <v>66.61214149924972</v>
      </c>
      <c r="BO218" s="3" t="n">
        <v>65.98108867434624</v>
      </c>
      <c r="BP218" s="3" t="n">
        <v>68.27283538565244</v>
      </c>
      <c r="BQ218" s="3" t="n">
        <v>67.27201864801499</v>
      </c>
      <c r="BR218" s="34" t="str">
        <f>B218&amp;"|"&amp;D218</f>
        <v>SRB|NE.CON.PRVT.ZS</v>
      </c>
    </row>
    <row r="219">
      <c r="A219" s="3" t="inlineStr">
        <is>
          <t>Sub-Saharan Africa (excluding high income)</t>
        </is>
      </c>
      <c r="B219" s="3" t="inlineStr">
        <is>
          <t>SSA</t>
        </is>
      </c>
      <c r="C219" s="3" t="inlineStr">
        <is>
          <t>Households and NPISHs final consumption expenditure (% of GDP)</t>
        </is>
      </c>
      <c r="D219" s="3" t="inlineStr">
        <is>
          <t>NE.CON.PRVT.ZS</t>
        </is>
      </c>
      <c r="E219" s="3" t="n">
        <v>2023</v>
      </c>
      <c r="F219" s="3" t="n"/>
      <c r="G219" s="3" t="n"/>
      <c r="H219" s="3" t="n"/>
      <c r="I219" s="3" t="n">
        <v>68.28775529292173</v>
      </c>
      <c r="J219" s="3" t="n">
        <v>67.82963210903213</v>
      </c>
      <c r="K219" s="3" t="n">
        <v>67.96000125330028</v>
      </c>
      <c r="L219" s="3" t="n">
        <v>66.43760702253607</v>
      </c>
      <c r="M219" s="3" t="n">
        <v>67.40947573842581</v>
      </c>
      <c r="N219" s="3" t="n">
        <v>67.28872210594754</v>
      </c>
      <c r="O219" s="3" t="n">
        <v>66.29010908642053</v>
      </c>
      <c r="P219" s="3" t="n">
        <v>63.97956875820798</v>
      </c>
      <c r="Q219" s="3" t="n">
        <v>69.97628068976871</v>
      </c>
      <c r="R219" s="3" t="n">
        <v>66.72318262098685</v>
      </c>
      <c r="S219" s="3" t="n">
        <v>66.5304586712334</v>
      </c>
      <c r="T219" s="3" t="n">
        <v>61.2123778058167</v>
      </c>
      <c r="U219" s="3" t="n">
        <v>65.1223760816638</v>
      </c>
      <c r="V219" s="3" t="n">
        <v>60.25254186042019</v>
      </c>
      <c r="W219" s="3" t="n">
        <v>62.04507713690472</v>
      </c>
      <c r="X219" s="3" t="n">
        <v>64.85642571225806</v>
      </c>
      <c r="Y219" s="3" t="n">
        <v>64.721454419343</v>
      </c>
      <c r="Z219" s="3" t="n">
        <v>62.91630126747813</v>
      </c>
      <c r="AA219" s="3" t="n">
        <v>48.26834919745435</v>
      </c>
      <c r="AB219" s="3" t="n">
        <v>49.66216700690649</v>
      </c>
      <c r="AC219" s="3" t="n">
        <v>57.84556023062444</v>
      </c>
      <c r="AD219" s="3" t="n">
        <v>60.75295273627434</v>
      </c>
      <c r="AE219" s="3" t="n">
        <v>54.8242262104783</v>
      </c>
      <c r="AF219" s="3" t="n">
        <v>70.06637875928143</v>
      </c>
      <c r="AG219" s="3" t="n">
        <v>76.55113140964109</v>
      </c>
      <c r="AH219" s="3" t="n">
        <v>78.80184758204042</v>
      </c>
      <c r="AI219" s="3" t="n">
        <v>81.87628409358044</v>
      </c>
      <c r="AJ219" s="3" t="n">
        <v>84.41789809491944</v>
      </c>
      <c r="AK219" s="3" t="n">
        <v>83.89999540409454</v>
      </c>
      <c r="AL219" s="3" t="n">
        <v>83.56842707107758</v>
      </c>
      <c r="AM219" s="3" t="n">
        <v>81.16784327148935</v>
      </c>
      <c r="AN219" s="3" t="n">
        <v>76.72897975141503</v>
      </c>
      <c r="AO219" s="3" t="n">
        <v>70.10575959150859</v>
      </c>
      <c r="AP219" s="3" t="n">
        <v>62.51366564509413</v>
      </c>
      <c r="AQ219" s="3" t="n">
        <v>62.17266122389655</v>
      </c>
      <c r="AR219" s="3" t="n">
        <v>60.42507319781011</v>
      </c>
      <c r="AS219" s="3" t="n">
        <v>84.64611613094173</v>
      </c>
      <c r="AT219" s="3" t="n">
        <v>82.10664783107337</v>
      </c>
      <c r="AU219" s="3" t="n">
        <v>78.53745101121859</v>
      </c>
      <c r="AV219" s="3" t="n">
        <v>72.90934994697429</v>
      </c>
      <c r="AW219" s="3" t="n">
        <v>74.78743870176869</v>
      </c>
      <c r="AX219" s="3" t="n">
        <v>73.97567917741914</v>
      </c>
      <c r="AY219" s="3" t="n">
        <v>71.05366425876741</v>
      </c>
      <c r="AZ219" s="3" t="n">
        <v>67.55771144144464</v>
      </c>
      <c r="BA219" s="3" t="n">
        <v>66.74035233033597</v>
      </c>
      <c r="BB219" s="3" t="n">
        <v>63.61155480245691</v>
      </c>
      <c r="BC219" s="3" t="n">
        <v>69.5439678781991</v>
      </c>
      <c r="BD219" s="3" t="n">
        <v>67.1421537496325</v>
      </c>
      <c r="BE219" s="3" t="n">
        <v>66.44383668678701</v>
      </c>
      <c r="BF219" s="3" t="n">
        <v>66.73857584156275</v>
      </c>
      <c r="BG219" s="3" t="n">
        <v>64.96378749828033</v>
      </c>
      <c r="BH219" s="3" t="n">
        <v>63.741463911987</v>
      </c>
      <c r="BI219" s="3" t="n">
        <v>67.53489594480119</v>
      </c>
      <c r="BJ219" s="3" t="n">
        <v>70.99641185685864</v>
      </c>
      <c r="BK219" s="3" t="n">
        <v>73.50602020911653</v>
      </c>
      <c r="BL219" s="3" t="n">
        <v>73.30777007483078</v>
      </c>
      <c r="BM219" s="3" t="n">
        <v>71.11502637976757</v>
      </c>
      <c r="BN219" s="3" t="n">
        <v>71.83357443179335</v>
      </c>
      <c r="BO219" s="3" t="n">
        <v>72.72171963991299</v>
      </c>
      <c r="BP219" s="3" t="n">
        <v>72.85131900392881</v>
      </c>
      <c r="BQ219" s="3" t="n">
        <v>80.31815994986771</v>
      </c>
      <c r="BR219" s="34" t="str">
        <f>B219&amp;"|"&amp;D219</f>
        <v>SSA|NE.CON.PRVT.ZS</v>
      </c>
    </row>
    <row r="220">
      <c r="A220" s="3" t="inlineStr">
        <is>
          <t>South Sudan</t>
        </is>
      </c>
      <c r="B220" s="3" t="inlineStr">
        <is>
          <t>SSD</t>
        </is>
      </c>
      <c r="C220" s="3" t="inlineStr">
        <is>
          <t>Households and NPISHs final consumption expenditure (% of GDP)</t>
        </is>
      </c>
      <c r="D220" s="3" t="inlineStr">
        <is>
          <t>NE.CON.PRVT.ZS</t>
        </is>
      </c>
      <c r="E220" s="3" t="inlineStr">
        <is>
          <t>0x2a</t>
        </is>
      </c>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3" t="n"/>
      <c r="AL220" s="3" t="n"/>
      <c r="AM220" s="3" t="n"/>
      <c r="AN220" s="3" t="n"/>
      <c r="AO220" s="3" t="n"/>
      <c r="AP220" s="3" t="n"/>
      <c r="AQ220" s="3" t="n"/>
      <c r="AR220" s="3" t="n"/>
      <c r="AS220" s="3" t="n"/>
      <c r="AT220" s="3" t="n"/>
      <c r="AU220" s="3" t="n"/>
      <c r="AV220" s="3" t="n"/>
      <c r="AW220" s="3" t="n"/>
      <c r="AX220" s="3" t="n"/>
      <c r="AY220" s="3" t="n"/>
      <c r="AZ220" s="3" t="n"/>
      <c r="BA220" s="3" t="n"/>
      <c r="BB220" s="3" t="n"/>
      <c r="BC220" s="3" t="n"/>
      <c r="BD220" s="3" t="n"/>
      <c r="BE220" s="3" t="n"/>
      <c r="BF220" s="3" t="n"/>
      <c r="BG220" s="3" t="n"/>
      <c r="BH220" s="3" t="n"/>
      <c r="BI220" s="3" t="n"/>
      <c r="BJ220" s="3" t="n"/>
      <c r="BK220" s="3" t="n"/>
      <c r="BL220" s="3" t="n"/>
      <c r="BM220" s="3" t="n"/>
      <c r="BN220" s="3" t="n"/>
      <c r="BO220" s="3" t="n"/>
      <c r="BP220" s="3" t="n"/>
      <c r="BQ220" s="3" t="n"/>
      <c r="BR220" s="34" t="str">
        <f>B220&amp;"|"&amp;D220</f>
        <v>SSD|NE.CON.PRVT.ZS</v>
      </c>
    </row>
    <row r="221">
      <c r="A221" s="3" t="inlineStr">
        <is>
          <t>Sub-Saharan Africa</t>
        </is>
      </c>
      <c r="B221" s="3" t="inlineStr">
        <is>
          <t>SSF</t>
        </is>
      </c>
      <c r="C221" s="3" t="inlineStr">
        <is>
          <t>Households and NPISHs final consumption expenditure (% of GDP)</t>
        </is>
      </c>
      <c r="D221" s="3" t="inlineStr">
        <is>
          <t>NE.CON.PRVT.ZS</t>
        </is>
      </c>
      <c r="E221" s="3" t="n">
        <v>2023</v>
      </c>
      <c r="F221" s="3" t="n"/>
      <c r="G221" s="3" t="n"/>
      <c r="H221" s="3" t="n"/>
      <c r="I221" s="3" t="n">
        <v>68.26564158167908</v>
      </c>
      <c r="J221" s="3" t="n">
        <v>67.80726606571334</v>
      </c>
      <c r="K221" s="3" t="n">
        <v>67.93927792789385</v>
      </c>
      <c r="L221" s="3" t="n">
        <v>66.41796488277626</v>
      </c>
      <c r="M221" s="3" t="n">
        <v>67.38992335192097</v>
      </c>
      <c r="N221" s="3" t="n">
        <v>67.27144043646565</v>
      </c>
      <c r="O221" s="3" t="n">
        <v>66.27490312075012</v>
      </c>
      <c r="P221" s="3" t="n">
        <v>63.96506377343304</v>
      </c>
      <c r="Q221" s="3" t="n">
        <v>69.95705676539004</v>
      </c>
      <c r="R221" s="3" t="n">
        <v>66.69961348582657</v>
      </c>
      <c r="S221" s="3" t="n">
        <v>66.5084741964025</v>
      </c>
      <c r="T221" s="3" t="n">
        <v>61.19408039011279</v>
      </c>
      <c r="U221" s="3" t="n">
        <v>65.10274489983364</v>
      </c>
      <c r="V221" s="3" t="n">
        <v>60.23559725333497</v>
      </c>
      <c r="W221" s="3" t="n">
        <v>62.01894968858031</v>
      </c>
      <c r="X221" s="3" t="n">
        <v>64.82207877770259</v>
      </c>
      <c r="Y221" s="3" t="n">
        <v>64.6999813361123</v>
      </c>
      <c r="Z221" s="3" t="n">
        <v>62.89332873653952</v>
      </c>
      <c r="AA221" s="3" t="n">
        <v>48.26160613338433</v>
      </c>
      <c r="AB221" s="3" t="n">
        <v>49.65810582078693</v>
      </c>
      <c r="AC221" s="3" t="n">
        <v>57.83464494267569</v>
      </c>
      <c r="AD221" s="3" t="n">
        <v>60.73180202418995</v>
      </c>
      <c r="AE221" s="3" t="n">
        <v>54.80347389599191</v>
      </c>
      <c r="AF221" s="3" t="n">
        <v>70.01765550313532</v>
      </c>
      <c r="AG221" s="3" t="n">
        <v>76.49707756936229</v>
      </c>
      <c r="AH221" s="3" t="n">
        <v>78.74531609438368</v>
      </c>
      <c r="AI221" s="3" t="n">
        <v>81.81677855203587</v>
      </c>
      <c r="AJ221" s="3" t="n">
        <v>84.37871565134576</v>
      </c>
      <c r="AK221" s="3" t="n">
        <v>83.86374784669252</v>
      </c>
      <c r="AL221" s="3" t="n">
        <v>83.53043594405742</v>
      </c>
      <c r="AM221" s="3" t="n">
        <v>81.13393274338665</v>
      </c>
      <c r="AN221" s="3" t="n">
        <v>76.6913469969632</v>
      </c>
      <c r="AO221" s="3" t="n">
        <v>70.08368168841098</v>
      </c>
      <c r="AP221" s="3" t="n">
        <v>62.48793955634655</v>
      </c>
      <c r="AQ221" s="3" t="n">
        <v>62.16271013569433</v>
      </c>
      <c r="AR221" s="3" t="n">
        <v>60.42038832315411</v>
      </c>
      <c r="AS221" s="3" t="n">
        <v>84.59344670654939</v>
      </c>
      <c r="AT221" s="3" t="n">
        <v>82.03103526817961</v>
      </c>
      <c r="AU221" s="3" t="n">
        <v>78.47606544497332</v>
      </c>
      <c r="AV221" s="3" t="n">
        <v>72.82451434957363</v>
      </c>
      <c r="AW221" s="3" t="n">
        <v>74.72482826750763</v>
      </c>
      <c r="AX221" s="3" t="n">
        <v>73.92230901103687</v>
      </c>
      <c r="AY221" s="3" t="n">
        <v>71.01274896858504</v>
      </c>
      <c r="AZ221" s="3" t="n">
        <v>67.52852153598373</v>
      </c>
      <c r="BA221" s="3" t="n">
        <v>66.70369262772522</v>
      </c>
      <c r="BB221" s="3" t="n">
        <v>63.6048047218963</v>
      </c>
      <c r="BC221" s="3" t="n">
        <v>69.52497741128603</v>
      </c>
      <c r="BD221" s="3" t="n">
        <v>67.12236683695482</v>
      </c>
      <c r="BE221" s="3" t="n">
        <v>66.42484018112413</v>
      </c>
      <c r="BF221" s="3" t="n">
        <v>66.71919456609223</v>
      </c>
      <c r="BG221" s="3" t="n">
        <v>64.93745862836397</v>
      </c>
      <c r="BH221" s="3" t="n">
        <v>63.74106556781559</v>
      </c>
      <c r="BI221" s="3" t="n">
        <v>67.52601078623056</v>
      </c>
      <c r="BJ221" s="3" t="n">
        <v>70.99247129481924</v>
      </c>
      <c r="BK221" s="3" t="n">
        <v>73.49985667511166</v>
      </c>
      <c r="BL221" s="3" t="n">
        <v>73.3060706809236</v>
      </c>
      <c r="BM221" s="3" t="n">
        <v>71.11333951059532</v>
      </c>
      <c r="BN221" s="3" t="n">
        <v>71.8358809603999</v>
      </c>
      <c r="BO221" s="3" t="n">
        <v>72.73102604229284</v>
      </c>
      <c r="BP221" s="3" t="n">
        <v>72.86166399313232</v>
      </c>
      <c r="BQ221" s="3" t="n">
        <v>80.31850459192856</v>
      </c>
      <c r="BR221" s="34" t="str">
        <f>B221&amp;"|"&amp;D221</f>
        <v>SSF|NE.CON.PRVT.ZS</v>
      </c>
    </row>
    <row r="222">
      <c r="A222" s="3" t="inlineStr">
        <is>
          <t>Small states</t>
        </is>
      </c>
      <c r="B222" s="3" t="inlineStr">
        <is>
          <t>SST</t>
        </is>
      </c>
      <c r="C222" s="3" t="inlineStr">
        <is>
          <t>Households and NPISHs final consumption expenditure (% of GDP)</t>
        </is>
      </c>
      <c r="D222" s="3" t="inlineStr">
        <is>
          <t>NE.CON.PRVT.ZS</t>
        </is>
      </c>
      <c r="E222" s="3" t="n">
        <v>2023</v>
      </c>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v>55.08695224170931</v>
      </c>
      <c r="AJ222" s="3" t="n">
        <v>57.47755721659358</v>
      </c>
      <c r="AK222" s="3" t="n">
        <v>60.65191023836915</v>
      </c>
      <c r="AL222" s="3" t="n">
        <v>61.0386841791155</v>
      </c>
      <c r="AM222" s="3" t="n">
        <v>59.69879350149987</v>
      </c>
      <c r="AN222" s="3" t="n">
        <v>58.35652864331023</v>
      </c>
      <c r="AO222" s="3" t="n">
        <v>60.00229155594581</v>
      </c>
      <c r="AP222" s="3" t="n">
        <v>60.12565593650753</v>
      </c>
      <c r="AQ222" s="3" t="n">
        <v>59.29865766659282</v>
      </c>
      <c r="AR222" s="3" t="n">
        <v>59.90110640831452</v>
      </c>
      <c r="AS222" s="3" t="n">
        <v>59.51561359839405</v>
      </c>
      <c r="AT222" s="3" t="n">
        <v>56.91130343454697</v>
      </c>
      <c r="AU222" s="3" t="n">
        <v>57.48665589322698</v>
      </c>
      <c r="AV222" s="3" t="n">
        <v>56.38780948521291</v>
      </c>
      <c r="AW222" s="3" t="n">
        <v>56.69329456744876</v>
      </c>
      <c r="AX222" s="3" t="n">
        <v>58.25796160629731</v>
      </c>
      <c r="AY222" s="3" t="n">
        <v>57.31601228636465</v>
      </c>
      <c r="AZ222" s="3" t="n">
        <v>55.17368741402437</v>
      </c>
      <c r="BA222" s="3" t="n">
        <v>54.60894605120682</v>
      </c>
      <c r="BB222" s="3" t="n">
        <v>55.2777463456014</v>
      </c>
      <c r="BC222" s="3" t="n">
        <v>56.24539278162779</v>
      </c>
      <c r="BD222" s="3" t="n">
        <v>55.09672148555788</v>
      </c>
      <c r="BE222" s="3" t="n">
        <v>53.953495667399</v>
      </c>
      <c r="BF222" s="3" t="n">
        <v>53.4208302008807</v>
      </c>
      <c r="BG222" s="3" t="n">
        <v>53.74078224086398</v>
      </c>
      <c r="BH222" s="3" t="n">
        <v>54.03290577024197</v>
      </c>
      <c r="BI222" s="3" t="n">
        <v>54.29806858758815</v>
      </c>
      <c r="BJ222" s="3" t="n">
        <v>54.71819045488554</v>
      </c>
      <c r="BK222" s="3" t="n">
        <v>54.11936660109014</v>
      </c>
      <c r="BL222" s="3" t="n">
        <v>53.86149649474431</v>
      </c>
      <c r="BM222" s="3" t="n">
        <v>52.93630911032715</v>
      </c>
      <c r="BN222" s="3" t="n">
        <v>54.64542307948859</v>
      </c>
      <c r="BO222" s="3" t="n">
        <v>52.65322728031182</v>
      </c>
      <c r="BP222" s="3" t="n">
        <v>50.50102419356912</v>
      </c>
      <c r="BQ222" s="3" t="n">
        <v>52.39225421650643</v>
      </c>
      <c r="BR222" s="34" t="str">
        <f>B222&amp;"|"&amp;D222</f>
        <v>SST|NE.CON.PRVT.ZS</v>
      </c>
    </row>
    <row r="223">
      <c r="A223" s="3" t="inlineStr">
        <is>
          <t>Sao Tome and Principe</t>
        </is>
      </c>
      <c r="B223" s="3" t="inlineStr">
        <is>
          <t>STP</t>
        </is>
      </c>
      <c r="C223" s="3" t="inlineStr">
        <is>
          <t>Households and NPISHs final consumption expenditure (% of GDP)</t>
        </is>
      </c>
      <c r="D223" s="3" t="inlineStr">
        <is>
          <t>NE.CON.PRVT.ZS</t>
        </is>
      </c>
      <c r="E223" s="3" t="inlineStr">
        <is>
          <t>0x2a</t>
        </is>
      </c>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3" t="n"/>
      <c r="AL223" s="3" t="n"/>
      <c r="AM223" s="3" t="n"/>
      <c r="AN223" s="3" t="n"/>
      <c r="AO223" s="3" t="n"/>
      <c r="AP223" s="3" t="n"/>
      <c r="AQ223" s="3" t="n"/>
      <c r="AR223" s="3" t="n"/>
      <c r="AS223" s="3" t="n"/>
      <c r="AT223" s="3" t="n"/>
      <c r="AU223" s="3" t="n"/>
      <c r="AV223" s="3" t="n"/>
      <c r="AW223" s="3" t="n"/>
      <c r="AX223" s="3" t="n"/>
      <c r="AY223" s="3" t="n"/>
      <c r="AZ223" s="3" t="n"/>
      <c r="BA223" s="3" t="n"/>
      <c r="BB223" s="3" t="n"/>
      <c r="BC223" s="3" t="n"/>
      <c r="BD223" s="3" t="n"/>
      <c r="BE223" s="3" t="n"/>
      <c r="BF223" s="3" t="n"/>
      <c r="BG223" s="3" t="n"/>
      <c r="BH223" s="3" t="n"/>
      <c r="BI223" s="3" t="n"/>
      <c r="BJ223" s="3" t="n"/>
      <c r="BK223" s="3" t="n"/>
      <c r="BL223" s="3" t="n"/>
      <c r="BM223" s="3" t="n"/>
      <c r="BN223" s="3" t="n"/>
      <c r="BO223" s="3" t="n"/>
      <c r="BP223" s="3" t="n"/>
      <c r="BQ223" s="3" t="n"/>
      <c r="BR223" s="34" t="str">
        <f>B223&amp;"|"&amp;D223</f>
        <v>STP|NE.CON.PRVT.ZS</v>
      </c>
    </row>
    <row r="224">
      <c r="A224" s="3" t="inlineStr">
        <is>
          <t>Suriname</t>
        </is>
      </c>
      <c r="B224" s="3" t="inlineStr">
        <is>
          <t>SUR</t>
        </is>
      </c>
      <c r="C224" s="3" t="inlineStr">
        <is>
          <t>Households and NPISHs final consumption expenditure (% of GDP)</t>
        </is>
      </c>
      <c r="D224" s="3" t="inlineStr">
        <is>
          <t>NE.CON.PRVT.ZS</t>
        </is>
      </c>
      <c r="E224" s="3" t="n">
        <v>2010</v>
      </c>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3" t="n"/>
      <c r="AL224" s="3" t="n"/>
      <c r="AM224" s="3" t="n"/>
      <c r="AN224" s="3" t="n"/>
      <c r="AO224" s="3" t="n"/>
      <c r="AP224" s="3" t="n"/>
      <c r="AQ224" s="3" t="n"/>
      <c r="AR224" s="3" t="n"/>
      <c r="AS224" s="3" t="n"/>
      <c r="AT224" s="3" t="n"/>
      <c r="AU224" s="3" t="n"/>
      <c r="AV224" s="3" t="n"/>
      <c r="AW224" s="3" t="n"/>
      <c r="AX224" s="3" t="n"/>
      <c r="AY224" s="3" t="n"/>
      <c r="AZ224" s="3" t="n">
        <v>39.82792117679711</v>
      </c>
      <c r="BA224" s="3" t="n">
        <v>36.81925319439275</v>
      </c>
      <c r="BB224" s="3" t="n">
        <v>40.14229738090328</v>
      </c>
      <c r="BC224" s="3" t="n">
        <v>36.72682835119384</v>
      </c>
      <c r="BD224" s="3" t="n">
        <v>35.92095388976903</v>
      </c>
      <c r="BE224" s="3" t="n"/>
      <c r="BF224" s="3" t="n"/>
      <c r="BG224" s="3" t="n"/>
      <c r="BH224" s="3" t="n"/>
      <c r="BI224" s="3" t="n"/>
      <c r="BJ224" s="3" t="n"/>
      <c r="BK224" s="3" t="n"/>
      <c r="BL224" s="3" t="n"/>
      <c r="BM224" s="3" t="n"/>
      <c r="BN224" s="3" t="n"/>
      <c r="BO224" s="3" t="n"/>
      <c r="BP224" s="3" t="n"/>
      <c r="BQ224" s="3" t="n"/>
      <c r="BR224" s="34" t="str">
        <f>B224&amp;"|"&amp;D224</f>
        <v>SUR|NE.CON.PRVT.ZS</v>
      </c>
    </row>
    <row r="225">
      <c r="A225" s="3" t="inlineStr">
        <is>
          <t>Slovak Republic</t>
        </is>
      </c>
      <c r="B225" s="3" t="inlineStr">
        <is>
          <t>SVK</t>
        </is>
      </c>
      <c r="C225" s="3" t="inlineStr">
        <is>
          <t>Households and NPISHs final consumption expenditure (% of GDP)</t>
        </is>
      </c>
      <c r="D225" s="3" t="inlineStr">
        <is>
          <t>NE.CON.PRVT.ZS</t>
        </is>
      </c>
      <c r="E225" s="3" t="n">
        <v>2023</v>
      </c>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v>55.24590688075912</v>
      </c>
      <c r="AK225" s="3" t="n">
        <v>52.43751637102955</v>
      </c>
      <c r="AL225" s="3" t="n">
        <v>51.20589241432564</v>
      </c>
      <c r="AM225" s="3" t="n">
        <v>56.61700514570567</v>
      </c>
      <c r="AN225" s="3" t="n">
        <v>53.82918810857495</v>
      </c>
      <c r="AO225" s="3" t="n">
        <v>53.27960059312884</v>
      </c>
      <c r="AP225" s="3" t="n">
        <v>53.85069042803079</v>
      </c>
      <c r="AQ225" s="3" t="n">
        <v>52.54575839960818</v>
      </c>
      <c r="AR225" s="3" t="n">
        <v>53.40922507592191</v>
      </c>
      <c r="AS225" s="3" t="n">
        <v>54.42123241112212</v>
      </c>
      <c r="AT225" s="3" t="n">
        <v>54.57679300574425</v>
      </c>
      <c r="AU225" s="3" t="n">
        <v>55.89930409333446</v>
      </c>
      <c r="AV225" s="3" t="n">
        <v>55.9687244672444</v>
      </c>
      <c r="AW225" s="3" t="n">
        <v>54.18413694399098</v>
      </c>
      <c r="AX225" s="3" t="n">
        <v>55.9778586797828</v>
      </c>
      <c r="AY225" s="3" t="n">
        <v>54.97361785714059</v>
      </c>
      <c r="AZ225" s="3" t="n">
        <v>54.90592901084386</v>
      </c>
      <c r="BA225" s="3" t="n">
        <v>54.21977921627719</v>
      </c>
      <c r="BB225" s="3" t="n">
        <v>55.82762484397629</v>
      </c>
      <c r="BC225" s="3" t="n">
        <v>59.6721901885216</v>
      </c>
      <c r="BD225" s="3" t="n">
        <v>56.64603362524223</v>
      </c>
      <c r="BE225" s="3" t="n">
        <v>55.28281020746068</v>
      </c>
      <c r="BF225" s="3" t="n">
        <v>55.95460521753805</v>
      </c>
      <c r="BG225" s="3" t="n">
        <v>55.39645023109819</v>
      </c>
      <c r="BH225" s="3" t="n">
        <v>55.01184448481402</v>
      </c>
      <c r="BI225" s="3" t="n">
        <v>53.81062722574313</v>
      </c>
      <c r="BJ225" s="3" t="n">
        <v>54.95145972512686</v>
      </c>
      <c r="BK225" s="3" t="n">
        <v>55.95441457887082</v>
      </c>
      <c r="BL225" s="3" t="n">
        <v>56.1313060618744</v>
      </c>
      <c r="BM225" s="3" t="n">
        <v>56.36468699572954</v>
      </c>
      <c r="BN225" s="3" t="n">
        <v>57.53543615400232</v>
      </c>
      <c r="BO225" s="3" t="n">
        <v>56.79270514335308</v>
      </c>
      <c r="BP225" s="3" t="n">
        <v>61.75400856788183</v>
      </c>
      <c r="BQ225" s="3" t="n">
        <v>58.93260877256316</v>
      </c>
      <c r="BR225" s="34" t="str">
        <f>B225&amp;"|"&amp;D225</f>
        <v>SVK|NE.CON.PRVT.ZS</v>
      </c>
    </row>
    <row r="226">
      <c r="A226" s="3" t="inlineStr">
        <is>
          <t>Slovenia</t>
        </is>
      </c>
      <c r="B226" s="3" t="inlineStr">
        <is>
          <t>SVN</t>
        </is>
      </c>
      <c r="C226" s="3" t="inlineStr">
        <is>
          <t>Households and NPISHs final consumption expenditure (% of GDP)</t>
        </is>
      </c>
      <c r="D226" s="3" t="inlineStr">
        <is>
          <t>NE.CON.PRVT.ZS</t>
        </is>
      </c>
      <c r="E226" s="3" t="n">
        <v>2023</v>
      </c>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v>47.99477613979688</v>
      </c>
      <c r="AK226" s="3" t="n">
        <v>49.43818030775348</v>
      </c>
      <c r="AL226" s="3" t="n">
        <v>49.73198641342864</v>
      </c>
      <c r="AM226" s="3" t="n">
        <v>52.76222843500351</v>
      </c>
      <c r="AN226" s="3" t="n">
        <v>51.13234575550572</v>
      </c>
      <c r="AO226" s="3" t="n">
        <v>58.95267503155534</v>
      </c>
      <c r="AP226" s="3" t="n">
        <v>58.42098049070225</v>
      </c>
      <c r="AQ226" s="3" t="n">
        <v>57.29107245161378</v>
      </c>
      <c r="AR226" s="3" t="n">
        <v>56.8575098320923</v>
      </c>
      <c r="AS226" s="3" t="n">
        <v>57.4116866459603</v>
      </c>
      <c r="AT226" s="3" t="n">
        <v>56.31439185509964</v>
      </c>
      <c r="AU226" s="3" t="n">
        <v>55.53869162710918</v>
      </c>
      <c r="AV226" s="3" t="n">
        <v>54.90907639366477</v>
      </c>
      <c r="AW226" s="3" t="n">
        <v>54.98185843649953</v>
      </c>
      <c r="AX226" s="3" t="n">
        <v>53.82403095620926</v>
      </c>
      <c r="AY226" s="3" t="n">
        <v>53.27088615021116</v>
      </c>
      <c r="AZ226" s="3" t="n">
        <v>51.10307829203376</v>
      </c>
      <c r="BA226" s="3" t="n">
        <v>50.828367184574</v>
      </c>
      <c r="BB226" s="3" t="n">
        <v>51.0589943525891</v>
      </c>
      <c r="BC226" s="3" t="n">
        <v>54.98425910497627</v>
      </c>
      <c r="BD226" s="3" t="n">
        <v>56.16065918545776</v>
      </c>
      <c r="BE226" s="3" t="n">
        <v>56.53062588574319</v>
      </c>
      <c r="BF226" s="3" t="n">
        <v>57.48658769338116</v>
      </c>
      <c r="BG226" s="3" t="n">
        <v>56.09595709788463</v>
      </c>
      <c r="BH226" s="3" t="n">
        <v>54.98423087114273</v>
      </c>
      <c r="BI226" s="3" t="n">
        <v>54.01167966934346</v>
      </c>
      <c r="BJ226" s="3" t="n">
        <v>53.99901298652874</v>
      </c>
      <c r="BK226" s="3" t="n">
        <v>52.54058470488445</v>
      </c>
      <c r="BL226" s="3" t="n">
        <v>52.00156289678669</v>
      </c>
      <c r="BM226" s="3" t="n">
        <v>52.46903980908111</v>
      </c>
      <c r="BN226" s="3" t="n">
        <v>50.39412330197933</v>
      </c>
      <c r="BO226" s="3" t="n">
        <v>51.67827035849585</v>
      </c>
      <c r="BP226" s="3" t="n">
        <v>53.97732619071284</v>
      </c>
      <c r="BQ226" s="3" t="n">
        <v>53.03856209023937</v>
      </c>
      <c r="BR226" s="34" t="str">
        <f>B226&amp;"|"&amp;D226</f>
        <v>SVN|NE.CON.PRVT.ZS</v>
      </c>
    </row>
    <row r="227">
      <c r="A227" s="3" t="inlineStr">
        <is>
          <t>Sweden</t>
        </is>
      </c>
      <c r="B227" s="3" t="inlineStr">
        <is>
          <t>SWE</t>
        </is>
      </c>
      <c r="C227" s="3" t="inlineStr">
        <is>
          <t>Households and NPISHs final consumption expenditure (% of GDP)</t>
        </is>
      </c>
      <c r="D227" s="3" t="inlineStr">
        <is>
          <t>NE.CON.PRVT.ZS</t>
        </is>
      </c>
      <c r="E227" s="3" t="n">
        <v>2023</v>
      </c>
      <c r="F227" s="3" t="n">
        <v>56.13394209346995</v>
      </c>
      <c r="G227" s="3" t="n">
        <v>55.57695912661104</v>
      </c>
      <c r="H227" s="3" t="n">
        <v>55.04497492200038</v>
      </c>
      <c r="I227" s="3" t="n">
        <v>54.6953763043247</v>
      </c>
      <c r="J227" s="3" t="n">
        <v>52.82957656881391</v>
      </c>
      <c r="K227" s="3" t="n">
        <v>52.77385559248382</v>
      </c>
      <c r="L227" s="3" t="n">
        <v>52.70251647537562</v>
      </c>
      <c r="M227" s="3" t="n">
        <v>52.34539574944098</v>
      </c>
      <c r="N227" s="3" t="n">
        <v>52.25852812772339</v>
      </c>
      <c r="O227" s="3" t="n">
        <v>51.95324466136299</v>
      </c>
      <c r="P227" s="3" t="n">
        <v>50.41593881469719</v>
      </c>
      <c r="Q227" s="3" t="n">
        <v>50.23517487664203</v>
      </c>
      <c r="R227" s="3" t="n">
        <v>50.53054092690984</v>
      </c>
      <c r="S227" s="3" t="n">
        <v>50.10239408167407</v>
      </c>
      <c r="T227" s="3" t="n">
        <v>50.58237894305307</v>
      </c>
      <c r="U227" s="3" t="n">
        <v>49.10745204972707</v>
      </c>
      <c r="V227" s="3" t="n">
        <v>50.21299067744883</v>
      </c>
      <c r="W227" s="3" t="n">
        <v>50.60972712712902</v>
      </c>
      <c r="X227" s="3" t="n">
        <v>50.3217513787913</v>
      </c>
      <c r="Y227" s="3" t="n">
        <v>49.6340416388813</v>
      </c>
      <c r="Z227" s="3" t="n">
        <v>48.71686376071459</v>
      </c>
      <c r="AA227" s="3" t="n">
        <v>49.72811682098012</v>
      </c>
      <c r="AB227" s="3" t="n">
        <v>50.53430949598546</v>
      </c>
      <c r="AC227" s="3" t="n">
        <v>48.91561938065897</v>
      </c>
      <c r="AD227" s="3" t="n">
        <v>47.63527059949688</v>
      </c>
      <c r="AE227" s="3" t="n">
        <v>48.03644463436503</v>
      </c>
      <c r="AF227" s="3" t="n">
        <v>48.39995265537745</v>
      </c>
      <c r="AG227" s="3" t="n">
        <v>49.45830756688592</v>
      </c>
      <c r="AH227" s="3" t="n">
        <v>49.37861377844273</v>
      </c>
      <c r="AI227" s="3" t="n">
        <v>48.09031891340936</v>
      </c>
      <c r="AJ227" s="3" t="n">
        <v>47.62669893346308</v>
      </c>
      <c r="AK227" s="3" t="n">
        <v>49.28937464447851</v>
      </c>
      <c r="AL227" s="3" t="n">
        <v>49.73908956278998</v>
      </c>
      <c r="AM227" s="3" t="n">
        <v>50.85390597049414</v>
      </c>
      <c r="AN227" s="3" t="n">
        <v>49.8366646427757</v>
      </c>
      <c r="AO227" s="3" t="n">
        <v>48.02422732018966</v>
      </c>
      <c r="AP227" s="3" t="n">
        <v>48.03698974767357</v>
      </c>
      <c r="AQ227" s="3" t="n">
        <v>47.9592080962492</v>
      </c>
      <c r="AR227" s="3" t="n">
        <v>47.33111772233331</v>
      </c>
      <c r="AS227" s="3" t="n">
        <v>47.50504969322065</v>
      </c>
      <c r="AT227" s="3" t="n">
        <v>47.5186979554023</v>
      </c>
      <c r="AU227" s="3" t="n">
        <v>47.04846487102648</v>
      </c>
      <c r="AV227" s="3" t="n">
        <v>47.13347311510136</v>
      </c>
      <c r="AW227" s="3" t="n">
        <v>46.9356782986524</v>
      </c>
      <c r="AX227" s="3" t="n">
        <v>46.33512755662686</v>
      </c>
      <c r="AY227" s="3" t="n">
        <v>46.54488013824232</v>
      </c>
      <c r="AZ227" s="3" t="n">
        <v>45.33537839385867</v>
      </c>
      <c r="BA227" s="3" t="n">
        <v>44.91349820707784</v>
      </c>
      <c r="BB227" s="3" t="n">
        <v>45.16206740824904</v>
      </c>
      <c r="BC227" s="3" t="n">
        <v>47.56523693667512</v>
      </c>
      <c r="BD227" s="3" t="n">
        <v>46.89626455927542</v>
      </c>
      <c r="BE227" s="3" t="n">
        <v>46.47717685938886</v>
      </c>
      <c r="BF227" s="3" t="n">
        <v>46.88580492139373</v>
      </c>
      <c r="BG227" s="3" t="n">
        <v>47.04234290630819</v>
      </c>
      <c r="BH227" s="3" t="n">
        <v>46.81275718618589</v>
      </c>
      <c r="BI227" s="3" t="n">
        <v>46.04339427340176</v>
      </c>
      <c r="BJ227" s="3" t="n">
        <v>45.85691470796015</v>
      </c>
      <c r="BK227" s="3" t="n">
        <v>45.71818432230783</v>
      </c>
      <c r="BL227" s="3" t="n">
        <v>45.69729010547385</v>
      </c>
      <c r="BM227" s="3" t="n">
        <v>44.93838049959809</v>
      </c>
      <c r="BN227" s="3" t="n">
        <v>43.98083332903314</v>
      </c>
      <c r="BO227" s="3" t="n">
        <v>43.73720281458795</v>
      </c>
      <c r="BP227" s="3" t="n">
        <v>43.90770505016201</v>
      </c>
      <c r="BQ227" s="3" t="n">
        <v>43.16136868898207</v>
      </c>
      <c r="BR227" s="34" t="str">
        <f>B227&amp;"|"&amp;D227</f>
        <v>SWE|NE.CON.PRVT.ZS</v>
      </c>
    </row>
    <row r="228">
      <c r="A228" s="3" t="inlineStr">
        <is>
          <t>Eswatini</t>
        </is>
      </c>
      <c r="B228" s="3" t="inlineStr">
        <is>
          <t>SWZ</t>
        </is>
      </c>
      <c r="C228" s="3" t="inlineStr">
        <is>
          <t>Households and NPISHs final consumption expenditure (% of GDP)</t>
        </is>
      </c>
      <c r="D228" s="3" t="inlineStr">
        <is>
          <t>NE.CON.PRVT.ZS</t>
        </is>
      </c>
      <c r="E228" s="3" t="n">
        <v>2022</v>
      </c>
      <c r="F228" s="3" t="n">
        <v>54.28079936459535</v>
      </c>
      <c r="G228" s="3" t="n">
        <v>54.98992935909075</v>
      </c>
      <c r="H228" s="3" t="n">
        <v>50.29613756146036</v>
      </c>
      <c r="I228" s="3" t="n">
        <v>47.58961201534247</v>
      </c>
      <c r="J228" s="3" t="n">
        <v>46.32153175610313</v>
      </c>
      <c r="K228" s="3" t="n">
        <v>51.39442231075697</v>
      </c>
      <c r="L228" s="3" t="n">
        <v>68.30601092896174</v>
      </c>
      <c r="M228" s="3" t="n">
        <v>76.21722846441948</v>
      </c>
      <c r="N228" s="3" t="n">
        <v>61.75438596491228</v>
      </c>
      <c r="O228" s="3" t="n">
        <v>60.1593625498008</v>
      </c>
      <c r="P228" s="3" t="n">
        <v>54.93133583021223</v>
      </c>
      <c r="Q228" s="3" t="n">
        <v>54.61065573770492</v>
      </c>
      <c r="R228" s="3" t="n">
        <v>50.70921985815603</v>
      </c>
      <c r="S228" s="3" t="n">
        <v>39.41558441558441</v>
      </c>
      <c r="T228" s="3" t="n">
        <v>28.17371937639198</v>
      </c>
      <c r="U228" s="3" t="n">
        <v>48.21763602251407</v>
      </c>
      <c r="V228" s="3" t="n">
        <v>50.71729957805907</v>
      </c>
      <c r="W228" s="3" t="n">
        <v>55.52193645990924</v>
      </c>
      <c r="X228" s="3" t="n">
        <v>51.75557056043214</v>
      </c>
      <c r="Y228" s="3" t="n">
        <v>71.83626405304122</v>
      </c>
      <c r="Z228" s="3" t="n">
        <v>67.96806519627584</v>
      </c>
      <c r="AA228" s="3" t="n">
        <v>78.94789379117589</v>
      </c>
      <c r="AB228" s="3" t="n">
        <v>78.01182114099709</v>
      </c>
      <c r="AC228" s="3" t="n">
        <v>77.63132374333279</v>
      </c>
      <c r="AD228" s="3" t="n">
        <v>78.71247429746401</v>
      </c>
      <c r="AE228" s="3" t="n">
        <v>89.18473520249222</v>
      </c>
      <c r="AF228" s="3" t="n">
        <v>70.98095098898958</v>
      </c>
      <c r="AG228" s="3" t="n">
        <v>65.98650466661061</v>
      </c>
      <c r="AH228" s="3" t="n">
        <v>62.30582215724909</v>
      </c>
      <c r="AI228" s="3" t="n">
        <v>61.41467548885679</v>
      </c>
      <c r="AJ228" s="3" t="n">
        <v>80.44946392275392</v>
      </c>
      <c r="AK228" s="3" t="n">
        <v>80.85848291858406</v>
      </c>
      <c r="AL228" s="3" t="n">
        <v>85.65011185530911</v>
      </c>
      <c r="AM228" s="3" t="n">
        <v>83.4245531731812</v>
      </c>
      <c r="AN228" s="3" t="n">
        <v>74.48941461384287</v>
      </c>
      <c r="AO228" s="3" t="n">
        <v>82.27625946809634</v>
      </c>
      <c r="AP228" s="3" t="n">
        <v>87.03645679027665</v>
      </c>
      <c r="AQ228" s="3" t="n">
        <v>76.86183818345347</v>
      </c>
      <c r="AR228" s="3" t="n">
        <v>77.84023125630908</v>
      </c>
      <c r="AS228" s="3" t="n">
        <v>79.87585652652059</v>
      </c>
      <c r="AT228" s="3" t="n">
        <v>71.92255596080285</v>
      </c>
      <c r="AU228" s="3" t="n">
        <v>71.16042742902897</v>
      </c>
      <c r="AV228" s="3" t="n">
        <v>70.54987097500266</v>
      </c>
      <c r="AW228" s="3" t="n">
        <v>68.10150547986413</v>
      </c>
      <c r="AX228" s="3" t="n">
        <v>67.50517564164242</v>
      </c>
      <c r="AY228" s="3" t="n">
        <v>68.55690480723445</v>
      </c>
      <c r="AZ228" s="3" t="n">
        <v>67.79384587324611</v>
      </c>
      <c r="BA228" s="3" t="n">
        <v>67.05922599182571</v>
      </c>
      <c r="BB228" s="3" t="n">
        <v>71.74467846079396</v>
      </c>
      <c r="BC228" s="3" t="n">
        <v>71.99681743003048</v>
      </c>
      <c r="BD228" s="3" t="n">
        <v>74.56684232270385</v>
      </c>
      <c r="BE228" s="3" t="n">
        <v>78.13147610551266</v>
      </c>
      <c r="BF228" s="3" t="n">
        <v>73.03354635742258</v>
      </c>
      <c r="BG228" s="3" t="n">
        <v>70.82862086836653</v>
      </c>
      <c r="BH228" s="3" t="n">
        <v>69.66699578031972</v>
      </c>
      <c r="BI228" s="3" t="n">
        <v>66.93350286847041</v>
      </c>
      <c r="BJ228" s="3" t="n">
        <v>63.0337234906125</v>
      </c>
      <c r="BK228" s="3" t="n">
        <v>65.57554849603856</v>
      </c>
      <c r="BL228" s="3" t="n">
        <v>65.61836158155286</v>
      </c>
      <c r="BM228" s="3" t="n">
        <v>63.77270998018902</v>
      </c>
      <c r="BN228" s="3" t="n">
        <v>66.0139776910565</v>
      </c>
      <c r="BO228" s="3" t="n">
        <v>65.679767968468</v>
      </c>
      <c r="BP228" s="3" t="n">
        <v>61.68785185136332</v>
      </c>
      <c r="BQ228" s="3" t="n"/>
      <c r="BR228" s="34" t="str">
        <f>B228&amp;"|"&amp;D228</f>
        <v>SWZ|NE.CON.PRVT.ZS</v>
      </c>
    </row>
    <row r="229">
      <c r="A229" s="3" t="inlineStr">
        <is>
          <t>Sint Maarten (Dutch part)</t>
        </is>
      </c>
      <c r="B229" s="3" t="inlineStr">
        <is>
          <t>SXM</t>
        </is>
      </c>
      <c r="C229" s="3" t="inlineStr">
        <is>
          <t>Households and NPISHs final consumption expenditure (% of GDP)</t>
        </is>
      </c>
      <c r="D229" s="3" t="inlineStr">
        <is>
          <t>NE.CON.PRVT.ZS</t>
        </is>
      </c>
      <c r="E229" s="3" t="inlineStr">
        <is>
          <t>0x2a</t>
        </is>
      </c>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3" t="n"/>
      <c r="AL229" s="3" t="n"/>
      <c r="AM229" s="3" t="n"/>
      <c r="AN229" s="3" t="n"/>
      <c r="AO229" s="3" t="n"/>
      <c r="AP229" s="3" t="n"/>
      <c r="AQ229" s="3" t="n"/>
      <c r="AR229" s="3" t="n"/>
      <c r="AS229" s="3" t="n"/>
      <c r="AT229" s="3" t="n"/>
      <c r="AU229" s="3" t="n"/>
      <c r="AV229" s="3" t="n"/>
      <c r="AW229" s="3" t="n"/>
      <c r="AX229" s="3" t="n"/>
      <c r="AY229" s="3" t="n"/>
      <c r="AZ229" s="3" t="n"/>
      <c r="BA229" s="3" t="n"/>
      <c r="BB229" s="3" t="n"/>
      <c r="BC229" s="3" t="n"/>
      <c r="BD229" s="3" t="n"/>
      <c r="BE229" s="3" t="n"/>
      <c r="BF229" s="3" t="n"/>
      <c r="BG229" s="3" t="n"/>
      <c r="BH229" s="3" t="n"/>
      <c r="BI229" s="3" t="n"/>
      <c r="BJ229" s="3" t="n"/>
      <c r="BK229" s="3" t="n"/>
      <c r="BL229" s="3" t="n"/>
      <c r="BM229" s="3" t="n"/>
      <c r="BN229" s="3" t="n"/>
      <c r="BO229" s="3" t="n"/>
      <c r="BP229" s="3" t="n"/>
      <c r="BQ229" s="3" t="n"/>
      <c r="BR229" s="34" t="str">
        <f>B229&amp;"|"&amp;D229</f>
        <v>SXM|NE.CON.PRVT.ZS</v>
      </c>
    </row>
    <row r="230">
      <c r="A230" s="3" t="inlineStr">
        <is>
          <t>Seychelles</t>
        </is>
      </c>
      <c r="B230" s="3" t="inlineStr">
        <is>
          <t>SYC</t>
        </is>
      </c>
      <c r="C230" s="3" t="inlineStr">
        <is>
          <t>Households and NPISHs final consumption expenditure (% of GDP)</t>
        </is>
      </c>
      <c r="D230" s="3" t="inlineStr">
        <is>
          <t>NE.CON.PRVT.ZS</t>
        </is>
      </c>
      <c r="E230" s="3" t="n">
        <v>2023</v>
      </c>
      <c r="F230" s="3" t="n"/>
      <c r="G230" s="3" t="n"/>
      <c r="H230" s="3" t="n"/>
      <c r="I230" s="3" t="n"/>
      <c r="J230" s="3" t="n"/>
      <c r="K230" s="3" t="n"/>
      <c r="L230" s="3" t="n"/>
      <c r="M230" s="3" t="n"/>
      <c r="N230" s="3" t="n"/>
      <c r="O230" s="3" t="n"/>
      <c r="P230" s="3" t="n"/>
      <c r="Q230" s="3" t="n"/>
      <c r="R230" s="3" t="n"/>
      <c r="S230" s="3" t="n"/>
      <c r="T230" s="3" t="n"/>
      <c r="U230" s="3" t="n"/>
      <c r="V230" s="3" t="n">
        <v>54.78740135942778</v>
      </c>
      <c r="W230" s="3" t="n">
        <v>40.24736415247364</v>
      </c>
      <c r="X230" s="3" t="n">
        <v>32.83456624075319</v>
      </c>
      <c r="Y230" s="3" t="n">
        <v>46.85444844273483</v>
      </c>
      <c r="Z230" s="3" t="n">
        <v>43.63438561922043</v>
      </c>
      <c r="AA230" s="3" t="n">
        <v>50.0180455540971</v>
      </c>
      <c r="AB230" s="3" t="n">
        <v>54.5211146651687</v>
      </c>
      <c r="AC230" s="3" t="n">
        <v>53.21972437656017</v>
      </c>
      <c r="AD230" s="3" t="n">
        <v>43.05963208610822</v>
      </c>
      <c r="AE230" s="3" t="n">
        <v>36.54650754802687</v>
      </c>
      <c r="AF230" s="3" t="n">
        <v>30.48808017200873</v>
      </c>
      <c r="AG230" s="3" t="n">
        <v>33.64893335726626</v>
      </c>
      <c r="AH230" s="3" t="n">
        <v>35.2225557270443</v>
      </c>
      <c r="AI230" s="3" t="n">
        <v>36.95871458961246</v>
      </c>
      <c r="AJ230" s="3" t="n">
        <v>50.74089289185645</v>
      </c>
      <c r="AK230" s="3" t="n">
        <v>51.89034224107974</v>
      </c>
      <c r="AL230" s="3" t="n">
        <v>51.10397662109409</v>
      </c>
      <c r="AM230" s="3" t="n">
        <v>51.00781662530185</v>
      </c>
      <c r="AN230" s="3" t="n">
        <v>45.75652741032923</v>
      </c>
      <c r="AO230" s="3" t="n">
        <v>48.11694296751425</v>
      </c>
      <c r="AP230" s="3" t="n">
        <v>39.92177180703262</v>
      </c>
      <c r="AQ230" s="3" t="n">
        <v>48.4158258937906</v>
      </c>
      <c r="AR230" s="3" t="n">
        <v>48.90778458085191</v>
      </c>
      <c r="AS230" s="3" t="n">
        <v>46.45355790708348</v>
      </c>
      <c r="AT230" s="3" t="n">
        <v>35.09455023593987</v>
      </c>
      <c r="AU230" s="3" t="n">
        <v>38.39147404457982</v>
      </c>
      <c r="AV230" s="3" t="n">
        <v>25.8564938793782</v>
      </c>
      <c r="AW230" s="3" t="n">
        <v>32.86405997918578</v>
      </c>
      <c r="AX230" s="3" t="n">
        <v>36.03740573884441</v>
      </c>
      <c r="AY230" s="3" t="n">
        <v>39.21076394065156</v>
      </c>
      <c r="AZ230" s="3" t="n">
        <v>42.38410400764401</v>
      </c>
      <c r="BA230" s="3" t="n">
        <v>36.77596729015525</v>
      </c>
      <c r="BB230" s="3" t="n">
        <v>56.81177574459938</v>
      </c>
      <c r="BC230" s="3" t="n">
        <v>53.553767814091</v>
      </c>
      <c r="BD230" s="3" t="n">
        <v>50.61782295001248</v>
      </c>
      <c r="BE230" s="3" t="n">
        <v>50.99327284566216</v>
      </c>
      <c r="BF230" s="3" t="n">
        <v>50.98568726575057</v>
      </c>
      <c r="BG230" s="3" t="n">
        <v>42.10878022321082</v>
      </c>
      <c r="BH230" s="3" t="n">
        <v>64.03681313734944</v>
      </c>
      <c r="BI230" s="3" t="n">
        <v>58.13595489104799</v>
      </c>
      <c r="BJ230" s="3" t="n">
        <v>62.66652360173173</v>
      </c>
      <c r="BK230" s="3" t="n">
        <v>63.4920710796687</v>
      </c>
      <c r="BL230" s="3" t="n">
        <v>66.74219933076731</v>
      </c>
      <c r="BM230" s="3" t="n">
        <v>64.42558068625559</v>
      </c>
      <c r="BN230" s="3" t="n">
        <v>72.69186857943176</v>
      </c>
      <c r="BO230" s="3" t="n">
        <v>80.93023298141347</v>
      </c>
      <c r="BP230" s="3" t="n">
        <v>74.53730748605312</v>
      </c>
      <c r="BQ230" s="3" t="n">
        <v>73.80794022970626</v>
      </c>
      <c r="BR230" s="34" t="str">
        <f>B230&amp;"|"&amp;D230</f>
        <v>SYC|NE.CON.PRVT.ZS</v>
      </c>
    </row>
    <row r="231">
      <c r="A231" s="3" t="inlineStr">
        <is>
          <t>Syrian Arab Republic</t>
        </is>
      </c>
      <c r="B231" s="3" t="inlineStr">
        <is>
          <t>SYR</t>
        </is>
      </c>
      <c r="C231" s="3" t="inlineStr">
        <is>
          <t>Households and NPISHs final consumption expenditure (% of GDP)</t>
        </is>
      </c>
      <c r="D231" s="3" t="inlineStr">
        <is>
          <t>NE.CON.PRVT.ZS</t>
        </is>
      </c>
      <c r="E231" s="3" t="n">
        <v>2021</v>
      </c>
      <c r="F231" s="3" t="n">
        <v>77.65050584224788</v>
      </c>
      <c r="G231" s="3" t="n">
        <v>76.54606399511582</v>
      </c>
      <c r="H231" s="3" t="n">
        <v>70.30148281787349</v>
      </c>
      <c r="I231" s="3" t="n">
        <v>76.62091561804476</v>
      </c>
      <c r="J231" s="3" t="n">
        <v>77.84160002091905</v>
      </c>
      <c r="K231" s="3" t="n">
        <v>75.05907925438004</v>
      </c>
      <c r="L231" s="3" t="n">
        <v>78.00323487143217</v>
      </c>
      <c r="M231" s="3" t="n">
        <v>75.25068712577077</v>
      </c>
      <c r="N231" s="3" t="n">
        <v>70.74088365730485</v>
      </c>
      <c r="O231" s="3" t="n">
        <v>71.85413749514389</v>
      </c>
      <c r="P231" s="3" t="n">
        <v>72.70588235294117</v>
      </c>
      <c r="Q231" s="3" t="n">
        <v>72.61949332334956</v>
      </c>
      <c r="R231" s="3" t="n">
        <v>70.21022973558735</v>
      </c>
      <c r="S231" s="3" t="n">
        <v>63.9793124429571</v>
      </c>
      <c r="T231" s="3" t="n">
        <v>72.27516566740296</v>
      </c>
      <c r="U231" s="3" t="n">
        <v>66.02417827839005</v>
      </c>
      <c r="V231" s="3" t="n">
        <v>62.78260869565217</v>
      </c>
      <c r="W231" s="3" t="n">
        <v>66.92333320993595</v>
      </c>
      <c r="X231" s="3" t="n">
        <v>68.57266355861557</v>
      </c>
      <c r="Y231" s="3" t="n">
        <v>68.61497408528763</v>
      </c>
      <c r="Z231" s="3" t="n">
        <v>66.03861907548274</v>
      </c>
      <c r="AA231" s="3" t="n">
        <v>73.02096477492132</v>
      </c>
      <c r="AB231" s="3" t="n">
        <v>65.05349770308774</v>
      </c>
      <c r="AC231" s="3" t="n">
        <v>67.48986915173759</v>
      </c>
      <c r="AD231" s="3" t="n">
        <v>64.90934671232513</v>
      </c>
      <c r="AE231" s="3" t="n">
        <v>65.55722439170923</v>
      </c>
      <c r="AF231" s="3" t="n">
        <v>67.07093752814386</v>
      </c>
      <c r="AG231" s="3" t="n">
        <v>77.12352793786017</v>
      </c>
      <c r="AH231" s="3" t="n">
        <v>82.06689707439519</v>
      </c>
      <c r="AI231" s="3" t="n">
        <v>67.84223426459606</v>
      </c>
      <c r="AJ231" s="3" t="n">
        <v>68.71776333442652</v>
      </c>
      <c r="AK231" s="3" t="n">
        <v>74.42547919528572</v>
      </c>
      <c r="AL231" s="3" t="n">
        <v>73.78171837580389</v>
      </c>
      <c r="AM231" s="3" t="n">
        <v>73.47294896738407</v>
      </c>
      <c r="AN231" s="3" t="n">
        <v>68.93189304111235</v>
      </c>
      <c r="AO231" s="3" t="n">
        <v>66.22759315206444</v>
      </c>
      <c r="AP231" s="3" t="n">
        <v>70.88702871940214</v>
      </c>
      <c r="AQ231" s="3" t="n">
        <v>69.12988603335171</v>
      </c>
      <c r="AR231" s="3" t="n">
        <v>68.61637257035287</v>
      </c>
      <c r="AS231" s="3" t="n">
        <v>70.30541135794269</v>
      </c>
      <c r="AT231" s="3" t="n">
        <v>63.3899425506537</v>
      </c>
      <c r="AU231" s="3" t="n">
        <v>60.75309443043589</v>
      </c>
      <c r="AV231" s="3" t="n">
        <v>59.54045128521946</v>
      </c>
      <c r="AW231" s="3" t="n">
        <v>60.47471380041949</v>
      </c>
      <c r="AX231" s="3" t="n">
        <v>59.92796538928763</v>
      </c>
      <c r="AY231" s="3" t="n">
        <v>61.31470395728201</v>
      </c>
      <c r="AZ231" s="3" t="n">
        <v>63.37103018760383</v>
      </c>
      <c r="BA231" s="3" t="n">
        <v>66.50933919492805</v>
      </c>
      <c r="BB231" s="3" t="n">
        <v>71.17950540427931</v>
      </c>
      <c r="BC231" s="3" t="n">
        <v>71.93586714827796</v>
      </c>
      <c r="BD231" s="3" t="n">
        <v>65.89369546910461</v>
      </c>
      <c r="BE231" s="3" t="n">
        <v>77.54187264812219</v>
      </c>
      <c r="BF231" s="3" t="n">
        <v>92.58757978102658</v>
      </c>
      <c r="BG231" s="3" t="n">
        <v>95.57854244372999</v>
      </c>
      <c r="BH231" s="3" t="n">
        <v>112.3726374585126</v>
      </c>
      <c r="BI231" s="3" t="n">
        <v>92.81692410896173</v>
      </c>
      <c r="BJ231" s="3" t="n">
        <v>99.14238540062702</v>
      </c>
      <c r="BK231" s="3" t="n">
        <v>96.90949084580409</v>
      </c>
      <c r="BL231" s="3" t="n">
        <v>95.83145499679617</v>
      </c>
      <c r="BM231" s="3" t="n">
        <v>93.22073584380092</v>
      </c>
      <c r="BN231" s="3" t="n">
        <v>100.4313046399231</v>
      </c>
      <c r="BO231" s="3" t="n">
        <v>128.6331142174219</v>
      </c>
      <c r="BP231" s="3" t="n"/>
      <c r="BQ231" s="3" t="n"/>
      <c r="BR231" s="34" t="str">
        <f>B231&amp;"|"&amp;D231</f>
        <v>SYR|NE.CON.PRVT.ZS</v>
      </c>
    </row>
    <row r="232">
      <c r="A232" s="3" t="inlineStr">
        <is>
          <t>Turks and Caicos Islands</t>
        </is>
      </c>
      <c r="B232" s="3" t="inlineStr">
        <is>
          <t>TCA</t>
        </is>
      </c>
      <c r="C232" s="3" t="inlineStr">
        <is>
          <t>Households and NPISHs final consumption expenditure (% of GDP)</t>
        </is>
      </c>
      <c r="D232" s="3" t="inlineStr">
        <is>
          <t>NE.CON.PRVT.ZS</t>
        </is>
      </c>
      <c r="E232" s="3" t="inlineStr">
        <is>
          <t>0x2a</t>
        </is>
      </c>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3" t="n"/>
      <c r="AL232" s="3" t="n"/>
      <c r="AM232" s="3" t="n"/>
      <c r="AN232" s="3" t="n"/>
      <c r="AO232" s="3" t="n"/>
      <c r="AP232" s="3" t="n"/>
      <c r="AQ232" s="3" t="n"/>
      <c r="AR232" s="3" t="n"/>
      <c r="AS232" s="3" t="n"/>
      <c r="AT232" s="3" t="n"/>
      <c r="AU232" s="3" t="n"/>
      <c r="AV232" s="3" t="n"/>
      <c r="AW232" s="3" t="n"/>
      <c r="AX232" s="3" t="n"/>
      <c r="AY232" s="3" t="n"/>
      <c r="AZ232" s="3" t="n"/>
      <c r="BA232" s="3" t="n"/>
      <c r="BB232" s="3" t="n"/>
      <c r="BC232" s="3" t="n"/>
      <c r="BD232" s="3" t="n"/>
      <c r="BE232" s="3" t="n"/>
      <c r="BF232" s="3" t="n"/>
      <c r="BG232" s="3" t="n"/>
      <c r="BH232" s="3" t="n"/>
      <c r="BI232" s="3" t="n"/>
      <c r="BJ232" s="3" t="n"/>
      <c r="BK232" s="3" t="n"/>
      <c r="BL232" s="3" t="n"/>
      <c r="BM232" s="3" t="n"/>
      <c r="BN232" s="3" t="n"/>
      <c r="BO232" s="3" t="n"/>
      <c r="BP232" s="3" t="n"/>
      <c r="BQ232" s="3" t="n"/>
      <c r="BR232" s="34" t="str">
        <f>B232&amp;"|"&amp;D232</f>
        <v>TCA|NE.CON.PRVT.ZS</v>
      </c>
    </row>
    <row r="233">
      <c r="A233" s="3" t="inlineStr">
        <is>
          <t>Chad</t>
        </is>
      </c>
      <c r="B233" s="3" t="inlineStr">
        <is>
          <t>TCD</t>
        </is>
      </c>
      <c r="C233" s="3" t="inlineStr">
        <is>
          <t>Households and NPISHs final consumption expenditure (% of GDP)</t>
        </is>
      </c>
      <c r="D233" s="3" t="inlineStr">
        <is>
          <t>NE.CON.PRVT.ZS</t>
        </is>
      </c>
      <c r="E233" s="3" t="n">
        <v>2023</v>
      </c>
      <c r="F233" s="3" t="n">
        <v>68.35732545267588</v>
      </c>
      <c r="G233" s="3" t="n">
        <v>68.35955626133664</v>
      </c>
      <c r="H233" s="3" t="n">
        <v>72.26527062606152</v>
      </c>
      <c r="I233" s="3" t="n">
        <v>69.17151515855522</v>
      </c>
      <c r="J233" s="3" t="n">
        <v>70.89418753879427</v>
      </c>
      <c r="K233" s="3" t="n">
        <v>70.43035360644291</v>
      </c>
      <c r="L233" s="3" t="n">
        <v>66.6327706362429</v>
      </c>
      <c r="M233" s="3" t="n">
        <v>62.16007026923739</v>
      </c>
      <c r="N233" s="3" t="n">
        <v>61.85561701632981</v>
      </c>
      <c r="O233" s="3" t="n">
        <v>59.09604341425907</v>
      </c>
      <c r="P233" s="3" t="n">
        <v>60.35537130416605</v>
      </c>
      <c r="Q233" s="3" t="n">
        <v>58.96390081577422</v>
      </c>
      <c r="R233" s="3" t="n">
        <v>59.39626887521246</v>
      </c>
      <c r="S233" s="3" t="n">
        <v>61.12980129932693</v>
      </c>
      <c r="T233" s="3" t="n">
        <v>60.43269925270143</v>
      </c>
      <c r="U233" s="3" t="n">
        <v>64.49856626865876</v>
      </c>
      <c r="V233" s="3" t="n">
        <v>68.17782147099216</v>
      </c>
      <c r="W233" s="3" t="n">
        <v>69.96968354086376</v>
      </c>
      <c r="X233" s="3" t="n">
        <v>69.11711387489667</v>
      </c>
      <c r="Y233" s="3" t="n"/>
      <c r="Z233" s="3" t="n"/>
      <c r="AA233" s="3" t="n">
        <v>95.47268268701008</v>
      </c>
      <c r="AB233" s="3" t="n">
        <v>93.528433400968</v>
      </c>
      <c r="AC233" s="3" t="n">
        <v>93.45344532077414</v>
      </c>
      <c r="AD233" s="3" t="n">
        <v>91.18835585552368</v>
      </c>
      <c r="AE233" s="3" t="n">
        <v>97.49335851983332</v>
      </c>
      <c r="AF233" s="3" t="n">
        <v>97.1484249772332</v>
      </c>
      <c r="AG233" s="3" t="n">
        <v>92.15091257643451</v>
      </c>
      <c r="AH233" s="3" t="n">
        <v>90.63325562764001</v>
      </c>
      <c r="AI233" s="3" t="n">
        <v>89.84810321768893</v>
      </c>
      <c r="AJ233" s="3" t="n">
        <v>97.62706852623633</v>
      </c>
      <c r="AK233" s="3" t="n">
        <v>92.7166637614083</v>
      </c>
      <c r="AL233" s="3" t="n">
        <v>93.06989023877951</v>
      </c>
      <c r="AM233" s="3" t="n">
        <v>92.55450070040683</v>
      </c>
      <c r="AN233" s="3" t="n">
        <v>94.03839651266594</v>
      </c>
      <c r="AO233" s="3" t="n">
        <v>91.03144368154176</v>
      </c>
      <c r="AP233" s="3" t="n">
        <v>82.94400905313864</v>
      </c>
      <c r="AQ233" s="3" t="n">
        <v>86.40310253252548</v>
      </c>
      <c r="AR233" s="3" t="n">
        <v>90.25160012426925</v>
      </c>
      <c r="AS233" s="3" t="n">
        <v>93.25381302030902</v>
      </c>
      <c r="AT233" s="3" t="n">
        <v>86.79881370030496</v>
      </c>
      <c r="AU233" s="3" t="n">
        <v>87.25000622944091</v>
      </c>
      <c r="AV233" s="3" t="n">
        <v>133.1093856047557</v>
      </c>
      <c r="AW233" s="3" t="n">
        <v>73.8902653821813</v>
      </c>
      <c r="AX233" s="3" t="n">
        <v>70.55841323734961</v>
      </c>
      <c r="AY233" s="3" t="n">
        <v>65.03048573220651</v>
      </c>
      <c r="AZ233" s="3" t="n">
        <v>73.97822225726524</v>
      </c>
      <c r="BA233" s="3" t="n">
        <v>67.40918564901246</v>
      </c>
      <c r="BB233" s="3" t="n">
        <v>66.75486099931773</v>
      </c>
      <c r="BC233" s="3" t="n">
        <v>69.00855631493573</v>
      </c>
      <c r="BD233" s="3" t="n">
        <v>65.48514925763445</v>
      </c>
      <c r="BE233" s="3" t="n">
        <v>67.970621454324</v>
      </c>
      <c r="BF233" s="3" t="n">
        <v>65.66310168028832</v>
      </c>
      <c r="BG233" s="3" t="n">
        <v>68.34102823088007</v>
      </c>
      <c r="BH233" s="3" t="n">
        <v>68.3182569084034</v>
      </c>
      <c r="BI233" s="3" t="n">
        <v>73.32014891720729</v>
      </c>
      <c r="BJ233" s="3" t="n">
        <v>75.37562060160428</v>
      </c>
      <c r="BK233" s="3" t="n">
        <v>80.1636496130009</v>
      </c>
      <c r="BL233" s="3" t="n">
        <v>77.35248662609912</v>
      </c>
      <c r="BM233" s="3" t="n">
        <v>76.08509339994521</v>
      </c>
      <c r="BN233" s="3" t="n">
        <v>90.00759935093404</v>
      </c>
      <c r="BO233" s="3" t="n">
        <v>81.8280587983426</v>
      </c>
      <c r="BP233" s="3" t="n">
        <v>72.05792244421748</v>
      </c>
      <c r="BQ233" s="3" t="n">
        <v>74.60366395986406</v>
      </c>
      <c r="BR233" s="34" t="str">
        <f>B233&amp;"|"&amp;D233</f>
        <v>TCD|NE.CON.PRVT.ZS</v>
      </c>
    </row>
    <row r="234">
      <c r="A234" s="3" t="inlineStr">
        <is>
          <t>East Asia &amp; Pacific (IDA &amp; IBRD countries)</t>
        </is>
      </c>
      <c r="B234" s="3" t="inlineStr">
        <is>
          <t>TEA</t>
        </is>
      </c>
      <c r="C234" s="3" t="inlineStr">
        <is>
          <t>Households and NPISHs final consumption expenditure (% of GDP)</t>
        </is>
      </c>
      <c r="D234" s="3" t="inlineStr">
        <is>
          <t>NE.CON.PRVT.ZS</t>
        </is>
      </c>
      <c r="E234" s="3" t="n">
        <v>2022</v>
      </c>
      <c r="F234" s="3" t="n">
        <v>54.23809546051462</v>
      </c>
      <c r="G234" s="3" t="n">
        <v>67.56991072467487</v>
      </c>
      <c r="H234" s="3" t="n">
        <v>76.53675831417321</v>
      </c>
      <c r="I234" s="3" t="n">
        <v>71.98901924728936</v>
      </c>
      <c r="J234" s="3" t="n">
        <v>65.75531512502396</v>
      </c>
      <c r="K234" s="3" t="n">
        <v>60.53105763985364</v>
      </c>
      <c r="L234" s="3" t="n">
        <v>59.56386968637803</v>
      </c>
      <c r="M234" s="3" t="n">
        <v>65.31601063872166</v>
      </c>
      <c r="N234" s="3" t="n">
        <v>66.08242669119944</v>
      </c>
      <c r="O234" s="3" t="n">
        <v>62.29374708823595</v>
      </c>
      <c r="P234" s="3" t="n">
        <v>59.71327008176897</v>
      </c>
      <c r="Q234" s="3" t="n">
        <v>57.73632821783632</v>
      </c>
      <c r="R234" s="3" t="n">
        <v>58.54670633535345</v>
      </c>
      <c r="S234" s="3" t="n">
        <v>57.94980499807225</v>
      </c>
      <c r="T234" s="3" t="n">
        <v>57.52707904907466</v>
      </c>
      <c r="U234" s="3" t="n">
        <v>57.0581685480253</v>
      </c>
      <c r="V234" s="3" t="n">
        <v>58.67421337247284</v>
      </c>
      <c r="W234" s="3" t="n">
        <v>56.79441187300785</v>
      </c>
      <c r="X234" s="3" t="n">
        <v>54.81101037527777</v>
      </c>
      <c r="Y234" s="3" t="n">
        <v>53.59860823782683</v>
      </c>
      <c r="Z234" s="3" t="n">
        <v>55.28440515123245</v>
      </c>
      <c r="AA234" s="3" t="n">
        <v>58.2117005211976</v>
      </c>
      <c r="AB234" s="3" t="n">
        <v>58.99969340771302</v>
      </c>
      <c r="AC234" s="3" t="n">
        <v>56.74371361762288</v>
      </c>
      <c r="AD234" s="3" t="n">
        <v>55.38289532844718</v>
      </c>
      <c r="AE234" s="3" t="n">
        <v>55.19980386597253</v>
      </c>
      <c r="AF234" s="3" t="n">
        <v>54.38491172895385</v>
      </c>
      <c r="AG234" s="3" t="n">
        <v>51.99553680658491</v>
      </c>
      <c r="AH234" s="3" t="n">
        <v>53.20463235370093</v>
      </c>
      <c r="AI234" s="3" t="n">
        <v>55.34676297201872</v>
      </c>
      <c r="AJ234" s="3" t="n">
        <v>55.67361382136357</v>
      </c>
      <c r="AK234" s="3" t="n">
        <v>54.46830470654251</v>
      </c>
      <c r="AL234" s="3" t="n">
        <v>52.77217091169783</v>
      </c>
      <c r="AM234" s="3" t="n">
        <v>50.85944214283874</v>
      </c>
      <c r="AN234" s="3" t="n">
        <v>50.64123080188174</v>
      </c>
      <c r="AO234" s="3" t="n">
        <v>51.35608716639855</v>
      </c>
      <c r="AP234" s="3" t="n">
        <v>51.86859033835429</v>
      </c>
      <c r="AQ234" s="3" t="n">
        <v>50.90130089907878</v>
      </c>
      <c r="AR234" s="3" t="n">
        <v>49.39729512906292</v>
      </c>
      <c r="AS234" s="3" t="n">
        <v>51.02952998926502</v>
      </c>
      <c r="AT234" s="3" t="n">
        <v>50.27259386500742</v>
      </c>
      <c r="AU234" s="3" t="n">
        <v>49.55247574819611</v>
      </c>
      <c r="AV234" s="3" t="n">
        <v>49.58929038200589</v>
      </c>
      <c r="AW234" s="3" t="n">
        <v>48.01904453417684</v>
      </c>
      <c r="AX234" s="3" t="n">
        <v>46.11879475903048</v>
      </c>
      <c r="AY234" s="3" t="n">
        <v>45.00604021870947</v>
      </c>
      <c r="AZ234" s="3" t="n">
        <v>43.38324420572043</v>
      </c>
      <c r="BA234" s="3" t="n">
        <v>42.03110402076832</v>
      </c>
      <c r="BB234" s="3" t="n">
        <v>40.63047707115067</v>
      </c>
      <c r="BC234" s="3" t="n">
        <v>40.1780156397022</v>
      </c>
      <c r="BD234" s="3" t="n">
        <v>39.16478344642572</v>
      </c>
      <c r="BE234" s="3" t="n">
        <v>39.31555265179614</v>
      </c>
      <c r="BF234" s="3" t="n">
        <v>39.66653051408208</v>
      </c>
      <c r="BG234" s="3" t="n">
        <v>39.87298721065225</v>
      </c>
      <c r="BH234" s="3" t="n">
        <v>40.36677444349338</v>
      </c>
      <c r="BI234" s="3" t="n">
        <v>41.17229353434535</v>
      </c>
      <c r="BJ234" s="3" t="n">
        <v>42.01793896383467</v>
      </c>
      <c r="BK234" s="3" t="n">
        <v>41.77108142891849</v>
      </c>
      <c r="BL234" s="3" t="n">
        <v>41.63028185252456</v>
      </c>
      <c r="BM234" s="3" t="n">
        <v>42.48019037487196</v>
      </c>
      <c r="BN234" s="3" t="n">
        <v>41.59894377292372</v>
      </c>
      <c r="BO234" s="3" t="n">
        <v>41.01802005435918</v>
      </c>
      <c r="BP234" s="3" t="n">
        <v>40.44321710925953</v>
      </c>
      <c r="BQ234" s="3" t="n"/>
      <c r="BR234" s="34" t="str">
        <f>B234&amp;"|"&amp;D234</f>
        <v>TEA|NE.CON.PRVT.ZS</v>
      </c>
    </row>
    <row r="235">
      <c r="A235" s="3" t="inlineStr">
        <is>
          <t>Europe &amp; Central Asia (IDA &amp; IBRD countries)</t>
        </is>
      </c>
      <c r="B235" s="3" t="inlineStr">
        <is>
          <t>TEC</t>
        </is>
      </c>
      <c r="C235" s="3" t="inlineStr">
        <is>
          <t>Households and NPISHs final consumption expenditure (% of GDP)</t>
        </is>
      </c>
      <c r="D235" s="3" t="inlineStr">
        <is>
          <t>NE.CON.PRVT.ZS</t>
        </is>
      </c>
      <c r="E235" s="3" t="n">
        <v>2023</v>
      </c>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v>61.46264219209135</v>
      </c>
      <c r="AK235" s="3" t="n">
        <v>58.80856943811853</v>
      </c>
      <c r="AL235" s="3" t="n">
        <v>51.61887605738795</v>
      </c>
      <c r="AM235" s="3" t="n">
        <v>58.9975889231668</v>
      </c>
      <c r="AN235" s="3" t="n">
        <v>59.993281145937</v>
      </c>
      <c r="AO235" s="3" t="n">
        <v>60.24872421345692</v>
      </c>
      <c r="AP235" s="3" t="n">
        <v>60.91122777008044</v>
      </c>
      <c r="AQ235" s="3" t="n">
        <v>62.07232977343562</v>
      </c>
      <c r="AR235" s="3" t="n">
        <v>63.75294133293671</v>
      </c>
      <c r="AS235" s="3" t="n">
        <v>63.59120225911528</v>
      </c>
      <c r="AT235" s="3" t="n">
        <v>60.47637219688312</v>
      </c>
      <c r="AU235" s="3" t="n">
        <v>60.25438940455768</v>
      </c>
      <c r="AV235" s="3" t="n">
        <v>60.92347055375014</v>
      </c>
      <c r="AW235" s="3" t="n">
        <v>60.6512751151299</v>
      </c>
      <c r="AX235" s="3" t="n">
        <v>59.73636516919575</v>
      </c>
      <c r="AY235" s="3" t="n">
        <v>58.78827765752783</v>
      </c>
      <c r="AZ235" s="3" t="n">
        <v>56.97382318383279</v>
      </c>
      <c r="BA235" s="3" t="n">
        <v>56.60583066730231</v>
      </c>
      <c r="BB235" s="3" t="n">
        <v>56.28626795820906</v>
      </c>
      <c r="BC235" s="3" t="n">
        <v>59.05869633409333</v>
      </c>
      <c r="BD235" s="3" t="n">
        <v>57.63907761614436</v>
      </c>
      <c r="BE235" s="3" t="n">
        <v>56.33057701361675</v>
      </c>
      <c r="BF235" s="3" t="n">
        <v>56.7533871861295</v>
      </c>
      <c r="BG235" s="3" t="n">
        <v>57.67902671761562</v>
      </c>
      <c r="BH235" s="3" t="n">
        <v>57.57678732151938</v>
      </c>
      <c r="BI235" s="3" t="n">
        <v>57.5860228523009</v>
      </c>
      <c r="BJ235" s="3" t="n">
        <v>57.85049512446248</v>
      </c>
      <c r="BK235" s="3" t="n">
        <v>57.25385352851434</v>
      </c>
      <c r="BL235" s="3" t="n">
        <v>55.64901587441863</v>
      </c>
      <c r="BM235" s="3" t="n">
        <v>56.26499976505208</v>
      </c>
      <c r="BN235" s="3" t="n">
        <v>56.14320027220037</v>
      </c>
      <c r="BO235" s="3" t="n">
        <v>54.82736437201275</v>
      </c>
      <c r="BP235" s="3" t="n">
        <v>54.16150004505202</v>
      </c>
      <c r="BQ235" s="3" t="n">
        <v>55.51879470899356</v>
      </c>
      <c r="BR235" s="34" t="str">
        <f>B235&amp;"|"&amp;D235</f>
        <v>TEC|NE.CON.PRVT.ZS</v>
      </c>
    </row>
    <row r="236">
      <c r="A236" s="3" t="inlineStr">
        <is>
          <t>Togo</t>
        </is>
      </c>
      <c r="B236" s="3" t="inlineStr">
        <is>
          <t>TGO</t>
        </is>
      </c>
      <c r="C236" s="3" t="inlineStr">
        <is>
          <t>Households and NPISHs final consumption expenditure (% of GDP)</t>
        </is>
      </c>
      <c r="D236" s="3" t="inlineStr">
        <is>
          <t>NE.CON.PRVT.ZS</t>
        </is>
      </c>
      <c r="E236" s="3" t="n">
        <v>2023</v>
      </c>
      <c r="F236" s="3" t="n"/>
      <c r="G236" s="3" t="n"/>
      <c r="H236" s="3" t="n"/>
      <c r="I236" s="3" t="n">
        <v>88.58024691358013</v>
      </c>
      <c r="J236" s="3" t="n">
        <v>77.86458333333343</v>
      </c>
      <c r="K236" s="3" t="n">
        <v>74.48275862068962</v>
      </c>
      <c r="L236" s="3" t="n">
        <v>77.96610169491525</v>
      </c>
      <c r="M236" s="3" t="n">
        <v>79.82456140350878</v>
      </c>
      <c r="N236" s="3" t="n">
        <v>80.13355592654423</v>
      </c>
      <c r="O236" s="3" t="n">
        <v>78.735632183908</v>
      </c>
      <c r="P236" s="3" t="n">
        <v>76.79782903663495</v>
      </c>
      <c r="Q236" s="3" t="n">
        <v>75.45787545787557</v>
      </c>
      <c r="R236" s="3" t="n">
        <v>74.08675799086761</v>
      </c>
      <c r="S236" s="3" t="n">
        <v>72.78761061946882</v>
      </c>
      <c r="T236" s="3" t="n">
        <v>55.70007651109412</v>
      </c>
      <c r="U236" s="3" t="n">
        <v>74.51286048324211</v>
      </c>
      <c r="V236" s="3" t="n">
        <v>66.61775495231142</v>
      </c>
      <c r="W236" s="3" t="n">
        <v>62.85545023696684</v>
      </c>
      <c r="X236" s="3" t="n">
        <v>65.20127118644055</v>
      </c>
      <c r="Y236" s="3" t="n">
        <v>61.56015037593973</v>
      </c>
      <c r="Z236" s="3" t="n">
        <v>63.59060402684564</v>
      </c>
      <c r="AA236" s="3" t="n">
        <v>70</v>
      </c>
      <c r="AB236" s="3" t="n">
        <v>72.2654801631441</v>
      </c>
      <c r="AC236" s="3" t="n">
        <v>70</v>
      </c>
      <c r="AD236" s="3" t="n">
        <v>69.98087954110905</v>
      </c>
      <c r="AE236" s="3" t="n">
        <v>67.70802919708031</v>
      </c>
      <c r="AF236" s="3" t="n">
        <v>68.01850843767018</v>
      </c>
      <c r="AG236" s="3" t="n">
        <v>69.39264784230166</v>
      </c>
      <c r="AH236" s="3" t="n">
        <v>75.00606648871631</v>
      </c>
      <c r="AI236" s="3" t="n">
        <v>78.19740500463396</v>
      </c>
      <c r="AJ236" s="3" t="n">
        <v>54.9683028963592</v>
      </c>
      <c r="AK236" s="3" t="n">
        <v>55.56723285803555</v>
      </c>
      <c r="AL236" s="3" t="n">
        <v>56.6500187649759</v>
      </c>
      <c r="AM236" s="3" t="n">
        <v>81.68301058519498</v>
      </c>
      <c r="AN236" s="3" t="n">
        <v>56.08736167734419</v>
      </c>
      <c r="AO236" s="3" t="n">
        <v>58.68520189930543</v>
      </c>
      <c r="AP236" s="3" t="n">
        <v>68.12871131041027</v>
      </c>
      <c r="AQ236" s="3" t="n">
        <v>70.58424476320386</v>
      </c>
      <c r="AR236" s="3" t="n">
        <v>75.57324087936338</v>
      </c>
      <c r="AS236" s="3" t="n">
        <v>75.46555531271898</v>
      </c>
      <c r="AT236" s="3" t="n">
        <v>68.76683397605953</v>
      </c>
      <c r="AU236" s="3" t="n">
        <v>70.04480853645049</v>
      </c>
      <c r="AV236" s="3" t="n">
        <v>69.399119554035</v>
      </c>
      <c r="AW236" s="3" t="n">
        <v>67.93946879364692</v>
      </c>
      <c r="AX236" s="3" t="n">
        <v>66.11742615557398</v>
      </c>
      <c r="AY236" s="3" t="n">
        <v>75.32539397542834</v>
      </c>
      <c r="AZ236" s="3" t="n">
        <v>80.20611782607918</v>
      </c>
      <c r="BA236" s="3" t="n">
        <v>83.17208330283387</v>
      </c>
      <c r="BB236" s="3" t="n">
        <v>83.33426750462223</v>
      </c>
      <c r="BC236" s="3" t="n">
        <v>84.27478298112314</v>
      </c>
      <c r="BD236" s="3" t="n">
        <v>83.00089346867031</v>
      </c>
      <c r="BE236" s="3" t="n">
        <v>83.33935610077519</v>
      </c>
      <c r="BF236" s="3" t="n">
        <v>81.00566847372085</v>
      </c>
      <c r="BG236" s="3" t="n">
        <v>79.96892635030497</v>
      </c>
      <c r="BH236" s="3" t="n">
        <v>78.74298596570141</v>
      </c>
      <c r="BI236" s="3" t="n">
        <v>78.04863309939685</v>
      </c>
      <c r="BJ236" s="3" t="n">
        <v>77.89794347116718</v>
      </c>
      <c r="BK236" s="3" t="n">
        <v>77.04198010191701</v>
      </c>
      <c r="BL236" s="3" t="n">
        <v>76.56823071406617</v>
      </c>
      <c r="BM236" s="3" t="n">
        <v>76.66983964267409</v>
      </c>
      <c r="BN236" s="3" t="n">
        <v>74.46507806080525</v>
      </c>
      <c r="BO236" s="3" t="n">
        <v>77.7037762401022</v>
      </c>
      <c r="BP236" s="3" t="n">
        <v>79.94344350924979</v>
      </c>
      <c r="BQ236" s="3" t="n">
        <v>78.0812905243744</v>
      </c>
      <c r="BR236" s="34" t="str">
        <f>B236&amp;"|"&amp;D236</f>
        <v>TGO|NE.CON.PRVT.ZS</v>
      </c>
    </row>
    <row r="237">
      <c r="A237" s="3" t="inlineStr">
        <is>
          <t>Thailand</t>
        </is>
      </c>
      <c r="B237" s="3" t="inlineStr">
        <is>
          <t>THA</t>
        </is>
      </c>
      <c r="C237" s="3" t="inlineStr">
        <is>
          <t>Households and NPISHs final consumption expenditure (% of GDP)</t>
        </is>
      </c>
      <c r="D237" s="3" t="inlineStr">
        <is>
          <t>NE.CON.PRVT.ZS</t>
        </is>
      </c>
      <c r="E237" s="3" t="n">
        <v>2023</v>
      </c>
      <c r="F237" s="3" t="n">
        <v>67.25310112243866</v>
      </c>
      <c r="G237" s="3" t="n">
        <v>66.50587141729903</v>
      </c>
      <c r="H237" s="3" t="n">
        <v>67.66816163436627</v>
      </c>
      <c r="I237" s="3" t="n">
        <v>67.64243679614047</v>
      </c>
      <c r="J237" s="3" t="n">
        <v>66.27569958214453</v>
      </c>
      <c r="K237" s="3" t="n">
        <v>64.16262698388164</v>
      </c>
      <c r="L237" s="3" t="n">
        <v>60.70869098145225</v>
      </c>
      <c r="M237" s="3" t="n">
        <v>64.14648813346672</v>
      </c>
      <c r="N237" s="3" t="n">
        <v>63.94671502069169</v>
      </c>
      <c r="O237" s="3" t="n">
        <v>62.11556524511651</v>
      </c>
      <c r="P237" s="3" t="n">
        <v>70.00678449798774</v>
      </c>
      <c r="Q237" s="3" t="n">
        <v>68.33311581377733</v>
      </c>
      <c r="R237" s="3" t="n">
        <v>69.1387424449169</v>
      </c>
      <c r="S237" s="3" t="n">
        <v>67.10355795336218</v>
      </c>
      <c r="T237" s="3" t="n">
        <v>68.09992687890562</v>
      </c>
      <c r="U237" s="3" t="n">
        <v>69.66436207418295</v>
      </c>
      <c r="V237" s="3" t="n">
        <v>68.59018642227387</v>
      </c>
      <c r="W237" s="3" t="n">
        <v>67.37670260573086</v>
      </c>
      <c r="X237" s="3" t="n">
        <v>64.51925284447525</v>
      </c>
      <c r="Y237" s="3" t="n">
        <v>65.13294128790123</v>
      </c>
      <c r="Z237" s="3" t="n">
        <v>65.4485713005425</v>
      </c>
      <c r="AA237" s="3" t="n">
        <v>65.287443272034</v>
      </c>
      <c r="AB237" s="3" t="n">
        <v>63.57066311064757</v>
      </c>
      <c r="AC237" s="3" t="n">
        <v>65.0995826070814</v>
      </c>
      <c r="AD237" s="3" t="n">
        <v>63.65308002897181</v>
      </c>
      <c r="AE237" s="3" t="n">
        <v>62.22101140582151</v>
      </c>
      <c r="AF237" s="3" t="n">
        <v>61.38925635142704</v>
      </c>
      <c r="AG237" s="3" t="n">
        <v>60.08586809386681</v>
      </c>
      <c r="AH237" s="3" t="n">
        <v>56.73841123629096</v>
      </c>
      <c r="AI237" s="3" t="n">
        <v>55.49636032820084</v>
      </c>
      <c r="AJ237" s="3" t="n">
        <v>56.5585330675621</v>
      </c>
      <c r="AK237" s="3" t="n">
        <v>54.97657033950431</v>
      </c>
      <c r="AL237" s="3" t="n">
        <v>54.7701902967804</v>
      </c>
      <c r="AM237" s="3" t="n">
        <v>51.95944384827479</v>
      </c>
      <c r="AN237" s="3" t="n">
        <v>52.13090491150935</v>
      </c>
      <c r="AO237" s="3" t="n">
        <v>51.300925120222</v>
      </c>
      <c r="AP237" s="3" t="n">
        <v>51.70894087962672</v>
      </c>
      <c r="AQ237" s="3" t="n">
        <v>53.00067299179884</v>
      </c>
      <c r="AR237" s="3" t="n">
        <v>51.67511671143556</v>
      </c>
      <c r="AS237" s="3" t="n">
        <v>53.18861269699568</v>
      </c>
      <c r="AT237" s="3" t="n">
        <v>54.1337365034656</v>
      </c>
      <c r="AU237" s="3" t="n">
        <v>56.00279588348066</v>
      </c>
      <c r="AV237" s="3" t="n">
        <v>55.6574848281798</v>
      </c>
      <c r="AW237" s="3" t="n">
        <v>55.63127176264935</v>
      </c>
      <c r="AX237" s="3" t="n">
        <v>55.87485523307798</v>
      </c>
      <c r="AY237" s="3" t="n">
        <v>55.83988045825213</v>
      </c>
      <c r="AZ237" s="3" t="n">
        <v>54.45115874449625</v>
      </c>
      <c r="BA237" s="3" t="n">
        <v>52.54840049927828</v>
      </c>
      <c r="BB237" s="3" t="n">
        <v>53.63939511662237</v>
      </c>
      <c r="BC237" s="3" t="n">
        <v>53.06578019513458</v>
      </c>
      <c r="BD237" s="3" t="n">
        <v>52.1755305836478</v>
      </c>
      <c r="BE237" s="3" t="n">
        <v>52.9609426309903</v>
      </c>
      <c r="BF237" s="3" t="n">
        <v>53.26839703878067</v>
      </c>
      <c r="BG237" s="3" t="n">
        <v>52.55224907043336</v>
      </c>
      <c r="BH237" s="3" t="n">
        <v>52.59621396454685</v>
      </c>
      <c r="BI237" s="3" t="n">
        <v>51.34470308830078</v>
      </c>
      <c r="BJ237" s="3" t="n">
        <v>50.00945488784804</v>
      </c>
      <c r="BK237" s="3" t="n">
        <v>48.93086324294981</v>
      </c>
      <c r="BL237" s="3" t="n">
        <v>48.8885134819444</v>
      </c>
      <c r="BM237" s="3" t="n">
        <v>49.77380776585048</v>
      </c>
      <c r="BN237" s="3" t="n">
        <v>53.04759997116457</v>
      </c>
      <c r="BO237" s="3" t="n">
        <v>52.23349921744366</v>
      </c>
      <c r="BP237" s="3" t="n">
        <v>54.55930956441227</v>
      </c>
      <c r="BQ237" s="3" t="n">
        <v>57.67387508870074</v>
      </c>
      <c r="BR237" s="34" t="str">
        <f>B237&amp;"|"&amp;D237</f>
        <v>THA|NE.CON.PRVT.ZS</v>
      </c>
    </row>
    <row r="238">
      <c r="A238" s="3" t="inlineStr">
        <is>
          <t>Tajikistan</t>
        </is>
      </c>
      <c r="B238" s="3" t="inlineStr">
        <is>
          <t>TJK</t>
        </is>
      </c>
      <c r="C238" s="3" t="inlineStr">
        <is>
          <t>Households and NPISHs final consumption expenditure (% of GDP)</t>
        </is>
      </c>
      <c r="D238" s="3" t="inlineStr">
        <is>
          <t>NE.CON.PRVT.ZS</t>
        </is>
      </c>
      <c r="E238" s="3" t="n">
        <v>2022</v>
      </c>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3" t="n"/>
      <c r="AL238" s="3" t="n"/>
      <c r="AM238" s="3" t="n">
        <v>12.71179249285775</v>
      </c>
      <c r="AN238" s="3" t="n">
        <v>22.67178217821782</v>
      </c>
      <c r="AO238" s="3" t="n">
        <v>55.58624641833811</v>
      </c>
      <c r="AP238" s="3" t="n">
        <v>51.20557717250325</v>
      </c>
      <c r="AQ238" s="3" t="n">
        <v>54.15445773832496</v>
      </c>
      <c r="AR238" s="3" t="n">
        <v>81.63464351897007</v>
      </c>
      <c r="AS238" s="3" t="n">
        <v>79.182156133829</v>
      </c>
      <c r="AT238" s="3" t="n">
        <v>75.22247719258969</v>
      </c>
      <c r="AU238" s="3" t="n">
        <v>82.02667914813948</v>
      </c>
      <c r="AV238" s="3" t="n">
        <v>84.85171688442509</v>
      </c>
      <c r="AW238" s="3" t="n">
        <v>83.58886041920444</v>
      </c>
      <c r="AX238" s="3" t="n">
        <v>83.73194104389279</v>
      </c>
      <c r="AY238" s="3" t="n">
        <v>88.54383481808343</v>
      </c>
      <c r="AZ238" s="3" t="n">
        <v>85.97566201045505</v>
      </c>
      <c r="BA238" s="3" t="n">
        <v>112.4769610446409</v>
      </c>
      <c r="BB238" s="3" t="n">
        <v>111.5603998418704</v>
      </c>
      <c r="BC238" s="3" t="n">
        <v>104.0065928206123</v>
      </c>
      <c r="BD238" s="3" t="n">
        <v>110.9397703494137</v>
      </c>
      <c r="BE238" s="3" t="n">
        <v>110.7807828779127</v>
      </c>
      <c r="BF238" s="3" t="n">
        <v>114.882297148198</v>
      </c>
      <c r="BG238" s="3" t="n">
        <v>116.618054071781</v>
      </c>
      <c r="BH238" s="3" t="n">
        <v>103.169082168551</v>
      </c>
      <c r="BI238" s="3" t="n">
        <v>71.23453738686251</v>
      </c>
      <c r="BJ238" s="3" t="n">
        <v>79.70023891090212</v>
      </c>
      <c r="BK238" s="3" t="n">
        <v>80.43945538323533</v>
      </c>
      <c r="BL238" s="3" t="n">
        <v>76.41487660992524</v>
      </c>
      <c r="BM238" s="3" t="n">
        <v>76.24175513021143</v>
      </c>
      <c r="BN238" s="3" t="n">
        <v>77.59721194926529</v>
      </c>
      <c r="BO238" s="3" t="n">
        <v>80.36888964079611</v>
      </c>
      <c r="BP238" s="3" t="n">
        <v>87.63556455864148</v>
      </c>
      <c r="BQ238" s="3" t="n"/>
      <c r="BR238" s="34" t="str">
        <f>B238&amp;"|"&amp;D238</f>
        <v>TJK|NE.CON.PRVT.ZS</v>
      </c>
    </row>
    <row r="239">
      <c r="A239" s="3" t="inlineStr">
        <is>
          <t>Turkmenistan</t>
        </is>
      </c>
      <c r="B239" s="3" t="inlineStr">
        <is>
          <t>TKM</t>
        </is>
      </c>
      <c r="C239" s="3" t="inlineStr">
        <is>
          <t>Households and NPISHs final consumption expenditure (% of GDP)</t>
        </is>
      </c>
      <c r="D239" s="3" t="inlineStr">
        <is>
          <t>NE.CON.PRVT.ZS</t>
        </is>
      </c>
      <c r="E239" s="3" t="n">
        <v>2012</v>
      </c>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c r="AD239" s="3" t="n"/>
      <c r="AE239" s="3" t="n"/>
      <c r="AF239" s="3" t="n"/>
      <c r="AG239" s="3" t="n">
        <v>52</v>
      </c>
      <c r="AH239" s="3" t="n">
        <v>48.14814814814815</v>
      </c>
      <c r="AI239" s="3" t="n">
        <v>53.57142857142857</v>
      </c>
      <c r="AJ239" s="3" t="n">
        <v>50</v>
      </c>
      <c r="AK239" s="3" t="n">
        <v>44.06779661016949</v>
      </c>
      <c r="AL239" s="3" t="n"/>
      <c r="AM239" s="3" t="n">
        <v>32.73453093812375</v>
      </c>
      <c r="AN239" s="3" t="n"/>
      <c r="AO239" s="3" t="n"/>
      <c r="AP239" s="3" t="n"/>
      <c r="AQ239" s="3" t="n">
        <v>74.01274077407741</v>
      </c>
      <c r="AR239" s="3" t="n">
        <v>76.43956055734191</v>
      </c>
      <c r="AS239" s="3" t="n">
        <v>75.75885814011468</v>
      </c>
      <c r="AT239" s="3" t="n">
        <v>36.48066819835344</v>
      </c>
      <c r="AU239" s="3" t="n">
        <v>52.33111912356122</v>
      </c>
      <c r="AV239" s="3" t="n">
        <v>45.70304597701149</v>
      </c>
      <c r="AW239" s="3" t="n">
        <v>56.83872232977022</v>
      </c>
      <c r="AX239" s="3" t="n">
        <v>62.13023977241939</v>
      </c>
      <c r="AY239" s="3" t="n">
        <v>46.58976821006662</v>
      </c>
      <c r="AZ239" s="3" t="n">
        <v>32.26618949166254</v>
      </c>
      <c r="BA239" s="3" t="n">
        <v>36.07867370370371</v>
      </c>
      <c r="BB239" s="3" t="n">
        <v>37.30051485748939</v>
      </c>
      <c r="BC239" s="3" t="n">
        <v>14.2514842651577</v>
      </c>
      <c r="BD239" s="3" t="n">
        <v>5.044775644013549</v>
      </c>
      <c r="BE239" s="3" t="n">
        <v>7.793501290283862</v>
      </c>
      <c r="BF239" s="3" t="n">
        <v>15.07792103214991</v>
      </c>
      <c r="BG239" s="3" t="n"/>
      <c r="BH239" s="3" t="n"/>
      <c r="BI239" s="3" t="n"/>
      <c r="BJ239" s="3" t="n"/>
      <c r="BK239" s="3" t="n"/>
      <c r="BL239" s="3" t="n"/>
      <c r="BM239" s="3" t="n"/>
      <c r="BN239" s="3" t="n"/>
      <c r="BO239" s="3" t="n"/>
      <c r="BP239" s="3" t="n"/>
      <c r="BQ239" s="3" t="n"/>
      <c r="BR239" s="34" t="str">
        <f>B239&amp;"|"&amp;D239</f>
        <v>TKM|NE.CON.PRVT.ZS</v>
      </c>
    </row>
    <row r="240">
      <c r="A240" s="3" t="inlineStr">
        <is>
          <t>Latin America &amp; the Caribbean (IDA &amp; IBRD countries)</t>
        </is>
      </c>
      <c r="B240" s="3" t="inlineStr">
        <is>
          <t>TLA</t>
        </is>
      </c>
      <c r="C240" s="3" t="inlineStr">
        <is>
          <t>Households and NPISHs final consumption expenditure (% of GDP)</t>
        </is>
      </c>
      <c r="D240" s="3" t="inlineStr">
        <is>
          <t>NE.CON.PRVT.ZS</t>
        </is>
      </c>
      <c r="E240" s="3" t="n">
        <v>2023</v>
      </c>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v>62.12112727430905</v>
      </c>
      <c r="AJ240" s="3" t="n">
        <v>66.18001214975003</v>
      </c>
      <c r="AK240" s="3" t="n">
        <v>69.18165555054884</v>
      </c>
      <c r="AL240" s="3" t="n">
        <v>70.74953828648017</v>
      </c>
      <c r="AM240" s="3" t="n">
        <v>68.33581305732272</v>
      </c>
      <c r="AN240" s="3" t="n">
        <v>67.11969902204255</v>
      </c>
      <c r="AO240" s="3" t="n">
        <v>66.93674770304379</v>
      </c>
      <c r="AP240" s="3" t="n">
        <v>67.28444313022727</v>
      </c>
      <c r="AQ240" s="3" t="n">
        <v>67.09415350751243</v>
      </c>
      <c r="AR240" s="3" t="n">
        <v>66.77180278801399</v>
      </c>
      <c r="AS240" s="3" t="n">
        <v>67.03237595210854</v>
      </c>
      <c r="AT240" s="3" t="n">
        <v>67.11291172940905</v>
      </c>
      <c r="AU240" s="3" t="n">
        <v>67.42546715746595</v>
      </c>
      <c r="AV240" s="3" t="n">
        <v>66.61845945836755</v>
      </c>
      <c r="AW240" s="3" t="n">
        <v>66.66825906531218</v>
      </c>
      <c r="AX240" s="3" t="n">
        <v>65.11719196354923</v>
      </c>
      <c r="AY240" s="3" t="n">
        <v>65.04841404922534</v>
      </c>
      <c r="AZ240" s="3" t="n">
        <v>63.62969261058332</v>
      </c>
      <c r="BA240" s="3" t="n">
        <v>63.35055057872439</v>
      </c>
      <c r="BB240" s="3" t="n">
        <v>63.47275440764298</v>
      </c>
      <c r="BC240" s="3" t="n">
        <v>64.6495980931152</v>
      </c>
      <c r="BD240" s="3" t="n">
        <v>63.5174627881361</v>
      </c>
      <c r="BE240" s="3" t="n">
        <v>63.3700197277337</v>
      </c>
      <c r="BF240" s="3" t="n">
        <v>64.16700254141038</v>
      </c>
      <c r="BG240" s="3" t="n">
        <v>65.15930070951664</v>
      </c>
      <c r="BH240" s="3" t="n">
        <v>66.56107740129767</v>
      </c>
      <c r="BI240" s="3" t="n">
        <v>66.27552731404234</v>
      </c>
      <c r="BJ240" s="3" t="n">
        <v>66.2744745450774</v>
      </c>
      <c r="BK240" s="3" t="n">
        <v>66.19286706574512</v>
      </c>
      <c r="BL240" s="3" t="n">
        <v>66.27526440549842</v>
      </c>
      <c r="BM240" s="3" t="n">
        <v>66.32089139960115</v>
      </c>
      <c r="BN240" s="3" t="n">
        <v>65.18285194690117</v>
      </c>
      <c r="BO240" s="3" t="n">
        <v>65.05400155148241</v>
      </c>
      <c r="BP240" s="3" t="n">
        <v>66.71055329774249</v>
      </c>
      <c r="BQ240" s="3" t="n">
        <v>67.09148082724833</v>
      </c>
      <c r="BR240" s="34" t="str">
        <f>B240&amp;"|"&amp;D240</f>
        <v>TLA|NE.CON.PRVT.ZS</v>
      </c>
    </row>
    <row r="241">
      <c r="A241" s="3" t="inlineStr">
        <is>
          <t>Timor-Leste</t>
        </is>
      </c>
      <c r="B241" s="3" t="inlineStr">
        <is>
          <t>TLS</t>
        </is>
      </c>
      <c r="C241" s="3" t="inlineStr">
        <is>
          <t>Households and NPISHs final consumption expenditure (% of GDP)</t>
        </is>
      </c>
      <c r="D241" s="3" t="inlineStr">
        <is>
          <t>NE.CON.PRVT.ZS</t>
        </is>
      </c>
      <c r="E241" s="3" t="n">
        <v>2022</v>
      </c>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3" t="n"/>
      <c r="AL241" s="3" t="n"/>
      <c r="AM241" s="3" t="n"/>
      <c r="AN241" s="3" t="n"/>
      <c r="AO241" s="3" t="n"/>
      <c r="AP241" s="3" t="n"/>
      <c r="AQ241" s="3" t="n"/>
      <c r="AR241" s="3" t="n"/>
      <c r="AS241" s="3" t="n"/>
      <c r="AT241" s="3" t="n">
        <v>87.56004985224473</v>
      </c>
      <c r="AU241" s="3" t="n">
        <v>82.20040695914804</v>
      </c>
      <c r="AV241" s="3" t="n">
        <v>89.15038805594992</v>
      </c>
      <c r="AW241" s="3" t="n">
        <v>84.01340757700599</v>
      </c>
      <c r="AX241" s="3" t="n">
        <v>97.42549435989581</v>
      </c>
      <c r="AY241" s="3" t="n">
        <v>91.96710566165082</v>
      </c>
      <c r="AZ241" s="3" t="n">
        <v>85.86386638471689</v>
      </c>
      <c r="BA241" s="3" t="n">
        <v>84.9111838456995</v>
      </c>
      <c r="BB241" s="3" t="n">
        <v>73.63311065318209</v>
      </c>
      <c r="BC241" s="3" t="n">
        <v>74.56617333697602</v>
      </c>
      <c r="BD241" s="3" t="n">
        <v>71.38991504001602</v>
      </c>
      <c r="BE241" s="3" t="n">
        <v>67.91365965215927</v>
      </c>
      <c r="BF241" s="3" t="n">
        <v>70.03220872772079</v>
      </c>
      <c r="BG241" s="3" t="n">
        <v>64.33934735393171</v>
      </c>
      <c r="BH241" s="3" t="n">
        <v>64.77859053099365</v>
      </c>
      <c r="BI241" s="3" t="n">
        <v>58.21286554312044</v>
      </c>
      <c r="BJ241" s="3" t="n">
        <v>58.84548122456703</v>
      </c>
      <c r="BK241" s="3" t="n">
        <v>63.30818934501908</v>
      </c>
      <c r="BL241" s="3" t="n">
        <v>66.57163789177741</v>
      </c>
      <c r="BM241" s="3" t="n">
        <v>54.06229989235504</v>
      </c>
      <c r="BN241" s="3" t="n">
        <v>50.47371724064968</v>
      </c>
      <c r="BO241" s="3" t="n">
        <v>30.12834770585413</v>
      </c>
      <c r="BP241" s="3" t="n">
        <v>42.5255862152247</v>
      </c>
      <c r="BQ241" s="3" t="n"/>
      <c r="BR241" s="34" t="str">
        <f>B241&amp;"|"&amp;D241</f>
        <v>TLS|NE.CON.PRVT.ZS</v>
      </c>
    </row>
    <row r="242">
      <c r="A242" s="3" t="inlineStr">
        <is>
          <t>Middle East &amp; North Africa (IDA &amp; IBRD countries)</t>
        </is>
      </c>
      <c r="B242" s="3" t="inlineStr">
        <is>
          <t>TMN</t>
        </is>
      </c>
      <c r="C242" s="3" t="inlineStr">
        <is>
          <t>Households and NPISHs final consumption expenditure (% of GDP)</t>
        </is>
      </c>
      <c r="D242" s="3" t="inlineStr">
        <is>
          <t>NE.CON.PRVT.ZS</t>
        </is>
      </c>
      <c r="E242" s="3" t="n">
        <v>2023</v>
      </c>
      <c r="F242" s="3" t="n"/>
      <c r="G242" s="3" t="n"/>
      <c r="H242" s="3" t="n"/>
      <c r="I242" s="3" t="n"/>
      <c r="J242" s="3" t="n"/>
      <c r="K242" s="3" t="n">
        <v>56.74591394967429</v>
      </c>
      <c r="L242" s="3" t="n">
        <v>55.61512992313617</v>
      </c>
      <c r="M242" s="3" t="n">
        <v>54.85299084832619</v>
      </c>
      <c r="N242" s="3" t="n">
        <v>51.3184171199856</v>
      </c>
      <c r="O242" s="3" t="n">
        <v>51.25604425727532</v>
      </c>
      <c r="P242" s="3" t="n">
        <v>51.92923878106184</v>
      </c>
      <c r="Q242" s="3" t="n">
        <v>51.33114820297375</v>
      </c>
      <c r="R242" s="3" t="n">
        <v>49.24791147777069</v>
      </c>
      <c r="S242" s="3" t="n">
        <v>44.34056260336948</v>
      </c>
      <c r="T242" s="3" t="n">
        <v>36.5914685635511</v>
      </c>
      <c r="U242" s="3" t="n">
        <v>43.20948289284222</v>
      </c>
      <c r="V242" s="3" t="n">
        <v>38.35549701987495</v>
      </c>
      <c r="W242" s="3" t="n">
        <v>41.28873929066391</v>
      </c>
      <c r="X242" s="3" t="n">
        <v>44.36972458094407</v>
      </c>
      <c r="Y242" s="3" t="n">
        <v>42.07387002812645</v>
      </c>
      <c r="Z242" s="3" t="n">
        <v>41.11917545366328</v>
      </c>
      <c r="AA242" s="3" t="n">
        <v>47.30655571853731</v>
      </c>
      <c r="AB242" s="3" t="n">
        <v>49.24702359052758</v>
      </c>
      <c r="AC242" s="3" t="n">
        <v>51.39298907590412</v>
      </c>
      <c r="AD242" s="3" t="n">
        <v>53.90403196740439</v>
      </c>
      <c r="AE242" s="3" t="n">
        <v>54.7888576173053</v>
      </c>
      <c r="AF242" s="3" t="n">
        <v>59.69236023429161</v>
      </c>
      <c r="AG242" s="3" t="n">
        <v>56.33823897862573</v>
      </c>
      <c r="AH242" s="3" t="n">
        <v>58.50096910079377</v>
      </c>
      <c r="AI242" s="3" t="n">
        <v>61.66291624509736</v>
      </c>
      <c r="AJ242" s="3" t="n">
        <v>51.71429811403689</v>
      </c>
      <c r="AK242" s="3" t="n">
        <v>60.89961354311891</v>
      </c>
      <c r="AL242" s="3" t="n">
        <v>61.29955606828477</v>
      </c>
      <c r="AM242" s="3" t="n">
        <v>64.90766201476373</v>
      </c>
      <c r="AN242" s="3" t="n">
        <v>63.59256678238749</v>
      </c>
      <c r="AO242" s="3" t="n">
        <v>61.49396461206155</v>
      </c>
      <c r="AP242" s="3" t="n">
        <v>59.5705255832555</v>
      </c>
      <c r="AQ242" s="3" t="n">
        <v>60.53867433773485</v>
      </c>
      <c r="AR242" s="3" t="n">
        <v>62.39041896239134</v>
      </c>
      <c r="AS242" s="3" t="n">
        <v>57.07462656023539</v>
      </c>
      <c r="AT242" s="3" t="n">
        <v>53.50090271544744</v>
      </c>
      <c r="AU242" s="3" t="n">
        <v>54.70867189502256</v>
      </c>
      <c r="AV242" s="3" t="n">
        <v>54.30820974256474</v>
      </c>
      <c r="AW242" s="3" t="n">
        <v>53.0004050808611</v>
      </c>
      <c r="AX242" s="3" t="n">
        <v>50.34970444499554</v>
      </c>
      <c r="AY242" s="3" t="n">
        <v>48.13455282989722</v>
      </c>
      <c r="AZ242" s="3" t="n">
        <v>47.48700348322301</v>
      </c>
      <c r="BA242" s="3" t="n">
        <v>47.98618000663814</v>
      </c>
      <c r="BB242" s="3" t="n">
        <v>46.84257992776376</v>
      </c>
      <c r="BC242" s="3" t="n">
        <v>53.89565784312506</v>
      </c>
      <c r="BD242" s="3" t="n">
        <v>51.03552768644145</v>
      </c>
      <c r="BE242" s="3" t="n">
        <v>50.03033052197817</v>
      </c>
      <c r="BF242" s="3" t="n">
        <v>53.33763091678264</v>
      </c>
      <c r="BG242" s="3" t="n">
        <v>54.25749603810173</v>
      </c>
      <c r="BH242" s="3" t="n">
        <v>57.36430182107869</v>
      </c>
      <c r="BI242" s="3" t="n">
        <v>63.04001643290557</v>
      </c>
      <c r="BJ242" s="3" t="n">
        <v>62.63670617055082</v>
      </c>
      <c r="BK242" s="3" t="n">
        <v>59.73862211619417</v>
      </c>
      <c r="BL242" s="3" t="n">
        <v>58.4549687988869</v>
      </c>
      <c r="BM242" s="3" t="n">
        <v>60.28161006487215</v>
      </c>
      <c r="BN242" s="3" t="n">
        <v>64.91119301873678</v>
      </c>
      <c r="BO242" s="3" t="n">
        <v>60.95659160679675</v>
      </c>
      <c r="BP242" s="3" t="n">
        <v>57.76346744737025</v>
      </c>
      <c r="BQ242" s="3" t="n">
        <v>57.93267489927167</v>
      </c>
      <c r="BR242" s="34" t="str">
        <f>B242&amp;"|"&amp;D242</f>
        <v>TMN|NE.CON.PRVT.ZS</v>
      </c>
    </row>
    <row r="243">
      <c r="A243" s="3" t="inlineStr">
        <is>
          <t>Tonga</t>
        </is>
      </c>
      <c r="B243" s="3" t="inlineStr">
        <is>
          <t>TON</t>
        </is>
      </c>
      <c r="C243" s="3" t="inlineStr">
        <is>
          <t>Households and NPISHs final consumption expenditure (% of GDP)</t>
        </is>
      </c>
      <c r="D243" s="3" t="inlineStr">
        <is>
          <t>NE.CON.PRVT.ZS</t>
        </is>
      </c>
      <c r="E243" s="3" t="n">
        <v>2021</v>
      </c>
      <c r="F243" s="3" t="n"/>
      <c r="G243" s="3" t="n"/>
      <c r="H243" s="3" t="n"/>
      <c r="I243" s="3" t="n"/>
      <c r="J243" s="3" t="n"/>
      <c r="K243" s="3" t="n"/>
      <c r="L243" s="3" t="n"/>
      <c r="M243" s="3" t="n"/>
      <c r="N243" s="3" t="n"/>
      <c r="O243" s="3" t="n"/>
      <c r="P243" s="3" t="n"/>
      <c r="Q243" s="3" t="n"/>
      <c r="R243" s="3" t="n"/>
      <c r="S243" s="3" t="n"/>
      <c r="T243" s="3" t="n"/>
      <c r="U243" s="3" t="n">
        <v>88.90258095433697</v>
      </c>
      <c r="V243" s="3" t="n">
        <v>90.85797516558985</v>
      </c>
      <c r="W243" s="3" t="n">
        <v>87.81949465519425</v>
      </c>
      <c r="X243" s="3" t="n">
        <v>94.85977834377366</v>
      </c>
      <c r="Y243" s="3" t="n">
        <v>97.63758443007976</v>
      </c>
      <c r="Z243" s="3" t="n">
        <v>92.77147072028734</v>
      </c>
      <c r="AA243" s="3" t="n">
        <v>98.28480697154885</v>
      </c>
      <c r="AB243" s="3" t="n">
        <v>88.91213047243966</v>
      </c>
      <c r="AC243" s="3" t="n">
        <v>106.8665906836987</v>
      </c>
      <c r="AD243" s="3" t="n">
        <v>96.56199205037494</v>
      </c>
      <c r="AE243" s="3" t="n">
        <v>99.75348263913114</v>
      </c>
      <c r="AF243" s="3" t="n">
        <v>104.2452044186981</v>
      </c>
      <c r="AG243" s="3" t="n">
        <v>94.84811852156692</v>
      </c>
      <c r="AH243" s="3" t="n">
        <v>104.5545220756123</v>
      </c>
      <c r="AI243" s="3" t="n">
        <v>99.84533193858105</v>
      </c>
      <c r="AJ243" s="3" t="n">
        <v>93.60134822909022</v>
      </c>
      <c r="AK243" s="3" t="n">
        <v>100.4836300842415</v>
      </c>
      <c r="AL243" s="3" t="n">
        <v>88.67592422092481</v>
      </c>
      <c r="AM243" s="3" t="n">
        <v>91.88709761569363</v>
      </c>
      <c r="AN243" s="3" t="n">
        <v>92.08385942577951</v>
      </c>
      <c r="AO243" s="3" t="n">
        <v>92.81294381345239</v>
      </c>
      <c r="AP243" s="3" t="n">
        <v>91.89991290386129</v>
      </c>
      <c r="AQ243" s="3" t="n">
        <v>93.07473778878574</v>
      </c>
      <c r="AR243" s="3" t="n">
        <v>97.83739836829291</v>
      </c>
      <c r="AS243" s="3" t="n">
        <v>89.34623545419082</v>
      </c>
      <c r="AT243" s="3" t="n">
        <v>90.94103386554447</v>
      </c>
      <c r="AU243" s="3" t="n">
        <v>90.1815634696364</v>
      </c>
      <c r="AV243" s="3" t="n">
        <v>97.11577875153462</v>
      </c>
      <c r="AW243" s="3" t="n">
        <v>96.19634297615583</v>
      </c>
      <c r="AX243" s="3" t="n">
        <v>98.41269706711991</v>
      </c>
      <c r="AY243" s="3" t="n">
        <v>101.9045909259043</v>
      </c>
      <c r="AZ243" s="3" t="n">
        <v>94.30088758469887</v>
      </c>
      <c r="BA243" s="3" t="n">
        <v>102.7589268524251</v>
      </c>
      <c r="BB243" s="3" t="n">
        <v>104.0355288816889</v>
      </c>
      <c r="BC243" s="3" t="n">
        <v>106.4008239124946</v>
      </c>
      <c r="BD243" s="3" t="n">
        <v>98.69601045905038</v>
      </c>
      <c r="BE243" s="3" t="n">
        <v>91.38961796346111</v>
      </c>
      <c r="BF243" s="3" t="n">
        <v>88.82942914087795</v>
      </c>
      <c r="BG243" s="3" t="n">
        <v>96.55970703134248</v>
      </c>
      <c r="BH243" s="3" t="n">
        <v>98.42065729678306</v>
      </c>
      <c r="BI243" s="3" t="n">
        <v>100.192805295857</v>
      </c>
      <c r="BJ243" s="3" t="n">
        <v>96.14579784747829</v>
      </c>
      <c r="BK243" s="3" t="n">
        <v>95.47602012876301</v>
      </c>
      <c r="BL243" s="3" t="n">
        <v>97.31146905149942</v>
      </c>
      <c r="BM243" s="3" t="n">
        <v>92.78691427471152</v>
      </c>
      <c r="BN243" s="3" t="n">
        <v>92.28475863251283</v>
      </c>
      <c r="BO243" s="3" t="n">
        <v>109.0411110133956</v>
      </c>
      <c r="BP243" s="3" t="n"/>
      <c r="BQ243" s="3" t="n"/>
      <c r="BR243" s="34" t="str">
        <f>B243&amp;"|"&amp;D243</f>
        <v>TON|NE.CON.PRVT.ZS</v>
      </c>
    </row>
    <row r="244">
      <c r="A244" s="3" t="inlineStr">
        <is>
          <t>South Asia (IDA &amp; IBRD)</t>
        </is>
      </c>
      <c r="B244" s="3" t="inlineStr">
        <is>
          <t>TSA</t>
        </is>
      </c>
      <c r="C244" s="3" t="inlineStr">
        <is>
          <t>Households and NPISHs final consumption expenditure (% of GDP)</t>
        </is>
      </c>
      <c r="D244" s="3" t="inlineStr">
        <is>
          <t>NE.CON.PRVT.ZS</t>
        </is>
      </c>
      <c r="E244" s="3" t="n">
        <v>2023</v>
      </c>
      <c r="F244" s="3" t="n">
        <v>87.10616181148596</v>
      </c>
      <c r="G244" s="3" t="n">
        <v>86.24185452339189</v>
      </c>
      <c r="H244" s="3" t="n">
        <v>84.2100108580612</v>
      </c>
      <c r="I244" s="3" t="n">
        <v>82.56690993764208</v>
      </c>
      <c r="J244" s="3" t="n">
        <v>82.88640798517977</v>
      </c>
      <c r="K244" s="3" t="n">
        <v>82.81913327730813</v>
      </c>
      <c r="L244" s="3" t="n">
        <v>82.35214691259003</v>
      </c>
      <c r="M244" s="3" t="n">
        <v>84.30555843070373</v>
      </c>
      <c r="N244" s="3" t="n">
        <v>80.26094519471987</v>
      </c>
      <c r="O244" s="3" t="n">
        <v>78.80606606365033</v>
      </c>
      <c r="P244" s="3" t="n">
        <v>78.57945569728615</v>
      </c>
      <c r="Q244" s="3" t="n">
        <v>79.93310469561604</v>
      </c>
      <c r="R244" s="3" t="n">
        <v>81.78362837080668</v>
      </c>
      <c r="S244" s="3" t="n">
        <v>80.56148468040494</v>
      </c>
      <c r="T244" s="3" t="n">
        <v>80.84589737774618</v>
      </c>
      <c r="U244" s="3" t="n">
        <v>73.7015335423574</v>
      </c>
      <c r="V244" s="3" t="n">
        <v>76.91149172214813</v>
      </c>
      <c r="W244" s="3" t="n">
        <v>79.07809116658071</v>
      </c>
      <c r="X244" s="3" t="n">
        <v>78.4734423736075</v>
      </c>
      <c r="Y244" s="3" t="n">
        <v>77.73088826697904</v>
      </c>
      <c r="Z244" s="3" t="n">
        <v>79.76295156836144</v>
      </c>
      <c r="AA244" s="3" t="n">
        <v>77.71906340831136</v>
      </c>
      <c r="AB244" s="3" t="n">
        <v>77.00586550212813</v>
      </c>
      <c r="AC244" s="3" t="n">
        <v>77.24403608943371</v>
      </c>
      <c r="AD244" s="3" t="n">
        <v>76.94062449656977</v>
      </c>
      <c r="AE244" s="3" t="n">
        <v>75.21809417201702</v>
      </c>
      <c r="AF244" s="3" t="n">
        <v>74.69068692961891</v>
      </c>
      <c r="AG244" s="3" t="n">
        <v>72.99819624458533</v>
      </c>
      <c r="AH244" s="3" t="n">
        <v>71.91868775355769</v>
      </c>
      <c r="AI244" s="3" t="n">
        <v>70.16258129707815</v>
      </c>
      <c r="AJ244" s="3" t="n">
        <v>69.36186332128894</v>
      </c>
      <c r="AK244" s="3" t="n">
        <v>69.2921324024303</v>
      </c>
      <c r="AL244" s="3" t="n">
        <v>68.50743906930809</v>
      </c>
      <c r="AM244" s="3" t="n">
        <v>68.78862000264232</v>
      </c>
      <c r="AN244" s="3" t="n">
        <v>67.88426489819902</v>
      </c>
      <c r="AO244" s="3" t="n">
        <v>67.15520174366148</v>
      </c>
      <c r="AP244" s="3" t="n">
        <v>67.68278798915024</v>
      </c>
      <c r="AQ244" s="3" t="n">
        <v>67.2813372699742</v>
      </c>
      <c r="AR244" s="3" t="n">
        <v>66.73271580748684</v>
      </c>
      <c r="AS244" s="3" t="n">
        <v>67.15643759452722</v>
      </c>
      <c r="AT244" s="3" t="n">
        <v>67.38833206083753</v>
      </c>
      <c r="AU244" s="3" t="n">
        <v>67.89062986462235</v>
      </c>
      <c r="AV244" s="3" t="n">
        <v>66.59846829954625</v>
      </c>
      <c r="AW244" s="3" t="n">
        <v>65.28817961757409</v>
      </c>
      <c r="AX244" s="3" t="n">
        <v>62.90366304674958</v>
      </c>
      <c r="AY244" s="3" t="n">
        <v>62.40409248101475</v>
      </c>
      <c r="AZ244" s="3" t="n">
        <v>60.95387833171927</v>
      </c>
      <c r="BA244" s="3" t="n">
        <v>60.39945058701138</v>
      </c>
      <c r="BB244" s="3" t="n">
        <v>62.04285828582729</v>
      </c>
      <c r="BC244" s="3" t="n">
        <v>60.42584462771128</v>
      </c>
      <c r="BD244" s="3" t="n">
        <v>58.70675423632588</v>
      </c>
      <c r="BE244" s="3" t="n">
        <v>60.20404624220135</v>
      </c>
      <c r="BF244" s="3" t="n">
        <v>60.66159631406855</v>
      </c>
      <c r="BG244" s="3" t="n">
        <v>61.46965297331207</v>
      </c>
      <c r="BH244" s="3" t="n">
        <v>61.92633849027849</v>
      </c>
      <c r="BI244" s="3" t="n">
        <v>62.82442703210782</v>
      </c>
      <c r="BJ244" s="3" t="n">
        <v>62.62329759118303</v>
      </c>
      <c r="BK244" s="3" t="n">
        <v>62.04403106095511</v>
      </c>
      <c r="BL244" s="3" t="n">
        <v>62.72955806408156</v>
      </c>
      <c r="BM244" s="3" t="n">
        <v>63.84588366671239</v>
      </c>
      <c r="BN244" s="3" t="n">
        <v>63.91247125335312</v>
      </c>
      <c r="BO244" s="3" t="n">
        <v>63.95896052351034</v>
      </c>
      <c r="BP244" s="3" t="n">
        <v>64.40938293577135</v>
      </c>
      <c r="BQ244" s="3" t="n">
        <v>63.37075246156849</v>
      </c>
      <c r="BR244" s="34" t="str">
        <f>B244&amp;"|"&amp;D244</f>
        <v>TSA|NE.CON.PRVT.ZS</v>
      </c>
    </row>
    <row r="245">
      <c r="A245" s="3" t="inlineStr">
        <is>
          <t>Sub-Saharan Africa (IDA &amp; IBRD countries)</t>
        </is>
      </c>
      <c r="B245" s="3" t="inlineStr">
        <is>
          <t>TSS</t>
        </is>
      </c>
      <c r="C245" s="3" t="inlineStr">
        <is>
          <t>Households and NPISHs final consumption expenditure (% of GDP)</t>
        </is>
      </c>
      <c r="D245" s="3" t="inlineStr">
        <is>
          <t>NE.CON.PRVT.ZS</t>
        </is>
      </c>
      <c r="E245" s="3" t="n">
        <v>2023</v>
      </c>
      <c r="F245" s="3" t="n"/>
      <c r="G245" s="3" t="n"/>
      <c r="H245" s="3" t="n"/>
      <c r="I245" s="3" t="n">
        <v>68.26564158167908</v>
      </c>
      <c r="J245" s="3" t="n">
        <v>67.80726606571335</v>
      </c>
      <c r="K245" s="3" t="n">
        <v>67.93927792789388</v>
      </c>
      <c r="L245" s="3" t="n">
        <v>66.41796488277627</v>
      </c>
      <c r="M245" s="3" t="n">
        <v>67.38992335192103</v>
      </c>
      <c r="N245" s="3" t="n">
        <v>67.27144043646572</v>
      </c>
      <c r="O245" s="3" t="n">
        <v>66.27490312075017</v>
      </c>
      <c r="P245" s="3" t="n">
        <v>63.96506377343309</v>
      </c>
      <c r="Q245" s="3" t="n">
        <v>69.95705676539009</v>
      </c>
      <c r="R245" s="3" t="n">
        <v>66.69961348582663</v>
      </c>
      <c r="S245" s="3" t="n">
        <v>66.50847419640257</v>
      </c>
      <c r="T245" s="3" t="n">
        <v>61.19408039011282</v>
      </c>
      <c r="U245" s="3" t="n">
        <v>65.10274489983368</v>
      </c>
      <c r="V245" s="3" t="n">
        <v>60.23559725333503</v>
      </c>
      <c r="W245" s="3" t="n">
        <v>62.01894968858035</v>
      </c>
      <c r="X245" s="3" t="n">
        <v>64.82207877770261</v>
      </c>
      <c r="Y245" s="3" t="n">
        <v>64.69998133611233</v>
      </c>
      <c r="Z245" s="3" t="n">
        <v>62.89332873653958</v>
      </c>
      <c r="AA245" s="3" t="n">
        <v>48.26160613338436</v>
      </c>
      <c r="AB245" s="3" t="n">
        <v>49.65810582078694</v>
      </c>
      <c r="AC245" s="3" t="n">
        <v>57.83464494267573</v>
      </c>
      <c r="AD245" s="3" t="n">
        <v>60.73180202418997</v>
      </c>
      <c r="AE245" s="3" t="n">
        <v>54.80347389599193</v>
      </c>
      <c r="AF245" s="3" t="n">
        <v>70.01765550313537</v>
      </c>
      <c r="AG245" s="3" t="n">
        <v>76.49707756936235</v>
      </c>
      <c r="AH245" s="3" t="n">
        <v>78.74531609438375</v>
      </c>
      <c r="AI245" s="3" t="n">
        <v>81.81677855203593</v>
      </c>
      <c r="AJ245" s="3" t="n">
        <v>84.37871565134584</v>
      </c>
      <c r="AK245" s="3" t="n">
        <v>83.86374784669263</v>
      </c>
      <c r="AL245" s="3" t="n">
        <v>83.53043594405753</v>
      </c>
      <c r="AM245" s="3" t="n">
        <v>81.13393274338672</v>
      </c>
      <c r="AN245" s="3" t="n">
        <v>76.69134699696319</v>
      </c>
      <c r="AO245" s="3" t="n">
        <v>70.083681688411</v>
      </c>
      <c r="AP245" s="3" t="n">
        <v>62.4879395563466</v>
      </c>
      <c r="AQ245" s="3" t="n">
        <v>62.16271013569434</v>
      </c>
      <c r="AR245" s="3" t="n">
        <v>60.42038832315409</v>
      </c>
      <c r="AS245" s="3" t="n">
        <v>84.59344670654939</v>
      </c>
      <c r="AT245" s="3" t="n">
        <v>82.03103526817954</v>
      </c>
      <c r="AU245" s="3" t="n">
        <v>78.4760654449733</v>
      </c>
      <c r="AV245" s="3" t="n">
        <v>72.8245143495736</v>
      </c>
      <c r="AW245" s="3" t="n">
        <v>74.72482826750763</v>
      </c>
      <c r="AX245" s="3" t="n">
        <v>73.92230901103686</v>
      </c>
      <c r="AY245" s="3" t="n">
        <v>71.01274896858506</v>
      </c>
      <c r="AZ245" s="3" t="n">
        <v>67.52852153598371</v>
      </c>
      <c r="BA245" s="3" t="n">
        <v>66.7036926277252</v>
      </c>
      <c r="BB245" s="3" t="n">
        <v>63.60480472189628</v>
      </c>
      <c r="BC245" s="3" t="n">
        <v>69.52497741128603</v>
      </c>
      <c r="BD245" s="3" t="n">
        <v>67.12236683695481</v>
      </c>
      <c r="BE245" s="3" t="n">
        <v>66.42484018112414</v>
      </c>
      <c r="BF245" s="3" t="n">
        <v>66.71919456609228</v>
      </c>
      <c r="BG245" s="3" t="n">
        <v>64.93745862836393</v>
      </c>
      <c r="BH245" s="3" t="n">
        <v>63.74106556781558</v>
      </c>
      <c r="BI245" s="3" t="n">
        <v>67.52601078623057</v>
      </c>
      <c r="BJ245" s="3" t="n">
        <v>70.99247129481924</v>
      </c>
      <c r="BK245" s="3" t="n">
        <v>73.49985667511167</v>
      </c>
      <c r="BL245" s="3" t="n">
        <v>73.30607068092361</v>
      </c>
      <c r="BM245" s="3" t="n">
        <v>71.11333951059535</v>
      </c>
      <c r="BN245" s="3" t="n">
        <v>71.83588096039992</v>
      </c>
      <c r="BO245" s="3" t="n">
        <v>72.73102604229285</v>
      </c>
      <c r="BP245" s="3" t="n">
        <v>72.86166399313234</v>
      </c>
      <c r="BQ245" s="3" t="n">
        <v>80.31850459192856</v>
      </c>
      <c r="BR245" s="34" t="str">
        <f>B245&amp;"|"&amp;D245</f>
        <v>TSS|NE.CON.PRVT.ZS</v>
      </c>
    </row>
    <row r="246">
      <c r="A246" s="3" t="inlineStr">
        <is>
          <t>Trinidad and Tobago</t>
        </is>
      </c>
      <c r="B246" s="3" t="inlineStr">
        <is>
          <t>TTO</t>
        </is>
      </c>
      <c r="C246" s="3" t="inlineStr">
        <is>
          <t>Households and NPISHs final consumption expenditure (% of GDP)</t>
        </is>
      </c>
      <c r="D246" s="3" t="inlineStr">
        <is>
          <t>NE.CON.PRVT.ZS</t>
        </is>
      </c>
      <c r="E246" s="3" t="inlineStr">
        <is>
          <t>0x2a</t>
        </is>
      </c>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3" t="n"/>
      <c r="AL246" s="3" t="n"/>
      <c r="AM246" s="3" t="n"/>
      <c r="AN246" s="3" t="n"/>
      <c r="AO246" s="3" t="n"/>
      <c r="AP246" s="3" t="n"/>
      <c r="AQ246" s="3" t="n"/>
      <c r="AR246" s="3" t="n"/>
      <c r="AS246" s="3" t="n"/>
      <c r="AT246" s="3" t="n"/>
      <c r="AU246" s="3" t="n"/>
      <c r="AV246" s="3" t="n"/>
      <c r="AW246" s="3" t="n"/>
      <c r="AX246" s="3" t="n"/>
      <c r="AY246" s="3" t="n"/>
      <c r="AZ246" s="3" t="n"/>
      <c r="BA246" s="3" t="n"/>
      <c r="BB246" s="3" t="n"/>
      <c r="BC246" s="3" t="n"/>
      <c r="BD246" s="3" t="n"/>
      <c r="BE246" s="3" t="n"/>
      <c r="BF246" s="3" t="n"/>
      <c r="BG246" s="3" t="n"/>
      <c r="BH246" s="3" t="n"/>
      <c r="BI246" s="3" t="n"/>
      <c r="BJ246" s="3" t="n"/>
      <c r="BK246" s="3" t="n"/>
      <c r="BL246" s="3" t="n"/>
      <c r="BM246" s="3" t="n"/>
      <c r="BN246" s="3" t="n"/>
      <c r="BO246" s="3" t="n"/>
      <c r="BP246" s="3" t="n"/>
      <c r="BQ246" s="3" t="n"/>
      <c r="BR246" s="34" t="str">
        <f>B246&amp;"|"&amp;D246</f>
        <v>TTO|NE.CON.PRVT.ZS</v>
      </c>
    </row>
    <row r="247">
      <c r="A247" s="3" t="inlineStr">
        <is>
          <t>Tunisia</t>
        </is>
      </c>
      <c r="B247" s="3" t="inlineStr">
        <is>
          <t>TUN</t>
        </is>
      </c>
      <c r="C247" s="3" t="inlineStr">
        <is>
          <t>Households and NPISHs final consumption expenditure (% of GDP)</t>
        </is>
      </c>
      <c r="D247" s="3" t="inlineStr">
        <is>
          <t>NE.CON.PRVT.ZS</t>
        </is>
      </c>
      <c r="E247" s="3" t="n">
        <v>2023</v>
      </c>
      <c r="F247" s="3" t="n"/>
      <c r="G247" s="3" t="n"/>
      <c r="H247" s="3" t="n"/>
      <c r="I247" s="3" t="n"/>
      <c r="J247" s="3" t="n"/>
      <c r="K247" s="3" t="n">
        <v>52.2583125120123</v>
      </c>
      <c r="L247" s="3" t="n">
        <v>52.69899359560841</v>
      </c>
      <c r="M247" s="3" t="n">
        <v>54.26315789473685</v>
      </c>
      <c r="N247" s="3" t="n">
        <v>49.85102712874392</v>
      </c>
      <c r="O247" s="3" t="n">
        <v>50.6497341996456</v>
      </c>
      <c r="P247" s="3" t="n">
        <v>64.74325039703547</v>
      </c>
      <c r="Q247" s="3" t="n">
        <v>63.15251929187472</v>
      </c>
      <c r="R247" s="3" t="n">
        <v>62.09836065573771</v>
      </c>
      <c r="S247" s="3" t="n">
        <v>63.92773386606445</v>
      </c>
      <c r="T247" s="3" t="n">
        <v>57.81108670370849</v>
      </c>
      <c r="U247" s="3" t="n">
        <v>59.23969220167681</v>
      </c>
      <c r="V247" s="3" t="n">
        <v>59.11019141231246</v>
      </c>
      <c r="W247" s="3" t="n">
        <v>61.70445732013322</v>
      </c>
      <c r="X247" s="3" t="n">
        <v>60.6666935061798</v>
      </c>
      <c r="Y247" s="3" t="n">
        <v>58.3504449007529</v>
      </c>
      <c r="Z247" s="3" t="n">
        <v>61.53650614320011</v>
      </c>
      <c r="AA247" s="3" t="n">
        <v>61.34550696780394</v>
      </c>
      <c r="AB247" s="3" t="n">
        <v>62.28040962451087</v>
      </c>
      <c r="AC247" s="3" t="n">
        <v>57.94005045782538</v>
      </c>
      <c r="AD247" s="3" t="n">
        <v>58.59584554924832</v>
      </c>
      <c r="AE247" s="3" t="n">
        <v>58.8262114757135</v>
      </c>
      <c r="AF247" s="3" t="n">
        <v>62.74370146919167</v>
      </c>
      <c r="AG247" s="3" t="n">
        <v>60.55778875710926</v>
      </c>
      <c r="AH247" s="3" t="n">
        <v>62.34671962681569</v>
      </c>
      <c r="AI247" s="3" t="n">
        <v>62.14141961855702</v>
      </c>
      <c r="AJ247" s="3" t="n">
        <v>63.62232680270348</v>
      </c>
      <c r="AK247" s="3" t="n">
        <v>62.39525139664804</v>
      </c>
      <c r="AL247" s="3" t="n">
        <v>61.73444818981746</v>
      </c>
      <c r="AM247" s="3" t="n">
        <v>62.02277910386687</v>
      </c>
      <c r="AN247" s="3" t="n">
        <v>61.96676320681937</v>
      </c>
      <c r="AO247" s="3" t="n">
        <v>62.9159384932969</v>
      </c>
      <c r="AP247" s="3" t="n">
        <v>60.93683619789891</v>
      </c>
      <c r="AQ247" s="3" t="n">
        <v>61.47824646739367</v>
      </c>
      <c r="AR247" s="3" t="n">
        <v>61.59419997986105</v>
      </c>
      <c r="AS247" s="3" t="n">
        <v>61.05240338332882</v>
      </c>
      <c r="AT247" s="3" t="n">
        <v>60.60903599312346</v>
      </c>
      <c r="AU247" s="3" t="n">
        <v>61.16788045258675</v>
      </c>
      <c r="AV247" s="3" t="n">
        <v>62.7350978079827</v>
      </c>
      <c r="AW247" s="3" t="n">
        <v>62.89903090475275</v>
      </c>
      <c r="AX247" s="3" t="n">
        <v>62.30518686355035</v>
      </c>
      <c r="AY247" s="3" t="n">
        <v>61.78811110315016</v>
      </c>
      <c r="AZ247" s="3" t="n">
        <v>61.72540551881494</v>
      </c>
      <c r="BA247" s="3" t="n">
        <v>61.56584343571078</v>
      </c>
      <c r="BB247" s="3" t="n">
        <v>61.3720573442464</v>
      </c>
      <c r="BC247" s="3" t="n">
        <v>62.01744459517495</v>
      </c>
      <c r="BD247" s="3" t="n">
        <v>63.13187827527918</v>
      </c>
      <c r="BE247" s="3" t="n">
        <v>66.52892695196259</v>
      </c>
      <c r="BF247" s="3" t="n">
        <v>66.97109396673402</v>
      </c>
      <c r="BG247" s="3" t="n">
        <v>68.19773645590489</v>
      </c>
      <c r="BH247" s="3" t="n">
        <v>69.01993316554417</v>
      </c>
      <c r="BI247" s="3" t="n">
        <v>70.80427873704653</v>
      </c>
      <c r="BJ247" s="3" t="n">
        <v>71.30780831362968</v>
      </c>
      <c r="BK247" s="3" t="n">
        <v>71.94855481979972</v>
      </c>
      <c r="BL247" s="3" t="n">
        <v>71.54861190398431</v>
      </c>
      <c r="BM247" s="3" t="n">
        <v>71.81216404134375</v>
      </c>
      <c r="BN247" s="3" t="n">
        <v>74.0261685558927</v>
      </c>
      <c r="BO247" s="3" t="n">
        <v>73.73084514514346</v>
      </c>
      <c r="BP247" s="3" t="n">
        <v>76.75198694945732</v>
      </c>
      <c r="BQ247" s="3" t="n">
        <v>78.0140287020665</v>
      </c>
      <c r="BR247" s="34" t="str">
        <f>B247&amp;"|"&amp;D247</f>
        <v>TUN|NE.CON.PRVT.ZS</v>
      </c>
    </row>
    <row r="248">
      <c r="A248" s="3" t="inlineStr">
        <is>
          <t>Turkiye</t>
        </is>
      </c>
      <c r="B248" s="3" t="inlineStr">
        <is>
          <t>TUR</t>
        </is>
      </c>
      <c r="C248" s="3" t="inlineStr">
        <is>
          <t>Households and NPISHs final consumption expenditure (% of GDP)</t>
        </is>
      </c>
      <c r="D248" s="3" t="inlineStr">
        <is>
          <t>NE.CON.PRVT.ZS</t>
        </is>
      </c>
      <c r="E248" s="3" t="n">
        <v>2023</v>
      </c>
      <c r="F248" s="3" t="n">
        <v>56.38766519823789</v>
      </c>
      <c r="G248" s="3" t="n">
        <v>56.32823365785814</v>
      </c>
      <c r="H248" s="3" t="n">
        <v>55.41718555417185</v>
      </c>
      <c r="I248" s="3" t="n">
        <v>54.93562231759657</v>
      </c>
      <c r="J248" s="3" t="n">
        <v>53.57852882703777</v>
      </c>
      <c r="K248" s="3" t="n">
        <v>52.46053853296193</v>
      </c>
      <c r="L248" s="3" t="n">
        <v>52.08825847123719</v>
      </c>
      <c r="M248" s="3" t="n">
        <v>51.27840909090909</v>
      </c>
      <c r="N248" s="3" t="n">
        <v>51.11111111111111</v>
      </c>
      <c r="O248" s="3" t="n">
        <v>51.1986301369863</v>
      </c>
      <c r="P248" s="3" t="n">
        <v>51.95928753180662</v>
      </c>
      <c r="Q248" s="3" t="n">
        <v>56.20618556701032</v>
      </c>
      <c r="R248" s="3" t="n">
        <v>56.52023521272916</v>
      </c>
      <c r="S248" s="3" t="n">
        <v>57.82967032967034</v>
      </c>
      <c r="T248" s="3" t="n">
        <v>61.03267446551028</v>
      </c>
      <c r="U248" s="3" t="n">
        <v>58.9512876202296</v>
      </c>
      <c r="V248" s="3" t="n">
        <v>56.07385811467444</v>
      </c>
      <c r="W248" s="3" t="n">
        <v>57.14285714285714</v>
      </c>
      <c r="X248" s="3" t="n">
        <v>57.93665844870092</v>
      </c>
      <c r="Y248" s="3" t="n">
        <v>55.47316511284691</v>
      </c>
      <c r="Z248" s="3" t="n">
        <v>61.15359614575766</v>
      </c>
      <c r="AA248" s="3" t="n">
        <v>59.23300847993925</v>
      </c>
      <c r="AB248" s="3" t="n">
        <v>59.42414364956825</v>
      </c>
      <c r="AC248" s="3" t="n">
        <v>62.27689165671878</v>
      </c>
      <c r="AD248" s="3" t="n">
        <v>63.07376881498016</v>
      </c>
      <c r="AE248" s="3" t="n">
        <v>58.20176375888647</v>
      </c>
      <c r="AF248" s="3" t="n">
        <v>53.9617809954326</v>
      </c>
      <c r="AG248" s="3" t="n">
        <v>68.27784090072656</v>
      </c>
      <c r="AH248" s="3" t="n">
        <v>63.49430642022217</v>
      </c>
      <c r="AI248" s="3" t="n">
        <v>65.60695993690061</v>
      </c>
      <c r="AJ248" s="3" t="n">
        <v>68.58046172062193</v>
      </c>
      <c r="AK248" s="3" t="n">
        <v>70.6013122326984</v>
      </c>
      <c r="AL248" s="3" t="n">
        <v>69.53339589232537</v>
      </c>
      <c r="AM248" s="3" t="n">
        <v>69.0933867361742</v>
      </c>
      <c r="AN248" s="3" t="n">
        <v>69.95766059147886</v>
      </c>
      <c r="AO248" s="3" t="n">
        <v>70.31154353323814</v>
      </c>
      <c r="AP248" s="3" t="n">
        <v>67.27337641984285</v>
      </c>
      <c r="AQ248" s="3" t="n">
        <v>68.03709032917709</v>
      </c>
      <c r="AR248" s="3" t="n">
        <v>64.56887603711671</v>
      </c>
      <c r="AS248" s="3" t="n">
        <v>66.03562649628333</v>
      </c>
      <c r="AT248" s="3" t="n">
        <v>66.94517785760814</v>
      </c>
      <c r="AU248" s="3" t="n">
        <v>64.83623638705261</v>
      </c>
      <c r="AV248" s="3" t="n">
        <v>63.82890045374201</v>
      </c>
      <c r="AW248" s="3" t="n">
        <v>65.31369940612373</v>
      </c>
      <c r="AX248" s="3" t="n">
        <v>64.2794163931876</v>
      </c>
      <c r="AY248" s="3" t="n">
        <v>63.4002327896553</v>
      </c>
      <c r="AZ248" s="3" t="n">
        <v>61.71697934820887</v>
      </c>
      <c r="BA248" s="3" t="n">
        <v>62.08057700008926</v>
      </c>
      <c r="BB248" s="3" t="n">
        <v>61.08036578770355</v>
      </c>
      <c r="BC248" s="3" t="n">
        <v>61.57246510902608</v>
      </c>
      <c r="BD248" s="3" t="n">
        <v>62.67912660162729</v>
      </c>
      <c r="BE248" s="3" t="n">
        <v>62.71308739722602</v>
      </c>
      <c r="BF248" s="3" t="n">
        <v>61.91006899033354</v>
      </c>
      <c r="BG248" s="3" t="n">
        <v>61.30343429338703</v>
      </c>
      <c r="BH248" s="3" t="n">
        <v>60.36777464446779</v>
      </c>
      <c r="BI248" s="3" t="n">
        <v>60.02161429596906</v>
      </c>
      <c r="BJ248" s="3" t="n">
        <v>59.4083513843907</v>
      </c>
      <c r="BK248" s="3" t="n">
        <v>58.60885053852992</v>
      </c>
      <c r="BL248" s="3" t="n">
        <v>56.18169111387267</v>
      </c>
      <c r="BM248" s="3" t="n">
        <v>56.89583616462976</v>
      </c>
      <c r="BN248" s="3" t="n">
        <v>56.7680529092606</v>
      </c>
      <c r="BO248" s="3" t="n">
        <v>55.24516816512135</v>
      </c>
      <c r="BP248" s="3" t="n">
        <v>57.30857196177188</v>
      </c>
      <c r="BQ248" s="3" t="n">
        <v>59.40231801443314</v>
      </c>
      <c r="BR248" s="34" t="str">
        <f>B248&amp;"|"&amp;D248</f>
        <v>TUR|NE.CON.PRVT.ZS</v>
      </c>
    </row>
    <row r="249">
      <c r="A249" s="3" t="inlineStr">
        <is>
          <t>Tuvalu</t>
        </is>
      </c>
      <c r="B249" s="3" t="inlineStr">
        <is>
          <t>TUV</t>
        </is>
      </c>
      <c r="C249" s="3" t="inlineStr">
        <is>
          <t>Households and NPISHs final consumption expenditure (% of GDP)</t>
        </is>
      </c>
      <c r="D249" s="3" t="inlineStr">
        <is>
          <t>NE.CON.PRVT.ZS</t>
        </is>
      </c>
      <c r="E249" s="3" t="inlineStr">
        <is>
          <t>0x2a</t>
        </is>
      </c>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3" t="n"/>
      <c r="AL249" s="3" t="n"/>
      <c r="AM249" s="3" t="n"/>
      <c r="AN249" s="3" t="n"/>
      <c r="AO249" s="3" t="n"/>
      <c r="AP249" s="3" t="n"/>
      <c r="AQ249" s="3" t="n"/>
      <c r="AR249" s="3" t="n"/>
      <c r="AS249" s="3" t="n"/>
      <c r="AT249" s="3" t="n"/>
      <c r="AU249" s="3" t="n"/>
      <c r="AV249" s="3" t="n"/>
      <c r="AW249" s="3" t="n"/>
      <c r="AX249" s="3" t="n"/>
      <c r="AY249" s="3" t="n"/>
      <c r="AZ249" s="3" t="n"/>
      <c r="BA249" s="3" t="n"/>
      <c r="BB249" s="3" t="n"/>
      <c r="BC249" s="3" t="n"/>
      <c r="BD249" s="3" t="n"/>
      <c r="BE249" s="3" t="n"/>
      <c r="BF249" s="3" t="n"/>
      <c r="BG249" s="3" t="n"/>
      <c r="BH249" s="3" t="n"/>
      <c r="BI249" s="3" t="n"/>
      <c r="BJ249" s="3" t="n"/>
      <c r="BK249" s="3" t="n"/>
      <c r="BL249" s="3" t="n"/>
      <c r="BM249" s="3" t="n"/>
      <c r="BN249" s="3" t="n"/>
      <c r="BO249" s="3" t="n"/>
      <c r="BP249" s="3" t="n"/>
      <c r="BQ249" s="3" t="n"/>
      <c r="BR249" s="34" t="str">
        <f>B249&amp;"|"&amp;D249</f>
        <v>TUV|NE.CON.PRVT.ZS</v>
      </c>
    </row>
    <row r="250">
      <c r="A250" s="3" t="inlineStr">
        <is>
          <t>Tanzania</t>
        </is>
      </c>
      <c r="B250" s="3" t="inlineStr">
        <is>
          <t>TZA</t>
        </is>
      </c>
      <c r="C250" s="3" t="inlineStr">
        <is>
          <t>Households and NPISHs final consumption expenditure (% of GDP)</t>
        </is>
      </c>
      <c r="D250" s="3" t="inlineStr">
        <is>
          <t>NE.CON.PRVT.ZS</t>
        </is>
      </c>
      <c r="E250" s="3" t="n">
        <v>2023</v>
      </c>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v>57.0094984959963</v>
      </c>
      <c r="AK250" s="3" t="n">
        <v>56.2380562334181</v>
      </c>
      <c r="AL250" s="3" t="n">
        <v>56.96489921130831</v>
      </c>
      <c r="AM250" s="3" t="n">
        <v>57.68179515949279</v>
      </c>
      <c r="AN250" s="3" t="n">
        <v>57.87257934055928</v>
      </c>
      <c r="AO250" s="3" t="n">
        <v>57.74495477717224</v>
      </c>
      <c r="AP250" s="3" t="n">
        <v>57.20969810369336</v>
      </c>
      <c r="AQ250" s="3" t="n">
        <v>58.09612140104959</v>
      </c>
      <c r="AR250" s="3" t="n">
        <v>77.40615758407434</v>
      </c>
      <c r="AS250" s="3" t="n">
        <v>78.66613639393427</v>
      </c>
      <c r="AT250" s="3" t="n">
        <v>77.0812195135492</v>
      </c>
      <c r="AU250" s="3" t="n">
        <v>74.0672270500466</v>
      </c>
      <c r="AV250" s="3" t="n">
        <v>72.01479370287653</v>
      </c>
      <c r="AW250" s="3" t="n">
        <v>69.230710930973</v>
      </c>
      <c r="AX250" s="3" t="n">
        <v>65.57958165156292</v>
      </c>
      <c r="AY250" s="3" t="n">
        <v>63.67859802394897</v>
      </c>
      <c r="AZ250" s="3" t="n">
        <v>63.72439367227866</v>
      </c>
      <c r="BA250" s="3" t="n">
        <v>62.63666171727252</v>
      </c>
      <c r="BB250" s="3" t="n">
        <v>61.29020392649759</v>
      </c>
      <c r="BC250" s="3" t="n">
        <v>60.45533536684765</v>
      </c>
      <c r="BD250" s="3" t="n">
        <v>66.04593374828931</v>
      </c>
      <c r="BE250" s="3" t="n">
        <v>68.4646468220203</v>
      </c>
      <c r="BF250" s="3" t="n">
        <v>67.94594212143733</v>
      </c>
      <c r="BG250" s="3" t="n">
        <v>66.92638264780861</v>
      </c>
      <c r="BH250" s="3" t="n">
        <v>65.55013720499151</v>
      </c>
      <c r="BI250" s="3" t="n">
        <v>63.8618707070966</v>
      </c>
      <c r="BJ250" s="3" t="n">
        <v>59.92584362302406</v>
      </c>
      <c r="BK250" s="3" t="n">
        <v>59.88603231213688</v>
      </c>
      <c r="BL250" s="3" t="n">
        <v>59.87817522531276</v>
      </c>
      <c r="BM250" s="3" t="n">
        <v>58.65918102281661</v>
      </c>
      <c r="BN250" s="3" t="n">
        <v>54.56017892040224</v>
      </c>
      <c r="BO250" s="3" t="n">
        <v>54.03747780130641</v>
      </c>
      <c r="BP250" s="3" t="n">
        <v>54.86373846674266</v>
      </c>
      <c r="BQ250" s="3" t="n">
        <v>53.82490538584543</v>
      </c>
      <c r="BR250" s="34" t="str">
        <f>B250&amp;"|"&amp;D250</f>
        <v>TZA|NE.CON.PRVT.ZS</v>
      </c>
    </row>
    <row r="251">
      <c r="A251" s="3" t="inlineStr">
        <is>
          <t>Uganda</t>
        </is>
      </c>
      <c r="B251" s="3" t="inlineStr">
        <is>
          <t>UGA</t>
        </is>
      </c>
      <c r="C251" s="3" t="inlineStr">
        <is>
          <t>Households and NPISHs final consumption expenditure (% of GDP)</t>
        </is>
      </c>
      <c r="D251" s="3" t="inlineStr">
        <is>
          <t>NE.CON.PRVT.ZS</t>
        </is>
      </c>
      <c r="E251" s="3" t="n">
        <v>2023</v>
      </c>
      <c r="F251" s="3" t="n">
        <v>74.959236773634</v>
      </c>
      <c r="G251" s="3" t="n">
        <v>78.8326124012972</v>
      </c>
      <c r="H251" s="3" t="n">
        <v>76.86070996689686</v>
      </c>
      <c r="I251" s="3" t="n">
        <v>74.11135142819427</v>
      </c>
      <c r="J251" s="3" t="n">
        <v>72.45195387572069</v>
      </c>
      <c r="K251" s="3" t="n">
        <v>77.68281101614434</v>
      </c>
      <c r="L251" s="3" t="n">
        <v>78.18456883509835</v>
      </c>
      <c r="M251" s="3" t="n">
        <v>74.94572297003907</v>
      </c>
      <c r="N251" s="3" t="n">
        <v>74.83130904183535</v>
      </c>
      <c r="O251" s="3" t="n">
        <v>74.13441955193483</v>
      </c>
      <c r="P251" s="3" t="n"/>
      <c r="Q251" s="3" t="n"/>
      <c r="R251" s="3" t="n"/>
      <c r="S251" s="3" t="n"/>
      <c r="T251" s="3" t="n"/>
      <c r="U251" s="3" t="n"/>
      <c r="V251" s="3" t="n"/>
      <c r="W251" s="3" t="n"/>
      <c r="X251" s="3" t="n"/>
      <c r="Y251" s="3" t="n"/>
      <c r="Z251" s="3" t="n"/>
      <c r="AA251" s="3" t="n"/>
      <c r="AB251" s="3" t="n">
        <v>88.86337543053962</v>
      </c>
      <c r="AC251" s="3" t="n">
        <v>87.36795119773844</v>
      </c>
      <c r="AD251" s="3" t="n">
        <v>82.72122585777566</v>
      </c>
      <c r="AE251" s="3" t="n">
        <v>78.94617324829179</v>
      </c>
      <c r="AF251" s="3" t="n">
        <v>86.41365825567073</v>
      </c>
      <c r="AG251" s="3" t="n">
        <v>92.45529070830969</v>
      </c>
      <c r="AH251" s="3" t="n">
        <v>91.68913813690425</v>
      </c>
      <c r="AI251" s="3" t="n">
        <v>92.09085443936146</v>
      </c>
      <c r="AJ251" s="3" t="n">
        <v>92.96600319680871</v>
      </c>
      <c r="AK251" s="3" t="n">
        <v>91.92671689984529</v>
      </c>
      <c r="AL251" s="3" t="n">
        <v>90.60725435778286</v>
      </c>
      <c r="AM251" s="3" t="n">
        <v>82.6718274606375</v>
      </c>
      <c r="AN251" s="3" t="n">
        <v>80.55005715558363</v>
      </c>
      <c r="AO251" s="3" t="n">
        <v>83.88685440551352</v>
      </c>
      <c r="AP251" s="3" t="n">
        <v>77.48743933647485</v>
      </c>
      <c r="AQ251" s="3" t="n">
        <v>72.64246869099529</v>
      </c>
      <c r="AR251" s="3" t="n">
        <v>81.10379445857137</v>
      </c>
      <c r="AS251" s="3" t="n">
        <v>78.70561885762541</v>
      </c>
      <c r="AT251" s="3" t="n">
        <v>77.45806863760305</v>
      </c>
      <c r="AU251" s="3" t="n">
        <v>77.40990722939179</v>
      </c>
      <c r="AV251" s="3" t="n">
        <v>77.4514456572243</v>
      </c>
      <c r="AW251" s="3" t="n">
        <v>77.03890446727151</v>
      </c>
      <c r="AX251" s="3" t="n">
        <v>75.88526363411997</v>
      </c>
      <c r="AY251" s="3" t="n">
        <v>73.63354716597384</v>
      </c>
      <c r="AZ251" s="3" t="n">
        <v>77.64436742570031</v>
      </c>
      <c r="BA251" s="3" t="n">
        <v>78.2654523647908</v>
      </c>
      <c r="BB251" s="3" t="n">
        <v>73.5093228588308</v>
      </c>
      <c r="BC251" s="3" t="n">
        <v>78.85100308366052</v>
      </c>
      <c r="BD251" s="3" t="n">
        <v>76.48321071245606</v>
      </c>
      <c r="BE251" s="3" t="n">
        <v>71.7601461415381</v>
      </c>
      <c r="BF251" s="3" t="n">
        <v>77.65278716356019</v>
      </c>
      <c r="BG251" s="3" t="n">
        <v>72.55665502438386</v>
      </c>
      <c r="BH251" s="3" t="n">
        <v>69.0258741056487</v>
      </c>
      <c r="BI251" s="3" t="n">
        <v>76.75078417736036</v>
      </c>
      <c r="BJ251" s="3" t="n">
        <v>71.78309183862811</v>
      </c>
      <c r="BK251" s="3" t="n">
        <v>70.89131637265093</v>
      </c>
      <c r="BL251" s="3" t="n">
        <v>72.30257944238726</v>
      </c>
      <c r="BM251" s="3" t="n">
        <v>71.17496673566703</v>
      </c>
      <c r="BN251" s="3" t="n">
        <v>71.25198895497162</v>
      </c>
      <c r="BO251" s="3" t="n">
        <v>72.11421729558037</v>
      </c>
      <c r="BP251" s="3" t="n">
        <v>70.92612295980815</v>
      </c>
      <c r="BQ251" s="3" t="n">
        <v>71.34154420452616</v>
      </c>
      <c r="BR251" s="34" t="str">
        <f>B251&amp;"|"&amp;D251</f>
        <v>UGA|NE.CON.PRVT.ZS</v>
      </c>
    </row>
    <row r="252">
      <c r="A252" s="3" t="inlineStr">
        <is>
          <t>Ukraine</t>
        </is>
      </c>
      <c r="B252" s="3" t="inlineStr">
        <is>
          <t>UKR</t>
        </is>
      </c>
      <c r="C252" s="3" t="inlineStr">
        <is>
          <t>Households and NPISHs final consumption expenditure (% of GDP)</t>
        </is>
      </c>
      <c r="D252" s="3" t="inlineStr">
        <is>
          <t>NE.CON.PRVT.ZS</t>
        </is>
      </c>
      <c r="E252" s="3" t="n">
        <v>2023</v>
      </c>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v>53.84966425451464</v>
      </c>
      <c r="AJ252" s="3" t="n">
        <v>57.12574850299401</v>
      </c>
      <c r="AK252" s="3" t="n">
        <v>54.14715719063545</v>
      </c>
      <c r="AL252" s="3" t="n">
        <v>45.99443671766343</v>
      </c>
      <c r="AM252" s="3" t="n">
        <v>48.03706676198634</v>
      </c>
      <c r="AN252" s="3" t="n">
        <v>48.47308495234551</v>
      </c>
      <c r="AO252" s="3" t="n">
        <v>55.13034458242122</v>
      </c>
      <c r="AP252" s="3" t="n">
        <v>58.12264649958905</v>
      </c>
      <c r="AQ252" s="3" t="n">
        <v>54.21410582123922</v>
      </c>
      <c r="AR252" s="3" t="n">
        <v>56.84890908736463</v>
      </c>
      <c r="AS252" s="3" t="n">
        <v>57.20166587448828</v>
      </c>
      <c r="AT252" s="3" t="n">
        <v>57.44117914244185</v>
      </c>
      <c r="AU252" s="3" t="n">
        <v>57.91121108085711</v>
      </c>
      <c r="AV252" s="3" t="n">
        <v>57.87954112531926</v>
      </c>
      <c r="AW252" s="3" t="n">
        <v>57.32148329757892</v>
      </c>
      <c r="AX252" s="3" t="n">
        <v>54.60139171682366</v>
      </c>
      <c r="AY252" s="3" t="n">
        <v>59.15443065653528</v>
      </c>
      <c r="AZ252" s="3" t="n">
        <v>60.55311512199611</v>
      </c>
      <c r="BA252" s="3" t="n">
        <v>60.65175887291541</v>
      </c>
      <c r="BB252" s="3" t="n">
        <v>63.28602903254782</v>
      </c>
      <c r="BC252" s="3" t="n">
        <v>65.10967834583894</v>
      </c>
      <c r="BD252" s="3" t="n">
        <v>64.77759384607147</v>
      </c>
      <c r="BE252" s="3" t="n">
        <v>67.8571693282873</v>
      </c>
      <c r="BF252" s="3" t="n">
        <v>69.30249962990783</v>
      </c>
      <c r="BG252" s="3" t="n">
        <v>72.8831903705168</v>
      </c>
      <c r="BH252" s="3" t="n">
        <v>71.4435870856347</v>
      </c>
      <c r="BI252" s="3" t="n">
        <v>67.75379373048823</v>
      </c>
      <c r="BJ252" s="3" t="n">
        <v>66.59776042847913</v>
      </c>
      <c r="BK252" s="3" t="n">
        <v>67.13695401255926</v>
      </c>
      <c r="BL252" s="3" t="n">
        <v>69.36925575414669</v>
      </c>
      <c r="BM252" s="3" t="n">
        <v>74.3769608654133</v>
      </c>
      <c r="BN252" s="3" t="n">
        <v>73.28576375417867</v>
      </c>
      <c r="BO252" s="3" t="n">
        <v>69.11165581728645</v>
      </c>
      <c r="BP252" s="3" t="n">
        <v>64.5566406839019</v>
      </c>
      <c r="BQ252" s="3" t="n">
        <v>64.11133672131022</v>
      </c>
      <c r="BR252" s="34" t="str">
        <f>B252&amp;"|"&amp;D252</f>
        <v>UKR|NE.CON.PRVT.ZS</v>
      </c>
    </row>
    <row r="253">
      <c r="A253" s="3" t="inlineStr">
        <is>
          <t>Upper middle income</t>
        </is>
      </c>
      <c r="B253" s="3" t="inlineStr">
        <is>
          <t>UMC</t>
        </is>
      </c>
      <c r="C253" s="3" t="inlineStr">
        <is>
          <t>Households and NPISHs final consumption expenditure (% of GDP)</t>
        </is>
      </c>
      <c r="D253" s="3" t="inlineStr">
        <is>
          <t>NE.CON.PRVT.ZS</t>
        </is>
      </c>
      <c r="E253" s="3" t="n">
        <v>2022</v>
      </c>
      <c r="F253" s="3" t="n">
        <v>58.55647182807131</v>
      </c>
      <c r="G253" s="3" t="n">
        <v>66.75669076293258</v>
      </c>
      <c r="H253" s="3" t="n">
        <v>69.2562267465965</v>
      </c>
      <c r="I253" s="3" t="n">
        <v>66.71196919396927</v>
      </c>
      <c r="J253" s="3" t="n">
        <v>63.24292823436252</v>
      </c>
      <c r="K253" s="3" t="n">
        <v>59.36722213076445</v>
      </c>
      <c r="L253" s="3" t="n">
        <v>58.66423208441707</v>
      </c>
      <c r="M253" s="3" t="n">
        <v>61.32452805174255</v>
      </c>
      <c r="N253" s="3" t="n">
        <v>61.53368473961949</v>
      </c>
      <c r="O253" s="3" t="n">
        <v>59.61484699575807</v>
      </c>
      <c r="P253" s="3" t="n">
        <v>57.81788626962493</v>
      </c>
      <c r="Q253" s="3" t="n">
        <v>57.53163200089594</v>
      </c>
      <c r="R253" s="3" t="n">
        <v>57.01224186068431</v>
      </c>
      <c r="S253" s="3" t="n">
        <v>55.30115258617585</v>
      </c>
      <c r="T253" s="3" t="n">
        <v>53.19374204561726</v>
      </c>
      <c r="U253" s="3" t="n">
        <v>54.72185445275532</v>
      </c>
      <c r="V253" s="3" t="n">
        <v>53.39973532776601</v>
      </c>
      <c r="W253" s="3" t="n">
        <v>52.84841039355155</v>
      </c>
      <c r="X253" s="3" t="n">
        <v>53.70286761355476</v>
      </c>
      <c r="Y253" s="3" t="n">
        <v>52.18646438297652</v>
      </c>
      <c r="Z253" s="3" t="n">
        <v>52.54826695647087</v>
      </c>
      <c r="AA253" s="3" t="n">
        <v>55.96126988052831</v>
      </c>
      <c r="AB253" s="3" t="n">
        <v>56.16387937727814</v>
      </c>
      <c r="AC253" s="3" t="n">
        <v>56.15290786390948</v>
      </c>
      <c r="AD253" s="3" t="n">
        <v>56.77138969722897</v>
      </c>
      <c r="AE253" s="3" t="n">
        <v>57.4671083961984</v>
      </c>
      <c r="AF253" s="3" t="n">
        <v>58.9159666698039</v>
      </c>
      <c r="AG253" s="3" t="n">
        <v>57.90058528347561</v>
      </c>
      <c r="AH253" s="3" t="n">
        <v>58.31205654902504</v>
      </c>
      <c r="AI253" s="3" t="n">
        <v>59.09576613646481</v>
      </c>
      <c r="AJ253" s="3" t="n">
        <v>59.5325746919156</v>
      </c>
      <c r="AK253" s="3" t="n">
        <v>62.08750381372292</v>
      </c>
      <c r="AL253" s="3" t="n">
        <v>62.02900332517753</v>
      </c>
      <c r="AM253" s="3" t="n">
        <v>60.84650172067517</v>
      </c>
      <c r="AN253" s="3" t="n">
        <v>60.34432231047582</v>
      </c>
      <c r="AO253" s="3" t="n">
        <v>60.23163603064171</v>
      </c>
      <c r="AP253" s="3" t="n">
        <v>60.20444005163551</v>
      </c>
      <c r="AQ253" s="3" t="n">
        <v>60.21289156342382</v>
      </c>
      <c r="AR253" s="3" t="n">
        <v>59.9614801018339</v>
      </c>
      <c r="AS253" s="3" t="n">
        <v>59.49285005922827</v>
      </c>
      <c r="AT253" s="3" t="n">
        <v>58.97566685544569</v>
      </c>
      <c r="AU253" s="3" t="n">
        <v>58.34112989683167</v>
      </c>
      <c r="AV253" s="3" t="n">
        <v>57.11073631907999</v>
      </c>
      <c r="AW253" s="3" t="n">
        <v>56.22725856529909</v>
      </c>
      <c r="AX253" s="3" t="n">
        <v>54.70293495416551</v>
      </c>
      <c r="AY253" s="3" t="n">
        <v>54.08285586617503</v>
      </c>
      <c r="AZ253" s="3" t="n">
        <v>52.51187304451022</v>
      </c>
      <c r="BA253" s="3" t="n">
        <v>51.35300723824725</v>
      </c>
      <c r="BB253" s="3" t="n">
        <v>49.93634831430106</v>
      </c>
      <c r="BC253" s="3" t="n">
        <v>49.59374157240641</v>
      </c>
      <c r="BD253" s="3" t="n">
        <v>48.87276588331</v>
      </c>
      <c r="BE253" s="3" t="n">
        <v>48.38233777073282</v>
      </c>
      <c r="BF253" s="3" t="n">
        <v>48.38428208282878</v>
      </c>
      <c r="BG253" s="3" t="n">
        <v>48.39764317025072</v>
      </c>
      <c r="BH253" s="3" t="n">
        <v>48.44573406564639</v>
      </c>
      <c r="BI253" s="3" t="n">
        <v>48.34186720502491</v>
      </c>
      <c r="BJ253" s="3" t="n">
        <v>48.60214473783184</v>
      </c>
      <c r="BK253" s="3" t="n">
        <v>48.3566760145065</v>
      </c>
      <c r="BL253" s="3" t="n">
        <v>47.47173326281107</v>
      </c>
      <c r="BM253" s="3" t="n">
        <v>47.9737205473177</v>
      </c>
      <c r="BN253" s="3" t="n">
        <v>46.4497429541901</v>
      </c>
      <c r="BO253" s="3" t="n">
        <v>45.53828635482798</v>
      </c>
      <c r="BP253" s="3" t="n">
        <v>45.72209278767072</v>
      </c>
      <c r="BQ253" s="3" t="n"/>
      <c r="BR253" s="34" t="str">
        <f>B253&amp;"|"&amp;D253</f>
        <v>UMC|NE.CON.PRVT.ZS</v>
      </c>
    </row>
    <row r="254">
      <c r="A254" s="3" t="inlineStr">
        <is>
          <t>Uruguay</t>
        </is>
      </c>
      <c r="B254" s="3" t="inlineStr">
        <is>
          <t>URY</t>
        </is>
      </c>
      <c r="C254" s="3" t="inlineStr">
        <is>
          <t>Households and NPISHs final consumption expenditure (% of GDP)</t>
        </is>
      </c>
      <c r="D254" s="3" t="inlineStr">
        <is>
          <t>NE.CON.PRVT.ZS</t>
        </is>
      </c>
      <c r="E254" s="3" t="n">
        <v>2015</v>
      </c>
      <c r="F254" s="3" t="n">
        <v>74.48275862068967</v>
      </c>
      <c r="G254" s="3" t="n">
        <v>66.47727272727273</v>
      </c>
      <c r="H254" s="3" t="n">
        <v>70.10309278350515</v>
      </c>
      <c r="I254" s="3" t="n">
        <v>69.52789699570815</v>
      </c>
      <c r="J254" s="3" t="n">
        <v>71.34328358208955</v>
      </c>
      <c r="K254" s="3" t="n">
        <v>65.39162112932605</v>
      </c>
      <c r="L254" s="3" t="n">
        <v>64.61538461538461</v>
      </c>
      <c r="M254" s="3" t="n">
        <v>65.71258199165176</v>
      </c>
      <c r="N254" s="3" t="n">
        <v>69.95940460081191</v>
      </c>
      <c r="O254" s="3" t="n">
        <v>68.71856769261719</v>
      </c>
      <c r="P254" s="3" t="n">
        <v>81.24528301886792</v>
      </c>
      <c r="Q254" s="3" t="n">
        <v>66.57569663889686</v>
      </c>
      <c r="R254" s="3" t="n">
        <v>69.21356048872828</v>
      </c>
      <c r="S254" s="3" t="n">
        <v>54.26721600941731</v>
      </c>
      <c r="T254" s="3" t="n">
        <v>71.61873386163298</v>
      </c>
      <c r="U254" s="3" t="n">
        <v>70.58399696624953</v>
      </c>
      <c r="V254" s="3" t="n">
        <v>65.16332529642963</v>
      </c>
      <c r="W254" s="3" t="n">
        <v>68.54049530583958</v>
      </c>
      <c r="X254" s="3" t="n">
        <v>66.76235203424386</v>
      </c>
      <c r="Y254" s="3" t="n">
        <v>68.30986791262869</v>
      </c>
      <c r="Z254" s="3" t="n">
        <v>75.79931456335952</v>
      </c>
      <c r="AA254" s="3" t="n">
        <v>67.99367704280156</v>
      </c>
      <c r="AB254" s="3" t="n">
        <v>67.46408171964198</v>
      </c>
      <c r="AC254" s="3" t="n">
        <v>69.13081900852362</v>
      </c>
      <c r="AD254" s="3" t="n">
        <v>69.07479269336324</v>
      </c>
      <c r="AE254" s="3" t="n">
        <v>68.51769061068957</v>
      </c>
      <c r="AF254" s="3" t="n">
        <v>68.54362237477946</v>
      </c>
      <c r="AG254" s="3" t="n">
        <v>70.03777236911478</v>
      </c>
      <c r="AH254" s="3" t="n">
        <v>68.83106121657495</v>
      </c>
      <c r="AI254" s="3" t="n">
        <v>69.79695697766407</v>
      </c>
      <c r="AJ254" s="3" t="n">
        <v>70.26605621598618</v>
      </c>
      <c r="AK254" s="3" t="n">
        <v>70.08038110792751</v>
      </c>
      <c r="AL254" s="3" t="n">
        <v>72.20892376617033</v>
      </c>
      <c r="AM254" s="3" t="n">
        <v>72.61619074851194</v>
      </c>
      <c r="AN254" s="3" t="n">
        <v>72.87212389472901</v>
      </c>
      <c r="AO254" s="3" t="n">
        <v>72.85713699225249</v>
      </c>
      <c r="AP254" s="3" t="n">
        <v>72.13727938703607</v>
      </c>
      <c r="AQ254" s="3" t="n">
        <v>74.90378193051524</v>
      </c>
      <c r="AR254" s="3" t="n">
        <v>74.56457518297584</v>
      </c>
      <c r="AS254" s="3" t="n">
        <v>75.92446447875861</v>
      </c>
      <c r="AT254" s="3" t="n">
        <v>76.50447064464953</v>
      </c>
      <c r="AU254" s="3" t="n">
        <v>75.88021222521328</v>
      </c>
      <c r="AV254" s="3" t="n">
        <v>73.36502204300292</v>
      </c>
      <c r="AW254" s="3" t="n">
        <v>69.69896189939234</v>
      </c>
      <c r="AX254" s="3" t="n">
        <v>68.77861553048056</v>
      </c>
      <c r="AY254" s="3" t="n">
        <v>69.43534056445584</v>
      </c>
      <c r="AZ254" s="3" t="n">
        <v>70.63072843894807</v>
      </c>
      <c r="BA254" s="3" t="n">
        <v>70.02323485668758</v>
      </c>
      <c r="BB254" s="3" t="n">
        <v>69.38086598353144</v>
      </c>
      <c r="BC254" s="3" t="n">
        <v>66.6274191606549</v>
      </c>
      <c r="BD254" s="3" t="n">
        <v>66.95954668232903</v>
      </c>
      <c r="BE254" s="3" t="n">
        <v>66.75996550992234</v>
      </c>
      <c r="BF254" s="3" t="n">
        <v>67.03268108424676</v>
      </c>
      <c r="BG254" s="3" t="n">
        <v>67.00473183938288</v>
      </c>
      <c r="BH254" s="3" t="n">
        <v>67.10309553250634</v>
      </c>
      <c r="BI254" s="3" t="n">
        <v>66.83133791234067</v>
      </c>
      <c r="BJ254" s="3" t="n"/>
      <c r="BK254" s="3" t="n"/>
      <c r="BL254" s="3" t="n"/>
      <c r="BM254" s="3" t="n"/>
      <c r="BN254" s="3" t="n"/>
      <c r="BO254" s="3" t="n"/>
      <c r="BP254" s="3" t="n"/>
      <c r="BQ254" s="3" t="n"/>
      <c r="BR254" s="34" t="str">
        <f>B254&amp;"|"&amp;D254</f>
        <v>URY|NE.CON.PRVT.ZS</v>
      </c>
    </row>
    <row r="255">
      <c r="A255" s="3" t="inlineStr">
        <is>
          <t>United States</t>
        </is>
      </c>
      <c r="B255" s="3" t="inlineStr">
        <is>
          <t>USA</t>
        </is>
      </c>
      <c r="C255" s="3" t="inlineStr">
        <is>
          <t>Households and NPISHs final consumption expenditure (% of GDP)</t>
        </is>
      </c>
      <c r="D255" s="3" t="inlineStr">
        <is>
          <t>NE.CON.PRVT.ZS</t>
        </is>
      </c>
      <c r="E255" s="3" t="n">
        <v>2022</v>
      </c>
      <c r="F255" s="3" t="n"/>
      <c r="G255" s="3" t="n"/>
      <c r="H255" s="3" t="n"/>
      <c r="I255" s="3" t="n"/>
      <c r="J255" s="3" t="n"/>
      <c r="K255" s="3" t="n"/>
      <c r="L255" s="3" t="n"/>
      <c r="M255" s="3" t="n"/>
      <c r="N255" s="3" t="n"/>
      <c r="O255" s="3" t="n"/>
      <c r="P255" s="3" t="n">
        <v>60.25549169246709</v>
      </c>
      <c r="Q255" s="3" t="n">
        <v>60.08816585826501</v>
      </c>
      <c r="R255" s="3" t="n">
        <v>60.05370921969182</v>
      </c>
      <c r="S255" s="3" t="n">
        <v>59.60357126821274</v>
      </c>
      <c r="T255" s="3" t="n">
        <v>60.19512788603475</v>
      </c>
      <c r="U255" s="3" t="n">
        <v>61.16354403574328</v>
      </c>
      <c r="V255" s="3" t="n">
        <v>61.26073709360248</v>
      </c>
      <c r="W255" s="3" t="n">
        <v>61.19507586128717</v>
      </c>
      <c r="X255" s="3" t="n">
        <v>60.48020942346037</v>
      </c>
      <c r="Y255" s="3" t="n">
        <v>60.34332153556478</v>
      </c>
      <c r="Z255" s="3" t="n">
        <v>61.26982504855096</v>
      </c>
      <c r="AA255" s="3" t="n">
        <v>60.30328268332086</v>
      </c>
      <c r="AB255" s="3" t="n">
        <v>61.94338219307498</v>
      </c>
      <c r="AC255" s="3" t="n">
        <v>62.78429119343276</v>
      </c>
      <c r="AD255" s="3" t="n">
        <v>61.72805566060937</v>
      </c>
      <c r="AE255" s="3" t="n">
        <v>62.52231227668997</v>
      </c>
      <c r="AF255" s="3" t="n">
        <v>63.02424802347613</v>
      </c>
      <c r="AG255" s="3" t="n">
        <v>63.36030433255788</v>
      </c>
      <c r="AH255" s="3" t="n">
        <v>63.59307605666294</v>
      </c>
      <c r="AI255" s="3" t="n">
        <v>63.39993406102545</v>
      </c>
      <c r="AJ255" s="3" t="n">
        <v>63.87559985135358</v>
      </c>
      <c r="AK255" s="3" t="n">
        <v>64.03647926180176</v>
      </c>
      <c r="AL255" s="3" t="n">
        <v>64.37651056457752</v>
      </c>
      <c r="AM255" s="3" t="n">
        <v>64.91136111827572</v>
      </c>
      <c r="AN255" s="3" t="n">
        <v>64.7840278536334</v>
      </c>
      <c r="AO255" s="3" t="n">
        <v>64.95750056709979</v>
      </c>
      <c r="AP255" s="3" t="n">
        <v>64.96366585318543</v>
      </c>
      <c r="AQ255" s="3" t="n">
        <v>64.54976897837518</v>
      </c>
      <c r="AR255" s="3" t="n">
        <v>64.85012331154871</v>
      </c>
      <c r="AS255" s="3" t="n">
        <v>65.24395992512645</v>
      </c>
      <c r="AT255" s="3" t="n">
        <v>66.01512718038286</v>
      </c>
      <c r="AU255" s="3" t="n">
        <v>66.84793481415345</v>
      </c>
      <c r="AV255" s="3" t="n">
        <v>67.24191031875611</v>
      </c>
      <c r="AW255" s="3" t="n">
        <v>67.56673315032144</v>
      </c>
      <c r="AX255" s="3" t="n">
        <v>67.38010915106871</v>
      </c>
      <c r="AY255" s="3" t="n">
        <v>67.25157998609885</v>
      </c>
      <c r="AZ255" s="3" t="n">
        <v>67.15052126283777</v>
      </c>
      <c r="BA255" s="3" t="n">
        <v>67.33757406612636</v>
      </c>
      <c r="BB255" s="3" t="n">
        <v>68.04452878435831</v>
      </c>
      <c r="BC255" s="3" t="n">
        <v>68.31863673513875</v>
      </c>
      <c r="BD255" s="3" t="n">
        <v>68.17912002089712</v>
      </c>
      <c r="BE255" s="3" t="n">
        <v>68.58359489765593</v>
      </c>
      <c r="BF255" s="3" t="n">
        <v>67.96716740587068</v>
      </c>
      <c r="BG255" s="3" t="n">
        <v>67.46310561012253</v>
      </c>
      <c r="BH255" s="3" t="n">
        <v>67.43728382864786</v>
      </c>
      <c r="BI255" s="3" t="n">
        <v>67.21741037820185</v>
      </c>
      <c r="BJ255" s="3" t="n">
        <v>67.67831895845516</v>
      </c>
      <c r="BK255" s="3" t="n">
        <v>67.76747336924926</v>
      </c>
      <c r="BL255" s="3" t="n">
        <v>67.45785204048931</v>
      </c>
      <c r="BM255" s="3" t="n">
        <v>66.99200493276575</v>
      </c>
      <c r="BN255" s="3" t="n">
        <v>66.62413502822076</v>
      </c>
      <c r="BO255" s="3" t="n">
        <v>67.99585878309645</v>
      </c>
      <c r="BP255" s="3" t="n">
        <v>68.02234126736883</v>
      </c>
      <c r="BQ255" s="3" t="n"/>
      <c r="BR255" s="34" t="str">
        <f>B255&amp;"|"&amp;D255</f>
        <v>USA|NE.CON.PRVT.ZS</v>
      </c>
    </row>
    <row r="256">
      <c r="A256" s="3" t="inlineStr">
        <is>
          <t>Uzbekistan</t>
        </is>
      </c>
      <c r="B256" s="3" t="inlineStr">
        <is>
          <t>UZB</t>
        </is>
      </c>
      <c r="C256" s="3" t="inlineStr">
        <is>
          <t>Households and NPISHs final consumption expenditure (% of GDP)</t>
        </is>
      </c>
      <c r="D256" s="3" t="inlineStr">
        <is>
          <t>NE.CON.PRVT.ZS</t>
        </is>
      </c>
      <c r="E256" s="3" t="n">
        <v>2023</v>
      </c>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3" t="n"/>
      <c r="AL256" s="3" t="n">
        <v>12.8411204215492</v>
      </c>
      <c r="AM256" s="3" t="n">
        <v>55.51051275811728</v>
      </c>
      <c r="AN256" s="3" t="n">
        <v>49.8800818772581</v>
      </c>
      <c r="AO256" s="3" t="n">
        <v>43.99292836918854</v>
      </c>
      <c r="AP256" s="3" t="n">
        <v>53.2164395401233</v>
      </c>
      <c r="AQ256" s="3" t="n">
        <v>60.79809178669778</v>
      </c>
      <c r="AR256" s="3" t="n">
        <v>58.89123953683134</v>
      </c>
      <c r="AS256" s="3" t="n">
        <v>62.56184641981341</v>
      </c>
      <c r="AT256" s="3" t="n">
        <v>56.42861530900603</v>
      </c>
      <c r="AU256" s="3" t="n">
        <v>57.8260816600004</v>
      </c>
      <c r="AV256" s="3" t="n">
        <v>57.91363990228449</v>
      </c>
      <c r="AW256" s="3" t="n">
        <v>55.78410199106054</v>
      </c>
      <c r="AX256" s="3" t="n">
        <v>52.31590408612674</v>
      </c>
      <c r="AY256" s="3" t="n">
        <v>50.0072032354899</v>
      </c>
      <c r="AZ256" s="3" t="n">
        <v>49.53577531727961</v>
      </c>
      <c r="BA256" s="3" t="n">
        <v>51.25750620787514</v>
      </c>
      <c r="BB256" s="3" t="n">
        <v>49.44611211758849</v>
      </c>
      <c r="BC256" s="3" t="n">
        <v>53.92888795275399</v>
      </c>
      <c r="BD256" s="3" t="n">
        <v>61.52061701872564</v>
      </c>
      <c r="BE256" s="3" t="n">
        <v>61.23626688493109</v>
      </c>
      <c r="BF256" s="3" t="n">
        <v>62.41272700919186</v>
      </c>
      <c r="BG256" s="3" t="n">
        <v>64.11219043501475</v>
      </c>
      <c r="BH256" s="3" t="n">
        <v>63.31796671794792</v>
      </c>
      <c r="BI256" s="3" t="n">
        <v>64.90298703575623</v>
      </c>
      <c r="BJ256" s="3" t="n">
        <v>66.2923189490274</v>
      </c>
      <c r="BK256" s="3" t="n">
        <v>64.1667185180324</v>
      </c>
      <c r="BL256" s="3" t="n">
        <v>61.92801338305649</v>
      </c>
      <c r="BM256" s="3" t="n">
        <v>59.541794524248</v>
      </c>
      <c r="BN256" s="3" t="n">
        <v>58.88104627629653</v>
      </c>
      <c r="BO256" s="3" t="n">
        <v>59.78916650157875</v>
      </c>
      <c r="BP256" s="3" t="n">
        <v>60.96696285818929</v>
      </c>
      <c r="BQ256" s="3" t="n">
        <v>59.74124355661441</v>
      </c>
      <c r="BR256" s="34" t="str">
        <f>B256&amp;"|"&amp;D256</f>
        <v>UZB|NE.CON.PRVT.ZS</v>
      </c>
    </row>
    <row r="257">
      <c r="A257" s="3" t="inlineStr">
        <is>
          <t>St. Vincent and the Grenadines</t>
        </is>
      </c>
      <c r="B257" s="3" t="inlineStr">
        <is>
          <t>VCT</t>
        </is>
      </c>
      <c r="C257" s="3" t="inlineStr">
        <is>
          <t>Households and NPISHs final consumption expenditure (% of GDP)</t>
        </is>
      </c>
      <c r="D257" s="3" t="inlineStr">
        <is>
          <t>NE.CON.PRVT.ZS</t>
        </is>
      </c>
      <c r="E257" s="3" t="inlineStr">
        <is>
          <t>0x2a</t>
        </is>
      </c>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3" t="n"/>
      <c r="AL257" s="3" t="n"/>
      <c r="AM257" s="3" t="n"/>
      <c r="AN257" s="3" t="n"/>
      <c r="AO257" s="3" t="n"/>
      <c r="AP257" s="3" t="n"/>
      <c r="AQ257" s="3" t="n"/>
      <c r="AR257" s="3" t="n"/>
      <c r="AS257" s="3" t="n"/>
      <c r="AT257" s="3" t="n"/>
      <c r="AU257" s="3" t="n"/>
      <c r="AV257" s="3" t="n"/>
      <c r="AW257" s="3" t="n"/>
      <c r="AX257" s="3" t="n"/>
      <c r="AY257" s="3" t="n"/>
      <c r="AZ257" s="3" t="n"/>
      <c r="BA257" s="3" t="n"/>
      <c r="BB257" s="3" t="n"/>
      <c r="BC257" s="3" t="n"/>
      <c r="BD257" s="3" t="n"/>
      <c r="BE257" s="3" t="n"/>
      <c r="BF257" s="3" t="n"/>
      <c r="BG257" s="3" t="n"/>
      <c r="BH257" s="3" t="n"/>
      <c r="BI257" s="3" t="n"/>
      <c r="BJ257" s="3" t="n"/>
      <c r="BK257" s="3" t="n"/>
      <c r="BL257" s="3" t="n"/>
      <c r="BM257" s="3" t="n"/>
      <c r="BN257" s="3" t="n"/>
      <c r="BO257" s="3" t="n"/>
      <c r="BP257" s="3" t="n"/>
      <c r="BQ257" s="3" t="n"/>
      <c r="BR257" s="34" t="str">
        <f>B257&amp;"|"&amp;D257</f>
        <v>VCT|NE.CON.PRVT.ZS</v>
      </c>
    </row>
    <row r="258">
      <c r="A258" s="3" t="inlineStr">
        <is>
          <t>Venezuela, RB</t>
        </is>
      </c>
      <c r="B258" s="3" t="inlineStr">
        <is>
          <t>VEN</t>
        </is>
      </c>
      <c r="C258" s="3" t="inlineStr">
        <is>
          <t>Households and NPISHs final consumption expenditure (% of GDP)</t>
        </is>
      </c>
      <c r="D258" s="3" t="inlineStr">
        <is>
          <t>NE.CON.PRVT.ZS</t>
        </is>
      </c>
      <c r="E258" s="3" t="n">
        <v>2014</v>
      </c>
      <c r="F258" s="3" t="n">
        <v>62.74278368587122</v>
      </c>
      <c r="G258" s="3" t="n">
        <v>61.40171699230314</v>
      </c>
      <c r="H258" s="3" t="n">
        <v>61.64606265876375</v>
      </c>
      <c r="I258" s="3" t="n">
        <v>60.46107003044801</v>
      </c>
      <c r="J258" s="3" t="n">
        <v>60.9212335494009</v>
      </c>
      <c r="K258" s="3" t="n">
        <v>63.27936717205009</v>
      </c>
      <c r="L258" s="3" t="n">
        <v>63.91512298815669</v>
      </c>
      <c r="M258" s="3" t="n">
        <v>63.23387387387387</v>
      </c>
      <c r="N258" s="3" t="n">
        <v>62.57668032333075</v>
      </c>
      <c r="O258" s="3" t="n">
        <v>63.35133850441846</v>
      </c>
      <c r="P258" s="3" t="n">
        <v>57.84738106679481</v>
      </c>
      <c r="Q258" s="3" t="n">
        <v>56.9018743109151</v>
      </c>
      <c r="R258" s="3" t="n">
        <v>59.47546421254594</v>
      </c>
      <c r="S258" s="3" t="n">
        <v>56.67180866312642</v>
      </c>
      <c r="T258" s="3" t="n">
        <v>46.5591531977832</v>
      </c>
      <c r="U258" s="3" t="n">
        <v>55.71880980202882</v>
      </c>
      <c r="V258" s="3" t="n">
        <v>58.51795653718617</v>
      </c>
      <c r="W258" s="3" t="n">
        <v>60.09749142614928</v>
      </c>
      <c r="X258" s="3" t="n">
        <v>65.59629717260145</v>
      </c>
      <c r="Y258" s="3" t="n">
        <v>62.51351468443273</v>
      </c>
      <c r="Z258" s="3" t="n">
        <v>62.20282374970988</v>
      </c>
      <c r="AA258" s="3" t="n">
        <v>65.8226627584079</v>
      </c>
      <c r="AB258" s="3" t="n">
        <v>70.53304860128816</v>
      </c>
      <c r="AC258" s="3" t="n">
        <v>78.64973906338213</v>
      </c>
      <c r="AD258" s="3" t="n">
        <v>59.0481155611419</v>
      </c>
      <c r="AE258" s="3" t="n">
        <v>59.82624730764017</v>
      </c>
      <c r="AF258" s="3" t="n">
        <v>66.68687087568381</v>
      </c>
      <c r="AG258" s="3" t="n">
        <v>62.57643006170118</v>
      </c>
      <c r="AH258" s="3" t="n">
        <v>66.23545860849232</v>
      </c>
      <c r="AI258" s="3" t="n">
        <v>62.61431538552704</v>
      </c>
      <c r="AJ258" s="3" t="n">
        <v>60.09189820735757</v>
      </c>
      <c r="AK258" s="3" t="n">
        <v>64.39234737079143</v>
      </c>
      <c r="AL258" s="3" t="n">
        <v>67.40013210752652</v>
      </c>
      <c r="AM258" s="3" t="n">
        <v>70.57071422062329</v>
      </c>
      <c r="AN258" s="3" t="n">
        <v>67.78855681478132</v>
      </c>
      <c r="AO258" s="3" t="n">
        <v>67.22724092895307</v>
      </c>
      <c r="AP258" s="3" t="n">
        <v>61.20199681483073</v>
      </c>
      <c r="AQ258" s="3" t="n">
        <v>51.52229740679235</v>
      </c>
      <c r="AR258" s="3" t="n">
        <v>57.63030215743849</v>
      </c>
      <c r="AS258" s="3" t="n">
        <v>57.41306201406699</v>
      </c>
      <c r="AT258" s="3" t="n">
        <v>51.74860573680032</v>
      </c>
      <c r="AU258" s="3" t="n">
        <v>54.90859828518098</v>
      </c>
      <c r="AV258" s="3" t="n">
        <v>53.5423267059882</v>
      </c>
      <c r="AW258" s="3" t="n">
        <v>54.78200933184998</v>
      </c>
      <c r="AX258" s="3" t="n">
        <v>49.21636785383804</v>
      </c>
      <c r="AY258" s="3" t="n">
        <v>46.75008648434823</v>
      </c>
      <c r="AZ258" s="3" t="n">
        <v>46.9957573783356</v>
      </c>
      <c r="BA258" s="3" t="n">
        <v>51.12691000665832</v>
      </c>
      <c r="BB258" s="3" t="n">
        <v>51.50154590368445</v>
      </c>
      <c r="BC258" s="3" t="n">
        <v>62.88064646273247</v>
      </c>
      <c r="BD258" s="3" t="n">
        <v>55.89488273467224</v>
      </c>
      <c r="BE258" s="3" t="n">
        <v>55.16190028716598</v>
      </c>
      <c r="BF258" s="3" t="n">
        <v>59.27283620458811</v>
      </c>
      <c r="BG258" s="3" t="n">
        <v>65.09003034630234</v>
      </c>
      <c r="BH258" s="3" t="n">
        <v>75.28960223241214</v>
      </c>
      <c r="BI258" s="3" t="n"/>
      <c r="BJ258" s="3" t="n"/>
      <c r="BK258" s="3" t="n"/>
      <c r="BL258" s="3" t="n"/>
      <c r="BM258" s="3" t="n"/>
      <c r="BN258" s="3" t="n"/>
      <c r="BO258" s="3" t="n"/>
      <c r="BP258" s="3" t="n"/>
      <c r="BQ258" s="3" t="n"/>
      <c r="BR258" s="34" t="str">
        <f>B258&amp;"|"&amp;D258</f>
        <v>VEN|NE.CON.PRVT.ZS</v>
      </c>
    </row>
    <row r="259">
      <c r="A259" s="3" t="inlineStr">
        <is>
          <t>British Virgin Islands</t>
        </is>
      </c>
      <c r="B259" s="3" t="inlineStr">
        <is>
          <t>VGB</t>
        </is>
      </c>
      <c r="C259" s="3" t="inlineStr">
        <is>
          <t>Households and NPISHs final consumption expenditure (% of GDP)</t>
        </is>
      </c>
      <c r="D259" s="3" t="inlineStr">
        <is>
          <t>NE.CON.PRVT.ZS</t>
        </is>
      </c>
      <c r="E259" s="3" t="inlineStr">
        <is>
          <t>0x2a</t>
        </is>
      </c>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3" t="n"/>
      <c r="AL259" s="3" t="n"/>
      <c r="AM259" s="3" t="n"/>
      <c r="AN259" s="3" t="n"/>
      <c r="AO259" s="3" t="n"/>
      <c r="AP259" s="3" t="n"/>
      <c r="AQ259" s="3" t="n"/>
      <c r="AR259" s="3" t="n"/>
      <c r="AS259" s="3" t="n"/>
      <c r="AT259" s="3" t="n"/>
      <c r="AU259" s="3" t="n"/>
      <c r="AV259" s="3" t="n"/>
      <c r="AW259" s="3" t="n"/>
      <c r="AX259" s="3" t="n"/>
      <c r="AY259" s="3" t="n"/>
      <c r="AZ259" s="3" t="n"/>
      <c r="BA259" s="3" t="n"/>
      <c r="BB259" s="3" t="n"/>
      <c r="BC259" s="3" t="n"/>
      <c r="BD259" s="3" t="n"/>
      <c r="BE259" s="3" t="n"/>
      <c r="BF259" s="3" t="n"/>
      <c r="BG259" s="3" t="n"/>
      <c r="BH259" s="3" t="n"/>
      <c r="BI259" s="3" t="n"/>
      <c r="BJ259" s="3" t="n"/>
      <c r="BK259" s="3" t="n"/>
      <c r="BL259" s="3" t="n"/>
      <c r="BM259" s="3" t="n"/>
      <c r="BN259" s="3" t="n"/>
      <c r="BO259" s="3" t="n"/>
      <c r="BP259" s="3" t="n"/>
      <c r="BQ259" s="3" t="n"/>
      <c r="BR259" s="34" t="str">
        <f>B259&amp;"|"&amp;D259</f>
        <v>VGB|NE.CON.PRVT.ZS</v>
      </c>
    </row>
    <row r="260">
      <c r="A260" s="3" t="inlineStr">
        <is>
          <t>Virgin Islands (U.S.)</t>
        </is>
      </c>
      <c r="B260" s="3" t="inlineStr">
        <is>
          <t>VIR</t>
        </is>
      </c>
      <c r="C260" s="3" t="inlineStr">
        <is>
          <t>Households and NPISHs final consumption expenditure (% of GDP)</t>
        </is>
      </c>
      <c r="D260" s="3" t="inlineStr">
        <is>
          <t>NE.CON.PRVT.ZS</t>
        </is>
      </c>
      <c r="E260" s="3" t="n">
        <v>2021</v>
      </c>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3" t="n"/>
      <c r="AL260" s="3" t="n"/>
      <c r="AM260" s="3" t="n"/>
      <c r="AN260" s="3" t="n"/>
      <c r="AO260" s="3" t="n"/>
      <c r="AP260" s="3" t="n"/>
      <c r="AQ260" s="3" t="n"/>
      <c r="AR260" s="3" t="n"/>
      <c r="AS260" s="3" t="n"/>
      <c r="AT260" s="3" t="n"/>
      <c r="AU260" s="3" t="n"/>
      <c r="AV260" s="3" t="n">
        <v>50.61312078479461</v>
      </c>
      <c r="AW260" s="3" t="n">
        <v>50.47923322683706</v>
      </c>
      <c r="AX260" s="3" t="n">
        <v>49.30208058993942</v>
      </c>
      <c r="AY260" s="3" t="n">
        <v>47.33514001806684</v>
      </c>
      <c r="AZ260" s="3" t="n">
        <v>50.84745762711864</v>
      </c>
      <c r="BA260" s="3" t="n">
        <v>47.65886287625418</v>
      </c>
      <c r="BB260" s="3" t="n">
        <v>54.45334590009425</v>
      </c>
      <c r="BC260" s="3" t="n">
        <v>56.3675315401095</v>
      </c>
      <c r="BD260" s="3" t="n">
        <v>56.15171137835338</v>
      </c>
      <c r="BE260" s="3" t="n">
        <v>59.76793748520009</v>
      </c>
      <c r="BF260" s="3" t="n">
        <v>61.82440694546344</v>
      </c>
      <c r="BG260" s="3" t="n">
        <v>67.28196896736223</v>
      </c>
      <c r="BH260" s="3" t="n">
        <v>69.92987377279103</v>
      </c>
      <c r="BI260" s="3" t="n">
        <v>69.99726999727</v>
      </c>
      <c r="BJ260" s="3" t="n">
        <v>67.98314902580306</v>
      </c>
      <c r="BK260" s="3" t="n">
        <v>67.94939377965208</v>
      </c>
      <c r="BL260" s="3" t="n">
        <v>67.72877899566659</v>
      </c>
      <c r="BM260" s="3" t="n">
        <v>69.20650327590391</v>
      </c>
      <c r="BN260" s="3" t="n">
        <v>65.48102172356171</v>
      </c>
      <c r="BO260" s="3" t="n">
        <v>65.77407740774078</v>
      </c>
      <c r="BP260" s="3" t="n"/>
      <c r="BQ260" s="3" t="n"/>
      <c r="BR260" s="34" t="str">
        <f>B260&amp;"|"&amp;D260</f>
        <v>VIR|NE.CON.PRVT.ZS</v>
      </c>
    </row>
    <row r="261">
      <c r="A261" s="3" t="inlineStr">
        <is>
          <t>Viet Nam</t>
        </is>
      </c>
      <c r="B261" s="3" t="inlineStr">
        <is>
          <t>VNM</t>
        </is>
      </c>
      <c r="C261" s="3" t="inlineStr">
        <is>
          <t>Households and NPISHs final consumption expenditure (% of GDP)</t>
        </is>
      </c>
      <c r="D261" s="3" t="inlineStr">
        <is>
          <t>NE.CON.PRVT.ZS</t>
        </is>
      </c>
      <c r="E261" s="3" t="n">
        <v>2022</v>
      </c>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3" t="n"/>
      <c r="AL261" s="3" t="n"/>
      <c r="AM261" s="3" t="n"/>
      <c r="AN261" s="3" t="n"/>
      <c r="AO261" s="3" t="n">
        <v>73.61200915715709</v>
      </c>
      <c r="AP261" s="3" t="n">
        <v>74.44198561955035</v>
      </c>
      <c r="AQ261" s="3" t="n">
        <v>71.76897102572197</v>
      </c>
      <c r="AR261" s="3" t="n">
        <v>70.88890550860486</v>
      </c>
      <c r="AS261" s="3" t="n">
        <v>68.64820398957849</v>
      </c>
      <c r="AT261" s="3" t="n">
        <v>66.45752480493427</v>
      </c>
      <c r="AU261" s="3" t="n">
        <v>64.85502654297261</v>
      </c>
      <c r="AV261" s="3" t="n">
        <v>65.09364232625681</v>
      </c>
      <c r="AW261" s="3" t="n">
        <v>66.25733768255567</v>
      </c>
      <c r="AX261" s="3" t="n">
        <v>65.0777917733225</v>
      </c>
      <c r="AY261" s="3" t="n">
        <v>65.48865920277987</v>
      </c>
      <c r="AZ261" s="3" t="n">
        <v>65.08824235915841</v>
      </c>
      <c r="BA261" s="3" t="n">
        <v>68.10732381058561</v>
      </c>
      <c r="BB261" s="3" t="n">
        <v>70.87423818737945</v>
      </c>
      <c r="BC261" s="3" t="n">
        <v>68.49358455273723</v>
      </c>
      <c r="BD261" s="3" t="n">
        <v>58.43458696944322</v>
      </c>
      <c r="BE261" s="3" t="n">
        <v>56.48449862857125</v>
      </c>
      <c r="BF261" s="3" t="n">
        <v>55.70364833437544</v>
      </c>
      <c r="BG261" s="3" t="n">
        <v>56.88394676604073</v>
      </c>
      <c r="BH261" s="3" t="n">
        <v>57.01710789913344</v>
      </c>
      <c r="BI261" s="3" t="n">
        <v>59.33262921362833</v>
      </c>
      <c r="BJ261" s="3" t="n">
        <v>58.73700433787206</v>
      </c>
      <c r="BK261" s="3" t="n">
        <v>57.99793325432621</v>
      </c>
      <c r="BL261" s="3" t="n">
        <v>57.07689004859784</v>
      </c>
      <c r="BM261" s="3" t="n">
        <v>56.8280700539573</v>
      </c>
      <c r="BN261" s="3" t="n">
        <v>55.96708252327925</v>
      </c>
      <c r="BO261" s="3" t="n">
        <v>55.51902652892458</v>
      </c>
      <c r="BP261" s="3" t="n">
        <v>54.78581557890887</v>
      </c>
      <c r="BQ261" s="3" t="n"/>
      <c r="BR261" s="34" t="str">
        <f>B261&amp;"|"&amp;D261</f>
        <v>VNM|NE.CON.PRVT.ZS</v>
      </c>
    </row>
    <row r="262">
      <c r="A262" s="3" t="inlineStr">
        <is>
          <t>Vanuatu</t>
        </is>
      </c>
      <c r="B262" s="3" t="inlineStr">
        <is>
          <t>VUT</t>
        </is>
      </c>
      <c r="C262" s="3" t="inlineStr">
        <is>
          <t>Households and NPISHs final consumption expenditure (% of GDP)</t>
        </is>
      </c>
      <c r="D262" s="3" t="inlineStr">
        <is>
          <t>NE.CON.PRVT.ZS</t>
        </is>
      </c>
      <c r="E262" s="3" t="n">
        <v>2019</v>
      </c>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v>52.03601285897985</v>
      </c>
      <c r="AD262" s="3" t="n">
        <v>50.88930738648253</v>
      </c>
      <c r="AE262" s="3" t="n">
        <v>56.41227380015735</v>
      </c>
      <c r="AF262" s="3" t="n">
        <v>60.25101513473606</v>
      </c>
      <c r="AG262" s="3" t="n">
        <v>55.90078328981723</v>
      </c>
      <c r="AH262" s="3" t="n">
        <v>59.7363328495404</v>
      </c>
      <c r="AI262" s="3" t="n">
        <v>58.29789615040286</v>
      </c>
      <c r="AJ262" s="3" t="n">
        <v>59.27968030755223</v>
      </c>
      <c r="AK262" s="3" t="n">
        <v>58.72804091616634</v>
      </c>
      <c r="AL262" s="3" t="n">
        <v>58.0918638491712</v>
      </c>
      <c r="AM262" s="3" t="n">
        <v>56.69100754840827</v>
      </c>
      <c r="AN262" s="3" t="n">
        <v>54.79341273342155</v>
      </c>
      <c r="AO262" s="3" t="n">
        <v>56.02618681357994</v>
      </c>
      <c r="AP262" s="3" t="n">
        <v>55.07534246575343</v>
      </c>
      <c r="AQ262" s="3" t="n">
        <v>55.02119850661267</v>
      </c>
      <c r="AR262" s="3" t="n">
        <v>76.16826621221634</v>
      </c>
      <c r="AS262" s="3" t="n">
        <v>79.24435579452491</v>
      </c>
      <c r="AT262" s="3" t="n">
        <v>71.30685612029593</v>
      </c>
      <c r="AU262" s="3" t="n">
        <v>76.5128068303095</v>
      </c>
      <c r="AV262" s="3" t="n">
        <v>71.76702322654775</v>
      </c>
      <c r="AW262" s="3" t="n">
        <v>70.02732595966168</v>
      </c>
      <c r="AX262" s="3" t="n">
        <v>69.07335244957478</v>
      </c>
      <c r="AY262" s="3" t="n">
        <v>67.15027347733383</v>
      </c>
      <c r="AZ262" s="3" t="n">
        <v>63.02688691859867</v>
      </c>
      <c r="BA262" s="3" t="n">
        <v>60.71118000680556</v>
      </c>
      <c r="BB262" s="3" t="n">
        <v>58.31481883634299</v>
      </c>
      <c r="BC262" s="3" t="n">
        <v>61.25804258817206</v>
      </c>
      <c r="BD262" s="3" t="n">
        <v>64.05009539048557</v>
      </c>
      <c r="BE262" s="3" t="n">
        <v>63.39597997242581</v>
      </c>
      <c r="BF262" s="3" t="n">
        <v>65.5157481451543</v>
      </c>
      <c r="BG262" s="3" t="n">
        <v>66.2500697427886</v>
      </c>
      <c r="BH262" s="3" t="n">
        <v>68.61944777911164</v>
      </c>
      <c r="BI262" s="3" t="n">
        <v>68.47358047629211</v>
      </c>
      <c r="BJ262" s="3" t="n">
        <v>67.08064268596456</v>
      </c>
      <c r="BK262" s="3" t="n">
        <v>61.93025535098905</v>
      </c>
      <c r="BL262" s="3" t="n">
        <v>58.9548684158298</v>
      </c>
      <c r="BM262" s="3" t="n">
        <v>55.52163797114937</v>
      </c>
      <c r="BN262" s="3" t="n"/>
      <c r="BO262" s="3" t="n"/>
      <c r="BP262" s="3" t="n"/>
      <c r="BQ262" s="3" t="n"/>
      <c r="BR262" s="34" t="str">
        <f>B262&amp;"|"&amp;D262</f>
        <v>VUT|NE.CON.PRVT.ZS</v>
      </c>
    </row>
    <row r="263">
      <c r="A263" s="3" t="inlineStr">
        <is>
          <t>World</t>
        </is>
      </c>
      <c r="B263" s="3" t="inlineStr">
        <is>
          <t>WLD</t>
        </is>
      </c>
      <c r="C263" s="3" t="inlineStr">
        <is>
          <t>Households and NPISHs final consumption expenditure (% of GDP)</t>
        </is>
      </c>
      <c r="D263" s="3" t="inlineStr">
        <is>
          <t>NE.CON.PRVT.ZS</t>
        </is>
      </c>
      <c r="E263" s="3" t="n">
        <v>2022</v>
      </c>
      <c r="F263" s="3" t="n"/>
      <c r="G263" s="3" t="n"/>
      <c r="H263" s="3" t="n"/>
      <c r="I263" s="3" t="n"/>
      <c r="J263" s="3" t="n"/>
      <c r="K263" s="3" t="n"/>
      <c r="L263" s="3" t="n"/>
      <c r="M263" s="3" t="n"/>
      <c r="N263" s="3" t="n"/>
      <c r="O263" s="3" t="n"/>
      <c r="P263" s="3" t="n">
        <v>58.51450873581842</v>
      </c>
      <c r="Q263" s="3" t="n">
        <v>58.55911949131625</v>
      </c>
      <c r="R263" s="3" t="n">
        <v>58.28664070586732</v>
      </c>
      <c r="S263" s="3" t="n">
        <v>57.33048617728559</v>
      </c>
      <c r="T263" s="3" t="n">
        <v>56.65044825707758</v>
      </c>
      <c r="U263" s="3" t="n">
        <v>57.89122122607593</v>
      </c>
      <c r="V263" s="3" t="n">
        <v>57.48945446150624</v>
      </c>
      <c r="W263" s="3" t="n">
        <v>57.60317231741772</v>
      </c>
      <c r="X263" s="3" t="n">
        <v>57.35292470021468</v>
      </c>
      <c r="Y263" s="3" t="n">
        <v>57.21511243946683</v>
      </c>
      <c r="Z263" s="3" t="n">
        <v>57.41131260786737</v>
      </c>
      <c r="AA263" s="3" t="n">
        <v>57.0285809201841</v>
      </c>
      <c r="AB263" s="3" t="n">
        <v>58.17455102843599</v>
      </c>
      <c r="AC263" s="3" t="n">
        <v>59.01160582403519</v>
      </c>
      <c r="AD263" s="3" t="n">
        <v>58.55090594380176</v>
      </c>
      <c r="AE263" s="3" t="n">
        <v>58.97807886816589</v>
      </c>
      <c r="AF263" s="3" t="n">
        <v>59.21010704209358</v>
      </c>
      <c r="AG263" s="3" t="n">
        <v>59.07252261226347</v>
      </c>
      <c r="AH263" s="3" t="n">
        <v>58.78069012046917</v>
      </c>
      <c r="AI263" s="3" t="n">
        <v>58.60118213167008</v>
      </c>
      <c r="AJ263" s="3" t="n">
        <v>58.7891852558279</v>
      </c>
      <c r="AK263" s="3" t="n">
        <v>58.9426623880783</v>
      </c>
      <c r="AL263" s="3" t="n">
        <v>59.16489071797633</v>
      </c>
      <c r="AM263" s="3" t="n">
        <v>59.60129411364815</v>
      </c>
      <c r="AN263" s="3" t="n">
        <v>59.57053678895323</v>
      </c>
      <c r="AO263" s="3" t="n">
        <v>58.97725575405865</v>
      </c>
      <c r="AP263" s="3" t="n">
        <v>59.15698157697841</v>
      </c>
      <c r="AQ263" s="3" t="n">
        <v>59.32721169972012</v>
      </c>
      <c r="AR263" s="3" t="n">
        <v>59.68383172433281</v>
      </c>
      <c r="AS263" s="3" t="n">
        <v>60.1838135347881</v>
      </c>
      <c r="AT263" s="3" t="n">
        <v>60.08808937096723</v>
      </c>
      <c r="AU263" s="3" t="n">
        <v>60.60632811739139</v>
      </c>
      <c r="AV263" s="3" t="n">
        <v>60.53212037651927</v>
      </c>
      <c r="AW263" s="3" t="n">
        <v>60.15278807112334</v>
      </c>
      <c r="AX263" s="3" t="n">
        <v>59.39551145403939</v>
      </c>
      <c r="AY263" s="3" t="n">
        <v>59.01820884217882</v>
      </c>
      <c r="AZ263" s="3" t="n">
        <v>58.26819122032707</v>
      </c>
      <c r="BA263" s="3" t="n">
        <v>57.6734265515078</v>
      </c>
      <c r="BB263" s="3" t="n">
        <v>57.31405275238961</v>
      </c>
      <c r="BC263" s="3" t="n">
        <v>58.24730770205294</v>
      </c>
      <c r="BD263" s="3" t="n">
        <v>57.14548154591912</v>
      </c>
      <c r="BE263" s="3" t="n">
        <v>56.58188824958714</v>
      </c>
      <c r="BF263" s="3" t="n">
        <v>56.550539949372</v>
      </c>
      <c r="BG263" s="3" t="n">
        <v>56.47147286383961</v>
      </c>
      <c r="BH263" s="3" t="n">
        <v>56.51871854536189</v>
      </c>
      <c r="BI263" s="3" t="n">
        <v>56.68483142181054</v>
      </c>
      <c r="BJ263" s="3" t="n">
        <v>56.99784218905851</v>
      </c>
      <c r="BK263" s="3" t="n">
        <v>56.66049554039225</v>
      </c>
      <c r="BL263" s="3" t="n">
        <v>56.16721563267091</v>
      </c>
      <c r="BM263" s="3" t="n">
        <v>56.26357010512726</v>
      </c>
      <c r="BN263" s="3" t="n">
        <v>55.35244961713974</v>
      </c>
      <c r="BO263" s="3" t="n">
        <v>54.90796730120667</v>
      </c>
      <c r="BP263" s="3" t="n">
        <v>55.29384999477056</v>
      </c>
      <c r="BQ263" s="3" t="n"/>
      <c r="BR263" s="34" t="str">
        <f>B263&amp;"|"&amp;D263</f>
        <v>WLD|NE.CON.PRVT.ZS</v>
      </c>
    </row>
    <row r="264">
      <c r="A264" s="3" t="inlineStr">
        <is>
          <t>Samoa</t>
        </is>
      </c>
      <c r="B264" s="3" t="inlineStr">
        <is>
          <t>WSM</t>
        </is>
      </c>
      <c r="C264" s="3" t="inlineStr">
        <is>
          <t>Households and NPISHs final consumption expenditure (% of GDP)</t>
        </is>
      </c>
      <c r="D264" s="3" t="inlineStr">
        <is>
          <t>NE.CON.PRVT.ZS</t>
        </is>
      </c>
      <c r="E264" s="3" t="n">
        <v>2023</v>
      </c>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3" t="n"/>
      <c r="AL264" s="3" t="n"/>
      <c r="AM264" s="3" t="n"/>
      <c r="AN264" s="3" t="n"/>
      <c r="AO264" s="3" t="n"/>
      <c r="AP264" s="3" t="n"/>
      <c r="AQ264" s="3" t="n"/>
      <c r="AR264" s="3" t="n"/>
      <c r="AS264" s="3" t="n"/>
      <c r="AT264" s="3" t="n"/>
      <c r="AU264" s="3" t="n"/>
      <c r="AV264" s="3" t="n"/>
      <c r="AW264" s="3" t="n"/>
      <c r="AX264" s="3" t="n"/>
      <c r="AY264" s="3" t="n"/>
      <c r="AZ264" s="3" t="n"/>
      <c r="BA264" s="3" t="n"/>
      <c r="BB264" s="3" t="n"/>
      <c r="BC264" s="3" t="n">
        <v>78.20183926146986</v>
      </c>
      <c r="BD264" s="3" t="n">
        <v>75.50607655643189</v>
      </c>
      <c r="BE264" s="3" t="n">
        <v>74.08078544718788</v>
      </c>
      <c r="BF264" s="3" t="n">
        <v>75.03595909535915</v>
      </c>
      <c r="BG264" s="3" t="n">
        <v>76.61875575441719</v>
      </c>
      <c r="BH264" s="3" t="n">
        <v>73.43280526698008</v>
      </c>
      <c r="BI264" s="3" t="n">
        <v>69.20148461871166</v>
      </c>
      <c r="BJ264" s="3" t="n">
        <v>67.61463716966374</v>
      </c>
      <c r="BK264" s="3" t="n">
        <v>69.31408793429009</v>
      </c>
      <c r="BL264" s="3" t="n">
        <v>67.64276581099192</v>
      </c>
      <c r="BM264" s="3" t="n">
        <v>67.04414078673562</v>
      </c>
      <c r="BN264" s="3" t="n">
        <v>72.2182318774488</v>
      </c>
      <c r="BO264" s="3" t="n">
        <v>80.99666487420288</v>
      </c>
      <c r="BP264" s="3" t="n">
        <v>83.02301237540648</v>
      </c>
      <c r="BQ264" s="3" t="n">
        <v>86.1790381567712</v>
      </c>
      <c r="BR264" s="34" t="str">
        <f>B264&amp;"|"&amp;D264</f>
        <v>WSM|NE.CON.PRVT.ZS</v>
      </c>
    </row>
    <row r="265">
      <c r="A265" s="3" t="inlineStr">
        <is>
          <t>Kosovo</t>
        </is>
      </c>
      <c r="B265" s="3" t="inlineStr">
        <is>
          <t>XKX</t>
        </is>
      </c>
      <c r="C265" s="3" t="inlineStr">
        <is>
          <t>Households and NPISHs final consumption expenditure (% of GDP)</t>
        </is>
      </c>
      <c r="D265" s="3" t="inlineStr">
        <is>
          <t>NE.CON.PRVT.ZS</t>
        </is>
      </c>
      <c r="E265" s="3" t="n">
        <v>2023</v>
      </c>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3" t="n"/>
      <c r="AL265" s="3" t="n"/>
      <c r="AM265" s="3" t="n"/>
      <c r="AN265" s="3" t="n"/>
      <c r="AO265" s="3" t="n"/>
      <c r="AP265" s="3" t="n"/>
      <c r="AQ265" s="3" t="n"/>
      <c r="AR265" s="3" t="n"/>
      <c r="AS265" s="3" t="n"/>
      <c r="AT265" s="3" t="n"/>
      <c r="AU265" s="3" t="n"/>
      <c r="AV265" s="3" t="n"/>
      <c r="AW265" s="3" t="n"/>
      <c r="AX265" s="3" t="n"/>
      <c r="AY265" s="3" t="n"/>
      <c r="AZ265" s="3" t="n"/>
      <c r="BA265" s="3" t="n"/>
      <c r="BB265" s="3" t="n">
        <v>94.94049495151938</v>
      </c>
      <c r="BC265" s="3" t="n">
        <v>95.37560647023452</v>
      </c>
      <c r="BD265" s="3" t="n">
        <v>93.43268030930368</v>
      </c>
      <c r="BE265" s="3" t="n">
        <v>87.49683926614784</v>
      </c>
      <c r="BF265" s="3" t="n">
        <v>87.39921880634709</v>
      </c>
      <c r="BG265" s="3" t="n">
        <v>86.15089684524698</v>
      </c>
      <c r="BH265" s="3" t="n">
        <v>88.58916132012669</v>
      </c>
      <c r="BI265" s="3" t="n">
        <v>85.07707303456228</v>
      </c>
      <c r="BJ265" s="3" t="n">
        <v>81.75720453827566</v>
      </c>
      <c r="BK265" s="3" t="n">
        <v>79.236842039023</v>
      </c>
      <c r="BL265" s="3" t="n">
        <v>79.81103559443191</v>
      </c>
      <c r="BM265" s="3" t="n">
        <v>80.08455576196272</v>
      </c>
      <c r="BN265" s="3" t="n">
        <v>84.898403656919</v>
      </c>
      <c r="BO265" s="3" t="n">
        <v>82.99655372822518</v>
      </c>
      <c r="BP265" s="3" t="n">
        <v>85.73635409449952</v>
      </c>
      <c r="BQ265" s="3" t="n">
        <v>83.9406438656805</v>
      </c>
      <c r="BR265" s="34" t="str">
        <f>B265&amp;"|"&amp;D265</f>
        <v>XKX|NE.CON.PRVT.ZS</v>
      </c>
    </row>
    <row r="266">
      <c r="A266" s="3" t="inlineStr">
        <is>
          <t>Yemen, Rep.</t>
        </is>
      </c>
      <c r="B266" s="3" t="inlineStr">
        <is>
          <t>YEM</t>
        </is>
      </c>
      <c r="C266" s="3" t="inlineStr">
        <is>
          <t>Households and NPISHs final consumption expenditure (% of GDP)</t>
        </is>
      </c>
      <c r="D266" s="3" t="inlineStr">
        <is>
          <t>NE.CON.PRVT.ZS</t>
        </is>
      </c>
      <c r="E266" s="3" t="n">
        <v>2018</v>
      </c>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v>76.96711228862245</v>
      </c>
      <c r="AK266" s="3" t="n">
        <v>88.70619762450889</v>
      </c>
      <c r="AL266" s="3" t="n">
        <v>82.08139383936354</v>
      </c>
      <c r="AM266" s="3" t="n">
        <v>89.51577995778732</v>
      </c>
      <c r="AN266" s="3" t="n">
        <v>80.0572933072621</v>
      </c>
      <c r="AO266" s="3" t="n">
        <v>83.38935498560545</v>
      </c>
      <c r="AP266" s="3" t="n">
        <v>71.84073175697449</v>
      </c>
      <c r="AQ266" s="3" t="n">
        <v>68.61711031088269</v>
      </c>
      <c r="AR266" s="3" t="n">
        <v>80.65112023689798</v>
      </c>
      <c r="AS266" s="3" t="n">
        <v>68.82869117885595</v>
      </c>
      <c r="AT266" s="3" t="n">
        <v>60.30377894851672</v>
      </c>
      <c r="AU266" s="3" t="n">
        <v>65.39668768624772</v>
      </c>
      <c r="AV266" s="3" t="n">
        <v>67.39602142058044</v>
      </c>
      <c r="AW266" s="3" t="n">
        <v>67.05376449591967</v>
      </c>
      <c r="AX266" s="3" t="n">
        <v>66.23989171012956</v>
      </c>
      <c r="AY266" s="3" t="n">
        <v>64.15883928351589</v>
      </c>
      <c r="AZ266" s="3" t="n">
        <v>69.41211344927041</v>
      </c>
      <c r="BA266" s="3" t="n">
        <v>74.53982731080889</v>
      </c>
      <c r="BB266" s="3" t="n">
        <v>76.63463118885957</v>
      </c>
      <c r="BC266" s="3" t="n">
        <v>83.13799151699358</v>
      </c>
      <c r="BD266" s="3" t="n">
        <v>80.88257672272169</v>
      </c>
      <c r="BE266" s="3" t="n">
        <v>84.07902987250169</v>
      </c>
      <c r="BF266" s="3" t="n">
        <v>88.46760486478668</v>
      </c>
      <c r="BG266" s="3" t="n">
        <v>86.5948822352364</v>
      </c>
      <c r="BH266" s="3" t="n">
        <v>86.85053192412879</v>
      </c>
      <c r="BI266" s="3" t="n">
        <v>101.0942264682103</v>
      </c>
      <c r="BJ266" s="3" t="n">
        <v>112.8296460915533</v>
      </c>
      <c r="BK266" s="3" t="n">
        <v>117.3859202008795</v>
      </c>
      <c r="BL266" s="3" t="n">
        <v>126.4175156886205</v>
      </c>
      <c r="BM266" s="3" t="n"/>
      <c r="BN266" s="3" t="n"/>
      <c r="BO266" s="3" t="n"/>
      <c r="BP266" s="3" t="n"/>
      <c r="BQ266" s="3" t="n"/>
      <c r="BR266" s="34" t="str">
        <f>B266&amp;"|"&amp;D266</f>
        <v>YEM|NE.CON.PRVT.ZS</v>
      </c>
    </row>
    <row r="267">
      <c r="A267" s="3" t="inlineStr">
        <is>
          <t>South Africa</t>
        </is>
      </c>
      <c r="B267" s="3" t="inlineStr">
        <is>
          <t>ZAF</t>
        </is>
      </c>
      <c r="C267" s="3" t="inlineStr">
        <is>
          <t>Households and NPISHs final consumption expenditure (% of GDP)</t>
        </is>
      </c>
      <c r="D267" s="3" t="inlineStr">
        <is>
          <t>NE.CON.PRVT.ZS</t>
        </is>
      </c>
      <c r="E267" s="3" t="n">
        <v>2023</v>
      </c>
      <c r="F267" s="3" t="n">
        <v>60.34565530484878</v>
      </c>
      <c r="G267" s="3" t="n">
        <v>59.04400606980273</v>
      </c>
      <c r="H267" s="3" t="n">
        <v>58.33095577746077</v>
      </c>
      <c r="I267" s="3" t="n">
        <v>57.30684896169225</v>
      </c>
      <c r="J267" s="3" t="n">
        <v>57.78688524590164</v>
      </c>
      <c r="K267" s="3" t="n">
        <v>56.76486341724692</v>
      </c>
      <c r="L267" s="3" t="n">
        <v>56.74317801201853</v>
      </c>
      <c r="M267" s="3" t="n">
        <v>55.42872312184763</v>
      </c>
      <c r="N267" s="3" t="n">
        <v>56.72825376062786</v>
      </c>
      <c r="O267" s="3" t="n">
        <v>56.96837513631407</v>
      </c>
      <c r="P267" s="3" t="n">
        <v>58.32673528635524</v>
      </c>
      <c r="Q267" s="3" t="n">
        <v>59.14954610606784</v>
      </c>
      <c r="R267" s="3" t="n">
        <v>58.98864480526371</v>
      </c>
      <c r="S267" s="3" t="n">
        <v>56.32283498678682</v>
      </c>
      <c r="T267" s="3" t="n">
        <v>54.02695302777087</v>
      </c>
      <c r="U267" s="3" t="n">
        <v>57.95461708162622</v>
      </c>
      <c r="V267" s="3" t="n">
        <v>57.87385071123159</v>
      </c>
      <c r="W267" s="3" t="n">
        <v>57.71006697787701</v>
      </c>
      <c r="X267" s="3" t="n">
        <v>56.41768428558696</v>
      </c>
      <c r="Y267" s="3" t="n">
        <v>55.16955538809344</v>
      </c>
      <c r="Z267" s="3" t="n">
        <v>53.53619483895056</v>
      </c>
      <c r="AA267" s="3" t="n">
        <v>56.6804095963983</v>
      </c>
      <c r="AB267" s="3" t="n">
        <v>58.29581028345984</v>
      </c>
      <c r="AC267" s="3" t="n">
        <v>59.46576352151968</v>
      </c>
      <c r="AD267" s="3" t="n">
        <v>59.03903136406111</v>
      </c>
      <c r="AE267" s="3" t="n">
        <v>58.15437946804586</v>
      </c>
      <c r="AF267" s="3" t="n">
        <v>59.15355152787887</v>
      </c>
      <c r="AG267" s="3" t="n">
        <v>60.75604171966421</v>
      </c>
      <c r="AH267" s="3" t="n">
        <v>61.59322808264379</v>
      </c>
      <c r="AI267" s="3" t="n">
        <v>60.87475078953404</v>
      </c>
      <c r="AJ267" s="3" t="n">
        <v>64.23724499964737</v>
      </c>
      <c r="AK267" s="3" t="n">
        <v>64.6571489794825</v>
      </c>
      <c r="AL267" s="3" t="n">
        <v>65.08120566614414</v>
      </c>
      <c r="AM267" s="3" t="n">
        <v>63.81613633674568</v>
      </c>
      <c r="AN267" s="3" t="n">
        <v>64.46554323183999</v>
      </c>
      <c r="AO267" s="3" t="n">
        <v>64.70034952905756</v>
      </c>
      <c r="AP267" s="3" t="n">
        <v>64.53972982777036</v>
      </c>
      <c r="AQ267" s="3" t="n">
        <v>65.30112864720324</v>
      </c>
      <c r="AR267" s="3" t="n">
        <v>65.57529552595321</v>
      </c>
      <c r="AS267" s="3" t="n">
        <v>66.04705139950001</v>
      </c>
      <c r="AT267" s="3" t="n">
        <v>65.6238481614363</v>
      </c>
      <c r="AU267" s="3" t="n">
        <v>65.31332837195239</v>
      </c>
      <c r="AV267" s="3" t="n">
        <v>62.68164611659264</v>
      </c>
      <c r="AW267" s="3" t="n">
        <v>61.90302999560318</v>
      </c>
      <c r="AX267" s="3" t="n">
        <v>63.67000469413215</v>
      </c>
      <c r="AY267" s="3" t="n">
        <v>63.59312969305329</v>
      </c>
      <c r="AZ267" s="3" t="n">
        <v>63.56510342436598</v>
      </c>
      <c r="BA267" s="3" t="n">
        <v>63.46799835465629</v>
      </c>
      <c r="BB267" s="3" t="n">
        <v>63.03727598211022</v>
      </c>
      <c r="BC267" s="3" t="n">
        <v>62.00504354395262</v>
      </c>
      <c r="BD267" s="3" t="n">
        <v>62.36748947034552</v>
      </c>
      <c r="BE267" s="3" t="n">
        <v>62.93277616158151</v>
      </c>
      <c r="BF267" s="3" t="n">
        <v>64.3015270653663</v>
      </c>
      <c r="BG267" s="3" t="n">
        <v>63.8663333377077</v>
      </c>
      <c r="BH267" s="3" t="n">
        <v>63.69631013325914</v>
      </c>
      <c r="BI267" s="3" t="n">
        <v>63.68112398743793</v>
      </c>
      <c r="BJ267" s="3" t="n">
        <v>63.28106897007613</v>
      </c>
      <c r="BK267" s="3" t="n">
        <v>63.0089707732236</v>
      </c>
      <c r="BL267" s="3" t="n">
        <v>63.96866221198525</v>
      </c>
      <c r="BM267" s="3" t="n">
        <v>64.09286417972446</v>
      </c>
      <c r="BN267" s="3" t="n">
        <v>62.51971234604026</v>
      </c>
      <c r="BO267" s="3" t="n">
        <v>61.81931705521223</v>
      </c>
      <c r="BP267" s="3" t="n">
        <v>63.50616983508117</v>
      </c>
      <c r="BQ267" s="3" t="n">
        <v>64.7295564285853</v>
      </c>
      <c r="BR267" s="34" t="str">
        <f>B267&amp;"|"&amp;D267</f>
        <v>ZAF|NE.CON.PRVT.ZS</v>
      </c>
    </row>
    <row r="268">
      <c r="A268" s="3" t="inlineStr">
        <is>
          <t>Zambia</t>
        </is>
      </c>
      <c r="B268" s="3" t="inlineStr">
        <is>
          <t>ZMB</t>
        </is>
      </c>
      <c r="C268" s="3" t="inlineStr">
        <is>
          <t>Households and NPISHs final consumption expenditure (% of GDP)</t>
        </is>
      </c>
      <c r="D268" s="3" t="inlineStr">
        <is>
          <t>NE.CON.PRVT.ZS</t>
        </is>
      </c>
      <c r="E268" s="3" t="n">
        <v>2022</v>
      </c>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3" t="n"/>
      <c r="AL268" s="3" t="n"/>
      <c r="AM268" s="3" t="n"/>
      <c r="AN268" s="3" t="n"/>
      <c r="AO268" s="3" t="n"/>
      <c r="AP268" s="3" t="n"/>
      <c r="AQ268" s="3" t="n"/>
      <c r="AR268" s="3" t="n"/>
      <c r="AS268" s="3" t="n"/>
      <c r="AT268" s="3" t="n"/>
      <c r="AU268" s="3" t="n"/>
      <c r="AV268" s="3" t="n"/>
      <c r="AW268" s="3" t="n"/>
      <c r="AX268" s="3" t="n"/>
      <c r="AY268" s="3" t="n"/>
      <c r="AZ268" s="3" t="n"/>
      <c r="BA268" s="3" t="n"/>
      <c r="BB268" s="3" t="n"/>
      <c r="BC268" s="3" t="n"/>
      <c r="BD268" s="3" t="n">
        <v>54.5917813782166</v>
      </c>
      <c r="BE268" s="3" t="n">
        <v>55.76338358805978</v>
      </c>
      <c r="BF268" s="3" t="n">
        <v>52.71379363847098</v>
      </c>
      <c r="BG268" s="3" t="n">
        <v>52.20120134010877</v>
      </c>
      <c r="BH268" s="3" t="n">
        <v>52.23497931794101</v>
      </c>
      <c r="BI268" s="3" t="n">
        <v>50.64668640698873</v>
      </c>
      <c r="BJ268" s="3" t="n">
        <v>51.41139668113541</v>
      </c>
      <c r="BK268" s="3" t="n">
        <v>46.98096364699576</v>
      </c>
      <c r="BL268" s="3" t="n">
        <v>44.96808310418734</v>
      </c>
      <c r="BM268" s="3" t="n">
        <v>42.24897238597959</v>
      </c>
      <c r="BN268" s="3" t="n">
        <v>37.30815223237703</v>
      </c>
      <c r="BO268" s="3" t="n">
        <v>35.99700214068833</v>
      </c>
      <c r="BP268" s="3" t="n">
        <v>35.60419234781568</v>
      </c>
      <c r="BQ268" s="3" t="n"/>
      <c r="BR268" s="34" t="str">
        <f>B268&amp;"|"&amp;D268</f>
        <v>ZMB|NE.CON.PRVT.ZS</v>
      </c>
    </row>
    <row r="269">
      <c r="A269" s="3" t="inlineStr">
        <is>
          <t>Zimbabwe</t>
        </is>
      </c>
      <c r="B269" s="3" t="inlineStr">
        <is>
          <t>ZWE</t>
        </is>
      </c>
      <c r="C269" s="3" t="inlineStr">
        <is>
          <t>Households and NPISHs final consumption expenditure (% of GDP)</t>
        </is>
      </c>
      <c r="D269" s="3" t="inlineStr">
        <is>
          <t>NE.CON.PRVT.ZS</t>
        </is>
      </c>
      <c r="E269" s="3" t="n">
        <v>2022</v>
      </c>
      <c r="F269" s="3" t="n">
        <v>77.6263392334821</v>
      </c>
      <c r="G269" s="3" t="n">
        <v>74.22494174513467</v>
      </c>
      <c r="H269" s="3" t="n">
        <v>74.14441783190003</v>
      </c>
      <c r="I269" s="3" t="n">
        <v>75.10002701999471</v>
      </c>
      <c r="J269" s="3" t="n">
        <v>78.12484697708888</v>
      </c>
      <c r="K269" s="3" t="n">
        <v>75.10949449450747</v>
      </c>
      <c r="L269" s="3" t="n">
        <v>73.04000508679738</v>
      </c>
      <c r="M269" s="3" t="n">
        <v>70.75447995063715</v>
      </c>
      <c r="N269" s="3" t="n">
        <v>66.69500315592073</v>
      </c>
      <c r="O269" s="3" t="n">
        <v>71.92304708676002</v>
      </c>
      <c r="P269" s="3" t="n">
        <v>70.67499455871685</v>
      </c>
      <c r="Q269" s="3" t="n">
        <v>69.01320286629333</v>
      </c>
      <c r="R269" s="3" t="n">
        <v>65.88515254752777</v>
      </c>
      <c r="S269" s="3" t="n">
        <v>66.21909789271234</v>
      </c>
      <c r="T269" s="3" t="n">
        <v>64.08266124019985</v>
      </c>
      <c r="U269" s="3" t="n">
        <v>64.31206391269309</v>
      </c>
      <c r="V269" s="3" t="n">
        <v>68.12287825134101</v>
      </c>
      <c r="W269" s="3" t="n">
        <v>65.61759338166107</v>
      </c>
      <c r="X269" s="3" t="n">
        <v>70.20927587447423</v>
      </c>
      <c r="Y269" s="3" t="n">
        <v>73.50613507466616</v>
      </c>
      <c r="Z269" s="3" t="n">
        <v>69.20243313081099</v>
      </c>
      <c r="AA269" s="3" t="n">
        <v>71.87224493257324</v>
      </c>
      <c r="AB269" s="3" t="n">
        <v>69.75183919502004</v>
      </c>
      <c r="AC269" s="3" t="n">
        <v>73.87278600249071</v>
      </c>
      <c r="AD269" s="3" t="n">
        <v>63.54270465577516</v>
      </c>
      <c r="AE269" s="3" t="n">
        <v>61.77103827741257</v>
      </c>
      <c r="AF269" s="3" t="n">
        <v>58.76278364648614</v>
      </c>
      <c r="AG269" s="3" t="n">
        <v>58.94116180924118</v>
      </c>
      <c r="AH269" s="3" t="n">
        <v>50.42165656246345</v>
      </c>
      <c r="AI269" s="3" t="n">
        <v>64.65247002750689</v>
      </c>
      <c r="AJ269" s="3" t="n">
        <v>63.10598557913897</v>
      </c>
      <c r="AK269" s="3" t="n">
        <v>68.05860388502587</v>
      </c>
      <c r="AL269" s="3" t="n">
        <v>64.86392404903926</v>
      </c>
      <c r="AM269" s="3" t="n">
        <v>64.00272993748924</v>
      </c>
      <c r="AN269" s="3" t="n">
        <v>61.49682578267006</v>
      </c>
      <c r="AO269" s="3" t="n">
        <v>64.83560666590853</v>
      </c>
      <c r="AP269" s="3" t="n">
        <v>63.40121073103084</v>
      </c>
      <c r="AQ269" s="3" t="n">
        <v>73.54860471538805</v>
      </c>
      <c r="AR269" s="3" t="n">
        <v>65.19336037939082</v>
      </c>
      <c r="AS269" s="3" t="n">
        <v>63.9183278900415</v>
      </c>
      <c r="AT269" s="3" t="n">
        <v>59.91313308174031</v>
      </c>
      <c r="AU269" s="3" t="n">
        <v>70.02088135855709</v>
      </c>
      <c r="AV269" s="3" t="n">
        <v>80.21423416322034</v>
      </c>
      <c r="AW269" s="3" t="n">
        <v>79.7416062366735</v>
      </c>
      <c r="AX269" s="3" t="n">
        <v>81.59026811086348</v>
      </c>
      <c r="AY269" s="3" t="n">
        <v>92.20996462478067</v>
      </c>
      <c r="AZ269" s="3" t="n">
        <v>103.4544852202829</v>
      </c>
      <c r="BA269" s="3" t="n">
        <v>98.28422796352521</v>
      </c>
      <c r="BB269" s="3" t="n">
        <v>119.4129120284092</v>
      </c>
      <c r="BC269" s="3" t="n">
        <v>100.6340390084692</v>
      </c>
      <c r="BD269" s="3" t="n">
        <v>89.76347537338555</v>
      </c>
      <c r="BE269" s="3" t="n">
        <v>83.69323786349864</v>
      </c>
      <c r="BF269" s="3" t="n">
        <v>93.97309350635905</v>
      </c>
      <c r="BG269" s="3" t="n">
        <v>87.03280023801766</v>
      </c>
      <c r="BH269" s="3" t="n">
        <v>83.61181612210018</v>
      </c>
      <c r="BI269" s="3" t="n">
        <v>89.51530653980019</v>
      </c>
      <c r="BJ269" s="3" t="n">
        <v>83.34665333046412</v>
      </c>
      <c r="BK269" s="3" t="n">
        <v>79.3610990236094</v>
      </c>
      <c r="BL269" s="3" t="n">
        <v>77.69971155057554</v>
      </c>
      <c r="BM269" s="3" t="n">
        <v>79.54913549583738</v>
      </c>
      <c r="BN269" s="3" t="n">
        <v>80.71330392529684</v>
      </c>
      <c r="BO269" s="3" t="n">
        <v>74.87368529631802</v>
      </c>
      <c r="BP269" s="3" t="n">
        <v>77.69645756673779</v>
      </c>
      <c r="BQ269" s="3" t="n"/>
      <c r="BR269" s="34" t="str">
        <f>B269&amp;"|"&amp;D269</f>
        <v>ZWE|NE.CON.PRVT.ZS</v>
      </c>
    </row>
    <row r="270">
      <c r="A270" s="3" t="inlineStr">
        <is>
          <t>Aruba</t>
        </is>
      </c>
      <c r="B270" s="3" t="inlineStr">
        <is>
          <t>ABW</t>
        </is>
      </c>
      <c r="C270" s="3" t="inlineStr">
        <is>
          <t>Government expenditure on education, total (% of GDP)</t>
        </is>
      </c>
      <c r="D270" s="3" t="inlineStr">
        <is>
          <t>SE.XPD.TOTL.GD.ZS</t>
        </is>
      </c>
      <c r="E270" s="3" t="n">
        <v>2019</v>
      </c>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3" t="n"/>
      <c r="AL270" s="3" t="n"/>
      <c r="AM270" s="3" t="n"/>
      <c r="AN270" s="3" t="n"/>
      <c r="AO270" s="3" t="n"/>
      <c r="AP270" s="3" t="n"/>
      <c r="AQ270" s="3" t="n"/>
      <c r="AR270" s="3" t="n">
        <v>4.76316022872925</v>
      </c>
      <c r="AS270" s="3" t="n">
        <v>4.39526987075806</v>
      </c>
      <c r="AT270" s="3" t="n">
        <v>4.71468019485474</v>
      </c>
      <c r="AU270" s="3" t="n">
        <v>4.79898023605347</v>
      </c>
      <c r="AV270" s="3" t="n">
        <v>4.87220001220703</v>
      </c>
      <c r="AW270" s="3" t="n"/>
      <c r="AX270" s="3" t="n">
        <v>4.35698986053467</v>
      </c>
      <c r="AY270" s="3" t="n">
        <v>4.62321996688843</v>
      </c>
      <c r="AZ270" s="3" t="n"/>
      <c r="BA270" s="3" t="n">
        <v>4.70254993438721</v>
      </c>
      <c r="BB270" s="3" t="n">
        <v>4.82730007171631</v>
      </c>
      <c r="BC270" s="3" t="n">
        <v>5.79739999771118</v>
      </c>
      <c r="BD270" s="3" t="n">
        <v>6.75109004974365</v>
      </c>
      <c r="BE270" s="3" t="n">
        <v>5.91466999053955</v>
      </c>
      <c r="BF270" s="3" t="n">
        <v>6.3472900390625</v>
      </c>
      <c r="BG270" s="3" t="n">
        <v>6.44295978546143</v>
      </c>
      <c r="BH270" s="3" t="n">
        <v>4.85704946517944</v>
      </c>
      <c r="BI270" s="3" t="n">
        <v>5.88826990127563</v>
      </c>
      <c r="BJ270" s="3" t="n">
        <v>5.49136018753052</v>
      </c>
      <c r="BK270" s="3" t="n">
        <v>4.45618057250977</v>
      </c>
      <c r="BL270" s="3" t="n">
        <v>4.54875898361206</v>
      </c>
      <c r="BM270" s="3" t="n">
        <v>4.43504333496094</v>
      </c>
      <c r="BN270" s="3" t="n"/>
      <c r="BO270" s="3" t="n"/>
      <c r="BP270" s="3" t="n"/>
      <c r="BQ270" s="3" t="n"/>
      <c r="BR270" s="34" t="str">
        <f>B270&amp;"|"&amp;D270</f>
        <v>ABW|SE.XPD.TOTL.GD.ZS</v>
      </c>
    </row>
    <row r="271">
      <c r="A271" s="3" t="inlineStr">
        <is>
          <t>Africa Eastern and Southern</t>
        </is>
      </c>
      <c r="B271" s="3" t="inlineStr">
        <is>
          <t>AFE</t>
        </is>
      </c>
      <c r="C271" s="3" t="inlineStr">
        <is>
          <t>Government expenditure on education, total (% of GDP)</t>
        </is>
      </c>
      <c r="D271" s="3" t="inlineStr">
        <is>
          <t>SE.XPD.TOTL.GD.ZS</t>
        </is>
      </c>
      <c r="E271" s="3" t="n">
        <v>2022</v>
      </c>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c r="AD271" s="3" t="n"/>
      <c r="AE271" s="3" t="n">
        <v>4.09021997451782</v>
      </c>
      <c r="AF271" s="3" t="n"/>
      <c r="AG271" s="3" t="n"/>
      <c r="AH271" s="3" t="n"/>
      <c r="AI271" s="3" t="n"/>
      <c r="AJ271" s="3" t="n"/>
      <c r="AK271" s="3" t="n"/>
      <c r="AL271" s="3" t="n"/>
      <c r="AM271" s="3" t="n"/>
      <c r="AN271" s="3" t="n"/>
      <c r="AO271" s="3" t="n"/>
      <c r="AP271" s="3" t="n"/>
      <c r="AQ271" s="3" t="n"/>
      <c r="AR271" s="3" t="n"/>
      <c r="AS271" s="3" t="n">
        <v>3.88741993904114</v>
      </c>
      <c r="AT271" s="3" t="n">
        <v>3.60612988471985</v>
      </c>
      <c r="AU271" s="3" t="n">
        <v>4.34167003631592</v>
      </c>
      <c r="AV271" s="3" t="n"/>
      <c r="AW271" s="3" t="n"/>
      <c r="AX271" s="3" t="n">
        <v>3.74496006965637</v>
      </c>
      <c r="AY271" s="3" t="n">
        <v>3.85834002494812</v>
      </c>
      <c r="AZ271" s="3" t="n">
        <v>3.7359299659729</v>
      </c>
      <c r="BA271" s="3" t="n"/>
      <c r="BB271" s="3" t="n">
        <v>4.28008008003235</v>
      </c>
      <c r="BC271" s="3" t="n"/>
      <c r="BD271" s="3" t="n">
        <v>4.024030089378355</v>
      </c>
      <c r="BE271" s="3" t="n">
        <v>4.63901448249817</v>
      </c>
      <c r="BF271" s="3" t="n">
        <v>4.93121004104614</v>
      </c>
      <c r="BG271" s="3" t="n">
        <v>4.783307075500485</v>
      </c>
      <c r="BH271" s="3" t="n">
        <v>4.79265069961548</v>
      </c>
      <c r="BI271" s="3" t="n">
        <v>4.75847005844116</v>
      </c>
      <c r="BJ271" s="3" t="n">
        <v>4.66556310653687</v>
      </c>
      <c r="BK271" s="3" t="n">
        <v>4.87887001037598</v>
      </c>
      <c r="BL271" s="3" t="n">
        <v>4.97993087768555</v>
      </c>
      <c r="BM271" s="3" t="n">
        <v>4.94431734085083</v>
      </c>
      <c r="BN271" s="3" t="n">
        <v>4.35243988037109</v>
      </c>
      <c r="BO271" s="3" t="n">
        <v>4.771326065063475</v>
      </c>
      <c r="BP271" s="3" t="n">
        <v>4.628623962402345</v>
      </c>
      <c r="BQ271" s="3" t="n"/>
      <c r="BR271" s="34" t="str">
        <f>B271&amp;"|"&amp;D271</f>
        <v>AFE|SE.XPD.TOTL.GD.ZS</v>
      </c>
    </row>
    <row r="272">
      <c r="A272" s="3" t="inlineStr">
        <is>
          <t>Afghanistan</t>
        </is>
      </c>
      <c r="B272" s="3" t="inlineStr">
        <is>
          <t>AFG</t>
        </is>
      </c>
      <c r="C272" s="3" t="inlineStr">
        <is>
          <t>Government expenditure on education, total (% of GDP)</t>
        </is>
      </c>
      <c r="D272" s="3" t="inlineStr">
        <is>
          <t>SE.XPD.TOTL.GD.ZS</t>
        </is>
      </c>
      <c r="E272" s="3" t="n">
        <v>2017</v>
      </c>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3" t="n"/>
      <c r="AL272" s="3" t="n"/>
      <c r="AM272" s="3" t="n"/>
      <c r="AN272" s="3" t="n"/>
      <c r="AO272" s="3" t="n"/>
      <c r="AP272" s="3" t="n"/>
      <c r="AQ272" s="3" t="n"/>
      <c r="AR272" s="3" t="n"/>
      <c r="AS272" s="3" t="n"/>
      <c r="AT272" s="3" t="n"/>
      <c r="AU272" s="3" t="n"/>
      <c r="AV272" s="3" t="n"/>
      <c r="AW272" s="3" t="n"/>
      <c r="AX272" s="3" t="n"/>
      <c r="AY272" s="3" t="n"/>
      <c r="AZ272" s="3" t="n">
        <v>4.68476057052612</v>
      </c>
      <c r="BA272" s="3" t="n">
        <v>4.17489528656006</v>
      </c>
      <c r="BB272" s="3" t="n">
        <v>4.38367223739624</v>
      </c>
      <c r="BC272" s="3" t="n">
        <v>4.81063985824585</v>
      </c>
      <c r="BD272" s="3" t="n">
        <v>3.4794499874115</v>
      </c>
      <c r="BE272" s="3" t="n">
        <v>3.4620099067688</v>
      </c>
      <c r="BF272" s="3" t="n">
        <v>2.60419988632202</v>
      </c>
      <c r="BG272" s="3" t="n">
        <v>3.45445990562439</v>
      </c>
      <c r="BH272" s="3" t="n">
        <v>3.69521999359131</v>
      </c>
      <c r="BI272" s="3" t="n">
        <v>3.2558000087738</v>
      </c>
      <c r="BJ272" s="3" t="n">
        <v>4.54397010803223</v>
      </c>
      <c r="BK272" s="3" t="n">
        <v>4.34319019317627</v>
      </c>
      <c r="BL272" s="3" t="n"/>
      <c r="BM272" s="3" t="n"/>
      <c r="BN272" s="3" t="n"/>
      <c r="BO272" s="3" t="n"/>
      <c r="BP272" s="3" t="n"/>
      <c r="BQ272" s="3" t="n"/>
      <c r="BR272" s="34" t="str">
        <f>B272&amp;"|"&amp;D272</f>
        <v>AFG|SE.XPD.TOTL.GD.ZS</v>
      </c>
    </row>
    <row r="273">
      <c r="A273" s="3" t="inlineStr">
        <is>
          <t>Africa Western and Central</t>
        </is>
      </c>
      <c r="B273" s="3" t="inlineStr">
        <is>
          <t>AFW</t>
        </is>
      </c>
      <c r="C273" s="3" t="inlineStr">
        <is>
          <t>Government expenditure on education, total (% of GDP)</t>
        </is>
      </c>
      <c r="D273" s="3" t="inlineStr">
        <is>
          <t>SE.XPD.TOTL.GD.ZS</t>
        </is>
      </c>
      <c r="E273" s="3" t="n">
        <v>2022</v>
      </c>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3" t="n"/>
      <c r="AL273" s="3" t="n"/>
      <c r="AM273" s="3" t="n"/>
      <c r="AN273" s="3" t="n"/>
      <c r="AO273" s="3" t="n"/>
      <c r="AP273" s="3" t="n"/>
      <c r="AQ273" s="3" t="n"/>
      <c r="AR273" s="3" t="n"/>
      <c r="AS273" s="3" t="n">
        <v>2.34582495689392</v>
      </c>
      <c r="AT273" s="3" t="n">
        <v>2.46335005760193</v>
      </c>
      <c r="AU273" s="3" t="n">
        <v>2.42614006996155</v>
      </c>
      <c r="AV273" s="3" t="n">
        <v>2.43543004989624</v>
      </c>
      <c r="AW273" s="3" t="n">
        <v>2.36501002311707</v>
      </c>
      <c r="AX273" s="3" t="n">
        <v>2.427515029907225</v>
      </c>
      <c r="AY273" s="3" t="n">
        <v>2.65659999847412</v>
      </c>
      <c r="AZ273" s="3" t="n">
        <v>2.55852007865906</v>
      </c>
      <c r="BA273" s="3" t="n">
        <v>2.737470030784605</v>
      </c>
      <c r="BB273" s="3" t="n">
        <v>2.49827003479004</v>
      </c>
      <c r="BC273" s="3" t="n">
        <v>2.90790009498596</v>
      </c>
      <c r="BD273" s="3" t="n">
        <v>2.784990072250365</v>
      </c>
      <c r="BE273" s="3" t="n">
        <v>2.6782546043396</v>
      </c>
      <c r="BF273" s="3" t="n">
        <v>2.810414552688595</v>
      </c>
      <c r="BG273" s="3" t="n">
        <v>2.85070991516113</v>
      </c>
      <c r="BH273" s="3" t="n">
        <v>2.66667008399963</v>
      </c>
      <c r="BI273" s="3" t="n">
        <v>2.984197974205015</v>
      </c>
      <c r="BJ273" s="3" t="n">
        <v>2.66773080825806</v>
      </c>
      <c r="BK273" s="3" t="n">
        <v>3.36085367202759</v>
      </c>
      <c r="BL273" s="3" t="n">
        <v>3.0234580039978</v>
      </c>
      <c r="BM273" s="3" t="n">
        <v>3.04739952087402</v>
      </c>
      <c r="BN273" s="3" t="n">
        <v>3.39874076843262</v>
      </c>
      <c r="BO273" s="3" t="n">
        <v>3.20348429679871</v>
      </c>
      <c r="BP273" s="3" t="n">
        <v>2.90529441833496</v>
      </c>
      <c r="BQ273" s="3" t="n"/>
      <c r="BR273" s="34" t="str">
        <f>B273&amp;"|"&amp;D273</f>
        <v>AFW|SE.XPD.TOTL.GD.ZS</v>
      </c>
    </row>
    <row r="274">
      <c r="A274" s="3" t="inlineStr">
        <is>
          <t>Angola</t>
        </is>
      </c>
      <c r="B274" s="3" t="inlineStr">
        <is>
          <t>AGO</t>
        </is>
      </c>
      <c r="C274" s="3" t="inlineStr">
        <is>
          <t>Government expenditure on education, total (% of GDP)</t>
        </is>
      </c>
      <c r="D274" s="3" t="inlineStr">
        <is>
          <t>SE.XPD.TOTL.GD.ZS</t>
        </is>
      </c>
      <c r="E274" s="3" t="n">
        <v>2022</v>
      </c>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v>4.09021997451782</v>
      </c>
      <c r="AF274" s="3" t="n">
        <v>5.72269010543823</v>
      </c>
      <c r="AG274" s="3" t="n">
        <v>5.05850982666016</v>
      </c>
      <c r="AH274" s="3" t="n"/>
      <c r="AI274" s="3" t="n"/>
      <c r="AJ274" s="3" t="n"/>
      <c r="AK274" s="3" t="n"/>
      <c r="AL274" s="3" t="n"/>
      <c r="AM274" s="3" t="n"/>
      <c r="AN274" s="3" t="n"/>
      <c r="AO274" s="3" t="n"/>
      <c r="AP274" s="3" t="n"/>
      <c r="AQ274" s="3" t="n"/>
      <c r="AR274" s="3" t="n">
        <v>2.56712007522583</v>
      </c>
      <c r="AS274" s="3" t="n"/>
      <c r="AT274" s="3" t="n">
        <v>2.60753011703491</v>
      </c>
      <c r="AU274" s="3" t="n"/>
      <c r="AV274" s="3" t="n"/>
      <c r="AW274" s="3" t="n"/>
      <c r="AX274" s="3" t="n"/>
      <c r="AY274" s="3" t="n">
        <v>2.12011003494263</v>
      </c>
      <c r="AZ274" s="3" t="n">
        <v>2.28146004676819</v>
      </c>
      <c r="BA274" s="3" t="n"/>
      <c r="BB274" s="3" t="n"/>
      <c r="BC274" s="3" t="n">
        <v>2.92000007629395</v>
      </c>
      <c r="BD274" s="3" t="n">
        <v>3.42131996154785</v>
      </c>
      <c r="BE274" s="3" t="n">
        <v>3.24000000953674</v>
      </c>
      <c r="BF274" s="3" t="n">
        <v>3.08191084861755</v>
      </c>
      <c r="BG274" s="3" t="n">
        <v>3.86999988555908</v>
      </c>
      <c r="BH274" s="3" t="n">
        <v>2.9300000667572</v>
      </c>
      <c r="BI274" s="3" t="n">
        <v>3.09999990463257</v>
      </c>
      <c r="BJ274" s="3" t="n">
        <v>2.75493669509888</v>
      </c>
      <c r="BK274" s="3" t="n">
        <v>2.46687889099121</v>
      </c>
      <c r="BL274" s="3" t="n">
        <v>2.18351292610168</v>
      </c>
      <c r="BM274" s="3" t="n">
        <v>2.07306432723999</v>
      </c>
      <c r="BN274" s="3" t="n">
        <v>2.6674473285675</v>
      </c>
      <c r="BO274" s="3" t="n">
        <v>2.2971088886261</v>
      </c>
      <c r="BP274" s="3" t="n">
        <v>2.3321259021759</v>
      </c>
      <c r="BQ274" s="3" t="n"/>
      <c r="BR274" s="34" t="str">
        <f>B274&amp;"|"&amp;D274</f>
        <v>AGO|SE.XPD.TOTL.GD.ZS</v>
      </c>
    </row>
    <row r="275">
      <c r="A275" s="3" t="inlineStr">
        <is>
          <t>Albania</t>
        </is>
      </c>
      <c r="B275" s="3" t="inlineStr">
        <is>
          <t>ALB</t>
        </is>
      </c>
      <c r="C275" s="3" t="inlineStr">
        <is>
          <t>Government expenditure on education, total (% of GDP)</t>
        </is>
      </c>
      <c r="D275" s="3" t="inlineStr">
        <is>
          <t>SE.XPD.TOTL.GD.ZS</t>
        </is>
      </c>
      <c r="E275" s="3" t="n">
        <v>2022</v>
      </c>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3" t="n"/>
      <c r="AL275" s="3" t="n"/>
      <c r="AM275" s="3" t="n"/>
      <c r="AN275" s="3" t="n">
        <v>3.44697999954224</v>
      </c>
      <c r="AO275" s="3" t="n">
        <v>3.81464004516602</v>
      </c>
      <c r="AP275" s="3" t="n">
        <v>3.08350992202759</v>
      </c>
      <c r="AQ275" s="3" t="n">
        <v>3.37947010993958</v>
      </c>
      <c r="AR275" s="3" t="n">
        <v>3.53697991371155</v>
      </c>
      <c r="AS275" s="3" t="n">
        <v>3.59293007850647</v>
      </c>
      <c r="AT275" s="3" t="n">
        <v>3.4301700592041</v>
      </c>
      <c r="AU275" s="3" t="n">
        <v>3.45869994163513</v>
      </c>
      <c r="AV275" s="3" t="n">
        <v>3.11779999732971</v>
      </c>
      <c r="AW275" s="3" t="n">
        <v>3.13823008537292</v>
      </c>
      <c r="AX275" s="3" t="n">
        <v>3.22751998901367</v>
      </c>
      <c r="AY275" s="3" t="n">
        <v>3.28154993057251</v>
      </c>
      <c r="AZ275" s="3" t="n">
        <v>3.1914598941803</v>
      </c>
      <c r="BA275" s="3" t="n">
        <v>3.27592992782593</v>
      </c>
      <c r="BB275" s="3" t="n">
        <v>3.50922608375549</v>
      </c>
      <c r="BC275" s="3" t="n"/>
      <c r="BD275" s="3" t="n">
        <v>3.41307497024536</v>
      </c>
      <c r="BE275" s="3" t="n">
        <v>3.24000835418701</v>
      </c>
      <c r="BF275" s="3" t="n">
        <v>3.30906105041504</v>
      </c>
      <c r="BG275" s="3" t="n">
        <v>3.53929996490479</v>
      </c>
      <c r="BH275" s="3" t="n">
        <v>3.21696710586548</v>
      </c>
      <c r="BI275" s="3" t="n">
        <v>3.43796992301941</v>
      </c>
      <c r="BJ275" s="3" t="n">
        <v>3.96209001541138</v>
      </c>
      <c r="BK275" s="3" t="n">
        <v>3.61172008514404</v>
      </c>
      <c r="BL275" s="3" t="n">
        <v>3.15294480323792</v>
      </c>
      <c r="BM275" s="3" t="n">
        <v>3.91623997688293</v>
      </c>
      <c r="BN275" s="3" t="n">
        <v>3.3422999382019</v>
      </c>
      <c r="BO275" s="3" t="n">
        <v>3.02255988121033</v>
      </c>
      <c r="BP275" s="3" t="n">
        <v>2.74432992935181</v>
      </c>
      <c r="BQ275" s="3" t="n"/>
      <c r="BR275" s="34" t="str">
        <f>B275&amp;"|"&amp;D275</f>
        <v>ALB|SE.XPD.TOTL.GD.ZS</v>
      </c>
    </row>
    <row r="276">
      <c r="A276" s="3" t="inlineStr">
        <is>
          <t>Andorra</t>
        </is>
      </c>
      <c r="B276" s="3" t="inlineStr">
        <is>
          <t>AND</t>
        </is>
      </c>
      <c r="C276" s="3" t="inlineStr">
        <is>
          <t>Government expenditure on education, total (% of GDP)</t>
        </is>
      </c>
      <c r="D276" s="3" t="inlineStr">
        <is>
          <t>SE.XPD.TOTL.GD.ZS</t>
        </is>
      </c>
      <c r="E276" s="3" t="n">
        <v>2023</v>
      </c>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3" t="n"/>
      <c r="AL276" s="3" t="n"/>
      <c r="AM276" s="3" t="n"/>
      <c r="AN276" s="3" t="n"/>
      <c r="AO276" s="3" t="n"/>
      <c r="AP276" s="3" t="n"/>
      <c r="AQ276" s="3" t="n">
        <v>3.71327996253967</v>
      </c>
      <c r="AR276" s="3" t="n"/>
      <c r="AS276" s="3" t="n"/>
      <c r="AT276" s="3" t="n"/>
      <c r="AU276" s="3" t="n"/>
      <c r="AV276" s="3" t="n">
        <v>1.65971004962921</v>
      </c>
      <c r="AW276" s="3" t="n"/>
      <c r="AX276" s="3" t="n">
        <v>1.54411995410919</v>
      </c>
      <c r="AY276" s="3" t="n">
        <v>1.64497005939484</v>
      </c>
      <c r="AZ276" s="3" t="n">
        <v>2.24489998817444</v>
      </c>
      <c r="BA276" s="3" t="n">
        <v>2.10469007492065</v>
      </c>
      <c r="BB276" s="3" t="n">
        <v>2.87392997741699</v>
      </c>
      <c r="BC276" s="3" t="n">
        <v>3.14292001724243</v>
      </c>
      <c r="BD276" s="3" t="n">
        <v>2.97662997245789</v>
      </c>
      <c r="BE276" s="3" t="n">
        <v>2.98706007003784</v>
      </c>
      <c r="BF276" s="3" t="n">
        <v>2.56577897071838</v>
      </c>
      <c r="BG276" s="3" t="n">
        <v>2.50616002082825</v>
      </c>
      <c r="BH276" s="3" t="n">
        <v>3.07420992851257</v>
      </c>
      <c r="BI276" s="3" t="n">
        <v>3.28034996986389</v>
      </c>
      <c r="BJ276" s="3" t="n">
        <v>3.23707008361816</v>
      </c>
      <c r="BK276" s="3" t="n">
        <v>3.21708989143372</v>
      </c>
      <c r="BL276" s="3" t="n">
        <v>3.2467200756073</v>
      </c>
      <c r="BM276" s="3" t="n">
        <v>3.15060997009277</v>
      </c>
      <c r="BN276" s="3" t="n">
        <v>2.63213038444519</v>
      </c>
      <c r="BO276" s="3" t="n">
        <v>2.58397221565247</v>
      </c>
      <c r="BP276" s="3" t="n">
        <v>2.64728999137878</v>
      </c>
      <c r="BQ276" s="3" t="n">
        <v>1.92790997028351</v>
      </c>
      <c r="BR276" s="34" t="str">
        <f>B276&amp;"|"&amp;D276</f>
        <v>AND|SE.XPD.TOTL.GD.ZS</v>
      </c>
    </row>
    <row r="277">
      <c r="A277" s="3" t="inlineStr">
        <is>
          <t>Arab World</t>
        </is>
      </c>
      <c r="B277" s="3" t="inlineStr">
        <is>
          <t>ARB</t>
        </is>
      </c>
      <c r="C277" s="3" t="inlineStr">
        <is>
          <t>Government expenditure on education, total (% of GDP)</t>
        </is>
      </c>
      <c r="D277" s="3" t="inlineStr">
        <is>
          <t>SE.XPD.TOTL.GD.ZS</t>
        </is>
      </c>
      <c r="E277" s="3" t="n">
        <v>2019</v>
      </c>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3" t="n"/>
      <c r="AL277" s="3" t="n"/>
      <c r="AM277" s="3" t="n"/>
      <c r="AN277" s="3" t="n"/>
      <c r="AO277" s="3" t="n"/>
      <c r="AP277" s="3" t="n"/>
      <c r="AQ277" s="3" t="n"/>
      <c r="AR277" s="3" t="n"/>
      <c r="AS277" s="3" t="n"/>
      <c r="AT277" s="3" t="n"/>
      <c r="AU277" s="3" t="n"/>
      <c r="AV277" s="3" t="n">
        <v>5.032866716384889</v>
      </c>
      <c r="AW277" s="3" t="n"/>
      <c r="AX277" s="3" t="n">
        <v>5.021100044250485</v>
      </c>
      <c r="AY277" s="3" t="n"/>
      <c r="AZ277" s="3" t="n">
        <v>3.93055999279022</v>
      </c>
      <c r="BA277" s="3" t="n"/>
      <c r="BB277" s="3" t="n">
        <v>4.22755002975464</v>
      </c>
      <c r="BC277" s="3" t="n"/>
      <c r="BD277" s="3" t="n"/>
      <c r="BE277" s="3" t="n"/>
      <c r="BF277" s="3" t="n">
        <v>4.124774932861325</v>
      </c>
      <c r="BG277" s="3" t="n"/>
      <c r="BH277" s="3" t="n"/>
      <c r="BI277" s="3" t="n"/>
      <c r="BJ277" s="3" t="n"/>
      <c r="BK277" s="3" t="n"/>
      <c r="BL277" s="3" t="n"/>
      <c r="BM277" s="3" t="n">
        <v>3.86020994186401</v>
      </c>
      <c r="BN277" s="3" t="n"/>
      <c r="BO277" s="3" t="n"/>
      <c r="BP277" s="3" t="n"/>
      <c r="BQ277" s="3" t="n"/>
      <c r="BR277" s="34" t="str">
        <f>B277&amp;"|"&amp;D277</f>
        <v>ARB|SE.XPD.TOTL.GD.ZS</v>
      </c>
    </row>
    <row r="278">
      <c r="A278" s="3" t="inlineStr">
        <is>
          <t>United Arab Emirates</t>
        </is>
      </c>
      <c r="B278" s="3" t="inlineStr">
        <is>
          <t>ARE</t>
        </is>
      </c>
      <c r="C278" s="3" t="inlineStr">
        <is>
          <t>Government expenditure on education, total (% of GDP)</t>
        </is>
      </c>
      <c r="D278" s="3" t="inlineStr">
        <is>
          <t>SE.XPD.TOTL.GD.ZS</t>
        </is>
      </c>
      <c r="E278" s="3" t="n">
        <v>2021</v>
      </c>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3" t="n"/>
      <c r="AL278" s="3" t="n"/>
      <c r="AM278" s="3" t="n"/>
      <c r="AN278" s="3" t="n"/>
      <c r="AO278" s="3" t="n"/>
      <c r="AP278" s="3" t="n"/>
      <c r="AQ278" s="3" t="n"/>
      <c r="AR278" s="3" t="n"/>
      <c r="AS278" s="3" t="n"/>
      <c r="AT278" s="3" t="n"/>
      <c r="AU278" s="3" t="n"/>
      <c r="AV278" s="3" t="n"/>
      <c r="AW278" s="3" t="n"/>
      <c r="AX278" s="3" t="n"/>
      <c r="AY278" s="3" t="n"/>
      <c r="AZ278" s="3" t="n"/>
      <c r="BA278" s="3" t="n"/>
      <c r="BB278" s="3" t="n"/>
      <c r="BC278" s="3" t="n"/>
      <c r="BD278" s="3" t="n"/>
      <c r="BE278" s="3" t="n"/>
      <c r="BF278" s="3" t="n"/>
      <c r="BG278" s="3" t="n"/>
      <c r="BH278" s="3" t="n"/>
      <c r="BI278" s="3" t="n"/>
      <c r="BJ278" s="3" t="n"/>
      <c r="BK278" s="3" t="n"/>
      <c r="BL278" s="3" t="n"/>
      <c r="BM278" s="3" t="n">
        <v>3.86020994186401</v>
      </c>
      <c r="BN278" s="3" t="n">
        <v>3.98417997360229</v>
      </c>
      <c r="BO278" s="3" t="n">
        <v>3.89403009414673</v>
      </c>
      <c r="BP278" s="3" t="n"/>
      <c r="BQ278" s="3" t="n"/>
      <c r="BR278" s="34" t="str">
        <f>B278&amp;"|"&amp;D278</f>
        <v>ARE|SE.XPD.TOTL.GD.ZS</v>
      </c>
    </row>
    <row r="279">
      <c r="A279" s="3" t="inlineStr">
        <is>
          <t>Argentina</t>
        </is>
      </c>
      <c r="B279" s="3" t="inlineStr">
        <is>
          <t>ARG</t>
        </is>
      </c>
      <c r="C279" s="3" t="inlineStr">
        <is>
          <t>Government expenditure on education, total (% of GDP)</t>
        </is>
      </c>
      <c r="D279" s="3" t="inlineStr">
        <is>
          <t>SE.XPD.TOTL.GD.ZS</t>
        </is>
      </c>
      <c r="E279" s="3" t="n">
        <v>2022</v>
      </c>
      <c r="F279" s="3" t="n"/>
      <c r="G279" s="3" t="n"/>
      <c r="H279" s="3" t="n"/>
      <c r="I279" s="3" t="n"/>
      <c r="J279" s="3" t="n"/>
      <c r="K279" s="3" t="n"/>
      <c r="L279" s="3" t="n"/>
      <c r="M279" s="3" t="n"/>
      <c r="N279" s="3" t="n"/>
      <c r="O279" s="3" t="n"/>
      <c r="P279" s="3" t="n">
        <v>1.4580899477005</v>
      </c>
      <c r="Q279" s="3" t="n"/>
      <c r="R279" s="3" t="n">
        <v>1.93620002269745</v>
      </c>
      <c r="S279" s="3" t="n">
        <v>1.78051996231079</v>
      </c>
      <c r="T279" s="3" t="n">
        <v>1.92351996898651</v>
      </c>
      <c r="U279" s="3" t="n">
        <v>1.84360003471375</v>
      </c>
      <c r="V279" s="3" t="n">
        <v>1.16563999652863</v>
      </c>
      <c r="W279" s="3" t="n">
        <v>1.71984004974365</v>
      </c>
      <c r="X279" s="3" t="n">
        <v>1.93554997444153</v>
      </c>
      <c r="Y279" s="3" t="n">
        <v>2.4002799987793</v>
      </c>
      <c r="Z279" s="3" t="n">
        <v>2.60715007781982</v>
      </c>
      <c r="AA279" s="3" t="n"/>
      <c r="AB279" s="3" t="n">
        <v>1.59786999225616</v>
      </c>
      <c r="AC279" s="3" t="n">
        <v>1.61749994754791</v>
      </c>
      <c r="AD279" s="3" t="n">
        <v>2.56972002983093</v>
      </c>
      <c r="AE279" s="3" t="n">
        <v>1.36186003684998</v>
      </c>
      <c r="AF279" s="3" t="n">
        <v>1.261549949646</v>
      </c>
      <c r="AG279" s="3" t="n">
        <v>1.28229999542236</v>
      </c>
      <c r="AH279" s="3" t="n"/>
      <c r="AI279" s="3" t="n">
        <v>1.04612004756927</v>
      </c>
      <c r="AJ279" s="3" t="n">
        <v>1.06737995147705</v>
      </c>
      <c r="AK279" s="3" t="n"/>
      <c r="AL279" s="3" t="n"/>
      <c r="AM279" s="3" t="n"/>
      <c r="AN279" s="3" t="n"/>
      <c r="AO279" s="3" t="n"/>
      <c r="AP279" s="3" t="n">
        <v>3.73198008537292</v>
      </c>
      <c r="AQ279" s="3" t="n"/>
      <c r="AR279" s="3" t="n">
        <v>4.03986978530884</v>
      </c>
      <c r="AS279" s="3" t="n">
        <v>4.52167987823486</v>
      </c>
      <c r="AT279" s="3" t="n">
        <v>4.58030986785889</v>
      </c>
      <c r="AU279" s="3" t="n">
        <v>4.833740234375</v>
      </c>
      <c r="AV279" s="3" t="n">
        <v>4.01734018325806</v>
      </c>
      <c r="AW279" s="3" t="n">
        <v>3.53504991531372</v>
      </c>
      <c r="AX279" s="3" t="n">
        <v>3.48652005195618</v>
      </c>
      <c r="AY279" s="3" t="n">
        <v>3.86000990867615</v>
      </c>
      <c r="AZ279" s="3" t="n">
        <v>4.12821006774902</v>
      </c>
      <c r="BA279" s="3" t="n">
        <v>4.46260023117065</v>
      </c>
      <c r="BB279" s="3" t="n">
        <v>4.84440994262695</v>
      </c>
      <c r="BC279" s="3" t="n">
        <v>5.53105020523071</v>
      </c>
      <c r="BD279" s="3" t="n">
        <v>5.01971006393433</v>
      </c>
      <c r="BE279" s="3" t="n">
        <v>5.29062986373901</v>
      </c>
      <c r="BF279" s="3" t="n">
        <v>5.34582996368408</v>
      </c>
      <c r="BG279" s="3" t="n">
        <v>5.43661022186279</v>
      </c>
      <c r="BH279" s="3" t="n">
        <v>5.36144018173218</v>
      </c>
      <c r="BI279" s="3" t="n">
        <v>5.77611017227173</v>
      </c>
      <c r="BJ279" s="3" t="n">
        <v>5.54548978805542</v>
      </c>
      <c r="BK279" s="3" t="n">
        <v>5.45431995391846</v>
      </c>
      <c r="BL279" s="3" t="n">
        <v>4.87773990631104</v>
      </c>
      <c r="BM279" s="3" t="n">
        <v>4.7716498374939</v>
      </c>
      <c r="BN279" s="3" t="n">
        <v>5.27689981460571</v>
      </c>
      <c r="BO279" s="3" t="n">
        <v>4.64117002487183</v>
      </c>
      <c r="BP279" s="3" t="n">
        <v>4.80521011352539</v>
      </c>
      <c r="BQ279" s="3" t="n"/>
      <c r="BR279" s="34" t="str">
        <f>B279&amp;"|"&amp;D279</f>
        <v>ARG|SE.XPD.TOTL.GD.ZS</v>
      </c>
    </row>
    <row r="280">
      <c r="A280" s="3" t="inlineStr">
        <is>
          <t>Armenia</t>
        </is>
      </c>
      <c r="B280" s="3" t="inlineStr">
        <is>
          <t>ARM</t>
        </is>
      </c>
      <c r="C280" s="3" t="inlineStr">
        <is>
          <t>Government expenditure on education, total (% of GDP)</t>
        </is>
      </c>
      <c r="D280" s="3" t="inlineStr">
        <is>
          <t>SE.XPD.TOTL.GD.ZS</t>
        </is>
      </c>
      <c r="E280" s="3" t="n">
        <v>2023</v>
      </c>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3" t="n"/>
      <c r="AL280" s="3" t="n"/>
      <c r="AM280" s="3" t="n"/>
      <c r="AN280" s="3" t="n"/>
      <c r="AO280" s="3" t="n"/>
      <c r="AP280" s="3" t="n">
        <v>1.84843003749847</v>
      </c>
      <c r="AQ280" s="3" t="n"/>
      <c r="AR280" s="3" t="n"/>
      <c r="AS280" s="3" t="n">
        <v>2.23518991470337</v>
      </c>
      <c r="AT280" s="3" t="n">
        <v>2.77273011207581</v>
      </c>
      <c r="AU280" s="3" t="n">
        <v>2.46943998336792</v>
      </c>
      <c r="AV280" s="3" t="n">
        <v>2.13504004478455</v>
      </c>
      <c r="AW280" s="3" t="n">
        <v>2.1450400352478</v>
      </c>
      <c r="AX280" s="3" t="n">
        <v>2.48673009872437</v>
      </c>
      <c r="AY280" s="3" t="n">
        <v>2.71202993392944</v>
      </c>
      <c r="AZ280" s="3" t="n">
        <v>2.71577000617981</v>
      </c>
      <c r="BA280" s="3" t="n">
        <v>3.01893997192383</v>
      </c>
      <c r="BB280" s="3" t="n">
        <v>3.17272996902466</v>
      </c>
      <c r="BC280" s="3" t="n">
        <v>3.84079003334045</v>
      </c>
      <c r="BD280" s="3" t="n">
        <v>3.24900007247925</v>
      </c>
      <c r="BE280" s="3" t="n">
        <v>3.14385008811951</v>
      </c>
      <c r="BF280" s="3" t="n">
        <v>2.77248001098633</v>
      </c>
      <c r="BG280" s="3" t="n">
        <v>2.65018010139465</v>
      </c>
      <c r="BH280" s="3" t="n">
        <v>2.24724006652832</v>
      </c>
      <c r="BI280" s="3" t="n">
        <v>2.80591011047363</v>
      </c>
      <c r="BJ280" s="3" t="n">
        <v>2.75812005996704</v>
      </c>
      <c r="BK280" s="3" t="n">
        <v>2.70759010314941</v>
      </c>
      <c r="BL280" s="3" t="n">
        <v>2.25586795806885</v>
      </c>
      <c r="BM280" s="3" t="n">
        <v>2.57191228866577</v>
      </c>
      <c r="BN280" s="3" t="n">
        <v>2.70555996894836</v>
      </c>
      <c r="BO280" s="3" t="n">
        <v>2.76784992218018</v>
      </c>
      <c r="BP280" s="3" t="n">
        <v>2.4918999671936</v>
      </c>
      <c r="BQ280" s="3" t="n">
        <v>0.242599993944168</v>
      </c>
      <c r="BR280" s="34" t="str">
        <f>B280&amp;"|"&amp;D280</f>
        <v>ARM|SE.XPD.TOTL.GD.ZS</v>
      </c>
    </row>
    <row r="281">
      <c r="A281" s="3" t="inlineStr">
        <is>
          <t>American Samoa</t>
        </is>
      </c>
      <c r="B281" s="3" t="inlineStr">
        <is>
          <t>ASM</t>
        </is>
      </c>
      <c r="C281" s="3" t="inlineStr">
        <is>
          <t>Government expenditure on education, total (% of GDP)</t>
        </is>
      </c>
      <c r="D281" s="3" t="inlineStr">
        <is>
          <t>SE.XPD.TOTL.GD.ZS</t>
        </is>
      </c>
      <c r="E281" s="3" t="n">
        <v>2006</v>
      </c>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3" t="n"/>
      <c r="AL281" s="3" t="n"/>
      <c r="AM281" s="3" t="n"/>
      <c r="AN281" s="3" t="n"/>
      <c r="AO281" s="3" t="n"/>
      <c r="AP281" s="3" t="n"/>
      <c r="AQ281" s="3" t="n"/>
      <c r="AR281" s="3" t="n"/>
      <c r="AS281" s="3" t="n"/>
      <c r="AT281" s="3" t="n"/>
      <c r="AU281" s="3" t="n"/>
      <c r="AV281" s="3" t="n"/>
      <c r="AW281" s="3" t="n"/>
      <c r="AX281" s="3" t="n"/>
      <c r="AY281" s="3" t="n"/>
      <c r="AZ281" s="3" t="n">
        <v>14.7170495986938</v>
      </c>
      <c r="BA281" s="3" t="n"/>
      <c r="BB281" s="3" t="n"/>
      <c r="BC281" s="3" t="n"/>
      <c r="BD281" s="3" t="n"/>
      <c r="BE281" s="3" t="n"/>
      <c r="BF281" s="3" t="n"/>
      <c r="BG281" s="3" t="n"/>
      <c r="BH281" s="3" t="n"/>
      <c r="BI281" s="3" t="n"/>
      <c r="BJ281" s="3" t="n"/>
      <c r="BK281" s="3" t="n"/>
      <c r="BL281" s="3" t="n"/>
      <c r="BM281" s="3" t="n"/>
      <c r="BN281" s="3" t="n"/>
      <c r="BO281" s="3" t="n"/>
      <c r="BP281" s="3" t="n"/>
      <c r="BQ281" s="3" t="n"/>
      <c r="BR281" s="34" t="str">
        <f>B281&amp;"|"&amp;D281</f>
        <v>ASM|SE.XPD.TOTL.GD.ZS</v>
      </c>
    </row>
    <row r="282">
      <c r="A282" s="3" t="inlineStr">
        <is>
          <t>Antigua and Barbuda</t>
        </is>
      </c>
      <c r="B282" s="3" t="inlineStr">
        <is>
          <t>ATG</t>
        </is>
      </c>
      <c r="C282" s="3" t="inlineStr">
        <is>
          <t>Government expenditure on education, total (% of GDP)</t>
        </is>
      </c>
      <c r="D282" s="3" t="inlineStr">
        <is>
          <t>SE.XPD.TOTL.GD.ZS</t>
        </is>
      </c>
      <c r="E282" s="3" t="n">
        <v>2022</v>
      </c>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3" t="n"/>
      <c r="AL282" s="3" t="n"/>
      <c r="AM282" s="3" t="n"/>
      <c r="AN282" s="3" t="n"/>
      <c r="AO282" s="3" t="n"/>
      <c r="AP282" s="3" t="n"/>
      <c r="AQ282" s="3" t="n"/>
      <c r="AR282" s="3" t="n"/>
      <c r="AS282" s="3" t="n">
        <v>2.52550005912781</v>
      </c>
      <c r="AT282" s="3" t="n"/>
      <c r="AU282" s="3" t="n"/>
      <c r="AV282" s="3" t="n">
        <v>3.07913994789124</v>
      </c>
      <c r="AW282" s="3" t="n"/>
      <c r="AX282" s="3" t="n"/>
      <c r="AY282" s="3" t="n"/>
      <c r="AZ282" s="3" t="n"/>
      <c r="BA282" s="3" t="n"/>
      <c r="BB282" s="3" t="n"/>
      <c r="BC282" s="3" t="n">
        <v>2.22275996208191</v>
      </c>
      <c r="BD282" s="3" t="n"/>
      <c r="BE282" s="3" t="n"/>
      <c r="BF282" s="3" t="n">
        <v>2.35619330406189</v>
      </c>
      <c r="BG282" s="3" t="n">
        <v>2.64728999137878</v>
      </c>
      <c r="BH282" s="3" t="n">
        <v>2.54248762130737</v>
      </c>
      <c r="BI282" s="3" t="n">
        <v>2.1441957950592</v>
      </c>
      <c r="BJ282" s="3" t="n">
        <v>2.25177478790283</v>
      </c>
      <c r="BK282" s="3" t="n">
        <v>2.36592817306519</v>
      </c>
      <c r="BL282" s="3" t="n">
        <v>2.34948754310608</v>
      </c>
      <c r="BM282" s="3" t="n">
        <v>2.30307745933533</v>
      </c>
      <c r="BN282" s="3" t="n">
        <v>2.99340319633484</v>
      </c>
      <c r="BO282" s="3" t="n">
        <v>2.5746488571167</v>
      </c>
      <c r="BP282" s="3" t="n">
        <v>3.6477484703064</v>
      </c>
      <c r="BQ282" s="3" t="n"/>
      <c r="BR282" s="34" t="str">
        <f>B282&amp;"|"&amp;D282</f>
        <v>ATG|SE.XPD.TOTL.GD.ZS</v>
      </c>
    </row>
    <row r="283">
      <c r="A283" s="3" t="inlineStr">
        <is>
          <t>Australia</t>
        </is>
      </c>
      <c r="B283" s="3" t="inlineStr">
        <is>
          <t>AUS</t>
        </is>
      </c>
      <c r="C283" s="3" t="inlineStr">
        <is>
          <t>Government expenditure on education, total (% of GDP)</t>
        </is>
      </c>
      <c r="D283" s="3" t="inlineStr">
        <is>
          <t>SE.XPD.TOTL.GD.ZS</t>
        </is>
      </c>
      <c r="E283" s="3" t="n">
        <v>2022</v>
      </c>
      <c r="F283" s="3" t="n"/>
      <c r="G283" s="3" t="n"/>
      <c r="H283" s="3" t="n"/>
      <c r="I283" s="3" t="n"/>
      <c r="J283" s="3" t="n"/>
      <c r="K283" s="3" t="n"/>
      <c r="L283" s="3" t="n"/>
      <c r="M283" s="3" t="n"/>
      <c r="N283" s="3" t="n"/>
      <c r="O283" s="3" t="n"/>
      <c r="P283" s="3" t="n"/>
      <c r="Q283" s="3" t="n"/>
      <c r="R283" s="3" t="n"/>
      <c r="S283" s="3" t="n"/>
      <c r="T283" s="3" t="n"/>
      <c r="U283" s="3" t="n"/>
      <c r="V283" s="3" t="n"/>
      <c r="W283" s="3" t="n"/>
      <c r="X283" s="3" t="n">
        <v>6.00085020065308</v>
      </c>
      <c r="Y283" s="3" t="n">
        <v>5.88913011550903</v>
      </c>
      <c r="Z283" s="3" t="n">
        <v>5.64626979827881</v>
      </c>
      <c r="AA283" s="3" t="n"/>
      <c r="AB283" s="3" t="n">
        <v>5.47198009490967</v>
      </c>
      <c r="AC283" s="3" t="n">
        <v>5.36459016799927</v>
      </c>
      <c r="AD283" s="3" t="n"/>
      <c r="AE283" s="3" t="n">
        <v>5.39764022827148</v>
      </c>
      <c r="AF283" s="3" t="n">
        <v>5.26889991760254</v>
      </c>
      <c r="AG283" s="3" t="n">
        <v>5.05775022506714</v>
      </c>
      <c r="AH283" s="3" t="n">
        <v>4.90722990036011</v>
      </c>
      <c r="AI283" s="3" t="n">
        <v>4.73916006088257</v>
      </c>
      <c r="AJ283" s="3" t="n">
        <v>4.66689014434814</v>
      </c>
      <c r="AK283" s="3" t="n">
        <v>4.78484010696411</v>
      </c>
      <c r="AL283" s="3" t="n">
        <v>4.68287992477417</v>
      </c>
      <c r="AM283" s="3" t="n">
        <v>5.50569009780884</v>
      </c>
      <c r="AN283" s="3" t="n">
        <v>5.24490976333618</v>
      </c>
      <c r="AO283" s="3" t="n"/>
      <c r="AP283" s="3" t="n"/>
      <c r="AQ283" s="3" t="n"/>
      <c r="AR283" s="3" t="n"/>
      <c r="AS283" s="3" t="n"/>
      <c r="AT283" s="3" t="n">
        <v>4.75933980941772</v>
      </c>
      <c r="AU283" s="3" t="n">
        <v>5.22261571884155</v>
      </c>
      <c r="AV283" s="3" t="n">
        <v>5.30569648742676</v>
      </c>
      <c r="AW283" s="3" t="n">
        <v>5.24525785446167</v>
      </c>
      <c r="AX283" s="3" t="n">
        <v>5.19307231903076</v>
      </c>
      <c r="AY283" s="3" t="n">
        <v>5.27187633514404</v>
      </c>
      <c r="AZ283" s="3" t="n">
        <v>5.16309022903442</v>
      </c>
      <c r="BA283" s="3" t="n">
        <v>4.96966886520386</v>
      </c>
      <c r="BB283" s="3" t="n">
        <v>4.9018235206604</v>
      </c>
      <c r="BC283" s="3" t="n">
        <v>5.39640665054321</v>
      </c>
      <c r="BD283" s="3" t="n">
        <v>6.15043640136719</v>
      </c>
      <c r="BE283" s="3" t="n">
        <v>6.00601577758789</v>
      </c>
      <c r="BF283" s="3" t="n">
        <v>5.55924797058105</v>
      </c>
      <c r="BG283" s="3" t="n">
        <v>5.5196270942688</v>
      </c>
      <c r="BH283" s="3" t="n">
        <v>5.4375524520874</v>
      </c>
      <c r="BI283" s="3" t="n">
        <v>5.46285820007324</v>
      </c>
      <c r="BJ283" s="3" t="n">
        <v>5.43038558959961</v>
      </c>
      <c r="BK283" s="3" t="n">
        <v>5.32125568389893</v>
      </c>
      <c r="BL283" s="3" t="n">
        <v>5.40967607498169</v>
      </c>
      <c r="BM283" s="3" t="n">
        <v>5.50858879089355</v>
      </c>
      <c r="BN283" s="3" t="n">
        <v>5.37828016281128</v>
      </c>
      <c r="BO283" s="3" t="n">
        <v>5.33320999145508</v>
      </c>
      <c r="BP283" s="3" t="n">
        <v>5.20677661895752</v>
      </c>
      <c r="BQ283" s="3" t="n"/>
      <c r="BR283" s="34" t="str">
        <f>B283&amp;"|"&amp;D283</f>
        <v>AUS|SE.XPD.TOTL.GD.ZS</v>
      </c>
    </row>
    <row r="284">
      <c r="A284" s="3" t="inlineStr">
        <is>
          <t>Austria</t>
        </is>
      </c>
      <c r="B284" s="3" t="inlineStr">
        <is>
          <t>AUT</t>
        </is>
      </c>
      <c r="C284" s="3" t="inlineStr">
        <is>
          <t>Government expenditure on education, total (% of GDP)</t>
        </is>
      </c>
      <c r="D284" s="3" t="inlineStr">
        <is>
          <t>SE.XPD.TOTL.GD.ZS</t>
        </is>
      </c>
      <c r="E284" s="3" t="n">
        <v>2022</v>
      </c>
      <c r="F284" s="3" t="n"/>
      <c r="G284" s="3" t="n"/>
      <c r="H284" s="3" t="n"/>
      <c r="I284" s="3" t="n"/>
      <c r="J284" s="3" t="n"/>
      <c r="K284" s="3" t="n"/>
      <c r="L284" s="3" t="n"/>
      <c r="M284" s="3" t="n"/>
      <c r="N284" s="3" t="n"/>
      <c r="O284" s="3" t="n"/>
      <c r="P284" s="3" t="n">
        <v>4.14716005325317</v>
      </c>
      <c r="Q284" s="3" t="n">
        <v>4.28235006332397</v>
      </c>
      <c r="R284" s="3" t="n">
        <v>4.45015001296997</v>
      </c>
      <c r="S284" s="3" t="n">
        <v>4.51547002792358</v>
      </c>
      <c r="T284" s="3" t="n">
        <v>4.65594005584717</v>
      </c>
      <c r="U284" s="3" t="n">
        <v>5.12796020507812</v>
      </c>
      <c r="V284" s="3" t="n">
        <v>5.23765993118286</v>
      </c>
      <c r="W284" s="3" t="n">
        <v>4.95401000976562</v>
      </c>
      <c r="X284" s="3" t="n">
        <v>5.1597900390625</v>
      </c>
      <c r="Y284" s="3" t="n">
        <v>5.03815984725952</v>
      </c>
      <c r="Z284" s="3" t="n">
        <v>5.00896978378296</v>
      </c>
      <c r="AA284" s="3" t="n">
        <v>5.36780977249146</v>
      </c>
      <c r="AB284" s="3" t="n">
        <v>5.36298990249634</v>
      </c>
      <c r="AC284" s="3" t="n">
        <v>5.30378007888794</v>
      </c>
      <c r="AD284" s="3" t="n">
        <v>5.29446983337402</v>
      </c>
      <c r="AE284" s="3" t="n">
        <v>5.29721021652222</v>
      </c>
      <c r="AF284" s="3" t="n">
        <v>5.49995994567871</v>
      </c>
      <c r="AG284" s="3" t="n">
        <v>5.3761100769043</v>
      </c>
      <c r="AH284" s="3" t="n">
        <v>5.19073009490967</v>
      </c>
      <c r="AI284" s="3" t="n">
        <v>5.01816987991333</v>
      </c>
      <c r="AJ284" s="3" t="n">
        <v>4.95725011825562</v>
      </c>
      <c r="AK284" s="3" t="n">
        <v>5.10321998596191</v>
      </c>
      <c r="AL284" s="3" t="n">
        <v>5.2969799041748</v>
      </c>
      <c r="AM284" s="3" t="n">
        <v>5.2519998550415</v>
      </c>
      <c r="AN284" s="3" t="n"/>
      <c r="AO284" s="3" t="n">
        <v>5.42834997177124</v>
      </c>
      <c r="AP284" s="3" t="n">
        <v>5.25990009307861</v>
      </c>
      <c r="AQ284" s="3" t="n"/>
      <c r="AR284" s="3" t="n">
        <v>6.10374021530151</v>
      </c>
      <c r="AS284" s="3" t="n">
        <v>6.11233997344971</v>
      </c>
      <c r="AT284" s="3" t="n">
        <v>5.58880996704102</v>
      </c>
      <c r="AU284" s="3" t="n">
        <v>5.57547998428345</v>
      </c>
      <c r="AV284" s="3" t="n">
        <v>5.52213001251221</v>
      </c>
      <c r="AW284" s="3" t="n">
        <v>5.36183023452759</v>
      </c>
      <c r="AX284" s="3" t="n">
        <v>5.30243015289307</v>
      </c>
      <c r="AY284" s="3" t="n">
        <v>5.24937009811401</v>
      </c>
      <c r="AZ284" s="3" t="n">
        <v>5.22652006149292</v>
      </c>
      <c r="BA284" s="3" t="n">
        <v>5.14690017700195</v>
      </c>
      <c r="BB284" s="3" t="n">
        <v>5.26395988464355</v>
      </c>
      <c r="BC284" s="3" t="n">
        <v>5.73024988174438</v>
      </c>
      <c r="BD284" s="3" t="n">
        <v>5.70047998428345</v>
      </c>
      <c r="BE284" s="3" t="n">
        <v>5.59226989746094</v>
      </c>
      <c r="BF284" s="3" t="n">
        <v>5.48040008544922</v>
      </c>
      <c r="BG284" s="3" t="n">
        <v>5.54711008071899</v>
      </c>
      <c r="BH284" s="3" t="n">
        <v>5.44761991500854</v>
      </c>
      <c r="BI284" s="3" t="n">
        <v>5.45658016204834</v>
      </c>
      <c r="BJ284" s="3" t="n">
        <v>5.4796199798584</v>
      </c>
      <c r="BK284" s="3" t="n">
        <v>5.37159013748169</v>
      </c>
      <c r="BL284" s="3" t="n">
        <v>5.22655010223389</v>
      </c>
      <c r="BM284" s="3" t="n">
        <v>5.21779012680054</v>
      </c>
      <c r="BN284" s="3" t="n">
        <v>5.57126998901367</v>
      </c>
      <c r="BO284" s="3" t="n">
        <v>5.49411010742188</v>
      </c>
      <c r="BP284" s="3" t="n">
        <v>4.77447128295898</v>
      </c>
      <c r="BQ284" s="3" t="n"/>
      <c r="BR284" s="34" t="str">
        <f>B284&amp;"|"&amp;D284</f>
        <v>AUT|SE.XPD.TOTL.GD.ZS</v>
      </c>
    </row>
    <row r="285">
      <c r="A285" s="3" t="inlineStr">
        <is>
          <t>Azerbaijan</t>
        </is>
      </c>
      <c r="B285" s="3" t="inlineStr">
        <is>
          <t>AZE</t>
        </is>
      </c>
      <c r="C285" s="3" t="inlineStr">
        <is>
          <t>Government expenditure on education, total (% of GDP)</t>
        </is>
      </c>
      <c r="D285" s="3" t="inlineStr">
        <is>
          <t>SE.XPD.TOTL.GD.ZS</t>
        </is>
      </c>
      <c r="E285" s="3" t="n">
        <v>2023</v>
      </c>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3" t="n"/>
      <c r="AL285" s="3" t="n">
        <v>6.05797004699707</v>
      </c>
      <c r="AM285" s="3" t="n"/>
      <c r="AN285" s="3" t="n"/>
      <c r="AO285" s="3" t="n">
        <v>3.33736991882324</v>
      </c>
      <c r="AP285" s="3" t="n">
        <v>3.51256990432739</v>
      </c>
      <c r="AQ285" s="3" t="n"/>
      <c r="AR285" s="3" t="n">
        <v>3.38001990318298</v>
      </c>
      <c r="AS285" s="3" t="n">
        <v>4.21214008331299</v>
      </c>
      <c r="AT285" s="3" t="n">
        <v>3.85399007797241</v>
      </c>
      <c r="AU285" s="3" t="n">
        <v>3.50342011451721</v>
      </c>
      <c r="AV285" s="3" t="n">
        <v>3.15445995330811</v>
      </c>
      <c r="AW285" s="3" t="n">
        <v>3.2861499786377</v>
      </c>
      <c r="AX285" s="3" t="n">
        <v>3.44770002365112</v>
      </c>
      <c r="AY285" s="3" t="n">
        <v>2.97462010383606</v>
      </c>
      <c r="AZ285" s="3" t="n">
        <v>2.55552005767822</v>
      </c>
      <c r="BA285" s="3" t="n">
        <v>2.5492799282074</v>
      </c>
      <c r="BB285" s="3" t="n">
        <v>2.44092988967896</v>
      </c>
      <c r="BC285" s="3" t="n">
        <v>3.22430992126465</v>
      </c>
      <c r="BD285" s="3" t="n">
        <v>2.78062009811401</v>
      </c>
      <c r="BE285" s="3" t="n">
        <v>2.43564009666443</v>
      </c>
      <c r="BF285" s="3" t="n">
        <v>2.06763005256653</v>
      </c>
      <c r="BG285" s="3" t="n">
        <v>2.44213008880615</v>
      </c>
      <c r="BH285" s="3" t="n">
        <v>2.63303995132446</v>
      </c>
      <c r="BI285" s="3" t="n">
        <v>2.95167994499207</v>
      </c>
      <c r="BJ285" s="3" t="n">
        <v>2.90340995788574</v>
      </c>
      <c r="BK285" s="3" t="n">
        <v>2.47381997108459</v>
      </c>
      <c r="BL285" s="3" t="n">
        <v>2.45543003082275</v>
      </c>
      <c r="BM285" s="3" t="n">
        <v>3.1764600276947</v>
      </c>
      <c r="BN285" s="3" t="n">
        <v>4.33204984664917</v>
      </c>
      <c r="BO285" s="3" t="n">
        <v>3.7020800113678</v>
      </c>
      <c r="BP285" s="3" t="n">
        <v>3.04690003395081</v>
      </c>
      <c r="BQ285" s="3" t="n">
        <v>3.58290028572083</v>
      </c>
      <c r="BR285" s="34" t="str">
        <f>B285&amp;"|"&amp;D285</f>
        <v>AZE|SE.XPD.TOTL.GD.ZS</v>
      </c>
    </row>
    <row r="286">
      <c r="A286" s="3" t="inlineStr">
        <is>
          <t>Burundi</t>
        </is>
      </c>
      <c r="B286" s="3" t="inlineStr">
        <is>
          <t>BDI</t>
        </is>
      </c>
      <c r="C286" s="3" t="inlineStr">
        <is>
          <t>Government expenditure on education, total (% of GDP)</t>
        </is>
      </c>
      <c r="D286" s="3" t="inlineStr">
        <is>
          <t>SE.XPD.TOTL.GD.ZS</t>
        </is>
      </c>
      <c r="E286" s="3" t="n">
        <v>2022</v>
      </c>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v>2.80335998535156</v>
      </c>
      <c r="Z286" s="3" t="n"/>
      <c r="AA286" s="3" t="n">
        <v>3.34676003456116</v>
      </c>
      <c r="AB286" s="3" t="n"/>
      <c r="AC286" s="3" t="n"/>
      <c r="AD286" s="3" t="n"/>
      <c r="AE286" s="3" t="n"/>
      <c r="AF286" s="3" t="n"/>
      <c r="AG286" s="3" t="n"/>
      <c r="AH286" s="3" t="n"/>
      <c r="AI286" s="3" t="n"/>
      <c r="AJ286" s="3" t="n">
        <v>3.35932993888855</v>
      </c>
      <c r="AK286" s="3" t="n">
        <v>3.49365997314453</v>
      </c>
      <c r="AL286" s="3" t="n">
        <v>3.8058500289917</v>
      </c>
      <c r="AM286" s="3" t="n"/>
      <c r="AN286" s="3" t="n">
        <v>4.565269947052</v>
      </c>
      <c r="AO286" s="3" t="n">
        <v>5.01511001586914</v>
      </c>
      <c r="AP286" s="3" t="n">
        <v>4.08324003219604</v>
      </c>
      <c r="AQ286" s="3" t="n"/>
      <c r="AR286" s="3" t="n"/>
      <c r="AS286" s="3" t="n">
        <v>3.41744995117188</v>
      </c>
      <c r="AT286" s="3" t="n">
        <v>2.64547991752625</v>
      </c>
      <c r="AU286" s="3" t="n">
        <v>2.90390992164612</v>
      </c>
      <c r="AV286" s="3" t="n">
        <v>3.00493001937866</v>
      </c>
      <c r="AW286" s="3" t="n"/>
      <c r="AX286" s="3" t="n">
        <v>3.74496006965637</v>
      </c>
      <c r="AY286" s="3" t="n">
        <v>3.632159948349</v>
      </c>
      <c r="AZ286" s="3" t="n"/>
      <c r="BA286" s="3" t="n"/>
      <c r="BB286" s="3" t="n">
        <v>5.19290018081665</v>
      </c>
      <c r="BC286" s="3" t="n">
        <v>6.17194986343384</v>
      </c>
      <c r="BD286" s="3" t="n">
        <v>6.67801666259766</v>
      </c>
      <c r="BE286" s="3" t="n">
        <v>6.24009609222412</v>
      </c>
      <c r="BF286" s="3" t="n">
        <v>6.03472852706909</v>
      </c>
      <c r="BG286" s="3" t="n">
        <v>5.99539995193481</v>
      </c>
      <c r="BH286" s="3" t="n">
        <v>7.51637983322144</v>
      </c>
      <c r="BI286" s="3" t="n">
        <v>7.10290956497192</v>
      </c>
      <c r="BJ286" s="3" t="n">
        <v>4.96585083007812</v>
      </c>
      <c r="BK286" s="3" t="n">
        <v>5.00918865203857</v>
      </c>
      <c r="BL286" s="3" t="n">
        <v>5.4135274887085</v>
      </c>
      <c r="BM286" s="3" t="n">
        <v>5.34668445587158</v>
      </c>
      <c r="BN286" s="3" t="n">
        <v>5.32158517837524</v>
      </c>
      <c r="BO286" s="3" t="n">
        <v>4.87114191055298</v>
      </c>
      <c r="BP286" s="3" t="n">
        <v>4.82104730606079</v>
      </c>
      <c r="BQ286" s="3" t="n"/>
      <c r="BR286" s="34" t="str">
        <f>B286&amp;"|"&amp;D286</f>
        <v>BDI|SE.XPD.TOTL.GD.ZS</v>
      </c>
    </row>
    <row r="287">
      <c r="A287" s="3" t="inlineStr">
        <is>
          <t>Belgium</t>
        </is>
      </c>
      <c r="B287" s="3" t="inlineStr">
        <is>
          <t>BEL</t>
        </is>
      </c>
      <c r="C287" s="3" t="inlineStr">
        <is>
          <t>Government expenditure on education, total (% of GDP)</t>
        </is>
      </c>
      <c r="D287" s="3" t="inlineStr">
        <is>
          <t>SE.XPD.TOTL.GD.ZS</t>
        </is>
      </c>
      <c r="E287" s="3" t="n">
        <v>2021</v>
      </c>
      <c r="F287" s="3" t="n"/>
      <c r="G287" s="3" t="n"/>
      <c r="H287" s="3" t="n"/>
      <c r="I287" s="3" t="n"/>
      <c r="J287" s="3" t="n"/>
      <c r="K287" s="3" t="n"/>
      <c r="L287" s="3" t="n"/>
      <c r="M287" s="3" t="n"/>
      <c r="N287" s="3" t="n"/>
      <c r="O287" s="3" t="n"/>
      <c r="P287" s="3" t="n"/>
      <c r="Q287" s="3" t="n"/>
      <c r="R287" s="3" t="n"/>
      <c r="S287" s="3" t="n"/>
      <c r="T287" s="3" t="n"/>
      <c r="U287" s="3" t="n">
        <v>5.76281976699829</v>
      </c>
      <c r="V287" s="3" t="n">
        <v>5.73104000091553</v>
      </c>
      <c r="W287" s="3" t="n">
        <v>5.98883008956909</v>
      </c>
      <c r="X287" s="3" t="n">
        <v>5.43633985519409</v>
      </c>
      <c r="Y287" s="3" t="n">
        <v>5.38035011291504</v>
      </c>
      <c r="Z287" s="3" t="n">
        <v>5.31063985824585</v>
      </c>
      <c r="AA287" s="3" t="n">
        <v>5.4353199005127</v>
      </c>
      <c r="AB287" s="3" t="n">
        <v>5.31673002243042</v>
      </c>
      <c r="AC287" s="3" t="n"/>
      <c r="AD287" s="3" t="n"/>
      <c r="AE287" s="3" t="n"/>
      <c r="AF287" s="3" t="n">
        <v>4.85229015350342</v>
      </c>
      <c r="AG287" s="3" t="n">
        <v>4.57712984085083</v>
      </c>
      <c r="AH287" s="3" t="n">
        <v>4.30072021484375</v>
      </c>
      <c r="AI287" s="3" t="n"/>
      <c r="AJ287" s="3" t="n"/>
      <c r="AK287" s="3" t="n"/>
      <c r="AL287" s="3" t="n"/>
      <c r="AM287" s="3" t="n">
        <v>5.37231016159058</v>
      </c>
      <c r="AN287" s="3" t="n">
        <v>5.41103982925415</v>
      </c>
      <c r="AO287" s="3" t="n">
        <v>2.98866009712219</v>
      </c>
      <c r="AP287" s="3" t="n">
        <v>3.04947996139526</v>
      </c>
      <c r="AQ287" s="3" t="n"/>
      <c r="AR287" s="3" t="n"/>
      <c r="AS287" s="3" t="n"/>
      <c r="AT287" s="3" t="n">
        <v>5.53273296356201</v>
      </c>
      <c r="AU287" s="3" t="n">
        <v>5.67605495452881</v>
      </c>
      <c r="AV287" s="3" t="n">
        <v>5.78968381881714</v>
      </c>
      <c r="AW287" s="3" t="n">
        <v>5.89130210876465</v>
      </c>
      <c r="AX287" s="3" t="n">
        <v>5.62933778762817</v>
      </c>
      <c r="AY287" s="3" t="n">
        <v>5.79585981369019</v>
      </c>
      <c r="AZ287" s="3" t="n">
        <v>5.62658596038818</v>
      </c>
      <c r="BA287" s="3" t="n">
        <v>5.51823377609253</v>
      </c>
      <c r="BB287" s="3" t="n">
        <v>6.33294010162354</v>
      </c>
      <c r="BC287" s="3" t="n">
        <v>6.45809984207153</v>
      </c>
      <c r="BD287" s="3" t="n">
        <v>6.44259023666382</v>
      </c>
      <c r="BE287" s="3" t="n">
        <v>6.43199014663696</v>
      </c>
      <c r="BF287" s="3" t="n">
        <v>6.25576496124268</v>
      </c>
      <c r="BG287" s="3" t="n">
        <v>6.63052988052368</v>
      </c>
      <c r="BH287" s="3" t="n">
        <v>6.59046983718872</v>
      </c>
      <c r="BI287" s="3" t="n">
        <v>6.4515700340271</v>
      </c>
      <c r="BJ287" s="3" t="n">
        <v>6.46173000335693</v>
      </c>
      <c r="BK287" s="3" t="n">
        <v>6.42534017562866</v>
      </c>
      <c r="BL287" s="3" t="n">
        <v>6.38107013702393</v>
      </c>
      <c r="BM287" s="3" t="n">
        <v>6.33397006988525</v>
      </c>
      <c r="BN287" s="3" t="n">
        <v>6.80185985565186</v>
      </c>
      <c r="BO287" s="3" t="n">
        <v>6.35551977157593</v>
      </c>
      <c r="BP287" s="3" t="n"/>
      <c r="BQ287" s="3" t="n"/>
      <c r="BR287" s="34" t="str">
        <f>B287&amp;"|"&amp;D287</f>
        <v>BEL|SE.XPD.TOTL.GD.ZS</v>
      </c>
    </row>
    <row r="288">
      <c r="A288" s="3" t="inlineStr">
        <is>
          <t>Benin</t>
        </is>
      </c>
      <c r="B288" s="3" t="inlineStr">
        <is>
          <t>BEN</t>
        </is>
      </c>
      <c r="C288" s="3" t="inlineStr">
        <is>
          <t>Government expenditure on education, total (% of GDP)</t>
        </is>
      </c>
      <c r="D288" s="3" t="inlineStr">
        <is>
          <t>SE.XPD.TOTL.GD.ZS</t>
        </is>
      </c>
      <c r="E288" s="3" t="n">
        <v>2022</v>
      </c>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3" t="n"/>
      <c r="AL288" s="3" t="n"/>
      <c r="AM288" s="3" t="n"/>
      <c r="AN288" s="3" t="n"/>
      <c r="AO288" s="3" t="n"/>
      <c r="AP288" s="3" t="n"/>
      <c r="AQ288" s="3" t="n"/>
      <c r="AR288" s="3" t="n">
        <v>2.74788999557495</v>
      </c>
      <c r="AS288" s="3" t="n">
        <v>1.92193996906281</v>
      </c>
      <c r="AT288" s="3" t="n">
        <v>2.11366009712219</v>
      </c>
      <c r="AU288" s="3" t="n">
        <v>2.36509990692139</v>
      </c>
      <c r="AV288" s="3" t="n">
        <v>2.15949010848999</v>
      </c>
      <c r="AW288" s="3" t="n">
        <v>2.28315997123718</v>
      </c>
      <c r="AX288" s="3" t="n">
        <v>2.56690001487732</v>
      </c>
      <c r="AY288" s="3" t="n">
        <v>2.6566801071167</v>
      </c>
      <c r="AZ288" s="3" t="n">
        <v>2.56340003013611</v>
      </c>
      <c r="BA288" s="3" t="n">
        <v>2.36331009864807</v>
      </c>
      <c r="BB288" s="3" t="n">
        <v>2.77728009223938</v>
      </c>
      <c r="BC288" s="3" t="n">
        <v>3.08927011489868</v>
      </c>
      <c r="BD288" s="3" t="n">
        <v>3.67997002601624</v>
      </c>
      <c r="BE288" s="3" t="n">
        <v>4.40000009536743</v>
      </c>
      <c r="BF288" s="3" t="n">
        <v>3.56202006340027</v>
      </c>
      <c r="BG288" s="3" t="n">
        <v>3.3275101184845</v>
      </c>
      <c r="BH288" s="3" t="n">
        <v>3.161789894104</v>
      </c>
      <c r="BI288" s="3" t="n">
        <v>3.17298007011414</v>
      </c>
      <c r="BJ288" s="3" t="n">
        <v>2.89910006523132</v>
      </c>
      <c r="BK288" s="3" t="n">
        <v>3.53558993339539</v>
      </c>
      <c r="BL288" s="3" t="n">
        <v>2.93161988258362</v>
      </c>
      <c r="BM288" s="3" t="n">
        <v>2.96520113945007</v>
      </c>
      <c r="BN288" s="3" t="n">
        <v>3.09441518783569</v>
      </c>
      <c r="BO288" s="3" t="n">
        <v>3.20348429679871</v>
      </c>
      <c r="BP288" s="3" t="n">
        <v>3.37785911560059</v>
      </c>
      <c r="BQ288" s="3" t="n"/>
      <c r="BR288" s="34" t="str">
        <f>B288&amp;"|"&amp;D288</f>
        <v>BEN|SE.XPD.TOTL.GD.ZS</v>
      </c>
    </row>
    <row r="289">
      <c r="A289" s="3" t="inlineStr">
        <is>
          <t>Burkina Faso</t>
        </is>
      </c>
      <c r="B289" s="3" t="inlineStr">
        <is>
          <t>BFA</t>
        </is>
      </c>
      <c r="C289" s="3" t="inlineStr">
        <is>
          <t>Government expenditure on education, total (% of GDP)</t>
        </is>
      </c>
      <c r="D289" s="3" t="inlineStr">
        <is>
          <t>SE.XPD.TOTL.GD.ZS</t>
        </is>
      </c>
      <c r="E289" s="3" t="n">
        <v>2022</v>
      </c>
      <c r="F289" s="3" t="n"/>
      <c r="G289" s="3" t="n"/>
      <c r="H289" s="3" t="n"/>
      <c r="I289" s="3" t="n"/>
      <c r="J289" s="3" t="n"/>
      <c r="K289" s="3" t="n"/>
      <c r="L289" s="3" t="n"/>
      <c r="M289" s="3" t="n"/>
      <c r="N289" s="3" t="n"/>
      <c r="O289" s="3" t="n"/>
      <c r="P289" s="3" t="n"/>
      <c r="Q289" s="3" t="n"/>
      <c r="R289" s="3" t="n"/>
      <c r="S289" s="3" t="n"/>
      <c r="T289" s="3" t="n"/>
      <c r="U289" s="3" t="n"/>
      <c r="V289" s="3" t="n"/>
      <c r="W289" s="3" t="n"/>
      <c r="X289" s="3" t="n">
        <v>1.67982995510101</v>
      </c>
      <c r="Y289" s="3" t="n"/>
      <c r="Z289" s="3" t="n">
        <v>1.9617999792099</v>
      </c>
      <c r="AA289" s="3" t="n"/>
      <c r="AB289" s="3" t="n"/>
      <c r="AC289" s="3" t="n">
        <v>1.75448000431061</v>
      </c>
      <c r="AD289" s="3" t="n"/>
      <c r="AE289" s="3" t="n">
        <v>1.76396000385284</v>
      </c>
      <c r="AF289" s="3" t="n"/>
      <c r="AG289" s="3" t="n"/>
      <c r="AH289" s="3" t="n">
        <v>1.42607998847961</v>
      </c>
      <c r="AI289" s="3" t="n"/>
      <c r="AJ289" s="3" t="n"/>
      <c r="AK289" s="3" t="n"/>
      <c r="AL289" s="3" t="n"/>
      <c r="AM289" s="3" t="n"/>
      <c r="AN289" s="3" t="n">
        <v>3.45110011100769</v>
      </c>
      <c r="AO289" s="3" t="n"/>
      <c r="AP289" s="3" t="n">
        <v>1.44026005268097</v>
      </c>
      <c r="AQ289" s="3" t="n"/>
      <c r="AR289" s="3" t="n"/>
      <c r="AS289" s="3" t="n"/>
      <c r="AT289" s="3" t="n"/>
      <c r="AU289" s="3" t="n"/>
      <c r="AV289" s="3" t="n"/>
      <c r="AW289" s="3" t="n"/>
      <c r="AX289" s="3" t="n"/>
      <c r="AY289" s="3" t="n">
        <v>3.94113993644714</v>
      </c>
      <c r="AZ289" s="3" t="n">
        <v>3.98218989372253</v>
      </c>
      <c r="BA289" s="3" t="n">
        <v>4.07983016967773</v>
      </c>
      <c r="BB289" s="3" t="n"/>
      <c r="BC289" s="3" t="n"/>
      <c r="BD289" s="3" t="n">
        <v>3.50222992897034</v>
      </c>
      <c r="BE289" s="3" t="n">
        <v>3.98515009880066</v>
      </c>
      <c r="BF289" s="3" t="n">
        <v>3.60315990447998</v>
      </c>
      <c r="BG289" s="3" t="n">
        <v>4.08343982696533</v>
      </c>
      <c r="BH289" s="3" t="n">
        <v>4.05329990386963</v>
      </c>
      <c r="BI289" s="3" t="n">
        <v>3.67008996009827</v>
      </c>
      <c r="BJ289" s="3" t="n"/>
      <c r="BK289" s="3" t="n">
        <v>5.62846994400024</v>
      </c>
      <c r="BL289" s="3" t="n">
        <v>5.488609790802</v>
      </c>
      <c r="BM289" s="3" t="n">
        <v>5.40713691711426</v>
      </c>
      <c r="BN289" s="3" t="n">
        <v>5.15086507797241</v>
      </c>
      <c r="BO289" s="3" t="n">
        <v>5.22401523590088</v>
      </c>
      <c r="BP289" s="3" t="n">
        <v>5.27651214599609</v>
      </c>
      <c r="BQ289" s="3" t="n"/>
      <c r="BR289" s="34" t="str">
        <f>B289&amp;"|"&amp;D289</f>
        <v>BFA|SE.XPD.TOTL.GD.ZS</v>
      </c>
    </row>
    <row r="290">
      <c r="A290" s="3" t="inlineStr">
        <is>
          <t>Bangladesh</t>
        </is>
      </c>
      <c r="B290" s="3" t="inlineStr">
        <is>
          <t>BGD</t>
        </is>
      </c>
      <c r="C290" s="3" t="inlineStr">
        <is>
          <t>Government expenditure on education, total (% of GDP)</t>
        </is>
      </c>
      <c r="D290" s="3" t="inlineStr">
        <is>
          <t>SE.XPD.TOTL.GD.ZS</t>
        </is>
      </c>
      <c r="E290" s="3" t="n">
        <v>2023</v>
      </c>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v>1.13092994689941</v>
      </c>
      <c r="Z290" s="3" t="n">
        <v>0.937600016593933</v>
      </c>
      <c r="AA290" s="3" t="n">
        <v>1.07149994373322</v>
      </c>
      <c r="AB290" s="3" t="n">
        <v>1.01163995265961</v>
      </c>
      <c r="AC290" s="3" t="n">
        <v>1.03267002105713</v>
      </c>
      <c r="AD290" s="3" t="n">
        <v>1.22302997112274</v>
      </c>
      <c r="AE290" s="3" t="n">
        <v>1.27118003368378</v>
      </c>
      <c r="AF290" s="3" t="n">
        <v>1.34349000453949</v>
      </c>
      <c r="AG290" s="3" t="n">
        <v>1.51364004611969</v>
      </c>
      <c r="AH290" s="3" t="n"/>
      <c r="AI290" s="3" t="n"/>
      <c r="AJ290" s="3" t="n">
        <v>1.51911997795105</v>
      </c>
      <c r="AK290" s="3" t="n">
        <v>1.42566001415253</v>
      </c>
      <c r="AL290" s="3" t="n">
        <v>1.63177001476288</v>
      </c>
      <c r="AM290" s="3" t="n">
        <v>1.69262003898621</v>
      </c>
      <c r="AN290" s="3" t="n"/>
      <c r="AO290" s="3" t="n"/>
      <c r="AP290" s="3" t="n"/>
      <c r="AQ290" s="3" t="n">
        <v>1.95246994495392</v>
      </c>
      <c r="AR290" s="3" t="n"/>
      <c r="AS290" s="3" t="n">
        <v>2.13281989097595</v>
      </c>
      <c r="AT290" s="3" t="n">
        <v>2.12508010864258</v>
      </c>
      <c r="AU290" s="3" t="n">
        <v>2.17193007469177</v>
      </c>
      <c r="AV290" s="3" t="n">
        <v>2.01714992523193</v>
      </c>
      <c r="AW290" s="3" t="n">
        <v>2.06939005851746</v>
      </c>
      <c r="AX290" s="3" t="n">
        <v>1.94014000892639</v>
      </c>
      <c r="AY290" s="3" t="n"/>
      <c r="AZ290" s="3" t="n">
        <v>2.13128995895386</v>
      </c>
      <c r="BA290" s="3" t="n">
        <v>2.20221996307373</v>
      </c>
      <c r="BB290" s="3" t="n">
        <v>2.0545699596405</v>
      </c>
      <c r="BC290" s="3" t="n">
        <v>1.9394199848175</v>
      </c>
      <c r="BD290" s="3" t="n"/>
      <c r="BE290" s="3" t="n">
        <v>2.13269996643066</v>
      </c>
      <c r="BF290" s="3" t="n">
        <v>2.04667067527771</v>
      </c>
      <c r="BG290" s="3" t="n">
        <v>1.96616005897522</v>
      </c>
      <c r="BH290" s="3" t="n">
        <v>2.09871673583984</v>
      </c>
      <c r="BI290" s="3" t="n">
        <v>1.87225413322449</v>
      </c>
      <c r="BJ290" s="3" t="n">
        <v>2.22119998931885</v>
      </c>
      <c r="BK290" s="3" t="n">
        <v>1.85040032863617</v>
      </c>
      <c r="BL290" s="3" t="n">
        <v>1.65589129924774</v>
      </c>
      <c r="BM290" s="3" t="n">
        <v>1.68138802051544</v>
      </c>
      <c r="BN290" s="3" t="n">
        <v>1.76528060436249</v>
      </c>
      <c r="BO290" s="3" t="n">
        <v>1.83117997646332</v>
      </c>
      <c r="BP290" s="3" t="n">
        <v>1.71183669567108</v>
      </c>
      <c r="BQ290" s="3" t="n">
        <v>1.7752274274826</v>
      </c>
      <c r="BR290" s="34" t="str">
        <f>B290&amp;"|"&amp;D290</f>
        <v>BGD|SE.XPD.TOTL.GD.ZS</v>
      </c>
    </row>
    <row r="291">
      <c r="A291" s="3" t="inlineStr">
        <is>
          <t>Bulgaria</t>
        </is>
      </c>
      <c r="B291" s="3" t="inlineStr">
        <is>
          <t>BGR</t>
        </is>
      </c>
      <c r="C291" s="3" t="inlineStr">
        <is>
          <t>Government expenditure on education, total (% of GDP)</t>
        </is>
      </c>
      <c r="D291" s="3" t="inlineStr">
        <is>
          <t>SE.XPD.TOTL.GD.ZS</t>
        </is>
      </c>
      <c r="E291" s="3" t="n">
        <v>2021</v>
      </c>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v>3.52947998046875</v>
      </c>
      <c r="AA291" s="3" t="n"/>
      <c r="AB291" s="3" t="n"/>
      <c r="AC291" s="3" t="n"/>
      <c r="AD291" s="3" t="n"/>
      <c r="AE291" s="3" t="n"/>
      <c r="AF291" s="3" t="n"/>
      <c r="AG291" s="3" t="n"/>
      <c r="AH291" s="3" t="n"/>
      <c r="AI291" s="3" t="n"/>
      <c r="AJ291" s="3" t="n">
        <v>4.45406007766724</v>
      </c>
      <c r="AK291" s="3" t="n">
        <v>5.42961978912354</v>
      </c>
      <c r="AL291" s="3" t="n">
        <v>5.26045989990234</v>
      </c>
      <c r="AM291" s="3" t="n">
        <v>4.95048999786377</v>
      </c>
      <c r="AN291" s="3" t="n">
        <v>4.1706600189209</v>
      </c>
      <c r="AO291" s="3" t="n">
        <v>2.37207007408142</v>
      </c>
      <c r="AP291" s="3" t="n">
        <v>2.23007988929749</v>
      </c>
      <c r="AQ291" s="3" t="n"/>
      <c r="AR291" s="3" t="n">
        <v>2.73942995071411</v>
      </c>
      <c r="AS291" s="3" t="n"/>
      <c r="AT291" s="3" t="n">
        <v>4.21983289718628</v>
      </c>
      <c r="AU291" s="3" t="n">
        <v>3.38423991203308</v>
      </c>
      <c r="AV291" s="3" t="n">
        <v>3.38608002662659</v>
      </c>
      <c r="AW291" s="3" t="n">
        <v>3.99845004081726</v>
      </c>
      <c r="AX291" s="3" t="n">
        <v>4.24988985061646</v>
      </c>
      <c r="AY291" s="3" t="n">
        <v>4.10879993438721</v>
      </c>
      <c r="AZ291" s="3" t="n">
        <v>3.90346002578735</v>
      </c>
      <c r="BA291" s="3" t="n">
        <v>3.680340051651</v>
      </c>
      <c r="BB291" s="3" t="n">
        <v>4.2190899848938</v>
      </c>
      <c r="BC291" s="3" t="n">
        <v>4.27429008483887</v>
      </c>
      <c r="BD291" s="3" t="n">
        <v>3.85746002197266</v>
      </c>
      <c r="BE291" s="3" t="n">
        <v>3.54690003395081</v>
      </c>
      <c r="BF291" s="3" t="n">
        <v>3.47650003433228</v>
      </c>
      <c r="BG291" s="3" t="n">
        <v>4.05766010284424</v>
      </c>
      <c r="BH291" s="3" t="n">
        <v>4.07005310058594</v>
      </c>
      <c r="BI291" s="3" t="n">
        <v>3.91208434104919</v>
      </c>
      <c r="BJ291" s="3" t="n">
        <v>3.39370822906494</v>
      </c>
      <c r="BK291" s="3" t="n">
        <v>4.07755994796753</v>
      </c>
      <c r="BL291" s="3" t="n">
        <v>4.04709005355835</v>
      </c>
      <c r="BM291" s="3" t="n">
        <v>4.19902992248535</v>
      </c>
      <c r="BN291" s="3" t="n">
        <v>4.50513982772827</v>
      </c>
      <c r="BO291" s="3" t="n">
        <v>4.73032999038696</v>
      </c>
      <c r="BP291" s="3" t="n"/>
      <c r="BQ291" s="3" t="n"/>
      <c r="BR291" s="34" t="str">
        <f>B291&amp;"|"&amp;D291</f>
        <v>BGR|SE.XPD.TOTL.GD.ZS</v>
      </c>
    </row>
    <row r="292">
      <c r="A292" s="3" t="inlineStr">
        <is>
          <t>Bahrain</t>
        </is>
      </c>
      <c r="B292" s="3" t="inlineStr">
        <is>
          <t>BHR</t>
        </is>
      </c>
      <c r="C292" s="3" t="inlineStr">
        <is>
          <t>Government expenditure on education, total (% of GDP)</t>
        </is>
      </c>
      <c r="D292" s="3" t="inlineStr">
        <is>
          <t>SE.XPD.TOTL.GD.ZS</t>
        </is>
      </c>
      <c r="E292" s="3" t="n">
        <v>2022</v>
      </c>
      <c r="F292" s="3" t="n"/>
      <c r="G292" s="3" t="n"/>
      <c r="H292" s="3" t="n"/>
      <c r="I292" s="3" t="n"/>
      <c r="J292" s="3" t="n"/>
      <c r="K292" s="3" t="n"/>
      <c r="L292" s="3" t="n"/>
      <c r="M292" s="3" t="n"/>
      <c r="N292" s="3" t="n"/>
      <c r="O292" s="3" t="n"/>
      <c r="P292" s="3" t="n">
        <v>2.01217007637024</v>
      </c>
      <c r="Q292" s="3" t="n">
        <v>2.30781006813049</v>
      </c>
      <c r="R292" s="3" t="n">
        <v>2.02393007278442</v>
      </c>
      <c r="S292" s="3" t="n"/>
      <c r="T292" s="3" t="n"/>
      <c r="U292" s="3" t="n"/>
      <c r="V292" s="3" t="n"/>
      <c r="W292" s="3" t="n"/>
      <c r="X292" s="3" t="n"/>
      <c r="Y292" s="3" t="n"/>
      <c r="Z292" s="3" t="n"/>
      <c r="AA292" s="3" t="n"/>
      <c r="AB292" s="3" t="n"/>
      <c r="AC292" s="3" t="n"/>
      <c r="AD292" s="3" t="n"/>
      <c r="AE292" s="3" t="n"/>
      <c r="AF292" s="3" t="n"/>
      <c r="AG292" s="3" t="n"/>
      <c r="AH292" s="3" t="n"/>
      <c r="AI292" s="3" t="n"/>
      <c r="AJ292" s="3" t="n"/>
      <c r="AK292" s="3" t="n"/>
      <c r="AL292" s="3" t="n"/>
      <c r="AM292" s="3" t="n"/>
      <c r="AN292" s="3" t="n"/>
      <c r="AO292" s="3" t="n"/>
      <c r="AP292" s="3" t="n"/>
      <c r="AQ292" s="3" t="n"/>
      <c r="AR292" s="3" t="n"/>
      <c r="AS292" s="3" t="n"/>
      <c r="AT292" s="3" t="n"/>
      <c r="AU292" s="3" t="n"/>
      <c r="AV292" s="3" t="n"/>
      <c r="AW292" s="3" t="n"/>
      <c r="AX292" s="3" t="n"/>
      <c r="AY292" s="3" t="n"/>
      <c r="AZ292" s="3" t="n">
        <v>2.87440991401672</v>
      </c>
      <c r="BA292" s="3" t="n">
        <v>2.57500004768372</v>
      </c>
      <c r="BB292" s="3" t="n">
        <v>2.49677991867065</v>
      </c>
      <c r="BC292" s="3" t="n"/>
      <c r="BD292" s="3" t="n">
        <v>2.35114979743958</v>
      </c>
      <c r="BE292" s="3" t="n">
        <v>2.31235384941101</v>
      </c>
      <c r="BF292" s="3" t="n">
        <v>2.64530992507935</v>
      </c>
      <c r="BG292" s="3" t="n">
        <v>2.47689008712769</v>
      </c>
      <c r="BH292" s="3" t="n">
        <v>2.46745991706848</v>
      </c>
      <c r="BI292" s="3" t="n">
        <v>2.66808009147644</v>
      </c>
      <c r="BJ292" s="3" t="n">
        <v>2.80248284339905</v>
      </c>
      <c r="BK292" s="3" t="n">
        <v>2.32781004905701</v>
      </c>
      <c r="BL292" s="3" t="n">
        <v>2.38893985748291</v>
      </c>
      <c r="BM292" s="3" t="n">
        <v>2.38460445404053</v>
      </c>
      <c r="BN292" s="3" t="n">
        <v>2.55237460136414</v>
      </c>
      <c r="BO292" s="3" t="n">
        <v>2.22135806083679</v>
      </c>
      <c r="BP292" s="3" t="n">
        <v>1.98779726028442</v>
      </c>
      <c r="BQ292" s="3" t="n"/>
      <c r="BR292" s="34" t="str">
        <f>B292&amp;"|"&amp;D292</f>
        <v>BHR|SE.XPD.TOTL.GD.ZS</v>
      </c>
    </row>
    <row r="293">
      <c r="A293" s="3" t="inlineStr">
        <is>
          <t>Bahamas, The</t>
        </is>
      </c>
      <c r="B293" s="3" t="inlineStr">
        <is>
          <t>BHS</t>
        </is>
      </c>
      <c r="C293" s="3" t="inlineStr">
        <is>
          <t>Government expenditure on education, total (% of GDP)</t>
        </is>
      </c>
      <c r="D293" s="3" t="inlineStr">
        <is>
          <t>SE.XPD.TOTL.GD.ZS</t>
        </is>
      </c>
      <c r="E293" s="3" t="n">
        <v>2022</v>
      </c>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3" t="n"/>
      <c r="AL293" s="3" t="n"/>
      <c r="AM293" s="3" t="n"/>
      <c r="AN293" s="3" t="n"/>
      <c r="AO293" s="3" t="n"/>
      <c r="AP293" s="3" t="n"/>
      <c r="AQ293" s="3" t="n"/>
      <c r="AR293" s="3" t="n"/>
      <c r="AS293" s="3" t="n"/>
      <c r="AT293" s="3" t="n">
        <v>2.23284006118774</v>
      </c>
      <c r="AU293" s="3" t="n"/>
      <c r="AV293" s="3" t="n"/>
      <c r="AW293" s="3" t="n"/>
      <c r="AX293" s="3" t="n"/>
      <c r="AY293" s="3" t="n"/>
      <c r="AZ293" s="3" t="n"/>
      <c r="BA293" s="3" t="n"/>
      <c r="BB293" s="3" t="n"/>
      <c r="BC293" s="3" t="n"/>
      <c r="BD293" s="3" t="n">
        <v>2.45165991783142</v>
      </c>
      <c r="BE293" s="3" t="n">
        <v>2.35576629638672</v>
      </c>
      <c r="BF293" s="3" t="n">
        <v>2.38704514503479</v>
      </c>
      <c r="BG293" s="3" t="n">
        <v>2.38595986366272</v>
      </c>
      <c r="BH293" s="3" t="n">
        <v>2.31407165527344</v>
      </c>
      <c r="BI293" s="3" t="n">
        <v>2.29697513580322</v>
      </c>
      <c r="BJ293" s="3" t="n">
        <v>2.58660674095154</v>
      </c>
      <c r="BK293" s="3" t="n">
        <v>2.69140648841858</v>
      </c>
      <c r="BL293" s="3" t="n">
        <v>2.48519492149353</v>
      </c>
      <c r="BM293" s="3" t="n">
        <v>2.6171863079071</v>
      </c>
      <c r="BN293" s="3" t="n">
        <v>3.7900116443634</v>
      </c>
      <c r="BO293" s="3" t="n">
        <v>3.00693249702454</v>
      </c>
      <c r="BP293" s="3" t="n">
        <v>2.83657622337341</v>
      </c>
      <c r="BQ293" s="3" t="n"/>
      <c r="BR293" s="34" t="str">
        <f>B293&amp;"|"&amp;D293</f>
        <v>BHS|SE.XPD.TOTL.GD.ZS</v>
      </c>
    </row>
    <row r="294">
      <c r="A294" s="3" t="inlineStr">
        <is>
          <t>Bosnia and Herzegovina</t>
        </is>
      </c>
      <c r="B294" s="3" t="inlineStr">
        <is>
          <t>BIH</t>
        </is>
      </c>
      <c r="C294" s="3" t="inlineStr">
        <is>
          <t>Government expenditure on education, total (% of GDP)</t>
        </is>
      </c>
      <c r="D294" s="3" t="inlineStr">
        <is>
          <t>SE.XPD.TOTL.GD.ZS</t>
        </is>
      </c>
      <c r="E294" s="3" t="n">
        <v>2021</v>
      </c>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3" t="n"/>
      <c r="AL294" s="3" t="n"/>
      <c r="AM294" s="3" t="n"/>
      <c r="AN294" s="3" t="n"/>
      <c r="AO294" s="3" t="n"/>
      <c r="AP294" s="3" t="n"/>
      <c r="AQ294" s="3" t="n"/>
      <c r="AR294" s="3" t="n"/>
      <c r="AS294" s="3" t="n"/>
      <c r="AT294" s="3" t="n"/>
      <c r="AU294" s="3" t="n"/>
      <c r="AV294" s="3" t="n"/>
      <c r="AW294" s="3" t="n"/>
      <c r="AX294" s="3" t="n"/>
      <c r="AY294" s="3" t="n"/>
      <c r="AZ294" s="3" t="n"/>
      <c r="BA294" s="3" t="n"/>
      <c r="BB294" s="3" t="n"/>
      <c r="BC294" s="3" t="n"/>
      <c r="BD294" s="3" t="n"/>
      <c r="BE294" s="3" t="n"/>
      <c r="BF294" s="3" t="n"/>
      <c r="BG294" s="3" t="n"/>
      <c r="BH294" s="3" t="n">
        <v>3.31473970413208</v>
      </c>
      <c r="BI294" s="3" t="n">
        <v>3.01811289787292</v>
      </c>
      <c r="BJ294" s="3" t="n">
        <v>4.26451015472412</v>
      </c>
      <c r="BK294" s="3" t="n">
        <v>2.83868432044983</v>
      </c>
      <c r="BL294" s="3" t="n">
        <v>3.89297008514404</v>
      </c>
      <c r="BM294" s="3" t="n">
        <v>4.04449987411499</v>
      </c>
      <c r="BN294" s="3" t="n">
        <v>3.01954078674316</v>
      </c>
      <c r="BO294" s="3" t="n">
        <v>4.13622999191284</v>
      </c>
      <c r="BP294" s="3" t="n"/>
      <c r="BQ294" s="3" t="n"/>
      <c r="BR294" s="34" t="str">
        <f>B294&amp;"|"&amp;D294</f>
        <v>BIH|SE.XPD.TOTL.GD.ZS</v>
      </c>
    </row>
    <row r="295">
      <c r="A295" s="3" t="inlineStr">
        <is>
          <t>Belarus</t>
        </is>
      </c>
      <c r="B295" s="3" t="inlineStr">
        <is>
          <t>BLR</t>
        </is>
      </c>
      <c r="C295" s="3" t="inlineStr">
        <is>
          <t>Government expenditure on education, total (% of GDP)</t>
        </is>
      </c>
      <c r="D295" s="3" t="inlineStr">
        <is>
          <t>SE.XPD.TOTL.GD.ZS</t>
        </is>
      </c>
      <c r="E295" s="3" t="n">
        <v>2023</v>
      </c>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3" t="n"/>
      <c r="AL295" s="3" t="n"/>
      <c r="AM295" s="3" t="n"/>
      <c r="AN295" s="3" t="n"/>
      <c r="AO295" s="3" t="n"/>
      <c r="AP295" s="3" t="n"/>
      <c r="AQ295" s="3" t="n"/>
      <c r="AR295" s="3" t="n"/>
      <c r="AS295" s="3" t="n">
        <v>6.00001001358032</v>
      </c>
      <c r="AT295" s="3" t="n">
        <v>6.19661998748779</v>
      </c>
      <c r="AU295" s="3" t="n"/>
      <c r="AV295" s="3" t="n"/>
      <c r="AW295" s="3" t="n">
        <v>6.31018209457397</v>
      </c>
      <c r="AX295" s="3" t="n">
        <v>5.7122597694397</v>
      </c>
      <c r="AY295" s="3" t="n">
        <v>5.8710298538208</v>
      </c>
      <c r="AZ295" s="3" t="n">
        <v>6.07696008682251</v>
      </c>
      <c r="BA295" s="3" t="n">
        <v>5.15210008621216</v>
      </c>
      <c r="BB295" s="3" t="n">
        <v>5.71321535110474</v>
      </c>
      <c r="BC295" s="3" t="n">
        <v>4.3689398765564</v>
      </c>
      <c r="BD295" s="3" t="n">
        <v>5.22003984451294</v>
      </c>
      <c r="BE295" s="3" t="n">
        <v>4.68479013442993</v>
      </c>
      <c r="BF295" s="3" t="n">
        <v>4.95964002609253</v>
      </c>
      <c r="BG295" s="3" t="n">
        <v>5.0094199180603</v>
      </c>
      <c r="BH295" s="3" t="n">
        <v>4.81832981109619</v>
      </c>
      <c r="BI295" s="3" t="n">
        <v>4.78750991821289</v>
      </c>
      <c r="BJ295" s="3" t="n">
        <v>4.94654989242554</v>
      </c>
      <c r="BK295" s="3" t="n">
        <v>4.79500007629395</v>
      </c>
      <c r="BL295" s="3" t="n">
        <v>5.38110017776489</v>
      </c>
      <c r="BM295" s="3" t="n">
        <v>4.97948980331421</v>
      </c>
      <c r="BN295" s="3" t="n">
        <v>4.86263990402222</v>
      </c>
      <c r="BO295" s="3" t="n">
        <v>4.60641002655029</v>
      </c>
      <c r="BP295" s="3" t="n">
        <v>4.62823009490967</v>
      </c>
      <c r="BQ295" s="3" t="n">
        <v>4.9514799118042</v>
      </c>
      <c r="BR295" s="34" t="str">
        <f>B295&amp;"|"&amp;D295</f>
        <v>BLR|SE.XPD.TOTL.GD.ZS</v>
      </c>
    </row>
    <row r="296">
      <c r="A296" s="3" t="inlineStr">
        <is>
          <t>Belize</t>
        </is>
      </c>
      <c r="B296" s="3" t="inlineStr">
        <is>
          <t>BLZ</t>
        </is>
      </c>
      <c r="C296" s="3" t="inlineStr">
        <is>
          <t>Government expenditure on education, total (% of GDP)</t>
        </is>
      </c>
      <c r="D296" s="3" t="inlineStr">
        <is>
          <t>SE.XPD.TOTL.GD.ZS</t>
        </is>
      </c>
      <c r="E296" s="3" t="n">
        <v>2023</v>
      </c>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3" t="n"/>
      <c r="AL296" s="3" t="n"/>
      <c r="AM296" s="3" t="n"/>
      <c r="AN296" s="3" t="n"/>
      <c r="AO296" s="3" t="n"/>
      <c r="AP296" s="3" t="n"/>
      <c r="AQ296" s="3" t="n"/>
      <c r="AR296" s="3" t="n"/>
      <c r="AS296" s="3" t="n">
        <v>4.04780006408691</v>
      </c>
      <c r="AT296" s="3" t="n">
        <v>3.69593000411987</v>
      </c>
      <c r="AU296" s="3" t="n">
        <v>4.25065994262695</v>
      </c>
      <c r="AV296" s="3" t="n"/>
      <c r="AW296" s="3" t="n">
        <v>3.91564989089966</v>
      </c>
      <c r="AX296" s="3" t="n">
        <v>4.02664995193481</v>
      </c>
      <c r="AY296" s="3" t="n"/>
      <c r="AZ296" s="3" t="n"/>
      <c r="BA296" s="3" t="n"/>
      <c r="BB296" s="3" t="n">
        <v>4.3199200630188</v>
      </c>
      <c r="BC296" s="3" t="n">
        <v>4.82053995132446</v>
      </c>
      <c r="BD296" s="3" t="n">
        <v>5.26443004608154</v>
      </c>
      <c r="BE296" s="3" t="n">
        <v>5.51967906951904</v>
      </c>
      <c r="BF296" s="3" t="n">
        <v>5.47151041030884</v>
      </c>
      <c r="BG296" s="3" t="n">
        <v>5.15144014358521</v>
      </c>
      <c r="BH296" s="3" t="n">
        <v>5.16743993759155</v>
      </c>
      <c r="BI296" s="3" t="n">
        <v>5.39020013809204</v>
      </c>
      <c r="BJ296" s="3" t="n">
        <v>5.72171020507812</v>
      </c>
      <c r="BK296" s="3" t="n">
        <v>5.94967985153198</v>
      </c>
      <c r="BL296" s="3" t="n">
        <v>6.12682008743286</v>
      </c>
      <c r="BM296" s="3" t="n">
        <v>5.96499013900757</v>
      </c>
      <c r="BN296" s="3" t="n">
        <v>5.2163200378418</v>
      </c>
      <c r="BO296" s="3" t="n">
        <v>5.94879007339478</v>
      </c>
      <c r="BP296" s="3" t="n">
        <v>4.59650993347168</v>
      </c>
      <c r="BQ296" s="3" t="n">
        <v>4.25564002990723</v>
      </c>
      <c r="BR296" s="34" t="str">
        <f>B296&amp;"|"&amp;D296</f>
        <v>BLZ|SE.XPD.TOTL.GD.ZS</v>
      </c>
    </row>
    <row r="297">
      <c r="A297" s="3" t="inlineStr">
        <is>
          <t>Bermuda</t>
        </is>
      </c>
      <c r="B297" s="3" t="inlineStr">
        <is>
          <t>BMU</t>
        </is>
      </c>
      <c r="C297" s="3" t="inlineStr">
        <is>
          <t>Government expenditure on education, total (% of GDP)</t>
        </is>
      </c>
      <c r="D297" s="3" t="inlineStr">
        <is>
          <t>SE.XPD.TOTL.GD.ZS</t>
        </is>
      </c>
      <c r="E297" s="3" t="n">
        <v>2023</v>
      </c>
      <c r="F297" s="3" t="n"/>
      <c r="G297" s="3" t="n"/>
      <c r="H297" s="3" t="n"/>
      <c r="I297" s="3" t="n"/>
      <c r="J297" s="3" t="n"/>
      <c r="K297" s="3" t="n"/>
      <c r="L297" s="3" t="n"/>
      <c r="M297" s="3" t="n"/>
      <c r="N297" s="3" t="n"/>
      <c r="O297" s="3" t="n"/>
      <c r="P297" s="3" t="n"/>
      <c r="Q297" s="3" t="n"/>
      <c r="R297" s="3" t="n"/>
      <c r="S297" s="3" t="n">
        <v>4.10790014266968</v>
      </c>
      <c r="T297" s="3" t="n"/>
      <c r="U297" s="3" t="n">
        <v>3.43442010879517</v>
      </c>
      <c r="V297" s="3" t="n"/>
      <c r="W297" s="3" t="n"/>
      <c r="X297" s="3" t="n"/>
      <c r="Y297" s="3" t="n"/>
      <c r="Z297" s="3" t="n"/>
      <c r="AA297" s="3" t="n"/>
      <c r="AB297" s="3" t="n"/>
      <c r="AC297" s="3" t="n"/>
      <c r="AD297" s="3" t="n"/>
      <c r="AE297" s="3" t="n">
        <v>3.03449010848999</v>
      </c>
      <c r="AF297" s="3" t="n"/>
      <c r="AG297" s="3" t="n"/>
      <c r="AH297" s="3" t="n"/>
      <c r="AI297" s="3" t="n"/>
      <c r="AJ297" s="3" t="n">
        <v>3.13619995117188</v>
      </c>
      <c r="AK297" s="3" t="n">
        <v>3.15065002441406</v>
      </c>
      <c r="AL297" s="3" t="n">
        <v>3.47604990005493</v>
      </c>
      <c r="AM297" s="3" t="n"/>
      <c r="AN297" s="3" t="n"/>
      <c r="AO297" s="3" t="n"/>
      <c r="AP297" s="3" t="n"/>
      <c r="AQ297" s="3" t="n"/>
      <c r="AR297" s="3" t="n">
        <v>2.15227007865906</v>
      </c>
      <c r="AS297" s="3" t="n"/>
      <c r="AT297" s="3" t="n"/>
      <c r="AU297" s="3" t="n"/>
      <c r="AV297" s="3" t="n"/>
      <c r="AW297" s="3" t="n">
        <v>1.6662700176239</v>
      </c>
      <c r="AX297" s="3" t="n">
        <v>1.77587997913361</v>
      </c>
      <c r="AY297" s="3" t="n">
        <v>1.98877000808716</v>
      </c>
      <c r="AZ297" s="3" t="n"/>
      <c r="BA297" s="3" t="n"/>
      <c r="BB297" s="3" t="n"/>
      <c r="BC297" s="3" t="n">
        <v>2.28920006752014</v>
      </c>
      <c r="BD297" s="3" t="n">
        <v>2.30668997764587</v>
      </c>
      <c r="BE297" s="3" t="n">
        <v>2.19656991958618</v>
      </c>
      <c r="BF297" s="3" t="n">
        <v>2.38597130775452</v>
      </c>
      <c r="BG297" s="3" t="n">
        <v>2.27950310707092</v>
      </c>
      <c r="BH297" s="3" t="n">
        <v>1.5368800163269</v>
      </c>
      <c r="BI297" s="3" t="n">
        <v>1.50163996219635</v>
      </c>
      <c r="BJ297" s="3" t="n">
        <v>1.91544389724731</v>
      </c>
      <c r="BK297" s="3" t="n">
        <v>1.32495999336243</v>
      </c>
      <c r="BL297" s="3" t="n">
        <v>1.93595468997955</v>
      </c>
      <c r="BM297" s="3" t="n">
        <v>1.92679822444916</v>
      </c>
      <c r="BN297" s="3" t="n">
        <v>1.89008772373199</v>
      </c>
      <c r="BO297" s="3" t="n">
        <v>1.88491690158844</v>
      </c>
      <c r="BP297" s="3" t="n">
        <v>1.92221343517303</v>
      </c>
      <c r="BQ297" s="3" t="n">
        <v>1.93364679813385</v>
      </c>
      <c r="BR297" s="34" t="str">
        <f>B297&amp;"|"&amp;D297</f>
        <v>BMU|SE.XPD.TOTL.GD.ZS</v>
      </c>
    </row>
    <row r="298">
      <c r="A298" s="3" t="inlineStr">
        <is>
          <t>Bolivia</t>
        </is>
      </c>
      <c r="B298" s="3" t="inlineStr">
        <is>
          <t>BOL</t>
        </is>
      </c>
      <c r="C298" s="3" t="inlineStr">
        <is>
          <t>Government expenditure on education, total (% of GDP)</t>
        </is>
      </c>
      <c r="D298" s="3" t="inlineStr">
        <is>
          <t>SE.XPD.TOTL.GD.ZS</t>
        </is>
      </c>
      <c r="E298" s="3" t="n">
        <v>2022</v>
      </c>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3" t="n"/>
      <c r="AL298" s="3" t="n"/>
      <c r="AM298" s="3" t="n"/>
      <c r="AN298" s="3" t="n"/>
      <c r="AO298" s="3" t="n"/>
      <c r="AP298" s="3" t="n"/>
      <c r="AQ298" s="3" t="n"/>
      <c r="AR298" s="3" t="n"/>
      <c r="AS298" s="3" t="n"/>
      <c r="AT298" s="3" t="n"/>
      <c r="AU298" s="3" t="n"/>
      <c r="AV298" s="3" t="n">
        <v>7.1950478553772</v>
      </c>
      <c r="AW298" s="3" t="n">
        <v>6.62961912155151</v>
      </c>
      <c r="AX298" s="3" t="n">
        <v>6.84771823883057</v>
      </c>
      <c r="AY298" s="3" t="n">
        <v>6.71352529525757</v>
      </c>
      <c r="AZ298" s="3" t="n">
        <v>6.43421983718872</v>
      </c>
      <c r="BA298" s="3" t="n">
        <v>6.72048997879028</v>
      </c>
      <c r="BB298" s="3" t="n">
        <v>6.72302007675171</v>
      </c>
      <c r="BC298" s="3" t="n">
        <v>7.57486009597778</v>
      </c>
      <c r="BD298" s="3" t="n">
        <v>6.97379016876221</v>
      </c>
      <c r="BE298" s="3" t="n">
        <v>6.45056009292603</v>
      </c>
      <c r="BF298" s="3" t="n">
        <v>6.62799978256226</v>
      </c>
      <c r="BG298" s="3" t="n">
        <v>6.80321979522705</v>
      </c>
      <c r="BH298" s="3" t="n">
        <v>7.47812986373901</v>
      </c>
      <c r="BI298" s="3" t="n">
        <v>8.143429756164551</v>
      </c>
      <c r="BJ298" s="3" t="n">
        <v>8.15060997009277</v>
      </c>
      <c r="BK298" s="3" t="n">
        <v>8.09724044799805</v>
      </c>
      <c r="BL298" s="3" t="n">
        <v>8.01587009429932</v>
      </c>
      <c r="BM298" s="3" t="n">
        <v>8.09103965759277</v>
      </c>
      <c r="BN298" s="3" t="n">
        <v>8.43710994720459</v>
      </c>
      <c r="BO298" s="3" t="n">
        <v>7.96215009689331</v>
      </c>
      <c r="BP298" s="3" t="n">
        <v>7.57550001144409</v>
      </c>
      <c r="BQ298" s="3" t="n"/>
      <c r="BR298" s="34" t="str">
        <f>B298&amp;"|"&amp;D298</f>
        <v>BOL|SE.XPD.TOTL.GD.ZS</v>
      </c>
    </row>
    <row r="299">
      <c r="A299" s="3" t="inlineStr">
        <is>
          <t>Brazil</t>
        </is>
      </c>
      <c r="B299" s="3" t="inlineStr">
        <is>
          <t>BRA</t>
        </is>
      </c>
      <c r="C299" s="3" t="inlineStr">
        <is>
          <t>Government expenditure on education, total (% of GDP)</t>
        </is>
      </c>
      <c r="D299" s="3" t="inlineStr">
        <is>
          <t>SE.XPD.TOTL.GD.ZS</t>
        </is>
      </c>
      <c r="E299" s="3" t="n">
        <v>2021</v>
      </c>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3" t="n"/>
      <c r="AL299" s="3" t="n"/>
      <c r="AM299" s="3" t="n"/>
      <c r="AN299" s="3" t="n"/>
      <c r="AO299" s="3" t="n">
        <v>4.56816005706787</v>
      </c>
      <c r="AP299" s="3" t="n"/>
      <c r="AQ299" s="3" t="n"/>
      <c r="AR299" s="3" t="n">
        <v>4.75665998458862</v>
      </c>
      <c r="AS299" s="3" t="n">
        <v>3.80062007904053</v>
      </c>
      <c r="AT299" s="3" t="n">
        <v>3.94893002510071</v>
      </c>
      <c r="AU299" s="3" t="n">
        <v>3.84468007087708</v>
      </c>
      <c r="AV299" s="3" t="n">
        <v>3.75037002563477</v>
      </c>
      <c r="AW299" s="3" t="n"/>
      <c r="AX299" s="3" t="n">
        <v>3.97447991371155</v>
      </c>
      <c r="AY299" s="3" t="n">
        <v>4.47908020019531</v>
      </c>
      <c r="AZ299" s="3" t="n">
        <v>4.87060022354126</v>
      </c>
      <c r="BA299" s="3" t="n">
        <v>4.97425985336304</v>
      </c>
      <c r="BB299" s="3" t="n">
        <v>5.26883983612061</v>
      </c>
      <c r="BC299" s="3" t="n">
        <v>5.46355009078979</v>
      </c>
      <c r="BD299" s="3" t="n">
        <v>5.64879989624023</v>
      </c>
      <c r="BE299" s="3" t="n">
        <v>5.73741006851196</v>
      </c>
      <c r="BF299" s="3" t="n">
        <v>5.85510015487671</v>
      </c>
      <c r="BG299" s="3" t="n">
        <v>5.8388500213623</v>
      </c>
      <c r="BH299" s="3" t="n">
        <v>5.94848012924194</v>
      </c>
      <c r="BI299" s="3" t="n">
        <v>6.24105978012085</v>
      </c>
      <c r="BJ299" s="3" t="n">
        <v>6.314040184021</v>
      </c>
      <c r="BK299" s="3" t="n">
        <v>6.32047986984253</v>
      </c>
      <c r="BL299" s="3" t="n">
        <v>6.08851003646851</v>
      </c>
      <c r="BM299" s="3" t="n">
        <v>5.96346998214722</v>
      </c>
      <c r="BN299" s="3" t="n">
        <v>5.77150011062622</v>
      </c>
      <c r="BO299" s="3" t="n">
        <v>5.4969801902771</v>
      </c>
      <c r="BP299" s="3" t="n"/>
      <c r="BQ299" s="3" t="n"/>
      <c r="BR299" s="34" t="str">
        <f>B299&amp;"|"&amp;D299</f>
        <v>BRA|SE.XPD.TOTL.GD.ZS</v>
      </c>
    </row>
    <row r="300">
      <c r="A300" s="3" t="inlineStr">
        <is>
          <t>Barbados</t>
        </is>
      </c>
      <c r="B300" s="3" t="inlineStr">
        <is>
          <t>BRB</t>
        </is>
      </c>
      <c r="C300" s="3" t="inlineStr">
        <is>
          <t>Government expenditure on education, total (% of GDP)</t>
        </is>
      </c>
      <c r="D300" s="3" t="inlineStr">
        <is>
          <t>SE.XPD.TOTL.GD.ZS</t>
        </is>
      </c>
      <c r="E300" s="3" t="n">
        <v>2023</v>
      </c>
      <c r="F300" s="3" t="n"/>
      <c r="G300" s="3" t="n"/>
      <c r="H300" s="3" t="n"/>
      <c r="I300" s="3" t="n"/>
      <c r="J300" s="3" t="n"/>
      <c r="K300" s="3" t="n"/>
      <c r="L300" s="3" t="n"/>
      <c r="M300" s="3" t="n"/>
      <c r="N300" s="3" t="n"/>
      <c r="O300" s="3" t="n"/>
      <c r="P300" s="3" t="n"/>
      <c r="Q300" s="3" t="n">
        <v>6.15065002441406</v>
      </c>
      <c r="R300" s="3" t="n">
        <v>6.79071998596191</v>
      </c>
      <c r="S300" s="3" t="n">
        <v>6.72242021560669</v>
      </c>
      <c r="T300" s="3" t="n">
        <v>7.52374982833862</v>
      </c>
      <c r="U300" s="3" t="n"/>
      <c r="V300" s="3" t="n">
        <v>5.94479990005493</v>
      </c>
      <c r="W300" s="3" t="n">
        <v>6.51715993881226</v>
      </c>
      <c r="X300" s="3" t="n"/>
      <c r="Y300" s="3" t="n"/>
      <c r="Z300" s="3" t="n"/>
      <c r="AA300" s="3" t="n"/>
      <c r="AB300" s="3" t="n"/>
      <c r="AC300" s="3" t="n"/>
      <c r="AD300" s="3" t="n"/>
      <c r="AE300" s="3" t="n"/>
      <c r="AF300" s="3" t="n"/>
      <c r="AG300" s="3" t="n"/>
      <c r="AH300" s="3" t="n"/>
      <c r="AI300" s="3" t="n"/>
      <c r="AJ300" s="3" t="n"/>
      <c r="AK300" s="3" t="n">
        <v>6.63870000839233</v>
      </c>
      <c r="AL300" s="3" t="n"/>
      <c r="AM300" s="3" t="n"/>
      <c r="AN300" s="3" t="n"/>
      <c r="AO300" s="3" t="n"/>
      <c r="AP300" s="3" t="n"/>
      <c r="AQ300" s="3" t="n"/>
      <c r="AR300" s="3" t="n"/>
      <c r="AS300" s="3" t="n">
        <v>4.34123992919922</v>
      </c>
      <c r="AT300" s="3" t="n">
        <v>4.71585988998413</v>
      </c>
      <c r="AU300" s="3" t="n">
        <v>6.05536985397339</v>
      </c>
      <c r="AV300" s="3" t="n">
        <v>5.88062000274658</v>
      </c>
      <c r="AW300" s="3" t="n">
        <v>6.24569988250732</v>
      </c>
      <c r="AX300" s="3" t="n">
        <v>6.02428007125854</v>
      </c>
      <c r="AY300" s="3" t="n">
        <v>5.66965007781982</v>
      </c>
      <c r="AZ300" s="3" t="n"/>
      <c r="BA300" s="3" t="n">
        <v>5.22061014175415</v>
      </c>
      <c r="BB300" s="3" t="n">
        <v>4.92074012756348</v>
      </c>
      <c r="BC300" s="3" t="n">
        <v>5.11040019989014</v>
      </c>
      <c r="BD300" s="3" t="n">
        <v>6.05261993408203</v>
      </c>
      <c r="BE300" s="3" t="n"/>
      <c r="BF300" s="3" t="n">
        <v>5.25726985931396</v>
      </c>
      <c r="BG300" s="3" t="n">
        <v>5.13486003875732</v>
      </c>
      <c r="BH300" s="3" t="n">
        <v>6.12197017669678</v>
      </c>
      <c r="BI300" s="3" t="n">
        <v>5.17699909210205</v>
      </c>
      <c r="BJ300" s="3" t="n">
        <v>4.68382978439331</v>
      </c>
      <c r="BK300" s="3" t="n">
        <v>4.34997987747192</v>
      </c>
      <c r="BL300" s="3" t="n">
        <v>5.13313722610474</v>
      </c>
      <c r="BM300" s="3" t="n">
        <v>4.0863299369812</v>
      </c>
      <c r="BN300" s="3" t="n">
        <v>4.16860008239746</v>
      </c>
      <c r="BO300" s="3" t="n">
        <v>4.863609790802</v>
      </c>
      <c r="BP300" s="3" t="n">
        <v>4.41624021530151</v>
      </c>
      <c r="BQ300" s="3" t="n">
        <v>4.04476022720337</v>
      </c>
      <c r="BR300" s="34" t="str">
        <f>B300&amp;"|"&amp;D300</f>
        <v>BRB|SE.XPD.TOTL.GD.ZS</v>
      </c>
    </row>
    <row r="301">
      <c r="A301" s="3" t="inlineStr">
        <is>
          <t>Brunei Darussalam</t>
        </is>
      </c>
      <c r="B301" s="3" t="inlineStr">
        <is>
          <t>BRN</t>
        </is>
      </c>
      <c r="C301" s="3" t="inlineStr">
        <is>
          <t>Government expenditure on education, total (% of GDP)</t>
        </is>
      </c>
      <c r="D301" s="3" t="inlineStr">
        <is>
          <t>SE.XPD.TOTL.GD.ZS</t>
        </is>
      </c>
      <c r="E301" s="3" t="n">
        <v>2016</v>
      </c>
      <c r="F301" s="3" t="n"/>
      <c r="G301" s="3" t="n"/>
      <c r="H301" s="3" t="n"/>
      <c r="I301" s="3" t="n"/>
      <c r="J301" s="3" t="n"/>
      <c r="K301" s="3" t="n"/>
      <c r="L301" s="3" t="n"/>
      <c r="M301" s="3" t="n"/>
      <c r="N301" s="3" t="n"/>
      <c r="O301" s="3" t="n"/>
      <c r="P301" s="3" t="n">
        <v>6.23915004730225</v>
      </c>
      <c r="Q301" s="3" t="n">
        <v>4.99501991271973</v>
      </c>
      <c r="R301" s="3" t="n">
        <v>4.03928995132446</v>
      </c>
      <c r="S301" s="3" t="n">
        <v>8.793290138244631</v>
      </c>
      <c r="T301" s="3" t="n">
        <v>3.39270997047424</v>
      </c>
      <c r="U301" s="3" t="n">
        <v>1.96133995056152</v>
      </c>
      <c r="V301" s="3" t="n">
        <v>1.97008001804352</v>
      </c>
      <c r="W301" s="3" t="n"/>
      <c r="X301" s="3" t="n">
        <v>2.11423993110657</v>
      </c>
      <c r="Y301" s="3" t="n">
        <v>1.54551994800568</v>
      </c>
      <c r="Z301" s="3" t="n">
        <v>1.1910799741745</v>
      </c>
      <c r="AA301" s="3" t="n">
        <v>1.61678004264832</v>
      </c>
      <c r="AB301" s="3" t="n">
        <v>1.69714999198914</v>
      </c>
      <c r="AC301" s="3" t="n"/>
      <c r="AD301" s="3" t="n"/>
      <c r="AE301" s="3" t="n"/>
      <c r="AF301" s="3" t="n"/>
      <c r="AG301" s="3" t="n">
        <v>4.73773002624512</v>
      </c>
      <c r="AH301" s="3" t="n">
        <v>5.40902996063232</v>
      </c>
      <c r="AI301" s="3" t="n">
        <v>4.69012022018433</v>
      </c>
      <c r="AJ301" s="3" t="n">
        <v>3.95995998382568</v>
      </c>
      <c r="AK301" s="3" t="n">
        <v>3.66894006729126</v>
      </c>
      <c r="AL301" s="3" t="n">
        <v>3.74768996238708</v>
      </c>
      <c r="AM301" s="3" t="n">
        <v>4.29403018951416</v>
      </c>
      <c r="AN301" s="3" t="n"/>
      <c r="AO301" s="3" t="n"/>
      <c r="AP301" s="3" t="n"/>
      <c r="AQ301" s="3" t="n"/>
      <c r="AR301" s="3" t="n">
        <v>5.25395011901855</v>
      </c>
      <c r="AS301" s="3" t="n">
        <v>4.9320502281189</v>
      </c>
      <c r="AT301" s="3" t="n">
        <v>3.70590996742249</v>
      </c>
      <c r="AU301" s="3" t="n"/>
      <c r="AV301" s="3" t="n"/>
      <c r="AW301" s="3" t="n"/>
      <c r="AX301" s="3" t="n"/>
      <c r="AY301" s="3" t="n"/>
      <c r="AZ301" s="3" t="n"/>
      <c r="BA301" s="3" t="n"/>
      <c r="BB301" s="3" t="n"/>
      <c r="BC301" s="3" t="n"/>
      <c r="BD301" s="3" t="n">
        <v>2.04661011695862</v>
      </c>
      <c r="BE301" s="3" t="n">
        <v>3.32209992408752</v>
      </c>
      <c r="BF301" s="3" t="n">
        <v>2.88959002494812</v>
      </c>
      <c r="BG301" s="3" t="n"/>
      <c r="BH301" s="3" t="n">
        <v>3.35318994522095</v>
      </c>
      <c r="BI301" s="3" t="n"/>
      <c r="BJ301" s="3" t="n">
        <v>4.42540979385376</v>
      </c>
      <c r="BK301" s="3" t="n"/>
      <c r="BL301" s="3" t="n"/>
      <c r="BM301" s="3" t="n"/>
      <c r="BN301" s="3" t="n"/>
      <c r="BO301" s="3" t="n"/>
      <c r="BP301" s="3" t="n"/>
      <c r="BQ301" s="3" t="n"/>
      <c r="BR301" s="34" t="str">
        <f>B301&amp;"|"&amp;D301</f>
        <v>BRN|SE.XPD.TOTL.GD.ZS</v>
      </c>
    </row>
    <row r="302">
      <c r="A302" s="3" t="inlineStr">
        <is>
          <t>Bhutan</t>
        </is>
      </c>
      <c r="B302" s="3" t="inlineStr">
        <is>
          <t>BTN</t>
        </is>
      </c>
      <c r="C302" s="3" t="inlineStr">
        <is>
          <t>Government expenditure on education, total (% of GDP)</t>
        </is>
      </c>
      <c r="D302" s="3" t="inlineStr">
        <is>
          <t>SE.XPD.TOTL.GD.ZS</t>
        </is>
      </c>
      <c r="E302" s="3" t="n">
        <v>2023</v>
      </c>
      <c r="F302" s="3" t="n"/>
      <c r="G302" s="3" t="n"/>
      <c r="H302" s="3" t="n"/>
      <c r="I302" s="3" t="n"/>
      <c r="J302" s="3" t="n"/>
      <c r="K302" s="3" t="n"/>
      <c r="L302" s="3" t="n"/>
      <c r="M302" s="3" t="n"/>
      <c r="N302" s="3" t="n"/>
      <c r="O302" s="3" t="n"/>
      <c r="P302" s="3" t="n"/>
      <c r="Q302" s="3" t="n">
        <v>1.87578999996185</v>
      </c>
      <c r="R302" s="3" t="n">
        <v>1.65056002140045</v>
      </c>
      <c r="S302" s="3" t="n"/>
      <c r="T302" s="3" t="n"/>
      <c r="U302" s="3" t="n">
        <v>3.0923900604248</v>
      </c>
      <c r="V302" s="3" t="n"/>
      <c r="W302" s="3" t="n"/>
      <c r="X302" s="3" t="n">
        <v>2.5100200176239</v>
      </c>
      <c r="Y302" s="3" t="n">
        <v>3.47623991966248</v>
      </c>
      <c r="Z302" s="3" t="n"/>
      <c r="AA302" s="3" t="n"/>
      <c r="AB302" s="3" t="n"/>
      <c r="AC302" s="3" t="n"/>
      <c r="AD302" s="3" t="n"/>
      <c r="AE302" s="3" t="n"/>
      <c r="AF302" s="3" t="n"/>
      <c r="AG302" s="3" t="n"/>
      <c r="AH302" s="3" t="n"/>
      <c r="AI302" s="3" t="n"/>
      <c r="AJ302" s="3" t="n"/>
      <c r="AK302" s="3" t="n"/>
      <c r="AL302" s="3" t="n"/>
      <c r="AM302" s="3" t="n"/>
      <c r="AN302" s="3" t="n"/>
      <c r="AO302" s="3" t="n"/>
      <c r="AP302" s="3" t="n"/>
      <c r="AQ302" s="3" t="n"/>
      <c r="AR302" s="3" t="n"/>
      <c r="AS302" s="3" t="n"/>
      <c r="AT302" s="3" t="n">
        <v>5.78675985336304</v>
      </c>
      <c r="AU302" s="3" t="n">
        <v>5.44985008239746</v>
      </c>
      <c r="AV302" s="3" t="n"/>
      <c r="AW302" s="3" t="n"/>
      <c r="AX302" s="3" t="n">
        <v>6.12311983108521</v>
      </c>
      <c r="AY302" s="3" t="n">
        <v>6.76420021057129</v>
      </c>
      <c r="AZ302" s="3" t="n"/>
      <c r="BA302" s="3" t="n"/>
      <c r="BB302" s="3" t="n">
        <v>4.56950998306274</v>
      </c>
      <c r="BC302" s="3" t="n">
        <v>4.41887998580933</v>
      </c>
      <c r="BD302" s="3" t="n">
        <v>3.82318997383118</v>
      </c>
      <c r="BE302" s="3" t="n">
        <v>4.40793991088867</v>
      </c>
      <c r="BF302" s="3" t="n"/>
      <c r="BG302" s="3" t="n">
        <v>5.25527000427246</v>
      </c>
      <c r="BH302" s="3" t="n">
        <v>5.54899978637695</v>
      </c>
      <c r="BI302" s="3" t="n">
        <v>5.78269910812378</v>
      </c>
      <c r="BJ302" s="3" t="n">
        <v>5.89159393310547</v>
      </c>
      <c r="BK302" s="3" t="n">
        <v>6.22741651535034</v>
      </c>
      <c r="BL302" s="3" t="n">
        <v>5.74371290206909</v>
      </c>
      <c r="BM302" s="3" t="n">
        <v>4.50982761383057</v>
      </c>
      <c r="BN302" s="3" t="n">
        <v>5.54341268539429</v>
      </c>
      <c r="BO302" s="3" t="n">
        <v>6.59838628768921</v>
      </c>
      <c r="BP302" s="3" t="n">
        <v>7.46982002258301</v>
      </c>
      <c r="BQ302" s="3" t="n">
        <v>5.84518575668335</v>
      </c>
      <c r="BR302" s="34" t="str">
        <f>B302&amp;"|"&amp;D302</f>
        <v>BTN|SE.XPD.TOTL.GD.ZS</v>
      </c>
    </row>
    <row r="303">
      <c r="A303" s="3" t="inlineStr">
        <is>
          <t>Botswana</t>
        </is>
      </c>
      <c r="B303" s="3" t="inlineStr">
        <is>
          <t>BWA</t>
        </is>
      </c>
      <c r="C303" s="3" t="inlineStr">
        <is>
          <t>Government expenditure on education, total (% of GDP)</t>
        </is>
      </c>
      <c r="D303" s="3" t="inlineStr">
        <is>
          <t>SE.XPD.TOTL.GD.ZS</t>
        </is>
      </c>
      <c r="E303" s="3" t="n">
        <v>2020</v>
      </c>
      <c r="F303" s="3" t="n"/>
      <c r="G303" s="3" t="n"/>
      <c r="H303" s="3" t="n"/>
      <c r="I303" s="3" t="n"/>
      <c r="J303" s="3" t="n"/>
      <c r="K303" s="3" t="n"/>
      <c r="L303" s="3" t="n"/>
      <c r="M303" s="3" t="n"/>
      <c r="N303" s="3" t="n"/>
      <c r="O303" s="3" t="n"/>
      <c r="P303" s="3" t="n"/>
      <c r="Q303" s="3" t="n">
        <v>4.38723993301392</v>
      </c>
      <c r="R303" s="3" t="n">
        <v>3.90638995170593</v>
      </c>
      <c r="S303" s="3" t="n">
        <v>3.2627899646759</v>
      </c>
      <c r="T303" s="3" t="n">
        <v>3.67424011230469</v>
      </c>
      <c r="U303" s="3" t="n">
        <v>5.64942979812622</v>
      </c>
      <c r="V303" s="3" t="n">
        <v>6.06396007537842</v>
      </c>
      <c r="W303" s="3" t="n">
        <v>5.40031003952026</v>
      </c>
      <c r="X303" s="3" t="n">
        <v>5.95213985443115</v>
      </c>
      <c r="Y303" s="3" t="n">
        <v>6.14172983169556</v>
      </c>
      <c r="Z303" s="3" t="n">
        <v>5.46931982040405</v>
      </c>
      <c r="AA303" s="3" t="n"/>
      <c r="AB303" s="3" t="n"/>
      <c r="AC303" s="3" t="n">
        <v>5.55226993560791</v>
      </c>
      <c r="AD303" s="3" t="n">
        <v>5.55166006088257</v>
      </c>
      <c r="AE303" s="3" t="n">
        <v>5.65072011947632</v>
      </c>
      <c r="AF303" s="3" t="n">
        <v>5.18592977523804</v>
      </c>
      <c r="AG303" s="3" t="n">
        <v>6.11773014068604</v>
      </c>
      <c r="AH303" s="3" t="n">
        <v>6.15111017227173</v>
      </c>
      <c r="AI303" s="3" t="n"/>
      <c r="AJ303" s="3" t="n">
        <v>5.73963022232056</v>
      </c>
      <c r="AK303" s="3" t="n"/>
      <c r="AL303" s="3" t="n">
        <v>6.84061002731323</v>
      </c>
      <c r="AM303" s="3" t="n"/>
      <c r="AN303" s="3" t="n"/>
      <c r="AO303" s="3" t="n"/>
      <c r="AP303" s="3" t="n"/>
      <c r="AQ303" s="3" t="n"/>
      <c r="AR303" s="3" t="n"/>
      <c r="AS303" s="3" t="n"/>
      <c r="AT303" s="3" t="n"/>
      <c r="AU303" s="3" t="n"/>
      <c r="AV303" s="3" t="n"/>
      <c r="AW303" s="3" t="n"/>
      <c r="AX303" s="3" t="n"/>
      <c r="AY303" s="3" t="n">
        <v>10.6785898208618</v>
      </c>
      <c r="AZ303" s="3" t="n"/>
      <c r="BA303" s="3" t="n">
        <v>9.046669960021971</v>
      </c>
      <c r="BB303" s="3" t="n"/>
      <c r="BC303" s="3" t="n">
        <v>9.825300216674799</v>
      </c>
      <c r="BD303" s="3" t="n"/>
      <c r="BE303" s="3" t="n">
        <v>10.8265533447266</v>
      </c>
      <c r="BF303" s="3" t="n">
        <v>8.109872817993161</v>
      </c>
      <c r="BG303" s="3" t="n">
        <v>8.0172061920166</v>
      </c>
      <c r="BH303" s="3" t="n">
        <v>7.88874197006226</v>
      </c>
      <c r="BI303" s="3" t="n">
        <v>8.39457988739014</v>
      </c>
      <c r="BJ303" s="3" t="n">
        <v>8.735893249511721</v>
      </c>
      <c r="BK303" s="3" t="n">
        <v>7.80924463272095</v>
      </c>
      <c r="BL303" s="3" t="n">
        <v>7.90538597106934</v>
      </c>
      <c r="BM303" s="3" t="n">
        <v>8.398996353149411</v>
      </c>
      <c r="BN303" s="3" t="n">
        <v>8.05833625793457</v>
      </c>
      <c r="BO303" s="3" t="n"/>
      <c r="BP303" s="3" t="n"/>
      <c r="BQ303" s="3" t="n"/>
      <c r="BR303" s="34" t="str">
        <f>B303&amp;"|"&amp;D303</f>
        <v>BWA|SE.XPD.TOTL.GD.ZS</v>
      </c>
    </row>
    <row r="304">
      <c r="A304" s="3" t="inlineStr">
        <is>
          <t>Central African Republic</t>
        </is>
      </c>
      <c r="B304" s="3" t="inlineStr">
        <is>
          <t>CAF</t>
        </is>
      </c>
      <c r="C304" s="3" t="inlineStr">
        <is>
          <t>Government expenditure on education, total (% of GDP)</t>
        </is>
      </c>
      <c r="D304" s="3" t="inlineStr">
        <is>
          <t>SE.XPD.TOTL.GD.ZS</t>
        </is>
      </c>
      <c r="E304" s="3" t="n">
        <v>2022</v>
      </c>
      <c r="F304" s="3" t="n"/>
      <c r="G304" s="3" t="n"/>
      <c r="H304" s="3" t="n"/>
      <c r="I304" s="3" t="n"/>
      <c r="J304" s="3" t="n"/>
      <c r="K304" s="3" t="n"/>
      <c r="L304" s="3" t="n"/>
      <c r="M304" s="3" t="n"/>
      <c r="N304" s="3" t="n"/>
      <c r="O304" s="3" t="n"/>
      <c r="P304" s="3" t="n"/>
      <c r="Q304" s="3" t="n"/>
      <c r="R304" s="3" t="n"/>
      <c r="S304" s="3" t="n"/>
      <c r="T304" s="3" t="n"/>
      <c r="U304" s="3" t="n"/>
      <c r="V304" s="3" t="n"/>
      <c r="W304" s="3" t="n"/>
      <c r="X304" s="3" t="n">
        <v>3.17053008079529</v>
      </c>
      <c r="Y304" s="3" t="n"/>
      <c r="Z304" s="3" t="n"/>
      <c r="AA304" s="3" t="n"/>
      <c r="AB304" s="3" t="n"/>
      <c r="AC304" s="3" t="n"/>
      <c r="AD304" s="3" t="n"/>
      <c r="AE304" s="3" t="n"/>
      <c r="AF304" s="3" t="n">
        <v>2.20775008201599</v>
      </c>
      <c r="AG304" s="3" t="n">
        <v>2.54804992675781</v>
      </c>
      <c r="AH304" s="3" t="n"/>
      <c r="AI304" s="3" t="n"/>
      <c r="AJ304" s="3" t="n">
        <v>2.2441999912262</v>
      </c>
      <c r="AK304" s="3" t="n">
        <v>2.27630996704102</v>
      </c>
      <c r="AL304" s="3" t="n"/>
      <c r="AM304" s="3" t="n"/>
      <c r="AN304" s="3" t="n"/>
      <c r="AO304" s="3" t="n"/>
      <c r="AP304" s="3" t="n"/>
      <c r="AQ304" s="3" t="n"/>
      <c r="AR304" s="3" t="n"/>
      <c r="AS304" s="3" t="n">
        <v>1.69001996517181</v>
      </c>
      <c r="AT304" s="3" t="n">
        <v>1.61265003681183</v>
      </c>
      <c r="AU304" s="3" t="n"/>
      <c r="AV304" s="3" t="n">
        <v>1.5195699930191</v>
      </c>
      <c r="AW304" s="3" t="n">
        <v>1.53980004787445</v>
      </c>
      <c r="AX304" s="3" t="n">
        <v>1.6245299577713</v>
      </c>
      <c r="AY304" s="3" t="n">
        <v>1.65222001075745</v>
      </c>
      <c r="AZ304" s="3" t="n">
        <v>1.41506004333496</v>
      </c>
      <c r="BA304" s="3" t="n">
        <v>1.31332004070282</v>
      </c>
      <c r="BB304" s="3" t="n">
        <v>1.29000997543335</v>
      </c>
      <c r="BC304" s="3" t="n">
        <v>1.25458002090454</v>
      </c>
      <c r="BD304" s="3" t="n">
        <v>1.11760997772217</v>
      </c>
      <c r="BE304" s="3" t="n">
        <v>1.10792005062103</v>
      </c>
      <c r="BF304" s="3" t="n">
        <v>1.98034727573395</v>
      </c>
      <c r="BG304" s="3" t="n">
        <v>2.6382143497467</v>
      </c>
      <c r="BH304" s="3" t="n">
        <v>2.22015333175659</v>
      </c>
      <c r="BI304" s="3" t="n">
        <v>1.91022861003876</v>
      </c>
      <c r="BJ304" s="3" t="n">
        <v>1.75408899784088</v>
      </c>
      <c r="BK304" s="3" t="n">
        <v>1.75365018844604</v>
      </c>
      <c r="BL304" s="3" t="n">
        <v>1.56587600708008</v>
      </c>
      <c r="BM304" s="3" t="n">
        <v>1.76792073249817</v>
      </c>
      <c r="BN304" s="3" t="n">
        <v>2.14468050003052</v>
      </c>
      <c r="BO304" s="3" t="n">
        <v>1.87251687049866</v>
      </c>
      <c r="BP304" s="3" t="n">
        <v>2.11509132385254</v>
      </c>
      <c r="BQ304" s="3" t="n"/>
      <c r="BR304" s="34" t="str">
        <f>B304&amp;"|"&amp;D304</f>
        <v>CAF|SE.XPD.TOTL.GD.ZS</v>
      </c>
    </row>
    <row r="305">
      <c r="A305" s="3" t="inlineStr">
        <is>
          <t>Canada</t>
        </is>
      </c>
      <c r="B305" s="3" t="inlineStr">
        <is>
          <t>CAN</t>
        </is>
      </c>
      <c r="C305" s="3" t="inlineStr">
        <is>
          <t>Government expenditure on education, total (% of GDP)</t>
        </is>
      </c>
      <c r="D305" s="3" t="inlineStr">
        <is>
          <t>SE.XPD.TOTL.GD.ZS</t>
        </is>
      </c>
      <c r="E305" s="3" t="n">
        <v>2022</v>
      </c>
      <c r="F305" s="3" t="n"/>
      <c r="G305" s="3" t="n"/>
      <c r="H305" s="3" t="n"/>
      <c r="I305" s="3" t="n"/>
      <c r="J305" s="3" t="n"/>
      <c r="K305" s="3" t="n"/>
      <c r="L305" s="3" t="n"/>
      <c r="M305" s="3" t="n"/>
      <c r="N305" s="3" t="n"/>
      <c r="O305" s="3" t="n"/>
      <c r="P305" s="3" t="n"/>
      <c r="Q305" s="3" t="n">
        <v>7.6842999458313</v>
      </c>
      <c r="R305" s="3" t="n">
        <v>7.58983993530273</v>
      </c>
      <c r="S305" s="3" t="n">
        <v>7.01386976242065</v>
      </c>
      <c r="T305" s="3" t="n">
        <v>6.66716003417969</v>
      </c>
      <c r="U305" s="3" t="n">
        <v>6.42131996154785</v>
      </c>
      <c r="V305" s="3" t="n">
        <v>6.69842004776001</v>
      </c>
      <c r="W305" s="3" t="n">
        <v>6.71091985702515</v>
      </c>
      <c r="X305" s="3" t="n">
        <v>7.07383012771606</v>
      </c>
      <c r="Y305" s="3" t="n">
        <v>6.69220018386841</v>
      </c>
      <c r="Z305" s="3" t="n">
        <v>6.46289014816284</v>
      </c>
      <c r="AA305" s="3" t="n">
        <v>6.409019947052</v>
      </c>
      <c r="AB305" s="3" t="n">
        <v>6.49725008010864</v>
      </c>
      <c r="AC305" s="3" t="n">
        <v>6.85547018051147</v>
      </c>
      <c r="AD305" s="3" t="n">
        <v>6.61841011047363</v>
      </c>
      <c r="AE305" s="3" t="n">
        <v>6.18943023681641</v>
      </c>
      <c r="AF305" s="3" t="n">
        <v>6.02058982849121</v>
      </c>
      <c r="AG305" s="3" t="n">
        <v>6.29827976226807</v>
      </c>
      <c r="AH305" s="3" t="n">
        <v>6.15022993087769</v>
      </c>
      <c r="AI305" s="3" t="n">
        <v>6.07406997680664</v>
      </c>
      <c r="AJ305" s="3" t="n">
        <v>5.96922016143799</v>
      </c>
      <c r="AK305" s="3" t="n">
        <v>6.85951995849609</v>
      </c>
      <c r="AL305" s="3" t="n">
        <v>6.74663019180298</v>
      </c>
      <c r="AM305" s="3" t="n">
        <v>7.67834997177124</v>
      </c>
      <c r="AN305" s="3" t="n">
        <v>6.65829992294312</v>
      </c>
      <c r="AO305" s="3" t="n">
        <v>6.30476999282837</v>
      </c>
      <c r="AP305" s="3" t="n"/>
      <c r="AQ305" s="3" t="n"/>
      <c r="AR305" s="3" t="n">
        <v>5.49377012252808</v>
      </c>
      <c r="AS305" s="3" t="n">
        <v>5.53079986572266</v>
      </c>
      <c r="AT305" s="3" t="n">
        <v>5.42331981658936</v>
      </c>
      <c r="AU305" s="3" t="n">
        <v>4.95303010940552</v>
      </c>
      <c r="AV305" s="3" t="n">
        <v>4.99308013916016</v>
      </c>
      <c r="AW305" s="3" t="n"/>
      <c r="AX305" s="3" t="n"/>
      <c r="AY305" s="3" t="n">
        <v>4.76588010787964</v>
      </c>
      <c r="AZ305" s="3" t="n"/>
      <c r="BA305" s="3" t="n">
        <v>4.7664098739624</v>
      </c>
      <c r="BB305" s="3" t="n">
        <v>4.62612009048462</v>
      </c>
      <c r="BC305" s="3" t="n">
        <v>4.84057998657227</v>
      </c>
      <c r="BD305" s="3" t="n">
        <v>5.356369972229</v>
      </c>
      <c r="BE305" s="3" t="n">
        <v>5.26205015182495</v>
      </c>
      <c r="BF305" s="3" t="n">
        <v>4.69258737564087</v>
      </c>
      <c r="BG305" s="3" t="n">
        <v>4.5890097618103</v>
      </c>
      <c r="BH305" s="3" t="n">
        <v>4.84358978271484</v>
      </c>
      <c r="BI305" s="3" t="n">
        <v>4.7393798828125</v>
      </c>
      <c r="BJ305" s="3" t="n">
        <v>4.81642007827759</v>
      </c>
      <c r="BK305" s="3" t="n">
        <v>4.95996999740601</v>
      </c>
      <c r="BL305" s="3" t="n">
        <v>4.8889799118042</v>
      </c>
      <c r="BM305" s="3" t="n">
        <v>4.77293014526367</v>
      </c>
      <c r="BN305" s="3" t="n">
        <v>4.88794994354248</v>
      </c>
      <c r="BO305" s="3" t="n">
        <v>4.74860000610352</v>
      </c>
      <c r="BP305" s="3" t="n">
        <v>4.13957166671753</v>
      </c>
      <c r="BQ305" s="3" t="n"/>
      <c r="BR305" s="34" t="str">
        <f>B305&amp;"|"&amp;D305</f>
        <v>CAN|SE.XPD.TOTL.GD.ZS</v>
      </c>
    </row>
    <row r="306">
      <c r="A306" s="3" t="inlineStr">
        <is>
          <t>Central Europe and the Baltics</t>
        </is>
      </c>
      <c r="B306" s="3" t="inlineStr">
        <is>
          <t>CEB</t>
        </is>
      </c>
      <c r="C306" s="3" t="inlineStr">
        <is>
          <t>Government expenditure on education, total (% of GDP)</t>
        </is>
      </c>
      <c r="D306" s="3" t="inlineStr">
        <is>
          <t>SE.XPD.TOTL.GD.ZS</t>
        </is>
      </c>
      <c r="E306" s="3" t="n">
        <v>2021</v>
      </c>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c r="AD306" s="3" t="n"/>
      <c r="AE306" s="3" t="n"/>
      <c r="AF306" s="3" t="n"/>
      <c r="AG306" s="3" t="n"/>
      <c r="AH306" s="3" t="n"/>
      <c r="AI306" s="3" t="n"/>
      <c r="AJ306" s="3" t="n"/>
      <c r="AK306" s="3" t="n"/>
      <c r="AL306" s="3" t="n">
        <v>4.99253487586975</v>
      </c>
      <c r="AM306" s="3" t="n">
        <v>4.700045108795165</v>
      </c>
      <c r="AN306" s="3" t="n">
        <v>4.70306015014648</v>
      </c>
      <c r="AO306" s="3" t="n">
        <v>4.64233493804932</v>
      </c>
      <c r="AP306" s="3" t="n">
        <v>4.33475017547607</v>
      </c>
      <c r="AQ306" s="3" t="n"/>
      <c r="AR306" s="3" t="n">
        <v>4.94200992584229</v>
      </c>
      <c r="AS306" s="3" t="n">
        <v>4.57943487167358</v>
      </c>
      <c r="AT306" s="3" t="n">
        <v>4.9839301109314</v>
      </c>
      <c r="AU306" s="3" t="n">
        <v>5.22845983505249</v>
      </c>
      <c r="AV306" s="3" t="n">
        <v>5.17923021316528</v>
      </c>
      <c r="AW306" s="3" t="n">
        <v>5.05714988708496</v>
      </c>
      <c r="AX306" s="3" t="n">
        <v>4.83406019210815</v>
      </c>
      <c r="AY306" s="3" t="n">
        <v>4.87839984893799</v>
      </c>
      <c r="AZ306" s="3" t="n">
        <v>4.82572984695435</v>
      </c>
      <c r="BA306" s="3" t="n">
        <v>4.59521007537842</v>
      </c>
      <c r="BB306" s="3" t="n">
        <v>4.83990001678467</v>
      </c>
      <c r="BC306" s="3" t="n">
        <v>4.94636011123657</v>
      </c>
      <c r="BD306" s="3" t="n">
        <v>4.72375011444092</v>
      </c>
      <c r="BE306" s="3" t="n">
        <v>4.5631799697876</v>
      </c>
      <c r="BF306" s="3" t="n">
        <v>4.71772003173828</v>
      </c>
      <c r="BG306" s="3" t="n">
        <v>4.52116012573242</v>
      </c>
      <c r="BH306" s="3" t="n">
        <v>4.48657989501953</v>
      </c>
      <c r="BI306" s="3" t="n">
        <v>4.81700992584229</v>
      </c>
      <c r="BJ306" s="3" t="n">
        <v>4.65749979019165</v>
      </c>
      <c r="BK306" s="3" t="n">
        <v>4.07755994796753</v>
      </c>
      <c r="BL306" s="3" t="n">
        <v>4.24356985092163</v>
      </c>
      <c r="BM306" s="3" t="n">
        <v>4.27311992645264</v>
      </c>
      <c r="BN306" s="3" t="n">
        <v>4.72159004211426</v>
      </c>
      <c r="BO306" s="3" t="n">
        <v>4.68406009674072</v>
      </c>
      <c r="BP306" s="3" t="n"/>
      <c r="BQ306" s="3" t="n"/>
      <c r="BR306" s="34" t="str">
        <f>B306&amp;"|"&amp;D306</f>
        <v>CEB|SE.XPD.TOTL.GD.ZS</v>
      </c>
    </row>
    <row r="307">
      <c r="A307" s="3" t="inlineStr">
        <is>
          <t>Switzerland</t>
        </is>
      </c>
      <c r="B307" s="3" t="inlineStr">
        <is>
          <t>CHE</t>
        </is>
      </c>
      <c r="C307" s="3" t="inlineStr">
        <is>
          <t>Government expenditure on education, total (% of GDP)</t>
        </is>
      </c>
      <c r="D307" s="3" t="inlineStr">
        <is>
          <t>SE.XPD.TOTL.GD.ZS</t>
        </is>
      </c>
      <c r="E307" s="3" t="n">
        <v>2022</v>
      </c>
      <c r="F307" s="3" t="n"/>
      <c r="G307" s="3" t="n"/>
      <c r="H307" s="3" t="n"/>
      <c r="I307" s="3" t="n"/>
      <c r="J307" s="3" t="n"/>
      <c r="K307" s="3" t="n"/>
      <c r="L307" s="3" t="n"/>
      <c r="M307" s="3" t="n"/>
      <c r="N307" s="3" t="n"/>
      <c r="O307" s="3" t="n"/>
      <c r="P307" s="3" t="n">
        <v>3.39252996444702</v>
      </c>
      <c r="Q307" s="3" t="n">
        <v>3.49644994735718</v>
      </c>
      <c r="R307" s="3" t="n">
        <v>3.65762996673584</v>
      </c>
      <c r="S307" s="3" t="n">
        <v>3.91472005844116</v>
      </c>
      <c r="T307" s="3" t="n">
        <v>4.11416006088257</v>
      </c>
      <c r="U307" s="3" t="n">
        <v>4.37446022033691</v>
      </c>
      <c r="V307" s="3" t="n">
        <v>4.47360992431641</v>
      </c>
      <c r="W307" s="3" t="n">
        <v>4.4963698387146</v>
      </c>
      <c r="X307" s="3" t="n">
        <v>4.37052011489868</v>
      </c>
      <c r="Y307" s="3" t="n">
        <v>4.34770011901855</v>
      </c>
      <c r="Z307" s="3" t="n">
        <v>4.23401021957397</v>
      </c>
      <c r="AA307" s="3" t="n">
        <v>4.1969199180603</v>
      </c>
      <c r="AB307" s="3" t="n">
        <v>4.26316976547241</v>
      </c>
      <c r="AC307" s="3" t="n">
        <v>4.36717987060547</v>
      </c>
      <c r="AD307" s="3" t="n">
        <v>4.22711992263794</v>
      </c>
      <c r="AE307" s="3" t="n">
        <v>4.1746301651001</v>
      </c>
      <c r="AF307" s="3" t="n">
        <v>4.21008014678955</v>
      </c>
      <c r="AG307" s="3" t="n">
        <v>4.16635990142822</v>
      </c>
      <c r="AH307" s="3" t="n">
        <v>4.23081016540527</v>
      </c>
      <c r="AI307" s="3" t="n">
        <v>4.14315986633301</v>
      </c>
      <c r="AJ307" s="3" t="n">
        <v>4.39194011688232</v>
      </c>
      <c r="AK307" s="3" t="n">
        <v>4.5450701713562</v>
      </c>
      <c r="AL307" s="3" t="n"/>
      <c r="AM307" s="3" t="n">
        <v>4.94459009170532</v>
      </c>
      <c r="AN307" s="3" t="n">
        <v>4.90888977050781</v>
      </c>
      <c r="AO307" s="3" t="n">
        <v>4.9128999710083</v>
      </c>
      <c r="AP307" s="3" t="n">
        <v>4.92260980606079</v>
      </c>
      <c r="AQ307" s="3" t="n"/>
      <c r="AR307" s="3" t="n">
        <v>4.75152015686035</v>
      </c>
      <c r="AS307" s="3" t="n">
        <v>4.75953006744385</v>
      </c>
      <c r="AT307" s="3" t="n">
        <v>4.65878009796143</v>
      </c>
      <c r="AU307" s="3" t="n">
        <v>4.82218980789185</v>
      </c>
      <c r="AV307" s="3" t="n">
        <v>5.17881011962891</v>
      </c>
      <c r="AW307" s="3" t="n">
        <v>5.38400983810425</v>
      </c>
      <c r="AX307" s="3" t="n">
        <v>5.31429004669189</v>
      </c>
      <c r="AY307" s="3" t="n">
        <v>5.08472013473511</v>
      </c>
      <c r="AZ307" s="3" t="n">
        <v>4.84120988845825</v>
      </c>
      <c r="BA307" s="3" t="n">
        <v>4.58395004272461</v>
      </c>
      <c r="BB307" s="3" t="n">
        <v>4.75725984573364</v>
      </c>
      <c r="BC307" s="3" t="n">
        <v>4.92561006546021</v>
      </c>
      <c r="BD307" s="3" t="n">
        <v>4.80210018157959</v>
      </c>
      <c r="BE307" s="3" t="n">
        <v>4.85663986206055</v>
      </c>
      <c r="BF307" s="3" t="n">
        <v>4.89862012863159</v>
      </c>
      <c r="BG307" s="3" t="n">
        <v>4.91392993927002</v>
      </c>
      <c r="BH307" s="3" t="n">
        <v>4.93057012557983</v>
      </c>
      <c r="BI307" s="3" t="n">
        <v>4.99559020996094</v>
      </c>
      <c r="BJ307" s="3" t="n">
        <v>4.98163986206055</v>
      </c>
      <c r="BK307" s="3" t="n">
        <v>5.01765012741089</v>
      </c>
      <c r="BL307" s="3" t="n">
        <v>4.93008995056152</v>
      </c>
      <c r="BM307" s="3" t="n">
        <v>5.01438999176025</v>
      </c>
      <c r="BN307" s="3" t="n">
        <v>5.27676010131836</v>
      </c>
      <c r="BO307" s="3" t="n">
        <v>5.03708982467651</v>
      </c>
      <c r="BP307" s="3" t="n">
        <v>4.88824462890625</v>
      </c>
      <c r="BQ307" s="3" t="n"/>
      <c r="BR307" s="34" t="str">
        <f>B307&amp;"|"&amp;D307</f>
        <v>CHE|SE.XPD.TOTL.GD.ZS</v>
      </c>
    </row>
    <row r="308">
      <c r="A308" s="3" t="inlineStr">
        <is>
          <t>Channel Islands</t>
        </is>
      </c>
      <c r="B308" s="3" t="inlineStr">
        <is>
          <t>CHI</t>
        </is>
      </c>
      <c r="C308" s="3" t="inlineStr">
        <is>
          <t>Government expenditure on education, total (% of GDP)</t>
        </is>
      </c>
      <c r="D308" s="3" t="inlineStr">
        <is>
          <t>SE.XPD.TOTL.GD.ZS</t>
        </is>
      </c>
      <c r="E308" s="3" t="inlineStr">
        <is>
          <t>0x2a</t>
        </is>
      </c>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c r="AD308" s="3" t="n"/>
      <c r="AE308" s="3" t="n"/>
      <c r="AF308" s="3" t="n"/>
      <c r="AG308" s="3" t="n"/>
      <c r="AH308" s="3" t="n"/>
      <c r="AI308" s="3" t="n"/>
      <c r="AJ308" s="3" t="n"/>
      <c r="AK308" s="3" t="n"/>
      <c r="AL308" s="3" t="n"/>
      <c r="AM308" s="3" t="n"/>
      <c r="AN308" s="3" t="n"/>
      <c r="AO308" s="3" t="n"/>
      <c r="AP308" s="3" t="n"/>
      <c r="AQ308" s="3" t="n"/>
      <c r="AR308" s="3" t="n"/>
      <c r="AS308" s="3" t="n"/>
      <c r="AT308" s="3" t="n"/>
      <c r="AU308" s="3" t="n"/>
      <c r="AV308" s="3" t="n"/>
      <c r="AW308" s="3" t="n"/>
      <c r="AX308" s="3" t="n"/>
      <c r="AY308" s="3" t="n"/>
      <c r="AZ308" s="3" t="n"/>
      <c r="BA308" s="3" t="n"/>
      <c r="BB308" s="3" t="n"/>
      <c r="BC308" s="3" t="n"/>
      <c r="BD308" s="3" t="n"/>
      <c r="BE308" s="3" t="n"/>
      <c r="BF308" s="3" t="n"/>
      <c r="BG308" s="3" t="n"/>
      <c r="BH308" s="3" t="n"/>
      <c r="BI308" s="3" t="n"/>
      <c r="BJ308" s="3" t="n"/>
      <c r="BK308" s="3" t="n"/>
      <c r="BL308" s="3" t="n"/>
      <c r="BM308" s="3" t="n"/>
      <c r="BN308" s="3" t="n"/>
      <c r="BO308" s="3" t="n"/>
      <c r="BP308" s="3" t="n"/>
      <c r="BQ308" s="3" t="n"/>
      <c r="BR308" s="34" t="str">
        <f>B308&amp;"|"&amp;D308</f>
        <v>CHI|SE.XPD.TOTL.GD.ZS</v>
      </c>
    </row>
    <row r="309">
      <c r="A309" s="3" t="inlineStr">
        <is>
          <t>Chile</t>
        </is>
      </c>
      <c r="B309" s="3" t="inlineStr">
        <is>
          <t>CHL</t>
        </is>
      </c>
      <c r="C309" s="3" t="inlineStr">
        <is>
          <t>Government expenditure on education, total (% of GDP)</t>
        </is>
      </c>
      <c r="D309" s="3" t="inlineStr">
        <is>
          <t>SE.XPD.TOTL.GD.ZS</t>
        </is>
      </c>
      <c r="E309" s="3" t="n">
        <v>2021</v>
      </c>
      <c r="F309" s="3" t="n"/>
      <c r="G309" s="3" t="n"/>
      <c r="H309" s="3" t="n"/>
      <c r="I309" s="3" t="n"/>
      <c r="J309" s="3" t="n"/>
      <c r="K309" s="3" t="n"/>
      <c r="L309" s="3" t="n"/>
      <c r="M309" s="3" t="n"/>
      <c r="N309" s="3" t="n"/>
      <c r="O309" s="3" t="n"/>
      <c r="P309" s="3" t="n"/>
      <c r="Q309" s="3" t="n"/>
      <c r="R309" s="3" t="n"/>
      <c r="S309" s="3" t="n"/>
      <c r="T309" s="3" t="n">
        <v>3.75120997428894</v>
      </c>
      <c r="U309" s="3" t="n">
        <v>3.59472990036011</v>
      </c>
      <c r="V309" s="3" t="n"/>
      <c r="W309" s="3" t="n"/>
      <c r="X309" s="3" t="n">
        <v>3.07045006752014</v>
      </c>
      <c r="Y309" s="3" t="n">
        <v>3.48236989974976</v>
      </c>
      <c r="Z309" s="3" t="n">
        <v>4.21999979019165</v>
      </c>
      <c r="AA309" s="3" t="n">
        <v>4.91429996490479</v>
      </c>
      <c r="AB309" s="3" t="n"/>
      <c r="AC309" s="3" t="n"/>
      <c r="AD309" s="3" t="n"/>
      <c r="AE309" s="3" t="n"/>
      <c r="AF309" s="3" t="n"/>
      <c r="AG309" s="3" t="n">
        <v>2.8232901096344</v>
      </c>
      <c r="AH309" s="3" t="n"/>
      <c r="AI309" s="3" t="n"/>
      <c r="AJ309" s="3" t="n">
        <v>2.25015997886658</v>
      </c>
      <c r="AK309" s="3" t="n"/>
      <c r="AL309" s="3" t="n"/>
      <c r="AM309" s="3" t="n">
        <v>2.38371992111206</v>
      </c>
      <c r="AN309" s="3" t="n">
        <v>2.51182007789612</v>
      </c>
      <c r="AO309" s="3" t="n">
        <v>2.56469988822937</v>
      </c>
      <c r="AP309" s="3" t="n">
        <v>2.77720999717712</v>
      </c>
      <c r="AQ309" s="3" t="n">
        <v>2.98516988754272</v>
      </c>
      <c r="AR309" s="3" t="n">
        <v>3.32312989234924</v>
      </c>
      <c r="AS309" s="3" t="n">
        <v>3.7083899974823</v>
      </c>
      <c r="AT309" s="3" t="n">
        <v>3.75707006454468</v>
      </c>
      <c r="AU309" s="3" t="n"/>
      <c r="AV309" s="3" t="n">
        <v>4.04881000518799</v>
      </c>
      <c r="AW309" s="3" t="n">
        <v>3.91868996620178</v>
      </c>
      <c r="AX309" s="3" t="n">
        <v>3.54307007789612</v>
      </c>
      <c r="AY309" s="3" t="n">
        <v>3.28016996383667</v>
      </c>
      <c r="AZ309" s="3" t="n">
        <v>3.04014992713928</v>
      </c>
      <c r="BA309" s="3" t="n">
        <v>3.2331600189209</v>
      </c>
      <c r="BB309" s="3" t="n">
        <v>3.79189991950989</v>
      </c>
      <c r="BC309" s="3" t="n">
        <v>4.25475978851318</v>
      </c>
      <c r="BD309" s="3" t="n">
        <v>4.18953990936279</v>
      </c>
      <c r="BE309" s="3" t="n">
        <v>4.0617299079895</v>
      </c>
      <c r="BF309" s="3" t="n"/>
      <c r="BG309" s="3" t="n">
        <v>4.54814004898071</v>
      </c>
      <c r="BH309" s="3" t="n">
        <v>4.75167989730835</v>
      </c>
      <c r="BI309" s="3" t="n">
        <v>4.90390014648438</v>
      </c>
      <c r="BJ309" s="3" t="n">
        <v>5.3664698600769</v>
      </c>
      <c r="BK309" s="3" t="n">
        <v>5.43278980255127</v>
      </c>
      <c r="BL309" s="3" t="n">
        <v>5.473060131073</v>
      </c>
      <c r="BM309" s="3" t="n">
        <v>5.62630987167358</v>
      </c>
      <c r="BN309" s="3" t="n">
        <v>5.62993001937866</v>
      </c>
      <c r="BO309" s="3" t="n">
        <v>4.99923992156982</v>
      </c>
      <c r="BP309" s="3" t="n"/>
      <c r="BQ309" s="3" t="n"/>
      <c r="BR309" s="34" t="str">
        <f>B309&amp;"|"&amp;D309</f>
        <v>CHL|SE.XPD.TOTL.GD.ZS</v>
      </c>
    </row>
    <row r="310">
      <c r="A310" s="3" t="inlineStr">
        <is>
          <t>China</t>
        </is>
      </c>
      <c r="B310" s="3" t="inlineStr">
        <is>
          <t>CHN</t>
        </is>
      </c>
      <c r="C310" s="3" t="inlineStr">
        <is>
          <t>Government expenditure on education, total (% of GDP)</t>
        </is>
      </c>
      <c r="D310" s="3" t="inlineStr">
        <is>
          <t>SE.XPD.TOTL.GD.ZS</t>
        </is>
      </c>
      <c r="E310" s="3" t="n">
        <v>2022</v>
      </c>
      <c r="F310" s="3" t="n"/>
      <c r="G310" s="3" t="n"/>
      <c r="H310" s="3" t="n"/>
      <c r="I310" s="3" t="n"/>
      <c r="J310" s="3" t="n"/>
      <c r="K310" s="3" t="n"/>
      <c r="L310" s="3" t="n"/>
      <c r="M310" s="3" t="n"/>
      <c r="N310" s="3" t="n"/>
      <c r="O310" s="3" t="n"/>
      <c r="P310" s="3" t="n"/>
      <c r="Q310" s="3" t="n">
        <v>1.38873994350433</v>
      </c>
      <c r="R310" s="3" t="n">
        <v>1.60476005077362</v>
      </c>
      <c r="S310" s="3" t="n">
        <v>1.65082001686096</v>
      </c>
      <c r="T310" s="3" t="n">
        <v>1.76115000247955</v>
      </c>
      <c r="U310" s="3" t="n">
        <v>1.70850002765656</v>
      </c>
      <c r="V310" s="3" t="n">
        <v>1.81657004356384</v>
      </c>
      <c r="W310" s="3" t="n">
        <v>1.74953997135162</v>
      </c>
      <c r="X310" s="3" t="n">
        <v>1.95884001255035</v>
      </c>
      <c r="Y310" s="3" t="n">
        <v>2.14805006980896</v>
      </c>
      <c r="Z310" s="3" t="n">
        <v>1.91190004348755</v>
      </c>
      <c r="AA310" s="3" t="n">
        <v>1.94880998134613</v>
      </c>
      <c r="AB310" s="3" t="n">
        <v>2.03448009490967</v>
      </c>
      <c r="AC310" s="3" t="n">
        <v>2.07692003250122</v>
      </c>
      <c r="AD310" s="3" t="n">
        <v>1.99863004684448</v>
      </c>
      <c r="AE310" s="3" t="n">
        <v>2.00814008712769</v>
      </c>
      <c r="AF310" s="3" t="n">
        <v>2.06154990196228</v>
      </c>
      <c r="AG310" s="3" t="n">
        <v>1.80425000190735</v>
      </c>
      <c r="AH310" s="3" t="n">
        <v>1.76417994499207</v>
      </c>
      <c r="AI310" s="3" t="n"/>
      <c r="AJ310" s="3" t="n"/>
      <c r="AK310" s="3" t="n"/>
      <c r="AL310" s="3" t="n">
        <v>1.65455996990204</v>
      </c>
      <c r="AM310" s="3" t="n">
        <v>1.65785002708435</v>
      </c>
      <c r="AN310" s="3" t="n">
        <v>1.98571002483368</v>
      </c>
      <c r="AO310" s="3" t="n">
        <v>1.84192001819611</v>
      </c>
      <c r="AP310" s="3" t="n">
        <v>1.85338997840881</v>
      </c>
      <c r="AQ310" s="3" t="n"/>
      <c r="AR310" s="3" t="n">
        <v>1.84432995319366</v>
      </c>
      <c r="AS310" s="3" t="n">
        <v>1.88803994655609</v>
      </c>
      <c r="AT310" s="3" t="n"/>
      <c r="AU310" s="3" t="n"/>
      <c r="AV310" s="3" t="n"/>
      <c r="AW310" s="3" t="n"/>
      <c r="AX310" s="3" t="n"/>
      <c r="AY310" s="3" t="n">
        <v>2.39190554618835</v>
      </c>
      <c r="AZ310" s="3" t="n">
        <v>2.44128441810608</v>
      </c>
      <c r="BA310" s="3" t="n">
        <v>2.70073485374451</v>
      </c>
      <c r="BB310" s="3" t="n">
        <v>3.63178825378418</v>
      </c>
      <c r="BC310" s="3" t="n">
        <v>3.75152206420898</v>
      </c>
      <c r="BD310" s="3" t="n">
        <v>3.55966520309448</v>
      </c>
      <c r="BE310" s="3" t="n">
        <v>3.80921697616577</v>
      </c>
      <c r="BF310" s="3" t="n">
        <v>4.29788875579834</v>
      </c>
      <c r="BG310" s="3" t="n">
        <v>4.1298041343689</v>
      </c>
      <c r="BH310" s="3" t="n">
        <v>4.10536003112793</v>
      </c>
      <c r="BI310" s="3" t="n">
        <v>4.24201250076294</v>
      </c>
      <c r="BJ310" s="3" t="n">
        <v>4.20638513565063</v>
      </c>
      <c r="BK310" s="3" t="n">
        <v>4.11133146286011</v>
      </c>
      <c r="BL310" s="3" t="n">
        <v>4.02442407608032</v>
      </c>
      <c r="BM310" s="3" t="n">
        <v>4.05939483642578</v>
      </c>
      <c r="BN310" s="3" t="n">
        <v>4.2333812713623</v>
      </c>
      <c r="BO310" s="3" t="n">
        <v>3.98832511901855</v>
      </c>
      <c r="BP310" s="3" t="n">
        <v>4.02356958389282</v>
      </c>
      <c r="BQ310" s="3" t="n"/>
      <c r="BR310" s="34" t="str">
        <f>B310&amp;"|"&amp;D310</f>
        <v>CHN|SE.XPD.TOTL.GD.ZS</v>
      </c>
    </row>
    <row r="311">
      <c r="A311" s="3" t="inlineStr">
        <is>
          <t>Cote d'Ivoire</t>
        </is>
      </c>
      <c r="B311" s="3" t="inlineStr">
        <is>
          <t>CIV</t>
        </is>
      </c>
      <c r="C311" s="3" t="inlineStr">
        <is>
          <t>Government expenditure on education, total (% of GDP)</t>
        </is>
      </c>
      <c r="D311" s="3" t="inlineStr">
        <is>
          <t>SE.XPD.TOTL.GD.ZS</t>
        </is>
      </c>
      <c r="E311" s="3" t="n">
        <v>2023</v>
      </c>
      <c r="F311" s="3" t="n"/>
      <c r="G311" s="3" t="n"/>
      <c r="H311" s="3" t="n"/>
      <c r="I311" s="3" t="n"/>
      <c r="J311" s="3" t="n"/>
      <c r="K311" s="3" t="n"/>
      <c r="L311" s="3" t="n"/>
      <c r="M311" s="3" t="n"/>
      <c r="N311" s="3" t="n"/>
      <c r="O311" s="3" t="n"/>
      <c r="P311" s="3" t="n">
        <v>5.86538982391357</v>
      </c>
      <c r="Q311" s="3" t="n"/>
      <c r="R311" s="3" t="n">
        <v>7.53185987472534</v>
      </c>
      <c r="S311" s="3" t="n">
        <v>7.04560995101929</v>
      </c>
      <c r="T311" s="3" t="n">
        <v>5.69039011001587</v>
      </c>
      <c r="U311" s="3" t="n">
        <v>6.78573989868164</v>
      </c>
      <c r="V311" s="3" t="n">
        <v>6.46212005615234</v>
      </c>
      <c r="W311" s="3" t="n"/>
      <c r="X311" s="3" t="n">
        <v>6.75367021560669</v>
      </c>
      <c r="Y311" s="3" t="n">
        <v>8.23138999938965</v>
      </c>
      <c r="Z311" s="3" t="n">
        <v>6.85975980758667</v>
      </c>
      <c r="AA311" s="3" t="n"/>
      <c r="AB311" s="3" t="n"/>
      <c r="AC311" s="3" t="n"/>
      <c r="AD311" s="3" t="n"/>
      <c r="AE311" s="3" t="n"/>
      <c r="AF311" s="3" t="n"/>
      <c r="AG311" s="3" t="n"/>
      <c r="AH311" s="3" t="n"/>
      <c r="AI311" s="3" t="n"/>
      <c r="AJ311" s="3" t="n"/>
      <c r="AK311" s="3" t="n"/>
      <c r="AL311" s="3" t="n">
        <v>6.78113985061646</v>
      </c>
      <c r="AM311" s="3" t="n">
        <v>6.50304985046387</v>
      </c>
      <c r="AN311" s="3" t="n">
        <v>4.78869009017944</v>
      </c>
      <c r="AO311" s="3" t="n">
        <v>4.3014497756958</v>
      </c>
      <c r="AP311" s="3" t="n">
        <v>2.72476005554199</v>
      </c>
      <c r="AQ311" s="3" t="n">
        <v>2.61811995506287</v>
      </c>
      <c r="AR311" s="3" t="n">
        <v>2.43498992919922</v>
      </c>
      <c r="AS311" s="3" t="n">
        <v>2.68529009819031</v>
      </c>
      <c r="AT311" s="3" t="n">
        <v>2.40031003952026</v>
      </c>
      <c r="AU311" s="3" t="n">
        <v>2.44477009773254</v>
      </c>
      <c r="AV311" s="3" t="n">
        <v>2.81048011779785</v>
      </c>
      <c r="AW311" s="3" t="n">
        <v>2.86437010765076</v>
      </c>
      <c r="AX311" s="3" t="n">
        <v>2.91176009178162</v>
      </c>
      <c r="AY311" s="3" t="n">
        <v>2.91944003105164</v>
      </c>
      <c r="AZ311" s="3" t="n">
        <v>2.8199999332428</v>
      </c>
      <c r="BA311" s="3" t="n">
        <v>3.01613998413086</v>
      </c>
      <c r="BB311" s="3" t="n">
        <v>3.09853005409241</v>
      </c>
      <c r="BC311" s="3" t="n">
        <v>3.1739399433136</v>
      </c>
      <c r="BD311" s="3" t="n">
        <v>3.24651002883911</v>
      </c>
      <c r="BE311" s="3" t="n">
        <v>2.86576008796692</v>
      </c>
      <c r="BF311" s="3" t="n">
        <v>3.4344699382782</v>
      </c>
      <c r="BG311" s="3" t="n">
        <v>3.45860004425049</v>
      </c>
      <c r="BH311" s="3" t="n">
        <v>3.31416988372803</v>
      </c>
      <c r="BI311" s="3" t="n">
        <v>3.49412989616394</v>
      </c>
      <c r="BJ311" s="3" t="n">
        <v>3.93593001365662</v>
      </c>
      <c r="BK311" s="3" t="n">
        <v>3.73654007911682</v>
      </c>
      <c r="BL311" s="3" t="n">
        <v>3.21164989471436</v>
      </c>
      <c r="BM311" s="3" t="n">
        <v>3.4130699634552</v>
      </c>
      <c r="BN311" s="3" t="n">
        <v>3.78674006462097</v>
      </c>
      <c r="BO311" s="3" t="n">
        <v>3.32718992233276</v>
      </c>
      <c r="BP311" s="3" t="n">
        <v>3.51197004318237</v>
      </c>
      <c r="BQ311" s="3" t="n">
        <v>3.42992997169495</v>
      </c>
      <c r="BR311" s="34" t="str">
        <f>B311&amp;"|"&amp;D311</f>
        <v>CIV|SE.XPD.TOTL.GD.ZS</v>
      </c>
    </row>
    <row r="312">
      <c r="A312" s="3" t="inlineStr">
        <is>
          <t>Cameroon</t>
        </is>
      </c>
      <c r="B312" s="3" t="inlineStr">
        <is>
          <t>CMR</t>
        </is>
      </c>
      <c r="C312" s="3" t="inlineStr">
        <is>
          <t>Government expenditure on education, total (% of GDP)</t>
        </is>
      </c>
      <c r="D312" s="3" t="inlineStr">
        <is>
          <t>SE.XPD.TOTL.GD.ZS</t>
        </is>
      </c>
      <c r="E312" s="3" t="n">
        <v>2022</v>
      </c>
      <c r="F312" s="3" t="n"/>
      <c r="G312" s="3" t="n"/>
      <c r="H312" s="3" t="n"/>
      <c r="I312" s="3" t="n"/>
      <c r="J312" s="3" t="n"/>
      <c r="K312" s="3" t="n"/>
      <c r="L312" s="3" t="n"/>
      <c r="M312" s="3" t="n"/>
      <c r="N312" s="3" t="n"/>
      <c r="O312" s="3" t="n"/>
      <c r="P312" s="3" t="n"/>
      <c r="Q312" s="3" t="n">
        <v>3.07986998558044</v>
      </c>
      <c r="R312" s="3" t="n">
        <v>3.36388993263245</v>
      </c>
      <c r="S312" s="3" t="n"/>
      <c r="T312" s="3" t="n"/>
      <c r="U312" s="3" t="n"/>
      <c r="V312" s="3" t="n"/>
      <c r="W312" s="3" t="n"/>
      <c r="X312" s="3" t="n"/>
      <c r="Y312" s="3" t="n"/>
      <c r="Z312" s="3" t="n"/>
      <c r="AA312" s="3" t="n"/>
      <c r="AB312" s="3" t="n">
        <v>2.98497009277344</v>
      </c>
      <c r="AC312" s="3" t="n">
        <v>3.4968900680542</v>
      </c>
      <c r="AD312" s="3" t="n">
        <v>3.24637007713318</v>
      </c>
      <c r="AE312" s="3" t="n"/>
      <c r="AF312" s="3" t="n">
        <v>2.84834003448486</v>
      </c>
      <c r="AG312" s="3" t="n">
        <v>2.93091011047363</v>
      </c>
      <c r="AH312" s="3" t="n">
        <v>2.71473002433777</v>
      </c>
      <c r="AI312" s="3" t="n">
        <v>2.64896011352539</v>
      </c>
      <c r="AJ312" s="3" t="n">
        <v>3.28710007667542</v>
      </c>
      <c r="AK312" s="3" t="n">
        <v>3.22023010253906</v>
      </c>
      <c r="AL312" s="3" t="n">
        <v>2.75099992752075</v>
      </c>
      <c r="AM312" s="3" t="n"/>
      <c r="AN312" s="3" t="n"/>
      <c r="AO312" s="3" t="n"/>
      <c r="AP312" s="3" t="n"/>
      <c r="AQ312" s="3" t="n"/>
      <c r="AR312" s="3" t="n"/>
      <c r="AS312" s="3" t="n"/>
      <c r="AT312" s="3" t="n">
        <v>1.70284998416901</v>
      </c>
      <c r="AU312" s="3" t="n">
        <v>2.29733991622925</v>
      </c>
      <c r="AV312" s="3" t="n"/>
      <c r="AW312" s="3" t="n">
        <v>2.82259011268616</v>
      </c>
      <c r="AX312" s="3" t="n">
        <v>2.79530000686646</v>
      </c>
      <c r="AY312" s="3" t="n">
        <v>2.65651988983154</v>
      </c>
      <c r="AZ312" s="3" t="n">
        <v>2.53991007804871</v>
      </c>
      <c r="BA312" s="3" t="n">
        <v>2.87815999984741</v>
      </c>
      <c r="BB312" s="3" t="n">
        <v>2.49827003479004</v>
      </c>
      <c r="BC312" s="3" t="n">
        <v>2.90790009498596</v>
      </c>
      <c r="BD312" s="3" t="n">
        <v>2.84803009033203</v>
      </c>
      <c r="BE312" s="3" t="n">
        <v>2.65336990356445</v>
      </c>
      <c r="BF312" s="3" t="n">
        <v>2.60306000709534</v>
      </c>
      <c r="BG312" s="3" t="n">
        <v>2.6554799079895</v>
      </c>
      <c r="BH312" s="3" t="n">
        <v>2.58396005630493</v>
      </c>
      <c r="BI312" s="3" t="n">
        <v>2.65791988372803</v>
      </c>
      <c r="BJ312" s="3" t="n">
        <v>2.56234002113342</v>
      </c>
      <c r="BK312" s="3" t="n">
        <v>3.05962991714478</v>
      </c>
      <c r="BL312" s="3" t="n">
        <v>3.03096008300781</v>
      </c>
      <c r="BM312" s="3" t="n">
        <v>3.04739952087402</v>
      </c>
      <c r="BN312" s="3" t="n">
        <v>3.10390138626099</v>
      </c>
      <c r="BO312" s="3" t="n">
        <v>2.82764077186584</v>
      </c>
      <c r="BP312" s="3" t="n">
        <v>2.61768436431885</v>
      </c>
      <c r="BQ312" s="3" t="n"/>
      <c r="BR312" s="34" t="str">
        <f>B312&amp;"|"&amp;D312</f>
        <v>CMR|SE.XPD.TOTL.GD.ZS</v>
      </c>
    </row>
    <row r="313">
      <c r="A313" s="3" t="inlineStr">
        <is>
          <t>Congo, Dem. Rep.</t>
        </is>
      </c>
      <c r="B313" s="3" t="inlineStr">
        <is>
          <t>COD</t>
        </is>
      </c>
      <c r="C313" s="3" t="inlineStr">
        <is>
          <t>Government expenditure on education, total (% of GDP)</t>
        </is>
      </c>
      <c r="D313" s="3" t="inlineStr">
        <is>
          <t>SE.XPD.TOTL.GD.ZS</t>
        </is>
      </c>
      <c r="E313" s="3" t="n">
        <v>2022</v>
      </c>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v>2.26730990409851</v>
      </c>
      <c r="AA313" s="3" t="n">
        <v>2.53504991531372</v>
      </c>
      <c r="AB313" s="3" t="n">
        <v>2.79981994628906</v>
      </c>
      <c r="AC313" s="3" t="n">
        <v>1.29945003986359</v>
      </c>
      <c r="AD313" s="3" t="n">
        <v>0.70414000749588</v>
      </c>
      <c r="AE313" s="3" t="n">
        <v>0.825699985027313</v>
      </c>
      <c r="AF313" s="3" t="n">
        <v>0.722500026226044</v>
      </c>
      <c r="AG313" s="3" t="n">
        <v>0.861199975013733</v>
      </c>
      <c r="AH313" s="3" t="n">
        <v>0.8148400187492369</v>
      </c>
      <c r="AI313" s="3" t="n"/>
      <c r="AJ313" s="3" t="n"/>
      <c r="AK313" s="3" t="n"/>
      <c r="AL313" s="3" t="n"/>
      <c r="AM313" s="3" t="n"/>
      <c r="AN313" s="3" t="n"/>
      <c r="AO313" s="3" t="n"/>
      <c r="AP313" s="3" t="n"/>
      <c r="AQ313" s="3" t="n"/>
      <c r="AR313" s="3" t="n"/>
      <c r="AS313" s="3" t="n"/>
      <c r="AT313" s="3" t="n"/>
      <c r="AU313" s="3" t="n"/>
      <c r="AV313" s="3" t="n"/>
      <c r="AW313" s="3" t="n"/>
      <c r="AX313" s="3" t="n"/>
      <c r="AY313" s="3" t="n"/>
      <c r="AZ313" s="3" t="n"/>
      <c r="BA313" s="3" t="n"/>
      <c r="BB313" s="3" t="n"/>
      <c r="BC313" s="3" t="n"/>
      <c r="BD313" s="3" t="n">
        <v>1.5249799489975</v>
      </c>
      <c r="BE313" s="3" t="n"/>
      <c r="BF313" s="3" t="n"/>
      <c r="BG313" s="3" t="n">
        <v>2.06221008300781</v>
      </c>
      <c r="BH313" s="3" t="n">
        <v>1.95142996311188</v>
      </c>
      <c r="BI313" s="3" t="n">
        <v>2.17043995857239</v>
      </c>
      <c r="BJ313" s="3" t="n">
        <v>2.1186900138855</v>
      </c>
      <c r="BK313" s="3" t="n">
        <v>1.45494997501373</v>
      </c>
      <c r="BL313" s="3" t="n"/>
      <c r="BM313" s="3" t="n"/>
      <c r="BN313" s="3" t="n">
        <v>2.622638463974</v>
      </c>
      <c r="BO313" s="3" t="n">
        <v>2.660484790802</v>
      </c>
      <c r="BP313" s="3" t="n">
        <v>3.002521276474</v>
      </c>
      <c r="BQ313" s="3" t="n"/>
      <c r="BR313" s="34" t="str">
        <f>B313&amp;"|"&amp;D313</f>
        <v>COD|SE.XPD.TOTL.GD.ZS</v>
      </c>
    </row>
    <row r="314">
      <c r="A314" s="3" t="inlineStr">
        <is>
          <t>Congo, Rep.</t>
        </is>
      </c>
      <c r="B314" s="3" t="inlineStr">
        <is>
          <t>COG</t>
        </is>
      </c>
      <c r="C314" s="3" t="inlineStr">
        <is>
          <t>Government expenditure on education, total (% of GDP)</t>
        </is>
      </c>
      <c r="D314" s="3" t="inlineStr">
        <is>
          <t>SE.XPD.TOTL.GD.ZS</t>
        </is>
      </c>
      <c r="E314" s="3" t="n">
        <v>2022</v>
      </c>
      <c r="F314" s="3" t="n"/>
      <c r="G314" s="3" t="n"/>
      <c r="H314" s="3" t="n"/>
      <c r="I314" s="3" t="n"/>
      <c r="J314" s="3" t="n"/>
      <c r="K314" s="3" t="n"/>
      <c r="L314" s="3" t="n"/>
      <c r="M314" s="3" t="n"/>
      <c r="N314" s="3" t="n"/>
      <c r="O314" s="3" t="n"/>
      <c r="P314" s="3" t="n">
        <v>5.7322998046875</v>
      </c>
      <c r="Q314" s="3" t="n">
        <v>5.550950050354</v>
      </c>
      <c r="R314" s="3" t="n"/>
      <c r="S314" s="3" t="n">
        <v>5.238450050354</v>
      </c>
      <c r="T314" s="3" t="n"/>
      <c r="U314" s="3" t="n">
        <v>7.74302005767822</v>
      </c>
      <c r="V314" s="3" t="n"/>
      <c r="W314" s="3" t="n"/>
      <c r="X314" s="3" t="n">
        <v>8.413310050964361</v>
      </c>
      <c r="Y314" s="3" t="n">
        <v>7.03813982009888</v>
      </c>
      <c r="Z314" s="3" t="n">
        <v>6.35924005508423</v>
      </c>
      <c r="AA314" s="3" t="n"/>
      <c r="AB314" s="3" t="n"/>
      <c r="AC314" s="3" t="n"/>
      <c r="AD314" s="3" t="n"/>
      <c r="AE314" s="3" t="n"/>
      <c r="AF314" s="3" t="n"/>
      <c r="AG314" s="3" t="n"/>
      <c r="AH314" s="3" t="n"/>
      <c r="AI314" s="3" t="n"/>
      <c r="AJ314" s="3" t="n"/>
      <c r="AK314" s="3" t="n"/>
      <c r="AL314" s="3" t="n"/>
      <c r="AM314" s="3" t="n"/>
      <c r="AN314" s="3" t="n">
        <v>6.37311983108521</v>
      </c>
      <c r="AO314" s="3" t="n">
        <v>4.91033983230591</v>
      </c>
      <c r="AP314" s="3" t="n"/>
      <c r="AQ314" s="3" t="n"/>
      <c r="AR314" s="3" t="n">
        <v>4.06827020645142</v>
      </c>
      <c r="AS314" s="3" t="n"/>
      <c r="AT314" s="3" t="n"/>
      <c r="AU314" s="3" t="n"/>
      <c r="AV314" s="3" t="n">
        <v>3.20831990242004</v>
      </c>
      <c r="AW314" s="3" t="n">
        <v>2.8361599445343</v>
      </c>
      <c r="AX314" s="3" t="n">
        <v>2.28813004493713</v>
      </c>
      <c r="AY314" s="3" t="n">
        <v>1.6810200214386</v>
      </c>
      <c r="AZ314" s="3" t="n"/>
      <c r="BA314" s="3" t="n"/>
      <c r="BB314" s="3" t="n"/>
      <c r="BC314" s="3" t="n"/>
      <c r="BD314" s="3" t="n">
        <v>5.6867299079895</v>
      </c>
      <c r="BE314" s="3" t="n">
        <v>2.64652967453003</v>
      </c>
      <c r="BF314" s="3" t="n">
        <v>2.73923063278198</v>
      </c>
      <c r="BG314" s="3" t="n"/>
      <c r="BH314" s="3" t="n">
        <v>3.18256998062134</v>
      </c>
      <c r="BI314" s="3" t="n">
        <v>3.13882994651794</v>
      </c>
      <c r="BJ314" s="3" t="n"/>
      <c r="BK314" s="3" t="n">
        <v>4.17236995697021</v>
      </c>
      <c r="BL314" s="3" t="n">
        <v>2.77167010307312</v>
      </c>
      <c r="BM314" s="3" t="n">
        <v>3.55946898460388</v>
      </c>
      <c r="BN314" s="3" t="n">
        <v>4.61901378631592</v>
      </c>
      <c r="BO314" s="3" t="n">
        <v>3.67454195022583</v>
      </c>
      <c r="BP314" s="3" t="n">
        <v>2.95159220695496</v>
      </c>
      <c r="BQ314" s="3" t="n"/>
      <c r="BR314" s="34" t="str">
        <f>B314&amp;"|"&amp;D314</f>
        <v>COG|SE.XPD.TOTL.GD.ZS</v>
      </c>
    </row>
    <row r="315">
      <c r="A315" s="3" t="inlineStr">
        <is>
          <t>Colombia</t>
        </is>
      </c>
      <c r="B315" s="3" t="inlineStr">
        <is>
          <t>COL</t>
        </is>
      </c>
      <c r="C315" s="3" t="inlineStr">
        <is>
          <t>Government expenditure on education, total (% of GDP)</t>
        </is>
      </c>
      <c r="D315" s="3" t="inlineStr">
        <is>
          <t>SE.XPD.TOTL.GD.ZS</t>
        </is>
      </c>
      <c r="E315" s="3" t="n">
        <v>2001</v>
      </c>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v>1.75434005260468</v>
      </c>
      <c r="Z315" s="3" t="n">
        <v>1.72912001609802</v>
      </c>
      <c r="AA315" s="3" t="n">
        <v>2.59723997116089</v>
      </c>
      <c r="AB315" s="3" t="n"/>
      <c r="AC315" s="3" t="n"/>
      <c r="AD315" s="3" t="n">
        <v>3.00429010391235</v>
      </c>
      <c r="AE315" s="3" t="n">
        <v>2.71527004241943</v>
      </c>
      <c r="AF315" s="3" t="n"/>
      <c r="AG315" s="3" t="n"/>
      <c r="AH315" s="3" t="n"/>
      <c r="AI315" s="3" t="n">
        <v>2.70525002479553</v>
      </c>
      <c r="AJ315" s="3" t="n"/>
      <c r="AK315" s="3" t="n"/>
      <c r="AL315" s="3" t="n"/>
      <c r="AM315" s="3" t="n"/>
      <c r="AN315" s="3" t="n"/>
      <c r="AO315" s="3" t="n"/>
      <c r="AP315" s="3" t="n"/>
      <c r="AQ315" s="3" t="n"/>
      <c r="AR315" s="3" t="n">
        <v>3.92644000053406</v>
      </c>
      <c r="AS315" s="3" t="n">
        <v>4.44080018997192</v>
      </c>
      <c r="AT315" s="3" t="n">
        <v>3.5112099647522</v>
      </c>
      <c r="AU315" s="3" t="n">
        <v>3.70867991447449</v>
      </c>
      <c r="AV315" s="3" t="n"/>
      <c r="AW315" s="3" t="n"/>
      <c r="AX315" s="3" t="n"/>
      <c r="AY315" s="3" t="n"/>
      <c r="AZ315" s="3" t="n"/>
      <c r="BA315" s="3" t="n"/>
      <c r="BB315" s="3" t="n"/>
      <c r="BC315" s="3" t="n"/>
      <c r="BD315" s="3" t="n"/>
      <c r="BE315" s="3" t="n"/>
      <c r="BF315" s="3" t="n"/>
      <c r="BG315" s="3" t="n"/>
      <c r="BH315" s="3" t="n"/>
      <c r="BI315" s="3" t="n"/>
      <c r="BJ315" s="3" t="n"/>
      <c r="BK315" s="3" t="n"/>
      <c r="BL315" s="3" t="n"/>
      <c r="BM315" s="3" t="n"/>
      <c r="BN315" s="3" t="n"/>
      <c r="BO315" s="3" t="n"/>
      <c r="BP315" s="3" t="n"/>
      <c r="BQ315" s="3" t="n"/>
      <c r="BR315" s="34" t="str">
        <f>B315&amp;"|"&amp;D315</f>
        <v>COL|SE.XPD.TOTL.GD.ZS</v>
      </c>
    </row>
    <row r="316">
      <c r="A316" s="3" t="inlineStr">
        <is>
          <t>Comoros</t>
        </is>
      </c>
      <c r="B316" s="3" t="inlineStr">
        <is>
          <t>COM</t>
        </is>
      </c>
      <c r="C316" s="3" t="inlineStr">
        <is>
          <t>Government expenditure on education, total (% of GDP)</t>
        </is>
      </c>
      <c r="D316" s="3" t="inlineStr">
        <is>
          <t>SE.XPD.TOTL.GD.ZS</t>
        </is>
      </c>
      <c r="E316" s="3" t="n">
        <v>2022</v>
      </c>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c r="AD316" s="3" t="n"/>
      <c r="AE316" s="3" t="n"/>
      <c r="AF316" s="3" t="n"/>
      <c r="AG316" s="3" t="n"/>
      <c r="AH316" s="3" t="n"/>
      <c r="AI316" s="3" t="n"/>
      <c r="AJ316" s="3" t="n"/>
      <c r="AK316" s="3" t="n"/>
      <c r="AL316" s="3" t="n"/>
      <c r="AM316" s="3" t="n"/>
      <c r="AN316" s="3" t="n"/>
      <c r="AO316" s="3" t="n"/>
      <c r="AP316" s="3" t="n"/>
      <c r="AQ316" s="3" t="n"/>
      <c r="AR316" s="3" t="n">
        <v>2.20135998725891</v>
      </c>
      <c r="AS316" s="3" t="n"/>
      <c r="AT316" s="3" t="n"/>
      <c r="AU316" s="3" t="n"/>
      <c r="AV316" s="3" t="n">
        <v>2.25841999053955</v>
      </c>
      <c r="AW316" s="3" t="n"/>
      <c r="AX316" s="3" t="n"/>
      <c r="AY316" s="3" t="n"/>
      <c r="AZ316" s="3" t="n"/>
      <c r="BA316" s="3" t="n"/>
      <c r="BB316" s="3" t="n">
        <v>4.42264986038208</v>
      </c>
      <c r="BC316" s="3" t="n"/>
      <c r="BD316" s="3" t="n"/>
      <c r="BE316" s="3" t="n">
        <v>2.8304500579834</v>
      </c>
      <c r="BF316" s="3" t="n">
        <v>2.74783992767334</v>
      </c>
      <c r="BG316" s="3" t="n">
        <v>2.3827600479126</v>
      </c>
      <c r="BH316" s="3" t="n">
        <v>2.74472999572754</v>
      </c>
      <c r="BI316" s="3" t="n">
        <v>2.5450599193573</v>
      </c>
      <c r="BJ316" s="3" t="n"/>
      <c r="BK316" s="3" t="n"/>
      <c r="BL316" s="3" t="n"/>
      <c r="BM316" s="3" t="n"/>
      <c r="BN316" s="3" t="n">
        <v>2.37805080413818</v>
      </c>
      <c r="BO316" s="3" t="n">
        <v>2.27485394477844</v>
      </c>
      <c r="BP316" s="3" t="n">
        <v>2.43164420127869</v>
      </c>
      <c r="BQ316" s="3" t="n"/>
      <c r="BR316" s="34" t="str">
        <f>B316&amp;"|"&amp;D316</f>
        <v>COM|SE.XPD.TOTL.GD.ZS</v>
      </c>
    </row>
    <row r="317">
      <c r="A317" s="3" t="inlineStr">
        <is>
          <t>Cabo Verde</t>
        </is>
      </c>
      <c r="B317" s="3" t="inlineStr">
        <is>
          <t>CPV</t>
        </is>
      </c>
      <c r="C317" s="3" t="inlineStr">
        <is>
          <t>Government expenditure on education, total (% of GDP)</t>
        </is>
      </c>
      <c r="D317" s="3" t="inlineStr">
        <is>
          <t>SE.XPD.TOTL.GD.ZS</t>
        </is>
      </c>
      <c r="E317" s="3" t="n">
        <v>2022</v>
      </c>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c r="AD317" s="3" t="n"/>
      <c r="AE317" s="3" t="n"/>
      <c r="AF317" s="3" t="n"/>
      <c r="AG317" s="3" t="n"/>
      <c r="AH317" s="3" t="n"/>
      <c r="AI317" s="3" t="n"/>
      <c r="AJ317" s="3" t="n"/>
      <c r="AK317" s="3" t="n"/>
      <c r="AL317" s="3" t="n"/>
      <c r="AM317" s="3" t="n"/>
      <c r="AN317" s="3" t="n"/>
      <c r="AO317" s="3" t="n"/>
      <c r="AP317" s="3" t="n"/>
      <c r="AQ317" s="3" t="n"/>
      <c r="AR317" s="3" t="n">
        <v>6.39176988601685</v>
      </c>
      <c r="AS317" s="3" t="n">
        <v>6.80168008804321</v>
      </c>
      <c r="AT317" s="3" t="n"/>
      <c r="AU317" s="3" t="n"/>
      <c r="AV317" s="3" t="n">
        <v>7.87682008743286</v>
      </c>
      <c r="AW317" s="3" t="n"/>
      <c r="AX317" s="3" t="n">
        <v>7.47664022445679</v>
      </c>
      <c r="AY317" s="3" t="n"/>
      <c r="AZ317" s="3" t="n">
        <v>6.52960014343262</v>
      </c>
      <c r="BA317" s="3" t="n">
        <v>4.95981979370117</v>
      </c>
      <c r="BB317" s="3" t="n">
        <v>5.03464984893799</v>
      </c>
      <c r="BC317" s="3" t="n">
        <v>4.86586999893188</v>
      </c>
      <c r="BD317" s="3" t="n">
        <v>5.07658004760742</v>
      </c>
      <c r="BE317" s="3" t="n">
        <v>4.59784984588623</v>
      </c>
      <c r="BF317" s="3" t="n">
        <v>5.39769554138184</v>
      </c>
      <c r="BG317" s="3" t="n">
        <v>4.5615701675415</v>
      </c>
      <c r="BH317" s="3" t="n">
        <v>4.52134990692139</v>
      </c>
      <c r="BI317" s="3" t="n">
        <v>4.80622005462646</v>
      </c>
      <c r="BJ317" s="3" t="n">
        <v>4.75475978851318</v>
      </c>
      <c r="BK317" s="3" t="n">
        <v>4.59278011322021</v>
      </c>
      <c r="BL317" s="3" t="n">
        <v>4.78792285919189</v>
      </c>
      <c r="BM317" s="3" t="n">
        <v>4.16529989242554</v>
      </c>
      <c r="BN317" s="3" t="n"/>
      <c r="BO317" s="3" t="n">
        <v>6.03750085830688</v>
      </c>
      <c r="BP317" s="3" t="n">
        <v>4.67288541793823</v>
      </c>
      <c r="BQ317" s="3" t="n"/>
      <c r="BR317" s="34" t="str">
        <f>B317&amp;"|"&amp;D317</f>
        <v>CPV|SE.XPD.TOTL.GD.ZS</v>
      </c>
    </row>
    <row r="318">
      <c r="A318" s="3" t="inlineStr">
        <is>
          <t>Costa Rica</t>
        </is>
      </c>
      <c r="B318" s="3" t="inlineStr">
        <is>
          <t>CRI</t>
        </is>
      </c>
      <c r="C318" s="3" t="inlineStr">
        <is>
          <t>Government expenditure on education, total (% of GDP)</t>
        </is>
      </c>
      <c r="D318" s="3" t="inlineStr">
        <is>
          <t>SE.XPD.TOTL.GD.ZS</t>
        </is>
      </c>
      <c r="E318" s="3" t="n">
        <v>2021</v>
      </c>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v>7.34716987609863</v>
      </c>
      <c r="AA318" s="3" t="n"/>
      <c r="AB318" s="3" t="n">
        <v>4.88506984710693</v>
      </c>
      <c r="AC318" s="3" t="n">
        <v>4.95777988433838</v>
      </c>
      <c r="AD318" s="3" t="n"/>
      <c r="AE318" s="3" t="n"/>
      <c r="AF318" s="3" t="n">
        <v>4.42026996612549</v>
      </c>
      <c r="AG318" s="3" t="n"/>
      <c r="AH318" s="3" t="n">
        <v>4.01322984695435</v>
      </c>
      <c r="AI318" s="3" t="n">
        <v>4.07784986495972</v>
      </c>
      <c r="AJ318" s="3" t="n"/>
      <c r="AK318" s="3" t="n"/>
      <c r="AL318" s="3" t="n"/>
      <c r="AM318" s="3" t="n"/>
      <c r="AN318" s="3" t="n"/>
      <c r="AO318" s="3" t="n">
        <v>3.35272002220154</v>
      </c>
      <c r="AP318" s="3" t="n">
        <v>3.89071989059448</v>
      </c>
      <c r="AQ318" s="3" t="n"/>
      <c r="AR318" s="3" t="n"/>
      <c r="AS318" s="3" t="n">
        <v>5.39436006546021</v>
      </c>
      <c r="AT318" s="3" t="n">
        <v>4.66695022583008</v>
      </c>
      <c r="AU318" s="3" t="n">
        <v>4.83202981948853</v>
      </c>
      <c r="AV318" s="3" t="n">
        <v>5.15044021606445</v>
      </c>
      <c r="AW318" s="3" t="n">
        <v>5.13373994827271</v>
      </c>
      <c r="AX318" s="3" t="n">
        <v>4.89062976837158</v>
      </c>
      <c r="AY318" s="3" t="n"/>
      <c r="AZ318" s="3" t="n">
        <v>4.61613988876343</v>
      </c>
      <c r="BA318" s="3" t="n">
        <v>4.6345100402832</v>
      </c>
      <c r="BB318" s="3" t="n">
        <v>4.88697004318237</v>
      </c>
      <c r="BC318" s="3" t="n">
        <v>6.01030015945435</v>
      </c>
      <c r="BD318" s="3" t="n">
        <v>6.56574010848999</v>
      </c>
      <c r="BE318" s="3" t="n">
        <v>6.37988996505737</v>
      </c>
      <c r="BF318" s="3" t="n">
        <v>6.58239984512329</v>
      </c>
      <c r="BG318" s="3" t="n">
        <v>6.68739986419678</v>
      </c>
      <c r="BH318" s="3" t="n">
        <v>6.67952013015747</v>
      </c>
      <c r="BI318" s="3" t="n">
        <v>6.87349987030029</v>
      </c>
      <c r="BJ318" s="3" t="n">
        <v>6.89395999908447</v>
      </c>
      <c r="BK318" s="3" t="n">
        <v>7.06980991363525</v>
      </c>
      <c r="BL318" s="3" t="n">
        <v>6.76991987228394</v>
      </c>
      <c r="BM318" s="3" t="n">
        <v>6.73808002471924</v>
      </c>
      <c r="BN318" s="3" t="n">
        <v>6.62898015975952</v>
      </c>
      <c r="BO318" s="3" t="n">
        <v>6.24841976165771</v>
      </c>
      <c r="BP318" s="3" t="n"/>
      <c r="BQ318" s="3" t="n"/>
      <c r="BR318" s="34" t="str">
        <f>B318&amp;"|"&amp;D318</f>
        <v>CRI|SE.XPD.TOTL.GD.ZS</v>
      </c>
    </row>
    <row r="319">
      <c r="A319" s="3" t="inlineStr">
        <is>
          <t>Caribbean small states</t>
        </is>
      </c>
      <c r="B319" s="3" t="inlineStr">
        <is>
          <t>CSS</t>
        </is>
      </c>
      <c r="C319" s="3" t="inlineStr">
        <is>
          <t>Government expenditure on education, total (% of GDP)</t>
        </is>
      </c>
      <c r="D319" s="3" t="inlineStr">
        <is>
          <t>SE.XPD.TOTL.GD.ZS</t>
        </is>
      </c>
      <c r="E319" s="3" t="inlineStr">
        <is>
          <t>0x2a</t>
        </is>
      </c>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c r="AD319" s="3" t="n"/>
      <c r="AE319" s="3" t="n"/>
      <c r="AF319" s="3" t="n"/>
      <c r="AG319" s="3" t="n"/>
      <c r="AH319" s="3" t="n"/>
      <c r="AI319" s="3" t="n"/>
      <c r="AJ319" s="3" t="n"/>
      <c r="AK319" s="3" t="n"/>
      <c r="AL319" s="3" t="n"/>
      <c r="AM319" s="3" t="n"/>
      <c r="AN319" s="3" t="n"/>
      <c r="AO319" s="3" t="n"/>
      <c r="AP319" s="3" t="n"/>
      <c r="AQ319" s="3" t="n"/>
      <c r="AR319" s="3" t="n"/>
      <c r="AS319" s="3" t="n"/>
      <c r="AT319" s="3" t="n"/>
      <c r="AU319" s="3" t="n"/>
      <c r="AV319" s="3" t="n"/>
      <c r="AW319" s="3" t="n"/>
      <c r="AX319" s="3" t="n"/>
      <c r="AY319" s="3" t="n"/>
      <c r="AZ319" s="3" t="n"/>
      <c r="BA319" s="3" t="n"/>
      <c r="BB319" s="3" t="n"/>
      <c r="BC319" s="3" t="n"/>
      <c r="BD319" s="3" t="n"/>
      <c r="BE319" s="3" t="n"/>
      <c r="BF319" s="3" t="n"/>
      <c r="BG319" s="3" t="n"/>
      <c r="BH319" s="3" t="n"/>
      <c r="BI319" s="3" t="n"/>
      <c r="BJ319" s="3" t="n"/>
      <c r="BK319" s="3" t="n"/>
      <c r="BL319" s="3" t="n"/>
      <c r="BM319" s="3" t="n"/>
      <c r="BN319" s="3" t="n"/>
      <c r="BO319" s="3" t="n"/>
      <c r="BP319" s="3" t="n"/>
      <c r="BQ319" s="3" t="n"/>
      <c r="BR319" s="34" t="str">
        <f>B319&amp;"|"&amp;D319</f>
        <v>CSS|SE.XPD.TOTL.GD.ZS</v>
      </c>
    </row>
    <row r="320">
      <c r="A320" s="3" t="inlineStr">
        <is>
          <t>Cuba</t>
        </is>
      </c>
      <c r="B320" s="3" t="inlineStr">
        <is>
          <t>CUB</t>
        </is>
      </c>
      <c r="C320" s="3" t="inlineStr">
        <is>
          <t>Government expenditure on education, total (% of GDP)</t>
        </is>
      </c>
      <c r="D320" s="3" t="inlineStr">
        <is>
          <t>SE.XPD.TOTL.GD.ZS</t>
        </is>
      </c>
      <c r="E320" s="3" t="n">
        <v>2021</v>
      </c>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v>8.36909008026123</v>
      </c>
      <c r="AA320" s="3" t="n"/>
      <c r="AB320" s="3" t="n"/>
      <c r="AC320" s="3" t="n"/>
      <c r="AD320" s="3" t="n"/>
      <c r="AE320" s="3" t="n"/>
      <c r="AF320" s="3" t="n"/>
      <c r="AG320" s="3" t="n"/>
      <c r="AH320" s="3" t="n"/>
      <c r="AI320" s="3" t="n"/>
      <c r="AJ320" s="3" t="n"/>
      <c r="AK320" s="3" t="n">
        <v>7.14496994018555</v>
      </c>
      <c r="AL320" s="3" t="n"/>
      <c r="AM320" s="3" t="n">
        <v>7.07476997375488</v>
      </c>
      <c r="AN320" s="3" t="n">
        <v>5.61948013305664</v>
      </c>
      <c r="AO320" s="3" t="n"/>
      <c r="AP320" s="3" t="n"/>
      <c r="AQ320" s="3" t="n"/>
      <c r="AR320" s="3" t="n">
        <v>6.20873022079468</v>
      </c>
      <c r="AS320" s="3" t="n">
        <v>6.75523996353149</v>
      </c>
      <c r="AT320" s="3" t="n">
        <v>7.70481014251709</v>
      </c>
      <c r="AU320" s="3" t="n">
        <v>8.358090400695801</v>
      </c>
      <c r="AV320" s="3" t="n">
        <v>9.571169853210449</v>
      </c>
      <c r="AW320" s="3" t="n">
        <v>9.940859794616699</v>
      </c>
      <c r="AX320" s="3" t="n">
        <v>10.2682304382324</v>
      </c>
      <c r="AY320" s="3" t="n">
        <v>10.5577802658081</v>
      </c>
      <c r="AZ320" s="3" t="n">
        <v>9.057169914245611</v>
      </c>
      <c r="BA320" s="3" t="n">
        <v>11.8682098388672</v>
      </c>
      <c r="BB320" s="3" t="n">
        <v>14.0590801239014</v>
      </c>
      <c r="BC320" s="3" t="n">
        <v>13.1248598098755</v>
      </c>
      <c r="BD320" s="3" t="n">
        <v>12.8373098373413</v>
      </c>
      <c r="BE320" s="3" t="n"/>
      <c r="BF320" s="3" t="n">
        <v>11.5516605377197</v>
      </c>
      <c r="BG320" s="3" t="n">
        <v>10.6716957092285</v>
      </c>
      <c r="BH320" s="3" t="n">
        <v>9.6074686050415</v>
      </c>
      <c r="BI320" s="3" t="n">
        <v>8.96333694458008</v>
      </c>
      <c r="BJ320" s="3" t="n">
        <v>9.01313304901123</v>
      </c>
      <c r="BK320" s="3" t="n"/>
      <c r="BL320" s="3" t="n"/>
      <c r="BM320" s="3" t="n">
        <v>9.046969413757321</v>
      </c>
      <c r="BN320" s="3" t="n"/>
      <c r="BO320" s="3" t="n">
        <v>9.385862350463871</v>
      </c>
      <c r="BP320" s="3" t="n"/>
      <c r="BQ320" s="3" t="n"/>
      <c r="BR320" s="34" t="str">
        <f>B320&amp;"|"&amp;D320</f>
        <v>CUB|SE.XPD.TOTL.GD.ZS</v>
      </c>
    </row>
    <row r="321">
      <c r="A321" s="3" t="inlineStr">
        <is>
          <t>Curacao</t>
        </is>
      </c>
      <c r="B321" s="3" t="inlineStr">
        <is>
          <t>CUW</t>
        </is>
      </c>
      <c r="C321" s="3" t="inlineStr">
        <is>
          <t>Government expenditure on education, total (% of GDP)</t>
        </is>
      </c>
      <c r="D321" s="3" t="inlineStr">
        <is>
          <t>SE.XPD.TOTL.GD.ZS</t>
        </is>
      </c>
      <c r="E321" s="3" t="n">
        <v>2013</v>
      </c>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c r="AD321" s="3" t="n"/>
      <c r="AE321" s="3" t="n"/>
      <c r="AF321" s="3" t="n"/>
      <c r="AG321" s="3" t="n"/>
      <c r="AH321" s="3" t="n"/>
      <c r="AI321" s="3" t="n"/>
      <c r="AJ321" s="3" t="n"/>
      <c r="AK321" s="3" t="n"/>
      <c r="AL321" s="3" t="n"/>
      <c r="AM321" s="3" t="n"/>
      <c r="AN321" s="3" t="n"/>
      <c r="AO321" s="3" t="n"/>
      <c r="AP321" s="3" t="n"/>
      <c r="AQ321" s="3" t="n"/>
      <c r="AR321" s="3" t="n"/>
      <c r="AS321" s="3" t="n"/>
      <c r="AT321" s="3" t="n"/>
      <c r="AU321" s="3" t="n"/>
      <c r="AV321" s="3" t="n"/>
      <c r="AW321" s="3" t="n"/>
      <c r="AX321" s="3" t="n"/>
      <c r="AY321" s="3" t="n"/>
      <c r="AZ321" s="3" t="n"/>
      <c r="BA321" s="3" t="n"/>
      <c r="BB321" s="3" t="n"/>
      <c r="BC321" s="3" t="n"/>
      <c r="BD321" s="3" t="n"/>
      <c r="BE321" s="3" t="n"/>
      <c r="BF321" s="3" t="n"/>
      <c r="BG321" s="3" t="n">
        <v>5.11633014678955</v>
      </c>
      <c r="BH321" s="3" t="n"/>
      <c r="BI321" s="3" t="n"/>
      <c r="BJ321" s="3" t="n"/>
      <c r="BK321" s="3" t="n"/>
      <c r="BL321" s="3" t="n"/>
      <c r="BM321" s="3" t="n"/>
      <c r="BN321" s="3" t="n"/>
      <c r="BO321" s="3" t="n"/>
      <c r="BP321" s="3" t="n"/>
      <c r="BQ321" s="3" t="n"/>
      <c r="BR321" s="34" t="str">
        <f>B321&amp;"|"&amp;D321</f>
        <v>CUW|SE.XPD.TOTL.GD.ZS</v>
      </c>
    </row>
    <row r="322">
      <c r="A322" s="3" t="inlineStr">
        <is>
          <t>Cayman Islands</t>
        </is>
      </c>
      <c r="B322" s="3" t="inlineStr">
        <is>
          <t>CYM</t>
        </is>
      </c>
      <c r="C322" s="3" t="inlineStr">
        <is>
          <t>Government expenditure on education, total (% of GDP)</t>
        </is>
      </c>
      <c r="D322" s="3" t="inlineStr">
        <is>
          <t>SE.XPD.TOTL.GD.ZS</t>
        </is>
      </c>
      <c r="E322" s="3" t="n">
        <v>2022</v>
      </c>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c r="AD322" s="3" t="n"/>
      <c r="AE322" s="3" t="n"/>
      <c r="AF322" s="3" t="n"/>
      <c r="AG322" s="3" t="n"/>
      <c r="AH322" s="3" t="n"/>
      <c r="AI322" s="3" t="n"/>
      <c r="AJ322" s="3" t="n"/>
      <c r="AK322" s="3" t="n"/>
      <c r="AL322" s="3" t="n"/>
      <c r="AM322" s="3" t="n"/>
      <c r="AN322" s="3" t="n"/>
      <c r="AO322" s="3" t="n"/>
      <c r="AP322" s="3" t="n"/>
      <c r="AQ322" s="3" t="n"/>
      <c r="AR322" s="3" t="n"/>
      <c r="AS322" s="3" t="n"/>
      <c r="AT322" s="3" t="n"/>
      <c r="AU322" s="3" t="n"/>
      <c r="AV322" s="3" t="n"/>
      <c r="AW322" s="3" t="n"/>
      <c r="AX322" s="3" t="n"/>
      <c r="AY322" s="3" t="n"/>
      <c r="AZ322" s="3" t="n"/>
      <c r="BA322" s="3" t="n"/>
      <c r="BB322" s="3" t="n"/>
      <c r="BC322" s="3" t="n"/>
      <c r="BD322" s="3" t="n"/>
      <c r="BE322" s="3" t="n"/>
      <c r="BF322" s="3" t="n"/>
      <c r="BG322" s="3" t="n"/>
      <c r="BH322" s="3" t="n"/>
      <c r="BI322" s="3" t="n"/>
      <c r="BJ322" s="3" t="n"/>
      <c r="BK322" s="3" t="n"/>
      <c r="BL322" s="3" t="n">
        <v>2.16376948356628</v>
      </c>
      <c r="BM322" s="3" t="n">
        <v>1.13670003414154</v>
      </c>
      <c r="BN322" s="3" t="n">
        <v>1.45542001724243</v>
      </c>
      <c r="BO322" s="3" t="n">
        <v>1.31253004074097</v>
      </c>
      <c r="BP322" s="3" t="n">
        <v>1.48894000053406</v>
      </c>
      <c r="BQ322" s="3" t="n"/>
      <c r="BR322" s="34" t="str">
        <f>B322&amp;"|"&amp;D322</f>
        <v>CYM|SE.XPD.TOTL.GD.ZS</v>
      </c>
    </row>
    <row r="323">
      <c r="A323" s="3" t="inlineStr">
        <is>
          <t>Cyprus</t>
        </is>
      </c>
      <c r="B323" s="3" t="inlineStr">
        <is>
          <t>CYP</t>
        </is>
      </c>
      <c r="C323" s="3" t="inlineStr">
        <is>
          <t>Government expenditure on education, total (% of GDP)</t>
        </is>
      </c>
      <c r="D323" s="3" t="inlineStr">
        <is>
          <t>SE.XPD.TOTL.GD.ZS</t>
        </is>
      </c>
      <c r="E323" s="3" t="n">
        <v>2021</v>
      </c>
      <c r="F323" s="3" t="n"/>
      <c r="G323" s="3" t="n"/>
      <c r="H323" s="3" t="n"/>
      <c r="I323" s="3" t="n"/>
      <c r="J323" s="3" t="n"/>
      <c r="K323" s="3" t="n"/>
      <c r="L323" s="3" t="n"/>
      <c r="M323" s="3" t="n"/>
      <c r="N323" s="3" t="n"/>
      <c r="O323" s="3" t="n"/>
      <c r="P323" s="3" t="n"/>
      <c r="Q323" s="3" t="n"/>
      <c r="R323" s="3" t="n"/>
      <c r="S323" s="3" t="n"/>
      <c r="T323" s="3" t="n"/>
      <c r="U323" s="3" t="n">
        <v>4.33502006530762</v>
      </c>
      <c r="V323" s="3" t="n">
        <v>3.81970000267029</v>
      </c>
      <c r="W323" s="3" t="n">
        <v>3.38548994064331</v>
      </c>
      <c r="X323" s="3" t="n">
        <v>3.31234002113342</v>
      </c>
      <c r="Y323" s="3" t="n">
        <v>3.35313010215759</v>
      </c>
      <c r="Z323" s="3" t="n">
        <v>3.42600989341736</v>
      </c>
      <c r="AA323" s="3" t="n">
        <v>3.79132008552551</v>
      </c>
      <c r="AB323" s="3" t="n">
        <v>3.73178005218506</v>
      </c>
      <c r="AC323" s="3" t="n"/>
      <c r="AD323" s="3" t="n">
        <v>3.60191011428833</v>
      </c>
      <c r="AE323" s="3" t="n">
        <v>3.58696007728577</v>
      </c>
      <c r="AF323" s="3" t="n">
        <v>3.48897004127502</v>
      </c>
      <c r="AG323" s="3" t="n">
        <v>3.4487099647522</v>
      </c>
      <c r="AH323" s="3" t="n">
        <v>3.37546992301941</v>
      </c>
      <c r="AI323" s="3" t="n">
        <v>3.37627005577087</v>
      </c>
      <c r="AJ323" s="3" t="n">
        <v>3.33924007415771</v>
      </c>
      <c r="AK323" s="3" t="n">
        <v>3.57539010047913</v>
      </c>
      <c r="AL323" s="3" t="n">
        <v>3.78029990196228</v>
      </c>
      <c r="AM323" s="3" t="n">
        <v>4.09555006027222</v>
      </c>
      <c r="AN323" s="3" t="n">
        <v>4.15996980667114</v>
      </c>
      <c r="AO323" s="3" t="n">
        <v>3.74123001098633</v>
      </c>
      <c r="AP323" s="3" t="n"/>
      <c r="AQ323" s="3" t="n"/>
      <c r="AR323" s="3" t="n"/>
      <c r="AS323" s="3" t="n">
        <v>4.7720799446106</v>
      </c>
      <c r="AT323" s="3" t="n">
        <v>4.98954010009766</v>
      </c>
      <c r="AU323" s="3" t="n">
        <v>5.11552000045776</v>
      </c>
      <c r="AV323" s="3" t="n">
        <v>5.58166980743408</v>
      </c>
      <c r="AW323" s="3" t="n">
        <v>6.6702299118042</v>
      </c>
      <c r="AX323" s="3" t="n">
        <v>6.11772012710571</v>
      </c>
      <c r="AY323" s="3" t="n">
        <v>6.28667020797729</v>
      </c>
      <c r="AZ323" s="3" t="n">
        <v>6.3302698135376</v>
      </c>
      <c r="BA323" s="3" t="n">
        <v>6.28082990646362</v>
      </c>
      <c r="BB323" s="3" t="n">
        <v>6.72276020050049</v>
      </c>
      <c r="BC323" s="3" t="n">
        <v>7.2054500579834</v>
      </c>
      <c r="BD323" s="3" t="n">
        <v>6.52559995651245</v>
      </c>
      <c r="BE323" s="3" t="n">
        <v>6.52042007446289</v>
      </c>
      <c r="BF323" s="3" t="n">
        <v>5.89526700973511</v>
      </c>
      <c r="BG323" s="3" t="n">
        <v>6.46747016906738</v>
      </c>
      <c r="BH323" s="3" t="n">
        <v>6.42111015319824</v>
      </c>
      <c r="BI323" s="3" t="n">
        <v>6.30491018295288</v>
      </c>
      <c r="BJ323" s="3" t="n">
        <v>6.11811017990112</v>
      </c>
      <c r="BK323" s="3" t="n">
        <v>5.69961977005005</v>
      </c>
      <c r="BL323" s="3" t="n">
        <v>5.0253529548645</v>
      </c>
      <c r="BM323" s="3" t="n">
        <v>5.21260023117065</v>
      </c>
      <c r="BN323" s="3" t="n">
        <v>5.63694000244141</v>
      </c>
      <c r="BO323" s="3" t="n">
        <v>5.23585987091064</v>
      </c>
      <c r="BP323" s="3" t="n"/>
      <c r="BQ323" s="3" t="n"/>
      <c r="BR323" s="34" t="str">
        <f>B323&amp;"|"&amp;D323</f>
        <v>CYP|SE.XPD.TOTL.GD.ZS</v>
      </c>
    </row>
    <row r="324">
      <c r="A324" s="3" t="inlineStr">
        <is>
          <t>Czechia</t>
        </is>
      </c>
      <c r="B324" s="3" t="inlineStr">
        <is>
          <t>CZE</t>
        </is>
      </c>
      <c r="C324" s="3" t="inlineStr">
        <is>
          <t>Government expenditure on education, total (% of GDP)</t>
        </is>
      </c>
      <c r="D324" s="3" t="inlineStr">
        <is>
          <t>SE.XPD.TOTL.GD.ZS</t>
        </is>
      </c>
      <c r="E324" s="3" t="n">
        <v>2021</v>
      </c>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c r="AD324" s="3" t="n"/>
      <c r="AE324" s="3" t="n"/>
      <c r="AF324" s="3" t="n"/>
      <c r="AG324" s="3" t="n"/>
      <c r="AH324" s="3" t="n"/>
      <c r="AI324" s="3" t="n"/>
      <c r="AJ324" s="3" t="n"/>
      <c r="AK324" s="3" t="n"/>
      <c r="AL324" s="3" t="n">
        <v>3.75176000595093</v>
      </c>
      <c r="AM324" s="3" t="n">
        <v>4.1586799621582</v>
      </c>
      <c r="AN324" s="3" t="n">
        <v>4.64996004104614</v>
      </c>
      <c r="AO324" s="3" t="n">
        <v>4.51754999160767</v>
      </c>
      <c r="AP324" s="3" t="n">
        <v>4.24490976333618</v>
      </c>
      <c r="AQ324" s="3" t="n"/>
      <c r="AR324" s="3" t="n">
        <v>3.58012008666992</v>
      </c>
      <c r="AS324" s="3" t="n">
        <v>3.66753005981445</v>
      </c>
      <c r="AT324" s="3" t="n">
        <v>3.64034008979797</v>
      </c>
      <c r="AU324" s="3" t="n">
        <v>3.73283004760742</v>
      </c>
      <c r="AV324" s="3" t="n">
        <v>3.95878005027771</v>
      </c>
      <c r="AW324" s="3" t="n">
        <v>4.11728000640869</v>
      </c>
      <c r="AX324" s="3" t="n">
        <v>3.99238991737366</v>
      </c>
      <c r="AY324" s="3" t="n">
        <v>3.86591005325317</v>
      </c>
      <c r="AZ324" s="3" t="n">
        <v>4.1955099105835</v>
      </c>
      <c r="BA324" s="3" t="n">
        <v>3.84717988967896</v>
      </c>
      <c r="BB324" s="3" t="n">
        <v>3.7271900177002</v>
      </c>
      <c r="BC324" s="3" t="n">
        <v>4.1460599899292</v>
      </c>
      <c r="BD324" s="3" t="n">
        <v>4.03350019454956</v>
      </c>
      <c r="BE324" s="3" t="n">
        <v>4.24209022521973</v>
      </c>
      <c r="BF324" s="3" t="n">
        <v>4.22070980072021</v>
      </c>
      <c r="BG324" s="3" t="n">
        <v>4.04676008224487</v>
      </c>
      <c r="BH324" s="3" t="n">
        <v>3.96522998809814</v>
      </c>
      <c r="BI324" s="3" t="n">
        <v>5.75182008743286</v>
      </c>
      <c r="BJ324" s="3" t="n">
        <v>5.55373001098633</v>
      </c>
      <c r="BK324" s="3" t="n">
        <v>3.80615997314453</v>
      </c>
      <c r="BL324" s="3" t="n">
        <v>4.26605987548828</v>
      </c>
      <c r="BM324" s="3" t="n">
        <v>4.54246997833252</v>
      </c>
      <c r="BN324" s="3" t="n">
        <v>4.72159004211426</v>
      </c>
      <c r="BO324" s="3" t="n">
        <v>4.80319976806641</v>
      </c>
      <c r="BP324" s="3" t="n"/>
      <c r="BQ324" s="3" t="n"/>
      <c r="BR324" s="34" t="str">
        <f>B324&amp;"|"&amp;D324</f>
        <v>CZE|SE.XPD.TOTL.GD.ZS</v>
      </c>
    </row>
    <row r="325">
      <c r="A325" s="3" t="inlineStr">
        <is>
          <t>Germany</t>
        </is>
      </c>
      <c r="B325" s="3" t="inlineStr">
        <is>
          <t>DEU</t>
        </is>
      </c>
      <c r="C325" s="3" t="inlineStr">
        <is>
          <t>Government expenditure on education, total (% of GDP)</t>
        </is>
      </c>
      <c r="D325" s="3" t="inlineStr">
        <is>
          <t>SE.XPD.TOTL.GD.ZS</t>
        </is>
      </c>
      <c r="E325" s="3" t="n">
        <v>2022</v>
      </c>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c r="AD325" s="3" t="n"/>
      <c r="AE325" s="3" t="n"/>
      <c r="AF325" s="3" t="n"/>
      <c r="AG325" s="3" t="n"/>
      <c r="AH325" s="3" t="n"/>
      <c r="AI325" s="3" t="n"/>
      <c r="AJ325" s="3" t="n"/>
      <c r="AK325" s="3" t="n"/>
      <c r="AL325" s="3" t="n"/>
      <c r="AM325" s="3" t="n">
        <v>4.40791988372803</v>
      </c>
      <c r="AN325" s="3" t="n">
        <v>4.33663988113403</v>
      </c>
      <c r="AO325" s="3" t="n">
        <v>4.4307599067688</v>
      </c>
      <c r="AP325" s="3" t="n">
        <v>4.49470996856689</v>
      </c>
      <c r="AQ325" s="3" t="n"/>
      <c r="AR325" s="3" t="n">
        <v>4.46187019348145</v>
      </c>
      <c r="AS325" s="3" t="n"/>
      <c r="AT325" s="3" t="n">
        <v>4.06815242767334</v>
      </c>
      <c r="AU325" s="3" t="n">
        <v>4.14708137512207</v>
      </c>
      <c r="AV325" s="3" t="n">
        <v>4.16305732727051</v>
      </c>
      <c r="AW325" s="3" t="n">
        <v>4.17101860046387</v>
      </c>
      <c r="AX325" s="3" t="n">
        <v>4.10064888000488</v>
      </c>
      <c r="AY325" s="3" t="n">
        <v>4.10731077194214</v>
      </c>
      <c r="AZ325" s="3" t="n">
        <v>4.02527379989624</v>
      </c>
      <c r="BA325" s="3" t="n">
        <v>3.92246603965759</v>
      </c>
      <c r="BB325" s="3" t="n">
        <v>4.54924011230469</v>
      </c>
      <c r="BC325" s="3" t="n">
        <v>4.34005403518677</v>
      </c>
      <c r="BD325" s="3" t="n">
        <v>5.09588003158569</v>
      </c>
      <c r="BE325" s="3" t="n">
        <v>4.98425006866455</v>
      </c>
      <c r="BF325" s="3" t="n">
        <v>4.92844009399414</v>
      </c>
      <c r="BG325" s="3" t="n">
        <v>4.93538999557495</v>
      </c>
      <c r="BH325" s="3" t="n">
        <v>4.92102003097534</v>
      </c>
      <c r="BI325" s="3" t="n">
        <v>4.85515022277832</v>
      </c>
      <c r="BJ325" s="3" t="n">
        <v>4.83923006057739</v>
      </c>
      <c r="BK325" s="3" t="n">
        <v>4.87182998657227</v>
      </c>
      <c r="BL325" s="3" t="n">
        <v>4.97933006286621</v>
      </c>
      <c r="BM325" s="3" t="n">
        <v>5.11552000045776</v>
      </c>
      <c r="BN325" s="3" t="n">
        <v>5.59038019180298</v>
      </c>
      <c r="BO325" s="3" t="n">
        <v>5.45488977432251</v>
      </c>
      <c r="BP325" s="3" t="n">
        <v>4.54389047622681</v>
      </c>
      <c r="BQ325" s="3" t="n"/>
      <c r="BR325" s="34" t="str">
        <f>B325&amp;"|"&amp;D325</f>
        <v>DEU|SE.XPD.TOTL.GD.ZS</v>
      </c>
    </row>
    <row r="326">
      <c r="A326" s="3" t="inlineStr">
        <is>
          <t>Djibouti</t>
        </is>
      </c>
      <c r="B326" s="3" t="inlineStr">
        <is>
          <t>DJI</t>
        </is>
      </c>
      <c r="C326" s="3" t="inlineStr">
        <is>
          <t>Government expenditure on education, total (% of GDP)</t>
        </is>
      </c>
      <c r="D326" s="3" t="inlineStr">
        <is>
          <t>SE.XPD.TOTL.GD.ZS</t>
        </is>
      </c>
      <c r="E326" s="3" t="n">
        <v>2018</v>
      </c>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c r="AD326" s="3" t="n"/>
      <c r="AE326" s="3" t="n"/>
      <c r="AF326" s="3" t="n"/>
      <c r="AG326" s="3" t="n"/>
      <c r="AH326" s="3" t="n"/>
      <c r="AI326" s="3" t="n"/>
      <c r="AJ326" s="3" t="n"/>
      <c r="AK326" s="3" t="n"/>
      <c r="AL326" s="3" t="n"/>
      <c r="AM326" s="3" t="n"/>
      <c r="AN326" s="3" t="n"/>
      <c r="AO326" s="3" t="n"/>
      <c r="AP326" s="3" t="n"/>
      <c r="AQ326" s="3" t="n"/>
      <c r="AR326" s="3" t="n"/>
      <c r="AS326" s="3" t="n">
        <v>7.62947988510132</v>
      </c>
      <c r="AT326" s="3" t="n">
        <v>9.659999847412109</v>
      </c>
      <c r="AU326" s="3" t="n">
        <v>7.80542993545532</v>
      </c>
      <c r="AV326" s="3" t="n">
        <v>8.44760036468506</v>
      </c>
      <c r="AW326" s="3" t="n">
        <v>8.88984966278076</v>
      </c>
      <c r="AX326" s="3" t="n">
        <v>9.264670372009279</v>
      </c>
      <c r="AY326" s="3" t="n">
        <v>8.365889549255369</v>
      </c>
      <c r="AZ326" s="3" t="n">
        <v>8.27877998352051</v>
      </c>
      <c r="BA326" s="3" t="n">
        <v>8.40625</v>
      </c>
      <c r="BB326" s="3" t="n"/>
      <c r="BC326" s="3" t="n"/>
      <c r="BD326" s="3" t="n">
        <v>4.49022006988525</v>
      </c>
      <c r="BE326" s="3" t="n"/>
      <c r="BF326" s="3" t="n">
        <v>6.35127544403076</v>
      </c>
      <c r="BG326" s="3" t="n">
        <v>4.64782524108887</v>
      </c>
      <c r="BH326" s="3" t="n">
        <v>4.38407516479492</v>
      </c>
      <c r="BI326" s="3" t="n">
        <v>3.59894990921021</v>
      </c>
      <c r="BJ326" s="3" t="n">
        <v>3.92226004600525</v>
      </c>
      <c r="BK326" s="3" t="n">
        <v>3.73344993591309</v>
      </c>
      <c r="BL326" s="3" t="n">
        <v>3.75143003463745</v>
      </c>
      <c r="BM326" s="3" t="n"/>
      <c r="BN326" s="3" t="n"/>
      <c r="BO326" s="3" t="n"/>
      <c r="BP326" s="3" t="n"/>
      <c r="BQ326" s="3" t="n"/>
      <c r="BR326" s="34" t="str">
        <f>B326&amp;"|"&amp;D326</f>
        <v>DJI|SE.XPD.TOTL.GD.ZS</v>
      </c>
    </row>
    <row r="327">
      <c r="A327" s="3" t="inlineStr">
        <is>
          <t>Dominica</t>
        </is>
      </c>
      <c r="B327" s="3" t="inlineStr">
        <is>
          <t>DMA</t>
        </is>
      </c>
      <c r="C327" s="3" t="inlineStr">
        <is>
          <t>Government expenditure on education, total (% of GDP)</t>
        </is>
      </c>
      <c r="D327" s="3" t="inlineStr">
        <is>
          <t>SE.XPD.TOTL.GD.ZS</t>
        </is>
      </c>
      <c r="E327" s="3" t="n">
        <v>2023</v>
      </c>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c r="AD327" s="3" t="n"/>
      <c r="AE327" s="3" t="n"/>
      <c r="AF327" s="3" t="n"/>
      <c r="AG327" s="3" t="n"/>
      <c r="AH327" s="3" t="n"/>
      <c r="AI327" s="3" t="n">
        <v>4.28990983963013</v>
      </c>
      <c r="AJ327" s="3" t="n"/>
      <c r="AK327" s="3" t="n"/>
      <c r="AL327" s="3" t="n"/>
      <c r="AM327" s="3" t="n"/>
      <c r="AN327" s="3" t="n"/>
      <c r="AO327" s="3" t="n"/>
      <c r="AP327" s="3" t="n"/>
      <c r="AQ327" s="3" t="n"/>
      <c r="AR327" s="3" t="n">
        <v>5.73984003067017</v>
      </c>
      <c r="AS327" s="3" t="n">
        <v>4.02858018875122</v>
      </c>
      <c r="AT327" s="3" t="n"/>
      <c r="AU327" s="3" t="n"/>
      <c r="AV327" s="3" t="n"/>
      <c r="AW327" s="3" t="n"/>
      <c r="AX327" s="3" t="n"/>
      <c r="AY327" s="3" t="n"/>
      <c r="AZ327" s="3" t="n"/>
      <c r="BA327" s="3" t="n"/>
      <c r="BB327" s="3" t="n"/>
      <c r="BC327" s="3" t="n"/>
      <c r="BD327" s="3" t="n"/>
      <c r="BE327" s="3" t="n"/>
      <c r="BF327" s="3" t="n">
        <v>4.39310455322266</v>
      </c>
      <c r="BG327" s="3" t="n">
        <v>4.46448278427124</v>
      </c>
      <c r="BH327" s="3" t="n">
        <v>4.52459239959717</v>
      </c>
      <c r="BI327" s="3" t="n">
        <v>3.40711998939514</v>
      </c>
      <c r="BJ327" s="3" t="n">
        <v>5.12971973419189</v>
      </c>
      <c r="BK327" s="3" t="n">
        <v>4.76675081253052</v>
      </c>
      <c r="BL327" s="3" t="n">
        <v>5.15360450744629</v>
      </c>
      <c r="BM327" s="3" t="n">
        <v>5.53449010848999</v>
      </c>
      <c r="BN327" s="3" t="n">
        <v>4.69630002975464</v>
      </c>
      <c r="BO327" s="3" t="n">
        <v>5.46584510803223</v>
      </c>
      <c r="BP327" s="3" t="n">
        <v>6.04314231872559</v>
      </c>
      <c r="BQ327" s="3" t="n">
        <v>4.65674114227295</v>
      </c>
      <c r="BR327" s="34" t="str">
        <f>B327&amp;"|"&amp;D327</f>
        <v>DMA|SE.XPD.TOTL.GD.ZS</v>
      </c>
    </row>
    <row r="328">
      <c r="A328" s="3" t="inlineStr">
        <is>
          <t>Denmark</t>
        </is>
      </c>
      <c r="B328" s="3" t="inlineStr">
        <is>
          <t>DNK</t>
        </is>
      </c>
      <c r="C328" s="3" t="inlineStr">
        <is>
          <t>Government expenditure on education, total (% of GDP)</t>
        </is>
      </c>
      <c r="D328" s="3" t="inlineStr">
        <is>
          <t>SE.XPD.TOTL.GD.ZS</t>
        </is>
      </c>
      <c r="E328" s="3" t="n">
        <v>2022</v>
      </c>
      <c r="F328" s="3" t="n"/>
      <c r="G328" s="3" t="n"/>
      <c r="H328" s="3" t="n"/>
      <c r="I328" s="3" t="n"/>
      <c r="J328" s="3" t="n"/>
      <c r="K328" s="3" t="n"/>
      <c r="L328" s="3" t="n"/>
      <c r="M328" s="3" t="n"/>
      <c r="N328" s="3" t="n"/>
      <c r="O328" s="3" t="n"/>
      <c r="P328" s="3" t="n">
        <v>5.95553016662598</v>
      </c>
      <c r="Q328" s="3" t="n">
        <v>6.39355993270874</v>
      </c>
      <c r="R328" s="3" t="n">
        <v>6.48130989074707</v>
      </c>
      <c r="S328" s="3" t="n">
        <v>6.26610994338989</v>
      </c>
      <c r="T328" s="3" t="n">
        <v>6.58151006698608</v>
      </c>
      <c r="U328" s="3" t="n">
        <v>6.71312999725342</v>
      </c>
      <c r="V328" s="3" t="n"/>
      <c r="W328" s="3" t="n">
        <v>5.67212009429932</v>
      </c>
      <c r="X328" s="3" t="n">
        <v>5.75346994400024</v>
      </c>
      <c r="Y328" s="3" t="n">
        <v>5.58649015426636</v>
      </c>
      <c r="Z328" s="3" t="n">
        <v>5.91093015670776</v>
      </c>
      <c r="AA328" s="3" t="n"/>
      <c r="AB328" s="3" t="n"/>
      <c r="AC328" s="3" t="n"/>
      <c r="AD328" s="3" t="n"/>
      <c r="AE328" s="3" t="n"/>
      <c r="AF328" s="3" t="n">
        <v>5.83825016021729</v>
      </c>
      <c r="AG328" s="3" t="n">
        <v>6.07808017730713</v>
      </c>
      <c r="AH328" s="3" t="n">
        <v>6.33533000946045</v>
      </c>
      <c r="AI328" s="3" t="n">
        <v>5.83814001083374</v>
      </c>
      <c r="AJ328" s="3" t="n"/>
      <c r="AK328" s="3" t="n">
        <v>5.59675979614258</v>
      </c>
      <c r="AL328" s="3" t="n"/>
      <c r="AM328" s="3" t="n">
        <v>7.77281999588013</v>
      </c>
      <c r="AN328" s="3" t="n">
        <v>7.47105979919434</v>
      </c>
      <c r="AO328" s="3" t="n">
        <v>7.47103977203369</v>
      </c>
      <c r="AP328" s="3" t="n">
        <v>7.8849401473999</v>
      </c>
      <c r="AQ328" s="3" t="n"/>
      <c r="AR328" s="3" t="n">
        <v>8.10674953460693</v>
      </c>
      <c r="AS328" s="3" t="n">
        <v>7.93115997314453</v>
      </c>
      <c r="AT328" s="3" t="n">
        <v>8.08434009552002</v>
      </c>
      <c r="AU328" s="3" t="n">
        <v>8.215450286865231</v>
      </c>
      <c r="AV328" s="3" t="n">
        <v>8.213029861450201</v>
      </c>
      <c r="AW328" s="3" t="n">
        <v>8.12193012237549</v>
      </c>
      <c r="AX328" s="3" t="n">
        <v>8.2076301574707</v>
      </c>
      <c r="AY328" s="3" t="n">
        <v>8.08557033538818</v>
      </c>
      <c r="AZ328" s="3" t="n">
        <v>7.72990989685059</v>
      </c>
      <c r="BA328" s="3" t="n">
        <v>7.61560010910034</v>
      </c>
      <c r="BB328" s="3" t="n">
        <v>7.47604990005493</v>
      </c>
      <c r="BC328" s="3" t="n">
        <v>8.448880195617679</v>
      </c>
      <c r="BD328" s="3" t="n">
        <v>8.559550285339361</v>
      </c>
      <c r="BE328" s="3" t="n">
        <v>8.484860420227051</v>
      </c>
      <c r="BF328" s="3" t="n">
        <v>7.23782014846802</v>
      </c>
      <c r="BG328" s="3" t="n">
        <v>8.494429588317869</v>
      </c>
      <c r="BH328" s="3" t="n">
        <v>7.634850025177</v>
      </c>
      <c r="BI328" s="3" t="n">
        <v>7.01041460037231</v>
      </c>
      <c r="BJ328" s="3" t="n">
        <v>7.69106006622314</v>
      </c>
      <c r="BK328" s="3" t="n">
        <v>7.11585998535156</v>
      </c>
      <c r="BL328" s="3" t="n">
        <v>7.29690980911255</v>
      </c>
      <c r="BM328" s="3" t="n">
        <v>7.25505018234253</v>
      </c>
      <c r="BN328" s="3" t="n">
        <v>7.38354015350342</v>
      </c>
      <c r="BO328" s="3" t="n">
        <v>6.99992990493774</v>
      </c>
      <c r="BP328" s="3" t="n">
        <v>5.29643440246582</v>
      </c>
      <c r="BQ328" s="3" t="n"/>
      <c r="BR328" s="34" t="str">
        <f>B328&amp;"|"&amp;D328</f>
        <v>DNK|SE.XPD.TOTL.GD.ZS</v>
      </c>
    </row>
    <row r="329">
      <c r="A329" s="3" t="inlineStr">
        <is>
          <t>Dominican Republic</t>
        </is>
      </c>
      <c r="B329" s="3" t="inlineStr">
        <is>
          <t>DOM</t>
        </is>
      </c>
      <c r="C329" s="3" t="inlineStr">
        <is>
          <t>Government expenditure on education, total (% of GDP)</t>
        </is>
      </c>
      <c r="D329" s="3" t="inlineStr">
        <is>
          <t>SE.XPD.TOTL.GD.ZS</t>
        </is>
      </c>
      <c r="E329" s="3" t="n">
        <v>2022</v>
      </c>
      <c r="F329" s="3" t="n"/>
      <c r="G329" s="3" t="n"/>
      <c r="H329" s="3" t="n"/>
      <c r="I329" s="3" t="n"/>
      <c r="J329" s="3" t="n"/>
      <c r="K329" s="3" t="n"/>
      <c r="L329" s="3" t="n"/>
      <c r="M329" s="3" t="n"/>
      <c r="N329" s="3" t="n"/>
      <c r="O329" s="3" t="n"/>
      <c r="P329" s="3" t="n">
        <v>2.64078998565674</v>
      </c>
      <c r="Q329" s="3" t="n"/>
      <c r="R329" s="3" t="n"/>
      <c r="S329" s="3" t="n"/>
      <c r="T329" s="3" t="n"/>
      <c r="U329" s="3" t="n"/>
      <c r="V329" s="3" t="n"/>
      <c r="W329" s="3" t="n"/>
      <c r="X329" s="3" t="n"/>
      <c r="Y329" s="3" t="n"/>
      <c r="Z329" s="3" t="n"/>
      <c r="AA329" s="3" t="n"/>
      <c r="AB329" s="3" t="n">
        <v>1.53891003131866</v>
      </c>
      <c r="AC329" s="3" t="n">
        <v>1.46382999420166</v>
      </c>
      <c r="AD329" s="3" t="n">
        <v>1.33455002307892</v>
      </c>
      <c r="AE329" s="3" t="n">
        <v>1.21019005775452</v>
      </c>
      <c r="AF329" s="3" t="n"/>
      <c r="AG329" s="3" t="n"/>
      <c r="AH329" s="3" t="n"/>
      <c r="AI329" s="3" t="n"/>
      <c r="AJ329" s="3" t="n"/>
      <c r="AK329" s="3" t="n"/>
      <c r="AL329" s="3" t="n"/>
      <c r="AM329" s="3" t="n">
        <v>0.773949980735779</v>
      </c>
      <c r="AN329" s="3" t="n">
        <v>0.893369972705841</v>
      </c>
      <c r="AO329" s="3" t="n">
        <v>1.0333000421524</v>
      </c>
      <c r="AP329" s="3" t="n">
        <v>1.22724997997284</v>
      </c>
      <c r="AQ329" s="3" t="n"/>
      <c r="AR329" s="3" t="n"/>
      <c r="AS329" s="3" t="n"/>
      <c r="AT329" s="3" t="n">
        <v>1.88829004764557</v>
      </c>
      <c r="AU329" s="3" t="n">
        <v>1.96782994270325</v>
      </c>
      <c r="AV329" s="3" t="n">
        <v>1.9140100479126</v>
      </c>
      <c r="AW329" s="3" t="n">
        <v>1.84465003013611</v>
      </c>
      <c r="AX329" s="3" t="n"/>
      <c r="AY329" s="3" t="n"/>
      <c r="AZ329" s="3" t="n"/>
      <c r="BA329" s="3" t="n">
        <v>2.04678988456726</v>
      </c>
      <c r="BB329" s="3" t="n"/>
      <c r="BC329" s="3" t="n"/>
      <c r="BD329" s="3" t="n">
        <v>1.88728785514832</v>
      </c>
      <c r="BE329" s="3" t="n">
        <v>1.87925755977631</v>
      </c>
      <c r="BF329" s="3" t="n"/>
      <c r="BG329" s="3" t="n">
        <v>3.62818145751953</v>
      </c>
      <c r="BH329" s="3" t="n">
        <v>3.62243437767029</v>
      </c>
      <c r="BI329" s="3" t="n">
        <v>3.6040027141571</v>
      </c>
      <c r="BJ329" s="3" t="n">
        <v>3.85049557685852</v>
      </c>
      <c r="BK329" s="3" t="n">
        <v>3.9202675819397</v>
      </c>
      <c r="BL329" s="3" t="n">
        <v>3.91821074485779</v>
      </c>
      <c r="BM329" s="3" t="n">
        <v>4.04276895523071</v>
      </c>
      <c r="BN329" s="3" t="n">
        <v>4.51769828796387</v>
      </c>
      <c r="BO329" s="3" t="n">
        <v>3.74731349945068</v>
      </c>
      <c r="BP329" s="3" t="n">
        <v>3.94027137756348</v>
      </c>
      <c r="BQ329" s="3" t="n"/>
      <c r="BR329" s="34" t="str">
        <f>B329&amp;"|"&amp;D329</f>
        <v>DOM|SE.XPD.TOTL.GD.ZS</v>
      </c>
    </row>
    <row r="330">
      <c r="A330" s="3" t="inlineStr">
        <is>
          <t>Algeria</t>
        </is>
      </c>
      <c r="B330" s="3" t="inlineStr">
        <is>
          <t>DZA</t>
        </is>
      </c>
      <c r="C330" s="3" t="inlineStr">
        <is>
          <t>Government expenditure on education, total (% of GDP)</t>
        </is>
      </c>
      <c r="D330" s="3" t="inlineStr">
        <is>
          <t>SE.XPD.TOTL.GD.ZS</t>
        </is>
      </c>
      <c r="E330" s="3" t="n">
        <v>2023</v>
      </c>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v>7.18201017379761</v>
      </c>
      <c r="Z330" s="3" t="n">
        <v>6.59742021560669</v>
      </c>
      <c r="AA330" s="3" t="n"/>
      <c r="AB330" s="3" t="n"/>
      <c r="AC330" s="3" t="n"/>
      <c r="AD330" s="3" t="n"/>
      <c r="AE330" s="3" t="n"/>
      <c r="AF330" s="3" t="n"/>
      <c r="AG330" s="3" t="n"/>
      <c r="AH330" s="3" t="n"/>
      <c r="AI330" s="3" t="n"/>
      <c r="AJ330" s="3" t="n"/>
      <c r="AK330" s="3" t="n"/>
      <c r="AL330" s="3" t="n"/>
      <c r="AM330" s="3" t="n"/>
      <c r="AN330" s="3" t="n"/>
      <c r="AO330" s="3" t="n"/>
      <c r="AP330" s="3" t="n"/>
      <c r="AQ330" s="3" t="n"/>
      <c r="AR330" s="3" t="n"/>
      <c r="AS330" s="3" t="n"/>
      <c r="AT330" s="3" t="n"/>
      <c r="AU330" s="3" t="n"/>
      <c r="AV330" s="3" t="n"/>
      <c r="AW330" s="3" t="n"/>
      <c r="AX330" s="3" t="n"/>
      <c r="AY330" s="3" t="n"/>
      <c r="AZ330" s="3" t="n"/>
      <c r="BA330" s="3" t="n"/>
      <c r="BB330" s="3" t="n">
        <v>4.11142015457153</v>
      </c>
      <c r="BC330" s="3" t="n"/>
      <c r="BD330" s="3" t="n"/>
      <c r="BE330" s="3" t="n"/>
      <c r="BF330" s="3" t="n">
        <v>7.0295090675354</v>
      </c>
      <c r="BG330" s="3" t="n">
        <v>6.65906047821045</v>
      </c>
      <c r="BH330" s="3" t="n">
        <v>6.54889822006226</v>
      </c>
      <c r="BI330" s="3" t="n">
        <v>6.17633008956909</v>
      </c>
      <c r="BJ330" s="3" t="n">
        <v>6.50210857391357</v>
      </c>
      <c r="BK330" s="3" t="n">
        <v>5.73482370376587</v>
      </c>
      <c r="BL330" s="3" t="n">
        <v>5.81275129318237</v>
      </c>
      <c r="BM330" s="3" t="n">
        <v>5.57536554336548</v>
      </c>
      <c r="BN330" s="3" t="n">
        <v>6.1939172744751</v>
      </c>
      <c r="BO330" s="3" t="n">
        <v>5.51403284072876</v>
      </c>
      <c r="BP330" s="3" t="n">
        <v>4.74924659729004</v>
      </c>
      <c r="BQ330" s="3" t="n">
        <v>5.61015701293945</v>
      </c>
      <c r="BR330" s="34" t="str">
        <f>B330&amp;"|"&amp;D330</f>
        <v>DZA|SE.XPD.TOTL.GD.ZS</v>
      </c>
    </row>
    <row r="331">
      <c r="A331" s="3" t="inlineStr">
        <is>
          <t>East Asia &amp; Pacific (excluding high income)</t>
        </is>
      </c>
      <c r="B331" s="3" t="inlineStr">
        <is>
          <t>EAP</t>
        </is>
      </c>
      <c r="C331" s="3" t="inlineStr">
        <is>
          <t>Government expenditure on education, total (% of GDP)</t>
        </is>
      </c>
      <c r="D331" s="3" t="inlineStr">
        <is>
          <t>SE.XPD.TOTL.GD.ZS</t>
        </is>
      </c>
      <c r="E331" s="3" t="n">
        <v>2023</v>
      </c>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c r="AD331" s="3" t="n"/>
      <c r="AE331" s="3" t="n"/>
      <c r="AF331" s="3" t="n"/>
      <c r="AG331" s="3" t="n"/>
      <c r="AH331" s="3" t="n"/>
      <c r="AI331" s="3" t="n"/>
      <c r="AJ331" s="3" t="n"/>
      <c r="AK331" s="3" t="n"/>
      <c r="AL331" s="3" t="n"/>
      <c r="AM331" s="3" t="n"/>
      <c r="AN331" s="3" t="n"/>
      <c r="AO331" s="3" t="n">
        <v>2.25295501947403</v>
      </c>
      <c r="AP331" s="3" t="n">
        <v>2.686659932136535</v>
      </c>
      <c r="AQ331" s="3" t="n">
        <v>3.513270020484925</v>
      </c>
      <c r="AR331" s="3" t="n"/>
      <c r="AS331" s="3" t="n"/>
      <c r="AT331" s="3" t="n">
        <v>4.208930015563965</v>
      </c>
      <c r="AU331" s="3" t="n">
        <v>2.92463994026184</v>
      </c>
      <c r="AV331" s="3" t="n">
        <v>2.89222002029419</v>
      </c>
      <c r="AW331" s="3" t="n"/>
      <c r="AX331" s="3" t="n">
        <v>2.74847006797791</v>
      </c>
      <c r="AY331" s="3" t="n"/>
      <c r="AZ331" s="3" t="n"/>
      <c r="BA331" s="3" t="n">
        <v>3.06133496761322</v>
      </c>
      <c r="BB331" s="3" t="n">
        <v>3.570144176483155</v>
      </c>
      <c r="BC331" s="3" t="n">
        <v>3.806730985641475</v>
      </c>
      <c r="BD331" s="3" t="n">
        <v>3.55966520309448</v>
      </c>
      <c r="BE331" s="3" t="n">
        <v>3.794723510742185</v>
      </c>
      <c r="BF331" s="3" t="n">
        <v>3.94740355014801</v>
      </c>
      <c r="BG331" s="3" t="n">
        <v>3.97710132598877</v>
      </c>
      <c r="BH331" s="3" t="n">
        <v>3.54012322425842</v>
      </c>
      <c r="BI331" s="3" t="n">
        <v>3.500102281570435</v>
      </c>
      <c r="BJ331" s="3" t="n">
        <v>3.3851774930954</v>
      </c>
      <c r="BK331" s="3" t="n">
        <v>3.441989183425905</v>
      </c>
      <c r="BL331" s="3" t="n">
        <v>3.17135858535767</v>
      </c>
      <c r="BM331" s="3" t="n">
        <v>3.053606271743775</v>
      </c>
      <c r="BN331" s="3" t="n">
        <v>3.21652889251709</v>
      </c>
      <c r="BO331" s="3" t="n">
        <v>2.98212432861328</v>
      </c>
      <c r="BP331" s="3" t="n">
        <v>2.88738679885864</v>
      </c>
      <c r="BQ331" s="3" t="n">
        <v>2.95115232467651</v>
      </c>
      <c r="BR331" s="34" t="str">
        <f>B331&amp;"|"&amp;D331</f>
        <v>EAP|SE.XPD.TOTL.GD.ZS</v>
      </c>
    </row>
    <row r="332">
      <c r="A332" s="3" t="inlineStr">
        <is>
          <t>Early-demographic dividend</t>
        </is>
      </c>
      <c r="B332" s="3" t="inlineStr">
        <is>
          <t>EAR</t>
        </is>
      </c>
      <c r="C332" s="3" t="inlineStr">
        <is>
          <t>Government expenditure on education, total (% of GDP)</t>
        </is>
      </c>
      <c r="D332" s="3" t="inlineStr">
        <is>
          <t>SE.XPD.TOTL.GD.ZS</t>
        </is>
      </c>
      <c r="E332" s="3" t="n">
        <v>2022</v>
      </c>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c r="AD332" s="3" t="n"/>
      <c r="AE332" s="3" t="n"/>
      <c r="AF332" s="3" t="n"/>
      <c r="AG332" s="3" t="n"/>
      <c r="AH332" s="3" t="n"/>
      <c r="AI332" s="3" t="n"/>
      <c r="AJ332" s="3" t="n"/>
      <c r="AK332" s="3" t="n"/>
      <c r="AL332" s="3" t="n"/>
      <c r="AM332" s="3" t="n"/>
      <c r="AN332" s="3" t="n"/>
      <c r="AO332" s="3" t="n"/>
      <c r="AP332" s="3" t="n"/>
      <c r="AQ332" s="3" t="n"/>
      <c r="AR332" s="3" t="n"/>
      <c r="AS332" s="3" t="n">
        <v>4.11037015914917</v>
      </c>
      <c r="AT332" s="3" t="n">
        <v>3.8178950548172</v>
      </c>
      <c r="AU332" s="3" t="n">
        <v>4.07168006896973</v>
      </c>
      <c r="AV332" s="3" t="n">
        <v>4.01734018325806</v>
      </c>
      <c r="AW332" s="3" t="n">
        <v>4.16870021820068</v>
      </c>
      <c r="AX332" s="3" t="n">
        <v>3.5786600112915</v>
      </c>
      <c r="AY332" s="3" t="n"/>
      <c r="AZ332" s="3" t="n">
        <v>4.209100008010865</v>
      </c>
      <c r="BA332" s="3" t="n">
        <v>3.618584990501405</v>
      </c>
      <c r="BB332" s="3" t="n">
        <v>4.012590050697325</v>
      </c>
      <c r="BC332" s="3" t="n">
        <v>4.51763010025024</v>
      </c>
      <c r="BD332" s="3" t="n">
        <v>3.89688181877136</v>
      </c>
      <c r="BE332" s="3" t="n">
        <v>3.91682505607605</v>
      </c>
      <c r="BF332" s="3" t="n">
        <v>4.404124975204464</v>
      </c>
      <c r="BG332" s="3" t="n">
        <v>4.50858020782471</v>
      </c>
      <c r="BH332" s="3" t="n">
        <v>3.991035223007205</v>
      </c>
      <c r="BI332" s="3" t="n">
        <v>3.920364022254945</v>
      </c>
      <c r="BJ332" s="3" t="n">
        <v>3.837867736816405</v>
      </c>
      <c r="BK332" s="3" t="n">
        <v>3.93130993843079</v>
      </c>
      <c r="BL332" s="3" t="n">
        <v>3.689162850379945</v>
      </c>
      <c r="BM332" s="3" t="n">
        <v>3.48775553703308</v>
      </c>
      <c r="BN332" s="3" t="n">
        <v>4.09056520462036</v>
      </c>
      <c r="BO332" s="3" t="n">
        <v>3.87249755859375</v>
      </c>
      <c r="BP332" s="3" t="n">
        <v>3.61778378486633</v>
      </c>
      <c r="BQ332" s="3" t="n"/>
      <c r="BR332" s="34" t="str">
        <f>B332&amp;"|"&amp;D332</f>
        <v>EAR|SE.XPD.TOTL.GD.ZS</v>
      </c>
    </row>
    <row r="333">
      <c r="A333" s="3" t="inlineStr">
        <is>
          <t>East Asia &amp; Pacific</t>
        </is>
      </c>
      <c r="B333" s="3" t="inlineStr">
        <is>
          <t>EAS</t>
        </is>
      </c>
      <c r="C333" s="3" t="inlineStr">
        <is>
          <t>Government expenditure on education, total (% of GDP)</t>
        </is>
      </c>
      <c r="D333" s="3" t="inlineStr">
        <is>
          <t>SE.XPD.TOTL.GD.ZS</t>
        </is>
      </c>
      <c r="E333" s="3" t="n">
        <v>2022</v>
      </c>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v>3.016639947891235</v>
      </c>
      <c r="AA333" s="3" t="n"/>
      <c r="AB333" s="3" t="n">
        <v>3.903290033340455</v>
      </c>
      <c r="AC333" s="3" t="n"/>
      <c r="AD333" s="3" t="n"/>
      <c r="AE333" s="3" t="n"/>
      <c r="AF333" s="3" t="n"/>
      <c r="AG333" s="3" t="n"/>
      <c r="AH333" s="3" t="n"/>
      <c r="AI333" s="3" t="n"/>
      <c r="AJ333" s="3" t="n"/>
      <c r="AK333" s="3" t="n"/>
      <c r="AL333" s="3" t="n"/>
      <c r="AM333" s="3" t="n"/>
      <c r="AN333" s="3" t="n"/>
      <c r="AO333" s="3" t="n"/>
      <c r="AP333" s="3" t="n"/>
      <c r="AQ333" s="3" t="n"/>
      <c r="AR333" s="3" t="n"/>
      <c r="AS333" s="3" t="n"/>
      <c r="AT333" s="3" t="n"/>
      <c r="AU333" s="3" t="n">
        <v>3.54249000549316</v>
      </c>
      <c r="AV333" s="3" t="n">
        <v>3.86491990089417</v>
      </c>
      <c r="AW333" s="3" t="n"/>
      <c r="AX333" s="3" t="n">
        <v>3.65276002883911</v>
      </c>
      <c r="AY333" s="3" t="n"/>
      <c r="AZ333" s="3" t="n"/>
      <c r="BA333" s="3" t="n">
        <v>3.178879976272585</v>
      </c>
      <c r="BB333" s="3" t="n">
        <v>3.39046001434326</v>
      </c>
      <c r="BC333" s="3" t="n">
        <v>3.88776075839996</v>
      </c>
      <c r="BD333" s="3" t="n">
        <v>3.55966520309448</v>
      </c>
      <c r="BE333" s="3" t="n">
        <v>3.7802300453186</v>
      </c>
      <c r="BF333" s="3" t="n">
        <v>3.59691834449768</v>
      </c>
      <c r="BG333" s="3" t="n">
        <v>3.82439851760864</v>
      </c>
      <c r="BH333" s="3" t="n">
        <v>3.556336641311645</v>
      </c>
      <c r="BI333" s="3" t="n">
        <v>3.500102281570435</v>
      </c>
      <c r="BJ333" s="3" t="n">
        <v>3.3851774930954</v>
      </c>
      <c r="BK333" s="3" t="n">
        <v>3.441989183425905</v>
      </c>
      <c r="BL333" s="3" t="n">
        <v>3.261967062950135</v>
      </c>
      <c r="BM333" s="3" t="n">
        <v>3.281413197517395</v>
      </c>
      <c r="BN333" s="3" t="n">
        <v>3.65287351608276</v>
      </c>
      <c r="BO333" s="3" t="n">
        <v>3.33563995361328</v>
      </c>
      <c r="BP333" s="3" t="n">
        <v>3.36847960948944</v>
      </c>
      <c r="BQ333" s="3" t="n"/>
      <c r="BR333" s="34" t="str">
        <f>B333&amp;"|"&amp;D333</f>
        <v>EAS|SE.XPD.TOTL.GD.ZS</v>
      </c>
    </row>
    <row r="334">
      <c r="A334" s="3" t="inlineStr">
        <is>
          <t>Europe &amp; Central Asia (excluding high income)</t>
        </is>
      </c>
      <c r="B334" s="3" t="inlineStr">
        <is>
          <t>ECA</t>
        </is>
      </c>
      <c r="C334" s="3" t="inlineStr">
        <is>
          <t>Government expenditure on education, total (% of GDP)</t>
        </is>
      </c>
      <c r="D334" s="3" t="inlineStr">
        <is>
          <t>SE.XPD.TOTL.GD.ZS</t>
        </is>
      </c>
      <c r="E334" s="3" t="n">
        <v>2023</v>
      </c>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c r="AD334" s="3" t="n"/>
      <c r="AE334" s="3" t="n"/>
      <c r="AF334" s="3" t="n"/>
      <c r="AG334" s="3" t="n"/>
      <c r="AH334" s="3" t="n"/>
      <c r="AI334" s="3" t="n"/>
      <c r="AJ334" s="3" t="n"/>
      <c r="AK334" s="3" t="n"/>
      <c r="AL334" s="3" t="n"/>
      <c r="AM334" s="3" t="n"/>
      <c r="AN334" s="3" t="n"/>
      <c r="AO334" s="3" t="n"/>
      <c r="AP334" s="3" t="n"/>
      <c r="AQ334" s="3" t="n"/>
      <c r="AR334" s="3" t="n"/>
      <c r="AS334" s="3" t="n">
        <v>3.755324959754945</v>
      </c>
      <c r="AT334" s="3" t="n">
        <v>3.46928000450134</v>
      </c>
      <c r="AU334" s="3" t="n">
        <v>3.45869994163513</v>
      </c>
      <c r="AV334" s="3" t="n">
        <v>3.13612997531891</v>
      </c>
      <c r="AW334" s="3" t="n">
        <v>3.258316040039065</v>
      </c>
      <c r="AX334" s="3" t="n">
        <v>3.337610006332395</v>
      </c>
      <c r="AY334" s="3" t="n">
        <v>3.39683997631073</v>
      </c>
      <c r="AZ334" s="3" t="n">
        <v>3.29747998714447</v>
      </c>
      <c r="BA334" s="3" t="n">
        <v>3.41326999664307</v>
      </c>
      <c r="BB334" s="3" t="n">
        <v>3.48452806472778</v>
      </c>
      <c r="BC334" s="3" t="n">
        <v>4.0983099937439</v>
      </c>
      <c r="BD334" s="3" t="n">
        <v>3.84397292137146</v>
      </c>
      <c r="BE334" s="3" t="n">
        <v>4.221519947052</v>
      </c>
      <c r="BF334" s="3" t="n">
        <v>3.95983362197876</v>
      </c>
      <c r="BG334" s="3" t="n">
        <v>4.677114963531495</v>
      </c>
      <c r="BH334" s="3" t="n">
        <v>4.41258001327515</v>
      </c>
      <c r="BI334" s="3" t="n">
        <v>4.30550003051758</v>
      </c>
      <c r="BJ334" s="3" t="n">
        <v>4.44612503051758</v>
      </c>
      <c r="BK334" s="3" t="n">
        <v>4.016924977302549</v>
      </c>
      <c r="BL334" s="3" t="n">
        <v>4.095134973526</v>
      </c>
      <c r="BM334" s="3" t="n">
        <v>4.04449987411499</v>
      </c>
      <c r="BN334" s="3" t="n">
        <v>4.389126777648925</v>
      </c>
      <c r="BO334" s="3" t="n">
        <v>4.13622999191284</v>
      </c>
      <c r="BP334" s="3" t="n">
        <v>4.10659122467041</v>
      </c>
      <c r="BQ334" s="3" t="n">
        <v>4.9514799118042</v>
      </c>
      <c r="BR334" s="34" t="str">
        <f>B334&amp;"|"&amp;D334</f>
        <v>ECA|SE.XPD.TOTL.GD.ZS</v>
      </c>
    </row>
    <row r="335">
      <c r="A335" s="3" t="inlineStr">
        <is>
          <t>Europe &amp; Central Asia</t>
        </is>
      </c>
      <c r="B335" s="3" t="inlineStr">
        <is>
          <t>ECS</t>
        </is>
      </c>
      <c r="C335" s="3" t="inlineStr">
        <is>
          <t>Government expenditure on education, total (% of GDP)</t>
        </is>
      </c>
      <c r="D335" s="3" t="inlineStr">
        <is>
          <t>SE.XPD.TOTL.GD.ZS</t>
        </is>
      </c>
      <c r="E335" s="3" t="n">
        <v>2022</v>
      </c>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c r="AD335" s="3" t="n"/>
      <c r="AE335" s="3" t="n"/>
      <c r="AF335" s="3" t="n"/>
      <c r="AG335" s="3" t="n"/>
      <c r="AH335" s="3" t="n"/>
      <c r="AI335" s="3" t="n"/>
      <c r="AJ335" s="3" t="n"/>
      <c r="AK335" s="3" t="n"/>
      <c r="AL335" s="3" t="n"/>
      <c r="AM335" s="3" t="n">
        <v>4.95048999786377</v>
      </c>
      <c r="AN335" s="3" t="n">
        <v>4.79561996459961</v>
      </c>
      <c r="AO335" s="3" t="n">
        <v>4.596094846725466</v>
      </c>
      <c r="AP335" s="3" t="n">
        <v>4.49445009231567</v>
      </c>
      <c r="AQ335" s="3" t="n"/>
      <c r="AR335" s="3" t="n">
        <v>4.45031023025513</v>
      </c>
      <c r="AS335" s="3" t="n">
        <v>4.50699996948242</v>
      </c>
      <c r="AT335" s="3" t="n">
        <v>4.388735055923465</v>
      </c>
      <c r="AU335" s="3" t="n">
        <v>4.65009021759033</v>
      </c>
      <c r="AV335" s="3" t="n">
        <v>4.528694868087765</v>
      </c>
      <c r="AW335" s="3" t="n">
        <v>5.0404200553894</v>
      </c>
      <c r="AX335" s="3" t="n">
        <v>4.83406019210815</v>
      </c>
      <c r="AY335" s="3" t="n">
        <v>4.92976999282837</v>
      </c>
      <c r="AZ335" s="3" t="n">
        <v>4.90767002105713</v>
      </c>
      <c r="BA335" s="3" t="n">
        <v>4.63328981399536</v>
      </c>
      <c r="BB335" s="3" t="n">
        <v>4.83990001678467</v>
      </c>
      <c r="BC335" s="3" t="n">
        <v>4.968065023422239</v>
      </c>
      <c r="BD335" s="3" t="n">
        <v>5.09588003158569</v>
      </c>
      <c r="BE335" s="3" t="n">
        <v>4.922635078430175</v>
      </c>
      <c r="BF335" s="3" t="n">
        <v>4.89862012863159</v>
      </c>
      <c r="BG335" s="3" t="n">
        <v>5.0094199180603</v>
      </c>
      <c r="BH335" s="3" t="n">
        <v>4.925795078277585</v>
      </c>
      <c r="BI335" s="3" t="n">
        <v>4.897535085678101</v>
      </c>
      <c r="BJ335" s="3" t="n">
        <v>4.79266977310181</v>
      </c>
      <c r="BK335" s="3" t="n">
        <v>4.68990993499756</v>
      </c>
      <c r="BL335" s="3" t="n">
        <v>4.67515993118286</v>
      </c>
      <c r="BM335" s="3" t="n">
        <v>4.58624505996704</v>
      </c>
      <c r="BN335" s="3" t="n">
        <v>4.86263990402222</v>
      </c>
      <c r="BO335" s="3" t="n">
        <v>4.790170192718505</v>
      </c>
      <c r="BP335" s="3" t="n">
        <v>4.54389047622681</v>
      </c>
      <c r="BQ335" s="3" t="n"/>
      <c r="BR335" s="34" t="str">
        <f>B335&amp;"|"&amp;D335</f>
        <v>ECS|SE.XPD.TOTL.GD.ZS</v>
      </c>
    </row>
    <row r="336">
      <c r="A336" s="3" t="inlineStr">
        <is>
          <t>Ecuador</t>
        </is>
      </c>
      <c r="B336" s="3" t="inlineStr">
        <is>
          <t>ECU</t>
        </is>
      </c>
      <c r="C336" s="3" t="inlineStr">
        <is>
          <t>Government expenditure on education, total (% of GDP)</t>
        </is>
      </c>
      <c r="D336" s="3" t="inlineStr">
        <is>
          <t>SE.XPD.TOTL.GD.ZS</t>
        </is>
      </c>
      <c r="E336" s="3" t="n">
        <v>2023</v>
      </c>
      <c r="F336" s="3" t="n"/>
      <c r="G336" s="3" t="n"/>
      <c r="H336" s="3" t="n"/>
      <c r="I336" s="3" t="n"/>
      <c r="J336" s="3" t="n"/>
      <c r="K336" s="3" t="n"/>
      <c r="L336" s="3" t="n"/>
      <c r="M336" s="3" t="n"/>
      <c r="N336" s="3" t="n"/>
      <c r="O336" s="3" t="n"/>
      <c r="P336" s="3" t="n">
        <v>2.00283002853394</v>
      </c>
      <c r="Q336" s="3" t="n">
        <v>1.87940001487732</v>
      </c>
      <c r="R336" s="3" t="n"/>
      <c r="S336" s="3" t="n"/>
      <c r="T336" s="3" t="n"/>
      <c r="U336" s="3" t="n"/>
      <c r="V336" s="3" t="n"/>
      <c r="W336" s="3" t="n">
        <v>2.41883993148804</v>
      </c>
      <c r="X336" s="3" t="n"/>
      <c r="Y336" s="3" t="n"/>
      <c r="Z336" s="3" t="n"/>
      <c r="AA336" s="3" t="n"/>
      <c r="AB336" s="3" t="n"/>
      <c r="AC336" s="3" t="n"/>
      <c r="AD336" s="3" t="n">
        <v>4.20342016220093</v>
      </c>
      <c r="AE336" s="3" t="n">
        <v>5.23334980010986</v>
      </c>
      <c r="AF336" s="3" t="n">
        <v>6.87237977981567</v>
      </c>
      <c r="AG336" s="3" t="n"/>
      <c r="AH336" s="3" t="n"/>
      <c r="AI336" s="3" t="n"/>
      <c r="AJ336" s="3" t="n"/>
      <c r="AK336" s="3" t="n"/>
      <c r="AL336" s="3" t="n"/>
      <c r="AM336" s="3" t="n"/>
      <c r="AN336" s="3" t="n"/>
      <c r="AO336" s="3" t="n">
        <v>1.99764001369476</v>
      </c>
      <c r="AP336" s="3" t="n"/>
      <c r="AQ336" s="3" t="n"/>
      <c r="AR336" s="3" t="n">
        <v>2.19536995887756</v>
      </c>
      <c r="AS336" s="3" t="n">
        <v>1.54734003543854</v>
      </c>
      <c r="AT336" s="3" t="n">
        <v>1.20265996456146</v>
      </c>
      <c r="AU336" s="3" t="n"/>
      <c r="AV336" s="3" t="n"/>
      <c r="AW336" s="3" t="n"/>
      <c r="AX336" s="3" t="n"/>
      <c r="AY336" s="3" t="n"/>
      <c r="AZ336" s="3" t="n"/>
      <c r="BA336" s="3" t="n"/>
      <c r="BB336" s="3" t="n"/>
      <c r="BC336" s="3" t="n">
        <v>4.51763010025024</v>
      </c>
      <c r="BD336" s="3" t="n">
        <v>4.60028982162476</v>
      </c>
      <c r="BE336" s="3" t="n">
        <v>4.74424982070923</v>
      </c>
      <c r="BF336" s="3" t="n">
        <v>4.65310001373291</v>
      </c>
      <c r="BG336" s="3" t="n">
        <v>4.92997980117798</v>
      </c>
      <c r="BH336" s="3" t="n">
        <v>5.21020984649658</v>
      </c>
      <c r="BI336" s="3" t="n">
        <v>5.10570001602173</v>
      </c>
      <c r="BJ336" s="3" t="n">
        <v>4.36274814605713</v>
      </c>
      <c r="BK336" s="3" t="n">
        <v>4.6142578125</v>
      </c>
      <c r="BL336" s="3" t="n">
        <v>4.62145519256592</v>
      </c>
      <c r="BM336" s="3" t="n">
        <v>4.2457799911499</v>
      </c>
      <c r="BN336" s="3" t="n">
        <v>4.26103019714355</v>
      </c>
      <c r="BO336" s="3" t="n">
        <v>3.64776992797852</v>
      </c>
      <c r="BP336" s="3" t="n">
        <v>3.59897994995117</v>
      </c>
      <c r="BQ336" s="3" t="n">
        <v>3.89365005493164</v>
      </c>
      <c r="BR336" s="34" t="str">
        <f>B336&amp;"|"&amp;D336</f>
        <v>ECU|SE.XPD.TOTL.GD.ZS</v>
      </c>
    </row>
    <row r="337">
      <c r="A337" s="3" t="inlineStr">
        <is>
          <t>Egypt, Arab Rep.</t>
        </is>
      </c>
      <c r="B337" s="3" t="inlineStr">
        <is>
          <t>EGY</t>
        </is>
      </c>
      <c r="C337" s="3" t="inlineStr">
        <is>
          <t>Government expenditure on education, total (% of GDP)</t>
        </is>
      </c>
      <c r="D337" s="3" t="inlineStr">
        <is>
          <t>SE.XPD.TOTL.GD.ZS</t>
        </is>
      </c>
      <c r="E337" s="3" t="n">
        <v>2015</v>
      </c>
      <c r="F337" s="3" t="n"/>
      <c r="G337" s="3" t="n"/>
      <c r="H337" s="3" t="n"/>
      <c r="I337" s="3" t="n"/>
      <c r="J337" s="3" t="n"/>
      <c r="K337" s="3" t="n"/>
      <c r="L337" s="3" t="n"/>
      <c r="M337" s="3" t="n"/>
      <c r="N337" s="3" t="n"/>
      <c r="O337" s="3" t="n"/>
      <c r="P337" s="3" t="n"/>
      <c r="Q337" s="3" t="n">
        <v>4.52992010116577</v>
      </c>
      <c r="R337" s="3" t="n">
        <v>4.5378999710083</v>
      </c>
      <c r="S337" s="3" t="n"/>
      <c r="T337" s="3" t="n">
        <v>5.2266697883606</v>
      </c>
      <c r="U337" s="3" t="n">
        <v>4.8924298286438</v>
      </c>
      <c r="V337" s="3" t="n">
        <v>4.94342994689941</v>
      </c>
      <c r="W337" s="3" t="n">
        <v>4.54958009719849</v>
      </c>
      <c r="X337" s="3" t="n">
        <v>4.94112014770508</v>
      </c>
      <c r="Y337" s="3" t="n"/>
      <c r="Z337" s="3" t="n">
        <v>4.2803201675415</v>
      </c>
      <c r="AA337" s="3" t="n"/>
      <c r="AB337" s="3" t="n">
        <v>5.60830020904541</v>
      </c>
      <c r="AC337" s="3" t="n">
        <v>5.22148990631104</v>
      </c>
      <c r="AD337" s="3" t="n"/>
      <c r="AE337" s="3" t="n"/>
      <c r="AF337" s="3" t="n"/>
      <c r="AG337" s="3" t="n"/>
      <c r="AH337" s="3" t="n">
        <v>4.52521991729736</v>
      </c>
      <c r="AI337" s="3" t="n">
        <v>4.6000599861145</v>
      </c>
      <c r="AJ337" s="3" t="n"/>
      <c r="AK337" s="3" t="n"/>
      <c r="AL337" s="3" t="n">
        <v>4.05067014694214</v>
      </c>
      <c r="AM337" s="3" t="n">
        <v>4.19770002365112</v>
      </c>
      <c r="AN337" s="3" t="n">
        <v>4.58375978469849</v>
      </c>
      <c r="AO337" s="3" t="n">
        <v>4.60400009155273</v>
      </c>
      <c r="AP337" s="3" t="n">
        <v>4.67156982421875</v>
      </c>
      <c r="AQ337" s="3" t="n"/>
      <c r="AR337" s="3" t="n"/>
      <c r="AS337" s="3" t="n"/>
      <c r="AT337" s="3" t="n"/>
      <c r="AU337" s="3" t="n"/>
      <c r="AV337" s="3" t="n">
        <v>4.7958836555481</v>
      </c>
      <c r="AW337" s="3" t="n">
        <v>4.94563007354736</v>
      </c>
      <c r="AX337" s="3" t="n">
        <v>4.67072010040283</v>
      </c>
      <c r="AY337" s="3" t="n">
        <v>4.79442977905273</v>
      </c>
      <c r="AZ337" s="3" t="n">
        <v>4.00178003311157</v>
      </c>
      <c r="BA337" s="3" t="n">
        <v>3.68460988998413</v>
      </c>
      <c r="BB337" s="3" t="n">
        <v>3.76082992553711</v>
      </c>
      <c r="BC337" s="3" t="n">
        <v>3.6391909122467</v>
      </c>
      <c r="BD337" s="3" t="n">
        <v>3.54265189170837</v>
      </c>
      <c r="BE337" s="3" t="n">
        <v>3.3442964553833</v>
      </c>
      <c r="BF337" s="3" t="n">
        <v>3.36830472946167</v>
      </c>
      <c r="BG337" s="3" t="n">
        <v>4.12252616882324</v>
      </c>
      <c r="BH337" s="3" t="n">
        <v>4.25138568878174</v>
      </c>
      <c r="BI337" s="3" t="n">
        <v>3.93084812164307</v>
      </c>
      <c r="BJ337" s="3" t="n"/>
      <c r="BK337" s="3" t="n"/>
      <c r="BL337" s="3" t="n"/>
      <c r="BM337" s="3" t="n"/>
      <c r="BN337" s="3" t="n"/>
      <c r="BO337" s="3" t="n"/>
      <c r="BP337" s="3" t="n"/>
      <c r="BQ337" s="3" t="n"/>
      <c r="BR337" s="34" t="str">
        <f>B337&amp;"|"&amp;D337</f>
        <v>EGY|SE.XPD.TOTL.GD.ZS</v>
      </c>
    </row>
    <row r="338">
      <c r="A338" s="3" t="inlineStr">
        <is>
          <t>Euro area</t>
        </is>
      </c>
      <c r="B338" s="3" t="inlineStr">
        <is>
          <t>EMU</t>
        </is>
      </c>
      <c r="C338" s="3" t="inlineStr">
        <is>
          <t>Government expenditure on education, total (% of GDP)</t>
        </is>
      </c>
      <c r="D338" s="3" t="inlineStr">
        <is>
          <t>SE.XPD.TOTL.GD.ZS</t>
        </is>
      </c>
      <c r="E338" s="3" t="n">
        <v>2021</v>
      </c>
      <c r="F338" s="3" t="n"/>
      <c r="G338" s="3" t="n"/>
      <c r="H338" s="3" t="n"/>
      <c r="I338" s="3" t="n"/>
      <c r="J338" s="3" t="n"/>
      <c r="K338" s="3" t="n"/>
      <c r="L338" s="3" t="n"/>
      <c r="M338" s="3" t="n"/>
      <c r="N338" s="3" t="n"/>
      <c r="O338" s="3" t="n"/>
      <c r="P338" s="3" t="n"/>
      <c r="Q338" s="3" t="n"/>
      <c r="R338" s="3" t="n"/>
      <c r="S338" s="3" t="n"/>
      <c r="T338" s="3" t="n">
        <v>4.24202013015747</v>
      </c>
      <c r="U338" s="3" t="n"/>
      <c r="V338" s="3" t="n">
        <v>4.360599994659426</v>
      </c>
      <c r="W338" s="3" t="n"/>
      <c r="X338" s="3" t="n">
        <v>4.3451099395752</v>
      </c>
      <c r="Y338" s="3" t="n">
        <v>4.79690980911255</v>
      </c>
      <c r="Z338" s="3" t="n"/>
      <c r="AA338" s="3" t="n"/>
      <c r="AB338" s="3" t="n"/>
      <c r="AC338" s="3" t="n"/>
      <c r="AD338" s="3" t="n"/>
      <c r="AE338" s="3" t="n"/>
      <c r="AF338" s="3" t="n">
        <v>4.85229015350342</v>
      </c>
      <c r="AG338" s="3" t="n">
        <v>4.62343978881836</v>
      </c>
      <c r="AH338" s="3" t="n">
        <v>4.568745136260985</v>
      </c>
      <c r="AI338" s="3" t="n"/>
      <c r="AJ338" s="3" t="n">
        <v>4.51393985748291</v>
      </c>
      <c r="AK338" s="3" t="n">
        <v>4.429244995117189</v>
      </c>
      <c r="AL338" s="3" t="n">
        <v>4.870510101318355</v>
      </c>
      <c r="AM338" s="3" t="n">
        <v>4.900749921798705</v>
      </c>
      <c r="AN338" s="3" t="n">
        <v>4.70306015014648</v>
      </c>
      <c r="AO338" s="3" t="n">
        <v>4.69021487236023</v>
      </c>
      <c r="AP338" s="3" t="n">
        <v>4.799570083618165</v>
      </c>
      <c r="AQ338" s="3" t="n"/>
      <c r="AR338" s="3" t="n">
        <v>4.54056978225708</v>
      </c>
      <c r="AS338" s="3" t="n">
        <v>4.51084995269775</v>
      </c>
      <c r="AT338" s="3" t="n">
        <v>5.27427005767822</v>
      </c>
      <c r="AU338" s="3" t="n">
        <v>5.33713006973267</v>
      </c>
      <c r="AV338" s="3" t="n">
        <v>5.25871992111206</v>
      </c>
      <c r="AW338" s="3" t="n">
        <v>5.085664987564085</v>
      </c>
      <c r="AX338" s="3" t="n">
        <v>4.9615650177002</v>
      </c>
      <c r="AY338" s="3" t="n">
        <v>5.0916748046875</v>
      </c>
      <c r="AZ338" s="3" t="n">
        <v>4.957320690155029</v>
      </c>
      <c r="BA338" s="3" t="n">
        <v>4.674350023269655</v>
      </c>
      <c r="BB338" s="3" t="n">
        <v>5.06928491592407</v>
      </c>
      <c r="BC338" s="3" t="n">
        <v>5.559059858322145</v>
      </c>
      <c r="BD338" s="3" t="n">
        <v>5.450789928436279</v>
      </c>
      <c r="BE338" s="3" t="n">
        <v>5.118380069732665</v>
      </c>
      <c r="BF338" s="3" t="n">
        <v>5.315917015075685</v>
      </c>
      <c r="BG338" s="3" t="n">
        <v>5.308379888534545</v>
      </c>
      <c r="BH338" s="3" t="n">
        <v>5.15007567405701</v>
      </c>
      <c r="BI338" s="3" t="n">
        <v>4.93930768966675</v>
      </c>
      <c r="BJ338" s="3" t="n">
        <v>4.8159499168396</v>
      </c>
      <c r="BK338" s="3" t="n">
        <v>4.826184988021855</v>
      </c>
      <c r="BL338" s="3" t="n">
        <v>4.80485987663269</v>
      </c>
      <c r="BM338" s="3" t="n">
        <v>4.760775089263915</v>
      </c>
      <c r="BN338" s="3" t="n">
        <v>5.13956999778748</v>
      </c>
      <c r="BO338" s="3" t="n">
        <v>5.05046486854553</v>
      </c>
      <c r="BP338" s="3" t="n"/>
      <c r="BQ338" s="3" t="n"/>
      <c r="BR338" s="34" t="str">
        <f>B338&amp;"|"&amp;D338</f>
        <v>EMU|SE.XPD.TOTL.GD.ZS</v>
      </c>
    </row>
    <row r="339">
      <c r="A339" s="3" t="inlineStr">
        <is>
          <t>Eritrea</t>
        </is>
      </c>
      <c r="B339" s="3" t="inlineStr">
        <is>
          <t>ERI</t>
        </is>
      </c>
      <c r="C339" s="3" t="inlineStr">
        <is>
          <t>Government expenditure on education, total (% of GDP)</t>
        </is>
      </c>
      <c r="D339" s="3" t="inlineStr">
        <is>
          <t>SE.XPD.TOTL.GD.ZS</t>
        </is>
      </c>
      <c r="E339" s="3" t="n">
        <v>2006</v>
      </c>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c r="AD339" s="3" t="n"/>
      <c r="AE339" s="3" t="n"/>
      <c r="AF339" s="3" t="n"/>
      <c r="AG339" s="3" t="n"/>
      <c r="AH339" s="3" t="n"/>
      <c r="AI339" s="3" t="n"/>
      <c r="AJ339" s="3" t="n"/>
      <c r="AK339" s="3" t="n"/>
      <c r="AL339" s="3" t="n"/>
      <c r="AM339" s="3" t="n"/>
      <c r="AN339" s="3" t="n"/>
      <c r="AO339" s="3" t="n"/>
      <c r="AP339" s="3" t="n">
        <v>1.63855004310608</v>
      </c>
      <c r="AQ339" s="3" t="n"/>
      <c r="AR339" s="3" t="n">
        <v>4.62058019638062</v>
      </c>
      <c r="AS339" s="3" t="n">
        <v>5.26281023025513</v>
      </c>
      <c r="AT339" s="3" t="n"/>
      <c r="AU339" s="3" t="n">
        <v>4.04716014862061</v>
      </c>
      <c r="AV339" s="3" t="n">
        <v>3.52390003204346</v>
      </c>
      <c r="AW339" s="3" t="n"/>
      <c r="AX339" s="3" t="n">
        <v>3.14896988868713</v>
      </c>
      <c r="AY339" s="3" t="n"/>
      <c r="AZ339" s="3" t="n">
        <v>2.12700009346008</v>
      </c>
      <c r="BA339" s="3" t="n"/>
      <c r="BB339" s="3" t="n"/>
      <c r="BC339" s="3" t="n"/>
      <c r="BD339" s="3" t="n"/>
      <c r="BE339" s="3" t="n"/>
      <c r="BF339" s="3" t="n"/>
      <c r="BG339" s="3" t="n"/>
      <c r="BH339" s="3" t="n"/>
      <c r="BI339" s="3" t="n"/>
      <c r="BJ339" s="3" t="n"/>
      <c r="BK339" s="3" t="n"/>
      <c r="BL339" s="3" t="n"/>
      <c r="BM339" s="3" t="n"/>
      <c r="BN339" s="3" t="n"/>
      <c r="BO339" s="3" t="n"/>
      <c r="BP339" s="3" t="n"/>
      <c r="BQ339" s="3" t="n"/>
      <c r="BR339" s="34" t="str">
        <f>B339&amp;"|"&amp;D339</f>
        <v>ERI|SE.XPD.TOTL.GD.ZS</v>
      </c>
    </row>
    <row r="340">
      <c r="A340" s="3" t="inlineStr">
        <is>
          <t>Spain</t>
        </is>
      </c>
      <c r="B340" s="3" t="inlineStr">
        <is>
          <t>ESP</t>
        </is>
      </c>
      <c r="C340" s="3" t="inlineStr">
        <is>
          <t>Government expenditure on education, total (% of GDP)</t>
        </is>
      </c>
      <c r="D340" s="3" t="inlineStr">
        <is>
          <t>SE.XPD.TOTL.GD.ZS</t>
        </is>
      </c>
      <c r="E340" s="3" t="n">
        <v>2022</v>
      </c>
      <c r="F340" s="3" t="n"/>
      <c r="G340" s="3" t="n"/>
      <c r="H340" s="3" t="n"/>
      <c r="I340" s="3" t="n"/>
      <c r="J340" s="3" t="n"/>
      <c r="K340" s="3" t="n"/>
      <c r="L340" s="3" t="n"/>
      <c r="M340" s="3" t="n"/>
      <c r="N340" s="3" t="n"/>
      <c r="O340" s="3" t="n"/>
      <c r="P340" s="3" t="n">
        <v>1.83300995826721</v>
      </c>
      <c r="Q340" s="3" t="n">
        <v>1.889279961586</v>
      </c>
      <c r="R340" s="3" t="n">
        <v>2.06465005874634</v>
      </c>
      <c r="S340" s="3" t="n"/>
      <c r="T340" s="3" t="n">
        <v>1.45956003665924</v>
      </c>
      <c r="U340" s="3" t="n"/>
      <c r="V340" s="3" t="n">
        <v>1.89938998222351</v>
      </c>
      <c r="W340" s="3" t="n">
        <v>2.07716989517212</v>
      </c>
      <c r="X340" s="3" t="n">
        <v>2.2307300567627</v>
      </c>
      <c r="Y340" s="3" t="n">
        <v>2.33804988861084</v>
      </c>
      <c r="Z340" s="3" t="n"/>
      <c r="AA340" s="3" t="n"/>
      <c r="AB340" s="3" t="n"/>
      <c r="AC340" s="3" t="n"/>
      <c r="AD340" s="3" t="n"/>
      <c r="AE340" s="3" t="n"/>
      <c r="AF340" s="3" t="n"/>
      <c r="AG340" s="3" t="n">
        <v>3.12818002700806</v>
      </c>
      <c r="AH340" s="3" t="n">
        <v>3.32829999923706</v>
      </c>
      <c r="AI340" s="3" t="n">
        <v>3.55177998542786</v>
      </c>
      <c r="AJ340" s="3" t="n">
        <v>3.63358998298645</v>
      </c>
      <c r="AK340" s="3" t="n">
        <v>3.74235010147095</v>
      </c>
      <c r="AL340" s="3" t="n">
        <v>3.83716011047363</v>
      </c>
      <c r="AM340" s="3" t="n">
        <v>4.2448902130127</v>
      </c>
      <c r="AN340" s="3" t="n">
        <v>4.48468017578125</v>
      </c>
      <c r="AO340" s="3" t="n">
        <v>4.43462991714478</v>
      </c>
      <c r="AP340" s="3" t="n">
        <v>4.45745992660522</v>
      </c>
      <c r="AQ340" s="3" t="n"/>
      <c r="AR340" s="3" t="n">
        <v>4.28785991668701</v>
      </c>
      <c r="AS340" s="3" t="n">
        <v>4.2604398727417</v>
      </c>
      <c r="AT340" s="3" t="n">
        <v>4.16604995727539</v>
      </c>
      <c r="AU340" s="3" t="n">
        <v>4.1112699508667</v>
      </c>
      <c r="AV340" s="3" t="n">
        <v>4.13457012176514</v>
      </c>
      <c r="AW340" s="3" t="n">
        <v>4.1734299659729</v>
      </c>
      <c r="AX340" s="3" t="n">
        <v>4.15785980224609</v>
      </c>
      <c r="AY340" s="3" t="n">
        <v>4.14432001113892</v>
      </c>
      <c r="AZ340" s="3" t="n">
        <v>4.1848201751709</v>
      </c>
      <c r="BA340" s="3" t="n">
        <v>4.25404977798462</v>
      </c>
      <c r="BB340" s="3" t="n">
        <v>4.52805995941162</v>
      </c>
      <c r="BC340" s="3" t="n">
        <v>4.91200017929077</v>
      </c>
      <c r="BD340" s="3" t="n">
        <v>4.85608005523682</v>
      </c>
      <c r="BE340" s="3" t="n">
        <v>4.7408299446106</v>
      </c>
      <c r="BF340" s="3" t="n">
        <v>4.48113012313843</v>
      </c>
      <c r="BG340" s="3" t="n">
        <v>4.34961986541748</v>
      </c>
      <c r="BH340" s="3" t="n">
        <v>4.30150985717773</v>
      </c>
      <c r="BI340" s="3" t="n">
        <v>4.28457021713257</v>
      </c>
      <c r="BJ340" s="3" t="n">
        <v>4.22544002532959</v>
      </c>
      <c r="BK340" s="3" t="n">
        <v>4.20552015304565</v>
      </c>
      <c r="BL340" s="3" t="n">
        <v>4.1794900894165</v>
      </c>
      <c r="BM340" s="3" t="n">
        <v>4.23021984100342</v>
      </c>
      <c r="BN340" s="3" t="n">
        <v>4.89540004730225</v>
      </c>
      <c r="BO340" s="3" t="n">
        <v>4.86506986618042</v>
      </c>
      <c r="BP340" s="3" t="n">
        <v>4.31587886810303</v>
      </c>
      <c r="BQ340" s="3" t="n"/>
      <c r="BR340" s="34" t="str">
        <f>B340&amp;"|"&amp;D340</f>
        <v>ESP|SE.XPD.TOTL.GD.ZS</v>
      </c>
    </row>
    <row r="341">
      <c r="A341" s="3" t="inlineStr">
        <is>
          <t>Estonia</t>
        </is>
      </c>
      <c r="B341" s="3" t="inlineStr">
        <is>
          <t>EST</t>
        </is>
      </c>
      <c r="C341" s="3" t="inlineStr">
        <is>
          <t>Government expenditure on education, total (% of GDP)</t>
        </is>
      </c>
      <c r="D341" s="3" t="inlineStr">
        <is>
          <t>SE.XPD.TOTL.GD.ZS</t>
        </is>
      </c>
      <c r="E341" s="3" t="n">
        <v>2021</v>
      </c>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c r="AD341" s="3" t="n"/>
      <c r="AE341" s="3" t="n"/>
      <c r="AF341" s="3" t="n"/>
      <c r="AG341" s="3" t="n"/>
      <c r="AH341" s="3" t="n"/>
      <c r="AI341" s="3" t="n"/>
      <c r="AJ341" s="3" t="n"/>
      <c r="AK341" s="3" t="n"/>
      <c r="AL341" s="3" t="n">
        <v>5.28141021728516</v>
      </c>
      <c r="AM341" s="3" t="n">
        <v>5.69822978973389</v>
      </c>
      <c r="AN341" s="3" t="n">
        <v>5.49428987503052</v>
      </c>
      <c r="AO341" s="3" t="n">
        <v>5.89866018295288</v>
      </c>
      <c r="AP341" s="3" t="n">
        <v>6.0549201965332</v>
      </c>
      <c r="AQ341" s="3" t="n">
        <v>6.33788013458252</v>
      </c>
      <c r="AR341" s="3" t="n">
        <v>6.23536014556885</v>
      </c>
      <c r="AS341" s="3" t="n">
        <v>6.65249013900757</v>
      </c>
      <c r="AT341" s="3" t="n">
        <v>5.33945989608765</v>
      </c>
      <c r="AU341" s="3" t="n">
        <v>5.22845983505249</v>
      </c>
      <c r="AV341" s="3" t="n">
        <v>5.43460988998413</v>
      </c>
      <c r="AW341" s="3" t="n">
        <v>5.27309989929199</v>
      </c>
      <c r="AX341" s="3" t="n">
        <v>4.87674999237061</v>
      </c>
      <c r="AY341" s="3" t="n">
        <v>4.81026983261108</v>
      </c>
      <c r="AZ341" s="3" t="n">
        <v>5.85676240921021</v>
      </c>
      <c r="BA341" s="3" t="n">
        <v>4.61990976333618</v>
      </c>
      <c r="BB341" s="3" t="n">
        <v>5.48403978347778</v>
      </c>
      <c r="BC341" s="3" t="n">
        <v>5.96005010604858</v>
      </c>
      <c r="BD341" s="3" t="n">
        <v>5.51778984069824</v>
      </c>
      <c r="BE341" s="3" t="n">
        <v>5.01449012756348</v>
      </c>
      <c r="BF341" s="3" t="n">
        <v>4.71772003173828</v>
      </c>
      <c r="BG341" s="3" t="n">
        <v>4.84388017654419</v>
      </c>
      <c r="BH341" s="3" t="n">
        <v>4.39433002471924</v>
      </c>
      <c r="BI341" s="3" t="n">
        <v>5.14418983459473</v>
      </c>
      <c r="BJ341" s="3" t="n">
        <v>5.15763998031616</v>
      </c>
      <c r="BK341" s="3" t="n">
        <v>4.96131992340088</v>
      </c>
      <c r="BL341" s="3" t="n">
        <v>5.23997020721436</v>
      </c>
      <c r="BM341" s="3" t="n">
        <v>5.26041984558105</v>
      </c>
      <c r="BN341" s="3" t="n">
        <v>5.52696990966797</v>
      </c>
      <c r="BO341" s="3" t="n">
        <v>5.2632098197937</v>
      </c>
      <c r="BP341" s="3" t="n"/>
      <c r="BQ341" s="3" t="n"/>
      <c r="BR341" s="34" t="str">
        <f>B341&amp;"|"&amp;D341</f>
        <v>EST|SE.XPD.TOTL.GD.ZS</v>
      </c>
    </row>
    <row r="342">
      <c r="A342" s="3" t="inlineStr">
        <is>
          <t>Ethiopia</t>
        </is>
      </c>
      <c r="B342" s="3" t="inlineStr">
        <is>
          <t>ETH</t>
        </is>
      </c>
      <c r="C342" s="3" t="inlineStr">
        <is>
          <t>Government expenditure on education, total (% of GDP)</t>
        </is>
      </c>
      <c r="D342" s="3" t="inlineStr">
        <is>
          <t>SE.XPD.TOTL.GD.ZS</t>
        </is>
      </c>
      <c r="E342" s="3" t="n">
        <v>2022</v>
      </c>
      <c r="F342" s="3" t="n"/>
      <c r="G342" s="3" t="n"/>
      <c r="H342" s="3" t="n"/>
      <c r="I342" s="3" t="n"/>
      <c r="J342" s="3" t="n"/>
      <c r="K342" s="3" t="n"/>
      <c r="L342" s="3" t="n"/>
      <c r="M342" s="3" t="n"/>
      <c r="N342" s="3" t="n"/>
      <c r="O342" s="3" t="n"/>
      <c r="P342" s="3" t="n"/>
      <c r="Q342" s="3" t="n">
        <v>1.19766998291016</v>
      </c>
      <c r="R342" s="3" t="n">
        <v>1.31442999839783</v>
      </c>
      <c r="S342" s="3" t="n"/>
      <c r="T342" s="3" t="n"/>
      <c r="U342" s="3" t="n"/>
      <c r="V342" s="3" t="n"/>
      <c r="W342" s="3" t="n">
        <v>2.15985989570618</v>
      </c>
      <c r="X342" s="3" t="n">
        <v>1.9349399805069</v>
      </c>
      <c r="Y342" s="3" t="n">
        <v>2.00423002243042</v>
      </c>
      <c r="Z342" s="3" t="n">
        <v>1.81620001792908</v>
      </c>
      <c r="AA342" s="3" t="n">
        <v>1.85807001590729</v>
      </c>
      <c r="AB342" s="3" t="n">
        <v>2.06093001365662</v>
      </c>
      <c r="AC342" s="3" t="n">
        <v>2.24603009223938</v>
      </c>
      <c r="AD342" s="3" t="n">
        <v>2.06062006950378</v>
      </c>
      <c r="AE342" s="3" t="n">
        <v>2.28065991401672</v>
      </c>
      <c r="AF342" s="3" t="n">
        <v>2.08590006828308</v>
      </c>
      <c r="AG342" s="3" t="n"/>
      <c r="AH342" s="3" t="n"/>
      <c r="AI342" s="3" t="n"/>
      <c r="AJ342" s="3" t="n"/>
      <c r="AK342" s="3" t="n"/>
      <c r="AL342" s="3" t="n"/>
      <c r="AM342" s="3" t="n">
        <v>2.29690003395081</v>
      </c>
      <c r="AN342" s="3" t="n"/>
      <c r="AO342" s="3" t="n"/>
      <c r="AP342" s="3" t="n">
        <v>2.70707988739014</v>
      </c>
      <c r="AQ342" s="3" t="n">
        <v>2.69079995155334</v>
      </c>
      <c r="AR342" s="3" t="n"/>
      <c r="AS342" s="3" t="n"/>
      <c r="AT342" s="3" t="n">
        <v>3.88614988327026</v>
      </c>
      <c r="AU342" s="3" t="n">
        <v>3.7002899646759</v>
      </c>
      <c r="AV342" s="3" t="n">
        <v>3.63245010375977</v>
      </c>
      <c r="AW342" s="3" t="n"/>
      <c r="AX342" s="3" t="n"/>
      <c r="AY342" s="3" t="n"/>
      <c r="AZ342" s="3" t="n">
        <v>5.49096012115479</v>
      </c>
      <c r="BA342" s="3" t="n">
        <v>5.45112991333008</v>
      </c>
      <c r="BB342" s="3" t="n">
        <v>5.40819978713989</v>
      </c>
      <c r="BC342" s="3" t="n">
        <v>4.42207002639771</v>
      </c>
      <c r="BD342" s="3" t="n">
        <v>4.49659013748169</v>
      </c>
      <c r="BE342" s="3" t="n">
        <v>5.48576021194458</v>
      </c>
      <c r="BF342" s="3" t="n">
        <v>5.56678009033203</v>
      </c>
      <c r="BG342" s="3" t="n">
        <v>4.82446432113647</v>
      </c>
      <c r="BH342" s="3" t="n">
        <v>4.79265069961548</v>
      </c>
      <c r="BI342" s="3" t="n">
        <v>5.15336132049561</v>
      </c>
      <c r="BJ342" s="3" t="n">
        <v>5.06151390075684</v>
      </c>
      <c r="BK342" s="3" t="n">
        <v>5.49905061721802</v>
      </c>
      <c r="BL342" s="3" t="n">
        <v>5.22011184692383</v>
      </c>
      <c r="BM342" s="3" t="n">
        <v>4.48086929321289</v>
      </c>
      <c r="BN342" s="3" t="n">
        <v>4.09056520462036</v>
      </c>
      <c r="BO342" s="3" t="n">
        <v>4.06524896621704</v>
      </c>
      <c r="BP342" s="3" t="n">
        <v>3.73649501800537</v>
      </c>
      <c r="BQ342" s="3" t="n"/>
      <c r="BR342" s="34" t="str">
        <f>B342&amp;"|"&amp;D342</f>
        <v>ETH|SE.XPD.TOTL.GD.ZS</v>
      </c>
    </row>
    <row r="343">
      <c r="A343" s="3" t="inlineStr">
        <is>
          <t>European Union</t>
        </is>
      </c>
      <c r="B343" s="3" t="inlineStr">
        <is>
          <t>EUU</t>
        </is>
      </c>
      <c r="C343" s="3" t="inlineStr">
        <is>
          <t>Government expenditure on education, total (% of GDP)</t>
        </is>
      </c>
      <c r="D343" s="3" t="inlineStr">
        <is>
          <t>SE.XPD.TOTL.GD.ZS</t>
        </is>
      </c>
      <c r="E343" s="3" t="n">
        <v>2021</v>
      </c>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v>4.917534828186035</v>
      </c>
      <c r="Z343" s="3" t="n"/>
      <c r="AA343" s="3" t="n"/>
      <c r="AB343" s="3" t="n"/>
      <c r="AC343" s="3" t="n"/>
      <c r="AD343" s="3" t="n"/>
      <c r="AE343" s="3" t="n"/>
      <c r="AF343" s="3" t="n"/>
      <c r="AG343" s="3" t="n"/>
      <c r="AH343" s="3" t="n">
        <v>4.568745136260985</v>
      </c>
      <c r="AI343" s="3" t="n"/>
      <c r="AJ343" s="3" t="n">
        <v>4.557250022888185</v>
      </c>
      <c r="AK343" s="3" t="n">
        <v>4.84130001068115</v>
      </c>
      <c r="AL343" s="3" t="n">
        <v>5.0056300163269</v>
      </c>
      <c r="AM343" s="3" t="n">
        <v>4.955519914627075</v>
      </c>
      <c r="AN343" s="3" t="n">
        <v>4.70306015014648</v>
      </c>
      <c r="AO343" s="3" t="n">
        <v>4.69021487236023</v>
      </c>
      <c r="AP343" s="3" t="n">
        <v>4.75392007827759</v>
      </c>
      <c r="AQ343" s="3" t="n"/>
      <c r="AR343" s="3" t="n">
        <v>4.54056978225708</v>
      </c>
      <c r="AS343" s="3" t="n">
        <v>4.57943487167358</v>
      </c>
      <c r="AT343" s="3" t="n">
        <v>5.07388997077942</v>
      </c>
      <c r="AU343" s="3" t="n">
        <v>5.27374482154846</v>
      </c>
      <c r="AV343" s="3" t="n">
        <v>5.21897506713867</v>
      </c>
      <c r="AW343" s="3" t="n">
        <v>5.11418008804321</v>
      </c>
      <c r="AX343" s="3" t="n">
        <v>5.04638004302979</v>
      </c>
      <c r="AY343" s="3" t="n">
        <v>5.10939979553223</v>
      </c>
      <c r="AZ343" s="3" t="n">
        <v>5.00697135925293</v>
      </c>
      <c r="BA343" s="3" t="n">
        <v>4.71541023254395</v>
      </c>
      <c r="BB343" s="3" t="n">
        <v>5.02904987335205</v>
      </c>
      <c r="BC343" s="3" t="n">
        <v>5.52265977859497</v>
      </c>
      <c r="BD343" s="3" t="n">
        <v>5.29786014556885</v>
      </c>
      <c r="BE343" s="3" t="n">
        <v>5.07161998748779</v>
      </c>
      <c r="BF343" s="3" t="n">
        <v>4.94940996170044</v>
      </c>
      <c r="BG343" s="3" t="n">
        <v>5.021240234375</v>
      </c>
      <c r="BH343" s="3" t="n">
        <v>4.9665699005127</v>
      </c>
      <c r="BI343" s="3" t="n">
        <v>4.90953016281128</v>
      </c>
      <c r="BJ343" s="3" t="n">
        <v>4.79266977310181</v>
      </c>
      <c r="BK343" s="3" t="n">
        <v>4.64757013320923</v>
      </c>
      <c r="BL343" s="3" t="n">
        <v>4.62343978881836</v>
      </c>
      <c r="BM343" s="3" t="n">
        <v>4.63002014160156</v>
      </c>
      <c r="BN343" s="3" t="n">
        <v>4.87656021118164</v>
      </c>
      <c r="BO343" s="3" t="n">
        <v>4.80319976806641</v>
      </c>
      <c r="BP343" s="3" t="n"/>
      <c r="BQ343" s="3" t="n"/>
      <c r="BR343" s="34" t="str">
        <f>B343&amp;"|"&amp;D343</f>
        <v>EUU|SE.XPD.TOTL.GD.ZS</v>
      </c>
    </row>
    <row r="344">
      <c r="A344" s="3" t="inlineStr">
        <is>
          <t>Fragile and conflict affected situations</t>
        </is>
      </c>
      <c r="B344" s="3" t="inlineStr">
        <is>
          <t>FCS</t>
        </is>
      </c>
      <c r="C344" s="3" t="inlineStr">
        <is>
          <t>Government expenditure on education, total (% of GDP)</t>
        </is>
      </c>
      <c r="D344" s="3" t="inlineStr">
        <is>
          <t>SE.XPD.TOTL.GD.ZS</t>
        </is>
      </c>
      <c r="E344" s="3" t="n">
        <v>2021</v>
      </c>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c r="AD344" s="3" t="n"/>
      <c r="AE344" s="3" t="n"/>
      <c r="AF344" s="3" t="n"/>
      <c r="AG344" s="3" t="n"/>
      <c r="AH344" s="3" t="n"/>
      <c r="AI344" s="3" t="n"/>
      <c r="AJ344" s="3" t="n"/>
      <c r="AK344" s="3" t="n"/>
      <c r="AL344" s="3" t="n"/>
      <c r="AM344" s="3" t="n"/>
      <c r="AN344" s="3" t="n"/>
      <c r="AO344" s="3" t="n"/>
      <c r="AP344" s="3" t="n"/>
      <c r="AQ344" s="3" t="n"/>
      <c r="AR344" s="3" t="n"/>
      <c r="AS344" s="3" t="n"/>
      <c r="AT344" s="3" t="n"/>
      <c r="AU344" s="3" t="n"/>
      <c r="AV344" s="3" t="n"/>
      <c r="AW344" s="3" t="n"/>
      <c r="AX344" s="3" t="n"/>
      <c r="AY344" s="3" t="n"/>
      <c r="AZ344" s="3" t="n"/>
      <c r="BA344" s="3" t="n"/>
      <c r="BB344" s="3" t="n"/>
      <c r="BC344" s="3" t="n"/>
      <c r="BD344" s="3" t="n">
        <v>3.34388995170593</v>
      </c>
      <c r="BE344" s="3" t="n">
        <v>3.26981496810913</v>
      </c>
      <c r="BF344" s="3" t="n">
        <v>3.1868200302124</v>
      </c>
      <c r="BG344" s="3" t="n">
        <v>3.36955499649048</v>
      </c>
      <c r="BH344" s="3" t="n">
        <v>3.64819002151489</v>
      </c>
      <c r="BI344" s="3" t="n">
        <v>3.19731497764587</v>
      </c>
      <c r="BJ344" s="3" t="n">
        <v>2.56234002113342</v>
      </c>
      <c r="BK344" s="3" t="n">
        <v>3.78976988792419</v>
      </c>
      <c r="BL344" s="3" t="n">
        <v>2.901315093040465</v>
      </c>
      <c r="BM344" s="3" t="n">
        <v>3.52622723579407</v>
      </c>
      <c r="BN344" s="3" t="n">
        <v>3.65287351608276</v>
      </c>
      <c r="BO344" s="3" t="n">
        <v>3.67454195022583</v>
      </c>
      <c r="BP344" s="3" t="n"/>
      <c r="BQ344" s="3" t="n"/>
      <c r="BR344" s="34" t="str">
        <f>B344&amp;"|"&amp;D344</f>
        <v>FCS|SE.XPD.TOTL.GD.ZS</v>
      </c>
    </row>
    <row r="345">
      <c r="A345" s="3" t="inlineStr">
        <is>
          <t>Finland</t>
        </is>
      </c>
      <c r="B345" s="3" t="inlineStr">
        <is>
          <t>FIN</t>
        </is>
      </c>
      <c r="C345" s="3" t="inlineStr">
        <is>
          <t>Government expenditure on education, total (% of GDP)</t>
        </is>
      </c>
      <c r="D345" s="3" t="inlineStr">
        <is>
          <t>SE.XPD.TOTL.GD.ZS</t>
        </is>
      </c>
      <c r="E345" s="3" t="n">
        <v>2021</v>
      </c>
      <c r="F345" s="3" t="n"/>
      <c r="G345" s="3" t="n"/>
      <c r="H345" s="3" t="n"/>
      <c r="I345" s="3" t="n"/>
      <c r="J345" s="3" t="n"/>
      <c r="K345" s="3" t="n"/>
      <c r="L345" s="3" t="n"/>
      <c r="M345" s="3" t="n"/>
      <c r="N345" s="3" t="n"/>
      <c r="O345" s="3" t="n"/>
      <c r="P345" s="3" t="n">
        <v>5.413489818573</v>
      </c>
      <c r="Q345" s="3" t="n">
        <v>5.33137989044189</v>
      </c>
      <c r="R345" s="3" t="n">
        <v>5.0081901550293</v>
      </c>
      <c r="S345" s="3" t="n">
        <v>5.09337997436523</v>
      </c>
      <c r="T345" s="3" t="n">
        <v>4.48230981826782</v>
      </c>
      <c r="U345" s="3" t="n">
        <v>5.03323984146118</v>
      </c>
      <c r="V345" s="3" t="n">
        <v>5.22833013534546</v>
      </c>
      <c r="W345" s="3" t="n"/>
      <c r="X345" s="3" t="n"/>
      <c r="Y345" s="3" t="n">
        <v>4.79690980911255</v>
      </c>
      <c r="Z345" s="3" t="n">
        <v>4.82574987411499</v>
      </c>
      <c r="AA345" s="3" t="n">
        <v>4.83336019515991</v>
      </c>
      <c r="AB345" s="3" t="n">
        <v>4.77929019927979</v>
      </c>
      <c r="AC345" s="3" t="n">
        <v>4.85560989379883</v>
      </c>
      <c r="AD345" s="3" t="n">
        <v>4.69891977310181</v>
      </c>
      <c r="AE345" s="3" t="n">
        <v>5.04542016983032</v>
      </c>
      <c r="AF345" s="3" t="n">
        <v>5.1003999710083</v>
      </c>
      <c r="AG345" s="3" t="n">
        <v>5.20081996917725</v>
      </c>
      <c r="AH345" s="3" t="n">
        <v>5.06695985794067</v>
      </c>
      <c r="AI345" s="3" t="n">
        <v>5.07260990142822</v>
      </c>
      <c r="AJ345" s="3" t="n">
        <v>5.33890008926392</v>
      </c>
      <c r="AK345" s="3" t="n">
        <v>6.33748006820679</v>
      </c>
      <c r="AL345" s="3" t="n">
        <v>6.52050018310547</v>
      </c>
      <c r="AM345" s="3" t="n">
        <v>7.48716020584106</v>
      </c>
      <c r="AN345" s="3" t="n">
        <v>6.85706996917725</v>
      </c>
      <c r="AO345" s="3" t="n">
        <v>6.80990982055664</v>
      </c>
      <c r="AP345" s="3" t="n">
        <v>6.85898017883301</v>
      </c>
      <c r="AQ345" s="3" t="n"/>
      <c r="AR345" s="3" t="n"/>
      <c r="AS345" s="3" t="n">
        <v>5.86992979049683</v>
      </c>
      <c r="AT345" s="3" t="n">
        <v>5.70930004119873</v>
      </c>
      <c r="AU345" s="3" t="n">
        <v>5.84025001525879</v>
      </c>
      <c r="AV345" s="3" t="n">
        <v>6.01677989959717</v>
      </c>
      <c r="AW345" s="3" t="n">
        <v>6.16743993759155</v>
      </c>
      <c r="AX345" s="3" t="n">
        <v>6.15757989883423</v>
      </c>
      <c r="AY345" s="3" t="n">
        <v>6.02507019042969</v>
      </c>
      <c r="AZ345" s="3" t="n">
        <v>5.92838001251221</v>
      </c>
      <c r="BA345" s="3" t="n">
        <v>5.67125988006592</v>
      </c>
      <c r="BB345" s="3" t="n">
        <v>5.83010005950928</v>
      </c>
      <c r="BC345" s="3" t="n">
        <v>6.45955991744995</v>
      </c>
      <c r="BD345" s="3" t="n">
        <v>6.50444984436035</v>
      </c>
      <c r="BE345" s="3" t="n">
        <v>6.44504976272583</v>
      </c>
      <c r="BF345" s="3" t="n">
        <v>7.14803981781006</v>
      </c>
      <c r="BG345" s="3" t="n">
        <v>7.12404012680054</v>
      </c>
      <c r="BH345" s="3" t="n">
        <v>7.10236978530884</v>
      </c>
      <c r="BI345" s="3" t="n">
        <v>7.03208017349243</v>
      </c>
      <c r="BJ345" s="3" t="n">
        <v>6.85153007507324</v>
      </c>
      <c r="BK345" s="3" t="n">
        <v>6.36311006546021</v>
      </c>
      <c r="BL345" s="3" t="n">
        <v>6.27557992935181</v>
      </c>
      <c r="BM345" s="3" t="n">
        <v>6.41695022583008</v>
      </c>
      <c r="BN345" s="3" t="n">
        <v>6.6349401473999</v>
      </c>
      <c r="BO345" s="3" t="n">
        <v>6.53825998306274</v>
      </c>
      <c r="BP345" s="3" t="n"/>
      <c r="BQ345" s="3" t="n"/>
      <c r="BR345" s="34" t="str">
        <f>B345&amp;"|"&amp;D345</f>
        <v>FIN|SE.XPD.TOTL.GD.ZS</v>
      </c>
    </row>
    <row r="346">
      <c r="A346" s="3" t="inlineStr">
        <is>
          <t>Fiji</t>
        </is>
      </c>
      <c r="B346" s="3" t="inlineStr">
        <is>
          <t>FJI</t>
        </is>
      </c>
      <c r="C346" s="3" t="inlineStr">
        <is>
          <t>Government expenditure on education, total (% of GDP)</t>
        </is>
      </c>
      <c r="D346" s="3" t="inlineStr">
        <is>
          <t>SE.XPD.TOTL.GD.ZS</t>
        </is>
      </c>
      <c r="E346" s="3" t="n">
        <v>2023</v>
      </c>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v>5.19760990142822</v>
      </c>
      <c r="Z346" s="3" t="n"/>
      <c r="AA346" s="3" t="n">
        <v>5.82120990753174</v>
      </c>
      <c r="AB346" s="3" t="n"/>
      <c r="AC346" s="3" t="n">
        <v>6.48669004440308</v>
      </c>
      <c r="AD346" s="3" t="n"/>
      <c r="AE346" s="3" t="n"/>
      <c r="AF346" s="3" t="n"/>
      <c r="AG346" s="3" t="n"/>
      <c r="AH346" s="3" t="n"/>
      <c r="AI346" s="3" t="n">
        <v>4.83109998703003</v>
      </c>
      <c r="AJ346" s="3" t="n"/>
      <c r="AK346" s="3" t="n"/>
      <c r="AL346" s="3" t="n"/>
      <c r="AM346" s="3" t="n"/>
      <c r="AN346" s="3" t="n"/>
      <c r="AO346" s="3" t="n"/>
      <c r="AP346" s="3" t="n"/>
      <c r="AQ346" s="3" t="n"/>
      <c r="AR346" s="3" t="n">
        <v>5.52470016479492</v>
      </c>
      <c r="AS346" s="3" t="n">
        <v>5.16864013671875</v>
      </c>
      <c r="AT346" s="3" t="n">
        <v>5.87773990631104</v>
      </c>
      <c r="AU346" s="3" t="n">
        <v>5.6431097984314</v>
      </c>
      <c r="AV346" s="3" t="n">
        <v>6.27586984634399</v>
      </c>
      <c r="AW346" s="3" t="n"/>
      <c r="AX346" s="3" t="n">
        <v>6.20915985107422</v>
      </c>
      <c r="AY346" s="3" t="n">
        <v>5.16705989837646</v>
      </c>
      <c r="AZ346" s="3" t="n">
        <v>5.6553201675415</v>
      </c>
      <c r="BA346" s="3" t="n">
        <v>5.89472007751465</v>
      </c>
      <c r="BB346" s="3" t="n">
        <v>4.25357007980347</v>
      </c>
      <c r="BC346" s="3" t="n">
        <v>4.49847984313965</v>
      </c>
      <c r="BD346" s="3" t="n"/>
      <c r="BE346" s="3" t="n">
        <v>4.17305994033813</v>
      </c>
      <c r="BF346" s="3" t="n">
        <v>4.46150588989258</v>
      </c>
      <c r="BG346" s="3" t="n">
        <v>4.35139417648315</v>
      </c>
      <c r="BH346" s="3" t="n">
        <v>3.76960921287537</v>
      </c>
      <c r="BI346" s="3" t="n">
        <v>4.80931758880615</v>
      </c>
      <c r="BJ346" s="3" t="n">
        <v>4.83590269088745</v>
      </c>
      <c r="BK346" s="3" t="n">
        <v>4.65119171142578</v>
      </c>
      <c r="BL346" s="3" t="n">
        <v>4.79706048965454</v>
      </c>
      <c r="BM346" s="3" t="n">
        <v>5.15273189544678</v>
      </c>
      <c r="BN346" s="3" t="n">
        <v>5.80519533157349</v>
      </c>
      <c r="BO346" s="3" t="n">
        <v>4.85268640518188</v>
      </c>
      <c r="BP346" s="3" t="n">
        <v>3.93839550018311</v>
      </c>
      <c r="BQ346" s="3" t="n">
        <v>4.24679803848267</v>
      </c>
      <c r="BR346" s="34" t="str">
        <f>B346&amp;"|"&amp;D346</f>
        <v>FJI|SE.XPD.TOTL.GD.ZS</v>
      </c>
    </row>
    <row r="347">
      <c r="A347" s="3" t="inlineStr">
        <is>
          <t>France</t>
        </is>
      </c>
      <c r="B347" s="3" t="inlineStr">
        <is>
          <t>FRA</t>
        </is>
      </c>
      <c r="C347" s="3" t="inlineStr">
        <is>
          <t>Government expenditure on education, total (% of GDP)</t>
        </is>
      </c>
      <c r="D347" s="3" t="inlineStr">
        <is>
          <t>SE.XPD.TOTL.GD.ZS</t>
        </is>
      </c>
      <c r="E347" s="3" t="n">
        <v>2021</v>
      </c>
      <c r="F347" s="3" t="n"/>
      <c r="G347" s="3" t="n"/>
      <c r="H347" s="3" t="n"/>
      <c r="I347" s="3" t="n"/>
      <c r="J347" s="3" t="n"/>
      <c r="K347" s="3" t="n"/>
      <c r="L347" s="3" t="n"/>
      <c r="M347" s="3" t="n"/>
      <c r="N347" s="3" t="n"/>
      <c r="O347" s="3" t="n"/>
      <c r="P347" s="3" t="n">
        <v>3.4297399520874</v>
      </c>
      <c r="Q347" s="3" t="n">
        <v>3.17421007156372</v>
      </c>
      <c r="R347" s="3" t="n">
        <v>3.35917997360229</v>
      </c>
      <c r="S347" s="3" t="n">
        <v>3.23003005981445</v>
      </c>
      <c r="T347" s="3" t="n">
        <v>4.24202013015747</v>
      </c>
      <c r="U347" s="3" t="n">
        <v>4.42854022979736</v>
      </c>
      <c r="V347" s="3" t="n">
        <v>4.42470979690552</v>
      </c>
      <c r="W347" s="3" t="n">
        <v>4.43521022796631</v>
      </c>
      <c r="X347" s="3" t="n">
        <v>4.3451099395752</v>
      </c>
      <c r="Y347" s="3" t="n">
        <v>4.2811598777771</v>
      </c>
      <c r="Z347" s="3" t="n">
        <v>4.30769014358521</v>
      </c>
      <c r="AA347" s="3" t="n">
        <v>4.73072004318237</v>
      </c>
      <c r="AB347" s="3" t="n">
        <v>4.85202980041504</v>
      </c>
      <c r="AC347" s="3" t="n">
        <v>4.85234022140503</v>
      </c>
      <c r="AD347" s="3" t="n">
        <v>4.86753988265991</v>
      </c>
      <c r="AE347" s="3" t="n">
        <v>4.85157012939453</v>
      </c>
      <c r="AF347" s="3" t="n">
        <v>4.70795011520386</v>
      </c>
      <c r="AG347" s="3" t="n">
        <v>4.62343978881836</v>
      </c>
      <c r="AH347" s="3" t="n">
        <v>4.54472017288208</v>
      </c>
      <c r="AI347" s="3" t="n">
        <v>4.45639991760254</v>
      </c>
      <c r="AJ347" s="3" t="n">
        <v>4.51393985748291</v>
      </c>
      <c r="AK347" s="3" t="n">
        <v>4.84130001068115</v>
      </c>
      <c r="AL347" s="3" t="n">
        <v>4.73539018630981</v>
      </c>
      <c r="AM347" s="3" t="n">
        <v>5.42959022521973</v>
      </c>
      <c r="AN347" s="3" t="n">
        <v>5.62643003463745</v>
      </c>
      <c r="AO347" s="3" t="n">
        <v>5.79072999954224</v>
      </c>
      <c r="AP347" s="3" t="n">
        <v>5.75672006607056</v>
      </c>
      <c r="AQ347" s="3" t="n"/>
      <c r="AR347" s="3" t="n">
        <v>5.68792009353638</v>
      </c>
      <c r="AS347" s="3" t="n"/>
      <c r="AT347" s="3" t="n">
        <v>5.60021924972534</v>
      </c>
      <c r="AU347" s="3" t="n">
        <v>5.61780023574829</v>
      </c>
      <c r="AV347" s="3" t="n">
        <v>5.78097534179688</v>
      </c>
      <c r="AW347" s="3" t="n">
        <v>5.76206302642822</v>
      </c>
      <c r="AX347" s="3" t="n">
        <v>5.54923391342163</v>
      </c>
      <c r="AY347" s="3" t="n">
        <v>5.51722764968872</v>
      </c>
      <c r="AZ347" s="3" t="n">
        <v>5.47531032562256</v>
      </c>
      <c r="BA347" s="3" t="n">
        <v>5.30452871322632</v>
      </c>
      <c r="BB347" s="3" t="n">
        <v>5.38727569580078</v>
      </c>
      <c r="BC347" s="3" t="n">
        <v>5.66921901702881</v>
      </c>
      <c r="BD347" s="3" t="n">
        <v>5.64279174804688</v>
      </c>
      <c r="BE347" s="3" t="n">
        <v>5.48011541366577</v>
      </c>
      <c r="BF347" s="3" t="n">
        <v>5.48835611343384</v>
      </c>
      <c r="BG347" s="3" t="n">
        <v>5.4928936958313</v>
      </c>
      <c r="BH347" s="3" t="n">
        <v>5.48920440673828</v>
      </c>
      <c r="BI347" s="3" t="n">
        <v>5.44642734527588</v>
      </c>
      <c r="BJ347" s="3" t="n">
        <v>5.40805816650391</v>
      </c>
      <c r="BK347" s="3" t="n">
        <v>5.45160007476807</v>
      </c>
      <c r="BL347" s="3" t="n">
        <v>5.40716981887817</v>
      </c>
      <c r="BM347" s="3" t="n">
        <v>5.35443019866943</v>
      </c>
      <c r="BN347" s="3" t="n">
        <v>5.65981006622314</v>
      </c>
      <c r="BO347" s="3" t="n">
        <v>5.43038988113403</v>
      </c>
      <c r="BP347" s="3" t="n"/>
      <c r="BQ347" s="3" t="n"/>
      <c r="BR347" s="34" t="str">
        <f>B347&amp;"|"&amp;D347</f>
        <v>FRA|SE.XPD.TOTL.GD.ZS</v>
      </c>
    </row>
    <row r="348">
      <c r="A348" s="3" t="inlineStr">
        <is>
          <t>Faroe Islands</t>
        </is>
      </c>
      <c r="B348" s="3" t="inlineStr">
        <is>
          <t>FRO</t>
        </is>
      </c>
      <c r="C348" s="3" t="inlineStr">
        <is>
          <t>Government expenditure on education, total (% of GDP)</t>
        </is>
      </c>
      <c r="D348" s="3" t="inlineStr">
        <is>
          <t>SE.XPD.TOTL.GD.ZS</t>
        </is>
      </c>
      <c r="E348" s="3" t="inlineStr">
        <is>
          <t>0x2a</t>
        </is>
      </c>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c r="AD348" s="3" t="n"/>
      <c r="AE348" s="3" t="n"/>
      <c r="AF348" s="3" t="n"/>
      <c r="AG348" s="3" t="n"/>
      <c r="AH348" s="3" t="n"/>
      <c r="AI348" s="3" t="n"/>
      <c r="AJ348" s="3" t="n"/>
      <c r="AK348" s="3" t="n"/>
      <c r="AL348" s="3" t="n"/>
      <c r="AM348" s="3" t="n"/>
      <c r="AN348" s="3" t="n"/>
      <c r="AO348" s="3" t="n"/>
      <c r="AP348" s="3" t="n"/>
      <c r="AQ348" s="3" t="n"/>
      <c r="AR348" s="3" t="n"/>
      <c r="AS348" s="3" t="n"/>
      <c r="AT348" s="3" t="n"/>
      <c r="AU348" s="3" t="n"/>
      <c r="AV348" s="3" t="n"/>
      <c r="AW348" s="3" t="n"/>
      <c r="AX348" s="3" t="n"/>
      <c r="AY348" s="3" t="n"/>
      <c r="AZ348" s="3" t="n"/>
      <c r="BA348" s="3" t="n"/>
      <c r="BB348" s="3" t="n"/>
      <c r="BC348" s="3" t="n"/>
      <c r="BD348" s="3" t="n"/>
      <c r="BE348" s="3" t="n"/>
      <c r="BF348" s="3" t="n"/>
      <c r="BG348" s="3" t="n"/>
      <c r="BH348" s="3" t="n"/>
      <c r="BI348" s="3" t="n"/>
      <c r="BJ348" s="3" t="n"/>
      <c r="BK348" s="3" t="n"/>
      <c r="BL348" s="3" t="n"/>
      <c r="BM348" s="3" t="n"/>
      <c r="BN348" s="3" t="n"/>
      <c r="BO348" s="3" t="n"/>
      <c r="BP348" s="3" t="n"/>
      <c r="BQ348" s="3" t="n"/>
      <c r="BR348" s="34" t="str">
        <f>B348&amp;"|"&amp;D348</f>
        <v>FRO|SE.XPD.TOTL.GD.ZS</v>
      </c>
    </row>
    <row r="349">
      <c r="A349" s="3" t="inlineStr">
        <is>
          <t>Micronesia, Fed. Sts.</t>
        </is>
      </c>
      <c r="B349" s="3" t="inlineStr">
        <is>
          <t>FSM</t>
        </is>
      </c>
      <c r="C349" s="3" t="inlineStr">
        <is>
          <t>Government expenditure on education, total (% of GDP)</t>
        </is>
      </c>
      <c r="D349" s="3" t="inlineStr">
        <is>
          <t>SE.XPD.TOTL.GD.ZS</t>
        </is>
      </c>
      <c r="E349" s="3" t="n">
        <v>2020</v>
      </c>
      <c r="F349" s="3" t="n"/>
      <c r="G349" s="3" t="n"/>
      <c r="H349" s="3" t="n"/>
      <c r="I349" s="3" t="n"/>
      <c r="J349" s="3" t="n"/>
      <c r="K349" s="3" t="n"/>
      <c r="L349" s="3" t="n"/>
      <c r="M349" s="3" t="n"/>
      <c r="N349" s="3" t="n"/>
      <c r="O349" s="3" t="n"/>
      <c r="P349" s="3" t="n"/>
      <c r="Q349" s="3" t="n"/>
      <c r="R349" s="3" t="n">
        <v>66.9003067016602</v>
      </c>
      <c r="S349" s="3" t="n"/>
      <c r="T349" s="3" t="n"/>
      <c r="U349" s="3" t="n"/>
      <c r="V349" s="3" t="n"/>
      <c r="W349" s="3" t="n"/>
      <c r="X349" s="3" t="n"/>
      <c r="Y349" s="3" t="n"/>
      <c r="Z349" s="3" t="n"/>
      <c r="AA349" s="3" t="n"/>
      <c r="AB349" s="3" t="n"/>
      <c r="AC349" s="3" t="n"/>
      <c r="AD349" s="3" t="n"/>
      <c r="AE349" s="3" t="n"/>
      <c r="AF349" s="3" t="n"/>
      <c r="AG349" s="3" t="n"/>
      <c r="AH349" s="3" t="n"/>
      <c r="AI349" s="3" t="n"/>
      <c r="AJ349" s="3" t="n"/>
      <c r="AK349" s="3" t="n"/>
      <c r="AL349" s="3" t="n"/>
      <c r="AM349" s="3" t="n"/>
      <c r="AN349" s="3" t="n"/>
      <c r="AO349" s="3" t="n"/>
      <c r="AP349" s="3" t="n"/>
      <c r="AQ349" s="3" t="n"/>
      <c r="AR349" s="3" t="n"/>
      <c r="AS349" s="3" t="n">
        <v>6.42491006851196</v>
      </c>
      <c r="AT349" s="3" t="n">
        <v>6.70687007904053</v>
      </c>
      <c r="AU349" s="3" t="n"/>
      <c r="AV349" s="3" t="n"/>
      <c r="AW349" s="3" t="n"/>
      <c r="AX349" s="3" t="n"/>
      <c r="AY349" s="3" t="n"/>
      <c r="AZ349" s="3" t="n"/>
      <c r="BA349" s="3" t="n"/>
      <c r="BB349" s="3" t="n"/>
      <c r="BC349" s="3" t="n"/>
      <c r="BD349" s="3" t="n"/>
      <c r="BE349" s="3" t="n"/>
      <c r="BF349" s="3" t="n">
        <v>11.7189998626709</v>
      </c>
      <c r="BG349" s="3" t="n">
        <v>12.3439998626709</v>
      </c>
      <c r="BH349" s="3" t="n">
        <v>12.2279996871948</v>
      </c>
      <c r="BI349" s="3" t="n">
        <v>13.6470003128052</v>
      </c>
      <c r="BJ349" s="3" t="n">
        <v>13.5129995346069</v>
      </c>
      <c r="BK349" s="3" t="n">
        <v>12.4160003662109</v>
      </c>
      <c r="BL349" s="3" t="n">
        <v>9.696999549865721</v>
      </c>
      <c r="BM349" s="3" t="n">
        <v>10.2259998321533</v>
      </c>
      <c r="BN349" s="3" t="n">
        <v>10.5389995574951</v>
      </c>
      <c r="BO349" s="3" t="n"/>
      <c r="BP349" s="3" t="n"/>
      <c r="BQ349" s="3" t="n"/>
      <c r="BR349" s="34" t="str">
        <f>B349&amp;"|"&amp;D349</f>
        <v>FSM|SE.XPD.TOTL.GD.ZS</v>
      </c>
    </row>
    <row r="350">
      <c r="A350" s="3" t="inlineStr">
        <is>
          <t>Gabon</t>
        </is>
      </c>
      <c r="B350" s="3" t="inlineStr">
        <is>
          <t>GAB</t>
        </is>
      </c>
      <c r="C350" s="3" t="inlineStr">
        <is>
          <t>Government expenditure on education, total (% of GDP)</t>
        </is>
      </c>
      <c r="D350" s="3" t="inlineStr">
        <is>
          <t>SE.XPD.TOTL.GD.ZS</t>
        </is>
      </c>
      <c r="E350" s="3" t="n">
        <v>2022</v>
      </c>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c r="AD350" s="3" t="n"/>
      <c r="AE350" s="3" t="n"/>
      <c r="AF350" s="3" t="n"/>
      <c r="AG350" s="3" t="n"/>
      <c r="AH350" s="3" t="n"/>
      <c r="AI350" s="3" t="n"/>
      <c r="AJ350" s="3" t="n"/>
      <c r="AK350" s="3" t="n"/>
      <c r="AL350" s="3" t="n">
        <v>2.80552005767822</v>
      </c>
      <c r="AM350" s="3" t="n"/>
      <c r="AN350" s="3" t="n"/>
      <c r="AO350" s="3" t="n"/>
      <c r="AP350" s="3" t="n"/>
      <c r="AQ350" s="3" t="n"/>
      <c r="AR350" s="3" t="n">
        <v>3.41966009140015</v>
      </c>
      <c r="AS350" s="3" t="n">
        <v>3.08122992515564</v>
      </c>
      <c r="AT350" s="3" t="n">
        <v>3.82709002494812</v>
      </c>
      <c r="AU350" s="3" t="n"/>
      <c r="AV350" s="3" t="n"/>
      <c r="AW350" s="3" t="n"/>
      <c r="AX350" s="3" t="n"/>
      <c r="AY350" s="3" t="n"/>
      <c r="AZ350" s="3" t="n"/>
      <c r="BA350" s="3" t="n"/>
      <c r="BB350" s="3" t="n"/>
      <c r="BC350" s="3" t="n"/>
      <c r="BD350" s="3" t="n">
        <v>3.07808995246887</v>
      </c>
      <c r="BE350" s="3" t="n">
        <v>2.987459897995</v>
      </c>
      <c r="BF350" s="3" t="n">
        <v>3.01340007781982</v>
      </c>
      <c r="BG350" s="3" t="n">
        <v>3.02971005439758</v>
      </c>
      <c r="BH350" s="3" t="n">
        <v>2.66667008399963</v>
      </c>
      <c r="BI350" s="3" t="n">
        <v>2.82435989379883</v>
      </c>
      <c r="BJ350" s="3" t="n">
        <v>2.66773080825806</v>
      </c>
      <c r="BK350" s="3" t="n">
        <v>3.55570793151855</v>
      </c>
      <c r="BL350" s="3" t="n">
        <v>3.07154297828674</v>
      </c>
      <c r="BM350" s="3" t="n">
        <v>2.8743097782135</v>
      </c>
      <c r="BN350" s="3" t="n">
        <v>3.39874076843262</v>
      </c>
      <c r="BO350" s="3" t="n">
        <v>2.70079278945923</v>
      </c>
      <c r="BP350" s="3" t="n">
        <v>2.20773649215698</v>
      </c>
      <c r="BQ350" s="3" t="n"/>
      <c r="BR350" s="34" t="str">
        <f>B350&amp;"|"&amp;D350</f>
        <v>GAB|SE.XPD.TOTL.GD.ZS</v>
      </c>
    </row>
    <row r="351">
      <c r="A351" s="3" t="inlineStr">
        <is>
          <t>United Kingdom</t>
        </is>
      </c>
      <c r="B351" s="3" t="inlineStr">
        <is>
          <t>GBR</t>
        </is>
      </c>
      <c r="C351" s="3" t="inlineStr">
        <is>
          <t>Government expenditure on education, total (% of GDP)</t>
        </is>
      </c>
      <c r="D351" s="3" t="inlineStr">
        <is>
          <t>SE.XPD.TOTL.GD.ZS</t>
        </is>
      </c>
      <c r="E351" s="3" t="n">
        <v>2022</v>
      </c>
      <c r="F351" s="3" t="n"/>
      <c r="G351" s="3" t="n"/>
      <c r="H351" s="3" t="n"/>
      <c r="I351" s="3" t="n"/>
      <c r="J351" s="3" t="n"/>
      <c r="K351" s="3" t="n"/>
      <c r="L351" s="3" t="n"/>
      <c r="M351" s="3" t="n"/>
      <c r="N351" s="3" t="n"/>
      <c r="O351" s="3" t="n"/>
      <c r="P351" s="3" t="n"/>
      <c r="Q351" s="3" t="n">
        <v>5.03205013275146</v>
      </c>
      <c r="R351" s="3" t="n">
        <v>5.15937995910645</v>
      </c>
      <c r="S351" s="3" t="n">
        <v>5.44860982894897</v>
      </c>
      <c r="T351" s="3" t="n">
        <v>5.39099979400635</v>
      </c>
      <c r="U351" s="3" t="n">
        <v>6.26878023147583</v>
      </c>
      <c r="V351" s="3" t="n">
        <v>6.42422008514404</v>
      </c>
      <c r="W351" s="3" t="n">
        <v>6.06335020065308</v>
      </c>
      <c r="X351" s="3" t="n"/>
      <c r="Y351" s="3" t="n"/>
      <c r="Z351" s="3" t="n">
        <v>5.07011985778809</v>
      </c>
      <c r="AA351" s="3" t="n">
        <v>5.2884202003479</v>
      </c>
      <c r="AB351" s="3" t="n">
        <v>5.1887001991272</v>
      </c>
      <c r="AC351" s="3" t="n">
        <v>5.06150007247925</v>
      </c>
      <c r="AD351" s="3" t="n">
        <v>4.89905977249146</v>
      </c>
      <c r="AE351" s="3" t="n">
        <v>4.5940899848938</v>
      </c>
      <c r="AF351" s="3" t="n">
        <v>4.38083982467651</v>
      </c>
      <c r="AG351" s="3" t="n">
        <v>4.37180995941162</v>
      </c>
      <c r="AH351" s="3" t="n">
        <v>4.26831007003784</v>
      </c>
      <c r="AI351" s="3" t="n">
        <v>4.12511014938354</v>
      </c>
      <c r="AJ351" s="3" t="n">
        <v>4.05552005767822</v>
      </c>
      <c r="AK351" s="3" t="n">
        <v>4.1224799156189</v>
      </c>
      <c r="AL351" s="3" t="n">
        <v>4.3344898223877</v>
      </c>
      <c r="AM351" s="3" t="n"/>
      <c r="AN351" s="3" t="n">
        <v>4.850830078125</v>
      </c>
      <c r="AO351" s="3" t="n">
        <v>4.83926010131836</v>
      </c>
      <c r="AP351" s="3" t="n">
        <v>4.37826013565063</v>
      </c>
      <c r="AQ351" s="3" t="n"/>
      <c r="AR351" s="3" t="n">
        <v>4.20707988739014</v>
      </c>
      <c r="AS351" s="3" t="n">
        <v>3.988450050354</v>
      </c>
      <c r="AT351" s="3" t="n">
        <v>4.01821994781494</v>
      </c>
      <c r="AU351" s="3" t="n">
        <v>4.10014009475708</v>
      </c>
      <c r="AV351" s="3" t="n">
        <v>4.61192989349365</v>
      </c>
      <c r="AW351" s="3" t="n">
        <v>4.8012900352478</v>
      </c>
      <c r="AX351" s="3" t="n">
        <v>4.73554992675781</v>
      </c>
      <c r="AY351" s="3" t="n">
        <v>4.92976999282837</v>
      </c>
      <c r="AZ351" s="3" t="n">
        <v>4.97649002075195</v>
      </c>
      <c r="BA351" s="3" t="n">
        <v>4.9244499206543</v>
      </c>
      <c r="BB351" s="3" t="n">
        <v>4.90973997116089</v>
      </c>
      <c r="BC351" s="3" t="n">
        <v>5.06263017654419</v>
      </c>
      <c r="BD351" s="3" t="n">
        <v>5.69867992401123</v>
      </c>
      <c r="BE351" s="3" t="n">
        <v>5.57218980789185</v>
      </c>
      <c r="BF351" s="3" t="n">
        <v>5.57887411117554</v>
      </c>
      <c r="BG351" s="3" t="n">
        <v>5.52530002593994</v>
      </c>
      <c r="BH351" s="3" t="n">
        <v>5.60134983062744</v>
      </c>
      <c r="BI351" s="3" t="n">
        <v>5.55452013015747</v>
      </c>
      <c r="BJ351" s="3" t="n">
        <v>5.42795991897583</v>
      </c>
      <c r="BK351" s="3" t="n">
        <v>5.45256996154785</v>
      </c>
      <c r="BL351" s="3" t="n">
        <v>5.20437002182007</v>
      </c>
      <c r="BM351" s="3" t="n">
        <v>5.26115989685059</v>
      </c>
      <c r="BN351" s="3" t="n">
        <v>5.43935012817383</v>
      </c>
      <c r="BO351" s="3" t="n">
        <v>5.90458011627197</v>
      </c>
      <c r="BP351" s="3" t="n">
        <v>4.95917558670044</v>
      </c>
      <c r="BQ351" s="3" t="n"/>
      <c r="BR351" s="34" t="str">
        <f>B351&amp;"|"&amp;D351</f>
        <v>GBR|SE.XPD.TOTL.GD.ZS</v>
      </c>
    </row>
    <row r="352">
      <c r="A352" s="3" t="inlineStr">
        <is>
          <t>Georgia</t>
        </is>
      </c>
      <c r="B352" s="3" t="inlineStr">
        <is>
          <t>GEO</t>
        </is>
      </c>
      <c r="C352" s="3" t="inlineStr">
        <is>
          <t>Government expenditure on education, total (% of GDP)</t>
        </is>
      </c>
      <c r="D352" s="3" t="inlineStr">
        <is>
          <t>SE.XPD.TOTL.GD.ZS</t>
        </is>
      </c>
      <c r="E352" s="3" t="n">
        <v>2023</v>
      </c>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c r="AD352" s="3" t="n"/>
      <c r="AE352" s="3" t="n"/>
      <c r="AF352" s="3" t="n"/>
      <c r="AG352" s="3" t="n"/>
      <c r="AH352" s="3" t="n"/>
      <c r="AI352" s="3" t="n"/>
      <c r="AJ352" s="3" t="n"/>
      <c r="AK352" s="3" t="n"/>
      <c r="AL352" s="3" t="n"/>
      <c r="AM352" s="3" t="n"/>
      <c r="AN352" s="3" t="n">
        <v>6.91565990447998</v>
      </c>
      <c r="AO352" s="3" t="n"/>
      <c r="AP352" s="3" t="n"/>
      <c r="AQ352" s="3" t="n"/>
      <c r="AR352" s="3" t="n">
        <v>2.10888004302979</v>
      </c>
      <c r="AS352" s="3" t="n">
        <v>2.15512990951538</v>
      </c>
      <c r="AT352" s="3" t="n">
        <v>2.18105006217957</v>
      </c>
      <c r="AU352" s="3" t="n">
        <v>2.13750004768372</v>
      </c>
      <c r="AV352" s="3" t="n">
        <v>2.23501992225647</v>
      </c>
      <c r="AW352" s="3" t="n">
        <v>2.06559991836548</v>
      </c>
      <c r="AX352" s="3" t="n">
        <v>2.91420006752014</v>
      </c>
      <c r="AY352" s="3" t="n">
        <v>2.48431992530823</v>
      </c>
      <c r="AZ352" s="3" t="n">
        <v>3.00364995002747</v>
      </c>
      <c r="BA352" s="3" t="n">
        <v>2.69687008857727</v>
      </c>
      <c r="BB352" s="3" t="n">
        <v>2.9195499420166</v>
      </c>
      <c r="BC352" s="3" t="n">
        <v>3.22237992286682</v>
      </c>
      <c r="BD352" s="3" t="n">
        <v>2.80364799499512</v>
      </c>
      <c r="BE352" s="3" t="n">
        <v>2.5149199962616</v>
      </c>
      <c r="BF352" s="3" t="n">
        <v>1.86033999919891</v>
      </c>
      <c r="BG352" s="3" t="n">
        <v>3.47322177886963</v>
      </c>
      <c r="BH352" s="3" t="n">
        <v>2.99768662452698</v>
      </c>
      <c r="BI352" s="3" t="n">
        <v>3.16487407684326</v>
      </c>
      <c r="BJ352" s="3" t="n">
        <v>3.52338004112244</v>
      </c>
      <c r="BK352" s="3" t="n">
        <v>3.52442002296448</v>
      </c>
      <c r="BL352" s="3" t="n">
        <v>3.46094989776611</v>
      </c>
      <c r="BM352" s="3" t="n">
        <v>3.82985997200012</v>
      </c>
      <c r="BN352" s="3" t="n">
        <v>3.8498592376709</v>
      </c>
      <c r="BO352" s="3" t="n">
        <v>3.59441995620728</v>
      </c>
      <c r="BP352" s="3" t="n">
        <v>3.75498008728027</v>
      </c>
      <c r="BQ352" s="3" t="n">
        <v>3.73861002922058</v>
      </c>
      <c r="BR352" s="34" t="str">
        <f>B352&amp;"|"&amp;D352</f>
        <v>GEO|SE.XPD.TOTL.GD.ZS</v>
      </c>
    </row>
    <row r="353">
      <c r="A353" s="3" t="inlineStr">
        <is>
          <t>Ghana</t>
        </is>
      </c>
      <c r="B353" s="3" t="inlineStr">
        <is>
          <t>GHA</t>
        </is>
      </c>
      <c r="C353" s="3" t="inlineStr">
        <is>
          <t>Government expenditure on education, total (% of GDP)</t>
        </is>
      </c>
      <c r="D353" s="3" t="inlineStr">
        <is>
          <t>SE.XPD.TOTL.GD.ZS</t>
        </is>
      </c>
      <c r="E353" s="3" t="n">
        <v>2022</v>
      </c>
      <c r="F353" s="3" t="n"/>
      <c r="G353" s="3" t="n"/>
      <c r="H353" s="3" t="n"/>
      <c r="I353" s="3" t="n"/>
      <c r="J353" s="3" t="n"/>
      <c r="K353" s="3" t="n"/>
      <c r="L353" s="3" t="n"/>
      <c r="M353" s="3" t="n"/>
      <c r="N353" s="3" t="n"/>
      <c r="O353" s="3" t="n"/>
      <c r="P353" s="3" t="n"/>
      <c r="Q353" s="3" t="n">
        <v>4.22444009780884</v>
      </c>
      <c r="R353" s="3" t="n">
        <v>4.62139987945557</v>
      </c>
      <c r="S353" s="3" t="n"/>
      <c r="T353" s="3" t="n">
        <v>3.80271005630493</v>
      </c>
      <c r="U353" s="3" t="n">
        <v>4.876540184021</v>
      </c>
      <c r="V353" s="3" t="n">
        <v>5.82882976531982</v>
      </c>
      <c r="W353" s="3" t="n">
        <v>6.09528017044067</v>
      </c>
      <c r="X353" s="3" t="n"/>
      <c r="Y353" s="3" t="n">
        <v>2.31135010719299</v>
      </c>
      <c r="Z353" s="3" t="n">
        <v>2.70777010917664</v>
      </c>
      <c r="AA353" s="3" t="n">
        <v>1.80812001228333</v>
      </c>
      <c r="AB353" s="3" t="n">
        <v>1.90453994274139</v>
      </c>
      <c r="AC353" s="3" t="n"/>
      <c r="AD353" s="3" t="n"/>
      <c r="AE353" s="3" t="n"/>
      <c r="AF353" s="3" t="n">
        <v>3.35448002815247</v>
      </c>
      <c r="AG353" s="3" t="n">
        <v>3.3066999912262</v>
      </c>
      <c r="AH353" s="3" t="n">
        <v>3.18741989135742</v>
      </c>
      <c r="AI353" s="3" t="n"/>
      <c r="AJ353" s="3" t="n"/>
      <c r="AK353" s="3" t="n"/>
      <c r="AL353" s="3" t="n"/>
      <c r="AM353" s="3" t="n"/>
      <c r="AN353" s="3" t="n"/>
      <c r="AO353" s="3" t="n"/>
      <c r="AP353" s="3" t="n"/>
      <c r="AQ353" s="3" t="n"/>
      <c r="AR353" s="3" t="n"/>
      <c r="AS353" s="3" t="n">
        <v>4.11037015914917</v>
      </c>
      <c r="AT353" s="3" t="n"/>
      <c r="AU353" s="3" t="n">
        <v>5.35444021224976</v>
      </c>
      <c r="AV353" s="3" t="n"/>
      <c r="AW353" s="3" t="n"/>
      <c r="AX353" s="3" t="n">
        <v>7.53558015823364</v>
      </c>
      <c r="AY353" s="3" t="n">
        <v>7.42208003997803</v>
      </c>
      <c r="AZ353" s="3" t="n">
        <v>5.14794015884399</v>
      </c>
      <c r="BA353" s="3" t="n">
        <v>5.51986980438232</v>
      </c>
      <c r="BB353" s="3" t="n">
        <v>5.75795984268188</v>
      </c>
      <c r="BC353" s="3" t="n">
        <v>5.31744003295898</v>
      </c>
      <c r="BD353" s="3" t="n">
        <v>5.54059982299805</v>
      </c>
      <c r="BE353" s="3" t="n">
        <v>8.140970230102541</v>
      </c>
      <c r="BF353" s="3" t="n">
        <v>7.91913986206055</v>
      </c>
      <c r="BG353" s="3" t="n">
        <v>4.57646989822388</v>
      </c>
      <c r="BH353" s="3" t="n">
        <v>3.68234825134277</v>
      </c>
      <c r="BI353" s="3" t="n">
        <v>3.68874549865723</v>
      </c>
      <c r="BJ353" s="3" t="n">
        <v>3.45474433898926</v>
      </c>
      <c r="BK353" s="3" t="n">
        <v>3.18611741065979</v>
      </c>
      <c r="BL353" s="3" t="n">
        <v>3.01595592498779</v>
      </c>
      <c r="BM353" s="3" t="n">
        <v>3.15307116508484</v>
      </c>
      <c r="BN353" s="3" t="n">
        <v>3.40915989875793</v>
      </c>
      <c r="BO353" s="3" t="n">
        <v>3.41949439048767</v>
      </c>
      <c r="BP353" s="3" t="n">
        <v>2.90529441833496</v>
      </c>
      <c r="BQ353" s="3" t="n"/>
      <c r="BR353" s="34" t="str">
        <f>B353&amp;"|"&amp;D353</f>
        <v>GHA|SE.XPD.TOTL.GD.ZS</v>
      </c>
    </row>
    <row r="354">
      <c r="A354" s="3" t="inlineStr">
        <is>
          <t>Gibraltar</t>
        </is>
      </c>
      <c r="B354" s="3" t="inlineStr">
        <is>
          <t>GIB</t>
        </is>
      </c>
      <c r="C354" s="3" t="inlineStr">
        <is>
          <t>Government expenditure on education, total (% of GDP)</t>
        </is>
      </c>
      <c r="D354" s="3" t="inlineStr">
        <is>
          <t>SE.XPD.TOTL.GD.ZS</t>
        </is>
      </c>
      <c r="E354" s="3" t="inlineStr">
        <is>
          <t>0x2a</t>
        </is>
      </c>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c r="AD354" s="3" t="n"/>
      <c r="AE354" s="3" t="n"/>
      <c r="AF354" s="3" t="n"/>
      <c r="AG354" s="3" t="n"/>
      <c r="AH354" s="3" t="n"/>
      <c r="AI354" s="3" t="n"/>
      <c r="AJ354" s="3" t="n"/>
      <c r="AK354" s="3" t="n"/>
      <c r="AL354" s="3" t="n"/>
      <c r="AM354" s="3" t="n"/>
      <c r="AN354" s="3" t="n"/>
      <c r="AO354" s="3" t="n"/>
      <c r="AP354" s="3" t="n"/>
      <c r="AQ354" s="3" t="n"/>
      <c r="AR354" s="3" t="n"/>
      <c r="AS354" s="3" t="n"/>
      <c r="AT354" s="3" t="n"/>
      <c r="AU354" s="3" t="n"/>
      <c r="AV354" s="3" t="n"/>
      <c r="AW354" s="3" t="n"/>
      <c r="AX354" s="3" t="n"/>
      <c r="AY354" s="3" t="n"/>
      <c r="AZ354" s="3" t="n"/>
      <c r="BA354" s="3" t="n"/>
      <c r="BB354" s="3" t="n"/>
      <c r="BC354" s="3" t="n"/>
      <c r="BD354" s="3" t="n"/>
      <c r="BE354" s="3" t="n"/>
      <c r="BF354" s="3" t="n"/>
      <c r="BG354" s="3" t="n"/>
      <c r="BH354" s="3" t="n"/>
      <c r="BI354" s="3" t="n"/>
      <c r="BJ354" s="3" t="n"/>
      <c r="BK354" s="3" t="n"/>
      <c r="BL354" s="3" t="n"/>
      <c r="BM354" s="3" t="n"/>
      <c r="BN354" s="3" t="n"/>
      <c r="BO354" s="3" t="n"/>
      <c r="BP354" s="3" t="n"/>
      <c r="BQ354" s="3" t="n"/>
      <c r="BR354" s="34" t="str">
        <f>B354&amp;"|"&amp;D354</f>
        <v>GIB|SE.XPD.TOTL.GD.ZS</v>
      </c>
    </row>
    <row r="355">
      <c r="A355" s="3" t="inlineStr">
        <is>
          <t>Guinea</t>
        </is>
      </c>
      <c r="B355" s="3" t="inlineStr">
        <is>
          <t>GIN</t>
        </is>
      </c>
      <c r="C355" s="3" t="inlineStr">
        <is>
          <t>Government expenditure on education, total (% of GDP)</t>
        </is>
      </c>
      <c r="D355" s="3" t="inlineStr">
        <is>
          <t>SE.XPD.TOTL.GD.ZS</t>
        </is>
      </c>
      <c r="E355" s="3" t="n">
        <v>2022</v>
      </c>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c r="AD355" s="3" t="n">
        <v>0.334939986467361</v>
      </c>
      <c r="AE355" s="3" t="n"/>
      <c r="AF355" s="3" t="n"/>
      <c r="AG355" s="3" t="n"/>
      <c r="AH355" s="3" t="n"/>
      <c r="AI355" s="3" t="n"/>
      <c r="AJ355" s="3" t="n"/>
      <c r="AK355" s="3" t="n">
        <v>1.38291001319885</v>
      </c>
      <c r="AL355" s="3" t="n">
        <v>1.37600994110107</v>
      </c>
      <c r="AM355" s="3" t="n">
        <v>1.43233001232147</v>
      </c>
      <c r="AN355" s="3" t="n"/>
      <c r="AO355" s="3" t="n"/>
      <c r="AP355" s="3" t="n"/>
      <c r="AQ355" s="3" t="n"/>
      <c r="AR355" s="3" t="n"/>
      <c r="AS355" s="3" t="n">
        <v>1.61954998970032</v>
      </c>
      <c r="AT355" s="3" t="n">
        <v>1.7786500453949</v>
      </c>
      <c r="AU355" s="3" t="n">
        <v>1.42785000801086</v>
      </c>
      <c r="AV355" s="3" t="n">
        <v>1.77897000312805</v>
      </c>
      <c r="AW355" s="3" t="n">
        <v>1.62612998485565</v>
      </c>
      <c r="AX355" s="3" t="n">
        <v>1.51568996906281</v>
      </c>
      <c r="AY355" s="3" t="n">
        <v>1.26814997196198</v>
      </c>
      <c r="AZ355" s="3" t="n"/>
      <c r="BA355" s="3" t="n"/>
      <c r="BB355" s="3" t="n">
        <v>1.58112001419067</v>
      </c>
      <c r="BC355" s="3" t="n">
        <v>2.20725011825562</v>
      </c>
      <c r="BD355" s="3" t="n">
        <v>2.55118989944458</v>
      </c>
      <c r="BE355" s="3" t="n">
        <v>2.28742003440857</v>
      </c>
      <c r="BF355" s="3" t="n">
        <v>1.83370995521545</v>
      </c>
      <c r="BG355" s="3" t="n">
        <v>2.63421010971069</v>
      </c>
      <c r="BH355" s="3" t="n">
        <v>2.42281007766724</v>
      </c>
      <c r="BI355" s="3" t="n">
        <v>2.51713991165161</v>
      </c>
      <c r="BJ355" s="3" t="n">
        <v>2.54450011253357</v>
      </c>
      <c r="BK355" s="3" t="n">
        <v>2.3203399181366</v>
      </c>
      <c r="BL355" s="3" t="n">
        <v>2.38432002067566</v>
      </c>
      <c r="BM355" s="3" t="n">
        <v>1.85812997817993</v>
      </c>
      <c r="BN355" s="3" t="n">
        <v>2.43267011642456</v>
      </c>
      <c r="BO355" s="3" t="n">
        <v>2.04074811935425</v>
      </c>
      <c r="BP355" s="3" t="n">
        <v>1.98561489582062</v>
      </c>
      <c r="BQ355" s="3" t="n"/>
      <c r="BR355" s="34" t="str">
        <f>B355&amp;"|"&amp;D355</f>
        <v>GIN|SE.XPD.TOTL.GD.ZS</v>
      </c>
    </row>
    <row r="356">
      <c r="A356" s="3" t="inlineStr">
        <is>
          <t>Gambia, The</t>
        </is>
      </c>
      <c r="B356" s="3" t="inlineStr">
        <is>
          <t>GMB</t>
        </is>
      </c>
      <c r="C356" s="3" t="inlineStr">
        <is>
          <t>Government expenditure on education, total (% of GDP)</t>
        </is>
      </c>
      <c r="D356" s="3" t="inlineStr">
        <is>
          <t>SE.XPD.TOTL.GD.ZS</t>
        </is>
      </c>
      <c r="E356" s="3" t="n">
        <v>2023</v>
      </c>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c r="AD356" s="3" t="n"/>
      <c r="AE356" s="3" t="n">
        <v>4.29514980316162</v>
      </c>
      <c r="AF356" s="3" t="n">
        <v>3.48473000526428</v>
      </c>
      <c r="AG356" s="3" t="n"/>
      <c r="AH356" s="3" t="n"/>
      <c r="AI356" s="3" t="n">
        <v>2.97409009933472</v>
      </c>
      <c r="AJ356" s="3" t="n">
        <v>2.82583999633789</v>
      </c>
      <c r="AK356" s="3" t="n">
        <v>3.78061008453369</v>
      </c>
      <c r="AL356" s="3" t="n">
        <v>1.16983997821808</v>
      </c>
      <c r="AM356" s="3" t="n"/>
      <c r="AN356" s="3" t="n"/>
      <c r="AO356" s="3" t="n">
        <v>2.55356001853943</v>
      </c>
      <c r="AP356" s="3" t="n">
        <v>2.56627988815308</v>
      </c>
      <c r="AQ356" s="3" t="n"/>
      <c r="AR356" s="3" t="n"/>
      <c r="AS356" s="3" t="n">
        <v>1.56512999534607</v>
      </c>
      <c r="AT356" s="3" t="n">
        <v>1.46587002277374</v>
      </c>
      <c r="AU356" s="3" t="n">
        <v>1.15810000896454</v>
      </c>
      <c r="AV356" s="3" t="n">
        <v>1.44291996955872</v>
      </c>
      <c r="AW356" s="3" t="n">
        <v>1.36337995529175</v>
      </c>
      <c r="AX356" s="3" t="n">
        <v>0.622470021247864</v>
      </c>
      <c r="AY356" s="3" t="n">
        <v>0.691879987716675</v>
      </c>
      <c r="AZ356" s="3" t="n">
        <v>0.7516300082206731</v>
      </c>
      <c r="BA356" s="3" t="n">
        <v>0.816860020160675</v>
      </c>
      <c r="BB356" s="3" t="n">
        <v>2.18129992485046</v>
      </c>
      <c r="BC356" s="3" t="n">
        <v>1.90813994407654</v>
      </c>
      <c r="BD356" s="3" t="n">
        <v>2.65551996231079</v>
      </c>
      <c r="BE356" s="3" t="n">
        <v>2.50170254707336</v>
      </c>
      <c r="BF356" s="3" t="n">
        <v>2.63756990432739</v>
      </c>
      <c r="BG356" s="3" t="n">
        <v>1.81839001178741</v>
      </c>
      <c r="BH356" s="3" t="n">
        <v>2.22280263900757</v>
      </c>
      <c r="BI356" s="3" t="n">
        <v>2.19235181808472</v>
      </c>
      <c r="BJ356" s="3" t="n">
        <v>2.17479729652405</v>
      </c>
      <c r="BK356" s="3" t="n">
        <v>2.45919442176819</v>
      </c>
      <c r="BL356" s="3" t="n">
        <v>2.36544394493103</v>
      </c>
      <c r="BM356" s="3" t="n">
        <v>2.80809712409973</v>
      </c>
      <c r="BN356" s="3" t="n">
        <v>2.88734579086304</v>
      </c>
      <c r="BO356" s="3" t="n">
        <v>3.04477691650391</v>
      </c>
      <c r="BP356" s="3" t="n">
        <v>2.74282312393188</v>
      </c>
      <c r="BQ356" s="3" t="n">
        <v>2.69659471511841</v>
      </c>
      <c r="BR356" s="34" t="str">
        <f>B356&amp;"|"&amp;D356</f>
        <v>GMB|SE.XPD.TOTL.GD.ZS</v>
      </c>
    </row>
    <row r="357">
      <c r="A357" s="3" t="inlineStr">
        <is>
          <t>Guinea-Bissau</t>
        </is>
      </c>
      <c r="B357" s="3" t="inlineStr">
        <is>
          <t>GNB</t>
        </is>
      </c>
      <c r="C357" s="3" t="inlineStr">
        <is>
          <t>Government expenditure on education, total (% of GDP)</t>
        </is>
      </c>
      <c r="D357" s="3" t="inlineStr">
        <is>
          <t>SE.XPD.TOTL.GD.ZS</t>
        </is>
      </c>
      <c r="E357" s="3" t="n">
        <v>2013</v>
      </c>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c r="AD357" s="3" t="n"/>
      <c r="AE357" s="3" t="n"/>
      <c r="AF357" s="3" t="n"/>
      <c r="AG357" s="3" t="n"/>
      <c r="AH357" s="3" t="n"/>
      <c r="AI357" s="3" t="n"/>
      <c r="AJ357" s="3" t="n"/>
      <c r="AK357" s="3" t="n"/>
      <c r="AL357" s="3" t="n"/>
      <c r="AM357" s="3" t="n"/>
      <c r="AN357" s="3" t="n"/>
      <c r="AO357" s="3" t="n"/>
      <c r="AP357" s="3" t="n"/>
      <c r="AQ357" s="3" t="n"/>
      <c r="AR357" s="3" t="n"/>
      <c r="AS357" s="3" t="n">
        <v>2.03237009048462</v>
      </c>
      <c r="AT357" s="3" t="n"/>
      <c r="AU357" s="3" t="n"/>
      <c r="AV357" s="3" t="n"/>
      <c r="AW357" s="3" t="n"/>
      <c r="AX357" s="3" t="n"/>
      <c r="AY357" s="3" t="n"/>
      <c r="AZ357" s="3" t="n"/>
      <c r="BA357" s="3" t="n"/>
      <c r="BB357" s="3" t="n"/>
      <c r="BC357" s="3" t="n"/>
      <c r="BD357" s="3" t="n">
        <v>1.68220996856689</v>
      </c>
      <c r="BE357" s="3" t="n">
        <v>1.76593005657196</v>
      </c>
      <c r="BF357" s="3" t="n">
        <v>1.8863799571991</v>
      </c>
      <c r="BG357" s="3" t="n">
        <v>2.01027011871338</v>
      </c>
      <c r="BH357" s="3" t="n"/>
      <c r="BI357" s="3" t="n"/>
      <c r="BJ357" s="3" t="n"/>
      <c r="BK357" s="3" t="n"/>
      <c r="BL357" s="3" t="n"/>
      <c r="BM357" s="3" t="n"/>
      <c r="BN357" s="3" t="n"/>
      <c r="BO357" s="3" t="n"/>
      <c r="BP357" s="3" t="n"/>
      <c r="BQ357" s="3" t="n"/>
      <c r="BR357" s="34" t="str">
        <f>B357&amp;"|"&amp;D357</f>
        <v>GNB|SE.XPD.TOTL.GD.ZS</v>
      </c>
    </row>
    <row r="358">
      <c r="A358" s="3" t="inlineStr">
        <is>
          <t>Equatorial Guinea</t>
        </is>
      </c>
      <c r="B358" s="3" t="inlineStr">
        <is>
          <t>GNQ</t>
        </is>
      </c>
      <c r="C358" s="3" t="inlineStr">
        <is>
          <t>Government expenditure on education, total (% of GDP)</t>
        </is>
      </c>
      <c r="D358" s="3" t="inlineStr">
        <is>
          <t>SE.XPD.TOTL.GD.ZS</t>
        </is>
      </c>
      <c r="E358" s="3" t="n">
        <v>1998</v>
      </c>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c r="AD358" s="3" t="n"/>
      <c r="AE358" s="3" t="n"/>
      <c r="AF358" s="3" t="n"/>
      <c r="AG358" s="3" t="n"/>
      <c r="AH358" s="3" t="n"/>
      <c r="AI358" s="3" t="n"/>
      <c r="AJ358" s="3" t="n"/>
      <c r="AK358" s="3" t="n"/>
      <c r="AL358" s="3" t="n"/>
      <c r="AM358" s="3" t="n"/>
      <c r="AN358" s="3" t="n"/>
      <c r="AO358" s="3" t="n"/>
      <c r="AP358" s="3" t="n"/>
      <c r="AQ358" s="3" t="n"/>
      <c r="AR358" s="3" t="n">
        <v>2.18797993659973</v>
      </c>
      <c r="AS358" s="3" t="n"/>
      <c r="AT358" s="3" t="n"/>
      <c r="AU358" s="3" t="n"/>
      <c r="AV358" s="3" t="n"/>
      <c r="AW358" s="3" t="n"/>
      <c r="AX358" s="3" t="n"/>
      <c r="AY358" s="3" t="n"/>
      <c r="AZ358" s="3" t="n"/>
      <c r="BA358" s="3" t="n"/>
      <c r="BB358" s="3" t="n"/>
      <c r="BC358" s="3" t="n"/>
      <c r="BD358" s="3" t="n"/>
      <c r="BE358" s="3" t="n"/>
      <c r="BF358" s="3" t="n"/>
      <c r="BG358" s="3" t="n"/>
      <c r="BH358" s="3" t="n"/>
      <c r="BI358" s="3" t="n"/>
      <c r="BJ358" s="3" t="n"/>
      <c r="BK358" s="3" t="n"/>
      <c r="BL358" s="3" t="n"/>
      <c r="BM358" s="3" t="n"/>
      <c r="BN358" s="3" t="n"/>
      <c r="BO358" s="3" t="n"/>
      <c r="BP358" s="3" t="n"/>
      <c r="BQ358" s="3" t="n"/>
      <c r="BR358" s="34" t="str">
        <f>B358&amp;"|"&amp;D358</f>
        <v>GNQ|SE.XPD.TOTL.GD.ZS</v>
      </c>
    </row>
    <row r="359">
      <c r="A359" s="3" t="inlineStr">
        <is>
          <t>Greece</t>
        </is>
      </c>
      <c r="B359" s="3" t="inlineStr">
        <is>
          <t>GRC</t>
        </is>
      </c>
      <c r="C359" s="3" t="inlineStr">
        <is>
          <t>Government expenditure on education, total (% of GDP)</t>
        </is>
      </c>
      <c r="D359" s="3" t="inlineStr">
        <is>
          <t>SE.XPD.TOTL.GD.ZS</t>
        </is>
      </c>
      <c r="E359" s="3" t="n">
        <v>2021</v>
      </c>
      <c r="F359" s="3" t="n"/>
      <c r="G359" s="3" t="n"/>
      <c r="H359" s="3" t="n"/>
      <c r="I359" s="3" t="n"/>
      <c r="J359" s="3" t="n"/>
      <c r="K359" s="3" t="n"/>
      <c r="L359" s="3" t="n"/>
      <c r="M359" s="3" t="n"/>
      <c r="N359" s="3" t="n"/>
      <c r="O359" s="3" t="n"/>
      <c r="P359" s="3" t="n">
        <v>1.54649996757507</v>
      </c>
      <c r="Q359" s="3" t="n">
        <v>1.30245995521545</v>
      </c>
      <c r="R359" s="3" t="n"/>
      <c r="S359" s="3" t="n">
        <v>1.11261999607086</v>
      </c>
      <c r="T359" s="3" t="n">
        <v>1.33608996868134</v>
      </c>
      <c r="U359" s="3" t="n">
        <v>1.46085000038147</v>
      </c>
      <c r="V359" s="3" t="n">
        <v>1.44825005531311</v>
      </c>
      <c r="W359" s="3" t="n">
        <v>1.4937299489975</v>
      </c>
      <c r="X359" s="3" t="n">
        <v>1.68570005893707</v>
      </c>
      <c r="Y359" s="3" t="n"/>
      <c r="Z359" s="3" t="n"/>
      <c r="AA359" s="3" t="n">
        <v>1.69280004501343</v>
      </c>
      <c r="AB359" s="3" t="n">
        <v>1.68684005737305</v>
      </c>
      <c r="AC359" s="3" t="n">
        <v>1.68868005275726</v>
      </c>
      <c r="AD359" s="3" t="n">
        <v>1.81002998352051</v>
      </c>
      <c r="AE359" s="3" t="n"/>
      <c r="AF359" s="3" t="n">
        <v>1.83336997032166</v>
      </c>
      <c r="AG359" s="3" t="n">
        <v>1.83421003818512</v>
      </c>
      <c r="AH359" s="3" t="n">
        <v>1.86893999576569</v>
      </c>
      <c r="AI359" s="3" t="n">
        <v>2.01546001434326</v>
      </c>
      <c r="AJ359" s="3" t="n">
        <v>2.04608011245728</v>
      </c>
      <c r="AK359" s="3" t="n">
        <v>1.93432998657227</v>
      </c>
      <c r="AL359" s="3" t="n"/>
      <c r="AM359" s="3" t="n"/>
      <c r="AN359" s="3" t="n"/>
      <c r="AO359" s="3" t="n"/>
      <c r="AP359" s="3" t="n"/>
      <c r="AQ359" s="3" t="n"/>
      <c r="AR359" s="3" t="n">
        <v>2.89256000518799</v>
      </c>
      <c r="AS359" s="3" t="n">
        <v>3.02772998809814</v>
      </c>
      <c r="AT359" s="3" t="n">
        <v>3.23019003868103</v>
      </c>
      <c r="AU359" s="3" t="n">
        <v>3.36457991600037</v>
      </c>
      <c r="AV359" s="3" t="n">
        <v>3.42430996894836</v>
      </c>
      <c r="AW359" s="3" t="n">
        <v>3.42933988571167</v>
      </c>
      <c r="AX359" s="3" t="n">
        <v>3.66719007492065</v>
      </c>
      <c r="AY359" s="3" t="n">
        <v>3.96395993232727</v>
      </c>
      <c r="AZ359" s="3" t="n">
        <v>3.64772200584412</v>
      </c>
      <c r="BA359" s="3" t="n">
        <v>3.59139657020569</v>
      </c>
      <c r="BB359" s="3" t="n">
        <v>3.77288317680359</v>
      </c>
      <c r="BC359" s="3" t="n">
        <v>4.1299352645874</v>
      </c>
      <c r="BD359" s="3" t="n">
        <v>4.14056491851807</v>
      </c>
      <c r="BE359" s="3" t="n">
        <v>4.51630020141602</v>
      </c>
      <c r="BF359" s="3" t="n">
        <v>4.58220291137695</v>
      </c>
      <c r="BG359" s="3" t="n">
        <v>4.49511909484863</v>
      </c>
      <c r="BH359" s="3" t="n">
        <v>4.32135677337646</v>
      </c>
      <c r="BI359" s="3" t="n">
        <v>3.66139006614685</v>
      </c>
      <c r="BJ359" s="3" t="n">
        <v>4.01561069488525</v>
      </c>
      <c r="BK359" s="3" t="n">
        <v>3.47708988189697</v>
      </c>
      <c r="BL359" s="3" t="n">
        <v>3.59734010696411</v>
      </c>
      <c r="BM359" s="3" t="n">
        <v>3.58612990379333</v>
      </c>
      <c r="BN359" s="3" t="n">
        <v>4.49500036239624</v>
      </c>
      <c r="BO359" s="3" t="n">
        <v>4.08201456069946</v>
      </c>
      <c r="BP359" s="3" t="n"/>
      <c r="BQ359" s="3" t="n"/>
      <c r="BR359" s="34" t="str">
        <f>B359&amp;"|"&amp;D359</f>
        <v>GRC|SE.XPD.TOTL.GD.ZS</v>
      </c>
    </row>
    <row r="360">
      <c r="A360" s="3" t="inlineStr">
        <is>
          <t>Grenada</t>
        </is>
      </c>
      <c r="B360" s="3" t="inlineStr">
        <is>
          <t>GRD</t>
        </is>
      </c>
      <c r="C360" s="3" t="inlineStr">
        <is>
          <t>Government expenditure on education, total (% of GDP)</t>
        </is>
      </c>
      <c r="D360" s="3" t="inlineStr">
        <is>
          <t>SE.XPD.TOTL.GD.ZS</t>
        </is>
      </c>
      <c r="E360" s="3" t="n">
        <v>2022</v>
      </c>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c r="AD360" s="3" t="n"/>
      <c r="AE360" s="3" t="n"/>
      <c r="AF360" s="3" t="n"/>
      <c r="AG360" s="3" t="n"/>
      <c r="AH360" s="3" t="n"/>
      <c r="AI360" s="3" t="n"/>
      <c r="AJ360" s="3" t="n"/>
      <c r="AK360" s="3" t="n"/>
      <c r="AL360" s="3" t="n"/>
      <c r="AM360" s="3" t="n"/>
      <c r="AN360" s="3" t="n"/>
      <c r="AO360" s="3" t="n"/>
      <c r="AP360" s="3" t="n"/>
      <c r="AQ360" s="3" t="n"/>
      <c r="AR360" s="3" t="n"/>
      <c r="AS360" s="3" t="n"/>
      <c r="AT360" s="3" t="n"/>
      <c r="AU360" s="3" t="n"/>
      <c r="AV360" s="3" t="n"/>
      <c r="AW360" s="3" t="n">
        <v>3.92673993110657</v>
      </c>
      <c r="AX360" s="3" t="n"/>
      <c r="AY360" s="3" t="n"/>
      <c r="AZ360" s="3" t="n"/>
      <c r="BA360" s="3" t="n"/>
      <c r="BB360" s="3" t="n"/>
      <c r="BC360" s="3" t="n"/>
      <c r="BD360" s="3" t="n">
        <v>5.07508230209351</v>
      </c>
      <c r="BE360" s="3" t="n">
        <v>5.48532342910767</v>
      </c>
      <c r="BF360" s="3" t="n">
        <v>5.07225894927979</v>
      </c>
      <c r="BG360" s="3" t="n"/>
      <c r="BH360" s="3" t="n">
        <v>4.47756576538086</v>
      </c>
      <c r="BI360" s="3" t="n">
        <v>4.23861026763916</v>
      </c>
      <c r="BJ360" s="3" t="n"/>
      <c r="BK360" s="3" t="n">
        <v>3.17379999160767</v>
      </c>
      <c r="BL360" s="3" t="n">
        <v>3.55919337272644</v>
      </c>
      <c r="BM360" s="3" t="n"/>
      <c r="BN360" s="3" t="n"/>
      <c r="BO360" s="3" t="n">
        <v>4.09030342102051</v>
      </c>
      <c r="BP360" s="3" t="n">
        <v>3.93536496162415</v>
      </c>
      <c r="BQ360" s="3" t="n"/>
      <c r="BR360" s="34" t="str">
        <f>B360&amp;"|"&amp;D360</f>
        <v>GRD|SE.XPD.TOTL.GD.ZS</v>
      </c>
    </row>
    <row r="361">
      <c r="A361" s="3" t="inlineStr">
        <is>
          <t>Greenland</t>
        </is>
      </c>
      <c r="B361" s="3" t="inlineStr">
        <is>
          <t>GRL</t>
        </is>
      </c>
      <c r="C361" s="3" t="inlineStr">
        <is>
          <t>Government expenditure on education, total (% of GDP)</t>
        </is>
      </c>
      <c r="D361" s="3" t="inlineStr">
        <is>
          <t>SE.XPD.TOTL.GD.ZS</t>
        </is>
      </c>
      <c r="E361" s="3" t="inlineStr">
        <is>
          <t>0x2a</t>
        </is>
      </c>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c r="AD361" s="3" t="n"/>
      <c r="AE361" s="3" t="n"/>
      <c r="AF361" s="3" t="n"/>
      <c r="AG361" s="3" t="n"/>
      <c r="AH361" s="3" t="n"/>
      <c r="AI361" s="3" t="n"/>
      <c r="AJ361" s="3" t="n"/>
      <c r="AK361" s="3" t="n"/>
      <c r="AL361" s="3" t="n"/>
      <c r="AM361" s="3" t="n"/>
      <c r="AN361" s="3" t="n"/>
      <c r="AO361" s="3" t="n"/>
      <c r="AP361" s="3" t="n"/>
      <c r="AQ361" s="3" t="n"/>
      <c r="AR361" s="3" t="n"/>
      <c r="AS361" s="3" t="n"/>
      <c r="AT361" s="3" t="n"/>
      <c r="AU361" s="3" t="n"/>
      <c r="AV361" s="3" t="n"/>
      <c r="AW361" s="3" t="n"/>
      <c r="AX361" s="3" t="n"/>
      <c r="AY361" s="3" t="n"/>
      <c r="AZ361" s="3" t="n"/>
      <c r="BA361" s="3" t="n"/>
      <c r="BB361" s="3" t="n"/>
      <c r="BC361" s="3" t="n"/>
      <c r="BD361" s="3" t="n"/>
      <c r="BE361" s="3" t="n"/>
      <c r="BF361" s="3" t="n"/>
      <c r="BG361" s="3" t="n"/>
      <c r="BH361" s="3" t="n"/>
      <c r="BI361" s="3" t="n"/>
      <c r="BJ361" s="3" t="n"/>
      <c r="BK361" s="3" t="n"/>
      <c r="BL361" s="3" t="n"/>
      <c r="BM361" s="3" t="n"/>
      <c r="BN361" s="3" t="n"/>
      <c r="BO361" s="3" t="n"/>
      <c r="BP361" s="3" t="n"/>
      <c r="BQ361" s="3" t="n"/>
      <c r="BR361" s="34" t="str">
        <f>B361&amp;"|"&amp;D361</f>
        <v>GRL|SE.XPD.TOTL.GD.ZS</v>
      </c>
    </row>
    <row r="362">
      <c r="A362" s="3" t="inlineStr">
        <is>
          <t>Guatemala</t>
        </is>
      </c>
      <c r="B362" s="3" t="inlineStr">
        <is>
          <t>GTM</t>
        </is>
      </c>
      <c r="C362" s="3" t="inlineStr">
        <is>
          <t>Government expenditure on education, total (% of GDP)</t>
        </is>
      </c>
      <c r="D362" s="3" t="inlineStr">
        <is>
          <t>SE.XPD.TOTL.GD.ZS</t>
        </is>
      </c>
      <c r="E362" s="3" t="n">
        <v>2023</v>
      </c>
      <c r="F362" s="3" t="n"/>
      <c r="G362" s="3" t="n"/>
      <c r="H362" s="3" t="n"/>
      <c r="I362" s="3" t="n"/>
      <c r="J362" s="3" t="n"/>
      <c r="K362" s="3" t="n"/>
      <c r="L362" s="3" t="n"/>
      <c r="M362" s="3" t="n"/>
      <c r="N362" s="3" t="n"/>
      <c r="O362" s="3" t="n"/>
      <c r="P362" s="3" t="n">
        <v>1.85871994495392</v>
      </c>
      <c r="Q362" s="3" t="n">
        <v>2.0255401134491</v>
      </c>
      <c r="R362" s="3" t="n"/>
      <c r="S362" s="3" t="n"/>
      <c r="T362" s="3" t="n"/>
      <c r="U362" s="3" t="n"/>
      <c r="V362" s="3" t="n">
        <v>1.62729001045227</v>
      </c>
      <c r="W362" s="3" t="n"/>
      <c r="X362" s="3" t="n"/>
      <c r="Y362" s="3" t="n"/>
      <c r="Z362" s="3" t="n"/>
      <c r="AA362" s="3" t="n"/>
      <c r="AB362" s="3" t="n"/>
      <c r="AC362" s="3" t="n"/>
      <c r="AD362" s="3" t="n"/>
      <c r="AE362" s="3" t="n"/>
      <c r="AF362" s="3" t="n"/>
      <c r="AG362" s="3" t="n"/>
      <c r="AH362" s="3" t="n"/>
      <c r="AI362" s="3" t="n"/>
      <c r="AJ362" s="3" t="n"/>
      <c r="AK362" s="3" t="n"/>
      <c r="AL362" s="3" t="n"/>
      <c r="AM362" s="3" t="n">
        <v>1.66575002670288</v>
      </c>
      <c r="AN362" s="3" t="n">
        <v>1.43998003005981</v>
      </c>
      <c r="AO362" s="3" t="n">
        <v>1.60479998588562</v>
      </c>
      <c r="AP362" s="3" t="n">
        <v>1.56369996070862</v>
      </c>
      <c r="AQ362" s="3" t="n"/>
      <c r="AR362" s="3" t="n"/>
      <c r="AS362" s="3" t="n"/>
      <c r="AT362" s="3" t="n"/>
      <c r="AU362" s="3" t="n"/>
      <c r="AV362" s="3" t="n"/>
      <c r="AW362" s="3" t="n"/>
      <c r="AX362" s="3" t="n"/>
      <c r="AY362" s="3" t="n"/>
      <c r="AZ362" s="3" t="n">
        <v>3.03285002708435</v>
      </c>
      <c r="BA362" s="3" t="n">
        <v>3.08808994293213</v>
      </c>
      <c r="BB362" s="3" t="n">
        <v>3.23686003684998</v>
      </c>
      <c r="BC362" s="3" t="n"/>
      <c r="BD362" s="3" t="n">
        <v>2.8486499786377</v>
      </c>
      <c r="BE362" s="3" t="n">
        <v>2.96865010261536</v>
      </c>
      <c r="BF362" s="3" t="n">
        <v>3.00524997711182</v>
      </c>
      <c r="BG362" s="3" t="n">
        <v>2.88808989524841</v>
      </c>
      <c r="BH362" s="3" t="n">
        <v>2.98562002182007</v>
      </c>
      <c r="BI362" s="3" t="n">
        <v>3.03032994270325</v>
      </c>
      <c r="BJ362" s="3" t="n">
        <v>2.94474005699158</v>
      </c>
      <c r="BK362" s="3" t="n">
        <v>2.95009994506836</v>
      </c>
      <c r="BL362" s="3" t="n">
        <v>3.13193988800049</v>
      </c>
      <c r="BM362" s="3" t="n">
        <v>3.19297003746033</v>
      </c>
      <c r="BN362" s="3" t="n">
        <v>3.29503011703491</v>
      </c>
      <c r="BO362" s="3" t="n">
        <v>3.10634994506836</v>
      </c>
      <c r="BP362" s="3" t="n">
        <v>3.22940993309021</v>
      </c>
      <c r="BQ362" s="3" t="n">
        <v>3.17938995361328</v>
      </c>
      <c r="BR362" s="34" t="str">
        <f>B362&amp;"|"&amp;D362</f>
        <v>GTM|SE.XPD.TOTL.GD.ZS</v>
      </c>
    </row>
    <row r="363">
      <c r="A363" s="3" t="inlineStr">
        <is>
          <t>Guam</t>
        </is>
      </c>
      <c r="B363" s="3" t="inlineStr">
        <is>
          <t>GUM</t>
        </is>
      </c>
      <c r="C363" s="3" t="inlineStr">
        <is>
          <t>Government expenditure on education, total (% of GDP)</t>
        </is>
      </c>
      <c r="D363" s="3" t="inlineStr">
        <is>
          <t>SE.XPD.TOTL.GD.ZS</t>
        </is>
      </c>
      <c r="E363" s="3" t="inlineStr">
        <is>
          <t>0x2a</t>
        </is>
      </c>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c r="AD363" s="3" t="n"/>
      <c r="AE363" s="3" t="n"/>
      <c r="AF363" s="3" t="n"/>
      <c r="AG363" s="3" t="n"/>
      <c r="AH363" s="3" t="n"/>
      <c r="AI363" s="3" t="n"/>
      <c r="AJ363" s="3" t="n"/>
      <c r="AK363" s="3" t="n"/>
      <c r="AL363" s="3" t="n"/>
      <c r="AM363" s="3" t="n"/>
      <c r="AN363" s="3" t="n"/>
      <c r="AO363" s="3" t="n"/>
      <c r="AP363" s="3" t="n"/>
      <c r="AQ363" s="3" t="n"/>
      <c r="AR363" s="3" t="n"/>
      <c r="AS363" s="3" t="n"/>
      <c r="AT363" s="3" t="n"/>
      <c r="AU363" s="3" t="n"/>
      <c r="AV363" s="3" t="n"/>
      <c r="AW363" s="3" t="n"/>
      <c r="AX363" s="3" t="n"/>
      <c r="AY363" s="3" t="n"/>
      <c r="AZ363" s="3" t="n"/>
      <c r="BA363" s="3" t="n"/>
      <c r="BB363" s="3" t="n"/>
      <c r="BC363" s="3" t="n"/>
      <c r="BD363" s="3" t="n"/>
      <c r="BE363" s="3" t="n"/>
      <c r="BF363" s="3" t="n"/>
      <c r="BG363" s="3" t="n"/>
      <c r="BH363" s="3" t="n"/>
      <c r="BI363" s="3" t="n"/>
      <c r="BJ363" s="3" t="n"/>
      <c r="BK363" s="3" t="n"/>
      <c r="BL363" s="3" t="n"/>
      <c r="BM363" s="3" t="n"/>
      <c r="BN363" s="3" t="n"/>
      <c r="BO363" s="3" t="n"/>
      <c r="BP363" s="3" t="n"/>
      <c r="BQ363" s="3" t="n"/>
      <c r="BR363" s="34" t="str">
        <f>B363&amp;"|"&amp;D363</f>
        <v>GUM|SE.XPD.TOTL.GD.ZS</v>
      </c>
    </row>
    <row r="364">
      <c r="A364" s="3" t="inlineStr">
        <is>
          <t>Guyana</t>
        </is>
      </c>
      <c r="B364" s="3" t="inlineStr">
        <is>
          <t>GUY</t>
        </is>
      </c>
      <c r="C364" s="3" t="inlineStr">
        <is>
          <t>Government expenditure on education, total (% of GDP)</t>
        </is>
      </c>
      <c r="D364" s="3" t="inlineStr">
        <is>
          <t>SE.XPD.TOTL.GD.ZS</t>
        </is>
      </c>
      <c r="E364" s="3" t="n">
        <v>2018</v>
      </c>
      <c r="F364" s="3" t="n"/>
      <c r="G364" s="3" t="n"/>
      <c r="H364" s="3" t="n"/>
      <c r="I364" s="3" t="n"/>
      <c r="J364" s="3" t="n"/>
      <c r="K364" s="3" t="n"/>
      <c r="L364" s="3" t="n"/>
      <c r="M364" s="3" t="n"/>
      <c r="N364" s="3" t="n"/>
      <c r="O364" s="3" t="n"/>
      <c r="P364" s="3" t="n">
        <v>4.32897996902466</v>
      </c>
      <c r="Q364" s="3" t="n"/>
      <c r="R364" s="3" t="n"/>
      <c r="S364" s="3" t="n"/>
      <c r="T364" s="3" t="n"/>
      <c r="U364" s="3" t="n"/>
      <c r="V364" s="3" t="n"/>
      <c r="W364" s="3" t="n">
        <v>7.08872985839844</v>
      </c>
      <c r="X364" s="3" t="n"/>
      <c r="Y364" s="3" t="n">
        <v>9.37786960601807</v>
      </c>
      <c r="Z364" s="3" t="n"/>
      <c r="AA364" s="3" t="n"/>
      <c r="AB364" s="3" t="n"/>
      <c r="AC364" s="3" t="n">
        <v>8.253470420837401</v>
      </c>
      <c r="AD364" s="3" t="n">
        <v>7.22747993469238</v>
      </c>
      <c r="AE364" s="3" t="n"/>
      <c r="AF364" s="3" t="n"/>
      <c r="AG364" s="3" t="n"/>
      <c r="AH364" s="3" t="n"/>
      <c r="AI364" s="3" t="n"/>
      <c r="AJ364" s="3" t="n"/>
      <c r="AK364" s="3" t="n"/>
      <c r="AL364" s="3" t="n"/>
      <c r="AM364" s="3" t="n"/>
      <c r="AN364" s="3" t="n">
        <v>3.72445011138916</v>
      </c>
      <c r="AO364" s="3" t="n">
        <v>3.60933995246887</v>
      </c>
      <c r="AP364" s="3" t="n"/>
      <c r="AQ364" s="3" t="n"/>
      <c r="AR364" s="3" t="n"/>
      <c r="AS364" s="3" t="n">
        <v>8.56105995178223</v>
      </c>
      <c r="AT364" s="3" t="n">
        <v>8.48414993286133</v>
      </c>
      <c r="AU364" s="3" t="n">
        <v>8.397299766540529</v>
      </c>
      <c r="AV364" s="3" t="n">
        <v>8.36553955078125</v>
      </c>
      <c r="AW364" s="3" t="n">
        <v>6.95590019226074</v>
      </c>
      <c r="AX364" s="3" t="n">
        <v>5.51293992996216</v>
      </c>
      <c r="AY364" s="3" t="n">
        <v>8.139730453491209</v>
      </c>
      <c r="AZ364" s="3" t="n">
        <v>3.11891007423401</v>
      </c>
      <c r="BA364" s="3" t="n">
        <v>2.39117002487183</v>
      </c>
      <c r="BB364" s="3" t="n"/>
      <c r="BC364" s="3" t="n">
        <v>2.15057992935181</v>
      </c>
      <c r="BD364" s="3" t="n">
        <v>2.40938997268677</v>
      </c>
      <c r="BE364" s="3" t="n">
        <v>2.50669002532959</v>
      </c>
      <c r="BF364" s="3" t="n">
        <v>2.24131989479065</v>
      </c>
      <c r="BG364" s="3" t="n"/>
      <c r="BH364" s="3" t="n">
        <v>4.36033010482788</v>
      </c>
      <c r="BI364" s="3" t="n">
        <v>3.89569997787476</v>
      </c>
      <c r="BJ364" s="3" t="n">
        <v>4.73775005340576</v>
      </c>
      <c r="BK364" s="3" t="n">
        <v>4.6647801399231</v>
      </c>
      <c r="BL364" s="3" t="n">
        <v>4.45058012008667</v>
      </c>
      <c r="BM364" s="3" t="n"/>
      <c r="BN364" s="3" t="n"/>
      <c r="BO364" s="3" t="n"/>
      <c r="BP364" s="3" t="n"/>
      <c r="BQ364" s="3" t="n"/>
      <c r="BR364" s="34" t="str">
        <f>B364&amp;"|"&amp;D364</f>
        <v>GUY|SE.XPD.TOTL.GD.ZS</v>
      </c>
    </row>
    <row r="365">
      <c r="A365" s="3" t="inlineStr">
        <is>
          <t>High income</t>
        </is>
      </c>
      <c r="B365" s="3" t="inlineStr">
        <is>
          <t>HIC</t>
        </is>
      </c>
      <c r="C365" s="3" t="inlineStr">
        <is>
          <t>Government expenditure on education, total (% of GDP)</t>
        </is>
      </c>
      <c r="D365" s="3" t="inlineStr">
        <is>
          <t>SE.XPD.TOTL.GD.ZS</t>
        </is>
      </c>
      <c r="E365" s="3" t="n">
        <v>2021</v>
      </c>
      <c r="F365" s="3" t="n"/>
      <c r="G365" s="3" t="n"/>
      <c r="H365" s="3" t="n"/>
      <c r="I365" s="3" t="n"/>
      <c r="J365" s="3" t="n"/>
      <c r="K365" s="3" t="n"/>
      <c r="L365" s="3" t="n"/>
      <c r="M365" s="3" t="n"/>
      <c r="N365" s="3" t="n"/>
      <c r="O365" s="3" t="n"/>
      <c r="P365" s="3" t="n"/>
      <c r="Q365" s="3" t="n"/>
      <c r="R365" s="3" t="n"/>
      <c r="S365" s="3" t="n"/>
      <c r="T365" s="3" t="n">
        <v>4.17809009552002</v>
      </c>
      <c r="U365" s="3" t="n">
        <v>4.499175071716305</v>
      </c>
      <c r="V365" s="3" t="n">
        <v>4.449159860610965</v>
      </c>
      <c r="W365" s="3" t="n"/>
      <c r="X365" s="3" t="n">
        <v>4.451524972915649</v>
      </c>
      <c r="Y365" s="3" t="n">
        <v>4.40768003463745</v>
      </c>
      <c r="Z365" s="3" t="n">
        <v>4.30769014358521</v>
      </c>
      <c r="AA365" s="3" t="n">
        <v>4.782040119171141</v>
      </c>
      <c r="AB365" s="3" t="n">
        <v>4.89589500427246</v>
      </c>
      <c r="AC365" s="3" t="n"/>
      <c r="AD365" s="3" t="n"/>
      <c r="AE365" s="3" t="n"/>
      <c r="AF365" s="3" t="n">
        <v>4.801665067672729</v>
      </c>
      <c r="AG365" s="3" t="n"/>
      <c r="AH365" s="3" t="n"/>
      <c r="AI365" s="3" t="n"/>
      <c r="AJ365" s="3" t="n"/>
      <c r="AK365" s="3" t="n">
        <v>4.78484010696411</v>
      </c>
      <c r="AL365" s="3" t="n">
        <v>4.870510101318355</v>
      </c>
      <c r="AM365" s="3" t="n">
        <v>4.955519914627075</v>
      </c>
      <c r="AN365" s="3" t="n">
        <v>4.749340057373045</v>
      </c>
      <c r="AO365" s="3" t="n">
        <v>4.61330986022949</v>
      </c>
      <c r="AP365" s="3" t="n">
        <v>4.49470996856689</v>
      </c>
      <c r="AQ365" s="3" t="n"/>
      <c r="AR365" s="3" t="n">
        <v>4.46187019348145</v>
      </c>
      <c r="AS365" s="3" t="n">
        <v>4.56723022460938</v>
      </c>
      <c r="AT365" s="3" t="n">
        <v>4.759514808654785</v>
      </c>
      <c r="AU365" s="3" t="n">
        <v>4.9310097694397</v>
      </c>
      <c r="AV365" s="3" t="n">
        <v>4.899490118026735</v>
      </c>
      <c r="AW365" s="3" t="n">
        <v>5.04878497123718</v>
      </c>
      <c r="AX365" s="3" t="n">
        <v>4.87674999237061</v>
      </c>
      <c r="AY365" s="3" t="n">
        <v>4.92976999282837</v>
      </c>
      <c r="AZ365" s="3" t="n">
        <v>4.87443995475769</v>
      </c>
      <c r="BA365" s="3" t="n">
        <v>4.71541023254395</v>
      </c>
      <c r="BB365" s="3" t="n">
        <v>4.83990001678467</v>
      </c>
      <c r="BC365" s="3" t="n">
        <v>4.98976993560791</v>
      </c>
      <c r="BD365" s="3" t="n">
        <v>5.101469993591305</v>
      </c>
      <c r="BE365" s="3" t="n">
        <v>4.98425006866455</v>
      </c>
      <c r="BF365" s="3" t="n">
        <v>4.89862012863159</v>
      </c>
      <c r="BG365" s="3" t="n">
        <v>4.878905057907105</v>
      </c>
      <c r="BH365" s="3" t="n">
        <v>4.893069982528685</v>
      </c>
      <c r="BI365" s="3" t="n">
        <v>4.88554000854492</v>
      </c>
      <c r="BJ365" s="3" t="n">
        <v>4.78797483444214</v>
      </c>
      <c r="BK365" s="3" t="n">
        <v>4.735224962234501</v>
      </c>
      <c r="BL365" s="3" t="n">
        <v>4.67515993118286</v>
      </c>
      <c r="BM365" s="3" t="n">
        <v>4.67881011962891</v>
      </c>
      <c r="BN365" s="3" t="n">
        <v>4.87656021118164</v>
      </c>
      <c r="BO365" s="3" t="n">
        <v>4.80319976806641</v>
      </c>
      <c r="BP365" s="3" t="n"/>
      <c r="BQ365" s="3" t="n"/>
      <c r="BR365" s="34" t="str">
        <f>B365&amp;"|"&amp;D365</f>
        <v>HIC|SE.XPD.TOTL.GD.ZS</v>
      </c>
    </row>
    <row r="366">
      <c r="A366" s="3" t="inlineStr">
        <is>
          <t>Hong Kong SAR, China</t>
        </is>
      </c>
      <c r="B366" s="3" t="inlineStr">
        <is>
          <t>HKG</t>
        </is>
      </c>
      <c r="C366" s="3" t="inlineStr">
        <is>
          <t>Government expenditure on education, total (% of GDP)</t>
        </is>
      </c>
      <c r="D366" s="3" t="inlineStr">
        <is>
          <t>SE.XPD.TOTL.GD.ZS</t>
        </is>
      </c>
      <c r="E366" s="3" t="n">
        <v>2023</v>
      </c>
      <c r="F366" s="3" t="n"/>
      <c r="G366" s="3" t="n"/>
      <c r="H366" s="3" t="n"/>
      <c r="I366" s="3" t="n"/>
      <c r="J366" s="3" t="n"/>
      <c r="K366" s="3" t="n"/>
      <c r="L366" s="3" t="n"/>
      <c r="M366" s="3" t="n"/>
      <c r="N366" s="3" t="n"/>
      <c r="O366" s="3" t="n"/>
      <c r="P366" s="3" t="n"/>
      <c r="Q366" s="3" t="n">
        <v>2.36814999580383</v>
      </c>
      <c r="R366" s="3" t="n">
        <v>2.29560995101929</v>
      </c>
      <c r="S366" s="3" t="n">
        <v>2.1833701133728</v>
      </c>
      <c r="T366" s="3" t="n">
        <v>2.36029005050659</v>
      </c>
      <c r="U366" s="3" t="n">
        <v>2.44919991493225</v>
      </c>
      <c r="V366" s="3" t="n">
        <v>2.43336009979248</v>
      </c>
      <c r="W366" s="3" t="n">
        <v>2.21923995018005</v>
      </c>
      <c r="X366" s="3" t="n">
        <v>2.32255005836487</v>
      </c>
      <c r="Y366" s="3" t="n"/>
      <c r="Z366" s="3" t="n">
        <v>2.19214010238647</v>
      </c>
      <c r="AA366" s="3" t="n">
        <v>2.27172994613647</v>
      </c>
      <c r="AB366" s="3" t="n">
        <v>1.66982996463776</v>
      </c>
      <c r="AC366" s="3" t="n">
        <v>2.57859992980957</v>
      </c>
      <c r="AD366" s="3" t="n">
        <v>2.58169007301331</v>
      </c>
      <c r="AE366" s="3" t="n">
        <v>2.55896997451782</v>
      </c>
      <c r="AF366" s="3" t="n"/>
      <c r="AG366" s="3" t="n"/>
      <c r="AH366" s="3" t="n"/>
      <c r="AI366" s="3" t="n"/>
      <c r="AJ366" s="3" t="n">
        <v>2.46608996391296</v>
      </c>
      <c r="AK366" s="3" t="n"/>
      <c r="AL366" s="3" t="n">
        <v>2.82820010185242</v>
      </c>
      <c r="AM366" s="3" t="n"/>
      <c r="AN366" s="3" t="n"/>
      <c r="AO366" s="3" t="n"/>
      <c r="AP366" s="3" t="n">
        <v>2.72831010818481</v>
      </c>
      <c r="AQ366" s="3" t="n"/>
      <c r="AR366" s="3" t="n"/>
      <c r="AS366" s="3" t="n"/>
      <c r="AT366" s="3" t="n"/>
      <c r="AU366" s="3" t="n">
        <v>3.90370011329651</v>
      </c>
      <c r="AV366" s="3" t="n">
        <v>4.01554012298584</v>
      </c>
      <c r="AW366" s="3" t="n">
        <v>4.28529977798462</v>
      </c>
      <c r="AX366" s="3" t="n">
        <v>4.5589599609375</v>
      </c>
      <c r="AY366" s="3" t="n">
        <v>4.13463020324707</v>
      </c>
      <c r="AZ366" s="3" t="n">
        <v>3.84278988838196</v>
      </c>
      <c r="BA366" s="3" t="n">
        <v>3.45455002784729</v>
      </c>
      <c r="BB366" s="3" t="n">
        <v>3.26062989234924</v>
      </c>
      <c r="BC366" s="3" t="n">
        <v>4.39212989807129</v>
      </c>
      <c r="BD366" s="3" t="n">
        <v>3.51003003120422</v>
      </c>
      <c r="BE366" s="3" t="n">
        <v>3.41822004318237</v>
      </c>
      <c r="BF366" s="3" t="n">
        <v>3.50960993766785</v>
      </c>
      <c r="BG366" s="3" t="n">
        <v>3.76031994819641</v>
      </c>
      <c r="BH366" s="3" t="n">
        <v>3.57255005836487</v>
      </c>
      <c r="BI366" s="3" t="n">
        <v>3.26212000846863</v>
      </c>
      <c r="BJ366" s="3" t="n">
        <v>3.29269003868103</v>
      </c>
      <c r="BK366" s="3" t="n">
        <v>3.30989003181458</v>
      </c>
      <c r="BL366" s="3" t="n">
        <v>3.32624006271362</v>
      </c>
      <c r="BM366" s="3" t="n">
        <v>3.81017994880676</v>
      </c>
      <c r="BN366" s="3" t="n">
        <v>4.40562009811401</v>
      </c>
      <c r="BO366" s="3" t="n">
        <v>4.00030994415283</v>
      </c>
      <c r="BP366" s="3" t="n">
        <v>3.72866010665894</v>
      </c>
      <c r="BQ366" s="3" t="n">
        <v>3.80310010910034</v>
      </c>
      <c r="BR366" s="34" t="str">
        <f>B366&amp;"|"&amp;D366</f>
        <v>HKG|SE.XPD.TOTL.GD.ZS</v>
      </c>
    </row>
    <row r="367">
      <c r="A367" s="3" t="inlineStr">
        <is>
          <t>Honduras</t>
        </is>
      </c>
      <c r="B367" s="3" t="inlineStr">
        <is>
          <t>HND</t>
        </is>
      </c>
      <c r="C367" s="3" t="inlineStr">
        <is>
          <t>Government expenditure on education, total (% of GDP)</t>
        </is>
      </c>
      <c r="D367" s="3" t="inlineStr">
        <is>
          <t>SE.XPD.TOTL.GD.ZS</t>
        </is>
      </c>
      <c r="E367" s="3" t="n">
        <v>2023</v>
      </c>
      <c r="F367" s="3" t="n"/>
      <c r="G367" s="3" t="n"/>
      <c r="H367" s="3" t="n"/>
      <c r="I367" s="3" t="n"/>
      <c r="J367" s="3" t="n"/>
      <c r="K367" s="3" t="n"/>
      <c r="L367" s="3" t="n"/>
      <c r="M367" s="3" t="n"/>
      <c r="N367" s="3" t="n"/>
      <c r="O367" s="3" t="n"/>
      <c r="P367" s="3" t="n"/>
      <c r="Q367" s="3" t="n"/>
      <c r="R367" s="3" t="n"/>
      <c r="S367" s="3" t="n"/>
      <c r="T367" s="3" t="n"/>
      <c r="U367" s="3" t="n"/>
      <c r="V367" s="3" t="n"/>
      <c r="W367" s="3" t="n"/>
      <c r="X367" s="3" t="n">
        <v>2.01904988288879</v>
      </c>
      <c r="Y367" s="3" t="n">
        <v>2.01298999786377</v>
      </c>
      <c r="Z367" s="3" t="n">
        <v>1.93636000156403</v>
      </c>
      <c r="AA367" s="3" t="n"/>
      <c r="AB367" s="3" t="n"/>
      <c r="AC367" s="3" t="n"/>
      <c r="AD367" s="3" t="n"/>
      <c r="AE367" s="3" t="n"/>
      <c r="AF367" s="3" t="n"/>
      <c r="AG367" s="3" t="n"/>
      <c r="AH367" s="3" t="n"/>
      <c r="AI367" s="3" t="n"/>
      <c r="AJ367" s="3" t="n"/>
      <c r="AK367" s="3" t="n"/>
      <c r="AL367" s="3" t="n"/>
      <c r="AM367" s="3" t="n"/>
      <c r="AN367" s="3" t="n">
        <v>2.51263999938965</v>
      </c>
      <c r="AO367" s="3" t="n">
        <v>2.61744999885559</v>
      </c>
      <c r="AP367" s="3" t="n"/>
      <c r="AQ367" s="3" t="n"/>
      <c r="AR367" s="3" t="n"/>
      <c r="AS367" s="3" t="n"/>
      <c r="AT367" s="3" t="n"/>
      <c r="AU367" s="3" t="n"/>
      <c r="AV367" s="3" t="n"/>
      <c r="AW367" s="3" t="n"/>
      <c r="AX367" s="3" t="n"/>
      <c r="AY367" s="3" t="n"/>
      <c r="AZ367" s="3" t="n"/>
      <c r="BA367" s="3" t="n"/>
      <c r="BB367" s="3" t="n"/>
      <c r="BC367" s="3" t="n"/>
      <c r="BD367" s="3" t="n"/>
      <c r="BE367" s="3" t="n"/>
      <c r="BF367" s="3" t="n">
        <v>6.29972791671753</v>
      </c>
      <c r="BG367" s="3" t="n">
        <v>5.87492990493774</v>
      </c>
      <c r="BH367" s="3" t="n">
        <v>7.0901198387146</v>
      </c>
      <c r="BI367" s="3" t="n">
        <v>6.41297006607056</v>
      </c>
      <c r="BJ367" s="3" t="n">
        <v>6.09509515762329</v>
      </c>
      <c r="BK367" s="3" t="n">
        <v>5.74434375762939</v>
      </c>
      <c r="BL367" s="3" t="n">
        <v>6.05646991729736</v>
      </c>
      <c r="BM367" s="3" t="n">
        <v>5.93245983123779</v>
      </c>
      <c r="BN367" s="3" t="n">
        <v>5.97629117965698</v>
      </c>
      <c r="BO367" s="3" t="n">
        <v>5.81050157546997</v>
      </c>
      <c r="BP367" s="3" t="n">
        <v>4.44157886505127</v>
      </c>
      <c r="BQ367" s="3" t="n">
        <v>4.04616022109985</v>
      </c>
      <c r="BR367" s="34" t="str">
        <f>B367&amp;"|"&amp;D367</f>
        <v>HND|SE.XPD.TOTL.GD.ZS</v>
      </c>
    </row>
    <row r="368">
      <c r="A368" s="3" t="inlineStr">
        <is>
          <t>Heavily indebted poor countries (HIPC)</t>
        </is>
      </c>
      <c r="B368" s="3" t="inlineStr">
        <is>
          <t>HPC</t>
        </is>
      </c>
      <c r="C368" s="3" t="inlineStr">
        <is>
          <t>Government expenditure on education, total (% of GDP)</t>
        </is>
      </c>
      <c r="D368" s="3" t="inlineStr">
        <is>
          <t>SE.XPD.TOTL.GD.ZS</t>
        </is>
      </c>
      <c r="E368" s="3" t="n">
        <v>2022</v>
      </c>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c r="AD368" s="3" t="n"/>
      <c r="AE368" s="3" t="n"/>
      <c r="AF368" s="3" t="n"/>
      <c r="AG368" s="3" t="n"/>
      <c r="AH368" s="3" t="n"/>
      <c r="AI368" s="3" t="n"/>
      <c r="AJ368" s="3" t="n"/>
      <c r="AK368" s="3" t="n"/>
      <c r="AL368" s="3" t="n"/>
      <c r="AM368" s="3" t="n"/>
      <c r="AN368" s="3" t="n"/>
      <c r="AO368" s="3" t="n"/>
      <c r="AP368" s="3" t="n"/>
      <c r="AQ368" s="3" t="n"/>
      <c r="AR368" s="3" t="n"/>
      <c r="AS368" s="3" t="n">
        <v>2.56853008270264</v>
      </c>
      <c r="AT368" s="3" t="n">
        <v>2.46335005760193</v>
      </c>
      <c r="AU368" s="3" t="n">
        <v>2.65844988822937</v>
      </c>
      <c r="AV368" s="3" t="n">
        <v>2.4695200920105</v>
      </c>
      <c r="AW368" s="3" t="n"/>
      <c r="AX368" s="3" t="n">
        <v>2.81261992454529</v>
      </c>
      <c r="AY368" s="3" t="n">
        <v>2.8372700214386</v>
      </c>
      <c r="AZ368" s="3" t="n">
        <v>2.8199999332428</v>
      </c>
      <c r="BA368" s="3" t="n"/>
      <c r="BB368" s="3" t="n">
        <v>2.750200033187865</v>
      </c>
      <c r="BC368" s="3" t="n">
        <v>3.13160502910614</v>
      </c>
      <c r="BD368" s="3" t="n">
        <v>3.24651002883911</v>
      </c>
      <c r="BE368" s="3" t="n">
        <v>3.08540308475494</v>
      </c>
      <c r="BF368" s="3" t="n">
        <v>3.281669974327085</v>
      </c>
      <c r="BG368" s="3" t="n">
        <v>3.390985012054445</v>
      </c>
      <c r="BH368" s="3" t="n">
        <v>3.4237699508667</v>
      </c>
      <c r="BI368" s="3" t="n">
        <v>3.49412989616394</v>
      </c>
      <c r="BJ368" s="3" t="n">
        <v>3.1694552898407</v>
      </c>
      <c r="BK368" s="3" t="n">
        <v>3.72964000701904</v>
      </c>
      <c r="BL368" s="3" t="n">
        <v>3.32295989990234</v>
      </c>
      <c r="BM368" s="3" t="n">
        <v>3.52622723579407</v>
      </c>
      <c r="BN368" s="3" t="n">
        <v>3.59794998168945</v>
      </c>
      <c r="BO368" s="3" t="n">
        <v>3.373342156410215</v>
      </c>
      <c r="BP368" s="3" t="n">
        <v>3.44491457939148</v>
      </c>
      <c r="BQ368" s="3" t="n"/>
      <c r="BR368" s="34" t="str">
        <f>B368&amp;"|"&amp;D368</f>
        <v>HPC|SE.XPD.TOTL.GD.ZS</v>
      </c>
    </row>
    <row r="369">
      <c r="A369" s="3" t="inlineStr">
        <is>
          <t>Croatia</t>
        </is>
      </c>
      <c r="B369" s="3" t="inlineStr">
        <is>
          <t>HRV</t>
        </is>
      </c>
      <c r="C369" s="3" t="inlineStr">
        <is>
          <t>Government expenditure on education, total (% of GDP)</t>
        </is>
      </c>
      <c r="D369" s="3" t="inlineStr">
        <is>
          <t>SE.XPD.TOTL.GD.ZS</t>
        </is>
      </c>
      <c r="E369" s="3" t="n">
        <v>2021</v>
      </c>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c r="AD369" s="3" t="n"/>
      <c r="AE369" s="3" t="n"/>
      <c r="AF369" s="3" t="n"/>
      <c r="AG369" s="3" t="n"/>
      <c r="AH369" s="3" t="n"/>
      <c r="AI369" s="3" t="n"/>
      <c r="AJ369" s="3" t="n"/>
      <c r="AK369" s="3" t="n"/>
      <c r="AL369" s="3" t="n"/>
      <c r="AM369" s="3" t="n"/>
      <c r="AN369" s="3" t="n"/>
      <c r="AO369" s="3" t="n"/>
      <c r="AP369" s="3" t="n"/>
      <c r="AQ369" s="3" t="n"/>
      <c r="AR369" s="3" t="n"/>
      <c r="AS369" s="3" t="n"/>
      <c r="AT369" s="3" t="n">
        <v>6.112708568573</v>
      </c>
      <c r="AU369" s="3" t="n">
        <v>5.68086528778076</v>
      </c>
      <c r="AV369" s="3" t="n">
        <v>3.82300996780396</v>
      </c>
      <c r="AW369" s="3" t="n">
        <v>3.86901998519897</v>
      </c>
      <c r="AX369" s="3" t="n">
        <v>3.82214999198914</v>
      </c>
      <c r="AY369" s="3" t="n">
        <v>5.36704969406128</v>
      </c>
      <c r="AZ369" s="3" t="n">
        <v>5.00697135925293</v>
      </c>
      <c r="BA369" s="3" t="n">
        <v>3.96751999855042</v>
      </c>
      <c r="BB369" s="3" t="n">
        <v>4.27542018890381</v>
      </c>
      <c r="BC369" s="3" t="n">
        <v>4.37821006774902</v>
      </c>
      <c r="BD369" s="3" t="n">
        <v>4.21689987182617</v>
      </c>
      <c r="BE369" s="3" t="n">
        <v>4.11441993713379</v>
      </c>
      <c r="BF369" s="3" t="n">
        <v>5.22161388397217</v>
      </c>
      <c r="BG369" s="3" t="n">
        <v>4.52116012573242</v>
      </c>
      <c r="BH369" s="3" t="n">
        <v>5.17615127563477</v>
      </c>
      <c r="BI369" s="3" t="n">
        <v>4.96908521652222</v>
      </c>
      <c r="BJ369" s="3" t="n">
        <v>4.89622449874878</v>
      </c>
      <c r="BK369" s="3" t="n">
        <v>3.86269998550415</v>
      </c>
      <c r="BL369" s="3" t="n">
        <v>3.91209006309509</v>
      </c>
      <c r="BM369" s="3" t="n">
        <v>3.92007994651794</v>
      </c>
      <c r="BN369" s="3" t="n">
        <v>4.38901996612549</v>
      </c>
      <c r="BO369" s="3" t="n">
        <v>4.05666017532349</v>
      </c>
      <c r="BP369" s="3" t="n"/>
      <c r="BQ369" s="3" t="n"/>
      <c r="BR369" s="34" t="str">
        <f>B369&amp;"|"&amp;D369</f>
        <v>HRV|SE.XPD.TOTL.GD.ZS</v>
      </c>
    </row>
    <row r="370">
      <c r="A370" s="3" t="inlineStr">
        <is>
          <t>Haiti</t>
        </is>
      </c>
      <c r="B370" s="3" t="inlineStr">
        <is>
          <t>HTI</t>
        </is>
      </c>
      <c r="C370" s="3" t="inlineStr">
        <is>
          <t>Government expenditure on education, total (% of GDP)</t>
        </is>
      </c>
      <c r="D370" s="3" t="inlineStr">
        <is>
          <t>SE.XPD.TOTL.GD.ZS</t>
        </is>
      </c>
      <c r="E370" s="3" t="n">
        <v>2022</v>
      </c>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v>1.39374005794525</v>
      </c>
      <c r="AB370" s="3" t="n">
        <v>1.07954001426697</v>
      </c>
      <c r="AC370" s="3" t="n">
        <v>1.0222100019455</v>
      </c>
      <c r="AD370" s="3" t="n">
        <v>0.986190021038055</v>
      </c>
      <c r="AE370" s="3" t="n">
        <v>0.969290018081665</v>
      </c>
      <c r="AF370" s="3" t="n"/>
      <c r="AG370" s="3" t="n"/>
      <c r="AH370" s="3" t="n"/>
      <c r="AI370" s="3" t="n"/>
      <c r="AJ370" s="3" t="n"/>
      <c r="AK370" s="3" t="n">
        <v>1.07398998737335</v>
      </c>
      <c r="AL370" s="3" t="n"/>
      <c r="AM370" s="3" t="n"/>
      <c r="AN370" s="3" t="n"/>
      <c r="AO370" s="3" t="n"/>
      <c r="AP370" s="3" t="n"/>
      <c r="AQ370" s="3" t="n"/>
      <c r="AR370" s="3" t="n"/>
      <c r="AS370" s="3" t="n"/>
      <c r="AT370" s="3" t="n"/>
      <c r="AU370" s="3" t="n"/>
      <c r="AV370" s="3" t="n"/>
      <c r="AW370" s="3" t="n"/>
      <c r="AX370" s="3" t="n"/>
      <c r="AY370" s="3" t="n"/>
      <c r="AZ370" s="3" t="n"/>
      <c r="BA370" s="3" t="n"/>
      <c r="BB370" s="3" t="n"/>
      <c r="BC370" s="3" t="n"/>
      <c r="BD370" s="3" t="n"/>
      <c r="BE370" s="3" t="n"/>
      <c r="BF370" s="3" t="n"/>
      <c r="BG370" s="3" t="n"/>
      <c r="BH370" s="3" t="n">
        <v>1.75226998329163</v>
      </c>
      <c r="BI370" s="3" t="n">
        <v>1.85497999191284</v>
      </c>
      <c r="BJ370" s="3" t="n">
        <v>1.38776004314423</v>
      </c>
      <c r="BK370" s="3" t="n">
        <v>1.49846994876862</v>
      </c>
      <c r="BL370" s="3" t="n">
        <v>1.63715994358063</v>
      </c>
      <c r="BM370" s="3" t="n">
        <v>1.75941300392151</v>
      </c>
      <c r="BN370" s="3" t="n">
        <v>1.371013879776</v>
      </c>
      <c r="BO370" s="3" t="n">
        <v>1.24275183677673</v>
      </c>
      <c r="BP370" s="3" t="n">
        <v>1.27466893196106</v>
      </c>
      <c r="BQ370" s="3" t="n"/>
      <c r="BR370" s="34" t="str">
        <f>B370&amp;"|"&amp;D370</f>
        <v>HTI|SE.XPD.TOTL.GD.ZS</v>
      </c>
    </row>
    <row r="371">
      <c r="A371" s="3" t="inlineStr">
        <is>
          <t>Hungary</t>
        </is>
      </c>
      <c r="B371" s="3" t="inlineStr">
        <is>
          <t>HUN</t>
        </is>
      </c>
      <c r="C371" s="3" t="inlineStr">
        <is>
          <t>Government expenditure on education, total (% of GDP)</t>
        </is>
      </c>
      <c r="D371" s="3" t="inlineStr">
        <is>
          <t>SE.XPD.TOTL.GD.ZS</t>
        </is>
      </c>
      <c r="E371" s="3" t="n">
        <v>2021</v>
      </c>
      <c r="F371" s="3" t="n"/>
      <c r="G371" s="3" t="n"/>
      <c r="H371" s="3" t="n"/>
      <c r="I371" s="3" t="n"/>
      <c r="J371" s="3" t="n"/>
      <c r="K371" s="3" t="n"/>
      <c r="L371" s="3" t="n"/>
      <c r="M371" s="3" t="n"/>
      <c r="N371" s="3" t="n"/>
      <c r="O371" s="3" t="n"/>
      <c r="P371" s="3" t="n">
        <v>3.45141005516052</v>
      </c>
      <c r="Q371" s="3" t="n">
        <v>3.4363899230957</v>
      </c>
      <c r="R371" s="3" t="n">
        <v>3.36103010177612</v>
      </c>
      <c r="S371" s="3" t="n">
        <v>3.40099000930786</v>
      </c>
      <c r="T371" s="3" t="n">
        <v>3.60735988616943</v>
      </c>
      <c r="U371" s="3" t="n">
        <v>3.7323100566864</v>
      </c>
      <c r="V371" s="3" t="n">
        <v>3.53689002990723</v>
      </c>
      <c r="W371" s="3" t="n">
        <v>3.605299949646</v>
      </c>
      <c r="X371" s="3" t="n">
        <v>3.72723007202148</v>
      </c>
      <c r="Y371" s="3" t="n">
        <v>3.70742988586426</v>
      </c>
      <c r="Z371" s="3" t="n">
        <v>4.30394983291626</v>
      </c>
      <c r="AA371" s="3" t="n">
        <v>4.43302011489868</v>
      </c>
      <c r="AB371" s="3" t="n">
        <v>4.43564987182617</v>
      </c>
      <c r="AC371" s="3" t="n">
        <v>5.20669984817505</v>
      </c>
      <c r="AD371" s="3" t="n">
        <v>4.77393007278442</v>
      </c>
      <c r="AE371" s="3" t="n">
        <v>4.54767990112305</v>
      </c>
      <c r="AF371" s="3" t="n">
        <v>4.75103998184204</v>
      </c>
      <c r="AG371" s="3" t="n">
        <v>4.64593982696533</v>
      </c>
      <c r="AH371" s="3" t="n">
        <v>4.49736022949219</v>
      </c>
      <c r="AI371" s="3" t="n">
        <v>5.06343984603882</v>
      </c>
      <c r="AJ371" s="3" t="n">
        <v>5.43190002441406</v>
      </c>
      <c r="AK371" s="3" t="n">
        <v>5.87939977645874</v>
      </c>
      <c r="AL371" s="3" t="n">
        <v>6.07956981658936</v>
      </c>
      <c r="AM371" s="3" t="n">
        <v>5.91958999633789</v>
      </c>
      <c r="AN371" s="3" t="n">
        <v>5.83488988876343</v>
      </c>
      <c r="AO371" s="3" t="n">
        <v>4.84748983383179</v>
      </c>
      <c r="AP371" s="3" t="n">
        <v>4.33475017547607</v>
      </c>
      <c r="AQ371" s="3" t="n"/>
      <c r="AR371" s="3" t="n">
        <v>4.40864992141724</v>
      </c>
      <c r="AS371" s="3" t="n">
        <v>4.56704998016357</v>
      </c>
      <c r="AT371" s="3" t="n">
        <v>4.86840009689331</v>
      </c>
      <c r="AU371" s="3" t="n">
        <v>4.9310097694397</v>
      </c>
      <c r="AV371" s="3" t="n">
        <v>5.17923021316528</v>
      </c>
      <c r="AW371" s="3" t="n">
        <v>5.7923002243042</v>
      </c>
      <c r="AX371" s="3" t="n">
        <v>5.32762002944946</v>
      </c>
      <c r="AY371" s="3" t="n">
        <v>5.3200798034668</v>
      </c>
      <c r="AZ371" s="3" t="n">
        <v>5.28974008560181</v>
      </c>
      <c r="BA371" s="3" t="n">
        <v>5.13495016098022</v>
      </c>
      <c r="BB371" s="3" t="n">
        <v>4.9676399230957</v>
      </c>
      <c r="BC371" s="3" t="n">
        <v>4.94636011123657</v>
      </c>
      <c r="BD371" s="3" t="n">
        <v>4.72375011444092</v>
      </c>
      <c r="BE371" s="3" t="n">
        <v>4.5631799697876</v>
      </c>
      <c r="BF371" s="3" t="n">
        <v>4.14249992370605</v>
      </c>
      <c r="BG371" s="3" t="n">
        <v>4.18921995162964</v>
      </c>
      <c r="BH371" s="3" t="n">
        <v>4.60187005996704</v>
      </c>
      <c r="BI371" s="3" t="n">
        <v>4.49539995193481</v>
      </c>
      <c r="BJ371" s="3" t="n">
        <v>4.61547994613647</v>
      </c>
      <c r="BK371" s="3" t="n">
        <v>4.64757013320923</v>
      </c>
      <c r="BL371" s="3" t="n">
        <v>4.62343978881836</v>
      </c>
      <c r="BM371" s="3" t="n">
        <v>4.22488021850586</v>
      </c>
      <c r="BN371" s="3" t="n">
        <v>4.1535701751709</v>
      </c>
      <c r="BO371" s="3" t="n">
        <v>4.68406009674072</v>
      </c>
      <c r="BP371" s="3" t="n"/>
      <c r="BQ371" s="3" t="n"/>
      <c r="BR371" s="34" t="str">
        <f>B371&amp;"|"&amp;D371</f>
        <v>HUN|SE.XPD.TOTL.GD.ZS</v>
      </c>
    </row>
    <row r="372">
      <c r="A372" s="3" t="inlineStr">
        <is>
          <t>IBRD only</t>
        </is>
      </c>
      <c r="B372" s="3" t="inlineStr">
        <is>
          <t>IBD</t>
        </is>
      </c>
      <c r="C372" s="3" t="inlineStr">
        <is>
          <t>Government expenditure on education, total (% of GDP)</t>
        </is>
      </c>
      <c r="D372" s="3" t="inlineStr">
        <is>
          <t>SE.XPD.TOTL.GD.ZS</t>
        </is>
      </c>
      <c r="E372" s="3" t="n">
        <v>2022</v>
      </c>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c r="AD372" s="3" t="n"/>
      <c r="AE372" s="3" t="n"/>
      <c r="AF372" s="3" t="n"/>
      <c r="AG372" s="3" t="n"/>
      <c r="AH372" s="3" t="n"/>
      <c r="AI372" s="3" t="n"/>
      <c r="AJ372" s="3" t="n"/>
      <c r="AK372" s="3" t="n"/>
      <c r="AL372" s="3" t="n"/>
      <c r="AM372" s="3" t="n"/>
      <c r="AN372" s="3" t="n"/>
      <c r="AO372" s="3" t="n"/>
      <c r="AP372" s="3" t="n">
        <v>3.50608992576599</v>
      </c>
      <c r="AQ372" s="3" t="n"/>
      <c r="AR372" s="3" t="n"/>
      <c r="AS372" s="3" t="n">
        <v>4.22040987014771</v>
      </c>
      <c r="AT372" s="3" t="n">
        <v>3.90146005153656</v>
      </c>
      <c r="AU372" s="3" t="n">
        <v>3.83357000350952</v>
      </c>
      <c r="AV372" s="3" t="n">
        <v>3.82300996780396</v>
      </c>
      <c r="AW372" s="3" t="n">
        <v>3.86901998519897</v>
      </c>
      <c r="AX372" s="3" t="n">
        <v>3.86734998226166</v>
      </c>
      <c r="AY372" s="3" t="n">
        <v>3.86000990867615</v>
      </c>
      <c r="AZ372" s="3" t="n">
        <v>3.90346002578735</v>
      </c>
      <c r="BA372" s="3" t="n">
        <v>3.68460988998413</v>
      </c>
      <c r="BB372" s="3" t="n">
        <v>4.10174989700317</v>
      </c>
      <c r="BC372" s="3" t="n">
        <v>4.424425840377805</v>
      </c>
      <c r="BD372" s="3" t="n">
        <v>3.85746002197266</v>
      </c>
      <c r="BE372" s="3" t="n">
        <v>3.85078835487366</v>
      </c>
      <c r="BF372" s="3" t="n">
        <v>4.089165925979615</v>
      </c>
      <c r="BG372" s="3" t="n">
        <v>4.12616515159607</v>
      </c>
      <c r="BH372" s="3" t="n">
        <v>4.10536003112793</v>
      </c>
      <c r="BI372" s="3" t="n">
        <v>4.224191188812255</v>
      </c>
      <c r="BJ372" s="3" t="n">
        <v>4.20638513565063</v>
      </c>
      <c r="BK372" s="3" t="n">
        <v>4.07755994796753</v>
      </c>
      <c r="BL372" s="3" t="n">
        <v>3.99742722511292</v>
      </c>
      <c r="BM372" s="3" t="n">
        <v>3.918159961700435</v>
      </c>
      <c r="BN372" s="3" t="n">
        <v>4.33204984664917</v>
      </c>
      <c r="BO372" s="3" t="n">
        <v>3.99156606197357</v>
      </c>
      <c r="BP372" s="3" t="n">
        <v>3.744420051574705</v>
      </c>
      <c r="BQ372" s="3" t="n"/>
      <c r="BR372" s="34" t="str">
        <f>B372&amp;"|"&amp;D372</f>
        <v>IBD|SE.XPD.TOTL.GD.ZS</v>
      </c>
    </row>
    <row r="373">
      <c r="A373" s="3" t="inlineStr">
        <is>
          <t>IDA &amp; IBRD total</t>
        </is>
      </c>
      <c r="B373" s="3" t="inlineStr">
        <is>
          <t>IBT</t>
        </is>
      </c>
      <c r="C373" s="3" t="inlineStr">
        <is>
          <t>Government expenditure on education, total (% of GDP)</t>
        </is>
      </c>
      <c r="D373" s="3" t="inlineStr">
        <is>
          <t>SE.XPD.TOTL.GD.ZS</t>
        </is>
      </c>
      <c r="E373" s="3" t="n">
        <v>2022</v>
      </c>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c r="AD373" s="3" t="n"/>
      <c r="AE373" s="3" t="n"/>
      <c r="AF373" s="3" t="n"/>
      <c r="AG373" s="3" t="n"/>
      <c r="AH373" s="3" t="n"/>
      <c r="AI373" s="3" t="n"/>
      <c r="AJ373" s="3" t="n"/>
      <c r="AK373" s="3" t="n"/>
      <c r="AL373" s="3" t="n"/>
      <c r="AM373" s="3" t="n"/>
      <c r="AN373" s="3" t="n"/>
      <c r="AO373" s="3" t="n"/>
      <c r="AP373" s="3" t="n"/>
      <c r="AQ373" s="3" t="n"/>
      <c r="AR373" s="3" t="n"/>
      <c r="AS373" s="3" t="n">
        <v>3.51713502407074</v>
      </c>
      <c r="AT373" s="3" t="n">
        <v>3.343394994735715</v>
      </c>
      <c r="AU373" s="3" t="n">
        <v>3.45869994163513</v>
      </c>
      <c r="AV373" s="3" t="n">
        <v>3.343114972114565</v>
      </c>
      <c r="AW373" s="3" t="n">
        <v>3.45890498161316</v>
      </c>
      <c r="AX373" s="3" t="n">
        <v>3.40012001991272</v>
      </c>
      <c r="AY373" s="3" t="n">
        <v>3.50626003742218</v>
      </c>
      <c r="AZ373" s="3" t="n">
        <v>3.658725023269655</v>
      </c>
      <c r="BA373" s="3" t="n">
        <v>3.606499910354615</v>
      </c>
      <c r="BB373" s="3" t="n">
        <v>3.8051700592041</v>
      </c>
      <c r="BC373" s="3" t="n">
        <v>4.059154987335205</v>
      </c>
      <c r="BD373" s="3" t="n">
        <v>3.55966520309448</v>
      </c>
      <c r="BE373" s="3" t="n">
        <v>3.75423002243042</v>
      </c>
      <c r="BF373" s="3" t="n">
        <v>3.6819269657135</v>
      </c>
      <c r="BG373" s="3" t="n">
        <v>3.812944293022155</v>
      </c>
      <c r="BH373" s="3" t="n">
        <v>3.760075092315675</v>
      </c>
      <c r="BI373" s="3" t="n">
        <v>3.817775011062625</v>
      </c>
      <c r="BJ373" s="3" t="n">
        <v>3.764028787612915</v>
      </c>
      <c r="BK373" s="3" t="n">
        <v>3.78976988792419</v>
      </c>
      <c r="BL373" s="3" t="n">
        <v>3.71392011642456</v>
      </c>
      <c r="BM373" s="3" t="n">
        <v>3.69561433792114</v>
      </c>
      <c r="BN373" s="3" t="n">
        <v>4.09056520462036</v>
      </c>
      <c r="BO373" s="3" t="n">
        <v>3.835334181785585</v>
      </c>
      <c r="BP373" s="3" t="n">
        <v>3.590787529945375</v>
      </c>
      <c r="BQ373" s="3" t="n"/>
      <c r="BR373" s="34" t="str">
        <f>B373&amp;"|"&amp;D373</f>
        <v>IBT|SE.XPD.TOTL.GD.ZS</v>
      </c>
    </row>
    <row r="374">
      <c r="A374" s="3" t="inlineStr">
        <is>
          <t>IDA total</t>
        </is>
      </c>
      <c r="B374" s="3" t="inlineStr">
        <is>
          <t>IDA</t>
        </is>
      </c>
      <c r="C374" s="3" t="inlineStr">
        <is>
          <t>Government expenditure on education, total (% of GDP)</t>
        </is>
      </c>
      <c r="D374" s="3" t="inlineStr">
        <is>
          <t>SE.XPD.TOTL.GD.ZS</t>
        </is>
      </c>
      <c r="E374" s="3" t="n">
        <v>2022</v>
      </c>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c r="AD374" s="3" t="n"/>
      <c r="AE374" s="3" t="n"/>
      <c r="AF374" s="3" t="n"/>
      <c r="AG374" s="3" t="n"/>
      <c r="AH374" s="3" t="n"/>
      <c r="AI374" s="3" t="n"/>
      <c r="AJ374" s="3" t="n"/>
      <c r="AK374" s="3" t="n"/>
      <c r="AL374" s="3" t="n"/>
      <c r="AM374" s="3" t="n"/>
      <c r="AN374" s="3" t="n"/>
      <c r="AO374" s="3" t="n"/>
      <c r="AP374" s="3" t="n"/>
      <c r="AQ374" s="3" t="n"/>
      <c r="AR374" s="3" t="n"/>
      <c r="AS374" s="3" t="n">
        <v>2.64153003692627</v>
      </c>
      <c r="AT374" s="3" t="n">
        <v>2.514185070991515</v>
      </c>
      <c r="AU374" s="3" t="n">
        <v>2.687350034713745</v>
      </c>
      <c r="AV374" s="3" t="n">
        <v>2.81048011779785</v>
      </c>
      <c r="AW374" s="3" t="n"/>
      <c r="AX374" s="3" t="n">
        <v>2.862190008163455</v>
      </c>
      <c r="AY374" s="3" t="n">
        <v>3.3096399307251</v>
      </c>
      <c r="AZ374" s="3" t="n">
        <v>3.00991988182068</v>
      </c>
      <c r="BA374" s="3" t="n"/>
      <c r="BB374" s="3" t="n">
        <v>3.251044988632205</v>
      </c>
      <c r="BC374" s="3" t="n">
        <v>3.25490999221802</v>
      </c>
      <c r="BD374" s="3" t="n">
        <v>3.103145003318785</v>
      </c>
      <c r="BE374" s="3" t="n">
        <v>3.08540308475494</v>
      </c>
      <c r="BF374" s="3" t="n">
        <v>3.37651991844177</v>
      </c>
      <c r="BG374" s="3" t="n">
        <v>3.306080102920535</v>
      </c>
      <c r="BH374" s="3" t="n">
        <v>3.4237699508667</v>
      </c>
      <c r="BI374" s="3" t="n">
        <v>3.369375109672545</v>
      </c>
      <c r="BJ374" s="3" t="n">
        <v>3.22929000854492</v>
      </c>
      <c r="BK374" s="3" t="n">
        <v>3.652347445487975</v>
      </c>
      <c r="BL374" s="3" t="n">
        <v>3.26730489730835</v>
      </c>
      <c r="BM374" s="3" t="n">
        <v>3.48568081855774</v>
      </c>
      <c r="BN374" s="3" t="n">
        <v>3.531016707420345</v>
      </c>
      <c r="BO374" s="3" t="n">
        <v>3.265337109565735</v>
      </c>
      <c r="BP374" s="3" t="n">
        <v>3.44491457939148</v>
      </c>
      <c r="BQ374" s="3" t="n"/>
      <c r="BR374" s="34" t="str">
        <f>B374&amp;"|"&amp;D374</f>
        <v>IDA|SE.XPD.TOTL.GD.ZS</v>
      </c>
    </row>
    <row r="375">
      <c r="A375" s="3" t="inlineStr">
        <is>
          <t>IDA blend</t>
        </is>
      </c>
      <c r="B375" s="3" t="inlineStr">
        <is>
          <t>IDB</t>
        </is>
      </c>
      <c r="C375" s="3" t="inlineStr">
        <is>
          <t>Government expenditure on education, total (% of GDP)</t>
        </is>
      </c>
      <c r="D375" s="3" t="inlineStr">
        <is>
          <t>SE.XPD.TOTL.GD.ZS</t>
        </is>
      </c>
      <c r="E375" s="3" t="n">
        <v>2022</v>
      </c>
      <c r="F375" s="3" t="n"/>
      <c r="G375" s="3" t="n"/>
      <c r="H375" s="3" t="n"/>
      <c r="I375" s="3" t="n"/>
      <c r="J375" s="3" t="n"/>
      <c r="K375" s="3" t="n"/>
      <c r="L375" s="3" t="n"/>
      <c r="M375" s="3" t="n"/>
      <c r="N375" s="3" t="n"/>
      <c r="O375" s="3" t="n"/>
      <c r="P375" s="3" t="n"/>
      <c r="Q375" s="3" t="n">
        <v>3.50484502315521</v>
      </c>
      <c r="R375" s="3" t="n">
        <v>3.920114874839785</v>
      </c>
      <c r="S375" s="3" t="n"/>
      <c r="T375" s="3" t="n"/>
      <c r="U375" s="3" t="n">
        <v>4.334905028343205</v>
      </c>
      <c r="V375" s="3" t="n"/>
      <c r="W375" s="3" t="n"/>
      <c r="X375" s="3" t="n"/>
      <c r="Y375" s="3" t="n"/>
      <c r="Z375" s="3" t="n">
        <v>3.96602988243103</v>
      </c>
      <c r="AA375" s="3" t="n"/>
      <c r="AB375" s="3" t="n"/>
      <c r="AC375" s="3" t="n">
        <v>3.82118511199951</v>
      </c>
      <c r="AD375" s="3" t="n">
        <v>3.91366493701935</v>
      </c>
      <c r="AE375" s="3" t="n"/>
      <c r="AF375" s="3" t="n"/>
      <c r="AG375" s="3" t="n"/>
      <c r="AH375" s="3" t="n"/>
      <c r="AI375" s="3" t="n">
        <v>4.342339992523195</v>
      </c>
      <c r="AJ375" s="3" t="n"/>
      <c r="AK375" s="3" t="n"/>
      <c r="AL375" s="3" t="n">
        <v>4.413450002670285</v>
      </c>
      <c r="AM375" s="3" t="n"/>
      <c r="AN375" s="3" t="n">
        <v>6.148569822311405</v>
      </c>
      <c r="AO375" s="3" t="n"/>
      <c r="AP375" s="3" t="n"/>
      <c r="AQ375" s="3" t="n"/>
      <c r="AR375" s="3" t="n"/>
      <c r="AS375" s="3" t="n"/>
      <c r="AT375" s="3" t="n"/>
      <c r="AU375" s="3" t="n"/>
      <c r="AV375" s="3" t="n"/>
      <c r="AW375" s="3" t="n"/>
      <c r="AX375" s="3" t="n">
        <v>2.79530000686646</v>
      </c>
      <c r="AY375" s="3" t="n">
        <v>2.65651988983154</v>
      </c>
      <c r="AZ375" s="3" t="n"/>
      <c r="BA375" s="3" t="n"/>
      <c r="BB375" s="3" t="n"/>
      <c r="BC375" s="3" t="n">
        <v>4.01999998092651</v>
      </c>
      <c r="BD375" s="3" t="n">
        <v>3.83175992965698</v>
      </c>
      <c r="BE375" s="3" t="n">
        <v>3.67674994468689</v>
      </c>
      <c r="BF375" s="3" t="n">
        <v>4.93121004104614</v>
      </c>
      <c r="BG375" s="3" t="n">
        <v>4.96091032028198</v>
      </c>
      <c r="BH375" s="3" t="n">
        <v>4.7172999382019</v>
      </c>
      <c r="BI375" s="3" t="n">
        <v>3.13882994651794</v>
      </c>
      <c r="BJ375" s="3" t="n">
        <v>3.613951563835145</v>
      </c>
      <c r="BK375" s="3" t="n">
        <v>4.22055625915527</v>
      </c>
      <c r="BL375" s="3" t="n">
        <v>2.901315093040465</v>
      </c>
      <c r="BM375" s="3" t="n">
        <v>3.55946898460388</v>
      </c>
      <c r="BN375" s="3" t="n">
        <v>3.65287351608276</v>
      </c>
      <c r="BO375" s="3" t="n">
        <v>2.9738941192627</v>
      </c>
      <c r="BP375" s="3" t="n">
        <v>2.95159220695496</v>
      </c>
      <c r="BQ375" s="3" t="n"/>
      <c r="BR375" s="34" t="str">
        <f>B375&amp;"|"&amp;D375</f>
        <v>IDB|SE.XPD.TOTL.GD.ZS</v>
      </c>
    </row>
    <row r="376">
      <c r="A376" s="3" t="inlineStr">
        <is>
          <t>Indonesia</t>
        </is>
      </c>
      <c r="B376" s="3" t="inlineStr">
        <is>
          <t>IDN</t>
        </is>
      </c>
      <c r="C376" s="3" t="inlineStr">
        <is>
          <t>Government expenditure on education, total (% of GDP)</t>
        </is>
      </c>
      <c r="D376" s="3" t="inlineStr">
        <is>
          <t>SE.XPD.TOTL.GD.ZS</t>
        </is>
      </c>
      <c r="E376" s="3" t="n">
        <v>2023</v>
      </c>
      <c r="F376" s="3" t="n"/>
      <c r="G376" s="3" t="n"/>
      <c r="H376" s="3" t="n"/>
      <c r="I376" s="3" t="n"/>
      <c r="J376" s="3" t="n"/>
      <c r="K376" s="3" t="n"/>
      <c r="L376" s="3" t="n"/>
      <c r="M376" s="3" t="n"/>
      <c r="N376" s="3" t="n"/>
      <c r="O376" s="3" t="n"/>
      <c r="P376" s="3" t="n"/>
      <c r="Q376" s="3" t="n"/>
      <c r="R376" s="3" t="n">
        <v>2.78820991516113</v>
      </c>
      <c r="S376" s="3" t="n"/>
      <c r="T376" s="3" t="n"/>
      <c r="U376" s="3" t="n"/>
      <c r="V376" s="3" t="n"/>
      <c r="W376" s="3" t="n"/>
      <c r="X376" s="3" t="n"/>
      <c r="Y376" s="3" t="n"/>
      <c r="Z376" s="3" t="n"/>
      <c r="AA376" s="3" t="n"/>
      <c r="AB376" s="3" t="n"/>
      <c r="AC376" s="3" t="n"/>
      <c r="AD376" s="3" t="n"/>
      <c r="AE376" s="3" t="n"/>
      <c r="AF376" s="3" t="n"/>
      <c r="AG376" s="3" t="n"/>
      <c r="AH376" s="3" t="n"/>
      <c r="AI376" s="3" t="n">
        <v>0.871410012245178</v>
      </c>
      <c r="AJ376" s="3" t="n"/>
      <c r="AK376" s="3" t="n"/>
      <c r="AL376" s="3" t="n"/>
      <c r="AM376" s="3" t="n"/>
      <c r="AN376" s="3" t="n">
        <v>0.998549997806549</v>
      </c>
      <c r="AO376" s="3" t="n">
        <v>1.00434994697571</v>
      </c>
      <c r="AP376" s="3" t="n">
        <v>1.07854998111725</v>
      </c>
      <c r="AQ376" s="3" t="n">
        <v>1.07208001613617</v>
      </c>
      <c r="AR376" s="3" t="n"/>
      <c r="AS376" s="3" t="n"/>
      <c r="AT376" s="3" t="n"/>
      <c r="AU376" s="3" t="n">
        <v>2.46003007888794</v>
      </c>
      <c r="AV376" s="3" t="n">
        <v>2.64568996429443</v>
      </c>
      <c r="AW376" s="3" t="n">
        <v>3.21799993515015</v>
      </c>
      <c r="AX376" s="3" t="n">
        <v>2.74847006797791</v>
      </c>
      <c r="AY376" s="3" t="n">
        <v>2.8728199005127</v>
      </c>
      <c r="AZ376" s="3" t="n"/>
      <c r="BA376" s="3" t="n">
        <v>3.04425001144409</v>
      </c>
      <c r="BB376" s="3" t="n">
        <v>2.90190005302429</v>
      </c>
      <c r="BC376" s="3" t="n">
        <v>3.52513003349304</v>
      </c>
      <c r="BD376" s="3" t="n">
        <v>2.81227993965149</v>
      </c>
      <c r="BE376" s="3" t="n">
        <v>3.18944001197815</v>
      </c>
      <c r="BF376" s="3" t="n">
        <v>3.40748000144958</v>
      </c>
      <c r="BG376" s="3" t="n">
        <v>3.35904002189636</v>
      </c>
      <c r="BH376" s="3" t="n">
        <v>3.28800988197327</v>
      </c>
      <c r="BI376" s="3" t="n">
        <v>3.58360004425049</v>
      </c>
      <c r="BJ376" s="3" t="n">
        <v>1.21023452281952</v>
      </c>
      <c r="BK376" s="3" t="n">
        <v>1.05324387550354</v>
      </c>
      <c r="BL376" s="3" t="n">
        <v>0.99443644285202</v>
      </c>
      <c r="BM376" s="3" t="n">
        <v>0.964399099349976</v>
      </c>
      <c r="BN376" s="3" t="n">
        <v>1.01593220233917</v>
      </c>
      <c r="BO376" s="3" t="n">
        <v>1.03221750259399</v>
      </c>
      <c r="BP376" s="3" t="n">
        <v>0.863943338394165</v>
      </c>
      <c r="BQ376" s="3" t="n">
        <v>1.27517092227936</v>
      </c>
      <c r="BR376" s="34" t="str">
        <f>B376&amp;"|"&amp;D376</f>
        <v>IDN|SE.XPD.TOTL.GD.ZS</v>
      </c>
    </row>
    <row r="377">
      <c r="A377" s="3" t="inlineStr">
        <is>
          <t>IDA only</t>
        </is>
      </c>
      <c r="B377" s="3" t="inlineStr">
        <is>
          <t>IDX</t>
        </is>
      </c>
      <c r="C377" s="3" t="inlineStr">
        <is>
          <t>Government expenditure on education, total (% of GDP)</t>
        </is>
      </c>
      <c r="D377" s="3" t="inlineStr">
        <is>
          <t>SE.XPD.TOTL.GD.ZS</t>
        </is>
      </c>
      <c r="E377" s="3" t="n">
        <v>2022</v>
      </c>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c r="AD377" s="3" t="n"/>
      <c r="AE377" s="3" t="n"/>
      <c r="AF377" s="3" t="n"/>
      <c r="AG377" s="3" t="n"/>
      <c r="AH377" s="3" t="n"/>
      <c r="AI377" s="3" t="n"/>
      <c r="AJ377" s="3" t="n"/>
      <c r="AK377" s="3" t="n"/>
      <c r="AL377" s="3" t="n"/>
      <c r="AM377" s="3" t="n"/>
      <c r="AN377" s="3" t="n"/>
      <c r="AO377" s="3" t="n"/>
      <c r="AP377" s="3" t="n"/>
      <c r="AQ377" s="3" t="n"/>
      <c r="AR377" s="3" t="n"/>
      <c r="AS377" s="3" t="n">
        <v>2.605030059814455</v>
      </c>
      <c r="AT377" s="3" t="n">
        <v>2.514185070991515</v>
      </c>
      <c r="AU377" s="3" t="n">
        <v>2.66750001907349</v>
      </c>
      <c r="AV377" s="3" t="n">
        <v>2.68510496616364</v>
      </c>
      <c r="AW377" s="3" t="n"/>
      <c r="AX377" s="3" t="n">
        <v>2.91176009178162</v>
      </c>
      <c r="AY377" s="3" t="n">
        <v>3.3371399641037</v>
      </c>
      <c r="AZ377" s="3" t="n">
        <v>3.00991988182068</v>
      </c>
      <c r="BA377" s="3" t="n">
        <v>3.07841992378235</v>
      </c>
      <c r="BB377" s="3" t="n">
        <v>3.251044988632205</v>
      </c>
      <c r="BC377" s="3" t="n">
        <v>3.1739399433136</v>
      </c>
      <c r="BD377" s="3" t="n">
        <v>3.103145003318785</v>
      </c>
      <c r="BE377" s="3" t="n">
        <v>3.08540308475494</v>
      </c>
      <c r="BF377" s="3" t="n">
        <v>3.281669974327085</v>
      </c>
      <c r="BG377" s="3" t="n">
        <v>3.25923001766205</v>
      </c>
      <c r="BH377" s="3" t="n">
        <v>3.368969917297365</v>
      </c>
      <c r="BI377" s="3" t="n">
        <v>3.44449663162231</v>
      </c>
      <c r="BJ377" s="3" t="n">
        <v>3.22929000854492</v>
      </c>
      <c r="BK377" s="3" t="n">
        <v>3.55532240867615</v>
      </c>
      <c r="BL377" s="3" t="n">
        <v>3.38626492023468</v>
      </c>
      <c r="BM377" s="3" t="n">
        <v>3.44937539100647</v>
      </c>
      <c r="BN377" s="3" t="n">
        <v>3.40915989875793</v>
      </c>
      <c r="BO377" s="3" t="n">
        <v>3.32718992233276</v>
      </c>
      <c r="BP377" s="3" t="n">
        <v>3.51197004318237</v>
      </c>
      <c r="BQ377" s="3" t="n"/>
      <c r="BR377" s="34" t="str">
        <f>B377&amp;"|"&amp;D377</f>
        <v>IDX|SE.XPD.TOTL.GD.ZS</v>
      </c>
    </row>
    <row r="378">
      <c r="A378" s="3" t="inlineStr">
        <is>
          <t>Isle of Man</t>
        </is>
      </c>
      <c r="B378" s="3" t="inlineStr">
        <is>
          <t>IMN</t>
        </is>
      </c>
      <c r="C378" s="3" t="inlineStr">
        <is>
          <t>Government expenditure on education, total (% of GDP)</t>
        </is>
      </c>
      <c r="D378" s="3" t="inlineStr">
        <is>
          <t>SE.XPD.TOTL.GD.ZS</t>
        </is>
      </c>
      <c r="E378" s="3" t="inlineStr">
        <is>
          <t>0x2a</t>
        </is>
      </c>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c r="AD378" s="3" t="n"/>
      <c r="AE378" s="3" t="n"/>
      <c r="AF378" s="3" t="n"/>
      <c r="AG378" s="3" t="n"/>
      <c r="AH378" s="3" t="n"/>
      <c r="AI378" s="3" t="n"/>
      <c r="AJ378" s="3" t="n"/>
      <c r="AK378" s="3" t="n"/>
      <c r="AL378" s="3" t="n"/>
      <c r="AM378" s="3" t="n"/>
      <c r="AN378" s="3" t="n"/>
      <c r="AO378" s="3" t="n"/>
      <c r="AP378" s="3" t="n"/>
      <c r="AQ378" s="3" t="n"/>
      <c r="AR378" s="3" t="n"/>
      <c r="AS378" s="3" t="n"/>
      <c r="AT378" s="3" t="n"/>
      <c r="AU378" s="3" t="n"/>
      <c r="AV378" s="3" t="n"/>
      <c r="AW378" s="3" t="n"/>
      <c r="AX378" s="3" t="n"/>
      <c r="AY378" s="3" t="n"/>
      <c r="AZ378" s="3" t="n"/>
      <c r="BA378" s="3" t="n"/>
      <c r="BB378" s="3" t="n"/>
      <c r="BC378" s="3" t="n"/>
      <c r="BD378" s="3" t="n"/>
      <c r="BE378" s="3" t="n"/>
      <c r="BF378" s="3" t="n"/>
      <c r="BG378" s="3" t="n"/>
      <c r="BH378" s="3" t="n"/>
      <c r="BI378" s="3" t="n"/>
      <c r="BJ378" s="3" t="n"/>
      <c r="BK378" s="3" t="n"/>
      <c r="BL378" s="3" t="n"/>
      <c r="BM378" s="3" t="n"/>
      <c r="BN378" s="3" t="n"/>
      <c r="BO378" s="3" t="n"/>
      <c r="BP378" s="3" t="n"/>
      <c r="BQ378" s="3" t="n"/>
      <c r="BR378" s="34" t="str">
        <f>B378&amp;"|"&amp;D378</f>
        <v>IMN|SE.XPD.TOTL.GD.ZS</v>
      </c>
    </row>
    <row r="379">
      <c r="A379" s="3" t="inlineStr">
        <is>
          <t>India</t>
        </is>
      </c>
      <c r="B379" s="3" t="inlineStr">
        <is>
          <t>IND</t>
        </is>
      </c>
      <c r="C379" s="3" t="inlineStr">
        <is>
          <t>Government expenditure on education, total (% of GDP)</t>
        </is>
      </c>
      <c r="D379" s="3" t="inlineStr">
        <is>
          <t>SE.XPD.TOTL.GD.ZS</t>
        </is>
      </c>
      <c r="E379" s="3" t="n">
        <v>2022</v>
      </c>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c r="AD379" s="3" t="n"/>
      <c r="AE379" s="3" t="n"/>
      <c r="AF379" s="3" t="n"/>
      <c r="AG379" s="3" t="n"/>
      <c r="AH379" s="3" t="n"/>
      <c r="AI379" s="3" t="n"/>
      <c r="AJ379" s="3" t="n"/>
      <c r="AK379" s="3" t="n"/>
      <c r="AL379" s="3" t="n"/>
      <c r="AM379" s="3" t="n"/>
      <c r="AN379" s="3" t="n"/>
      <c r="AO379" s="3" t="n"/>
      <c r="AP379" s="3" t="n"/>
      <c r="AQ379" s="3" t="n">
        <v>3.3613600730896</v>
      </c>
      <c r="AR379" s="3" t="n">
        <v>3.57256007194519</v>
      </c>
      <c r="AS379" s="3" t="n">
        <v>4.41539001464844</v>
      </c>
      <c r="AT379" s="3" t="n">
        <v>4.32479000091553</v>
      </c>
      <c r="AU379" s="3" t="n"/>
      <c r="AV379" s="3" t="n"/>
      <c r="AW379" s="3" t="n">
        <v>3.61340999603271</v>
      </c>
      <c r="AX379" s="3" t="n">
        <v>3.35254001617432</v>
      </c>
      <c r="AY379" s="3" t="n">
        <v>3.18875002861023</v>
      </c>
      <c r="AZ379" s="3" t="n">
        <v>3.14284992218018</v>
      </c>
      <c r="BA379" s="3" t="n"/>
      <c r="BB379" s="3" t="n"/>
      <c r="BC379" s="3" t="n">
        <v>3.27824997901917</v>
      </c>
      <c r="BD379" s="3" t="n">
        <v>3.377690076828</v>
      </c>
      <c r="BE379" s="3" t="n">
        <v>3.79618000984192</v>
      </c>
      <c r="BF379" s="3" t="n">
        <v>4.08479833602905</v>
      </c>
      <c r="BG379" s="3" t="n">
        <v>3.84467005729675</v>
      </c>
      <c r="BH379" s="3" t="n">
        <v>3.89878034591675</v>
      </c>
      <c r="BI379" s="3" t="n">
        <v>4.11499166488647</v>
      </c>
      <c r="BJ379" s="3" t="n">
        <v>4.256516456604</v>
      </c>
      <c r="BK379" s="3" t="n">
        <v>4.30639696121216</v>
      </c>
      <c r="BL379" s="3" t="n">
        <v>4.3769326210022</v>
      </c>
      <c r="BM379" s="3" t="n">
        <v>3.89732360839844</v>
      </c>
      <c r="BN379" s="3" t="n">
        <v>4.04014158248901</v>
      </c>
      <c r="BO379" s="3" t="n">
        <v>4.63514137268066</v>
      </c>
      <c r="BP379" s="3" t="n">
        <v>4.12072849273682</v>
      </c>
      <c r="BQ379" s="3" t="n"/>
      <c r="BR379" s="34" t="str">
        <f>B379&amp;"|"&amp;D379</f>
        <v>IND|SE.XPD.TOTL.GD.ZS</v>
      </c>
    </row>
    <row r="380">
      <c r="A380" s="3" t="inlineStr">
        <is>
          <t>Not classified</t>
        </is>
      </c>
      <c r="B380" s="3" t="inlineStr">
        <is>
          <t>INX</t>
        </is>
      </c>
      <c r="C380" s="3" t="inlineStr">
        <is>
          <t>Government expenditure on education, total (% of GDP)</t>
        </is>
      </c>
      <c r="D380" s="3" t="inlineStr">
        <is>
          <t>SE.XPD.TOTL.GD.ZS</t>
        </is>
      </c>
      <c r="E380" s="3" t="inlineStr">
        <is>
          <t>0x2a</t>
        </is>
      </c>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c r="AD380" s="3" t="n"/>
      <c r="AE380" s="3" t="n"/>
      <c r="AF380" s="3" t="n"/>
      <c r="AG380" s="3" t="n"/>
      <c r="AH380" s="3" t="n"/>
      <c r="AI380" s="3" t="n"/>
      <c r="AJ380" s="3" t="n"/>
      <c r="AK380" s="3" t="n"/>
      <c r="AL380" s="3" t="n"/>
      <c r="AM380" s="3" t="n"/>
      <c r="AN380" s="3" t="n"/>
      <c r="AO380" s="3" t="n"/>
      <c r="AP380" s="3" t="n"/>
      <c r="AQ380" s="3" t="n"/>
      <c r="AR380" s="3" t="n"/>
      <c r="AS380" s="3" t="n"/>
      <c r="AT380" s="3" t="n"/>
      <c r="AU380" s="3" t="n"/>
      <c r="AV380" s="3" t="n"/>
      <c r="AW380" s="3" t="n"/>
      <c r="AX380" s="3" t="n"/>
      <c r="AY380" s="3" t="n"/>
      <c r="AZ380" s="3" t="n"/>
      <c r="BA380" s="3" t="n"/>
      <c r="BB380" s="3" t="n"/>
      <c r="BC380" s="3" t="n"/>
      <c r="BD380" s="3" t="n"/>
      <c r="BE380" s="3" t="n"/>
      <c r="BF380" s="3" t="n"/>
      <c r="BG380" s="3" t="n"/>
      <c r="BH380" s="3" t="n"/>
      <c r="BI380" s="3" t="n"/>
      <c r="BJ380" s="3" t="n"/>
      <c r="BK380" s="3" t="n"/>
      <c r="BL380" s="3" t="n"/>
      <c r="BM380" s="3" t="n"/>
      <c r="BN380" s="3" t="n"/>
      <c r="BO380" s="3" t="n"/>
      <c r="BP380" s="3" t="n"/>
      <c r="BQ380" s="3" t="n"/>
      <c r="BR380" s="34" t="str">
        <f>B380&amp;"|"&amp;D380</f>
        <v>INX|SE.XPD.TOTL.GD.ZS</v>
      </c>
    </row>
    <row r="381">
      <c r="A381" s="3" t="inlineStr">
        <is>
          <t>Ireland</t>
        </is>
      </c>
      <c r="B381" s="3" t="inlineStr">
        <is>
          <t>IRL</t>
        </is>
      </c>
      <c r="C381" s="3" t="inlineStr">
        <is>
          <t>Government expenditure on education, total (% of GDP)</t>
        </is>
      </c>
      <c r="D381" s="3" t="inlineStr">
        <is>
          <t>SE.XPD.TOTL.GD.ZS</t>
        </is>
      </c>
      <c r="E381" s="3" t="n">
        <v>2021</v>
      </c>
      <c r="F381" s="3" t="n"/>
      <c r="G381" s="3" t="n"/>
      <c r="H381" s="3" t="n"/>
      <c r="I381" s="3" t="n"/>
      <c r="J381" s="3" t="n"/>
      <c r="K381" s="3" t="n"/>
      <c r="L381" s="3" t="n"/>
      <c r="M381" s="3" t="n"/>
      <c r="N381" s="3" t="n"/>
      <c r="O381" s="3" t="n"/>
      <c r="P381" s="3" t="n"/>
      <c r="Q381" s="3" t="n">
        <v>4.48641014099121</v>
      </c>
      <c r="R381" s="3" t="n">
        <v>4.6168999671936</v>
      </c>
      <c r="S381" s="3" t="n">
        <v>4.60856008529663</v>
      </c>
      <c r="T381" s="3" t="n">
        <v>4.68602991104126</v>
      </c>
      <c r="U381" s="3" t="n"/>
      <c r="V381" s="3" t="n">
        <v>4.29649019241333</v>
      </c>
      <c r="W381" s="3" t="n">
        <v>5.08531999588013</v>
      </c>
      <c r="X381" s="3" t="n">
        <v>5.0676097869873</v>
      </c>
      <c r="Y381" s="3" t="n">
        <v>5.28812980651855</v>
      </c>
      <c r="Z381" s="3" t="n">
        <v>5.32220983505249</v>
      </c>
      <c r="AA381" s="3" t="n">
        <v>5.73201990127563</v>
      </c>
      <c r="AB381" s="3" t="n">
        <v>5.38953018188477</v>
      </c>
      <c r="AC381" s="3" t="n">
        <v>5.44653987884521</v>
      </c>
      <c r="AD381" s="3" t="n">
        <v>5.28170013427734</v>
      </c>
      <c r="AE381" s="3" t="n">
        <v>5.24837017059326</v>
      </c>
      <c r="AF381" s="3" t="n">
        <v>5.30120992660522</v>
      </c>
      <c r="AG381" s="3" t="n">
        <v>5.5288200378418</v>
      </c>
      <c r="AH381" s="3" t="n">
        <v>5.0161600112915</v>
      </c>
      <c r="AI381" s="3" t="n">
        <v>4.71301984786987</v>
      </c>
      <c r="AJ381" s="3" t="n">
        <v>4.60056018829346</v>
      </c>
      <c r="AK381" s="3" t="n">
        <v>4.78267002105713</v>
      </c>
      <c r="AL381" s="3" t="n">
        <v>5.0056300163269</v>
      </c>
      <c r="AM381" s="3" t="n">
        <v>5.11556005477905</v>
      </c>
      <c r="AN381" s="3" t="n">
        <v>5.18871021270752</v>
      </c>
      <c r="AO381" s="3" t="n">
        <v>4.87162017822266</v>
      </c>
      <c r="AP381" s="3" t="n">
        <v>4.75392007827759</v>
      </c>
      <c r="AQ381" s="3" t="n"/>
      <c r="AR381" s="3" t="n">
        <v>4.28753995895386</v>
      </c>
      <c r="AS381" s="3" t="n">
        <v>4.13379001617432</v>
      </c>
      <c r="AT381" s="3" t="n">
        <v>4.13225984573364</v>
      </c>
      <c r="AU381" s="3" t="n">
        <v>4.08749008178711</v>
      </c>
      <c r="AV381" s="3" t="n">
        <v>4.10487985610962</v>
      </c>
      <c r="AW381" s="3" t="n">
        <v>4.20493984222412</v>
      </c>
      <c r="AX381" s="3" t="n">
        <v>4.48296022415161</v>
      </c>
      <c r="AY381" s="3" t="n">
        <v>4.51898002624512</v>
      </c>
      <c r="AZ381" s="3" t="n">
        <v>4.54742002487183</v>
      </c>
      <c r="BA381" s="3" t="n">
        <v>4.71541023254395</v>
      </c>
      <c r="BB381" s="3" t="n">
        <v>5.45828008651733</v>
      </c>
      <c r="BC381" s="3" t="n">
        <v>6.15610980987549</v>
      </c>
      <c r="BD381" s="3" t="n">
        <v>6.05033016204834</v>
      </c>
      <c r="BE381" s="3" t="n">
        <v>5.82428979873657</v>
      </c>
      <c r="BF381" s="3" t="n">
        <v>5.76235008239746</v>
      </c>
      <c r="BG381" s="3" t="n">
        <v>5.34578990936279</v>
      </c>
      <c r="BH381" s="3" t="n">
        <v>4.86511993408203</v>
      </c>
      <c r="BI381" s="3" t="n">
        <v>3.74868988990784</v>
      </c>
      <c r="BJ381" s="3" t="n">
        <v>3.74674010276794</v>
      </c>
      <c r="BK381" s="3" t="n">
        <v>3.49044990539551</v>
      </c>
      <c r="BL381" s="3" t="n">
        <v>3.37838006019592</v>
      </c>
      <c r="BM381" s="3" t="n">
        <v>3.2961699962616</v>
      </c>
      <c r="BN381" s="3" t="n">
        <v>3.25081992149353</v>
      </c>
      <c r="BO381" s="3" t="n">
        <v>3.00598001480103</v>
      </c>
      <c r="BP381" s="3" t="n"/>
      <c r="BQ381" s="3" t="n"/>
      <c r="BR381" s="34" t="str">
        <f>B381&amp;"|"&amp;D381</f>
        <v>IRL|SE.XPD.TOTL.GD.ZS</v>
      </c>
    </row>
    <row r="382">
      <c r="A382" s="3" t="inlineStr">
        <is>
          <t>Iran, Islamic Rep.</t>
        </is>
      </c>
      <c r="B382" s="3" t="inlineStr">
        <is>
          <t>IRN</t>
        </is>
      </c>
      <c r="C382" s="3" t="inlineStr">
        <is>
          <t>Government expenditure on education, total (% of GDP)</t>
        </is>
      </c>
      <c r="D382" s="3" t="inlineStr">
        <is>
          <t>SE.XPD.TOTL.GD.ZS</t>
        </is>
      </c>
      <c r="E382" s="3" t="n">
        <v>2023</v>
      </c>
      <c r="F382" s="3" t="n"/>
      <c r="G382" s="3" t="n"/>
      <c r="H382" s="3" t="n"/>
      <c r="I382" s="3" t="n"/>
      <c r="J382" s="3" t="n"/>
      <c r="K382" s="3" t="n"/>
      <c r="L382" s="3" t="n"/>
      <c r="M382" s="3" t="n"/>
      <c r="N382" s="3" t="n"/>
      <c r="O382" s="3" t="n"/>
      <c r="P382" s="3" t="n"/>
      <c r="Q382" s="3" t="n">
        <v>2.77033996582031</v>
      </c>
      <c r="R382" s="3" t="n">
        <v>2.76672005653381</v>
      </c>
      <c r="S382" s="3" t="n">
        <v>2.87667989730835</v>
      </c>
      <c r="T382" s="3" t="n">
        <v>2.69034004211426</v>
      </c>
      <c r="U382" s="3" t="n">
        <v>2.96556997299194</v>
      </c>
      <c r="V382" s="3" t="n"/>
      <c r="W382" s="3" t="n">
        <v>5.416259765625</v>
      </c>
      <c r="X382" s="3" t="n"/>
      <c r="Y382" s="3" t="n"/>
      <c r="Z382" s="3" t="n"/>
      <c r="AA382" s="3" t="n">
        <v>7.1314001083374</v>
      </c>
      <c r="AB382" s="3" t="n">
        <v>5.80205011367798</v>
      </c>
      <c r="AC382" s="3" t="n">
        <v>4.18053007125854</v>
      </c>
      <c r="AD382" s="3" t="n">
        <v>3.80160999298096</v>
      </c>
      <c r="AE382" s="3" t="n">
        <v>3.46019005775452</v>
      </c>
      <c r="AF382" s="3" t="n">
        <v>3.56991004943848</v>
      </c>
      <c r="AG382" s="3" t="n">
        <v>4.14092016220093</v>
      </c>
      <c r="AH382" s="3" t="n">
        <v>3.68129992485046</v>
      </c>
      <c r="AI382" s="3" t="n">
        <v>3.99721002578735</v>
      </c>
      <c r="AJ382" s="3" t="n">
        <v>3.77391004562378</v>
      </c>
      <c r="AK382" s="3" t="n">
        <v>3.74353003501892</v>
      </c>
      <c r="AL382" s="3" t="n">
        <v>3.64046001434326</v>
      </c>
      <c r="AM382" s="3" t="n">
        <v>4.31462001800537</v>
      </c>
      <c r="AN382" s="3" t="n"/>
      <c r="AO382" s="3" t="n">
        <v>4.08180999755859</v>
      </c>
      <c r="AP382" s="3" t="n">
        <v>3.53776001930237</v>
      </c>
      <c r="AQ382" s="3" t="n"/>
      <c r="AR382" s="3" t="n"/>
      <c r="AS382" s="3" t="n">
        <v>4.22040987014771</v>
      </c>
      <c r="AT382" s="3" t="n">
        <v>4.03064012527466</v>
      </c>
      <c r="AU382" s="3" t="n">
        <v>4.07168006896973</v>
      </c>
      <c r="AV382" s="3" t="n">
        <v>4.48487997055054</v>
      </c>
      <c r="AW382" s="3" t="n">
        <v>4.36322021484375</v>
      </c>
      <c r="AX382" s="3" t="n">
        <v>4.29662990570068</v>
      </c>
      <c r="AY382" s="3" t="n">
        <v>4.05650997161865</v>
      </c>
      <c r="AZ382" s="3" t="n">
        <v>4.28998994827271</v>
      </c>
      <c r="BA382" s="3" t="n">
        <v>4.59680986404419</v>
      </c>
      <c r="BB382" s="3" t="n">
        <v>3.91375994682312</v>
      </c>
      <c r="BC382" s="3" t="n">
        <v>3.84244990348816</v>
      </c>
      <c r="BD382" s="3" t="n">
        <v>3.70918011665344</v>
      </c>
      <c r="BE382" s="3" t="n">
        <v>3.48497009277344</v>
      </c>
      <c r="BF382" s="3" t="n">
        <v>2.93899989128113</v>
      </c>
      <c r="BG382" s="3" t="n">
        <v>2.85279011726379</v>
      </c>
      <c r="BH382" s="3" t="n">
        <v>2.61668992042542</v>
      </c>
      <c r="BI382" s="3" t="n">
        <v>2.62911009788513</v>
      </c>
      <c r="BJ382" s="3" t="n">
        <v>3.17396998405457</v>
      </c>
      <c r="BK382" s="3" t="n">
        <v>3.45956993103027</v>
      </c>
      <c r="BL382" s="3" t="n">
        <v>3.61979007720947</v>
      </c>
      <c r="BM382" s="3" t="n">
        <v>3.24005007743835</v>
      </c>
      <c r="BN382" s="3" t="n">
        <v>3.20495009422302</v>
      </c>
      <c r="BO382" s="3" t="n"/>
      <c r="BP382" s="3" t="n">
        <v>3.06036734580994</v>
      </c>
      <c r="BQ382" s="3" t="n">
        <v>2.92892384529114</v>
      </c>
      <c r="BR382" s="34" t="str">
        <f>B382&amp;"|"&amp;D382</f>
        <v>IRN|SE.XPD.TOTL.GD.ZS</v>
      </c>
    </row>
    <row r="383">
      <c r="A383" s="3" t="inlineStr">
        <is>
          <t>Iraq</t>
        </is>
      </c>
      <c r="B383" s="3" t="inlineStr">
        <is>
          <t>IRQ</t>
        </is>
      </c>
      <c r="C383" s="3" t="inlineStr">
        <is>
          <t>Government expenditure on education, total (% of GDP)</t>
        </is>
      </c>
      <c r="D383" s="3" t="inlineStr">
        <is>
          <t>SE.XPD.TOTL.GD.ZS</t>
        </is>
      </c>
      <c r="E383" s="3" t="n">
        <v>1989</v>
      </c>
      <c r="F383" s="3" t="n"/>
      <c r="G383" s="3" t="n"/>
      <c r="H383" s="3" t="n"/>
      <c r="I383" s="3" t="n"/>
      <c r="J383" s="3" t="n"/>
      <c r="K383" s="3" t="n"/>
      <c r="L383" s="3" t="n"/>
      <c r="M383" s="3" t="n"/>
      <c r="N383" s="3" t="n"/>
      <c r="O383" s="3" t="n"/>
      <c r="P383" s="3" t="n"/>
      <c r="Q383" s="3" t="n"/>
      <c r="R383" s="3" t="n"/>
      <c r="S383" s="3" t="n"/>
      <c r="T383" s="3" t="n"/>
      <c r="U383" s="3" t="n"/>
      <c r="V383" s="3" t="n"/>
      <c r="W383" s="3" t="n">
        <v>3.8570499420166</v>
      </c>
      <c r="X383" s="3" t="n"/>
      <c r="Y383" s="3" t="n"/>
      <c r="Z383" s="3" t="n">
        <v>2.42378997802734</v>
      </c>
      <c r="AA383" s="3" t="n"/>
      <c r="AB383" s="3" t="n"/>
      <c r="AC383" s="3" t="n"/>
      <c r="AD383" s="3" t="n"/>
      <c r="AE383" s="3" t="n"/>
      <c r="AF383" s="3" t="n"/>
      <c r="AG383" s="3" t="n"/>
      <c r="AH383" s="3" t="n"/>
      <c r="AI383" s="3" t="n">
        <v>3.55150008201599</v>
      </c>
      <c r="AJ383" s="3" t="n"/>
      <c r="AK383" s="3" t="n"/>
      <c r="AL383" s="3" t="n"/>
      <c r="AM383" s="3" t="n"/>
      <c r="AN383" s="3" t="n"/>
      <c r="AO383" s="3" t="n"/>
      <c r="AP383" s="3" t="n"/>
      <c r="AQ383" s="3" t="n"/>
      <c r="AR383" s="3" t="n"/>
      <c r="AS383" s="3" t="n"/>
      <c r="AT383" s="3" t="n"/>
      <c r="AU383" s="3" t="n"/>
      <c r="AV383" s="3" t="n"/>
      <c r="AW383" s="3" t="n"/>
      <c r="AX383" s="3" t="n"/>
      <c r="AY383" s="3" t="n"/>
      <c r="AZ383" s="3" t="n"/>
      <c r="BA383" s="3" t="n"/>
      <c r="BB383" s="3" t="n"/>
      <c r="BC383" s="3" t="n"/>
      <c r="BD383" s="3" t="n"/>
      <c r="BE383" s="3" t="n"/>
      <c r="BF383" s="3" t="n"/>
      <c r="BG383" s="3" t="n"/>
      <c r="BH383" s="3" t="n"/>
      <c r="BI383" s="3" t="n"/>
      <c r="BJ383" s="3" t="n"/>
      <c r="BK383" s="3" t="n"/>
      <c r="BL383" s="3" t="n"/>
      <c r="BM383" s="3" t="n"/>
      <c r="BN383" s="3" t="n"/>
      <c r="BO383" s="3" t="n"/>
      <c r="BP383" s="3" t="n"/>
      <c r="BQ383" s="3" t="n"/>
      <c r="BR383" s="34" t="str">
        <f>B383&amp;"|"&amp;D383</f>
        <v>IRQ|SE.XPD.TOTL.GD.ZS</v>
      </c>
    </row>
    <row r="384">
      <c r="A384" s="3" t="inlineStr">
        <is>
          <t>Iceland</t>
        </is>
      </c>
      <c r="B384" s="3" t="inlineStr">
        <is>
          <t>ISL</t>
        </is>
      </c>
      <c r="C384" s="3" t="inlineStr">
        <is>
          <t>Government expenditure on education, total (% of GDP)</t>
        </is>
      </c>
      <c r="D384" s="3" t="inlineStr">
        <is>
          <t>SE.XPD.TOTL.GD.ZS</t>
        </is>
      </c>
      <c r="E384" s="3" t="n">
        <v>2022</v>
      </c>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c r="AD384" s="3" t="n"/>
      <c r="AE384" s="3" t="n"/>
      <c r="AF384" s="3" t="n"/>
      <c r="AG384" s="3" t="n"/>
      <c r="AH384" s="3" t="n"/>
      <c r="AI384" s="3" t="n"/>
      <c r="AJ384" s="3" t="n">
        <v>4.25862979888916</v>
      </c>
      <c r="AK384" s="3" t="n"/>
      <c r="AL384" s="3" t="n"/>
      <c r="AM384" s="3" t="n">
        <v>5.14158010482788</v>
      </c>
      <c r="AN384" s="3" t="n">
        <v>4.75557994842529</v>
      </c>
      <c r="AO384" s="3" t="n">
        <v>4.78062009811401</v>
      </c>
      <c r="AP384" s="3" t="n">
        <v>5.21834993362427</v>
      </c>
      <c r="AQ384" s="3" t="n"/>
      <c r="AR384" s="3" t="n">
        <v>6.78387022018433</v>
      </c>
      <c r="AS384" s="3" t="n">
        <v>6.43401002883911</v>
      </c>
      <c r="AT384" s="3" t="n">
        <v>6.4314398765564</v>
      </c>
      <c r="AU384" s="3" t="n">
        <v>6.70592021942139</v>
      </c>
      <c r="AV384" s="3" t="n">
        <v>7.29892015457153</v>
      </c>
      <c r="AW384" s="3" t="n">
        <v>7.24507999420166</v>
      </c>
      <c r="AX384" s="3" t="n">
        <v>7.16118001937866</v>
      </c>
      <c r="AY384" s="3" t="n">
        <v>7.33843994140625</v>
      </c>
      <c r="AZ384" s="3" t="n">
        <v>7.19521999359131</v>
      </c>
      <c r="BA384" s="3" t="n">
        <v>6.9443302154541</v>
      </c>
      <c r="BB384" s="3" t="n">
        <v>7.03601980209351</v>
      </c>
      <c r="BC384" s="3" t="n">
        <v>7.18984985351562</v>
      </c>
      <c r="BD384" s="3" t="n">
        <v>6.9442400932312</v>
      </c>
      <c r="BE384" s="3" t="n">
        <v>6.78997993469238</v>
      </c>
      <c r="BF384" s="3" t="n">
        <v>7.58223009109497</v>
      </c>
      <c r="BG384" s="3" t="n">
        <v>7.44868993759155</v>
      </c>
      <c r="BH384" s="3" t="n">
        <v>7.6414098739624</v>
      </c>
      <c r="BI384" s="3" t="n">
        <v>7.4579701423645</v>
      </c>
      <c r="BJ384" s="3" t="n">
        <v>7.43219995498657</v>
      </c>
      <c r="BK384" s="3" t="n">
        <v>7.58385992050171</v>
      </c>
      <c r="BL384" s="3" t="n">
        <v>7.56349992752075</v>
      </c>
      <c r="BM384" s="3" t="n">
        <v>7.60129976272583</v>
      </c>
      <c r="BN384" s="3" t="n">
        <v>8.58382987976074</v>
      </c>
      <c r="BO384" s="3" t="n">
        <v>8.21780967712402</v>
      </c>
      <c r="BP384" s="3" t="n">
        <v>7.13966512680054</v>
      </c>
      <c r="BQ384" s="3" t="n"/>
      <c r="BR384" s="34" t="str">
        <f>B384&amp;"|"&amp;D384</f>
        <v>ISL|SE.XPD.TOTL.GD.ZS</v>
      </c>
    </row>
    <row r="385">
      <c r="A385" s="3" t="inlineStr">
        <is>
          <t>Israel</t>
        </is>
      </c>
      <c r="B385" s="3" t="inlineStr">
        <is>
          <t>ISR</t>
        </is>
      </c>
      <c r="C385" s="3" t="inlineStr">
        <is>
          <t>Government expenditure on education, total (% of GDP)</t>
        </is>
      </c>
      <c r="D385" s="3" t="inlineStr">
        <is>
          <t>SE.XPD.TOTL.GD.ZS</t>
        </is>
      </c>
      <c r="E385" s="3" t="n">
        <v>2022</v>
      </c>
      <c r="F385" s="3" t="n"/>
      <c r="G385" s="3" t="n"/>
      <c r="H385" s="3" t="n"/>
      <c r="I385" s="3" t="n"/>
      <c r="J385" s="3" t="n"/>
      <c r="K385" s="3" t="n"/>
      <c r="L385" s="3" t="n"/>
      <c r="M385" s="3" t="n"/>
      <c r="N385" s="3" t="n"/>
      <c r="O385" s="3" t="n"/>
      <c r="P385" s="3" t="n"/>
      <c r="Q385" s="3" t="n"/>
      <c r="R385" s="3" t="n"/>
      <c r="S385" s="3" t="n">
        <v>5.13425016403198</v>
      </c>
      <c r="T385" s="3" t="n">
        <v>5.68191003799438</v>
      </c>
      <c r="U385" s="3" t="n">
        <v>5.77593994140625</v>
      </c>
      <c r="V385" s="3" t="n">
        <v>5.6863899230957</v>
      </c>
      <c r="W385" s="3" t="n">
        <v>5.58701992034912</v>
      </c>
      <c r="X385" s="3" t="n">
        <v>6.3338098526001</v>
      </c>
      <c r="Y385" s="3" t="n">
        <v>6.41399002075195</v>
      </c>
      <c r="Z385" s="3" t="n">
        <v>6.83982992172241</v>
      </c>
      <c r="AA385" s="3" t="n">
        <v>6.78708982467651</v>
      </c>
      <c r="AB385" s="3" t="n">
        <v>6.37712001800537</v>
      </c>
      <c r="AC385" s="3" t="n">
        <v>6.71023988723755</v>
      </c>
      <c r="AD385" s="3" t="n">
        <v>6.69910001754761</v>
      </c>
      <c r="AE385" s="3" t="n">
        <v>7.67374992370605</v>
      </c>
      <c r="AF385" s="3" t="n">
        <v>5.86452007293701</v>
      </c>
      <c r="AG385" s="3" t="n">
        <v>5.28594017028809</v>
      </c>
      <c r="AH385" s="3" t="n">
        <v>4.31535005569458</v>
      </c>
      <c r="AI385" s="3" t="n">
        <v>5.46199989318848</v>
      </c>
      <c r="AJ385" s="3" t="n">
        <v>5.18976020812988</v>
      </c>
      <c r="AK385" s="3" t="n">
        <v>5.201819896698</v>
      </c>
      <c r="AL385" s="3" t="n">
        <v>5.33985996246338</v>
      </c>
      <c r="AM385" s="3" t="n">
        <v>5.69947004318237</v>
      </c>
      <c r="AN385" s="3" t="n">
        <v>6.1613302230835</v>
      </c>
      <c r="AO385" s="3" t="n"/>
      <c r="AP385" s="3" t="n"/>
      <c r="AQ385" s="3" t="n"/>
      <c r="AR385" s="3" t="n">
        <v>6.42640018463135</v>
      </c>
      <c r="AS385" s="3" t="n">
        <v>6.2209300994873</v>
      </c>
      <c r="AT385" s="3" t="n">
        <v>5.95195007324219</v>
      </c>
      <c r="AU385" s="3" t="n">
        <v>6.19316005706787</v>
      </c>
      <c r="AV385" s="3" t="n">
        <v>6.26281976699829</v>
      </c>
      <c r="AW385" s="3" t="n">
        <v>6.13994979858398</v>
      </c>
      <c r="AX385" s="3" t="n">
        <v>5.75347995758057</v>
      </c>
      <c r="AY385" s="3" t="n">
        <v>5.58138990402222</v>
      </c>
      <c r="AZ385" s="3" t="n">
        <v>5.59218978881836</v>
      </c>
      <c r="BA385" s="3" t="n">
        <v>5.34991979598999</v>
      </c>
      <c r="BB385" s="3" t="n">
        <v>5.42434978485107</v>
      </c>
      <c r="BC385" s="3" t="n">
        <v>5.37785005569458</v>
      </c>
      <c r="BD385" s="3" t="n">
        <v>5.43390989303589</v>
      </c>
      <c r="BE385" s="3" t="n">
        <v>5.45581007003784</v>
      </c>
      <c r="BF385" s="3" t="n">
        <v>5.58893013000488</v>
      </c>
      <c r="BG385" s="3" t="n">
        <v>5.78415012359619</v>
      </c>
      <c r="BH385" s="3" t="n">
        <v>5.70471000671387</v>
      </c>
      <c r="BI385" s="3" t="n">
        <v>5.7976598739624</v>
      </c>
      <c r="BJ385" s="3" t="n">
        <v>5.79980993270874</v>
      </c>
      <c r="BK385" s="3" t="n">
        <v>6.00771999359131</v>
      </c>
      <c r="BL385" s="3" t="n">
        <v>6.06284999847412</v>
      </c>
      <c r="BM385" s="3" t="n">
        <v>6.04147005081177</v>
      </c>
      <c r="BN385" s="3" t="n">
        <v>6.47881984710693</v>
      </c>
      <c r="BO385" s="3" t="n">
        <v>6.18401002883911</v>
      </c>
      <c r="BP385" s="3" t="n">
        <v>6.45624446868896</v>
      </c>
      <c r="BQ385" s="3" t="n"/>
      <c r="BR385" s="34" t="str">
        <f>B385&amp;"|"&amp;D385</f>
        <v>ISR|SE.XPD.TOTL.GD.ZS</v>
      </c>
    </row>
    <row r="386">
      <c r="A386" s="3" t="inlineStr">
        <is>
          <t>Italy</t>
        </is>
      </c>
      <c r="B386" s="3" t="inlineStr">
        <is>
          <t>ITA</t>
        </is>
      </c>
      <c r="C386" s="3" t="inlineStr">
        <is>
          <t>Government expenditure on education, total (% of GDP)</t>
        </is>
      </c>
      <c r="D386" s="3" t="inlineStr">
        <is>
          <t>SE.XPD.TOTL.GD.ZS</t>
        </is>
      </c>
      <c r="E386" s="3" t="n">
        <v>2021</v>
      </c>
      <c r="F386" s="3" t="n"/>
      <c r="G386" s="3" t="n"/>
      <c r="H386" s="3" t="n"/>
      <c r="I386" s="3" t="n"/>
      <c r="J386" s="3" t="n"/>
      <c r="K386" s="3" t="n"/>
      <c r="L386" s="3" t="n"/>
      <c r="M386" s="3" t="n"/>
      <c r="N386" s="3" t="n"/>
      <c r="O386" s="3" t="n"/>
      <c r="P386" s="3" t="n">
        <v>3.36681008338928</v>
      </c>
      <c r="Q386" s="3" t="n">
        <v>2.89877009391785</v>
      </c>
      <c r="R386" s="3" t="n"/>
      <c r="S386" s="3" t="n"/>
      <c r="T386" s="3" t="n">
        <v>3.83513998985291</v>
      </c>
      <c r="U386" s="3" t="n">
        <v>3.71161007881165</v>
      </c>
      <c r="V386" s="3" t="n">
        <v>3.91951990127563</v>
      </c>
      <c r="W386" s="3" t="n"/>
      <c r="X386" s="3" t="n">
        <v>3.78035998344421</v>
      </c>
      <c r="Y386" s="3" t="n">
        <v>4.16373014450073</v>
      </c>
      <c r="Z386" s="3" t="n"/>
      <c r="AA386" s="3" t="n"/>
      <c r="AB386" s="3" t="n"/>
      <c r="AC386" s="3" t="n">
        <v>4.48805999755859</v>
      </c>
      <c r="AD386" s="3" t="n">
        <v>4.77456998825073</v>
      </c>
      <c r="AE386" s="3" t="n">
        <v>4.68980979919434</v>
      </c>
      <c r="AF386" s="3" t="n">
        <v>4.65490007400513</v>
      </c>
      <c r="AG386" s="3" t="n"/>
      <c r="AH386" s="3" t="n">
        <v>4.59277009963989</v>
      </c>
      <c r="AI386" s="3" t="n"/>
      <c r="AJ386" s="3" t="n"/>
      <c r="AK386" s="3" t="n"/>
      <c r="AL386" s="3" t="n"/>
      <c r="AM386" s="3" t="n">
        <v>4.73389005661011</v>
      </c>
      <c r="AN386" s="3" t="n">
        <v>4.43331003189087</v>
      </c>
      <c r="AO386" s="3" t="n">
        <v>4.31864976882935</v>
      </c>
      <c r="AP386" s="3" t="n">
        <v>4.44763994216919</v>
      </c>
      <c r="AQ386" s="3" t="n"/>
      <c r="AR386" s="3" t="n">
        <v>4.45031023025513</v>
      </c>
      <c r="AS386" s="3" t="n">
        <v>4.51084995269775</v>
      </c>
      <c r="AT386" s="3" t="n">
        <v>4.29107999801636</v>
      </c>
      <c r="AU386" s="3" t="n">
        <v>4.65009021759033</v>
      </c>
      <c r="AV386" s="3" t="n">
        <v>4.43240976333618</v>
      </c>
      <c r="AW386" s="3" t="n">
        <v>4.54179000854492</v>
      </c>
      <c r="AX386" s="3" t="n">
        <v>4.38520002365112</v>
      </c>
      <c r="AY386" s="3" t="n">
        <v>4.23829984664917</v>
      </c>
      <c r="AZ386" s="3" t="n">
        <v>4.52545022964478</v>
      </c>
      <c r="BA386" s="3" t="n">
        <v>4.10503005981445</v>
      </c>
      <c r="BB386" s="3" t="n">
        <v>4.38794994354248</v>
      </c>
      <c r="BC386" s="3" t="n">
        <v>4.52371978759766</v>
      </c>
      <c r="BD386" s="3" t="n">
        <v>4.33411979675293</v>
      </c>
      <c r="BE386" s="3" t="n">
        <v>4.11568021774292</v>
      </c>
      <c r="BF386" s="3" t="n">
        <v>4.05601978302002</v>
      </c>
      <c r="BG386" s="3" t="n">
        <v>4.14367008209229</v>
      </c>
      <c r="BH386" s="3" t="n">
        <v>4.06127977371216</v>
      </c>
      <c r="BI386" s="3" t="n">
        <v>4.07362985610962</v>
      </c>
      <c r="BJ386" s="3" t="n">
        <v>3.81578993797302</v>
      </c>
      <c r="BK386" s="3" t="n">
        <v>4.04493999481201</v>
      </c>
      <c r="BL386" s="3" t="n">
        <v>4.25614023208618</v>
      </c>
      <c r="BM386" s="3" t="n">
        <v>4.09527015686035</v>
      </c>
      <c r="BN386" s="3" t="n">
        <v>4.44135999679565</v>
      </c>
      <c r="BO386" s="3" t="n">
        <v>4.21828985214233</v>
      </c>
      <c r="BP386" s="3" t="n"/>
      <c r="BQ386" s="3" t="n"/>
      <c r="BR386" s="34" t="str">
        <f>B386&amp;"|"&amp;D386</f>
        <v>ITA|SE.XPD.TOTL.GD.ZS</v>
      </c>
    </row>
    <row r="387">
      <c r="A387" s="3" t="inlineStr">
        <is>
          <t>Jamaica</t>
        </is>
      </c>
      <c r="B387" s="3" t="inlineStr">
        <is>
          <t>JAM</t>
        </is>
      </c>
      <c r="C387" s="3" t="inlineStr">
        <is>
          <t>Government expenditure on education, total (% of GDP)</t>
        </is>
      </c>
      <c r="D387" s="3" t="inlineStr">
        <is>
          <t>SE.XPD.TOTL.GD.ZS</t>
        </is>
      </c>
      <c r="E387" s="3" t="n">
        <v>2023</v>
      </c>
      <c r="F387" s="3" t="n"/>
      <c r="G387" s="3" t="n"/>
      <c r="H387" s="3" t="n"/>
      <c r="I387" s="3" t="n"/>
      <c r="J387" s="3" t="n"/>
      <c r="K387" s="3" t="n"/>
      <c r="L387" s="3" t="n"/>
      <c r="M387" s="3" t="n"/>
      <c r="N387" s="3" t="n"/>
      <c r="O387" s="3" t="n"/>
      <c r="P387" s="3" t="n"/>
      <c r="Q387" s="3" t="n"/>
      <c r="R387" s="3" t="n"/>
      <c r="S387" s="3" t="n">
        <v>3.63143992424011</v>
      </c>
      <c r="T387" s="3" t="n">
        <v>4.24897003173828</v>
      </c>
      <c r="U387" s="3" t="n">
        <v>5.22878980636597</v>
      </c>
      <c r="V387" s="3" t="n">
        <v>5.85832977294922</v>
      </c>
      <c r="W387" s="3" t="n">
        <v>6.02651977539062</v>
      </c>
      <c r="X387" s="3" t="n"/>
      <c r="Y387" s="3" t="n"/>
      <c r="Z387" s="3" t="n"/>
      <c r="AA387" s="3" t="n"/>
      <c r="AB387" s="3" t="n"/>
      <c r="AC387" s="3" t="n"/>
      <c r="AD387" s="3" t="n"/>
      <c r="AE387" s="3" t="n">
        <v>5.39190006256104</v>
      </c>
      <c r="AF387" s="3" t="n">
        <v>4.60398006439209</v>
      </c>
      <c r="AG387" s="3" t="n"/>
      <c r="AH387" s="3" t="n">
        <v>3.94086003303528</v>
      </c>
      <c r="AI387" s="3" t="n">
        <v>5.18397998809814</v>
      </c>
      <c r="AJ387" s="3" t="n">
        <v>4.7791600227356</v>
      </c>
      <c r="AK387" s="3" t="n">
        <v>4.38306999206543</v>
      </c>
      <c r="AL387" s="3" t="n">
        <v>3.33665990829468</v>
      </c>
      <c r="AM387" s="3" t="n">
        <v>3.21403002738953</v>
      </c>
      <c r="AN387" s="3" t="n">
        <v>4.06418991088867</v>
      </c>
      <c r="AO387" s="3" t="n">
        <v>3.38908004760742</v>
      </c>
      <c r="AP387" s="3" t="n">
        <v>3.67773008346558</v>
      </c>
      <c r="AQ387" s="3" t="n">
        <v>4.37953996658325</v>
      </c>
      <c r="AR387" s="3" t="n"/>
      <c r="AS387" s="3" t="n"/>
      <c r="AT387" s="3" t="n">
        <v>4.98346996307373</v>
      </c>
      <c r="AU387" s="3" t="n">
        <v>5.38103008270264</v>
      </c>
      <c r="AV387" s="3" t="n">
        <v>5.37522983551025</v>
      </c>
      <c r="AW387" s="3" t="n">
        <v>4.25684976577759</v>
      </c>
      <c r="AX387" s="3" t="n">
        <v>3.91254997253418</v>
      </c>
      <c r="AY387" s="3" t="n">
        <v>4.61641979217529</v>
      </c>
      <c r="AZ387" s="3" t="n"/>
      <c r="BA387" s="3" t="n">
        <v>5.49022006988525</v>
      </c>
      <c r="BB387" s="3" t="n">
        <v>6.19131994247437</v>
      </c>
      <c r="BC387" s="3" t="n">
        <v>6.19848012924194</v>
      </c>
      <c r="BD387" s="3" t="n">
        <v>6.37060022354126</v>
      </c>
      <c r="BE387" s="3" t="n">
        <v>6.26664018630981</v>
      </c>
      <c r="BF387" s="3" t="n">
        <v>6.11246013641357</v>
      </c>
      <c r="BG387" s="3" t="n">
        <v>6.25108003616333</v>
      </c>
      <c r="BH387" s="3" t="n">
        <v>6.01586008071899</v>
      </c>
      <c r="BI387" s="3" t="n">
        <v>5.45522022247314</v>
      </c>
      <c r="BJ387" s="3" t="n">
        <v>5.31461000442505</v>
      </c>
      <c r="BK387" s="3" t="n">
        <v>5.26016998291016</v>
      </c>
      <c r="BL387" s="3" t="n">
        <v>5.41380977630615</v>
      </c>
      <c r="BM387" s="3" t="n">
        <v>5.16364002227783</v>
      </c>
      <c r="BN387" s="3" t="n">
        <v>5.61749505996704</v>
      </c>
      <c r="BO387" s="3" t="n">
        <v>5.63123989105225</v>
      </c>
      <c r="BP387" s="3" t="n">
        <v>5.35435009002686</v>
      </c>
      <c r="BQ387" s="3" t="n">
        <v>5.65453672409058</v>
      </c>
      <c r="BR387" s="34" t="str">
        <f>B387&amp;"|"&amp;D387</f>
        <v>JAM|SE.XPD.TOTL.GD.ZS</v>
      </c>
    </row>
    <row r="388">
      <c r="A388" s="3" t="inlineStr">
        <is>
          <t>Jordan</t>
        </is>
      </c>
      <c r="B388" s="3" t="inlineStr">
        <is>
          <t>JOR</t>
        </is>
      </c>
      <c r="C388" s="3" t="inlineStr">
        <is>
          <t>Government expenditure on education, total (% of GDP)</t>
        </is>
      </c>
      <c r="D388" s="3" t="inlineStr">
        <is>
          <t>SE.XPD.TOTL.GD.ZS</t>
        </is>
      </c>
      <c r="E388" s="3" t="n">
        <v>2022</v>
      </c>
      <c r="F388" s="3" t="n"/>
      <c r="G388" s="3" t="n"/>
      <c r="H388" s="3" t="n"/>
      <c r="I388" s="3" t="n"/>
      <c r="J388" s="3" t="n"/>
      <c r="K388" s="3" t="n"/>
      <c r="L388" s="3" t="n"/>
      <c r="M388" s="3" t="n"/>
      <c r="N388" s="3" t="n"/>
      <c r="O388" s="3" t="n"/>
      <c r="P388" s="3" t="n">
        <v>3.63003993034363</v>
      </c>
      <c r="Q388" s="3" t="n">
        <v>3.29768991470337</v>
      </c>
      <c r="R388" s="3" t="n">
        <v>2.38742995262146</v>
      </c>
      <c r="S388" s="3" t="n">
        <v>2.48693990707397</v>
      </c>
      <c r="T388" s="3" t="n">
        <v>3.55768990516663</v>
      </c>
      <c r="U388" s="3" t="n">
        <v>3.76347994804382</v>
      </c>
      <c r="V388" s="3" t="n">
        <v>3.53455996513367</v>
      </c>
      <c r="W388" s="3" t="n">
        <v>3.67989993095398</v>
      </c>
      <c r="X388" s="3" t="n">
        <v>3.68162989616394</v>
      </c>
      <c r="Y388" s="3" t="n">
        <v>5.08172988891602</v>
      </c>
      <c r="Z388" s="3" t="n"/>
      <c r="AA388" s="3" t="n">
        <v>5.16767978668213</v>
      </c>
      <c r="AB388" s="3" t="n">
        <v>5.08854007720947</v>
      </c>
      <c r="AC388" s="3" t="n">
        <v>4.92795991897583</v>
      </c>
      <c r="AD388" s="3" t="n">
        <v>5.93695020675659</v>
      </c>
      <c r="AE388" s="3" t="n"/>
      <c r="AF388" s="3" t="n">
        <v>3.2843599319458</v>
      </c>
      <c r="AG388" s="3" t="n">
        <v>3.29666996002197</v>
      </c>
      <c r="AH388" s="3" t="n">
        <v>4.0475001335144</v>
      </c>
      <c r="AI388" s="3" t="n">
        <v>5.6435399055481</v>
      </c>
      <c r="AJ388" s="3" t="n"/>
      <c r="AK388" s="3" t="n"/>
      <c r="AL388" s="3" t="n"/>
      <c r="AM388" s="3" t="n"/>
      <c r="AN388" s="3" t="n"/>
      <c r="AO388" s="3" t="n"/>
      <c r="AP388" s="3" t="n">
        <v>7.47691011428833</v>
      </c>
      <c r="AQ388" s="3" t="n">
        <v>6.36482000350952</v>
      </c>
      <c r="AR388" s="3" t="n"/>
      <c r="AS388" s="3" t="n">
        <v>4.94366979598999</v>
      </c>
      <c r="AT388" s="3" t="n"/>
      <c r="AU388" s="3" t="n"/>
      <c r="AV388" s="3" t="n"/>
      <c r="AW388" s="3" t="n"/>
      <c r="AX388" s="3" t="n"/>
      <c r="AY388" s="3" t="n"/>
      <c r="AZ388" s="3" t="n"/>
      <c r="BA388" s="3" t="n"/>
      <c r="BB388" s="3" t="n"/>
      <c r="BC388" s="3" t="n"/>
      <c r="BD388" s="3" t="n"/>
      <c r="BE388" s="3" t="n"/>
      <c r="BF388" s="3" t="n"/>
      <c r="BG388" s="3" t="n"/>
      <c r="BH388" s="3" t="n"/>
      <c r="BI388" s="3" t="n"/>
      <c r="BJ388" s="3" t="n">
        <v>3.45282006263733</v>
      </c>
      <c r="BK388" s="3" t="n">
        <v>3.21305990219116</v>
      </c>
      <c r="BL388" s="3" t="n">
        <v>2.95461988449097</v>
      </c>
      <c r="BM388" s="3" t="n">
        <v>2.98847007751465</v>
      </c>
      <c r="BN388" s="3" t="n"/>
      <c r="BO388" s="3" t="n">
        <v>3.13837003707886</v>
      </c>
      <c r="BP388" s="3" t="n">
        <v>3.16022992134094</v>
      </c>
      <c r="BQ388" s="3" t="n"/>
      <c r="BR388" s="34" t="str">
        <f>B388&amp;"|"&amp;D388</f>
        <v>JOR|SE.XPD.TOTL.GD.ZS</v>
      </c>
    </row>
    <row r="389">
      <c r="A389" s="3" t="inlineStr">
        <is>
          <t>Japan</t>
        </is>
      </c>
      <c r="B389" s="3" t="inlineStr">
        <is>
          <t>JPN</t>
        </is>
      </c>
      <c r="C389" s="3" t="inlineStr">
        <is>
          <t>Government expenditure on education, total (% of GDP)</t>
        </is>
      </c>
      <c r="D389" s="3" t="inlineStr">
        <is>
          <t>SE.XPD.TOTL.GD.ZS</t>
        </is>
      </c>
      <c r="E389" s="3" t="n">
        <v>2022</v>
      </c>
      <c r="F389" s="3" t="n"/>
      <c r="G389" s="3" t="n"/>
      <c r="H389" s="3" t="n"/>
      <c r="I389" s="3" t="n"/>
      <c r="J389" s="3" t="n"/>
      <c r="K389" s="3" t="n"/>
      <c r="L389" s="3" t="n"/>
      <c r="M389" s="3" t="n"/>
      <c r="N389" s="3" t="n"/>
      <c r="O389" s="3" t="n"/>
      <c r="P389" s="3" t="n"/>
      <c r="Q389" s="3" t="n">
        <v>3.57862997055054</v>
      </c>
      <c r="R389" s="3" t="n">
        <v>3.92610001564026</v>
      </c>
      <c r="S389" s="3" t="n">
        <v>3.95707988739014</v>
      </c>
      <c r="T389" s="3" t="n">
        <v>3.95421004295349</v>
      </c>
      <c r="U389" s="3" t="n">
        <v>4.56980991363525</v>
      </c>
      <c r="V389" s="3" t="n">
        <v>4.74777984619141</v>
      </c>
      <c r="W389" s="3" t="n">
        <v>4.73745012283325</v>
      </c>
      <c r="X389" s="3" t="n">
        <v>4.79044008255005</v>
      </c>
      <c r="Y389" s="3" t="n">
        <v>4.95000982284546</v>
      </c>
      <c r="Z389" s="3" t="n">
        <v>4.96105003356934</v>
      </c>
      <c r="AA389" s="3" t="n">
        <v>4.95682001113892</v>
      </c>
      <c r="AB389" s="3" t="n">
        <v>4.93976020812988</v>
      </c>
      <c r="AC389" s="3" t="n">
        <v>4.72346019744873</v>
      </c>
      <c r="AD389" s="3" t="n"/>
      <c r="AE389" s="3" t="n"/>
      <c r="AF389" s="3" t="n"/>
      <c r="AG389" s="3" t="n">
        <v>5.48793983459473</v>
      </c>
      <c r="AH389" s="3" t="n">
        <v>5.45283985137939</v>
      </c>
      <c r="AI389" s="3" t="n">
        <v>5.2743501663208</v>
      </c>
      <c r="AJ389" s="3" t="n"/>
      <c r="AK389" s="3" t="n"/>
      <c r="AL389" s="3" t="n"/>
      <c r="AM389" s="3" t="n">
        <v>3.36711001396179</v>
      </c>
      <c r="AN389" s="3" t="n">
        <v>3.5693199634552</v>
      </c>
      <c r="AO389" s="3" t="n">
        <v>3.40211009979248</v>
      </c>
      <c r="AP389" s="3" t="n"/>
      <c r="AQ389" s="3" t="n"/>
      <c r="AR389" s="3" t="n">
        <v>3.29797005653381</v>
      </c>
      <c r="AS389" s="3" t="n">
        <v>3.37812995910645</v>
      </c>
      <c r="AT389" s="3" t="n">
        <v>3.46011996269226</v>
      </c>
      <c r="AU389" s="3" t="n">
        <v>3.40082001686096</v>
      </c>
      <c r="AV389" s="3" t="n">
        <v>3.40898990631104</v>
      </c>
      <c r="AW389" s="3" t="n">
        <v>3.46662998199463</v>
      </c>
      <c r="AX389" s="3" t="n">
        <v>3.42611002922058</v>
      </c>
      <c r="AY389" s="3" t="n">
        <v>3.31493997573853</v>
      </c>
      <c r="AZ389" s="3" t="n">
        <v>3.27667999267578</v>
      </c>
      <c r="BA389" s="3" t="n">
        <v>3.27934002876282</v>
      </c>
      <c r="BB389" s="3" t="n">
        <v>3.27241992950439</v>
      </c>
      <c r="BC389" s="3" t="n">
        <v>3.5559778213501</v>
      </c>
      <c r="BD389" s="3" t="n">
        <v>3.59951996803284</v>
      </c>
      <c r="BE389" s="3" t="n">
        <v>3.60527992248535</v>
      </c>
      <c r="BF389" s="3" t="n">
        <v>3.41945004463196</v>
      </c>
      <c r="BG389" s="3" t="n">
        <v>3.40875005722046</v>
      </c>
      <c r="BH389" s="3" t="n">
        <v>3.41529989242554</v>
      </c>
      <c r="BI389" s="3" t="n">
        <v>3.31221008300781</v>
      </c>
      <c r="BJ389" s="3" t="n">
        <v>3.14643001556396</v>
      </c>
      <c r="BK389" s="3" t="n">
        <v>3.13057994842529</v>
      </c>
      <c r="BL389" s="3" t="n">
        <v>3.07782006263733</v>
      </c>
      <c r="BM389" s="3" t="n">
        <v>3.15533995628357</v>
      </c>
      <c r="BN389" s="3" t="n">
        <v>3.30628991127014</v>
      </c>
      <c r="BO389" s="3" t="n">
        <v>3.33563995361328</v>
      </c>
      <c r="BP389" s="3" t="n">
        <v>3.23762130737305</v>
      </c>
      <c r="BQ389" s="3" t="n"/>
      <c r="BR389" s="34" t="str">
        <f>B389&amp;"|"&amp;D389</f>
        <v>JPN|SE.XPD.TOTL.GD.ZS</v>
      </c>
    </row>
    <row r="390">
      <c r="A390" s="3" t="inlineStr">
        <is>
          <t>Kazakhstan</t>
        </is>
      </c>
      <c r="B390" s="3" t="inlineStr">
        <is>
          <t>KAZ</t>
        </is>
      </c>
      <c r="C390" s="3" t="inlineStr">
        <is>
          <t>Government expenditure on education, total (% of GDP)</t>
        </is>
      </c>
      <c r="D390" s="3" t="inlineStr">
        <is>
          <t>SE.XPD.TOTL.GD.ZS</t>
        </is>
      </c>
      <c r="E390" s="3" t="n">
        <v>2022</v>
      </c>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c r="AD390" s="3" t="n"/>
      <c r="AE390" s="3" t="n"/>
      <c r="AF390" s="3" t="n"/>
      <c r="AG390" s="3" t="n"/>
      <c r="AH390" s="3" t="n"/>
      <c r="AI390" s="3" t="n"/>
      <c r="AJ390" s="3" t="n"/>
      <c r="AK390" s="3" t="n"/>
      <c r="AL390" s="3" t="n"/>
      <c r="AM390" s="3" t="n"/>
      <c r="AN390" s="3" t="n"/>
      <c r="AO390" s="3" t="n">
        <v>4.0344500541687</v>
      </c>
      <c r="AP390" s="3" t="n">
        <v>3.92371010780334</v>
      </c>
      <c r="AQ390" s="3" t="n">
        <v>4.37342977523804</v>
      </c>
      <c r="AR390" s="3" t="n"/>
      <c r="AS390" s="3" t="n">
        <v>3.89257001876831</v>
      </c>
      <c r="AT390" s="3" t="n">
        <v>3.25661993026733</v>
      </c>
      <c r="AU390" s="3" t="n">
        <v>3.27934145927429</v>
      </c>
      <c r="AV390" s="3" t="n">
        <v>3.02970004081726</v>
      </c>
      <c r="AW390" s="3" t="n">
        <v>3.23048210144043</v>
      </c>
      <c r="AX390" s="3" t="n">
        <v>2.25590991973877</v>
      </c>
      <c r="AY390" s="3" t="n">
        <v>2.26353001594543</v>
      </c>
      <c r="AZ390" s="3" t="n">
        <v>2.62678003311157</v>
      </c>
      <c r="BA390" s="3" t="n">
        <v>2.83138990402222</v>
      </c>
      <c r="BB390" s="3" t="n">
        <v>2.58945989608765</v>
      </c>
      <c r="BC390" s="3" t="n">
        <v>3.06071996688843</v>
      </c>
      <c r="BD390" s="3" t="n">
        <v>3.58735489845276</v>
      </c>
      <c r="BE390" s="3" t="n">
        <v>3.61434006690979</v>
      </c>
      <c r="BF390" s="3" t="n">
        <v>3.90163707733154</v>
      </c>
      <c r="BG390" s="3" t="n">
        <v>3.44564890861511</v>
      </c>
      <c r="BH390" s="3" t="n">
        <v>3.429039478302</v>
      </c>
      <c r="BI390" s="3" t="n">
        <v>3.33796977996826</v>
      </c>
      <c r="BJ390" s="3" t="n">
        <v>3.56325101852417</v>
      </c>
      <c r="BK390" s="3" t="n">
        <v>3.39102387428284</v>
      </c>
      <c r="BL390" s="3" t="n">
        <v>3.15191626548767</v>
      </c>
      <c r="BM390" s="3" t="n">
        <v>3.35382127761841</v>
      </c>
      <c r="BN390" s="3" t="n">
        <v>4.44620370864868</v>
      </c>
      <c r="BO390" s="3" t="n">
        <v>4.38569402694702</v>
      </c>
      <c r="BP390" s="3" t="n">
        <v>4.45820236206055</v>
      </c>
      <c r="BQ390" s="3" t="n"/>
      <c r="BR390" s="34" t="str">
        <f>B390&amp;"|"&amp;D390</f>
        <v>KAZ|SE.XPD.TOTL.GD.ZS</v>
      </c>
    </row>
    <row r="391">
      <c r="A391" s="3" t="inlineStr">
        <is>
          <t>Kenya</t>
        </is>
      </c>
      <c r="B391" s="3" t="inlineStr">
        <is>
          <t>KEN</t>
        </is>
      </c>
      <c r="C391" s="3" t="inlineStr">
        <is>
          <t>Government expenditure on education, total (% of GDP)</t>
        </is>
      </c>
      <c r="D391" s="3" t="inlineStr">
        <is>
          <t>SE.XPD.TOTL.GD.ZS</t>
        </is>
      </c>
      <c r="E391" s="3" t="n">
        <v>2023</v>
      </c>
      <c r="F391" s="3" t="n"/>
      <c r="G391" s="3" t="n"/>
      <c r="H391" s="3" t="n"/>
      <c r="I391" s="3" t="n"/>
      <c r="J391" s="3" t="n"/>
      <c r="K391" s="3" t="n"/>
      <c r="L391" s="3" t="n"/>
      <c r="M391" s="3" t="n"/>
      <c r="N391" s="3" t="n"/>
      <c r="O391" s="3" t="n"/>
      <c r="P391" s="3" t="n"/>
      <c r="Q391" s="3" t="n">
        <v>3.92982006072998</v>
      </c>
      <c r="R391" s="3" t="n">
        <v>4.47633981704712</v>
      </c>
      <c r="S391" s="3" t="n">
        <v>4.65051984786987</v>
      </c>
      <c r="T391" s="3" t="n">
        <v>5.06550979614258</v>
      </c>
      <c r="U391" s="3" t="n">
        <v>5.60612010955811</v>
      </c>
      <c r="V391" s="3" t="n">
        <v>5.74410009384155</v>
      </c>
      <c r="W391" s="3" t="n">
        <v>5.13632011413574</v>
      </c>
      <c r="X391" s="3" t="n"/>
      <c r="Y391" s="3" t="n"/>
      <c r="Z391" s="3" t="n">
        <v>5.38787984848022</v>
      </c>
      <c r="AA391" s="3" t="n">
        <v>5.92372989654541</v>
      </c>
      <c r="AB391" s="3" t="n">
        <v>5.67812013626099</v>
      </c>
      <c r="AC391" s="3" t="n">
        <v>5.43830013275146</v>
      </c>
      <c r="AD391" s="3" t="n">
        <v>4.58095979690552</v>
      </c>
      <c r="AE391" s="3" t="n">
        <v>5.19976997375488</v>
      </c>
      <c r="AF391" s="3" t="n">
        <v>6.01379013061523</v>
      </c>
      <c r="AG391" s="3" t="n"/>
      <c r="AH391" s="3" t="n">
        <v>6.60055017471313</v>
      </c>
      <c r="AI391" s="3" t="n">
        <v>6.035719871521</v>
      </c>
      <c r="AJ391" s="3" t="n"/>
      <c r="AK391" s="3" t="n">
        <v>6.57067012786865</v>
      </c>
      <c r="AL391" s="3" t="n">
        <v>6.07590007781982</v>
      </c>
      <c r="AM391" s="3" t="n">
        <v>6.02915000915527</v>
      </c>
      <c r="AN391" s="3" t="n">
        <v>5.9240198135376</v>
      </c>
      <c r="AO391" s="3" t="n"/>
      <c r="AP391" s="3" t="n"/>
      <c r="AQ391" s="3" t="n"/>
      <c r="AR391" s="3" t="n"/>
      <c r="AS391" s="3" t="n">
        <v>5.32323980331421</v>
      </c>
      <c r="AT391" s="3" t="n">
        <v>5.1867299079895</v>
      </c>
      <c r="AU391" s="3" t="n">
        <v>5.20621013641357</v>
      </c>
      <c r="AV391" s="3" t="n">
        <v>6.17199993133545</v>
      </c>
      <c r="AW391" s="3" t="n">
        <v>6.49426984786987</v>
      </c>
      <c r="AX391" s="3" t="n">
        <v>6.79692983627319</v>
      </c>
      <c r="AY391" s="3" t="n">
        <v>7.3356499671936</v>
      </c>
      <c r="AZ391" s="3" t="n">
        <v>7.04983997344971</v>
      </c>
      <c r="BA391" s="3" t="n"/>
      <c r="BB391" s="3" t="n"/>
      <c r="BC391" s="3" t="n">
        <v>4.01999998092651</v>
      </c>
      <c r="BD391" s="3" t="n">
        <v>4.81548976898193</v>
      </c>
      <c r="BE391" s="3" t="n">
        <v>4.70012998580933</v>
      </c>
      <c r="BF391" s="3" t="n">
        <v>4.93121004104614</v>
      </c>
      <c r="BG391" s="3" t="n">
        <v>4.83721017837524</v>
      </c>
      <c r="BH391" s="3" t="n">
        <v>4.7172999382019</v>
      </c>
      <c r="BI391" s="3" t="n">
        <v>4.9494514465332</v>
      </c>
      <c r="BJ391" s="3" t="n">
        <v>4.66556310653687</v>
      </c>
      <c r="BK391" s="3" t="n">
        <v>4.26874256134033</v>
      </c>
      <c r="BL391" s="3" t="n">
        <v>5.32192516326904</v>
      </c>
      <c r="BM391" s="3" t="n">
        <v>5.37359189987183</v>
      </c>
      <c r="BN391" s="3" t="n">
        <v>5.04574871063232</v>
      </c>
      <c r="BO391" s="3" t="n">
        <v>4.89040184020996</v>
      </c>
      <c r="BP391" s="3" t="n">
        <v>4.51101779937744</v>
      </c>
      <c r="BQ391" s="3" t="n">
        <v>3.96229314804077</v>
      </c>
      <c r="BR391" s="34" t="str">
        <f>B391&amp;"|"&amp;D391</f>
        <v>KEN|SE.XPD.TOTL.GD.ZS</v>
      </c>
    </row>
    <row r="392">
      <c r="A392" s="3" t="inlineStr">
        <is>
          <t>Kyrgyz Republic</t>
        </is>
      </c>
      <c r="B392" s="3" t="inlineStr">
        <is>
          <t>KGZ</t>
        </is>
      </c>
      <c r="C392" s="3" t="inlineStr">
        <is>
          <t>Government expenditure on education, total (% of GDP)</t>
        </is>
      </c>
      <c r="D392" s="3" t="inlineStr">
        <is>
          <t>SE.XPD.TOTL.GD.ZS</t>
        </is>
      </c>
      <c r="E392" s="3" t="n">
        <v>2023</v>
      </c>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c r="AD392" s="3" t="n"/>
      <c r="AE392" s="3" t="n"/>
      <c r="AF392" s="3" t="n"/>
      <c r="AG392" s="3" t="n"/>
      <c r="AH392" s="3" t="n"/>
      <c r="AI392" s="3" t="n"/>
      <c r="AJ392" s="3" t="n"/>
      <c r="AK392" s="3" t="n"/>
      <c r="AL392" s="3" t="n"/>
      <c r="AM392" s="3" t="n"/>
      <c r="AN392" s="3" t="n">
        <v>5.58819007873535</v>
      </c>
      <c r="AO392" s="3" t="n">
        <v>6.15642976760864</v>
      </c>
      <c r="AP392" s="3" t="n">
        <v>4.90260982513428</v>
      </c>
      <c r="AQ392" s="3" t="n"/>
      <c r="AR392" s="3" t="n">
        <v>4.91963005065918</v>
      </c>
      <c r="AS392" s="3" t="n">
        <v>4.0852198600769</v>
      </c>
      <c r="AT392" s="3" t="n">
        <v>3.50838994979858</v>
      </c>
      <c r="AU392" s="3" t="n">
        <v>3.85418009757996</v>
      </c>
      <c r="AV392" s="3" t="n">
        <v>4.44545984268188</v>
      </c>
      <c r="AW392" s="3" t="n">
        <v>4.47541999816895</v>
      </c>
      <c r="AX392" s="3" t="n">
        <v>4.62243986129761</v>
      </c>
      <c r="AY392" s="3" t="n">
        <v>4.87383985519409</v>
      </c>
      <c r="AZ392" s="3" t="n">
        <v>5.54986000061035</v>
      </c>
      <c r="BA392" s="3" t="n">
        <v>6.46700000762939</v>
      </c>
      <c r="BB392" s="3" t="n">
        <v>5.91318988800049</v>
      </c>
      <c r="BC392" s="3" t="n">
        <v>6.23267984390259</v>
      </c>
      <c r="BD392" s="3" t="n">
        <v>5.81883239746094</v>
      </c>
      <c r="BE392" s="3" t="n">
        <v>6.79062080383301</v>
      </c>
      <c r="BF392" s="3" t="n">
        <v>7.38422012329102</v>
      </c>
      <c r="BG392" s="3" t="n">
        <v>6.78019857406616</v>
      </c>
      <c r="BH392" s="3" t="n">
        <v>6.46763563156128</v>
      </c>
      <c r="BI392" s="3" t="n">
        <v>6.96764755249023</v>
      </c>
      <c r="BJ392" s="3" t="n">
        <v>6.58615016937256</v>
      </c>
      <c r="BK392" s="3" t="n">
        <v>6.02618980407715</v>
      </c>
      <c r="BL392" s="3" t="n">
        <v>5.55267000198364</v>
      </c>
      <c r="BM392" s="3" t="n">
        <v>6.07318115234375</v>
      </c>
      <c r="BN392" s="3" t="n">
        <v>6.61971664428711</v>
      </c>
      <c r="BO392" s="3" t="n">
        <v>6.17235136032104</v>
      </c>
      <c r="BP392" s="3" t="n">
        <v>7.1688437461853</v>
      </c>
      <c r="BQ392" s="3" t="n">
        <v>6.82694673538208</v>
      </c>
      <c r="BR392" s="34" t="str">
        <f>B392&amp;"|"&amp;D392</f>
        <v>KGZ|SE.XPD.TOTL.GD.ZS</v>
      </c>
    </row>
    <row r="393">
      <c r="A393" s="3" t="inlineStr">
        <is>
          <t>Cambodia</t>
        </is>
      </c>
      <c r="B393" s="3" t="inlineStr">
        <is>
          <t>KHM</t>
        </is>
      </c>
      <c r="C393" s="3" t="inlineStr">
        <is>
          <t>Government expenditure on education, total (% of GDP)</t>
        </is>
      </c>
      <c r="D393" s="3" t="inlineStr">
        <is>
          <t>SE.XPD.TOTL.GD.ZS</t>
        </is>
      </c>
      <c r="E393" s="3" t="n">
        <v>2023</v>
      </c>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c r="AD393" s="3" t="n"/>
      <c r="AE393" s="3" t="n"/>
      <c r="AF393" s="3" t="n"/>
      <c r="AG393" s="3" t="n"/>
      <c r="AH393" s="3" t="n"/>
      <c r="AI393" s="3" t="n"/>
      <c r="AJ393" s="3" t="n"/>
      <c r="AK393" s="3" t="n"/>
      <c r="AL393" s="3" t="n"/>
      <c r="AM393" s="3" t="n"/>
      <c r="AN393" s="3" t="n"/>
      <c r="AO393" s="3" t="n"/>
      <c r="AP393" s="3" t="n"/>
      <c r="AQ393" s="3" t="n"/>
      <c r="AR393" s="3" t="n">
        <v>1.25907003879547</v>
      </c>
      <c r="AS393" s="3" t="n"/>
      <c r="AT393" s="3" t="n">
        <v>1.66681003570557</v>
      </c>
      <c r="AU393" s="3" t="n">
        <v>1.72221994400024</v>
      </c>
      <c r="AV393" s="3" t="n">
        <v>1.71121001243591</v>
      </c>
      <c r="AW393" s="3" t="n"/>
      <c r="AX393" s="3" t="n">
        <v>1.71982002258301</v>
      </c>
      <c r="AY393" s="3" t="n"/>
      <c r="AZ393" s="3" t="n"/>
      <c r="BA393" s="3" t="n">
        <v>1.59930002689362</v>
      </c>
      <c r="BB393" s="3" t="n"/>
      <c r="BC393" s="3" t="n">
        <v>1.66568005084991</v>
      </c>
      <c r="BD393" s="3" t="n">
        <v>1.53378999233246</v>
      </c>
      <c r="BE393" s="3" t="n">
        <v>1.51068997383118</v>
      </c>
      <c r="BF393" s="3" t="n">
        <v>1.41441452503204</v>
      </c>
      <c r="BG393" s="3" t="n">
        <v>1.48202621936798</v>
      </c>
      <c r="BH393" s="3" t="n">
        <v>1.56673634052277</v>
      </c>
      <c r="BI393" s="3" t="n">
        <v>1.7034615278244</v>
      </c>
      <c r="BJ393" s="3" t="n">
        <v>1.87081909179688</v>
      </c>
      <c r="BK393" s="3" t="n">
        <v>2.09646058082581</v>
      </c>
      <c r="BL393" s="3" t="n">
        <v>2.44785928726196</v>
      </c>
      <c r="BM393" s="3" t="n">
        <v>2.82565474510193</v>
      </c>
      <c r="BN393" s="3" t="n">
        <v>3.0023500919342</v>
      </c>
      <c r="BO393" s="3" t="n">
        <v>3.01162648200989</v>
      </c>
      <c r="BP393" s="3" t="n">
        <v>2.88349270820618</v>
      </c>
      <c r="BQ393" s="3" t="n">
        <v>2.95115232467651</v>
      </c>
      <c r="BR393" s="34" t="str">
        <f>B393&amp;"|"&amp;D393</f>
        <v>KHM|SE.XPD.TOTL.GD.ZS</v>
      </c>
    </row>
    <row r="394">
      <c r="A394" s="3" t="inlineStr">
        <is>
          <t>Kiribati</t>
        </is>
      </c>
      <c r="B394" s="3" t="inlineStr">
        <is>
          <t>KIR</t>
        </is>
      </c>
      <c r="C394" s="3" t="inlineStr">
        <is>
          <t>Government expenditure on education, total (% of GDP)</t>
        </is>
      </c>
      <c r="D394" s="3" t="inlineStr">
        <is>
          <t>SE.XPD.TOTL.GD.ZS</t>
        </is>
      </c>
      <c r="E394" s="3" t="n">
        <v>2021</v>
      </c>
      <c r="F394" s="3" t="n"/>
      <c r="G394" s="3" t="n"/>
      <c r="H394" s="3" t="n"/>
      <c r="I394" s="3" t="n"/>
      <c r="J394" s="3" t="n"/>
      <c r="K394" s="3" t="n"/>
      <c r="L394" s="3" t="n"/>
      <c r="M394" s="3" t="n"/>
      <c r="N394" s="3" t="n"/>
      <c r="O394" s="3" t="n"/>
      <c r="P394" s="3" t="n">
        <v>4.79312992095947</v>
      </c>
      <c r="Q394" s="3" t="n">
        <v>4.26642990112305</v>
      </c>
      <c r="R394" s="3" t="n"/>
      <c r="S394" s="3" t="n"/>
      <c r="T394" s="3" t="n">
        <v>3.13510990142822</v>
      </c>
      <c r="U394" s="3" t="n"/>
      <c r="V394" s="3" t="n"/>
      <c r="W394" s="3" t="n"/>
      <c r="X394" s="3" t="n"/>
      <c r="Y394" s="3" t="n"/>
      <c r="Z394" s="3" t="n"/>
      <c r="AA394" s="3" t="n"/>
      <c r="AB394" s="3" t="n"/>
      <c r="AC394" s="3" t="n"/>
      <c r="AD394" s="3" t="n"/>
      <c r="AE394" s="3" t="n"/>
      <c r="AF394" s="3" t="n"/>
      <c r="AG394" s="3" t="n"/>
      <c r="AH394" s="3" t="n"/>
      <c r="AI394" s="3" t="n"/>
      <c r="AJ394" s="3" t="n"/>
      <c r="AK394" s="3" t="n"/>
      <c r="AL394" s="3" t="n"/>
      <c r="AM394" s="3" t="n"/>
      <c r="AN394" s="3" t="n"/>
      <c r="AO394" s="3" t="n"/>
      <c r="AP394" s="3" t="n"/>
      <c r="AQ394" s="3" t="n"/>
      <c r="AR394" s="3" t="n"/>
      <c r="AS394" s="3" t="n">
        <v>9.693320274353029</v>
      </c>
      <c r="AT394" s="3" t="n">
        <v>10.0586099624634</v>
      </c>
      <c r="AU394" s="3" t="n">
        <v>11.6075401306152</v>
      </c>
      <c r="AV394" s="3" t="n"/>
      <c r="AW394" s="3" t="n"/>
      <c r="AX394" s="3" t="n"/>
      <c r="AY394" s="3" t="n"/>
      <c r="AZ394" s="3" t="n"/>
      <c r="BA394" s="3" t="n"/>
      <c r="BB394" s="3" t="n"/>
      <c r="BC394" s="3" t="n"/>
      <c r="BD394" s="3" t="n"/>
      <c r="BE394" s="3" t="n">
        <v>13.0445995330811</v>
      </c>
      <c r="BF394" s="3" t="n">
        <v>13.4276657104492</v>
      </c>
      <c r="BG394" s="3" t="n">
        <v>13.2189998626709</v>
      </c>
      <c r="BH394" s="3" t="n">
        <v>12.9530000686646</v>
      </c>
      <c r="BI394" s="3" t="n">
        <v>12.1140003204346</v>
      </c>
      <c r="BJ394" s="3" t="n">
        <v>13.4829998016357</v>
      </c>
      <c r="BK394" s="3" t="n">
        <v>13.5749998092651</v>
      </c>
      <c r="BL394" s="3" t="n">
        <v>15.3769998550415</v>
      </c>
      <c r="BM394" s="3" t="n">
        <v>13.7686548233032</v>
      </c>
      <c r="BN394" s="3" t="n"/>
      <c r="BO394" s="3" t="n">
        <v>14.1951599121094</v>
      </c>
      <c r="BP394" s="3" t="n"/>
      <c r="BQ394" s="3" t="n"/>
      <c r="BR394" s="34" t="str">
        <f>B394&amp;"|"&amp;D394</f>
        <v>KIR|SE.XPD.TOTL.GD.ZS</v>
      </c>
    </row>
    <row r="395">
      <c r="A395" s="3" t="inlineStr">
        <is>
          <t>St. Kitts and Nevis</t>
        </is>
      </c>
      <c r="B395" s="3" t="inlineStr">
        <is>
          <t>KNA</t>
        </is>
      </c>
      <c r="C395" s="3" t="inlineStr">
        <is>
          <t>Government expenditure on education, total (% of GDP)</t>
        </is>
      </c>
      <c r="D395" s="3" t="inlineStr">
        <is>
          <t>SE.XPD.TOTL.GD.ZS</t>
        </is>
      </c>
      <c r="E395" s="3" t="n">
        <v>2022</v>
      </c>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c r="AD395" s="3" t="n"/>
      <c r="AE395" s="3" t="n">
        <v>3.96502995491028</v>
      </c>
      <c r="AF395" s="3" t="n"/>
      <c r="AG395" s="3" t="n">
        <v>2.64112997055054</v>
      </c>
      <c r="AH395" s="3" t="n"/>
      <c r="AI395" s="3" t="n">
        <v>2.19795989990234</v>
      </c>
      <c r="AJ395" s="3" t="n"/>
      <c r="AK395" s="3" t="n">
        <v>1.99845004081726</v>
      </c>
      <c r="AL395" s="3" t="n">
        <v>2.30386996269226</v>
      </c>
      <c r="AM395" s="3" t="n"/>
      <c r="AN395" s="3" t="n"/>
      <c r="AO395" s="3" t="n">
        <v>2.57641005516052</v>
      </c>
      <c r="AP395" s="3" t="n"/>
      <c r="AQ395" s="3" t="n"/>
      <c r="AR395" s="3" t="n">
        <v>4.02056980133057</v>
      </c>
      <c r="AS395" s="3" t="n">
        <v>3.32266998291016</v>
      </c>
      <c r="AT395" s="3" t="n">
        <v>4.74038982391357</v>
      </c>
      <c r="AU395" s="3" t="n">
        <v>4.42154979705811</v>
      </c>
      <c r="AV395" s="3" t="n">
        <v>3.92051005363464</v>
      </c>
      <c r="AW395" s="3" t="n">
        <v>3.79099011421204</v>
      </c>
      <c r="AX395" s="3" t="n">
        <v>3.9713499546051</v>
      </c>
      <c r="AY395" s="3" t="n">
        <v>3.83144998550415</v>
      </c>
      <c r="AZ395" s="3" t="n">
        <v>4.05925989151001</v>
      </c>
      <c r="BA395" s="3" t="n">
        <v>4.1938099861145</v>
      </c>
      <c r="BB395" s="3" t="n"/>
      <c r="BC395" s="3" t="n"/>
      <c r="BD395" s="3" t="n">
        <v>2.94405817985535</v>
      </c>
      <c r="BE395" s="3" t="n">
        <v>2.75111293792725</v>
      </c>
      <c r="BF395" s="3" t="n">
        <v>3.18290591239929</v>
      </c>
      <c r="BG395" s="3" t="n">
        <v>2.8204824924469</v>
      </c>
      <c r="BH395" s="3" t="n">
        <v>2.83455610275269</v>
      </c>
      <c r="BI395" s="3" t="n">
        <v>2.54938006401062</v>
      </c>
      <c r="BJ395" s="3" t="n">
        <v>3.12435936927795</v>
      </c>
      <c r="BK395" s="3" t="n">
        <v>3.15901589393616</v>
      </c>
      <c r="BL395" s="3" t="n">
        <v>3.03419542312622</v>
      </c>
      <c r="BM395" s="3" t="n">
        <v>2.98651361465454</v>
      </c>
      <c r="BN395" s="3" t="n">
        <v>3.10357975959778</v>
      </c>
      <c r="BO395" s="3" t="n">
        <v>2.78379011154175</v>
      </c>
      <c r="BP395" s="3" t="n">
        <v>3.63147068023682</v>
      </c>
      <c r="BQ395" s="3" t="n"/>
      <c r="BR395" s="34" t="str">
        <f>B395&amp;"|"&amp;D395</f>
        <v>KNA|SE.XPD.TOTL.GD.ZS</v>
      </c>
    </row>
    <row r="396">
      <c r="A396" s="3" t="inlineStr">
        <is>
          <t>Korea, Rep.</t>
        </is>
      </c>
      <c r="B396" s="3" t="inlineStr">
        <is>
          <t>KOR</t>
        </is>
      </c>
      <c r="C396" s="3" t="inlineStr">
        <is>
          <t>Government expenditure on education, total (% of GDP)</t>
        </is>
      </c>
      <c r="D396" s="3" t="inlineStr">
        <is>
          <t>SE.XPD.TOTL.GD.ZS</t>
        </is>
      </c>
      <c r="E396" s="3" t="n">
        <v>2021</v>
      </c>
      <c r="F396" s="3" t="n"/>
      <c r="G396" s="3" t="n"/>
      <c r="H396" s="3" t="n"/>
      <c r="I396" s="3" t="n"/>
      <c r="J396" s="3" t="n"/>
      <c r="K396" s="3" t="n"/>
      <c r="L396" s="3" t="n"/>
      <c r="M396" s="3" t="n"/>
      <c r="N396" s="3" t="n"/>
      <c r="O396" s="3" t="n"/>
      <c r="P396" s="3" t="n">
        <v>3.41404008865356</v>
      </c>
      <c r="Q396" s="3" t="n">
        <v>3.73918008804321</v>
      </c>
      <c r="R396" s="3" t="n">
        <v>3.22075009346008</v>
      </c>
      <c r="S396" s="3" t="n">
        <v>2.68021988868713</v>
      </c>
      <c r="T396" s="3" t="n"/>
      <c r="U396" s="3" t="n">
        <v>2.08925008773804</v>
      </c>
      <c r="V396" s="3" t="n">
        <v>2.75457000732422</v>
      </c>
      <c r="W396" s="3" t="n">
        <v>2.42641997337341</v>
      </c>
      <c r="X396" s="3" t="n"/>
      <c r="Y396" s="3" t="n">
        <v>3.01883006095886</v>
      </c>
      <c r="Z396" s="3" t="n">
        <v>3.45873999595642</v>
      </c>
      <c r="AA396" s="3" t="n">
        <v>2.89862990379333</v>
      </c>
      <c r="AB396" s="3" t="n">
        <v>6.32966995239258</v>
      </c>
      <c r="AC396" s="3" t="n">
        <v>4.31538009643555</v>
      </c>
      <c r="AD396" s="3" t="n">
        <v>4.00532007217407</v>
      </c>
      <c r="AE396" s="3" t="n">
        <v>3.98644995689392</v>
      </c>
      <c r="AF396" s="3" t="n">
        <v>3.63594007492065</v>
      </c>
      <c r="AG396" s="3" t="n">
        <v>3.37423992156982</v>
      </c>
      <c r="AH396" s="3" t="n">
        <v>2.74737000465393</v>
      </c>
      <c r="AI396" s="3" t="n">
        <v>3.06262993812561</v>
      </c>
      <c r="AJ396" s="3" t="n">
        <v>3.03873991966248</v>
      </c>
      <c r="AK396" s="3" t="n">
        <v>3.48924994468689</v>
      </c>
      <c r="AL396" s="3" t="n">
        <v>3.57788991928101</v>
      </c>
      <c r="AM396" s="3" t="n">
        <v>3.69697999954224</v>
      </c>
      <c r="AN396" s="3" t="n">
        <v>3.01831007003784</v>
      </c>
      <c r="AO396" s="3" t="n">
        <v>2.93543004989624</v>
      </c>
      <c r="AP396" s="3" t="n"/>
      <c r="AQ396" s="3" t="n"/>
      <c r="AR396" s="3" t="n">
        <v>3.36813998222351</v>
      </c>
      <c r="AS396" s="3" t="n">
        <v>3.3692901134491</v>
      </c>
      <c r="AT396" s="3" t="n"/>
      <c r="AU396" s="3" t="n"/>
      <c r="AV396" s="3" t="n"/>
      <c r="AW396" s="3" t="n"/>
      <c r="AX396" s="3" t="n"/>
      <c r="AY396" s="3" t="n"/>
      <c r="AZ396" s="3" t="n"/>
      <c r="BA396" s="3" t="n"/>
      <c r="BB396" s="3" t="n"/>
      <c r="BC396" s="3" t="n">
        <v>3.91358160972595</v>
      </c>
      <c r="BD396" s="3" t="n">
        <v>3.52756690979004</v>
      </c>
      <c r="BE396" s="3" t="n"/>
      <c r="BF396" s="3" t="n"/>
      <c r="BG396" s="3" t="n"/>
      <c r="BH396" s="3" t="n"/>
      <c r="BI396" s="3" t="n">
        <v>4.45423984527588</v>
      </c>
      <c r="BJ396" s="3" t="n">
        <v>4.33309984207153</v>
      </c>
      <c r="BK396" s="3" t="n">
        <v>4.32823991775513</v>
      </c>
      <c r="BL396" s="3" t="n">
        <v>4.45807981491089</v>
      </c>
      <c r="BM396" s="3" t="n">
        <v>4.68465995788574</v>
      </c>
      <c r="BN396" s="3" t="n">
        <v>4.8017201423645</v>
      </c>
      <c r="BO396" s="3" t="n">
        <v>4.86627006530762</v>
      </c>
      <c r="BP396" s="3" t="n"/>
      <c r="BQ396" s="3" t="n"/>
      <c r="BR396" s="34" t="str">
        <f>B396&amp;"|"&amp;D396</f>
        <v>KOR|SE.XPD.TOTL.GD.ZS</v>
      </c>
    </row>
    <row r="397">
      <c r="A397" s="3" t="inlineStr">
        <is>
          <t>Kuwait</t>
        </is>
      </c>
      <c r="B397" s="3" t="inlineStr">
        <is>
          <t>KWT</t>
        </is>
      </c>
      <c r="C397" s="3" t="inlineStr">
        <is>
          <t>Government expenditure on education, total (% of GDP)</t>
        </is>
      </c>
      <c r="D397" s="3" t="inlineStr">
        <is>
          <t>SE.XPD.TOTL.GD.ZS</t>
        </is>
      </c>
      <c r="E397" s="3" t="n">
        <v>2023</v>
      </c>
      <c r="F397" s="3" t="n"/>
      <c r="G397" s="3" t="n"/>
      <c r="H397" s="3" t="n"/>
      <c r="I397" s="3" t="n"/>
      <c r="J397" s="3" t="n"/>
      <c r="K397" s="3" t="n"/>
      <c r="L397" s="3" t="n"/>
      <c r="M397" s="3" t="n"/>
      <c r="N397" s="3" t="n"/>
      <c r="O397" s="3" t="n"/>
      <c r="P397" s="3" t="n"/>
      <c r="Q397" s="3" t="n">
        <v>3.28733992576599</v>
      </c>
      <c r="R397" s="3" t="n">
        <v>2.81574988365173</v>
      </c>
      <c r="S397" s="3" t="n">
        <v>3.30368995666504</v>
      </c>
      <c r="T397" s="3" t="n">
        <v>3.52160000801086</v>
      </c>
      <c r="U397" s="3" t="n">
        <v>2.13554000854492</v>
      </c>
      <c r="V397" s="3" t="n">
        <v>3.11508011817932</v>
      </c>
      <c r="W397" s="3" t="n">
        <v>3.36866998672485</v>
      </c>
      <c r="X397" s="3" t="n">
        <v>4.08185005187988</v>
      </c>
      <c r="Y397" s="3" t="n">
        <v>3.42856001853943</v>
      </c>
      <c r="Z397" s="3" t="n">
        <v>2.79101991653442</v>
      </c>
      <c r="AA397" s="3" t="n">
        <v>2.71914005279541</v>
      </c>
      <c r="AB397" s="3" t="n">
        <v>3.0335099697113</v>
      </c>
      <c r="AC397" s="3" t="n">
        <v>5.09027004241943</v>
      </c>
      <c r="AD397" s="3" t="n">
        <v>5.14888000488281</v>
      </c>
      <c r="AE397" s="3" t="n">
        <v>5.00761985778809</v>
      </c>
      <c r="AF397" s="3" t="n">
        <v>5.40083980560303</v>
      </c>
      <c r="AG397" s="3" t="n"/>
      <c r="AH397" s="3" t="n"/>
      <c r="AI397" s="3" t="n"/>
      <c r="AJ397" s="3" t="n"/>
      <c r="AK397" s="3" t="n"/>
      <c r="AL397" s="3" t="n">
        <v>14.1988296508789</v>
      </c>
      <c r="AM397" s="3" t="n"/>
      <c r="AN397" s="3" t="n"/>
      <c r="AO397" s="3" t="n"/>
      <c r="AP397" s="3" t="n">
        <v>5.85961008071899</v>
      </c>
      <c r="AQ397" s="3" t="n">
        <v>5.5826301574707</v>
      </c>
      <c r="AR397" s="3" t="n"/>
      <c r="AS397" s="3" t="n"/>
      <c r="AT397" s="3" t="n"/>
      <c r="AU397" s="3" t="n">
        <v>6.5858302116394</v>
      </c>
      <c r="AV397" s="3" t="n">
        <v>6.551109790802</v>
      </c>
      <c r="AW397" s="3" t="n">
        <v>5.2112922668457</v>
      </c>
      <c r="AX397" s="3" t="n">
        <v>5.53506994247437</v>
      </c>
      <c r="AY397" s="3" t="n">
        <v>4.73833990097046</v>
      </c>
      <c r="AZ397" s="3" t="n">
        <v>3.75997996330261</v>
      </c>
      <c r="BA397" s="3" t="n"/>
      <c r="BB397" s="3" t="n"/>
      <c r="BC397" s="3" t="n"/>
      <c r="BD397" s="3" t="n"/>
      <c r="BE397" s="3" t="n"/>
      <c r="BF397" s="3" t="n"/>
      <c r="BG397" s="3" t="n"/>
      <c r="BH397" s="3" t="n"/>
      <c r="BI397" s="3" t="n"/>
      <c r="BJ397" s="3" t="n">
        <v>5.95593976974487</v>
      </c>
      <c r="BK397" s="3" t="n">
        <v>6.35444211959839</v>
      </c>
      <c r="BL397" s="3" t="n">
        <v>6.39165258407593</v>
      </c>
      <c r="BM397" s="3" t="n">
        <v>6.72789573669434</v>
      </c>
      <c r="BN397" s="3" t="n">
        <v>6.24513053894043</v>
      </c>
      <c r="BO397" s="3" t="n">
        <v>7.76246690750122</v>
      </c>
      <c r="BP397" s="3" t="n">
        <v>6.58236503601074</v>
      </c>
      <c r="BQ397" s="3" t="n">
        <v>5.02626085281372</v>
      </c>
      <c r="BR397" s="34" t="str">
        <f>B397&amp;"|"&amp;D397</f>
        <v>KWT|SE.XPD.TOTL.GD.ZS</v>
      </c>
    </row>
    <row r="398">
      <c r="A398" s="3" t="inlineStr">
        <is>
          <t>Latin America &amp; Caribbean (excluding high income)</t>
        </is>
      </c>
      <c r="B398" s="3" t="inlineStr">
        <is>
          <t>LAC</t>
        </is>
      </c>
      <c r="C398" s="3" t="inlineStr">
        <is>
          <t>Government expenditure on education, total (% of GDP)</t>
        </is>
      </c>
      <c r="D398" s="3" t="inlineStr">
        <is>
          <t>SE.XPD.TOTL.GD.ZS</t>
        </is>
      </c>
      <c r="E398" s="3" t="n">
        <v>2022</v>
      </c>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c r="AD398" s="3" t="n"/>
      <c r="AE398" s="3" t="n"/>
      <c r="AF398" s="3" t="n"/>
      <c r="AG398" s="3" t="n"/>
      <c r="AH398" s="3" t="n"/>
      <c r="AI398" s="3" t="n"/>
      <c r="AJ398" s="3" t="n"/>
      <c r="AK398" s="3" t="n"/>
      <c r="AL398" s="3" t="n"/>
      <c r="AM398" s="3" t="n"/>
      <c r="AN398" s="3" t="n"/>
      <c r="AO398" s="3" t="n"/>
      <c r="AP398" s="3" t="n"/>
      <c r="AQ398" s="3" t="n"/>
      <c r="AR398" s="3" t="n">
        <v>3.602309942245485</v>
      </c>
      <c r="AS398" s="3" t="n">
        <v>3.80062007904053</v>
      </c>
      <c r="AT398" s="3" t="n">
        <v>3.80870008468628</v>
      </c>
      <c r="AU398" s="3" t="n">
        <v>3.93801009654999</v>
      </c>
      <c r="AV398" s="3" t="n">
        <v>3.883855104446415</v>
      </c>
      <c r="AW398" s="3" t="n">
        <v>3.53504991531372</v>
      </c>
      <c r="AX398" s="3" t="n">
        <v>3.97447991371155</v>
      </c>
      <c r="AY398" s="3" t="n"/>
      <c r="AZ398" s="3" t="n">
        <v>4.4931697845459</v>
      </c>
      <c r="BA398" s="3" t="n">
        <v>4.47091007232666</v>
      </c>
      <c r="BB398" s="3" t="n">
        <v>4.86568999290466</v>
      </c>
      <c r="BC398" s="3" t="n">
        <v>5.49730014801025</v>
      </c>
      <c r="BD398" s="3" t="n">
        <v>4.768620014190676</v>
      </c>
      <c r="BE398" s="3" t="n">
        <v>4.824154853820801</v>
      </c>
      <c r="BF398" s="3" t="n">
        <v>5.34582996368408</v>
      </c>
      <c r="BG398" s="3" t="n">
        <v>5.183295011520386</v>
      </c>
      <c r="BH398" s="3" t="n">
        <v>5.1391499042511</v>
      </c>
      <c r="BI398" s="3" t="n">
        <v>5.07828998565674</v>
      </c>
      <c r="BJ398" s="3" t="n">
        <v>4.560353994369505</v>
      </c>
      <c r="BK398" s="3" t="n">
        <v>4.39752006530762</v>
      </c>
      <c r="BL398" s="3" t="n">
        <v>4.13945007324219</v>
      </c>
      <c r="BM398" s="3" t="n">
        <v>4.59991979598999</v>
      </c>
      <c r="BN398" s="3" t="n">
        <v>4.51769828796387</v>
      </c>
      <c r="BO398" s="3" t="n">
        <v>4.16809344291687</v>
      </c>
      <c r="BP398" s="3" t="n">
        <v>3.813961505889895</v>
      </c>
      <c r="BQ398" s="3" t="n"/>
      <c r="BR398" s="34" t="str">
        <f>B398&amp;"|"&amp;D398</f>
        <v>LAC|SE.XPD.TOTL.GD.ZS</v>
      </c>
    </row>
    <row r="399">
      <c r="A399" s="3" t="inlineStr">
        <is>
          <t>Lao PDR</t>
        </is>
      </c>
      <c r="B399" s="3" t="inlineStr">
        <is>
          <t>LAO</t>
        </is>
      </c>
      <c r="C399" s="3" t="inlineStr">
        <is>
          <t>Government expenditure on education, total (% of GDP)</t>
        </is>
      </c>
      <c r="D399" s="3" t="inlineStr">
        <is>
          <t>SE.XPD.TOTL.GD.ZS</t>
        </is>
      </c>
      <c r="E399" s="3" t="n">
        <v>2023</v>
      </c>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c r="AD399" s="3" t="n"/>
      <c r="AE399" s="3" t="n"/>
      <c r="AF399" s="3" t="n"/>
      <c r="AG399" s="3" t="n"/>
      <c r="AH399" s="3" t="n"/>
      <c r="AI399" s="3" t="n"/>
      <c r="AJ399" s="3" t="n"/>
      <c r="AK399" s="3" t="n"/>
      <c r="AL399" s="3" t="n">
        <v>2.33456993103027</v>
      </c>
      <c r="AM399" s="3" t="n"/>
      <c r="AN399" s="3" t="n"/>
      <c r="AO399" s="3" t="n"/>
      <c r="AP399" s="3" t="n">
        <v>2.42974996566772</v>
      </c>
      <c r="AQ399" s="3" t="n">
        <v>2.13019990921021</v>
      </c>
      <c r="AR399" s="3" t="n"/>
      <c r="AS399" s="3" t="n"/>
      <c r="AT399" s="3" t="n">
        <v>1.50369000434875</v>
      </c>
      <c r="AU399" s="3" t="n">
        <v>1.9902800321579</v>
      </c>
      <c r="AV399" s="3" t="n">
        <v>2.82522010803223</v>
      </c>
      <c r="AW399" s="3" t="n"/>
      <c r="AX399" s="3" t="n">
        <v>2.41300010681152</v>
      </c>
      <c r="AY399" s="3" t="n">
        <v>2.4140899181366</v>
      </c>
      <c r="AZ399" s="3" t="n">
        <v>2.95879006385803</v>
      </c>
      <c r="BA399" s="3" t="n">
        <v>3.07841992378235</v>
      </c>
      <c r="BB399" s="3" t="n">
        <v>2.27854990959167</v>
      </c>
      <c r="BC399" s="3" t="n">
        <v>1.65485000610352</v>
      </c>
      <c r="BD399" s="3" t="n">
        <v>1.70978999137878</v>
      </c>
      <c r="BE399" s="3" t="n">
        <v>1.70801997184753</v>
      </c>
      <c r="BF399" s="3" t="n">
        <v>1.82147002220154</v>
      </c>
      <c r="BG399" s="3" t="n">
        <v>3.23380994796753</v>
      </c>
      <c r="BH399" s="3" t="n">
        <v>2.93780994415283</v>
      </c>
      <c r="BI399" s="3" t="n">
        <v>2.73689794540405</v>
      </c>
      <c r="BJ399" s="3" t="n">
        <v>2.77442979812622</v>
      </c>
      <c r="BK399" s="3" t="n">
        <v>2.4979727268219</v>
      </c>
      <c r="BL399" s="3" t="n">
        <v>2.33501219749451</v>
      </c>
      <c r="BM399" s="3" t="n">
        <v>2.12201404571533</v>
      </c>
      <c r="BN399" s="3" t="n">
        <v>1.91597270965576</v>
      </c>
      <c r="BO399" s="3" t="n">
        <v>1.85949182510376</v>
      </c>
      <c r="BP399" s="3" t="n">
        <v>1.46083438396454</v>
      </c>
      <c r="BQ399" s="3" t="n">
        <v>1.23375165462494</v>
      </c>
      <c r="BR399" s="34" t="str">
        <f>B399&amp;"|"&amp;D399</f>
        <v>LAO|SE.XPD.TOTL.GD.ZS</v>
      </c>
    </row>
    <row r="400">
      <c r="A400" s="3" t="inlineStr">
        <is>
          <t>Lebanon</t>
        </is>
      </c>
      <c r="B400" s="3" t="inlineStr">
        <is>
          <t>LBN</t>
        </is>
      </c>
      <c r="C400" s="3" t="inlineStr">
        <is>
          <t>Government expenditure on education, total (% of GDP)</t>
        </is>
      </c>
      <c r="D400" s="3" t="inlineStr">
        <is>
          <t>SE.XPD.TOTL.GD.ZS</t>
        </is>
      </c>
      <c r="E400" s="3" t="n">
        <v>2020</v>
      </c>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c r="AD400" s="3" t="n"/>
      <c r="AE400" s="3" t="n"/>
      <c r="AF400" s="3" t="n"/>
      <c r="AG400" s="3" t="n"/>
      <c r="AH400" s="3" t="n"/>
      <c r="AI400" s="3" t="n"/>
      <c r="AJ400" s="3" t="n"/>
      <c r="AK400" s="3" t="n"/>
      <c r="AL400" s="3" t="n"/>
      <c r="AM400" s="3" t="n">
        <v>1.66651999950409</v>
      </c>
      <c r="AN400" s="3" t="n">
        <v>1.93125998973846</v>
      </c>
      <c r="AO400" s="3" t="n">
        <v>2.22463011741638</v>
      </c>
      <c r="AP400" s="3" t="n">
        <v>2.0846700668335</v>
      </c>
      <c r="AQ400" s="3" t="n"/>
      <c r="AR400" s="3" t="n"/>
      <c r="AS400" s="3" t="n"/>
      <c r="AT400" s="3" t="n"/>
      <c r="AU400" s="3" t="n">
        <v>2.84148001670837</v>
      </c>
      <c r="AV400" s="3" t="n">
        <v>2.55271005630493</v>
      </c>
      <c r="AW400" s="3" t="n"/>
      <c r="AX400" s="3" t="n">
        <v>2.64094996452332</v>
      </c>
      <c r="AY400" s="3" t="n">
        <v>2.64618992805481</v>
      </c>
      <c r="AZ400" s="3" t="n">
        <v>2.77975988388062</v>
      </c>
      <c r="BA400" s="3" t="n">
        <v>2.58357000350952</v>
      </c>
      <c r="BB400" s="3" t="n">
        <v>2.01479005813599</v>
      </c>
      <c r="BC400" s="3" t="n">
        <v>1.76570999622345</v>
      </c>
      <c r="BD400" s="3" t="n">
        <v>1.61330997943878</v>
      </c>
      <c r="BE400" s="3" t="n">
        <v>1.65251994132996</v>
      </c>
      <c r="BF400" s="3" t="n">
        <v>2.14902997016907</v>
      </c>
      <c r="BG400" s="3" t="n">
        <v>2.43396997451782</v>
      </c>
      <c r="BH400" s="3" t="n"/>
      <c r="BI400" s="3" t="n"/>
      <c r="BJ400" s="3" t="n">
        <v>2.12633323669434</v>
      </c>
      <c r="BK400" s="3" t="n">
        <v>2.13748621940613</v>
      </c>
      <c r="BL400" s="3" t="n">
        <v>2.52722072601318</v>
      </c>
      <c r="BM400" s="3" t="n">
        <v>2.60026550292969</v>
      </c>
      <c r="BN400" s="3" t="n">
        <v>1.66996812820435</v>
      </c>
      <c r="BO400" s="3" t="n"/>
      <c r="BP400" s="3" t="n"/>
      <c r="BQ400" s="3" t="n"/>
      <c r="BR400" s="34" t="str">
        <f>B400&amp;"|"&amp;D400</f>
        <v>LBN|SE.XPD.TOTL.GD.ZS</v>
      </c>
    </row>
    <row r="401">
      <c r="A401" s="3" t="inlineStr">
        <is>
          <t>Liberia</t>
        </is>
      </c>
      <c r="B401" s="3" t="inlineStr">
        <is>
          <t>LBR</t>
        </is>
      </c>
      <c r="C401" s="3" t="inlineStr">
        <is>
          <t>Government expenditure on education, total (% of GDP)</t>
        </is>
      </c>
      <c r="D401" s="3" t="inlineStr">
        <is>
          <t>SE.XPD.TOTL.GD.ZS</t>
        </is>
      </c>
      <c r="E401" s="3" t="n">
        <v>2022</v>
      </c>
      <c r="F401" s="3" t="n"/>
      <c r="G401" s="3" t="n"/>
      <c r="H401" s="3" t="n"/>
      <c r="I401" s="3" t="n"/>
      <c r="J401" s="3" t="n"/>
      <c r="K401" s="3" t="n"/>
      <c r="L401" s="3" t="n"/>
      <c r="M401" s="3" t="n"/>
      <c r="N401" s="3" t="n"/>
      <c r="O401" s="3" t="n"/>
      <c r="P401" s="3" t="n"/>
      <c r="Q401" s="3" t="n"/>
      <c r="R401" s="3" t="n"/>
      <c r="S401" s="3" t="n"/>
      <c r="T401" s="3" t="n"/>
      <c r="U401" s="3" t="n"/>
      <c r="V401" s="3" t="n"/>
      <c r="W401" s="3" t="n"/>
      <c r="X401" s="3" t="n">
        <v>6.99484014511108</v>
      </c>
      <c r="Y401" s="3" t="n"/>
      <c r="Z401" s="3" t="n">
        <v>6.25905990600586</v>
      </c>
      <c r="AA401" s="3" t="n"/>
      <c r="AB401" s="3" t="n"/>
      <c r="AC401" s="3" t="n"/>
      <c r="AD401" s="3" t="n"/>
      <c r="AE401" s="3" t="n"/>
      <c r="AF401" s="3" t="n"/>
      <c r="AG401" s="3" t="n"/>
      <c r="AH401" s="3" t="n"/>
      <c r="AI401" s="3" t="n"/>
      <c r="AJ401" s="3" t="n"/>
      <c r="AK401" s="3" t="n"/>
      <c r="AL401" s="3" t="n"/>
      <c r="AM401" s="3" t="n"/>
      <c r="AN401" s="3" t="n"/>
      <c r="AO401" s="3" t="n"/>
      <c r="AP401" s="3" t="n"/>
      <c r="AQ401" s="3" t="n"/>
      <c r="AR401" s="3" t="n"/>
      <c r="AS401" s="3" t="n"/>
      <c r="AT401" s="3" t="n"/>
      <c r="AU401" s="3" t="n"/>
      <c r="AV401" s="3" t="n"/>
      <c r="AW401" s="3" t="n"/>
      <c r="AX401" s="3" t="n"/>
      <c r="AY401" s="3" t="n"/>
      <c r="AZ401" s="3" t="n"/>
      <c r="BA401" s="3" t="n"/>
      <c r="BB401" s="3" t="n">
        <v>1.70166003704071</v>
      </c>
      <c r="BC401" s="3" t="n"/>
      <c r="BD401" s="3" t="n"/>
      <c r="BE401" s="3" t="n"/>
      <c r="BF401" s="3" t="n">
        <v>1.77711999416351</v>
      </c>
      <c r="BG401" s="3" t="n">
        <v>1.69078004360199</v>
      </c>
      <c r="BH401" s="3" t="n">
        <v>2.16898345947266</v>
      </c>
      <c r="BI401" s="3" t="n">
        <v>2.11587476730347</v>
      </c>
      <c r="BJ401" s="3" t="n">
        <v>2.11479687690735</v>
      </c>
      <c r="BK401" s="3" t="n">
        <v>2.24632501602173</v>
      </c>
      <c r="BL401" s="3" t="n">
        <v>2.41389799118042</v>
      </c>
      <c r="BM401" s="3" t="n">
        <v>2.16508197784424</v>
      </c>
      <c r="BN401" s="3" t="n">
        <v>2.13601422309875</v>
      </c>
      <c r="BO401" s="3" t="n">
        <v>2.11186790466309</v>
      </c>
      <c r="BP401" s="3" t="n">
        <v>2.27609586715698</v>
      </c>
      <c r="BQ401" s="3" t="n"/>
      <c r="BR401" s="34" t="str">
        <f>B401&amp;"|"&amp;D401</f>
        <v>LBR|SE.XPD.TOTL.GD.ZS</v>
      </c>
    </row>
    <row r="402">
      <c r="A402" s="3" t="inlineStr">
        <is>
          <t>Libya</t>
        </is>
      </c>
      <c r="B402" s="3" t="inlineStr">
        <is>
          <t>LBY</t>
        </is>
      </c>
      <c r="C402" s="3" t="inlineStr">
        <is>
          <t>Government expenditure on education, total (% of GDP)</t>
        </is>
      </c>
      <c r="D402" s="3" t="inlineStr">
        <is>
          <t>SE.XPD.TOTL.GD.ZS</t>
        </is>
      </c>
      <c r="E402" s="3" t="n">
        <v>1999</v>
      </c>
      <c r="F402" s="3" t="n"/>
      <c r="G402" s="3" t="n"/>
      <c r="H402" s="3" t="n"/>
      <c r="I402" s="3" t="n"/>
      <c r="J402" s="3" t="n"/>
      <c r="K402" s="3" t="n"/>
      <c r="L402" s="3" t="n"/>
      <c r="M402" s="3" t="n"/>
      <c r="N402" s="3" t="n"/>
      <c r="O402" s="3" t="n"/>
      <c r="P402" s="3" t="n"/>
      <c r="Q402" s="3" t="n"/>
      <c r="R402" s="3" t="n"/>
      <c r="S402" s="3" t="n"/>
      <c r="T402" s="3" t="n"/>
      <c r="U402" s="3" t="n"/>
      <c r="V402" s="3" t="n">
        <v>4.63650989532471</v>
      </c>
      <c r="W402" s="3" t="n">
        <v>4.12382984161377</v>
      </c>
      <c r="X402" s="3" t="n"/>
      <c r="Y402" s="3" t="n"/>
      <c r="Z402" s="3" t="n"/>
      <c r="AA402" s="3" t="n"/>
      <c r="AB402" s="3" t="n"/>
      <c r="AC402" s="3" t="n"/>
      <c r="AD402" s="3" t="n"/>
      <c r="AE402" s="3" t="n"/>
      <c r="AF402" s="3" t="n"/>
      <c r="AG402" s="3" t="n"/>
      <c r="AH402" s="3" t="n"/>
      <c r="AI402" s="3" t="n"/>
      <c r="AJ402" s="3" t="n"/>
      <c r="AK402" s="3" t="n"/>
      <c r="AL402" s="3" t="n"/>
      <c r="AM402" s="3" t="n"/>
      <c r="AN402" s="3" t="n"/>
      <c r="AO402" s="3" t="n"/>
      <c r="AP402" s="3" t="n"/>
      <c r="AQ402" s="3" t="n"/>
      <c r="AR402" s="3" t="n"/>
      <c r="AS402" s="3" t="n">
        <v>2.26416993141174</v>
      </c>
      <c r="AT402" s="3" t="n"/>
      <c r="AU402" s="3" t="n"/>
      <c r="AV402" s="3" t="n"/>
      <c r="AW402" s="3" t="n"/>
      <c r="AX402" s="3" t="n"/>
      <c r="AY402" s="3" t="n"/>
      <c r="AZ402" s="3" t="n"/>
      <c r="BA402" s="3" t="n"/>
      <c r="BB402" s="3" t="n"/>
      <c r="BC402" s="3" t="n"/>
      <c r="BD402" s="3" t="n"/>
      <c r="BE402" s="3" t="n"/>
      <c r="BF402" s="3" t="n"/>
      <c r="BG402" s="3" t="n"/>
      <c r="BH402" s="3" t="n"/>
      <c r="BI402" s="3" t="n"/>
      <c r="BJ402" s="3" t="n"/>
      <c r="BK402" s="3" t="n"/>
      <c r="BL402" s="3" t="n"/>
      <c r="BM402" s="3" t="n"/>
      <c r="BN402" s="3" t="n"/>
      <c r="BO402" s="3" t="n"/>
      <c r="BP402" s="3" t="n"/>
      <c r="BQ402" s="3" t="n"/>
      <c r="BR402" s="34" t="str">
        <f>B402&amp;"|"&amp;D402</f>
        <v>LBY|SE.XPD.TOTL.GD.ZS</v>
      </c>
    </row>
    <row r="403">
      <c r="A403" s="3" t="inlineStr">
        <is>
          <t>St. Lucia</t>
        </is>
      </c>
      <c r="B403" s="3" t="inlineStr">
        <is>
          <t>LCA</t>
        </is>
      </c>
      <c r="C403" s="3" t="inlineStr">
        <is>
          <t>Government expenditure on education, total (% of GDP)</t>
        </is>
      </c>
      <c r="D403" s="3" t="inlineStr">
        <is>
          <t>SE.XPD.TOTL.GD.ZS</t>
        </is>
      </c>
      <c r="E403" s="3" t="n">
        <v>2022</v>
      </c>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v>5.53879022598267</v>
      </c>
      <c r="AC403" s="3" t="n"/>
      <c r="AD403" s="3" t="n"/>
      <c r="AE403" s="3" t="n"/>
      <c r="AF403" s="3" t="n">
        <v>4.15467977523804</v>
      </c>
      <c r="AG403" s="3" t="n"/>
      <c r="AH403" s="3" t="n"/>
      <c r="AI403" s="3" t="n"/>
      <c r="AJ403" s="3" t="n"/>
      <c r="AK403" s="3" t="n"/>
      <c r="AL403" s="3" t="n"/>
      <c r="AM403" s="3" t="n"/>
      <c r="AN403" s="3" t="n">
        <v>6.53238010406494</v>
      </c>
      <c r="AO403" s="3" t="n"/>
      <c r="AP403" s="3" t="n"/>
      <c r="AQ403" s="3" t="n"/>
      <c r="AR403" s="3" t="n">
        <v>5.52894020080566</v>
      </c>
      <c r="AS403" s="3" t="n">
        <v>5.44994020462036</v>
      </c>
      <c r="AT403" s="3" t="n"/>
      <c r="AU403" s="3" t="n">
        <v>5.70733022689819</v>
      </c>
      <c r="AV403" s="3" t="n"/>
      <c r="AW403" s="3" t="n">
        <v>3.53449010848999</v>
      </c>
      <c r="AX403" s="3" t="n">
        <v>3.43646001815796</v>
      </c>
      <c r="AY403" s="3" t="n">
        <v>4.23895978927612</v>
      </c>
      <c r="AZ403" s="3" t="n">
        <v>4.69669008255005</v>
      </c>
      <c r="BA403" s="3" t="n"/>
      <c r="BB403" s="3" t="n">
        <v>4.48353004455566</v>
      </c>
      <c r="BC403" s="3" t="n">
        <v>3.0676600933075</v>
      </c>
      <c r="BD403" s="3" t="n">
        <v>3.4828999042511</v>
      </c>
      <c r="BE403" s="3" t="n">
        <v>3.59881997108459</v>
      </c>
      <c r="BF403" s="3" t="n">
        <v>3.29098010063171</v>
      </c>
      <c r="BG403" s="3" t="n">
        <v>3.87661004066467</v>
      </c>
      <c r="BH403" s="3" t="n">
        <v>3.89142990112305</v>
      </c>
      <c r="BI403" s="3" t="n">
        <v>3.88088011741638</v>
      </c>
      <c r="BJ403" s="3" t="n">
        <v>5.20954990386963</v>
      </c>
      <c r="BK403" s="3" t="n">
        <v>3.63334321975708</v>
      </c>
      <c r="BL403" s="3" t="n">
        <v>3.33277988433838</v>
      </c>
      <c r="BM403" s="3" t="n">
        <v>3.27267003059387</v>
      </c>
      <c r="BN403" s="3" t="n">
        <v>3.62086009979248</v>
      </c>
      <c r="BO403" s="3" t="n"/>
      <c r="BP403" s="3" t="n">
        <v>3.69847011566162</v>
      </c>
      <c r="BQ403" s="3" t="n"/>
      <c r="BR403" s="34" t="str">
        <f>B403&amp;"|"&amp;D403</f>
        <v>LCA|SE.XPD.TOTL.GD.ZS</v>
      </c>
    </row>
    <row r="404">
      <c r="A404" s="3" t="inlineStr">
        <is>
          <t>Latin America &amp; Caribbean</t>
        </is>
      </c>
      <c r="B404" s="3" t="inlineStr">
        <is>
          <t>LCN</t>
        </is>
      </c>
      <c r="C404" s="3" t="inlineStr">
        <is>
          <t>Government expenditure on education, total (% of GDP)</t>
        </is>
      </c>
      <c r="D404" s="3" t="inlineStr">
        <is>
          <t>SE.XPD.TOTL.GD.ZS</t>
        </is>
      </c>
      <c r="E404" s="3" t="n">
        <v>2022</v>
      </c>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c r="AD404" s="3" t="n"/>
      <c r="AE404" s="3" t="n"/>
      <c r="AF404" s="3" t="n"/>
      <c r="AG404" s="3" t="n"/>
      <c r="AH404" s="3" t="n"/>
      <c r="AI404" s="3" t="n"/>
      <c r="AJ404" s="3" t="n"/>
      <c r="AK404" s="3" t="n"/>
      <c r="AL404" s="3" t="n"/>
      <c r="AM404" s="3" t="n"/>
      <c r="AN404" s="3" t="n"/>
      <c r="AO404" s="3" t="n">
        <v>2.985085010528565</v>
      </c>
      <c r="AP404" s="3" t="n"/>
      <c r="AQ404" s="3" t="n"/>
      <c r="AR404" s="3" t="n">
        <v>3.27817988395691</v>
      </c>
      <c r="AS404" s="3" t="n">
        <v>3.754505038261415</v>
      </c>
      <c r="AT404" s="3" t="n">
        <v>3.75707006454468</v>
      </c>
      <c r="AU404" s="3" t="n">
        <v>3.84468007087708</v>
      </c>
      <c r="AV404" s="3" t="n">
        <v>3.883855104446415</v>
      </c>
      <c r="AW404" s="3" t="n">
        <v>3.53504991531372</v>
      </c>
      <c r="AX404" s="3" t="n">
        <v>3.74560499191284</v>
      </c>
      <c r="AY404" s="3" t="n"/>
      <c r="AZ404" s="3" t="n">
        <v>3.898635029792785</v>
      </c>
      <c r="BA404" s="3" t="n">
        <v>4.044960141181945</v>
      </c>
      <c r="BB404" s="3" t="n">
        <v>4.725250005722044</v>
      </c>
      <c r="BC404" s="3" t="n">
        <v>5.49730014801025</v>
      </c>
      <c r="BD404" s="3" t="n">
        <v>4.542264938354496</v>
      </c>
      <c r="BE404" s="3" t="n">
        <v>4.105550050735475</v>
      </c>
      <c r="BF404" s="3" t="n">
        <v>4.88348007202148</v>
      </c>
      <c r="BG404" s="3" t="n">
        <v>4.739059925079346</v>
      </c>
      <c r="BH404" s="3" t="n">
        <v>4.75167989730835</v>
      </c>
      <c r="BI404" s="3" t="n">
        <v>4.678646802902225</v>
      </c>
      <c r="BJ404" s="3" t="n">
        <v>4.363474130630495</v>
      </c>
      <c r="BK404" s="3" t="n">
        <v>4.39752006530762</v>
      </c>
      <c r="BL404" s="3" t="n">
        <v>4.13945007324219</v>
      </c>
      <c r="BM404" s="3" t="n">
        <v>4.59991979598999</v>
      </c>
      <c r="BN404" s="3" t="n">
        <v>4.51769828796387</v>
      </c>
      <c r="BO404" s="3" t="n">
        <v>4.16809344291687</v>
      </c>
      <c r="BP404" s="3" t="n">
        <v>3.79476308822632</v>
      </c>
      <c r="BQ404" s="3" t="n"/>
      <c r="BR404" s="34" t="str">
        <f>B404&amp;"|"&amp;D404</f>
        <v>LCN|SE.XPD.TOTL.GD.ZS</v>
      </c>
    </row>
    <row r="405">
      <c r="A405" s="3" t="inlineStr">
        <is>
          <t>Least developed countries: UN classification</t>
        </is>
      </c>
      <c r="B405" s="3" t="inlineStr">
        <is>
          <t>LDC</t>
        </is>
      </c>
      <c r="C405" s="3" t="inlineStr">
        <is>
          <t>Government expenditure on education, total (% of GDP)</t>
        </is>
      </c>
      <c r="D405" s="3" t="inlineStr">
        <is>
          <t>SE.XPD.TOTL.GD.ZS</t>
        </is>
      </c>
      <c r="E405" s="3" t="n">
        <v>2022</v>
      </c>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c r="AD405" s="3" t="n"/>
      <c r="AE405" s="3" t="n"/>
      <c r="AF405" s="3" t="n"/>
      <c r="AG405" s="3" t="n"/>
      <c r="AH405" s="3" t="n"/>
      <c r="AI405" s="3" t="n"/>
      <c r="AJ405" s="3" t="n"/>
      <c r="AK405" s="3" t="n"/>
      <c r="AL405" s="3" t="n"/>
      <c r="AM405" s="3" t="n"/>
      <c r="AN405" s="3" t="n"/>
      <c r="AO405" s="3" t="n"/>
      <c r="AP405" s="3" t="n"/>
      <c r="AQ405" s="3" t="n"/>
      <c r="AR405" s="3" t="n"/>
      <c r="AS405" s="3" t="n">
        <v>2.45981001853943</v>
      </c>
      <c r="AT405" s="3" t="n">
        <v>2.5650200843811</v>
      </c>
      <c r="AU405" s="3" t="n">
        <v>2.66297495365143</v>
      </c>
      <c r="AV405" s="3" t="n">
        <v>2.4695200920105</v>
      </c>
      <c r="AW405" s="3" t="n"/>
      <c r="AX405" s="3" t="n">
        <v>2.689759969711305</v>
      </c>
      <c r="AY405" s="3" t="n">
        <v>2.8372700214386</v>
      </c>
      <c r="AZ405" s="3" t="n">
        <v>2.83097004890442</v>
      </c>
      <c r="BA405" s="3" t="n"/>
      <c r="BB405" s="3" t="n">
        <v>2.750200033187865</v>
      </c>
      <c r="BC405" s="3" t="n">
        <v>2.92000007629395</v>
      </c>
      <c r="BD405" s="3" t="n">
        <v>2.84086501598358</v>
      </c>
      <c r="BE405" s="3" t="n">
        <v>3.09318614006042</v>
      </c>
      <c r="BF405" s="3" t="n">
        <v>2.98175466060638</v>
      </c>
      <c r="BG405" s="3" t="n">
        <v>3.21824812889099</v>
      </c>
      <c r="BH405" s="3" t="n">
        <v>2.98742127418518</v>
      </c>
      <c r="BI405" s="3" t="n">
        <v>3.21439003944397</v>
      </c>
      <c r="BJ405" s="3" t="n">
        <v>2.90522003173828</v>
      </c>
      <c r="BK405" s="3" t="n">
        <v>3.52892374992371</v>
      </c>
      <c r="BL405" s="3" t="n">
        <v>3.32295989990234</v>
      </c>
      <c r="BM405" s="3" t="n">
        <v>3.126032233238225</v>
      </c>
      <c r="BN405" s="3" t="n">
        <v>3.242703199386595</v>
      </c>
      <c r="BO405" s="3" t="n">
        <v>3.11079275608063</v>
      </c>
      <c r="BP405" s="3" t="n">
        <v>3.23824501037598</v>
      </c>
      <c r="BQ405" s="3" t="n"/>
      <c r="BR405" s="34" t="str">
        <f>B405&amp;"|"&amp;D405</f>
        <v>LDC|SE.XPD.TOTL.GD.ZS</v>
      </c>
    </row>
    <row r="406">
      <c r="A406" s="3" t="inlineStr">
        <is>
          <t>Low income</t>
        </is>
      </c>
      <c r="B406" s="3" t="inlineStr">
        <is>
          <t>LIC</t>
        </is>
      </c>
      <c r="C406" s="3" t="inlineStr">
        <is>
          <t>Government expenditure on education, total (% of GDP)</t>
        </is>
      </c>
      <c r="D406" s="3" t="inlineStr">
        <is>
          <t>SE.XPD.TOTL.GD.ZS</t>
        </is>
      </c>
      <c r="E406" s="3" t="n">
        <v>2022</v>
      </c>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c r="AD406" s="3" t="n"/>
      <c r="AE406" s="3" t="n"/>
      <c r="AF406" s="3" t="n"/>
      <c r="AG406" s="3" t="n"/>
      <c r="AH406" s="3" t="n"/>
      <c r="AI406" s="3" t="n"/>
      <c r="AJ406" s="3" t="n"/>
      <c r="AK406" s="3" t="n"/>
      <c r="AL406" s="3" t="n"/>
      <c r="AM406" s="3" t="n"/>
      <c r="AN406" s="3" t="n"/>
      <c r="AO406" s="3" t="n"/>
      <c r="AP406" s="3" t="n"/>
      <c r="AQ406" s="3" t="n"/>
      <c r="AR406" s="3" t="n"/>
      <c r="AS406" s="3" t="n">
        <v>2.64153003692627</v>
      </c>
      <c r="AT406" s="3" t="n">
        <v>2.64670991897583</v>
      </c>
      <c r="AU406" s="3" t="n">
        <v>3.00112497806549</v>
      </c>
      <c r="AV406" s="3" t="n">
        <v>2.8962299823761</v>
      </c>
      <c r="AW406" s="3" t="n"/>
      <c r="AX406" s="3" t="n">
        <v>3.147949934005735</v>
      </c>
      <c r="AY406" s="3" t="n"/>
      <c r="AZ406" s="3" t="n">
        <v>2.83097004890442</v>
      </c>
      <c r="BA406" s="3" t="n"/>
      <c r="BB406" s="3" t="n">
        <v>2.72311997413635</v>
      </c>
      <c r="BC406" s="3" t="n">
        <v>3.080505013465885</v>
      </c>
      <c r="BD406" s="3" t="n">
        <v>2.688735008239745</v>
      </c>
      <c r="BE406" s="3" t="n">
        <v>3.07762002944946</v>
      </c>
      <c r="BF406" s="3" t="n">
        <v>2.7595841884613</v>
      </c>
      <c r="BG406" s="3" t="n">
        <v>3.01273000240326</v>
      </c>
      <c r="BH406" s="3" t="n">
        <v>3.4237699508667</v>
      </c>
      <c r="BI406" s="3" t="n">
        <v>3.350148320198055</v>
      </c>
      <c r="BJ406" s="3" t="n">
        <v>2.934885025024415</v>
      </c>
      <c r="BK406" s="3" t="n">
        <v>3.349897384643555</v>
      </c>
      <c r="BL406" s="3" t="n">
        <v>3.38626492023468</v>
      </c>
      <c r="BM406" s="3" t="n">
        <v>3.52622723579407</v>
      </c>
      <c r="BN406" s="3" t="n">
        <v>3.576571941375735</v>
      </c>
      <c r="BO406" s="3" t="n">
        <v>3.943503618240355</v>
      </c>
      <c r="BP406" s="3" t="n">
        <v>3.76730716228485</v>
      </c>
      <c r="BQ406" s="3" t="n"/>
      <c r="BR406" s="34" t="str">
        <f>B406&amp;"|"&amp;D406</f>
        <v>LIC|SE.XPD.TOTL.GD.ZS</v>
      </c>
    </row>
    <row r="407">
      <c r="A407" s="3" t="inlineStr">
        <is>
          <t>Liechtenstein</t>
        </is>
      </c>
      <c r="B407" s="3" t="inlineStr">
        <is>
          <t>LIE</t>
        </is>
      </c>
      <c r="C407" s="3" t="inlineStr">
        <is>
          <t>Government expenditure on education, total (% of GDP)</t>
        </is>
      </c>
      <c r="D407" s="3" t="inlineStr">
        <is>
          <t>SE.XPD.TOTL.GD.ZS</t>
        </is>
      </c>
      <c r="E407" s="3" t="n">
        <v>2011</v>
      </c>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c r="AD407" s="3" t="n"/>
      <c r="AE407" s="3" t="n"/>
      <c r="AF407" s="3" t="n"/>
      <c r="AG407" s="3" t="n"/>
      <c r="AH407" s="3" t="n"/>
      <c r="AI407" s="3" t="n"/>
      <c r="AJ407" s="3" t="n"/>
      <c r="AK407" s="3" t="n"/>
      <c r="AL407" s="3" t="n"/>
      <c r="AM407" s="3" t="n"/>
      <c r="AN407" s="3" t="n"/>
      <c r="AO407" s="3" t="n"/>
      <c r="AP407" s="3" t="n"/>
      <c r="AQ407" s="3" t="n"/>
      <c r="AR407" s="3" t="n"/>
      <c r="AS407" s="3" t="n"/>
      <c r="AT407" s="3" t="n"/>
      <c r="AU407" s="3" t="n"/>
      <c r="AV407" s="3" t="n"/>
      <c r="AW407" s="3" t="n">
        <v>2.46013998985291</v>
      </c>
      <c r="AX407" s="3" t="n">
        <v>2.43333005905151</v>
      </c>
      <c r="AY407" s="3" t="n"/>
      <c r="AZ407" s="3" t="n">
        <v>2.05380988121033</v>
      </c>
      <c r="BA407" s="3" t="n">
        <v>1.92119002342224</v>
      </c>
      <c r="BB407" s="3" t="n">
        <v>2.04836988449097</v>
      </c>
      <c r="BC407" s="3" t="n"/>
      <c r="BD407" s="3" t="n"/>
      <c r="BE407" s="3" t="n">
        <v>2.55604004859924</v>
      </c>
      <c r="BF407" s="3" t="n"/>
      <c r="BG407" s="3" t="n"/>
      <c r="BH407" s="3" t="n"/>
      <c r="BI407" s="3" t="n"/>
      <c r="BJ407" s="3" t="n"/>
      <c r="BK407" s="3" t="n"/>
      <c r="BL407" s="3" t="n"/>
      <c r="BM407" s="3" t="n"/>
      <c r="BN407" s="3" t="n"/>
      <c r="BO407" s="3" t="n"/>
      <c r="BP407" s="3" t="n"/>
      <c r="BQ407" s="3" t="n"/>
      <c r="BR407" s="34" t="str">
        <f>B407&amp;"|"&amp;D407</f>
        <v>LIE|SE.XPD.TOTL.GD.ZS</v>
      </c>
    </row>
    <row r="408">
      <c r="A408" s="3" t="inlineStr">
        <is>
          <t>Sri Lanka</t>
        </is>
      </c>
      <c r="B408" s="3" t="inlineStr">
        <is>
          <t>LKA</t>
        </is>
      </c>
      <c r="C408" s="3" t="inlineStr">
        <is>
          <t>Government expenditure on education, total (% of GDP)</t>
        </is>
      </c>
      <c r="D408" s="3" t="inlineStr">
        <is>
          <t>SE.XPD.TOTL.GD.ZS</t>
        </is>
      </c>
      <c r="E408" s="3" t="n">
        <v>2023</v>
      </c>
      <c r="F408" s="3" t="n"/>
      <c r="G408" s="3" t="n"/>
      <c r="H408" s="3" t="n"/>
      <c r="I408" s="3" t="n"/>
      <c r="J408" s="3" t="n"/>
      <c r="K408" s="3" t="n"/>
      <c r="L408" s="3" t="n"/>
      <c r="M408" s="3" t="n"/>
      <c r="N408" s="3" t="n"/>
      <c r="O408" s="3" t="n"/>
      <c r="P408" s="3" t="n"/>
      <c r="Q408" s="3" t="n"/>
      <c r="R408" s="3" t="n"/>
      <c r="S408" s="3" t="n">
        <v>3.31640005111694</v>
      </c>
      <c r="T408" s="3" t="n"/>
      <c r="U408" s="3" t="n">
        <v>2.74454998970032</v>
      </c>
      <c r="V408" s="3" t="n"/>
      <c r="W408" s="3" t="n"/>
      <c r="X408" s="3" t="n"/>
      <c r="Y408" s="3" t="n">
        <v>2.56743001937866</v>
      </c>
      <c r="Z408" s="3" t="n">
        <v>2.7041699886322</v>
      </c>
      <c r="AA408" s="3" t="n">
        <v>2.44220995903015</v>
      </c>
      <c r="AB408" s="3" t="n">
        <v>2.55850005149841</v>
      </c>
      <c r="AC408" s="3" t="n">
        <v>2.39060997962952</v>
      </c>
      <c r="AD408" s="3" t="n">
        <v>2.16526007652283</v>
      </c>
      <c r="AE408" s="3" t="n">
        <v>2.5761399269104</v>
      </c>
      <c r="AF408" s="3" t="n">
        <v>2.805419921875</v>
      </c>
      <c r="AG408" s="3" t="n">
        <v>2.64433002471924</v>
      </c>
      <c r="AH408" s="3" t="n">
        <v>2.82635998725891</v>
      </c>
      <c r="AI408" s="3" t="n">
        <v>2.7551600933075</v>
      </c>
      <c r="AJ408" s="3" t="n">
        <v>2.41092991828918</v>
      </c>
      <c r="AK408" s="3" t="n">
        <v>2.91558003425598</v>
      </c>
      <c r="AL408" s="3" t="n"/>
      <c r="AM408" s="3" t="n"/>
      <c r="AN408" s="3" t="n">
        <v>3.10853004455566</v>
      </c>
      <c r="AO408" s="3" t="n">
        <v>2.95760011672974</v>
      </c>
      <c r="AP408" s="3" t="n">
        <v>3.34360003471375</v>
      </c>
      <c r="AQ408" s="3" t="n"/>
      <c r="AR408" s="3" t="n">
        <v>3.05141997337341</v>
      </c>
      <c r="AS408" s="3" t="n"/>
      <c r="AT408" s="3" t="n"/>
      <c r="AU408" s="3" t="n"/>
      <c r="AV408" s="3" t="n"/>
      <c r="AW408" s="3" t="n"/>
      <c r="AX408" s="3" t="n"/>
      <c r="AY408" s="3" t="n"/>
      <c r="AZ408" s="3" t="n"/>
      <c r="BA408" s="3" t="n"/>
      <c r="BB408" s="3" t="n"/>
      <c r="BC408" s="3" t="n">
        <v>2.05590009689331</v>
      </c>
      <c r="BD408" s="3" t="n">
        <v>1.66177999973297</v>
      </c>
      <c r="BE408" s="3" t="n">
        <v>1.74292004108429</v>
      </c>
      <c r="BF408" s="3" t="n">
        <v>1.45342004299164</v>
      </c>
      <c r="BG408" s="3" t="n">
        <v>1.5645899772644</v>
      </c>
      <c r="BH408" s="3" t="n">
        <v>1.85859000682831</v>
      </c>
      <c r="BI408" s="3" t="n">
        <v>2.10998010635376</v>
      </c>
      <c r="BJ408" s="3" t="n">
        <v>3.22929000854492</v>
      </c>
      <c r="BK408" s="3" t="n">
        <v>2.59316992759705</v>
      </c>
      <c r="BL408" s="3" t="n">
        <v>1.98781001567841</v>
      </c>
      <c r="BM408" s="3" t="n"/>
      <c r="BN408" s="3" t="n">
        <v>1.55792391300201</v>
      </c>
      <c r="BO408" s="3" t="n">
        <v>1.50650584697723</v>
      </c>
      <c r="BP408" s="3" t="n">
        <v>1.20397222042084</v>
      </c>
      <c r="BQ408" s="3" t="n">
        <v>1.82774567604065</v>
      </c>
      <c r="BR408" s="34" t="str">
        <f>B408&amp;"|"&amp;D408</f>
        <v>LKA|SE.XPD.TOTL.GD.ZS</v>
      </c>
    </row>
    <row r="409">
      <c r="A409" s="3" t="inlineStr">
        <is>
          <t>Lower middle income</t>
        </is>
      </c>
      <c r="B409" s="3" t="inlineStr">
        <is>
          <t>LMC</t>
        </is>
      </c>
      <c r="C409" s="3" t="inlineStr">
        <is>
          <t>Government expenditure on education, total (% of GDP)</t>
        </is>
      </c>
      <c r="D409" s="3" t="inlineStr">
        <is>
          <t>SE.XPD.TOTL.GD.ZS</t>
        </is>
      </c>
      <c r="E409" s="3" t="n">
        <v>2022</v>
      </c>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c r="AD409" s="3" t="n"/>
      <c r="AE409" s="3" t="n"/>
      <c r="AF409" s="3" t="n"/>
      <c r="AG409" s="3" t="n"/>
      <c r="AH409" s="3" t="n"/>
      <c r="AI409" s="3" t="n"/>
      <c r="AJ409" s="3" t="n"/>
      <c r="AK409" s="3" t="n"/>
      <c r="AL409" s="3" t="n"/>
      <c r="AM409" s="3" t="n"/>
      <c r="AN409" s="3" t="n"/>
      <c r="AO409" s="3" t="n"/>
      <c r="AP409" s="3" t="n"/>
      <c r="AQ409" s="3" t="n"/>
      <c r="AR409" s="3" t="n"/>
      <c r="AS409" s="3" t="n">
        <v>2.908480048179625</v>
      </c>
      <c r="AT409" s="3" t="n">
        <v>2.46335005760193</v>
      </c>
      <c r="AU409" s="3" t="n"/>
      <c r="AV409" s="3" t="n">
        <v>2.82522010803223</v>
      </c>
      <c r="AW409" s="3" t="n">
        <v>2.89977502822876</v>
      </c>
      <c r="AX409" s="3" t="n">
        <v>2.85353004932404</v>
      </c>
      <c r="AY409" s="3" t="n">
        <v>3.276695013046265</v>
      </c>
      <c r="AZ409" s="3" t="n">
        <v>3.14284992218018</v>
      </c>
      <c r="BA409" s="3" t="n"/>
      <c r="BB409" s="3" t="n">
        <v>3.782999992370605</v>
      </c>
      <c r="BC409" s="3" t="n">
        <v>3.6391909122467</v>
      </c>
      <c r="BD409" s="3" t="n">
        <v>3.587185978889465</v>
      </c>
      <c r="BE409" s="3" t="n">
        <v>3.568976402282715</v>
      </c>
      <c r="BF409" s="3" t="n">
        <v>3.856516242027285</v>
      </c>
      <c r="BG409" s="3" t="n">
        <v>3.86999988555908</v>
      </c>
      <c r="BH409" s="3" t="n">
        <v>3.54012322425842</v>
      </c>
      <c r="BI409" s="3" t="n">
        <v>3.59894990921021</v>
      </c>
      <c r="BJ409" s="3" t="n">
        <v>3.473093152046205</v>
      </c>
      <c r="BK409" s="3" t="n">
        <v>3.73344993591309</v>
      </c>
      <c r="BL409" s="3" t="n">
        <v>3.178336501121525</v>
      </c>
      <c r="BM409" s="3" t="n">
        <v>3.4130699634552</v>
      </c>
      <c r="BN409" s="3" t="n">
        <v>3.719806790351865</v>
      </c>
      <c r="BO409" s="3" t="n">
        <v>3.32718992233276</v>
      </c>
      <c r="BP409" s="3" t="n">
        <v>3.44491457939148</v>
      </c>
      <c r="BQ409" s="3" t="n"/>
      <c r="BR409" s="34" t="str">
        <f>B409&amp;"|"&amp;D409</f>
        <v>LMC|SE.XPD.TOTL.GD.ZS</v>
      </c>
    </row>
    <row r="410">
      <c r="A410" s="3" t="inlineStr">
        <is>
          <t>Low &amp; middle income</t>
        </is>
      </c>
      <c r="B410" s="3" t="inlineStr">
        <is>
          <t>LMY</t>
        </is>
      </c>
      <c r="C410" s="3" t="inlineStr">
        <is>
          <t>Government expenditure on education, total (% of GDP)</t>
        </is>
      </c>
      <c r="D410" s="3" t="inlineStr">
        <is>
          <t>SE.XPD.TOTL.GD.ZS</t>
        </is>
      </c>
      <c r="E410" s="3" t="n">
        <v>2022</v>
      </c>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c r="AD410" s="3" t="n"/>
      <c r="AE410" s="3" t="n"/>
      <c r="AF410" s="3" t="n"/>
      <c r="AG410" s="3" t="n"/>
      <c r="AH410" s="3" t="n"/>
      <c r="AI410" s="3" t="n"/>
      <c r="AJ410" s="3" t="n"/>
      <c r="AK410" s="3" t="n"/>
      <c r="AL410" s="3" t="n"/>
      <c r="AM410" s="3" t="n"/>
      <c r="AN410" s="3" t="n"/>
      <c r="AO410" s="3" t="n"/>
      <c r="AP410" s="3" t="n"/>
      <c r="AQ410" s="3" t="n"/>
      <c r="AR410" s="3" t="n"/>
      <c r="AS410" s="3" t="n">
        <v>3.44133996963501</v>
      </c>
      <c r="AT410" s="3" t="n">
        <v>3.343394994735715</v>
      </c>
      <c r="AU410" s="3" t="n">
        <v>3.49296510219574</v>
      </c>
      <c r="AV410" s="3" t="n">
        <v>3.181389927864075</v>
      </c>
      <c r="AW410" s="3" t="n">
        <v>3.292575001716615</v>
      </c>
      <c r="AX410" s="3" t="n">
        <v>3.22751998901367</v>
      </c>
      <c r="AY410" s="3" t="n">
        <v>3.438385009765625</v>
      </c>
      <c r="AZ410" s="3" t="n">
        <v>3.60536003112793</v>
      </c>
      <c r="BA410" s="3" t="n">
        <v>3.51721000671387</v>
      </c>
      <c r="BB410" s="3" t="n">
        <v>3.76082992553711</v>
      </c>
      <c r="BC410" s="3" t="n">
        <v>3.914900064468385</v>
      </c>
      <c r="BD410" s="3" t="n">
        <v>3.547060966491695</v>
      </c>
      <c r="BE410" s="3" t="n">
        <v>3.75423002243042</v>
      </c>
      <c r="BF410" s="3" t="n">
        <v>3.681896209716795</v>
      </c>
      <c r="BG410" s="3" t="n">
        <v>3.812944293022155</v>
      </c>
      <c r="BH410" s="3" t="n">
        <v>3.69560503959656</v>
      </c>
      <c r="BI410" s="3" t="n">
        <v>3.71097993850708</v>
      </c>
      <c r="BJ410" s="3" t="n">
        <v>3.76761746406555</v>
      </c>
      <c r="BK410" s="3" t="n">
        <v>3.76526999473572</v>
      </c>
      <c r="BL410" s="3" t="n">
        <v>3.6420978307724</v>
      </c>
      <c r="BM410" s="3" t="n">
        <v>3.65236973762512</v>
      </c>
      <c r="BN410" s="3" t="n">
        <v>3.99414002895355</v>
      </c>
      <c r="BO410" s="3" t="n">
        <v>3.82175827026367</v>
      </c>
      <c r="BP410" s="3" t="n">
        <v>3.590787529945375</v>
      </c>
      <c r="BQ410" s="3" t="n"/>
      <c r="BR410" s="34" t="str">
        <f>B410&amp;"|"&amp;D410</f>
        <v>LMY|SE.XPD.TOTL.GD.ZS</v>
      </c>
    </row>
    <row r="411">
      <c r="A411" s="3" t="inlineStr">
        <is>
          <t>Lesotho</t>
        </is>
      </c>
      <c r="B411" s="3" t="inlineStr">
        <is>
          <t>LSO</t>
        </is>
      </c>
      <c r="C411" s="3" t="inlineStr">
        <is>
          <t>Government expenditure on education, total (% of GDP)</t>
        </is>
      </c>
      <c r="D411" s="3" t="inlineStr">
        <is>
          <t>SE.XPD.TOTL.GD.ZS</t>
        </is>
      </c>
      <c r="E411" s="3" t="n">
        <v>2023</v>
      </c>
      <c r="F411" s="3" t="n"/>
      <c r="G411" s="3" t="n"/>
      <c r="H411" s="3" t="n"/>
      <c r="I411" s="3" t="n"/>
      <c r="J411" s="3" t="n"/>
      <c r="K411" s="3" t="n"/>
      <c r="L411" s="3" t="n"/>
      <c r="M411" s="3" t="n"/>
      <c r="N411" s="3" t="n"/>
      <c r="O411" s="3" t="n"/>
      <c r="P411" s="3" t="n"/>
      <c r="Q411" s="3" t="n">
        <v>4.64155006408691</v>
      </c>
      <c r="R411" s="3" t="n">
        <v>4.5265097618103</v>
      </c>
      <c r="S411" s="3" t="n">
        <v>4.8665599822998</v>
      </c>
      <c r="T411" s="3" t="n">
        <v>4.23424005508423</v>
      </c>
      <c r="U411" s="3" t="n"/>
      <c r="V411" s="3" t="n"/>
      <c r="W411" s="3" t="n"/>
      <c r="X411" s="3" t="n"/>
      <c r="Y411" s="3" t="n"/>
      <c r="Z411" s="3" t="n"/>
      <c r="AA411" s="3" t="n"/>
      <c r="AB411" s="3" t="n"/>
      <c r="AC411" s="3" t="n">
        <v>10.0969400405884</v>
      </c>
      <c r="AD411" s="3" t="n">
        <v>6.42841005325317</v>
      </c>
      <c r="AE411" s="3" t="n">
        <v>7.08858013153076</v>
      </c>
      <c r="AF411" s="3" t="n"/>
      <c r="AG411" s="3" t="n"/>
      <c r="AH411" s="3" t="n">
        <v>7.21663999557495</v>
      </c>
      <c r="AI411" s="3" t="n">
        <v>6.20228004455566</v>
      </c>
      <c r="AJ411" s="3" t="n"/>
      <c r="AK411" s="3" t="n"/>
      <c r="AL411" s="3" t="n"/>
      <c r="AM411" s="3" t="n">
        <v>8.577030181884769</v>
      </c>
      <c r="AN411" s="3" t="n">
        <v>7.02543020248413</v>
      </c>
      <c r="AO411" s="3" t="n">
        <v>8.640970230102541</v>
      </c>
      <c r="AP411" s="3" t="n"/>
      <c r="AQ411" s="3" t="n">
        <v>11.3640098571777</v>
      </c>
      <c r="AR411" s="3" t="n"/>
      <c r="AS411" s="3" t="n">
        <v>12.4993495941162</v>
      </c>
      <c r="AT411" s="3" t="n">
        <v>10.0915498733521</v>
      </c>
      <c r="AU411" s="3" t="n">
        <v>9.36505031585693</v>
      </c>
      <c r="AV411" s="3" t="n">
        <v>10.1004495620728</v>
      </c>
      <c r="AW411" s="3" t="n">
        <v>13.2195701599121</v>
      </c>
      <c r="AX411" s="3" t="n">
        <v>11.1090097427368</v>
      </c>
      <c r="AY411" s="3" t="n">
        <v>12.0796604156494</v>
      </c>
      <c r="AZ411" s="3" t="n">
        <v>11.2712802886963</v>
      </c>
      <c r="BA411" s="3" t="n"/>
      <c r="BB411" s="3" t="n">
        <v>12.3287401199341</v>
      </c>
      <c r="BC411" s="3" t="n"/>
      <c r="BD411" s="3" t="n"/>
      <c r="BE411" s="3" t="n">
        <v>8.170000076293951</v>
      </c>
      <c r="BF411" s="3" t="n">
        <v>7.67000007629395</v>
      </c>
      <c r="BG411" s="3" t="n">
        <v>7.28999996185303</v>
      </c>
      <c r="BH411" s="3" t="n">
        <v>7.19999980926514</v>
      </c>
      <c r="BI411" s="3" t="n">
        <v>7.64250230789185</v>
      </c>
      <c r="BJ411" s="3" t="n">
        <v>7.55247402191162</v>
      </c>
      <c r="BK411" s="3" t="n">
        <v>7.23117733001709</v>
      </c>
      <c r="BL411" s="3" t="n">
        <v>7.40291881561279</v>
      </c>
      <c r="BM411" s="3" t="n">
        <v>7.19406890869141</v>
      </c>
      <c r="BN411" s="3" t="n">
        <v>6.99799251556396</v>
      </c>
      <c r="BO411" s="3" t="n">
        <v>7.50747919082642</v>
      </c>
      <c r="BP411" s="3" t="n">
        <v>6.43347549438477</v>
      </c>
      <c r="BQ411" s="3" t="n">
        <v>6.69212198257446</v>
      </c>
      <c r="BR411" s="34" t="str">
        <f>B411&amp;"|"&amp;D411</f>
        <v>LSO|SE.XPD.TOTL.GD.ZS</v>
      </c>
    </row>
    <row r="412">
      <c r="A412" s="3" t="inlineStr">
        <is>
          <t>Late-demographic dividend</t>
        </is>
      </c>
      <c r="B412" s="3" t="inlineStr">
        <is>
          <t>LTE</t>
        </is>
      </c>
      <c r="C412" s="3" t="inlineStr">
        <is>
          <t>Government expenditure on education, total (% of GDP)</t>
        </is>
      </c>
      <c r="D412" s="3" t="inlineStr">
        <is>
          <t>SE.XPD.TOTL.GD.ZS</t>
        </is>
      </c>
      <c r="E412" s="3" t="n">
        <v>2022</v>
      </c>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c r="AD412" s="3" t="n"/>
      <c r="AE412" s="3" t="n"/>
      <c r="AF412" s="3" t="n"/>
      <c r="AG412" s="3" t="n"/>
      <c r="AH412" s="3" t="n"/>
      <c r="AI412" s="3" t="n"/>
      <c r="AJ412" s="3" t="n"/>
      <c r="AK412" s="3" t="n"/>
      <c r="AL412" s="3" t="n"/>
      <c r="AM412" s="3" t="n"/>
      <c r="AN412" s="3" t="n"/>
      <c r="AO412" s="3" t="n">
        <v>3.81464004516602</v>
      </c>
      <c r="AP412" s="3" t="n">
        <v>3.78422498703003</v>
      </c>
      <c r="AQ412" s="3" t="n"/>
      <c r="AR412" s="3" t="n">
        <v>4.13832998275757</v>
      </c>
      <c r="AS412" s="3" t="n">
        <v>4.13379001617432</v>
      </c>
      <c r="AT412" s="3" t="n">
        <v>3.85399007797241</v>
      </c>
      <c r="AU412" s="3" t="n">
        <v>3.89494001865387</v>
      </c>
      <c r="AV412" s="3" t="n">
        <v>4.04881000518799</v>
      </c>
      <c r="AW412" s="3" t="n">
        <v>4.207254886627195</v>
      </c>
      <c r="AX412" s="3" t="n">
        <v>4.066230058670046</v>
      </c>
      <c r="AY412" s="3" t="n">
        <v>3.855260014533995</v>
      </c>
      <c r="AZ412" s="3" t="n">
        <v>3.86626005172729</v>
      </c>
      <c r="BA412" s="3" t="n">
        <v>4.291189908981325</v>
      </c>
      <c r="BB412" s="3" t="n">
        <v>4.22755002975464</v>
      </c>
      <c r="BC412" s="3" t="n">
        <v>4.48398017883301</v>
      </c>
      <c r="BD412" s="3" t="n">
        <v>4.18953990936279</v>
      </c>
      <c r="BE412" s="3" t="n">
        <v>4.0617299079895</v>
      </c>
      <c r="BF412" s="3" t="n">
        <v>4.19571113586426</v>
      </c>
      <c r="BG412" s="3" t="n">
        <v>4.296380043029785</v>
      </c>
      <c r="BH412" s="3" t="n">
        <v>4.39433002471924</v>
      </c>
      <c r="BI412" s="3" t="n">
        <v>4.51591181755066</v>
      </c>
      <c r="BJ412" s="3" t="n">
        <v>4.276184797286986</v>
      </c>
      <c r="BK412" s="3" t="n">
        <v>4.25155448913574</v>
      </c>
      <c r="BL412" s="3" t="n">
        <v>4.13194847106934</v>
      </c>
      <c r="BM412" s="3" t="n">
        <v>4.05939483642578</v>
      </c>
      <c r="BN412" s="3" t="n">
        <v>4.51888704299927</v>
      </c>
      <c r="BO412" s="3" t="n">
        <v>4.38569402694702</v>
      </c>
      <c r="BP412" s="3" t="n">
        <v>4.05402755737305</v>
      </c>
      <c r="BQ412" s="3" t="n"/>
      <c r="BR412" s="34" t="str">
        <f>B412&amp;"|"&amp;D412</f>
        <v>LTE|SE.XPD.TOTL.GD.ZS</v>
      </c>
    </row>
    <row r="413">
      <c r="A413" s="3" t="inlineStr">
        <is>
          <t>Lithuania</t>
        </is>
      </c>
      <c r="B413" s="3" t="inlineStr">
        <is>
          <t>LTU</t>
        </is>
      </c>
      <c r="C413" s="3" t="inlineStr">
        <is>
          <t>Government expenditure on education, total (% of GDP)</t>
        </is>
      </c>
      <c r="D413" s="3" t="inlineStr">
        <is>
          <t>SE.XPD.TOTL.GD.ZS</t>
        </is>
      </c>
      <c r="E413" s="3" t="n">
        <v>2021</v>
      </c>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c r="AD413" s="3" t="n"/>
      <c r="AE413" s="3" t="n"/>
      <c r="AF413" s="3" t="n"/>
      <c r="AG413" s="3" t="n"/>
      <c r="AH413" s="3" t="n"/>
      <c r="AI413" s="3" t="n"/>
      <c r="AJ413" s="3" t="n"/>
      <c r="AK413" s="3" t="n"/>
      <c r="AL413" s="3" t="n"/>
      <c r="AM413" s="3" t="n">
        <v>3.94003009796143</v>
      </c>
      <c r="AN413" s="3" t="n">
        <v>4.79561996459961</v>
      </c>
      <c r="AO413" s="3" t="n">
        <v>4.76711988449097</v>
      </c>
      <c r="AP413" s="3" t="n">
        <v>4.84522008895874</v>
      </c>
      <c r="AQ413" s="3" t="n">
        <v>5.45043992996216</v>
      </c>
      <c r="AR413" s="3" t="n">
        <v>6.11644983291626</v>
      </c>
      <c r="AS413" s="3" t="n"/>
      <c r="AT413" s="3" t="n">
        <v>5.97302913665771</v>
      </c>
      <c r="AU413" s="3" t="n">
        <v>5.84758996963501</v>
      </c>
      <c r="AV413" s="3" t="n">
        <v>5.80007982254028</v>
      </c>
      <c r="AW413" s="3" t="n">
        <v>5.11418008804321</v>
      </c>
      <c r="AX413" s="3" t="n">
        <v>5.17428016662598</v>
      </c>
      <c r="AY413" s="3" t="n">
        <v>4.87839984893799</v>
      </c>
      <c r="AZ413" s="3" t="n">
        <v>4.82572984695435</v>
      </c>
      <c r="BA413" s="3" t="n">
        <v>4.59521007537842</v>
      </c>
      <c r="BB413" s="3" t="n">
        <v>4.83990001678467</v>
      </c>
      <c r="BC413" s="3" t="n">
        <v>5.58523988723755</v>
      </c>
      <c r="BD413" s="3" t="n">
        <v>5.29786014556885</v>
      </c>
      <c r="BE413" s="3" t="n">
        <v>5.11343002319336</v>
      </c>
      <c r="BF413" s="3" t="n">
        <v>4.75802993774414</v>
      </c>
      <c r="BG413" s="3" t="n">
        <v>4.60233020782471</v>
      </c>
      <c r="BH413" s="3" t="n">
        <v>4.48657989501953</v>
      </c>
      <c r="BI413" s="3" t="n">
        <v>4.2271900177002</v>
      </c>
      <c r="BJ413" s="3" t="n">
        <v>4.004310131073</v>
      </c>
      <c r="BK413" s="3" t="n">
        <v>3.81220006942749</v>
      </c>
      <c r="BL413" s="3" t="n">
        <v>3.89289999008179</v>
      </c>
      <c r="BM413" s="3" t="n">
        <v>3.9640998840332</v>
      </c>
      <c r="BN413" s="3" t="n">
        <v>4.50859022140503</v>
      </c>
      <c r="BO413" s="3" t="n">
        <v>4.25490999221802</v>
      </c>
      <c r="BP413" s="3" t="n"/>
      <c r="BQ413" s="3" t="n"/>
      <c r="BR413" s="34" t="str">
        <f>B413&amp;"|"&amp;D413</f>
        <v>LTU|SE.XPD.TOTL.GD.ZS</v>
      </c>
    </row>
    <row r="414">
      <c r="A414" s="3" t="inlineStr">
        <is>
          <t>Luxembourg</t>
        </is>
      </c>
      <c r="B414" s="3" t="inlineStr">
        <is>
          <t>LUX</t>
        </is>
      </c>
      <c r="C414" s="3" t="inlineStr">
        <is>
          <t>Government expenditure on education, total (% of GDP)</t>
        </is>
      </c>
      <c r="D414" s="3" t="inlineStr">
        <is>
          <t>SE.XPD.TOTL.GD.ZS</t>
        </is>
      </c>
      <c r="E414" s="3" t="n">
        <v>2022</v>
      </c>
      <c r="F414" s="3" t="n"/>
      <c r="G414" s="3" t="n"/>
      <c r="H414" s="3" t="n"/>
      <c r="I414" s="3" t="n"/>
      <c r="J414" s="3" t="n"/>
      <c r="K414" s="3" t="n"/>
      <c r="L414" s="3" t="n"/>
      <c r="M414" s="3" t="n"/>
      <c r="N414" s="3" t="n"/>
      <c r="O414" s="3" t="n"/>
      <c r="P414" s="3" t="n">
        <v>2.30026006698608</v>
      </c>
      <c r="Q414" s="3" t="n">
        <v>2.85506010055542</v>
      </c>
      <c r="R414" s="3" t="n">
        <v>2.74079990386963</v>
      </c>
      <c r="S414" s="3" t="n">
        <v>2.81235003471375</v>
      </c>
      <c r="T414" s="3" t="n"/>
      <c r="U414" s="3" t="n">
        <v>3.42302989959717</v>
      </c>
      <c r="V414" s="3" t="n">
        <v>3.61462998390198</v>
      </c>
      <c r="W414" s="3" t="n">
        <v>3.69379997253418</v>
      </c>
      <c r="X414" s="3" t="n">
        <v>4.33933019638062</v>
      </c>
      <c r="Y414" s="3" t="n">
        <v>4.40278005599976</v>
      </c>
      <c r="Z414" s="3" t="n">
        <v>4.55202007293701</v>
      </c>
      <c r="AA414" s="3" t="n">
        <v>4.68798017501831</v>
      </c>
      <c r="AB414" s="3" t="n">
        <v>5.2756199836731</v>
      </c>
      <c r="AC414" s="3" t="n">
        <v>3.31966996192932</v>
      </c>
      <c r="AD414" s="3" t="n"/>
      <c r="AE414" s="3" t="n"/>
      <c r="AF414" s="3" t="n">
        <v>3.78981995582581</v>
      </c>
      <c r="AG414" s="3" t="n">
        <v>4.08302021026611</v>
      </c>
      <c r="AH414" s="3" t="n">
        <v>4.014319896698</v>
      </c>
      <c r="AI414" s="3" t="n">
        <v>3.87238001823425</v>
      </c>
      <c r="AJ414" s="3" t="n"/>
      <c r="AK414" s="3" t="n"/>
      <c r="AL414" s="3" t="n"/>
      <c r="AM414" s="3" t="n"/>
      <c r="AN414" s="3" t="n"/>
      <c r="AO414" s="3" t="n">
        <v>3.65909004211426</v>
      </c>
      <c r="AP414" s="3" t="n">
        <v>3.47681999206543</v>
      </c>
      <c r="AQ414" s="3" t="n"/>
      <c r="AR414" s="3" t="n"/>
      <c r="AS414" s="3" t="n"/>
      <c r="AT414" s="3" t="n">
        <v>4.24965620040894</v>
      </c>
      <c r="AU414" s="3" t="n">
        <v>3.53973007202148</v>
      </c>
      <c r="AV414" s="3" t="n">
        <v>4.62219953536987</v>
      </c>
      <c r="AW414" s="3" t="n">
        <v>4.88090658187866</v>
      </c>
      <c r="AX414" s="3" t="n">
        <v>4.9162769317627</v>
      </c>
      <c r="AY414" s="3" t="n">
        <v>4.86388111114502</v>
      </c>
      <c r="AZ414" s="3" t="n">
        <v>4.43285608291626</v>
      </c>
      <c r="BA414" s="3" t="n">
        <v>4.28102445602417</v>
      </c>
      <c r="BB414" s="3" t="n">
        <v>4.33647680282593</v>
      </c>
      <c r="BC414" s="3" t="n">
        <v>4.87690353393555</v>
      </c>
      <c r="BD414" s="3" t="n">
        <v>5.02103185653687</v>
      </c>
      <c r="BE414" s="3" t="n">
        <v>4.99604034423828</v>
      </c>
      <c r="BF414" s="3" t="n">
        <v>3.87815999984741</v>
      </c>
      <c r="BG414" s="3" t="n">
        <v>4.686607837677</v>
      </c>
      <c r="BH414" s="3" t="n">
        <v>3.85569000244141</v>
      </c>
      <c r="BI414" s="3" t="n">
        <v>3.76792001724243</v>
      </c>
      <c r="BJ414" s="3" t="n">
        <v>4.46611595153809</v>
      </c>
      <c r="BK414" s="3" t="n">
        <v>3.48645997047424</v>
      </c>
      <c r="BL414" s="3" t="n">
        <v>3.66211009025574</v>
      </c>
      <c r="BM414" s="3" t="n">
        <v>3.73606991767883</v>
      </c>
      <c r="BN414" s="3" t="n">
        <v>3.85349988937378</v>
      </c>
      <c r="BO414" s="3" t="n">
        <v>3.71989011764526</v>
      </c>
      <c r="BP414" s="3" t="n">
        <v>4.70302200317383</v>
      </c>
      <c r="BQ414" s="3" t="n"/>
      <c r="BR414" s="34" t="str">
        <f>B414&amp;"|"&amp;D414</f>
        <v>LUX|SE.XPD.TOTL.GD.ZS</v>
      </c>
    </row>
    <row r="415">
      <c r="A415" s="3" t="inlineStr">
        <is>
          <t>Latvia</t>
        </is>
      </c>
      <c r="B415" s="3" t="inlineStr">
        <is>
          <t>LVA</t>
        </is>
      </c>
      <c r="C415" s="3" t="inlineStr">
        <is>
          <t>Government expenditure on education, total (% of GDP)</t>
        </is>
      </c>
      <c r="D415" s="3" t="inlineStr">
        <is>
          <t>SE.XPD.TOTL.GD.ZS</t>
        </is>
      </c>
      <c r="E415" s="3" t="n">
        <v>2021</v>
      </c>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c r="AD415" s="3" t="n"/>
      <c r="AE415" s="3" t="n"/>
      <c r="AF415" s="3" t="n"/>
      <c r="AG415" s="3" t="n"/>
      <c r="AH415" s="3" t="n"/>
      <c r="AI415" s="3" t="n"/>
      <c r="AJ415" s="3" t="n">
        <v>3.46597003936768</v>
      </c>
      <c r="AK415" s="3" t="n">
        <v>3.74338006973267</v>
      </c>
      <c r="AL415" s="3" t="n">
        <v>4.16692018508911</v>
      </c>
      <c r="AM415" s="3" t="n"/>
      <c r="AN415" s="3" t="n"/>
      <c r="AO415" s="3" t="n"/>
      <c r="AP415" s="3" t="n">
        <v>5.2575798034668</v>
      </c>
      <c r="AQ415" s="3" t="n">
        <v>5.51279020309448</v>
      </c>
      <c r="AR415" s="3" t="n">
        <v>5.80772018432617</v>
      </c>
      <c r="AS415" s="3" t="n">
        <v>5.53938007354736</v>
      </c>
      <c r="AT415" s="3" t="n">
        <v>5.27427005767822</v>
      </c>
      <c r="AU415" s="3" t="n">
        <v>5.44695997238159</v>
      </c>
      <c r="AV415" s="3" t="n">
        <v>5.60254001617432</v>
      </c>
      <c r="AW415" s="3" t="n">
        <v>5.05714988708496</v>
      </c>
      <c r="AX415" s="3" t="n">
        <v>4.83406019210815</v>
      </c>
      <c r="AY415" s="3" t="n">
        <v>5.29892539978027</v>
      </c>
      <c r="AZ415" s="3" t="n">
        <v>4.68466997146606</v>
      </c>
      <c r="BA415" s="3" t="n">
        <v>4.63328981399536</v>
      </c>
      <c r="BB415" s="3" t="n">
        <v>5.36644983291626</v>
      </c>
      <c r="BC415" s="3" t="n">
        <v>5.52265977859497</v>
      </c>
      <c r="BD415" s="3" t="n">
        <v>5.03881978988647</v>
      </c>
      <c r="BE415" s="3" t="n">
        <v>5.07161998748779</v>
      </c>
      <c r="BF415" s="3" t="n">
        <v>6.58270978927612</v>
      </c>
      <c r="BG415" s="3" t="n">
        <v>6.99697017669678</v>
      </c>
      <c r="BH415" s="3" t="n">
        <v>5.28122997283936</v>
      </c>
      <c r="BI415" s="3" t="n">
        <v>5.28251981735229</v>
      </c>
      <c r="BJ415" s="3" t="n">
        <v>4.65749979019165</v>
      </c>
      <c r="BK415" s="3" t="n">
        <v>4.36671018600464</v>
      </c>
      <c r="BL415" s="3" t="n">
        <v>4.24356985092163</v>
      </c>
      <c r="BM415" s="3" t="n">
        <v>4.43584012985229</v>
      </c>
      <c r="BN415" s="3" t="n">
        <v>4.85059022903442</v>
      </c>
      <c r="BO415" s="3" t="n">
        <v>4.61546993255615</v>
      </c>
      <c r="BP415" s="3" t="n"/>
      <c r="BQ415" s="3" t="n"/>
      <c r="BR415" s="34" t="str">
        <f>B415&amp;"|"&amp;D415</f>
        <v>LVA|SE.XPD.TOTL.GD.ZS</v>
      </c>
    </row>
    <row r="416">
      <c r="A416" s="3" t="inlineStr">
        <is>
          <t>Macao SAR, China</t>
        </is>
      </c>
      <c r="B416" s="3" t="inlineStr">
        <is>
          <t>MAC</t>
        </is>
      </c>
      <c r="C416" s="3" t="inlineStr">
        <is>
          <t>Government expenditure on education, total (% of GDP)</t>
        </is>
      </c>
      <c r="D416" s="3" t="inlineStr">
        <is>
          <t>SE.XPD.TOTL.GD.ZS</t>
        </is>
      </c>
      <c r="E416" s="3" t="n">
        <v>2022</v>
      </c>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c r="AD416" s="3" t="n"/>
      <c r="AE416" s="3" t="n"/>
      <c r="AF416" s="3" t="n"/>
      <c r="AG416" s="3" t="n"/>
      <c r="AH416" s="3" t="n"/>
      <c r="AI416" s="3" t="n"/>
      <c r="AJ416" s="3" t="n"/>
      <c r="AK416" s="3" t="n"/>
      <c r="AL416" s="3" t="n"/>
      <c r="AM416" s="3" t="n"/>
      <c r="AN416" s="3" t="n"/>
      <c r="AO416" s="3" t="n"/>
      <c r="AP416" s="3" t="n"/>
      <c r="AQ416" s="3" t="n"/>
      <c r="AR416" s="3" t="n">
        <v>3.35004997253418</v>
      </c>
      <c r="AS416" s="3" t="n">
        <v>3.33664989471436</v>
      </c>
      <c r="AT416" s="3" t="n">
        <v>3.31438994407654</v>
      </c>
      <c r="AU416" s="3" t="n">
        <v>2.71446990966797</v>
      </c>
      <c r="AV416" s="3" t="n">
        <v>2.84295988082886</v>
      </c>
      <c r="AW416" s="3" t="n">
        <v>2.78016996383667</v>
      </c>
      <c r="AX416" s="3" t="n">
        <v>2.23348999023438</v>
      </c>
      <c r="AY416" s="3" t="n">
        <v>2.2778799533844</v>
      </c>
      <c r="AZ416" s="3" t="n">
        <v>2.19386005401611</v>
      </c>
      <c r="BA416" s="3" t="n">
        <v>2.04345011711121</v>
      </c>
      <c r="BB416" s="3" t="n">
        <v>2.1964099407196</v>
      </c>
      <c r="BC416" s="3" t="n">
        <v>2.53323006629944</v>
      </c>
      <c r="BD416" s="3" t="n">
        <v>2.61848998069763</v>
      </c>
      <c r="BE416" s="3" t="n">
        <v>2.67528009414673</v>
      </c>
      <c r="BF416" s="3" t="n">
        <v>3.32516002655029</v>
      </c>
      <c r="BG416" s="3" t="n">
        <v>2.05048990249634</v>
      </c>
      <c r="BH416" s="3" t="n">
        <v>2.04853010177612</v>
      </c>
      <c r="BI416" s="3" t="n">
        <v>3.00247001647949</v>
      </c>
      <c r="BJ416" s="3" t="n">
        <v>3.09952998161316</v>
      </c>
      <c r="BK416" s="3" t="n">
        <v>2.70949006080627</v>
      </c>
      <c r="BL416" s="3" t="n">
        <v>2.7334098815918</v>
      </c>
      <c r="BM416" s="3" t="n">
        <v>3.0654399394989</v>
      </c>
      <c r="BN416" s="3" t="n">
        <v>6.38948011398315</v>
      </c>
      <c r="BO416" s="3" t="n">
        <v>5.10697984695435</v>
      </c>
      <c r="BP416" s="3" t="n">
        <v>6.18937015533447</v>
      </c>
      <c r="BQ416" s="3" t="n"/>
      <c r="BR416" s="34" t="str">
        <f>B416&amp;"|"&amp;D416</f>
        <v>MAC|SE.XPD.TOTL.GD.ZS</v>
      </c>
    </row>
    <row r="417">
      <c r="A417" s="3" t="inlineStr">
        <is>
          <t>St. Martin (French part)</t>
        </is>
      </c>
      <c r="B417" s="3" t="inlineStr">
        <is>
          <t>MAF</t>
        </is>
      </c>
      <c r="C417" s="3" t="inlineStr">
        <is>
          <t>Government expenditure on education, total (% of GDP)</t>
        </is>
      </c>
      <c r="D417" s="3" t="inlineStr">
        <is>
          <t>SE.XPD.TOTL.GD.ZS</t>
        </is>
      </c>
      <c r="E417" s="3" t="inlineStr">
        <is>
          <t>0x2a</t>
        </is>
      </c>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c r="AD417" s="3" t="n"/>
      <c r="AE417" s="3" t="n"/>
      <c r="AF417" s="3" t="n"/>
      <c r="AG417" s="3" t="n"/>
      <c r="AH417" s="3" t="n"/>
      <c r="AI417" s="3" t="n"/>
      <c r="AJ417" s="3" t="n"/>
      <c r="AK417" s="3" t="n"/>
      <c r="AL417" s="3" t="n"/>
      <c r="AM417" s="3" t="n"/>
      <c r="AN417" s="3" t="n"/>
      <c r="AO417" s="3" t="n"/>
      <c r="AP417" s="3" t="n"/>
      <c r="AQ417" s="3" t="n"/>
      <c r="AR417" s="3" t="n"/>
      <c r="AS417" s="3" t="n"/>
      <c r="AT417" s="3" t="n"/>
      <c r="AU417" s="3" t="n"/>
      <c r="AV417" s="3" t="n"/>
      <c r="AW417" s="3" t="n"/>
      <c r="AX417" s="3" t="n"/>
      <c r="AY417" s="3" t="n"/>
      <c r="AZ417" s="3" t="n"/>
      <c r="BA417" s="3" t="n"/>
      <c r="BB417" s="3" t="n"/>
      <c r="BC417" s="3" t="n"/>
      <c r="BD417" s="3" t="n"/>
      <c r="BE417" s="3" t="n"/>
      <c r="BF417" s="3" t="n"/>
      <c r="BG417" s="3" t="n"/>
      <c r="BH417" s="3" t="n"/>
      <c r="BI417" s="3" t="n"/>
      <c r="BJ417" s="3" t="n"/>
      <c r="BK417" s="3" t="n"/>
      <c r="BL417" s="3" t="n"/>
      <c r="BM417" s="3" t="n"/>
      <c r="BN417" s="3" t="n"/>
      <c r="BO417" s="3" t="n"/>
      <c r="BP417" s="3" t="n"/>
      <c r="BQ417" s="3" t="n"/>
      <c r="BR417" s="34" t="str">
        <f>B417&amp;"|"&amp;D417</f>
        <v>MAF|SE.XPD.TOTL.GD.ZS</v>
      </c>
    </row>
    <row r="418">
      <c r="A418" s="3" t="inlineStr">
        <is>
          <t>Morocco</t>
        </is>
      </c>
      <c r="B418" s="3" t="inlineStr">
        <is>
          <t>MAR</t>
        </is>
      </c>
      <c r="C418" s="3" t="inlineStr">
        <is>
          <t>Government expenditure on education, total (% of GDP)</t>
        </is>
      </c>
      <c r="D418" s="3" t="inlineStr">
        <is>
          <t>SE.XPD.TOTL.GD.ZS</t>
        </is>
      </c>
      <c r="E418" s="3" t="n">
        <v>2023</v>
      </c>
      <c r="F418" s="3" t="n"/>
      <c r="G418" s="3" t="n"/>
      <c r="H418" s="3" t="n"/>
      <c r="I418" s="3" t="n"/>
      <c r="J418" s="3" t="n"/>
      <c r="K418" s="3" t="n"/>
      <c r="L418" s="3" t="n"/>
      <c r="M418" s="3" t="n"/>
      <c r="N418" s="3" t="n"/>
      <c r="O418" s="3" t="n"/>
      <c r="P418" s="3" t="n"/>
      <c r="Q418" s="3" t="n"/>
      <c r="R418" s="3" t="n"/>
      <c r="S418" s="3" t="n">
        <v>4.67168998718262</v>
      </c>
      <c r="T418" s="3" t="n">
        <v>4.27548980712891</v>
      </c>
      <c r="U418" s="3" t="n">
        <v>5.21270990371704</v>
      </c>
      <c r="V418" s="3" t="n">
        <v>6.0271201133728</v>
      </c>
      <c r="W418" s="3" t="n">
        <v>6.08424997329712</v>
      </c>
      <c r="X418" s="3" t="n">
        <v>6.20182991027832</v>
      </c>
      <c r="Y418" s="3" t="n">
        <v>6.31548023223877</v>
      </c>
      <c r="Z418" s="3" t="n">
        <v>5.10485982894897</v>
      </c>
      <c r="AA418" s="3" t="n">
        <v>5.68926000595093</v>
      </c>
      <c r="AB418" s="3" t="n">
        <v>6.12268018722534</v>
      </c>
      <c r="AC418" s="3" t="n">
        <v>6.17467021942139</v>
      </c>
      <c r="AD418" s="3" t="n">
        <v>5.19013023376465</v>
      </c>
      <c r="AE418" s="3" t="n">
        <v>5.10216999053955</v>
      </c>
      <c r="AF418" s="3" t="n">
        <v>5.25928020477295</v>
      </c>
      <c r="AG418" s="3" t="n">
        <v>5.16213989257812</v>
      </c>
      <c r="AH418" s="3" t="n">
        <v>4.57781982421875</v>
      </c>
      <c r="AI418" s="3" t="n">
        <v>4.7573299407959</v>
      </c>
      <c r="AJ418" s="3" t="n">
        <v>4.51048994064331</v>
      </c>
      <c r="AK418" s="3" t="n">
        <v>4.30316019058228</v>
      </c>
      <c r="AL418" s="3" t="n"/>
      <c r="AM418" s="3" t="n">
        <v>4.82496976852417</v>
      </c>
      <c r="AN418" s="3" t="n"/>
      <c r="AO418" s="3" t="n">
        <v>4.73480987548828</v>
      </c>
      <c r="AP418" s="3" t="n"/>
      <c r="AQ418" s="3" t="n"/>
      <c r="AR418" s="3" t="n">
        <v>4.59939002990723</v>
      </c>
      <c r="AS418" s="3" t="n">
        <v>4.62526988983154</v>
      </c>
      <c r="AT418" s="3" t="n"/>
      <c r="AU418" s="3" t="n"/>
      <c r="AV418" s="3" t="n"/>
      <c r="AW418" s="3" t="n"/>
      <c r="AX418" s="3" t="n"/>
      <c r="AY418" s="3" t="n"/>
      <c r="AZ418" s="3" t="n"/>
      <c r="BA418" s="3" t="n"/>
      <c r="BB418" s="3" t="n">
        <v>4.85339021682739</v>
      </c>
      <c r="BC418" s="3" t="n">
        <v>4.83119010925293</v>
      </c>
      <c r="BD418" s="3" t="n"/>
      <c r="BE418" s="3" t="n"/>
      <c r="BF418" s="3" t="n">
        <v>5.55294847488403</v>
      </c>
      <c r="BG418" s="3" t="n"/>
      <c r="BH418" s="3" t="n">
        <v>5.48276042938232</v>
      </c>
      <c r="BI418" s="3" t="n">
        <v>5.13336896896362</v>
      </c>
      <c r="BJ418" s="3" t="n">
        <v>5.08530187606812</v>
      </c>
      <c r="BK418" s="3" t="n">
        <v>4.73564958572388</v>
      </c>
      <c r="BL418" s="3" t="n">
        <v>4.96022701263428</v>
      </c>
      <c r="BM418" s="3" t="n">
        <v>5.00325679779053</v>
      </c>
      <c r="BN418" s="3" t="n">
        <v>6.28428268432617</v>
      </c>
      <c r="BO418" s="3" t="n">
        <v>5.64273405075073</v>
      </c>
      <c r="BP418" s="3" t="n">
        <v>5.91224670410156</v>
      </c>
      <c r="BQ418" s="3" t="n">
        <v>6.02096939086914</v>
      </c>
      <c r="BR418" s="34" t="str">
        <f>B418&amp;"|"&amp;D418</f>
        <v>MAR|SE.XPD.TOTL.GD.ZS</v>
      </c>
    </row>
    <row r="419">
      <c r="A419" s="3" t="inlineStr">
        <is>
          <t>Monaco</t>
        </is>
      </c>
      <c r="B419" s="3" t="inlineStr">
        <is>
          <t>MCO</t>
        </is>
      </c>
      <c r="C419" s="3" t="inlineStr">
        <is>
          <t>Government expenditure on education, total (% of GDP)</t>
        </is>
      </c>
      <c r="D419" s="3" t="inlineStr">
        <is>
          <t>SE.XPD.TOTL.GD.ZS</t>
        </is>
      </c>
      <c r="E419" s="3" t="n">
        <v>2022</v>
      </c>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c r="AD419" s="3" t="n"/>
      <c r="AE419" s="3" t="n"/>
      <c r="AF419" s="3" t="n"/>
      <c r="AG419" s="3" t="n"/>
      <c r="AH419" s="3" t="n">
        <v>0.88102000951767</v>
      </c>
      <c r="AI419" s="3" t="n">
        <v>0.957539975643158</v>
      </c>
      <c r="AJ419" s="3" t="n"/>
      <c r="AK419" s="3" t="n"/>
      <c r="AL419" s="3" t="n">
        <v>0.913609981536865</v>
      </c>
      <c r="AM419" s="3" t="n"/>
      <c r="AN419" s="3" t="n"/>
      <c r="AO419" s="3" t="n">
        <v>1.06456005573273</v>
      </c>
      <c r="AP419" s="3" t="n">
        <v>1.08222997188568</v>
      </c>
      <c r="AQ419" s="3" t="n">
        <v>1.21240997314453</v>
      </c>
      <c r="AR419" s="3" t="n">
        <v>1.20881998538971</v>
      </c>
      <c r="AS419" s="3" t="n">
        <v>1.19526994228363</v>
      </c>
      <c r="AT419" s="3" t="n">
        <v>1.25537002086639</v>
      </c>
      <c r="AU419" s="3" t="n"/>
      <c r="AV419" s="3" t="n"/>
      <c r="AW419" s="3" t="n"/>
      <c r="AX419" s="3" t="n">
        <v>1.26668000221252</v>
      </c>
      <c r="AY419" s="3" t="n"/>
      <c r="AZ419" s="3" t="n"/>
      <c r="BA419" s="3" t="n"/>
      <c r="BB419" s="3" t="n"/>
      <c r="BC419" s="3" t="n">
        <v>1.35431003570557</v>
      </c>
      <c r="BD419" s="3" t="n">
        <v>1.31735002994537</v>
      </c>
      <c r="BE419" s="3" t="n">
        <v>1.58989000320435</v>
      </c>
      <c r="BF419" s="3" t="n">
        <v>1.78004002571106</v>
      </c>
      <c r="BG419" s="3" t="n">
        <v>1.33440005779266</v>
      </c>
      <c r="BH419" s="3" t="n">
        <v>1.02195000648499</v>
      </c>
      <c r="BI419" s="3" t="n"/>
      <c r="BJ419" s="3" t="n">
        <v>1.37246000766754</v>
      </c>
      <c r="BK419" s="3" t="n">
        <v>1.45792996883392</v>
      </c>
      <c r="BL419" s="3" t="n"/>
      <c r="BM419" s="3" t="n">
        <v>1.15890002250671</v>
      </c>
      <c r="BN419" s="3" t="n"/>
      <c r="BO419" s="3" t="n">
        <v>1.41878998279572</v>
      </c>
      <c r="BP419" s="3" t="n">
        <v>1.17324995994568</v>
      </c>
      <c r="BQ419" s="3" t="n"/>
      <c r="BR419" s="34" t="str">
        <f>B419&amp;"|"&amp;D419</f>
        <v>MCO|SE.XPD.TOTL.GD.ZS</v>
      </c>
    </row>
    <row r="420">
      <c r="A420" s="3" t="inlineStr">
        <is>
          <t>Moldova</t>
        </is>
      </c>
      <c r="B420" s="3" t="inlineStr">
        <is>
          <t>MDA</t>
        </is>
      </c>
      <c r="C420" s="3" t="inlineStr">
        <is>
          <t>Government expenditure on education, total (% of GDP)</t>
        </is>
      </c>
      <c r="D420" s="3" t="inlineStr">
        <is>
          <t>SE.XPD.TOTL.GD.ZS</t>
        </is>
      </c>
      <c r="E420" s="3" t="n">
        <v>2023</v>
      </c>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c r="AD420" s="3" t="n"/>
      <c r="AE420" s="3" t="n"/>
      <c r="AF420" s="3" t="n"/>
      <c r="AG420" s="3" t="n"/>
      <c r="AH420" s="3" t="n"/>
      <c r="AI420" s="3" t="n"/>
      <c r="AJ420" s="3" t="n"/>
      <c r="AK420" s="3" t="n"/>
      <c r="AL420" s="3" t="n"/>
      <c r="AM420" s="3" t="n"/>
      <c r="AN420" s="3" t="n"/>
      <c r="AO420" s="3" t="n"/>
      <c r="AP420" s="3" t="n">
        <v>9.896639823913571</v>
      </c>
      <c r="AQ420" s="3" t="n"/>
      <c r="AR420" s="3" t="n"/>
      <c r="AS420" s="3" t="n">
        <v>4.6625599861145</v>
      </c>
      <c r="AT420" s="3" t="n">
        <v>4.48639011383057</v>
      </c>
      <c r="AU420" s="3" t="n">
        <v>4.84684991836548</v>
      </c>
      <c r="AV420" s="3" t="n">
        <v>5.4979100227356</v>
      </c>
      <c r="AW420" s="3" t="n">
        <v>5.42489004135132</v>
      </c>
      <c r="AX420" s="3" t="n">
        <v>6.77103996276855</v>
      </c>
      <c r="AY420" s="3" t="n">
        <v>7.16270017623901</v>
      </c>
      <c r="AZ420" s="3" t="n">
        <v>7.49899005889893</v>
      </c>
      <c r="BA420" s="3" t="n">
        <v>8.293370246887211</v>
      </c>
      <c r="BB420" s="3" t="n">
        <v>8.237270355224609</v>
      </c>
      <c r="BC420" s="3" t="n">
        <v>9.5097599029541</v>
      </c>
      <c r="BD420" s="3" t="n">
        <v>7.5922999382019</v>
      </c>
      <c r="BE420" s="3" t="n">
        <v>7.13638019561768</v>
      </c>
      <c r="BF420" s="3" t="n">
        <v>6.98338985443115</v>
      </c>
      <c r="BG420" s="3" t="n">
        <v>5.90975522994995</v>
      </c>
      <c r="BH420" s="3" t="n">
        <v>6.33806991577148</v>
      </c>
      <c r="BI420" s="3" t="n">
        <v>5.80568695068359</v>
      </c>
      <c r="BJ420" s="3" t="n">
        <v>5.67208003997803</v>
      </c>
      <c r="BK420" s="3" t="n">
        <v>5.71016979217529</v>
      </c>
      <c r="BL420" s="3" t="n">
        <v>5.53887987136841</v>
      </c>
      <c r="BM420" s="3" t="n">
        <v>6.22576999664307</v>
      </c>
      <c r="BN420" s="3" t="n">
        <v>6.6012601852417</v>
      </c>
      <c r="BO420" s="3" t="n">
        <v>5.82405996322632</v>
      </c>
      <c r="BP420" s="3" t="n">
        <v>6.11053991317749</v>
      </c>
      <c r="BQ420" s="3" t="n">
        <v>6.25268602371216</v>
      </c>
      <c r="BR420" s="34" t="str">
        <f>B420&amp;"|"&amp;D420</f>
        <v>MDA|SE.XPD.TOTL.GD.ZS</v>
      </c>
    </row>
    <row r="421">
      <c r="A421" s="3" t="inlineStr">
        <is>
          <t>Madagascar</t>
        </is>
      </c>
      <c r="B421" s="3" t="inlineStr">
        <is>
          <t>MDG</t>
        </is>
      </c>
      <c r="C421" s="3" t="inlineStr">
        <is>
          <t>Government expenditure on education, total (% of GDP)</t>
        </is>
      </c>
      <c r="D421" s="3" t="inlineStr">
        <is>
          <t>SE.XPD.TOTL.GD.ZS</t>
        </is>
      </c>
      <c r="E421" s="3" t="n">
        <v>2022</v>
      </c>
      <c r="F421" s="3" t="n"/>
      <c r="G421" s="3" t="n"/>
      <c r="H421" s="3" t="n"/>
      <c r="I421" s="3" t="n"/>
      <c r="J421" s="3" t="n"/>
      <c r="K421" s="3" t="n"/>
      <c r="L421" s="3" t="n"/>
      <c r="M421" s="3" t="n"/>
      <c r="N421" s="3" t="n"/>
      <c r="O421" s="3" t="n"/>
      <c r="P421" s="3" t="n"/>
      <c r="Q421" s="3" t="n"/>
      <c r="R421" s="3" t="n">
        <v>3.21737003326416</v>
      </c>
      <c r="S421" s="3" t="n">
        <v>2.71114993095398</v>
      </c>
      <c r="T421" s="3" t="n">
        <v>2.67375993728638</v>
      </c>
      <c r="U421" s="3" t="n">
        <v>2.51668000221252</v>
      </c>
      <c r="V421" s="3" t="n">
        <v>3.25500988960266</v>
      </c>
      <c r="W421" s="3" t="n">
        <v>5.05394983291626</v>
      </c>
      <c r="X421" s="3" t="n"/>
      <c r="Y421" s="3" t="n">
        <v>3.97032999992371</v>
      </c>
      <c r="Z421" s="3" t="n">
        <v>3.35711002349854</v>
      </c>
      <c r="AA421" s="3" t="n">
        <v>2.87990999221802</v>
      </c>
      <c r="AB421" s="3" t="n">
        <v>2.32178997993469</v>
      </c>
      <c r="AC421" s="3" t="n">
        <v>1.98900997638702</v>
      </c>
      <c r="AD421" s="3" t="n">
        <v>2.20451998710632</v>
      </c>
      <c r="AE421" s="3" t="n">
        <v>2.07146000862122</v>
      </c>
      <c r="AF421" s="3" t="n"/>
      <c r="AG421" s="3" t="n"/>
      <c r="AH421" s="3" t="n"/>
      <c r="AI421" s="3" t="n"/>
      <c r="AJ421" s="3" t="n"/>
      <c r="AK421" s="3" t="n"/>
      <c r="AL421" s="3" t="n"/>
      <c r="AM421" s="3" t="n">
        <v>1.7754499912262</v>
      </c>
      <c r="AN421" s="3" t="n"/>
      <c r="AO421" s="3" t="n"/>
      <c r="AP421" s="3" t="n"/>
      <c r="AQ421" s="3" t="n">
        <v>1.53846001625061</v>
      </c>
      <c r="AR421" s="3" t="n">
        <v>1.58879005908966</v>
      </c>
      <c r="AS421" s="3" t="n">
        <v>2.40500998497009</v>
      </c>
      <c r="AT421" s="3" t="n">
        <v>2.4386899471283</v>
      </c>
      <c r="AU421" s="3" t="n">
        <v>2.707200050354</v>
      </c>
      <c r="AV421" s="3" t="n">
        <v>2.23179006576538</v>
      </c>
      <c r="AW421" s="3" t="n">
        <v>2.61094999313354</v>
      </c>
      <c r="AX421" s="3" t="n">
        <v>2.81261992454529</v>
      </c>
      <c r="AY421" s="3" t="n">
        <v>3.3096399307251</v>
      </c>
      <c r="AZ421" s="3" t="n">
        <v>2.83097004890442</v>
      </c>
      <c r="BA421" s="3" t="n">
        <v>2.90274000167847</v>
      </c>
      <c r="BB421" s="3" t="n">
        <v>2.55433988571167</v>
      </c>
      <c r="BC421" s="3" t="n">
        <v>2.82512998580933</v>
      </c>
      <c r="BD421" s="3" t="n">
        <v>2.58523440361023</v>
      </c>
      <c r="BE421" s="3" t="n">
        <v>3.09318614006042</v>
      </c>
      <c r="BF421" s="3" t="n">
        <v>2.46357321739197</v>
      </c>
      <c r="BG421" s="3" t="n">
        <v>2.40690064430237</v>
      </c>
      <c r="BH421" s="3" t="n">
        <v>2.98742127418518</v>
      </c>
      <c r="BI421" s="3" t="n">
        <v>2.70418834686279</v>
      </c>
      <c r="BJ421" s="3" t="n">
        <v>2.69792056083679</v>
      </c>
      <c r="BK421" s="3" t="n">
        <v>2.70137405395508</v>
      </c>
      <c r="BL421" s="3" t="n">
        <v>3.04906916618347</v>
      </c>
      <c r="BM421" s="3" t="n">
        <v>3.01338386535645</v>
      </c>
      <c r="BN421" s="3" t="n">
        <v>3.25443387031555</v>
      </c>
      <c r="BO421" s="3" t="n">
        <v>3.19807553291321</v>
      </c>
      <c r="BP421" s="3" t="n">
        <v>3.13901996612549</v>
      </c>
      <c r="BQ421" s="3" t="n"/>
      <c r="BR421" s="34" t="str">
        <f>B421&amp;"|"&amp;D421</f>
        <v>MDG|SE.XPD.TOTL.GD.ZS</v>
      </c>
    </row>
    <row r="422">
      <c r="A422" s="3" t="inlineStr">
        <is>
          <t>Maldives</t>
        </is>
      </c>
      <c r="B422" s="3" t="inlineStr">
        <is>
          <t>MDV</t>
        </is>
      </c>
      <c r="C422" s="3" t="inlineStr">
        <is>
          <t>Government expenditure on education, total (% of GDP)</t>
        </is>
      </c>
      <c r="D422" s="3" t="inlineStr">
        <is>
          <t>SE.XPD.TOTL.GD.ZS</t>
        </is>
      </c>
      <c r="E422" s="3" t="n">
        <v>2023</v>
      </c>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c r="AD422" s="3" t="n"/>
      <c r="AE422" s="3" t="n"/>
      <c r="AF422" s="3" t="n"/>
      <c r="AG422" s="3" t="n"/>
      <c r="AH422" s="3" t="n"/>
      <c r="AI422" s="3" t="n"/>
      <c r="AJ422" s="3" t="n"/>
      <c r="AK422" s="3" t="n"/>
      <c r="AL422" s="3" t="n"/>
      <c r="AM422" s="3" t="n"/>
      <c r="AN422" s="3" t="n"/>
      <c r="AO422" s="3" t="n"/>
      <c r="AP422" s="3" t="n"/>
      <c r="AQ422" s="3" t="n"/>
      <c r="AR422" s="3" t="n"/>
      <c r="AS422" s="3" t="n"/>
      <c r="AT422" s="3" t="n">
        <v>5.73720693588257</v>
      </c>
      <c r="AU422" s="3" t="n">
        <v>5.24949979782104</v>
      </c>
      <c r="AV422" s="3" t="n">
        <v>5.79186010360718</v>
      </c>
      <c r="AW422" s="3" t="n">
        <v>5.32406997680664</v>
      </c>
      <c r="AX422" s="3" t="n">
        <v>4.66160011291504</v>
      </c>
      <c r="AY422" s="3" t="n">
        <v>5.0168399810791</v>
      </c>
      <c r="AZ422" s="3" t="n">
        <v>4.64523983001709</v>
      </c>
      <c r="BA422" s="3" t="n">
        <v>4.41788005828857</v>
      </c>
      <c r="BB422" s="3" t="n">
        <v>4.470290184021</v>
      </c>
      <c r="BC422" s="3" t="n">
        <v>5.08168983459473</v>
      </c>
      <c r="BD422" s="3" t="n">
        <v>3.63328003883362</v>
      </c>
      <c r="BE422" s="3" t="n">
        <v>3.08072996139526</v>
      </c>
      <c r="BF422" s="3" t="n">
        <v>4.96826791763306</v>
      </c>
      <c r="BG422" s="3" t="n">
        <v>3.95450043678284</v>
      </c>
      <c r="BH422" s="3" t="n">
        <v>3.88979530334473</v>
      </c>
      <c r="BI422" s="3" t="n">
        <v>4.62230539321899</v>
      </c>
      <c r="BJ422" s="3" t="n">
        <v>4.43873596191406</v>
      </c>
      <c r="BK422" s="3" t="n">
        <v>3.8226854801178</v>
      </c>
      <c r="BL422" s="3" t="n">
        <v>3.85681772232056</v>
      </c>
      <c r="BM422" s="3" t="n">
        <v>4.12356948852539</v>
      </c>
      <c r="BN422" s="3" t="n">
        <v>5.84760808944702</v>
      </c>
      <c r="BO422" s="3" t="n">
        <v>4.61379766464233</v>
      </c>
      <c r="BP422" s="3" t="n">
        <v>4.67344331741333</v>
      </c>
      <c r="BQ422" s="3" t="n">
        <v>5.16706371307373</v>
      </c>
      <c r="BR422" s="34" t="str">
        <f>B422&amp;"|"&amp;D422</f>
        <v>MDV|SE.XPD.TOTL.GD.ZS</v>
      </c>
    </row>
    <row r="423">
      <c r="A423" s="3" t="inlineStr">
        <is>
          <t>Middle East &amp; North Africa</t>
        </is>
      </c>
      <c r="B423" s="3" t="inlineStr">
        <is>
          <t>MEA</t>
        </is>
      </c>
      <c r="C423" s="3" t="inlineStr">
        <is>
          <t>Government expenditure on education, total (% of GDP)</t>
        </is>
      </c>
      <c r="D423" s="3" t="inlineStr">
        <is>
          <t>SE.XPD.TOTL.GD.ZS</t>
        </is>
      </c>
      <c r="E423" s="3" t="n">
        <v>2020</v>
      </c>
      <c r="F423" s="3" t="n"/>
      <c r="G423" s="3" t="n"/>
      <c r="H423" s="3" t="n"/>
      <c r="I423" s="3" t="n"/>
      <c r="J423" s="3" t="n"/>
      <c r="K423" s="3" t="n"/>
      <c r="L423" s="3" t="n"/>
      <c r="M423" s="3" t="n"/>
      <c r="N423" s="3" t="n"/>
      <c r="O423" s="3" t="n"/>
      <c r="P423" s="3" t="n"/>
      <c r="Q423" s="3" t="n"/>
      <c r="R423" s="3" t="n"/>
      <c r="S423" s="3" t="n"/>
      <c r="T423" s="3" t="n"/>
      <c r="U423" s="3" t="n">
        <v>3.93450999259949</v>
      </c>
      <c r="V423" s="3" t="n">
        <v>4.94342994689941</v>
      </c>
      <c r="W423" s="3" t="n">
        <v>4.54958009719849</v>
      </c>
      <c r="X423" s="3" t="n"/>
      <c r="Y423" s="3" t="n"/>
      <c r="Z423" s="3" t="n">
        <v>4.840194940567015</v>
      </c>
      <c r="AA423" s="3" t="n">
        <v>5.27579998970032</v>
      </c>
      <c r="AB423" s="3" t="n">
        <v>5.60830020904541</v>
      </c>
      <c r="AC423" s="3" t="n">
        <v>5.339560031890869</v>
      </c>
      <c r="AD423" s="3" t="n">
        <v>5.727200031280515</v>
      </c>
      <c r="AE423" s="3" t="n"/>
      <c r="AF423" s="3" t="n">
        <v>5.40083980560303</v>
      </c>
      <c r="AG423" s="3" t="n"/>
      <c r="AH423" s="3" t="n"/>
      <c r="AI423" s="3" t="n">
        <v>4.317100048065186</v>
      </c>
      <c r="AJ423" s="3" t="n"/>
      <c r="AK423" s="3" t="n"/>
      <c r="AL423" s="3" t="n"/>
      <c r="AM423" s="3" t="n"/>
      <c r="AN423" s="3" t="n"/>
      <c r="AO423" s="3" t="n"/>
      <c r="AP423" s="3" t="n">
        <v>4.67156982421875</v>
      </c>
      <c r="AQ423" s="3" t="n"/>
      <c r="AR423" s="3" t="n"/>
      <c r="AS423" s="3" t="n"/>
      <c r="AT423" s="3" t="n"/>
      <c r="AU423" s="3" t="n">
        <v>6.19316005706787</v>
      </c>
      <c r="AV423" s="3" t="n">
        <v>5.52995491027832</v>
      </c>
      <c r="AW423" s="3" t="n">
        <v>5.94827938079834</v>
      </c>
      <c r="AX423" s="3" t="n">
        <v>5.453274965286255</v>
      </c>
      <c r="AY423" s="3" t="n">
        <v>4.79442977905273</v>
      </c>
      <c r="AZ423" s="3" t="n">
        <v>4.71720290184021</v>
      </c>
      <c r="BA423" s="3" t="n"/>
      <c r="BB423" s="3" t="n">
        <v>4.411400079727175</v>
      </c>
      <c r="BC423" s="3" t="n">
        <v>4.509464979171755</v>
      </c>
      <c r="BD423" s="3" t="n"/>
      <c r="BE423" s="3" t="n"/>
      <c r="BF423" s="3" t="n">
        <v>4.74210977554321</v>
      </c>
      <c r="BG423" s="3" t="n"/>
      <c r="BH423" s="3" t="n"/>
      <c r="BI423" s="3" t="n"/>
      <c r="BJ423" s="3" t="n">
        <v>4.45261013507843</v>
      </c>
      <c r="BK423" s="3" t="n">
        <v>4.22749495506287</v>
      </c>
      <c r="BL423" s="3" t="n">
        <v>4.16854500770569</v>
      </c>
      <c r="BM423" s="3" t="n">
        <v>4.431733369827271</v>
      </c>
      <c r="BN423" s="3" t="n">
        <v>6.1939172744751</v>
      </c>
      <c r="BO423" s="3" t="n"/>
      <c r="BP423" s="3" t="n"/>
      <c r="BQ423" s="3" t="n"/>
      <c r="BR423" s="34" t="str">
        <f>B423&amp;"|"&amp;D423</f>
        <v>MEA|SE.XPD.TOTL.GD.ZS</v>
      </c>
    </row>
    <row r="424">
      <c r="A424" s="3" t="inlineStr">
        <is>
          <t>Mexico</t>
        </is>
      </c>
      <c r="B424" s="3" t="inlineStr">
        <is>
          <t>MEX</t>
        </is>
      </c>
      <c r="C424" s="3" t="inlineStr">
        <is>
          <t>Government expenditure on education, total (% of GDP)</t>
        </is>
      </c>
      <c r="D424" s="3" t="inlineStr">
        <is>
          <t>SE.XPD.TOTL.GD.ZS</t>
        </is>
      </c>
      <c r="E424" s="3" t="n">
        <v>2021</v>
      </c>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c r="AD424" s="3" t="n"/>
      <c r="AE424" s="3" t="n"/>
      <c r="AF424" s="3" t="n"/>
      <c r="AG424" s="3" t="n"/>
      <c r="AH424" s="3" t="n"/>
      <c r="AI424" s="3" t="n">
        <v>2.28201007843018</v>
      </c>
      <c r="AJ424" s="3" t="n">
        <v>2.32498002052307</v>
      </c>
      <c r="AK424" s="3" t="n">
        <v>2.54800009727478</v>
      </c>
      <c r="AL424" s="3" t="n">
        <v>3.00501990318298</v>
      </c>
      <c r="AM424" s="3" t="n"/>
      <c r="AN424" s="3" t="n">
        <v>3.47707009315491</v>
      </c>
      <c r="AO424" s="3" t="n">
        <v>3.49746990203857</v>
      </c>
      <c r="AP424" s="3" t="n"/>
      <c r="AQ424" s="3" t="n"/>
      <c r="AR424" s="3" t="n">
        <v>3.17838001251221</v>
      </c>
      <c r="AS424" s="3" t="n">
        <v>3.36164999008179</v>
      </c>
      <c r="AT424" s="3" t="n">
        <v>3.80870008468628</v>
      </c>
      <c r="AU424" s="3" t="n">
        <v>4.0313401222229</v>
      </c>
      <c r="AV424" s="3" t="n">
        <v>4.24307012557983</v>
      </c>
      <c r="AW424" s="3" t="n">
        <v>4.83262014389038</v>
      </c>
      <c r="AX424" s="3" t="n">
        <v>4.51204013824463</v>
      </c>
      <c r="AY424" s="3" t="n">
        <v>4.63395023345947</v>
      </c>
      <c r="AZ424" s="3" t="n">
        <v>4.4931697845459</v>
      </c>
      <c r="BA424" s="3" t="n">
        <v>4.47921991348267</v>
      </c>
      <c r="BB424" s="3" t="n">
        <v>4.60609006881714</v>
      </c>
      <c r="BC424" s="3" t="n">
        <v>4.94933986663818</v>
      </c>
      <c r="BD424" s="3" t="n">
        <v>4.93695020675659</v>
      </c>
      <c r="BE424" s="3" t="n">
        <v>4.90405988693237</v>
      </c>
      <c r="BF424" s="3" t="n">
        <v>4.88348007202148</v>
      </c>
      <c r="BG424" s="3" t="n">
        <v>4.50858020782471</v>
      </c>
      <c r="BH424" s="3" t="n">
        <v>5.06808996200562</v>
      </c>
      <c r="BI424" s="3" t="n">
        <v>5.05087995529175</v>
      </c>
      <c r="BJ424" s="3" t="n">
        <v>4.75795984268188</v>
      </c>
      <c r="BK424" s="3" t="n">
        <v>4.39752006530762</v>
      </c>
      <c r="BL424" s="3" t="n">
        <v>4.13945007324219</v>
      </c>
      <c r="BM424" s="3" t="n"/>
      <c r="BN424" s="3" t="n">
        <v>4.50059986114502</v>
      </c>
      <c r="BO424" s="3" t="n">
        <v>4.24952983856201</v>
      </c>
      <c r="BP424" s="3" t="n"/>
      <c r="BQ424" s="3" t="n"/>
      <c r="BR424" s="34" t="str">
        <f>B424&amp;"|"&amp;D424</f>
        <v>MEX|SE.XPD.TOTL.GD.ZS</v>
      </c>
    </row>
    <row r="425">
      <c r="A425" s="3" t="inlineStr">
        <is>
          <t>Marshall Islands</t>
        </is>
      </c>
      <c r="B425" s="3" t="inlineStr">
        <is>
          <t>MHL</t>
        </is>
      </c>
      <c r="C425" s="3" t="inlineStr">
        <is>
          <t>Government expenditure on education, total (% of GDP)</t>
        </is>
      </c>
      <c r="D425" s="3" t="inlineStr">
        <is>
          <t>SE.XPD.TOTL.GD.ZS</t>
        </is>
      </c>
      <c r="E425" s="3" t="n">
        <v>2022</v>
      </c>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c r="AD425" s="3" t="n"/>
      <c r="AE425" s="3" t="n"/>
      <c r="AF425" s="3" t="n"/>
      <c r="AG425" s="3" t="n"/>
      <c r="AH425" s="3" t="n"/>
      <c r="AI425" s="3" t="n"/>
      <c r="AJ425" s="3" t="n"/>
      <c r="AK425" s="3" t="n"/>
      <c r="AL425" s="3" t="n"/>
      <c r="AM425" s="3" t="n"/>
      <c r="AN425" s="3" t="n"/>
      <c r="AO425" s="3" t="n"/>
      <c r="AP425" s="3" t="n"/>
      <c r="AQ425" s="3" t="n"/>
      <c r="AR425" s="3" t="n"/>
      <c r="AS425" s="3" t="n">
        <v>13.8498497009277</v>
      </c>
      <c r="AT425" s="3" t="n"/>
      <c r="AU425" s="3" t="n"/>
      <c r="AV425" s="3" t="n">
        <v>8.1951904296875</v>
      </c>
      <c r="AW425" s="3" t="n">
        <v>11.8441400527954</v>
      </c>
      <c r="AX425" s="3" t="n"/>
      <c r="AY425" s="3" t="n"/>
      <c r="AZ425" s="3" t="n"/>
      <c r="BA425" s="3" t="n"/>
      <c r="BB425" s="3" t="n"/>
      <c r="BC425" s="3" t="n"/>
      <c r="BD425" s="3" t="n"/>
      <c r="BE425" s="3" t="n"/>
      <c r="BF425" s="3" t="n"/>
      <c r="BG425" s="3" t="n"/>
      <c r="BH425" s="3" t="n"/>
      <c r="BI425" s="3" t="n"/>
      <c r="BJ425" s="3" t="n"/>
      <c r="BK425" s="3" t="n"/>
      <c r="BL425" s="3" t="n"/>
      <c r="BM425" s="3" t="n">
        <v>9.92057037353516</v>
      </c>
      <c r="BN425" s="3" t="n"/>
      <c r="BO425" s="3" t="n"/>
      <c r="BP425" s="3" t="n">
        <v>7.54093980789185</v>
      </c>
      <c r="BQ425" s="3" t="n"/>
      <c r="BR425" s="34" t="str">
        <f>B425&amp;"|"&amp;D425</f>
        <v>MHL|SE.XPD.TOTL.GD.ZS</v>
      </c>
    </row>
    <row r="426">
      <c r="A426" s="3" t="inlineStr">
        <is>
          <t>Middle income</t>
        </is>
      </c>
      <c r="B426" s="3" t="inlineStr">
        <is>
          <t>MIC</t>
        </is>
      </c>
      <c r="C426" s="3" t="inlineStr">
        <is>
          <t>Government expenditure on education, total (% of GDP)</t>
        </is>
      </c>
      <c r="D426" s="3" t="inlineStr">
        <is>
          <t>SE.XPD.TOTL.GD.ZS</t>
        </is>
      </c>
      <c r="E426" s="3" t="n">
        <v>2022</v>
      </c>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c r="AD426" s="3" t="n"/>
      <c r="AE426" s="3" t="n"/>
      <c r="AF426" s="3" t="n"/>
      <c r="AG426" s="3" t="n"/>
      <c r="AH426" s="3" t="n"/>
      <c r="AI426" s="3" t="n"/>
      <c r="AJ426" s="3" t="n"/>
      <c r="AK426" s="3" t="n"/>
      <c r="AL426" s="3" t="n"/>
      <c r="AM426" s="3" t="n"/>
      <c r="AN426" s="3" t="n"/>
      <c r="AO426" s="3" t="n"/>
      <c r="AP426" s="3" t="n"/>
      <c r="AQ426" s="3" t="n"/>
      <c r="AR426" s="3" t="n"/>
      <c r="AS426" s="3" t="n">
        <v>3.889994978904725</v>
      </c>
      <c r="AT426" s="3" t="n">
        <v>3.5112099647522</v>
      </c>
      <c r="AU426" s="3" t="n">
        <v>3.708529949188235</v>
      </c>
      <c r="AV426" s="3" t="n">
        <v>3.242840051651</v>
      </c>
      <c r="AW426" s="3" t="n">
        <v>3.45890498161316</v>
      </c>
      <c r="AX426" s="3" t="n">
        <v>3.44770002365112</v>
      </c>
      <c r="AY426" s="3" t="n">
        <v>3.529800057411195</v>
      </c>
      <c r="AZ426" s="3" t="n">
        <v>3.626875042915345</v>
      </c>
      <c r="BA426" s="3" t="n">
        <v>3.51721000671387</v>
      </c>
      <c r="BB426" s="3" t="n">
        <v>3.936139941215515</v>
      </c>
      <c r="BC426" s="3" t="n">
        <v>4.059154987335205</v>
      </c>
      <c r="BD426" s="3" t="n">
        <v>3.69457507133484</v>
      </c>
      <c r="BE426" s="3" t="n">
        <v>3.825918436050415</v>
      </c>
      <c r="BF426" s="3" t="n">
        <v>4.051414251327515</v>
      </c>
      <c r="BG426" s="3" t="n">
        <v>4.12616515159607</v>
      </c>
      <c r="BH426" s="3" t="n">
        <v>3.91917753219604</v>
      </c>
      <c r="BI426" s="3" t="n">
        <v>3.96933007240295</v>
      </c>
      <c r="BJ426" s="3" t="n">
        <v>3.93593001365662</v>
      </c>
      <c r="BK426" s="3" t="n">
        <v>3.93130993843079</v>
      </c>
      <c r="BL426" s="3" t="n">
        <v>3.732675075531005</v>
      </c>
      <c r="BM426" s="3" t="n">
        <v>3.82614493370056</v>
      </c>
      <c r="BN426" s="3" t="n">
        <v>4.12560415267944</v>
      </c>
      <c r="BO426" s="3" t="n">
        <v>3.74731349945068</v>
      </c>
      <c r="BP426" s="3" t="n">
        <v>3.58109796047211</v>
      </c>
      <c r="BQ426" s="3" t="n"/>
      <c r="BR426" s="34" t="str">
        <f>B426&amp;"|"&amp;D426</f>
        <v>MIC|SE.XPD.TOTL.GD.ZS</v>
      </c>
    </row>
    <row r="427">
      <c r="A427" s="3" t="inlineStr">
        <is>
          <t>North Macedonia</t>
        </is>
      </c>
      <c r="B427" s="3" t="inlineStr">
        <is>
          <t>MKD</t>
        </is>
      </c>
      <c r="C427" s="3" t="inlineStr">
        <is>
          <t>Government expenditure on education, total (% of GDP)</t>
        </is>
      </c>
      <c r="D427" s="3" t="inlineStr">
        <is>
          <t>SE.XPD.TOTL.GD.ZS</t>
        </is>
      </c>
      <c r="E427" s="3" t="n">
        <v>2002</v>
      </c>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c r="AD427" s="3" t="n"/>
      <c r="AE427" s="3" t="n"/>
      <c r="AF427" s="3" t="n"/>
      <c r="AG427" s="3" t="n"/>
      <c r="AH427" s="3" t="n"/>
      <c r="AI427" s="3" t="n"/>
      <c r="AJ427" s="3" t="n"/>
      <c r="AK427" s="3" t="n"/>
      <c r="AL427" s="3" t="n">
        <v>4.73344993591309</v>
      </c>
      <c r="AM427" s="3" t="n">
        <v>4.63056993484497</v>
      </c>
      <c r="AN427" s="3" t="n">
        <v>4.52628993988037</v>
      </c>
      <c r="AO427" s="3" t="n">
        <v>4.27123022079468</v>
      </c>
      <c r="AP427" s="3" t="n">
        <v>4.30311012268066</v>
      </c>
      <c r="AQ427" s="3" t="n"/>
      <c r="AR427" s="3" t="n"/>
      <c r="AS427" s="3" t="n"/>
      <c r="AT427" s="3" t="n"/>
      <c r="AU427" s="3" t="n"/>
      <c r="AV427" s="3" t="n">
        <v>3.30014991760254</v>
      </c>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4" t="str">
        <f>B427&amp;"|"&amp;D427</f>
        <v>MKD|SE.XPD.TOTL.GD.ZS</v>
      </c>
    </row>
    <row r="428">
      <c r="A428" s="3" t="inlineStr">
        <is>
          <t>Mali</t>
        </is>
      </c>
      <c r="B428" s="3" t="inlineStr">
        <is>
          <t>MLI</t>
        </is>
      </c>
      <c r="C428" s="3" t="inlineStr">
        <is>
          <t>Government expenditure on education, total (% of GDP)</t>
        </is>
      </c>
      <c r="D428" s="3" t="inlineStr">
        <is>
          <t>SE.XPD.TOTL.GD.ZS</t>
        </is>
      </c>
      <c r="E428" s="3" t="n">
        <v>2022</v>
      </c>
      <c r="F428" s="3" t="n"/>
      <c r="G428" s="3" t="n"/>
      <c r="H428" s="3" t="n"/>
      <c r="I428" s="3" t="n"/>
      <c r="J428" s="3" t="n"/>
      <c r="K428" s="3" t="n"/>
      <c r="L428" s="3" t="n"/>
      <c r="M428" s="3" t="n"/>
      <c r="N428" s="3" t="n"/>
      <c r="O428" s="3" t="n"/>
      <c r="P428" s="3" t="n"/>
      <c r="Q428" s="3" t="n"/>
      <c r="R428" s="3" t="n"/>
      <c r="S428" s="3" t="n"/>
      <c r="T428" s="3" t="n"/>
      <c r="U428" s="3" t="n"/>
      <c r="V428" s="3" t="n"/>
      <c r="W428" s="3" t="n"/>
      <c r="X428" s="3" t="n">
        <v>3.55959010124207</v>
      </c>
      <c r="Y428" s="3" t="n"/>
      <c r="Z428" s="3" t="n">
        <v>3.47065997123718</v>
      </c>
      <c r="AA428" s="3" t="n">
        <v>3.44794011116028</v>
      </c>
      <c r="AB428" s="3" t="n">
        <v>3.27885007858276</v>
      </c>
      <c r="AC428" s="3" t="n"/>
      <c r="AD428" s="3" t="n"/>
      <c r="AE428" s="3" t="n"/>
      <c r="AF428" s="3" t="n">
        <v>2.43536996841431</v>
      </c>
      <c r="AG428" s="3" t="n"/>
      <c r="AH428" s="3" t="n"/>
      <c r="AI428" s="3" t="n"/>
      <c r="AJ428" s="3" t="n"/>
      <c r="AK428" s="3" t="n"/>
      <c r="AL428" s="3" t="n"/>
      <c r="AM428" s="3" t="n"/>
      <c r="AN428" s="3" t="n"/>
      <c r="AO428" s="3" t="n"/>
      <c r="AP428" s="3" t="n"/>
      <c r="AQ428" s="3" t="n"/>
      <c r="AR428" s="3" t="n">
        <v>2.64959001541138</v>
      </c>
      <c r="AS428" s="3" t="n">
        <v>2.23183989524841</v>
      </c>
      <c r="AT428" s="3" t="n">
        <v>2.97156000137329</v>
      </c>
      <c r="AU428" s="3" t="n">
        <v>2.65844988822937</v>
      </c>
      <c r="AV428" s="3" t="n">
        <v>2.8962299823761</v>
      </c>
      <c r="AW428" s="3" t="n">
        <v>3.80559992790222</v>
      </c>
      <c r="AX428" s="3" t="n">
        <v>3.85922002792358</v>
      </c>
      <c r="AY428" s="3" t="n">
        <v>3.52218008041382</v>
      </c>
      <c r="AZ428" s="3" t="n"/>
      <c r="BA428" s="3" t="n"/>
      <c r="BB428" s="3" t="n">
        <v>3.403559923172</v>
      </c>
      <c r="BC428" s="3" t="n">
        <v>3.86904001235962</v>
      </c>
      <c r="BD428" s="3" t="n">
        <v>3.34388995170593</v>
      </c>
      <c r="BE428" s="3" t="n">
        <v>3.75423002243042</v>
      </c>
      <c r="BF428" s="3" t="n">
        <v>3.47949004173279</v>
      </c>
      <c r="BG428" s="3" t="n">
        <v>3.28465008735657</v>
      </c>
      <c r="BH428" s="3" t="n">
        <v>3.64819002151489</v>
      </c>
      <c r="BI428" s="3" t="n">
        <v>3.80152010917664</v>
      </c>
      <c r="BJ428" s="3" t="n">
        <v>3.09477996826172</v>
      </c>
      <c r="BK428" s="3" t="n">
        <v>3.78976988792419</v>
      </c>
      <c r="BL428" s="3" t="n">
        <v>3.55817008018494</v>
      </c>
      <c r="BM428" s="3" t="n">
        <v>3.55504989624023</v>
      </c>
      <c r="BN428" s="3" t="n">
        <v>3.95445990562439</v>
      </c>
      <c r="BO428" s="3" t="n">
        <v>4.36370992660522</v>
      </c>
      <c r="BP428" s="3" t="n">
        <v>4.03505516052246</v>
      </c>
      <c r="BQ428" s="3" t="n"/>
      <c r="BR428" s="34" t="str">
        <f>B428&amp;"|"&amp;D428</f>
        <v>MLI|SE.XPD.TOTL.GD.ZS</v>
      </c>
    </row>
    <row r="429">
      <c r="A429" s="3" t="inlineStr">
        <is>
          <t>Malta</t>
        </is>
      </c>
      <c r="B429" s="3" t="inlineStr">
        <is>
          <t>MLT</t>
        </is>
      </c>
      <c r="C429" s="3" t="inlineStr">
        <is>
          <t>Government expenditure on education, total (% of GDP)</t>
        </is>
      </c>
      <c r="D429" s="3" t="inlineStr">
        <is>
          <t>SE.XPD.TOTL.GD.ZS</t>
        </is>
      </c>
      <c r="E429" s="3" t="n">
        <v>2021</v>
      </c>
      <c r="F429" s="3" t="n"/>
      <c r="G429" s="3" t="n"/>
      <c r="H429" s="3" t="n"/>
      <c r="I429" s="3" t="n"/>
      <c r="J429" s="3" t="n"/>
      <c r="K429" s="3" t="n"/>
      <c r="L429" s="3" t="n"/>
      <c r="M429" s="3" t="n"/>
      <c r="N429" s="3" t="n"/>
      <c r="O429" s="3" t="n"/>
      <c r="P429" s="3" t="n"/>
      <c r="Q429" s="3" t="n">
        <v>6.15196990966797</v>
      </c>
      <c r="R429" s="3" t="n">
        <v>5.54999017715454</v>
      </c>
      <c r="S429" s="3" t="n">
        <v>5.269700050354</v>
      </c>
      <c r="T429" s="3" t="n">
        <v>4.4931001663208</v>
      </c>
      <c r="U429" s="3" t="n">
        <v>4.42221021652222</v>
      </c>
      <c r="V429" s="3" t="n">
        <v>3.83189010620117</v>
      </c>
      <c r="W429" s="3" t="n">
        <v>3.89760994911194</v>
      </c>
      <c r="X429" s="3" t="n">
        <v>3.34882998466492</v>
      </c>
      <c r="Y429" s="3" t="n">
        <v>3.15364003181458</v>
      </c>
      <c r="Z429" s="3" t="n"/>
      <c r="AA429" s="3" t="n">
        <v>2.86532998085022</v>
      </c>
      <c r="AB429" s="3" t="n">
        <v>2.85407996177673</v>
      </c>
      <c r="AC429" s="3" t="n">
        <v>3.31469011306763</v>
      </c>
      <c r="AD429" s="3" t="n">
        <v>3.07872009277344</v>
      </c>
      <c r="AE429" s="3" t="n">
        <v>3.24833989143372</v>
      </c>
      <c r="AF429" s="3" t="n">
        <v>3.10572004318237</v>
      </c>
      <c r="AG429" s="3" t="n">
        <v>3.16531991958618</v>
      </c>
      <c r="AH429" s="3" t="n">
        <v>3.33823990821838</v>
      </c>
      <c r="AI429" s="3" t="n">
        <v>3.58874011039734</v>
      </c>
      <c r="AJ429" s="3" t="n">
        <v>3.83141994476318</v>
      </c>
      <c r="AK429" s="3" t="n">
        <v>3.92030000686646</v>
      </c>
      <c r="AL429" s="3" t="n">
        <v>4.31409978866577</v>
      </c>
      <c r="AM429" s="3" t="n"/>
      <c r="AN429" s="3" t="n"/>
      <c r="AO429" s="3" t="n"/>
      <c r="AP429" s="3" t="n"/>
      <c r="AQ429" s="3" t="n"/>
      <c r="AR429" s="3" t="n">
        <v>4.18472003936768</v>
      </c>
      <c r="AS429" s="3" t="n"/>
      <c r="AT429" s="3" t="n">
        <v>5.14647483825684</v>
      </c>
      <c r="AU429" s="3" t="n">
        <v>5.64622497558594</v>
      </c>
      <c r="AV429" s="3" t="n">
        <v>4.14305019378662</v>
      </c>
      <c r="AW429" s="3" t="n">
        <v>5.84895467758179</v>
      </c>
      <c r="AX429" s="3" t="n">
        <v>4.43492984771729</v>
      </c>
      <c r="AY429" s="3" t="n">
        <v>5.38576030731201</v>
      </c>
      <c r="AZ429" s="3" t="n">
        <v>5.44513845443726</v>
      </c>
      <c r="BA429" s="3" t="n">
        <v>5.94750022888184</v>
      </c>
      <c r="BB429" s="3" t="n">
        <v>5.50121021270752</v>
      </c>
      <c r="BC429" s="3" t="n">
        <v>5.07039022445679</v>
      </c>
      <c r="BD429" s="3" t="n">
        <v>6.25004005432129</v>
      </c>
      <c r="BE429" s="3" t="n">
        <v>7.69612979888916</v>
      </c>
      <c r="BF429" s="3" t="n">
        <v>6.34545993804932</v>
      </c>
      <c r="BG429" s="3" t="n">
        <v>7.57923984527588</v>
      </c>
      <c r="BH429" s="3" t="n">
        <v>7.00420999526978</v>
      </c>
      <c r="BI429" s="3" t="n">
        <v>5.02398014068604</v>
      </c>
      <c r="BJ429" s="3" t="n">
        <v>5.10765981674194</v>
      </c>
      <c r="BK429" s="3" t="n">
        <v>4.56079006195068</v>
      </c>
      <c r="BL429" s="3" t="n">
        <v>4.92361116409302</v>
      </c>
      <c r="BM429" s="3" t="n">
        <v>4.8993501663208</v>
      </c>
      <c r="BN429" s="3" t="n">
        <v>5.6448712348938</v>
      </c>
      <c r="BO429" s="3" t="n">
        <v>5.36479997634888</v>
      </c>
      <c r="BP429" s="3" t="n"/>
      <c r="BQ429" s="3" t="n"/>
      <c r="BR429" s="34" t="str">
        <f>B429&amp;"|"&amp;D429</f>
        <v>MLT|SE.XPD.TOTL.GD.ZS</v>
      </c>
    </row>
    <row r="430">
      <c r="A430" s="3" t="inlineStr">
        <is>
          <t>Myanmar</t>
        </is>
      </c>
      <c r="B430" s="3" t="inlineStr">
        <is>
          <t>MMR</t>
        </is>
      </c>
      <c r="C430" s="3" t="inlineStr">
        <is>
          <t>Government expenditure on education, total (% of GDP)</t>
        </is>
      </c>
      <c r="D430" s="3" t="inlineStr">
        <is>
          <t>SE.XPD.TOTL.GD.ZS</t>
        </is>
      </c>
      <c r="E430" s="3" t="n">
        <v>2019</v>
      </c>
      <c r="F430" s="3" t="n"/>
      <c r="G430" s="3" t="n"/>
      <c r="H430" s="3" t="n"/>
      <c r="I430" s="3" t="n"/>
      <c r="J430" s="3" t="n"/>
      <c r="K430" s="3" t="n"/>
      <c r="L430" s="3" t="n"/>
      <c r="M430" s="3" t="n"/>
      <c r="N430" s="3" t="n"/>
      <c r="O430" s="3" t="n"/>
      <c r="P430" s="3" t="n"/>
      <c r="Q430" s="3" t="n"/>
      <c r="R430" s="3" t="n">
        <v>2.86509990692139</v>
      </c>
      <c r="S430" s="3" t="n">
        <v>3.27380990982056</v>
      </c>
      <c r="T430" s="3" t="n"/>
      <c r="U430" s="3" t="n">
        <v>1.98739004135132</v>
      </c>
      <c r="V430" s="3" t="n">
        <v>1.72618997097015</v>
      </c>
      <c r="W430" s="3" t="n">
        <v>1.63782000541687</v>
      </c>
      <c r="X430" s="3" t="n">
        <v>1.64365994930267</v>
      </c>
      <c r="Y430" s="3" t="n"/>
      <c r="Z430" s="3" t="n"/>
      <c r="AA430" s="3" t="n"/>
      <c r="AB430" s="3" t="n"/>
      <c r="AC430" s="3" t="n"/>
      <c r="AD430" s="3" t="n"/>
      <c r="AE430" s="3" t="n"/>
      <c r="AF430" s="3" t="n"/>
      <c r="AG430" s="3" t="n"/>
      <c r="AH430" s="3" t="n"/>
      <c r="AI430" s="3" t="n"/>
      <c r="AJ430" s="3" t="n"/>
      <c r="AK430" s="3" t="n"/>
      <c r="AL430" s="3" t="n"/>
      <c r="AM430" s="3" t="n"/>
      <c r="AN430" s="3" t="n"/>
      <c r="AO430" s="3" t="n">
        <v>1.20247995853424</v>
      </c>
      <c r="AP430" s="3" t="n"/>
      <c r="AQ430" s="3" t="n"/>
      <c r="AR430" s="3" t="n"/>
      <c r="AS430" s="3" t="n"/>
      <c r="AT430" s="3" t="n"/>
      <c r="AU430" s="3" t="n"/>
      <c r="AV430" s="3" t="n"/>
      <c r="AW430" s="3" t="n"/>
      <c r="AX430" s="3" t="n"/>
      <c r="AY430" s="3" t="n"/>
      <c r="AZ430" s="3" t="n"/>
      <c r="BA430" s="3" t="n"/>
      <c r="BB430" s="3" t="n"/>
      <c r="BC430" s="3" t="n"/>
      <c r="BD430" s="3" t="n"/>
      <c r="BE430" s="3" t="n">
        <v>0.787440001964569</v>
      </c>
      <c r="BF430" s="3" t="n">
        <v>1.58642876148224</v>
      </c>
      <c r="BG430" s="3" t="n">
        <v>1.84381175041199</v>
      </c>
      <c r="BH430" s="3" t="n">
        <v>2.01199841499329</v>
      </c>
      <c r="BI430" s="3" t="n">
        <v>2.2456042766571</v>
      </c>
      <c r="BJ430" s="3" t="n">
        <v>2.15808844566345</v>
      </c>
      <c r="BK430" s="3" t="n">
        <v>2.16652989387512</v>
      </c>
      <c r="BL430" s="3" t="n">
        <v>1.99249005317688</v>
      </c>
      <c r="BM430" s="3" t="n">
        <v>1.99976003170013</v>
      </c>
      <c r="BN430" s="3" t="n"/>
      <c r="BO430" s="3" t="n"/>
      <c r="BP430" s="3" t="n"/>
      <c r="BQ430" s="3" t="n"/>
      <c r="BR430" s="34" t="str">
        <f>B430&amp;"|"&amp;D430</f>
        <v>MMR|SE.XPD.TOTL.GD.ZS</v>
      </c>
    </row>
    <row r="431">
      <c r="A431" s="3" t="inlineStr">
        <is>
          <t>Middle East &amp; North Africa (excluding high income)</t>
        </is>
      </c>
      <c r="B431" s="3" t="inlineStr">
        <is>
          <t>MNA</t>
        </is>
      </c>
      <c r="C431" s="3" t="inlineStr">
        <is>
          <t>Government expenditure on education, total (% of GDP)</t>
        </is>
      </c>
      <c r="D431" s="3" t="inlineStr">
        <is>
          <t>SE.XPD.TOTL.GD.ZS</t>
        </is>
      </c>
      <c r="E431" s="3" t="n">
        <v>2017</v>
      </c>
      <c r="F431" s="3" t="n"/>
      <c r="G431" s="3" t="n"/>
      <c r="H431" s="3" t="n"/>
      <c r="I431" s="3" t="n"/>
      <c r="J431" s="3" t="n"/>
      <c r="K431" s="3" t="n"/>
      <c r="L431" s="3" t="n"/>
      <c r="M431" s="3" t="n"/>
      <c r="N431" s="3" t="n"/>
      <c r="O431" s="3" t="n"/>
      <c r="P431" s="3" t="n"/>
      <c r="Q431" s="3" t="n"/>
      <c r="R431" s="3" t="n"/>
      <c r="S431" s="3" t="n"/>
      <c r="T431" s="3" t="n"/>
      <c r="U431" s="3" t="n"/>
      <c r="V431" s="3" t="n"/>
      <c r="W431" s="3" t="n">
        <v>4.54958009719849</v>
      </c>
      <c r="X431" s="3" t="n"/>
      <c r="Y431" s="3" t="n"/>
      <c r="Z431" s="3" t="n">
        <v>4.840194940567015</v>
      </c>
      <c r="AA431" s="3" t="n"/>
      <c r="AB431" s="3" t="n">
        <v>5.705175161361695</v>
      </c>
      <c r="AC431" s="3" t="n"/>
      <c r="AD431" s="3" t="n"/>
      <c r="AE431" s="3" t="n"/>
      <c r="AF431" s="3" t="n"/>
      <c r="AG431" s="3" t="n"/>
      <c r="AH431" s="3" t="n"/>
      <c r="AI431" s="3" t="n">
        <v>4.317100048065186</v>
      </c>
      <c r="AJ431" s="3" t="n"/>
      <c r="AK431" s="3" t="n"/>
      <c r="AL431" s="3" t="n"/>
      <c r="AM431" s="3" t="n"/>
      <c r="AN431" s="3" t="n"/>
      <c r="AO431" s="3" t="n"/>
      <c r="AP431" s="3" t="n">
        <v>4.185309886932375</v>
      </c>
      <c r="AQ431" s="3" t="n"/>
      <c r="AR431" s="3" t="n"/>
      <c r="AS431" s="3" t="n"/>
      <c r="AT431" s="3" t="n"/>
      <c r="AU431" s="3" t="n"/>
      <c r="AV431" s="3" t="n">
        <v>5.032866716384889</v>
      </c>
      <c r="AW431" s="3" t="n"/>
      <c r="AX431" s="3" t="n">
        <v>5.021100044250485</v>
      </c>
      <c r="AY431" s="3" t="n"/>
      <c r="AZ431" s="3" t="n">
        <v>4.71720290184021</v>
      </c>
      <c r="BA431" s="3" t="n">
        <v>4.730759859085085</v>
      </c>
      <c r="BB431" s="3" t="n">
        <v>4.35333514213562</v>
      </c>
      <c r="BC431" s="3" t="n">
        <v>4.83119010925293</v>
      </c>
      <c r="BD431" s="3" t="n">
        <v>4.050701737403871</v>
      </c>
      <c r="BE431" s="3" t="n"/>
      <c r="BF431" s="3" t="n">
        <v>5.103449821472165</v>
      </c>
      <c r="BG431" s="3" t="n"/>
      <c r="BH431" s="3" t="n"/>
      <c r="BI431" s="3" t="n">
        <v>4.66321992874146</v>
      </c>
      <c r="BJ431" s="3" t="n">
        <v>3.92226004600525</v>
      </c>
      <c r="BK431" s="3" t="n">
        <v>3.73344993591309</v>
      </c>
      <c r="BL431" s="3" t="n"/>
      <c r="BM431" s="3" t="n"/>
      <c r="BN431" s="3" t="n"/>
      <c r="BO431" s="3" t="n"/>
      <c r="BP431" s="3" t="n"/>
      <c r="BQ431" s="3" t="n"/>
      <c r="BR431" s="34" t="str">
        <f>B431&amp;"|"&amp;D431</f>
        <v>MNA|SE.XPD.TOTL.GD.ZS</v>
      </c>
    </row>
    <row r="432">
      <c r="A432" s="3" t="inlineStr">
        <is>
          <t>Montenegro</t>
        </is>
      </c>
      <c r="B432" s="3" t="inlineStr">
        <is>
          <t>MNE</t>
        </is>
      </c>
      <c r="C432" s="3" t="inlineStr">
        <is>
          <t>Government expenditure on education, total (% of GDP)</t>
        </is>
      </c>
      <c r="D432" s="3" t="inlineStr">
        <is>
          <t>SE.XPD.TOTL.GD.ZS</t>
        </is>
      </c>
      <c r="E432" s="3" t="inlineStr">
        <is>
          <t>0x2a</t>
        </is>
      </c>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c r="AD432" s="3" t="n"/>
      <c r="AE432" s="3" t="n"/>
      <c r="AF432" s="3" t="n"/>
      <c r="AG432" s="3" t="n"/>
      <c r="AH432" s="3" t="n"/>
      <c r="AI432" s="3" t="n"/>
      <c r="AJ432" s="3" t="n"/>
      <c r="AK432" s="3" t="n"/>
      <c r="AL432" s="3" t="n"/>
      <c r="AM432" s="3" t="n"/>
      <c r="AN432" s="3" t="n"/>
      <c r="AO432" s="3" t="n"/>
      <c r="AP432" s="3" t="n"/>
      <c r="AQ432" s="3" t="n"/>
      <c r="AR432" s="3" t="n"/>
      <c r="AS432" s="3" t="n"/>
      <c r="AT432" s="3" t="n"/>
      <c r="AU432" s="3" t="n"/>
      <c r="AV432" s="3" t="n"/>
      <c r="AW432" s="3" t="n"/>
      <c r="AX432" s="3" t="n"/>
      <c r="AY432" s="3" t="n"/>
      <c r="AZ432" s="3" t="n"/>
      <c r="BA432" s="3" t="n"/>
      <c r="BB432" s="3" t="n"/>
      <c r="BC432" s="3" t="n"/>
      <c r="BD432" s="3" t="n"/>
      <c r="BE432" s="3" t="n"/>
      <c r="BF432" s="3" t="n"/>
      <c r="BG432" s="3" t="n"/>
      <c r="BH432" s="3" t="n"/>
      <c r="BI432" s="3" t="n"/>
      <c r="BJ432" s="3" t="n"/>
      <c r="BK432" s="3" t="n"/>
      <c r="BL432" s="3" t="n"/>
      <c r="BM432" s="3" t="n"/>
      <c r="BN432" s="3" t="n"/>
      <c r="BO432" s="3" t="n"/>
      <c r="BP432" s="3" t="n"/>
      <c r="BQ432" s="3" t="n"/>
      <c r="BR432" s="34" t="str">
        <f>B432&amp;"|"&amp;D432</f>
        <v>MNE|SE.XPD.TOTL.GD.ZS</v>
      </c>
    </row>
    <row r="433">
      <c r="A433" s="3" t="inlineStr">
        <is>
          <t>Mongolia</t>
        </is>
      </c>
      <c r="B433" s="3" t="inlineStr">
        <is>
          <t>MNG</t>
        </is>
      </c>
      <c r="C433" s="3" t="inlineStr">
        <is>
          <t>Government expenditure on education, total (% of GDP)</t>
        </is>
      </c>
      <c r="D433" s="3" t="inlineStr">
        <is>
          <t>SE.XPD.TOTL.GD.ZS</t>
        </is>
      </c>
      <c r="E433" s="3" t="n">
        <v>2023</v>
      </c>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c r="AD433" s="3" t="n"/>
      <c r="AE433" s="3" t="n"/>
      <c r="AF433" s="3" t="n"/>
      <c r="AG433" s="3" t="n"/>
      <c r="AH433" s="3" t="n"/>
      <c r="AI433" s="3" t="n"/>
      <c r="AJ433" s="3" t="n"/>
      <c r="AK433" s="3" t="n"/>
      <c r="AL433" s="3" t="n"/>
      <c r="AM433" s="3" t="n"/>
      <c r="AN433" s="3" t="n"/>
      <c r="AO433" s="3" t="n"/>
      <c r="AP433" s="3" t="n"/>
      <c r="AQ433" s="3" t="n">
        <v>3.948970079422</v>
      </c>
      <c r="AR433" s="3" t="n">
        <v>5.49302005767822</v>
      </c>
      <c r="AS433" s="3" t="n">
        <v>5.14565992355347</v>
      </c>
      <c r="AT433" s="3" t="n">
        <v>5.55037021636963</v>
      </c>
      <c r="AU433" s="3" t="n">
        <v>4.93606424331665</v>
      </c>
      <c r="AV433" s="3" t="n">
        <v>7.21078014373779</v>
      </c>
      <c r="AW433" s="3" t="n"/>
      <c r="AX433" s="3" t="n">
        <v>4.32572984695435</v>
      </c>
      <c r="AY433" s="3" t="n"/>
      <c r="AZ433" s="3" t="n"/>
      <c r="BA433" s="3" t="n">
        <v>4.69013023376465</v>
      </c>
      <c r="BB433" s="3" t="n"/>
      <c r="BC433" s="3" t="n">
        <v>5.14484977722168</v>
      </c>
      <c r="BD433" s="3" t="n">
        <v>4.64510011672974</v>
      </c>
      <c r="BE433" s="3" t="n">
        <v>4.60902976989746</v>
      </c>
      <c r="BF433" s="3" t="n">
        <v>5.96198511123657</v>
      </c>
      <c r="BG433" s="3" t="n">
        <v>5.24104022979736</v>
      </c>
      <c r="BH433" s="3" t="n">
        <v>5.42825603485107</v>
      </c>
      <c r="BI433" s="3" t="n">
        <v>4.38715648651123</v>
      </c>
      <c r="BJ433" s="3" t="n">
        <v>5.20043277740479</v>
      </c>
      <c r="BK433" s="3" t="n">
        <v>4.31822395324707</v>
      </c>
      <c r="BL433" s="3" t="n">
        <v>3.99742722511292</v>
      </c>
      <c r="BM433" s="3" t="n">
        <v>3.65236973762512</v>
      </c>
      <c r="BN433" s="3" t="n">
        <v>4.66345500946045</v>
      </c>
      <c r="BO433" s="3" t="n">
        <v>3.34389615058899</v>
      </c>
      <c r="BP433" s="3" t="n">
        <v>4.18056726455688</v>
      </c>
      <c r="BQ433" s="3" t="n">
        <v>3.74101543426514</v>
      </c>
      <c r="BR433" s="34" t="str">
        <f>B433&amp;"|"&amp;D433</f>
        <v>MNG|SE.XPD.TOTL.GD.ZS</v>
      </c>
    </row>
    <row r="434">
      <c r="A434" s="3" t="inlineStr">
        <is>
          <t>Northern Mariana Islands</t>
        </is>
      </c>
      <c r="B434" s="3" t="inlineStr">
        <is>
          <t>MNP</t>
        </is>
      </c>
      <c r="C434" s="3" t="inlineStr">
        <is>
          <t>Government expenditure on education, total (% of GDP)</t>
        </is>
      </c>
      <c r="D434" s="3" t="inlineStr">
        <is>
          <t>SE.XPD.TOTL.GD.ZS</t>
        </is>
      </c>
      <c r="E434" s="3" t="inlineStr">
        <is>
          <t>0x2a</t>
        </is>
      </c>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c r="AD434" s="3" t="n"/>
      <c r="AE434" s="3" t="n"/>
      <c r="AF434" s="3" t="n"/>
      <c r="AG434" s="3" t="n"/>
      <c r="AH434" s="3" t="n"/>
      <c r="AI434" s="3" t="n"/>
      <c r="AJ434" s="3" t="n"/>
      <c r="AK434" s="3" t="n"/>
      <c r="AL434" s="3" t="n"/>
      <c r="AM434" s="3" t="n"/>
      <c r="AN434" s="3" t="n"/>
      <c r="AO434" s="3" t="n"/>
      <c r="AP434" s="3" t="n"/>
      <c r="AQ434" s="3" t="n"/>
      <c r="AR434" s="3" t="n"/>
      <c r="AS434" s="3" t="n"/>
      <c r="AT434" s="3" t="n"/>
      <c r="AU434" s="3" t="n"/>
      <c r="AV434" s="3" t="n"/>
      <c r="AW434" s="3" t="n"/>
      <c r="AX434" s="3" t="n"/>
      <c r="AY434" s="3" t="n"/>
      <c r="AZ434" s="3" t="n"/>
      <c r="BA434" s="3" t="n"/>
      <c r="BB434" s="3" t="n"/>
      <c r="BC434" s="3" t="n"/>
      <c r="BD434" s="3" t="n"/>
      <c r="BE434" s="3" t="n"/>
      <c r="BF434" s="3" t="n"/>
      <c r="BG434" s="3" t="n"/>
      <c r="BH434" s="3" t="n"/>
      <c r="BI434" s="3" t="n"/>
      <c r="BJ434" s="3" t="n"/>
      <c r="BK434" s="3" t="n"/>
      <c r="BL434" s="3" t="n"/>
      <c r="BM434" s="3" t="n"/>
      <c r="BN434" s="3" t="n"/>
      <c r="BO434" s="3" t="n"/>
      <c r="BP434" s="3" t="n"/>
      <c r="BQ434" s="3" t="n"/>
      <c r="BR434" s="34" t="str">
        <f>B434&amp;"|"&amp;D434</f>
        <v>MNP|SE.XPD.TOTL.GD.ZS</v>
      </c>
    </row>
    <row r="435">
      <c r="A435" s="3" t="inlineStr">
        <is>
          <t>Mozambique</t>
        </is>
      </c>
      <c r="B435" s="3" t="inlineStr">
        <is>
          <t>MOZ</t>
        </is>
      </c>
      <c r="C435" s="3" t="inlineStr">
        <is>
          <t>Government expenditure on education, total (% of GDP)</t>
        </is>
      </c>
      <c r="D435" s="3" t="inlineStr">
        <is>
          <t>SE.XPD.TOTL.GD.ZS</t>
        </is>
      </c>
      <c r="E435" s="3" t="n">
        <v>2022</v>
      </c>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c r="AD435" s="3" t="n"/>
      <c r="AE435" s="3" t="n"/>
      <c r="AF435" s="3" t="n"/>
      <c r="AG435" s="3" t="n"/>
      <c r="AH435" s="3" t="n"/>
      <c r="AI435" s="3" t="n"/>
      <c r="AJ435" s="3" t="n"/>
      <c r="AK435" s="3" t="n"/>
      <c r="AL435" s="3" t="n"/>
      <c r="AM435" s="3" t="n"/>
      <c r="AN435" s="3" t="n"/>
      <c r="AO435" s="3" t="n"/>
      <c r="AP435" s="3" t="n"/>
      <c r="AQ435" s="3" t="n"/>
      <c r="AR435" s="3" t="n">
        <v>1.80137002468109</v>
      </c>
      <c r="AS435" s="3" t="n">
        <v>2.64153003692627</v>
      </c>
      <c r="AT435" s="3" t="n"/>
      <c r="AU435" s="3" t="n"/>
      <c r="AV435" s="3" t="n"/>
      <c r="AW435" s="3" t="n"/>
      <c r="AX435" s="3" t="n">
        <v>3.19839000701904</v>
      </c>
      <c r="AY435" s="3" t="n">
        <v>3.85834002494812</v>
      </c>
      <c r="AZ435" s="3" t="n">
        <v>3.7359299659729</v>
      </c>
      <c r="BA435" s="3" t="n"/>
      <c r="BB435" s="3" t="n"/>
      <c r="BC435" s="3" t="n"/>
      <c r="BD435" s="3" t="n">
        <v>5.39052867889404</v>
      </c>
      <c r="BE435" s="3" t="n">
        <v>5.62194490432739</v>
      </c>
      <c r="BF435" s="3" t="n">
        <v>5.5575098991394</v>
      </c>
      <c r="BG435" s="3" t="n">
        <v>6.03576993942261</v>
      </c>
      <c r="BH435" s="3" t="n">
        <v>6.49390125274658</v>
      </c>
      <c r="BI435" s="3" t="n">
        <v>6.01083421707153</v>
      </c>
      <c r="BJ435" s="3" t="n">
        <v>5.80086994171143</v>
      </c>
      <c r="BK435" s="3" t="n">
        <v>5.48664999008179</v>
      </c>
      <c r="BL435" s="3" t="n">
        <v>5.38976001739502</v>
      </c>
      <c r="BM435" s="3" t="n">
        <v>6.2863941192627</v>
      </c>
      <c r="BN435" s="3" t="n">
        <v>6.64256286621094</v>
      </c>
      <c r="BO435" s="3" t="n">
        <v>6.49789762496948</v>
      </c>
      <c r="BP435" s="3" t="n">
        <v>6.16198396682739</v>
      </c>
      <c r="BQ435" s="3" t="n"/>
      <c r="BR435" s="34" t="str">
        <f>B435&amp;"|"&amp;D435</f>
        <v>MOZ|SE.XPD.TOTL.GD.ZS</v>
      </c>
    </row>
    <row r="436">
      <c r="A436" s="3" t="inlineStr">
        <is>
          <t>Mauritania</t>
        </is>
      </c>
      <c r="B436" s="3" t="inlineStr">
        <is>
          <t>MRT</t>
        </is>
      </c>
      <c r="C436" s="3" t="inlineStr">
        <is>
          <t>Government expenditure on education, total (% of GDP)</t>
        </is>
      </c>
      <c r="D436" s="3" t="inlineStr">
        <is>
          <t>SE.XPD.TOTL.GD.ZS</t>
        </is>
      </c>
      <c r="E436" s="3" t="n">
        <v>2023</v>
      </c>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c r="AD436" s="3" t="n"/>
      <c r="AE436" s="3" t="n"/>
      <c r="AF436" s="3" t="n"/>
      <c r="AG436" s="3" t="n"/>
      <c r="AH436" s="3" t="n"/>
      <c r="AI436" s="3" t="n"/>
      <c r="AJ436" s="3" t="n"/>
      <c r="AK436" s="3" t="n"/>
      <c r="AL436" s="3" t="n"/>
      <c r="AM436" s="3" t="n"/>
      <c r="AN436" s="3" t="n"/>
      <c r="AO436" s="3" t="n"/>
      <c r="AP436" s="3" t="n"/>
      <c r="AQ436" s="3" t="n">
        <v>1.58580005168915</v>
      </c>
      <c r="AR436" s="3" t="n"/>
      <c r="AS436" s="3" t="n">
        <v>1.72203004360199</v>
      </c>
      <c r="AT436" s="3" t="n"/>
      <c r="AU436" s="3" t="n">
        <v>2.10683989524841</v>
      </c>
      <c r="AV436" s="3" t="n">
        <v>2.27714991569519</v>
      </c>
      <c r="AW436" s="3" t="n">
        <v>2.36501002311707</v>
      </c>
      <c r="AX436" s="3" t="n">
        <v>1.9507999420166</v>
      </c>
      <c r="AY436" s="3" t="n"/>
      <c r="AZ436" s="3" t="n">
        <v>1.95851004123688</v>
      </c>
      <c r="BA436" s="3" t="n"/>
      <c r="BB436" s="3" t="n"/>
      <c r="BC436" s="3" t="n"/>
      <c r="BD436" s="3" t="n"/>
      <c r="BE436" s="3" t="n">
        <v>2.33102011680603</v>
      </c>
      <c r="BF436" s="3" t="n">
        <v>2.15821003913879</v>
      </c>
      <c r="BG436" s="3" t="n">
        <v>2.29354000091553</v>
      </c>
      <c r="BH436" s="3" t="n">
        <v>2.55796432495117</v>
      </c>
      <c r="BI436" s="3" t="n">
        <v>2.82956600189209</v>
      </c>
      <c r="BJ436" s="3" t="n">
        <v>1.94405996799469</v>
      </c>
      <c r="BK436" s="3" t="n"/>
      <c r="BL436" s="3" t="n"/>
      <c r="BM436" s="3" t="n">
        <v>1.82317996025085</v>
      </c>
      <c r="BN436" s="3" t="n">
        <v>1.802649974823</v>
      </c>
      <c r="BO436" s="3" t="n">
        <v>1.891970038414</v>
      </c>
      <c r="BP436" s="3" t="n">
        <v>2.44024252891541</v>
      </c>
      <c r="BQ436" s="3" t="n">
        <v>2.64603042602539</v>
      </c>
      <c r="BR436" s="34" t="str">
        <f>B436&amp;"|"&amp;D436</f>
        <v>MRT|SE.XPD.TOTL.GD.ZS</v>
      </c>
    </row>
    <row r="437">
      <c r="A437" s="3" t="inlineStr">
        <is>
          <t>Mauritius</t>
        </is>
      </c>
      <c r="B437" s="3" t="inlineStr">
        <is>
          <t>MUS</t>
        </is>
      </c>
      <c r="C437" s="3" t="inlineStr">
        <is>
          <t>Government expenditure on education, total (% of GDP)</t>
        </is>
      </c>
      <c r="D437" s="3" t="inlineStr">
        <is>
          <t>SE.XPD.TOTL.GD.ZS</t>
        </is>
      </c>
      <c r="E437" s="3" t="n">
        <v>2023</v>
      </c>
      <c r="F437" s="3" t="n"/>
      <c r="G437" s="3" t="n"/>
      <c r="H437" s="3" t="n"/>
      <c r="I437" s="3" t="n"/>
      <c r="J437" s="3" t="n"/>
      <c r="K437" s="3" t="n"/>
      <c r="L437" s="3" t="n"/>
      <c r="M437" s="3" t="n"/>
      <c r="N437" s="3" t="n"/>
      <c r="O437" s="3" t="n"/>
      <c r="P437" s="3" t="n"/>
      <c r="Q437" s="3" t="n">
        <v>3.11274003982544</v>
      </c>
      <c r="R437" s="3" t="n">
        <v>3.07091999053955</v>
      </c>
      <c r="S437" s="3" t="n">
        <v>2.78133010864258</v>
      </c>
      <c r="T437" s="3" t="n"/>
      <c r="U437" s="3" t="n">
        <v>2.51991009712219</v>
      </c>
      <c r="V437" s="3" t="n"/>
      <c r="W437" s="3" t="n">
        <v>4.3818998336792</v>
      </c>
      <c r="X437" s="3" t="n">
        <v>5.49202013015747</v>
      </c>
      <c r="Y437" s="3" t="n"/>
      <c r="Z437" s="3" t="n"/>
      <c r="AA437" s="3" t="n">
        <v>4.98683977127075</v>
      </c>
      <c r="AB437" s="3" t="n">
        <v>4.54262018203735</v>
      </c>
      <c r="AC437" s="3" t="n">
        <v>4.39455986022949</v>
      </c>
      <c r="AD437" s="3" t="n">
        <v>4.03251981735229</v>
      </c>
      <c r="AE437" s="3" t="n">
        <v>3.91043996810913</v>
      </c>
      <c r="AF437" s="3" t="n">
        <v>3.43728995323181</v>
      </c>
      <c r="AG437" s="3" t="n">
        <v>3.01674008369446</v>
      </c>
      <c r="AH437" s="3" t="n">
        <v>3.08984994888306</v>
      </c>
      <c r="AI437" s="3" t="n">
        <v>3.46896004676819</v>
      </c>
      <c r="AJ437" s="3" t="n">
        <v>3.12822008132935</v>
      </c>
      <c r="AK437" s="3" t="n">
        <v>3.46325993537903</v>
      </c>
      <c r="AL437" s="3" t="n"/>
      <c r="AM437" s="3" t="n"/>
      <c r="AN437" s="3" t="n"/>
      <c r="AO437" s="3" t="n"/>
      <c r="AP437" s="3" t="n"/>
      <c r="AQ437" s="3" t="n"/>
      <c r="AR437" s="3" t="n"/>
      <c r="AS437" s="3" t="n">
        <v>3.88741993904114</v>
      </c>
      <c r="AT437" s="3" t="n">
        <v>3.71903991699219</v>
      </c>
      <c r="AU437" s="3" t="n">
        <v>3.07347989082336</v>
      </c>
      <c r="AV437" s="3" t="n">
        <v>3.02024006843567</v>
      </c>
      <c r="AW437" s="3" t="n">
        <v>4.35717010498047</v>
      </c>
      <c r="AX437" s="3" t="n">
        <v>4.25577020645142</v>
      </c>
      <c r="AY437" s="3" t="n">
        <v>4.02402019500732</v>
      </c>
      <c r="AZ437" s="3" t="n">
        <v>3.64839005470276</v>
      </c>
      <c r="BA437" s="3" t="n">
        <v>3.18540000915527</v>
      </c>
      <c r="BB437" s="3" t="n">
        <v>3.06307005882263</v>
      </c>
      <c r="BC437" s="3" t="n">
        <v>3.04731011390686</v>
      </c>
      <c r="BD437" s="3" t="n">
        <v>3.55147004127502</v>
      </c>
      <c r="BE437" s="3" t="n">
        <v>3.33207011222839</v>
      </c>
      <c r="BF437" s="3" t="n">
        <v>3.41820001602173</v>
      </c>
      <c r="BG437" s="3" t="n">
        <v>3.56775999069214</v>
      </c>
      <c r="BH437" s="3" t="n">
        <v>4.81514978408813</v>
      </c>
      <c r="BI437" s="3" t="n">
        <v>4.75847005844116</v>
      </c>
      <c r="BJ437" s="3" t="n">
        <v>4.88207006454468</v>
      </c>
      <c r="BK437" s="3" t="n">
        <v>4.87887001037598</v>
      </c>
      <c r="BL437" s="3" t="n">
        <v>4.67447996139526</v>
      </c>
      <c r="BM437" s="3" t="n">
        <v>4.54195022583008</v>
      </c>
      <c r="BN437" s="3" t="n">
        <v>4.35243988037109</v>
      </c>
      <c r="BO437" s="3" t="n">
        <v>4.67151021957397</v>
      </c>
      <c r="BP437" s="3" t="n">
        <v>4.84085988998413</v>
      </c>
      <c r="BQ437" s="3" t="n">
        <v>4.56763982772827</v>
      </c>
      <c r="BR437" s="34" t="str">
        <f>B437&amp;"|"&amp;D437</f>
        <v>MUS|SE.XPD.TOTL.GD.ZS</v>
      </c>
    </row>
    <row r="438">
      <c r="A438" s="3" t="inlineStr">
        <is>
          <t>Malawi</t>
        </is>
      </c>
      <c r="B438" s="3" t="inlineStr">
        <is>
          <t>MWI</t>
        </is>
      </c>
      <c r="C438" s="3" t="inlineStr">
        <is>
          <t>Government expenditure on education, total (% of GDP)</t>
        </is>
      </c>
      <c r="D438" s="3" t="inlineStr">
        <is>
          <t>SE.XPD.TOTL.GD.ZS</t>
        </is>
      </c>
      <c r="E438" s="3" t="n">
        <v>2018</v>
      </c>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c r="AD438" s="3" t="n"/>
      <c r="AE438" s="3" t="n"/>
      <c r="AF438" s="3" t="n">
        <v>2.19795989990234</v>
      </c>
      <c r="AG438" s="3" t="n">
        <v>2.42225003242493</v>
      </c>
      <c r="AH438" s="3" t="n">
        <v>2.17925000190735</v>
      </c>
      <c r="AI438" s="3" t="n">
        <v>2.18262004852295</v>
      </c>
      <c r="AJ438" s="3" t="n">
        <v>2.24734997749329</v>
      </c>
      <c r="AK438" s="3" t="n"/>
      <c r="AL438" s="3" t="n"/>
      <c r="AM438" s="3" t="n"/>
      <c r="AN438" s="3" t="n"/>
      <c r="AO438" s="3" t="n">
        <v>2.75467991828918</v>
      </c>
      <c r="AP438" s="3" t="n">
        <v>3.69773006439209</v>
      </c>
      <c r="AQ438" s="3" t="n"/>
      <c r="AR438" s="3" t="n"/>
      <c r="AS438" s="3" t="n">
        <v>3.43224000930786</v>
      </c>
      <c r="AT438" s="3" t="n">
        <v>3.60612988471985</v>
      </c>
      <c r="AU438" s="3" t="n">
        <v>3.09834003448486</v>
      </c>
      <c r="AV438" s="3" t="n"/>
      <c r="AW438" s="3" t="n">
        <v>2.20964002609253</v>
      </c>
      <c r="AX438" s="3" t="n"/>
      <c r="AY438" s="3" t="n"/>
      <c r="AZ438" s="3" t="n"/>
      <c r="BA438" s="3" t="n"/>
      <c r="BB438" s="3" t="n"/>
      <c r="BC438" s="3" t="n"/>
      <c r="BD438" s="3" t="n">
        <v>2.43236994743347</v>
      </c>
      <c r="BE438" s="3" t="n">
        <v>2.85346007347107</v>
      </c>
      <c r="BF438" s="3" t="n">
        <v>2.52861189842224</v>
      </c>
      <c r="BG438" s="3" t="n">
        <v>3.92116975784302</v>
      </c>
      <c r="BH438" s="3" t="n">
        <v>3.66006016731262</v>
      </c>
      <c r="BI438" s="3" t="n">
        <v>3.44449663162231</v>
      </c>
      <c r="BJ438" s="3" t="n">
        <v>3.24413061141968</v>
      </c>
      <c r="BK438" s="3" t="n">
        <v>3.57505488395691</v>
      </c>
      <c r="BL438" s="3" t="n">
        <v>3.32295989990234</v>
      </c>
      <c r="BM438" s="3" t="n"/>
      <c r="BN438" s="3" t="n"/>
      <c r="BO438" s="3" t="n"/>
      <c r="BP438" s="3" t="n"/>
      <c r="BQ438" s="3" t="n"/>
      <c r="BR438" s="34" t="str">
        <f>B438&amp;"|"&amp;D438</f>
        <v>MWI|SE.XPD.TOTL.GD.ZS</v>
      </c>
    </row>
    <row r="439">
      <c r="A439" s="3" t="inlineStr">
        <is>
          <t>Malaysia</t>
        </is>
      </c>
      <c r="B439" s="3" t="inlineStr">
        <is>
          <t>MYS</t>
        </is>
      </c>
      <c r="C439" s="3" t="inlineStr">
        <is>
          <t>Government expenditure on education, total (% of GDP)</t>
        </is>
      </c>
      <c r="D439" s="3" t="inlineStr">
        <is>
          <t>SE.XPD.TOTL.GD.ZS</t>
        </is>
      </c>
      <c r="E439" s="3" t="n">
        <v>2023</v>
      </c>
      <c r="F439" s="3" t="n"/>
      <c r="G439" s="3" t="n"/>
      <c r="H439" s="3" t="n"/>
      <c r="I439" s="3" t="n"/>
      <c r="J439" s="3" t="n"/>
      <c r="K439" s="3" t="n"/>
      <c r="L439" s="3" t="n"/>
      <c r="M439" s="3" t="n"/>
      <c r="N439" s="3" t="n"/>
      <c r="O439" s="3" t="n"/>
      <c r="P439" s="3" t="n"/>
      <c r="Q439" s="3" t="n">
        <v>4.55094003677368</v>
      </c>
      <c r="R439" s="3" t="n"/>
      <c r="S439" s="3" t="n"/>
      <c r="T439" s="3" t="n"/>
      <c r="U439" s="3" t="n"/>
      <c r="V439" s="3" t="n"/>
      <c r="W439" s="3" t="n"/>
      <c r="X439" s="3" t="n"/>
      <c r="Y439" s="3" t="n">
        <v>5.08760976791382</v>
      </c>
      <c r="Z439" s="3" t="n">
        <v>5.72619009017944</v>
      </c>
      <c r="AA439" s="3" t="n">
        <v>6.69696998596191</v>
      </c>
      <c r="AB439" s="3" t="n">
        <v>7.03278017044067</v>
      </c>
      <c r="AC439" s="3" t="n"/>
      <c r="AD439" s="3" t="n">
        <v>5.66629981994629</v>
      </c>
      <c r="AE439" s="3" t="n">
        <v>6.1111102104187</v>
      </c>
      <c r="AF439" s="3" t="n">
        <v>7.24336004257202</v>
      </c>
      <c r="AG439" s="3" t="n">
        <v>6.32600021362305</v>
      </c>
      <c r="AH439" s="3" t="n"/>
      <c r="AI439" s="3" t="n"/>
      <c r="AJ439" s="3" t="n"/>
      <c r="AK439" s="3" t="n"/>
      <c r="AL439" s="3" t="n">
        <v>5.11143016815186</v>
      </c>
      <c r="AM439" s="3" t="n">
        <v>4.65463018417358</v>
      </c>
      <c r="AN439" s="3" t="n">
        <v>4.70528984069824</v>
      </c>
      <c r="AO439" s="3" t="n">
        <v>4.3425498008728</v>
      </c>
      <c r="AP439" s="3" t="n">
        <v>4.91384983062744</v>
      </c>
      <c r="AQ439" s="3" t="n">
        <v>4.62037992477417</v>
      </c>
      <c r="AR439" s="3" t="n"/>
      <c r="AS439" s="3" t="n">
        <v>5.68678998947144</v>
      </c>
      <c r="AT439" s="3" t="n">
        <v>5.9716100692749</v>
      </c>
      <c r="AU439" s="3" t="n">
        <v>7.48446989059448</v>
      </c>
      <c r="AV439" s="3" t="n">
        <v>7.65792989730835</v>
      </c>
      <c r="AW439" s="3" t="n">
        <v>7.50288009643555</v>
      </c>
      <c r="AX439" s="3" t="n">
        <v>5.92389011383057</v>
      </c>
      <c r="AY439" s="3" t="n"/>
      <c r="AZ439" s="3" t="n">
        <v>4.48576021194458</v>
      </c>
      <c r="BA439" s="3" t="n">
        <v>4.37253999710083</v>
      </c>
      <c r="BB439" s="3" t="n">
        <v>3.95851993560791</v>
      </c>
      <c r="BC439" s="3" t="n">
        <v>5.97418022155762</v>
      </c>
      <c r="BD439" s="3" t="n">
        <v>4.96645021438599</v>
      </c>
      <c r="BE439" s="3" t="n">
        <v>5.76293992996216</v>
      </c>
      <c r="BF439" s="3" t="n">
        <v>5.73902988433838</v>
      </c>
      <c r="BG439" s="3" t="n">
        <v>5.48120021820068</v>
      </c>
      <c r="BH439" s="3" t="n">
        <v>5.02935981750488</v>
      </c>
      <c r="BI439" s="3" t="n">
        <v>4.70381021499634</v>
      </c>
      <c r="BJ439" s="3" t="n">
        <v>4.34598445892334</v>
      </c>
      <c r="BK439" s="3" t="n">
        <v>4.18488502502441</v>
      </c>
      <c r="BL439" s="3" t="n">
        <v>4.13194847106934</v>
      </c>
      <c r="BM439" s="3" t="n">
        <v>3.97953963279724</v>
      </c>
      <c r="BN439" s="3" t="n">
        <v>4.51888704299927</v>
      </c>
      <c r="BO439" s="3" t="n">
        <v>4.26109409332275</v>
      </c>
      <c r="BP439" s="3" t="n">
        <v>3.49933791160583</v>
      </c>
      <c r="BQ439" s="3" t="n">
        <v>3.62725496292114</v>
      </c>
      <c r="BR439" s="34" t="str">
        <f>B439&amp;"|"&amp;D439</f>
        <v>MYS|SE.XPD.TOTL.GD.ZS</v>
      </c>
    </row>
    <row r="440">
      <c r="A440" s="3" t="inlineStr">
        <is>
          <t>North America</t>
        </is>
      </c>
      <c r="B440" s="3" t="inlineStr">
        <is>
          <t>NAC</t>
        </is>
      </c>
      <c r="C440" s="3" t="inlineStr">
        <is>
          <t>Government expenditure on education, total (% of GDP)</t>
        </is>
      </c>
      <c r="D440" s="3" t="inlineStr">
        <is>
          <t>SE.XPD.TOTL.GD.ZS</t>
        </is>
      </c>
      <c r="E440" s="3" t="n">
        <v>2022</v>
      </c>
      <c r="F440" s="3" t="n"/>
      <c r="G440" s="3" t="n"/>
      <c r="H440" s="3" t="n"/>
      <c r="I440" s="3" t="n"/>
      <c r="J440" s="3" t="n"/>
      <c r="K440" s="3" t="n"/>
      <c r="L440" s="3" t="n"/>
      <c r="M440" s="3" t="n"/>
      <c r="N440" s="3" t="n"/>
      <c r="O440" s="3" t="n"/>
      <c r="P440" s="3" t="n"/>
      <c r="Q440" s="3" t="n">
        <v>7.6842999458313</v>
      </c>
      <c r="R440" s="3" t="n">
        <v>7.58983993530273</v>
      </c>
      <c r="S440" s="3" t="n">
        <v>7.01386976242065</v>
      </c>
      <c r="T440" s="3" t="n">
        <v>6.66716003417969</v>
      </c>
      <c r="U440" s="3" t="n">
        <v>6.42131996154785</v>
      </c>
      <c r="V440" s="3" t="n">
        <v>6.69842004776001</v>
      </c>
      <c r="W440" s="3" t="n">
        <v>6.71091985702515</v>
      </c>
      <c r="X440" s="3" t="n">
        <v>7.07383012771606</v>
      </c>
      <c r="Y440" s="3" t="n">
        <v>6.69220018386841</v>
      </c>
      <c r="Z440" s="3" t="n">
        <v>6.46289014816284</v>
      </c>
      <c r="AA440" s="3" t="n">
        <v>6.409019947052</v>
      </c>
      <c r="AB440" s="3" t="n">
        <v>6.49725008010864</v>
      </c>
      <c r="AC440" s="3" t="n">
        <v>6.85547018051147</v>
      </c>
      <c r="AD440" s="3" t="n">
        <v>6.61841011047363</v>
      </c>
      <c r="AE440" s="3" t="n">
        <v>6.18943023681641</v>
      </c>
      <c r="AF440" s="3" t="n">
        <v>6.02058982849121</v>
      </c>
      <c r="AG440" s="3" t="n">
        <v>6.29827976226807</v>
      </c>
      <c r="AH440" s="3" t="n">
        <v>6.15022993087769</v>
      </c>
      <c r="AI440" s="3" t="n">
        <v>6.07406997680664</v>
      </c>
      <c r="AJ440" s="3" t="n">
        <v>5.96922016143799</v>
      </c>
      <c r="AK440" s="3" t="n">
        <v>6.85951995849609</v>
      </c>
      <c r="AL440" s="3" t="n">
        <v>6.74663019180298</v>
      </c>
      <c r="AM440" s="3" t="n">
        <v>7.67834997177124</v>
      </c>
      <c r="AN440" s="3" t="n">
        <v>6.65829992294312</v>
      </c>
      <c r="AO440" s="3" t="n">
        <v>6.30476999282837</v>
      </c>
      <c r="AP440" s="3" t="n"/>
      <c r="AQ440" s="3" t="n"/>
      <c r="AR440" s="3" t="n">
        <v>5.49377012252808</v>
      </c>
      <c r="AS440" s="3" t="n">
        <v>5.53079986572266</v>
      </c>
      <c r="AT440" s="3" t="n">
        <v>5.754484653472905</v>
      </c>
      <c r="AU440" s="3" t="n">
        <v>5.6259765625</v>
      </c>
      <c r="AV440" s="3" t="n">
        <v>5.676517724990845</v>
      </c>
      <c r="AW440" s="3" t="n">
        <v>6.3286075592041</v>
      </c>
      <c r="AX440" s="3" t="n">
        <v>6.2537636756897</v>
      </c>
      <c r="AY440" s="3" t="n">
        <v>5.468431711196899</v>
      </c>
      <c r="AZ440" s="3" t="n">
        <v>6.16402912139893</v>
      </c>
      <c r="BA440" s="3" t="n">
        <v>5.50486421585083</v>
      </c>
      <c r="BB440" s="3" t="n">
        <v>5.531103134155275</v>
      </c>
      <c r="BC440" s="3" t="n">
        <v>5.78963923454285</v>
      </c>
      <c r="BD440" s="3" t="n">
        <v>6.02546191215515</v>
      </c>
      <c r="BE440" s="3" t="n">
        <v>5.8798668384552</v>
      </c>
      <c r="BF440" s="3" t="n">
        <v>5.473236799240115</v>
      </c>
      <c r="BG440" s="3" t="n">
        <v>5.40913391113281</v>
      </c>
      <c r="BH440" s="3" t="n">
        <v>5.486397743225095</v>
      </c>
      <c r="BI440" s="3" t="n">
        <v>4.835005044937136</v>
      </c>
      <c r="BJ440" s="3" t="n">
        <v>4.799849987030029</v>
      </c>
      <c r="BK440" s="3" t="n">
        <v>5.026469945907595</v>
      </c>
      <c r="BL440" s="3" t="n">
        <v>4.89199995994568</v>
      </c>
      <c r="BM440" s="3" t="n">
        <v>4.86520004272461</v>
      </c>
      <c r="BN440" s="3" t="n">
        <v>5.143965005874635</v>
      </c>
      <c r="BO440" s="3" t="n">
        <v>5.088449954986575</v>
      </c>
      <c r="BP440" s="3" t="n">
        <v>4.13957166671753</v>
      </c>
      <c r="BQ440" s="3" t="n"/>
      <c r="BR440" s="34" t="str">
        <f>B440&amp;"|"&amp;D440</f>
        <v>NAC|SE.XPD.TOTL.GD.ZS</v>
      </c>
    </row>
    <row r="441">
      <c r="A441" s="3" t="inlineStr">
        <is>
          <t>Namibia</t>
        </is>
      </c>
      <c r="B441" s="3" t="inlineStr">
        <is>
          <t>NAM</t>
        </is>
      </c>
      <c r="C441" s="3" t="inlineStr">
        <is>
          <t>Government expenditure on education, total (% of GDP)</t>
        </is>
      </c>
      <c r="D441" s="3" t="inlineStr">
        <is>
          <t>SE.XPD.TOTL.GD.ZS</t>
        </is>
      </c>
      <c r="E441" s="3" t="n">
        <v>2023</v>
      </c>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c r="AD441" s="3" t="n"/>
      <c r="AE441" s="3" t="n"/>
      <c r="AF441" s="3" t="n"/>
      <c r="AG441" s="3" t="n"/>
      <c r="AH441" s="3" t="n"/>
      <c r="AI441" s="3" t="n"/>
      <c r="AJ441" s="3" t="n"/>
      <c r="AK441" s="3" t="n"/>
      <c r="AL441" s="3" t="n"/>
      <c r="AM441" s="3" t="n"/>
      <c r="AN441" s="3" t="n"/>
      <c r="AO441" s="3" t="n"/>
      <c r="AP441" s="3" t="n"/>
      <c r="AQ441" s="3" t="n"/>
      <c r="AR441" s="3" t="n"/>
      <c r="AS441" s="3" t="n">
        <v>7.13076019287109</v>
      </c>
      <c r="AT441" s="3" t="n">
        <v>6.901780128479</v>
      </c>
      <c r="AU441" s="3" t="n">
        <v>6.88886976242065</v>
      </c>
      <c r="AV441" s="3" t="n">
        <v>6.7423300743103</v>
      </c>
      <c r="AW441" s="3" t="n">
        <v>6.13713979721069</v>
      </c>
      <c r="AX441" s="3" t="n"/>
      <c r="AY441" s="3" t="n"/>
      <c r="AZ441" s="3" t="n">
        <v>6.03171014785767</v>
      </c>
      <c r="BA441" s="3" t="n"/>
      <c r="BB441" s="3" t="n">
        <v>6.40342998504639</v>
      </c>
      <c r="BC441" s="3" t="n"/>
      <c r="BD441" s="3" t="n">
        <v>8.24330043792725</v>
      </c>
      <c r="BE441" s="3" t="n">
        <v>8.021379470825201</v>
      </c>
      <c r="BF441" s="3" t="n">
        <v>9.24281215667725</v>
      </c>
      <c r="BG441" s="3" t="n">
        <v>8.59541702270508</v>
      </c>
      <c r="BH441" s="3" t="n">
        <v>9.56250667572021</v>
      </c>
      <c r="BI441" s="3" t="n">
        <v>9.85076808929443</v>
      </c>
      <c r="BJ441" s="3" t="n">
        <v>10.592794418335</v>
      </c>
      <c r="BK441" s="3" t="n">
        <v>9.70867252349854</v>
      </c>
      <c r="BL441" s="3" t="n">
        <v>8.88112258911133</v>
      </c>
      <c r="BM441" s="3" t="n">
        <v>9.322531700134279</v>
      </c>
      <c r="BN441" s="3" t="n">
        <v>9.277998924255369</v>
      </c>
      <c r="BO441" s="3" t="n">
        <v>10.3914480209351</v>
      </c>
      <c r="BP441" s="3" t="n">
        <v>9.67791175842285</v>
      </c>
      <c r="BQ441" s="3" t="n">
        <v>9.04451274871826</v>
      </c>
      <c r="BR441" s="34" t="str">
        <f>B441&amp;"|"&amp;D441</f>
        <v>NAM|SE.XPD.TOTL.GD.ZS</v>
      </c>
    </row>
    <row r="442">
      <c r="A442" s="3" t="inlineStr">
        <is>
          <t>New Caledonia</t>
        </is>
      </c>
      <c r="B442" s="3" t="inlineStr">
        <is>
          <t>NCL</t>
        </is>
      </c>
      <c r="C442" s="3" t="inlineStr">
        <is>
          <t>Government expenditure on education, total (% of GDP)</t>
        </is>
      </c>
      <c r="D442" s="3" t="inlineStr">
        <is>
          <t>SE.XPD.TOTL.GD.ZS</t>
        </is>
      </c>
      <c r="E442" s="3" t="inlineStr">
        <is>
          <t>0x2a</t>
        </is>
      </c>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c r="AD442" s="3" t="n"/>
      <c r="AE442" s="3" t="n"/>
      <c r="AF442" s="3" t="n"/>
      <c r="AG442" s="3" t="n"/>
      <c r="AH442" s="3" t="n"/>
      <c r="AI442" s="3" t="n"/>
      <c r="AJ442" s="3" t="n"/>
      <c r="AK442" s="3" t="n"/>
      <c r="AL442" s="3" t="n"/>
      <c r="AM442" s="3" t="n"/>
      <c r="AN442" s="3" t="n"/>
      <c r="AO442" s="3" t="n"/>
      <c r="AP442" s="3" t="n"/>
      <c r="AQ442" s="3" t="n"/>
      <c r="AR442" s="3" t="n"/>
      <c r="AS442" s="3" t="n"/>
      <c r="AT442" s="3" t="n"/>
      <c r="AU442" s="3" t="n"/>
      <c r="AV442" s="3" t="n"/>
      <c r="AW442" s="3" t="n"/>
      <c r="AX442" s="3" t="n"/>
      <c r="AY442" s="3" t="n"/>
      <c r="AZ442" s="3" t="n"/>
      <c r="BA442" s="3" t="n"/>
      <c r="BB442" s="3" t="n"/>
      <c r="BC442" s="3" t="n"/>
      <c r="BD442" s="3" t="n"/>
      <c r="BE442" s="3" t="n"/>
      <c r="BF442" s="3" t="n"/>
      <c r="BG442" s="3" t="n"/>
      <c r="BH442" s="3" t="n"/>
      <c r="BI442" s="3" t="n"/>
      <c r="BJ442" s="3" t="n"/>
      <c r="BK442" s="3" t="n"/>
      <c r="BL442" s="3" t="n"/>
      <c r="BM442" s="3" t="n"/>
      <c r="BN442" s="3" t="n"/>
      <c r="BO442" s="3" t="n"/>
      <c r="BP442" s="3" t="n"/>
      <c r="BQ442" s="3" t="n"/>
      <c r="BR442" s="34" t="str">
        <f>B442&amp;"|"&amp;D442</f>
        <v>NCL|SE.XPD.TOTL.GD.ZS</v>
      </c>
    </row>
    <row r="443">
      <c r="A443" s="3" t="inlineStr">
        <is>
          <t>Niger</t>
        </is>
      </c>
      <c r="B443" s="3" t="inlineStr">
        <is>
          <t>NER</t>
        </is>
      </c>
      <c r="C443" s="3" t="inlineStr">
        <is>
          <t>Government expenditure on education, total (% of GDP)</t>
        </is>
      </c>
      <c r="D443" s="3" t="inlineStr">
        <is>
          <t>SE.XPD.TOTL.GD.ZS</t>
        </is>
      </c>
      <c r="E443" s="3" t="n">
        <v>2022</v>
      </c>
      <c r="F443" s="3" t="n"/>
      <c r="G443" s="3" t="n"/>
      <c r="H443" s="3" t="n"/>
      <c r="I443" s="3" t="n"/>
      <c r="J443" s="3" t="n"/>
      <c r="K443" s="3" t="n"/>
      <c r="L443" s="3" t="n"/>
      <c r="M443" s="3" t="n"/>
      <c r="N443" s="3" t="n"/>
      <c r="O443" s="3" t="n"/>
      <c r="P443" s="3" t="n"/>
      <c r="Q443" s="3" t="n">
        <v>1.0522700548172</v>
      </c>
      <c r="R443" s="3" t="n"/>
      <c r="S443" s="3" t="n"/>
      <c r="T443" s="3" t="n"/>
      <c r="U443" s="3" t="n"/>
      <c r="V443" s="3" t="n"/>
      <c r="W443" s="3" t="n"/>
      <c r="X443" s="3" t="n"/>
      <c r="Y443" s="3" t="n"/>
      <c r="Z443" s="3" t="n"/>
      <c r="AA443" s="3" t="n"/>
      <c r="AB443" s="3" t="n"/>
      <c r="AC443" s="3" t="n"/>
      <c r="AD443" s="3" t="n"/>
      <c r="AE443" s="3" t="n"/>
      <c r="AF443" s="3" t="n"/>
      <c r="AG443" s="3" t="n"/>
      <c r="AH443" s="3" t="n"/>
      <c r="AI443" s="3" t="n"/>
      <c r="AJ443" s="3" t="n">
        <v>2.07436990737915</v>
      </c>
      <c r="AK443" s="3" t="n">
        <v>2.30833005905151</v>
      </c>
      <c r="AL443" s="3" t="n">
        <v>2.24298000335693</v>
      </c>
      <c r="AM443" s="3" t="n">
        <v>2.06511998176575</v>
      </c>
      <c r="AN443" s="3" t="n">
        <v>2.26538991928101</v>
      </c>
      <c r="AO443" s="3" t="n">
        <v>2.32975006103516</v>
      </c>
      <c r="AP443" s="3" t="n">
        <v>2.14418005943298</v>
      </c>
      <c r="AQ443" s="3" t="n"/>
      <c r="AR443" s="3" t="n"/>
      <c r="AS443" s="3" t="n">
        <v>2.56853008270264</v>
      </c>
      <c r="AT443" s="3" t="n">
        <v>2.5650200843811</v>
      </c>
      <c r="AU443" s="3" t="n">
        <v>2.27981996536255</v>
      </c>
      <c r="AV443" s="3" t="n">
        <v>2.40134000778198</v>
      </c>
      <c r="AW443" s="3" t="n">
        <v>1.93705999851227</v>
      </c>
      <c r="AX443" s="3" t="n"/>
      <c r="AY443" s="3" t="n"/>
      <c r="AZ443" s="3" t="n">
        <v>2.55852007865906</v>
      </c>
      <c r="BA443" s="3" t="n">
        <v>3.01462006568909</v>
      </c>
      <c r="BB443" s="3" t="n">
        <v>2.72311997413635</v>
      </c>
      <c r="BC443" s="3" t="n">
        <v>3.33588004112244</v>
      </c>
      <c r="BD443" s="3" t="n">
        <v>2.7219500541687</v>
      </c>
      <c r="BE443" s="3" t="n">
        <v>3.07762002944946</v>
      </c>
      <c r="BF443" s="3" t="n">
        <v>3.1868200302124</v>
      </c>
      <c r="BG443" s="3" t="n">
        <v>3.68952989578247</v>
      </c>
      <c r="BH443" s="3" t="n">
        <v>5.10368013381958</v>
      </c>
      <c r="BI443" s="3" t="n">
        <v>4.48669004440308</v>
      </c>
      <c r="BJ443" s="3" t="n">
        <v>2.95843005180359</v>
      </c>
      <c r="BK443" s="3" t="n">
        <v>2.57818007469177</v>
      </c>
      <c r="BL443" s="3" t="n">
        <v>3.44956994056702</v>
      </c>
      <c r="BM443" s="3" t="n">
        <v>3.52622723579407</v>
      </c>
      <c r="BN443" s="3" t="n">
        <v>3.81920099258423</v>
      </c>
      <c r="BO443" s="3" t="n">
        <v>3.82175827026367</v>
      </c>
      <c r="BP443" s="3" t="n">
        <v>4.10143089294434</v>
      </c>
      <c r="BQ443" s="3" t="n"/>
      <c r="BR443" s="34" t="str">
        <f>B443&amp;"|"&amp;D443</f>
        <v>NER|SE.XPD.TOTL.GD.ZS</v>
      </c>
    </row>
    <row r="444">
      <c r="A444" s="3" t="inlineStr">
        <is>
          <t>Nigeria</t>
        </is>
      </c>
      <c r="B444" s="3" t="inlineStr">
        <is>
          <t>NGA</t>
        </is>
      </c>
      <c r="C444" s="3" t="inlineStr">
        <is>
          <t>Government expenditure on education, total (% of GDP)</t>
        </is>
      </c>
      <c r="D444" s="3" t="inlineStr">
        <is>
          <t>SE.XPD.TOTL.GD.ZS</t>
        </is>
      </c>
      <c r="E444" s="3" t="n">
        <v>2022</v>
      </c>
      <c r="F444" s="3" t="n"/>
      <c r="G444" s="3" t="n"/>
      <c r="H444" s="3" t="n"/>
      <c r="I444" s="3" t="n"/>
      <c r="J444" s="3" t="n"/>
      <c r="K444" s="3" t="n"/>
      <c r="L444" s="3" t="n"/>
      <c r="M444" s="3" t="n"/>
      <c r="N444" s="3" t="n"/>
      <c r="O444" s="3" t="n"/>
      <c r="P444" s="3" t="n"/>
      <c r="Q444" s="3" t="n"/>
      <c r="R444" s="3" t="n"/>
      <c r="S444" s="3" t="n"/>
      <c r="T444" s="3" t="n">
        <v>3.21017003059387</v>
      </c>
      <c r="U444" s="3" t="n">
        <v>3.0636899471283</v>
      </c>
      <c r="V444" s="3" t="n"/>
      <c r="W444" s="3" t="n"/>
      <c r="X444" s="3" t="n"/>
      <c r="Y444" s="3" t="n"/>
      <c r="Z444" s="3" t="n"/>
      <c r="AA444" s="3" t="n"/>
      <c r="AB444" s="3" t="n"/>
      <c r="AC444" s="3" t="n"/>
      <c r="AD444" s="3" t="n"/>
      <c r="AE444" s="3" t="n"/>
      <c r="AF444" s="3" t="n"/>
      <c r="AG444" s="3" t="n"/>
      <c r="AH444" s="3" t="n"/>
      <c r="AI444" s="3" t="n"/>
      <c r="AJ444" s="3" t="n"/>
      <c r="AK444" s="3" t="n"/>
      <c r="AL444" s="3" t="n"/>
      <c r="AM444" s="3" t="n"/>
      <c r="AN444" s="3" t="n"/>
      <c r="AO444" s="3" t="n"/>
      <c r="AP444" s="3" t="n"/>
      <c r="AQ444" s="3" t="n"/>
      <c r="AR444" s="3" t="n"/>
      <c r="AS444" s="3" t="n"/>
      <c r="AT444" s="3" t="n"/>
      <c r="AU444" s="3" t="n"/>
      <c r="AV444" s="3" t="n"/>
      <c r="AW444" s="3" t="n"/>
      <c r="AX444" s="3" t="n"/>
      <c r="AY444" s="3" t="n"/>
      <c r="AZ444" s="3" t="n"/>
      <c r="BA444" s="3" t="n"/>
      <c r="BB444" s="3" t="n"/>
      <c r="BC444" s="3" t="n"/>
      <c r="BD444" s="3" t="n">
        <v>0.496685653924942</v>
      </c>
      <c r="BE444" s="3" t="n">
        <v>0.564658761024475</v>
      </c>
      <c r="BF444" s="3" t="n">
        <v>0.549233078956604</v>
      </c>
      <c r="BG444" s="3" t="n">
        <v>0.534206748008728</v>
      </c>
      <c r="BH444" s="3" t="n">
        <v>0.470742553472519</v>
      </c>
      <c r="BI444" s="3" t="n">
        <v>0.436954915523529</v>
      </c>
      <c r="BJ444" s="3" t="n">
        <v>0.393045634031296</v>
      </c>
      <c r="BK444" s="3" t="n">
        <v>0.396354019641876</v>
      </c>
      <c r="BL444" s="3" t="n">
        <v>0.419998496770859</v>
      </c>
      <c r="BM444" s="3" t="n">
        <v>0.358478993177414</v>
      </c>
      <c r="BN444" s="3" t="n">
        <v>0.359637647867203</v>
      </c>
      <c r="BO444" s="3" t="n">
        <v>0.381919115781784</v>
      </c>
      <c r="BP444" s="3" t="n">
        <v>0.348516702651978</v>
      </c>
      <c r="BQ444" s="3" t="n"/>
      <c r="BR444" s="34" t="str">
        <f>B444&amp;"|"&amp;D444</f>
        <v>NGA|SE.XPD.TOTL.GD.ZS</v>
      </c>
    </row>
    <row r="445">
      <c r="A445" s="3" t="inlineStr">
        <is>
          <t>Nicaragua</t>
        </is>
      </c>
      <c r="B445" s="3" t="inlineStr">
        <is>
          <t>NIC</t>
        </is>
      </c>
      <c r="C445" s="3" t="inlineStr">
        <is>
          <t>Government expenditure on education, total (% of GDP)</t>
        </is>
      </c>
      <c r="D445" s="3" t="inlineStr">
        <is>
          <t>SE.XPD.TOTL.GD.ZS</t>
        </is>
      </c>
      <c r="E445" s="3" t="n">
        <v>2022</v>
      </c>
      <c r="F445" s="3" t="n"/>
      <c r="G445" s="3" t="n"/>
      <c r="H445" s="3" t="n"/>
      <c r="I445" s="3" t="n"/>
      <c r="J445" s="3" t="n"/>
      <c r="K445" s="3" t="n"/>
      <c r="L445" s="3" t="n"/>
      <c r="M445" s="3" t="n"/>
      <c r="N445" s="3" t="n"/>
      <c r="O445" s="3" t="n"/>
      <c r="P445" s="3" t="n">
        <v>2.03858995437622</v>
      </c>
      <c r="Q445" s="3" t="n">
        <v>2.49202990531921</v>
      </c>
      <c r="R445" s="3" t="n"/>
      <c r="S445" s="3" t="n"/>
      <c r="T445" s="3" t="n"/>
      <c r="U445" s="3" t="n"/>
      <c r="V445" s="3" t="n"/>
      <c r="W445" s="3" t="n"/>
      <c r="X445" s="3" t="n"/>
      <c r="Y445" s="3" t="n">
        <v>2.82277989387512</v>
      </c>
      <c r="Z445" s="3" t="n">
        <v>3.26240992546082</v>
      </c>
      <c r="AA445" s="3" t="n"/>
      <c r="AB445" s="3" t="n">
        <v>3.79268002510071</v>
      </c>
      <c r="AC445" s="3" t="n"/>
      <c r="AD445" s="3" t="n">
        <v>5.97889995574951</v>
      </c>
      <c r="AE445" s="3" t="n"/>
      <c r="AF445" s="3" t="n"/>
      <c r="AG445" s="3" t="n">
        <v>5.35174989700317</v>
      </c>
      <c r="AH445" s="3" t="n"/>
      <c r="AI445" s="3" t="n"/>
      <c r="AJ445" s="3" t="n"/>
      <c r="AK445" s="3" t="n"/>
      <c r="AL445" s="3" t="n">
        <v>2.98497009277344</v>
      </c>
      <c r="AM445" s="3" t="n"/>
      <c r="AN445" s="3" t="n"/>
      <c r="AO445" s="3" t="n"/>
      <c r="AP445" s="3" t="n"/>
      <c r="AQ445" s="3" t="n"/>
      <c r="AR445" s="3" t="n">
        <v>2.22585010528564</v>
      </c>
      <c r="AS445" s="3" t="n">
        <v>2.92365002632141</v>
      </c>
      <c r="AT445" s="3" t="n">
        <v>3.00160002708435</v>
      </c>
      <c r="AU445" s="3" t="n"/>
      <c r="AV445" s="3" t="n">
        <v>2.39101004600525</v>
      </c>
      <c r="AW445" s="3" t="n">
        <v>2.42200994491577</v>
      </c>
      <c r="AX445" s="3" t="n"/>
      <c r="AY445" s="3" t="n"/>
      <c r="AZ445" s="3" t="n"/>
      <c r="BA445" s="3" t="n"/>
      <c r="BB445" s="3" t="n"/>
      <c r="BC445" s="3" t="n"/>
      <c r="BD445" s="3" t="n">
        <v>4.48424005508423</v>
      </c>
      <c r="BE445" s="3" t="n"/>
      <c r="BF445" s="3" t="n"/>
      <c r="BG445" s="3" t="n"/>
      <c r="BH445" s="3" t="n">
        <v>4.08329010009766</v>
      </c>
      <c r="BI445" s="3" t="n">
        <v>4.07843017578125</v>
      </c>
      <c r="BJ445" s="3" t="n">
        <v>4.081130027771</v>
      </c>
      <c r="BK445" s="3" t="n">
        <v>4.35767984390259</v>
      </c>
      <c r="BL445" s="3" t="n">
        <v>3.57310891151428</v>
      </c>
      <c r="BM445" s="3" t="n">
        <v>4.59991979598999</v>
      </c>
      <c r="BN445" s="3" t="n">
        <v>4.58156108856201</v>
      </c>
      <c r="BO445" s="3" t="n">
        <v>4.08665704727173</v>
      </c>
      <c r="BP445" s="3" t="n">
        <v>3.79476308822632</v>
      </c>
      <c r="BQ445" s="3" t="n"/>
      <c r="BR445" s="34" t="str">
        <f>B445&amp;"|"&amp;D445</f>
        <v>NIC|SE.XPD.TOTL.GD.ZS</v>
      </c>
    </row>
    <row r="446">
      <c r="A446" s="3" t="inlineStr">
        <is>
          <t>Netherlands</t>
        </is>
      </c>
      <c r="B446" s="3" t="inlineStr">
        <is>
          <t>NLD</t>
        </is>
      </c>
      <c r="C446" s="3" t="inlineStr">
        <is>
          <t>Government expenditure on education, total (% of GDP)</t>
        </is>
      </c>
      <c r="D446" s="3" t="inlineStr">
        <is>
          <t>SE.XPD.TOTL.GD.ZS</t>
        </is>
      </c>
      <c r="E446" s="3" t="n">
        <v>2022</v>
      </c>
      <c r="F446" s="3" t="n"/>
      <c r="G446" s="3" t="n"/>
      <c r="H446" s="3" t="n"/>
      <c r="I446" s="3" t="n"/>
      <c r="J446" s="3" t="n"/>
      <c r="K446" s="3" t="n"/>
      <c r="L446" s="3" t="n"/>
      <c r="M446" s="3" t="n"/>
      <c r="N446" s="3" t="n"/>
      <c r="O446" s="3" t="n"/>
      <c r="P446" s="3" t="n">
        <v>6.22114992141724</v>
      </c>
      <c r="Q446" s="3" t="n">
        <v>6.32819986343384</v>
      </c>
      <c r="R446" s="3" t="n">
        <v>6.31849002838135</v>
      </c>
      <c r="S446" s="3" t="n">
        <v>5.84294986724854</v>
      </c>
      <c r="T446" s="3" t="n">
        <v>6.33588981628418</v>
      </c>
      <c r="U446" s="3" t="n">
        <v>6.37166023254395</v>
      </c>
      <c r="V446" s="3" t="n">
        <v>6.31229019165039</v>
      </c>
      <c r="W446" s="3" t="n">
        <v>6.1825098991394</v>
      </c>
      <c r="X446" s="3" t="n">
        <v>6.18442010879517</v>
      </c>
      <c r="Y446" s="3" t="n">
        <v>6.09033012390137</v>
      </c>
      <c r="Z446" s="3" t="n">
        <v>5.89279985427856</v>
      </c>
      <c r="AA446" s="3" t="n">
        <v>5.74937009811401</v>
      </c>
      <c r="AB446" s="3" t="n">
        <v>5.6950101852417</v>
      </c>
      <c r="AC446" s="3" t="n">
        <v>5.50079011917114</v>
      </c>
      <c r="AD446" s="3" t="n">
        <v>5.09010982513428</v>
      </c>
      <c r="AE446" s="3" t="n">
        <v>5.4728798866272</v>
      </c>
      <c r="AF446" s="3" t="n">
        <v>5.56155014038086</v>
      </c>
      <c r="AG446" s="3" t="n">
        <v>5.89792013168335</v>
      </c>
      <c r="AH446" s="3" t="n">
        <v>5.47145986557007</v>
      </c>
      <c r="AI446" s="3" t="n"/>
      <c r="AJ446" s="3" t="n">
        <v>5.22878980636597</v>
      </c>
      <c r="AK446" s="3" t="n">
        <v>5.16165018081665</v>
      </c>
      <c r="AL446" s="3" t="n"/>
      <c r="AM446" s="3" t="n">
        <v>4.75660991668701</v>
      </c>
      <c r="AN446" s="3" t="n">
        <v>4.66324996948242</v>
      </c>
      <c r="AO446" s="3" t="n">
        <v>4.57887983322144</v>
      </c>
      <c r="AP446" s="3" t="n">
        <v>4.49419021606445</v>
      </c>
      <c r="AQ446" s="3" t="n"/>
      <c r="AR446" s="3" t="n">
        <v>4.54056978225708</v>
      </c>
      <c r="AS446" s="3" t="n">
        <v>4.50699996948242</v>
      </c>
      <c r="AT446" s="3" t="n">
        <v>4.58512020111084</v>
      </c>
      <c r="AU446" s="3" t="n">
        <v>4.69964981079102</v>
      </c>
      <c r="AV446" s="3" t="n">
        <v>4.80590009689331</v>
      </c>
      <c r="AW446" s="3" t="n">
        <v>5.0404200553894</v>
      </c>
      <c r="AX446" s="3" t="n">
        <v>5.06297016143799</v>
      </c>
      <c r="AY446" s="3" t="n">
        <v>5.10939979553223</v>
      </c>
      <c r="AZ446" s="3" t="n">
        <v>5.04402017593384</v>
      </c>
      <c r="BA446" s="3" t="n">
        <v>4.88682985305786</v>
      </c>
      <c r="BB446" s="3" t="n">
        <v>5.02904987335205</v>
      </c>
      <c r="BC446" s="3" t="n">
        <v>5.43156003952026</v>
      </c>
      <c r="BD446" s="3" t="n">
        <v>5.48908996582031</v>
      </c>
      <c r="BE446" s="3" t="n">
        <v>5.46303987503052</v>
      </c>
      <c r="BF446" s="3" t="n">
        <v>5.4102201461792</v>
      </c>
      <c r="BG446" s="3" t="n">
        <v>5.52655982971191</v>
      </c>
      <c r="BH446" s="3" t="n">
        <v>5.458899974823</v>
      </c>
      <c r="BI446" s="3" t="n">
        <v>5.34815979003906</v>
      </c>
      <c r="BJ446" s="3" t="n">
        <v>5.47959995269775</v>
      </c>
      <c r="BK446" s="3" t="n">
        <v>5.17509984970093</v>
      </c>
      <c r="BL446" s="3" t="n">
        <v>5.35764980316162</v>
      </c>
      <c r="BM446" s="3" t="n">
        <v>5.15986013412476</v>
      </c>
      <c r="BN446" s="3" t="n">
        <v>5.42381000518799</v>
      </c>
      <c r="BO446" s="3" t="n">
        <v>5.50609016418457</v>
      </c>
      <c r="BP446" s="3" t="n">
        <v>5.05201101303101</v>
      </c>
      <c r="BQ446" s="3" t="n"/>
      <c r="BR446" s="34" t="str">
        <f>B446&amp;"|"&amp;D446</f>
        <v>NLD|SE.XPD.TOTL.GD.ZS</v>
      </c>
    </row>
    <row r="447">
      <c r="A447" s="3" t="inlineStr">
        <is>
          <t>Norway</t>
        </is>
      </c>
      <c r="B447" s="3" t="inlineStr">
        <is>
          <t>NOR</t>
        </is>
      </c>
      <c r="C447" s="3" t="inlineStr">
        <is>
          <t>Government expenditure on education, total (% of GDP)</t>
        </is>
      </c>
      <c r="D447" s="3" t="inlineStr">
        <is>
          <t>SE.XPD.TOTL.GD.ZS</t>
        </is>
      </c>
      <c r="E447" s="3" t="n">
        <v>2022</v>
      </c>
      <c r="F447" s="3" t="n"/>
      <c r="G447" s="3" t="n"/>
      <c r="H447" s="3" t="n"/>
      <c r="I447" s="3" t="n"/>
      <c r="J447" s="3" t="n"/>
      <c r="K447" s="3" t="n"/>
      <c r="L447" s="3" t="n"/>
      <c r="M447" s="3" t="n"/>
      <c r="N447" s="3" t="n"/>
      <c r="O447" s="3" t="n"/>
      <c r="P447" s="3" t="n"/>
      <c r="Q447" s="3" t="n"/>
      <c r="R447" s="3" t="n">
        <v>5.90405988693237</v>
      </c>
      <c r="S447" s="3" t="n">
        <v>5.89171981811523</v>
      </c>
      <c r="T447" s="3" t="n">
        <v>5.67365980148315</v>
      </c>
      <c r="U447" s="3" t="n">
        <v>5.55022001266479</v>
      </c>
      <c r="V447" s="3" t="n">
        <v>6.16359996795654</v>
      </c>
      <c r="W447" s="3" t="n">
        <v>5.97280979156494</v>
      </c>
      <c r="X447" s="3" t="n">
        <v>6.44437980651855</v>
      </c>
      <c r="Y447" s="3" t="n"/>
      <c r="Z447" s="3" t="n">
        <v>5.78014993667603</v>
      </c>
      <c r="AA447" s="3" t="n">
        <v>5.54364013671875</v>
      </c>
      <c r="AB447" s="3" t="n">
        <v>5.6788501739502</v>
      </c>
      <c r="AC447" s="3" t="n">
        <v>5.64629983901978</v>
      </c>
      <c r="AD447" s="3" t="n">
        <v>5.42936992645264</v>
      </c>
      <c r="AE447" s="3" t="n">
        <v>5.25567007064819</v>
      </c>
      <c r="AF447" s="3" t="n">
        <v>5.53984022140503</v>
      </c>
      <c r="AG447" s="3" t="n">
        <v>5.7880802154541</v>
      </c>
      <c r="AH447" s="3" t="n">
        <v>5.86597013473511</v>
      </c>
      <c r="AI447" s="3" t="n">
        <v>6.29984998703003</v>
      </c>
      <c r="AJ447" s="3" t="n">
        <v>6.31036996841431</v>
      </c>
      <c r="AK447" s="3" t="n">
        <v>6.37321996688843</v>
      </c>
      <c r="AL447" s="3" t="n">
        <v>6.63613986968994</v>
      </c>
      <c r="AM447" s="3" t="n">
        <v>7.6766300201416</v>
      </c>
      <c r="AN447" s="3" t="n">
        <v>7.83044004440308</v>
      </c>
      <c r="AO447" s="3" t="n">
        <v>7.69568014144897</v>
      </c>
      <c r="AP447" s="3" t="n">
        <v>7.1380500793457</v>
      </c>
      <c r="AQ447" s="3" t="n">
        <v>7.30343008041382</v>
      </c>
      <c r="AR447" s="3" t="n">
        <v>7.35759019851685</v>
      </c>
      <c r="AS447" s="3" t="n">
        <v>6.96222019195557</v>
      </c>
      <c r="AT447" s="3" t="n">
        <v>6.45934009552002</v>
      </c>
      <c r="AU447" s="3" t="n">
        <v>6.82015991210938</v>
      </c>
      <c r="AV447" s="3" t="n">
        <v>7.42246007919312</v>
      </c>
      <c r="AW447" s="3" t="n">
        <v>7.39933013916016</v>
      </c>
      <c r="AX447" s="3" t="n">
        <v>7.27744007110596</v>
      </c>
      <c r="AY447" s="3" t="n">
        <v>6.84082984924316</v>
      </c>
      <c r="AZ447" s="3" t="n">
        <v>6.35822010040283</v>
      </c>
      <c r="BA447" s="3" t="n">
        <v>6.50671005249023</v>
      </c>
      <c r="BB447" s="3" t="n">
        <v>6.24915981292725</v>
      </c>
      <c r="BC447" s="3" t="n">
        <v>7.07067012786865</v>
      </c>
      <c r="BD447" s="3" t="n">
        <v>6.71042013168335</v>
      </c>
      <c r="BE447" s="3" t="n">
        <v>6.41490983963013</v>
      </c>
      <c r="BF447" s="3" t="n">
        <v>7.32766008377075</v>
      </c>
      <c r="BG447" s="3" t="n">
        <v>7.43906021118164</v>
      </c>
      <c r="BH447" s="3" t="n">
        <v>7.64403009414673</v>
      </c>
      <c r="BI447" s="3" t="n">
        <v>7.52334976196289</v>
      </c>
      <c r="BJ447" s="3" t="n">
        <v>7.98444986343384</v>
      </c>
      <c r="BK447" s="3" t="n">
        <v>7.84598016738892</v>
      </c>
      <c r="BL447" s="3" t="n">
        <v>7.59563016891479</v>
      </c>
      <c r="BM447" s="3" t="n">
        <v>7.8645601272583</v>
      </c>
      <c r="BN447" s="3" t="n">
        <v>8.372819900512701</v>
      </c>
      <c r="BO447" s="3" t="n">
        <v>6.9602198600769</v>
      </c>
      <c r="BP447" s="3" t="n">
        <v>3.96801972389221</v>
      </c>
      <c r="BQ447" s="3" t="n"/>
      <c r="BR447" s="34" t="str">
        <f>B447&amp;"|"&amp;D447</f>
        <v>NOR|SE.XPD.TOTL.GD.ZS</v>
      </c>
    </row>
    <row r="448">
      <c r="A448" s="3" t="inlineStr">
        <is>
          <t>Nepal</t>
        </is>
      </c>
      <c r="B448" s="3" t="inlineStr">
        <is>
          <t>NPL</t>
        </is>
      </c>
      <c r="C448" s="3" t="inlineStr">
        <is>
          <t>Government expenditure on education, total (% of GDP)</t>
        </is>
      </c>
      <c r="D448" s="3" t="inlineStr">
        <is>
          <t>SE.XPD.TOTL.GD.ZS</t>
        </is>
      </c>
      <c r="E448" s="3" t="n">
        <v>2023</v>
      </c>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c r="AD448" s="3" t="n"/>
      <c r="AE448" s="3" t="n"/>
      <c r="AF448" s="3" t="n"/>
      <c r="AG448" s="3" t="n"/>
      <c r="AH448" s="3" t="n"/>
      <c r="AI448" s="3" t="n"/>
      <c r="AJ448" s="3" t="n"/>
      <c r="AK448" s="3" t="n"/>
      <c r="AL448" s="3" t="n"/>
      <c r="AM448" s="3" t="n"/>
      <c r="AN448" s="3" t="n"/>
      <c r="AO448" s="3" t="n"/>
      <c r="AP448" s="3" t="n"/>
      <c r="AQ448" s="3" t="n"/>
      <c r="AR448" s="3" t="n">
        <v>2.89287996292114</v>
      </c>
      <c r="AS448" s="3" t="n">
        <v>2.89331007003784</v>
      </c>
      <c r="AT448" s="3" t="n">
        <v>2.9751501083374</v>
      </c>
      <c r="AU448" s="3" t="n">
        <v>3.70837998390198</v>
      </c>
      <c r="AV448" s="3" t="n">
        <v>3.15283989906311</v>
      </c>
      <c r="AW448" s="3" t="n">
        <v>3.11435008049011</v>
      </c>
      <c r="AX448" s="3" t="n">
        <v>3.17194008827209</v>
      </c>
      <c r="AY448" s="3" t="n">
        <v>3.3646399974823</v>
      </c>
      <c r="AZ448" s="3" t="n">
        <v>3.60536003112793</v>
      </c>
      <c r="BA448" s="3" t="n">
        <v>3.51721000671387</v>
      </c>
      <c r="BB448" s="3" t="n">
        <v>3.8051700592041</v>
      </c>
      <c r="BC448" s="3" t="n">
        <v>4.6637601852417</v>
      </c>
      <c r="BD448" s="3" t="n">
        <v>3.63172006607056</v>
      </c>
      <c r="BE448" s="3" t="n">
        <v>3.84261989593506</v>
      </c>
      <c r="BF448" s="3" t="n">
        <v>3.52898859977722</v>
      </c>
      <c r="BG448" s="3" t="n">
        <v>3.20268630981445</v>
      </c>
      <c r="BH448" s="3" t="n">
        <v>3.48599410057068</v>
      </c>
      <c r="BI448" s="3" t="n">
        <v>3.29425358772278</v>
      </c>
      <c r="BJ448" s="3" t="n">
        <v>3.47711229324341</v>
      </c>
      <c r="BK448" s="3" t="n">
        <v>3.52892374992371</v>
      </c>
      <c r="BL448" s="3" t="n">
        <v>3.66440558433533</v>
      </c>
      <c r="BM448" s="3" t="n">
        <v>3.48568081855774</v>
      </c>
      <c r="BN448" s="3" t="n">
        <v>4.21106672286987</v>
      </c>
      <c r="BO448" s="3" t="n">
        <v>3.95612215995789</v>
      </c>
      <c r="BP448" s="3" t="n">
        <v>3.61778378486633</v>
      </c>
      <c r="BQ448" s="3" t="n">
        <v>3.68125796318054</v>
      </c>
      <c r="BR448" s="34" t="str">
        <f>B448&amp;"|"&amp;D448</f>
        <v>NPL|SE.XPD.TOTL.GD.ZS</v>
      </c>
    </row>
    <row r="449">
      <c r="A449" s="3" t="inlineStr">
        <is>
          <t>Nauru</t>
        </is>
      </c>
      <c r="B449" s="3" t="inlineStr">
        <is>
          <t>NRU</t>
        </is>
      </c>
      <c r="C449" s="3" t="inlineStr">
        <is>
          <t>Government expenditure on education, total (% of GDP)</t>
        </is>
      </c>
      <c r="D449" s="3" t="inlineStr">
        <is>
          <t>SE.XPD.TOTL.GD.ZS</t>
        </is>
      </c>
      <c r="E449" s="3" t="n">
        <v>2022</v>
      </c>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c r="AD449" s="3" t="n"/>
      <c r="AE449" s="3" t="n"/>
      <c r="AF449" s="3" t="n"/>
      <c r="AG449" s="3" t="n"/>
      <c r="AH449" s="3" t="n"/>
      <c r="AI449" s="3" t="n"/>
      <c r="AJ449" s="3" t="n"/>
      <c r="AK449" s="3" t="n"/>
      <c r="AL449" s="3" t="n"/>
      <c r="AM449" s="3" t="n"/>
      <c r="AN449" s="3" t="n"/>
      <c r="AO449" s="3" t="n"/>
      <c r="AP449" s="3" t="n"/>
      <c r="AQ449" s="3" t="n"/>
      <c r="AR449" s="3" t="n"/>
      <c r="AS449" s="3" t="n"/>
      <c r="AT449" s="3" t="n"/>
      <c r="AU449" s="3" t="n"/>
      <c r="AV449" s="3" t="n">
        <v>15.8634700775146</v>
      </c>
      <c r="AW449" s="3" t="n"/>
      <c r="AX449" s="3" t="n"/>
      <c r="AY449" s="3" t="n"/>
      <c r="AZ449" s="3" t="n"/>
      <c r="BA449" s="3" t="n">
        <v>4.24615001678467</v>
      </c>
      <c r="BB449" s="3" t="n"/>
      <c r="BC449" s="3" t="n"/>
      <c r="BD449" s="3" t="n"/>
      <c r="BE449" s="3" t="n"/>
      <c r="BF449" s="3" t="n"/>
      <c r="BG449" s="3" t="n"/>
      <c r="BH449" s="3" t="n"/>
      <c r="BI449" s="3" t="n">
        <v>6.25260305404663</v>
      </c>
      <c r="BJ449" s="3" t="n">
        <v>7.9856219291687</v>
      </c>
      <c r="BK449" s="3" t="n">
        <v>6.81056642532349</v>
      </c>
      <c r="BL449" s="3" t="n"/>
      <c r="BM449" s="3" t="n">
        <v>6.01101303100586</v>
      </c>
      <c r="BN449" s="3" t="n">
        <v>6.09919404983521</v>
      </c>
      <c r="BO449" s="3" t="n">
        <v>6.21887111663818</v>
      </c>
      <c r="BP449" s="3" t="n">
        <v>7.80539798736572</v>
      </c>
      <c r="BQ449" s="3" t="n"/>
      <c r="BR449" s="34" t="str">
        <f>B449&amp;"|"&amp;D449</f>
        <v>NRU|SE.XPD.TOTL.GD.ZS</v>
      </c>
    </row>
    <row r="450">
      <c r="A450" s="3" t="inlineStr">
        <is>
          <t>New Zealand</t>
        </is>
      </c>
      <c r="B450" s="3" t="inlineStr">
        <is>
          <t>NZL</t>
        </is>
      </c>
      <c r="C450" s="3" t="inlineStr">
        <is>
          <t>Government expenditure on education, total (% of GDP)</t>
        </is>
      </c>
      <c r="D450" s="3" t="inlineStr">
        <is>
          <t>SE.XPD.TOTL.GD.ZS</t>
        </is>
      </c>
      <c r="E450" s="3" t="n">
        <v>2022</v>
      </c>
      <c r="F450" s="3" t="n"/>
      <c r="G450" s="3" t="n"/>
      <c r="H450" s="3" t="n"/>
      <c r="I450" s="3" t="n"/>
      <c r="J450" s="3" t="n"/>
      <c r="K450" s="3" t="n"/>
      <c r="L450" s="3" t="n"/>
      <c r="M450" s="3" t="n"/>
      <c r="N450" s="3" t="n"/>
      <c r="O450" s="3" t="n"/>
      <c r="P450" s="3" t="n"/>
      <c r="Q450" s="3" t="n"/>
      <c r="R450" s="3" t="n"/>
      <c r="S450" s="3" t="n">
        <v>4.75323009490967</v>
      </c>
      <c r="T450" s="3" t="n">
        <v>4.7467999458313</v>
      </c>
      <c r="U450" s="3" t="n">
        <v>5.16753005981445</v>
      </c>
      <c r="V450" s="3" t="n">
        <v>5.45474004745483</v>
      </c>
      <c r="W450" s="3" t="n">
        <v>4.45267009735107</v>
      </c>
      <c r="X450" s="3" t="n">
        <v>4.53252983093262</v>
      </c>
      <c r="Y450" s="3" t="n">
        <v>4.46765995025635</v>
      </c>
      <c r="Z450" s="3" t="n">
        <v>4.23264980316162</v>
      </c>
      <c r="AA450" s="3" t="n">
        <v>4.44054985046387</v>
      </c>
      <c r="AB450" s="3" t="n">
        <v>4.5327000617981</v>
      </c>
      <c r="AC450" s="3" t="n"/>
      <c r="AD450" s="3" t="n">
        <v>4.04568004608154</v>
      </c>
      <c r="AE450" s="3" t="n">
        <v>3.54629993438721</v>
      </c>
      <c r="AF450" s="3" t="n">
        <v>3.43031001091003</v>
      </c>
      <c r="AG450" s="3" t="n">
        <v>3.91739010810852</v>
      </c>
      <c r="AH450" s="3" t="n">
        <v>4.4258599281311</v>
      </c>
      <c r="AI450" s="3" t="n">
        <v>4.81824016571045</v>
      </c>
      <c r="AJ450" s="3" t="n"/>
      <c r="AK450" s="3" t="n"/>
      <c r="AL450" s="3" t="n"/>
      <c r="AM450" s="3" t="n"/>
      <c r="AN450" s="3" t="n">
        <v>5.92605018615723</v>
      </c>
      <c r="AO450" s="3" t="n">
        <v>5.74212980270386</v>
      </c>
      <c r="AP450" s="3" t="n">
        <v>6.38371992111206</v>
      </c>
      <c r="AQ450" s="3" t="n">
        <v>6.15721988677979</v>
      </c>
      <c r="AR450" s="3" t="n"/>
      <c r="AS450" s="3" t="n">
        <v>6.6362099647522</v>
      </c>
      <c r="AT450" s="3" t="n"/>
      <c r="AU450" s="3" t="n"/>
      <c r="AV450" s="3" t="n"/>
      <c r="AW450" s="3" t="n"/>
      <c r="AX450" s="3" t="n"/>
      <c r="AY450" s="3" t="n"/>
      <c r="AZ450" s="3" t="n"/>
      <c r="BA450" s="3" t="n"/>
      <c r="BB450" s="3" t="n"/>
      <c r="BC450" s="3" t="n">
        <v>6.54333829879761</v>
      </c>
      <c r="BD450" s="3" t="n">
        <v>6.59741258621216</v>
      </c>
      <c r="BE450" s="3" t="n">
        <v>6.55125284194946</v>
      </c>
      <c r="BF450" s="3" t="n">
        <v>6.53085327148438</v>
      </c>
      <c r="BG450" s="3" t="n">
        <v>5.88855981826782</v>
      </c>
      <c r="BH450" s="3" t="n">
        <v>5.80853986740112</v>
      </c>
      <c r="BI450" s="3" t="n">
        <v>5.70734977722168</v>
      </c>
      <c r="BJ450" s="3" t="n">
        <v>5.50559997558594</v>
      </c>
      <c r="BK450" s="3" t="n">
        <v>5.28000020980835</v>
      </c>
      <c r="BL450" s="3" t="n">
        <v>5.19308996200562</v>
      </c>
      <c r="BM450" s="3" t="n">
        <v>5.17797994613647</v>
      </c>
      <c r="BN450" s="3" t="n">
        <v>5.65149021148682</v>
      </c>
      <c r="BO450" s="3" t="n">
        <v>5.54822015762329</v>
      </c>
      <c r="BP450" s="3" t="n">
        <v>5.23012018203735</v>
      </c>
      <c r="BQ450" s="3" t="n"/>
      <c r="BR450" s="34" t="str">
        <f>B450&amp;"|"&amp;D450</f>
        <v>NZL|SE.XPD.TOTL.GD.ZS</v>
      </c>
    </row>
    <row r="451">
      <c r="A451" s="3" t="inlineStr">
        <is>
          <t>OECD members</t>
        </is>
      </c>
      <c r="B451" s="3" t="inlineStr">
        <is>
          <t>OED</t>
        </is>
      </c>
      <c r="C451" s="3" t="inlineStr">
        <is>
          <t>Government expenditure on education, total (% of GDP)</t>
        </is>
      </c>
      <c r="D451" s="3" t="inlineStr">
        <is>
          <t>SE.XPD.TOTL.GD.ZS</t>
        </is>
      </c>
      <c r="E451" s="3" t="n">
        <v>2021</v>
      </c>
      <c r="F451" s="3" t="n"/>
      <c r="G451" s="3" t="n"/>
      <c r="H451" s="3" t="n"/>
      <c r="I451" s="3" t="n"/>
      <c r="J451" s="3" t="n"/>
      <c r="K451" s="3" t="n"/>
      <c r="L451" s="3" t="n"/>
      <c r="M451" s="3" t="n"/>
      <c r="N451" s="3" t="n"/>
      <c r="O451" s="3" t="n"/>
      <c r="P451" s="3" t="n"/>
      <c r="Q451" s="3" t="n"/>
      <c r="R451" s="3" t="n"/>
      <c r="S451" s="3" t="n"/>
      <c r="T451" s="3" t="n">
        <v>4.48230981826782</v>
      </c>
      <c r="U451" s="3" t="n">
        <v>5.03323984146118</v>
      </c>
      <c r="V451" s="3" t="n">
        <v>4.74777984619141</v>
      </c>
      <c r="W451" s="3" t="n"/>
      <c r="X451" s="3" t="n">
        <v>4.661484956741335</v>
      </c>
      <c r="Y451" s="3" t="n">
        <v>4.63228487968445</v>
      </c>
      <c r="Z451" s="3" t="n">
        <v>5.039544820785525</v>
      </c>
      <c r="AA451" s="3" t="n">
        <v>4.91429996490479</v>
      </c>
      <c r="AB451" s="3" t="n">
        <v>5.06423020362854</v>
      </c>
      <c r="AC451" s="3" t="n">
        <v>4.95777988433838</v>
      </c>
      <c r="AD451" s="3" t="n">
        <v>4.774250030517575</v>
      </c>
      <c r="AE451" s="3" t="n">
        <v>4.770689964294435</v>
      </c>
      <c r="AF451" s="3" t="n">
        <v>4.75103998184204</v>
      </c>
      <c r="AG451" s="3" t="n">
        <v>4.64593982696533</v>
      </c>
      <c r="AH451" s="3" t="n">
        <v>4.521040201187136</v>
      </c>
      <c r="AI451" s="3" t="n">
        <v>4.71301984786987</v>
      </c>
      <c r="AJ451" s="3" t="n">
        <v>4.557250022888185</v>
      </c>
      <c r="AK451" s="3" t="n">
        <v>4.78375506401062</v>
      </c>
      <c r="AL451" s="3" t="n">
        <v>4.73539018630981</v>
      </c>
      <c r="AM451" s="3" t="n">
        <v>4.95256996154785</v>
      </c>
      <c r="AN451" s="3" t="n">
        <v>4.823225021362305</v>
      </c>
      <c r="AO451" s="3" t="n">
        <v>4.69021487236023</v>
      </c>
      <c r="AP451" s="3" t="n">
        <v>4.84522008895874</v>
      </c>
      <c r="AQ451" s="3" t="n"/>
      <c r="AR451" s="3" t="n">
        <v>4.46187019348145</v>
      </c>
      <c r="AS451" s="3" t="n">
        <v>4.57943487167358</v>
      </c>
      <c r="AT451" s="3" t="n">
        <v>4.86840009689331</v>
      </c>
      <c r="AU451" s="3" t="n">
        <v>5.087822914123535</v>
      </c>
      <c r="AV451" s="3" t="n">
        <v>5.21897506713867</v>
      </c>
      <c r="AW451" s="3" t="n">
        <v>5.24525785446167</v>
      </c>
      <c r="AX451" s="3" t="n">
        <v>5.06297016143799</v>
      </c>
      <c r="AY451" s="3" t="n">
        <v>5.08472013473511</v>
      </c>
      <c r="AZ451" s="3" t="n">
        <v>4.97649002075195</v>
      </c>
      <c r="BA451" s="3" t="n">
        <v>4.817574977874755</v>
      </c>
      <c r="BB451" s="3" t="n">
        <v>4.90973997116089</v>
      </c>
      <c r="BC451" s="3" t="n">
        <v>5.39640665054321</v>
      </c>
      <c r="BD451" s="3" t="n">
        <v>5.41248989105225</v>
      </c>
      <c r="BE451" s="3" t="n">
        <v>5.19269013404846</v>
      </c>
      <c r="BF451" s="3" t="n">
        <v>5.4102201461792</v>
      </c>
      <c r="BG451" s="3" t="n">
        <v>5.308379888534545</v>
      </c>
      <c r="BH451" s="3" t="n">
        <v>5.096045017242435</v>
      </c>
      <c r="BI451" s="3" t="n">
        <v>4.99559020996094</v>
      </c>
      <c r="BJ451" s="3" t="n">
        <v>4.83923006057739</v>
      </c>
      <c r="BK451" s="3" t="n">
        <v>4.96131992340088</v>
      </c>
      <c r="BL451" s="3" t="n">
        <v>4.93008995056152</v>
      </c>
      <c r="BM451" s="3" t="n">
        <v>4.9859299659729</v>
      </c>
      <c r="BN451" s="3" t="n">
        <v>5.37828016281128</v>
      </c>
      <c r="BO451" s="3" t="n">
        <v>5.03708982467651</v>
      </c>
      <c r="BP451" s="3" t="n"/>
      <c r="BQ451" s="3" t="n"/>
      <c r="BR451" s="34" t="str">
        <f>B451&amp;"|"&amp;D451</f>
        <v>OED|SE.XPD.TOTL.GD.ZS</v>
      </c>
    </row>
    <row r="452">
      <c r="A452" s="3" t="inlineStr">
        <is>
          <t>Oman</t>
        </is>
      </c>
      <c r="B452" s="3" t="inlineStr">
        <is>
          <t>OMN</t>
        </is>
      </c>
      <c r="C452" s="3" t="inlineStr">
        <is>
          <t>Government expenditure on education, total (% of GDP)</t>
        </is>
      </c>
      <c r="D452" s="3" t="inlineStr">
        <is>
          <t>SE.XPD.TOTL.GD.ZS</t>
        </is>
      </c>
      <c r="E452" s="3" t="n">
        <v>2022</v>
      </c>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c r="AD452" s="3" t="n"/>
      <c r="AE452" s="3" t="n"/>
      <c r="AF452" s="3" t="n">
        <v>3.79282999038696</v>
      </c>
      <c r="AG452" s="3" t="n">
        <v>3.65626001358032</v>
      </c>
      <c r="AH452" s="3" t="n">
        <v>3.38988995552063</v>
      </c>
      <c r="AI452" s="3" t="n">
        <v>2.97824001312256</v>
      </c>
      <c r="AJ452" s="3" t="n">
        <v>2.83892011642456</v>
      </c>
      <c r="AK452" s="3" t="n">
        <v>2.98794007301331</v>
      </c>
      <c r="AL452" s="3" t="n">
        <v>3.12258005142212</v>
      </c>
      <c r="AM452" s="3" t="n">
        <v>3.50821995735168</v>
      </c>
      <c r="AN452" s="3" t="n">
        <v>3.4444899559021</v>
      </c>
      <c r="AO452" s="3" t="n">
        <v>3.41325998306274</v>
      </c>
      <c r="AP452" s="3" t="n">
        <v>3.18452000617981</v>
      </c>
      <c r="AQ452" s="3" t="n">
        <v>3.3568000793457</v>
      </c>
      <c r="AR452" s="3" t="n">
        <v>4.13832998275757</v>
      </c>
      <c r="AS452" s="3" t="n">
        <v>4.03593015670776</v>
      </c>
      <c r="AT452" s="3" t="n">
        <v>3.20023989677429</v>
      </c>
      <c r="AU452" s="3" t="n">
        <v>4.02031993865967</v>
      </c>
      <c r="AV452" s="3" t="n">
        <v>4.32506990432739</v>
      </c>
      <c r="AW452" s="3" t="n">
        <v>3.89699006080627</v>
      </c>
      <c r="AX452" s="3" t="n">
        <v>4.02835988998413</v>
      </c>
      <c r="AY452" s="3" t="n">
        <v>3.51721000671387</v>
      </c>
      <c r="AZ452" s="3" t="n">
        <v>3.85933995246887</v>
      </c>
      <c r="BA452" s="3" t="n"/>
      <c r="BB452" s="3" t="n"/>
      <c r="BC452" s="3" t="n">
        <v>4.18773984909058</v>
      </c>
      <c r="BD452" s="3" t="n"/>
      <c r="BE452" s="3" t="n"/>
      <c r="BF452" s="3" t="n"/>
      <c r="BG452" s="3" t="n">
        <v>4.35383987426758</v>
      </c>
      <c r="BH452" s="3" t="n"/>
      <c r="BI452" s="3" t="n"/>
      <c r="BJ452" s="3" t="n"/>
      <c r="BK452" s="3" t="n">
        <v>5.99594020843506</v>
      </c>
      <c r="BL452" s="3" t="n">
        <v>4.58565998077393</v>
      </c>
      <c r="BM452" s="3" t="n">
        <v>5.06363010406494</v>
      </c>
      <c r="BN452" s="3" t="n">
        <v>6.87769985198975</v>
      </c>
      <c r="BO452" s="3" t="n"/>
      <c r="BP452" s="3" t="n">
        <v>4.19907999038696</v>
      </c>
      <c r="BQ452" s="3" t="n"/>
      <c r="BR452" s="34" t="str">
        <f>B452&amp;"|"&amp;D452</f>
        <v>OMN|SE.XPD.TOTL.GD.ZS</v>
      </c>
    </row>
    <row r="453">
      <c r="A453" s="3" t="inlineStr">
        <is>
          <t>Other small states</t>
        </is>
      </c>
      <c r="B453" s="3" t="inlineStr">
        <is>
          <t>OSS</t>
        </is>
      </c>
      <c r="C453" s="3" t="inlineStr">
        <is>
          <t>Government expenditure on education, total (% of GDP)</t>
        </is>
      </c>
      <c r="D453" s="3" t="inlineStr">
        <is>
          <t>SE.XPD.TOTL.GD.ZS</t>
        </is>
      </c>
      <c r="E453" s="3" t="n">
        <v>2021</v>
      </c>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v>4.39455986022949</v>
      </c>
      <c r="AD453" s="3" t="n">
        <v>4.03251981735229</v>
      </c>
      <c r="AE453" s="3" t="n">
        <v>3.91043996810913</v>
      </c>
      <c r="AF453" s="3" t="n">
        <v>3.43728995323181</v>
      </c>
      <c r="AG453" s="3" t="n">
        <v>3.01674008369446</v>
      </c>
      <c r="AH453" s="3" t="n">
        <v>3.08984994888306</v>
      </c>
      <c r="AI453" s="3" t="n">
        <v>3.46896004676819</v>
      </c>
      <c r="AJ453" s="3" t="n">
        <v>3.12822008132935</v>
      </c>
      <c r="AK453" s="3" t="n">
        <v>3.46325993537903</v>
      </c>
      <c r="AL453" s="3" t="n">
        <v>5.28141021728516</v>
      </c>
      <c r="AM453" s="3" t="n">
        <v>5.69822978973389</v>
      </c>
      <c r="AN453" s="3" t="n">
        <v>5.49428987503052</v>
      </c>
      <c r="AO453" s="3" t="n">
        <v>5.89866018295288</v>
      </c>
      <c r="AP453" s="3" t="n">
        <v>6.0549201965332</v>
      </c>
      <c r="AQ453" s="3" t="n">
        <v>6.33788013458252</v>
      </c>
      <c r="AR453" s="3" t="n"/>
      <c r="AS453" s="3" t="n">
        <v>5.09095001220703</v>
      </c>
      <c r="AT453" s="3" t="n">
        <v>5.33945989608765</v>
      </c>
      <c r="AU453" s="3" t="n">
        <v>4.83824014663696</v>
      </c>
      <c r="AV453" s="3" t="n">
        <v>4.44086980819702</v>
      </c>
      <c r="AW453" s="3" t="n">
        <v>5.544934988021851</v>
      </c>
      <c r="AX453" s="3" t="n">
        <v>5.13917994499207</v>
      </c>
      <c r="AY453" s="3" t="n">
        <v>5.548470020294185</v>
      </c>
      <c r="AZ453" s="3" t="n">
        <v>6.093516111373905</v>
      </c>
      <c r="BA453" s="3" t="n">
        <v>3.902654886245725</v>
      </c>
      <c r="BB453" s="3" t="n">
        <v>6.051079988479614</v>
      </c>
      <c r="BC453" s="3" t="n">
        <v>6.47135019302368</v>
      </c>
      <c r="BD453" s="3" t="n">
        <v>5.81807994842529</v>
      </c>
      <c r="BE453" s="3" t="n">
        <v>5.767455101013185</v>
      </c>
      <c r="BF453" s="3" t="n">
        <v>5.15550112724304</v>
      </c>
      <c r="BG453" s="3" t="n">
        <v>4.964245319366455</v>
      </c>
      <c r="BH453" s="3" t="n">
        <v>5.618129968643185</v>
      </c>
      <c r="BI453" s="3" t="n">
        <v>5.14418983459473</v>
      </c>
      <c r="BJ453" s="3" t="n">
        <v>5.15763998031616</v>
      </c>
      <c r="BK453" s="3" t="n">
        <v>4.96131992340088</v>
      </c>
      <c r="BL453" s="3" t="n">
        <v>4.87440967559814</v>
      </c>
      <c r="BM453" s="3" t="n">
        <v>4.877275228500364</v>
      </c>
      <c r="BN453" s="3" t="n">
        <v>4.85627222061157</v>
      </c>
      <c r="BO453" s="3" t="n">
        <v>4.953685045242305</v>
      </c>
      <c r="BP453" s="3" t="n"/>
      <c r="BQ453" s="3" t="n"/>
      <c r="BR453" s="34" t="str">
        <f>B453&amp;"|"&amp;D453</f>
        <v>OSS|SE.XPD.TOTL.GD.ZS</v>
      </c>
    </row>
    <row r="454">
      <c r="A454" s="3" t="inlineStr">
        <is>
          <t>Pakistan</t>
        </is>
      </c>
      <c r="B454" s="3" t="inlineStr">
        <is>
          <t>PAK</t>
        </is>
      </c>
      <c r="C454" s="3" t="inlineStr">
        <is>
          <t>Government expenditure on education, total (% of GDP)</t>
        </is>
      </c>
      <c r="D454" s="3" t="inlineStr">
        <is>
          <t>SE.XPD.TOTL.GD.ZS</t>
        </is>
      </c>
      <c r="E454" s="3" t="n">
        <v>2023</v>
      </c>
      <c r="F454" s="3" t="n"/>
      <c r="G454" s="3" t="n"/>
      <c r="H454" s="3" t="n"/>
      <c r="I454" s="3" t="n"/>
      <c r="J454" s="3" t="n"/>
      <c r="K454" s="3" t="n"/>
      <c r="L454" s="3" t="n"/>
      <c r="M454" s="3" t="n"/>
      <c r="N454" s="3" t="n"/>
      <c r="O454" s="3" t="n"/>
      <c r="P454" s="3" t="n"/>
      <c r="Q454" s="3" t="n">
        <v>1.65421998500824</v>
      </c>
      <c r="R454" s="3" t="n">
        <v>1.56881999969482</v>
      </c>
      <c r="S454" s="3" t="n">
        <v>1.83042001724243</v>
      </c>
      <c r="T454" s="3" t="n">
        <v>1.88065004348755</v>
      </c>
      <c r="U454" s="3" t="n">
        <v>1.98008000850677</v>
      </c>
      <c r="V454" s="3" t="n">
        <v>2.23794007301331</v>
      </c>
      <c r="W454" s="3" t="n">
        <v>2.14983010292053</v>
      </c>
      <c r="X454" s="3" t="n">
        <v>2.20418000221252</v>
      </c>
      <c r="Y454" s="3" t="n">
        <v>2.19807004928589</v>
      </c>
      <c r="Z454" s="3" t="n">
        <v>2.13094997406006</v>
      </c>
      <c r="AA454" s="3" t="n">
        <v>1.97245001792908</v>
      </c>
      <c r="AB454" s="3" t="n">
        <v>2.01366996765137</v>
      </c>
      <c r="AC454" s="3" t="n">
        <v>1.99576997756958</v>
      </c>
      <c r="AD454" s="3" t="n">
        <v>2.06984996795654</v>
      </c>
      <c r="AE454" s="3" t="n">
        <v>2.43543004989624</v>
      </c>
      <c r="AF454" s="3" t="n">
        <v>2.67812991142273</v>
      </c>
      <c r="AG454" s="3" t="n">
        <v>2.97745990753174</v>
      </c>
      <c r="AH454" s="3" t="n"/>
      <c r="AI454" s="3" t="n">
        <v>2.36382007598877</v>
      </c>
      <c r="AJ454" s="3" t="n">
        <v>2.51680994033813</v>
      </c>
      <c r="AK454" s="3" t="n">
        <v>2.56676006317139</v>
      </c>
      <c r="AL454" s="3" t="n">
        <v>2.54967999458313</v>
      </c>
      <c r="AM454" s="3" t="n">
        <v>2.38644003868103</v>
      </c>
      <c r="AN454" s="3" t="n">
        <v>2.58930993080139</v>
      </c>
      <c r="AO454" s="3" t="n">
        <v>2.79531002044678</v>
      </c>
      <c r="AP454" s="3" t="n">
        <v>2.81057000160217</v>
      </c>
      <c r="AQ454" s="3" t="n">
        <v>3.02230000495911</v>
      </c>
      <c r="AR454" s="3" t="n"/>
      <c r="AS454" s="3" t="n">
        <v>2.61149001121521</v>
      </c>
      <c r="AT454" s="3" t="n">
        <v>1.83782005310059</v>
      </c>
      <c r="AU454" s="3" t="n"/>
      <c r="AV454" s="3" t="n"/>
      <c r="AW454" s="3" t="n"/>
      <c r="AX454" s="3" t="n">
        <v>1.44337999820709</v>
      </c>
      <c r="AY454" s="3" t="n">
        <v>1.67058002948761</v>
      </c>
      <c r="AZ454" s="3" t="n">
        <v>1.98055994510651</v>
      </c>
      <c r="BA454" s="3" t="n">
        <v>2.23465991020203</v>
      </c>
      <c r="BB454" s="3" t="n">
        <v>2.27263998985291</v>
      </c>
      <c r="BC454" s="3" t="n">
        <v>2.17916011810303</v>
      </c>
      <c r="BD454" s="3" t="n">
        <v>2.05268001556396</v>
      </c>
      <c r="BE454" s="3" t="n">
        <v>2.00100994110107</v>
      </c>
      <c r="BF454" s="3" t="n">
        <v>1.97879004478455</v>
      </c>
      <c r="BG454" s="3" t="n">
        <v>2.23698997497559</v>
      </c>
      <c r="BH454" s="3" t="n">
        <v>2.2043399810791</v>
      </c>
      <c r="BI454" s="3" t="n">
        <v>2.38609004020691</v>
      </c>
      <c r="BJ454" s="3" t="n">
        <v>2.41721177101135</v>
      </c>
      <c r="BK454" s="3" t="n">
        <v>2.13665676116943</v>
      </c>
      <c r="BL454" s="3" t="n">
        <v>2.33216953277588</v>
      </c>
      <c r="BM454" s="3" t="n">
        <v>2.21491765975952</v>
      </c>
      <c r="BN454" s="3" t="n">
        <v>2.05718231201172</v>
      </c>
      <c r="BO454" s="3" t="n">
        <v>1.6874612569809</v>
      </c>
      <c r="BP454" s="3" t="n">
        <v>1.97444903850555</v>
      </c>
      <c r="BQ454" s="3" t="n">
        <v>1.86864340305328</v>
      </c>
      <c r="BR454" s="34" t="str">
        <f>B454&amp;"|"&amp;D454</f>
        <v>PAK|SE.XPD.TOTL.GD.ZS</v>
      </c>
    </row>
    <row r="455">
      <c r="A455" s="3" t="inlineStr">
        <is>
          <t>Panama</t>
        </is>
      </c>
      <c r="B455" s="3" t="inlineStr">
        <is>
          <t>PAN</t>
        </is>
      </c>
      <c r="C455" s="3" t="inlineStr">
        <is>
          <t>Government expenditure on education, total (% of GDP)</t>
        </is>
      </c>
      <c r="D455" s="3" t="inlineStr">
        <is>
          <t>SE.XPD.TOTL.GD.ZS</t>
        </is>
      </c>
      <c r="E455" s="3" t="n">
        <v>2022</v>
      </c>
      <c r="F455" s="3" t="n"/>
      <c r="G455" s="3" t="n"/>
      <c r="H455" s="3" t="n"/>
      <c r="I455" s="3" t="n"/>
      <c r="J455" s="3" t="n"/>
      <c r="K455" s="3" t="n"/>
      <c r="L455" s="3" t="n"/>
      <c r="M455" s="3" t="n"/>
      <c r="N455" s="3" t="n"/>
      <c r="O455" s="3" t="n"/>
      <c r="P455" s="3" t="n">
        <v>4.04328012466431</v>
      </c>
      <c r="Q455" s="3" t="n">
        <v>3.35391998291016</v>
      </c>
      <c r="R455" s="3" t="n">
        <v>3.9828200340271</v>
      </c>
      <c r="S455" s="3" t="n">
        <v>3.48574995994568</v>
      </c>
      <c r="T455" s="3" t="n">
        <v>3.81979990005493</v>
      </c>
      <c r="U455" s="3" t="n">
        <v>4.15451002120972</v>
      </c>
      <c r="V455" s="3" t="n">
        <v>4.31272983551025</v>
      </c>
      <c r="W455" s="3" t="n">
        <v>4.28096008300781</v>
      </c>
      <c r="X455" s="3" t="n">
        <v>3.60597991943359</v>
      </c>
      <c r="Y455" s="3" t="n">
        <v>3.64254999160767</v>
      </c>
      <c r="Z455" s="3" t="n">
        <v>3.53567004203796</v>
      </c>
      <c r="AA455" s="3" t="n">
        <v>3.43179988861084</v>
      </c>
      <c r="AB455" s="3" t="n">
        <v>3.41850996017456</v>
      </c>
      <c r="AC455" s="3" t="n">
        <v>3.55090999603271</v>
      </c>
      <c r="AD455" s="3" t="n">
        <v>3.46870994567871</v>
      </c>
      <c r="AE455" s="3" t="n">
        <v>3.52146005630493</v>
      </c>
      <c r="AF455" s="3" t="n">
        <v>3.34574007987976</v>
      </c>
      <c r="AG455" s="3" t="n">
        <v>3.87012004852295</v>
      </c>
      <c r="AH455" s="3" t="n"/>
      <c r="AI455" s="3" t="n"/>
      <c r="AJ455" s="3" t="n"/>
      <c r="AK455" s="3" t="n"/>
      <c r="AL455" s="3" t="n"/>
      <c r="AM455" s="3" t="n"/>
      <c r="AN455" s="3" t="n">
        <v>3.47054004669189</v>
      </c>
      <c r="AO455" s="3" t="n">
        <v>3.94780993461609</v>
      </c>
      <c r="AP455" s="3" t="n">
        <v>4.09431982040405</v>
      </c>
      <c r="AQ455" s="3" t="n">
        <v>3.84711003303528</v>
      </c>
      <c r="AR455" s="3" t="n"/>
      <c r="AS455" s="3" t="n">
        <v>4.56723022460938</v>
      </c>
      <c r="AT455" s="3" t="n">
        <v>4.75968980789185</v>
      </c>
      <c r="AU455" s="3" t="n">
        <v>4.10587978363037</v>
      </c>
      <c r="AV455" s="3" t="n">
        <v>4.19163990020752</v>
      </c>
      <c r="AW455" s="3" t="n">
        <v>4.16870021820068</v>
      </c>
      <c r="AX455" s="3" t="n">
        <v>3.5786600112915</v>
      </c>
      <c r="AY455" s="3" t="n"/>
      <c r="AZ455" s="3" t="n"/>
      <c r="BA455" s="3" t="n"/>
      <c r="BB455" s="3" t="n">
        <v>3.50229001045227</v>
      </c>
      <c r="BC455" s="3" t="n"/>
      <c r="BD455" s="3" t="n"/>
      <c r="BE455" s="3" t="n">
        <v>3.15900993347168</v>
      </c>
      <c r="BF455" s="3" t="n"/>
      <c r="BG455" s="3" t="n"/>
      <c r="BH455" s="3" t="n">
        <v>3.17401003837585</v>
      </c>
      <c r="BI455" s="3" t="n">
        <v>3.36669993400574</v>
      </c>
      <c r="BJ455" s="3" t="n">
        <v>3.42913007736206</v>
      </c>
      <c r="BK455" s="3" t="n">
        <v>3.49375009536743</v>
      </c>
      <c r="BL455" s="3" t="n">
        <v>3.4535698890686</v>
      </c>
      <c r="BM455" s="3" t="n">
        <v>3.09329414367676</v>
      </c>
      <c r="BN455" s="3" t="n">
        <v>4.30284023284912</v>
      </c>
      <c r="BO455" s="3" t="n">
        <v>3.71141004562378</v>
      </c>
      <c r="BP455" s="3" t="n">
        <v>3.36693000793457</v>
      </c>
      <c r="BQ455" s="3" t="n"/>
      <c r="BR455" s="34" t="str">
        <f>B455&amp;"|"&amp;D455</f>
        <v>PAN|SE.XPD.TOTL.GD.ZS</v>
      </c>
    </row>
    <row r="456">
      <c r="A456" s="3" t="inlineStr">
        <is>
          <t>Peru</t>
        </is>
      </c>
      <c r="B456" s="3" t="inlineStr">
        <is>
          <t>PER</t>
        </is>
      </c>
      <c r="C456" s="3" t="inlineStr">
        <is>
          <t>Government expenditure on education, total (% of GDP)</t>
        </is>
      </c>
      <c r="D456" s="3" t="inlineStr">
        <is>
          <t>SE.XPD.TOTL.GD.ZS</t>
        </is>
      </c>
      <c r="E456" s="3" t="n">
        <v>2023</v>
      </c>
      <c r="F456" s="3" t="n"/>
      <c r="G456" s="3" t="n"/>
      <c r="H456" s="3" t="n"/>
      <c r="I456" s="3" t="n"/>
      <c r="J456" s="3" t="n"/>
      <c r="K456" s="3" t="n"/>
      <c r="L456" s="3" t="n"/>
      <c r="M456" s="3" t="n"/>
      <c r="N456" s="3" t="n"/>
      <c r="O456" s="3" t="n"/>
      <c r="P456" s="3" t="n"/>
      <c r="Q456" s="3" t="n"/>
      <c r="R456" s="3" t="n"/>
      <c r="S456" s="3" t="n">
        <v>3.39172005653381</v>
      </c>
      <c r="T456" s="3" t="n"/>
      <c r="U456" s="3" t="n"/>
      <c r="V456" s="3" t="n"/>
      <c r="W456" s="3" t="n"/>
      <c r="X456" s="3" t="n"/>
      <c r="Y456" s="3" t="n"/>
      <c r="Z456" s="3" t="n"/>
      <c r="AA456" s="3" t="n"/>
      <c r="AB456" s="3" t="n"/>
      <c r="AC456" s="3" t="n"/>
      <c r="AD456" s="3" t="n"/>
      <c r="AE456" s="3" t="n"/>
      <c r="AF456" s="3" t="n"/>
      <c r="AG456" s="3" t="n"/>
      <c r="AH456" s="3" t="n"/>
      <c r="AI456" s="3" t="n"/>
      <c r="AJ456" s="3" t="n"/>
      <c r="AK456" s="3" t="n"/>
      <c r="AL456" s="3" t="n"/>
      <c r="AM456" s="3" t="n"/>
      <c r="AN456" s="3" t="n"/>
      <c r="AO456" s="3" t="n"/>
      <c r="AP456" s="3" t="n">
        <v>3.11879992485046</v>
      </c>
      <c r="AQ456" s="3" t="n"/>
      <c r="AR456" s="3" t="n">
        <v>3.27817988395691</v>
      </c>
      <c r="AS456" s="3" t="n">
        <v>3.44133996963501</v>
      </c>
      <c r="AT456" s="3" t="n">
        <v>3.22802996635437</v>
      </c>
      <c r="AU456" s="3" t="n">
        <v>3.03712010383606</v>
      </c>
      <c r="AV456" s="3" t="n">
        <v>2.82056999206543</v>
      </c>
      <c r="AW456" s="3" t="n">
        <v>2.93779993057251</v>
      </c>
      <c r="AX456" s="3" t="n">
        <v>2.95787000656128</v>
      </c>
      <c r="AY456" s="3" t="n">
        <v>2.83903002738953</v>
      </c>
      <c r="AZ456" s="3" t="n">
        <v>2.65281009674072</v>
      </c>
      <c r="BA456" s="3" t="n">
        <v>2.62940001487732</v>
      </c>
      <c r="BB456" s="3" t="n">
        <v>2.8677499294281</v>
      </c>
      <c r="BC456" s="3" t="n">
        <v>3.13994002342224</v>
      </c>
      <c r="BD456" s="3" t="n">
        <v>2.86730003356934</v>
      </c>
      <c r="BE456" s="3" t="n">
        <v>2.6635000705719</v>
      </c>
      <c r="BF456" s="3" t="n">
        <v>2.92276000976562</v>
      </c>
      <c r="BG456" s="3" t="n">
        <v>3.29729008674622</v>
      </c>
      <c r="BH456" s="3" t="n">
        <v>3.69599008560181</v>
      </c>
      <c r="BI456" s="3" t="n">
        <v>3.96933007240295</v>
      </c>
      <c r="BJ456" s="3" t="n">
        <v>3.81316995620728</v>
      </c>
      <c r="BK456" s="3" t="n">
        <v>3.93130993843079</v>
      </c>
      <c r="BL456" s="3" t="n">
        <v>3.71392011642456</v>
      </c>
      <c r="BM456" s="3" t="n">
        <v>3.822429895401</v>
      </c>
      <c r="BN456" s="3" t="n">
        <v>4.25937986373901</v>
      </c>
      <c r="BO456" s="3" t="n">
        <v>3.92721009254456</v>
      </c>
      <c r="BP456" s="3" t="n">
        <v>3.83315992355347</v>
      </c>
      <c r="BQ456" s="3" t="n">
        <v>4.23516988754272</v>
      </c>
      <c r="BR456" s="34" t="str">
        <f>B456&amp;"|"&amp;D456</f>
        <v>PER|SE.XPD.TOTL.GD.ZS</v>
      </c>
    </row>
    <row r="457">
      <c r="A457" s="3" t="inlineStr">
        <is>
          <t>Philippines</t>
        </is>
      </c>
      <c r="B457" s="3" t="inlineStr">
        <is>
          <t>PHL</t>
        </is>
      </c>
      <c r="C457" s="3" t="inlineStr">
        <is>
          <t>Government expenditure on education, total (% of GDP)</t>
        </is>
      </c>
      <c r="D457" s="3" t="inlineStr">
        <is>
          <t>SE.XPD.TOTL.GD.ZS</t>
        </is>
      </c>
      <c r="E457" s="3" t="n">
        <v>2023</v>
      </c>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v>1.51271998882294</v>
      </c>
      <c r="AA457" s="3" t="n"/>
      <c r="AB457" s="3" t="n">
        <v>1.82588005065918</v>
      </c>
      <c r="AC457" s="3" t="n">
        <v>1.483029961586</v>
      </c>
      <c r="AD457" s="3" t="n"/>
      <c r="AE457" s="3" t="n"/>
      <c r="AF457" s="3" t="n">
        <v>1.51701998710632</v>
      </c>
      <c r="AG457" s="3" t="n"/>
      <c r="AH457" s="3" t="n"/>
      <c r="AI457" s="3" t="n"/>
      <c r="AJ457" s="3" t="n"/>
      <c r="AK457" s="3" t="n"/>
      <c r="AL457" s="3" t="n"/>
      <c r="AM457" s="3" t="n"/>
      <c r="AN457" s="3" t="n"/>
      <c r="AO457" s="3" t="n">
        <v>2.66399002075195</v>
      </c>
      <c r="AP457" s="3" t="n">
        <v>2.94356989860535</v>
      </c>
      <c r="AQ457" s="3" t="n">
        <v>3.07756996154785</v>
      </c>
      <c r="AR457" s="3" t="n">
        <v>3.69745993614197</v>
      </c>
      <c r="AS457" s="3" t="n"/>
      <c r="AT457" s="3" t="n">
        <v>3.16440010070801</v>
      </c>
      <c r="AU457" s="3" t="n">
        <v>2.92463994026184</v>
      </c>
      <c r="AV457" s="3" t="n">
        <v>2.89222002029419</v>
      </c>
      <c r="AW457" s="3" t="n">
        <v>2.93517994880676</v>
      </c>
      <c r="AX457" s="3" t="n">
        <v>2.46983003616333</v>
      </c>
      <c r="AY457" s="3" t="n">
        <v>2.32806992530823</v>
      </c>
      <c r="AZ457" s="3" t="n">
        <v>2.42579007148743</v>
      </c>
      <c r="BA457" s="3" t="n">
        <v>2.48517990112305</v>
      </c>
      <c r="BB457" s="3" t="n">
        <v>2.58282995223999</v>
      </c>
      <c r="BC457" s="3" t="n">
        <v>2.53777003288269</v>
      </c>
      <c r="BD457" s="3" t="n"/>
      <c r="BE457" s="3" t="n"/>
      <c r="BF457" s="3" t="n"/>
      <c r="BG457" s="3" t="n"/>
      <c r="BH457" s="3" t="n">
        <v>2.66454243659973</v>
      </c>
      <c r="BI457" s="3" t="n">
        <v>2.8305230140686</v>
      </c>
      <c r="BJ457" s="3" t="n">
        <v>3.3012809753418</v>
      </c>
      <c r="BK457" s="3" t="n">
        <v>3.9638409614563</v>
      </c>
      <c r="BL457" s="3" t="n">
        <v>3.85502767562866</v>
      </c>
      <c r="BM457" s="3" t="n">
        <v>3.40748643875122</v>
      </c>
      <c r="BN457" s="3" t="n">
        <v>3.85829043388367</v>
      </c>
      <c r="BO457" s="3" t="n">
        <v>3.87249755859375</v>
      </c>
      <c r="BP457" s="3" t="n">
        <v>3.57960081100464</v>
      </c>
      <c r="BQ457" s="3" t="n">
        <v>3.62368631362915</v>
      </c>
      <c r="BR457" s="34" t="str">
        <f>B457&amp;"|"&amp;D457</f>
        <v>PHL|SE.XPD.TOTL.GD.ZS</v>
      </c>
    </row>
    <row r="458">
      <c r="A458" s="3" t="inlineStr">
        <is>
          <t>Palau</t>
        </is>
      </c>
      <c r="B458" s="3" t="inlineStr">
        <is>
          <t>PLW</t>
        </is>
      </c>
      <c r="C458" s="3" t="inlineStr">
        <is>
          <t>Government expenditure on education, total (% of GDP)</t>
        </is>
      </c>
      <c r="D458" s="3" t="inlineStr">
        <is>
          <t>SE.XPD.TOTL.GD.ZS</t>
        </is>
      </c>
      <c r="E458" s="3" t="n">
        <v>2023</v>
      </c>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c r="AD458" s="3" t="n"/>
      <c r="AE458" s="3" t="n"/>
      <c r="AF458" s="3" t="n"/>
      <c r="AG458" s="3" t="n"/>
      <c r="AH458" s="3" t="n"/>
      <c r="AI458" s="3" t="n"/>
      <c r="AJ458" s="3" t="n"/>
      <c r="AK458" s="3" t="n"/>
      <c r="AL458" s="3" t="n"/>
      <c r="AM458" s="3" t="n"/>
      <c r="AN458" s="3" t="n"/>
      <c r="AO458" s="3" t="n"/>
      <c r="AP458" s="3" t="n"/>
      <c r="AQ458" s="3" t="n"/>
      <c r="AR458" s="3" t="n"/>
      <c r="AS458" s="3" t="n"/>
      <c r="AT458" s="3" t="n">
        <v>7.8443398475647</v>
      </c>
      <c r="AU458" s="3" t="n">
        <v>7.58415985107422</v>
      </c>
      <c r="AV458" s="3" t="n">
        <v>7.54601001739502</v>
      </c>
      <c r="AW458" s="3" t="n"/>
      <c r="AX458" s="3" t="n"/>
      <c r="AY458" s="3" t="n"/>
      <c r="AZ458" s="3" t="n"/>
      <c r="BA458" s="3" t="n"/>
      <c r="BB458" s="3" t="n"/>
      <c r="BC458" s="3" t="n"/>
      <c r="BD458" s="3" t="n"/>
      <c r="BE458" s="3" t="n"/>
      <c r="BF458" s="3" t="n"/>
      <c r="BG458" s="3" t="n"/>
      <c r="BH458" s="3" t="n"/>
      <c r="BI458" s="3" t="n"/>
      <c r="BJ458" s="3" t="n"/>
      <c r="BK458" s="3" t="n"/>
      <c r="BL458" s="3" t="n"/>
      <c r="BM458" s="3" t="n"/>
      <c r="BN458" s="3" t="n">
        <v>3.47118067741394</v>
      </c>
      <c r="BO458" s="3" t="n">
        <v>3.94417095184326</v>
      </c>
      <c r="BP458" s="3" t="n">
        <v>3.57620143890381</v>
      </c>
      <c r="BQ458" s="3" t="n">
        <v>3.43726491928101</v>
      </c>
      <c r="BR458" s="34" t="str">
        <f>B458&amp;"|"&amp;D458</f>
        <v>PLW|SE.XPD.TOTL.GD.ZS</v>
      </c>
    </row>
    <row r="459">
      <c r="A459" s="3" t="inlineStr">
        <is>
          <t>Papua New Guinea</t>
        </is>
      </c>
      <c r="B459" s="3" t="inlineStr">
        <is>
          <t>PNG</t>
        </is>
      </c>
      <c r="C459" s="3" t="inlineStr">
        <is>
          <t>Government expenditure on education, total (% of GDP)</t>
        </is>
      </c>
      <c r="D459" s="3" t="inlineStr">
        <is>
          <t>SE.XPD.TOTL.GD.ZS</t>
        </is>
      </c>
      <c r="E459" s="3" t="n">
        <v>2021</v>
      </c>
      <c r="F459" s="3" t="n"/>
      <c r="G459" s="3" t="n"/>
      <c r="H459" s="3" t="n"/>
      <c r="I459" s="3" t="n"/>
      <c r="J459" s="3" t="n"/>
      <c r="K459" s="3" t="n"/>
      <c r="L459" s="3" t="n"/>
      <c r="M459" s="3" t="n"/>
      <c r="N459" s="3" t="n"/>
      <c r="O459" s="3" t="n"/>
      <c r="P459" s="3" t="n"/>
      <c r="Q459" s="3" t="n"/>
      <c r="R459" s="3" t="n">
        <v>5.24715995788574</v>
      </c>
      <c r="S459" s="3" t="n"/>
      <c r="T459" s="3" t="n"/>
      <c r="U459" s="3" t="n"/>
      <c r="V459" s="3" t="n"/>
      <c r="W459" s="3" t="n">
        <v>7.38970994949341</v>
      </c>
      <c r="X459" s="3" t="n"/>
      <c r="Y459" s="3" t="n"/>
      <c r="Z459" s="3" t="n"/>
      <c r="AA459" s="3" t="n"/>
      <c r="AB459" s="3" t="n"/>
      <c r="AC459" s="3" t="n"/>
      <c r="AD459" s="3" t="n"/>
      <c r="AE459" s="3" t="n"/>
      <c r="AF459" s="3" t="n"/>
      <c r="AG459" s="3" t="n"/>
      <c r="AH459" s="3" t="n"/>
      <c r="AI459" s="3" t="n"/>
      <c r="AJ459" s="3" t="n"/>
      <c r="AK459" s="3" t="n"/>
      <c r="AL459" s="3" t="n"/>
      <c r="AM459" s="3" t="n"/>
      <c r="AN459" s="3" t="n"/>
      <c r="AO459" s="3" t="n"/>
      <c r="AP459" s="3" t="n"/>
      <c r="AQ459" s="3" t="n"/>
      <c r="AR459" s="3" t="n"/>
      <c r="AS459" s="3" t="n"/>
      <c r="AT459" s="3" t="n"/>
      <c r="AU459" s="3" t="n"/>
      <c r="AV459" s="3" t="n"/>
      <c r="AW459" s="3" t="n"/>
      <c r="AX459" s="3" t="n"/>
      <c r="AY459" s="3" t="n"/>
      <c r="AZ459" s="3" t="n"/>
      <c r="BA459" s="3" t="n"/>
      <c r="BB459" s="3" t="n"/>
      <c r="BC459" s="3" t="n"/>
      <c r="BD459" s="3" t="n"/>
      <c r="BE459" s="3" t="n"/>
      <c r="BF459" s="3" t="n"/>
      <c r="BG459" s="3" t="n"/>
      <c r="BH459" s="3" t="n"/>
      <c r="BI459" s="3" t="n">
        <v>1.66600000858307</v>
      </c>
      <c r="BJ459" s="3" t="n">
        <v>0.846000015735626</v>
      </c>
      <c r="BK459" s="3" t="n">
        <v>1.96493005752563</v>
      </c>
      <c r="BL459" s="3" t="n">
        <v>1.8748300075531</v>
      </c>
      <c r="BM459" s="3" t="n">
        <v>0.736999988555908</v>
      </c>
      <c r="BN459" s="3" t="n">
        <v>1.49800002574921</v>
      </c>
      <c r="BO459" s="3" t="n">
        <v>1.34599995613098</v>
      </c>
      <c r="BP459" s="3" t="n"/>
      <c r="BQ459" s="3" t="n"/>
      <c r="BR459" s="34" t="str">
        <f>B459&amp;"|"&amp;D459</f>
        <v>PNG|SE.XPD.TOTL.GD.ZS</v>
      </c>
    </row>
    <row r="460">
      <c r="A460" s="3" t="inlineStr">
        <is>
          <t>Poland</t>
        </is>
      </c>
      <c r="B460" s="3" t="inlineStr">
        <is>
          <t>POL</t>
        </is>
      </c>
      <c r="C460" s="3" t="inlineStr">
        <is>
          <t>Government expenditure on education, total (% of GDP)</t>
        </is>
      </c>
      <c r="D460" s="3" t="inlineStr">
        <is>
          <t>SE.XPD.TOTL.GD.ZS</t>
        </is>
      </c>
      <c r="E460" s="3" t="n">
        <v>2021</v>
      </c>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c r="AD460" s="3" t="n"/>
      <c r="AE460" s="3" t="n"/>
      <c r="AF460" s="3" t="n"/>
      <c r="AG460" s="3" t="n"/>
      <c r="AH460" s="3" t="n"/>
      <c r="AI460" s="3" t="n"/>
      <c r="AJ460" s="3" t="n"/>
      <c r="AK460" s="3" t="n">
        <v>3.89144992828369</v>
      </c>
      <c r="AL460" s="3" t="n">
        <v>4.1879301071167</v>
      </c>
      <c r="AM460" s="3" t="n">
        <v>4.1827597618103</v>
      </c>
      <c r="AN460" s="3" t="n"/>
      <c r="AO460" s="3" t="n">
        <v>4.33025979995728</v>
      </c>
      <c r="AP460" s="3" t="n">
        <v>6.25738000869751</v>
      </c>
      <c r="AQ460" s="3" t="n"/>
      <c r="AR460" s="3" t="n">
        <v>4.94200992584229</v>
      </c>
      <c r="AS460" s="3" t="n">
        <v>4.59181976318359</v>
      </c>
      <c r="AT460" s="3" t="n">
        <v>4.9839301109314</v>
      </c>
      <c r="AU460" s="3" t="n">
        <v>5.31902980804443</v>
      </c>
      <c r="AV460" s="3" t="n">
        <v>5.38735008239746</v>
      </c>
      <c r="AW460" s="3" t="n">
        <v>5.32449007034302</v>
      </c>
      <c r="AX460" s="3" t="n">
        <v>5.35557985305786</v>
      </c>
      <c r="AY460" s="3" t="n">
        <v>5.42574977874756</v>
      </c>
      <c r="AZ460" s="3" t="n">
        <v>5.20765018463135</v>
      </c>
      <c r="BA460" s="3" t="n">
        <v>4.86874008178711</v>
      </c>
      <c r="BB460" s="3" t="n">
        <v>5.04239988327026</v>
      </c>
      <c r="BC460" s="3" t="n">
        <v>4.98976993560791</v>
      </c>
      <c r="BD460" s="3" t="n">
        <v>5.10705995559692</v>
      </c>
      <c r="BE460" s="3" t="n">
        <v>4.8610200881958</v>
      </c>
      <c r="BF460" s="3" t="n">
        <v>4.86159992218018</v>
      </c>
      <c r="BG460" s="3" t="n">
        <v>5.021240234375</v>
      </c>
      <c r="BH460" s="3" t="n">
        <v>4.9665699005127</v>
      </c>
      <c r="BI460" s="3" t="n">
        <v>4.81700992584229</v>
      </c>
      <c r="BJ460" s="3" t="n">
        <v>4.6591100692749</v>
      </c>
      <c r="BK460" s="3" t="n">
        <v>4.57464981079102</v>
      </c>
      <c r="BL460" s="3" t="n">
        <v>4.60506010055542</v>
      </c>
      <c r="BM460" s="3" t="n">
        <v>4.67881011962891</v>
      </c>
      <c r="BN460" s="3" t="n">
        <v>4.85265016555786</v>
      </c>
      <c r="BO460" s="3" t="n">
        <v>4.67303991317749</v>
      </c>
      <c r="BP460" s="3" t="n"/>
      <c r="BQ460" s="3" t="n"/>
      <c r="BR460" s="34" t="str">
        <f>B460&amp;"|"&amp;D460</f>
        <v>POL|SE.XPD.TOTL.GD.ZS</v>
      </c>
    </row>
    <row r="461">
      <c r="A461" s="3" t="inlineStr">
        <is>
          <t>Pre-demographic dividend</t>
        </is>
      </c>
      <c r="B461" s="3" t="inlineStr">
        <is>
          <t>PRE</t>
        </is>
      </c>
      <c r="C461" s="3" t="inlineStr">
        <is>
          <t>Government expenditure on education, total (% of GDP)</t>
        </is>
      </c>
      <c r="D461" s="3" t="inlineStr">
        <is>
          <t>SE.XPD.TOTL.GD.ZS</t>
        </is>
      </c>
      <c r="E461" s="3" t="n">
        <v>2022</v>
      </c>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c r="AD461" s="3" t="n"/>
      <c r="AE461" s="3" t="n"/>
      <c r="AF461" s="3" t="n"/>
      <c r="AG461" s="3" t="n"/>
      <c r="AH461" s="3" t="n"/>
      <c r="AI461" s="3" t="n"/>
      <c r="AJ461" s="3" t="n"/>
      <c r="AK461" s="3" t="n"/>
      <c r="AL461" s="3" t="n"/>
      <c r="AM461" s="3" t="n"/>
      <c r="AN461" s="3" t="n"/>
      <c r="AO461" s="3" t="n"/>
      <c r="AP461" s="3" t="n"/>
      <c r="AQ461" s="3" t="n"/>
      <c r="AR461" s="3" t="n"/>
      <c r="AS461" s="3" t="n">
        <v>2.45981001853943</v>
      </c>
      <c r="AT461" s="3" t="n">
        <v>2.462509989738465</v>
      </c>
      <c r="AU461" s="3" t="n">
        <v>2.47150993347168</v>
      </c>
      <c r="AV461" s="3" t="n">
        <v>2.4695200920105</v>
      </c>
      <c r="AW461" s="3" t="n"/>
      <c r="AX461" s="3" t="n">
        <v>2.803959965705875</v>
      </c>
      <c r="AY461" s="3" t="n">
        <v>2.6566801071167</v>
      </c>
      <c r="AZ461" s="3" t="n">
        <v>2.560960054397585</v>
      </c>
      <c r="BA461" s="3" t="n"/>
      <c r="BB461" s="3" t="n">
        <v>2.55433988571167</v>
      </c>
      <c r="BC461" s="3" t="n">
        <v>3.004635095596315</v>
      </c>
      <c r="BD461" s="3" t="n">
        <v>2.84803009033203</v>
      </c>
      <c r="BE461" s="3" t="n">
        <v>3.07750010490417</v>
      </c>
      <c r="BF461" s="3" t="n">
        <v>2.810414552688595</v>
      </c>
      <c r="BG461" s="3" t="n">
        <v>3.22970008850098</v>
      </c>
      <c r="BH461" s="3" t="n">
        <v>3.161789894104</v>
      </c>
      <c r="BI461" s="3" t="n">
        <v>3.17298007011414</v>
      </c>
      <c r="BJ461" s="3" t="n">
        <v>2.90522003173828</v>
      </c>
      <c r="BK461" s="3" t="n">
        <v>3.652347445487975</v>
      </c>
      <c r="BL461" s="3" t="n">
        <v>3.26730489730835</v>
      </c>
      <c r="BM461" s="3" t="n">
        <v>3.469648599624635</v>
      </c>
      <c r="BN461" s="3" t="n">
        <v>3.25443387031555</v>
      </c>
      <c r="BO461" s="3" t="n">
        <v>3.11515331268311</v>
      </c>
      <c r="BP461" s="3" t="n">
        <v>3.188632488250735</v>
      </c>
      <c r="BQ461" s="3" t="n"/>
      <c r="BR461" s="34" t="str">
        <f>B461&amp;"|"&amp;D461</f>
        <v>PRE|SE.XPD.TOTL.GD.ZS</v>
      </c>
    </row>
    <row r="462">
      <c r="A462" s="3" t="inlineStr">
        <is>
          <t>Puerto Rico</t>
        </is>
      </c>
      <c r="B462" s="3" t="inlineStr">
        <is>
          <t>PRI</t>
        </is>
      </c>
      <c r="C462" s="3" t="inlineStr">
        <is>
          <t>Government expenditure on education, total (% of GDP)</t>
        </is>
      </c>
      <c r="D462" s="3" t="inlineStr">
        <is>
          <t>SE.XPD.TOTL.GD.ZS</t>
        </is>
      </c>
      <c r="E462" s="3" t="n">
        <v>2014</v>
      </c>
      <c r="F462" s="3" t="n"/>
      <c r="G462" s="3" t="n"/>
      <c r="H462" s="3" t="n"/>
      <c r="I462" s="3" t="n"/>
      <c r="J462" s="3" t="n"/>
      <c r="K462" s="3" t="n"/>
      <c r="L462" s="3" t="n"/>
      <c r="M462" s="3" t="n"/>
      <c r="N462" s="3" t="n"/>
      <c r="O462" s="3" t="n"/>
      <c r="P462" s="3" t="n"/>
      <c r="Q462" s="3" t="n">
        <v>7.2505202293396</v>
      </c>
      <c r="R462" s="3" t="n">
        <v>7.21458005905151</v>
      </c>
      <c r="S462" s="3" t="n">
        <v>6.47992992401123</v>
      </c>
      <c r="T462" s="3" t="n">
        <v>7.28690004348755</v>
      </c>
      <c r="U462" s="3" t="n">
        <v>6.22974014282227</v>
      </c>
      <c r="V462" s="3" t="n">
        <v>7.14049005508423</v>
      </c>
      <c r="W462" s="3" t="n">
        <v>6.38756990432739</v>
      </c>
      <c r="X462" s="3" t="n">
        <v>6.68102979660034</v>
      </c>
      <c r="Y462" s="3" t="n"/>
      <c r="Z462" s="3" t="n"/>
      <c r="AA462" s="3" t="n"/>
      <c r="AB462" s="3" t="n"/>
      <c r="AC462" s="3" t="n"/>
      <c r="AD462" s="3" t="n"/>
      <c r="AE462" s="3" t="n"/>
      <c r="AF462" s="3" t="n"/>
      <c r="AG462" s="3" t="n"/>
      <c r="AH462" s="3" t="n"/>
      <c r="AI462" s="3" t="n"/>
      <c r="AJ462" s="3" t="n"/>
      <c r="AK462" s="3" t="n"/>
      <c r="AL462" s="3" t="n"/>
      <c r="AM462" s="3" t="n"/>
      <c r="AN462" s="3" t="n"/>
      <c r="AO462" s="3" t="n"/>
      <c r="AP462" s="3" t="n"/>
      <c r="AQ462" s="3" t="n"/>
      <c r="AR462" s="3" t="n"/>
      <c r="AS462" s="3" t="n"/>
      <c r="AT462" s="3" t="n"/>
      <c r="AU462" s="3" t="n"/>
      <c r="AV462" s="3" t="n"/>
      <c r="AW462" s="3" t="n"/>
      <c r="AX462" s="3" t="n"/>
      <c r="AY462" s="3" t="n"/>
      <c r="AZ462" s="3" t="n"/>
      <c r="BA462" s="3" t="n"/>
      <c r="BB462" s="3" t="n"/>
      <c r="BC462" s="3" t="n"/>
      <c r="BD462" s="3" t="n"/>
      <c r="BE462" s="3" t="n"/>
      <c r="BF462" s="3" t="n"/>
      <c r="BG462" s="3" t="n">
        <v>6.48108005523682</v>
      </c>
      <c r="BH462" s="3" t="n">
        <v>6.07265996932983</v>
      </c>
      <c r="BI462" s="3" t="n"/>
      <c r="BJ462" s="3" t="n"/>
      <c r="BK462" s="3" t="n"/>
      <c r="BL462" s="3" t="n"/>
      <c r="BM462" s="3" t="n"/>
      <c r="BN462" s="3" t="n"/>
      <c r="BO462" s="3" t="n"/>
      <c r="BP462" s="3" t="n"/>
      <c r="BQ462" s="3" t="n"/>
      <c r="BR462" s="34" t="str">
        <f>B462&amp;"|"&amp;D462</f>
        <v>PRI|SE.XPD.TOTL.GD.ZS</v>
      </c>
    </row>
    <row r="463">
      <c r="A463" s="3" t="inlineStr">
        <is>
          <t>Korea, Dem. People's Rep.</t>
        </is>
      </c>
      <c r="B463" s="3" t="inlineStr">
        <is>
          <t>PRK</t>
        </is>
      </c>
      <c r="C463" s="3" t="inlineStr">
        <is>
          <t>Government expenditure on education, total (% of GDP)</t>
        </is>
      </c>
      <c r="D463" s="3" t="inlineStr">
        <is>
          <t>SE.XPD.TOTL.GD.ZS</t>
        </is>
      </c>
      <c r="E463" s="3" t="inlineStr">
        <is>
          <t>0x2a</t>
        </is>
      </c>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c r="AD463" s="3" t="n"/>
      <c r="AE463" s="3" t="n"/>
      <c r="AF463" s="3" t="n"/>
      <c r="AG463" s="3" t="n"/>
      <c r="AH463" s="3" t="n"/>
      <c r="AI463" s="3" t="n"/>
      <c r="AJ463" s="3" t="n"/>
      <c r="AK463" s="3" t="n"/>
      <c r="AL463" s="3" t="n"/>
      <c r="AM463" s="3" t="n"/>
      <c r="AN463" s="3" t="n"/>
      <c r="AO463" s="3" t="n"/>
      <c r="AP463" s="3" t="n"/>
      <c r="AQ463" s="3" t="n"/>
      <c r="AR463" s="3" t="n"/>
      <c r="AS463" s="3" t="n"/>
      <c r="AT463" s="3" t="n"/>
      <c r="AU463" s="3" t="n"/>
      <c r="AV463" s="3" t="n"/>
      <c r="AW463" s="3" t="n"/>
      <c r="AX463" s="3" t="n"/>
      <c r="AY463" s="3" t="n"/>
      <c r="AZ463" s="3" t="n"/>
      <c r="BA463" s="3" t="n"/>
      <c r="BB463" s="3" t="n"/>
      <c r="BC463" s="3" t="n"/>
      <c r="BD463" s="3" t="n"/>
      <c r="BE463" s="3" t="n"/>
      <c r="BF463" s="3" t="n"/>
      <c r="BG463" s="3" t="n"/>
      <c r="BH463" s="3" t="n"/>
      <c r="BI463" s="3" t="n"/>
      <c r="BJ463" s="3" t="n"/>
      <c r="BK463" s="3" t="n"/>
      <c r="BL463" s="3" t="n"/>
      <c r="BM463" s="3" t="n"/>
      <c r="BN463" s="3" t="n"/>
      <c r="BO463" s="3" t="n"/>
      <c r="BP463" s="3" t="n"/>
      <c r="BQ463" s="3" t="n"/>
      <c r="BR463" s="34" t="str">
        <f>B463&amp;"|"&amp;D463</f>
        <v>PRK|SE.XPD.TOTL.GD.ZS</v>
      </c>
    </row>
    <row r="464">
      <c r="A464" s="3" t="inlineStr">
        <is>
          <t>Portugal</t>
        </is>
      </c>
      <c r="B464" s="3" t="inlineStr">
        <is>
          <t>PRT</t>
        </is>
      </c>
      <c r="C464" s="3" t="inlineStr">
        <is>
          <t>Government expenditure on education, total (% of GDP)</t>
        </is>
      </c>
      <c r="D464" s="3" t="inlineStr">
        <is>
          <t>SE.XPD.TOTL.GD.ZS</t>
        </is>
      </c>
      <c r="E464" s="3" t="n">
        <v>2021</v>
      </c>
      <c r="F464" s="3" t="n"/>
      <c r="G464" s="3" t="n"/>
      <c r="H464" s="3" t="n"/>
      <c r="I464" s="3" t="n"/>
      <c r="J464" s="3" t="n"/>
      <c r="K464" s="3" t="n"/>
      <c r="L464" s="3" t="n"/>
      <c r="M464" s="3" t="n"/>
      <c r="N464" s="3" t="n"/>
      <c r="O464" s="3" t="n"/>
      <c r="P464" s="3" t="n"/>
      <c r="Q464" s="3" t="n"/>
      <c r="R464" s="3" t="n"/>
      <c r="S464" s="3" t="n">
        <v>1.63391995429993</v>
      </c>
      <c r="T464" s="3" t="n">
        <v>1.93535995483398</v>
      </c>
      <c r="U464" s="3" t="n">
        <v>3.06245994567871</v>
      </c>
      <c r="V464" s="3" t="n">
        <v>3.07873010635376</v>
      </c>
      <c r="W464" s="3" t="n"/>
      <c r="X464" s="3" t="n">
        <v>2.90048003196716</v>
      </c>
      <c r="Y464" s="3" t="n">
        <v>2.69930005073547</v>
      </c>
      <c r="Z464" s="3" t="n">
        <v>3.06743001937866</v>
      </c>
      <c r="AA464" s="3" t="n">
        <v>3.18575000762939</v>
      </c>
      <c r="AB464" s="3" t="n">
        <v>3.32909989356995</v>
      </c>
      <c r="AC464" s="3" t="n">
        <v>3.23281002044678</v>
      </c>
      <c r="AD464" s="3" t="n">
        <v>3.14253997802734</v>
      </c>
      <c r="AE464" s="3" t="n">
        <v>3.26249003410339</v>
      </c>
      <c r="AF464" s="3" t="n">
        <v>3.04924988746643</v>
      </c>
      <c r="AG464" s="3" t="n">
        <v>3.15797996520996</v>
      </c>
      <c r="AH464" s="3" t="n">
        <v>3.38753008842468</v>
      </c>
      <c r="AI464" s="3" t="n">
        <v>3.47523999214172</v>
      </c>
      <c r="AJ464" s="3" t="n">
        <v>3.56972002983093</v>
      </c>
      <c r="AK464" s="3" t="n">
        <v>4.07133007049561</v>
      </c>
      <c r="AL464" s="3" t="n">
        <v>4.33747005462646</v>
      </c>
      <c r="AM464" s="3" t="n">
        <v>4.84095001220703</v>
      </c>
      <c r="AN464" s="3" t="n">
        <v>4.67129993438721</v>
      </c>
      <c r="AO464" s="3" t="n">
        <v>4.61330986022949</v>
      </c>
      <c r="AP464" s="3" t="n">
        <v>5.065110206604</v>
      </c>
      <c r="AQ464" s="3" t="n"/>
      <c r="AR464" s="3" t="n"/>
      <c r="AS464" s="3" t="n">
        <v>5.0468602180481</v>
      </c>
      <c r="AT464" s="3" t="n">
        <v>5.16384983062744</v>
      </c>
      <c r="AU464" s="3" t="n">
        <v>5.33713006973267</v>
      </c>
      <c r="AV464" s="3" t="n">
        <v>5.25871992111206</v>
      </c>
      <c r="AW464" s="3" t="n">
        <v>5.28152990341187</v>
      </c>
      <c r="AX464" s="3" t="n">
        <v>5.04638004302979</v>
      </c>
      <c r="AY464" s="3" t="n">
        <v>5.07394981384277</v>
      </c>
      <c r="AZ464" s="3" t="n">
        <v>4.90767002105713</v>
      </c>
      <c r="BA464" s="3" t="n">
        <v>4.92147016525269</v>
      </c>
      <c r="BB464" s="3" t="n">
        <v>4.69609022140503</v>
      </c>
      <c r="BC464" s="3" t="n">
        <v>5.56314992904663</v>
      </c>
      <c r="BD464" s="3" t="n">
        <v>5.41248989105225</v>
      </c>
      <c r="BE464" s="3" t="n">
        <v>5.12333011627197</v>
      </c>
      <c r="BF464" s="3" t="n">
        <v>4.94940996170044</v>
      </c>
      <c r="BG464" s="3" t="n">
        <v>5.2709698677063</v>
      </c>
      <c r="BH464" s="3" t="n">
        <v>5.12400007247925</v>
      </c>
      <c r="BI464" s="3" t="n">
        <v>4.88554000854492</v>
      </c>
      <c r="BJ464" s="3" t="n">
        <v>4.7709059715271</v>
      </c>
      <c r="BK464" s="3" t="n">
        <v>5.0156102180481</v>
      </c>
      <c r="BL464" s="3" t="n">
        <v>4.67515993118286</v>
      </c>
      <c r="BM464" s="3" t="n">
        <v>4.63002014160156</v>
      </c>
      <c r="BN464" s="3" t="n">
        <v>4.87656021118164</v>
      </c>
      <c r="BO464" s="3" t="n">
        <v>4.78316020965576</v>
      </c>
      <c r="BP464" s="3" t="n"/>
      <c r="BQ464" s="3" t="n"/>
      <c r="BR464" s="34" t="str">
        <f>B464&amp;"|"&amp;D464</f>
        <v>PRT|SE.XPD.TOTL.GD.ZS</v>
      </c>
    </row>
    <row r="465">
      <c r="A465" s="3" t="inlineStr">
        <is>
          <t>Paraguay</t>
        </is>
      </c>
      <c r="B465" s="3" t="inlineStr">
        <is>
          <t>PRY</t>
        </is>
      </c>
      <c r="C465" s="3" t="inlineStr">
        <is>
          <t>Government expenditure on education, total (% of GDP)</t>
        </is>
      </c>
      <c r="D465" s="3" t="inlineStr">
        <is>
          <t>SE.XPD.TOTL.GD.ZS</t>
        </is>
      </c>
      <c r="E465" s="3" t="n">
        <v>2023</v>
      </c>
      <c r="F465" s="3" t="n"/>
      <c r="G465" s="3" t="n"/>
      <c r="H465" s="3" t="n"/>
      <c r="I465" s="3" t="n"/>
      <c r="J465" s="3" t="n"/>
      <c r="K465" s="3" t="n"/>
      <c r="L465" s="3" t="n"/>
      <c r="M465" s="3" t="n"/>
      <c r="N465" s="3" t="n"/>
      <c r="O465" s="3" t="n"/>
      <c r="P465" s="3" t="n">
        <v>2.10519003868103</v>
      </c>
      <c r="Q465" s="3" t="n">
        <v>2.26543998718262</v>
      </c>
      <c r="R465" s="3" t="n"/>
      <c r="S465" s="3" t="n"/>
      <c r="T465" s="3" t="n"/>
      <c r="U465" s="3" t="n"/>
      <c r="V465" s="3" t="n"/>
      <c r="W465" s="3" t="n"/>
      <c r="X465" s="3" t="n"/>
      <c r="Y465" s="3" t="n"/>
      <c r="Z465" s="3" t="n"/>
      <c r="AA465" s="3" t="n"/>
      <c r="AB465" s="3" t="n"/>
      <c r="AC465" s="3" t="n"/>
      <c r="AD465" s="3" t="n"/>
      <c r="AE465" s="3" t="n">
        <v>1.39584994316101</v>
      </c>
      <c r="AF465" s="3" t="n"/>
      <c r="AG465" s="3" t="n"/>
      <c r="AH465" s="3" t="n"/>
      <c r="AI465" s="3" t="n"/>
      <c r="AJ465" s="3" t="n">
        <v>1.04070997238159</v>
      </c>
      <c r="AK465" s="3" t="n"/>
      <c r="AL465" s="3" t="n"/>
      <c r="AM465" s="3" t="n"/>
      <c r="AN465" s="3" t="n"/>
      <c r="AO465" s="3" t="n"/>
      <c r="AP465" s="3" t="n"/>
      <c r="AQ465" s="3" t="n"/>
      <c r="AR465" s="3" t="n">
        <v>4.19833993911743</v>
      </c>
      <c r="AS465" s="3" t="n">
        <v>4.23087978363037</v>
      </c>
      <c r="AT465" s="3" t="n">
        <v>4.2302098274231</v>
      </c>
      <c r="AU465" s="3" t="n">
        <v>3.83357000350952</v>
      </c>
      <c r="AV465" s="3" t="n">
        <v>3.40773010253906</v>
      </c>
      <c r="AW465" s="3" t="n">
        <v>3.3827600479126</v>
      </c>
      <c r="AX465" s="3" t="n">
        <v>2.86989998817444</v>
      </c>
      <c r="AY465" s="3" t="n"/>
      <c r="AZ465" s="3" t="n"/>
      <c r="BA465" s="3" t="n">
        <v>2.73951005935669</v>
      </c>
      <c r="BB465" s="3" t="n"/>
      <c r="BC465" s="3" t="n"/>
      <c r="BD465" s="3" t="n">
        <v>2.7707200050354</v>
      </c>
      <c r="BE465" s="3" t="n">
        <v>3.69282007217407</v>
      </c>
      <c r="BF465" s="3" t="n">
        <v>3.668790102005</v>
      </c>
      <c r="BG465" s="3" t="n">
        <v>2.67871189117432</v>
      </c>
      <c r="BH465" s="3" t="n">
        <v>2.59655904769897</v>
      </c>
      <c r="BI465" s="3" t="n">
        <v>3.33377814292908</v>
      </c>
      <c r="BJ465" s="3" t="n">
        <v>3.4349799156189</v>
      </c>
      <c r="BK465" s="3" t="n">
        <v>3.09062075614929</v>
      </c>
      <c r="BL465" s="3" t="n">
        <v>3.29619598388672</v>
      </c>
      <c r="BM465" s="3" t="n">
        <v>3.48983025550842</v>
      </c>
      <c r="BN465" s="3" t="n">
        <v>3.93615007400513</v>
      </c>
      <c r="BO465" s="3" t="n">
        <v>3.41070008277893</v>
      </c>
      <c r="BP465" s="3" t="n">
        <v>3.39619994163513</v>
      </c>
      <c r="BQ465" s="3" t="n">
        <v>3.40649008750916</v>
      </c>
      <c r="BR465" s="34" t="str">
        <f>B465&amp;"|"&amp;D465</f>
        <v>PRY|SE.XPD.TOTL.GD.ZS</v>
      </c>
    </row>
    <row r="466">
      <c r="A466" s="3" t="inlineStr">
        <is>
          <t>West Bank and Gaza</t>
        </is>
      </c>
      <c r="B466" s="3" t="inlineStr">
        <is>
          <t>PSE</t>
        </is>
      </c>
      <c r="C466" s="3" t="inlineStr">
        <is>
          <t>Government expenditure on education, total (% of GDP)</t>
        </is>
      </c>
      <c r="D466" s="3" t="inlineStr">
        <is>
          <t>SE.XPD.TOTL.GD.ZS</t>
        </is>
      </c>
      <c r="E466" s="3" t="n">
        <v>2021</v>
      </c>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c r="AD466" s="3" t="n"/>
      <c r="AE466" s="3" t="n"/>
      <c r="AF466" s="3" t="n"/>
      <c r="AG466" s="3" t="n"/>
      <c r="AH466" s="3" t="n"/>
      <c r="AI466" s="3" t="n"/>
      <c r="AJ466" s="3" t="n"/>
      <c r="AK466" s="3" t="n"/>
      <c r="AL466" s="3" t="n"/>
      <c r="AM466" s="3" t="n"/>
      <c r="AN466" s="3" t="n"/>
      <c r="AO466" s="3" t="n"/>
      <c r="AP466" s="3" t="n"/>
      <c r="AQ466" s="3" t="n"/>
      <c r="AR466" s="3" t="n"/>
      <c r="AS466" s="3" t="n"/>
      <c r="AT466" s="3" t="n"/>
      <c r="AU466" s="3" t="n"/>
      <c r="AV466" s="3" t="n"/>
      <c r="AW466" s="3" t="n"/>
      <c r="AX466" s="3" t="n"/>
      <c r="AY466" s="3" t="n"/>
      <c r="AZ466" s="3" t="n"/>
      <c r="BA466" s="3" t="n"/>
      <c r="BB466" s="3" t="n"/>
      <c r="BC466" s="3" t="n"/>
      <c r="BD466" s="3" t="n">
        <v>6.19167995452881</v>
      </c>
      <c r="BE466" s="3" t="n">
        <v>5.33527994155884</v>
      </c>
      <c r="BF466" s="3" t="n">
        <v>4.74210977554321</v>
      </c>
      <c r="BG466" s="3" t="n">
        <v>4.89467000961304</v>
      </c>
      <c r="BH466" s="3" t="n"/>
      <c r="BI466" s="3" t="n">
        <v>4.66321992874146</v>
      </c>
      <c r="BJ466" s="3" t="n">
        <v>4.98296022415161</v>
      </c>
      <c r="BK466" s="3" t="n">
        <v>4.72153997421265</v>
      </c>
      <c r="BL466" s="3" t="n"/>
      <c r="BM466" s="3" t="n"/>
      <c r="BN466" s="3" t="n"/>
      <c r="BO466" s="3" t="n">
        <v>5.43442010879517</v>
      </c>
      <c r="BP466" s="3" t="n"/>
      <c r="BQ466" s="3" t="n"/>
      <c r="BR466" s="34" t="str">
        <f>B466&amp;"|"&amp;D466</f>
        <v>PSE|SE.XPD.TOTL.GD.ZS</v>
      </c>
    </row>
    <row r="467">
      <c r="A467" s="3" t="inlineStr">
        <is>
          <t>Pacific island small states</t>
        </is>
      </c>
      <c r="B467" s="3" t="inlineStr">
        <is>
          <t>PSS</t>
        </is>
      </c>
      <c r="C467" s="3" t="inlineStr">
        <is>
          <t>Government expenditure on education, total (% of GDP)</t>
        </is>
      </c>
      <c r="D467" s="3" t="inlineStr">
        <is>
          <t>SE.XPD.TOTL.GD.ZS</t>
        </is>
      </c>
      <c r="E467" s="3" t="inlineStr">
        <is>
          <t>0x2a</t>
        </is>
      </c>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c r="AD467" s="3" t="n"/>
      <c r="AE467" s="3" t="n"/>
      <c r="AF467" s="3" t="n"/>
      <c r="AG467" s="3" t="n"/>
      <c r="AH467" s="3" t="n"/>
      <c r="AI467" s="3" t="n"/>
      <c r="AJ467" s="3" t="n"/>
      <c r="AK467" s="3" t="n"/>
      <c r="AL467" s="3" t="n"/>
      <c r="AM467" s="3" t="n"/>
      <c r="AN467" s="3" t="n"/>
      <c r="AO467" s="3" t="n"/>
      <c r="AP467" s="3" t="n"/>
      <c r="AQ467" s="3" t="n"/>
      <c r="AR467" s="3" t="n"/>
      <c r="AS467" s="3" t="n"/>
      <c r="AT467" s="3" t="n"/>
      <c r="AU467" s="3" t="n"/>
      <c r="AV467" s="3" t="n"/>
      <c r="AW467" s="3" t="n"/>
      <c r="AX467" s="3" t="n"/>
      <c r="AY467" s="3" t="n"/>
      <c r="AZ467" s="3" t="n"/>
      <c r="BA467" s="3" t="n"/>
      <c r="BB467" s="3" t="n"/>
      <c r="BC467" s="3" t="n"/>
      <c r="BD467" s="3" t="n"/>
      <c r="BE467" s="3" t="n"/>
      <c r="BF467" s="3" t="n"/>
      <c r="BG467" s="3" t="n"/>
      <c r="BH467" s="3" t="n"/>
      <c r="BI467" s="3" t="n"/>
      <c r="BJ467" s="3" t="n"/>
      <c r="BK467" s="3" t="n"/>
      <c r="BL467" s="3" t="n"/>
      <c r="BM467" s="3" t="n"/>
      <c r="BN467" s="3" t="n"/>
      <c r="BO467" s="3" t="n"/>
      <c r="BP467" s="3" t="n"/>
      <c r="BQ467" s="3" t="n"/>
      <c r="BR467" s="34" t="str">
        <f>B467&amp;"|"&amp;D467</f>
        <v>PSS|SE.XPD.TOTL.GD.ZS</v>
      </c>
    </row>
    <row r="468">
      <c r="A468" s="3" t="inlineStr">
        <is>
          <t>Post-demographic dividend</t>
        </is>
      </c>
      <c r="B468" s="3" t="inlineStr">
        <is>
          <t>PST</t>
        </is>
      </c>
      <c r="C468" s="3" t="inlineStr">
        <is>
          <t>Government expenditure on education, total (% of GDP)</t>
        </is>
      </c>
      <c r="D468" s="3" t="inlineStr">
        <is>
          <t>SE.XPD.TOTL.GD.ZS</t>
        </is>
      </c>
      <c r="E468" s="3" t="n">
        <v>2021</v>
      </c>
      <c r="F468" s="3" t="n"/>
      <c r="G468" s="3" t="n"/>
      <c r="H468" s="3" t="n"/>
      <c r="I468" s="3" t="n"/>
      <c r="J468" s="3" t="n"/>
      <c r="K468" s="3" t="n"/>
      <c r="L468" s="3" t="n"/>
      <c r="M468" s="3" t="n"/>
      <c r="N468" s="3" t="n"/>
      <c r="O468" s="3" t="n"/>
      <c r="P468" s="3" t="n"/>
      <c r="Q468" s="3" t="n"/>
      <c r="R468" s="3" t="n"/>
      <c r="S468" s="3" t="n">
        <v>3.95707988739014</v>
      </c>
      <c r="T468" s="3" t="n">
        <v>4.17809009552002</v>
      </c>
      <c r="U468" s="3" t="n">
        <v>4.56980991363525</v>
      </c>
      <c r="V468" s="3" t="n">
        <v>4.47360992431641</v>
      </c>
      <c r="W468" s="3" t="n">
        <v>4.4963698387146</v>
      </c>
      <c r="X468" s="3" t="n">
        <v>4.451524972915649</v>
      </c>
      <c r="Y468" s="3" t="n">
        <v>4.63228487968445</v>
      </c>
      <c r="Z468" s="3" t="n">
        <v>4.96105003356934</v>
      </c>
      <c r="AA468" s="3" t="n">
        <v>4.782040119171141</v>
      </c>
      <c r="AB468" s="3" t="n">
        <v>4.89589500427246</v>
      </c>
      <c r="AC468" s="3" t="n">
        <v>4.85234022140503</v>
      </c>
      <c r="AD468" s="3" t="n"/>
      <c r="AE468" s="3" t="n"/>
      <c r="AF468" s="3" t="n">
        <v>4.75103998184204</v>
      </c>
      <c r="AG468" s="3" t="n">
        <v>4.634689807891846</v>
      </c>
      <c r="AH468" s="3" t="n">
        <v>4.521040201187136</v>
      </c>
      <c r="AI468" s="3" t="n"/>
      <c r="AJ468" s="3" t="n">
        <v>4.51393985748291</v>
      </c>
      <c r="AK468" s="3" t="n">
        <v>5.10321998596191</v>
      </c>
      <c r="AL468" s="3" t="n"/>
      <c r="AM468" s="3" t="n">
        <v>4.96054983139038</v>
      </c>
      <c r="AN468" s="3" t="n">
        <v>4.850830078125</v>
      </c>
      <c r="AO468" s="3" t="n">
        <v>4.83926010131836</v>
      </c>
      <c r="AP468" s="3" t="n">
        <v>4.669965028762816</v>
      </c>
      <c r="AQ468" s="3" t="n"/>
      <c r="AR468" s="3" t="n">
        <v>4.46187019348145</v>
      </c>
      <c r="AS468" s="3" t="n">
        <v>4.75953006744385</v>
      </c>
      <c r="AT468" s="3" t="n">
        <v>5.16384983062744</v>
      </c>
      <c r="AU468" s="3" t="n">
        <v>4.95303010940552</v>
      </c>
      <c r="AV468" s="3" t="n">
        <v>5.17923021316528</v>
      </c>
      <c r="AW468" s="3" t="n">
        <v>5.28152990341187</v>
      </c>
      <c r="AX468" s="3" t="n">
        <v>5.17428016662598</v>
      </c>
      <c r="AY468" s="3" t="n">
        <v>5.17938494682312</v>
      </c>
      <c r="AZ468" s="3" t="n">
        <v>5.04402017593384</v>
      </c>
      <c r="BA468" s="3" t="n">
        <v>4.922960042953495</v>
      </c>
      <c r="BB468" s="3" t="n">
        <v>4.905781745910645</v>
      </c>
      <c r="BC468" s="3" t="n">
        <v>5.2295184135437</v>
      </c>
      <c r="BD468" s="3" t="n">
        <v>5.384429931640625</v>
      </c>
      <c r="BE468" s="3" t="n">
        <v>5.19269013404846</v>
      </c>
      <c r="BF468" s="3" t="n">
        <v>5.22161388397217</v>
      </c>
      <c r="BG468" s="3" t="n">
        <v>5.2709698677063</v>
      </c>
      <c r="BH468" s="3" t="n">
        <v>5.15007567405701</v>
      </c>
      <c r="BI468" s="3" t="n">
        <v>4.93063020706177</v>
      </c>
      <c r="BJ468" s="3" t="n">
        <v>4.89622449874878</v>
      </c>
      <c r="BK468" s="3" t="n">
        <v>4.91589999198914</v>
      </c>
      <c r="BL468" s="3" t="n">
        <v>4.91255497932434</v>
      </c>
      <c r="BM468" s="3" t="n">
        <v>4.95746994018555</v>
      </c>
      <c r="BN468" s="3" t="n">
        <v>5.086080074310305</v>
      </c>
      <c r="BO468" s="3" t="n">
        <v>5.03708982467651</v>
      </c>
      <c r="BP468" s="3" t="n"/>
      <c r="BQ468" s="3" t="n"/>
      <c r="BR468" s="34" t="str">
        <f>B468&amp;"|"&amp;D468</f>
        <v>PST|SE.XPD.TOTL.GD.ZS</v>
      </c>
    </row>
    <row r="469">
      <c r="A469" s="3" t="inlineStr">
        <is>
          <t>French Polynesia</t>
        </is>
      </c>
      <c r="B469" s="3" t="inlineStr">
        <is>
          <t>PYF</t>
        </is>
      </c>
      <c r="C469" s="3" t="inlineStr">
        <is>
          <t>Government expenditure on education, total (% of GDP)</t>
        </is>
      </c>
      <c r="D469" s="3" t="inlineStr">
        <is>
          <t>SE.XPD.TOTL.GD.ZS</t>
        </is>
      </c>
      <c r="E469" s="3" t="inlineStr">
        <is>
          <t>0x2a</t>
        </is>
      </c>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c r="AD469" s="3" t="n"/>
      <c r="AE469" s="3" t="n"/>
      <c r="AF469" s="3" t="n"/>
      <c r="AG469" s="3" t="n"/>
      <c r="AH469" s="3" t="n"/>
      <c r="AI469" s="3" t="n"/>
      <c r="AJ469" s="3" t="n"/>
      <c r="AK469" s="3" t="n"/>
      <c r="AL469" s="3" t="n"/>
      <c r="AM469" s="3" t="n"/>
      <c r="AN469" s="3" t="n"/>
      <c r="AO469" s="3" t="n"/>
      <c r="AP469" s="3" t="n"/>
      <c r="AQ469" s="3" t="n"/>
      <c r="AR469" s="3" t="n"/>
      <c r="AS469" s="3" t="n"/>
      <c r="AT469" s="3" t="n"/>
      <c r="AU469" s="3" t="n"/>
      <c r="AV469" s="3" t="n"/>
      <c r="AW469" s="3" t="n"/>
      <c r="AX469" s="3" t="n"/>
      <c r="AY469" s="3" t="n"/>
      <c r="AZ469" s="3" t="n"/>
      <c r="BA469" s="3" t="n"/>
      <c r="BB469" s="3" t="n"/>
      <c r="BC469" s="3" t="n"/>
      <c r="BD469" s="3" t="n"/>
      <c r="BE469" s="3" t="n"/>
      <c r="BF469" s="3" t="n"/>
      <c r="BG469" s="3" t="n"/>
      <c r="BH469" s="3" t="n"/>
      <c r="BI469" s="3" t="n"/>
      <c r="BJ469" s="3" t="n"/>
      <c r="BK469" s="3" t="n"/>
      <c r="BL469" s="3" t="n"/>
      <c r="BM469" s="3" t="n"/>
      <c r="BN469" s="3" t="n"/>
      <c r="BO469" s="3" t="n"/>
      <c r="BP469" s="3" t="n"/>
      <c r="BQ469" s="3" t="n"/>
      <c r="BR469" s="34" t="str">
        <f>B469&amp;"|"&amp;D469</f>
        <v>PYF|SE.XPD.TOTL.GD.ZS</v>
      </c>
    </row>
    <row r="470">
      <c r="A470" s="3" t="inlineStr">
        <is>
          <t>Qatar</t>
        </is>
      </c>
      <c r="B470" s="3" t="inlineStr">
        <is>
          <t>QAT</t>
        </is>
      </c>
      <c r="C470" s="3" t="inlineStr">
        <is>
          <t>Government expenditure on education, total (% of GDP)</t>
        </is>
      </c>
      <c r="D470" s="3" t="inlineStr">
        <is>
          <t>SE.XPD.TOTL.GD.ZS</t>
        </is>
      </c>
      <c r="E470" s="3" t="n">
        <v>2020</v>
      </c>
      <c r="F470" s="3" t="n"/>
      <c r="G470" s="3" t="n"/>
      <c r="H470" s="3" t="n"/>
      <c r="I470" s="3" t="n"/>
      <c r="J470" s="3" t="n"/>
      <c r="K470" s="3" t="n"/>
      <c r="L470" s="3" t="n"/>
      <c r="M470" s="3" t="n"/>
      <c r="N470" s="3" t="n"/>
      <c r="O470" s="3" t="n"/>
      <c r="P470" s="3" t="n"/>
      <c r="Q470" s="3" t="n">
        <v>3.00027990341187</v>
      </c>
      <c r="R470" s="3" t="n">
        <v>2.69144010543823</v>
      </c>
      <c r="S470" s="3" t="n">
        <v>2.86783003807068</v>
      </c>
      <c r="T470" s="3" t="n"/>
      <c r="U470" s="3" t="n"/>
      <c r="V470" s="3" t="n">
        <v>1.74697005748749</v>
      </c>
      <c r="W470" s="3" t="n">
        <v>1.97005999088287</v>
      </c>
      <c r="X470" s="3" t="n">
        <v>2.77696990966797</v>
      </c>
      <c r="Y470" s="3" t="n"/>
      <c r="Z470" s="3" t="n"/>
      <c r="AA470" s="3" t="n"/>
      <c r="AB470" s="3" t="n"/>
      <c r="AC470" s="3" t="n"/>
      <c r="AD470" s="3" t="n"/>
      <c r="AE470" s="3" t="n"/>
      <c r="AF470" s="3" t="n"/>
      <c r="AG470" s="3" t="n"/>
      <c r="AH470" s="3" t="n"/>
      <c r="AI470" s="3" t="n"/>
      <c r="AJ470" s="3" t="n"/>
      <c r="AK470" s="3" t="n"/>
      <c r="AL470" s="3" t="n"/>
      <c r="AM470" s="3" t="n"/>
      <c r="AN470" s="3" t="n"/>
      <c r="AO470" s="3" t="n"/>
      <c r="AP470" s="3" t="n"/>
      <c r="AQ470" s="3" t="n"/>
      <c r="AR470" s="3" t="n">
        <v>3.57767009735107</v>
      </c>
      <c r="AS470" s="3" t="n">
        <v>4.34530019760132</v>
      </c>
      <c r="AT470" s="3" t="n">
        <v>3.72598004341125</v>
      </c>
      <c r="AU470" s="3" t="n">
        <v>3.20019006729126</v>
      </c>
      <c r="AV470" s="3" t="n">
        <v>3.84656000137329</v>
      </c>
      <c r="AW470" s="3" t="n">
        <v>3.37393999099731</v>
      </c>
      <c r="AX470" s="3" t="n">
        <v>3.46258997917175</v>
      </c>
      <c r="AY470" s="3" t="n">
        <v>3.97187995910645</v>
      </c>
      <c r="AZ470" s="3" t="n"/>
      <c r="BA470" s="3" t="n"/>
      <c r="BB470" s="3" t="n">
        <v>4.22755002975464</v>
      </c>
      <c r="BC470" s="3" t="n">
        <v>3.41315007209778</v>
      </c>
      <c r="BD470" s="3" t="n">
        <v>4.53965997695923</v>
      </c>
      <c r="BE470" s="3" t="n">
        <v>4.01223993301392</v>
      </c>
      <c r="BF470" s="3" t="n">
        <v>3.50744009017944</v>
      </c>
      <c r="BG470" s="3" t="n">
        <v>4.07384014129639</v>
      </c>
      <c r="BH470" s="3" t="n">
        <v>3.60535001754761</v>
      </c>
      <c r="BI470" s="3" t="n"/>
      <c r="BJ470" s="3" t="n"/>
      <c r="BK470" s="3" t="n">
        <v>2.96745991706848</v>
      </c>
      <c r="BL470" s="3" t="n"/>
      <c r="BM470" s="3" t="n">
        <v>2.80378007888794</v>
      </c>
      <c r="BN470" s="3" t="n">
        <v>3.2336699962616</v>
      </c>
      <c r="BO470" s="3" t="n"/>
      <c r="BP470" s="3" t="n"/>
      <c r="BQ470" s="3" t="n"/>
      <c r="BR470" s="34" t="str">
        <f>B470&amp;"|"&amp;D470</f>
        <v>QAT|SE.XPD.TOTL.GD.ZS</v>
      </c>
    </row>
    <row r="471">
      <c r="A471" s="3" t="inlineStr">
        <is>
          <t>Romania</t>
        </is>
      </c>
      <c r="B471" s="3" t="inlineStr">
        <is>
          <t>ROU</t>
        </is>
      </c>
      <c r="C471" s="3" t="inlineStr">
        <is>
          <t>Government expenditure on education, total (% of GDP)</t>
        </is>
      </c>
      <c r="D471" s="3" t="inlineStr">
        <is>
          <t>SE.XPD.TOTL.GD.ZS</t>
        </is>
      </c>
      <c r="E471" s="3" t="n">
        <v>2021</v>
      </c>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c r="AD471" s="3" t="n"/>
      <c r="AE471" s="3" t="n"/>
      <c r="AF471" s="3" t="n"/>
      <c r="AG471" s="3" t="n"/>
      <c r="AH471" s="3" t="n"/>
      <c r="AI471" s="3" t="n"/>
      <c r="AJ471" s="3" t="n"/>
      <c r="AK471" s="3" t="n"/>
      <c r="AL471" s="3" t="n"/>
      <c r="AM471" s="3" t="n"/>
      <c r="AN471" s="3" t="n"/>
      <c r="AO471" s="3" t="n"/>
      <c r="AP471" s="3" t="n">
        <v>3.24121999740601</v>
      </c>
      <c r="AQ471" s="3" t="n"/>
      <c r="AR471" s="3" t="n"/>
      <c r="AS471" s="3" t="n"/>
      <c r="AT471" s="3" t="n">
        <v>2.86862993240356</v>
      </c>
      <c r="AU471" s="3" t="n">
        <v>3.26628994941711</v>
      </c>
      <c r="AV471" s="3" t="n">
        <v>3.5041298866272</v>
      </c>
      <c r="AW471" s="3" t="n">
        <v>3.54397010803223</v>
      </c>
      <c r="AX471" s="3" t="n">
        <v>3.31273007392883</v>
      </c>
      <c r="AY471" s="3" t="n">
        <v>3.50039005279541</v>
      </c>
      <c r="AZ471" s="3" t="n">
        <v>4.30650997161865</v>
      </c>
      <c r="BA471" s="3" t="n">
        <v>4.14953994750977</v>
      </c>
      <c r="BB471" s="3" t="n">
        <v>4.0971999168396</v>
      </c>
      <c r="BC471" s="3" t="n">
        <v>4.00213003158569</v>
      </c>
      <c r="BD471" s="3" t="n">
        <v>3.41717004776001</v>
      </c>
      <c r="BE471" s="3" t="n">
        <v>2.91375994682312</v>
      </c>
      <c r="BF471" s="3" t="n">
        <v>2.82322001457214</v>
      </c>
      <c r="BG471" s="3" t="n">
        <v>3.06800007820129</v>
      </c>
      <c r="BH471" s="3" t="n">
        <v>3.12508010864258</v>
      </c>
      <c r="BI471" s="3" t="n">
        <v>3.10695004463196</v>
      </c>
      <c r="BJ471" s="3" t="n">
        <v>3.02559995651245</v>
      </c>
      <c r="BK471" s="3" t="n">
        <v>3.11820006370544</v>
      </c>
      <c r="BL471" s="3" t="n">
        <v>3.31918001174927</v>
      </c>
      <c r="BM471" s="3" t="n">
        <v>3.56695008277893</v>
      </c>
      <c r="BN471" s="3" t="n">
        <v>3.58926010131836</v>
      </c>
      <c r="BO471" s="3" t="n">
        <v>3.32452988624573</v>
      </c>
      <c r="BP471" s="3" t="n"/>
      <c r="BQ471" s="3" t="n"/>
      <c r="BR471" s="34" t="str">
        <f>B471&amp;"|"&amp;D471</f>
        <v>ROU|SE.XPD.TOTL.GD.ZS</v>
      </c>
    </row>
    <row r="472">
      <c r="A472" s="3" t="inlineStr">
        <is>
          <t>Russian Federation</t>
        </is>
      </c>
      <c r="B472" s="3" t="inlineStr">
        <is>
          <t>RUS</t>
        </is>
      </c>
      <c r="C472" s="3" t="inlineStr">
        <is>
          <t>Government expenditure on education, total (% of GDP)</t>
        </is>
      </c>
      <c r="D472" s="3" t="inlineStr">
        <is>
          <t>SE.XPD.TOTL.GD.ZS</t>
        </is>
      </c>
      <c r="E472" s="3" t="n">
        <v>2022</v>
      </c>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c r="AD472" s="3" t="n"/>
      <c r="AE472" s="3" t="n"/>
      <c r="AF472" s="3" t="n"/>
      <c r="AG472" s="3" t="n"/>
      <c r="AH472" s="3" t="n"/>
      <c r="AI472" s="3" t="n"/>
      <c r="AJ472" s="3" t="n"/>
      <c r="AK472" s="3" t="n"/>
      <c r="AL472" s="3" t="n"/>
      <c r="AM472" s="3" t="n"/>
      <c r="AN472" s="3" t="n"/>
      <c r="AO472" s="3" t="n"/>
      <c r="AP472" s="3" t="n"/>
      <c r="AQ472" s="3" t="n"/>
      <c r="AR472" s="3" t="n"/>
      <c r="AS472" s="3" t="n"/>
      <c r="AT472" s="3" t="n">
        <v>2.93979001045227</v>
      </c>
      <c r="AU472" s="3" t="n">
        <v>3.10601997375488</v>
      </c>
      <c r="AV472" s="3" t="n">
        <v>3.83502006530762</v>
      </c>
      <c r="AW472" s="3" t="n">
        <v>3.67853999137878</v>
      </c>
      <c r="AX472" s="3" t="n">
        <v>3.54786992073059</v>
      </c>
      <c r="AY472" s="3" t="n">
        <v>3.77192997932434</v>
      </c>
      <c r="AZ472" s="3" t="n">
        <v>3.86626005172729</v>
      </c>
      <c r="BA472" s="3" t="n"/>
      <c r="BB472" s="3" t="n">
        <v>4.10174989700317</v>
      </c>
      <c r="BC472" s="3" t="n">
        <v>4.47064161300659</v>
      </c>
      <c r="BD472" s="3" t="n">
        <v>3.8476243019104</v>
      </c>
      <c r="BE472" s="3" t="n">
        <v>3.71261262893677</v>
      </c>
      <c r="BF472" s="3" t="n">
        <v>3.79310011863708</v>
      </c>
      <c r="BG472" s="3" t="n">
        <v>3.76382994651794</v>
      </c>
      <c r="BH472" s="3" t="n">
        <v>4.01387977600098</v>
      </c>
      <c r="BI472" s="3" t="n">
        <v>3.83402991294861</v>
      </c>
      <c r="BJ472" s="3" t="n">
        <v>3.76044011116028</v>
      </c>
      <c r="BK472" s="3" t="n">
        <v>4.68990993499756</v>
      </c>
      <c r="BL472" s="3" t="n">
        <v>4.67819976806641</v>
      </c>
      <c r="BM472" s="3" t="n">
        <v>3.69561433792114</v>
      </c>
      <c r="BN472" s="3" t="n">
        <v>4.01641845703125</v>
      </c>
      <c r="BO472" s="3" t="n">
        <v>3.99480700492859</v>
      </c>
      <c r="BP472" s="3" t="n">
        <v>4.05402755737305</v>
      </c>
      <c r="BQ472" s="3" t="n"/>
      <c r="BR472" s="34" t="str">
        <f>B472&amp;"|"&amp;D472</f>
        <v>RUS|SE.XPD.TOTL.GD.ZS</v>
      </c>
    </row>
    <row r="473">
      <c r="A473" s="3" t="inlineStr">
        <is>
          <t>Rwanda</t>
        </is>
      </c>
      <c r="B473" s="3" t="inlineStr">
        <is>
          <t>RWA</t>
        </is>
      </c>
      <c r="C473" s="3" t="inlineStr">
        <is>
          <t>Government expenditure on education, total (% of GDP)</t>
        </is>
      </c>
      <c r="D473" s="3" t="inlineStr">
        <is>
          <t>SE.XPD.TOTL.GD.ZS</t>
        </is>
      </c>
      <c r="E473" s="3" t="n">
        <v>2023</v>
      </c>
      <c r="F473" s="3" t="n"/>
      <c r="G473" s="3" t="n"/>
      <c r="H473" s="3" t="n"/>
      <c r="I473" s="3" t="n"/>
      <c r="J473" s="3" t="n"/>
      <c r="K473" s="3" t="n"/>
      <c r="L473" s="3" t="n"/>
      <c r="M473" s="3" t="n"/>
      <c r="N473" s="3" t="n"/>
      <c r="O473" s="3" t="n"/>
      <c r="P473" s="3" t="n"/>
      <c r="Q473" s="3" t="n"/>
      <c r="R473" s="3" t="n"/>
      <c r="S473" s="3" t="n"/>
      <c r="T473" s="3" t="n"/>
      <c r="U473" s="3" t="n"/>
      <c r="V473" s="3" t="n"/>
      <c r="W473" s="3" t="n">
        <v>2.15020990371704</v>
      </c>
      <c r="X473" s="3" t="n">
        <v>2.23247003555298</v>
      </c>
      <c r="Y473" s="3" t="n">
        <v>2.44127988815308</v>
      </c>
      <c r="Z473" s="3" t="n">
        <v>2.66633009910583</v>
      </c>
      <c r="AA473" s="3" t="n">
        <v>4.39297008514404</v>
      </c>
      <c r="AB473" s="3" t="n"/>
      <c r="AC473" s="3" t="n"/>
      <c r="AD473" s="3" t="n"/>
      <c r="AE473" s="3" t="n"/>
      <c r="AF473" s="3" t="n"/>
      <c r="AG473" s="3" t="n">
        <v>3.50577998161316</v>
      </c>
      <c r="AH473" s="3" t="n">
        <v>3.33534002304077</v>
      </c>
      <c r="AI473" s="3" t="n">
        <v>3.7466299533844</v>
      </c>
      <c r="AJ473" s="3" t="n"/>
      <c r="AK473" s="3" t="n"/>
      <c r="AL473" s="3" t="n"/>
      <c r="AM473" s="3" t="n"/>
      <c r="AN473" s="3" t="n"/>
      <c r="AO473" s="3" t="n"/>
      <c r="AP473" s="3" t="n"/>
      <c r="AQ473" s="3" t="n"/>
      <c r="AR473" s="3" t="n"/>
      <c r="AS473" s="3" t="n">
        <v>3.857990026474</v>
      </c>
      <c r="AT473" s="3" t="n">
        <v>3.43418002128601</v>
      </c>
      <c r="AU473" s="3" t="n">
        <v>4.82501983642578</v>
      </c>
      <c r="AV473" s="3" t="n"/>
      <c r="AW473" s="3" t="n"/>
      <c r="AX473" s="3" t="n"/>
      <c r="AY473" s="3" t="n"/>
      <c r="AZ473" s="3" t="n"/>
      <c r="BA473" s="3" t="n">
        <v>3.98502993583679</v>
      </c>
      <c r="BB473" s="3" t="n">
        <v>3.50216007232666</v>
      </c>
      <c r="BC473" s="3" t="n"/>
      <c r="BD473" s="3" t="n">
        <v>4.63126993179321</v>
      </c>
      <c r="BE473" s="3" t="n">
        <v>4.38346004486084</v>
      </c>
      <c r="BF473" s="3" t="n">
        <v>4.42103004455566</v>
      </c>
      <c r="BG473" s="3" t="n">
        <v>4.7421498298645</v>
      </c>
      <c r="BH473" s="3" t="n">
        <v>4.19644021987915</v>
      </c>
      <c r="BI473" s="3" t="n">
        <v>3.64711999893188</v>
      </c>
      <c r="BJ473" s="3" t="n">
        <v>3.43483996391296</v>
      </c>
      <c r="BK473" s="3" t="n">
        <v>3.1247398853302</v>
      </c>
      <c r="BL473" s="3" t="n">
        <v>3.07375001907349</v>
      </c>
      <c r="BM473" s="3" t="n">
        <v>3.23868060112</v>
      </c>
      <c r="BN473" s="3" t="n">
        <v>3.33394289016724</v>
      </c>
      <c r="BO473" s="3" t="n">
        <v>5.58984994888306</v>
      </c>
      <c r="BP473" s="3" t="n">
        <v>4.74623012542725</v>
      </c>
      <c r="BQ473" s="3" t="n">
        <v>4.92004013061523</v>
      </c>
      <c r="BR473" s="34" t="str">
        <f>B473&amp;"|"&amp;D473</f>
        <v>RWA|SE.XPD.TOTL.GD.ZS</v>
      </c>
    </row>
    <row r="474">
      <c r="A474" s="3" t="inlineStr">
        <is>
          <t>South Asia</t>
        </is>
      </c>
      <c r="B474" s="3" t="inlineStr">
        <is>
          <t>SAS</t>
        </is>
      </c>
      <c r="C474" s="3" t="inlineStr">
        <is>
          <t>Government expenditure on education, total (% of GDP)</t>
        </is>
      </c>
      <c r="D474" s="3" t="inlineStr">
        <is>
          <t>SE.XPD.TOTL.GD.ZS</t>
        </is>
      </c>
      <c r="E474" s="3" t="n">
        <v>2023</v>
      </c>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v>2.19807004928589</v>
      </c>
      <c r="Z474" s="3" t="n">
        <v>2.13094997406006</v>
      </c>
      <c r="AA474" s="3" t="n">
        <v>1.97245001792908</v>
      </c>
      <c r="AB474" s="3" t="n">
        <v>2.01366996765137</v>
      </c>
      <c r="AC474" s="3" t="n">
        <v>1.99576997756958</v>
      </c>
      <c r="AD474" s="3" t="n">
        <v>2.06984996795654</v>
      </c>
      <c r="AE474" s="3" t="n">
        <v>2.43543004989624</v>
      </c>
      <c r="AF474" s="3" t="n">
        <v>2.67812991142273</v>
      </c>
      <c r="AG474" s="3" t="n">
        <v>2.64433002471924</v>
      </c>
      <c r="AH474" s="3" t="n"/>
      <c r="AI474" s="3" t="n"/>
      <c r="AJ474" s="3" t="n">
        <v>2.41092991828918</v>
      </c>
      <c r="AK474" s="3" t="n">
        <v>2.56676006317139</v>
      </c>
      <c r="AL474" s="3" t="n"/>
      <c r="AM474" s="3" t="n"/>
      <c r="AN474" s="3" t="n"/>
      <c r="AO474" s="3" t="n"/>
      <c r="AP474" s="3" t="n"/>
      <c r="AQ474" s="3" t="n">
        <v>3.02230000495911</v>
      </c>
      <c r="AR474" s="3" t="n">
        <v>3.05141997337341</v>
      </c>
      <c r="AS474" s="3" t="n">
        <v>2.752400040626525</v>
      </c>
      <c r="AT474" s="3" t="n">
        <v>2.55011510848999</v>
      </c>
      <c r="AU474" s="3" t="n"/>
      <c r="AV474" s="3" t="n"/>
      <c r="AW474" s="3" t="n">
        <v>3.11435008049011</v>
      </c>
      <c r="AX474" s="3" t="n">
        <v>2.55604004859924</v>
      </c>
      <c r="AY474" s="3" t="n">
        <v>3.18875002861023</v>
      </c>
      <c r="AZ474" s="3" t="n">
        <v>3.14284992218018</v>
      </c>
      <c r="BA474" s="3" t="n">
        <v>2.87593495845795</v>
      </c>
      <c r="BB474" s="3" t="n">
        <v>3.038905024528505</v>
      </c>
      <c r="BC474" s="3" t="n">
        <v>2.7287050485611</v>
      </c>
      <c r="BD474" s="3" t="n">
        <v>3.377690076828</v>
      </c>
      <c r="BE474" s="3" t="n">
        <v>2.79735493659973</v>
      </c>
      <c r="BF474" s="3" t="n">
        <v>2.325435280799865</v>
      </c>
      <c r="BG474" s="3" t="n">
        <v>2.71983814239502</v>
      </c>
      <c r="BH474" s="3" t="n">
        <v>2.84516704082489</v>
      </c>
      <c r="BI474" s="3" t="n">
        <v>2.820945024490355</v>
      </c>
      <c r="BJ474" s="3" t="n">
        <v>3.353201150894165</v>
      </c>
      <c r="BK474" s="3" t="n">
        <v>3.06104683876038</v>
      </c>
      <c r="BL474" s="3" t="n">
        <v>2.33216953277588</v>
      </c>
      <c r="BM474" s="3" t="n">
        <v>2.85029923915863</v>
      </c>
      <c r="BN474" s="3" t="n">
        <v>2.05718231201172</v>
      </c>
      <c r="BO474" s="3" t="n">
        <v>1.83117997646332</v>
      </c>
      <c r="BP474" s="3" t="n">
        <v>1.97444903850555</v>
      </c>
      <c r="BQ474" s="3" t="n">
        <v>1.848194539546965</v>
      </c>
      <c r="BR474" s="34" t="str">
        <f>B474&amp;"|"&amp;D474</f>
        <v>SAS|SE.XPD.TOTL.GD.ZS</v>
      </c>
    </row>
    <row r="475">
      <c r="A475" s="3" t="inlineStr">
        <is>
          <t>Saudi Arabia</t>
        </is>
      </c>
      <c r="B475" s="3" t="inlineStr">
        <is>
          <t>SAU</t>
        </is>
      </c>
      <c r="C475" s="3" t="inlineStr">
        <is>
          <t>Government expenditure on education, total (% of GDP)</t>
        </is>
      </c>
      <c r="D475" s="3" t="inlineStr">
        <is>
          <t>SE.XPD.TOTL.GD.ZS</t>
        </is>
      </c>
      <c r="E475" s="3" t="n">
        <v>2023</v>
      </c>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v>3.89024996757507</v>
      </c>
      <c r="AB475" s="3" t="n">
        <v>4.14254999160767</v>
      </c>
      <c r="AC475" s="3" t="n">
        <v>5.97797012329102</v>
      </c>
      <c r="AD475" s="3" t="n">
        <v>6.10957002639771</v>
      </c>
      <c r="AE475" s="3" t="n"/>
      <c r="AF475" s="3" t="n">
        <v>6.25535011291504</v>
      </c>
      <c r="AG475" s="3" t="n"/>
      <c r="AH475" s="3" t="n"/>
      <c r="AI475" s="3" t="n"/>
      <c r="AJ475" s="3" t="n"/>
      <c r="AK475" s="3" t="n">
        <v>5.77946996688843</v>
      </c>
      <c r="AL475" s="3" t="n">
        <v>5.14463996887207</v>
      </c>
      <c r="AM475" s="3" t="n">
        <v>5.99928998947144</v>
      </c>
      <c r="AN475" s="3" t="n">
        <v>6.34382009506226</v>
      </c>
      <c r="AO475" s="3" t="n">
        <v>5.69247007369995</v>
      </c>
      <c r="AP475" s="3" t="n">
        <v>4.94373989105225</v>
      </c>
      <c r="AQ475" s="3" t="n">
        <v>4.37706995010376</v>
      </c>
      <c r="AR475" s="3" t="n">
        <v>8.28131008148193</v>
      </c>
      <c r="AS475" s="3" t="n">
        <v>7.07226991653442</v>
      </c>
      <c r="AT475" s="3" t="n">
        <v>5.90982007980347</v>
      </c>
      <c r="AU475" s="3" t="n">
        <v>7.71887016296387</v>
      </c>
      <c r="AV475" s="3" t="n">
        <v>7.63688993453979</v>
      </c>
      <c r="AW475" s="3" t="n">
        <v>7.10509014129639</v>
      </c>
      <c r="AX475" s="3" t="n">
        <v>6.27747011184692</v>
      </c>
      <c r="AY475" s="3" t="n">
        <v>5.43092012405396</v>
      </c>
      <c r="AZ475" s="3" t="n">
        <v>5.89117002487183</v>
      </c>
      <c r="BA475" s="3" t="n"/>
      <c r="BB475" s="3" t="n">
        <v>5.13781023025513</v>
      </c>
      <c r="BC475" s="3" t="n"/>
      <c r="BD475" s="3" t="n"/>
      <c r="BE475" s="3" t="n"/>
      <c r="BF475" s="3" t="n"/>
      <c r="BG475" s="3" t="n"/>
      <c r="BH475" s="3" t="n"/>
      <c r="BI475" s="3" t="n"/>
      <c r="BJ475" s="3" t="n"/>
      <c r="BK475" s="3" t="n"/>
      <c r="BL475" s="3" t="n"/>
      <c r="BM475" s="3" t="n"/>
      <c r="BN475" s="3" t="n"/>
      <c r="BO475" s="3" t="n"/>
      <c r="BP475" s="3" t="n"/>
      <c r="BQ475" s="3" t="n">
        <v>5.11466979980469</v>
      </c>
      <c r="BR475" s="34" t="str">
        <f>B475&amp;"|"&amp;D475</f>
        <v>SAU|SE.XPD.TOTL.GD.ZS</v>
      </c>
    </row>
    <row r="476">
      <c r="A476" s="3" t="inlineStr">
        <is>
          <t>Sudan</t>
        </is>
      </c>
      <c r="B476" s="3" t="inlineStr">
        <is>
          <t>SDN</t>
        </is>
      </c>
      <c r="C476" s="3" t="inlineStr">
        <is>
          <t>Government expenditure on education, total (% of GDP)</t>
        </is>
      </c>
      <c r="D476" s="3" t="inlineStr">
        <is>
          <t>SE.XPD.TOTL.GD.ZS</t>
        </is>
      </c>
      <c r="E476" s="3" t="n">
        <v>2009</v>
      </c>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c r="AD476" s="3" t="n"/>
      <c r="AE476" s="3" t="n"/>
      <c r="AF476" s="3" t="n"/>
      <c r="AG476" s="3" t="n"/>
      <c r="AH476" s="3" t="n"/>
      <c r="AI476" s="3" t="n"/>
      <c r="AJ476" s="3" t="n"/>
      <c r="AK476" s="3" t="n"/>
      <c r="AL476" s="3" t="n"/>
      <c r="AM476" s="3" t="n"/>
      <c r="AN476" s="3" t="n"/>
      <c r="AO476" s="3" t="n"/>
      <c r="AP476" s="3" t="n"/>
      <c r="AQ476" s="3" t="n"/>
      <c r="AR476" s="3" t="n"/>
      <c r="AS476" s="3" t="n"/>
      <c r="AT476" s="3" t="n">
        <v>1.01217997074127</v>
      </c>
      <c r="AU476" s="3" t="n"/>
      <c r="AV476" s="3" t="n">
        <v>1.16425001621246</v>
      </c>
      <c r="AW476" s="3" t="n"/>
      <c r="AX476" s="3" t="n">
        <v>1.31254994869232</v>
      </c>
      <c r="AY476" s="3" t="n">
        <v>1.17842996120453</v>
      </c>
      <c r="AZ476" s="3" t="n">
        <v>1.55353999137878</v>
      </c>
      <c r="BA476" s="3" t="n"/>
      <c r="BB476" s="3" t="n">
        <v>1.85150003433228</v>
      </c>
      <c r="BC476" s="3" t="n">
        <v>2.02213001251221</v>
      </c>
      <c r="BD476" s="3" t="n"/>
      <c r="BE476" s="3" t="n"/>
      <c r="BF476" s="3" t="n"/>
      <c r="BG476" s="3" t="n"/>
      <c r="BH476" s="3" t="n"/>
      <c r="BI476" s="3" t="n"/>
      <c r="BJ476" s="3" t="n"/>
      <c r="BK476" s="3" t="n"/>
      <c r="BL476" s="3" t="n"/>
      <c r="BM476" s="3" t="n"/>
      <c r="BN476" s="3" t="n"/>
      <c r="BO476" s="3" t="n"/>
      <c r="BP476" s="3" t="n"/>
      <c r="BQ476" s="3" t="n"/>
      <c r="BR476" s="34" t="str">
        <f>B476&amp;"|"&amp;D476</f>
        <v>SDN|SE.XPD.TOTL.GD.ZS</v>
      </c>
    </row>
    <row r="477">
      <c r="A477" s="3" t="inlineStr">
        <is>
          <t>Senegal</t>
        </is>
      </c>
      <c r="B477" s="3" t="inlineStr">
        <is>
          <t>SEN</t>
        </is>
      </c>
      <c r="C477" s="3" t="inlineStr">
        <is>
          <t>Government expenditure on education, total (% of GDP)</t>
        </is>
      </c>
      <c r="D477" s="3" t="inlineStr">
        <is>
          <t>SE.XPD.TOTL.GD.ZS</t>
        </is>
      </c>
      <c r="E477" s="3" t="n">
        <v>2022</v>
      </c>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c r="AD477" s="3" t="n"/>
      <c r="AE477" s="3" t="n"/>
      <c r="AF477" s="3" t="n"/>
      <c r="AG477" s="3" t="n"/>
      <c r="AH477" s="3" t="n"/>
      <c r="AI477" s="3" t="n"/>
      <c r="AJ477" s="3" t="n"/>
      <c r="AK477" s="3" t="n"/>
      <c r="AL477" s="3" t="n"/>
      <c r="AM477" s="3" t="n"/>
      <c r="AN477" s="3" t="n"/>
      <c r="AO477" s="3" t="n"/>
      <c r="AP477" s="3" t="n"/>
      <c r="AQ477" s="3" t="n"/>
      <c r="AR477" s="3" t="n">
        <v>2.47457003593445</v>
      </c>
      <c r="AS477" s="3" t="n">
        <v>2.45981001853943</v>
      </c>
      <c r="AT477" s="3" t="n">
        <v>2.46335005760193</v>
      </c>
      <c r="AU477" s="3" t="n">
        <v>2.47150993347168</v>
      </c>
      <c r="AV477" s="3" t="n">
        <v>2.59441995620728</v>
      </c>
      <c r="AW477" s="3" t="n">
        <v>2.75125002861023</v>
      </c>
      <c r="AX477" s="3" t="n">
        <v>3.07778000831604</v>
      </c>
      <c r="AY477" s="3" t="n">
        <v>4.06443023681641</v>
      </c>
      <c r="AZ477" s="3" t="n">
        <v>3.82137989997864</v>
      </c>
      <c r="BA477" s="3" t="n"/>
      <c r="BB477" s="3" t="n">
        <v>4.02568006515503</v>
      </c>
      <c r="BC477" s="3" t="n">
        <v>4.92073011398315</v>
      </c>
      <c r="BD477" s="3" t="n">
        <v>0.544770002365112</v>
      </c>
      <c r="BE477" s="3" t="n">
        <v>4.90302991867065</v>
      </c>
      <c r="BF477" s="3" t="n">
        <v>4.77698993682861</v>
      </c>
      <c r="BG477" s="3" t="n">
        <v>5.68656015396118</v>
      </c>
      <c r="BH477" s="3" t="n">
        <v>5.72907018661499</v>
      </c>
      <c r="BI477" s="3" t="n">
        <v>5.45637989044189</v>
      </c>
      <c r="BJ477" s="3" t="n">
        <v>5.11309003829956</v>
      </c>
      <c r="BK477" s="3" t="n">
        <v>4.74007987976074</v>
      </c>
      <c r="BL477" s="3" t="n">
        <v>5.11019992828369</v>
      </c>
      <c r="BM477" s="3" t="n">
        <v>5.03527021408081</v>
      </c>
      <c r="BN477" s="3" t="n">
        <v>5.6869797706604</v>
      </c>
      <c r="BO477" s="3" t="n">
        <v>5.61201000213623</v>
      </c>
      <c r="BP477" s="3" t="n">
        <v>5.98753976821899</v>
      </c>
      <c r="BQ477" s="3" t="n"/>
      <c r="BR477" s="34" t="str">
        <f>B477&amp;"|"&amp;D477</f>
        <v>SEN|SE.XPD.TOTL.GD.ZS</v>
      </c>
    </row>
    <row r="478">
      <c r="A478" s="3" t="inlineStr">
        <is>
          <t>Singapore</t>
        </is>
      </c>
      <c r="B478" s="3" t="inlineStr">
        <is>
          <t>SGP</t>
        </is>
      </c>
      <c r="C478" s="3" t="inlineStr">
        <is>
          <t>Government expenditure on education, total (% of GDP)</t>
        </is>
      </c>
      <c r="D478" s="3" t="inlineStr">
        <is>
          <t>SE.XPD.TOTL.GD.ZS</t>
        </is>
      </c>
      <c r="E478" s="3" t="n">
        <v>2023</v>
      </c>
      <c r="F478" s="3" t="n"/>
      <c r="G478" s="3" t="n"/>
      <c r="H478" s="3" t="n"/>
      <c r="I478" s="3" t="n"/>
      <c r="J478" s="3" t="n"/>
      <c r="K478" s="3" t="n"/>
      <c r="L478" s="3" t="n"/>
      <c r="M478" s="3" t="n"/>
      <c r="N478" s="3" t="n"/>
      <c r="O478" s="3" t="n"/>
      <c r="P478" s="3" t="n"/>
      <c r="Q478" s="3" t="n">
        <v>3.10976004600525</v>
      </c>
      <c r="R478" s="3" t="n">
        <v>2.86826992034912</v>
      </c>
      <c r="S478" s="3" t="n">
        <v>2.48882007598877</v>
      </c>
      <c r="T478" s="3" t="n">
        <v>2.38852000236511</v>
      </c>
      <c r="U478" s="3" t="n">
        <v>2.43949007987976</v>
      </c>
      <c r="V478" s="3" t="n">
        <v>2.69238996505737</v>
      </c>
      <c r="W478" s="3" t="n">
        <v>2.4507999420166</v>
      </c>
      <c r="X478" s="3" t="n">
        <v>2.29099988937378</v>
      </c>
      <c r="Y478" s="3" t="n">
        <v>2.24924993515015</v>
      </c>
      <c r="Z478" s="3" t="n">
        <v>2.55966997146606</v>
      </c>
      <c r="AA478" s="3" t="n">
        <v>2.58365988731384</v>
      </c>
      <c r="AB478" s="3" t="n">
        <v>3.26776003837585</v>
      </c>
      <c r="AC478" s="3" t="n">
        <v>3.94772005081177</v>
      </c>
      <c r="AD478" s="3" t="n"/>
      <c r="AE478" s="3" t="n"/>
      <c r="AF478" s="3" t="n"/>
      <c r="AG478" s="3" t="n"/>
      <c r="AH478" s="3" t="n">
        <v>3.65207004547119</v>
      </c>
      <c r="AI478" s="3" t="n"/>
      <c r="AJ478" s="3" t="n"/>
      <c r="AK478" s="3" t="n"/>
      <c r="AL478" s="3" t="n"/>
      <c r="AM478" s="3" t="n"/>
      <c r="AN478" s="3" t="n"/>
      <c r="AO478" s="3" t="n"/>
      <c r="AP478" s="3" t="n"/>
      <c r="AQ478" s="3" t="n"/>
      <c r="AR478" s="3" t="n"/>
      <c r="AS478" s="3" t="n"/>
      <c r="AT478" s="3" t="n">
        <v>3.32130002975464</v>
      </c>
      <c r="AU478" s="3" t="n">
        <v>3.54249000549316</v>
      </c>
      <c r="AV478" s="3" t="n">
        <v>3.87853002548218</v>
      </c>
      <c r="AW478" s="3" t="n">
        <v>3.98194003105164</v>
      </c>
      <c r="AX478" s="3" t="n">
        <v>3.65276002883911</v>
      </c>
      <c r="AY478" s="3" t="n">
        <v>3.19596004486084</v>
      </c>
      <c r="AZ478" s="3" t="n">
        <v>2.85911989212036</v>
      </c>
      <c r="BA478" s="3" t="n">
        <v>2.9467499256134</v>
      </c>
      <c r="BB478" s="3" t="n">
        <v>2.76460003852844</v>
      </c>
      <c r="BC478" s="3" t="n">
        <v>3.01012992858887</v>
      </c>
      <c r="BD478" s="3" t="n">
        <v>3.08044004440308</v>
      </c>
      <c r="BE478" s="3" t="n">
        <v>3.03077006340027</v>
      </c>
      <c r="BF478" s="3" t="n">
        <v>3.07085990905762</v>
      </c>
      <c r="BG478" s="3" t="n">
        <v>2.85435009002686</v>
      </c>
      <c r="BH478" s="3" t="n">
        <v>2.92436671257019</v>
      </c>
      <c r="BI478" s="3" t="n">
        <v>2.86309337615967</v>
      </c>
      <c r="BJ478" s="3" t="n">
        <v>2.87133049964905</v>
      </c>
      <c r="BK478" s="3" t="n">
        <v>2.75684809684753</v>
      </c>
      <c r="BL478" s="3" t="n">
        <v>2.85660004615784</v>
      </c>
      <c r="BM478" s="3" t="n">
        <v>2.72951006889343</v>
      </c>
      <c r="BN478" s="3" t="n">
        <v>2.6869900226593</v>
      </c>
      <c r="BO478" s="3" t="n">
        <v>2.82470989227295</v>
      </c>
      <c r="BP478" s="3" t="n">
        <v>2.48891997337341</v>
      </c>
      <c r="BQ478" s="3" t="n">
        <v>2.18787837028503</v>
      </c>
      <c r="BR478" s="34" t="str">
        <f>B478&amp;"|"&amp;D478</f>
        <v>SGP|SE.XPD.TOTL.GD.ZS</v>
      </c>
    </row>
    <row r="479">
      <c r="A479" s="3" t="inlineStr">
        <is>
          <t>Solomon Islands</t>
        </is>
      </c>
      <c r="B479" s="3" t="inlineStr">
        <is>
          <t>SLB</t>
        </is>
      </c>
      <c r="C479" s="3" t="inlineStr">
        <is>
          <t>Government expenditure on education, total (% of GDP)</t>
        </is>
      </c>
      <c r="D479" s="3" t="inlineStr">
        <is>
          <t>SE.XPD.TOTL.GD.ZS</t>
        </is>
      </c>
      <c r="E479" s="3" t="n">
        <v>2023</v>
      </c>
      <c r="F479" s="3" t="n"/>
      <c r="G479" s="3" t="n"/>
      <c r="H479" s="3" t="n"/>
      <c r="I479" s="3" t="n"/>
      <c r="J479" s="3" t="n"/>
      <c r="K479" s="3" t="n"/>
      <c r="L479" s="3" t="n"/>
      <c r="M479" s="3" t="n"/>
      <c r="N479" s="3" t="n"/>
      <c r="O479" s="3" t="n"/>
      <c r="P479" s="3" t="n"/>
      <c r="Q479" s="3" t="n">
        <v>3.40000009536743</v>
      </c>
      <c r="R479" s="3" t="n"/>
      <c r="S479" s="3" t="n"/>
      <c r="T479" s="3" t="n"/>
      <c r="U479" s="3" t="n"/>
      <c r="V479" s="3" t="n"/>
      <c r="W479" s="3" t="n"/>
      <c r="X479" s="3" t="n"/>
      <c r="Y479" s="3" t="n"/>
      <c r="Z479" s="3" t="n"/>
      <c r="AA479" s="3" t="n"/>
      <c r="AB479" s="3" t="n"/>
      <c r="AC479" s="3" t="n"/>
      <c r="AD479" s="3" t="n"/>
      <c r="AE479" s="3" t="n"/>
      <c r="AF479" s="3" t="n"/>
      <c r="AG479" s="3" t="n"/>
      <c r="AH479" s="3" t="n"/>
      <c r="AI479" s="3" t="n"/>
      <c r="AJ479" s="3" t="n"/>
      <c r="AK479" s="3" t="n">
        <v>3.87719011306763</v>
      </c>
      <c r="AL479" s="3" t="n"/>
      <c r="AM479" s="3" t="n"/>
      <c r="AN479" s="3" t="n"/>
      <c r="AO479" s="3" t="n"/>
      <c r="AP479" s="3" t="n"/>
      <c r="AQ479" s="3" t="n"/>
      <c r="AR479" s="3" t="n">
        <v>2.31550002098083</v>
      </c>
      <c r="AS479" s="3" t="n"/>
      <c r="AT479" s="3" t="n"/>
      <c r="AU479" s="3" t="n"/>
      <c r="AV479" s="3" t="n"/>
      <c r="AW479" s="3" t="n"/>
      <c r="AX479" s="3" t="n"/>
      <c r="AY479" s="3" t="n"/>
      <c r="AZ479" s="3" t="n"/>
      <c r="BA479" s="3" t="n">
        <v>7.33327007293701</v>
      </c>
      <c r="BB479" s="3" t="n">
        <v>6.89515018463135</v>
      </c>
      <c r="BC479" s="3" t="n">
        <v>6.6585898399353</v>
      </c>
      <c r="BD479" s="3" t="n">
        <v>7.47837018966675</v>
      </c>
      <c r="BE479" s="3" t="n"/>
      <c r="BF479" s="3" t="n"/>
      <c r="BG479" s="3" t="n"/>
      <c r="BH479" s="3" t="n"/>
      <c r="BI479" s="3" t="n"/>
      <c r="BJ479" s="3" t="n"/>
      <c r="BK479" s="3" t="n"/>
      <c r="BL479" s="3" t="n"/>
      <c r="BM479" s="3" t="n"/>
      <c r="BN479" s="3" t="n">
        <v>9.643546104431151</v>
      </c>
      <c r="BO479" s="3" t="n">
        <v>8.332326889038089</v>
      </c>
      <c r="BP479" s="3" t="n">
        <v>8.48737812042236</v>
      </c>
      <c r="BQ479" s="3" t="n">
        <v>8.293490409851071</v>
      </c>
      <c r="BR479" s="34" t="str">
        <f>B479&amp;"|"&amp;D479</f>
        <v>SLB|SE.XPD.TOTL.GD.ZS</v>
      </c>
    </row>
    <row r="480">
      <c r="A480" s="3" t="inlineStr">
        <is>
          <t>Sierra Leone</t>
        </is>
      </c>
      <c r="B480" s="3" t="inlineStr">
        <is>
          <t>SLE</t>
        </is>
      </c>
      <c r="C480" s="3" t="inlineStr">
        <is>
          <t>Government expenditure on education, total (% of GDP)</t>
        </is>
      </c>
      <c r="D480" s="3" t="inlineStr">
        <is>
          <t>SE.XPD.TOTL.GD.ZS</t>
        </is>
      </c>
      <c r="E480" s="3" t="n">
        <v>2023</v>
      </c>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c r="AD480" s="3" t="n"/>
      <c r="AE480" s="3" t="n"/>
      <c r="AF480" s="3" t="n"/>
      <c r="AG480" s="3" t="n"/>
      <c r="AH480" s="3" t="n"/>
      <c r="AI480" s="3" t="n"/>
      <c r="AJ480" s="3" t="n"/>
      <c r="AK480" s="3" t="n"/>
      <c r="AL480" s="3" t="n"/>
      <c r="AM480" s="3" t="n"/>
      <c r="AN480" s="3" t="n"/>
      <c r="AO480" s="3" t="n"/>
      <c r="AP480" s="3" t="n"/>
      <c r="AQ480" s="3" t="n"/>
      <c r="AR480" s="3" t="n"/>
      <c r="AS480" s="3" t="n"/>
      <c r="AT480" s="3" t="n">
        <v>4.94936990737915</v>
      </c>
      <c r="AU480" s="3" t="n">
        <v>3.48251008987427</v>
      </c>
      <c r="AV480" s="3" t="n">
        <v>3.59434008598328</v>
      </c>
      <c r="AW480" s="3" t="n">
        <v>3.29900002479553</v>
      </c>
      <c r="AX480" s="3" t="n">
        <v>3.14692997932434</v>
      </c>
      <c r="AY480" s="3" t="n">
        <v>2.8372700214386</v>
      </c>
      <c r="AZ480" s="3" t="n"/>
      <c r="BA480" s="3" t="n">
        <v>2.5967800617218</v>
      </c>
      <c r="BB480" s="3" t="n">
        <v>2.4658899307251</v>
      </c>
      <c r="BC480" s="3" t="n">
        <v>2.8182098865509</v>
      </c>
      <c r="BD480" s="3" t="n">
        <v>2.58851051330566</v>
      </c>
      <c r="BE480" s="3" t="n">
        <v>2.6782546043396</v>
      </c>
      <c r="BF480" s="3" t="n">
        <v>2.88159847259521</v>
      </c>
      <c r="BG480" s="3" t="n">
        <v>2.3798131942749</v>
      </c>
      <c r="BH480" s="3" t="n">
        <v>2.66290760040283</v>
      </c>
      <c r="BI480" s="3" t="n"/>
      <c r="BJ480" s="3" t="n">
        <v>2.91133999824524</v>
      </c>
      <c r="BK480" s="3" t="n">
        <v>4.66086006164551</v>
      </c>
      <c r="BL480" s="3" t="n">
        <v>6.98962783813477</v>
      </c>
      <c r="BM480" s="3" t="n">
        <v>7.44701194763184</v>
      </c>
      <c r="BN480" s="3" t="n">
        <v>8.809548377990721</v>
      </c>
      <c r="BO480" s="3" t="n">
        <v>9.44223594665527</v>
      </c>
      <c r="BP480" s="3" t="n">
        <v>8.5391845703125</v>
      </c>
      <c r="BQ480" s="3" t="n">
        <v>6.79109716415405</v>
      </c>
      <c r="BR480" s="34" t="str">
        <f>B480&amp;"|"&amp;D480</f>
        <v>SLE|SE.XPD.TOTL.GD.ZS</v>
      </c>
    </row>
    <row r="481">
      <c r="A481" s="3" t="inlineStr">
        <is>
          <t>El Salvador</t>
        </is>
      </c>
      <c r="B481" s="3" t="inlineStr">
        <is>
          <t>SLV</t>
        </is>
      </c>
      <c r="C481" s="3" t="inlineStr">
        <is>
          <t>Government expenditure on education, total (% of GDP)</t>
        </is>
      </c>
      <c r="D481" s="3" t="inlineStr">
        <is>
          <t>SE.XPD.TOTL.GD.ZS</t>
        </is>
      </c>
      <c r="E481" s="3" t="n">
        <v>2023</v>
      </c>
      <c r="F481" s="3" t="n"/>
      <c r="G481" s="3" t="n"/>
      <c r="H481" s="3" t="n"/>
      <c r="I481" s="3" t="n"/>
      <c r="J481" s="3" t="n"/>
      <c r="K481" s="3" t="n"/>
      <c r="L481" s="3" t="n"/>
      <c r="M481" s="3" t="n"/>
      <c r="N481" s="3" t="n"/>
      <c r="O481" s="3" t="n"/>
      <c r="P481" s="3" t="n"/>
      <c r="Q481" s="3" t="n"/>
      <c r="R481" s="3" t="n"/>
      <c r="S481" s="3" t="n"/>
      <c r="T481" s="3" t="n"/>
      <c r="U481" s="3" t="n">
        <v>0.904510021209717</v>
      </c>
      <c r="V481" s="3" t="n"/>
      <c r="W481" s="3" t="n"/>
      <c r="X481" s="3" t="n"/>
      <c r="Y481" s="3" t="n"/>
      <c r="Z481" s="3" t="n"/>
      <c r="AA481" s="3" t="n"/>
      <c r="AB481" s="3" t="n"/>
      <c r="AC481" s="3" t="n"/>
      <c r="AD481" s="3" t="n"/>
      <c r="AE481" s="3" t="n"/>
      <c r="AF481" s="3" t="n"/>
      <c r="AG481" s="3" t="n"/>
      <c r="AH481" s="3" t="n"/>
      <c r="AI481" s="3" t="n"/>
      <c r="AJ481" s="3" t="n"/>
      <c r="AK481" s="3" t="n"/>
      <c r="AL481" s="3" t="n"/>
      <c r="AM481" s="3" t="n"/>
      <c r="AN481" s="3" t="n"/>
      <c r="AO481" s="3" t="n"/>
      <c r="AP481" s="3" t="n"/>
      <c r="AQ481" s="3" t="n"/>
      <c r="AR481" s="3" t="n">
        <v>2.54725003242493</v>
      </c>
      <c r="AS481" s="3" t="n">
        <v>2.56260991096497</v>
      </c>
      <c r="AT481" s="3" t="n">
        <v>2.83868002891541</v>
      </c>
      <c r="AU481" s="3" t="n"/>
      <c r="AV481" s="3" t="n">
        <v>3.242840051651</v>
      </c>
      <c r="AW481" s="3" t="n">
        <v>3.13467001914978</v>
      </c>
      <c r="AX481" s="3" t="n"/>
      <c r="AY481" s="3" t="n">
        <v>3.17785000801086</v>
      </c>
      <c r="AZ481" s="3" t="n">
        <v>3.49298000335693</v>
      </c>
      <c r="BA481" s="3" t="n">
        <v>3.60984992980957</v>
      </c>
      <c r="BB481" s="3" t="n">
        <v>4.45810985565186</v>
      </c>
      <c r="BC481" s="3" t="n">
        <v>4.65950012207031</v>
      </c>
      <c r="BD481" s="3" t="n">
        <v>4.04807996749878</v>
      </c>
      <c r="BE481" s="3" t="n">
        <v>3.89854001998901</v>
      </c>
      <c r="BF481" s="3" t="n">
        <v>3.7124400138855</v>
      </c>
      <c r="BG481" s="3" t="n">
        <v>3.80149006843567</v>
      </c>
      <c r="BH481" s="3" t="n">
        <v>3.82416009902954</v>
      </c>
      <c r="BI481" s="3" t="n">
        <v>3.90987992286682</v>
      </c>
      <c r="BJ481" s="3" t="n">
        <v>3.82523989677429</v>
      </c>
      <c r="BK481" s="3" t="n">
        <v>3.7252299785614</v>
      </c>
      <c r="BL481" s="3" t="n">
        <v>3.60575008392334</v>
      </c>
      <c r="BM481" s="3" t="n">
        <v>3.38710999488831</v>
      </c>
      <c r="BN481" s="3" t="n">
        <v>3.66088008880615</v>
      </c>
      <c r="BO481" s="3" t="n">
        <v>3.57766008377075</v>
      </c>
      <c r="BP481" s="3" t="n">
        <v>3.25634002685547</v>
      </c>
      <c r="BQ481" s="3" t="n">
        <v>3.17218995094299</v>
      </c>
      <c r="BR481" s="34" t="str">
        <f>B481&amp;"|"&amp;D481</f>
        <v>SLV|SE.XPD.TOTL.GD.ZS</v>
      </c>
    </row>
    <row r="482">
      <c r="A482" s="3" t="inlineStr">
        <is>
          <t>San Marino</t>
        </is>
      </c>
      <c r="B482" s="3" t="inlineStr">
        <is>
          <t>SMR</t>
        </is>
      </c>
      <c r="C482" s="3" t="inlineStr">
        <is>
          <t>Government expenditure on education, total (% of GDP)</t>
        </is>
      </c>
      <c r="D482" s="3" t="inlineStr">
        <is>
          <t>SE.XPD.TOTL.GD.ZS</t>
        </is>
      </c>
      <c r="E482" s="3" t="n">
        <v>2022</v>
      </c>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c r="AD482" s="3" t="n"/>
      <c r="AE482" s="3" t="n"/>
      <c r="AF482" s="3" t="n"/>
      <c r="AG482" s="3" t="n"/>
      <c r="AH482" s="3" t="n"/>
      <c r="AI482" s="3" t="n"/>
      <c r="AJ482" s="3" t="n"/>
      <c r="AK482" s="3" t="n"/>
      <c r="AL482" s="3" t="n"/>
      <c r="AM482" s="3" t="n"/>
      <c r="AN482" s="3" t="n"/>
      <c r="AO482" s="3" t="n"/>
      <c r="AP482" s="3" t="n"/>
      <c r="AQ482" s="3" t="n"/>
      <c r="AR482" s="3" t="n"/>
      <c r="AS482" s="3" t="n"/>
      <c r="AT482" s="3" t="n"/>
      <c r="AU482" s="3" t="n"/>
      <c r="AV482" s="3" t="n">
        <v>3.30499792098999</v>
      </c>
      <c r="AW482" s="3" t="n">
        <v>3.13275384902954</v>
      </c>
      <c r="AX482" s="3" t="n">
        <v>2.79383993148804</v>
      </c>
      <c r="AY482" s="3" t="n"/>
      <c r="AZ482" s="3" t="n"/>
      <c r="BA482" s="3" t="n"/>
      <c r="BB482" s="3" t="n"/>
      <c r="BC482" s="3" t="n"/>
      <c r="BD482" s="3" t="n">
        <v>2.62883996963501</v>
      </c>
      <c r="BE482" s="3" t="n">
        <v>2.70296001434326</v>
      </c>
      <c r="BF482" s="3" t="n"/>
      <c r="BG482" s="3" t="n">
        <v>3.26723527908325</v>
      </c>
      <c r="BH482" s="3" t="n">
        <v>3.19357633590698</v>
      </c>
      <c r="BI482" s="3" t="n">
        <v>3.11914277076721</v>
      </c>
      <c r="BJ482" s="3" t="n">
        <v>3.3372015953064</v>
      </c>
      <c r="BK482" s="3" t="n">
        <v>3.36997008323669</v>
      </c>
      <c r="BL482" s="3" t="n">
        <v>3.55516004562378</v>
      </c>
      <c r="BM482" s="3" t="n">
        <v>3.37969994544983</v>
      </c>
      <c r="BN482" s="3" t="n">
        <v>3.4246199131012</v>
      </c>
      <c r="BO482" s="3" t="n">
        <v>3.10892009735107</v>
      </c>
      <c r="BP482" s="3" t="n">
        <v>3.43181848526001</v>
      </c>
      <c r="BQ482" s="3" t="n"/>
      <c r="BR482" s="34" t="str">
        <f>B482&amp;"|"&amp;D482</f>
        <v>SMR|SE.XPD.TOTL.GD.ZS</v>
      </c>
    </row>
    <row r="483">
      <c r="A483" s="3" t="inlineStr">
        <is>
          <t>Somalia</t>
        </is>
      </c>
      <c r="B483" s="3" t="inlineStr">
        <is>
          <t>SOM</t>
        </is>
      </c>
      <c r="C483" s="3" t="inlineStr">
        <is>
          <t>Government expenditure on education, total (% of GDP)</t>
        </is>
      </c>
      <c r="D483" s="3" t="inlineStr">
        <is>
          <t>SE.XPD.TOTL.GD.ZS</t>
        </is>
      </c>
      <c r="E483" s="3" t="n">
        <v>1973</v>
      </c>
      <c r="F483" s="3" t="n"/>
      <c r="G483" s="3" t="n"/>
      <c r="H483" s="3" t="n"/>
      <c r="I483" s="3" t="n"/>
      <c r="J483" s="3" t="n"/>
      <c r="K483" s="3" t="n"/>
      <c r="L483" s="3" t="n"/>
      <c r="M483" s="3" t="n"/>
      <c r="N483" s="3" t="n"/>
      <c r="O483" s="3" t="n"/>
      <c r="P483" s="3" t="n"/>
      <c r="Q483" s="3" t="n"/>
      <c r="R483" s="3" t="n">
        <v>1.10283994674683</v>
      </c>
      <c r="S483" s="3" t="n">
        <v>1.33887994289398</v>
      </c>
      <c r="T483" s="3" t="n"/>
      <c r="U483" s="3" t="n"/>
      <c r="V483" s="3" t="n"/>
      <c r="W483" s="3" t="n"/>
      <c r="X483" s="3" t="n"/>
      <c r="Y483" s="3" t="n"/>
      <c r="Z483" s="3" t="n"/>
      <c r="AA483" s="3" t="n"/>
      <c r="AB483" s="3" t="n"/>
      <c r="AC483" s="3" t="n"/>
      <c r="AD483" s="3" t="n"/>
      <c r="AE483" s="3" t="n"/>
      <c r="AF483" s="3" t="n"/>
      <c r="AG483" s="3" t="n"/>
      <c r="AH483" s="3" t="n"/>
      <c r="AI483" s="3" t="n"/>
      <c r="AJ483" s="3" t="n"/>
      <c r="AK483" s="3" t="n"/>
      <c r="AL483" s="3" t="n"/>
      <c r="AM483" s="3" t="n"/>
      <c r="AN483" s="3" t="n"/>
      <c r="AO483" s="3" t="n"/>
      <c r="AP483" s="3" t="n"/>
      <c r="AQ483" s="3" t="n"/>
      <c r="AR483" s="3" t="n"/>
      <c r="AS483" s="3" t="n"/>
      <c r="AT483" s="3" t="n"/>
      <c r="AU483" s="3" t="n"/>
      <c r="AV483" s="3" t="n"/>
      <c r="AW483" s="3" t="n"/>
      <c r="AX483" s="3" t="n"/>
      <c r="AY483" s="3" t="n"/>
      <c r="AZ483" s="3" t="n"/>
      <c r="BA483" s="3" t="n"/>
      <c r="BB483" s="3" t="n"/>
      <c r="BC483" s="3" t="n"/>
      <c r="BD483" s="3" t="n"/>
      <c r="BE483" s="3" t="n"/>
      <c r="BF483" s="3" t="n"/>
      <c r="BG483" s="3" t="n"/>
      <c r="BH483" s="3" t="n"/>
      <c r="BI483" s="3" t="n"/>
      <c r="BJ483" s="3" t="n"/>
      <c r="BK483" s="3" t="n"/>
      <c r="BL483" s="3" t="n"/>
      <c r="BM483" s="3" t="n"/>
      <c r="BN483" s="3" t="n"/>
      <c r="BO483" s="3" t="n"/>
      <c r="BP483" s="3" t="n"/>
      <c r="BQ483" s="3" t="n"/>
      <c r="BR483" s="34" t="str">
        <f>B483&amp;"|"&amp;D483</f>
        <v>SOM|SE.XPD.TOTL.GD.ZS</v>
      </c>
    </row>
    <row r="484">
      <c r="A484" s="3" t="inlineStr">
        <is>
          <t>Serbia</t>
        </is>
      </c>
      <c r="B484" s="3" t="inlineStr">
        <is>
          <t>SRB</t>
        </is>
      </c>
      <c r="C484" s="3" t="inlineStr">
        <is>
          <t>Government expenditure on education, total (% of GDP)</t>
        </is>
      </c>
      <c r="D484" s="3" t="inlineStr">
        <is>
          <t>SE.XPD.TOTL.GD.ZS</t>
        </is>
      </c>
      <c r="E484" s="3" t="n">
        <v>2022</v>
      </c>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c r="AD484" s="3" t="n"/>
      <c r="AE484" s="3" t="n"/>
      <c r="AF484" s="3" t="n"/>
      <c r="AG484" s="3" t="n"/>
      <c r="AH484" s="3" t="n"/>
      <c r="AI484" s="3" t="n"/>
      <c r="AJ484" s="3" t="n"/>
      <c r="AK484" s="3" t="n"/>
      <c r="AL484" s="3" t="n"/>
      <c r="AM484" s="3" t="n"/>
      <c r="AN484" s="3" t="n"/>
      <c r="AO484" s="3" t="n"/>
      <c r="AP484" s="3" t="n"/>
      <c r="AQ484" s="3" t="n"/>
      <c r="AR484" s="3" t="n"/>
      <c r="AS484" s="3" t="n"/>
      <c r="AT484" s="3" t="n"/>
      <c r="AU484" s="3" t="n"/>
      <c r="AV484" s="3" t="n"/>
      <c r="AW484" s="3" t="n"/>
      <c r="AX484" s="3" t="n"/>
      <c r="AY484" s="3" t="n"/>
      <c r="AZ484" s="3" t="n"/>
      <c r="BA484" s="3" t="n">
        <v>4.20983982086182</v>
      </c>
      <c r="BB484" s="3" t="n">
        <v>4.28094434738159</v>
      </c>
      <c r="BC484" s="3" t="n">
        <v>4.48398017883301</v>
      </c>
      <c r="BD484" s="3" t="n">
        <v>3.90093231201172</v>
      </c>
      <c r="BE484" s="3" t="n">
        <v>4.2383599281311</v>
      </c>
      <c r="BF484" s="3" t="n">
        <v>3.84768438339233</v>
      </c>
      <c r="BG484" s="3" t="n"/>
      <c r="BH484" s="3" t="n"/>
      <c r="BI484" s="3" t="n"/>
      <c r="BJ484" s="3" t="n">
        <v>3.63470005989075</v>
      </c>
      <c r="BK484" s="3" t="n">
        <v>3.71016001701355</v>
      </c>
      <c r="BL484" s="3" t="n">
        <v>3.58231997489929</v>
      </c>
      <c r="BM484" s="3" t="n">
        <v>3.61647009849548</v>
      </c>
      <c r="BN484" s="3" t="n"/>
      <c r="BO484" s="3" t="n">
        <v>3.29867005348206</v>
      </c>
      <c r="BP484" s="3" t="n">
        <v>3.23938989639282</v>
      </c>
      <c r="BQ484" s="3" t="n"/>
      <c r="BR484" s="34" t="str">
        <f>B484&amp;"|"&amp;D484</f>
        <v>SRB|SE.XPD.TOTL.GD.ZS</v>
      </c>
    </row>
    <row r="485">
      <c r="A485" s="3" t="inlineStr">
        <is>
          <t>Sub-Saharan Africa (excluding high income)</t>
        </is>
      </c>
      <c r="B485" s="3" t="inlineStr">
        <is>
          <t>SSA</t>
        </is>
      </c>
      <c r="C485" s="3" t="inlineStr">
        <is>
          <t>Government expenditure on education, total (% of GDP)</t>
        </is>
      </c>
      <c r="D485" s="3" t="inlineStr">
        <is>
          <t>SE.XPD.TOTL.GD.ZS</t>
        </is>
      </c>
      <c r="E485" s="3" t="n">
        <v>2022</v>
      </c>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c r="AD485" s="3" t="n"/>
      <c r="AE485" s="3" t="n"/>
      <c r="AF485" s="3" t="n"/>
      <c r="AG485" s="3" t="n"/>
      <c r="AH485" s="3" t="n"/>
      <c r="AI485" s="3" t="n"/>
      <c r="AJ485" s="3" t="n"/>
      <c r="AK485" s="3" t="n"/>
      <c r="AL485" s="3" t="n"/>
      <c r="AM485" s="3" t="n"/>
      <c r="AN485" s="3" t="n"/>
      <c r="AO485" s="3" t="n"/>
      <c r="AP485" s="3" t="n"/>
      <c r="AQ485" s="3" t="n"/>
      <c r="AR485" s="3" t="n"/>
      <c r="AS485" s="3" t="n">
        <v>2.96396994590759</v>
      </c>
      <c r="AT485" s="3" t="n">
        <v>2.64609491825104</v>
      </c>
      <c r="AU485" s="3" t="n">
        <v>2.90390992164612</v>
      </c>
      <c r="AV485" s="3" t="n">
        <v>2.8962299823761</v>
      </c>
      <c r="AW485" s="3" t="n"/>
      <c r="AX485" s="3" t="n">
        <v>3.07778000831604</v>
      </c>
      <c r="AY485" s="3" t="n">
        <v>3.3096399307251</v>
      </c>
      <c r="AZ485" s="3" t="n">
        <v>2.92044496536255</v>
      </c>
      <c r="BA485" s="3" t="n"/>
      <c r="BB485" s="3" t="n">
        <v>3.06307005882263</v>
      </c>
      <c r="BC485" s="3" t="n">
        <v>3.13160502910614</v>
      </c>
      <c r="BD485" s="3" t="n">
        <v>3.16229999065399</v>
      </c>
      <c r="BE485" s="3" t="n">
        <v>3.24000000953674</v>
      </c>
      <c r="BF485" s="3" t="n">
        <v>3.41820001602173</v>
      </c>
      <c r="BG485" s="3" t="n">
        <v>3.56775999069214</v>
      </c>
      <c r="BH485" s="3" t="n">
        <v>3.535979986190795</v>
      </c>
      <c r="BI485" s="3" t="n">
        <v>3.64711999893188</v>
      </c>
      <c r="BJ485" s="3" t="n">
        <v>3.1694552898407</v>
      </c>
      <c r="BK485" s="3" t="n">
        <v>3.73654007911682</v>
      </c>
      <c r="BL485" s="3" t="n">
        <v>3.38626492023468</v>
      </c>
      <c r="BM485" s="3" t="n">
        <v>3.55504989624023</v>
      </c>
      <c r="BN485" s="3" t="n">
        <v>3.8029705286026</v>
      </c>
      <c r="BO485" s="3" t="n">
        <v>3.41949439048767</v>
      </c>
      <c r="BP485" s="3" t="n">
        <v>3.51197004318237</v>
      </c>
      <c r="BQ485" s="3" t="n"/>
      <c r="BR485" s="34" t="str">
        <f>B485&amp;"|"&amp;D485</f>
        <v>SSA|SE.XPD.TOTL.GD.ZS</v>
      </c>
    </row>
    <row r="486">
      <c r="A486" s="3" t="inlineStr">
        <is>
          <t>South Sudan</t>
        </is>
      </c>
      <c r="B486" s="3" t="inlineStr">
        <is>
          <t>SSD</t>
        </is>
      </c>
      <c r="C486" s="3" t="inlineStr">
        <is>
          <t>Government expenditure on education, total (% of GDP)</t>
        </is>
      </c>
      <c r="D486" s="3" t="inlineStr">
        <is>
          <t>SE.XPD.TOTL.GD.ZS</t>
        </is>
      </c>
      <c r="E486" s="3" t="n">
        <v>2016</v>
      </c>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c r="AD486" s="3" t="n"/>
      <c r="AE486" s="3" t="n"/>
      <c r="AF486" s="3" t="n"/>
      <c r="AG486" s="3" t="n"/>
      <c r="AH486" s="3" t="n"/>
      <c r="AI486" s="3" t="n"/>
      <c r="AJ486" s="3" t="n"/>
      <c r="AK486" s="3" t="n"/>
      <c r="AL486" s="3" t="n"/>
      <c r="AM486" s="3" t="n"/>
      <c r="AN486" s="3" t="n"/>
      <c r="AO486" s="3" t="n"/>
      <c r="AP486" s="3" t="n"/>
      <c r="AQ486" s="3" t="n"/>
      <c r="AR486" s="3" t="n"/>
      <c r="AS486" s="3" t="n"/>
      <c r="AT486" s="3" t="n"/>
      <c r="AU486" s="3" t="n"/>
      <c r="AV486" s="3" t="n"/>
      <c r="AW486" s="3" t="n"/>
      <c r="AX486" s="3" t="n"/>
      <c r="AY486" s="3" t="n"/>
      <c r="AZ486" s="3" t="n"/>
      <c r="BA486" s="3" t="n"/>
      <c r="BB486" s="3" t="n"/>
      <c r="BC486" s="3" t="n"/>
      <c r="BD486" s="3" t="n">
        <v>1.04533004760742</v>
      </c>
      <c r="BE486" s="3" t="n">
        <v>0.962890028953552</v>
      </c>
      <c r="BF486" s="3" t="n">
        <v>1.57674932479858</v>
      </c>
      <c r="BG486" s="3" t="n">
        <v>1.02450001239777</v>
      </c>
      <c r="BH486" s="3" t="n">
        <v>1.23246002197266</v>
      </c>
      <c r="BI486" s="3" t="n">
        <v>1.46555995941162</v>
      </c>
      <c r="BJ486" s="3" t="n">
        <v>1.56539225578308</v>
      </c>
      <c r="BK486" s="3" t="n"/>
      <c r="BL486" s="3" t="n"/>
      <c r="BM486" s="3" t="n"/>
      <c r="BN486" s="3" t="n"/>
      <c r="BO486" s="3" t="n"/>
      <c r="BP486" s="3" t="n"/>
      <c r="BQ486" s="3" t="n"/>
      <c r="BR486" s="34" t="str">
        <f>B486&amp;"|"&amp;D486</f>
        <v>SSD|SE.XPD.TOTL.GD.ZS</v>
      </c>
    </row>
    <row r="487">
      <c r="A487" s="3" t="inlineStr">
        <is>
          <t>Sub-Saharan Africa</t>
        </is>
      </c>
      <c r="B487" s="3" t="inlineStr">
        <is>
          <t>SSF</t>
        </is>
      </c>
      <c r="C487" s="3" t="inlineStr">
        <is>
          <t>Government expenditure on education, total (% of GDP)</t>
        </is>
      </c>
      <c r="D487" s="3" t="inlineStr">
        <is>
          <t>SE.XPD.TOTL.GD.ZS</t>
        </is>
      </c>
      <c r="E487" s="3" t="n">
        <v>2022</v>
      </c>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c r="AD487" s="3" t="n"/>
      <c r="AE487" s="3" t="n"/>
      <c r="AF487" s="3" t="n"/>
      <c r="AG487" s="3" t="n"/>
      <c r="AH487" s="3" t="n"/>
      <c r="AI487" s="3" t="n"/>
      <c r="AJ487" s="3" t="n"/>
      <c r="AK487" s="3" t="n"/>
      <c r="AL487" s="3" t="n"/>
      <c r="AM487" s="3" t="n"/>
      <c r="AN487" s="3" t="n"/>
      <c r="AO487" s="3" t="n"/>
      <c r="AP487" s="3" t="n"/>
      <c r="AQ487" s="3" t="n"/>
      <c r="AR487" s="3" t="n"/>
      <c r="AS487" s="3" t="n">
        <v>2.96396994590759</v>
      </c>
      <c r="AT487" s="3" t="n">
        <v>2.64609491825104</v>
      </c>
      <c r="AU487" s="3" t="n">
        <v>2.90390992164612</v>
      </c>
      <c r="AV487" s="3" t="n">
        <v>2.8962299823761</v>
      </c>
      <c r="AW487" s="3" t="n"/>
      <c r="AX487" s="3" t="n">
        <v>3.07778000831604</v>
      </c>
      <c r="AY487" s="3" t="n">
        <v>3.3096399307251</v>
      </c>
      <c r="AZ487" s="3" t="n">
        <v>2.92044496536255</v>
      </c>
      <c r="BA487" s="3" t="n"/>
      <c r="BB487" s="3" t="n">
        <v>3.06307005882263</v>
      </c>
      <c r="BC487" s="3" t="n">
        <v>3.13160502910614</v>
      </c>
      <c r="BD487" s="3" t="n">
        <v>3.16229999065399</v>
      </c>
      <c r="BE487" s="3" t="n">
        <v>3.24000000953674</v>
      </c>
      <c r="BF487" s="3" t="n">
        <v>3.41820001602173</v>
      </c>
      <c r="BG487" s="3" t="n">
        <v>3.56775999069214</v>
      </c>
      <c r="BH487" s="3" t="n">
        <v>3.535979986190795</v>
      </c>
      <c r="BI487" s="3" t="n">
        <v>3.64711999893188</v>
      </c>
      <c r="BJ487" s="3" t="n">
        <v>3.1694552898407</v>
      </c>
      <c r="BK487" s="3" t="n">
        <v>3.73654007911682</v>
      </c>
      <c r="BL487" s="3" t="n">
        <v>3.38626492023468</v>
      </c>
      <c r="BM487" s="3" t="n">
        <v>3.55504989624023</v>
      </c>
      <c r="BN487" s="3" t="n">
        <v>3.8029705286026</v>
      </c>
      <c r="BO487" s="3" t="n">
        <v>3.41949439048767</v>
      </c>
      <c r="BP487" s="3" t="n">
        <v>3.51197004318237</v>
      </c>
      <c r="BQ487" s="3" t="n"/>
      <c r="BR487" s="34" t="str">
        <f>B487&amp;"|"&amp;D487</f>
        <v>SSF|SE.XPD.TOTL.GD.ZS</v>
      </c>
    </row>
    <row r="488">
      <c r="A488" s="3" t="inlineStr">
        <is>
          <t>Small states</t>
        </is>
      </c>
      <c r="B488" s="3" t="inlineStr">
        <is>
          <t>SST</t>
        </is>
      </c>
      <c r="C488" s="3" t="inlineStr">
        <is>
          <t>Government expenditure on education, total (% of GDP)</t>
        </is>
      </c>
      <c r="D488" s="3" t="inlineStr">
        <is>
          <t>SE.XPD.TOTL.GD.ZS</t>
        </is>
      </c>
      <c r="E488" s="3" t="n">
        <v>2021</v>
      </c>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v>4.39455986022949</v>
      </c>
      <c r="AD488" s="3" t="n">
        <v>4.03251981735229</v>
      </c>
      <c r="AE488" s="3" t="n">
        <v>3.91043996810913</v>
      </c>
      <c r="AF488" s="3" t="n">
        <v>3.43728995323181</v>
      </c>
      <c r="AG488" s="3" t="n">
        <v>3.01674008369446</v>
      </c>
      <c r="AH488" s="3" t="n">
        <v>3.08984994888306</v>
      </c>
      <c r="AI488" s="3" t="n">
        <v>3.46896004676819</v>
      </c>
      <c r="AJ488" s="3" t="n">
        <v>3.12822008132935</v>
      </c>
      <c r="AK488" s="3" t="n">
        <v>3.46325993537903</v>
      </c>
      <c r="AL488" s="3" t="n">
        <v>5.28141021728516</v>
      </c>
      <c r="AM488" s="3" t="n">
        <v>5.69822978973389</v>
      </c>
      <c r="AN488" s="3" t="n">
        <v>5.49428987503052</v>
      </c>
      <c r="AO488" s="3" t="n">
        <v>5.89866018295288</v>
      </c>
      <c r="AP488" s="3" t="n">
        <v>6.0549201965332</v>
      </c>
      <c r="AQ488" s="3" t="n">
        <v>6.33788013458252</v>
      </c>
      <c r="AR488" s="3" t="n"/>
      <c r="AS488" s="3" t="n">
        <v>5.09095001220703</v>
      </c>
      <c r="AT488" s="3" t="n">
        <v>5.33945989608765</v>
      </c>
      <c r="AU488" s="3" t="n">
        <v>4.83824014663696</v>
      </c>
      <c r="AV488" s="3" t="n">
        <v>4.44086980819702</v>
      </c>
      <c r="AW488" s="3" t="n">
        <v>5.544934988021851</v>
      </c>
      <c r="AX488" s="3" t="n">
        <v>5.13917994499207</v>
      </c>
      <c r="AY488" s="3" t="n">
        <v>5.548470020294185</v>
      </c>
      <c r="AZ488" s="3" t="n">
        <v>6.093516111373905</v>
      </c>
      <c r="BA488" s="3" t="n">
        <v>3.902654886245725</v>
      </c>
      <c r="BB488" s="3" t="n">
        <v>6.051079988479614</v>
      </c>
      <c r="BC488" s="3" t="n">
        <v>6.47135019302368</v>
      </c>
      <c r="BD488" s="3" t="n">
        <v>5.81807994842529</v>
      </c>
      <c r="BE488" s="3" t="n">
        <v>5.767455101013185</v>
      </c>
      <c r="BF488" s="3" t="n">
        <v>5.15550112724304</v>
      </c>
      <c r="BG488" s="3" t="n">
        <v>4.964245319366455</v>
      </c>
      <c r="BH488" s="3" t="n">
        <v>5.618129968643185</v>
      </c>
      <c r="BI488" s="3" t="n">
        <v>5.14418983459473</v>
      </c>
      <c r="BJ488" s="3" t="n">
        <v>5.15763998031616</v>
      </c>
      <c r="BK488" s="3" t="n">
        <v>4.96131992340088</v>
      </c>
      <c r="BL488" s="3" t="n">
        <v>4.87440967559814</v>
      </c>
      <c r="BM488" s="3" t="n">
        <v>4.877275228500364</v>
      </c>
      <c r="BN488" s="3" t="n">
        <v>4.85627222061157</v>
      </c>
      <c r="BO488" s="3" t="n">
        <v>4.953685045242305</v>
      </c>
      <c r="BP488" s="3" t="n"/>
      <c r="BQ488" s="3" t="n"/>
      <c r="BR488" s="34" t="str">
        <f>B488&amp;"|"&amp;D488</f>
        <v>SST|SE.XPD.TOTL.GD.ZS</v>
      </c>
    </row>
    <row r="489">
      <c r="A489" s="3" t="inlineStr">
        <is>
          <t>Sao Tome and Principe</t>
        </is>
      </c>
      <c r="B489" s="3" t="inlineStr">
        <is>
          <t>STP</t>
        </is>
      </c>
      <c r="C489" s="3" t="inlineStr">
        <is>
          <t>Government expenditure on education, total (% of GDP)</t>
        </is>
      </c>
      <c r="D489" s="3" t="inlineStr">
        <is>
          <t>SE.XPD.TOTL.GD.ZS</t>
        </is>
      </c>
      <c r="E489" s="3" t="n">
        <v>2022</v>
      </c>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c r="AD489" s="3" t="n"/>
      <c r="AE489" s="3" t="n"/>
      <c r="AF489" s="3" t="n"/>
      <c r="AG489" s="3" t="n"/>
      <c r="AH489" s="3" t="n"/>
      <c r="AI489" s="3" t="n"/>
      <c r="AJ489" s="3" t="n"/>
      <c r="AK489" s="3" t="n"/>
      <c r="AL489" s="3" t="n"/>
      <c r="AM489" s="3" t="n"/>
      <c r="AN489" s="3" t="n"/>
      <c r="AO489" s="3" t="n"/>
      <c r="AP489" s="3" t="n"/>
      <c r="AQ489" s="3" t="n"/>
      <c r="AR489" s="3" t="n"/>
      <c r="AS489" s="3" t="n"/>
      <c r="AT489" s="3" t="n"/>
      <c r="AU489" s="3" t="n"/>
      <c r="AV489" s="3" t="n">
        <v>2.72058010101318</v>
      </c>
      <c r="AW489" s="3" t="n">
        <v>3.24692988395691</v>
      </c>
      <c r="AX489" s="3" t="n">
        <v>3.23470997810364</v>
      </c>
      <c r="AY489" s="3" t="n">
        <v>4.85645008087158</v>
      </c>
      <c r="AZ489" s="3" t="n">
        <v>4.27118015289307</v>
      </c>
      <c r="BA489" s="3" t="n">
        <v>6.28682994842529</v>
      </c>
      <c r="BB489" s="3" t="n">
        <v>5.5544900894165</v>
      </c>
      <c r="BC489" s="3" t="n">
        <v>9.994290351867679</v>
      </c>
      <c r="BD489" s="3" t="n">
        <v>9.9882698059082</v>
      </c>
      <c r="BE489" s="3" t="n"/>
      <c r="BF489" s="3" t="n">
        <v>6.92846012115479</v>
      </c>
      <c r="BG489" s="3" t="n">
        <v>6.68509006500244</v>
      </c>
      <c r="BH489" s="3" t="n">
        <v>4.43216991424561</v>
      </c>
      <c r="BI489" s="3" t="n">
        <v>4.69794988632202</v>
      </c>
      <c r="BJ489" s="3" t="n">
        <v>6.11515998840332</v>
      </c>
      <c r="BK489" s="3" t="n">
        <v>5.87489986419678</v>
      </c>
      <c r="BL489" s="3" t="n">
        <v>5.62454986572266</v>
      </c>
      <c r="BM489" s="3" t="n">
        <v>5.89931058883667</v>
      </c>
      <c r="BN489" s="3" t="n">
        <v>5.0152382850647</v>
      </c>
      <c r="BO489" s="3" t="n">
        <v>5.51617622375488</v>
      </c>
      <c r="BP489" s="3" t="n">
        <v>5.15598058700562</v>
      </c>
      <c r="BQ489" s="3" t="n"/>
      <c r="BR489" s="34" t="str">
        <f>B489&amp;"|"&amp;D489</f>
        <v>STP|SE.XPD.TOTL.GD.ZS</v>
      </c>
    </row>
    <row r="490">
      <c r="A490" s="3" t="inlineStr">
        <is>
          <t>Suriname</t>
        </is>
      </c>
      <c r="B490" s="3" t="inlineStr">
        <is>
          <t>SUR</t>
        </is>
      </c>
      <c r="C490" s="3" t="inlineStr">
        <is>
          <t>Government expenditure on education, total (% of GDP)</t>
        </is>
      </c>
      <c r="D490" s="3" t="inlineStr">
        <is>
          <t>SE.XPD.TOTL.GD.ZS</t>
        </is>
      </c>
      <c r="E490" s="3" t="n">
        <v>2023</v>
      </c>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c r="AD490" s="3" t="n"/>
      <c r="AE490" s="3" t="n"/>
      <c r="AF490" s="3" t="n"/>
      <c r="AG490" s="3" t="n"/>
      <c r="AH490" s="3" t="n"/>
      <c r="AI490" s="3" t="n"/>
      <c r="AJ490" s="3" t="n"/>
      <c r="AK490" s="3" t="n"/>
      <c r="AL490" s="3" t="n"/>
      <c r="AM490" s="3" t="n"/>
      <c r="AN490" s="3" t="n"/>
      <c r="AO490" s="3" t="n"/>
      <c r="AP490" s="3" t="n"/>
      <c r="AQ490" s="3" t="n"/>
      <c r="AR490" s="3" t="n"/>
      <c r="AS490" s="3" t="n"/>
      <c r="AT490" s="3" t="n"/>
      <c r="AU490" s="3" t="n"/>
      <c r="AV490" s="3" t="n"/>
      <c r="AW490" s="3" t="n"/>
      <c r="AX490" s="3" t="n"/>
      <c r="AY490" s="3" t="n"/>
      <c r="AZ490" s="3" t="n"/>
      <c r="BA490" s="3" t="n"/>
      <c r="BB490" s="3" t="n"/>
      <c r="BC490" s="3" t="n"/>
      <c r="BD490" s="3" t="n"/>
      <c r="BE490" s="3" t="n"/>
      <c r="BF490" s="3" t="n"/>
      <c r="BG490" s="3" t="n"/>
      <c r="BH490" s="3" t="n"/>
      <c r="BI490" s="3" t="n">
        <v>5.53479623794556</v>
      </c>
      <c r="BJ490" s="3" t="n">
        <v>5.64051914215088</v>
      </c>
      <c r="BK490" s="3" t="n">
        <v>5.45861291885376</v>
      </c>
      <c r="BL490" s="3" t="n">
        <v>4.92259359359741</v>
      </c>
      <c r="BM490" s="3" t="n">
        <v>6.77857303619385</v>
      </c>
      <c r="BN490" s="3" t="n">
        <v>4.58425712585449</v>
      </c>
      <c r="BO490" s="3" t="n">
        <v>4.13154983520508</v>
      </c>
      <c r="BP490" s="3" t="n">
        <v>3.43460845947266</v>
      </c>
      <c r="BQ490" s="3" t="n">
        <v>2.86623334884644</v>
      </c>
      <c r="BR490" s="34" t="str">
        <f>B490&amp;"|"&amp;D490</f>
        <v>SUR|SE.XPD.TOTL.GD.ZS</v>
      </c>
    </row>
    <row r="491">
      <c r="A491" s="3" t="inlineStr">
        <is>
          <t>Slovak Republic</t>
        </is>
      </c>
      <c r="B491" s="3" t="inlineStr">
        <is>
          <t>SVK</t>
        </is>
      </c>
      <c r="C491" s="3" t="inlineStr">
        <is>
          <t>Government expenditure on education, total (% of GDP)</t>
        </is>
      </c>
      <c r="D491" s="3" t="inlineStr">
        <is>
          <t>SE.XPD.TOTL.GD.ZS</t>
        </is>
      </c>
      <c r="E491" s="3" t="n">
        <v>2021</v>
      </c>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c r="AD491" s="3" t="n"/>
      <c r="AE491" s="3" t="n"/>
      <c r="AF491" s="3" t="n"/>
      <c r="AG491" s="3" t="n"/>
      <c r="AH491" s="3" t="n"/>
      <c r="AI491" s="3" t="n"/>
      <c r="AJ491" s="3" t="n"/>
      <c r="AK491" s="3" t="n"/>
      <c r="AL491" s="3" t="n">
        <v>5.35694980621338</v>
      </c>
      <c r="AM491" s="3" t="n">
        <v>4.44960021972656</v>
      </c>
      <c r="AN491" s="3" t="n">
        <v>3.71250009536743</v>
      </c>
      <c r="AO491" s="3" t="n">
        <v>4.29757976531982</v>
      </c>
      <c r="AP491" s="3" t="n">
        <v>4.12440013885498</v>
      </c>
      <c r="AQ491" s="3" t="n">
        <v>4.1223201751709</v>
      </c>
      <c r="AR491" s="3" t="n"/>
      <c r="AS491" s="3" t="n">
        <v>4.1072998046875</v>
      </c>
      <c r="AT491" s="3" t="n">
        <v>3.86468005180359</v>
      </c>
      <c r="AU491" s="3" t="n">
        <v>3.93569993972778</v>
      </c>
      <c r="AV491" s="3" t="n">
        <v>4.24539995193481</v>
      </c>
      <c r="AW491" s="3" t="n">
        <v>4.20956993103027</v>
      </c>
      <c r="AX491" s="3" t="n">
        <v>4.10157012939453</v>
      </c>
      <c r="AY491" s="3" t="n">
        <v>3.75995993614197</v>
      </c>
      <c r="AZ491" s="3" t="n">
        <v>3.70770001411438</v>
      </c>
      <c r="BA491" s="3" t="n">
        <v>3.52321004867554</v>
      </c>
      <c r="BB491" s="3" t="n">
        <v>3.52165007591248</v>
      </c>
      <c r="BC491" s="3" t="n">
        <v>4.00641012191772</v>
      </c>
      <c r="BD491" s="3" t="n">
        <v>4.0447998046875</v>
      </c>
      <c r="BE491" s="3" t="n">
        <v>3.89836001396179</v>
      </c>
      <c r="BF491" s="3" t="n">
        <v>3.8590099811554</v>
      </c>
      <c r="BG491" s="3" t="n">
        <v>4.06895017623901</v>
      </c>
      <c r="BH491" s="3" t="n">
        <v>4.21589994430542</v>
      </c>
      <c r="BI491" s="3" t="n">
        <v>4.57843017578125</v>
      </c>
      <c r="BJ491" s="3" t="n">
        <v>3.90078997612</v>
      </c>
      <c r="BK491" s="3" t="n">
        <v>3.93220996856689</v>
      </c>
      <c r="BL491" s="3" t="n">
        <v>3.95290994644165</v>
      </c>
      <c r="BM491" s="3" t="n">
        <v>4.27311992645264</v>
      </c>
      <c r="BN491" s="3" t="n">
        <v>4.76427984237671</v>
      </c>
      <c r="BO491" s="3" t="n">
        <v>4.79718017578125</v>
      </c>
      <c r="BP491" s="3" t="n"/>
      <c r="BQ491" s="3" t="n"/>
      <c r="BR491" s="34" t="str">
        <f>B491&amp;"|"&amp;D491</f>
        <v>SVK|SE.XPD.TOTL.GD.ZS</v>
      </c>
    </row>
    <row r="492">
      <c r="A492" s="3" t="inlineStr">
        <is>
          <t>Slovenia</t>
        </is>
      </c>
      <c r="B492" s="3" t="inlineStr">
        <is>
          <t>SVN</t>
        </is>
      </c>
      <c r="C492" s="3" t="inlineStr">
        <is>
          <t>Government expenditure on education, total (% of GDP)</t>
        </is>
      </c>
      <c r="D492" s="3" t="inlineStr">
        <is>
          <t>SE.XPD.TOTL.GD.ZS</t>
        </is>
      </c>
      <c r="E492" s="3" t="n">
        <v>2021</v>
      </c>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c r="AD492" s="3" t="n"/>
      <c r="AE492" s="3" t="n"/>
      <c r="AF492" s="3" t="n"/>
      <c r="AG492" s="3" t="n"/>
      <c r="AH492" s="3" t="n"/>
      <c r="AI492" s="3" t="n"/>
      <c r="AJ492" s="3" t="n"/>
      <c r="AK492" s="3" t="n">
        <v>4.07581996917725</v>
      </c>
      <c r="AL492" s="3" t="n">
        <v>4.72460985183716</v>
      </c>
      <c r="AM492" s="3" t="n">
        <v>4.96054983139038</v>
      </c>
      <c r="AN492" s="3" t="n">
        <v>4.70306015014648</v>
      </c>
      <c r="AO492" s="3" t="n">
        <v>4.90559005737305</v>
      </c>
      <c r="AP492" s="3" t="n"/>
      <c r="AQ492" s="3" t="n"/>
      <c r="AR492" s="3" t="n"/>
      <c r="AS492" s="3" t="n"/>
      <c r="AT492" s="3" t="n">
        <v>6.13048267364502</v>
      </c>
      <c r="AU492" s="3" t="n">
        <v>5.7568302154541</v>
      </c>
      <c r="AV492" s="3" t="n">
        <v>5.67286014556885</v>
      </c>
      <c r="AW492" s="3" t="n">
        <v>5.70333003997803</v>
      </c>
      <c r="AX492" s="3" t="n">
        <v>5.64425992965698</v>
      </c>
      <c r="AY492" s="3" t="n">
        <v>5.60408020019531</v>
      </c>
      <c r="AZ492" s="3" t="n">
        <v>5.59066009521484</v>
      </c>
      <c r="BA492" s="3" t="n">
        <v>5.11661005020142</v>
      </c>
      <c r="BB492" s="3" t="n">
        <v>5.10951995849609</v>
      </c>
      <c r="BC492" s="3" t="n">
        <v>5.55496978759766</v>
      </c>
      <c r="BD492" s="3" t="n">
        <v>5.54546022415161</v>
      </c>
      <c r="BE492" s="3" t="n">
        <v>5.541259765625</v>
      </c>
      <c r="BF492" s="3" t="n">
        <v>5.62023019790649</v>
      </c>
      <c r="BG492" s="3" t="n">
        <v>5.4057297706604</v>
      </c>
      <c r="BH492" s="3" t="n">
        <v>5.29169988632202</v>
      </c>
      <c r="BI492" s="3" t="n">
        <v>4.90953016281128</v>
      </c>
      <c r="BJ492" s="3" t="n">
        <v>4.79266977310181</v>
      </c>
      <c r="BK492" s="3" t="n">
        <v>4.78053998947144</v>
      </c>
      <c r="BL492" s="3" t="n">
        <v>4.93455982208252</v>
      </c>
      <c r="BM492" s="3" t="n">
        <v>4.89153003692627</v>
      </c>
      <c r="BN492" s="3" t="n">
        <v>5.38373994827271</v>
      </c>
      <c r="BO492" s="3" t="n">
        <v>5.36526012420654</v>
      </c>
      <c r="BP492" s="3" t="n"/>
      <c r="BQ492" s="3" t="n"/>
      <c r="BR492" s="34" t="str">
        <f>B492&amp;"|"&amp;D492</f>
        <v>SVN|SE.XPD.TOTL.GD.ZS</v>
      </c>
    </row>
    <row r="493">
      <c r="A493" s="3" t="inlineStr">
        <is>
          <t>Sweden</t>
        </is>
      </c>
      <c r="B493" s="3" t="inlineStr">
        <is>
          <t>SWE</t>
        </is>
      </c>
      <c r="C493" s="3" t="inlineStr">
        <is>
          <t>Government expenditure on education, total (% of GDP)</t>
        </is>
      </c>
      <c r="D493" s="3" t="inlineStr">
        <is>
          <t>SE.XPD.TOTL.GD.ZS</t>
        </is>
      </c>
      <c r="E493" s="3" t="n">
        <v>2021</v>
      </c>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v>6.37237977981567</v>
      </c>
      <c r="Z493" s="3" t="n">
        <v>6.53704977035522</v>
      </c>
      <c r="AA493" s="3" t="n">
        <v>6.78119993209839</v>
      </c>
      <c r="AB493" s="3" t="n"/>
      <c r="AC493" s="3" t="n"/>
      <c r="AD493" s="3" t="n"/>
      <c r="AE493" s="3" t="n"/>
      <c r="AF493" s="3" t="n"/>
      <c r="AG493" s="3" t="n"/>
      <c r="AH493" s="3" t="n"/>
      <c r="AI493" s="3" t="n"/>
      <c r="AJ493" s="3" t="n">
        <v>5.2121901512146</v>
      </c>
      <c r="AK493" s="3" t="n">
        <v>5.4438099861145</v>
      </c>
      <c r="AL493" s="3" t="n">
        <v>5.25850009918213</v>
      </c>
      <c r="AM493" s="3" t="n">
        <v>5.50703001022339</v>
      </c>
      <c r="AN493" s="3" t="n"/>
      <c r="AO493" s="3" t="n">
        <v>6.14813995361328</v>
      </c>
      <c r="AP493" s="3" t="n">
        <v>6.83862018585205</v>
      </c>
      <c r="AQ493" s="3" t="n"/>
      <c r="AR493" s="3" t="n">
        <v>7.06125020980835</v>
      </c>
      <c r="AS493" s="3" t="n">
        <v>6.84873008728027</v>
      </c>
      <c r="AT493" s="3" t="n">
        <v>6.740149974823</v>
      </c>
      <c r="AU493" s="3" t="n">
        <v>6.61764001846313</v>
      </c>
      <c r="AV493" s="3" t="n">
        <v>6.92434978485107</v>
      </c>
      <c r="AW493" s="3" t="n">
        <v>6.79142999649048</v>
      </c>
      <c r="AX493" s="3" t="n">
        <v>6.66310977935791</v>
      </c>
      <c r="AY493" s="3" t="n">
        <v>6.5064001083374</v>
      </c>
      <c r="AZ493" s="3" t="n">
        <v>6.36429023742676</v>
      </c>
      <c r="BA493" s="3" t="n">
        <v>6.17158985137939</v>
      </c>
      <c r="BB493" s="3" t="n">
        <v>6.34455013275146</v>
      </c>
      <c r="BC493" s="3" t="n">
        <v>6.74971008300781</v>
      </c>
      <c r="BD493" s="3" t="n">
        <v>6.52268981933594</v>
      </c>
      <c r="BE493" s="3" t="n">
        <v>6.36691999435425</v>
      </c>
      <c r="BF493" s="3" t="n">
        <v>7.5369701385498</v>
      </c>
      <c r="BG493" s="3" t="n">
        <v>7.61120986938477</v>
      </c>
      <c r="BH493" s="3" t="n">
        <v>7.57372999191284</v>
      </c>
      <c r="BI493" s="3" t="n">
        <v>7.4439001083374</v>
      </c>
      <c r="BJ493" s="3" t="n">
        <v>7.61861991882324</v>
      </c>
      <c r="BK493" s="3" t="n">
        <v>7.56883001327515</v>
      </c>
      <c r="BL493" s="3" t="n">
        <v>7.64084005355835</v>
      </c>
      <c r="BM493" s="3" t="n">
        <v>7.63851022720337</v>
      </c>
      <c r="BN493" s="3" t="n">
        <v>7.92561006546021</v>
      </c>
      <c r="BO493" s="3" t="n">
        <v>7.57219982147217</v>
      </c>
      <c r="BP493" s="3" t="n"/>
      <c r="BQ493" s="3" t="n"/>
      <c r="BR493" s="34" t="str">
        <f>B493&amp;"|"&amp;D493</f>
        <v>SWE|SE.XPD.TOTL.GD.ZS</v>
      </c>
    </row>
    <row r="494">
      <c r="A494" s="3" t="inlineStr">
        <is>
          <t>Eswatini</t>
        </is>
      </c>
      <c r="B494" s="3" t="inlineStr">
        <is>
          <t>SWZ</t>
        </is>
      </c>
      <c r="C494" s="3" t="inlineStr">
        <is>
          <t>Government expenditure on education, total (% of GDP)</t>
        </is>
      </c>
      <c r="D494" s="3" t="inlineStr">
        <is>
          <t>SE.XPD.TOTL.GD.ZS</t>
        </is>
      </c>
      <c r="E494" s="3" t="n">
        <v>2023</v>
      </c>
      <c r="F494" s="3" t="n"/>
      <c r="G494" s="3" t="n"/>
      <c r="H494" s="3" t="n"/>
      <c r="I494" s="3" t="n"/>
      <c r="J494" s="3" t="n"/>
      <c r="K494" s="3" t="n"/>
      <c r="L494" s="3" t="n"/>
      <c r="M494" s="3" t="n"/>
      <c r="N494" s="3" t="n"/>
      <c r="O494" s="3" t="n"/>
      <c r="P494" s="3" t="n"/>
      <c r="Q494" s="3" t="n"/>
      <c r="R494" s="3" t="n"/>
      <c r="S494" s="3" t="n"/>
      <c r="T494" s="3" t="n"/>
      <c r="U494" s="3" t="n"/>
      <c r="V494" s="3" t="n">
        <v>3.71434998512268</v>
      </c>
      <c r="W494" s="3" t="n">
        <v>3.94429993629456</v>
      </c>
      <c r="X494" s="3" t="n">
        <v>5.7965202331543</v>
      </c>
      <c r="Y494" s="3" t="n">
        <v>6.36428022384644</v>
      </c>
      <c r="Z494" s="3" t="n">
        <v>5.29720020294189</v>
      </c>
      <c r="AA494" s="3" t="n">
        <v>6.58382987976074</v>
      </c>
      <c r="AB494" s="3" t="n">
        <v>6.75364017486572</v>
      </c>
      <c r="AC494" s="3" t="n"/>
      <c r="AD494" s="3" t="n"/>
      <c r="AE494" s="3" t="n"/>
      <c r="AF494" s="3" t="n"/>
      <c r="AG494" s="3" t="n">
        <v>5.80219984054565</v>
      </c>
      <c r="AH494" s="3" t="n">
        <v>5.51155996322632</v>
      </c>
      <c r="AI494" s="3" t="n">
        <v>5.66129016876221</v>
      </c>
      <c r="AJ494" s="3" t="n">
        <v>5.48457002639771</v>
      </c>
      <c r="AK494" s="3" t="n"/>
      <c r="AL494" s="3" t="n"/>
      <c r="AM494" s="3" t="n"/>
      <c r="AN494" s="3" t="n">
        <v>5.14028978347778</v>
      </c>
      <c r="AO494" s="3" t="n">
        <v>5.6531400680542</v>
      </c>
      <c r="AP494" s="3" t="n">
        <v>4.93815994262695</v>
      </c>
      <c r="AQ494" s="3" t="n"/>
      <c r="AR494" s="3" t="n"/>
      <c r="AS494" s="3" t="n">
        <v>5.09095001220703</v>
      </c>
      <c r="AT494" s="3" t="n">
        <v>5.50848007202148</v>
      </c>
      <c r="AU494" s="3" t="n">
        <v>4.83824014663696</v>
      </c>
      <c r="AV494" s="3" t="n">
        <v>4.44086980819702</v>
      </c>
      <c r="AW494" s="3" t="n">
        <v>5.81677007675171</v>
      </c>
      <c r="AX494" s="3" t="n">
        <v>5.40160989761353</v>
      </c>
      <c r="AY494" s="3" t="n">
        <v>6.48462009429932</v>
      </c>
      <c r="AZ494" s="3" t="n">
        <v>6.55475997924805</v>
      </c>
      <c r="BA494" s="3" t="n"/>
      <c r="BB494" s="3" t="n">
        <v>6.61812019348145</v>
      </c>
      <c r="BC494" s="3" t="n">
        <v>6.47135019302368</v>
      </c>
      <c r="BD494" s="3" t="n">
        <v>6.11837005615234</v>
      </c>
      <c r="BE494" s="3" t="n">
        <v>6.86432981491089</v>
      </c>
      <c r="BF494" s="3" t="n">
        <v>5.5932822227478</v>
      </c>
      <c r="BG494" s="3" t="n">
        <v>5.08461046218872</v>
      </c>
      <c r="BH494" s="3" t="n">
        <v>7.07059001922607</v>
      </c>
      <c r="BI494" s="3" t="n">
        <v>5.35494709014893</v>
      </c>
      <c r="BJ494" s="3" t="n">
        <v>5.43355321884155</v>
      </c>
      <c r="BK494" s="3" t="n">
        <v>6.17791414260864</v>
      </c>
      <c r="BL494" s="3" t="n">
        <v>5.73687362670898</v>
      </c>
      <c r="BM494" s="3" t="n">
        <v>5.69914817810059</v>
      </c>
      <c r="BN494" s="3" t="n">
        <v>5.36010456085205</v>
      </c>
      <c r="BO494" s="3" t="n">
        <v>5.28714895248413</v>
      </c>
      <c r="BP494" s="3" t="n">
        <v>5.69260597229004</v>
      </c>
      <c r="BQ494" s="3" t="n">
        <v>6.31294202804565</v>
      </c>
      <c r="BR494" s="34" t="str">
        <f>B494&amp;"|"&amp;D494</f>
        <v>SWZ|SE.XPD.TOTL.GD.ZS</v>
      </c>
    </row>
    <row r="495">
      <c r="A495" s="3" t="inlineStr">
        <is>
          <t>Sint Maarten (Dutch part)</t>
        </is>
      </c>
      <c r="B495" s="3" t="inlineStr">
        <is>
          <t>SXM</t>
        </is>
      </c>
      <c r="C495" s="3" t="inlineStr">
        <is>
          <t>Government expenditure on education, total (% of GDP)</t>
        </is>
      </c>
      <c r="D495" s="3" t="inlineStr">
        <is>
          <t>SE.XPD.TOTL.GD.ZS</t>
        </is>
      </c>
      <c r="E495" s="3" t="n">
        <v>2022</v>
      </c>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c r="AD495" s="3" t="n"/>
      <c r="AE495" s="3" t="n"/>
      <c r="AF495" s="3" t="n"/>
      <c r="AG495" s="3" t="n"/>
      <c r="AH495" s="3" t="n"/>
      <c r="AI495" s="3" t="n"/>
      <c r="AJ495" s="3" t="n"/>
      <c r="AK495" s="3" t="n"/>
      <c r="AL495" s="3" t="n"/>
      <c r="AM495" s="3" t="n"/>
      <c r="AN495" s="3" t="n"/>
      <c r="AO495" s="3" t="n"/>
      <c r="AP495" s="3" t="n"/>
      <c r="AQ495" s="3" t="n"/>
      <c r="AR495" s="3" t="n"/>
      <c r="AS495" s="3" t="n"/>
      <c r="AT495" s="3" t="n"/>
      <c r="AU495" s="3" t="n"/>
      <c r="AV495" s="3" t="n"/>
      <c r="AW495" s="3" t="n"/>
      <c r="AX495" s="3" t="n"/>
      <c r="AY495" s="3" t="n"/>
      <c r="AZ495" s="3" t="n"/>
      <c r="BA495" s="3" t="n"/>
      <c r="BB495" s="3" t="n"/>
      <c r="BC495" s="3" t="n"/>
      <c r="BD495" s="3" t="n"/>
      <c r="BE495" s="3" t="n"/>
      <c r="BF495" s="3" t="n"/>
      <c r="BG495" s="3" t="n"/>
      <c r="BH495" s="3" t="n"/>
      <c r="BI495" s="3" t="n"/>
      <c r="BJ495" s="3" t="n"/>
      <c r="BK495" s="3" t="n"/>
      <c r="BL495" s="3" t="n"/>
      <c r="BM495" s="3" t="n"/>
      <c r="BN495" s="3" t="n"/>
      <c r="BO495" s="3" t="n"/>
      <c r="BP495" s="3" t="n">
        <v>4.18044137954712</v>
      </c>
      <c r="BQ495" s="3" t="n"/>
      <c r="BR495" s="34" t="str">
        <f>B495&amp;"|"&amp;D495</f>
        <v>SXM|SE.XPD.TOTL.GD.ZS</v>
      </c>
    </row>
    <row r="496">
      <c r="A496" s="3" t="inlineStr">
        <is>
          <t>Seychelles</t>
        </is>
      </c>
      <c r="B496" s="3" t="inlineStr">
        <is>
          <t>SYC</t>
        </is>
      </c>
      <c r="C496" s="3" t="inlineStr">
        <is>
          <t>Government expenditure on education, total (% of GDP)</t>
        </is>
      </c>
      <c r="D496" s="3" t="inlineStr">
        <is>
          <t>SE.XPD.TOTL.GD.ZS</t>
        </is>
      </c>
      <c r="E496" s="3" t="n">
        <v>2022</v>
      </c>
      <c r="F496" s="3" t="n"/>
      <c r="G496" s="3" t="n"/>
      <c r="H496" s="3" t="n"/>
      <c r="I496" s="3" t="n"/>
      <c r="J496" s="3" t="n"/>
      <c r="K496" s="3" t="n"/>
      <c r="L496" s="3" t="n"/>
      <c r="M496" s="3" t="n"/>
      <c r="N496" s="3" t="n"/>
      <c r="O496" s="3" t="n"/>
      <c r="P496" s="3" t="n">
        <v>4.18847990036011</v>
      </c>
      <c r="Q496" s="3" t="n">
        <v>4.06639003753662</v>
      </c>
      <c r="R496" s="3" t="n">
        <v>4.24694013595581</v>
      </c>
      <c r="S496" s="3" t="n"/>
      <c r="T496" s="3" t="n">
        <v>4.28332996368408</v>
      </c>
      <c r="U496" s="3" t="n">
        <v>4.34501981735229</v>
      </c>
      <c r="V496" s="3" t="n">
        <v>4.7459602355957</v>
      </c>
      <c r="W496" s="3" t="n"/>
      <c r="X496" s="3" t="n"/>
      <c r="Y496" s="3" t="n"/>
      <c r="Z496" s="3" t="n"/>
      <c r="AA496" s="3" t="n"/>
      <c r="AB496" s="3" t="n"/>
      <c r="AC496" s="3" t="n"/>
      <c r="AD496" s="3" t="n">
        <v>11.3056898117065</v>
      </c>
      <c r="AE496" s="3" t="n">
        <v>9.617790222167971</v>
      </c>
      <c r="AF496" s="3" t="n">
        <v>9.129570007324221</v>
      </c>
      <c r="AG496" s="3" t="n"/>
      <c r="AH496" s="3" t="n">
        <v>7.79334020614624</v>
      </c>
      <c r="AI496" s="3" t="n">
        <v>7.73472023010254</v>
      </c>
      <c r="AJ496" s="3" t="n"/>
      <c r="AK496" s="3" t="n"/>
      <c r="AL496" s="3" t="n"/>
      <c r="AM496" s="3" t="n"/>
      <c r="AN496" s="3" t="n">
        <v>8.47928047180176</v>
      </c>
      <c r="AO496" s="3" t="n">
        <v>7.24050998687744</v>
      </c>
      <c r="AP496" s="3" t="n">
        <v>7.31149005889893</v>
      </c>
      <c r="AQ496" s="3" t="n"/>
      <c r="AR496" s="3" t="n">
        <v>5.63179016113281</v>
      </c>
      <c r="AS496" s="3" t="n">
        <v>4.94468021392822</v>
      </c>
      <c r="AT496" s="3" t="n">
        <v>3.97916483879089</v>
      </c>
      <c r="AU496" s="3" t="n"/>
      <c r="AV496" s="3" t="n">
        <v>4.88109016418457</v>
      </c>
      <c r="AW496" s="3" t="n">
        <v>5.05177021026611</v>
      </c>
      <c r="AX496" s="3" t="n"/>
      <c r="AY496" s="3" t="n"/>
      <c r="AZ496" s="3" t="n">
        <v>4.48331022262573</v>
      </c>
      <c r="BA496" s="3" t="n">
        <v>4.06658267974854</v>
      </c>
      <c r="BB496" s="3" t="n"/>
      <c r="BC496" s="3" t="n"/>
      <c r="BD496" s="3" t="n">
        <v>3.54826331138611</v>
      </c>
      <c r="BE496" s="3" t="n">
        <v>3.62995004653931</v>
      </c>
      <c r="BF496" s="3" t="n">
        <v>2.54216003417969</v>
      </c>
      <c r="BG496" s="3" t="n">
        <v>3.61840009689331</v>
      </c>
      <c r="BH496" s="3" t="n">
        <v>3.95247006416321</v>
      </c>
      <c r="BI496" s="3" t="n">
        <v>4.91460990905762</v>
      </c>
      <c r="BJ496" s="3" t="n">
        <v>4.0213098526001</v>
      </c>
      <c r="BK496" s="3" t="n">
        <v>4.23536539077759</v>
      </c>
      <c r="BL496" s="3" t="n">
        <v>4.35177803039551</v>
      </c>
      <c r="BM496" s="3" t="n">
        <v>4.05055141448975</v>
      </c>
      <c r="BN496" s="3" t="n">
        <v>4.89120054244995</v>
      </c>
      <c r="BO496" s="3" t="n">
        <v>5.62358999252319</v>
      </c>
      <c r="BP496" s="3" t="n">
        <v>4.74013519287109</v>
      </c>
      <c r="BQ496" s="3" t="n"/>
      <c r="BR496" s="34" t="str">
        <f>B496&amp;"|"&amp;D496</f>
        <v>SYC|SE.XPD.TOTL.GD.ZS</v>
      </c>
    </row>
    <row r="497">
      <c r="A497" s="3" t="inlineStr">
        <is>
          <t>Syrian Arab Republic</t>
        </is>
      </c>
      <c r="B497" s="3" t="inlineStr">
        <is>
          <t>SYR</t>
        </is>
      </c>
      <c r="C497" s="3" t="inlineStr">
        <is>
          <t>Government expenditure on education, total (% of GDP)</t>
        </is>
      </c>
      <c r="D497" s="3" t="inlineStr">
        <is>
          <t>SE.XPD.TOTL.GD.ZS</t>
        </is>
      </c>
      <c r="E497" s="3" t="n">
        <v>2009</v>
      </c>
      <c r="F497" s="3" t="n"/>
      <c r="G497" s="3" t="n"/>
      <c r="H497" s="3" t="n"/>
      <c r="I497" s="3" t="n"/>
      <c r="J497" s="3" t="n"/>
      <c r="K497" s="3" t="n"/>
      <c r="L497" s="3" t="n"/>
      <c r="M497" s="3" t="n"/>
      <c r="N497" s="3" t="n"/>
      <c r="O497" s="3" t="n"/>
      <c r="P497" s="3" t="n"/>
      <c r="Q497" s="3" t="n"/>
      <c r="R497" s="3" t="n">
        <v>3.5835599899292</v>
      </c>
      <c r="S497" s="3" t="n">
        <v>3.68990993499756</v>
      </c>
      <c r="T497" s="3" t="n"/>
      <c r="U497" s="3" t="n">
        <v>3.93450999259949</v>
      </c>
      <c r="V497" s="3" t="n">
        <v>5.83145999908447</v>
      </c>
      <c r="W497" s="3" t="n">
        <v>5.71441984176636</v>
      </c>
      <c r="X497" s="3" t="n">
        <v>5.51425981521606</v>
      </c>
      <c r="Y497" s="3" t="n">
        <v>4.96616983413696</v>
      </c>
      <c r="Z497" s="3" t="n">
        <v>4.57553005218506</v>
      </c>
      <c r="AA497" s="3" t="n">
        <v>5.38392019271851</v>
      </c>
      <c r="AB497" s="3" t="n">
        <v>5.89761018753052</v>
      </c>
      <c r="AC497" s="3" t="n"/>
      <c r="AD497" s="3" t="n">
        <v>6.13389015197754</v>
      </c>
      <c r="AE497" s="3" t="n">
        <v>6.07004976272583</v>
      </c>
      <c r="AF497" s="3" t="n">
        <v>5.62294006347656</v>
      </c>
      <c r="AG497" s="3" t="n">
        <v>4.56184005737305</v>
      </c>
      <c r="AH497" s="3" t="n">
        <v>3.61585998535156</v>
      </c>
      <c r="AI497" s="3" t="n">
        <v>4.03414011001587</v>
      </c>
      <c r="AJ497" s="3" t="n"/>
      <c r="AK497" s="3" t="n"/>
      <c r="AL497" s="3" t="n"/>
      <c r="AM497" s="3" t="n"/>
      <c r="AN497" s="3" t="n"/>
      <c r="AO497" s="3" t="n"/>
      <c r="AP497" s="3" t="n">
        <v>3.699049949646</v>
      </c>
      <c r="AQ497" s="3" t="n"/>
      <c r="AR497" s="3" t="n"/>
      <c r="AS497" s="3" t="n"/>
      <c r="AT497" s="3" t="n"/>
      <c r="AU497" s="3" t="n">
        <v>4.54640007019043</v>
      </c>
      <c r="AV497" s="3" t="n">
        <v>5.26984977722168</v>
      </c>
      <c r="AW497" s="3" t="n">
        <v>6.48084020614624</v>
      </c>
      <c r="AX497" s="3" t="n">
        <v>5.37147998809814</v>
      </c>
      <c r="AY497" s="3" t="n"/>
      <c r="AZ497" s="3" t="n">
        <v>5.27965021133423</v>
      </c>
      <c r="BA497" s="3" t="n">
        <v>4.86470985412598</v>
      </c>
      <c r="BB497" s="3" t="n">
        <v>4.59525012969971</v>
      </c>
      <c r="BC497" s="3" t="n">
        <v>5.13013982772827</v>
      </c>
      <c r="BD497" s="3" t="n"/>
      <c r="BE497" s="3" t="n"/>
      <c r="BF497" s="3" t="n"/>
      <c r="BG497" s="3" t="n"/>
      <c r="BH497" s="3" t="n"/>
      <c r="BI497" s="3" t="n"/>
      <c r="BJ497" s="3" t="n"/>
      <c r="BK497" s="3" t="n"/>
      <c r="BL497" s="3" t="n"/>
      <c r="BM497" s="3" t="n"/>
      <c r="BN497" s="3" t="n"/>
      <c r="BO497" s="3" t="n"/>
      <c r="BP497" s="3" t="n"/>
      <c r="BQ497" s="3" t="n"/>
      <c r="BR497" s="34" t="str">
        <f>B497&amp;"|"&amp;D497</f>
        <v>SYR|SE.XPD.TOTL.GD.ZS</v>
      </c>
    </row>
    <row r="498">
      <c r="A498" s="3" t="inlineStr">
        <is>
          <t>Turks and Caicos Islands</t>
        </is>
      </c>
      <c r="B498" s="3" t="inlineStr">
        <is>
          <t>TCA</t>
        </is>
      </c>
      <c r="C498" s="3" t="inlineStr">
        <is>
          <t>Government expenditure on education, total (% of GDP)</t>
        </is>
      </c>
      <c r="D498" s="3" t="inlineStr">
        <is>
          <t>SE.XPD.TOTL.GD.ZS</t>
        </is>
      </c>
      <c r="E498" s="3" t="n">
        <v>2023</v>
      </c>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c r="AD498" s="3" t="n"/>
      <c r="AE498" s="3" t="n"/>
      <c r="AF498" s="3" t="n"/>
      <c r="AG498" s="3" t="n"/>
      <c r="AH498" s="3" t="n"/>
      <c r="AI498" s="3" t="n"/>
      <c r="AJ498" s="3" t="n"/>
      <c r="AK498" s="3" t="n"/>
      <c r="AL498" s="3" t="n"/>
      <c r="AM498" s="3" t="n"/>
      <c r="AN498" s="3" t="n"/>
      <c r="AO498" s="3" t="n"/>
      <c r="AP498" s="3" t="n"/>
      <c r="AQ498" s="3" t="n"/>
      <c r="AR498" s="3" t="n"/>
      <c r="AS498" s="3" t="n"/>
      <c r="AT498" s="3" t="n">
        <v>4.71883010864258</v>
      </c>
      <c r="AU498" s="3" t="n">
        <v>4.84300994873047</v>
      </c>
      <c r="AV498" s="3" t="n">
        <v>5.06913995742798</v>
      </c>
      <c r="AW498" s="3" t="n">
        <v>4.72877979278564</v>
      </c>
      <c r="AX498" s="3" t="n"/>
      <c r="AY498" s="3" t="n">
        <v>2.54099988937378</v>
      </c>
      <c r="AZ498" s="3" t="n"/>
      <c r="BA498" s="3" t="n"/>
      <c r="BB498" s="3" t="n"/>
      <c r="BC498" s="3" t="n"/>
      <c r="BD498" s="3" t="n"/>
      <c r="BE498" s="3" t="n">
        <v>3.36029505729675</v>
      </c>
      <c r="BF498" s="3" t="n">
        <v>2.69146537780762</v>
      </c>
      <c r="BG498" s="3" t="n">
        <v>2.9092276096344</v>
      </c>
      <c r="BH498" s="3" t="n">
        <v>2.74654626846313</v>
      </c>
      <c r="BI498" s="3" t="n">
        <v>2.98526191711426</v>
      </c>
      <c r="BJ498" s="3" t="n">
        <v>2.90744566917419</v>
      </c>
      <c r="BK498" s="3" t="n">
        <v>2.47278213500977</v>
      </c>
      <c r="BL498" s="3" t="n">
        <v>2.86723041534424</v>
      </c>
      <c r="BM498" s="3" t="n">
        <v>3.02971601486206</v>
      </c>
      <c r="BN498" s="3" t="n">
        <v>2.42074680328369</v>
      </c>
      <c r="BO498" s="3" t="n">
        <v>4.10662603378296</v>
      </c>
      <c r="BP498" s="3" t="n">
        <v>4.10991382598877</v>
      </c>
      <c r="BQ498" s="3" t="n">
        <v>3.13524532318115</v>
      </c>
      <c r="BR498" s="34" t="str">
        <f>B498&amp;"|"&amp;D498</f>
        <v>TCA|SE.XPD.TOTL.GD.ZS</v>
      </c>
    </row>
    <row r="499">
      <c r="A499" s="3" t="inlineStr">
        <is>
          <t>Chad</t>
        </is>
      </c>
      <c r="B499" s="3" t="inlineStr">
        <is>
          <t>TCD</t>
        </is>
      </c>
      <c r="C499" s="3" t="inlineStr">
        <is>
          <t>Government expenditure on education, total (% of GDP)</t>
        </is>
      </c>
      <c r="D499" s="3" t="inlineStr">
        <is>
          <t>SE.XPD.TOTL.GD.ZS</t>
        </is>
      </c>
      <c r="E499" s="3" t="n">
        <v>2022</v>
      </c>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c r="AD499" s="3" t="n"/>
      <c r="AE499" s="3" t="n"/>
      <c r="AF499" s="3" t="n"/>
      <c r="AG499" s="3" t="n"/>
      <c r="AH499" s="3" t="n"/>
      <c r="AI499" s="3" t="n"/>
      <c r="AJ499" s="3" t="n"/>
      <c r="AK499" s="3" t="n"/>
      <c r="AL499" s="3" t="n"/>
      <c r="AM499" s="3" t="n"/>
      <c r="AN499" s="3" t="n"/>
      <c r="AO499" s="3" t="n"/>
      <c r="AP499" s="3" t="n"/>
      <c r="AQ499" s="3" t="n">
        <v>2.27335000038147</v>
      </c>
      <c r="AR499" s="3" t="n">
        <v>1.64902997016907</v>
      </c>
      <c r="AS499" s="3" t="n">
        <v>3.22785997390747</v>
      </c>
      <c r="AT499" s="3" t="n">
        <v>2.64670991897583</v>
      </c>
      <c r="AU499" s="3" t="n">
        <v>2.42614006996155</v>
      </c>
      <c r="AV499" s="3" t="n"/>
      <c r="AW499" s="3" t="n"/>
      <c r="AX499" s="3" t="n">
        <v>1.59294998645782</v>
      </c>
      <c r="AY499" s="3" t="n">
        <v>1.69476997852325</v>
      </c>
      <c r="AZ499" s="3" t="n"/>
      <c r="BA499" s="3" t="n"/>
      <c r="BB499" s="3" t="n"/>
      <c r="BC499" s="3" t="n">
        <v>2.31173992156982</v>
      </c>
      <c r="BD499" s="3" t="n">
        <v>1.98194003105164</v>
      </c>
      <c r="BE499" s="3" t="n">
        <v>2.25789999961853</v>
      </c>
      <c r="BF499" s="3" t="n">
        <v>2.20615005493164</v>
      </c>
      <c r="BG499" s="3" t="n">
        <v>2.85070991516113</v>
      </c>
      <c r="BH499" s="3" t="n">
        <v>2.32031226158142</v>
      </c>
      <c r="BI499" s="3" t="n">
        <v>2.3428316116333</v>
      </c>
      <c r="BJ499" s="3" t="n">
        <v>2.38847589492798</v>
      </c>
      <c r="BK499" s="3" t="n">
        <v>2.45481991767883</v>
      </c>
      <c r="BL499" s="3" t="n">
        <v>2.25947499275208</v>
      </c>
      <c r="BM499" s="3" t="n">
        <v>2.37245798110962</v>
      </c>
      <c r="BN499" s="3" t="n">
        <v>2.73960399627686</v>
      </c>
      <c r="BO499" s="3" t="n">
        <v>2.8881299495697</v>
      </c>
      <c r="BP499" s="3" t="n">
        <v>2.53867292404175</v>
      </c>
      <c r="BQ499" s="3" t="n"/>
      <c r="BR499" s="34" t="str">
        <f>B499&amp;"|"&amp;D499</f>
        <v>TCD|SE.XPD.TOTL.GD.ZS</v>
      </c>
    </row>
    <row r="500">
      <c r="A500" s="3" t="inlineStr">
        <is>
          <t>East Asia &amp; Pacific (IDA &amp; IBRD countries)</t>
        </is>
      </c>
      <c r="B500" s="3" t="inlineStr">
        <is>
          <t>TEA</t>
        </is>
      </c>
      <c r="C500" s="3" t="inlineStr">
        <is>
          <t>Government expenditure on education, total (% of GDP)</t>
        </is>
      </c>
      <c r="D500" s="3" t="inlineStr">
        <is>
          <t>SE.XPD.TOTL.GD.ZS</t>
        </is>
      </c>
      <c r="E500" s="3" t="n">
        <v>2023</v>
      </c>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c r="AD500" s="3" t="n"/>
      <c r="AE500" s="3" t="n"/>
      <c r="AF500" s="3" t="n"/>
      <c r="AG500" s="3" t="n"/>
      <c r="AH500" s="3" t="n"/>
      <c r="AI500" s="3" t="n"/>
      <c r="AJ500" s="3" t="n"/>
      <c r="AK500" s="3" t="n"/>
      <c r="AL500" s="3" t="n"/>
      <c r="AM500" s="3" t="n"/>
      <c r="AN500" s="3" t="n"/>
      <c r="AO500" s="3" t="n">
        <v>2.25295501947403</v>
      </c>
      <c r="AP500" s="3" t="n">
        <v>2.686659932136535</v>
      </c>
      <c r="AQ500" s="3" t="n">
        <v>3.513270020484925</v>
      </c>
      <c r="AR500" s="3" t="n"/>
      <c r="AS500" s="3" t="n"/>
      <c r="AT500" s="3" t="n">
        <v>4.208930015563965</v>
      </c>
      <c r="AU500" s="3" t="n">
        <v>2.92463994026184</v>
      </c>
      <c r="AV500" s="3" t="n">
        <v>2.89222002029419</v>
      </c>
      <c r="AW500" s="3" t="n"/>
      <c r="AX500" s="3" t="n">
        <v>2.74847006797791</v>
      </c>
      <c r="AY500" s="3" t="n"/>
      <c r="AZ500" s="3" t="n"/>
      <c r="BA500" s="3" t="n">
        <v>3.06133496761322</v>
      </c>
      <c r="BB500" s="3" t="n">
        <v>3.570144176483155</v>
      </c>
      <c r="BC500" s="3" t="n">
        <v>3.806730985641475</v>
      </c>
      <c r="BD500" s="3" t="n">
        <v>3.55966520309448</v>
      </c>
      <c r="BE500" s="3" t="n">
        <v>3.794723510742185</v>
      </c>
      <c r="BF500" s="3" t="n">
        <v>3.94740355014801</v>
      </c>
      <c r="BG500" s="3" t="n">
        <v>3.97710132598877</v>
      </c>
      <c r="BH500" s="3" t="n">
        <v>3.54012322425842</v>
      </c>
      <c r="BI500" s="3" t="n">
        <v>3.500102281570435</v>
      </c>
      <c r="BJ500" s="3" t="n">
        <v>3.3851774930954</v>
      </c>
      <c r="BK500" s="3" t="n">
        <v>3.441989183425905</v>
      </c>
      <c r="BL500" s="3" t="n">
        <v>3.17135858535767</v>
      </c>
      <c r="BM500" s="3" t="n">
        <v>3.053606271743775</v>
      </c>
      <c r="BN500" s="3" t="n">
        <v>3.21652889251709</v>
      </c>
      <c r="BO500" s="3" t="n">
        <v>2.98212432861328</v>
      </c>
      <c r="BP500" s="3" t="n">
        <v>2.88738679885864</v>
      </c>
      <c r="BQ500" s="3" t="n">
        <v>2.95115232467651</v>
      </c>
      <c r="BR500" s="34" t="str">
        <f>B500&amp;"|"&amp;D500</f>
        <v>TEA|SE.XPD.TOTL.GD.ZS</v>
      </c>
    </row>
    <row r="501">
      <c r="A501" s="3" t="inlineStr">
        <is>
          <t>Europe &amp; Central Asia (IDA &amp; IBRD countries)</t>
        </is>
      </c>
      <c r="B501" s="3" t="inlineStr">
        <is>
          <t>TEC</t>
        </is>
      </c>
      <c r="C501" s="3" t="inlineStr">
        <is>
          <t>Government expenditure on education, total (% of GDP)</t>
        </is>
      </c>
      <c r="D501" s="3" t="inlineStr">
        <is>
          <t>SE.XPD.TOTL.GD.ZS</t>
        </is>
      </c>
      <c r="E501" s="3" t="n">
        <v>2022</v>
      </c>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c r="AD501" s="3" t="n"/>
      <c r="AE501" s="3" t="n"/>
      <c r="AF501" s="3" t="n"/>
      <c r="AG501" s="3" t="n"/>
      <c r="AH501" s="3" t="n"/>
      <c r="AI501" s="3" t="n"/>
      <c r="AJ501" s="3" t="n"/>
      <c r="AK501" s="3" t="n"/>
      <c r="AL501" s="3" t="n"/>
      <c r="AM501" s="3" t="n"/>
      <c r="AN501" s="3" t="n"/>
      <c r="AO501" s="3" t="n"/>
      <c r="AP501" s="3" t="n">
        <v>3.51256990432739</v>
      </c>
      <c r="AQ501" s="3" t="n"/>
      <c r="AR501" s="3" t="n"/>
      <c r="AS501" s="3" t="n">
        <v>3.89257001876831</v>
      </c>
      <c r="AT501" s="3" t="n">
        <v>3.50838994979858</v>
      </c>
      <c r="AU501" s="3" t="n">
        <v>3.421469926834105</v>
      </c>
      <c r="AV501" s="3" t="n">
        <v>3.38608002662659</v>
      </c>
      <c r="AW501" s="3" t="n">
        <v>3.67853999137878</v>
      </c>
      <c r="AX501" s="3" t="n">
        <v>3.54786992073059</v>
      </c>
      <c r="AY501" s="3" t="n">
        <v>3.77192997932434</v>
      </c>
      <c r="AZ501" s="3" t="n">
        <v>3.90346002578735</v>
      </c>
      <c r="BA501" s="3" t="n">
        <v>3.96751999855042</v>
      </c>
      <c r="BB501" s="3" t="n">
        <v>4.10174989700317</v>
      </c>
      <c r="BC501" s="3" t="n">
        <v>4.321614980697635</v>
      </c>
      <c r="BD501" s="3" t="n">
        <v>3.85746002197266</v>
      </c>
      <c r="BE501" s="3" t="n">
        <v>4.02476501464844</v>
      </c>
      <c r="BF501" s="3" t="n">
        <v>3.90163707733154</v>
      </c>
      <c r="BG501" s="3" t="n">
        <v>4.34481000900269</v>
      </c>
      <c r="BH501" s="3" t="n">
        <v>4.241316556930546</v>
      </c>
      <c r="BI501" s="3" t="n">
        <v>4.108792185783384</v>
      </c>
      <c r="BJ501" s="3" t="n">
        <v>4.26451015472412</v>
      </c>
      <c r="BK501" s="3" t="n">
        <v>4.07755994796753</v>
      </c>
      <c r="BL501" s="3" t="n">
        <v>4.04709005355835</v>
      </c>
      <c r="BM501" s="3" t="n">
        <v>3.982289910316465</v>
      </c>
      <c r="BN501" s="3" t="n">
        <v>4.38901996612549</v>
      </c>
      <c r="BO501" s="3" t="n">
        <v>4.096445083618165</v>
      </c>
      <c r="BP501" s="3" t="n">
        <v>4.05402755737305</v>
      </c>
      <c r="BQ501" s="3" t="n"/>
      <c r="BR501" s="34" t="str">
        <f>B501&amp;"|"&amp;D501</f>
        <v>TEC|SE.XPD.TOTL.GD.ZS</v>
      </c>
    </row>
    <row r="502">
      <c r="A502" s="3" t="inlineStr">
        <is>
          <t>Togo</t>
        </is>
      </c>
      <c r="B502" s="3" t="inlineStr">
        <is>
          <t>TGO</t>
        </is>
      </c>
      <c r="C502" s="3" t="inlineStr">
        <is>
          <t>Government expenditure on education, total (% of GDP)</t>
        </is>
      </c>
      <c r="D502" s="3" t="inlineStr">
        <is>
          <t>SE.XPD.TOTL.GD.ZS</t>
        </is>
      </c>
      <c r="E502" s="3" t="n">
        <v>2022</v>
      </c>
      <c r="F502" s="3" t="n"/>
      <c r="G502" s="3" t="n"/>
      <c r="H502" s="3" t="n"/>
      <c r="I502" s="3" t="n"/>
      <c r="J502" s="3" t="n"/>
      <c r="K502" s="3" t="n"/>
      <c r="L502" s="3" t="n"/>
      <c r="M502" s="3" t="n"/>
      <c r="N502" s="3" t="n"/>
      <c r="O502" s="3" t="n"/>
      <c r="P502" s="3" t="n">
        <v>1.49680995941162</v>
      </c>
      <c r="Q502" s="3" t="n"/>
      <c r="R502" s="3" t="n"/>
      <c r="S502" s="3" t="n"/>
      <c r="T502" s="3" t="n"/>
      <c r="U502" s="3" t="n"/>
      <c r="V502" s="3" t="n"/>
      <c r="W502" s="3" t="n"/>
      <c r="X502" s="3" t="n"/>
      <c r="Y502" s="3" t="n">
        <v>4.72959995269775</v>
      </c>
      <c r="Z502" s="3" t="n"/>
      <c r="AA502" s="3" t="n">
        <v>4.16519021987915</v>
      </c>
      <c r="AB502" s="3" t="n"/>
      <c r="AC502" s="3" t="n"/>
      <c r="AD502" s="3" t="n">
        <v>3.81926989555359</v>
      </c>
      <c r="AE502" s="3" t="n"/>
      <c r="AF502" s="3" t="n"/>
      <c r="AG502" s="3" t="n">
        <v>3.34063005447388</v>
      </c>
      <c r="AH502" s="3" t="n"/>
      <c r="AI502" s="3" t="n"/>
      <c r="AJ502" s="3" t="n"/>
      <c r="AK502" s="3" t="n"/>
      <c r="AL502" s="3" t="n">
        <v>4.01865005493164</v>
      </c>
      <c r="AM502" s="3" t="n"/>
      <c r="AN502" s="3" t="n"/>
      <c r="AO502" s="3" t="n"/>
      <c r="AP502" s="3" t="n">
        <v>3.12451004981995</v>
      </c>
      <c r="AQ502" s="3" t="n"/>
      <c r="AR502" s="3" t="n">
        <v>2.82130002975464</v>
      </c>
      <c r="AS502" s="3" t="n">
        <v>2.96396994590759</v>
      </c>
      <c r="AT502" s="3" t="n">
        <v>2.77644991874695</v>
      </c>
      <c r="AU502" s="3" t="n">
        <v>2.66750001907349</v>
      </c>
      <c r="AV502" s="3" t="n">
        <v>2.4695200920105</v>
      </c>
      <c r="AW502" s="3" t="n">
        <v>2.35524988174438</v>
      </c>
      <c r="AX502" s="3" t="n">
        <v>2.20198011398315</v>
      </c>
      <c r="AY502" s="3" t="n">
        <v>2.23748993873596</v>
      </c>
      <c r="AZ502" s="3" t="n">
        <v>2.43237996101379</v>
      </c>
      <c r="BA502" s="3" t="n">
        <v>2.48604011535645</v>
      </c>
      <c r="BB502" s="3" t="n">
        <v>2.38472008705139</v>
      </c>
      <c r="BC502" s="3" t="n">
        <v>2.76807999610901</v>
      </c>
      <c r="BD502" s="3" t="n">
        <v>2.95977997779846</v>
      </c>
      <c r="BE502" s="3" t="n">
        <v>3.07750010490417</v>
      </c>
      <c r="BF502" s="3" t="n">
        <v>3.37651991844177</v>
      </c>
      <c r="BG502" s="3" t="n">
        <v>3.17475008964539</v>
      </c>
      <c r="BH502" s="3" t="n">
        <v>3.4237699508667</v>
      </c>
      <c r="BI502" s="3" t="n">
        <v>3.71097993850708</v>
      </c>
      <c r="BJ502" s="3" t="n">
        <v>3.6624801158905</v>
      </c>
      <c r="BK502" s="3" t="n">
        <v>3.76526999473572</v>
      </c>
      <c r="BL502" s="3" t="n">
        <v>4.09162998199463</v>
      </c>
      <c r="BM502" s="3" t="n">
        <v>4.20166826248169</v>
      </c>
      <c r="BN502" s="3" t="n">
        <v>4.09133672714233</v>
      </c>
      <c r="BO502" s="3" t="n">
        <v>4.23118162155151</v>
      </c>
      <c r="BP502" s="3" t="n">
        <v>3.79811930656433</v>
      </c>
      <c r="BQ502" s="3" t="n"/>
      <c r="BR502" s="34" t="str">
        <f>B502&amp;"|"&amp;D502</f>
        <v>TGO|SE.XPD.TOTL.GD.ZS</v>
      </c>
    </row>
    <row r="503">
      <c r="A503" s="3" t="inlineStr">
        <is>
          <t>Thailand</t>
        </is>
      </c>
      <c r="B503" s="3" t="inlineStr">
        <is>
          <t>THA</t>
        </is>
      </c>
      <c r="C503" s="3" t="inlineStr">
        <is>
          <t>Government expenditure on education, total (% of GDP)</t>
        </is>
      </c>
      <c r="D503" s="3" t="inlineStr">
        <is>
          <t>SE.XPD.TOTL.GD.ZS</t>
        </is>
      </c>
      <c r="E503" s="3" t="n">
        <v>2023</v>
      </c>
      <c r="F503" s="3" t="n"/>
      <c r="G503" s="3" t="n"/>
      <c r="H503" s="3" t="n"/>
      <c r="I503" s="3" t="n"/>
      <c r="J503" s="3" t="n"/>
      <c r="K503" s="3" t="n"/>
      <c r="L503" s="3" t="n"/>
      <c r="M503" s="3" t="n"/>
      <c r="N503" s="3" t="n"/>
      <c r="O503" s="3" t="n"/>
      <c r="P503" s="3" t="n"/>
      <c r="Q503" s="3" t="n">
        <v>3.06622004508972</v>
      </c>
      <c r="R503" s="3" t="n">
        <v>3.02915000915527</v>
      </c>
      <c r="S503" s="3" t="n">
        <v>2.55425000190735</v>
      </c>
      <c r="T503" s="3" t="n">
        <v>2.14686989784241</v>
      </c>
      <c r="U503" s="3" t="n">
        <v>2.38088011741638</v>
      </c>
      <c r="V503" s="3" t="n">
        <v>3.01672005653381</v>
      </c>
      <c r="W503" s="3" t="n">
        <v>3.21512007713318</v>
      </c>
      <c r="X503" s="3" t="n"/>
      <c r="Y503" s="3" t="n">
        <v>2.84528994560242</v>
      </c>
      <c r="Z503" s="3" t="n">
        <v>2.57453989982605</v>
      </c>
      <c r="AA503" s="3" t="n">
        <v>2.88314008712769</v>
      </c>
      <c r="AB503" s="3" t="n">
        <v>3.27388000488281</v>
      </c>
      <c r="AC503" s="3" t="n">
        <v>3.46387004852295</v>
      </c>
      <c r="AD503" s="3" t="n">
        <v>3.43722009658813</v>
      </c>
      <c r="AE503" s="3" t="n"/>
      <c r="AF503" s="3" t="n">
        <v>3.40797996520996</v>
      </c>
      <c r="AG503" s="3" t="n">
        <v>3.11581993103027</v>
      </c>
      <c r="AH503" s="3" t="n">
        <v>2.75342011451721</v>
      </c>
      <c r="AI503" s="3" t="n">
        <v>2.5024299621582</v>
      </c>
      <c r="AJ503" s="3" t="n"/>
      <c r="AK503" s="3" t="n">
        <v>3.08859992027283</v>
      </c>
      <c r="AL503" s="3" t="n">
        <v>3.04540991783142</v>
      </c>
      <c r="AM503" s="3" t="n"/>
      <c r="AN503" s="3" t="n">
        <v>3.4052300453186</v>
      </c>
      <c r="AO503" s="3" t="n">
        <v>3.14497995376587</v>
      </c>
      <c r="AP503" s="3" t="n">
        <v>3.49960994720459</v>
      </c>
      <c r="AQ503" s="3" t="n">
        <v>4.57718992233276</v>
      </c>
      <c r="AR503" s="3" t="n">
        <v>4.62569999694824</v>
      </c>
      <c r="AS503" s="3" t="n">
        <v>4.83267021179199</v>
      </c>
      <c r="AT503" s="3" t="n">
        <v>5.25345993041992</v>
      </c>
      <c r="AU503" s="3" t="n">
        <v>4.81787014007568</v>
      </c>
      <c r="AV503" s="3" t="n">
        <v>3.86491990089417</v>
      </c>
      <c r="AW503" s="3" t="n">
        <v>3.72561001777649</v>
      </c>
      <c r="AX503" s="3" t="n">
        <v>4.03088998794556</v>
      </c>
      <c r="AY503" s="3" t="n">
        <v>3.93859004974365</v>
      </c>
      <c r="AZ503" s="3" t="n">
        <v>4.05038022994995</v>
      </c>
      <c r="BA503" s="3" t="n">
        <v>3.60314989089966</v>
      </c>
      <c r="BB503" s="3" t="n">
        <v>3.50850009918213</v>
      </c>
      <c r="BC503" s="3" t="n">
        <v>3.86193990707397</v>
      </c>
      <c r="BD503" s="3" t="n">
        <v>3.5084400177002</v>
      </c>
      <c r="BE503" s="3" t="n">
        <v>4.80555009841919</v>
      </c>
      <c r="BF503" s="3" t="n">
        <v>3.59691834449768</v>
      </c>
      <c r="BG503" s="3" t="n">
        <v>3.82439851760864</v>
      </c>
      <c r="BH503" s="3" t="n">
        <v>3.91917753219604</v>
      </c>
      <c r="BI503" s="3" t="n">
        <v>3.86397624015808</v>
      </c>
      <c r="BJ503" s="3" t="n">
        <v>3.76761746406555</v>
      </c>
      <c r="BK503" s="3" t="n">
        <v>3.46532154083252</v>
      </c>
      <c r="BL503" s="3" t="n">
        <v>3.19769406318665</v>
      </c>
      <c r="BM503" s="3" t="n">
        <v>3.02221417427063</v>
      </c>
      <c r="BN503" s="3" t="n">
        <v>3.15314173698425</v>
      </c>
      <c r="BO503" s="3" t="n">
        <v>2.98212432861328</v>
      </c>
      <c r="BP503" s="3" t="n">
        <v>2.61187028884888</v>
      </c>
      <c r="BQ503" s="3" t="n">
        <v>2.52122211456299</v>
      </c>
      <c r="BR503" s="34" t="str">
        <f>B503&amp;"|"&amp;D503</f>
        <v>THA|SE.XPD.TOTL.GD.ZS</v>
      </c>
    </row>
    <row r="504">
      <c r="A504" s="3" t="inlineStr">
        <is>
          <t>Tajikistan</t>
        </is>
      </c>
      <c r="B504" s="3" t="inlineStr">
        <is>
          <t>TJK</t>
        </is>
      </c>
      <c r="C504" s="3" t="inlineStr">
        <is>
          <t>Government expenditure on education, total (% of GDP)</t>
        </is>
      </c>
      <c r="D504" s="3" t="inlineStr">
        <is>
          <t>SE.XPD.TOTL.GD.ZS</t>
        </is>
      </c>
      <c r="E504" s="3" t="n">
        <v>2023</v>
      </c>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c r="AD504" s="3" t="n"/>
      <c r="AE504" s="3" t="n"/>
      <c r="AF504" s="3" t="n"/>
      <c r="AG504" s="3" t="n"/>
      <c r="AH504" s="3" t="n"/>
      <c r="AI504" s="3" t="n"/>
      <c r="AJ504" s="3" t="n"/>
      <c r="AK504" s="3" t="n"/>
      <c r="AL504" s="3" t="n"/>
      <c r="AM504" s="3" t="n">
        <v>8.18558979034424</v>
      </c>
      <c r="AN504" s="3" t="n"/>
      <c r="AO504" s="3" t="n">
        <v>2.06590008735657</v>
      </c>
      <c r="AP504" s="3" t="n">
        <v>2.04345011711121</v>
      </c>
      <c r="AQ504" s="3" t="n"/>
      <c r="AR504" s="3" t="n">
        <v>2.52849006652832</v>
      </c>
      <c r="AS504" s="3" t="n">
        <v>2.07651996612549</v>
      </c>
      <c r="AT504" s="3" t="n">
        <v>2.32871007919312</v>
      </c>
      <c r="AU504" s="3" t="n">
        <v>2.37659001350403</v>
      </c>
      <c r="AV504" s="3" t="n">
        <v>2.77578997612</v>
      </c>
      <c r="AW504" s="3" t="n">
        <v>2.42078995704651</v>
      </c>
      <c r="AX504" s="3" t="n">
        <v>2.77203011512756</v>
      </c>
      <c r="AY504" s="3" t="n">
        <v>3.51213002204895</v>
      </c>
      <c r="AZ504" s="3" t="n">
        <v>3.40350008010864</v>
      </c>
      <c r="BA504" s="3" t="n">
        <v>3.41326999664307</v>
      </c>
      <c r="BB504" s="3" t="n">
        <v>3.45983004570007</v>
      </c>
      <c r="BC504" s="3" t="n">
        <v>4.0983099937439</v>
      </c>
      <c r="BD504" s="3" t="n">
        <v>4.00675010681152</v>
      </c>
      <c r="BE504" s="3" t="n">
        <v>3.93511009216309</v>
      </c>
      <c r="BF504" s="3" t="n">
        <v>4.01803016662598</v>
      </c>
      <c r="BG504" s="3" t="n">
        <v>5.29397630691528</v>
      </c>
      <c r="BH504" s="3" t="n">
        <v>5.59398889541626</v>
      </c>
      <c r="BI504" s="3" t="n">
        <v>4.96774005889893</v>
      </c>
      <c r="BJ504" s="3" t="n">
        <v>5.73094129562378</v>
      </c>
      <c r="BK504" s="3" t="n">
        <v>5.54471778869629</v>
      </c>
      <c r="BL504" s="3" t="n">
        <v>5.38508749008179</v>
      </c>
      <c r="BM504" s="3" t="n">
        <v>5.48427629470825</v>
      </c>
      <c r="BN504" s="3" t="n">
        <v>5.73725271224976</v>
      </c>
      <c r="BO504" s="3" t="n">
        <v>5.70163345336914</v>
      </c>
      <c r="BP504" s="3" t="n">
        <v>5.71509790420532</v>
      </c>
      <c r="BQ504" s="3" t="n">
        <v>5.81054592132568</v>
      </c>
      <c r="BR504" s="34" t="str">
        <f>B504&amp;"|"&amp;D504</f>
        <v>TJK|SE.XPD.TOTL.GD.ZS</v>
      </c>
    </row>
    <row r="505">
      <c r="A505" s="3" t="inlineStr">
        <is>
          <t>Turkmenistan</t>
        </is>
      </c>
      <c r="B505" s="3" t="inlineStr">
        <is>
          <t>TKM</t>
        </is>
      </c>
      <c r="C505" s="3" t="inlineStr">
        <is>
          <t>Government expenditure on education, total (% of GDP)</t>
        </is>
      </c>
      <c r="D505" s="3" t="inlineStr">
        <is>
          <t>SE.XPD.TOTL.GD.ZS</t>
        </is>
      </c>
      <c r="E505" s="3" t="n">
        <v>2023</v>
      </c>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c r="AD505" s="3" t="n"/>
      <c r="AE505" s="3" t="n"/>
      <c r="AF505" s="3" t="n"/>
      <c r="AG505" s="3" t="n"/>
      <c r="AH505" s="3" t="n"/>
      <c r="AI505" s="3" t="n"/>
      <c r="AJ505" s="3" t="n"/>
      <c r="AK505" s="3" t="n"/>
      <c r="AL505" s="3" t="n"/>
      <c r="AM505" s="3" t="n"/>
      <c r="AN505" s="3" t="n"/>
      <c r="AO505" s="3" t="n"/>
      <c r="AP505" s="3" t="n"/>
      <c r="AQ505" s="3" t="n"/>
      <c r="AR505" s="3" t="n"/>
      <c r="AS505" s="3" t="n"/>
      <c r="AT505" s="3" t="n"/>
      <c r="AU505" s="3" t="n"/>
      <c r="AV505" s="3" t="n"/>
      <c r="AW505" s="3" t="n"/>
      <c r="AX505" s="3" t="n"/>
      <c r="AY505" s="3" t="n"/>
      <c r="AZ505" s="3" t="n"/>
      <c r="BA505" s="3" t="n"/>
      <c r="BB505" s="3" t="n"/>
      <c r="BC505" s="3" t="n"/>
      <c r="BD505" s="3" t="n"/>
      <c r="BE505" s="3" t="n"/>
      <c r="BF505" s="3" t="n">
        <v>3.04924988746643</v>
      </c>
      <c r="BG505" s="3" t="n"/>
      <c r="BH505" s="3" t="n"/>
      <c r="BI505" s="3" t="n"/>
      <c r="BJ505" s="3" t="n"/>
      <c r="BK505" s="3" t="n"/>
      <c r="BL505" s="3" t="n"/>
      <c r="BM505" s="3" t="n">
        <v>3.12054991722107</v>
      </c>
      <c r="BN505" s="3" t="n">
        <v>3.76267004013062</v>
      </c>
      <c r="BO505" s="3" t="n">
        <v>3.8489100933075</v>
      </c>
      <c r="BP505" s="3" t="n">
        <v>3.73386001586914</v>
      </c>
      <c r="BQ505" s="3" t="n">
        <v>2.74651002883911</v>
      </c>
      <c r="BR505" s="34" t="str">
        <f>B505&amp;"|"&amp;D505</f>
        <v>TKM|SE.XPD.TOTL.GD.ZS</v>
      </c>
    </row>
    <row r="506">
      <c r="A506" s="3" t="inlineStr">
        <is>
          <t>Latin America &amp; the Caribbean (IDA &amp; IBRD countries)</t>
        </is>
      </c>
      <c r="B506" s="3" t="inlineStr">
        <is>
          <t>TLA</t>
        </is>
      </c>
      <c r="C506" s="3" t="inlineStr">
        <is>
          <t>Government expenditure on education, total (% of GDP)</t>
        </is>
      </c>
      <c r="D506" s="3" t="inlineStr">
        <is>
          <t>SE.XPD.TOTL.GD.ZS</t>
        </is>
      </c>
      <c r="E506" s="3" t="n">
        <v>2022</v>
      </c>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c r="AD506" s="3" t="n"/>
      <c r="AE506" s="3" t="n"/>
      <c r="AF506" s="3" t="n"/>
      <c r="AG506" s="3" t="n"/>
      <c r="AH506" s="3" t="n"/>
      <c r="AI506" s="3" t="n"/>
      <c r="AJ506" s="3" t="n"/>
      <c r="AK506" s="3" t="n"/>
      <c r="AL506" s="3" t="n"/>
      <c r="AM506" s="3" t="n"/>
      <c r="AN506" s="3" t="n"/>
      <c r="AO506" s="3" t="n">
        <v>2.985085010528565</v>
      </c>
      <c r="AP506" s="3" t="n"/>
      <c r="AQ506" s="3" t="n"/>
      <c r="AR506" s="3" t="n">
        <v>3.22827994823456</v>
      </c>
      <c r="AS506" s="3" t="n">
        <v>3.7083899974823</v>
      </c>
      <c r="AT506" s="3" t="n">
        <v>3.63414001464844</v>
      </c>
      <c r="AU506" s="3" t="n">
        <v>3.8391250371933</v>
      </c>
      <c r="AV506" s="3" t="n">
        <v>3.75037002563477</v>
      </c>
      <c r="AW506" s="3" t="n">
        <v>3.45890498161316</v>
      </c>
      <c r="AX506" s="3" t="n">
        <v>3.5786600112915</v>
      </c>
      <c r="AY506" s="3" t="n"/>
      <c r="AZ506" s="3" t="n">
        <v>3.66905999183655</v>
      </c>
      <c r="BA506" s="3" t="n">
        <v>3.62732005119324</v>
      </c>
      <c r="BB506" s="3" t="n">
        <v>4.60609006881714</v>
      </c>
      <c r="BC506" s="3" t="n">
        <v>5.46355009078979</v>
      </c>
      <c r="BD506" s="3" t="n">
        <v>4.48424005508423</v>
      </c>
      <c r="BE506" s="3" t="n">
        <v>4.105550050735475</v>
      </c>
      <c r="BF506" s="3" t="n">
        <v>4.768290042877195</v>
      </c>
      <c r="BG506" s="3" t="n">
        <v>4.52836012840271</v>
      </c>
      <c r="BH506" s="3" t="n">
        <v>4.26735019683838</v>
      </c>
      <c r="BI506" s="3" t="n">
        <v>4.45339345932007</v>
      </c>
      <c r="BJ506" s="3" t="n">
        <v>4.36274814605713</v>
      </c>
      <c r="BK506" s="3" t="n">
        <v>4.39752006530762</v>
      </c>
      <c r="BL506" s="3" t="n">
        <v>4.13945007324219</v>
      </c>
      <c r="BM506" s="3" t="n">
        <v>4.422849893569945</v>
      </c>
      <c r="BN506" s="3" t="n">
        <v>4.51769828796387</v>
      </c>
      <c r="BO506" s="3" t="n">
        <v>4.08665704727173</v>
      </c>
      <c r="BP506" s="3" t="n">
        <v>3.79476308822632</v>
      </c>
      <c r="BQ506" s="3" t="n"/>
      <c r="BR506" s="34" t="str">
        <f>B506&amp;"|"&amp;D506</f>
        <v>TLA|SE.XPD.TOTL.GD.ZS</v>
      </c>
    </row>
    <row r="507">
      <c r="A507" s="3" t="inlineStr">
        <is>
          <t>Timor-Leste</t>
        </is>
      </c>
      <c r="B507" s="3" t="inlineStr">
        <is>
          <t>TLS</t>
        </is>
      </c>
      <c r="C507" s="3" t="inlineStr">
        <is>
          <t>Government expenditure on education, total (% of GDP)</t>
        </is>
      </c>
      <c r="D507" s="3" t="inlineStr">
        <is>
          <t>SE.XPD.TOTL.GD.ZS</t>
        </is>
      </c>
      <c r="E507" s="3" t="n">
        <v>2021</v>
      </c>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c r="AD507" s="3" t="n"/>
      <c r="AE507" s="3" t="n"/>
      <c r="AF507" s="3" t="n"/>
      <c r="AG507" s="3" t="n"/>
      <c r="AH507" s="3" t="n"/>
      <c r="AI507" s="3" t="n"/>
      <c r="AJ507" s="3" t="n"/>
      <c r="AK507" s="3" t="n"/>
      <c r="AL507" s="3" t="n"/>
      <c r="AM507" s="3" t="n"/>
      <c r="AN507" s="3" t="n"/>
      <c r="AO507" s="3" t="n"/>
      <c r="AP507" s="3" t="n"/>
      <c r="AQ507" s="3" t="n"/>
      <c r="AR507" s="3" t="n"/>
      <c r="AS507" s="3" t="n"/>
      <c r="AT507" s="3" t="n"/>
      <c r="AU507" s="3" t="n"/>
      <c r="AV507" s="3" t="n"/>
      <c r="AW507" s="3" t="n"/>
      <c r="AX507" s="3" t="n"/>
      <c r="AY507" s="3" t="n"/>
      <c r="AZ507" s="3" t="n"/>
      <c r="BA507" s="3" t="n"/>
      <c r="BB507" s="3" t="n">
        <v>8.670149803161619</v>
      </c>
      <c r="BC507" s="3" t="n">
        <v>12.9024801254272</v>
      </c>
      <c r="BD507" s="3" t="n">
        <v>11.1065797805786</v>
      </c>
      <c r="BE507" s="3" t="n">
        <v>10.1935195922852</v>
      </c>
      <c r="BF507" s="3" t="n">
        <v>7.16572332382202</v>
      </c>
      <c r="BG507" s="3" t="n">
        <v>5.68055725097656</v>
      </c>
      <c r="BH507" s="3" t="n">
        <v>7.65890455245972</v>
      </c>
      <c r="BI507" s="3" t="n">
        <v>6.29249811172485</v>
      </c>
      <c r="BJ507" s="3" t="n">
        <v>6.0120096206665</v>
      </c>
      <c r="BK507" s="3" t="n">
        <v>5.20052242279053</v>
      </c>
      <c r="BL507" s="3" t="n">
        <v>4.87440967559814</v>
      </c>
      <c r="BM507" s="3" t="n">
        <v>4.17968893051147</v>
      </c>
      <c r="BN507" s="3" t="n">
        <v>3.65287351608276</v>
      </c>
      <c r="BO507" s="3" t="n">
        <v>2.9738941192627</v>
      </c>
      <c r="BP507" s="3" t="n"/>
      <c r="BQ507" s="3" t="n"/>
      <c r="BR507" s="34" t="str">
        <f>B507&amp;"|"&amp;D507</f>
        <v>TLS|SE.XPD.TOTL.GD.ZS</v>
      </c>
    </row>
    <row r="508">
      <c r="A508" s="3" t="inlineStr">
        <is>
          <t>Middle East &amp; North Africa (IDA &amp; IBRD countries)</t>
        </is>
      </c>
      <c r="B508" s="3" t="inlineStr">
        <is>
          <t>TMN</t>
        </is>
      </c>
      <c r="C508" s="3" t="inlineStr">
        <is>
          <t>Government expenditure on education, total (% of GDP)</t>
        </is>
      </c>
      <c r="D508" s="3" t="inlineStr">
        <is>
          <t>SE.XPD.TOTL.GD.ZS</t>
        </is>
      </c>
      <c r="E508" s="3" t="n">
        <v>2019</v>
      </c>
      <c r="F508" s="3" t="n"/>
      <c r="G508" s="3" t="n"/>
      <c r="H508" s="3" t="n"/>
      <c r="I508" s="3" t="n"/>
      <c r="J508" s="3" t="n"/>
      <c r="K508" s="3" t="n"/>
      <c r="L508" s="3" t="n"/>
      <c r="M508" s="3" t="n"/>
      <c r="N508" s="3" t="n"/>
      <c r="O508" s="3" t="n"/>
      <c r="P508" s="3" t="n"/>
      <c r="Q508" s="3" t="n"/>
      <c r="R508" s="3" t="n"/>
      <c r="S508" s="3" t="n"/>
      <c r="T508" s="3" t="n"/>
      <c r="U508" s="3" t="n"/>
      <c r="V508" s="3" t="n"/>
      <c r="W508" s="3" t="n">
        <v>4.54958009719849</v>
      </c>
      <c r="X508" s="3" t="n"/>
      <c r="Y508" s="3" t="n"/>
      <c r="Z508" s="3" t="n">
        <v>4.840194940567015</v>
      </c>
      <c r="AA508" s="3" t="n"/>
      <c r="AB508" s="3" t="n">
        <v>5.705175161361695</v>
      </c>
      <c r="AC508" s="3" t="n"/>
      <c r="AD508" s="3" t="n"/>
      <c r="AE508" s="3" t="n"/>
      <c r="AF508" s="3" t="n"/>
      <c r="AG508" s="3" t="n"/>
      <c r="AH508" s="3" t="n"/>
      <c r="AI508" s="3" t="n">
        <v>4.317100048065186</v>
      </c>
      <c r="AJ508" s="3" t="n"/>
      <c r="AK508" s="3" t="n"/>
      <c r="AL508" s="3" t="n"/>
      <c r="AM508" s="3" t="n"/>
      <c r="AN508" s="3" t="n"/>
      <c r="AO508" s="3" t="n"/>
      <c r="AP508" s="3" t="n">
        <v>4.185309886932375</v>
      </c>
      <c r="AQ508" s="3" t="n"/>
      <c r="AR508" s="3" t="n"/>
      <c r="AS508" s="3" t="n"/>
      <c r="AT508" s="3" t="n"/>
      <c r="AU508" s="3" t="n"/>
      <c r="AV508" s="3" t="n">
        <v>5.032866716384889</v>
      </c>
      <c r="AW508" s="3" t="n"/>
      <c r="AX508" s="3" t="n">
        <v>5.021100044250485</v>
      </c>
      <c r="AY508" s="3" t="n"/>
      <c r="AZ508" s="3" t="n">
        <v>4.71720290184021</v>
      </c>
      <c r="BA508" s="3" t="n">
        <v>4.730759859085085</v>
      </c>
      <c r="BB508" s="3" t="n">
        <v>4.35333514213562</v>
      </c>
      <c r="BC508" s="3" t="n">
        <v>4.83119010925293</v>
      </c>
      <c r="BD508" s="3" t="n"/>
      <c r="BE508" s="3" t="n"/>
      <c r="BF508" s="3" t="n">
        <v>5.46478986740112</v>
      </c>
      <c r="BG508" s="3" t="n"/>
      <c r="BH508" s="3" t="n"/>
      <c r="BI508" s="3" t="n">
        <v>4.532108545303345</v>
      </c>
      <c r="BJ508" s="3" t="n">
        <v>3.68754005432129</v>
      </c>
      <c r="BK508" s="3" t="n">
        <v>3.59650993347168</v>
      </c>
      <c r="BL508" s="3" t="n">
        <v>3.68561005592346</v>
      </c>
      <c r="BM508" s="3" t="n">
        <v>4.12165343761444</v>
      </c>
      <c r="BN508" s="3" t="n"/>
      <c r="BO508" s="3" t="n"/>
      <c r="BP508" s="3" t="n"/>
      <c r="BQ508" s="3" t="n"/>
      <c r="BR508" s="34" t="str">
        <f>B508&amp;"|"&amp;D508</f>
        <v>TMN|SE.XPD.TOTL.GD.ZS</v>
      </c>
    </row>
    <row r="509">
      <c r="A509" s="3" t="inlineStr">
        <is>
          <t>Tonga</t>
        </is>
      </c>
      <c r="B509" s="3" t="inlineStr">
        <is>
          <t>TON</t>
        </is>
      </c>
      <c r="C509" s="3" t="inlineStr">
        <is>
          <t>Government expenditure on education, total (% of GDP)</t>
        </is>
      </c>
      <c r="D509" s="3" t="inlineStr">
        <is>
          <t>SE.XPD.TOTL.GD.ZS</t>
        </is>
      </c>
      <c r="E509" s="3" t="n">
        <v>2023</v>
      </c>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c r="AD509" s="3" t="n">
        <v>10.3465099334717</v>
      </c>
      <c r="AE509" s="3" t="n"/>
      <c r="AF509" s="3" t="n"/>
      <c r="AG509" s="3" t="n"/>
      <c r="AH509" s="3" t="n"/>
      <c r="AI509" s="3" t="n"/>
      <c r="AJ509" s="3" t="n"/>
      <c r="AK509" s="3" t="n"/>
      <c r="AL509" s="3" t="n"/>
      <c r="AM509" s="3" t="n"/>
      <c r="AN509" s="3" t="n"/>
      <c r="AO509" s="3" t="n"/>
      <c r="AP509" s="3" t="n"/>
      <c r="AQ509" s="3" t="n"/>
      <c r="AR509" s="3" t="n">
        <v>5.51712989807129</v>
      </c>
      <c r="AS509" s="3" t="n">
        <v>5.38055992126465</v>
      </c>
      <c r="AT509" s="3" t="n">
        <v>4.87807989120483</v>
      </c>
      <c r="AU509" s="3" t="n">
        <v>4.47756004333496</v>
      </c>
      <c r="AV509" s="3" t="n">
        <v>3.79500007629395</v>
      </c>
      <c r="AW509" s="3" t="n">
        <v>4.15951013565063</v>
      </c>
      <c r="AX509" s="3" t="n">
        <v>3.91376996040344</v>
      </c>
      <c r="AY509" s="3" t="n"/>
      <c r="AZ509" s="3" t="n"/>
      <c r="BA509" s="3" t="n"/>
      <c r="BB509" s="3" t="n"/>
      <c r="BC509" s="3" t="n"/>
      <c r="BD509" s="3" t="n"/>
      <c r="BE509" s="3" t="n"/>
      <c r="BF509" s="3" t="n"/>
      <c r="BG509" s="3" t="n"/>
      <c r="BH509" s="3" t="n"/>
      <c r="BI509" s="3" t="n"/>
      <c r="BJ509" s="3" t="n"/>
      <c r="BK509" s="3" t="n">
        <v>5.05922508239746</v>
      </c>
      <c r="BL509" s="3" t="n">
        <v>4.96945524215698</v>
      </c>
      <c r="BM509" s="3" t="n">
        <v>5.27322959899902</v>
      </c>
      <c r="BN509" s="3" t="n">
        <v>4.86051654815674</v>
      </c>
      <c r="BO509" s="3" t="n">
        <v>4.92703914642334</v>
      </c>
      <c r="BP509" s="3" t="n">
        <v>5.64619207382202</v>
      </c>
      <c r="BQ509" s="3" t="n">
        <v>5.14565324783325</v>
      </c>
      <c r="BR509" s="34" t="str">
        <f>B509&amp;"|"&amp;D509</f>
        <v>TON|SE.XPD.TOTL.GD.ZS</v>
      </c>
    </row>
    <row r="510">
      <c r="A510" s="3" t="inlineStr">
        <is>
          <t>South Asia (IDA &amp; IBRD)</t>
        </is>
      </c>
      <c r="B510" s="3" t="inlineStr">
        <is>
          <t>TSA</t>
        </is>
      </c>
      <c r="C510" s="3" t="inlineStr">
        <is>
          <t>Government expenditure on education, total (% of GDP)</t>
        </is>
      </c>
      <c r="D510" s="3" t="inlineStr">
        <is>
          <t>SE.XPD.TOTL.GD.ZS</t>
        </is>
      </c>
      <c r="E510" s="3" t="n">
        <v>2023</v>
      </c>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v>2.19807004928589</v>
      </c>
      <c r="Z510" s="3" t="n">
        <v>2.13094997406006</v>
      </c>
      <c r="AA510" s="3" t="n">
        <v>1.97245001792908</v>
      </c>
      <c r="AB510" s="3" t="n">
        <v>2.01366996765137</v>
      </c>
      <c r="AC510" s="3" t="n">
        <v>1.99576997756958</v>
      </c>
      <c r="AD510" s="3" t="n">
        <v>2.06984996795654</v>
      </c>
      <c r="AE510" s="3" t="n">
        <v>2.43543004989624</v>
      </c>
      <c r="AF510" s="3" t="n">
        <v>2.67812991142273</v>
      </c>
      <c r="AG510" s="3" t="n">
        <v>2.64433002471924</v>
      </c>
      <c r="AH510" s="3" t="n"/>
      <c r="AI510" s="3" t="n"/>
      <c r="AJ510" s="3" t="n">
        <v>2.41092991828918</v>
      </c>
      <c r="AK510" s="3" t="n">
        <v>2.56676006317139</v>
      </c>
      <c r="AL510" s="3" t="n"/>
      <c r="AM510" s="3" t="n"/>
      <c r="AN510" s="3" t="n"/>
      <c r="AO510" s="3" t="n"/>
      <c r="AP510" s="3" t="n"/>
      <c r="AQ510" s="3" t="n">
        <v>3.02230000495911</v>
      </c>
      <c r="AR510" s="3" t="n">
        <v>3.05141997337341</v>
      </c>
      <c r="AS510" s="3" t="n">
        <v>2.752400040626525</v>
      </c>
      <c r="AT510" s="3" t="n">
        <v>2.55011510848999</v>
      </c>
      <c r="AU510" s="3" t="n"/>
      <c r="AV510" s="3" t="n"/>
      <c r="AW510" s="3" t="n">
        <v>3.11435008049011</v>
      </c>
      <c r="AX510" s="3" t="n">
        <v>2.55604004859924</v>
      </c>
      <c r="AY510" s="3" t="n">
        <v>3.18875002861023</v>
      </c>
      <c r="AZ510" s="3" t="n">
        <v>3.14284992218018</v>
      </c>
      <c r="BA510" s="3" t="n">
        <v>2.87593495845795</v>
      </c>
      <c r="BB510" s="3" t="n">
        <v>3.038905024528505</v>
      </c>
      <c r="BC510" s="3" t="n">
        <v>2.7287050485611</v>
      </c>
      <c r="BD510" s="3" t="n">
        <v>3.377690076828</v>
      </c>
      <c r="BE510" s="3" t="n">
        <v>2.79735493659973</v>
      </c>
      <c r="BF510" s="3" t="n">
        <v>2.325435280799865</v>
      </c>
      <c r="BG510" s="3" t="n">
        <v>2.71983814239502</v>
      </c>
      <c r="BH510" s="3" t="n">
        <v>2.84516704082489</v>
      </c>
      <c r="BI510" s="3" t="n">
        <v>2.820945024490355</v>
      </c>
      <c r="BJ510" s="3" t="n">
        <v>3.353201150894165</v>
      </c>
      <c r="BK510" s="3" t="n">
        <v>3.06104683876038</v>
      </c>
      <c r="BL510" s="3" t="n">
        <v>2.33216953277588</v>
      </c>
      <c r="BM510" s="3" t="n">
        <v>2.85029923915863</v>
      </c>
      <c r="BN510" s="3" t="n">
        <v>2.05718231201172</v>
      </c>
      <c r="BO510" s="3" t="n">
        <v>1.83117997646332</v>
      </c>
      <c r="BP510" s="3" t="n">
        <v>1.97444903850555</v>
      </c>
      <c r="BQ510" s="3" t="n">
        <v>1.848194539546965</v>
      </c>
      <c r="BR510" s="34" t="str">
        <f>B510&amp;"|"&amp;D510</f>
        <v>TSA|SE.XPD.TOTL.GD.ZS</v>
      </c>
    </row>
    <row r="511">
      <c r="A511" s="3" t="inlineStr">
        <is>
          <t>Sub-Saharan Africa (IDA &amp; IBRD countries)</t>
        </is>
      </c>
      <c r="B511" s="3" t="inlineStr">
        <is>
          <t>TSS</t>
        </is>
      </c>
      <c r="C511" s="3" t="inlineStr">
        <is>
          <t>Government expenditure on education, total (% of GDP)</t>
        </is>
      </c>
      <c r="D511" s="3" t="inlineStr">
        <is>
          <t>SE.XPD.TOTL.GD.ZS</t>
        </is>
      </c>
      <c r="E511" s="3" t="n">
        <v>2022</v>
      </c>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c r="AD511" s="3" t="n"/>
      <c r="AE511" s="3" t="n"/>
      <c r="AF511" s="3" t="n"/>
      <c r="AG511" s="3" t="n"/>
      <c r="AH511" s="3" t="n"/>
      <c r="AI511" s="3" t="n"/>
      <c r="AJ511" s="3" t="n"/>
      <c r="AK511" s="3" t="n"/>
      <c r="AL511" s="3" t="n"/>
      <c r="AM511" s="3" t="n"/>
      <c r="AN511" s="3" t="n"/>
      <c r="AO511" s="3" t="n"/>
      <c r="AP511" s="3" t="n"/>
      <c r="AQ511" s="3" t="n"/>
      <c r="AR511" s="3" t="n"/>
      <c r="AS511" s="3" t="n">
        <v>2.96396994590759</v>
      </c>
      <c r="AT511" s="3" t="n">
        <v>2.64609491825104</v>
      </c>
      <c r="AU511" s="3" t="n">
        <v>2.90390992164612</v>
      </c>
      <c r="AV511" s="3" t="n">
        <v>2.8962299823761</v>
      </c>
      <c r="AW511" s="3" t="n"/>
      <c r="AX511" s="3" t="n">
        <v>3.07778000831604</v>
      </c>
      <c r="AY511" s="3" t="n">
        <v>3.3096399307251</v>
      </c>
      <c r="AZ511" s="3" t="n">
        <v>2.92044496536255</v>
      </c>
      <c r="BA511" s="3" t="n"/>
      <c r="BB511" s="3" t="n">
        <v>3.06307005882263</v>
      </c>
      <c r="BC511" s="3" t="n">
        <v>3.13160502910614</v>
      </c>
      <c r="BD511" s="3" t="n">
        <v>3.16229999065399</v>
      </c>
      <c r="BE511" s="3" t="n">
        <v>3.24000000953674</v>
      </c>
      <c r="BF511" s="3" t="n">
        <v>3.41820001602173</v>
      </c>
      <c r="BG511" s="3" t="n">
        <v>3.56775999069214</v>
      </c>
      <c r="BH511" s="3" t="n">
        <v>3.535979986190795</v>
      </c>
      <c r="BI511" s="3" t="n">
        <v>3.64711999893188</v>
      </c>
      <c r="BJ511" s="3" t="n">
        <v>3.1694552898407</v>
      </c>
      <c r="BK511" s="3" t="n">
        <v>3.73654007911682</v>
      </c>
      <c r="BL511" s="3" t="n">
        <v>3.38626492023468</v>
      </c>
      <c r="BM511" s="3" t="n">
        <v>3.55504989624023</v>
      </c>
      <c r="BN511" s="3" t="n">
        <v>3.8029705286026</v>
      </c>
      <c r="BO511" s="3" t="n">
        <v>3.41949439048767</v>
      </c>
      <c r="BP511" s="3" t="n">
        <v>3.51197004318237</v>
      </c>
      <c r="BQ511" s="3" t="n"/>
      <c r="BR511" s="34" t="str">
        <f>B511&amp;"|"&amp;D511</f>
        <v>TSS|SE.XPD.TOTL.GD.ZS</v>
      </c>
    </row>
    <row r="512">
      <c r="A512" s="3" t="inlineStr">
        <is>
          <t>Trinidad and Tobago</t>
        </is>
      </c>
      <c r="B512" s="3" t="inlineStr">
        <is>
          <t>TTO</t>
        </is>
      </c>
      <c r="C512" s="3" t="inlineStr">
        <is>
          <t>Government expenditure on education, total (% of GDP)</t>
        </is>
      </c>
      <c r="D512" s="3" t="inlineStr">
        <is>
          <t>SE.XPD.TOTL.GD.ZS</t>
        </is>
      </c>
      <c r="E512" s="3" t="n">
        <v>2022</v>
      </c>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v>3.76807999610901</v>
      </c>
      <c r="AA512" s="3" t="n"/>
      <c r="AB512" s="3" t="n">
        <v>5.45739984512329</v>
      </c>
      <c r="AC512" s="3" t="n">
        <v>5.76660013198853</v>
      </c>
      <c r="AD512" s="3" t="n">
        <v>5.87390995025635</v>
      </c>
      <c r="AE512" s="3" t="n">
        <v>5.76774978637695</v>
      </c>
      <c r="AF512" s="3" t="n"/>
      <c r="AG512" s="3" t="n"/>
      <c r="AH512" s="3" t="n"/>
      <c r="AI512" s="3" t="n">
        <v>4.19987010955811</v>
      </c>
      <c r="AJ512" s="3" t="n">
        <v>3.65412998199463</v>
      </c>
      <c r="AK512" s="3" t="n"/>
      <c r="AL512" s="3" t="n"/>
      <c r="AM512" s="3" t="n"/>
      <c r="AN512" s="3" t="n">
        <v>3.43180990219116</v>
      </c>
      <c r="AO512" s="3" t="n">
        <v>3.55854988098145</v>
      </c>
      <c r="AP512" s="3" t="n">
        <v>3.24876999855042</v>
      </c>
      <c r="AQ512" s="3" t="n">
        <v>3.3252100944519</v>
      </c>
      <c r="AR512" s="3" t="n">
        <v>2.43892002105713</v>
      </c>
      <c r="AS512" s="3" t="n">
        <v>2.75611996650696</v>
      </c>
      <c r="AT512" s="3" t="n">
        <v>2.75565004348755</v>
      </c>
      <c r="AU512" s="3" t="n">
        <v>3.06528997421265</v>
      </c>
      <c r="AV512" s="3" t="n">
        <v>3.54300999641418</v>
      </c>
      <c r="AW512" s="3" t="n">
        <v>3.13660001754761</v>
      </c>
      <c r="AX512" s="3" t="n"/>
      <c r="AY512" s="3" t="n"/>
      <c r="AZ512" s="3" t="n"/>
      <c r="BA512" s="3" t="n"/>
      <c r="BB512" s="3" t="n"/>
      <c r="BC512" s="3" t="n"/>
      <c r="BD512" s="3" t="n">
        <v>4.21155452728271</v>
      </c>
      <c r="BE512" s="3" t="n">
        <v>3.85078835487366</v>
      </c>
      <c r="BF512" s="3" t="n">
        <v>3.6819269657135</v>
      </c>
      <c r="BG512" s="3" t="n">
        <v>3.77278661727905</v>
      </c>
      <c r="BH512" s="3" t="n">
        <v>3.61554169654846</v>
      </c>
      <c r="BI512" s="3" t="n">
        <v>4.45339345932007</v>
      </c>
      <c r="BJ512" s="3" t="n">
        <v>4.17230987548828</v>
      </c>
      <c r="BK512" s="3" t="n">
        <v>3.52995157241821</v>
      </c>
      <c r="BL512" s="3" t="n">
        <v>3.64017295837402</v>
      </c>
      <c r="BM512" s="3" t="n">
        <v>3.54284954071045</v>
      </c>
      <c r="BN512" s="3" t="n">
        <v>4.2576699256897</v>
      </c>
      <c r="BO512" s="3" t="n">
        <v>3.00432991981506</v>
      </c>
      <c r="BP512" s="3" t="n">
        <v>2.87970423698425</v>
      </c>
      <c r="BQ512" s="3" t="n"/>
      <c r="BR512" s="34" t="str">
        <f>B512&amp;"|"&amp;D512</f>
        <v>TTO|SE.XPD.TOTL.GD.ZS</v>
      </c>
    </row>
    <row r="513">
      <c r="A513" s="3" t="inlineStr">
        <is>
          <t>Tunisia</t>
        </is>
      </c>
      <c r="B513" s="3" t="inlineStr">
        <is>
          <t>TUN</t>
        </is>
      </c>
      <c r="C513" s="3" t="inlineStr">
        <is>
          <t>Government expenditure on education, total (% of GDP)</t>
        </is>
      </c>
      <c r="D513" s="3" t="inlineStr">
        <is>
          <t>SE.XPD.TOTL.GD.ZS</t>
        </is>
      </c>
      <c r="E513" s="3" t="n">
        <v>2023</v>
      </c>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v>5.2351598739624</v>
      </c>
      <c r="AA513" s="3" t="n">
        <v>4.88935995101929</v>
      </c>
      <c r="AB513" s="3" t="n">
        <v>5.28604984283447</v>
      </c>
      <c r="AC513" s="3" t="n">
        <v>5.4576301574707</v>
      </c>
      <c r="AD513" s="3" t="n">
        <v>5.51744985580444</v>
      </c>
      <c r="AE513" s="3" t="n">
        <v>5.53972005844116</v>
      </c>
      <c r="AF513" s="3" t="n">
        <v>5.87948989868164</v>
      </c>
      <c r="AG513" s="3" t="n"/>
      <c r="AH513" s="3" t="n"/>
      <c r="AI513" s="3" t="n"/>
      <c r="AJ513" s="3" t="n">
        <v>5.79086017608643</v>
      </c>
      <c r="AK513" s="3" t="n">
        <v>6.02747011184692</v>
      </c>
      <c r="AL513" s="3" t="n">
        <v>5.75488996505737</v>
      </c>
      <c r="AM513" s="3" t="n">
        <v>5.98376989364624</v>
      </c>
      <c r="AN513" s="3" t="n">
        <v>6.17646980285645</v>
      </c>
      <c r="AO513" s="3" t="n">
        <v>6.42975997924805</v>
      </c>
      <c r="AP513" s="3" t="n">
        <v>6.2878098487854</v>
      </c>
      <c r="AQ513" s="3" t="n">
        <v>6.67902994155884</v>
      </c>
      <c r="AR513" s="3" t="n"/>
      <c r="AS513" s="3" t="n">
        <v>6.27098989486694</v>
      </c>
      <c r="AT513" s="3" t="n">
        <v>6.20196008682251</v>
      </c>
      <c r="AU513" s="3" t="n">
        <v>6.20184993743896</v>
      </c>
      <c r="AV513" s="3" t="n">
        <v>5.79006004333496</v>
      </c>
      <c r="AW513" s="3" t="n">
        <v>6.81675004959106</v>
      </c>
      <c r="AX513" s="3" t="n">
        <v>6.72078990936279</v>
      </c>
      <c r="AY513" s="3" t="n">
        <v>6.4515700340271</v>
      </c>
      <c r="AZ513" s="3" t="n">
        <v>6.43879985809326</v>
      </c>
      <c r="BA513" s="3" t="n">
        <v>6.46451997756958</v>
      </c>
      <c r="BB513" s="3" t="n">
        <v>6.27157020568848</v>
      </c>
      <c r="BC513" s="3" t="n">
        <v>6.528480052948</v>
      </c>
      <c r="BD513" s="3" t="n">
        <v>5.96306991577148</v>
      </c>
      <c r="BE513" s="3" t="n"/>
      <c r="BF513" s="3" t="n">
        <v>5.95086002349854</v>
      </c>
      <c r="BG513" s="3" t="n"/>
      <c r="BH513" s="3" t="n"/>
      <c r="BI513" s="3" t="n">
        <v>6.22044992446899</v>
      </c>
      <c r="BJ513" s="3" t="n"/>
      <c r="BK513" s="3" t="n"/>
      <c r="BL513" s="3" t="n"/>
      <c r="BM513" s="3" t="n">
        <v>6.1737322807312</v>
      </c>
      <c r="BN513" s="3" t="n">
        <v>7.26507568359375</v>
      </c>
      <c r="BO513" s="3" t="n">
        <v>6.67984676361084</v>
      </c>
      <c r="BP513" s="3" t="n">
        <v>6.8049898147583</v>
      </c>
      <c r="BQ513" s="3" t="n">
        <v>6.73398876190186</v>
      </c>
      <c r="BR513" s="34" t="str">
        <f>B513&amp;"|"&amp;D513</f>
        <v>TUN|SE.XPD.TOTL.GD.ZS</v>
      </c>
    </row>
    <row r="514">
      <c r="A514" s="3" t="inlineStr">
        <is>
          <t>Turkiye</t>
        </is>
      </c>
      <c r="B514" s="3" t="inlineStr">
        <is>
          <t>TUR</t>
        </is>
      </c>
      <c r="C514" s="3" t="inlineStr">
        <is>
          <t>Government expenditure on education, total (% of GDP)</t>
        </is>
      </c>
      <c r="D514" s="3" t="inlineStr">
        <is>
          <t>SE.XPD.TOTL.GD.ZS</t>
        </is>
      </c>
      <c r="E514" s="3" t="n">
        <v>2022</v>
      </c>
      <c r="F514" s="3" t="n"/>
      <c r="G514" s="3" t="n"/>
      <c r="H514" s="3" t="n"/>
      <c r="I514" s="3" t="n"/>
      <c r="J514" s="3" t="n"/>
      <c r="K514" s="3" t="n"/>
      <c r="L514" s="3" t="n"/>
      <c r="M514" s="3" t="n"/>
      <c r="N514" s="3" t="n"/>
      <c r="O514" s="3" t="n"/>
      <c r="P514" s="3" t="n"/>
      <c r="Q514" s="3" t="n"/>
      <c r="R514" s="3" t="n"/>
      <c r="S514" s="3" t="n"/>
      <c r="T514" s="3" t="n"/>
      <c r="U514" s="3" t="n"/>
      <c r="V514" s="3" t="n"/>
      <c r="W514" s="3" t="n"/>
      <c r="X514" s="3" t="n">
        <v>4.34774017333984</v>
      </c>
      <c r="Y514" s="3" t="n">
        <v>2.91519999504089</v>
      </c>
      <c r="Z514" s="3" t="n"/>
      <c r="AA514" s="3" t="n">
        <v>2.20830011367798</v>
      </c>
      <c r="AB514" s="3" t="n">
        <v>1.75490999221802</v>
      </c>
      <c r="AC514" s="3" t="n">
        <v>2.64759993553162</v>
      </c>
      <c r="AD514" s="3" t="n">
        <v>2.02923011779785</v>
      </c>
      <c r="AE514" s="3" t="n">
        <v>1.73810994625092</v>
      </c>
      <c r="AF514" s="3" t="n">
        <v>1.50957000255585</v>
      </c>
      <c r="AG514" s="3" t="n"/>
      <c r="AH514" s="3" t="n"/>
      <c r="AI514" s="3" t="n"/>
      <c r="AJ514" s="3" t="n"/>
      <c r="AK514" s="3" t="n"/>
      <c r="AL514" s="3" t="n"/>
      <c r="AM514" s="3" t="n">
        <v>3.36546993255615</v>
      </c>
      <c r="AN514" s="3" t="n">
        <v>3.42482995986938</v>
      </c>
      <c r="AO514" s="3" t="n">
        <v>2.2511100769043</v>
      </c>
      <c r="AP514" s="3" t="n"/>
      <c r="AQ514" s="3" t="n"/>
      <c r="AR514" s="3" t="n">
        <v>0</v>
      </c>
      <c r="AS514" s="3" t="n"/>
      <c r="AT514" s="3" t="n"/>
      <c r="AU514" s="3" t="n"/>
      <c r="AV514" s="3" t="n"/>
      <c r="AW514" s="3" t="n"/>
      <c r="AX514" s="3" t="n"/>
      <c r="AY514" s="3" t="n"/>
      <c r="AZ514" s="3" t="n"/>
      <c r="BA514" s="3" t="n"/>
      <c r="BB514" s="3" t="n">
        <v>3.3205578327179</v>
      </c>
      <c r="BC514" s="3" t="n">
        <v>3.76504969596863</v>
      </c>
      <c r="BD514" s="3" t="n">
        <v>3.7870135307312</v>
      </c>
      <c r="BE514" s="3" t="n">
        <v>4.221519947052</v>
      </c>
      <c r="BF514" s="3" t="n">
        <v>4.38721990585327</v>
      </c>
      <c r="BG514" s="3" t="n">
        <v>4.34481000900269</v>
      </c>
      <c r="BH514" s="3" t="n">
        <v>4.41258001327515</v>
      </c>
      <c r="BI514" s="3" t="n">
        <v>4.30550003051758</v>
      </c>
      <c r="BJ514" s="3" t="n">
        <v>4.62773990631104</v>
      </c>
      <c r="BK514" s="3" t="n">
        <v>4.32368993759155</v>
      </c>
      <c r="BL514" s="3" t="n">
        <v>4.29729986190796</v>
      </c>
      <c r="BM514" s="3" t="n">
        <v>4.44776010513306</v>
      </c>
      <c r="BN514" s="3" t="n">
        <v>4.03382015228271</v>
      </c>
      <c r="BO514" s="3" t="n">
        <v>3.53787994384766</v>
      </c>
      <c r="BP514" s="3" t="n">
        <v>2.61430358886719</v>
      </c>
      <c r="BQ514" s="3" t="n"/>
      <c r="BR514" s="34" t="str">
        <f>B514&amp;"|"&amp;D514</f>
        <v>TUR|SE.XPD.TOTL.GD.ZS</v>
      </c>
    </row>
    <row r="515">
      <c r="A515" s="3" t="inlineStr">
        <is>
          <t>Tuvalu</t>
        </is>
      </c>
      <c r="B515" s="3" t="inlineStr">
        <is>
          <t>TUV</t>
        </is>
      </c>
      <c r="C515" s="3" t="inlineStr">
        <is>
          <t>Government expenditure on education, total (% of GDP)</t>
        </is>
      </c>
      <c r="D515" s="3" t="inlineStr">
        <is>
          <t>SE.XPD.TOTL.GD.ZS</t>
        </is>
      </c>
      <c r="E515" s="3" t="n">
        <v>2023</v>
      </c>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c r="AD515" s="3" t="n"/>
      <c r="AE515" s="3" t="n"/>
      <c r="AF515" s="3" t="n"/>
      <c r="AG515" s="3" t="n"/>
      <c r="AH515" s="3" t="n"/>
      <c r="AI515" s="3" t="n"/>
      <c r="AJ515" s="3" t="n">
        <v>6.98569011688232</v>
      </c>
      <c r="AK515" s="3" t="n"/>
      <c r="AL515" s="3" t="n"/>
      <c r="AM515" s="3" t="n"/>
      <c r="AN515" s="3" t="n"/>
      <c r="AO515" s="3" t="n"/>
      <c r="AP515" s="3" t="n"/>
      <c r="AQ515" s="3" t="n">
        <v>3.45019006729126</v>
      </c>
      <c r="AR515" s="3" t="n"/>
      <c r="AS515" s="3" t="n"/>
      <c r="AT515" s="3" t="n"/>
      <c r="AU515" s="3" t="n"/>
      <c r="AV515" s="3" t="n"/>
      <c r="AW515" s="3" t="n"/>
      <c r="AX515" s="3" t="n"/>
      <c r="AY515" s="3" t="n"/>
      <c r="AZ515" s="3" t="n"/>
      <c r="BA515" s="3" t="n"/>
      <c r="BB515" s="3" t="n"/>
      <c r="BC515" s="3" t="n"/>
      <c r="BD515" s="3" t="n"/>
      <c r="BE515" s="3" t="n"/>
      <c r="BF515" s="3" t="n"/>
      <c r="BG515" s="3" t="n"/>
      <c r="BH515" s="3" t="n"/>
      <c r="BI515" s="3" t="n"/>
      <c r="BJ515" s="3" t="n"/>
      <c r="BK515" s="3" t="n"/>
      <c r="BL515" s="3" t="n"/>
      <c r="BM515" s="3" t="n"/>
      <c r="BN515" s="3" t="n"/>
      <c r="BO515" s="3" t="n"/>
      <c r="BP515" s="3" t="n"/>
      <c r="BQ515" s="3" t="n">
        <v>12.8456897735596</v>
      </c>
      <c r="BR515" s="34" t="str">
        <f>B515&amp;"|"&amp;D515</f>
        <v>TUV|SE.XPD.TOTL.GD.ZS</v>
      </c>
    </row>
    <row r="516">
      <c r="A516" s="3" t="inlineStr">
        <is>
          <t>Tanzania</t>
        </is>
      </c>
      <c r="B516" s="3" t="inlineStr">
        <is>
          <t>TZA</t>
        </is>
      </c>
      <c r="C516" s="3" t="inlineStr">
        <is>
          <t>Government expenditure on education, total (% of GDP)</t>
        </is>
      </c>
      <c r="D516" s="3" t="inlineStr">
        <is>
          <t>SE.XPD.TOTL.GD.ZS</t>
        </is>
      </c>
      <c r="E516" s="3" t="n">
        <v>2023</v>
      </c>
      <c r="F516" s="3" t="n"/>
      <c r="G516" s="3" t="n"/>
      <c r="H516" s="3" t="n"/>
      <c r="I516" s="3" t="n"/>
      <c r="J516" s="3" t="n"/>
      <c r="K516" s="3" t="n"/>
      <c r="L516" s="3" t="n"/>
      <c r="M516" s="3" t="n"/>
      <c r="N516" s="3" t="n"/>
      <c r="O516" s="3" t="n"/>
      <c r="P516" s="3" t="n"/>
      <c r="Q516" s="3" t="n">
        <v>1.72370004653931</v>
      </c>
      <c r="R516" s="3" t="n">
        <v>1.74755001068115</v>
      </c>
      <c r="S516" s="3" t="n">
        <v>1.87657999992371</v>
      </c>
      <c r="T516" s="3" t="n">
        <v>1.91419005393982</v>
      </c>
      <c r="U516" s="3" t="n"/>
      <c r="V516" s="3" t="n"/>
      <c r="W516" s="3" t="n"/>
      <c r="X516" s="3" t="n"/>
      <c r="Y516" s="3" t="n"/>
      <c r="Z516" s="3" t="n">
        <v>2.62531995773315</v>
      </c>
      <c r="AA516" s="3" t="n"/>
      <c r="AB516" s="3" t="n"/>
      <c r="AC516" s="3" t="n"/>
      <c r="AD516" s="3" t="n"/>
      <c r="AE516" s="3" t="n"/>
      <c r="AF516" s="3" t="n"/>
      <c r="AG516" s="3" t="n"/>
      <c r="AH516" s="3" t="n"/>
      <c r="AI516" s="3" t="n">
        <v>1.54891002178192</v>
      </c>
      <c r="AJ516" s="3" t="n">
        <v>1.4723299741745</v>
      </c>
      <c r="AK516" s="3" t="n"/>
      <c r="AL516" s="3" t="n"/>
      <c r="AM516" s="3" t="n"/>
      <c r="AN516" s="3" t="n"/>
      <c r="AO516" s="3" t="n"/>
      <c r="AP516" s="3" t="n">
        <v>1.74417996406555</v>
      </c>
      <c r="AQ516" s="3" t="n">
        <v>1.69306004047394</v>
      </c>
      <c r="AR516" s="3" t="n">
        <v>1.49838995933533</v>
      </c>
      <c r="AS516" s="3" t="n"/>
      <c r="AT516" s="3" t="n"/>
      <c r="AU516" s="3" t="n"/>
      <c r="AV516" s="3" t="n"/>
      <c r="AW516" s="3" t="n"/>
      <c r="AX516" s="3" t="n">
        <v>3.56244993209839</v>
      </c>
      <c r="AY516" s="3" t="n">
        <v>3.54747009277344</v>
      </c>
      <c r="AZ516" s="3" t="n">
        <v>3.00991988182068</v>
      </c>
      <c r="BA516" s="3" t="n">
        <v>4.03342008590698</v>
      </c>
      <c r="BB516" s="3" t="n">
        <v>4.18591022491455</v>
      </c>
      <c r="BC516" s="3" t="n">
        <v>3.96076011657715</v>
      </c>
      <c r="BD516" s="3" t="n">
        <v>4.54169988632202</v>
      </c>
      <c r="BE516" s="3" t="n">
        <v>4.57789897918701</v>
      </c>
      <c r="BF516" s="3" t="n">
        <v>4.22964286804199</v>
      </c>
      <c r="BG516" s="3" t="n">
        <v>4.63769435882568</v>
      </c>
      <c r="BH516" s="3" t="n">
        <v>4.34605741500854</v>
      </c>
      <c r="BI516" s="3" t="n">
        <v>4.19486570358276</v>
      </c>
      <c r="BJ516" s="3" t="n">
        <v>4.10196733474731</v>
      </c>
      <c r="BK516" s="3" t="n">
        <v>4.40038347244263</v>
      </c>
      <c r="BL516" s="3" t="n">
        <v>3.96343588829041</v>
      </c>
      <c r="BM516" s="3" t="n">
        <v>3.59683632850647</v>
      </c>
      <c r="BN516" s="3" t="n">
        <v>3.23097252845764</v>
      </c>
      <c r="BO516" s="3" t="n">
        <v>3.11515331268311</v>
      </c>
      <c r="BP516" s="3" t="n">
        <v>3.23824501037598</v>
      </c>
      <c r="BQ516" s="3" t="n">
        <v>3.26015281677246</v>
      </c>
      <c r="BR516" s="34" t="str">
        <f>B516&amp;"|"&amp;D516</f>
        <v>TZA|SE.XPD.TOTL.GD.ZS</v>
      </c>
    </row>
    <row r="517">
      <c r="A517" s="3" t="inlineStr">
        <is>
          <t>Uganda</t>
        </is>
      </c>
      <c r="B517" s="3" t="inlineStr">
        <is>
          <t>UGA</t>
        </is>
      </c>
      <c r="C517" s="3" t="inlineStr">
        <is>
          <t>Government expenditure on education, total (% of GDP)</t>
        </is>
      </c>
      <c r="D517" s="3" t="inlineStr">
        <is>
          <t>SE.XPD.TOTL.GD.ZS</t>
        </is>
      </c>
      <c r="E517" s="3" t="n">
        <v>2023</v>
      </c>
      <c r="F517" s="3" t="n"/>
      <c r="G517" s="3" t="n"/>
      <c r="H517" s="3" t="n"/>
      <c r="I517" s="3" t="n"/>
      <c r="J517" s="3" t="n"/>
      <c r="K517" s="3" t="n"/>
      <c r="L517" s="3" t="n"/>
      <c r="M517" s="3" t="n"/>
      <c r="N517" s="3" t="n"/>
      <c r="O517" s="3" t="n"/>
      <c r="P517" s="3" t="n"/>
      <c r="Q517" s="3" t="n">
        <v>3.16105008125305</v>
      </c>
      <c r="R517" s="3" t="n"/>
      <c r="S517" s="3" t="n">
        <v>3.3502299785614</v>
      </c>
      <c r="T517" s="3" t="n">
        <v>3.39091992378235</v>
      </c>
      <c r="U517" s="3" t="n">
        <v>3.22102999687195</v>
      </c>
      <c r="V517" s="3" t="n">
        <v>2.67658996582031</v>
      </c>
      <c r="W517" s="3" t="n"/>
      <c r="X517" s="3" t="n"/>
      <c r="Y517" s="3" t="n"/>
      <c r="Z517" s="3" t="n"/>
      <c r="AA517" s="3" t="n"/>
      <c r="AB517" s="3" t="n">
        <v>2.5155200958252</v>
      </c>
      <c r="AC517" s="3" t="n">
        <v>1.68909001350403</v>
      </c>
      <c r="AD517" s="3" t="n">
        <v>2.42835998535156</v>
      </c>
      <c r="AE517" s="3" t="n">
        <v>3.431960105896</v>
      </c>
      <c r="AF517" s="3" t="n"/>
      <c r="AG517" s="3" t="n"/>
      <c r="AH517" s="3" t="n">
        <v>5.10365009307861</v>
      </c>
      <c r="AI517" s="3" t="n"/>
      <c r="AJ517" s="3" t="n"/>
      <c r="AK517" s="3" t="n"/>
      <c r="AL517" s="3" t="n"/>
      <c r="AM517" s="3" t="n"/>
      <c r="AN517" s="3" t="n"/>
      <c r="AO517" s="3" t="n"/>
      <c r="AP517" s="3" t="n"/>
      <c r="AQ517" s="3" t="n"/>
      <c r="AR517" s="3" t="n"/>
      <c r="AS517" s="3" t="n"/>
      <c r="AT517" s="3" t="n">
        <v>2.461669921875</v>
      </c>
      <c r="AU517" s="3" t="n"/>
      <c r="AV517" s="3" t="n"/>
      <c r="AW517" s="3" t="n"/>
      <c r="AX517" s="3" t="n">
        <v>4.95237016677856</v>
      </c>
      <c r="AY517" s="3" t="n"/>
      <c r="AZ517" s="3" t="n"/>
      <c r="BA517" s="3" t="n"/>
      <c r="BB517" s="3" t="n"/>
      <c r="BC517" s="3" t="n"/>
      <c r="BD517" s="3" t="n">
        <v>1.72739994525909</v>
      </c>
      <c r="BE517" s="3" t="n">
        <v>2.29890990257263</v>
      </c>
      <c r="BF517" s="3" t="n">
        <v>1.79746997356415</v>
      </c>
      <c r="BG517" s="3" t="n">
        <v>1.87114000320435</v>
      </c>
      <c r="BH517" s="3" t="n">
        <v>1.91472005844116</v>
      </c>
      <c r="BI517" s="3" t="n">
        <v>2.32152009010315</v>
      </c>
      <c r="BJ517" s="3" t="n">
        <v>2.13789010047913</v>
      </c>
      <c r="BK517" s="3" t="n">
        <v>2.25363993644714</v>
      </c>
      <c r="BL517" s="3" t="n">
        <v>2.13052010536194</v>
      </c>
      <c r="BM517" s="3" t="n">
        <v>2.30828070640564</v>
      </c>
      <c r="BN517" s="3" t="n">
        <v>2.57222175598145</v>
      </c>
      <c r="BO517" s="3" t="n">
        <v>2.63593602180481</v>
      </c>
      <c r="BP517" s="3" t="n">
        <v>2.56105017662048</v>
      </c>
      <c r="BQ517" s="3" t="n">
        <v>2.55159378051758</v>
      </c>
      <c r="BR517" s="34" t="str">
        <f>B517&amp;"|"&amp;D517</f>
        <v>UGA|SE.XPD.TOTL.GD.ZS</v>
      </c>
    </row>
    <row r="518">
      <c r="A518" s="3" t="inlineStr">
        <is>
          <t>Ukraine</t>
        </is>
      </c>
      <c r="B518" s="3" t="inlineStr">
        <is>
          <t>UKR</t>
        </is>
      </c>
      <c r="C518" s="3" t="inlineStr">
        <is>
          <t>Government expenditure on education, total (% of GDP)</t>
        </is>
      </c>
      <c r="D518" s="3" t="inlineStr">
        <is>
          <t>SE.XPD.TOTL.GD.ZS</t>
        </is>
      </c>
      <c r="E518" s="3" t="n">
        <v>2022</v>
      </c>
      <c r="F518" s="3" t="n"/>
      <c r="G518" s="3" t="n"/>
      <c r="H518" s="3" t="n"/>
      <c r="I518" s="3" t="n"/>
      <c r="J518" s="3" t="n"/>
      <c r="K518" s="3" t="n"/>
      <c r="L518" s="3" t="n"/>
      <c r="M518" s="3" t="n"/>
      <c r="N518" s="3" t="n"/>
      <c r="O518" s="3" t="n"/>
      <c r="P518" s="3" t="n">
        <v>4.57292985916138</v>
      </c>
      <c r="Q518" s="3" t="n"/>
      <c r="R518" s="3" t="n"/>
      <c r="S518" s="3" t="n"/>
      <c r="T518" s="3" t="n"/>
      <c r="U518" s="3" t="n"/>
      <c r="V518" s="3" t="n"/>
      <c r="W518" s="3" t="n"/>
      <c r="X518" s="3" t="n"/>
      <c r="Y518" s="3" t="n"/>
      <c r="Z518" s="3" t="n"/>
      <c r="AA518" s="3" t="n"/>
      <c r="AB518" s="3" t="n"/>
      <c r="AC518" s="3" t="n"/>
      <c r="AD518" s="3" t="n"/>
      <c r="AE518" s="3" t="n"/>
      <c r="AF518" s="3" t="n"/>
      <c r="AG518" s="3" t="n"/>
      <c r="AH518" s="3" t="n"/>
      <c r="AI518" s="3" t="n"/>
      <c r="AJ518" s="3" t="n"/>
      <c r="AK518" s="3" t="n"/>
      <c r="AL518" s="3" t="n"/>
      <c r="AM518" s="3" t="n"/>
      <c r="AN518" s="3" t="n"/>
      <c r="AO518" s="3" t="n"/>
      <c r="AP518" s="3" t="n"/>
      <c r="AQ518" s="3" t="n">
        <v>5.45600986480713</v>
      </c>
      <c r="AR518" s="3" t="n">
        <v>4.44884014129639</v>
      </c>
      <c r="AS518" s="3" t="n">
        <v>3.61807990074158</v>
      </c>
      <c r="AT518" s="3" t="n">
        <v>4.02293014526367</v>
      </c>
      <c r="AU518" s="3" t="n">
        <v>4.52568006515503</v>
      </c>
      <c r="AV518" s="3" t="n">
        <v>5.24006986618042</v>
      </c>
      <c r="AW518" s="3" t="n">
        <v>5.4001898765564</v>
      </c>
      <c r="AX518" s="3" t="n">
        <v>5.12376022338867</v>
      </c>
      <c r="AY518" s="3" t="n">
        <v>5.84819984436035</v>
      </c>
      <c r="AZ518" s="3" t="n">
        <v>5.97945976257324</v>
      </c>
      <c r="BA518" s="3" t="n">
        <v>5.90244007110596</v>
      </c>
      <c r="BB518" s="3" t="n">
        <v>6.15242004394531</v>
      </c>
      <c r="BC518" s="3" t="n">
        <v>7.05074977874756</v>
      </c>
      <c r="BD518" s="3" t="n">
        <v>7.39708471298218</v>
      </c>
      <c r="BE518" s="3" t="n">
        <v>5.93770980834961</v>
      </c>
      <c r="BF518" s="3" t="n">
        <v>6.44269990921021</v>
      </c>
      <c r="BG518" s="3" t="n">
        <v>6.41989994049072</v>
      </c>
      <c r="BH518" s="3" t="n">
        <v>5.87493991851807</v>
      </c>
      <c r="BI518" s="3" t="n">
        <v>5.7425684928894</v>
      </c>
      <c r="BJ518" s="3" t="n">
        <v>5.00977993011475</v>
      </c>
      <c r="BK518" s="3" t="n">
        <v>5.41707992553711</v>
      </c>
      <c r="BL518" s="3" t="n">
        <v>5.3199200630188</v>
      </c>
      <c r="BM518" s="3" t="n">
        <v>5.44129991531372</v>
      </c>
      <c r="BN518" s="3" t="n">
        <v>5.38231992721558</v>
      </c>
      <c r="BO518" s="3" t="n">
        <v>5.14011001586914</v>
      </c>
      <c r="BP518" s="3" t="n">
        <v>5.93389987945557</v>
      </c>
      <c r="BQ518" s="3" t="n"/>
      <c r="BR518" s="34" t="str">
        <f>B518&amp;"|"&amp;D518</f>
        <v>UKR|SE.XPD.TOTL.GD.ZS</v>
      </c>
    </row>
    <row r="519">
      <c r="A519" s="3" t="inlineStr">
        <is>
          <t>Upper middle income</t>
        </is>
      </c>
      <c r="B519" s="3" t="inlineStr">
        <is>
          <t>UMC</t>
        </is>
      </c>
      <c r="C519" s="3" t="inlineStr">
        <is>
          <t>Government expenditure on education, total (% of GDP)</t>
        </is>
      </c>
      <c r="D519" s="3" t="inlineStr">
        <is>
          <t>SE.XPD.TOTL.GD.ZS</t>
        </is>
      </c>
      <c r="E519" s="3" t="n">
        <v>2023</v>
      </c>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c r="AD519" s="3" t="n"/>
      <c r="AE519" s="3" t="n"/>
      <c r="AF519" s="3" t="n"/>
      <c r="AG519" s="3" t="n"/>
      <c r="AH519" s="3" t="n"/>
      <c r="AI519" s="3" t="n"/>
      <c r="AJ519" s="3" t="n"/>
      <c r="AK519" s="3" t="n"/>
      <c r="AL519" s="3" t="n"/>
      <c r="AM519" s="3" t="n"/>
      <c r="AN519" s="3" t="n"/>
      <c r="AO519" s="3" t="n"/>
      <c r="AP519" s="3" t="n"/>
      <c r="AQ519" s="3" t="n"/>
      <c r="AR519" s="3" t="n"/>
      <c r="AS519" s="3" t="n">
        <v>4.05235505104065</v>
      </c>
      <c r="AT519" s="3" t="n">
        <v>3.98593008518219</v>
      </c>
      <c r="AU519" s="3" t="n">
        <v>4.0313401222229</v>
      </c>
      <c r="AV519" s="3" t="n">
        <v>3.80764496326447</v>
      </c>
      <c r="AW519" s="3" t="n">
        <v>3.99122989177704</v>
      </c>
      <c r="AX519" s="3" t="n">
        <v>4.03088998794556</v>
      </c>
      <c r="AY519" s="3" t="n">
        <v>3.981305122375485</v>
      </c>
      <c r="AZ519" s="3" t="n">
        <v>4.12821006774902</v>
      </c>
      <c r="BA519" s="3" t="n">
        <v>4.20983982086182</v>
      </c>
      <c r="BB519" s="3" t="n">
        <v>4.03497004508972</v>
      </c>
      <c r="BC519" s="3" t="n">
        <v>4.51763010025024</v>
      </c>
      <c r="BD519" s="3" t="n">
        <v>3.84397292137146</v>
      </c>
      <c r="BE519" s="3" t="n">
        <v>4.22993993759155</v>
      </c>
      <c r="BF519" s="3" t="n">
        <v>4.342554330825805</v>
      </c>
      <c r="BG519" s="3" t="n">
        <v>4.34481000900269</v>
      </c>
      <c r="BH519" s="3" t="n">
        <v>4.613864898681641</v>
      </c>
      <c r="BI519" s="3" t="n">
        <v>4.346328258514404</v>
      </c>
      <c r="BJ519" s="3" t="n">
        <v>4.34598445892334</v>
      </c>
      <c r="BK519" s="3" t="n">
        <v>4.14810824394226</v>
      </c>
      <c r="BL519" s="3" t="n">
        <v>4.01092565059662</v>
      </c>
      <c r="BM519" s="3" t="n">
        <v>4.04276895523071</v>
      </c>
      <c r="BN519" s="3" t="n">
        <v>4.34224486351013</v>
      </c>
      <c r="BO519" s="3" t="n">
        <v>3.957767605781555</v>
      </c>
      <c r="BP519" s="3" t="n">
        <v>3.744420051574705</v>
      </c>
      <c r="BQ519" s="3" t="n">
        <v>3.73861002922058</v>
      </c>
      <c r="BR519" s="34" t="str">
        <f>B519&amp;"|"&amp;D519</f>
        <v>UMC|SE.XPD.TOTL.GD.ZS</v>
      </c>
    </row>
    <row r="520">
      <c r="A520" s="3" t="inlineStr">
        <is>
          <t>Uruguay</t>
        </is>
      </c>
      <c r="B520" s="3" t="inlineStr">
        <is>
          <t>URY</t>
        </is>
      </c>
      <c r="C520" s="3" t="inlineStr">
        <is>
          <t>Government expenditure on education, total (% of GDP)</t>
        </is>
      </c>
      <c r="D520" s="3" t="inlineStr">
        <is>
          <t>SE.XPD.TOTL.GD.ZS</t>
        </is>
      </c>
      <c r="E520" s="3" t="n">
        <v>2022</v>
      </c>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v>1.98713004589081</v>
      </c>
      <c r="Z520" s="3" t="n">
        <v>2.15950989723206</v>
      </c>
      <c r="AA520" s="3" t="n"/>
      <c r="AB520" s="3" t="n"/>
      <c r="AC520" s="3" t="n"/>
      <c r="AD520" s="3" t="n">
        <v>2.37338995933533</v>
      </c>
      <c r="AE520" s="3" t="n">
        <v>2.56679010391235</v>
      </c>
      <c r="AF520" s="3" t="n">
        <v>3.1028299331665</v>
      </c>
      <c r="AG520" s="3" t="n"/>
      <c r="AH520" s="3" t="n"/>
      <c r="AI520" s="3" t="n"/>
      <c r="AJ520" s="3" t="n"/>
      <c r="AK520" s="3" t="n">
        <v>2.47907996177673</v>
      </c>
      <c r="AL520" s="3" t="n">
        <v>2.41153001785278</v>
      </c>
      <c r="AM520" s="3" t="n"/>
      <c r="AN520" s="3" t="n">
        <v>2.27171993255615</v>
      </c>
      <c r="AO520" s="3" t="n">
        <v>2.521399974823</v>
      </c>
      <c r="AP520" s="3" t="n">
        <v>2.86986994743347</v>
      </c>
      <c r="AQ520" s="3" t="n"/>
      <c r="AR520" s="3" t="n">
        <v>2.24337005615234</v>
      </c>
      <c r="AS520" s="3" t="n"/>
      <c r="AT520" s="3" t="n">
        <v>2.42254996299744</v>
      </c>
      <c r="AU520" s="3" t="n">
        <v>2.80096006393433</v>
      </c>
      <c r="AV520" s="3" t="n">
        <v>2.32220005989075</v>
      </c>
      <c r="AW520" s="3" t="n">
        <v>2.0682098865509</v>
      </c>
      <c r="AX520" s="3" t="n">
        <v>2.49954009056091</v>
      </c>
      <c r="AY520" s="3" t="n">
        <v>2.71475005149841</v>
      </c>
      <c r="AZ520" s="3" t="n">
        <v>2.85664010047913</v>
      </c>
      <c r="BA520" s="3" t="n"/>
      <c r="BB520" s="3" t="n"/>
      <c r="BC520" s="3" t="n"/>
      <c r="BD520" s="3" t="n"/>
      <c r="BE520" s="3" t="n">
        <v>4.14937019348145</v>
      </c>
      <c r="BF520" s="3" t="n">
        <v>4.09353351593018</v>
      </c>
      <c r="BG520" s="3" t="n">
        <v>4.23892021179199</v>
      </c>
      <c r="BH520" s="3" t="n">
        <v>4.26735019683838</v>
      </c>
      <c r="BI520" s="3" t="n">
        <v>4.20636987686157</v>
      </c>
      <c r="BJ520" s="3" t="n">
        <v>4.36420011520386</v>
      </c>
      <c r="BK520" s="3" t="n">
        <v>4.41787004470825</v>
      </c>
      <c r="BL520" s="3" t="n">
        <v>4.60362005233765</v>
      </c>
      <c r="BM520" s="3" t="n">
        <v>4.62833976745605</v>
      </c>
      <c r="BN520" s="3" t="n">
        <v>4.54292011260986</v>
      </c>
      <c r="BO520" s="3" t="n">
        <v>4.46065998077393</v>
      </c>
      <c r="BP520" s="3" t="n">
        <v>4.5073299407959</v>
      </c>
      <c r="BQ520" s="3" t="n"/>
      <c r="BR520" s="34" t="str">
        <f>B520&amp;"|"&amp;D520</f>
        <v>URY|SE.XPD.TOTL.GD.ZS</v>
      </c>
    </row>
    <row r="521">
      <c r="A521" s="3" t="inlineStr">
        <is>
          <t>United States</t>
        </is>
      </c>
      <c r="B521" s="3" t="inlineStr">
        <is>
          <t>USA</t>
        </is>
      </c>
      <c r="C521" s="3" t="inlineStr">
        <is>
          <t>Government expenditure on education, total (% of GDP)</t>
        </is>
      </c>
      <c r="D521" s="3" t="inlineStr">
        <is>
          <t>SE.XPD.TOTL.GD.ZS</t>
        </is>
      </c>
      <c r="E521" s="3" t="n">
        <v>2021</v>
      </c>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c r="AD521" s="3" t="n"/>
      <c r="AE521" s="3" t="n"/>
      <c r="AF521" s="3" t="n"/>
      <c r="AG521" s="3" t="n"/>
      <c r="AH521" s="3" t="n"/>
      <c r="AI521" s="3" t="n"/>
      <c r="AJ521" s="3" t="n"/>
      <c r="AK521" s="3" t="n"/>
      <c r="AL521" s="3" t="n"/>
      <c r="AM521" s="3" t="n"/>
      <c r="AN521" s="3" t="n"/>
      <c r="AO521" s="3" t="n"/>
      <c r="AP521" s="3" t="n"/>
      <c r="AQ521" s="3" t="n"/>
      <c r="AR521" s="3" t="n"/>
      <c r="AS521" s="3" t="n"/>
      <c r="AT521" s="3" t="n">
        <v>6.08564949035645</v>
      </c>
      <c r="AU521" s="3" t="n">
        <v>6.29892301559448</v>
      </c>
      <c r="AV521" s="3" t="n">
        <v>6.35995531082153</v>
      </c>
      <c r="AW521" s="3" t="n">
        <v>6.3286075592041</v>
      </c>
      <c r="AX521" s="3" t="n">
        <v>6.2537636756897</v>
      </c>
      <c r="AY521" s="3" t="n">
        <v>6.17098331451416</v>
      </c>
      <c r="AZ521" s="3" t="n">
        <v>6.16402912139893</v>
      </c>
      <c r="BA521" s="3" t="n">
        <v>6.24331855773926</v>
      </c>
      <c r="BB521" s="3" t="n">
        <v>6.43608617782593</v>
      </c>
      <c r="BC521" s="3" t="n">
        <v>6.73869848251343</v>
      </c>
      <c r="BD521" s="3" t="n">
        <v>6.6945538520813</v>
      </c>
      <c r="BE521" s="3" t="n">
        <v>6.49768352508545</v>
      </c>
      <c r="BF521" s="3" t="n">
        <v>6.25388622283936</v>
      </c>
      <c r="BG521" s="3" t="n">
        <v>6.22925806045532</v>
      </c>
      <c r="BH521" s="3" t="n">
        <v>6.12920570373535</v>
      </c>
      <c r="BI521" s="3" t="n">
        <v>4.93063020706177</v>
      </c>
      <c r="BJ521" s="3" t="n">
        <v>4.78327989578247</v>
      </c>
      <c r="BK521" s="3" t="n">
        <v>5.09296989440918</v>
      </c>
      <c r="BL521" s="3" t="n">
        <v>4.89502000808716</v>
      </c>
      <c r="BM521" s="3" t="n">
        <v>4.95746994018555</v>
      </c>
      <c r="BN521" s="3" t="n">
        <v>5.39998006820679</v>
      </c>
      <c r="BO521" s="3" t="n">
        <v>5.42829990386963</v>
      </c>
      <c r="BP521" s="3" t="n"/>
      <c r="BQ521" s="3" t="n"/>
      <c r="BR521" s="34" t="str">
        <f>B521&amp;"|"&amp;D521</f>
        <v>USA|SE.XPD.TOTL.GD.ZS</v>
      </c>
    </row>
    <row r="522">
      <c r="A522" s="3" t="inlineStr">
        <is>
          <t>Uzbekistan</t>
        </is>
      </c>
      <c r="B522" s="3" t="inlineStr">
        <is>
          <t>UZB</t>
        </is>
      </c>
      <c r="C522" s="3" t="inlineStr">
        <is>
          <t>Government expenditure on education, total (% of GDP)</t>
        </is>
      </c>
      <c r="D522" s="3" t="inlineStr">
        <is>
          <t>SE.XPD.TOTL.GD.ZS</t>
        </is>
      </c>
      <c r="E522" s="3" t="n">
        <v>2023</v>
      </c>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c r="AD522" s="3" t="n"/>
      <c r="AE522" s="3" t="n"/>
      <c r="AF522" s="3" t="n"/>
      <c r="AG522" s="3" t="n"/>
      <c r="AH522" s="3" t="n"/>
      <c r="AI522" s="3" t="n"/>
      <c r="AJ522" s="3" t="n"/>
      <c r="AK522" s="3" t="n"/>
      <c r="AL522" s="3" t="n"/>
      <c r="AM522" s="3" t="n"/>
      <c r="AN522" s="3" t="n"/>
      <c r="AO522" s="3" t="n"/>
      <c r="AP522" s="3" t="n"/>
      <c r="AQ522" s="3" t="n"/>
      <c r="AR522" s="3" t="n"/>
      <c r="AS522" s="3" t="n"/>
      <c r="AT522" s="3" t="n"/>
      <c r="AU522" s="3" t="n"/>
      <c r="AV522" s="3" t="n"/>
      <c r="AW522" s="3" t="n"/>
      <c r="AX522" s="3" t="n"/>
      <c r="AY522" s="3" t="n"/>
      <c r="AZ522" s="3" t="n"/>
      <c r="BA522" s="3" t="n"/>
      <c r="BB522" s="3" t="n"/>
      <c r="BC522" s="3" t="n"/>
      <c r="BD522" s="3" t="n"/>
      <c r="BE522" s="3" t="n">
        <v>5.81876087188721</v>
      </c>
      <c r="BF522" s="3" t="n">
        <v>6.02691507339478</v>
      </c>
      <c r="BG522" s="3" t="n">
        <v>5.74190998077393</v>
      </c>
      <c r="BH522" s="3" t="n">
        <v>5.71323013305664</v>
      </c>
      <c r="BI522" s="3" t="n">
        <v>5.49453353881836</v>
      </c>
      <c r="BJ522" s="3" t="n">
        <v>5.41523742675781</v>
      </c>
      <c r="BK522" s="3" t="n">
        <v>5.0333194732666</v>
      </c>
      <c r="BL522" s="3" t="n">
        <v>4.83589315414429</v>
      </c>
      <c r="BM522" s="3" t="n">
        <v>6.29534673690796</v>
      </c>
      <c r="BN522" s="3" t="n">
        <v>4.94803667068481</v>
      </c>
      <c r="BO522" s="3" t="n">
        <v>5.36828899383545</v>
      </c>
      <c r="BP522" s="3" t="n">
        <v>5.23477172851562</v>
      </c>
      <c r="BQ522" s="3" t="n">
        <v>5.47287607192993</v>
      </c>
      <c r="BR522" s="34" t="str">
        <f>B522&amp;"|"&amp;D522</f>
        <v>UZB|SE.XPD.TOTL.GD.ZS</v>
      </c>
    </row>
    <row r="523">
      <c r="A523" s="3" t="inlineStr">
        <is>
          <t>St. Vincent and the Grenadines</t>
        </is>
      </c>
      <c r="B523" s="3" t="inlineStr">
        <is>
          <t>VCT</t>
        </is>
      </c>
      <c r="C523" s="3" t="inlineStr">
        <is>
          <t>Government expenditure on education, total (% of GDP)</t>
        </is>
      </c>
      <c r="D523" s="3" t="inlineStr">
        <is>
          <t>SE.XPD.TOTL.GD.ZS</t>
        </is>
      </c>
      <c r="E523" s="3" t="n">
        <v>2022</v>
      </c>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c r="AD523" s="3" t="n"/>
      <c r="AE523" s="3" t="n"/>
      <c r="AF523" s="3" t="n">
        <v>4.42911005020142</v>
      </c>
      <c r="AG523" s="3" t="n"/>
      <c r="AH523" s="3" t="n"/>
      <c r="AI523" s="3" t="n">
        <v>4.46868991851807</v>
      </c>
      <c r="AJ523" s="3" t="n"/>
      <c r="AK523" s="3" t="n">
        <v>4.87377023696899</v>
      </c>
      <c r="AL523" s="3" t="n"/>
      <c r="AM523" s="3" t="n"/>
      <c r="AN523" s="3" t="n"/>
      <c r="AO523" s="3" t="n"/>
      <c r="AP523" s="3" t="n"/>
      <c r="AQ523" s="3" t="n"/>
      <c r="AR523" s="3" t="n">
        <v>4.03337001800537</v>
      </c>
      <c r="AS523" s="3" t="n">
        <v>5.75268983840942</v>
      </c>
      <c r="AT523" s="3" t="n">
        <v>7.32787990570068</v>
      </c>
      <c r="AU523" s="3" t="n"/>
      <c r="AV523" s="3" t="n">
        <v>7.38802003860474</v>
      </c>
      <c r="AW523" s="3" t="n">
        <v>8.17488956451416</v>
      </c>
      <c r="AX523" s="3" t="n"/>
      <c r="AY523" s="3" t="n">
        <v>6.03082990646362</v>
      </c>
      <c r="AZ523" s="3" t="n"/>
      <c r="BA523" s="3" t="n">
        <v>5.43937015533447</v>
      </c>
      <c r="BB523" s="3" t="n"/>
      <c r="BC523" s="3" t="n">
        <v>5.3761100769043</v>
      </c>
      <c r="BD523" s="3" t="n">
        <v>4.80839014053345</v>
      </c>
      <c r="BE523" s="3" t="n"/>
      <c r="BF523" s="3" t="n"/>
      <c r="BG523" s="3" t="n"/>
      <c r="BH523" s="3" t="n"/>
      <c r="BI523" s="3" t="n">
        <v>4.95615243911743</v>
      </c>
      <c r="BJ523" s="3" t="n">
        <v>5.43737411499023</v>
      </c>
      <c r="BK523" s="3" t="n">
        <v>5.37974977493286</v>
      </c>
      <c r="BL523" s="3" t="n">
        <v>6.16111660003662</v>
      </c>
      <c r="BM523" s="3" t="n"/>
      <c r="BN523" s="3" t="n">
        <v>5.46375846862793</v>
      </c>
      <c r="BO523" s="3" t="n"/>
      <c r="BP523" s="3" t="n">
        <v>7.20952939987183</v>
      </c>
      <c r="BQ523" s="3" t="n"/>
      <c r="BR523" s="34" t="str">
        <f>B523&amp;"|"&amp;D523</f>
        <v>VCT|SE.XPD.TOTL.GD.ZS</v>
      </c>
    </row>
    <row r="524">
      <c r="A524" s="3" t="inlineStr">
        <is>
          <t>Venezuela, RB</t>
        </is>
      </c>
      <c r="B524" s="3" t="inlineStr">
        <is>
          <t>VEN</t>
        </is>
      </c>
      <c r="C524" s="3" t="inlineStr">
        <is>
          <t>Government expenditure on education, total (% of GDP)</t>
        </is>
      </c>
      <c r="D524" s="3" t="inlineStr">
        <is>
          <t>SE.XPD.TOTL.GD.ZS</t>
        </is>
      </c>
      <c r="E524" s="3" t="n">
        <v>2009</v>
      </c>
      <c r="F524" s="3" t="n"/>
      <c r="G524" s="3" t="n"/>
      <c r="H524" s="3" t="n"/>
      <c r="I524" s="3" t="n"/>
      <c r="J524" s="3" t="n"/>
      <c r="K524" s="3" t="n"/>
      <c r="L524" s="3" t="n"/>
      <c r="M524" s="3" t="n"/>
      <c r="N524" s="3" t="n"/>
      <c r="O524" s="3" t="n"/>
      <c r="P524" s="3" t="n">
        <v>4.16286993026733</v>
      </c>
      <c r="Q524" s="3" t="n">
        <v>4.1799201965332</v>
      </c>
      <c r="R524" s="3" t="n">
        <v>4.83728981018066</v>
      </c>
      <c r="S524" s="3" t="n"/>
      <c r="T524" s="3" t="n">
        <v>3.94795989990234</v>
      </c>
      <c r="U524" s="3" t="n">
        <v>5.19851016998291</v>
      </c>
      <c r="V524" s="3" t="n"/>
      <c r="W524" s="3" t="n">
        <v>5.25665998458862</v>
      </c>
      <c r="X524" s="3" t="n"/>
      <c r="Y524" s="3" t="n"/>
      <c r="Z524" s="3" t="n">
        <v>4.40072011947632</v>
      </c>
      <c r="AA524" s="3" t="n">
        <v>5.18743991851807</v>
      </c>
      <c r="AB524" s="3" t="n">
        <v>5.00895023345947</v>
      </c>
      <c r="AC524" s="3" t="n">
        <v>6.0598201751709</v>
      </c>
      <c r="AD524" s="3" t="n">
        <v>4.06372976303101</v>
      </c>
      <c r="AE524" s="3" t="n"/>
      <c r="AF524" s="3" t="n"/>
      <c r="AG524" s="3" t="n">
        <v>3.92751002311707</v>
      </c>
      <c r="AH524" s="3" t="n">
        <v>3.62941002845764</v>
      </c>
      <c r="AI524" s="3" t="n"/>
      <c r="AJ524" s="3" t="n">
        <v>2.44671010971069</v>
      </c>
      <c r="AK524" s="3" t="n"/>
      <c r="AL524" s="3" t="n">
        <v>4.31067991256714</v>
      </c>
      <c r="AM524" s="3" t="n">
        <v>3.81783008575439</v>
      </c>
      <c r="AN524" s="3" t="n">
        <v>5.00603008270264</v>
      </c>
      <c r="AO524" s="3" t="n"/>
      <c r="AP524" s="3" t="n"/>
      <c r="AQ524" s="3" t="n"/>
      <c r="AR524" s="3" t="n"/>
      <c r="AS524" s="3" t="n"/>
      <c r="AT524" s="3" t="n"/>
      <c r="AU524" s="3" t="n"/>
      <c r="AV524" s="3" t="n"/>
      <c r="AW524" s="3" t="n"/>
      <c r="AX524" s="3" t="n"/>
      <c r="AY524" s="3" t="n"/>
      <c r="AZ524" s="3" t="n">
        <v>3.66905999183655</v>
      </c>
      <c r="BA524" s="3" t="n">
        <v>3.62732005119324</v>
      </c>
      <c r="BB524" s="3" t="n"/>
      <c r="BC524" s="3" t="n">
        <v>6.87468004226685</v>
      </c>
      <c r="BD524" s="3" t="n"/>
      <c r="BE524" s="3" t="n"/>
      <c r="BF524" s="3" t="n"/>
      <c r="BG524" s="3" t="n"/>
      <c r="BH524" s="3" t="n"/>
      <c r="BI524" s="3" t="n"/>
      <c r="BJ524" s="3" t="n"/>
      <c r="BK524" s="3" t="n"/>
      <c r="BL524" s="3" t="n"/>
      <c r="BM524" s="3" t="n"/>
      <c r="BN524" s="3" t="n"/>
      <c r="BO524" s="3" t="n"/>
      <c r="BP524" s="3" t="n"/>
      <c r="BQ524" s="3" t="n"/>
      <c r="BR524" s="34" t="str">
        <f>B524&amp;"|"&amp;D524</f>
        <v>VEN|SE.XPD.TOTL.GD.ZS</v>
      </c>
    </row>
    <row r="525">
      <c r="A525" s="3" t="inlineStr">
        <is>
          <t>British Virgin Islands</t>
        </is>
      </c>
      <c r="B525" s="3" t="inlineStr">
        <is>
          <t>VGB</t>
        </is>
      </c>
      <c r="C525" s="3" t="inlineStr">
        <is>
          <t>Government expenditure on education, total (% of GDP)</t>
        </is>
      </c>
      <c r="D525" s="3" t="inlineStr">
        <is>
          <t>SE.XPD.TOTL.GD.ZS</t>
        </is>
      </c>
      <c r="E525" s="3" t="n">
        <v>2022</v>
      </c>
      <c r="F525" s="3" t="n"/>
      <c r="G525" s="3" t="n"/>
      <c r="H525" s="3" t="n"/>
      <c r="I525" s="3" t="n"/>
      <c r="J525" s="3" t="n"/>
      <c r="K525" s="3" t="n"/>
      <c r="L525" s="3" t="n"/>
      <c r="M525" s="3" t="n"/>
      <c r="N525" s="3" t="n"/>
      <c r="O525" s="3" t="n"/>
      <c r="P525" s="3" t="n">
        <v>10.5736703872681</v>
      </c>
      <c r="Q525" s="3" t="n">
        <v>8.935359954833981</v>
      </c>
      <c r="R525" s="3" t="n"/>
      <c r="S525" s="3" t="n">
        <v>7.24023008346558</v>
      </c>
      <c r="T525" s="3" t="n"/>
      <c r="U525" s="3" t="n"/>
      <c r="V525" s="3" t="n"/>
      <c r="W525" s="3" t="n"/>
      <c r="X525" s="3" t="n"/>
      <c r="Y525" s="3" t="n"/>
      <c r="Z525" s="3" t="n"/>
      <c r="AA525" s="3" t="n"/>
      <c r="AB525" s="3" t="n"/>
      <c r="AC525" s="3" t="n"/>
      <c r="AD525" s="3" t="n"/>
      <c r="AE525" s="3" t="n"/>
      <c r="AF525" s="3" t="n"/>
      <c r="AG525" s="3" t="n"/>
      <c r="AH525" s="3" t="n"/>
      <c r="AI525" s="3" t="n"/>
      <c r="AJ525" s="3" t="n"/>
      <c r="AK525" s="3" t="n"/>
      <c r="AL525" s="3" t="n"/>
      <c r="AM525" s="3" t="n"/>
      <c r="AN525" s="3" t="n"/>
      <c r="AO525" s="3" t="n"/>
      <c r="AP525" s="3" t="n"/>
      <c r="AQ525" s="3" t="n"/>
      <c r="AR525" s="3" t="n"/>
      <c r="AS525" s="3" t="n"/>
      <c r="AT525" s="3" t="n"/>
      <c r="AU525" s="3" t="n">
        <v>2.90476989746094</v>
      </c>
      <c r="AV525" s="3" t="n"/>
      <c r="AW525" s="3" t="n"/>
      <c r="AX525" s="3" t="n"/>
      <c r="AY525" s="3" t="n">
        <v>3.04632997512817</v>
      </c>
      <c r="AZ525" s="3" t="n">
        <v>3.51480007171631</v>
      </c>
      <c r="BA525" s="3" t="n">
        <v>3.04366993904114</v>
      </c>
      <c r="BB525" s="3" t="n"/>
      <c r="BC525" s="3" t="n">
        <v>3.24165010452271</v>
      </c>
      <c r="BD525" s="3" t="n">
        <v>3.48701000213623</v>
      </c>
      <c r="BE525" s="3" t="n"/>
      <c r="BF525" s="3" t="n">
        <v>3.56569600105286</v>
      </c>
      <c r="BG525" s="3" t="n">
        <v>4.46932554244995</v>
      </c>
      <c r="BH525" s="3" t="n">
        <v>4.01838827133179</v>
      </c>
      <c r="BI525" s="3" t="n">
        <v>4.70450019836426</v>
      </c>
      <c r="BJ525" s="3" t="n">
        <v>3.26105642318726</v>
      </c>
      <c r="BK525" s="3" t="n">
        <v>2.45708990097046</v>
      </c>
      <c r="BL525" s="3" t="n">
        <v>2.42555999755859</v>
      </c>
      <c r="BM525" s="3" t="n">
        <v>2.50096988677979</v>
      </c>
      <c r="BN525" s="3" t="n">
        <v>2.70538997650146</v>
      </c>
      <c r="BO525" s="3" t="n">
        <v>2.86991333961487</v>
      </c>
      <c r="BP525" s="3" t="n">
        <v>2.48401999473572</v>
      </c>
      <c r="BQ525" s="3" t="n"/>
      <c r="BR525" s="34" t="str">
        <f>B525&amp;"|"&amp;D525</f>
        <v>VGB|SE.XPD.TOTL.GD.ZS</v>
      </c>
    </row>
    <row r="526">
      <c r="A526" s="3" t="inlineStr">
        <is>
          <t>Virgin Islands (U.S.)</t>
        </is>
      </c>
      <c r="B526" s="3" t="inlineStr">
        <is>
          <t>VIR</t>
        </is>
      </c>
      <c r="C526" s="3" t="inlineStr">
        <is>
          <t>Government expenditure on education, total (% of GDP)</t>
        </is>
      </c>
      <c r="D526" s="3" t="inlineStr">
        <is>
          <t>SE.XPD.TOTL.GD.ZS</t>
        </is>
      </c>
      <c r="E526" s="3" t="inlineStr">
        <is>
          <t>0x2a</t>
        </is>
      </c>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c r="AD526" s="3" t="n"/>
      <c r="AE526" s="3" t="n"/>
      <c r="AF526" s="3" t="n"/>
      <c r="AG526" s="3" t="n"/>
      <c r="AH526" s="3" t="n"/>
      <c r="AI526" s="3" t="n"/>
      <c r="AJ526" s="3" t="n"/>
      <c r="AK526" s="3" t="n"/>
      <c r="AL526" s="3" t="n"/>
      <c r="AM526" s="3" t="n"/>
      <c r="AN526" s="3" t="n"/>
      <c r="AO526" s="3" t="n"/>
      <c r="AP526" s="3" t="n"/>
      <c r="AQ526" s="3" t="n"/>
      <c r="AR526" s="3" t="n"/>
      <c r="AS526" s="3" t="n"/>
      <c r="AT526" s="3" t="n"/>
      <c r="AU526" s="3" t="n"/>
      <c r="AV526" s="3" t="n"/>
      <c r="AW526" s="3" t="n"/>
      <c r="AX526" s="3" t="n"/>
      <c r="AY526" s="3" t="n"/>
      <c r="AZ526" s="3" t="n"/>
      <c r="BA526" s="3" t="n"/>
      <c r="BB526" s="3" t="n"/>
      <c r="BC526" s="3" t="n"/>
      <c r="BD526" s="3" t="n"/>
      <c r="BE526" s="3" t="n"/>
      <c r="BF526" s="3" t="n"/>
      <c r="BG526" s="3" t="n"/>
      <c r="BH526" s="3" t="n"/>
      <c r="BI526" s="3" t="n"/>
      <c r="BJ526" s="3" t="n"/>
      <c r="BK526" s="3" t="n"/>
      <c r="BL526" s="3" t="n"/>
      <c r="BM526" s="3" t="n"/>
      <c r="BN526" s="3" t="n"/>
      <c r="BO526" s="3" t="n"/>
      <c r="BP526" s="3" t="n"/>
      <c r="BQ526" s="3" t="n"/>
      <c r="BR526" s="34" t="str">
        <f>B526&amp;"|"&amp;D526</f>
        <v>VIR|SE.XPD.TOTL.GD.ZS</v>
      </c>
    </row>
    <row r="527">
      <c r="A527" s="3" t="inlineStr">
        <is>
          <t>Viet Nam</t>
        </is>
      </c>
      <c r="B527" s="3" t="inlineStr">
        <is>
          <t>VNM</t>
        </is>
      </c>
      <c r="C527" s="3" t="inlineStr">
        <is>
          <t>Government expenditure on education, total (% of GDP)</t>
        </is>
      </c>
      <c r="D527" s="3" t="inlineStr">
        <is>
          <t>SE.XPD.TOTL.GD.ZS</t>
        </is>
      </c>
      <c r="E527" s="3" t="n">
        <v>2022</v>
      </c>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c r="AD527" s="3" t="n"/>
      <c r="AE527" s="3" t="n"/>
      <c r="AF527" s="3" t="n"/>
      <c r="AG527" s="3" t="n"/>
      <c r="AH527" s="3" t="n"/>
      <c r="AI527" s="3" t="n"/>
      <c r="AJ527" s="3" t="n"/>
      <c r="AK527" s="3" t="n"/>
      <c r="AL527" s="3" t="n"/>
      <c r="AM527" s="3" t="n"/>
      <c r="AN527" s="3" t="n"/>
      <c r="AO527" s="3" t="n"/>
      <c r="AP527" s="3" t="n"/>
      <c r="AQ527" s="3" t="n"/>
      <c r="AR527" s="3" t="n"/>
      <c r="AS527" s="3" t="n"/>
      <c r="AT527" s="3" t="n"/>
      <c r="AU527" s="3" t="n"/>
      <c r="AV527" s="3" t="n"/>
      <c r="AW527" s="3" t="n"/>
      <c r="AX527" s="3" t="n"/>
      <c r="AY527" s="3" t="n"/>
      <c r="AZ527" s="3" t="n"/>
      <c r="BA527" s="3" t="n"/>
      <c r="BB527" s="3" t="n">
        <v>4.88674020767212</v>
      </c>
      <c r="BC527" s="3" t="n">
        <v>4.81650018692017</v>
      </c>
      <c r="BD527" s="3" t="n">
        <v>4.04593992233276</v>
      </c>
      <c r="BE527" s="3" t="n">
        <v>3.7802300453186</v>
      </c>
      <c r="BF527" s="3" t="n">
        <v>4.40817022323608</v>
      </c>
      <c r="BG527" s="3" t="n">
        <v>4.52833986282349</v>
      </c>
      <c r="BH527" s="3" t="n">
        <v>3.54012322425842</v>
      </c>
      <c r="BI527" s="3" t="n">
        <v>3.41660451889038</v>
      </c>
      <c r="BJ527" s="3" t="n">
        <v>3.469074010849</v>
      </c>
      <c r="BK527" s="3" t="n">
        <v>3.41865682601929</v>
      </c>
      <c r="BL527" s="3" t="n">
        <v>3.14502310752869</v>
      </c>
      <c r="BM527" s="3" t="n">
        <v>3.08499836921692</v>
      </c>
      <c r="BN527" s="3" t="n">
        <v>3.21652889251709</v>
      </c>
      <c r="BO527" s="3" t="n">
        <v>2.94517493247986</v>
      </c>
      <c r="BP527" s="3" t="n">
        <v>2.88738679885864</v>
      </c>
      <c r="BQ527" s="3" t="n"/>
      <c r="BR527" s="34" t="str">
        <f>B527&amp;"|"&amp;D527</f>
        <v>VNM|SE.XPD.TOTL.GD.ZS</v>
      </c>
    </row>
    <row r="528">
      <c r="A528" s="3" t="inlineStr">
        <is>
          <t>Vanuatu</t>
        </is>
      </c>
      <c r="B528" s="3" t="inlineStr">
        <is>
          <t>VUT</t>
        </is>
      </c>
      <c r="C528" s="3" t="inlineStr">
        <is>
          <t>Government expenditure on education, total (% of GDP)</t>
        </is>
      </c>
      <c r="D528" s="3" t="inlineStr">
        <is>
          <t>SE.XPD.TOTL.GD.ZS</t>
        </is>
      </c>
      <c r="E528" s="3" t="n">
        <v>2023</v>
      </c>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c r="AD528" s="3" t="n"/>
      <c r="AE528" s="3" t="n"/>
      <c r="AF528" s="3" t="n"/>
      <c r="AG528" s="3" t="n"/>
      <c r="AH528" s="3" t="n"/>
      <c r="AI528" s="3" t="n"/>
      <c r="AJ528" s="3" t="n"/>
      <c r="AK528" s="3" t="n"/>
      <c r="AL528" s="3" t="n"/>
      <c r="AM528" s="3" t="n"/>
      <c r="AN528" s="3" t="n">
        <v>4.11687994003296</v>
      </c>
      <c r="AO528" s="3" t="n"/>
      <c r="AP528" s="3" t="n"/>
      <c r="AQ528" s="3" t="n"/>
      <c r="AR528" s="3" t="n">
        <v>7.64104986190796</v>
      </c>
      <c r="AS528" s="3" t="n">
        <v>6.1626501083374</v>
      </c>
      <c r="AT528" s="3" t="n">
        <v>7.0036301612854</v>
      </c>
      <c r="AU528" s="3" t="n">
        <v>8.951149940490721</v>
      </c>
      <c r="AV528" s="3" t="n">
        <v>8.131979942321779</v>
      </c>
      <c r="AW528" s="3" t="n">
        <v>8.44151020050049</v>
      </c>
      <c r="AX528" s="3" t="n"/>
      <c r="AY528" s="3" t="n"/>
      <c r="AZ528" s="3" t="n"/>
      <c r="BA528" s="3" t="n"/>
      <c r="BB528" s="3" t="n">
        <v>5.95150995254517</v>
      </c>
      <c r="BC528" s="3" t="n">
        <v>5.16051006317139</v>
      </c>
      <c r="BD528" s="3" t="n"/>
      <c r="BE528" s="3" t="n"/>
      <c r="BF528" s="3" t="n"/>
      <c r="BG528" s="3" t="n"/>
      <c r="BH528" s="3" t="n">
        <v>5.18195009231567</v>
      </c>
      <c r="BI528" s="3" t="n">
        <v>5.60338020324707</v>
      </c>
      <c r="BJ528" s="3" t="n">
        <v>7.67742586135864</v>
      </c>
      <c r="BK528" s="3" t="n">
        <v>4.5334300994873</v>
      </c>
      <c r="BL528" s="3" t="n">
        <v>8.60634708404541</v>
      </c>
      <c r="BM528" s="3" t="n">
        <v>1.77407002449036</v>
      </c>
      <c r="BN528" s="3" t="n">
        <v>2.17358994483948</v>
      </c>
      <c r="BO528" s="3" t="n">
        <v>10.1102409362793</v>
      </c>
      <c r="BP528" s="3" t="n">
        <v>10.7033452987671</v>
      </c>
      <c r="BQ528" s="3" t="n">
        <v>10.6434001922607</v>
      </c>
      <c r="BR528" s="34" t="str">
        <f>B528&amp;"|"&amp;D528</f>
        <v>VUT|SE.XPD.TOTL.GD.ZS</v>
      </c>
    </row>
    <row r="529">
      <c r="A529" s="3" t="inlineStr">
        <is>
          <t>World</t>
        </is>
      </c>
      <c r="B529" s="3" t="inlineStr">
        <is>
          <t>WLD</t>
        </is>
      </c>
      <c r="C529" s="3" t="inlineStr">
        <is>
          <t>Government expenditure on education, total (% of GDP)</t>
        </is>
      </c>
      <c r="D529" s="3" t="inlineStr">
        <is>
          <t>SE.XPD.TOTL.GD.ZS</t>
        </is>
      </c>
      <c r="E529" s="3" t="n">
        <v>2022</v>
      </c>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c r="AD529" s="3" t="n"/>
      <c r="AE529" s="3" t="n"/>
      <c r="AF529" s="3" t="n"/>
      <c r="AG529" s="3" t="n"/>
      <c r="AH529" s="3" t="n"/>
      <c r="AI529" s="3" t="n"/>
      <c r="AJ529" s="3" t="n"/>
      <c r="AK529" s="3" t="n"/>
      <c r="AL529" s="3" t="n"/>
      <c r="AM529" s="3" t="n"/>
      <c r="AN529" s="3" t="n"/>
      <c r="AO529" s="3" t="n"/>
      <c r="AP529" s="3" t="n"/>
      <c r="AQ529" s="3" t="n"/>
      <c r="AR529" s="3" t="n"/>
      <c r="AS529" s="3" t="n">
        <v>4.06057500839233</v>
      </c>
      <c r="AT529" s="3" t="n">
        <v>3.875414967536925</v>
      </c>
      <c r="AU529" s="3" t="n">
        <v>4.04716014862061</v>
      </c>
      <c r="AV529" s="3" t="n">
        <v>4.033075094223025</v>
      </c>
      <c r="AW529" s="3" t="n">
        <v>4.189184904098511</v>
      </c>
      <c r="AX529" s="3" t="n">
        <v>4.06576943397522</v>
      </c>
      <c r="AY529" s="3" t="n">
        <v>4.06443023681641</v>
      </c>
      <c r="AZ529" s="3" t="n">
        <v>4.15651512145996</v>
      </c>
      <c r="BA529" s="3" t="n">
        <v>4.10503005981445</v>
      </c>
      <c r="BB529" s="3" t="n">
        <v>4.2781822681427</v>
      </c>
      <c r="BC529" s="3" t="n">
        <v>4.500805139541624</v>
      </c>
      <c r="BD529" s="3" t="n">
        <v>4.094322443008425</v>
      </c>
      <c r="BE529" s="3" t="n">
        <v>4.132525205612184</v>
      </c>
      <c r="BF529" s="3" t="n">
        <v>4.22964286804199</v>
      </c>
      <c r="BG529" s="3" t="n">
        <v>4.347214937210085</v>
      </c>
      <c r="BH529" s="3" t="n">
        <v>4.25936794281006</v>
      </c>
      <c r="BI529" s="3" t="n">
        <v>4.23460125923157</v>
      </c>
      <c r="BJ529" s="3" t="n">
        <v>4.17230987548828</v>
      </c>
      <c r="BK529" s="3" t="n">
        <v>4.18488502502441</v>
      </c>
      <c r="BL529" s="3" t="n">
        <v>4.09162998199463</v>
      </c>
      <c r="BM529" s="3" t="n">
        <v>4.13747954368591</v>
      </c>
      <c r="BN529" s="3" t="n">
        <v>4.44135999679565</v>
      </c>
      <c r="BO529" s="3" t="n">
        <v>4.24035573005676</v>
      </c>
      <c r="BP529" s="3" t="n">
        <v>3.774871587753295</v>
      </c>
      <c r="BQ529" s="3" t="n"/>
      <c r="BR529" s="34" t="str">
        <f>B529&amp;"|"&amp;D529</f>
        <v>WLD|SE.XPD.TOTL.GD.ZS</v>
      </c>
    </row>
    <row r="530">
      <c r="A530" s="3" t="inlineStr">
        <is>
          <t>Samoa</t>
        </is>
      </c>
      <c r="B530" s="3" t="inlineStr">
        <is>
          <t>WSM</t>
        </is>
      </c>
      <c r="C530" s="3" t="inlineStr">
        <is>
          <t>Government expenditure on education, total (% of GDP)</t>
        </is>
      </c>
      <c r="D530" s="3" t="inlineStr">
        <is>
          <t>SE.XPD.TOTL.GD.ZS</t>
        </is>
      </c>
      <c r="E530" s="3" t="n">
        <v>2023</v>
      </c>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c r="AD530" s="3" t="n"/>
      <c r="AE530" s="3" t="n"/>
      <c r="AF530" s="3" t="n"/>
      <c r="AG530" s="3" t="n"/>
      <c r="AH530" s="3" t="n"/>
      <c r="AI530" s="3" t="n"/>
      <c r="AJ530" s="3" t="n"/>
      <c r="AK530" s="3" t="n"/>
      <c r="AL530" s="3" t="n"/>
      <c r="AM530" s="3" t="n"/>
      <c r="AN530" s="3" t="n"/>
      <c r="AO530" s="3" t="n"/>
      <c r="AP530" s="3" t="n"/>
      <c r="AQ530" s="3" t="n"/>
      <c r="AR530" s="3" t="n"/>
      <c r="AS530" s="3" t="n">
        <v>4.0162501335144</v>
      </c>
      <c r="AT530" s="3" t="n">
        <v>3.63095998764038</v>
      </c>
      <c r="AU530" s="3" t="n">
        <v>3.97652006149292</v>
      </c>
      <c r="AV530" s="3" t="n">
        <v>3.93932008743286</v>
      </c>
      <c r="AW530" s="3" t="n"/>
      <c r="AX530" s="3" t="n"/>
      <c r="AY530" s="3" t="n"/>
      <c r="AZ530" s="3" t="n"/>
      <c r="BA530" s="3" t="n"/>
      <c r="BB530" s="3" t="n">
        <v>5.11659002304077</v>
      </c>
      <c r="BC530" s="3" t="n"/>
      <c r="BD530" s="3" t="n"/>
      <c r="BE530" s="3" t="n">
        <v>4.9480414390564</v>
      </c>
      <c r="BF530" s="3" t="n">
        <v>4.89170742034912</v>
      </c>
      <c r="BG530" s="3" t="n">
        <v>4.61486053466797</v>
      </c>
      <c r="BH530" s="3" t="n">
        <v>5.21744775772095</v>
      </c>
      <c r="BI530" s="3" t="n">
        <v>4.61519002914429</v>
      </c>
      <c r="BJ530" s="3" t="n">
        <v>4.34968376159668</v>
      </c>
      <c r="BK530" s="3" t="n">
        <v>3.96231913566589</v>
      </c>
      <c r="BL530" s="3" t="n">
        <v>4.26097393035889</v>
      </c>
      <c r="BM530" s="3" t="n">
        <v>4.39581727981567</v>
      </c>
      <c r="BN530" s="3" t="n">
        <v>4.48100519180298</v>
      </c>
      <c r="BO530" s="3" t="n">
        <v>5.2044882774353</v>
      </c>
      <c r="BP530" s="3" t="n">
        <v>4.88079118728638</v>
      </c>
      <c r="BQ530" s="3" t="n">
        <v>6.1134729385376</v>
      </c>
      <c r="BR530" s="34" t="str">
        <f>B530&amp;"|"&amp;D530</f>
        <v>WSM|SE.XPD.TOTL.GD.ZS</v>
      </c>
    </row>
    <row r="531">
      <c r="A531" s="3" t="inlineStr">
        <is>
          <t>Kosovo</t>
        </is>
      </c>
      <c r="B531" s="3" t="inlineStr">
        <is>
          <t>XKX</t>
        </is>
      </c>
      <c r="C531" s="3" t="inlineStr">
        <is>
          <t>Government expenditure on education, total (% of GDP)</t>
        </is>
      </c>
      <c r="D531" s="3" t="inlineStr">
        <is>
          <t>SE.XPD.TOTL.GD.ZS</t>
        </is>
      </c>
      <c r="E531" s="3" t="inlineStr">
        <is>
          <t>0x2a</t>
        </is>
      </c>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c r="AD531" s="3" t="n"/>
      <c r="AE531" s="3" t="n"/>
      <c r="AF531" s="3" t="n"/>
      <c r="AG531" s="3" t="n"/>
      <c r="AH531" s="3" t="n"/>
      <c r="AI531" s="3" t="n"/>
      <c r="AJ531" s="3" t="n"/>
      <c r="AK531" s="3" t="n"/>
      <c r="AL531" s="3" t="n"/>
      <c r="AM531" s="3" t="n"/>
      <c r="AN531" s="3" t="n"/>
      <c r="AO531" s="3" t="n"/>
      <c r="AP531" s="3" t="n"/>
      <c r="AQ531" s="3" t="n"/>
      <c r="AR531" s="3" t="n"/>
      <c r="AS531" s="3" t="n"/>
      <c r="AT531" s="3" t="n"/>
      <c r="AU531" s="3" t="n"/>
      <c r="AV531" s="3" t="n"/>
      <c r="AW531" s="3" t="n"/>
      <c r="AX531" s="3" t="n"/>
      <c r="AY531" s="3" t="n"/>
      <c r="AZ531" s="3" t="n"/>
      <c r="BA531" s="3" t="n"/>
      <c r="BB531" s="3" t="n"/>
      <c r="BC531" s="3" t="n"/>
      <c r="BD531" s="3" t="n"/>
      <c r="BE531" s="3" t="n"/>
      <c r="BF531" s="3" t="n"/>
      <c r="BG531" s="3" t="n"/>
      <c r="BH531" s="3" t="n"/>
      <c r="BI531" s="3" t="n"/>
      <c r="BJ531" s="3" t="n"/>
      <c r="BK531" s="3" t="n"/>
      <c r="BL531" s="3" t="n"/>
      <c r="BM531" s="3" t="n"/>
      <c r="BN531" s="3" t="n"/>
      <c r="BO531" s="3" t="n"/>
      <c r="BP531" s="3" t="n"/>
      <c r="BQ531" s="3" t="n"/>
      <c r="BR531" s="34" t="str">
        <f>B531&amp;"|"&amp;D531</f>
        <v>XKX|SE.XPD.TOTL.GD.ZS</v>
      </c>
    </row>
    <row r="532">
      <c r="A532" s="3" t="inlineStr">
        <is>
          <t>Yemen, Rep.</t>
        </is>
      </c>
      <c r="B532" s="3" t="inlineStr">
        <is>
          <t>YEM</t>
        </is>
      </c>
      <c r="C532" s="3" t="inlineStr">
        <is>
          <t>Government expenditure on education, total (% of GDP)</t>
        </is>
      </c>
      <c r="D532" s="3" t="inlineStr">
        <is>
          <t>SE.XPD.TOTL.GD.ZS</t>
        </is>
      </c>
      <c r="E532" s="3" t="n">
        <v>2012</v>
      </c>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c r="AD532" s="3" t="n"/>
      <c r="AE532" s="3" t="n"/>
      <c r="AF532" s="3" t="n"/>
      <c r="AG532" s="3" t="n"/>
      <c r="AH532" s="3" t="n"/>
      <c r="AI532" s="3" t="n"/>
      <c r="AJ532" s="3" t="n"/>
      <c r="AK532" s="3" t="n"/>
      <c r="AL532" s="3" t="n"/>
      <c r="AM532" s="3" t="n"/>
      <c r="AN532" s="3" t="n"/>
      <c r="AO532" s="3" t="n"/>
      <c r="AP532" s="3" t="n"/>
      <c r="AQ532" s="3" t="n"/>
      <c r="AR532" s="3" t="n"/>
      <c r="AS532" s="3" t="n"/>
      <c r="AT532" s="3" t="n">
        <v>9.661629676818849</v>
      </c>
      <c r="AU532" s="3" t="n">
        <v>9.244709968566889</v>
      </c>
      <c r="AV532" s="3" t="n">
        <v>6.32079648971558</v>
      </c>
      <c r="AW532" s="3" t="n">
        <v>5.94827938079834</v>
      </c>
      <c r="AX532" s="3" t="n">
        <v>5.5541467666626</v>
      </c>
      <c r="AY532" s="3" t="n">
        <v>5.15025568008423</v>
      </c>
      <c r="AZ532" s="3" t="n">
        <v>5.14441585540771</v>
      </c>
      <c r="BA532" s="3" t="n">
        <v>5.82878255844116</v>
      </c>
      <c r="BB532" s="3" t="n">
        <v>5.15143013000488</v>
      </c>
      <c r="BC532" s="3" t="n">
        <v>5.91624307632446</v>
      </c>
      <c r="BD532" s="3" t="n">
        <v>4.3922233581543</v>
      </c>
      <c r="BE532" s="3" t="n">
        <v>5.04202699661255</v>
      </c>
      <c r="BF532" s="3" t="n">
        <v>5.46478986740112</v>
      </c>
      <c r="BG532" s="3" t="n"/>
      <c r="BH532" s="3" t="n"/>
      <c r="BI532" s="3" t="n"/>
      <c r="BJ532" s="3" t="n"/>
      <c r="BK532" s="3" t="n"/>
      <c r="BL532" s="3" t="n"/>
      <c r="BM532" s="3" t="n"/>
      <c r="BN532" s="3" t="n"/>
      <c r="BO532" s="3" t="n"/>
      <c r="BP532" s="3" t="n"/>
      <c r="BQ532" s="3" t="n"/>
      <c r="BR532" s="34" t="str">
        <f>B532&amp;"|"&amp;D532</f>
        <v>YEM|SE.XPD.TOTL.GD.ZS</v>
      </c>
    </row>
    <row r="533">
      <c r="A533" s="3" t="inlineStr">
        <is>
          <t>South Africa</t>
        </is>
      </c>
      <c r="B533" s="3" t="inlineStr">
        <is>
          <t>ZAF</t>
        </is>
      </c>
      <c r="C533" s="3" t="inlineStr">
        <is>
          <t>Government expenditure on education, total (% of GDP)</t>
        </is>
      </c>
      <c r="D533" s="3" t="inlineStr">
        <is>
          <t>SE.XPD.TOTL.GD.ZS</t>
        </is>
      </c>
      <c r="E533" s="3" t="n">
        <v>2023</v>
      </c>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c r="AD533" s="3" t="n"/>
      <c r="AE533" s="3" t="n"/>
      <c r="AF533" s="3" t="n"/>
      <c r="AG533" s="3" t="n">
        <v>4.75367021560669</v>
      </c>
      <c r="AH533" s="3" t="n">
        <v>4.85423994064331</v>
      </c>
      <c r="AI533" s="3" t="n">
        <v>4.44185018539429</v>
      </c>
      <c r="AJ533" s="3" t="n">
        <v>4.69767999649048</v>
      </c>
      <c r="AK533" s="3" t="n">
        <v>5.25961017608643</v>
      </c>
      <c r="AL533" s="3" t="n"/>
      <c r="AM533" s="3" t="n">
        <v>5.38889980316162</v>
      </c>
      <c r="AN533" s="3" t="n">
        <v>5.29777002334595</v>
      </c>
      <c r="AO533" s="3" t="n"/>
      <c r="AP533" s="3" t="n">
        <v>5.04734992980957</v>
      </c>
      <c r="AQ533" s="3" t="n"/>
      <c r="AR533" s="3" t="n"/>
      <c r="AS533" s="3" t="n">
        <v>5.29117012023926</v>
      </c>
      <c r="AT533" s="3" t="n">
        <v>4.90881013870239</v>
      </c>
      <c r="AU533" s="3" t="n">
        <v>4.63617992401123</v>
      </c>
      <c r="AV533" s="3" t="n">
        <v>4.54569005966187</v>
      </c>
      <c r="AW533" s="3" t="n">
        <v>4.35209989547729</v>
      </c>
      <c r="AX533" s="3" t="n">
        <v>4.50897979736328</v>
      </c>
      <c r="AY533" s="3" t="n">
        <v>4.52449989318848</v>
      </c>
      <c r="AZ533" s="3" t="n">
        <v>4.52651977539062</v>
      </c>
      <c r="BA533" s="3" t="n">
        <v>4.4466700553894</v>
      </c>
      <c r="BB533" s="3" t="n">
        <v>4.37424993515015</v>
      </c>
      <c r="BC533" s="3" t="n">
        <v>4.76118993759155</v>
      </c>
      <c r="BD533" s="3" t="n">
        <v>5.13497018814087</v>
      </c>
      <c r="BE533" s="3" t="n">
        <v>5.28898000717163</v>
      </c>
      <c r="BF533" s="3" t="n">
        <v>5.52323007583618</v>
      </c>
      <c r="BG533" s="3" t="n">
        <v>5.35071992874146</v>
      </c>
      <c r="BH533" s="3" t="n">
        <v>5.48977994918823</v>
      </c>
      <c r="BI533" s="3" t="n">
        <v>5.48285007476807</v>
      </c>
      <c r="BJ533" s="3" t="n">
        <v>5.4442400932312</v>
      </c>
      <c r="BK533" s="3" t="n">
        <v>5.59867000579834</v>
      </c>
      <c r="BL533" s="3" t="n">
        <v>5.64401006698608</v>
      </c>
      <c r="BM533" s="3" t="n">
        <v>5.91158008575439</v>
      </c>
      <c r="BN533" s="3" t="n">
        <v>6.17067003250122</v>
      </c>
      <c r="BO533" s="3" t="n">
        <v>6.54902982711792</v>
      </c>
      <c r="BP533" s="3" t="n">
        <v>6.16726016998291</v>
      </c>
      <c r="BQ533" s="3" t="n">
        <v>6.14838981628418</v>
      </c>
      <c r="BR533" s="34" t="str">
        <f>B533&amp;"|"&amp;D533</f>
        <v>ZAF|SE.XPD.TOTL.GD.ZS</v>
      </c>
    </row>
    <row r="534">
      <c r="A534" s="3" t="inlineStr">
        <is>
          <t>Zambia</t>
        </is>
      </c>
      <c r="B534" s="3" t="inlineStr">
        <is>
          <t>ZMB</t>
        </is>
      </c>
      <c r="C534" s="3" t="inlineStr">
        <is>
          <t>Government expenditure on education, total (% of GDP)</t>
        </is>
      </c>
      <c r="D534" s="3" t="inlineStr">
        <is>
          <t>SE.XPD.TOTL.GD.ZS</t>
        </is>
      </c>
      <c r="E534" s="3" t="n">
        <v>2022</v>
      </c>
      <c r="F534" s="3" t="n"/>
      <c r="G534" s="3" t="n"/>
      <c r="H534" s="3" t="n"/>
      <c r="I534" s="3" t="n"/>
      <c r="J534" s="3" t="n"/>
      <c r="K534" s="3" t="n"/>
      <c r="L534" s="3" t="n"/>
      <c r="M534" s="3" t="n"/>
      <c r="N534" s="3" t="n"/>
      <c r="O534" s="3" t="n"/>
      <c r="P534" s="3" t="n">
        <v>4.38781023025513</v>
      </c>
      <c r="Q534" s="3" t="n">
        <v>6.09534978866577</v>
      </c>
      <c r="R534" s="3" t="n">
        <v>5.94578981399536</v>
      </c>
      <c r="S534" s="3" t="n">
        <v>5.48807001113892</v>
      </c>
      <c r="T534" s="3" t="n">
        <v>4.87800979614258</v>
      </c>
      <c r="U534" s="3" t="n">
        <v>6.2385401725769</v>
      </c>
      <c r="V534" s="3" t="n">
        <v>6.026939868927</v>
      </c>
      <c r="W534" s="3" t="n">
        <v>5.69251012802124</v>
      </c>
      <c r="X534" s="3" t="n">
        <v>4.74074983596802</v>
      </c>
      <c r="Y534" s="3" t="n">
        <v>4.15494012832642</v>
      </c>
      <c r="Z534" s="3" t="n">
        <v>4.12670993804932</v>
      </c>
      <c r="AA534" s="3" t="n">
        <v>4.00072002410889</v>
      </c>
      <c r="AB534" s="3" t="n">
        <v>5.15487003326416</v>
      </c>
      <c r="AC534" s="3" t="n">
        <v>5.38802003860474</v>
      </c>
      <c r="AD534" s="3" t="n">
        <v>4.98856019973755</v>
      </c>
      <c r="AE534" s="3" t="n">
        <v>4.14584016799927</v>
      </c>
      <c r="AF534" s="3" t="n">
        <v>3.33898997306824</v>
      </c>
      <c r="AG534" s="3" t="n">
        <v>2.66226005554199</v>
      </c>
      <c r="AH534" s="3" t="n"/>
      <c r="AI534" s="3" t="n"/>
      <c r="AJ534" s="3" t="n"/>
      <c r="AK534" s="3" t="n">
        <v>2.74057006835938</v>
      </c>
      <c r="AL534" s="3" t="n">
        <v>2.09159994125366</v>
      </c>
      <c r="AM534" s="3" t="n">
        <v>1.94208002090454</v>
      </c>
      <c r="AN534" s="3" t="n">
        <v>1.79351997375488</v>
      </c>
      <c r="AO534" s="3" t="n">
        <v>1.83852994441986</v>
      </c>
      <c r="AP534" s="3" t="n"/>
      <c r="AQ534" s="3" t="n"/>
      <c r="AR534" s="3" t="n">
        <v>2.11823010444641</v>
      </c>
      <c r="AS534" s="3" t="n">
        <v>1.77495002746582</v>
      </c>
      <c r="AT534" s="3" t="n">
        <v>1.78819000720978</v>
      </c>
      <c r="AU534" s="3" t="n"/>
      <c r="AV534" s="3" t="n"/>
      <c r="AW534" s="3" t="n"/>
      <c r="AX534" s="3" t="n">
        <v>2.46342992782593</v>
      </c>
      <c r="AY534" s="3" t="n">
        <v>1.73553001880646</v>
      </c>
      <c r="AZ534" s="3" t="n"/>
      <c r="BA534" s="3" t="n">
        <v>1.24075996875763</v>
      </c>
      <c r="BB534" s="3" t="n">
        <v>1.0997200012207</v>
      </c>
      <c r="BC534" s="3" t="n"/>
      <c r="BD534" s="3" t="n">
        <v>3.41600441932678</v>
      </c>
      <c r="BE534" s="3" t="n">
        <v>3.35772275924683</v>
      </c>
      <c r="BF534" s="3" t="n">
        <v>3.69500231742859</v>
      </c>
      <c r="BG534" s="3" t="n">
        <v>3.71820712089539</v>
      </c>
      <c r="BH534" s="3" t="n"/>
      <c r="BI534" s="3" t="n">
        <v>4.62433004379272</v>
      </c>
      <c r="BJ534" s="3" t="n">
        <v>3.74792003631592</v>
      </c>
      <c r="BK534" s="3" t="n">
        <v>3.72964000701904</v>
      </c>
      <c r="BL534" s="3" t="n">
        <v>4.73974990844727</v>
      </c>
      <c r="BM534" s="3" t="n">
        <v>4.41824007034302</v>
      </c>
      <c r="BN534" s="3" t="n">
        <v>3.94964814186096</v>
      </c>
      <c r="BO534" s="3" t="n">
        <v>3.10643219947815</v>
      </c>
      <c r="BP534" s="3" t="n">
        <v>3.58259510993958</v>
      </c>
      <c r="BQ534" s="3" t="n"/>
      <c r="BR534" s="34" t="str">
        <f>B534&amp;"|"&amp;D534</f>
        <v>ZMB|SE.XPD.TOTL.GD.ZS</v>
      </c>
    </row>
    <row r="535">
      <c r="A535" s="3" t="inlineStr">
        <is>
          <t>Zimbabwe</t>
        </is>
      </c>
      <c r="B535" s="3" t="inlineStr">
        <is>
          <t>ZWE</t>
        </is>
      </c>
      <c r="C535" s="3" t="inlineStr">
        <is>
          <t>Government expenditure on education, total (% of GDP)</t>
        </is>
      </c>
      <c r="D535" s="3" t="inlineStr">
        <is>
          <t>SE.XPD.TOTL.GD.ZS</t>
        </is>
      </c>
      <c r="E535" s="3" t="n">
        <v>2018</v>
      </c>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v>2.31784009933472</v>
      </c>
      <c r="Z535" s="3" t="n">
        <v>2.54417991638184</v>
      </c>
      <c r="AA535" s="3" t="n">
        <v>3.35154008865356</v>
      </c>
      <c r="AB535" s="3" t="n"/>
      <c r="AC535" s="3" t="n">
        <v>4.14548015594482</v>
      </c>
      <c r="AD535" s="3" t="n">
        <v>5.79150009155273</v>
      </c>
      <c r="AE535" s="3" t="n">
        <v>7.41926002502441</v>
      </c>
      <c r="AF535" s="3" t="n"/>
      <c r="AG535" s="3" t="n">
        <v>11.6447601318359</v>
      </c>
      <c r="AH535" s="3" t="n">
        <v>12.3372898101807</v>
      </c>
      <c r="AI535" s="3" t="n">
        <v>12.2842302322388</v>
      </c>
      <c r="AJ535" s="3" t="n">
        <v>12.4542598724365</v>
      </c>
      <c r="AK535" s="3" t="n"/>
      <c r="AL535" s="3" t="n">
        <v>22.3222103118896</v>
      </c>
      <c r="AM535" s="3" t="n"/>
      <c r="AN535" s="3" t="n">
        <v>44.3339805603027</v>
      </c>
      <c r="AO535" s="3" t="n"/>
      <c r="AP535" s="3" t="n"/>
      <c r="AQ535" s="3" t="n"/>
      <c r="AR535" s="3" t="n"/>
      <c r="AS535" s="3" t="n"/>
      <c r="AT535" s="3" t="n"/>
      <c r="AU535" s="3" t="n"/>
      <c r="AV535" s="3" t="n"/>
      <c r="AW535" s="3" t="n"/>
      <c r="AX535" s="3" t="n"/>
      <c r="AY535" s="3" t="n"/>
      <c r="AZ535" s="3" t="n"/>
      <c r="BA535" s="3" t="n"/>
      <c r="BB535" s="3" t="n"/>
      <c r="BC535" s="3" t="n"/>
      <c r="BD535" s="3" t="n">
        <v>1.54405999183655</v>
      </c>
      <c r="BE535" s="3" t="n"/>
      <c r="BF535" s="3" t="n">
        <v>6.07020998001099</v>
      </c>
      <c r="BG535" s="3" t="n">
        <v>5.99597978591919</v>
      </c>
      <c r="BH535" s="3" t="n">
        <v>6.13835000991821</v>
      </c>
      <c r="BI535" s="3" t="n"/>
      <c r="BJ535" s="3" t="n"/>
      <c r="BK535" s="3" t="n">
        <v>5.81877994537354</v>
      </c>
      <c r="BL535" s="3" t="n">
        <v>2.05048990249634</v>
      </c>
      <c r="BM535" s="3" t="n"/>
      <c r="BN535" s="3" t="n"/>
      <c r="BO535" s="3" t="n"/>
      <c r="BP535" s="3" t="n"/>
      <c r="BQ535" s="3" t="n"/>
      <c r="BR535" s="34" t="str">
        <f>B535&amp;"|"&amp;D535</f>
        <v>ZWE|SE.XPD.TOTL.GD.ZS</v>
      </c>
    </row>
    <row r="536">
      <c r="A536" s="3" t="inlineStr">
        <is>
          <t>Aruba</t>
        </is>
      </c>
      <c r="B536" s="3" t="inlineStr">
        <is>
          <t>ABW</t>
        </is>
      </c>
      <c r="C536" s="3" t="inlineStr">
        <is>
          <t>Current health expenditure (% of GDP)</t>
        </is>
      </c>
      <c r="D536" s="3" t="inlineStr">
        <is>
          <t>SH.XPD.CHEX.GD.ZS</t>
        </is>
      </c>
      <c r="E536" s="3" t="inlineStr">
        <is>
          <t>0x2a</t>
        </is>
      </c>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c r="AD536" s="3" t="n"/>
      <c r="AE536" s="3" t="n"/>
      <c r="AF536" s="3" t="n"/>
      <c r="AG536" s="3" t="n"/>
      <c r="AH536" s="3" t="n"/>
      <c r="AI536" s="3" t="n"/>
      <c r="AJ536" s="3" t="n"/>
      <c r="AK536" s="3" t="n"/>
      <c r="AL536" s="3" t="n"/>
      <c r="AM536" s="3" t="n"/>
      <c r="AN536" s="3" t="n"/>
      <c r="AO536" s="3" t="n"/>
      <c r="AP536" s="3" t="n"/>
      <c r="AQ536" s="3" t="n"/>
      <c r="AR536" s="3" t="n"/>
      <c r="AS536" s="3" t="n"/>
      <c r="AT536" s="3" t="n"/>
      <c r="AU536" s="3" t="n"/>
      <c r="AV536" s="3" t="n"/>
      <c r="AW536" s="3" t="n"/>
      <c r="AX536" s="3" t="n"/>
      <c r="AY536" s="3" t="n"/>
      <c r="AZ536" s="3" t="n"/>
      <c r="BA536" s="3" t="n"/>
      <c r="BB536" s="3" t="n"/>
      <c r="BC536" s="3" t="n"/>
      <c r="BD536" s="3" t="n"/>
      <c r="BE536" s="3" t="n"/>
      <c r="BF536" s="3" t="n"/>
      <c r="BG536" s="3" t="n"/>
      <c r="BH536" s="3" t="n"/>
      <c r="BI536" s="3" t="n"/>
      <c r="BJ536" s="3" t="n"/>
      <c r="BK536" s="3" t="n"/>
      <c r="BL536" s="3" t="n"/>
      <c r="BM536" s="3" t="n"/>
      <c r="BN536" s="3" t="n"/>
      <c r="BO536" s="3" t="n"/>
      <c r="BP536" s="3" t="n"/>
      <c r="BQ536" s="3" t="n"/>
      <c r="BR536" s="34" t="str">
        <f>B536&amp;"|"&amp;D536</f>
        <v>ABW|SH.XPD.CHEX.GD.ZS</v>
      </c>
    </row>
    <row r="537">
      <c r="A537" s="3" t="inlineStr">
        <is>
          <t>Africa Eastern and Southern</t>
        </is>
      </c>
      <c r="B537" s="3" t="inlineStr">
        <is>
          <t>AFE</t>
        </is>
      </c>
      <c r="C537" s="3" t="inlineStr">
        <is>
          <t>Current health expenditure (% of GDP)</t>
        </is>
      </c>
      <c r="D537" s="3" t="inlineStr">
        <is>
          <t>SH.XPD.CHEX.GD.ZS</t>
        </is>
      </c>
      <c r="E537" s="3" t="n">
        <v>2021</v>
      </c>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c r="AD537" s="3" t="n"/>
      <c r="AE537" s="3" t="n"/>
      <c r="AF537" s="3" t="n"/>
      <c r="AG537" s="3" t="n"/>
      <c r="AH537" s="3" t="n"/>
      <c r="AI537" s="3" t="n"/>
      <c r="AJ537" s="3" t="n"/>
      <c r="AK537" s="3" t="n"/>
      <c r="AL537" s="3" t="n"/>
      <c r="AM537" s="3" t="n"/>
      <c r="AN537" s="3" t="n"/>
      <c r="AO537" s="3" t="n"/>
      <c r="AP537" s="3" t="n"/>
      <c r="AQ537" s="3" t="n"/>
      <c r="AR537" s="3" t="n"/>
      <c r="AS537" s="3" t="n"/>
      <c r="AT537" s="3" t="n">
        <v>5.656959670849637</v>
      </c>
      <c r="AU537" s="3" t="n">
        <v>5.818257331461119</v>
      </c>
      <c r="AV537" s="3" t="n">
        <v>5.447206389070747</v>
      </c>
      <c r="AW537" s="3" t="n">
        <v>6.029446782006428</v>
      </c>
      <c r="AX537" s="3" t="n">
        <v>6.115127586013623</v>
      </c>
      <c r="AY537" s="3" t="n">
        <v>5.960903112094326</v>
      </c>
      <c r="AZ537" s="3" t="n">
        <v>5.981045662252296</v>
      </c>
      <c r="BA537" s="3" t="n">
        <v>6.001088123799682</v>
      </c>
      <c r="BB537" s="3" t="n">
        <v>5.891980811577564</v>
      </c>
      <c r="BC537" s="3" t="n">
        <v>6.407416747474784</v>
      </c>
      <c r="BD537" s="3" t="n">
        <v>6.445274354715585</v>
      </c>
      <c r="BE537" s="3" t="n">
        <v>6.354502890808295</v>
      </c>
      <c r="BF537" s="3" t="n">
        <v>6.168262676994305</v>
      </c>
      <c r="BG537" s="3" t="n">
        <v>6.179715998580563</v>
      </c>
      <c r="BH537" s="3" t="n">
        <v>5.840838327356225</v>
      </c>
      <c r="BI537" s="3" t="n">
        <v>5.998179705860002</v>
      </c>
      <c r="BJ537" s="3" t="n">
        <v>6.097985921737774</v>
      </c>
      <c r="BK537" s="3" t="n">
        <v>5.953892184794123</v>
      </c>
      <c r="BL537" s="3" t="n">
        <v>5.809333942853291</v>
      </c>
      <c r="BM537" s="3" t="n">
        <v>5.830223372784915</v>
      </c>
      <c r="BN537" s="3" t="n">
        <v>5.881778983445441</v>
      </c>
      <c r="BO537" s="3" t="n">
        <v>5.865552576213418</v>
      </c>
      <c r="BP537" s="3" t="n"/>
      <c r="BQ537" s="3" t="n"/>
      <c r="BR537" s="34" t="str">
        <f>B537&amp;"|"&amp;D537</f>
        <v>AFE|SH.XPD.CHEX.GD.ZS</v>
      </c>
    </row>
    <row r="538">
      <c r="A538" s="3" t="inlineStr">
        <is>
          <t>Afghanistan</t>
        </is>
      </c>
      <c r="B538" s="3" t="inlineStr">
        <is>
          <t>AFG</t>
        </is>
      </c>
      <c r="C538" s="3" t="inlineStr">
        <is>
          <t>Current health expenditure (% of GDP)</t>
        </is>
      </c>
      <c r="D538" s="3" t="inlineStr">
        <is>
          <t>SH.XPD.CHEX.GD.ZS</t>
        </is>
      </c>
      <c r="E538" s="3" t="n">
        <v>2021</v>
      </c>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c r="AD538" s="3" t="n"/>
      <c r="AE538" s="3" t="n"/>
      <c r="AF538" s="3" t="n"/>
      <c r="AG538" s="3" t="n"/>
      <c r="AH538" s="3" t="n"/>
      <c r="AI538" s="3" t="n"/>
      <c r="AJ538" s="3" t="n"/>
      <c r="AK538" s="3" t="n"/>
      <c r="AL538" s="3" t="n"/>
      <c r="AM538" s="3" t="n"/>
      <c r="AN538" s="3" t="n"/>
      <c r="AO538" s="3" t="n"/>
      <c r="AP538" s="3" t="n"/>
      <c r="AQ538" s="3" t="n"/>
      <c r="AR538" s="3" t="n"/>
      <c r="AS538" s="3" t="n"/>
      <c r="AT538" s="3" t="n"/>
      <c r="AU538" s="3" t="n"/>
      <c r="AV538" s="3" t="n">
        <v>9.44339085</v>
      </c>
      <c r="AW538" s="3" t="n">
        <v>8.94125843</v>
      </c>
      <c r="AX538" s="3" t="n">
        <v>9.80847359</v>
      </c>
      <c r="AY538" s="3" t="n">
        <v>9.94828892</v>
      </c>
      <c r="AZ538" s="3" t="n">
        <v>10.62276554</v>
      </c>
      <c r="BA538" s="3" t="n">
        <v>9.904674529999999</v>
      </c>
      <c r="BB538" s="3" t="n">
        <v>10.25649548</v>
      </c>
      <c r="BC538" s="3" t="n">
        <v>9.818487169999999</v>
      </c>
      <c r="BD538" s="3" t="n">
        <v>8.56967163</v>
      </c>
      <c r="BE538" s="3" t="n">
        <v>8.561907769999999</v>
      </c>
      <c r="BF538" s="3" t="n">
        <v>7.89716864</v>
      </c>
      <c r="BG538" s="3" t="n">
        <v>8.805964469999999</v>
      </c>
      <c r="BH538" s="3" t="n">
        <v>9.52887821</v>
      </c>
      <c r="BI538" s="3" t="n">
        <v>10.10534763</v>
      </c>
      <c r="BJ538" s="3" t="n">
        <v>11.81859016</v>
      </c>
      <c r="BK538" s="3" t="n">
        <v>12.62081718</v>
      </c>
      <c r="BL538" s="3" t="n">
        <v>14.20841885</v>
      </c>
      <c r="BM538" s="3" t="n">
        <v>14.83131981</v>
      </c>
      <c r="BN538" s="3" t="n">
        <v>15.53361416</v>
      </c>
      <c r="BO538" s="3" t="n">
        <v>21.82794952</v>
      </c>
      <c r="BP538" s="3" t="n"/>
      <c r="BQ538" s="3" t="n"/>
      <c r="BR538" s="34" t="str">
        <f>B538&amp;"|"&amp;D538</f>
        <v>AFG|SH.XPD.CHEX.GD.ZS</v>
      </c>
    </row>
    <row r="539">
      <c r="A539" s="3" t="inlineStr">
        <is>
          <t>Africa Western and Central</t>
        </is>
      </c>
      <c r="B539" s="3" t="inlineStr">
        <is>
          <t>AFW</t>
        </is>
      </c>
      <c r="C539" s="3" t="inlineStr">
        <is>
          <t>Current health expenditure (% of GDP)</t>
        </is>
      </c>
      <c r="D539" s="3" t="inlineStr">
        <is>
          <t>SH.XPD.CHEX.GD.ZS</t>
        </is>
      </c>
      <c r="E539" s="3" t="n">
        <v>2021</v>
      </c>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c r="AD539" s="3" t="n"/>
      <c r="AE539" s="3" t="n"/>
      <c r="AF539" s="3" t="n"/>
      <c r="AG539" s="3" t="n"/>
      <c r="AH539" s="3" t="n"/>
      <c r="AI539" s="3" t="n"/>
      <c r="AJ539" s="3" t="n"/>
      <c r="AK539" s="3" t="n"/>
      <c r="AL539" s="3" t="n"/>
      <c r="AM539" s="3" t="n"/>
      <c r="AN539" s="3" t="n"/>
      <c r="AO539" s="3" t="n"/>
      <c r="AP539" s="3" t="n"/>
      <c r="AQ539" s="3" t="n"/>
      <c r="AR539" s="3" t="n"/>
      <c r="AS539" s="3" t="n"/>
      <c r="AT539" s="3" t="n">
        <v>3.723750099525148</v>
      </c>
      <c r="AU539" s="3" t="n">
        <v>3.720807744072002</v>
      </c>
      <c r="AV539" s="3" t="n">
        <v>3.366085691058245</v>
      </c>
      <c r="AW539" s="3" t="n">
        <v>4.619193609778899</v>
      </c>
      <c r="AX539" s="3" t="n">
        <v>4.426386264208436</v>
      </c>
      <c r="AY539" s="3" t="n">
        <v>4.231252960951155</v>
      </c>
      <c r="AZ539" s="3" t="n">
        <v>4.105236421897039</v>
      </c>
      <c r="BA539" s="3" t="n">
        <v>3.857491509527261</v>
      </c>
      <c r="BB539" s="3" t="n">
        <v>3.678161141991243</v>
      </c>
      <c r="BC539" s="3" t="n">
        <v>3.765718195589426</v>
      </c>
      <c r="BD539" s="3" t="n">
        <v>3.498501512873804</v>
      </c>
      <c r="BE539" s="3" t="n">
        <v>3.523383573906306</v>
      </c>
      <c r="BF539" s="3" t="n">
        <v>3.489340457267253</v>
      </c>
      <c r="BG539" s="3" t="n">
        <v>3.603167917853616</v>
      </c>
      <c r="BH539" s="3" t="n">
        <v>3.583835465224085</v>
      </c>
      <c r="BI539" s="3" t="n">
        <v>3.806467510529211</v>
      </c>
      <c r="BJ539" s="3" t="n">
        <v>3.796931467703933</v>
      </c>
      <c r="BK539" s="3" t="n">
        <v>3.81735466622773</v>
      </c>
      <c r="BL539" s="3" t="n">
        <v>3.430337751749229</v>
      </c>
      <c r="BM539" s="3" t="n">
        <v>3.417184441343587</v>
      </c>
      <c r="BN539" s="3" t="n">
        <v>3.840715340956189</v>
      </c>
      <c r="BO539" s="3" t="n">
        <v>4.140713496736628</v>
      </c>
      <c r="BP539" s="3" t="n"/>
      <c r="BQ539" s="3" t="n"/>
      <c r="BR539" s="34" t="str">
        <f>B539&amp;"|"&amp;D539</f>
        <v>AFW|SH.XPD.CHEX.GD.ZS</v>
      </c>
    </row>
    <row r="540">
      <c r="A540" s="3" t="inlineStr">
        <is>
          <t>Angola</t>
        </is>
      </c>
      <c r="B540" s="3" t="inlineStr">
        <is>
          <t>AGO</t>
        </is>
      </c>
      <c r="C540" s="3" t="inlineStr">
        <is>
          <t>Current health expenditure (% of GDP)</t>
        </is>
      </c>
      <c r="D540" s="3" t="inlineStr">
        <is>
          <t>SH.XPD.CHEX.GD.ZS</t>
        </is>
      </c>
      <c r="E540" s="3" t="n">
        <v>2021</v>
      </c>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c r="AD540" s="3" t="n"/>
      <c r="AE540" s="3" t="n"/>
      <c r="AF540" s="3" t="n"/>
      <c r="AG540" s="3" t="n"/>
      <c r="AH540" s="3" t="n"/>
      <c r="AI540" s="3" t="n"/>
      <c r="AJ540" s="3" t="n"/>
      <c r="AK540" s="3" t="n"/>
      <c r="AL540" s="3" t="n"/>
      <c r="AM540" s="3" t="n"/>
      <c r="AN540" s="3" t="n"/>
      <c r="AO540" s="3" t="n"/>
      <c r="AP540" s="3" t="n"/>
      <c r="AQ540" s="3" t="n"/>
      <c r="AR540" s="3" t="n"/>
      <c r="AS540" s="3" t="n"/>
      <c r="AT540" s="3" t="n">
        <v>1.90859938</v>
      </c>
      <c r="AU540" s="3" t="n">
        <v>4.48351622</v>
      </c>
      <c r="AV540" s="3" t="n">
        <v>3.32946134</v>
      </c>
      <c r="AW540" s="3" t="n">
        <v>3.54797316</v>
      </c>
      <c r="AX540" s="3" t="n">
        <v>3.96719909</v>
      </c>
      <c r="AY540" s="3" t="n">
        <v>2.85219526</v>
      </c>
      <c r="AZ540" s="3" t="n">
        <v>2.68553543</v>
      </c>
      <c r="BA540" s="3" t="n">
        <v>2.97439122</v>
      </c>
      <c r="BB540" s="3" t="n">
        <v>3.32290339</v>
      </c>
      <c r="BC540" s="3" t="n">
        <v>3.84260798</v>
      </c>
      <c r="BD540" s="3" t="n">
        <v>2.69509959</v>
      </c>
      <c r="BE540" s="3" t="n">
        <v>2.64560771</v>
      </c>
      <c r="BF540" s="3" t="n">
        <v>2.39574957</v>
      </c>
      <c r="BG540" s="3" t="n">
        <v>2.73282695</v>
      </c>
      <c r="BH540" s="3" t="n">
        <v>2.43412876</v>
      </c>
      <c r="BI540" s="3" t="n">
        <v>2.60579467</v>
      </c>
      <c r="BJ540" s="3" t="n">
        <v>2.71314979</v>
      </c>
      <c r="BK540" s="3" t="n">
        <v>2.79383755</v>
      </c>
      <c r="BL540" s="3" t="n">
        <v>2.58879566</v>
      </c>
      <c r="BM540" s="3" t="n">
        <v>2.47517991</v>
      </c>
      <c r="BN540" s="3" t="n">
        <v>3.22070646</v>
      </c>
      <c r="BO540" s="3" t="n">
        <v>2.96010613</v>
      </c>
      <c r="BP540" s="3" t="n"/>
      <c r="BQ540" s="3" t="n"/>
      <c r="BR540" s="34" t="str">
        <f>B540&amp;"|"&amp;D540</f>
        <v>AGO|SH.XPD.CHEX.GD.ZS</v>
      </c>
    </row>
    <row r="541">
      <c r="A541" s="3" t="inlineStr">
        <is>
          <t>Albania</t>
        </is>
      </c>
      <c r="B541" s="3" t="inlineStr">
        <is>
          <t>ALB</t>
        </is>
      </c>
      <c r="C541" s="3" t="inlineStr">
        <is>
          <t>Current health expenditure (% of GDP)</t>
        </is>
      </c>
      <c r="D541" s="3" t="inlineStr">
        <is>
          <t>SH.XPD.CHEX.GD.ZS</t>
        </is>
      </c>
      <c r="E541" s="3" t="n">
        <v>2021</v>
      </c>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c r="AD541" s="3" t="n"/>
      <c r="AE541" s="3" t="n"/>
      <c r="AF541" s="3" t="n"/>
      <c r="AG541" s="3" t="n"/>
      <c r="AH541" s="3" t="n"/>
      <c r="AI541" s="3" t="n"/>
      <c r="AJ541" s="3" t="n"/>
      <c r="AK541" s="3" t="n"/>
      <c r="AL541" s="3" t="n"/>
      <c r="AM541" s="3" t="n"/>
      <c r="AN541" s="3" t="n"/>
      <c r="AO541" s="3" t="n"/>
      <c r="AP541" s="3" t="n"/>
      <c r="AQ541" s="3" t="n"/>
      <c r="AR541" s="3" t="n"/>
      <c r="AS541" s="3" t="n"/>
      <c r="AT541" s="3" t="n">
        <v>5.94419765</v>
      </c>
      <c r="AU541" s="3" t="n">
        <v>5.92584515</v>
      </c>
      <c r="AV541" s="3" t="n">
        <v>5.66464472</v>
      </c>
      <c r="AW541" s="3" t="n">
        <v>5.91140795</v>
      </c>
      <c r="AX541" s="3" t="n">
        <v>5.89364862</v>
      </c>
      <c r="AY541" s="3" t="n">
        <v>5.72954512</v>
      </c>
      <c r="AZ541" s="3" t="n">
        <v>5.63177013</v>
      </c>
      <c r="BA541" s="3" t="n">
        <v>5.92609119</v>
      </c>
      <c r="BB541" s="3" t="n">
        <v>5.50900269</v>
      </c>
      <c r="BC541" s="3" t="n">
        <v>5.82603931</v>
      </c>
      <c r="BD541" s="3" t="n">
        <v>6.23667669</v>
      </c>
      <c r="BE541" s="3" t="n">
        <v>6.18297672</v>
      </c>
      <c r="BF541" s="3" t="n">
        <v>6.15746212</v>
      </c>
      <c r="BG541" s="3" t="n">
        <v>6.28286266</v>
      </c>
      <c r="BH541" s="3" t="n">
        <v>6.43451118</v>
      </c>
      <c r="BI541" s="3" t="n">
        <v>6.46411896</v>
      </c>
      <c r="BJ541" s="3" t="n">
        <v>6.7293272</v>
      </c>
      <c r="BK541" s="3" t="n">
        <v>6.57848787</v>
      </c>
      <c r="BL541" s="3" t="n">
        <v>6.66844559</v>
      </c>
      <c r="BM541" s="3" t="n">
        <v>6.86214113</v>
      </c>
      <c r="BN541" s="3" t="n">
        <v>7.51920271</v>
      </c>
      <c r="BO541" s="3" t="n">
        <v>7.26731825</v>
      </c>
      <c r="BP541" s="3" t="n"/>
      <c r="BQ541" s="3" t="n"/>
      <c r="BR541" s="34" t="str">
        <f>B541&amp;"|"&amp;D541</f>
        <v>ALB|SH.XPD.CHEX.GD.ZS</v>
      </c>
    </row>
    <row r="542">
      <c r="A542" s="3" t="inlineStr">
        <is>
          <t>Andorra</t>
        </is>
      </c>
      <c r="B542" s="3" t="inlineStr">
        <is>
          <t>AND</t>
        </is>
      </c>
      <c r="C542" s="3" t="inlineStr">
        <is>
          <t>Current health expenditure (% of GDP)</t>
        </is>
      </c>
      <c r="D542" s="3" t="inlineStr">
        <is>
          <t>SH.XPD.CHEX.GD.ZS</t>
        </is>
      </c>
      <c r="E542" s="3" t="n">
        <v>2021</v>
      </c>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c r="AD542" s="3" t="n"/>
      <c r="AE542" s="3" t="n"/>
      <c r="AF542" s="3" t="n"/>
      <c r="AG542" s="3" t="n"/>
      <c r="AH542" s="3" t="n"/>
      <c r="AI542" s="3" t="n"/>
      <c r="AJ542" s="3" t="n"/>
      <c r="AK542" s="3" t="n"/>
      <c r="AL542" s="3" t="n"/>
      <c r="AM542" s="3" t="n"/>
      <c r="AN542" s="3" t="n"/>
      <c r="AO542" s="3" t="n"/>
      <c r="AP542" s="3" t="n"/>
      <c r="AQ542" s="3" t="n"/>
      <c r="AR542" s="3" t="n"/>
      <c r="AS542" s="3" t="n"/>
      <c r="AT542" s="3" t="n">
        <v>5.95276403</v>
      </c>
      <c r="AU542" s="3" t="n">
        <v>5.85823727</v>
      </c>
      <c r="AV542" s="3" t="n">
        <v>5.99621153</v>
      </c>
      <c r="AW542" s="3" t="n">
        <v>5.54771519</v>
      </c>
      <c r="AX542" s="3" t="n">
        <v>5.28846931</v>
      </c>
      <c r="AY542" s="3" t="n">
        <v>5.59476948</v>
      </c>
      <c r="AZ542" s="3" t="n">
        <v>4.96530008</v>
      </c>
      <c r="BA542" s="3" t="n">
        <v>4.92347288</v>
      </c>
      <c r="BB542" s="3" t="n">
        <v>5.67066383</v>
      </c>
      <c r="BC542" s="3" t="n">
        <v>6.08094168</v>
      </c>
      <c r="BD542" s="3" t="n">
        <v>7.67537737</v>
      </c>
      <c r="BE542" s="3" t="n">
        <v>7.62060833</v>
      </c>
      <c r="BF542" s="3" t="n">
        <v>6.71083689</v>
      </c>
      <c r="BG542" s="3" t="n">
        <v>6.79964209</v>
      </c>
      <c r="BH542" s="3" t="n">
        <v>6.77308035</v>
      </c>
      <c r="BI542" s="3" t="n">
        <v>6.91586447</v>
      </c>
      <c r="BJ542" s="3" t="n">
        <v>6.90521765</v>
      </c>
      <c r="BK542" s="3" t="n">
        <v>7.07142639</v>
      </c>
      <c r="BL542" s="3" t="n">
        <v>7.37541723</v>
      </c>
      <c r="BM542" s="3" t="n">
        <v>7.323246</v>
      </c>
      <c r="BN542" s="3" t="n">
        <v>8.78673935</v>
      </c>
      <c r="BO542" s="3" t="n">
        <v>8.33449364</v>
      </c>
      <c r="BP542" s="3" t="n"/>
      <c r="BQ542" s="3" t="n"/>
      <c r="BR542" s="34" t="str">
        <f>B542&amp;"|"&amp;D542</f>
        <v>AND|SH.XPD.CHEX.GD.ZS</v>
      </c>
    </row>
    <row r="543">
      <c r="A543" s="3" t="inlineStr">
        <is>
          <t>Arab World</t>
        </is>
      </c>
      <c r="B543" s="3" t="inlineStr">
        <is>
          <t>ARB</t>
        </is>
      </c>
      <c r="C543" s="3" t="inlineStr">
        <is>
          <t>Current health expenditure (% of GDP)</t>
        </is>
      </c>
      <c r="D543" s="3" t="inlineStr">
        <is>
          <t>SH.XPD.CHEX.GD.ZS</t>
        </is>
      </c>
      <c r="E543" s="3" t="n">
        <v>2021</v>
      </c>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c r="AD543" s="3" t="n"/>
      <c r="AE543" s="3" t="n"/>
      <c r="AF543" s="3" t="n"/>
      <c r="AG543" s="3" t="n"/>
      <c r="AH543" s="3" t="n"/>
      <c r="AI543" s="3" t="n"/>
      <c r="AJ543" s="3" t="n"/>
      <c r="AK543" s="3" t="n"/>
      <c r="AL543" s="3" t="n"/>
      <c r="AM543" s="3" t="n"/>
      <c r="AN543" s="3" t="n"/>
      <c r="AO543" s="3" t="n"/>
      <c r="AP543" s="3" t="n"/>
      <c r="AQ543" s="3" t="n"/>
      <c r="AR543" s="3" t="n"/>
      <c r="AS543" s="3" t="n"/>
      <c r="AT543" s="3" t="n">
        <v>3.932307227721808</v>
      </c>
      <c r="AU543" s="3" t="n">
        <v>4.220152232469018</v>
      </c>
      <c r="AV543" s="3" t="n">
        <v>4.198643507145454</v>
      </c>
      <c r="AW543" s="3" t="n">
        <v>3.999631386359517</v>
      </c>
      <c r="AX543" s="3" t="n">
        <v>3.724181182593491</v>
      </c>
      <c r="AY543" s="3" t="n">
        <v>3.430019354364756</v>
      </c>
      <c r="AZ543" s="3" t="n">
        <v>3.422317188966985</v>
      </c>
      <c r="BA543" s="3" t="n">
        <v>3.539261238594527</v>
      </c>
      <c r="BB543" s="3" t="n">
        <v>3.371537954022053</v>
      </c>
      <c r="BC543" s="3" t="n">
        <v>4.314896567984905</v>
      </c>
      <c r="BD543" s="3" t="n">
        <v>3.926966189027559</v>
      </c>
      <c r="BE543" s="3" t="n">
        <v>3.824291680065817</v>
      </c>
      <c r="BF543" s="3" t="n">
        <v>3.903775497308744</v>
      </c>
      <c r="BG543" s="3" t="n">
        <v>4.149184834128653</v>
      </c>
      <c r="BH543" s="3" t="n">
        <v>4.495414874707627</v>
      </c>
      <c r="BI543" s="3" t="n">
        <v>4.99446980508747</v>
      </c>
      <c r="BJ543" s="3" t="n">
        <v>5.273366892886589</v>
      </c>
      <c r="BK543" s="3" t="n">
        <v>5.172794236764117</v>
      </c>
      <c r="BL543" s="3" t="n">
        <v>4.858297992074262</v>
      </c>
      <c r="BM543" s="3" t="n">
        <v>4.954509067459004</v>
      </c>
      <c r="BN543" s="3" t="n">
        <v>5.750211500328591</v>
      </c>
      <c r="BO543" s="3" t="n">
        <v>5.327656797746745</v>
      </c>
      <c r="BP543" s="3" t="n"/>
      <c r="BQ543" s="3" t="n"/>
      <c r="BR543" s="34" t="str">
        <f>B543&amp;"|"&amp;D543</f>
        <v>ARB|SH.XPD.CHEX.GD.ZS</v>
      </c>
    </row>
    <row r="544">
      <c r="A544" s="3" t="inlineStr">
        <is>
          <t>United Arab Emirates</t>
        </is>
      </c>
      <c r="B544" s="3" t="inlineStr">
        <is>
          <t>ARE</t>
        </is>
      </c>
      <c r="C544" s="3" t="inlineStr">
        <is>
          <t>Current health expenditure (% of GDP)</t>
        </is>
      </c>
      <c r="D544" s="3" t="inlineStr">
        <is>
          <t>SH.XPD.CHEX.GD.ZS</t>
        </is>
      </c>
      <c r="E544" s="3" t="n">
        <v>2021</v>
      </c>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c r="AD544" s="3" t="n"/>
      <c r="AE544" s="3" t="n"/>
      <c r="AF544" s="3" t="n"/>
      <c r="AG544" s="3" t="n"/>
      <c r="AH544" s="3" t="n"/>
      <c r="AI544" s="3" t="n"/>
      <c r="AJ544" s="3" t="n"/>
      <c r="AK544" s="3" t="n"/>
      <c r="AL544" s="3" t="n"/>
      <c r="AM544" s="3" t="n"/>
      <c r="AN544" s="3" t="n"/>
      <c r="AO544" s="3" t="n"/>
      <c r="AP544" s="3" t="n"/>
      <c r="AQ544" s="3" t="n"/>
      <c r="AR544" s="3" t="n"/>
      <c r="AS544" s="3" t="n"/>
      <c r="AT544" s="3" t="n">
        <v>2.37413526</v>
      </c>
      <c r="AU544" s="3" t="n">
        <v>2.48437047</v>
      </c>
      <c r="AV544" s="3" t="n">
        <v>2.71770859</v>
      </c>
      <c r="AW544" s="3" t="n">
        <v>2.64634395</v>
      </c>
      <c r="AX544" s="3" t="n">
        <v>2.46204329</v>
      </c>
      <c r="AY544" s="3" t="n">
        <v>2.32019687</v>
      </c>
      <c r="AZ544" s="3" t="n">
        <v>2.3254137</v>
      </c>
      <c r="BA544" s="3" t="n">
        <v>2.56569624</v>
      </c>
      <c r="BB544" s="3" t="n">
        <v>2.92847514</v>
      </c>
      <c r="BC544" s="3" t="n">
        <v>4.04999304</v>
      </c>
      <c r="BD544" s="3" t="n">
        <v>3.87873054</v>
      </c>
      <c r="BE544" s="3" t="n">
        <v>3.67006993</v>
      </c>
      <c r="BF544" s="3" t="n">
        <v>3.33596373</v>
      </c>
      <c r="BG544" s="3" t="n">
        <v>3.50222182</v>
      </c>
      <c r="BH544" s="3" t="n">
        <v>3.53405499</v>
      </c>
      <c r="BI544" s="3" t="n">
        <v>3.46609354</v>
      </c>
      <c r="BJ544" s="3" t="n">
        <v>3.89580107</v>
      </c>
      <c r="BK544" s="3" t="n">
        <v>4.00854969</v>
      </c>
      <c r="BL544" s="3" t="n">
        <v>4.09854221</v>
      </c>
      <c r="BM544" s="3" t="n">
        <v>4.38618946</v>
      </c>
      <c r="BN544" s="3" t="n">
        <v>5.82477045</v>
      </c>
      <c r="BO544" s="3" t="n">
        <v>5.30695152</v>
      </c>
      <c r="BP544" s="3" t="n"/>
      <c r="BQ544" s="3" t="n"/>
      <c r="BR544" s="34" t="str">
        <f>B544&amp;"|"&amp;D544</f>
        <v>ARE|SH.XPD.CHEX.GD.ZS</v>
      </c>
    </row>
    <row r="545">
      <c r="A545" s="3" t="inlineStr">
        <is>
          <t>Argentina</t>
        </is>
      </c>
      <c r="B545" s="3" t="inlineStr">
        <is>
          <t>ARG</t>
        </is>
      </c>
      <c r="C545" s="3" t="inlineStr">
        <is>
          <t>Current health expenditure (% of GDP)</t>
        </is>
      </c>
      <c r="D545" s="3" t="inlineStr">
        <is>
          <t>SH.XPD.CHEX.GD.ZS</t>
        </is>
      </c>
      <c r="E545" s="3" t="n">
        <v>2021</v>
      </c>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c r="AD545" s="3" t="n"/>
      <c r="AE545" s="3" t="n"/>
      <c r="AF545" s="3" t="n"/>
      <c r="AG545" s="3" t="n"/>
      <c r="AH545" s="3" t="n"/>
      <c r="AI545" s="3" t="n"/>
      <c r="AJ545" s="3" t="n"/>
      <c r="AK545" s="3" t="n"/>
      <c r="AL545" s="3" t="n"/>
      <c r="AM545" s="3" t="n"/>
      <c r="AN545" s="3" t="n"/>
      <c r="AO545" s="3" t="n"/>
      <c r="AP545" s="3" t="n"/>
      <c r="AQ545" s="3" t="n"/>
      <c r="AR545" s="3" t="n"/>
      <c r="AS545" s="3" t="n"/>
      <c r="AT545" s="3" t="n">
        <v>8.220010759999999</v>
      </c>
      <c r="AU545" s="3" t="n">
        <v>8.37179852</v>
      </c>
      <c r="AV545" s="3" t="n">
        <v>7.3933115</v>
      </c>
      <c r="AW545" s="3" t="n">
        <v>6.89451647</v>
      </c>
      <c r="AX545" s="3" t="n">
        <v>7.22868252</v>
      </c>
      <c r="AY545" s="3" t="n">
        <v>7.61078882</v>
      </c>
      <c r="AZ545" s="3" t="n">
        <v>7.64032793</v>
      </c>
      <c r="BA545" s="3" t="n">
        <v>7.83455086</v>
      </c>
      <c r="BB545" s="3" t="n">
        <v>8.182697299999999</v>
      </c>
      <c r="BC545" s="3" t="n">
        <v>9.45599556</v>
      </c>
      <c r="BD545" s="3" t="n">
        <v>9.44546413</v>
      </c>
      <c r="BE545" s="3" t="n">
        <v>9.418198589999999</v>
      </c>
      <c r="BF545" s="3" t="n">
        <v>9.82726669</v>
      </c>
      <c r="BG545" s="3" t="n">
        <v>9.780979159999999</v>
      </c>
      <c r="BH545" s="3" t="n">
        <v>9.67129993</v>
      </c>
      <c r="BI545" s="3" t="n">
        <v>10.22933674</v>
      </c>
      <c r="BJ545" s="3" t="n">
        <v>9.85558891</v>
      </c>
      <c r="BK545" s="3" t="n">
        <v>10.23174763</v>
      </c>
      <c r="BL545" s="3" t="n">
        <v>10.29146862</v>
      </c>
      <c r="BM545" s="3" t="n">
        <v>10.04194355</v>
      </c>
      <c r="BN545" s="3" t="n">
        <v>10.34701538</v>
      </c>
      <c r="BO545" s="3" t="n">
        <v>9.708806989999999</v>
      </c>
      <c r="BP545" s="3" t="n"/>
      <c r="BQ545" s="3" t="n"/>
      <c r="BR545" s="34" t="str">
        <f>B545&amp;"|"&amp;D545</f>
        <v>ARG|SH.XPD.CHEX.GD.ZS</v>
      </c>
    </row>
    <row r="546">
      <c r="A546" s="3" t="inlineStr">
        <is>
          <t>Armenia</t>
        </is>
      </c>
      <c r="B546" s="3" t="inlineStr">
        <is>
          <t>ARM</t>
        </is>
      </c>
      <c r="C546" s="3" t="inlineStr">
        <is>
          <t>Current health expenditure (% of GDP)</t>
        </is>
      </c>
      <c r="D546" s="3" t="inlineStr">
        <is>
          <t>SH.XPD.CHEX.GD.ZS</t>
        </is>
      </c>
      <c r="E546" s="3" t="n">
        <v>2021</v>
      </c>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c r="AF546" s="3" t="n"/>
      <c r="AG546" s="3" t="n"/>
      <c r="AH546" s="3" t="n"/>
      <c r="AI546" s="3" t="n"/>
      <c r="AJ546" s="3" t="n"/>
      <c r="AK546" s="3" t="n"/>
      <c r="AL546" s="3" t="n"/>
      <c r="AM546" s="3" t="n"/>
      <c r="AN546" s="3" t="n"/>
      <c r="AO546" s="3" t="n"/>
      <c r="AP546" s="3" t="n"/>
      <c r="AQ546" s="3" t="n"/>
      <c r="AR546" s="3" t="n"/>
      <c r="AS546" s="3" t="n"/>
      <c r="AT546" s="3" t="n">
        <v>4.2</v>
      </c>
      <c r="AU546" s="3" t="n">
        <v>4.65</v>
      </c>
      <c r="AV546" s="3" t="n">
        <v>7.61</v>
      </c>
      <c r="AW546" s="3" t="n">
        <v>7.18</v>
      </c>
      <c r="AX546" s="3" t="n">
        <v>6.06</v>
      </c>
      <c r="AY546" s="3" t="n">
        <v>5.86</v>
      </c>
      <c r="AZ546" s="3" t="n">
        <v>5.85</v>
      </c>
      <c r="BA546" s="3" t="n">
        <v>5.5</v>
      </c>
      <c r="BB546" s="3" t="n">
        <v>6.64</v>
      </c>
      <c r="BC546" s="3" t="n">
        <v>8.44</v>
      </c>
      <c r="BD546" s="3" t="n">
        <v>9.24</v>
      </c>
      <c r="BE546" s="3" t="n">
        <v>9.380000000000001</v>
      </c>
      <c r="BF546" s="3" t="n">
        <v>9.130000000000001</v>
      </c>
      <c r="BG546" s="3" t="n">
        <v>10.32</v>
      </c>
      <c r="BH546" s="3" t="n">
        <v>10.18</v>
      </c>
      <c r="BI546" s="3" t="n">
        <v>10.12</v>
      </c>
      <c r="BJ546" s="3" t="n">
        <v>9.949999999999999</v>
      </c>
      <c r="BK546" s="3" t="n">
        <v>10.36</v>
      </c>
      <c r="BL546" s="3" t="n">
        <v>10.01</v>
      </c>
      <c r="BM546" s="3" t="n">
        <v>11.38</v>
      </c>
      <c r="BN546" s="3" t="n">
        <v>12.24</v>
      </c>
      <c r="BO546" s="3" t="n">
        <v>12.34</v>
      </c>
      <c r="BP546" s="3" t="n"/>
      <c r="BQ546" s="3" t="n"/>
      <c r="BR546" s="34" t="str">
        <f>B546&amp;"|"&amp;D546</f>
        <v>ARM|SH.XPD.CHEX.GD.ZS</v>
      </c>
    </row>
    <row r="547">
      <c r="A547" s="3" t="inlineStr">
        <is>
          <t>American Samoa</t>
        </is>
      </c>
      <c r="B547" s="3" t="inlineStr">
        <is>
          <t>ASM</t>
        </is>
      </c>
      <c r="C547" s="3" t="inlineStr">
        <is>
          <t>Current health expenditure (% of GDP)</t>
        </is>
      </c>
      <c r="D547" s="3" t="inlineStr">
        <is>
          <t>SH.XPD.CHEX.GD.ZS</t>
        </is>
      </c>
      <c r="E547" s="3" t="inlineStr">
        <is>
          <t>0x2a</t>
        </is>
      </c>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c r="AF547" s="3" t="n"/>
      <c r="AG547" s="3" t="n"/>
      <c r="AH547" s="3" t="n"/>
      <c r="AI547" s="3" t="n"/>
      <c r="AJ547" s="3" t="n"/>
      <c r="AK547" s="3" t="n"/>
      <c r="AL547" s="3" t="n"/>
      <c r="AM547" s="3" t="n"/>
      <c r="AN547" s="3" t="n"/>
      <c r="AO547" s="3" t="n"/>
      <c r="AP547" s="3" t="n"/>
      <c r="AQ547" s="3" t="n"/>
      <c r="AR547" s="3" t="n"/>
      <c r="AS547" s="3" t="n"/>
      <c r="AT547" s="3" t="n"/>
      <c r="AU547" s="3" t="n"/>
      <c r="AV547" s="3" t="n"/>
      <c r="AW547" s="3" t="n"/>
      <c r="AX547" s="3" t="n"/>
      <c r="AY547" s="3" t="n"/>
      <c r="AZ547" s="3" t="n"/>
      <c r="BA547" s="3" t="n"/>
      <c r="BB547" s="3" t="n"/>
      <c r="BC547" s="3" t="n"/>
      <c r="BD547" s="3" t="n"/>
      <c r="BE547" s="3" t="n"/>
      <c r="BF547" s="3" t="n"/>
      <c r="BG547" s="3" t="n"/>
      <c r="BH547" s="3" t="n"/>
      <c r="BI547" s="3" t="n"/>
      <c r="BJ547" s="3" t="n"/>
      <c r="BK547" s="3" t="n"/>
      <c r="BL547" s="3" t="n"/>
      <c r="BM547" s="3" t="n"/>
      <c r="BN547" s="3" t="n"/>
      <c r="BO547" s="3" t="n"/>
      <c r="BP547" s="3" t="n"/>
      <c r="BQ547" s="3" t="n"/>
      <c r="BR547" s="34" t="str">
        <f>B547&amp;"|"&amp;D547</f>
        <v>ASM|SH.XPD.CHEX.GD.ZS</v>
      </c>
    </row>
    <row r="548">
      <c r="A548" s="3" t="inlineStr">
        <is>
          <t>Antigua and Barbuda</t>
        </is>
      </c>
      <c r="B548" s="3" t="inlineStr">
        <is>
          <t>ATG</t>
        </is>
      </c>
      <c r="C548" s="3" t="inlineStr">
        <is>
          <t>Current health expenditure (% of GDP)</t>
        </is>
      </c>
      <c r="D548" s="3" t="inlineStr">
        <is>
          <t>SH.XPD.CHEX.GD.ZS</t>
        </is>
      </c>
      <c r="E548" s="3" t="n">
        <v>2021</v>
      </c>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c r="AF548" s="3" t="n"/>
      <c r="AG548" s="3" t="n"/>
      <c r="AH548" s="3" t="n"/>
      <c r="AI548" s="3" t="n"/>
      <c r="AJ548" s="3" t="n"/>
      <c r="AK548" s="3" t="n"/>
      <c r="AL548" s="3" t="n"/>
      <c r="AM548" s="3" t="n"/>
      <c r="AN548" s="3" t="n"/>
      <c r="AO548" s="3" t="n"/>
      <c r="AP548" s="3" t="n"/>
      <c r="AQ548" s="3" t="n"/>
      <c r="AR548" s="3" t="n"/>
      <c r="AS548" s="3" t="n"/>
      <c r="AT548" s="3" t="n">
        <v>4.71542597</v>
      </c>
      <c r="AU548" s="3" t="n">
        <v>5.43839121</v>
      </c>
      <c r="AV548" s="3" t="n">
        <v>5.28793621</v>
      </c>
      <c r="AW548" s="3" t="n">
        <v>5.58143282</v>
      </c>
      <c r="AX548" s="3" t="n">
        <v>5.11667967</v>
      </c>
      <c r="AY548" s="3" t="n">
        <v>4.99094057</v>
      </c>
      <c r="AZ548" s="3" t="n">
        <v>4.63050652</v>
      </c>
      <c r="BA548" s="3" t="n">
        <v>4.44609547</v>
      </c>
      <c r="BB548" s="3" t="n">
        <v>4.20027018</v>
      </c>
      <c r="BC548" s="3" t="n">
        <v>4.17732763</v>
      </c>
      <c r="BD548" s="3" t="n">
        <v>5.37907028</v>
      </c>
      <c r="BE548" s="3" t="n">
        <v>5.44257212</v>
      </c>
      <c r="BF548" s="3" t="n">
        <v>5.47921467</v>
      </c>
      <c r="BG548" s="3" t="n">
        <v>5.50909233</v>
      </c>
      <c r="BH548" s="3" t="n">
        <v>5.87269926</v>
      </c>
      <c r="BI548" s="3" t="n">
        <v>5.27965546</v>
      </c>
      <c r="BJ548" s="3" t="n">
        <v>5.12190151</v>
      </c>
      <c r="BK548" s="3" t="n">
        <v>4.87493944</v>
      </c>
      <c r="BL548" s="3" t="n">
        <v>4.84869289</v>
      </c>
      <c r="BM548" s="3" t="n">
        <v>4.37567186</v>
      </c>
      <c r="BN548" s="3" t="n">
        <v>5.92146206</v>
      </c>
      <c r="BO548" s="3" t="n">
        <v>5.85133028</v>
      </c>
      <c r="BP548" s="3" t="n"/>
      <c r="BQ548" s="3" t="n"/>
      <c r="BR548" s="34" t="str">
        <f>B548&amp;"|"&amp;D548</f>
        <v>ATG|SH.XPD.CHEX.GD.ZS</v>
      </c>
    </row>
    <row r="549">
      <c r="A549" s="3" t="inlineStr">
        <is>
          <t>Australia</t>
        </is>
      </c>
      <c r="B549" s="3" t="inlineStr">
        <is>
          <t>AUS</t>
        </is>
      </c>
      <c r="C549" s="3" t="inlineStr">
        <is>
          <t>Current health expenditure (% of GDP)</t>
        </is>
      </c>
      <c r="D549" s="3" t="inlineStr">
        <is>
          <t>SH.XPD.CHEX.GD.ZS</t>
        </is>
      </c>
      <c r="E549" s="3" t="n">
        <v>2021</v>
      </c>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c r="AD549" s="3" t="n"/>
      <c r="AE549" s="3" t="n"/>
      <c r="AF549" s="3" t="n"/>
      <c r="AG549" s="3" t="n"/>
      <c r="AH549" s="3" t="n"/>
      <c r="AI549" s="3" t="n"/>
      <c r="AJ549" s="3" t="n"/>
      <c r="AK549" s="3" t="n"/>
      <c r="AL549" s="3" t="n"/>
      <c r="AM549" s="3" t="n"/>
      <c r="AN549" s="3" t="n"/>
      <c r="AO549" s="3" t="n"/>
      <c r="AP549" s="3" t="n"/>
      <c r="AQ549" s="3" t="n"/>
      <c r="AR549" s="3" t="n"/>
      <c r="AS549" s="3" t="n"/>
      <c r="AT549" s="3" t="n">
        <v>7.59412289</v>
      </c>
      <c r="AU549" s="3" t="n">
        <v>7.67809916</v>
      </c>
      <c r="AV549" s="3" t="n">
        <v>7.87627029</v>
      </c>
      <c r="AW549" s="3" t="n">
        <v>7.88087225</v>
      </c>
      <c r="AX549" s="3" t="n">
        <v>8.087085719999999</v>
      </c>
      <c r="AY549" s="3" t="n">
        <v>7.97029352</v>
      </c>
      <c r="AZ549" s="3" t="n">
        <v>7.97702456</v>
      </c>
      <c r="BA549" s="3" t="n">
        <v>8.054965019999999</v>
      </c>
      <c r="BB549" s="3" t="n">
        <v>8.248551369999999</v>
      </c>
      <c r="BC549" s="3" t="n">
        <v>8.54473877</v>
      </c>
      <c r="BD549" s="3" t="n">
        <v>8.420256609999999</v>
      </c>
      <c r="BE549" s="3" t="n">
        <v>8.537449840000001</v>
      </c>
      <c r="BF549" s="3" t="n">
        <v>8.67456913</v>
      </c>
      <c r="BG549" s="3" t="n">
        <v>8.75058746</v>
      </c>
      <c r="BH549" s="3" t="n">
        <v>9.83354282</v>
      </c>
      <c r="BI549" s="3" t="n">
        <v>10.18225861</v>
      </c>
      <c r="BJ549" s="3" t="n">
        <v>10.09288597</v>
      </c>
      <c r="BK549" s="3" t="n">
        <v>10.12281322</v>
      </c>
      <c r="BL549" s="3" t="n">
        <v>10.05971909</v>
      </c>
      <c r="BM549" s="3" t="n">
        <v>10.21965981</v>
      </c>
      <c r="BN549" s="3" t="n">
        <v>10.6837368</v>
      </c>
      <c r="BO549" s="3" t="n">
        <v>10.54363918</v>
      </c>
      <c r="BP549" s="3" t="n"/>
      <c r="BQ549" s="3" t="n"/>
      <c r="BR549" s="34" t="str">
        <f>B549&amp;"|"&amp;D549</f>
        <v>AUS|SH.XPD.CHEX.GD.ZS</v>
      </c>
    </row>
    <row r="550">
      <c r="A550" s="3" t="inlineStr">
        <is>
          <t>Austria</t>
        </is>
      </c>
      <c r="B550" s="3" t="inlineStr">
        <is>
          <t>AUT</t>
        </is>
      </c>
      <c r="C550" s="3" t="inlineStr">
        <is>
          <t>Current health expenditure (% of GDP)</t>
        </is>
      </c>
      <c r="D550" s="3" t="inlineStr">
        <is>
          <t>SH.XPD.CHEX.GD.ZS</t>
        </is>
      </c>
      <c r="E550" s="3" t="n">
        <v>2021</v>
      </c>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c r="AD550" s="3" t="n"/>
      <c r="AE550" s="3" t="n"/>
      <c r="AF550" s="3" t="n"/>
      <c r="AG550" s="3" t="n"/>
      <c r="AH550" s="3" t="n"/>
      <c r="AI550" s="3" t="n"/>
      <c r="AJ550" s="3" t="n"/>
      <c r="AK550" s="3" t="n"/>
      <c r="AL550" s="3" t="n"/>
      <c r="AM550" s="3" t="n"/>
      <c r="AN550" s="3" t="n"/>
      <c r="AO550" s="3" t="n"/>
      <c r="AP550" s="3" t="n"/>
      <c r="AQ550" s="3" t="n"/>
      <c r="AR550" s="3" t="n"/>
      <c r="AS550" s="3" t="n"/>
      <c r="AT550" s="3" t="n">
        <v>9.199999999999999</v>
      </c>
      <c r="AU550" s="3" t="n">
        <v>9.27</v>
      </c>
      <c r="AV550" s="3" t="n">
        <v>9.390000000000001</v>
      </c>
      <c r="AW550" s="3" t="n">
        <v>9.550000000000001</v>
      </c>
      <c r="AX550" s="3" t="n">
        <v>9.710000000000001</v>
      </c>
      <c r="AY550" s="3" t="n">
        <v>9.630000000000001</v>
      </c>
      <c r="AZ550" s="3" t="n">
        <v>9.529999999999999</v>
      </c>
      <c r="BA550" s="3" t="n">
        <v>9.529999999999999</v>
      </c>
      <c r="BB550" s="3" t="n">
        <v>9.73</v>
      </c>
      <c r="BC550" s="3" t="n">
        <v>10.23</v>
      </c>
      <c r="BD550" s="3" t="n">
        <v>10.22</v>
      </c>
      <c r="BE550" s="3" t="n">
        <v>10.03</v>
      </c>
      <c r="BF550" s="3" t="n">
        <v>10.2</v>
      </c>
      <c r="BG550" s="3" t="n">
        <v>10.29</v>
      </c>
      <c r="BH550" s="3" t="n">
        <v>10.37</v>
      </c>
      <c r="BI550" s="3" t="n">
        <v>10.37</v>
      </c>
      <c r="BJ550" s="3" t="n">
        <v>10.35</v>
      </c>
      <c r="BK550" s="3" t="n">
        <v>10.38</v>
      </c>
      <c r="BL550" s="3" t="n">
        <v>10.35</v>
      </c>
      <c r="BM550" s="3" t="n">
        <v>10.49</v>
      </c>
      <c r="BN550" s="3" t="n">
        <v>11.39</v>
      </c>
      <c r="BO550" s="3" t="n">
        <v>12.1</v>
      </c>
      <c r="BP550" s="3" t="n"/>
      <c r="BQ550" s="3" t="n"/>
      <c r="BR550" s="34" t="str">
        <f>B550&amp;"|"&amp;D550</f>
        <v>AUT|SH.XPD.CHEX.GD.ZS</v>
      </c>
    </row>
    <row r="551">
      <c r="A551" s="3" t="inlineStr">
        <is>
          <t>Azerbaijan</t>
        </is>
      </c>
      <c r="B551" s="3" t="inlineStr">
        <is>
          <t>AZE</t>
        </is>
      </c>
      <c r="C551" s="3" t="inlineStr">
        <is>
          <t>Current health expenditure (% of GDP)</t>
        </is>
      </c>
      <c r="D551" s="3" t="inlineStr">
        <is>
          <t>SH.XPD.CHEX.GD.ZS</t>
        </is>
      </c>
      <c r="E551" s="3" t="n">
        <v>2021</v>
      </c>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c r="AD551" s="3" t="n"/>
      <c r="AE551" s="3" t="n"/>
      <c r="AF551" s="3" t="n"/>
      <c r="AG551" s="3" t="n"/>
      <c r="AH551" s="3" t="n"/>
      <c r="AI551" s="3" t="n"/>
      <c r="AJ551" s="3" t="n"/>
      <c r="AK551" s="3" t="n"/>
      <c r="AL551" s="3" t="n"/>
      <c r="AM551" s="3" t="n"/>
      <c r="AN551" s="3" t="n"/>
      <c r="AO551" s="3" t="n"/>
      <c r="AP551" s="3" t="n"/>
      <c r="AQ551" s="3" t="n"/>
      <c r="AR551" s="3" t="n"/>
      <c r="AS551" s="3" t="n"/>
      <c r="AT551" s="3" t="n">
        <v>2.95</v>
      </c>
      <c r="AU551" s="3" t="n">
        <v>2.77</v>
      </c>
      <c r="AV551" s="3" t="n">
        <v>2.73</v>
      </c>
      <c r="AW551" s="3" t="n">
        <v>2.73</v>
      </c>
      <c r="AX551" s="3" t="n">
        <v>2.66</v>
      </c>
      <c r="AY551" s="3" t="n">
        <v>2.23</v>
      </c>
      <c r="AZ551" s="3" t="n">
        <v>2.07</v>
      </c>
      <c r="BA551" s="3" t="n">
        <v>1.99</v>
      </c>
      <c r="BB551" s="3" t="n">
        <v>2.05</v>
      </c>
      <c r="BC551" s="3" t="n">
        <v>2.77</v>
      </c>
      <c r="BD551" s="3" t="n">
        <v>2.65</v>
      </c>
      <c r="BE551" s="3" t="n">
        <v>2.6</v>
      </c>
      <c r="BF551" s="3" t="n">
        <v>3.16</v>
      </c>
      <c r="BG551" s="3" t="n">
        <v>3.23</v>
      </c>
      <c r="BH551" s="3" t="n">
        <v>3.59</v>
      </c>
      <c r="BI551" s="3" t="n">
        <v>4.34</v>
      </c>
      <c r="BJ551" s="3" t="n">
        <v>4.42</v>
      </c>
      <c r="BK551" s="3" t="n">
        <v>4.07</v>
      </c>
      <c r="BL551" s="3" t="n">
        <v>3.84</v>
      </c>
      <c r="BM551" s="3" t="n">
        <v>4.18</v>
      </c>
      <c r="BN551" s="3" t="n">
        <v>5.85</v>
      </c>
      <c r="BO551" s="3" t="n">
        <v>4.7</v>
      </c>
      <c r="BP551" s="3" t="n"/>
      <c r="BQ551" s="3" t="n"/>
      <c r="BR551" s="34" t="str">
        <f>B551&amp;"|"&amp;D551</f>
        <v>AZE|SH.XPD.CHEX.GD.ZS</v>
      </c>
    </row>
    <row r="552">
      <c r="A552" s="3" t="inlineStr">
        <is>
          <t>Burundi</t>
        </is>
      </c>
      <c r="B552" s="3" t="inlineStr">
        <is>
          <t>BDI</t>
        </is>
      </c>
      <c r="C552" s="3" t="inlineStr">
        <is>
          <t>Current health expenditure (% of GDP)</t>
        </is>
      </c>
      <c r="D552" s="3" t="inlineStr">
        <is>
          <t>SH.XPD.CHEX.GD.ZS</t>
        </is>
      </c>
      <c r="E552" s="3" t="n">
        <v>2021</v>
      </c>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c r="AD552" s="3" t="n"/>
      <c r="AE552" s="3" t="n"/>
      <c r="AF552" s="3" t="n"/>
      <c r="AG552" s="3" t="n"/>
      <c r="AH552" s="3" t="n"/>
      <c r="AI552" s="3" t="n"/>
      <c r="AJ552" s="3" t="n"/>
      <c r="AK552" s="3" t="n"/>
      <c r="AL552" s="3" t="n"/>
      <c r="AM552" s="3" t="n"/>
      <c r="AN552" s="3" t="n"/>
      <c r="AO552" s="3" t="n"/>
      <c r="AP552" s="3" t="n"/>
      <c r="AQ552" s="3" t="n"/>
      <c r="AR552" s="3" t="n"/>
      <c r="AS552" s="3" t="n"/>
      <c r="AT552" s="3" t="n">
        <v>4.22181606</v>
      </c>
      <c r="AU552" s="3" t="n">
        <v>5.68180418</v>
      </c>
      <c r="AV552" s="3" t="n">
        <v>5.34983587</v>
      </c>
      <c r="AW552" s="3" t="n">
        <v>5.27245188</v>
      </c>
      <c r="AX552" s="3" t="n">
        <v>7.09572744</v>
      </c>
      <c r="AY552" s="3" t="n">
        <v>7.56016588</v>
      </c>
      <c r="AZ552" s="3" t="n">
        <v>8.71264839</v>
      </c>
      <c r="BA552" s="3" t="n">
        <v>9.1855402</v>
      </c>
      <c r="BB552" s="3" t="n">
        <v>7.74147511</v>
      </c>
      <c r="BC552" s="3" t="n">
        <v>9.232384679999999</v>
      </c>
      <c r="BD552" s="3" t="n">
        <v>11.28196716</v>
      </c>
      <c r="BE552" s="3" t="n">
        <v>10.06996346</v>
      </c>
      <c r="BF552" s="3" t="n">
        <v>8.637564660000001</v>
      </c>
      <c r="BG552" s="3" t="n">
        <v>8.62834644</v>
      </c>
      <c r="BH552" s="3" t="n">
        <v>7.21081543</v>
      </c>
      <c r="BI552" s="3" t="n">
        <v>6.29022646</v>
      </c>
      <c r="BJ552" s="3" t="n">
        <v>7.06148243</v>
      </c>
      <c r="BK552" s="3" t="n">
        <v>6.95275736</v>
      </c>
      <c r="BL552" s="3" t="n">
        <v>7.29396152</v>
      </c>
      <c r="BM552" s="3" t="n">
        <v>9.05010796</v>
      </c>
      <c r="BN552" s="3" t="n">
        <v>10.71837234</v>
      </c>
      <c r="BO552" s="3" t="n">
        <v>9.101909640000001</v>
      </c>
      <c r="BP552" s="3" t="n"/>
      <c r="BQ552" s="3" t="n"/>
      <c r="BR552" s="34" t="str">
        <f>B552&amp;"|"&amp;D552</f>
        <v>BDI|SH.XPD.CHEX.GD.ZS</v>
      </c>
    </row>
    <row r="553">
      <c r="A553" s="3" t="inlineStr">
        <is>
          <t>Belgium</t>
        </is>
      </c>
      <c r="B553" s="3" t="inlineStr">
        <is>
          <t>BEL</t>
        </is>
      </c>
      <c r="C553" s="3" t="inlineStr">
        <is>
          <t>Current health expenditure (% of GDP)</t>
        </is>
      </c>
      <c r="D553" s="3" t="inlineStr">
        <is>
          <t>SH.XPD.CHEX.GD.ZS</t>
        </is>
      </c>
      <c r="E553" s="3" t="n">
        <v>2021</v>
      </c>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c r="AD553" s="3" t="n"/>
      <c r="AE553" s="3" t="n"/>
      <c r="AF553" s="3" t="n"/>
      <c r="AG553" s="3" t="n"/>
      <c r="AH553" s="3" t="n"/>
      <c r="AI553" s="3" t="n"/>
      <c r="AJ553" s="3" t="n"/>
      <c r="AK553" s="3" t="n"/>
      <c r="AL553" s="3" t="n"/>
      <c r="AM553" s="3" t="n"/>
      <c r="AN553" s="3" t="n"/>
      <c r="AO553" s="3" t="n"/>
      <c r="AP553" s="3" t="n"/>
      <c r="AQ553" s="3" t="n"/>
      <c r="AR553" s="3" t="n"/>
      <c r="AS553" s="3" t="n"/>
      <c r="AT553" s="3" t="n">
        <v>7.99917603</v>
      </c>
      <c r="AU553" s="3" t="n">
        <v>8.14988804</v>
      </c>
      <c r="AV553" s="3" t="n">
        <v>8.31820965</v>
      </c>
      <c r="AW553" s="3" t="n">
        <v>9.16443539</v>
      </c>
      <c r="AX553" s="3" t="n">
        <v>9.32808781</v>
      </c>
      <c r="AY553" s="3" t="n">
        <v>9.223749160000001</v>
      </c>
      <c r="AZ553" s="3" t="n">
        <v>9.129630089999999</v>
      </c>
      <c r="BA553" s="3" t="n">
        <v>9.136286739999999</v>
      </c>
      <c r="BB553" s="3" t="n">
        <v>9.5951395</v>
      </c>
      <c r="BC553" s="3" t="n">
        <v>10.32117939</v>
      </c>
      <c r="BD553" s="3" t="n">
        <v>10.20229435</v>
      </c>
      <c r="BE553" s="3" t="n">
        <v>10.36337948</v>
      </c>
      <c r="BF553" s="3" t="n">
        <v>10.50204754</v>
      </c>
      <c r="BG553" s="3" t="n">
        <v>10.57661152</v>
      </c>
      <c r="BH553" s="3" t="n">
        <v>10.60909367</v>
      </c>
      <c r="BI553" s="3" t="n">
        <v>10.79745102</v>
      </c>
      <c r="BJ553" s="3" t="n">
        <v>10.79354668</v>
      </c>
      <c r="BK553" s="3" t="n">
        <v>10.79855728</v>
      </c>
      <c r="BL553" s="3" t="n">
        <v>10.86148262</v>
      </c>
      <c r="BM553" s="3" t="n">
        <v>10.79477787</v>
      </c>
      <c r="BN553" s="3" t="n">
        <v>11.19751263</v>
      </c>
      <c r="BO553" s="3" t="n">
        <v>11.04290771</v>
      </c>
      <c r="BP553" s="3" t="n"/>
      <c r="BQ553" s="3" t="n"/>
      <c r="BR553" s="34" t="str">
        <f>B553&amp;"|"&amp;D553</f>
        <v>BEL|SH.XPD.CHEX.GD.ZS</v>
      </c>
    </row>
    <row r="554">
      <c r="A554" s="3" t="inlineStr">
        <is>
          <t>Benin</t>
        </is>
      </c>
      <c r="B554" s="3" t="inlineStr">
        <is>
          <t>BEN</t>
        </is>
      </c>
      <c r="C554" s="3" t="inlineStr">
        <is>
          <t>Current health expenditure (% of GDP)</t>
        </is>
      </c>
      <c r="D554" s="3" t="inlineStr">
        <is>
          <t>SH.XPD.CHEX.GD.ZS</t>
        </is>
      </c>
      <c r="E554" s="3" t="n">
        <v>2021</v>
      </c>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c r="AD554" s="3" t="n"/>
      <c r="AE554" s="3" t="n"/>
      <c r="AF554" s="3" t="n"/>
      <c r="AG554" s="3" t="n"/>
      <c r="AH554" s="3" t="n"/>
      <c r="AI554" s="3" t="n"/>
      <c r="AJ554" s="3" t="n"/>
      <c r="AK554" s="3" t="n"/>
      <c r="AL554" s="3" t="n"/>
      <c r="AM554" s="3" t="n"/>
      <c r="AN554" s="3" t="n"/>
      <c r="AO554" s="3" t="n"/>
      <c r="AP554" s="3" t="n"/>
      <c r="AQ554" s="3" t="n"/>
      <c r="AR554" s="3" t="n"/>
      <c r="AS554" s="3" t="n"/>
      <c r="AT554" s="3" t="n">
        <v>2.9591713</v>
      </c>
      <c r="AU554" s="3" t="n">
        <v>3.30417323</v>
      </c>
      <c r="AV554" s="3" t="n">
        <v>3.09589195</v>
      </c>
      <c r="AW554" s="3" t="n">
        <v>3.11678505</v>
      </c>
      <c r="AX554" s="3" t="n">
        <v>3.23273873</v>
      </c>
      <c r="AY554" s="3" t="n">
        <v>3.22345805</v>
      </c>
      <c r="AZ554" s="3" t="n">
        <v>3.28773856</v>
      </c>
      <c r="BA554" s="3" t="n">
        <v>2.93715644</v>
      </c>
      <c r="BB554" s="3" t="n">
        <v>2.65178108</v>
      </c>
      <c r="BC554" s="3" t="n">
        <v>2.88892651</v>
      </c>
      <c r="BD554" s="3" t="n">
        <v>3.00988984</v>
      </c>
      <c r="BE554" s="3" t="n">
        <v>2.99707985</v>
      </c>
      <c r="BF554" s="3" t="n">
        <v>3.07562971</v>
      </c>
      <c r="BG554" s="3" t="n">
        <v>2.86880755</v>
      </c>
      <c r="BH554" s="3" t="n">
        <v>2.69111967</v>
      </c>
      <c r="BI554" s="3" t="n">
        <v>2.72813416</v>
      </c>
      <c r="BJ554" s="3" t="n">
        <v>2.79549599</v>
      </c>
      <c r="BK554" s="3" t="n">
        <v>2.66813827</v>
      </c>
      <c r="BL554" s="3" t="n">
        <v>2.88632059</v>
      </c>
      <c r="BM554" s="3" t="n">
        <v>2.50914454</v>
      </c>
      <c r="BN554" s="3" t="n">
        <v>2.46970391</v>
      </c>
      <c r="BO554" s="3" t="n">
        <v>2.58129549</v>
      </c>
      <c r="BP554" s="3" t="n"/>
      <c r="BQ554" s="3" t="n"/>
      <c r="BR554" s="34" t="str">
        <f>B554&amp;"|"&amp;D554</f>
        <v>BEN|SH.XPD.CHEX.GD.ZS</v>
      </c>
    </row>
    <row r="555">
      <c r="A555" s="3" t="inlineStr">
        <is>
          <t>Burkina Faso</t>
        </is>
      </c>
      <c r="B555" s="3" t="inlineStr">
        <is>
          <t>BFA</t>
        </is>
      </c>
      <c r="C555" s="3" t="inlineStr">
        <is>
          <t>Current health expenditure (% of GDP)</t>
        </is>
      </c>
      <c r="D555" s="3" t="inlineStr">
        <is>
          <t>SH.XPD.CHEX.GD.ZS</t>
        </is>
      </c>
      <c r="E555" s="3" t="n">
        <v>2021</v>
      </c>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c r="AD555" s="3" t="n"/>
      <c r="AE555" s="3" t="n"/>
      <c r="AF555" s="3" t="n"/>
      <c r="AG555" s="3" t="n"/>
      <c r="AH555" s="3" t="n"/>
      <c r="AI555" s="3" t="n"/>
      <c r="AJ555" s="3" t="n"/>
      <c r="AK555" s="3" t="n"/>
      <c r="AL555" s="3" t="n"/>
      <c r="AM555" s="3" t="n"/>
      <c r="AN555" s="3" t="n"/>
      <c r="AO555" s="3" t="n"/>
      <c r="AP555" s="3" t="n"/>
      <c r="AQ555" s="3" t="n"/>
      <c r="AR555" s="3" t="n"/>
      <c r="AS555" s="3" t="n"/>
      <c r="AT555" s="3" t="n">
        <v>2.9502635</v>
      </c>
      <c r="AU555" s="3" t="n">
        <v>2.88835382</v>
      </c>
      <c r="AV555" s="3" t="n">
        <v>2.97113013</v>
      </c>
      <c r="AW555" s="3" t="n">
        <v>3.14307284</v>
      </c>
      <c r="AX555" s="3" t="n">
        <v>4.21720934</v>
      </c>
      <c r="AY555" s="3" t="n">
        <v>3.95109582</v>
      </c>
      <c r="AZ555" s="3" t="n">
        <v>4.51446247</v>
      </c>
      <c r="BA555" s="3" t="n">
        <v>5.23373222</v>
      </c>
      <c r="BB555" s="3" t="n">
        <v>4.64780712</v>
      </c>
      <c r="BC555" s="3" t="n">
        <v>5.08159161</v>
      </c>
      <c r="BD555" s="3" t="n">
        <v>5.23958349</v>
      </c>
      <c r="BE555" s="3" t="n">
        <v>4.64868164</v>
      </c>
      <c r="BF555" s="3" t="n">
        <v>4.60267258</v>
      </c>
      <c r="BG555" s="3" t="n">
        <v>5.56331587</v>
      </c>
      <c r="BH555" s="3" t="n">
        <v>5.00027227</v>
      </c>
      <c r="BI555" s="3" t="n">
        <v>5.13192415</v>
      </c>
      <c r="BJ555" s="3" t="n">
        <v>5.96067238</v>
      </c>
      <c r="BK555" s="3" t="n">
        <v>6.02490044</v>
      </c>
      <c r="BL555" s="3" t="n">
        <v>5.0057807</v>
      </c>
      <c r="BM555" s="3" t="n">
        <v>5.31868935</v>
      </c>
      <c r="BN555" s="3" t="n">
        <v>6.50193262</v>
      </c>
      <c r="BO555" s="3" t="n">
        <v>6.37691164</v>
      </c>
      <c r="BP555" s="3" t="n"/>
      <c r="BQ555" s="3" t="n"/>
      <c r="BR555" s="34" t="str">
        <f>B555&amp;"|"&amp;D555</f>
        <v>BFA|SH.XPD.CHEX.GD.ZS</v>
      </c>
    </row>
    <row r="556">
      <c r="A556" s="3" t="inlineStr">
        <is>
          <t>Bangladesh</t>
        </is>
      </c>
      <c r="B556" s="3" t="inlineStr">
        <is>
          <t>BGD</t>
        </is>
      </c>
      <c r="C556" s="3" t="inlineStr">
        <is>
          <t>Current health expenditure (% of GDP)</t>
        </is>
      </c>
      <c r="D556" s="3" t="inlineStr">
        <is>
          <t>SH.XPD.CHEX.GD.ZS</t>
        </is>
      </c>
      <c r="E556" s="3" t="n">
        <v>2021</v>
      </c>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c r="AD556" s="3" t="n"/>
      <c r="AE556" s="3" t="n"/>
      <c r="AF556" s="3" t="n"/>
      <c r="AG556" s="3" t="n"/>
      <c r="AH556" s="3" t="n"/>
      <c r="AI556" s="3" t="n"/>
      <c r="AJ556" s="3" t="n"/>
      <c r="AK556" s="3" t="n"/>
      <c r="AL556" s="3" t="n"/>
      <c r="AM556" s="3" t="n"/>
      <c r="AN556" s="3" t="n"/>
      <c r="AO556" s="3" t="n"/>
      <c r="AP556" s="3" t="n"/>
      <c r="AQ556" s="3" t="n"/>
      <c r="AR556" s="3" t="n"/>
      <c r="AS556" s="3" t="n"/>
      <c r="AT556" s="3" t="n">
        <v>1.80504513</v>
      </c>
      <c r="AU556" s="3" t="n">
        <v>1.77201855</v>
      </c>
      <c r="AV556" s="3" t="n">
        <v>1.93417108</v>
      </c>
      <c r="AW556" s="3" t="n">
        <v>1.96152198</v>
      </c>
      <c r="AX556" s="3" t="n">
        <v>1.99854314</v>
      </c>
      <c r="AY556" s="3" t="n">
        <v>2.05873919</v>
      </c>
      <c r="AZ556" s="3" t="n">
        <v>2.10646582</v>
      </c>
      <c r="BA556" s="3" t="n">
        <v>2.17268491</v>
      </c>
      <c r="BB556" s="3" t="n">
        <v>2.11878848</v>
      </c>
      <c r="BC556" s="3" t="n">
        <v>2.18321705</v>
      </c>
      <c r="BD556" s="3" t="n">
        <v>2.28807664</v>
      </c>
      <c r="BE556" s="3" t="n">
        <v>2.36418128</v>
      </c>
      <c r="BF556" s="3" t="n">
        <v>2.3537879</v>
      </c>
      <c r="BG556" s="3" t="n">
        <v>2.29574466</v>
      </c>
      <c r="BH556" s="3" t="n">
        <v>2.27915168</v>
      </c>
      <c r="BI556" s="3" t="n">
        <v>2.27217698</v>
      </c>
      <c r="BJ556" s="3" t="n">
        <v>2.38938212</v>
      </c>
      <c r="BK556" s="3" t="n">
        <v>2.36720181</v>
      </c>
      <c r="BL556" s="3" t="n">
        <v>2.31622243</v>
      </c>
      <c r="BM556" s="3" t="n">
        <v>2.25762248</v>
      </c>
      <c r="BN556" s="3" t="n">
        <v>2.27063942</v>
      </c>
      <c r="BO556" s="3" t="n">
        <v>2.36492991</v>
      </c>
      <c r="BP556" s="3" t="n"/>
      <c r="BQ556" s="3" t="n"/>
      <c r="BR556" s="34" t="str">
        <f>B556&amp;"|"&amp;D556</f>
        <v>BGD|SH.XPD.CHEX.GD.ZS</v>
      </c>
    </row>
    <row r="557">
      <c r="A557" s="3" t="inlineStr">
        <is>
          <t>Bulgaria</t>
        </is>
      </c>
      <c r="B557" s="3" t="inlineStr">
        <is>
          <t>BGR</t>
        </is>
      </c>
      <c r="C557" s="3" t="inlineStr">
        <is>
          <t>Current health expenditure (% of GDP)</t>
        </is>
      </c>
      <c r="D557" s="3" t="inlineStr">
        <is>
          <t>SH.XPD.CHEX.GD.ZS</t>
        </is>
      </c>
      <c r="E557" s="3" t="n">
        <v>2021</v>
      </c>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c r="AD557" s="3" t="n"/>
      <c r="AE557" s="3" t="n"/>
      <c r="AF557" s="3" t="n"/>
      <c r="AG557" s="3" t="n"/>
      <c r="AH557" s="3" t="n"/>
      <c r="AI557" s="3" t="n"/>
      <c r="AJ557" s="3" t="n"/>
      <c r="AK557" s="3" t="n"/>
      <c r="AL557" s="3" t="n"/>
      <c r="AM557" s="3" t="n"/>
      <c r="AN557" s="3" t="n"/>
      <c r="AO557" s="3" t="n"/>
      <c r="AP557" s="3" t="n"/>
      <c r="AQ557" s="3" t="n"/>
      <c r="AR557" s="3" t="n"/>
      <c r="AS557" s="3" t="n"/>
      <c r="AT557" s="3" t="n">
        <v>5.83</v>
      </c>
      <c r="AU557" s="3" t="n">
        <v>6.86</v>
      </c>
      <c r="AV557" s="3" t="n">
        <v>7.08</v>
      </c>
      <c r="AW557" s="3" t="n">
        <v>7.2</v>
      </c>
      <c r="AX557" s="3" t="n">
        <v>6.89</v>
      </c>
      <c r="AY557" s="3" t="n">
        <v>6.89</v>
      </c>
      <c r="AZ557" s="3" t="n">
        <v>6.53</v>
      </c>
      <c r="BA557" s="3" t="n">
        <v>6.16</v>
      </c>
      <c r="BB557" s="3" t="n">
        <v>6.28</v>
      </c>
      <c r="BC557" s="3" t="n">
        <v>6.6</v>
      </c>
      <c r="BD557" s="3" t="n">
        <v>7.1</v>
      </c>
      <c r="BE557" s="3" t="n">
        <v>7.1</v>
      </c>
      <c r="BF557" s="3" t="n">
        <v>7.54</v>
      </c>
      <c r="BG557" s="3" t="n">
        <v>7.14</v>
      </c>
      <c r="BH557" s="3" t="n">
        <v>7.68</v>
      </c>
      <c r="BI557" s="3" t="n">
        <v>7.39</v>
      </c>
      <c r="BJ557" s="3" t="n">
        <v>7.46</v>
      </c>
      <c r="BK557" s="3" t="n">
        <v>7.49</v>
      </c>
      <c r="BL557" s="3" t="n">
        <v>7.33</v>
      </c>
      <c r="BM557" s="3" t="n">
        <v>7.09</v>
      </c>
      <c r="BN557" s="3" t="n">
        <v>8.48</v>
      </c>
      <c r="BO557" s="3" t="n">
        <v>8.56</v>
      </c>
      <c r="BP557" s="3" t="n"/>
      <c r="BQ557" s="3" t="n"/>
      <c r="BR557" s="34" t="str">
        <f>B557&amp;"|"&amp;D557</f>
        <v>BGR|SH.XPD.CHEX.GD.ZS</v>
      </c>
    </row>
    <row r="558">
      <c r="A558" s="3" t="inlineStr">
        <is>
          <t>Bahrain</t>
        </is>
      </c>
      <c r="B558" s="3" t="inlineStr">
        <is>
          <t>BHR</t>
        </is>
      </c>
      <c r="C558" s="3" t="inlineStr">
        <is>
          <t>Current health expenditure (% of GDP)</t>
        </is>
      </c>
      <c r="D558" s="3" t="inlineStr">
        <is>
          <t>SH.XPD.CHEX.GD.ZS</t>
        </is>
      </c>
      <c r="E558" s="3" t="n">
        <v>2021</v>
      </c>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c r="AD558" s="3" t="n"/>
      <c r="AE558" s="3" t="n"/>
      <c r="AF558" s="3" t="n"/>
      <c r="AG558" s="3" t="n"/>
      <c r="AH558" s="3" t="n"/>
      <c r="AI558" s="3" t="n"/>
      <c r="AJ558" s="3" t="n"/>
      <c r="AK558" s="3" t="n"/>
      <c r="AL558" s="3" t="n"/>
      <c r="AM558" s="3" t="n"/>
      <c r="AN558" s="3" t="n"/>
      <c r="AO558" s="3" t="n"/>
      <c r="AP558" s="3" t="n"/>
      <c r="AQ558" s="3" t="n"/>
      <c r="AR558" s="3" t="n"/>
      <c r="AS558" s="3" t="n"/>
      <c r="AT558" s="3" t="n">
        <v>3.33542562</v>
      </c>
      <c r="AU558" s="3" t="n">
        <v>3.48573017</v>
      </c>
      <c r="AV558" s="3" t="n">
        <v>3.67866111</v>
      </c>
      <c r="AW558" s="3" t="n">
        <v>3.88658071</v>
      </c>
      <c r="AX558" s="3" t="n">
        <v>3.49817729</v>
      </c>
      <c r="AY558" s="3" t="n">
        <v>3.25870824</v>
      </c>
      <c r="AZ558" s="3" t="n">
        <v>3.10821271</v>
      </c>
      <c r="BA558" s="3" t="n">
        <v>3.29534078</v>
      </c>
      <c r="BB558" s="3" t="n">
        <v>3.2038722</v>
      </c>
      <c r="BC558" s="3" t="n">
        <v>4.32666922</v>
      </c>
      <c r="BD558" s="3" t="n">
        <v>4.08934975</v>
      </c>
      <c r="BE558" s="3" t="n">
        <v>3.8651762</v>
      </c>
      <c r="BF558" s="3" t="n">
        <v>4.10642147</v>
      </c>
      <c r="BG558" s="3" t="n">
        <v>4.30853891</v>
      </c>
      <c r="BH558" s="3" t="n">
        <v>4.41240263</v>
      </c>
      <c r="BI558" s="3" t="n">
        <v>4.97671938</v>
      </c>
      <c r="BJ558" s="3" t="n">
        <v>4.86051178</v>
      </c>
      <c r="BK558" s="3" t="n">
        <v>4.51235676</v>
      </c>
      <c r="BL558" s="3" t="n">
        <v>4.12745667</v>
      </c>
      <c r="BM558" s="3" t="n">
        <v>3.95980334</v>
      </c>
      <c r="BN558" s="3" t="n">
        <v>4.71684837</v>
      </c>
      <c r="BO558" s="3" t="n">
        <v>4.26834059</v>
      </c>
      <c r="BP558" s="3" t="n"/>
      <c r="BQ558" s="3" t="n"/>
      <c r="BR558" s="34" t="str">
        <f>B558&amp;"|"&amp;D558</f>
        <v>BHR|SH.XPD.CHEX.GD.ZS</v>
      </c>
    </row>
    <row r="559">
      <c r="A559" s="3" t="inlineStr">
        <is>
          <t>Bahamas, The</t>
        </is>
      </c>
      <c r="B559" s="3" t="inlineStr">
        <is>
          <t>BHS</t>
        </is>
      </c>
      <c r="C559" s="3" t="inlineStr">
        <is>
          <t>Current health expenditure (% of GDP)</t>
        </is>
      </c>
      <c r="D559" s="3" t="inlineStr">
        <is>
          <t>SH.XPD.CHEX.GD.ZS</t>
        </is>
      </c>
      <c r="E559" s="3" t="n">
        <v>2021</v>
      </c>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c r="AD559" s="3" t="n"/>
      <c r="AE559" s="3" t="n"/>
      <c r="AF559" s="3" t="n"/>
      <c r="AG559" s="3" t="n"/>
      <c r="AH559" s="3" t="n"/>
      <c r="AI559" s="3" t="n"/>
      <c r="AJ559" s="3" t="n"/>
      <c r="AK559" s="3" t="n"/>
      <c r="AL559" s="3" t="n"/>
      <c r="AM559" s="3" t="n"/>
      <c r="AN559" s="3" t="n"/>
      <c r="AO559" s="3" t="n"/>
      <c r="AP559" s="3" t="n"/>
      <c r="AQ559" s="3" t="n"/>
      <c r="AR559" s="3" t="n"/>
      <c r="AS559" s="3" t="n"/>
      <c r="AT559" s="3" t="n">
        <v>3.80487037</v>
      </c>
      <c r="AU559" s="3" t="n">
        <v>3.92440891</v>
      </c>
      <c r="AV559" s="3" t="n">
        <v>3.81251931</v>
      </c>
      <c r="AW559" s="3" t="n">
        <v>4.01998568</v>
      </c>
      <c r="AX559" s="3" t="n">
        <v>4.04628181</v>
      </c>
      <c r="AY559" s="3" t="n">
        <v>4.03196478</v>
      </c>
      <c r="AZ559" s="3" t="n">
        <v>4.30935764</v>
      </c>
      <c r="BA559" s="3" t="n">
        <v>4.49598694</v>
      </c>
      <c r="BB559" s="3" t="n">
        <v>4.86261654</v>
      </c>
      <c r="BC559" s="3" t="n">
        <v>5.1500144</v>
      </c>
      <c r="BD559" s="3" t="n">
        <v>5.25594234</v>
      </c>
      <c r="BE559" s="3" t="n">
        <v>5.32398558</v>
      </c>
      <c r="BF559" s="3" t="n">
        <v>5.3190918</v>
      </c>
      <c r="BG559" s="3" t="n">
        <v>5.59409571</v>
      </c>
      <c r="BH559" s="3" t="n">
        <v>5.53944159</v>
      </c>
      <c r="BI559" s="3" t="n">
        <v>5.16048241</v>
      </c>
      <c r="BJ559" s="3" t="n">
        <v>5.68248844</v>
      </c>
      <c r="BK559" s="3" t="n">
        <v>6.70352888</v>
      </c>
      <c r="BL559" s="3" t="n">
        <v>5.98263836</v>
      </c>
      <c r="BM559" s="3" t="n">
        <v>5.82275152</v>
      </c>
      <c r="BN559" s="3" t="n">
        <v>7.64700842</v>
      </c>
      <c r="BO559" s="3" t="n">
        <v>7.13872051</v>
      </c>
      <c r="BP559" s="3" t="n"/>
      <c r="BQ559" s="3" t="n"/>
      <c r="BR559" s="34" t="str">
        <f>B559&amp;"|"&amp;D559</f>
        <v>BHS|SH.XPD.CHEX.GD.ZS</v>
      </c>
    </row>
    <row r="560">
      <c r="A560" s="3" t="inlineStr">
        <is>
          <t>Bosnia and Herzegovina</t>
        </is>
      </c>
      <c r="B560" s="3" t="inlineStr">
        <is>
          <t>BIH</t>
        </is>
      </c>
      <c r="C560" s="3" t="inlineStr">
        <is>
          <t>Current health expenditure (% of GDP)</t>
        </is>
      </c>
      <c r="D560" s="3" t="inlineStr">
        <is>
          <t>SH.XPD.CHEX.GD.ZS</t>
        </is>
      </c>
      <c r="E560" s="3" t="n">
        <v>2021</v>
      </c>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c r="AD560" s="3" t="n"/>
      <c r="AE560" s="3" t="n"/>
      <c r="AF560" s="3" t="n"/>
      <c r="AG560" s="3" t="n"/>
      <c r="AH560" s="3" t="n"/>
      <c r="AI560" s="3" t="n"/>
      <c r="AJ560" s="3" t="n"/>
      <c r="AK560" s="3" t="n"/>
      <c r="AL560" s="3" t="n"/>
      <c r="AM560" s="3" t="n"/>
      <c r="AN560" s="3" t="n"/>
      <c r="AO560" s="3" t="n"/>
      <c r="AP560" s="3" t="n"/>
      <c r="AQ560" s="3" t="n"/>
      <c r="AR560" s="3" t="n"/>
      <c r="AS560" s="3" t="n"/>
      <c r="AT560" s="3" t="n">
        <v>8</v>
      </c>
      <c r="AU560" s="3" t="n">
        <v>7.61</v>
      </c>
      <c r="AV560" s="3" t="n">
        <v>7.43</v>
      </c>
      <c r="AW560" s="3" t="n">
        <v>8.31</v>
      </c>
      <c r="AX560" s="3" t="n">
        <v>9.06</v>
      </c>
      <c r="AY560" s="3" t="n">
        <v>9.050000000000001</v>
      </c>
      <c r="AZ560" s="3" t="n">
        <v>9.17</v>
      </c>
      <c r="BA560" s="3" t="n">
        <v>9.529999999999999</v>
      </c>
      <c r="BB560" s="3" t="n">
        <v>9.69</v>
      </c>
      <c r="BC560" s="3" t="n">
        <v>9.02</v>
      </c>
      <c r="BD560" s="3" t="n">
        <v>9.02</v>
      </c>
      <c r="BE560" s="3" t="n">
        <v>9.18</v>
      </c>
      <c r="BF560" s="3" t="n">
        <v>9.49</v>
      </c>
      <c r="BG560" s="3" t="n">
        <v>9.449999999999999</v>
      </c>
      <c r="BH560" s="3" t="n">
        <v>9.49</v>
      </c>
      <c r="BI560" s="3" t="n">
        <v>9.24</v>
      </c>
      <c r="BJ560" s="3" t="n">
        <v>9.140000000000001</v>
      </c>
      <c r="BK560" s="3" t="n">
        <v>8.82</v>
      </c>
      <c r="BL560" s="3" t="n">
        <v>8.76</v>
      </c>
      <c r="BM560" s="3" t="n">
        <v>8.93</v>
      </c>
      <c r="BN560" s="3" t="n">
        <v>9.699999999999999</v>
      </c>
      <c r="BO560" s="3" t="n">
        <v>9.56</v>
      </c>
      <c r="BP560" s="3" t="n"/>
      <c r="BQ560" s="3" t="n"/>
      <c r="BR560" s="34" t="str">
        <f>B560&amp;"|"&amp;D560</f>
        <v>BIH|SH.XPD.CHEX.GD.ZS</v>
      </c>
    </row>
    <row r="561">
      <c r="A561" s="3" t="inlineStr">
        <is>
          <t>Belarus</t>
        </is>
      </c>
      <c r="B561" s="3" t="inlineStr">
        <is>
          <t>BLR</t>
        </is>
      </c>
      <c r="C561" s="3" t="inlineStr">
        <is>
          <t>Current health expenditure (% of GDP)</t>
        </is>
      </c>
      <c r="D561" s="3" t="inlineStr">
        <is>
          <t>SH.XPD.CHEX.GD.ZS</t>
        </is>
      </c>
      <c r="E561" s="3" t="n">
        <v>2021</v>
      </c>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c r="AD561" s="3" t="n"/>
      <c r="AE561" s="3" t="n"/>
      <c r="AF561" s="3" t="n"/>
      <c r="AG561" s="3" t="n"/>
      <c r="AH561" s="3" t="n"/>
      <c r="AI561" s="3" t="n"/>
      <c r="AJ561" s="3" t="n"/>
      <c r="AK561" s="3" t="n"/>
      <c r="AL561" s="3" t="n"/>
      <c r="AM561" s="3" t="n"/>
      <c r="AN561" s="3" t="n"/>
      <c r="AO561" s="3" t="n"/>
      <c r="AP561" s="3" t="n"/>
      <c r="AQ561" s="3" t="n"/>
      <c r="AR561" s="3" t="n"/>
      <c r="AS561" s="3" t="n"/>
      <c r="AT561" s="3" t="n">
        <v>5.28</v>
      </c>
      <c r="AU561" s="3" t="n">
        <v>5.71</v>
      </c>
      <c r="AV561" s="3" t="n">
        <v>5.62</v>
      </c>
      <c r="AW561" s="3" t="n">
        <v>5.77</v>
      </c>
      <c r="AX561" s="3" t="n">
        <v>5.74</v>
      </c>
      <c r="AY561" s="3" t="n">
        <v>6.07</v>
      </c>
      <c r="AZ561" s="3" t="n">
        <v>5.57</v>
      </c>
      <c r="BA561" s="3" t="n">
        <v>5.69</v>
      </c>
      <c r="BB561" s="3" t="n">
        <v>5.29</v>
      </c>
      <c r="BC561" s="3" t="n">
        <v>5.39</v>
      </c>
      <c r="BD561" s="3" t="n">
        <v>5.66</v>
      </c>
      <c r="BE561" s="3" t="n">
        <v>4.87</v>
      </c>
      <c r="BF561" s="3" t="n">
        <v>5.25</v>
      </c>
      <c r="BG561" s="3" t="n">
        <v>5.7</v>
      </c>
      <c r="BH561" s="3" t="n">
        <v>5.39</v>
      </c>
      <c r="BI561" s="3" t="n">
        <v>6.07</v>
      </c>
      <c r="BJ561" s="3" t="n">
        <v>5.91</v>
      </c>
      <c r="BK561" s="3" t="n">
        <v>5.76</v>
      </c>
      <c r="BL561" s="3" t="n">
        <v>5.53</v>
      </c>
      <c r="BM561" s="3" t="n">
        <v>5.86</v>
      </c>
      <c r="BN561" s="3" t="n">
        <v>6.41</v>
      </c>
      <c r="BO561" s="3" t="n">
        <v>6.57</v>
      </c>
      <c r="BP561" s="3" t="n"/>
      <c r="BQ561" s="3" t="n"/>
      <c r="BR561" s="34" t="str">
        <f>B561&amp;"|"&amp;D561</f>
        <v>BLR|SH.XPD.CHEX.GD.ZS</v>
      </c>
    </row>
    <row r="562">
      <c r="A562" s="3" t="inlineStr">
        <is>
          <t>Belize</t>
        </is>
      </c>
      <c r="B562" s="3" t="inlineStr">
        <is>
          <t>BLZ</t>
        </is>
      </c>
      <c r="C562" s="3" t="inlineStr">
        <is>
          <t>Current health expenditure (% of GDP)</t>
        </is>
      </c>
      <c r="D562" s="3" t="inlineStr">
        <is>
          <t>SH.XPD.CHEX.GD.ZS</t>
        </is>
      </c>
      <c r="E562" s="3" t="n">
        <v>2021</v>
      </c>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c r="AD562" s="3" t="n"/>
      <c r="AE562" s="3" t="n"/>
      <c r="AF562" s="3" t="n"/>
      <c r="AG562" s="3" t="n"/>
      <c r="AH562" s="3" t="n"/>
      <c r="AI562" s="3" t="n"/>
      <c r="AJ562" s="3" t="n"/>
      <c r="AK562" s="3" t="n"/>
      <c r="AL562" s="3" t="n"/>
      <c r="AM562" s="3" t="n"/>
      <c r="AN562" s="3" t="n"/>
      <c r="AO562" s="3" t="n"/>
      <c r="AP562" s="3" t="n"/>
      <c r="AQ562" s="3" t="n"/>
      <c r="AR562" s="3" t="n"/>
      <c r="AS562" s="3" t="n"/>
      <c r="AT562" s="3" t="n">
        <v>2.98060012</v>
      </c>
      <c r="AU562" s="3" t="n">
        <v>3.49099278</v>
      </c>
      <c r="AV562" s="3" t="n">
        <v>3.59433174</v>
      </c>
      <c r="AW562" s="3" t="n">
        <v>3.56305766</v>
      </c>
      <c r="AX562" s="3" t="n">
        <v>3.44779563</v>
      </c>
      <c r="AY562" s="3" t="n">
        <v>3.46698904</v>
      </c>
      <c r="AZ562" s="3" t="n">
        <v>3.57004833</v>
      </c>
      <c r="BA562" s="3" t="n">
        <v>4.07867432</v>
      </c>
      <c r="BB562" s="3" t="n">
        <v>4.53821993</v>
      </c>
      <c r="BC562" s="3" t="n">
        <v>4.52587652</v>
      </c>
      <c r="BD562" s="3" t="n">
        <v>4.49519491</v>
      </c>
      <c r="BE562" s="3" t="n">
        <v>4.54942894</v>
      </c>
      <c r="BF562" s="3" t="n">
        <v>4.36242819</v>
      </c>
      <c r="BG562" s="3" t="n">
        <v>4.43660116</v>
      </c>
      <c r="BH562" s="3" t="n">
        <v>4.88208723</v>
      </c>
      <c r="BI562" s="3" t="n">
        <v>4.65365601</v>
      </c>
      <c r="BJ562" s="3" t="n">
        <v>4.76508141</v>
      </c>
      <c r="BK562" s="3" t="n">
        <v>4.61620188</v>
      </c>
      <c r="BL562" s="3" t="n">
        <v>4.74657917</v>
      </c>
      <c r="BM562" s="3" t="n">
        <v>4.81374073</v>
      </c>
      <c r="BN562" s="3" t="n">
        <v>5.30974436</v>
      </c>
      <c r="BO562" s="3" t="n">
        <v>4.98043823</v>
      </c>
      <c r="BP562" s="3" t="n"/>
      <c r="BQ562" s="3" t="n"/>
      <c r="BR562" s="34" t="str">
        <f>B562&amp;"|"&amp;D562</f>
        <v>BLZ|SH.XPD.CHEX.GD.ZS</v>
      </c>
    </row>
    <row r="563">
      <c r="A563" s="3" t="inlineStr">
        <is>
          <t>Bermuda</t>
        </is>
      </c>
      <c r="B563" s="3" t="inlineStr">
        <is>
          <t>BMU</t>
        </is>
      </c>
      <c r="C563" s="3" t="inlineStr">
        <is>
          <t>Current health expenditure (% of GDP)</t>
        </is>
      </c>
      <c r="D563" s="3" t="inlineStr">
        <is>
          <t>SH.XPD.CHEX.GD.ZS</t>
        </is>
      </c>
      <c r="E563" s="3" t="inlineStr">
        <is>
          <t>0x2a</t>
        </is>
      </c>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c r="AD563" s="3" t="n"/>
      <c r="AE563" s="3" t="n"/>
      <c r="AF563" s="3" t="n"/>
      <c r="AG563" s="3" t="n"/>
      <c r="AH563" s="3" t="n"/>
      <c r="AI563" s="3" t="n"/>
      <c r="AJ563" s="3" t="n"/>
      <c r="AK563" s="3" t="n"/>
      <c r="AL563" s="3" t="n"/>
      <c r="AM563" s="3" t="n"/>
      <c r="AN563" s="3" t="n"/>
      <c r="AO563" s="3" t="n"/>
      <c r="AP563" s="3" t="n"/>
      <c r="AQ563" s="3" t="n"/>
      <c r="AR563" s="3" t="n"/>
      <c r="AS563" s="3" t="n"/>
      <c r="AT563" s="3" t="n"/>
      <c r="AU563" s="3" t="n"/>
      <c r="AV563" s="3" t="n"/>
      <c r="AW563" s="3" t="n"/>
      <c r="AX563" s="3" t="n"/>
      <c r="AY563" s="3" t="n"/>
      <c r="AZ563" s="3" t="n"/>
      <c r="BA563" s="3" t="n"/>
      <c r="BB563" s="3" t="n"/>
      <c r="BC563" s="3" t="n"/>
      <c r="BD563" s="3" t="n"/>
      <c r="BE563" s="3" t="n"/>
      <c r="BF563" s="3" t="n"/>
      <c r="BG563" s="3" t="n"/>
      <c r="BH563" s="3" t="n"/>
      <c r="BI563" s="3" t="n"/>
      <c r="BJ563" s="3" t="n"/>
      <c r="BK563" s="3" t="n"/>
      <c r="BL563" s="3" t="n"/>
      <c r="BM563" s="3" t="n"/>
      <c r="BN563" s="3" t="n"/>
      <c r="BO563" s="3" t="n"/>
      <c r="BP563" s="3" t="n"/>
      <c r="BQ563" s="3" t="n"/>
      <c r="BR563" s="34" t="str">
        <f>B563&amp;"|"&amp;D563</f>
        <v>BMU|SH.XPD.CHEX.GD.ZS</v>
      </c>
    </row>
    <row r="564">
      <c r="A564" s="3" t="inlineStr">
        <is>
          <t>Bolivia</t>
        </is>
      </c>
      <c r="B564" s="3" t="inlineStr">
        <is>
          <t>BOL</t>
        </is>
      </c>
      <c r="C564" s="3" t="inlineStr">
        <is>
          <t>Current health expenditure (% of GDP)</t>
        </is>
      </c>
      <c r="D564" s="3" t="inlineStr">
        <is>
          <t>SH.XPD.CHEX.GD.ZS</t>
        </is>
      </c>
      <c r="E564" s="3" t="n">
        <v>2021</v>
      </c>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c r="AD564" s="3" t="n"/>
      <c r="AE564" s="3" t="n"/>
      <c r="AF564" s="3" t="n"/>
      <c r="AG564" s="3" t="n"/>
      <c r="AH564" s="3" t="n"/>
      <c r="AI564" s="3" t="n"/>
      <c r="AJ564" s="3" t="n"/>
      <c r="AK564" s="3" t="n"/>
      <c r="AL564" s="3" t="n"/>
      <c r="AM564" s="3" t="n"/>
      <c r="AN564" s="3" t="n"/>
      <c r="AO564" s="3" t="n"/>
      <c r="AP564" s="3" t="n"/>
      <c r="AQ564" s="3" t="n"/>
      <c r="AR564" s="3" t="n"/>
      <c r="AS564" s="3" t="n"/>
      <c r="AT564" s="3" t="n">
        <v>4.39554119</v>
      </c>
      <c r="AU564" s="3" t="n">
        <v>4.82522202</v>
      </c>
      <c r="AV564" s="3" t="n">
        <v>4.89645052</v>
      </c>
      <c r="AW564" s="3" t="n">
        <v>5.19709635</v>
      </c>
      <c r="AX564" s="3" t="n">
        <v>4.86315727</v>
      </c>
      <c r="AY564" s="3" t="n">
        <v>5.07408142</v>
      </c>
      <c r="AZ564" s="3" t="n">
        <v>4.66087532</v>
      </c>
      <c r="BA564" s="3" t="n">
        <v>4.6968894</v>
      </c>
      <c r="BB564" s="3" t="n">
        <v>4.60677242</v>
      </c>
      <c r="BC564" s="3" t="n">
        <v>5.17444515</v>
      </c>
      <c r="BD564" s="3" t="n">
        <v>5.20230532</v>
      </c>
      <c r="BE564" s="3" t="n">
        <v>5.17306805</v>
      </c>
      <c r="BF564" s="3" t="n">
        <v>5.2539444</v>
      </c>
      <c r="BG564" s="3" t="n">
        <v>5.57465124</v>
      </c>
      <c r="BH564" s="3" t="n">
        <v>5.89613628</v>
      </c>
      <c r="BI564" s="3" t="n">
        <v>6.55064964</v>
      </c>
      <c r="BJ564" s="3" t="n">
        <v>6.83333063</v>
      </c>
      <c r="BK564" s="3" t="n">
        <v>6.4901948</v>
      </c>
      <c r="BL564" s="3" t="n">
        <v>6.60399437</v>
      </c>
      <c r="BM564" s="3" t="n">
        <v>6.88792992</v>
      </c>
      <c r="BN564" s="3" t="n">
        <v>8.0225811</v>
      </c>
      <c r="BO564" s="3" t="n">
        <v>8.15972805</v>
      </c>
      <c r="BP564" s="3" t="n"/>
      <c r="BQ564" s="3" t="n"/>
      <c r="BR564" s="34" t="str">
        <f>B564&amp;"|"&amp;D564</f>
        <v>BOL|SH.XPD.CHEX.GD.ZS</v>
      </c>
    </row>
    <row r="565">
      <c r="A565" s="3" t="inlineStr">
        <is>
          <t>Brazil</t>
        </is>
      </c>
      <c r="B565" s="3" t="inlineStr">
        <is>
          <t>BRA</t>
        </is>
      </c>
      <c r="C565" s="3" t="inlineStr">
        <is>
          <t>Current health expenditure (% of GDP)</t>
        </is>
      </c>
      <c r="D565" s="3" t="inlineStr">
        <is>
          <t>SH.XPD.CHEX.GD.ZS</t>
        </is>
      </c>
      <c r="E565" s="3" t="n">
        <v>2021</v>
      </c>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c r="AD565" s="3" t="n"/>
      <c r="AE565" s="3" t="n"/>
      <c r="AF565" s="3" t="n"/>
      <c r="AG565" s="3" t="n"/>
      <c r="AH565" s="3" t="n"/>
      <c r="AI565" s="3" t="n"/>
      <c r="AJ565" s="3" t="n"/>
      <c r="AK565" s="3" t="n"/>
      <c r="AL565" s="3" t="n"/>
      <c r="AM565" s="3" t="n"/>
      <c r="AN565" s="3" t="n"/>
      <c r="AO565" s="3" t="n"/>
      <c r="AP565" s="3" t="n"/>
      <c r="AQ565" s="3" t="n"/>
      <c r="AR565" s="3" t="n"/>
      <c r="AS565" s="3" t="n"/>
      <c r="AT565" s="3" t="n">
        <v>8.334571840000001</v>
      </c>
      <c r="AU565" s="3" t="n">
        <v>8.549633030000001</v>
      </c>
      <c r="AV565" s="3" t="n">
        <v>8.696869850000001</v>
      </c>
      <c r="AW565" s="3" t="n">
        <v>8.188994409999999</v>
      </c>
      <c r="AX565" s="3" t="n">
        <v>8.124919889999999</v>
      </c>
      <c r="AY565" s="3" t="n">
        <v>8.035395619999999</v>
      </c>
      <c r="AZ565" s="3" t="n">
        <v>8.249525070000001</v>
      </c>
      <c r="BA565" s="3" t="n">
        <v>8.201829910000001</v>
      </c>
      <c r="BB565" s="3" t="n">
        <v>8.011284829999999</v>
      </c>
      <c r="BC565" s="3" t="n">
        <v>8.394804949999999</v>
      </c>
      <c r="BD565" s="3" t="n">
        <v>7.94516611</v>
      </c>
      <c r="BE565" s="3" t="n">
        <v>7.78819132</v>
      </c>
      <c r="BF565" s="3" t="n">
        <v>7.73637724</v>
      </c>
      <c r="BG565" s="3" t="n">
        <v>7.9766016</v>
      </c>
      <c r="BH565" s="3" t="n">
        <v>8.39644146</v>
      </c>
      <c r="BI565" s="3" t="n">
        <v>8.90929985</v>
      </c>
      <c r="BJ565" s="3" t="n">
        <v>9.169014929999999</v>
      </c>
      <c r="BK565" s="3" t="n">
        <v>9.47124863</v>
      </c>
      <c r="BL565" s="3" t="n">
        <v>9.46475029</v>
      </c>
      <c r="BM565" s="3" t="n">
        <v>9.61449146</v>
      </c>
      <c r="BN565" s="3" t="n">
        <v>10.18235016</v>
      </c>
      <c r="BO565" s="3" t="n">
        <v>9.890723230000001</v>
      </c>
      <c r="BP565" s="3" t="n"/>
      <c r="BQ565" s="3" t="n"/>
      <c r="BR565" s="34" t="str">
        <f>B565&amp;"|"&amp;D565</f>
        <v>BRA|SH.XPD.CHEX.GD.ZS</v>
      </c>
    </row>
    <row r="566">
      <c r="A566" s="3" t="inlineStr">
        <is>
          <t>Barbados</t>
        </is>
      </c>
      <c r="B566" s="3" t="inlineStr">
        <is>
          <t>BRB</t>
        </is>
      </c>
      <c r="C566" s="3" t="inlineStr">
        <is>
          <t>Current health expenditure (% of GDP)</t>
        </is>
      </c>
      <c r="D566" s="3" t="inlineStr">
        <is>
          <t>SH.XPD.CHEX.GD.ZS</t>
        </is>
      </c>
      <c r="E566" s="3" t="n">
        <v>2021</v>
      </c>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c r="AD566" s="3" t="n"/>
      <c r="AE566" s="3" t="n"/>
      <c r="AF566" s="3" t="n"/>
      <c r="AG566" s="3" t="n"/>
      <c r="AH566" s="3" t="n"/>
      <c r="AI566" s="3" t="n"/>
      <c r="AJ566" s="3" t="n"/>
      <c r="AK566" s="3" t="n"/>
      <c r="AL566" s="3" t="n"/>
      <c r="AM566" s="3" t="n"/>
      <c r="AN566" s="3" t="n"/>
      <c r="AO566" s="3" t="n"/>
      <c r="AP566" s="3" t="n"/>
      <c r="AQ566" s="3" t="n"/>
      <c r="AR566" s="3" t="n"/>
      <c r="AS566" s="3" t="n"/>
      <c r="AT566" s="3" t="n">
        <v>5.33187246</v>
      </c>
      <c r="AU566" s="3" t="n">
        <v>5.52529192</v>
      </c>
      <c r="AV566" s="3" t="n">
        <v>5.86123466</v>
      </c>
      <c r="AW566" s="3" t="n">
        <v>6.69148111</v>
      </c>
      <c r="AX566" s="3" t="n">
        <v>7.31297731</v>
      </c>
      <c r="AY566" s="3" t="n">
        <v>6.77536297</v>
      </c>
      <c r="AZ566" s="3" t="n">
        <v>6.58370161</v>
      </c>
      <c r="BA566" s="3" t="n">
        <v>6.05665207</v>
      </c>
      <c r="BB566" s="3" t="n">
        <v>6.47753286</v>
      </c>
      <c r="BC566" s="3" t="n">
        <v>7.14522552</v>
      </c>
      <c r="BD566" s="3" t="n">
        <v>6.77094746</v>
      </c>
      <c r="BE566" s="3" t="n">
        <v>6.89690495</v>
      </c>
      <c r="BF566" s="3" t="n">
        <v>7.77819967</v>
      </c>
      <c r="BG566" s="3" t="n">
        <v>7.39825487</v>
      </c>
      <c r="BH566" s="3" t="n">
        <v>6.96651411</v>
      </c>
      <c r="BI566" s="3" t="n">
        <v>6.83201313</v>
      </c>
      <c r="BJ566" s="3" t="n">
        <v>6.83736086</v>
      </c>
      <c r="BK566" s="3" t="n">
        <v>6.65253401</v>
      </c>
      <c r="BL566" s="3" t="n">
        <v>6.45336485</v>
      </c>
      <c r="BM566" s="3" t="n">
        <v>6.20015001</v>
      </c>
      <c r="BN566" s="3" t="n">
        <v>7.37276554</v>
      </c>
      <c r="BO566" s="3" t="n">
        <v>8.09043312</v>
      </c>
      <c r="BP566" s="3" t="n"/>
      <c r="BQ566" s="3" t="n"/>
      <c r="BR566" s="34" t="str">
        <f>B566&amp;"|"&amp;D566</f>
        <v>BRB|SH.XPD.CHEX.GD.ZS</v>
      </c>
    </row>
    <row r="567">
      <c r="A567" s="3" t="inlineStr">
        <is>
          <t>Brunei Darussalam</t>
        </is>
      </c>
      <c r="B567" s="3" t="inlineStr">
        <is>
          <t>BRN</t>
        </is>
      </c>
      <c r="C567" s="3" t="inlineStr">
        <is>
          <t>Current health expenditure (% of GDP)</t>
        </is>
      </c>
      <c r="D567" s="3" t="inlineStr">
        <is>
          <t>SH.XPD.CHEX.GD.ZS</t>
        </is>
      </c>
      <c r="E567" s="3" t="n">
        <v>2021</v>
      </c>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c r="AD567" s="3" t="n"/>
      <c r="AE567" s="3" t="n"/>
      <c r="AF567" s="3" t="n"/>
      <c r="AG567" s="3" t="n"/>
      <c r="AH567" s="3" t="n"/>
      <c r="AI567" s="3" t="n"/>
      <c r="AJ567" s="3" t="n"/>
      <c r="AK567" s="3" t="n"/>
      <c r="AL567" s="3" t="n"/>
      <c r="AM567" s="3" t="n"/>
      <c r="AN567" s="3" t="n"/>
      <c r="AO567" s="3" t="n"/>
      <c r="AP567" s="3" t="n"/>
      <c r="AQ567" s="3" t="n"/>
      <c r="AR567" s="3" t="n"/>
      <c r="AS567" s="3" t="n"/>
      <c r="AT567" s="3" t="n">
        <v>2.5479064</v>
      </c>
      <c r="AU567" s="3" t="n">
        <v>2.5465107</v>
      </c>
      <c r="AV567" s="3" t="n">
        <v>2.53447938</v>
      </c>
      <c r="AW567" s="3" t="n">
        <v>2.60260582</v>
      </c>
      <c r="AX567" s="3" t="n">
        <v>2.55193377</v>
      </c>
      <c r="AY567" s="3" t="n">
        <v>2.23386168</v>
      </c>
      <c r="AZ567" s="3" t="n">
        <v>1.9072516</v>
      </c>
      <c r="BA567" s="3" t="n">
        <v>1.94145441</v>
      </c>
      <c r="BB567" s="3" t="n">
        <v>1.87612021</v>
      </c>
      <c r="BC567" s="3" t="n">
        <v>2.39306617</v>
      </c>
      <c r="BD567" s="3" t="n">
        <v>2.27826095</v>
      </c>
      <c r="BE567" s="3" t="n">
        <v>1.86409724</v>
      </c>
      <c r="BF567" s="3" t="n">
        <v>1.85097206</v>
      </c>
      <c r="BG567" s="3" t="n">
        <v>1.898314</v>
      </c>
      <c r="BH567" s="3" t="n">
        <v>1.91436803</v>
      </c>
      <c r="BI567" s="3" t="n">
        <v>2.38708901</v>
      </c>
      <c r="BJ567" s="3" t="n">
        <v>2.54828691</v>
      </c>
      <c r="BK567" s="3" t="n">
        <v>2.27022862</v>
      </c>
      <c r="BL567" s="3" t="n">
        <v>2.41289377</v>
      </c>
      <c r="BM567" s="3" t="n">
        <v>2.19410944</v>
      </c>
      <c r="BN567" s="3" t="n">
        <v>2.39334464</v>
      </c>
      <c r="BO567" s="3" t="n">
        <v>2.20486665</v>
      </c>
      <c r="BP567" s="3" t="n"/>
      <c r="BQ567" s="3" t="n"/>
      <c r="BR567" s="34" t="str">
        <f>B567&amp;"|"&amp;D567</f>
        <v>BRN|SH.XPD.CHEX.GD.ZS</v>
      </c>
    </row>
    <row r="568">
      <c r="A568" s="3" t="inlineStr">
        <is>
          <t>Bhutan</t>
        </is>
      </c>
      <c r="B568" s="3" t="inlineStr">
        <is>
          <t>BTN</t>
        </is>
      </c>
      <c r="C568" s="3" t="inlineStr">
        <is>
          <t>Current health expenditure (% of GDP)</t>
        </is>
      </c>
      <c r="D568" s="3" t="inlineStr">
        <is>
          <t>SH.XPD.CHEX.GD.ZS</t>
        </is>
      </c>
      <c r="E568" s="3" t="n">
        <v>2021</v>
      </c>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c r="AD568" s="3" t="n"/>
      <c r="AE568" s="3" t="n"/>
      <c r="AF568" s="3" t="n"/>
      <c r="AG568" s="3" t="n"/>
      <c r="AH568" s="3" t="n"/>
      <c r="AI568" s="3" t="n"/>
      <c r="AJ568" s="3" t="n"/>
      <c r="AK568" s="3" t="n"/>
      <c r="AL568" s="3" t="n"/>
      <c r="AM568" s="3" t="n"/>
      <c r="AN568" s="3" t="n"/>
      <c r="AO568" s="3" t="n"/>
      <c r="AP568" s="3" t="n"/>
      <c r="AQ568" s="3" t="n"/>
      <c r="AR568" s="3" t="n"/>
      <c r="AS568" s="3" t="n"/>
      <c r="AT568" s="3" t="n">
        <v>4.44684267</v>
      </c>
      <c r="AU568" s="3" t="n">
        <v>5.0041995</v>
      </c>
      <c r="AV568" s="3" t="n">
        <v>4.59563637</v>
      </c>
      <c r="AW568" s="3" t="n">
        <v>4.1293807</v>
      </c>
      <c r="AX568" s="3" t="n">
        <v>4.59777308</v>
      </c>
      <c r="AY568" s="3" t="n">
        <v>4.13416338</v>
      </c>
      <c r="AZ568" s="3" t="n">
        <v>4.4061017</v>
      </c>
      <c r="BA568" s="3" t="n">
        <v>4.1298461</v>
      </c>
      <c r="BB568" s="3" t="n">
        <v>3.38117099</v>
      </c>
      <c r="BC568" s="3" t="n">
        <v>3.5476253</v>
      </c>
      <c r="BD568" s="3" t="n">
        <v>3.55879498</v>
      </c>
      <c r="BE568" s="3" t="n">
        <v>3.34921789</v>
      </c>
      <c r="BF568" s="3" t="n">
        <v>3.61913681</v>
      </c>
      <c r="BG568" s="3" t="n">
        <v>3.70787191</v>
      </c>
      <c r="BH568" s="3" t="n">
        <v>3.55791116</v>
      </c>
      <c r="BI568" s="3" t="n">
        <v>3.75701189</v>
      </c>
      <c r="BJ568" s="3" t="n">
        <v>3.57613945</v>
      </c>
      <c r="BK568" s="3" t="n">
        <v>3.3407371</v>
      </c>
      <c r="BL568" s="3" t="n">
        <v>3.2427721</v>
      </c>
      <c r="BM568" s="3" t="n">
        <v>3.60361075</v>
      </c>
      <c r="BN568" s="3" t="n">
        <v>4.36274862</v>
      </c>
      <c r="BO568" s="3" t="n">
        <v>3.84550023</v>
      </c>
      <c r="BP568" s="3" t="n"/>
      <c r="BQ568" s="3" t="n"/>
      <c r="BR568" s="34" t="str">
        <f>B568&amp;"|"&amp;D568</f>
        <v>BTN|SH.XPD.CHEX.GD.ZS</v>
      </c>
    </row>
    <row r="569">
      <c r="A569" s="3" t="inlineStr">
        <is>
          <t>Botswana</t>
        </is>
      </c>
      <c r="B569" s="3" t="inlineStr">
        <is>
          <t>BWA</t>
        </is>
      </c>
      <c r="C569" s="3" t="inlineStr">
        <is>
          <t>Current health expenditure (% of GDP)</t>
        </is>
      </c>
      <c r="D569" s="3" t="inlineStr">
        <is>
          <t>SH.XPD.CHEX.GD.ZS</t>
        </is>
      </c>
      <c r="E569" s="3" t="n">
        <v>2021</v>
      </c>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c r="AD569" s="3" t="n"/>
      <c r="AE569" s="3" t="n"/>
      <c r="AF569" s="3" t="n"/>
      <c r="AG569" s="3" t="n"/>
      <c r="AH569" s="3" t="n"/>
      <c r="AI569" s="3" t="n"/>
      <c r="AJ569" s="3" t="n"/>
      <c r="AK569" s="3" t="n"/>
      <c r="AL569" s="3" t="n"/>
      <c r="AM569" s="3" t="n"/>
      <c r="AN569" s="3" t="n"/>
      <c r="AO569" s="3" t="n"/>
      <c r="AP569" s="3" t="n"/>
      <c r="AQ569" s="3" t="n"/>
      <c r="AR569" s="3" t="n"/>
      <c r="AS569" s="3" t="n"/>
      <c r="AT569" s="3" t="n">
        <v>6.10838556</v>
      </c>
      <c r="AU569" s="3" t="n">
        <v>6.3660779</v>
      </c>
      <c r="AV569" s="3" t="n">
        <v>6.66529799</v>
      </c>
      <c r="AW569" s="3" t="n">
        <v>6.40933847</v>
      </c>
      <c r="AX569" s="3" t="n">
        <v>6.09125996</v>
      </c>
      <c r="AY569" s="3" t="n">
        <v>5.26532936</v>
      </c>
      <c r="AZ569" s="3" t="n">
        <v>4.87599421</v>
      </c>
      <c r="BA569" s="3" t="n">
        <v>5.52080727</v>
      </c>
      <c r="BB569" s="3" t="n">
        <v>5.89747286</v>
      </c>
      <c r="BC569" s="3" t="n">
        <v>6.62081194</v>
      </c>
      <c r="BD569" s="3" t="n">
        <v>6.26718187</v>
      </c>
      <c r="BE569" s="3" t="n">
        <v>5.86915016</v>
      </c>
      <c r="BF569" s="3" t="n">
        <v>6.35010576</v>
      </c>
      <c r="BG569" s="3" t="n">
        <v>6.49913645</v>
      </c>
      <c r="BH569" s="3" t="n">
        <v>5.8804059</v>
      </c>
      <c r="BI569" s="3" t="n">
        <v>6.10287762</v>
      </c>
      <c r="BJ569" s="3" t="n">
        <v>5.76837635</v>
      </c>
      <c r="BK569" s="3" t="n">
        <v>6.62986994</v>
      </c>
      <c r="BL569" s="3" t="n">
        <v>6.04010344</v>
      </c>
      <c r="BM569" s="3" t="n">
        <v>6.12193203</v>
      </c>
      <c r="BN569" s="3" t="n">
        <v>6.1213398</v>
      </c>
      <c r="BO569" s="3" t="n">
        <v>6.30929565</v>
      </c>
      <c r="BP569" s="3" t="n"/>
      <c r="BQ569" s="3" t="n"/>
      <c r="BR569" s="34" t="str">
        <f>B569&amp;"|"&amp;D569</f>
        <v>BWA|SH.XPD.CHEX.GD.ZS</v>
      </c>
    </row>
    <row r="570">
      <c r="A570" s="3" t="inlineStr">
        <is>
          <t>Central African Republic</t>
        </is>
      </c>
      <c r="B570" s="3" t="inlineStr">
        <is>
          <t>CAF</t>
        </is>
      </c>
      <c r="C570" s="3" t="inlineStr">
        <is>
          <t>Current health expenditure (% of GDP)</t>
        </is>
      </c>
      <c r="D570" s="3" t="inlineStr">
        <is>
          <t>SH.XPD.CHEX.GD.ZS</t>
        </is>
      </c>
      <c r="E570" s="3" t="n">
        <v>2021</v>
      </c>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c r="AD570" s="3" t="n"/>
      <c r="AE570" s="3" t="n"/>
      <c r="AF570" s="3" t="n"/>
      <c r="AG570" s="3" t="n"/>
      <c r="AH570" s="3" t="n"/>
      <c r="AI570" s="3" t="n"/>
      <c r="AJ570" s="3" t="n"/>
      <c r="AK570" s="3" t="n"/>
      <c r="AL570" s="3" t="n"/>
      <c r="AM570" s="3" t="n"/>
      <c r="AN570" s="3" t="n"/>
      <c r="AO570" s="3" t="n"/>
      <c r="AP570" s="3" t="n"/>
      <c r="AQ570" s="3" t="n"/>
      <c r="AR570" s="3" t="n"/>
      <c r="AS570" s="3" t="n"/>
      <c r="AT570" s="3" t="n">
        <v>4.27478504</v>
      </c>
      <c r="AU570" s="3" t="n">
        <v>3.95594192</v>
      </c>
      <c r="AV570" s="3" t="n">
        <v>4.22761345</v>
      </c>
      <c r="AW570" s="3" t="n">
        <v>4.39720297</v>
      </c>
      <c r="AX570" s="3" t="n">
        <v>4.30442286</v>
      </c>
      <c r="AY570" s="3" t="n">
        <v>4.36732149</v>
      </c>
      <c r="AZ570" s="3" t="n">
        <v>4.44105434</v>
      </c>
      <c r="BA570" s="3" t="n">
        <v>4.71851492</v>
      </c>
      <c r="BB570" s="3" t="n">
        <v>4.08699083</v>
      </c>
      <c r="BC570" s="3" t="n">
        <v>4.81901121</v>
      </c>
      <c r="BD570" s="3" t="n">
        <v>3.56699872</v>
      </c>
      <c r="BE570" s="3" t="n">
        <v>3.67561865</v>
      </c>
      <c r="BF570" s="3" t="n">
        <v>3.91814446</v>
      </c>
      <c r="BG570" s="3" t="n">
        <v>4.76660204</v>
      </c>
      <c r="BH570" s="3" t="n">
        <v>4.56557369</v>
      </c>
      <c r="BI570" s="3" t="n">
        <v>5.03434181</v>
      </c>
      <c r="BJ570" s="3" t="n">
        <v>5.44402313</v>
      </c>
      <c r="BK570" s="3" t="n">
        <v>6.66541576</v>
      </c>
      <c r="BL570" s="3" t="n">
        <v>10.99657822</v>
      </c>
      <c r="BM570" s="3" t="n">
        <v>7.76124763</v>
      </c>
      <c r="BN570" s="3" t="n">
        <v>8.985380170000001</v>
      </c>
      <c r="BO570" s="3" t="n">
        <v>9.068532940000001</v>
      </c>
      <c r="BP570" s="3" t="n"/>
      <c r="BQ570" s="3" t="n"/>
      <c r="BR570" s="34" t="str">
        <f>B570&amp;"|"&amp;D570</f>
        <v>CAF|SH.XPD.CHEX.GD.ZS</v>
      </c>
    </row>
    <row r="571">
      <c r="A571" s="3" t="inlineStr">
        <is>
          <t>Canada</t>
        </is>
      </c>
      <c r="B571" s="3" t="inlineStr">
        <is>
          <t>CAN</t>
        </is>
      </c>
      <c r="C571" s="3" t="inlineStr">
        <is>
          <t>Current health expenditure (% of GDP)</t>
        </is>
      </c>
      <c r="D571" s="3" t="inlineStr">
        <is>
          <t>SH.XPD.CHEX.GD.ZS</t>
        </is>
      </c>
      <c r="E571" s="3" t="n">
        <v>2022</v>
      </c>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c r="AD571" s="3" t="n"/>
      <c r="AE571" s="3" t="n"/>
      <c r="AF571" s="3" t="n"/>
      <c r="AG571" s="3" t="n"/>
      <c r="AH571" s="3" t="n"/>
      <c r="AI571" s="3" t="n"/>
      <c r="AJ571" s="3" t="n"/>
      <c r="AK571" s="3" t="n"/>
      <c r="AL571" s="3" t="n"/>
      <c r="AM571" s="3" t="n"/>
      <c r="AN571" s="3" t="n"/>
      <c r="AO571" s="3" t="n"/>
      <c r="AP571" s="3" t="n"/>
      <c r="AQ571" s="3" t="n"/>
      <c r="AR571" s="3" t="n"/>
      <c r="AS571" s="3" t="n"/>
      <c r="AT571" s="3" t="n">
        <v>8.24814415</v>
      </c>
      <c r="AU571" s="3" t="n">
        <v>8.62482357</v>
      </c>
      <c r="AV571" s="3" t="n">
        <v>8.856704710000001</v>
      </c>
      <c r="AW571" s="3" t="n">
        <v>9.01090145</v>
      </c>
      <c r="AX571" s="3" t="n">
        <v>9.06628132</v>
      </c>
      <c r="AY571" s="3" t="n">
        <v>9.03540611</v>
      </c>
      <c r="AZ571" s="3" t="n">
        <v>9.342102049999999</v>
      </c>
      <c r="BA571" s="3" t="n">
        <v>9.44540119</v>
      </c>
      <c r="BB571" s="3" t="n">
        <v>9.607549669999999</v>
      </c>
      <c r="BC571" s="3" t="n">
        <v>10.66225815</v>
      </c>
      <c r="BD571" s="3" t="n">
        <v>10.67611408</v>
      </c>
      <c r="BE571" s="3" t="n">
        <v>10.37950897</v>
      </c>
      <c r="BF571" s="3" t="n">
        <v>10.50971508</v>
      </c>
      <c r="BG571" s="3" t="n">
        <v>10.41174984</v>
      </c>
      <c r="BH571" s="3" t="n">
        <v>10.25765324</v>
      </c>
      <c r="BI571" s="3" t="n">
        <v>10.73869705</v>
      </c>
      <c r="BJ571" s="3" t="n">
        <v>11.0319252</v>
      </c>
      <c r="BK571" s="3" t="n">
        <v>10.90631104</v>
      </c>
      <c r="BL571" s="3" t="n">
        <v>10.90542507</v>
      </c>
      <c r="BM571" s="3" t="n">
        <v>11.00887775</v>
      </c>
      <c r="BN571" s="3" t="n">
        <v>13.0351181</v>
      </c>
      <c r="BO571" s="3" t="n">
        <v>12.3341074</v>
      </c>
      <c r="BP571" s="3" t="n">
        <v>11.15471363</v>
      </c>
      <c r="BQ571" s="3" t="n"/>
      <c r="BR571" s="34" t="str">
        <f>B571&amp;"|"&amp;D571</f>
        <v>CAN|SH.XPD.CHEX.GD.ZS</v>
      </c>
    </row>
    <row r="572">
      <c r="A572" s="3" t="inlineStr">
        <is>
          <t>Central Europe and the Baltics</t>
        </is>
      </c>
      <c r="B572" s="3" t="inlineStr">
        <is>
          <t>CEB</t>
        </is>
      </c>
      <c r="C572" s="3" t="inlineStr">
        <is>
          <t>Current health expenditure (% of GDP)</t>
        </is>
      </c>
      <c r="D572" s="3" t="inlineStr">
        <is>
          <t>SH.XPD.CHEX.GD.ZS</t>
        </is>
      </c>
      <c r="E572" s="3" t="n">
        <v>2021</v>
      </c>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c r="AD572" s="3" t="n"/>
      <c r="AE572" s="3" t="n"/>
      <c r="AF572" s="3" t="n"/>
      <c r="AG572" s="3" t="n"/>
      <c r="AH572" s="3" t="n"/>
      <c r="AI572" s="3" t="n"/>
      <c r="AJ572" s="3" t="n"/>
      <c r="AK572" s="3" t="n"/>
      <c r="AL572" s="3" t="n"/>
      <c r="AM572" s="3" t="n"/>
      <c r="AN572" s="3" t="n"/>
      <c r="AO572" s="3" t="n"/>
      <c r="AP572" s="3" t="n"/>
      <c r="AQ572" s="3" t="n"/>
      <c r="AR572" s="3" t="n"/>
      <c r="AS572" s="3" t="n"/>
      <c r="AT572" s="3" t="n">
        <v>5.703093733779664</v>
      </c>
      <c r="AU572" s="3" t="n">
        <v>5.904526011186435</v>
      </c>
      <c r="AV572" s="3" t="n">
        <v>6.152603438650321</v>
      </c>
      <c r="AW572" s="3" t="n">
        <v>6.389783588209007</v>
      </c>
      <c r="AX572" s="3" t="n">
        <v>6.352646492501652</v>
      </c>
      <c r="AY572" s="3" t="n">
        <v>6.359309414745154</v>
      </c>
      <c r="AZ572" s="3" t="n">
        <v>6.215409495166404</v>
      </c>
      <c r="BA572" s="3" t="n">
        <v>6.127277829476569</v>
      </c>
      <c r="BB572" s="3" t="n">
        <v>6.372140169084456</v>
      </c>
      <c r="BC572" s="3" t="n">
        <v>6.842440577052258</v>
      </c>
      <c r="BD572" s="3" t="n">
        <v>6.895399785657266</v>
      </c>
      <c r="BE572" s="3" t="n">
        <v>6.598820878935788</v>
      </c>
      <c r="BF572" s="3" t="n">
        <v>6.616438820286123</v>
      </c>
      <c r="BG572" s="3" t="n">
        <v>6.673056362761067</v>
      </c>
      <c r="BH572" s="3" t="n">
        <v>6.595865555161208</v>
      </c>
      <c r="BI572" s="3" t="n">
        <v>6.520013168894136</v>
      </c>
      <c r="BJ572" s="3" t="n">
        <v>6.676983248159974</v>
      </c>
      <c r="BK572" s="3" t="n">
        <v>6.604894013851579</v>
      </c>
      <c r="BL572" s="3" t="n">
        <v>6.552157054029087</v>
      </c>
      <c r="BM572" s="3" t="n">
        <v>6.663201617151097</v>
      </c>
      <c r="BN572" s="3" t="n">
        <v>7.265007051528412</v>
      </c>
      <c r="BO572" s="3" t="n">
        <v>7.442092413816187</v>
      </c>
      <c r="BP572" s="3" t="n"/>
      <c r="BQ572" s="3" t="n"/>
      <c r="BR572" s="34" t="str">
        <f>B572&amp;"|"&amp;D572</f>
        <v>CEB|SH.XPD.CHEX.GD.ZS</v>
      </c>
    </row>
    <row r="573">
      <c r="A573" s="3" t="inlineStr">
        <is>
          <t>Switzerland</t>
        </is>
      </c>
      <c r="B573" s="3" t="inlineStr">
        <is>
          <t>CHE</t>
        </is>
      </c>
      <c r="C573" s="3" t="inlineStr">
        <is>
          <t>Current health expenditure (% of GDP)</t>
        </is>
      </c>
      <c r="D573" s="3" t="inlineStr">
        <is>
          <t>SH.XPD.CHEX.GD.ZS</t>
        </is>
      </c>
      <c r="E573" s="3" t="n">
        <v>2021</v>
      </c>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c r="AD573" s="3" t="n"/>
      <c r="AE573" s="3" t="n"/>
      <c r="AF573" s="3" t="n"/>
      <c r="AG573" s="3" t="n"/>
      <c r="AH573" s="3" t="n"/>
      <c r="AI573" s="3" t="n"/>
      <c r="AJ573" s="3" t="n"/>
      <c r="AK573" s="3" t="n"/>
      <c r="AL573" s="3" t="n"/>
      <c r="AM573" s="3" t="n"/>
      <c r="AN573" s="3" t="n"/>
      <c r="AO573" s="3" t="n"/>
      <c r="AP573" s="3" t="n"/>
      <c r="AQ573" s="3" t="n"/>
      <c r="AR573" s="3" t="n"/>
      <c r="AS573" s="3" t="n"/>
      <c r="AT573" s="3" t="n">
        <v>9.134424210000001</v>
      </c>
      <c r="AU573" s="3" t="n">
        <v>9.460401539999999</v>
      </c>
      <c r="AV573" s="3" t="n">
        <v>9.880002019999999</v>
      </c>
      <c r="AW573" s="3" t="n">
        <v>10.13696766</v>
      </c>
      <c r="AX573" s="3" t="n">
        <v>10.22576523</v>
      </c>
      <c r="AY573" s="3" t="n">
        <v>10.05823421</v>
      </c>
      <c r="AZ573" s="3" t="n">
        <v>9.580199240000001</v>
      </c>
      <c r="BA573" s="3" t="n">
        <v>9.416938780000001</v>
      </c>
      <c r="BB573" s="3" t="n">
        <v>9.53167629</v>
      </c>
      <c r="BC573" s="3" t="n">
        <v>10.1415062</v>
      </c>
      <c r="BD573" s="3" t="n">
        <v>9.933535579999999</v>
      </c>
      <c r="BE573" s="3" t="n">
        <v>10.04628563</v>
      </c>
      <c r="BF573" s="3" t="n">
        <v>10.14446354</v>
      </c>
      <c r="BG573" s="3" t="n">
        <v>10.37922478</v>
      </c>
      <c r="BH573" s="3" t="n">
        <v>10.42800808</v>
      </c>
      <c r="BI573" s="3" t="n">
        <v>10.77887917</v>
      </c>
      <c r="BJ573" s="3" t="n">
        <v>10.9900341</v>
      </c>
      <c r="BK573" s="3" t="n">
        <v>11.0451622</v>
      </c>
      <c r="BL573" s="3" t="n">
        <v>10.77226162</v>
      </c>
      <c r="BM573" s="3" t="n">
        <v>11.06363678</v>
      </c>
      <c r="BN573" s="3" t="n">
        <v>11.73206806</v>
      </c>
      <c r="BO573" s="3" t="n">
        <v>11.80107975</v>
      </c>
      <c r="BP573" s="3" t="n"/>
      <c r="BQ573" s="3" t="n"/>
      <c r="BR573" s="34" t="str">
        <f>B573&amp;"|"&amp;D573</f>
        <v>CHE|SH.XPD.CHEX.GD.ZS</v>
      </c>
    </row>
    <row r="574">
      <c r="A574" s="3" t="inlineStr">
        <is>
          <t>Channel Islands</t>
        </is>
      </c>
      <c r="B574" s="3" t="inlineStr">
        <is>
          <t>CHI</t>
        </is>
      </c>
      <c r="C574" s="3" t="inlineStr">
        <is>
          <t>Current health expenditure (% of GDP)</t>
        </is>
      </c>
      <c r="D574" s="3" t="inlineStr">
        <is>
          <t>SH.XPD.CHEX.GD.ZS</t>
        </is>
      </c>
      <c r="E574" s="3" t="inlineStr">
        <is>
          <t>0x2a</t>
        </is>
      </c>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c r="AD574" s="3" t="n"/>
      <c r="AE574" s="3" t="n"/>
      <c r="AF574" s="3" t="n"/>
      <c r="AG574" s="3" t="n"/>
      <c r="AH574" s="3" t="n"/>
      <c r="AI574" s="3" t="n"/>
      <c r="AJ574" s="3" t="n"/>
      <c r="AK574" s="3" t="n"/>
      <c r="AL574" s="3" t="n"/>
      <c r="AM574" s="3" t="n"/>
      <c r="AN574" s="3" t="n"/>
      <c r="AO574" s="3" t="n"/>
      <c r="AP574" s="3" t="n"/>
      <c r="AQ574" s="3" t="n"/>
      <c r="AR574" s="3" t="n"/>
      <c r="AS574" s="3" t="n"/>
      <c r="AT574" s="3" t="n"/>
      <c r="AU574" s="3" t="n"/>
      <c r="AV574" s="3" t="n"/>
      <c r="AW574" s="3" t="n"/>
      <c r="AX574" s="3" t="n"/>
      <c r="AY574" s="3" t="n"/>
      <c r="AZ574" s="3" t="n"/>
      <c r="BA574" s="3" t="n"/>
      <c r="BB574" s="3" t="n"/>
      <c r="BC574" s="3" t="n"/>
      <c r="BD574" s="3" t="n"/>
      <c r="BE574" s="3" t="n"/>
      <c r="BF574" s="3" t="n"/>
      <c r="BG574" s="3" t="n"/>
      <c r="BH574" s="3" t="n"/>
      <c r="BI574" s="3" t="n"/>
      <c r="BJ574" s="3" t="n"/>
      <c r="BK574" s="3" t="n"/>
      <c r="BL574" s="3" t="n"/>
      <c r="BM574" s="3" t="n"/>
      <c r="BN574" s="3" t="n"/>
      <c r="BO574" s="3" t="n"/>
      <c r="BP574" s="3" t="n"/>
      <c r="BQ574" s="3" t="n"/>
      <c r="BR574" s="34" t="str">
        <f>B574&amp;"|"&amp;D574</f>
        <v>CHI|SH.XPD.CHEX.GD.ZS</v>
      </c>
    </row>
    <row r="575">
      <c r="A575" s="3" t="inlineStr">
        <is>
          <t>Chile</t>
        </is>
      </c>
      <c r="B575" s="3" t="inlineStr">
        <is>
          <t>CHL</t>
        </is>
      </c>
      <c r="C575" s="3" t="inlineStr">
        <is>
          <t>Current health expenditure (% of GDP)</t>
        </is>
      </c>
      <c r="D575" s="3" t="inlineStr">
        <is>
          <t>SH.XPD.CHEX.GD.ZS</t>
        </is>
      </c>
      <c r="E575" s="3" t="n">
        <v>2022</v>
      </c>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c r="AD575" s="3" t="n"/>
      <c r="AE575" s="3" t="n"/>
      <c r="AF575" s="3" t="n"/>
      <c r="AG575" s="3" t="n"/>
      <c r="AH575" s="3" t="n"/>
      <c r="AI575" s="3" t="n"/>
      <c r="AJ575" s="3" t="n"/>
      <c r="AK575" s="3" t="n"/>
      <c r="AL575" s="3" t="n"/>
      <c r="AM575" s="3" t="n"/>
      <c r="AN575" s="3" t="n"/>
      <c r="AO575" s="3" t="n"/>
      <c r="AP575" s="3" t="n"/>
      <c r="AQ575" s="3" t="n"/>
      <c r="AR575" s="3" t="n"/>
      <c r="AS575" s="3" t="n"/>
      <c r="AT575" s="3" t="n">
        <v>7.00020742</v>
      </c>
      <c r="AU575" s="3" t="n">
        <v>7.09733057</v>
      </c>
      <c r="AV575" s="3" t="n">
        <v>7.20833778</v>
      </c>
      <c r="AW575" s="3" t="n">
        <v>7.25047779</v>
      </c>
      <c r="AX575" s="3" t="n">
        <v>6.91028547</v>
      </c>
      <c r="AY575" s="3" t="n">
        <v>6.62372112</v>
      </c>
      <c r="AZ575" s="3" t="n">
        <v>6.07235622</v>
      </c>
      <c r="BA575" s="3" t="n">
        <v>6.21259642</v>
      </c>
      <c r="BB575" s="3" t="n">
        <v>6.73954487</v>
      </c>
      <c r="BC575" s="3" t="n">
        <v>7.25026846</v>
      </c>
      <c r="BD575" s="3" t="n">
        <v>6.81958437</v>
      </c>
      <c r="BE575" s="3" t="n">
        <v>6.79947519</v>
      </c>
      <c r="BF575" s="3" t="n">
        <v>7.01951313</v>
      </c>
      <c r="BG575" s="3" t="n">
        <v>7.47552633</v>
      </c>
      <c r="BH575" s="3" t="n">
        <v>7.84150124</v>
      </c>
      <c r="BI575" s="3" t="n">
        <v>8.351393699999999</v>
      </c>
      <c r="BJ575" s="3" t="n">
        <v>8.557670590000001</v>
      </c>
      <c r="BK575" s="3" t="n">
        <v>9.090517999999999</v>
      </c>
      <c r="BL575" s="3" t="n">
        <v>9.225751880000001</v>
      </c>
      <c r="BM575" s="3" t="n">
        <v>9.36262131</v>
      </c>
      <c r="BN575" s="3" t="n">
        <v>9.727268219999999</v>
      </c>
      <c r="BO575" s="3" t="n">
        <v>9.343279839999999</v>
      </c>
      <c r="BP575" s="3" t="n">
        <v>9.001629830000001</v>
      </c>
      <c r="BQ575" s="3" t="n"/>
      <c r="BR575" s="34" t="str">
        <f>B575&amp;"|"&amp;D575</f>
        <v>CHL|SH.XPD.CHEX.GD.ZS</v>
      </c>
    </row>
    <row r="576">
      <c r="A576" s="3" t="inlineStr">
        <is>
          <t>China</t>
        </is>
      </c>
      <c r="B576" s="3" t="inlineStr">
        <is>
          <t>CHN</t>
        </is>
      </c>
      <c r="C576" s="3" t="inlineStr">
        <is>
          <t>Current health expenditure (% of GDP)</t>
        </is>
      </c>
      <c r="D576" s="3" t="inlineStr">
        <is>
          <t>SH.XPD.CHEX.GD.ZS</t>
        </is>
      </c>
      <c r="E576" s="3" t="n">
        <v>2021</v>
      </c>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c r="AD576" s="3" t="n"/>
      <c r="AE576" s="3" t="n"/>
      <c r="AF576" s="3" t="n"/>
      <c r="AG576" s="3" t="n"/>
      <c r="AH576" s="3" t="n"/>
      <c r="AI576" s="3" t="n"/>
      <c r="AJ576" s="3" t="n"/>
      <c r="AK576" s="3" t="n"/>
      <c r="AL576" s="3" t="n"/>
      <c r="AM576" s="3" t="n"/>
      <c r="AN576" s="3" t="n"/>
      <c r="AO576" s="3" t="n"/>
      <c r="AP576" s="3" t="n"/>
      <c r="AQ576" s="3" t="n"/>
      <c r="AR576" s="3" t="n"/>
      <c r="AS576" s="3" t="n"/>
      <c r="AT576" s="3" t="n">
        <v>4.50828123</v>
      </c>
      <c r="AU576" s="3" t="n">
        <v>4.25330067</v>
      </c>
      <c r="AV576" s="3" t="n">
        <v>4.38285255</v>
      </c>
      <c r="AW576" s="3" t="n">
        <v>4.41762781</v>
      </c>
      <c r="AX576" s="3" t="n">
        <v>4.29347467</v>
      </c>
      <c r="AY576" s="3" t="n">
        <v>4.17605019</v>
      </c>
      <c r="AZ576" s="3" t="n">
        <v>3.94742203</v>
      </c>
      <c r="BA576" s="3" t="n">
        <v>3.67491412</v>
      </c>
      <c r="BB576" s="3" t="n">
        <v>3.900002</v>
      </c>
      <c r="BC576" s="3" t="n">
        <v>4.34958458</v>
      </c>
      <c r="BD576" s="3" t="n">
        <v>4.23068333</v>
      </c>
      <c r="BE576" s="3" t="n">
        <v>4.34274387</v>
      </c>
      <c r="BF576" s="3" t="n">
        <v>4.56584787</v>
      </c>
      <c r="BG576" s="3" t="n">
        <v>4.71490669</v>
      </c>
      <c r="BH576" s="3" t="n">
        <v>4.77790594</v>
      </c>
      <c r="BI576" s="3" t="n">
        <v>4.93827963</v>
      </c>
      <c r="BJ576" s="3" t="n">
        <v>4.97955608</v>
      </c>
      <c r="BK576" s="3" t="n">
        <v>5.06592178</v>
      </c>
      <c r="BL576" s="3" t="n">
        <v>5.16790485</v>
      </c>
      <c r="BM576" s="3" t="n">
        <v>5.3502779</v>
      </c>
      <c r="BN576" s="3" t="n">
        <v>5.59359741</v>
      </c>
      <c r="BO576" s="3" t="n">
        <v>5.38360548</v>
      </c>
      <c r="BP576" s="3" t="n"/>
      <c r="BQ576" s="3" t="n"/>
      <c r="BR576" s="34" t="str">
        <f>B576&amp;"|"&amp;D576</f>
        <v>CHN|SH.XPD.CHEX.GD.ZS</v>
      </c>
    </row>
    <row r="577">
      <c r="A577" s="3" t="inlineStr">
        <is>
          <t>Cote d'Ivoire</t>
        </is>
      </c>
      <c r="B577" s="3" t="inlineStr">
        <is>
          <t>CIV</t>
        </is>
      </c>
      <c r="C577" s="3" t="inlineStr">
        <is>
          <t>Current health expenditure (% of GDP)</t>
        </is>
      </c>
      <c r="D577" s="3" t="inlineStr">
        <is>
          <t>SH.XPD.CHEX.GD.ZS</t>
        </is>
      </c>
      <c r="E577" s="3" t="n">
        <v>2021</v>
      </c>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c r="AD577" s="3" t="n"/>
      <c r="AE577" s="3" t="n"/>
      <c r="AF577" s="3" t="n"/>
      <c r="AG577" s="3" t="n"/>
      <c r="AH577" s="3" t="n"/>
      <c r="AI577" s="3" t="n"/>
      <c r="AJ577" s="3" t="n"/>
      <c r="AK577" s="3" t="n"/>
      <c r="AL577" s="3" t="n"/>
      <c r="AM577" s="3" t="n"/>
      <c r="AN577" s="3" t="n"/>
      <c r="AO577" s="3" t="n"/>
      <c r="AP577" s="3" t="n"/>
      <c r="AQ577" s="3" t="n"/>
      <c r="AR577" s="3" t="n"/>
      <c r="AS577" s="3" t="n"/>
      <c r="AT577" s="3" t="n">
        <v>6.12679291</v>
      </c>
      <c r="AU577" s="3" t="n">
        <v>6.01767921</v>
      </c>
      <c r="AV577" s="3" t="n">
        <v>5.90386152</v>
      </c>
      <c r="AW577" s="3" t="n">
        <v>5.47972536</v>
      </c>
      <c r="AX577" s="3" t="n">
        <v>5.47516584</v>
      </c>
      <c r="AY577" s="3" t="n">
        <v>5.00639105</v>
      </c>
      <c r="AZ577" s="3" t="n">
        <v>4.76326609</v>
      </c>
      <c r="BA577" s="3" t="n">
        <v>4.55249786</v>
      </c>
      <c r="BB577" s="3" t="n">
        <v>4.56869602</v>
      </c>
      <c r="BC577" s="3" t="n">
        <v>4.46966648</v>
      </c>
      <c r="BD577" s="3" t="n">
        <v>4.41577387</v>
      </c>
      <c r="BE577" s="3" t="n">
        <v>4.39700699</v>
      </c>
      <c r="BF577" s="3" t="n">
        <v>4.4273715</v>
      </c>
      <c r="BG577" s="3" t="n">
        <v>3.71773791</v>
      </c>
      <c r="BH577" s="3" t="n">
        <v>3.7310183</v>
      </c>
      <c r="BI577" s="3" t="n">
        <v>3.2198832</v>
      </c>
      <c r="BJ577" s="3" t="n">
        <v>3.32101274</v>
      </c>
      <c r="BK577" s="3" t="n">
        <v>3.24693036</v>
      </c>
      <c r="BL577" s="3" t="n">
        <v>3.0916779</v>
      </c>
      <c r="BM577" s="3" t="n">
        <v>3.21496511</v>
      </c>
      <c r="BN577" s="3" t="n">
        <v>3.62587261</v>
      </c>
      <c r="BO577" s="3" t="n">
        <v>3.13269377</v>
      </c>
      <c r="BP577" s="3" t="n"/>
      <c r="BQ577" s="3" t="n"/>
      <c r="BR577" s="34" t="str">
        <f>B577&amp;"|"&amp;D577</f>
        <v>CIV|SH.XPD.CHEX.GD.ZS</v>
      </c>
    </row>
    <row r="578">
      <c r="A578" s="3" t="inlineStr">
        <is>
          <t>Cameroon</t>
        </is>
      </c>
      <c r="B578" s="3" t="inlineStr">
        <is>
          <t>CMR</t>
        </is>
      </c>
      <c r="C578" s="3" t="inlineStr">
        <is>
          <t>Current health expenditure (% of GDP)</t>
        </is>
      </c>
      <c r="D578" s="3" t="inlineStr">
        <is>
          <t>SH.XPD.CHEX.GD.ZS</t>
        </is>
      </c>
      <c r="E578" s="3" t="n">
        <v>2021</v>
      </c>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c r="AD578" s="3" t="n"/>
      <c r="AE578" s="3" t="n"/>
      <c r="AF578" s="3" t="n"/>
      <c r="AG578" s="3" t="n"/>
      <c r="AH578" s="3" t="n"/>
      <c r="AI578" s="3" t="n"/>
      <c r="AJ578" s="3" t="n"/>
      <c r="AK578" s="3" t="n"/>
      <c r="AL578" s="3" t="n"/>
      <c r="AM578" s="3" t="n"/>
      <c r="AN578" s="3" t="n"/>
      <c r="AO578" s="3" t="n"/>
      <c r="AP578" s="3" t="n"/>
      <c r="AQ578" s="3" t="n"/>
      <c r="AR578" s="3" t="n"/>
      <c r="AS578" s="3" t="n"/>
      <c r="AT578" s="3" t="n">
        <v>4.11237431</v>
      </c>
      <c r="AU578" s="3" t="n">
        <v>3.88486743</v>
      </c>
      <c r="AV578" s="3" t="n">
        <v>4.02669907</v>
      </c>
      <c r="AW578" s="3" t="n">
        <v>3.90227985</v>
      </c>
      <c r="AX578" s="3" t="n">
        <v>3.72798967</v>
      </c>
      <c r="AY578" s="3" t="n">
        <v>3.77274442</v>
      </c>
      <c r="AZ578" s="3" t="n">
        <v>3.73662806</v>
      </c>
      <c r="BA578" s="3" t="n">
        <v>3.70858574</v>
      </c>
      <c r="BB578" s="3" t="n">
        <v>3.65843678</v>
      </c>
      <c r="BC578" s="3" t="n">
        <v>3.49997187</v>
      </c>
      <c r="BD578" s="3" t="n">
        <v>3.57742167</v>
      </c>
      <c r="BE578" s="3" t="n">
        <v>3.85282946</v>
      </c>
      <c r="BF578" s="3" t="n">
        <v>3.9310236</v>
      </c>
      <c r="BG578" s="3" t="n">
        <v>3.63111043</v>
      </c>
      <c r="BH578" s="3" t="n">
        <v>3.78765464</v>
      </c>
      <c r="BI578" s="3" t="n">
        <v>3.59505081</v>
      </c>
      <c r="BJ578" s="3" t="n">
        <v>3.5937767</v>
      </c>
      <c r="BK578" s="3" t="n">
        <v>3.39752436</v>
      </c>
      <c r="BL578" s="3" t="n">
        <v>3.61970162</v>
      </c>
      <c r="BM578" s="3" t="n">
        <v>3.65157914</v>
      </c>
      <c r="BN578" s="3" t="n">
        <v>3.77177453</v>
      </c>
      <c r="BO578" s="3" t="n">
        <v>3.82407379</v>
      </c>
      <c r="BP578" s="3" t="n"/>
      <c r="BQ578" s="3" t="n"/>
      <c r="BR578" s="34" t="str">
        <f>B578&amp;"|"&amp;D578</f>
        <v>CMR|SH.XPD.CHEX.GD.ZS</v>
      </c>
    </row>
    <row r="579">
      <c r="A579" s="3" t="inlineStr">
        <is>
          <t>Congo, Dem. Rep.</t>
        </is>
      </c>
      <c r="B579" s="3" t="inlineStr">
        <is>
          <t>COD</t>
        </is>
      </c>
      <c r="C579" s="3" t="inlineStr">
        <is>
          <t>Current health expenditure (% of GDP)</t>
        </is>
      </c>
      <c r="D579" s="3" t="inlineStr">
        <is>
          <t>SH.XPD.CHEX.GD.ZS</t>
        </is>
      </c>
      <c r="E579" s="3" t="n">
        <v>2021</v>
      </c>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c r="AD579" s="3" t="n"/>
      <c r="AE579" s="3" t="n"/>
      <c r="AF579" s="3" t="n"/>
      <c r="AG579" s="3" t="n"/>
      <c r="AH579" s="3" t="n"/>
      <c r="AI579" s="3" t="n"/>
      <c r="AJ579" s="3" t="n"/>
      <c r="AK579" s="3" t="n"/>
      <c r="AL579" s="3" t="n"/>
      <c r="AM579" s="3" t="n"/>
      <c r="AN579" s="3" t="n"/>
      <c r="AO579" s="3" t="n"/>
      <c r="AP579" s="3" t="n"/>
      <c r="AQ579" s="3" t="n"/>
      <c r="AR579" s="3" t="n"/>
      <c r="AS579" s="3" t="n"/>
      <c r="AT579" s="3" t="n">
        <v>1.46594739</v>
      </c>
      <c r="AU579" s="3" t="n">
        <v>2.62310958</v>
      </c>
      <c r="AV579" s="3" t="n">
        <v>2.57012916</v>
      </c>
      <c r="AW579" s="3" t="n">
        <v>3.73353338</v>
      </c>
      <c r="AX579" s="3" t="n">
        <v>4.33564186</v>
      </c>
      <c r="AY579" s="3" t="n">
        <v>3.98558235</v>
      </c>
      <c r="AZ579" s="3" t="n">
        <v>4.06210661</v>
      </c>
      <c r="BA579" s="3" t="n">
        <v>3.89384961</v>
      </c>
      <c r="BB579" s="3" t="n">
        <v>4.31254768</v>
      </c>
      <c r="BC579" s="3" t="n">
        <v>4.51133156</v>
      </c>
      <c r="BD579" s="3" t="n">
        <v>3.72224283</v>
      </c>
      <c r="BE579" s="3" t="n">
        <v>3.19435549</v>
      </c>
      <c r="BF579" s="3" t="n">
        <v>3.2215035</v>
      </c>
      <c r="BG579" s="3" t="n">
        <v>3.34057522</v>
      </c>
      <c r="BH579" s="3" t="n">
        <v>3.72520614</v>
      </c>
      <c r="BI579" s="3" t="n">
        <v>3.74785447</v>
      </c>
      <c r="BJ579" s="3" t="n">
        <v>4.20027828</v>
      </c>
      <c r="BK579" s="3" t="n">
        <v>4.00057793</v>
      </c>
      <c r="BL579" s="3" t="n">
        <v>3.24127173</v>
      </c>
      <c r="BM579" s="3" t="n">
        <v>3.508039</v>
      </c>
      <c r="BN579" s="3" t="n">
        <v>4.05092573</v>
      </c>
      <c r="BO579" s="3" t="n">
        <v>3.7859261</v>
      </c>
      <c r="BP579" s="3" t="n"/>
      <c r="BQ579" s="3" t="n"/>
      <c r="BR579" s="34" t="str">
        <f>B579&amp;"|"&amp;D579</f>
        <v>COD|SH.XPD.CHEX.GD.ZS</v>
      </c>
    </row>
    <row r="580">
      <c r="A580" s="3" t="inlineStr">
        <is>
          <t>Congo, Rep.</t>
        </is>
      </c>
      <c r="B580" s="3" t="inlineStr">
        <is>
          <t>COG</t>
        </is>
      </c>
      <c r="C580" s="3" t="inlineStr">
        <is>
          <t>Current health expenditure (% of GDP)</t>
        </is>
      </c>
      <c r="D580" s="3" t="inlineStr">
        <is>
          <t>SH.XPD.CHEX.GD.ZS</t>
        </is>
      </c>
      <c r="E580" s="3" t="n">
        <v>2021</v>
      </c>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c r="AD580" s="3" t="n"/>
      <c r="AE580" s="3" t="n"/>
      <c r="AF580" s="3" t="n"/>
      <c r="AG580" s="3" t="n"/>
      <c r="AH580" s="3" t="n"/>
      <c r="AI580" s="3" t="n"/>
      <c r="AJ580" s="3" t="n"/>
      <c r="AK580" s="3" t="n"/>
      <c r="AL580" s="3" t="n"/>
      <c r="AM580" s="3" t="n"/>
      <c r="AN580" s="3" t="n"/>
      <c r="AO580" s="3" t="n"/>
      <c r="AP580" s="3" t="n"/>
      <c r="AQ580" s="3" t="n"/>
      <c r="AR580" s="3" t="n"/>
      <c r="AS580" s="3" t="n"/>
      <c r="AT580" s="3" t="n">
        <v>1.50500846</v>
      </c>
      <c r="AU580" s="3" t="n">
        <v>2.18529987</v>
      </c>
      <c r="AV580" s="3" t="n">
        <v>1.70167828</v>
      </c>
      <c r="AW580" s="3" t="n">
        <v>1.91852403</v>
      </c>
      <c r="AX580" s="3" t="n">
        <v>1.92152369</v>
      </c>
      <c r="AY580" s="3" t="n">
        <v>1.71774101</v>
      </c>
      <c r="AZ580" s="3" t="n">
        <v>1.70861316</v>
      </c>
      <c r="BA580" s="3" t="n">
        <v>1.90200174</v>
      </c>
      <c r="BB580" s="3" t="n">
        <v>2.2392714</v>
      </c>
      <c r="BC580" s="3" t="n">
        <v>2.1422224</v>
      </c>
      <c r="BD580" s="3" t="n">
        <v>1.85172856</v>
      </c>
      <c r="BE580" s="3" t="n">
        <v>1.75237322</v>
      </c>
      <c r="BF580" s="3" t="n">
        <v>1.90971065</v>
      </c>
      <c r="BG580" s="3" t="n">
        <v>1.94347155</v>
      </c>
      <c r="BH580" s="3" t="n">
        <v>1.97311735</v>
      </c>
      <c r="BI580" s="3" t="n">
        <v>2.45668483</v>
      </c>
      <c r="BJ580" s="3" t="n">
        <v>2.77497125</v>
      </c>
      <c r="BK580" s="3" t="n">
        <v>2.52240992</v>
      </c>
      <c r="BL580" s="3" t="n">
        <v>1.8976357</v>
      </c>
      <c r="BM580" s="3" t="n">
        <v>2.54176092</v>
      </c>
      <c r="BN580" s="3" t="n">
        <v>4.39382887</v>
      </c>
      <c r="BO580" s="3" t="n">
        <v>3.87537813</v>
      </c>
      <c r="BP580" s="3" t="n"/>
      <c r="BQ580" s="3" t="n"/>
      <c r="BR580" s="34" t="str">
        <f>B580&amp;"|"&amp;D580</f>
        <v>COG|SH.XPD.CHEX.GD.ZS</v>
      </c>
    </row>
    <row r="581">
      <c r="A581" s="3" t="inlineStr">
        <is>
          <t>Colombia</t>
        </is>
      </c>
      <c r="B581" s="3" t="inlineStr">
        <is>
          <t>COL</t>
        </is>
      </c>
      <c r="C581" s="3" t="inlineStr">
        <is>
          <t>Current health expenditure (% of GDP)</t>
        </is>
      </c>
      <c r="D581" s="3" t="inlineStr">
        <is>
          <t>SH.XPD.CHEX.GD.ZS</t>
        </is>
      </c>
      <c r="E581" s="3" t="n">
        <v>2021</v>
      </c>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c r="AD581" s="3" t="n"/>
      <c r="AE581" s="3" t="n"/>
      <c r="AF581" s="3" t="n"/>
      <c r="AG581" s="3" t="n"/>
      <c r="AH581" s="3" t="n"/>
      <c r="AI581" s="3" t="n"/>
      <c r="AJ581" s="3" t="n"/>
      <c r="AK581" s="3" t="n"/>
      <c r="AL581" s="3" t="n"/>
      <c r="AM581" s="3" t="n"/>
      <c r="AN581" s="3" t="n"/>
      <c r="AO581" s="3" t="n"/>
      <c r="AP581" s="3" t="n"/>
      <c r="AQ581" s="3" t="n"/>
      <c r="AR581" s="3" t="n"/>
      <c r="AS581" s="3" t="n"/>
      <c r="AT581" s="3" t="n">
        <v>5.63529348</v>
      </c>
      <c r="AU581" s="3" t="n">
        <v>5.94238281</v>
      </c>
      <c r="AV581" s="3" t="n">
        <v>5.73296595</v>
      </c>
      <c r="AW581" s="3" t="n">
        <v>5.77505445</v>
      </c>
      <c r="AX581" s="3" t="n">
        <v>5.79892111</v>
      </c>
      <c r="AY581" s="3" t="n">
        <v>6.06710529</v>
      </c>
      <c r="AZ581" s="3" t="n">
        <v>6.33546638</v>
      </c>
      <c r="BA581" s="3" t="n">
        <v>6.49102163</v>
      </c>
      <c r="BB581" s="3" t="n">
        <v>6.84192228</v>
      </c>
      <c r="BC581" s="3" t="n">
        <v>7.3113451</v>
      </c>
      <c r="BD581" s="3" t="n">
        <v>7.07130146</v>
      </c>
      <c r="BE581" s="3" t="n">
        <v>6.78076792</v>
      </c>
      <c r="BF581" s="3" t="n">
        <v>6.74601603</v>
      </c>
      <c r="BG581" s="3" t="n">
        <v>7.01724052</v>
      </c>
      <c r="BH581" s="3" t="n">
        <v>7.18553209</v>
      </c>
      <c r="BI581" s="3" t="n">
        <v>7.52338552</v>
      </c>
      <c r="BJ581" s="3" t="n">
        <v>7.53117037</v>
      </c>
      <c r="BK581" s="3" t="n">
        <v>7.67864323</v>
      </c>
      <c r="BL581" s="3" t="n">
        <v>7.62541437</v>
      </c>
      <c r="BM581" s="3" t="n">
        <v>7.77954912</v>
      </c>
      <c r="BN581" s="3" t="n">
        <v>8.714321139999999</v>
      </c>
      <c r="BO581" s="3" t="n">
        <v>9.017724039999999</v>
      </c>
      <c r="BP581" s="3" t="n"/>
      <c r="BQ581" s="3" t="n"/>
      <c r="BR581" s="34" t="str">
        <f>B581&amp;"|"&amp;D581</f>
        <v>COL|SH.XPD.CHEX.GD.ZS</v>
      </c>
    </row>
    <row r="582">
      <c r="A582" s="3" t="inlineStr">
        <is>
          <t>Comoros</t>
        </is>
      </c>
      <c r="B582" s="3" t="inlineStr">
        <is>
          <t>COM</t>
        </is>
      </c>
      <c r="C582" s="3" t="inlineStr">
        <is>
          <t>Current health expenditure (% of GDP)</t>
        </is>
      </c>
      <c r="D582" s="3" t="inlineStr">
        <is>
          <t>SH.XPD.CHEX.GD.ZS</t>
        </is>
      </c>
      <c r="E582" s="3" t="n">
        <v>2021</v>
      </c>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c r="AD582" s="3" t="n"/>
      <c r="AE582" s="3" t="n"/>
      <c r="AF582" s="3" t="n"/>
      <c r="AG582" s="3" t="n"/>
      <c r="AH582" s="3" t="n"/>
      <c r="AI582" s="3" t="n"/>
      <c r="AJ582" s="3" t="n"/>
      <c r="AK582" s="3" t="n"/>
      <c r="AL582" s="3" t="n"/>
      <c r="AM582" s="3" t="n"/>
      <c r="AN582" s="3" t="n"/>
      <c r="AO582" s="3" t="n"/>
      <c r="AP582" s="3" t="n"/>
      <c r="AQ582" s="3" t="n"/>
      <c r="AR582" s="3" t="n"/>
      <c r="AS582" s="3" t="n"/>
      <c r="AT582" s="3" t="n">
        <v>7.5153451</v>
      </c>
      <c r="AU582" s="3" t="n">
        <v>6.65322924</v>
      </c>
      <c r="AV582" s="3" t="n">
        <v>6.68114853</v>
      </c>
      <c r="AW582" s="3" t="n">
        <v>6.65392351</v>
      </c>
      <c r="AX582" s="3" t="n">
        <v>6.58027744</v>
      </c>
      <c r="AY582" s="3" t="n">
        <v>6.12521315</v>
      </c>
      <c r="AZ582" s="3" t="n">
        <v>5.77074099</v>
      </c>
      <c r="BA582" s="3" t="n">
        <v>5.41753864</v>
      </c>
      <c r="BB582" s="3" t="n">
        <v>5.06897497</v>
      </c>
      <c r="BC582" s="3" t="n">
        <v>4.92694378</v>
      </c>
      <c r="BD582" s="3" t="n">
        <v>4.99181557</v>
      </c>
      <c r="BE582" s="3" t="n">
        <v>5.3021183</v>
      </c>
      <c r="BF582" s="3" t="n">
        <v>5.17354631</v>
      </c>
      <c r="BG582" s="3" t="n">
        <v>5.10299349</v>
      </c>
      <c r="BH582" s="3" t="n">
        <v>5.23849726</v>
      </c>
      <c r="BI582" s="3" t="n">
        <v>4.60089922</v>
      </c>
      <c r="BJ582" s="3" t="n">
        <v>4.65263557</v>
      </c>
      <c r="BK582" s="3" t="n">
        <v>5.26807451</v>
      </c>
      <c r="BL582" s="3" t="n">
        <v>4.90318584</v>
      </c>
      <c r="BM582" s="3" t="n">
        <v>5.18044472</v>
      </c>
      <c r="BN582" s="3" t="n">
        <v>5.86521959</v>
      </c>
      <c r="BO582" s="3" t="n">
        <v>6.33513117</v>
      </c>
      <c r="BP582" s="3" t="n"/>
      <c r="BQ582" s="3" t="n"/>
      <c r="BR582" s="34" t="str">
        <f>B582&amp;"|"&amp;D582</f>
        <v>COM|SH.XPD.CHEX.GD.ZS</v>
      </c>
    </row>
    <row r="583">
      <c r="A583" s="3" t="inlineStr">
        <is>
          <t>Cabo Verde</t>
        </is>
      </c>
      <c r="B583" s="3" t="inlineStr">
        <is>
          <t>CPV</t>
        </is>
      </c>
      <c r="C583" s="3" t="inlineStr">
        <is>
          <t>Current health expenditure (% of GDP)</t>
        </is>
      </c>
      <c r="D583" s="3" t="inlineStr">
        <is>
          <t>SH.XPD.CHEX.GD.ZS</t>
        </is>
      </c>
      <c r="E583" s="3" t="n">
        <v>2021</v>
      </c>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c r="AD583" s="3" t="n"/>
      <c r="AE583" s="3" t="n"/>
      <c r="AF583" s="3" t="n"/>
      <c r="AG583" s="3" t="n"/>
      <c r="AH583" s="3" t="n"/>
      <c r="AI583" s="3" t="n"/>
      <c r="AJ583" s="3" t="n"/>
      <c r="AK583" s="3" t="n"/>
      <c r="AL583" s="3" t="n"/>
      <c r="AM583" s="3" t="n"/>
      <c r="AN583" s="3" t="n"/>
      <c r="AO583" s="3" t="n"/>
      <c r="AP583" s="3" t="n"/>
      <c r="AQ583" s="3" t="n"/>
      <c r="AR583" s="3" t="n"/>
      <c r="AS583" s="3" t="n"/>
      <c r="AT583" s="3" t="n">
        <v>4.43401194</v>
      </c>
      <c r="AU583" s="3" t="n">
        <v>4.75244379</v>
      </c>
      <c r="AV583" s="3" t="n">
        <v>4.7555151</v>
      </c>
      <c r="AW583" s="3" t="n">
        <v>4.50008631</v>
      </c>
      <c r="AX583" s="3" t="n">
        <v>4.37710667</v>
      </c>
      <c r="AY583" s="3" t="n">
        <v>4.27364111</v>
      </c>
      <c r="AZ583" s="3" t="n">
        <v>4.48974991</v>
      </c>
      <c r="BA583" s="3" t="n">
        <v>4.18900156</v>
      </c>
      <c r="BB583" s="3" t="n">
        <v>3.58312893</v>
      </c>
      <c r="BC583" s="3" t="n">
        <v>3.88152432</v>
      </c>
      <c r="BD583" s="3" t="n">
        <v>4.47555733</v>
      </c>
      <c r="BE583" s="3" t="n">
        <v>4.30527449</v>
      </c>
      <c r="BF583" s="3" t="n">
        <v>5.13365459</v>
      </c>
      <c r="BG583" s="3" t="n">
        <v>5.28994226</v>
      </c>
      <c r="BH583" s="3" t="n">
        <v>5.32722235</v>
      </c>
      <c r="BI583" s="3" t="n">
        <v>4.82334185</v>
      </c>
      <c r="BJ583" s="3" t="n">
        <v>4.84606647</v>
      </c>
      <c r="BK583" s="3" t="n">
        <v>5.2683692</v>
      </c>
      <c r="BL583" s="3" t="n">
        <v>4.73804712</v>
      </c>
      <c r="BM583" s="3" t="n">
        <v>4.56319857</v>
      </c>
      <c r="BN583" s="3" t="n">
        <v>6.12421703</v>
      </c>
      <c r="BO583" s="3" t="n">
        <v>6.90378904</v>
      </c>
      <c r="BP583" s="3" t="n"/>
      <c r="BQ583" s="3" t="n"/>
      <c r="BR583" s="34" t="str">
        <f>B583&amp;"|"&amp;D583</f>
        <v>CPV|SH.XPD.CHEX.GD.ZS</v>
      </c>
    </row>
    <row r="584">
      <c r="A584" s="3" t="inlineStr">
        <is>
          <t>Costa Rica</t>
        </is>
      </c>
      <c r="B584" s="3" t="inlineStr">
        <is>
          <t>CRI</t>
        </is>
      </c>
      <c r="C584" s="3" t="inlineStr">
        <is>
          <t>Current health expenditure (% of GDP)</t>
        </is>
      </c>
      <c r="D584" s="3" t="inlineStr">
        <is>
          <t>SH.XPD.CHEX.GD.ZS</t>
        </is>
      </c>
      <c r="E584" s="3" t="n">
        <v>2021</v>
      </c>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c r="AD584" s="3" t="n"/>
      <c r="AE584" s="3" t="n"/>
      <c r="AF584" s="3" t="n"/>
      <c r="AG584" s="3" t="n"/>
      <c r="AH584" s="3" t="n"/>
      <c r="AI584" s="3" t="n"/>
      <c r="AJ584" s="3" t="n"/>
      <c r="AK584" s="3" t="n"/>
      <c r="AL584" s="3" t="n"/>
      <c r="AM584" s="3" t="n"/>
      <c r="AN584" s="3" t="n"/>
      <c r="AO584" s="3" t="n"/>
      <c r="AP584" s="3" t="n"/>
      <c r="AQ584" s="3" t="n"/>
      <c r="AR584" s="3" t="n"/>
      <c r="AS584" s="3" t="n"/>
      <c r="AT584" s="3" t="n">
        <v>6.56498766</v>
      </c>
      <c r="AU584" s="3" t="n">
        <v>6.47409868</v>
      </c>
      <c r="AV584" s="3" t="n">
        <v>6.8690877</v>
      </c>
      <c r="AW584" s="3" t="n">
        <v>6.9691925</v>
      </c>
      <c r="AX584" s="3" t="n">
        <v>6.63006067</v>
      </c>
      <c r="AY584" s="3" t="n">
        <v>6.6642971</v>
      </c>
      <c r="AZ584" s="3" t="n">
        <v>6.93530846</v>
      </c>
      <c r="BA584" s="3" t="n">
        <v>6.99642611</v>
      </c>
      <c r="BB584" s="3" t="n">
        <v>7.46854782</v>
      </c>
      <c r="BC584" s="3" t="n">
        <v>7.86019135</v>
      </c>
      <c r="BD584" s="3" t="n">
        <v>8.02937794</v>
      </c>
      <c r="BE584" s="3" t="n">
        <v>8.121977810000001</v>
      </c>
      <c r="BF584" s="3" t="n">
        <v>7.78642321</v>
      </c>
      <c r="BG584" s="3" t="n">
        <v>7.68229342</v>
      </c>
      <c r="BH584" s="3" t="n">
        <v>7.66376162</v>
      </c>
      <c r="BI584" s="3" t="n">
        <v>7.59196234</v>
      </c>
      <c r="BJ584" s="3" t="n">
        <v>7.31724358</v>
      </c>
      <c r="BK584" s="3" t="n">
        <v>7.04522991</v>
      </c>
      <c r="BL584" s="3" t="n">
        <v>7.28587723</v>
      </c>
      <c r="BM584" s="3" t="n">
        <v>7.22124958</v>
      </c>
      <c r="BN584" s="3" t="n">
        <v>7.8254571</v>
      </c>
      <c r="BO584" s="3" t="n">
        <v>7.56881428</v>
      </c>
      <c r="BP584" s="3" t="n"/>
      <c r="BQ584" s="3" t="n"/>
      <c r="BR584" s="34" t="str">
        <f>B584&amp;"|"&amp;D584</f>
        <v>CRI|SH.XPD.CHEX.GD.ZS</v>
      </c>
    </row>
    <row r="585">
      <c r="A585" s="3" t="inlineStr">
        <is>
          <t>Caribbean small states</t>
        </is>
      </c>
      <c r="B585" s="3" t="inlineStr">
        <is>
          <t>CSS</t>
        </is>
      </c>
      <c r="C585" s="3" t="inlineStr">
        <is>
          <t>Current health expenditure (% of GDP)</t>
        </is>
      </c>
      <c r="D585" s="3" t="inlineStr">
        <is>
          <t>SH.XPD.CHEX.GD.ZS</t>
        </is>
      </c>
      <c r="E585" s="3" t="n">
        <v>2021</v>
      </c>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c r="AD585" s="3" t="n"/>
      <c r="AE585" s="3" t="n"/>
      <c r="AF585" s="3" t="n"/>
      <c r="AG585" s="3" t="n"/>
      <c r="AH585" s="3" t="n"/>
      <c r="AI585" s="3" t="n"/>
      <c r="AJ585" s="3" t="n"/>
      <c r="AK585" s="3" t="n"/>
      <c r="AL585" s="3" t="n"/>
      <c r="AM585" s="3" t="n"/>
      <c r="AN585" s="3" t="n"/>
      <c r="AO585" s="3" t="n"/>
      <c r="AP585" s="3" t="n"/>
      <c r="AQ585" s="3" t="n"/>
      <c r="AR585" s="3" t="n"/>
      <c r="AS585" s="3" t="n"/>
      <c r="AT585" s="3" t="n">
        <v>4.312801523549158</v>
      </c>
      <c r="AU585" s="3" t="n">
        <v>4.347372417587379</v>
      </c>
      <c r="AV585" s="3" t="n">
        <v>4.456862253991098</v>
      </c>
      <c r="AW585" s="3" t="n">
        <v>4.672295326497794</v>
      </c>
      <c r="AX585" s="3" t="n">
        <v>4.789727445579602</v>
      </c>
      <c r="AY585" s="3" t="n">
        <v>4.709501963670018</v>
      </c>
      <c r="AZ585" s="3" t="n">
        <v>4.841540831670099</v>
      </c>
      <c r="BA585" s="3" t="n">
        <v>4.8475380514882</v>
      </c>
      <c r="BB585" s="3" t="n">
        <v>5.005797577626687</v>
      </c>
      <c r="BC585" s="3" t="n">
        <v>5.252418314164678</v>
      </c>
      <c r="BD585" s="3" t="n">
        <v>5.214419385338691</v>
      </c>
      <c r="BE585" s="3" t="n">
        <v>5.220558631077169</v>
      </c>
      <c r="BF585" s="3" t="n">
        <v>5.231054381671984</v>
      </c>
      <c r="BG585" s="3" t="n">
        <v>5.2957909015634</v>
      </c>
      <c r="BH585" s="3" t="n">
        <v>5.229563359357795</v>
      </c>
      <c r="BI585" s="3" t="n">
        <v>5.244015481245476</v>
      </c>
      <c r="BJ585" s="3" t="n">
        <v>5.40669474099965</v>
      </c>
      <c r="BK585" s="3" t="n">
        <v>5.693009061584054</v>
      </c>
      <c r="BL585" s="3" t="n">
        <v>5.635670814575183</v>
      </c>
      <c r="BM585" s="3" t="n">
        <v>5.740380651692061</v>
      </c>
      <c r="BN585" s="3" t="n">
        <v>6.656423507359393</v>
      </c>
      <c r="BO585" s="3" t="n">
        <v>6.300225631516342</v>
      </c>
      <c r="BP585" s="3" t="n"/>
      <c r="BQ585" s="3" t="n"/>
      <c r="BR585" s="34" t="str">
        <f>B585&amp;"|"&amp;D585</f>
        <v>CSS|SH.XPD.CHEX.GD.ZS</v>
      </c>
    </row>
    <row r="586">
      <c r="A586" s="3" t="inlineStr">
        <is>
          <t>Cuba</t>
        </is>
      </c>
      <c r="B586" s="3" t="inlineStr">
        <is>
          <t>CUB</t>
        </is>
      </c>
      <c r="C586" s="3" t="inlineStr">
        <is>
          <t>Current health expenditure (% of GDP)</t>
        </is>
      </c>
      <c r="D586" s="3" t="inlineStr">
        <is>
          <t>SH.XPD.CHEX.GD.ZS</t>
        </is>
      </c>
      <c r="E586" s="3" t="n">
        <v>2021</v>
      </c>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c r="AD586" s="3" t="n"/>
      <c r="AE586" s="3" t="n"/>
      <c r="AF586" s="3" t="n"/>
      <c r="AG586" s="3" t="n"/>
      <c r="AH586" s="3" t="n"/>
      <c r="AI586" s="3" t="n"/>
      <c r="AJ586" s="3" t="n"/>
      <c r="AK586" s="3" t="n"/>
      <c r="AL586" s="3" t="n"/>
      <c r="AM586" s="3" t="n"/>
      <c r="AN586" s="3" t="n"/>
      <c r="AO586" s="3" t="n"/>
      <c r="AP586" s="3" t="n"/>
      <c r="AQ586" s="3" t="n"/>
      <c r="AR586" s="3" t="n"/>
      <c r="AS586" s="3" t="n"/>
      <c r="AT586" s="3" t="n">
        <v>6.58189821</v>
      </c>
      <c r="AU586" s="3" t="n">
        <v>6.9820981</v>
      </c>
      <c r="AV586" s="3" t="n">
        <v>7.11481619</v>
      </c>
      <c r="AW586" s="3" t="n">
        <v>7.10295439</v>
      </c>
      <c r="AX586" s="3" t="n">
        <v>6.83178711</v>
      </c>
      <c r="AY586" s="3" t="n">
        <v>8.755254750000001</v>
      </c>
      <c r="AZ586" s="3" t="n">
        <v>8.2719059</v>
      </c>
      <c r="BA586" s="3" t="n">
        <v>10.9674921</v>
      </c>
      <c r="BB586" s="3" t="n">
        <v>11.31422806</v>
      </c>
      <c r="BC586" s="3" t="n">
        <v>12.29053974</v>
      </c>
      <c r="BD586" s="3" t="n">
        <v>10.6880827</v>
      </c>
      <c r="BE586" s="3" t="n">
        <v>11.31298637</v>
      </c>
      <c r="BF586" s="3" t="n">
        <v>9.29940987</v>
      </c>
      <c r="BG586" s="3" t="n">
        <v>10.43099499</v>
      </c>
      <c r="BH586" s="3" t="n">
        <v>12.1412344</v>
      </c>
      <c r="BI586" s="3" t="n">
        <v>12.81401348</v>
      </c>
      <c r="BJ586" s="3" t="n">
        <v>12.2177515</v>
      </c>
      <c r="BK586" s="3" t="n">
        <v>11.47197342</v>
      </c>
      <c r="BL586" s="3" t="n">
        <v>11.0184288</v>
      </c>
      <c r="BM586" s="3" t="n">
        <v>11.08496857</v>
      </c>
      <c r="BN586" s="3" t="n">
        <v>12.48639679</v>
      </c>
      <c r="BO586" s="3" t="n">
        <v>13.78727818</v>
      </c>
      <c r="BP586" s="3" t="n"/>
      <c r="BQ586" s="3" t="n"/>
      <c r="BR586" s="34" t="str">
        <f>B586&amp;"|"&amp;D586</f>
        <v>CUB|SH.XPD.CHEX.GD.ZS</v>
      </c>
    </row>
    <row r="587">
      <c r="A587" s="3" t="inlineStr">
        <is>
          <t>Curacao</t>
        </is>
      </c>
      <c r="B587" s="3" t="inlineStr">
        <is>
          <t>CUW</t>
        </is>
      </c>
      <c r="C587" s="3" t="inlineStr">
        <is>
          <t>Current health expenditure (% of GDP)</t>
        </is>
      </c>
      <c r="D587" s="3" t="inlineStr">
        <is>
          <t>SH.XPD.CHEX.GD.ZS</t>
        </is>
      </c>
      <c r="E587" s="3" t="inlineStr">
        <is>
          <t>0x2a</t>
        </is>
      </c>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c r="AD587" s="3" t="n"/>
      <c r="AE587" s="3" t="n"/>
      <c r="AF587" s="3" t="n"/>
      <c r="AG587" s="3" t="n"/>
      <c r="AH587" s="3" t="n"/>
      <c r="AI587" s="3" t="n"/>
      <c r="AJ587" s="3" t="n"/>
      <c r="AK587" s="3" t="n"/>
      <c r="AL587" s="3" t="n"/>
      <c r="AM587" s="3" t="n"/>
      <c r="AN587" s="3" t="n"/>
      <c r="AO587" s="3" t="n"/>
      <c r="AP587" s="3" t="n"/>
      <c r="AQ587" s="3" t="n"/>
      <c r="AR587" s="3" t="n"/>
      <c r="AS587" s="3" t="n"/>
      <c r="AT587" s="3" t="n"/>
      <c r="AU587" s="3" t="n"/>
      <c r="AV587" s="3" t="n"/>
      <c r="AW587" s="3" t="n"/>
      <c r="AX587" s="3" t="n"/>
      <c r="AY587" s="3" t="n"/>
      <c r="AZ587" s="3" t="n"/>
      <c r="BA587" s="3" t="n"/>
      <c r="BB587" s="3" t="n"/>
      <c r="BC587" s="3" t="n"/>
      <c r="BD587" s="3" t="n"/>
      <c r="BE587" s="3" t="n"/>
      <c r="BF587" s="3" t="n"/>
      <c r="BG587" s="3" t="n"/>
      <c r="BH587" s="3" t="n"/>
      <c r="BI587" s="3" t="n"/>
      <c r="BJ587" s="3" t="n"/>
      <c r="BK587" s="3" t="n"/>
      <c r="BL587" s="3" t="n"/>
      <c r="BM587" s="3" t="n"/>
      <c r="BN587" s="3" t="n"/>
      <c r="BO587" s="3" t="n"/>
      <c r="BP587" s="3" t="n"/>
      <c r="BQ587" s="3" t="n"/>
      <c r="BR587" s="34" t="str">
        <f>B587&amp;"|"&amp;D587</f>
        <v>CUW|SH.XPD.CHEX.GD.ZS</v>
      </c>
    </row>
    <row r="588">
      <c r="A588" s="3" t="inlineStr">
        <is>
          <t>Cayman Islands</t>
        </is>
      </c>
      <c r="B588" s="3" t="inlineStr">
        <is>
          <t>CYM</t>
        </is>
      </c>
      <c r="C588" s="3" t="inlineStr">
        <is>
          <t>Current health expenditure (% of GDP)</t>
        </is>
      </c>
      <c r="D588" s="3" t="inlineStr">
        <is>
          <t>SH.XPD.CHEX.GD.ZS</t>
        </is>
      </c>
      <c r="E588" s="3" t="inlineStr">
        <is>
          <t>0x2a</t>
        </is>
      </c>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c r="AD588" s="3" t="n"/>
      <c r="AE588" s="3" t="n"/>
      <c r="AF588" s="3" t="n"/>
      <c r="AG588" s="3" t="n"/>
      <c r="AH588" s="3" t="n"/>
      <c r="AI588" s="3" t="n"/>
      <c r="AJ588" s="3" t="n"/>
      <c r="AK588" s="3" t="n"/>
      <c r="AL588" s="3" t="n"/>
      <c r="AM588" s="3" t="n"/>
      <c r="AN588" s="3" t="n"/>
      <c r="AO588" s="3" t="n"/>
      <c r="AP588" s="3" t="n"/>
      <c r="AQ588" s="3" t="n"/>
      <c r="AR588" s="3" t="n"/>
      <c r="AS588" s="3" t="n"/>
      <c r="AT588" s="3" t="n"/>
      <c r="AU588" s="3" t="n"/>
      <c r="AV588" s="3" t="n"/>
      <c r="AW588" s="3" t="n"/>
      <c r="AX588" s="3" t="n"/>
      <c r="AY588" s="3" t="n"/>
      <c r="AZ588" s="3" t="n"/>
      <c r="BA588" s="3" t="n"/>
      <c r="BB588" s="3" t="n"/>
      <c r="BC588" s="3" t="n"/>
      <c r="BD588" s="3" t="n"/>
      <c r="BE588" s="3" t="n"/>
      <c r="BF588" s="3" t="n"/>
      <c r="BG588" s="3" t="n"/>
      <c r="BH588" s="3" t="n"/>
      <c r="BI588" s="3" t="n"/>
      <c r="BJ588" s="3" t="n"/>
      <c r="BK588" s="3" t="n"/>
      <c r="BL588" s="3" t="n"/>
      <c r="BM588" s="3" t="n"/>
      <c r="BN588" s="3" t="n"/>
      <c r="BO588" s="3" t="n"/>
      <c r="BP588" s="3" t="n"/>
      <c r="BQ588" s="3" t="n"/>
      <c r="BR588" s="34" t="str">
        <f>B588&amp;"|"&amp;D588</f>
        <v>CYM|SH.XPD.CHEX.GD.ZS</v>
      </c>
    </row>
    <row r="589">
      <c r="A589" s="3" t="inlineStr">
        <is>
          <t>Cyprus</t>
        </is>
      </c>
      <c r="B589" s="3" t="inlineStr">
        <is>
          <t>CYP</t>
        </is>
      </c>
      <c r="C589" s="3" t="inlineStr">
        <is>
          <t>Current health expenditure (% of GDP)</t>
        </is>
      </c>
      <c r="D589" s="3" t="inlineStr">
        <is>
          <t>SH.XPD.CHEX.GD.ZS</t>
        </is>
      </c>
      <c r="E589" s="3" t="n">
        <v>2021</v>
      </c>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c r="AD589" s="3" t="n"/>
      <c r="AE589" s="3" t="n"/>
      <c r="AF589" s="3" t="n"/>
      <c r="AG589" s="3" t="n"/>
      <c r="AH589" s="3" t="n"/>
      <c r="AI589" s="3" t="n"/>
      <c r="AJ589" s="3" t="n"/>
      <c r="AK589" s="3" t="n"/>
      <c r="AL589" s="3" t="n"/>
      <c r="AM589" s="3" t="n"/>
      <c r="AN589" s="3" t="n"/>
      <c r="AO589" s="3" t="n"/>
      <c r="AP589" s="3" t="n"/>
      <c r="AQ589" s="3" t="n"/>
      <c r="AR589" s="3" t="n"/>
      <c r="AS589" s="3" t="n"/>
      <c r="AT589" s="3" t="n">
        <v>5.31</v>
      </c>
      <c r="AU589" s="3" t="n">
        <v>5.34</v>
      </c>
      <c r="AV589" s="3" t="n">
        <v>5.62</v>
      </c>
      <c r="AW589" s="3" t="n">
        <v>5.64</v>
      </c>
      <c r="AX589" s="3" t="n">
        <v>5.41</v>
      </c>
      <c r="AY589" s="3" t="n">
        <v>5.44</v>
      </c>
      <c r="AZ589" s="3" t="n">
        <v>5.46</v>
      </c>
      <c r="BA589" s="3" t="n">
        <v>5.36</v>
      </c>
      <c r="BB589" s="3" t="n">
        <v>6.01</v>
      </c>
      <c r="BC589" s="3" t="n">
        <v>6.47</v>
      </c>
      <c r="BD589" s="3" t="n">
        <v>6.5</v>
      </c>
      <c r="BE589" s="3" t="n">
        <v>6.43</v>
      </c>
      <c r="BF589" s="3" t="n">
        <v>6.54</v>
      </c>
      <c r="BG589" s="3" t="n">
        <v>6.93</v>
      </c>
      <c r="BH589" s="3" t="n">
        <v>6.93</v>
      </c>
      <c r="BI589" s="3" t="n">
        <v>6.79</v>
      </c>
      <c r="BJ589" s="3" t="n">
        <v>6.65</v>
      </c>
      <c r="BK589" s="3" t="n">
        <v>6.62</v>
      </c>
      <c r="BL589" s="3" t="n">
        <v>6.83</v>
      </c>
      <c r="BM589" s="3" t="n">
        <v>7.07</v>
      </c>
      <c r="BN589" s="3" t="n">
        <v>8.41</v>
      </c>
      <c r="BO589" s="3" t="n">
        <v>9.43</v>
      </c>
      <c r="BP589" s="3" t="n"/>
      <c r="BQ589" s="3" t="n"/>
      <c r="BR589" s="34" t="str">
        <f>B589&amp;"|"&amp;D589</f>
        <v>CYP|SH.XPD.CHEX.GD.ZS</v>
      </c>
    </row>
    <row r="590">
      <c r="A590" s="3" t="inlineStr">
        <is>
          <t>Czechia</t>
        </is>
      </c>
      <c r="B590" s="3" t="inlineStr">
        <is>
          <t>CZE</t>
        </is>
      </c>
      <c r="C590" s="3" t="inlineStr">
        <is>
          <t>Current health expenditure (% of GDP)</t>
        </is>
      </c>
      <c r="D590" s="3" t="inlineStr">
        <is>
          <t>SH.XPD.CHEX.GD.ZS</t>
        </is>
      </c>
      <c r="E590" s="3" t="n">
        <v>2021</v>
      </c>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c r="AD590" s="3" t="n"/>
      <c r="AE590" s="3" t="n"/>
      <c r="AF590" s="3" t="n"/>
      <c r="AG590" s="3" t="n"/>
      <c r="AH590" s="3" t="n"/>
      <c r="AI590" s="3" t="n"/>
      <c r="AJ590" s="3" t="n"/>
      <c r="AK590" s="3" t="n"/>
      <c r="AL590" s="3" t="n"/>
      <c r="AM590" s="3" t="n"/>
      <c r="AN590" s="3" t="n"/>
      <c r="AO590" s="3" t="n"/>
      <c r="AP590" s="3" t="n"/>
      <c r="AQ590" s="3" t="n"/>
      <c r="AR590" s="3" t="n"/>
      <c r="AS590" s="3" t="n"/>
      <c r="AT590" s="3" t="n">
        <v>5.70103025</v>
      </c>
      <c r="AU590" s="3" t="n">
        <v>5.86295414</v>
      </c>
      <c r="AV590" s="3" t="n">
        <v>6.17736149</v>
      </c>
      <c r="AW590" s="3" t="n">
        <v>6.52412462</v>
      </c>
      <c r="AX590" s="3" t="n">
        <v>6.35071039</v>
      </c>
      <c r="AY590" s="3" t="n">
        <v>6.34086704</v>
      </c>
      <c r="AZ590" s="3" t="n">
        <v>6.16380167</v>
      </c>
      <c r="BA590" s="3" t="n">
        <v>5.98578405</v>
      </c>
      <c r="BB590" s="3" t="n">
        <v>6.33024931</v>
      </c>
      <c r="BC590" s="3" t="n">
        <v>7.24880648</v>
      </c>
      <c r="BD590" s="3" t="n">
        <v>7.58647251</v>
      </c>
      <c r="BE590" s="3" t="n">
        <v>7.5580225</v>
      </c>
      <c r="BF590" s="3" t="n">
        <v>7.62448311</v>
      </c>
      <c r="BG590" s="3" t="n">
        <v>7.52132368</v>
      </c>
      <c r="BH590" s="3" t="n">
        <v>7.61248875</v>
      </c>
      <c r="BI590" s="3" t="n">
        <v>7.36897945</v>
      </c>
      <c r="BJ590" s="3" t="n">
        <v>7.44554329</v>
      </c>
      <c r="BK590" s="3" t="n">
        <v>7.38071585</v>
      </c>
      <c r="BL590" s="3" t="n">
        <v>7.47048092</v>
      </c>
      <c r="BM590" s="3" t="n">
        <v>7.60336018</v>
      </c>
      <c r="BN590" s="3" t="n">
        <v>9.2136879</v>
      </c>
      <c r="BO590" s="3" t="n">
        <v>9.4887867</v>
      </c>
      <c r="BP590" s="3" t="n"/>
      <c r="BQ590" s="3" t="n"/>
      <c r="BR590" s="34" t="str">
        <f>B590&amp;"|"&amp;D590</f>
        <v>CZE|SH.XPD.CHEX.GD.ZS</v>
      </c>
    </row>
    <row r="591">
      <c r="A591" s="3" t="inlineStr">
        <is>
          <t>Germany</t>
        </is>
      </c>
      <c r="B591" s="3" t="inlineStr">
        <is>
          <t>DEU</t>
        </is>
      </c>
      <c r="C591" s="3" t="inlineStr">
        <is>
          <t>Current health expenditure (% of GDP)</t>
        </is>
      </c>
      <c r="D591" s="3" t="inlineStr">
        <is>
          <t>SH.XPD.CHEX.GD.ZS</t>
        </is>
      </c>
      <c r="E591" s="3" t="n">
        <v>2022</v>
      </c>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c r="AD591" s="3" t="n"/>
      <c r="AE591" s="3" t="n"/>
      <c r="AF591" s="3" t="n"/>
      <c r="AG591" s="3" t="n"/>
      <c r="AH591" s="3" t="n"/>
      <c r="AI591" s="3" t="n"/>
      <c r="AJ591" s="3" t="n"/>
      <c r="AK591" s="3" t="n"/>
      <c r="AL591" s="3" t="n"/>
      <c r="AM591" s="3" t="n"/>
      <c r="AN591" s="3" t="n"/>
      <c r="AO591" s="3" t="n"/>
      <c r="AP591" s="3" t="n"/>
      <c r="AQ591" s="3" t="n"/>
      <c r="AR591" s="3" t="n"/>
      <c r="AS591" s="3" t="n"/>
      <c r="AT591" s="3" t="n">
        <v>9.888435360000001</v>
      </c>
      <c r="AU591" s="3" t="n">
        <v>9.920691489999999</v>
      </c>
      <c r="AV591" s="3" t="n">
        <v>10.18365669</v>
      </c>
      <c r="AW591" s="3" t="n">
        <v>10.40202236</v>
      </c>
      <c r="AX591" s="3" t="n">
        <v>10.14603233</v>
      </c>
      <c r="AY591" s="3" t="n">
        <v>10.31153965</v>
      </c>
      <c r="AZ591" s="3" t="n">
        <v>10.17995167</v>
      </c>
      <c r="BA591" s="3" t="n">
        <v>10.05132961</v>
      </c>
      <c r="BB591" s="3" t="n">
        <v>10.25128746</v>
      </c>
      <c r="BC591" s="3" t="n">
        <v>11.23791218</v>
      </c>
      <c r="BD591" s="3" t="n">
        <v>11.09592915</v>
      </c>
      <c r="BE591" s="3" t="n">
        <v>10.77844906</v>
      </c>
      <c r="BF591" s="3" t="n">
        <v>10.85345554</v>
      </c>
      <c r="BG591" s="3" t="n">
        <v>10.99905777</v>
      </c>
      <c r="BH591" s="3" t="n">
        <v>11.02588272</v>
      </c>
      <c r="BI591" s="3" t="n">
        <v>11.19047737</v>
      </c>
      <c r="BJ591" s="3" t="n">
        <v>11.241889</v>
      </c>
      <c r="BK591" s="3" t="n">
        <v>11.33617592</v>
      </c>
      <c r="BL591" s="3" t="n">
        <v>11.48051548</v>
      </c>
      <c r="BM591" s="3" t="n">
        <v>11.71550655</v>
      </c>
      <c r="BN591" s="3" t="n">
        <v>12.69255257</v>
      </c>
      <c r="BO591" s="3" t="n">
        <v>12.93412971</v>
      </c>
      <c r="BP591" s="3" t="n">
        <v>12.65471077</v>
      </c>
      <c r="BQ591" s="3" t="n"/>
      <c r="BR591" s="34" t="str">
        <f>B591&amp;"|"&amp;D591</f>
        <v>DEU|SH.XPD.CHEX.GD.ZS</v>
      </c>
    </row>
    <row r="592">
      <c r="A592" s="3" t="inlineStr">
        <is>
          <t>Djibouti</t>
        </is>
      </c>
      <c r="B592" s="3" t="inlineStr">
        <is>
          <t>DJI</t>
        </is>
      </c>
      <c r="C592" s="3" t="inlineStr">
        <is>
          <t>Current health expenditure (% of GDP)</t>
        </is>
      </c>
      <c r="D592" s="3" t="inlineStr">
        <is>
          <t>SH.XPD.CHEX.GD.ZS</t>
        </is>
      </c>
      <c r="E592" s="3" t="n">
        <v>2021</v>
      </c>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c r="AD592" s="3" t="n"/>
      <c r="AE592" s="3" t="n"/>
      <c r="AF592" s="3" t="n"/>
      <c r="AG592" s="3" t="n"/>
      <c r="AH592" s="3" t="n"/>
      <c r="AI592" s="3" t="n"/>
      <c r="AJ592" s="3" t="n"/>
      <c r="AK592" s="3" t="n"/>
      <c r="AL592" s="3" t="n"/>
      <c r="AM592" s="3" t="n"/>
      <c r="AN592" s="3" t="n"/>
      <c r="AO592" s="3" t="n"/>
      <c r="AP592" s="3" t="n"/>
      <c r="AQ592" s="3" t="n"/>
      <c r="AR592" s="3" t="n"/>
      <c r="AS592" s="3" t="n"/>
      <c r="AT592" s="3" t="n">
        <v>3.3991127</v>
      </c>
      <c r="AU592" s="3" t="n">
        <v>3.19861364</v>
      </c>
      <c r="AV592" s="3" t="n">
        <v>3.7554152</v>
      </c>
      <c r="AW592" s="3" t="n">
        <v>4.27386999</v>
      </c>
      <c r="AX592" s="3" t="n">
        <v>3.53825521</v>
      </c>
      <c r="AY592" s="3" t="n">
        <v>3.80623102</v>
      </c>
      <c r="AZ592" s="3" t="n">
        <v>4.22306824</v>
      </c>
      <c r="BA592" s="3" t="n">
        <v>4.05582809</v>
      </c>
      <c r="BB592" s="3" t="n">
        <v>3.61543369</v>
      </c>
      <c r="BC592" s="3" t="n">
        <v>3.64194465</v>
      </c>
      <c r="BD592" s="3" t="n">
        <v>3.35966682</v>
      </c>
      <c r="BE592" s="3" t="n">
        <v>3.37655354</v>
      </c>
      <c r="BF592" s="3" t="n">
        <v>3.299927</v>
      </c>
      <c r="BG592" s="3" t="n">
        <v>2.92013574</v>
      </c>
      <c r="BH592" s="3" t="n">
        <v>2.96726322</v>
      </c>
      <c r="BI592" s="3" t="n">
        <v>3.3475771</v>
      </c>
      <c r="BJ592" s="3" t="n">
        <v>2.7416594</v>
      </c>
      <c r="BK592" s="3" t="n">
        <v>2.46857476</v>
      </c>
      <c r="BL592" s="3" t="n">
        <v>2.33968735</v>
      </c>
      <c r="BM592" s="3" t="n">
        <v>2.16640544</v>
      </c>
      <c r="BN592" s="3" t="n">
        <v>2.15048313</v>
      </c>
      <c r="BO592" s="3" t="n">
        <v>2.87667227</v>
      </c>
      <c r="BP592" s="3" t="n"/>
      <c r="BQ592" s="3" t="n"/>
      <c r="BR592" s="34" t="str">
        <f>B592&amp;"|"&amp;D592</f>
        <v>DJI|SH.XPD.CHEX.GD.ZS</v>
      </c>
    </row>
    <row r="593">
      <c r="A593" s="3" t="inlineStr">
        <is>
          <t>Dominica</t>
        </is>
      </c>
      <c r="B593" s="3" t="inlineStr">
        <is>
          <t>DMA</t>
        </is>
      </c>
      <c r="C593" s="3" t="inlineStr">
        <is>
          <t>Current health expenditure (% of GDP)</t>
        </is>
      </c>
      <c r="D593" s="3" t="inlineStr">
        <is>
          <t>SH.XPD.CHEX.GD.ZS</t>
        </is>
      </c>
      <c r="E593" s="3" t="n">
        <v>2021</v>
      </c>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c r="AD593" s="3" t="n"/>
      <c r="AE593" s="3" t="n"/>
      <c r="AF593" s="3" t="n"/>
      <c r="AG593" s="3" t="n"/>
      <c r="AH593" s="3" t="n"/>
      <c r="AI593" s="3" t="n"/>
      <c r="AJ593" s="3" t="n"/>
      <c r="AK593" s="3" t="n"/>
      <c r="AL593" s="3" t="n"/>
      <c r="AM593" s="3" t="n"/>
      <c r="AN593" s="3" t="n"/>
      <c r="AO593" s="3" t="n"/>
      <c r="AP593" s="3" t="n"/>
      <c r="AQ593" s="3" t="n"/>
      <c r="AR593" s="3" t="n"/>
      <c r="AS593" s="3" t="n"/>
      <c r="AT593" s="3" t="n">
        <v>5.32374382</v>
      </c>
      <c r="AU593" s="3" t="n">
        <v>4.64501858</v>
      </c>
      <c r="AV593" s="3" t="n">
        <v>4.6531105</v>
      </c>
      <c r="AW593" s="3" t="n">
        <v>4.84617901</v>
      </c>
      <c r="AX593" s="3" t="n">
        <v>4.74520159</v>
      </c>
      <c r="AY593" s="3" t="n">
        <v>4.97772503</v>
      </c>
      <c r="AZ593" s="3" t="n">
        <v>4.78092194</v>
      </c>
      <c r="BA593" s="3" t="n">
        <v>4.79109955</v>
      </c>
      <c r="BB593" s="3" t="n">
        <v>5.04968786</v>
      </c>
      <c r="BC593" s="3" t="n">
        <v>4.98329306</v>
      </c>
      <c r="BD593" s="3" t="n">
        <v>5.15711927</v>
      </c>
      <c r="BE593" s="3" t="n">
        <v>5.33450365</v>
      </c>
      <c r="BF593" s="3" t="n">
        <v>5.79509926</v>
      </c>
      <c r="BG593" s="3" t="n">
        <v>5.34749842</v>
      </c>
      <c r="BH593" s="3" t="n">
        <v>5.26141691</v>
      </c>
      <c r="BI593" s="3" t="n">
        <v>5.15941811</v>
      </c>
      <c r="BJ593" s="3" t="n">
        <v>5.12308073</v>
      </c>
      <c r="BK593" s="3" t="n">
        <v>5.46245432</v>
      </c>
      <c r="BL593" s="3" t="n">
        <v>6.18495989</v>
      </c>
      <c r="BM593" s="3" t="n">
        <v>5.16903925</v>
      </c>
      <c r="BN593" s="3" t="n">
        <v>5.99901152</v>
      </c>
      <c r="BO593" s="3" t="n">
        <v>6.50494003</v>
      </c>
      <c r="BP593" s="3" t="n"/>
      <c r="BQ593" s="3" t="n"/>
      <c r="BR593" s="34" t="str">
        <f>B593&amp;"|"&amp;D593</f>
        <v>DMA|SH.XPD.CHEX.GD.ZS</v>
      </c>
    </row>
    <row r="594">
      <c r="A594" s="3" t="inlineStr">
        <is>
          <t>Denmark</t>
        </is>
      </c>
      <c r="B594" s="3" t="inlineStr">
        <is>
          <t>DNK</t>
        </is>
      </c>
      <c r="C594" s="3" t="inlineStr">
        <is>
          <t>Current health expenditure (% of GDP)</t>
        </is>
      </c>
      <c r="D594" s="3" t="inlineStr">
        <is>
          <t>SH.XPD.CHEX.GD.ZS</t>
        </is>
      </c>
      <c r="E594" s="3" t="n">
        <v>2022</v>
      </c>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c r="AD594" s="3" t="n"/>
      <c r="AE594" s="3" t="n"/>
      <c r="AF594" s="3" t="n"/>
      <c r="AG594" s="3" t="n"/>
      <c r="AH594" s="3" t="n"/>
      <c r="AI594" s="3" t="n"/>
      <c r="AJ594" s="3" t="n"/>
      <c r="AK594" s="3" t="n"/>
      <c r="AL594" s="3" t="n"/>
      <c r="AM594" s="3" t="n"/>
      <c r="AN594" s="3" t="n"/>
      <c r="AO594" s="3" t="n"/>
      <c r="AP594" s="3" t="n"/>
      <c r="AQ594" s="3" t="n"/>
      <c r="AR594" s="3" t="n"/>
      <c r="AS594" s="3" t="n"/>
      <c r="AT594" s="3" t="n">
        <v>8.1</v>
      </c>
      <c r="AU594" s="3" t="n">
        <v>8.449999999999999</v>
      </c>
      <c r="AV594" s="3" t="n">
        <v>8.699999999999999</v>
      </c>
      <c r="AW594" s="3" t="n">
        <v>8.9</v>
      </c>
      <c r="AX594" s="3" t="n">
        <v>9.01</v>
      </c>
      <c r="AY594" s="3" t="n">
        <v>9.09</v>
      </c>
      <c r="AZ594" s="3" t="n">
        <v>9.17</v>
      </c>
      <c r="BA594" s="3" t="n">
        <v>9.33</v>
      </c>
      <c r="BB594" s="3" t="n">
        <v>9.51</v>
      </c>
      <c r="BC594" s="3" t="n">
        <v>10.67</v>
      </c>
      <c r="BD594" s="3" t="n">
        <v>10.61</v>
      </c>
      <c r="BE594" s="3" t="n">
        <v>10.41</v>
      </c>
      <c r="BF594" s="3" t="n">
        <v>10.52</v>
      </c>
      <c r="BG594" s="3" t="n">
        <v>10.33</v>
      </c>
      <c r="BH594" s="3" t="n">
        <v>10.31</v>
      </c>
      <c r="BI594" s="3" t="n">
        <v>10.34</v>
      </c>
      <c r="BJ594" s="3" t="n">
        <v>10.25</v>
      </c>
      <c r="BK594" s="3" t="n">
        <v>10.1</v>
      </c>
      <c r="BL594" s="3" t="n">
        <v>10.1</v>
      </c>
      <c r="BM594" s="3" t="n">
        <v>10.15</v>
      </c>
      <c r="BN594" s="3" t="n">
        <v>10.56</v>
      </c>
      <c r="BO594" s="3" t="n">
        <v>10.82</v>
      </c>
      <c r="BP594" s="3" t="n">
        <v>9.5</v>
      </c>
      <c r="BQ594" s="3" t="n"/>
      <c r="BR594" s="34" t="str">
        <f>B594&amp;"|"&amp;D594</f>
        <v>DNK|SH.XPD.CHEX.GD.ZS</v>
      </c>
    </row>
    <row r="595">
      <c r="A595" s="3" t="inlineStr">
        <is>
          <t>Dominican Republic</t>
        </is>
      </c>
      <c r="B595" s="3" t="inlineStr">
        <is>
          <t>DOM</t>
        </is>
      </c>
      <c r="C595" s="3" t="inlineStr">
        <is>
          <t>Current health expenditure (% of GDP)</t>
        </is>
      </c>
      <c r="D595" s="3" t="inlineStr">
        <is>
          <t>SH.XPD.CHEX.GD.ZS</t>
        </is>
      </c>
      <c r="E595" s="3" t="n">
        <v>2021</v>
      </c>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c r="AD595" s="3" t="n"/>
      <c r="AE595" s="3" t="n"/>
      <c r="AF595" s="3" t="n"/>
      <c r="AG595" s="3" t="n"/>
      <c r="AH595" s="3" t="n"/>
      <c r="AI595" s="3" t="n"/>
      <c r="AJ595" s="3" t="n"/>
      <c r="AK595" s="3" t="n"/>
      <c r="AL595" s="3" t="n"/>
      <c r="AM595" s="3" t="n"/>
      <c r="AN595" s="3" t="n"/>
      <c r="AO595" s="3" t="n"/>
      <c r="AP595" s="3" t="n"/>
      <c r="AQ595" s="3" t="n"/>
      <c r="AR595" s="3" t="n"/>
      <c r="AS595" s="3" t="n"/>
      <c r="AT595" s="3" t="n">
        <v>4.88427496</v>
      </c>
      <c r="AU595" s="3" t="n">
        <v>4.88183308</v>
      </c>
      <c r="AV595" s="3" t="n">
        <v>4.98649025</v>
      </c>
      <c r="AW595" s="3" t="n">
        <v>4.38888264</v>
      </c>
      <c r="AX595" s="3" t="n">
        <v>4.2877388</v>
      </c>
      <c r="AY595" s="3" t="n">
        <v>4.35391188</v>
      </c>
      <c r="AZ595" s="3" t="n">
        <v>3.99365425</v>
      </c>
      <c r="BA595" s="3" t="n">
        <v>4.08935308</v>
      </c>
      <c r="BB595" s="3" t="n">
        <v>4.56146193</v>
      </c>
      <c r="BC595" s="3" t="n">
        <v>4.76337624</v>
      </c>
      <c r="BD595" s="3" t="n">
        <v>4.92355442</v>
      </c>
      <c r="BE595" s="3" t="n">
        <v>5.03797865</v>
      </c>
      <c r="BF595" s="3" t="n">
        <v>5.04897833</v>
      </c>
      <c r="BG595" s="3" t="n">
        <v>4.91598225</v>
      </c>
      <c r="BH595" s="3" t="n">
        <v>4.79757166</v>
      </c>
      <c r="BI595" s="3" t="n">
        <v>4.72216797</v>
      </c>
      <c r="BJ595" s="3" t="n">
        <v>4.57663107</v>
      </c>
      <c r="BK595" s="3" t="n">
        <v>4.49336958</v>
      </c>
      <c r="BL595" s="3" t="n">
        <v>4.12601566</v>
      </c>
      <c r="BM595" s="3" t="n">
        <v>4.23948717</v>
      </c>
      <c r="BN595" s="3" t="n">
        <v>4.93998051</v>
      </c>
      <c r="BO595" s="3" t="n">
        <v>4.91815567</v>
      </c>
      <c r="BP595" s="3" t="n"/>
      <c r="BQ595" s="3" t="n"/>
      <c r="BR595" s="34" t="str">
        <f>B595&amp;"|"&amp;D595</f>
        <v>DOM|SH.XPD.CHEX.GD.ZS</v>
      </c>
    </row>
    <row r="596">
      <c r="A596" s="3" t="inlineStr">
        <is>
          <t>Algeria</t>
        </is>
      </c>
      <c r="B596" s="3" t="inlineStr">
        <is>
          <t>DZA</t>
        </is>
      </c>
      <c r="C596" s="3" t="inlineStr">
        <is>
          <t>Current health expenditure (% of GDP)</t>
        </is>
      </c>
      <c r="D596" s="3" t="inlineStr">
        <is>
          <t>SH.XPD.CHEX.GD.ZS</t>
        </is>
      </c>
      <c r="E596" s="3" t="n">
        <v>2021</v>
      </c>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c r="AD596" s="3" t="n"/>
      <c r="AE596" s="3" t="n"/>
      <c r="AF596" s="3" t="n"/>
      <c r="AG596" s="3" t="n"/>
      <c r="AH596" s="3" t="n"/>
      <c r="AI596" s="3" t="n"/>
      <c r="AJ596" s="3" t="n"/>
      <c r="AK596" s="3" t="n"/>
      <c r="AL596" s="3" t="n"/>
      <c r="AM596" s="3" t="n"/>
      <c r="AN596" s="3" t="n"/>
      <c r="AO596" s="3" t="n"/>
      <c r="AP596" s="3" t="n"/>
      <c r="AQ596" s="3" t="n"/>
      <c r="AR596" s="3" t="n"/>
      <c r="AS596" s="3" t="n"/>
      <c r="AT596" s="3" t="n">
        <v>3.48903275</v>
      </c>
      <c r="AU596" s="3" t="n">
        <v>3.83787704</v>
      </c>
      <c r="AV596" s="3" t="n">
        <v>3.7300415</v>
      </c>
      <c r="AW596" s="3" t="n">
        <v>3.60104108</v>
      </c>
      <c r="AX596" s="3" t="n">
        <v>3.5440731</v>
      </c>
      <c r="AY596" s="3" t="n">
        <v>3.23516107</v>
      </c>
      <c r="AZ596" s="3" t="n">
        <v>3.35510349</v>
      </c>
      <c r="BA596" s="3" t="n">
        <v>3.82141757</v>
      </c>
      <c r="BB596" s="3" t="n">
        <v>4.20188284</v>
      </c>
      <c r="BC596" s="3" t="n">
        <v>5.35939837</v>
      </c>
      <c r="BD596" s="3" t="n">
        <v>5.11716986</v>
      </c>
      <c r="BE596" s="3" t="n">
        <v>5.26748085</v>
      </c>
      <c r="BF596" s="3" t="n">
        <v>6.00050974</v>
      </c>
      <c r="BG596" s="3" t="n">
        <v>6.03576279</v>
      </c>
      <c r="BH596" s="3" t="n">
        <v>6.54721403</v>
      </c>
      <c r="BI596" s="3" t="n">
        <v>6.96321011</v>
      </c>
      <c r="BJ596" s="3" t="n">
        <v>6.58904791</v>
      </c>
      <c r="BK596" s="3" t="n">
        <v>6.53307724</v>
      </c>
      <c r="BL596" s="3" t="n">
        <v>6.38729763</v>
      </c>
      <c r="BM596" s="3" t="n">
        <v>5.86751413</v>
      </c>
      <c r="BN596" s="3" t="n">
        <v>6.14268684</v>
      </c>
      <c r="BO596" s="3" t="n">
        <v>5.5283432</v>
      </c>
      <c r="BP596" s="3" t="n"/>
      <c r="BQ596" s="3" t="n"/>
      <c r="BR596" s="34" t="str">
        <f>B596&amp;"|"&amp;D596</f>
        <v>DZA|SH.XPD.CHEX.GD.ZS</v>
      </c>
    </row>
    <row r="597">
      <c r="A597" s="3" t="inlineStr">
        <is>
          <t>East Asia &amp; Pacific (excluding high income)</t>
        </is>
      </c>
      <c r="B597" s="3" t="inlineStr">
        <is>
          <t>EAP</t>
        </is>
      </c>
      <c r="C597" s="3" t="inlineStr">
        <is>
          <t>Current health expenditure (% of GDP)</t>
        </is>
      </c>
      <c r="D597" s="3" t="inlineStr">
        <is>
          <t>SH.XPD.CHEX.GD.ZS</t>
        </is>
      </c>
      <c r="E597" s="3" t="n">
        <v>2021</v>
      </c>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c r="AD597" s="3" t="n"/>
      <c r="AE597" s="3" t="n"/>
      <c r="AF597" s="3" t="n"/>
      <c r="AG597" s="3" t="n"/>
      <c r="AH597" s="3" t="n"/>
      <c r="AI597" s="3" t="n"/>
      <c r="AJ597" s="3" t="n"/>
      <c r="AK597" s="3" t="n"/>
      <c r="AL597" s="3" t="n"/>
      <c r="AM597" s="3" t="n"/>
      <c r="AN597" s="3" t="n"/>
      <c r="AO597" s="3" t="n"/>
      <c r="AP597" s="3" t="n"/>
      <c r="AQ597" s="3" t="n"/>
      <c r="AR597" s="3" t="n"/>
      <c r="AS597" s="3" t="n"/>
      <c r="AT597" s="3" t="n">
        <v>3.955105381599588</v>
      </c>
      <c r="AU597" s="3" t="n">
        <v>3.854398442630457</v>
      </c>
      <c r="AV597" s="3" t="n">
        <v>3.916667983022187</v>
      </c>
      <c r="AW597" s="3" t="n">
        <v>3.982631723519944</v>
      </c>
      <c r="AX597" s="3" t="n">
        <v>3.891980092013597</v>
      </c>
      <c r="AY597" s="3" t="n">
        <v>3.882671375739731</v>
      </c>
      <c r="AZ597" s="3" t="n">
        <v>3.731546492740389</v>
      </c>
      <c r="BA597" s="3" t="n">
        <v>3.557911117434642</v>
      </c>
      <c r="BB597" s="3" t="n">
        <v>3.727574962270241</v>
      </c>
      <c r="BC597" s="3" t="n">
        <v>4.126697527095548</v>
      </c>
      <c r="BD597" s="3" t="n">
        <v>4.019935540875157</v>
      </c>
      <c r="BE597" s="3" t="n">
        <v>4.142319064085446</v>
      </c>
      <c r="BF597" s="3" t="n">
        <v>4.337180429719062</v>
      </c>
      <c r="BG597" s="3" t="n">
        <v>4.468904897008702</v>
      </c>
      <c r="BH597" s="3" t="n">
        <v>4.556697838054579</v>
      </c>
      <c r="BI597" s="3" t="n">
        <v>4.717823604867948</v>
      </c>
      <c r="BJ597" s="3" t="n">
        <v>4.754000805573892</v>
      </c>
      <c r="BK597" s="3" t="n">
        <v>4.818915707863528</v>
      </c>
      <c r="BL597" s="3" t="n">
        <v>4.917928687072116</v>
      </c>
      <c r="BM597" s="3" t="n">
        <v>5.066156525199618</v>
      </c>
      <c r="BN597" s="3" t="n">
        <v>5.351997905092941</v>
      </c>
      <c r="BO597" s="3" t="n">
        <v>5.259768861619203</v>
      </c>
      <c r="BP597" s="3" t="n"/>
      <c r="BQ597" s="3" t="n"/>
      <c r="BR597" s="34" t="str">
        <f>B597&amp;"|"&amp;D597</f>
        <v>EAP|SH.XPD.CHEX.GD.ZS</v>
      </c>
    </row>
    <row r="598">
      <c r="A598" s="3" t="inlineStr">
        <is>
          <t>Early-demographic dividend</t>
        </is>
      </c>
      <c r="B598" s="3" t="inlineStr">
        <is>
          <t>EAR</t>
        </is>
      </c>
      <c r="C598" s="3" t="inlineStr">
        <is>
          <t>Current health expenditure (% of GDP)</t>
        </is>
      </c>
      <c r="D598" s="3" t="inlineStr">
        <is>
          <t>SH.XPD.CHEX.GD.ZS</t>
        </is>
      </c>
      <c r="E598" s="3" t="n">
        <v>2021</v>
      </c>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c r="AD598" s="3" t="n"/>
      <c r="AE598" s="3" t="n"/>
      <c r="AF598" s="3" t="n"/>
      <c r="AG598" s="3" t="n"/>
      <c r="AH598" s="3" t="n"/>
      <c r="AI598" s="3" t="n"/>
      <c r="AJ598" s="3" t="n"/>
      <c r="AK598" s="3" t="n"/>
      <c r="AL598" s="3" t="n"/>
      <c r="AM598" s="3" t="n"/>
      <c r="AN598" s="3" t="n"/>
      <c r="AO598" s="3" t="n"/>
      <c r="AP598" s="3" t="n"/>
      <c r="AQ598" s="3" t="n"/>
      <c r="AR598" s="3" t="n"/>
      <c r="AS598" s="3" t="n"/>
      <c r="AT598" s="3" t="n">
        <v>4.71491898874714</v>
      </c>
      <c r="AU598" s="3" t="n">
        <v>4.934577593251759</v>
      </c>
      <c r="AV598" s="3" t="n">
        <v>4.692807567211181</v>
      </c>
      <c r="AW598" s="3" t="n">
        <v>4.822878423327048</v>
      </c>
      <c r="AX598" s="3" t="n">
        <v>4.80047210740674</v>
      </c>
      <c r="AY598" s="3" t="n">
        <v>4.781904326635076</v>
      </c>
      <c r="AZ598" s="3" t="n">
        <v>4.720917971484935</v>
      </c>
      <c r="BA598" s="3" t="n">
        <v>4.710311856152059</v>
      </c>
      <c r="BB598" s="3" t="n">
        <v>4.677412931586292</v>
      </c>
      <c r="BC598" s="3" t="n">
        <v>5.020660065948275</v>
      </c>
      <c r="BD598" s="3" t="n">
        <v>4.828816658833023</v>
      </c>
      <c r="BE598" s="3" t="n">
        <v>4.795129246150682</v>
      </c>
      <c r="BF598" s="3" t="n">
        <v>4.887968412382585</v>
      </c>
      <c r="BG598" s="3" t="n">
        <v>4.980043632771101</v>
      </c>
      <c r="BH598" s="3" t="n">
        <v>4.970343270291692</v>
      </c>
      <c r="BI598" s="3" t="n">
        <v>5.129686260908564</v>
      </c>
      <c r="BJ598" s="3" t="n">
        <v>5.048020264146403</v>
      </c>
      <c r="BK598" s="3" t="n">
        <v>4.890204181057533</v>
      </c>
      <c r="BL598" s="3" t="n">
        <v>4.70495109425599</v>
      </c>
      <c r="BM598" s="3" t="n">
        <v>4.641265140221861</v>
      </c>
      <c r="BN598" s="3" t="n">
        <v>5.036674861926518</v>
      </c>
      <c r="BO598" s="3" t="n">
        <v>5.039169861480375</v>
      </c>
      <c r="BP598" s="3" t="n"/>
      <c r="BQ598" s="3" t="n"/>
      <c r="BR598" s="34" t="str">
        <f>B598&amp;"|"&amp;D598</f>
        <v>EAR|SH.XPD.CHEX.GD.ZS</v>
      </c>
    </row>
    <row r="599">
      <c r="A599" s="3" t="inlineStr">
        <is>
          <t>East Asia &amp; Pacific</t>
        </is>
      </c>
      <c r="B599" s="3" t="inlineStr">
        <is>
          <t>EAS</t>
        </is>
      </c>
      <c r="C599" s="3" t="inlineStr">
        <is>
          <t>Current health expenditure (% of GDP)</t>
        </is>
      </c>
      <c r="D599" s="3" t="inlineStr">
        <is>
          <t>SH.XPD.CHEX.GD.ZS</t>
        </is>
      </c>
      <c r="E599" s="3" t="n">
        <v>2021</v>
      </c>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c r="AD599" s="3" t="n"/>
      <c r="AE599" s="3" t="n"/>
      <c r="AF599" s="3" t="n"/>
      <c r="AG599" s="3" t="n"/>
      <c r="AH599" s="3" t="n"/>
      <c r="AI599" s="3" t="n"/>
      <c r="AJ599" s="3" t="n"/>
      <c r="AK599" s="3" t="n"/>
      <c r="AL599" s="3" t="n"/>
      <c r="AM599" s="3" t="n"/>
      <c r="AN599" s="3" t="n"/>
      <c r="AO599" s="3" t="n"/>
      <c r="AP599" s="3" t="n"/>
      <c r="AQ599" s="3" t="n"/>
      <c r="AR599" s="3" t="n"/>
      <c r="AS599" s="3" t="n"/>
      <c r="AT599" s="3" t="n">
        <v>6.102215872790459</v>
      </c>
      <c r="AU599" s="3" t="n">
        <v>6.134778526015014</v>
      </c>
      <c r="AV599" s="3" t="n">
        <v>6.101668135168273</v>
      </c>
      <c r="AW599" s="3" t="n">
        <v>6.200388240429417</v>
      </c>
      <c r="AX599" s="3" t="n">
        <v>6.177945211587031</v>
      </c>
      <c r="AY599" s="3" t="n">
        <v>6.133260223352865</v>
      </c>
      <c r="AZ599" s="3" t="n">
        <v>5.938238971753306</v>
      </c>
      <c r="BA599" s="3" t="n">
        <v>5.729189683819468</v>
      </c>
      <c r="BB599" s="3" t="n">
        <v>5.888003584091917</v>
      </c>
      <c r="BC599" s="3" t="n">
        <v>6.390105137973771</v>
      </c>
      <c r="BD599" s="3" t="n">
        <v>6.267968379040071</v>
      </c>
      <c r="BE599" s="3" t="n">
        <v>6.6975447763987</v>
      </c>
      <c r="BF599" s="3" t="n">
        <v>6.756365886230182</v>
      </c>
      <c r="BG599" s="3" t="n">
        <v>6.515888163586039</v>
      </c>
      <c r="BH599" s="3" t="n">
        <v>6.514373583619951</v>
      </c>
      <c r="BI599" s="3" t="n">
        <v>6.500715135998371</v>
      </c>
      <c r="BJ599" s="3" t="n">
        <v>6.581081995923996</v>
      </c>
      <c r="BK599" s="3" t="n">
        <v>6.54078744726754</v>
      </c>
      <c r="BL599" s="3" t="n">
        <v>6.557047016241711</v>
      </c>
      <c r="BM599" s="3" t="n">
        <v>6.730005022657529</v>
      </c>
      <c r="BN599" s="3" t="n">
        <v>6.950535819248809</v>
      </c>
      <c r="BO599" s="3" t="n">
        <v>6.761496375557313</v>
      </c>
      <c r="BP599" s="3" t="n"/>
      <c r="BQ599" s="3" t="n"/>
      <c r="BR599" s="34" t="str">
        <f>B599&amp;"|"&amp;D599</f>
        <v>EAS|SH.XPD.CHEX.GD.ZS</v>
      </c>
    </row>
    <row r="600">
      <c r="A600" s="3" t="inlineStr">
        <is>
          <t>Europe &amp; Central Asia (excluding high income)</t>
        </is>
      </c>
      <c r="B600" s="3" t="inlineStr">
        <is>
          <t>ECA</t>
        </is>
      </c>
      <c r="C600" s="3" t="inlineStr">
        <is>
          <t>Current health expenditure (% of GDP)</t>
        </is>
      </c>
      <c r="D600" s="3" t="inlineStr">
        <is>
          <t>SH.XPD.CHEX.GD.ZS</t>
        </is>
      </c>
      <c r="E600" s="3" t="n">
        <v>2021</v>
      </c>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c r="AD600" s="3" t="n"/>
      <c r="AE600" s="3" t="n"/>
      <c r="AF600" s="3" t="n"/>
      <c r="AG600" s="3" t="n"/>
      <c r="AH600" s="3" t="n"/>
      <c r="AI600" s="3" t="n"/>
      <c r="AJ600" s="3" t="n"/>
      <c r="AK600" s="3" t="n"/>
      <c r="AL600" s="3" t="n"/>
      <c r="AM600" s="3" t="n"/>
      <c r="AN600" s="3" t="n"/>
      <c r="AO600" s="3" t="n"/>
      <c r="AP600" s="3" t="n"/>
      <c r="AQ600" s="3" t="n"/>
      <c r="AR600" s="3" t="n"/>
      <c r="AS600" s="3" t="n"/>
      <c r="AT600" s="3" t="n">
        <v>4.804889075509001</v>
      </c>
      <c r="AU600" s="3" t="n">
        <v>5.084279166295219</v>
      </c>
      <c r="AV600" s="3" t="n">
        <v>5.295581247423993</v>
      </c>
      <c r="AW600" s="3" t="n">
        <v>5.365542371990892</v>
      </c>
      <c r="AX600" s="3" t="n">
        <v>5.276020204826081</v>
      </c>
      <c r="AY600" s="3" t="n">
        <v>5.256485283991431</v>
      </c>
      <c r="AZ600" s="3" t="n">
        <v>5.338214839740886</v>
      </c>
      <c r="BA600" s="3" t="n">
        <v>5.276931068623817</v>
      </c>
      <c r="BB600" s="3" t="n">
        <v>5.213817351517247</v>
      </c>
      <c r="BC600" s="3" t="n">
        <v>5.556776754522288</v>
      </c>
      <c r="BD600" s="3" t="n">
        <v>5.185360686644652</v>
      </c>
      <c r="BE600" s="3" t="n">
        <v>4.884574224504435</v>
      </c>
      <c r="BF600" s="3" t="n">
        <v>4.893473483013962</v>
      </c>
      <c r="BG600" s="3" t="n">
        <v>4.813965743871286</v>
      </c>
      <c r="BH600" s="3" t="n">
        <v>4.752386270924804</v>
      </c>
      <c r="BI600" s="3" t="n">
        <v>4.703100535445531</v>
      </c>
      <c r="BJ600" s="3" t="n">
        <v>4.877937736042615</v>
      </c>
      <c r="BK600" s="3" t="n">
        <v>4.780643128578108</v>
      </c>
      <c r="BL600" s="3" t="n">
        <v>4.804599944893433</v>
      </c>
      <c r="BM600" s="3" t="n">
        <v>5.00073458761924</v>
      </c>
      <c r="BN600" s="3" t="n">
        <v>5.538881833278686</v>
      </c>
      <c r="BO600" s="3" t="n">
        <v>5.684637651139822</v>
      </c>
      <c r="BP600" s="3" t="n"/>
      <c r="BQ600" s="3" t="n"/>
      <c r="BR600" s="34" t="str">
        <f>B600&amp;"|"&amp;D600</f>
        <v>ECA|SH.XPD.CHEX.GD.ZS</v>
      </c>
    </row>
    <row r="601">
      <c r="A601" s="3" t="inlineStr">
        <is>
          <t>Europe &amp; Central Asia</t>
        </is>
      </c>
      <c r="B601" s="3" t="inlineStr">
        <is>
          <t>ECS</t>
        </is>
      </c>
      <c r="C601" s="3" t="inlineStr">
        <is>
          <t>Current health expenditure (% of GDP)</t>
        </is>
      </c>
      <c r="D601" s="3" t="inlineStr">
        <is>
          <t>SH.XPD.CHEX.GD.ZS</t>
        </is>
      </c>
      <c r="E601" s="3" t="n">
        <v>2021</v>
      </c>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c r="AD601" s="3" t="n"/>
      <c r="AE601" s="3" t="n"/>
      <c r="AF601" s="3" t="n"/>
      <c r="AG601" s="3" t="n"/>
      <c r="AH601" s="3" t="n"/>
      <c r="AI601" s="3" t="n"/>
      <c r="AJ601" s="3" t="n"/>
      <c r="AK601" s="3" t="n"/>
      <c r="AL601" s="3" t="n"/>
      <c r="AM601" s="3" t="n"/>
      <c r="AN601" s="3" t="n"/>
      <c r="AO601" s="3" t="n"/>
      <c r="AP601" s="3" t="n"/>
      <c r="AQ601" s="3" t="n"/>
      <c r="AR601" s="3" t="n"/>
      <c r="AS601" s="3" t="n"/>
      <c r="AT601" s="3" t="n">
        <v>7.997458801214309</v>
      </c>
      <c r="AU601" s="3" t="n">
        <v>8.161857717261961</v>
      </c>
      <c r="AV601" s="3" t="n">
        <v>8.409945433618956</v>
      </c>
      <c r="AW601" s="3" t="n">
        <v>8.631569681471259</v>
      </c>
      <c r="AX601" s="3" t="n">
        <v>8.61310532634773</v>
      </c>
      <c r="AY601" s="3" t="n">
        <v>8.596808136981632</v>
      </c>
      <c r="AZ601" s="3" t="n">
        <v>8.546947852769399</v>
      </c>
      <c r="BA601" s="3" t="n">
        <v>8.420517437110128</v>
      </c>
      <c r="BB601" s="3" t="n">
        <v>8.615339817848474</v>
      </c>
      <c r="BC601" s="3" t="n">
        <v>9.447980242492585</v>
      </c>
      <c r="BD601" s="3" t="n">
        <v>9.212517987957872</v>
      </c>
      <c r="BE601" s="3" t="n">
        <v>9.049151167448445</v>
      </c>
      <c r="BF601" s="3" t="n">
        <v>9.044520425938956</v>
      </c>
      <c r="BG601" s="3" t="n">
        <v>9.077788824994229</v>
      </c>
      <c r="BH601" s="3" t="n">
        <v>9.18336425017589</v>
      </c>
      <c r="BI601" s="3" t="n">
        <v>9.265183108859715</v>
      </c>
      <c r="BJ601" s="3" t="n">
        <v>9.309262365085887</v>
      </c>
      <c r="BK601" s="3" t="n">
        <v>9.219798189503969</v>
      </c>
      <c r="BL601" s="3" t="n">
        <v>9.241914056669781</v>
      </c>
      <c r="BM601" s="3" t="n">
        <v>9.343479671106877</v>
      </c>
      <c r="BN601" s="3" t="n">
        <v>10.49806169691788</v>
      </c>
      <c r="BO601" s="3" t="n">
        <v>10.52896023750619</v>
      </c>
      <c r="BP601" s="3" t="n"/>
      <c r="BQ601" s="3" t="n"/>
      <c r="BR601" s="34" t="str">
        <f>B601&amp;"|"&amp;D601</f>
        <v>ECS|SH.XPD.CHEX.GD.ZS</v>
      </c>
    </row>
    <row r="602">
      <c r="A602" s="3" t="inlineStr">
        <is>
          <t>Ecuador</t>
        </is>
      </c>
      <c r="B602" s="3" t="inlineStr">
        <is>
          <t>ECU</t>
        </is>
      </c>
      <c r="C602" s="3" t="inlineStr">
        <is>
          <t>Current health expenditure (% of GDP)</t>
        </is>
      </c>
      <c r="D602" s="3" t="inlineStr">
        <is>
          <t>SH.XPD.CHEX.GD.ZS</t>
        </is>
      </c>
      <c r="E602" s="3" t="n">
        <v>2021</v>
      </c>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c r="AD602" s="3" t="n"/>
      <c r="AE602" s="3" t="n"/>
      <c r="AF602" s="3" t="n"/>
      <c r="AG602" s="3" t="n"/>
      <c r="AH602" s="3" t="n"/>
      <c r="AI602" s="3" t="n"/>
      <c r="AJ602" s="3" t="n"/>
      <c r="AK602" s="3" t="n"/>
      <c r="AL602" s="3" t="n"/>
      <c r="AM602" s="3" t="n"/>
      <c r="AN602" s="3" t="n"/>
      <c r="AO602" s="3" t="n"/>
      <c r="AP602" s="3" t="n"/>
      <c r="AQ602" s="3" t="n"/>
      <c r="AR602" s="3" t="n"/>
      <c r="AS602" s="3" t="n"/>
      <c r="AT602" s="3" t="n">
        <v>3.33441973</v>
      </c>
      <c r="AU602" s="3" t="n">
        <v>3.75668859</v>
      </c>
      <c r="AV602" s="3" t="n">
        <v>4.47671938</v>
      </c>
      <c r="AW602" s="3" t="n">
        <v>5.44398975</v>
      </c>
      <c r="AX602" s="3" t="n">
        <v>5.56991434</v>
      </c>
      <c r="AY602" s="3" t="n">
        <v>5.59754324</v>
      </c>
      <c r="AZ602" s="3" t="n">
        <v>5.70635176</v>
      </c>
      <c r="BA602" s="3" t="n">
        <v>5.43095398</v>
      </c>
      <c r="BB602" s="3" t="n">
        <v>5.46596193</v>
      </c>
      <c r="BC602" s="3" t="n">
        <v>5.79984474</v>
      </c>
      <c r="BD602" s="3" t="n">
        <v>6.22109413</v>
      </c>
      <c r="BE602" s="3" t="n">
        <v>6.580935</v>
      </c>
      <c r="BF602" s="3" t="n">
        <v>6.86373377</v>
      </c>
      <c r="BG602" s="3" t="n">
        <v>6.88127422</v>
      </c>
      <c r="BH602" s="3" t="n">
        <v>6.83199883</v>
      </c>
      <c r="BI602" s="3" t="n">
        <v>7.60513353</v>
      </c>
      <c r="BJ602" s="3" t="n">
        <v>7.41604376</v>
      </c>
      <c r="BK602" s="3" t="n">
        <v>7.53717899</v>
      </c>
      <c r="BL602" s="3" t="n">
        <v>7.82609653</v>
      </c>
      <c r="BM602" s="3" t="n">
        <v>7.77070522</v>
      </c>
      <c r="BN602" s="3" t="n">
        <v>8.35889626</v>
      </c>
      <c r="BO602" s="3" t="n">
        <v>8.28661728</v>
      </c>
      <c r="BP602" s="3" t="n"/>
      <c r="BQ602" s="3" t="n"/>
      <c r="BR602" s="34" t="str">
        <f>B602&amp;"|"&amp;D602</f>
        <v>ECU|SH.XPD.CHEX.GD.ZS</v>
      </c>
    </row>
    <row r="603">
      <c r="A603" s="3" t="inlineStr">
        <is>
          <t>Egypt, Arab Rep.</t>
        </is>
      </c>
      <c r="B603" s="3" t="inlineStr">
        <is>
          <t>EGY</t>
        </is>
      </c>
      <c r="C603" s="3" t="inlineStr">
        <is>
          <t>Current health expenditure (% of GDP)</t>
        </is>
      </c>
      <c r="D603" s="3" t="inlineStr">
        <is>
          <t>SH.XPD.CHEX.GD.ZS</t>
        </is>
      </c>
      <c r="E603" s="3" t="n">
        <v>2021</v>
      </c>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c r="AD603" s="3" t="n"/>
      <c r="AE603" s="3" t="n"/>
      <c r="AF603" s="3" t="n"/>
      <c r="AG603" s="3" t="n"/>
      <c r="AH603" s="3" t="n"/>
      <c r="AI603" s="3" t="n"/>
      <c r="AJ603" s="3" t="n"/>
      <c r="AK603" s="3" t="n"/>
      <c r="AL603" s="3" t="n"/>
      <c r="AM603" s="3" t="n"/>
      <c r="AN603" s="3" t="n"/>
      <c r="AO603" s="3" t="n"/>
      <c r="AP603" s="3" t="n"/>
      <c r="AQ603" s="3" t="n"/>
      <c r="AR603" s="3" t="n"/>
      <c r="AS603" s="3" t="n"/>
      <c r="AT603" s="3" t="n">
        <v>4.92244291</v>
      </c>
      <c r="AU603" s="3" t="n">
        <v>5.40030336</v>
      </c>
      <c r="AV603" s="3" t="n">
        <v>5.5107379</v>
      </c>
      <c r="AW603" s="3" t="n">
        <v>5.2242527</v>
      </c>
      <c r="AX603" s="3" t="n">
        <v>4.85732365</v>
      </c>
      <c r="AY603" s="3" t="n">
        <v>4.92229176</v>
      </c>
      <c r="AZ603" s="3" t="n">
        <v>4.84190083</v>
      </c>
      <c r="BA603" s="3" t="n">
        <v>4.44493246</v>
      </c>
      <c r="BB603" s="3" t="n">
        <v>4.46634817</v>
      </c>
      <c r="BC603" s="3" t="n">
        <v>4.37870932</v>
      </c>
      <c r="BD603" s="3" t="n">
        <v>4.15319157</v>
      </c>
      <c r="BE603" s="3" t="n">
        <v>4.35707569</v>
      </c>
      <c r="BF603" s="3" t="n">
        <v>4.45891809</v>
      </c>
      <c r="BG603" s="3" t="n">
        <v>4.6710043</v>
      </c>
      <c r="BH603" s="3" t="n">
        <v>4.77415323</v>
      </c>
      <c r="BI603" s="3" t="n">
        <v>5.06153202</v>
      </c>
      <c r="BJ603" s="3" t="n">
        <v>5.07462406</v>
      </c>
      <c r="BK603" s="3" t="n">
        <v>5.34661913</v>
      </c>
      <c r="BL603" s="3" t="n">
        <v>4.74892998</v>
      </c>
      <c r="BM603" s="3" t="n">
        <v>4.5994668</v>
      </c>
      <c r="BN603" s="3" t="n">
        <v>4.15384626</v>
      </c>
      <c r="BO603" s="3" t="n">
        <v>4.60955143</v>
      </c>
      <c r="BP603" s="3" t="n"/>
      <c r="BQ603" s="3" t="n"/>
      <c r="BR603" s="34" t="str">
        <f>B603&amp;"|"&amp;D603</f>
        <v>EGY|SH.XPD.CHEX.GD.ZS</v>
      </c>
    </row>
    <row r="604">
      <c r="A604" s="3" t="inlineStr">
        <is>
          <t>Euro area</t>
        </is>
      </c>
      <c r="B604" s="3" t="inlineStr">
        <is>
          <t>EMU</t>
        </is>
      </c>
      <c r="C604" s="3" t="inlineStr">
        <is>
          <t>Current health expenditure (% of GDP)</t>
        </is>
      </c>
      <c r="D604" s="3" t="inlineStr">
        <is>
          <t>SH.XPD.CHEX.GD.ZS</t>
        </is>
      </c>
      <c r="E604" s="3" t="n">
        <v>2021</v>
      </c>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c r="AD604" s="3" t="n"/>
      <c r="AE604" s="3" t="n"/>
      <c r="AF604" s="3" t="n"/>
      <c r="AG604" s="3" t="n"/>
      <c r="AH604" s="3" t="n"/>
      <c r="AI604" s="3" t="n"/>
      <c r="AJ604" s="3" t="n"/>
      <c r="AK604" s="3" t="n"/>
      <c r="AL604" s="3" t="n"/>
      <c r="AM604" s="3" t="n"/>
      <c r="AN604" s="3" t="n"/>
      <c r="AO604" s="3" t="n"/>
      <c r="AP604" s="3" t="n"/>
      <c r="AQ604" s="3" t="n"/>
      <c r="AR604" s="3" t="n"/>
      <c r="AS604" s="3" t="n"/>
      <c r="AT604" s="3" t="n">
        <v>8.639639519877207</v>
      </c>
      <c r="AU604" s="3" t="n">
        <v>8.738943684699409</v>
      </c>
      <c r="AV604" s="3" t="n">
        <v>8.954754287261439</v>
      </c>
      <c r="AW604" s="3" t="n">
        <v>9.162805083373341</v>
      </c>
      <c r="AX604" s="3" t="n">
        <v>9.189487354429094</v>
      </c>
      <c r="AY604" s="3" t="n">
        <v>9.28740163894383</v>
      </c>
      <c r="AZ604" s="3" t="n">
        <v>9.278606424861209</v>
      </c>
      <c r="BA604" s="3" t="n">
        <v>9.18095974733763</v>
      </c>
      <c r="BB604" s="3" t="n">
        <v>9.479815291883456</v>
      </c>
      <c r="BC604" s="3" t="n">
        <v>10.24065280472812</v>
      </c>
      <c r="BD604" s="3" t="n">
        <v>10.20011319752218</v>
      </c>
      <c r="BE604" s="3" t="n">
        <v>10.07947621536128</v>
      </c>
      <c r="BF604" s="3" t="n">
        <v>10.16651719721451</v>
      </c>
      <c r="BG604" s="3" t="n">
        <v>10.21731410524008</v>
      </c>
      <c r="BH604" s="3" t="n">
        <v>10.25228467892913</v>
      </c>
      <c r="BI604" s="3" t="n">
        <v>10.21843628712069</v>
      </c>
      <c r="BJ604" s="3" t="n">
        <v>10.18884947707557</v>
      </c>
      <c r="BK604" s="3" t="n">
        <v>10.15889317617822</v>
      </c>
      <c r="BL604" s="3" t="n">
        <v>10.14895476734432</v>
      </c>
      <c r="BM604" s="3" t="n">
        <v>10.23091068210042</v>
      </c>
      <c r="BN604" s="3" t="n">
        <v>11.23618600434264</v>
      </c>
      <c r="BO604" s="3" t="n">
        <v>11.32141717997081</v>
      </c>
      <c r="BP604" s="3" t="n"/>
      <c r="BQ604" s="3" t="n"/>
      <c r="BR604" s="34" t="str">
        <f>B604&amp;"|"&amp;D604</f>
        <v>EMU|SH.XPD.CHEX.GD.ZS</v>
      </c>
    </row>
    <row r="605">
      <c r="A605" s="3" t="inlineStr">
        <is>
          <t>Eritrea</t>
        </is>
      </c>
      <c r="B605" s="3" t="inlineStr">
        <is>
          <t>ERI</t>
        </is>
      </c>
      <c r="C605" s="3" t="inlineStr">
        <is>
          <t>Current health expenditure (% of GDP)</t>
        </is>
      </c>
      <c r="D605" s="3" t="inlineStr">
        <is>
          <t>SH.XPD.CHEX.GD.ZS</t>
        </is>
      </c>
      <c r="E605" s="3" t="n">
        <v>2021</v>
      </c>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c r="AD605" s="3" t="n"/>
      <c r="AE605" s="3" t="n"/>
      <c r="AF605" s="3" t="n"/>
      <c r="AG605" s="3" t="n"/>
      <c r="AH605" s="3" t="n"/>
      <c r="AI605" s="3" t="n"/>
      <c r="AJ605" s="3" t="n"/>
      <c r="AK605" s="3" t="n"/>
      <c r="AL605" s="3" t="n"/>
      <c r="AM605" s="3" t="n"/>
      <c r="AN605" s="3" t="n"/>
      <c r="AO605" s="3" t="n"/>
      <c r="AP605" s="3" t="n"/>
      <c r="AQ605" s="3" t="n"/>
      <c r="AR605" s="3" t="n"/>
      <c r="AS605" s="3" t="n"/>
      <c r="AT605" s="3" t="n">
        <v>5.76670074</v>
      </c>
      <c r="AU605" s="3" t="n">
        <v>5.91931677</v>
      </c>
      <c r="AV605" s="3" t="n">
        <v>6.68857431</v>
      </c>
      <c r="AW605" s="3" t="n">
        <v>7.33703375</v>
      </c>
      <c r="AX605" s="3" t="n">
        <v>7.00984955</v>
      </c>
      <c r="AY605" s="3" t="n">
        <v>6.8641758</v>
      </c>
      <c r="AZ605" s="3" t="n">
        <v>6.85727453</v>
      </c>
      <c r="BA605" s="3" t="n">
        <v>5.2786293</v>
      </c>
      <c r="BB605" s="3" t="n">
        <v>6.415205</v>
      </c>
      <c r="BC605" s="3" t="n">
        <v>5.38878489</v>
      </c>
      <c r="BD605" s="3" t="n">
        <v>4.83844233</v>
      </c>
      <c r="BE605" s="3" t="n">
        <v>5.16795397</v>
      </c>
      <c r="BF605" s="3" t="n">
        <v>3.7449646</v>
      </c>
      <c r="BG605" s="3" t="n">
        <v>4.97097206</v>
      </c>
      <c r="BH605" s="3" t="n">
        <v>4.02524328</v>
      </c>
      <c r="BI605" s="3" t="n">
        <v>4.45034695</v>
      </c>
      <c r="BJ605" s="3" t="n">
        <v>3.6608541</v>
      </c>
      <c r="BK605" s="3" t="n">
        <v>3.98912001</v>
      </c>
      <c r="BL605" s="3" t="n">
        <v>4.12701797</v>
      </c>
      <c r="BM605" s="3" t="n">
        <v>4.58734369</v>
      </c>
      <c r="BN605" s="3" t="n">
        <v>4.15886974</v>
      </c>
      <c r="BO605" s="3" t="n">
        <v>4.15077114</v>
      </c>
      <c r="BP605" s="3" t="n"/>
      <c r="BQ605" s="3" t="n"/>
      <c r="BR605" s="34" t="str">
        <f>B605&amp;"|"&amp;D605</f>
        <v>ERI|SH.XPD.CHEX.GD.ZS</v>
      </c>
    </row>
    <row r="606">
      <c r="A606" s="3" t="inlineStr">
        <is>
          <t>Spain</t>
        </is>
      </c>
      <c r="B606" s="3" t="inlineStr">
        <is>
          <t>ESP</t>
        </is>
      </c>
      <c r="C606" s="3" t="inlineStr">
        <is>
          <t>Current health expenditure (% of GDP)</t>
        </is>
      </c>
      <c r="D606" s="3" t="inlineStr">
        <is>
          <t>SH.XPD.CHEX.GD.ZS</t>
        </is>
      </c>
      <c r="E606" s="3" t="n">
        <v>2021</v>
      </c>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c r="AD606" s="3" t="n"/>
      <c r="AE606" s="3" t="n"/>
      <c r="AF606" s="3" t="n"/>
      <c r="AG606" s="3" t="n"/>
      <c r="AH606" s="3" t="n"/>
      <c r="AI606" s="3" t="n"/>
      <c r="AJ606" s="3" t="n"/>
      <c r="AK606" s="3" t="n"/>
      <c r="AL606" s="3" t="n"/>
      <c r="AM606" s="3" t="n"/>
      <c r="AN606" s="3" t="n"/>
      <c r="AO606" s="3" t="n"/>
      <c r="AP606" s="3" t="n"/>
      <c r="AQ606" s="3" t="n"/>
      <c r="AR606" s="3" t="n"/>
      <c r="AS606" s="3" t="n"/>
      <c r="AT606" s="3" t="n">
        <v>6.7992177</v>
      </c>
      <c r="AU606" s="3" t="n">
        <v>6.76895761</v>
      </c>
      <c r="AV606" s="3" t="n">
        <v>6.80052757</v>
      </c>
      <c r="AW606" s="3" t="n">
        <v>7.56327057</v>
      </c>
      <c r="AX606" s="3" t="n">
        <v>7.65842772</v>
      </c>
      <c r="AY606" s="3" t="n">
        <v>7.73191786</v>
      </c>
      <c r="AZ606" s="3" t="n">
        <v>7.82905865</v>
      </c>
      <c r="BA606" s="3" t="n">
        <v>7.9186573</v>
      </c>
      <c r="BB606" s="3" t="n">
        <v>8.38225937</v>
      </c>
      <c r="BC606" s="3" t="n">
        <v>9.10764122</v>
      </c>
      <c r="BD606" s="3" t="n">
        <v>9.11891174</v>
      </c>
      <c r="BE606" s="3" t="n">
        <v>9.1679697</v>
      </c>
      <c r="BF606" s="3" t="n">
        <v>9.154153819999999</v>
      </c>
      <c r="BG606" s="3" t="n">
        <v>9.06397724</v>
      </c>
      <c r="BH606" s="3" t="n">
        <v>9.08488464</v>
      </c>
      <c r="BI606" s="3" t="n">
        <v>9.12207508</v>
      </c>
      <c r="BJ606" s="3" t="n">
        <v>8.94727325</v>
      </c>
      <c r="BK606" s="3" t="n">
        <v>8.944912909999999</v>
      </c>
      <c r="BL606" s="3" t="n">
        <v>8.996867180000001</v>
      </c>
      <c r="BM606" s="3" t="n">
        <v>9.145685200000001</v>
      </c>
      <c r="BN606" s="3" t="n">
        <v>10.74565983</v>
      </c>
      <c r="BO606" s="3" t="n">
        <v>10.74003887</v>
      </c>
      <c r="BP606" s="3" t="n"/>
      <c r="BQ606" s="3" t="n"/>
      <c r="BR606" s="34" t="str">
        <f>B606&amp;"|"&amp;D606</f>
        <v>ESP|SH.XPD.CHEX.GD.ZS</v>
      </c>
    </row>
    <row r="607">
      <c r="A607" s="3" t="inlineStr">
        <is>
          <t>Estonia</t>
        </is>
      </c>
      <c r="B607" s="3" t="inlineStr">
        <is>
          <t>EST</t>
        </is>
      </c>
      <c r="C607" s="3" t="inlineStr">
        <is>
          <t>Current health expenditure (% of GDP)</t>
        </is>
      </c>
      <c r="D607" s="3" t="inlineStr">
        <is>
          <t>SH.XPD.CHEX.GD.ZS</t>
        </is>
      </c>
      <c r="E607" s="3" t="n">
        <v>2022</v>
      </c>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c r="AD607" s="3" t="n"/>
      <c r="AE607" s="3" t="n"/>
      <c r="AF607" s="3" t="n"/>
      <c r="AG607" s="3" t="n"/>
      <c r="AH607" s="3" t="n"/>
      <c r="AI607" s="3" t="n"/>
      <c r="AJ607" s="3" t="n"/>
      <c r="AK607" s="3" t="n"/>
      <c r="AL607" s="3" t="n"/>
      <c r="AM607" s="3" t="n"/>
      <c r="AN607" s="3" t="n"/>
      <c r="AO607" s="3" t="n"/>
      <c r="AP607" s="3" t="n"/>
      <c r="AQ607" s="3" t="n"/>
      <c r="AR607" s="3" t="n"/>
      <c r="AS607" s="3" t="n"/>
      <c r="AT607" s="3" t="n">
        <v>5.17029095</v>
      </c>
      <c r="AU607" s="3" t="n">
        <v>4.78060246</v>
      </c>
      <c r="AV607" s="3" t="n">
        <v>4.70329475</v>
      </c>
      <c r="AW607" s="3" t="n">
        <v>5.13883257</v>
      </c>
      <c r="AX607" s="3" t="n">
        <v>5.33758926</v>
      </c>
      <c r="AY607" s="3" t="n">
        <v>5.29536057</v>
      </c>
      <c r="AZ607" s="3" t="n">
        <v>4.97390509</v>
      </c>
      <c r="BA607" s="3" t="n">
        <v>5.18455648</v>
      </c>
      <c r="BB607" s="3" t="n">
        <v>5.95724869</v>
      </c>
      <c r="BC607" s="3" t="n">
        <v>6.84477043</v>
      </c>
      <c r="BD607" s="3" t="n">
        <v>6.59433842</v>
      </c>
      <c r="BE607" s="3" t="n">
        <v>6.0781703</v>
      </c>
      <c r="BF607" s="3" t="n">
        <v>6.09506845</v>
      </c>
      <c r="BG607" s="3" t="n">
        <v>6.28062296</v>
      </c>
      <c r="BH607" s="3" t="n">
        <v>6.36199903</v>
      </c>
      <c r="BI607" s="3" t="n">
        <v>6.64135027</v>
      </c>
      <c r="BJ607" s="3" t="n">
        <v>6.70240974</v>
      </c>
      <c r="BK607" s="3" t="n">
        <v>6.59727097</v>
      </c>
      <c r="BL607" s="3" t="n">
        <v>6.6912818</v>
      </c>
      <c r="BM607" s="3" t="n">
        <v>6.81699181</v>
      </c>
      <c r="BN607" s="3" t="n">
        <v>7.57906532</v>
      </c>
      <c r="BO607" s="3" t="n">
        <v>7.49057293</v>
      </c>
      <c r="BP607" s="3" t="n">
        <v>6.94306278</v>
      </c>
      <c r="BQ607" s="3" t="n"/>
      <c r="BR607" s="34" t="str">
        <f>B607&amp;"|"&amp;D607</f>
        <v>EST|SH.XPD.CHEX.GD.ZS</v>
      </c>
    </row>
    <row r="608">
      <c r="A608" s="3" t="inlineStr">
        <is>
          <t>Ethiopia</t>
        </is>
      </c>
      <c r="B608" s="3" t="inlineStr">
        <is>
          <t>ETH</t>
        </is>
      </c>
      <c r="C608" s="3" t="inlineStr">
        <is>
          <t>Current health expenditure (% of GDP)</t>
        </is>
      </c>
      <c r="D608" s="3" t="inlineStr">
        <is>
          <t>SH.XPD.CHEX.GD.ZS</t>
        </is>
      </c>
      <c r="E608" s="3" t="n">
        <v>2021</v>
      </c>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c r="AD608" s="3" t="n"/>
      <c r="AE608" s="3" t="n"/>
      <c r="AF608" s="3" t="n"/>
      <c r="AG608" s="3" t="n"/>
      <c r="AH608" s="3" t="n"/>
      <c r="AI608" s="3" t="n"/>
      <c r="AJ608" s="3" t="n"/>
      <c r="AK608" s="3" t="n"/>
      <c r="AL608" s="3" t="n"/>
      <c r="AM608" s="3" t="n"/>
      <c r="AN608" s="3" t="n"/>
      <c r="AO608" s="3" t="n"/>
      <c r="AP608" s="3" t="n"/>
      <c r="AQ608" s="3" t="n"/>
      <c r="AR608" s="3" t="n"/>
      <c r="AS608" s="3" t="n"/>
      <c r="AT608" s="3" t="n">
        <v>4.36504698</v>
      </c>
      <c r="AU608" s="3" t="n">
        <v>4.72316694</v>
      </c>
      <c r="AV608" s="3" t="n">
        <v>4.7126298</v>
      </c>
      <c r="AW608" s="3" t="n">
        <v>4.89970922</v>
      </c>
      <c r="AX608" s="3" t="n">
        <v>4.31281853</v>
      </c>
      <c r="AY608" s="3" t="n">
        <v>4.10098124</v>
      </c>
      <c r="AZ608" s="3" t="n">
        <v>4.45757294</v>
      </c>
      <c r="BA608" s="3" t="n">
        <v>5.00128317</v>
      </c>
      <c r="BB608" s="3" t="n">
        <v>4.28063869</v>
      </c>
      <c r="BC608" s="3" t="n">
        <v>4.64983416</v>
      </c>
      <c r="BD608" s="3" t="n">
        <v>5.46637249</v>
      </c>
      <c r="BE608" s="3" t="n">
        <v>4.46897745</v>
      </c>
      <c r="BF608" s="3" t="n">
        <v>4.5395956</v>
      </c>
      <c r="BG608" s="3" t="n">
        <v>4.07506514</v>
      </c>
      <c r="BH608" s="3" t="n">
        <v>4.03365517</v>
      </c>
      <c r="BI608" s="3" t="n">
        <v>3.82316828</v>
      </c>
      <c r="BJ608" s="3" t="n">
        <v>3.60033751</v>
      </c>
      <c r="BK608" s="3" t="n">
        <v>3.45336914</v>
      </c>
      <c r="BL608" s="3" t="n">
        <v>3.30371761</v>
      </c>
      <c r="BM608" s="3" t="n">
        <v>3.23382378</v>
      </c>
      <c r="BN608" s="3" t="n">
        <v>3.48096275</v>
      </c>
      <c r="BO608" s="3" t="n">
        <v>3.20824432</v>
      </c>
      <c r="BP608" s="3" t="n"/>
      <c r="BQ608" s="3" t="n"/>
      <c r="BR608" s="34" t="str">
        <f>B608&amp;"|"&amp;D608</f>
        <v>ETH|SH.XPD.CHEX.GD.ZS</v>
      </c>
    </row>
    <row r="609">
      <c r="A609" s="3" t="inlineStr">
        <is>
          <t>European Union</t>
        </is>
      </c>
      <c r="B609" s="3" t="inlineStr">
        <is>
          <t>EUU</t>
        </is>
      </c>
      <c r="C609" s="3" t="inlineStr">
        <is>
          <t>Current health expenditure (% of GDP)</t>
        </is>
      </c>
      <c r="D609" s="3" t="inlineStr">
        <is>
          <t>SH.XPD.CHEX.GD.ZS</t>
        </is>
      </c>
      <c r="E609" s="3" t="n">
        <v>2021</v>
      </c>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c r="AD609" s="3" t="n"/>
      <c r="AE609" s="3" t="n"/>
      <c r="AF609" s="3" t="n"/>
      <c r="AG609" s="3" t="n"/>
      <c r="AH609" s="3" t="n"/>
      <c r="AI609" s="3" t="n"/>
      <c r="AJ609" s="3" t="n"/>
      <c r="AK609" s="3" t="n"/>
      <c r="AL609" s="3" t="n"/>
      <c r="AM609" s="3" t="n"/>
      <c r="AN609" s="3" t="n"/>
      <c r="AO609" s="3" t="n"/>
      <c r="AP609" s="3" t="n"/>
      <c r="AQ609" s="3" t="n"/>
      <c r="AR609" s="3" t="n"/>
      <c r="AS609" s="3" t="n"/>
      <c r="AT609" s="3" t="n">
        <v>8.43604712524057</v>
      </c>
      <c r="AU609" s="3" t="n">
        <v>8.558084726991263</v>
      </c>
      <c r="AV609" s="3" t="n">
        <v>8.781175487404683</v>
      </c>
      <c r="AW609" s="3" t="n">
        <v>8.996402475913152</v>
      </c>
      <c r="AX609" s="3" t="n">
        <v>9.003199681978174</v>
      </c>
      <c r="AY609" s="3" t="n">
        <v>9.072746422654186</v>
      </c>
      <c r="AZ609" s="3" t="n">
        <v>9.04124008951244</v>
      </c>
      <c r="BA609" s="3" t="n">
        <v>8.929792249697977</v>
      </c>
      <c r="BB609" s="3" t="n">
        <v>9.200278139554452</v>
      </c>
      <c r="BC609" s="3" t="n">
        <v>9.957579580236537</v>
      </c>
      <c r="BD609" s="3" t="n">
        <v>9.896649615414434</v>
      </c>
      <c r="BE609" s="3" t="n">
        <v>9.833599957218402</v>
      </c>
      <c r="BF609" s="3" t="n">
        <v>9.924805661802672</v>
      </c>
      <c r="BG609" s="3" t="n">
        <v>9.982950061930964</v>
      </c>
      <c r="BH609" s="3" t="n">
        <v>10.0076809519282</v>
      </c>
      <c r="BI609" s="3" t="n">
        <v>9.957893109216299</v>
      </c>
      <c r="BJ609" s="3" t="n">
        <v>9.945835546744629</v>
      </c>
      <c r="BK609" s="3" t="n">
        <v>9.897823774257116</v>
      </c>
      <c r="BL609" s="3" t="n">
        <v>9.874150844838603</v>
      </c>
      <c r="BM609" s="3" t="n">
        <v>9.936616441447756</v>
      </c>
      <c r="BN609" s="3" t="n">
        <v>10.87223205835394</v>
      </c>
      <c r="BO609" s="3" t="n">
        <v>10.95035256795695</v>
      </c>
      <c r="BP609" s="3" t="n"/>
      <c r="BQ609" s="3" t="n"/>
      <c r="BR609" s="34" t="str">
        <f>B609&amp;"|"&amp;D609</f>
        <v>EUU|SH.XPD.CHEX.GD.ZS</v>
      </c>
    </row>
    <row r="610">
      <c r="A610" s="3" t="inlineStr">
        <is>
          <t>Fragile and conflict affected situations</t>
        </is>
      </c>
      <c r="B610" s="3" t="inlineStr">
        <is>
          <t>FCS</t>
        </is>
      </c>
      <c r="C610" s="3" t="inlineStr">
        <is>
          <t>Current health expenditure (% of GDP)</t>
        </is>
      </c>
      <c r="D610" s="3" t="inlineStr">
        <is>
          <t>SH.XPD.CHEX.GD.ZS</t>
        </is>
      </c>
      <c r="E610" s="3" t="n">
        <v>2021</v>
      </c>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c r="AD610" s="3" t="n"/>
      <c r="AE610" s="3" t="n"/>
      <c r="AF610" s="3" t="n"/>
      <c r="AG610" s="3" t="n"/>
      <c r="AH610" s="3" t="n"/>
      <c r="AI610" s="3" t="n"/>
      <c r="AJ610" s="3" t="n"/>
      <c r="AK610" s="3" t="n"/>
      <c r="AL610" s="3" t="n"/>
      <c r="AM610" s="3" t="n"/>
      <c r="AN610" s="3" t="n"/>
      <c r="AO610" s="3" t="n"/>
      <c r="AP610" s="3" t="n"/>
      <c r="AQ610" s="3" t="n"/>
      <c r="AR610" s="3" t="n"/>
      <c r="AS610" s="3" t="n"/>
      <c r="AT610" s="3" t="n">
        <v>4.052643048375765</v>
      </c>
      <c r="AU610" s="3" t="n">
        <v>4.399380924694846</v>
      </c>
      <c r="AV610" s="3" t="n">
        <v>4.268389791128651</v>
      </c>
      <c r="AW610" s="3" t="n">
        <v>4.991529874458201</v>
      </c>
      <c r="AX610" s="3" t="n">
        <v>4.770587618991787</v>
      </c>
      <c r="AY610" s="3" t="n">
        <v>4.523559393824909</v>
      </c>
      <c r="AZ610" s="3" t="n">
        <v>4.456586429687861</v>
      </c>
      <c r="BA610" s="3" t="n">
        <v>4.424366684396565</v>
      </c>
      <c r="BB610" s="3" t="n">
        <v>4.11986753060557</v>
      </c>
      <c r="BC610" s="3" t="n">
        <v>4.464534599502707</v>
      </c>
      <c r="BD610" s="3" t="n">
        <v>4.224717499232828</v>
      </c>
      <c r="BE610" s="3" t="n">
        <v>4.135759706849357</v>
      </c>
      <c r="BF610" s="3" t="n">
        <v>4.164794150464758</v>
      </c>
      <c r="BG610" s="3" t="n">
        <v>4.284649984396915</v>
      </c>
      <c r="BH610" s="3" t="n">
        <v>4.224999514910778</v>
      </c>
      <c r="BI610" s="3" t="n">
        <v>4.452833085453758</v>
      </c>
      <c r="BJ610" s="3" t="n">
        <v>4.77983186297821</v>
      </c>
      <c r="BK610" s="3" t="n">
        <v>4.744270210035634</v>
      </c>
      <c r="BL610" s="3" t="n">
        <v>4.443085524158493</v>
      </c>
      <c r="BM610" s="3" t="n">
        <v>4.379815292340886</v>
      </c>
      <c r="BN610" s="3" t="n">
        <v>4.867284127929687</v>
      </c>
      <c r="BO610" s="3" t="n">
        <v>5.164709939136745</v>
      </c>
      <c r="BP610" s="3" t="n"/>
      <c r="BQ610" s="3" t="n"/>
      <c r="BR610" s="34" t="str">
        <f>B610&amp;"|"&amp;D610</f>
        <v>FCS|SH.XPD.CHEX.GD.ZS</v>
      </c>
    </row>
    <row r="611">
      <c r="A611" s="3" t="inlineStr">
        <is>
          <t>Finland</t>
        </is>
      </c>
      <c r="B611" s="3" t="inlineStr">
        <is>
          <t>FIN</t>
        </is>
      </c>
      <c r="C611" s="3" t="inlineStr">
        <is>
          <t>Current health expenditure (% of GDP)</t>
        </is>
      </c>
      <c r="D611" s="3" t="inlineStr">
        <is>
          <t>SH.XPD.CHEX.GD.ZS</t>
        </is>
      </c>
      <c r="E611" s="3" t="n">
        <v>2021</v>
      </c>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c r="AD611" s="3" t="n"/>
      <c r="AE611" s="3" t="n"/>
      <c r="AF611" s="3" t="n"/>
      <c r="AG611" s="3" t="n"/>
      <c r="AH611" s="3" t="n"/>
      <c r="AI611" s="3" t="n"/>
      <c r="AJ611" s="3" t="n"/>
      <c r="AK611" s="3" t="n"/>
      <c r="AL611" s="3" t="n"/>
      <c r="AM611" s="3" t="n"/>
      <c r="AN611" s="3" t="n"/>
      <c r="AO611" s="3" t="n"/>
      <c r="AP611" s="3" t="n"/>
      <c r="AQ611" s="3" t="n"/>
      <c r="AR611" s="3" t="n"/>
      <c r="AS611" s="3" t="n"/>
      <c r="AT611" s="3" t="n">
        <v>7.09</v>
      </c>
      <c r="AU611" s="3" t="n">
        <v>7.25</v>
      </c>
      <c r="AV611" s="3" t="n">
        <v>7.63</v>
      </c>
      <c r="AW611" s="3" t="n">
        <v>7.94</v>
      </c>
      <c r="AX611" s="3" t="n">
        <v>8.06</v>
      </c>
      <c r="AY611" s="3" t="n">
        <v>8.289999999999999</v>
      </c>
      <c r="AZ611" s="3" t="n">
        <v>8.279999999999999</v>
      </c>
      <c r="BA611" s="3" t="n">
        <v>8.08</v>
      </c>
      <c r="BB611" s="3" t="n">
        <v>8.34</v>
      </c>
      <c r="BC611" s="3" t="n">
        <v>9.16</v>
      </c>
      <c r="BD611" s="3" t="n">
        <v>9.140000000000001</v>
      </c>
      <c r="BE611" s="3" t="n">
        <v>9.220000000000001</v>
      </c>
      <c r="BF611" s="3" t="n">
        <v>9.59</v>
      </c>
      <c r="BG611" s="3" t="n">
        <v>9.81</v>
      </c>
      <c r="BH611" s="3" t="n">
        <v>9.779999999999999</v>
      </c>
      <c r="BI611" s="3" t="n">
        <v>9.65</v>
      </c>
      <c r="BJ611" s="3" t="n">
        <v>9.380000000000001</v>
      </c>
      <c r="BK611" s="3" t="n">
        <v>9.130000000000001</v>
      </c>
      <c r="BL611" s="3" t="n">
        <v>9.050000000000001</v>
      </c>
      <c r="BM611" s="3" t="n">
        <v>9.17</v>
      </c>
      <c r="BN611" s="3" t="n">
        <v>9.630000000000001</v>
      </c>
      <c r="BO611" s="3" t="n">
        <v>10.25</v>
      </c>
      <c r="BP611" s="3" t="n"/>
      <c r="BQ611" s="3" t="n"/>
      <c r="BR611" s="34" t="str">
        <f>B611&amp;"|"&amp;D611</f>
        <v>FIN|SH.XPD.CHEX.GD.ZS</v>
      </c>
    </row>
    <row r="612">
      <c r="A612" s="3" t="inlineStr">
        <is>
          <t>Fiji</t>
        </is>
      </c>
      <c r="B612" s="3" t="inlineStr">
        <is>
          <t>FJI</t>
        </is>
      </c>
      <c r="C612" s="3" t="inlineStr">
        <is>
          <t>Current health expenditure (% of GDP)</t>
        </is>
      </c>
      <c r="D612" s="3" t="inlineStr">
        <is>
          <t>SH.XPD.CHEX.GD.ZS</t>
        </is>
      </c>
      <c r="E612" s="3" t="n">
        <v>2021</v>
      </c>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c r="AD612" s="3" t="n"/>
      <c r="AE612" s="3" t="n"/>
      <c r="AF612" s="3" t="n"/>
      <c r="AG612" s="3" t="n"/>
      <c r="AH612" s="3" t="n"/>
      <c r="AI612" s="3" t="n"/>
      <c r="AJ612" s="3" t="n"/>
      <c r="AK612" s="3" t="n"/>
      <c r="AL612" s="3" t="n"/>
      <c r="AM612" s="3" t="n"/>
      <c r="AN612" s="3" t="n"/>
      <c r="AO612" s="3" t="n"/>
      <c r="AP612" s="3" t="n"/>
      <c r="AQ612" s="3" t="n"/>
      <c r="AR612" s="3" t="n"/>
      <c r="AS612" s="3" t="n"/>
      <c r="AT612" s="3" t="n">
        <v>3.42441177</v>
      </c>
      <c r="AU612" s="3" t="n">
        <v>2.90547299</v>
      </c>
      <c r="AV612" s="3" t="n">
        <v>2.98349524</v>
      </c>
      <c r="AW612" s="3" t="n">
        <v>2.97298193</v>
      </c>
      <c r="AX612" s="3" t="n">
        <v>3.25768542</v>
      </c>
      <c r="AY612" s="3" t="n">
        <v>3.25656676</v>
      </c>
      <c r="AZ612" s="3" t="n">
        <v>3.34798193</v>
      </c>
      <c r="BA612" s="3" t="n">
        <v>3.41514993</v>
      </c>
      <c r="BB612" s="3" t="n">
        <v>3.18467116</v>
      </c>
      <c r="BC612" s="3" t="n">
        <v>3.53587627</v>
      </c>
      <c r="BD612" s="3" t="n">
        <v>3.41664124</v>
      </c>
      <c r="BE612" s="3" t="n">
        <v>3.14293504</v>
      </c>
      <c r="BF612" s="3" t="n">
        <v>3.2655499</v>
      </c>
      <c r="BG612" s="3" t="n">
        <v>3.20040679</v>
      </c>
      <c r="BH612" s="3" t="n">
        <v>3.36860466</v>
      </c>
      <c r="BI612" s="3" t="n">
        <v>3.32468939</v>
      </c>
      <c r="BJ612" s="3" t="n">
        <v>3.27979708</v>
      </c>
      <c r="BK612" s="3" t="n">
        <v>3.18689561</v>
      </c>
      <c r="BL612" s="3" t="n">
        <v>4.10572624</v>
      </c>
      <c r="BM612" s="3" t="n">
        <v>4.25136137</v>
      </c>
      <c r="BN612" s="3" t="n">
        <v>4.76918268</v>
      </c>
      <c r="BO612" s="3" t="n">
        <v>5.38085365</v>
      </c>
      <c r="BP612" s="3" t="n"/>
      <c r="BQ612" s="3" t="n"/>
      <c r="BR612" s="34" t="str">
        <f>B612&amp;"|"&amp;D612</f>
        <v>FJI|SH.XPD.CHEX.GD.ZS</v>
      </c>
    </row>
    <row r="613">
      <c r="A613" s="3" t="inlineStr">
        <is>
          <t>France</t>
        </is>
      </c>
      <c r="B613" s="3" t="inlineStr">
        <is>
          <t>FRA</t>
        </is>
      </c>
      <c r="C613" s="3" t="inlineStr">
        <is>
          <t>Current health expenditure (% of GDP)</t>
        </is>
      </c>
      <c r="D613" s="3" t="inlineStr">
        <is>
          <t>SH.XPD.CHEX.GD.ZS</t>
        </is>
      </c>
      <c r="E613" s="3" t="n">
        <v>2021</v>
      </c>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c r="AD613" s="3" t="n"/>
      <c r="AE613" s="3" t="n"/>
      <c r="AF613" s="3" t="n"/>
      <c r="AG613" s="3" t="n"/>
      <c r="AH613" s="3" t="n"/>
      <c r="AI613" s="3" t="n"/>
      <c r="AJ613" s="3" t="n"/>
      <c r="AK613" s="3" t="n"/>
      <c r="AL613" s="3" t="n"/>
      <c r="AM613" s="3" t="n"/>
      <c r="AN613" s="3" t="n"/>
      <c r="AO613" s="3" t="n"/>
      <c r="AP613" s="3" t="n"/>
      <c r="AQ613" s="3" t="n"/>
      <c r="AR613" s="3" t="n"/>
      <c r="AS613" s="3" t="n"/>
      <c r="AT613" s="3" t="n">
        <v>9.584477420000001</v>
      </c>
      <c r="AU613" s="3" t="n">
        <v>9.7056284</v>
      </c>
      <c r="AV613" s="3" t="n">
        <v>10.02218628</v>
      </c>
      <c r="AW613" s="3" t="n">
        <v>10.08283424</v>
      </c>
      <c r="AX613" s="3" t="n">
        <v>10.16429329</v>
      </c>
      <c r="AY613" s="3" t="n">
        <v>10.2148447</v>
      </c>
      <c r="AZ613" s="3" t="n">
        <v>10.38566494</v>
      </c>
      <c r="BA613" s="3" t="n">
        <v>10.31564426</v>
      </c>
      <c r="BB613" s="3" t="n">
        <v>10.50084686</v>
      </c>
      <c r="BC613" s="3" t="n">
        <v>11.28756237</v>
      </c>
      <c r="BD613" s="3" t="n">
        <v>11.22560215</v>
      </c>
      <c r="BE613" s="3" t="n">
        <v>11.18497562</v>
      </c>
      <c r="BF613" s="3" t="n">
        <v>11.29740047</v>
      </c>
      <c r="BG613" s="3" t="n">
        <v>11.39603043</v>
      </c>
      <c r="BH613" s="3" t="n">
        <v>11.53937244</v>
      </c>
      <c r="BI613" s="3" t="n">
        <v>11.44817352</v>
      </c>
      <c r="BJ613" s="3" t="n">
        <v>11.47060013</v>
      </c>
      <c r="BK613" s="3" t="n">
        <v>11.35469437</v>
      </c>
      <c r="BL613" s="3" t="n">
        <v>11.20798969</v>
      </c>
      <c r="BM613" s="3" t="n">
        <v>11.0888586</v>
      </c>
      <c r="BN613" s="3" t="n">
        <v>12.13096142</v>
      </c>
      <c r="BO613" s="3" t="n">
        <v>12.30787277</v>
      </c>
      <c r="BP613" s="3" t="n"/>
      <c r="BQ613" s="3" t="n"/>
      <c r="BR613" s="34" t="str">
        <f>B613&amp;"|"&amp;D613</f>
        <v>FRA|SH.XPD.CHEX.GD.ZS</v>
      </c>
    </row>
    <row r="614">
      <c r="A614" s="3" t="inlineStr">
        <is>
          <t>Faroe Islands</t>
        </is>
      </c>
      <c r="B614" s="3" t="inlineStr">
        <is>
          <t>FRO</t>
        </is>
      </c>
      <c r="C614" s="3" t="inlineStr">
        <is>
          <t>Current health expenditure (% of GDP)</t>
        </is>
      </c>
      <c r="D614" s="3" t="inlineStr">
        <is>
          <t>SH.XPD.CHEX.GD.ZS</t>
        </is>
      </c>
      <c r="E614" s="3" t="inlineStr">
        <is>
          <t>0x2a</t>
        </is>
      </c>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c r="AD614" s="3" t="n"/>
      <c r="AE614" s="3" t="n"/>
      <c r="AF614" s="3" t="n"/>
      <c r="AG614" s="3" t="n"/>
      <c r="AH614" s="3" t="n"/>
      <c r="AI614" s="3" t="n"/>
      <c r="AJ614" s="3" t="n"/>
      <c r="AK614" s="3" t="n"/>
      <c r="AL614" s="3" t="n"/>
      <c r="AM614" s="3" t="n"/>
      <c r="AN614" s="3" t="n"/>
      <c r="AO614" s="3" t="n"/>
      <c r="AP614" s="3" t="n"/>
      <c r="AQ614" s="3" t="n"/>
      <c r="AR614" s="3" t="n"/>
      <c r="AS614" s="3" t="n"/>
      <c r="AT614" s="3" t="n"/>
      <c r="AU614" s="3" t="n"/>
      <c r="AV614" s="3" t="n"/>
      <c r="AW614" s="3" t="n"/>
      <c r="AX614" s="3" t="n"/>
      <c r="AY614" s="3" t="n"/>
      <c r="AZ614" s="3" t="n"/>
      <c r="BA614" s="3" t="n"/>
      <c r="BB614" s="3" t="n"/>
      <c r="BC614" s="3" t="n"/>
      <c r="BD614" s="3" t="n"/>
      <c r="BE614" s="3" t="n"/>
      <c r="BF614" s="3" t="n"/>
      <c r="BG614" s="3" t="n"/>
      <c r="BH614" s="3" t="n"/>
      <c r="BI614" s="3" t="n"/>
      <c r="BJ614" s="3" t="n"/>
      <c r="BK614" s="3" t="n"/>
      <c r="BL614" s="3" t="n"/>
      <c r="BM614" s="3" t="n"/>
      <c r="BN614" s="3" t="n"/>
      <c r="BO614" s="3" t="n"/>
      <c r="BP614" s="3" t="n"/>
      <c r="BQ614" s="3" t="n"/>
      <c r="BR614" s="34" t="str">
        <f>B614&amp;"|"&amp;D614</f>
        <v>FRO|SH.XPD.CHEX.GD.ZS</v>
      </c>
    </row>
    <row r="615">
      <c r="A615" s="3" t="inlineStr">
        <is>
          <t>Micronesia, Fed. Sts.</t>
        </is>
      </c>
      <c r="B615" s="3" t="inlineStr">
        <is>
          <t>FSM</t>
        </is>
      </c>
      <c r="C615" s="3" t="inlineStr">
        <is>
          <t>Current health expenditure (% of GDP)</t>
        </is>
      </c>
      <c r="D615" s="3" t="inlineStr">
        <is>
          <t>SH.XPD.CHEX.GD.ZS</t>
        </is>
      </c>
      <c r="E615" s="3" t="n">
        <v>2021</v>
      </c>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c r="AD615" s="3" t="n"/>
      <c r="AE615" s="3" t="n"/>
      <c r="AF615" s="3" t="n"/>
      <c r="AG615" s="3" t="n"/>
      <c r="AH615" s="3" t="n"/>
      <c r="AI615" s="3" t="n"/>
      <c r="AJ615" s="3" t="n"/>
      <c r="AK615" s="3" t="n"/>
      <c r="AL615" s="3" t="n"/>
      <c r="AM615" s="3" t="n"/>
      <c r="AN615" s="3" t="n"/>
      <c r="AO615" s="3" t="n"/>
      <c r="AP615" s="3" t="n"/>
      <c r="AQ615" s="3" t="n"/>
      <c r="AR615" s="3" t="n"/>
      <c r="AS615" s="3" t="n"/>
      <c r="AT615" s="3" t="n">
        <v>7.76511145</v>
      </c>
      <c r="AU615" s="3" t="n">
        <v>8.452600479999999</v>
      </c>
      <c r="AV615" s="3" t="n">
        <v>7.89720392</v>
      </c>
      <c r="AW615" s="3" t="n">
        <v>9.57150459</v>
      </c>
      <c r="AX615" s="3" t="n">
        <v>12.02715683</v>
      </c>
      <c r="AY615" s="3" t="n">
        <v>17.73306656</v>
      </c>
      <c r="AZ615" s="3" t="n">
        <v>10.74129105</v>
      </c>
      <c r="BA615" s="3" t="n">
        <v>11.0585041</v>
      </c>
      <c r="BB615" s="3" t="n">
        <v>11.99137974</v>
      </c>
      <c r="BC615" s="3" t="n">
        <v>12.55259323</v>
      </c>
      <c r="BD615" s="3" t="n">
        <v>13.10624504</v>
      </c>
      <c r="BE615" s="3" t="n">
        <v>13.09527397</v>
      </c>
      <c r="BF615" s="3" t="n">
        <v>12.27709675</v>
      </c>
      <c r="BG615" s="3" t="n">
        <v>12.10208416</v>
      </c>
      <c r="BH615" s="3" t="n">
        <v>11.72290421</v>
      </c>
      <c r="BI615" s="3" t="n">
        <v>12.46286297</v>
      </c>
      <c r="BJ615" s="3" t="n">
        <v>13.13244915</v>
      </c>
      <c r="BK615" s="3" t="n">
        <v>12.1958313</v>
      </c>
      <c r="BL615" s="3" t="n">
        <v>11.65710258</v>
      </c>
      <c r="BM615" s="3" t="n">
        <v>11.2604599</v>
      </c>
      <c r="BN615" s="3" t="n">
        <v>10.84531593</v>
      </c>
      <c r="BO615" s="3" t="n">
        <v>10.96059132</v>
      </c>
      <c r="BP615" s="3" t="n"/>
      <c r="BQ615" s="3" t="n"/>
      <c r="BR615" s="34" t="str">
        <f>B615&amp;"|"&amp;D615</f>
        <v>FSM|SH.XPD.CHEX.GD.ZS</v>
      </c>
    </row>
    <row r="616">
      <c r="A616" s="3" t="inlineStr">
        <is>
          <t>Gabon</t>
        </is>
      </c>
      <c r="B616" s="3" t="inlineStr">
        <is>
          <t>GAB</t>
        </is>
      </c>
      <c r="C616" s="3" t="inlineStr">
        <is>
          <t>Current health expenditure (% of GDP)</t>
        </is>
      </c>
      <c r="D616" s="3" t="inlineStr">
        <is>
          <t>SH.XPD.CHEX.GD.ZS</t>
        </is>
      </c>
      <c r="E616" s="3" t="n">
        <v>2021</v>
      </c>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c r="AD616" s="3" t="n"/>
      <c r="AE616" s="3" t="n"/>
      <c r="AF616" s="3" t="n"/>
      <c r="AG616" s="3" t="n"/>
      <c r="AH616" s="3" t="n"/>
      <c r="AI616" s="3" t="n"/>
      <c r="AJ616" s="3" t="n"/>
      <c r="AK616" s="3" t="n"/>
      <c r="AL616" s="3" t="n"/>
      <c r="AM616" s="3" t="n"/>
      <c r="AN616" s="3" t="n"/>
      <c r="AO616" s="3" t="n"/>
      <c r="AP616" s="3" t="n"/>
      <c r="AQ616" s="3" t="n"/>
      <c r="AR616" s="3" t="n"/>
      <c r="AS616" s="3" t="n"/>
      <c r="AT616" s="3" t="n">
        <v>2.90186048</v>
      </c>
      <c r="AU616" s="3" t="n">
        <v>3.14902449</v>
      </c>
      <c r="AV616" s="3" t="n">
        <v>3.3248477</v>
      </c>
      <c r="AW616" s="3" t="n">
        <v>3.53258252</v>
      </c>
      <c r="AX616" s="3" t="n">
        <v>3.33045959</v>
      </c>
      <c r="AY616" s="3" t="n">
        <v>2.9324131</v>
      </c>
      <c r="AZ616" s="3" t="n">
        <v>3.14333963</v>
      </c>
      <c r="BA616" s="3" t="n">
        <v>3.16288781</v>
      </c>
      <c r="BB616" s="3" t="n">
        <v>2.78980231</v>
      </c>
      <c r="BC616" s="3" t="n">
        <v>3.83571577</v>
      </c>
      <c r="BD616" s="3" t="n">
        <v>2.47556901</v>
      </c>
      <c r="BE616" s="3" t="n">
        <v>2.55771565</v>
      </c>
      <c r="BF616" s="3" t="n">
        <v>2.42097569</v>
      </c>
      <c r="BG616" s="3" t="n">
        <v>2.84087205</v>
      </c>
      <c r="BH616" s="3" t="n">
        <v>2.53282261</v>
      </c>
      <c r="BI616" s="3" t="n">
        <v>2.65743947</v>
      </c>
      <c r="BJ616" s="3" t="n">
        <v>3.1076982</v>
      </c>
      <c r="BK616" s="3" t="n">
        <v>2.78068876</v>
      </c>
      <c r="BL616" s="3" t="n">
        <v>2.74500418</v>
      </c>
      <c r="BM616" s="3" t="n">
        <v>2.76836324</v>
      </c>
      <c r="BN616" s="3" t="n">
        <v>3.41300368</v>
      </c>
      <c r="BO616" s="3" t="n">
        <v>2.70633149</v>
      </c>
      <c r="BP616" s="3" t="n"/>
      <c r="BQ616" s="3" t="n"/>
      <c r="BR616" s="34" t="str">
        <f>B616&amp;"|"&amp;D616</f>
        <v>GAB|SH.XPD.CHEX.GD.ZS</v>
      </c>
    </row>
    <row r="617">
      <c r="A617" s="3" t="inlineStr">
        <is>
          <t>United Kingdom</t>
        </is>
      </c>
      <c r="B617" s="3" t="inlineStr">
        <is>
          <t>GBR</t>
        </is>
      </c>
      <c r="C617" s="3" t="inlineStr">
        <is>
          <t>Current health expenditure (% of GDP)</t>
        </is>
      </c>
      <c r="D617" s="3" t="inlineStr">
        <is>
          <t>SH.XPD.CHEX.GD.ZS</t>
        </is>
      </c>
      <c r="E617" s="3" t="n">
        <v>2022</v>
      </c>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c r="AD617" s="3" t="n"/>
      <c r="AE617" s="3" t="n"/>
      <c r="AF617" s="3" t="n"/>
      <c r="AG617" s="3" t="n"/>
      <c r="AH617" s="3" t="n"/>
      <c r="AI617" s="3" t="n"/>
      <c r="AJ617" s="3" t="n"/>
      <c r="AK617" s="3" t="n"/>
      <c r="AL617" s="3" t="n"/>
      <c r="AM617" s="3" t="n"/>
      <c r="AN617" s="3" t="n"/>
      <c r="AO617" s="3" t="n"/>
      <c r="AP617" s="3" t="n"/>
      <c r="AQ617" s="3" t="n"/>
      <c r="AR617" s="3" t="n"/>
      <c r="AS617" s="3" t="n"/>
      <c r="AT617" s="3" t="n">
        <v>7.12928009</v>
      </c>
      <c r="AU617" s="3" t="n">
        <v>7.34416342</v>
      </c>
      <c r="AV617" s="3" t="n">
        <v>7.65009499</v>
      </c>
      <c r="AW617" s="3" t="n">
        <v>8.05579185</v>
      </c>
      <c r="AX617" s="3" t="n">
        <v>8.307151790000001</v>
      </c>
      <c r="AY617" s="3" t="n">
        <v>8.36301231</v>
      </c>
      <c r="AZ617" s="3" t="n">
        <v>8.62893772</v>
      </c>
      <c r="BA617" s="3" t="n">
        <v>8.62399578</v>
      </c>
      <c r="BB617" s="3" t="n">
        <v>9.02561569</v>
      </c>
      <c r="BC617" s="3" t="n">
        <v>10.04505444</v>
      </c>
      <c r="BD617" s="3" t="n">
        <v>9.92673969</v>
      </c>
      <c r="BE617" s="3" t="n">
        <v>9.92486763</v>
      </c>
      <c r="BF617" s="3" t="n">
        <v>9.95296001</v>
      </c>
      <c r="BG617" s="3" t="n">
        <v>9.872511859999999</v>
      </c>
      <c r="BH617" s="3" t="n">
        <v>9.862468720000001</v>
      </c>
      <c r="BI617" s="3" t="n">
        <v>9.79776669</v>
      </c>
      <c r="BJ617" s="3" t="n">
        <v>9.728997229999999</v>
      </c>
      <c r="BK617" s="3" t="n">
        <v>9.595878600000001</v>
      </c>
      <c r="BL617" s="3" t="n">
        <v>9.730797770000001</v>
      </c>
      <c r="BM617" s="3" t="n">
        <v>9.95761967</v>
      </c>
      <c r="BN617" s="3" t="n">
        <v>12.15863419</v>
      </c>
      <c r="BO617" s="3" t="n">
        <v>12.36469936</v>
      </c>
      <c r="BP617" s="3" t="n">
        <v>11.34454918</v>
      </c>
      <c r="BQ617" s="3" t="n"/>
      <c r="BR617" s="34" t="str">
        <f>B617&amp;"|"&amp;D617</f>
        <v>GBR|SH.XPD.CHEX.GD.ZS</v>
      </c>
    </row>
    <row r="618">
      <c r="A618" s="3" t="inlineStr">
        <is>
          <t>Georgia</t>
        </is>
      </c>
      <c r="B618" s="3" t="inlineStr">
        <is>
          <t>GEO</t>
        </is>
      </c>
      <c r="C618" s="3" t="inlineStr">
        <is>
          <t>Current health expenditure (% of GDP)</t>
        </is>
      </c>
      <c r="D618" s="3" t="inlineStr">
        <is>
          <t>SH.XPD.CHEX.GD.ZS</t>
        </is>
      </c>
      <c r="E618" s="3" t="n">
        <v>2022</v>
      </c>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c r="AD618" s="3" t="n"/>
      <c r="AE618" s="3" t="n"/>
      <c r="AF618" s="3" t="n"/>
      <c r="AG618" s="3" t="n"/>
      <c r="AH618" s="3" t="n"/>
      <c r="AI618" s="3" t="n"/>
      <c r="AJ618" s="3" t="n"/>
      <c r="AK618" s="3" t="n"/>
      <c r="AL618" s="3" t="n"/>
      <c r="AM618" s="3" t="n"/>
      <c r="AN618" s="3" t="n"/>
      <c r="AO618" s="3" t="n"/>
      <c r="AP618" s="3" t="n"/>
      <c r="AQ618" s="3" t="n"/>
      <c r="AR618" s="3" t="n"/>
      <c r="AS618" s="3" t="n"/>
      <c r="AT618" s="3" t="n">
        <v>7.19</v>
      </c>
      <c r="AU618" s="3" t="n">
        <v>7.17</v>
      </c>
      <c r="AV618" s="3" t="n">
        <v>7.81</v>
      </c>
      <c r="AW618" s="3" t="n">
        <v>8.029999999999999</v>
      </c>
      <c r="AX618" s="3" t="n">
        <v>8.09</v>
      </c>
      <c r="AY618" s="3" t="n">
        <v>8.08</v>
      </c>
      <c r="AZ618" s="3" t="n">
        <v>7.63</v>
      </c>
      <c r="BA618" s="3" t="n">
        <v>7.44</v>
      </c>
      <c r="BB618" s="3" t="n">
        <v>8.44</v>
      </c>
      <c r="BC618" s="3" t="n">
        <v>9.57</v>
      </c>
      <c r="BD618" s="3" t="n">
        <v>9.07</v>
      </c>
      <c r="BE618" s="3" t="n">
        <v>8.01</v>
      </c>
      <c r="BF618" s="3" t="n">
        <v>8.050000000000001</v>
      </c>
      <c r="BG618" s="3" t="n">
        <v>7.88</v>
      </c>
      <c r="BH618" s="3" t="n">
        <v>7.9</v>
      </c>
      <c r="BI618" s="3" t="n">
        <v>7.42</v>
      </c>
      <c r="BJ618" s="3" t="n">
        <v>8</v>
      </c>
      <c r="BK618" s="3" t="n">
        <v>7.06</v>
      </c>
      <c r="BL618" s="3" t="n">
        <v>7.11</v>
      </c>
      <c r="BM618" s="3" t="n">
        <v>6.66</v>
      </c>
      <c r="BN618" s="3" t="n">
        <v>8.43</v>
      </c>
      <c r="BO618" s="3" t="n">
        <v>8.42</v>
      </c>
      <c r="BP618" s="3" t="n">
        <v>7.37</v>
      </c>
      <c r="BQ618" s="3" t="n"/>
      <c r="BR618" s="34" t="str">
        <f>B618&amp;"|"&amp;D618</f>
        <v>GEO|SH.XPD.CHEX.GD.ZS</v>
      </c>
    </row>
    <row r="619">
      <c r="A619" s="3" t="inlineStr">
        <is>
          <t>Ghana</t>
        </is>
      </c>
      <c r="B619" s="3" t="inlineStr">
        <is>
          <t>GHA</t>
        </is>
      </c>
      <c r="C619" s="3" t="inlineStr">
        <is>
          <t>Current health expenditure (% of GDP)</t>
        </is>
      </c>
      <c r="D619" s="3" t="inlineStr">
        <is>
          <t>SH.XPD.CHEX.GD.ZS</t>
        </is>
      </c>
      <c r="E619" s="3" t="n">
        <v>2021</v>
      </c>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c r="AD619" s="3" t="n"/>
      <c r="AE619" s="3" t="n"/>
      <c r="AF619" s="3" t="n"/>
      <c r="AG619" s="3" t="n"/>
      <c r="AH619" s="3" t="n"/>
      <c r="AI619" s="3" t="n"/>
      <c r="AJ619" s="3" t="n"/>
      <c r="AK619" s="3" t="n"/>
      <c r="AL619" s="3" t="n"/>
      <c r="AM619" s="3" t="n"/>
      <c r="AN619" s="3" t="n"/>
      <c r="AO619" s="3" t="n"/>
      <c r="AP619" s="3" t="n"/>
      <c r="AQ619" s="3" t="n"/>
      <c r="AR619" s="3" t="n"/>
      <c r="AS619" s="3" t="n"/>
      <c r="AT619" s="3" t="n">
        <v>2.790447</v>
      </c>
      <c r="AU619" s="3" t="n">
        <v>3.17077661</v>
      </c>
      <c r="AV619" s="3" t="n">
        <v>2.88721824</v>
      </c>
      <c r="AW619" s="3" t="n">
        <v>2.82690215</v>
      </c>
      <c r="AX619" s="3" t="n">
        <v>2.76365352</v>
      </c>
      <c r="AY619" s="3" t="n">
        <v>3.63137388</v>
      </c>
      <c r="AZ619" s="3" t="n">
        <v>3.67091465</v>
      </c>
      <c r="BA619" s="3" t="n">
        <v>3.80248857</v>
      </c>
      <c r="BB619" s="3" t="n">
        <v>3.87511325</v>
      </c>
      <c r="BC619" s="3" t="n">
        <v>4.37879181</v>
      </c>
      <c r="BD619" s="3" t="n">
        <v>4.22398996</v>
      </c>
      <c r="BE619" s="3" t="n">
        <v>4.69264126</v>
      </c>
      <c r="BF619" s="3" t="n">
        <v>4.00799608</v>
      </c>
      <c r="BG619" s="3" t="n">
        <v>4.59225416</v>
      </c>
      <c r="BH619" s="3" t="n">
        <v>4.01644135</v>
      </c>
      <c r="BI619" s="3" t="n">
        <v>4.5429678</v>
      </c>
      <c r="BJ619" s="3" t="n">
        <v>3.39035821</v>
      </c>
      <c r="BK619" s="3" t="n">
        <v>3.73087549</v>
      </c>
      <c r="BL619" s="3" t="n">
        <v>3.80673027</v>
      </c>
      <c r="BM619" s="3" t="n">
        <v>4.29847813</v>
      </c>
      <c r="BN619" s="3" t="n">
        <v>4.01752424</v>
      </c>
      <c r="BO619" s="3" t="n">
        <v>4.15176868</v>
      </c>
      <c r="BP619" s="3" t="n"/>
      <c r="BQ619" s="3" t="n"/>
      <c r="BR619" s="34" t="str">
        <f>B619&amp;"|"&amp;D619</f>
        <v>GHA|SH.XPD.CHEX.GD.ZS</v>
      </c>
    </row>
    <row r="620">
      <c r="A620" s="3" t="inlineStr">
        <is>
          <t>Gibraltar</t>
        </is>
      </c>
      <c r="B620" s="3" t="inlineStr">
        <is>
          <t>GIB</t>
        </is>
      </c>
      <c r="C620" s="3" t="inlineStr">
        <is>
          <t>Current health expenditure (% of GDP)</t>
        </is>
      </c>
      <c r="D620" s="3" t="inlineStr">
        <is>
          <t>SH.XPD.CHEX.GD.ZS</t>
        </is>
      </c>
      <c r="E620" s="3" t="inlineStr">
        <is>
          <t>0x2a</t>
        </is>
      </c>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c r="AD620" s="3" t="n"/>
      <c r="AE620" s="3" t="n"/>
      <c r="AF620" s="3" t="n"/>
      <c r="AG620" s="3" t="n"/>
      <c r="AH620" s="3" t="n"/>
      <c r="AI620" s="3" t="n"/>
      <c r="AJ620" s="3" t="n"/>
      <c r="AK620" s="3" t="n"/>
      <c r="AL620" s="3" t="n"/>
      <c r="AM620" s="3" t="n"/>
      <c r="AN620" s="3" t="n"/>
      <c r="AO620" s="3" t="n"/>
      <c r="AP620" s="3" t="n"/>
      <c r="AQ620" s="3" t="n"/>
      <c r="AR620" s="3" t="n"/>
      <c r="AS620" s="3" t="n"/>
      <c r="AT620" s="3" t="n"/>
      <c r="AU620" s="3" t="n"/>
      <c r="AV620" s="3" t="n"/>
      <c r="AW620" s="3" t="n"/>
      <c r="AX620" s="3" t="n"/>
      <c r="AY620" s="3" t="n"/>
      <c r="AZ620" s="3" t="n"/>
      <c r="BA620" s="3" t="n"/>
      <c r="BB620" s="3" t="n"/>
      <c r="BC620" s="3" t="n"/>
      <c r="BD620" s="3" t="n"/>
      <c r="BE620" s="3" t="n"/>
      <c r="BF620" s="3" t="n"/>
      <c r="BG620" s="3" t="n"/>
      <c r="BH620" s="3" t="n"/>
      <c r="BI620" s="3" t="n"/>
      <c r="BJ620" s="3" t="n"/>
      <c r="BK620" s="3" t="n"/>
      <c r="BL620" s="3" t="n"/>
      <c r="BM620" s="3" t="n"/>
      <c r="BN620" s="3" t="n"/>
      <c r="BO620" s="3" t="n"/>
      <c r="BP620" s="3" t="n"/>
      <c r="BQ620" s="3" t="n"/>
      <c r="BR620" s="34" t="str">
        <f>B620&amp;"|"&amp;D620</f>
        <v>GIB|SH.XPD.CHEX.GD.ZS</v>
      </c>
    </row>
    <row r="621">
      <c r="A621" s="3" t="inlineStr">
        <is>
          <t>Guinea</t>
        </is>
      </c>
      <c r="B621" s="3" t="inlineStr">
        <is>
          <t>GIN</t>
        </is>
      </c>
      <c r="C621" s="3" t="inlineStr">
        <is>
          <t>Current health expenditure (% of GDP)</t>
        </is>
      </c>
      <c r="D621" s="3" t="inlineStr">
        <is>
          <t>SH.XPD.CHEX.GD.ZS</t>
        </is>
      </c>
      <c r="E621" s="3" t="n">
        <v>2021</v>
      </c>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c r="AD621" s="3" t="n"/>
      <c r="AE621" s="3" t="n"/>
      <c r="AF621" s="3" t="n"/>
      <c r="AG621" s="3" t="n"/>
      <c r="AH621" s="3" t="n"/>
      <c r="AI621" s="3" t="n"/>
      <c r="AJ621" s="3" t="n"/>
      <c r="AK621" s="3" t="n"/>
      <c r="AL621" s="3" t="n"/>
      <c r="AM621" s="3" t="n"/>
      <c r="AN621" s="3" t="n"/>
      <c r="AO621" s="3" t="n"/>
      <c r="AP621" s="3" t="n"/>
      <c r="AQ621" s="3" t="n"/>
      <c r="AR621" s="3" t="n"/>
      <c r="AS621" s="3" t="n"/>
      <c r="AT621" s="3" t="n">
        <v>4.74825478</v>
      </c>
      <c r="AU621" s="3" t="n">
        <v>4.89139318</v>
      </c>
      <c r="AV621" s="3" t="n">
        <v>5.36402321</v>
      </c>
      <c r="AW621" s="3" t="n">
        <v>4.78055525</v>
      </c>
      <c r="AX621" s="3" t="n">
        <v>4.78467607</v>
      </c>
      <c r="AY621" s="3" t="n">
        <v>4.04512262</v>
      </c>
      <c r="AZ621" s="3" t="n">
        <v>3.61521959</v>
      </c>
      <c r="BA621" s="3" t="n">
        <v>3.46627593</v>
      </c>
      <c r="BB621" s="3" t="n">
        <v>3.26562262</v>
      </c>
      <c r="BC621" s="3" t="n">
        <v>3.58147597</v>
      </c>
      <c r="BD621" s="3" t="n">
        <v>3.42782617</v>
      </c>
      <c r="BE621" s="3" t="n">
        <v>3.78955102</v>
      </c>
      <c r="BF621" s="3" t="n">
        <v>3.50398517</v>
      </c>
      <c r="BG621" s="3" t="n">
        <v>3.46108699</v>
      </c>
      <c r="BH621" s="3" t="n">
        <v>4.787992</v>
      </c>
      <c r="BI621" s="3" t="n">
        <v>5.80919266</v>
      </c>
      <c r="BJ621" s="3" t="n">
        <v>5.39694929</v>
      </c>
      <c r="BK621" s="3" t="n">
        <v>3.91512918</v>
      </c>
      <c r="BL621" s="3" t="n">
        <v>3.73843002</v>
      </c>
      <c r="BM621" s="3" t="n">
        <v>4.08876228</v>
      </c>
      <c r="BN621" s="3" t="n">
        <v>3.876436</v>
      </c>
      <c r="BO621" s="3" t="n">
        <v>3.75556707</v>
      </c>
      <c r="BP621" s="3" t="n"/>
      <c r="BQ621" s="3" t="n"/>
      <c r="BR621" s="34" t="str">
        <f>B621&amp;"|"&amp;D621</f>
        <v>GIN|SH.XPD.CHEX.GD.ZS</v>
      </c>
    </row>
    <row r="622">
      <c r="A622" s="3" t="inlineStr">
        <is>
          <t>Gambia, The</t>
        </is>
      </c>
      <c r="B622" s="3" t="inlineStr">
        <is>
          <t>GMB</t>
        </is>
      </c>
      <c r="C622" s="3" t="inlineStr">
        <is>
          <t>Current health expenditure (% of GDP)</t>
        </is>
      </c>
      <c r="D622" s="3" t="inlineStr">
        <is>
          <t>SH.XPD.CHEX.GD.ZS</t>
        </is>
      </c>
      <c r="E622" s="3" t="n">
        <v>2021</v>
      </c>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c r="AD622" s="3" t="n"/>
      <c r="AE622" s="3" t="n"/>
      <c r="AF622" s="3" t="n"/>
      <c r="AG622" s="3" t="n"/>
      <c r="AH622" s="3" t="n"/>
      <c r="AI622" s="3" t="n"/>
      <c r="AJ622" s="3" t="n"/>
      <c r="AK622" s="3" t="n"/>
      <c r="AL622" s="3" t="n"/>
      <c r="AM622" s="3" t="n"/>
      <c r="AN622" s="3" t="n"/>
      <c r="AO622" s="3" t="n"/>
      <c r="AP622" s="3" t="n"/>
      <c r="AQ622" s="3" t="n"/>
      <c r="AR622" s="3" t="n"/>
      <c r="AS622" s="3" t="n"/>
      <c r="AT622" s="3" t="n">
        <v>6.65441465</v>
      </c>
      <c r="AU622" s="3" t="n">
        <v>5.63960838</v>
      </c>
      <c r="AV622" s="3" t="n">
        <v>6.27723551</v>
      </c>
      <c r="AW622" s="3" t="n">
        <v>5.32621098</v>
      </c>
      <c r="AX622" s="3" t="n">
        <v>5.42000151</v>
      </c>
      <c r="AY622" s="3" t="n">
        <v>5.38602448</v>
      </c>
      <c r="AZ622" s="3" t="n">
        <v>5.43720865</v>
      </c>
      <c r="BA622" s="3" t="n">
        <v>4.95501947</v>
      </c>
      <c r="BB622" s="3" t="n">
        <v>4.65938807</v>
      </c>
      <c r="BC622" s="3" t="n">
        <v>4.46430683</v>
      </c>
      <c r="BD622" s="3" t="n">
        <v>4.11944056</v>
      </c>
      <c r="BE622" s="3" t="n">
        <v>4.36967373</v>
      </c>
      <c r="BF622" s="3" t="n">
        <v>4.26872253</v>
      </c>
      <c r="BG622" s="3" t="n">
        <v>3.91374874</v>
      </c>
      <c r="BH622" s="3" t="n">
        <v>3.05234575</v>
      </c>
      <c r="BI622" s="3" t="n">
        <v>3.1761291</v>
      </c>
      <c r="BJ622" s="3" t="n">
        <v>3.19523716</v>
      </c>
      <c r="BK622" s="3" t="n">
        <v>3.35449266</v>
      </c>
      <c r="BL622" s="3" t="n">
        <v>3.34384227</v>
      </c>
      <c r="BM622" s="3" t="n">
        <v>3.158566</v>
      </c>
      <c r="BN622" s="3" t="n">
        <v>3.72824287</v>
      </c>
      <c r="BO622" s="3" t="n">
        <v>3.18962693</v>
      </c>
      <c r="BP622" s="3" t="n"/>
      <c r="BQ622" s="3" t="n"/>
      <c r="BR622" s="34" t="str">
        <f>B622&amp;"|"&amp;D622</f>
        <v>GMB|SH.XPD.CHEX.GD.ZS</v>
      </c>
    </row>
    <row r="623">
      <c r="A623" s="3" t="inlineStr">
        <is>
          <t>Guinea-Bissau</t>
        </is>
      </c>
      <c r="B623" s="3" t="inlineStr">
        <is>
          <t>GNB</t>
        </is>
      </c>
      <c r="C623" s="3" t="inlineStr">
        <is>
          <t>Current health expenditure (% of GDP)</t>
        </is>
      </c>
      <c r="D623" s="3" t="inlineStr">
        <is>
          <t>SH.XPD.CHEX.GD.ZS</t>
        </is>
      </c>
      <c r="E623" s="3" t="n">
        <v>2021</v>
      </c>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c r="AD623" s="3" t="n"/>
      <c r="AE623" s="3" t="n"/>
      <c r="AF623" s="3" t="n"/>
      <c r="AG623" s="3" t="n"/>
      <c r="AH623" s="3" t="n"/>
      <c r="AI623" s="3" t="n"/>
      <c r="AJ623" s="3" t="n"/>
      <c r="AK623" s="3" t="n"/>
      <c r="AL623" s="3" t="n"/>
      <c r="AM623" s="3" t="n"/>
      <c r="AN623" s="3" t="n"/>
      <c r="AO623" s="3" t="n"/>
      <c r="AP623" s="3" t="n"/>
      <c r="AQ623" s="3" t="n"/>
      <c r="AR623" s="3" t="n"/>
      <c r="AS623" s="3" t="n"/>
      <c r="AT623" s="3" t="n">
        <v>4.18953228</v>
      </c>
      <c r="AU623" s="3" t="n">
        <v>4.53104782</v>
      </c>
      <c r="AV623" s="3" t="n">
        <v>3.96902514</v>
      </c>
      <c r="AW623" s="3" t="n">
        <v>3.53315258</v>
      </c>
      <c r="AX623" s="3" t="n">
        <v>4.27734661</v>
      </c>
      <c r="AY623" s="3" t="n">
        <v>4.5516243</v>
      </c>
      <c r="AZ623" s="3" t="n">
        <v>5.0809288</v>
      </c>
      <c r="BA623" s="3" t="n">
        <v>5.03941393</v>
      </c>
      <c r="BB623" s="3" t="n">
        <v>5.45864058</v>
      </c>
      <c r="BC623" s="3" t="n">
        <v>4.73428679</v>
      </c>
      <c r="BD623" s="3" t="n">
        <v>5.26704073</v>
      </c>
      <c r="BE623" s="3" t="n">
        <v>6.21634817</v>
      </c>
      <c r="BF623" s="3" t="n">
        <v>5.94134808</v>
      </c>
      <c r="BG623" s="3" t="n">
        <v>7.03943443</v>
      </c>
      <c r="BH623" s="3" t="n">
        <v>9.96897411</v>
      </c>
      <c r="BI623" s="3" t="n">
        <v>8.13228226</v>
      </c>
      <c r="BJ623" s="3" t="n">
        <v>8.328814510000001</v>
      </c>
      <c r="BK623" s="3" t="n">
        <v>7.00049543</v>
      </c>
      <c r="BL623" s="3" t="n">
        <v>7.28130722</v>
      </c>
      <c r="BM623" s="3" t="n">
        <v>7.16052532</v>
      </c>
      <c r="BN623" s="3" t="n">
        <v>9.021392820000001</v>
      </c>
      <c r="BO623" s="3" t="n">
        <v>8.2233429</v>
      </c>
      <c r="BP623" s="3" t="n"/>
      <c r="BQ623" s="3" t="n"/>
      <c r="BR623" s="34" t="str">
        <f>B623&amp;"|"&amp;D623</f>
        <v>GNB|SH.XPD.CHEX.GD.ZS</v>
      </c>
    </row>
    <row r="624">
      <c r="A624" s="3" t="inlineStr">
        <is>
          <t>Equatorial Guinea</t>
        </is>
      </c>
      <c r="B624" s="3" t="inlineStr">
        <is>
          <t>GNQ</t>
        </is>
      </c>
      <c r="C624" s="3" t="inlineStr">
        <is>
          <t>Current health expenditure (% of GDP)</t>
        </is>
      </c>
      <c r="D624" s="3" t="inlineStr">
        <is>
          <t>SH.XPD.CHEX.GD.ZS</t>
        </is>
      </c>
      <c r="E624" s="3" t="n">
        <v>2021</v>
      </c>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c r="AD624" s="3" t="n"/>
      <c r="AE624" s="3" t="n"/>
      <c r="AF624" s="3" t="n"/>
      <c r="AG624" s="3" t="n"/>
      <c r="AH624" s="3" t="n"/>
      <c r="AI624" s="3" t="n"/>
      <c r="AJ624" s="3" t="n"/>
      <c r="AK624" s="3" t="n"/>
      <c r="AL624" s="3" t="n"/>
      <c r="AM624" s="3" t="n"/>
      <c r="AN624" s="3" t="n"/>
      <c r="AO624" s="3" t="n"/>
      <c r="AP624" s="3" t="n"/>
      <c r="AQ624" s="3" t="n"/>
      <c r="AR624" s="3" t="n"/>
      <c r="AS624" s="3" t="n"/>
      <c r="AT624" s="3" t="n">
        <v>1.10720015</v>
      </c>
      <c r="AU624" s="3" t="n">
        <v>1.20301282</v>
      </c>
      <c r="AV624" s="3" t="n">
        <v>2.74982452</v>
      </c>
      <c r="AW624" s="3" t="n">
        <v>1.82749987</v>
      </c>
      <c r="AX624" s="3" t="n">
        <v>1.45293343</v>
      </c>
      <c r="AY624" s="3" t="n">
        <v>1.29643106</v>
      </c>
      <c r="AZ624" s="3" t="n">
        <v>1.29171956</v>
      </c>
      <c r="BA624" s="3" t="n">
        <v>1.30166054</v>
      </c>
      <c r="BB624" s="3" t="n">
        <v>1.11555648</v>
      </c>
      <c r="BC624" s="3" t="n">
        <v>1.76790214</v>
      </c>
      <c r="BD624" s="3" t="n">
        <v>1.62134683</v>
      </c>
      <c r="BE624" s="3" t="n">
        <v>1.42923808</v>
      </c>
      <c r="BF624" s="3" t="n">
        <v>1.51459265</v>
      </c>
      <c r="BG624" s="3" t="n">
        <v>1.64174569</v>
      </c>
      <c r="BH624" s="3" t="n">
        <v>1.75401485</v>
      </c>
      <c r="BI624" s="3" t="n">
        <v>2.34058356</v>
      </c>
      <c r="BJ624" s="3" t="n">
        <v>2.8594172</v>
      </c>
      <c r="BK624" s="3" t="n">
        <v>2.74714279</v>
      </c>
      <c r="BL624" s="3" t="n">
        <v>2.85223937</v>
      </c>
      <c r="BM624" s="3" t="n">
        <v>3.16833544</v>
      </c>
      <c r="BN624" s="3" t="n">
        <v>3.89984655</v>
      </c>
      <c r="BO624" s="3" t="n">
        <v>3.40450907</v>
      </c>
      <c r="BP624" s="3" t="n"/>
      <c r="BQ624" s="3" t="n"/>
      <c r="BR624" s="34" t="str">
        <f>B624&amp;"|"&amp;D624</f>
        <v>GNQ|SH.XPD.CHEX.GD.ZS</v>
      </c>
    </row>
    <row r="625">
      <c r="A625" s="3" t="inlineStr">
        <is>
          <t>Greece</t>
        </is>
      </c>
      <c r="B625" s="3" t="inlineStr">
        <is>
          <t>GRC</t>
        </is>
      </c>
      <c r="C625" s="3" t="inlineStr">
        <is>
          <t>Current health expenditure (% of GDP)</t>
        </is>
      </c>
      <c r="D625" s="3" t="inlineStr">
        <is>
          <t>SH.XPD.CHEX.GD.ZS</t>
        </is>
      </c>
      <c r="E625" s="3" t="n">
        <v>2021</v>
      </c>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c r="AD625" s="3" t="n"/>
      <c r="AE625" s="3" t="n"/>
      <c r="AF625" s="3" t="n"/>
      <c r="AG625" s="3" t="n"/>
      <c r="AH625" s="3" t="n"/>
      <c r="AI625" s="3" t="n"/>
      <c r="AJ625" s="3" t="n"/>
      <c r="AK625" s="3" t="n"/>
      <c r="AL625" s="3" t="n"/>
      <c r="AM625" s="3" t="n"/>
      <c r="AN625" s="3" t="n"/>
      <c r="AO625" s="3" t="n"/>
      <c r="AP625" s="3" t="n"/>
      <c r="AQ625" s="3" t="n"/>
      <c r="AR625" s="3" t="n"/>
      <c r="AS625" s="3" t="n"/>
      <c r="AT625" s="3" t="n">
        <v>7.24332523</v>
      </c>
      <c r="AU625" s="3" t="n">
        <v>7.9878397</v>
      </c>
      <c r="AV625" s="3" t="n">
        <v>8.233779910000001</v>
      </c>
      <c r="AW625" s="3" t="n">
        <v>8.449155810000001</v>
      </c>
      <c r="AX625" s="3" t="n">
        <v>8.093904500000001</v>
      </c>
      <c r="AY625" s="3" t="n">
        <v>8.564669609999999</v>
      </c>
      <c r="AZ625" s="3" t="n">
        <v>8.25866985</v>
      </c>
      <c r="BA625" s="3" t="n">
        <v>8.39808273</v>
      </c>
      <c r="BB625" s="3" t="n">
        <v>8.827741619999999</v>
      </c>
      <c r="BC625" s="3" t="n">
        <v>9.406885150000001</v>
      </c>
      <c r="BD625" s="3" t="n">
        <v>9.59662342</v>
      </c>
      <c r="BE625" s="3" t="n">
        <v>9.19330311</v>
      </c>
      <c r="BF625" s="3" t="n">
        <v>8.924155239999999</v>
      </c>
      <c r="BG625" s="3" t="n">
        <v>8.43796444</v>
      </c>
      <c r="BH625" s="3" t="n">
        <v>7.89141178</v>
      </c>
      <c r="BI625" s="3" t="n">
        <v>8.220045089999999</v>
      </c>
      <c r="BJ625" s="3" t="n">
        <v>8.448746679999999</v>
      </c>
      <c r="BK625" s="3" t="n">
        <v>8.135158540000001</v>
      </c>
      <c r="BL625" s="3" t="n">
        <v>8.120243070000001</v>
      </c>
      <c r="BM625" s="3" t="n">
        <v>8.19811249</v>
      </c>
      <c r="BN625" s="3" t="n">
        <v>9.50363827</v>
      </c>
      <c r="BO625" s="3" t="n">
        <v>9.172987940000001</v>
      </c>
      <c r="BP625" s="3" t="n"/>
      <c r="BQ625" s="3" t="n"/>
      <c r="BR625" s="34" t="str">
        <f>B625&amp;"|"&amp;D625</f>
        <v>GRC|SH.XPD.CHEX.GD.ZS</v>
      </c>
    </row>
    <row r="626">
      <c r="A626" s="3" t="inlineStr">
        <is>
          <t>Grenada</t>
        </is>
      </c>
      <c r="B626" s="3" t="inlineStr">
        <is>
          <t>GRD</t>
        </is>
      </c>
      <c r="C626" s="3" t="inlineStr">
        <is>
          <t>Current health expenditure (% of GDP)</t>
        </is>
      </c>
      <c r="D626" s="3" t="inlineStr">
        <is>
          <t>SH.XPD.CHEX.GD.ZS</t>
        </is>
      </c>
      <c r="E626" s="3" t="n">
        <v>2021</v>
      </c>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c r="AD626" s="3" t="n"/>
      <c r="AE626" s="3" t="n"/>
      <c r="AF626" s="3" t="n"/>
      <c r="AG626" s="3" t="n"/>
      <c r="AH626" s="3" t="n"/>
      <c r="AI626" s="3" t="n"/>
      <c r="AJ626" s="3" t="n"/>
      <c r="AK626" s="3" t="n"/>
      <c r="AL626" s="3" t="n"/>
      <c r="AM626" s="3" t="n"/>
      <c r="AN626" s="3" t="n"/>
      <c r="AO626" s="3" t="n"/>
      <c r="AP626" s="3" t="n"/>
      <c r="AQ626" s="3" t="n"/>
      <c r="AR626" s="3" t="n"/>
      <c r="AS626" s="3" t="n"/>
      <c r="AT626" s="3" t="n">
        <v>5.35886383</v>
      </c>
      <c r="AU626" s="3" t="n">
        <v>5.62456989</v>
      </c>
      <c r="AV626" s="3" t="n">
        <v>6.17569733</v>
      </c>
      <c r="AW626" s="3" t="n">
        <v>5.28485727</v>
      </c>
      <c r="AX626" s="3" t="n">
        <v>5.36568451</v>
      </c>
      <c r="AY626" s="3" t="n">
        <v>5.14460278</v>
      </c>
      <c r="AZ626" s="3" t="n">
        <v>5.11352158</v>
      </c>
      <c r="BA626" s="3" t="n">
        <v>5.23867893</v>
      </c>
      <c r="BB626" s="3" t="n">
        <v>5.386199</v>
      </c>
      <c r="BC626" s="3" t="n">
        <v>5.43471003</v>
      </c>
      <c r="BD626" s="3" t="n">
        <v>5.4188118</v>
      </c>
      <c r="BE626" s="3" t="n">
        <v>5.80423355</v>
      </c>
      <c r="BF626" s="3" t="n">
        <v>5.82235765</v>
      </c>
      <c r="BG626" s="3" t="n">
        <v>5.62652922</v>
      </c>
      <c r="BH626" s="3" t="n">
        <v>4.77353573</v>
      </c>
      <c r="BI626" s="3" t="n">
        <v>4.64675617</v>
      </c>
      <c r="BJ626" s="3" t="n">
        <v>4.43910027</v>
      </c>
      <c r="BK626" s="3" t="n">
        <v>4.65701056</v>
      </c>
      <c r="BL626" s="3" t="n">
        <v>4.58373737</v>
      </c>
      <c r="BM626" s="3" t="n">
        <v>4.93189621</v>
      </c>
      <c r="BN626" s="3" t="n">
        <v>5.55900049</v>
      </c>
      <c r="BO626" s="3" t="n">
        <v>5.6984539</v>
      </c>
      <c r="BP626" s="3" t="n"/>
      <c r="BQ626" s="3" t="n"/>
      <c r="BR626" s="34" t="str">
        <f>B626&amp;"|"&amp;D626</f>
        <v>GRD|SH.XPD.CHEX.GD.ZS</v>
      </c>
    </row>
    <row r="627">
      <c r="A627" s="3" t="inlineStr">
        <is>
          <t>Greenland</t>
        </is>
      </c>
      <c r="B627" s="3" t="inlineStr">
        <is>
          <t>GRL</t>
        </is>
      </c>
      <c r="C627" s="3" t="inlineStr">
        <is>
          <t>Current health expenditure (% of GDP)</t>
        </is>
      </c>
      <c r="D627" s="3" t="inlineStr">
        <is>
          <t>SH.XPD.CHEX.GD.ZS</t>
        </is>
      </c>
      <c r="E627" s="3" t="inlineStr">
        <is>
          <t>0x2a</t>
        </is>
      </c>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c r="AD627" s="3" t="n"/>
      <c r="AE627" s="3" t="n"/>
      <c r="AF627" s="3" t="n"/>
      <c r="AG627" s="3" t="n"/>
      <c r="AH627" s="3" t="n"/>
      <c r="AI627" s="3" t="n"/>
      <c r="AJ627" s="3" t="n"/>
      <c r="AK627" s="3" t="n"/>
      <c r="AL627" s="3" t="n"/>
      <c r="AM627" s="3" t="n"/>
      <c r="AN627" s="3" t="n"/>
      <c r="AO627" s="3" t="n"/>
      <c r="AP627" s="3" t="n"/>
      <c r="AQ627" s="3" t="n"/>
      <c r="AR627" s="3" t="n"/>
      <c r="AS627" s="3" t="n"/>
      <c r="AT627" s="3" t="n"/>
      <c r="AU627" s="3" t="n"/>
      <c r="AV627" s="3" t="n"/>
      <c r="AW627" s="3" t="n"/>
      <c r="AX627" s="3" t="n"/>
      <c r="AY627" s="3" t="n"/>
      <c r="AZ627" s="3" t="n"/>
      <c r="BA627" s="3" t="n"/>
      <c r="BB627" s="3" t="n"/>
      <c r="BC627" s="3" t="n"/>
      <c r="BD627" s="3" t="n"/>
      <c r="BE627" s="3" t="n"/>
      <c r="BF627" s="3" t="n"/>
      <c r="BG627" s="3" t="n"/>
      <c r="BH627" s="3" t="n"/>
      <c r="BI627" s="3" t="n"/>
      <c r="BJ627" s="3" t="n"/>
      <c r="BK627" s="3" t="n"/>
      <c r="BL627" s="3" t="n"/>
      <c r="BM627" s="3" t="n"/>
      <c r="BN627" s="3" t="n"/>
      <c r="BO627" s="3" t="n"/>
      <c r="BP627" s="3" t="n"/>
      <c r="BQ627" s="3" t="n"/>
      <c r="BR627" s="34" t="str">
        <f>B627&amp;"|"&amp;D627</f>
        <v>GRL|SH.XPD.CHEX.GD.ZS</v>
      </c>
    </row>
    <row r="628">
      <c r="A628" s="3" t="inlineStr">
        <is>
          <t>Guatemala</t>
        </is>
      </c>
      <c r="B628" s="3" t="inlineStr">
        <is>
          <t>GTM</t>
        </is>
      </c>
      <c r="C628" s="3" t="inlineStr">
        <is>
          <t>Current health expenditure (% of GDP)</t>
        </is>
      </c>
      <c r="D628" s="3" t="inlineStr">
        <is>
          <t>SH.XPD.CHEX.GD.ZS</t>
        </is>
      </c>
      <c r="E628" s="3" t="n">
        <v>2021</v>
      </c>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c r="AD628" s="3" t="n"/>
      <c r="AE628" s="3" t="n"/>
      <c r="AF628" s="3" t="n"/>
      <c r="AG628" s="3" t="n"/>
      <c r="AH628" s="3" t="n"/>
      <c r="AI628" s="3" t="n"/>
      <c r="AJ628" s="3" t="n"/>
      <c r="AK628" s="3" t="n"/>
      <c r="AL628" s="3" t="n"/>
      <c r="AM628" s="3" t="n"/>
      <c r="AN628" s="3" t="n"/>
      <c r="AO628" s="3" t="n"/>
      <c r="AP628" s="3" t="n"/>
      <c r="AQ628" s="3" t="n"/>
      <c r="AR628" s="3" t="n"/>
      <c r="AS628" s="3" t="n"/>
      <c r="AT628" s="3" t="n">
        <v>5.39686108</v>
      </c>
      <c r="AU628" s="3" t="n">
        <v>6.07023716</v>
      </c>
      <c r="AV628" s="3" t="n">
        <v>6.01301289</v>
      </c>
      <c r="AW628" s="3" t="n">
        <v>6.15306854</v>
      </c>
      <c r="AX628" s="3" t="n">
        <v>6.26182795</v>
      </c>
      <c r="AY628" s="3" t="n">
        <v>6.14826393</v>
      </c>
      <c r="AZ628" s="3" t="n">
        <v>6.36362219</v>
      </c>
      <c r="BA628" s="3" t="n">
        <v>6.1918335</v>
      </c>
      <c r="BB628" s="3" t="n">
        <v>6.08129978</v>
      </c>
      <c r="BC628" s="3" t="n">
        <v>6.33938646</v>
      </c>
      <c r="BD628" s="3" t="n">
        <v>6.1247797</v>
      </c>
      <c r="BE628" s="3" t="n">
        <v>5.96306896</v>
      </c>
      <c r="BF628" s="3" t="n">
        <v>6.07316971</v>
      </c>
      <c r="BG628" s="3" t="n">
        <v>5.77188921</v>
      </c>
      <c r="BH628" s="3" t="n">
        <v>5.8885684</v>
      </c>
      <c r="BI628" s="3" t="n">
        <v>6.00602007</v>
      </c>
      <c r="BJ628" s="3" t="n">
        <v>6.07008219</v>
      </c>
      <c r="BK628" s="3" t="n">
        <v>6.13563824</v>
      </c>
      <c r="BL628" s="3" t="n">
        <v>6.10662699</v>
      </c>
      <c r="BM628" s="3" t="n">
        <v>6.17457819</v>
      </c>
      <c r="BN628" s="3" t="n">
        <v>6.46693325</v>
      </c>
      <c r="BO628" s="3" t="n">
        <v>6.9008255</v>
      </c>
      <c r="BP628" s="3" t="n"/>
      <c r="BQ628" s="3" t="n"/>
      <c r="BR628" s="34" t="str">
        <f>B628&amp;"|"&amp;D628</f>
        <v>GTM|SH.XPD.CHEX.GD.ZS</v>
      </c>
    </row>
    <row r="629">
      <c r="A629" s="3" t="inlineStr">
        <is>
          <t>Guam</t>
        </is>
      </c>
      <c r="B629" s="3" t="inlineStr">
        <is>
          <t>GUM</t>
        </is>
      </c>
      <c r="C629" s="3" t="inlineStr">
        <is>
          <t>Current health expenditure (% of GDP)</t>
        </is>
      </c>
      <c r="D629" s="3" t="inlineStr">
        <is>
          <t>SH.XPD.CHEX.GD.ZS</t>
        </is>
      </c>
      <c r="E629" s="3" t="inlineStr">
        <is>
          <t>0x2a</t>
        </is>
      </c>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c r="AD629" s="3" t="n"/>
      <c r="AE629" s="3" t="n"/>
      <c r="AF629" s="3" t="n"/>
      <c r="AG629" s="3" t="n"/>
      <c r="AH629" s="3" t="n"/>
      <c r="AI629" s="3" t="n"/>
      <c r="AJ629" s="3" t="n"/>
      <c r="AK629" s="3" t="n"/>
      <c r="AL629" s="3" t="n"/>
      <c r="AM629" s="3" t="n"/>
      <c r="AN629" s="3" t="n"/>
      <c r="AO629" s="3" t="n"/>
      <c r="AP629" s="3" t="n"/>
      <c r="AQ629" s="3" t="n"/>
      <c r="AR629" s="3" t="n"/>
      <c r="AS629" s="3" t="n"/>
      <c r="AT629" s="3" t="n"/>
      <c r="AU629" s="3" t="n"/>
      <c r="AV629" s="3" t="n"/>
      <c r="AW629" s="3" t="n"/>
      <c r="AX629" s="3" t="n"/>
      <c r="AY629" s="3" t="n"/>
      <c r="AZ629" s="3" t="n"/>
      <c r="BA629" s="3" t="n"/>
      <c r="BB629" s="3" t="n"/>
      <c r="BC629" s="3" t="n"/>
      <c r="BD629" s="3" t="n"/>
      <c r="BE629" s="3" t="n"/>
      <c r="BF629" s="3" t="n"/>
      <c r="BG629" s="3" t="n"/>
      <c r="BH629" s="3" t="n"/>
      <c r="BI629" s="3" t="n"/>
      <c r="BJ629" s="3" t="n"/>
      <c r="BK629" s="3" t="n"/>
      <c r="BL629" s="3" t="n"/>
      <c r="BM629" s="3" t="n"/>
      <c r="BN629" s="3" t="n"/>
      <c r="BO629" s="3" t="n"/>
      <c r="BP629" s="3" t="n"/>
      <c r="BQ629" s="3" t="n"/>
      <c r="BR629" s="34" t="str">
        <f>B629&amp;"|"&amp;D629</f>
        <v>GUM|SH.XPD.CHEX.GD.ZS</v>
      </c>
    </row>
    <row r="630">
      <c r="A630" s="3" t="inlineStr">
        <is>
          <t>Guyana</t>
        </is>
      </c>
      <c r="B630" s="3" t="inlineStr">
        <is>
          <t>GUY</t>
        </is>
      </c>
      <c r="C630" s="3" t="inlineStr">
        <is>
          <t>Current health expenditure (% of GDP)</t>
        </is>
      </c>
      <c r="D630" s="3" t="inlineStr">
        <is>
          <t>SH.XPD.CHEX.GD.ZS</t>
        </is>
      </c>
      <c r="E630" s="3" t="n">
        <v>2021</v>
      </c>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c r="AD630" s="3" t="n"/>
      <c r="AE630" s="3" t="n"/>
      <c r="AF630" s="3" t="n"/>
      <c r="AG630" s="3" t="n"/>
      <c r="AH630" s="3" t="n"/>
      <c r="AI630" s="3" t="n"/>
      <c r="AJ630" s="3" t="n"/>
      <c r="AK630" s="3" t="n"/>
      <c r="AL630" s="3" t="n"/>
      <c r="AM630" s="3" t="n"/>
      <c r="AN630" s="3" t="n"/>
      <c r="AO630" s="3" t="n"/>
      <c r="AP630" s="3" t="n"/>
      <c r="AQ630" s="3" t="n"/>
      <c r="AR630" s="3" t="n"/>
      <c r="AS630" s="3" t="n"/>
      <c r="AT630" s="3" t="n">
        <v>3.18737936</v>
      </c>
      <c r="AU630" s="3" t="n">
        <v>3.05506778</v>
      </c>
      <c r="AV630" s="3" t="n">
        <v>3.19353795</v>
      </c>
      <c r="AW630" s="3" t="n">
        <v>3.26884198</v>
      </c>
      <c r="AX630" s="3" t="n">
        <v>3.43770432</v>
      </c>
      <c r="AY630" s="3" t="n">
        <v>3.79409742</v>
      </c>
      <c r="AZ630" s="3" t="n">
        <v>3.93144464</v>
      </c>
      <c r="BA630" s="3" t="n">
        <v>4.28126192</v>
      </c>
      <c r="BB630" s="3" t="n">
        <v>4.20242214</v>
      </c>
      <c r="BC630" s="3" t="n">
        <v>4.35117149</v>
      </c>
      <c r="BD630" s="3" t="n">
        <v>4.21897697</v>
      </c>
      <c r="BE630" s="3" t="n">
        <v>4.17213488</v>
      </c>
      <c r="BF630" s="3" t="n">
        <v>3.7081871</v>
      </c>
      <c r="BG630" s="3" t="n">
        <v>3.80231309</v>
      </c>
      <c r="BH630" s="3" t="n">
        <v>3.94755435</v>
      </c>
      <c r="BI630" s="3" t="n">
        <v>4.02264786</v>
      </c>
      <c r="BJ630" s="3" t="n">
        <v>4.01842117</v>
      </c>
      <c r="BK630" s="3" t="n">
        <v>4.3191123</v>
      </c>
      <c r="BL630" s="3" t="n">
        <v>4.90492535</v>
      </c>
      <c r="BM630" s="3" t="n">
        <v>4.90331507</v>
      </c>
      <c r="BN630" s="3" t="n">
        <v>5.50584173</v>
      </c>
      <c r="BO630" s="3" t="n">
        <v>4.94385052</v>
      </c>
      <c r="BP630" s="3" t="n"/>
      <c r="BQ630" s="3" t="n"/>
      <c r="BR630" s="34" t="str">
        <f>B630&amp;"|"&amp;D630</f>
        <v>GUY|SH.XPD.CHEX.GD.ZS</v>
      </c>
    </row>
    <row r="631">
      <c r="A631" s="3" t="inlineStr">
        <is>
          <t>High income</t>
        </is>
      </c>
      <c r="B631" s="3" t="inlineStr">
        <is>
          <t>HIC</t>
        </is>
      </c>
      <c r="C631" s="3" t="inlineStr">
        <is>
          <t>Current health expenditure (% of GDP)</t>
        </is>
      </c>
      <c r="D631" s="3" t="inlineStr">
        <is>
          <t>SH.XPD.CHEX.GD.ZS</t>
        </is>
      </c>
      <c r="E631" s="3" t="n">
        <v>2021</v>
      </c>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c r="AD631" s="3" t="n"/>
      <c r="AE631" s="3" t="n"/>
      <c r="AF631" s="3" t="n"/>
      <c r="AG631" s="3" t="n"/>
      <c r="AH631" s="3" t="n"/>
      <c r="AI631" s="3" t="n"/>
      <c r="AJ631" s="3" t="n"/>
      <c r="AK631" s="3" t="n"/>
      <c r="AL631" s="3" t="n"/>
      <c r="AM631" s="3" t="n"/>
      <c r="AN631" s="3" t="n"/>
      <c r="AO631" s="3" t="n"/>
      <c r="AP631" s="3" t="n"/>
      <c r="AQ631" s="3" t="n"/>
      <c r="AR631" s="3" t="n"/>
      <c r="AS631" s="3" t="n"/>
      <c r="AT631" s="3" t="n">
        <v>9.36471114278193</v>
      </c>
      <c r="AU631" s="3" t="n">
        <v>9.832979107419936</v>
      </c>
      <c r="AV631" s="3" t="n">
        <v>10.2529666063488</v>
      </c>
      <c r="AW631" s="3" t="n">
        <v>10.42330881757031</v>
      </c>
      <c r="AX631" s="3" t="n">
        <v>10.34349041998687</v>
      </c>
      <c r="AY631" s="3" t="n">
        <v>10.36436295461413</v>
      </c>
      <c r="AZ631" s="3" t="n">
        <v>10.39682456675013</v>
      </c>
      <c r="BA631" s="3" t="n">
        <v>10.33273281679253</v>
      </c>
      <c r="BB631" s="3" t="n">
        <v>10.46433326759067</v>
      </c>
      <c r="BC631" s="3" t="n">
        <v>11.46533230137779</v>
      </c>
      <c r="BD631" s="3" t="n">
        <v>11.31490227928906</v>
      </c>
      <c r="BE631" s="3" t="n">
        <v>11.26606691277156</v>
      </c>
      <c r="BF631" s="3" t="n">
        <v>11.36876105654786</v>
      </c>
      <c r="BG631" s="3" t="n">
        <v>11.38028440613981</v>
      </c>
      <c r="BH631" s="3" t="n">
        <v>11.59117875252455</v>
      </c>
      <c r="BI631" s="3" t="n">
        <v>12.05485742938037</v>
      </c>
      <c r="BJ631" s="3" t="n">
        <v>12.23279170303283</v>
      </c>
      <c r="BK631" s="3" t="n">
        <v>12.14957868217308</v>
      </c>
      <c r="BL631" s="3" t="n">
        <v>12.0636612302603</v>
      </c>
      <c r="BM631" s="3" t="n">
        <v>12.26948153781647</v>
      </c>
      <c r="BN631" s="3" t="n">
        <v>13.73642229942935</v>
      </c>
      <c r="BO631" s="3" t="n">
        <v>13.12805547601475</v>
      </c>
      <c r="BP631" s="3" t="n"/>
      <c r="BQ631" s="3" t="n"/>
      <c r="BR631" s="34" t="str">
        <f>B631&amp;"|"&amp;D631</f>
        <v>HIC|SH.XPD.CHEX.GD.ZS</v>
      </c>
    </row>
    <row r="632">
      <c r="A632" s="3" t="inlineStr">
        <is>
          <t>Hong Kong SAR, China</t>
        </is>
      </c>
      <c r="B632" s="3" t="inlineStr">
        <is>
          <t>HKG</t>
        </is>
      </c>
      <c r="C632" s="3" t="inlineStr">
        <is>
          <t>Current health expenditure (% of GDP)</t>
        </is>
      </c>
      <c r="D632" s="3" t="inlineStr">
        <is>
          <t>SH.XPD.CHEX.GD.ZS</t>
        </is>
      </c>
      <c r="E632" s="3" t="inlineStr">
        <is>
          <t>0x2a</t>
        </is>
      </c>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c r="AD632" s="3" t="n"/>
      <c r="AE632" s="3" t="n"/>
      <c r="AF632" s="3" t="n"/>
      <c r="AG632" s="3" t="n"/>
      <c r="AH632" s="3" t="n"/>
      <c r="AI632" s="3" t="n"/>
      <c r="AJ632" s="3" t="n"/>
      <c r="AK632" s="3" t="n"/>
      <c r="AL632" s="3" t="n"/>
      <c r="AM632" s="3" t="n"/>
      <c r="AN632" s="3" t="n"/>
      <c r="AO632" s="3" t="n"/>
      <c r="AP632" s="3" t="n"/>
      <c r="AQ632" s="3" t="n"/>
      <c r="AR632" s="3" t="n"/>
      <c r="AS632" s="3" t="n"/>
      <c r="AT632" s="3" t="n"/>
      <c r="AU632" s="3" t="n"/>
      <c r="AV632" s="3" t="n"/>
      <c r="AW632" s="3" t="n"/>
      <c r="AX632" s="3" t="n"/>
      <c r="AY632" s="3" t="n"/>
      <c r="AZ632" s="3" t="n"/>
      <c r="BA632" s="3" t="n"/>
      <c r="BB632" s="3" t="n"/>
      <c r="BC632" s="3" t="n"/>
      <c r="BD632" s="3" t="n"/>
      <c r="BE632" s="3" t="n"/>
      <c r="BF632" s="3" t="n"/>
      <c r="BG632" s="3" t="n"/>
      <c r="BH632" s="3" t="n"/>
      <c r="BI632" s="3" t="n"/>
      <c r="BJ632" s="3" t="n"/>
      <c r="BK632" s="3" t="n"/>
      <c r="BL632" s="3" t="n"/>
      <c r="BM632" s="3" t="n"/>
      <c r="BN632" s="3" t="n"/>
      <c r="BO632" s="3" t="n"/>
      <c r="BP632" s="3" t="n"/>
      <c r="BQ632" s="3" t="n"/>
      <c r="BR632" s="34" t="str">
        <f>B632&amp;"|"&amp;D632</f>
        <v>HKG|SH.XPD.CHEX.GD.ZS</v>
      </c>
    </row>
    <row r="633">
      <c r="A633" s="3" t="inlineStr">
        <is>
          <t>Honduras</t>
        </is>
      </c>
      <c r="B633" s="3" t="inlineStr">
        <is>
          <t>HND</t>
        </is>
      </c>
      <c r="C633" s="3" t="inlineStr">
        <is>
          <t>Current health expenditure (% of GDP)</t>
        </is>
      </c>
      <c r="D633" s="3" t="inlineStr">
        <is>
          <t>SH.XPD.CHEX.GD.ZS</t>
        </is>
      </c>
      <c r="E633" s="3" t="n">
        <v>2021</v>
      </c>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c r="AD633" s="3" t="n"/>
      <c r="AE633" s="3" t="n"/>
      <c r="AF633" s="3" t="n"/>
      <c r="AG633" s="3" t="n"/>
      <c r="AH633" s="3" t="n"/>
      <c r="AI633" s="3" t="n"/>
      <c r="AJ633" s="3" t="n"/>
      <c r="AK633" s="3" t="n"/>
      <c r="AL633" s="3" t="n"/>
      <c r="AM633" s="3" t="n"/>
      <c r="AN633" s="3" t="n"/>
      <c r="AO633" s="3" t="n"/>
      <c r="AP633" s="3" t="n"/>
      <c r="AQ633" s="3" t="n"/>
      <c r="AR633" s="3" t="n"/>
      <c r="AS633" s="3" t="n"/>
      <c r="AT633" s="3" t="n">
        <v>6.26817989</v>
      </c>
      <c r="AU633" s="3" t="n">
        <v>5.92998314</v>
      </c>
      <c r="AV633" s="3" t="n">
        <v>6.2445755</v>
      </c>
      <c r="AW633" s="3" t="n">
        <v>6.89004707</v>
      </c>
      <c r="AX633" s="3" t="n">
        <v>6.85484362</v>
      </c>
      <c r="AY633" s="3" t="n">
        <v>7.50086403</v>
      </c>
      <c r="AZ633" s="3" t="n">
        <v>7.86318684</v>
      </c>
      <c r="BA633" s="3" t="n">
        <v>8.08494949</v>
      </c>
      <c r="BB633" s="3" t="n">
        <v>8.60362625</v>
      </c>
      <c r="BC633" s="3" t="n">
        <v>8.995924949999999</v>
      </c>
      <c r="BD633" s="3" t="n">
        <v>8.72536373</v>
      </c>
      <c r="BE633" s="3" t="n">
        <v>8.79187012</v>
      </c>
      <c r="BF633" s="3" t="n">
        <v>8.65655136</v>
      </c>
      <c r="BG633" s="3" t="n">
        <v>8.477230069999999</v>
      </c>
      <c r="BH633" s="3" t="n">
        <v>7.91455746</v>
      </c>
      <c r="BI633" s="3" t="n">
        <v>7.4837904</v>
      </c>
      <c r="BJ633" s="3" t="n">
        <v>7.709445</v>
      </c>
      <c r="BK633" s="3" t="n">
        <v>7.00668859</v>
      </c>
      <c r="BL633" s="3" t="n">
        <v>7.22820663</v>
      </c>
      <c r="BM633" s="3" t="n">
        <v>7.30497599</v>
      </c>
      <c r="BN633" s="3" t="n">
        <v>9.035098079999999</v>
      </c>
      <c r="BO633" s="3" t="n">
        <v>9.16101742</v>
      </c>
      <c r="BP633" s="3" t="n"/>
      <c r="BQ633" s="3" t="n"/>
      <c r="BR633" s="34" t="str">
        <f>B633&amp;"|"&amp;D633</f>
        <v>HND|SH.XPD.CHEX.GD.ZS</v>
      </c>
    </row>
    <row r="634">
      <c r="A634" s="3" t="inlineStr">
        <is>
          <t>Heavily indebted poor countries (HIPC)</t>
        </is>
      </c>
      <c r="B634" s="3" t="inlineStr">
        <is>
          <t>HPC</t>
        </is>
      </c>
      <c r="C634" s="3" t="inlineStr">
        <is>
          <t>Current health expenditure (% of GDP)</t>
        </is>
      </c>
      <c r="D634" s="3" t="inlineStr">
        <is>
          <t>SH.XPD.CHEX.GD.ZS</t>
        </is>
      </c>
      <c r="E634" s="3" t="n">
        <v>2021</v>
      </c>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c r="AD634" s="3" t="n"/>
      <c r="AE634" s="3" t="n"/>
      <c r="AF634" s="3" t="n"/>
      <c r="AG634" s="3" t="n"/>
      <c r="AH634" s="3" t="n"/>
      <c r="AI634" s="3" t="n"/>
      <c r="AJ634" s="3" t="n"/>
      <c r="AK634" s="3" t="n"/>
      <c r="AL634" s="3" t="n"/>
      <c r="AM634" s="3" t="n"/>
      <c r="AN634" s="3" t="n"/>
      <c r="AO634" s="3" t="n"/>
      <c r="AP634" s="3" t="n"/>
      <c r="AQ634" s="3" t="n"/>
      <c r="AR634" s="3" t="n"/>
      <c r="AS634" s="3" t="n"/>
      <c r="AT634" s="3" t="n">
        <v>3.923167701921436</v>
      </c>
      <c r="AU634" s="3" t="n">
        <v>4.259588550883759</v>
      </c>
      <c r="AV634" s="3" t="n">
        <v>4.459418877978554</v>
      </c>
      <c r="AW634" s="3" t="n">
        <v>4.645109035879149</v>
      </c>
      <c r="AX634" s="3" t="n">
        <v>4.763454627451729</v>
      </c>
      <c r="AY634" s="3" t="n">
        <v>4.81906922544794</v>
      </c>
      <c r="AZ634" s="3" t="n">
        <v>4.97467192607904</v>
      </c>
      <c r="BA634" s="3" t="n">
        <v>5.00450917392955</v>
      </c>
      <c r="BB634" s="3" t="n">
        <v>4.831298996299064</v>
      </c>
      <c r="BC634" s="3" t="n">
        <v>5.181520940113234</v>
      </c>
      <c r="BD634" s="3" t="n">
        <v>5.026728821010336</v>
      </c>
      <c r="BE634" s="3" t="n">
        <v>5.007412852954086</v>
      </c>
      <c r="BF634" s="3" t="n">
        <v>4.866948152361327</v>
      </c>
      <c r="BG634" s="3" t="n">
        <v>4.954937721631397</v>
      </c>
      <c r="BH634" s="3" t="n">
        <v>4.884820797995182</v>
      </c>
      <c r="BI634" s="3" t="n">
        <v>4.986507420365728</v>
      </c>
      <c r="BJ634" s="3" t="n">
        <v>4.925651604614852</v>
      </c>
      <c r="BK634" s="3" t="n">
        <v>4.796669211483367</v>
      </c>
      <c r="BL634" s="3" t="n">
        <v>4.648387283172066</v>
      </c>
      <c r="BM634" s="3" t="n">
        <v>4.742641531727024</v>
      </c>
      <c r="BN634" s="3" t="n">
        <v>4.929467679185987</v>
      </c>
      <c r="BO634" s="3" t="n">
        <v>4.934533504735285</v>
      </c>
      <c r="BP634" s="3" t="n"/>
      <c r="BQ634" s="3" t="n"/>
      <c r="BR634" s="34" t="str">
        <f>B634&amp;"|"&amp;D634</f>
        <v>HPC|SH.XPD.CHEX.GD.ZS</v>
      </c>
    </row>
    <row r="635">
      <c r="A635" s="3" t="inlineStr">
        <is>
          <t>Croatia</t>
        </is>
      </c>
      <c r="B635" s="3" t="inlineStr">
        <is>
          <t>HRV</t>
        </is>
      </c>
      <c r="C635" s="3" t="inlineStr">
        <is>
          <t>Current health expenditure (% of GDP)</t>
        </is>
      </c>
      <c r="D635" s="3" t="inlineStr">
        <is>
          <t>SH.XPD.CHEX.GD.ZS</t>
        </is>
      </c>
      <c r="E635" s="3" t="n">
        <v>2021</v>
      </c>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c r="AD635" s="3" t="n"/>
      <c r="AE635" s="3" t="n"/>
      <c r="AF635" s="3" t="n"/>
      <c r="AG635" s="3" t="n"/>
      <c r="AH635" s="3" t="n"/>
      <c r="AI635" s="3" t="n"/>
      <c r="AJ635" s="3" t="n"/>
      <c r="AK635" s="3" t="n"/>
      <c r="AL635" s="3" t="n"/>
      <c r="AM635" s="3" t="n"/>
      <c r="AN635" s="3" t="n"/>
      <c r="AO635" s="3" t="n"/>
      <c r="AP635" s="3" t="n"/>
      <c r="AQ635" s="3" t="n"/>
      <c r="AR635" s="3" t="n"/>
      <c r="AS635" s="3" t="n"/>
      <c r="AT635" s="3" t="n">
        <v>7.65</v>
      </c>
      <c r="AU635" s="3" t="n">
        <v>7.17</v>
      </c>
      <c r="AV635" s="3" t="n">
        <v>6.14</v>
      </c>
      <c r="AW635" s="3" t="n">
        <v>6.3</v>
      </c>
      <c r="AX635" s="3" t="n">
        <v>6.5</v>
      </c>
      <c r="AY635" s="3" t="n">
        <v>6.84</v>
      </c>
      <c r="AZ635" s="3" t="n">
        <v>6.91</v>
      </c>
      <c r="BA635" s="3" t="n">
        <v>7.41</v>
      </c>
      <c r="BB635" s="3" t="n">
        <v>7.65</v>
      </c>
      <c r="BC635" s="3" t="n">
        <v>8.08</v>
      </c>
      <c r="BD635" s="3" t="n">
        <v>7.99</v>
      </c>
      <c r="BE635" s="3" t="n">
        <v>7.66</v>
      </c>
      <c r="BF635" s="3" t="n">
        <v>7.68</v>
      </c>
      <c r="BG635" s="3" t="n">
        <v>6.43</v>
      </c>
      <c r="BH635" s="3" t="n">
        <v>6.61</v>
      </c>
      <c r="BI635" s="3" t="n">
        <v>6.69</v>
      </c>
      <c r="BJ635" s="3" t="n">
        <v>6.73</v>
      </c>
      <c r="BK635" s="3" t="n">
        <v>6.66</v>
      </c>
      <c r="BL635" s="3" t="n">
        <v>6.75</v>
      </c>
      <c r="BM635" s="3" t="n">
        <v>6.8</v>
      </c>
      <c r="BN635" s="3" t="n">
        <v>7.72</v>
      </c>
      <c r="BO635" s="3" t="n">
        <v>8.1</v>
      </c>
      <c r="BP635" s="3" t="n"/>
      <c r="BQ635" s="3" t="n"/>
      <c r="BR635" s="34" t="str">
        <f>B635&amp;"|"&amp;D635</f>
        <v>HRV|SH.XPD.CHEX.GD.ZS</v>
      </c>
    </row>
    <row r="636">
      <c r="A636" s="3" t="inlineStr">
        <is>
          <t>Haiti</t>
        </is>
      </c>
      <c r="B636" s="3" t="inlineStr">
        <is>
          <t>HTI</t>
        </is>
      </c>
      <c r="C636" s="3" t="inlineStr">
        <is>
          <t>Current health expenditure (% of GDP)</t>
        </is>
      </c>
      <c r="D636" s="3" t="inlineStr">
        <is>
          <t>SH.XPD.CHEX.GD.ZS</t>
        </is>
      </c>
      <c r="E636" s="3" t="n">
        <v>2021</v>
      </c>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c r="AD636" s="3" t="n"/>
      <c r="AE636" s="3" t="n"/>
      <c r="AF636" s="3" t="n"/>
      <c r="AG636" s="3" t="n"/>
      <c r="AH636" s="3" t="n"/>
      <c r="AI636" s="3" t="n"/>
      <c r="AJ636" s="3" t="n"/>
      <c r="AK636" s="3" t="n"/>
      <c r="AL636" s="3" t="n"/>
      <c r="AM636" s="3" t="n"/>
      <c r="AN636" s="3" t="n"/>
      <c r="AO636" s="3" t="n"/>
      <c r="AP636" s="3" t="n"/>
      <c r="AQ636" s="3" t="n"/>
      <c r="AR636" s="3" t="n"/>
      <c r="AS636" s="3" t="n"/>
      <c r="AT636" s="3" t="n">
        <v>3.99165702</v>
      </c>
      <c r="AU636" s="3" t="n">
        <v>3.7502923</v>
      </c>
      <c r="AV636" s="3" t="n">
        <v>3.43250132</v>
      </c>
      <c r="AW636" s="3" t="n">
        <v>3.53695321</v>
      </c>
      <c r="AX636" s="3" t="n">
        <v>3.42928433</v>
      </c>
      <c r="AY636" s="3" t="n">
        <v>3.30554652</v>
      </c>
      <c r="AZ636" s="3" t="n">
        <v>3.48013902</v>
      </c>
      <c r="BA636" s="3" t="n">
        <v>3.64734101</v>
      </c>
      <c r="BB636" s="3" t="n">
        <v>3.75722051</v>
      </c>
      <c r="BC636" s="3" t="n">
        <v>3.50277376</v>
      </c>
      <c r="BD636" s="3" t="n">
        <v>4.54871035</v>
      </c>
      <c r="BE636" s="3" t="n">
        <v>5.91197777</v>
      </c>
      <c r="BF636" s="3" t="n">
        <v>5.56462336</v>
      </c>
      <c r="BG636" s="3" t="n">
        <v>4.10524035</v>
      </c>
      <c r="BH636" s="3" t="n">
        <v>4.52035809</v>
      </c>
      <c r="BI636" s="3" t="n">
        <v>5.07518148</v>
      </c>
      <c r="BJ636" s="3" t="n">
        <v>4.80760574</v>
      </c>
      <c r="BK636" s="3" t="n">
        <v>3.8199389</v>
      </c>
      <c r="BL636" s="3" t="n">
        <v>4.31650305</v>
      </c>
      <c r="BM636" s="3" t="n">
        <v>3.91107917</v>
      </c>
      <c r="BN636" s="3" t="n">
        <v>3.22171092</v>
      </c>
      <c r="BO636" s="3" t="n">
        <v>3.47919273</v>
      </c>
      <c r="BP636" s="3" t="n"/>
      <c r="BQ636" s="3" t="n"/>
      <c r="BR636" s="34" t="str">
        <f>B636&amp;"|"&amp;D636</f>
        <v>HTI|SH.XPD.CHEX.GD.ZS</v>
      </c>
    </row>
    <row r="637">
      <c r="A637" s="3" t="inlineStr">
        <is>
          <t>Hungary</t>
        </is>
      </c>
      <c r="B637" s="3" t="inlineStr">
        <is>
          <t>HUN</t>
        </is>
      </c>
      <c r="C637" s="3" t="inlineStr">
        <is>
          <t>Current health expenditure (% of GDP)</t>
        </is>
      </c>
      <c r="D637" s="3" t="inlineStr">
        <is>
          <t>SH.XPD.CHEX.GD.ZS</t>
        </is>
      </c>
      <c r="E637" s="3" t="n">
        <v>2021</v>
      </c>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c r="AF637" s="3" t="n"/>
      <c r="AG637" s="3" t="n"/>
      <c r="AH637" s="3" t="n"/>
      <c r="AI637" s="3" t="n"/>
      <c r="AJ637" s="3" t="n"/>
      <c r="AK637" s="3" t="n"/>
      <c r="AL637" s="3" t="n"/>
      <c r="AM637" s="3" t="n"/>
      <c r="AN637" s="3" t="n"/>
      <c r="AO637" s="3" t="n"/>
      <c r="AP637" s="3" t="n"/>
      <c r="AQ637" s="3" t="n"/>
      <c r="AR637" s="3" t="n"/>
      <c r="AS637" s="3" t="n"/>
      <c r="AT637" s="3" t="n">
        <v>6.78</v>
      </c>
      <c r="AU637" s="3" t="n">
        <v>6.83</v>
      </c>
      <c r="AV637" s="3" t="n">
        <v>7.12</v>
      </c>
      <c r="AW637" s="3" t="n">
        <v>8.119999999999999</v>
      </c>
      <c r="AX637" s="3" t="n">
        <v>7.76</v>
      </c>
      <c r="AY637" s="3" t="n">
        <v>7.98</v>
      </c>
      <c r="AZ637" s="3" t="n">
        <v>7.78</v>
      </c>
      <c r="BA637" s="3" t="n">
        <v>7.2</v>
      </c>
      <c r="BB637" s="3" t="n">
        <v>7.09</v>
      </c>
      <c r="BC637" s="3" t="n">
        <v>7.22</v>
      </c>
      <c r="BD637" s="3" t="n">
        <v>7.45</v>
      </c>
      <c r="BE637" s="3" t="n">
        <v>7.48</v>
      </c>
      <c r="BF637" s="3" t="n">
        <v>7.41</v>
      </c>
      <c r="BG637" s="3" t="n">
        <v>7.23</v>
      </c>
      <c r="BH637" s="3" t="n">
        <v>7.05</v>
      </c>
      <c r="BI637" s="3" t="n">
        <v>6.85</v>
      </c>
      <c r="BJ637" s="3" t="n">
        <v>6.99</v>
      </c>
      <c r="BK637" s="3" t="n">
        <v>6.74</v>
      </c>
      <c r="BL637" s="3" t="n">
        <v>6.58</v>
      </c>
      <c r="BM637" s="3" t="n">
        <v>6.28</v>
      </c>
      <c r="BN637" s="3" t="n">
        <v>7.29</v>
      </c>
      <c r="BO637" s="3" t="n">
        <v>7.38</v>
      </c>
      <c r="BP637" s="3" t="n"/>
      <c r="BQ637" s="3" t="n"/>
      <c r="BR637" s="34" t="str">
        <f>B637&amp;"|"&amp;D637</f>
        <v>HUN|SH.XPD.CHEX.GD.ZS</v>
      </c>
    </row>
    <row r="638">
      <c r="A638" s="3" t="inlineStr">
        <is>
          <t>IBRD only</t>
        </is>
      </c>
      <c r="B638" s="3" t="inlineStr">
        <is>
          <t>IBD</t>
        </is>
      </c>
      <c r="C638" s="3" t="inlineStr">
        <is>
          <t>Current health expenditure (% of GDP)</t>
        </is>
      </c>
      <c r="D638" s="3" t="inlineStr">
        <is>
          <t>SH.XPD.CHEX.GD.ZS</t>
        </is>
      </c>
      <c r="E638" s="3" t="n">
        <v>2021</v>
      </c>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c r="AF638" s="3" t="n"/>
      <c r="AG638" s="3" t="n"/>
      <c r="AH638" s="3" t="n"/>
      <c r="AI638" s="3" t="n"/>
      <c r="AJ638" s="3" t="n"/>
      <c r="AK638" s="3" t="n"/>
      <c r="AL638" s="3" t="n"/>
      <c r="AM638" s="3" t="n"/>
      <c r="AN638" s="3" t="n"/>
      <c r="AO638" s="3" t="n"/>
      <c r="AP638" s="3" t="n"/>
      <c r="AQ638" s="3" t="n"/>
      <c r="AR638" s="3" t="n"/>
      <c r="AS638" s="3" t="n"/>
      <c r="AT638" s="3" t="n">
        <v>5.183638797431191</v>
      </c>
      <c r="AU638" s="3" t="n">
        <v>5.224373196784308</v>
      </c>
      <c r="AV638" s="3" t="n">
        <v>5.121605323864702</v>
      </c>
      <c r="AW638" s="3" t="n">
        <v>5.144264187832417</v>
      </c>
      <c r="AX638" s="3" t="n">
        <v>5.090143244357248</v>
      </c>
      <c r="AY638" s="3" t="n">
        <v>5.073906571721011</v>
      </c>
      <c r="AZ638" s="3" t="n">
        <v>4.997385137137707</v>
      </c>
      <c r="BA638" s="3" t="n">
        <v>4.919315461976777</v>
      </c>
      <c r="BB638" s="3" t="n">
        <v>4.9898804551589</v>
      </c>
      <c r="BC638" s="3" t="n">
        <v>5.345671750446058</v>
      </c>
      <c r="BD638" s="3" t="n">
        <v>5.141886748836597</v>
      </c>
      <c r="BE638" s="3" t="n">
        <v>5.100465581050447</v>
      </c>
      <c r="BF638" s="3" t="n">
        <v>5.163208253143012</v>
      </c>
      <c r="BG638" s="3" t="n">
        <v>5.252629669724835</v>
      </c>
      <c r="BH638" s="3" t="n">
        <v>5.295283879646322</v>
      </c>
      <c r="BI638" s="3" t="n">
        <v>5.391528701001254</v>
      </c>
      <c r="BJ638" s="3" t="n">
        <v>5.416002702805585</v>
      </c>
      <c r="BK638" s="3" t="n">
        <v>5.433679019273055</v>
      </c>
      <c r="BL638" s="3" t="n">
        <v>5.392282164297354</v>
      </c>
      <c r="BM638" s="3" t="n">
        <v>5.466246823502932</v>
      </c>
      <c r="BN638" s="3" t="n">
        <v>5.829879874129031</v>
      </c>
      <c r="BO638" s="3" t="n">
        <v>5.726092143079978</v>
      </c>
      <c r="BP638" s="3" t="n"/>
      <c r="BQ638" s="3" t="n"/>
      <c r="BR638" s="34" t="str">
        <f>B638&amp;"|"&amp;D638</f>
        <v>IBD|SH.XPD.CHEX.GD.ZS</v>
      </c>
    </row>
    <row r="639">
      <c r="A639" s="3" t="inlineStr">
        <is>
          <t>IDA &amp; IBRD total</t>
        </is>
      </c>
      <c r="B639" s="3" t="inlineStr">
        <is>
          <t>IBT</t>
        </is>
      </c>
      <c r="C639" s="3" t="inlineStr">
        <is>
          <t>Current health expenditure (% of GDP)</t>
        </is>
      </c>
      <c r="D639" s="3" t="inlineStr">
        <is>
          <t>SH.XPD.CHEX.GD.ZS</t>
        </is>
      </c>
      <c r="E639" s="3" t="n">
        <v>2021</v>
      </c>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c r="AF639" s="3" t="n"/>
      <c r="AG639" s="3" t="n"/>
      <c r="AH639" s="3" t="n"/>
      <c r="AI639" s="3" t="n"/>
      <c r="AJ639" s="3" t="n"/>
      <c r="AK639" s="3" t="n"/>
      <c r="AL639" s="3" t="n"/>
      <c r="AM639" s="3" t="n"/>
      <c r="AN639" s="3" t="n"/>
      <c r="AO639" s="3" t="n"/>
      <c r="AP639" s="3" t="n"/>
      <c r="AQ639" s="3" t="n"/>
      <c r="AR639" s="3" t="n"/>
      <c r="AS639" s="3" t="n"/>
      <c r="AT639" s="3" t="n">
        <v>5.040653315041628</v>
      </c>
      <c r="AU639" s="3" t="n">
        <v>5.090308562556499</v>
      </c>
      <c r="AV639" s="3" t="n">
        <v>4.989205866291218</v>
      </c>
      <c r="AW639" s="3" t="n">
        <v>5.047688704483856</v>
      </c>
      <c r="AX639" s="3" t="n">
        <v>4.997587385890545</v>
      </c>
      <c r="AY639" s="3" t="n">
        <v>4.990450662476506</v>
      </c>
      <c r="AZ639" s="3" t="n">
        <v>4.928036539162588</v>
      </c>
      <c r="BA639" s="3" t="n">
        <v>4.85393669291528</v>
      </c>
      <c r="BB639" s="3" t="n">
        <v>4.910603391305369</v>
      </c>
      <c r="BC639" s="3" t="n">
        <v>5.246389267902596</v>
      </c>
      <c r="BD639" s="3" t="n">
        <v>5.052811803787758</v>
      </c>
      <c r="BE639" s="3" t="n">
        <v>5.010686361623101</v>
      </c>
      <c r="BF639" s="3" t="n">
        <v>5.070323081007714</v>
      </c>
      <c r="BG639" s="3" t="n">
        <v>5.162167640779294</v>
      </c>
      <c r="BH639" s="3" t="n">
        <v>5.192367654882395</v>
      </c>
      <c r="BI639" s="3" t="n">
        <v>5.282948324923671</v>
      </c>
      <c r="BJ639" s="3" t="n">
        <v>5.304503095135211</v>
      </c>
      <c r="BK639" s="3" t="n">
        <v>5.322328493854186</v>
      </c>
      <c r="BL639" s="3" t="n">
        <v>5.269964370968797</v>
      </c>
      <c r="BM639" s="3" t="n">
        <v>5.338522708266006</v>
      </c>
      <c r="BN639" s="3" t="n">
        <v>5.688167907106758</v>
      </c>
      <c r="BO639" s="3" t="n">
        <v>5.616001412463835</v>
      </c>
      <c r="BP639" s="3" t="n"/>
      <c r="BQ639" s="3" t="n"/>
      <c r="BR639" s="34" t="str">
        <f>B639&amp;"|"&amp;D639</f>
        <v>IBT|SH.XPD.CHEX.GD.ZS</v>
      </c>
    </row>
    <row r="640">
      <c r="A640" s="3" t="inlineStr">
        <is>
          <t>IDA total</t>
        </is>
      </c>
      <c r="B640" s="3" t="inlineStr">
        <is>
          <t>IDA</t>
        </is>
      </c>
      <c r="C640" s="3" t="inlineStr">
        <is>
          <t>Current health expenditure (% of GDP)</t>
        </is>
      </c>
      <c r="D640" s="3" t="inlineStr">
        <is>
          <t>SH.XPD.CHEX.GD.ZS</t>
        </is>
      </c>
      <c r="E640" s="3" t="n">
        <v>2021</v>
      </c>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c r="AD640" s="3" t="n"/>
      <c r="AE640" s="3" t="n"/>
      <c r="AF640" s="3" t="n"/>
      <c r="AG640" s="3" t="n"/>
      <c r="AH640" s="3" t="n"/>
      <c r="AI640" s="3" t="n"/>
      <c r="AJ640" s="3" t="n"/>
      <c r="AK640" s="3" t="n"/>
      <c r="AL640" s="3" t="n"/>
      <c r="AM640" s="3" t="n"/>
      <c r="AN640" s="3" t="n"/>
      <c r="AO640" s="3" t="n"/>
      <c r="AP640" s="3" t="n"/>
      <c r="AQ640" s="3" t="n"/>
      <c r="AR640" s="3" t="n"/>
      <c r="AS640" s="3" t="n"/>
      <c r="AT640" s="3" t="n">
        <v>3.397003394571817</v>
      </c>
      <c r="AU640" s="3" t="n">
        <v>3.510439546275059</v>
      </c>
      <c r="AV640" s="3" t="n">
        <v>3.522919115636356</v>
      </c>
      <c r="AW640" s="3" t="n">
        <v>3.976112439174989</v>
      </c>
      <c r="AX640" s="3" t="n">
        <v>3.953550227953068</v>
      </c>
      <c r="AY640" s="3" t="n">
        <v>4.02283658010701</v>
      </c>
      <c r="AZ640" s="3" t="n">
        <v>4.131668252089692</v>
      </c>
      <c r="BA640" s="3" t="n">
        <v>4.060362974325132</v>
      </c>
      <c r="BB640" s="3" t="n">
        <v>3.945283013080366</v>
      </c>
      <c r="BC640" s="3" t="n">
        <v>4.04680946472928</v>
      </c>
      <c r="BD640" s="3" t="n">
        <v>3.926280541895509</v>
      </c>
      <c r="BE640" s="3" t="n">
        <v>3.814556761084654</v>
      </c>
      <c r="BF640" s="3" t="n">
        <v>3.82963789666248</v>
      </c>
      <c r="BG640" s="3" t="n">
        <v>3.971950074890965</v>
      </c>
      <c r="BH640" s="3" t="n">
        <v>3.901291090548431</v>
      </c>
      <c r="BI640" s="3" t="n">
        <v>3.964666911216162</v>
      </c>
      <c r="BJ640" s="3" t="n">
        <v>3.923685812869824</v>
      </c>
      <c r="BK640" s="3" t="n">
        <v>3.852350801930166</v>
      </c>
      <c r="BL640" s="3" t="n">
        <v>3.677841971201604</v>
      </c>
      <c r="BM640" s="3" t="n">
        <v>3.700681857404033</v>
      </c>
      <c r="BN640" s="3" t="n">
        <v>3.909021895677744</v>
      </c>
      <c r="BO640" s="3" t="n">
        <v>4.111200024953939</v>
      </c>
      <c r="BP640" s="3" t="n"/>
      <c r="BQ640" s="3" t="n"/>
      <c r="BR640" s="34" t="str">
        <f>B640&amp;"|"&amp;D640</f>
        <v>IDA|SH.XPD.CHEX.GD.ZS</v>
      </c>
    </row>
    <row r="641">
      <c r="A641" s="3" t="inlineStr">
        <is>
          <t>IDA blend</t>
        </is>
      </c>
      <c r="B641" s="3" t="inlineStr">
        <is>
          <t>IDB</t>
        </is>
      </c>
      <c r="C641" s="3" t="inlineStr">
        <is>
          <t>Current health expenditure (% of GDP)</t>
        </is>
      </c>
      <c r="D641" s="3" t="inlineStr">
        <is>
          <t>SH.XPD.CHEX.GD.ZS</t>
        </is>
      </c>
      <c r="E641" s="3" t="n">
        <v>2021</v>
      </c>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c r="AD641" s="3" t="n"/>
      <c r="AE641" s="3" t="n"/>
      <c r="AF641" s="3" t="n"/>
      <c r="AG641" s="3" t="n"/>
      <c r="AH641" s="3" t="n"/>
      <c r="AI641" s="3" t="n"/>
      <c r="AJ641" s="3" t="n"/>
      <c r="AK641" s="3" t="n"/>
      <c r="AL641" s="3" t="n"/>
      <c r="AM641" s="3" t="n"/>
      <c r="AN641" s="3" t="n"/>
      <c r="AO641" s="3" t="n"/>
      <c r="AP641" s="3" t="n"/>
      <c r="AQ641" s="3" t="n"/>
      <c r="AR641" s="3" t="n"/>
      <c r="AS641" s="3" t="n"/>
      <c r="AT641" s="3" t="n">
        <v>3.154781209960698</v>
      </c>
      <c r="AU641" s="3" t="n">
        <v>3.090874605463131</v>
      </c>
      <c r="AV641" s="3" t="n">
        <v>2.871174254487561</v>
      </c>
      <c r="AW641" s="3" t="n">
        <v>3.717241370844268</v>
      </c>
      <c r="AX641" s="3" t="n">
        <v>3.556814929387237</v>
      </c>
      <c r="AY641" s="3" t="n">
        <v>3.673928459807727</v>
      </c>
      <c r="AZ641" s="3" t="n">
        <v>3.788054798176173</v>
      </c>
      <c r="BA641" s="3" t="n">
        <v>3.622781716211136</v>
      </c>
      <c r="BB641" s="3" t="n">
        <v>3.509375151963893</v>
      </c>
      <c r="BC641" s="3" t="n">
        <v>3.423220361824517</v>
      </c>
      <c r="BD641" s="3" t="n">
        <v>3.448632036319629</v>
      </c>
      <c r="BE641" s="3" t="n">
        <v>3.334374061010045</v>
      </c>
      <c r="BF641" s="3" t="n">
        <v>3.38797983321285</v>
      </c>
      <c r="BG641" s="3" t="n">
        <v>3.495533815336541</v>
      </c>
      <c r="BH641" s="3" t="n">
        <v>3.412242950329322</v>
      </c>
      <c r="BI641" s="3" t="n">
        <v>3.485953600750078</v>
      </c>
      <c r="BJ641" s="3" t="n">
        <v>3.547052464502313</v>
      </c>
      <c r="BK641" s="3" t="n">
        <v>3.510142141477425</v>
      </c>
      <c r="BL641" s="3" t="n">
        <v>3.265388345390102</v>
      </c>
      <c r="BM641" s="3" t="n">
        <v>3.262220108269849</v>
      </c>
      <c r="BN641" s="3" t="n">
        <v>3.607922173727634</v>
      </c>
      <c r="BO641" s="3" t="n">
        <v>3.955735788197611</v>
      </c>
      <c r="BP641" s="3" t="n"/>
      <c r="BQ641" s="3" t="n"/>
      <c r="BR641" s="34" t="str">
        <f>B641&amp;"|"&amp;D641</f>
        <v>IDB|SH.XPD.CHEX.GD.ZS</v>
      </c>
    </row>
    <row r="642">
      <c r="A642" s="3" t="inlineStr">
        <is>
          <t>Indonesia</t>
        </is>
      </c>
      <c r="B642" s="3" t="inlineStr">
        <is>
          <t>IDN</t>
        </is>
      </c>
      <c r="C642" s="3" t="inlineStr">
        <is>
          <t>Current health expenditure (% of GDP)</t>
        </is>
      </c>
      <c r="D642" s="3" t="inlineStr">
        <is>
          <t>SH.XPD.CHEX.GD.ZS</t>
        </is>
      </c>
      <c r="E642" s="3" t="n">
        <v>2021</v>
      </c>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c r="AD642" s="3" t="n"/>
      <c r="AE642" s="3" t="n"/>
      <c r="AF642" s="3" t="n"/>
      <c r="AG642" s="3" t="n"/>
      <c r="AH642" s="3" t="n"/>
      <c r="AI642" s="3" t="n"/>
      <c r="AJ642" s="3" t="n"/>
      <c r="AK642" s="3" t="n"/>
      <c r="AL642" s="3" t="n"/>
      <c r="AM642" s="3" t="n"/>
      <c r="AN642" s="3" t="n"/>
      <c r="AO642" s="3" t="n"/>
      <c r="AP642" s="3" t="n"/>
      <c r="AQ642" s="3" t="n"/>
      <c r="AR642" s="3" t="n"/>
      <c r="AS642" s="3" t="n"/>
      <c r="AT642" s="3" t="n">
        <v>1.85297656</v>
      </c>
      <c r="AU642" s="3" t="n">
        <v>2.11850214</v>
      </c>
      <c r="AV642" s="3" t="n">
        <v>1.98062706</v>
      </c>
      <c r="AW642" s="3" t="n">
        <v>2.24837184</v>
      </c>
      <c r="AX642" s="3" t="n">
        <v>2.12002277</v>
      </c>
      <c r="AY642" s="3" t="n">
        <v>2.53189397</v>
      </c>
      <c r="AZ642" s="3" t="n">
        <v>2.61946416</v>
      </c>
      <c r="BA642" s="3" t="n">
        <v>2.82385564</v>
      </c>
      <c r="BB642" s="3" t="n">
        <v>2.54842305</v>
      </c>
      <c r="BC642" s="3" t="n">
        <v>2.62324095</v>
      </c>
      <c r="BD642" s="3" t="n">
        <v>2.7908783</v>
      </c>
      <c r="BE642" s="3" t="n">
        <v>2.98942471</v>
      </c>
      <c r="BF642" s="3" t="n">
        <v>2.91427088</v>
      </c>
      <c r="BG642" s="3" t="n">
        <v>2.86934805</v>
      </c>
      <c r="BH642" s="3" t="n">
        <v>2.96433568</v>
      </c>
      <c r="BI642" s="3" t="n">
        <v>2.92428517</v>
      </c>
      <c r="BJ642" s="3" t="n">
        <v>3.02147198</v>
      </c>
      <c r="BK642" s="3" t="n">
        <v>2.90417194</v>
      </c>
      <c r="BL642" s="3" t="n">
        <v>2.86757827</v>
      </c>
      <c r="BM642" s="3" t="n">
        <v>2.87862897</v>
      </c>
      <c r="BN642" s="3" t="n">
        <v>3.42067289</v>
      </c>
      <c r="BO642" s="3" t="n">
        <v>3.70636249</v>
      </c>
      <c r="BP642" s="3" t="n"/>
      <c r="BQ642" s="3" t="n"/>
      <c r="BR642" s="34" t="str">
        <f>B642&amp;"|"&amp;D642</f>
        <v>IDN|SH.XPD.CHEX.GD.ZS</v>
      </c>
    </row>
    <row r="643">
      <c r="A643" s="3" t="inlineStr">
        <is>
          <t>IDA only</t>
        </is>
      </c>
      <c r="B643" s="3" t="inlineStr">
        <is>
          <t>IDX</t>
        </is>
      </c>
      <c r="C643" s="3" t="inlineStr">
        <is>
          <t>Current health expenditure (% of GDP)</t>
        </is>
      </c>
      <c r="D643" s="3" t="inlineStr">
        <is>
          <t>SH.XPD.CHEX.GD.ZS</t>
        </is>
      </c>
      <c r="E643" s="3" t="n">
        <v>2021</v>
      </c>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c r="AD643" s="3" t="n"/>
      <c r="AE643" s="3" t="n"/>
      <c r="AF643" s="3" t="n"/>
      <c r="AG643" s="3" t="n"/>
      <c r="AH643" s="3" t="n"/>
      <c r="AI643" s="3" t="n"/>
      <c r="AJ643" s="3" t="n"/>
      <c r="AK643" s="3" t="n"/>
      <c r="AL643" s="3" t="n"/>
      <c r="AM643" s="3" t="n"/>
      <c r="AN643" s="3" t="n"/>
      <c r="AO643" s="3" t="n"/>
      <c r="AP643" s="3" t="n"/>
      <c r="AQ643" s="3" t="n"/>
      <c r="AR643" s="3" t="n"/>
      <c r="AS643" s="3" t="n"/>
      <c r="AT643" s="3" t="n">
        <v>3.589362691254098</v>
      </c>
      <c r="AU643" s="3" t="n">
        <v>3.847529925470106</v>
      </c>
      <c r="AV643" s="3" t="n">
        <v>4.061202358016788</v>
      </c>
      <c r="AW643" s="3" t="n">
        <v>4.191995169669516</v>
      </c>
      <c r="AX643" s="3" t="n">
        <v>4.309834019283651</v>
      </c>
      <c r="AY643" s="3" t="n">
        <v>4.349765477640504</v>
      </c>
      <c r="AZ643" s="3" t="n">
        <v>4.479165713959509</v>
      </c>
      <c r="BA643" s="3" t="n">
        <v>4.492964987472869</v>
      </c>
      <c r="BB643" s="3" t="n">
        <v>4.363019673313036</v>
      </c>
      <c r="BC643" s="3" t="n">
        <v>4.585534972419514</v>
      </c>
      <c r="BD643" s="3" t="n">
        <v>4.359399513605958</v>
      </c>
      <c r="BE643" s="3" t="n">
        <v>4.259033585055898</v>
      </c>
      <c r="BF643" s="3" t="n">
        <v>4.283044174306719</v>
      </c>
      <c r="BG643" s="3" t="n">
        <v>4.474082535286981</v>
      </c>
      <c r="BH643" s="3" t="n">
        <v>4.420560960116428</v>
      </c>
      <c r="BI643" s="3" t="n">
        <v>4.445911718498932</v>
      </c>
      <c r="BJ643" s="3" t="n">
        <v>4.263021824520068</v>
      </c>
      <c r="BK643" s="3" t="n">
        <v>4.132245423018523</v>
      </c>
      <c r="BL643" s="3" t="n">
        <v>4.023086593191691</v>
      </c>
      <c r="BM643" s="3" t="n">
        <v>4.05635620782097</v>
      </c>
      <c r="BN643" s="3" t="n">
        <v>4.1327143249342</v>
      </c>
      <c r="BO643" s="3" t="n">
        <v>4.227221924409789</v>
      </c>
      <c r="BP643" s="3" t="n"/>
      <c r="BQ643" s="3" t="n"/>
      <c r="BR643" s="34" t="str">
        <f>B643&amp;"|"&amp;D643</f>
        <v>IDX|SH.XPD.CHEX.GD.ZS</v>
      </c>
    </row>
    <row r="644">
      <c r="A644" s="3" t="inlineStr">
        <is>
          <t>Isle of Man</t>
        </is>
      </c>
      <c r="B644" s="3" t="inlineStr">
        <is>
          <t>IMN</t>
        </is>
      </c>
      <c r="C644" s="3" t="inlineStr">
        <is>
          <t>Current health expenditure (% of GDP)</t>
        </is>
      </c>
      <c r="D644" s="3" t="inlineStr">
        <is>
          <t>SH.XPD.CHEX.GD.ZS</t>
        </is>
      </c>
      <c r="E644" s="3" t="inlineStr">
        <is>
          <t>0x2a</t>
        </is>
      </c>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c r="AD644" s="3" t="n"/>
      <c r="AE644" s="3" t="n"/>
      <c r="AF644" s="3" t="n"/>
      <c r="AG644" s="3" t="n"/>
      <c r="AH644" s="3" t="n"/>
      <c r="AI644" s="3" t="n"/>
      <c r="AJ644" s="3" t="n"/>
      <c r="AK644" s="3" t="n"/>
      <c r="AL644" s="3" t="n"/>
      <c r="AM644" s="3" t="n"/>
      <c r="AN644" s="3" t="n"/>
      <c r="AO644" s="3" t="n"/>
      <c r="AP644" s="3" t="n"/>
      <c r="AQ644" s="3" t="n"/>
      <c r="AR644" s="3" t="n"/>
      <c r="AS644" s="3" t="n"/>
      <c r="AT644" s="3" t="n"/>
      <c r="AU644" s="3" t="n"/>
      <c r="AV644" s="3" t="n"/>
      <c r="AW644" s="3" t="n"/>
      <c r="AX644" s="3" t="n"/>
      <c r="AY644" s="3" t="n"/>
      <c r="AZ644" s="3" t="n"/>
      <c r="BA644" s="3" t="n"/>
      <c r="BB644" s="3" t="n"/>
      <c r="BC644" s="3" t="n"/>
      <c r="BD644" s="3" t="n"/>
      <c r="BE644" s="3" t="n"/>
      <c r="BF644" s="3" t="n"/>
      <c r="BG644" s="3" t="n"/>
      <c r="BH644" s="3" t="n"/>
      <c r="BI644" s="3" t="n"/>
      <c r="BJ644" s="3" t="n"/>
      <c r="BK644" s="3" t="n"/>
      <c r="BL644" s="3" t="n"/>
      <c r="BM644" s="3" t="n"/>
      <c r="BN644" s="3" t="n"/>
      <c r="BO644" s="3" t="n"/>
      <c r="BP644" s="3" t="n"/>
      <c r="BQ644" s="3" t="n"/>
      <c r="BR644" s="34" t="str">
        <f>B644&amp;"|"&amp;D644</f>
        <v>IMN|SH.XPD.CHEX.GD.ZS</v>
      </c>
    </row>
    <row r="645">
      <c r="A645" s="3" t="inlineStr">
        <is>
          <t>India</t>
        </is>
      </c>
      <c r="B645" s="3" t="inlineStr">
        <is>
          <t>IND</t>
        </is>
      </c>
      <c r="C645" s="3" t="inlineStr">
        <is>
          <t>Current health expenditure (% of GDP)</t>
        </is>
      </c>
      <c r="D645" s="3" t="inlineStr">
        <is>
          <t>SH.XPD.CHEX.GD.ZS</t>
        </is>
      </c>
      <c r="E645" s="3" t="n">
        <v>2021</v>
      </c>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c r="AD645" s="3" t="n"/>
      <c r="AE645" s="3" t="n"/>
      <c r="AF645" s="3" t="n"/>
      <c r="AG645" s="3" t="n"/>
      <c r="AH645" s="3" t="n"/>
      <c r="AI645" s="3" t="n"/>
      <c r="AJ645" s="3" t="n"/>
      <c r="AK645" s="3" t="n"/>
      <c r="AL645" s="3" t="n"/>
      <c r="AM645" s="3" t="n"/>
      <c r="AN645" s="3" t="n"/>
      <c r="AO645" s="3" t="n"/>
      <c r="AP645" s="3" t="n"/>
      <c r="AQ645" s="3" t="n"/>
      <c r="AR645" s="3" t="n"/>
      <c r="AS645" s="3" t="n"/>
      <c r="AT645" s="3" t="n">
        <v>4.03</v>
      </c>
      <c r="AU645" s="3" t="n">
        <v>4.26</v>
      </c>
      <c r="AV645" s="3" t="n">
        <v>4.24</v>
      </c>
      <c r="AW645" s="3" t="n">
        <v>4.01</v>
      </c>
      <c r="AX645" s="3" t="n">
        <v>3.96</v>
      </c>
      <c r="AY645" s="3" t="n">
        <v>3.79</v>
      </c>
      <c r="AZ645" s="3" t="n">
        <v>3.63</v>
      </c>
      <c r="BA645" s="3" t="n">
        <v>3.52</v>
      </c>
      <c r="BB645" s="3" t="n">
        <v>3.51</v>
      </c>
      <c r="BC645" s="3" t="n">
        <v>3.49</v>
      </c>
      <c r="BD645" s="3" t="n">
        <v>3.27</v>
      </c>
      <c r="BE645" s="3" t="n">
        <v>3.25</v>
      </c>
      <c r="BF645" s="3" t="n">
        <v>3.33</v>
      </c>
      <c r="BG645" s="3" t="n">
        <v>3.75</v>
      </c>
      <c r="BH645" s="3" t="n">
        <v>3.62</v>
      </c>
      <c r="BI645" s="3" t="n">
        <v>3.6</v>
      </c>
      <c r="BJ645" s="3" t="n">
        <v>3.5</v>
      </c>
      <c r="BK645" s="3" t="n">
        <v>2.94</v>
      </c>
      <c r="BL645" s="3" t="n">
        <v>2.86</v>
      </c>
      <c r="BM645" s="3" t="n">
        <v>2.95</v>
      </c>
      <c r="BN645" s="3" t="n">
        <v>3.34</v>
      </c>
      <c r="BO645" s="3" t="n">
        <v>3.28</v>
      </c>
      <c r="BP645" s="3" t="n"/>
      <c r="BQ645" s="3" t="n"/>
      <c r="BR645" s="34" t="str">
        <f>B645&amp;"|"&amp;D645</f>
        <v>IND|SH.XPD.CHEX.GD.ZS</v>
      </c>
    </row>
    <row r="646">
      <c r="A646" s="3" t="inlineStr">
        <is>
          <t>Not classified</t>
        </is>
      </c>
      <c r="B646" s="3" t="inlineStr">
        <is>
          <t>INX</t>
        </is>
      </c>
      <c r="C646" s="3" t="inlineStr">
        <is>
          <t>Current health expenditure (% of GDP)</t>
        </is>
      </c>
      <c r="D646" s="3" t="inlineStr">
        <is>
          <t>SH.XPD.CHEX.GD.ZS</t>
        </is>
      </c>
      <c r="E646" s="3" t="inlineStr">
        <is>
          <t>0x2a</t>
        </is>
      </c>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c r="AD646" s="3" t="n"/>
      <c r="AE646" s="3" t="n"/>
      <c r="AF646" s="3" t="n"/>
      <c r="AG646" s="3" t="n"/>
      <c r="AH646" s="3" t="n"/>
      <c r="AI646" s="3" t="n"/>
      <c r="AJ646" s="3" t="n"/>
      <c r="AK646" s="3" t="n"/>
      <c r="AL646" s="3" t="n"/>
      <c r="AM646" s="3" t="n"/>
      <c r="AN646" s="3" t="n"/>
      <c r="AO646" s="3" t="n"/>
      <c r="AP646" s="3" t="n"/>
      <c r="AQ646" s="3" t="n"/>
      <c r="AR646" s="3" t="n"/>
      <c r="AS646" s="3" t="n"/>
      <c r="AT646" s="3" t="n"/>
      <c r="AU646" s="3" t="n"/>
      <c r="AV646" s="3" t="n"/>
      <c r="AW646" s="3" t="n"/>
      <c r="AX646" s="3" t="n"/>
      <c r="AY646" s="3" t="n"/>
      <c r="AZ646" s="3" t="n"/>
      <c r="BA646" s="3" t="n"/>
      <c r="BB646" s="3" t="n"/>
      <c r="BC646" s="3" t="n"/>
      <c r="BD646" s="3" t="n"/>
      <c r="BE646" s="3" t="n"/>
      <c r="BF646" s="3" t="n"/>
      <c r="BG646" s="3" t="n"/>
      <c r="BH646" s="3" t="n"/>
      <c r="BI646" s="3" t="n"/>
      <c r="BJ646" s="3" t="n"/>
      <c r="BK646" s="3" t="n"/>
      <c r="BL646" s="3" t="n"/>
      <c r="BM646" s="3" t="n"/>
      <c r="BN646" s="3" t="n"/>
      <c r="BO646" s="3" t="n"/>
      <c r="BP646" s="3" t="n"/>
      <c r="BQ646" s="3" t="n"/>
      <c r="BR646" s="34" t="str">
        <f>B646&amp;"|"&amp;D646</f>
        <v>INX|SH.XPD.CHEX.GD.ZS</v>
      </c>
    </row>
    <row r="647">
      <c r="A647" s="3" t="inlineStr">
        <is>
          <t>Ireland</t>
        </is>
      </c>
      <c r="B647" s="3" t="inlineStr">
        <is>
          <t>IRL</t>
        </is>
      </c>
      <c r="C647" s="3" t="inlineStr">
        <is>
          <t>Current health expenditure (% of GDP)</t>
        </is>
      </c>
      <c r="D647" s="3" t="inlineStr">
        <is>
          <t>SH.XPD.CHEX.GD.ZS</t>
        </is>
      </c>
      <c r="E647" s="3" t="n">
        <v>2022</v>
      </c>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c r="AD647" s="3" t="n"/>
      <c r="AE647" s="3" t="n"/>
      <c r="AF647" s="3" t="n"/>
      <c r="AG647" s="3" t="n"/>
      <c r="AH647" s="3" t="n"/>
      <c r="AI647" s="3" t="n"/>
      <c r="AJ647" s="3" t="n"/>
      <c r="AK647" s="3" t="n"/>
      <c r="AL647" s="3" t="n"/>
      <c r="AM647" s="3" t="n"/>
      <c r="AN647" s="3" t="n"/>
      <c r="AO647" s="3" t="n"/>
      <c r="AP647" s="3" t="n"/>
      <c r="AQ647" s="3" t="n"/>
      <c r="AR647" s="3" t="n"/>
      <c r="AS647" s="3" t="n"/>
      <c r="AT647" s="3" t="n">
        <v>5.89902735</v>
      </c>
      <c r="AU647" s="3" t="n">
        <v>6.3924942</v>
      </c>
      <c r="AV647" s="3" t="n">
        <v>6.67263079</v>
      </c>
      <c r="AW647" s="3" t="n">
        <v>7.00761366</v>
      </c>
      <c r="AX647" s="3" t="n">
        <v>7.21972942</v>
      </c>
      <c r="AY647" s="3" t="n">
        <v>7.64242792</v>
      </c>
      <c r="AZ647" s="3" t="n">
        <v>7.516469</v>
      </c>
      <c r="BA647" s="3" t="n">
        <v>7.80773783</v>
      </c>
      <c r="BB647" s="3" t="n">
        <v>9.125647539999999</v>
      </c>
      <c r="BC647" s="3" t="n">
        <v>10.52275658</v>
      </c>
      <c r="BD647" s="3" t="n">
        <v>10.52404499</v>
      </c>
      <c r="BE647" s="3" t="n">
        <v>10.60614967</v>
      </c>
      <c r="BF647" s="3" t="n">
        <v>10.59787655</v>
      </c>
      <c r="BG647" s="3" t="n">
        <v>10.27730751</v>
      </c>
      <c r="BH647" s="3" t="n">
        <v>9.513439180000001</v>
      </c>
      <c r="BI647" s="3" t="n">
        <v>7.33597517</v>
      </c>
      <c r="BJ647" s="3" t="n">
        <v>7.46859169</v>
      </c>
      <c r="BK647" s="3" t="n">
        <v>7.12621927</v>
      </c>
      <c r="BL647" s="3" t="n">
        <v>6.49550152</v>
      </c>
      <c r="BM647" s="3" t="n">
        <v>6.7090106</v>
      </c>
      <c r="BN647" s="3" t="n">
        <v>7.1091466</v>
      </c>
      <c r="BO647" s="3" t="n">
        <v>6.71662664</v>
      </c>
      <c r="BP647" s="3" t="n">
        <v>6.07060957</v>
      </c>
      <c r="BQ647" s="3" t="n"/>
      <c r="BR647" s="34" t="str">
        <f>B647&amp;"|"&amp;D647</f>
        <v>IRL|SH.XPD.CHEX.GD.ZS</v>
      </c>
    </row>
    <row r="648">
      <c r="A648" s="3" t="inlineStr">
        <is>
          <t>Iran, Islamic Rep.</t>
        </is>
      </c>
      <c r="B648" s="3" t="inlineStr">
        <is>
          <t>IRN</t>
        </is>
      </c>
      <c r="C648" s="3" t="inlineStr">
        <is>
          <t>Current health expenditure (% of GDP)</t>
        </is>
      </c>
      <c r="D648" s="3" t="inlineStr">
        <is>
          <t>SH.XPD.CHEX.GD.ZS</t>
        </is>
      </c>
      <c r="E648" s="3" t="n">
        <v>2021</v>
      </c>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c r="AD648" s="3" t="n"/>
      <c r="AE648" s="3" t="n"/>
      <c r="AF648" s="3" t="n"/>
      <c r="AG648" s="3" t="n"/>
      <c r="AH648" s="3" t="n"/>
      <c r="AI648" s="3" t="n"/>
      <c r="AJ648" s="3" t="n"/>
      <c r="AK648" s="3" t="n"/>
      <c r="AL648" s="3" t="n"/>
      <c r="AM648" s="3" t="n"/>
      <c r="AN648" s="3" t="n"/>
      <c r="AO648" s="3" t="n"/>
      <c r="AP648" s="3" t="n"/>
      <c r="AQ648" s="3" t="n"/>
      <c r="AR648" s="3" t="n"/>
      <c r="AS648" s="3" t="n"/>
      <c r="AT648" s="3" t="n">
        <v>4.72250843</v>
      </c>
      <c r="AU648" s="3" t="n">
        <v>5.16087341</v>
      </c>
      <c r="AV648" s="3" t="n">
        <v>4.65182209</v>
      </c>
      <c r="AW648" s="3" t="n">
        <v>4.95589161</v>
      </c>
      <c r="AX648" s="3" t="n">
        <v>5.12801409</v>
      </c>
      <c r="AY648" s="3" t="n">
        <v>5.29996157</v>
      </c>
      <c r="AZ648" s="3" t="n">
        <v>5.15990877</v>
      </c>
      <c r="BA648" s="3" t="n">
        <v>4.91188192</v>
      </c>
      <c r="BB648" s="3" t="n">
        <v>5.03990459</v>
      </c>
      <c r="BC648" s="3" t="n">
        <v>6.11493444</v>
      </c>
      <c r="BD648" s="3" t="n">
        <v>6.29153061</v>
      </c>
      <c r="BE648" s="3" t="n">
        <v>6.09787989</v>
      </c>
      <c r="BF648" s="3" t="n">
        <v>6.12235117</v>
      </c>
      <c r="BG648" s="3" t="n">
        <v>5.54722023</v>
      </c>
      <c r="BH648" s="3" t="n">
        <v>6.35239553</v>
      </c>
      <c r="BI648" s="3" t="n">
        <v>7.53311825</v>
      </c>
      <c r="BJ648" s="3" t="n">
        <v>7.99202633</v>
      </c>
      <c r="BK648" s="3" t="n">
        <v>7.83454609</v>
      </c>
      <c r="BL648" s="3" t="n">
        <v>7.73915195</v>
      </c>
      <c r="BM648" s="3" t="n">
        <v>6.27398872</v>
      </c>
      <c r="BN648" s="3" t="n">
        <v>5.40149546</v>
      </c>
      <c r="BO648" s="3" t="n">
        <v>5.77013779</v>
      </c>
      <c r="BP648" s="3" t="n"/>
      <c r="BQ648" s="3" t="n"/>
      <c r="BR648" s="34" t="str">
        <f>B648&amp;"|"&amp;D648</f>
        <v>IRN|SH.XPD.CHEX.GD.ZS</v>
      </c>
    </row>
    <row r="649">
      <c r="A649" s="3" t="inlineStr">
        <is>
          <t>Iraq</t>
        </is>
      </c>
      <c r="B649" s="3" t="inlineStr">
        <is>
          <t>IRQ</t>
        </is>
      </c>
      <c r="C649" s="3" t="inlineStr">
        <is>
          <t>Current health expenditure (% of GDP)</t>
        </is>
      </c>
      <c r="D649" s="3" t="inlineStr">
        <is>
          <t>SH.XPD.CHEX.GD.ZS</t>
        </is>
      </c>
      <c r="E649" s="3" t="n">
        <v>2021</v>
      </c>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c r="AD649" s="3" t="n"/>
      <c r="AE649" s="3" t="n"/>
      <c r="AF649" s="3" t="n"/>
      <c r="AG649" s="3" t="n"/>
      <c r="AH649" s="3" t="n"/>
      <c r="AI649" s="3" t="n"/>
      <c r="AJ649" s="3" t="n"/>
      <c r="AK649" s="3" t="n"/>
      <c r="AL649" s="3" t="n"/>
      <c r="AM649" s="3" t="n"/>
      <c r="AN649" s="3" t="n"/>
      <c r="AO649" s="3" t="n"/>
      <c r="AP649" s="3" t="n"/>
      <c r="AQ649" s="3" t="n"/>
      <c r="AR649" s="3" t="n"/>
      <c r="AS649" s="3" t="n"/>
      <c r="AT649" s="3" t="n"/>
      <c r="AU649" s="3" t="n"/>
      <c r="AV649" s="3" t="n"/>
      <c r="AW649" s="3" t="n">
        <v>2.99693584</v>
      </c>
      <c r="AX649" s="3" t="n">
        <v>3.90128636</v>
      </c>
      <c r="AY649" s="3" t="n">
        <v>3.01704645</v>
      </c>
      <c r="AZ649" s="3" t="n">
        <v>2.49370432</v>
      </c>
      <c r="BA649" s="3" t="n">
        <v>3.2148056</v>
      </c>
      <c r="BB649" s="3" t="n">
        <v>3.06604242</v>
      </c>
      <c r="BC649" s="3" t="n">
        <v>3.77203989</v>
      </c>
      <c r="BD649" s="3" t="n">
        <v>3.23955345</v>
      </c>
      <c r="BE649" s="3" t="n">
        <v>2.80316377</v>
      </c>
      <c r="BF649" s="3" t="n">
        <v>2.69365859</v>
      </c>
      <c r="BG649" s="3" t="n">
        <v>2.80868459</v>
      </c>
      <c r="BH649" s="3" t="n">
        <v>2.78786659</v>
      </c>
      <c r="BI649" s="3" t="n">
        <v>3.15587044</v>
      </c>
      <c r="BJ649" s="3" t="n">
        <v>4.58949184</v>
      </c>
      <c r="BK649" s="3" t="n">
        <v>4.04064989</v>
      </c>
      <c r="BL649" s="3" t="n">
        <v>4.12989378</v>
      </c>
      <c r="BM649" s="3" t="n">
        <v>4.25509405</v>
      </c>
      <c r="BN649" s="3" t="n">
        <v>6.17485046</v>
      </c>
      <c r="BO649" s="3" t="n">
        <v>5.24727583</v>
      </c>
      <c r="BP649" s="3" t="n"/>
      <c r="BQ649" s="3" t="n"/>
      <c r="BR649" s="34" t="str">
        <f>B649&amp;"|"&amp;D649</f>
        <v>IRQ|SH.XPD.CHEX.GD.ZS</v>
      </c>
    </row>
    <row r="650">
      <c r="A650" s="3" t="inlineStr">
        <is>
          <t>Iceland</t>
        </is>
      </c>
      <c r="B650" s="3" t="inlineStr">
        <is>
          <t>ISL</t>
        </is>
      </c>
      <c r="C650" s="3" t="inlineStr">
        <is>
          <t>Current health expenditure (% of GDP)</t>
        </is>
      </c>
      <c r="D650" s="3" t="inlineStr">
        <is>
          <t>SH.XPD.CHEX.GD.ZS</t>
        </is>
      </c>
      <c r="E650" s="3" t="n">
        <v>2022</v>
      </c>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c r="AD650" s="3" t="n"/>
      <c r="AE650" s="3" t="n"/>
      <c r="AF650" s="3" t="n"/>
      <c r="AG650" s="3" t="n"/>
      <c r="AH650" s="3" t="n"/>
      <c r="AI650" s="3" t="n"/>
      <c r="AJ650" s="3" t="n"/>
      <c r="AK650" s="3" t="n"/>
      <c r="AL650" s="3" t="n"/>
      <c r="AM650" s="3" t="n"/>
      <c r="AN650" s="3" t="n"/>
      <c r="AO650" s="3" t="n"/>
      <c r="AP650" s="3" t="n"/>
      <c r="AQ650" s="3" t="n"/>
      <c r="AR650" s="3" t="n"/>
      <c r="AS650" s="3" t="n"/>
      <c r="AT650" s="3" t="n">
        <v>8.9</v>
      </c>
      <c r="AU650" s="3" t="n">
        <v>8.75</v>
      </c>
      <c r="AV650" s="3" t="n">
        <v>9.4</v>
      </c>
      <c r="AW650" s="3" t="n">
        <v>9.73</v>
      </c>
      <c r="AX650" s="3" t="n">
        <v>9.33</v>
      </c>
      <c r="AY650" s="3" t="n">
        <v>8.949999999999999</v>
      </c>
      <c r="AZ650" s="3" t="n">
        <v>8.56</v>
      </c>
      <c r="BA650" s="3" t="n">
        <v>8.35</v>
      </c>
      <c r="BB650" s="3" t="n">
        <v>8.34</v>
      </c>
      <c r="BC650" s="3" t="n">
        <v>8.779999999999999</v>
      </c>
      <c r="BD650" s="3" t="n">
        <v>8.359999999999999</v>
      </c>
      <c r="BE650" s="3" t="n">
        <v>8.199999999999999</v>
      </c>
      <c r="BF650" s="3" t="n">
        <v>8.18</v>
      </c>
      <c r="BG650" s="3" t="n">
        <v>8.18</v>
      </c>
      <c r="BH650" s="3" t="n">
        <v>8.23</v>
      </c>
      <c r="BI650" s="3" t="n">
        <v>8.07</v>
      </c>
      <c r="BJ650" s="3" t="n">
        <v>8.1</v>
      </c>
      <c r="BK650" s="3" t="n">
        <v>8.26</v>
      </c>
      <c r="BL650" s="3" t="n">
        <v>8.380000000000001</v>
      </c>
      <c r="BM650" s="3" t="n">
        <v>8.58</v>
      </c>
      <c r="BN650" s="3" t="n">
        <v>9.609999999999999</v>
      </c>
      <c r="BO650" s="3" t="n">
        <v>9.73</v>
      </c>
      <c r="BP650" s="3" t="n">
        <v>8.57</v>
      </c>
      <c r="BQ650" s="3" t="n"/>
      <c r="BR650" s="34" t="str">
        <f>B650&amp;"|"&amp;D650</f>
        <v>ISL|SH.XPD.CHEX.GD.ZS</v>
      </c>
    </row>
    <row r="651">
      <c r="A651" s="3" t="inlineStr">
        <is>
          <t>Israel</t>
        </is>
      </c>
      <c r="B651" s="3" t="inlineStr">
        <is>
          <t>ISR</t>
        </is>
      </c>
      <c r="C651" s="3" t="inlineStr">
        <is>
          <t>Current health expenditure (% of GDP)</t>
        </is>
      </c>
      <c r="D651" s="3" t="inlineStr">
        <is>
          <t>SH.XPD.CHEX.GD.ZS</t>
        </is>
      </c>
      <c r="E651" s="3" t="n">
        <v>2021</v>
      </c>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c r="AD651" s="3" t="n"/>
      <c r="AE651" s="3" t="n"/>
      <c r="AF651" s="3" t="n"/>
      <c r="AG651" s="3" t="n"/>
      <c r="AH651" s="3" t="n"/>
      <c r="AI651" s="3" t="n"/>
      <c r="AJ651" s="3" t="n"/>
      <c r="AK651" s="3" t="n"/>
      <c r="AL651" s="3" t="n"/>
      <c r="AM651" s="3" t="n"/>
      <c r="AN651" s="3" t="n"/>
      <c r="AO651" s="3" t="n"/>
      <c r="AP651" s="3" t="n"/>
      <c r="AQ651" s="3" t="n"/>
      <c r="AR651" s="3" t="n"/>
      <c r="AS651" s="3" t="n"/>
      <c r="AT651" s="3" t="n">
        <v>6.62</v>
      </c>
      <c r="AU651" s="3" t="n">
        <v>7.02</v>
      </c>
      <c r="AV651" s="3" t="n">
        <v>6.92</v>
      </c>
      <c r="AW651" s="3" t="n">
        <v>6.86</v>
      </c>
      <c r="AX651" s="3" t="n">
        <v>6.8</v>
      </c>
      <c r="AY651" s="3" t="n">
        <v>6.9</v>
      </c>
      <c r="AZ651" s="3" t="n">
        <v>6.71</v>
      </c>
      <c r="BA651" s="3" t="n">
        <v>6.7</v>
      </c>
      <c r="BB651" s="3" t="n">
        <v>6.83</v>
      </c>
      <c r="BC651" s="3" t="n">
        <v>6.92</v>
      </c>
      <c r="BD651" s="3" t="n">
        <v>6.89</v>
      </c>
      <c r="BE651" s="3" t="n">
        <v>6.84</v>
      </c>
      <c r="BF651" s="3" t="n">
        <v>6.98</v>
      </c>
      <c r="BG651" s="3" t="n">
        <v>6.96</v>
      </c>
      <c r="BH651" s="3" t="n">
        <v>7.05</v>
      </c>
      <c r="BI651" s="3" t="n">
        <v>7.02</v>
      </c>
      <c r="BJ651" s="3" t="n">
        <v>7.1</v>
      </c>
      <c r="BK651" s="3" t="n">
        <v>7.18</v>
      </c>
      <c r="BL651" s="3" t="n">
        <v>7.23</v>
      </c>
      <c r="BM651" s="3" t="n">
        <v>7.17</v>
      </c>
      <c r="BN651" s="3" t="n">
        <v>7.71</v>
      </c>
      <c r="BO651" s="3" t="n">
        <v>7.9</v>
      </c>
      <c r="BP651" s="3" t="n"/>
      <c r="BQ651" s="3" t="n"/>
      <c r="BR651" s="34" t="str">
        <f>B651&amp;"|"&amp;D651</f>
        <v>ISR|SH.XPD.CHEX.GD.ZS</v>
      </c>
    </row>
    <row r="652">
      <c r="A652" s="3" t="inlineStr">
        <is>
          <t>Italy</t>
        </is>
      </c>
      <c r="B652" s="3" t="inlineStr">
        <is>
          <t>ITA</t>
        </is>
      </c>
      <c r="C652" s="3" t="inlineStr">
        <is>
          <t>Current health expenditure (% of GDP)</t>
        </is>
      </c>
      <c r="D652" s="3" t="inlineStr">
        <is>
          <t>SH.XPD.CHEX.GD.ZS</t>
        </is>
      </c>
      <c r="E652" s="3" t="n">
        <v>2022</v>
      </c>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c r="AD652" s="3" t="n"/>
      <c r="AE652" s="3" t="n"/>
      <c r="AF652" s="3" t="n"/>
      <c r="AG652" s="3" t="n"/>
      <c r="AH652" s="3" t="n"/>
      <c r="AI652" s="3" t="n"/>
      <c r="AJ652" s="3" t="n"/>
      <c r="AK652" s="3" t="n"/>
      <c r="AL652" s="3" t="n"/>
      <c r="AM652" s="3" t="n"/>
      <c r="AN652" s="3" t="n"/>
      <c r="AO652" s="3" t="n"/>
      <c r="AP652" s="3" t="n"/>
      <c r="AQ652" s="3" t="n"/>
      <c r="AR652" s="3" t="n"/>
      <c r="AS652" s="3" t="n"/>
      <c r="AT652" s="3" t="n">
        <v>7.57</v>
      </c>
      <c r="AU652" s="3" t="n">
        <v>7.74</v>
      </c>
      <c r="AV652" s="3" t="n">
        <v>7.87</v>
      </c>
      <c r="AW652" s="3" t="n">
        <v>7.83</v>
      </c>
      <c r="AX652" s="3" t="n">
        <v>8.17</v>
      </c>
      <c r="AY652" s="3" t="n">
        <v>8.34</v>
      </c>
      <c r="AZ652" s="3" t="n">
        <v>8.44</v>
      </c>
      <c r="BA652" s="3" t="n">
        <v>8.140000000000001</v>
      </c>
      <c r="BB652" s="3" t="n">
        <v>8.529999999999999</v>
      </c>
      <c r="BC652" s="3" t="n">
        <v>8.949999999999999</v>
      </c>
      <c r="BD652" s="3" t="n">
        <v>8.92</v>
      </c>
      <c r="BE652" s="3" t="n">
        <v>8.77</v>
      </c>
      <c r="BF652" s="3" t="n">
        <v>8.779999999999999</v>
      </c>
      <c r="BG652" s="3" t="n">
        <v>8.779999999999999</v>
      </c>
      <c r="BH652" s="3" t="n">
        <v>8.869999999999999</v>
      </c>
      <c r="BI652" s="3" t="n">
        <v>8.859999999999999</v>
      </c>
      <c r="BJ652" s="3" t="n">
        <v>8.73</v>
      </c>
      <c r="BK652" s="3" t="n">
        <v>8.68</v>
      </c>
      <c r="BL652" s="3" t="n">
        <v>8.68</v>
      </c>
      <c r="BM652" s="3" t="n">
        <v>8.66</v>
      </c>
      <c r="BN652" s="3" t="n">
        <v>9.630000000000001</v>
      </c>
      <c r="BO652" s="3" t="n">
        <v>9.380000000000001</v>
      </c>
      <c r="BP652" s="3" t="n">
        <v>9</v>
      </c>
      <c r="BQ652" s="3" t="n"/>
      <c r="BR652" s="34" t="str">
        <f>B652&amp;"|"&amp;D652</f>
        <v>ITA|SH.XPD.CHEX.GD.ZS</v>
      </c>
    </row>
    <row r="653">
      <c r="A653" s="3" t="inlineStr">
        <is>
          <t>Jamaica</t>
        </is>
      </c>
      <c r="B653" s="3" t="inlineStr">
        <is>
          <t>JAM</t>
        </is>
      </c>
      <c r="C653" s="3" t="inlineStr">
        <is>
          <t>Current health expenditure (% of GDP)</t>
        </is>
      </c>
      <c r="D653" s="3" t="inlineStr">
        <is>
          <t>SH.XPD.CHEX.GD.ZS</t>
        </is>
      </c>
      <c r="E653" s="3" t="n">
        <v>2021</v>
      </c>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c r="AD653" s="3" t="n"/>
      <c r="AE653" s="3" t="n"/>
      <c r="AF653" s="3" t="n"/>
      <c r="AG653" s="3" t="n"/>
      <c r="AH653" s="3" t="n"/>
      <c r="AI653" s="3" t="n"/>
      <c r="AJ653" s="3" t="n"/>
      <c r="AK653" s="3" t="n"/>
      <c r="AL653" s="3" t="n"/>
      <c r="AM653" s="3" t="n"/>
      <c r="AN653" s="3" t="n"/>
      <c r="AO653" s="3" t="n"/>
      <c r="AP653" s="3" t="n"/>
      <c r="AQ653" s="3" t="n"/>
      <c r="AR653" s="3" t="n"/>
      <c r="AS653" s="3" t="n"/>
      <c r="AT653" s="3" t="n">
        <v>5.64462519</v>
      </c>
      <c r="AU653" s="3" t="n">
        <v>5.15652943</v>
      </c>
      <c r="AV653" s="3" t="n">
        <v>4.74544334</v>
      </c>
      <c r="AW653" s="3" t="n">
        <v>4.22014141</v>
      </c>
      <c r="AX653" s="3" t="n">
        <v>4.80435276</v>
      </c>
      <c r="AY653" s="3" t="n">
        <v>4.54581785</v>
      </c>
      <c r="AZ653" s="3" t="n">
        <v>4.20788145</v>
      </c>
      <c r="BA653" s="3" t="n">
        <v>5.32057667</v>
      </c>
      <c r="BB653" s="3" t="n">
        <v>5.61143064</v>
      </c>
      <c r="BC653" s="3" t="n">
        <v>5.14654493</v>
      </c>
      <c r="BD653" s="3" t="n">
        <v>5.2951932</v>
      </c>
      <c r="BE653" s="3" t="n">
        <v>5.23845339</v>
      </c>
      <c r="BF653" s="3" t="n">
        <v>4.88512897</v>
      </c>
      <c r="BG653" s="3" t="n">
        <v>4.95443439</v>
      </c>
      <c r="BH653" s="3" t="n">
        <v>5.16564465</v>
      </c>
      <c r="BI653" s="3" t="n">
        <v>5.62470436</v>
      </c>
      <c r="BJ653" s="3" t="n">
        <v>5.70102215</v>
      </c>
      <c r="BK653" s="3" t="n">
        <v>6.14859295</v>
      </c>
      <c r="BL653" s="3" t="n">
        <v>5.96798849</v>
      </c>
      <c r="BM653" s="3" t="n">
        <v>6.09761</v>
      </c>
      <c r="BN653" s="3" t="n">
        <v>6.62580395</v>
      </c>
      <c r="BO653" s="3" t="n">
        <v>7.18521214</v>
      </c>
      <c r="BP653" s="3" t="n"/>
      <c r="BQ653" s="3" t="n"/>
      <c r="BR653" s="34" t="str">
        <f>B653&amp;"|"&amp;D653</f>
        <v>JAM|SH.XPD.CHEX.GD.ZS</v>
      </c>
    </row>
    <row r="654">
      <c r="A654" s="3" t="inlineStr">
        <is>
          <t>Jordan</t>
        </is>
      </c>
      <c r="B654" s="3" t="inlineStr">
        <is>
          <t>JOR</t>
        </is>
      </c>
      <c r="C654" s="3" t="inlineStr">
        <is>
          <t>Current health expenditure (% of GDP)</t>
        </is>
      </c>
      <c r="D654" s="3" t="inlineStr">
        <is>
          <t>SH.XPD.CHEX.GD.ZS</t>
        </is>
      </c>
      <c r="E654" s="3" t="n">
        <v>2021</v>
      </c>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c r="AD654" s="3" t="n"/>
      <c r="AE654" s="3" t="n"/>
      <c r="AF654" s="3" t="n"/>
      <c r="AG654" s="3" t="n"/>
      <c r="AH654" s="3" t="n"/>
      <c r="AI654" s="3" t="n"/>
      <c r="AJ654" s="3" t="n"/>
      <c r="AK654" s="3" t="n"/>
      <c r="AL654" s="3" t="n"/>
      <c r="AM654" s="3" t="n"/>
      <c r="AN654" s="3" t="n"/>
      <c r="AO654" s="3" t="n"/>
      <c r="AP654" s="3" t="n"/>
      <c r="AQ654" s="3" t="n"/>
      <c r="AR654" s="3" t="n"/>
      <c r="AS654" s="3" t="n"/>
      <c r="AT654" s="3" t="n">
        <v>9.34367943</v>
      </c>
      <c r="AU654" s="3" t="n">
        <v>9.57236385</v>
      </c>
      <c r="AV654" s="3" t="n">
        <v>9.2786417</v>
      </c>
      <c r="AW654" s="3" t="n">
        <v>8.78901005</v>
      </c>
      <c r="AX654" s="3" t="n">
        <v>8.74670506</v>
      </c>
      <c r="AY654" s="3" t="n">
        <v>8.49441624</v>
      </c>
      <c r="AZ654" s="3" t="n">
        <v>7.67925692</v>
      </c>
      <c r="BA654" s="3" t="n">
        <v>7.90982628</v>
      </c>
      <c r="BB654" s="3" t="n">
        <v>8.488805770000001</v>
      </c>
      <c r="BC654" s="3" t="n">
        <v>9.223969459999999</v>
      </c>
      <c r="BD654" s="3" t="n">
        <v>8.170256609999999</v>
      </c>
      <c r="BE654" s="3" t="n">
        <v>8.14807701</v>
      </c>
      <c r="BF654" s="3" t="n">
        <v>7.81799555</v>
      </c>
      <c r="BG654" s="3" t="n">
        <v>7.16592407</v>
      </c>
      <c r="BH654" s="3" t="n">
        <v>7.20892906</v>
      </c>
      <c r="BI654" s="3" t="n">
        <v>7.4609561</v>
      </c>
      <c r="BJ654" s="3" t="n">
        <v>6.97644138</v>
      </c>
      <c r="BK654" s="3" t="n">
        <v>7.10953665</v>
      </c>
      <c r="BL654" s="3" t="n">
        <v>6.98295021</v>
      </c>
      <c r="BM654" s="3" t="n">
        <v>6.99518251</v>
      </c>
      <c r="BN654" s="3" t="n">
        <v>7.03820276</v>
      </c>
      <c r="BO654" s="3" t="n">
        <v>7.28875065</v>
      </c>
      <c r="BP654" s="3" t="n"/>
      <c r="BQ654" s="3" t="n"/>
      <c r="BR654" s="34" t="str">
        <f>B654&amp;"|"&amp;D654</f>
        <v>JOR|SH.XPD.CHEX.GD.ZS</v>
      </c>
    </row>
    <row r="655">
      <c r="A655" s="3" t="inlineStr">
        <is>
          <t>Japan</t>
        </is>
      </c>
      <c r="B655" s="3" t="inlineStr">
        <is>
          <t>JPN</t>
        </is>
      </c>
      <c r="C655" s="3" t="inlineStr">
        <is>
          <t>Current health expenditure (% of GDP)</t>
        </is>
      </c>
      <c r="D655" s="3" t="inlineStr">
        <is>
          <t>SH.XPD.CHEX.GD.ZS</t>
        </is>
      </c>
      <c r="E655" s="3" t="n">
        <v>2021</v>
      </c>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c r="AD655" s="3" t="n"/>
      <c r="AE655" s="3" t="n"/>
      <c r="AF655" s="3" t="n"/>
      <c r="AG655" s="3" t="n"/>
      <c r="AH655" s="3" t="n"/>
      <c r="AI655" s="3" t="n"/>
      <c r="AJ655" s="3" t="n"/>
      <c r="AK655" s="3" t="n"/>
      <c r="AL655" s="3" t="n"/>
      <c r="AM655" s="3" t="n"/>
      <c r="AN655" s="3" t="n"/>
      <c r="AO655" s="3" t="n"/>
      <c r="AP655" s="3" t="n"/>
      <c r="AQ655" s="3" t="n"/>
      <c r="AR655" s="3" t="n"/>
      <c r="AS655" s="3" t="n"/>
      <c r="AT655" s="3" t="n">
        <v>7.03</v>
      </c>
      <c r="AU655" s="3" t="n">
        <v>7.24</v>
      </c>
      <c r="AV655" s="3" t="n">
        <v>7.35</v>
      </c>
      <c r="AW655" s="3" t="n">
        <v>7.49</v>
      </c>
      <c r="AX655" s="3" t="n">
        <v>7.54</v>
      </c>
      <c r="AY655" s="3" t="n">
        <v>7.66</v>
      </c>
      <c r="AZ655" s="3" t="n">
        <v>7.69</v>
      </c>
      <c r="BA655" s="3" t="n">
        <v>7.78</v>
      </c>
      <c r="BB655" s="3" t="n">
        <v>8.09</v>
      </c>
      <c r="BC655" s="3" t="n">
        <v>8.960000000000001</v>
      </c>
      <c r="BD655" s="3" t="n">
        <v>9.06</v>
      </c>
      <c r="BE655" s="3" t="n">
        <v>10.49</v>
      </c>
      <c r="BF655" s="3" t="n">
        <v>10.67</v>
      </c>
      <c r="BG655" s="3" t="n">
        <v>10.67</v>
      </c>
      <c r="BH655" s="3" t="n">
        <v>10.73</v>
      </c>
      <c r="BI655" s="3" t="n">
        <v>10.75</v>
      </c>
      <c r="BJ655" s="3" t="n">
        <v>10.66</v>
      </c>
      <c r="BK655" s="3" t="n">
        <v>10.66</v>
      </c>
      <c r="BL655" s="3" t="n">
        <v>10.74</v>
      </c>
      <c r="BM655" s="3" t="n">
        <v>10.97</v>
      </c>
      <c r="BN655" s="3" t="n">
        <v>11</v>
      </c>
      <c r="BO655" s="3" t="n">
        <v>10.82</v>
      </c>
      <c r="BP655" s="3" t="n"/>
      <c r="BQ655" s="3" t="n"/>
      <c r="BR655" s="34" t="str">
        <f>B655&amp;"|"&amp;D655</f>
        <v>JPN|SH.XPD.CHEX.GD.ZS</v>
      </c>
    </row>
    <row r="656">
      <c r="A656" s="3" t="inlineStr">
        <is>
          <t>Kazakhstan</t>
        </is>
      </c>
      <c r="B656" s="3" t="inlineStr">
        <is>
          <t>KAZ</t>
        </is>
      </c>
      <c r="C656" s="3" t="inlineStr">
        <is>
          <t>Current health expenditure (% of GDP)</t>
        </is>
      </c>
      <c r="D656" s="3" t="inlineStr">
        <is>
          <t>SH.XPD.CHEX.GD.ZS</t>
        </is>
      </c>
      <c r="E656" s="3" t="n">
        <v>2021</v>
      </c>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c r="AD656" s="3" t="n"/>
      <c r="AE656" s="3" t="n"/>
      <c r="AF656" s="3" t="n"/>
      <c r="AG656" s="3" t="n"/>
      <c r="AH656" s="3" t="n"/>
      <c r="AI656" s="3" t="n"/>
      <c r="AJ656" s="3" t="n"/>
      <c r="AK656" s="3" t="n"/>
      <c r="AL656" s="3" t="n"/>
      <c r="AM656" s="3" t="n"/>
      <c r="AN656" s="3" t="n"/>
      <c r="AO656" s="3" t="n"/>
      <c r="AP656" s="3" t="n"/>
      <c r="AQ656" s="3" t="n"/>
      <c r="AR656" s="3" t="n"/>
      <c r="AS656" s="3" t="n"/>
      <c r="AT656" s="3" t="n">
        <v>4.16</v>
      </c>
      <c r="AU656" s="3" t="n">
        <v>3.47</v>
      </c>
      <c r="AV656" s="3" t="n">
        <v>3.61</v>
      </c>
      <c r="AW656" s="3" t="n">
        <v>3.72</v>
      </c>
      <c r="AX656" s="3" t="n">
        <v>3.98</v>
      </c>
      <c r="AY656" s="3" t="n">
        <v>3.9</v>
      </c>
      <c r="AZ656" s="3" t="n">
        <v>3.4</v>
      </c>
      <c r="BA656" s="3" t="n">
        <v>2.7</v>
      </c>
      <c r="BB656" s="3" t="n">
        <v>3.05</v>
      </c>
      <c r="BC656" s="3" t="n">
        <v>3.5</v>
      </c>
      <c r="BD656" s="3" t="n">
        <v>2.74</v>
      </c>
      <c r="BE656" s="3" t="n">
        <v>2.6</v>
      </c>
      <c r="BF656" s="3" t="n">
        <v>3.04</v>
      </c>
      <c r="BG656" s="3" t="n">
        <v>2.66</v>
      </c>
      <c r="BH656" s="3" t="n">
        <v>2.97</v>
      </c>
      <c r="BI656" s="3" t="n">
        <v>3.04</v>
      </c>
      <c r="BJ656" s="3" t="n">
        <v>3.42</v>
      </c>
      <c r="BK656" s="3" t="n">
        <v>3.05</v>
      </c>
      <c r="BL656" s="3" t="n">
        <v>2.82</v>
      </c>
      <c r="BM656" s="3" t="n">
        <v>2.79</v>
      </c>
      <c r="BN656" s="3" t="n">
        <v>3.75</v>
      </c>
      <c r="BO656" s="3" t="n">
        <v>3.92</v>
      </c>
      <c r="BP656" s="3" t="n"/>
      <c r="BQ656" s="3" t="n"/>
      <c r="BR656" s="34" t="str">
        <f>B656&amp;"|"&amp;D656</f>
        <v>KAZ|SH.XPD.CHEX.GD.ZS</v>
      </c>
    </row>
    <row r="657">
      <c r="A657" s="3" t="inlineStr">
        <is>
          <t>Kenya</t>
        </is>
      </c>
      <c r="B657" s="3" t="inlineStr">
        <is>
          <t>KEN</t>
        </is>
      </c>
      <c r="C657" s="3" t="inlineStr">
        <is>
          <t>Current health expenditure (% of GDP)</t>
        </is>
      </c>
      <c r="D657" s="3" t="inlineStr">
        <is>
          <t>SH.XPD.CHEX.GD.ZS</t>
        </is>
      </c>
      <c r="E657" s="3" t="n">
        <v>2021</v>
      </c>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c r="AD657" s="3" t="n"/>
      <c r="AE657" s="3" t="n"/>
      <c r="AF657" s="3" t="n"/>
      <c r="AG657" s="3" t="n"/>
      <c r="AH657" s="3" t="n"/>
      <c r="AI657" s="3" t="n"/>
      <c r="AJ657" s="3" t="n"/>
      <c r="AK657" s="3" t="n"/>
      <c r="AL657" s="3" t="n"/>
      <c r="AM657" s="3" t="n"/>
      <c r="AN657" s="3" t="n"/>
      <c r="AO657" s="3" t="n"/>
      <c r="AP657" s="3" t="n"/>
      <c r="AQ657" s="3" t="n"/>
      <c r="AR657" s="3" t="n"/>
      <c r="AS657" s="3" t="n"/>
      <c r="AT657" s="3" t="n">
        <v>3.62714171</v>
      </c>
      <c r="AU657" s="3" t="n">
        <v>3.76578307</v>
      </c>
      <c r="AV657" s="3" t="n">
        <v>3.84691834</v>
      </c>
      <c r="AW657" s="3" t="n">
        <v>4.05870771</v>
      </c>
      <c r="AX657" s="3" t="n">
        <v>4.23645926</v>
      </c>
      <c r="AY657" s="3" t="n">
        <v>4.24245214</v>
      </c>
      <c r="AZ657" s="3" t="n">
        <v>5.11269999</v>
      </c>
      <c r="BA657" s="3" t="n">
        <v>5.22106314</v>
      </c>
      <c r="BB657" s="3" t="n">
        <v>5.28900909</v>
      </c>
      <c r="BC657" s="3" t="n">
        <v>5.26973343</v>
      </c>
      <c r="BD657" s="3" t="n">
        <v>5.38849831</v>
      </c>
      <c r="BE657" s="3" t="n">
        <v>5.20212841</v>
      </c>
      <c r="BF657" s="3" t="n">
        <v>5.0180583</v>
      </c>
      <c r="BG657" s="3" t="n">
        <v>4.93100405</v>
      </c>
      <c r="BH657" s="3" t="n">
        <v>4.91267347</v>
      </c>
      <c r="BI657" s="3" t="n">
        <v>4.76439571</v>
      </c>
      <c r="BJ657" s="3" t="n">
        <v>4.75429106</v>
      </c>
      <c r="BK657" s="3" t="n">
        <v>3.98597503</v>
      </c>
      <c r="BL657" s="3" t="n">
        <v>4.09903383</v>
      </c>
      <c r="BM657" s="3" t="n">
        <v>4.36874676</v>
      </c>
      <c r="BN657" s="3" t="n">
        <v>4.47622252</v>
      </c>
      <c r="BO657" s="3" t="n">
        <v>4.54763126</v>
      </c>
      <c r="BP657" s="3" t="n"/>
      <c r="BQ657" s="3" t="n"/>
      <c r="BR657" s="34" t="str">
        <f>B657&amp;"|"&amp;D657</f>
        <v>KEN|SH.XPD.CHEX.GD.ZS</v>
      </c>
    </row>
    <row r="658">
      <c r="A658" s="3" t="inlineStr">
        <is>
          <t>Kyrgyz Republic</t>
        </is>
      </c>
      <c r="B658" s="3" t="inlineStr">
        <is>
          <t>KGZ</t>
        </is>
      </c>
      <c r="C658" s="3" t="inlineStr">
        <is>
          <t>Current health expenditure (% of GDP)</t>
        </is>
      </c>
      <c r="D658" s="3" t="inlineStr">
        <is>
          <t>SH.XPD.CHEX.GD.ZS</t>
        </is>
      </c>
      <c r="E658" s="3" t="n">
        <v>2021</v>
      </c>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c r="AD658" s="3" t="n"/>
      <c r="AE658" s="3" t="n"/>
      <c r="AF658" s="3" t="n"/>
      <c r="AG658" s="3" t="n"/>
      <c r="AH658" s="3" t="n"/>
      <c r="AI658" s="3" t="n"/>
      <c r="AJ658" s="3" t="n"/>
      <c r="AK658" s="3" t="n"/>
      <c r="AL658" s="3" t="n"/>
      <c r="AM658" s="3" t="n"/>
      <c r="AN658" s="3" t="n"/>
      <c r="AO658" s="3" t="n"/>
      <c r="AP658" s="3" t="n"/>
      <c r="AQ658" s="3" t="n"/>
      <c r="AR658" s="3" t="n"/>
      <c r="AS658" s="3" t="n"/>
      <c r="AT658" s="3" t="n">
        <v>4.41</v>
      </c>
      <c r="AU658" s="3" t="n">
        <v>4.28</v>
      </c>
      <c r="AV658" s="3" t="n">
        <v>4.59</v>
      </c>
      <c r="AW658" s="3" t="n">
        <v>5.82</v>
      </c>
      <c r="AX658" s="3" t="n">
        <v>6.2</v>
      </c>
      <c r="AY658" s="3" t="n">
        <v>7.45</v>
      </c>
      <c r="AZ658" s="3" t="n">
        <v>8.31</v>
      </c>
      <c r="BA658" s="3" t="n">
        <v>6.93</v>
      </c>
      <c r="BB658" s="3" t="n">
        <v>6.53</v>
      </c>
      <c r="BC658" s="3" t="n">
        <v>6.9</v>
      </c>
      <c r="BD658" s="3" t="n">
        <v>6.95</v>
      </c>
      <c r="BE658" s="3" t="n">
        <v>7.11</v>
      </c>
      <c r="BF658" s="3" t="n">
        <v>8.51</v>
      </c>
      <c r="BG658" s="3" t="n">
        <v>8.19</v>
      </c>
      <c r="BH658" s="3" t="n">
        <v>7.36</v>
      </c>
      <c r="BI658" s="3" t="n">
        <v>7.15</v>
      </c>
      <c r="BJ658" s="3" t="n">
        <v>6.41</v>
      </c>
      <c r="BK658" s="3" t="n">
        <v>6.19</v>
      </c>
      <c r="BL658" s="3" t="n">
        <v>5.01</v>
      </c>
      <c r="BM658" s="3" t="n">
        <v>4.49</v>
      </c>
      <c r="BN658" s="3" t="n">
        <v>5.26</v>
      </c>
      <c r="BO658" s="3" t="n">
        <v>5.44</v>
      </c>
      <c r="BP658" s="3" t="n"/>
      <c r="BQ658" s="3" t="n"/>
      <c r="BR658" s="34" t="str">
        <f>B658&amp;"|"&amp;D658</f>
        <v>KGZ|SH.XPD.CHEX.GD.ZS</v>
      </c>
    </row>
    <row r="659">
      <c r="A659" s="3" t="inlineStr">
        <is>
          <t>Cambodia</t>
        </is>
      </c>
      <c r="B659" s="3" t="inlineStr">
        <is>
          <t>KHM</t>
        </is>
      </c>
      <c r="C659" s="3" t="inlineStr">
        <is>
          <t>Current health expenditure (% of GDP)</t>
        </is>
      </c>
      <c r="D659" s="3" t="inlineStr">
        <is>
          <t>SH.XPD.CHEX.GD.ZS</t>
        </is>
      </c>
      <c r="E659" s="3" t="n">
        <v>2021</v>
      </c>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c r="AD659" s="3" t="n"/>
      <c r="AE659" s="3" t="n"/>
      <c r="AF659" s="3" t="n"/>
      <c r="AG659" s="3" t="n"/>
      <c r="AH659" s="3" t="n"/>
      <c r="AI659" s="3" t="n"/>
      <c r="AJ659" s="3" t="n"/>
      <c r="AK659" s="3" t="n"/>
      <c r="AL659" s="3" t="n"/>
      <c r="AM659" s="3" t="n"/>
      <c r="AN659" s="3" t="n"/>
      <c r="AO659" s="3" t="n"/>
      <c r="AP659" s="3" t="n"/>
      <c r="AQ659" s="3" t="n"/>
      <c r="AR659" s="3" t="n"/>
      <c r="AS659" s="3" t="n"/>
      <c r="AT659" s="3" t="n">
        <v>6.53804731</v>
      </c>
      <c r="AU659" s="3" t="n">
        <v>7.00522089</v>
      </c>
      <c r="AV659" s="3" t="n">
        <v>7.22556973</v>
      </c>
      <c r="AW659" s="3" t="n">
        <v>6.93705606</v>
      </c>
      <c r="AX659" s="3" t="n">
        <v>7.07894278</v>
      </c>
      <c r="AY659" s="3" t="n">
        <v>6.84559298</v>
      </c>
      <c r="AZ659" s="3" t="n">
        <v>6.11889315</v>
      </c>
      <c r="BA659" s="3" t="n">
        <v>4.90875959</v>
      </c>
      <c r="BB659" s="3" t="n">
        <v>6.60109425</v>
      </c>
      <c r="BC659" s="3" t="n">
        <v>7.58330584</v>
      </c>
      <c r="BD659" s="3" t="n">
        <v>6.91169977</v>
      </c>
      <c r="BE659" s="3" t="n">
        <v>7.50353098</v>
      </c>
      <c r="BF659" s="3" t="n">
        <v>7.26115417</v>
      </c>
      <c r="BG659" s="3" t="n">
        <v>7.10386753</v>
      </c>
      <c r="BH659" s="3" t="n">
        <v>6.70157766</v>
      </c>
      <c r="BI659" s="3" t="n">
        <v>6.19431591</v>
      </c>
      <c r="BJ659" s="3" t="n">
        <v>6.11648464</v>
      </c>
      <c r="BK659" s="3" t="n">
        <v>5.65125847</v>
      </c>
      <c r="BL659" s="3" t="n">
        <v>6.06630135</v>
      </c>
      <c r="BM659" s="3" t="n">
        <v>6.84972715</v>
      </c>
      <c r="BN659" s="3" t="n">
        <v>7.11156559</v>
      </c>
      <c r="BO659" s="3" t="n">
        <v>7.53223085</v>
      </c>
      <c r="BP659" s="3" t="n"/>
      <c r="BQ659" s="3" t="n"/>
      <c r="BR659" s="34" t="str">
        <f>B659&amp;"|"&amp;D659</f>
        <v>KHM|SH.XPD.CHEX.GD.ZS</v>
      </c>
    </row>
    <row r="660">
      <c r="A660" s="3" t="inlineStr">
        <is>
          <t>Kiribati</t>
        </is>
      </c>
      <c r="B660" s="3" t="inlineStr">
        <is>
          <t>KIR</t>
        </is>
      </c>
      <c r="C660" s="3" t="inlineStr">
        <is>
          <t>Current health expenditure (% of GDP)</t>
        </is>
      </c>
      <c r="D660" s="3" t="inlineStr">
        <is>
          <t>SH.XPD.CHEX.GD.ZS</t>
        </is>
      </c>
      <c r="E660" s="3" t="n">
        <v>2021</v>
      </c>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c r="AD660" s="3" t="n"/>
      <c r="AE660" s="3" t="n"/>
      <c r="AF660" s="3" t="n"/>
      <c r="AG660" s="3" t="n"/>
      <c r="AH660" s="3" t="n"/>
      <c r="AI660" s="3" t="n"/>
      <c r="AJ660" s="3" t="n"/>
      <c r="AK660" s="3" t="n"/>
      <c r="AL660" s="3" t="n"/>
      <c r="AM660" s="3" t="n"/>
      <c r="AN660" s="3" t="n"/>
      <c r="AO660" s="3" t="n"/>
      <c r="AP660" s="3" t="n"/>
      <c r="AQ660" s="3" t="n"/>
      <c r="AR660" s="3" t="n"/>
      <c r="AS660" s="3" t="n"/>
      <c r="AT660" s="3" t="n">
        <v>8.65</v>
      </c>
      <c r="AU660" s="3" t="n">
        <v>12.3</v>
      </c>
      <c r="AV660" s="3" t="n">
        <v>11.87</v>
      </c>
      <c r="AW660" s="3" t="n">
        <v>10.7</v>
      </c>
      <c r="AX660" s="3" t="n">
        <v>12.43</v>
      </c>
      <c r="AY660" s="3" t="n">
        <v>11.52</v>
      </c>
      <c r="AZ660" s="3" t="n">
        <v>11.54</v>
      </c>
      <c r="BA660" s="3" t="n">
        <v>11.36</v>
      </c>
      <c r="BB660" s="3" t="n">
        <v>14.08</v>
      </c>
      <c r="BC660" s="3" t="n">
        <v>13.49</v>
      </c>
      <c r="BD660" s="3" t="n">
        <v>9.34</v>
      </c>
      <c r="BE660" s="3" t="n">
        <v>8.67</v>
      </c>
      <c r="BF660" s="3" t="n">
        <v>8.69</v>
      </c>
      <c r="BG660" s="3" t="n">
        <v>9.529999999999999</v>
      </c>
      <c r="BH660" s="3" t="n">
        <v>10.09</v>
      </c>
      <c r="BI660" s="3" t="n">
        <v>8.109999999999999</v>
      </c>
      <c r="BJ660" s="3" t="n">
        <v>10.47</v>
      </c>
      <c r="BK660" s="3" t="n">
        <v>11.46</v>
      </c>
      <c r="BL660" s="3" t="n">
        <v>12.97</v>
      </c>
      <c r="BM660" s="3" t="n">
        <v>12.59</v>
      </c>
      <c r="BN660" s="3" t="n">
        <v>16.99</v>
      </c>
      <c r="BO660" s="3" t="n">
        <v>14.81</v>
      </c>
      <c r="BP660" s="3" t="n"/>
      <c r="BQ660" s="3" t="n"/>
      <c r="BR660" s="34" t="str">
        <f>B660&amp;"|"&amp;D660</f>
        <v>KIR|SH.XPD.CHEX.GD.ZS</v>
      </c>
    </row>
    <row r="661">
      <c r="A661" s="3" t="inlineStr">
        <is>
          <t>St. Kitts and Nevis</t>
        </is>
      </c>
      <c r="B661" s="3" t="inlineStr">
        <is>
          <t>KNA</t>
        </is>
      </c>
      <c r="C661" s="3" t="inlineStr">
        <is>
          <t>Current health expenditure (% of GDP)</t>
        </is>
      </c>
      <c r="D661" s="3" t="inlineStr">
        <is>
          <t>SH.XPD.CHEX.GD.ZS</t>
        </is>
      </c>
      <c r="E661" s="3" t="n">
        <v>2021</v>
      </c>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c r="AD661" s="3" t="n"/>
      <c r="AE661" s="3" t="n"/>
      <c r="AF661" s="3" t="n"/>
      <c r="AG661" s="3" t="n"/>
      <c r="AH661" s="3" t="n"/>
      <c r="AI661" s="3" t="n"/>
      <c r="AJ661" s="3" t="n"/>
      <c r="AK661" s="3" t="n"/>
      <c r="AL661" s="3" t="n"/>
      <c r="AM661" s="3" t="n"/>
      <c r="AN661" s="3" t="n"/>
      <c r="AO661" s="3" t="n"/>
      <c r="AP661" s="3" t="n"/>
      <c r="AQ661" s="3" t="n"/>
      <c r="AR661" s="3" t="n"/>
      <c r="AS661" s="3" t="n"/>
      <c r="AT661" s="3" t="n">
        <v>4.79933786</v>
      </c>
      <c r="AU661" s="3" t="n">
        <v>4.39693737</v>
      </c>
      <c r="AV661" s="3" t="n">
        <v>4.45210552</v>
      </c>
      <c r="AW661" s="3" t="n">
        <v>4.75159693</v>
      </c>
      <c r="AX661" s="3" t="n">
        <v>4.49067402</v>
      </c>
      <c r="AY661" s="3" t="n">
        <v>4.72803831</v>
      </c>
      <c r="AZ661" s="3" t="n">
        <v>4.98203421</v>
      </c>
      <c r="BA661" s="3" t="n">
        <v>4.79733467</v>
      </c>
      <c r="BB661" s="3" t="n">
        <v>5.30566025</v>
      </c>
      <c r="BC661" s="3" t="n">
        <v>5.28673744</v>
      </c>
      <c r="BD661" s="3" t="n">
        <v>5.2136941</v>
      </c>
      <c r="BE661" s="3" t="n">
        <v>5.1628871</v>
      </c>
      <c r="BF661" s="3" t="n">
        <v>5.00998354</v>
      </c>
      <c r="BG661" s="3" t="n">
        <v>5.04429483</v>
      </c>
      <c r="BH661" s="3" t="n">
        <v>4.74668789</v>
      </c>
      <c r="BI661" s="3" t="n">
        <v>5.11798382</v>
      </c>
      <c r="BJ661" s="3" t="n">
        <v>5.42126036</v>
      </c>
      <c r="BK661" s="3" t="n">
        <v>5.26021719</v>
      </c>
      <c r="BL661" s="3" t="n">
        <v>4.89200258</v>
      </c>
      <c r="BM661" s="3" t="n">
        <v>5.18704271</v>
      </c>
      <c r="BN661" s="3" t="n">
        <v>5.65951824</v>
      </c>
      <c r="BO661" s="3" t="n">
        <v>6.1634655</v>
      </c>
      <c r="BP661" s="3" t="n"/>
      <c r="BQ661" s="3" t="n"/>
      <c r="BR661" s="34" t="str">
        <f>B661&amp;"|"&amp;D661</f>
        <v>KNA|SH.XPD.CHEX.GD.ZS</v>
      </c>
    </row>
    <row r="662">
      <c r="A662" s="3" t="inlineStr">
        <is>
          <t>Korea, Rep.</t>
        </is>
      </c>
      <c r="B662" s="3" t="inlineStr">
        <is>
          <t>KOR</t>
        </is>
      </c>
      <c r="C662" s="3" t="inlineStr">
        <is>
          <t>Current health expenditure (% of GDP)</t>
        </is>
      </c>
      <c r="D662" s="3" t="inlineStr">
        <is>
          <t>SH.XPD.CHEX.GD.ZS</t>
        </is>
      </c>
      <c r="E662" s="3" t="n">
        <v>2022</v>
      </c>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c r="AD662" s="3" t="n"/>
      <c r="AE662" s="3" t="n"/>
      <c r="AF662" s="3" t="n"/>
      <c r="AG662" s="3" t="n"/>
      <c r="AH662" s="3" t="n"/>
      <c r="AI662" s="3" t="n"/>
      <c r="AJ662" s="3" t="n"/>
      <c r="AK662" s="3" t="n"/>
      <c r="AL662" s="3" t="n"/>
      <c r="AM662" s="3" t="n"/>
      <c r="AN662" s="3" t="n"/>
      <c r="AO662" s="3" t="n"/>
      <c r="AP662" s="3" t="n"/>
      <c r="AQ662" s="3" t="n"/>
      <c r="AR662" s="3" t="n"/>
      <c r="AS662" s="3" t="n"/>
      <c r="AT662" s="3" t="n">
        <v>3.85544181</v>
      </c>
      <c r="AU662" s="3" t="n">
        <v>4.29693604</v>
      </c>
      <c r="AV662" s="3" t="n">
        <v>4.0143261</v>
      </c>
      <c r="AW662" s="3" t="n">
        <v>4.28309107</v>
      </c>
      <c r="AX662" s="3" t="n">
        <v>4.26715517</v>
      </c>
      <c r="AY662" s="3" t="n">
        <v>4.54809093</v>
      </c>
      <c r="AZ662" s="3" t="n">
        <v>4.84870243</v>
      </c>
      <c r="BA662" s="3" t="n">
        <v>4.95489931</v>
      </c>
      <c r="BB662" s="3" t="n">
        <v>5.24600267</v>
      </c>
      <c r="BC662" s="3" t="n">
        <v>5.65905666</v>
      </c>
      <c r="BD662" s="3" t="n">
        <v>5.81980991</v>
      </c>
      <c r="BE662" s="3" t="n">
        <v>5.91454506</v>
      </c>
      <c r="BF662" s="3" t="n">
        <v>6.0325017</v>
      </c>
      <c r="BG662" s="3" t="n">
        <v>6.15069818</v>
      </c>
      <c r="BH662" s="3" t="n">
        <v>6.40432453</v>
      </c>
      <c r="BI662" s="3" t="n">
        <v>6.58926058</v>
      </c>
      <c r="BJ662" s="3" t="n">
        <v>6.87049913</v>
      </c>
      <c r="BK662" s="3" t="n">
        <v>7.04742336</v>
      </c>
      <c r="BL662" s="3" t="n">
        <v>7.49119806</v>
      </c>
      <c r="BM662" s="3" t="n">
        <v>8.17479515</v>
      </c>
      <c r="BN662" s="3" t="n">
        <v>8.349771499999999</v>
      </c>
      <c r="BO662" s="3" t="n">
        <v>9.33145523</v>
      </c>
      <c r="BP662" s="3" t="n">
        <v>9.72047997</v>
      </c>
      <c r="BQ662" s="3" t="n"/>
      <c r="BR662" s="34" t="str">
        <f>B662&amp;"|"&amp;D662</f>
        <v>KOR|SH.XPD.CHEX.GD.ZS</v>
      </c>
    </row>
    <row r="663">
      <c r="A663" s="3" t="inlineStr">
        <is>
          <t>Kuwait</t>
        </is>
      </c>
      <c r="B663" s="3" t="inlineStr">
        <is>
          <t>KWT</t>
        </is>
      </c>
      <c r="C663" s="3" t="inlineStr">
        <is>
          <t>Current health expenditure (% of GDP)</t>
        </is>
      </c>
      <c r="D663" s="3" t="inlineStr">
        <is>
          <t>SH.XPD.CHEX.GD.ZS</t>
        </is>
      </c>
      <c r="E663" s="3" t="n">
        <v>2021</v>
      </c>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c r="AD663" s="3" t="n"/>
      <c r="AE663" s="3" t="n"/>
      <c r="AF663" s="3" t="n"/>
      <c r="AG663" s="3" t="n"/>
      <c r="AH663" s="3" t="n"/>
      <c r="AI663" s="3" t="n"/>
      <c r="AJ663" s="3" t="n"/>
      <c r="AK663" s="3" t="n"/>
      <c r="AL663" s="3" t="n"/>
      <c r="AM663" s="3" t="n"/>
      <c r="AN663" s="3" t="n"/>
      <c r="AO663" s="3" t="n"/>
      <c r="AP663" s="3" t="n"/>
      <c r="AQ663" s="3" t="n"/>
      <c r="AR663" s="3" t="n"/>
      <c r="AS663" s="3" t="n"/>
      <c r="AT663" s="3" t="n">
        <v>2.20343971</v>
      </c>
      <c r="AU663" s="3" t="n">
        <v>3.18838811</v>
      </c>
      <c r="AV663" s="3" t="n">
        <v>3.12468719</v>
      </c>
      <c r="AW663" s="3" t="n">
        <v>2.76216865</v>
      </c>
      <c r="AX663" s="3" t="n">
        <v>2.35702467</v>
      </c>
      <c r="AY663" s="3" t="n">
        <v>2.01313829</v>
      </c>
      <c r="AZ663" s="3" t="n">
        <v>1.8213098</v>
      </c>
      <c r="BA663" s="3" t="n">
        <v>1.92673647</v>
      </c>
      <c r="BB663" s="3" t="n">
        <v>1.92400301</v>
      </c>
      <c r="BC663" s="3" t="n">
        <v>2.70638776</v>
      </c>
      <c r="BD663" s="3" t="n">
        <v>2.67879915</v>
      </c>
      <c r="BE663" s="3" t="n">
        <v>2.33303547</v>
      </c>
      <c r="BF663" s="3" t="n">
        <v>2.33311439</v>
      </c>
      <c r="BG663" s="3" t="n">
        <v>2.48789287</v>
      </c>
      <c r="BH663" s="3" t="n">
        <v>2.9159987</v>
      </c>
      <c r="BI663" s="3" t="n">
        <v>4.21497965</v>
      </c>
      <c r="BJ663" s="3" t="n">
        <v>4.73096323</v>
      </c>
      <c r="BK663" s="3" t="n">
        <v>4.65326786</v>
      </c>
      <c r="BL663" s="3" t="n">
        <v>5.18862629</v>
      </c>
      <c r="BM663" s="3" t="n">
        <v>5.35958719</v>
      </c>
      <c r="BN663" s="3" t="n">
        <v>6.34761143</v>
      </c>
      <c r="BO663" s="3" t="n">
        <v>5.78120756</v>
      </c>
      <c r="BP663" s="3" t="n"/>
      <c r="BQ663" s="3" t="n"/>
      <c r="BR663" s="34" t="str">
        <f>B663&amp;"|"&amp;D663</f>
        <v>KWT|SH.XPD.CHEX.GD.ZS</v>
      </c>
    </row>
    <row r="664">
      <c r="A664" s="3" t="inlineStr">
        <is>
          <t>Latin America &amp; Caribbean (excluding high income)</t>
        </is>
      </c>
      <c r="B664" s="3" t="inlineStr">
        <is>
          <t>LAC</t>
        </is>
      </c>
      <c r="C664" s="3" t="inlineStr">
        <is>
          <t>Current health expenditure (% of GDP)</t>
        </is>
      </c>
      <c r="D664" s="3" t="inlineStr">
        <is>
          <t>SH.XPD.CHEX.GD.ZS</t>
        </is>
      </c>
      <c r="E664" s="3" t="n">
        <v>2021</v>
      </c>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c r="AD664" s="3" t="n"/>
      <c r="AE664" s="3" t="n"/>
      <c r="AF664" s="3" t="n"/>
      <c r="AG664" s="3" t="n"/>
      <c r="AH664" s="3" t="n"/>
      <c r="AI664" s="3" t="n"/>
      <c r="AJ664" s="3" t="n"/>
      <c r="AK664" s="3" t="n"/>
      <c r="AL664" s="3" t="n"/>
      <c r="AM664" s="3" t="n"/>
      <c r="AN664" s="3" t="n"/>
      <c r="AO664" s="3" t="n"/>
      <c r="AP664" s="3" t="n"/>
      <c r="AQ664" s="3" t="n"/>
      <c r="AR664" s="3" t="n"/>
      <c r="AS664" s="3" t="n"/>
      <c r="AT664" s="3" t="n">
        <v>6.40776247376759</v>
      </c>
      <c r="AU664" s="3" t="n">
        <v>6.507905277130319</v>
      </c>
      <c r="AV664" s="3" t="n">
        <v>6.358900859765085</v>
      </c>
      <c r="AW664" s="3" t="n">
        <v>6.600848726170209</v>
      </c>
      <c r="AX664" s="3" t="n">
        <v>6.702676876025008</v>
      </c>
      <c r="AY664" s="3" t="n">
        <v>6.789461449947238</v>
      </c>
      <c r="AZ664" s="3" t="n">
        <v>6.859757371631825</v>
      </c>
      <c r="BA664" s="3" t="n">
        <v>7.022559225647467</v>
      </c>
      <c r="BB664" s="3" t="n">
        <v>7.049961224321453</v>
      </c>
      <c r="BC664" s="3" t="n">
        <v>7.602536339213103</v>
      </c>
      <c r="BD664" s="3" t="n">
        <v>7.304451118165945</v>
      </c>
      <c r="BE664" s="3" t="n">
        <v>7.207730969062648</v>
      </c>
      <c r="BF664" s="3" t="n">
        <v>7.210131148583628</v>
      </c>
      <c r="BG664" s="3" t="n">
        <v>7.35268678149682</v>
      </c>
      <c r="BH664" s="3" t="n">
        <v>7.488890312723911</v>
      </c>
      <c r="BI664" s="3" t="n">
        <v>7.846186780069183</v>
      </c>
      <c r="BJ664" s="3" t="n">
        <v>7.870123123926979</v>
      </c>
      <c r="BK664" s="3" t="n">
        <v>8.051986084177774</v>
      </c>
      <c r="BL664" s="3" t="n">
        <v>7.897880357149235</v>
      </c>
      <c r="BM664" s="3" t="n">
        <v>7.892297961476174</v>
      </c>
      <c r="BN664" s="3" t="n">
        <v>8.511465925572562</v>
      </c>
      <c r="BO664" s="3" t="n">
        <v>8.214073213656139</v>
      </c>
      <c r="BP664" s="3" t="n"/>
      <c r="BQ664" s="3" t="n"/>
      <c r="BR664" s="34" t="str">
        <f>B664&amp;"|"&amp;D664</f>
        <v>LAC|SH.XPD.CHEX.GD.ZS</v>
      </c>
    </row>
    <row r="665">
      <c r="A665" s="3" t="inlineStr">
        <is>
          <t>Lao PDR</t>
        </is>
      </c>
      <c r="B665" s="3" t="inlineStr">
        <is>
          <t>LAO</t>
        </is>
      </c>
      <c r="C665" s="3" t="inlineStr">
        <is>
          <t>Current health expenditure (% of GDP)</t>
        </is>
      </c>
      <c r="D665" s="3" t="inlineStr">
        <is>
          <t>SH.XPD.CHEX.GD.ZS</t>
        </is>
      </c>
      <c r="E665" s="3" t="n">
        <v>2021</v>
      </c>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c r="AD665" s="3" t="n"/>
      <c r="AE665" s="3" t="n"/>
      <c r="AF665" s="3" t="n"/>
      <c r="AG665" s="3" t="n"/>
      <c r="AH665" s="3" t="n"/>
      <c r="AI665" s="3" t="n"/>
      <c r="AJ665" s="3" t="n"/>
      <c r="AK665" s="3" t="n"/>
      <c r="AL665" s="3" t="n"/>
      <c r="AM665" s="3" t="n"/>
      <c r="AN665" s="3" t="n"/>
      <c r="AO665" s="3" t="n"/>
      <c r="AP665" s="3" t="n"/>
      <c r="AQ665" s="3" t="n"/>
      <c r="AR665" s="3" t="n"/>
      <c r="AS665" s="3" t="n"/>
      <c r="AT665" s="3" t="n">
        <v>4.27513599</v>
      </c>
      <c r="AU665" s="3" t="n">
        <v>4.29031658</v>
      </c>
      <c r="AV665" s="3" t="n">
        <v>3.69751263</v>
      </c>
      <c r="AW665" s="3" t="n">
        <v>4.47920704</v>
      </c>
      <c r="AX665" s="3" t="n">
        <v>3.54057336</v>
      </c>
      <c r="AY665" s="3" t="n">
        <v>3.33673191</v>
      </c>
      <c r="AZ665" s="3" t="n">
        <v>2.93200922</v>
      </c>
      <c r="BA665" s="3" t="n">
        <v>3.15345573</v>
      </c>
      <c r="BB665" s="3" t="n">
        <v>2.76727295</v>
      </c>
      <c r="BC665" s="3" t="n">
        <v>3.46300411</v>
      </c>
      <c r="BD665" s="3" t="n">
        <v>2.91155219</v>
      </c>
      <c r="BE665" s="3" t="n">
        <v>1.94457507</v>
      </c>
      <c r="BF665" s="3" t="n">
        <v>2.07637572</v>
      </c>
      <c r="BG665" s="3" t="n">
        <v>2.39984965</v>
      </c>
      <c r="BH665" s="3" t="n">
        <v>2.29845548</v>
      </c>
      <c r="BI665" s="3" t="n">
        <v>2.45366454</v>
      </c>
      <c r="BJ665" s="3" t="n">
        <v>2.36087489</v>
      </c>
      <c r="BK665" s="3" t="n">
        <v>2.52606821</v>
      </c>
      <c r="BL665" s="3" t="n">
        <v>2.24630332</v>
      </c>
      <c r="BM665" s="3" t="n">
        <v>2.60312223</v>
      </c>
      <c r="BN665" s="3" t="n">
        <v>2.05965185</v>
      </c>
      <c r="BO665" s="3" t="n">
        <v>2.74392009</v>
      </c>
      <c r="BP665" s="3" t="n"/>
      <c r="BQ665" s="3" t="n"/>
      <c r="BR665" s="34" t="str">
        <f>B665&amp;"|"&amp;D665</f>
        <v>LAO|SH.XPD.CHEX.GD.ZS</v>
      </c>
    </row>
    <row r="666">
      <c r="A666" s="3" t="inlineStr">
        <is>
          <t>Lebanon</t>
        </is>
      </c>
      <c r="B666" s="3" t="inlineStr">
        <is>
          <t>LBN</t>
        </is>
      </c>
      <c r="C666" s="3" t="inlineStr">
        <is>
          <t>Current health expenditure (% of GDP)</t>
        </is>
      </c>
      <c r="D666" s="3" t="inlineStr">
        <is>
          <t>SH.XPD.CHEX.GD.ZS</t>
        </is>
      </c>
      <c r="E666" s="3" t="n">
        <v>2021</v>
      </c>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c r="AD666" s="3" t="n"/>
      <c r="AE666" s="3" t="n"/>
      <c r="AF666" s="3" t="n"/>
      <c r="AG666" s="3" t="n"/>
      <c r="AH666" s="3" t="n"/>
      <c r="AI666" s="3" t="n"/>
      <c r="AJ666" s="3" t="n"/>
      <c r="AK666" s="3" t="n"/>
      <c r="AL666" s="3" t="n"/>
      <c r="AM666" s="3" t="n"/>
      <c r="AN666" s="3" t="n"/>
      <c r="AO666" s="3" t="n"/>
      <c r="AP666" s="3" t="n"/>
      <c r="AQ666" s="3" t="n"/>
      <c r="AR666" s="3" t="n"/>
      <c r="AS666" s="3" t="n"/>
      <c r="AT666" s="3" t="n">
        <v>10.82951355</v>
      </c>
      <c r="AU666" s="3" t="n">
        <v>10.56254768</v>
      </c>
      <c r="AV666" s="3" t="n">
        <v>9.28233719</v>
      </c>
      <c r="AW666" s="3" t="n">
        <v>8.671098710000001</v>
      </c>
      <c r="AX666" s="3" t="n">
        <v>7.99923086</v>
      </c>
      <c r="AY666" s="3" t="n">
        <v>7.54867649</v>
      </c>
      <c r="AZ666" s="3" t="n">
        <v>8.660578729999999</v>
      </c>
      <c r="BA666" s="3" t="n">
        <v>8.55984211</v>
      </c>
      <c r="BB666" s="3" t="n">
        <v>7.81751728</v>
      </c>
      <c r="BC666" s="3" t="n">
        <v>7.0073576</v>
      </c>
      <c r="BD666" s="3" t="n">
        <v>7.43864489</v>
      </c>
      <c r="BE666" s="3" t="n">
        <v>8.17744446</v>
      </c>
      <c r="BF666" s="3" t="n">
        <v>7.00420094</v>
      </c>
      <c r="BG666" s="3" t="n">
        <v>7.06795645</v>
      </c>
      <c r="BH666" s="3" t="n">
        <v>7.52279758</v>
      </c>
      <c r="BI666" s="3" t="n">
        <v>7.41596651</v>
      </c>
      <c r="BJ666" s="3" t="n">
        <v>7.92386055</v>
      </c>
      <c r="BK666" s="3" t="n">
        <v>7.80396605</v>
      </c>
      <c r="BL666" s="3" t="n">
        <v>8.07092381</v>
      </c>
      <c r="BM666" s="3" t="n">
        <v>8.693677900000001</v>
      </c>
      <c r="BN666" s="3" t="n">
        <v>7.57650805</v>
      </c>
      <c r="BO666" s="3" t="n">
        <v>10.06154442</v>
      </c>
      <c r="BP666" s="3" t="n"/>
      <c r="BQ666" s="3" t="n"/>
      <c r="BR666" s="34" t="str">
        <f>B666&amp;"|"&amp;D666</f>
        <v>LBN|SH.XPD.CHEX.GD.ZS</v>
      </c>
    </row>
    <row r="667">
      <c r="A667" s="3" t="inlineStr">
        <is>
          <t>Liberia</t>
        </is>
      </c>
      <c r="B667" s="3" t="inlineStr">
        <is>
          <t>LBR</t>
        </is>
      </c>
      <c r="C667" s="3" t="inlineStr">
        <is>
          <t>Current health expenditure (% of GDP)</t>
        </is>
      </c>
      <c r="D667" s="3" t="inlineStr">
        <is>
          <t>SH.XPD.CHEX.GD.ZS</t>
        </is>
      </c>
      <c r="E667" s="3" t="n">
        <v>2021</v>
      </c>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c r="AD667" s="3" t="n"/>
      <c r="AE667" s="3" t="n"/>
      <c r="AF667" s="3" t="n"/>
      <c r="AG667" s="3" t="n"/>
      <c r="AH667" s="3" t="n"/>
      <c r="AI667" s="3" t="n"/>
      <c r="AJ667" s="3" t="n"/>
      <c r="AK667" s="3" t="n"/>
      <c r="AL667" s="3" t="n"/>
      <c r="AM667" s="3" t="n"/>
      <c r="AN667" s="3" t="n"/>
      <c r="AO667" s="3" t="n"/>
      <c r="AP667" s="3" t="n"/>
      <c r="AQ667" s="3" t="n"/>
      <c r="AR667" s="3" t="n"/>
      <c r="AS667" s="3" t="n"/>
      <c r="AT667" s="3" t="n">
        <v>2.87913179</v>
      </c>
      <c r="AU667" s="3" t="n">
        <v>2.27906799</v>
      </c>
      <c r="AV667" s="3" t="n">
        <v>2.28035998</v>
      </c>
      <c r="AW667" s="3" t="n">
        <v>2.66176748</v>
      </c>
      <c r="AX667" s="3" t="n">
        <v>6.3381567</v>
      </c>
      <c r="AY667" s="3" t="n">
        <v>7.14322186</v>
      </c>
      <c r="AZ667" s="3" t="n">
        <v>6.06891537</v>
      </c>
      <c r="BA667" s="3" t="n">
        <v>4.32794046</v>
      </c>
      <c r="BB667" s="3" t="n">
        <v>5.99615717</v>
      </c>
      <c r="BC667" s="3" t="n">
        <v>11.57163811</v>
      </c>
      <c r="BD667" s="3" t="n">
        <v>10.35444641</v>
      </c>
      <c r="BE667" s="3" t="n">
        <v>9.71052551</v>
      </c>
      <c r="BF667" s="3" t="n">
        <v>8.15444565</v>
      </c>
      <c r="BG667" s="3" t="n">
        <v>7.09007835</v>
      </c>
      <c r="BH667" s="3" t="n">
        <v>8.77403069</v>
      </c>
      <c r="BI667" s="3" t="n">
        <v>10.46927643</v>
      </c>
      <c r="BJ667" s="3" t="n">
        <v>9.90062618</v>
      </c>
      <c r="BK667" s="3" t="n">
        <v>10.47271252</v>
      </c>
      <c r="BL667" s="3" t="n">
        <v>10.35222721</v>
      </c>
      <c r="BM667" s="3" t="n">
        <v>8.42100334</v>
      </c>
      <c r="BN667" s="3" t="n">
        <v>16.96832657</v>
      </c>
      <c r="BO667" s="3" t="n">
        <v>16.6163311</v>
      </c>
      <c r="BP667" s="3" t="n"/>
      <c r="BQ667" s="3" t="n"/>
      <c r="BR667" s="34" t="str">
        <f>B667&amp;"|"&amp;D667</f>
        <v>LBR|SH.XPD.CHEX.GD.ZS</v>
      </c>
    </row>
    <row r="668">
      <c r="A668" s="3" t="inlineStr">
        <is>
          <t>Libya</t>
        </is>
      </c>
      <c r="B668" s="3" t="inlineStr">
        <is>
          <t>LBY</t>
        </is>
      </c>
      <c r="C668" s="3" t="inlineStr">
        <is>
          <t>Current health expenditure (% of GDP)</t>
        </is>
      </c>
      <c r="D668" s="3" t="inlineStr">
        <is>
          <t>SH.XPD.CHEX.GD.ZS</t>
        </is>
      </c>
      <c r="E668" s="3" t="n">
        <v>2011</v>
      </c>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c r="AD668" s="3" t="n"/>
      <c r="AE668" s="3" t="n"/>
      <c r="AF668" s="3" t="n"/>
      <c r="AG668" s="3" t="n"/>
      <c r="AH668" s="3" t="n"/>
      <c r="AI668" s="3" t="n"/>
      <c r="AJ668" s="3" t="n"/>
      <c r="AK668" s="3" t="n"/>
      <c r="AL668" s="3" t="n"/>
      <c r="AM668" s="3" t="n"/>
      <c r="AN668" s="3" t="n"/>
      <c r="AO668" s="3" t="n"/>
      <c r="AP668" s="3" t="n"/>
      <c r="AQ668" s="3" t="n"/>
      <c r="AR668" s="3" t="n"/>
      <c r="AS668" s="3" t="n"/>
      <c r="AT668" s="3" t="n">
        <v>3.31908512</v>
      </c>
      <c r="AU668" s="3" t="n">
        <v>3.92571616</v>
      </c>
      <c r="AV668" s="3" t="n">
        <v>4.73818302</v>
      </c>
      <c r="AW668" s="3" t="n">
        <v>3.97301245</v>
      </c>
      <c r="AX668" s="3" t="n">
        <v>3.38328195</v>
      </c>
      <c r="AY668" s="3" t="n">
        <v>2.51707149</v>
      </c>
      <c r="AZ668" s="3" t="n">
        <v>2.29996443</v>
      </c>
      <c r="BA668" s="3" t="n">
        <v>2.41929626</v>
      </c>
      <c r="BB668" s="3" t="n">
        <v>2.24441886</v>
      </c>
      <c r="BC668" s="3" t="n">
        <v>3.5828805</v>
      </c>
      <c r="BD668" s="3" t="n">
        <v>3.28064442</v>
      </c>
      <c r="BE668" s="3" t="n">
        <v>4.01902008</v>
      </c>
      <c r="BF668" s="3" t="n"/>
      <c r="BG668" s="3" t="n"/>
      <c r="BH668" s="3" t="n"/>
      <c r="BI668" s="3" t="n"/>
      <c r="BJ668" s="3" t="n"/>
      <c r="BK668" s="3" t="n"/>
      <c r="BL668" s="3" t="n"/>
      <c r="BM668" s="3" t="n"/>
      <c r="BN668" s="3" t="n"/>
      <c r="BO668" s="3" t="n"/>
      <c r="BP668" s="3" t="n"/>
      <c r="BQ668" s="3" t="n"/>
      <c r="BR668" s="34" t="str">
        <f>B668&amp;"|"&amp;D668</f>
        <v>LBY|SH.XPD.CHEX.GD.ZS</v>
      </c>
    </row>
    <row r="669">
      <c r="A669" s="3" t="inlineStr">
        <is>
          <t>St. Lucia</t>
        </is>
      </c>
      <c r="B669" s="3" t="inlineStr">
        <is>
          <t>LCA</t>
        </is>
      </c>
      <c r="C669" s="3" t="inlineStr">
        <is>
          <t>Current health expenditure (% of GDP)</t>
        </is>
      </c>
      <c r="D669" s="3" t="inlineStr">
        <is>
          <t>SH.XPD.CHEX.GD.ZS</t>
        </is>
      </c>
      <c r="E669" s="3" t="n">
        <v>2021</v>
      </c>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c r="AD669" s="3" t="n"/>
      <c r="AE669" s="3" t="n"/>
      <c r="AF669" s="3" t="n"/>
      <c r="AG669" s="3" t="n"/>
      <c r="AH669" s="3" t="n"/>
      <c r="AI669" s="3" t="n"/>
      <c r="AJ669" s="3" t="n"/>
      <c r="AK669" s="3" t="n"/>
      <c r="AL669" s="3" t="n"/>
      <c r="AM669" s="3" t="n"/>
      <c r="AN669" s="3" t="n"/>
      <c r="AO669" s="3" t="n"/>
      <c r="AP669" s="3" t="n"/>
      <c r="AQ669" s="3" t="n"/>
      <c r="AR669" s="3" t="n"/>
      <c r="AS669" s="3" t="n"/>
      <c r="AT669" s="3" t="n">
        <v>4.86549902</v>
      </c>
      <c r="AU669" s="3" t="n">
        <v>5.12139463</v>
      </c>
      <c r="AV669" s="3" t="n">
        <v>5.38887024</v>
      </c>
      <c r="AW669" s="3" t="n">
        <v>5.24069643</v>
      </c>
      <c r="AX669" s="3" t="n">
        <v>4.76760817</v>
      </c>
      <c r="AY669" s="3" t="n">
        <v>4.86039829</v>
      </c>
      <c r="AZ669" s="3" t="n">
        <v>5.1270175</v>
      </c>
      <c r="BA669" s="3" t="n">
        <v>5.54166603</v>
      </c>
      <c r="BB669" s="3" t="n">
        <v>5.09061956</v>
      </c>
      <c r="BC669" s="3" t="n">
        <v>5.24410772</v>
      </c>
      <c r="BD669" s="3" t="n">
        <v>5.05308437</v>
      </c>
      <c r="BE669" s="3" t="n">
        <v>5.07998085</v>
      </c>
      <c r="BF669" s="3" t="n">
        <v>4.9241581</v>
      </c>
      <c r="BG669" s="3" t="n">
        <v>5.04967594</v>
      </c>
      <c r="BH669" s="3" t="n">
        <v>4.62420511</v>
      </c>
      <c r="BI669" s="3" t="n">
        <v>4.51419878</v>
      </c>
      <c r="BJ669" s="3" t="n">
        <v>4.44803333</v>
      </c>
      <c r="BK669" s="3" t="n">
        <v>4.37286377</v>
      </c>
      <c r="BL669" s="3" t="n">
        <v>4.18686533</v>
      </c>
      <c r="BM669" s="3" t="n">
        <v>4.19073772</v>
      </c>
      <c r="BN669" s="3" t="n">
        <v>6.79121685</v>
      </c>
      <c r="BO669" s="3" t="n">
        <v>6.2111187</v>
      </c>
      <c r="BP669" s="3" t="n"/>
      <c r="BQ669" s="3" t="n"/>
      <c r="BR669" s="34" t="str">
        <f>B669&amp;"|"&amp;D669</f>
        <v>LCA|SH.XPD.CHEX.GD.ZS</v>
      </c>
    </row>
    <row r="670">
      <c r="A670" s="3" t="inlineStr">
        <is>
          <t>Latin America &amp; Caribbean</t>
        </is>
      </c>
      <c r="B670" s="3" t="inlineStr">
        <is>
          <t>LCN</t>
        </is>
      </c>
      <c r="C670" s="3" t="inlineStr">
        <is>
          <t>Current health expenditure (% of GDP)</t>
        </is>
      </c>
      <c r="D670" s="3" t="inlineStr">
        <is>
          <t>SH.XPD.CHEX.GD.ZS</t>
        </is>
      </c>
      <c r="E670" s="3" t="n">
        <v>2021</v>
      </c>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c r="AD670" s="3" t="n"/>
      <c r="AE670" s="3" t="n"/>
      <c r="AF670" s="3" t="n"/>
      <c r="AG670" s="3" t="n"/>
      <c r="AH670" s="3" t="n"/>
      <c r="AI670" s="3" t="n"/>
      <c r="AJ670" s="3" t="n"/>
      <c r="AK670" s="3" t="n"/>
      <c r="AL670" s="3" t="n"/>
      <c r="AM670" s="3" t="n"/>
      <c r="AN670" s="3" t="n"/>
      <c r="AO670" s="3" t="n"/>
      <c r="AP670" s="3" t="n"/>
      <c r="AQ670" s="3" t="n"/>
      <c r="AR670" s="3" t="n"/>
      <c r="AS670" s="3" t="n"/>
      <c r="AT670" s="3" t="n">
        <v>6.442447041467368</v>
      </c>
      <c r="AU670" s="3" t="n">
        <v>6.540886551248557</v>
      </c>
      <c r="AV670" s="3" t="n">
        <v>6.398442349321078</v>
      </c>
      <c r="AW670" s="3" t="n">
        <v>6.619947516719011</v>
      </c>
      <c r="AX670" s="3" t="n">
        <v>6.699469393041622</v>
      </c>
      <c r="AY670" s="3" t="n">
        <v>6.759452665910885</v>
      </c>
      <c r="AZ670" s="3" t="n">
        <v>6.797714034101796</v>
      </c>
      <c r="BA670" s="3" t="n">
        <v>6.961903414878482</v>
      </c>
      <c r="BB670" s="3" t="n">
        <v>7.012712530561989</v>
      </c>
      <c r="BC670" s="3" t="n">
        <v>7.566023925491438</v>
      </c>
      <c r="BD670" s="3" t="n">
        <v>7.271399988132548</v>
      </c>
      <c r="BE670" s="3" t="n">
        <v>7.178179514647413</v>
      </c>
      <c r="BF670" s="3" t="n">
        <v>7.187394885266584</v>
      </c>
      <c r="BG670" s="3" t="n">
        <v>7.343063320839717</v>
      </c>
      <c r="BH670" s="3" t="n">
        <v>7.48724925354837</v>
      </c>
      <c r="BI670" s="3" t="n">
        <v>7.845102510645456</v>
      </c>
      <c r="BJ670" s="3" t="n">
        <v>7.890686604292699</v>
      </c>
      <c r="BK670" s="3" t="n">
        <v>8.091044764172981</v>
      </c>
      <c r="BL670" s="3" t="n">
        <v>7.968317899236244</v>
      </c>
      <c r="BM670" s="3" t="n">
        <v>7.979048773233584</v>
      </c>
      <c r="BN670" s="3" t="n">
        <v>8.604944917084188</v>
      </c>
      <c r="BO670" s="3" t="n">
        <v>8.303151825603642</v>
      </c>
      <c r="BP670" s="3" t="n"/>
      <c r="BQ670" s="3" t="n"/>
      <c r="BR670" s="34" t="str">
        <f>B670&amp;"|"&amp;D670</f>
        <v>LCN|SH.XPD.CHEX.GD.ZS</v>
      </c>
    </row>
    <row r="671">
      <c r="A671" s="3" t="inlineStr">
        <is>
          <t>Least developed countries: UN classification</t>
        </is>
      </c>
      <c r="B671" s="3" t="inlineStr">
        <is>
          <t>LDC</t>
        </is>
      </c>
      <c r="C671" s="3" t="inlineStr">
        <is>
          <t>Current health expenditure (% of GDP)</t>
        </is>
      </c>
      <c r="D671" s="3" t="inlineStr">
        <is>
          <t>SH.XPD.CHEX.GD.ZS</t>
        </is>
      </c>
      <c r="E671" s="3" t="n">
        <v>2021</v>
      </c>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c r="AD671" s="3" t="n"/>
      <c r="AE671" s="3" t="n"/>
      <c r="AF671" s="3" t="n"/>
      <c r="AG671" s="3" t="n"/>
      <c r="AH671" s="3" t="n"/>
      <c r="AI671" s="3" t="n"/>
      <c r="AJ671" s="3" t="n"/>
      <c r="AK671" s="3" t="n"/>
      <c r="AL671" s="3" t="n"/>
      <c r="AM671" s="3" t="n"/>
      <c r="AN671" s="3" t="n"/>
      <c r="AO671" s="3" t="n"/>
      <c r="AP671" s="3" t="n"/>
      <c r="AQ671" s="3" t="n"/>
      <c r="AR671" s="3" t="n"/>
      <c r="AS671" s="3" t="n"/>
      <c r="AT671" s="3" t="n">
        <v>3.046771466494976</v>
      </c>
      <c r="AU671" s="3" t="n">
        <v>3.457052753298276</v>
      </c>
      <c r="AV671" s="3" t="n">
        <v>3.672370165119158</v>
      </c>
      <c r="AW671" s="3" t="n">
        <v>3.883889850262872</v>
      </c>
      <c r="AX671" s="3" t="n">
        <v>4.089718195727261</v>
      </c>
      <c r="AY671" s="3" t="n">
        <v>4.042947979431792</v>
      </c>
      <c r="AZ671" s="3" t="n">
        <v>4.200338180156705</v>
      </c>
      <c r="BA671" s="3" t="n">
        <v>4.255319259041106</v>
      </c>
      <c r="BB671" s="3" t="n">
        <v>4.141549936085948</v>
      </c>
      <c r="BC671" s="3" t="n">
        <v>4.444379678484376</v>
      </c>
      <c r="BD671" s="3" t="n">
        <v>4.114261982896486</v>
      </c>
      <c r="BE671" s="3" t="n">
        <v>4.012391414227142</v>
      </c>
      <c r="BF671" s="3" t="n">
        <v>3.933414605919856</v>
      </c>
      <c r="BG671" s="3" t="n">
        <v>4.120427390822108</v>
      </c>
      <c r="BH671" s="3" t="n">
        <v>4.101096140626254</v>
      </c>
      <c r="BI671" s="3" t="n">
        <v>4.209809178717578</v>
      </c>
      <c r="BJ671" s="3" t="n">
        <v>4.134742951200191</v>
      </c>
      <c r="BK671" s="3" t="n">
        <v>3.992614789219383</v>
      </c>
      <c r="BL671" s="3" t="n">
        <v>3.835008080532363</v>
      </c>
      <c r="BM671" s="3" t="n">
        <v>3.825782920752849</v>
      </c>
      <c r="BN671" s="3" t="n">
        <v>3.921362554725796</v>
      </c>
      <c r="BO671" s="3" t="n">
        <v>4.013506725222808</v>
      </c>
      <c r="BP671" s="3" t="n"/>
      <c r="BQ671" s="3" t="n"/>
      <c r="BR671" s="34" t="str">
        <f>B671&amp;"|"&amp;D671</f>
        <v>LDC|SH.XPD.CHEX.GD.ZS</v>
      </c>
    </row>
    <row r="672">
      <c r="A672" s="3" t="inlineStr">
        <is>
          <t>Low income</t>
        </is>
      </c>
      <c r="B672" s="3" t="inlineStr">
        <is>
          <t>LIC</t>
        </is>
      </c>
      <c r="C672" s="3" t="inlineStr">
        <is>
          <t>Current health expenditure (% of GDP)</t>
        </is>
      </c>
      <c r="D672" s="3" t="inlineStr">
        <is>
          <t>SH.XPD.CHEX.GD.ZS</t>
        </is>
      </c>
      <c r="E672" s="3" t="n">
        <v>2021</v>
      </c>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c r="AD672" s="3" t="n"/>
      <c r="AE672" s="3" t="n"/>
      <c r="AF672" s="3" t="n"/>
      <c r="AG672" s="3" t="n"/>
      <c r="AH672" s="3" t="n"/>
      <c r="AI672" s="3" t="n"/>
      <c r="AJ672" s="3" t="n"/>
      <c r="AK672" s="3" t="n"/>
      <c r="AL672" s="3" t="n"/>
      <c r="AM672" s="3" t="n"/>
      <c r="AN672" s="3" t="n"/>
      <c r="AO672" s="3" t="n"/>
      <c r="AP672" s="3" t="n"/>
      <c r="AQ672" s="3" t="n"/>
      <c r="AR672" s="3" t="n"/>
      <c r="AS672" s="3" t="n"/>
      <c r="AT672" s="3" t="n">
        <v>3.67600760309815</v>
      </c>
      <c r="AU672" s="3" t="n">
        <v>4.105132948562304</v>
      </c>
      <c r="AV672" s="3" t="n">
        <v>4.372877628779515</v>
      </c>
      <c r="AW672" s="3" t="n">
        <v>4.720842924819899</v>
      </c>
      <c r="AX672" s="3" t="n">
        <v>4.833363714242709</v>
      </c>
      <c r="AY672" s="3" t="n">
        <v>4.806788362692426</v>
      </c>
      <c r="AZ672" s="3" t="n">
        <v>5.045606740780261</v>
      </c>
      <c r="BA672" s="3" t="n">
        <v>5.221531195443213</v>
      </c>
      <c r="BB672" s="3" t="n">
        <v>4.972097979590138</v>
      </c>
      <c r="BC672" s="3" t="n">
        <v>5.398895604486216</v>
      </c>
      <c r="BD672" s="3" t="n">
        <v>5.093814102970613</v>
      </c>
      <c r="BE672" s="3" t="n">
        <v>4.806069948715726</v>
      </c>
      <c r="BF672" s="3" t="n">
        <v>4.930430387973756</v>
      </c>
      <c r="BG672" s="3" t="n">
        <v>5.461946763079355</v>
      </c>
      <c r="BH672" s="3" t="n">
        <v>5.424034836767366</v>
      </c>
      <c r="BI672" s="3" t="n">
        <v>5.324940577952023</v>
      </c>
      <c r="BJ672" s="3" t="n">
        <v>5.488469941656115</v>
      </c>
      <c r="BK672" s="3" t="n">
        <v>5.327807780282594</v>
      </c>
      <c r="BL672" s="3" t="n">
        <v>4.993664178564932</v>
      </c>
      <c r="BM672" s="3" t="n">
        <v>4.937728940648806</v>
      </c>
      <c r="BN672" s="3" t="n">
        <v>5.276519605664323</v>
      </c>
      <c r="BO672" s="3" t="n">
        <v>5.252879299187692</v>
      </c>
      <c r="BP672" s="3" t="n"/>
      <c r="BQ672" s="3" t="n"/>
      <c r="BR672" s="34" t="str">
        <f>B672&amp;"|"&amp;D672</f>
        <v>LIC|SH.XPD.CHEX.GD.ZS</v>
      </c>
    </row>
    <row r="673">
      <c r="A673" s="3" t="inlineStr">
        <is>
          <t>Liechtenstein</t>
        </is>
      </c>
      <c r="B673" s="3" t="inlineStr">
        <is>
          <t>LIE</t>
        </is>
      </c>
      <c r="C673" s="3" t="inlineStr">
        <is>
          <t>Current health expenditure (% of GDP)</t>
        </is>
      </c>
      <c r="D673" s="3" t="inlineStr">
        <is>
          <t>SH.XPD.CHEX.GD.ZS</t>
        </is>
      </c>
      <c r="E673" s="3" t="inlineStr">
        <is>
          <t>0x2a</t>
        </is>
      </c>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c r="AD673" s="3" t="n"/>
      <c r="AE673" s="3" t="n"/>
      <c r="AF673" s="3" t="n"/>
      <c r="AG673" s="3" t="n"/>
      <c r="AH673" s="3" t="n"/>
      <c r="AI673" s="3" t="n"/>
      <c r="AJ673" s="3" t="n"/>
      <c r="AK673" s="3" t="n"/>
      <c r="AL673" s="3" t="n"/>
      <c r="AM673" s="3" t="n"/>
      <c r="AN673" s="3" t="n"/>
      <c r="AO673" s="3" t="n"/>
      <c r="AP673" s="3" t="n"/>
      <c r="AQ673" s="3" t="n"/>
      <c r="AR673" s="3" t="n"/>
      <c r="AS673" s="3" t="n"/>
      <c r="AT673" s="3" t="n"/>
      <c r="AU673" s="3" t="n"/>
      <c r="AV673" s="3" t="n"/>
      <c r="AW673" s="3" t="n"/>
      <c r="AX673" s="3" t="n"/>
      <c r="AY673" s="3" t="n"/>
      <c r="AZ673" s="3" t="n"/>
      <c r="BA673" s="3" t="n"/>
      <c r="BB673" s="3" t="n"/>
      <c r="BC673" s="3" t="n"/>
      <c r="BD673" s="3" t="n"/>
      <c r="BE673" s="3" t="n"/>
      <c r="BF673" s="3" t="n"/>
      <c r="BG673" s="3" t="n"/>
      <c r="BH673" s="3" t="n"/>
      <c r="BI673" s="3" t="n"/>
      <c r="BJ673" s="3" t="n"/>
      <c r="BK673" s="3" t="n"/>
      <c r="BL673" s="3" t="n"/>
      <c r="BM673" s="3" t="n"/>
      <c r="BN673" s="3" t="n"/>
      <c r="BO673" s="3" t="n"/>
      <c r="BP673" s="3" t="n"/>
      <c r="BQ673" s="3" t="n"/>
      <c r="BR673" s="34" t="str">
        <f>B673&amp;"|"&amp;D673</f>
        <v>LIE|SH.XPD.CHEX.GD.ZS</v>
      </c>
    </row>
    <row r="674">
      <c r="A674" s="3" t="inlineStr">
        <is>
          <t>Sri Lanka</t>
        </is>
      </c>
      <c r="B674" s="3" t="inlineStr">
        <is>
          <t>LKA</t>
        </is>
      </c>
      <c r="C674" s="3" t="inlineStr">
        <is>
          <t>Current health expenditure (% of GDP)</t>
        </is>
      </c>
      <c r="D674" s="3" t="inlineStr">
        <is>
          <t>SH.XPD.CHEX.GD.ZS</t>
        </is>
      </c>
      <c r="E674" s="3" t="n">
        <v>2021</v>
      </c>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c r="AD674" s="3" t="n"/>
      <c r="AE674" s="3" t="n"/>
      <c r="AF674" s="3" t="n"/>
      <c r="AG674" s="3" t="n"/>
      <c r="AH674" s="3" t="n"/>
      <c r="AI674" s="3" t="n"/>
      <c r="AJ674" s="3" t="n"/>
      <c r="AK674" s="3" t="n"/>
      <c r="AL674" s="3" t="n"/>
      <c r="AM674" s="3" t="n"/>
      <c r="AN674" s="3" t="n"/>
      <c r="AO674" s="3" t="n"/>
      <c r="AP674" s="3" t="n"/>
      <c r="AQ674" s="3" t="n"/>
      <c r="AR674" s="3" t="n"/>
      <c r="AS674" s="3" t="n"/>
      <c r="AT674" s="3" t="n">
        <v>4.11</v>
      </c>
      <c r="AU674" s="3" t="n">
        <v>4.06</v>
      </c>
      <c r="AV674" s="3" t="n">
        <v>4.04</v>
      </c>
      <c r="AW674" s="3" t="n">
        <v>3.65</v>
      </c>
      <c r="AX674" s="3" t="n">
        <v>4.04</v>
      </c>
      <c r="AY674" s="3" t="n">
        <v>3.88</v>
      </c>
      <c r="AZ674" s="3" t="n">
        <v>3.85</v>
      </c>
      <c r="BA674" s="3" t="n">
        <v>3.82</v>
      </c>
      <c r="BB674" s="3" t="n">
        <v>3.85</v>
      </c>
      <c r="BC674" s="3" t="n">
        <v>4.06</v>
      </c>
      <c r="BD674" s="3" t="n">
        <v>3.74</v>
      </c>
      <c r="BE674" s="3" t="n">
        <v>3.58</v>
      </c>
      <c r="BF674" s="3" t="n">
        <v>3.31</v>
      </c>
      <c r="BG674" s="3" t="n">
        <v>3.69</v>
      </c>
      <c r="BH674" s="3" t="n">
        <v>3.47</v>
      </c>
      <c r="BI674" s="3" t="n">
        <v>3.68</v>
      </c>
      <c r="BJ674" s="3" t="n">
        <v>3.62</v>
      </c>
      <c r="BK674" s="3" t="n">
        <v>3.33</v>
      </c>
      <c r="BL674" s="3" t="n">
        <v>3.64</v>
      </c>
      <c r="BM674" s="3" t="n">
        <v>3.9</v>
      </c>
      <c r="BN674" s="3" t="n">
        <v>4.02</v>
      </c>
      <c r="BO674" s="3" t="n">
        <v>4.07</v>
      </c>
      <c r="BP674" s="3" t="n"/>
      <c r="BQ674" s="3" t="n"/>
      <c r="BR674" s="34" t="str">
        <f>B674&amp;"|"&amp;D674</f>
        <v>LKA|SH.XPD.CHEX.GD.ZS</v>
      </c>
    </row>
    <row r="675">
      <c r="A675" s="3" t="inlineStr">
        <is>
          <t>Lower middle income</t>
        </is>
      </c>
      <c r="B675" s="3" t="inlineStr">
        <is>
          <t>LMC</t>
        </is>
      </c>
      <c r="C675" s="3" t="inlineStr">
        <is>
          <t>Current health expenditure (% of GDP)</t>
        </is>
      </c>
      <c r="D675" s="3" t="inlineStr">
        <is>
          <t>SH.XPD.CHEX.GD.ZS</t>
        </is>
      </c>
      <c r="E675" s="3" t="n">
        <v>2021</v>
      </c>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c r="AD675" s="3" t="n"/>
      <c r="AE675" s="3" t="n"/>
      <c r="AF675" s="3" t="n"/>
      <c r="AG675" s="3" t="n"/>
      <c r="AH675" s="3" t="n"/>
      <c r="AI675" s="3" t="n"/>
      <c r="AJ675" s="3" t="n"/>
      <c r="AK675" s="3" t="n"/>
      <c r="AL675" s="3" t="n"/>
      <c r="AM675" s="3" t="n"/>
      <c r="AN675" s="3" t="n"/>
      <c r="AO675" s="3" t="n"/>
      <c r="AP675" s="3" t="n"/>
      <c r="AQ675" s="3" t="n"/>
      <c r="AR675" s="3" t="n"/>
      <c r="AS675" s="3" t="n"/>
      <c r="AT675" s="3" t="n">
        <v>3.927059853470111</v>
      </c>
      <c r="AU675" s="3" t="n">
        <v>4.109028555134079</v>
      </c>
      <c r="AV675" s="3" t="n">
        <v>4.005941869096532</v>
      </c>
      <c r="AW675" s="3" t="n">
        <v>4.066369143739317</v>
      </c>
      <c r="AX675" s="3" t="n">
        <v>3.993596240905096</v>
      </c>
      <c r="AY675" s="3" t="n">
        <v>3.964162972229115</v>
      </c>
      <c r="AZ675" s="3" t="n">
        <v>3.925233124405755</v>
      </c>
      <c r="BA675" s="3" t="n">
        <v>3.804477244414358</v>
      </c>
      <c r="BB675" s="3" t="n">
        <v>3.80200842568718</v>
      </c>
      <c r="BC675" s="3" t="n">
        <v>3.843305937204767</v>
      </c>
      <c r="BD675" s="3" t="n">
        <v>3.699895171185466</v>
      </c>
      <c r="BE675" s="3" t="n">
        <v>3.684133813448564</v>
      </c>
      <c r="BF675" s="3" t="n">
        <v>3.736708307181341</v>
      </c>
      <c r="BG675" s="3" t="n">
        <v>3.945091175810231</v>
      </c>
      <c r="BH675" s="3" t="n">
        <v>3.846300497612056</v>
      </c>
      <c r="BI675" s="3" t="n">
        <v>3.913116866137862</v>
      </c>
      <c r="BJ675" s="3" t="n">
        <v>3.874265523537908</v>
      </c>
      <c r="BK675" s="3" t="n">
        <v>3.568887204873534</v>
      </c>
      <c r="BL675" s="3" t="n">
        <v>3.471043582045445</v>
      </c>
      <c r="BM675" s="3" t="n">
        <v>3.537373178920725</v>
      </c>
      <c r="BN675" s="3" t="n">
        <v>3.799148649271023</v>
      </c>
      <c r="BO675" s="3" t="n">
        <v>3.917814056735455</v>
      </c>
      <c r="BP675" s="3" t="n"/>
      <c r="BQ675" s="3" t="n"/>
      <c r="BR675" s="34" t="str">
        <f>B675&amp;"|"&amp;D675</f>
        <v>LMC|SH.XPD.CHEX.GD.ZS</v>
      </c>
    </row>
    <row r="676">
      <c r="A676" s="3" t="inlineStr">
        <is>
          <t>Low &amp; middle income</t>
        </is>
      </c>
      <c r="B676" s="3" t="inlineStr">
        <is>
          <t>LMY</t>
        </is>
      </c>
      <c r="C676" s="3" t="inlineStr">
        <is>
          <t>Current health expenditure (% of GDP)</t>
        </is>
      </c>
      <c r="D676" s="3" t="inlineStr">
        <is>
          <t>SH.XPD.CHEX.GD.ZS</t>
        </is>
      </c>
      <c r="E676" s="3" t="n">
        <v>2021</v>
      </c>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c r="AD676" s="3" t="n"/>
      <c r="AE676" s="3" t="n"/>
      <c r="AF676" s="3" t="n"/>
      <c r="AG676" s="3" t="n"/>
      <c r="AH676" s="3" t="n"/>
      <c r="AI676" s="3" t="n"/>
      <c r="AJ676" s="3" t="n"/>
      <c r="AK676" s="3" t="n"/>
      <c r="AL676" s="3" t="n"/>
      <c r="AM676" s="3" t="n"/>
      <c r="AN676" s="3" t="n"/>
      <c r="AO676" s="3" t="n"/>
      <c r="AP676" s="3" t="n"/>
      <c r="AQ676" s="3" t="n"/>
      <c r="AR676" s="3" t="n"/>
      <c r="AS676" s="3" t="n"/>
      <c r="AT676" s="3" t="n">
        <v>4.987684269265366</v>
      </c>
      <c r="AU676" s="3" t="n">
        <v>5.019133038193404</v>
      </c>
      <c r="AV676" s="3" t="n">
        <v>4.880719379618046</v>
      </c>
      <c r="AW676" s="3" t="n">
        <v>4.966516230344609</v>
      </c>
      <c r="AX676" s="3" t="n">
        <v>4.94101356114014</v>
      </c>
      <c r="AY676" s="3" t="n">
        <v>4.947552975449689</v>
      </c>
      <c r="AZ676" s="3" t="n">
        <v>4.889376918978482</v>
      </c>
      <c r="BA676" s="3" t="n">
        <v>4.811235778500566</v>
      </c>
      <c r="BB676" s="3" t="n">
        <v>4.836107265921014</v>
      </c>
      <c r="BC676" s="3" t="n">
        <v>5.1544914608913</v>
      </c>
      <c r="BD676" s="3" t="n">
        <v>4.990296281700742</v>
      </c>
      <c r="BE676" s="3" t="n">
        <v>4.981746037183537</v>
      </c>
      <c r="BF676" s="3" t="n">
        <v>5.030577058713648</v>
      </c>
      <c r="BG676" s="3" t="n">
        <v>5.114815937718807</v>
      </c>
      <c r="BH676" s="3" t="n">
        <v>5.14483299894291</v>
      </c>
      <c r="BI676" s="3" t="n">
        <v>5.241230563975526</v>
      </c>
      <c r="BJ676" s="3" t="n">
        <v>5.254996219588589</v>
      </c>
      <c r="BK676" s="3" t="n">
        <v>5.259960660014818</v>
      </c>
      <c r="BL676" s="3" t="n">
        <v>5.198749618324873</v>
      </c>
      <c r="BM676" s="3" t="n">
        <v>5.254745646425443</v>
      </c>
      <c r="BN676" s="3" t="n">
        <v>5.532352721481269</v>
      </c>
      <c r="BO676" s="3" t="n">
        <v>5.435479311188318</v>
      </c>
      <c r="BP676" s="3" t="n"/>
      <c r="BQ676" s="3" t="n"/>
      <c r="BR676" s="34" t="str">
        <f>B676&amp;"|"&amp;D676</f>
        <v>LMY|SH.XPD.CHEX.GD.ZS</v>
      </c>
    </row>
    <row r="677">
      <c r="A677" s="3" t="inlineStr">
        <is>
          <t>Lesotho</t>
        </is>
      </c>
      <c r="B677" s="3" t="inlineStr">
        <is>
          <t>LSO</t>
        </is>
      </c>
      <c r="C677" s="3" t="inlineStr">
        <is>
          <t>Current health expenditure (% of GDP)</t>
        </is>
      </c>
      <c r="D677" s="3" t="inlineStr">
        <is>
          <t>SH.XPD.CHEX.GD.ZS</t>
        </is>
      </c>
      <c r="E677" s="3" t="n">
        <v>2021</v>
      </c>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c r="AD677" s="3" t="n"/>
      <c r="AE677" s="3" t="n"/>
      <c r="AF677" s="3" t="n"/>
      <c r="AG677" s="3" t="n"/>
      <c r="AH677" s="3" t="n"/>
      <c r="AI677" s="3" t="n"/>
      <c r="AJ677" s="3" t="n"/>
      <c r="AK677" s="3" t="n"/>
      <c r="AL677" s="3" t="n"/>
      <c r="AM677" s="3" t="n"/>
      <c r="AN677" s="3" t="n"/>
      <c r="AO677" s="3" t="n"/>
      <c r="AP677" s="3" t="n"/>
      <c r="AQ677" s="3" t="n"/>
      <c r="AR677" s="3" t="n"/>
      <c r="AS677" s="3" t="n"/>
      <c r="AT677" s="3" t="n">
        <v>5.6117692</v>
      </c>
      <c r="AU677" s="3" t="n">
        <v>7.27745867</v>
      </c>
      <c r="AV677" s="3" t="n">
        <v>6.54458666</v>
      </c>
      <c r="AW677" s="3" t="n">
        <v>6.04550791</v>
      </c>
      <c r="AX677" s="3" t="n">
        <v>6.05738831</v>
      </c>
      <c r="AY677" s="3" t="n">
        <v>5.44926691</v>
      </c>
      <c r="AZ677" s="3" t="n">
        <v>6.11966372</v>
      </c>
      <c r="BA677" s="3" t="n">
        <v>7.22254515</v>
      </c>
      <c r="BB677" s="3" t="n">
        <v>7.66656303</v>
      </c>
      <c r="BC677" s="3" t="n">
        <v>8.95305061</v>
      </c>
      <c r="BD677" s="3" t="n">
        <v>7.64088917</v>
      </c>
      <c r="BE677" s="3" t="n">
        <v>9.075588229999999</v>
      </c>
      <c r="BF677" s="3" t="n">
        <v>10.04389858</v>
      </c>
      <c r="BG677" s="3" t="n">
        <v>10.99592113</v>
      </c>
      <c r="BH677" s="3" t="n">
        <v>9.99930382</v>
      </c>
      <c r="BI677" s="3" t="n">
        <v>9.296564099999999</v>
      </c>
      <c r="BJ677" s="3" t="n">
        <v>9.24261093</v>
      </c>
      <c r="BK677" s="3" t="n">
        <v>10.57480335</v>
      </c>
      <c r="BL677" s="3" t="n">
        <v>11.114995</v>
      </c>
      <c r="BM677" s="3" t="n">
        <v>11.94662285</v>
      </c>
      <c r="BN677" s="3" t="n">
        <v>10.27927017</v>
      </c>
      <c r="BO677" s="3" t="n">
        <v>10.21370411</v>
      </c>
      <c r="BP677" s="3" t="n"/>
      <c r="BQ677" s="3" t="n"/>
      <c r="BR677" s="34" t="str">
        <f>B677&amp;"|"&amp;D677</f>
        <v>LSO|SH.XPD.CHEX.GD.ZS</v>
      </c>
    </row>
    <row r="678">
      <c r="A678" s="3" t="inlineStr">
        <is>
          <t>Late-demographic dividend</t>
        </is>
      </c>
      <c r="B678" s="3" t="inlineStr">
        <is>
          <t>LTE</t>
        </is>
      </c>
      <c r="C678" s="3" t="inlineStr">
        <is>
          <t>Current health expenditure (% of GDP)</t>
        </is>
      </c>
      <c r="D678" s="3" t="inlineStr">
        <is>
          <t>SH.XPD.CHEX.GD.ZS</t>
        </is>
      </c>
      <c r="E678" s="3" t="n">
        <v>2021</v>
      </c>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c r="AD678" s="3" t="n"/>
      <c r="AE678" s="3" t="n"/>
      <c r="AF678" s="3" t="n"/>
      <c r="AG678" s="3" t="n"/>
      <c r="AH678" s="3" t="n"/>
      <c r="AI678" s="3" t="n"/>
      <c r="AJ678" s="3" t="n"/>
      <c r="AK678" s="3" t="n"/>
      <c r="AL678" s="3" t="n"/>
      <c r="AM678" s="3" t="n"/>
      <c r="AN678" s="3" t="n"/>
      <c r="AO678" s="3" t="n"/>
      <c r="AP678" s="3" t="n"/>
      <c r="AQ678" s="3" t="n"/>
      <c r="AR678" s="3" t="n"/>
      <c r="AS678" s="3" t="n"/>
      <c r="AT678" s="3" t="n">
        <v>5.333384226083813</v>
      </c>
      <c r="AU678" s="3" t="n">
        <v>5.24376219562504</v>
      </c>
      <c r="AV678" s="3" t="n">
        <v>5.290425761749289</v>
      </c>
      <c r="AW678" s="3" t="n">
        <v>5.202088438069808</v>
      </c>
      <c r="AX678" s="3" t="n">
        <v>5.102254702915102</v>
      </c>
      <c r="AY678" s="3" t="n">
        <v>5.080448457799994</v>
      </c>
      <c r="AZ678" s="3" t="n">
        <v>5.002242602449679</v>
      </c>
      <c r="BA678" s="3" t="n">
        <v>4.911294130727765</v>
      </c>
      <c r="BB678" s="3" t="n">
        <v>5.021517261390612</v>
      </c>
      <c r="BC678" s="3" t="n">
        <v>5.46464077246129</v>
      </c>
      <c r="BD678" s="3" t="n">
        <v>5.23759259292313</v>
      </c>
      <c r="BE678" s="3" t="n">
        <v>5.15849333924176</v>
      </c>
      <c r="BF678" s="3" t="n">
        <v>5.191283356401558</v>
      </c>
      <c r="BG678" s="3" t="n">
        <v>5.302094765846808</v>
      </c>
      <c r="BH678" s="3" t="n">
        <v>5.39682962318117</v>
      </c>
      <c r="BI678" s="3" t="n">
        <v>5.459331382338234</v>
      </c>
      <c r="BJ678" s="3" t="n">
        <v>5.544397034012809</v>
      </c>
      <c r="BK678" s="3" t="n">
        <v>5.643109190510164</v>
      </c>
      <c r="BL678" s="3" t="n">
        <v>5.623444340691884</v>
      </c>
      <c r="BM678" s="3" t="n">
        <v>5.780103778042993</v>
      </c>
      <c r="BN678" s="3" t="n">
        <v>6.138142192338162</v>
      </c>
      <c r="BO678" s="3" t="n">
        <v>5.968839314172705</v>
      </c>
      <c r="BP678" s="3" t="n"/>
      <c r="BQ678" s="3" t="n"/>
      <c r="BR678" s="34" t="str">
        <f>B678&amp;"|"&amp;D678</f>
        <v>LTE|SH.XPD.CHEX.GD.ZS</v>
      </c>
    </row>
    <row r="679">
      <c r="A679" s="3" t="inlineStr">
        <is>
          <t>Lithuania</t>
        </is>
      </c>
      <c r="B679" s="3" t="inlineStr">
        <is>
          <t>LTU</t>
        </is>
      </c>
      <c r="C679" s="3" t="inlineStr">
        <is>
          <t>Current health expenditure (% of GDP)</t>
        </is>
      </c>
      <c r="D679" s="3" t="inlineStr">
        <is>
          <t>SH.XPD.CHEX.GD.ZS</t>
        </is>
      </c>
      <c r="E679" s="3" t="n">
        <v>2022</v>
      </c>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c r="AD679" s="3" t="n"/>
      <c r="AE679" s="3" t="n"/>
      <c r="AF679" s="3" t="n"/>
      <c r="AG679" s="3" t="n"/>
      <c r="AH679" s="3" t="n"/>
      <c r="AI679" s="3" t="n"/>
      <c r="AJ679" s="3" t="n"/>
      <c r="AK679" s="3" t="n"/>
      <c r="AL679" s="3" t="n"/>
      <c r="AM679" s="3" t="n"/>
      <c r="AN679" s="3" t="n"/>
      <c r="AO679" s="3" t="n"/>
      <c r="AP679" s="3" t="n"/>
      <c r="AQ679" s="3" t="n"/>
      <c r="AR679" s="3" t="n"/>
      <c r="AS679" s="3" t="n"/>
      <c r="AT679" s="3" t="n">
        <v>6.2</v>
      </c>
      <c r="AU679" s="3" t="n">
        <v>6.01</v>
      </c>
      <c r="AV679" s="3" t="n">
        <v>6.14</v>
      </c>
      <c r="AW679" s="3" t="n">
        <v>6.19</v>
      </c>
      <c r="AX679" s="3" t="n">
        <v>5.51</v>
      </c>
      <c r="AY679" s="3" t="n">
        <v>5.65</v>
      </c>
      <c r="AZ679" s="3" t="n">
        <v>5.84</v>
      </c>
      <c r="BA679" s="3" t="n">
        <v>5.76</v>
      </c>
      <c r="BB679" s="3" t="n">
        <v>6.29</v>
      </c>
      <c r="BC679" s="3" t="n">
        <v>7.37</v>
      </c>
      <c r="BD679" s="3" t="n">
        <v>6.81</v>
      </c>
      <c r="BE679" s="3" t="n">
        <v>6.49</v>
      </c>
      <c r="BF679" s="3" t="n">
        <v>6.28</v>
      </c>
      <c r="BG679" s="3" t="n">
        <v>6.13</v>
      </c>
      <c r="BH679" s="3" t="n">
        <v>6.19</v>
      </c>
      <c r="BI679" s="3" t="n">
        <v>6.49</v>
      </c>
      <c r="BJ679" s="3" t="n">
        <v>6.64</v>
      </c>
      <c r="BK679" s="3" t="n">
        <v>6.48</v>
      </c>
      <c r="BL679" s="3" t="n">
        <v>6.53</v>
      </c>
      <c r="BM679" s="3" t="n">
        <v>6.99</v>
      </c>
      <c r="BN679" s="3" t="n">
        <v>7.48</v>
      </c>
      <c r="BO679" s="3" t="n">
        <v>7.82</v>
      </c>
      <c r="BP679" s="3" t="n">
        <v>7.46</v>
      </c>
      <c r="BQ679" s="3" t="n"/>
      <c r="BR679" s="34" t="str">
        <f>B679&amp;"|"&amp;D679</f>
        <v>LTU|SH.XPD.CHEX.GD.ZS</v>
      </c>
    </row>
    <row r="680">
      <c r="A680" s="3" t="inlineStr">
        <is>
          <t>Luxembourg</t>
        </is>
      </c>
      <c r="B680" s="3" t="inlineStr">
        <is>
          <t>LUX</t>
        </is>
      </c>
      <c r="C680" s="3" t="inlineStr">
        <is>
          <t>Current health expenditure (% of GDP)</t>
        </is>
      </c>
      <c r="D680" s="3" t="inlineStr">
        <is>
          <t>SH.XPD.CHEX.GD.ZS</t>
        </is>
      </c>
      <c r="E680" s="3" t="n">
        <v>2022</v>
      </c>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c r="AD680" s="3" t="n"/>
      <c r="AE680" s="3" t="n"/>
      <c r="AF680" s="3" t="n"/>
      <c r="AG680" s="3" t="n"/>
      <c r="AH680" s="3" t="n"/>
      <c r="AI680" s="3" t="n"/>
      <c r="AJ680" s="3" t="n"/>
      <c r="AK680" s="3" t="n"/>
      <c r="AL680" s="3" t="n"/>
      <c r="AM680" s="3" t="n"/>
      <c r="AN680" s="3" t="n"/>
      <c r="AO680" s="3" t="n"/>
      <c r="AP680" s="3" t="n"/>
      <c r="AQ680" s="3" t="n"/>
      <c r="AR680" s="3" t="n"/>
      <c r="AS680" s="3" t="n"/>
      <c r="AT680" s="3" t="n">
        <v>5.93</v>
      </c>
      <c r="AU680" s="3" t="n">
        <v>6.38</v>
      </c>
      <c r="AV680" s="3" t="n">
        <v>6.76</v>
      </c>
      <c r="AW680" s="3" t="n">
        <v>6.96</v>
      </c>
      <c r="AX680" s="3" t="n">
        <v>7.28</v>
      </c>
      <c r="AY680" s="3" t="n">
        <v>7.12</v>
      </c>
      <c r="AZ680" s="3" t="n">
        <v>6.64</v>
      </c>
      <c r="BA680" s="3" t="n">
        <v>6.16</v>
      </c>
      <c r="BB680" s="3" t="n">
        <v>6.23</v>
      </c>
      <c r="BC680" s="3" t="n">
        <v>6.95</v>
      </c>
      <c r="BD680" s="3" t="n">
        <v>6.66</v>
      </c>
      <c r="BE680" s="3" t="n">
        <v>5.95</v>
      </c>
      <c r="BF680" s="3" t="n">
        <v>5.29</v>
      </c>
      <c r="BG680" s="3" t="n">
        <v>5.24</v>
      </c>
      <c r="BH680" s="3" t="n">
        <v>5.23</v>
      </c>
      <c r="BI680" s="3" t="n">
        <v>5.08</v>
      </c>
      <c r="BJ680" s="3" t="n">
        <v>5.07</v>
      </c>
      <c r="BK680" s="3" t="n">
        <v>5.14</v>
      </c>
      <c r="BL680" s="3" t="n">
        <v>5.28</v>
      </c>
      <c r="BM680" s="3" t="n">
        <v>5.47</v>
      </c>
      <c r="BN680" s="3" t="n">
        <v>5.74</v>
      </c>
      <c r="BO680" s="3" t="n">
        <v>5.67</v>
      </c>
      <c r="BP680" s="3" t="n">
        <v>5.46</v>
      </c>
      <c r="BQ680" s="3" t="n"/>
      <c r="BR680" s="34" t="str">
        <f>B680&amp;"|"&amp;D680</f>
        <v>LUX|SH.XPD.CHEX.GD.ZS</v>
      </c>
    </row>
    <row r="681">
      <c r="A681" s="3" t="inlineStr">
        <is>
          <t>Latvia</t>
        </is>
      </c>
      <c r="B681" s="3" t="inlineStr">
        <is>
          <t>LVA</t>
        </is>
      </c>
      <c r="C681" s="3" t="inlineStr">
        <is>
          <t>Current health expenditure (% of GDP)</t>
        </is>
      </c>
      <c r="D681" s="3" t="inlineStr">
        <is>
          <t>SH.XPD.CHEX.GD.ZS</t>
        </is>
      </c>
      <c r="E681" s="3" t="n">
        <v>2021</v>
      </c>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c r="AD681" s="3" t="n"/>
      <c r="AE681" s="3" t="n"/>
      <c r="AF681" s="3" t="n"/>
      <c r="AG681" s="3" t="n"/>
      <c r="AH681" s="3" t="n"/>
      <c r="AI681" s="3" t="n"/>
      <c r="AJ681" s="3" t="n"/>
      <c r="AK681" s="3" t="n"/>
      <c r="AL681" s="3" t="n"/>
      <c r="AM681" s="3" t="n"/>
      <c r="AN681" s="3" t="n"/>
      <c r="AO681" s="3" t="n"/>
      <c r="AP681" s="3" t="n"/>
      <c r="AQ681" s="3" t="n"/>
      <c r="AR681" s="3" t="n"/>
      <c r="AS681" s="3" t="n"/>
      <c r="AT681" s="3" t="n">
        <v>5.43</v>
      </c>
      <c r="AU681" s="3" t="n">
        <v>5.77</v>
      </c>
      <c r="AV681" s="3" t="n">
        <v>5.76</v>
      </c>
      <c r="AW681" s="3" t="n">
        <v>5.48</v>
      </c>
      <c r="AX681" s="3" t="n">
        <v>6.2</v>
      </c>
      <c r="AY681" s="3" t="n">
        <v>5.83</v>
      </c>
      <c r="AZ681" s="3" t="n">
        <v>5.7</v>
      </c>
      <c r="BA681" s="3" t="n">
        <v>5.51</v>
      </c>
      <c r="BB681" s="3" t="n">
        <v>5.58</v>
      </c>
      <c r="BC681" s="3" t="n">
        <v>6.1</v>
      </c>
      <c r="BD681" s="3" t="n">
        <v>6.1</v>
      </c>
      <c r="BE681" s="3" t="n">
        <v>5.72</v>
      </c>
      <c r="BF681" s="3" t="n">
        <v>5.41</v>
      </c>
      <c r="BG681" s="3" t="n">
        <v>5.41</v>
      </c>
      <c r="BH681" s="3" t="n">
        <v>5.46</v>
      </c>
      <c r="BI681" s="3" t="n">
        <v>5.65</v>
      </c>
      <c r="BJ681" s="3" t="n">
        <v>6.13</v>
      </c>
      <c r="BK681" s="3" t="n">
        <v>5.97</v>
      </c>
      <c r="BL681" s="3" t="n">
        <v>6.19</v>
      </c>
      <c r="BM681" s="3" t="n">
        <v>6.61</v>
      </c>
      <c r="BN681" s="3" t="n">
        <v>7.25</v>
      </c>
      <c r="BO681" s="3" t="n">
        <v>9.039999999999999</v>
      </c>
      <c r="BP681" s="3" t="n"/>
      <c r="BQ681" s="3" t="n"/>
      <c r="BR681" s="34" t="str">
        <f>B681&amp;"|"&amp;D681</f>
        <v>LVA|SH.XPD.CHEX.GD.ZS</v>
      </c>
    </row>
    <row r="682">
      <c r="A682" s="3" t="inlineStr">
        <is>
          <t>Macao SAR, China</t>
        </is>
      </c>
      <c r="B682" s="3" t="inlineStr">
        <is>
          <t>MAC</t>
        </is>
      </c>
      <c r="C682" s="3" t="inlineStr">
        <is>
          <t>Current health expenditure (% of GDP)</t>
        </is>
      </c>
      <c r="D682" s="3" t="inlineStr">
        <is>
          <t>SH.XPD.CHEX.GD.ZS</t>
        </is>
      </c>
      <c r="E682" s="3" t="inlineStr">
        <is>
          <t>0x2a</t>
        </is>
      </c>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c r="AD682" s="3" t="n"/>
      <c r="AE682" s="3" t="n"/>
      <c r="AF682" s="3" t="n"/>
      <c r="AG682" s="3" t="n"/>
      <c r="AH682" s="3" t="n"/>
      <c r="AI682" s="3" t="n"/>
      <c r="AJ682" s="3" t="n"/>
      <c r="AK682" s="3" t="n"/>
      <c r="AL682" s="3" t="n"/>
      <c r="AM682" s="3" t="n"/>
      <c r="AN682" s="3" t="n"/>
      <c r="AO682" s="3" t="n"/>
      <c r="AP682" s="3" t="n"/>
      <c r="AQ682" s="3" t="n"/>
      <c r="AR682" s="3" t="n"/>
      <c r="AS682" s="3" t="n"/>
      <c r="AT682" s="3" t="n"/>
      <c r="AU682" s="3" t="n"/>
      <c r="AV682" s="3" t="n"/>
      <c r="AW682" s="3" t="n"/>
      <c r="AX682" s="3" t="n"/>
      <c r="AY682" s="3" t="n"/>
      <c r="AZ682" s="3" t="n"/>
      <c r="BA682" s="3" t="n"/>
      <c r="BB682" s="3" t="n"/>
      <c r="BC682" s="3" t="n"/>
      <c r="BD682" s="3" t="n"/>
      <c r="BE682" s="3" t="n"/>
      <c r="BF682" s="3" t="n"/>
      <c r="BG682" s="3" t="n"/>
      <c r="BH682" s="3" t="n"/>
      <c r="BI682" s="3" t="n"/>
      <c r="BJ682" s="3" t="n"/>
      <c r="BK682" s="3" t="n"/>
      <c r="BL682" s="3" t="n"/>
      <c r="BM682" s="3" t="n"/>
      <c r="BN682" s="3" t="n"/>
      <c r="BO682" s="3" t="n"/>
      <c r="BP682" s="3" t="n"/>
      <c r="BQ682" s="3" t="n"/>
      <c r="BR682" s="34" t="str">
        <f>B682&amp;"|"&amp;D682</f>
        <v>MAC|SH.XPD.CHEX.GD.ZS</v>
      </c>
    </row>
    <row r="683">
      <c r="A683" s="3" t="inlineStr">
        <is>
          <t>St. Martin (French part)</t>
        </is>
      </c>
      <c r="B683" s="3" t="inlineStr">
        <is>
          <t>MAF</t>
        </is>
      </c>
      <c r="C683" s="3" t="inlineStr">
        <is>
          <t>Current health expenditure (% of GDP)</t>
        </is>
      </c>
      <c r="D683" s="3" t="inlineStr">
        <is>
          <t>SH.XPD.CHEX.GD.ZS</t>
        </is>
      </c>
      <c r="E683" s="3" t="inlineStr">
        <is>
          <t>0x2a</t>
        </is>
      </c>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c r="AD683" s="3" t="n"/>
      <c r="AE683" s="3" t="n"/>
      <c r="AF683" s="3" t="n"/>
      <c r="AG683" s="3" t="n"/>
      <c r="AH683" s="3" t="n"/>
      <c r="AI683" s="3" t="n"/>
      <c r="AJ683" s="3" t="n"/>
      <c r="AK683" s="3" t="n"/>
      <c r="AL683" s="3" t="n"/>
      <c r="AM683" s="3" t="n"/>
      <c r="AN683" s="3" t="n"/>
      <c r="AO683" s="3" t="n"/>
      <c r="AP683" s="3" t="n"/>
      <c r="AQ683" s="3" t="n"/>
      <c r="AR683" s="3" t="n"/>
      <c r="AS683" s="3" t="n"/>
      <c r="AT683" s="3" t="n"/>
      <c r="AU683" s="3" t="n"/>
      <c r="AV683" s="3" t="n"/>
      <c r="AW683" s="3" t="n"/>
      <c r="AX683" s="3" t="n"/>
      <c r="AY683" s="3" t="n"/>
      <c r="AZ683" s="3" t="n"/>
      <c r="BA683" s="3" t="n"/>
      <c r="BB683" s="3" t="n"/>
      <c r="BC683" s="3" t="n"/>
      <c r="BD683" s="3" t="n"/>
      <c r="BE683" s="3" t="n"/>
      <c r="BF683" s="3" t="n"/>
      <c r="BG683" s="3" t="n"/>
      <c r="BH683" s="3" t="n"/>
      <c r="BI683" s="3" t="n"/>
      <c r="BJ683" s="3" t="n"/>
      <c r="BK683" s="3" t="n"/>
      <c r="BL683" s="3" t="n"/>
      <c r="BM683" s="3" t="n"/>
      <c r="BN683" s="3" t="n"/>
      <c r="BO683" s="3" t="n"/>
      <c r="BP683" s="3" t="n"/>
      <c r="BQ683" s="3" t="n"/>
      <c r="BR683" s="34" t="str">
        <f>B683&amp;"|"&amp;D683</f>
        <v>MAF|SH.XPD.CHEX.GD.ZS</v>
      </c>
    </row>
    <row r="684">
      <c r="A684" s="3" t="inlineStr">
        <is>
          <t>Morocco</t>
        </is>
      </c>
      <c r="B684" s="3" t="inlineStr">
        <is>
          <t>MAR</t>
        </is>
      </c>
      <c r="C684" s="3" t="inlineStr">
        <is>
          <t>Current health expenditure (% of GDP)</t>
        </is>
      </c>
      <c r="D684" s="3" t="inlineStr">
        <is>
          <t>SH.XPD.CHEX.GD.ZS</t>
        </is>
      </c>
      <c r="E684" s="3" t="n">
        <v>2021</v>
      </c>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c r="AD684" s="3" t="n"/>
      <c r="AE684" s="3" t="n"/>
      <c r="AF684" s="3" t="n"/>
      <c r="AG684" s="3" t="n"/>
      <c r="AH684" s="3" t="n"/>
      <c r="AI684" s="3" t="n"/>
      <c r="AJ684" s="3" t="n"/>
      <c r="AK684" s="3" t="n"/>
      <c r="AL684" s="3" t="n"/>
      <c r="AM684" s="3" t="n"/>
      <c r="AN684" s="3" t="n"/>
      <c r="AO684" s="3" t="n"/>
      <c r="AP684" s="3" t="n"/>
      <c r="AQ684" s="3" t="n"/>
      <c r="AR684" s="3" t="n"/>
      <c r="AS684" s="3" t="n"/>
      <c r="AT684" s="3" t="n">
        <v>3.69304585</v>
      </c>
      <c r="AU684" s="3" t="n">
        <v>3.81601191</v>
      </c>
      <c r="AV684" s="3" t="n">
        <v>4.06117535</v>
      </c>
      <c r="AW684" s="3" t="n">
        <v>4.08037519</v>
      </c>
      <c r="AX684" s="3" t="n">
        <v>4.23211098</v>
      </c>
      <c r="AY684" s="3" t="n">
        <v>4.37350655</v>
      </c>
      <c r="AZ684" s="3" t="n">
        <v>4.56586647</v>
      </c>
      <c r="BA684" s="3" t="n">
        <v>4.80759001</v>
      </c>
      <c r="BB684" s="3" t="n">
        <v>4.83789158</v>
      </c>
      <c r="BC684" s="3" t="n">
        <v>5.27312183</v>
      </c>
      <c r="BD684" s="3" t="n">
        <v>5.41861057</v>
      </c>
      <c r="BE684" s="3" t="n">
        <v>5.37019396</v>
      </c>
      <c r="BF684" s="3" t="n">
        <v>5.39619017</v>
      </c>
      <c r="BG684" s="3" t="n">
        <v>5.25540543</v>
      </c>
      <c r="BH684" s="3" t="n">
        <v>5.41626596</v>
      </c>
      <c r="BI684" s="3" t="n">
        <v>5.10435581</v>
      </c>
      <c r="BJ684" s="3" t="n">
        <v>5.09203386</v>
      </c>
      <c r="BK684" s="3" t="n">
        <v>4.98920393</v>
      </c>
      <c r="BL684" s="3" t="n">
        <v>4.94516659</v>
      </c>
      <c r="BM684" s="3" t="n">
        <v>4.99129868</v>
      </c>
      <c r="BN684" s="3" t="n">
        <v>5.83834505</v>
      </c>
      <c r="BO684" s="3" t="n">
        <v>5.73834944</v>
      </c>
      <c r="BP684" s="3" t="n"/>
      <c r="BQ684" s="3" t="n"/>
      <c r="BR684" s="34" t="str">
        <f>B684&amp;"|"&amp;D684</f>
        <v>MAR|SH.XPD.CHEX.GD.ZS</v>
      </c>
    </row>
    <row r="685">
      <c r="A685" s="3" t="inlineStr">
        <is>
          <t>Monaco</t>
        </is>
      </c>
      <c r="B685" s="3" t="inlineStr">
        <is>
          <t>MCO</t>
        </is>
      </c>
      <c r="C685" s="3" t="inlineStr">
        <is>
          <t>Current health expenditure (% of GDP)</t>
        </is>
      </c>
      <c r="D685" s="3" t="inlineStr">
        <is>
          <t>SH.XPD.CHEX.GD.ZS</t>
        </is>
      </c>
      <c r="E685" s="3" t="n">
        <v>2021</v>
      </c>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c r="AF685" s="3" t="n"/>
      <c r="AG685" s="3" t="n"/>
      <c r="AH685" s="3" t="n"/>
      <c r="AI685" s="3" t="n"/>
      <c r="AJ685" s="3" t="n"/>
      <c r="AK685" s="3" t="n"/>
      <c r="AL685" s="3" t="n"/>
      <c r="AM685" s="3" t="n"/>
      <c r="AN685" s="3" t="n"/>
      <c r="AO685" s="3" t="n"/>
      <c r="AP685" s="3" t="n"/>
      <c r="AQ685" s="3" t="n"/>
      <c r="AR685" s="3" t="n"/>
      <c r="AS685" s="3" t="n"/>
      <c r="AT685" s="3" t="n">
        <v>3.69517851</v>
      </c>
      <c r="AU685" s="3" t="n">
        <v>3.75390792</v>
      </c>
      <c r="AV685" s="3" t="n">
        <v>3.80860424</v>
      </c>
      <c r="AW685" s="3" t="n">
        <v>4.43205786</v>
      </c>
      <c r="AX685" s="3" t="n">
        <v>4.52466917</v>
      </c>
      <c r="AY685" s="3" t="n">
        <v>4.50320387</v>
      </c>
      <c r="AZ685" s="3" t="n">
        <v>4.29524565</v>
      </c>
      <c r="BA685" s="3" t="n">
        <v>3.81156135</v>
      </c>
      <c r="BB685" s="3" t="n">
        <v>4.08357811</v>
      </c>
      <c r="BC685" s="3" t="n">
        <v>4.84195948</v>
      </c>
      <c r="BD685" s="3" t="n">
        <v>4.95791674</v>
      </c>
      <c r="BE685" s="3" t="n">
        <v>4.63501215</v>
      </c>
      <c r="BF685" s="3" t="n">
        <v>4.7558527</v>
      </c>
      <c r="BG685" s="3" t="n">
        <v>4.57341814</v>
      </c>
      <c r="BH685" s="3" t="n">
        <v>4.44085073</v>
      </c>
      <c r="BI685" s="3" t="n">
        <v>4.31544638</v>
      </c>
      <c r="BJ685" s="3" t="n">
        <v>4.12037039</v>
      </c>
      <c r="BK685" s="3" t="n">
        <v>4.15852404</v>
      </c>
      <c r="BL685" s="3" t="n">
        <v>4.03953457</v>
      </c>
      <c r="BM685" s="3" t="n">
        <v>3.87725186</v>
      </c>
      <c r="BN685" s="3" t="n">
        <v>4.27983093</v>
      </c>
      <c r="BO685" s="3" t="n">
        <v>3.68486166</v>
      </c>
      <c r="BP685" s="3" t="n"/>
      <c r="BQ685" s="3" t="n"/>
      <c r="BR685" s="34" t="str">
        <f>B685&amp;"|"&amp;D685</f>
        <v>MCO|SH.XPD.CHEX.GD.ZS</v>
      </c>
    </row>
    <row r="686">
      <c r="A686" s="3" t="inlineStr">
        <is>
          <t>Moldova</t>
        </is>
      </c>
      <c r="B686" s="3" t="inlineStr">
        <is>
          <t>MDA</t>
        </is>
      </c>
      <c r="C686" s="3" t="inlineStr">
        <is>
          <t>Current health expenditure (% of GDP)</t>
        </is>
      </c>
      <c r="D686" s="3" t="inlineStr">
        <is>
          <t>SH.XPD.CHEX.GD.ZS</t>
        </is>
      </c>
      <c r="E686" s="3" t="n">
        <v>2021</v>
      </c>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c r="AD686" s="3" t="n"/>
      <c r="AE686" s="3" t="n"/>
      <c r="AF686" s="3" t="n"/>
      <c r="AG686" s="3" t="n"/>
      <c r="AH686" s="3" t="n"/>
      <c r="AI686" s="3" t="n"/>
      <c r="AJ686" s="3" t="n"/>
      <c r="AK686" s="3" t="n"/>
      <c r="AL686" s="3" t="n"/>
      <c r="AM686" s="3" t="n"/>
      <c r="AN686" s="3" t="n"/>
      <c r="AO686" s="3" t="n"/>
      <c r="AP686" s="3" t="n"/>
      <c r="AQ686" s="3" t="n"/>
      <c r="AR686" s="3" t="n"/>
      <c r="AS686" s="3" t="n"/>
      <c r="AT686" s="3" t="n">
        <v>5.93</v>
      </c>
      <c r="AU686" s="3" t="n">
        <v>6.23</v>
      </c>
      <c r="AV686" s="3" t="n">
        <v>7.4</v>
      </c>
      <c r="AW686" s="3" t="n">
        <v>7.02</v>
      </c>
      <c r="AX686" s="3" t="n">
        <v>8.970000000000001</v>
      </c>
      <c r="AY686" s="3" t="n">
        <v>9.56</v>
      </c>
      <c r="AZ686" s="3" t="n">
        <v>10.54</v>
      </c>
      <c r="BA686" s="3" t="n">
        <v>11.02</v>
      </c>
      <c r="BB686" s="3" t="n">
        <v>10.95</v>
      </c>
      <c r="BC686" s="3" t="n">
        <v>13.68</v>
      </c>
      <c r="BD686" s="3" t="n">
        <v>10.13</v>
      </c>
      <c r="BE686" s="3" t="n">
        <v>9.1</v>
      </c>
      <c r="BF686" s="3" t="n">
        <v>9.140000000000001</v>
      </c>
      <c r="BG686" s="3" t="n">
        <v>8.68</v>
      </c>
      <c r="BH686" s="3" t="n">
        <v>8.630000000000001</v>
      </c>
      <c r="BI686" s="3" t="n">
        <v>8.56</v>
      </c>
      <c r="BJ686" s="3" t="n">
        <v>7.54</v>
      </c>
      <c r="BK686" s="3" t="n">
        <v>7.13</v>
      </c>
      <c r="BL686" s="3" t="n">
        <v>6.71</v>
      </c>
      <c r="BM686" s="3" t="n">
        <v>6.5</v>
      </c>
      <c r="BN686" s="3" t="n">
        <v>7</v>
      </c>
      <c r="BO686" s="3" t="n">
        <v>7.75</v>
      </c>
      <c r="BP686" s="3" t="n"/>
      <c r="BQ686" s="3" t="n"/>
      <c r="BR686" s="34" t="str">
        <f>B686&amp;"|"&amp;D686</f>
        <v>MDA|SH.XPD.CHEX.GD.ZS</v>
      </c>
    </row>
    <row r="687">
      <c r="A687" s="3" t="inlineStr">
        <is>
          <t>Madagascar</t>
        </is>
      </c>
      <c r="B687" s="3" t="inlineStr">
        <is>
          <t>MDG</t>
        </is>
      </c>
      <c r="C687" s="3" t="inlineStr">
        <is>
          <t>Current health expenditure (% of GDP)</t>
        </is>
      </c>
      <c r="D687" s="3" t="inlineStr">
        <is>
          <t>SH.XPD.CHEX.GD.ZS</t>
        </is>
      </c>
      <c r="E687" s="3" t="n">
        <v>2021</v>
      </c>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c r="AD687" s="3" t="n"/>
      <c r="AE687" s="3" t="n"/>
      <c r="AF687" s="3" t="n"/>
      <c r="AG687" s="3" t="n"/>
      <c r="AH687" s="3" t="n"/>
      <c r="AI687" s="3" t="n"/>
      <c r="AJ687" s="3" t="n"/>
      <c r="AK687" s="3" t="n"/>
      <c r="AL687" s="3" t="n"/>
      <c r="AM687" s="3" t="n"/>
      <c r="AN687" s="3" t="n"/>
      <c r="AO687" s="3" t="n"/>
      <c r="AP687" s="3" t="n"/>
      <c r="AQ687" s="3" t="n"/>
      <c r="AR687" s="3" t="n"/>
      <c r="AS687" s="3" t="n"/>
      <c r="AT687" s="3" t="n">
        <v>3.99177575</v>
      </c>
      <c r="AU687" s="3" t="n">
        <v>4.11513805</v>
      </c>
      <c r="AV687" s="3" t="n">
        <v>4.92547607</v>
      </c>
      <c r="AW687" s="3" t="n">
        <v>5.00276518</v>
      </c>
      <c r="AX687" s="3" t="n">
        <v>5.25089979</v>
      </c>
      <c r="AY687" s="3" t="n">
        <v>5.2155776</v>
      </c>
      <c r="AZ687" s="3" t="n">
        <v>5.07203817</v>
      </c>
      <c r="BA687" s="3" t="n">
        <v>4.60865784</v>
      </c>
      <c r="BB687" s="3" t="n">
        <v>4.08111715</v>
      </c>
      <c r="BC687" s="3" t="n">
        <v>4.38469839</v>
      </c>
      <c r="BD687" s="3" t="n">
        <v>4.69762659</v>
      </c>
      <c r="BE687" s="3" t="n">
        <v>4.521595</v>
      </c>
      <c r="BF687" s="3" t="n">
        <v>3.9110589</v>
      </c>
      <c r="BG687" s="3" t="n">
        <v>3.75156283</v>
      </c>
      <c r="BH687" s="3" t="n">
        <v>4.46240282</v>
      </c>
      <c r="BI687" s="3" t="n">
        <v>5.0062542</v>
      </c>
      <c r="BJ687" s="3" t="n">
        <v>5.33248854</v>
      </c>
      <c r="BK687" s="3" t="n">
        <v>4.80225992</v>
      </c>
      <c r="BL687" s="3" t="n">
        <v>4.22846937</v>
      </c>
      <c r="BM687" s="3" t="n">
        <v>3.10129309</v>
      </c>
      <c r="BN687" s="3" t="n">
        <v>3.72316122</v>
      </c>
      <c r="BO687" s="3" t="n">
        <v>3.5045228</v>
      </c>
      <c r="BP687" s="3" t="n"/>
      <c r="BQ687" s="3" t="n"/>
      <c r="BR687" s="34" t="str">
        <f>B687&amp;"|"&amp;D687</f>
        <v>MDG|SH.XPD.CHEX.GD.ZS</v>
      </c>
    </row>
    <row r="688">
      <c r="A688" s="3" t="inlineStr">
        <is>
          <t>Maldives</t>
        </is>
      </c>
      <c r="B688" s="3" t="inlineStr">
        <is>
          <t>MDV</t>
        </is>
      </c>
      <c r="C688" s="3" t="inlineStr">
        <is>
          <t>Current health expenditure (% of GDP)</t>
        </is>
      </c>
      <c r="D688" s="3" t="inlineStr">
        <is>
          <t>SH.XPD.CHEX.GD.ZS</t>
        </is>
      </c>
      <c r="E688" s="3" t="n">
        <v>2021</v>
      </c>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c r="AD688" s="3" t="n"/>
      <c r="AE688" s="3" t="n"/>
      <c r="AF688" s="3" t="n"/>
      <c r="AG688" s="3" t="n"/>
      <c r="AH688" s="3" t="n"/>
      <c r="AI688" s="3" t="n"/>
      <c r="AJ688" s="3" t="n"/>
      <c r="AK688" s="3" t="n"/>
      <c r="AL688" s="3" t="n"/>
      <c r="AM688" s="3" t="n"/>
      <c r="AN688" s="3" t="n"/>
      <c r="AO688" s="3" t="n"/>
      <c r="AP688" s="3" t="n"/>
      <c r="AQ688" s="3" t="n"/>
      <c r="AR688" s="3" t="n"/>
      <c r="AS688" s="3" t="n"/>
      <c r="AT688" s="3" t="n">
        <v>7.74</v>
      </c>
      <c r="AU688" s="3" t="n">
        <v>8.210000000000001</v>
      </c>
      <c r="AV688" s="3" t="n">
        <v>8.779999999999999</v>
      </c>
      <c r="AW688" s="3" t="n">
        <v>6.78</v>
      </c>
      <c r="AX688" s="3" t="n">
        <v>7.48</v>
      </c>
      <c r="AY688" s="3" t="n">
        <v>8.83</v>
      </c>
      <c r="AZ688" s="3" t="n">
        <v>8.050000000000001</v>
      </c>
      <c r="BA688" s="3" t="n">
        <v>8.31</v>
      </c>
      <c r="BB688" s="3" t="n">
        <v>11.47</v>
      </c>
      <c r="BC688" s="3" t="n">
        <v>10.09</v>
      </c>
      <c r="BD688" s="3" t="n">
        <v>8.49</v>
      </c>
      <c r="BE688" s="3" t="n">
        <v>7.92</v>
      </c>
      <c r="BF688" s="3" t="n">
        <v>8.67</v>
      </c>
      <c r="BG688" s="3" t="n">
        <v>8.16</v>
      </c>
      <c r="BH688" s="3" t="n">
        <v>7.91</v>
      </c>
      <c r="BI688" s="3" t="n">
        <v>8.73</v>
      </c>
      <c r="BJ688" s="3" t="n">
        <v>10.31</v>
      </c>
      <c r="BK688" s="3" t="n">
        <v>9.27</v>
      </c>
      <c r="BL688" s="3" t="n">
        <v>7.44</v>
      </c>
      <c r="BM688" s="3" t="n">
        <v>7.66</v>
      </c>
      <c r="BN688" s="3" t="n">
        <v>11.35</v>
      </c>
      <c r="BO688" s="3" t="n">
        <v>10.03</v>
      </c>
      <c r="BP688" s="3" t="n"/>
      <c r="BQ688" s="3" t="n"/>
      <c r="BR688" s="34" t="str">
        <f>B688&amp;"|"&amp;D688</f>
        <v>MDV|SH.XPD.CHEX.GD.ZS</v>
      </c>
    </row>
    <row r="689">
      <c r="A689" s="3" t="inlineStr">
        <is>
          <t>Middle East &amp; North Africa</t>
        </is>
      </c>
      <c r="B689" s="3" t="inlineStr">
        <is>
          <t>MEA</t>
        </is>
      </c>
      <c r="C689" s="3" t="inlineStr">
        <is>
          <t>Current health expenditure (% of GDP)</t>
        </is>
      </c>
      <c r="D689" s="3" t="inlineStr">
        <is>
          <t>SH.XPD.CHEX.GD.ZS</t>
        </is>
      </c>
      <c r="E689" s="3" t="n">
        <v>2021</v>
      </c>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c r="AD689" s="3" t="n"/>
      <c r="AE689" s="3" t="n"/>
      <c r="AF689" s="3" t="n"/>
      <c r="AG689" s="3" t="n"/>
      <c r="AH689" s="3" t="n"/>
      <c r="AI689" s="3" t="n"/>
      <c r="AJ689" s="3" t="n"/>
      <c r="AK689" s="3" t="n"/>
      <c r="AL689" s="3" t="n"/>
      <c r="AM689" s="3" t="n"/>
      <c r="AN689" s="3" t="n"/>
      <c r="AO689" s="3" t="n"/>
      <c r="AP689" s="3" t="n"/>
      <c r="AQ689" s="3" t="n"/>
      <c r="AR689" s="3" t="n"/>
      <c r="AS689" s="3" t="n"/>
      <c r="AT689" s="3" t="n">
        <v>4.428835073384287</v>
      </c>
      <c r="AU689" s="3" t="n">
        <v>4.770493170893369</v>
      </c>
      <c r="AV689" s="3" t="n">
        <v>4.65460499798974</v>
      </c>
      <c r="AW689" s="3" t="n">
        <v>4.500710007526769</v>
      </c>
      <c r="AX689" s="3" t="n">
        <v>4.278466279127967</v>
      </c>
      <c r="AY689" s="3" t="n">
        <v>4.04313430867029</v>
      </c>
      <c r="AZ689" s="3" t="n">
        <v>3.951698397630107</v>
      </c>
      <c r="BA689" s="3" t="n">
        <v>3.995520202342517</v>
      </c>
      <c r="BB689" s="3" t="n">
        <v>3.881006454910279</v>
      </c>
      <c r="BC689" s="3" t="n">
        <v>4.829551894580815</v>
      </c>
      <c r="BD689" s="3" t="n">
        <v>4.579257507571598</v>
      </c>
      <c r="BE689" s="3" t="n">
        <v>4.468735755475979</v>
      </c>
      <c r="BF689" s="3" t="n">
        <v>4.527625784567102</v>
      </c>
      <c r="BG689" s="3" t="n">
        <v>4.566982471340447</v>
      </c>
      <c r="BH689" s="3" t="n">
        <v>4.964691146068392</v>
      </c>
      <c r="BI689" s="3" t="n">
        <v>5.526360405843078</v>
      </c>
      <c r="BJ689" s="3" t="n">
        <v>5.87289991675023</v>
      </c>
      <c r="BK689" s="3" t="n">
        <v>5.802620878638694</v>
      </c>
      <c r="BL689" s="3" t="n">
        <v>5.424239301122149</v>
      </c>
      <c r="BM689" s="3" t="n">
        <v>5.3520680455719</v>
      </c>
      <c r="BN689" s="3" t="n">
        <v>6.040420826484796</v>
      </c>
      <c r="BO689" s="3" t="n">
        <v>5.763296696484074</v>
      </c>
      <c r="BP689" s="3" t="n"/>
      <c r="BQ689" s="3" t="n"/>
      <c r="BR689" s="34" t="str">
        <f>B689&amp;"|"&amp;D689</f>
        <v>MEA|SH.XPD.CHEX.GD.ZS</v>
      </c>
    </row>
    <row r="690">
      <c r="A690" s="3" t="inlineStr">
        <is>
          <t>Mexico</t>
        </is>
      </c>
      <c r="B690" s="3" t="inlineStr">
        <is>
          <t>MEX</t>
        </is>
      </c>
      <c r="C690" s="3" t="inlineStr">
        <is>
          <t>Current health expenditure (% of GDP)</t>
        </is>
      </c>
      <c r="D690" s="3" t="inlineStr">
        <is>
          <t>SH.XPD.CHEX.GD.ZS</t>
        </is>
      </c>
      <c r="E690" s="3" t="n">
        <v>2021</v>
      </c>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c r="AD690" s="3" t="n"/>
      <c r="AE690" s="3" t="n"/>
      <c r="AF690" s="3" t="n"/>
      <c r="AG690" s="3" t="n"/>
      <c r="AH690" s="3" t="n"/>
      <c r="AI690" s="3" t="n"/>
      <c r="AJ690" s="3" t="n"/>
      <c r="AK690" s="3" t="n"/>
      <c r="AL690" s="3" t="n"/>
      <c r="AM690" s="3" t="n"/>
      <c r="AN690" s="3" t="n"/>
      <c r="AO690" s="3" t="n"/>
      <c r="AP690" s="3" t="n"/>
      <c r="AQ690" s="3" t="n"/>
      <c r="AR690" s="3" t="n"/>
      <c r="AS690" s="3" t="n"/>
      <c r="AT690" s="3" t="n">
        <v>4.44912481</v>
      </c>
      <c r="AU690" s="3" t="n">
        <v>4.8203578</v>
      </c>
      <c r="AV690" s="3" t="n">
        <v>5.07164288</v>
      </c>
      <c r="AW690" s="3" t="n">
        <v>5.81486416</v>
      </c>
      <c r="AX690" s="3" t="n">
        <v>5.95390368</v>
      </c>
      <c r="AY690" s="3" t="n">
        <v>5.83612156</v>
      </c>
      <c r="AZ690" s="3" t="n">
        <v>5.65525532</v>
      </c>
      <c r="BA690" s="3" t="n">
        <v>5.76644468</v>
      </c>
      <c r="BB690" s="3" t="n">
        <v>5.69886971</v>
      </c>
      <c r="BC690" s="3" t="n">
        <v>6.12978411</v>
      </c>
      <c r="BD690" s="3" t="n">
        <v>5.73688889</v>
      </c>
      <c r="BE690" s="3" t="n">
        <v>5.51883602</v>
      </c>
      <c r="BF690" s="3" t="n">
        <v>5.66522074</v>
      </c>
      <c r="BG690" s="3" t="n">
        <v>5.80923605</v>
      </c>
      <c r="BH690" s="3" t="n">
        <v>5.55340958</v>
      </c>
      <c r="BI690" s="3" t="n">
        <v>5.72277355</v>
      </c>
      <c r="BJ690" s="3" t="n">
        <v>5.55345821</v>
      </c>
      <c r="BK690" s="3" t="n">
        <v>5.45759058</v>
      </c>
      <c r="BL690" s="3" t="n">
        <v>5.38345814</v>
      </c>
      <c r="BM690" s="3" t="n">
        <v>5.44796371</v>
      </c>
      <c r="BN690" s="3" t="n">
        <v>6.22204065</v>
      </c>
      <c r="BO690" s="3" t="n">
        <v>6.07868719</v>
      </c>
      <c r="BP690" s="3" t="n"/>
      <c r="BQ690" s="3" t="n"/>
      <c r="BR690" s="34" t="str">
        <f>B690&amp;"|"&amp;D690</f>
        <v>MEX|SH.XPD.CHEX.GD.ZS</v>
      </c>
    </row>
    <row r="691">
      <c r="A691" s="3" t="inlineStr">
        <is>
          <t>Marshall Islands</t>
        </is>
      </c>
      <c r="B691" s="3" t="inlineStr">
        <is>
          <t>MHL</t>
        </is>
      </c>
      <c r="C691" s="3" t="inlineStr">
        <is>
          <t>Current health expenditure (% of GDP)</t>
        </is>
      </c>
      <c r="D691" s="3" t="inlineStr">
        <is>
          <t>SH.XPD.CHEX.GD.ZS</t>
        </is>
      </c>
      <c r="E691" s="3" t="n">
        <v>2021</v>
      </c>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c r="AD691" s="3" t="n"/>
      <c r="AE691" s="3" t="n"/>
      <c r="AF691" s="3" t="n"/>
      <c r="AG691" s="3" t="n"/>
      <c r="AH691" s="3" t="n"/>
      <c r="AI691" s="3" t="n"/>
      <c r="AJ691" s="3" t="n"/>
      <c r="AK691" s="3" t="n"/>
      <c r="AL691" s="3" t="n"/>
      <c r="AM691" s="3" t="n"/>
      <c r="AN691" s="3" t="n"/>
      <c r="AO691" s="3" t="n"/>
      <c r="AP691" s="3" t="n"/>
      <c r="AQ691" s="3" t="n"/>
      <c r="AR691" s="3" t="n"/>
      <c r="AS691" s="3" t="n"/>
      <c r="AT691" s="3" t="n">
        <v>17.4808979</v>
      </c>
      <c r="AU691" s="3" t="n">
        <v>14.81642723</v>
      </c>
      <c r="AV691" s="3" t="n">
        <v>12.84072018</v>
      </c>
      <c r="AW691" s="3" t="n">
        <v>12.76533508</v>
      </c>
      <c r="AX691" s="3" t="n">
        <v>15.61940098</v>
      </c>
      <c r="AY691" s="3" t="n">
        <v>20.21598053</v>
      </c>
      <c r="AZ691" s="3" t="n">
        <v>20.33398056</v>
      </c>
      <c r="BA691" s="3" t="n">
        <v>16.26939583</v>
      </c>
      <c r="BB691" s="3" t="n">
        <v>15.20470905</v>
      </c>
      <c r="BC691" s="3" t="n">
        <v>14.53969955</v>
      </c>
      <c r="BD691" s="3" t="n">
        <v>13.93147564</v>
      </c>
      <c r="BE691" s="3" t="n">
        <v>13.08627224</v>
      </c>
      <c r="BF691" s="3" t="n">
        <v>13.03814125</v>
      </c>
      <c r="BG691" s="3" t="n">
        <v>13.46883583</v>
      </c>
      <c r="BH691" s="3" t="n">
        <v>13.20781231</v>
      </c>
      <c r="BI691" s="3" t="n">
        <v>15.33984375</v>
      </c>
      <c r="BJ691" s="3" t="n">
        <v>15.73866177</v>
      </c>
      <c r="BK691" s="3" t="n">
        <v>14.38502884</v>
      </c>
      <c r="BL691" s="3" t="n">
        <v>15.26284122</v>
      </c>
      <c r="BM691" s="3" t="n">
        <v>14.82552052</v>
      </c>
      <c r="BN691" s="3" t="n">
        <v>12.58777618</v>
      </c>
      <c r="BO691" s="3" t="n">
        <v>12.54863834</v>
      </c>
      <c r="BP691" s="3" t="n"/>
      <c r="BQ691" s="3" t="n"/>
      <c r="BR691" s="34" t="str">
        <f>B691&amp;"|"&amp;D691</f>
        <v>MHL|SH.XPD.CHEX.GD.ZS</v>
      </c>
    </row>
    <row r="692">
      <c r="A692" s="3" t="inlineStr">
        <is>
          <t>Middle income</t>
        </is>
      </c>
      <c r="B692" s="3" t="inlineStr">
        <is>
          <t>MIC</t>
        </is>
      </c>
      <c r="C692" s="3" t="inlineStr">
        <is>
          <t>Current health expenditure (% of GDP)</t>
        </is>
      </c>
      <c r="D692" s="3" t="inlineStr">
        <is>
          <t>SH.XPD.CHEX.GD.ZS</t>
        </is>
      </c>
      <c r="E692" s="3" t="n">
        <v>2021</v>
      </c>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c r="AD692" s="3" t="n"/>
      <c r="AE692" s="3" t="n"/>
      <c r="AF692" s="3" t="n"/>
      <c r="AG692" s="3" t="n"/>
      <c r="AH692" s="3" t="n"/>
      <c r="AI692" s="3" t="n"/>
      <c r="AJ692" s="3" t="n"/>
      <c r="AK692" s="3" t="n"/>
      <c r="AL692" s="3" t="n"/>
      <c r="AM692" s="3" t="n"/>
      <c r="AN692" s="3" t="n"/>
      <c r="AO692" s="3" t="n"/>
      <c r="AP692" s="3" t="n"/>
      <c r="AQ692" s="3" t="n"/>
      <c r="AR692" s="3" t="n"/>
      <c r="AS692" s="3" t="n"/>
      <c r="AT692" s="3" t="n">
        <v>5.013083117358421</v>
      </c>
      <c r="AU692" s="3" t="n">
        <v>5.035921441966224</v>
      </c>
      <c r="AV692" s="3" t="n">
        <v>4.891096933621453</v>
      </c>
      <c r="AW692" s="3" t="n">
        <v>4.971479971888241</v>
      </c>
      <c r="AX692" s="3" t="n">
        <v>4.943173614228115</v>
      </c>
      <c r="AY692" s="3" t="n">
        <v>4.950409470493456</v>
      </c>
      <c r="AZ692" s="3" t="n">
        <v>4.886240292098442</v>
      </c>
      <c r="BA692" s="3" t="n">
        <v>4.803040837393689</v>
      </c>
      <c r="BB692" s="3" t="n">
        <v>4.833348286254981</v>
      </c>
      <c r="BC692" s="3" t="n">
        <v>5.149479694678164</v>
      </c>
      <c r="BD692" s="3" t="n">
        <v>4.988383507581981</v>
      </c>
      <c r="BE692" s="3" t="n">
        <v>4.984738186652439</v>
      </c>
      <c r="BF692" s="3" t="n">
        <v>5.032085962258753</v>
      </c>
      <c r="BG692" s="3" t="n">
        <v>5.110146334556339</v>
      </c>
      <c r="BH692" s="3" t="n">
        <v>5.140911125706659</v>
      </c>
      <c r="BI692" s="3" t="n">
        <v>5.240018750818329</v>
      </c>
      <c r="BJ692" s="3" t="n">
        <v>5.252118114712458</v>
      </c>
      <c r="BK692" s="3" t="n">
        <v>5.259151793042828</v>
      </c>
      <c r="BL692" s="3" t="n">
        <v>5.20116100489775</v>
      </c>
      <c r="BM692" s="3" t="n">
        <v>5.258620356532629</v>
      </c>
      <c r="BN692" s="3" t="n">
        <v>5.535648081794923</v>
      </c>
      <c r="BO692" s="3" t="n">
        <v>5.437627642073271</v>
      </c>
      <c r="BP692" s="3" t="n"/>
      <c r="BQ692" s="3" t="n"/>
      <c r="BR692" s="34" t="str">
        <f>B692&amp;"|"&amp;D692</f>
        <v>MIC|SH.XPD.CHEX.GD.ZS</v>
      </c>
    </row>
    <row r="693">
      <c r="A693" s="3" t="inlineStr">
        <is>
          <t>North Macedonia</t>
        </is>
      </c>
      <c r="B693" s="3" t="inlineStr">
        <is>
          <t>MKD</t>
        </is>
      </c>
      <c r="C693" s="3" t="inlineStr">
        <is>
          <t>Current health expenditure (% of GDP)</t>
        </is>
      </c>
      <c r="D693" s="3" t="inlineStr">
        <is>
          <t>SH.XPD.CHEX.GD.ZS</t>
        </is>
      </c>
      <c r="E693" s="3" t="n">
        <v>2021</v>
      </c>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c r="AD693" s="3" t="n"/>
      <c r="AE693" s="3" t="n"/>
      <c r="AF693" s="3" t="n"/>
      <c r="AG693" s="3" t="n"/>
      <c r="AH693" s="3" t="n"/>
      <c r="AI693" s="3" t="n"/>
      <c r="AJ693" s="3" t="n"/>
      <c r="AK693" s="3" t="n"/>
      <c r="AL693" s="3" t="n"/>
      <c r="AM693" s="3" t="n"/>
      <c r="AN693" s="3" t="n"/>
      <c r="AO693" s="3" t="n"/>
      <c r="AP693" s="3" t="n"/>
      <c r="AQ693" s="3" t="n"/>
      <c r="AR693" s="3" t="n"/>
      <c r="AS693" s="3" t="n"/>
      <c r="AT693" s="3" t="n">
        <v>8.869999999999999</v>
      </c>
      <c r="AU693" s="3" t="n">
        <v>8.380000000000001</v>
      </c>
      <c r="AV693" s="3" t="n">
        <v>8.98</v>
      </c>
      <c r="AW693" s="3" t="n">
        <v>9.01</v>
      </c>
      <c r="AX693" s="3" t="n">
        <v>8.470000000000001</v>
      </c>
      <c r="AY693" s="3" t="n">
        <v>7.68</v>
      </c>
      <c r="AZ693" s="3" t="n">
        <v>7.38</v>
      </c>
      <c r="BA693" s="3" t="n">
        <v>6.57</v>
      </c>
      <c r="BB693" s="3" t="n">
        <v>6.55</v>
      </c>
      <c r="BC693" s="3" t="n">
        <v>6.53</v>
      </c>
      <c r="BD693" s="3" t="n">
        <v>6.71</v>
      </c>
      <c r="BE693" s="3" t="n">
        <v>6.52</v>
      </c>
      <c r="BF693" s="3" t="n">
        <v>6.61</v>
      </c>
      <c r="BG693" s="3" t="n">
        <v>6.72</v>
      </c>
      <c r="BH693" s="3" t="n">
        <v>6.29</v>
      </c>
      <c r="BI693" s="3" t="n">
        <v>6.34</v>
      </c>
      <c r="BJ693" s="3" t="n">
        <v>6.38</v>
      </c>
      <c r="BK693" s="3" t="n">
        <v>6.44</v>
      </c>
      <c r="BL693" s="3" t="n">
        <v>6.46</v>
      </c>
      <c r="BM693" s="3" t="n">
        <v>7.07</v>
      </c>
      <c r="BN693" s="3" t="n">
        <v>7.73</v>
      </c>
      <c r="BO693" s="3" t="n">
        <v>8.52</v>
      </c>
      <c r="BP693" s="3" t="n"/>
      <c r="BQ693" s="3" t="n"/>
      <c r="BR693" s="34" t="str">
        <f>B693&amp;"|"&amp;D693</f>
        <v>MKD|SH.XPD.CHEX.GD.ZS</v>
      </c>
    </row>
    <row r="694">
      <c r="A694" s="3" t="inlineStr">
        <is>
          <t>Mali</t>
        </is>
      </c>
      <c r="B694" s="3" t="inlineStr">
        <is>
          <t>MLI</t>
        </is>
      </c>
      <c r="C694" s="3" t="inlineStr">
        <is>
          <t>Current health expenditure (% of GDP)</t>
        </is>
      </c>
      <c r="D694" s="3" t="inlineStr">
        <is>
          <t>SH.XPD.CHEX.GD.ZS</t>
        </is>
      </c>
      <c r="E694" s="3" t="n">
        <v>2021</v>
      </c>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c r="AD694" s="3" t="n"/>
      <c r="AE694" s="3" t="n"/>
      <c r="AF694" s="3" t="n"/>
      <c r="AG694" s="3" t="n"/>
      <c r="AH694" s="3" t="n"/>
      <c r="AI694" s="3" t="n"/>
      <c r="AJ694" s="3" t="n"/>
      <c r="AK694" s="3" t="n"/>
      <c r="AL694" s="3" t="n"/>
      <c r="AM694" s="3" t="n"/>
      <c r="AN694" s="3" t="n"/>
      <c r="AO694" s="3" t="n"/>
      <c r="AP694" s="3" t="n"/>
      <c r="AQ694" s="3" t="n"/>
      <c r="AR694" s="3" t="n"/>
      <c r="AS694" s="3" t="n"/>
      <c r="AT694" s="3" t="n">
        <v>5.46631575</v>
      </c>
      <c r="AU694" s="3" t="n">
        <v>4.51950884</v>
      </c>
      <c r="AV694" s="3" t="n">
        <v>4.99773645</v>
      </c>
      <c r="AW694" s="3" t="n">
        <v>5.0505991</v>
      </c>
      <c r="AX694" s="3" t="n">
        <v>5.21767759</v>
      </c>
      <c r="AY694" s="3" t="n">
        <v>5.19516516</v>
      </c>
      <c r="AZ694" s="3" t="n">
        <v>5.45589256</v>
      </c>
      <c r="BA694" s="3" t="n">
        <v>5.25303173</v>
      </c>
      <c r="BB694" s="3" t="n">
        <v>5.02686644</v>
      </c>
      <c r="BC694" s="3" t="n">
        <v>5.2122364</v>
      </c>
      <c r="BD694" s="3" t="n">
        <v>4.67865133</v>
      </c>
      <c r="BE694" s="3" t="n">
        <v>4.01483774</v>
      </c>
      <c r="BF694" s="3" t="n">
        <v>3.7521615</v>
      </c>
      <c r="BG694" s="3" t="n">
        <v>3.96750712</v>
      </c>
      <c r="BH694" s="3" t="n">
        <v>4.48158312</v>
      </c>
      <c r="BI694" s="3" t="n">
        <v>4.11143351</v>
      </c>
      <c r="BJ694" s="3" t="n">
        <v>3.77377558</v>
      </c>
      <c r="BK694" s="3" t="n">
        <v>3.67425752</v>
      </c>
      <c r="BL694" s="3" t="n">
        <v>3.73249912</v>
      </c>
      <c r="BM694" s="3" t="n">
        <v>3.82943797</v>
      </c>
      <c r="BN694" s="3" t="n">
        <v>3.47597885</v>
      </c>
      <c r="BO694" s="3" t="n">
        <v>4.47341442</v>
      </c>
      <c r="BP694" s="3" t="n"/>
      <c r="BQ694" s="3" t="n"/>
      <c r="BR694" s="34" t="str">
        <f>B694&amp;"|"&amp;D694</f>
        <v>MLI|SH.XPD.CHEX.GD.ZS</v>
      </c>
    </row>
    <row r="695">
      <c r="A695" s="3" t="inlineStr">
        <is>
          <t>Malta</t>
        </is>
      </c>
      <c r="B695" s="3" t="inlineStr">
        <is>
          <t>MLT</t>
        </is>
      </c>
      <c r="C695" s="3" t="inlineStr">
        <is>
          <t>Current health expenditure (% of GDP)</t>
        </is>
      </c>
      <c r="D695" s="3" t="inlineStr">
        <is>
          <t>SH.XPD.CHEX.GD.ZS</t>
        </is>
      </c>
      <c r="E695" s="3" t="n">
        <v>2021</v>
      </c>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c r="AD695" s="3" t="n"/>
      <c r="AE695" s="3" t="n"/>
      <c r="AF695" s="3" t="n"/>
      <c r="AG695" s="3" t="n"/>
      <c r="AH695" s="3" t="n"/>
      <c r="AI695" s="3" t="n"/>
      <c r="AJ695" s="3" t="n"/>
      <c r="AK695" s="3" t="n"/>
      <c r="AL695" s="3" t="n"/>
      <c r="AM695" s="3" t="n"/>
      <c r="AN695" s="3" t="n"/>
      <c r="AO695" s="3" t="n"/>
      <c r="AP695" s="3" t="n"/>
      <c r="AQ695" s="3" t="n"/>
      <c r="AR695" s="3" t="n"/>
      <c r="AS695" s="3" t="n"/>
      <c r="AT695" s="3" t="n">
        <v>6.57</v>
      </c>
      <c r="AU695" s="3" t="n">
        <v>7</v>
      </c>
      <c r="AV695" s="3" t="n">
        <v>7.71</v>
      </c>
      <c r="AW695" s="3" t="n">
        <v>7.9</v>
      </c>
      <c r="AX695" s="3" t="n">
        <v>8.050000000000001</v>
      </c>
      <c r="AY695" s="3" t="n">
        <v>8.66</v>
      </c>
      <c r="AZ695" s="3" t="n">
        <v>8.81</v>
      </c>
      <c r="BA695" s="3" t="n">
        <v>8.17</v>
      </c>
      <c r="BB695" s="3" t="n">
        <v>7.86</v>
      </c>
      <c r="BC695" s="3" t="n">
        <v>7.92</v>
      </c>
      <c r="BD695" s="3" t="n">
        <v>7.95</v>
      </c>
      <c r="BE695" s="3" t="n">
        <v>8.449999999999999</v>
      </c>
      <c r="BF695" s="3" t="n">
        <v>8.380000000000001</v>
      </c>
      <c r="BG695" s="3" t="n">
        <v>8.5</v>
      </c>
      <c r="BH695" s="3" t="n">
        <v>9.09</v>
      </c>
      <c r="BI695" s="3" t="n">
        <v>8.9</v>
      </c>
      <c r="BJ695" s="3" t="n">
        <v>8.970000000000001</v>
      </c>
      <c r="BK695" s="3" t="n">
        <v>8.73</v>
      </c>
      <c r="BL695" s="3" t="n">
        <v>8.550000000000001</v>
      </c>
      <c r="BM695" s="3" t="n">
        <v>9.15</v>
      </c>
      <c r="BN695" s="3" t="n">
        <v>10.74</v>
      </c>
      <c r="BO695" s="3" t="n">
        <v>10.58</v>
      </c>
      <c r="BP695" s="3" t="n"/>
      <c r="BQ695" s="3" t="n"/>
      <c r="BR695" s="34" t="str">
        <f>B695&amp;"|"&amp;D695</f>
        <v>MLT|SH.XPD.CHEX.GD.ZS</v>
      </c>
    </row>
    <row r="696">
      <c r="A696" s="3" t="inlineStr">
        <is>
          <t>Myanmar</t>
        </is>
      </c>
      <c r="B696" s="3" t="inlineStr">
        <is>
          <t>MMR</t>
        </is>
      </c>
      <c r="C696" s="3" t="inlineStr">
        <is>
          <t>Current health expenditure (% of GDP)</t>
        </is>
      </c>
      <c r="D696" s="3" t="inlineStr">
        <is>
          <t>SH.XPD.CHEX.GD.ZS</t>
        </is>
      </c>
      <c r="E696" s="3" t="n">
        <v>2021</v>
      </c>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c r="AD696" s="3" t="n"/>
      <c r="AE696" s="3" t="n"/>
      <c r="AF696" s="3" t="n"/>
      <c r="AG696" s="3" t="n"/>
      <c r="AH696" s="3" t="n"/>
      <c r="AI696" s="3" t="n"/>
      <c r="AJ696" s="3" t="n"/>
      <c r="AK696" s="3" t="n"/>
      <c r="AL696" s="3" t="n"/>
      <c r="AM696" s="3" t="n"/>
      <c r="AN696" s="3" t="n"/>
      <c r="AO696" s="3" t="n"/>
      <c r="AP696" s="3" t="n"/>
      <c r="AQ696" s="3" t="n"/>
      <c r="AR696" s="3" t="n"/>
      <c r="AS696" s="3" t="n"/>
      <c r="AT696" s="3" t="n">
        <v>2</v>
      </c>
      <c r="AU696" s="3" t="n">
        <v>2.15</v>
      </c>
      <c r="AV696" s="3" t="n">
        <v>2.58</v>
      </c>
      <c r="AW696" s="3" t="n">
        <v>2.38</v>
      </c>
      <c r="AX696" s="3" t="n">
        <v>2.32</v>
      </c>
      <c r="AY696" s="3" t="n">
        <v>2.33</v>
      </c>
      <c r="AZ696" s="3" t="n">
        <v>2.25</v>
      </c>
      <c r="BA696" s="3" t="n">
        <v>2.02</v>
      </c>
      <c r="BB696" s="3" t="n">
        <v>2.11</v>
      </c>
      <c r="BC696" s="3" t="n">
        <v>2.16</v>
      </c>
      <c r="BD696" s="3" t="n">
        <v>1.96</v>
      </c>
      <c r="BE696" s="3" t="n">
        <v>1.93</v>
      </c>
      <c r="BF696" s="3" t="n">
        <v>2.41</v>
      </c>
      <c r="BG696" s="3" t="n">
        <v>3.2</v>
      </c>
      <c r="BH696" s="3" t="n">
        <v>4.39</v>
      </c>
      <c r="BI696" s="3" t="n">
        <v>5.48</v>
      </c>
      <c r="BJ696" s="3" t="n">
        <v>5.11</v>
      </c>
      <c r="BK696" s="3" t="n">
        <v>5.08</v>
      </c>
      <c r="BL696" s="3" t="n">
        <v>4.9</v>
      </c>
      <c r="BM696" s="3" t="n">
        <v>4.71</v>
      </c>
      <c r="BN696" s="3" t="n">
        <v>4.62</v>
      </c>
      <c r="BO696" s="3" t="n">
        <v>5.63</v>
      </c>
      <c r="BP696" s="3" t="n"/>
      <c r="BQ696" s="3" t="n"/>
      <c r="BR696" s="34" t="str">
        <f>B696&amp;"|"&amp;D696</f>
        <v>MMR|SH.XPD.CHEX.GD.ZS</v>
      </c>
    </row>
    <row r="697">
      <c r="A697" s="3" t="inlineStr">
        <is>
          <t>Middle East &amp; North Africa (excluding high income)</t>
        </is>
      </c>
      <c r="B697" s="3" t="inlineStr">
        <is>
          <t>MNA</t>
        </is>
      </c>
      <c r="C697" s="3" t="inlineStr">
        <is>
          <t>Current health expenditure (% of GDP)</t>
        </is>
      </c>
      <c r="D697" s="3" t="inlineStr">
        <is>
          <t>SH.XPD.CHEX.GD.ZS</t>
        </is>
      </c>
      <c r="E697" s="3" t="n">
        <v>2021</v>
      </c>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c r="AD697" s="3" t="n"/>
      <c r="AE697" s="3" t="n"/>
      <c r="AF697" s="3" t="n"/>
      <c r="AG697" s="3" t="n"/>
      <c r="AH697" s="3" t="n"/>
      <c r="AI697" s="3" t="n"/>
      <c r="AJ697" s="3" t="n"/>
      <c r="AK697" s="3" t="n"/>
      <c r="AL697" s="3" t="n"/>
      <c r="AM697" s="3" t="n"/>
      <c r="AN697" s="3" t="n"/>
      <c r="AO697" s="3" t="n"/>
      <c r="AP697" s="3" t="n"/>
      <c r="AQ697" s="3" t="n"/>
      <c r="AR697" s="3" t="n"/>
      <c r="AS697" s="3" t="n"/>
      <c r="AT697" s="3" t="n">
        <v>4.713884071101667</v>
      </c>
      <c r="AU697" s="3" t="n">
        <v>5.068106735413489</v>
      </c>
      <c r="AV697" s="3" t="n">
        <v>4.984066341694607</v>
      </c>
      <c r="AW697" s="3" t="n">
        <v>4.828520654508422</v>
      </c>
      <c r="AX697" s="3" t="n">
        <v>4.733695867350998</v>
      </c>
      <c r="AY697" s="3" t="n">
        <v>4.56195293510171</v>
      </c>
      <c r="AZ697" s="3" t="n">
        <v>4.463365230343793</v>
      </c>
      <c r="BA697" s="3" t="n">
        <v>4.493501005713722</v>
      </c>
      <c r="BB697" s="3" t="n">
        <v>4.504298922052818</v>
      </c>
      <c r="BC697" s="3" t="n">
        <v>5.282039580241394</v>
      </c>
      <c r="BD697" s="3" t="n">
        <v>5.169630081983674</v>
      </c>
      <c r="BE697" s="3" t="n">
        <v>5.168488659873138</v>
      </c>
      <c r="BF697" s="3" t="n">
        <v>5.296357131777527</v>
      </c>
      <c r="BG697" s="3" t="n">
        <v>5.109222597356146</v>
      </c>
      <c r="BH697" s="3" t="n">
        <v>5.477382133272125</v>
      </c>
      <c r="BI697" s="3" t="n">
        <v>5.985790344954224</v>
      </c>
      <c r="BJ697" s="3" t="n">
        <v>6.370788242262609</v>
      </c>
      <c r="BK697" s="3" t="n">
        <v>6.353921120368724</v>
      </c>
      <c r="BL697" s="3" t="n">
        <v>5.925074863152914</v>
      </c>
      <c r="BM697" s="3" t="n">
        <v>5.415550875023512</v>
      </c>
      <c r="BN697" s="3" t="n">
        <v>5.431573492953719</v>
      </c>
      <c r="BO697" s="3" t="n">
        <v>5.467619594306317</v>
      </c>
      <c r="BP697" s="3" t="n"/>
      <c r="BQ697" s="3" t="n"/>
      <c r="BR697" s="34" t="str">
        <f>B697&amp;"|"&amp;D697</f>
        <v>MNA|SH.XPD.CHEX.GD.ZS</v>
      </c>
    </row>
    <row r="698">
      <c r="A698" s="3" t="inlineStr">
        <is>
          <t>Montenegro</t>
        </is>
      </c>
      <c r="B698" s="3" t="inlineStr">
        <is>
          <t>MNE</t>
        </is>
      </c>
      <c r="C698" s="3" t="inlineStr">
        <is>
          <t>Current health expenditure (% of GDP)</t>
        </is>
      </c>
      <c r="D698" s="3" t="inlineStr">
        <is>
          <t>SH.XPD.CHEX.GD.ZS</t>
        </is>
      </c>
      <c r="E698" s="3" t="n">
        <v>2021</v>
      </c>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c r="AD698" s="3" t="n"/>
      <c r="AE698" s="3" t="n"/>
      <c r="AF698" s="3" t="n"/>
      <c r="AG698" s="3" t="n"/>
      <c r="AH698" s="3" t="n"/>
      <c r="AI698" s="3" t="n"/>
      <c r="AJ698" s="3" t="n"/>
      <c r="AK698" s="3" t="n"/>
      <c r="AL698" s="3" t="n"/>
      <c r="AM698" s="3" t="n"/>
      <c r="AN698" s="3" t="n"/>
      <c r="AO698" s="3" t="n"/>
      <c r="AP698" s="3" t="n"/>
      <c r="AQ698" s="3" t="n"/>
      <c r="AR698" s="3" t="n"/>
      <c r="AS698" s="3" t="n"/>
      <c r="AT698" s="3" t="n"/>
      <c r="AU698" s="3" t="n"/>
      <c r="AV698" s="3" t="n"/>
      <c r="AW698" s="3" t="n"/>
      <c r="AX698" s="3" t="n"/>
      <c r="AY698" s="3" t="n"/>
      <c r="AZ698" s="3" t="n"/>
      <c r="BA698" s="3" t="n"/>
      <c r="BB698" s="3" t="n"/>
      <c r="BC698" s="3" t="n"/>
      <c r="BD698" s="3" t="n"/>
      <c r="BE698" s="3" t="n">
        <v>7.97</v>
      </c>
      <c r="BF698" s="3" t="n">
        <v>8.300000000000001</v>
      </c>
      <c r="BG698" s="3" t="n">
        <v>8.470000000000001</v>
      </c>
      <c r="BH698" s="3" t="n">
        <v>8</v>
      </c>
      <c r="BI698" s="3" t="n">
        <v>9.02</v>
      </c>
      <c r="BJ698" s="3" t="n">
        <v>8.630000000000001</v>
      </c>
      <c r="BK698" s="3" t="n">
        <v>7.98</v>
      </c>
      <c r="BL698" s="3" t="n">
        <v>8.34</v>
      </c>
      <c r="BM698" s="3" t="n">
        <v>8.33</v>
      </c>
      <c r="BN698" s="3" t="n">
        <v>11.42</v>
      </c>
      <c r="BO698" s="3" t="n">
        <v>10.55</v>
      </c>
      <c r="BP698" s="3" t="n"/>
      <c r="BQ698" s="3" t="n"/>
      <c r="BR698" s="34" t="str">
        <f>B698&amp;"|"&amp;D698</f>
        <v>MNE|SH.XPD.CHEX.GD.ZS</v>
      </c>
    </row>
    <row r="699">
      <c r="A699" s="3" t="inlineStr">
        <is>
          <t>Mongolia</t>
        </is>
      </c>
      <c r="B699" s="3" t="inlineStr">
        <is>
          <t>MNG</t>
        </is>
      </c>
      <c r="C699" s="3" t="inlineStr">
        <is>
          <t>Current health expenditure (% of GDP)</t>
        </is>
      </c>
      <c r="D699" s="3" t="inlineStr">
        <is>
          <t>SH.XPD.CHEX.GD.ZS</t>
        </is>
      </c>
      <c r="E699" s="3" t="n">
        <v>2021</v>
      </c>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c r="AD699" s="3" t="n"/>
      <c r="AE699" s="3" t="n"/>
      <c r="AF699" s="3" t="n"/>
      <c r="AG699" s="3" t="n"/>
      <c r="AH699" s="3" t="n"/>
      <c r="AI699" s="3" t="n"/>
      <c r="AJ699" s="3" t="n"/>
      <c r="AK699" s="3" t="n"/>
      <c r="AL699" s="3" t="n"/>
      <c r="AM699" s="3" t="n"/>
      <c r="AN699" s="3" t="n"/>
      <c r="AO699" s="3" t="n"/>
      <c r="AP699" s="3" t="n"/>
      <c r="AQ699" s="3" t="n"/>
      <c r="AR699" s="3" t="n"/>
      <c r="AS699" s="3" t="n"/>
      <c r="AT699" s="3" t="n">
        <v>5.69538355</v>
      </c>
      <c r="AU699" s="3" t="n">
        <v>5.05435562</v>
      </c>
      <c r="AV699" s="3" t="n">
        <v>5.18856382</v>
      </c>
      <c r="AW699" s="3" t="n">
        <v>4.10218763</v>
      </c>
      <c r="AX699" s="3" t="n">
        <v>4.15718555</v>
      </c>
      <c r="AY699" s="3" t="n">
        <v>3.7552557</v>
      </c>
      <c r="AZ699" s="3" t="n">
        <v>3.74971509</v>
      </c>
      <c r="BA699" s="3" t="n">
        <v>4.07522774</v>
      </c>
      <c r="BB699" s="3" t="n">
        <v>4.55693007</v>
      </c>
      <c r="BC699" s="3" t="n">
        <v>4.45980072</v>
      </c>
      <c r="BD699" s="3" t="n">
        <v>3.73945689</v>
      </c>
      <c r="BE699" s="3" t="n">
        <v>3.58612084</v>
      </c>
      <c r="BF699" s="3" t="n">
        <v>3.85800076</v>
      </c>
      <c r="BG699" s="3" t="n">
        <v>4.08932018</v>
      </c>
      <c r="BH699" s="3" t="n">
        <v>4.20989752</v>
      </c>
      <c r="BI699" s="3" t="n">
        <v>4.23154545</v>
      </c>
      <c r="BJ699" s="3" t="n">
        <v>4.58008575</v>
      </c>
      <c r="BK699" s="3" t="n">
        <v>4.33954334</v>
      </c>
      <c r="BL699" s="3" t="n">
        <v>4.53449297</v>
      </c>
      <c r="BM699" s="3" t="n">
        <v>4.49497843</v>
      </c>
      <c r="BN699" s="3" t="n">
        <v>4.6662488</v>
      </c>
      <c r="BO699" s="3" t="n">
        <v>6.911304</v>
      </c>
      <c r="BP699" s="3" t="n"/>
      <c r="BQ699" s="3" t="n"/>
      <c r="BR699" s="34" t="str">
        <f>B699&amp;"|"&amp;D699</f>
        <v>MNG|SH.XPD.CHEX.GD.ZS</v>
      </c>
    </row>
    <row r="700">
      <c r="A700" s="3" t="inlineStr">
        <is>
          <t>Northern Mariana Islands</t>
        </is>
      </c>
      <c r="B700" s="3" t="inlineStr">
        <is>
          <t>MNP</t>
        </is>
      </c>
      <c r="C700" s="3" t="inlineStr">
        <is>
          <t>Current health expenditure (% of GDP)</t>
        </is>
      </c>
      <c r="D700" s="3" t="inlineStr">
        <is>
          <t>SH.XPD.CHEX.GD.ZS</t>
        </is>
      </c>
      <c r="E700" s="3" t="inlineStr">
        <is>
          <t>0x2a</t>
        </is>
      </c>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c r="AD700" s="3" t="n"/>
      <c r="AE700" s="3" t="n"/>
      <c r="AF700" s="3" t="n"/>
      <c r="AG700" s="3" t="n"/>
      <c r="AH700" s="3" t="n"/>
      <c r="AI700" s="3" t="n"/>
      <c r="AJ700" s="3" t="n"/>
      <c r="AK700" s="3" t="n"/>
      <c r="AL700" s="3" t="n"/>
      <c r="AM700" s="3" t="n"/>
      <c r="AN700" s="3" t="n"/>
      <c r="AO700" s="3" t="n"/>
      <c r="AP700" s="3" t="n"/>
      <c r="AQ700" s="3" t="n"/>
      <c r="AR700" s="3" t="n"/>
      <c r="AS700" s="3" t="n"/>
      <c r="AT700" s="3" t="n"/>
      <c r="AU700" s="3" t="n"/>
      <c r="AV700" s="3" t="n"/>
      <c r="AW700" s="3" t="n"/>
      <c r="AX700" s="3" t="n"/>
      <c r="AY700" s="3" t="n"/>
      <c r="AZ700" s="3" t="n"/>
      <c r="BA700" s="3" t="n"/>
      <c r="BB700" s="3" t="n"/>
      <c r="BC700" s="3" t="n"/>
      <c r="BD700" s="3" t="n"/>
      <c r="BE700" s="3" t="n"/>
      <c r="BF700" s="3" t="n"/>
      <c r="BG700" s="3" t="n"/>
      <c r="BH700" s="3" t="n"/>
      <c r="BI700" s="3" t="n"/>
      <c r="BJ700" s="3" t="n"/>
      <c r="BK700" s="3" t="n"/>
      <c r="BL700" s="3" t="n"/>
      <c r="BM700" s="3" t="n"/>
      <c r="BN700" s="3" t="n"/>
      <c r="BO700" s="3" t="n"/>
      <c r="BP700" s="3" t="n"/>
      <c r="BQ700" s="3" t="n"/>
      <c r="BR700" s="34" t="str">
        <f>B700&amp;"|"&amp;D700</f>
        <v>MNP|SH.XPD.CHEX.GD.ZS</v>
      </c>
    </row>
    <row r="701">
      <c r="A701" s="3" t="inlineStr">
        <is>
          <t>Mozambique</t>
        </is>
      </c>
      <c r="B701" s="3" t="inlineStr">
        <is>
          <t>MOZ</t>
        </is>
      </c>
      <c r="C701" s="3" t="inlineStr">
        <is>
          <t>Current health expenditure (% of GDP)</t>
        </is>
      </c>
      <c r="D701" s="3" t="inlineStr">
        <is>
          <t>SH.XPD.CHEX.GD.ZS</t>
        </is>
      </c>
      <c r="E701" s="3" t="n">
        <v>2021</v>
      </c>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c r="AD701" s="3" t="n"/>
      <c r="AE701" s="3" t="n"/>
      <c r="AF701" s="3" t="n"/>
      <c r="AG701" s="3" t="n"/>
      <c r="AH701" s="3" t="n"/>
      <c r="AI701" s="3" t="n"/>
      <c r="AJ701" s="3" t="n"/>
      <c r="AK701" s="3" t="n"/>
      <c r="AL701" s="3" t="n"/>
      <c r="AM701" s="3" t="n"/>
      <c r="AN701" s="3" t="n"/>
      <c r="AO701" s="3" t="n"/>
      <c r="AP701" s="3" t="n"/>
      <c r="AQ701" s="3" t="n"/>
      <c r="AR701" s="3" t="n"/>
      <c r="AS701" s="3" t="n"/>
      <c r="AT701" s="3" t="n">
        <v>2.18767238</v>
      </c>
      <c r="AU701" s="3" t="n">
        <v>2.87893057</v>
      </c>
      <c r="AV701" s="3" t="n">
        <v>3.2773509</v>
      </c>
      <c r="AW701" s="3" t="n">
        <v>3.39533854</v>
      </c>
      <c r="AX701" s="3" t="n">
        <v>3.67226458</v>
      </c>
      <c r="AY701" s="3" t="n">
        <v>4.37538815</v>
      </c>
      <c r="AZ701" s="3" t="n">
        <v>4.08873844</v>
      </c>
      <c r="BA701" s="3" t="n">
        <v>3.93067098</v>
      </c>
      <c r="BB701" s="3" t="n">
        <v>4.22139311</v>
      </c>
      <c r="BC701" s="3" t="n">
        <v>5.20390034</v>
      </c>
      <c r="BD701" s="3" t="n">
        <v>5.43892908</v>
      </c>
      <c r="BE701" s="3" t="n">
        <v>5.00311899</v>
      </c>
      <c r="BF701" s="3" t="n">
        <v>5.24640608</v>
      </c>
      <c r="BG701" s="3" t="n">
        <v>6.12585449</v>
      </c>
      <c r="BH701" s="3" t="n">
        <v>6.33251858</v>
      </c>
      <c r="BI701" s="3" t="n">
        <v>6.71663332</v>
      </c>
      <c r="BJ701" s="3" t="n">
        <v>7.28134441</v>
      </c>
      <c r="BK701" s="3" t="n">
        <v>7.83763266</v>
      </c>
      <c r="BL701" s="3" t="n">
        <v>8.088961599999999</v>
      </c>
      <c r="BM701" s="3" t="n">
        <v>7.95272589</v>
      </c>
      <c r="BN701" s="3" t="n">
        <v>7.56957626</v>
      </c>
      <c r="BO701" s="3" t="n">
        <v>9.052183149999999</v>
      </c>
      <c r="BP701" s="3" t="n"/>
      <c r="BQ701" s="3" t="n"/>
      <c r="BR701" s="34" t="str">
        <f>B701&amp;"|"&amp;D701</f>
        <v>MOZ|SH.XPD.CHEX.GD.ZS</v>
      </c>
    </row>
    <row r="702">
      <c r="A702" s="3" t="inlineStr">
        <is>
          <t>Mauritania</t>
        </is>
      </c>
      <c r="B702" s="3" t="inlineStr">
        <is>
          <t>MRT</t>
        </is>
      </c>
      <c r="C702" s="3" t="inlineStr">
        <is>
          <t>Current health expenditure (% of GDP)</t>
        </is>
      </c>
      <c r="D702" s="3" t="inlineStr">
        <is>
          <t>SH.XPD.CHEX.GD.ZS</t>
        </is>
      </c>
      <c r="E702" s="3" t="n">
        <v>2021</v>
      </c>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c r="AD702" s="3" t="n"/>
      <c r="AE702" s="3" t="n"/>
      <c r="AF702" s="3" t="n"/>
      <c r="AG702" s="3" t="n"/>
      <c r="AH702" s="3" t="n"/>
      <c r="AI702" s="3" t="n"/>
      <c r="AJ702" s="3" t="n"/>
      <c r="AK702" s="3" t="n"/>
      <c r="AL702" s="3" t="n"/>
      <c r="AM702" s="3" t="n"/>
      <c r="AN702" s="3" t="n"/>
      <c r="AO702" s="3" t="n"/>
      <c r="AP702" s="3" t="n"/>
      <c r="AQ702" s="3" t="n"/>
      <c r="AR702" s="3" t="n"/>
      <c r="AS702" s="3" t="n"/>
      <c r="AT702" s="3" t="n">
        <v>3.37824655</v>
      </c>
      <c r="AU702" s="3" t="n">
        <v>3.5718379</v>
      </c>
      <c r="AV702" s="3" t="n">
        <v>4.00224972</v>
      </c>
      <c r="AW702" s="3" t="n">
        <v>4.03254652</v>
      </c>
      <c r="AX702" s="3" t="n">
        <v>3.70429492</v>
      </c>
      <c r="AY702" s="3" t="n">
        <v>3.40312648</v>
      </c>
      <c r="AZ702" s="3" t="n">
        <v>2.70252752</v>
      </c>
      <c r="BA702" s="3" t="n">
        <v>2.87644005</v>
      </c>
      <c r="BB702" s="3" t="n">
        <v>3.01338983</v>
      </c>
      <c r="BC702" s="3" t="n">
        <v>3.11034036</v>
      </c>
      <c r="BD702" s="3" t="n">
        <v>2.63618922</v>
      </c>
      <c r="BE702" s="3" t="n">
        <v>2.47383666</v>
      </c>
      <c r="BF702" s="3" t="n">
        <v>2.64919329</v>
      </c>
      <c r="BG702" s="3" t="n">
        <v>2.86799884</v>
      </c>
      <c r="BH702" s="3" t="n">
        <v>3.46724391</v>
      </c>
      <c r="BI702" s="3" t="n">
        <v>3.67363763</v>
      </c>
      <c r="BJ702" s="3" t="n">
        <v>3.09630585</v>
      </c>
      <c r="BK702" s="3" t="n">
        <v>3.31550789</v>
      </c>
      <c r="BL702" s="3" t="n">
        <v>3.17838526</v>
      </c>
      <c r="BM702" s="3" t="n">
        <v>3.30148649</v>
      </c>
      <c r="BN702" s="3" t="n">
        <v>3.38773394</v>
      </c>
      <c r="BO702" s="3" t="n">
        <v>4.12218571</v>
      </c>
      <c r="BP702" s="3" t="n"/>
      <c r="BQ702" s="3" t="n"/>
      <c r="BR702" s="34" t="str">
        <f>B702&amp;"|"&amp;D702</f>
        <v>MRT|SH.XPD.CHEX.GD.ZS</v>
      </c>
    </row>
    <row r="703">
      <c r="A703" s="3" t="inlineStr">
        <is>
          <t>Mauritius</t>
        </is>
      </c>
      <c r="B703" s="3" t="inlineStr">
        <is>
          <t>MUS</t>
        </is>
      </c>
      <c r="C703" s="3" t="inlineStr">
        <is>
          <t>Current health expenditure (% of GDP)</t>
        </is>
      </c>
      <c r="D703" s="3" t="inlineStr">
        <is>
          <t>SH.XPD.CHEX.GD.ZS</t>
        </is>
      </c>
      <c r="E703" s="3" t="n">
        <v>2021</v>
      </c>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c r="AD703" s="3" t="n"/>
      <c r="AE703" s="3" t="n"/>
      <c r="AF703" s="3" t="n"/>
      <c r="AG703" s="3" t="n"/>
      <c r="AH703" s="3" t="n"/>
      <c r="AI703" s="3" t="n"/>
      <c r="AJ703" s="3" t="n"/>
      <c r="AK703" s="3" t="n"/>
      <c r="AL703" s="3" t="n"/>
      <c r="AM703" s="3" t="n"/>
      <c r="AN703" s="3" t="n"/>
      <c r="AO703" s="3" t="n"/>
      <c r="AP703" s="3" t="n"/>
      <c r="AQ703" s="3" t="n"/>
      <c r="AR703" s="3" t="n"/>
      <c r="AS703" s="3" t="n"/>
      <c r="AT703" s="3" t="n">
        <v>2.85734653</v>
      </c>
      <c r="AU703" s="3" t="n">
        <v>2.92151856</v>
      </c>
      <c r="AV703" s="3" t="n">
        <v>3.18897271</v>
      </c>
      <c r="AW703" s="3" t="n">
        <v>3.18201613</v>
      </c>
      <c r="AX703" s="3" t="n">
        <v>3.31652546</v>
      </c>
      <c r="AY703" s="3" t="n">
        <v>3.51794028</v>
      </c>
      <c r="AZ703" s="3" t="n">
        <v>3.60573649</v>
      </c>
      <c r="BA703" s="3" t="n">
        <v>3.52321672</v>
      </c>
      <c r="BB703" s="3" t="n">
        <v>3.93896508</v>
      </c>
      <c r="BC703" s="3" t="n">
        <v>4.17035627</v>
      </c>
      <c r="BD703" s="3" t="n">
        <v>4.51898289</v>
      </c>
      <c r="BE703" s="3" t="n">
        <v>4.25059652</v>
      </c>
      <c r="BF703" s="3" t="n">
        <v>4.21993399</v>
      </c>
      <c r="BG703" s="3" t="n">
        <v>4.620821</v>
      </c>
      <c r="BH703" s="3" t="n">
        <v>5.38024664</v>
      </c>
      <c r="BI703" s="3" t="n">
        <v>5.55042362</v>
      </c>
      <c r="BJ703" s="3" t="n">
        <v>5.54289532</v>
      </c>
      <c r="BK703" s="3" t="n">
        <v>5.61408615</v>
      </c>
      <c r="BL703" s="3" t="n">
        <v>5.63982916</v>
      </c>
      <c r="BM703" s="3" t="n">
        <v>6.02485895</v>
      </c>
      <c r="BN703" s="3" t="n">
        <v>6.48210192</v>
      </c>
      <c r="BO703" s="3" t="n">
        <v>6.39258909</v>
      </c>
      <c r="BP703" s="3" t="n"/>
      <c r="BQ703" s="3" t="n"/>
      <c r="BR703" s="34" t="str">
        <f>B703&amp;"|"&amp;D703</f>
        <v>MUS|SH.XPD.CHEX.GD.ZS</v>
      </c>
    </row>
    <row r="704">
      <c r="A704" s="3" t="inlineStr">
        <is>
          <t>Malawi</t>
        </is>
      </c>
      <c r="B704" s="3" t="inlineStr">
        <is>
          <t>MWI</t>
        </is>
      </c>
      <c r="C704" s="3" t="inlineStr">
        <is>
          <t>Current health expenditure (% of GDP)</t>
        </is>
      </c>
      <c r="D704" s="3" t="inlineStr">
        <is>
          <t>SH.XPD.CHEX.GD.ZS</t>
        </is>
      </c>
      <c r="E704" s="3" t="n">
        <v>2021</v>
      </c>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c r="AD704" s="3" t="n"/>
      <c r="AE704" s="3" t="n"/>
      <c r="AF704" s="3" t="n"/>
      <c r="AG704" s="3" t="n"/>
      <c r="AH704" s="3" t="n"/>
      <c r="AI704" s="3" t="n"/>
      <c r="AJ704" s="3" t="n"/>
      <c r="AK704" s="3" t="n"/>
      <c r="AL704" s="3" t="n"/>
      <c r="AM704" s="3" t="n"/>
      <c r="AN704" s="3" t="n"/>
      <c r="AO704" s="3" t="n"/>
      <c r="AP704" s="3" t="n"/>
      <c r="AQ704" s="3" t="n"/>
      <c r="AR704" s="3" t="n"/>
      <c r="AS704" s="3" t="n"/>
      <c r="AT704" s="3" t="n">
        <v>2.35247517</v>
      </c>
      <c r="AU704" s="3" t="n">
        <v>2.06040049</v>
      </c>
      <c r="AV704" s="3" t="n">
        <v>2.69725966</v>
      </c>
      <c r="AW704" s="3" t="n">
        <v>3.32019806</v>
      </c>
      <c r="AX704" s="3" t="n">
        <v>4.07199907</v>
      </c>
      <c r="AY704" s="3" t="n">
        <v>4.30046511</v>
      </c>
      <c r="AZ704" s="3" t="n">
        <v>4.91223288</v>
      </c>
      <c r="BA704" s="3" t="n">
        <v>5.44258356</v>
      </c>
      <c r="BB704" s="3" t="n">
        <v>6.10668802</v>
      </c>
      <c r="BC704" s="3" t="n">
        <v>5.87333822</v>
      </c>
      <c r="BD704" s="3" t="n">
        <v>5.14304781</v>
      </c>
      <c r="BE704" s="3" t="n">
        <v>5.32226658</v>
      </c>
      <c r="BF704" s="3" t="n">
        <v>6.02199793</v>
      </c>
      <c r="BG704" s="3" t="n">
        <v>8.223794939999999</v>
      </c>
      <c r="BH704" s="3" t="n">
        <v>6.89776182</v>
      </c>
      <c r="BI704" s="3" t="n">
        <v>6.62879086</v>
      </c>
      <c r="BJ704" s="3" t="n">
        <v>7.72703791</v>
      </c>
      <c r="BK704" s="3" t="n">
        <v>7.58438921</v>
      </c>
      <c r="BL704" s="3" t="n">
        <v>6.87366676</v>
      </c>
      <c r="BM704" s="3" t="n">
        <v>7.15010023</v>
      </c>
      <c r="BN704" s="3" t="n">
        <v>7.0088768</v>
      </c>
      <c r="BO704" s="3" t="n">
        <v>7.41194487</v>
      </c>
      <c r="BP704" s="3" t="n"/>
      <c r="BQ704" s="3" t="n"/>
      <c r="BR704" s="34" t="str">
        <f>B704&amp;"|"&amp;D704</f>
        <v>MWI|SH.XPD.CHEX.GD.ZS</v>
      </c>
    </row>
    <row r="705">
      <c r="A705" s="3" t="inlineStr">
        <is>
          <t>Malaysia</t>
        </is>
      </c>
      <c r="B705" s="3" t="inlineStr">
        <is>
          <t>MYS</t>
        </is>
      </c>
      <c r="C705" s="3" t="inlineStr">
        <is>
          <t>Current health expenditure (% of GDP)</t>
        </is>
      </c>
      <c r="D705" s="3" t="inlineStr">
        <is>
          <t>SH.XPD.CHEX.GD.ZS</t>
        </is>
      </c>
      <c r="E705" s="3" t="n">
        <v>2021</v>
      </c>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c r="AD705" s="3" t="n"/>
      <c r="AE705" s="3" t="n"/>
      <c r="AF705" s="3" t="n"/>
      <c r="AG705" s="3" t="n"/>
      <c r="AH705" s="3" t="n"/>
      <c r="AI705" s="3" t="n"/>
      <c r="AJ705" s="3" t="n"/>
      <c r="AK705" s="3" t="n"/>
      <c r="AL705" s="3" t="n"/>
      <c r="AM705" s="3" t="n"/>
      <c r="AN705" s="3" t="n"/>
      <c r="AO705" s="3" t="n"/>
      <c r="AP705" s="3" t="n"/>
      <c r="AQ705" s="3" t="n"/>
      <c r="AR705" s="3" t="n"/>
      <c r="AS705" s="3" t="n"/>
      <c r="AT705" s="3" t="n">
        <v>2.51463366</v>
      </c>
      <c r="AU705" s="3" t="n">
        <v>2.6753974</v>
      </c>
      <c r="AV705" s="3" t="n">
        <v>2.66876554</v>
      </c>
      <c r="AW705" s="3" t="n">
        <v>2.92417073</v>
      </c>
      <c r="AX705" s="3" t="n">
        <v>2.86016941</v>
      </c>
      <c r="AY705" s="3" t="n">
        <v>2.78692698</v>
      </c>
      <c r="AZ705" s="3" t="n">
        <v>3.10897732</v>
      </c>
      <c r="BA705" s="3" t="n">
        <v>3.07041144</v>
      </c>
      <c r="BB705" s="3" t="n">
        <v>3.00692558</v>
      </c>
      <c r="BC705" s="3" t="n">
        <v>3.2610569</v>
      </c>
      <c r="BD705" s="3" t="n">
        <v>3.16474271</v>
      </c>
      <c r="BE705" s="3" t="n">
        <v>3.31451917</v>
      </c>
      <c r="BF705" s="3" t="n">
        <v>3.45786357</v>
      </c>
      <c r="BG705" s="3" t="n">
        <v>3.51276922</v>
      </c>
      <c r="BH705" s="3" t="n">
        <v>3.71036959</v>
      </c>
      <c r="BI705" s="3" t="n">
        <v>3.82201481</v>
      </c>
      <c r="BJ705" s="3" t="n">
        <v>3.70085335</v>
      </c>
      <c r="BK705" s="3" t="n">
        <v>3.71472311</v>
      </c>
      <c r="BL705" s="3" t="n">
        <v>3.75944281</v>
      </c>
      <c r="BM705" s="3" t="n">
        <v>3.83991051</v>
      </c>
      <c r="BN705" s="3" t="n">
        <v>4.08395433</v>
      </c>
      <c r="BO705" s="3" t="n">
        <v>4.38380671</v>
      </c>
      <c r="BP705" s="3" t="n"/>
      <c r="BQ705" s="3" t="n"/>
      <c r="BR705" s="34" t="str">
        <f>B705&amp;"|"&amp;D705</f>
        <v>MYS|SH.XPD.CHEX.GD.ZS</v>
      </c>
    </row>
    <row r="706">
      <c r="A706" s="3" t="inlineStr">
        <is>
          <t>North America</t>
        </is>
      </c>
      <c r="B706" s="3" t="inlineStr">
        <is>
          <t>NAC</t>
        </is>
      </c>
      <c r="C706" s="3" t="inlineStr">
        <is>
          <t>Current health expenditure (% of GDP)</t>
        </is>
      </c>
      <c r="D706" s="3" t="inlineStr">
        <is>
          <t>SH.XPD.CHEX.GD.ZS</t>
        </is>
      </c>
      <c r="E706" s="3" t="n">
        <v>2022</v>
      </c>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c r="AD706" s="3" t="n"/>
      <c r="AE706" s="3" t="n"/>
      <c r="AF706" s="3" t="n"/>
      <c r="AG706" s="3" t="n"/>
      <c r="AH706" s="3" t="n"/>
      <c r="AI706" s="3" t="n"/>
      <c r="AJ706" s="3" t="n"/>
      <c r="AK706" s="3" t="n"/>
      <c r="AL706" s="3" t="n"/>
      <c r="AM706" s="3" t="n"/>
      <c r="AN706" s="3" t="n"/>
      <c r="AO706" s="3" t="n"/>
      <c r="AP706" s="3" t="n"/>
      <c r="AQ706" s="3" t="n"/>
      <c r="AR706" s="3" t="n"/>
      <c r="AS706" s="3" t="n"/>
      <c r="AT706" s="3" t="n">
        <v>12.2027101898687</v>
      </c>
      <c r="AU706" s="3" t="n">
        <v>12.87154848296629</v>
      </c>
      <c r="AV706" s="3" t="n">
        <v>13.66091187100296</v>
      </c>
      <c r="AW706" s="3" t="n">
        <v>14.10714258130732</v>
      </c>
      <c r="AX706" s="3" t="n">
        <v>14.12596206277912</v>
      </c>
      <c r="AY706" s="3" t="n">
        <v>14.12177946422155</v>
      </c>
      <c r="AZ706" s="3" t="n">
        <v>14.24091579184533</v>
      </c>
      <c r="BA706" s="3" t="n">
        <v>14.41403998897762</v>
      </c>
      <c r="BB706" s="3" t="n">
        <v>14.67442398460066</v>
      </c>
      <c r="BC706" s="3" t="n">
        <v>15.720389826408</v>
      </c>
      <c r="BD706" s="3" t="n">
        <v>15.66141126314284</v>
      </c>
      <c r="BE706" s="3" t="n">
        <v>15.54602644786226</v>
      </c>
      <c r="BF706" s="3" t="n">
        <v>15.55245146205352</v>
      </c>
      <c r="BG706" s="3" t="n">
        <v>15.44149871756355</v>
      </c>
      <c r="BH706" s="3" t="n">
        <v>15.64655507524601</v>
      </c>
      <c r="BI706" s="3" t="n">
        <v>16.03957828278028</v>
      </c>
      <c r="BJ706" s="3" t="n">
        <v>16.36853194316009</v>
      </c>
      <c r="BK706" s="3" t="n">
        <v>16.31284337311923</v>
      </c>
      <c r="BL706" s="3" t="n">
        <v>16.18838663785215</v>
      </c>
      <c r="BM706" s="3" t="n">
        <v>16.24181798499171</v>
      </c>
      <c r="BN706" s="3" t="n">
        <v>18.34399602972855</v>
      </c>
      <c r="BO706" s="3" t="n">
        <v>16.96827485799417</v>
      </c>
      <c r="BP706" s="3" t="n">
        <v>16.15161068821859</v>
      </c>
      <c r="BQ706" s="3" t="n"/>
      <c r="BR706" s="34" t="str">
        <f>B706&amp;"|"&amp;D706</f>
        <v>NAC|SH.XPD.CHEX.GD.ZS</v>
      </c>
    </row>
    <row r="707">
      <c r="A707" s="3" t="inlineStr">
        <is>
          <t>Namibia</t>
        </is>
      </c>
      <c r="B707" s="3" t="inlineStr">
        <is>
          <t>NAM</t>
        </is>
      </c>
      <c r="C707" s="3" t="inlineStr">
        <is>
          <t>Current health expenditure (% of GDP)</t>
        </is>
      </c>
      <c r="D707" s="3" t="inlineStr">
        <is>
          <t>SH.XPD.CHEX.GD.ZS</t>
        </is>
      </c>
      <c r="E707" s="3" t="n">
        <v>2021</v>
      </c>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c r="AD707" s="3" t="n"/>
      <c r="AE707" s="3" t="n"/>
      <c r="AF707" s="3" t="n"/>
      <c r="AG707" s="3" t="n"/>
      <c r="AH707" s="3" t="n"/>
      <c r="AI707" s="3" t="n"/>
      <c r="AJ707" s="3" t="n"/>
      <c r="AK707" s="3" t="n"/>
      <c r="AL707" s="3" t="n"/>
      <c r="AM707" s="3" t="n"/>
      <c r="AN707" s="3" t="n"/>
      <c r="AO707" s="3" t="n"/>
      <c r="AP707" s="3" t="n"/>
      <c r="AQ707" s="3" t="n"/>
      <c r="AR707" s="3" t="n"/>
      <c r="AS707" s="3" t="n"/>
      <c r="AT707" s="3" t="n">
        <v>9.239999770000001</v>
      </c>
      <c r="AU707" s="3" t="n">
        <v>9.644094470000001</v>
      </c>
      <c r="AV707" s="3" t="n">
        <v>9.68074989</v>
      </c>
      <c r="AW707" s="3" t="n">
        <v>9.91340542</v>
      </c>
      <c r="AX707" s="3" t="n">
        <v>10.12623405</v>
      </c>
      <c r="AY707" s="3" t="n">
        <v>10.08441544</v>
      </c>
      <c r="AZ707" s="3" t="n">
        <v>10.57086945</v>
      </c>
      <c r="BA707" s="3" t="n">
        <v>10.71633053</v>
      </c>
      <c r="BB707" s="3" t="n">
        <v>9.91801167</v>
      </c>
      <c r="BC707" s="3" t="n">
        <v>9.049670219999999</v>
      </c>
      <c r="BD707" s="3" t="n">
        <v>9.72781372</v>
      </c>
      <c r="BE707" s="3" t="n">
        <v>9.831933019999999</v>
      </c>
      <c r="BF707" s="3" t="n">
        <v>9.26659298</v>
      </c>
      <c r="BG707" s="3" t="n">
        <v>9.06448746</v>
      </c>
      <c r="BH707" s="3" t="n">
        <v>8.4089098</v>
      </c>
      <c r="BI707" s="3" t="n">
        <v>9.98109627</v>
      </c>
      <c r="BJ707" s="3" t="n">
        <v>9.322323799999999</v>
      </c>
      <c r="BK707" s="3" t="n">
        <v>8.72573948</v>
      </c>
      <c r="BL707" s="3" t="n">
        <v>8.316487309999999</v>
      </c>
      <c r="BM707" s="3" t="n">
        <v>8.43033981</v>
      </c>
      <c r="BN707" s="3" t="n">
        <v>8.90162563</v>
      </c>
      <c r="BO707" s="3" t="n">
        <v>9.38092136</v>
      </c>
      <c r="BP707" s="3" t="n"/>
      <c r="BQ707" s="3" t="n"/>
      <c r="BR707" s="34" t="str">
        <f>B707&amp;"|"&amp;D707</f>
        <v>NAM|SH.XPD.CHEX.GD.ZS</v>
      </c>
    </row>
    <row r="708">
      <c r="A708" s="3" t="inlineStr">
        <is>
          <t>New Caledonia</t>
        </is>
      </c>
      <c r="B708" s="3" t="inlineStr">
        <is>
          <t>NCL</t>
        </is>
      </c>
      <c r="C708" s="3" t="inlineStr">
        <is>
          <t>Current health expenditure (% of GDP)</t>
        </is>
      </c>
      <c r="D708" s="3" t="inlineStr">
        <is>
          <t>SH.XPD.CHEX.GD.ZS</t>
        </is>
      </c>
      <c r="E708" s="3" t="inlineStr">
        <is>
          <t>0x2a</t>
        </is>
      </c>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c r="AD708" s="3" t="n"/>
      <c r="AE708" s="3" t="n"/>
      <c r="AF708" s="3" t="n"/>
      <c r="AG708" s="3" t="n"/>
      <c r="AH708" s="3" t="n"/>
      <c r="AI708" s="3" t="n"/>
      <c r="AJ708" s="3" t="n"/>
      <c r="AK708" s="3" t="n"/>
      <c r="AL708" s="3" t="n"/>
      <c r="AM708" s="3" t="n"/>
      <c r="AN708" s="3" t="n"/>
      <c r="AO708" s="3" t="n"/>
      <c r="AP708" s="3" t="n"/>
      <c r="AQ708" s="3" t="n"/>
      <c r="AR708" s="3" t="n"/>
      <c r="AS708" s="3" t="n"/>
      <c r="AT708" s="3" t="n"/>
      <c r="AU708" s="3" t="n"/>
      <c r="AV708" s="3" t="n"/>
      <c r="AW708" s="3" t="n"/>
      <c r="AX708" s="3" t="n"/>
      <c r="AY708" s="3" t="n"/>
      <c r="AZ708" s="3" t="n"/>
      <c r="BA708" s="3" t="n"/>
      <c r="BB708" s="3" t="n"/>
      <c r="BC708" s="3" t="n"/>
      <c r="BD708" s="3" t="n"/>
      <c r="BE708" s="3" t="n"/>
      <c r="BF708" s="3" t="n"/>
      <c r="BG708" s="3" t="n"/>
      <c r="BH708" s="3" t="n"/>
      <c r="BI708" s="3" t="n"/>
      <c r="BJ708" s="3" t="n"/>
      <c r="BK708" s="3" t="n"/>
      <c r="BL708" s="3" t="n"/>
      <c r="BM708" s="3" t="n"/>
      <c r="BN708" s="3" t="n"/>
      <c r="BO708" s="3" t="n"/>
      <c r="BP708" s="3" t="n"/>
      <c r="BQ708" s="3" t="n"/>
      <c r="BR708" s="34" t="str">
        <f>B708&amp;"|"&amp;D708</f>
        <v>NCL|SH.XPD.CHEX.GD.ZS</v>
      </c>
    </row>
    <row r="709">
      <c r="A709" s="3" t="inlineStr">
        <is>
          <t>Niger</t>
        </is>
      </c>
      <c r="B709" s="3" t="inlineStr">
        <is>
          <t>NER</t>
        </is>
      </c>
      <c r="C709" s="3" t="inlineStr">
        <is>
          <t>Current health expenditure (% of GDP)</t>
        </is>
      </c>
      <c r="D709" s="3" t="inlineStr">
        <is>
          <t>SH.XPD.CHEX.GD.ZS</t>
        </is>
      </c>
      <c r="E709" s="3" t="n">
        <v>2021</v>
      </c>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c r="AD709" s="3" t="n"/>
      <c r="AE709" s="3" t="n"/>
      <c r="AF709" s="3" t="n"/>
      <c r="AG709" s="3" t="n"/>
      <c r="AH709" s="3" t="n"/>
      <c r="AI709" s="3" t="n"/>
      <c r="AJ709" s="3" t="n"/>
      <c r="AK709" s="3" t="n"/>
      <c r="AL709" s="3" t="n"/>
      <c r="AM709" s="3" t="n"/>
      <c r="AN709" s="3" t="n"/>
      <c r="AO709" s="3" t="n"/>
      <c r="AP709" s="3" t="n"/>
      <c r="AQ709" s="3" t="n"/>
      <c r="AR709" s="3" t="n"/>
      <c r="AS709" s="3" t="n"/>
      <c r="AT709" s="3" t="n">
        <v>4.65891504</v>
      </c>
      <c r="AU709" s="3" t="n">
        <v>4.72659349</v>
      </c>
      <c r="AV709" s="3" t="n">
        <v>4.82717037</v>
      </c>
      <c r="AW709" s="3" t="n">
        <v>4.74740648</v>
      </c>
      <c r="AX709" s="3" t="n">
        <v>4.97818327</v>
      </c>
      <c r="AY709" s="3" t="n">
        <v>5.87749624</v>
      </c>
      <c r="AZ709" s="3" t="n">
        <v>5.99335575</v>
      </c>
      <c r="BA709" s="3" t="n">
        <v>5.43105888</v>
      </c>
      <c r="BB709" s="3" t="n">
        <v>5.24640608</v>
      </c>
      <c r="BC709" s="3" t="n">
        <v>5.33850145</v>
      </c>
      <c r="BD709" s="3" t="n">
        <v>4.96100473</v>
      </c>
      <c r="BE709" s="3" t="n">
        <v>4.87323856</v>
      </c>
      <c r="BF709" s="3" t="n">
        <v>4.30732679</v>
      </c>
      <c r="BG709" s="3" t="n">
        <v>4.46636009</v>
      </c>
      <c r="BH709" s="3" t="n">
        <v>4.45377159</v>
      </c>
      <c r="BI709" s="3" t="n">
        <v>5.34745932</v>
      </c>
      <c r="BJ709" s="3" t="n">
        <v>4.53239059</v>
      </c>
      <c r="BK709" s="3" t="n">
        <v>5.57609606</v>
      </c>
      <c r="BL709" s="3" t="n">
        <v>5.30310822</v>
      </c>
      <c r="BM709" s="3" t="n">
        <v>5.66642094</v>
      </c>
      <c r="BN709" s="3" t="n">
        <v>6.17012262</v>
      </c>
      <c r="BO709" s="3" t="n">
        <v>5.81452751</v>
      </c>
      <c r="BP709" s="3" t="n"/>
      <c r="BQ709" s="3" t="n"/>
      <c r="BR709" s="34" t="str">
        <f>B709&amp;"|"&amp;D709</f>
        <v>NER|SH.XPD.CHEX.GD.ZS</v>
      </c>
    </row>
    <row r="710">
      <c r="A710" s="3" t="inlineStr">
        <is>
          <t>Nigeria</t>
        </is>
      </c>
      <c r="B710" s="3" t="inlineStr">
        <is>
          <t>NGA</t>
        </is>
      </c>
      <c r="C710" s="3" t="inlineStr">
        <is>
          <t>Current health expenditure (% of GDP)</t>
        </is>
      </c>
      <c r="D710" s="3" t="inlineStr">
        <is>
          <t>SH.XPD.CHEX.GD.ZS</t>
        </is>
      </c>
      <c r="E710" s="3" t="n">
        <v>2021</v>
      </c>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c r="AD710" s="3" t="n"/>
      <c r="AE710" s="3" t="n"/>
      <c r="AF710" s="3" t="n"/>
      <c r="AG710" s="3" t="n"/>
      <c r="AH710" s="3" t="n"/>
      <c r="AI710" s="3" t="n"/>
      <c r="AJ710" s="3" t="n"/>
      <c r="AK710" s="3" t="n"/>
      <c r="AL710" s="3" t="n"/>
      <c r="AM710" s="3" t="n"/>
      <c r="AN710" s="3" t="n"/>
      <c r="AO710" s="3" t="n"/>
      <c r="AP710" s="3" t="n"/>
      <c r="AQ710" s="3" t="n"/>
      <c r="AR710" s="3" t="n"/>
      <c r="AS710" s="3" t="n"/>
      <c r="AT710" s="3" t="n">
        <v>3.1973834</v>
      </c>
      <c r="AU710" s="3" t="n">
        <v>3.18946862</v>
      </c>
      <c r="AV710" s="3" t="n">
        <v>2.49063969</v>
      </c>
      <c r="AW710" s="3" t="n">
        <v>5.05360985</v>
      </c>
      <c r="AX710" s="3" t="n">
        <v>4.63368416</v>
      </c>
      <c r="AY710" s="3" t="n">
        <v>4.46591949</v>
      </c>
      <c r="AZ710" s="3" t="n">
        <v>4.25775146</v>
      </c>
      <c r="BA710" s="3" t="n">
        <v>3.90997243</v>
      </c>
      <c r="BB710" s="3" t="n">
        <v>3.69581532</v>
      </c>
      <c r="BC710" s="3" t="n">
        <v>3.5801971</v>
      </c>
      <c r="BD710" s="3" t="n">
        <v>3.29653287</v>
      </c>
      <c r="BE710" s="3" t="n">
        <v>3.32077932</v>
      </c>
      <c r="BF710" s="3" t="n">
        <v>3.35984254</v>
      </c>
      <c r="BG710" s="3" t="n">
        <v>3.4206934</v>
      </c>
      <c r="BH710" s="3" t="n">
        <v>3.34840417</v>
      </c>
      <c r="BI710" s="3" t="n">
        <v>3.58194995</v>
      </c>
      <c r="BJ710" s="3" t="n">
        <v>3.64773679</v>
      </c>
      <c r="BK710" s="3" t="n">
        <v>3.74762511</v>
      </c>
      <c r="BL710" s="3" t="n">
        <v>3.09069347</v>
      </c>
      <c r="BM710" s="3" t="n">
        <v>2.98547053</v>
      </c>
      <c r="BN710" s="3" t="n">
        <v>3.38063431</v>
      </c>
      <c r="BO710" s="3" t="n">
        <v>4.07625723</v>
      </c>
      <c r="BP710" s="3" t="n"/>
      <c r="BQ710" s="3" t="n"/>
      <c r="BR710" s="34" t="str">
        <f>B710&amp;"|"&amp;D710</f>
        <v>NGA|SH.XPD.CHEX.GD.ZS</v>
      </c>
    </row>
    <row r="711">
      <c r="A711" s="3" t="inlineStr">
        <is>
          <t>Nicaragua</t>
        </is>
      </c>
      <c r="B711" s="3" t="inlineStr">
        <is>
          <t>NIC</t>
        </is>
      </c>
      <c r="C711" s="3" t="inlineStr">
        <is>
          <t>Current health expenditure (% of GDP)</t>
        </is>
      </c>
      <c r="D711" s="3" t="inlineStr">
        <is>
          <t>SH.XPD.CHEX.GD.ZS</t>
        </is>
      </c>
      <c r="E711" s="3" t="n">
        <v>2021</v>
      </c>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c r="AD711" s="3" t="n"/>
      <c r="AE711" s="3" t="n"/>
      <c r="AF711" s="3" t="n"/>
      <c r="AG711" s="3" t="n"/>
      <c r="AH711" s="3" t="n"/>
      <c r="AI711" s="3" t="n"/>
      <c r="AJ711" s="3" t="n"/>
      <c r="AK711" s="3" t="n"/>
      <c r="AL711" s="3" t="n"/>
      <c r="AM711" s="3" t="n"/>
      <c r="AN711" s="3" t="n"/>
      <c r="AO711" s="3" t="n"/>
      <c r="AP711" s="3" t="n"/>
      <c r="AQ711" s="3" t="n"/>
      <c r="AR711" s="3" t="n"/>
      <c r="AS711" s="3" t="n"/>
      <c r="AT711" s="3" t="n">
        <v>5.23883677</v>
      </c>
      <c r="AU711" s="3" t="n">
        <v>5.48459768</v>
      </c>
      <c r="AV711" s="3" t="n">
        <v>5.73315859</v>
      </c>
      <c r="AW711" s="3" t="n">
        <v>6.08317614</v>
      </c>
      <c r="AX711" s="3" t="n">
        <v>6.05740356</v>
      </c>
      <c r="AY711" s="3" t="n">
        <v>6.22468948</v>
      </c>
      <c r="AZ711" s="3" t="n">
        <v>6.35756445</v>
      </c>
      <c r="BA711" s="3" t="n">
        <v>6.95643044</v>
      </c>
      <c r="BB711" s="3" t="n">
        <v>7.16700697</v>
      </c>
      <c r="BC711" s="3" t="n">
        <v>7.68584394</v>
      </c>
      <c r="BD711" s="3" t="n">
        <v>7.71019173</v>
      </c>
      <c r="BE711" s="3" t="n">
        <v>7.44982004</v>
      </c>
      <c r="BF711" s="3" t="n">
        <v>7.48836899</v>
      </c>
      <c r="BG711" s="3" t="n">
        <v>7.63869238</v>
      </c>
      <c r="BH711" s="3" t="n">
        <v>7.97716141</v>
      </c>
      <c r="BI711" s="3" t="n">
        <v>7.96303272</v>
      </c>
      <c r="BJ711" s="3" t="n">
        <v>8.048775669999999</v>
      </c>
      <c r="BK711" s="3" t="n">
        <v>8.327544209999999</v>
      </c>
      <c r="BL711" s="3" t="n">
        <v>8.4993515</v>
      </c>
      <c r="BM711" s="3" t="n">
        <v>8.56945896</v>
      </c>
      <c r="BN711" s="3" t="n">
        <v>8.652199749999999</v>
      </c>
      <c r="BO711" s="3" t="n">
        <v>9.683431629999999</v>
      </c>
      <c r="BP711" s="3" t="n"/>
      <c r="BQ711" s="3" t="n"/>
      <c r="BR711" s="34" t="str">
        <f>B711&amp;"|"&amp;D711</f>
        <v>NIC|SH.XPD.CHEX.GD.ZS</v>
      </c>
    </row>
    <row r="712">
      <c r="A712" s="3" t="inlineStr">
        <is>
          <t>Netherlands</t>
        </is>
      </c>
      <c r="B712" s="3" t="inlineStr">
        <is>
          <t>NLD</t>
        </is>
      </c>
      <c r="C712" s="3" t="inlineStr">
        <is>
          <t>Current health expenditure (% of GDP)</t>
        </is>
      </c>
      <c r="D712" s="3" t="inlineStr">
        <is>
          <t>SH.XPD.CHEX.GD.ZS</t>
        </is>
      </c>
      <c r="E712" s="3" t="n">
        <v>2021</v>
      </c>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c r="AD712" s="3" t="n"/>
      <c r="AE712" s="3" t="n"/>
      <c r="AF712" s="3" t="n"/>
      <c r="AG712" s="3" t="n"/>
      <c r="AH712" s="3" t="n"/>
      <c r="AI712" s="3" t="n"/>
      <c r="AJ712" s="3" t="n"/>
      <c r="AK712" s="3" t="n"/>
      <c r="AL712" s="3" t="n"/>
      <c r="AM712" s="3" t="n"/>
      <c r="AN712" s="3" t="n"/>
      <c r="AO712" s="3" t="n"/>
      <c r="AP712" s="3" t="n"/>
      <c r="AQ712" s="3" t="n"/>
      <c r="AR712" s="3" t="n"/>
      <c r="AS712" s="3" t="n"/>
      <c r="AT712" s="3" t="n">
        <v>7.71</v>
      </c>
      <c r="AU712" s="3" t="n">
        <v>8.06</v>
      </c>
      <c r="AV712" s="3" t="n">
        <v>8.65</v>
      </c>
      <c r="AW712" s="3" t="n">
        <v>9.06</v>
      </c>
      <c r="AX712" s="3" t="n">
        <v>9.109999999999999</v>
      </c>
      <c r="AY712" s="3" t="n">
        <v>9.1</v>
      </c>
      <c r="AZ712" s="3" t="n">
        <v>9.08</v>
      </c>
      <c r="BA712" s="3" t="n">
        <v>9.050000000000001</v>
      </c>
      <c r="BB712" s="3" t="n">
        <v>9.279999999999999</v>
      </c>
      <c r="BC712" s="3" t="n">
        <v>9.99</v>
      </c>
      <c r="BD712" s="3" t="n">
        <v>10.16</v>
      </c>
      <c r="BE712" s="3" t="n">
        <v>10.23</v>
      </c>
      <c r="BF712" s="3" t="n">
        <v>10.54</v>
      </c>
      <c r="BG712" s="3" t="n">
        <v>10.58</v>
      </c>
      <c r="BH712" s="3" t="n">
        <v>10.57</v>
      </c>
      <c r="BI712" s="3" t="n">
        <v>10.32</v>
      </c>
      <c r="BJ712" s="3" t="n">
        <v>10.06</v>
      </c>
      <c r="BK712" s="3" t="n">
        <v>10.11</v>
      </c>
      <c r="BL712" s="3" t="n">
        <v>10.02</v>
      </c>
      <c r="BM712" s="3" t="n">
        <v>10.14</v>
      </c>
      <c r="BN712" s="3" t="n">
        <v>11.21</v>
      </c>
      <c r="BO712" s="3" t="n">
        <v>11.29</v>
      </c>
      <c r="BP712" s="3" t="n"/>
      <c r="BQ712" s="3" t="n"/>
      <c r="BR712" s="34" t="str">
        <f>B712&amp;"|"&amp;D712</f>
        <v>NLD|SH.XPD.CHEX.GD.ZS</v>
      </c>
    </row>
    <row r="713">
      <c r="A713" s="3" t="inlineStr">
        <is>
          <t>Norway</t>
        </is>
      </c>
      <c r="B713" s="3" t="inlineStr">
        <is>
          <t>NOR</t>
        </is>
      </c>
      <c r="C713" s="3" t="inlineStr">
        <is>
          <t>Current health expenditure (% of GDP)</t>
        </is>
      </c>
      <c r="D713" s="3" t="inlineStr">
        <is>
          <t>SH.XPD.CHEX.GD.ZS</t>
        </is>
      </c>
      <c r="E713" s="3" t="n">
        <v>2022</v>
      </c>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c r="AD713" s="3" t="n"/>
      <c r="AE713" s="3" t="n"/>
      <c r="AF713" s="3" t="n"/>
      <c r="AG713" s="3" t="n"/>
      <c r="AH713" s="3" t="n"/>
      <c r="AI713" s="3" t="n"/>
      <c r="AJ713" s="3" t="n"/>
      <c r="AK713" s="3" t="n"/>
      <c r="AL713" s="3" t="n"/>
      <c r="AM713" s="3" t="n"/>
      <c r="AN713" s="3" t="n"/>
      <c r="AO713" s="3" t="n"/>
      <c r="AP713" s="3" t="n"/>
      <c r="AQ713" s="3" t="n"/>
      <c r="AR713" s="3" t="n"/>
      <c r="AS713" s="3" t="n"/>
      <c r="AT713" s="3" t="n">
        <v>7.7</v>
      </c>
      <c r="AU713" s="3" t="n">
        <v>8.01</v>
      </c>
      <c r="AV713" s="3" t="n">
        <v>8.98</v>
      </c>
      <c r="AW713" s="3" t="n">
        <v>9.19</v>
      </c>
      <c r="AX713" s="3" t="n">
        <v>8.800000000000001</v>
      </c>
      <c r="AY713" s="3" t="n">
        <v>8.300000000000001</v>
      </c>
      <c r="AZ713" s="3" t="n">
        <v>7.88</v>
      </c>
      <c r="BA713" s="3" t="n">
        <v>8.02</v>
      </c>
      <c r="BB713" s="3" t="n">
        <v>7.92</v>
      </c>
      <c r="BC713" s="3" t="n">
        <v>9.029999999999999</v>
      </c>
      <c r="BD713" s="3" t="n">
        <v>8.859999999999999</v>
      </c>
      <c r="BE713" s="3" t="n">
        <v>8.73</v>
      </c>
      <c r="BF713" s="3" t="n">
        <v>8.720000000000001</v>
      </c>
      <c r="BG713" s="3" t="n">
        <v>8.869999999999999</v>
      </c>
      <c r="BH713" s="3" t="n">
        <v>9.279999999999999</v>
      </c>
      <c r="BI713" s="3" t="n">
        <v>10.07</v>
      </c>
      <c r="BJ713" s="3" t="n">
        <v>10.53</v>
      </c>
      <c r="BK713" s="3" t="n">
        <v>10.23</v>
      </c>
      <c r="BL713" s="3" t="n">
        <v>9.960000000000001</v>
      </c>
      <c r="BM713" s="3" t="n">
        <v>10.44</v>
      </c>
      <c r="BN713" s="3" t="n">
        <v>11.42</v>
      </c>
      <c r="BO713" s="3" t="n">
        <v>10.08</v>
      </c>
      <c r="BP713" s="3" t="n">
        <v>8.140000000000001</v>
      </c>
      <c r="BQ713" s="3" t="n"/>
      <c r="BR713" s="34" t="str">
        <f>B713&amp;"|"&amp;D713</f>
        <v>NOR|SH.XPD.CHEX.GD.ZS</v>
      </c>
    </row>
    <row r="714">
      <c r="A714" s="3" t="inlineStr">
        <is>
          <t>Nepal</t>
        </is>
      </c>
      <c r="B714" s="3" t="inlineStr">
        <is>
          <t>NPL</t>
        </is>
      </c>
      <c r="C714" s="3" t="inlineStr">
        <is>
          <t>Current health expenditure (% of GDP)</t>
        </is>
      </c>
      <c r="D714" s="3" t="inlineStr">
        <is>
          <t>SH.XPD.CHEX.GD.ZS</t>
        </is>
      </c>
      <c r="E714" s="3" t="n">
        <v>2016</v>
      </c>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c r="AD714" s="3" t="n"/>
      <c r="AE714" s="3" t="n"/>
      <c r="AF714" s="3" t="n"/>
      <c r="AG714" s="3" t="n"/>
      <c r="AH714" s="3" t="n"/>
      <c r="AI714" s="3" t="n"/>
      <c r="AJ714" s="3" t="n"/>
      <c r="AK714" s="3" t="n"/>
      <c r="AL714" s="3" t="n"/>
      <c r="AM714" s="3" t="n"/>
      <c r="AN714" s="3" t="n"/>
      <c r="AO714" s="3" t="n"/>
      <c r="AP714" s="3" t="n"/>
      <c r="AQ714" s="3" t="n"/>
      <c r="AR714" s="3" t="n"/>
      <c r="AS714" s="3" t="n"/>
      <c r="AT714" s="3" t="n">
        <v>3.13</v>
      </c>
      <c r="AU714" s="3" t="n">
        <v>3.81</v>
      </c>
      <c r="AV714" s="3" t="n">
        <v>3.94</v>
      </c>
      <c r="AW714" s="3" t="n">
        <v>3.86</v>
      </c>
      <c r="AX714" s="3" t="n">
        <v>4.05</v>
      </c>
      <c r="AY714" s="3" t="n">
        <v>3.95</v>
      </c>
      <c r="AZ714" s="3" t="n">
        <v>3.54</v>
      </c>
      <c r="BA714" s="3" t="n">
        <v>3.67</v>
      </c>
      <c r="BB714" s="3" t="n">
        <v>3.82</v>
      </c>
      <c r="BC714" s="3" t="n">
        <v>3.9</v>
      </c>
      <c r="BD714" s="3" t="n">
        <v>4.36</v>
      </c>
      <c r="BE714" s="3" t="n">
        <v>4.45</v>
      </c>
      <c r="BF714" s="3" t="n">
        <v>4.49</v>
      </c>
      <c r="BG714" s="3" t="n">
        <v>4.63</v>
      </c>
      <c r="BH714" s="3" t="n">
        <v>5.08</v>
      </c>
      <c r="BI714" s="3" t="n">
        <v>5.47</v>
      </c>
      <c r="BJ714" s="3" t="n">
        <v>5.42</v>
      </c>
      <c r="BK714" s="3" t="n">
        <v>4.72</v>
      </c>
      <c r="BL714" s="3" t="n">
        <v>4.53</v>
      </c>
      <c r="BM714" s="3" t="n">
        <v>4.45</v>
      </c>
      <c r="BN714" s="3" t="n">
        <v>5.21</v>
      </c>
      <c r="BO714" s="3" t="n">
        <v>5.42</v>
      </c>
      <c r="BP714" s="3" t="n"/>
      <c r="BQ714" s="3" t="n"/>
      <c r="BR714" s="34" t="str">
        <f>B714&amp;"|"&amp;D714</f>
        <v>NPL|SH.XPD.CHEX.GD.ZS</v>
      </c>
    </row>
    <row r="715">
      <c r="A715" s="3" t="inlineStr">
        <is>
          <t>Nauru</t>
        </is>
      </c>
      <c r="B715" s="3" t="inlineStr">
        <is>
          <t>NRU</t>
        </is>
      </c>
      <c r="C715" s="3" t="inlineStr">
        <is>
          <t>Current health expenditure (% of GDP)</t>
        </is>
      </c>
      <c r="D715" s="3" t="inlineStr">
        <is>
          <t>SH.XPD.CHEX.GD.ZS</t>
        </is>
      </c>
      <c r="E715" s="3" t="n">
        <v>2021</v>
      </c>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c r="AD715" s="3" t="n"/>
      <c r="AE715" s="3" t="n"/>
      <c r="AF715" s="3" t="n"/>
      <c r="AG715" s="3" t="n"/>
      <c r="AH715" s="3" t="n"/>
      <c r="AI715" s="3" t="n"/>
      <c r="AJ715" s="3" t="n"/>
      <c r="AK715" s="3" t="n"/>
      <c r="AL715" s="3" t="n"/>
      <c r="AM715" s="3" t="n"/>
      <c r="AN715" s="3" t="n"/>
      <c r="AO715" s="3" t="n"/>
      <c r="AP715" s="3" t="n"/>
      <c r="AQ715" s="3" t="n"/>
      <c r="AR715" s="3" t="n"/>
      <c r="AS715" s="3" t="n"/>
      <c r="AT715" s="3" t="n">
        <v>18.96671295</v>
      </c>
      <c r="AU715" s="3" t="n">
        <v>16.22330093</v>
      </c>
      <c r="AV715" s="3" t="n">
        <v>13.80812454</v>
      </c>
      <c r="AW715" s="3" t="n">
        <v>9.97444248</v>
      </c>
      <c r="AX715" s="3" t="n">
        <v>6.87889576</v>
      </c>
      <c r="AY715" s="3" t="n">
        <v>10.82081795</v>
      </c>
      <c r="AZ715" s="3" t="n">
        <v>12.41761494</v>
      </c>
      <c r="BA715" s="3" t="n">
        <v>24.23068047</v>
      </c>
      <c r="BB715" s="3" t="n">
        <v>23.0041008</v>
      </c>
      <c r="BC715" s="3" t="n">
        <v>12.31575871</v>
      </c>
      <c r="BD715" s="3" t="n">
        <v>12.6964016</v>
      </c>
      <c r="BE715" s="3" t="n">
        <v>9.96043968</v>
      </c>
      <c r="BF715" s="3" t="n">
        <v>8.841489790000001</v>
      </c>
      <c r="BG715" s="3" t="n">
        <v>9.85010052</v>
      </c>
      <c r="BH715" s="3" t="n">
        <v>8.38675785</v>
      </c>
      <c r="BI715" s="3" t="n">
        <v>14.00562382</v>
      </c>
      <c r="BJ715" s="3" t="n">
        <v>10.99060059</v>
      </c>
      <c r="BK715" s="3" t="n">
        <v>11.4886446</v>
      </c>
      <c r="BL715" s="3" t="n">
        <v>11.10239792</v>
      </c>
      <c r="BM715" s="3" t="n">
        <v>11.55542469</v>
      </c>
      <c r="BN715" s="3" t="n">
        <v>12.68183994</v>
      </c>
      <c r="BO715" s="3" t="n">
        <v>13.06414223</v>
      </c>
      <c r="BP715" s="3" t="n"/>
      <c r="BQ715" s="3" t="n"/>
      <c r="BR715" s="34" t="str">
        <f>B715&amp;"|"&amp;D715</f>
        <v>NRU|SH.XPD.CHEX.GD.ZS</v>
      </c>
    </row>
    <row r="716">
      <c r="A716" s="3" t="inlineStr">
        <is>
          <t>New Zealand</t>
        </is>
      </c>
      <c r="B716" s="3" t="inlineStr">
        <is>
          <t>NZL</t>
        </is>
      </c>
      <c r="C716" s="3" t="inlineStr">
        <is>
          <t>Current health expenditure (% of GDP)</t>
        </is>
      </c>
      <c r="D716" s="3" t="inlineStr">
        <is>
          <t>SH.XPD.CHEX.GD.ZS</t>
        </is>
      </c>
      <c r="E716" s="3" t="n">
        <v>2021</v>
      </c>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c r="AD716" s="3" t="n"/>
      <c r="AE716" s="3" t="n"/>
      <c r="AF716" s="3" t="n"/>
      <c r="AG716" s="3" t="n"/>
      <c r="AH716" s="3" t="n"/>
      <c r="AI716" s="3" t="n"/>
      <c r="AJ716" s="3" t="n"/>
      <c r="AK716" s="3" t="n"/>
      <c r="AL716" s="3" t="n"/>
      <c r="AM716" s="3" t="n"/>
      <c r="AN716" s="3" t="n"/>
      <c r="AO716" s="3" t="n"/>
      <c r="AP716" s="3" t="n"/>
      <c r="AQ716" s="3" t="n"/>
      <c r="AR716" s="3" t="n"/>
      <c r="AS716" s="3" t="n"/>
      <c r="AT716" s="3" t="n">
        <v>7.4700222</v>
      </c>
      <c r="AU716" s="3" t="n">
        <v>7.5789361</v>
      </c>
      <c r="AV716" s="3" t="n">
        <v>7.90045929</v>
      </c>
      <c r="AW716" s="3" t="n">
        <v>7.72169256</v>
      </c>
      <c r="AX716" s="3" t="n">
        <v>7.90090561</v>
      </c>
      <c r="AY716" s="3" t="n">
        <v>8.27334881</v>
      </c>
      <c r="AZ716" s="3" t="n">
        <v>8.63841629</v>
      </c>
      <c r="BA716" s="3" t="n">
        <v>8.329044339999999</v>
      </c>
      <c r="BB716" s="3" t="n">
        <v>9.12382889</v>
      </c>
      <c r="BC716" s="3" t="n">
        <v>9.620763780000001</v>
      </c>
      <c r="BD716" s="3" t="n">
        <v>9.592775339999999</v>
      </c>
      <c r="BE716" s="3" t="n">
        <v>9.51987362</v>
      </c>
      <c r="BF716" s="3" t="n">
        <v>9.651636119999999</v>
      </c>
      <c r="BG716" s="3" t="n">
        <v>9.36019325</v>
      </c>
      <c r="BH716" s="3" t="n">
        <v>9.40168381</v>
      </c>
      <c r="BI716" s="3" t="n">
        <v>9.28344345</v>
      </c>
      <c r="BJ716" s="3" t="n">
        <v>9.24379444</v>
      </c>
      <c r="BK716" s="3" t="n">
        <v>8.96694851</v>
      </c>
      <c r="BL716" s="3" t="n">
        <v>9.035116199999999</v>
      </c>
      <c r="BM716" s="3" t="n">
        <v>9.493102070000001</v>
      </c>
      <c r="BN716" s="3" t="n">
        <v>10.07205391</v>
      </c>
      <c r="BO716" s="3" t="n">
        <v>10.04858398</v>
      </c>
      <c r="BP716" s="3" t="n"/>
      <c r="BQ716" s="3" t="n"/>
      <c r="BR716" s="34" t="str">
        <f>B716&amp;"|"&amp;D716</f>
        <v>NZL|SH.XPD.CHEX.GD.ZS</v>
      </c>
    </row>
    <row r="717">
      <c r="A717" s="3" t="inlineStr">
        <is>
          <t>OECD members</t>
        </is>
      </c>
      <c r="B717" s="3" t="inlineStr">
        <is>
          <t>OED</t>
        </is>
      </c>
      <c r="C717" s="3" t="inlineStr">
        <is>
          <t>Current health expenditure (% of GDP)</t>
        </is>
      </c>
      <c r="D717" s="3" t="inlineStr">
        <is>
          <t>SH.XPD.CHEX.GD.ZS</t>
        </is>
      </c>
      <c r="E717" s="3" t="n">
        <v>2021</v>
      </c>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c r="AD717" s="3" t="n"/>
      <c r="AE717" s="3" t="n"/>
      <c r="AF717" s="3" t="n"/>
      <c r="AG717" s="3" t="n"/>
      <c r="AH717" s="3" t="n"/>
      <c r="AI717" s="3" t="n"/>
      <c r="AJ717" s="3" t="n"/>
      <c r="AK717" s="3" t="n"/>
      <c r="AL717" s="3" t="n"/>
      <c r="AM717" s="3" t="n"/>
      <c r="AN717" s="3" t="n"/>
      <c r="AO717" s="3" t="n"/>
      <c r="AP717" s="3" t="n"/>
      <c r="AQ717" s="3" t="n"/>
      <c r="AR717" s="3" t="n"/>
      <c r="AS717" s="3" t="n"/>
      <c r="AT717" s="3" t="n">
        <v>9.334417429999522</v>
      </c>
      <c r="AU717" s="3" t="n">
        <v>9.814859917124275</v>
      </c>
      <c r="AV717" s="3" t="n">
        <v>10.24167510649187</v>
      </c>
      <c r="AW717" s="3" t="n">
        <v>10.46145701540351</v>
      </c>
      <c r="AX717" s="3" t="n">
        <v>10.41844493742346</v>
      </c>
      <c r="AY717" s="3" t="n">
        <v>10.46992386777663</v>
      </c>
      <c r="AZ717" s="3" t="n">
        <v>10.5455063567146</v>
      </c>
      <c r="BA717" s="3" t="n">
        <v>10.5199463190112</v>
      </c>
      <c r="BB717" s="3" t="n">
        <v>10.71915470348427</v>
      </c>
      <c r="BC717" s="3" t="n">
        <v>11.66006013752726</v>
      </c>
      <c r="BD717" s="3" t="n">
        <v>11.55052754630328</v>
      </c>
      <c r="BE717" s="3" t="n">
        <v>11.59079371202251</v>
      </c>
      <c r="BF717" s="3" t="n">
        <v>11.72001776549193</v>
      </c>
      <c r="BG717" s="3" t="n">
        <v>11.71406663434789</v>
      </c>
      <c r="BH717" s="3" t="n">
        <v>11.87441680738747</v>
      </c>
      <c r="BI717" s="3" t="n">
        <v>12.24158506866918</v>
      </c>
      <c r="BJ717" s="3" t="n">
        <v>12.40732428312316</v>
      </c>
      <c r="BK717" s="3" t="n">
        <v>12.36483014626398</v>
      </c>
      <c r="BL717" s="3" t="n">
        <v>12.32526848578401</v>
      </c>
      <c r="BM717" s="3" t="n">
        <v>12.52138227232975</v>
      </c>
      <c r="BN717" s="3" t="n">
        <v>13.92876453901517</v>
      </c>
      <c r="BO717" s="3" t="n">
        <v>13.35339169516734</v>
      </c>
      <c r="BP717" s="3" t="n"/>
      <c r="BQ717" s="3" t="n"/>
      <c r="BR717" s="34" t="str">
        <f>B717&amp;"|"&amp;D717</f>
        <v>OED|SH.XPD.CHEX.GD.ZS</v>
      </c>
    </row>
    <row r="718">
      <c r="A718" s="3" t="inlineStr">
        <is>
          <t>Oman</t>
        </is>
      </c>
      <c r="B718" s="3" t="inlineStr">
        <is>
          <t>OMN</t>
        </is>
      </c>
      <c r="C718" s="3" t="inlineStr">
        <is>
          <t>Current health expenditure (% of GDP)</t>
        </is>
      </c>
      <c r="D718" s="3" t="inlineStr">
        <is>
          <t>SH.XPD.CHEX.GD.ZS</t>
        </is>
      </c>
      <c r="E718" s="3" t="n">
        <v>2021</v>
      </c>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c r="AD718" s="3" t="n"/>
      <c r="AE718" s="3" t="n"/>
      <c r="AF718" s="3" t="n"/>
      <c r="AG718" s="3" t="n"/>
      <c r="AH718" s="3" t="n"/>
      <c r="AI718" s="3" t="n"/>
      <c r="AJ718" s="3" t="n"/>
      <c r="AK718" s="3" t="n"/>
      <c r="AL718" s="3" t="n"/>
      <c r="AM718" s="3" t="n"/>
      <c r="AN718" s="3" t="n"/>
      <c r="AO718" s="3" t="n"/>
      <c r="AP718" s="3" t="n"/>
      <c r="AQ718" s="3" t="n"/>
      <c r="AR718" s="3" t="n"/>
      <c r="AS718" s="3" t="n"/>
      <c r="AT718" s="3" t="n">
        <v>2.68485427</v>
      </c>
      <c r="AU718" s="3" t="n">
        <v>2.70073724</v>
      </c>
      <c r="AV718" s="3" t="n">
        <v>2.77737164</v>
      </c>
      <c r="AW718" s="3" t="n">
        <v>2.77524447</v>
      </c>
      <c r="AX718" s="3" t="n">
        <v>2.59660101</v>
      </c>
      <c r="AY718" s="3" t="n">
        <v>2.26479053</v>
      </c>
      <c r="AZ718" s="3" t="n">
        <v>2.01985121</v>
      </c>
      <c r="BA718" s="3" t="n">
        <v>2.11371112</v>
      </c>
      <c r="BB718" s="3" t="n">
        <v>1.75567567</v>
      </c>
      <c r="BC718" s="3" t="n">
        <v>2.4694581</v>
      </c>
      <c r="BD718" s="3" t="n">
        <v>2.47588587</v>
      </c>
      <c r="BE718" s="3" t="n">
        <v>2.23611403</v>
      </c>
      <c r="BF718" s="3" t="n">
        <v>2.27702832</v>
      </c>
      <c r="BG718" s="3" t="n">
        <v>2.5054009</v>
      </c>
      <c r="BH718" s="3" t="n">
        <v>3.13740134</v>
      </c>
      <c r="BI718" s="3" t="n">
        <v>4.07826233</v>
      </c>
      <c r="BJ718" s="3" t="n">
        <v>4.17580843</v>
      </c>
      <c r="BK718" s="3" t="n">
        <v>3.95418668</v>
      </c>
      <c r="BL718" s="3" t="n">
        <v>3.21469474</v>
      </c>
      <c r="BM718" s="3" t="n">
        <v>3.80648994</v>
      </c>
      <c r="BN718" s="3" t="n">
        <v>5.25332022</v>
      </c>
      <c r="BO718" s="3" t="n">
        <v>4.37028217</v>
      </c>
      <c r="BP718" s="3" t="n"/>
      <c r="BQ718" s="3" t="n"/>
      <c r="BR718" s="34" t="str">
        <f>B718&amp;"|"&amp;D718</f>
        <v>OMN|SH.XPD.CHEX.GD.ZS</v>
      </c>
    </row>
    <row r="719">
      <c r="A719" s="3" t="inlineStr">
        <is>
          <t>Other small states</t>
        </is>
      </c>
      <c r="B719" s="3" t="inlineStr">
        <is>
          <t>OSS</t>
        </is>
      </c>
      <c r="C719" s="3" t="inlineStr">
        <is>
          <t>Current health expenditure (% of GDP)</t>
        </is>
      </c>
      <c r="D719" s="3" t="inlineStr">
        <is>
          <t>SH.XPD.CHEX.GD.ZS</t>
        </is>
      </c>
      <c r="E719" s="3" t="n">
        <v>2021</v>
      </c>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c r="AD719" s="3" t="n"/>
      <c r="AE719" s="3" t="n"/>
      <c r="AF719" s="3" t="n"/>
      <c r="AG719" s="3" t="n"/>
      <c r="AH719" s="3" t="n"/>
      <c r="AI719" s="3" t="n"/>
      <c r="AJ719" s="3" t="n"/>
      <c r="AK719" s="3" t="n"/>
      <c r="AL719" s="3" t="n"/>
      <c r="AM719" s="3" t="n"/>
      <c r="AN719" s="3" t="n"/>
      <c r="AO719" s="3" t="n"/>
      <c r="AP719" s="3" t="n"/>
      <c r="AQ719" s="3" t="n"/>
      <c r="AR719" s="3" t="n"/>
      <c r="AS719" s="3" t="n"/>
      <c r="AT719" s="3" t="n">
        <v>5.11882931466237</v>
      </c>
      <c r="AU719" s="3" t="n">
        <v>5.142788638649147</v>
      </c>
      <c r="AV719" s="3" t="n">
        <v>5.441538497128341</v>
      </c>
      <c r="AW719" s="3" t="n">
        <v>5.620404952706471</v>
      </c>
      <c r="AX719" s="3" t="n">
        <v>5.536536824882099</v>
      </c>
      <c r="AY719" s="3" t="n">
        <v>5.499629331419651</v>
      </c>
      <c r="AZ719" s="3" t="n">
        <v>5.267774972285671</v>
      </c>
      <c r="BA719" s="3" t="n">
        <v>5.281474407419135</v>
      </c>
      <c r="BB719" s="3" t="n">
        <v>5.405343219379103</v>
      </c>
      <c r="BC719" s="3" t="n">
        <v>5.969409972647328</v>
      </c>
      <c r="BD719" s="3" t="n">
        <v>5.7485702016541</v>
      </c>
      <c r="BE719" s="3" t="n">
        <v>5.550601441346401</v>
      </c>
      <c r="BF719" s="3" t="n">
        <v>5.570230937003437</v>
      </c>
      <c r="BG719" s="3" t="n">
        <v>5.765689438396987</v>
      </c>
      <c r="BH719" s="3" t="n">
        <v>5.930283751514649</v>
      </c>
      <c r="BI719" s="3" t="n">
        <v>6.208510424135169</v>
      </c>
      <c r="BJ719" s="3" t="n">
        <v>6.292827527390331</v>
      </c>
      <c r="BK719" s="3" t="n">
        <v>6.188258316932173</v>
      </c>
      <c r="BL719" s="3" t="n">
        <v>6.120848928941736</v>
      </c>
      <c r="BM719" s="3" t="n">
        <v>6.223005174147212</v>
      </c>
      <c r="BN719" s="3" t="n">
        <v>7.257364611166906</v>
      </c>
      <c r="BO719" s="3" t="n">
        <v>7.348330643271642</v>
      </c>
      <c r="BP719" s="3" t="n"/>
      <c r="BQ719" s="3" t="n"/>
      <c r="BR719" s="34" t="str">
        <f>B719&amp;"|"&amp;D719</f>
        <v>OSS|SH.XPD.CHEX.GD.ZS</v>
      </c>
    </row>
    <row r="720">
      <c r="A720" s="3" t="inlineStr">
        <is>
          <t>Pakistan</t>
        </is>
      </c>
      <c r="B720" s="3" t="inlineStr">
        <is>
          <t>PAK</t>
        </is>
      </c>
      <c r="C720" s="3" t="inlineStr">
        <is>
          <t>Current health expenditure (% of GDP)</t>
        </is>
      </c>
      <c r="D720" s="3" t="inlineStr">
        <is>
          <t>SH.XPD.CHEX.GD.ZS</t>
        </is>
      </c>
      <c r="E720" s="3" t="n">
        <v>2021</v>
      </c>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c r="AD720" s="3" t="n"/>
      <c r="AE720" s="3" t="n"/>
      <c r="AF720" s="3" t="n"/>
      <c r="AG720" s="3" t="n"/>
      <c r="AH720" s="3" t="n"/>
      <c r="AI720" s="3" t="n"/>
      <c r="AJ720" s="3" t="n"/>
      <c r="AK720" s="3" t="n"/>
      <c r="AL720" s="3" t="n"/>
      <c r="AM720" s="3" t="n"/>
      <c r="AN720" s="3" t="n"/>
      <c r="AO720" s="3" t="n"/>
      <c r="AP720" s="3" t="n"/>
      <c r="AQ720" s="3" t="n"/>
      <c r="AR720" s="3" t="n"/>
      <c r="AS720" s="3" t="n"/>
      <c r="AT720" s="3" t="n">
        <v>2.71176577</v>
      </c>
      <c r="AU720" s="3" t="n">
        <v>2.54956865</v>
      </c>
      <c r="AV720" s="3" t="n">
        <v>2.66229343</v>
      </c>
      <c r="AW720" s="3" t="n">
        <v>2.30006313</v>
      </c>
      <c r="AX720" s="3" t="n">
        <v>2.22177458</v>
      </c>
      <c r="AY720" s="3" t="n">
        <v>2.55108738</v>
      </c>
      <c r="AZ720" s="3" t="n">
        <v>2.86177492</v>
      </c>
      <c r="BA720" s="3" t="n">
        <v>2.81689191</v>
      </c>
      <c r="BB720" s="3" t="n">
        <v>2.71266913</v>
      </c>
      <c r="BC720" s="3" t="n">
        <v>2.47458911</v>
      </c>
      <c r="BD720" s="3" t="n">
        <v>2.39686537</v>
      </c>
      <c r="BE720" s="3" t="n">
        <v>2.14016914</v>
      </c>
      <c r="BF720" s="3" t="n">
        <v>2.20038652</v>
      </c>
      <c r="BG720" s="3" t="n">
        <v>2.4017837</v>
      </c>
      <c r="BH720" s="3" t="n">
        <v>2.45603824</v>
      </c>
      <c r="BI720" s="3" t="n">
        <v>2.45764351</v>
      </c>
      <c r="BJ720" s="3" t="n">
        <v>2.57026362</v>
      </c>
      <c r="BK720" s="3" t="n">
        <v>2.7863009</v>
      </c>
      <c r="BL720" s="3" t="n">
        <v>2.82844949</v>
      </c>
      <c r="BM720" s="3" t="n">
        <v>2.84736943</v>
      </c>
      <c r="BN720" s="3" t="n">
        <v>2.95273018</v>
      </c>
      <c r="BO720" s="3" t="n">
        <v>2.91131568</v>
      </c>
      <c r="BP720" s="3" t="n"/>
      <c r="BQ720" s="3" t="n"/>
      <c r="BR720" s="34" t="str">
        <f>B720&amp;"|"&amp;D720</f>
        <v>PAK|SH.XPD.CHEX.GD.ZS</v>
      </c>
    </row>
    <row r="721">
      <c r="A721" s="3" t="inlineStr">
        <is>
          <t>Panama</t>
        </is>
      </c>
      <c r="B721" s="3" t="inlineStr">
        <is>
          <t>PAN</t>
        </is>
      </c>
      <c r="C721" s="3" t="inlineStr">
        <is>
          <t>Current health expenditure (% of GDP)</t>
        </is>
      </c>
      <c r="D721" s="3" t="inlineStr">
        <is>
          <t>SH.XPD.CHEX.GD.ZS</t>
        </is>
      </c>
      <c r="E721" s="3" t="n">
        <v>2021</v>
      </c>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c r="AD721" s="3" t="n"/>
      <c r="AE721" s="3" t="n"/>
      <c r="AF721" s="3" t="n"/>
      <c r="AG721" s="3" t="n"/>
      <c r="AH721" s="3" t="n"/>
      <c r="AI721" s="3" t="n"/>
      <c r="AJ721" s="3" t="n"/>
      <c r="AK721" s="3" t="n"/>
      <c r="AL721" s="3" t="n"/>
      <c r="AM721" s="3" t="n"/>
      <c r="AN721" s="3" t="n"/>
      <c r="AO721" s="3" t="n"/>
      <c r="AP721" s="3" t="n"/>
      <c r="AQ721" s="3" t="n"/>
      <c r="AR721" s="3" t="n"/>
      <c r="AS721" s="3" t="n"/>
      <c r="AT721" s="3" t="n">
        <v>7.23963356</v>
      </c>
      <c r="AU721" s="3" t="n">
        <v>7.17009974</v>
      </c>
      <c r="AV721" s="3" t="n">
        <v>7.31349277</v>
      </c>
      <c r="AW721" s="3" t="n">
        <v>6.95631361</v>
      </c>
      <c r="AX721" s="3" t="n">
        <v>7.34004402</v>
      </c>
      <c r="AY721" s="3" t="n">
        <v>6.43272924</v>
      </c>
      <c r="AZ721" s="3" t="n">
        <v>6.7842741</v>
      </c>
      <c r="BA721" s="3" t="n">
        <v>7.62018394</v>
      </c>
      <c r="BB721" s="3" t="n">
        <v>7.05229712</v>
      </c>
      <c r="BC721" s="3" t="n">
        <v>7.24006367</v>
      </c>
      <c r="BD721" s="3" t="n">
        <v>7.4865942</v>
      </c>
      <c r="BE721" s="3" t="n">
        <v>7.08092785</v>
      </c>
      <c r="BF721" s="3" t="n">
        <v>6.74132681</v>
      </c>
      <c r="BG721" s="3" t="n">
        <v>6.75967455</v>
      </c>
      <c r="BH721" s="3" t="n">
        <v>7.16729832</v>
      </c>
      <c r="BI721" s="3" t="n">
        <v>7.18962574</v>
      </c>
      <c r="BJ721" s="3" t="n">
        <v>7.35213518</v>
      </c>
      <c r="BK721" s="3" t="n">
        <v>7.42582321</v>
      </c>
      <c r="BL721" s="3" t="n">
        <v>7.87820292</v>
      </c>
      <c r="BM721" s="3" t="n">
        <v>8.467956539999999</v>
      </c>
      <c r="BN721" s="3" t="n">
        <v>10.8049345</v>
      </c>
      <c r="BO721" s="3" t="n">
        <v>9.681799890000001</v>
      </c>
      <c r="BP721" s="3" t="n"/>
      <c r="BQ721" s="3" t="n"/>
      <c r="BR721" s="34" t="str">
        <f>B721&amp;"|"&amp;D721</f>
        <v>PAN|SH.XPD.CHEX.GD.ZS</v>
      </c>
    </row>
    <row r="722">
      <c r="A722" s="3" t="inlineStr">
        <is>
          <t>Peru</t>
        </is>
      </c>
      <c r="B722" s="3" t="inlineStr">
        <is>
          <t>PER</t>
        </is>
      </c>
      <c r="C722" s="3" t="inlineStr">
        <is>
          <t>Current health expenditure (% of GDP)</t>
        </is>
      </c>
      <c r="D722" s="3" t="inlineStr">
        <is>
          <t>SH.XPD.CHEX.GD.ZS</t>
        </is>
      </c>
      <c r="E722" s="3" t="n">
        <v>2021</v>
      </c>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c r="AD722" s="3" t="n"/>
      <c r="AE722" s="3" t="n"/>
      <c r="AF722" s="3" t="n"/>
      <c r="AG722" s="3" t="n"/>
      <c r="AH722" s="3" t="n"/>
      <c r="AI722" s="3" t="n"/>
      <c r="AJ722" s="3" t="n"/>
      <c r="AK722" s="3" t="n"/>
      <c r="AL722" s="3" t="n"/>
      <c r="AM722" s="3" t="n"/>
      <c r="AN722" s="3" t="n"/>
      <c r="AO722" s="3" t="n"/>
      <c r="AP722" s="3" t="n"/>
      <c r="AQ722" s="3" t="n"/>
      <c r="AR722" s="3" t="n"/>
      <c r="AS722" s="3" t="n"/>
      <c r="AT722" s="3" t="n">
        <v>4.41482639</v>
      </c>
      <c r="AU722" s="3" t="n">
        <v>4.72161007</v>
      </c>
      <c r="AV722" s="3" t="n">
        <v>4.93902254</v>
      </c>
      <c r="AW722" s="3" t="n">
        <v>4.58695936</v>
      </c>
      <c r="AX722" s="3" t="n">
        <v>4.42970943</v>
      </c>
      <c r="AY722" s="3" t="n">
        <v>4.66595268</v>
      </c>
      <c r="AZ722" s="3" t="n">
        <v>4.4095645</v>
      </c>
      <c r="BA722" s="3" t="n">
        <v>4.42612123</v>
      </c>
      <c r="BB722" s="3" t="n">
        <v>4.5332098</v>
      </c>
      <c r="BC722" s="3" t="n">
        <v>4.96515894</v>
      </c>
      <c r="BD722" s="3" t="n">
        <v>4.71503925</v>
      </c>
      <c r="BE722" s="3" t="n">
        <v>4.53500509</v>
      </c>
      <c r="BF722" s="3" t="n">
        <v>4.73488665</v>
      </c>
      <c r="BG722" s="3" t="n">
        <v>4.7487607</v>
      </c>
      <c r="BH722" s="3" t="n">
        <v>4.96445227</v>
      </c>
      <c r="BI722" s="3" t="n">
        <v>4.96122217</v>
      </c>
      <c r="BJ722" s="3" t="n">
        <v>4.95967245</v>
      </c>
      <c r="BK722" s="3" t="n">
        <v>4.8808279</v>
      </c>
      <c r="BL722" s="3" t="n">
        <v>5.15967131</v>
      </c>
      <c r="BM722" s="3" t="n">
        <v>5.17916393</v>
      </c>
      <c r="BN722" s="3" t="n">
        <v>6.28521156</v>
      </c>
      <c r="BO722" s="3" t="n">
        <v>6.15173197</v>
      </c>
      <c r="BP722" s="3" t="n"/>
      <c r="BQ722" s="3" t="n"/>
      <c r="BR722" s="34" t="str">
        <f>B722&amp;"|"&amp;D722</f>
        <v>PER|SH.XPD.CHEX.GD.ZS</v>
      </c>
    </row>
    <row r="723">
      <c r="A723" s="3" t="inlineStr">
        <is>
          <t>Philippines</t>
        </is>
      </c>
      <c r="B723" s="3" t="inlineStr">
        <is>
          <t>PHL</t>
        </is>
      </c>
      <c r="C723" s="3" t="inlineStr">
        <is>
          <t>Current health expenditure (% of GDP)</t>
        </is>
      </c>
      <c r="D723" s="3" t="inlineStr">
        <is>
          <t>SH.XPD.CHEX.GD.ZS</t>
        </is>
      </c>
      <c r="E723" s="3" t="n">
        <v>2022</v>
      </c>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c r="AD723" s="3" t="n"/>
      <c r="AE723" s="3" t="n"/>
      <c r="AF723" s="3" t="n"/>
      <c r="AG723" s="3" t="n"/>
      <c r="AH723" s="3" t="n"/>
      <c r="AI723" s="3" t="n"/>
      <c r="AJ723" s="3" t="n"/>
      <c r="AK723" s="3" t="n"/>
      <c r="AL723" s="3" t="n"/>
      <c r="AM723" s="3" t="n"/>
      <c r="AN723" s="3" t="n"/>
      <c r="AO723" s="3" t="n"/>
      <c r="AP723" s="3" t="n"/>
      <c r="AQ723" s="3" t="n"/>
      <c r="AR723" s="3" t="n"/>
      <c r="AS723" s="3" t="n"/>
      <c r="AT723" s="3" t="n">
        <v>3.06</v>
      </c>
      <c r="AU723" s="3" t="n">
        <v>2.85</v>
      </c>
      <c r="AV723" s="3" t="n">
        <v>2.64</v>
      </c>
      <c r="AW723" s="3" t="n">
        <v>3.08</v>
      </c>
      <c r="AX723" s="3" t="n">
        <v>3.05</v>
      </c>
      <c r="AY723" s="3" t="n">
        <v>3.74</v>
      </c>
      <c r="AZ723" s="3" t="n">
        <v>3.78</v>
      </c>
      <c r="BA723" s="3" t="n">
        <v>3.75</v>
      </c>
      <c r="BB723" s="3" t="n">
        <v>3.86</v>
      </c>
      <c r="BC723" s="3" t="n">
        <v>4.16</v>
      </c>
      <c r="BD723" s="3" t="n">
        <v>4.13</v>
      </c>
      <c r="BE723" s="3" t="n">
        <v>4.03</v>
      </c>
      <c r="BF723" s="3" t="n">
        <v>4.18</v>
      </c>
      <c r="BG723" s="3" t="n">
        <v>4.27</v>
      </c>
      <c r="BH723" s="3" t="n">
        <v>3.7</v>
      </c>
      <c r="BI723" s="3" t="n">
        <v>3.9</v>
      </c>
      <c r="BJ723" s="3" t="n">
        <v>3.95</v>
      </c>
      <c r="BK723" s="3" t="n">
        <v>3.96</v>
      </c>
      <c r="BL723" s="3" t="n">
        <v>3.95</v>
      </c>
      <c r="BM723" s="3" t="n">
        <v>4.17</v>
      </c>
      <c r="BN723" s="3" t="n">
        <v>5.16</v>
      </c>
      <c r="BO723" s="3" t="n">
        <v>5.87</v>
      </c>
      <c r="BP723" s="3" t="n">
        <v>5.1</v>
      </c>
      <c r="BQ723" s="3" t="n"/>
      <c r="BR723" s="34" t="str">
        <f>B723&amp;"|"&amp;D723</f>
        <v>PHL|SH.XPD.CHEX.GD.ZS</v>
      </c>
    </row>
    <row r="724">
      <c r="A724" s="3" t="inlineStr">
        <is>
          <t>Palau</t>
        </is>
      </c>
      <c r="B724" s="3" t="inlineStr">
        <is>
          <t>PLW</t>
        </is>
      </c>
      <c r="C724" s="3" t="inlineStr">
        <is>
          <t>Current health expenditure (% of GDP)</t>
        </is>
      </c>
      <c r="D724" s="3" t="inlineStr">
        <is>
          <t>SH.XPD.CHEX.GD.ZS</t>
        </is>
      </c>
      <c r="E724" s="3" t="n">
        <v>2021</v>
      </c>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c r="AD724" s="3" t="n"/>
      <c r="AE724" s="3" t="n"/>
      <c r="AF724" s="3" t="n"/>
      <c r="AG724" s="3" t="n"/>
      <c r="AH724" s="3" t="n"/>
      <c r="AI724" s="3" t="n"/>
      <c r="AJ724" s="3" t="n"/>
      <c r="AK724" s="3" t="n"/>
      <c r="AL724" s="3" t="n"/>
      <c r="AM724" s="3" t="n"/>
      <c r="AN724" s="3" t="n"/>
      <c r="AO724" s="3" t="n"/>
      <c r="AP724" s="3" t="n"/>
      <c r="AQ724" s="3" t="n"/>
      <c r="AR724" s="3" t="n"/>
      <c r="AS724" s="3" t="n"/>
      <c r="AT724" s="3" t="n">
        <v>8.69525814</v>
      </c>
      <c r="AU724" s="3" t="n">
        <v>7.79659462</v>
      </c>
      <c r="AV724" s="3" t="n">
        <v>8.019484520000001</v>
      </c>
      <c r="AW724" s="3" t="n">
        <v>8.96286488</v>
      </c>
      <c r="AX724" s="3" t="n">
        <v>9.91890907</v>
      </c>
      <c r="AY724" s="3" t="n">
        <v>9.29251766</v>
      </c>
      <c r="AZ724" s="3" t="n">
        <v>9.56446457</v>
      </c>
      <c r="BA724" s="3" t="n">
        <v>9.80653</v>
      </c>
      <c r="BB724" s="3" t="n">
        <v>9.401302340000001</v>
      </c>
      <c r="BC724" s="3" t="n">
        <v>10.30605984</v>
      </c>
      <c r="BD724" s="3" t="n">
        <v>11.61802578</v>
      </c>
      <c r="BE724" s="3" t="n">
        <v>10.86477661</v>
      </c>
      <c r="BF724" s="3" t="n">
        <v>11.4970541</v>
      </c>
      <c r="BG724" s="3" t="n">
        <v>11.97790623</v>
      </c>
      <c r="BH724" s="3" t="n">
        <v>12.12317181</v>
      </c>
      <c r="BI724" s="3" t="n">
        <v>11.33741093</v>
      </c>
      <c r="BJ724" s="3" t="n">
        <v>11.62825298</v>
      </c>
      <c r="BK724" s="3" t="n">
        <v>12.52633381</v>
      </c>
      <c r="BL724" s="3" t="n">
        <v>12.85856915</v>
      </c>
      <c r="BM724" s="3" t="n">
        <v>13.40278435</v>
      </c>
      <c r="BN724" s="3" t="n">
        <v>14.34041405</v>
      </c>
      <c r="BO724" s="3" t="n">
        <v>16.38419533</v>
      </c>
      <c r="BP724" s="3" t="n"/>
      <c r="BQ724" s="3" t="n"/>
      <c r="BR724" s="34" t="str">
        <f>B724&amp;"|"&amp;D724</f>
        <v>PLW|SH.XPD.CHEX.GD.ZS</v>
      </c>
    </row>
    <row r="725">
      <c r="A725" s="3" t="inlineStr">
        <is>
          <t>Papua New Guinea</t>
        </is>
      </c>
      <c r="B725" s="3" t="inlineStr">
        <is>
          <t>PNG</t>
        </is>
      </c>
      <c r="C725" s="3" t="inlineStr">
        <is>
          <t>Current health expenditure (% of GDP)</t>
        </is>
      </c>
      <c r="D725" s="3" t="inlineStr">
        <is>
          <t>SH.XPD.CHEX.GD.ZS</t>
        </is>
      </c>
      <c r="E725" s="3" t="n">
        <v>2021</v>
      </c>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c r="AD725" s="3" t="n"/>
      <c r="AE725" s="3" t="n"/>
      <c r="AF725" s="3" t="n"/>
      <c r="AG725" s="3" t="n"/>
      <c r="AH725" s="3" t="n"/>
      <c r="AI725" s="3" t="n"/>
      <c r="AJ725" s="3" t="n"/>
      <c r="AK725" s="3" t="n"/>
      <c r="AL725" s="3" t="n"/>
      <c r="AM725" s="3" t="n"/>
      <c r="AN725" s="3" t="n"/>
      <c r="AO725" s="3" t="n"/>
      <c r="AP725" s="3" t="n"/>
      <c r="AQ725" s="3" t="n"/>
      <c r="AR725" s="3" t="n"/>
      <c r="AS725" s="3" t="n"/>
      <c r="AT725" s="3" t="n">
        <v>2.0184176</v>
      </c>
      <c r="AU725" s="3" t="n">
        <v>2.3006382</v>
      </c>
      <c r="AV725" s="3" t="n">
        <v>2.77562952</v>
      </c>
      <c r="AW725" s="3" t="n">
        <v>2.4531486</v>
      </c>
      <c r="AX725" s="3" t="n">
        <v>2.59372902</v>
      </c>
      <c r="AY725" s="3" t="n">
        <v>2.44874048</v>
      </c>
      <c r="AZ725" s="3" t="n">
        <v>2.42600322</v>
      </c>
      <c r="BA725" s="3" t="n">
        <v>2.42102122</v>
      </c>
      <c r="BB725" s="3" t="n">
        <v>2.13526058</v>
      </c>
      <c r="BC725" s="3" t="n">
        <v>2.32937527</v>
      </c>
      <c r="BD725" s="3" t="n">
        <v>2.10756016</v>
      </c>
      <c r="BE725" s="3" t="n">
        <v>2.29397798</v>
      </c>
      <c r="BF725" s="3" t="n">
        <v>2.66693544</v>
      </c>
      <c r="BG725" s="3" t="n">
        <v>2.99727893</v>
      </c>
      <c r="BH725" s="3" t="n">
        <v>3.27119064</v>
      </c>
      <c r="BI725" s="3" t="n">
        <v>1.81881714</v>
      </c>
      <c r="BJ725" s="3" t="n">
        <v>2.33063054</v>
      </c>
      <c r="BK725" s="3" t="n">
        <v>2.22970986</v>
      </c>
      <c r="BL725" s="3" t="n">
        <v>2.30051899</v>
      </c>
      <c r="BM725" s="3" t="n">
        <v>2.3253386</v>
      </c>
      <c r="BN725" s="3" t="n">
        <v>2.30193973</v>
      </c>
      <c r="BO725" s="3" t="n">
        <v>2.32032132</v>
      </c>
      <c r="BP725" s="3" t="n"/>
      <c r="BQ725" s="3" t="n"/>
      <c r="BR725" s="34" t="str">
        <f>B725&amp;"|"&amp;D725</f>
        <v>PNG|SH.XPD.CHEX.GD.ZS</v>
      </c>
    </row>
    <row r="726">
      <c r="A726" s="3" t="inlineStr">
        <is>
          <t>Poland</t>
        </is>
      </c>
      <c r="B726" s="3" t="inlineStr">
        <is>
          <t>POL</t>
        </is>
      </c>
      <c r="C726" s="3" t="inlineStr">
        <is>
          <t>Current health expenditure (% of GDP)</t>
        </is>
      </c>
      <c r="D726" s="3" t="inlineStr">
        <is>
          <t>SH.XPD.CHEX.GD.ZS</t>
        </is>
      </c>
      <c r="E726" s="3" t="n">
        <v>2022</v>
      </c>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c r="AD726" s="3" t="n"/>
      <c r="AE726" s="3" t="n"/>
      <c r="AF726" s="3" t="n"/>
      <c r="AG726" s="3" t="n"/>
      <c r="AH726" s="3" t="n"/>
      <c r="AI726" s="3" t="n"/>
      <c r="AJ726" s="3" t="n"/>
      <c r="AK726" s="3" t="n"/>
      <c r="AL726" s="3" t="n"/>
      <c r="AM726" s="3" t="n"/>
      <c r="AN726" s="3" t="n"/>
      <c r="AO726" s="3" t="n"/>
      <c r="AP726" s="3" t="n"/>
      <c r="AQ726" s="3" t="n"/>
      <c r="AR726" s="3" t="n"/>
      <c r="AS726" s="3" t="n"/>
      <c r="AT726" s="3" t="n">
        <v>5.29</v>
      </c>
      <c r="AU726" s="3" t="n">
        <v>5.67</v>
      </c>
      <c r="AV726" s="3" t="n">
        <v>6.07</v>
      </c>
      <c r="AW726" s="3" t="n">
        <v>5.95</v>
      </c>
      <c r="AX726" s="3" t="n">
        <v>5.87</v>
      </c>
      <c r="AY726" s="3" t="n">
        <v>5.81</v>
      </c>
      <c r="AZ726" s="3" t="n">
        <v>5.8</v>
      </c>
      <c r="BA726" s="3" t="n">
        <v>5.87</v>
      </c>
      <c r="BB726" s="3" t="n">
        <v>6.38</v>
      </c>
      <c r="BC726" s="3" t="n">
        <v>6.59</v>
      </c>
      <c r="BD726" s="3" t="n">
        <v>6.47</v>
      </c>
      <c r="BE726" s="3" t="n">
        <v>6.29</v>
      </c>
      <c r="BF726" s="3" t="n">
        <v>6.27</v>
      </c>
      <c r="BG726" s="3" t="n">
        <v>6.48</v>
      </c>
      <c r="BH726" s="3" t="n">
        <v>6.43</v>
      </c>
      <c r="BI726" s="3" t="n">
        <v>6.4</v>
      </c>
      <c r="BJ726" s="3" t="n">
        <v>6.59</v>
      </c>
      <c r="BK726" s="3" t="n">
        <v>6.58</v>
      </c>
      <c r="BL726" s="3" t="n">
        <v>6.31</v>
      </c>
      <c r="BM726" s="3" t="n">
        <v>6.46</v>
      </c>
      <c r="BN726" s="3" t="n">
        <v>6.5</v>
      </c>
      <c r="BO726" s="3" t="n">
        <v>6.44</v>
      </c>
      <c r="BP726" s="3" t="n">
        <v>6.68</v>
      </c>
      <c r="BQ726" s="3" t="n"/>
      <c r="BR726" s="34" t="str">
        <f>B726&amp;"|"&amp;D726</f>
        <v>POL|SH.XPD.CHEX.GD.ZS</v>
      </c>
    </row>
    <row r="727">
      <c r="A727" s="3" t="inlineStr">
        <is>
          <t>Pre-demographic dividend</t>
        </is>
      </c>
      <c r="B727" s="3" t="inlineStr">
        <is>
          <t>PRE</t>
        </is>
      </c>
      <c r="C727" s="3" t="inlineStr">
        <is>
          <t>Current health expenditure (% of GDP)</t>
        </is>
      </c>
      <c r="D727" s="3" t="inlineStr">
        <is>
          <t>SH.XPD.CHEX.GD.ZS</t>
        </is>
      </c>
      <c r="E727" s="3" t="n">
        <v>2021</v>
      </c>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c r="AD727" s="3" t="n"/>
      <c r="AE727" s="3" t="n"/>
      <c r="AF727" s="3" t="n"/>
      <c r="AG727" s="3" t="n"/>
      <c r="AH727" s="3" t="n"/>
      <c r="AI727" s="3" t="n"/>
      <c r="AJ727" s="3" t="n"/>
      <c r="AK727" s="3" t="n"/>
      <c r="AL727" s="3" t="n"/>
      <c r="AM727" s="3" t="n"/>
      <c r="AN727" s="3" t="n"/>
      <c r="AO727" s="3" t="n"/>
      <c r="AP727" s="3" t="n"/>
      <c r="AQ727" s="3" t="n"/>
      <c r="AR727" s="3" t="n"/>
      <c r="AS727" s="3" t="n"/>
      <c r="AT727" s="3" t="n">
        <v>3.472002285912012</v>
      </c>
      <c r="AU727" s="3" t="n">
        <v>3.792073256898852</v>
      </c>
      <c r="AV727" s="3" t="n">
        <v>3.630528870540878</v>
      </c>
      <c r="AW727" s="3" t="n">
        <v>4.500536766863235</v>
      </c>
      <c r="AX727" s="3" t="n">
        <v>4.533523354330898</v>
      </c>
      <c r="AY727" s="3" t="n">
        <v>4.272949566961616</v>
      </c>
      <c r="AZ727" s="3" t="n">
        <v>4.2216316056793</v>
      </c>
      <c r="BA727" s="3" t="n">
        <v>4.162855118888847</v>
      </c>
      <c r="BB727" s="3" t="n">
        <v>3.96980883395269</v>
      </c>
      <c r="BC727" s="3" t="n">
        <v>4.272561320475057</v>
      </c>
      <c r="BD727" s="3" t="n">
        <v>3.862727150525505</v>
      </c>
      <c r="BE727" s="3" t="n">
        <v>3.726005077397689</v>
      </c>
      <c r="BF727" s="3" t="n">
        <v>3.604411323214445</v>
      </c>
      <c r="BG727" s="3" t="n">
        <v>3.750968538074881</v>
      </c>
      <c r="BH727" s="3" t="n">
        <v>3.694586999234377</v>
      </c>
      <c r="BI727" s="3" t="n">
        <v>3.961258776571774</v>
      </c>
      <c r="BJ727" s="3" t="n">
        <v>4.301774961078541</v>
      </c>
      <c r="BK727" s="3" t="n">
        <v>4.164171294863261</v>
      </c>
      <c r="BL727" s="3" t="n">
        <v>3.866600871934188</v>
      </c>
      <c r="BM727" s="3" t="n">
        <v>3.89791958795777</v>
      </c>
      <c r="BN727" s="3" t="n">
        <v>4.454661242187426</v>
      </c>
      <c r="BO727" s="3" t="n">
        <v>4.552758147230115</v>
      </c>
      <c r="BP727" s="3" t="n"/>
      <c r="BQ727" s="3" t="n"/>
      <c r="BR727" s="34" t="str">
        <f>B727&amp;"|"&amp;D727</f>
        <v>PRE|SH.XPD.CHEX.GD.ZS</v>
      </c>
    </row>
    <row r="728">
      <c r="A728" s="3" t="inlineStr">
        <is>
          <t>Puerto Rico</t>
        </is>
      </c>
      <c r="B728" s="3" t="inlineStr">
        <is>
          <t>PRI</t>
        </is>
      </c>
      <c r="C728" s="3" t="inlineStr">
        <is>
          <t>Current health expenditure (% of GDP)</t>
        </is>
      </c>
      <c r="D728" s="3" t="inlineStr">
        <is>
          <t>SH.XPD.CHEX.GD.ZS</t>
        </is>
      </c>
      <c r="E728" s="3" t="inlineStr">
        <is>
          <t>0x2a</t>
        </is>
      </c>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c r="AF728" s="3" t="n"/>
      <c r="AG728" s="3" t="n"/>
      <c r="AH728" s="3" t="n"/>
      <c r="AI728" s="3" t="n"/>
      <c r="AJ728" s="3" t="n"/>
      <c r="AK728" s="3" t="n"/>
      <c r="AL728" s="3" t="n"/>
      <c r="AM728" s="3" t="n"/>
      <c r="AN728" s="3" t="n"/>
      <c r="AO728" s="3" t="n"/>
      <c r="AP728" s="3" t="n"/>
      <c r="AQ728" s="3" t="n"/>
      <c r="AR728" s="3" t="n"/>
      <c r="AS728" s="3" t="n"/>
      <c r="AT728" s="3" t="n"/>
      <c r="AU728" s="3" t="n"/>
      <c r="AV728" s="3" t="n"/>
      <c r="AW728" s="3" t="n"/>
      <c r="AX728" s="3" t="n"/>
      <c r="AY728" s="3" t="n"/>
      <c r="AZ728" s="3" t="n"/>
      <c r="BA728" s="3" t="n"/>
      <c r="BB728" s="3" t="n"/>
      <c r="BC728" s="3" t="n"/>
      <c r="BD728" s="3" t="n"/>
      <c r="BE728" s="3" t="n"/>
      <c r="BF728" s="3" t="n"/>
      <c r="BG728" s="3" t="n"/>
      <c r="BH728" s="3" t="n"/>
      <c r="BI728" s="3" t="n"/>
      <c r="BJ728" s="3" t="n"/>
      <c r="BK728" s="3" t="n"/>
      <c r="BL728" s="3" t="n"/>
      <c r="BM728" s="3" t="n"/>
      <c r="BN728" s="3" t="n"/>
      <c r="BO728" s="3" t="n"/>
      <c r="BP728" s="3" t="n"/>
      <c r="BQ728" s="3" t="n"/>
      <c r="BR728" s="34" t="str">
        <f>B728&amp;"|"&amp;D728</f>
        <v>PRI|SH.XPD.CHEX.GD.ZS</v>
      </c>
    </row>
    <row r="729">
      <c r="A729" s="3" t="inlineStr">
        <is>
          <t>Korea, Dem. People's Rep.</t>
        </is>
      </c>
      <c r="B729" s="3" t="inlineStr">
        <is>
          <t>PRK</t>
        </is>
      </c>
      <c r="C729" s="3" t="inlineStr">
        <is>
          <t>Current health expenditure (% of GDP)</t>
        </is>
      </c>
      <c r="D729" s="3" t="inlineStr">
        <is>
          <t>SH.XPD.CHEX.GD.ZS</t>
        </is>
      </c>
      <c r="E729" s="3" t="inlineStr">
        <is>
          <t>0x2a</t>
        </is>
      </c>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c r="AF729" s="3" t="n"/>
      <c r="AG729" s="3" t="n"/>
      <c r="AH729" s="3" t="n"/>
      <c r="AI729" s="3" t="n"/>
      <c r="AJ729" s="3" t="n"/>
      <c r="AK729" s="3" t="n"/>
      <c r="AL729" s="3" t="n"/>
      <c r="AM729" s="3" t="n"/>
      <c r="AN729" s="3" t="n"/>
      <c r="AO729" s="3" t="n"/>
      <c r="AP729" s="3" t="n"/>
      <c r="AQ729" s="3" t="n"/>
      <c r="AR729" s="3" t="n"/>
      <c r="AS729" s="3" t="n"/>
      <c r="AT729" s="3" t="n"/>
      <c r="AU729" s="3" t="n"/>
      <c r="AV729" s="3" t="n"/>
      <c r="AW729" s="3" t="n"/>
      <c r="AX729" s="3" t="n"/>
      <c r="AY729" s="3" t="n"/>
      <c r="AZ729" s="3" t="n"/>
      <c r="BA729" s="3" t="n"/>
      <c r="BB729" s="3" t="n"/>
      <c r="BC729" s="3" t="n"/>
      <c r="BD729" s="3" t="n"/>
      <c r="BE729" s="3" t="n"/>
      <c r="BF729" s="3" t="n"/>
      <c r="BG729" s="3" t="n"/>
      <c r="BH729" s="3" t="n"/>
      <c r="BI729" s="3" t="n"/>
      <c r="BJ729" s="3" t="n"/>
      <c r="BK729" s="3" t="n"/>
      <c r="BL729" s="3" t="n"/>
      <c r="BM729" s="3" t="n"/>
      <c r="BN729" s="3" t="n"/>
      <c r="BO729" s="3" t="n"/>
      <c r="BP729" s="3" t="n"/>
      <c r="BQ729" s="3" t="n"/>
      <c r="BR729" s="34" t="str">
        <f>B729&amp;"|"&amp;D729</f>
        <v>PRK|SH.XPD.CHEX.GD.ZS</v>
      </c>
    </row>
    <row r="730">
      <c r="A730" s="3" t="inlineStr">
        <is>
          <t>Portugal</t>
        </is>
      </c>
      <c r="B730" s="3" t="inlineStr">
        <is>
          <t>PRT</t>
        </is>
      </c>
      <c r="C730" s="3" t="inlineStr">
        <is>
          <t>Current health expenditure (% of GDP)</t>
        </is>
      </c>
      <c r="D730" s="3" t="inlineStr">
        <is>
          <t>SH.XPD.CHEX.GD.ZS</t>
        </is>
      </c>
      <c r="E730" s="3" t="n">
        <v>2022</v>
      </c>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c r="AF730" s="3" t="n"/>
      <c r="AG730" s="3" t="n"/>
      <c r="AH730" s="3" t="n"/>
      <c r="AI730" s="3" t="n"/>
      <c r="AJ730" s="3" t="n"/>
      <c r="AK730" s="3" t="n"/>
      <c r="AL730" s="3" t="n"/>
      <c r="AM730" s="3" t="n"/>
      <c r="AN730" s="3" t="n"/>
      <c r="AO730" s="3" t="n"/>
      <c r="AP730" s="3" t="n"/>
      <c r="AQ730" s="3" t="n"/>
      <c r="AR730" s="3" t="n"/>
      <c r="AS730" s="3" t="n"/>
      <c r="AT730" s="3" t="n">
        <v>8.6</v>
      </c>
      <c r="AU730" s="3" t="n">
        <v>8.630000000000001</v>
      </c>
      <c r="AV730" s="3" t="n">
        <v>8.789999999999999</v>
      </c>
      <c r="AW730" s="3" t="n">
        <v>9.119999999999999</v>
      </c>
      <c r="AX730" s="3" t="n">
        <v>9.529999999999999</v>
      </c>
      <c r="AY730" s="3" t="n">
        <v>9.65</v>
      </c>
      <c r="AZ730" s="3" t="n">
        <v>9.35</v>
      </c>
      <c r="BA730" s="3" t="n">
        <v>9.25</v>
      </c>
      <c r="BB730" s="3" t="n">
        <v>9.58</v>
      </c>
      <c r="BC730" s="3" t="n">
        <v>10.13</v>
      </c>
      <c r="BD730" s="3" t="n">
        <v>10.03</v>
      </c>
      <c r="BE730" s="3" t="n">
        <v>9.73</v>
      </c>
      <c r="BF730" s="3" t="n">
        <v>9.65</v>
      </c>
      <c r="BG730" s="3" t="n">
        <v>9.4</v>
      </c>
      <c r="BH730" s="3" t="n">
        <v>9.34</v>
      </c>
      <c r="BI730" s="3" t="n">
        <v>9.32</v>
      </c>
      <c r="BJ730" s="3" t="n">
        <v>9.390000000000001</v>
      </c>
      <c r="BK730" s="3" t="n">
        <v>9.31</v>
      </c>
      <c r="BL730" s="3" t="n">
        <v>9.41</v>
      </c>
      <c r="BM730" s="3" t="n">
        <v>9.51</v>
      </c>
      <c r="BN730" s="3" t="n">
        <v>10.55</v>
      </c>
      <c r="BO730" s="3" t="n">
        <v>11.14</v>
      </c>
      <c r="BP730" s="3" t="n">
        <v>10.62</v>
      </c>
      <c r="BQ730" s="3" t="n"/>
      <c r="BR730" s="34" t="str">
        <f>B730&amp;"|"&amp;D730</f>
        <v>PRT|SH.XPD.CHEX.GD.ZS</v>
      </c>
    </row>
    <row r="731">
      <c r="A731" s="3" t="inlineStr">
        <is>
          <t>Paraguay</t>
        </is>
      </c>
      <c r="B731" s="3" t="inlineStr">
        <is>
          <t>PRY</t>
        </is>
      </c>
      <c r="C731" s="3" t="inlineStr">
        <is>
          <t>Current health expenditure (% of GDP)</t>
        </is>
      </c>
      <c r="D731" s="3" t="inlineStr">
        <is>
          <t>SH.XPD.CHEX.GD.ZS</t>
        </is>
      </c>
      <c r="E731" s="3" t="n">
        <v>2021</v>
      </c>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c r="AD731" s="3" t="n"/>
      <c r="AE731" s="3" t="n"/>
      <c r="AF731" s="3" t="n"/>
      <c r="AG731" s="3" t="n"/>
      <c r="AH731" s="3" t="n"/>
      <c r="AI731" s="3" t="n"/>
      <c r="AJ731" s="3" t="n"/>
      <c r="AK731" s="3" t="n"/>
      <c r="AL731" s="3" t="n"/>
      <c r="AM731" s="3" t="n"/>
      <c r="AN731" s="3" t="n"/>
      <c r="AO731" s="3" t="n"/>
      <c r="AP731" s="3" t="n"/>
      <c r="AQ731" s="3" t="n"/>
      <c r="AR731" s="3" t="n"/>
      <c r="AS731" s="3" t="n"/>
      <c r="AT731" s="3" t="n">
        <v>6.01865244</v>
      </c>
      <c r="AU731" s="3" t="n">
        <v>5.60815811</v>
      </c>
      <c r="AV731" s="3" t="n">
        <v>4.75770569</v>
      </c>
      <c r="AW731" s="3" t="n">
        <v>4.90703917</v>
      </c>
      <c r="AX731" s="3" t="n">
        <v>4.93224335</v>
      </c>
      <c r="AY731" s="3" t="n">
        <v>4.82934713</v>
      </c>
      <c r="AZ731" s="3" t="n">
        <v>5.01927567</v>
      </c>
      <c r="BA731" s="3" t="n">
        <v>5.02042723</v>
      </c>
      <c r="BB731" s="3" t="n">
        <v>5.03776026</v>
      </c>
      <c r="BC731" s="3" t="n">
        <v>5.52496862</v>
      </c>
      <c r="BD731" s="3" t="n">
        <v>5.46593952</v>
      </c>
      <c r="BE731" s="3" t="n">
        <v>5.82225847</v>
      </c>
      <c r="BF731" s="3" t="n">
        <v>6.53144598</v>
      </c>
      <c r="BG731" s="3" t="n">
        <v>6.0642848</v>
      </c>
      <c r="BH731" s="3" t="n">
        <v>6.62719059</v>
      </c>
      <c r="BI731" s="3" t="n">
        <v>6.69165802</v>
      </c>
      <c r="BJ731" s="3" t="n">
        <v>6.67556572</v>
      </c>
      <c r="BK731" s="3" t="n">
        <v>6.60902548</v>
      </c>
      <c r="BL731" s="3" t="n">
        <v>6.74497652</v>
      </c>
      <c r="BM731" s="3" t="n">
        <v>7.16081905</v>
      </c>
      <c r="BN731" s="3" t="n">
        <v>7.67533064</v>
      </c>
      <c r="BO731" s="3" t="n">
        <v>8.03277016</v>
      </c>
      <c r="BP731" s="3" t="n"/>
      <c r="BQ731" s="3" t="n"/>
      <c r="BR731" s="34" t="str">
        <f>B731&amp;"|"&amp;D731</f>
        <v>PRY|SH.XPD.CHEX.GD.ZS</v>
      </c>
    </row>
    <row r="732">
      <c r="A732" s="3" t="inlineStr">
        <is>
          <t>West Bank and Gaza</t>
        </is>
      </c>
      <c r="B732" s="3" t="inlineStr">
        <is>
          <t>PSE</t>
        </is>
      </c>
      <c r="C732" s="3" t="inlineStr">
        <is>
          <t>Current health expenditure (% of GDP)</t>
        </is>
      </c>
      <c r="D732" s="3" t="inlineStr">
        <is>
          <t>SH.XPD.CHEX.GD.ZS</t>
        </is>
      </c>
      <c r="E732" s="3" t="inlineStr">
        <is>
          <t>0x2a</t>
        </is>
      </c>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c r="AD732" s="3" t="n"/>
      <c r="AE732" s="3" t="n"/>
      <c r="AF732" s="3" t="n"/>
      <c r="AG732" s="3" t="n"/>
      <c r="AH732" s="3" t="n"/>
      <c r="AI732" s="3" t="n"/>
      <c r="AJ732" s="3" t="n"/>
      <c r="AK732" s="3" t="n"/>
      <c r="AL732" s="3" t="n"/>
      <c r="AM732" s="3" t="n"/>
      <c r="AN732" s="3" t="n"/>
      <c r="AO732" s="3" t="n"/>
      <c r="AP732" s="3" t="n"/>
      <c r="AQ732" s="3" t="n"/>
      <c r="AR732" s="3" t="n"/>
      <c r="AS732" s="3" t="n"/>
      <c r="AT732" s="3" t="n"/>
      <c r="AU732" s="3" t="n"/>
      <c r="AV732" s="3" t="n"/>
      <c r="AW732" s="3" t="n"/>
      <c r="AX732" s="3" t="n"/>
      <c r="AY732" s="3" t="n"/>
      <c r="AZ732" s="3" t="n"/>
      <c r="BA732" s="3" t="n"/>
      <c r="BB732" s="3" t="n"/>
      <c r="BC732" s="3" t="n"/>
      <c r="BD732" s="3" t="n"/>
      <c r="BE732" s="3" t="n"/>
      <c r="BF732" s="3" t="n"/>
      <c r="BG732" s="3" t="n"/>
      <c r="BH732" s="3" t="n"/>
      <c r="BI732" s="3" t="n"/>
      <c r="BJ732" s="3" t="n"/>
      <c r="BK732" s="3" t="n"/>
      <c r="BL732" s="3" t="n"/>
      <c r="BM732" s="3" t="n"/>
      <c r="BN732" s="3" t="n"/>
      <c r="BO732" s="3" t="n"/>
      <c r="BP732" s="3" t="n"/>
      <c r="BQ732" s="3" t="n"/>
      <c r="BR732" s="34" t="str">
        <f>B732&amp;"|"&amp;D732</f>
        <v>PSE|SH.XPD.CHEX.GD.ZS</v>
      </c>
    </row>
    <row r="733">
      <c r="A733" s="3" t="inlineStr">
        <is>
          <t>Pacific island small states</t>
        </is>
      </c>
      <c r="B733" s="3" t="inlineStr">
        <is>
          <t>PSS</t>
        </is>
      </c>
      <c r="C733" s="3" t="inlineStr">
        <is>
          <t>Current health expenditure (% of GDP)</t>
        </is>
      </c>
      <c r="D733" s="3" t="inlineStr">
        <is>
          <t>SH.XPD.CHEX.GD.ZS</t>
        </is>
      </c>
      <c r="E733" s="3" t="n">
        <v>2021</v>
      </c>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c r="AD733" s="3" t="n"/>
      <c r="AE733" s="3" t="n"/>
      <c r="AF733" s="3" t="n"/>
      <c r="AG733" s="3" t="n"/>
      <c r="AH733" s="3" t="n"/>
      <c r="AI733" s="3" t="n"/>
      <c r="AJ733" s="3" t="n"/>
      <c r="AK733" s="3" t="n"/>
      <c r="AL733" s="3" t="n"/>
      <c r="AM733" s="3" t="n"/>
      <c r="AN733" s="3" t="n"/>
      <c r="AO733" s="3" t="n"/>
      <c r="AP733" s="3" t="n"/>
      <c r="AQ733" s="3" t="n"/>
      <c r="AR733" s="3" t="n"/>
      <c r="AS733" s="3" t="n"/>
      <c r="AT733" s="3" t="n">
        <v>4.927226800006118</v>
      </c>
      <c r="AU733" s="3" t="n">
        <v>4.875455765409052</v>
      </c>
      <c r="AV733" s="3" t="n">
        <v>5.122785173192738</v>
      </c>
      <c r="AW733" s="3" t="n">
        <v>4.704636973990312</v>
      </c>
      <c r="AX733" s="3" t="n">
        <v>5.118549576430426</v>
      </c>
      <c r="AY733" s="3" t="n">
        <v>5.585203002477205</v>
      </c>
      <c r="AZ733" s="3" t="n">
        <v>5.312131947861466</v>
      </c>
      <c r="BA733" s="3" t="n">
        <v>5.103286360522379</v>
      </c>
      <c r="BB733" s="3" t="n">
        <v>4.903299416921244</v>
      </c>
      <c r="BC733" s="3" t="n">
        <v>5.344759774314086</v>
      </c>
      <c r="BD733" s="3" t="n">
        <v>5.042701057333076</v>
      </c>
      <c r="BE733" s="3" t="n">
        <v>4.767837269495737</v>
      </c>
      <c r="BF733" s="3" t="n">
        <v>4.852066469417483</v>
      </c>
      <c r="BG733" s="3" t="n">
        <v>4.893789190640771</v>
      </c>
      <c r="BH733" s="3" t="n">
        <v>4.895849604423676</v>
      </c>
      <c r="BI733" s="3" t="n">
        <v>4.939911973092725</v>
      </c>
      <c r="BJ733" s="3" t="n">
        <v>4.857762434237141</v>
      </c>
      <c r="BK733" s="3" t="n">
        <v>4.704290295633077</v>
      </c>
      <c r="BL733" s="3" t="n">
        <v>5.151985393555083</v>
      </c>
      <c r="BM733" s="3" t="n">
        <v>5.394274378514737</v>
      </c>
      <c r="BN733" s="3" t="n">
        <v>6.02423314745949</v>
      </c>
      <c r="BO733" s="3" t="n">
        <v>6.563372661785384</v>
      </c>
      <c r="BP733" s="3" t="n"/>
      <c r="BQ733" s="3" t="n"/>
      <c r="BR733" s="34" t="str">
        <f>B733&amp;"|"&amp;D733</f>
        <v>PSS|SH.XPD.CHEX.GD.ZS</v>
      </c>
    </row>
    <row r="734">
      <c r="A734" s="3" t="inlineStr">
        <is>
          <t>Post-demographic dividend</t>
        </is>
      </c>
      <c r="B734" s="3" t="inlineStr">
        <is>
          <t>PST</t>
        </is>
      </c>
      <c r="C734" s="3" t="inlineStr">
        <is>
          <t>Current health expenditure (% of GDP)</t>
        </is>
      </c>
      <c r="D734" s="3" t="inlineStr">
        <is>
          <t>SH.XPD.CHEX.GD.ZS</t>
        </is>
      </c>
      <c r="E734" s="3" t="n">
        <v>2021</v>
      </c>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c r="AD734" s="3" t="n"/>
      <c r="AE734" s="3" t="n"/>
      <c r="AF734" s="3" t="n"/>
      <c r="AG734" s="3" t="n"/>
      <c r="AH734" s="3" t="n"/>
      <c r="AI734" s="3" t="n"/>
      <c r="AJ734" s="3" t="n"/>
      <c r="AK734" s="3" t="n"/>
      <c r="AL734" s="3" t="n"/>
      <c r="AM734" s="3" t="n"/>
      <c r="AN734" s="3" t="n"/>
      <c r="AO734" s="3" t="n"/>
      <c r="AP734" s="3" t="n"/>
      <c r="AQ734" s="3" t="n"/>
      <c r="AR734" s="3" t="n"/>
      <c r="AS734" s="3" t="n"/>
      <c r="AT734" s="3" t="n">
        <v>9.56873729015618</v>
      </c>
      <c r="AU734" s="3" t="n">
        <v>10.0578231261925</v>
      </c>
      <c r="AV734" s="3" t="n">
        <v>10.49647750170758</v>
      </c>
      <c r="AW734" s="3" t="n">
        <v>10.6936580816891</v>
      </c>
      <c r="AX734" s="3" t="n">
        <v>10.65107717579714</v>
      </c>
      <c r="AY734" s="3" t="n">
        <v>10.73419592642116</v>
      </c>
      <c r="AZ734" s="3" t="n">
        <v>10.82974449818102</v>
      </c>
      <c r="BA734" s="3" t="n">
        <v>10.81034352988243</v>
      </c>
      <c r="BB734" s="3" t="n">
        <v>11.01742123780676</v>
      </c>
      <c r="BC734" s="3" t="n">
        <v>11.95810220032258</v>
      </c>
      <c r="BD734" s="3" t="n">
        <v>11.89753004878741</v>
      </c>
      <c r="BE734" s="3" t="n">
        <v>11.96592011590359</v>
      </c>
      <c r="BF734" s="3" t="n">
        <v>12.11080642439475</v>
      </c>
      <c r="BG734" s="3" t="n">
        <v>12.12109216359214</v>
      </c>
      <c r="BH734" s="3" t="n">
        <v>12.31086227750388</v>
      </c>
      <c r="BI734" s="3" t="n">
        <v>12.70088505330627</v>
      </c>
      <c r="BJ734" s="3" t="n">
        <v>12.85052982545831</v>
      </c>
      <c r="BK734" s="3" t="n">
        <v>12.81071427627072</v>
      </c>
      <c r="BL734" s="3" t="n">
        <v>12.75633115114262</v>
      </c>
      <c r="BM734" s="3" t="n">
        <v>12.95547274975068</v>
      </c>
      <c r="BN734" s="3" t="n">
        <v>14.41206213267038</v>
      </c>
      <c r="BO734" s="3" t="n">
        <v>13.82250349978891</v>
      </c>
      <c r="BP734" s="3" t="n"/>
      <c r="BQ734" s="3" t="n"/>
      <c r="BR734" s="34" t="str">
        <f>B734&amp;"|"&amp;D734</f>
        <v>PST|SH.XPD.CHEX.GD.ZS</v>
      </c>
    </row>
    <row r="735">
      <c r="A735" s="3" t="inlineStr">
        <is>
          <t>French Polynesia</t>
        </is>
      </c>
      <c r="B735" s="3" t="inlineStr">
        <is>
          <t>PYF</t>
        </is>
      </c>
      <c r="C735" s="3" t="inlineStr">
        <is>
          <t>Current health expenditure (% of GDP)</t>
        </is>
      </c>
      <c r="D735" s="3" t="inlineStr">
        <is>
          <t>SH.XPD.CHEX.GD.ZS</t>
        </is>
      </c>
      <c r="E735" s="3" t="inlineStr">
        <is>
          <t>0x2a</t>
        </is>
      </c>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c r="AD735" s="3" t="n"/>
      <c r="AE735" s="3" t="n"/>
      <c r="AF735" s="3" t="n"/>
      <c r="AG735" s="3" t="n"/>
      <c r="AH735" s="3" t="n"/>
      <c r="AI735" s="3" t="n"/>
      <c r="AJ735" s="3" t="n"/>
      <c r="AK735" s="3" t="n"/>
      <c r="AL735" s="3" t="n"/>
      <c r="AM735" s="3" t="n"/>
      <c r="AN735" s="3" t="n"/>
      <c r="AO735" s="3" t="n"/>
      <c r="AP735" s="3" t="n"/>
      <c r="AQ735" s="3" t="n"/>
      <c r="AR735" s="3" t="n"/>
      <c r="AS735" s="3" t="n"/>
      <c r="AT735" s="3" t="n"/>
      <c r="AU735" s="3" t="n"/>
      <c r="AV735" s="3" t="n"/>
      <c r="AW735" s="3" t="n"/>
      <c r="AX735" s="3" t="n"/>
      <c r="AY735" s="3" t="n"/>
      <c r="AZ735" s="3" t="n"/>
      <c r="BA735" s="3" t="n"/>
      <c r="BB735" s="3" t="n"/>
      <c r="BC735" s="3" t="n"/>
      <c r="BD735" s="3" t="n"/>
      <c r="BE735" s="3" t="n"/>
      <c r="BF735" s="3" t="n"/>
      <c r="BG735" s="3" t="n"/>
      <c r="BH735" s="3" t="n"/>
      <c r="BI735" s="3" t="n"/>
      <c r="BJ735" s="3" t="n"/>
      <c r="BK735" s="3" t="n"/>
      <c r="BL735" s="3" t="n"/>
      <c r="BM735" s="3" t="n"/>
      <c r="BN735" s="3" t="n"/>
      <c r="BO735" s="3" t="n"/>
      <c r="BP735" s="3" t="n"/>
      <c r="BQ735" s="3" t="n"/>
      <c r="BR735" s="34" t="str">
        <f>B735&amp;"|"&amp;D735</f>
        <v>PYF|SH.XPD.CHEX.GD.ZS</v>
      </c>
    </row>
    <row r="736">
      <c r="A736" s="3" t="inlineStr">
        <is>
          <t>Qatar</t>
        </is>
      </c>
      <c r="B736" s="3" t="inlineStr">
        <is>
          <t>QAT</t>
        </is>
      </c>
      <c r="C736" s="3" t="inlineStr">
        <is>
          <t>Current health expenditure (% of GDP)</t>
        </is>
      </c>
      <c r="D736" s="3" t="inlineStr">
        <is>
          <t>SH.XPD.CHEX.GD.ZS</t>
        </is>
      </c>
      <c r="E736" s="3" t="n">
        <v>2021</v>
      </c>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c r="AD736" s="3" t="n"/>
      <c r="AE736" s="3" t="n"/>
      <c r="AF736" s="3" t="n"/>
      <c r="AG736" s="3" t="n"/>
      <c r="AH736" s="3" t="n"/>
      <c r="AI736" s="3" t="n"/>
      <c r="AJ736" s="3" t="n"/>
      <c r="AK736" s="3" t="n"/>
      <c r="AL736" s="3" t="n"/>
      <c r="AM736" s="3" t="n"/>
      <c r="AN736" s="3" t="n"/>
      <c r="AO736" s="3" t="n"/>
      <c r="AP736" s="3" t="n"/>
      <c r="AQ736" s="3" t="n"/>
      <c r="AR736" s="3" t="n"/>
      <c r="AS736" s="3" t="n"/>
      <c r="AT736" s="3" t="n">
        <v>1.97258496</v>
      </c>
      <c r="AU736" s="3" t="n">
        <v>2.3197093</v>
      </c>
      <c r="AV736" s="3" t="n">
        <v>2.46044064</v>
      </c>
      <c r="AW736" s="3" t="n">
        <v>3.50257182</v>
      </c>
      <c r="AX736" s="3" t="n">
        <v>3.18311739</v>
      </c>
      <c r="AY736" s="3" t="n">
        <v>2.56300044</v>
      </c>
      <c r="AZ736" s="3" t="n">
        <v>2.288064</v>
      </c>
      <c r="BA736" s="3" t="n">
        <v>2.07008052</v>
      </c>
      <c r="BB736" s="3" t="n">
        <v>1.63775349</v>
      </c>
      <c r="BC736" s="3" t="n">
        <v>2.38356304</v>
      </c>
      <c r="BD736" s="3" t="n">
        <v>1.87017763</v>
      </c>
      <c r="BE736" s="3" t="n">
        <v>1.599962</v>
      </c>
      <c r="BF736" s="3" t="n">
        <v>1.74822152</v>
      </c>
      <c r="BG736" s="3" t="n">
        <v>2.07620168</v>
      </c>
      <c r="BH736" s="3" t="n">
        <v>2.42293572</v>
      </c>
      <c r="BI736" s="3" t="n">
        <v>3.63581347</v>
      </c>
      <c r="BJ736" s="3" t="n">
        <v>3.54971433</v>
      </c>
      <c r="BK736" s="3" t="n">
        <v>3.21237087</v>
      </c>
      <c r="BL736" s="3" t="n">
        <v>2.96176219</v>
      </c>
      <c r="BM736" s="3" t="n">
        <v>3.20278597</v>
      </c>
      <c r="BN736" s="3" t="n">
        <v>3.81872201</v>
      </c>
      <c r="BO736" s="3" t="n">
        <v>2.89366841</v>
      </c>
      <c r="BP736" s="3" t="n"/>
      <c r="BQ736" s="3" t="n"/>
      <c r="BR736" s="34" t="str">
        <f>B736&amp;"|"&amp;D736</f>
        <v>QAT|SH.XPD.CHEX.GD.ZS</v>
      </c>
    </row>
    <row r="737">
      <c r="A737" s="3" t="inlineStr">
        <is>
          <t>Romania</t>
        </is>
      </c>
      <c r="B737" s="3" t="inlineStr">
        <is>
          <t>ROU</t>
        </is>
      </c>
      <c r="C737" s="3" t="inlineStr">
        <is>
          <t>Current health expenditure (% of GDP)</t>
        </is>
      </c>
      <c r="D737" s="3" t="inlineStr">
        <is>
          <t>SH.XPD.CHEX.GD.ZS</t>
        </is>
      </c>
      <c r="E737" s="3" t="n">
        <v>2021</v>
      </c>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c r="AD737" s="3" t="n"/>
      <c r="AE737" s="3" t="n"/>
      <c r="AF737" s="3" t="n"/>
      <c r="AG737" s="3" t="n"/>
      <c r="AH737" s="3" t="n"/>
      <c r="AI737" s="3" t="n"/>
      <c r="AJ737" s="3" t="n"/>
      <c r="AK737" s="3" t="n"/>
      <c r="AL737" s="3" t="n"/>
      <c r="AM737" s="3" t="n"/>
      <c r="AN737" s="3" t="n"/>
      <c r="AO737" s="3" t="n"/>
      <c r="AP737" s="3" t="n"/>
      <c r="AQ737" s="3" t="n"/>
      <c r="AR737" s="3" t="n"/>
      <c r="AS737" s="3" t="n"/>
      <c r="AT737" s="3" t="n">
        <v>4.21</v>
      </c>
      <c r="AU737" s="3" t="n">
        <v>4.38</v>
      </c>
      <c r="AV737" s="3" t="n">
        <v>4.58</v>
      </c>
      <c r="AW737" s="3" t="n">
        <v>5.37</v>
      </c>
      <c r="AX737" s="3" t="n">
        <v>5.48</v>
      </c>
      <c r="AY737" s="3" t="n">
        <v>5.53</v>
      </c>
      <c r="AZ737" s="3" t="n">
        <v>5.07</v>
      </c>
      <c r="BA737" s="3" t="n">
        <v>5.02</v>
      </c>
      <c r="BB737" s="3" t="n">
        <v>5.02</v>
      </c>
      <c r="BC737" s="3" t="n">
        <v>5.28</v>
      </c>
      <c r="BD737" s="3" t="n">
        <v>5.64</v>
      </c>
      <c r="BE737" s="3" t="n">
        <v>4.48</v>
      </c>
      <c r="BF737" s="3" t="n">
        <v>4.51</v>
      </c>
      <c r="BG737" s="3" t="n">
        <v>5.22</v>
      </c>
      <c r="BH737" s="3" t="n">
        <v>5.03</v>
      </c>
      <c r="BI737" s="3" t="n">
        <v>4.94</v>
      </c>
      <c r="BJ737" s="3" t="n">
        <v>5.08</v>
      </c>
      <c r="BK737" s="3" t="n">
        <v>5.19</v>
      </c>
      <c r="BL737" s="3" t="n">
        <v>5.52</v>
      </c>
      <c r="BM737" s="3" t="n">
        <v>5.71</v>
      </c>
      <c r="BN737" s="3" t="n">
        <v>6.23</v>
      </c>
      <c r="BO737" s="3" t="n">
        <v>6.48</v>
      </c>
      <c r="BP737" s="3" t="n"/>
      <c r="BQ737" s="3" t="n"/>
      <c r="BR737" s="34" t="str">
        <f>B737&amp;"|"&amp;D737</f>
        <v>ROU|SH.XPD.CHEX.GD.ZS</v>
      </c>
    </row>
    <row r="738">
      <c r="A738" s="3" t="inlineStr">
        <is>
          <t>Russian Federation</t>
        </is>
      </c>
      <c r="B738" s="3" t="inlineStr">
        <is>
          <t>RUS</t>
        </is>
      </c>
      <c r="C738" s="3" t="inlineStr">
        <is>
          <t>Current health expenditure (% of GDP)</t>
        </is>
      </c>
      <c r="D738" s="3" t="inlineStr">
        <is>
          <t>SH.XPD.CHEX.GD.ZS</t>
        </is>
      </c>
      <c r="E738" s="3" t="n">
        <v>2021</v>
      </c>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c r="AD738" s="3" t="n"/>
      <c r="AE738" s="3" t="n"/>
      <c r="AF738" s="3" t="n"/>
      <c r="AG738" s="3" t="n"/>
      <c r="AH738" s="3" t="n"/>
      <c r="AI738" s="3" t="n"/>
      <c r="AJ738" s="3" t="n"/>
      <c r="AK738" s="3" t="n"/>
      <c r="AL738" s="3" t="n"/>
      <c r="AM738" s="3" t="n"/>
      <c r="AN738" s="3" t="n"/>
      <c r="AO738" s="3" t="n"/>
      <c r="AP738" s="3" t="n"/>
      <c r="AQ738" s="3" t="n"/>
      <c r="AR738" s="3" t="n"/>
      <c r="AS738" s="3" t="n"/>
      <c r="AT738" s="3" t="n">
        <v>5.02</v>
      </c>
      <c r="AU738" s="3" t="n">
        <v>5.24</v>
      </c>
      <c r="AV738" s="3" t="n">
        <v>5.52</v>
      </c>
      <c r="AW738" s="3" t="n">
        <v>5.16</v>
      </c>
      <c r="AX738" s="3" t="n">
        <v>4.76</v>
      </c>
      <c r="AY738" s="3" t="n">
        <v>4.77</v>
      </c>
      <c r="AZ738" s="3" t="n">
        <v>4.77</v>
      </c>
      <c r="BA738" s="3" t="n">
        <v>4.75</v>
      </c>
      <c r="BB738" s="3" t="n">
        <v>4.9</v>
      </c>
      <c r="BC738" s="3" t="n">
        <v>5.64</v>
      </c>
      <c r="BD738" s="3" t="n">
        <v>4.97</v>
      </c>
      <c r="BE738" s="3" t="n">
        <v>4.79</v>
      </c>
      <c r="BF738" s="3" t="n">
        <v>4.94</v>
      </c>
      <c r="BG738" s="3" t="n">
        <v>5.08</v>
      </c>
      <c r="BH738" s="3" t="n">
        <v>5.18</v>
      </c>
      <c r="BI738" s="3" t="n">
        <v>5.3</v>
      </c>
      <c r="BJ738" s="3" t="n">
        <v>5.29</v>
      </c>
      <c r="BK738" s="3" t="n">
        <v>5.36</v>
      </c>
      <c r="BL738" s="3" t="n">
        <v>5.36</v>
      </c>
      <c r="BM738" s="3" t="n">
        <v>5.65</v>
      </c>
      <c r="BN738" s="3" t="n">
        <v>7.57</v>
      </c>
      <c r="BO738" s="3" t="n">
        <v>7.39</v>
      </c>
      <c r="BP738" s="3" t="n"/>
      <c r="BQ738" s="3" t="n"/>
      <c r="BR738" s="34" t="str">
        <f>B738&amp;"|"&amp;D738</f>
        <v>RUS|SH.XPD.CHEX.GD.ZS</v>
      </c>
    </row>
    <row r="739">
      <c r="A739" s="3" t="inlineStr">
        <is>
          <t>Rwanda</t>
        </is>
      </c>
      <c r="B739" s="3" t="inlineStr">
        <is>
          <t>RWA</t>
        </is>
      </c>
      <c r="C739" s="3" t="inlineStr">
        <is>
          <t>Current health expenditure (% of GDP)</t>
        </is>
      </c>
      <c r="D739" s="3" t="inlineStr">
        <is>
          <t>SH.XPD.CHEX.GD.ZS</t>
        </is>
      </c>
      <c r="E739" s="3" t="n">
        <v>2021</v>
      </c>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c r="AF739" s="3" t="n"/>
      <c r="AG739" s="3" t="n"/>
      <c r="AH739" s="3" t="n"/>
      <c r="AI739" s="3" t="n"/>
      <c r="AJ739" s="3" t="n"/>
      <c r="AK739" s="3" t="n"/>
      <c r="AL739" s="3" t="n"/>
      <c r="AM739" s="3" t="n"/>
      <c r="AN739" s="3" t="n"/>
      <c r="AO739" s="3" t="n"/>
      <c r="AP739" s="3" t="n"/>
      <c r="AQ739" s="3" t="n"/>
      <c r="AR739" s="3" t="n"/>
      <c r="AS739" s="3" t="n"/>
      <c r="AT739" s="3" t="n">
        <v>3.57583427</v>
      </c>
      <c r="AU739" s="3" t="n">
        <v>3.31599975</v>
      </c>
      <c r="AV739" s="3" t="n">
        <v>3.13122177</v>
      </c>
      <c r="AW739" s="3" t="n">
        <v>6.93491793</v>
      </c>
      <c r="AX739" s="3" t="n">
        <v>7.50929976</v>
      </c>
      <c r="AY739" s="3" t="n">
        <v>7.72549963</v>
      </c>
      <c r="AZ739" s="3" t="n">
        <v>7.60959911</v>
      </c>
      <c r="BA739" s="3" t="n">
        <v>7.86212587</v>
      </c>
      <c r="BB739" s="3" t="n">
        <v>7.5670433</v>
      </c>
      <c r="BC739" s="3" t="n">
        <v>7.80694866</v>
      </c>
      <c r="BD739" s="3" t="n">
        <v>8.086969379999999</v>
      </c>
      <c r="BE739" s="3" t="n">
        <v>7.93879843</v>
      </c>
      <c r="BF739" s="3" t="n">
        <v>8.10667801</v>
      </c>
      <c r="BG739" s="3" t="n">
        <v>6.77649164</v>
      </c>
      <c r="BH739" s="3" t="n">
        <v>6.98844194</v>
      </c>
      <c r="BI739" s="3" t="n">
        <v>6.65446424</v>
      </c>
      <c r="BJ739" s="3" t="n">
        <v>6.96060848</v>
      </c>
      <c r="BK739" s="3" t="n">
        <v>6.38999748</v>
      </c>
      <c r="BL739" s="3" t="n">
        <v>6.69894743</v>
      </c>
      <c r="BM739" s="3" t="n">
        <v>6.34386826</v>
      </c>
      <c r="BN739" s="3" t="n">
        <v>7.47530079</v>
      </c>
      <c r="BO739" s="3" t="n">
        <v>7.32305002</v>
      </c>
      <c r="BP739" s="3" t="n"/>
      <c r="BQ739" s="3" t="n"/>
      <c r="BR739" s="34" t="str">
        <f>B739&amp;"|"&amp;D739</f>
        <v>RWA|SH.XPD.CHEX.GD.ZS</v>
      </c>
    </row>
    <row r="740">
      <c r="A740" s="3" t="inlineStr">
        <is>
          <t>South Asia</t>
        </is>
      </c>
      <c r="B740" s="3" t="inlineStr">
        <is>
          <t>SAS</t>
        </is>
      </c>
      <c r="C740" s="3" t="inlineStr">
        <is>
          <t>Current health expenditure (% of GDP)</t>
        </is>
      </c>
      <c r="D740" s="3" t="inlineStr">
        <is>
          <t>SH.XPD.CHEX.GD.ZS</t>
        </is>
      </c>
      <c r="E740" s="3" t="n">
        <v>2021</v>
      </c>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c r="AD740" s="3" t="n"/>
      <c r="AE740" s="3" t="n"/>
      <c r="AF740" s="3" t="n"/>
      <c r="AG740" s="3" t="n"/>
      <c r="AH740" s="3" t="n"/>
      <c r="AI740" s="3" t="n"/>
      <c r="AJ740" s="3" t="n"/>
      <c r="AK740" s="3" t="n"/>
      <c r="AL740" s="3" t="n"/>
      <c r="AM740" s="3" t="n"/>
      <c r="AN740" s="3" t="n"/>
      <c r="AO740" s="3" t="n"/>
      <c r="AP740" s="3" t="n"/>
      <c r="AQ740" s="3" t="n"/>
      <c r="AR740" s="3" t="n"/>
      <c r="AS740" s="3" t="n"/>
      <c r="AT740" s="3" t="n">
        <v>3.640314889205472</v>
      </c>
      <c r="AU740" s="3" t="n">
        <v>3.801401341258381</v>
      </c>
      <c r="AV740" s="3" t="n">
        <v>3.863810697932982</v>
      </c>
      <c r="AW740" s="3" t="n">
        <v>3.643047397581477</v>
      </c>
      <c r="AX740" s="3" t="n">
        <v>3.620284779006759</v>
      </c>
      <c r="AY740" s="3" t="n">
        <v>3.55546182573865</v>
      </c>
      <c r="AZ740" s="3" t="n">
        <v>3.489197524319873</v>
      </c>
      <c r="BA740" s="3" t="n">
        <v>3.420050230412607</v>
      </c>
      <c r="BB740" s="3" t="n">
        <v>3.391474763291619</v>
      </c>
      <c r="BC740" s="3" t="n">
        <v>3.372095241953154</v>
      </c>
      <c r="BD740" s="3" t="n">
        <v>3.201848823522308</v>
      </c>
      <c r="BE740" s="3" t="n">
        <v>3.156777799470831</v>
      </c>
      <c r="BF740" s="3" t="n">
        <v>3.20886107190424</v>
      </c>
      <c r="BG740" s="3" t="n">
        <v>3.567703287262918</v>
      </c>
      <c r="BH740" s="3" t="n">
        <v>3.4708383789523</v>
      </c>
      <c r="BI740" s="3" t="n">
        <v>3.452421983687841</v>
      </c>
      <c r="BJ740" s="3" t="n">
        <v>3.38455949256142</v>
      </c>
      <c r="BK740" s="3" t="n">
        <v>2.963607523193737</v>
      </c>
      <c r="BL740" s="3" t="n">
        <v>2.909130888067947</v>
      </c>
      <c r="BM740" s="3" t="n">
        <v>2.980573333406792</v>
      </c>
      <c r="BN740" s="3" t="n">
        <v>3.305409037931338</v>
      </c>
      <c r="BO740" s="3" t="n">
        <v>3.265601845896014</v>
      </c>
      <c r="BP740" s="3" t="n"/>
      <c r="BQ740" s="3" t="n"/>
      <c r="BR740" s="34" t="str">
        <f>B740&amp;"|"&amp;D740</f>
        <v>SAS|SH.XPD.CHEX.GD.ZS</v>
      </c>
    </row>
    <row r="741">
      <c r="A741" s="3" t="inlineStr">
        <is>
          <t>Saudi Arabia</t>
        </is>
      </c>
      <c r="B741" s="3" t="inlineStr">
        <is>
          <t>SAU</t>
        </is>
      </c>
      <c r="C741" s="3" t="inlineStr">
        <is>
          <t>Current health expenditure (% of GDP)</t>
        </is>
      </c>
      <c r="D741" s="3" t="inlineStr">
        <is>
          <t>SH.XPD.CHEX.GD.ZS</t>
        </is>
      </c>
      <c r="E741" s="3" t="n">
        <v>2021</v>
      </c>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c r="AD741" s="3" t="n"/>
      <c r="AE741" s="3" t="n"/>
      <c r="AF741" s="3" t="n"/>
      <c r="AG741" s="3" t="n"/>
      <c r="AH741" s="3" t="n"/>
      <c r="AI741" s="3" t="n"/>
      <c r="AJ741" s="3" t="n"/>
      <c r="AK741" s="3" t="n"/>
      <c r="AL741" s="3" t="n"/>
      <c r="AM741" s="3" t="n"/>
      <c r="AN741" s="3" t="n"/>
      <c r="AO741" s="3" t="n"/>
      <c r="AP741" s="3" t="n"/>
      <c r="AQ741" s="3" t="n"/>
      <c r="AR741" s="3" t="n"/>
      <c r="AS741" s="3" t="n"/>
      <c r="AT741" s="3" t="n">
        <v>4.2115941</v>
      </c>
      <c r="AU741" s="3" t="n">
        <v>4.4617424</v>
      </c>
      <c r="AV741" s="3" t="n">
        <v>4.2493701</v>
      </c>
      <c r="AW741" s="3" t="n">
        <v>3.97910738</v>
      </c>
      <c r="AX741" s="3" t="n">
        <v>3.58400226</v>
      </c>
      <c r="AY741" s="3" t="n">
        <v>3.41866732</v>
      </c>
      <c r="AZ741" s="3" t="n">
        <v>3.6192224</v>
      </c>
      <c r="BA741" s="3" t="n">
        <v>3.56229162</v>
      </c>
      <c r="BB741" s="3" t="n">
        <v>2.97100711</v>
      </c>
      <c r="BC741" s="3" t="n">
        <v>4.29042768</v>
      </c>
      <c r="BD741" s="3" t="n">
        <v>3.64786315</v>
      </c>
      <c r="BE741" s="3" t="n">
        <v>3.68218255</v>
      </c>
      <c r="BF741" s="3" t="n">
        <v>3.98779702</v>
      </c>
      <c r="BG741" s="3" t="n">
        <v>4.42293596</v>
      </c>
      <c r="BH741" s="3" t="n">
        <v>5.15801096</v>
      </c>
      <c r="BI741" s="3" t="n">
        <v>5.86202002</v>
      </c>
      <c r="BJ741" s="3" t="n">
        <v>6.24143076</v>
      </c>
      <c r="BK741" s="3" t="n">
        <v>6.03126049</v>
      </c>
      <c r="BL741" s="3" t="n">
        <v>5.34063101</v>
      </c>
      <c r="BM741" s="3" t="n">
        <v>5.46742678</v>
      </c>
      <c r="BN741" s="3" t="n">
        <v>6.64629889</v>
      </c>
      <c r="BO741" s="3" t="n">
        <v>5.96836901</v>
      </c>
      <c r="BP741" s="3" t="n"/>
      <c r="BQ741" s="3" t="n"/>
      <c r="BR741" s="34" t="str">
        <f>B741&amp;"|"&amp;D741</f>
        <v>SAU|SH.XPD.CHEX.GD.ZS</v>
      </c>
    </row>
    <row r="742">
      <c r="A742" s="3" t="inlineStr">
        <is>
          <t>Sudan</t>
        </is>
      </c>
      <c r="B742" s="3" t="inlineStr">
        <is>
          <t>SDN</t>
        </is>
      </c>
      <c r="C742" s="3" t="inlineStr">
        <is>
          <t>Current health expenditure (% of GDP)</t>
        </is>
      </c>
      <c r="D742" s="3" t="inlineStr">
        <is>
          <t>SH.XPD.CHEX.GD.ZS</t>
        </is>
      </c>
      <c r="E742" s="3" t="n">
        <v>2021</v>
      </c>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c r="AD742" s="3" t="n"/>
      <c r="AE742" s="3" t="n"/>
      <c r="AF742" s="3" t="n"/>
      <c r="AG742" s="3" t="n"/>
      <c r="AH742" s="3" t="n"/>
      <c r="AI742" s="3" t="n"/>
      <c r="AJ742" s="3" t="n"/>
      <c r="AK742" s="3" t="n"/>
      <c r="AL742" s="3" t="n"/>
      <c r="AM742" s="3" t="n"/>
      <c r="AN742" s="3" t="n"/>
      <c r="AO742" s="3" t="n"/>
      <c r="AP742" s="3" t="n"/>
      <c r="AQ742" s="3" t="n"/>
      <c r="AR742" s="3" t="n"/>
      <c r="AS742" s="3" t="n"/>
      <c r="AT742" s="3" t="n">
        <v>3.60664487</v>
      </c>
      <c r="AU742" s="3" t="n">
        <v>3.36456871</v>
      </c>
      <c r="AV742" s="3" t="n">
        <v>3.30010891</v>
      </c>
      <c r="AW742" s="3" t="n">
        <v>3.89187932</v>
      </c>
      <c r="AX742" s="3" t="n">
        <v>4.15593481</v>
      </c>
      <c r="AY742" s="3" t="n">
        <v>4.09418154</v>
      </c>
      <c r="AZ742" s="3" t="n">
        <v>4.88544321</v>
      </c>
      <c r="BA742" s="3" t="n">
        <v>5.66269159</v>
      </c>
      <c r="BB742" s="3" t="n">
        <v>5.42313576</v>
      </c>
      <c r="BC742" s="3" t="n">
        <v>6.39496326</v>
      </c>
      <c r="BD742" s="3" t="n">
        <v>5.05810165</v>
      </c>
      <c r="BE742" s="3" t="n">
        <v>5.61579561</v>
      </c>
      <c r="BF742" s="3" t="n">
        <v>5.68827009</v>
      </c>
      <c r="BG742" s="3" t="n">
        <v>6.96487474</v>
      </c>
      <c r="BH742" s="3" t="n">
        <v>5.67619705</v>
      </c>
      <c r="BI742" s="3" t="n">
        <v>5.81112576</v>
      </c>
      <c r="BJ742" s="3" t="n">
        <v>5.68438482</v>
      </c>
      <c r="BK742" s="3" t="n">
        <v>5.91767406</v>
      </c>
      <c r="BL742" s="3" t="n">
        <v>4.46358299</v>
      </c>
      <c r="BM742" s="3" t="n">
        <v>4.57422638</v>
      </c>
      <c r="BN742" s="3" t="n">
        <v>3.01518917</v>
      </c>
      <c r="BO742" s="3" t="n">
        <v>2.83633852</v>
      </c>
      <c r="BP742" s="3" t="n"/>
      <c r="BQ742" s="3" t="n"/>
      <c r="BR742" s="34" t="str">
        <f>B742&amp;"|"&amp;D742</f>
        <v>SDN|SH.XPD.CHEX.GD.ZS</v>
      </c>
    </row>
    <row r="743">
      <c r="A743" s="3" t="inlineStr">
        <is>
          <t>Senegal</t>
        </is>
      </c>
      <c r="B743" s="3" t="inlineStr">
        <is>
          <t>SEN</t>
        </is>
      </c>
      <c r="C743" s="3" t="inlineStr">
        <is>
          <t>Current health expenditure (% of GDP)</t>
        </is>
      </c>
      <c r="D743" s="3" t="inlineStr">
        <is>
          <t>SH.XPD.CHEX.GD.ZS</t>
        </is>
      </c>
      <c r="E743" s="3" t="n">
        <v>2021</v>
      </c>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c r="AD743" s="3" t="n"/>
      <c r="AE743" s="3" t="n"/>
      <c r="AF743" s="3" t="n"/>
      <c r="AG743" s="3" t="n"/>
      <c r="AH743" s="3" t="n"/>
      <c r="AI743" s="3" t="n"/>
      <c r="AJ743" s="3" t="n"/>
      <c r="AK743" s="3" t="n"/>
      <c r="AL743" s="3" t="n"/>
      <c r="AM743" s="3" t="n"/>
      <c r="AN743" s="3" t="n"/>
      <c r="AO743" s="3" t="n"/>
      <c r="AP743" s="3" t="n"/>
      <c r="AQ743" s="3" t="n"/>
      <c r="AR743" s="3" t="n"/>
      <c r="AS743" s="3" t="n"/>
      <c r="AT743" s="3" t="n">
        <v>3.55015397</v>
      </c>
      <c r="AU743" s="3" t="n">
        <v>3.68148756</v>
      </c>
      <c r="AV743" s="3" t="n">
        <v>3.95294404</v>
      </c>
      <c r="AW743" s="3" t="n">
        <v>4.29703569</v>
      </c>
      <c r="AX743" s="3" t="n">
        <v>4.56856203</v>
      </c>
      <c r="AY743" s="3" t="n">
        <v>3.67466521</v>
      </c>
      <c r="AZ743" s="3" t="n">
        <v>3.76337624</v>
      </c>
      <c r="BA743" s="3" t="n">
        <v>3.41496587</v>
      </c>
      <c r="BB743" s="3" t="n">
        <v>3.50687575</v>
      </c>
      <c r="BC743" s="3" t="n">
        <v>3.841573</v>
      </c>
      <c r="BD743" s="3" t="n">
        <v>4.02764368</v>
      </c>
      <c r="BE743" s="3" t="n">
        <v>4.21416712</v>
      </c>
      <c r="BF743" s="3" t="n">
        <v>4.26688004</v>
      </c>
      <c r="BG743" s="3" t="n">
        <v>4.38573599</v>
      </c>
      <c r="BH743" s="3" t="n">
        <v>4.38962269</v>
      </c>
      <c r="BI743" s="3" t="n">
        <v>4.37789631</v>
      </c>
      <c r="BJ743" s="3" t="n">
        <v>4.25606871</v>
      </c>
      <c r="BK743" s="3" t="n">
        <v>4.16359377</v>
      </c>
      <c r="BL743" s="3" t="n">
        <v>4.43182087</v>
      </c>
      <c r="BM743" s="3" t="n">
        <v>4.49531031</v>
      </c>
      <c r="BN743" s="3" t="n">
        <v>5.15119171</v>
      </c>
      <c r="BO743" s="3" t="n">
        <v>4.35098124</v>
      </c>
      <c r="BP743" s="3" t="n"/>
      <c r="BQ743" s="3" t="n"/>
      <c r="BR743" s="34" t="str">
        <f>B743&amp;"|"&amp;D743</f>
        <v>SEN|SH.XPD.CHEX.GD.ZS</v>
      </c>
    </row>
    <row r="744">
      <c r="A744" s="3" t="inlineStr">
        <is>
          <t>Singapore</t>
        </is>
      </c>
      <c r="B744" s="3" t="inlineStr">
        <is>
          <t>SGP</t>
        </is>
      </c>
      <c r="C744" s="3" t="inlineStr">
        <is>
          <t>Current health expenditure (% of GDP)</t>
        </is>
      </c>
      <c r="D744" s="3" t="inlineStr">
        <is>
          <t>SH.XPD.CHEX.GD.ZS</t>
        </is>
      </c>
      <c r="E744" s="3" t="n">
        <v>2021</v>
      </c>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c r="AD744" s="3" t="n"/>
      <c r="AE744" s="3" t="n"/>
      <c r="AF744" s="3" t="n"/>
      <c r="AG744" s="3" t="n"/>
      <c r="AH744" s="3" t="n"/>
      <c r="AI744" s="3" t="n"/>
      <c r="AJ744" s="3" t="n"/>
      <c r="AK744" s="3" t="n"/>
      <c r="AL744" s="3" t="n"/>
      <c r="AM744" s="3" t="n"/>
      <c r="AN744" s="3" t="n"/>
      <c r="AO744" s="3" t="n"/>
      <c r="AP744" s="3" t="n"/>
      <c r="AQ744" s="3" t="n"/>
      <c r="AR744" s="3" t="n"/>
      <c r="AS744" s="3" t="n"/>
      <c r="AT744" s="3" t="n">
        <v>3.343364</v>
      </c>
      <c r="AU744" s="3" t="n">
        <v>3.16302657</v>
      </c>
      <c r="AV744" s="3" t="n">
        <v>3.358464</v>
      </c>
      <c r="AW744" s="3" t="n">
        <v>3.60699272</v>
      </c>
      <c r="AX744" s="3" t="n">
        <v>3.15019798</v>
      </c>
      <c r="AY744" s="3" t="n">
        <v>3.03367925</v>
      </c>
      <c r="AZ744" s="3" t="n">
        <v>2.9347465</v>
      </c>
      <c r="BA744" s="3" t="n">
        <v>2.83749056</v>
      </c>
      <c r="BB744" s="3" t="n">
        <v>3.19488454</v>
      </c>
      <c r="BC744" s="3" t="n">
        <v>3.39853096</v>
      </c>
      <c r="BD744" s="3" t="n">
        <v>3.20265388</v>
      </c>
      <c r="BE744" s="3" t="n">
        <v>3.15792179</v>
      </c>
      <c r="BF744" s="3" t="n">
        <v>3.32783675</v>
      </c>
      <c r="BG744" s="3" t="n">
        <v>3.68562651</v>
      </c>
      <c r="BH744" s="3" t="n">
        <v>3.87155652</v>
      </c>
      <c r="BI744" s="3" t="n">
        <v>4.18069839</v>
      </c>
      <c r="BJ744" s="3" t="n">
        <v>4.38810682</v>
      </c>
      <c r="BK744" s="3" t="n">
        <v>4.36493397</v>
      </c>
      <c r="BL744" s="3" t="n">
        <v>4.07545424</v>
      </c>
      <c r="BM744" s="3" t="n">
        <v>4.39938164</v>
      </c>
      <c r="BN744" s="3" t="n">
        <v>5.71281767</v>
      </c>
      <c r="BO744" s="3" t="n">
        <v>5.56525183</v>
      </c>
      <c r="BP744" s="3" t="n"/>
      <c r="BQ744" s="3" t="n"/>
      <c r="BR744" s="34" t="str">
        <f>B744&amp;"|"&amp;D744</f>
        <v>SGP|SH.XPD.CHEX.GD.ZS</v>
      </c>
    </row>
    <row r="745">
      <c r="A745" s="3" t="inlineStr">
        <is>
          <t>Solomon Islands</t>
        </is>
      </c>
      <c r="B745" s="3" t="inlineStr">
        <is>
          <t>SLB</t>
        </is>
      </c>
      <c r="C745" s="3" t="inlineStr">
        <is>
          <t>Current health expenditure (% of GDP)</t>
        </is>
      </c>
      <c r="D745" s="3" t="inlineStr">
        <is>
          <t>SH.XPD.CHEX.GD.ZS</t>
        </is>
      </c>
      <c r="E745" s="3" t="n">
        <v>2021</v>
      </c>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c r="AD745" s="3" t="n"/>
      <c r="AE745" s="3" t="n"/>
      <c r="AF745" s="3" t="n"/>
      <c r="AG745" s="3" t="n"/>
      <c r="AH745" s="3" t="n"/>
      <c r="AI745" s="3" t="n"/>
      <c r="AJ745" s="3" t="n"/>
      <c r="AK745" s="3" t="n"/>
      <c r="AL745" s="3" t="n"/>
      <c r="AM745" s="3" t="n"/>
      <c r="AN745" s="3" t="n"/>
      <c r="AO745" s="3" t="n"/>
      <c r="AP745" s="3" t="n"/>
      <c r="AQ745" s="3" t="n"/>
      <c r="AR745" s="3" t="n"/>
      <c r="AS745" s="3" t="n"/>
      <c r="AT745" s="3" t="n">
        <v>4.82626629</v>
      </c>
      <c r="AU745" s="3" t="n">
        <v>6.60538721</v>
      </c>
      <c r="AV745" s="3" t="n">
        <v>10.10495281</v>
      </c>
      <c r="AW745" s="3" t="n">
        <v>7.075634</v>
      </c>
      <c r="AX745" s="3" t="n">
        <v>7.72383881</v>
      </c>
      <c r="AY745" s="3" t="n">
        <v>9.015934939999999</v>
      </c>
      <c r="AZ745" s="3" t="n">
        <v>8.005846979999999</v>
      </c>
      <c r="BA745" s="3" t="n">
        <v>7.18298769</v>
      </c>
      <c r="BB745" s="3" t="n">
        <v>5.50597048</v>
      </c>
      <c r="BC745" s="3" t="n">
        <v>6.60598898</v>
      </c>
      <c r="BD745" s="3" t="n">
        <v>4.66139841</v>
      </c>
      <c r="BE745" s="3" t="n">
        <v>5.02313328</v>
      </c>
      <c r="BF745" s="3" t="n">
        <v>4.87480497</v>
      </c>
      <c r="BG745" s="3" t="n">
        <v>4.57886171</v>
      </c>
      <c r="BH745" s="3" t="n">
        <v>4.88791895</v>
      </c>
      <c r="BI745" s="3" t="n">
        <v>4.44578695</v>
      </c>
      <c r="BJ745" s="3" t="n">
        <v>4.40253973</v>
      </c>
      <c r="BK745" s="3" t="n">
        <v>4.14992523</v>
      </c>
      <c r="BL745" s="3" t="n">
        <v>3.77378345</v>
      </c>
      <c r="BM745" s="3" t="n">
        <v>4.32405567</v>
      </c>
      <c r="BN745" s="3" t="n">
        <v>4.79699087</v>
      </c>
      <c r="BO745" s="3" t="n">
        <v>4.76345396</v>
      </c>
      <c r="BP745" s="3" t="n"/>
      <c r="BQ745" s="3" t="n"/>
      <c r="BR745" s="34" t="str">
        <f>B745&amp;"|"&amp;D745</f>
        <v>SLB|SH.XPD.CHEX.GD.ZS</v>
      </c>
    </row>
    <row r="746">
      <c r="A746" s="3" t="inlineStr">
        <is>
          <t>Sierra Leone</t>
        </is>
      </c>
      <c r="B746" s="3" t="inlineStr">
        <is>
          <t>SLE</t>
        </is>
      </c>
      <c r="C746" s="3" t="inlineStr">
        <is>
          <t>Current health expenditure (% of GDP)</t>
        </is>
      </c>
      <c r="D746" s="3" t="inlineStr">
        <is>
          <t>SH.XPD.CHEX.GD.ZS</t>
        </is>
      </c>
      <c r="E746" s="3" t="n">
        <v>2021</v>
      </c>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c r="AD746" s="3" t="n"/>
      <c r="AE746" s="3" t="n"/>
      <c r="AF746" s="3" t="n"/>
      <c r="AG746" s="3" t="n"/>
      <c r="AH746" s="3" t="n"/>
      <c r="AI746" s="3" t="n"/>
      <c r="AJ746" s="3" t="n"/>
      <c r="AK746" s="3" t="n"/>
      <c r="AL746" s="3" t="n"/>
      <c r="AM746" s="3" t="n"/>
      <c r="AN746" s="3" t="n"/>
      <c r="AO746" s="3" t="n"/>
      <c r="AP746" s="3" t="n"/>
      <c r="AQ746" s="3" t="n"/>
      <c r="AR746" s="3" t="n"/>
      <c r="AS746" s="3" t="n"/>
      <c r="AT746" s="3" t="n">
        <v>8.48961735</v>
      </c>
      <c r="AU746" s="3" t="n">
        <v>8.365645410000001</v>
      </c>
      <c r="AV746" s="3" t="n">
        <v>9.40313911</v>
      </c>
      <c r="AW746" s="3" t="n">
        <v>8.4533062</v>
      </c>
      <c r="AX746" s="3" t="n">
        <v>8.670614240000001</v>
      </c>
      <c r="AY746" s="3" t="n">
        <v>9.043958659999999</v>
      </c>
      <c r="AZ746" s="3" t="n">
        <v>9.02353287</v>
      </c>
      <c r="BA746" s="3" t="n">
        <v>8.522838589999999</v>
      </c>
      <c r="BB746" s="3" t="n">
        <v>8.811581609999999</v>
      </c>
      <c r="BC746" s="3" t="n">
        <v>9.684222220000001</v>
      </c>
      <c r="BD746" s="3" t="n">
        <v>9.126883510000001</v>
      </c>
      <c r="BE746" s="3" t="n">
        <v>10.76753807</v>
      </c>
      <c r="BF746" s="3" t="n">
        <v>8.943551060000001</v>
      </c>
      <c r="BG746" s="3" t="n">
        <v>11.59017754</v>
      </c>
      <c r="BH746" s="3" t="n">
        <v>19.69004631</v>
      </c>
      <c r="BI746" s="3" t="n">
        <v>19.65816307</v>
      </c>
      <c r="BJ746" s="3" t="n">
        <v>15.78850651</v>
      </c>
      <c r="BK746" s="3" t="n">
        <v>9.3997612</v>
      </c>
      <c r="BL746" s="3" t="n">
        <v>8.28987598</v>
      </c>
      <c r="BM746" s="3" t="n">
        <v>9.129926680000001</v>
      </c>
      <c r="BN746" s="3" t="n">
        <v>9.325886730000001</v>
      </c>
      <c r="BO746" s="3" t="n">
        <v>8.553342819999999</v>
      </c>
      <c r="BP746" s="3" t="n"/>
      <c r="BQ746" s="3" t="n"/>
      <c r="BR746" s="34" t="str">
        <f>B746&amp;"|"&amp;D746</f>
        <v>SLE|SH.XPD.CHEX.GD.ZS</v>
      </c>
    </row>
    <row r="747">
      <c r="A747" s="3" t="inlineStr">
        <is>
          <t>El Salvador</t>
        </is>
      </c>
      <c r="B747" s="3" t="inlineStr">
        <is>
          <t>SLV</t>
        </is>
      </c>
      <c r="C747" s="3" t="inlineStr">
        <is>
          <t>Current health expenditure (% of GDP)</t>
        </is>
      </c>
      <c r="D747" s="3" t="inlineStr">
        <is>
          <t>SH.XPD.CHEX.GD.ZS</t>
        </is>
      </c>
      <c r="E747" s="3" t="n">
        <v>2021</v>
      </c>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c r="AD747" s="3" t="n"/>
      <c r="AE747" s="3" t="n"/>
      <c r="AF747" s="3" t="n"/>
      <c r="AG747" s="3" t="n"/>
      <c r="AH747" s="3" t="n"/>
      <c r="AI747" s="3" t="n"/>
      <c r="AJ747" s="3" t="n"/>
      <c r="AK747" s="3" t="n"/>
      <c r="AL747" s="3" t="n"/>
      <c r="AM747" s="3" t="n"/>
      <c r="AN747" s="3" t="n"/>
      <c r="AO747" s="3" t="n"/>
      <c r="AP747" s="3" t="n"/>
      <c r="AQ747" s="3" t="n"/>
      <c r="AR747" s="3" t="n"/>
      <c r="AS747" s="3" t="n"/>
      <c r="AT747" s="3" t="n">
        <v>7.84342813</v>
      </c>
      <c r="AU747" s="3" t="n">
        <v>7.88604879</v>
      </c>
      <c r="AV747" s="3" t="n">
        <v>7.88565731</v>
      </c>
      <c r="AW747" s="3" t="n">
        <v>7.77182293</v>
      </c>
      <c r="AX747" s="3" t="n">
        <v>8.130216600000001</v>
      </c>
      <c r="AY747" s="3" t="n">
        <v>9.20057869</v>
      </c>
      <c r="AZ747" s="3" t="n">
        <v>8.69338894</v>
      </c>
      <c r="BA747" s="3" t="n">
        <v>8.47836304</v>
      </c>
      <c r="BB747" s="3" t="n">
        <v>8.495859149999999</v>
      </c>
      <c r="BC747" s="3" t="n">
        <v>8.837496760000001</v>
      </c>
      <c r="BD747" s="3" t="n">
        <v>8.90416241</v>
      </c>
      <c r="BE747" s="3" t="n">
        <v>8.876454349999999</v>
      </c>
      <c r="BF747" s="3" t="n">
        <v>8.60625362</v>
      </c>
      <c r="BG747" s="3" t="n">
        <v>9.052359579999999</v>
      </c>
      <c r="BH747" s="3" t="n">
        <v>8.5989418</v>
      </c>
      <c r="BI747" s="3" t="n">
        <v>8.75833225</v>
      </c>
      <c r="BJ747" s="3" t="n">
        <v>8.71456337</v>
      </c>
      <c r="BK747" s="3" t="n">
        <v>8.422868729999999</v>
      </c>
      <c r="BL747" s="3" t="n">
        <v>8.322751999999999</v>
      </c>
      <c r="BM747" s="3" t="n">
        <v>8.808461189999999</v>
      </c>
      <c r="BN747" s="3" t="n">
        <v>9.08151054</v>
      </c>
      <c r="BO747" s="3" t="n">
        <v>9.71643353</v>
      </c>
      <c r="BP747" s="3" t="n"/>
      <c r="BQ747" s="3" t="n"/>
      <c r="BR747" s="34" t="str">
        <f>B747&amp;"|"&amp;D747</f>
        <v>SLV|SH.XPD.CHEX.GD.ZS</v>
      </c>
    </row>
    <row r="748">
      <c r="A748" s="3" t="inlineStr">
        <is>
          <t>San Marino</t>
        </is>
      </c>
      <c r="B748" s="3" t="inlineStr">
        <is>
          <t>SMR</t>
        </is>
      </c>
      <c r="C748" s="3" t="inlineStr">
        <is>
          <t>Current health expenditure (% of GDP)</t>
        </is>
      </c>
      <c r="D748" s="3" t="inlineStr">
        <is>
          <t>SH.XPD.CHEX.GD.ZS</t>
        </is>
      </c>
      <c r="E748" s="3" t="n">
        <v>2021</v>
      </c>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c r="AD748" s="3" t="n"/>
      <c r="AE748" s="3" t="n"/>
      <c r="AF748" s="3" t="n"/>
      <c r="AG748" s="3" t="n"/>
      <c r="AH748" s="3" t="n"/>
      <c r="AI748" s="3" t="n"/>
      <c r="AJ748" s="3" t="n"/>
      <c r="AK748" s="3" t="n"/>
      <c r="AL748" s="3" t="n"/>
      <c r="AM748" s="3" t="n"/>
      <c r="AN748" s="3" t="n"/>
      <c r="AO748" s="3" t="n"/>
      <c r="AP748" s="3" t="n"/>
      <c r="AQ748" s="3" t="n"/>
      <c r="AR748" s="3" t="n"/>
      <c r="AS748" s="3" t="n"/>
      <c r="AT748" s="3" t="n"/>
      <c r="AU748" s="3" t="n">
        <v>5.64127541</v>
      </c>
      <c r="AV748" s="3" t="n">
        <v>5.39155769</v>
      </c>
      <c r="AW748" s="3" t="n">
        <v>4.77200127</v>
      </c>
      <c r="AX748" s="3" t="n">
        <v>4.86479282</v>
      </c>
      <c r="AY748" s="3" t="n">
        <v>4.88683653</v>
      </c>
      <c r="AZ748" s="3" t="n">
        <v>4.91361904</v>
      </c>
      <c r="BA748" s="3" t="n">
        <v>5.09587288</v>
      </c>
      <c r="BB748" s="3" t="n">
        <v>5.41110897</v>
      </c>
      <c r="BC748" s="3" t="n">
        <v>6.18409586</v>
      </c>
      <c r="BD748" s="3" t="n">
        <v>6.20853519</v>
      </c>
      <c r="BE748" s="3" t="n">
        <v>8.070728300000001</v>
      </c>
      <c r="BF748" s="3" t="n">
        <v>8.988837240000001</v>
      </c>
      <c r="BG748" s="3" t="n">
        <v>8.23800278</v>
      </c>
      <c r="BH748" s="3" t="n">
        <v>8.300917630000001</v>
      </c>
      <c r="BI748" s="3" t="n">
        <v>8.433153150000001</v>
      </c>
      <c r="BJ748" s="3" t="n">
        <v>8.421953200000001</v>
      </c>
      <c r="BK748" s="3" t="n">
        <v>8.25972271</v>
      </c>
      <c r="BL748" s="3" t="n">
        <v>8.2778492</v>
      </c>
      <c r="BM748" s="3" t="n">
        <v>8.14801598</v>
      </c>
      <c r="BN748" s="3" t="n">
        <v>8.481473920000001</v>
      </c>
      <c r="BO748" s="3" t="n">
        <v>7.97527838</v>
      </c>
      <c r="BP748" s="3" t="n"/>
      <c r="BQ748" s="3" t="n"/>
      <c r="BR748" s="34" t="str">
        <f>B748&amp;"|"&amp;D748</f>
        <v>SMR|SH.XPD.CHEX.GD.ZS</v>
      </c>
    </row>
    <row r="749">
      <c r="A749" s="3" t="inlineStr">
        <is>
          <t>Somalia</t>
        </is>
      </c>
      <c r="B749" s="3" t="inlineStr">
        <is>
          <t>SOM</t>
        </is>
      </c>
      <c r="C749" s="3" t="inlineStr">
        <is>
          <t>Current health expenditure (% of GDP)</t>
        </is>
      </c>
      <c r="D749" s="3" t="inlineStr">
        <is>
          <t>SH.XPD.CHEX.GD.ZS</t>
        </is>
      </c>
      <c r="E749" s="3" t="inlineStr">
        <is>
          <t>0x2a</t>
        </is>
      </c>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c r="AD749" s="3" t="n"/>
      <c r="AE749" s="3" t="n"/>
      <c r="AF749" s="3" t="n"/>
      <c r="AG749" s="3" t="n"/>
      <c r="AH749" s="3" t="n"/>
      <c r="AI749" s="3" t="n"/>
      <c r="AJ749" s="3" t="n"/>
      <c r="AK749" s="3" t="n"/>
      <c r="AL749" s="3" t="n"/>
      <c r="AM749" s="3" t="n"/>
      <c r="AN749" s="3" t="n"/>
      <c r="AO749" s="3" t="n"/>
      <c r="AP749" s="3" t="n"/>
      <c r="AQ749" s="3" t="n"/>
      <c r="AR749" s="3" t="n"/>
      <c r="AS749" s="3" t="n"/>
      <c r="AT749" s="3" t="n"/>
      <c r="AU749" s="3" t="n"/>
      <c r="AV749" s="3" t="n"/>
      <c r="AW749" s="3" t="n"/>
      <c r="AX749" s="3" t="n"/>
      <c r="AY749" s="3" t="n"/>
      <c r="AZ749" s="3" t="n"/>
      <c r="BA749" s="3" t="n"/>
      <c r="BB749" s="3" t="n"/>
      <c r="BC749" s="3" t="n"/>
      <c r="BD749" s="3" t="n"/>
      <c r="BE749" s="3" t="n"/>
      <c r="BF749" s="3" t="n"/>
      <c r="BG749" s="3" t="n"/>
      <c r="BH749" s="3" t="n"/>
      <c r="BI749" s="3" t="n"/>
      <c r="BJ749" s="3" t="n"/>
      <c r="BK749" s="3" t="n"/>
      <c r="BL749" s="3" t="n"/>
      <c r="BM749" s="3" t="n"/>
      <c r="BN749" s="3" t="n"/>
      <c r="BO749" s="3" t="n"/>
      <c r="BP749" s="3" t="n"/>
      <c r="BQ749" s="3" t="n"/>
      <c r="BR749" s="34" t="str">
        <f>B749&amp;"|"&amp;D749</f>
        <v>SOM|SH.XPD.CHEX.GD.ZS</v>
      </c>
    </row>
    <row r="750">
      <c r="A750" s="3" t="inlineStr">
        <is>
          <t>Serbia</t>
        </is>
      </c>
      <c r="B750" s="3" t="inlineStr">
        <is>
          <t>SRB</t>
        </is>
      </c>
      <c r="C750" s="3" t="inlineStr">
        <is>
          <t>Current health expenditure (% of GDP)</t>
        </is>
      </c>
      <c r="D750" s="3" t="inlineStr">
        <is>
          <t>SH.XPD.CHEX.GD.ZS</t>
        </is>
      </c>
      <c r="E750" s="3" t="n">
        <v>2021</v>
      </c>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c r="AD750" s="3" t="n"/>
      <c r="AE750" s="3" t="n"/>
      <c r="AF750" s="3" t="n"/>
      <c r="AG750" s="3" t="n"/>
      <c r="AH750" s="3" t="n"/>
      <c r="AI750" s="3" t="n"/>
      <c r="AJ750" s="3" t="n"/>
      <c r="AK750" s="3" t="n"/>
      <c r="AL750" s="3" t="n"/>
      <c r="AM750" s="3" t="n"/>
      <c r="AN750" s="3" t="n"/>
      <c r="AO750" s="3" t="n"/>
      <c r="AP750" s="3" t="n"/>
      <c r="AQ750" s="3" t="n"/>
      <c r="AR750" s="3" t="n"/>
      <c r="AS750" s="3" t="n"/>
      <c r="AT750" s="3" t="n">
        <v>6.18360472</v>
      </c>
      <c r="AU750" s="3" t="n">
        <v>6.49679995</v>
      </c>
      <c r="AV750" s="3" t="n">
        <v>7.59296274</v>
      </c>
      <c r="AW750" s="3" t="n">
        <v>7.66696072</v>
      </c>
      <c r="AX750" s="3" t="n">
        <v>7.84200048</v>
      </c>
      <c r="AY750" s="3" t="n">
        <v>8.28380585</v>
      </c>
      <c r="AZ750" s="3" t="n">
        <v>8.493904110000001</v>
      </c>
      <c r="BA750" s="3" t="n">
        <v>9.376492499999999</v>
      </c>
      <c r="BB750" s="3" t="n">
        <v>9.48246479</v>
      </c>
      <c r="BC750" s="3" t="n">
        <v>9.34623528</v>
      </c>
      <c r="BD750" s="3" t="n">
        <v>9.527303699999999</v>
      </c>
      <c r="BE750" s="3" t="n">
        <v>9.113803860000001</v>
      </c>
      <c r="BF750" s="3" t="n">
        <v>9.328204149999999</v>
      </c>
      <c r="BG750" s="3" t="n">
        <v>9.312324520000001</v>
      </c>
      <c r="BH750" s="3" t="n">
        <v>9.24598789</v>
      </c>
      <c r="BI750" s="3" t="n">
        <v>8.81319809</v>
      </c>
      <c r="BJ750" s="3" t="n">
        <v>8.45890999</v>
      </c>
      <c r="BK750" s="3" t="n">
        <v>8.22039318</v>
      </c>
      <c r="BL750" s="3" t="n">
        <v>8.53168106</v>
      </c>
      <c r="BM750" s="3" t="n">
        <v>8.665527340000001</v>
      </c>
      <c r="BN750" s="3" t="n">
        <v>8.700421329999999</v>
      </c>
      <c r="BO750" s="3" t="n">
        <v>10.0125246</v>
      </c>
      <c r="BP750" s="3" t="n"/>
      <c r="BQ750" s="3" t="n"/>
      <c r="BR750" s="34" t="str">
        <f>B750&amp;"|"&amp;D750</f>
        <v>SRB|SH.XPD.CHEX.GD.ZS</v>
      </c>
    </row>
    <row r="751">
      <c r="A751" s="3" t="inlineStr">
        <is>
          <t>Sub-Saharan Africa (excluding high income)</t>
        </is>
      </c>
      <c r="B751" s="3" t="inlineStr">
        <is>
          <t>SSA</t>
        </is>
      </c>
      <c r="C751" s="3" t="inlineStr">
        <is>
          <t>Current health expenditure (% of GDP)</t>
        </is>
      </c>
      <c r="D751" s="3" t="inlineStr">
        <is>
          <t>SH.XPD.CHEX.GD.ZS</t>
        </is>
      </c>
      <c r="E751" s="3" t="n">
        <v>2021</v>
      </c>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c r="AD751" s="3" t="n"/>
      <c r="AE751" s="3" t="n"/>
      <c r="AF751" s="3" t="n"/>
      <c r="AG751" s="3" t="n"/>
      <c r="AH751" s="3" t="n"/>
      <c r="AI751" s="3" t="n"/>
      <c r="AJ751" s="3" t="n"/>
      <c r="AK751" s="3" t="n"/>
      <c r="AL751" s="3" t="n"/>
      <c r="AM751" s="3" t="n"/>
      <c r="AN751" s="3" t="n"/>
      <c r="AO751" s="3" t="n"/>
      <c r="AP751" s="3" t="n"/>
      <c r="AQ751" s="3" t="n"/>
      <c r="AR751" s="3" t="n"/>
      <c r="AS751" s="3" t="n"/>
      <c r="AT751" s="3" t="n">
        <v>4.992813387382363</v>
      </c>
      <c r="AU751" s="3" t="n">
        <v>5.026846107497149</v>
      </c>
      <c r="AV751" s="3" t="n">
        <v>4.587765465862155</v>
      </c>
      <c r="AW751" s="3" t="n">
        <v>5.4962408989355</v>
      </c>
      <c r="AX751" s="3" t="n">
        <v>5.479950376263113</v>
      </c>
      <c r="AY751" s="3" t="n">
        <v>5.292955406470811</v>
      </c>
      <c r="AZ751" s="3" t="n">
        <v>5.201992900042587</v>
      </c>
      <c r="BA751" s="3" t="n">
        <v>5.100515469032262</v>
      </c>
      <c r="BB751" s="3" t="n">
        <v>4.892347807891995</v>
      </c>
      <c r="BC751" s="3" t="n">
        <v>5.288366762149957</v>
      </c>
      <c r="BD751" s="3" t="n">
        <v>5.21274266284679</v>
      </c>
      <c r="BE751" s="3" t="n">
        <v>5.155175215793499</v>
      </c>
      <c r="BF751" s="3" t="n">
        <v>4.985745755814779</v>
      </c>
      <c r="BG751" s="3" t="n">
        <v>4.966205145242219</v>
      </c>
      <c r="BH751" s="3" t="n">
        <v>4.750288109495714</v>
      </c>
      <c r="BI751" s="3" t="n">
        <v>4.974445365785122</v>
      </c>
      <c r="BJ751" s="3" t="n">
        <v>5.042054886227749</v>
      </c>
      <c r="BK751" s="3" t="n">
        <v>5.044917168152352</v>
      </c>
      <c r="BL751" s="3" t="n">
        <v>4.774716775940383</v>
      </c>
      <c r="BM751" s="3" t="n">
        <v>4.734024950894296</v>
      </c>
      <c r="BN751" s="3" t="n">
        <v>4.935148986144652</v>
      </c>
      <c r="BO751" s="3" t="n">
        <v>5.103503708550773</v>
      </c>
      <c r="BP751" s="3" t="n"/>
      <c r="BQ751" s="3" t="n"/>
      <c r="BR751" s="34" t="str">
        <f>B751&amp;"|"&amp;D751</f>
        <v>SSA|SH.XPD.CHEX.GD.ZS</v>
      </c>
    </row>
    <row r="752">
      <c r="A752" s="3" t="inlineStr">
        <is>
          <t>South Sudan</t>
        </is>
      </c>
      <c r="B752" s="3" t="inlineStr">
        <is>
          <t>SSD</t>
        </is>
      </c>
      <c r="C752" s="3" t="inlineStr">
        <is>
          <t>Current health expenditure (% of GDP)</t>
        </is>
      </c>
      <c r="D752" s="3" t="inlineStr">
        <is>
          <t>SH.XPD.CHEX.GD.ZS</t>
        </is>
      </c>
      <c r="E752" s="3" t="n">
        <v>2021</v>
      </c>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c r="AD752" s="3" t="n"/>
      <c r="AE752" s="3" t="n"/>
      <c r="AF752" s="3" t="n"/>
      <c r="AG752" s="3" t="n"/>
      <c r="AH752" s="3" t="n"/>
      <c r="AI752" s="3" t="n"/>
      <c r="AJ752" s="3" t="n"/>
      <c r="AK752" s="3" t="n"/>
      <c r="AL752" s="3" t="n"/>
      <c r="AM752" s="3" t="n"/>
      <c r="AN752" s="3" t="n"/>
      <c r="AO752" s="3" t="n"/>
      <c r="AP752" s="3" t="n"/>
      <c r="AQ752" s="3" t="n"/>
      <c r="AR752" s="3" t="n"/>
      <c r="AS752" s="3" t="n"/>
      <c r="AT752" s="3" t="n"/>
      <c r="AU752" s="3" t="n"/>
      <c r="AV752" s="3" t="n"/>
      <c r="AW752" s="3" t="n"/>
      <c r="AX752" s="3" t="n"/>
      <c r="AY752" s="3" t="n"/>
      <c r="AZ752" s="3" t="n"/>
      <c r="BA752" s="3" t="n"/>
      <c r="BB752" s="3" t="n"/>
      <c r="BC752" s="3" t="n"/>
      <c r="BD752" s="3" t="n"/>
      <c r="BE752" s="3" t="n"/>
      <c r="BF752" s="3" t="n"/>
      <c r="BG752" s="3" t="n"/>
      <c r="BH752" s="3" t="n"/>
      <c r="BI752" s="3" t="n"/>
      <c r="BJ752" s="3" t="n"/>
      <c r="BK752" s="3" t="n">
        <v>15.9569149</v>
      </c>
      <c r="BL752" s="3" t="n">
        <v>10.05615997</v>
      </c>
      <c r="BM752" s="3" t="n">
        <v>9.03740788</v>
      </c>
      <c r="BN752" s="3" t="n">
        <v>9.44806385</v>
      </c>
      <c r="BO752" s="3" t="n">
        <v>5.86061621</v>
      </c>
      <c r="BP752" s="3" t="n"/>
      <c r="BQ752" s="3" t="n"/>
      <c r="BR752" s="34" t="str">
        <f>B752&amp;"|"&amp;D752</f>
        <v>SSD|SH.XPD.CHEX.GD.ZS</v>
      </c>
    </row>
    <row r="753">
      <c r="A753" s="3" t="inlineStr">
        <is>
          <t>Sub-Saharan Africa</t>
        </is>
      </c>
      <c r="B753" s="3" t="inlineStr">
        <is>
          <t>SSF</t>
        </is>
      </c>
      <c r="C753" s="3" t="inlineStr">
        <is>
          <t>Current health expenditure (% of GDP)</t>
        </is>
      </c>
      <c r="D753" s="3" t="inlineStr">
        <is>
          <t>SH.XPD.CHEX.GD.ZS</t>
        </is>
      </c>
      <c r="E753" s="3" t="n">
        <v>2021</v>
      </c>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c r="AD753" s="3" t="n"/>
      <c r="AE753" s="3" t="n"/>
      <c r="AF753" s="3" t="n"/>
      <c r="AG753" s="3" t="n"/>
      <c r="AH753" s="3" t="n"/>
      <c r="AI753" s="3" t="n"/>
      <c r="AJ753" s="3" t="n"/>
      <c r="AK753" s="3" t="n"/>
      <c r="AL753" s="3" t="n"/>
      <c r="AM753" s="3" t="n"/>
      <c r="AN753" s="3" t="n"/>
      <c r="AO753" s="3" t="n"/>
      <c r="AP753" s="3" t="n"/>
      <c r="AQ753" s="3" t="n"/>
      <c r="AR753" s="3" t="n"/>
      <c r="AS753" s="3" t="n"/>
      <c r="AT753" s="3" t="n">
        <v>4.992208667394749</v>
      </c>
      <c r="AU753" s="3" t="n">
        <v>5.026828695498961</v>
      </c>
      <c r="AV753" s="3" t="n">
        <v>4.587362407894616</v>
      </c>
      <c r="AW753" s="3" t="n">
        <v>5.495679529355801</v>
      </c>
      <c r="AX753" s="3" t="n">
        <v>5.479192446219814</v>
      </c>
      <c r="AY753" s="3" t="n">
        <v>5.292199900882539</v>
      </c>
      <c r="AZ753" s="3" t="n">
        <v>5.201082092486051</v>
      </c>
      <c r="BA753" s="3" t="n">
        <v>5.09929918803561</v>
      </c>
      <c r="BB753" s="3" t="n">
        <v>4.891353889658796</v>
      </c>
      <c r="BC753" s="3" t="n">
        <v>5.287127147199776</v>
      </c>
      <c r="BD753" s="3" t="n">
        <v>5.21225465850828</v>
      </c>
      <c r="BE753" s="3" t="n">
        <v>5.154718470050524</v>
      </c>
      <c r="BF753" s="3" t="n">
        <v>4.986013043784347</v>
      </c>
      <c r="BG753" s="3" t="n">
        <v>4.965664429142173</v>
      </c>
      <c r="BH753" s="3" t="n">
        <v>4.750168950013907</v>
      </c>
      <c r="BI753" s="3" t="n">
        <v>4.973922410465862</v>
      </c>
      <c r="BJ753" s="3" t="n">
        <v>5.041970789670981</v>
      </c>
      <c r="BK753" s="3" t="n">
        <v>5.044627777481185</v>
      </c>
      <c r="BL753" s="3" t="n">
        <v>4.774888193044559</v>
      </c>
      <c r="BM753" s="3" t="n">
        <v>4.734062229430404</v>
      </c>
      <c r="BN753" s="3" t="n">
        <v>4.936455611550368</v>
      </c>
      <c r="BO753" s="3" t="n">
        <v>5.103624751599972</v>
      </c>
      <c r="BP753" s="3" t="n"/>
      <c r="BQ753" s="3" t="n"/>
      <c r="BR753" s="34" t="str">
        <f>B753&amp;"|"&amp;D753</f>
        <v>SSF|SH.XPD.CHEX.GD.ZS</v>
      </c>
    </row>
    <row r="754">
      <c r="A754" s="3" t="inlineStr">
        <is>
          <t>Small states</t>
        </is>
      </c>
      <c r="B754" s="3" t="inlineStr">
        <is>
          <t>SST</t>
        </is>
      </c>
      <c r="C754" s="3" t="inlineStr">
        <is>
          <t>Current health expenditure (% of GDP)</t>
        </is>
      </c>
      <c r="D754" s="3" t="inlineStr">
        <is>
          <t>SH.XPD.CHEX.GD.ZS</t>
        </is>
      </c>
      <c r="E754" s="3" t="n">
        <v>2021</v>
      </c>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c r="AD754" s="3" t="n"/>
      <c r="AE754" s="3" t="n"/>
      <c r="AF754" s="3" t="n"/>
      <c r="AG754" s="3" t="n"/>
      <c r="AH754" s="3" t="n"/>
      <c r="AI754" s="3" t="n"/>
      <c r="AJ754" s="3" t="n"/>
      <c r="AK754" s="3" t="n"/>
      <c r="AL754" s="3" t="n"/>
      <c r="AM754" s="3" t="n"/>
      <c r="AN754" s="3" t="n"/>
      <c r="AO754" s="3" t="n"/>
      <c r="AP754" s="3" t="n"/>
      <c r="AQ754" s="3" t="n"/>
      <c r="AR754" s="3" t="n"/>
      <c r="AS754" s="3" t="n"/>
      <c r="AT754" s="3" t="n">
        <v>4.920895393872515</v>
      </c>
      <c r="AU754" s="3" t="n">
        <v>4.944945003197819</v>
      </c>
      <c r="AV754" s="3" t="n">
        <v>5.202391279491986</v>
      </c>
      <c r="AW754" s="3" t="n">
        <v>5.392248704637145</v>
      </c>
      <c r="AX754" s="3" t="n">
        <v>5.383599677431427</v>
      </c>
      <c r="AY754" s="3" t="n">
        <v>5.364475274388265</v>
      </c>
      <c r="AZ754" s="3" t="n">
        <v>5.191691775172285</v>
      </c>
      <c r="BA754" s="3" t="n">
        <v>5.201526420606335</v>
      </c>
      <c r="BB754" s="3" t="n">
        <v>5.321635547648925</v>
      </c>
      <c r="BC754" s="3" t="n">
        <v>5.817152940242407</v>
      </c>
      <c r="BD754" s="3" t="n">
        <v>5.627883329567668</v>
      </c>
      <c r="BE754" s="3" t="n">
        <v>5.468183378760084</v>
      </c>
      <c r="BF754" s="3" t="n">
        <v>5.484727285008119</v>
      </c>
      <c r="BG754" s="3" t="n">
        <v>5.654422198669613</v>
      </c>
      <c r="BH754" s="3" t="n">
        <v>5.773348748040282</v>
      </c>
      <c r="BI754" s="3" t="n">
        <v>5.97899514208141</v>
      </c>
      <c r="BJ754" s="3" t="n">
        <v>6.078559009245526</v>
      </c>
      <c r="BK754" s="3" t="n">
        <v>6.041691379970598</v>
      </c>
      <c r="BL754" s="3" t="n">
        <v>6.00447250691342</v>
      </c>
      <c r="BM754" s="3" t="n">
        <v>6.112056886790468</v>
      </c>
      <c r="BN754" s="3" t="n">
        <v>7.117785520979031</v>
      </c>
      <c r="BO754" s="3" t="n">
        <v>7.167672570899202</v>
      </c>
      <c r="BP754" s="3" t="n"/>
      <c r="BQ754" s="3" t="n"/>
      <c r="BR754" s="34" t="str">
        <f>B754&amp;"|"&amp;D754</f>
        <v>SST|SH.XPD.CHEX.GD.ZS</v>
      </c>
    </row>
    <row r="755">
      <c r="A755" s="3" t="inlineStr">
        <is>
          <t>Sao Tome and Principe</t>
        </is>
      </c>
      <c r="B755" s="3" t="inlineStr">
        <is>
          <t>STP</t>
        </is>
      </c>
      <c r="C755" s="3" t="inlineStr">
        <is>
          <t>Current health expenditure (% of GDP)</t>
        </is>
      </c>
      <c r="D755" s="3" t="inlineStr">
        <is>
          <t>SH.XPD.CHEX.GD.ZS</t>
        </is>
      </c>
      <c r="E755" s="3" t="n">
        <v>2021</v>
      </c>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c r="AD755" s="3" t="n"/>
      <c r="AE755" s="3" t="n"/>
      <c r="AF755" s="3" t="n"/>
      <c r="AG755" s="3" t="n"/>
      <c r="AH755" s="3" t="n"/>
      <c r="AI755" s="3" t="n"/>
      <c r="AJ755" s="3" t="n"/>
      <c r="AK755" s="3" t="n"/>
      <c r="AL755" s="3" t="n"/>
      <c r="AM755" s="3" t="n"/>
      <c r="AN755" s="3" t="n"/>
      <c r="AO755" s="3" t="n"/>
      <c r="AP755" s="3" t="n"/>
      <c r="AQ755" s="3" t="n"/>
      <c r="AR755" s="3" t="n"/>
      <c r="AS755" s="3" t="n"/>
      <c r="AT755" s="3" t="n">
        <v>10.51756001</v>
      </c>
      <c r="AU755" s="3" t="n">
        <v>10.83865166</v>
      </c>
      <c r="AV755" s="3" t="n">
        <v>10.69723701</v>
      </c>
      <c r="AW755" s="3" t="n">
        <v>12.6639061</v>
      </c>
      <c r="AX755" s="3" t="n">
        <v>11.91980934</v>
      </c>
      <c r="AY755" s="3" t="n">
        <v>11.55062962</v>
      </c>
      <c r="AZ755" s="3" t="n">
        <v>8.304228780000001</v>
      </c>
      <c r="BA755" s="3" t="n">
        <v>8.20471764</v>
      </c>
      <c r="BB755" s="3" t="n">
        <v>7.16872263</v>
      </c>
      <c r="BC755" s="3" t="n">
        <v>7.24220848</v>
      </c>
      <c r="BD755" s="3" t="n">
        <v>6.86072636</v>
      </c>
      <c r="BE755" s="3" t="n">
        <v>6.76036882</v>
      </c>
      <c r="BF755" s="3" t="n">
        <v>6.47629499</v>
      </c>
      <c r="BG755" s="3" t="n">
        <v>7.93743753</v>
      </c>
      <c r="BH755" s="3" t="n">
        <v>6.73101807</v>
      </c>
      <c r="BI755" s="3" t="n">
        <v>5.34009647</v>
      </c>
      <c r="BJ755" s="3" t="n">
        <v>6.43088865</v>
      </c>
      <c r="BK755" s="3" t="n">
        <v>6.46181059</v>
      </c>
      <c r="BL755" s="3" t="n">
        <v>5.50957823</v>
      </c>
      <c r="BM755" s="3" t="n">
        <v>5.29584646</v>
      </c>
      <c r="BN755" s="3" t="n">
        <v>7.30042553</v>
      </c>
      <c r="BO755" s="3" t="n">
        <v>7.82528496</v>
      </c>
      <c r="BP755" s="3" t="n"/>
      <c r="BQ755" s="3" t="n"/>
      <c r="BR755" s="34" t="str">
        <f>B755&amp;"|"&amp;D755</f>
        <v>STP|SH.XPD.CHEX.GD.ZS</v>
      </c>
    </row>
    <row r="756">
      <c r="A756" s="3" t="inlineStr">
        <is>
          <t>Suriname</t>
        </is>
      </c>
      <c r="B756" s="3" t="inlineStr">
        <is>
          <t>SUR</t>
        </is>
      </c>
      <c r="C756" s="3" t="inlineStr">
        <is>
          <t>Current health expenditure (% of GDP)</t>
        </is>
      </c>
      <c r="D756" s="3" t="inlineStr">
        <is>
          <t>SH.XPD.CHEX.GD.ZS</t>
        </is>
      </c>
      <c r="E756" s="3" t="n">
        <v>2021</v>
      </c>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c r="AD756" s="3" t="n"/>
      <c r="AE756" s="3" t="n"/>
      <c r="AF756" s="3" t="n"/>
      <c r="AG756" s="3" t="n"/>
      <c r="AH756" s="3" t="n"/>
      <c r="AI756" s="3" t="n"/>
      <c r="AJ756" s="3" t="n"/>
      <c r="AK756" s="3" t="n"/>
      <c r="AL756" s="3" t="n"/>
      <c r="AM756" s="3" t="n"/>
      <c r="AN756" s="3" t="n"/>
      <c r="AO756" s="3" t="n"/>
      <c r="AP756" s="3" t="n"/>
      <c r="AQ756" s="3" t="n"/>
      <c r="AR756" s="3" t="n"/>
      <c r="AS756" s="3" t="n"/>
      <c r="AT756" s="3" t="n">
        <v>5.87092161</v>
      </c>
      <c r="AU756" s="3" t="n">
        <v>3.82474971</v>
      </c>
      <c r="AV756" s="3" t="n">
        <v>5.32991552</v>
      </c>
      <c r="AW756" s="3" t="n">
        <v>4.88878393</v>
      </c>
      <c r="AX756" s="3" t="n">
        <v>5.4608078</v>
      </c>
      <c r="AY756" s="3" t="n">
        <v>5.2439642</v>
      </c>
      <c r="AZ756" s="3" t="n">
        <v>5.85598755</v>
      </c>
      <c r="BA756" s="3" t="n">
        <v>5.22148609</v>
      </c>
      <c r="BB756" s="3" t="n">
        <v>4.74699593</v>
      </c>
      <c r="BC756" s="3" t="n">
        <v>4.97810316</v>
      </c>
      <c r="BD756" s="3" t="n">
        <v>4.6978569</v>
      </c>
      <c r="BE756" s="3" t="n">
        <v>4.40932178</v>
      </c>
      <c r="BF756" s="3" t="n">
        <v>4.28435707</v>
      </c>
      <c r="BG756" s="3" t="n">
        <v>4.48738098</v>
      </c>
      <c r="BH756" s="3" t="n">
        <v>4.52127838</v>
      </c>
      <c r="BI756" s="3" t="n">
        <v>5.80808163</v>
      </c>
      <c r="BJ756" s="3" t="n">
        <v>5.99283743</v>
      </c>
      <c r="BK756" s="3" t="n">
        <v>5.32285929</v>
      </c>
      <c r="BL756" s="3" t="n">
        <v>6.68795872</v>
      </c>
      <c r="BM756" s="3" t="n">
        <v>8.702301029999999</v>
      </c>
      <c r="BN756" s="3" t="n">
        <v>6.84054422</v>
      </c>
      <c r="BO756" s="3" t="n">
        <v>5.6838975</v>
      </c>
      <c r="BP756" s="3" t="n"/>
      <c r="BQ756" s="3" t="n"/>
      <c r="BR756" s="34" t="str">
        <f>B756&amp;"|"&amp;D756</f>
        <v>SUR|SH.XPD.CHEX.GD.ZS</v>
      </c>
    </row>
    <row r="757">
      <c r="A757" s="3" t="inlineStr">
        <is>
          <t>Slovak Republic</t>
        </is>
      </c>
      <c r="B757" s="3" t="inlineStr">
        <is>
          <t>SVK</t>
        </is>
      </c>
      <c r="C757" s="3" t="inlineStr">
        <is>
          <t>Current health expenditure (% of GDP)</t>
        </is>
      </c>
      <c r="D757" s="3" t="inlineStr">
        <is>
          <t>SH.XPD.CHEX.GD.ZS</t>
        </is>
      </c>
      <c r="E757" s="3" t="n">
        <v>2021</v>
      </c>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c r="AD757" s="3" t="n"/>
      <c r="AE757" s="3" t="n"/>
      <c r="AF757" s="3" t="n"/>
      <c r="AG757" s="3" t="n"/>
      <c r="AH757" s="3" t="n"/>
      <c r="AI757" s="3" t="n"/>
      <c r="AJ757" s="3" t="n"/>
      <c r="AK757" s="3" t="n"/>
      <c r="AL757" s="3" t="n"/>
      <c r="AM757" s="3" t="n"/>
      <c r="AN757" s="3" t="n"/>
      <c r="AO757" s="3" t="n"/>
      <c r="AP757" s="3" t="n"/>
      <c r="AQ757" s="3" t="n"/>
      <c r="AR757" s="3" t="n"/>
      <c r="AS757" s="3" t="n"/>
      <c r="AT757" s="3" t="n">
        <v>5.3</v>
      </c>
      <c r="AU757" s="3" t="n">
        <v>5.33</v>
      </c>
      <c r="AV757" s="3" t="n">
        <v>5.51</v>
      </c>
      <c r="AW757" s="3" t="n">
        <v>5.45</v>
      </c>
      <c r="AX757" s="3" t="n">
        <v>6.37</v>
      </c>
      <c r="AY757" s="3" t="n">
        <v>6.59</v>
      </c>
      <c r="AZ757" s="3" t="n">
        <v>6.85</v>
      </c>
      <c r="BA757" s="3" t="n">
        <v>7.18</v>
      </c>
      <c r="BB757" s="3" t="n">
        <v>6.96</v>
      </c>
      <c r="BC757" s="3" t="n">
        <v>7.95</v>
      </c>
      <c r="BD757" s="3" t="n">
        <v>7.67</v>
      </c>
      <c r="BE757" s="3" t="n">
        <v>7.3</v>
      </c>
      <c r="BF757" s="3" t="n">
        <v>7.54</v>
      </c>
      <c r="BG757" s="3" t="n">
        <v>7.5</v>
      </c>
      <c r="BH757" s="3" t="n">
        <v>6.88</v>
      </c>
      <c r="BI757" s="3" t="n">
        <v>6.76</v>
      </c>
      <c r="BJ757" s="3" t="n">
        <v>7.09</v>
      </c>
      <c r="BK757" s="3" t="n">
        <v>6.76</v>
      </c>
      <c r="BL757" s="3" t="n">
        <v>6.67</v>
      </c>
      <c r="BM757" s="3" t="n">
        <v>6.92</v>
      </c>
      <c r="BN757" s="3" t="n">
        <v>7.13</v>
      </c>
      <c r="BO757" s="3" t="n">
        <v>7.75</v>
      </c>
      <c r="BP757" s="3" t="n"/>
      <c r="BQ757" s="3" t="n"/>
      <c r="BR757" s="34" t="str">
        <f>B757&amp;"|"&amp;D757</f>
        <v>SVK|SH.XPD.CHEX.GD.ZS</v>
      </c>
    </row>
    <row r="758">
      <c r="A758" s="3" t="inlineStr">
        <is>
          <t>Slovenia</t>
        </is>
      </c>
      <c r="B758" s="3" t="inlineStr">
        <is>
          <t>SVN</t>
        </is>
      </c>
      <c r="C758" s="3" t="inlineStr">
        <is>
          <t>Current health expenditure (% of GDP)</t>
        </is>
      </c>
      <c r="D758" s="3" t="inlineStr">
        <is>
          <t>SH.XPD.CHEX.GD.ZS</t>
        </is>
      </c>
      <c r="E758" s="3" t="n">
        <v>2022</v>
      </c>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c r="AD758" s="3" t="n"/>
      <c r="AE758" s="3" t="n"/>
      <c r="AF758" s="3" t="n"/>
      <c r="AG758" s="3" t="n"/>
      <c r="AH758" s="3" t="n"/>
      <c r="AI758" s="3" t="n"/>
      <c r="AJ758" s="3" t="n"/>
      <c r="AK758" s="3" t="n"/>
      <c r="AL758" s="3" t="n"/>
      <c r="AM758" s="3" t="n"/>
      <c r="AN758" s="3" t="n"/>
      <c r="AO758" s="3" t="n"/>
      <c r="AP758" s="3" t="n"/>
      <c r="AQ758" s="3" t="n"/>
      <c r="AR758" s="3" t="n"/>
      <c r="AS758" s="3" t="n"/>
      <c r="AT758" s="3" t="n">
        <v>7.8</v>
      </c>
      <c r="AU758" s="3" t="n">
        <v>7.88</v>
      </c>
      <c r="AV758" s="3" t="n">
        <v>8.02</v>
      </c>
      <c r="AW758" s="3" t="n">
        <v>8.1</v>
      </c>
      <c r="AX758" s="3" t="n">
        <v>7.94</v>
      </c>
      <c r="AY758" s="3" t="n">
        <v>8</v>
      </c>
      <c r="AZ758" s="3" t="n">
        <v>7.82</v>
      </c>
      <c r="BA758" s="3" t="n">
        <v>7.51</v>
      </c>
      <c r="BB758" s="3" t="n">
        <v>7.85</v>
      </c>
      <c r="BC758" s="3" t="n">
        <v>8.539999999999999</v>
      </c>
      <c r="BD758" s="3" t="n">
        <v>8.57</v>
      </c>
      <c r="BE758" s="3" t="n">
        <v>8.539999999999999</v>
      </c>
      <c r="BF758" s="3" t="n">
        <v>8.720000000000001</v>
      </c>
      <c r="BG758" s="3" t="n">
        <v>8.74</v>
      </c>
      <c r="BH758" s="3" t="n">
        <v>8.5</v>
      </c>
      <c r="BI758" s="3" t="n">
        <v>8.5</v>
      </c>
      <c r="BJ758" s="3" t="n">
        <v>8.460000000000001</v>
      </c>
      <c r="BK758" s="3" t="n">
        <v>8.18</v>
      </c>
      <c r="BL758" s="3" t="n">
        <v>8.279999999999999</v>
      </c>
      <c r="BM758" s="3" t="n">
        <v>8.5</v>
      </c>
      <c r="BN758" s="3" t="n">
        <v>9.43</v>
      </c>
      <c r="BO758" s="3" t="n">
        <v>9.48</v>
      </c>
      <c r="BP758" s="3" t="n">
        <v>8.85</v>
      </c>
      <c r="BQ758" s="3" t="n"/>
      <c r="BR758" s="34" t="str">
        <f>B758&amp;"|"&amp;D758</f>
        <v>SVN|SH.XPD.CHEX.GD.ZS</v>
      </c>
    </row>
    <row r="759">
      <c r="A759" s="3" t="inlineStr">
        <is>
          <t>Sweden</t>
        </is>
      </c>
      <c r="B759" s="3" t="inlineStr">
        <is>
          <t>SWE</t>
        </is>
      </c>
      <c r="C759" s="3" t="inlineStr">
        <is>
          <t>Current health expenditure (% of GDP)</t>
        </is>
      </c>
      <c r="D759" s="3" t="inlineStr">
        <is>
          <t>SH.XPD.CHEX.GD.ZS</t>
        </is>
      </c>
      <c r="E759" s="3" t="n">
        <v>2022</v>
      </c>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c r="AD759" s="3" t="n"/>
      <c r="AE759" s="3" t="n"/>
      <c r="AF759" s="3" t="n"/>
      <c r="AG759" s="3" t="n"/>
      <c r="AH759" s="3" t="n"/>
      <c r="AI759" s="3" t="n"/>
      <c r="AJ759" s="3" t="n"/>
      <c r="AK759" s="3" t="n"/>
      <c r="AL759" s="3" t="n"/>
      <c r="AM759" s="3" t="n"/>
      <c r="AN759" s="3" t="n"/>
      <c r="AO759" s="3" t="n"/>
      <c r="AP759" s="3" t="n"/>
      <c r="AQ759" s="3" t="n"/>
      <c r="AR759" s="3" t="n"/>
      <c r="AS759" s="3" t="n"/>
      <c r="AT759" s="3" t="n">
        <v>7.33</v>
      </c>
      <c r="AU759" s="3" t="n">
        <v>7.9</v>
      </c>
      <c r="AV759" s="3" t="n">
        <v>8.210000000000001</v>
      </c>
      <c r="AW759" s="3" t="n">
        <v>8.32</v>
      </c>
      <c r="AX759" s="3" t="n">
        <v>8.130000000000001</v>
      </c>
      <c r="AY759" s="3" t="n">
        <v>8.15</v>
      </c>
      <c r="AZ759" s="3" t="n">
        <v>8.050000000000001</v>
      </c>
      <c r="BA759" s="3" t="n">
        <v>8</v>
      </c>
      <c r="BB759" s="3" t="n">
        <v>8.210000000000001</v>
      </c>
      <c r="BC759" s="3" t="n">
        <v>8.77</v>
      </c>
      <c r="BD759" s="3" t="n">
        <v>8.32</v>
      </c>
      <c r="BE759" s="3" t="n">
        <v>10.42</v>
      </c>
      <c r="BF759" s="3" t="n">
        <v>10.74</v>
      </c>
      <c r="BG759" s="3" t="n">
        <v>10.9</v>
      </c>
      <c r="BH759" s="3" t="n">
        <v>10.95</v>
      </c>
      <c r="BI759" s="3" t="n">
        <v>10.8</v>
      </c>
      <c r="BJ759" s="3" t="n">
        <v>10.85</v>
      </c>
      <c r="BK759" s="3" t="n">
        <v>10.79</v>
      </c>
      <c r="BL759" s="3" t="n">
        <v>10.94</v>
      </c>
      <c r="BM759" s="3" t="n">
        <v>10.83</v>
      </c>
      <c r="BN759" s="3" t="n">
        <v>11.33</v>
      </c>
      <c r="BO759" s="3" t="n">
        <v>11.25</v>
      </c>
      <c r="BP759" s="3" t="n">
        <v>10.67</v>
      </c>
      <c r="BQ759" s="3" t="n"/>
      <c r="BR759" s="34" t="str">
        <f>B759&amp;"|"&amp;D759</f>
        <v>SWE|SH.XPD.CHEX.GD.ZS</v>
      </c>
    </row>
    <row r="760">
      <c r="A760" s="3" t="inlineStr">
        <is>
          <t>Eswatini</t>
        </is>
      </c>
      <c r="B760" s="3" t="inlineStr">
        <is>
          <t>SWZ</t>
        </is>
      </c>
      <c r="C760" s="3" t="inlineStr">
        <is>
          <t>Current health expenditure (% of GDP)</t>
        </is>
      </c>
      <c r="D760" s="3" t="inlineStr">
        <is>
          <t>SH.XPD.CHEX.GD.ZS</t>
        </is>
      </c>
      <c r="E760" s="3" t="n">
        <v>2021</v>
      </c>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c r="AD760" s="3" t="n"/>
      <c r="AE760" s="3" t="n"/>
      <c r="AF760" s="3" t="n"/>
      <c r="AG760" s="3" t="n"/>
      <c r="AH760" s="3" t="n"/>
      <c r="AI760" s="3" t="n"/>
      <c r="AJ760" s="3" t="n"/>
      <c r="AK760" s="3" t="n"/>
      <c r="AL760" s="3" t="n"/>
      <c r="AM760" s="3" t="n"/>
      <c r="AN760" s="3" t="n"/>
      <c r="AO760" s="3" t="n"/>
      <c r="AP760" s="3" t="n"/>
      <c r="AQ760" s="3" t="n"/>
      <c r="AR760" s="3" t="n"/>
      <c r="AS760" s="3" t="n"/>
      <c r="AT760" s="3" t="n">
        <v>4.60951757</v>
      </c>
      <c r="AU760" s="3" t="n">
        <v>5.13895369</v>
      </c>
      <c r="AV760" s="3" t="n">
        <v>5.52298307</v>
      </c>
      <c r="AW760" s="3" t="n">
        <v>6.37864399</v>
      </c>
      <c r="AX760" s="3" t="n">
        <v>6.81432486</v>
      </c>
      <c r="AY760" s="3" t="n">
        <v>7.37623358</v>
      </c>
      <c r="AZ760" s="3" t="n">
        <v>7.82560062</v>
      </c>
      <c r="BA760" s="3" t="n">
        <v>7.93004131</v>
      </c>
      <c r="BB760" s="3" t="n">
        <v>8.85792923</v>
      </c>
      <c r="BC760" s="3" t="n">
        <v>8.632922170000001</v>
      </c>
      <c r="BD760" s="3" t="n">
        <v>8.5912571</v>
      </c>
      <c r="BE760" s="3" t="n">
        <v>8.469972609999999</v>
      </c>
      <c r="BF760" s="3" t="n">
        <v>7.82047606</v>
      </c>
      <c r="BG760" s="3" t="n">
        <v>7.45703411</v>
      </c>
      <c r="BH760" s="3" t="n">
        <v>7.25596571</v>
      </c>
      <c r="BI760" s="3" t="n">
        <v>7.05855274</v>
      </c>
      <c r="BJ760" s="3" t="n">
        <v>6.82044792</v>
      </c>
      <c r="BK760" s="3" t="n">
        <v>6.98103714</v>
      </c>
      <c r="BL760" s="3" t="n">
        <v>6.62469387</v>
      </c>
      <c r="BM760" s="3" t="n">
        <v>7.15369368</v>
      </c>
      <c r="BN760" s="3" t="n">
        <v>6.59767151</v>
      </c>
      <c r="BO760" s="3" t="n">
        <v>7.03582335</v>
      </c>
      <c r="BP760" s="3" t="n"/>
      <c r="BQ760" s="3" t="n"/>
      <c r="BR760" s="34" t="str">
        <f>B760&amp;"|"&amp;D760</f>
        <v>SWZ|SH.XPD.CHEX.GD.ZS</v>
      </c>
    </row>
    <row r="761">
      <c r="A761" s="3" t="inlineStr">
        <is>
          <t>Sint Maarten (Dutch part)</t>
        </is>
      </c>
      <c r="B761" s="3" t="inlineStr">
        <is>
          <t>SXM</t>
        </is>
      </c>
      <c r="C761" s="3" t="inlineStr">
        <is>
          <t>Current health expenditure (% of GDP)</t>
        </is>
      </c>
      <c r="D761" s="3" t="inlineStr">
        <is>
          <t>SH.XPD.CHEX.GD.ZS</t>
        </is>
      </c>
      <c r="E761" s="3" t="inlineStr">
        <is>
          <t>0x2a</t>
        </is>
      </c>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c r="AD761" s="3" t="n"/>
      <c r="AE761" s="3" t="n"/>
      <c r="AF761" s="3" t="n"/>
      <c r="AG761" s="3" t="n"/>
      <c r="AH761" s="3" t="n"/>
      <c r="AI761" s="3" t="n"/>
      <c r="AJ761" s="3" t="n"/>
      <c r="AK761" s="3" t="n"/>
      <c r="AL761" s="3" t="n"/>
      <c r="AM761" s="3" t="n"/>
      <c r="AN761" s="3" t="n"/>
      <c r="AO761" s="3" t="n"/>
      <c r="AP761" s="3" t="n"/>
      <c r="AQ761" s="3" t="n"/>
      <c r="AR761" s="3" t="n"/>
      <c r="AS761" s="3" t="n"/>
      <c r="AT761" s="3" t="n"/>
      <c r="AU761" s="3" t="n"/>
      <c r="AV761" s="3" t="n"/>
      <c r="AW761" s="3" t="n"/>
      <c r="AX761" s="3" t="n"/>
      <c r="AY761" s="3" t="n"/>
      <c r="AZ761" s="3" t="n"/>
      <c r="BA761" s="3" t="n"/>
      <c r="BB761" s="3" t="n"/>
      <c r="BC761" s="3" t="n"/>
      <c r="BD761" s="3" t="n"/>
      <c r="BE761" s="3" t="n"/>
      <c r="BF761" s="3" t="n"/>
      <c r="BG761" s="3" t="n"/>
      <c r="BH761" s="3" t="n"/>
      <c r="BI761" s="3" t="n"/>
      <c r="BJ761" s="3" t="n"/>
      <c r="BK761" s="3" t="n"/>
      <c r="BL761" s="3" t="n"/>
      <c r="BM761" s="3" t="n"/>
      <c r="BN761" s="3" t="n"/>
      <c r="BO761" s="3" t="n"/>
      <c r="BP761" s="3" t="n"/>
      <c r="BQ761" s="3" t="n"/>
      <c r="BR761" s="34" t="str">
        <f>B761&amp;"|"&amp;D761</f>
        <v>SXM|SH.XPD.CHEX.GD.ZS</v>
      </c>
    </row>
    <row r="762">
      <c r="A762" s="3" t="inlineStr">
        <is>
          <t>Seychelles</t>
        </is>
      </c>
      <c r="B762" s="3" t="inlineStr">
        <is>
          <t>SYC</t>
        </is>
      </c>
      <c r="C762" s="3" t="inlineStr">
        <is>
          <t>Current health expenditure (% of GDP)</t>
        </is>
      </c>
      <c r="D762" s="3" t="inlineStr">
        <is>
          <t>SH.XPD.CHEX.GD.ZS</t>
        </is>
      </c>
      <c r="E762" s="3" t="n">
        <v>2021</v>
      </c>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c r="AD762" s="3" t="n"/>
      <c r="AE762" s="3" t="n"/>
      <c r="AF762" s="3" t="n"/>
      <c r="AG762" s="3" t="n"/>
      <c r="AH762" s="3" t="n"/>
      <c r="AI762" s="3" t="n"/>
      <c r="AJ762" s="3" t="n"/>
      <c r="AK762" s="3" t="n"/>
      <c r="AL762" s="3" t="n"/>
      <c r="AM762" s="3" t="n"/>
      <c r="AN762" s="3" t="n"/>
      <c r="AO762" s="3" t="n"/>
      <c r="AP762" s="3" t="n"/>
      <c r="AQ762" s="3" t="n"/>
      <c r="AR762" s="3" t="n"/>
      <c r="AS762" s="3" t="n"/>
      <c r="AT762" s="3" t="n">
        <v>4.61071777</v>
      </c>
      <c r="AU762" s="3" t="n">
        <v>5.01642942</v>
      </c>
      <c r="AV762" s="3" t="n">
        <v>4.35287333</v>
      </c>
      <c r="AW762" s="3" t="n">
        <v>5.08738041</v>
      </c>
      <c r="AX762" s="3" t="n">
        <v>4.90274191</v>
      </c>
      <c r="AY762" s="3" t="n">
        <v>4.66865683</v>
      </c>
      <c r="AZ762" s="3" t="n">
        <v>4.39767885</v>
      </c>
      <c r="BA762" s="3" t="n">
        <v>3.85076666</v>
      </c>
      <c r="BB762" s="3" t="n">
        <v>3.61745405</v>
      </c>
      <c r="BC762" s="3" t="n">
        <v>3.54135323</v>
      </c>
      <c r="BD762" s="3" t="n">
        <v>4.50142097</v>
      </c>
      <c r="BE762" s="3" t="n">
        <v>4.46079111</v>
      </c>
      <c r="BF762" s="3" t="n">
        <v>5.39592934</v>
      </c>
      <c r="BG762" s="3" t="n">
        <v>4.24818325</v>
      </c>
      <c r="BH762" s="3" t="n">
        <v>4.59131193</v>
      </c>
      <c r="BI762" s="3" t="n">
        <v>4.37339973</v>
      </c>
      <c r="BJ762" s="3" t="n">
        <v>4.96118879</v>
      </c>
      <c r="BK762" s="3" t="n">
        <v>4.76658726</v>
      </c>
      <c r="BL762" s="3" t="n">
        <v>4.94443846</v>
      </c>
      <c r="BM762" s="3" t="n">
        <v>4.77020788</v>
      </c>
      <c r="BN762" s="3" t="n">
        <v>6.54135609</v>
      </c>
      <c r="BO762" s="3" t="n">
        <v>5.25937986</v>
      </c>
      <c r="BP762" s="3" t="n"/>
      <c r="BQ762" s="3" t="n"/>
      <c r="BR762" s="34" t="str">
        <f>B762&amp;"|"&amp;D762</f>
        <v>SYC|SH.XPD.CHEX.GD.ZS</v>
      </c>
    </row>
    <row r="763">
      <c r="A763" s="3" t="inlineStr">
        <is>
          <t>Syrian Arab Republic</t>
        </is>
      </c>
      <c r="B763" s="3" t="inlineStr">
        <is>
          <t>SYR</t>
        </is>
      </c>
      <c r="C763" s="3" t="inlineStr">
        <is>
          <t>Current health expenditure (% of GDP)</t>
        </is>
      </c>
      <c r="D763" s="3" t="inlineStr">
        <is>
          <t>SH.XPD.CHEX.GD.ZS</t>
        </is>
      </c>
      <c r="E763" s="3" t="n">
        <v>2012</v>
      </c>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c r="AD763" s="3" t="n"/>
      <c r="AE763" s="3" t="n"/>
      <c r="AF763" s="3" t="n"/>
      <c r="AG763" s="3" t="n"/>
      <c r="AH763" s="3" t="n"/>
      <c r="AI763" s="3" t="n"/>
      <c r="AJ763" s="3" t="n"/>
      <c r="AK763" s="3" t="n"/>
      <c r="AL763" s="3" t="n"/>
      <c r="AM763" s="3" t="n"/>
      <c r="AN763" s="3" t="n"/>
      <c r="AO763" s="3" t="n"/>
      <c r="AP763" s="3" t="n"/>
      <c r="AQ763" s="3" t="n"/>
      <c r="AR763" s="3" t="n"/>
      <c r="AS763" s="3" t="n"/>
      <c r="AT763" s="3" t="n">
        <v>4.55400705</v>
      </c>
      <c r="AU763" s="3" t="n">
        <v>4.6971879</v>
      </c>
      <c r="AV763" s="3" t="n">
        <v>4.94717073</v>
      </c>
      <c r="AW763" s="3" t="n">
        <v>5.11781693</v>
      </c>
      <c r="AX763" s="3" t="n">
        <v>4.47935343</v>
      </c>
      <c r="AY763" s="3" t="n">
        <v>4.10970592</v>
      </c>
      <c r="AZ763" s="3" t="n">
        <v>3.77771473</v>
      </c>
      <c r="BA763" s="3" t="n">
        <v>3.72242856</v>
      </c>
      <c r="BB763" s="3" t="n">
        <v>3.39762759</v>
      </c>
      <c r="BC763" s="3" t="n">
        <v>3.5464704</v>
      </c>
      <c r="BD763" s="3" t="n">
        <v>3.2764473</v>
      </c>
      <c r="BE763" s="3" t="n">
        <v>2.52865291</v>
      </c>
      <c r="BF763" s="3" t="n">
        <v>3.04719615</v>
      </c>
      <c r="BG763" s="3" t="n"/>
      <c r="BH763" s="3" t="n"/>
      <c r="BI763" s="3" t="n"/>
      <c r="BJ763" s="3" t="n"/>
      <c r="BK763" s="3" t="n"/>
      <c r="BL763" s="3" t="n"/>
      <c r="BM763" s="3" t="n"/>
      <c r="BN763" s="3" t="n"/>
      <c r="BO763" s="3" t="n"/>
      <c r="BP763" s="3" t="n"/>
      <c r="BQ763" s="3" t="n"/>
      <c r="BR763" s="34" t="str">
        <f>B763&amp;"|"&amp;D763</f>
        <v>SYR|SH.XPD.CHEX.GD.ZS</v>
      </c>
    </row>
    <row r="764">
      <c r="A764" s="3" t="inlineStr">
        <is>
          <t>Turks and Caicos Islands</t>
        </is>
      </c>
      <c r="B764" s="3" t="inlineStr">
        <is>
          <t>TCA</t>
        </is>
      </c>
      <c r="C764" s="3" t="inlineStr">
        <is>
          <t>Current health expenditure (% of GDP)</t>
        </is>
      </c>
      <c r="D764" s="3" t="inlineStr">
        <is>
          <t>SH.XPD.CHEX.GD.ZS</t>
        </is>
      </c>
      <c r="E764" s="3" t="inlineStr">
        <is>
          <t>0x2a</t>
        </is>
      </c>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c r="AD764" s="3" t="n"/>
      <c r="AE764" s="3" t="n"/>
      <c r="AF764" s="3" t="n"/>
      <c r="AG764" s="3" t="n"/>
      <c r="AH764" s="3" t="n"/>
      <c r="AI764" s="3" t="n"/>
      <c r="AJ764" s="3" t="n"/>
      <c r="AK764" s="3" t="n"/>
      <c r="AL764" s="3" t="n"/>
      <c r="AM764" s="3" t="n"/>
      <c r="AN764" s="3" t="n"/>
      <c r="AO764" s="3" t="n"/>
      <c r="AP764" s="3" t="n"/>
      <c r="AQ764" s="3" t="n"/>
      <c r="AR764" s="3" t="n"/>
      <c r="AS764" s="3" t="n"/>
      <c r="AT764" s="3" t="n"/>
      <c r="AU764" s="3" t="n"/>
      <c r="AV764" s="3" t="n"/>
      <c r="AW764" s="3" t="n"/>
      <c r="AX764" s="3" t="n"/>
      <c r="AY764" s="3" t="n"/>
      <c r="AZ764" s="3" t="n"/>
      <c r="BA764" s="3" t="n"/>
      <c r="BB764" s="3" t="n"/>
      <c r="BC764" s="3" t="n"/>
      <c r="BD764" s="3" t="n"/>
      <c r="BE764" s="3" t="n"/>
      <c r="BF764" s="3" t="n"/>
      <c r="BG764" s="3" t="n"/>
      <c r="BH764" s="3" t="n"/>
      <c r="BI764" s="3" t="n"/>
      <c r="BJ764" s="3" t="n"/>
      <c r="BK764" s="3" t="n"/>
      <c r="BL764" s="3" t="n"/>
      <c r="BM764" s="3" t="n"/>
      <c r="BN764" s="3" t="n"/>
      <c r="BO764" s="3" t="n"/>
      <c r="BP764" s="3" t="n"/>
      <c r="BQ764" s="3" t="n"/>
      <c r="BR764" s="34" t="str">
        <f>B764&amp;"|"&amp;D764</f>
        <v>TCA|SH.XPD.CHEX.GD.ZS</v>
      </c>
    </row>
    <row r="765">
      <c r="A765" s="3" t="inlineStr">
        <is>
          <t>Chad</t>
        </is>
      </c>
      <c r="B765" s="3" t="inlineStr">
        <is>
          <t>TCD</t>
        </is>
      </c>
      <c r="C765" s="3" t="inlineStr">
        <is>
          <t>Current health expenditure (% of GDP)</t>
        </is>
      </c>
      <c r="D765" s="3" t="inlineStr">
        <is>
          <t>SH.XPD.CHEX.GD.ZS</t>
        </is>
      </c>
      <c r="E765" s="3" t="n">
        <v>2021</v>
      </c>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c r="AD765" s="3" t="n"/>
      <c r="AE765" s="3" t="n"/>
      <c r="AF765" s="3" t="n"/>
      <c r="AG765" s="3" t="n"/>
      <c r="AH765" s="3" t="n"/>
      <c r="AI765" s="3" t="n"/>
      <c r="AJ765" s="3" t="n"/>
      <c r="AK765" s="3" t="n"/>
      <c r="AL765" s="3" t="n"/>
      <c r="AM765" s="3" t="n"/>
      <c r="AN765" s="3" t="n"/>
      <c r="AO765" s="3" t="n"/>
      <c r="AP765" s="3" t="n"/>
      <c r="AQ765" s="3" t="n"/>
      <c r="AR765" s="3" t="n"/>
      <c r="AS765" s="3" t="n"/>
      <c r="AT765" s="3" t="n">
        <v>5.45750713</v>
      </c>
      <c r="AU765" s="3" t="n">
        <v>5.2932992</v>
      </c>
      <c r="AV765" s="3" t="n">
        <v>7.26787424</v>
      </c>
      <c r="AW765" s="3" t="n">
        <v>5.50940943</v>
      </c>
      <c r="AX765" s="3" t="n">
        <v>5.50012684</v>
      </c>
      <c r="AY765" s="3" t="n">
        <v>4.84111166</v>
      </c>
      <c r="AZ765" s="3" t="n">
        <v>4.86643076</v>
      </c>
      <c r="BA765" s="3" t="n">
        <v>4.34313393</v>
      </c>
      <c r="BB765" s="3" t="n">
        <v>4.05955124</v>
      </c>
      <c r="BC765" s="3" t="n">
        <v>4.44166946</v>
      </c>
      <c r="BD765" s="3" t="n">
        <v>4.06023312</v>
      </c>
      <c r="BE765" s="3" t="n">
        <v>3.91046357</v>
      </c>
      <c r="BF765" s="3" t="n">
        <v>3.8560791</v>
      </c>
      <c r="BG765" s="3" t="n">
        <v>4.06645298</v>
      </c>
      <c r="BH765" s="3" t="n">
        <v>4.27316904</v>
      </c>
      <c r="BI765" s="3" t="n">
        <v>4.52395248</v>
      </c>
      <c r="BJ765" s="3" t="n">
        <v>4.73396969</v>
      </c>
      <c r="BK765" s="3" t="n">
        <v>4.64740467</v>
      </c>
      <c r="BL765" s="3" t="n">
        <v>4.56768799</v>
      </c>
      <c r="BM765" s="3" t="n">
        <v>4.59277868</v>
      </c>
      <c r="BN765" s="3" t="n">
        <v>5.53655243</v>
      </c>
      <c r="BO765" s="3" t="n">
        <v>5.19022274</v>
      </c>
      <c r="BP765" s="3" t="n"/>
      <c r="BQ765" s="3" t="n"/>
      <c r="BR765" s="34" t="str">
        <f>B765&amp;"|"&amp;D765</f>
        <v>TCD|SH.XPD.CHEX.GD.ZS</v>
      </c>
    </row>
    <row r="766">
      <c r="A766" s="3" t="inlineStr">
        <is>
          <t>East Asia &amp; Pacific (IDA &amp; IBRD countries)</t>
        </is>
      </c>
      <c r="B766" s="3" t="inlineStr">
        <is>
          <t>TEA</t>
        </is>
      </c>
      <c r="C766" s="3" t="inlineStr">
        <is>
          <t>Current health expenditure (% of GDP)</t>
        </is>
      </c>
      <c r="D766" s="3" t="inlineStr">
        <is>
          <t>SH.XPD.CHEX.GD.ZS</t>
        </is>
      </c>
      <c r="E766" s="3" t="n">
        <v>2021</v>
      </c>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c r="AD766" s="3" t="n"/>
      <c r="AE766" s="3" t="n"/>
      <c r="AF766" s="3" t="n"/>
      <c r="AG766" s="3" t="n"/>
      <c r="AH766" s="3" t="n"/>
      <c r="AI766" s="3" t="n"/>
      <c r="AJ766" s="3" t="n"/>
      <c r="AK766" s="3" t="n"/>
      <c r="AL766" s="3" t="n"/>
      <c r="AM766" s="3" t="n"/>
      <c r="AN766" s="3" t="n"/>
      <c r="AO766" s="3" t="n"/>
      <c r="AP766" s="3" t="n"/>
      <c r="AQ766" s="3" t="n"/>
      <c r="AR766" s="3" t="n"/>
      <c r="AS766" s="3" t="n"/>
      <c r="AT766" s="3" t="n">
        <v>3.955747391559228</v>
      </c>
      <c r="AU766" s="3" t="n">
        <v>3.854890877211589</v>
      </c>
      <c r="AV766" s="3" t="n">
        <v>3.917096724637567</v>
      </c>
      <c r="AW766" s="3" t="n">
        <v>3.983029021401169</v>
      </c>
      <c r="AX766" s="3" t="n">
        <v>3.892388408327893</v>
      </c>
      <c r="AY766" s="3" t="n">
        <v>3.883071559649964</v>
      </c>
      <c r="AZ766" s="3" t="n">
        <v>3.731916541714432</v>
      </c>
      <c r="BA766" s="3" t="n">
        <v>3.558276332271138</v>
      </c>
      <c r="BB766" s="3" t="n">
        <v>3.727887046793937</v>
      </c>
      <c r="BC766" s="3" t="n">
        <v>4.126934415323112</v>
      </c>
      <c r="BD766" s="3" t="n">
        <v>4.0201690315235</v>
      </c>
      <c r="BE766" s="3" t="n">
        <v>4.142497043638843</v>
      </c>
      <c r="BF766" s="3" t="n">
        <v>4.337366534639997</v>
      </c>
      <c r="BG766" s="3" t="n">
        <v>4.469089782932917</v>
      </c>
      <c r="BH766" s="3" t="n">
        <v>4.556872977638861</v>
      </c>
      <c r="BI766" s="3" t="n">
        <v>4.718025714184243</v>
      </c>
      <c r="BJ766" s="3" t="n">
        <v>4.754199936141029</v>
      </c>
      <c r="BK766" s="3" t="n">
        <v>4.819116383287412</v>
      </c>
      <c r="BL766" s="3" t="n">
        <v>4.918115109530254</v>
      </c>
      <c r="BM766" s="3" t="n">
        <v>5.066340430206842</v>
      </c>
      <c r="BN766" s="3" t="n">
        <v>5.352184642492717</v>
      </c>
      <c r="BO766" s="3" t="n">
        <v>5.259957475096729</v>
      </c>
      <c r="BP766" s="3" t="n"/>
      <c r="BQ766" s="3" t="n"/>
      <c r="BR766" s="34" t="str">
        <f>B766&amp;"|"&amp;D766</f>
        <v>TEA|SH.XPD.CHEX.GD.ZS</v>
      </c>
    </row>
    <row r="767">
      <c r="A767" s="3" t="inlineStr">
        <is>
          <t>Europe &amp; Central Asia (IDA &amp; IBRD countries)</t>
        </is>
      </c>
      <c r="B767" s="3" t="inlineStr">
        <is>
          <t>TEC</t>
        </is>
      </c>
      <c r="C767" s="3" t="inlineStr">
        <is>
          <t>Current health expenditure (% of GDP)</t>
        </is>
      </c>
      <c r="D767" s="3" t="inlineStr">
        <is>
          <t>SH.XPD.CHEX.GD.ZS</t>
        </is>
      </c>
      <c r="E767" s="3" t="n">
        <v>2021</v>
      </c>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c r="AD767" s="3" t="n"/>
      <c r="AE767" s="3" t="n"/>
      <c r="AF767" s="3" t="n"/>
      <c r="AG767" s="3" t="n"/>
      <c r="AH767" s="3" t="n"/>
      <c r="AI767" s="3" t="n"/>
      <c r="AJ767" s="3" t="n"/>
      <c r="AK767" s="3" t="n"/>
      <c r="AL767" s="3" t="n"/>
      <c r="AM767" s="3" t="n"/>
      <c r="AN767" s="3" t="n"/>
      <c r="AO767" s="3" t="n"/>
      <c r="AP767" s="3" t="n"/>
      <c r="AQ767" s="3" t="n"/>
      <c r="AR767" s="3" t="n"/>
      <c r="AS767" s="3" t="n"/>
      <c r="AT767" s="3" t="n">
        <v>5.022046756798024</v>
      </c>
      <c r="AU767" s="3" t="n">
        <v>5.309592882993964</v>
      </c>
      <c r="AV767" s="3" t="n">
        <v>5.541246819227134</v>
      </c>
      <c r="AW767" s="3" t="n">
        <v>5.453880663649047</v>
      </c>
      <c r="AX767" s="3" t="n">
        <v>5.248487795994772</v>
      </c>
      <c r="AY767" s="3" t="n">
        <v>5.229347392750248</v>
      </c>
      <c r="AZ767" s="3" t="n">
        <v>5.209315690626418</v>
      </c>
      <c r="BA767" s="3" t="n">
        <v>5.179128011253783</v>
      </c>
      <c r="BB767" s="3" t="n">
        <v>5.286463405090247</v>
      </c>
      <c r="BC767" s="3" t="n">
        <v>5.788324218077223</v>
      </c>
      <c r="BD767" s="3" t="n">
        <v>5.355901265318797</v>
      </c>
      <c r="BE767" s="3" t="n">
        <v>5.057325115595432</v>
      </c>
      <c r="BF767" s="3" t="n">
        <v>5.113139213951547</v>
      </c>
      <c r="BG767" s="3" t="n">
        <v>5.175021140196287</v>
      </c>
      <c r="BH767" s="3" t="n">
        <v>5.209161963646654</v>
      </c>
      <c r="BI767" s="3" t="n">
        <v>5.228687549892761</v>
      </c>
      <c r="BJ767" s="3" t="n">
        <v>5.339290305666099</v>
      </c>
      <c r="BK767" s="3" t="n">
        <v>5.346582817585603</v>
      </c>
      <c r="BL767" s="3" t="n">
        <v>5.362090957611482</v>
      </c>
      <c r="BM767" s="3" t="n">
        <v>5.579362453346389</v>
      </c>
      <c r="BN767" s="3" t="n">
        <v>6.596250059069449</v>
      </c>
      <c r="BO767" s="3" t="n">
        <v>6.61554301738015</v>
      </c>
      <c r="BP767" s="3" t="n"/>
      <c r="BQ767" s="3" t="n"/>
      <c r="BR767" s="34" t="str">
        <f>B767&amp;"|"&amp;D767</f>
        <v>TEC|SH.XPD.CHEX.GD.ZS</v>
      </c>
    </row>
    <row r="768">
      <c r="A768" s="3" t="inlineStr">
        <is>
          <t>Togo</t>
        </is>
      </c>
      <c r="B768" s="3" t="inlineStr">
        <is>
          <t>TGO</t>
        </is>
      </c>
      <c r="C768" s="3" t="inlineStr">
        <is>
          <t>Current health expenditure (% of GDP)</t>
        </is>
      </c>
      <c r="D768" s="3" t="inlineStr">
        <is>
          <t>SH.XPD.CHEX.GD.ZS</t>
        </is>
      </c>
      <c r="E768" s="3" t="n">
        <v>2021</v>
      </c>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c r="AD768" s="3" t="n"/>
      <c r="AE768" s="3" t="n"/>
      <c r="AF768" s="3" t="n"/>
      <c r="AG768" s="3" t="n"/>
      <c r="AH768" s="3" t="n"/>
      <c r="AI768" s="3" t="n"/>
      <c r="AJ768" s="3" t="n"/>
      <c r="AK768" s="3" t="n"/>
      <c r="AL768" s="3" t="n"/>
      <c r="AM768" s="3" t="n"/>
      <c r="AN768" s="3" t="n"/>
      <c r="AO768" s="3" t="n"/>
      <c r="AP768" s="3" t="n"/>
      <c r="AQ768" s="3" t="n"/>
      <c r="AR768" s="3" t="n"/>
      <c r="AS768" s="3" t="n"/>
      <c r="AT768" s="3" t="n">
        <v>2.79418182</v>
      </c>
      <c r="AU768" s="3" t="n">
        <v>2.88543367</v>
      </c>
      <c r="AV768" s="3" t="n">
        <v>2.90227056</v>
      </c>
      <c r="AW768" s="3" t="n">
        <v>2.93837667</v>
      </c>
      <c r="AX768" s="3" t="n">
        <v>3.0855279</v>
      </c>
      <c r="AY768" s="3" t="n">
        <v>3.3024261</v>
      </c>
      <c r="AZ768" s="3" t="n">
        <v>3.44603634</v>
      </c>
      <c r="BA768" s="3" t="n">
        <v>3.8666532</v>
      </c>
      <c r="BB768" s="3" t="n">
        <v>3.84063601</v>
      </c>
      <c r="BC768" s="3" t="n">
        <v>4.07616663</v>
      </c>
      <c r="BD768" s="3" t="n">
        <v>4.45493317</v>
      </c>
      <c r="BE768" s="3" t="n">
        <v>4.55412722</v>
      </c>
      <c r="BF768" s="3" t="n">
        <v>4.80787134</v>
      </c>
      <c r="BG768" s="3" t="n">
        <v>4.94373512</v>
      </c>
      <c r="BH768" s="3" t="n">
        <v>5.07998943</v>
      </c>
      <c r="BI768" s="3" t="n">
        <v>4.95647097</v>
      </c>
      <c r="BJ768" s="3" t="n">
        <v>6.59755707</v>
      </c>
      <c r="BK768" s="3" t="n">
        <v>6.49392271</v>
      </c>
      <c r="BL768" s="3" t="n">
        <v>6.08894634</v>
      </c>
      <c r="BM768" s="3" t="n">
        <v>5.726192</v>
      </c>
      <c r="BN768" s="3" t="n">
        <v>6.03786469</v>
      </c>
      <c r="BO768" s="3" t="n">
        <v>5.55532026</v>
      </c>
      <c r="BP768" s="3" t="n"/>
      <c r="BQ768" s="3" t="n"/>
      <c r="BR768" s="34" t="str">
        <f>B768&amp;"|"&amp;D768</f>
        <v>TGO|SH.XPD.CHEX.GD.ZS</v>
      </c>
    </row>
    <row r="769">
      <c r="A769" s="3" t="inlineStr">
        <is>
          <t>Thailand</t>
        </is>
      </c>
      <c r="B769" s="3" t="inlineStr">
        <is>
          <t>THA</t>
        </is>
      </c>
      <c r="C769" s="3" t="inlineStr">
        <is>
          <t>Current health expenditure (% of GDP)</t>
        </is>
      </c>
      <c r="D769" s="3" t="inlineStr">
        <is>
          <t>SH.XPD.CHEX.GD.ZS</t>
        </is>
      </c>
      <c r="E769" s="3" t="n">
        <v>2021</v>
      </c>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c r="AD769" s="3" t="n"/>
      <c r="AE769" s="3" t="n"/>
      <c r="AF769" s="3" t="n"/>
      <c r="AG769" s="3" t="n"/>
      <c r="AH769" s="3" t="n"/>
      <c r="AI769" s="3" t="n"/>
      <c r="AJ769" s="3" t="n"/>
      <c r="AK769" s="3" t="n"/>
      <c r="AL769" s="3" t="n"/>
      <c r="AM769" s="3" t="n"/>
      <c r="AN769" s="3" t="n"/>
      <c r="AO769" s="3" t="n"/>
      <c r="AP769" s="3" t="n"/>
      <c r="AQ769" s="3" t="n"/>
      <c r="AR769" s="3" t="n"/>
      <c r="AS769" s="3" t="n"/>
      <c r="AT769" s="3" t="n">
        <v>3.10125351</v>
      </c>
      <c r="AU769" s="3" t="n">
        <v>3.02623773</v>
      </c>
      <c r="AV769" s="3" t="n">
        <v>3.334723</v>
      </c>
      <c r="AW769" s="3" t="n">
        <v>3.24312782</v>
      </c>
      <c r="AX769" s="3" t="n">
        <v>3.13893151</v>
      </c>
      <c r="AY769" s="3" t="n">
        <v>3.15972233</v>
      </c>
      <c r="AZ769" s="3" t="n">
        <v>3.09970832</v>
      </c>
      <c r="BA769" s="3" t="n">
        <v>3.19277525</v>
      </c>
      <c r="BB769" s="3" t="n">
        <v>3.45933938</v>
      </c>
      <c r="BC769" s="3" t="n">
        <v>3.61939645</v>
      </c>
      <c r="BD769" s="3" t="n">
        <v>3.39009809</v>
      </c>
      <c r="BE769" s="3" t="n">
        <v>3.56825495</v>
      </c>
      <c r="BF769" s="3" t="n">
        <v>3.5229404</v>
      </c>
      <c r="BG769" s="3" t="n">
        <v>3.45313334</v>
      </c>
      <c r="BH769" s="3" t="n">
        <v>3.68448091</v>
      </c>
      <c r="BI769" s="3" t="n">
        <v>3.8522861</v>
      </c>
      <c r="BJ769" s="3" t="n">
        <v>3.93900609</v>
      </c>
      <c r="BK769" s="3" t="n">
        <v>3.85276842</v>
      </c>
      <c r="BL769" s="3" t="n">
        <v>3.87040329</v>
      </c>
      <c r="BM769" s="3" t="n">
        <v>3.78911877</v>
      </c>
      <c r="BN769" s="3" t="n">
        <v>4.35728741</v>
      </c>
      <c r="BO769" s="3" t="n">
        <v>5.16038752</v>
      </c>
      <c r="BP769" s="3" t="n"/>
      <c r="BQ769" s="3" t="n"/>
      <c r="BR769" s="34" t="str">
        <f>B769&amp;"|"&amp;D769</f>
        <v>THA|SH.XPD.CHEX.GD.ZS</v>
      </c>
    </row>
    <row r="770">
      <c r="A770" s="3" t="inlineStr">
        <is>
          <t>Tajikistan</t>
        </is>
      </c>
      <c r="B770" s="3" t="inlineStr">
        <is>
          <t>TJK</t>
        </is>
      </c>
      <c r="C770" s="3" t="inlineStr">
        <is>
          <t>Current health expenditure (% of GDP)</t>
        </is>
      </c>
      <c r="D770" s="3" t="inlineStr">
        <is>
          <t>SH.XPD.CHEX.GD.ZS</t>
        </is>
      </c>
      <c r="E770" s="3" t="n">
        <v>2021</v>
      </c>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c r="AD770" s="3" t="n"/>
      <c r="AE770" s="3" t="n"/>
      <c r="AF770" s="3" t="n"/>
      <c r="AG770" s="3" t="n"/>
      <c r="AH770" s="3" t="n"/>
      <c r="AI770" s="3" t="n"/>
      <c r="AJ770" s="3" t="n"/>
      <c r="AK770" s="3" t="n"/>
      <c r="AL770" s="3" t="n"/>
      <c r="AM770" s="3" t="n"/>
      <c r="AN770" s="3" t="n"/>
      <c r="AO770" s="3" t="n"/>
      <c r="AP770" s="3" t="n"/>
      <c r="AQ770" s="3" t="n"/>
      <c r="AR770" s="3" t="n"/>
      <c r="AS770" s="3" t="n"/>
      <c r="AT770" s="3" t="n">
        <v>4.26</v>
      </c>
      <c r="AU770" s="3" t="n">
        <v>4.58</v>
      </c>
      <c r="AV770" s="3" t="n">
        <v>4.44</v>
      </c>
      <c r="AW770" s="3" t="n">
        <v>4.7</v>
      </c>
      <c r="AX770" s="3" t="n">
        <v>4.8</v>
      </c>
      <c r="AY770" s="3" t="n">
        <v>5.21</v>
      </c>
      <c r="AZ770" s="3" t="n">
        <v>5.03</v>
      </c>
      <c r="BA770" s="3" t="n">
        <v>5.54</v>
      </c>
      <c r="BB770" s="3" t="n">
        <v>5.91</v>
      </c>
      <c r="BC770" s="3" t="n">
        <v>5.86</v>
      </c>
      <c r="BD770" s="3" t="n">
        <v>5.74</v>
      </c>
      <c r="BE770" s="3" t="n">
        <v>5.86</v>
      </c>
      <c r="BF770" s="3" t="n">
        <v>5.98</v>
      </c>
      <c r="BG770" s="3" t="n">
        <v>6.53</v>
      </c>
      <c r="BH770" s="3" t="n">
        <v>6.67</v>
      </c>
      <c r="BI770" s="3" t="n">
        <v>6.91</v>
      </c>
      <c r="BJ770" s="3" t="n">
        <v>6.96</v>
      </c>
      <c r="BK770" s="3" t="n">
        <v>6.85</v>
      </c>
      <c r="BL770" s="3" t="n">
        <v>7.01</v>
      </c>
      <c r="BM770" s="3" t="n">
        <v>6.95</v>
      </c>
      <c r="BN770" s="3" t="n">
        <v>8.18</v>
      </c>
      <c r="BO770" s="3" t="n">
        <v>8.01</v>
      </c>
      <c r="BP770" s="3" t="n"/>
      <c r="BQ770" s="3" t="n"/>
      <c r="BR770" s="34" t="str">
        <f>B770&amp;"|"&amp;D770</f>
        <v>TJK|SH.XPD.CHEX.GD.ZS</v>
      </c>
    </row>
    <row r="771">
      <c r="A771" s="3" t="inlineStr">
        <is>
          <t>Turkmenistan</t>
        </is>
      </c>
      <c r="B771" s="3" t="inlineStr">
        <is>
          <t>TKM</t>
        </is>
      </c>
      <c r="C771" s="3" t="inlineStr">
        <is>
          <t>Current health expenditure (% of GDP)</t>
        </is>
      </c>
      <c r="D771" s="3" t="inlineStr">
        <is>
          <t>SH.XPD.CHEX.GD.ZS</t>
        </is>
      </c>
      <c r="E771" s="3" t="n">
        <v>2021</v>
      </c>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c r="AD771" s="3" t="n"/>
      <c r="AE771" s="3" t="n"/>
      <c r="AF771" s="3" t="n"/>
      <c r="AG771" s="3" t="n"/>
      <c r="AH771" s="3" t="n"/>
      <c r="AI771" s="3" t="n"/>
      <c r="AJ771" s="3" t="n"/>
      <c r="AK771" s="3" t="n"/>
      <c r="AL771" s="3" t="n"/>
      <c r="AM771" s="3" t="n"/>
      <c r="AN771" s="3" t="n"/>
      <c r="AO771" s="3" t="n"/>
      <c r="AP771" s="3" t="n"/>
      <c r="AQ771" s="3" t="n"/>
      <c r="AR771" s="3" t="n"/>
      <c r="AS771" s="3" t="n"/>
      <c r="AT771" s="3" t="n">
        <v>4.07783461</v>
      </c>
      <c r="AU771" s="3" t="n">
        <v>4.82198191</v>
      </c>
      <c r="AV771" s="3" t="n">
        <v>4.15504408</v>
      </c>
      <c r="AW771" s="3" t="n">
        <v>5.0367589</v>
      </c>
      <c r="AX771" s="3" t="n">
        <v>6.25892353</v>
      </c>
      <c r="AY771" s="3" t="n">
        <v>5.65422964</v>
      </c>
      <c r="AZ771" s="3" t="n">
        <v>4.97834015</v>
      </c>
      <c r="BA771" s="3" t="n">
        <v>3.12948632</v>
      </c>
      <c r="BB771" s="3" t="n">
        <v>3.49424887</v>
      </c>
      <c r="BC771" s="3" t="n">
        <v>2.84764099</v>
      </c>
      <c r="BD771" s="3" t="n">
        <v>3.24345636</v>
      </c>
      <c r="BE771" s="3" t="n">
        <v>3.24805617</v>
      </c>
      <c r="BF771" s="3" t="n">
        <v>3.36840105</v>
      </c>
      <c r="BG771" s="3" t="n">
        <v>3.93541193</v>
      </c>
      <c r="BH771" s="3" t="n">
        <v>4.30969286</v>
      </c>
      <c r="BI771" s="3" t="n">
        <v>5.11721087</v>
      </c>
      <c r="BJ771" s="3" t="n">
        <v>5.74498892</v>
      </c>
      <c r="BK771" s="3" t="n">
        <v>5.93897438</v>
      </c>
      <c r="BL771" s="3" t="n">
        <v>5.69395018</v>
      </c>
      <c r="BM771" s="3" t="n">
        <v>5.68183947</v>
      </c>
      <c r="BN771" s="3" t="n">
        <v>5.68472815</v>
      </c>
      <c r="BO771" s="3" t="n">
        <v>5.56931353</v>
      </c>
      <c r="BP771" s="3" t="n"/>
      <c r="BQ771" s="3" t="n"/>
      <c r="BR771" s="34" t="str">
        <f>B771&amp;"|"&amp;D771</f>
        <v>TKM|SH.XPD.CHEX.GD.ZS</v>
      </c>
    </row>
    <row r="772">
      <c r="A772" s="3" t="inlineStr">
        <is>
          <t>Latin America &amp; the Caribbean (IDA &amp; IBRD countries)</t>
        </is>
      </c>
      <c r="B772" s="3" t="inlineStr">
        <is>
          <t>TLA</t>
        </is>
      </c>
      <c r="C772" s="3" t="inlineStr">
        <is>
          <t>Current health expenditure (% of GDP)</t>
        </is>
      </c>
      <c r="D772" s="3" t="inlineStr">
        <is>
          <t>SH.XPD.CHEX.GD.ZS</t>
        </is>
      </c>
      <c r="E772" s="3" t="n">
        <v>2021</v>
      </c>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c r="AD772" s="3" t="n"/>
      <c r="AE772" s="3" t="n"/>
      <c r="AF772" s="3" t="n"/>
      <c r="AG772" s="3" t="n"/>
      <c r="AH772" s="3" t="n"/>
      <c r="AI772" s="3" t="n"/>
      <c r="AJ772" s="3" t="n"/>
      <c r="AK772" s="3" t="n"/>
      <c r="AL772" s="3" t="n"/>
      <c r="AM772" s="3" t="n"/>
      <c r="AN772" s="3" t="n"/>
      <c r="AO772" s="3" t="n"/>
      <c r="AP772" s="3" t="n"/>
      <c r="AQ772" s="3" t="n"/>
      <c r="AR772" s="3" t="n"/>
      <c r="AS772" s="3" t="n"/>
      <c r="AT772" s="3" t="n">
        <v>6.450570396356617</v>
      </c>
      <c r="AU772" s="3" t="n">
        <v>6.544705132536905</v>
      </c>
      <c r="AV772" s="3" t="n">
        <v>6.397844195172851</v>
      </c>
      <c r="AW772" s="3" t="n">
        <v>6.622995740022645</v>
      </c>
      <c r="AX772" s="3" t="n">
        <v>6.70828341848441</v>
      </c>
      <c r="AY772" s="3" t="n">
        <v>6.737090460573078</v>
      </c>
      <c r="AZ772" s="3" t="n">
        <v>6.782409108528967</v>
      </c>
      <c r="BA772" s="3" t="n">
        <v>6.908743479438066</v>
      </c>
      <c r="BB772" s="3" t="n">
        <v>6.959799348490768</v>
      </c>
      <c r="BC772" s="3" t="n">
        <v>7.501688427102855</v>
      </c>
      <c r="BD772" s="3" t="n">
        <v>7.233380376824288</v>
      </c>
      <c r="BE772" s="3" t="n">
        <v>7.130775773826679</v>
      </c>
      <c r="BF772" s="3" t="n">
        <v>7.163491618826691</v>
      </c>
      <c r="BG772" s="3" t="n">
        <v>7.305016719359053</v>
      </c>
      <c r="BH772" s="3" t="n">
        <v>7.426093865952557</v>
      </c>
      <c r="BI772" s="3" t="n">
        <v>7.763804352134365</v>
      </c>
      <c r="BJ772" s="3" t="n">
        <v>7.813816143215511</v>
      </c>
      <c r="BK772" s="3" t="n">
        <v>8.033076187632947</v>
      </c>
      <c r="BL772" s="3" t="n">
        <v>7.914821126047686</v>
      </c>
      <c r="BM772" s="3" t="n">
        <v>7.92210575858763</v>
      </c>
      <c r="BN772" s="3" t="n">
        <v>8.511082071878024</v>
      </c>
      <c r="BO772" s="3" t="n">
        <v>8.305773307449</v>
      </c>
      <c r="BP772" s="3" t="n"/>
      <c r="BQ772" s="3" t="n"/>
      <c r="BR772" s="34" t="str">
        <f>B772&amp;"|"&amp;D772</f>
        <v>TLA|SH.XPD.CHEX.GD.ZS</v>
      </c>
    </row>
    <row r="773">
      <c r="A773" s="3" t="inlineStr">
        <is>
          <t>Timor-Leste</t>
        </is>
      </c>
      <c r="B773" s="3" t="inlineStr">
        <is>
          <t>TLS</t>
        </is>
      </c>
      <c r="C773" s="3" t="inlineStr">
        <is>
          <t>Current health expenditure (% of GDP)</t>
        </is>
      </c>
      <c r="D773" s="3" t="inlineStr">
        <is>
          <t>SH.XPD.CHEX.GD.ZS</t>
        </is>
      </c>
      <c r="E773" s="3" t="n">
        <v>2021</v>
      </c>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c r="AD773" s="3" t="n"/>
      <c r="AE773" s="3" t="n"/>
      <c r="AF773" s="3" t="n"/>
      <c r="AG773" s="3" t="n"/>
      <c r="AH773" s="3" t="n"/>
      <c r="AI773" s="3" t="n"/>
      <c r="AJ773" s="3" t="n"/>
      <c r="AK773" s="3" t="n"/>
      <c r="AL773" s="3" t="n"/>
      <c r="AM773" s="3" t="n"/>
      <c r="AN773" s="3" t="n"/>
      <c r="AO773" s="3" t="n"/>
      <c r="AP773" s="3" t="n"/>
      <c r="AQ773" s="3" t="n"/>
      <c r="AR773" s="3" t="n"/>
      <c r="AS773" s="3" t="n"/>
      <c r="AT773" s="3" t="n"/>
      <c r="AU773" s="3" t="n"/>
      <c r="AV773" s="3" t="n"/>
      <c r="AW773" s="3" t="n">
        <v>2.84187031</v>
      </c>
      <c r="AX773" s="3" t="n">
        <v>4.26103544</v>
      </c>
      <c r="AY773" s="3" t="n">
        <v>5.28044748</v>
      </c>
      <c r="AZ773" s="3" t="n">
        <v>6.00192022</v>
      </c>
      <c r="BA773" s="3" t="n">
        <v>5.64793253</v>
      </c>
      <c r="BB773" s="3" t="n">
        <v>6.96563959</v>
      </c>
      <c r="BC773" s="3" t="n">
        <v>7.30931807</v>
      </c>
      <c r="BD773" s="3" t="n">
        <v>6.47058821</v>
      </c>
      <c r="BE773" s="3" t="n">
        <v>6.86541462</v>
      </c>
      <c r="BF773" s="3" t="n">
        <v>6.99215221</v>
      </c>
      <c r="BG773" s="3" t="n">
        <v>8.5323782</v>
      </c>
      <c r="BH773" s="3" t="n">
        <v>7.60483742</v>
      </c>
      <c r="BI773" s="3" t="n">
        <v>7.67216587</v>
      </c>
      <c r="BJ773" s="3" t="n">
        <v>6.89625168</v>
      </c>
      <c r="BK773" s="3" t="n">
        <v>6.75752544</v>
      </c>
      <c r="BL773" s="3" t="n">
        <v>6.36952639</v>
      </c>
      <c r="BM773" s="3" t="n">
        <v>6.02679253</v>
      </c>
      <c r="BN773" s="3" t="n">
        <v>9.96385956</v>
      </c>
      <c r="BO773" s="3" t="n">
        <v>11.43839264</v>
      </c>
      <c r="BP773" s="3" t="n"/>
      <c r="BQ773" s="3" t="n"/>
      <c r="BR773" s="34" t="str">
        <f>B773&amp;"|"&amp;D773</f>
        <v>TLS|SH.XPD.CHEX.GD.ZS</v>
      </c>
    </row>
    <row r="774">
      <c r="A774" s="3" t="inlineStr">
        <is>
          <t>Middle East &amp; North Africa (IDA &amp; IBRD countries)</t>
        </is>
      </c>
      <c r="B774" s="3" t="inlineStr">
        <is>
          <t>TMN</t>
        </is>
      </c>
      <c r="C774" s="3" t="inlineStr">
        <is>
          <t>Current health expenditure (% of GDP)</t>
        </is>
      </c>
      <c r="D774" s="3" t="inlineStr">
        <is>
          <t>SH.XPD.CHEX.GD.ZS</t>
        </is>
      </c>
      <c r="E774" s="3" t="n">
        <v>2021</v>
      </c>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c r="AD774" s="3" t="n"/>
      <c r="AE774" s="3" t="n"/>
      <c r="AF774" s="3" t="n"/>
      <c r="AG774" s="3" t="n"/>
      <c r="AH774" s="3" t="n"/>
      <c r="AI774" s="3" t="n"/>
      <c r="AJ774" s="3" t="n"/>
      <c r="AK774" s="3" t="n"/>
      <c r="AL774" s="3" t="n"/>
      <c r="AM774" s="3" t="n"/>
      <c r="AN774" s="3" t="n"/>
      <c r="AO774" s="3" t="n"/>
      <c r="AP774" s="3" t="n"/>
      <c r="AQ774" s="3" t="n"/>
      <c r="AR774" s="3" t="n"/>
      <c r="AS774" s="3" t="n"/>
      <c r="AT774" s="3" t="n">
        <v>4.713884071101667</v>
      </c>
      <c r="AU774" s="3" t="n">
        <v>5.068106735413489</v>
      </c>
      <c r="AV774" s="3" t="n">
        <v>4.984066341694606</v>
      </c>
      <c r="AW774" s="3" t="n">
        <v>4.828520654508422</v>
      </c>
      <c r="AX774" s="3" t="n">
        <v>4.733695867350998</v>
      </c>
      <c r="AY774" s="3" t="n">
        <v>4.561952935101708</v>
      </c>
      <c r="AZ774" s="3" t="n">
        <v>4.463365230343793</v>
      </c>
      <c r="BA774" s="3" t="n">
        <v>4.493501005713721</v>
      </c>
      <c r="BB774" s="3" t="n">
        <v>4.504298922052818</v>
      </c>
      <c r="BC774" s="3" t="n">
        <v>5.282039580241392</v>
      </c>
      <c r="BD774" s="3" t="n">
        <v>5.169630081983674</v>
      </c>
      <c r="BE774" s="3" t="n">
        <v>5.168488659873139</v>
      </c>
      <c r="BF774" s="3" t="n">
        <v>5.296357131777529</v>
      </c>
      <c r="BG774" s="3" t="n">
        <v>5.109222597356147</v>
      </c>
      <c r="BH774" s="3" t="n">
        <v>5.477382133272125</v>
      </c>
      <c r="BI774" s="3" t="n">
        <v>5.985790344954224</v>
      </c>
      <c r="BJ774" s="3" t="n">
        <v>6.370788242262609</v>
      </c>
      <c r="BK774" s="3" t="n">
        <v>6.353921120368724</v>
      </c>
      <c r="BL774" s="3" t="n">
        <v>5.925074863152915</v>
      </c>
      <c r="BM774" s="3" t="n">
        <v>5.415550875023512</v>
      </c>
      <c r="BN774" s="3" t="n">
        <v>5.431573492953718</v>
      </c>
      <c r="BO774" s="3" t="n">
        <v>5.467619594306316</v>
      </c>
      <c r="BP774" s="3" t="n"/>
      <c r="BQ774" s="3" t="n"/>
      <c r="BR774" s="34" t="str">
        <f>B774&amp;"|"&amp;D774</f>
        <v>TMN|SH.XPD.CHEX.GD.ZS</v>
      </c>
    </row>
    <row r="775">
      <c r="A775" s="3" t="inlineStr">
        <is>
          <t>Tonga</t>
        </is>
      </c>
      <c r="B775" s="3" t="inlineStr">
        <is>
          <t>TON</t>
        </is>
      </c>
      <c r="C775" s="3" t="inlineStr">
        <is>
          <t>Current health expenditure (% of GDP)</t>
        </is>
      </c>
      <c r="D775" s="3" t="inlineStr">
        <is>
          <t>SH.XPD.CHEX.GD.ZS</t>
        </is>
      </c>
      <c r="E775" s="3" t="n">
        <v>2021</v>
      </c>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c r="AD775" s="3" t="n"/>
      <c r="AE775" s="3" t="n"/>
      <c r="AF775" s="3" t="n"/>
      <c r="AG775" s="3" t="n"/>
      <c r="AH775" s="3" t="n"/>
      <c r="AI775" s="3" t="n"/>
      <c r="AJ775" s="3" t="n"/>
      <c r="AK775" s="3" t="n"/>
      <c r="AL775" s="3" t="n"/>
      <c r="AM775" s="3" t="n"/>
      <c r="AN775" s="3" t="n"/>
      <c r="AO775" s="3" t="n"/>
      <c r="AP775" s="3" t="n"/>
      <c r="AQ775" s="3" t="n"/>
      <c r="AR775" s="3" t="n"/>
      <c r="AS775" s="3" t="n"/>
      <c r="AT775" s="3" t="n">
        <v>2.90389204</v>
      </c>
      <c r="AU775" s="3" t="n">
        <v>3.42501593</v>
      </c>
      <c r="AV775" s="3" t="n">
        <v>3.58957744</v>
      </c>
      <c r="AW775" s="3" t="n">
        <v>3.43583083</v>
      </c>
      <c r="AX775" s="3" t="n">
        <v>4.50741625</v>
      </c>
      <c r="AY775" s="3" t="n">
        <v>4.38560247</v>
      </c>
      <c r="AZ775" s="3" t="n">
        <v>5.47225046</v>
      </c>
      <c r="BA775" s="3" t="n">
        <v>4.73330021</v>
      </c>
      <c r="BB775" s="3" t="n">
        <v>6.05759716</v>
      </c>
      <c r="BC775" s="3" t="n">
        <v>3.92779636</v>
      </c>
      <c r="BD775" s="3" t="n">
        <v>4.81632328</v>
      </c>
      <c r="BE775" s="3" t="n">
        <v>3.82126665</v>
      </c>
      <c r="BF775" s="3" t="n">
        <v>4.79517698</v>
      </c>
      <c r="BG775" s="3" t="n">
        <v>3.9839797</v>
      </c>
      <c r="BH775" s="3" t="n">
        <v>5.00648069</v>
      </c>
      <c r="BI775" s="3" t="n">
        <v>4.47327423</v>
      </c>
      <c r="BJ775" s="3" t="n">
        <v>4.81820822</v>
      </c>
      <c r="BK775" s="3" t="n">
        <v>4.85577822</v>
      </c>
      <c r="BL775" s="3" t="n">
        <v>4.80628061</v>
      </c>
      <c r="BM775" s="3" t="n">
        <v>4.75078154</v>
      </c>
      <c r="BN775" s="3" t="n">
        <v>5.33435154</v>
      </c>
      <c r="BO775" s="3" t="n">
        <v>6.27256584</v>
      </c>
      <c r="BP775" s="3" t="n"/>
      <c r="BQ775" s="3" t="n"/>
      <c r="BR775" s="34" t="str">
        <f>B775&amp;"|"&amp;D775</f>
        <v>TON|SH.XPD.CHEX.GD.ZS</v>
      </c>
    </row>
    <row r="776">
      <c r="A776" s="3" t="inlineStr">
        <is>
          <t>South Asia (IDA &amp; IBRD)</t>
        </is>
      </c>
      <c r="B776" s="3" t="inlineStr">
        <is>
          <t>TSA</t>
        </is>
      </c>
      <c r="C776" s="3" t="inlineStr">
        <is>
          <t>Current health expenditure (% of GDP)</t>
        </is>
      </c>
      <c r="D776" s="3" t="inlineStr">
        <is>
          <t>SH.XPD.CHEX.GD.ZS</t>
        </is>
      </c>
      <c r="E776" s="3" t="n">
        <v>2021</v>
      </c>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c r="AD776" s="3" t="n"/>
      <c r="AE776" s="3" t="n"/>
      <c r="AF776" s="3" t="n"/>
      <c r="AG776" s="3" t="n"/>
      <c r="AH776" s="3" t="n"/>
      <c r="AI776" s="3" t="n"/>
      <c r="AJ776" s="3" t="n"/>
      <c r="AK776" s="3" t="n"/>
      <c r="AL776" s="3" t="n"/>
      <c r="AM776" s="3" t="n"/>
      <c r="AN776" s="3" t="n"/>
      <c r="AO776" s="3" t="n"/>
      <c r="AP776" s="3" t="n"/>
      <c r="AQ776" s="3" t="n"/>
      <c r="AR776" s="3" t="n"/>
      <c r="AS776" s="3" t="n"/>
      <c r="AT776" s="3" t="n">
        <v>3.640314889205471</v>
      </c>
      <c r="AU776" s="3" t="n">
        <v>3.80140134125838</v>
      </c>
      <c r="AV776" s="3" t="n">
        <v>3.863810697932982</v>
      </c>
      <c r="AW776" s="3" t="n">
        <v>3.643047397581479</v>
      </c>
      <c r="AX776" s="3" t="n">
        <v>3.62028477900676</v>
      </c>
      <c r="AY776" s="3" t="n">
        <v>3.555461825738651</v>
      </c>
      <c r="AZ776" s="3" t="n">
        <v>3.489197524319872</v>
      </c>
      <c r="BA776" s="3" t="n">
        <v>3.420050230412607</v>
      </c>
      <c r="BB776" s="3" t="n">
        <v>3.391474763291619</v>
      </c>
      <c r="BC776" s="3" t="n">
        <v>3.372095241953155</v>
      </c>
      <c r="BD776" s="3" t="n">
        <v>3.201848823522309</v>
      </c>
      <c r="BE776" s="3" t="n">
        <v>3.156777799470831</v>
      </c>
      <c r="BF776" s="3" t="n">
        <v>3.20886107190424</v>
      </c>
      <c r="BG776" s="3" t="n">
        <v>3.567703287262918</v>
      </c>
      <c r="BH776" s="3" t="n">
        <v>3.470838378952299</v>
      </c>
      <c r="BI776" s="3" t="n">
        <v>3.452421983687841</v>
      </c>
      <c r="BJ776" s="3" t="n">
        <v>3.384559492561419</v>
      </c>
      <c r="BK776" s="3" t="n">
        <v>2.963607523193737</v>
      </c>
      <c r="BL776" s="3" t="n">
        <v>2.909130888067948</v>
      </c>
      <c r="BM776" s="3" t="n">
        <v>2.980573333406792</v>
      </c>
      <c r="BN776" s="3" t="n">
        <v>3.305409037931338</v>
      </c>
      <c r="BO776" s="3" t="n">
        <v>3.265601845896015</v>
      </c>
      <c r="BP776" s="3" t="n"/>
      <c r="BQ776" s="3" t="n"/>
      <c r="BR776" s="34" t="str">
        <f>B776&amp;"|"&amp;D776</f>
        <v>TSA|SH.XPD.CHEX.GD.ZS</v>
      </c>
    </row>
    <row r="777">
      <c r="A777" s="3" t="inlineStr">
        <is>
          <t>Sub-Saharan Africa (IDA &amp; IBRD countries)</t>
        </is>
      </c>
      <c r="B777" s="3" t="inlineStr">
        <is>
          <t>TSS</t>
        </is>
      </c>
      <c r="C777" s="3" t="inlineStr">
        <is>
          <t>Current health expenditure (% of GDP)</t>
        </is>
      </c>
      <c r="D777" s="3" t="inlineStr">
        <is>
          <t>SH.XPD.CHEX.GD.ZS</t>
        </is>
      </c>
      <c r="E777" s="3" t="n">
        <v>2021</v>
      </c>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c r="AD777" s="3" t="n"/>
      <c r="AE777" s="3" t="n"/>
      <c r="AF777" s="3" t="n"/>
      <c r="AG777" s="3" t="n"/>
      <c r="AH777" s="3" t="n"/>
      <c r="AI777" s="3" t="n"/>
      <c r="AJ777" s="3" t="n"/>
      <c r="AK777" s="3" t="n"/>
      <c r="AL777" s="3" t="n"/>
      <c r="AM777" s="3" t="n"/>
      <c r="AN777" s="3" t="n"/>
      <c r="AO777" s="3" t="n"/>
      <c r="AP777" s="3" t="n"/>
      <c r="AQ777" s="3" t="n"/>
      <c r="AR777" s="3" t="n"/>
      <c r="AS777" s="3" t="n"/>
      <c r="AT777" s="3" t="n">
        <v>4.99220866739475</v>
      </c>
      <c r="AU777" s="3" t="n">
        <v>5.026828695498962</v>
      </c>
      <c r="AV777" s="3" t="n">
        <v>4.587362407894616</v>
      </c>
      <c r="AW777" s="3" t="n">
        <v>5.495679529355804</v>
      </c>
      <c r="AX777" s="3" t="n">
        <v>5.479192446219814</v>
      </c>
      <c r="AY777" s="3" t="n">
        <v>5.292199900882539</v>
      </c>
      <c r="AZ777" s="3" t="n">
        <v>5.20108209248605</v>
      </c>
      <c r="BA777" s="3" t="n">
        <v>5.09929918803561</v>
      </c>
      <c r="BB777" s="3" t="n">
        <v>4.8913538896588</v>
      </c>
      <c r="BC777" s="3" t="n">
        <v>5.287127147199776</v>
      </c>
      <c r="BD777" s="3" t="n">
        <v>5.212254658508281</v>
      </c>
      <c r="BE777" s="3" t="n">
        <v>5.154718470050524</v>
      </c>
      <c r="BF777" s="3" t="n">
        <v>4.986013043784348</v>
      </c>
      <c r="BG777" s="3" t="n">
        <v>4.965664429142175</v>
      </c>
      <c r="BH777" s="3" t="n">
        <v>4.750168950013905</v>
      </c>
      <c r="BI777" s="3" t="n">
        <v>4.973922410465863</v>
      </c>
      <c r="BJ777" s="3" t="n">
        <v>5.041970789670984</v>
      </c>
      <c r="BK777" s="3" t="n">
        <v>5.044627777481184</v>
      </c>
      <c r="BL777" s="3" t="n">
        <v>4.774888193044558</v>
      </c>
      <c r="BM777" s="3" t="n">
        <v>4.734062229430405</v>
      </c>
      <c r="BN777" s="3" t="n">
        <v>4.936455611550368</v>
      </c>
      <c r="BO777" s="3" t="n">
        <v>5.10362475159997</v>
      </c>
      <c r="BP777" s="3" t="n"/>
      <c r="BQ777" s="3" t="n"/>
      <c r="BR777" s="34" t="str">
        <f>B777&amp;"|"&amp;D777</f>
        <v>TSS|SH.XPD.CHEX.GD.ZS</v>
      </c>
    </row>
    <row r="778">
      <c r="A778" s="3" t="inlineStr">
        <is>
          <t>Trinidad and Tobago</t>
        </is>
      </c>
      <c r="B778" s="3" t="inlineStr">
        <is>
          <t>TTO</t>
        </is>
      </c>
      <c r="C778" s="3" t="inlineStr">
        <is>
          <t>Current health expenditure (% of GDP)</t>
        </is>
      </c>
      <c r="D778" s="3" t="inlineStr">
        <is>
          <t>SH.XPD.CHEX.GD.ZS</t>
        </is>
      </c>
      <c r="E778" s="3" t="n">
        <v>2021</v>
      </c>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c r="AD778" s="3" t="n"/>
      <c r="AE778" s="3" t="n"/>
      <c r="AF778" s="3" t="n"/>
      <c r="AG778" s="3" t="n"/>
      <c r="AH778" s="3" t="n"/>
      <c r="AI778" s="3" t="n"/>
      <c r="AJ778" s="3" t="n"/>
      <c r="AK778" s="3" t="n"/>
      <c r="AL778" s="3" t="n"/>
      <c r="AM778" s="3" t="n"/>
      <c r="AN778" s="3" t="n"/>
      <c r="AO778" s="3" t="n"/>
      <c r="AP778" s="3" t="n"/>
      <c r="AQ778" s="3" t="n"/>
      <c r="AR778" s="3" t="n"/>
      <c r="AS778" s="3" t="n"/>
      <c r="AT778" s="3" t="n">
        <v>4.23492479</v>
      </c>
      <c r="AU778" s="3" t="n">
        <v>4.0346489</v>
      </c>
      <c r="AV778" s="3" t="n">
        <v>4.72302485</v>
      </c>
      <c r="AW778" s="3" t="n">
        <v>4.18767118</v>
      </c>
      <c r="AX778" s="3" t="n">
        <v>4.30805206</v>
      </c>
      <c r="AY778" s="3" t="n">
        <v>4.43451166</v>
      </c>
      <c r="AZ778" s="3" t="n">
        <v>4.15431976</v>
      </c>
      <c r="BA778" s="3" t="n">
        <v>4.1536026</v>
      </c>
      <c r="BB778" s="3" t="n">
        <v>3.6575706</v>
      </c>
      <c r="BC778" s="3" t="n">
        <v>5.48676443</v>
      </c>
      <c r="BD778" s="3" t="n">
        <v>5.08042908</v>
      </c>
      <c r="BE778" s="3" t="n">
        <v>4.72197914</v>
      </c>
      <c r="BF778" s="3" t="n">
        <v>4.63289499</v>
      </c>
      <c r="BG778" s="3" t="n">
        <v>4.80276918</v>
      </c>
      <c r="BH778" s="3" t="n">
        <v>4.87136698</v>
      </c>
      <c r="BI778" s="3" t="n">
        <v>5.65026045</v>
      </c>
      <c r="BJ778" s="3" t="n">
        <v>6.50998688</v>
      </c>
      <c r="BK778" s="3" t="n">
        <v>6.57946634</v>
      </c>
      <c r="BL778" s="3" t="n">
        <v>6.5323596</v>
      </c>
      <c r="BM778" s="3" t="n">
        <v>6.83128405</v>
      </c>
      <c r="BN778" s="3" t="n">
        <v>7.53854179</v>
      </c>
      <c r="BO778" s="3" t="n">
        <v>7.0194726</v>
      </c>
      <c r="BP778" s="3" t="n"/>
      <c r="BQ778" s="3" t="n"/>
      <c r="BR778" s="34" t="str">
        <f>B778&amp;"|"&amp;D778</f>
        <v>TTO|SH.XPD.CHEX.GD.ZS</v>
      </c>
    </row>
    <row r="779">
      <c r="A779" s="3" t="inlineStr">
        <is>
          <t>Tunisia</t>
        </is>
      </c>
      <c r="B779" s="3" t="inlineStr">
        <is>
          <t>TUN</t>
        </is>
      </c>
      <c r="C779" s="3" t="inlineStr">
        <is>
          <t>Current health expenditure (% of GDP)</t>
        </is>
      </c>
      <c r="D779" s="3" t="inlineStr">
        <is>
          <t>SH.XPD.CHEX.GD.ZS</t>
        </is>
      </c>
      <c r="E779" s="3" t="n">
        <v>2021</v>
      </c>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c r="AD779" s="3" t="n"/>
      <c r="AE779" s="3" t="n"/>
      <c r="AF779" s="3" t="n"/>
      <c r="AG779" s="3" t="n"/>
      <c r="AH779" s="3" t="n"/>
      <c r="AI779" s="3" t="n"/>
      <c r="AJ779" s="3" t="n"/>
      <c r="AK779" s="3" t="n"/>
      <c r="AL779" s="3" t="n"/>
      <c r="AM779" s="3" t="n"/>
      <c r="AN779" s="3" t="n"/>
      <c r="AO779" s="3" t="n"/>
      <c r="AP779" s="3" t="n"/>
      <c r="AQ779" s="3" t="n"/>
      <c r="AR779" s="3" t="n"/>
      <c r="AS779" s="3" t="n"/>
      <c r="AT779" s="3" t="n">
        <v>4.81271935</v>
      </c>
      <c r="AU779" s="3" t="n">
        <v>4.86132765</v>
      </c>
      <c r="AV779" s="3" t="n">
        <v>5.12036419</v>
      </c>
      <c r="AW779" s="3" t="n">
        <v>5.20888519</v>
      </c>
      <c r="AX779" s="3" t="n">
        <v>5.19890785</v>
      </c>
      <c r="AY779" s="3" t="n">
        <v>5.14555788</v>
      </c>
      <c r="AZ779" s="3" t="n">
        <v>5.13109922</v>
      </c>
      <c r="BA779" s="3" t="n">
        <v>5.17542839</v>
      </c>
      <c r="BB779" s="3" t="n">
        <v>5.1644063</v>
      </c>
      <c r="BC779" s="3" t="n">
        <v>5.40595293</v>
      </c>
      <c r="BD779" s="3" t="n">
        <v>5.60950756</v>
      </c>
      <c r="BE779" s="3" t="n">
        <v>6.12299299</v>
      </c>
      <c r="BF779" s="3" t="n">
        <v>6.28984737</v>
      </c>
      <c r="BG779" s="3" t="n">
        <v>6.51394987</v>
      </c>
      <c r="BH779" s="3" t="n">
        <v>6.45006084</v>
      </c>
      <c r="BI779" s="3" t="n">
        <v>6.21339941</v>
      </c>
      <c r="BJ779" s="3" t="n">
        <v>6.24778175</v>
      </c>
      <c r="BK779" s="3" t="n">
        <v>6.18557453</v>
      </c>
      <c r="BL779" s="3" t="n">
        <v>5.9375186</v>
      </c>
      <c r="BM779" s="3" t="n">
        <v>6.02461243</v>
      </c>
      <c r="BN779" s="3" t="n">
        <v>7.05024958</v>
      </c>
      <c r="BO779" s="3" t="n">
        <v>6.97273922</v>
      </c>
      <c r="BP779" s="3" t="n"/>
      <c r="BQ779" s="3" t="n"/>
      <c r="BR779" s="34" t="str">
        <f>B779&amp;"|"&amp;D779</f>
        <v>TUN|SH.XPD.CHEX.GD.ZS</v>
      </c>
    </row>
    <row r="780">
      <c r="A780" s="3" t="inlineStr">
        <is>
          <t>Turkiye</t>
        </is>
      </c>
      <c r="B780" s="3" t="inlineStr">
        <is>
          <t>TUR</t>
        </is>
      </c>
      <c r="C780" s="3" t="inlineStr">
        <is>
          <t>Current health expenditure (% of GDP)</t>
        </is>
      </c>
      <c r="D780" s="3" t="inlineStr">
        <is>
          <t>SH.XPD.CHEX.GD.ZS</t>
        </is>
      </c>
      <c r="E780" s="3" t="n">
        <v>2021</v>
      </c>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c r="AD780" s="3" t="n"/>
      <c r="AE780" s="3" t="n"/>
      <c r="AF780" s="3" t="n"/>
      <c r="AG780" s="3" t="n"/>
      <c r="AH780" s="3" t="n"/>
      <c r="AI780" s="3" t="n"/>
      <c r="AJ780" s="3" t="n"/>
      <c r="AK780" s="3" t="n"/>
      <c r="AL780" s="3" t="n"/>
      <c r="AM780" s="3" t="n"/>
      <c r="AN780" s="3" t="n"/>
      <c r="AO780" s="3" t="n"/>
      <c r="AP780" s="3" t="n"/>
      <c r="AQ780" s="3" t="n"/>
      <c r="AR780" s="3" t="n"/>
      <c r="AS780" s="3" t="n"/>
      <c r="AT780" s="3" t="n">
        <v>4.6</v>
      </c>
      <c r="AU780" s="3" t="n">
        <v>4.89</v>
      </c>
      <c r="AV780" s="3" t="n">
        <v>5.06</v>
      </c>
      <c r="AW780" s="3" t="n">
        <v>5.01</v>
      </c>
      <c r="AX780" s="3" t="n">
        <v>4.91</v>
      </c>
      <c r="AY780" s="3" t="n">
        <v>4.89</v>
      </c>
      <c r="AZ780" s="3" t="n">
        <v>5.15</v>
      </c>
      <c r="BA780" s="3" t="n">
        <v>5.24</v>
      </c>
      <c r="BB780" s="3" t="n">
        <v>5.22</v>
      </c>
      <c r="BC780" s="3" t="n">
        <v>5.49</v>
      </c>
      <c r="BD780" s="3" t="n">
        <v>5.02</v>
      </c>
      <c r="BE780" s="3" t="n">
        <v>4.65</v>
      </c>
      <c r="BF780" s="3" t="n">
        <v>4.44</v>
      </c>
      <c r="BG780" s="3" t="n">
        <v>4.37</v>
      </c>
      <c r="BH780" s="3" t="n">
        <v>4.33</v>
      </c>
      <c r="BI780" s="3" t="n">
        <v>4.12</v>
      </c>
      <c r="BJ780" s="3" t="n">
        <v>4.28</v>
      </c>
      <c r="BK780" s="3" t="n">
        <v>4.18</v>
      </c>
      <c r="BL780" s="3" t="n">
        <v>4.12</v>
      </c>
      <c r="BM780" s="3" t="n">
        <v>4.37</v>
      </c>
      <c r="BN780" s="3" t="n">
        <v>4.62</v>
      </c>
      <c r="BO780" s="3" t="n">
        <v>4.57</v>
      </c>
      <c r="BP780" s="3" t="n"/>
      <c r="BQ780" s="3" t="n"/>
      <c r="BR780" s="34" t="str">
        <f>B780&amp;"|"&amp;D780</f>
        <v>TUR|SH.XPD.CHEX.GD.ZS</v>
      </c>
    </row>
    <row r="781">
      <c r="A781" s="3" t="inlineStr">
        <is>
          <t>Tuvalu</t>
        </is>
      </c>
      <c r="B781" s="3" t="inlineStr">
        <is>
          <t>TUV</t>
        </is>
      </c>
      <c r="C781" s="3" t="inlineStr">
        <is>
          <t>Current health expenditure (% of GDP)</t>
        </is>
      </c>
      <c r="D781" s="3" t="inlineStr">
        <is>
          <t>SH.XPD.CHEX.GD.ZS</t>
        </is>
      </c>
      <c r="E781" s="3" t="n">
        <v>2021</v>
      </c>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c r="AD781" s="3" t="n"/>
      <c r="AE781" s="3" t="n"/>
      <c r="AF781" s="3" t="n"/>
      <c r="AG781" s="3" t="n"/>
      <c r="AH781" s="3" t="n"/>
      <c r="AI781" s="3" t="n"/>
      <c r="AJ781" s="3" t="n"/>
      <c r="AK781" s="3" t="n"/>
      <c r="AL781" s="3" t="n"/>
      <c r="AM781" s="3" t="n"/>
      <c r="AN781" s="3" t="n"/>
      <c r="AO781" s="3" t="n"/>
      <c r="AP781" s="3" t="n"/>
      <c r="AQ781" s="3" t="n"/>
      <c r="AR781" s="3" t="n"/>
      <c r="AS781" s="3" t="n"/>
      <c r="AT781" s="3" t="n">
        <v>22.37474632</v>
      </c>
      <c r="AU781" s="3" t="n">
        <v>18.47802734</v>
      </c>
      <c r="AV781" s="3" t="n">
        <v>12.42768574</v>
      </c>
      <c r="AW781" s="3" t="n">
        <v>14.38950729</v>
      </c>
      <c r="AX781" s="3" t="n">
        <v>9.88583279</v>
      </c>
      <c r="AY781" s="3" t="n">
        <v>10.56283283</v>
      </c>
      <c r="AZ781" s="3" t="n">
        <v>12.27132893</v>
      </c>
      <c r="BA781" s="3" t="n">
        <v>10.51983929</v>
      </c>
      <c r="BB781" s="3" t="n">
        <v>10.1193676</v>
      </c>
      <c r="BC781" s="3" t="n">
        <v>12.26670933</v>
      </c>
      <c r="BD781" s="3" t="n">
        <v>15.65082836</v>
      </c>
      <c r="BE781" s="3" t="n">
        <v>14.10340405</v>
      </c>
      <c r="BF781" s="3" t="n">
        <v>13.5962553</v>
      </c>
      <c r="BG781" s="3" t="n">
        <v>14.3384304</v>
      </c>
      <c r="BH781" s="3" t="n">
        <v>14.6935215</v>
      </c>
      <c r="BI781" s="3" t="n">
        <v>13.52732944</v>
      </c>
      <c r="BJ781" s="3" t="n">
        <v>18.61886597</v>
      </c>
      <c r="BK781" s="3" t="n">
        <v>24.28305244</v>
      </c>
      <c r="BL781" s="3" t="n">
        <v>18.64067841</v>
      </c>
      <c r="BM781" s="3" t="n">
        <v>22.41327286</v>
      </c>
      <c r="BN781" s="3" t="n">
        <v>18.86140633</v>
      </c>
      <c r="BO781" s="3" t="n">
        <v>19.96582222</v>
      </c>
      <c r="BP781" s="3" t="n"/>
      <c r="BQ781" s="3" t="n"/>
      <c r="BR781" s="34" t="str">
        <f>B781&amp;"|"&amp;D781</f>
        <v>TUV|SH.XPD.CHEX.GD.ZS</v>
      </c>
    </row>
    <row r="782">
      <c r="A782" s="3" t="inlineStr">
        <is>
          <t>Tanzania</t>
        </is>
      </c>
      <c r="B782" s="3" t="inlineStr">
        <is>
          <t>TZA</t>
        </is>
      </c>
      <c r="C782" s="3" t="inlineStr">
        <is>
          <t>Current health expenditure (% of GDP)</t>
        </is>
      </c>
      <c r="D782" s="3" t="inlineStr">
        <is>
          <t>SH.XPD.CHEX.GD.ZS</t>
        </is>
      </c>
      <c r="E782" s="3" t="n">
        <v>2021</v>
      </c>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c r="AD782" s="3" t="n"/>
      <c r="AE782" s="3" t="n"/>
      <c r="AF782" s="3" t="n"/>
      <c r="AG782" s="3" t="n"/>
      <c r="AH782" s="3" t="n"/>
      <c r="AI782" s="3" t="n"/>
      <c r="AJ782" s="3" t="n"/>
      <c r="AK782" s="3" t="n"/>
      <c r="AL782" s="3" t="n"/>
      <c r="AM782" s="3" t="n"/>
      <c r="AN782" s="3" t="n"/>
      <c r="AO782" s="3" t="n"/>
      <c r="AP782" s="3" t="n"/>
      <c r="AQ782" s="3" t="n"/>
      <c r="AR782" s="3" t="n"/>
      <c r="AS782" s="3" t="n"/>
      <c r="AT782" s="3" t="n">
        <v>3.41529942</v>
      </c>
      <c r="AU782" s="3" t="n">
        <v>4.23551702</v>
      </c>
      <c r="AV782" s="3" t="n">
        <v>4.68907642</v>
      </c>
      <c r="AW782" s="3" t="n">
        <v>5.34231472</v>
      </c>
      <c r="AX782" s="3" t="n">
        <v>5.7373414</v>
      </c>
      <c r="AY782" s="3" t="n">
        <v>6.32282543</v>
      </c>
      <c r="AZ782" s="3" t="n">
        <v>7.598279</v>
      </c>
      <c r="BA782" s="3" t="n">
        <v>6.88427973</v>
      </c>
      <c r="BB782" s="3" t="n">
        <v>5.55704737</v>
      </c>
      <c r="BC782" s="3" t="n">
        <v>5.06306362</v>
      </c>
      <c r="BD782" s="3" t="n">
        <v>5.22392178</v>
      </c>
      <c r="BE782" s="3" t="n">
        <v>5.0559845</v>
      </c>
      <c r="BF782" s="3" t="n">
        <v>5.01779366</v>
      </c>
      <c r="BG782" s="3" t="n">
        <v>4.64643383</v>
      </c>
      <c r="BH782" s="3" t="n">
        <v>4.01492071</v>
      </c>
      <c r="BI782" s="3" t="n">
        <v>3.64969945</v>
      </c>
      <c r="BJ782" s="3" t="n">
        <v>3.96350336</v>
      </c>
      <c r="BK782" s="3" t="n">
        <v>4.08257437</v>
      </c>
      <c r="BL782" s="3" t="n">
        <v>4.16191673</v>
      </c>
      <c r="BM782" s="3" t="n">
        <v>3.88136053</v>
      </c>
      <c r="BN782" s="3" t="n">
        <v>2.93978429</v>
      </c>
      <c r="BO782" s="3" t="n">
        <v>3.36136484</v>
      </c>
      <c r="BP782" s="3" t="n"/>
      <c r="BQ782" s="3" t="n"/>
      <c r="BR782" s="34" t="str">
        <f>B782&amp;"|"&amp;D782</f>
        <v>TZA|SH.XPD.CHEX.GD.ZS</v>
      </c>
    </row>
    <row r="783">
      <c r="A783" s="3" t="inlineStr">
        <is>
          <t>Uganda</t>
        </is>
      </c>
      <c r="B783" s="3" t="inlineStr">
        <is>
          <t>UGA</t>
        </is>
      </c>
      <c r="C783" s="3" t="inlineStr">
        <is>
          <t>Current health expenditure (% of GDP)</t>
        </is>
      </c>
      <c r="D783" s="3" t="inlineStr">
        <is>
          <t>SH.XPD.CHEX.GD.ZS</t>
        </is>
      </c>
      <c r="E783" s="3" t="n">
        <v>2021</v>
      </c>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c r="AD783" s="3" t="n"/>
      <c r="AE783" s="3" t="n"/>
      <c r="AF783" s="3" t="n"/>
      <c r="AG783" s="3" t="n"/>
      <c r="AH783" s="3" t="n"/>
      <c r="AI783" s="3" t="n"/>
      <c r="AJ783" s="3" t="n"/>
      <c r="AK783" s="3" t="n"/>
      <c r="AL783" s="3" t="n"/>
      <c r="AM783" s="3" t="n"/>
      <c r="AN783" s="3" t="n"/>
      <c r="AO783" s="3" t="n"/>
      <c r="AP783" s="3" t="n"/>
      <c r="AQ783" s="3" t="n"/>
      <c r="AR783" s="3" t="n"/>
      <c r="AS783" s="3" t="n"/>
      <c r="AT783" s="3" t="n">
        <v>5.08276892</v>
      </c>
      <c r="AU783" s="3" t="n">
        <v>5.05207348</v>
      </c>
      <c r="AV783" s="3" t="n">
        <v>4.77135611</v>
      </c>
      <c r="AW783" s="3" t="n">
        <v>4.29918194</v>
      </c>
      <c r="AX783" s="3" t="n">
        <v>4.7002449</v>
      </c>
      <c r="AY783" s="3" t="n">
        <v>5.80518579</v>
      </c>
      <c r="AZ783" s="3" t="n">
        <v>6.46332979</v>
      </c>
      <c r="BA783" s="3" t="n">
        <v>6.1131134</v>
      </c>
      <c r="BB783" s="3" t="n">
        <v>5.45476198</v>
      </c>
      <c r="BC783" s="3" t="n">
        <v>5.78845549</v>
      </c>
      <c r="BD783" s="3" t="n">
        <v>6.80890226</v>
      </c>
      <c r="BE783" s="3" t="n">
        <v>6.6959095</v>
      </c>
      <c r="BF783" s="3" t="n">
        <v>6.10853958</v>
      </c>
      <c r="BG783" s="3" t="n">
        <v>5.78252411</v>
      </c>
      <c r="BH783" s="3" t="n">
        <v>5.33653069</v>
      </c>
      <c r="BI783" s="3" t="n">
        <v>5.0745697</v>
      </c>
      <c r="BJ783" s="3" t="n">
        <v>4.96169233</v>
      </c>
      <c r="BK783" s="3" t="n">
        <v>3.99788952</v>
      </c>
      <c r="BL783" s="3" t="n">
        <v>4.02080536</v>
      </c>
      <c r="BM783" s="3" t="n">
        <v>3.79834843</v>
      </c>
      <c r="BN783" s="3" t="n">
        <v>4.30198574</v>
      </c>
      <c r="BO783" s="3" t="n">
        <v>4.67196703</v>
      </c>
      <c r="BP783" s="3" t="n"/>
      <c r="BQ783" s="3" t="n"/>
      <c r="BR783" s="34" t="str">
        <f>B783&amp;"|"&amp;D783</f>
        <v>UGA|SH.XPD.CHEX.GD.ZS</v>
      </c>
    </row>
    <row r="784">
      <c r="A784" s="3" t="inlineStr">
        <is>
          <t>Ukraine</t>
        </is>
      </c>
      <c r="B784" s="3" t="inlineStr">
        <is>
          <t>UKR</t>
        </is>
      </c>
      <c r="C784" s="3" t="inlineStr">
        <is>
          <t>Current health expenditure (% of GDP)</t>
        </is>
      </c>
      <c r="D784" s="3" t="inlineStr">
        <is>
          <t>SH.XPD.CHEX.GD.ZS</t>
        </is>
      </c>
      <c r="E784" s="3" t="n">
        <v>2021</v>
      </c>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c r="AD784" s="3" t="n"/>
      <c r="AE784" s="3" t="n"/>
      <c r="AF784" s="3" t="n"/>
      <c r="AG784" s="3" t="n"/>
      <c r="AH784" s="3" t="n"/>
      <c r="AI784" s="3" t="n"/>
      <c r="AJ784" s="3" t="n"/>
      <c r="AK784" s="3" t="n"/>
      <c r="AL784" s="3" t="n"/>
      <c r="AM784" s="3" t="n"/>
      <c r="AN784" s="3" t="n"/>
      <c r="AO784" s="3" t="n"/>
      <c r="AP784" s="3" t="n"/>
      <c r="AQ784" s="3" t="n"/>
      <c r="AR784" s="3" t="n"/>
      <c r="AS784" s="3" t="n"/>
      <c r="AT784" s="3" t="n">
        <v>5.31</v>
      </c>
      <c r="AU784" s="3" t="n">
        <v>5.73</v>
      </c>
      <c r="AV784" s="3" t="n">
        <v>5.99</v>
      </c>
      <c r="AW784" s="3" t="n">
        <v>6.55</v>
      </c>
      <c r="AX784" s="3" t="n">
        <v>6.17</v>
      </c>
      <c r="AY784" s="3" t="n">
        <v>6.35</v>
      </c>
      <c r="AZ784" s="3" t="n">
        <v>6.42</v>
      </c>
      <c r="BA784" s="3" t="n">
        <v>6.02</v>
      </c>
      <c r="BB784" s="3" t="n">
        <v>5.5</v>
      </c>
      <c r="BC784" s="3" t="n">
        <v>6.61</v>
      </c>
      <c r="BD784" s="3" t="n">
        <v>6.81</v>
      </c>
      <c r="BE784" s="3" t="n">
        <v>6.82</v>
      </c>
      <c r="BF784" s="3" t="n">
        <v>7.12</v>
      </c>
      <c r="BG784" s="3" t="n">
        <v>6.94</v>
      </c>
      <c r="BH784" s="3" t="n">
        <v>7.2</v>
      </c>
      <c r="BI784" s="3" t="n">
        <v>7.78</v>
      </c>
      <c r="BJ784" s="3" t="n">
        <v>7.55</v>
      </c>
      <c r="BK784" s="3" t="n">
        <v>7.44</v>
      </c>
      <c r="BL784" s="3" t="n">
        <v>7.52</v>
      </c>
      <c r="BM784" s="3" t="n">
        <v>7.09</v>
      </c>
      <c r="BN784" s="3" t="n">
        <v>7.56</v>
      </c>
      <c r="BO784" s="3" t="n">
        <v>8.01</v>
      </c>
      <c r="BP784" s="3" t="n"/>
      <c r="BQ784" s="3" t="n"/>
      <c r="BR784" s="34" t="str">
        <f>B784&amp;"|"&amp;D784</f>
        <v>UKR|SH.XPD.CHEX.GD.ZS</v>
      </c>
    </row>
    <row r="785">
      <c r="A785" s="3" t="inlineStr">
        <is>
          <t>Upper middle income</t>
        </is>
      </c>
      <c r="B785" s="3" t="inlineStr">
        <is>
          <t>UMC</t>
        </is>
      </c>
      <c r="C785" s="3" t="inlineStr">
        <is>
          <t>Current health expenditure (% of GDP)</t>
        </is>
      </c>
      <c r="D785" s="3" t="inlineStr">
        <is>
          <t>SH.XPD.CHEX.GD.ZS</t>
        </is>
      </c>
      <c r="E785" s="3" t="n">
        <v>2021</v>
      </c>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c r="AD785" s="3" t="n"/>
      <c r="AE785" s="3" t="n"/>
      <c r="AF785" s="3" t="n"/>
      <c r="AG785" s="3" t="n"/>
      <c r="AH785" s="3" t="n"/>
      <c r="AI785" s="3" t="n"/>
      <c r="AJ785" s="3" t="n"/>
      <c r="AK785" s="3" t="n"/>
      <c r="AL785" s="3" t="n"/>
      <c r="AM785" s="3" t="n"/>
      <c r="AN785" s="3" t="n"/>
      <c r="AO785" s="3" t="n"/>
      <c r="AP785" s="3" t="n"/>
      <c r="AQ785" s="3" t="n"/>
      <c r="AR785" s="3" t="n"/>
      <c r="AS785" s="3" t="n"/>
      <c r="AT785" s="3" t="n">
        <v>5.308183997126959</v>
      </c>
      <c r="AU785" s="3" t="n">
        <v>5.289652766987879</v>
      </c>
      <c r="AV785" s="3" t="n">
        <v>5.145021003588849</v>
      </c>
      <c r="AW785" s="3" t="n">
        <v>5.234098593121884</v>
      </c>
      <c r="AX785" s="3" t="n">
        <v>5.21195137847028</v>
      </c>
      <c r="AY785" s="3" t="n">
        <v>5.22114550256496</v>
      </c>
      <c r="AZ785" s="3" t="n">
        <v>5.148509994775958</v>
      </c>
      <c r="BA785" s="3" t="n">
        <v>5.07466759447301</v>
      </c>
      <c r="BB785" s="3" t="n">
        <v>5.090022107561968</v>
      </c>
      <c r="BC785" s="3" t="n">
        <v>5.490538543653618</v>
      </c>
      <c r="BD785" s="3" t="n">
        <v>5.320654405128258</v>
      </c>
      <c r="BE785" s="3" t="n">
        <v>5.297561000010412</v>
      </c>
      <c r="BF785" s="3" t="n">
        <v>5.342001737505066</v>
      </c>
      <c r="BG785" s="3" t="n">
        <v>5.387340988609713</v>
      </c>
      <c r="BH785" s="3" t="n">
        <v>5.461090483052388</v>
      </c>
      <c r="BI785" s="3" t="n">
        <v>5.580231922702511</v>
      </c>
      <c r="BJ785" s="3" t="n">
        <v>5.618798254950239</v>
      </c>
      <c r="BK785" s="3" t="n">
        <v>5.70006353483942</v>
      </c>
      <c r="BL785" s="3" t="n">
        <v>5.64550212523577</v>
      </c>
      <c r="BM785" s="3" t="n">
        <v>5.714865942894583</v>
      </c>
      <c r="BN785" s="3" t="n">
        <v>5.995719899054347</v>
      </c>
      <c r="BO785" s="3" t="n">
        <v>5.822011100262147</v>
      </c>
      <c r="BP785" s="3" t="n"/>
      <c r="BQ785" s="3" t="n"/>
      <c r="BR785" s="34" t="str">
        <f>B785&amp;"|"&amp;D785</f>
        <v>UMC|SH.XPD.CHEX.GD.ZS</v>
      </c>
    </row>
    <row r="786">
      <c r="A786" s="3" t="inlineStr">
        <is>
          <t>Uruguay</t>
        </is>
      </c>
      <c r="B786" s="3" t="inlineStr">
        <is>
          <t>URY</t>
        </is>
      </c>
      <c r="C786" s="3" t="inlineStr">
        <is>
          <t>Current health expenditure (% of GDP)</t>
        </is>
      </c>
      <c r="D786" s="3" t="inlineStr">
        <is>
          <t>SH.XPD.CHEX.GD.ZS</t>
        </is>
      </c>
      <c r="E786" s="3" t="n">
        <v>2021</v>
      </c>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c r="AD786" s="3" t="n"/>
      <c r="AE786" s="3" t="n"/>
      <c r="AF786" s="3" t="n"/>
      <c r="AG786" s="3" t="n"/>
      <c r="AH786" s="3" t="n"/>
      <c r="AI786" s="3" t="n"/>
      <c r="AJ786" s="3" t="n"/>
      <c r="AK786" s="3" t="n"/>
      <c r="AL786" s="3" t="n"/>
      <c r="AM786" s="3" t="n"/>
      <c r="AN786" s="3" t="n"/>
      <c r="AO786" s="3" t="n"/>
      <c r="AP786" s="3" t="n"/>
      <c r="AQ786" s="3" t="n"/>
      <c r="AR786" s="3" t="n"/>
      <c r="AS786" s="3" t="n"/>
      <c r="AT786" s="3" t="n">
        <v>9.21095848</v>
      </c>
      <c r="AU786" s="3" t="n">
        <v>9.79864407</v>
      </c>
      <c r="AV786" s="3" t="n">
        <v>9.68134308</v>
      </c>
      <c r="AW786" s="3" t="n">
        <v>9.617534640000001</v>
      </c>
      <c r="AX786" s="3" t="n">
        <v>8.301453589999999</v>
      </c>
      <c r="AY786" s="3" t="n">
        <v>7.75686073</v>
      </c>
      <c r="AZ786" s="3" t="n">
        <v>7.74287462</v>
      </c>
      <c r="BA786" s="3" t="n">
        <v>7.49349833</v>
      </c>
      <c r="BB786" s="3" t="n">
        <v>8.125331879999999</v>
      </c>
      <c r="BC786" s="3" t="n">
        <v>7.9498806</v>
      </c>
      <c r="BD786" s="3" t="n">
        <v>7.91117048</v>
      </c>
      <c r="BE786" s="3" t="n">
        <v>7.94897985</v>
      </c>
      <c r="BF786" s="3" t="n">
        <v>8.06757545</v>
      </c>
      <c r="BG786" s="3" t="n">
        <v>8.11897373</v>
      </c>
      <c r="BH786" s="3" t="n">
        <v>8.07319641</v>
      </c>
      <c r="BI786" s="3" t="n">
        <v>8.29225731</v>
      </c>
      <c r="BJ786" s="3" t="n">
        <v>8.67535782</v>
      </c>
      <c r="BK786" s="3" t="n">
        <v>8.82179642</v>
      </c>
      <c r="BL786" s="3" t="n">
        <v>9.01452351</v>
      </c>
      <c r="BM786" s="3" t="n">
        <v>9.390276910000001</v>
      </c>
      <c r="BN786" s="3" t="n">
        <v>9.13688469</v>
      </c>
      <c r="BO786" s="3" t="n">
        <v>9.359206199999999</v>
      </c>
      <c r="BP786" s="3" t="n"/>
      <c r="BQ786" s="3" t="n"/>
      <c r="BR786" s="34" t="str">
        <f>B786&amp;"|"&amp;D786</f>
        <v>URY|SH.XPD.CHEX.GD.ZS</v>
      </c>
    </row>
    <row r="787">
      <c r="A787" s="3" t="inlineStr">
        <is>
          <t>United States</t>
        </is>
      </c>
      <c r="B787" s="3" t="inlineStr">
        <is>
          <t>USA</t>
        </is>
      </c>
      <c r="C787" s="3" t="inlineStr">
        <is>
          <t>Current health expenditure (% of GDP)</t>
        </is>
      </c>
      <c r="D787" s="3" t="inlineStr">
        <is>
          <t>SH.XPD.CHEX.GD.ZS</t>
        </is>
      </c>
      <c r="E787" s="3" t="n">
        <v>2022</v>
      </c>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c r="AD787" s="3" t="n"/>
      <c r="AE787" s="3" t="n"/>
      <c r="AF787" s="3" t="n"/>
      <c r="AG787" s="3" t="n"/>
      <c r="AH787" s="3" t="n"/>
      <c r="AI787" s="3" t="n"/>
      <c r="AJ787" s="3" t="n"/>
      <c r="AK787" s="3" t="n"/>
      <c r="AL787" s="3" t="n"/>
      <c r="AM787" s="3" t="n"/>
      <c r="AN787" s="3" t="n"/>
      <c r="AO787" s="3" t="n"/>
      <c r="AP787" s="3" t="n"/>
      <c r="AQ787" s="3" t="n"/>
      <c r="AR787" s="3" t="n"/>
      <c r="AS787" s="3" t="n"/>
      <c r="AT787" s="3" t="n">
        <v>12.49002552</v>
      </c>
      <c r="AU787" s="3" t="n">
        <v>13.16811562</v>
      </c>
      <c r="AV787" s="3" t="n">
        <v>13.9952774</v>
      </c>
      <c r="AW787" s="3" t="n">
        <v>14.50551128</v>
      </c>
      <c r="AX787" s="3" t="n">
        <v>14.55115986</v>
      </c>
      <c r="AY787" s="3" t="n">
        <v>14.57938957</v>
      </c>
      <c r="AZ787" s="3" t="n">
        <v>14.70870876</v>
      </c>
      <c r="BA787" s="3" t="n">
        <v>14.91824913</v>
      </c>
      <c r="BB787" s="3" t="n">
        <v>15.20718479</v>
      </c>
      <c r="BC787" s="3" t="n">
        <v>16.20063591</v>
      </c>
      <c r="BD787" s="3" t="n">
        <v>16.19719124</v>
      </c>
      <c r="BE787" s="3" t="n">
        <v>16.13996315</v>
      </c>
      <c r="BF787" s="3" t="n">
        <v>16.11969566</v>
      </c>
      <c r="BG787" s="3" t="n">
        <v>15.99170876</v>
      </c>
      <c r="BH787" s="3" t="n">
        <v>16.19919777</v>
      </c>
      <c r="BI787" s="3" t="n">
        <v>16.49056816</v>
      </c>
      <c r="BJ787" s="3" t="n">
        <v>16.80215836</v>
      </c>
      <c r="BK787" s="3" t="n">
        <v>16.76750183</v>
      </c>
      <c r="BL787" s="3" t="n">
        <v>16.62964439</v>
      </c>
      <c r="BM787" s="3" t="n">
        <v>16.66580582</v>
      </c>
      <c r="BN787" s="3" t="n">
        <v>18.75621986</v>
      </c>
      <c r="BO787" s="3" t="n">
        <v>17.3625679</v>
      </c>
      <c r="BP787" s="3" t="n">
        <v>16.57115173</v>
      </c>
      <c r="BQ787" s="3" t="n"/>
      <c r="BR787" s="34" t="str">
        <f>B787&amp;"|"&amp;D787</f>
        <v>USA|SH.XPD.CHEX.GD.ZS</v>
      </c>
    </row>
    <row r="788">
      <c r="A788" s="3" t="inlineStr">
        <is>
          <t>Uzbekistan</t>
        </is>
      </c>
      <c r="B788" s="3" t="inlineStr">
        <is>
          <t>UZB</t>
        </is>
      </c>
      <c r="C788" s="3" t="inlineStr">
        <is>
          <t>Current health expenditure (% of GDP)</t>
        </is>
      </c>
      <c r="D788" s="3" t="inlineStr">
        <is>
          <t>SH.XPD.CHEX.GD.ZS</t>
        </is>
      </c>
      <c r="E788" s="3" t="n">
        <v>2021</v>
      </c>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c r="AD788" s="3" t="n"/>
      <c r="AE788" s="3" t="n"/>
      <c r="AF788" s="3" t="n"/>
      <c r="AG788" s="3" t="n"/>
      <c r="AH788" s="3" t="n"/>
      <c r="AI788" s="3" t="n"/>
      <c r="AJ788" s="3" t="n"/>
      <c r="AK788" s="3" t="n"/>
      <c r="AL788" s="3" t="n"/>
      <c r="AM788" s="3" t="n"/>
      <c r="AN788" s="3" t="n"/>
      <c r="AO788" s="3" t="n"/>
      <c r="AP788" s="3" t="n"/>
      <c r="AQ788" s="3" t="n"/>
      <c r="AR788" s="3" t="n"/>
      <c r="AS788" s="3" t="n"/>
      <c r="AT788" s="3" t="n">
        <v>5.12</v>
      </c>
      <c r="AU788" s="3" t="n">
        <v>5.24</v>
      </c>
      <c r="AV788" s="3" t="n">
        <v>5.14</v>
      </c>
      <c r="AW788" s="3" t="n">
        <v>5.19</v>
      </c>
      <c r="AX788" s="3" t="n">
        <v>4.84</v>
      </c>
      <c r="AY788" s="3" t="n">
        <v>4.78</v>
      </c>
      <c r="AZ788" s="3" t="n">
        <v>4.75</v>
      </c>
      <c r="BA788" s="3" t="n">
        <v>4.54</v>
      </c>
      <c r="BB788" s="3" t="n">
        <v>4.7</v>
      </c>
      <c r="BC788" s="3" t="n">
        <v>4.8</v>
      </c>
      <c r="BD788" s="3" t="n">
        <v>5.3</v>
      </c>
      <c r="BE788" s="3" t="n">
        <v>5.26</v>
      </c>
      <c r="BF788" s="3" t="n">
        <v>5.55</v>
      </c>
      <c r="BG788" s="3" t="n">
        <v>5.72</v>
      </c>
      <c r="BH788" s="3" t="n">
        <v>4.43</v>
      </c>
      <c r="BI788" s="3" t="n">
        <v>4.74</v>
      </c>
      <c r="BJ788" s="3" t="n">
        <v>4.72</v>
      </c>
      <c r="BK788" s="3" t="n">
        <v>4.84</v>
      </c>
      <c r="BL788" s="3" t="n">
        <v>5.08</v>
      </c>
      <c r="BM788" s="3" t="n">
        <v>5.43</v>
      </c>
      <c r="BN788" s="3" t="n">
        <v>6.75</v>
      </c>
      <c r="BO788" s="3" t="n">
        <v>7.74</v>
      </c>
      <c r="BP788" s="3" t="n"/>
      <c r="BQ788" s="3" t="n"/>
      <c r="BR788" s="34" t="str">
        <f>B788&amp;"|"&amp;D788</f>
        <v>UZB|SH.XPD.CHEX.GD.ZS</v>
      </c>
    </row>
    <row r="789">
      <c r="A789" s="3" t="inlineStr">
        <is>
          <t>St. Vincent and the Grenadines</t>
        </is>
      </c>
      <c r="B789" s="3" t="inlineStr">
        <is>
          <t>VCT</t>
        </is>
      </c>
      <c r="C789" s="3" t="inlineStr">
        <is>
          <t>Current health expenditure (% of GDP)</t>
        </is>
      </c>
      <c r="D789" s="3" t="inlineStr">
        <is>
          <t>SH.XPD.CHEX.GD.ZS</t>
        </is>
      </c>
      <c r="E789" s="3" t="n">
        <v>2021</v>
      </c>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c r="AD789" s="3" t="n"/>
      <c r="AE789" s="3" t="n"/>
      <c r="AF789" s="3" t="n"/>
      <c r="AG789" s="3" t="n"/>
      <c r="AH789" s="3" t="n"/>
      <c r="AI789" s="3" t="n"/>
      <c r="AJ789" s="3" t="n"/>
      <c r="AK789" s="3" t="n"/>
      <c r="AL789" s="3" t="n"/>
      <c r="AM789" s="3" t="n"/>
      <c r="AN789" s="3" t="n"/>
      <c r="AO789" s="3" t="n"/>
      <c r="AP789" s="3" t="n"/>
      <c r="AQ789" s="3" t="n"/>
      <c r="AR789" s="3" t="n"/>
      <c r="AS789" s="3" t="n"/>
      <c r="AT789" s="3" t="n">
        <v>3.97939277</v>
      </c>
      <c r="AU789" s="3" t="n">
        <v>4.00093412</v>
      </c>
      <c r="AV789" s="3" t="n">
        <v>4.07769632</v>
      </c>
      <c r="AW789" s="3" t="n">
        <v>3.95764542</v>
      </c>
      <c r="AX789" s="3" t="n">
        <v>3.8658421</v>
      </c>
      <c r="AY789" s="3" t="n">
        <v>3.83165979</v>
      </c>
      <c r="AZ789" s="3" t="n">
        <v>3.65356708</v>
      </c>
      <c r="BA789" s="3" t="n">
        <v>3.81816602</v>
      </c>
      <c r="BB789" s="3" t="n">
        <v>3.88194203</v>
      </c>
      <c r="BC789" s="3" t="n">
        <v>4.09299564</v>
      </c>
      <c r="BD789" s="3" t="n">
        <v>4.30325222</v>
      </c>
      <c r="BE789" s="3" t="n">
        <v>4.23108053</v>
      </c>
      <c r="BF789" s="3" t="n">
        <v>4.45042276</v>
      </c>
      <c r="BG789" s="3" t="n">
        <v>4.24191046</v>
      </c>
      <c r="BH789" s="3" t="n">
        <v>4.17631912</v>
      </c>
      <c r="BI789" s="3" t="n">
        <v>4.11412001</v>
      </c>
      <c r="BJ789" s="3" t="n">
        <v>4.09573793</v>
      </c>
      <c r="BK789" s="3" t="n">
        <v>4.22985649</v>
      </c>
      <c r="BL789" s="3" t="n">
        <v>4.25346231</v>
      </c>
      <c r="BM789" s="3" t="n">
        <v>4.25543451</v>
      </c>
      <c r="BN789" s="3" t="n">
        <v>4.8395834</v>
      </c>
      <c r="BO789" s="3" t="n">
        <v>5.36252117</v>
      </c>
      <c r="BP789" s="3" t="n"/>
      <c r="BQ789" s="3" t="n"/>
      <c r="BR789" s="34" t="str">
        <f>B789&amp;"|"&amp;D789</f>
        <v>VCT|SH.XPD.CHEX.GD.ZS</v>
      </c>
    </row>
    <row r="790">
      <c r="A790" s="3" t="inlineStr">
        <is>
          <t>Venezuela, RB</t>
        </is>
      </c>
      <c r="B790" s="3" t="inlineStr">
        <is>
          <t>VEN</t>
        </is>
      </c>
      <c r="C790" s="3" t="inlineStr">
        <is>
          <t>Current health expenditure (% of GDP)</t>
        </is>
      </c>
      <c r="D790" s="3" t="inlineStr">
        <is>
          <t>SH.XPD.CHEX.GD.ZS</t>
        </is>
      </c>
      <c r="E790" s="3" t="n">
        <v>2021</v>
      </c>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c r="AD790" s="3" t="n"/>
      <c r="AE790" s="3" t="n"/>
      <c r="AF790" s="3" t="n"/>
      <c r="AG790" s="3" t="n"/>
      <c r="AH790" s="3" t="n"/>
      <c r="AI790" s="3" t="n"/>
      <c r="AJ790" s="3" t="n"/>
      <c r="AK790" s="3" t="n"/>
      <c r="AL790" s="3" t="n"/>
      <c r="AM790" s="3" t="n"/>
      <c r="AN790" s="3" t="n"/>
      <c r="AO790" s="3" t="n"/>
      <c r="AP790" s="3" t="n"/>
      <c r="AQ790" s="3" t="n"/>
      <c r="AR790" s="3" t="n"/>
      <c r="AS790" s="3" t="n"/>
      <c r="AT790" s="3" t="n"/>
      <c r="AU790" s="3" t="n"/>
      <c r="AV790" s="3" t="n"/>
      <c r="AW790" s="3" t="n"/>
      <c r="AX790" s="3" t="n"/>
      <c r="AY790" s="3" t="n"/>
      <c r="AZ790" s="3" t="n"/>
      <c r="BA790" s="3" t="n"/>
      <c r="BB790" s="3" t="n"/>
      <c r="BC790" s="3" t="n"/>
      <c r="BD790" s="3" t="n"/>
      <c r="BE790" s="3" t="n"/>
      <c r="BF790" s="3" t="n"/>
      <c r="BG790" s="3" t="n"/>
      <c r="BH790" s="3" t="n"/>
      <c r="BI790" s="3" t="n"/>
      <c r="BJ790" s="3" t="n"/>
      <c r="BK790" s="3" t="n"/>
      <c r="BL790" s="3" t="n">
        <v>2.41691327</v>
      </c>
      <c r="BM790" s="3" t="n">
        <v>2.18563724</v>
      </c>
      <c r="BN790" s="3" t="n">
        <v>4.08657551</v>
      </c>
      <c r="BO790" s="3" t="n">
        <v>4.03775549</v>
      </c>
      <c r="BP790" s="3" t="n"/>
      <c r="BQ790" s="3" t="n"/>
      <c r="BR790" s="34" t="str">
        <f>B790&amp;"|"&amp;D790</f>
        <v>VEN|SH.XPD.CHEX.GD.ZS</v>
      </c>
    </row>
    <row r="791">
      <c r="A791" s="3" t="inlineStr">
        <is>
          <t>British Virgin Islands</t>
        </is>
      </c>
      <c r="B791" s="3" t="inlineStr">
        <is>
          <t>VGB</t>
        </is>
      </c>
      <c r="C791" s="3" t="inlineStr">
        <is>
          <t>Current health expenditure (% of GDP)</t>
        </is>
      </c>
      <c r="D791" s="3" t="inlineStr">
        <is>
          <t>SH.XPD.CHEX.GD.ZS</t>
        </is>
      </c>
      <c r="E791" s="3" t="inlineStr">
        <is>
          <t>0x2a</t>
        </is>
      </c>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c r="AD791" s="3" t="n"/>
      <c r="AE791" s="3" t="n"/>
      <c r="AF791" s="3" t="n"/>
      <c r="AG791" s="3" t="n"/>
      <c r="AH791" s="3" t="n"/>
      <c r="AI791" s="3" t="n"/>
      <c r="AJ791" s="3" t="n"/>
      <c r="AK791" s="3" t="n"/>
      <c r="AL791" s="3" t="n"/>
      <c r="AM791" s="3" t="n"/>
      <c r="AN791" s="3" t="n"/>
      <c r="AO791" s="3" t="n"/>
      <c r="AP791" s="3" t="n"/>
      <c r="AQ791" s="3" t="n"/>
      <c r="AR791" s="3" t="n"/>
      <c r="AS791" s="3" t="n"/>
      <c r="AT791" s="3" t="n"/>
      <c r="AU791" s="3" t="n"/>
      <c r="AV791" s="3" t="n"/>
      <c r="AW791" s="3" t="n"/>
      <c r="AX791" s="3" t="n"/>
      <c r="AY791" s="3" t="n"/>
      <c r="AZ791" s="3" t="n"/>
      <c r="BA791" s="3" t="n"/>
      <c r="BB791" s="3" t="n"/>
      <c r="BC791" s="3" t="n"/>
      <c r="BD791" s="3" t="n"/>
      <c r="BE791" s="3" t="n"/>
      <c r="BF791" s="3" t="n"/>
      <c r="BG791" s="3" t="n"/>
      <c r="BH791" s="3" t="n"/>
      <c r="BI791" s="3" t="n"/>
      <c r="BJ791" s="3" t="n"/>
      <c r="BK791" s="3" t="n"/>
      <c r="BL791" s="3" t="n"/>
      <c r="BM791" s="3" t="n"/>
      <c r="BN791" s="3" t="n"/>
      <c r="BO791" s="3" t="n"/>
      <c r="BP791" s="3" t="n"/>
      <c r="BQ791" s="3" t="n"/>
      <c r="BR791" s="34" t="str">
        <f>B791&amp;"|"&amp;D791</f>
        <v>VGB|SH.XPD.CHEX.GD.ZS</v>
      </c>
    </row>
    <row r="792">
      <c r="A792" s="3" t="inlineStr">
        <is>
          <t>Virgin Islands (U.S.)</t>
        </is>
      </c>
      <c r="B792" s="3" t="inlineStr">
        <is>
          <t>VIR</t>
        </is>
      </c>
      <c r="C792" s="3" t="inlineStr">
        <is>
          <t>Current health expenditure (% of GDP)</t>
        </is>
      </c>
      <c r="D792" s="3" t="inlineStr">
        <is>
          <t>SH.XPD.CHEX.GD.ZS</t>
        </is>
      </c>
      <c r="E792" s="3" t="inlineStr">
        <is>
          <t>0x2a</t>
        </is>
      </c>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c r="AD792" s="3" t="n"/>
      <c r="AE792" s="3" t="n"/>
      <c r="AF792" s="3" t="n"/>
      <c r="AG792" s="3" t="n"/>
      <c r="AH792" s="3" t="n"/>
      <c r="AI792" s="3" t="n"/>
      <c r="AJ792" s="3" t="n"/>
      <c r="AK792" s="3" t="n"/>
      <c r="AL792" s="3" t="n"/>
      <c r="AM792" s="3" t="n"/>
      <c r="AN792" s="3" t="n"/>
      <c r="AO792" s="3" t="n"/>
      <c r="AP792" s="3" t="n"/>
      <c r="AQ792" s="3" t="n"/>
      <c r="AR792" s="3" t="n"/>
      <c r="AS792" s="3" t="n"/>
      <c r="AT792" s="3" t="n"/>
      <c r="AU792" s="3" t="n"/>
      <c r="AV792" s="3" t="n"/>
      <c r="AW792" s="3" t="n"/>
      <c r="AX792" s="3" t="n"/>
      <c r="AY792" s="3" t="n"/>
      <c r="AZ792" s="3" t="n"/>
      <c r="BA792" s="3" t="n"/>
      <c r="BB792" s="3" t="n"/>
      <c r="BC792" s="3" t="n"/>
      <c r="BD792" s="3" t="n"/>
      <c r="BE792" s="3" t="n"/>
      <c r="BF792" s="3" t="n"/>
      <c r="BG792" s="3" t="n"/>
      <c r="BH792" s="3" t="n"/>
      <c r="BI792" s="3" t="n"/>
      <c r="BJ792" s="3" t="n"/>
      <c r="BK792" s="3" t="n"/>
      <c r="BL792" s="3" t="n"/>
      <c r="BM792" s="3" t="n"/>
      <c r="BN792" s="3" t="n"/>
      <c r="BO792" s="3" t="n"/>
      <c r="BP792" s="3" t="n"/>
      <c r="BQ792" s="3" t="n"/>
      <c r="BR792" s="34" t="str">
        <f>B792&amp;"|"&amp;D792</f>
        <v>VIR|SH.XPD.CHEX.GD.ZS</v>
      </c>
    </row>
    <row r="793">
      <c r="A793" s="3" t="inlineStr">
        <is>
          <t>Viet Nam</t>
        </is>
      </c>
      <c r="B793" s="3" t="inlineStr">
        <is>
          <t>VNM</t>
        </is>
      </c>
      <c r="C793" s="3" t="inlineStr">
        <is>
          <t>Current health expenditure (% of GDP)</t>
        </is>
      </c>
      <c r="D793" s="3" t="inlineStr">
        <is>
          <t>SH.XPD.CHEX.GD.ZS</t>
        </is>
      </c>
      <c r="E793" s="3" t="n">
        <v>2021</v>
      </c>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c r="AD793" s="3" t="n"/>
      <c r="AE793" s="3" t="n"/>
      <c r="AF793" s="3" t="n"/>
      <c r="AG793" s="3" t="n"/>
      <c r="AH793" s="3" t="n"/>
      <c r="AI793" s="3" t="n"/>
      <c r="AJ793" s="3" t="n"/>
      <c r="AK793" s="3" t="n"/>
      <c r="AL793" s="3" t="n"/>
      <c r="AM793" s="3" t="n"/>
      <c r="AN793" s="3" t="n"/>
      <c r="AO793" s="3" t="n"/>
      <c r="AP793" s="3" t="n"/>
      <c r="AQ793" s="3" t="n"/>
      <c r="AR793" s="3" t="n"/>
      <c r="AS793" s="3" t="n"/>
      <c r="AT793" s="3" t="n">
        <v>4.10752726</v>
      </c>
      <c r="AU793" s="3" t="n">
        <v>4.80107498</v>
      </c>
      <c r="AV793" s="3" t="n">
        <v>3.87075853</v>
      </c>
      <c r="AW793" s="3" t="n">
        <v>3.94229889</v>
      </c>
      <c r="AX793" s="3" t="n">
        <v>4.08791971</v>
      </c>
      <c r="AY793" s="3" t="n">
        <v>4.31821251</v>
      </c>
      <c r="AZ793" s="3" t="n">
        <v>4.56979847</v>
      </c>
      <c r="BA793" s="3" t="n">
        <v>4.62917614</v>
      </c>
      <c r="BB793" s="3" t="n">
        <v>4.36028337</v>
      </c>
      <c r="BC793" s="3" t="n">
        <v>4.48502922</v>
      </c>
      <c r="BD793" s="3" t="n">
        <v>5.07146072</v>
      </c>
      <c r="BE793" s="3" t="n">
        <v>4.97468519</v>
      </c>
      <c r="BF793" s="3" t="n">
        <v>5.00178242</v>
      </c>
      <c r="BG793" s="3" t="n">
        <v>4.41233158</v>
      </c>
      <c r="BH793" s="3" t="n">
        <v>4.69078779</v>
      </c>
      <c r="BI793" s="3" t="n">
        <v>4.71140909</v>
      </c>
      <c r="BJ793" s="3" t="n">
        <v>4.86994743</v>
      </c>
      <c r="BK793" s="3" t="n">
        <v>4.99014759</v>
      </c>
      <c r="BL793" s="3" t="n">
        <v>5.02678823</v>
      </c>
      <c r="BM793" s="3" t="n">
        <v>4.97407484</v>
      </c>
      <c r="BN793" s="3" t="n">
        <v>4.30061865</v>
      </c>
      <c r="BO793" s="3" t="n">
        <v>4.59346437</v>
      </c>
      <c r="BP793" s="3" t="n"/>
      <c r="BQ793" s="3" t="n"/>
      <c r="BR793" s="34" t="str">
        <f>B793&amp;"|"&amp;D793</f>
        <v>VNM|SH.XPD.CHEX.GD.ZS</v>
      </c>
    </row>
    <row r="794">
      <c r="A794" s="3" t="inlineStr">
        <is>
          <t>Vanuatu</t>
        </is>
      </c>
      <c r="B794" s="3" t="inlineStr">
        <is>
          <t>VUT</t>
        </is>
      </c>
      <c r="C794" s="3" t="inlineStr">
        <is>
          <t>Current health expenditure (% of GDP)</t>
        </is>
      </c>
      <c r="D794" s="3" t="inlineStr">
        <is>
          <t>SH.XPD.CHEX.GD.ZS</t>
        </is>
      </c>
      <c r="E794" s="3" t="n">
        <v>2021</v>
      </c>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c r="AD794" s="3" t="n"/>
      <c r="AE794" s="3" t="n"/>
      <c r="AF794" s="3" t="n"/>
      <c r="AG794" s="3" t="n"/>
      <c r="AH794" s="3" t="n"/>
      <c r="AI794" s="3" t="n"/>
      <c r="AJ794" s="3" t="n"/>
      <c r="AK794" s="3" t="n"/>
      <c r="AL794" s="3" t="n"/>
      <c r="AM794" s="3" t="n"/>
      <c r="AN794" s="3" t="n"/>
      <c r="AO794" s="3" t="n"/>
      <c r="AP794" s="3" t="n"/>
      <c r="AQ794" s="3" t="n"/>
      <c r="AR794" s="3" t="n"/>
      <c r="AS794" s="3" t="n"/>
      <c r="AT794" s="3" t="n">
        <v>3.30683255</v>
      </c>
      <c r="AU794" s="3" t="n">
        <v>3.38728333</v>
      </c>
      <c r="AV794" s="3" t="n">
        <v>3.90437746</v>
      </c>
      <c r="AW794" s="3" t="n">
        <v>3.50691938</v>
      </c>
      <c r="AX794" s="3" t="n">
        <v>3.53991532</v>
      </c>
      <c r="AY794" s="3" t="n">
        <v>3.30528617</v>
      </c>
      <c r="AZ794" s="3" t="n">
        <v>3.32189322</v>
      </c>
      <c r="BA794" s="3" t="n">
        <v>3.1078558</v>
      </c>
      <c r="BB794" s="3" t="n">
        <v>3.13810205</v>
      </c>
      <c r="BC794" s="3" t="n">
        <v>3.25197887</v>
      </c>
      <c r="BD794" s="3" t="n">
        <v>3.52656102</v>
      </c>
      <c r="BE794" s="3" t="n">
        <v>3.59819388</v>
      </c>
      <c r="BF794" s="3" t="n">
        <v>3.9356277</v>
      </c>
      <c r="BG794" s="3" t="n">
        <v>4.39234495</v>
      </c>
      <c r="BH794" s="3" t="n">
        <v>3.64668846</v>
      </c>
      <c r="BI794" s="3" t="n">
        <v>4.32168293</v>
      </c>
      <c r="BJ794" s="3" t="n">
        <v>2.93130064</v>
      </c>
      <c r="BK794" s="3" t="n">
        <v>2.76285458</v>
      </c>
      <c r="BL794" s="3" t="n">
        <v>3.31753612</v>
      </c>
      <c r="BM794" s="3" t="n">
        <v>3.31453276</v>
      </c>
      <c r="BN794" s="3" t="n">
        <v>3.99482441</v>
      </c>
      <c r="BO794" s="3" t="n">
        <v>4.3733778</v>
      </c>
      <c r="BP794" s="3" t="n"/>
      <c r="BQ794" s="3" t="n"/>
      <c r="BR794" s="34" t="str">
        <f>B794&amp;"|"&amp;D794</f>
        <v>VUT|SH.XPD.CHEX.GD.ZS</v>
      </c>
    </row>
    <row r="795">
      <c r="A795" s="3" t="inlineStr">
        <is>
          <t>World</t>
        </is>
      </c>
      <c r="B795" s="3" t="inlineStr">
        <is>
          <t>WLD</t>
        </is>
      </c>
      <c r="C795" s="3" t="inlineStr">
        <is>
          <t>Current health expenditure (% of GDP)</t>
        </is>
      </c>
      <c r="D795" s="3" t="inlineStr">
        <is>
          <t>SH.XPD.CHEX.GD.ZS</t>
        </is>
      </c>
      <c r="E795" s="3" t="n">
        <v>2021</v>
      </c>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c r="AD795" s="3" t="n"/>
      <c r="AE795" s="3" t="n"/>
      <c r="AF795" s="3" t="n"/>
      <c r="AG795" s="3" t="n"/>
      <c r="AH795" s="3" t="n"/>
      <c r="AI795" s="3" t="n"/>
      <c r="AJ795" s="3" t="n"/>
      <c r="AK795" s="3" t="n"/>
      <c r="AL795" s="3" t="n"/>
      <c r="AM795" s="3" t="n"/>
      <c r="AN795" s="3" t="n"/>
      <c r="AO795" s="3" t="n"/>
      <c r="AP795" s="3" t="n"/>
      <c r="AQ795" s="3" t="n"/>
      <c r="AR795" s="3" t="n"/>
      <c r="AS795" s="3" t="n"/>
      <c r="AT795" s="3" t="n">
        <v>8.622347667473873</v>
      </c>
      <c r="AU795" s="3" t="n">
        <v>9.008975965111322</v>
      </c>
      <c r="AV795" s="3" t="n">
        <v>9.350657664690955</v>
      </c>
      <c r="AW795" s="3" t="n">
        <v>9.505863890706399</v>
      </c>
      <c r="AX795" s="3" t="n">
        <v>9.398038425674992</v>
      </c>
      <c r="AY795" s="3" t="n">
        <v>9.329906334946243</v>
      </c>
      <c r="AZ795" s="3" t="n">
        <v>9.254038934936604</v>
      </c>
      <c r="BA795" s="3" t="n">
        <v>9.084769491522691</v>
      </c>
      <c r="BB795" s="3" t="n">
        <v>9.08907438406904</v>
      </c>
      <c r="BC795" s="3" t="n">
        <v>9.833666470363735</v>
      </c>
      <c r="BD795" s="3" t="n">
        <v>9.497934628795219</v>
      </c>
      <c r="BE795" s="3" t="n">
        <v>9.357211246749497</v>
      </c>
      <c r="BF795" s="3" t="n">
        <v>9.370001008991219</v>
      </c>
      <c r="BG795" s="3" t="n">
        <v>9.342759524325592</v>
      </c>
      <c r="BH795" s="3" t="n">
        <v>9.451228319925308</v>
      </c>
      <c r="BI795" s="3" t="n">
        <v>9.731395406763657</v>
      </c>
      <c r="BJ795" s="3" t="n">
        <v>9.8686820980811</v>
      </c>
      <c r="BK795" s="3" t="n">
        <v>9.756478623904004</v>
      </c>
      <c r="BL795" s="3" t="n">
        <v>9.679061376668432</v>
      </c>
      <c r="BM795" s="3" t="n">
        <v>9.809461599418922</v>
      </c>
      <c r="BN795" s="3" t="n">
        <v>10.86795101355753</v>
      </c>
      <c r="BO795" s="3" t="n">
        <v>10.35364355704224</v>
      </c>
      <c r="BP795" s="3" t="n"/>
      <c r="BQ795" s="3" t="n"/>
      <c r="BR795" s="34" t="str">
        <f>B795&amp;"|"&amp;D795</f>
        <v>WLD|SH.XPD.CHEX.GD.ZS</v>
      </c>
    </row>
    <row r="796">
      <c r="A796" s="3" t="inlineStr">
        <is>
          <t>Samoa</t>
        </is>
      </c>
      <c r="B796" s="3" t="inlineStr">
        <is>
          <t>WSM</t>
        </is>
      </c>
      <c r="C796" s="3" t="inlineStr">
        <is>
          <t>Current health expenditure (% of GDP)</t>
        </is>
      </c>
      <c r="D796" s="3" t="inlineStr">
        <is>
          <t>SH.XPD.CHEX.GD.ZS</t>
        </is>
      </c>
      <c r="E796" s="3" t="n">
        <v>2021</v>
      </c>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c r="AD796" s="3" t="n"/>
      <c r="AE796" s="3" t="n"/>
      <c r="AF796" s="3" t="n"/>
      <c r="AG796" s="3" t="n"/>
      <c r="AH796" s="3" t="n"/>
      <c r="AI796" s="3" t="n"/>
      <c r="AJ796" s="3" t="n"/>
      <c r="AK796" s="3" t="n"/>
      <c r="AL796" s="3" t="n"/>
      <c r="AM796" s="3" t="n"/>
      <c r="AN796" s="3" t="n"/>
      <c r="AO796" s="3" t="n"/>
      <c r="AP796" s="3" t="n"/>
      <c r="AQ796" s="3" t="n"/>
      <c r="AR796" s="3" t="n"/>
      <c r="AS796" s="3" t="n"/>
      <c r="AT796" s="3" t="n">
        <v>4.28232527</v>
      </c>
      <c r="AU796" s="3" t="n">
        <v>3.81804991</v>
      </c>
      <c r="AV796" s="3" t="n">
        <v>4.49205494</v>
      </c>
      <c r="AW796" s="3" t="n">
        <v>4.17237139</v>
      </c>
      <c r="AX796" s="3" t="n">
        <v>4.52578545</v>
      </c>
      <c r="AY796" s="3" t="n">
        <v>4.63365459</v>
      </c>
      <c r="AZ796" s="3" t="n">
        <v>4.88451385</v>
      </c>
      <c r="BA796" s="3" t="n">
        <v>4.7446332</v>
      </c>
      <c r="BB796" s="3" t="n">
        <v>4.53258085</v>
      </c>
      <c r="BC796" s="3" t="n">
        <v>5.12732029</v>
      </c>
      <c r="BD796" s="3" t="n">
        <v>5.15268326</v>
      </c>
      <c r="BE796" s="3" t="n">
        <v>5.38357162</v>
      </c>
      <c r="BF796" s="3" t="n">
        <v>4.9883461</v>
      </c>
      <c r="BG796" s="3" t="n">
        <v>6.2147789</v>
      </c>
      <c r="BH796" s="3" t="n">
        <v>6.25431204</v>
      </c>
      <c r="BI796" s="3" t="n">
        <v>6.21226454</v>
      </c>
      <c r="BJ796" s="3" t="n">
        <v>5.63365221</v>
      </c>
      <c r="BK796" s="3" t="n">
        <v>5.16120243</v>
      </c>
      <c r="BL796" s="3" t="n">
        <v>4.77439356</v>
      </c>
      <c r="BM796" s="3" t="n">
        <v>5.63886738</v>
      </c>
      <c r="BN796" s="3" t="n">
        <v>6.18895578</v>
      </c>
      <c r="BO796" s="3" t="n">
        <v>6.80313492</v>
      </c>
      <c r="BP796" s="3" t="n"/>
      <c r="BQ796" s="3" t="n"/>
      <c r="BR796" s="34" t="str">
        <f>B796&amp;"|"&amp;D796</f>
        <v>WSM|SH.XPD.CHEX.GD.ZS</v>
      </c>
    </row>
    <row r="797">
      <c r="A797" s="3" t="inlineStr">
        <is>
          <t>Kosovo</t>
        </is>
      </c>
      <c r="B797" s="3" t="inlineStr">
        <is>
          <t>XKX</t>
        </is>
      </c>
      <c r="C797" s="3" t="inlineStr">
        <is>
          <t>Current health expenditure (% of GDP)</t>
        </is>
      </c>
      <c r="D797" s="3" t="inlineStr">
        <is>
          <t>SH.XPD.CHEX.GD.ZS</t>
        </is>
      </c>
      <c r="E797" s="3" t="inlineStr">
        <is>
          <t>0x2a</t>
        </is>
      </c>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c r="AD797" s="3" t="n"/>
      <c r="AE797" s="3" t="n"/>
      <c r="AF797" s="3" t="n"/>
      <c r="AG797" s="3" t="n"/>
      <c r="AH797" s="3" t="n"/>
      <c r="AI797" s="3" t="n"/>
      <c r="AJ797" s="3" t="n"/>
      <c r="AK797" s="3" t="n"/>
      <c r="AL797" s="3" t="n"/>
      <c r="AM797" s="3" t="n"/>
      <c r="AN797" s="3" t="n"/>
      <c r="AO797" s="3" t="n"/>
      <c r="AP797" s="3" t="n"/>
      <c r="AQ797" s="3" t="n"/>
      <c r="AR797" s="3" t="n"/>
      <c r="AS797" s="3" t="n"/>
      <c r="AT797" s="3" t="n"/>
      <c r="AU797" s="3" t="n"/>
      <c r="AV797" s="3" t="n"/>
      <c r="AW797" s="3" t="n"/>
      <c r="AX797" s="3" t="n"/>
      <c r="AY797" s="3" t="n"/>
      <c r="AZ797" s="3" t="n"/>
      <c r="BA797" s="3" t="n"/>
      <c r="BB797" s="3" t="n"/>
      <c r="BC797" s="3" t="n"/>
      <c r="BD797" s="3" t="n"/>
      <c r="BE797" s="3" t="n"/>
      <c r="BF797" s="3" t="n"/>
      <c r="BG797" s="3" t="n"/>
      <c r="BH797" s="3" t="n"/>
      <c r="BI797" s="3" t="n"/>
      <c r="BJ797" s="3" t="n"/>
      <c r="BK797" s="3" t="n"/>
      <c r="BL797" s="3" t="n"/>
      <c r="BM797" s="3" t="n"/>
      <c r="BN797" s="3" t="n"/>
      <c r="BO797" s="3" t="n"/>
      <c r="BP797" s="3" t="n"/>
      <c r="BQ797" s="3" t="n"/>
      <c r="BR797" s="34" t="str">
        <f>B797&amp;"|"&amp;D797</f>
        <v>XKX|SH.XPD.CHEX.GD.ZS</v>
      </c>
    </row>
    <row r="798">
      <c r="A798" s="3" t="inlineStr">
        <is>
          <t>Yemen, Rep.</t>
        </is>
      </c>
      <c r="B798" s="3" t="inlineStr">
        <is>
          <t>YEM</t>
        </is>
      </c>
      <c r="C798" s="3" t="inlineStr">
        <is>
          <t>Current health expenditure (% of GDP)</t>
        </is>
      </c>
      <c r="D798" s="3" t="inlineStr">
        <is>
          <t>SH.XPD.CHEX.GD.ZS</t>
        </is>
      </c>
      <c r="E798" s="3" t="n">
        <v>2015</v>
      </c>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c r="AD798" s="3" t="n"/>
      <c r="AE798" s="3" t="n"/>
      <c r="AF798" s="3" t="n"/>
      <c r="AG798" s="3" t="n"/>
      <c r="AH798" s="3" t="n"/>
      <c r="AI798" s="3" t="n"/>
      <c r="AJ798" s="3" t="n"/>
      <c r="AK798" s="3" t="n"/>
      <c r="AL798" s="3" t="n"/>
      <c r="AM798" s="3" t="n"/>
      <c r="AN798" s="3" t="n"/>
      <c r="AO798" s="3" t="n"/>
      <c r="AP798" s="3" t="n"/>
      <c r="AQ798" s="3" t="n"/>
      <c r="AR798" s="3" t="n"/>
      <c r="AS798" s="3" t="n"/>
      <c r="AT798" s="3" t="n">
        <v>4.66606569</v>
      </c>
      <c r="AU798" s="3" t="n">
        <v>4.94514799</v>
      </c>
      <c r="AV798" s="3" t="n">
        <v>4.83237982</v>
      </c>
      <c r="AW798" s="3" t="n">
        <v>5.75758314</v>
      </c>
      <c r="AX798" s="3" t="n">
        <v>5.5144043</v>
      </c>
      <c r="AY798" s="3" t="n">
        <v>5.20585251</v>
      </c>
      <c r="AZ798" s="3" t="n">
        <v>5.52930164</v>
      </c>
      <c r="BA798" s="3" t="n">
        <v>5.82077599</v>
      </c>
      <c r="BB798" s="3" t="n">
        <v>5.76191616</v>
      </c>
      <c r="BC798" s="3" t="n">
        <v>5.98619986</v>
      </c>
      <c r="BD798" s="3" t="n">
        <v>5.15932894</v>
      </c>
      <c r="BE798" s="3" t="n">
        <v>4.7695322</v>
      </c>
      <c r="BF798" s="3" t="n">
        <v>5.19593525</v>
      </c>
      <c r="BG798" s="3" t="n">
        <v>4.96083164</v>
      </c>
      <c r="BH798" s="3" t="n">
        <v>4.8418045</v>
      </c>
      <c r="BI798" s="3" t="n">
        <v>4.25285673</v>
      </c>
      <c r="BJ798" s="3" t="n"/>
      <c r="BK798" s="3" t="n"/>
      <c r="BL798" s="3" t="n"/>
      <c r="BM798" s="3" t="n"/>
      <c r="BN798" s="3" t="n"/>
      <c r="BO798" s="3" t="n"/>
      <c r="BP798" s="3" t="n"/>
      <c r="BQ798" s="3" t="n"/>
      <c r="BR798" s="34" t="str">
        <f>B798&amp;"|"&amp;D798</f>
        <v>YEM|SH.XPD.CHEX.GD.ZS</v>
      </c>
    </row>
    <row r="799">
      <c r="A799" s="3" t="inlineStr">
        <is>
          <t>South Africa</t>
        </is>
      </c>
      <c r="B799" s="3" t="inlineStr">
        <is>
          <t>ZAF</t>
        </is>
      </c>
      <c r="C799" s="3" t="inlineStr">
        <is>
          <t>Current health expenditure (% of GDP)</t>
        </is>
      </c>
      <c r="D799" s="3" t="inlineStr">
        <is>
          <t>SH.XPD.CHEX.GD.ZS</t>
        </is>
      </c>
      <c r="E799" s="3" t="n">
        <v>2021</v>
      </c>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c r="AD799" s="3" t="n"/>
      <c r="AE799" s="3" t="n"/>
      <c r="AF799" s="3" t="n"/>
      <c r="AG799" s="3" t="n"/>
      <c r="AH799" s="3" t="n"/>
      <c r="AI799" s="3" t="n"/>
      <c r="AJ799" s="3" t="n"/>
      <c r="AK799" s="3" t="n"/>
      <c r="AL799" s="3" t="n"/>
      <c r="AM799" s="3" t="n"/>
      <c r="AN799" s="3" t="n"/>
      <c r="AO799" s="3" t="n"/>
      <c r="AP799" s="3" t="n"/>
      <c r="AQ799" s="3" t="n"/>
      <c r="AR799" s="3" t="n"/>
      <c r="AS799" s="3" t="n"/>
      <c r="AT799" s="3" t="n">
        <v>7.3366189</v>
      </c>
      <c r="AU799" s="3" t="n">
        <v>7.12327909</v>
      </c>
      <c r="AV799" s="3" t="n">
        <v>6.67774487</v>
      </c>
      <c r="AW799" s="3" t="n">
        <v>7.04098177</v>
      </c>
      <c r="AX799" s="3" t="n">
        <v>6.938416</v>
      </c>
      <c r="AY799" s="3" t="n">
        <v>6.86216164</v>
      </c>
      <c r="AZ799" s="3" t="n">
        <v>6.87650871</v>
      </c>
      <c r="BA799" s="3" t="n">
        <v>6.90510845</v>
      </c>
      <c r="BB799" s="3" t="n">
        <v>7.14832258</v>
      </c>
      <c r="BC799" s="3" t="n">
        <v>7.64941454</v>
      </c>
      <c r="BD799" s="3" t="n">
        <v>7.79358244</v>
      </c>
      <c r="BE799" s="3" t="n">
        <v>7.94434404</v>
      </c>
      <c r="BF799" s="3" t="n">
        <v>8.004288669999999</v>
      </c>
      <c r="BG799" s="3" t="n">
        <v>8.10322285</v>
      </c>
      <c r="BH799" s="3" t="n">
        <v>7.87136555</v>
      </c>
      <c r="BI799" s="3" t="n">
        <v>8.05304241</v>
      </c>
      <c r="BJ799" s="3" t="n">
        <v>8.07959366</v>
      </c>
      <c r="BK799" s="3" t="n">
        <v>7.97711229</v>
      </c>
      <c r="BL799" s="3" t="n">
        <v>8.08820343</v>
      </c>
      <c r="BM799" s="3" t="n">
        <v>8.244189260000001</v>
      </c>
      <c r="BN799" s="3" t="n">
        <v>8.572587970000001</v>
      </c>
      <c r="BO799" s="3" t="n">
        <v>8.273091320000001</v>
      </c>
      <c r="BP799" s="3" t="n"/>
      <c r="BQ799" s="3" t="n"/>
      <c r="BR799" s="34" t="str">
        <f>B799&amp;"|"&amp;D799</f>
        <v>ZAF|SH.XPD.CHEX.GD.ZS</v>
      </c>
    </row>
    <row r="800">
      <c r="A800" s="3" t="inlineStr">
        <is>
          <t>Zambia</t>
        </is>
      </c>
      <c r="B800" s="3" t="inlineStr">
        <is>
          <t>ZMB</t>
        </is>
      </c>
      <c r="C800" s="3" t="inlineStr">
        <is>
          <t>Current health expenditure (% of GDP)</t>
        </is>
      </c>
      <c r="D800" s="3" t="inlineStr">
        <is>
          <t>SH.XPD.CHEX.GD.ZS</t>
        </is>
      </c>
      <c r="E800" s="3" t="n">
        <v>2021</v>
      </c>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c r="AD800" s="3" t="n"/>
      <c r="AE800" s="3" t="n"/>
      <c r="AF800" s="3" t="n"/>
      <c r="AG800" s="3" t="n"/>
      <c r="AH800" s="3" t="n"/>
      <c r="AI800" s="3" t="n"/>
      <c r="AJ800" s="3" t="n"/>
      <c r="AK800" s="3" t="n"/>
      <c r="AL800" s="3" t="n"/>
      <c r="AM800" s="3" t="n"/>
      <c r="AN800" s="3" t="n"/>
      <c r="AO800" s="3" t="n"/>
      <c r="AP800" s="3" t="n"/>
      <c r="AQ800" s="3" t="n"/>
      <c r="AR800" s="3" t="n"/>
      <c r="AS800" s="3" t="n"/>
      <c r="AT800" s="3" t="n">
        <v>4.17365646</v>
      </c>
      <c r="AU800" s="3" t="n">
        <v>4.82995701</v>
      </c>
      <c r="AV800" s="3" t="n">
        <v>5.88845205</v>
      </c>
      <c r="AW800" s="3" t="n">
        <v>5.99553585</v>
      </c>
      <c r="AX800" s="3" t="n">
        <v>5.48490572</v>
      </c>
      <c r="AY800" s="3" t="n">
        <v>6.33088684</v>
      </c>
      <c r="AZ800" s="3" t="n">
        <v>5.5774231</v>
      </c>
      <c r="BA800" s="3" t="n">
        <v>4.57961416</v>
      </c>
      <c r="BB800" s="3" t="n">
        <v>4.46690989</v>
      </c>
      <c r="BC800" s="3" t="n">
        <v>5.15718842</v>
      </c>
      <c r="BD800" s="3" t="n">
        <v>3.97471905</v>
      </c>
      <c r="BE800" s="3" t="n">
        <v>3.95913363</v>
      </c>
      <c r="BF800" s="3" t="n">
        <v>4.04541731</v>
      </c>
      <c r="BG800" s="3" t="n">
        <v>4.57390451</v>
      </c>
      <c r="BH800" s="3" t="n">
        <v>3.82924223</v>
      </c>
      <c r="BI800" s="3" t="n">
        <v>4.42974281</v>
      </c>
      <c r="BJ800" s="3" t="n">
        <v>4.46923161</v>
      </c>
      <c r="BK800" s="3" t="n">
        <v>4.78156233</v>
      </c>
      <c r="BL800" s="3" t="n">
        <v>4.76996708</v>
      </c>
      <c r="BM800" s="3" t="n">
        <v>6.75332499</v>
      </c>
      <c r="BN800" s="3" t="n">
        <v>6.31619787</v>
      </c>
      <c r="BO800" s="3" t="n">
        <v>6.62416458</v>
      </c>
      <c r="BP800" s="3" t="n"/>
      <c r="BQ800" s="3" t="n"/>
      <c r="BR800" s="34" t="str">
        <f>B800&amp;"|"&amp;D800</f>
        <v>ZMB|SH.XPD.CHEX.GD.ZS</v>
      </c>
    </row>
    <row r="801">
      <c r="A801" s="3" t="inlineStr">
        <is>
          <t>Zimbabwe</t>
        </is>
      </c>
      <c r="B801" s="3" t="inlineStr">
        <is>
          <t>ZWE</t>
        </is>
      </c>
      <c r="C801" s="3" t="inlineStr">
        <is>
          <t>Current health expenditure (% of GDP)</t>
        </is>
      </c>
      <c r="D801" s="3" t="inlineStr">
        <is>
          <t>SH.XPD.CHEX.GD.ZS</t>
        </is>
      </c>
      <c r="E801" s="3" t="n">
        <v>2021</v>
      </c>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c r="AD801" s="3" t="n"/>
      <c r="AE801" s="3" t="n"/>
      <c r="AF801" s="3" t="n"/>
      <c r="AG801" s="3" t="n"/>
      <c r="AH801" s="3" t="n"/>
      <c r="AI801" s="3" t="n"/>
      <c r="AJ801" s="3" t="n"/>
      <c r="AK801" s="3" t="n"/>
      <c r="AL801" s="3" t="n"/>
      <c r="AM801" s="3" t="n"/>
      <c r="AN801" s="3" t="n"/>
      <c r="AO801" s="3" t="n"/>
      <c r="AP801" s="3" t="n"/>
      <c r="AQ801" s="3" t="n"/>
      <c r="AR801" s="3" t="n"/>
      <c r="AS801" s="3" t="n"/>
      <c r="AT801" s="3" t="n"/>
      <c r="AU801" s="3" t="n"/>
      <c r="AV801" s="3" t="n"/>
      <c r="AW801" s="3" t="n"/>
      <c r="AX801" s="3" t="n"/>
      <c r="AY801" s="3" t="n"/>
      <c r="AZ801" s="3" t="n"/>
      <c r="BA801" s="3" t="n"/>
      <c r="BB801" s="3" t="n"/>
      <c r="BC801" s="3" t="n"/>
      <c r="BD801" s="3" t="n">
        <v>10.47583866</v>
      </c>
      <c r="BE801" s="3" t="n">
        <v>8.08288383</v>
      </c>
      <c r="BF801" s="3" t="n">
        <v>6.91794872</v>
      </c>
      <c r="BG801" s="3" t="n">
        <v>7.10940313</v>
      </c>
      <c r="BH801" s="3" t="n">
        <v>8.13227272</v>
      </c>
      <c r="BI801" s="3" t="n">
        <v>7.44982719</v>
      </c>
      <c r="BJ801" s="3" t="n">
        <v>7.46644735</v>
      </c>
      <c r="BK801" s="3" t="n">
        <v>6.36358309</v>
      </c>
      <c r="BL801" s="3" t="n">
        <v>4.67039156</v>
      </c>
      <c r="BM801" s="3" t="n">
        <v>3.23280239</v>
      </c>
      <c r="BN801" s="3" t="n">
        <v>2.95440149</v>
      </c>
      <c r="BO801" s="3" t="n">
        <v>2.78975058</v>
      </c>
      <c r="BP801" s="3" t="n"/>
      <c r="BQ801" s="3" t="n"/>
      <c r="BR801" s="34" t="str">
        <f>B801&amp;"|"&amp;D801</f>
        <v>ZWE|SH.XPD.CHEX.GD.ZS</v>
      </c>
    </row>
    <row r="802">
      <c r="BR802" s="34" t="str">
        <f>B802&amp;"|"&amp;D802</f>
        <v>|</v>
      </c>
    </row>
    <row r="803">
      <c r="BR803" s="34" t="str">
        <f>B803&amp;"|"&amp;D803</f>
        <v>|</v>
      </c>
    </row>
    <row r="804">
      <c r="BR804" s="34" t="str">
        <f>B804&amp;"|"&amp;D804</f>
        <v>|</v>
      </c>
    </row>
    <row r="805">
      <c r="BR805" s="34" t="str">
        <f>B805&amp;"|"&amp;D805</f>
        <v>|</v>
      </c>
    </row>
    <row r="806">
      <c r="BR806" s="34" t="str">
        <f>B806&amp;"|"&amp;D806</f>
        <v>|</v>
      </c>
    </row>
    <row r="807">
      <c r="BR807" s="34" t="str">
        <f>B807&amp;"|"&amp;D807</f>
        <v>|</v>
      </c>
    </row>
    <row r="808">
      <c r="BR808" s="34" t="str">
        <f>B808&amp;"|"&amp;D808</f>
        <v>|</v>
      </c>
    </row>
    <row r="809">
      <c r="BR809" s="34" t="str">
        <f>B809&amp;"|"&amp;D809</f>
        <v>|</v>
      </c>
    </row>
    <row r="810">
      <c r="BR810" s="34" t="str">
        <f>B810&amp;"|"&amp;D810</f>
        <v>|</v>
      </c>
    </row>
    <row r="811">
      <c r="BR811" s="34" t="str">
        <f>B811&amp;"|"&amp;D811</f>
        <v>|</v>
      </c>
    </row>
    <row r="812">
      <c r="BR812" s="34" t="str">
        <f>B812&amp;"|"&amp;D812</f>
        <v>|</v>
      </c>
    </row>
    <row r="813">
      <c r="BR813" s="34" t="str">
        <f>B813&amp;"|"&amp;D813</f>
        <v>|</v>
      </c>
    </row>
    <row r="814">
      <c r="BR814" s="34" t="str">
        <f>B814&amp;"|"&amp;D814</f>
        <v>|</v>
      </c>
    </row>
    <row r="815">
      <c r="BR815" s="34" t="str">
        <f>B815&amp;"|"&amp;D815</f>
        <v>|</v>
      </c>
    </row>
    <row r="816">
      <c r="BR816" s="34" t="str">
        <f>B816&amp;"|"&amp;D816</f>
        <v>|</v>
      </c>
    </row>
    <row r="817">
      <c r="BR817" s="34" t="str">
        <f>B817&amp;"|"&amp;D817</f>
        <v>|</v>
      </c>
    </row>
    <row r="818">
      <c r="BR818" s="34" t="str">
        <f>B818&amp;"|"&amp;D818</f>
        <v>|</v>
      </c>
    </row>
    <row r="819">
      <c r="BR819" s="34" t="str">
        <f>B819&amp;"|"&amp;D819</f>
        <v>|</v>
      </c>
    </row>
    <row r="820">
      <c r="BR820" s="34" t="str">
        <f>B820&amp;"|"&amp;D820</f>
        <v>|</v>
      </c>
    </row>
    <row r="821">
      <c r="BR821" s="34" t="str">
        <f>B821&amp;"|"&amp;D821</f>
        <v>|</v>
      </c>
    </row>
    <row r="822">
      <c r="BR822" s="34" t="str">
        <f>B822&amp;"|"&amp;D822</f>
        <v>|</v>
      </c>
    </row>
    <row r="823">
      <c r="BR823" s="34" t="str">
        <f>B823&amp;"|"&amp;D823</f>
        <v>|</v>
      </c>
    </row>
    <row r="824">
      <c r="BR824" s="34" t="str">
        <f>B824&amp;"|"&amp;D824</f>
        <v>|</v>
      </c>
    </row>
    <row r="825">
      <c r="BR825" s="34" t="str">
        <f>B825&amp;"|"&amp;D825</f>
        <v>|</v>
      </c>
    </row>
    <row r="826">
      <c r="BR826" s="34" t="str">
        <f>B826&amp;"|"&amp;D826</f>
        <v>|</v>
      </c>
    </row>
    <row r="827">
      <c r="BR827" s="34" t="str">
        <f>B827&amp;"|"&amp;D827</f>
        <v>|</v>
      </c>
    </row>
    <row r="828">
      <c r="BR828" s="34" t="str">
        <f>B828&amp;"|"&amp;D828</f>
        <v>|</v>
      </c>
    </row>
    <row r="829">
      <c r="BR829" s="34" t="str">
        <f>B829&amp;"|"&amp;D829</f>
        <v>|</v>
      </c>
    </row>
    <row r="830">
      <c r="BR830" s="34" t="str">
        <f>B830&amp;"|"&amp;D830</f>
        <v>|</v>
      </c>
    </row>
    <row r="831">
      <c r="BR831" s="34" t="str">
        <f>B831&amp;"|"&amp;D831</f>
        <v>|</v>
      </c>
    </row>
    <row r="832">
      <c r="BR832" s="34" t="str">
        <f>B832&amp;"|"&amp;D832</f>
        <v>|</v>
      </c>
    </row>
    <row r="833">
      <c r="BR833" s="34" t="str">
        <f>B833&amp;"|"&amp;D833</f>
        <v>|</v>
      </c>
    </row>
    <row r="834">
      <c r="BR834" s="34" t="str">
        <f>B834&amp;"|"&amp;D834</f>
        <v>|</v>
      </c>
    </row>
    <row r="835">
      <c r="BR835" s="34" t="str">
        <f>B835&amp;"|"&amp;D835</f>
        <v>|</v>
      </c>
    </row>
    <row r="836">
      <c r="BR836" s="34" t="str">
        <f>B836&amp;"|"&amp;D836</f>
        <v>|</v>
      </c>
    </row>
    <row r="837">
      <c r="BR837" s="34" t="str">
        <f>B837&amp;"|"&amp;D837</f>
        <v>|</v>
      </c>
    </row>
    <row r="838">
      <c r="BR838" s="34" t="str">
        <f>B838&amp;"|"&amp;D838</f>
        <v>|</v>
      </c>
    </row>
    <row r="839">
      <c r="BR839" s="34" t="str">
        <f>B839&amp;"|"&amp;D839</f>
        <v>|</v>
      </c>
    </row>
    <row r="840">
      <c r="BR840" s="34" t="str">
        <f>B840&amp;"|"&amp;D840</f>
        <v>|</v>
      </c>
    </row>
    <row r="841">
      <c r="BR841" s="34" t="str">
        <f>B841&amp;"|"&amp;D841</f>
        <v>|</v>
      </c>
    </row>
    <row r="842">
      <c r="BR842" s="34" t="str">
        <f>B842&amp;"|"&amp;D842</f>
        <v>|</v>
      </c>
    </row>
    <row r="843">
      <c r="BR843" s="34" t="str">
        <f>B843&amp;"|"&amp;D843</f>
        <v>|</v>
      </c>
    </row>
    <row r="844">
      <c r="BR844" s="34" t="str">
        <f>B844&amp;"|"&amp;D844</f>
        <v>|</v>
      </c>
    </row>
    <row r="845">
      <c r="BR845" s="34" t="str">
        <f>B845&amp;"|"&amp;D845</f>
        <v>|</v>
      </c>
    </row>
    <row r="846">
      <c r="BR846" s="34" t="str">
        <f>B846&amp;"|"&amp;D846</f>
        <v>|</v>
      </c>
    </row>
    <row r="847">
      <c r="BR847" s="34" t="str">
        <f>B847&amp;"|"&amp;D847</f>
        <v>|</v>
      </c>
    </row>
    <row r="848">
      <c r="BR848" s="34" t="str">
        <f>B848&amp;"|"&amp;D848</f>
        <v>|</v>
      </c>
    </row>
    <row r="849">
      <c r="BR849" s="34" t="str">
        <f>B849&amp;"|"&amp;D849</f>
        <v>|</v>
      </c>
    </row>
    <row r="850">
      <c r="BR850" s="34" t="str">
        <f>B850&amp;"|"&amp;D850</f>
        <v>|</v>
      </c>
    </row>
    <row r="851">
      <c r="BR851" s="34" t="str">
        <f>B851&amp;"|"&amp;D851</f>
        <v>|</v>
      </c>
    </row>
    <row r="852">
      <c r="BR852" s="34" t="str">
        <f>B852&amp;"|"&amp;D852</f>
        <v>|</v>
      </c>
    </row>
    <row r="853">
      <c r="BR853" s="34" t="str">
        <f>B853&amp;"|"&amp;D853</f>
        <v>|</v>
      </c>
    </row>
    <row r="854">
      <c r="BR854" s="34" t="str">
        <f>B854&amp;"|"&amp;D854</f>
        <v>|</v>
      </c>
    </row>
    <row r="855">
      <c r="BR855" s="34" t="str">
        <f>B855&amp;"|"&amp;D855</f>
        <v>|</v>
      </c>
    </row>
    <row r="856">
      <c r="BR856" s="34" t="str">
        <f>B856&amp;"|"&amp;D856</f>
        <v>|</v>
      </c>
    </row>
    <row r="857">
      <c r="BR857" s="34" t="str">
        <f>B857&amp;"|"&amp;D857</f>
        <v>|</v>
      </c>
    </row>
    <row r="858">
      <c r="BR858" s="34" t="str">
        <f>B858&amp;"|"&amp;D858</f>
        <v>|</v>
      </c>
    </row>
    <row r="859">
      <c r="BR859" s="34" t="str">
        <f>B859&amp;"|"&amp;D859</f>
        <v>|</v>
      </c>
    </row>
    <row r="860">
      <c r="BR860" s="34" t="str">
        <f>B860&amp;"|"&amp;D860</f>
        <v>|</v>
      </c>
    </row>
    <row r="861">
      <c r="BR861" s="34" t="str">
        <f>B861&amp;"|"&amp;D861</f>
        <v>|</v>
      </c>
    </row>
    <row r="862">
      <c r="BR862" s="34" t="str">
        <f>B862&amp;"|"&amp;D862</f>
        <v>|</v>
      </c>
    </row>
    <row r="863">
      <c r="BR863" s="34" t="str">
        <f>B863&amp;"|"&amp;D863</f>
        <v>|</v>
      </c>
    </row>
    <row r="864">
      <c r="BR864" s="34" t="str">
        <f>B864&amp;"|"&amp;D864</f>
        <v>|</v>
      </c>
    </row>
    <row r="865">
      <c r="BR865" s="34" t="str">
        <f>B865&amp;"|"&amp;D865</f>
        <v>|</v>
      </c>
    </row>
    <row r="866">
      <c r="BR866" s="34" t="str">
        <f>B866&amp;"|"&amp;D866</f>
        <v>|</v>
      </c>
    </row>
    <row r="867">
      <c r="BR867" s="34" t="str">
        <f>B867&amp;"|"&amp;D867</f>
        <v>|</v>
      </c>
    </row>
    <row r="868">
      <c r="BR868" s="34" t="str">
        <f>B868&amp;"|"&amp;D868</f>
        <v>|</v>
      </c>
    </row>
    <row r="869">
      <c r="BR869" s="34" t="str">
        <f>B869&amp;"|"&amp;D869</f>
        <v>|</v>
      </c>
    </row>
    <row r="870">
      <c r="BR870" s="34" t="str">
        <f>B870&amp;"|"&amp;D870</f>
        <v>|</v>
      </c>
    </row>
    <row r="871">
      <c r="BR871" s="34" t="str">
        <f>B871&amp;"|"&amp;D871</f>
        <v>|</v>
      </c>
    </row>
    <row r="872">
      <c r="BR872" s="34" t="str">
        <f>B872&amp;"|"&amp;D872</f>
        <v>|</v>
      </c>
    </row>
    <row r="873">
      <c r="BR873" s="34" t="str">
        <f>B873&amp;"|"&amp;D873</f>
        <v>|</v>
      </c>
    </row>
    <row r="874">
      <c r="BR874" s="34" t="str">
        <f>B874&amp;"|"&amp;D874</f>
        <v>|</v>
      </c>
    </row>
    <row r="875">
      <c r="BR875" s="34" t="str">
        <f>B875&amp;"|"&amp;D875</f>
        <v>|</v>
      </c>
    </row>
    <row r="876">
      <c r="BR876" s="34" t="str">
        <f>B876&amp;"|"&amp;D876</f>
        <v>|</v>
      </c>
    </row>
    <row r="877">
      <c r="BR877" s="34" t="str">
        <f>B877&amp;"|"&amp;D877</f>
        <v>|</v>
      </c>
    </row>
    <row r="878">
      <c r="BR878" s="34" t="str">
        <f>B878&amp;"|"&amp;D878</f>
        <v>|</v>
      </c>
    </row>
    <row r="879">
      <c r="BR879" s="34" t="str">
        <f>B879&amp;"|"&amp;D879</f>
        <v>|</v>
      </c>
    </row>
    <row r="880">
      <c r="BR880" s="34" t="str">
        <f>B880&amp;"|"&amp;D880</f>
        <v>|</v>
      </c>
    </row>
    <row r="881">
      <c r="BR881" s="34" t="str">
        <f>B881&amp;"|"&amp;D881</f>
        <v>|</v>
      </c>
    </row>
    <row r="882">
      <c r="BR882" s="34" t="str">
        <f>B882&amp;"|"&amp;D882</f>
        <v>|</v>
      </c>
    </row>
    <row r="883">
      <c r="BR883" s="34" t="str">
        <f>B883&amp;"|"&amp;D883</f>
        <v>|</v>
      </c>
    </row>
    <row r="884">
      <c r="BR884" s="34" t="str">
        <f>B884&amp;"|"&amp;D884</f>
        <v>|</v>
      </c>
    </row>
    <row r="885">
      <c r="BR885" s="34" t="str">
        <f>B885&amp;"|"&amp;D885</f>
        <v>|</v>
      </c>
    </row>
    <row r="886">
      <c r="BR886" s="34" t="str">
        <f>B886&amp;"|"&amp;D886</f>
        <v>|</v>
      </c>
    </row>
    <row r="887">
      <c r="BR887" s="34" t="str">
        <f>B887&amp;"|"&amp;D887</f>
        <v>|</v>
      </c>
    </row>
    <row r="888">
      <c r="BR888" s="34" t="str">
        <f>B888&amp;"|"&amp;D888</f>
        <v>|</v>
      </c>
    </row>
    <row r="889">
      <c r="BR889" s="34" t="str">
        <f>B889&amp;"|"&amp;D889</f>
        <v>|</v>
      </c>
    </row>
    <row r="890">
      <c r="BR890" s="34" t="str">
        <f>B890&amp;"|"&amp;D890</f>
        <v>|</v>
      </c>
    </row>
    <row r="891">
      <c r="BR891" s="34" t="str">
        <f>B891&amp;"|"&amp;D891</f>
        <v>|</v>
      </c>
    </row>
    <row r="892">
      <c r="BR892" s="34" t="str">
        <f>B892&amp;"|"&amp;D892</f>
        <v>|</v>
      </c>
    </row>
    <row r="893">
      <c r="BR893" s="34" t="str">
        <f>B893&amp;"|"&amp;D893</f>
        <v>|</v>
      </c>
    </row>
    <row r="894">
      <c r="BR894" s="34" t="str">
        <f>B894&amp;"|"&amp;D894</f>
        <v>|</v>
      </c>
    </row>
    <row r="895">
      <c r="BR895" s="34" t="str">
        <f>B895&amp;"|"&amp;D895</f>
        <v>|</v>
      </c>
    </row>
    <row r="896">
      <c r="BR896" s="34" t="str">
        <f>B896&amp;"|"&amp;D896</f>
        <v>|</v>
      </c>
    </row>
    <row r="897">
      <c r="BR897" s="34" t="str">
        <f>B897&amp;"|"&amp;D897</f>
        <v>|</v>
      </c>
    </row>
    <row r="898">
      <c r="BR898" s="34" t="str">
        <f>B898&amp;"|"&amp;D898</f>
        <v>|</v>
      </c>
    </row>
    <row r="899">
      <c r="BR899" s="34" t="str">
        <f>B899&amp;"|"&amp;D899</f>
        <v>|</v>
      </c>
    </row>
    <row r="900">
      <c r="BR900" s="34" t="str">
        <f>B900&amp;"|"&amp;D900</f>
        <v>|</v>
      </c>
    </row>
    <row r="901">
      <c r="BR901" s="34" t="str">
        <f>B901&amp;"|"&amp;D901</f>
        <v>|</v>
      </c>
    </row>
    <row r="902">
      <c r="BR902" s="34" t="str">
        <f>B902&amp;"|"&amp;D902</f>
        <v>|</v>
      </c>
    </row>
    <row r="903">
      <c r="BR903" s="34" t="str">
        <f>B903&amp;"|"&amp;D903</f>
        <v>|</v>
      </c>
    </row>
    <row r="904">
      <c r="BR904" s="34" t="str">
        <f>B904&amp;"|"&amp;D904</f>
        <v>|</v>
      </c>
    </row>
    <row r="905">
      <c r="BR905" s="34" t="str">
        <f>B905&amp;"|"&amp;D905</f>
        <v>|</v>
      </c>
    </row>
    <row r="906">
      <c r="BR906" s="34" t="str">
        <f>B906&amp;"|"&amp;D906</f>
        <v>|</v>
      </c>
    </row>
    <row r="907">
      <c r="BR907" s="34" t="str">
        <f>B907&amp;"|"&amp;D907</f>
        <v>|</v>
      </c>
    </row>
    <row r="908">
      <c r="BR908" s="34" t="str">
        <f>B908&amp;"|"&amp;D908</f>
        <v>|</v>
      </c>
    </row>
    <row r="909">
      <c r="BR909" s="34" t="str">
        <f>B909&amp;"|"&amp;D909</f>
        <v>|</v>
      </c>
    </row>
    <row r="910">
      <c r="BR910" s="34" t="str">
        <f>B910&amp;"|"&amp;D910</f>
        <v>|</v>
      </c>
    </row>
    <row r="911">
      <c r="BR911" s="34" t="str">
        <f>B911&amp;"|"&amp;D911</f>
        <v>|</v>
      </c>
    </row>
    <row r="912">
      <c r="BR912" s="34" t="str">
        <f>B912&amp;"|"&amp;D912</f>
        <v>|</v>
      </c>
    </row>
    <row r="913">
      <c r="BR913" s="34" t="str">
        <f>B913&amp;"|"&amp;D913</f>
        <v>|</v>
      </c>
    </row>
    <row r="914">
      <c r="BR914" s="34" t="str">
        <f>B914&amp;"|"&amp;D914</f>
        <v>|</v>
      </c>
    </row>
    <row r="915">
      <c r="BR915" s="34" t="str">
        <f>B915&amp;"|"&amp;D915</f>
        <v>|</v>
      </c>
    </row>
    <row r="916">
      <c r="BR916" s="34" t="str">
        <f>B916&amp;"|"&amp;D916</f>
        <v>|</v>
      </c>
    </row>
    <row r="917">
      <c r="BR917" s="34" t="str">
        <f>B917&amp;"|"&amp;D917</f>
        <v>|</v>
      </c>
    </row>
    <row r="918">
      <c r="BR918" s="34" t="str">
        <f>B918&amp;"|"&amp;D918</f>
        <v>|</v>
      </c>
    </row>
    <row r="919">
      <c r="BR919" s="34" t="str">
        <f>B919&amp;"|"&amp;D919</f>
        <v>|</v>
      </c>
    </row>
    <row r="920">
      <c r="BR920" s="34" t="str">
        <f>B920&amp;"|"&amp;D920</f>
        <v>|</v>
      </c>
    </row>
    <row r="921">
      <c r="BR921" s="34" t="str">
        <f>B921&amp;"|"&amp;D921</f>
        <v>|</v>
      </c>
    </row>
    <row r="922">
      <c r="BR922" s="34" t="str">
        <f>B922&amp;"|"&amp;D922</f>
        <v>|</v>
      </c>
    </row>
    <row r="923">
      <c r="BR923" s="34" t="str">
        <f>B923&amp;"|"&amp;D923</f>
        <v>|</v>
      </c>
    </row>
    <row r="924">
      <c r="BR924" s="34" t="str">
        <f>B924&amp;"|"&amp;D924</f>
        <v>|</v>
      </c>
    </row>
    <row r="925">
      <c r="BR925" s="34" t="str">
        <f>B925&amp;"|"&amp;D925</f>
        <v>|</v>
      </c>
    </row>
    <row r="926">
      <c r="BR926" s="34" t="str">
        <f>B926&amp;"|"&amp;D926</f>
        <v>|</v>
      </c>
    </row>
    <row r="927">
      <c r="BR927" s="34" t="str">
        <f>B927&amp;"|"&amp;D927</f>
        <v>|</v>
      </c>
    </row>
    <row r="928">
      <c r="BR928" s="34" t="str">
        <f>B928&amp;"|"&amp;D928</f>
        <v>|</v>
      </c>
    </row>
    <row r="929">
      <c r="BR929" s="34" t="str">
        <f>B929&amp;"|"&amp;D929</f>
        <v>|</v>
      </c>
    </row>
    <row r="930">
      <c r="BR930" s="34" t="str">
        <f>B930&amp;"|"&amp;D930</f>
        <v>|</v>
      </c>
    </row>
    <row r="931">
      <c r="BR931" s="34" t="str">
        <f>B931&amp;"|"&amp;D931</f>
        <v>|</v>
      </c>
    </row>
    <row r="932">
      <c r="BR932" s="34" t="str">
        <f>B932&amp;"|"&amp;D932</f>
        <v>|</v>
      </c>
    </row>
    <row r="933">
      <c r="BR933" s="34" t="str">
        <f>B933&amp;"|"&amp;D933</f>
        <v>|</v>
      </c>
    </row>
    <row r="934">
      <c r="BR934" s="34" t="str">
        <f>B934&amp;"|"&amp;D934</f>
        <v>|</v>
      </c>
    </row>
    <row r="935">
      <c r="BR935" s="34" t="str">
        <f>B935&amp;"|"&amp;D935</f>
        <v>|</v>
      </c>
    </row>
    <row r="936">
      <c r="BR936" s="34" t="str">
        <f>B936&amp;"|"&amp;D936</f>
        <v>|</v>
      </c>
    </row>
    <row r="937">
      <c r="BR937" s="34" t="str">
        <f>B937&amp;"|"&amp;D937</f>
        <v>|</v>
      </c>
    </row>
    <row r="938">
      <c r="BR938" s="34" t="str">
        <f>B938&amp;"|"&amp;D938</f>
        <v>|</v>
      </c>
    </row>
    <row r="939">
      <c r="BR939" s="34" t="str">
        <f>B939&amp;"|"&amp;D939</f>
        <v>|</v>
      </c>
    </row>
    <row r="940">
      <c r="BR940" s="34" t="str">
        <f>B940&amp;"|"&amp;D940</f>
        <v>|</v>
      </c>
    </row>
    <row r="941">
      <c r="BR941" s="34" t="str">
        <f>B941&amp;"|"&amp;D941</f>
        <v>|</v>
      </c>
    </row>
    <row r="942">
      <c r="BR942" s="34" t="str">
        <f>B942&amp;"|"&amp;D942</f>
        <v>|</v>
      </c>
    </row>
    <row r="943">
      <c r="BR943" s="34" t="str">
        <f>B943&amp;"|"&amp;D943</f>
        <v>|</v>
      </c>
    </row>
    <row r="944">
      <c r="BR944" s="34" t="str">
        <f>B944&amp;"|"&amp;D944</f>
        <v>|</v>
      </c>
    </row>
    <row r="945">
      <c r="BR945" s="34" t="str">
        <f>B945&amp;"|"&amp;D945</f>
        <v>|</v>
      </c>
    </row>
    <row r="946">
      <c r="BR946" s="34" t="str">
        <f>B946&amp;"|"&amp;D946</f>
        <v>|</v>
      </c>
    </row>
    <row r="947">
      <c r="BR947" s="34" t="str">
        <f>B947&amp;"|"&amp;D947</f>
        <v>|</v>
      </c>
    </row>
    <row r="948">
      <c r="BR948" s="34" t="str">
        <f>B948&amp;"|"&amp;D948</f>
        <v>|</v>
      </c>
    </row>
    <row r="949">
      <c r="BR949" s="34" t="str">
        <f>B949&amp;"|"&amp;D949</f>
        <v>|</v>
      </c>
    </row>
    <row r="950">
      <c r="BR950" s="34" t="str">
        <f>B950&amp;"|"&amp;D950</f>
        <v>|</v>
      </c>
    </row>
    <row r="951">
      <c r="BR951" s="34" t="str">
        <f>B951&amp;"|"&amp;D951</f>
        <v>|</v>
      </c>
    </row>
    <row r="952">
      <c r="BR952" s="34" t="str">
        <f>B952&amp;"|"&amp;D952</f>
        <v>|</v>
      </c>
    </row>
    <row r="953">
      <c r="BR953" s="34" t="str">
        <f>B953&amp;"|"&amp;D953</f>
        <v>|</v>
      </c>
    </row>
    <row r="954">
      <c r="BR954" s="34" t="str">
        <f>B954&amp;"|"&amp;D954</f>
        <v>|</v>
      </c>
    </row>
    <row r="955">
      <c r="BR955" s="34" t="str">
        <f>B955&amp;"|"&amp;D955</f>
        <v>|</v>
      </c>
    </row>
    <row r="956">
      <c r="BR956" s="34" t="str">
        <f>B956&amp;"|"&amp;D956</f>
        <v>|</v>
      </c>
    </row>
    <row r="957">
      <c r="BR957" s="34" t="str">
        <f>B957&amp;"|"&amp;D957</f>
        <v>|</v>
      </c>
    </row>
    <row r="958">
      <c r="BR958" s="34" t="str">
        <f>B958&amp;"|"&amp;D958</f>
        <v>|</v>
      </c>
    </row>
    <row r="959">
      <c r="BR959" s="34" t="str">
        <f>B959&amp;"|"&amp;D959</f>
        <v>|</v>
      </c>
    </row>
    <row r="960">
      <c r="BR960" s="34" t="str">
        <f>B960&amp;"|"&amp;D960</f>
        <v>|</v>
      </c>
    </row>
    <row r="961">
      <c r="BR961" s="34" t="str">
        <f>B961&amp;"|"&amp;D961</f>
        <v>|</v>
      </c>
    </row>
    <row r="962">
      <c r="BR962" s="34" t="str">
        <f>B962&amp;"|"&amp;D962</f>
        <v>|</v>
      </c>
    </row>
    <row r="963">
      <c r="BR963" s="34" t="str">
        <f>B963&amp;"|"&amp;D963</f>
        <v>|</v>
      </c>
    </row>
    <row r="964">
      <c r="BR964" s="34" t="str">
        <f>B964&amp;"|"&amp;D964</f>
        <v>|</v>
      </c>
    </row>
    <row r="965">
      <c r="BR965" s="34" t="str">
        <f>B965&amp;"|"&amp;D965</f>
        <v>|</v>
      </c>
    </row>
    <row r="966">
      <c r="BR966" s="34" t="str">
        <f>B966&amp;"|"&amp;D966</f>
        <v>|</v>
      </c>
    </row>
    <row r="967">
      <c r="BR967" s="34" t="str">
        <f>B967&amp;"|"&amp;D967</f>
        <v>|</v>
      </c>
    </row>
    <row r="968">
      <c r="BR968" s="34" t="str">
        <f>B968&amp;"|"&amp;D968</f>
        <v>|</v>
      </c>
    </row>
    <row r="969">
      <c r="BR969" s="34" t="str">
        <f>B969&amp;"|"&amp;D969</f>
        <v>|</v>
      </c>
    </row>
    <row r="970">
      <c r="BR970" s="34" t="str">
        <f>B970&amp;"|"&amp;D970</f>
        <v>|</v>
      </c>
    </row>
    <row r="971">
      <c r="BR971" s="34" t="str">
        <f>B971&amp;"|"&amp;D971</f>
        <v>|</v>
      </c>
    </row>
    <row r="972">
      <c r="BR972" s="34" t="str">
        <f>B972&amp;"|"&amp;D972</f>
        <v>|</v>
      </c>
    </row>
    <row r="973">
      <c r="BR973" s="34" t="str">
        <f>B973&amp;"|"&amp;D973</f>
        <v>|</v>
      </c>
    </row>
    <row r="974">
      <c r="BR974" s="34" t="str">
        <f>B974&amp;"|"&amp;D974</f>
        <v>|</v>
      </c>
    </row>
    <row r="975">
      <c r="BR975" s="34" t="str">
        <f>B975&amp;"|"&amp;D975</f>
        <v>|</v>
      </c>
    </row>
    <row r="976">
      <c r="BR976" s="34" t="str">
        <f>B976&amp;"|"&amp;D976</f>
        <v>|</v>
      </c>
    </row>
    <row r="977">
      <c r="BR977" s="34" t="str">
        <f>B977&amp;"|"&amp;D977</f>
        <v>|</v>
      </c>
    </row>
    <row r="978">
      <c r="BR978" s="34" t="str">
        <f>B978&amp;"|"&amp;D978</f>
        <v>|</v>
      </c>
    </row>
    <row r="979">
      <c r="BR979" s="34" t="str">
        <f>B979&amp;"|"&amp;D979</f>
        <v>|</v>
      </c>
    </row>
    <row r="980">
      <c r="BR980" s="34" t="str">
        <f>B980&amp;"|"&amp;D980</f>
        <v>|</v>
      </c>
    </row>
    <row r="981">
      <c r="BR981" s="34" t="str">
        <f>B981&amp;"|"&amp;D981</f>
        <v>|</v>
      </c>
    </row>
    <row r="982">
      <c r="BR982" s="34" t="str">
        <f>B982&amp;"|"&amp;D982</f>
        <v>|</v>
      </c>
    </row>
    <row r="983">
      <c r="BR983" s="34" t="str">
        <f>B983&amp;"|"&amp;D983</f>
        <v>|</v>
      </c>
    </row>
    <row r="984">
      <c r="BR984" s="34" t="str">
        <f>B984&amp;"|"&amp;D984</f>
        <v>|</v>
      </c>
    </row>
    <row r="985">
      <c r="BR985" s="34" t="str">
        <f>B985&amp;"|"&amp;D985</f>
        <v>|</v>
      </c>
    </row>
    <row r="986">
      <c r="BR986" s="34" t="str">
        <f>B986&amp;"|"&amp;D986</f>
        <v>|</v>
      </c>
    </row>
    <row r="987">
      <c r="BR987" s="34" t="str">
        <f>B987&amp;"|"&amp;D987</f>
        <v>|</v>
      </c>
    </row>
    <row r="988">
      <c r="BR988" s="34" t="str">
        <f>B988&amp;"|"&amp;D988</f>
        <v>|</v>
      </c>
    </row>
    <row r="989">
      <c r="BR989" s="34" t="str">
        <f>B989&amp;"|"&amp;D989</f>
        <v>|</v>
      </c>
    </row>
    <row r="990">
      <c r="BR990" s="34" t="str">
        <f>B990&amp;"|"&amp;D990</f>
        <v>|</v>
      </c>
    </row>
    <row r="991">
      <c r="BR991" s="34" t="str">
        <f>B991&amp;"|"&amp;D991</f>
        <v>|</v>
      </c>
    </row>
    <row r="992">
      <c r="BR992" s="34" t="str">
        <f>B992&amp;"|"&amp;D992</f>
        <v>|</v>
      </c>
    </row>
    <row r="993">
      <c r="BR993" s="34" t="str">
        <f>B993&amp;"|"&amp;D993</f>
        <v>|</v>
      </c>
    </row>
    <row r="994">
      <c r="BR994" s="34" t="str">
        <f>B994&amp;"|"&amp;D994</f>
        <v>|</v>
      </c>
    </row>
    <row r="995">
      <c r="BR995" s="34" t="str">
        <f>B995&amp;"|"&amp;D995</f>
        <v>|</v>
      </c>
    </row>
    <row r="996">
      <c r="BR996" s="34" t="str">
        <f>B996&amp;"|"&amp;D996</f>
        <v>|</v>
      </c>
    </row>
    <row r="997">
      <c r="BR997" s="34" t="str">
        <f>B997&amp;"|"&amp;D997</f>
        <v>|</v>
      </c>
    </row>
    <row r="998">
      <c r="BR998" s="34" t="str">
        <f>B998&amp;"|"&amp;D998</f>
        <v>|</v>
      </c>
    </row>
    <row r="999">
      <c r="BR999" s="34" t="str">
        <f>B999&amp;"|"&amp;D999</f>
        <v>|</v>
      </c>
    </row>
    <row r="1000">
      <c r="BR1000" s="34" t="str">
        <f>B1000&amp;"|"&amp;D1000</f>
        <v>|</v>
      </c>
    </row>
    <row r="1001">
      <c r="BR1001" s="34" t="str">
        <f>B1001&amp;"|"&amp;D1001</f>
        <v>|</v>
      </c>
    </row>
    <row r="1002">
      <c r="BR1002" s="34" t="str">
        <f>B1002&amp;"|"&amp;D1002</f>
        <v>|</v>
      </c>
    </row>
    <row r="1003">
      <c r="BR1003" s="34" t="str">
        <f>B1003&amp;"|"&amp;D1003</f>
        <v>|</v>
      </c>
    </row>
    <row r="1004">
      <c r="BR1004" s="34" t="str">
        <f>B1004&amp;"|"&amp;D1004</f>
        <v>|</v>
      </c>
    </row>
    <row r="1005">
      <c r="BR1005" s="34" t="str">
        <f>B1005&amp;"|"&amp;D1005</f>
        <v>|</v>
      </c>
    </row>
    <row r="1006">
      <c r="BR1006" s="34" t="str">
        <f>B1006&amp;"|"&amp;D1006</f>
        <v>|</v>
      </c>
    </row>
    <row r="1007">
      <c r="BR1007" s="34" t="str">
        <f>B1007&amp;"|"&amp;D1007</f>
        <v>|</v>
      </c>
    </row>
    <row r="1008">
      <c r="BR1008" s="34" t="str">
        <f>B1008&amp;"|"&amp;D1008</f>
        <v>|</v>
      </c>
    </row>
    <row r="1009">
      <c r="BR1009" s="34" t="str">
        <f>B1009&amp;"|"&amp;D1009</f>
        <v>|</v>
      </c>
    </row>
    <row r="1010">
      <c r="BR1010" s="34" t="str">
        <f>B1010&amp;"|"&amp;D1010</f>
        <v>|</v>
      </c>
    </row>
    <row r="1011">
      <c r="BR1011" s="34" t="str">
        <f>B1011&amp;"|"&amp;D1011</f>
        <v>|</v>
      </c>
    </row>
    <row r="1012">
      <c r="BR1012" s="34" t="str">
        <f>B1012&amp;"|"&amp;D1012</f>
        <v>|</v>
      </c>
    </row>
    <row r="1013">
      <c r="BR1013" s="34" t="str">
        <f>B1013&amp;"|"&amp;D1013</f>
        <v>|</v>
      </c>
    </row>
    <row r="1014">
      <c r="BR1014" s="34" t="str">
        <f>B1014&amp;"|"&amp;D1014</f>
        <v>|</v>
      </c>
    </row>
    <row r="1015">
      <c r="BR1015" s="34" t="str">
        <f>B1015&amp;"|"&amp;D1015</f>
        <v>|</v>
      </c>
    </row>
    <row r="1016">
      <c r="BR1016" s="34" t="str">
        <f>B1016&amp;"|"&amp;D1016</f>
        <v>|</v>
      </c>
    </row>
    <row r="1017">
      <c r="BR1017" s="34" t="str">
        <f>B1017&amp;"|"&amp;D1017</f>
        <v>|</v>
      </c>
    </row>
    <row r="1018">
      <c r="BR1018" s="34" t="str">
        <f>B1018&amp;"|"&amp;D1018</f>
        <v>|</v>
      </c>
    </row>
    <row r="1019">
      <c r="BR1019" s="34" t="str">
        <f>B1019&amp;"|"&amp;D1019</f>
        <v>|</v>
      </c>
    </row>
    <row r="1020">
      <c r="BR1020" s="34" t="str">
        <f>B1020&amp;"|"&amp;D1020</f>
        <v>|</v>
      </c>
    </row>
    <row r="1021">
      <c r="BR1021" s="34" t="str">
        <f>B1021&amp;"|"&amp;D1021</f>
        <v>|</v>
      </c>
    </row>
    <row r="1022">
      <c r="BR1022" s="34" t="str">
        <f>B1022&amp;"|"&amp;D1022</f>
        <v>|</v>
      </c>
    </row>
    <row r="1023">
      <c r="BR1023" s="34" t="str">
        <f>B1023&amp;"|"&amp;D1023</f>
        <v>|</v>
      </c>
    </row>
    <row r="1024">
      <c r="BR1024" s="34" t="str">
        <f>B1024&amp;"|"&amp;D1024</f>
        <v>|</v>
      </c>
    </row>
    <row r="1025">
      <c r="BR1025" s="34" t="str">
        <f>B1025&amp;"|"&amp;D1025</f>
        <v>|</v>
      </c>
    </row>
    <row r="1026">
      <c r="BR1026" s="34" t="str">
        <f>B1026&amp;"|"&amp;D1026</f>
        <v>|</v>
      </c>
    </row>
    <row r="1027">
      <c r="BR1027" s="34" t="str">
        <f>B1027&amp;"|"&amp;D1027</f>
        <v>|</v>
      </c>
    </row>
    <row r="1028">
      <c r="BR1028" s="34" t="str">
        <f>B1028&amp;"|"&amp;D1028</f>
        <v>|</v>
      </c>
    </row>
    <row r="1029">
      <c r="BR1029" s="34" t="str">
        <f>B1029&amp;"|"&amp;D1029</f>
        <v>|</v>
      </c>
    </row>
    <row r="1030">
      <c r="BR1030" s="34" t="str">
        <f>B1030&amp;"|"&amp;D1030</f>
        <v>|</v>
      </c>
    </row>
    <row r="1031">
      <c r="BR1031" s="34" t="str">
        <f>B1031&amp;"|"&amp;D1031</f>
        <v>|</v>
      </c>
    </row>
    <row r="1032">
      <c r="BR1032" s="34" t="str">
        <f>B1032&amp;"|"&amp;D1032</f>
        <v>|</v>
      </c>
    </row>
    <row r="1033">
      <c r="BR1033" s="34" t="str">
        <f>B1033&amp;"|"&amp;D1033</f>
        <v>|</v>
      </c>
    </row>
    <row r="1034">
      <c r="BR1034" s="34" t="str">
        <f>B1034&amp;"|"&amp;D1034</f>
        <v>|</v>
      </c>
    </row>
    <row r="1035">
      <c r="BR1035" s="34" t="str">
        <f>B1035&amp;"|"&amp;D1035</f>
        <v>|</v>
      </c>
    </row>
    <row r="1036">
      <c r="BR1036" s="34" t="str">
        <f>B1036&amp;"|"&amp;D1036</f>
        <v>|</v>
      </c>
    </row>
    <row r="1037">
      <c r="BR1037" s="34" t="str">
        <f>B1037&amp;"|"&amp;D1037</f>
        <v>|</v>
      </c>
    </row>
    <row r="1038">
      <c r="BR1038" s="34" t="str">
        <f>B1038&amp;"|"&amp;D1038</f>
        <v>|</v>
      </c>
    </row>
    <row r="1039">
      <c r="BR1039" s="34" t="str">
        <f>B1039&amp;"|"&amp;D1039</f>
        <v>|</v>
      </c>
    </row>
    <row r="1040">
      <c r="BR1040" s="34" t="str">
        <f>B1040&amp;"|"&amp;D1040</f>
        <v>|</v>
      </c>
    </row>
    <row r="1041">
      <c r="BR1041" s="34" t="str">
        <f>B1041&amp;"|"&amp;D1041</f>
        <v>|</v>
      </c>
    </row>
    <row r="1042">
      <c r="BR1042" s="34" t="str">
        <f>B1042&amp;"|"&amp;D1042</f>
        <v>|</v>
      </c>
    </row>
    <row r="1043">
      <c r="BR1043" s="34" t="str">
        <f>B1043&amp;"|"&amp;D1043</f>
        <v>|</v>
      </c>
    </row>
    <row r="1044">
      <c r="BR1044" s="34" t="str">
        <f>B1044&amp;"|"&amp;D1044</f>
        <v>|</v>
      </c>
    </row>
    <row r="1045">
      <c r="BR1045" s="34" t="str">
        <f>B1045&amp;"|"&amp;D1045</f>
        <v>|</v>
      </c>
    </row>
    <row r="1046">
      <c r="BR1046" s="34" t="str">
        <f>B1046&amp;"|"&amp;D1046</f>
        <v>|</v>
      </c>
    </row>
    <row r="1047">
      <c r="BR1047" s="34" t="str">
        <f>B1047&amp;"|"&amp;D1047</f>
        <v>|</v>
      </c>
    </row>
    <row r="1048">
      <c r="BR1048" s="34" t="str">
        <f>B1048&amp;"|"&amp;D1048</f>
        <v>|</v>
      </c>
    </row>
    <row r="1049">
      <c r="BR1049" s="34" t="str">
        <f>B1049&amp;"|"&amp;D1049</f>
        <v>|</v>
      </c>
    </row>
    <row r="1050">
      <c r="BR1050" s="34" t="str">
        <f>B1050&amp;"|"&amp;D1050</f>
        <v>|</v>
      </c>
    </row>
    <row r="1051">
      <c r="BR1051" s="34" t="str">
        <f>B1051&amp;"|"&amp;D1051</f>
        <v>|</v>
      </c>
    </row>
    <row r="1052">
      <c r="BR1052" s="34" t="str">
        <f>B1052&amp;"|"&amp;D1052</f>
        <v>|</v>
      </c>
    </row>
    <row r="1053">
      <c r="BR1053" s="34" t="str">
        <f>B1053&amp;"|"&amp;D1053</f>
        <v>|</v>
      </c>
    </row>
    <row r="1054">
      <c r="BR1054" s="34" t="str">
        <f>B1054&amp;"|"&amp;D1054</f>
        <v>|</v>
      </c>
    </row>
    <row r="1055">
      <c r="BR1055" s="34" t="str">
        <f>B1055&amp;"|"&amp;D1055</f>
        <v>|</v>
      </c>
    </row>
    <row r="1056">
      <c r="BR1056" s="34" t="str">
        <f>B1056&amp;"|"&amp;D1056</f>
        <v>|</v>
      </c>
    </row>
    <row r="1057">
      <c r="BR1057" s="34" t="str">
        <f>B1057&amp;"|"&amp;D1057</f>
        <v>|</v>
      </c>
    </row>
    <row r="1058">
      <c r="BR1058" s="34" t="str">
        <f>B1058&amp;"|"&amp;D1058</f>
        <v>|</v>
      </c>
    </row>
    <row r="1059">
      <c r="BR1059" s="34" t="str">
        <f>B1059&amp;"|"&amp;D1059</f>
        <v>|</v>
      </c>
    </row>
    <row r="1060">
      <c r="BR1060" s="34" t="str">
        <f>B1060&amp;"|"&amp;D1060</f>
        <v>|</v>
      </c>
    </row>
    <row r="1061">
      <c r="BR1061" s="34" t="str">
        <f>B1061&amp;"|"&amp;D1061</f>
        <v>|</v>
      </c>
    </row>
    <row r="1062">
      <c r="BR1062" s="34" t="str">
        <f>B1062&amp;"|"&amp;D1062</f>
        <v>|</v>
      </c>
    </row>
    <row r="1063">
      <c r="BR1063" s="34" t="str">
        <f>B1063&amp;"|"&amp;D1063</f>
        <v>|</v>
      </c>
    </row>
    <row r="1064">
      <c r="BR1064" s="34" t="str">
        <f>B1064&amp;"|"&amp;D1064</f>
        <v>|</v>
      </c>
    </row>
    <row r="1065">
      <c r="BR1065" s="34" t="str">
        <f>B1065&amp;"|"&amp;D1065</f>
        <v>|</v>
      </c>
    </row>
    <row r="1066">
      <c r="BR1066" s="34" t="str">
        <f>B1066&amp;"|"&amp;D1066</f>
        <v>|</v>
      </c>
    </row>
    <row r="1067">
      <c r="BR1067" s="34" t="str">
        <f>B1067&amp;"|"&amp;D1067</f>
        <v>|</v>
      </c>
    </row>
    <row r="1068">
      <c r="BR1068" s="34" t="str">
        <f>B1068&amp;"|"&amp;D1068</f>
        <v>|</v>
      </c>
    </row>
    <row r="1069">
      <c r="BR1069" s="34" t="str">
        <f>B1069&amp;"|"&amp;D1069</f>
        <v>|</v>
      </c>
    </row>
    <row r="1070">
      <c r="BR1070" s="34" t="str">
        <f>B1070&amp;"|"&amp;D1070</f>
        <v>|</v>
      </c>
    </row>
    <row r="1071">
      <c r="BR1071" s="34" t="str">
        <f>B1071&amp;"|"&amp;D1071</f>
        <v>|</v>
      </c>
    </row>
    <row r="1072">
      <c r="BR1072" s="34" t="str">
        <f>B1072&amp;"|"&amp;D1072</f>
        <v>|</v>
      </c>
    </row>
    <row r="1073">
      <c r="BR1073" s="34" t="str">
        <f>B1073&amp;"|"&amp;D1073</f>
        <v>|</v>
      </c>
    </row>
    <row r="1074">
      <c r="BR1074" s="34" t="str">
        <f>B1074&amp;"|"&amp;D1074</f>
        <v>|</v>
      </c>
    </row>
    <row r="1075">
      <c r="BR1075" s="34" t="str">
        <f>B1075&amp;"|"&amp;D1075</f>
        <v>|</v>
      </c>
    </row>
    <row r="1076">
      <c r="BR1076" s="34" t="str">
        <f>B1076&amp;"|"&amp;D1076</f>
        <v>|</v>
      </c>
    </row>
    <row r="1077">
      <c r="BR1077" s="34" t="str">
        <f>B1077&amp;"|"&amp;D1077</f>
        <v>|</v>
      </c>
    </row>
    <row r="1078">
      <c r="BR1078" s="34" t="str">
        <f>B1078&amp;"|"&amp;D1078</f>
        <v>|</v>
      </c>
    </row>
    <row r="1079">
      <c r="BR1079" s="34" t="str">
        <f>B1079&amp;"|"&amp;D1079</f>
        <v>|</v>
      </c>
    </row>
    <row r="1080">
      <c r="BR1080" s="34" t="str">
        <f>B1080&amp;"|"&amp;D1080</f>
        <v>|</v>
      </c>
    </row>
    <row r="1081">
      <c r="BR1081" s="34" t="str">
        <f>B1081&amp;"|"&amp;D1081</f>
        <v>|</v>
      </c>
    </row>
    <row r="1082">
      <c r="BR1082" s="34" t="str">
        <f>B1082&amp;"|"&amp;D1082</f>
        <v>|</v>
      </c>
    </row>
    <row r="1083">
      <c r="BR1083" s="34" t="str">
        <f>B1083&amp;"|"&amp;D1083</f>
        <v>|</v>
      </c>
    </row>
    <row r="1084">
      <c r="BR1084" s="34" t="str">
        <f>B1084&amp;"|"&amp;D1084</f>
        <v>|</v>
      </c>
    </row>
    <row r="1085">
      <c r="BR1085" s="34" t="str">
        <f>B1085&amp;"|"&amp;D1085</f>
        <v>|</v>
      </c>
    </row>
    <row r="1086">
      <c r="BR1086" s="34" t="str">
        <f>B1086&amp;"|"&amp;D1086</f>
        <v>|</v>
      </c>
    </row>
    <row r="1087">
      <c r="BR1087" s="34" t="str">
        <f>B1087&amp;"|"&amp;D1087</f>
        <v>|</v>
      </c>
    </row>
    <row r="1088">
      <c r="BR1088" s="34" t="str">
        <f>B1088&amp;"|"&amp;D1088</f>
        <v>|</v>
      </c>
    </row>
    <row r="1089">
      <c r="BR1089" s="34" t="str">
        <f>B1089&amp;"|"&amp;D1089</f>
        <v>|</v>
      </c>
    </row>
    <row r="1090">
      <c r="BR1090" s="34" t="str">
        <f>B1090&amp;"|"&amp;D1090</f>
        <v>|</v>
      </c>
    </row>
    <row r="1091">
      <c r="BR1091" s="34" t="str">
        <f>B1091&amp;"|"&amp;D1091</f>
        <v>|</v>
      </c>
    </row>
    <row r="1092">
      <c r="BR1092" s="34" t="str">
        <f>B1092&amp;"|"&amp;D1092</f>
        <v>|</v>
      </c>
    </row>
    <row r="1093">
      <c r="BR1093" s="34" t="str">
        <f>B1093&amp;"|"&amp;D1093</f>
        <v>|</v>
      </c>
    </row>
    <row r="1094">
      <c r="BR1094" s="34" t="str">
        <f>B1094&amp;"|"&amp;D1094</f>
        <v>|</v>
      </c>
    </row>
    <row r="1095">
      <c r="BR1095" s="34" t="str">
        <f>B1095&amp;"|"&amp;D1095</f>
        <v>|</v>
      </c>
    </row>
    <row r="1096">
      <c r="BR1096" s="34" t="str">
        <f>B1096&amp;"|"&amp;D1096</f>
        <v>|</v>
      </c>
    </row>
    <row r="1097">
      <c r="BR1097" s="34" t="str">
        <f>B1097&amp;"|"&amp;D1097</f>
        <v>|</v>
      </c>
    </row>
    <row r="1098">
      <c r="BR1098" s="34" t="str">
        <f>B1098&amp;"|"&amp;D1098</f>
        <v>|</v>
      </c>
    </row>
    <row r="1099">
      <c r="BR1099" s="34" t="str">
        <f>B1099&amp;"|"&amp;D1099</f>
        <v>|</v>
      </c>
    </row>
    <row r="1100">
      <c r="BR1100" s="34" t="str">
        <f>B1100&amp;"|"&amp;D1100</f>
        <v>|</v>
      </c>
    </row>
    <row r="1101">
      <c r="BR1101" s="34" t="str">
        <f>B1101&amp;"|"&amp;D1101</f>
        <v>|</v>
      </c>
    </row>
    <row r="1102">
      <c r="BR1102" s="34" t="str">
        <f>B1102&amp;"|"&amp;D1102</f>
        <v>|</v>
      </c>
    </row>
    <row r="1103">
      <c r="BR1103" s="34" t="str">
        <f>B1103&amp;"|"&amp;D1103</f>
        <v>|</v>
      </c>
    </row>
    <row r="1104">
      <c r="BR1104" s="34" t="str">
        <f>B1104&amp;"|"&amp;D1104</f>
        <v>|</v>
      </c>
    </row>
    <row r="1105">
      <c r="BR1105" s="34" t="str">
        <f>B1105&amp;"|"&amp;D1105</f>
        <v>|</v>
      </c>
    </row>
    <row r="1106">
      <c r="BR1106" s="34" t="str">
        <f>B1106&amp;"|"&amp;D1106</f>
        <v>|</v>
      </c>
    </row>
    <row r="1107">
      <c r="BR1107" s="34" t="str">
        <f>B1107&amp;"|"&amp;D1107</f>
        <v>|</v>
      </c>
    </row>
    <row r="1108">
      <c r="BR1108" s="34" t="str">
        <f>B1108&amp;"|"&amp;D1108</f>
        <v>|</v>
      </c>
    </row>
    <row r="1109">
      <c r="BR1109" s="34" t="str">
        <f>B1109&amp;"|"&amp;D1109</f>
        <v>|</v>
      </c>
    </row>
    <row r="1110">
      <c r="BR1110" s="34" t="str">
        <f>B1110&amp;"|"&amp;D1110</f>
        <v>|</v>
      </c>
    </row>
    <row r="1111">
      <c r="BR1111" s="34" t="str">
        <f>B1111&amp;"|"&amp;D1111</f>
        <v>|</v>
      </c>
    </row>
    <row r="1112">
      <c r="BR1112" s="34" t="str">
        <f>B1112&amp;"|"&amp;D1112</f>
        <v>|</v>
      </c>
    </row>
    <row r="1113">
      <c r="BR1113" s="34" t="str">
        <f>B1113&amp;"|"&amp;D1113</f>
        <v>|</v>
      </c>
    </row>
    <row r="1114">
      <c r="BR1114" s="34" t="str">
        <f>B1114&amp;"|"&amp;D1114</f>
        <v>|</v>
      </c>
    </row>
    <row r="1115">
      <c r="BR1115" s="34" t="str">
        <f>B1115&amp;"|"&amp;D1115</f>
        <v>|</v>
      </c>
    </row>
    <row r="1116">
      <c r="BR1116" s="34" t="str">
        <f>B1116&amp;"|"&amp;D1116</f>
        <v>|</v>
      </c>
    </row>
    <row r="1117">
      <c r="BR1117" s="34" t="str">
        <f>B1117&amp;"|"&amp;D1117</f>
        <v>|</v>
      </c>
    </row>
    <row r="1118">
      <c r="BR1118" s="34" t="str">
        <f>B1118&amp;"|"&amp;D1118</f>
        <v>|</v>
      </c>
    </row>
    <row r="1119">
      <c r="BR1119" s="34" t="str">
        <f>B1119&amp;"|"&amp;D1119</f>
        <v>|</v>
      </c>
    </row>
    <row r="1120">
      <c r="BR1120" s="34" t="str">
        <f>B1120&amp;"|"&amp;D1120</f>
        <v>|</v>
      </c>
    </row>
    <row r="1121">
      <c r="BR1121" s="34" t="str">
        <f>B1121&amp;"|"&amp;D1121</f>
        <v>|</v>
      </c>
    </row>
    <row r="1122">
      <c r="BR1122" s="34" t="str">
        <f>B1122&amp;"|"&amp;D1122</f>
        <v>|</v>
      </c>
    </row>
    <row r="1123">
      <c r="BR1123" s="34" t="str">
        <f>B1123&amp;"|"&amp;D1123</f>
        <v>|</v>
      </c>
    </row>
    <row r="1124">
      <c r="BR1124" s="34" t="str">
        <f>B1124&amp;"|"&amp;D1124</f>
        <v>|</v>
      </c>
    </row>
    <row r="1125">
      <c r="BR1125" s="34" t="str">
        <f>B1125&amp;"|"&amp;D1125</f>
        <v>|</v>
      </c>
    </row>
    <row r="1126">
      <c r="BR1126" s="34" t="str">
        <f>B1126&amp;"|"&amp;D1126</f>
        <v>|</v>
      </c>
    </row>
    <row r="1127">
      <c r="BR1127" s="34" t="str">
        <f>B1127&amp;"|"&amp;D1127</f>
        <v>|</v>
      </c>
    </row>
    <row r="1128">
      <c r="BR1128" s="34" t="str">
        <f>B1128&amp;"|"&amp;D1128</f>
        <v>|</v>
      </c>
    </row>
    <row r="1129">
      <c r="BR1129" s="34" t="str">
        <f>B1129&amp;"|"&amp;D1129</f>
        <v>|</v>
      </c>
    </row>
    <row r="1130">
      <c r="BR1130" s="34" t="str">
        <f>B1130&amp;"|"&amp;D1130</f>
        <v>|</v>
      </c>
    </row>
    <row r="1131">
      <c r="BR1131" s="34" t="str">
        <f>B1131&amp;"|"&amp;D1131</f>
        <v>|</v>
      </c>
    </row>
    <row r="1132">
      <c r="BR1132" s="34" t="str">
        <f>B1132&amp;"|"&amp;D1132</f>
        <v>|</v>
      </c>
    </row>
    <row r="1133">
      <c r="BR1133" s="34" t="str">
        <f>B1133&amp;"|"&amp;D1133</f>
        <v>|</v>
      </c>
    </row>
    <row r="1134">
      <c r="BR1134" s="34" t="str">
        <f>B1134&amp;"|"&amp;D1134</f>
        <v>|</v>
      </c>
    </row>
    <row r="1135">
      <c r="BR1135" s="34" t="str">
        <f>B1135&amp;"|"&amp;D1135</f>
        <v>|</v>
      </c>
    </row>
    <row r="1136">
      <c r="BR1136" s="34" t="str">
        <f>B1136&amp;"|"&amp;D1136</f>
        <v>|</v>
      </c>
    </row>
    <row r="1137">
      <c r="BR1137" s="34" t="str">
        <f>B1137&amp;"|"&amp;D1137</f>
        <v>|</v>
      </c>
    </row>
    <row r="1138">
      <c r="BR1138" s="34" t="str">
        <f>B1138&amp;"|"&amp;D1138</f>
        <v>|</v>
      </c>
    </row>
    <row r="1139">
      <c r="BR1139" s="34" t="str">
        <f>B1139&amp;"|"&amp;D1139</f>
        <v>|</v>
      </c>
    </row>
    <row r="1140">
      <c r="BR1140" s="34" t="str">
        <f>B1140&amp;"|"&amp;D1140</f>
        <v>|</v>
      </c>
    </row>
    <row r="1141">
      <c r="BR1141" s="34" t="str">
        <f>B1141&amp;"|"&amp;D1141</f>
        <v>|</v>
      </c>
    </row>
    <row r="1142">
      <c r="BR1142" s="34" t="str">
        <f>B1142&amp;"|"&amp;D1142</f>
        <v>|</v>
      </c>
    </row>
    <row r="1143">
      <c r="BR1143" s="34" t="str">
        <f>B1143&amp;"|"&amp;D1143</f>
        <v>|</v>
      </c>
    </row>
    <row r="1144">
      <c r="BR1144" s="34" t="str">
        <f>B1144&amp;"|"&amp;D1144</f>
        <v>|</v>
      </c>
    </row>
    <row r="1145">
      <c r="BR1145" s="34" t="str">
        <f>B1145&amp;"|"&amp;D1145</f>
        <v>|</v>
      </c>
    </row>
    <row r="1146">
      <c r="BR1146" s="34" t="str">
        <f>B1146&amp;"|"&amp;D1146</f>
        <v>|</v>
      </c>
    </row>
    <row r="1147">
      <c r="BR1147" s="34" t="str">
        <f>B1147&amp;"|"&amp;D1147</f>
        <v>|</v>
      </c>
    </row>
    <row r="1148">
      <c r="BR1148" s="34" t="str">
        <f>B1148&amp;"|"&amp;D1148</f>
        <v>|</v>
      </c>
    </row>
    <row r="1149">
      <c r="BR1149" s="34" t="str">
        <f>B1149&amp;"|"&amp;D1149</f>
        <v>|</v>
      </c>
    </row>
    <row r="1150">
      <c r="BR1150" s="34" t="str">
        <f>B1150&amp;"|"&amp;D1150</f>
        <v>|</v>
      </c>
    </row>
    <row r="1151">
      <c r="BR1151" s="34" t="str">
        <f>B1151&amp;"|"&amp;D1151</f>
        <v>|</v>
      </c>
    </row>
    <row r="1152">
      <c r="BR1152" s="34" t="str">
        <f>B1152&amp;"|"&amp;D1152</f>
        <v>|</v>
      </c>
    </row>
    <row r="1153">
      <c r="BR1153" s="34" t="str">
        <f>B1153&amp;"|"&amp;D1153</f>
        <v>|</v>
      </c>
    </row>
    <row r="1154">
      <c r="BR1154" s="34" t="str">
        <f>B1154&amp;"|"&amp;D1154</f>
        <v>|</v>
      </c>
    </row>
    <row r="1155">
      <c r="BR1155" s="34" t="str">
        <f>B1155&amp;"|"&amp;D1155</f>
        <v>|</v>
      </c>
    </row>
    <row r="1156">
      <c r="BR1156" s="34" t="str">
        <f>B1156&amp;"|"&amp;D1156</f>
        <v>|</v>
      </c>
    </row>
    <row r="1157">
      <c r="BR1157" s="34" t="str">
        <f>B1157&amp;"|"&amp;D1157</f>
        <v>|</v>
      </c>
    </row>
    <row r="1158">
      <c r="BR1158" s="34" t="str">
        <f>B1158&amp;"|"&amp;D1158</f>
        <v>|</v>
      </c>
    </row>
    <row r="1159">
      <c r="BR1159" s="34" t="str">
        <f>B1159&amp;"|"&amp;D1159</f>
        <v>|</v>
      </c>
    </row>
    <row r="1160">
      <c r="BR1160" s="34" t="str">
        <f>B1160&amp;"|"&amp;D1160</f>
        <v>|</v>
      </c>
    </row>
    <row r="1161">
      <c r="BR1161" s="34" t="str">
        <f>B1161&amp;"|"&amp;D1161</f>
        <v>|</v>
      </c>
    </row>
    <row r="1162">
      <c r="BR1162" s="34" t="str">
        <f>B1162&amp;"|"&amp;D1162</f>
        <v>|</v>
      </c>
    </row>
    <row r="1163">
      <c r="BR1163" s="34" t="str">
        <f>B1163&amp;"|"&amp;D1163</f>
        <v>|</v>
      </c>
    </row>
    <row r="1164">
      <c r="BR1164" s="34" t="str">
        <f>B1164&amp;"|"&amp;D1164</f>
        <v>|</v>
      </c>
    </row>
    <row r="1165">
      <c r="BR1165" s="34" t="str">
        <f>B1165&amp;"|"&amp;D1165</f>
        <v>|</v>
      </c>
    </row>
    <row r="1166">
      <c r="BR1166" s="34" t="str">
        <f>B1166&amp;"|"&amp;D1166</f>
        <v>|</v>
      </c>
    </row>
    <row r="1167">
      <c r="BR1167" s="34" t="str">
        <f>B1167&amp;"|"&amp;D1167</f>
        <v>|</v>
      </c>
    </row>
    <row r="1168">
      <c r="BR1168" s="34" t="str">
        <f>B1168&amp;"|"&amp;D1168</f>
        <v>|</v>
      </c>
    </row>
    <row r="1169">
      <c r="BR1169" s="34" t="str">
        <f>B1169&amp;"|"&amp;D1169</f>
        <v>|</v>
      </c>
    </row>
    <row r="1170">
      <c r="BR1170" s="34" t="str">
        <f>B1170&amp;"|"&amp;D1170</f>
        <v>|</v>
      </c>
    </row>
    <row r="1171">
      <c r="BR1171" s="34" t="str">
        <f>B1171&amp;"|"&amp;D1171</f>
        <v>|</v>
      </c>
    </row>
    <row r="1172">
      <c r="BR1172" s="34" t="str">
        <f>B1172&amp;"|"&amp;D1172</f>
        <v>|</v>
      </c>
    </row>
    <row r="1173">
      <c r="BR1173" s="34" t="str">
        <f>B1173&amp;"|"&amp;D1173</f>
        <v>|</v>
      </c>
    </row>
    <row r="1174">
      <c r="BR1174" s="34" t="str">
        <f>B1174&amp;"|"&amp;D1174</f>
        <v>|</v>
      </c>
    </row>
    <row r="1175">
      <c r="BR1175" s="34" t="str">
        <f>B1175&amp;"|"&amp;D1175</f>
        <v>|</v>
      </c>
    </row>
    <row r="1176">
      <c r="BR1176" s="34" t="str">
        <f>B1176&amp;"|"&amp;D1176</f>
        <v>|</v>
      </c>
    </row>
    <row r="1177">
      <c r="BR1177" s="34" t="str">
        <f>B1177&amp;"|"&amp;D1177</f>
        <v>|</v>
      </c>
    </row>
    <row r="1178">
      <c r="BR1178" s="34" t="str">
        <f>B1178&amp;"|"&amp;D1178</f>
        <v>|</v>
      </c>
    </row>
    <row r="1179">
      <c r="BR1179" s="34" t="str">
        <f>B1179&amp;"|"&amp;D1179</f>
        <v>|</v>
      </c>
    </row>
    <row r="1180">
      <c r="BR1180" s="34" t="str">
        <f>B1180&amp;"|"&amp;D1180</f>
        <v>|</v>
      </c>
    </row>
    <row r="1181">
      <c r="BR1181" s="34" t="str">
        <f>B1181&amp;"|"&amp;D1181</f>
        <v>|</v>
      </c>
    </row>
    <row r="1182">
      <c r="BR1182" s="34" t="str">
        <f>B1182&amp;"|"&amp;D1182</f>
        <v>|</v>
      </c>
    </row>
    <row r="1183">
      <c r="BR1183" s="34" t="str">
        <f>B1183&amp;"|"&amp;D1183</f>
        <v>|</v>
      </c>
    </row>
    <row r="1184">
      <c r="BR1184" s="34" t="str">
        <f>B1184&amp;"|"&amp;D1184</f>
        <v>|</v>
      </c>
    </row>
    <row r="1185">
      <c r="BR1185" s="34" t="str">
        <f>B1185&amp;"|"&amp;D1185</f>
        <v>|</v>
      </c>
    </row>
    <row r="1186">
      <c r="BR1186" s="34" t="str">
        <f>B1186&amp;"|"&amp;D1186</f>
        <v>|</v>
      </c>
    </row>
    <row r="1187">
      <c r="BR1187" s="34" t="str">
        <f>B1187&amp;"|"&amp;D1187</f>
        <v>|</v>
      </c>
    </row>
    <row r="1188">
      <c r="BR1188" s="34" t="str">
        <f>B1188&amp;"|"&amp;D1188</f>
        <v>|</v>
      </c>
    </row>
    <row r="1189">
      <c r="BR1189" s="34" t="str">
        <f>B1189&amp;"|"&amp;D1189</f>
        <v>|</v>
      </c>
    </row>
    <row r="1190">
      <c r="BR1190" s="34" t="str">
        <f>B1190&amp;"|"&amp;D1190</f>
        <v>|</v>
      </c>
    </row>
    <row r="1191">
      <c r="BR1191" s="34" t="str">
        <f>B1191&amp;"|"&amp;D1191</f>
        <v>|</v>
      </c>
    </row>
    <row r="1192">
      <c r="BR1192" s="34" t="str">
        <f>B1192&amp;"|"&amp;D1192</f>
        <v>|</v>
      </c>
    </row>
    <row r="1193">
      <c r="BR1193" s="34" t="str">
        <f>B1193&amp;"|"&amp;D1193</f>
        <v>|</v>
      </c>
    </row>
    <row r="1194">
      <c r="BR1194" s="34" t="str">
        <f>B1194&amp;"|"&amp;D1194</f>
        <v>|</v>
      </c>
    </row>
    <row r="1195">
      <c r="BR1195" s="34" t="str">
        <f>B1195&amp;"|"&amp;D1195</f>
        <v>|</v>
      </c>
    </row>
    <row r="1196">
      <c r="BR1196" s="34" t="str">
        <f>B1196&amp;"|"&amp;D1196</f>
        <v>|</v>
      </c>
    </row>
    <row r="1197">
      <c r="BR1197" s="34" t="str">
        <f>B1197&amp;"|"&amp;D1197</f>
        <v>|</v>
      </c>
    </row>
    <row r="1198">
      <c r="BR1198" s="34" t="str">
        <f>B1198&amp;"|"&amp;D1198</f>
        <v>|</v>
      </c>
    </row>
    <row r="1199">
      <c r="BR1199" s="34" t="str">
        <f>B1199&amp;"|"&amp;D1199</f>
        <v>|</v>
      </c>
    </row>
    <row r="1200">
      <c r="BR1200" s="34" t="str">
        <f>B1200&amp;"|"&amp;D1200</f>
        <v>|</v>
      </c>
    </row>
    <row r="1201">
      <c r="BR1201" s="34" t="str">
        <f>B1201&amp;"|"&amp;D1201</f>
        <v>|</v>
      </c>
    </row>
    <row r="1202">
      <c r="BR1202" s="34" t="str">
        <f>B1202&amp;"|"&amp;D1202</f>
        <v>|</v>
      </c>
    </row>
    <row r="1203">
      <c r="BR1203" s="34" t="str">
        <f>B1203&amp;"|"&amp;D1203</f>
        <v>|</v>
      </c>
    </row>
    <row r="1204">
      <c r="BR1204" s="34" t="str">
        <f>B1204&amp;"|"&amp;D1204</f>
        <v>|</v>
      </c>
    </row>
    <row r="1205">
      <c r="BR1205" s="34" t="str">
        <f>B1205&amp;"|"&amp;D1205</f>
        <v>|</v>
      </c>
    </row>
    <row r="1206">
      <c r="BR1206" s="34" t="str">
        <f>B1206&amp;"|"&amp;D1206</f>
        <v>|</v>
      </c>
    </row>
    <row r="1207">
      <c r="BR1207" s="34" t="str">
        <f>B1207&amp;"|"&amp;D1207</f>
        <v>|</v>
      </c>
    </row>
    <row r="1208">
      <c r="BR1208" s="34" t="str">
        <f>B1208&amp;"|"&amp;D1208</f>
        <v>|</v>
      </c>
    </row>
    <row r="1209">
      <c r="BR1209" s="34" t="str">
        <f>B1209&amp;"|"&amp;D1209</f>
        <v>|</v>
      </c>
    </row>
    <row r="1210">
      <c r="BR1210" s="34" t="str">
        <f>B1210&amp;"|"&amp;D1210</f>
        <v>|</v>
      </c>
    </row>
    <row r="1211">
      <c r="BR1211" s="34" t="str">
        <f>B1211&amp;"|"&amp;D1211</f>
        <v>|</v>
      </c>
    </row>
    <row r="1212">
      <c r="BR1212" s="34" t="str">
        <f>B1212&amp;"|"&amp;D1212</f>
        <v>|</v>
      </c>
    </row>
    <row r="1213">
      <c r="BR1213" s="34" t="str">
        <f>B1213&amp;"|"&amp;D1213</f>
        <v>|</v>
      </c>
    </row>
    <row r="1214">
      <c r="BR1214" s="34" t="str">
        <f>B1214&amp;"|"&amp;D1214</f>
        <v>|</v>
      </c>
    </row>
    <row r="1215">
      <c r="BR1215" s="34" t="str">
        <f>B1215&amp;"|"&amp;D1215</f>
        <v>|</v>
      </c>
    </row>
    <row r="1216">
      <c r="BR1216" s="34" t="str">
        <f>B1216&amp;"|"&amp;D1216</f>
        <v>|</v>
      </c>
    </row>
    <row r="1217">
      <c r="BR1217" s="34" t="str">
        <f>B1217&amp;"|"&amp;D1217</f>
        <v>|</v>
      </c>
    </row>
    <row r="1218">
      <c r="BR1218" s="34" t="str">
        <f>B1218&amp;"|"&amp;D1218</f>
        <v>|</v>
      </c>
    </row>
    <row r="1219">
      <c r="BR1219" s="34" t="str">
        <f>B1219&amp;"|"&amp;D1219</f>
        <v>|</v>
      </c>
    </row>
    <row r="1220">
      <c r="BR1220" s="34" t="str">
        <f>B1220&amp;"|"&amp;D1220</f>
        <v>|</v>
      </c>
    </row>
    <row r="1221">
      <c r="BR1221" s="34" t="str">
        <f>B1221&amp;"|"&amp;D1221</f>
        <v>|</v>
      </c>
    </row>
    <row r="1222">
      <c r="BR1222" s="34" t="str">
        <f>B1222&amp;"|"&amp;D1222</f>
        <v>|</v>
      </c>
    </row>
    <row r="1223">
      <c r="BR1223" s="34" t="str">
        <f>B1223&amp;"|"&amp;D1223</f>
        <v>|</v>
      </c>
    </row>
    <row r="1224">
      <c r="BR1224" s="34" t="str">
        <f>B1224&amp;"|"&amp;D1224</f>
        <v>|</v>
      </c>
    </row>
    <row r="1225">
      <c r="BR1225" s="34" t="str">
        <f>B1225&amp;"|"&amp;D1225</f>
        <v>|</v>
      </c>
    </row>
    <row r="1226">
      <c r="BR1226" s="34" t="str">
        <f>B1226&amp;"|"&amp;D1226</f>
        <v>|</v>
      </c>
    </row>
    <row r="1227">
      <c r="BR1227" s="34" t="str">
        <f>B1227&amp;"|"&amp;D1227</f>
        <v>|</v>
      </c>
    </row>
    <row r="1228">
      <c r="BR1228" s="34" t="str">
        <f>B1228&amp;"|"&amp;D1228</f>
        <v>|</v>
      </c>
    </row>
    <row r="1229">
      <c r="BR1229" s="34" t="str">
        <f>B1229&amp;"|"&amp;D1229</f>
        <v>|</v>
      </c>
    </row>
    <row r="1230">
      <c r="BR1230" s="34" t="str">
        <f>B1230&amp;"|"&amp;D1230</f>
        <v>|</v>
      </c>
    </row>
    <row r="1231">
      <c r="BR1231" s="34" t="str">
        <f>B1231&amp;"|"&amp;D1231</f>
        <v>|</v>
      </c>
    </row>
    <row r="1232">
      <c r="BR1232" s="34" t="str">
        <f>B1232&amp;"|"&amp;D1232</f>
        <v>|</v>
      </c>
    </row>
    <row r="1233">
      <c r="BR1233" s="34" t="str">
        <f>B1233&amp;"|"&amp;D1233</f>
        <v>|</v>
      </c>
    </row>
    <row r="1234">
      <c r="BR1234" s="34" t="str">
        <f>B1234&amp;"|"&amp;D1234</f>
        <v>|</v>
      </c>
    </row>
    <row r="1235">
      <c r="BR1235" s="34" t="str">
        <f>B1235&amp;"|"&amp;D1235</f>
        <v>|</v>
      </c>
    </row>
    <row r="1236">
      <c r="BR1236" s="34" t="str">
        <f>B1236&amp;"|"&amp;D1236</f>
        <v>|</v>
      </c>
    </row>
    <row r="1237">
      <c r="BR1237" s="34" t="str">
        <f>B1237&amp;"|"&amp;D1237</f>
        <v>|</v>
      </c>
    </row>
    <row r="1238">
      <c r="BR1238" s="34" t="str">
        <f>B1238&amp;"|"&amp;D1238</f>
        <v>|</v>
      </c>
    </row>
    <row r="1239">
      <c r="BR1239" s="34" t="str">
        <f>B1239&amp;"|"&amp;D1239</f>
        <v>|</v>
      </c>
    </row>
    <row r="1240">
      <c r="BR1240" s="34" t="str">
        <f>B1240&amp;"|"&amp;D1240</f>
        <v>|</v>
      </c>
    </row>
    <row r="1241">
      <c r="BR1241" s="34" t="str">
        <f>B1241&amp;"|"&amp;D1241</f>
        <v>|</v>
      </c>
    </row>
    <row r="1242">
      <c r="BR1242" s="34" t="str">
        <f>B1242&amp;"|"&amp;D1242</f>
        <v>|</v>
      </c>
    </row>
    <row r="1243">
      <c r="BR1243" s="34" t="str">
        <f>B1243&amp;"|"&amp;D1243</f>
        <v>|</v>
      </c>
    </row>
    <row r="1244">
      <c r="BR1244" s="34" t="str">
        <f>B1244&amp;"|"&amp;D1244</f>
        <v>|</v>
      </c>
    </row>
    <row r="1245">
      <c r="BR1245" s="34" t="str">
        <f>B1245&amp;"|"&amp;D1245</f>
        <v>|</v>
      </c>
    </row>
    <row r="1246">
      <c r="BR1246" s="34" t="str">
        <f>B1246&amp;"|"&amp;D1246</f>
        <v>|</v>
      </c>
    </row>
    <row r="1247">
      <c r="BR1247" s="34" t="str">
        <f>B1247&amp;"|"&amp;D1247</f>
        <v>|</v>
      </c>
    </row>
    <row r="1248">
      <c r="BR1248" s="34" t="str">
        <f>B1248&amp;"|"&amp;D1248</f>
        <v>|</v>
      </c>
    </row>
    <row r="1249">
      <c r="BR1249" s="34" t="str">
        <f>B1249&amp;"|"&amp;D1249</f>
        <v>|</v>
      </c>
    </row>
    <row r="1250">
      <c r="BR1250" s="34" t="str">
        <f>B1250&amp;"|"&amp;D1250</f>
        <v>|</v>
      </c>
    </row>
    <row r="1251">
      <c r="BR1251" s="34" t="str">
        <f>B1251&amp;"|"&amp;D1251</f>
        <v>|</v>
      </c>
    </row>
    <row r="1252">
      <c r="BR1252" s="34" t="str">
        <f>B1252&amp;"|"&amp;D1252</f>
        <v>|</v>
      </c>
    </row>
    <row r="1253">
      <c r="BR1253" s="34" t="str">
        <f>B1253&amp;"|"&amp;D1253</f>
        <v>|</v>
      </c>
    </row>
    <row r="1254">
      <c r="BR1254" s="34" t="str">
        <f>B1254&amp;"|"&amp;D1254</f>
        <v>|</v>
      </c>
    </row>
    <row r="1255">
      <c r="BR1255" s="34" t="str">
        <f>B1255&amp;"|"&amp;D1255</f>
        <v>|</v>
      </c>
    </row>
    <row r="1256">
      <c r="BR1256" s="34" t="str">
        <f>B1256&amp;"|"&amp;D1256</f>
        <v>|</v>
      </c>
    </row>
    <row r="1257">
      <c r="BR1257" s="34" t="str">
        <f>B1257&amp;"|"&amp;D1257</f>
        <v>|</v>
      </c>
    </row>
    <row r="1258">
      <c r="BR1258" s="34" t="str">
        <f>B1258&amp;"|"&amp;D1258</f>
        <v>|</v>
      </c>
    </row>
    <row r="1259">
      <c r="BR1259" s="34" t="str">
        <f>B1259&amp;"|"&amp;D1259</f>
        <v>|</v>
      </c>
    </row>
    <row r="1260">
      <c r="BR1260" s="34" t="str">
        <f>B1260&amp;"|"&amp;D1260</f>
        <v>|</v>
      </c>
    </row>
    <row r="1261">
      <c r="BR1261" s="34" t="str">
        <f>B1261&amp;"|"&amp;D1261</f>
        <v>|</v>
      </c>
    </row>
    <row r="1262">
      <c r="BR1262" s="34" t="str">
        <f>B1262&amp;"|"&amp;D1262</f>
        <v>|</v>
      </c>
    </row>
    <row r="1263">
      <c r="BR1263" s="34" t="str">
        <f>B1263&amp;"|"&amp;D1263</f>
        <v>|</v>
      </c>
    </row>
    <row r="1264">
      <c r="BR1264" s="34" t="str">
        <f>B1264&amp;"|"&amp;D1264</f>
        <v>|</v>
      </c>
    </row>
    <row r="1265">
      <c r="BR1265" s="34" t="str">
        <f>B1265&amp;"|"&amp;D1265</f>
        <v>|</v>
      </c>
    </row>
    <row r="1266">
      <c r="BR1266" s="34" t="str">
        <f>B1266&amp;"|"&amp;D1266</f>
        <v>|</v>
      </c>
    </row>
    <row r="1267">
      <c r="BR1267" s="34" t="str">
        <f>B1267&amp;"|"&amp;D1267</f>
        <v>|</v>
      </c>
    </row>
    <row r="1268">
      <c r="BR1268" s="34" t="str">
        <f>B1268&amp;"|"&amp;D1268</f>
        <v>|</v>
      </c>
    </row>
    <row r="1269">
      <c r="BR1269" s="34" t="str">
        <f>B1269&amp;"|"&amp;D1269</f>
        <v>|</v>
      </c>
    </row>
    <row r="1270">
      <c r="BR1270" s="34" t="str">
        <f>B1270&amp;"|"&amp;D1270</f>
        <v>|</v>
      </c>
    </row>
    <row r="1271">
      <c r="BR1271" s="34" t="str">
        <f>B1271&amp;"|"&amp;D1271</f>
        <v>|</v>
      </c>
    </row>
    <row r="1272">
      <c r="BR1272" s="34" t="str">
        <f>B1272&amp;"|"&amp;D1272</f>
        <v>|</v>
      </c>
    </row>
    <row r="1273">
      <c r="BR1273" s="34" t="str">
        <f>B1273&amp;"|"&amp;D1273</f>
        <v>|</v>
      </c>
    </row>
    <row r="1274">
      <c r="BR1274" s="34" t="str">
        <f>B1274&amp;"|"&amp;D1274</f>
        <v>|</v>
      </c>
    </row>
    <row r="1275">
      <c r="BR1275" s="34" t="str">
        <f>B1275&amp;"|"&amp;D1275</f>
        <v>|</v>
      </c>
    </row>
    <row r="1276">
      <c r="BR1276" s="34" t="str">
        <f>B1276&amp;"|"&amp;D1276</f>
        <v>|</v>
      </c>
    </row>
    <row r="1277">
      <c r="BR1277" s="34" t="str">
        <f>B1277&amp;"|"&amp;D1277</f>
        <v>|</v>
      </c>
    </row>
    <row r="1278">
      <c r="BR1278" s="34" t="str">
        <f>B1278&amp;"|"&amp;D1278</f>
        <v>|</v>
      </c>
    </row>
    <row r="1279">
      <c r="BR1279" s="34" t="str">
        <f>B1279&amp;"|"&amp;D1279</f>
        <v>|</v>
      </c>
    </row>
    <row r="1280">
      <c r="BR1280" s="34" t="str">
        <f>B1280&amp;"|"&amp;D1280</f>
        <v>|</v>
      </c>
    </row>
    <row r="1281">
      <c r="BR1281" s="34" t="str">
        <f>B1281&amp;"|"&amp;D1281</f>
        <v>|</v>
      </c>
    </row>
    <row r="1282">
      <c r="BR1282" s="34" t="str">
        <f>B1282&amp;"|"&amp;D1282</f>
        <v>|</v>
      </c>
    </row>
    <row r="1283">
      <c r="BR1283" s="34" t="str">
        <f>B1283&amp;"|"&amp;D1283</f>
        <v>|</v>
      </c>
    </row>
    <row r="1284">
      <c r="BR1284" s="34" t="str">
        <f>B1284&amp;"|"&amp;D1284</f>
        <v>|</v>
      </c>
    </row>
    <row r="1285">
      <c r="BR1285" s="34" t="str">
        <f>B1285&amp;"|"&amp;D1285</f>
        <v>|</v>
      </c>
    </row>
    <row r="1286">
      <c r="BR1286" s="34" t="str">
        <f>B1286&amp;"|"&amp;D1286</f>
        <v>|</v>
      </c>
    </row>
    <row r="1287">
      <c r="BR1287" s="34" t="str">
        <f>B1287&amp;"|"&amp;D1287</f>
        <v>|</v>
      </c>
    </row>
    <row r="1288">
      <c r="BR1288" s="34" t="str">
        <f>B1288&amp;"|"&amp;D1288</f>
        <v>|</v>
      </c>
    </row>
    <row r="1289">
      <c r="BR1289" s="34" t="str">
        <f>B1289&amp;"|"&amp;D1289</f>
        <v>|</v>
      </c>
    </row>
    <row r="1290">
      <c r="BR1290" s="34" t="str">
        <f>B1290&amp;"|"&amp;D1290</f>
        <v>|</v>
      </c>
    </row>
    <row r="1291">
      <c r="BR1291" s="34" t="str">
        <f>B1291&amp;"|"&amp;D1291</f>
        <v>|</v>
      </c>
    </row>
    <row r="1292">
      <c r="BR1292" s="34" t="str">
        <f>B1292&amp;"|"&amp;D1292</f>
        <v>|</v>
      </c>
    </row>
    <row r="1293">
      <c r="BR1293" s="34" t="str">
        <f>B1293&amp;"|"&amp;D1293</f>
        <v>|</v>
      </c>
    </row>
    <row r="1294">
      <c r="BR1294" s="34" t="str">
        <f>B1294&amp;"|"&amp;D1294</f>
        <v>|</v>
      </c>
    </row>
    <row r="1295">
      <c r="BR1295" s="34" t="str">
        <f>B1295&amp;"|"&amp;D1295</f>
        <v>|</v>
      </c>
    </row>
    <row r="1296">
      <c r="BR1296" s="34" t="str">
        <f>B1296&amp;"|"&amp;D1296</f>
        <v>|</v>
      </c>
    </row>
    <row r="1297">
      <c r="BR1297" s="34" t="str">
        <f>B1297&amp;"|"&amp;D1297</f>
        <v>|</v>
      </c>
    </row>
    <row r="1298">
      <c r="BR1298" s="34" t="str">
        <f>B1298&amp;"|"&amp;D1298</f>
        <v>|</v>
      </c>
    </row>
    <row r="1299">
      <c r="BR1299" s="34" t="str">
        <f>B1299&amp;"|"&amp;D1299</f>
        <v>|</v>
      </c>
    </row>
    <row r="1300">
      <c r="BR1300" s="34" t="str">
        <f>B1300&amp;"|"&amp;D1300</f>
        <v>|</v>
      </c>
    </row>
    <row r="1301">
      <c r="BR1301" s="34" t="str">
        <f>B1301&amp;"|"&amp;D1301</f>
        <v>|</v>
      </c>
    </row>
    <row r="1302">
      <c r="BR1302" s="34" t="str">
        <f>B1302&amp;"|"&amp;D1302</f>
        <v>|</v>
      </c>
    </row>
    <row r="1303">
      <c r="BR1303" s="34" t="str">
        <f>B1303&amp;"|"&amp;D1303</f>
        <v>|</v>
      </c>
    </row>
    <row r="1304">
      <c r="BR1304" s="34" t="str">
        <f>B1304&amp;"|"&amp;D1304</f>
        <v>|</v>
      </c>
    </row>
    <row r="1305">
      <c r="BR1305" s="34" t="str">
        <f>B1305&amp;"|"&amp;D1305</f>
        <v>|</v>
      </c>
    </row>
    <row r="1306">
      <c r="BR1306" s="34" t="str">
        <f>B1306&amp;"|"&amp;D1306</f>
        <v>|</v>
      </c>
    </row>
    <row r="1307">
      <c r="BR1307" s="34" t="str">
        <f>B1307&amp;"|"&amp;D1307</f>
        <v>|</v>
      </c>
    </row>
    <row r="1308">
      <c r="BR1308" s="34" t="str">
        <f>B1308&amp;"|"&amp;D1308</f>
        <v>|</v>
      </c>
    </row>
    <row r="1309">
      <c r="BR1309" s="34" t="str">
        <f>B1309&amp;"|"&amp;D1309</f>
        <v>|</v>
      </c>
    </row>
    <row r="1310">
      <c r="BR1310" s="34" t="str">
        <f>B1310&amp;"|"&amp;D1310</f>
        <v>|</v>
      </c>
    </row>
    <row r="1311">
      <c r="BR1311" s="34" t="str">
        <f>B1311&amp;"|"&amp;D1311</f>
        <v>|</v>
      </c>
    </row>
    <row r="1312">
      <c r="BR1312" s="34" t="str">
        <f>B1312&amp;"|"&amp;D1312</f>
        <v>|</v>
      </c>
    </row>
    <row r="1313">
      <c r="BR1313" s="34" t="str">
        <f>B1313&amp;"|"&amp;D1313</f>
        <v>|</v>
      </c>
    </row>
    <row r="1314">
      <c r="BR1314" s="34" t="str">
        <f>B1314&amp;"|"&amp;D1314</f>
        <v>|</v>
      </c>
    </row>
    <row r="1315">
      <c r="BR1315" s="34" t="str">
        <f>B1315&amp;"|"&amp;D1315</f>
        <v>|</v>
      </c>
    </row>
    <row r="1316">
      <c r="BR1316" s="34" t="str">
        <f>B1316&amp;"|"&amp;D1316</f>
        <v>|</v>
      </c>
    </row>
    <row r="1317">
      <c r="BR1317" s="34" t="str">
        <f>B1317&amp;"|"&amp;D1317</f>
        <v>|</v>
      </c>
    </row>
    <row r="1318">
      <c r="BR1318" s="34" t="str">
        <f>B1318&amp;"|"&amp;D1318</f>
        <v>|</v>
      </c>
    </row>
    <row r="1319">
      <c r="BR1319" s="34" t="str">
        <f>B1319&amp;"|"&amp;D1319</f>
        <v>|</v>
      </c>
    </row>
    <row r="1320">
      <c r="BR1320" s="34" t="str">
        <f>B1320&amp;"|"&amp;D1320</f>
        <v>|</v>
      </c>
    </row>
    <row r="1321">
      <c r="BR1321" s="34" t="str">
        <f>B1321&amp;"|"&amp;D1321</f>
        <v>|</v>
      </c>
    </row>
    <row r="1322">
      <c r="BR1322" s="34" t="str">
        <f>B1322&amp;"|"&amp;D1322</f>
        <v>|</v>
      </c>
    </row>
    <row r="1323">
      <c r="BR1323" s="34" t="str">
        <f>B1323&amp;"|"&amp;D1323</f>
        <v>|</v>
      </c>
    </row>
    <row r="1324">
      <c r="BR1324" s="34" t="str">
        <f>B1324&amp;"|"&amp;D1324</f>
        <v>|</v>
      </c>
    </row>
    <row r="1325">
      <c r="BR1325" s="34" t="str">
        <f>B1325&amp;"|"&amp;D1325</f>
        <v>|</v>
      </c>
    </row>
    <row r="1326">
      <c r="BR1326" s="34" t="str">
        <f>B1326&amp;"|"&amp;D1326</f>
        <v>|</v>
      </c>
    </row>
    <row r="1327">
      <c r="BR1327" s="34" t="str">
        <f>B1327&amp;"|"&amp;D1327</f>
        <v>|</v>
      </c>
    </row>
    <row r="1328">
      <c r="BR1328" s="34" t="str">
        <f>B1328&amp;"|"&amp;D1328</f>
        <v>|</v>
      </c>
    </row>
    <row r="1329">
      <c r="BR1329" s="34" t="str">
        <f>B1329&amp;"|"&amp;D1329</f>
        <v>|</v>
      </c>
    </row>
    <row r="1330">
      <c r="BR1330" s="34" t="str">
        <f>B1330&amp;"|"&amp;D1330</f>
        <v>|</v>
      </c>
    </row>
    <row r="1331">
      <c r="BR1331" s="34" t="str">
        <f>B1331&amp;"|"&amp;D1331</f>
        <v>|</v>
      </c>
    </row>
    <row r="1332">
      <c r="BR1332" s="34" t="str">
        <f>B1332&amp;"|"&amp;D1332</f>
        <v>|</v>
      </c>
    </row>
    <row r="1333">
      <c r="BR1333" s="34" t="str">
        <f>B1333&amp;"|"&amp;D1333</f>
        <v>|</v>
      </c>
    </row>
    <row r="1334">
      <c r="BR1334" s="34" t="str">
        <f>B1334&amp;"|"&amp;D1334</f>
        <v>|</v>
      </c>
    </row>
    <row r="1335">
      <c r="BR1335" s="34" t="str">
        <f>B1335&amp;"|"&amp;D1335</f>
        <v>|</v>
      </c>
    </row>
    <row r="1336">
      <c r="BR1336" s="34" t="str">
        <f>B1336&amp;"|"&amp;D1336</f>
        <v>|</v>
      </c>
    </row>
    <row r="1337">
      <c r="BR1337" s="34" t="str">
        <f>B1337&amp;"|"&amp;D1337</f>
        <v>|</v>
      </c>
    </row>
    <row r="1338">
      <c r="BR1338" s="34" t="str">
        <f>B1338&amp;"|"&amp;D1338</f>
        <v>|</v>
      </c>
    </row>
    <row r="1339">
      <c r="BR1339" s="34" t="str">
        <f>B1339&amp;"|"&amp;D1339</f>
        <v>|</v>
      </c>
    </row>
    <row r="1340">
      <c r="BR1340" s="34" t="str">
        <f>B1340&amp;"|"&amp;D1340</f>
        <v>|</v>
      </c>
    </row>
    <row r="1341">
      <c r="BR1341" s="34" t="str">
        <f>B1341&amp;"|"&amp;D1341</f>
        <v>|</v>
      </c>
    </row>
    <row r="1342">
      <c r="BR1342" s="34" t="str">
        <f>B1342&amp;"|"&amp;D1342</f>
        <v>|</v>
      </c>
    </row>
    <row r="1343">
      <c r="BR1343" s="34" t="str">
        <f>B1343&amp;"|"&amp;D1343</f>
        <v>|</v>
      </c>
    </row>
    <row r="1344">
      <c r="BR1344" s="34" t="str">
        <f>B1344&amp;"|"&amp;D1344</f>
        <v>|</v>
      </c>
    </row>
    <row r="1345">
      <c r="BR1345" s="34" t="str">
        <f>B1345&amp;"|"&amp;D1345</f>
        <v>|</v>
      </c>
    </row>
    <row r="1346">
      <c r="BR1346" s="34" t="str">
        <f>B1346&amp;"|"&amp;D1346</f>
        <v>|</v>
      </c>
    </row>
    <row r="1347">
      <c r="BR1347" s="34" t="str">
        <f>B1347&amp;"|"&amp;D1347</f>
        <v>|</v>
      </c>
    </row>
    <row r="1348">
      <c r="BR1348" s="34" t="str">
        <f>B1348&amp;"|"&amp;D1348</f>
        <v>|</v>
      </c>
    </row>
    <row r="1349">
      <c r="BR1349" s="34" t="str">
        <f>B1349&amp;"|"&amp;D1349</f>
        <v>|</v>
      </c>
    </row>
    <row r="1350">
      <c r="BR1350" s="34" t="str">
        <f>B1350&amp;"|"&amp;D1350</f>
        <v>|</v>
      </c>
    </row>
    <row r="1351">
      <c r="BR1351" s="34" t="str">
        <f>B1351&amp;"|"&amp;D1351</f>
        <v>|</v>
      </c>
    </row>
    <row r="1352">
      <c r="BR1352" s="34" t="str">
        <f>B1352&amp;"|"&amp;D1352</f>
        <v>|</v>
      </c>
    </row>
    <row r="1353">
      <c r="BR1353" s="34" t="str">
        <f>B1353&amp;"|"&amp;D1353</f>
        <v>|</v>
      </c>
    </row>
    <row r="1354">
      <c r="BR1354" s="34" t="str">
        <f>B1354&amp;"|"&amp;D1354</f>
        <v>|</v>
      </c>
    </row>
    <row r="1355">
      <c r="BR1355" s="34" t="str">
        <f>B1355&amp;"|"&amp;D1355</f>
        <v>|</v>
      </c>
    </row>
    <row r="1356">
      <c r="BR1356" s="34" t="str">
        <f>B1356&amp;"|"&amp;D1356</f>
        <v>|</v>
      </c>
    </row>
    <row r="1357">
      <c r="BR1357" s="34" t="str">
        <f>B1357&amp;"|"&amp;D1357</f>
        <v>|</v>
      </c>
    </row>
    <row r="1358">
      <c r="BR1358" s="34" t="str">
        <f>B1358&amp;"|"&amp;D1358</f>
        <v>|</v>
      </c>
    </row>
    <row r="1359">
      <c r="BR1359" s="34" t="str">
        <f>B1359&amp;"|"&amp;D1359</f>
        <v>|</v>
      </c>
    </row>
    <row r="1360">
      <c r="BR1360" s="34" t="str">
        <f>B1360&amp;"|"&amp;D1360</f>
        <v>|</v>
      </c>
    </row>
    <row r="1361">
      <c r="BR1361" s="34" t="str">
        <f>B1361&amp;"|"&amp;D1361</f>
        <v>|</v>
      </c>
    </row>
    <row r="1362">
      <c r="BR1362" s="34" t="str">
        <f>B1362&amp;"|"&amp;D1362</f>
        <v>|</v>
      </c>
    </row>
    <row r="1363">
      <c r="BR1363" s="34" t="str">
        <f>B1363&amp;"|"&amp;D1363</f>
        <v>|</v>
      </c>
    </row>
    <row r="1364">
      <c r="BR1364" s="34" t="str">
        <f>B1364&amp;"|"&amp;D1364</f>
        <v>|</v>
      </c>
    </row>
    <row r="1365">
      <c r="BR1365" s="34" t="str">
        <f>B1365&amp;"|"&amp;D1365</f>
        <v>|</v>
      </c>
    </row>
    <row r="1366">
      <c r="BR1366" s="34" t="str">
        <f>B1366&amp;"|"&amp;D1366</f>
        <v>|</v>
      </c>
    </row>
    <row r="1367">
      <c r="BR1367" s="34" t="str">
        <f>B1367&amp;"|"&amp;D1367</f>
        <v>|</v>
      </c>
    </row>
    <row r="1368">
      <c r="BR1368" s="34" t="str">
        <f>B1368&amp;"|"&amp;D1368</f>
        <v>|</v>
      </c>
    </row>
    <row r="1369">
      <c r="BR1369" s="34" t="str">
        <f>B1369&amp;"|"&amp;D1369</f>
        <v>|</v>
      </c>
    </row>
    <row r="1370">
      <c r="BR1370" s="34" t="str">
        <f>B1370&amp;"|"&amp;D1370</f>
        <v>|</v>
      </c>
    </row>
    <row r="1371">
      <c r="BR1371" s="34" t="str">
        <f>B1371&amp;"|"&amp;D1371</f>
        <v>|</v>
      </c>
    </row>
    <row r="1372">
      <c r="BR1372" s="34" t="str">
        <f>B1372&amp;"|"&amp;D1372</f>
        <v>|</v>
      </c>
    </row>
    <row r="1373">
      <c r="BR1373" s="34" t="str">
        <f>B1373&amp;"|"&amp;D1373</f>
        <v>|</v>
      </c>
    </row>
    <row r="1374">
      <c r="BR1374" s="34" t="str">
        <f>B1374&amp;"|"&amp;D1374</f>
        <v>|</v>
      </c>
    </row>
    <row r="1375">
      <c r="BR1375" s="34" t="str">
        <f>B1375&amp;"|"&amp;D1375</f>
        <v>|</v>
      </c>
    </row>
    <row r="1376">
      <c r="BR1376" s="34" t="str">
        <f>B1376&amp;"|"&amp;D1376</f>
        <v>|</v>
      </c>
    </row>
    <row r="1377">
      <c r="BR1377" s="34" t="str">
        <f>B1377&amp;"|"&amp;D1377</f>
        <v>|</v>
      </c>
    </row>
    <row r="1378">
      <c r="BR1378" s="34" t="str">
        <f>B1378&amp;"|"&amp;D1378</f>
        <v>|</v>
      </c>
    </row>
    <row r="1379">
      <c r="BR1379" s="34" t="str">
        <f>B1379&amp;"|"&amp;D1379</f>
        <v>|</v>
      </c>
    </row>
    <row r="1380">
      <c r="BR1380" s="34" t="str">
        <f>B1380&amp;"|"&amp;D1380</f>
        <v>|</v>
      </c>
    </row>
    <row r="1381">
      <c r="BR1381" s="34" t="str">
        <f>B1381&amp;"|"&amp;D1381</f>
        <v>|</v>
      </c>
    </row>
    <row r="1382">
      <c r="BR1382" s="34" t="str">
        <f>B1382&amp;"|"&amp;D1382</f>
        <v>|</v>
      </c>
    </row>
    <row r="1383">
      <c r="BR1383" s="34" t="str">
        <f>B1383&amp;"|"&amp;D1383</f>
        <v>|</v>
      </c>
    </row>
    <row r="1384">
      <c r="BR1384" s="34" t="str">
        <f>B1384&amp;"|"&amp;D1384</f>
        <v>|</v>
      </c>
    </row>
    <row r="1385">
      <c r="BR1385" s="34" t="str">
        <f>B1385&amp;"|"&amp;D1385</f>
        <v>|</v>
      </c>
    </row>
    <row r="1386">
      <c r="BR1386" s="34" t="str">
        <f>B1386&amp;"|"&amp;D1386</f>
        <v>|</v>
      </c>
    </row>
    <row r="1387">
      <c r="BR1387" s="34" t="str">
        <f>B1387&amp;"|"&amp;D1387</f>
        <v>|</v>
      </c>
    </row>
    <row r="1388">
      <c r="BR1388" s="34" t="str">
        <f>B1388&amp;"|"&amp;D1388</f>
        <v>|</v>
      </c>
    </row>
    <row r="1389">
      <c r="BR1389" s="34" t="str">
        <f>B1389&amp;"|"&amp;D1389</f>
        <v>|</v>
      </c>
    </row>
    <row r="1390">
      <c r="BR1390" s="34" t="str">
        <f>B1390&amp;"|"&amp;D1390</f>
        <v>|</v>
      </c>
    </row>
    <row r="1391">
      <c r="BR1391" s="34" t="str">
        <f>B1391&amp;"|"&amp;D1391</f>
        <v>|</v>
      </c>
    </row>
    <row r="1392">
      <c r="BR1392" s="34" t="str">
        <f>B1392&amp;"|"&amp;D1392</f>
        <v>|</v>
      </c>
    </row>
    <row r="1393">
      <c r="BR1393" s="34" t="str">
        <f>B1393&amp;"|"&amp;D1393</f>
        <v>|</v>
      </c>
    </row>
    <row r="1394">
      <c r="BR1394" s="34" t="str">
        <f>B1394&amp;"|"&amp;D1394</f>
        <v>|</v>
      </c>
    </row>
    <row r="1395">
      <c r="BR1395" s="34" t="str">
        <f>B1395&amp;"|"&amp;D1395</f>
        <v>|</v>
      </c>
    </row>
    <row r="1396">
      <c r="BR1396" s="34" t="str">
        <f>B1396&amp;"|"&amp;D1396</f>
        <v>|</v>
      </c>
    </row>
    <row r="1397">
      <c r="BR1397" s="34" t="str">
        <f>B1397&amp;"|"&amp;D1397</f>
        <v>|</v>
      </c>
    </row>
    <row r="1398">
      <c r="BR1398" s="34" t="str">
        <f>B1398&amp;"|"&amp;D1398</f>
        <v>|</v>
      </c>
    </row>
    <row r="1399">
      <c r="BR1399" s="34" t="str">
        <f>B1399&amp;"|"&amp;D1399</f>
        <v>|</v>
      </c>
    </row>
    <row r="1400">
      <c r="BR1400" s="34" t="str">
        <f>B1400&amp;"|"&amp;D1400</f>
        <v>|</v>
      </c>
    </row>
    <row r="1401">
      <c r="BR1401" s="34" t="str">
        <f>B1401&amp;"|"&amp;D1401</f>
        <v>|</v>
      </c>
    </row>
    <row r="1402">
      <c r="BR1402" s="34" t="str">
        <f>B1402&amp;"|"&amp;D1402</f>
        <v>|</v>
      </c>
    </row>
    <row r="1403">
      <c r="BR1403" s="34" t="str">
        <f>B1403&amp;"|"&amp;D1403</f>
        <v>|</v>
      </c>
    </row>
    <row r="1404">
      <c r="BR1404" s="34" t="str">
        <f>B1404&amp;"|"&amp;D1404</f>
        <v>|</v>
      </c>
    </row>
    <row r="1405">
      <c r="BR1405" s="34" t="str">
        <f>B1405&amp;"|"&amp;D1405</f>
        <v>|</v>
      </c>
    </row>
    <row r="1406">
      <c r="BR1406" s="34" t="str">
        <f>B1406&amp;"|"&amp;D1406</f>
        <v>|</v>
      </c>
    </row>
    <row r="1407">
      <c r="BR1407" s="34" t="str">
        <f>B1407&amp;"|"&amp;D1407</f>
        <v>|</v>
      </c>
    </row>
    <row r="1408">
      <c r="BR1408" s="34" t="str">
        <f>B1408&amp;"|"&amp;D1408</f>
        <v>|</v>
      </c>
    </row>
    <row r="1409">
      <c r="BR1409" s="34" t="str">
        <f>B1409&amp;"|"&amp;D1409</f>
        <v>|</v>
      </c>
    </row>
    <row r="1410">
      <c r="BR1410" s="34" t="str">
        <f>B1410&amp;"|"&amp;D1410</f>
        <v>|</v>
      </c>
    </row>
    <row r="1411">
      <c r="BR1411" s="34" t="str">
        <f>B1411&amp;"|"&amp;D1411</f>
        <v>|</v>
      </c>
    </row>
    <row r="1412">
      <c r="BR1412" s="34" t="str">
        <f>B1412&amp;"|"&amp;D1412</f>
        <v>|</v>
      </c>
    </row>
    <row r="1413">
      <c r="BR1413" s="34" t="str">
        <f>B1413&amp;"|"&amp;D1413</f>
        <v>|</v>
      </c>
    </row>
    <row r="1414">
      <c r="BR1414" s="34" t="str">
        <f>B1414&amp;"|"&amp;D1414</f>
        <v>|</v>
      </c>
    </row>
    <row r="1415">
      <c r="BR1415" s="34" t="str">
        <f>B1415&amp;"|"&amp;D1415</f>
        <v>|</v>
      </c>
    </row>
    <row r="1416">
      <c r="BR1416" s="34" t="str">
        <f>B1416&amp;"|"&amp;D1416</f>
        <v>|</v>
      </c>
    </row>
    <row r="1417">
      <c r="BR1417" s="34" t="str">
        <f>B1417&amp;"|"&amp;D1417</f>
        <v>|</v>
      </c>
    </row>
    <row r="1418">
      <c r="BR1418" s="34" t="str">
        <f>B1418&amp;"|"&amp;D1418</f>
        <v>|</v>
      </c>
    </row>
    <row r="1419">
      <c r="BR1419" s="34" t="str">
        <f>B1419&amp;"|"&amp;D1419</f>
        <v>|</v>
      </c>
    </row>
    <row r="1420">
      <c r="BR1420" s="34" t="str">
        <f>B1420&amp;"|"&amp;D1420</f>
        <v>|</v>
      </c>
    </row>
    <row r="1421">
      <c r="BR1421" s="34" t="str">
        <f>B1421&amp;"|"&amp;D1421</f>
        <v>|</v>
      </c>
    </row>
    <row r="1422">
      <c r="BR1422" s="34" t="str">
        <f>B1422&amp;"|"&amp;D1422</f>
        <v>|</v>
      </c>
    </row>
    <row r="1423">
      <c r="BR1423" s="34" t="str">
        <f>B1423&amp;"|"&amp;D1423</f>
        <v>|</v>
      </c>
    </row>
    <row r="1424">
      <c r="BR1424" s="34" t="str">
        <f>B1424&amp;"|"&amp;D1424</f>
        <v>|</v>
      </c>
    </row>
    <row r="1425">
      <c r="BR1425" s="34" t="str">
        <f>B1425&amp;"|"&amp;D1425</f>
        <v>|</v>
      </c>
    </row>
    <row r="1426">
      <c r="BR1426" s="34" t="str">
        <f>B1426&amp;"|"&amp;D1426</f>
        <v>|</v>
      </c>
    </row>
    <row r="1427">
      <c r="BR1427" s="34" t="str">
        <f>B1427&amp;"|"&amp;D1427</f>
        <v>|</v>
      </c>
    </row>
    <row r="1428">
      <c r="BR1428" s="34" t="str">
        <f>B1428&amp;"|"&amp;D1428</f>
        <v>|</v>
      </c>
    </row>
    <row r="1429">
      <c r="BR1429" s="34" t="str">
        <f>B1429&amp;"|"&amp;D1429</f>
        <v>|</v>
      </c>
    </row>
    <row r="1430">
      <c r="BR1430" s="34" t="str">
        <f>B1430&amp;"|"&amp;D1430</f>
        <v>|</v>
      </c>
    </row>
    <row r="1431">
      <c r="BR1431" s="34" t="str">
        <f>B1431&amp;"|"&amp;D1431</f>
        <v>|</v>
      </c>
    </row>
    <row r="1432">
      <c r="BR1432" s="34" t="str">
        <f>B1432&amp;"|"&amp;D1432</f>
        <v>|</v>
      </c>
    </row>
    <row r="1433">
      <c r="BR1433" s="34" t="str">
        <f>B1433&amp;"|"&amp;D1433</f>
        <v>|</v>
      </c>
    </row>
    <row r="1434">
      <c r="BR1434" s="34" t="str">
        <f>B1434&amp;"|"&amp;D1434</f>
        <v>|</v>
      </c>
    </row>
    <row r="1435">
      <c r="BR1435" s="34" t="str">
        <f>B1435&amp;"|"&amp;D1435</f>
        <v>|</v>
      </c>
    </row>
    <row r="1436">
      <c r="BR1436" s="34" t="str">
        <f>B1436&amp;"|"&amp;D1436</f>
        <v>|</v>
      </c>
    </row>
    <row r="1437">
      <c r="BR1437" s="34" t="str">
        <f>B1437&amp;"|"&amp;D1437</f>
        <v>|</v>
      </c>
    </row>
    <row r="1438">
      <c r="BR1438" s="34" t="str">
        <f>B1438&amp;"|"&amp;D1438</f>
        <v>|</v>
      </c>
    </row>
    <row r="1439">
      <c r="BR1439" s="34" t="str">
        <f>B1439&amp;"|"&amp;D1439</f>
        <v>|</v>
      </c>
    </row>
    <row r="1440">
      <c r="BR1440" s="34" t="str">
        <f>B1440&amp;"|"&amp;D1440</f>
        <v>|</v>
      </c>
    </row>
    <row r="1441">
      <c r="BR1441" s="34" t="str">
        <f>B1441&amp;"|"&amp;D1441</f>
        <v>|</v>
      </c>
    </row>
    <row r="1442">
      <c r="BR1442" s="34" t="str">
        <f>B1442&amp;"|"&amp;D1442</f>
        <v>|</v>
      </c>
    </row>
    <row r="1443">
      <c r="BR1443" s="34" t="str">
        <f>B1443&amp;"|"&amp;D1443</f>
        <v>|</v>
      </c>
    </row>
    <row r="1444">
      <c r="BR1444" s="34" t="str">
        <f>B1444&amp;"|"&amp;D1444</f>
        <v>|</v>
      </c>
    </row>
    <row r="1445">
      <c r="BR1445" s="34" t="str">
        <f>B1445&amp;"|"&amp;D1445</f>
        <v>|</v>
      </c>
    </row>
    <row r="1446">
      <c r="BR1446" s="34" t="str">
        <f>B1446&amp;"|"&amp;D1446</f>
        <v>|</v>
      </c>
    </row>
    <row r="1447">
      <c r="BR1447" s="34" t="str">
        <f>B1447&amp;"|"&amp;D1447</f>
        <v>|</v>
      </c>
    </row>
    <row r="1448">
      <c r="BR1448" s="34" t="str">
        <f>B1448&amp;"|"&amp;D1448</f>
        <v>|</v>
      </c>
    </row>
    <row r="1449">
      <c r="BR1449" s="34" t="str">
        <f>B1449&amp;"|"&amp;D1449</f>
        <v>|</v>
      </c>
    </row>
    <row r="1450">
      <c r="BR1450" s="34" t="str">
        <f>B1450&amp;"|"&amp;D1450</f>
        <v>|</v>
      </c>
    </row>
    <row r="1451">
      <c r="BR1451" s="34" t="str">
        <f>B1451&amp;"|"&amp;D1451</f>
        <v>|</v>
      </c>
    </row>
    <row r="1452">
      <c r="BR1452" s="34" t="str">
        <f>B1452&amp;"|"&amp;D1452</f>
        <v>|</v>
      </c>
    </row>
    <row r="1453">
      <c r="BR1453" s="34" t="str">
        <f>B1453&amp;"|"&amp;D1453</f>
        <v>|</v>
      </c>
    </row>
    <row r="1454">
      <c r="BR1454" s="34" t="str">
        <f>B1454&amp;"|"&amp;D1454</f>
        <v>|</v>
      </c>
    </row>
    <row r="1455">
      <c r="BR1455" s="34" t="str">
        <f>B1455&amp;"|"&amp;D1455</f>
        <v>|</v>
      </c>
    </row>
    <row r="1456">
      <c r="BR1456" s="34" t="str">
        <f>B1456&amp;"|"&amp;D1456</f>
        <v>|</v>
      </c>
    </row>
    <row r="1457">
      <c r="BR1457" s="34" t="str">
        <f>B1457&amp;"|"&amp;D1457</f>
        <v>|</v>
      </c>
    </row>
    <row r="1458">
      <c r="BR1458" s="34" t="str">
        <f>B1458&amp;"|"&amp;D1458</f>
        <v>|</v>
      </c>
    </row>
    <row r="1459">
      <c r="BR1459" s="34" t="str">
        <f>B1459&amp;"|"&amp;D1459</f>
        <v>|</v>
      </c>
    </row>
    <row r="1460">
      <c r="BR1460" s="34" t="str">
        <f>B1460&amp;"|"&amp;D1460</f>
        <v>|</v>
      </c>
    </row>
    <row r="1461">
      <c r="BR1461" s="34" t="str">
        <f>B1461&amp;"|"&amp;D1461</f>
        <v>|</v>
      </c>
    </row>
    <row r="1462">
      <c r="BR1462" s="34" t="str">
        <f>B1462&amp;"|"&amp;D1462</f>
        <v>|</v>
      </c>
    </row>
    <row r="1463">
      <c r="BR1463" s="34" t="str">
        <f>B1463&amp;"|"&amp;D1463</f>
        <v>|</v>
      </c>
    </row>
    <row r="1464">
      <c r="BR1464" s="34" t="str">
        <f>B1464&amp;"|"&amp;D1464</f>
        <v>|</v>
      </c>
    </row>
    <row r="1465">
      <c r="BR1465" s="34" t="str">
        <f>B1465&amp;"|"&amp;D1465</f>
        <v>|</v>
      </c>
    </row>
    <row r="1466">
      <c r="BR1466" s="34" t="str">
        <f>B1466&amp;"|"&amp;D1466</f>
        <v>|</v>
      </c>
    </row>
    <row r="1467">
      <c r="BR1467" s="34" t="str">
        <f>B1467&amp;"|"&amp;D1467</f>
        <v>|</v>
      </c>
    </row>
    <row r="1468">
      <c r="BR1468" s="34" t="str">
        <f>B1468&amp;"|"&amp;D1468</f>
        <v>|</v>
      </c>
    </row>
    <row r="1469">
      <c r="BR1469" s="34" t="str">
        <f>B1469&amp;"|"&amp;D1469</f>
        <v>|</v>
      </c>
    </row>
    <row r="1470">
      <c r="BR1470" s="34" t="str">
        <f>B1470&amp;"|"&amp;D1470</f>
        <v>|</v>
      </c>
    </row>
    <row r="1471">
      <c r="BR1471" s="34" t="str">
        <f>B1471&amp;"|"&amp;D1471</f>
        <v>|</v>
      </c>
    </row>
    <row r="1472">
      <c r="BR1472" s="34" t="str">
        <f>B1472&amp;"|"&amp;D1472</f>
        <v>|</v>
      </c>
    </row>
    <row r="1473">
      <c r="BR1473" s="34" t="str">
        <f>B1473&amp;"|"&amp;D1473</f>
        <v>|</v>
      </c>
    </row>
    <row r="1474">
      <c r="BR1474" s="34" t="str">
        <f>B1474&amp;"|"&amp;D1474</f>
        <v>|</v>
      </c>
    </row>
    <row r="1475">
      <c r="BR1475" s="34" t="str">
        <f>B1475&amp;"|"&amp;D1475</f>
        <v>|</v>
      </c>
    </row>
    <row r="1476">
      <c r="BR1476" s="34" t="str">
        <f>B1476&amp;"|"&amp;D1476</f>
        <v>|</v>
      </c>
    </row>
    <row r="1477">
      <c r="BR1477" s="34" t="str">
        <f>B1477&amp;"|"&amp;D1477</f>
        <v>|</v>
      </c>
    </row>
    <row r="1478">
      <c r="BR1478" s="34" t="str">
        <f>B1478&amp;"|"&amp;D1478</f>
        <v>|</v>
      </c>
    </row>
    <row r="1479">
      <c r="BR1479" s="34" t="str">
        <f>B1479&amp;"|"&amp;D1479</f>
        <v>|</v>
      </c>
    </row>
    <row r="1480">
      <c r="BR1480" s="34" t="str">
        <f>B1480&amp;"|"&amp;D1480</f>
        <v>|</v>
      </c>
    </row>
    <row r="1481">
      <c r="BR1481" s="34" t="str">
        <f>B1481&amp;"|"&amp;D1481</f>
        <v>|</v>
      </c>
    </row>
    <row r="1482">
      <c r="BR1482" s="34" t="str">
        <f>B1482&amp;"|"&amp;D1482</f>
        <v>|</v>
      </c>
    </row>
    <row r="1483">
      <c r="BR1483" s="34" t="str">
        <f>B1483&amp;"|"&amp;D1483</f>
        <v>|</v>
      </c>
    </row>
    <row r="1484">
      <c r="BR1484" s="34" t="str">
        <f>B1484&amp;"|"&amp;D1484</f>
        <v>|</v>
      </c>
    </row>
    <row r="1485">
      <c r="BR1485" s="34" t="str">
        <f>B1485&amp;"|"&amp;D1485</f>
        <v>|</v>
      </c>
    </row>
    <row r="1486">
      <c r="BR1486" s="34" t="str">
        <f>B1486&amp;"|"&amp;D1486</f>
        <v>|</v>
      </c>
    </row>
    <row r="1487">
      <c r="BR1487" s="34" t="str">
        <f>B1487&amp;"|"&amp;D1487</f>
        <v>|</v>
      </c>
    </row>
    <row r="1488">
      <c r="BR1488" s="34" t="str">
        <f>B1488&amp;"|"&amp;D1488</f>
        <v>|</v>
      </c>
    </row>
    <row r="1489">
      <c r="BR1489" s="34" t="str">
        <f>B1489&amp;"|"&amp;D1489</f>
        <v>|</v>
      </c>
    </row>
    <row r="1490">
      <c r="BR1490" s="34" t="str">
        <f>B1490&amp;"|"&amp;D1490</f>
        <v>|</v>
      </c>
    </row>
    <row r="1491">
      <c r="BR1491" s="34" t="str">
        <f>B1491&amp;"|"&amp;D1491</f>
        <v>|</v>
      </c>
    </row>
    <row r="1492">
      <c r="BR1492" s="34" t="str">
        <f>B1492&amp;"|"&amp;D1492</f>
        <v>|</v>
      </c>
    </row>
    <row r="1493">
      <c r="BR1493" s="34" t="str">
        <f>B1493&amp;"|"&amp;D1493</f>
        <v>|</v>
      </c>
    </row>
    <row r="1494">
      <c r="BR1494" s="34" t="str">
        <f>B1494&amp;"|"&amp;D1494</f>
        <v>|</v>
      </c>
    </row>
    <row r="1495">
      <c r="BR1495" s="34" t="str">
        <f>B1495&amp;"|"&amp;D1495</f>
        <v>|</v>
      </c>
    </row>
    <row r="1496">
      <c r="BR1496" s="34" t="str">
        <f>B1496&amp;"|"&amp;D1496</f>
        <v>|</v>
      </c>
    </row>
    <row r="1497">
      <c r="BR1497" s="34" t="str">
        <f>B1497&amp;"|"&amp;D1497</f>
        <v>|</v>
      </c>
    </row>
    <row r="1498">
      <c r="BR1498" s="34" t="str">
        <f>B1498&amp;"|"&amp;D1498</f>
        <v>|</v>
      </c>
    </row>
    <row r="1499">
      <c r="BR1499" s="34" t="str">
        <f>B1499&amp;"|"&amp;D1499</f>
        <v>|</v>
      </c>
    </row>
    <row r="1500">
      <c r="BR1500" s="34" t="str">
        <f>B1500&amp;"|"&amp;D1500</f>
        <v>|</v>
      </c>
    </row>
    <row r="1501">
      <c r="BR1501" s="34" t="str">
        <f>B1501&amp;"|"&amp;D1501</f>
        <v>|</v>
      </c>
    </row>
    <row r="1502">
      <c r="BR1502" s="34" t="str">
        <f>B1502&amp;"|"&amp;D1502</f>
        <v>|</v>
      </c>
    </row>
    <row r="1503">
      <c r="BR1503" s="34" t="str">
        <f>B1503&amp;"|"&amp;D1503</f>
        <v>|</v>
      </c>
    </row>
  </sheetData>
  <pageMargins left="0.75" right="0.75" top="1" bottom="1" header="0.5" footer="0.5"/>
</worksheet>
</file>

<file path=xl/worksheets/sheet15.xml><?xml version="1.0" encoding="utf-8"?>
<worksheet xmlns="http://schemas.openxmlformats.org/spreadsheetml/2006/main">
  <sheetPr>
    <tabColor rgb="00DCE6F1"/>
    <outlinePr summaryBelow="1" summaryRight="1"/>
    <pageSetUpPr/>
  </sheetPr>
  <dimension ref="A1:AU3327"/>
  <sheetViews>
    <sheetView tabSelected="0" zoomScale="8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s>
  <sheetData>
    <row r="1">
      <c r="A1" s="3" t="inlineStr">
        <is>
          <t>Source: legacy sheet WEO rows 9+, extract_legacy_tables.py. Legacy table unchanged: paste the legacy data rows (all countries) at A4</t>
        </is>
      </c>
    </row>
    <row r="2">
      <c r="A2" s="1" t="inlineStr">
        <is>
          <t>WEO - IMF World Economic Outlook by country and series (code ISO.SERIES.A; last data year in column A)</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row>
    <row r="3">
      <c r="A3" s="188" t="inlineStr">
        <is>
          <t>last year</t>
        </is>
      </c>
      <c r="B3" s="188" t="inlineStr">
        <is>
          <t>countrycode</t>
        </is>
      </c>
      <c r="C3" s="188" t="inlineStr">
        <is>
          <t>DATASET</t>
        </is>
      </c>
      <c r="D3" s="188" t="inlineStr">
        <is>
          <t>SERIES_CODE</t>
        </is>
      </c>
      <c r="E3" s="188" t="inlineStr">
        <is>
          <t>COUNTRY</t>
        </is>
      </c>
      <c r="F3" s="188" t="inlineStr">
        <is>
          <t>INDICATOR</t>
        </is>
      </c>
      <c r="G3" s="188" t="n">
        <v>2000</v>
      </c>
      <c r="H3" s="188" t="n">
        <v>2001</v>
      </c>
      <c r="I3" s="188" t="n">
        <v>2002</v>
      </c>
      <c r="J3" s="188" t="n">
        <v>2003</v>
      </c>
      <c r="K3" s="188" t="n">
        <v>2004</v>
      </c>
      <c r="L3" s="188" t="n">
        <v>2005</v>
      </c>
      <c r="M3" s="188" t="n">
        <v>2006</v>
      </c>
      <c r="N3" s="188" t="n">
        <v>2007</v>
      </c>
      <c r="O3" s="188" t="n">
        <v>2008</v>
      </c>
      <c r="P3" s="188" t="n">
        <v>2009</v>
      </c>
      <c r="Q3" s="188" t="n">
        <v>2010</v>
      </c>
      <c r="R3" s="188" t="n">
        <v>2011</v>
      </c>
      <c r="S3" s="188" t="n">
        <v>2012</v>
      </c>
      <c r="T3" s="188" t="n">
        <v>2013</v>
      </c>
      <c r="U3" s="188" t="n">
        <v>2014</v>
      </c>
      <c r="V3" s="188" t="n">
        <v>2015</v>
      </c>
      <c r="W3" s="188" t="n">
        <v>2016</v>
      </c>
      <c r="X3" s="188" t="n">
        <v>2017</v>
      </c>
      <c r="Y3" s="188" t="n">
        <v>2018</v>
      </c>
      <c r="Z3" s="188" t="n">
        <v>2019</v>
      </c>
      <c r="AA3" s="188" t="n">
        <v>2020</v>
      </c>
      <c r="AB3" s="188" t="n">
        <v>2021</v>
      </c>
      <c r="AC3" s="188" t="n">
        <v>2022</v>
      </c>
      <c r="AD3" s="188" t="n">
        <v>2023</v>
      </c>
      <c r="AE3" s="188" t="n">
        <v>2024</v>
      </c>
      <c r="AF3" s="188" t="n">
        <v>2025</v>
      </c>
      <c r="AG3" s="188" t="n">
        <v>2026</v>
      </c>
      <c r="AH3" s="188" t="n">
        <v>2027</v>
      </c>
      <c r="AI3" s="188" t="n">
        <v>2028</v>
      </c>
      <c r="AJ3" s="188" t="n">
        <v>2029</v>
      </c>
      <c r="AK3" s="188" t="n">
        <v>2030</v>
      </c>
      <c r="AL3" s="188" t="n">
        <v>2031</v>
      </c>
      <c r="AM3" s="188" t="n">
        <v>2032</v>
      </c>
      <c r="AN3" s="188" t="n">
        <v>2033</v>
      </c>
      <c r="AO3" s="188" t="n">
        <v>2034</v>
      </c>
      <c r="AP3" s="188" t="n">
        <v>2035</v>
      </c>
      <c r="AQ3" s="188" t="n">
        <v>2036</v>
      </c>
      <c r="AR3" s="188" t="n">
        <v>2037</v>
      </c>
      <c r="AS3" s="188" t="n">
        <v>2038</v>
      </c>
      <c r="AT3" s="188" t="n">
        <v>2039</v>
      </c>
      <c r="AU3" s="188" t="n">
        <v>2040</v>
      </c>
    </row>
    <row r="4">
      <c r="A4" s="3" t="n">
        <v>2031</v>
      </c>
      <c r="B4" s="3" t="inlineStr">
        <is>
          <t>ABW</t>
        </is>
      </c>
      <c r="C4" s="3" t="inlineStr">
        <is>
          <t>IMF.RES:WEO</t>
        </is>
      </c>
      <c r="D4" s="3" t="inlineStr">
        <is>
          <t>ABW.BCA.A</t>
        </is>
      </c>
      <c r="E4" s="3" t="inlineStr">
        <is>
          <t>Aruba, Kingdom of the Netherlands</t>
        </is>
      </c>
      <c r="F4" s="3" t="inlineStr">
        <is>
          <t>Current account balance (credit less debit), US dollar</t>
        </is>
      </c>
      <c r="G4" s="3" t="n">
        <v>0.212542</v>
      </c>
      <c r="H4" s="3" t="n">
        <v>0.310076</v>
      </c>
      <c r="I4" s="3" t="n">
        <v>-0.33344</v>
      </c>
      <c r="J4" s="3" t="n">
        <v>-0.167256</v>
      </c>
      <c r="K4" s="3" t="n">
        <v>0.274094</v>
      </c>
      <c r="L4" s="3" t="n">
        <v>0.11583</v>
      </c>
      <c r="M4" s="3" t="n">
        <v>0.3137</v>
      </c>
      <c r="N4" s="3" t="n">
        <v>0.259382</v>
      </c>
      <c r="O4" s="3" t="n">
        <v>0.000515</v>
      </c>
      <c r="P4" s="3" t="n">
        <v>0.177107</v>
      </c>
      <c r="Q4" s="3" t="n">
        <v>-0.459723</v>
      </c>
      <c r="R4" s="3" t="n">
        <v>-0.264318</v>
      </c>
      <c r="S4" s="3" t="n">
        <v>0.094209</v>
      </c>
      <c r="T4" s="3" t="n">
        <v>-0.326181</v>
      </c>
      <c r="U4" s="3" t="n">
        <v>-0.133866</v>
      </c>
      <c r="V4" s="3" t="n">
        <v>0.114992</v>
      </c>
      <c r="W4" s="3" t="n">
        <v>0.135974</v>
      </c>
      <c r="X4" s="3" t="n">
        <v>0.029651</v>
      </c>
      <c r="Y4" s="3" t="n">
        <v>-0.01737</v>
      </c>
      <c r="Z4" s="3" t="n">
        <v>0.00647</v>
      </c>
      <c r="AA4" s="3" t="n">
        <v>-0.425006</v>
      </c>
      <c r="AB4" s="3" t="n">
        <v>-0.06482400000000001</v>
      </c>
      <c r="AC4" s="3" t="n">
        <v>0.213045</v>
      </c>
      <c r="AD4" s="3" t="n">
        <v>0.210193</v>
      </c>
      <c r="AE4" s="3" t="n">
        <v>0.413015</v>
      </c>
      <c r="AF4" s="3" t="n">
        <v>0.350243</v>
      </c>
      <c r="AG4" s="3" t="n">
        <v>0.30183</v>
      </c>
      <c r="AH4" s="3" t="n">
        <v>0.283487</v>
      </c>
      <c r="AI4" s="3" t="n">
        <v>0.273475</v>
      </c>
      <c r="AJ4" s="3" t="n">
        <v>0.265742</v>
      </c>
      <c r="AK4" s="3" t="n">
        <v>0.253901</v>
      </c>
      <c r="AL4" s="3" t="n">
        <v>0.260241</v>
      </c>
      <c r="AM4" s="3" t="n"/>
      <c r="AN4" s="3" t="n"/>
      <c r="AO4" s="3" t="n"/>
      <c r="AP4" s="3" t="n"/>
      <c r="AQ4" s="3" t="n"/>
      <c r="AR4" s="3" t="n"/>
      <c r="AS4" s="3" t="n"/>
      <c r="AT4" s="3" t="n"/>
      <c r="AU4" s="3" t="n"/>
    </row>
    <row r="5">
      <c r="A5" s="3" t="n">
        <v>2031</v>
      </c>
      <c r="B5" s="3" t="inlineStr">
        <is>
          <t>ABW</t>
        </is>
      </c>
      <c r="C5" s="3" t="inlineStr">
        <is>
          <t>IMF.RES:WEO</t>
        </is>
      </c>
      <c r="D5" s="3" t="inlineStr">
        <is>
          <t>ABW.BCA_NGDPD.A</t>
        </is>
      </c>
      <c r="E5" s="3" t="inlineStr">
        <is>
          <t>Aruba, Kingdom of the Netherlands</t>
        </is>
      </c>
      <c r="F5" s="3" t="inlineStr">
        <is>
          <t>Current account balance (credit less debit), Percent of GDP</t>
        </is>
      </c>
      <c r="G5" s="3" t="n">
        <v>11.344937</v>
      </c>
      <c r="H5" s="3" t="n">
        <v>16.350288</v>
      </c>
      <c r="I5" s="3" t="n">
        <v>-16.996272</v>
      </c>
      <c r="J5" s="3" t="n">
        <v>-8.18234</v>
      </c>
      <c r="K5" s="3" t="n">
        <v>12.155838</v>
      </c>
      <c r="L5" s="3" t="n">
        <v>4.90803</v>
      </c>
      <c r="M5" s="3" t="n">
        <v>12.701541</v>
      </c>
      <c r="N5" s="3" t="n">
        <v>9.686946000000001</v>
      </c>
      <c r="O5" s="3" t="n">
        <v>0.018108</v>
      </c>
      <c r="P5" s="3" t="n">
        <v>6.935044</v>
      </c>
      <c r="Q5" s="3" t="n">
        <v>-18.736693</v>
      </c>
      <c r="R5" s="3" t="n">
        <v>-10.02016</v>
      </c>
      <c r="S5" s="3" t="n">
        <v>3.602339</v>
      </c>
      <c r="T5" s="3" t="n">
        <v>-11.957431</v>
      </c>
      <c r="U5" s="3" t="n">
        <v>-4.796597</v>
      </c>
      <c r="V5" s="3" t="n">
        <v>3.881049</v>
      </c>
      <c r="W5" s="3" t="n">
        <v>4.557335</v>
      </c>
      <c r="X5" s="3" t="n">
        <v>0.958835</v>
      </c>
      <c r="Y5" s="3" t="n">
        <v>-0.530203</v>
      </c>
      <c r="Z5" s="3" t="n">
        <v>0.193342</v>
      </c>
      <c r="AA5" s="3" t="n">
        <v>-17.196837</v>
      </c>
      <c r="AB5" s="3" t="n">
        <v>-2.25011</v>
      </c>
      <c r="AC5" s="3" t="n">
        <v>6.409209</v>
      </c>
      <c r="AD5" s="3" t="n">
        <v>5.42965</v>
      </c>
      <c r="AE5" s="3" t="n">
        <v>9.639116</v>
      </c>
      <c r="AF5" s="3" t="n">
        <v>7.746369</v>
      </c>
      <c r="AG5" s="3" t="n">
        <v>6.46166</v>
      </c>
      <c r="AH5" s="3" t="n">
        <v>5.841811</v>
      </c>
      <c r="AI5" s="3" t="n">
        <v>5.443696</v>
      </c>
      <c r="AJ5" s="3" t="n">
        <v>5.111921</v>
      </c>
      <c r="AK5" s="3" t="n">
        <v>4.721666</v>
      </c>
      <c r="AL5" s="3" t="n">
        <v>4.683536</v>
      </c>
      <c r="AM5" s="3" t="n"/>
      <c r="AN5" s="3" t="n"/>
      <c r="AO5" s="3" t="n"/>
      <c r="AP5" s="3" t="n"/>
      <c r="AQ5" s="3" t="n"/>
      <c r="AR5" s="3" t="n"/>
      <c r="AS5" s="3" t="n"/>
      <c r="AT5" s="3" t="n"/>
      <c r="AU5" s="3" t="n"/>
    </row>
    <row r="6">
      <c r="A6" s="3" t="n">
        <v>2031</v>
      </c>
      <c r="B6" s="3" t="inlineStr">
        <is>
          <t>ABW</t>
        </is>
      </c>
      <c r="C6" s="3" t="inlineStr">
        <is>
          <t>IMF.RES:WEO</t>
        </is>
      </c>
      <c r="D6" s="3" t="inlineStr">
        <is>
          <t>ABW.GGR_NGDP.A</t>
        </is>
      </c>
      <c r="E6" s="3" t="inlineStr">
        <is>
          <t>Aruba, Kingdom of the Netherlands</t>
        </is>
      </c>
      <c r="F6" s="3" t="inlineStr">
        <is>
          <t>Revenue, General government, Percent of GDP</t>
        </is>
      </c>
      <c r="G6" s="3" t="n">
        <v>22.250501</v>
      </c>
      <c r="H6" s="3" t="n">
        <v>21.672993</v>
      </c>
      <c r="I6" s="3" t="n">
        <v>21.49113</v>
      </c>
      <c r="J6" s="3" t="n">
        <v>27.031807</v>
      </c>
      <c r="K6" s="3" t="n">
        <v>20.713615</v>
      </c>
      <c r="L6" s="3" t="n">
        <v>21.519924</v>
      </c>
      <c r="M6" s="3" t="n">
        <v>22.285468</v>
      </c>
      <c r="N6" s="3" t="n">
        <v>21.573942</v>
      </c>
      <c r="O6" s="3" t="n">
        <v>26.825348</v>
      </c>
      <c r="P6" s="3" t="n">
        <v>24.256651</v>
      </c>
      <c r="Q6" s="3" t="n">
        <v>26.956673</v>
      </c>
      <c r="R6" s="3" t="n">
        <v>20.770356</v>
      </c>
      <c r="S6" s="3" t="n">
        <v>21.806267</v>
      </c>
      <c r="T6" s="3" t="n">
        <v>23.406409</v>
      </c>
      <c r="U6" s="3" t="n">
        <v>22.375601</v>
      </c>
      <c r="V6" s="3" t="n">
        <v>23.897997</v>
      </c>
      <c r="W6" s="3" t="n">
        <v>23.664061</v>
      </c>
      <c r="X6" s="3" t="n">
        <v>21.971289</v>
      </c>
      <c r="Y6" s="3" t="n">
        <v>22.221713</v>
      </c>
      <c r="Z6" s="3" t="n">
        <v>23.78975</v>
      </c>
      <c r="AA6" s="3" t="n">
        <v>24.856368</v>
      </c>
      <c r="AB6" s="3" t="n">
        <v>21.217849</v>
      </c>
      <c r="AC6" s="3" t="n">
        <v>22.622022</v>
      </c>
      <c r="AD6" s="3" t="n">
        <v>24.821835</v>
      </c>
      <c r="AE6" s="3" t="n">
        <v>24.454033</v>
      </c>
      <c r="AF6" s="3" t="n">
        <v>23.671879</v>
      </c>
      <c r="AG6" s="3" t="n">
        <v>23.26663</v>
      </c>
      <c r="AH6" s="3" t="n">
        <v>23.171824</v>
      </c>
      <c r="AI6" s="3" t="n">
        <v>23.174404</v>
      </c>
      <c r="AJ6" s="3" t="n">
        <v>23.030445</v>
      </c>
      <c r="AK6" s="3" t="n">
        <v>22.831115</v>
      </c>
      <c r="AL6" s="3" t="n">
        <v>22.912569</v>
      </c>
      <c r="AM6" s="3" t="n"/>
      <c r="AN6" s="3" t="n"/>
      <c r="AO6" s="3" t="n"/>
      <c r="AP6" s="3" t="n"/>
      <c r="AQ6" s="3" t="n"/>
      <c r="AR6" s="3" t="n"/>
      <c r="AS6" s="3" t="n"/>
      <c r="AT6" s="3" t="n"/>
      <c r="AU6" s="3" t="n"/>
    </row>
    <row r="7">
      <c r="A7" s="3" t="n">
        <v>2031</v>
      </c>
      <c r="B7" s="3" t="inlineStr">
        <is>
          <t>ABW</t>
        </is>
      </c>
      <c r="C7" s="3" t="inlineStr">
        <is>
          <t>IMF.RES:WEO</t>
        </is>
      </c>
      <c r="D7" s="3" t="inlineStr">
        <is>
          <t>ABW.GGX_NGDP.A</t>
        </is>
      </c>
      <c r="E7" s="3" t="inlineStr">
        <is>
          <t>Aruba, Kingdom of the Netherlands</t>
        </is>
      </c>
      <c r="F7" s="3" t="inlineStr">
        <is>
          <t>Expenditure, General government, Percent of GDP</t>
        </is>
      </c>
      <c r="G7" s="3" t="n">
        <v>21.605565</v>
      </c>
      <c r="H7" s="3" t="n">
        <v>22.508321</v>
      </c>
      <c r="I7" s="3" t="n">
        <v>24.659862</v>
      </c>
      <c r="J7" s="3" t="n">
        <v>25.13569</v>
      </c>
      <c r="K7" s="3" t="n">
        <v>29.244513</v>
      </c>
      <c r="L7" s="3" t="n">
        <v>24.47694</v>
      </c>
      <c r="M7" s="3" t="n">
        <v>24.826928</v>
      </c>
      <c r="N7" s="3" t="n">
        <v>22.619801</v>
      </c>
      <c r="O7" s="3" t="n">
        <v>25.359395</v>
      </c>
      <c r="P7" s="3" t="n">
        <v>26.887785</v>
      </c>
      <c r="Q7" s="3" t="n">
        <v>30.44341</v>
      </c>
      <c r="R7" s="3" t="n">
        <v>27.199289</v>
      </c>
      <c r="S7" s="3" t="n">
        <v>30.761192</v>
      </c>
      <c r="T7" s="3" t="n">
        <v>29.454106</v>
      </c>
      <c r="U7" s="3" t="n">
        <v>29.834134</v>
      </c>
      <c r="V7" s="3" t="n">
        <v>25.373283</v>
      </c>
      <c r="W7" s="3" t="n">
        <v>25.119038</v>
      </c>
      <c r="X7" s="3" t="n">
        <v>24.558309</v>
      </c>
      <c r="Y7" s="3" t="n">
        <v>24.862737</v>
      </c>
      <c r="Z7" s="3" t="n">
        <v>24.035882</v>
      </c>
      <c r="AA7" s="3" t="n">
        <v>41.661127</v>
      </c>
      <c r="AB7" s="3" t="n">
        <v>31.085475</v>
      </c>
      <c r="AC7" s="3" t="n">
        <v>23.117928</v>
      </c>
      <c r="AD7" s="3" t="n">
        <v>21.817929</v>
      </c>
      <c r="AE7" s="3" t="n">
        <v>20.766633</v>
      </c>
      <c r="AF7" s="3" t="n">
        <v>21.809483</v>
      </c>
      <c r="AG7" s="3" t="n">
        <v>21.401375</v>
      </c>
      <c r="AH7" s="3" t="n">
        <v>22.108051</v>
      </c>
      <c r="AI7" s="3" t="n">
        <v>22.110349</v>
      </c>
      <c r="AJ7" s="3" t="n">
        <v>21.967827</v>
      </c>
      <c r="AK7" s="3" t="n">
        <v>21.76896</v>
      </c>
      <c r="AL7" s="3" t="n">
        <v>21.825818</v>
      </c>
      <c r="AM7" s="3" t="n"/>
      <c r="AN7" s="3" t="n"/>
      <c r="AO7" s="3" t="n"/>
      <c r="AP7" s="3" t="n"/>
      <c r="AQ7" s="3" t="n"/>
      <c r="AR7" s="3" t="n"/>
      <c r="AS7" s="3" t="n"/>
      <c r="AT7" s="3" t="n"/>
      <c r="AU7" s="3" t="n"/>
    </row>
    <row r="8">
      <c r="A8" s="3" t="n">
        <v>2031</v>
      </c>
      <c r="B8" s="3" t="inlineStr">
        <is>
          <t>ABW</t>
        </is>
      </c>
      <c r="C8" s="3" t="inlineStr">
        <is>
          <t>IMF.RES:WEO</t>
        </is>
      </c>
      <c r="D8" s="3" t="inlineStr">
        <is>
          <t>ABW.LP.A</t>
        </is>
      </c>
      <c r="E8" s="3" t="inlineStr">
        <is>
          <t>Aruba, Kingdom of the Netherlands</t>
        </is>
      </c>
      <c r="F8" s="3" t="inlineStr">
        <is>
          <t>Population, Persons for countries / Index for country groups</t>
        </is>
      </c>
      <c r="G8" s="3" t="n">
        <v>0.101801</v>
      </c>
      <c r="H8" s="3" t="n">
        <v>0.101876</v>
      </c>
      <c r="I8" s="3" t="n">
        <v>0.103309</v>
      </c>
      <c r="J8" s="3" t="n">
        <v>0.104914</v>
      </c>
      <c r="K8" s="3" t="n">
        <v>0.106439</v>
      </c>
      <c r="L8" s="3" t="n">
        <v>0.10718</v>
      </c>
      <c r="M8" s="3" t="n">
        <v>0.108638</v>
      </c>
      <c r="N8" s="3" t="n">
        <v>0.108821</v>
      </c>
      <c r="O8" s="3" t="n">
        <v>0.108651</v>
      </c>
      <c r="P8" s="3" t="n">
        <v>0.109164</v>
      </c>
      <c r="Q8" s="3" t="n">
        <v>0.109242</v>
      </c>
      <c r="R8" s="3" t="n">
        <v>0.107932</v>
      </c>
      <c r="S8" s="3" t="n">
        <v>0.107469</v>
      </c>
      <c r="T8" s="3" t="n">
        <v>0.107149</v>
      </c>
      <c r="U8" s="3" t="n">
        <v>0.107566</v>
      </c>
      <c r="V8" s="3" t="n">
        <v>0.108421</v>
      </c>
      <c r="W8" s="3" t="n">
        <v>0.108616</v>
      </c>
      <c r="X8" s="3" t="n">
        <v>0.108793</v>
      </c>
      <c r="Y8" s="3" t="n">
        <v>0.108906</v>
      </c>
      <c r="Z8" s="3" t="n">
        <v>0.109016</v>
      </c>
      <c r="AA8" s="3" t="n">
        <v>0.109098</v>
      </c>
      <c r="AB8" s="3" t="n">
        <v>0.109182</v>
      </c>
      <c r="AC8" s="3" t="n">
        <v>0.10919</v>
      </c>
      <c r="AD8" s="3" t="n">
        <v>0.109184</v>
      </c>
      <c r="AE8" s="3" t="n">
        <v>0.109132</v>
      </c>
      <c r="AF8" s="3" t="n">
        <v>0.109049</v>
      </c>
      <c r="AG8" s="3" t="n">
        <v>0.108979</v>
      </c>
      <c r="AH8" s="3" t="n">
        <v>0.10894</v>
      </c>
      <c r="AI8" s="3" t="n">
        <v>0.108875</v>
      </c>
      <c r="AJ8" s="3" t="n">
        <v>0.108759</v>
      </c>
      <c r="AK8" s="3" t="n">
        <v>0.108684</v>
      </c>
      <c r="AL8" s="3" t="n">
        <v>0.108604</v>
      </c>
      <c r="AM8" s="3" t="n"/>
      <c r="AN8" s="3" t="n"/>
      <c r="AO8" s="3" t="n"/>
      <c r="AP8" s="3" t="n"/>
      <c r="AQ8" s="3" t="n"/>
      <c r="AR8" s="3" t="n"/>
      <c r="AS8" s="3" t="n"/>
      <c r="AT8" s="3" t="n"/>
      <c r="AU8" s="3" t="n"/>
    </row>
    <row r="9">
      <c r="A9" s="3" t="n">
        <v>2031</v>
      </c>
      <c r="B9" s="3" t="inlineStr">
        <is>
          <t>ABW</t>
        </is>
      </c>
      <c r="C9" s="3" t="inlineStr">
        <is>
          <t>IMF.RES:WEO</t>
        </is>
      </c>
      <c r="D9" s="3" t="inlineStr">
        <is>
          <t>ABW.NGDP.A</t>
        </is>
      </c>
      <c r="E9" s="3" t="inlineStr">
        <is>
          <t>Aruba, Kingdom of the Netherlands</t>
        </is>
      </c>
      <c r="F9" s="3" t="inlineStr">
        <is>
          <t>Gross domestic product (GDP), Current prices, Domestic currency</t>
        </is>
      </c>
      <c r="G9" s="3" t="n">
        <v>3.35348</v>
      </c>
      <c r="H9" s="3" t="n">
        <v>3.394658</v>
      </c>
      <c r="I9" s="3" t="n">
        <v>3.5117</v>
      </c>
      <c r="J9" s="3" t="n">
        <v>3.65896</v>
      </c>
      <c r="K9" s="3" t="n">
        <v>4.036147</v>
      </c>
      <c r="L9" s="3" t="n">
        <v>4.224431</v>
      </c>
      <c r="M9" s="3" t="n">
        <v>4.420911</v>
      </c>
      <c r="N9" s="3" t="n">
        <v>4.792978</v>
      </c>
      <c r="O9" s="3" t="n">
        <v>5.089014</v>
      </c>
      <c r="P9" s="3" t="n">
        <v>4.57129</v>
      </c>
      <c r="Q9" s="3" t="n">
        <v>4.391939</v>
      </c>
      <c r="R9" s="3" t="n">
        <v>4.721768</v>
      </c>
      <c r="S9" s="3" t="n">
        <v>4.681223</v>
      </c>
      <c r="T9" s="3" t="n">
        <v>4.882851</v>
      </c>
      <c r="U9" s="3" t="n">
        <v>4.99562</v>
      </c>
      <c r="V9" s="3" t="n">
        <v>5.3036</v>
      </c>
      <c r="W9" s="3" t="n">
        <v>5.34071</v>
      </c>
      <c r="X9" s="3" t="n">
        <v>5.535449</v>
      </c>
      <c r="Y9" s="3" t="n">
        <v>5.864375</v>
      </c>
      <c r="Z9" s="3" t="n">
        <v>5.99046</v>
      </c>
      <c r="AA9" s="3" t="n">
        <v>4.42384</v>
      </c>
      <c r="AB9" s="3" t="n">
        <v>5.15682</v>
      </c>
      <c r="AC9" s="3" t="n">
        <v>5.95003</v>
      </c>
      <c r="AD9" s="3" t="n">
        <v>6.92947</v>
      </c>
      <c r="AE9" s="3" t="n">
        <v>7.669756</v>
      </c>
      <c r="AF9" s="3" t="n">
        <v>8.093272000000001</v>
      </c>
      <c r="AG9" s="3" t="n">
        <v>8.361254000000001</v>
      </c>
      <c r="AH9" s="3" t="n">
        <v>8.686377999999999</v>
      </c>
      <c r="AI9" s="3" t="n">
        <v>8.992438999999999</v>
      </c>
      <c r="AJ9" s="3" t="n">
        <v>9.305256999999999</v>
      </c>
      <c r="AK9" s="3" t="n">
        <v>9.625475</v>
      </c>
      <c r="AL9" s="3" t="n">
        <v>9.946154999999999</v>
      </c>
      <c r="AM9" s="3" t="n"/>
      <c r="AN9" s="3" t="n"/>
      <c r="AO9" s="3" t="n"/>
      <c r="AP9" s="3" t="n"/>
      <c r="AQ9" s="3" t="n"/>
      <c r="AR9" s="3" t="n"/>
      <c r="AS9" s="3" t="n"/>
      <c r="AT9" s="3" t="n"/>
      <c r="AU9" s="3" t="n"/>
    </row>
    <row r="10">
      <c r="A10" s="3" t="n">
        <v>2031</v>
      </c>
      <c r="B10" s="3" t="inlineStr">
        <is>
          <t>ABW</t>
        </is>
      </c>
      <c r="C10" s="3" t="inlineStr">
        <is>
          <t>IMF.RES:WEO</t>
        </is>
      </c>
      <c r="D10" s="3" t="inlineStr">
        <is>
          <t>ABW.NGDP_D.A</t>
        </is>
      </c>
      <c r="E10" s="3" t="inlineStr">
        <is>
          <t>Aruba, Kingdom of the Netherlands</t>
        </is>
      </c>
      <c r="F10" s="3" t="inlineStr">
        <is>
          <t>Gross domestic product (GDP), Price deflator, Index</t>
        </is>
      </c>
      <c r="G10" s="3" t="n">
        <v>70.90210500000001</v>
      </c>
      <c r="H10" s="3" t="n">
        <v>73.89877</v>
      </c>
      <c r="I10" s="3" t="n">
        <v>77.164298</v>
      </c>
      <c r="J10" s="3" t="n">
        <v>79.502982</v>
      </c>
      <c r="K10" s="3" t="n">
        <v>81.795267</v>
      </c>
      <c r="L10" s="3" t="n">
        <v>86.058784</v>
      </c>
      <c r="M10" s="3" t="n">
        <v>89.056186</v>
      </c>
      <c r="N10" s="3" t="n">
        <v>93.64534999999999</v>
      </c>
      <c r="O10" s="3" t="n">
        <v>97.66781400000001</v>
      </c>
      <c r="P10" s="3" t="n">
        <v>99.260496</v>
      </c>
      <c r="Q10" s="3" t="n">
        <v>98.62807599999999</v>
      </c>
      <c r="R10" s="3" t="n">
        <v>102.342388</v>
      </c>
      <c r="S10" s="3" t="n">
        <v>102.649287</v>
      </c>
      <c r="T10" s="3" t="n">
        <v>100</v>
      </c>
      <c r="U10" s="3" t="n">
        <v>100.871083</v>
      </c>
      <c r="V10" s="3" t="n">
        <v>103.357029</v>
      </c>
      <c r="W10" s="3" t="n">
        <v>102.811144</v>
      </c>
      <c r="X10" s="3" t="n">
        <v>102.963077</v>
      </c>
      <c r="Y10" s="3" t="n">
        <v>105.686116</v>
      </c>
      <c r="Z10" s="3" t="n">
        <v>106.651784</v>
      </c>
      <c r="AA10" s="3" t="n">
        <v>103.493001</v>
      </c>
      <c r="AB10" s="3" t="n">
        <v>105.151293</v>
      </c>
      <c r="AC10" s="3" t="n">
        <v>109.661379</v>
      </c>
      <c r="AD10" s="3" t="n">
        <v>117.325715</v>
      </c>
      <c r="AE10" s="3" t="n">
        <v>120.639666</v>
      </c>
      <c r="AF10" s="3" t="n">
        <v>120.541621</v>
      </c>
      <c r="AG10" s="3" t="n">
        <v>121.792456</v>
      </c>
      <c r="AH10" s="3" t="n">
        <v>124.011974</v>
      </c>
      <c r="AI10" s="3" t="n">
        <v>126.509168</v>
      </c>
      <c r="AJ10" s="3" t="n">
        <v>129.058582</v>
      </c>
      <c r="AK10" s="3" t="n">
        <v>131.63969</v>
      </c>
      <c r="AL10" s="3" t="n">
        <v>134.241748</v>
      </c>
      <c r="AM10" s="3" t="n"/>
      <c r="AN10" s="3" t="n"/>
      <c r="AO10" s="3" t="n"/>
      <c r="AP10" s="3" t="n"/>
      <c r="AQ10" s="3" t="n"/>
      <c r="AR10" s="3" t="n"/>
      <c r="AS10" s="3" t="n"/>
      <c r="AT10" s="3" t="n"/>
      <c r="AU10" s="3" t="n"/>
    </row>
    <row r="11">
      <c r="A11" s="3" t="n">
        <v>2031</v>
      </c>
      <c r="B11" s="3" t="inlineStr">
        <is>
          <t>ABW</t>
        </is>
      </c>
      <c r="C11" s="3" t="inlineStr">
        <is>
          <t>IMF.RES:WEO</t>
        </is>
      </c>
      <c r="D11" s="3" t="inlineStr">
        <is>
          <t>ABW.NGDP_R.A</t>
        </is>
      </c>
      <c r="E11" s="3" t="inlineStr">
        <is>
          <t>Aruba, Kingdom of the Netherlands</t>
        </is>
      </c>
      <c r="F11" s="3" t="inlineStr">
        <is>
          <t>Gross domestic product (GDP), Constant prices, Domestic currency</t>
        </is>
      </c>
      <c r="G11" s="3" t="n">
        <v>4.729733</v>
      </c>
      <c r="H11" s="3" t="n">
        <v>4.59366</v>
      </c>
      <c r="I11" s="3" t="n">
        <v>4.550939</v>
      </c>
      <c r="J11" s="3" t="n">
        <v>4.602293</v>
      </c>
      <c r="K11" s="3" t="n">
        <v>4.934451</v>
      </c>
      <c r="L11" s="3" t="n">
        <v>4.908774</v>
      </c>
      <c r="M11" s="3" t="n">
        <v>4.964182</v>
      </c>
      <c r="N11" s="3" t="n">
        <v>5.118223</v>
      </c>
      <c r="O11" s="3" t="n">
        <v>5.210533</v>
      </c>
      <c r="P11" s="3" t="n">
        <v>4.605347</v>
      </c>
      <c r="Q11" s="3" t="n">
        <v>4.453031</v>
      </c>
      <c r="R11" s="3" t="n">
        <v>4.613697</v>
      </c>
      <c r="S11" s="3" t="n">
        <v>4.560405</v>
      </c>
      <c r="T11" s="3" t="n">
        <v>4.882851</v>
      </c>
      <c r="U11" s="3" t="n">
        <v>4.95248</v>
      </c>
      <c r="V11" s="3" t="n">
        <v>5.131339</v>
      </c>
      <c r="W11" s="3" t="n">
        <v>5.19468</v>
      </c>
      <c r="X11" s="3" t="n">
        <v>5.37615</v>
      </c>
      <c r="Y11" s="3" t="n">
        <v>5.54886</v>
      </c>
      <c r="Z11" s="3" t="n">
        <v>5.61684</v>
      </c>
      <c r="AA11" s="3" t="n">
        <v>4.274531</v>
      </c>
      <c r="AB11" s="3" t="n">
        <v>4.904191</v>
      </c>
      <c r="AC11" s="3" t="n">
        <v>5.425821</v>
      </c>
      <c r="AD11" s="3" t="n">
        <v>5.906182</v>
      </c>
      <c r="AE11" s="3" t="n">
        <v>6.357574</v>
      </c>
      <c r="AF11" s="3" t="n">
        <v>6.714089</v>
      </c>
      <c r="AG11" s="3" t="n">
        <v>6.865166</v>
      </c>
      <c r="AH11" s="3" t="n">
        <v>7.004467</v>
      </c>
      <c r="AI11" s="3" t="n">
        <v>7.108133</v>
      </c>
      <c r="AJ11" s="3" t="n">
        <v>7.210103</v>
      </c>
      <c r="AK11" s="3" t="n">
        <v>7.311985</v>
      </c>
      <c r="AL11" s="3" t="n">
        <v>7.409137</v>
      </c>
      <c r="AM11" s="3" t="n"/>
      <c r="AN11" s="3" t="n"/>
      <c r="AO11" s="3" t="n"/>
      <c r="AP11" s="3" t="n"/>
      <c r="AQ11" s="3" t="n"/>
      <c r="AR11" s="3" t="n"/>
      <c r="AS11" s="3" t="n"/>
      <c r="AT11" s="3" t="n"/>
      <c r="AU11" s="3" t="n"/>
    </row>
    <row r="12">
      <c r="A12" s="3" t="n">
        <v>2031</v>
      </c>
      <c r="B12" s="3" t="inlineStr">
        <is>
          <t>ABW</t>
        </is>
      </c>
      <c r="C12" s="3" t="inlineStr">
        <is>
          <t>IMF.RES:WEO</t>
        </is>
      </c>
      <c r="D12" s="3" t="inlineStr">
        <is>
          <t>ABW.NGDP_RPCH.A</t>
        </is>
      </c>
      <c r="E12" s="3" t="inlineStr">
        <is>
          <t>Aruba, Kingdom of the Netherlands</t>
        </is>
      </c>
      <c r="F12" s="3" t="inlineStr">
        <is>
          <t>Gross domestic product (GDP), Constant prices, Percent change</t>
        </is>
      </c>
      <c r="G12" s="3" t="n">
        <v>8.607699</v>
      </c>
      <c r="H12" s="3" t="n">
        <v>-2.876969</v>
      </c>
      <c r="I12" s="3" t="n">
        <v>-0.929996</v>
      </c>
      <c r="J12" s="3" t="n">
        <v>1.128426</v>
      </c>
      <c r="K12" s="3" t="n">
        <v>7.217223</v>
      </c>
      <c r="L12" s="3" t="n">
        <v>-0.520357</v>
      </c>
      <c r="M12" s="3" t="n">
        <v>1.128756</v>
      </c>
      <c r="N12" s="3" t="n">
        <v>3.103055</v>
      </c>
      <c r="O12" s="3" t="n">
        <v>1.803559</v>
      </c>
      <c r="P12" s="3" t="n">
        <v>-11.614677</v>
      </c>
      <c r="Q12" s="3" t="n">
        <v>-3.307362</v>
      </c>
      <c r="R12" s="3" t="n">
        <v>3.608016</v>
      </c>
      <c r="S12" s="3" t="n">
        <v>-1.155094</v>
      </c>
      <c r="T12" s="3" t="n">
        <v>7.070555</v>
      </c>
      <c r="U12" s="3" t="n">
        <v>1.425995</v>
      </c>
      <c r="V12" s="3" t="n">
        <v>3.611515</v>
      </c>
      <c r="W12" s="3" t="n">
        <v>1.234386</v>
      </c>
      <c r="X12" s="3" t="n">
        <v>3.493381</v>
      </c>
      <c r="Y12" s="3" t="n">
        <v>3.212524</v>
      </c>
      <c r="Z12" s="3" t="n">
        <v>1.225115</v>
      </c>
      <c r="AA12" s="3" t="n">
        <v>-23.897945</v>
      </c>
      <c r="AB12" s="3" t="n">
        <v>14.73051</v>
      </c>
      <c r="AC12" s="3" t="n">
        <v>10.636416</v>
      </c>
      <c r="AD12" s="3" t="n">
        <v>8.853241000000001</v>
      </c>
      <c r="AE12" s="3" t="n">
        <v>7.642711</v>
      </c>
      <c r="AF12" s="3" t="n">
        <v>5.607722</v>
      </c>
      <c r="AG12" s="3" t="n">
        <v>2.250139</v>
      </c>
      <c r="AH12" s="3" t="n">
        <v>2.029102</v>
      </c>
      <c r="AI12" s="3" t="n">
        <v>1.479994</v>
      </c>
      <c r="AJ12" s="3" t="n">
        <v>1.434559</v>
      </c>
      <c r="AK12" s="3" t="n">
        <v>1.41305</v>
      </c>
      <c r="AL12" s="3" t="n">
        <v>1.328658</v>
      </c>
      <c r="AM12" s="3" t="n"/>
      <c r="AN12" s="3" t="n"/>
      <c r="AO12" s="3" t="n"/>
      <c r="AP12" s="3" t="n"/>
      <c r="AQ12" s="3" t="n"/>
      <c r="AR12" s="3" t="n"/>
      <c r="AS12" s="3" t="n"/>
      <c r="AT12" s="3" t="n"/>
      <c r="AU12" s="3" t="n"/>
    </row>
    <row r="13">
      <c r="A13" s="3" t="n">
        <v>2031</v>
      </c>
      <c r="B13" s="3" t="inlineStr">
        <is>
          <t>ABW</t>
        </is>
      </c>
      <c r="C13" s="3" t="inlineStr">
        <is>
          <t>IMF.RES:WEO</t>
        </is>
      </c>
      <c r="D13" s="3" t="inlineStr">
        <is>
          <t>ABW.NGDPD.A</t>
        </is>
      </c>
      <c r="E13" s="3" t="inlineStr">
        <is>
          <t>Aruba, Kingdom of the Netherlands</t>
        </is>
      </c>
      <c r="F13" s="3" t="inlineStr">
        <is>
          <t>Gross domestic product (GDP), Current prices, US dollar</t>
        </is>
      </c>
      <c r="G13" s="3" t="n">
        <v>1.873453</v>
      </c>
      <c r="H13" s="3" t="n">
        <v>1.896457</v>
      </c>
      <c r="I13" s="3" t="n">
        <v>1.961844</v>
      </c>
      <c r="J13" s="3" t="n">
        <v>2.044112</v>
      </c>
      <c r="K13" s="3" t="n">
        <v>2.254831</v>
      </c>
      <c r="L13" s="3" t="n">
        <v>2.360017</v>
      </c>
      <c r="M13" s="3" t="n">
        <v>2.469783</v>
      </c>
      <c r="N13" s="3" t="n">
        <v>2.677641</v>
      </c>
      <c r="O13" s="3" t="n">
        <v>2.843025</v>
      </c>
      <c r="P13" s="3" t="n">
        <v>2.553793</v>
      </c>
      <c r="Q13" s="3" t="n">
        <v>2.453597</v>
      </c>
      <c r="R13" s="3" t="n">
        <v>2.637859</v>
      </c>
      <c r="S13" s="3" t="n">
        <v>2.615208</v>
      </c>
      <c r="T13" s="3" t="n">
        <v>2.72785</v>
      </c>
      <c r="U13" s="3" t="n">
        <v>2.790849</v>
      </c>
      <c r="V13" s="3" t="n">
        <v>2.962905</v>
      </c>
      <c r="W13" s="3" t="n">
        <v>2.983637</v>
      </c>
      <c r="X13" s="3" t="n">
        <v>3.09243</v>
      </c>
      <c r="Y13" s="3" t="n">
        <v>3.276187</v>
      </c>
      <c r="Z13" s="3" t="n">
        <v>3.346626</v>
      </c>
      <c r="AA13" s="3" t="n">
        <v>2.471419</v>
      </c>
      <c r="AB13" s="3" t="n">
        <v>2.880905</v>
      </c>
      <c r="AC13" s="3" t="n">
        <v>3.324039</v>
      </c>
      <c r="AD13" s="3" t="n">
        <v>3.871212</v>
      </c>
      <c r="AE13" s="3" t="n">
        <v>4.28478</v>
      </c>
      <c r="AF13" s="3" t="n">
        <v>4.521381</v>
      </c>
      <c r="AG13" s="3" t="n">
        <v>4.671092</v>
      </c>
      <c r="AH13" s="3" t="n">
        <v>4.852725</v>
      </c>
      <c r="AI13" s="3" t="n">
        <v>5.023709</v>
      </c>
      <c r="AJ13" s="3" t="n">
        <v>5.198467</v>
      </c>
      <c r="AK13" s="3" t="n">
        <v>5.37736</v>
      </c>
      <c r="AL13" s="3" t="n">
        <v>5.556511</v>
      </c>
      <c r="AM13" s="3" t="n"/>
      <c r="AN13" s="3" t="n"/>
      <c r="AO13" s="3" t="n"/>
      <c r="AP13" s="3" t="n"/>
      <c r="AQ13" s="3" t="n"/>
      <c r="AR13" s="3" t="n"/>
      <c r="AS13" s="3" t="n"/>
      <c r="AT13" s="3" t="n"/>
      <c r="AU13" s="3" t="n"/>
    </row>
    <row r="14">
      <c r="A14" s="3" t="n">
        <v>2031</v>
      </c>
      <c r="B14" s="3" t="inlineStr">
        <is>
          <t>ABW</t>
        </is>
      </c>
      <c r="C14" s="3" t="inlineStr">
        <is>
          <t>IMF.RES:WEO</t>
        </is>
      </c>
      <c r="D14" s="3" t="inlineStr">
        <is>
          <t>ABW.NGDPPC.A</t>
        </is>
      </c>
      <c r="E14" s="3" t="inlineStr">
        <is>
          <t>Aruba, Kingdom of the Netherlands</t>
        </is>
      </c>
      <c r="F14" s="3" t="inlineStr">
        <is>
          <t>Gross domestic product (GDP), Current prices, Per capita, Domestic currency</t>
        </is>
      </c>
      <c r="G14" s="3" t="n">
        <v>32941.523168</v>
      </c>
      <c r="H14" s="3" t="n">
        <v>33321.469237</v>
      </c>
      <c r="I14" s="3" t="n">
        <v>33992.198163</v>
      </c>
      <c r="J14" s="3" t="n">
        <v>34875.803039</v>
      </c>
      <c r="K14" s="3" t="n">
        <v>37919.813226</v>
      </c>
      <c r="L14" s="3" t="n">
        <v>39414.359022</v>
      </c>
      <c r="M14" s="3" t="n">
        <v>40693.965279</v>
      </c>
      <c r="N14" s="3" t="n">
        <v>44044.605361</v>
      </c>
      <c r="O14" s="3" t="n">
        <v>46838.16992</v>
      </c>
      <c r="P14" s="3" t="n">
        <v>41875.435125</v>
      </c>
      <c r="Q14" s="3" t="n">
        <v>40203.758628</v>
      </c>
      <c r="R14" s="3" t="n">
        <v>43747.618871</v>
      </c>
      <c r="S14" s="3" t="n">
        <v>43558.821614</v>
      </c>
      <c r="T14" s="3" t="n">
        <v>45570.66053</v>
      </c>
      <c r="U14" s="3" t="n">
        <v>46442.371241</v>
      </c>
      <c r="V14" s="3" t="n">
        <v>48916.722564</v>
      </c>
      <c r="W14" s="3" t="n">
        <v>49170.562995</v>
      </c>
      <c r="X14" s="3" t="n">
        <v>50880.56586</v>
      </c>
      <c r="Y14" s="3" t="n">
        <v>53848.040013</v>
      </c>
      <c r="Z14" s="3" t="n">
        <v>54950.282527</v>
      </c>
      <c r="AA14" s="3" t="n">
        <v>40549.230967</v>
      </c>
      <c r="AB14" s="3" t="n">
        <v>47231.411771</v>
      </c>
      <c r="AC14" s="3" t="n">
        <v>54492.444363</v>
      </c>
      <c r="AD14" s="3" t="n">
        <v>63465.985022</v>
      </c>
      <c r="AE14" s="3" t="n">
        <v>70279.62848299999</v>
      </c>
      <c r="AF14" s="3" t="n">
        <v>74216.840194</v>
      </c>
      <c r="AG14" s="3" t="n">
        <v>76723.533711</v>
      </c>
      <c r="AH14" s="3" t="n">
        <v>79735.43030000001</v>
      </c>
      <c r="AI14" s="3" t="n">
        <v>82594.162669</v>
      </c>
      <c r="AJ14" s="3" t="n">
        <v>85558.498446</v>
      </c>
      <c r="AK14" s="3" t="n">
        <v>88563.862933</v>
      </c>
      <c r="AL14" s="3" t="n">
        <v>91581.84328</v>
      </c>
      <c r="AM14" s="3" t="n"/>
      <c r="AN14" s="3" t="n"/>
      <c r="AO14" s="3" t="n"/>
      <c r="AP14" s="3" t="n"/>
      <c r="AQ14" s="3" t="n"/>
      <c r="AR14" s="3" t="n"/>
      <c r="AS14" s="3" t="n"/>
      <c r="AT14" s="3" t="n"/>
      <c r="AU14" s="3" t="n"/>
    </row>
    <row r="15">
      <c r="A15" s="3" t="n">
        <v>2031</v>
      </c>
      <c r="B15" s="3" t="inlineStr">
        <is>
          <t>ABW</t>
        </is>
      </c>
      <c r="C15" s="3" t="inlineStr">
        <is>
          <t>IMF.RES:WEO</t>
        </is>
      </c>
      <c r="D15" s="3" t="inlineStr">
        <is>
          <t>ABW.NGDPRPC.A</t>
        </is>
      </c>
      <c r="E15" s="3" t="inlineStr">
        <is>
          <t>Aruba, Kingdom of the Netherlands</t>
        </is>
      </c>
      <c r="F15" s="3" t="inlineStr">
        <is>
          <t>Gross domestic product (GDP), Constant prices, Per capita, Domestic currency</t>
        </is>
      </c>
      <c r="G15" s="3" t="n">
        <v>46460.571365</v>
      </c>
      <c r="H15" s="3" t="n">
        <v>45090.695269</v>
      </c>
      <c r="I15" s="3" t="n">
        <v>44051.716792</v>
      </c>
      <c r="J15" s="3" t="n">
        <v>43867.28927</v>
      </c>
      <c r="K15" s="3" t="n">
        <v>46359.422156</v>
      </c>
      <c r="L15" s="3" t="n">
        <v>45799.344808</v>
      </c>
      <c r="M15" s="3" t="n">
        <v>45694.709456</v>
      </c>
      <c r="N15" s="3" t="n">
        <v>47033.414084</v>
      </c>
      <c r="O15" s="3" t="n">
        <v>47956.60731</v>
      </c>
      <c r="P15" s="3" t="n">
        <v>42187.412519</v>
      </c>
      <c r="Q15" s="3" t="n">
        <v>40762.995995</v>
      </c>
      <c r="R15" s="3" t="n">
        <v>42746.333827</v>
      </c>
      <c r="S15" s="3" t="n">
        <v>42434.607014</v>
      </c>
      <c r="T15" s="3" t="n">
        <v>45570.66053</v>
      </c>
      <c r="U15" s="3" t="n">
        <v>46041.313224</v>
      </c>
      <c r="V15" s="3" t="n">
        <v>47327.91099</v>
      </c>
      <c r="W15" s="3" t="n">
        <v>47826.102618</v>
      </c>
      <c r="X15" s="3" t="n">
        <v>49416.322148</v>
      </c>
      <c r="Y15" s="3" t="n">
        <v>50950.911975</v>
      </c>
      <c r="Z15" s="3" t="n">
        <v>51523.078424</v>
      </c>
      <c r="AA15" s="3" t="n">
        <v>39180.65028</v>
      </c>
      <c r="AB15" s="3" t="n">
        <v>44917.575778</v>
      </c>
      <c r="AC15" s="3" t="n">
        <v>49691.555033</v>
      </c>
      <c r="AD15" s="3" t="n">
        <v>54093.840578</v>
      </c>
      <c r="AE15" s="3" t="n">
        <v>58255.821354</v>
      </c>
      <c r="AF15" s="3" t="n">
        <v>61569.472483</v>
      </c>
      <c r="AG15" s="3" t="n">
        <v>62995.308597</v>
      </c>
      <c r="AH15" s="3" t="n">
        <v>64296.557532</v>
      </c>
      <c r="AI15" s="3" t="n">
        <v>65287.096674</v>
      </c>
      <c r="AJ15" s="3" t="n">
        <v>66294.311638</v>
      </c>
      <c r="AK15" s="3" t="n">
        <v>67277.477581</v>
      </c>
      <c r="AL15" s="3" t="n">
        <v>68221.581444</v>
      </c>
      <c r="AM15" s="3" t="n"/>
      <c r="AN15" s="3" t="n"/>
      <c r="AO15" s="3" t="n"/>
      <c r="AP15" s="3" t="n"/>
      <c r="AQ15" s="3" t="n"/>
      <c r="AR15" s="3" t="n"/>
      <c r="AS15" s="3" t="n"/>
      <c r="AT15" s="3" t="n"/>
      <c r="AU15" s="3" t="n"/>
    </row>
    <row r="16">
      <c r="A16" s="3" t="n">
        <v>2031</v>
      </c>
      <c r="B16" s="3" t="inlineStr">
        <is>
          <t>ABW</t>
        </is>
      </c>
      <c r="C16" s="3" t="inlineStr">
        <is>
          <t>IMF.RES:WEO</t>
        </is>
      </c>
      <c r="D16" s="3" t="inlineStr">
        <is>
          <t>ABW.PCPI.A</t>
        </is>
      </c>
      <c r="E16" s="3" t="inlineStr">
        <is>
          <t>Aruba, Kingdom of the Netherlands</t>
        </is>
      </c>
      <c r="F16" s="3" t="inlineStr">
        <is>
          <t>All Items, Consumer price index (CPI), Period average</t>
        </is>
      </c>
      <c r="G16" s="3" t="n">
        <v>65.294167</v>
      </c>
      <c r="H16" s="3" t="n">
        <v>67.17749999999999</v>
      </c>
      <c r="I16" s="3" t="n">
        <v>69.405</v>
      </c>
      <c r="J16" s="3" t="n">
        <v>71.941667</v>
      </c>
      <c r="K16" s="3" t="n">
        <v>73.761667</v>
      </c>
      <c r="L16" s="3" t="n">
        <v>76.2675</v>
      </c>
      <c r="M16" s="3" t="n">
        <v>79.020833</v>
      </c>
      <c r="N16" s="3" t="n">
        <v>83.279167</v>
      </c>
      <c r="O16" s="3" t="n">
        <v>90.74083299999999</v>
      </c>
      <c r="P16" s="3" t="n">
        <v>88.80166699999999</v>
      </c>
      <c r="Q16" s="3" t="n">
        <v>90.64666699999999</v>
      </c>
      <c r="R16" s="3" t="n">
        <v>94.6125</v>
      </c>
      <c r="S16" s="3" t="n">
        <v>95.1525</v>
      </c>
      <c r="T16" s="3" t="n">
        <v>92.895833</v>
      </c>
      <c r="U16" s="3" t="n">
        <v>93.28833299999999</v>
      </c>
      <c r="V16" s="3" t="n">
        <v>93.729167</v>
      </c>
      <c r="W16" s="3" t="n">
        <v>92.858333</v>
      </c>
      <c r="X16" s="3" t="n">
        <v>91.903333</v>
      </c>
      <c r="Y16" s="3" t="n">
        <v>95.235</v>
      </c>
      <c r="Z16" s="3" t="n">
        <v>98.985</v>
      </c>
      <c r="AA16" s="3" t="n">
        <v>97.686667</v>
      </c>
      <c r="AB16" s="3" t="n">
        <v>98.41333299999999</v>
      </c>
      <c r="AC16" s="3" t="n">
        <v>103.8475</v>
      </c>
      <c r="AD16" s="3" t="n">
        <v>107.34</v>
      </c>
      <c r="AE16" s="3" t="n">
        <v>109.177583</v>
      </c>
      <c r="AF16" s="3" t="n">
        <v>109.2655</v>
      </c>
      <c r="AG16" s="3" t="n">
        <v>110.568846</v>
      </c>
      <c r="AH16" s="3" t="n">
        <v>112.780223</v>
      </c>
      <c r="AI16" s="3" t="n">
        <v>115.035827</v>
      </c>
      <c r="AJ16" s="3" t="n">
        <v>117.336544</v>
      </c>
      <c r="AK16" s="3" t="n">
        <v>119.683275</v>
      </c>
      <c r="AL16" s="3" t="n">
        <v>122.07694</v>
      </c>
      <c r="AM16" s="3" t="n"/>
      <c r="AN16" s="3" t="n"/>
      <c r="AO16" s="3" t="n"/>
      <c r="AP16" s="3" t="n"/>
      <c r="AQ16" s="3" t="n"/>
      <c r="AR16" s="3" t="n"/>
      <c r="AS16" s="3" t="n"/>
      <c r="AT16" s="3" t="n"/>
      <c r="AU16" s="3" t="n"/>
    </row>
    <row r="17">
      <c r="A17" s="3" t="n">
        <v>2031</v>
      </c>
      <c r="B17" s="3" t="inlineStr">
        <is>
          <t>ABW</t>
        </is>
      </c>
      <c r="C17" s="3" t="inlineStr">
        <is>
          <t>IMF.RES:WEO</t>
        </is>
      </c>
      <c r="D17" s="3" t="inlineStr">
        <is>
          <t>ABW.PCPIPCH.A</t>
        </is>
      </c>
      <c r="E17" s="3" t="inlineStr">
        <is>
          <t>Aruba, Kingdom of the Netherlands</t>
        </is>
      </c>
      <c r="F17" s="3" t="inlineStr">
        <is>
          <t>All Items, Consumer price index (CPI), Period average, percent change</t>
        </is>
      </c>
      <c r="G17" s="3" t="n">
        <v>4.073799</v>
      </c>
      <c r="H17" s="3" t="n">
        <v>2.884382</v>
      </c>
      <c r="I17" s="3" t="n">
        <v>3.315842</v>
      </c>
      <c r="J17" s="3" t="n">
        <v>3.654876</v>
      </c>
      <c r="K17" s="3" t="n">
        <v>2.529827</v>
      </c>
      <c r="L17" s="3" t="n">
        <v>3.397203</v>
      </c>
      <c r="M17" s="3" t="n">
        <v>3.6101</v>
      </c>
      <c r="N17" s="3" t="n">
        <v>5.388874</v>
      </c>
      <c r="O17" s="3" t="n">
        <v>8.959823999999999</v>
      </c>
      <c r="P17" s="3" t="n">
        <v>-2.137039</v>
      </c>
      <c r="Q17" s="3" t="n">
        <v>2.077664</v>
      </c>
      <c r="R17" s="3" t="n">
        <v>4.375046</v>
      </c>
      <c r="S17" s="3" t="n">
        <v>0.570749</v>
      </c>
      <c r="T17" s="3" t="n">
        <v>-2.371632</v>
      </c>
      <c r="U17" s="3" t="n">
        <v>0.422516</v>
      </c>
      <c r="V17" s="3" t="n">
        <v>0.472549</v>
      </c>
      <c r="W17" s="3" t="n">
        <v>-0.929095</v>
      </c>
      <c r="X17" s="3" t="n">
        <v>-1.028448</v>
      </c>
      <c r="Y17" s="3" t="n">
        <v>3.625186</v>
      </c>
      <c r="Z17" s="3" t="n">
        <v>3.937628</v>
      </c>
      <c r="AA17" s="3" t="n">
        <v>-1.311647</v>
      </c>
      <c r="AB17" s="3" t="n">
        <v>0.743875</v>
      </c>
      <c r="AC17" s="3" t="n">
        <v>5.521779</v>
      </c>
      <c r="AD17" s="3" t="n">
        <v>3.363105</v>
      </c>
      <c r="AE17" s="3" t="n">
        <v>1.711928</v>
      </c>
      <c r="AF17" s="3" t="n">
        <v>0.080526</v>
      </c>
      <c r="AG17" s="3" t="n">
        <v>1.192825</v>
      </c>
      <c r="AH17" s="3" t="n">
        <v>2</v>
      </c>
      <c r="AI17" s="3" t="n">
        <v>2</v>
      </c>
      <c r="AJ17" s="3" t="n">
        <v>2</v>
      </c>
      <c r="AK17" s="3" t="n">
        <v>2</v>
      </c>
      <c r="AL17" s="3" t="n">
        <v>2</v>
      </c>
      <c r="AM17" s="3" t="n"/>
      <c r="AN17" s="3" t="n"/>
      <c r="AO17" s="3" t="n"/>
      <c r="AP17" s="3" t="n"/>
      <c r="AQ17" s="3" t="n"/>
      <c r="AR17" s="3" t="n"/>
      <c r="AS17" s="3" t="n"/>
      <c r="AT17" s="3" t="n"/>
      <c r="AU17" s="3" t="n"/>
    </row>
    <row r="18">
      <c r="A18" s="3" t="n">
        <v>2031</v>
      </c>
      <c r="B18" s="3" t="inlineStr">
        <is>
          <t>ABW</t>
        </is>
      </c>
      <c r="C18" s="3" t="inlineStr">
        <is>
          <t>IMF.RES:WEO</t>
        </is>
      </c>
      <c r="D18" s="3" t="inlineStr">
        <is>
          <t>ABW.PPPPC.A</t>
        </is>
      </c>
      <c r="E18" s="3" t="inlineStr">
        <is>
          <t>Aruba, Kingdom of the Netherlands</t>
        </is>
      </c>
      <c r="F18" s="3" t="inlineStr">
        <is>
          <t>Gross domestic product (GDP), Per capita, purchasing power parity (PPP) international dollar, ICP benchmarks 2017-2021</t>
        </is>
      </c>
      <c r="G18" s="3" t="n">
        <v>25643.06717</v>
      </c>
      <c r="H18" s="3" t="n">
        <v>25447.349494</v>
      </c>
      <c r="I18" s="3" t="n">
        <v>25247.341129</v>
      </c>
      <c r="J18" s="3" t="n">
        <v>25637.990471</v>
      </c>
      <c r="K18" s="3" t="n">
        <v>27823.042525</v>
      </c>
      <c r="L18" s="3" t="n">
        <v>28348.84701</v>
      </c>
      <c r="M18" s="3" t="n">
        <v>29156.327593</v>
      </c>
      <c r="N18" s="3" t="n">
        <v>30823.577875</v>
      </c>
      <c r="O18" s="3" t="n">
        <v>32034.041103</v>
      </c>
      <c r="P18" s="3" t="n">
        <v>28354.135935</v>
      </c>
      <c r="Q18" s="3" t="n">
        <v>27729.759979</v>
      </c>
      <c r="R18" s="3" t="n">
        <v>29678.932346</v>
      </c>
      <c r="S18" s="3" t="n">
        <v>30011.071046</v>
      </c>
      <c r="T18" s="3" t="n">
        <v>32777.524337</v>
      </c>
      <c r="U18" s="3" t="n">
        <v>33692.836982</v>
      </c>
      <c r="V18" s="3" t="n">
        <v>34955.78908</v>
      </c>
      <c r="W18" s="3" t="n">
        <v>35659.401609</v>
      </c>
      <c r="X18" s="3" t="n">
        <v>37504.93259</v>
      </c>
      <c r="Y18" s="3" t="n">
        <v>39287.772125</v>
      </c>
      <c r="Z18" s="3" t="n">
        <v>38610.052296</v>
      </c>
      <c r="AA18" s="3" t="n">
        <v>28719.444165</v>
      </c>
      <c r="AB18" s="3" t="n">
        <v>34628.312945</v>
      </c>
      <c r="AC18" s="3" t="n">
        <v>41033.392033</v>
      </c>
      <c r="AD18" s="3" t="n">
        <v>46321.385906</v>
      </c>
      <c r="AE18" s="3" t="n">
        <v>51123.780185</v>
      </c>
      <c r="AF18" s="3" t="n">
        <v>55564.508168</v>
      </c>
      <c r="AG18" s="3" t="n">
        <v>58479.984688</v>
      </c>
      <c r="AH18" s="3" t="n">
        <v>60998.653024</v>
      </c>
      <c r="AI18" s="3" t="n">
        <v>62955.036133</v>
      </c>
      <c r="AJ18" s="3" t="n">
        <v>65062.951825</v>
      </c>
      <c r="AK18" s="3" t="n">
        <v>67241.135886</v>
      </c>
      <c r="AL18" s="3" t="n">
        <v>69415.66991500001</v>
      </c>
      <c r="AM18" s="3" t="n"/>
      <c r="AN18" s="3" t="n"/>
      <c r="AO18" s="3" t="n"/>
      <c r="AP18" s="3" t="n"/>
      <c r="AQ18" s="3" t="n"/>
      <c r="AR18" s="3" t="n"/>
      <c r="AS18" s="3" t="n"/>
      <c r="AT18" s="3" t="n"/>
      <c r="AU18" s="3" t="n"/>
    </row>
    <row r="19">
      <c r="A19" s="3" t="n">
        <v>2025</v>
      </c>
      <c r="B19" s="3" t="inlineStr">
        <is>
          <t>ABW</t>
        </is>
      </c>
      <c r="C19" s="3" t="inlineStr">
        <is>
          <t>IMF.STA:ER</t>
        </is>
      </c>
      <c r="D19" s="3" t="inlineStr">
        <is>
          <t>ABW.XDC_USD.PA_RT.A</t>
        </is>
      </c>
      <c r="E19" s="3" t="inlineStr">
        <is>
          <t>Aruba, Kingdom of the Netherlands</t>
        </is>
      </c>
      <c r="F19" s="3" t="inlineStr">
        <is>
          <t>Domestic currency per US Dollar</t>
        </is>
      </c>
      <c r="G19" s="3" t="n">
        <v>1.79</v>
      </c>
      <c r="H19" s="3" t="n">
        <v>1.79</v>
      </c>
      <c r="I19" s="3" t="n">
        <v>1.79</v>
      </c>
      <c r="J19" s="3" t="n">
        <v>1.79</v>
      </c>
      <c r="K19" s="3" t="n">
        <v>1.79</v>
      </c>
      <c r="L19" s="3" t="n">
        <v>1.79</v>
      </c>
      <c r="M19" s="3" t="n">
        <v>1.79</v>
      </c>
      <c r="N19" s="3" t="n">
        <v>1.79</v>
      </c>
      <c r="O19" s="3" t="n">
        <v>1.79</v>
      </c>
      <c r="P19" s="3" t="n">
        <v>1.79</v>
      </c>
      <c r="Q19" s="3" t="n">
        <v>1.79</v>
      </c>
      <c r="R19" s="3" t="n">
        <v>1.79</v>
      </c>
      <c r="S19" s="3" t="n">
        <v>1.79</v>
      </c>
      <c r="T19" s="3" t="n">
        <v>1.79</v>
      </c>
      <c r="U19" s="3" t="n">
        <v>1.79</v>
      </c>
      <c r="V19" s="3" t="n">
        <v>1.79</v>
      </c>
      <c r="W19" s="3" t="n">
        <v>1.79</v>
      </c>
      <c r="X19" s="3" t="n">
        <v>1.79</v>
      </c>
      <c r="Y19" s="3" t="n">
        <v>1.79</v>
      </c>
      <c r="Z19" s="3" t="n">
        <v>1.79</v>
      </c>
      <c r="AA19" s="3" t="n">
        <v>1.79</v>
      </c>
      <c r="AB19" s="3" t="n">
        <v>1.79</v>
      </c>
      <c r="AC19" s="3" t="n">
        <v>1.79</v>
      </c>
      <c r="AD19" s="3" t="n">
        <v>1.79</v>
      </c>
      <c r="AE19" s="3" t="n">
        <v>1.79</v>
      </c>
      <c r="AF19" s="3" t="n">
        <v>1.79</v>
      </c>
      <c r="AG19" s="3" t="n"/>
      <c r="AH19" s="3" t="n"/>
      <c r="AI19" s="3" t="n"/>
      <c r="AJ19" s="3" t="n"/>
      <c r="AK19" s="3" t="n"/>
      <c r="AL19" s="3" t="n"/>
      <c r="AM19" s="3" t="n"/>
      <c r="AN19" s="3" t="n"/>
      <c r="AO19" s="3" t="n"/>
      <c r="AP19" s="3" t="n"/>
      <c r="AQ19" s="3" t="n"/>
      <c r="AR19" s="3" t="n"/>
      <c r="AS19" s="3" t="n"/>
      <c r="AT19" s="3" t="n"/>
      <c r="AU19" s="3" t="n"/>
    </row>
    <row r="20">
      <c r="A20" s="3" t="n">
        <v>2025</v>
      </c>
      <c r="B20" s="3" t="inlineStr">
        <is>
          <t>AFG</t>
        </is>
      </c>
      <c r="C20" s="3" t="inlineStr">
        <is>
          <t>IMF.RES:WEO</t>
        </is>
      </c>
      <c r="D20" s="3" t="inlineStr">
        <is>
          <t>AFG.BCA.A</t>
        </is>
      </c>
      <c r="E20" s="3" t="inlineStr">
        <is>
          <t>Afghanistan, Islamic Republic of</t>
        </is>
      </c>
      <c r="F20" s="3" t="inlineStr">
        <is>
          <t>Current account balance (credit less debit), US dollar</t>
        </is>
      </c>
      <c r="G20" s="3" t="n"/>
      <c r="H20" s="3" t="n"/>
      <c r="I20" s="3" t="n">
        <v>1.480752</v>
      </c>
      <c r="J20" s="3" t="n">
        <v>1.34835</v>
      </c>
      <c r="K20" s="3" t="n">
        <v>1.91496</v>
      </c>
      <c r="L20" s="3" t="n">
        <v>1.863975</v>
      </c>
      <c r="M20" s="3" t="n">
        <v>1.443529</v>
      </c>
      <c r="N20" s="3" t="n">
        <v>5.423509</v>
      </c>
      <c r="O20" s="3" t="n">
        <v>3.477125</v>
      </c>
      <c r="P20" s="3" t="n">
        <v>5.017939</v>
      </c>
      <c r="Q20" s="3" t="n">
        <v>4.510206</v>
      </c>
      <c r="R20" s="3" t="n">
        <v>4.754072</v>
      </c>
      <c r="S20" s="3" t="n">
        <v>2.204745</v>
      </c>
      <c r="T20" s="3" t="n">
        <v>0.291336</v>
      </c>
      <c r="U20" s="3" t="n">
        <v>1.350055</v>
      </c>
      <c r="V20" s="3" t="n">
        <v>0.743824</v>
      </c>
      <c r="W20" s="3" t="n">
        <v>1.627064</v>
      </c>
      <c r="X20" s="3" t="n">
        <v>1.430659</v>
      </c>
      <c r="Y20" s="3" t="n">
        <v>2.226571</v>
      </c>
      <c r="Z20" s="3" t="n">
        <v>2.209413</v>
      </c>
      <c r="AA20" s="3" t="n">
        <v>2.813775</v>
      </c>
      <c r="AB20" s="3" t="n">
        <v>-0.007990000000000001</v>
      </c>
      <c r="AC20" s="3" t="n">
        <v>-2.687237</v>
      </c>
      <c r="AD20" s="3" t="n">
        <v>-3.502338</v>
      </c>
      <c r="AE20" s="3" t="n">
        <v>-7.057568</v>
      </c>
      <c r="AF20" s="3" t="n">
        <v>-7.90223</v>
      </c>
      <c r="AG20" s="3" t="n"/>
      <c r="AH20" s="3" t="n"/>
      <c r="AI20" s="3" t="n"/>
      <c r="AJ20" s="3" t="n"/>
      <c r="AK20" s="3" t="n"/>
      <c r="AL20" s="3" t="n"/>
      <c r="AM20" s="3" t="n"/>
      <c r="AN20" s="3" t="n"/>
      <c r="AO20" s="3" t="n"/>
      <c r="AP20" s="3" t="n"/>
      <c r="AQ20" s="3" t="n"/>
      <c r="AR20" s="3" t="n"/>
      <c r="AS20" s="3" t="n"/>
      <c r="AT20" s="3" t="n"/>
      <c r="AU20" s="3" t="n"/>
    </row>
    <row r="21">
      <c r="A21" s="3" t="n">
        <v>2025</v>
      </c>
      <c r="B21" s="3" t="inlineStr">
        <is>
          <t>AFG</t>
        </is>
      </c>
      <c r="C21" s="3" t="inlineStr">
        <is>
          <t>IMF.RES:WEO</t>
        </is>
      </c>
      <c r="D21" s="3" t="inlineStr">
        <is>
          <t>AFG.BCA_NGDPD.A</t>
        </is>
      </c>
      <c r="E21" s="3" t="inlineStr">
        <is>
          <t>Afghanistan, Islamic Republic of</t>
        </is>
      </c>
      <c r="F21" s="3" t="inlineStr">
        <is>
          <t>Current account balance (credit less debit), Percent of GDP</t>
        </is>
      </c>
      <c r="G21" s="3" t="n"/>
      <c r="H21" s="3" t="n"/>
      <c r="I21" s="3" t="n">
        <v>33.908459</v>
      </c>
      <c r="J21" s="3" t="n">
        <v>29.615713</v>
      </c>
      <c r="K21" s="3" t="n">
        <v>37.216057</v>
      </c>
      <c r="L21" s="3" t="n">
        <v>30.226457</v>
      </c>
      <c r="M21" s="3" t="n">
        <v>20.844296</v>
      </c>
      <c r="N21" s="3" t="n">
        <v>63.390402</v>
      </c>
      <c r="O21" s="3" t="n">
        <v>33.768861</v>
      </c>
      <c r="P21" s="3" t="n">
        <v>41.586925</v>
      </c>
      <c r="Q21" s="3" t="n">
        <v>29.429675</v>
      </c>
      <c r="R21" s="3" t="n">
        <v>26.573908</v>
      </c>
      <c r="S21" s="3" t="n">
        <v>10.864359</v>
      </c>
      <c r="T21" s="3" t="n">
        <v>1.444421</v>
      </c>
      <c r="U21" s="3" t="n">
        <v>6.548682</v>
      </c>
      <c r="V21" s="3" t="n">
        <v>3.708594</v>
      </c>
      <c r="W21" s="3" t="n">
        <v>9.029173999999999</v>
      </c>
      <c r="X21" s="3" t="n">
        <v>7.576465</v>
      </c>
      <c r="Y21" s="3" t="n">
        <v>12.143162</v>
      </c>
      <c r="Z21" s="3" t="n">
        <v>11.705031</v>
      </c>
      <c r="AA21" s="3" t="n">
        <v>13.974169</v>
      </c>
      <c r="AB21" s="3" t="n">
        <v>-0.055962</v>
      </c>
      <c r="AC21" s="3" t="n">
        <v>-18.531686</v>
      </c>
      <c r="AD21" s="3" t="n">
        <v>-20.305749</v>
      </c>
      <c r="AE21" s="3" t="n">
        <v>-39.612029</v>
      </c>
      <c r="AF21" s="3" t="n">
        <v>-40.189982</v>
      </c>
      <c r="AG21" s="3" t="n"/>
      <c r="AH21" s="3" t="n"/>
      <c r="AI21" s="3" t="n"/>
      <c r="AJ21" s="3" t="n"/>
      <c r="AK21" s="3" t="n"/>
      <c r="AL21" s="3" t="n"/>
      <c r="AM21" s="3" t="n"/>
      <c r="AN21" s="3" t="n"/>
      <c r="AO21" s="3" t="n"/>
      <c r="AP21" s="3" t="n"/>
      <c r="AQ21" s="3" t="n"/>
      <c r="AR21" s="3" t="n"/>
      <c r="AS21" s="3" t="n"/>
      <c r="AT21" s="3" t="n"/>
      <c r="AU21" s="3" t="n"/>
    </row>
    <row r="22">
      <c r="A22" s="3" t="n">
        <v>2025</v>
      </c>
      <c r="B22" s="3" t="inlineStr">
        <is>
          <t>AFG</t>
        </is>
      </c>
      <c r="C22" s="3" t="inlineStr">
        <is>
          <t>IMF.RES:WEO</t>
        </is>
      </c>
      <c r="D22" s="3" t="inlineStr">
        <is>
          <t>AFG.GGR_NGDP.A</t>
        </is>
      </c>
      <c r="E22" s="3" t="inlineStr">
        <is>
          <t>Afghanistan, Islamic Republic of</t>
        </is>
      </c>
      <c r="F22" s="3" t="inlineStr">
        <is>
          <t>Revenue, General government, Percent of GDP</t>
        </is>
      </c>
      <c r="G22" s="3" t="n"/>
      <c r="H22" s="3" t="n"/>
      <c r="I22" s="3" t="n">
        <v>6.844626</v>
      </c>
      <c r="J22" s="3" t="n">
        <v>9.825829000000001</v>
      </c>
      <c r="K22" s="3" t="n">
        <v>12.675875</v>
      </c>
      <c r="L22" s="3" t="n">
        <v>14.733477</v>
      </c>
      <c r="M22" s="3" t="n">
        <v>18.945912</v>
      </c>
      <c r="N22" s="3" t="n">
        <v>18.985791</v>
      </c>
      <c r="O22" s="3" t="n">
        <v>17.035779</v>
      </c>
      <c r="P22" s="3" t="n">
        <v>19.390544</v>
      </c>
      <c r="Q22" s="3" t="n">
        <v>21.722488</v>
      </c>
      <c r="R22" s="3" t="n">
        <v>21.264824</v>
      </c>
      <c r="S22" s="3" t="n">
        <v>25.210262</v>
      </c>
      <c r="T22" s="3" t="n">
        <v>24.34603</v>
      </c>
      <c r="U22" s="3" t="n">
        <v>23.683652</v>
      </c>
      <c r="V22" s="3" t="n">
        <v>24.569041</v>
      </c>
      <c r="W22" s="3" t="n">
        <v>28.156233</v>
      </c>
      <c r="X22" s="3" t="n">
        <v>27.058725</v>
      </c>
      <c r="Y22" s="3" t="n">
        <v>30.569831</v>
      </c>
      <c r="Z22" s="3" t="n">
        <v>26.940939</v>
      </c>
      <c r="AA22" s="3" t="n">
        <v>25.694222</v>
      </c>
      <c r="AB22" s="3" t="n">
        <v>17.448934</v>
      </c>
      <c r="AC22" s="3" t="n">
        <v>15.118252</v>
      </c>
      <c r="AD22" s="3" t="n">
        <v>15.637282</v>
      </c>
      <c r="AE22" s="3" t="n">
        <v>19.121044</v>
      </c>
      <c r="AF22" s="3" t="n">
        <v>19.121044</v>
      </c>
      <c r="AG22" s="3" t="n"/>
      <c r="AH22" s="3" t="n"/>
      <c r="AI22" s="3" t="n"/>
      <c r="AJ22" s="3" t="n"/>
      <c r="AK22" s="3" t="n"/>
      <c r="AL22" s="3" t="n"/>
      <c r="AM22" s="3" t="n"/>
      <c r="AN22" s="3" t="n"/>
      <c r="AO22" s="3" t="n"/>
      <c r="AP22" s="3" t="n"/>
      <c r="AQ22" s="3" t="n"/>
      <c r="AR22" s="3" t="n"/>
      <c r="AS22" s="3" t="n"/>
      <c r="AT22" s="3" t="n"/>
      <c r="AU22" s="3" t="n"/>
    </row>
    <row r="23">
      <c r="A23" s="3" t="n">
        <v>2025</v>
      </c>
      <c r="B23" s="3" t="inlineStr">
        <is>
          <t>AFG</t>
        </is>
      </c>
      <c r="C23" s="3" t="inlineStr">
        <is>
          <t>IMF.RES:WEO</t>
        </is>
      </c>
      <c r="D23" s="3" t="inlineStr">
        <is>
          <t>AFG.GGX_NGDP.A</t>
        </is>
      </c>
      <c r="E23" s="3" t="inlineStr">
        <is>
          <t>Afghanistan, Islamic Republic of</t>
        </is>
      </c>
      <c r="F23" s="3" t="inlineStr">
        <is>
          <t>Expenditure, General government, Percent of GDP</t>
        </is>
      </c>
      <c r="G23" s="3" t="n"/>
      <c r="H23" s="3" t="n"/>
      <c r="I23" s="3" t="n">
        <v>6.943085</v>
      </c>
      <c r="J23" s="3" t="n">
        <v>11.927498</v>
      </c>
      <c r="K23" s="3" t="n">
        <v>15.068713</v>
      </c>
      <c r="L23" s="3" t="n">
        <v>15.650584</v>
      </c>
      <c r="M23" s="3" t="n">
        <v>18.262216</v>
      </c>
      <c r="N23" s="3" t="n">
        <v>21.447511</v>
      </c>
      <c r="O23" s="3" t="n">
        <v>20.899373</v>
      </c>
      <c r="P23" s="3" t="n">
        <v>21.151136</v>
      </c>
      <c r="Q23" s="3" t="n">
        <v>20.789145</v>
      </c>
      <c r="R23" s="3" t="n">
        <v>21.936646</v>
      </c>
      <c r="S23" s="3" t="n">
        <v>25.028205</v>
      </c>
      <c r="T23" s="3" t="n">
        <v>24.976975</v>
      </c>
      <c r="U23" s="3" t="n">
        <v>25.402449</v>
      </c>
      <c r="V23" s="3" t="n">
        <v>25.946742</v>
      </c>
      <c r="W23" s="3" t="n">
        <v>28.028975</v>
      </c>
      <c r="X23" s="3" t="n">
        <v>27.73183</v>
      </c>
      <c r="Y23" s="3" t="n">
        <v>28.935635</v>
      </c>
      <c r="Z23" s="3" t="n">
        <v>27.99902</v>
      </c>
      <c r="AA23" s="3" t="n">
        <v>27.937021</v>
      </c>
      <c r="AB23" s="3" t="n">
        <v>17.933873</v>
      </c>
      <c r="AC23" s="3" t="n">
        <v>16.115589</v>
      </c>
      <c r="AD23" s="3" t="n">
        <v>16.966986</v>
      </c>
      <c r="AE23" s="3" t="n">
        <v>19.669096</v>
      </c>
      <c r="AF23" s="3" t="n">
        <v>20.011805</v>
      </c>
      <c r="AG23" s="3" t="n"/>
      <c r="AH23" s="3" t="n"/>
      <c r="AI23" s="3" t="n"/>
      <c r="AJ23" s="3" t="n"/>
      <c r="AK23" s="3" t="n"/>
      <c r="AL23" s="3" t="n"/>
      <c r="AM23" s="3" t="n"/>
      <c r="AN23" s="3" t="n"/>
      <c r="AO23" s="3" t="n"/>
      <c r="AP23" s="3" t="n"/>
      <c r="AQ23" s="3" t="n"/>
      <c r="AR23" s="3" t="n"/>
      <c r="AS23" s="3" t="n"/>
      <c r="AT23" s="3" t="n"/>
      <c r="AU23" s="3" t="n"/>
    </row>
    <row r="24">
      <c r="A24" s="3" t="n">
        <v>2025</v>
      </c>
      <c r="B24" s="3" t="inlineStr">
        <is>
          <t>AFG</t>
        </is>
      </c>
      <c r="C24" s="3" t="inlineStr">
        <is>
          <t>IMF.RES:WEO</t>
        </is>
      </c>
      <c r="D24" s="3" t="inlineStr">
        <is>
          <t>AFG.LP.A</t>
        </is>
      </c>
      <c r="E24" s="3" t="inlineStr">
        <is>
          <t>Afghanistan, Islamic Republic of</t>
        </is>
      </c>
      <c r="F24" s="3" t="inlineStr">
        <is>
          <t>Population, Persons for countries / Index for country groups</t>
        </is>
      </c>
      <c r="G24" s="3" t="n"/>
      <c r="H24" s="3" t="n"/>
      <c r="I24" s="3" t="n">
        <v>21.000257</v>
      </c>
      <c r="J24" s="3" t="n">
        <v>22.64513</v>
      </c>
      <c r="K24" s="3" t="n">
        <v>23.553551</v>
      </c>
      <c r="L24" s="3" t="n">
        <v>24.411191</v>
      </c>
      <c r="M24" s="3" t="n">
        <v>25.442944</v>
      </c>
      <c r="N24" s="3" t="n">
        <v>25.903301</v>
      </c>
      <c r="O24" s="3" t="n">
        <v>26.427199</v>
      </c>
      <c r="P24" s="3" t="n">
        <v>27.385308</v>
      </c>
      <c r="Q24" s="3" t="n">
        <v>28.189672</v>
      </c>
      <c r="R24" s="3" t="n">
        <v>29.249157</v>
      </c>
      <c r="S24" s="3" t="n">
        <v>30.466479</v>
      </c>
      <c r="T24" s="3" t="n">
        <v>31.541209</v>
      </c>
      <c r="U24" s="3" t="n">
        <v>32.71621</v>
      </c>
      <c r="V24" s="3" t="n">
        <v>33.753499</v>
      </c>
      <c r="W24" s="3" t="n">
        <v>34.636208</v>
      </c>
      <c r="X24" s="3" t="n">
        <v>35.643418</v>
      </c>
      <c r="Y24" s="3" t="n">
        <v>36.686784</v>
      </c>
      <c r="Z24" s="3" t="n">
        <v>37.769499</v>
      </c>
      <c r="AA24" s="3" t="n">
        <v>38.972231</v>
      </c>
      <c r="AB24" s="3" t="n">
        <v>40.099462</v>
      </c>
      <c r="AC24" s="3" t="n">
        <v>40.579</v>
      </c>
      <c r="AD24" s="3" t="n">
        <v>41.455</v>
      </c>
      <c r="AE24" s="3" t="n">
        <v>42.647492</v>
      </c>
      <c r="AF24" s="3" t="n">
        <v>43.844122</v>
      </c>
      <c r="AG24" s="3" t="n"/>
      <c r="AH24" s="3" t="n"/>
      <c r="AI24" s="3" t="n"/>
      <c r="AJ24" s="3" t="n"/>
      <c r="AK24" s="3" t="n"/>
      <c r="AL24" s="3" t="n"/>
      <c r="AM24" s="3" t="n"/>
      <c r="AN24" s="3" t="n"/>
      <c r="AO24" s="3" t="n"/>
      <c r="AP24" s="3" t="n"/>
      <c r="AQ24" s="3" t="n"/>
      <c r="AR24" s="3" t="n"/>
      <c r="AS24" s="3" t="n"/>
      <c r="AT24" s="3" t="n"/>
      <c r="AU24" s="3" t="n"/>
    </row>
    <row r="25">
      <c r="A25" s="3" t="n">
        <v>2025</v>
      </c>
      <c r="B25" s="3" t="inlineStr">
        <is>
          <t>AFG</t>
        </is>
      </c>
      <c r="C25" s="3" t="inlineStr">
        <is>
          <t>IMF.RES:WEO</t>
        </is>
      </c>
      <c r="D25" s="3" t="inlineStr">
        <is>
          <t>AFG.NGDP.A</t>
        </is>
      </c>
      <c r="E25" s="3" t="inlineStr">
        <is>
          <t>Afghanistan, Islamic Republic of</t>
        </is>
      </c>
      <c r="F25" s="3" t="inlineStr">
        <is>
          <t>Gross domestic product (GDP), Current prices, Domestic currency</t>
        </is>
      </c>
      <c r="G25" s="3" t="n"/>
      <c r="H25" s="3" t="n"/>
      <c r="I25" s="3" t="n">
        <v>178.756286</v>
      </c>
      <c r="J25" s="3" t="n">
        <v>220.012929</v>
      </c>
      <c r="K25" s="3" t="n">
        <v>246.210413</v>
      </c>
      <c r="L25" s="3" t="n">
        <v>304.926355</v>
      </c>
      <c r="M25" s="3" t="n">
        <v>345.817025</v>
      </c>
      <c r="N25" s="3" t="n">
        <v>427.49508</v>
      </c>
      <c r="O25" s="3" t="n">
        <v>517.509319</v>
      </c>
      <c r="P25" s="3" t="n">
        <v>607.227034</v>
      </c>
      <c r="Q25" s="3" t="n">
        <v>711.759308</v>
      </c>
      <c r="R25" s="3" t="n">
        <v>836.222473</v>
      </c>
      <c r="S25" s="3" t="n">
        <v>1033.591406</v>
      </c>
      <c r="T25" s="3" t="n">
        <v>1116.827082</v>
      </c>
      <c r="U25" s="3" t="n">
        <v>1183.03911</v>
      </c>
      <c r="V25" s="3" t="n">
        <v>1226.569799</v>
      </c>
      <c r="W25" s="3" t="n">
        <v>1222.916881</v>
      </c>
      <c r="X25" s="3" t="n">
        <v>1285.460326</v>
      </c>
      <c r="Y25" s="3" t="n">
        <v>1327.690395</v>
      </c>
      <c r="Z25" s="3" t="n">
        <v>1469.596303</v>
      </c>
      <c r="AA25" s="3" t="n">
        <v>1547.289028</v>
      </c>
      <c r="AB25" s="3" t="n">
        <v>1251.171821</v>
      </c>
      <c r="AC25" s="3" t="n">
        <v>1283.441635</v>
      </c>
      <c r="AD25" s="3" t="n">
        <v>1350.910279</v>
      </c>
      <c r="AE25" s="3" t="n">
        <v>1261.91856</v>
      </c>
      <c r="AF25" s="3" t="n">
        <v>1340.735506</v>
      </c>
      <c r="AG25" s="3" t="n"/>
      <c r="AH25" s="3" t="n"/>
      <c r="AI25" s="3" t="n"/>
      <c r="AJ25" s="3" t="n"/>
      <c r="AK25" s="3" t="n"/>
      <c r="AL25" s="3" t="n"/>
      <c r="AM25" s="3" t="n"/>
      <c r="AN25" s="3" t="n"/>
      <c r="AO25" s="3" t="n"/>
      <c r="AP25" s="3" t="n"/>
      <c r="AQ25" s="3" t="n"/>
      <c r="AR25" s="3" t="n"/>
      <c r="AS25" s="3" t="n"/>
      <c r="AT25" s="3" t="n"/>
      <c r="AU25" s="3" t="n"/>
    </row>
    <row r="26">
      <c r="A26" s="3" t="n">
        <v>2025</v>
      </c>
      <c r="B26" s="3" t="inlineStr">
        <is>
          <t>AFG</t>
        </is>
      </c>
      <c r="C26" s="3" t="inlineStr">
        <is>
          <t>IMF.RES:WEO</t>
        </is>
      </c>
      <c r="D26" s="3" t="inlineStr">
        <is>
          <t>AFG.NGDP_D.A</t>
        </is>
      </c>
      <c r="E26" s="3" t="inlineStr">
        <is>
          <t>Afghanistan, Islamic Republic of</t>
        </is>
      </c>
      <c r="F26" s="3" t="inlineStr">
        <is>
          <t>Gross domestic product (GDP), Price deflator, Index</t>
        </is>
      </c>
      <c r="G26" s="3" t="n"/>
      <c r="H26" s="3" t="n"/>
      <c r="I26" s="3" t="n">
        <v>39.418401</v>
      </c>
      <c r="J26" s="3" t="n">
        <v>44.636195</v>
      </c>
      <c r="K26" s="3" t="n">
        <v>49.61827</v>
      </c>
      <c r="L26" s="3" t="n">
        <v>54.950618</v>
      </c>
      <c r="M26" s="3" t="n">
        <v>59.148579</v>
      </c>
      <c r="N26" s="3" t="n">
        <v>64.51294</v>
      </c>
      <c r="O26" s="3" t="n">
        <v>75.19233</v>
      </c>
      <c r="P26" s="3" t="n">
        <v>73.16658700000001</v>
      </c>
      <c r="Q26" s="3" t="n">
        <v>79.088194</v>
      </c>
      <c r="R26" s="3" t="n">
        <v>87.264112</v>
      </c>
      <c r="S26" s="3" t="n">
        <v>94.640991</v>
      </c>
      <c r="T26" s="3" t="n">
        <v>96.763851</v>
      </c>
      <c r="U26" s="3" t="n">
        <v>99.808713</v>
      </c>
      <c r="V26" s="3" t="n">
        <v>102.469265</v>
      </c>
      <c r="W26" s="3" t="n">
        <v>100</v>
      </c>
      <c r="X26" s="3" t="n">
        <v>102.403656</v>
      </c>
      <c r="Y26" s="3" t="n">
        <v>104.524793</v>
      </c>
      <c r="Z26" s="3" t="n">
        <v>111.341356</v>
      </c>
      <c r="AA26" s="3" t="n">
        <v>120.050106</v>
      </c>
      <c r="AB26" s="3" t="n">
        <v>113.593672</v>
      </c>
      <c r="AC26" s="3" t="n">
        <v>124.278757</v>
      </c>
      <c r="AD26" s="3" t="n">
        <v>127.912162</v>
      </c>
      <c r="AE26" s="3" t="n">
        <v>117.288899</v>
      </c>
      <c r="AF26" s="3" t="n">
        <v>120.980173</v>
      </c>
      <c r="AG26" s="3" t="n"/>
      <c r="AH26" s="3" t="n"/>
      <c r="AI26" s="3" t="n"/>
      <c r="AJ26" s="3" t="n"/>
      <c r="AK26" s="3" t="n"/>
      <c r="AL26" s="3" t="n"/>
      <c r="AM26" s="3" t="n"/>
      <c r="AN26" s="3" t="n"/>
      <c r="AO26" s="3" t="n"/>
      <c r="AP26" s="3" t="n"/>
      <c r="AQ26" s="3" t="n"/>
      <c r="AR26" s="3" t="n"/>
      <c r="AS26" s="3" t="n"/>
      <c r="AT26" s="3" t="n"/>
      <c r="AU26" s="3" t="n"/>
    </row>
    <row r="27">
      <c r="A27" s="3" t="n">
        <v>2025</v>
      </c>
      <c r="B27" s="3" t="inlineStr">
        <is>
          <t>AFG</t>
        </is>
      </c>
      <c r="C27" s="3" t="inlineStr">
        <is>
          <t>IMF.RES:WEO</t>
        </is>
      </c>
      <c r="D27" s="3" t="inlineStr">
        <is>
          <t>AFG.NGDP_R.A</t>
        </is>
      </c>
      <c r="E27" s="3" t="inlineStr">
        <is>
          <t>Afghanistan, Islamic Republic of</t>
        </is>
      </c>
      <c r="F27" s="3" t="inlineStr">
        <is>
          <t>Gross domestic product (GDP), Constant prices, Domestic currency</t>
        </is>
      </c>
      <c r="G27" s="3" t="n"/>
      <c r="H27" s="3" t="n"/>
      <c r="I27" s="3" t="n">
        <v>453.484365</v>
      </c>
      <c r="J27" s="3" t="n">
        <v>492.902517</v>
      </c>
      <c r="K27" s="3" t="n">
        <v>496.209183</v>
      </c>
      <c r="L27" s="3" t="n">
        <v>554.909788</v>
      </c>
      <c r="M27" s="3" t="n">
        <v>584.658216</v>
      </c>
      <c r="N27" s="3" t="n">
        <v>662.650133</v>
      </c>
      <c r="O27" s="3" t="n">
        <v>688.247481</v>
      </c>
      <c r="P27" s="3" t="n">
        <v>829.923957</v>
      </c>
      <c r="Q27" s="3" t="n">
        <v>899.956454</v>
      </c>
      <c r="R27" s="3" t="n">
        <v>958.266183</v>
      </c>
      <c r="S27" s="3" t="n">
        <v>1092.118118</v>
      </c>
      <c r="T27" s="3" t="n">
        <v>1154.178002</v>
      </c>
      <c r="U27" s="3" t="n">
        <v>1185.306442</v>
      </c>
      <c r="V27" s="3" t="n">
        <v>1197.012388</v>
      </c>
      <c r="W27" s="3" t="n">
        <v>1222.916881</v>
      </c>
      <c r="X27" s="3" t="n">
        <v>1255.28753</v>
      </c>
      <c r="Y27" s="3" t="n">
        <v>1270.215763</v>
      </c>
      <c r="Z27" s="3" t="n">
        <v>1319.901566</v>
      </c>
      <c r="AA27" s="3" t="n">
        <v>1288.869351</v>
      </c>
      <c r="AB27" s="3" t="n">
        <v>1101.445</v>
      </c>
      <c r="AC27" s="3" t="n">
        <v>1032.712</v>
      </c>
      <c r="AD27" s="3" t="n">
        <v>1056.123405</v>
      </c>
      <c r="AE27" s="3" t="n">
        <v>1075.90622</v>
      </c>
      <c r="AF27" s="3" t="n">
        <v>1108.227467</v>
      </c>
      <c r="AG27" s="3" t="n"/>
      <c r="AH27" s="3" t="n"/>
      <c r="AI27" s="3" t="n"/>
      <c r="AJ27" s="3" t="n"/>
      <c r="AK27" s="3" t="n"/>
      <c r="AL27" s="3" t="n"/>
      <c r="AM27" s="3" t="n"/>
      <c r="AN27" s="3" t="n"/>
      <c r="AO27" s="3" t="n"/>
      <c r="AP27" s="3" t="n"/>
      <c r="AQ27" s="3" t="n"/>
      <c r="AR27" s="3" t="n"/>
      <c r="AS27" s="3" t="n"/>
      <c r="AT27" s="3" t="n"/>
      <c r="AU27" s="3" t="n"/>
    </row>
    <row r="28">
      <c r="A28" s="3" t="n">
        <v>2025</v>
      </c>
      <c r="B28" s="3" t="inlineStr">
        <is>
          <t>AFG</t>
        </is>
      </c>
      <c r="C28" s="3" t="inlineStr">
        <is>
          <t>IMF.RES:WEO</t>
        </is>
      </c>
      <c r="D28" s="3" t="inlineStr">
        <is>
          <t>AFG.NGDP_RPCH.A</t>
        </is>
      </c>
      <c r="E28" s="3" t="inlineStr">
        <is>
          <t>Afghanistan, Islamic Republic of</t>
        </is>
      </c>
      <c r="F28" s="3" t="inlineStr">
        <is>
          <t>Gross domestic product (GDP), Constant prices, Percent change</t>
        </is>
      </c>
      <c r="G28" s="3" t="n"/>
      <c r="H28" s="3" t="n"/>
      <c r="I28" s="3" t="n"/>
      <c r="J28" s="3" t="n">
        <v>8.692285</v>
      </c>
      <c r="K28" s="3" t="n">
        <v>0.670856</v>
      </c>
      <c r="L28" s="3" t="n">
        <v>11.82981</v>
      </c>
      <c r="M28" s="3" t="n">
        <v>5.360948</v>
      </c>
      <c r="N28" s="3" t="n">
        <v>13.339745</v>
      </c>
      <c r="O28" s="3" t="n">
        <v>3.862875</v>
      </c>
      <c r="P28" s="3" t="n">
        <v>20.585106</v>
      </c>
      <c r="Q28" s="3" t="n">
        <v>8.438423</v>
      </c>
      <c r="R28" s="3" t="n">
        <v>6.479172</v>
      </c>
      <c r="S28" s="3" t="n">
        <v>13.968137</v>
      </c>
      <c r="T28" s="3" t="n">
        <v>5.682525</v>
      </c>
      <c r="U28" s="3" t="n">
        <v>2.697022</v>
      </c>
      <c r="V28" s="3" t="n">
        <v>0.987588</v>
      </c>
      <c r="W28" s="3" t="n">
        <v>2.164096</v>
      </c>
      <c r="X28" s="3" t="n">
        <v>2.647003</v>
      </c>
      <c r="Y28" s="3" t="n">
        <v>1.189228</v>
      </c>
      <c r="Z28" s="3" t="n">
        <v>3.911603</v>
      </c>
      <c r="AA28" s="3" t="n">
        <v>-2.351101</v>
      </c>
      <c r="AB28" s="3" t="n">
        <v>-14.541765</v>
      </c>
      <c r="AC28" s="3" t="n">
        <v>-6.240257</v>
      </c>
      <c r="AD28" s="3" t="n">
        <v>2.266983</v>
      </c>
      <c r="AE28" s="3" t="n">
        <v>1.873154</v>
      </c>
      <c r="AF28" s="3" t="n">
        <v>3.004095</v>
      </c>
      <c r="AG28" s="3" t="n"/>
      <c r="AH28" s="3" t="n"/>
      <c r="AI28" s="3" t="n"/>
      <c r="AJ28" s="3" t="n"/>
      <c r="AK28" s="3" t="n"/>
      <c r="AL28" s="3" t="n"/>
      <c r="AM28" s="3" t="n"/>
      <c r="AN28" s="3" t="n"/>
      <c r="AO28" s="3" t="n"/>
      <c r="AP28" s="3" t="n"/>
      <c r="AQ28" s="3" t="n"/>
      <c r="AR28" s="3" t="n"/>
      <c r="AS28" s="3" t="n"/>
      <c r="AT28" s="3" t="n"/>
      <c r="AU28" s="3" t="n"/>
    </row>
    <row r="29">
      <c r="A29" s="3" t="n">
        <v>2025</v>
      </c>
      <c r="B29" s="3" t="inlineStr">
        <is>
          <t>AFG</t>
        </is>
      </c>
      <c r="C29" s="3" t="inlineStr">
        <is>
          <t>IMF.RES:WEO</t>
        </is>
      </c>
      <c r="D29" s="3" t="inlineStr">
        <is>
          <t>AFG.NGDPD.A</t>
        </is>
      </c>
      <c r="E29" s="3" t="inlineStr">
        <is>
          <t>Afghanistan, Islamic Republic of</t>
        </is>
      </c>
      <c r="F29" s="3" t="inlineStr">
        <is>
          <t>Gross domestic product (GDP), Current prices, US dollar</t>
        </is>
      </c>
      <c r="G29" s="3" t="n"/>
      <c r="H29" s="3" t="n"/>
      <c r="I29" s="3" t="n">
        <v>4.366911</v>
      </c>
      <c r="J29" s="3" t="n">
        <v>4.552819</v>
      </c>
      <c r="K29" s="3" t="n">
        <v>5.145521</v>
      </c>
      <c r="L29" s="3" t="n">
        <v>6.166699</v>
      </c>
      <c r="M29" s="3" t="n">
        <v>6.925297</v>
      </c>
      <c r="N29" s="3" t="n">
        <v>8.555726</v>
      </c>
      <c r="O29" s="3" t="n">
        <v>10.296837</v>
      </c>
      <c r="P29" s="3" t="n">
        <v>12.066147</v>
      </c>
      <c r="Q29" s="3" t="n">
        <v>15.325368</v>
      </c>
      <c r="R29" s="3" t="n">
        <v>17.89</v>
      </c>
      <c r="S29" s="3" t="n">
        <v>20.293376</v>
      </c>
      <c r="T29" s="3" t="n">
        <v>20.169747</v>
      </c>
      <c r="U29" s="3" t="n">
        <v>20.615673</v>
      </c>
      <c r="V29" s="3" t="n">
        <v>20.056766</v>
      </c>
      <c r="W29" s="3" t="n">
        <v>18.020073</v>
      </c>
      <c r="X29" s="3" t="n">
        <v>18.882931</v>
      </c>
      <c r="Y29" s="3" t="n">
        <v>18.336004</v>
      </c>
      <c r="Z29" s="3" t="n">
        <v>18.875753</v>
      </c>
      <c r="AA29" s="3" t="n">
        <v>20.135548</v>
      </c>
      <c r="AB29" s="3" t="n">
        <v>14.277917</v>
      </c>
      <c r="AC29" s="3" t="n">
        <v>14.50077</v>
      </c>
      <c r="AD29" s="3" t="n">
        <v>17.248012</v>
      </c>
      <c r="AE29" s="3" t="n">
        <v>17.816729</v>
      </c>
      <c r="AF29" s="3" t="n">
        <v>19.662189</v>
      </c>
      <c r="AG29" s="3" t="n"/>
      <c r="AH29" s="3" t="n"/>
      <c r="AI29" s="3" t="n"/>
      <c r="AJ29" s="3" t="n"/>
      <c r="AK29" s="3" t="n"/>
      <c r="AL29" s="3" t="n"/>
      <c r="AM29" s="3" t="n"/>
      <c r="AN29" s="3" t="n"/>
      <c r="AO29" s="3" t="n"/>
      <c r="AP29" s="3" t="n"/>
      <c r="AQ29" s="3" t="n"/>
      <c r="AR29" s="3" t="n"/>
      <c r="AS29" s="3" t="n"/>
      <c r="AT29" s="3" t="n"/>
      <c r="AU29" s="3" t="n"/>
    </row>
    <row r="30">
      <c r="A30" s="3" t="n">
        <v>2025</v>
      </c>
      <c r="B30" s="3" t="inlineStr">
        <is>
          <t>AFG</t>
        </is>
      </c>
      <c r="C30" s="3" t="inlineStr">
        <is>
          <t>IMF.RES:WEO</t>
        </is>
      </c>
      <c r="D30" s="3" t="inlineStr">
        <is>
          <t>AFG.NGDPPC.A</t>
        </is>
      </c>
      <c r="E30" s="3" t="inlineStr">
        <is>
          <t>Afghanistan, Islamic Republic of</t>
        </is>
      </c>
      <c r="F30" s="3" t="inlineStr">
        <is>
          <t>Gross domestic product (GDP), Current prices, Per capita, Domestic currency</t>
        </is>
      </c>
      <c r="G30" s="3" t="n"/>
      <c r="H30" s="3" t="n"/>
      <c r="I30" s="3" t="n">
        <v>8512.100105</v>
      </c>
      <c r="J30" s="3" t="n">
        <v>9715.684063000001</v>
      </c>
      <c r="K30" s="3" t="n">
        <v>10453.21865</v>
      </c>
      <c r="L30" s="3" t="n">
        <v>12491.252955</v>
      </c>
      <c r="M30" s="3" t="n">
        <v>13591.863637</v>
      </c>
      <c r="N30" s="3" t="n">
        <v>16503.498459</v>
      </c>
      <c r="O30" s="3" t="n">
        <v>19582.450619</v>
      </c>
      <c r="P30" s="3" t="n">
        <v>22173.460498</v>
      </c>
      <c r="Q30" s="3" t="n">
        <v>25248.938964</v>
      </c>
      <c r="R30" s="3" t="n">
        <v>28589.626476</v>
      </c>
      <c r="S30" s="3" t="n">
        <v>33925.529195</v>
      </c>
      <c r="T30" s="3" t="n">
        <v>35408.506374</v>
      </c>
      <c r="U30" s="3" t="n">
        <v>36160.640555</v>
      </c>
      <c r="V30" s="3" t="n">
        <v>36339.041434</v>
      </c>
      <c r="W30" s="3" t="n">
        <v>35307.47069</v>
      </c>
      <c r="X30" s="3" t="n">
        <v>36064.452194</v>
      </c>
      <c r="Y30" s="3" t="n">
        <v>36189.882295</v>
      </c>
      <c r="Z30" s="3" t="n">
        <v>38909.605943</v>
      </c>
      <c r="AA30" s="3" t="n">
        <v>39702.347229</v>
      </c>
      <c r="AB30" s="3" t="n">
        <v>31201.710904</v>
      </c>
      <c r="AC30" s="3" t="n">
        <v>31628.222365</v>
      </c>
      <c r="AD30" s="3" t="n">
        <v>32587.390635</v>
      </c>
      <c r="AE30" s="3" t="n">
        <v>29589.513963</v>
      </c>
      <c r="AF30" s="3" t="n">
        <v>30579.595269</v>
      </c>
      <c r="AG30" s="3" t="n"/>
      <c r="AH30" s="3" t="n"/>
      <c r="AI30" s="3" t="n"/>
      <c r="AJ30" s="3" t="n"/>
      <c r="AK30" s="3" t="n"/>
      <c r="AL30" s="3" t="n"/>
      <c r="AM30" s="3" t="n"/>
      <c r="AN30" s="3" t="n"/>
      <c r="AO30" s="3" t="n"/>
      <c r="AP30" s="3" t="n"/>
      <c r="AQ30" s="3" t="n"/>
      <c r="AR30" s="3" t="n"/>
      <c r="AS30" s="3" t="n"/>
      <c r="AT30" s="3" t="n"/>
      <c r="AU30" s="3" t="n"/>
    </row>
    <row r="31">
      <c r="A31" s="3" t="n">
        <v>2025</v>
      </c>
      <c r="B31" s="3" t="inlineStr">
        <is>
          <t>AFG</t>
        </is>
      </c>
      <c r="C31" s="3" t="inlineStr">
        <is>
          <t>IMF.RES:WEO</t>
        </is>
      </c>
      <c r="D31" s="3" t="inlineStr">
        <is>
          <t>AFG.NGDPRPC.A</t>
        </is>
      </c>
      <c r="E31" s="3" t="inlineStr">
        <is>
          <t>Afghanistan, Islamic Republic of</t>
        </is>
      </c>
      <c r="F31" s="3" t="inlineStr">
        <is>
          <t>Gross domestic product (GDP), Constant prices, Per capita, Domestic currency</t>
        </is>
      </c>
      <c r="G31" s="3" t="n"/>
      <c r="H31" s="3" t="n"/>
      <c r="I31" s="3" t="n">
        <v>21594.229806</v>
      </c>
      <c r="J31" s="3" t="n">
        <v>21766.380521</v>
      </c>
      <c r="K31" s="3" t="n">
        <v>21067.277422</v>
      </c>
      <c r="L31" s="3" t="n">
        <v>22731.779029</v>
      </c>
      <c r="M31" s="3" t="n">
        <v>22979.188883</v>
      </c>
      <c r="N31" s="3" t="n">
        <v>25581.687276</v>
      </c>
      <c r="O31" s="3" t="n">
        <v>26043.148996</v>
      </c>
      <c r="P31" s="3" t="n">
        <v>30305.445982</v>
      </c>
      <c r="Q31" s="3" t="n">
        <v>31925.041704</v>
      </c>
      <c r="R31" s="3" t="n">
        <v>32762.181254</v>
      </c>
      <c r="S31" s="3" t="n">
        <v>35846.549131</v>
      </c>
      <c r="T31" s="3" t="n">
        <v>36592.700699</v>
      </c>
      <c r="U31" s="3" t="n">
        <v>36229.943577</v>
      </c>
      <c r="V31" s="3" t="n">
        <v>35463.357086</v>
      </c>
      <c r="W31" s="3" t="n">
        <v>35307.47069</v>
      </c>
      <c r="X31" s="3" t="n">
        <v>35217.934142</v>
      </c>
      <c r="Y31" s="3" t="n">
        <v>34623.251865</v>
      </c>
      <c r="Z31" s="3" t="n">
        <v>34946.229581</v>
      </c>
      <c r="AA31" s="3" t="n">
        <v>33071.480247</v>
      </c>
      <c r="AB31" s="3" t="n">
        <v>27467.82488</v>
      </c>
      <c r="AC31" s="3" t="n">
        <v>25449.419651</v>
      </c>
      <c r="AD31" s="3" t="n">
        <v>25476.381742</v>
      </c>
      <c r="AE31" s="3" t="n">
        <v>25227.889603</v>
      </c>
      <c r="AF31" s="3" t="n">
        <v>25276.534604</v>
      </c>
      <c r="AG31" s="3" t="n"/>
      <c r="AH31" s="3" t="n"/>
      <c r="AI31" s="3" t="n"/>
      <c r="AJ31" s="3" t="n"/>
      <c r="AK31" s="3" t="n"/>
      <c r="AL31" s="3" t="n"/>
      <c r="AM31" s="3" t="n"/>
      <c r="AN31" s="3" t="n"/>
      <c r="AO31" s="3" t="n"/>
      <c r="AP31" s="3" t="n"/>
      <c r="AQ31" s="3" t="n"/>
      <c r="AR31" s="3" t="n"/>
      <c r="AS31" s="3" t="n"/>
      <c r="AT31" s="3" t="n"/>
      <c r="AU31" s="3" t="n"/>
    </row>
    <row r="32">
      <c r="A32" s="3" t="n">
        <v>2025</v>
      </c>
      <c r="B32" s="3" t="inlineStr">
        <is>
          <t>AFG</t>
        </is>
      </c>
      <c r="C32" s="3" t="inlineStr">
        <is>
          <t>IMF.RES:WEO</t>
        </is>
      </c>
      <c r="D32" s="3" t="inlineStr">
        <is>
          <t>AFG.PCPI.A</t>
        </is>
      </c>
      <c r="E32" s="3" t="inlineStr">
        <is>
          <t>Afghanistan, Islamic Republic of</t>
        </is>
      </c>
      <c r="F32" s="3" t="inlineStr">
        <is>
          <t>All Items, Consumer price index (CPI), Period average</t>
        </is>
      </c>
      <c r="G32" s="3" t="n"/>
      <c r="H32" s="3" t="n"/>
      <c r="I32" s="3" t="n">
        <v>31.263219</v>
      </c>
      <c r="J32" s="3" t="n">
        <v>42.412654</v>
      </c>
      <c r="K32" s="3" t="n">
        <v>49.350627</v>
      </c>
      <c r="L32" s="3" t="n">
        <v>54.566465</v>
      </c>
      <c r="M32" s="3" t="n">
        <v>58.26858</v>
      </c>
      <c r="N32" s="3" t="n">
        <v>63.326625</v>
      </c>
      <c r="O32" s="3" t="n">
        <v>80.056673</v>
      </c>
      <c r="P32" s="3" t="n">
        <v>74.60388399999999</v>
      </c>
      <c r="Q32" s="3" t="n">
        <v>76.229158</v>
      </c>
      <c r="R32" s="3" t="n">
        <v>85.227389</v>
      </c>
      <c r="S32" s="3" t="n">
        <v>90.717067</v>
      </c>
      <c r="T32" s="3" t="n">
        <v>97.417222</v>
      </c>
      <c r="U32" s="3" t="n">
        <v>101.970499</v>
      </c>
      <c r="V32" s="3" t="n">
        <v>101.295751</v>
      </c>
      <c r="W32" s="3" t="n">
        <v>105.736448</v>
      </c>
      <c r="X32" s="3" t="n">
        <v>110.997842</v>
      </c>
      <c r="Y32" s="3" t="n">
        <v>111.692854</v>
      </c>
      <c r="Z32" s="3" t="n">
        <v>114.264439</v>
      </c>
      <c r="AA32" s="3" t="n">
        <v>120.671253</v>
      </c>
      <c r="AB32" s="3" t="n">
        <v>130.037585</v>
      </c>
      <c r="AC32" s="3" t="n">
        <v>143.821846</v>
      </c>
      <c r="AD32" s="3" t="n">
        <v>132.727578</v>
      </c>
      <c r="AE32" s="3" t="n">
        <v>127.069415</v>
      </c>
      <c r="AF32" s="3" t="n">
        <v>130.751525</v>
      </c>
      <c r="AG32" s="3" t="n"/>
      <c r="AH32" s="3" t="n"/>
      <c r="AI32" s="3" t="n"/>
      <c r="AJ32" s="3" t="n"/>
      <c r="AK32" s="3" t="n"/>
      <c r="AL32" s="3" t="n"/>
      <c r="AM32" s="3" t="n"/>
      <c r="AN32" s="3" t="n"/>
      <c r="AO32" s="3" t="n"/>
      <c r="AP32" s="3" t="n"/>
      <c r="AQ32" s="3" t="n"/>
      <c r="AR32" s="3" t="n"/>
      <c r="AS32" s="3" t="n"/>
      <c r="AT32" s="3" t="n"/>
      <c r="AU32" s="3" t="n"/>
    </row>
    <row r="33">
      <c r="A33" s="3" t="n">
        <v>2025</v>
      </c>
      <c r="B33" s="3" t="inlineStr">
        <is>
          <t>AFG</t>
        </is>
      </c>
      <c r="C33" s="3" t="inlineStr">
        <is>
          <t>IMF.RES:WEO</t>
        </is>
      </c>
      <c r="D33" s="3" t="inlineStr">
        <is>
          <t>AFG.PCPIPCH.A</t>
        </is>
      </c>
      <c r="E33" s="3" t="inlineStr">
        <is>
          <t>Afghanistan, Islamic Republic of</t>
        </is>
      </c>
      <c r="F33" s="3" t="inlineStr">
        <is>
          <t>All Items, Consumer price index (CPI), Period average, percent change</t>
        </is>
      </c>
      <c r="G33" s="3" t="n"/>
      <c r="H33" s="3" t="n"/>
      <c r="I33" s="3" t="n"/>
      <c r="J33" s="3" t="n">
        <v>35.663106</v>
      </c>
      <c r="K33" s="3" t="n">
        <v>16.358264</v>
      </c>
      <c r="L33" s="3" t="n">
        <v>10.568939</v>
      </c>
      <c r="M33" s="3" t="n">
        <v>6.784597</v>
      </c>
      <c r="N33" s="3" t="n">
        <v>8.680571</v>
      </c>
      <c r="O33" s="3" t="n">
        <v>26.418664</v>
      </c>
      <c r="P33" s="3" t="n">
        <v>-6.811161</v>
      </c>
      <c r="Q33" s="3" t="n">
        <v>2.178538</v>
      </c>
      <c r="R33" s="3" t="n">
        <v>11.804186</v>
      </c>
      <c r="S33" s="3" t="n">
        <v>6.441213</v>
      </c>
      <c r="T33" s="3" t="n">
        <v>7.385772</v>
      </c>
      <c r="U33" s="3" t="n">
        <v>4.673996</v>
      </c>
      <c r="V33" s="3" t="n">
        <v>-0.661709</v>
      </c>
      <c r="W33" s="3" t="n">
        <v>4.383892</v>
      </c>
      <c r="X33" s="3" t="n">
        <v>4.975952</v>
      </c>
      <c r="Y33" s="3" t="n">
        <v>0.626149</v>
      </c>
      <c r="Z33" s="3" t="n">
        <v>2.302373</v>
      </c>
      <c r="AA33" s="3" t="n">
        <v>5.607005</v>
      </c>
      <c r="AB33" s="3" t="n">
        <v>7.761859</v>
      </c>
      <c r="AC33" s="3" t="n">
        <v>10.600213</v>
      </c>
      <c r="AD33" s="3" t="n">
        <v>-7.713896</v>
      </c>
      <c r="AE33" s="3" t="n">
        <v>-4.26299</v>
      </c>
      <c r="AF33" s="3" t="n">
        <v>2.897715</v>
      </c>
      <c r="AG33" s="3" t="n"/>
      <c r="AH33" s="3" t="n"/>
      <c r="AI33" s="3" t="n"/>
      <c r="AJ33" s="3" t="n"/>
      <c r="AK33" s="3" t="n"/>
      <c r="AL33" s="3" t="n"/>
      <c r="AM33" s="3" t="n"/>
      <c r="AN33" s="3" t="n"/>
      <c r="AO33" s="3" t="n"/>
      <c r="AP33" s="3" t="n"/>
      <c r="AQ33" s="3" t="n"/>
      <c r="AR33" s="3" t="n"/>
      <c r="AS33" s="3" t="n"/>
      <c r="AT33" s="3" t="n"/>
      <c r="AU33" s="3" t="n"/>
    </row>
    <row r="34">
      <c r="A34" s="3" t="n">
        <v>2025</v>
      </c>
      <c r="B34" s="3" t="inlineStr">
        <is>
          <t>AFG</t>
        </is>
      </c>
      <c r="C34" s="3" t="inlineStr">
        <is>
          <t>IMF.RES:WEO</t>
        </is>
      </c>
      <c r="D34" s="3" t="inlineStr">
        <is>
          <t>AFG.PPPPC.A</t>
        </is>
      </c>
      <c r="E34" s="3" t="inlineStr">
        <is>
          <t>Afghanistan, Islamic Republic of</t>
        </is>
      </c>
      <c r="F34" s="3" t="inlineStr">
        <is>
          <t>Gross domestic product (GDP), Per capita, purchasing power parity (PPP) international dollar, ICP benchmarks 2017-2021</t>
        </is>
      </c>
      <c r="G34" s="3" t="n"/>
      <c r="H34" s="3" t="n"/>
      <c r="I34" s="3" t="n">
        <v>1082.923597</v>
      </c>
      <c r="J34" s="3" t="n">
        <v>1113.106424</v>
      </c>
      <c r="K34" s="3" t="n">
        <v>1106.323935</v>
      </c>
      <c r="L34" s="3" t="n">
        <v>1231.166669</v>
      </c>
      <c r="M34" s="3" t="n">
        <v>1282.9475</v>
      </c>
      <c r="N34" s="3" t="n">
        <v>1466.942254</v>
      </c>
      <c r="O34" s="3" t="n">
        <v>1522.173166</v>
      </c>
      <c r="P34" s="3" t="n">
        <v>1782.22075</v>
      </c>
      <c r="Q34" s="3" t="n">
        <v>1900.285158</v>
      </c>
      <c r="R34" s="3" t="n">
        <v>1990.350206</v>
      </c>
      <c r="S34" s="3" t="n">
        <v>2218.277901</v>
      </c>
      <c r="T34" s="3" t="n">
        <v>2302.992784</v>
      </c>
      <c r="U34" s="3" t="n">
        <v>2319.876282</v>
      </c>
      <c r="V34" s="3" t="n">
        <v>2291.864346</v>
      </c>
      <c r="W34" s="3" t="n">
        <v>2303.472097</v>
      </c>
      <c r="X34" s="3" t="n">
        <v>2338.77873</v>
      </c>
      <c r="Y34" s="3" t="n">
        <v>2436.00632</v>
      </c>
      <c r="Z34" s="3" t="n">
        <v>2589.41043</v>
      </c>
      <c r="AA34" s="3" t="n">
        <v>2588.961061</v>
      </c>
      <c r="AB34" s="3" t="n">
        <v>2138.869941</v>
      </c>
      <c r="AC34" s="3" t="n">
        <v>2122.647104</v>
      </c>
      <c r="AD34" s="3" t="n">
        <v>2203.517776</v>
      </c>
      <c r="AE34" s="3" t="n">
        <v>2236.194801</v>
      </c>
      <c r="AF34" s="3" t="n">
        <v>2304.064628</v>
      </c>
      <c r="AG34" s="3" t="n"/>
      <c r="AH34" s="3" t="n"/>
      <c r="AI34" s="3" t="n"/>
      <c r="AJ34" s="3" t="n"/>
      <c r="AK34" s="3" t="n"/>
      <c r="AL34" s="3" t="n"/>
      <c r="AM34" s="3" t="n"/>
      <c r="AN34" s="3" t="n"/>
      <c r="AO34" s="3" t="n"/>
      <c r="AP34" s="3" t="n"/>
      <c r="AQ34" s="3" t="n"/>
      <c r="AR34" s="3" t="n"/>
      <c r="AS34" s="3" t="n"/>
      <c r="AT34" s="3" t="n"/>
      <c r="AU34" s="3" t="n"/>
    </row>
    <row r="35">
      <c r="A35" s="3" t="n">
        <v>2020</v>
      </c>
      <c r="B35" s="3" t="inlineStr">
        <is>
          <t>AFG</t>
        </is>
      </c>
      <c r="C35" s="3" t="inlineStr">
        <is>
          <t>IMF.STA:ER</t>
        </is>
      </c>
      <c r="D35" s="3" t="inlineStr">
        <is>
          <t>AFG.XDC_USD.PA_RT.A</t>
        </is>
      </c>
      <c r="E35" s="3" t="inlineStr">
        <is>
          <t>Afghanistan, Islamic Republic of</t>
        </is>
      </c>
      <c r="F35" s="3" t="inlineStr">
        <is>
          <t>Domestic currency per US Dollar</t>
        </is>
      </c>
      <c r="G35" s="3" t="n">
        <v>47.3575747311828</v>
      </c>
      <c r="H35" s="3" t="n">
        <v>47.500014516129</v>
      </c>
      <c r="I35" s="3" t="n">
        <v>47.263</v>
      </c>
      <c r="J35" s="3" t="n">
        <v>48.7627535833333</v>
      </c>
      <c r="K35" s="3" t="n">
        <v>47.8453125</v>
      </c>
      <c r="L35" s="3" t="n">
        <v>49.4945975</v>
      </c>
      <c r="M35" s="3" t="n">
        <v>49.9253308333333</v>
      </c>
      <c r="N35" s="3" t="n">
        <v>49.9620177703972</v>
      </c>
      <c r="O35" s="3" t="n">
        <v>50.2496147435897</v>
      </c>
      <c r="P35" s="3" t="n">
        <v>50.325</v>
      </c>
      <c r="Q35" s="3" t="n">
        <v>46.4524610013175</v>
      </c>
      <c r="R35" s="3" t="n">
        <v>46.747007738581</v>
      </c>
      <c r="S35" s="3" t="n">
        <v>50.9214</v>
      </c>
      <c r="T35" s="3" t="n">
        <v>55.3775</v>
      </c>
      <c r="U35" s="3" t="n">
        <v>57.2475</v>
      </c>
      <c r="V35" s="3" t="n">
        <v>61.1434615416667</v>
      </c>
      <c r="W35" s="3" t="n">
        <v>67.86608576923081</v>
      </c>
      <c r="X35" s="3" t="n">
        <v>68.0269040822312</v>
      </c>
      <c r="Y35" s="3" t="n">
        <v>72.083247177304</v>
      </c>
      <c r="Z35" s="3" t="n">
        <v>77.73794917833671</v>
      </c>
      <c r="AA35" s="3" t="n">
        <v>76.8135364354897</v>
      </c>
      <c r="AB35" s="3" t="n"/>
      <c r="AC35" s="3" t="n"/>
      <c r="AD35" s="3" t="n"/>
      <c r="AE35" s="3" t="n"/>
      <c r="AF35" s="3" t="n"/>
      <c r="AG35" s="3" t="n"/>
      <c r="AH35" s="3" t="n"/>
      <c r="AI35" s="3" t="n"/>
      <c r="AJ35" s="3" t="n"/>
      <c r="AK35" s="3" t="n"/>
      <c r="AL35" s="3" t="n"/>
      <c r="AM35" s="3" t="n"/>
      <c r="AN35" s="3" t="n"/>
      <c r="AO35" s="3" t="n"/>
      <c r="AP35" s="3" t="n"/>
      <c r="AQ35" s="3" t="n"/>
      <c r="AR35" s="3" t="n"/>
      <c r="AS35" s="3" t="n"/>
      <c r="AT35" s="3" t="n"/>
      <c r="AU35" s="3" t="n"/>
    </row>
    <row r="36">
      <c r="A36" s="3" t="n">
        <v>2031</v>
      </c>
      <c r="B36" s="3" t="inlineStr">
        <is>
          <t>AGO</t>
        </is>
      </c>
      <c r="C36" s="3" t="inlineStr">
        <is>
          <t>IMF.RES:WEO</t>
        </is>
      </c>
      <c r="D36" s="3" t="inlineStr">
        <is>
          <t>AGO.BCA.A</t>
        </is>
      </c>
      <c r="E36" s="3" t="inlineStr">
        <is>
          <t>Angola</t>
        </is>
      </c>
      <c r="F36" s="3" t="inlineStr">
        <is>
          <t>Current account balance (credit less debit), US dollar</t>
        </is>
      </c>
      <c r="G36" s="3" t="n">
        <v>0.79565</v>
      </c>
      <c r="H36" s="3" t="n">
        <v>-1.43093</v>
      </c>
      <c r="I36" s="3" t="n">
        <v>-0.150093</v>
      </c>
      <c r="J36" s="3" t="n">
        <v>-0.7195589999999999</v>
      </c>
      <c r="K36" s="3" t="n">
        <v>0.681238</v>
      </c>
      <c r="L36" s="3" t="n">
        <v>5.137883</v>
      </c>
      <c r="M36" s="3" t="n">
        <v>10.689819</v>
      </c>
      <c r="N36" s="3" t="n">
        <v>10.581251</v>
      </c>
      <c r="O36" s="3" t="n">
        <v>7.194247</v>
      </c>
      <c r="P36" s="3" t="n">
        <v>-7.571652</v>
      </c>
      <c r="Q36" s="3" t="n">
        <v>7.505954</v>
      </c>
      <c r="R36" s="3" t="n">
        <v>13.084636</v>
      </c>
      <c r="S36" s="3" t="n">
        <v>13.85327</v>
      </c>
      <c r="T36" s="3" t="n">
        <v>8.348367</v>
      </c>
      <c r="U36" s="3" t="n">
        <v>-3.747518</v>
      </c>
      <c r="V36" s="3" t="n">
        <v>-10.272842</v>
      </c>
      <c r="W36" s="3" t="n">
        <v>-3.085195</v>
      </c>
      <c r="X36" s="3" t="n">
        <v>-0.632867</v>
      </c>
      <c r="Y36" s="3" t="n">
        <v>7.402607</v>
      </c>
      <c r="Z36" s="3" t="n">
        <v>5.137395</v>
      </c>
      <c r="AA36" s="3" t="n">
        <v>0.871918</v>
      </c>
      <c r="AB36" s="3" t="n">
        <v>8.399452</v>
      </c>
      <c r="AC36" s="3" t="n">
        <v>11.762911</v>
      </c>
      <c r="AD36" s="3" t="n">
        <v>4.184994</v>
      </c>
      <c r="AE36" s="3" t="n">
        <v>6.309862</v>
      </c>
      <c r="AF36" s="3" t="n">
        <v>0.5361900000000001</v>
      </c>
      <c r="AG36" s="3" t="n">
        <v>3.367218</v>
      </c>
      <c r="AH36" s="3" t="n">
        <v>1.570486</v>
      </c>
      <c r="AI36" s="3" t="n">
        <v>1.292022</v>
      </c>
      <c r="AJ36" s="3" t="n">
        <v>1.364014</v>
      </c>
      <c r="AK36" s="3" t="n">
        <v>1.181277</v>
      </c>
      <c r="AL36" s="3" t="n">
        <v>1.062276</v>
      </c>
      <c r="AM36" s="3" t="n"/>
      <c r="AN36" s="3" t="n"/>
      <c r="AO36" s="3" t="n"/>
      <c r="AP36" s="3" t="n"/>
      <c r="AQ36" s="3" t="n"/>
      <c r="AR36" s="3" t="n"/>
      <c r="AS36" s="3" t="n"/>
      <c r="AT36" s="3" t="n"/>
      <c r="AU36" s="3" t="n"/>
    </row>
    <row r="37">
      <c r="A37" s="3" t="n">
        <v>2031</v>
      </c>
      <c r="B37" s="3" t="inlineStr">
        <is>
          <t>AGO</t>
        </is>
      </c>
      <c r="C37" s="3" t="inlineStr">
        <is>
          <t>IMF.RES:WEO</t>
        </is>
      </c>
      <c r="D37" s="3" t="inlineStr">
        <is>
          <t>AGO.BCA_NGDPD.A</t>
        </is>
      </c>
      <c r="E37" s="3" t="inlineStr">
        <is>
          <t>Angola</t>
        </is>
      </c>
      <c r="F37" s="3" t="inlineStr">
        <is>
          <t>Current account balance (credit less debit), Percent of GDP</t>
        </is>
      </c>
      <c r="G37" s="3" t="n">
        <v>6.291488</v>
      </c>
      <c r="H37" s="3" t="n">
        <v>-11.559902</v>
      </c>
      <c r="I37" s="3" t="n">
        <v>-0.867015</v>
      </c>
      <c r="J37" s="3" t="n">
        <v>-3.537284</v>
      </c>
      <c r="K37" s="3" t="n">
        <v>2.523291</v>
      </c>
      <c r="L37" s="3" t="n">
        <v>12.411353</v>
      </c>
      <c r="M37" s="3" t="n">
        <v>18.225323</v>
      </c>
      <c r="N37" s="3" t="n">
        <v>14.487358</v>
      </c>
      <c r="O37" s="3" t="n">
        <v>7.282332</v>
      </c>
      <c r="P37" s="3" t="n">
        <v>-9.267041000000001</v>
      </c>
      <c r="Q37" s="3" t="n">
        <v>7.855778</v>
      </c>
      <c r="R37" s="3" t="n">
        <v>10.421717</v>
      </c>
      <c r="S37" s="3" t="n">
        <v>9.648944</v>
      </c>
      <c r="T37" s="3" t="n">
        <v>5.429439</v>
      </c>
      <c r="U37" s="3" t="n">
        <v>-2.278842</v>
      </c>
      <c r="V37" s="3" t="n">
        <v>-7.802492</v>
      </c>
      <c r="W37" s="3" t="n">
        <v>-2.648854</v>
      </c>
      <c r="X37" s="3" t="n">
        <v>-0.445962</v>
      </c>
      <c r="Y37" s="3" t="n">
        <v>6.411611</v>
      </c>
      <c r="Z37" s="3" t="n">
        <v>5.395861</v>
      </c>
      <c r="AA37" s="3" t="n">
        <v>1.318374</v>
      </c>
      <c r="AB37" s="3" t="n">
        <v>10.117106</v>
      </c>
      <c r="AC37" s="3" t="n">
        <v>8.45215</v>
      </c>
      <c r="AD37" s="3" t="n">
        <v>3.69911</v>
      </c>
      <c r="AE37" s="3" t="n">
        <v>5.276947</v>
      </c>
      <c r="AF37" s="3" t="n">
        <v>0.378323</v>
      </c>
      <c r="AG37" s="3" t="n">
        <v>2.210121</v>
      </c>
      <c r="AH37" s="3" t="n">
        <v>1.016734</v>
      </c>
      <c r="AI37" s="3" t="n">
        <v>0.811819</v>
      </c>
      <c r="AJ37" s="3" t="n">
        <v>0.8293469999999999</v>
      </c>
      <c r="AK37" s="3" t="n">
        <v>0.688419</v>
      </c>
      <c r="AL37" s="3" t="n">
        <v>0.590561</v>
      </c>
      <c r="AM37" s="3" t="n"/>
      <c r="AN37" s="3" t="n"/>
      <c r="AO37" s="3" t="n"/>
      <c r="AP37" s="3" t="n"/>
      <c r="AQ37" s="3" t="n"/>
      <c r="AR37" s="3" t="n"/>
      <c r="AS37" s="3" t="n"/>
      <c r="AT37" s="3" t="n"/>
      <c r="AU37" s="3" t="n"/>
    </row>
    <row r="38">
      <c r="A38" s="3" t="n">
        <v>2031</v>
      </c>
      <c r="B38" s="3" t="inlineStr">
        <is>
          <t>AGO</t>
        </is>
      </c>
      <c r="C38" s="3" t="inlineStr">
        <is>
          <t>IMF.RES:WEO</t>
        </is>
      </c>
      <c r="D38" s="3" t="inlineStr">
        <is>
          <t>AGO.GGR_NGDP.A</t>
        </is>
      </c>
      <c r="E38" s="3" t="inlineStr">
        <is>
          <t>Angola</t>
        </is>
      </c>
      <c r="F38" s="3" t="inlineStr">
        <is>
          <t>Revenue, General government, Percent of GDP</t>
        </is>
      </c>
      <c r="G38" s="3" t="n">
        <v>37.842156</v>
      </c>
      <c r="H38" s="3" t="n">
        <v>33.07912</v>
      </c>
      <c r="I38" s="3" t="n">
        <v>25.324158</v>
      </c>
      <c r="J38" s="3" t="n">
        <v>26.020355</v>
      </c>
      <c r="K38" s="3" t="n">
        <v>27.031698</v>
      </c>
      <c r="L38" s="3" t="n">
        <v>30.094657</v>
      </c>
      <c r="M38" s="3" t="n">
        <v>35.74613</v>
      </c>
      <c r="N38" s="3" t="n">
        <v>37.884134</v>
      </c>
      <c r="O38" s="3" t="n">
        <v>43.379801</v>
      </c>
      <c r="P38" s="3" t="n">
        <v>31.898178</v>
      </c>
      <c r="Q38" s="3" t="n">
        <v>37.506517</v>
      </c>
      <c r="R38" s="3" t="n">
        <v>40.477101</v>
      </c>
      <c r="S38" s="3" t="n">
        <v>36.859588</v>
      </c>
      <c r="T38" s="3" t="n">
        <v>32.658459</v>
      </c>
      <c r="U38" s="3" t="n">
        <v>27.225101</v>
      </c>
      <c r="V38" s="3" t="n">
        <v>21.291085</v>
      </c>
      <c r="W38" s="3" t="n">
        <v>15.204064</v>
      </c>
      <c r="X38" s="3" t="n">
        <v>15.042032</v>
      </c>
      <c r="Y38" s="3" t="n">
        <v>19.829072</v>
      </c>
      <c r="Z38" s="3" t="n">
        <v>20.665723</v>
      </c>
      <c r="AA38" s="3" t="n">
        <v>21.338572</v>
      </c>
      <c r="AB38" s="3" t="n">
        <v>24.130424</v>
      </c>
      <c r="AC38" s="3" t="n">
        <v>26.620526</v>
      </c>
      <c r="AD38" s="3" t="n">
        <v>20.854164</v>
      </c>
      <c r="AE38" s="3" t="n">
        <v>17.790736</v>
      </c>
      <c r="AF38" s="3" t="n">
        <v>14.78291</v>
      </c>
      <c r="AG38" s="3" t="n">
        <v>14.381111</v>
      </c>
      <c r="AH38" s="3" t="n">
        <v>13.636716</v>
      </c>
      <c r="AI38" s="3" t="n">
        <v>13.573372</v>
      </c>
      <c r="AJ38" s="3" t="n">
        <v>13.554536</v>
      </c>
      <c r="AK38" s="3" t="n">
        <v>13.54253</v>
      </c>
      <c r="AL38" s="3" t="n">
        <v>13.402365</v>
      </c>
      <c r="AM38" s="3" t="n"/>
      <c r="AN38" s="3" t="n"/>
      <c r="AO38" s="3" t="n"/>
      <c r="AP38" s="3" t="n"/>
      <c r="AQ38" s="3" t="n"/>
      <c r="AR38" s="3" t="n"/>
      <c r="AS38" s="3" t="n"/>
      <c r="AT38" s="3" t="n"/>
      <c r="AU38" s="3" t="n"/>
    </row>
    <row r="39">
      <c r="A39" s="3" t="n">
        <v>2031</v>
      </c>
      <c r="B39" s="3" t="inlineStr">
        <is>
          <t>AGO</t>
        </is>
      </c>
      <c r="C39" s="3" t="inlineStr">
        <is>
          <t>IMF.RES:WEO</t>
        </is>
      </c>
      <c r="D39" s="3" t="inlineStr">
        <is>
          <t>AGO.GGX_NGDP.A</t>
        </is>
      </c>
      <c r="E39" s="3" t="inlineStr">
        <is>
          <t>Angola</t>
        </is>
      </c>
      <c r="F39" s="3" t="inlineStr">
        <is>
          <t>Expenditure, General government, Percent of GDP</t>
        </is>
      </c>
      <c r="G39" s="3" t="n">
        <v>35.820745</v>
      </c>
      <c r="H39" s="3" t="n">
        <v>30.27439</v>
      </c>
      <c r="I39" s="3" t="n">
        <v>27.569071</v>
      </c>
      <c r="J39" s="3" t="n">
        <v>30.122488</v>
      </c>
      <c r="K39" s="3" t="n">
        <v>25.999213</v>
      </c>
      <c r="L39" s="3" t="n">
        <v>23.690764</v>
      </c>
      <c r="M39" s="3" t="n">
        <v>27.331046</v>
      </c>
      <c r="N39" s="3" t="n">
        <v>34.071567</v>
      </c>
      <c r="O39" s="3" t="n">
        <v>47.200705</v>
      </c>
      <c r="P39" s="3" t="n">
        <v>38.728506</v>
      </c>
      <c r="Q39" s="3" t="n">
        <v>34.550959</v>
      </c>
      <c r="R39" s="3" t="n">
        <v>33.302183</v>
      </c>
      <c r="S39" s="3" t="n">
        <v>33.186655</v>
      </c>
      <c r="T39" s="3" t="n">
        <v>32.940992</v>
      </c>
      <c r="U39" s="3" t="n">
        <v>32.303123</v>
      </c>
      <c r="V39" s="3" t="n">
        <v>23.87317</v>
      </c>
      <c r="W39" s="3" t="n">
        <v>19.138242</v>
      </c>
      <c r="X39" s="3" t="n">
        <v>20.724753</v>
      </c>
      <c r="Y39" s="3" t="n">
        <v>17.830276</v>
      </c>
      <c r="Z39" s="3" t="n">
        <v>20.861133</v>
      </c>
      <c r="AA39" s="3" t="n">
        <v>24.384833</v>
      </c>
      <c r="AB39" s="3" t="n">
        <v>22.77838</v>
      </c>
      <c r="AC39" s="3" t="n">
        <v>24.84139</v>
      </c>
      <c r="AD39" s="3" t="n">
        <v>23.345964</v>
      </c>
      <c r="AE39" s="3" t="n">
        <v>18.983063</v>
      </c>
      <c r="AF39" s="3" t="n">
        <v>18.853147</v>
      </c>
      <c r="AG39" s="3" t="n">
        <v>16.826256</v>
      </c>
      <c r="AH39" s="3" t="n">
        <v>17.246045</v>
      </c>
      <c r="AI39" s="3" t="n">
        <v>17.509302</v>
      </c>
      <c r="AJ39" s="3" t="n">
        <v>17.526439</v>
      </c>
      <c r="AK39" s="3" t="n">
        <v>17.373971</v>
      </c>
      <c r="AL39" s="3" t="n">
        <v>17.281969</v>
      </c>
      <c r="AM39" s="3" t="n"/>
      <c r="AN39" s="3" t="n"/>
      <c r="AO39" s="3" t="n"/>
      <c r="AP39" s="3" t="n"/>
      <c r="AQ39" s="3" t="n"/>
      <c r="AR39" s="3" t="n"/>
      <c r="AS39" s="3" t="n"/>
      <c r="AT39" s="3" t="n"/>
      <c r="AU39" s="3" t="n"/>
    </row>
    <row r="40">
      <c r="A40" s="3" t="n">
        <v>2031</v>
      </c>
      <c r="B40" s="3" t="inlineStr">
        <is>
          <t>AGO</t>
        </is>
      </c>
      <c r="C40" s="3" t="inlineStr">
        <is>
          <t>IMF.RES:WEO</t>
        </is>
      </c>
      <c r="D40" s="3" t="inlineStr">
        <is>
          <t>AGO.LP.A</t>
        </is>
      </c>
      <c r="E40" s="3" t="inlineStr">
        <is>
          <t>Angola</t>
        </is>
      </c>
      <c r="F40" s="3" t="inlineStr">
        <is>
          <t>Population, Persons for countries / Index for country groups</t>
        </is>
      </c>
      <c r="G40" s="3" t="n">
        <v>16.194869</v>
      </c>
      <c r="H40" s="3" t="n">
        <v>16.747208</v>
      </c>
      <c r="I40" s="3" t="n">
        <v>17.327699</v>
      </c>
      <c r="J40" s="3" t="n">
        <v>17.943712</v>
      </c>
      <c r="K40" s="3" t="n">
        <v>18.600423</v>
      </c>
      <c r="L40" s="3" t="n">
        <v>19.291161</v>
      </c>
      <c r="M40" s="3" t="n">
        <v>20.015279</v>
      </c>
      <c r="N40" s="3" t="n">
        <v>20.778561</v>
      </c>
      <c r="O40" s="3" t="n">
        <v>21.578655</v>
      </c>
      <c r="P40" s="3" t="n">
        <v>22.414773</v>
      </c>
      <c r="Q40" s="3" t="n">
        <v>23.294825</v>
      </c>
      <c r="R40" s="3" t="n">
        <v>24.218352</v>
      </c>
      <c r="S40" s="3" t="n">
        <v>25.177394</v>
      </c>
      <c r="T40" s="3" t="n">
        <v>26.16562</v>
      </c>
      <c r="U40" s="3" t="n">
        <v>27.160769</v>
      </c>
      <c r="V40" s="3" t="n">
        <v>28.157798</v>
      </c>
      <c r="W40" s="3" t="n">
        <v>29.18307</v>
      </c>
      <c r="X40" s="3" t="n">
        <v>30.234839</v>
      </c>
      <c r="Y40" s="3" t="n">
        <v>31.297155</v>
      </c>
      <c r="Z40" s="3" t="n">
        <v>32.375632</v>
      </c>
      <c r="AA40" s="3" t="n">
        <v>33.451132</v>
      </c>
      <c r="AB40" s="3" t="n">
        <v>34.532429</v>
      </c>
      <c r="AC40" s="3" t="n">
        <v>35.635029</v>
      </c>
      <c r="AD40" s="3" t="n">
        <v>36.749906</v>
      </c>
      <c r="AE40" s="3" t="n">
        <v>37.885849</v>
      </c>
      <c r="AF40" s="3" t="n">
        <v>39.211854</v>
      </c>
      <c r="AG40" s="3" t="n">
        <v>40.584269</v>
      </c>
      <c r="AH40" s="3" t="n">
        <v>42.004718</v>
      </c>
      <c r="AI40" s="3" t="n">
        <v>43.474883</v>
      </c>
      <c r="AJ40" s="3" t="n">
        <v>44.996504</v>
      </c>
      <c r="AK40" s="3" t="n">
        <v>46.571382</v>
      </c>
      <c r="AL40" s="3" t="n">
        <v>48.20138</v>
      </c>
      <c r="AM40" s="3" t="n"/>
      <c r="AN40" s="3" t="n"/>
      <c r="AO40" s="3" t="n"/>
      <c r="AP40" s="3" t="n"/>
      <c r="AQ40" s="3" t="n"/>
      <c r="AR40" s="3" t="n"/>
      <c r="AS40" s="3" t="n"/>
      <c r="AT40" s="3" t="n"/>
      <c r="AU40" s="3" t="n"/>
    </row>
    <row r="41">
      <c r="A41" s="3" t="n">
        <v>2031</v>
      </c>
      <c r="B41" s="3" t="inlineStr">
        <is>
          <t>AGO</t>
        </is>
      </c>
      <c r="C41" s="3" t="inlineStr">
        <is>
          <t>IMF.RES:WEO</t>
        </is>
      </c>
      <c r="D41" s="3" t="inlineStr">
        <is>
          <t>AGO.NGDP.A</t>
        </is>
      </c>
      <c r="E41" s="3" t="inlineStr">
        <is>
          <t>Angola</t>
        </is>
      </c>
      <c r="F41" s="3" t="inlineStr">
        <is>
          <t>Gross domestic product (GDP), Current prices, Domestic currency</t>
        </is>
      </c>
      <c r="G41" s="3" t="n">
        <v>126.977267</v>
      </c>
      <c r="H41" s="3" t="n">
        <v>273.040858</v>
      </c>
      <c r="I41" s="3" t="n">
        <v>753.57372</v>
      </c>
      <c r="J41" s="3" t="n">
        <v>1517.650933</v>
      </c>
      <c r="K41" s="3" t="n">
        <v>2255.447872</v>
      </c>
      <c r="L41" s="3" t="n">
        <v>3608.095309</v>
      </c>
      <c r="M41" s="3" t="n">
        <v>4713.881568</v>
      </c>
      <c r="N41" s="3" t="n">
        <v>5602.449613</v>
      </c>
      <c r="O41" s="3" t="n">
        <v>7412.57753</v>
      </c>
      <c r="P41" s="3" t="n">
        <v>6481.5218</v>
      </c>
      <c r="Q41" s="3" t="n">
        <v>8781.308454</v>
      </c>
      <c r="R41" s="3" t="n">
        <v>11793.661418</v>
      </c>
      <c r="S41" s="3" t="n">
        <v>13706.611875</v>
      </c>
      <c r="T41" s="3" t="n">
        <v>14840.760474</v>
      </c>
      <c r="U41" s="3" t="n">
        <v>16165.667821</v>
      </c>
      <c r="V41" s="3" t="n">
        <v>15807.31733</v>
      </c>
      <c r="W41" s="3" t="n">
        <v>19061.544</v>
      </c>
      <c r="X41" s="3" t="n">
        <v>23545.2385</v>
      </c>
      <c r="Y41" s="3" t="n">
        <v>29193.78112</v>
      </c>
      <c r="Z41" s="3" t="n">
        <v>34735.03483</v>
      </c>
      <c r="AA41" s="3" t="n">
        <v>38243.64698</v>
      </c>
      <c r="AB41" s="3" t="n">
        <v>52423.74838</v>
      </c>
      <c r="AC41" s="3" t="n">
        <v>64097.47746</v>
      </c>
      <c r="AD41" s="3" t="n">
        <v>77499.86764</v>
      </c>
      <c r="AE41" s="3" t="n">
        <v>104011.08781</v>
      </c>
      <c r="AF41" s="3" t="n">
        <v>129255.157</v>
      </c>
      <c r="AG41" s="3" t="n">
        <v>143350.043521</v>
      </c>
      <c r="AH41" s="3" t="n">
        <v>159456.784812</v>
      </c>
      <c r="AI41" s="3" t="n">
        <v>177669.031766</v>
      </c>
      <c r="AJ41" s="3" t="n">
        <v>202308.13983</v>
      </c>
      <c r="AK41" s="3" t="n">
        <v>228367.339806</v>
      </c>
      <c r="AL41" s="3" t="n">
        <v>257581.082551</v>
      </c>
      <c r="AM41" s="3" t="n"/>
      <c r="AN41" s="3" t="n"/>
      <c r="AO41" s="3" t="n"/>
      <c r="AP41" s="3" t="n"/>
      <c r="AQ41" s="3" t="n"/>
      <c r="AR41" s="3" t="n"/>
      <c r="AS41" s="3" t="n"/>
      <c r="AT41" s="3" t="n"/>
      <c r="AU41" s="3" t="n"/>
    </row>
    <row r="42">
      <c r="A42" s="3" t="n">
        <v>2031</v>
      </c>
      <c r="B42" s="3" t="inlineStr">
        <is>
          <t>AGO</t>
        </is>
      </c>
      <c r="C42" s="3" t="inlineStr">
        <is>
          <t>IMF.RES:WEO</t>
        </is>
      </c>
      <c r="D42" s="3" t="inlineStr">
        <is>
          <t>AGO.NGDP_D.A</t>
        </is>
      </c>
      <c r="E42" s="3" t="inlineStr">
        <is>
          <t>Angola</t>
        </is>
      </c>
      <c r="F42" s="3" t="inlineStr">
        <is>
          <t>Gross domestic product (GDP), Price deflator, Index</t>
        </is>
      </c>
      <c r="G42" s="3" t="n">
        <v>2.340992</v>
      </c>
      <c r="H42" s="3" t="n">
        <v>4.830687</v>
      </c>
      <c r="I42" s="3" t="n">
        <v>11.72945</v>
      </c>
      <c r="J42" s="3" t="n">
        <v>22.825768</v>
      </c>
      <c r="K42" s="3" t="n">
        <v>30.445502</v>
      </c>
      <c r="L42" s="3" t="n">
        <v>42.667032</v>
      </c>
      <c r="M42" s="3" t="n">
        <v>49.842055</v>
      </c>
      <c r="N42" s="3" t="n">
        <v>52.422386</v>
      </c>
      <c r="O42" s="3" t="n">
        <v>62.604783</v>
      </c>
      <c r="P42" s="3" t="n">
        <v>53.667959</v>
      </c>
      <c r="Q42" s="3" t="n">
        <v>69.057396</v>
      </c>
      <c r="R42" s="3" t="n">
        <v>89.53272200000001</v>
      </c>
      <c r="S42" s="3" t="n">
        <v>95.903291</v>
      </c>
      <c r="T42" s="3" t="n">
        <v>99.007222</v>
      </c>
      <c r="U42" s="3" t="n">
        <v>103.04422</v>
      </c>
      <c r="V42" s="3" t="n">
        <v>100</v>
      </c>
      <c r="W42" s="3" t="n">
        <v>122.672266</v>
      </c>
      <c r="X42" s="3" t="n">
        <v>151.739917</v>
      </c>
      <c r="Y42" s="3" t="n">
        <v>189.25921</v>
      </c>
      <c r="Z42" s="3" t="n">
        <v>225.633652</v>
      </c>
      <c r="AA42" s="3" t="n">
        <v>258.883991</v>
      </c>
      <c r="AB42" s="3" t="n">
        <v>347.574753</v>
      </c>
      <c r="AC42" s="3" t="n">
        <v>407.765071</v>
      </c>
      <c r="AD42" s="3" t="n">
        <v>486.602266</v>
      </c>
      <c r="AE42" s="3" t="n">
        <v>622.241878</v>
      </c>
      <c r="AF42" s="3" t="n">
        <v>749.795842</v>
      </c>
      <c r="AG42" s="3" t="n">
        <v>812.912044</v>
      </c>
      <c r="AH42" s="3" t="n">
        <v>881.017018</v>
      </c>
      <c r="AI42" s="3" t="n">
        <v>954.748082</v>
      </c>
      <c r="AJ42" s="3" t="n">
        <v>1055.79831</v>
      </c>
      <c r="AK42" s="3" t="n">
        <v>1156.757914</v>
      </c>
      <c r="AL42" s="3" t="n">
        <v>1265.616533</v>
      </c>
      <c r="AM42" s="3" t="n"/>
      <c r="AN42" s="3" t="n"/>
      <c r="AO42" s="3" t="n"/>
      <c r="AP42" s="3" t="n"/>
      <c r="AQ42" s="3" t="n"/>
      <c r="AR42" s="3" t="n"/>
      <c r="AS42" s="3" t="n"/>
      <c r="AT42" s="3" t="n"/>
      <c r="AU42" s="3" t="n"/>
    </row>
    <row r="43">
      <c r="A43" s="3" t="n">
        <v>2031</v>
      </c>
      <c r="B43" s="3" t="inlineStr">
        <is>
          <t>AGO</t>
        </is>
      </c>
      <c r="C43" s="3" t="inlineStr">
        <is>
          <t>IMF.RES:WEO</t>
        </is>
      </c>
      <c r="D43" s="3" t="inlineStr">
        <is>
          <t>AGO.NGDP_R.A</t>
        </is>
      </c>
      <c r="E43" s="3" t="inlineStr">
        <is>
          <t>Angola</t>
        </is>
      </c>
      <c r="F43" s="3" t="inlineStr">
        <is>
          <t>Gross domestic product (GDP), Constant prices, Domestic currency</t>
        </is>
      </c>
      <c r="G43" s="3" t="n">
        <v>5424.079111</v>
      </c>
      <c r="H43" s="3" t="n">
        <v>5652.2158</v>
      </c>
      <c r="I43" s="3" t="n">
        <v>6424.629892</v>
      </c>
      <c r="J43" s="3" t="n">
        <v>6648.849475</v>
      </c>
      <c r="K43" s="3" t="n">
        <v>7408.148085</v>
      </c>
      <c r="L43" s="3" t="n">
        <v>8456.401039</v>
      </c>
      <c r="M43" s="3" t="n">
        <v>9457.638922</v>
      </c>
      <c r="N43" s="3" t="n">
        <v>10687.131982</v>
      </c>
      <c r="O43" s="3" t="n">
        <v>11840.273523</v>
      </c>
      <c r="P43" s="3" t="n">
        <v>12077.078994</v>
      </c>
      <c r="Q43" s="3" t="n">
        <v>12715.956472</v>
      </c>
      <c r="R43" s="3" t="n">
        <v>13172.45931</v>
      </c>
      <c r="S43" s="3" t="n">
        <v>14292.118351</v>
      </c>
      <c r="T43" s="3" t="n">
        <v>14989.573727</v>
      </c>
      <c r="U43" s="3" t="n">
        <v>15688.087862</v>
      </c>
      <c r="V43" s="3" t="n">
        <v>15807.31733</v>
      </c>
      <c r="W43" s="3" t="n">
        <v>15538.592935</v>
      </c>
      <c r="X43" s="3" t="n">
        <v>15516.838905</v>
      </c>
      <c r="Y43" s="3" t="n">
        <v>15425.289556</v>
      </c>
      <c r="Z43" s="3" t="n">
        <v>15394.438977</v>
      </c>
      <c r="AA43" s="3" t="n">
        <v>14772.503642</v>
      </c>
      <c r="AB43" s="3" t="n">
        <v>15082.726218</v>
      </c>
      <c r="AC43" s="3" t="n">
        <v>15719.217265</v>
      </c>
      <c r="AD43" s="3" t="n">
        <v>15926.737928</v>
      </c>
      <c r="AE43" s="3" t="n">
        <v>16715.539635</v>
      </c>
      <c r="AF43" s="3" t="n">
        <v>17238.713499</v>
      </c>
      <c r="AG43" s="3" t="n">
        <v>17634.139451</v>
      </c>
      <c r="AH43" s="3" t="n">
        <v>18099.171938</v>
      </c>
      <c r="AI43" s="3" t="n">
        <v>18608.995933</v>
      </c>
      <c r="AJ43" s="3" t="n">
        <v>19161.627541</v>
      </c>
      <c r="AK43" s="3" t="n">
        <v>19742.016642</v>
      </c>
      <c r="AL43" s="3" t="n">
        <v>20352.221699</v>
      </c>
      <c r="AM43" s="3" t="n"/>
      <c r="AN43" s="3" t="n"/>
      <c r="AO43" s="3" t="n"/>
      <c r="AP43" s="3" t="n"/>
      <c r="AQ43" s="3" t="n"/>
      <c r="AR43" s="3" t="n"/>
      <c r="AS43" s="3" t="n"/>
      <c r="AT43" s="3" t="n"/>
      <c r="AU43" s="3" t="n"/>
    </row>
    <row r="44">
      <c r="A44" s="3" t="n">
        <v>2031</v>
      </c>
      <c r="B44" s="3" t="inlineStr">
        <is>
          <t>AGO</t>
        </is>
      </c>
      <c r="C44" s="3" t="inlineStr">
        <is>
          <t>IMF.RES:WEO</t>
        </is>
      </c>
      <c r="D44" s="3" t="inlineStr">
        <is>
          <t>AGO.NGDP_RPCH.A</t>
        </is>
      </c>
      <c r="E44" s="3" t="inlineStr">
        <is>
          <t>Angola</t>
        </is>
      </c>
      <c r="F44" s="3" t="inlineStr">
        <is>
          <t>Gross domestic product (GDP), Constant prices, Percent change</t>
        </is>
      </c>
      <c r="G44" s="3" t="n">
        <v>3.054624</v>
      </c>
      <c r="H44" s="3" t="n">
        <v>4.205999</v>
      </c>
      <c r="I44" s="3" t="n">
        <v>13.665687</v>
      </c>
      <c r="J44" s="3" t="n">
        <v>3.49</v>
      </c>
      <c r="K44" s="3" t="n">
        <v>11.42</v>
      </c>
      <c r="L44" s="3" t="n">
        <v>14.15</v>
      </c>
      <c r="M44" s="3" t="n">
        <v>11.84</v>
      </c>
      <c r="N44" s="3" t="n">
        <v>13</v>
      </c>
      <c r="O44" s="3" t="n">
        <v>10.79</v>
      </c>
      <c r="P44" s="3" t="n">
        <v>2</v>
      </c>
      <c r="Q44" s="3" t="n">
        <v>5.29</v>
      </c>
      <c r="R44" s="3" t="n">
        <v>3.59</v>
      </c>
      <c r="S44" s="3" t="n">
        <v>8.5</v>
      </c>
      <c r="T44" s="3" t="n">
        <v>4.88</v>
      </c>
      <c r="U44" s="3" t="n">
        <v>4.66</v>
      </c>
      <c r="V44" s="3" t="n">
        <v>0.76</v>
      </c>
      <c r="W44" s="3" t="n">
        <v>-1.7</v>
      </c>
      <c r="X44" s="3" t="n">
        <v>-0.14</v>
      </c>
      <c r="Y44" s="3" t="n">
        <v>-0.59</v>
      </c>
      <c r="Z44" s="3" t="n">
        <v>-0.2</v>
      </c>
      <c r="AA44" s="3" t="n">
        <v>-4.04</v>
      </c>
      <c r="AB44" s="3" t="n">
        <v>2.1</v>
      </c>
      <c r="AC44" s="3" t="n">
        <v>4.22</v>
      </c>
      <c r="AD44" s="3" t="n">
        <v>1.320172</v>
      </c>
      <c r="AE44" s="3" t="n">
        <v>4.952688</v>
      </c>
      <c r="AF44" s="3" t="n">
        <v>3.129865</v>
      </c>
      <c r="AG44" s="3" t="n">
        <v>2.293825</v>
      </c>
      <c r="AH44" s="3" t="n">
        <v>2.637115</v>
      </c>
      <c r="AI44" s="3" t="n">
        <v>2.816836</v>
      </c>
      <c r="AJ44" s="3" t="n">
        <v>2.969701</v>
      </c>
      <c r="AK44" s="3" t="n">
        <v>3.028913</v>
      </c>
      <c r="AL44" s="3" t="n">
        <v>3.090895</v>
      </c>
      <c r="AM44" s="3" t="n"/>
      <c r="AN44" s="3" t="n"/>
      <c r="AO44" s="3" t="n"/>
      <c r="AP44" s="3" t="n"/>
      <c r="AQ44" s="3" t="n"/>
      <c r="AR44" s="3" t="n"/>
      <c r="AS44" s="3" t="n"/>
      <c r="AT44" s="3" t="n"/>
      <c r="AU44" s="3" t="n"/>
    </row>
    <row r="45">
      <c r="A45" s="3" t="n">
        <v>2031</v>
      </c>
      <c r="B45" s="3" t="inlineStr">
        <is>
          <t>AGO</t>
        </is>
      </c>
      <c r="C45" s="3" t="inlineStr">
        <is>
          <t>IMF.RES:WEO</t>
        </is>
      </c>
      <c r="D45" s="3" t="inlineStr">
        <is>
          <t>AGO.NGDPD.A</t>
        </is>
      </c>
      <c r="E45" s="3" t="inlineStr">
        <is>
          <t>Angola</t>
        </is>
      </c>
      <c r="F45" s="3" t="inlineStr">
        <is>
          <t>Gross domestic product (GDP), Current prices, US dollar</t>
        </is>
      </c>
      <c r="G45" s="3" t="n">
        <v>12.646453</v>
      </c>
      <c r="H45" s="3" t="n">
        <v>12.378392</v>
      </c>
      <c r="I45" s="3" t="n">
        <v>17.311513</v>
      </c>
      <c r="J45" s="3" t="n">
        <v>20.342128</v>
      </c>
      <c r="K45" s="3" t="n">
        <v>26.997978</v>
      </c>
      <c r="L45" s="3" t="n">
        <v>41.396637</v>
      </c>
      <c r="M45" s="3" t="n">
        <v>58.65366</v>
      </c>
      <c r="N45" s="3" t="n">
        <v>73.03782200000001</v>
      </c>
      <c r="O45" s="3" t="n">
        <v>98.79043299999999</v>
      </c>
      <c r="P45" s="3" t="n">
        <v>81.70517599999999</v>
      </c>
      <c r="Q45" s="3" t="n">
        <v>95.546919</v>
      </c>
      <c r="R45" s="3" t="n">
        <v>125.551635</v>
      </c>
      <c r="S45" s="3" t="n">
        <v>143.572907</v>
      </c>
      <c r="T45" s="3" t="n">
        <v>153.761138</v>
      </c>
      <c r="U45" s="3" t="n">
        <v>164.448325</v>
      </c>
      <c r="V45" s="3" t="n">
        <v>131.661044</v>
      </c>
      <c r="W45" s="3" t="n">
        <v>116.472833</v>
      </c>
      <c r="X45" s="3" t="n">
        <v>141.910639</v>
      </c>
      <c r="Y45" s="3" t="n">
        <v>115.456269</v>
      </c>
      <c r="Z45" s="3" t="n">
        <v>95.209918</v>
      </c>
      <c r="AA45" s="3" t="n">
        <v>66.135869</v>
      </c>
      <c r="AB45" s="3" t="n">
        <v>83.02227600000001</v>
      </c>
      <c r="AC45" s="3" t="n">
        <v>139.170645</v>
      </c>
      <c r="AD45" s="3" t="n">
        <v>113.13515</v>
      </c>
      <c r="AE45" s="3" t="n">
        <v>119.574114</v>
      </c>
      <c r="AF45" s="3" t="n">
        <v>141.728228</v>
      </c>
      <c r="AG45" s="3" t="n">
        <v>152.354467</v>
      </c>
      <c r="AH45" s="3" t="n">
        <v>154.463785</v>
      </c>
      <c r="AI45" s="3" t="n">
        <v>159.151501</v>
      </c>
      <c r="AJ45" s="3" t="n">
        <v>164.468409</v>
      </c>
      <c r="AK45" s="3" t="n">
        <v>171.592612</v>
      </c>
      <c r="AL45" s="3" t="n">
        <v>179.875619</v>
      </c>
      <c r="AM45" s="3" t="n"/>
      <c r="AN45" s="3" t="n"/>
      <c r="AO45" s="3" t="n"/>
      <c r="AP45" s="3" t="n"/>
      <c r="AQ45" s="3" t="n"/>
      <c r="AR45" s="3" t="n"/>
      <c r="AS45" s="3" t="n"/>
      <c r="AT45" s="3" t="n"/>
      <c r="AU45" s="3" t="n"/>
    </row>
    <row r="46">
      <c r="A46" s="3" t="n">
        <v>2031</v>
      </c>
      <c r="B46" s="3" t="inlineStr">
        <is>
          <t>AGO</t>
        </is>
      </c>
      <c r="C46" s="3" t="inlineStr">
        <is>
          <t>IMF.RES:WEO</t>
        </is>
      </c>
      <c r="D46" s="3" t="inlineStr">
        <is>
          <t>AGO.NGDPPC.A</t>
        </is>
      </c>
      <c r="E46" s="3" t="inlineStr">
        <is>
          <t>Angola</t>
        </is>
      </c>
      <c r="F46" s="3" t="inlineStr">
        <is>
          <t>Gross domestic product (GDP), Current prices, Per capita, Domestic currency</t>
        </is>
      </c>
      <c r="G46" s="3" t="n">
        <v>7840.586221</v>
      </c>
      <c r="H46" s="3" t="n">
        <v>16303.66437</v>
      </c>
      <c r="I46" s="3" t="n">
        <v>43489.543515</v>
      </c>
      <c r="J46" s="3" t="n">
        <v>84578.426855</v>
      </c>
      <c r="K46" s="3" t="n">
        <v>121257.880626</v>
      </c>
      <c r="L46" s="3" t="n">
        <v>187033.600977</v>
      </c>
      <c r="M46" s="3" t="n">
        <v>235514.157375</v>
      </c>
      <c r="N46" s="3" t="n">
        <v>269626.448777</v>
      </c>
      <c r="O46" s="3" t="n">
        <v>343514.344629</v>
      </c>
      <c r="P46" s="3" t="n">
        <v>289162.946221</v>
      </c>
      <c r="Q46" s="3" t="n">
        <v>376963.91597</v>
      </c>
      <c r="R46" s="3" t="n">
        <v>486972.087038</v>
      </c>
      <c r="S46" s="3" t="n">
        <v>544401.532387</v>
      </c>
      <c r="T46" s="3" t="n">
        <v>567185.508073</v>
      </c>
      <c r="U46" s="3" t="n">
        <v>595184.467021</v>
      </c>
      <c r="V46" s="3" t="n">
        <v>561383.2917619999</v>
      </c>
      <c r="W46" s="3" t="n">
        <v>653171.307885</v>
      </c>
      <c r="X46" s="3" t="n">
        <v>778745.291152</v>
      </c>
      <c r="Y46" s="3" t="n">
        <v>932793.447839</v>
      </c>
      <c r="Z46" s="3" t="n">
        <v>1072875.884863</v>
      </c>
      <c r="AA46" s="3" t="n">
        <v>1143269.141983</v>
      </c>
      <c r="AB46" s="3" t="n">
        <v>1518101.966705</v>
      </c>
      <c r="AC46" s="3" t="n">
        <v>1798721.069092</v>
      </c>
      <c r="AD46" s="3" t="n">
        <v>2108845.329836</v>
      </c>
      <c r="AE46" s="3" t="n">
        <v>2745380.941839</v>
      </c>
      <c r="AF46" s="3" t="n">
        <v>3296328.654581</v>
      </c>
      <c r="AG46" s="3" t="n">
        <v>3532157.865186</v>
      </c>
      <c r="AH46" s="3" t="n">
        <v>3796163.679225</v>
      </c>
      <c r="AI46" s="3" t="n">
        <v>4086705.21901</v>
      </c>
      <c r="AJ46" s="3" t="n">
        <v>4496085.733055</v>
      </c>
      <c r="AK46" s="3" t="n">
        <v>4903598.123704</v>
      </c>
      <c r="AL46" s="3" t="n">
        <v>5343852.859895</v>
      </c>
      <c r="AM46" s="3" t="n"/>
      <c r="AN46" s="3" t="n"/>
      <c r="AO46" s="3" t="n"/>
      <c r="AP46" s="3" t="n"/>
      <c r="AQ46" s="3" t="n"/>
      <c r="AR46" s="3" t="n"/>
      <c r="AS46" s="3" t="n"/>
      <c r="AT46" s="3" t="n"/>
      <c r="AU46" s="3" t="n"/>
    </row>
    <row r="47">
      <c r="A47" s="3" t="n">
        <v>2031</v>
      </c>
      <c r="B47" s="3" t="inlineStr">
        <is>
          <t>AGO</t>
        </is>
      </c>
      <c r="C47" s="3" t="inlineStr">
        <is>
          <t>IMF.RES:WEO</t>
        </is>
      </c>
      <c r="D47" s="3" t="inlineStr">
        <is>
          <t>AGO.NGDPRPC.A</t>
        </is>
      </c>
      <c r="E47" s="3" t="inlineStr">
        <is>
          <t>Angola</t>
        </is>
      </c>
      <c r="F47" s="3" t="inlineStr">
        <is>
          <t>Gross domestic product (GDP), Constant prices, Per capita, Domestic currency</t>
        </is>
      </c>
      <c r="G47" s="3" t="n">
        <v>334925.77869</v>
      </c>
      <c r="H47" s="3" t="n">
        <v>337501.976458</v>
      </c>
      <c r="I47" s="3" t="n">
        <v>370772.246906</v>
      </c>
      <c r="J47" s="3" t="n">
        <v>370539.243785</v>
      </c>
      <c r="K47" s="3" t="n">
        <v>398278.473841</v>
      </c>
      <c r="L47" s="3" t="n">
        <v>438356.252343</v>
      </c>
      <c r="M47" s="3" t="n">
        <v>472520.963727</v>
      </c>
      <c r="N47" s="3" t="n">
        <v>514334.557733</v>
      </c>
      <c r="O47" s="3" t="n">
        <v>548703.036549</v>
      </c>
      <c r="P47" s="3" t="n">
        <v>538799.968825</v>
      </c>
      <c r="Q47" s="3" t="n">
        <v>545870.444288</v>
      </c>
      <c r="R47" s="3" t="n">
        <v>543904.032352</v>
      </c>
      <c r="S47" s="3" t="n">
        <v>567656.777785</v>
      </c>
      <c r="T47" s="3" t="n">
        <v>572872.866249</v>
      </c>
      <c r="U47" s="3" t="n">
        <v>577601.019406</v>
      </c>
      <c r="V47" s="3" t="n">
        <v>561383.2917619999</v>
      </c>
      <c r="W47" s="3" t="n">
        <v>532452.306608</v>
      </c>
      <c r="X47" s="3" t="n">
        <v>513210.568288</v>
      </c>
      <c r="Y47" s="3" t="n">
        <v>492865.551381</v>
      </c>
      <c r="Z47" s="3" t="n">
        <v>475494.624371</v>
      </c>
      <c r="AA47" s="3" t="n">
        <v>441614.461417</v>
      </c>
      <c r="AB47" s="3" t="n">
        <v>436769.919036</v>
      </c>
      <c r="AC47" s="3" t="n">
        <v>441117.00498</v>
      </c>
      <c r="AD47" s="3" t="n">
        <v>433381.732404</v>
      </c>
      <c r="AE47" s="3" t="n">
        <v>441207.999197</v>
      </c>
      <c r="AF47" s="3" t="n">
        <v>439630.159388</v>
      </c>
      <c r="AG47" s="3" t="n">
        <v>434506.769765</v>
      </c>
      <c r="AH47" s="3" t="n">
        <v>430884.262559</v>
      </c>
      <c r="AI47" s="3" t="n">
        <v>428040.160097</v>
      </c>
      <c r="AJ47" s="3" t="n">
        <v>425847.0286</v>
      </c>
      <c r="AK47" s="3" t="n">
        <v>423908.759656</v>
      </c>
      <c r="AL47" s="3" t="n">
        <v>422233.174319</v>
      </c>
      <c r="AM47" s="3" t="n"/>
      <c r="AN47" s="3" t="n"/>
      <c r="AO47" s="3" t="n"/>
      <c r="AP47" s="3" t="n"/>
      <c r="AQ47" s="3" t="n"/>
      <c r="AR47" s="3" t="n"/>
      <c r="AS47" s="3" t="n"/>
      <c r="AT47" s="3" t="n"/>
      <c r="AU47" s="3" t="n"/>
    </row>
    <row r="48">
      <c r="A48" s="3" t="n">
        <v>2031</v>
      </c>
      <c r="B48" s="3" t="inlineStr">
        <is>
          <t>AGO</t>
        </is>
      </c>
      <c r="C48" s="3" t="inlineStr">
        <is>
          <t>IMF.RES:WEO</t>
        </is>
      </c>
      <c r="D48" s="3" t="inlineStr">
        <is>
          <t>AGO.PCPI.A</t>
        </is>
      </c>
      <c r="E48" s="3" t="inlineStr">
        <is>
          <t>Angola</t>
        </is>
      </c>
      <c r="F48" s="3" t="inlineStr">
        <is>
          <t>All Items, Consumer price index (CPI), Period average</t>
        </is>
      </c>
      <c r="G48" s="3" t="n">
        <v>2.707168</v>
      </c>
      <c r="H48" s="3" t="n">
        <v>6.837929</v>
      </c>
      <c r="I48" s="3" t="n">
        <v>14.283929</v>
      </c>
      <c r="J48" s="3" t="n">
        <v>28.313432</v>
      </c>
      <c r="K48" s="3" t="n">
        <v>40.636978</v>
      </c>
      <c r="L48" s="3" t="n">
        <v>49.967618</v>
      </c>
      <c r="M48" s="3" t="n">
        <v>56.615659</v>
      </c>
      <c r="N48" s="3" t="n">
        <v>63.550672</v>
      </c>
      <c r="O48" s="3" t="n">
        <v>71.47196700000001</v>
      </c>
      <c r="P48" s="3" t="n">
        <v>81.278289</v>
      </c>
      <c r="Q48" s="3" t="n">
        <v>93.047481</v>
      </c>
      <c r="R48" s="3" t="n">
        <v>105.593573</v>
      </c>
      <c r="S48" s="3" t="n">
        <v>116.45353</v>
      </c>
      <c r="T48" s="3" t="n">
        <v>126.681051</v>
      </c>
      <c r="U48" s="3" t="n">
        <v>135.926551</v>
      </c>
      <c r="V48" s="3" t="n">
        <v>148.376729</v>
      </c>
      <c r="W48" s="3" t="n">
        <v>193.920098</v>
      </c>
      <c r="X48" s="3" t="n">
        <v>251.794543</v>
      </c>
      <c r="Y48" s="3" t="n">
        <v>301.21844</v>
      </c>
      <c r="Z48" s="3" t="n">
        <v>352.663692</v>
      </c>
      <c r="AA48" s="3" t="n">
        <v>431.227475</v>
      </c>
      <c r="AB48" s="3" t="n">
        <v>542.334399</v>
      </c>
      <c r="AC48" s="3" t="n">
        <v>658.179487</v>
      </c>
      <c r="AD48" s="3" t="n">
        <v>747.946312</v>
      </c>
      <c r="AE48" s="3" t="n">
        <v>959.104934</v>
      </c>
      <c r="AF48" s="3" t="n">
        <v>1152.492177</v>
      </c>
      <c r="AG48" s="3" t="n">
        <v>1301.125495</v>
      </c>
      <c r="AH48" s="3" t="n">
        <v>1467.540688</v>
      </c>
      <c r="AI48" s="3" t="n">
        <v>1618.614716</v>
      </c>
      <c r="AJ48" s="3" t="n">
        <v>1781.024402</v>
      </c>
      <c r="AK48" s="3" t="n">
        <v>1957.807863</v>
      </c>
      <c r="AL48" s="3" t="n">
        <v>2149.001775</v>
      </c>
      <c r="AM48" s="3" t="n"/>
      <c r="AN48" s="3" t="n"/>
      <c r="AO48" s="3" t="n"/>
      <c r="AP48" s="3" t="n"/>
      <c r="AQ48" s="3" t="n"/>
      <c r="AR48" s="3" t="n"/>
      <c r="AS48" s="3" t="n"/>
      <c r="AT48" s="3" t="n"/>
      <c r="AU48" s="3" t="n"/>
    </row>
    <row r="49">
      <c r="A49" s="3" t="n">
        <v>2031</v>
      </c>
      <c r="B49" s="3" t="inlineStr">
        <is>
          <t>AGO</t>
        </is>
      </c>
      <c r="C49" s="3" t="inlineStr">
        <is>
          <t>IMF.RES:WEO</t>
        </is>
      </c>
      <c r="D49" s="3" t="inlineStr">
        <is>
          <t>AGO.PCPIPCH.A</t>
        </is>
      </c>
      <c r="E49" s="3" t="inlineStr">
        <is>
          <t>Angola</t>
        </is>
      </c>
      <c r="F49" s="3" t="inlineStr">
        <is>
          <t>All Items, Consumer price index (CPI), Period average, percent change</t>
        </is>
      </c>
      <c r="G49" s="3" t="n">
        <v>325.028577</v>
      </c>
      <c r="H49" s="3" t="n">
        <v>152.586104</v>
      </c>
      <c r="I49" s="3" t="n">
        <v>108.892618</v>
      </c>
      <c r="J49" s="3" t="n">
        <v>98.218791</v>
      </c>
      <c r="K49" s="3" t="n">
        <v>43.525439</v>
      </c>
      <c r="L49" s="3" t="n">
        <v>22.960959</v>
      </c>
      <c r="M49" s="3" t="n">
        <v>13.304699</v>
      </c>
      <c r="N49" s="3" t="n">
        <v>12.249284</v>
      </c>
      <c r="O49" s="3" t="n">
        <v>12.464534</v>
      </c>
      <c r="P49" s="3" t="n">
        <v>13.720516</v>
      </c>
      <c r="Q49" s="3" t="n">
        <v>14.480117</v>
      </c>
      <c r="R49" s="3" t="n">
        <v>13.483538</v>
      </c>
      <c r="S49" s="3" t="n">
        <v>10.284676</v>
      </c>
      <c r="T49" s="3" t="n">
        <v>8.782492</v>
      </c>
      <c r="U49" s="3" t="n">
        <v>7.29825</v>
      </c>
      <c r="V49" s="3" t="n">
        <v>9.159489000000001</v>
      </c>
      <c r="W49" s="3" t="n">
        <v>30.694415</v>
      </c>
      <c r="X49" s="3" t="n">
        <v>29.84448</v>
      </c>
      <c r="Y49" s="3" t="n">
        <v>19.628661</v>
      </c>
      <c r="Z49" s="3" t="n">
        <v>17.079051</v>
      </c>
      <c r="AA49" s="3" t="n">
        <v>22.277253</v>
      </c>
      <c r="AB49" s="3" t="n">
        <v>25.76527</v>
      </c>
      <c r="AC49" s="3" t="n">
        <v>21.360454</v>
      </c>
      <c r="AD49" s="3" t="n">
        <v>13.638654</v>
      </c>
      <c r="AE49" s="3" t="n">
        <v>28.231789</v>
      </c>
      <c r="AF49" s="3" t="n">
        <v>20.163304</v>
      </c>
      <c r="AG49" s="3" t="n">
        <v>12.896688</v>
      </c>
      <c r="AH49" s="3" t="n">
        <v>12.790095</v>
      </c>
      <c r="AI49" s="3" t="n">
        <v>10.294367</v>
      </c>
      <c r="AJ49" s="3" t="n">
        <v>10.033869</v>
      </c>
      <c r="AK49" s="3" t="n">
        <v>9.925943</v>
      </c>
      <c r="AL49" s="3" t="n">
        <v>9.765713999999999</v>
      </c>
      <c r="AM49" s="3" t="n"/>
      <c r="AN49" s="3" t="n"/>
      <c r="AO49" s="3" t="n"/>
      <c r="AP49" s="3" t="n"/>
      <c r="AQ49" s="3" t="n"/>
      <c r="AR49" s="3" t="n"/>
      <c r="AS49" s="3" t="n"/>
      <c r="AT49" s="3" t="n"/>
      <c r="AU49" s="3" t="n"/>
    </row>
    <row r="50">
      <c r="A50" s="3" t="n">
        <v>2031</v>
      </c>
      <c r="B50" s="3" t="inlineStr">
        <is>
          <t>AGO</t>
        </is>
      </c>
      <c r="C50" s="3" t="inlineStr">
        <is>
          <t>IMF.RES:WEO</t>
        </is>
      </c>
      <c r="D50" s="3" t="inlineStr">
        <is>
          <t>AGO.PPPPC.A</t>
        </is>
      </c>
      <c r="E50" s="3" t="inlineStr">
        <is>
          <t>Angola</t>
        </is>
      </c>
      <c r="F50" s="3" t="inlineStr">
        <is>
          <t>Gross domestic product (GDP), Per capita, purchasing power parity (PPP) international dollar, ICP benchmarks 2017-2021</t>
        </is>
      </c>
      <c r="G50" s="3" t="n">
        <v>3856.395475</v>
      </c>
      <c r="H50" s="3" t="n">
        <v>3973.557558</v>
      </c>
      <c r="I50" s="3" t="n">
        <v>4433.100669</v>
      </c>
      <c r="J50" s="3" t="n">
        <v>4517.778761</v>
      </c>
      <c r="K50" s="3" t="n">
        <v>4986.559495</v>
      </c>
      <c r="L50" s="3" t="n">
        <v>5660.44931</v>
      </c>
      <c r="M50" s="3" t="n">
        <v>6289.781332</v>
      </c>
      <c r="N50" s="3" t="n">
        <v>7031.853501</v>
      </c>
      <c r="O50" s="3" t="n">
        <v>7646.244938</v>
      </c>
      <c r="P50" s="3" t="n">
        <v>7554.550952</v>
      </c>
      <c r="Q50" s="3" t="n">
        <v>7746.70753</v>
      </c>
      <c r="R50" s="3" t="n">
        <v>7878.059283</v>
      </c>
      <c r="S50" s="3" t="n">
        <v>8375.190676</v>
      </c>
      <c r="T50" s="3" t="n">
        <v>8596.004671999999</v>
      </c>
      <c r="U50" s="3" t="n">
        <v>8817.904573</v>
      </c>
      <c r="V50" s="3" t="n">
        <v>8649.854907000001</v>
      </c>
      <c r="W50" s="3" t="n">
        <v>8282.040268000001</v>
      </c>
      <c r="X50" s="3" t="n">
        <v>8125.706394</v>
      </c>
      <c r="Y50" s="3" t="n">
        <v>8370.228757000001</v>
      </c>
      <c r="Z50" s="3" t="n">
        <v>8621.659308</v>
      </c>
      <c r="AA50" s="3" t="n">
        <v>7782.151535</v>
      </c>
      <c r="AB50" s="3" t="n">
        <v>8720.187688</v>
      </c>
      <c r="AC50" s="3" t="n">
        <v>9433.366759</v>
      </c>
      <c r="AD50" s="3" t="n">
        <v>9610.863674</v>
      </c>
      <c r="AE50" s="3" t="n">
        <v>10027.325074</v>
      </c>
      <c r="AF50" s="3" t="n">
        <v>10274.900093</v>
      </c>
      <c r="AG50" s="3" t="n">
        <v>10446.087937</v>
      </c>
      <c r="AH50" s="3" t="n">
        <v>10586.471773</v>
      </c>
      <c r="AI50" s="3" t="n">
        <v>10689.212902</v>
      </c>
      <c r="AJ50" s="3" t="n">
        <v>10823.537004</v>
      </c>
      <c r="AK50" s="3" t="n">
        <v>10972.253168</v>
      </c>
      <c r="AL50" s="3" t="n">
        <v>11126.182435</v>
      </c>
      <c r="AM50" s="3" t="n"/>
      <c r="AN50" s="3" t="n"/>
      <c r="AO50" s="3" t="n"/>
      <c r="AP50" s="3" t="n"/>
      <c r="AQ50" s="3" t="n"/>
      <c r="AR50" s="3" t="n"/>
      <c r="AS50" s="3" t="n"/>
      <c r="AT50" s="3" t="n"/>
      <c r="AU50" s="3" t="n"/>
    </row>
    <row r="51">
      <c r="A51" s="3" t="n">
        <v>2025</v>
      </c>
      <c r="B51" s="3" t="inlineStr">
        <is>
          <t>AGO</t>
        </is>
      </c>
      <c r="C51" s="3" t="inlineStr">
        <is>
          <t>IMF.STA:ER</t>
        </is>
      </c>
      <c r="D51" s="3" t="inlineStr">
        <is>
          <t>AGO.XDC_USD.PA_RT.A</t>
        </is>
      </c>
      <c r="E51" s="3" t="inlineStr">
        <is>
          <t>Angola</t>
        </is>
      </c>
      <c r="F51" s="3" t="inlineStr">
        <is>
          <t>Domestic currency per US Dollar</t>
        </is>
      </c>
      <c r="G51" s="3" t="n">
        <v>10.0405441666666</v>
      </c>
      <c r="H51" s="3" t="n">
        <v>22.0578616666666</v>
      </c>
      <c r="I51" s="3" t="n">
        <v>43.5302066666666</v>
      </c>
      <c r="J51" s="3" t="n">
        <v>74.60630083333329</v>
      </c>
      <c r="K51" s="3" t="n">
        <v>83.54136250000001</v>
      </c>
      <c r="L51" s="3" t="n">
        <v>87.1591416666666</v>
      </c>
      <c r="M51" s="3" t="n">
        <v>80.3680720555555</v>
      </c>
      <c r="N51" s="3" t="n">
        <v>76.70614275</v>
      </c>
      <c r="O51" s="3" t="n">
        <v>75.0333541666666</v>
      </c>
      <c r="P51" s="3" t="n">
        <v>79.3281666666666</v>
      </c>
      <c r="Q51" s="3" t="n">
        <v>91.9057203405018</v>
      </c>
      <c r="R51" s="3" t="n">
        <v>93.93474999999999</v>
      </c>
      <c r="S51" s="3" t="n">
        <v>95.467955421311</v>
      </c>
      <c r="T51" s="3" t="n">
        <v>96.5182794791525</v>
      </c>
      <c r="U51" s="3" t="n">
        <v>98.3024168556335</v>
      </c>
      <c r="V51" s="3" t="n">
        <v>120.060701665018</v>
      </c>
      <c r="W51" s="3" t="n">
        <v>163.656434116578</v>
      </c>
      <c r="X51" s="3" t="n">
        <v>165.915950691497</v>
      </c>
      <c r="Y51" s="3" t="n">
        <v>252.855747731297</v>
      </c>
      <c r="Z51" s="3" t="n">
        <v>364.825804980886</v>
      </c>
      <c r="AA51" s="3" t="n">
        <v>578.25878028011</v>
      </c>
      <c r="AB51" s="3" t="n">
        <v>631.441955506727</v>
      </c>
      <c r="AC51" s="3" t="n">
        <v>460.567511631461</v>
      </c>
      <c r="AD51" s="3" t="n">
        <v>685.020237761448</v>
      </c>
      <c r="AE51" s="3" t="n">
        <v>869.846189590007</v>
      </c>
      <c r="AF51" s="3" t="n">
        <v>911.99303781631</v>
      </c>
      <c r="AG51" s="3" t="n"/>
      <c r="AH51" s="3" t="n"/>
      <c r="AI51" s="3" t="n"/>
      <c r="AJ51" s="3" t="n"/>
      <c r="AK51" s="3" t="n"/>
      <c r="AL51" s="3" t="n"/>
      <c r="AM51" s="3" t="n"/>
      <c r="AN51" s="3" t="n"/>
      <c r="AO51" s="3" t="n"/>
      <c r="AP51" s="3" t="n"/>
      <c r="AQ51" s="3" t="n"/>
      <c r="AR51" s="3" t="n"/>
      <c r="AS51" s="3" t="n"/>
      <c r="AT51" s="3" t="n"/>
      <c r="AU51" s="3" t="n"/>
    </row>
    <row r="52">
      <c r="A52" s="3" t="n">
        <v>2025</v>
      </c>
      <c r="B52" s="3" t="inlineStr">
        <is>
          <t>AIA</t>
        </is>
      </c>
      <c r="C52" s="3" t="inlineStr">
        <is>
          <t>IMF.STA:ER</t>
        </is>
      </c>
      <c r="D52" s="3" t="inlineStr">
        <is>
          <t>AIA.XDC_USD.PA_RT.A</t>
        </is>
      </c>
      <c r="E52" s="3" t="inlineStr">
        <is>
          <t>Anguilla, United Kingdom-British Overseas Territory</t>
        </is>
      </c>
      <c r="F52" s="3" t="inlineStr">
        <is>
          <t>Domestic currency per US Dollar</t>
        </is>
      </c>
      <c r="G52" s="3" t="n">
        <v>2.7</v>
      </c>
      <c r="H52" s="3" t="n">
        <v>2.7</v>
      </c>
      <c r="I52" s="3" t="n">
        <v>2.7</v>
      </c>
      <c r="J52" s="3" t="n">
        <v>2.7</v>
      </c>
      <c r="K52" s="3" t="n">
        <v>2.7</v>
      </c>
      <c r="L52" s="3" t="n">
        <v>2.7</v>
      </c>
      <c r="M52" s="3" t="n">
        <v>2.7</v>
      </c>
      <c r="N52" s="3" t="n">
        <v>2.7</v>
      </c>
      <c r="O52" s="3" t="n">
        <v>2.7</v>
      </c>
      <c r="P52" s="3" t="n">
        <v>2.7</v>
      </c>
      <c r="Q52" s="3" t="n">
        <v>2.7</v>
      </c>
      <c r="R52" s="3" t="n">
        <v>2.7</v>
      </c>
      <c r="S52" s="3" t="n">
        <v>2.7</v>
      </c>
      <c r="T52" s="3" t="n">
        <v>2.7</v>
      </c>
      <c r="U52" s="3" t="n">
        <v>2.7</v>
      </c>
      <c r="V52" s="3" t="n">
        <v>2.7</v>
      </c>
      <c r="W52" s="3" t="n">
        <v>2.7</v>
      </c>
      <c r="X52" s="3" t="n">
        <v>2.7</v>
      </c>
      <c r="Y52" s="3" t="n">
        <v>2.7</v>
      </c>
      <c r="Z52" s="3" t="n">
        <v>2.7</v>
      </c>
      <c r="AA52" s="3" t="n">
        <v>2.7</v>
      </c>
      <c r="AB52" s="3" t="n">
        <v>2.7</v>
      </c>
      <c r="AC52" s="3" t="n">
        <v>2.7</v>
      </c>
      <c r="AD52" s="3" t="n">
        <v>2.7</v>
      </c>
      <c r="AE52" s="3" t="n">
        <v>2.7</v>
      </c>
      <c r="AF52" s="3" t="n">
        <v>2.7</v>
      </c>
      <c r="AG52" s="3" t="n"/>
      <c r="AH52" s="3" t="n"/>
      <c r="AI52" s="3" t="n"/>
      <c r="AJ52" s="3" t="n"/>
      <c r="AK52" s="3" t="n"/>
      <c r="AL52" s="3" t="n"/>
      <c r="AM52" s="3" t="n"/>
      <c r="AN52" s="3" t="n"/>
      <c r="AO52" s="3" t="n"/>
      <c r="AP52" s="3" t="n"/>
      <c r="AQ52" s="3" t="n"/>
      <c r="AR52" s="3" t="n"/>
      <c r="AS52" s="3" t="n"/>
      <c r="AT52" s="3" t="n"/>
      <c r="AU52" s="3" t="n"/>
    </row>
    <row r="53">
      <c r="A53" s="3" t="n">
        <v>2031</v>
      </c>
      <c r="B53" s="3" t="inlineStr">
        <is>
          <t>ALB</t>
        </is>
      </c>
      <c r="C53" s="3" t="inlineStr">
        <is>
          <t>IMF.RES:WEO</t>
        </is>
      </c>
      <c r="D53" s="3" t="inlineStr">
        <is>
          <t>ALB.BCA.A</t>
        </is>
      </c>
      <c r="E53" s="3" t="inlineStr">
        <is>
          <t>Albania</t>
        </is>
      </c>
      <c r="F53" s="3" t="inlineStr">
        <is>
          <t>Current account balance (credit less debit), US dollar</t>
        </is>
      </c>
      <c r="G53" s="3" t="n">
        <v>-0.24626</v>
      </c>
      <c r="H53" s="3" t="n">
        <v>-0.248043</v>
      </c>
      <c r="I53" s="3" t="n">
        <v>-0.442608</v>
      </c>
      <c r="J53" s="3" t="n">
        <v>-0.431809</v>
      </c>
      <c r="K53" s="3" t="n">
        <v>-0.42022</v>
      </c>
      <c r="L53" s="3" t="n">
        <v>-0.733224</v>
      </c>
      <c r="M53" s="3" t="n">
        <v>-0.592109</v>
      </c>
      <c r="N53" s="3" t="n">
        <v>-1.129654</v>
      </c>
      <c r="O53" s="3" t="n">
        <v>-2.031158</v>
      </c>
      <c r="P53" s="3" t="n">
        <v>-1.852797</v>
      </c>
      <c r="Q53" s="3" t="n">
        <v>-1.351422</v>
      </c>
      <c r="R53" s="3" t="n">
        <v>-1.666176</v>
      </c>
      <c r="S53" s="3" t="n">
        <v>-1.257307</v>
      </c>
      <c r="T53" s="3" t="n">
        <v>-1.182807</v>
      </c>
      <c r="U53" s="3" t="n">
        <v>-1.430253</v>
      </c>
      <c r="V53" s="3" t="n">
        <v>-0.980506</v>
      </c>
      <c r="W53" s="3" t="n">
        <v>-0.898184</v>
      </c>
      <c r="X53" s="3" t="n">
        <v>-0.977955</v>
      </c>
      <c r="Y53" s="3" t="n">
        <v>-1.023662</v>
      </c>
      <c r="Z53" s="3" t="n">
        <v>-1.165816</v>
      </c>
      <c r="AA53" s="3" t="n">
        <v>-1.315454</v>
      </c>
      <c r="AB53" s="3" t="n">
        <v>-1.380495</v>
      </c>
      <c r="AC53" s="3" t="n">
        <v>-1.120969</v>
      </c>
      <c r="AD53" s="3" t="n">
        <v>-0.284583</v>
      </c>
      <c r="AE53" s="3" t="n">
        <v>-0.6568079999999999</v>
      </c>
      <c r="AF53" s="3" t="n">
        <v>-0.600761</v>
      </c>
      <c r="AG53" s="3" t="n">
        <v>-0.936978</v>
      </c>
      <c r="AH53" s="3" t="n">
        <v>-1.169571</v>
      </c>
      <c r="AI53" s="3" t="n">
        <v>-1.140564</v>
      </c>
      <c r="AJ53" s="3" t="n">
        <v>-1.178173</v>
      </c>
      <c r="AK53" s="3" t="n">
        <v>-1.272163</v>
      </c>
      <c r="AL53" s="3" t="n">
        <v>-1.336233</v>
      </c>
      <c r="AM53" s="3" t="n"/>
      <c r="AN53" s="3" t="n"/>
      <c r="AO53" s="3" t="n"/>
      <c r="AP53" s="3" t="n"/>
      <c r="AQ53" s="3" t="n"/>
      <c r="AR53" s="3" t="n"/>
      <c r="AS53" s="3" t="n"/>
      <c r="AT53" s="3" t="n"/>
      <c r="AU53" s="3" t="n"/>
    </row>
    <row r="54">
      <c r="A54" s="3" t="n">
        <v>2031</v>
      </c>
      <c r="B54" s="3" t="inlineStr">
        <is>
          <t>ALB</t>
        </is>
      </c>
      <c r="C54" s="3" t="inlineStr">
        <is>
          <t>IMF.RES:WEO</t>
        </is>
      </c>
      <c r="D54" s="3" t="inlineStr">
        <is>
          <t>ALB.BCA_NGDPD.A</t>
        </is>
      </c>
      <c r="E54" s="3" t="inlineStr">
        <is>
          <t>Albania</t>
        </is>
      </c>
      <c r="F54" s="3" t="inlineStr">
        <is>
          <t>Current account balance (credit less debit), Percent of GDP</t>
        </is>
      </c>
      <c r="G54" s="3" t="n">
        <v>-7.060984</v>
      </c>
      <c r="H54" s="3" t="n">
        <v>-6.316454</v>
      </c>
      <c r="I54" s="3" t="n">
        <v>-10.161222</v>
      </c>
      <c r="J54" s="3" t="n">
        <v>-7.764422</v>
      </c>
      <c r="K54" s="3" t="n">
        <v>-5.854879</v>
      </c>
      <c r="L54" s="3" t="n">
        <v>-9.106073</v>
      </c>
      <c r="M54" s="3" t="n">
        <v>-6.655842</v>
      </c>
      <c r="N54" s="3" t="n">
        <v>-10.579889</v>
      </c>
      <c r="O54" s="3" t="n">
        <v>-15.768124</v>
      </c>
      <c r="P54" s="3" t="n">
        <v>-15.383471</v>
      </c>
      <c r="Q54" s="3" t="n">
        <v>-11.321214</v>
      </c>
      <c r="R54" s="3" t="n">
        <v>-12.917344</v>
      </c>
      <c r="S54" s="3" t="n">
        <v>-10.202482</v>
      </c>
      <c r="T54" s="3" t="n">
        <v>-9.252560000000001</v>
      </c>
      <c r="U54" s="3" t="n">
        <v>-10.797371</v>
      </c>
      <c r="V54" s="3" t="n">
        <v>-8.609104</v>
      </c>
      <c r="W54" s="3" t="n">
        <v>-7.571815</v>
      </c>
      <c r="X54" s="3" t="n">
        <v>-7.491942</v>
      </c>
      <c r="Y54" s="3" t="n">
        <v>-6.655937</v>
      </c>
      <c r="Z54" s="3" t="n">
        <v>-7.48186</v>
      </c>
      <c r="AA54" s="3" t="n">
        <v>-8.614214</v>
      </c>
      <c r="AB54" s="3" t="n">
        <v>-7.676027</v>
      </c>
      <c r="AC54" s="3" t="n">
        <v>-5.841861</v>
      </c>
      <c r="AD54" s="3" t="n">
        <v>-1.204162</v>
      </c>
      <c r="AE54" s="3" t="n">
        <v>-2.42512</v>
      </c>
      <c r="AF54" s="3" t="n">
        <v>-1.984069</v>
      </c>
      <c r="AG54" s="3" t="n">
        <v>-2.810937</v>
      </c>
      <c r="AH54" s="3" t="n">
        <v>-3.350033</v>
      </c>
      <c r="AI54" s="3" t="n">
        <v>-3.082794</v>
      </c>
      <c r="AJ54" s="3" t="n">
        <v>-3.006386</v>
      </c>
      <c r="AK54" s="3" t="n">
        <v>-3.063049</v>
      </c>
      <c r="AL54" s="3" t="n">
        <v>-3.034666</v>
      </c>
      <c r="AM54" s="3" t="n"/>
      <c r="AN54" s="3" t="n"/>
      <c r="AO54" s="3" t="n"/>
      <c r="AP54" s="3" t="n"/>
      <c r="AQ54" s="3" t="n"/>
      <c r="AR54" s="3" t="n"/>
      <c r="AS54" s="3" t="n"/>
      <c r="AT54" s="3" t="n"/>
      <c r="AU54" s="3" t="n"/>
    </row>
    <row r="55">
      <c r="A55" s="3" t="n">
        <v>2031</v>
      </c>
      <c r="B55" s="3" t="inlineStr">
        <is>
          <t>ALB</t>
        </is>
      </c>
      <c r="C55" s="3" t="inlineStr">
        <is>
          <t>IMF.RES:WEO</t>
        </is>
      </c>
      <c r="D55" s="3" t="inlineStr">
        <is>
          <t>ALB.GGR_NGDP.A</t>
        </is>
      </c>
      <c r="E55" s="3" t="inlineStr">
        <is>
          <t>Albania</t>
        </is>
      </c>
      <c r="F55" s="3" t="inlineStr">
        <is>
          <t>Revenue, General government, Percent of GDP</t>
        </is>
      </c>
      <c r="G55" s="3" t="n">
        <v>26.065934</v>
      </c>
      <c r="H55" s="3" t="n">
        <v>25.847842</v>
      </c>
      <c r="I55" s="3" t="n">
        <v>25.322975</v>
      </c>
      <c r="J55" s="3" t="n">
        <v>24.673854</v>
      </c>
      <c r="K55" s="3" t="n">
        <v>24.992064</v>
      </c>
      <c r="L55" s="3" t="n">
        <v>25.434208</v>
      </c>
      <c r="M55" s="3" t="n">
        <v>25.928</v>
      </c>
      <c r="N55" s="3" t="n">
        <v>26.129876</v>
      </c>
      <c r="O55" s="3" t="n">
        <v>26.842287</v>
      </c>
      <c r="P55" s="3" t="n">
        <v>26.093</v>
      </c>
      <c r="Q55" s="3" t="n">
        <v>25.866527</v>
      </c>
      <c r="R55" s="3" t="n">
        <v>25.406957</v>
      </c>
      <c r="S55" s="3" t="n">
        <v>24.788504</v>
      </c>
      <c r="T55" s="3" t="n">
        <v>23.977495</v>
      </c>
      <c r="U55" s="3" t="n">
        <v>26.271611</v>
      </c>
      <c r="V55" s="3" t="n">
        <v>26.439994</v>
      </c>
      <c r="W55" s="3" t="n">
        <v>27.641886</v>
      </c>
      <c r="X55" s="3" t="n">
        <v>27.756016</v>
      </c>
      <c r="Y55" s="3" t="n">
        <v>27.089591</v>
      </c>
      <c r="Z55" s="3" t="n">
        <v>26.888937</v>
      </c>
      <c r="AA55" s="3" t="n">
        <v>25.719134</v>
      </c>
      <c r="AB55" s="3" t="n">
        <v>27.372303</v>
      </c>
      <c r="AC55" s="3" t="n">
        <v>26.644573</v>
      </c>
      <c r="AD55" s="3" t="n">
        <v>27.225151</v>
      </c>
      <c r="AE55" s="3" t="n">
        <v>28.212038</v>
      </c>
      <c r="AF55" s="3" t="n">
        <v>28.333272</v>
      </c>
      <c r="AG55" s="3" t="n">
        <v>29.008046</v>
      </c>
      <c r="AH55" s="3" t="n">
        <v>29.46685</v>
      </c>
      <c r="AI55" s="3" t="n">
        <v>29.543657</v>
      </c>
      <c r="AJ55" s="3" t="n">
        <v>29.295785</v>
      </c>
      <c r="AK55" s="3" t="n">
        <v>29.305707</v>
      </c>
      <c r="AL55" s="3" t="n">
        <v>29.385651</v>
      </c>
      <c r="AM55" s="3" t="n"/>
      <c r="AN55" s="3" t="n"/>
      <c r="AO55" s="3" t="n"/>
      <c r="AP55" s="3" t="n"/>
      <c r="AQ55" s="3" t="n"/>
      <c r="AR55" s="3" t="n"/>
      <c r="AS55" s="3" t="n"/>
      <c r="AT55" s="3" t="n"/>
      <c r="AU55" s="3" t="n"/>
    </row>
    <row r="56">
      <c r="A56" s="3" t="n">
        <v>2031</v>
      </c>
      <c r="B56" s="3" t="inlineStr">
        <is>
          <t>ALB</t>
        </is>
      </c>
      <c r="C56" s="3" t="inlineStr">
        <is>
          <t>IMF.RES:WEO</t>
        </is>
      </c>
      <c r="D56" s="3" t="inlineStr">
        <is>
          <t>ALB.GGX_NGDP.A</t>
        </is>
      </c>
      <c r="E56" s="3" t="inlineStr">
        <is>
          <t>Albania</t>
        </is>
      </c>
      <c r="F56" s="3" t="inlineStr">
        <is>
          <t>Expenditure, General government, Percent of GDP</t>
        </is>
      </c>
      <c r="G56" s="3" t="n">
        <v>33.837998</v>
      </c>
      <c r="H56" s="3" t="n">
        <v>32.685008</v>
      </c>
      <c r="I56" s="3" t="n">
        <v>31.534585</v>
      </c>
      <c r="J56" s="3" t="n">
        <v>29.679964</v>
      </c>
      <c r="K56" s="3" t="n">
        <v>30.154813</v>
      </c>
      <c r="L56" s="3" t="n">
        <v>28.891996</v>
      </c>
      <c r="M56" s="3" t="n">
        <v>29.191216</v>
      </c>
      <c r="N56" s="3" t="n">
        <v>29.309013</v>
      </c>
      <c r="O56" s="3" t="n">
        <v>31.726485</v>
      </c>
      <c r="P56" s="3" t="n">
        <v>32.679478</v>
      </c>
      <c r="Q56" s="3" t="n">
        <v>29.386649</v>
      </c>
      <c r="R56" s="3" t="n">
        <v>28.923269</v>
      </c>
      <c r="S56" s="3" t="n">
        <v>28.229104</v>
      </c>
      <c r="T56" s="3" t="n">
        <v>29.192714</v>
      </c>
      <c r="U56" s="3" t="n">
        <v>31.729155</v>
      </c>
      <c r="V56" s="3" t="n">
        <v>30.757805</v>
      </c>
      <c r="W56" s="3" t="n">
        <v>29.139476</v>
      </c>
      <c r="X56" s="3" t="n">
        <v>29.16157</v>
      </c>
      <c r="Y56" s="3" t="n">
        <v>28.669396</v>
      </c>
      <c r="Z56" s="3" t="n">
        <v>28.731686</v>
      </c>
      <c r="AA56" s="3" t="n">
        <v>32.384281</v>
      </c>
      <c r="AB56" s="3" t="n">
        <v>31.943455</v>
      </c>
      <c r="AC56" s="3" t="n">
        <v>30.283296</v>
      </c>
      <c r="AD56" s="3" t="n">
        <v>28.543919</v>
      </c>
      <c r="AE56" s="3" t="n">
        <v>28.936605</v>
      </c>
      <c r="AF56" s="3" t="n">
        <v>30.079737</v>
      </c>
      <c r="AG56" s="3" t="n">
        <v>31.029637</v>
      </c>
      <c r="AH56" s="3" t="n">
        <v>31.708165</v>
      </c>
      <c r="AI56" s="3" t="n">
        <v>31.797448</v>
      </c>
      <c r="AJ56" s="3" t="n">
        <v>31.513417</v>
      </c>
      <c r="AK56" s="3" t="n">
        <v>31.598326</v>
      </c>
      <c r="AL56" s="3" t="n">
        <v>31.635401</v>
      </c>
      <c r="AM56" s="3" t="n"/>
      <c r="AN56" s="3" t="n"/>
      <c r="AO56" s="3" t="n"/>
      <c r="AP56" s="3" t="n"/>
      <c r="AQ56" s="3" t="n"/>
      <c r="AR56" s="3" t="n"/>
      <c r="AS56" s="3" t="n"/>
      <c r="AT56" s="3" t="n"/>
      <c r="AU56" s="3" t="n"/>
    </row>
    <row r="57">
      <c r="A57" s="3" t="n">
        <v>2031</v>
      </c>
      <c r="B57" s="3" t="inlineStr">
        <is>
          <t>ALB</t>
        </is>
      </c>
      <c r="C57" s="3" t="inlineStr">
        <is>
          <t>IMF.RES:WEO</t>
        </is>
      </c>
      <c r="D57" s="3" t="inlineStr">
        <is>
          <t>ALB.LP.A</t>
        </is>
      </c>
      <c r="E57" s="3" t="inlineStr">
        <is>
          <t>Albania</t>
        </is>
      </c>
      <c r="F57" s="3" t="inlineStr">
        <is>
          <t>Population, Persons for countries / Index for country groups</t>
        </is>
      </c>
      <c r="G57" s="3" t="n">
        <v>3.089027</v>
      </c>
      <c r="H57" s="3" t="n">
        <v>3.060173</v>
      </c>
      <c r="I57" s="3" t="n">
        <v>3.05101</v>
      </c>
      <c r="J57" s="3" t="n">
        <v>3.039616</v>
      </c>
      <c r="K57" s="3" t="n">
        <v>3.026939</v>
      </c>
      <c r="L57" s="3" t="n">
        <v>3.011487</v>
      </c>
      <c r="M57" s="3" t="n">
        <v>2.992547</v>
      </c>
      <c r="N57" s="3" t="n">
        <v>2.970017</v>
      </c>
      <c r="O57" s="3" t="n">
        <v>2.947314</v>
      </c>
      <c r="P57" s="3" t="n">
        <v>2.927519</v>
      </c>
      <c r="Q57" s="3" t="n">
        <v>2.913021</v>
      </c>
      <c r="R57" s="3" t="n">
        <v>2.905195</v>
      </c>
      <c r="S57" s="3" t="n">
        <v>2.900401</v>
      </c>
      <c r="T57" s="3" t="n">
        <v>2.895092</v>
      </c>
      <c r="U57" s="3" t="n">
        <v>2.889104</v>
      </c>
      <c r="V57" s="3" t="n">
        <v>2.880703</v>
      </c>
      <c r="W57" s="3" t="n">
        <v>2.876101</v>
      </c>
      <c r="X57" s="3" t="n">
        <v>2.873457</v>
      </c>
      <c r="Y57" s="3" t="n">
        <v>2.866376</v>
      </c>
      <c r="Z57" s="3" t="n">
        <v>2.854191</v>
      </c>
      <c r="AA57" s="3" t="n">
        <v>2.837849</v>
      </c>
      <c r="AB57" s="3" t="n">
        <v>2.811666</v>
      </c>
      <c r="AC57" s="3" t="n">
        <v>2.777689</v>
      </c>
      <c r="AD57" s="3" t="n">
        <v>2.749912</v>
      </c>
      <c r="AE57" s="3" t="n">
        <v>2.722413</v>
      </c>
      <c r="AF57" s="3" t="n">
        <v>2.695189</v>
      </c>
      <c r="AG57" s="3" t="n">
        <v>2.668237</v>
      </c>
      <c r="AH57" s="3" t="n">
        <v>2.641555</v>
      </c>
      <c r="AI57" s="3" t="n">
        <v>2.615139</v>
      </c>
      <c r="AJ57" s="3" t="n">
        <v>2.588988</v>
      </c>
      <c r="AK57" s="3" t="n">
        <v>2.563098</v>
      </c>
      <c r="AL57" s="3" t="n">
        <v>2.537467</v>
      </c>
      <c r="AM57" s="3" t="n"/>
      <c r="AN57" s="3" t="n"/>
      <c r="AO57" s="3" t="n"/>
      <c r="AP57" s="3" t="n"/>
      <c r="AQ57" s="3" t="n"/>
      <c r="AR57" s="3" t="n"/>
      <c r="AS57" s="3" t="n"/>
      <c r="AT57" s="3" t="n"/>
      <c r="AU57" s="3" t="n"/>
    </row>
    <row r="58">
      <c r="A58" s="3" t="n">
        <v>2031</v>
      </c>
      <c r="B58" s="3" t="inlineStr">
        <is>
          <t>ALB</t>
        </is>
      </c>
      <c r="C58" s="3" t="inlineStr">
        <is>
          <t>IMF.RES:WEO</t>
        </is>
      </c>
      <c r="D58" s="3" t="inlineStr">
        <is>
          <t>ALB.NGDP.A</t>
        </is>
      </c>
      <c r="E58" s="3" t="inlineStr">
        <is>
          <t>Albania</t>
        </is>
      </c>
      <c r="F58" s="3" t="inlineStr">
        <is>
          <t>Gross domestic product (GDP), Current prices, Domestic currency</t>
        </is>
      </c>
      <c r="G58" s="3" t="n">
        <v>501.198993</v>
      </c>
      <c r="H58" s="3" t="n">
        <v>563.448812</v>
      </c>
      <c r="I58" s="3" t="n">
        <v>610.494275</v>
      </c>
      <c r="J58" s="3" t="n">
        <v>677.737525</v>
      </c>
      <c r="K58" s="3" t="n">
        <v>737.655548</v>
      </c>
      <c r="L58" s="3" t="n">
        <v>804.16321</v>
      </c>
      <c r="M58" s="3" t="n">
        <v>872.735099</v>
      </c>
      <c r="N58" s="3" t="n">
        <v>965.5277599999999</v>
      </c>
      <c r="O58" s="3" t="n">
        <v>1080.675931</v>
      </c>
      <c r="P58" s="3" t="n">
        <v>1143.936458</v>
      </c>
      <c r="Q58" s="3" t="n">
        <v>1239.644585</v>
      </c>
      <c r="R58" s="3" t="n">
        <v>1300.62408</v>
      </c>
      <c r="S58" s="3" t="n">
        <v>1332.810989</v>
      </c>
      <c r="T58" s="3" t="n">
        <v>1350.052636</v>
      </c>
      <c r="U58" s="3" t="n">
        <v>1395.30463</v>
      </c>
      <c r="V58" s="3" t="n">
        <v>1434.30651</v>
      </c>
      <c r="W58" s="3" t="n">
        <v>1472.47913</v>
      </c>
      <c r="X58" s="3" t="n">
        <v>1550.64548</v>
      </c>
      <c r="Y58" s="3" t="n">
        <v>1660.820293</v>
      </c>
      <c r="Z58" s="3" t="n">
        <v>1712.037493</v>
      </c>
      <c r="AA58" s="3" t="n">
        <v>1655.984146</v>
      </c>
      <c r="AB58" s="3" t="n">
        <v>1866.671563</v>
      </c>
      <c r="AC58" s="3" t="n">
        <v>2149.742304</v>
      </c>
      <c r="AD58" s="3" t="n">
        <v>2364.275642</v>
      </c>
      <c r="AE58" s="3" t="n">
        <v>2517.819719</v>
      </c>
      <c r="AF58" s="3" t="n">
        <v>2663.326169</v>
      </c>
      <c r="AG58" s="3" t="n">
        <v>2829.028165</v>
      </c>
      <c r="AH58" s="3" t="n">
        <v>3008.761031</v>
      </c>
      <c r="AI58" s="3" t="n">
        <v>3199.004</v>
      </c>
      <c r="AJ58" s="3" t="n">
        <v>3398.844752</v>
      </c>
      <c r="AK58" s="3" t="n">
        <v>3611.883454</v>
      </c>
      <c r="AL58" s="3" t="n">
        <v>3838.243753</v>
      </c>
      <c r="AM58" s="3" t="n"/>
      <c r="AN58" s="3" t="n"/>
      <c r="AO58" s="3" t="n"/>
      <c r="AP58" s="3" t="n"/>
      <c r="AQ58" s="3" t="n"/>
      <c r="AR58" s="3" t="n"/>
      <c r="AS58" s="3" t="n"/>
      <c r="AT58" s="3" t="n"/>
      <c r="AU58" s="3" t="n"/>
    </row>
    <row r="59">
      <c r="A59" s="3" t="n">
        <v>2031</v>
      </c>
      <c r="B59" s="3" t="inlineStr">
        <is>
          <t>ALB</t>
        </is>
      </c>
      <c r="C59" s="3" t="inlineStr">
        <is>
          <t>IMF.RES:WEO</t>
        </is>
      </c>
      <c r="D59" s="3" t="inlineStr">
        <is>
          <t>ALB.NGDP_D.A</t>
        </is>
      </c>
      <c r="E59" s="3" t="inlineStr">
        <is>
          <t>Albania</t>
        </is>
      </c>
      <c r="F59" s="3" t="inlineStr">
        <is>
          <t>Gross domestic product (GDP), Price deflator, Index</t>
        </is>
      </c>
      <c r="G59" s="3" t="n">
        <v>62.473666</v>
      </c>
      <c r="H59" s="3" t="n">
        <v>64.85444</v>
      </c>
      <c r="I59" s="3" t="n">
        <v>67.220015</v>
      </c>
      <c r="J59" s="3" t="n">
        <v>70.714462</v>
      </c>
      <c r="K59" s="3" t="n">
        <v>72.943557</v>
      </c>
      <c r="L59" s="3" t="n">
        <v>75.3557</v>
      </c>
      <c r="M59" s="3" t="n">
        <v>77.22320000000001</v>
      </c>
      <c r="N59" s="3" t="n">
        <v>80.610739</v>
      </c>
      <c r="O59" s="3" t="n">
        <v>83.929529</v>
      </c>
      <c r="P59" s="3" t="n">
        <v>85.959276</v>
      </c>
      <c r="Q59" s="3" t="n">
        <v>89.821519</v>
      </c>
      <c r="R59" s="3" t="n">
        <v>91.900695</v>
      </c>
      <c r="S59" s="3" t="n">
        <v>92.858692</v>
      </c>
      <c r="T59" s="3" t="n">
        <v>93.12682</v>
      </c>
      <c r="U59" s="3" t="n">
        <v>94.57017399999999</v>
      </c>
      <c r="V59" s="3" t="n">
        <v>95.095181</v>
      </c>
      <c r="W59" s="3" t="n">
        <v>93.953464</v>
      </c>
      <c r="X59" s="3" t="n">
        <v>95.79582499999999</v>
      </c>
      <c r="Y59" s="3" t="n">
        <v>98.968654</v>
      </c>
      <c r="Z59" s="3" t="n">
        <v>99.958973</v>
      </c>
      <c r="AA59" s="3" t="n">
        <v>100</v>
      </c>
      <c r="AB59" s="3" t="n">
        <v>103.444266</v>
      </c>
      <c r="AC59" s="3" t="n">
        <v>113.645561</v>
      </c>
      <c r="AD59" s="3" t="n">
        <v>120.161816</v>
      </c>
      <c r="AE59" s="3" t="n">
        <v>122.989441</v>
      </c>
      <c r="AF59" s="3" t="n">
        <v>125.44923</v>
      </c>
      <c r="AG59" s="3" t="n">
        <v>128.861449</v>
      </c>
      <c r="AH59" s="3" t="n">
        <v>132.804609</v>
      </c>
      <c r="AI59" s="3" t="n">
        <v>136.772126</v>
      </c>
      <c r="AJ59" s="3" t="n">
        <v>140.830153</v>
      </c>
      <c r="AK59" s="3" t="n">
        <v>145.048091</v>
      </c>
      <c r="AL59" s="3" t="n">
        <v>149.392358</v>
      </c>
      <c r="AM59" s="3" t="n"/>
      <c r="AN59" s="3" t="n"/>
      <c r="AO59" s="3" t="n"/>
      <c r="AP59" s="3" t="n"/>
      <c r="AQ59" s="3" t="n"/>
      <c r="AR59" s="3" t="n"/>
      <c r="AS59" s="3" t="n"/>
      <c r="AT59" s="3" t="n"/>
      <c r="AU59" s="3" t="n"/>
    </row>
    <row r="60">
      <c r="A60" s="3" t="n">
        <v>2031</v>
      </c>
      <c r="B60" s="3" t="inlineStr">
        <is>
          <t>ALB</t>
        </is>
      </c>
      <c r="C60" s="3" t="inlineStr">
        <is>
          <t>IMF.RES:WEO</t>
        </is>
      </c>
      <c r="D60" s="3" t="inlineStr">
        <is>
          <t>ALB.NGDP_R.A</t>
        </is>
      </c>
      <c r="E60" s="3" t="inlineStr">
        <is>
          <t>Albania</t>
        </is>
      </c>
      <c r="F60" s="3" t="inlineStr">
        <is>
          <t>Gross domestic product (GDP), Constant prices, Domestic currency</t>
        </is>
      </c>
      <c r="G60" s="3" t="n">
        <v>802.256413</v>
      </c>
      <c r="H60" s="3" t="n">
        <v>868.789877</v>
      </c>
      <c r="I60" s="3" t="n">
        <v>908.203125</v>
      </c>
      <c r="J60" s="3" t="n">
        <v>958.414314</v>
      </c>
      <c r="K60" s="3" t="n">
        <v>1011.268955</v>
      </c>
      <c r="L60" s="3" t="n">
        <v>1067.156453</v>
      </c>
      <c r="M60" s="3" t="n">
        <v>1130.146257</v>
      </c>
      <c r="N60" s="3" t="n">
        <v>1197.765678</v>
      </c>
      <c r="O60" s="3" t="n">
        <v>1287.599179</v>
      </c>
      <c r="P60" s="3" t="n">
        <v>1330.788842</v>
      </c>
      <c r="Q60" s="3" t="n">
        <v>1380.119811</v>
      </c>
      <c r="R60" s="3" t="n">
        <v>1415.249448</v>
      </c>
      <c r="S60" s="3" t="n">
        <v>1435.310973</v>
      </c>
      <c r="T60" s="3" t="n">
        <v>1449.692616</v>
      </c>
      <c r="U60" s="3" t="n">
        <v>1475.41722</v>
      </c>
      <c r="V60" s="3" t="n">
        <v>1508.28516</v>
      </c>
      <c r="W60" s="3" t="n">
        <v>1567.24305</v>
      </c>
      <c r="X60" s="3" t="n">
        <v>1618.69839</v>
      </c>
      <c r="Y60" s="3" t="n">
        <v>1678.1276</v>
      </c>
      <c r="Z60" s="3" t="n">
        <v>1712.740183</v>
      </c>
      <c r="AA60" s="3" t="n">
        <v>1655.984146</v>
      </c>
      <c r="AB60" s="3" t="n">
        <v>1804.519121</v>
      </c>
      <c r="AC60" s="3" t="n">
        <v>1891.620119</v>
      </c>
      <c r="AD60" s="3" t="n">
        <v>1967.576488</v>
      </c>
      <c r="AE60" s="3" t="n">
        <v>2047.183642</v>
      </c>
      <c r="AF60" s="3" t="n">
        <v>2123.031103</v>
      </c>
      <c r="AG60" s="3" t="n">
        <v>2195.403038</v>
      </c>
      <c r="AH60" s="3" t="n">
        <v>2265.554672</v>
      </c>
      <c r="AI60" s="3" t="n">
        <v>2338.929788</v>
      </c>
      <c r="AJ60" s="3" t="n">
        <v>2413.435391</v>
      </c>
      <c r="AK60" s="3" t="n">
        <v>2490.128227</v>
      </c>
      <c r="AL60" s="3" t="n">
        <v>2569.237005</v>
      </c>
      <c r="AM60" s="3" t="n"/>
      <c r="AN60" s="3" t="n"/>
      <c r="AO60" s="3" t="n"/>
      <c r="AP60" s="3" t="n"/>
      <c r="AQ60" s="3" t="n"/>
      <c r="AR60" s="3" t="n"/>
      <c r="AS60" s="3" t="n"/>
      <c r="AT60" s="3" t="n"/>
      <c r="AU60" s="3" t="n"/>
    </row>
    <row r="61">
      <c r="A61" s="3" t="n">
        <v>2031</v>
      </c>
      <c r="B61" s="3" t="inlineStr">
        <is>
          <t>ALB</t>
        </is>
      </c>
      <c r="C61" s="3" t="inlineStr">
        <is>
          <t>IMF.RES:WEO</t>
        </is>
      </c>
      <c r="D61" s="3" t="inlineStr">
        <is>
          <t>ALB.NGDP_RPCH.A</t>
        </is>
      </c>
      <c r="E61" s="3" t="inlineStr">
        <is>
          <t>Albania</t>
        </is>
      </c>
      <c r="F61" s="3" t="inlineStr">
        <is>
          <t>Gross domestic product (GDP), Constant prices, Percent change</t>
        </is>
      </c>
      <c r="G61" s="3" t="n">
        <v>6.946289</v>
      </c>
      <c r="H61" s="3" t="n">
        <v>8.293291999999999</v>
      </c>
      <c r="I61" s="3" t="n">
        <v>4.536568</v>
      </c>
      <c r="J61" s="3" t="n">
        <v>5.52863</v>
      </c>
      <c r="K61" s="3" t="n">
        <v>5.514801</v>
      </c>
      <c r="L61" s="3" t="n">
        <v>5.526472</v>
      </c>
      <c r="M61" s="3" t="n">
        <v>5.902584</v>
      </c>
      <c r="N61" s="3" t="n">
        <v>5.983245</v>
      </c>
      <c r="O61" s="3" t="n">
        <v>7.50009</v>
      </c>
      <c r="P61" s="3" t="n">
        <v>3.354279</v>
      </c>
      <c r="Q61" s="3" t="n">
        <v>3.706897</v>
      </c>
      <c r="R61" s="3" t="n">
        <v>2.545405</v>
      </c>
      <c r="S61" s="3" t="n">
        <v>1.417526</v>
      </c>
      <c r="T61" s="3" t="n">
        <v>1.001988</v>
      </c>
      <c r="U61" s="3" t="n">
        <v>1.774487</v>
      </c>
      <c r="V61" s="3" t="n">
        <v>2.227705</v>
      </c>
      <c r="W61" s="3" t="n">
        <v>3.908935</v>
      </c>
      <c r="X61" s="3" t="n">
        <v>3.283176</v>
      </c>
      <c r="Y61" s="3" t="n">
        <v>3.67142</v>
      </c>
      <c r="Z61" s="3" t="n">
        <v>2.062572</v>
      </c>
      <c r="AA61" s="3" t="n">
        <v>-3.313756</v>
      </c>
      <c r="AB61" s="3" t="n">
        <v>8.969588999999999</v>
      </c>
      <c r="AC61" s="3" t="n">
        <v>4.826826</v>
      </c>
      <c r="AD61" s="3" t="n">
        <v>4.015413</v>
      </c>
      <c r="AE61" s="3" t="n">
        <v>4.04595</v>
      </c>
      <c r="AF61" s="3" t="n">
        <v>3.704966</v>
      </c>
      <c r="AG61" s="3" t="n">
        <v>3.408897</v>
      </c>
      <c r="AH61" s="3" t="n">
        <v>3.195388</v>
      </c>
      <c r="AI61" s="3" t="n">
        <v>3.238726</v>
      </c>
      <c r="AJ61" s="3" t="n">
        <v>3.185457</v>
      </c>
      <c r="AK61" s="3" t="n">
        <v>3.177746</v>
      </c>
      <c r="AL61" s="3" t="n">
        <v>3.176896</v>
      </c>
      <c r="AM61" s="3" t="n"/>
      <c r="AN61" s="3" t="n"/>
      <c r="AO61" s="3" t="n"/>
      <c r="AP61" s="3" t="n"/>
      <c r="AQ61" s="3" t="n"/>
      <c r="AR61" s="3" t="n"/>
      <c r="AS61" s="3" t="n"/>
      <c r="AT61" s="3" t="n"/>
      <c r="AU61" s="3" t="n"/>
    </row>
    <row r="62">
      <c r="A62" s="3" t="n">
        <v>2031</v>
      </c>
      <c r="B62" s="3" t="inlineStr">
        <is>
          <t>ALB</t>
        </is>
      </c>
      <c r="C62" s="3" t="inlineStr">
        <is>
          <t>IMF.RES:WEO</t>
        </is>
      </c>
      <c r="D62" s="3" t="inlineStr">
        <is>
          <t>ALB.NGDPD.A</t>
        </is>
      </c>
      <c r="E62" s="3" t="inlineStr">
        <is>
          <t>Albania</t>
        </is>
      </c>
      <c r="F62" s="3" t="inlineStr">
        <is>
          <t>Gross domestic product (GDP), Current prices, US dollar</t>
        </is>
      </c>
      <c r="G62" s="3" t="n">
        <v>3.487613</v>
      </c>
      <c r="H62" s="3" t="n">
        <v>3.926929</v>
      </c>
      <c r="I62" s="3" t="n">
        <v>4.355851</v>
      </c>
      <c r="J62" s="3" t="n">
        <v>5.56138</v>
      </c>
      <c r="K62" s="3" t="n">
        <v>7.177267</v>
      </c>
      <c r="L62" s="3" t="n">
        <v>8.052033</v>
      </c>
      <c r="M62" s="3" t="n">
        <v>8.89608</v>
      </c>
      <c r="N62" s="3" t="n">
        <v>10.677369</v>
      </c>
      <c r="O62" s="3" t="n">
        <v>12.881419</v>
      </c>
      <c r="P62" s="3" t="n">
        <v>12.044078</v>
      </c>
      <c r="Q62" s="3" t="n">
        <v>11.937074</v>
      </c>
      <c r="R62" s="3" t="n">
        <v>12.898747</v>
      </c>
      <c r="S62" s="3" t="n">
        <v>12.323539</v>
      </c>
      <c r="T62" s="3" t="n">
        <v>12.783569</v>
      </c>
      <c r="U62" s="3" t="n">
        <v>13.246309</v>
      </c>
      <c r="V62" s="3" t="n">
        <v>11.389178</v>
      </c>
      <c r="W62" s="3" t="n">
        <v>11.862205</v>
      </c>
      <c r="X62" s="3" t="n">
        <v>13.053424</v>
      </c>
      <c r="Y62" s="3" t="n">
        <v>15.379684</v>
      </c>
      <c r="Z62" s="3" t="n">
        <v>15.581895</v>
      </c>
      <c r="AA62" s="3" t="n">
        <v>15.270738</v>
      </c>
      <c r="AB62" s="3" t="n">
        <v>17.984503</v>
      </c>
      <c r="AC62" s="3" t="n">
        <v>19.18856</v>
      </c>
      <c r="AD62" s="3" t="n">
        <v>23.633303</v>
      </c>
      <c r="AE62" s="3" t="n">
        <v>27.083523</v>
      </c>
      <c r="AF62" s="3" t="n">
        <v>30.279251</v>
      </c>
      <c r="AG62" s="3" t="n">
        <v>33.333312</v>
      </c>
      <c r="AH62" s="3" t="n">
        <v>34.91222</v>
      </c>
      <c r="AI62" s="3" t="n">
        <v>36.997739</v>
      </c>
      <c r="AJ62" s="3" t="n">
        <v>39.189018</v>
      </c>
      <c r="AK62" s="3" t="n">
        <v>41.532556</v>
      </c>
      <c r="AL62" s="3" t="n">
        <v>44.032304</v>
      </c>
      <c r="AM62" s="3" t="n"/>
      <c r="AN62" s="3" t="n"/>
      <c r="AO62" s="3" t="n"/>
      <c r="AP62" s="3" t="n"/>
      <c r="AQ62" s="3" t="n"/>
      <c r="AR62" s="3" t="n"/>
      <c r="AS62" s="3" t="n"/>
      <c r="AT62" s="3" t="n"/>
      <c r="AU62" s="3" t="n"/>
    </row>
    <row r="63">
      <c r="A63" s="3" t="n">
        <v>2031</v>
      </c>
      <c r="B63" s="3" t="inlineStr">
        <is>
          <t>ALB</t>
        </is>
      </c>
      <c r="C63" s="3" t="inlineStr">
        <is>
          <t>IMF.RES:WEO</t>
        </is>
      </c>
      <c r="D63" s="3" t="inlineStr">
        <is>
          <t>ALB.NGDPPC.A</t>
        </is>
      </c>
      <c r="E63" s="3" t="inlineStr">
        <is>
          <t>Albania</t>
        </is>
      </c>
      <c r="F63" s="3" t="inlineStr">
        <is>
          <t>Gross domestic product (GDP), Current prices, Per capita, Domestic currency</t>
        </is>
      </c>
      <c r="G63" s="3" t="n">
        <v>162251.412189</v>
      </c>
      <c r="H63" s="3" t="n">
        <v>184123.189214</v>
      </c>
      <c r="I63" s="3" t="n">
        <v>200095.796097</v>
      </c>
      <c r="J63" s="3" t="n">
        <v>222968.139599</v>
      </c>
      <c r="K63" s="3" t="n">
        <v>243696.866153</v>
      </c>
      <c r="L63" s="3" t="n">
        <v>267031.938122</v>
      </c>
      <c r="M63" s="3" t="n">
        <v>291636.221205</v>
      </c>
      <c r="N63" s="3" t="n">
        <v>325091.661137</v>
      </c>
      <c r="O63" s="3" t="n">
        <v>366664.67543</v>
      </c>
      <c r="P63" s="3" t="n">
        <v>390752.872168</v>
      </c>
      <c r="Q63" s="3" t="n">
        <v>425552.91731</v>
      </c>
      <c r="R63" s="3" t="n">
        <v>447689.081212</v>
      </c>
      <c r="S63" s="3" t="n">
        <v>459526.454888</v>
      </c>
      <c r="T63" s="3" t="n">
        <v>466324.605898</v>
      </c>
      <c r="U63" s="3" t="n">
        <v>482954.102725</v>
      </c>
      <c r="V63" s="3" t="n">
        <v>497901.557363</v>
      </c>
      <c r="W63" s="3" t="n">
        <v>511970.591436</v>
      </c>
      <c r="X63" s="3" t="n">
        <v>539644.574462</v>
      </c>
      <c r="Y63" s="3" t="n">
        <v>579414.6662719999</v>
      </c>
      <c r="Z63" s="3" t="n">
        <v>599832.839922</v>
      </c>
      <c r="AA63" s="3" t="n">
        <v>583534.975338</v>
      </c>
      <c r="AB63" s="3" t="n">
        <v>663902.313736</v>
      </c>
      <c r="AC63" s="3" t="n">
        <v>773931.964387</v>
      </c>
      <c r="AD63" s="3" t="n">
        <v>859764.075189</v>
      </c>
      <c r="AE63" s="3" t="n">
        <v>924848.555142</v>
      </c>
      <c r="AF63" s="3" t="n">
        <v>988177.937901</v>
      </c>
      <c r="AG63" s="3" t="n">
        <v>1060261.212194</v>
      </c>
      <c r="AH63" s="3" t="n">
        <v>1139011.485826</v>
      </c>
      <c r="AI63" s="3" t="n">
        <v>1223263.441378</v>
      </c>
      <c r="AJ63" s="3" t="n">
        <v>1312808.399581</v>
      </c>
      <c r="AK63" s="3" t="n">
        <v>1409186.754964</v>
      </c>
      <c r="AL63" s="3" t="n">
        <v>1512628.16051</v>
      </c>
      <c r="AM63" s="3" t="n"/>
      <c r="AN63" s="3" t="n"/>
      <c r="AO63" s="3" t="n"/>
      <c r="AP63" s="3" t="n"/>
      <c r="AQ63" s="3" t="n"/>
      <c r="AR63" s="3" t="n"/>
      <c r="AS63" s="3" t="n"/>
      <c r="AT63" s="3" t="n"/>
      <c r="AU63" s="3" t="n"/>
    </row>
    <row r="64">
      <c r="A64" s="3" t="n">
        <v>2031</v>
      </c>
      <c r="B64" s="3" t="inlineStr">
        <is>
          <t>ALB</t>
        </is>
      </c>
      <c r="C64" s="3" t="inlineStr">
        <is>
          <t>IMF.RES:WEO</t>
        </is>
      </c>
      <c r="D64" s="3" t="inlineStr">
        <is>
          <t>ALB.NGDPRPC.A</t>
        </is>
      </c>
      <c r="E64" s="3" t="inlineStr">
        <is>
          <t>Albania</t>
        </is>
      </c>
      <c r="F64" s="3" t="inlineStr">
        <is>
          <t>Gross domestic product (GDP), Constant prices, Per capita, Domestic currency</t>
        </is>
      </c>
      <c r="G64" s="3" t="n">
        <v>259711.687038</v>
      </c>
      <c r="H64" s="3" t="n">
        <v>283902.20994</v>
      </c>
      <c r="I64" s="3" t="n">
        <v>297672.942573</v>
      </c>
      <c r="J64" s="3" t="n">
        <v>315307.69473</v>
      </c>
      <c r="K64" s="3" t="n">
        <v>334089.638081</v>
      </c>
      <c r="L64" s="3" t="n">
        <v>354361.965569</v>
      </c>
      <c r="M64" s="3" t="n">
        <v>377653.6365</v>
      </c>
      <c r="N64" s="3" t="n">
        <v>403285.798862</v>
      </c>
      <c r="O64" s="3" t="n">
        <v>436872.073848</v>
      </c>
      <c r="P64" s="3" t="n">
        <v>454579.062395</v>
      </c>
      <c r="Q64" s="3" t="n">
        <v>473776.128162</v>
      </c>
      <c r="R64" s="3" t="n">
        <v>487144.390492</v>
      </c>
      <c r="S64" s="3" t="n">
        <v>494866.390317</v>
      </c>
      <c r="T64" s="3" t="n">
        <v>500741.467319</v>
      </c>
      <c r="U64" s="3" t="n">
        <v>510683.319119</v>
      </c>
      <c r="V64" s="3" t="n">
        <v>523582.32001</v>
      </c>
      <c r="W64" s="3" t="n">
        <v>544919.336977</v>
      </c>
      <c r="X64" s="3" t="n">
        <v>563327.862571</v>
      </c>
      <c r="Y64" s="3" t="n">
        <v>585452.711019</v>
      </c>
      <c r="Z64" s="3" t="n">
        <v>600079.035736</v>
      </c>
      <c r="AA64" s="3" t="n">
        <v>583534.975338</v>
      </c>
      <c r="AB64" s="3" t="n">
        <v>641797.112878</v>
      </c>
      <c r="AC64" s="3" t="n">
        <v>681005.0077</v>
      </c>
      <c r="AD64" s="3" t="n">
        <v>715505.226791</v>
      </c>
      <c r="AE64" s="3" t="n">
        <v>751973.947648</v>
      </c>
      <c r="AF64" s="3" t="n">
        <v>787711.442169</v>
      </c>
      <c r="AG64" s="3" t="n">
        <v>822791.626938</v>
      </c>
      <c r="AH64" s="3" t="n">
        <v>857659.60388</v>
      </c>
      <c r="AI64" s="3" t="n">
        <v>894380.657932</v>
      </c>
      <c r="AJ64" s="3" t="n">
        <v>932192.696262</v>
      </c>
      <c r="AK64" s="3" t="n">
        <v>971530.7153639999</v>
      </c>
      <c r="AL64" s="3" t="n">
        <v>1012520.437695</v>
      </c>
      <c r="AM64" s="3" t="n"/>
      <c r="AN64" s="3" t="n"/>
      <c r="AO64" s="3" t="n"/>
      <c r="AP64" s="3" t="n"/>
      <c r="AQ64" s="3" t="n"/>
      <c r="AR64" s="3" t="n"/>
      <c r="AS64" s="3" t="n"/>
      <c r="AT64" s="3" t="n"/>
      <c r="AU64" s="3" t="n"/>
    </row>
    <row r="65">
      <c r="A65" s="3" t="n">
        <v>2031</v>
      </c>
      <c r="B65" s="3" t="inlineStr">
        <is>
          <t>ALB</t>
        </is>
      </c>
      <c r="C65" s="3" t="inlineStr">
        <is>
          <t>IMF.RES:WEO</t>
        </is>
      </c>
      <c r="D65" s="3" t="inlineStr">
        <is>
          <t>ALB.PCPI.A</t>
        </is>
      </c>
      <c r="E65" s="3" t="inlineStr">
        <is>
          <t>Albania</t>
        </is>
      </c>
      <c r="F65" s="3" t="inlineStr">
        <is>
          <t>All Items, Consumer price index (CPI), Period average</t>
        </is>
      </c>
      <c r="G65" s="3" t="n">
        <v>66.582278</v>
      </c>
      <c r="H65" s="3" t="n">
        <v>68.659728</v>
      </c>
      <c r="I65" s="3" t="n">
        <v>72.23111400000001</v>
      </c>
      <c r="J65" s="3" t="n">
        <v>73.93788600000001</v>
      </c>
      <c r="K65" s="3" t="n">
        <v>76.05758299999999</v>
      </c>
      <c r="L65" s="3" t="n">
        <v>77.85466</v>
      </c>
      <c r="M65" s="3" t="n">
        <v>79.70017199999999</v>
      </c>
      <c r="N65" s="3" t="n">
        <v>82.05899700000001</v>
      </c>
      <c r="O65" s="3" t="n">
        <v>84.77500000000001</v>
      </c>
      <c r="P65" s="3" t="n">
        <v>86.666667</v>
      </c>
      <c r="Q65" s="3" t="n">
        <v>89.8</v>
      </c>
      <c r="R65" s="3" t="n">
        <v>92.891667</v>
      </c>
      <c r="S65" s="3" t="n">
        <v>94.783333</v>
      </c>
      <c r="T65" s="3" t="n">
        <v>96.608333</v>
      </c>
      <c r="U65" s="3" t="n">
        <v>98.166667</v>
      </c>
      <c r="V65" s="3" t="n">
        <v>100</v>
      </c>
      <c r="W65" s="3" t="n">
        <v>101.279877</v>
      </c>
      <c r="X65" s="3" t="n">
        <v>103.29472</v>
      </c>
      <c r="Y65" s="3" t="n">
        <v>105.386629</v>
      </c>
      <c r="Z65" s="3" t="n">
        <v>106.876855</v>
      </c>
      <c r="AA65" s="3" t="n">
        <v>108.608797</v>
      </c>
      <c r="AB65" s="3" t="n">
        <v>110.832496</v>
      </c>
      <c r="AC65" s="3" t="n">
        <v>118.28298</v>
      </c>
      <c r="AD65" s="3" t="n">
        <v>123.937199</v>
      </c>
      <c r="AE65" s="3" t="n">
        <v>126.684408</v>
      </c>
      <c r="AF65" s="3" t="n">
        <v>129.507737</v>
      </c>
      <c r="AG65" s="3" t="n">
        <v>133.879908</v>
      </c>
      <c r="AH65" s="3" t="n">
        <v>138.052435</v>
      </c>
      <c r="AI65" s="3" t="n">
        <v>142.158044</v>
      </c>
      <c r="AJ65" s="3" t="n">
        <v>146.421292</v>
      </c>
      <c r="AK65" s="3" t="n">
        <v>150.812393</v>
      </c>
      <c r="AL65" s="3" t="n">
        <v>155.347748</v>
      </c>
      <c r="AM65" s="3" t="n"/>
      <c r="AN65" s="3" t="n"/>
      <c r="AO65" s="3" t="n"/>
      <c r="AP65" s="3" t="n"/>
      <c r="AQ65" s="3" t="n"/>
      <c r="AR65" s="3" t="n"/>
      <c r="AS65" s="3" t="n"/>
      <c r="AT65" s="3" t="n"/>
      <c r="AU65" s="3" t="n"/>
    </row>
    <row r="66">
      <c r="A66" s="3" t="n">
        <v>2031</v>
      </c>
      <c r="B66" s="3" t="inlineStr">
        <is>
          <t>ALB</t>
        </is>
      </c>
      <c r="C66" s="3" t="inlineStr">
        <is>
          <t>IMF.RES:WEO</t>
        </is>
      </c>
      <c r="D66" s="3" t="inlineStr">
        <is>
          <t>ALB.PCPIPCH.A</t>
        </is>
      </c>
      <c r="E66" s="3" t="inlineStr">
        <is>
          <t>Albania</t>
        </is>
      </c>
      <c r="F66" s="3" t="inlineStr">
        <is>
          <t>All Items, Consumer price index (CPI), Period average, percent change</t>
        </is>
      </c>
      <c r="G66" s="3" t="n">
        <v>0.039381</v>
      </c>
      <c r="H66" s="3" t="n">
        <v>3.120124</v>
      </c>
      <c r="I66" s="3" t="n">
        <v>5.201573</v>
      </c>
      <c r="J66" s="3" t="n">
        <v>2.362931</v>
      </c>
      <c r="K66" s="3" t="n">
        <v>2.866863</v>
      </c>
      <c r="L66" s="3" t="n">
        <v>2.362784</v>
      </c>
      <c r="M66" s="3" t="n">
        <v>2.370458</v>
      </c>
      <c r="N66" s="3" t="n">
        <v>2.959623</v>
      </c>
      <c r="O66" s="3" t="n">
        <v>3.309817</v>
      </c>
      <c r="P66" s="3" t="n">
        <v>2.231397</v>
      </c>
      <c r="Q66" s="3" t="n">
        <v>3.615385</v>
      </c>
      <c r="R66" s="3" t="n">
        <v>3.442836</v>
      </c>
      <c r="S66" s="3" t="n">
        <v>2.036422</v>
      </c>
      <c r="T66" s="3" t="n">
        <v>1.925444</v>
      </c>
      <c r="U66" s="3" t="n">
        <v>1.613042</v>
      </c>
      <c r="V66" s="3" t="n">
        <v>1.867572</v>
      </c>
      <c r="W66" s="3" t="n">
        <v>1.279877</v>
      </c>
      <c r="X66" s="3" t="n">
        <v>1.989381</v>
      </c>
      <c r="Y66" s="3" t="n">
        <v>2.025184</v>
      </c>
      <c r="Z66" s="3" t="n">
        <v>1.414057</v>
      </c>
      <c r="AA66" s="3" t="n">
        <v>1.620502</v>
      </c>
      <c r="AB66" s="3" t="n">
        <v>2.047439</v>
      </c>
      <c r="AC66" s="3" t="n">
        <v>6.722292</v>
      </c>
      <c r="AD66" s="3" t="n">
        <v>4.780247</v>
      </c>
      <c r="AE66" s="3" t="n">
        <v>2.216614</v>
      </c>
      <c r="AF66" s="3" t="n">
        <v>2.228631</v>
      </c>
      <c r="AG66" s="3" t="n">
        <v>3.375993</v>
      </c>
      <c r="AH66" s="3" t="n">
        <v>3.116619</v>
      </c>
      <c r="AI66" s="3" t="n">
        <v>2.973949</v>
      </c>
      <c r="AJ66" s="3" t="n">
        <v>2.998949</v>
      </c>
      <c r="AK66" s="3" t="n">
        <v>2.998949</v>
      </c>
      <c r="AL66" s="3" t="n">
        <v>3.007283</v>
      </c>
      <c r="AM66" s="3" t="n"/>
      <c r="AN66" s="3" t="n"/>
      <c r="AO66" s="3" t="n"/>
      <c r="AP66" s="3" t="n"/>
      <c r="AQ66" s="3" t="n"/>
      <c r="AR66" s="3" t="n"/>
      <c r="AS66" s="3" t="n"/>
      <c r="AT66" s="3" t="n"/>
      <c r="AU66" s="3" t="n"/>
    </row>
    <row r="67">
      <c r="A67" s="3" t="n">
        <v>2031</v>
      </c>
      <c r="B67" s="3" t="inlineStr">
        <is>
          <t>ALB</t>
        </is>
      </c>
      <c r="C67" s="3" t="inlineStr">
        <is>
          <t>IMF.RES:WEO</t>
        </is>
      </c>
      <c r="D67" s="3" t="inlineStr">
        <is>
          <t>ALB.PPPPC.A</t>
        </is>
      </c>
      <c r="E67" s="3" t="inlineStr">
        <is>
          <t>Albania</t>
        </is>
      </c>
      <c r="F67" s="3" t="inlineStr">
        <is>
          <t>Gross domestic product (GDP), Per capita, purchasing power parity (PPP) international dollar, ICP benchmarks 2017-2021</t>
        </is>
      </c>
      <c r="G67" s="3" t="n">
        <v>4281.762274</v>
      </c>
      <c r="H67" s="3" t="n">
        <v>4785.970641</v>
      </c>
      <c r="I67" s="3" t="n">
        <v>5096.098393</v>
      </c>
      <c r="J67" s="3" t="n">
        <v>5504.56985</v>
      </c>
      <c r="K67" s="3" t="n">
        <v>5989.288674</v>
      </c>
      <c r="L67" s="3" t="n">
        <v>6551.924306</v>
      </c>
      <c r="M67" s="3" t="n">
        <v>7197.90659</v>
      </c>
      <c r="N67" s="3" t="n">
        <v>7894.690475</v>
      </c>
      <c r="O67" s="3" t="n">
        <v>8716.92272</v>
      </c>
      <c r="P67" s="3" t="n">
        <v>9126.170757</v>
      </c>
      <c r="Q67" s="3" t="n">
        <v>9627.17404</v>
      </c>
      <c r="R67" s="3" t="n">
        <v>10103.055556</v>
      </c>
      <c r="S67" s="3" t="n">
        <v>10454.298681</v>
      </c>
      <c r="T67" s="3" t="n">
        <v>10758.457708</v>
      </c>
      <c r="U67" s="3" t="n">
        <v>11163.160916</v>
      </c>
      <c r="V67" s="3" t="n">
        <v>11551.340405</v>
      </c>
      <c r="W67" s="3" t="n">
        <v>12136.317057</v>
      </c>
      <c r="X67" s="3" t="n">
        <v>12770.997985</v>
      </c>
      <c r="Y67" s="3" t="n">
        <v>13696.829971</v>
      </c>
      <c r="Z67" s="3" t="n">
        <v>14792.2654</v>
      </c>
      <c r="AA67" s="3" t="n">
        <v>14512.053573</v>
      </c>
      <c r="AB67" s="3" t="n">
        <v>16354.58854</v>
      </c>
      <c r="AC67" s="3" t="n">
        <v>18587.970561</v>
      </c>
      <c r="AD67" s="3" t="n">
        <v>20252.254546</v>
      </c>
      <c r="AE67" s="3" t="n">
        <v>21812.892666</v>
      </c>
      <c r="AF67" s="3" t="n">
        <v>23497.73678</v>
      </c>
      <c r="AG67" s="3" t="n">
        <v>25247.346744</v>
      </c>
      <c r="AH67" s="3" t="n">
        <v>26895.171477</v>
      </c>
      <c r="AI67" s="3" t="n">
        <v>28507.05534</v>
      </c>
      <c r="AJ67" s="3" t="n">
        <v>30240.574109</v>
      </c>
      <c r="AK67" s="3" t="n">
        <v>32095.837705</v>
      </c>
      <c r="AL67" s="3" t="n">
        <v>34053.862145</v>
      </c>
      <c r="AM67" s="3" t="n"/>
      <c r="AN67" s="3" t="n"/>
      <c r="AO67" s="3" t="n"/>
      <c r="AP67" s="3" t="n"/>
      <c r="AQ67" s="3" t="n"/>
      <c r="AR67" s="3" t="n"/>
      <c r="AS67" s="3" t="n"/>
      <c r="AT67" s="3" t="n"/>
      <c r="AU67" s="3" t="n"/>
    </row>
    <row r="68">
      <c r="A68" s="3" t="n">
        <v>2025</v>
      </c>
      <c r="B68" s="3" t="inlineStr">
        <is>
          <t>ALB</t>
        </is>
      </c>
      <c r="C68" s="3" t="inlineStr">
        <is>
          <t>IMF.STA:ER</t>
        </is>
      </c>
      <c r="D68" s="3" t="inlineStr">
        <is>
          <t>ALB.XDC_USD.PA_RT.A</t>
        </is>
      </c>
      <c r="E68" s="3" t="inlineStr">
        <is>
          <t>Albania</t>
        </is>
      </c>
      <c r="F68" s="3" t="inlineStr">
        <is>
          <t>Domestic currency per US Dollar</t>
        </is>
      </c>
      <c r="G68" s="3" t="n">
        <v>143.709416666666</v>
      </c>
      <c r="H68" s="3" t="n">
        <v>143.484833333333</v>
      </c>
      <c r="I68" s="3" t="n">
        <v>140.154515875</v>
      </c>
      <c r="J68" s="3" t="n">
        <v>121.86325</v>
      </c>
      <c r="K68" s="3" t="n">
        <v>102.780051196172</v>
      </c>
      <c r="L68" s="3" t="n">
        <v>99.87025448089921</v>
      </c>
      <c r="M68" s="3" t="n">
        <v>98.10337709126981</v>
      </c>
      <c r="N68" s="3" t="n">
        <v>90.4278938310708</v>
      </c>
      <c r="O68" s="3" t="n">
        <v>83.89460410052909</v>
      </c>
      <c r="P68" s="3" t="n">
        <v>94.97811982038429</v>
      </c>
      <c r="Q68" s="3" t="n">
        <v>103.936666666666</v>
      </c>
      <c r="R68" s="3" t="n">
        <v>100.895833333333</v>
      </c>
      <c r="S68" s="3" t="n">
        <v>108.184166666666</v>
      </c>
      <c r="T68" s="3" t="n">
        <v>105.669166666666</v>
      </c>
      <c r="U68" s="3" t="n">
        <v>105.48</v>
      </c>
      <c r="V68" s="3" t="n">
        <v>125.961666666666</v>
      </c>
      <c r="W68" s="3" t="n">
        <v>124.1425</v>
      </c>
      <c r="X68" s="3" t="n">
        <v>119.1</v>
      </c>
      <c r="Y68" s="3" t="n">
        <v>107.989166666666</v>
      </c>
      <c r="Z68" s="3" t="n">
        <v>109.850833333333</v>
      </c>
      <c r="AA68" s="3" t="n">
        <v>108.65</v>
      </c>
      <c r="AB68" s="3" t="n">
        <v>103.52</v>
      </c>
      <c r="AC68" s="3" t="n">
        <v>113.041666666666</v>
      </c>
      <c r="AD68" s="3" t="n">
        <v>100.645</v>
      </c>
      <c r="AE68" s="3" t="n">
        <v>93.12333333333331</v>
      </c>
      <c r="AF68" s="3" t="n">
        <v>93.12333333333331</v>
      </c>
      <c r="AG68" s="3" t="n"/>
      <c r="AH68" s="3" t="n"/>
      <c r="AI68" s="3" t="n"/>
      <c r="AJ68" s="3" t="n"/>
      <c r="AK68" s="3" t="n"/>
      <c r="AL68" s="3" t="n"/>
      <c r="AM68" s="3" t="n"/>
      <c r="AN68" s="3" t="n"/>
      <c r="AO68" s="3" t="n"/>
      <c r="AP68" s="3" t="n"/>
      <c r="AQ68" s="3" t="n"/>
      <c r="AR68" s="3" t="n"/>
      <c r="AS68" s="3" t="n"/>
      <c r="AT68" s="3" t="n"/>
      <c r="AU68" s="3" t="n"/>
    </row>
    <row r="69">
      <c r="A69" s="3" t="n">
        <v>2031</v>
      </c>
      <c r="B69" s="3" t="inlineStr">
        <is>
          <t>AND</t>
        </is>
      </c>
      <c r="C69" s="3" t="inlineStr">
        <is>
          <t>IMF.RES:WEO</t>
        </is>
      </c>
      <c r="D69" s="3" t="inlineStr">
        <is>
          <t>AND.BCA.A</t>
        </is>
      </c>
      <c r="E69" s="3" t="inlineStr">
        <is>
          <t>Andorra, Principality of</t>
        </is>
      </c>
      <c r="F69" s="3" t="inlineStr">
        <is>
          <t>Current account balance (credit less debit), US dollar</t>
        </is>
      </c>
      <c r="G69" s="3" t="n"/>
      <c r="H69" s="3" t="n"/>
      <c r="I69" s="3" t="n"/>
      <c r="J69" s="3" t="n"/>
      <c r="K69" s="3" t="n"/>
      <c r="L69" s="3" t="n"/>
      <c r="M69" s="3" t="n"/>
      <c r="N69" s="3" t="n"/>
      <c r="O69" s="3" t="n"/>
      <c r="P69" s="3" t="n"/>
      <c r="Q69" s="3" t="n"/>
      <c r="R69" s="3" t="n"/>
      <c r="S69" s="3" t="n"/>
      <c r="T69" s="3" t="n"/>
      <c r="U69" s="3" t="n"/>
      <c r="V69" s="3" t="n"/>
      <c r="W69" s="3" t="n"/>
      <c r="X69" s="3" t="n"/>
      <c r="Y69" s="3" t="n"/>
      <c r="Z69" s="3" t="n">
        <v>0.56825</v>
      </c>
      <c r="AA69" s="3" t="n">
        <v>0.447862</v>
      </c>
      <c r="AB69" s="3" t="n">
        <v>0.499491</v>
      </c>
      <c r="AC69" s="3" t="n">
        <v>0.393085</v>
      </c>
      <c r="AD69" s="3" t="n">
        <v>0.538362</v>
      </c>
      <c r="AE69" s="3" t="n">
        <v>0.644362</v>
      </c>
      <c r="AF69" s="3" t="n">
        <v>0.714413</v>
      </c>
      <c r="AG69" s="3" t="n">
        <v>0.778558</v>
      </c>
      <c r="AH69" s="3" t="n">
        <v>0.811358</v>
      </c>
      <c r="AI69" s="3" t="n">
        <v>0.844349</v>
      </c>
      <c r="AJ69" s="3" t="n">
        <v>0.877717</v>
      </c>
      <c r="AK69" s="3" t="n">
        <v>0.909015</v>
      </c>
      <c r="AL69" s="3" t="n">
        <v>0.953694</v>
      </c>
      <c r="AM69" s="3" t="n"/>
      <c r="AN69" s="3" t="n"/>
      <c r="AO69" s="3" t="n"/>
      <c r="AP69" s="3" t="n"/>
      <c r="AQ69" s="3" t="n"/>
      <c r="AR69" s="3" t="n"/>
      <c r="AS69" s="3" t="n"/>
      <c r="AT69" s="3" t="n"/>
      <c r="AU69" s="3" t="n"/>
    </row>
    <row r="70">
      <c r="A70" s="3" t="n">
        <v>2031</v>
      </c>
      <c r="B70" s="3" t="inlineStr">
        <is>
          <t>AND</t>
        </is>
      </c>
      <c r="C70" s="3" t="inlineStr">
        <is>
          <t>IMF.RES:WEO</t>
        </is>
      </c>
      <c r="D70" s="3" t="inlineStr">
        <is>
          <t>AND.BCA_NGDPD.A</t>
        </is>
      </c>
      <c r="E70" s="3" t="inlineStr">
        <is>
          <t>Andorra, Principality of</t>
        </is>
      </c>
      <c r="F70" s="3" t="inlineStr">
        <is>
          <t>Current account balance (credit less debit), Percent of GDP</t>
        </is>
      </c>
      <c r="G70" s="3" t="n"/>
      <c r="H70" s="3" t="n"/>
      <c r="I70" s="3" t="n"/>
      <c r="J70" s="3" t="n"/>
      <c r="K70" s="3" t="n"/>
      <c r="L70" s="3" t="n"/>
      <c r="M70" s="3" t="n"/>
      <c r="N70" s="3" t="n"/>
      <c r="O70" s="3" t="n"/>
      <c r="P70" s="3" t="n"/>
      <c r="Q70" s="3" t="n"/>
      <c r="R70" s="3" t="n"/>
      <c r="S70" s="3" t="n"/>
      <c r="T70" s="3" t="n"/>
      <c r="U70" s="3" t="n"/>
      <c r="V70" s="3" t="n"/>
      <c r="W70" s="3" t="n"/>
      <c r="X70" s="3" t="n"/>
      <c r="Y70" s="3" t="n"/>
      <c r="Z70" s="3" t="n">
        <v>18.01047</v>
      </c>
      <c r="AA70" s="3" t="n">
        <v>15.526431</v>
      </c>
      <c r="AB70" s="3" t="n">
        <v>15.021801</v>
      </c>
      <c r="AC70" s="3" t="n">
        <v>11.643445</v>
      </c>
      <c r="AD70" s="3" t="n">
        <v>14.221323</v>
      </c>
      <c r="AE70" s="3" t="n">
        <v>15.941031</v>
      </c>
      <c r="AF70" s="3" t="n">
        <v>15.908484</v>
      </c>
      <c r="AG70" s="3" t="n">
        <v>15.958935</v>
      </c>
      <c r="AH70" s="3" t="n">
        <v>16.017712</v>
      </c>
      <c r="AI70" s="3" t="n">
        <v>16.097365</v>
      </c>
      <c r="AJ70" s="3" t="n">
        <v>16.163187</v>
      </c>
      <c r="AK70" s="3" t="n">
        <v>16.182773</v>
      </c>
      <c r="AL70" s="3" t="n">
        <v>16.225179</v>
      </c>
      <c r="AM70" s="3" t="n"/>
      <c r="AN70" s="3" t="n"/>
      <c r="AO70" s="3" t="n"/>
      <c r="AP70" s="3" t="n"/>
      <c r="AQ70" s="3" t="n"/>
      <c r="AR70" s="3" t="n"/>
      <c r="AS70" s="3" t="n"/>
      <c r="AT70" s="3" t="n"/>
      <c r="AU70" s="3" t="n"/>
    </row>
    <row r="71">
      <c r="A71" s="3" t="n">
        <v>2031</v>
      </c>
      <c r="B71" s="3" t="inlineStr">
        <is>
          <t>AND</t>
        </is>
      </c>
      <c r="C71" s="3" t="inlineStr">
        <is>
          <t>IMF.RES:WEO</t>
        </is>
      </c>
      <c r="D71" s="3" t="inlineStr">
        <is>
          <t>AND.GGR_NGDP.A</t>
        </is>
      </c>
      <c r="E71" s="3" t="inlineStr">
        <is>
          <t>Andorra, Principality of</t>
        </is>
      </c>
      <c r="F71" s="3" t="inlineStr">
        <is>
          <t>Revenue, General government, Percent of GDP</t>
        </is>
      </c>
      <c r="G71" s="3" t="n"/>
      <c r="H71" s="3" t="n">
        <v>27.361706</v>
      </c>
      <c r="I71" s="3" t="n">
        <v>25.977479</v>
      </c>
      <c r="J71" s="3" t="n">
        <v>25.979965</v>
      </c>
      <c r="K71" s="3" t="n">
        <v>25.545093</v>
      </c>
      <c r="L71" s="3" t="n">
        <v>23.305268</v>
      </c>
      <c r="M71" s="3" t="n">
        <v>23.75321</v>
      </c>
      <c r="N71" s="3" t="n">
        <v>24.773996</v>
      </c>
      <c r="O71" s="3" t="n">
        <v>26.268806</v>
      </c>
      <c r="P71" s="3" t="n">
        <v>26.406173</v>
      </c>
      <c r="Q71" s="3" t="n">
        <v>28.506104</v>
      </c>
      <c r="R71" s="3" t="n">
        <v>29.526824</v>
      </c>
      <c r="S71" s="3" t="n">
        <v>32.28658</v>
      </c>
      <c r="T71" s="3" t="n">
        <v>35.322762</v>
      </c>
      <c r="U71" s="3" t="n">
        <v>33.805429</v>
      </c>
      <c r="V71" s="3" t="n">
        <v>34.983275</v>
      </c>
      <c r="W71" s="3" t="n">
        <v>38.650225</v>
      </c>
      <c r="X71" s="3" t="n">
        <v>38.201427</v>
      </c>
      <c r="Y71" s="3" t="n">
        <v>38.610286</v>
      </c>
      <c r="Z71" s="3" t="n">
        <v>38.159318</v>
      </c>
      <c r="AA71" s="3" t="n">
        <v>41.278067</v>
      </c>
      <c r="AB71" s="3" t="n">
        <v>37.88519</v>
      </c>
      <c r="AC71" s="3" t="n">
        <v>39.734758</v>
      </c>
      <c r="AD71" s="3" t="n">
        <v>38.030634</v>
      </c>
      <c r="AE71" s="3" t="n">
        <v>39.91036</v>
      </c>
      <c r="AF71" s="3" t="n">
        <v>40.683942</v>
      </c>
      <c r="AG71" s="3" t="n">
        <v>40.078399</v>
      </c>
      <c r="AH71" s="3" t="n">
        <v>40.216287</v>
      </c>
      <c r="AI71" s="3" t="n">
        <v>40.216287</v>
      </c>
      <c r="AJ71" s="3" t="n">
        <v>40.216287</v>
      </c>
      <c r="AK71" s="3" t="n">
        <v>40.216287</v>
      </c>
      <c r="AL71" s="3" t="n">
        <v>40.216287</v>
      </c>
      <c r="AM71" s="3" t="n"/>
      <c r="AN71" s="3" t="n"/>
      <c r="AO71" s="3" t="n"/>
      <c r="AP71" s="3" t="n"/>
      <c r="AQ71" s="3" t="n"/>
      <c r="AR71" s="3" t="n"/>
      <c r="AS71" s="3" t="n"/>
      <c r="AT71" s="3" t="n"/>
      <c r="AU71" s="3" t="n"/>
    </row>
    <row r="72">
      <c r="A72" s="3" t="n">
        <v>2031</v>
      </c>
      <c r="B72" s="3" t="inlineStr">
        <is>
          <t>AND</t>
        </is>
      </c>
      <c r="C72" s="3" t="inlineStr">
        <is>
          <t>IMF.RES:WEO</t>
        </is>
      </c>
      <c r="D72" s="3" t="inlineStr">
        <is>
          <t>AND.GGX_NGDP.A</t>
        </is>
      </c>
      <c r="E72" s="3" t="inlineStr">
        <is>
          <t>Andorra, Principality of</t>
        </is>
      </c>
      <c r="F72" s="3" t="inlineStr">
        <is>
          <t>Expenditure, General government, Percent of GDP</t>
        </is>
      </c>
      <c r="G72" s="3" t="n"/>
      <c r="H72" s="3" t="n">
        <v>26.703931</v>
      </c>
      <c r="I72" s="3" t="n">
        <v>24.999828</v>
      </c>
      <c r="J72" s="3" t="n">
        <v>24.215546</v>
      </c>
      <c r="K72" s="3" t="n">
        <v>23.690255</v>
      </c>
      <c r="L72" s="3" t="n">
        <v>23.386695</v>
      </c>
      <c r="M72" s="3" t="n">
        <v>25.18919</v>
      </c>
      <c r="N72" s="3" t="n">
        <v>27.602194</v>
      </c>
      <c r="O72" s="3" t="n">
        <v>29.460521</v>
      </c>
      <c r="P72" s="3" t="n">
        <v>29.91579</v>
      </c>
      <c r="Q72" s="3" t="n">
        <v>28.84959</v>
      </c>
      <c r="R72" s="3" t="n">
        <v>29.109333</v>
      </c>
      <c r="S72" s="3" t="n">
        <v>33.934758</v>
      </c>
      <c r="T72" s="3" t="n">
        <v>31.962239</v>
      </c>
      <c r="U72" s="3" t="n">
        <v>31.662056</v>
      </c>
      <c r="V72" s="3" t="n">
        <v>33.328569</v>
      </c>
      <c r="W72" s="3" t="n">
        <v>34.56761</v>
      </c>
      <c r="X72" s="3" t="n">
        <v>34.852324</v>
      </c>
      <c r="Y72" s="3" t="n">
        <v>35.930049</v>
      </c>
      <c r="Z72" s="3" t="n">
        <v>35.844372</v>
      </c>
      <c r="AA72" s="3" t="n">
        <v>42.327831</v>
      </c>
      <c r="AB72" s="3" t="n">
        <v>39.039965</v>
      </c>
      <c r="AC72" s="3" t="n">
        <v>34.88966</v>
      </c>
      <c r="AD72" s="3" t="n">
        <v>35.880351</v>
      </c>
      <c r="AE72" s="3" t="n">
        <v>37.126897</v>
      </c>
      <c r="AF72" s="3" t="n">
        <v>37.185517</v>
      </c>
      <c r="AG72" s="3" t="n">
        <v>37.839902</v>
      </c>
      <c r="AH72" s="3" t="n">
        <v>38.356336</v>
      </c>
      <c r="AI72" s="3" t="n">
        <v>38.340319</v>
      </c>
      <c r="AJ72" s="3" t="n">
        <v>38.32468</v>
      </c>
      <c r="AK72" s="3" t="n">
        <v>38.335038</v>
      </c>
      <c r="AL72" s="3" t="n">
        <v>38.466741</v>
      </c>
      <c r="AM72" s="3" t="n"/>
      <c r="AN72" s="3" t="n"/>
      <c r="AO72" s="3" t="n"/>
      <c r="AP72" s="3" t="n"/>
      <c r="AQ72" s="3" t="n"/>
      <c r="AR72" s="3" t="n"/>
      <c r="AS72" s="3" t="n"/>
      <c r="AT72" s="3" t="n"/>
      <c r="AU72" s="3" t="n"/>
    </row>
    <row r="73">
      <c r="A73" s="3" t="n">
        <v>2027</v>
      </c>
      <c r="B73" s="3" t="inlineStr">
        <is>
          <t>AND</t>
        </is>
      </c>
      <c r="C73" s="3" t="inlineStr">
        <is>
          <t>IMF.RES:WEO</t>
        </is>
      </c>
      <c r="D73" s="3" t="inlineStr">
        <is>
          <t>AND.LE.A</t>
        </is>
      </c>
      <c r="E73" s="3" t="inlineStr">
        <is>
          <t>Andorra, Principality of</t>
        </is>
      </c>
      <c r="F73" s="3" t="inlineStr">
        <is>
          <t>Employed persons, Persons for countries / Index for country groups</t>
        </is>
      </c>
      <c r="G73" s="3" t="n"/>
      <c r="H73" s="3" t="n"/>
      <c r="I73" s="3" t="n"/>
      <c r="J73" s="3" t="n"/>
      <c r="K73" s="3" t="n"/>
      <c r="L73" s="3" t="n"/>
      <c r="M73" s="3" t="n"/>
      <c r="N73" s="3" t="n"/>
      <c r="O73" s="3" t="n"/>
      <c r="P73" s="3" t="n"/>
      <c r="Q73" s="3" t="n">
        <v>0.043319</v>
      </c>
      <c r="R73" s="3" t="n">
        <v>0.041986</v>
      </c>
      <c r="S73" s="3" t="n">
        <v>0.040234</v>
      </c>
      <c r="T73" s="3" t="n">
        <v>0.040084</v>
      </c>
      <c r="U73" s="3" t="n">
        <v>0.040381</v>
      </c>
      <c r="V73" s="3" t="n">
        <v>0.041132</v>
      </c>
      <c r="W73" s="3" t="n">
        <v>0.042219</v>
      </c>
      <c r="X73" s="3" t="n">
        <v>0.043067</v>
      </c>
      <c r="Y73" s="3" t="n">
        <v>0.04461</v>
      </c>
      <c r="Z73" s="3" t="n">
        <v>0.044699</v>
      </c>
      <c r="AA73" s="3" t="n">
        <v>0.045159</v>
      </c>
      <c r="AB73" s="3" t="n">
        <v>0.046954</v>
      </c>
      <c r="AC73" s="3" t="n">
        <v>0.048851</v>
      </c>
      <c r="AD73" s="3" t="n">
        <v>0.051937</v>
      </c>
      <c r="AE73" s="3" t="n">
        <v>0.052656</v>
      </c>
      <c r="AF73" s="3" t="n">
        <v>0.054386</v>
      </c>
      <c r="AG73" s="3" t="n">
        <v>0.055905</v>
      </c>
      <c r="AH73" s="3" t="n">
        <v>0.057294</v>
      </c>
      <c r="AI73" s="3" t="n"/>
      <c r="AJ73" s="3" t="n"/>
      <c r="AK73" s="3" t="n"/>
      <c r="AL73" s="3" t="n"/>
      <c r="AM73" s="3" t="n"/>
      <c r="AN73" s="3" t="n"/>
      <c r="AO73" s="3" t="n"/>
      <c r="AP73" s="3" t="n"/>
      <c r="AQ73" s="3" t="n"/>
      <c r="AR73" s="3" t="n"/>
      <c r="AS73" s="3" t="n"/>
      <c r="AT73" s="3" t="n"/>
      <c r="AU73" s="3" t="n"/>
    </row>
    <row r="74">
      <c r="A74" s="3" t="n">
        <v>2031</v>
      </c>
      <c r="B74" s="3" t="inlineStr">
        <is>
          <t>AND</t>
        </is>
      </c>
      <c r="C74" s="3" t="inlineStr">
        <is>
          <t>IMF.RES:WEO</t>
        </is>
      </c>
      <c r="D74" s="3" t="inlineStr">
        <is>
          <t>AND.LP.A</t>
        </is>
      </c>
      <c r="E74" s="3" t="inlineStr">
        <is>
          <t>Andorra, Principality of</t>
        </is>
      </c>
      <c r="F74" s="3" t="inlineStr">
        <is>
          <t>Population, Persons for countries / Index for country groups</t>
        </is>
      </c>
      <c r="G74" s="3" t="n"/>
      <c r="H74" s="3" t="n"/>
      <c r="I74" s="3" t="n"/>
      <c r="J74" s="3" t="n"/>
      <c r="K74" s="3" t="n"/>
      <c r="L74" s="3" t="n"/>
      <c r="M74" s="3" t="n"/>
      <c r="N74" s="3" t="n"/>
      <c r="O74" s="3" t="n"/>
      <c r="P74" s="3" t="n"/>
      <c r="Q74" s="3" t="n">
        <v>0.07029000000000001</v>
      </c>
      <c r="R74" s="3" t="n">
        <v>0.069772</v>
      </c>
      <c r="S74" s="3" t="n">
        <v>0.069758</v>
      </c>
      <c r="T74" s="3" t="n">
        <v>0.069966</v>
      </c>
      <c r="U74" s="3" t="n">
        <v>0.07056999999999999</v>
      </c>
      <c r="V74" s="3" t="n">
        <v>0.071732</v>
      </c>
      <c r="W74" s="3" t="n">
        <v>0.073105</v>
      </c>
      <c r="X74" s="3" t="n">
        <v>0.074794</v>
      </c>
      <c r="Y74" s="3" t="n">
        <v>0.07617699999999999</v>
      </c>
      <c r="Z74" s="3" t="n">
        <v>0.077543</v>
      </c>
      <c r="AA74" s="3" t="n">
        <v>0.078015</v>
      </c>
      <c r="AB74" s="3" t="n">
        <v>0.07953499999999999</v>
      </c>
      <c r="AC74" s="3" t="n">
        <v>0.08158799999999999</v>
      </c>
      <c r="AD74" s="3" t="n">
        <v>0.085101</v>
      </c>
      <c r="AE74" s="3" t="n">
        <v>0.08709699999999999</v>
      </c>
      <c r="AF74" s="3" t="n">
        <v>0.08914</v>
      </c>
      <c r="AG74" s="3" t="n">
        <v>0.09123100000000001</v>
      </c>
      <c r="AH74" s="3" t="n">
        <v>0.09336999999999999</v>
      </c>
      <c r="AI74" s="3" t="n">
        <v>0.09556000000000001</v>
      </c>
      <c r="AJ74" s="3" t="n">
        <v>0.097802</v>
      </c>
      <c r="AK74" s="3" t="n">
        <v>0.100095</v>
      </c>
      <c r="AL74" s="3" t="n">
        <v>0.102443</v>
      </c>
      <c r="AM74" s="3" t="n"/>
      <c r="AN74" s="3" t="n"/>
      <c r="AO74" s="3" t="n"/>
      <c r="AP74" s="3" t="n"/>
      <c r="AQ74" s="3" t="n"/>
      <c r="AR74" s="3" t="n"/>
      <c r="AS74" s="3" t="n"/>
      <c r="AT74" s="3" t="n"/>
      <c r="AU74" s="3" t="n"/>
    </row>
    <row r="75">
      <c r="A75" s="3" t="n">
        <v>2031</v>
      </c>
      <c r="B75" s="3" t="inlineStr">
        <is>
          <t>AND</t>
        </is>
      </c>
      <c r="C75" s="3" t="inlineStr">
        <is>
          <t>IMF.RES:WEO</t>
        </is>
      </c>
      <c r="D75" s="3" t="inlineStr">
        <is>
          <t>AND.NGDP.A</t>
        </is>
      </c>
      <c r="E75" s="3" t="inlineStr">
        <is>
          <t>Andorra, Principality of</t>
        </is>
      </c>
      <c r="F75" s="3" t="inlineStr">
        <is>
          <t>Gross domestic product (GDP), Current prices, Domestic currency</t>
        </is>
      </c>
      <c r="G75" s="3" t="n">
        <v>1.55109</v>
      </c>
      <c r="H75" s="3" t="n">
        <v>1.72869</v>
      </c>
      <c r="I75" s="3" t="n">
        <v>1.86583</v>
      </c>
      <c r="J75" s="3" t="n">
        <v>2.09249</v>
      </c>
      <c r="K75" s="3" t="n">
        <v>2.33157</v>
      </c>
      <c r="L75" s="3" t="n">
        <v>2.54088</v>
      </c>
      <c r="M75" s="3" t="n">
        <v>2.75513</v>
      </c>
      <c r="N75" s="3" t="n">
        <v>2.88777</v>
      </c>
      <c r="O75" s="3" t="n">
        <v>2.78926</v>
      </c>
      <c r="P75" s="3" t="n">
        <v>2.64484</v>
      </c>
      <c r="Q75" s="3" t="n">
        <v>2.60231</v>
      </c>
      <c r="R75" s="3" t="n">
        <v>2.60722</v>
      </c>
      <c r="S75" s="3" t="n">
        <v>2.48185</v>
      </c>
      <c r="T75" s="3" t="n">
        <v>2.40454</v>
      </c>
      <c r="U75" s="3" t="n">
        <v>2.46269</v>
      </c>
      <c r="V75" s="3" t="n">
        <v>2.51451</v>
      </c>
      <c r="W75" s="3" t="n">
        <v>2.61686</v>
      </c>
      <c r="X75" s="3" t="n">
        <v>2.65576</v>
      </c>
      <c r="Y75" s="3" t="n">
        <v>2.72527</v>
      </c>
      <c r="Z75" s="3" t="n">
        <v>2.81842</v>
      </c>
      <c r="AA75" s="3" t="n">
        <v>2.53109</v>
      </c>
      <c r="AB75" s="3" t="n">
        <v>2.81097</v>
      </c>
      <c r="AC75" s="3" t="n">
        <v>3.21031</v>
      </c>
      <c r="AD75" s="3" t="n">
        <v>3.50058</v>
      </c>
      <c r="AE75" s="3" t="n">
        <v>3.73644</v>
      </c>
      <c r="AF75" s="3" t="n">
        <v>3.983233</v>
      </c>
      <c r="AG75" s="3" t="n">
        <v>4.180754</v>
      </c>
      <c r="AH75" s="3" t="n">
        <v>4.351349</v>
      </c>
      <c r="AI75" s="3" t="n">
        <v>4.513828</v>
      </c>
      <c r="AJ75" s="3" t="n">
        <v>4.67777</v>
      </c>
      <c r="AK75" s="3" t="n">
        <v>4.842895</v>
      </c>
      <c r="AL75" s="3" t="n">
        <v>5.01385</v>
      </c>
      <c r="AM75" s="3" t="n"/>
      <c r="AN75" s="3" t="n"/>
      <c r="AO75" s="3" t="n"/>
      <c r="AP75" s="3" t="n"/>
      <c r="AQ75" s="3" t="n"/>
      <c r="AR75" s="3" t="n"/>
      <c r="AS75" s="3" t="n"/>
      <c r="AT75" s="3" t="n"/>
      <c r="AU75" s="3" t="n"/>
    </row>
    <row r="76">
      <c r="A76" s="3" t="n">
        <v>2031</v>
      </c>
      <c r="B76" s="3" t="inlineStr">
        <is>
          <t>AND</t>
        </is>
      </c>
      <c r="C76" s="3" t="inlineStr">
        <is>
          <t>IMF.RES:WEO</t>
        </is>
      </c>
      <c r="D76" s="3" t="inlineStr">
        <is>
          <t>AND.NGDP_D.A</t>
        </is>
      </c>
      <c r="E76" s="3" t="inlineStr">
        <is>
          <t>Andorra, Principality of</t>
        </is>
      </c>
      <c r="F76" s="3" t="inlineStr">
        <is>
          <t>Gross domestic product (GDP), Price deflator, Index</t>
        </is>
      </c>
      <c r="G76" s="3" t="n">
        <v>77.879256</v>
      </c>
      <c r="H76" s="3" t="n">
        <v>80.27835399999999</v>
      </c>
      <c r="I76" s="3" t="n">
        <v>82.878997</v>
      </c>
      <c r="J76" s="3" t="n">
        <v>85.51246399999999</v>
      </c>
      <c r="K76" s="3" t="n">
        <v>88.114116</v>
      </c>
      <c r="L76" s="3" t="n">
        <v>91.106561</v>
      </c>
      <c r="M76" s="3" t="n">
        <v>94.256283</v>
      </c>
      <c r="N76" s="3" t="n">
        <v>97.28306600000001</v>
      </c>
      <c r="O76" s="3" t="n">
        <v>99.49561199999999</v>
      </c>
      <c r="P76" s="3" t="n">
        <v>99.627082</v>
      </c>
      <c r="Q76" s="3" t="n">
        <v>100</v>
      </c>
      <c r="R76" s="3" t="n">
        <v>100.196764</v>
      </c>
      <c r="S76" s="3" t="n">
        <v>100.371665</v>
      </c>
      <c r="T76" s="3" t="n">
        <v>100.821824</v>
      </c>
      <c r="U76" s="3" t="n">
        <v>100.737114</v>
      </c>
      <c r="V76" s="3" t="n">
        <v>101.402572</v>
      </c>
      <c r="W76" s="3" t="n">
        <v>101.755246</v>
      </c>
      <c r="X76" s="3" t="n">
        <v>102.911703</v>
      </c>
      <c r="Y76" s="3" t="n">
        <v>103.953662</v>
      </c>
      <c r="Z76" s="3" t="n">
        <v>105.382769</v>
      </c>
      <c r="AA76" s="3" t="n">
        <v>106.556507</v>
      </c>
      <c r="AB76" s="3" t="n">
        <v>109.28314</v>
      </c>
      <c r="AC76" s="3" t="n">
        <v>113.913087</v>
      </c>
      <c r="AD76" s="3" t="n">
        <v>121.0846</v>
      </c>
      <c r="AE76" s="3" t="n">
        <v>124.452586</v>
      </c>
      <c r="AF76" s="3" t="n">
        <v>127.692709</v>
      </c>
      <c r="AG76" s="3" t="n">
        <v>131.268105</v>
      </c>
      <c r="AH76" s="3" t="n">
        <v>134.156004</v>
      </c>
      <c r="AI76" s="3" t="n">
        <v>136.839124</v>
      </c>
      <c r="AJ76" s="3" t="n">
        <v>139.575906</v>
      </c>
      <c r="AK76" s="3" t="n">
        <v>142.367424</v>
      </c>
      <c r="AL76" s="3" t="n">
        <v>145.214773</v>
      </c>
      <c r="AM76" s="3" t="n"/>
      <c r="AN76" s="3" t="n"/>
      <c r="AO76" s="3" t="n"/>
      <c r="AP76" s="3" t="n"/>
      <c r="AQ76" s="3" t="n"/>
      <c r="AR76" s="3" t="n"/>
      <c r="AS76" s="3" t="n"/>
      <c r="AT76" s="3" t="n"/>
      <c r="AU76" s="3" t="n"/>
    </row>
    <row r="77">
      <c r="A77" s="3" t="n">
        <v>2031</v>
      </c>
      <c r="B77" s="3" t="inlineStr">
        <is>
          <t>AND</t>
        </is>
      </c>
      <c r="C77" s="3" t="inlineStr">
        <is>
          <t>IMF.RES:WEO</t>
        </is>
      </c>
      <c r="D77" s="3" t="inlineStr">
        <is>
          <t>AND.NGDP_R.A</t>
        </is>
      </c>
      <c r="E77" s="3" t="inlineStr">
        <is>
          <t>Andorra, Principality of</t>
        </is>
      </c>
      <c r="F77" s="3" t="inlineStr">
        <is>
          <t>Gross domestic product (GDP), Constant prices, Domestic currency</t>
        </is>
      </c>
      <c r="G77" s="3" t="n">
        <v>1.99166</v>
      </c>
      <c r="H77" s="3" t="n">
        <v>2.15337</v>
      </c>
      <c r="I77" s="3" t="n">
        <v>2.25127</v>
      </c>
      <c r="J77" s="3" t="n">
        <v>2.447</v>
      </c>
      <c r="K77" s="3" t="n">
        <v>2.64608</v>
      </c>
      <c r="L77" s="3" t="n">
        <v>2.78891</v>
      </c>
      <c r="M77" s="3" t="n">
        <v>2.92302</v>
      </c>
      <c r="N77" s="3" t="n">
        <v>2.96842</v>
      </c>
      <c r="O77" s="3" t="n">
        <v>2.8034</v>
      </c>
      <c r="P77" s="3" t="n">
        <v>2.65474</v>
      </c>
      <c r="Q77" s="3" t="n">
        <v>2.60231</v>
      </c>
      <c r="R77" s="3" t="n">
        <v>2.6021</v>
      </c>
      <c r="S77" s="3" t="n">
        <v>2.47266</v>
      </c>
      <c r="T77" s="3" t="n">
        <v>2.38494</v>
      </c>
      <c r="U77" s="3" t="n">
        <v>2.44467</v>
      </c>
      <c r="V77" s="3" t="n">
        <v>2.47973</v>
      </c>
      <c r="W77" s="3" t="n">
        <v>2.57172</v>
      </c>
      <c r="X77" s="3" t="n">
        <v>2.58062</v>
      </c>
      <c r="Y77" s="3" t="n">
        <v>2.62162</v>
      </c>
      <c r="Z77" s="3" t="n">
        <v>2.67446</v>
      </c>
      <c r="AA77" s="3" t="n">
        <v>2.37535</v>
      </c>
      <c r="AB77" s="3" t="n">
        <v>2.57219</v>
      </c>
      <c r="AC77" s="3" t="n">
        <v>2.81821</v>
      </c>
      <c r="AD77" s="3" t="n">
        <v>2.89102</v>
      </c>
      <c r="AE77" s="3" t="n">
        <v>3.0023</v>
      </c>
      <c r="AF77" s="3" t="n">
        <v>3.11939</v>
      </c>
      <c r="AG77" s="3" t="n">
        <v>3.184897</v>
      </c>
      <c r="AH77" s="3" t="n">
        <v>3.243499</v>
      </c>
      <c r="AI77" s="3" t="n">
        <v>3.298638</v>
      </c>
      <c r="AJ77" s="3" t="n">
        <v>3.351417</v>
      </c>
      <c r="AK77" s="3" t="n">
        <v>3.401688</v>
      </c>
      <c r="AL77" s="3" t="n">
        <v>3.452713</v>
      </c>
      <c r="AM77" s="3" t="n"/>
      <c r="AN77" s="3" t="n"/>
      <c r="AO77" s="3" t="n"/>
      <c r="AP77" s="3" t="n"/>
      <c r="AQ77" s="3" t="n"/>
      <c r="AR77" s="3" t="n"/>
      <c r="AS77" s="3" t="n"/>
      <c r="AT77" s="3" t="n"/>
      <c r="AU77" s="3" t="n"/>
    </row>
    <row r="78">
      <c r="A78" s="3" t="n">
        <v>2031</v>
      </c>
      <c r="B78" s="3" t="inlineStr">
        <is>
          <t>AND</t>
        </is>
      </c>
      <c r="C78" s="3" t="inlineStr">
        <is>
          <t>IMF.RES:WEO</t>
        </is>
      </c>
      <c r="D78" s="3" t="inlineStr">
        <is>
          <t>AND.NGDP_RPCH.A</t>
        </is>
      </c>
      <c r="E78" s="3" t="inlineStr">
        <is>
          <t>Andorra, Principality of</t>
        </is>
      </c>
      <c r="F78" s="3" t="inlineStr">
        <is>
          <t>Gross domestic product (GDP), Constant prices, Percent change</t>
        </is>
      </c>
      <c r="G78" s="3" t="n"/>
      <c r="H78" s="3" t="n">
        <v>8.119358</v>
      </c>
      <c r="I78" s="3" t="n">
        <v>4.546362</v>
      </c>
      <c r="J78" s="3" t="n">
        <v>8.694203999999999</v>
      </c>
      <c r="K78" s="3" t="n">
        <v>8.135676</v>
      </c>
      <c r="L78" s="3" t="n">
        <v>5.397796</v>
      </c>
      <c r="M78" s="3" t="n">
        <v>4.808689</v>
      </c>
      <c r="N78" s="3" t="n">
        <v>1.553188</v>
      </c>
      <c r="O78" s="3" t="n">
        <v>-5.559186</v>
      </c>
      <c r="P78" s="3" t="n">
        <v>-5.302847</v>
      </c>
      <c r="Q78" s="3" t="n">
        <v>-1.974958</v>
      </c>
      <c r="R78" s="3" t="n">
        <v>-0.008070000000000001</v>
      </c>
      <c r="S78" s="3" t="n">
        <v>-4.974444</v>
      </c>
      <c r="T78" s="3" t="n">
        <v>-3.547597</v>
      </c>
      <c r="U78" s="3" t="n">
        <v>2.504466</v>
      </c>
      <c r="V78" s="3" t="n">
        <v>1.43414</v>
      </c>
      <c r="W78" s="3" t="n">
        <v>3.709678</v>
      </c>
      <c r="X78" s="3" t="n">
        <v>0.346072</v>
      </c>
      <c r="Y78" s="3" t="n">
        <v>1.588765</v>
      </c>
      <c r="Z78" s="3" t="n">
        <v>2.015548</v>
      </c>
      <c r="AA78" s="3" t="n">
        <v>-11.18394</v>
      </c>
      <c r="AB78" s="3" t="n">
        <v>8.286778999999999</v>
      </c>
      <c r="AC78" s="3" t="n">
        <v>9.564612</v>
      </c>
      <c r="AD78" s="3" t="n">
        <v>2.583555</v>
      </c>
      <c r="AE78" s="3" t="n">
        <v>3.849161</v>
      </c>
      <c r="AF78" s="3" t="n">
        <v>3.9</v>
      </c>
      <c r="AG78" s="3" t="n">
        <v>2.1</v>
      </c>
      <c r="AH78" s="3" t="n">
        <v>1.84</v>
      </c>
      <c r="AI78" s="3" t="n">
        <v>1.7</v>
      </c>
      <c r="AJ78" s="3" t="n">
        <v>1.6</v>
      </c>
      <c r="AK78" s="3" t="n">
        <v>1.5</v>
      </c>
      <c r="AL78" s="3" t="n">
        <v>1.5</v>
      </c>
      <c r="AM78" s="3" t="n"/>
      <c r="AN78" s="3" t="n"/>
      <c r="AO78" s="3" t="n"/>
      <c r="AP78" s="3" t="n"/>
      <c r="AQ78" s="3" t="n"/>
      <c r="AR78" s="3" t="n"/>
      <c r="AS78" s="3" t="n"/>
      <c r="AT78" s="3" t="n"/>
      <c r="AU78" s="3" t="n"/>
    </row>
    <row r="79">
      <c r="A79" s="3" t="n">
        <v>2031</v>
      </c>
      <c r="B79" s="3" t="inlineStr">
        <is>
          <t>AND</t>
        </is>
      </c>
      <c r="C79" s="3" t="inlineStr">
        <is>
          <t>IMF.RES:WEO</t>
        </is>
      </c>
      <c r="D79" s="3" t="inlineStr">
        <is>
          <t>AND.NGDPD.A</t>
        </is>
      </c>
      <c r="E79" s="3" t="inlineStr">
        <is>
          <t>Andorra, Principality of</t>
        </is>
      </c>
      <c r="F79" s="3" t="inlineStr">
        <is>
          <t>Gross domestic product (GDP), Current prices, US dollar</t>
        </is>
      </c>
      <c r="G79" s="3" t="n">
        <v>1.429338</v>
      </c>
      <c r="H79" s="3" t="n">
        <v>1.547205</v>
      </c>
      <c r="I79" s="3" t="n">
        <v>1.75752</v>
      </c>
      <c r="J79" s="3" t="n">
        <v>2.362202</v>
      </c>
      <c r="K79" s="3" t="n">
        <v>2.895937</v>
      </c>
      <c r="L79" s="3" t="n">
        <v>3.157902</v>
      </c>
      <c r="M79" s="3" t="n">
        <v>3.456459</v>
      </c>
      <c r="N79" s="3" t="n">
        <v>3.952432</v>
      </c>
      <c r="O79" s="3" t="n">
        <v>4.082045</v>
      </c>
      <c r="P79" s="3" t="n">
        <v>3.675449</v>
      </c>
      <c r="Q79" s="3" t="n">
        <v>3.446335</v>
      </c>
      <c r="R79" s="3" t="n">
        <v>3.625166</v>
      </c>
      <c r="S79" s="3" t="n">
        <v>3.188915</v>
      </c>
      <c r="T79" s="3" t="n">
        <v>3.192562</v>
      </c>
      <c r="U79" s="3" t="n">
        <v>3.26734</v>
      </c>
      <c r="V79" s="3" t="n">
        <v>2.78876</v>
      </c>
      <c r="W79" s="3" t="n">
        <v>2.894616</v>
      </c>
      <c r="X79" s="3" t="n">
        <v>2.993087</v>
      </c>
      <c r="Y79" s="3" t="n">
        <v>3.216947</v>
      </c>
      <c r="Z79" s="3" t="n">
        <v>3.155108</v>
      </c>
      <c r="AA79" s="3" t="n">
        <v>2.884515</v>
      </c>
      <c r="AB79" s="3" t="n">
        <v>3.32511</v>
      </c>
      <c r="AC79" s="3" t="n">
        <v>3.37602</v>
      </c>
      <c r="AD79" s="3" t="n">
        <v>3.785599</v>
      </c>
      <c r="AE79" s="3" t="n">
        <v>4.042159</v>
      </c>
      <c r="AF79" s="3" t="n">
        <v>4.490764</v>
      </c>
      <c r="AG79" s="3" t="n">
        <v>4.878509</v>
      </c>
      <c r="AH79" s="3" t="n">
        <v>5.065377</v>
      </c>
      <c r="AI79" s="3" t="n">
        <v>5.245262</v>
      </c>
      <c r="AJ79" s="3" t="n">
        <v>5.430345</v>
      </c>
      <c r="AK79" s="3" t="n">
        <v>5.617179</v>
      </c>
      <c r="AL79" s="3" t="n">
        <v>5.877862</v>
      </c>
      <c r="AM79" s="3" t="n"/>
      <c r="AN79" s="3" t="n"/>
      <c r="AO79" s="3" t="n"/>
      <c r="AP79" s="3" t="n"/>
      <c r="AQ79" s="3" t="n"/>
      <c r="AR79" s="3" t="n"/>
      <c r="AS79" s="3" t="n"/>
      <c r="AT79" s="3" t="n"/>
      <c r="AU79" s="3" t="n"/>
    </row>
    <row r="80">
      <c r="A80" s="3" t="n">
        <v>2031</v>
      </c>
      <c r="B80" s="3" t="inlineStr">
        <is>
          <t>AND</t>
        </is>
      </c>
      <c r="C80" s="3" t="inlineStr">
        <is>
          <t>IMF.RES:WEO</t>
        </is>
      </c>
      <c r="D80" s="3" t="inlineStr">
        <is>
          <t>AND.NGDPPC.A</t>
        </is>
      </c>
      <c r="E80" s="3" t="inlineStr">
        <is>
          <t>Andorra, Principality of</t>
        </is>
      </c>
      <c r="F80" s="3" t="inlineStr">
        <is>
          <t>Gross domestic product (GDP), Current prices, Per capita, Domestic currency</t>
        </is>
      </c>
      <c r="G80" s="3" t="n"/>
      <c r="H80" s="3" t="n"/>
      <c r="I80" s="3" t="n"/>
      <c r="J80" s="3" t="n"/>
      <c r="K80" s="3" t="n"/>
      <c r="L80" s="3" t="n"/>
      <c r="M80" s="3" t="n"/>
      <c r="N80" s="3" t="n"/>
      <c r="O80" s="3" t="n"/>
      <c r="P80" s="3" t="n"/>
      <c r="Q80" s="3" t="n">
        <v>37022.478304</v>
      </c>
      <c r="R80" s="3" t="n">
        <v>37367.711976</v>
      </c>
      <c r="S80" s="3" t="n">
        <v>35577.998222</v>
      </c>
      <c r="T80" s="3" t="n">
        <v>34367.2641</v>
      </c>
      <c r="U80" s="3" t="n">
        <v>34897.123424</v>
      </c>
      <c r="V80" s="3" t="n">
        <v>35054.229633</v>
      </c>
      <c r="W80" s="3" t="n">
        <v>35795.909992</v>
      </c>
      <c r="X80" s="3" t="n">
        <v>35507.661042</v>
      </c>
      <c r="Y80" s="3" t="n">
        <v>35775.496541</v>
      </c>
      <c r="Z80" s="3" t="n">
        <v>36346.543208</v>
      </c>
      <c r="AA80" s="3" t="n">
        <v>32443.632635</v>
      </c>
      <c r="AB80" s="3" t="n">
        <v>35342.553593</v>
      </c>
      <c r="AC80" s="3" t="n">
        <v>39347.820758</v>
      </c>
      <c r="AD80" s="3" t="n">
        <v>41134.416752</v>
      </c>
      <c r="AE80" s="3" t="n">
        <v>42899.755445</v>
      </c>
      <c r="AF80" s="3" t="n">
        <v>44685.230939</v>
      </c>
      <c r="AG80" s="3" t="n">
        <v>45826.25112</v>
      </c>
      <c r="AH80" s="3" t="n">
        <v>46603.129793</v>
      </c>
      <c r="AI80" s="3" t="n">
        <v>47235.40855</v>
      </c>
      <c r="AJ80" s="3" t="n">
        <v>47829.189649</v>
      </c>
      <c r="AK80" s="3" t="n">
        <v>48382.767228</v>
      </c>
      <c r="AL80" s="3" t="n">
        <v>48942.751943</v>
      </c>
      <c r="AM80" s="3" t="n"/>
      <c r="AN80" s="3" t="n"/>
      <c r="AO80" s="3" t="n"/>
      <c r="AP80" s="3" t="n"/>
      <c r="AQ80" s="3" t="n"/>
      <c r="AR80" s="3" t="n"/>
      <c r="AS80" s="3" t="n"/>
      <c r="AT80" s="3" t="n"/>
      <c r="AU80" s="3" t="n"/>
    </row>
    <row r="81">
      <c r="A81" s="3" t="n">
        <v>2031</v>
      </c>
      <c r="B81" s="3" t="inlineStr">
        <is>
          <t>AND</t>
        </is>
      </c>
      <c r="C81" s="3" t="inlineStr">
        <is>
          <t>IMF.RES:WEO</t>
        </is>
      </c>
      <c r="D81" s="3" t="inlineStr">
        <is>
          <t>AND.NGDPRPC.A</t>
        </is>
      </c>
      <c r="E81" s="3" t="inlineStr">
        <is>
          <t>Andorra, Principality of</t>
        </is>
      </c>
      <c r="F81" s="3" t="inlineStr">
        <is>
          <t>Gross domestic product (GDP), Constant prices, Per capita, Domestic currency</t>
        </is>
      </c>
      <c r="G81" s="3" t="n"/>
      <c r="H81" s="3" t="n"/>
      <c r="I81" s="3" t="n"/>
      <c r="J81" s="3" t="n"/>
      <c r="K81" s="3" t="n"/>
      <c r="L81" s="3" t="n"/>
      <c r="M81" s="3" t="n"/>
      <c r="N81" s="3" t="n"/>
      <c r="O81" s="3" t="n"/>
      <c r="P81" s="3" t="n"/>
      <c r="Q81" s="3" t="n">
        <v>37022.478304</v>
      </c>
      <c r="R81" s="3" t="n">
        <v>37294.330104</v>
      </c>
      <c r="S81" s="3" t="n">
        <v>35446.25706</v>
      </c>
      <c r="T81" s="3" t="n">
        <v>34087.128034</v>
      </c>
      <c r="U81" s="3" t="n">
        <v>34641.774125</v>
      </c>
      <c r="V81" s="3" t="n">
        <v>34569.369319</v>
      </c>
      <c r="W81" s="3" t="n">
        <v>35178.441967</v>
      </c>
      <c r="X81" s="3" t="n">
        <v>34503.035003</v>
      </c>
      <c r="Y81" s="3" t="n">
        <v>34414.849627</v>
      </c>
      <c r="Z81" s="3" t="n">
        <v>34490.024889</v>
      </c>
      <c r="AA81" s="3" t="n">
        <v>30447.349869</v>
      </c>
      <c r="AB81" s="3" t="n">
        <v>32340.353304</v>
      </c>
      <c r="AC81" s="3" t="n">
        <v>34541.966956</v>
      </c>
      <c r="AD81" s="3" t="n">
        <v>33971.633706</v>
      </c>
      <c r="AE81" s="3" t="n">
        <v>34470.762483</v>
      </c>
      <c r="AF81" s="3" t="n">
        <v>34994.347866</v>
      </c>
      <c r="AG81" s="3" t="n">
        <v>34910.423225</v>
      </c>
      <c r="AH81" s="3" t="n">
        <v>34738.012863</v>
      </c>
      <c r="AI81" s="3" t="n">
        <v>34518.935284</v>
      </c>
      <c r="AJ81" s="3" t="n">
        <v>34267.511466</v>
      </c>
      <c r="AK81" s="3" t="n">
        <v>33984.436728</v>
      </c>
      <c r="AL81" s="3" t="n">
        <v>33703.700394</v>
      </c>
      <c r="AM81" s="3" t="n"/>
      <c r="AN81" s="3" t="n"/>
      <c r="AO81" s="3" t="n"/>
      <c r="AP81" s="3" t="n"/>
      <c r="AQ81" s="3" t="n"/>
      <c r="AR81" s="3" t="n"/>
      <c r="AS81" s="3" t="n"/>
      <c r="AT81" s="3" t="n"/>
      <c r="AU81" s="3" t="n"/>
    </row>
    <row r="82">
      <c r="A82" s="3" t="n">
        <v>2031</v>
      </c>
      <c r="B82" s="3" t="inlineStr">
        <is>
          <t>AND</t>
        </is>
      </c>
      <c r="C82" s="3" t="inlineStr">
        <is>
          <t>IMF.RES:WEO</t>
        </is>
      </c>
      <c r="D82" s="3" t="inlineStr">
        <is>
          <t>AND.PCPI.A</t>
        </is>
      </c>
      <c r="E82" s="3" t="inlineStr">
        <is>
          <t>Andorra, Principality of</t>
        </is>
      </c>
      <c r="F82" s="3" t="inlineStr">
        <is>
          <t>All Items, Consumer price index (CPI), Period average</t>
        </is>
      </c>
      <c r="G82" s="3" t="n"/>
      <c r="H82" s="3" t="n">
        <v>72.610833</v>
      </c>
      <c r="I82" s="3" t="n">
        <v>74.88166699999999</v>
      </c>
      <c r="J82" s="3" t="n">
        <v>77.17</v>
      </c>
      <c r="K82" s="3" t="n">
        <v>79.41249999999999</v>
      </c>
      <c r="L82" s="3" t="n">
        <v>82.21333300000001</v>
      </c>
      <c r="M82" s="3" t="n">
        <v>85.24083299999999</v>
      </c>
      <c r="N82" s="3" t="n">
        <v>87.50749999999999</v>
      </c>
      <c r="O82" s="3" t="n">
        <v>91.311667</v>
      </c>
      <c r="P82" s="3" t="n">
        <v>90.200833</v>
      </c>
      <c r="Q82" s="3" t="n">
        <v>91.73999999999999</v>
      </c>
      <c r="R82" s="3" t="n">
        <v>94.080833</v>
      </c>
      <c r="S82" s="3" t="n">
        <v>95.46083299999999</v>
      </c>
      <c r="T82" s="3" t="n">
        <v>95.91416700000001</v>
      </c>
      <c r="U82" s="3" t="n">
        <v>95.82166700000001</v>
      </c>
      <c r="V82" s="3" t="n">
        <v>94.736667</v>
      </c>
      <c r="W82" s="3" t="n">
        <v>94.33666700000001</v>
      </c>
      <c r="X82" s="3" t="n">
        <v>96.776667</v>
      </c>
      <c r="Y82" s="3" t="n">
        <v>97.74083299999999</v>
      </c>
      <c r="Z82" s="3" t="n">
        <v>98.25916700000001</v>
      </c>
      <c r="AA82" s="3" t="n">
        <v>98.34999999999999</v>
      </c>
      <c r="AB82" s="3" t="n">
        <v>99.999167</v>
      </c>
      <c r="AC82" s="3" t="n">
        <v>106.201667</v>
      </c>
      <c r="AD82" s="3" t="n">
        <v>112.156667</v>
      </c>
      <c r="AE82" s="3" t="n">
        <v>115.604167</v>
      </c>
      <c r="AF82" s="3" t="n">
        <v>118.399167</v>
      </c>
      <c r="AG82" s="3" t="n">
        <v>121.911523</v>
      </c>
      <c r="AH82" s="3" t="n">
        <v>124.663343</v>
      </c>
      <c r="AI82" s="3" t="n">
        <v>127.15661</v>
      </c>
      <c r="AJ82" s="3" t="n">
        <v>129.699742</v>
      </c>
      <c r="AK82" s="3" t="n">
        <v>132.293737</v>
      </c>
      <c r="AL82" s="3" t="n">
        <v>134.939611</v>
      </c>
      <c r="AM82" s="3" t="n"/>
      <c r="AN82" s="3" t="n"/>
      <c r="AO82" s="3" t="n"/>
      <c r="AP82" s="3" t="n"/>
      <c r="AQ82" s="3" t="n"/>
      <c r="AR82" s="3" t="n"/>
      <c r="AS82" s="3" t="n"/>
      <c r="AT82" s="3" t="n"/>
      <c r="AU82" s="3" t="n"/>
    </row>
    <row r="83">
      <c r="A83" s="3" t="n">
        <v>2031</v>
      </c>
      <c r="B83" s="3" t="inlineStr">
        <is>
          <t>AND</t>
        </is>
      </c>
      <c r="C83" s="3" t="inlineStr">
        <is>
          <t>IMF.RES:WEO</t>
        </is>
      </c>
      <c r="D83" s="3" t="inlineStr">
        <is>
          <t>AND.PCPIPCH.A</t>
        </is>
      </c>
      <c r="E83" s="3" t="inlineStr">
        <is>
          <t>Andorra, Principality of</t>
        </is>
      </c>
      <c r="F83" s="3" t="inlineStr">
        <is>
          <t>All Items, Consumer price index (CPI), Period average, percent change</t>
        </is>
      </c>
      <c r="G83" s="3" t="n"/>
      <c r="H83" s="3" t="n"/>
      <c r="I83" s="3" t="n">
        <v>3.127403</v>
      </c>
      <c r="J83" s="3" t="n">
        <v>3.055933</v>
      </c>
      <c r="K83" s="3" t="n">
        <v>2.905922</v>
      </c>
      <c r="L83" s="3" t="n">
        <v>3.526943</v>
      </c>
      <c r="M83" s="3" t="n">
        <v>3.682493</v>
      </c>
      <c r="N83" s="3" t="n">
        <v>2.659132</v>
      </c>
      <c r="O83" s="3" t="n">
        <v>4.347246</v>
      </c>
      <c r="P83" s="3" t="n">
        <v>-1.216529</v>
      </c>
      <c r="Q83" s="3" t="n">
        <v>1.706377</v>
      </c>
      <c r="R83" s="3" t="n">
        <v>2.551595</v>
      </c>
      <c r="S83" s="3" t="n">
        <v>1.466824</v>
      </c>
      <c r="T83" s="3" t="n">
        <v>0.474889</v>
      </c>
      <c r="U83" s="3" t="n">
        <v>-0.09644</v>
      </c>
      <c r="V83" s="3" t="n">
        <v>-1.132312</v>
      </c>
      <c r="W83" s="3" t="n">
        <v>-0.422223</v>
      </c>
      <c r="X83" s="3" t="n">
        <v>2.586481</v>
      </c>
      <c r="Y83" s="3" t="n">
        <v>0.9962800000000001</v>
      </c>
      <c r="Z83" s="3" t="n">
        <v>0.530314</v>
      </c>
      <c r="AA83" s="3" t="n">
        <v>0.092443</v>
      </c>
      <c r="AB83" s="3" t="n">
        <v>1.676834</v>
      </c>
      <c r="AC83" s="3" t="n">
        <v>6.202552</v>
      </c>
      <c r="AD83" s="3" t="n">
        <v>5.607257</v>
      </c>
      <c r="AE83" s="3" t="n">
        <v>3.073825</v>
      </c>
      <c r="AF83" s="3" t="n">
        <v>2.417733</v>
      </c>
      <c r="AG83" s="3" t="n">
        <v>2.966538</v>
      </c>
      <c r="AH83" s="3" t="n">
        <v>2.257227</v>
      </c>
      <c r="AI83" s="3" t="n">
        <v>2</v>
      </c>
      <c r="AJ83" s="3" t="n">
        <v>2</v>
      </c>
      <c r="AK83" s="3" t="n">
        <v>2</v>
      </c>
      <c r="AL83" s="3" t="n">
        <v>2</v>
      </c>
      <c r="AM83" s="3" t="n"/>
      <c r="AN83" s="3" t="n"/>
      <c r="AO83" s="3" t="n"/>
      <c r="AP83" s="3" t="n"/>
      <c r="AQ83" s="3" t="n"/>
      <c r="AR83" s="3" t="n"/>
      <c r="AS83" s="3" t="n"/>
      <c r="AT83" s="3" t="n"/>
      <c r="AU83" s="3" t="n"/>
    </row>
    <row r="84">
      <c r="A84" s="3" t="n">
        <v>2031</v>
      </c>
      <c r="B84" s="3" t="inlineStr">
        <is>
          <t>AND</t>
        </is>
      </c>
      <c r="C84" s="3" t="inlineStr">
        <is>
          <t>IMF.RES:WEO</t>
        </is>
      </c>
      <c r="D84" s="3" t="inlineStr">
        <is>
          <t>AND.PPPPC.A</t>
        </is>
      </c>
      <c r="E84" s="3" t="inlineStr">
        <is>
          <t>Andorra, Principality of</t>
        </is>
      </c>
      <c r="F84" s="3" t="inlineStr">
        <is>
          <t>Gross domestic product (GDP), Per capita, purchasing power parity (PPP) international dollar, ICP benchmarks 2017-2021</t>
        </is>
      </c>
      <c r="G84" s="3" t="n"/>
      <c r="H84" s="3" t="n"/>
      <c r="I84" s="3" t="n"/>
      <c r="J84" s="3" t="n"/>
      <c r="K84" s="3" t="n"/>
      <c r="L84" s="3" t="n"/>
      <c r="M84" s="3" t="n"/>
      <c r="N84" s="3" t="n"/>
      <c r="O84" s="3" t="n"/>
      <c r="P84" s="3" t="n"/>
      <c r="Q84" s="3" t="n">
        <v>50351.539462</v>
      </c>
      <c r="R84" s="3" t="n">
        <v>51767.7707</v>
      </c>
      <c r="S84" s="3" t="n">
        <v>50118.601607</v>
      </c>
      <c r="T84" s="3" t="n">
        <v>49017.198773</v>
      </c>
      <c r="U84" s="3" t="n">
        <v>50682.409757</v>
      </c>
      <c r="V84" s="3" t="n">
        <v>51045.855043</v>
      </c>
      <c r="W84" s="3" t="n">
        <v>52438.820244</v>
      </c>
      <c r="X84" s="3" t="n">
        <v>52353.114161</v>
      </c>
      <c r="Y84" s="3" t="n">
        <v>54508.562819</v>
      </c>
      <c r="Z84" s="3" t="n">
        <v>56682.723759</v>
      </c>
      <c r="AA84" s="3" t="n">
        <v>51671.809364</v>
      </c>
      <c r="AB84" s="3" t="n">
        <v>58458.650265</v>
      </c>
      <c r="AC84" s="3" t="n">
        <v>66879.173198</v>
      </c>
      <c r="AD84" s="3" t="n">
        <v>68208.603817</v>
      </c>
      <c r="AE84" s="3" t="n">
        <v>70928.947955</v>
      </c>
      <c r="AF84" s="3" t="n">
        <v>74048.957004</v>
      </c>
      <c r="AG84" s="3" t="n">
        <v>75987.67482499999</v>
      </c>
      <c r="AH84" s="3" t="n">
        <v>77272.77248499999</v>
      </c>
      <c r="AI84" s="3" t="n">
        <v>78045.795667</v>
      </c>
      <c r="AJ84" s="3" t="n">
        <v>78854.968626</v>
      </c>
      <c r="AK84" s="3" t="n">
        <v>79640.580407</v>
      </c>
      <c r="AL84" s="3" t="n">
        <v>80408.566828</v>
      </c>
      <c r="AM84" s="3" t="n"/>
      <c r="AN84" s="3" t="n"/>
      <c r="AO84" s="3" t="n"/>
      <c r="AP84" s="3" t="n"/>
      <c r="AQ84" s="3" t="n"/>
      <c r="AR84" s="3" t="n"/>
      <c r="AS84" s="3" t="n"/>
      <c r="AT84" s="3" t="n"/>
      <c r="AU84" s="3" t="n"/>
    </row>
    <row r="85">
      <c r="A85" s="3" t="n">
        <v>2025</v>
      </c>
      <c r="B85" s="3" t="inlineStr">
        <is>
          <t>AND</t>
        </is>
      </c>
      <c r="C85" s="3" t="inlineStr">
        <is>
          <t>IMF.STA:ER</t>
        </is>
      </c>
      <c r="D85" s="3" t="inlineStr">
        <is>
          <t>AND.XDC_USD.PA_RT.A</t>
        </is>
      </c>
      <c r="E85" s="3" t="inlineStr">
        <is>
          <t>Andorra, Principality of</t>
        </is>
      </c>
      <c r="F85" s="3" t="inlineStr">
        <is>
          <t>Domestic currency per US Dollar</t>
        </is>
      </c>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v>0.8453765643679449</v>
      </c>
      <c r="AC85" s="3" t="n">
        <v>0.950915533962108</v>
      </c>
      <c r="AD85" s="3" t="n">
        <v>0.924709622987356</v>
      </c>
      <c r="AE85" s="3" t="n">
        <v>0.924367447270266</v>
      </c>
      <c r="AF85" s="3" t="n">
        <v>0.887144250370587</v>
      </c>
      <c r="AG85" s="3" t="n"/>
      <c r="AH85" s="3" t="n"/>
      <c r="AI85" s="3" t="n"/>
      <c r="AJ85" s="3" t="n"/>
      <c r="AK85" s="3" t="n"/>
      <c r="AL85" s="3" t="n"/>
      <c r="AM85" s="3" t="n"/>
      <c r="AN85" s="3" t="n"/>
      <c r="AO85" s="3" t="n"/>
      <c r="AP85" s="3" t="n"/>
      <c r="AQ85" s="3" t="n"/>
      <c r="AR85" s="3" t="n"/>
      <c r="AS85" s="3" t="n"/>
      <c r="AT85" s="3" t="n"/>
      <c r="AU85" s="3" t="n"/>
    </row>
    <row r="86">
      <c r="A86" s="3" t="n">
        <v>2025</v>
      </c>
      <c r="B86" s="3" t="inlineStr">
        <is>
          <t>ANT</t>
        </is>
      </c>
      <c r="C86" s="3" t="inlineStr">
        <is>
          <t>IMF.STA:ER</t>
        </is>
      </c>
      <c r="D86" s="3" t="inlineStr">
        <is>
          <t>ANT.XDC_USD.PA_RT.A</t>
        </is>
      </c>
      <c r="E86" s="3" t="inlineStr">
        <is>
          <t>Netherlands Antilles</t>
        </is>
      </c>
      <c r="F86" s="3" t="inlineStr">
        <is>
          <t>Domestic currency per US Dollar</t>
        </is>
      </c>
      <c r="G86" s="3" t="n">
        <v>1.79</v>
      </c>
      <c r="H86" s="3" t="n">
        <v>1.79</v>
      </c>
      <c r="I86" s="3" t="n">
        <v>1.79</v>
      </c>
      <c r="J86" s="3" t="n">
        <v>1.79</v>
      </c>
      <c r="K86" s="3" t="n">
        <v>1.79</v>
      </c>
      <c r="L86" s="3" t="n">
        <v>1.79</v>
      </c>
      <c r="M86" s="3" t="n">
        <v>1.79</v>
      </c>
      <c r="N86" s="3" t="n">
        <v>1.79</v>
      </c>
      <c r="O86" s="3" t="n">
        <v>1.79</v>
      </c>
      <c r="P86" s="3" t="n">
        <v>1.79</v>
      </c>
      <c r="Q86" s="3" t="n">
        <v>1.79</v>
      </c>
      <c r="R86" s="3" t="n">
        <v>1.79</v>
      </c>
      <c r="S86" s="3" t="n">
        <v>1.79</v>
      </c>
      <c r="T86" s="3" t="n">
        <v>1.79</v>
      </c>
      <c r="U86" s="3" t="n">
        <v>1.79</v>
      </c>
      <c r="V86" s="3" t="n">
        <v>1.79</v>
      </c>
      <c r="W86" s="3" t="n">
        <v>1.79</v>
      </c>
      <c r="X86" s="3" t="n">
        <v>1.79</v>
      </c>
      <c r="Y86" s="3" t="n">
        <v>1.79</v>
      </c>
      <c r="Z86" s="3" t="n">
        <v>1.79</v>
      </c>
      <c r="AA86" s="3" t="n">
        <v>1.79</v>
      </c>
      <c r="AB86" s="3" t="n">
        <v>1.79</v>
      </c>
      <c r="AC86" s="3" t="n">
        <v>1.79</v>
      </c>
      <c r="AD86" s="3" t="n">
        <v>1.79</v>
      </c>
      <c r="AE86" s="3" t="n">
        <v>1.79</v>
      </c>
      <c r="AF86" s="3" t="n">
        <v>1.79</v>
      </c>
      <c r="AG86" s="3" t="n"/>
      <c r="AH86" s="3" t="n"/>
      <c r="AI86" s="3" t="n"/>
      <c r="AJ86" s="3" t="n"/>
      <c r="AK86" s="3" t="n"/>
      <c r="AL86" s="3" t="n"/>
      <c r="AM86" s="3" t="n"/>
      <c r="AN86" s="3" t="n"/>
      <c r="AO86" s="3" t="n"/>
      <c r="AP86" s="3" t="n"/>
      <c r="AQ86" s="3" t="n"/>
      <c r="AR86" s="3" t="n"/>
      <c r="AS86" s="3" t="n"/>
      <c r="AT86" s="3" t="n"/>
      <c r="AU86" s="3" t="n"/>
    </row>
    <row r="87">
      <c r="A87" s="3" t="n">
        <v>2031</v>
      </c>
      <c r="B87" s="3" t="inlineStr">
        <is>
          <t>ARE</t>
        </is>
      </c>
      <c r="C87" s="3" t="inlineStr">
        <is>
          <t>IMF.RES:WEO</t>
        </is>
      </c>
      <c r="D87" s="3" t="inlineStr">
        <is>
          <t>ARE.BCA.A</t>
        </is>
      </c>
      <c r="E87" s="3" t="inlineStr">
        <is>
          <t>United Arab Emirates</t>
        </is>
      </c>
      <c r="F87" s="3" t="inlineStr">
        <is>
          <t>Current account balance (credit less debit), US dollar</t>
        </is>
      </c>
      <c r="G87" s="3" t="n">
        <v>16.793968</v>
      </c>
      <c r="H87" s="3" t="n">
        <v>9.372759</v>
      </c>
      <c r="I87" s="3" t="n">
        <v>3.641906</v>
      </c>
      <c r="J87" s="3" t="n">
        <v>7.191118</v>
      </c>
      <c r="K87" s="3" t="n">
        <v>9.504835999999999</v>
      </c>
      <c r="L87" s="3" t="n">
        <v>23.778478</v>
      </c>
      <c r="M87" s="3" t="n">
        <v>38.458872</v>
      </c>
      <c r="N87" s="3" t="n">
        <v>19.680203</v>
      </c>
      <c r="O87" s="3" t="n">
        <v>22.267393</v>
      </c>
      <c r="P87" s="3" t="n">
        <v>7.848332</v>
      </c>
      <c r="Q87" s="3" t="n">
        <v>12.196117</v>
      </c>
      <c r="R87" s="3" t="n">
        <v>43.517182</v>
      </c>
      <c r="S87" s="3" t="n">
        <v>73.100815</v>
      </c>
      <c r="T87" s="3" t="n">
        <v>73.21263399999999</v>
      </c>
      <c r="U87" s="3" t="n">
        <v>54.491144</v>
      </c>
      <c r="V87" s="3" t="n">
        <v>17.550895</v>
      </c>
      <c r="W87" s="3" t="n">
        <v>13.200136</v>
      </c>
      <c r="X87" s="3" t="n">
        <v>27.500163</v>
      </c>
      <c r="Y87" s="3" t="n">
        <v>41.242398</v>
      </c>
      <c r="Z87" s="3" t="n">
        <v>37.320626</v>
      </c>
      <c r="AA87" s="3" t="n">
        <v>21.102791</v>
      </c>
      <c r="AB87" s="3" t="n">
        <v>47.950987</v>
      </c>
      <c r="AC87" s="3" t="n">
        <v>66.475289</v>
      </c>
      <c r="AD87" s="3" t="n">
        <v>73.838964</v>
      </c>
      <c r="AE87" s="3" t="n">
        <v>84.9727</v>
      </c>
      <c r="AF87" s="3" t="n">
        <v>87.24628199999999</v>
      </c>
      <c r="AG87" s="3" t="n">
        <v>70.947175</v>
      </c>
      <c r="AH87" s="3" t="n">
        <v>73.776895</v>
      </c>
      <c r="AI87" s="3" t="n">
        <v>67.07663599999999</v>
      </c>
      <c r="AJ87" s="3" t="n">
        <v>67.376425</v>
      </c>
      <c r="AK87" s="3" t="n">
        <v>69.897285</v>
      </c>
      <c r="AL87" s="3" t="n">
        <v>73.68159</v>
      </c>
      <c r="AM87" s="3" t="n"/>
      <c r="AN87" s="3" t="n"/>
      <c r="AO87" s="3" t="n"/>
      <c r="AP87" s="3" t="n"/>
      <c r="AQ87" s="3" t="n"/>
      <c r="AR87" s="3" t="n"/>
      <c r="AS87" s="3" t="n"/>
      <c r="AT87" s="3" t="n"/>
      <c r="AU87" s="3" t="n"/>
    </row>
    <row r="88">
      <c r="A88" s="3" t="n">
        <v>2031</v>
      </c>
      <c r="B88" s="3" t="inlineStr">
        <is>
          <t>ARE</t>
        </is>
      </c>
      <c r="C88" s="3" t="inlineStr">
        <is>
          <t>IMF.RES:WEO</t>
        </is>
      </c>
      <c r="D88" s="3" t="inlineStr">
        <is>
          <t>ARE.BCA_NGDPD.A</t>
        </is>
      </c>
      <c r="E88" s="3" t="inlineStr">
        <is>
          <t>United Arab Emirates</t>
        </is>
      </c>
      <c r="F88" s="3" t="inlineStr">
        <is>
          <t>Current account balance (credit less debit), Percent of GDP</t>
        </is>
      </c>
      <c r="G88" s="3" t="n">
        <v>16.306944</v>
      </c>
      <c r="H88" s="3" t="n">
        <v>9.072297000000001</v>
      </c>
      <c r="I88" s="3" t="n">
        <v>3.316365</v>
      </c>
      <c r="J88" s="3" t="n">
        <v>5.783129</v>
      </c>
      <c r="K88" s="3" t="n">
        <v>6.430373</v>
      </c>
      <c r="L88" s="3" t="n">
        <v>13.165177</v>
      </c>
      <c r="M88" s="3" t="n">
        <v>17.314721</v>
      </c>
      <c r="N88" s="3" t="n">
        <v>7.631446</v>
      </c>
      <c r="O88" s="3" t="n">
        <v>7.058619</v>
      </c>
      <c r="P88" s="3" t="n">
        <v>3.095416</v>
      </c>
      <c r="Q88" s="3" t="n">
        <v>3.96317</v>
      </c>
      <c r="R88" s="3" t="n">
        <v>11.797074</v>
      </c>
      <c r="S88" s="3" t="n">
        <v>18.610497</v>
      </c>
      <c r="T88" s="3" t="n">
        <v>17.872752</v>
      </c>
      <c r="U88" s="3" t="n">
        <v>12.82338</v>
      </c>
      <c r="V88" s="3" t="n">
        <v>4.594799</v>
      </c>
      <c r="W88" s="3" t="n">
        <v>3.458094</v>
      </c>
      <c r="X88" s="3" t="n">
        <v>6.817687</v>
      </c>
      <c r="Y88" s="3" t="n">
        <v>9.361355</v>
      </c>
      <c r="Z88" s="3" t="n">
        <v>8.600685</v>
      </c>
      <c r="AA88" s="3" t="n">
        <v>5.908467</v>
      </c>
      <c r="AB88" s="3" t="n">
        <v>11.350921</v>
      </c>
      <c r="AC88" s="3" t="n">
        <v>12.998601</v>
      </c>
      <c r="AD88" s="3" t="n">
        <v>14.128555</v>
      </c>
      <c r="AE88" s="3" t="n">
        <v>15.384551</v>
      </c>
      <c r="AF88" s="3" t="n">
        <v>15.262365</v>
      </c>
      <c r="AG88" s="3" t="n">
        <v>11.414626</v>
      </c>
      <c r="AH88" s="3" t="n">
        <v>11.373504</v>
      </c>
      <c r="AI88" s="3" t="n">
        <v>9.772914</v>
      </c>
      <c r="AJ88" s="3" t="n">
        <v>9.258533999999999</v>
      </c>
      <c r="AK88" s="3" t="n">
        <v>9.075011</v>
      </c>
      <c r="AL88" s="3" t="n">
        <v>9.040141</v>
      </c>
      <c r="AM88" s="3" t="n"/>
      <c r="AN88" s="3" t="n"/>
      <c r="AO88" s="3" t="n"/>
      <c r="AP88" s="3" t="n"/>
      <c r="AQ88" s="3" t="n"/>
      <c r="AR88" s="3" t="n"/>
      <c r="AS88" s="3" t="n"/>
      <c r="AT88" s="3" t="n"/>
      <c r="AU88" s="3" t="n"/>
    </row>
    <row r="89">
      <c r="A89" s="3" t="n">
        <v>2031</v>
      </c>
      <c r="B89" s="3" t="inlineStr">
        <is>
          <t>ARE</t>
        </is>
      </c>
      <c r="C89" s="3" t="inlineStr">
        <is>
          <t>IMF.RES:WEO</t>
        </is>
      </c>
      <c r="D89" s="3" t="inlineStr">
        <is>
          <t>ARE.GGR_NGDP.A</t>
        </is>
      </c>
      <c r="E89" s="3" t="inlineStr">
        <is>
          <t>United Arab Emirates</t>
        </is>
      </c>
      <c r="F89" s="3" t="inlineStr">
        <is>
          <t>Revenue, General government, Percent of GDP</t>
        </is>
      </c>
      <c r="G89" s="3" t="n">
        <v>32.448568</v>
      </c>
      <c r="H89" s="3" t="n">
        <v>26.433779</v>
      </c>
      <c r="I89" s="3" t="n">
        <v>20.094918</v>
      </c>
      <c r="J89" s="3" t="n">
        <v>22.4016</v>
      </c>
      <c r="K89" s="3" t="n">
        <v>24.109101</v>
      </c>
      <c r="L89" s="3" t="n">
        <v>31.730941</v>
      </c>
      <c r="M89" s="3" t="n">
        <v>35.777256</v>
      </c>
      <c r="N89" s="3" t="n">
        <v>34.782791</v>
      </c>
      <c r="O89" s="3" t="n">
        <v>39.588661</v>
      </c>
      <c r="P89" s="3" t="n">
        <v>28.870343</v>
      </c>
      <c r="Q89" s="3" t="n">
        <v>30.869442</v>
      </c>
      <c r="R89" s="3" t="n">
        <v>34.685308</v>
      </c>
      <c r="S89" s="3" t="n">
        <v>36.379071</v>
      </c>
      <c r="T89" s="3" t="n">
        <v>36.876469</v>
      </c>
      <c r="U89" s="3" t="n">
        <v>33.171255</v>
      </c>
      <c r="V89" s="3" t="n">
        <v>20.050022</v>
      </c>
      <c r="W89" s="3" t="n">
        <v>28.752971</v>
      </c>
      <c r="X89" s="3" t="n">
        <v>27.080825</v>
      </c>
      <c r="Y89" s="3" t="n">
        <v>29.527057</v>
      </c>
      <c r="Z89" s="3" t="n">
        <v>29.899183</v>
      </c>
      <c r="AA89" s="3" t="n">
        <v>28.04543</v>
      </c>
      <c r="AB89" s="3" t="n">
        <v>29.899739</v>
      </c>
      <c r="AC89" s="3" t="n">
        <v>32.545845</v>
      </c>
      <c r="AD89" s="3" t="n">
        <v>28.479691</v>
      </c>
      <c r="AE89" s="3" t="n">
        <v>27.825356</v>
      </c>
      <c r="AF89" s="3" t="n">
        <v>27.718408</v>
      </c>
      <c r="AG89" s="3" t="n">
        <v>27.361253</v>
      </c>
      <c r="AH89" s="3" t="n">
        <v>27.761193</v>
      </c>
      <c r="AI89" s="3" t="n">
        <v>28.092431</v>
      </c>
      <c r="AJ89" s="3" t="n">
        <v>28.553302</v>
      </c>
      <c r="AK89" s="3" t="n">
        <v>28.682926</v>
      </c>
      <c r="AL89" s="3" t="n">
        <v>28.879465</v>
      </c>
      <c r="AM89" s="3" t="n"/>
      <c r="AN89" s="3" t="n"/>
      <c r="AO89" s="3" t="n"/>
      <c r="AP89" s="3" t="n"/>
      <c r="AQ89" s="3" t="n"/>
      <c r="AR89" s="3" t="n"/>
      <c r="AS89" s="3" t="n"/>
      <c r="AT89" s="3" t="n"/>
      <c r="AU89" s="3" t="n"/>
    </row>
    <row r="90">
      <c r="A90" s="3" t="n">
        <v>2031</v>
      </c>
      <c r="B90" s="3" t="inlineStr">
        <is>
          <t>ARE</t>
        </is>
      </c>
      <c r="C90" s="3" t="inlineStr">
        <is>
          <t>IMF.RES:WEO</t>
        </is>
      </c>
      <c r="D90" s="3" t="inlineStr">
        <is>
          <t>ARE.GGX_NGDP.A</t>
        </is>
      </c>
      <c r="E90" s="3" t="inlineStr">
        <is>
          <t>United Arab Emirates</t>
        </is>
      </c>
      <c r="F90" s="3" t="inlineStr">
        <is>
          <t>Expenditure, General government, Percent of GDP</t>
        </is>
      </c>
      <c r="G90" s="3" t="n">
        <v>21.788211</v>
      </c>
      <c r="H90" s="3" t="n">
        <v>25.228458</v>
      </c>
      <c r="I90" s="3" t="n">
        <v>21.332757</v>
      </c>
      <c r="J90" s="3" t="n">
        <v>20.049994</v>
      </c>
      <c r="K90" s="3" t="n">
        <v>17.708893</v>
      </c>
      <c r="L90" s="3" t="n">
        <v>15.743797</v>
      </c>
      <c r="M90" s="3" t="n">
        <v>15.627227</v>
      </c>
      <c r="N90" s="3" t="n">
        <v>17.65686</v>
      </c>
      <c r="O90" s="3" t="n">
        <v>21.950728</v>
      </c>
      <c r="P90" s="3" t="n">
        <v>34.996977</v>
      </c>
      <c r="Q90" s="3" t="n">
        <v>30.350786</v>
      </c>
      <c r="R90" s="3" t="n">
        <v>29.63207</v>
      </c>
      <c r="S90" s="3" t="n">
        <v>27.790863</v>
      </c>
      <c r="T90" s="3" t="n">
        <v>28.881676</v>
      </c>
      <c r="U90" s="3" t="n">
        <v>31.428008</v>
      </c>
      <c r="V90" s="3" t="n">
        <v>26.404361</v>
      </c>
      <c r="W90" s="3" t="n">
        <v>31.704661</v>
      </c>
      <c r="X90" s="3" t="n">
        <v>27.239924</v>
      </c>
      <c r="Y90" s="3" t="n">
        <v>25.873151</v>
      </c>
      <c r="Z90" s="3" t="n">
        <v>27.40413</v>
      </c>
      <c r="AA90" s="3" t="n">
        <v>30.460583</v>
      </c>
      <c r="AB90" s="3" t="n">
        <v>25.936426</v>
      </c>
      <c r="AC90" s="3" t="n">
        <v>22.741092</v>
      </c>
      <c r="AD90" s="3" t="n">
        <v>22.66226</v>
      </c>
      <c r="AE90" s="3" t="n">
        <v>21.41055</v>
      </c>
      <c r="AF90" s="3" t="n">
        <v>22.567661</v>
      </c>
      <c r="AG90" s="3" t="n">
        <v>22.46889</v>
      </c>
      <c r="AH90" s="3" t="n">
        <v>22.931517</v>
      </c>
      <c r="AI90" s="3" t="n">
        <v>23.384131</v>
      </c>
      <c r="AJ90" s="3" t="n">
        <v>23.859658</v>
      </c>
      <c r="AK90" s="3" t="n">
        <v>24.106442</v>
      </c>
      <c r="AL90" s="3" t="n">
        <v>24.390358</v>
      </c>
      <c r="AM90" s="3" t="n"/>
      <c r="AN90" s="3" t="n"/>
      <c r="AO90" s="3" t="n"/>
      <c r="AP90" s="3" t="n"/>
      <c r="AQ90" s="3" t="n"/>
      <c r="AR90" s="3" t="n"/>
      <c r="AS90" s="3" t="n"/>
      <c r="AT90" s="3" t="n"/>
      <c r="AU90" s="3" t="n"/>
    </row>
    <row r="91">
      <c r="A91" s="3" t="n">
        <v>2031</v>
      </c>
      <c r="B91" s="3" t="inlineStr">
        <is>
          <t>ARE</t>
        </is>
      </c>
      <c r="C91" s="3" t="inlineStr">
        <is>
          <t>IMF.RES:WEO</t>
        </is>
      </c>
      <c r="D91" s="3" t="inlineStr">
        <is>
          <t>ARE.LP.A</t>
        </is>
      </c>
      <c r="E91" s="3" t="inlineStr">
        <is>
          <t>United Arab Emirates</t>
        </is>
      </c>
      <c r="F91" s="3" t="inlineStr">
        <is>
          <t>Population, Persons for countries / Index for country groups</t>
        </is>
      </c>
      <c r="G91" s="3" t="n">
        <v>3.169222</v>
      </c>
      <c r="H91" s="3" t="n">
        <v>3.345839</v>
      </c>
      <c r="I91" s="3" t="n">
        <v>3.546001</v>
      </c>
      <c r="J91" s="3" t="n">
        <v>3.865661</v>
      </c>
      <c r="K91" s="3" t="n">
        <v>4.229858</v>
      </c>
      <c r="L91" s="3" t="n">
        <v>4.585428</v>
      </c>
      <c r="M91" s="3" t="n">
        <v>4.909782</v>
      </c>
      <c r="N91" s="3" t="n">
        <v>5.595152</v>
      </c>
      <c r="O91" s="3" t="n">
        <v>6.497898</v>
      </c>
      <c r="P91" s="3" t="n">
        <v>6.774188</v>
      </c>
      <c r="Q91" s="3" t="n">
        <v>6.965488</v>
      </c>
      <c r="R91" s="3" t="n">
        <v>7.243588</v>
      </c>
      <c r="S91" s="3" t="n">
        <v>7.539307</v>
      </c>
      <c r="T91" s="3" t="n">
        <v>7.846755</v>
      </c>
      <c r="U91" s="3" t="n">
        <v>8.272124</v>
      </c>
      <c r="V91" s="3" t="n">
        <v>8.738350000000001</v>
      </c>
      <c r="W91" s="3" t="n">
        <v>9.131838999999999</v>
      </c>
      <c r="X91" s="3" t="n">
        <v>9.314610999999999</v>
      </c>
      <c r="Y91" s="3" t="n">
        <v>9.378791</v>
      </c>
      <c r="Z91" s="3" t="n">
        <v>9.512778000000001</v>
      </c>
      <c r="AA91" s="3" t="n">
        <v>9.289296999999999</v>
      </c>
      <c r="AB91" s="3" t="n">
        <v>9.861007000000001</v>
      </c>
      <c r="AC91" s="3" t="n">
        <v>10.288946</v>
      </c>
      <c r="AD91" s="3" t="n">
        <v>10.678556</v>
      </c>
      <c r="AE91" s="3" t="n">
        <v>11.293641</v>
      </c>
      <c r="AF91" s="3" t="n">
        <v>11.380142</v>
      </c>
      <c r="AG91" s="3" t="n">
        <v>11.464596</v>
      </c>
      <c r="AH91" s="3" t="n">
        <v>11.546597</v>
      </c>
      <c r="AI91" s="3" t="n">
        <v>11.626177</v>
      </c>
      <c r="AJ91" s="3" t="n">
        <v>11.703656</v>
      </c>
      <c r="AK91" s="3" t="n">
        <v>11.779287</v>
      </c>
      <c r="AL91" s="3" t="n">
        <v>11.780464</v>
      </c>
      <c r="AM91" s="3" t="n"/>
      <c r="AN91" s="3" t="n"/>
      <c r="AO91" s="3" t="n"/>
      <c r="AP91" s="3" t="n"/>
      <c r="AQ91" s="3" t="n"/>
      <c r="AR91" s="3" t="n"/>
      <c r="AS91" s="3" t="n"/>
      <c r="AT91" s="3" t="n"/>
      <c r="AU91" s="3" t="n"/>
    </row>
    <row r="92">
      <c r="A92" s="3" t="n">
        <v>2031</v>
      </c>
      <c r="B92" s="3" t="inlineStr">
        <is>
          <t>ARE</t>
        </is>
      </c>
      <c r="C92" s="3" t="inlineStr">
        <is>
          <t>IMF.RES:WEO</t>
        </is>
      </c>
      <c r="D92" s="3" t="inlineStr">
        <is>
          <t>ARE.NGDP.A</t>
        </is>
      </c>
      <c r="E92" s="3" t="inlineStr">
        <is>
          <t>United Arab Emirates</t>
        </is>
      </c>
      <c r="F92" s="3" t="inlineStr">
        <is>
          <t>Gross domestic product (GDP), Current prices, Domestic currency</t>
        </is>
      </c>
      <c r="G92" s="3" t="n">
        <v>378.218297</v>
      </c>
      <c r="H92" s="3" t="n">
        <v>379.412803</v>
      </c>
      <c r="I92" s="3" t="n">
        <v>403.299955</v>
      </c>
      <c r="J92" s="3" t="n">
        <v>456.662488</v>
      </c>
      <c r="K92" s="3" t="n">
        <v>542.838</v>
      </c>
      <c r="L92" s="3" t="n">
        <v>663.313955</v>
      </c>
      <c r="M92" s="3" t="n">
        <v>815.72325</v>
      </c>
      <c r="N92" s="3" t="n">
        <v>947.075368</v>
      </c>
      <c r="O92" s="3" t="n">
        <v>1158.541</v>
      </c>
      <c r="P92" s="3" t="n">
        <v>931.151</v>
      </c>
      <c r="Q92" s="3" t="n">
        <v>1130.162</v>
      </c>
      <c r="R92" s="3" t="n">
        <v>1354.716</v>
      </c>
      <c r="S92" s="3" t="n">
        <v>1442.534</v>
      </c>
      <c r="T92" s="3" t="n">
        <v>1504.376</v>
      </c>
      <c r="U92" s="3" t="n">
        <v>1560.577</v>
      </c>
      <c r="V92" s="3" t="n">
        <v>1402.796</v>
      </c>
      <c r="W92" s="3" t="n">
        <v>1401.856</v>
      </c>
      <c r="X92" s="3" t="n">
        <v>1481.358</v>
      </c>
      <c r="Y92" s="3" t="n">
        <v>1617.957</v>
      </c>
      <c r="Z92" s="3" t="n">
        <v>1593.594</v>
      </c>
      <c r="AA92" s="3" t="n">
        <v>1311.677</v>
      </c>
      <c r="AB92" s="3" t="n">
        <v>1551.416</v>
      </c>
      <c r="AC92" s="3" t="n">
        <v>1878.129</v>
      </c>
      <c r="AD92" s="3" t="n">
        <v>1919.33</v>
      </c>
      <c r="AE92" s="3" t="n">
        <v>2028.413</v>
      </c>
      <c r="AF92" s="3" t="n">
        <v>2099.35989</v>
      </c>
      <c r="AG92" s="3" t="n">
        <v>2282.628424</v>
      </c>
      <c r="AH92" s="3" t="n">
        <v>2382.252944</v>
      </c>
      <c r="AI92" s="3" t="n">
        <v>2520.629457</v>
      </c>
      <c r="AJ92" s="3" t="n">
        <v>2672.560475</v>
      </c>
      <c r="AK92" s="3" t="n">
        <v>2828.622218</v>
      </c>
      <c r="AL92" s="3" t="n">
        <v>2993.267773</v>
      </c>
      <c r="AM92" s="3" t="n"/>
      <c r="AN92" s="3" t="n"/>
      <c r="AO92" s="3" t="n"/>
      <c r="AP92" s="3" t="n"/>
      <c r="AQ92" s="3" t="n"/>
      <c r="AR92" s="3" t="n"/>
      <c r="AS92" s="3" t="n"/>
      <c r="AT92" s="3" t="n"/>
      <c r="AU92" s="3" t="n"/>
    </row>
    <row r="93">
      <c r="A93" s="3" t="n">
        <v>2031</v>
      </c>
      <c r="B93" s="3" t="inlineStr">
        <is>
          <t>ARE</t>
        </is>
      </c>
      <c r="C93" s="3" t="inlineStr">
        <is>
          <t>IMF.RES:WEO</t>
        </is>
      </c>
      <c r="D93" s="3" t="inlineStr">
        <is>
          <t>ARE.NGDP_D.A</t>
        </is>
      </c>
      <c r="E93" s="3" t="inlineStr">
        <is>
          <t>United Arab Emirates</t>
        </is>
      </c>
      <c r="F93" s="3" t="inlineStr">
        <is>
          <t>Gross domestic product (GDP), Price deflator, Index</t>
        </is>
      </c>
      <c r="G93" s="3" t="n">
        <v>51.968625</v>
      </c>
      <c r="H93" s="3" t="n">
        <v>51.413457</v>
      </c>
      <c r="I93" s="3" t="n">
        <v>53.352059</v>
      </c>
      <c r="J93" s="3" t="n">
        <v>55.524853</v>
      </c>
      <c r="K93" s="3" t="n">
        <v>60.239966</v>
      </c>
      <c r="L93" s="3" t="n">
        <v>70.20108999999999</v>
      </c>
      <c r="M93" s="3" t="n">
        <v>78.599155</v>
      </c>
      <c r="N93" s="3" t="n">
        <v>88.439312</v>
      </c>
      <c r="O93" s="3" t="n">
        <v>104.839931</v>
      </c>
      <c r="P93" s="3" t="n">
        <v>88.92504099999999</v>
      </c>
      <c r="Q93" s="3" t="n">
        <v>100</v>
      </c>
      <c r="R93" s="3" t="n">
        <v>112.303873</v>
      </c>
      <c r="S93" s="3" t="n">
        <v>114.233969</v>
      </c>
      <c r="T93" s="3" t="n">
        <v>113.546467</v>
      </c>
      <c r="U93" s="3" t="n">
        <v>112.573001</v>
      </c>
      <c r="V93" s="3" t="n">
        <v>94.493966</v>
      </c>
      <c r="W93" s="3" t="n">
        <v>89.373929</v>
      </c>
      <c r="X93" s="3" t="n">
        <v>95.45564400000001</v>
      </c>
      <c r="Y93" s="3" t="n">
        <v>102.679446</v>
      </c>
      <c r="Z93" s="3" t="n">
        <v>99.863702</v>
      </c>
      <c r="AA93" s="3" t="n">
        <v>90.02328</v>
      </c>
      <c r="AB93" s="3" t="n">
        <v>101.840515</v>
      </c>
      <c r="AC93" s="3" t="n">
        <v>114.670251</v>
      </c>
      <c r="AD93" s="3" t="n">
        <v>112.353282</v>
      </c>
      <c r="AE93" s="3" t="n">
        <v>114.180877</v>
      </c>
      <c r="AF93" s="3" t="n">
        <v>111.6922</v>
      </c>
      <c r="AG93" s="3" t="n">
        <v>117.741997</v>
      </c>
      <c r="AH93" s="3" t="n">
        <v>116.733061</v>
      </c>
      <c r="AI93" s="3" t="n">
        <v>118.049622</v>
      </c>
      <c r="AJ93" s="3" t="n">
        <v>119.920931</v>
      </c>
      <c r="AK93" s="3" t="n">
        <v>122.004745</v>
      </c>
      <c r="AL93" s="3" t="n">
        <v>124.093591</v>
      </c>
      <c r="AM93" s="3" t="n"/>
      <c r="AN93" s="3" t="n"/>
      <c r="AO93" s="3" t="n"/>
      <c r="AP93" s="3" t="n"/>
      <c r="AQ93" s="3" t="n"/>
      <c r="AR93" s="3" t="n"/>
      <c r="AS93" s="3" t="n"/>
      <c r="AT93" s="3" t="n"/>
      <c r="AU93" s="3" t="n"/>
    </row>
    <row r="94">
      <c r="A94" s="3" t="n">
        <v>2031</v>
      </c>
      <c r="B94" s="3" t="inlineStr">
        <is>
          <t>ARE</t>
        </is>
      </c>
      <c r="C94" s="3" t="inlineStr">
        <is>
          <t>IMF.RES:WEO</t>
        </is>
      </c>
      <c r="D94" s="3" t="inlineStr">
        <is>
          <t>ARE.NGDP_R.A</t>
        </is>
      </c>
      <c r="E94" s="3" t="inlineStr">
        <is>
          <t>United Arab Emirates</t>
        </is>
      </c>
      <c r="F94" s="3" t="inlineStr">
        <is>
          <t>Gross domestic product (GDP), Constant prices, Domestic currency</t>
        </is>
      </c>
      <c r="G94" s="3" t="n">
        <v>727.782</v>
      </c>
      <c r="H94" s="3" t="n">
        <v>737.9640000000001</v>
      </c>
      <c r="I94" s="3" t="n">
        <v>755.922</v>
      </c>
      <c r="J94" s="3" t="n">
        <v>822.447</v>
      </c>
      <c r="K94" s="3" t="n">
        <v>901.126</v>
      </c>
      <c r="L94" s="3" t="n">
        <v>944.877</v>
      </c>
      <c r="M94" s="3" t="n">
        <v>1037.827</v>
      </c>
      <c r="N94" s="3" t="n">
        <v>1070.876</v>
      </c>
      <c r="O94" s="3" t="n">
        <v>1105.057</v>
      </c>
      <c r="P94" s="3" t="n">
        <v>1047.119</v>
      </c>
      <c r="Q94" s="3" t="n">
        <v>1130.162</v>
      </c>
      <c r="R94" s="3" t="n">
        <v>1206.295</v>
      </c>
      <c r="S94" s="3" t="n">
        <v>1262.789</v>
      </c>
      <c r="T94" s="3" t="n">
        <v>1324.899</v>
      </c>
      <c r="U94" s="3" t="n">
        <v>1386.28</v>
      </c>
      <c r="V94" s="3" t="n">
        <v>1484.535</v>
      </c>
      <c r="W94" s="3" t="n">
        <v>1568.529</v>
      </c>
      <c r="X94" s="3" t="n">
        <v>1551.881</v>
      </c>
      <c r="Y94" s="3" t="n">
        <v>1575.736</v>
      </c>
      <c r="Z94" s="3" t="n">
        <v>1595.769</v>
      </c>
      <c r="AA94" s="3" t="n">
        <v>1457.042</v>
      </c>
      <c r="AB94" s="3" t="n">
        <v>1523.378</v>
      </c>
      <c r="AC94" s="3" t="n">
        <v>1637.852</v>
      </c>
      <c r="AD94" s="3" t="n">
        <v>1708.299</v>
      </c>
      <c r="AE94" s="3" t="n">
        <v>1776.491</v>
      </c>
      <c r="AF94" s="3" t="n">
        <v>1879.594001</v>
      </c>
      <c r="AG94" s="3" t="n">
        <v>1938.669701</v>
      </c>
      <c r="AH94" s="3" t="n">
        <v>2040.769696</v>
      </c>
      <c r="AI94" s="3" t="n">
        <v>2135.228749</v>
      </c>
      <c r="AJ94" s="3" t="n">
        <v>2228.602183</v>
      </c>
      <c r="AK94" s="3" t="n">
        <v>2318.452627</v>
      </c>
      <c r="AL94" s="3" t="n">
        <v>2412.105047</v>
      </c>
      <c r="AM94" s="3" t="n"/>
      <c r="AN94" s="3" t="n"/>
      <c r="AO94" s="3" t="n"/>
      <c r="AP94" s="3" t="n"/>
      <c r="AQ94" s="3" t="n"/>
      <c r="AR94" s="3" t="n"/>
      <c r="AS94" s="3" t="n"/>
      <c r="AT94" s="3" t="n"/>
      <c r="AU94" s="3" t="n"/>
    </row>
    <row r="95">
      <c r="A95" s="3" t="n">
        <v>2031</v>
      </c>
      <c r="B95" s="3" t="inlineStr">
        <is>
          <t>ARE</t>
        </is>
      </c>
      <c r="C95" s="3" t="inlineStr">
        <is>
          <t>IMF.RES:WEO</t>
        </is>
      </c>
      <c r="D95" s="3" t="inlineStr">
        <is>
          <t>ARE.NGDP_RPCH.A</t>
        </is>
      </c>
      <c r="E95" s="3" t="inlineStr">
        <is>
          <t>United Arab Emirates</t>
        </is>
      </c>
      <c r="F95" s="3" t="inlineStr">
        <is>
          <t>Gross domestic product (GDP), Constant prices, Percent change</t>
        </is>
      </c>
      <c r="G95" s="3" t="n">
        <v>12.321709</v>
      </c>
      <c r="H95" s="3" t="n">
        <v>1.399045</v>
      </c>
      <c r="I95" s="3" t="n">
        <v>2.433452</v>
      </c>
      <c r="J95" s="3" t="n">
        <v>8.800511</v>
      </c>
      <c r="K95" s="3" t="n">
        <v>9.566452</v>
      </c>
      <c r="L95" s="3" t="n">
        <v>4.855148</v>
      </c>
      <c r="M95" s="3" t="n">
        <v>9.837259</v>
      </c>
      <c r="N95" s="3" t="n">
        <v>3.184442</v>
      </c>
      <c r="O95" s="3" t="n">
        <v>3.191873</v>
      </c>
      <c r="P95" s="3" t="n">
        <v>-5.242987</v>
      </c>
      <c r="Q95" s="3" t="n">
        <v>7.930617</v>
      </c>
      <c r="R95" s="3" t="n">
        <v>6.736468</v>
      </c>
      <c r="S95" s="3" t="n">
        <v>4.683266</v>
      </c>
      <c r="T95" s="3" t="n">
        <v>4.918478</v>
      </c>
      <c r="U95" s="3" t="n">
        <v>4.632881</v>
      </c>
      <c r="V95" s="3" t="n">
        <v>7.087673</v>
      </c>
      <c r="W95" s="3" t="n">
        <v>5.657933</v>
      </c>
      <c r="X95" s="3" t="n">
        <v>-1.061377</v>
      </c>
      <c r="Y95" s="3" t="n">
        <v>1.537167</v>
      </c>
      <c r="Z95" s="3" t="n">
        <v>1.271342</v>
      </c>
      <c r="AA95" s="3" t="n">
        <v>-8.693426000000001</v>
      </c>
      <c r="AB95" s="3" t="n">
        <v>4.552786</v>
      </c>
      <c r="AC95" s="3" t="n">
        <v>7.514484</v>
      </c>
      <c r="AD95" s="3" t="n">
        <v>4.301182</v>
      </c>
      <c r="AE95" s="3" t="n">
        <v>3.991807</v>
      </c>
      <c r="AF95" s="3" t="n">
        <v>5.803745</v>
      </c>
      <c r="AG95" s="3" t="n">
        <v>3.143003</v>
      </c>
      <c r="AH95" s="3" t="n">
        <v>5.266498</v>
      </c>
      <c r="AI95" s="3" t="n">
        <v>4.628599</v>
      </c>
      <c r="AJ95" s="3" t="n">
        <v>4.372994</v>
      </c>
      <c r="AK95" s="3" t="n">
        <v>4.031695</v>
      </c>
      <c r="AL95" s="3" t="n">
        <v>4.039436</v>
      </c>
      <c r="AM95" s="3" t="n"/>
      <c r="AN95" s="3" t="n"/>
      <c r="AO95" s="3" t="n"/>
      <c r="AP95" s="3" t="n"/>
      <c r="AQ95" s="3" t="n"/>
      <c r="AR95" s="3" t="n"/>
      <c r="AS95" s="3" t="n"/>
      <c r="AT95" s="3" t="n"/>
      <c r="AU95" s="3" t="n"/>
    </row>
    <row r="96">
      <c r="A96" s="3" t="n">
        <v>2031</v>
      </c>
      <c r="B96" s="3" t="inlineStr">
        <is>
          <t>ARE</t>
        </is>
      </c>
      <c r="C96" s="3" t="inlineStr">
        <is>
          <t>IMF.RES:WEO</t>
        </is>
      </c>
      <c r="D96" s="3" t="inlineStr">
        <is>
          <t>ARE.NGDPD.A</t>
        </is>
      </c>
      <c r="E96" s="3" t="inlineStr">
        <is>
          <t>United Arab Emirates</t>
        </is>
      </c>
      <c r="F96" s="3" t="inlineStr">
        <is>
          <t>Gross domestic product (GDP), Current prices, US dollar</t>
        </is>
      </c>
      <c r="G96" s="3" t="n">
        <v>102.986602</v>
      </c>
      <c r="H96" s="3" t="n">
        <v>103.311859</v>
      </c>
      <c r="I96" s="3" t="n">
        <v>109.816189</v>
      </c>
      <c r="J96" s="3" t="n">
        <v>124.346491</v>
      </c>
      <c r="K96" s="3" t="n">
        <v>147.811572</v>
      </c>
      <c r="L96" s="3" t="n">
        <v>180.616462</v>
      </c>
      <c r="M96" s="3" t="n">
        <v>222.11661</v>
      </c>
      <c r="N96" s="3" t="n">
        <v>257.883014</v>
      </c>
      <c r="O96" s="3" t="n">
        <v>315.463853</v>
      </c>
      <c r="P96" s="3" t="n">
        <v>253.546903</v>
      </c>
      <c r="Q96" s="3" t="n">
        <v>307.736419</v>
      </c>
      <c r="R96" s="3" t="n">
        <v>368.881144</v>
      </c>
      <c r="S96" s="3" t="n">
        <v>392.793465</v>
      </c>
      <c r="T96" s="3" t="n">
        <v>409.632675</v>
      </c>
      <c r="U96" s="3" t="n">
        <v>424.935875</v>
      </c>
      <c r="V96" s="3" t="n">
        <v>381.973043</v>
      </c>
      <c r="W96" s="3" t="n">
        <v>381.717086</v>
      </c>
      <c r="X96" s="3" t="n">
        <v>403.36501</v>
      </c>
      <c r="Y96" s="3" t="n">
        <v>440.560109</v>
      </c>
      <c r="Z96" s="3" t="n">
        <v>433.926208</v>
      </c>
      <c r="AA96" s="3" t="n">
        <v>357.161879</v>
      </c>
      <c r="AB96" s="3" t="n">
        <v>422.441389</v>
      </c>
      <c r="AC96" s="3" t="n">
        <v>511.403404</v>
      </c>
      <c r="AD96" s="3" t="n">
        <v>522.622192</v>
      </c>
      <c r="AE96" s="3" t="n">
        <v>552.324847</v>
      </c>
      <c r="AF96" s="3" t="n">
        <v>571.643265</v>
      </c>
      <c r="AG96" s="3" t="n">
        <v>621.546201</v>
      </c>
      <c r="AH96" s="3" t="n">
        <v>648.673368</v>
      </c>
      <c r="AI96" s="3" t="n">
        <v>686.352473</v>
      </c>
      <c r="AJ96" s="3" t="n">
        <v>727.72239</v>
      </c>
      <c r="AK96" s="3" t="n">
        <v>770.217078</v>
      </c>
      <c r="AL96" s="3" t="n">
        <v>815.049087</v>
      </c>
      <c r="AM96" s="3" t="n"/>
      <c r="AN96" s="3" t="n"/>
      <c r="AO96" s="3" t="n"/>
      <c r="AP96" s="3" t="n"/>
      <c r="AQ96" s="3" t="n"/>
      <c r="AR96" s="3" t="n"/>
      <c r="AS96" s="3" t="n"/>
      <c r="AT96" s="3" t="n"/>
      <c r="AU96" s="3" t="n"/>
    </row>
    <row r="97">
      <c r="A97" s="3" t="n">
        <v>2031</v>
      </c>
      <c r="B97" s="3" t="inlineStr">
        <is>
          <t>ARE</t>
        </is>
      </c>
      <c r="C97" s="3" t="inlineStr">
        <is>
          <t>IMF.RES:WEO</t>
        </is>
      </c>
      <c r="D97" s="3" t="inlineStr">
        <is>
          <t>ARE.NGDPPC.A</t>
        </is>
      </c>
      <c r="E97" s="3" t="inlineStr">
        <is>
          <t>United Arab Emirates</t>
        </is>
      </c>
      <c r="F97" s="3" t="inlineStr">
        <is>
          <t>Gross domestic product (GDP), Current prices, Per capita, Domestic currency</t>
        </is>
      </c>
      <c r="G97" s="3" t="n">
        <v>119341.054975</v>
      </c>
      <c r="H97" s="3" t="n">
        <v>113398.403958</v>
      </c>
      <c r="I97" s="3" t="n">
        <v>113733.739782</v>
      </c>
      <c r="J97" s="3" t="n">
        <v>118133.092245</v>
      </c>
      <c r="K97" s="3" t="n">
        <v>128334.80462</v>
      </c>
      <c r="L97" s="3" t="n">
        <v>144656.933878</v>
      </c>
      <c r="M97" s="3" t="n">
        <v>166142.458056</v>
      </c>
      <c r="N97" s="3" t="n">
        <v>169267.138319</v>
      </c>
      <c r="O97" s="3" t="n">
        <v>178294.734697</v>
      </c>
      <c r="P97" s="3" t="n">
        <v>137455.736392</v>
      </c>
      <c r="Q97" s="3" t="n">
        <v>162251.661334</v>
      </c>
      <c r="R97" s="3" t="n">
        <v>187022.784841</v>
      </c>
      <c r="S97" s="3" t="n">
        <v>191335.092204</v>
      </c>
      <c r="T97" s="3" t="n">
        <v>191719.506981</v>
      </c>
      <c r="U97" s="3" t="n">
        <v>188654.933122</v>
      </c>
      <c r="V97" s="3" t="n">
        <v>160533.281455</v>
      </c>
      <c r="W97" s="3" t="n">
        <v>153512.999955</v>
      </c>
      <c r="X97" s="3" t="n">
        <v>159035.949005</v>
      </c>
      <c r="Y97" s="3" t="n">
        <v>172512.320618</v>
      </c>
      <c r="Z97" s="3" t="n">
        <v>167521.411726</v>
      </c>
      <c r="AA97" s="3" t="n">
        <v>141203.042598</v>
      </c>
      <c r="AB97" s="3" t="n">
        <v>157328.353991</v>
      </c>
      <c r="AC97" s="3" t="n">
        <v>182538.52241</v>
      </c>
      <c r="AD97" s="3" t="n">
        <v>179736.848315</v>
      </c>
      <c r="AE97" s="3" t="n">
        <v>179606.650444</v>
      </c>
      <c r="AF97" s="3" t="n">
        <v>184475.714381</v>
      </c>
      <c r="AG97" s="3" t="n">
        <v>199102.380538</v>
      </c>
      <c r="AH97" s="3" t="n">
        <v>206316.460883</v>
      </c>
      <c r="AI97" s="3" t="n">
        <v>216806.384864</v>
      </c>
      <c r="AJ97" s="3" t="n">
        <v>228352.613183</v>
      </c>
      <c r="AK97" s="3" t="n">
        <v>240135.274245</v>
      </c>
      <c r="AL97" s="3" t="n">
        <v>254087.425486</v>
      </c>
      <c r="AM97" s="3" t="n"/>
      <c r="AN97" s="3" t="n"/>
      <c r="AO97" s="3" t="n"/>
      <c r="AP97" s="3" t="n"/>
      <c r="AQ97" s="3" t="n"/>
      <c r="AR97" s="3" t="n"/>
      <c r="AS97" s="3" t="n"/>
      <c r="AT97" s="3" t="n"/>
      <c r="AU97" s="3" t="n"/>
    </row>
    <row r="98">
      <c r="A98" s="3" t="n">
        <v>2031</v>
      </c>
      <c r="B98" s="3" t="inlineStr">
        <is>
          <t>ARE</t>
        </is>
      </c>
      <c r="C98" s="3" t="inlineStr">
        <is>
          <t>IMF.RES:WEO</t>
        </is>
      </c>
      <c r="D98" s="3" t="inlineStr">
        <is>
          <t>ARE.NGDPRPC.A</t>
        </is>
      </c>
      <c r="E98" s="3" t="inlineStr">
        <is>
          <t>United Arab Emirates</t>
        </is>
      </c>
      <c r="F98" s="3" t="inlineStr">
        <is>
          <t>Gross domestic product (GDP), Constant prices, Per capita, Domestic currency</t>
        </is>
      </c>
      <c r="G98" s="3" t="n">
        <v>229640.58687</v>
      </c>
      <c r="H98" s="3" t="n">
        <v>220561.7186</v>
      </c>
      <c r="I98" s="3" t="n">
        <v>213175.91281</v>
      </c>
      <c r="J98" s="3" t="n">
        <v>212757.145544</v>
      </c>
      <c r="K98" s="3" t="n">
        <v>213039.302974</v>
      </c>
      <c r="L98" s="3" t="n">
        <v>206060.808282</v>
      </c>
      <c r="M98" s="3" t="n">
        <v>211379.446175</v>
      </c>
      <c r="N98" s="3" t="n">
        <v>191393.549273</v>
      </c>
      <c r="O98" s="3" t="n">
        <v>170063.765236</v>
      </c>
      <c r="P98" s="3" t="n">
        <v>154574.836128</v>
      </c>
      <c r="Q98" s="3" t="n">
        <v>162251.661334</v>
      </c>
      <c r="R98" s="3" t="n">
        <v>166532.801148</v>
      </c>
      <c r="S98" s="3" t="n">
        <v>167494.041561</v>
      </c>
      <c r="T98" s="3" t="n">
        <v>168846.739831</v>
      </c>
      <c r="U98" s="3" t="n">
        <v>167584.528472</v>
      </c>
      <c r="V98" s="3" t="n">
        <v>169887.33571</v>
      </c>
      <c r="W98" s="3" t="n">
        <v>171764.854812</v>
      </c>
      <c r="X98" s="3" t="n">
        <v>166607.172323</v>
      </c>
      <c r="Y98" s="3" t="n">
        <v>168010.567673</v>
      </c>
      <c r="Z98" s="3" t="n">
        <v>167750.051562</v>
      </c>
      <c r="AA98" s="3" t="n">
        <v>156851.697174</v>
      </c>
      <c r="AB98" s="3" t="n">
        <v>154485.033831</v>
      </c>
      <c r="AC98" s="3" t="n">
        <v>159185.595881</v>
      </c>
      <c r="AD98" s="3" t="n">
        <v>159974.719428</v>
      </c>
      <c r="AE98" s="3" t="n">
        <v>157300.114944</v>
      </c>
      <c r="AF98" s="3" t="n">
        <v>165164.366402</v>
      </c>
      <c r="AG98" s="3" t="n">
        <v>169100.563455</v>
      </c>
      <c r="AH98" s="3" t="n">
        <v>176742.097162</v>
      </c>
      <c r="AI98" s="3" t="n">
        <v>183656.99276</v>
      </c>
      <c r="AJ98" s="3" t="n">
        <v>190419.313925</v>
      </c>
      <c r="AK98" s="3" t="n">
        <v>196824.536684</v>
      </c>
      <c r="AL98" s="3" t="n">
        <v>204754.672066</v>
      </c>
      <c r="AM98" s="3" t="n"/>
      <c r="AN98" s="3" t="n"/>
      <c r="AO98" s="3" t="n"/>
      <c r="AP98" s="3" t="n"/>
      <c r="AQ98" s="3" t="n"/>
      <c r="AR98" s="3" t="n"/>
      <c r="AS98" s="3" t="n"/>
      <c r="AT98" s="3" t="n"/>
      <c r="AU98" s="3" t="n"/>
    </row>
    <row r="99">
      <c r="A99" s="3" t="n">
        <v>2031</v>
      </c>
      <c r="B99" s="3" t="inlineStr">
        <is>
          <t>ARE</t>
        </is>
      </c>
      <c r="C99" s="3" t="inlineStr">
        <is>
          <t>IMF.RES:WEO</t>
        </is>
      </c>
      <c r="D99" s="3" t="inlineStr">
        <is>
          <t>ARE.PCPI.A</t>
        </is>
      </c>
      <c r="E99" s="3" t="inlineStr">
        <is>
          <t>United Arab Emirates</t>
        </is>
      </c>
      <c r="F99" s="3" t="inlineStr">
        <is>
          <t>All Items, Consumer price index (CPI), Period average</t>
        </is>
      </c>
      <c r="G99" s="3" t="n">
        <v>142.9</v>
      </c>
      <c r="H99" s="3" t="n">
        <v>146.9012</v>
      </c>
      <c r="I99" s="3" t="n">
        <v>151.1882</v>
      </c>
      <c r="J99" s="3" t="n">
        <v>155.9039</v>
      </c>
      <c r="K99" s="3" t="n">
        <v>163.7634</v>
      </c>
      <c r="L99" s="3" t="n">
        <v>173.9093</v>
      </c>
      <c r="M99" s="3" t="n">
        <v>190.057</v>
      </c>
      <c r="N99" s="3" t="n">
        <v>211.2062</v>
      </c>
      <c r="O99" s="3" t="n">
        <v>237.09656</v>
      </c>
      <c r="P99" s="3" t="n">
        <v>225.894931</v>
      </c>
      <c r="Q99" s="3" t="n">
        <v>227.879601</v>
      </c>
      <c r="R99" s="3" t="n">
        <v>229.874906</v>
      </c>
      <c r="S99" s="3" t="n">
        <v>231.397975</v>
      </c>
      <c r="T99" s="3" t="n">
        <v>233.952731</v>
      </c>
      <c r="U99" s="3" t="n">
        <v>239.440884</v>
      </c>
      <c r="V99" s="3" t="n">
        <v>249.181292</v>
      </c>
      <c r="W99" s="3" t="n">
        <v>253.214446</v>
      </c>
      <c r="X99" s="3" t="n">
        <v>258.192074</v>
      </c>
      <c r="Y99" s="3" t="n">
        <v>266.120115</v>
      </c>
      <c r="Z99" s="3" t="n">
        <v>260.972312</v>
      </c>
      <c r="AA99" s="3" t="n">
        <v>255.554357</v>
      </c>
      <c r="AB99" s="3" t="n">
        <v>255.265059</v>
      </c>
      <c r="AC99" s="3" t="n">
        <v>267.579368</v>
      </c>
      <c r="AD99" s="3" t="n">
        <v>271.933728</v>
      </c>
      <c r="AE99" s="3" t="n">
        <v>276.451882</v>
      </c>
      <c r="AF99" s="3" t="n">
        <v>279.986482</v>
      </c>
      <c r="AG99" s="3" t="n">
        <v>286.986144</v>
      </c>
      <c r="AH99" s="3" t="n">
        <v>292.725867</v>
      </c>
      <c r="AI99" s="3" t="n">
        <v>298.580384</v>
      </c>
      <c r="AJ99" s="3" t="n">
        <v>304.551992</v>
      </c>
      <c r="AK99" s="3" t="n">
        <v>310.643032</v>
      </c>
      <c r="AL99" s="3" t="n">
        <v>316.855892</v>
      </c>
      <c r="AM99" s="3" t="n"/>
      <c r="AN99" s="3" t="n"/>
      <c r="AO99" s="3" t="n"/>
      <c r="AP99" s="3" t="n"/>
      <c r="AQ99" s="3" t="n"/>
      <c r="AR99" s="3" t="n"/>
      <c r="AS99" s="3" t="n"/>
      <c r="AT99" s="3" t="n"/>
      <c r="AU99" s="3" t="n"/>
    </row>
    <row r="100">
      <c r="A100" s="3" t="n">
        <v>2031</v>
      </c>
      <c r="B100" s="3" t="inlineStr">
        <is>
          <t>ARE</t>
        </is>
      </c>
      <c r="C100" s="3" t="inlineStr">
        <is>
          <t>IMF.RES:WEO</t>
        </is>
      </c>
      <c r="D100" s="3" t="inlineStr">
        <is>
          <t>ARE.PCPIPCH.A</t>
        </is>
      </c>
      <c r="E100" s="3" t="inlineStr">
        <is>
          <t>United Arab Emirates</t>
        </is>
      </c>
      <c r="F100" s="3" t="inlineStr">
        <is>
          <t>All Items, Consumer price index (CPI), Period average, percent change</t>
        </is>
      </c>
      <c r="G100" s="3" t="n">
        <v>1.347518</v>
      </c>
      <c r="H100" s="3" t="n">
        <v>2.8</v>
      </c>
      <c r="I100" s="3" t="n">
        <v>2.918288</v>
      </c>
      <c r="J100" s="3" t="n">
        <v>3.119093</v>
      </c>
      <c r="K100" s="3" t="n">
        <v>5.041247</v>
      </c>
      <c r="L100" s="3" t="n">
        <v>6.195462</v>
      </c>
      <c r="M100" s="3" t="n">
        <v>9.285126999999999</v>
      </c>
      <c r="N100" s="3" t="n">
        <v>11.12782</v>
      </c>
      <c r="O100" s="3" t="n">
        <v>12.258333</v>
      </c>
      <c r="P100" s="3" t="n">
        <v>-4.724501</v>
      </c>
      <c r="Q100" s="3" t="n">
        <v>0.8785809999999999</v>
      </c>
      <c r="R100" s="3" t="n">
        <v>0.875596</v>
      </c>
      <c r="S100" s="3" t="n">
        <v>0.662564</v>
      </c>
      <c r="T100" s="3" t="n">
        <v>1.104053</v>
      </c>
      <c r="U100" s="3" t="n">
        <v>2.345838</v>
      </c>
      <c r="V100" s="3" t="n">
        <v>4.06798</v>
      </c>
      <c r="W100" s="3" t="n">
        <v>1.618562</v>
      </c>
      <c r="X100" s="3" t="n">
        <v>1.965775</v>
      </c>
      <c r="Y100" s="3" t="n">
        <v>3.070598</v>
      </c>
      <c r="Z100" s="3" t="n">
        <v>-1.934391</v>
      </c>
      <c r="AA100" s="3" t="n">
        <v>-2.076065</v>
      </c>
      <c r="AB100" s="3" t="n">
        <v>-0.113204</v>
      </c>
      <c r="AC100" s="3" t="n">
        <v>4.824126</v>
      </c>
      <c r="AD100" s="3" t="n">
        <v>1.627315</v>
      </c>
      <c r="AE100" s="3" t="n">
        <v>1.661491</v>
      </c>
      <c r="AF100" s="3" t="n">
        <v>1.278559</v>
      </c>
      <c r="AG100" s="3" t="n">
        <v>2.5</v>
      </c>
      <c r="AH100" s="3" t="n">
        <v>2</v>
      </c>
      <c r="AI100" s="3" t="n">
        <v>2</v>
      </c>
      <c r="AJ100" s="3" t="n">
        <v>2</v>
      </c>
      <c r="AK100" s="3" t="n">
        <v>2</v>
      </c>
      <c r="AL100" s="3" t="n">
        <v>2</v>
      </c>
      <c r="AM100" s="3" t="n"/>
      <c r="AN100" s="3" t="n"/>
      <c r="AO100" s="3" t="n"/>
      <c r="AP100" s="3" t="n"/>
      <c r="AQ100" s="3" t="n"/>
      <c r="AR100" s="3" t="n"/>
      <c r="AS100" s="3" t="n"/>
      <c r="AT100" s="3" t="n"/>
      <c r="AU100" s="3" t="n"/>
    </row>
    <row r="101">
      <c r="A101" s="3" t="n">
        <v>2031</v>
      </c>
      <c r="B101" s="3" t="inlineStr">
        <is>
          <t>ARE</t>
        </is>
      </c>
      <c r="C101" s="3" t="inlineStr">
        <is>
          <t>IMF.RES:WEO</t>
        </is>
      </c>
      <c r="D101" s="3" t="inlineStr">
        <is>
          <t>ARE.PPPPC.A</t>
        </is>
      </c>
      <c r="E101" s="3" t="inlineStr">
        <is>
          <t>United Arab Emirates</t>
        </is>
      </c>
      <c r="F101" s="3" t="inlineStr">
        <is>
          <t>Gross domestic product (GDP), Per capita, purchasing power parity (PPP) international dollar, ICP benchmarks 2017-2021</t>
        </is>
      </c>
      <c r="G101" s="3" t="n">
        <v>69756.376772</v>
      </c>
      <c r="H101" s="3" t="n">
        <v>68507.103013</v>
      </c>
      <c r="I101" s="3" t="n">
        <v>67242.025022</v>
      </c>
      <c r="J101" s="3" t="n">
        <v>68434.828203</v>
      </c>
      <c r="K101" s="3" t="n">
        <v>70368.15771</v>
      </c>
      <c r="L101" s="3" t="n">
        <v>70197.45662</v>
      </c>
      <c r="M101" s="3" t="n">
        <v>74230.006692</v>
      </c>
      <c r="N101" s="3" t="n">
        <v>69032.51295600001</v>
      </c>
      <c r="O101" s="3" t="n">
        <v>62520.855266</v>
      </c>
      <c r="P101" s="3" t="n">
        <v>57177.105398</v>
      </c>
      <c r="Q101" s="3" t="n">
        <v>60746.185169</v>
      </c>
      <c r="R101" s="3" t="n">
        <v>63635.437013</v>
      </c>
      <c r="S101" s="3" t="n">
        <v>65194.433442</v>
      </c>
      <c r="T101" s="3" t="n">
        <v>66839.523867</v>
      </c>
      <c r="U101" s="3" t="n">
        <v>67495.31727100001</v>
      </c>
      <c r="V101" s="3" t="n">
        <v>69057.78163</v>
      </c>
      <c r="W101" s="3" t="n">
        <v>70484.43283400001</v>
      </c>
      <c r="X101" s="3" t="n">
        <v>69592.35068600001</v>
      </c>
      <c r="Y101" s="3" t="n">
        <v>77181.240874</v>
      </c>
      <c r="Z101" s="3" t="n">
        <v>79254.20099100001</v>
      </c>
      <c r="AA101" s="3" t="n">
        <v>67594.10771700001</v>
      </c>
      <c r="AB101" s="3" t="n">
        <v>66592.11848</v>
      </c>
      <c r="AC101" s="3" t="n">
        <v>73498.756874</v>
      </c>
      <c r="AD101" s="3" t="n">
        <v>76596.06860899999</v>
      </c>
      <c r="AE101" s="3" t="n">
        <v>77185.205258</v>
      </c>
      <c r="AF101" s="3" t="n">
        <v>83343.12718</v>
      </c>
      <c r="AG101" s="3" t="n">
        <v>87773.91940899999</v>
      </c>
      <c r="AH101" s="3" t="n">
        <v>93754.88858100001</v>
      </c>
      <c r="AI101" s="3" t="n">
        <v>99022.06636</v>
      </c>
      <c r="AJ101" s="3" t="n">
        <v>104493.647167</v>
      </c>
      <c r="AK101" s="3" t="n">
        <v>109993.234496</v>
      </c>
      <c r="AL101" s="3" t="n">
        <v>116490.618552</v>
      </c>
      <c r="AM101" s="3" t="n"/>
      <c r="AN101" s="3" t="n"/>
      <c r="AO101" s="3" t="n"/>
      <c r="AP101" s="3" t="n"/>
      <c r="AQ101" s="3" t="n"/>
      <c r="AR101" s="3" t="n"/>
      <c r="AS101" s="3" t="n"/>
      <c r="AT101" s="3" t="n"/>
      <c r="AU101" s="3" t="n"/>
    </row>
    <row r="102">
      <c r="A102" s="3" t="n">
        <v>2025</v>
      </c>
      <c r="B102" s="3" t="inlineStr">
        <is>
          <t>ARE</t>
        </is>
      </c>
      <c r="C102" s="3" t="inlineStr">
        <is>
          <t>IMF.STA:ER</t>
        </is>
      </c>
      <c r="D102" s="3" t="inlineStr">
        <is>
          <t>ARE.XDC_USD.PA_RT.A</t>
        </is>
      </c>
      <c r="E102" s="3" t="inlineStr">
        <is>
          <t>United Arab Emirates</t>
        </is>
      </c>
      <c r="F102" s="3" t="inlineStr">
        <is>
          <t>Domestic currency per US Dollar</t>
        </is>
      </c>
      <c r="G102" s="3" t="n">
        <v>3.6725</v>
      </c>
      <c r="H102" s="3" t="n">
        <v>3.6725</v>
      </c>
      <c r="I102" s="3" t="n">
        <v>3.6725</v>
      </c>
      <c r="J102" s="3" t="n">
        <v>3.6725</v>
      </c>
      <c r="K102" s="3" t="n">
        <v>3.6725</v>
      </c>
      <c r="L102" s="3" t="n">
        <v>3.6725</v>
      </c>
      <c r="M102" s="3" t="n">
        <v>3.6725</v>
      </c>
      <c r="N102" s="3" t="n">
        <v>3.6725</v>
      </c>
      <c r="O102" s="3" t="n">
        <v>3.6725</v>
      </c>
      <c r="P102" s="3" t="n">
        <v>3.6725</v>
      </c>
      <c r="Q102" s="3" t="n">
        <v>3.6725</v>
      </c>
      <c r="R102" s="3" t="n">
        <v>3.6725</v>
      </c>
      <c r="S102" s="3" t="n">
        <v>3.6725</v>
      </c>
      <c r="T102" s="3" t="n">
        <v>3.6725</v>
      </c>
      <c r="U102" s="3" t="n">
        <v>3.6725</v>
      </c>
      <c r="V102" s="3" t="n">
        <v>3.6725</v>
      </c>
      <c r="W102" s="3" t="n">
        <v>3.6725</v>
      </c>
      <c r="X102" s="3" t="n">
        <v>3.6725</v>
      </c>
      <c r="Y102" s="3" t="n">
        <v>3.6725</v>
      </c>
      <c r="Z102" s="3" t="n">
        <v>3.6725</v>
      </c>
      <c r="AA102" s="3" t="n">
        <v>3.6725</v>
      </c>
      <c r="AB102" s="3" t="n">
        <v>3.6725</v>
      </c>
      <c r="AC102" s="3" t="n">
        <v>3.6725</v>
      </c>
      <c r="AD102" s="3" t="n">
        <v>3.6725</v>
      </c>
      <c r="AE102" s="3" t="n">
        <v>3.6725</v>
      </c>
      <c r="AF102" s="3" t="n">
        <v>3.6725</v>
      </c>
      <c r="AG102" s="3" t="n"/>
      <c r="AH102" s="3" t="n"/>
      <c r="AI102" s="3" t="n"/>
      <c r="AJ102" s="3" t="n"/>
      <c r="AK102" s="3" t="n"/>
      <c r="AL102" s="3" t="n"/>
      <c r="AM102" s="3" t="n"/>
      <c r="AN102" s="3" t="n"/>
      <c r="AO102" s="3" t="n"/>
      <c r="AP102" s="3" t="n"/>
      <c r="AQ102" s="3" t="n"/>
      <c r="AR102" s="3" t="n"/>
      <c r="AS102" s="3" t="n"/>
      <c r="AT102" s="3" t="n"/>
      <c r="AU102" s="3" t="n"/>
    </row>
    <row r="103">
      <c r="A103" s="3" t="n">
        <v>2031</v>
      </c>
      <c r="B103" s="3" t="inlineStr">
        <is>
          <t>ARG</t>
        </is>
      </c>
      <c r="C103" s="3" t="inlineStr">
        <is>
          <t>IMF.RES:WEO</t>
        </is>
      </c>
      <c r="D103" s="3" t="inlineStr">
        <is>
          <t>ARG.BCA.A</t>
        </is>
      </c>
      <c r="E103" s="3" t="inlineStr">
        <is>
          <t>Argentina</t>
        </is>
      </c>
      <c r="F103" s="3" t="inlineStr">
        <is>
          <t>Current account balance (credit less debit), US dollar</t>
        </is>
      </c>
      <c r="G103" s="3" t="n">
        <v>-9.143878000000001</v>
      </c>
      <c r="H103" s="3" t="n">
        <v>-3.952046</v>
      </c>
      <c r="I103" s="3" t="n">
        <v>8.621090000000001</v>
      </c>
      <c r="J103" s="3" t="n">
        <v>7.972075</v>
      </c>
      <c r="K103" s="3" t="n">
        <v>2.965874</v>
      </c>
      <c r="L103" s="3" t="n">
        <v>4.928967</v>
      </c>
      <c r="M103" s="3" t="n">
        <v>6.5</v>
      </c>
      <c r="N103" s="3" t="n">
        <v>6.048</v>
      </c>
      <c r="O103" s="3" t="n">
        <v>5.42</v>
      </c>
      <c r="P103" s="3" t="n">
        <v>7.253</v>
      </c>
      <c r="Q103" s="3" t="n">
        <v>-1.623</v>
      </c>
      <c r="R103" s="3" t="n">
        <v>-5.339</v>
      </c>
      <c r="S103" s="3" t="n">
        <v>-2.138</v>
      </c>
      <c r="T103" s="3" t="n">
        <v>-13.126</v>
      </c>
      <c r="U103" s="3" t="n">
        <v>-9.18</v>
      </c>
      <c r="V103" s="3" t="n">
        <v>-17.623</v>
      </c>
      <c r="W103" s="3" t="n">
        <v>-15.104</v>
      </c>
      <c r="X103" s="3" t="n">
        <v>-31.151</v>
      </c>
      <c r="Y103" s="3" t="n">
        <v>-27.084</v>
      </c>
      <c r="Z103" s="3" t="n">
        <v>-3.49</v>
      </c>
      <c r="AA103" s="3" t="n">
        <v>2.688</v>
      </c>
      <c r="AB103" s="3" t="n">
        <v>6.625</v>
      </c>
      <c r="AC103" s="3" t="n">
        <v>-3.964</v>
      </c>
      <c r="AD103" s="3" t="n">
        <v>-20.75</v>
      </c>
      <c r="AE103" s="3" t="n">
        <v>5.7</v>
      </c>
      <c r="AF103" s="3" t="n">
        <v>-7.583</v>
      </c>
      <c r="AG103" s="3" t="n">
        <v>-5.435431</v>
      </c>
      <c r="AH103" s="3" t="n">
        <v>-4.070001</v>
      </c>
      <c r="AI103" s="3" t="n">
        <v>-4.53223</v>
      </c>
      <c r="AJ103" s="3" t="n">
        <v>-3.697981</v>
      </c>
      <c r="AK103" s="3" t="n">
        <v>-3.230164</v>
      </c>
      <c r="AL103" s="3" t="n">
        <v>-2.95744</v>
      </c>
      <c r="AM103" s="3" t="n"/>
      <c r="AN103" s="3" t="n"/>
      <c r="AO103" s="3" t="n"/>
      <c r="AP103" s="3" t="n"/>
      <c r="AQ103" s="3" t="n"/>
      <c r="AR103" s="3" t="n"/>
      <c r="AS103" s="3" t="n"/>
      <c r="AT103" s="3" t="n"/>
      <c r="AU103" s="3" t="n"/>
    </row>
    <row r="104">
      <c r="A104" s="3" t="n">
        <v>2031</v>
      </c>
      <c r="B104" s="3" t="inlineStr">
        <is>
          <t>ARG</t>
        </is>
      </c>
      <c r="C104" s="3" t="inlineStr">
        <is>
          <t>IMF.RES:WEO</t>
        </is>
      </c>
      <c r="D104" s="3" t="inlineStr">
        <is>
          <t>ARG.BCA_NGDPD.A</t>
        </is>
      </c>
      <c r="E104" s="3" t="inlineStr">
        <is>
          <t>Argentina</t>
        </is>
      </c>
      <c r="F104" s="3" t="inlineStr">
        <is>
          <t>Current account balance (credit less debit), Percent of GDP</t>
        </is>
      </c>
      <c r="G104" s="3" t="n">
        <v>-2.877615</v>
      </c>
      <c r="H104" s="3" t="n">
        <v>-1.315502</v>
      </c>
      <c r="I104" s="3" t="n">
        <v>7.666076</v>
      </c>
      <c r="J104" s="3" t="n">
        <v>5.597134</v>
      </c>
      <c r="K104" s="3" t="n">
        <v>1.79847</v>
      </c>
      <c r="L104" s="3" t="n">
        <v>2.473481</v>
      </c>
      <c r="M104" s="3" t="n">
        <v>2.790998</v>
      </c>
      <c r="N104" s="3" t="n">
        <v>2.10058</v>
      </c>
      <c r="O104" s="3" t="n">
        <v>1.490875</v>
      </c>
      <c r="P104" s="3" t="n">
        <v>2.167448</v>
      </c>
      <c r="Q104" s="3" t="n">
        <v>-0.382126</v>
      </c>
      <c r="R104" s="3" t="n">
        <v>-1.011857</v>
      </c>
      <c r="S104" s="3" t="n">
        <v>-0.368833</v>
      </c>
      <c r="T104" s="3" t="n">
        <v>-2.146626</v>
      </c>
      <c r="U104" s="3" t="n">
        <v>-1.628774</v>
      </c>
      <c r="V104" s="3" t="n">
        <v>-2.743032</v>
      </c>
      <c r="W104" s="3" t="n">
        <v>-2.71277</v>
      </c>
      <c r="X104" s="3" t="n">
        <v>-4.838153</v>
      </c>
      <c r="Y104" s="3" t="n">
        <v>-5.16445</v>
      </c>
      <c r="Z104" s="3" t="n">
        <v>-0.781176</v>
      </c>
      <c r="AA104" s="3" t="n">
        <v>0.697786</v>
      </c>
      <c r="AB104" s="3" t="n">
        <v>1.363058</v>
      </c>
      <c r="AC104" s="3" t="n">
        <v>-0.62571</v>
      </c>
      <c r="AD104" s="3" t="n">
        <v>-3.197745</v>
      </c>
      <c r="AE104" s="3" t="n">
        <v>0.89449</v>
      </c>
      <c r="AF104" s="3" t="n">
        <v>-1.112717</v>
      </c>
      <c r="AG104" s="3" t="n">
        <v>-0.7895990000000001</v>
      </c>
      <c r="AH104" s="3" t="n">
        <v>-0.578398</v>
      </c>
      <c r="AI104" s="3" t="n">
        <v>-0.6068519999999999</v>
      </c>
      <c r="AJ104" s="3" t="n">
        <v>-0.468119</v>
      </c>
      <c r="AK104" s="3" t="n">
        <v>-0.387642</v>
      </c>
      <c r="AL104" s="3" t="n">
        <v>-0.336819</v>
      </c>
      <c r="AM104" s="3" t="n"/>
      <c r="AN104" s="3" t="n"/>
      <c r="AO104" s="3" t="n"/>
      <c r="AP104" s="3" t="n"/>
      <c r="AQ104" s="3" t="n"/>
      <c r="AR104" s="3" t="n"/>
      <c r="AS104" s="3" t="n"/>
      <c r="AT104" s="3" t="n"/>
      <c r="AU104" s="3" t="n"/>
    </row>
    <row r="105">
      <c r="A105" s="3" t="n">
        <v>2031</v>
      </c>
      <c r="B105" s="3" t="inlineStr">
        <is>
          <t>ARG</t>
        </is>
      </c>
      <c r="C105" s="3" t="inlineStr">
        <is>
          <t>IMF.RES:WEO</t>
        </is>
      </c>
      <c r="D105" s="3" t="inlineStr">
        <is>
          <t>ARG.GGR_NGDP.A</t>
        </is>
      </c>
      <c r="E105" s="3" t="inlineStr">
        <is>
          <t>Argentina</t>
        </is>
      </c>
      <c r="F105" s="3" t="inlineStr">
        <is>
          <t>Revenue, General government, Percent of GDP</t>
        </is>
      </c>
      <c r="G105" s="3" t="n">
        <v>21.830487</v>
      </c>
      <c r="H105" s="3" t="n">
        <v>21.068353</v>
      </c>
      <c r="I105" s="3" t="n">
        <v>19.942904</v>
      </c>
      <c r="J105" s="3" t="n">
        <v>23.526034</v>
      </c>
      <c r="K105" s="3" t="n">
        <v>26.996427</v>
      </c>
      <c r="L105" s="3" t="n">
        <v>27.766183</v>
      </c>
      <c r="M105" s="3" t="n">
        <v>28.266732</v>
      </c>
      <c r="N105" s="3" t="n">
        <v>30.307563</v>
      </c>
      <c r="O105" s="3" t="n">
        <v>31.114321</v>
      </c>
      <c r="P105" s="3" t="n">
        <v>32.694392</v>
      </c>
      <c r="Q105" s="3" t="n">
        <v>31.964614</v>
      </c>
      <c r="R105" s="3" t="n">
        <v>32.156252</v>
      </c>
      <c r="S105" s="3" t="n">
        <v>33.803368</v>
      </c>
      <c r="T105" s="3" t="n">
        <v>34.349105</v>
      </c>
      <c r="U105" s="3" t="n">
        <v>34.600502</v>
      </c>
      <c r="V105" s="3" t="n">
        <v>35.365772</v>
      </c>
      <c r="W105" s="3" t="n">
        <v>34.867352</v>
      </c>
      <c r="X105" s="3" t="n">
        <v>34.428113</v>
      </c>
      <c r="Y105" s="3" t="n">
        <v>33.508063</v>
      </c>
      <c r="Z105" s="3" t="n">
        <v>33.6843</v>
      </c>
      <c r="AA105" s="3" t="n">
        <v>33.805168</v>
      </c>
      <c r="AB105" s="3" t="n">
        <v>33.550413</v>
      </c>
      <c r="AC105" s="3" t="n">
        <v>33.806738</v>
      </c>
      <c r="AD105" s="3" t="n">
        <v>32.307759</v>
      </c>
      <c r="AE105" s="3" t="n">
        <v>31.477046</v>
      </c>
      <c r="AF105" s="3" t="n">
        <v>31.253711</v>
      </c>
      <c r="AG105" s="3" t="n">
        <v>31.78827</v>
      </c>
      <c r="AH105" s="3" t="n">
        <v>32.190396</v>
      </c>
      <c r="AI105" s="3" t="n">
        <v>32.229107</v>
      </c>
      <c r="AJ105" s="3" t="n">
        <v>32.942483</v>
      </c>
      <c r="AK105" s="3" t="n">
        <v>33.286662</v>
      </c>
      <c r="AL105" s="3" t="n">
        <v>33.40393</v>
      </c>
      <c r="AM105" s="3" t="n"/>
      <c r="AN105" s="3" t="n"/>
      <c r="AO105" s="3" t="n"/>
      <c r="AP105" s="3" t="n"/>
      <c r="AQ105" s="3" t="n"/>
      <c r="AR105" s="3" t="n"/>
      <c r="AS105" s="3" t="n"/>
      <c r="AT105" s="3" t="n"/>
      <c r="AU105" s="3" t="n"/>
    </row>
    <row r="106">
      <c r="A106" s="3" t="n">
        <v>2031</v>
      </c>
      <c r="B106" s="3" t="inlineStr">
        <is>
          <t>ARG</t>
        </is>
      </c>
      <c r="C106" s="3" t="inlineStr">
        <is>
          <t>IMF.RES:WEO</t>
        </is>
      </c>
      <c r="D106" s="3" t="inlineStr">
        <is>
          <t>ARG.GGX_NGDP.A</t>
        </is>
      </c>
      <c r="E106" s="3" t="inlineStr">
        <is>
          <t>Argentina</t>
        </is>
      </c>
      <c r="F106" s="3" t="inlineStr">
        <is>
          <t>Expenditure, General government, Percent of GDP</t>
        </is>
      </c>
      <c r="G106" s="3" t="n">
        <v>25.247238</v>
      </c>
      <c r="H106" s="3" t="n">
        <v>26.432499</v>
      </c>
      <c r="I106" s="3" t="n">
        <v>21.853054</v>
      </c>
      <c r="J106" s="3" t="n">
        <v>22.025888</v>
      </c>
      <c r="K106" s="3" t="n">
        <v>23.029532</v>
      </c>
      <c r="L106" s="3" t="n">
        <v>24.42556</v>
      </c>
      <c r="M106" s="3" t="n">
        <v>26.616662</v>
      </c>
      <c r="N106" s="3" t="n">
        <v>29.550588</v>
      </c>
      <c r="O106" s="3" t="n">
        <v>30.762348</v>
      </c>
      <c r="P106" s="3" t="n">
        <v>34.524436</v>
      </c>
      <c r="Q106" s="3" t="n">
        <v>33.358069</v>
      </c>
      <c r="R106" s="3" t="n">
        <v>34.901901</v>
      </c>
      <c r="S106" s="3" t="n">
        <v>36.821423</v>
      </c>
      <c r="T106" s="3" t="n">
        <v>37.602933</v>
      </c>
      <c r="U106" s="3" t="n">
        <v>38.852931</v>
      </c>
      <c r="V106" s="3" t="n">
        <v>41.36633</v>
      </c>
      <c r="W106" s="3" t="n">
        <v>41.522021</v>
      </c>
      <c r="X106" s="3" t="n">
        <v>41.121454</v>
      </c>
      <c r="Y106" s="3" t="n">
        <v>38.949208</v>
      </c>
      <c r="Z106" s="3" t="n">
        <v>38.129058</v>
      </c>
      <c r="AA106" s="3" t="n">
        <v>42.47924</v>
      </c>
      <c r="AB106" s="3" t="n">
        <v>37.883365</v>
      </c>
      <c r="AC106" s="3" t="n">
        <v>37.643123</v>
      </c>
      <c r="AD106" s="3" t="n">
        <v>37.637348</v>
      </c>
      <c r="AE106" s="3" t="n">
        <v>31.019182</v>
      </c>
      <c r="AF106" s="3" t="n">
        <v>31.634724</v>
      </c>
      <c r="AG106" s="3" t="n">
        <v>31.337729</v>
      </c>
      <c r="AH106" s="3" t="n">
        <v>31.816539</v>
      </c>
      <c r="AI106" s="3" t="n">
        <v>31.948729</v>
      </c>
      <c r="AJ106" s="3" t="n">
        <v>32.118205</v>
      </c>
      <c r="AK106" s="3" t="n">
        <v>32.142356</v>
      </c>
      <c r="AL106" s="3" t="n">
        <v>32.123657</v>
      </c>
      <c r="AM106" s="3" t="n"/>
      <c r="AN106" s="3" t="n"/>
      <c r="AO106" s="3" t="n"/>
      <c r="AP106" s="3" t="n"/>
      <c r="AQ106" s="3" t="n"/>
      <c r="AR106" s="3" t="n"/>
      <c r="AS106" s="3" t="n"/>
      <c r="AT106" s="3" t="n"/>
      <c r="AU106" s="3" t="n"/>
    </row>
    <row r="107">
      <c r="A107" s="3" t="n">
        <v>2031</v>
      </c>
      <c r="B107" s="3" t="inlineStr">
        <is>
          <t>ARG</t>
        </is>
      </c>
      <c r="C107" s="3" t="inlineStr">
        <is>
          <t>IMF.RES:WEO</t>
        </is>
      </c>
      <c r="D107" s="3" t="inlineStr">
        <is>
          <t>ARG.LP.A</t>
        </is>
      </c>
      <c r="E107" s="3" t="inlineStr">
        <is>
          <t>Argentina</t>
        </is>
      </c>
      <c r="F107" s="3" t="inlineStr">
        <is>
          <t>Population, Persons for countries / Index for country groups</t>
        </is>
      </c>
      <c r="G107" s="3" t="n">
        <v>36.783859</v>
      </c>
      <c r="H107" s="3" t="n">
        <v>37.156195</v>
      </c>
      <c r="I107" s="3" t="n">
        <v>37.515632</v>
      </c>
      <c r="J107" s="3" t="n">
        <v>37.86973</v>
      </c>
      <c r="K107" s="3" t="n">
        <v>38.226051</v>
      </c>
      <c r="L107" s="3" t="n">
        <v>38.59215</v>
      </c>
      <c r="M107" s="3" t="n">
        <v>38.970611</v>
      </c>
      <c r="N107" s="3" t="n">
        <v>39.356383</v>
      </c>
      <c r="O107" s="3" t="n">
        <v>39.745613</v>
      </c>
      <c r="P107" s="3" t="n">
        <v>40.134425</v>
      </c>
      <c r="Q107" s="3" t="n">
        <v>40.788453</v>
      </c>
      <c r="R107" s="3" t="n">
        <v>41.26149</v>
      </c>
      <c r="S107" s="3" t="n">
        <v>41.733271</v>
      </c>
      <c r="T107" s="3" t="n">
        <v>42.202935</v>
      </c>
      <c r="U107" s="3" t="n">
        <v>42.6695</v>
      </c>
      <c r="V107" s="3" t="n">
        <v>43.131966</v>
      </c>
      <c r="W107" s="3" t="n">
        <v>43.590368</v>
      </c>
      <c r="X107" s="3" t="n">
        <v>44.044811</v>
      </c>
      <c r="Y107" s="3" t="n">
        <v>44.494502</v>
      </c>
      <c r="Z107" s="3" t="n">
        <v>44.938712</v>
      </c>
      <c r="AA107" s="3" t="n">
        <v>45.376763</v>
      </c>
      <c r="AB107" s="3" t="n">
        <v>45.808747</v>
      </c>
      <c r="AC107" s="3" t="n">
        <v>46.23483</v>
      </c>
      <c r="AD107" s="3" t="n">
        <v>46.654581</v>
      </c>
      <c r="AE107" s="3" t="n">
        <v>47.067641</v>
      </c>
      <c r="AF107" s="3" t="n">
        <v>47.47376</v>
      </c>
      <c r="AG107" s="3" t="n">
        <v>47.948498</v>
      </c>
      <c r="AH107" s="3" t="n">
        <v>48.427983</v>
      </c>
      <c r="AI107" s="3" t="n">
        <v>48.912262</v>
      </c>
      <c r="AJ107" s="3" t="n">
        <v>49.401385</v>
      </c>
      <c r="AK107" s="3" t="n">
        <v>49.895399</v>
      </c>
      <c r="AL107" s="3" t="n">
        <v>50.394353</v>
      </c>
      <c r="AM107" s="3" t="n"/>
      <c r="AN107" s="3" t="n"/>
      <c r="AO107" s="3" t="n"/>
      <c r="AP107" s="3" t="n"/>
      <c r="AQ107" s="3" t="n"/>
      <c r="AR107" s="3" t="n"/>
      <c r="AS107" s="3" t="n"/>
      <c r="AT107" s="3" t="n"/>
      <c r="AU107" s="3" t="n"/>
    </row>
    <row r="108">
      <c r="A108" s="3" t="n">
        <v>2031</v>
      </c>
      <c r="B108" s="3" t="inlineStr">
        <is>
          <t>ARG</t>
        </is>
      </c>
      <c r="C108" s="3" t="inlineStr">
        <is>
          <t>IMF.RES:WEO</t>
        </is>
      </c>
      <c r="D108" s="3" t="inlineStr">
        <is>
          <t>ARG.NGDP.A</t>
        </is>
      </c>
      <c r="E108" s="3" t="inlineStr">
        <is>
          <t>Argentina</t>
        </is>
      </c>
      <c r="F108" s="3" t="inlineStr">
        <is>
          <t>Gross domestic product (GDP), Current prices, Domestic currency</t>
        </is>
      </c>
      <c r="G108" s="3" t="n">
        <v>317.75895</v>
      </c>
      <c r="H108" s="3" t="n">
        <v>300.421075</v>
      </c>
      <c r="I108" s="3" t="n">
        <v>349.4855</v>
      </c>
      <c r="J108" s="3" t="n">
        <v>420.29215</v>
      </c>
      <c r="K108" s="3" t="n">
        <v>485.115225</v>
      </c>
      <c r="L108" s="3" t="n">
        <v>582.538175</v>
      </c>
      <c r="M108" s="3" t="n">
        <v>715.904275</v>
      </c>
      <c r="N108" s="3" t="n">
        <v>896.9802</v>
      </c>
      <c r="O108" s="3" t="n">
        <v>1149.6461</v>
      </c>
      <c r="P108" s="3" t="n">
        <v>1247.92925</v>
      </c>
      <c r="Q108" s="3" t="n">
        <v>1661.72095</v>
      </c>
      <c r="R108" s="3" t="n">
        <v>2179.024125</v>
      </c>
      <c r="S108" s="3" t="n">
        <v>2637.913825</v>
      </c>
      <c r="T108" s="3" t="n">
        <v>3348.308475</v>
      </c>
      <c r="U108" s="3" t="n">
        <v>4579.086425</v>
      </c>
      <c r="V108" s="3" t="n">
        <v>5954.5109</v>
      </c>
      <c r="W108" s="3" t="n">
        <v>8228.15955</v>
      </c>
      <c r="X108" s="3" t="n">
        <v>10660.228475</v>
      </c>
      <c r="Y108" s="3" t="n">
        <v>14744.81075</v>
      </c>
      <c r="Z108" s="3" t="n">
        <v>21558.44425</v>
      </c>
      <c r="AA108" s="3" t="n">
        <v>27209.81425</v>
      </c>
      <c r="AB108" s="3" t="n">
        <v>46219.0835</v>
      </c>
      <c r="AC108" s="3" t="n">
        <v>82810.04525</v>
      </c>
      <c r="AD108" s="3" t="n">
        <v>192408.248</v>
      </c>
      <c r="AE108" s="3" t="n">
        <v>583909.61525</v>
      </c>
      <c r="AF108" s="3" t="n">
        <v>847622.87275</v>
      </c>
      <c r="AG108" s="3" t="n">
        <v>1159981.1</v>
      </c>
      <c r="AH108" s="3" t="n">
        <v>1400412.606445</v>
      </c>
      <c r="AI108" s="3" t="n">
        <v>1592133.223803</v>
      </c>
      <c r="AJ108" s="3" t="n">
        <v>1771639.905711</v>
      </c>
      <c r="AK108" s="3" t="n">
        <v>1964690.78453</v>
      </c>
      <c r="AL108" s="3" t="n">
        <v>2176096.936787</v>
      </c>
      <c r="AM108" s="3" t="n"/>
      <c r="AN108" s="3" t="n"/>
      <c r="AO108" s="3" t="n"/>
      <c r="AP108" s="3" t="n"/>
      <c r="AQ108" s="3" t="n"/>
      <c r="AR108" s="3" t="n"/>
      <c r="AS108" s="3" t="n"/>
      <c r="AT108" s="3" t="n"/>
      <c r="AU108" s="3" t="n"/>
    </row>
    <row r="109">
      <c r="A109" s="3" t="n">
        <v>2031</v>
      </c>
      <c r="B109" s="3" t="inlineStr">
        <is>
          <t>ARG</t>
        </is>
      </c>
      <c r="C109" s="3" t="inlineStr">
        <is>
          <t>IMF.RES:WEO</t>
        </is>
      </c>
      <c r="D109" s="3" t="inlineStr">
        <is>
          <t>ARG.NGDP_D.A</t>
        </is>
      </c>
      <c r="E109" s="3" t="inlineStr">
        <is>
          <t>Argentina</t>
        </is>
      </c>
      <c r="F109" s="3" t="inlineStr">
        <is>
          <t>Gross domestic product (GDP), Price deflator, Index</t>
        </is>
      </c>
      <c r="G109" s="3" t="n">
        <v>66.205871</v>
      </c>
      <c r="H109" s="3" t="n">
        <v>65.480407</v>
      </c>
      <c r="I109" s="3" t="n">
        <v>85.488056</v>
      </c>
      <c r="J109" s="3" t="n">
        <v>94.358026</v>
      </c>
      <c r="K109" s="3" t="n">
        <v>100.000006</v>
      </c>
      <c r="L109" s="3" t="n">
        <v>110.317511</v>
      </c>
      <c r="M109" s="3" t="n">
        <v>125.476299</v>
      </c>
      <c r="N109" s="3" t="n">
        <v>144.222367</v>
      </c>
      <c r="O109" s="3" t="n">
        <v>177.640366</v>
      </c>
      <c r="P109" s="3" t="n">
        <v>204.957274</v>
      </c>
      <c r="Q109" s="3" t="n">
        <v>247.82435</v>
      </c>
      <c r="R109" s="3" t="n">
        <v>306.567324</v>
      </c>
      <c r="S109" s="3" t="n">
        <v>374.97745</v>
      </c>
      <c r="T109" s="3" t="n">
        <v>464.780046</v>
      </c>
      <c r="U109" s="3" t="n">
        <v>652.007263</v>
      </c>
      <c r="V109" s="3" t="n">
        <v>825.310739</v>
      </c>
      <c r="W109" s="3" t="n">
        <v>1164.673396</v>
      </c>
      <c r="X109" s="3" t="n">
        <v>1467.562775</v>
      </c>
      <c r="Y109" s="3" t="n">
        <v>2084.433268</v>
      </c>
      <c r="Z109" s="3" t="n">
        <v>3109.882283</v>
      </c>
      <c r="AA109" s="3" t="n">
        <v>4356.419126</v>
      </c>
      <c r="AB109" s="3" t="n">
        <v>6700.263539</v>
      </c>
      <c r="AC109" s="3" t="n">
        <v>11323.031731</v>
      </c>
      <c r="AD109" s="3" t="n">
        <v>26806.412435</v>
      </c>
      <c r="AE109" s="3" t="n">
        <v>82457.929752</v>
      </c>
      <c r="AF109" s="3" t="n">
        <v>114689.82248</v>
      </c>
      <c r="AG109" s="3" t="n">
        <v>151646.634503</v>
      </c>
      <c r="AH109" s="3" t="n">
        <v>176031.615908</v>
      </c>
      <c r="AI109" s="3" t="n">
        <v>192863.961366</v>
      </c>
      <c r="AJ109" s="3" t="n">
        <v>207277.072039</v>
      </c>
      <c r="AK109" s="3" t="n">
        <v>222842.224982</v>
      </c>
      <c r="AL109" s="3" t="n">
        <v>239539.066394</v>
      </c>
      <c r="AM109" s="3" t="n"/>
      <c r="AN109" s="3" t="n"/>
      <c r="AO109" s="3" t="n"/>
      <c r="AP109" s="3" t="n"/>
      <c r="AQ109" s="3" t="n"/>
      <c r="AR109" s="3" t="n"/>
      <c r="AS109" s="3" t="n"/>
      <c r="AT109" s="3" t="n"/>
      <c r="AU109" s="3" t="n"/>
    </row>
    <row r="110">
      <c r="A110" s="3" t="n">
        <v>2031</v>
      </c>
      <c r="B110" s="3" t="inlineStr">
        <is>
          <t>ARG</t>
        </is>
      </c>
      <c r="C110" s="3" t="inlineStr">
        <is>
          <t>IMF.RES:WEO</t>
        </is>
      </c>
      <c r="D110" s="3" t="inlineStr">
        <is>
          <t>ARG.NGDP_R.A</t>
        </is>
      </c>
      <c r="E110" s="3" t="inlineStr">
        <is>
          <t>Argentina</t>
        </is>
      </c>
      <c r="F110" s="3" t="inlineStr">
        <is>
          <t>Gross domestic product (GDP), Constant prices, Domestic currency</t>
        </is>
      </c>
      <c r="G110" s="3" t="n">
        <v>479.955851</v>
      </c>
      <c r="H110" s="3" t="n">
        <v>458.795372</v>
      </c>
      <c r="I110" s="3" t="n">
        <v>408.812082</v>
      </c>
      <c r="J110" s="3" t="n">
        <v>445.422787</v>
      </c>
      <c r="K110" s="3" t="n">
        <v>485.115195</v>
      </c>
      <c r="L110" s="3" t="n">
        <v>528.055943</v>
      </c>
      <c r="M110" s="3" t="n">
        <v>570.549404</v>
      </c>
      <c r="N110" s="3" t="n">
        <v>621.942503</v>
      </c>
      <c r="O110" s="3" t="n">
        <v>647.17616</v>
      </c>
      <c r="P110" s="3" t="n">
        <v>608.872876</v>
      </c>
      <c r="Q110" s="3" t="n">
        <v>670.523679</v>
      </c>
      <c r="R110" s="3" t="n">
        <v>710.781597</v>
      </c>
      <c r="S110" s="3" t="n">
        <v>703.485989</v>
      </c>
      <c r="T110" s="3" t="n">
        <v>720.407105</v>
      </c>
      <c r="U110" s="3" t="n">
        <v>702.306046</v>
      </c>
      <c r="V110" s="3" t="n">
        <v>721.487147</v>
      </c>
      <c r="W110" s="3" t="n">
        <v>706.477849</v>
      </c>
      <c r="X110" s="3" t="n">
        <v>726.389948</v>
      </c>
      <c r="Y110" s="3" t="n">
        <v>707.377443</v>
      </c>
      <c r="Z110" s="3" t="n">
        <v>693.223804</v>
      </c>
      <c r="AA110" s="3" t="n">
        <v>624.591286</v>
      </c>
      <c r="AB110" s="3" t="n">
        <v>689.809934</v>
      </c>
      <c r="AC110" s="3" t="n">
        <v>731.341634</v>
      </c>
      <c r="AD110" s="3" t="n">
        <v>717.769483</v>
      </c>
      <c r="AE110" s="3" t="n">
        <v>708.1303360000001</v>
      </c>
      <c r="AF110" s="3" t="n">
        <v>739.056748</v>
      </c>
      <c r="AG110" s="3" t="n">
        <v>764.923735</v>
      </c>
      <c r="AH110" s="3" t="n">
        <v>795.546072</v>
      </c>
      <c r="AI110" s="3" t="n">
        <v>825.521374</v>
      </c>
      <c r="AJ110" s="3" t="n">
        <v>854.720635</v>
      </c>
      <c r="AK110" s="3" t="n">
        <v>881.651036</v>
      </c>
      <c r="AL110" s="3" t="n">
        <v>908.45179</v>
      </c>
      <c r="AM110" s="3" t="n"/>
      <c r="AN110" s="3" t="n"/>
      <c r="AO110" s="3" t="n"/>
      <c r="AP110" s="3" t="n"/>
      <c r="AQ110" s="3" t="n"/>
      <c r="AR110" s="3" t="n"/>
      <c r="AS110" s="3" t="n"/>
      <c r="AT110" s="3" t="n"/>
      <c r="AU110" s="3" t="n"/>
    </row>
    <row r="111">
      <c r="A111" s="3" t="n">
        <v>2031</v>
      </c>
      <c r="B111" s="3" t="inlineStr">
        <is>
          <t>ARG</t>
        </is>
      </c>
      <c r="C111" s="3" t="inlineStr">
        <is>
          <t>IMF.RES:WEO</t>
        </is>
      </c>
      <c r="D111" s="3" t="inlineStr">
        <is>
          <t>ARG.NGDP_RPCH.A</t>
        </is>
      </c>
      <c r="E111" s="3" t="inlineStr">
        <is>
          <t>Argentina</t>
        </is>
      </c>
      <c r="F111" s="3" t="inlineStr">
        <is>
          <t>Gross domestic product (GDP), Constant prices, Percent change</t>
        </is>
      </c>
      <c r="G111" s="3" t="n">
        <v>-0.789061</v>
      </c>
      <c r="H111" s="3" t="n">
        <v>-4.408839</v>
      </c>
      <c r="I111" s="3" t="n">
        <v>-10.894463</v>
      </c>
      <c r="J111" s="3" t="n">
        <v>8.955387</v>
      </c>
      <c r="K111" s="3" t="n">
        <v>8.911175999999999</v>
      </c>
      <c r="L111" s="3" t="n">
        <v>8.851660000000001</v>
      </c>
      <c r="M111" s="3" t="n">
        <v>8.047152000000001</v>
      </c>
      <c r="N111" s="3" t="n">
        <v>9.007650999999999</v>
      </c>
      <c r="O111" s="3" t="n">
        <v>4.057233</v>
      </c>
      <c r="P111" s="3" t="n">
        <v>-5.918525</v>
      </c>
      <c r="Q111" s="3" t="n">
        <v>10.125398</v>
      </c>
      <c r="R111" s="3" t="n">
        <v>6.003952</v>
      </c>
      <c r="S111" s="3" t="n">
        <v>-1.02642</v>
      </c>
      <c r="T111" s="3" t="n">
        <v>2.405324</v>
      </c>
      <c r="U111" s="3" t="n">
        <v>-2.512615</v>
      </c>
      <c r="V111" s="3" t="n">
        <v>2.73116</v>
      </c>
      <c r="W111" s="3" t="n">
        <v>-2.080328</v>
      </c>
      <c r="X111" s="3" t="n">
        <v>2.818503</v>
      </c>
      <c r="Y111" s="3" t="n">
        <v>-2.617396</v>
      </c>
      <c r="Z111" s="3" t="n">
        <v>-2.000861</v>
      </c>
      <c r="AA111" s="3" t="n">
        <v>-9.900485</v>
      </c>
      <c r="AB111" s="3" t="n">
        <v>10.441812</v>
      </c>
      <c r="AC111" s="3" t="n">
        <v>6.020745</v>
      </c>
      <c r="AD111" s="3" t="n">
        <v>-1.855788</v>
      </c>
      <c r="AE111" s="3" t="n">
        <v>-1.342931</v>
      </c>
      <c r="AF111" s="3" t="n">
        <v>4.367333</v>
      </c>
      <c r="AG111" s="3" t="n">
        <v>3.5</v>
      </c>
      <c r="AH111" s="3" t="n">
        <v>4.003319</v>
      </c>
      <c r="AI111" s="3" t="n">
        <v>3.76789</v>
      </c>
      <c r="AJ111" s="3" t="n">
        <v>3.537069</v>
      </c>
      <c r="AK111" s="3" t="n">
        <v>3.150784</v>
      </c>
      <c r="AL111" s="3" t="n">
        <v>3.039837</v>
      </c>
      <c r="AM111" s="3" t="n"/>
      <c r="AN111" s="3" t="n"/>
      <c r="AO111" s="3" t="n"/>
      <c r="AP111" s="3" t="n"/>
      <c r="AQ111" s="3" t="n"/>
      <c r="AR111" s="3" t="n"/>
      <c r="AS111" s="3" t="n"/>
      <c r="AT111" s="3" t="n"/>
      <c r="AU111" s="3" t="n"/>
    </row>
    <row r="112">
      <c r="A112" s="3" t="n">
        <v>2031</v>
      </c>
      <c r="B112" s="3" t="inlineStr">
        <is>
          <t>ARG</t>
        </is>
      </c>
      <c r="C112" s="3" t="inlineStr">
        <is>
          <t>IMF.RES:WEO</t>
        </is>
      </c>
      <c r="D112" s="3" t="inlineStr">
        <is>
          <t>ARG.NGDPD.A</t>
        </is>
      </c>
      <c r="E112" s="3" t="inlineStr">
        <is>
          <t>Argentina</t>
        </is>
      </c>
      <c r="F112" s="3" t="inlineStr">
        <is>
          <t>Gross domestic product (GDP), Current prices, US dollar</t>
        </is>
      </c>
      <c r="G112" s="3" t="n">
        <v>317.75895</v>
      </c>
      <c r="H112" s="3" t="n">
        <v>300.421075</v>
      </c>
      <c r="I112" s="3" t="n">
        <v>112.457664</v>
      </c>
      <c r="J112" s="3" t="n">
        <v>142.431375</v>
      </c>
      <c r="K112" s="3" t="n">
        <v>164.910928</v>
      </c>
      <c r="L112" s="3" t="n">
        <v>199.272507</v>
      </c>
      <c r="M112" s="3" t="n">
        <v>232.891576</v>
      </c>
      <c r="N112" s="3" t="n">
        <v>287.920505</v>
      </c>
      <c r="O112" s="3" t="n">
        <v>363.544786</v>
      </c>
      <c r="P112" s="3" t="n">
        <v>334.633243</v>
      </c>
      <c r="Q112" s="3" t="n">
        <v>424.729089</v>
      </c>
      <c r="R112" s="3" t="n">
        <v>527.643927</v>
      </c>
      <c r="S112" s="3" t="n">
        <v>579.6664510000001</v>
      </c>
      <c r="T112" s="3" t="n">
        <v>611.4711119999999</v>
      </c>
      <c r="U112" s="3" t="n">
        <v>563.614236</v>
      </c>
      <c r="V112" s="3" t="n">
        <v>642.46426</v>
      </c>
      <c r="W112" s="3" t="n">
        <v>556.774027</v>
      </c>
      <c r="X112" s="3" t="n">
        <v>643.861436</v>
      </c>
      <c r="Y112" s="3" t="n">
        <v>524.431466</v>
      </c>
      <c r="Z112" s="3" t="n">
        <v>446.762267</v>
      </c>
      <c r="AA112" s="3" t="n">
        <v>385.218414</v>
      </c>
      <c r="AB112" s="3" t="n">
        <v>486.03955</v>
      </c>
      <c r="AC112" s="3" t="n">
        <v>633.520291</v>
      </c>
      <c r="AD112" s="3" t="n">
        <v>648.894711</v>
      </c>
      <c r="AE112" s="3" t="n">
        <v>637.234361</v>
      </c>
      <c r="AF112" s="3" t="n">
        <v>681.485276</v>
      </c>
      <c r="AG112" s="3" t="n">
        <v>688.378315</v>
      </c>
      <c r="AH112" s="3" t="n">
        <v>703.667557</v>
      </c>
      <c r="AI112" s="3" t="n">
        <v>746.842567</v>
      </c>
      <c r="AJ112" s="3" t="n">
        <v>789.966705</v>
      </c>
      <c r="AK112" s="3" t="n">
        <v>833.2843339999999</v>
      </c>
      <c r="AL112" s="3" t="n">
        <v>878.050531</v>
      </c>
      <c r="AM112" s="3" t="n"/>
      <c r="AN112" s="3" t="n"/>
      <c r="AO112" s="3" t="n"/>
      <c r="AP112" s="3" t="n"/>
      <c r="AQ112" s="3" t="n"/>
      <c r="AR112" s="3" t="n"/>
      <c r="AS112" s="3" t="n"/>
      <c r="AT112" s="3" t="n"/>
      <c r="AU112" s="3" t="n"/>
    </row>
    <row r="113">
      <c r="A113" s="3" t="n">
        <v>2031</v>
      </c>
      <c r="B113" s="3" t="inlineStr">
        <is>
          <t>ARG</t>
        </is>
      </c>
      <c r="C113" s="3" t="inlineStr">
        <is>
          <t>IMF.RES:WEO</t>
        </is>
      </c>
      <c r="D113" s="3" t="inlineStr">
        <is>
          <t>ARG.NGDPPC.A</t>
        </is>
      </c>
      <c r="E113" s="3" t="inlineStr">
        <is>
          <t>Argentina</t>
        </is>
      </c>
      <c r="F113" s="3" t="inlineStr">
        <is>
          <t>Gross domestic product (GDP), Current prices, Per capita, Domestic currency</t>
        </is>
      </c>
      <c r="G113" s="3" t="n">
        <v>8638.543062999999</v>
      </c>
      <c r="H113" s="3" t="n">
        <v>8085.356291</v>
      </c>
      <c r="I113" s="3" t="n">
        <v>9315.73004</v>
      </c>
      <c r="J113" s="3" t="n">
        <v>11098.36669</v>
      </c>
      <c r="K113" s="3" t="n">
        <v>12690.69685</v>
      </c>
      <c r="L113" s="3" t="n">
        <v>15094.732348</v>
      </c>
      <c r="M113" s="3" t="n">
        <v>18370.363118</v>
      </c>
      <c r="N113" s="3" t="n">
        <v>22791.225505</v>
      </c>
      <c r="O113" s="3" t="n">
        <v>28925.106778</v>
      </c>
      <c r="P113" s="3" t="n">
        <v>31093.736861</v>
      </c>
      <c r="Q113" s="3" t="n">
        <v>40739.984672</v>
      </c>
      <c r="R113" s="3" t="n">
        <v>52810.117255</v>
      </c>
      <c r="S113" s="3" t="n">
        <v>63208.892133</v>
      </c>
      <c r="T113" s="3" t="n">
        <v>79338.284766</v>
      </c>
      <c r="U113" s="3" t="n">
        <v>107315.211685</v>
      </c>
      <c r="V113" s="3" t="n">
        <v>138053.31526</v>
      </c>
      <c r="W113" s="3" t="n">
        <v>188760.95632</v>
      </c>
      <c r="X113" s="3" t="n">
        <v>242031.42738</v>
      </c>
      <c r="Y113" s="3" t="n">
        <v>331385.004601</v>
      </c>
      <c r="Z113" s="3" t="n">
        <v>479729.909705</v>
      </c>
      <c r="AA113" s="3" t="n">
        <v>599642.029336</v>
      </c>
      <c r="AB113" s="3" t="n">
        <v>1008957.601482</v>
      </c>
      <c r="AC113" s="3" t="n">
        <v>1791074.937444</v>
      </c>
      <c r="AD113" s="3" t="n">
        <v>4124101.939743</v>
      </c>
      <c r="AE113" s="3" t="n">
        <v>12405754.842271</v>
      </c>
      <c r="AF113" s="3" t="n">
        <v>17854555.290122</v>
      </c>
      <c r="AG113" s="3" t="n">
        <v>24192230.37345</v>
      </c>
      <c r="AH113" s="3" t="n">
        <v>28917426.082057</v>
      </c>
      <c r="AI113" s="3" t="n">
        <v>32550799.03533</v>
      </c>
      <c r="AJ113" s="3" t="n">
        <v>35862150.520407</v>
      </c>
      <c r="AK113" s="3" t="n">
        <v>39376191.568502</v>
      </c>
      <c r="AL113" s="3" t="n">
        <v>43181364.837158</v>
      </c>
      <c r="AM113" s="3" t="n"/>
      <c r="AN113" s="3" t="n"/>
      <c r="AO113" s="3" t="n"/>
      <c r="AP113" s="3" t="n"/>
      <c r="AQ113" s="3" t="n"/>
      <c r="AR113" s="3" t="n"/>
      <c r="AS113" s="3" t="n"/>
      <c r="AT113" s="3" t="n"/>
      <c r="AU113" s="3" t="n"/>
    </row>
    <row r="114">
      <c r="A114" s="3" t="n">
        <v>2031</v>
      </c>
      <c r="B114" s="3" t="inlineStr">
        <is>
          <t>ARG</t>
        </is>
      </c>
      <c r="C114" s="3" t="inlineStr">
        <is>
          <t>IMF.RES:WEO</t>
        </is>
      </c>
      <c r="D114" s="3" t="inlineStr">
        <is>
          <t>ARG.NGDPRPC.A</t>
        </is>
      </c>
      <c r="E114" s="3" t="inlineStr">
        <is>
          <t>Argentina</t>
        </is>
      </c>
      <c r="F114" s="3" t="inlineStr">
        <is>
          <t>Gross domestic product (GDP), Constant prices, Per capita, Domestic currency</t>
        </is>
      </c>
      <c r="G114" s="3" t="n">
        <v>13048.001603</v>
      </c>
      <c r="H114" s="3" t="n">
        <v>12347.749063</v>
      </c>
      <c r="I114" s="3" t="n">
        <v>10897.113014</v>
      </c>
      <c r="J114" s="3" t="n">
        <v>11761.974189</v>
      </c>
      <c r="K114" s="3" t="n">
        <v>12690.69607</v>
      </c>
      <c r="L114" s="3" t="n">
        <v>13682.988445</v>
      </c>
      <c r="M114" s="3" t="n">
        <v>14640.504462</v>
      </c>
      <c r="N114" s="3" t="n">
        <v>15802.836929</v>
      </c>
      <c r="O114" s="3" t="n">
        <v>16282.958316</v>
      </c>
      <c r="P114" s="3" t="n">
        <v>15170.838411</v>
      </c>
      <c r="Q114" s="3" t="n">
        <v>16439.056403</v>
      </c>
      <c r="R114" s="3" t="n">
        <v>17226.270724</v>
      </c>
      <c r="S114" s="3" t="n">
        <v>16856.718216</v>
      </c>
      <c r="T114" s="3" t="n">
        <v>17070.0712</v>
      </c>
      <c r="U114" s="3" t="n">
        <v>16459.204958</v>
      </c>
      <c r="V114" s="3" t="n">
        <v>16727.434744</v>
      </c>
      <c r="W114" s="3" t="n">
        <v>16207.200834</v>
      </c>
      <c r="X114" s="3" t="n">
        <v>16492.066404</v>
      </c>
      <c r="Y114" s="3" t="n">
        <v>15898.086532</v>
      </c>
      <c r="Z114" s="3" t="n">
        <v>15425.982916</v>
      </c>
      <c r="AA114" s="3" t="n">
        <v>13764.562407</v>
      </c>
      <c r="AB114" s="3" t="n">
        <v>15058.476366</v>
      </c>
      <c r="AC114" s="3" t="n">
        <v>15817.980378</v>
      </c>
      <c r="AD114" s="3" t="n">
        <v>15384.758963</v>
      </c>
      <c r="AE114" s="3" t="n">
        <v>15044.950655</v>
      </c>
      <c r="AF114" s="3" t="n">
        <v>15567.689359</v>
      </c>
      <c r="AG114" s="3" t="n">
        <v>15953.028204</v>
      </c>
      <c r="AH114" s="3" t="n">
        <v>16427.404778</v>
      </c>
      <c r="AI114" s="3" t="n">
        <v>16877.595381</v>
      </c>
      <c r="AJ114" s="3" t="n">
        <v>17301.552057</v>
      </c>
      <c r="AK114" s="3" t="n">
        <v>17669.986723</v>
      </c>
      <c r="AL114" s="3" t="n">
        <v>18026.85695</v>
      </c>
      <c r="AM114" s="3" t="n"/>
      <c r="AN114" s="3" t="n"/>
      <c r="AO114" s="3" t="n"/>
      <c r="AP114" s="3" t="n"/>
      <c r="AQ114" s="3" t="n"/>
      <c r="AR114" s="3" t="n"/>
      <c r="AS114" s="3" t="n"/>
      <c r="AT114" s="3" t="n"/>
      <c r="AU114" s="3" t="n"/>
    </row>
    <row r="115">
      <c r="A115" s="3" t="n">
        <v>2031</v>
      </c>
      <c r="B115" s="3" t="inlineStr">
        <is>
          <t>ARG</t>
        </is>
      </c>
      <c r="C115" s="3" t="inlineStr">
        <is>
          <t>IMF.RES:WEO</t>
        </is>
      </c>
      <c r="D115" s="3" t="inlineStr">
        <is>
          <t>ARG.PCPI.A</t>
        </is>
      </c>
      <c r="E115" s="3" t="inlineStr">
        <is>
          <t>Argentina</t>
        </is>
      </c>
      <c r="F115" s="3" t="inlineStr">
        <is>
          <t>All Items, Consumer price index (CPI), Period average</t>
        </is>
      </c>
      <c r="G115" s="3" t="n">
        <v>26.153234</v>
      </c>
      <c r="H115" s="3" t="n">
        <v>25.874606</v>
      </c>
      <c r="I115" s="3" t="n">
        <v>32.567982</v>
      </c>
      <c r="J115" s="3" t="n">
        <v>36.946037</v>
      </c>
      <c r="K115" s="3" t="n">
        <v>38.577481</v>
      </c>
      <c r="L115" s="3" t="n">
        <v>42.296995</v>
      </c>
      <c r="M115" s="3" t="n">
        <v>46.906523</v>
      </c>
      <c r="N115" s="3" t="n">
        <v>51.048598</v>
      </c>
      <c r="O115" s="3" t="n">
        <v>55.430917</v>
      </c>
      <c r="P115" s="3" t="n">
        <v>58.906518</v>
      </c>
      <c r="Q115" s="3" t="n">
        <v>65.068911</v>
      </c>
      <c r="R115" s="3" t="n">
        <v>71.429648</v>
      </c>
      <c r="S115" s="3" t="n">
        <v>78.603416</v>
      </c>
      <c r="T115" s="3" t="n">
        <v>86.95034200000001</v>
      </c>
      <c r="U115" s="3" t="n"/>
      <c r="V115" s="3" t="n"/>
      <c r="W115" s="3" t="n">
        <v>168.269813</v>
      </c>
      <c r="X115" s="3" t="n">
        <v>211.47252</v>
      </c>
      <c r="Y115" s="3" t="n">
        <v>283.959429</v>
      </c>
      <c r="Z115" s="3" t="n">
        <v>436.014888</v>
      </c>
      <c r="AA115" s="3" t="n">
        <v>619.206956</v>
      </c>
      <c r="AB115" s="3" t="n">
        <v>918.961196</v>
      </c>
      <c r="AC115" s="3" t="n">
        <v>1584.571751</v>
      </c>
      <c r="AD115" s="3" t="n">
        <v>3699.799715</v>
      </c>
      <c r="AE115" s="3" t="n">
        <v>11835.086362</v>
      </c>
      <c r="AF115" s="3" t="n">
        <v>16796.407124</v>
      </c>
      <c r="AG115" s="3" t="n">
        <v>21895.843061</v>
      </c>
      <c r="AH115" s="3" t="n">
        <v>25326.281762</v>
      </c>
      <c r="AI115" s="3" t="n">
        <v>27745.841019</v>
      </c>
      <c r="AJ115" s="3" t="n">
        <v>29826.814979</v>
      </c>
      <c r="AK115" s="3" t="n">
        <v>32063.860102</v>
      </c>
      <c r="AL115" s="3" t="n">
        <v>34468.682363</v>
      </c>
      <c r="AM115" s="3" t="n"/>
      <c r="AN115" s="3" t="n"/>
      <c r="AO115" s="3" t="n"/>
      <c r="AP115" s="3" t="n"/>
      <c r="AQ115" s="3" t="n"/>
      <c r="AR115" s="3" t="n"/>
      <c r="AS115" s="3" t="n"/>
      <c r="AT115" s="3" t="n"/>
      <c r="AU115" s="3" t="n"/>
    </row>
    <row r="116">
      <c r="A116" s="3" t="n">
        <v>2031</v>
      </c>
      <c r="B116" s="3" t="inlineStr">
        <is>
          <t>ARG</t>
        </is>
      </c>
      <c r="C116" s="3" t="inlineStr">
        <is>
          <t>IMF.RES:WEO</t>
        </is>
      </c>
      <c r="D116" s="3" t="inlineStr">
        <is>
          <t>ARG.PCPIPCH.A</t>
        </is>
      </c>
      <c r="E116" s="3" t="inlineStr">
        <is>
          <t>Argentina</t>
        </is>
      </c>
      <c r="F116" s="3" t="inlineStr">
        <is>
          <t>All Items, Consumer price index (CPI), Period average, percent change</t>
        </is>
      </c>
      <c r="G116" s="3" t="n">
        <v>-0.938661</v>
      </c>
      <c r="H116" s="3" t="n">
        <v>-1.065369</v>
      </c>
      <c r="I116" s="3" t="n">
        <v>25.868514</v>
      </c>
      <c r="J116" s="3" t="n">
        <v>13.442819</v>
      </c>
      <c r="K116" s="3" t="n">
        <v>4.415748</v>
      </c>
      <c r="L116" s="3" t="n">
        <v>9.641672</v>
      </c>
      <c r="M116" s="3" t="n">
        <v>10.898005</v>
      </c>
      <c r="N116" s="3" t="n">
        <v>8.830488000000001</v>
      </c>
      <c r="O116" s="3" t="n">
        <v>8.584602</v>
      </c>
      <c r="P116" s="3" t="n">
        <v>6.270148</v>
      </c>
      <c r="Q116" s="3" t="n">
        <v>10.461309</v>
      </c>
      <c r="R116" s="3" t="n">
        <v>9.775387</v>
      </c>
      <c r="S116" s="3" t="n">
        <v>10.043123</v>
      </c>
      <c r="T116" s="3" t="n">
        <v>10.619037</v>
      </c>
      <c r="U116" s="3" t="n"/>
      <c r="V116" s="3" t="n"/>
      <c r="W116" s="3" t="n"/>
      <c r="X116" s="3" t="n">
        <v>25.674663</v>
      </c>
      <c r="Y116" s="3" t="n">
        <v>34.277224</v>
      </c>
      <c r="Z116" s="3" t="n">
        <v>53.548304</v>
      </c>
      <c r="AA116" s="3" t="n">
        <v>42.015095</v>
      </c>
      <c r="AB116" s="3" t="n">
        <v>48.409379</v>
      </c>
      <c r="AC116" s="3" t="n">
        <v>72.430758</v>
      </c>
      <c r="AD116" s="3" t="n">
        <v>133.488936</v>
      </c>
      <c r="AE116" s="3" t="n">
        <v>219.884515</v>
      </c>
      <c r="AF116" s="3" t="n">
        <v>41.920444</v>
      </c>
      <c r="AG116" s="3" t="n">
        <v>30.360278</v>
      </c>
      <c r="AH116" s="3" t="n">
        <v>15.667077</v>
      </c>
      <c r="AI116" s="3" t="n">
        <v>9.553551000000001</v>
      </c>
      <c r="AJ116" s="3" t="n">
        <v>7.500129</v>
      </c>
      <c r="AK116" s="3" t="n">
        <v>7.500114</v>
      </c>
      <c r="AL116" s="3" t="n">
        <v>7.500102</v>
      </c>
      <c r="AM116" s="3" t="n"/>
      <c r="AN116" s="3" t="n"/>
      <c r="AO116" s="3" t="n"/>
      <c r="AP116" s="3" t="n"/>
      <c r="AQ116" s="3" t="n"/>
      <c r="AR116" s="3" t="n"/>
      <c r="AS116" s="3" t="n"/>
      <c r="AT116" s="3" t="n"/>
      <c r="AU116" s="3" t="n"/>
    </row>
    <row r="117">
      <c r="A117" s="3" t="n">
        <v>2031</v>
      </c>
      <c r="B117" s="3" t="inlineStr">
        <is>
          <t>ARG</t>
        </is>
      </c>
      <c r="C117" s="3" t="inlineStr">
        <is>
          <t>IMF.RES:WEO</t>
        </is>
      </c>
      <c r="D117" s="3" t="inlineStr">
        <is>
          <t>ARG.PPPPC.A</t>
        </is>
      </c>
      <c r="E117" s="3" t="inlineStr">
        <is>
          <t>Argentina</t>
        </is>
      </c>
      <c r="F117" s="3" t="inlineStr">
        <is>
          <t>Gross domestic product (GDP), Per capita, purchasing power parity (PPP) international dollar, ICP benchmarks 2017-2021</t>
        </is>
      </c>
      <c r="G117" s="3" t="n">
        <v>13529.296488</v>
      </c>
      <c r="H117" s="3" t="n">
        <v>13091.493871</v>
      </c>
      <c r="I117" s="3" t="n">
        <v>11733.026561</v>
      </c>
      <c r="J117" s="3" t="n">
        <v>12914.250153</v>
      </c>
      <c r="K117" s="3" t="n">
        <v>14308.622897</v>
      </c>
      <c r="L117" s="3" t="n">
        <v>15911.198158</v>
      </c>
      <c r="M117" s="3" t="n">
        <v>17549.660987</v>
      </c>
      <c r="N117" s="3" t="n">
        <v>19456.171761</v>
      </c>
      <c r="O117" s="3" t="n">
        <v>20433.481902</v>
      </c>
      <c r="P117" s="3" t="n">
        <v>19155.29741</v>
      </c>
      <c r="Q117" s="3" t="n">
        <v>21008.869772</v>
      </c>
      <c r="R117" s="3" t="n">
        <v>22469.140412</v>
      </c>
      <c r="S117" s="3" t="n">
        <v>22396.498564</v>
      </c>
      <c r="T117" s="3" t="n">
        <v>23065.981894</v>
      </c>
      <c r="U117" s="3" t="n">
        <v>22627.914072</v>
      </c>
      <c r="V117" s="3" t="n">
        <v>23210.094474</v>
      </c>
      <c r="W117" s="3" t="n">
        <v>22701.934316</v>
      </c>
      <c r="X117" s="3" t="n">
        <v>23514.667043</v>
      </c>
      <c r="Y117" s="3" t="n">
        <v>24498.379047</v>
      </c>
      <c r="Z117" s="3" t="n">
        <v>23535.012861</v>
      </c>
      <c r="AA117" s="3" t="n">
        <v>22302.150576</v>
      </c>
      <c r="AB117" s="3" t="n">
        <v>26015.237165</v>
      </c>
      <c r="AC117" s="3" t="n">
        <v>29271.002551</v>
      </c>
      <c r="AD117" s="3" t="n">
        <v>29522.705727</v>
      </c>
      <c r="AE117" s="3" t="n">
        <v>29587.354141</v>
      </c>
      <c r="AF117" s="3" t="n">
        <v>31483.85707</v>
      </c>
      <c r="AG117" s="3" t="n">
        <v>33187.451881</v>
      </c>
      <c r="AH117" s="3" t="n">
        <v>34924.742721</v>
      </c>
      <c r="AI117" s="3" t="n">
        <v>36470.811427</v>
      </c>
      <c r="AJ117" s="3" t="n">
        <v>38051.72017</v>
      </c>
      <c r="AK117" s="3" t="n">
        <v>39576.127591</v>
      </c>
      <c r="AL117" s="3" t="n">
        <v>41104.32137</v>
      </c>
      <c r="AM117" s="3" t="n"/>
      <c r="AN117" s="3" t="n"/>
      <c r="AO117" s="3" t="n"/>
      <c r="AP117" s="3" t="n"/>
      <c r="AQ117" s="3" t="n"/>
      <c r="AR117" s="3" t="n"/>
      <c r="AS117" s="3" t="n"/>
      <c r="AT117" s="3" t="n"/>
      <c r="AU117" s="3" t="n"/>
    </row>
    <row r="118">
      <c r="A118" s="3" t="n">
        <v>2025</v>
      </c>
      <c r="B118" s="3" t="inlineStr">
        <is>
          <t>ARG</t>
        </is>
      </c>
      <c r="C118" s="3" t="inlineStr">
        <is>
          <t>IMF.STA:ER</t>
        </is>
      </c>
      <c r="D118" s="3" t="inlineStr">
        <is>
          <t>ARG.XDC_USD.PA_RT.A</t>
        </is>
      </c>
      <c r="E118" s="3" t="inlineStr">
        <is>
          <t>Argentina</t>
        </is>
      </c>
      <c r="F118" s="3" t="inlineStr">
        <is>
          <t>Domestic currency per US Dollar</t>
        </is>
      </c>
      <c r="G118" s="3" t="n">
        <v>0.9995000000000001</v>
      </c>
      <c r="H118" s="3" t="n">
        <v>0.9995000000000001</v>
      </c>
      <c r="I118" s="3" t="n">
        <v>3.06325666666666</v>
      </c>
      <c r="J118" s="3" t="n">
        <v>2.90062916666666</v>
      </c>
      <c r="K118" s="3" t="n">
        <v>2.92330081890332</v>
      </c>
      <c r="L118" s="3" t="n">
        <v>2.9036575</v>
      </c>
      <c r="M118" s="3" t="n">
        <v>3.05431333333333</v>
      </c>
      <c r="N118" s="3" t="n">
        <v>3.09564884920635</v>
      </c>
      <c r="O118" s="3" t="n">
        <v>3.14416455988456</v>
      </c>
      <c r="P118" s="3" t="n">
        <v>3.71010683052327</v>
      </c>
      <c r="Q118" s="3" t="n">
        <v>3.8962951544705</v>
      </c>
      <c r="R118" s="3" t="n">
        <v>4.11013957621326</v>
      </c>
      <c r="S118" s="3" t="n">
        <v>4.53693436018745</v>
      </c>
      <c r="T118" s="3" t="n">
        <v>5.45935266465703</v>
      </c>
      <c r="U118" s="3" t="n">
        <v>8.07527599281333</v>
      </c>
      <c r="V118" s="3" t="n">
        <v>9.23318552472429</v>
      </c>
      <c r="W118" s="3" t="n">
        <v>14.7581750873395</v>
      </c>
      <c r="X118" s="3" t="n">
        <v>16.5627069251411</v>
      </c>
      <c r="Y118" s="3" t="n">
        <v>28.0949916666666</v>
      </c>
      <c r="Z118" s="3" t="n">
        <v>48.1478916666666</v>
      </c>
      <c r="AA118" s="3" t="n">
        <v>70.5391666666666</v>
      </c>
      <c r="AB118" s="3" t="n">
        <v>94.99074166666659</v>
      </c>
      <c r="AC118" s="3" t="n">
        <v>130.61655</v>
      </c>
      <c r="AD118" s="3" t="n">
        <v>296.258041666666</v>
      </c>
      <c r="AE118" s="3" t="n">
        <v>914.694883333333</v>
      </c>
      <c r="AF118" s="3" t="n">
        <v>1240.85125</v>
      </c>
      <c r="AG118" s="3" t="n"/>
      <c r="AH118" s="3" t="n"/>
      <c r="AI118" s="3" t="n"/>
      <c r="AJ118" s="3" t="n"/>
      <c r="AK118" s="3" t="n"/>
      <c r="AL118" s="3" t="n"/>
      <c r="AM118" s="3" t="n"/>
      <c r="AN118" s="3" t="n"/>
      <c r="AO118" s="3" t="n"/>
      <c r="AP118" s="3" t="n"/>
      <c r="AQ118" s="3" t="n"/>
      <c r="AR118" s="3" t="n"/>
      <c r="AS118" s="3" t="n"/>
      <c r="AT118" s="3" t="n"/>
      <c r="AU118" s="3" t="n"/>
    </row>
    <row r="119">
      <c r="A119" s="3" t="n">
        <v>2031</v>
      </c>
      <c r="B119" s="3" t="inlineStr">
        <is>
          <t>ARM</t>
        </is>
      </c>
      <c r="C119" s="3" t="inlineStr">
        <is>
          <t>IMF.RES:WEO</t>
        </is>
      </c>
      <c r="D119" s="3" t="inlineStr">
        <is>
          <t>ARM.BCA.A</t>
        </is>
      </c>
      <c r="E119" s="3" t="inlineStr">
        <is>
          <t>Armenia, Republic of</t>
        </is>
      </c>
      <c r="F119" s="3" t="inlineStr">
        <is>
          <t>Current account balance (credit less debit), US dollar</t>
        </is>
      </c>
      <c r="G119" s="3" t="n">
        <v>-0.30167</v>
      </c>
      <c r="H119" s="3" t="n">
        <v>-0.22116</v>
      </c>
      <c r="I119" s="3" t="n">
        <v>-0.14779</v>
      </c>
      <c r="J119" s="3" t="n">
        <v>-0.1735</v>
      </c>
      <c r="K119" s="3" t="n">
        <v>-0.07882</v>
      </c>
      <c r="L119" s="3" t="n">
        <v>-0.12392</v>
      </c>
      <c r="M119" s="3" t="n">
        <v>-0.15292</v>
      </c>
      <c r="N119" s="3" t="n">
        <v>-0.6772899999999999</v>
      </c>
      <c r="O119" s="3" t="n">
        <v>-1.65888</v>
      </c>
      <c r="P119" s="3" t="n">
        <v>-1.42552</v>
      </c>
      <c r="Q119" s="3" t="n">
        <v>-1.26144</v>
      </c>
      <c r="R119" s="3" t="n">
        <v>-1.05887</v>
      </c>
      <c r="S119" s="3" t="n">
        <v>-1.05789</v>
      </c>
      <c r="T119" s="3" t="n">
        <v>-0.81151</v>
      </c>
      <c r="U119" s="3" t="n">
        <v>-0.89978</v>
      </c>
      <c r="V119" s="3" t="n">
        <v>-0.28088</v>
      </c>
      <c r="W119" s="3" t="n">
        <v>-0.10091</v>
      </c>
      <c r="X119" s="3" t="n">
        <v>-0.14535</v>
      </c>
      <c r="Y119" s="3" t="n">
        <v>-0.90051</v>
      </c>
      <c r="Z119" s="3" t="n">
        <v>-0.96111</v>
      </c>
      <c r="AA119" s="3" t="n">
        <v>-0.5054</v>
      </c>
      <c r="AB119" s="3" t="n">
        <v>-0.471383</v>
      </c>
      <c r="AC119" s="3" t="n">
        <v>0.143984</v>
      </c>
      <c r="AD119" s="3" t="n">
        <v>-0.6700159999999999</v>
      </c>
      <c r="AE119" s="3" t="n">
        <v>-1.194505</v>
      </c>
      <c r="AF119" s="3" t="n">
        <v>-1.965241</v>
      </c>
      <c r="AG119" s="3" t="n">
        <v>-1.8966</v>
      </c>
      <c r="AH119" s="3" t="n">
        <v>-1.760712</v>
      </c>
      <c r="AI119" s="3" t="n">
        <v>-1.67143</v>
      </c>
      <c r="AJ119" s="3" t="n">
        <v>-1.737805</v>
      </c>
      <c r="AK119" s="3" t="n">
        <v>-1.816939</v>
      </c>
      <c r="AL119" s="3" t="n">
        <v>-1.935255</v>
      </c>
      <c r="AM119" s="3" t="n"/>
      <c r="AN119" s="3" t="n"/>
      <c r="AO119" s="3" t="n"/>
      <c r="AP119" s="3" t="n"/>
      <c r="AQ119" s="3" t="n"/>
      <c r="AR119" s="3" t="n"/>
      <c r="AS119" s="3" t="n"/>
      <c r="AT119" s="3" t="n"/>
      <c r="AU119" s="3" t="n"/>
    </row>
    <row r="120">
      <c r="A120" s="3" t="n">
        <v>2031</v>
      </c>
      <c r="B120" s="3" t="inlineStr">
        <is>
          <t>ARM</t>
        </is>
      </c>
      <c r="C120" s="3" t="inlineStr">
        <is>
          <t>IMF.RES:WEO</t>
        </is>
      </c>
      <c r="D120" s="3" t="inlineStr">
        <is>
          <t>ARM.BCA_NGDPD.A</t>
        </is>
      </c>
      <c r="E120" s="3" t="inlineStr">
        <is>
          <t>Armenia, Republic of</t>
        </is>
      </c>
      <c r="F120" s="3" t="inlineStr">
        <is>
          <t>Current account balance (credit less debit), Percent of GDP</t>
        </is>
      </c>
      <c r="G120" s="3" t="n">
        <v>-15.781316</v>
      </c>
      <c r="H120" s="3" t="n">
        <v>-10.439963</v>
      </c>
      <c r="I120" s="3" t="n">
        <v>-6.219277</v>
      </c>
      <c r="J120" s="3" t="n">
        <v>-6.180767</v>
      </c>
      <c r="K120" s="3" t="n">
        <v>-2.203766</v>
      </c>
      <c r="L120" s="3" t="n">
        <v>-2.52874</v>
      </c>
      <c r="M120" s="3" t="n">
        <v>-2.395187</v>
      </c>
      <c r="N120" s="3" t="n">
        <v>-7.356792</v>
      </c>
      <c r="O120" s="3" t="n">
        <v>-14.224601</v>
      </c>
      <c r="P120" s="3" t="n">
        <v>-16.483933</v>
      </c>
      <c r="Q120" s="3" t="n">
        <v>-13.622055</v>
      </c>
      <c r="R120" s="3" t="n">
        <v>-10.440353</v>
      </c>
      <c r="S120" s="3" t="n">
        <v>-9.961940999999999</v>
      </c>
      <c r="T120" s="3" t="n">
        <v>-7.296778</v>
      </c>
      <c r="U120" s="3" t="n">
        <v>-7.750341</v>
      </c>
      <c r="V120" s="3" t="n">
        <v>-2.661528</v>
      </c>
      <c r="W120" s="3" t="n">
        <v>-0.956844</v>
      </c>
      <c r="X120" s="3" t="n">
        <v>-1.260903</v>
      </c>
      <c r="Y120" s="3" t="n">
        <v>-7.228395</v>
      </c>
      <c r="Z120" s="3" t="n">
        <v>-7.056974</v>
      </c>
      <c r="AA120" s="3" t="n">
        <v>-3.997883</v>
      </c>
      <c r="AB120" s="3" t="n">
        <v>-3.396397</v>
      </c>
      <c r="AC120" s="3" t="n">
        <v>0.73786</v>
      </c>
      <c r="AD120" s="3" t="n">
        <v>-2.770244</v>
      </c>
      <c r="AE120" s="3" t="n">
        <v>-4.602167</v>
      </c>
      <c r="AF120" s="3" t="n">
        <v>-6.720292</v>
      </c>
      <c r="AG120" s="3" t="n">
        <v>-5.950479</v>
      </c>
      <c r="AH120" s="3" t="n">
        <v>-5.247487</v>
      </c>
      <c r="AI120" s="3" t="n">
        <v>-4.720993</v>
      </c>
      <c r="AJ120" s="3" t="n">
        <v>-4.585033</v>
      </c>
      <c r="AK120" s="3" t="n">
        <v>-4.468035</v>
      </c>
      <c r="AL120" s="3" t="n">
        <v>-4.436862</v>
      </c>
      <c r="AM120" s="3" t="n"/>
      <c r="AN120" s="3" t="n"/>
      <c r="AO120" s="3" t="n"/>
      <c r="AP120" s="3" t="n"/>
      <c r="AQ120" s="3" t="n"/>
      <c r="AR120" s="3" t="n"/>
      <c r="AS120" s="3" t="n"/>
      <c r="AT120" s="3" t="n"/>
      <c r="AU120" s="3" t="n"/>
    </row>
    <row r="121">
      <c r="A121" s="3" t="n">
        <v>2031</v>
      </c>
      <c r="B121" s="3" t="inlineStr">
        <is>
          <t>ARM</t>
        </is>
      </c>
      <c r="C121" s="3" t="inlineStr">
        <is>
          <t>IMF.RES:WEO</t>
        </is>
      </c>
      <c r="D121" s="3" t="inlineStr">
        <is>
          <t>ARM.GGR_NGDP.A</t>
        </is>
      </c>
      <c r="E121" s="3" t="inlineStr">
        <is>
          <t>Armenia, Republic of</t>
        </is>
      </c>
      <c r="F121" s="3" t="inlineStr">
        <is>
          <t>Revenue, General government, Percent of GDP</t>
        </is>
      </c>
      <c r="G121" s="3" t="n">
        <v>16.494407</v>
      </c>
      <c r="H121" s="3" t="n">
        <v>17.046016</v>
      </c>
      <c r="I121" s="3" t="n">
        <v>16.743955</v>
      </c>
      <c r="J121" s="3" t="n">
        <v>15.216596</v>
      </c>
      <c r="K121" s="3" t="n">
        <v>15.45677</v>
      </c>
      <c r="L121" s="3" t="n">
        <v>17.894783</v>
      </c>
      <c r="M121" s="3" t="n">
        <v>18.050051</v>
      </c>
      <c r="N121" s="3" t="n">
        <v>20.08543</v>
      </c>
      <c r="O121" s="3" t="n">
        <v>20.479458</v>
      </c>
      <c r="P121" s="3" t="n">
        <v>20.86697</v>
      </c>
      <c r="Q121" s="3" t="n">
        <v>21.221104</v>
      </c>
      <c r="R121" s="3" t="n">
        <v>22.096388</v>
      </c>
      <c r="S121" s="3" t="n">
        <v>20.921391</v>
      </c>
      <c r="T121" s="3" t="n">
        <v>22.203794</v>
      </c>
      <c r="U121" s="3" t="n">
        <v>22.048031</v>
      </c>
      <c r="V121" s="3" t="n">
        <v>21.493942</v>
      </c>
      <c r="W121" s="3" t="n">
        <v>21.413835</v>
      </c>
      <c r="X121" s="3" t="n">
        <v>21.237813</v>
      </c>
      <c r="Y121" s="3" t="n">
        <v>22.293459</v>
      </c>
      <c r="Z121" s="3" t="n">
        <v>23.920193</v>
      </c>
      <c r="AA121" s="3" t="n">
        <v>25.248562</v>
      </c>
      <c r="AB121" s="3" t="n">
        <v>24.087979</v>
      </c>
      <c r="AC121" s="3" t="n">
        <v>24.264286</v>
      </c>
      <c r="AD121" s="3" t="n">
        <v>24.855475</v>
      </c>
      <c r="AE121" s="3" t="n">
        <v>25.301466</v>
      </c>
      <c r="AF121" s="3" t="n">
        <v>25.499795</v>
      </c>
      <c r="AG121" s="3" t="n">
        <v>25.795644</v>
      </c>
      <c r="AH121" s="3" t="n">
        <v>25.816141</v>
      </c>
      <c r="AI121" s="3" t="n">
        <v>25.771322</v>
      </c>
      <c r="AJ121" s="3" t="n">
        <v>25.764961</v>
      </c>
      <c r="AK121" s="3" t="n">
        <v>25.758832</v>
      </c>
      <c r="AL121" s="3" t="n">
        <v>25.788318</v>
      </c>
      <c r="AM121" s="3" t="n"/>
      <c r="AN121" s="3" t="n"/>
      <c r="AO121" s="3" t="n"/>
      <c r="AP121" s="3" t="n"/>
      <c r="AQ121" s="3" t="n"/>
      <c r="AR121" s="3" t="n"/>
      <c r="AS121" s="3" t="n"/>
      <c r="AT121" s="3" t="n"/>
      <c r="AU121" s="3" t="n"/>
    </row>
    <row r="122">
      <c r="A122" s="3" t="n">
        <v>2031</v>
      </c>
      <c r="B122" s="3" t="inlineStr">
        <is>
          <t>ARM</t>
        </is>
      </c>
      <c r="C122" s="3" t="inlineStr">
        <is>
          <t>IMF.RES:WEO</t>
        </is>
      </c>
      <c r="D122" s="3" t="inlineStr">
        <is>
          <t>ARM.GGX_NGDP.A</t>
        </is>
      </c>
      <c r="E122" s="3" t="inlineStr">
        <is>
          <t>Armenia, Republic of</t>
        </is>
      </c>
      <c r="F122" s="3" t="inlineStr">
        <is>
          <t>Expenditure, General government, Percent of GDP</t>
        </is>
      </c>
      <c r="G122" s="3" t="n"/>
      <c r="H122" s="3" t="n"/>
      <c r="I122" s="3" t="n"/>
      <c r="J122" s="3" t="n"/>
      <c r="K122" s="3" t="n"/>
      <c r="L122" s="3" t="n">
        <v>19.871134</v>
      </c>
      <c r="M122" s="3" t="n">
        <v>20.000468</v>
      </c>
      <c r="N122" s="3" t="n">
        <v>22.41967</v>
      </c>
      <c r="O122" s="3" t="n">
        <v>22.236024</v>
      </c>
      <c r="P122" s="3" t="n">
        <v>28.553502</v>
      </c>
      <c r="Q122" s="3" t="n">
        <v>26.200537</v>
      </c>
      <c r="R122" s="3" t="n">
        <v>24.964385</v>
      </c>
      <c r="S122" s="3" t="n">
        <v>22.414781</v>
      </c>
      <c r="T122" s="3" t="n">
        <v>23.796703</v>
      </c>
      <c r="U122" s="3" t="n">
        <v>23.990728</v>
      </c>
      <c r="V122" s="3" t="n">
        <v>26.323364</v>
      </c>
      <c r="W122" s="3" t="n">
        <v>26.986962</v>
      </c>
      <c r="X122" s="3" t="n">
        <v>25.93683</v>
      </c>
      <c r="Y122" s="3" t="n">
        <v>24.05018</v>
      </c>
      <c r="Z122" s="3" t="n">
        <v>24.896297</v>
      </c>
      <c r="AA122" s="3" t="n">
        <v>30.652927</v>
      </c>
      <c r="AB122" s="3" t="n">
        <v>28.690476</v>
      </c>
      <c r="AC122" s="3" t="n">
        <v>26.380116</v>
      </c>
      <c r="AD122" s="3" t="n">
        <v>26.874207</v>
      </c>
      <c r="AE122" s="3" t="n">
        <v>28.974822</v>
      </c>
      <c r="AF122" s="3" t="n">
        <v>29.23717</v>
      </c>
      <c r="AG122" s="3" t="n">
        <v>30.303665</v>
      </c>
      <c r="AH122" s="3" t="n">
        <v>29.339176</v>
      </c>
      <c r="AI122" s="3" t="n">
        <v>28.62284</v>
      </c>
      <c r="AJ122" s="3" t="n">
        <v>28.112976</v>
      </c>
      <c r="AK122" s="3" t="n">
        <v>27.57395</v>
      </c>
      <c r="AL122" s="3" t="n">
        <v>27.109073</v>
      </c>
      <c r="AM122" s="3" t="n"/>
      <c r="AN122" s="3" t="n"/>
      <c r="AO122" s="3" t="n"/>
      <c r="AP122" s="3" t="n"/>
      <c r="AQ122" s="3" t="n"/>
      <c r="AR122" s="3" t="n"/>
      <c r="AS122" s="3" t="n"/>
      <c r="AT122" s="3" t="n"/>
      <c r="AU122" s="3" t="n"/>
    </row>
    <row r="123">
      <c r="A123" s="3" t="n">
        <v>2031</v>
      </c>
      <c r="B123" s="3" t="inlineStr">
        <is>
          <t>ARM</t>
        </is>
      </c>
      <c r="C123" s="3" t="inlineStr">
        <is>
          <t>IMF.RES:WEO</t>
        </is>
      </c>
      <c r="D123" s="3" t="inlineStr">
        <is>
          <t>ARM.LP.A</t>
        </is>
      </c>
      <c r="E123" s="3" t="inlineStr">
        <is>
          <t>Armenia, Republic of</t>
        </is>
      </c>
      <c r="F123" s="3" t="inlineStr">
        <is>
          <t>Population, Persons for countries / Index for country groups</t>
        </is>
      </c>
      <c r="G123" s="3" t="n">
        <v>3.2118</v>
      </c>
      <c r="H123" s="3" t="n">
        <v>3.19975</v>
      </c>
      <c r="I123" s="3" t="n">
        <v>3.1825</v>
      </c>
      <c r="J123" s="3" t="n">
        <v>3.1649</v>
      </c>
      <c r="K123" s="3" t="n">
        <v>3.1464</v>
      </c>
      <c r="L123" s="3" t="n">
        <v>3.1271</v>
      </c>
      <c r="M123" s="3" t="n">
        <v>3.10735</v>
      </c>
      <c r="N123" s="3" t="n">
        <v>3.08705</v>
      </c>
      <c r="O123" s="3" t="n">
        <v>3.066</v>
      </c>
      <c r="P123" s="3" t="n">
        <v>3.03705</v>
      </c>
      <c r="Q123" s="3" t="n">
        <v>3.02015</v>
      </c>
      <c r="R123" s="3" t="n">
        <v>3.02415</v>
      </c>
      <c r="S123" s="3" t="n">
        <v>3.022</v>
      </c>
      <c r="T123" s="3" t="n">
        <v>3.01385</v>
      </c>
      <c r="U123" s="3" t="n">
        <v>3.0046</v>
      </c>
      <c r="V123" s="3" t="n">
        <v>2.9924</v>
      </c>
      <c r="W123" s="3" t="n">
        <v>2.97945</v>
      </c>
      <c r="X123" s="3" t="n">
        <v>2.969</v>
      </c>
      <c r="Y123" s="3" t="n">
        <v>2.9625</v>
      </c>
      <c r="Z123" s="3" t="n">
        <v>2.9615</v>
      </c>
      <c r="AA123" s="3" t="n">
        <v>2.96235</v>
      </c>
      <c r="AB123" s="3" t="n">
        <v>2.96925</v>
      </c>
      <c r="AC123" s="3" t="n">
        <v>2.98415</v>
      </c>
      <c r="AD123" s="3" t="n">
        <v>3.0337</v>
      </c>
      <c r="AE123" s="3" t="n">
        <v>3.0337</v>
      </c>
      <c r="AF123" s="3" t="n">
        <v>3.071473</v>
      </c>
      <c r="AG123" s="3" t="n">
        <v>3.061817</v>
      </c>
      <c r="AH123" s="3" t="n">
        <v>3.051724</v>
      </c>
      <c r="AI123" s="3" t="n">
        <v>3.041205</v>
      </c>
      <c r="AJ123" s="3" t="n">
        <v>3.030343</v>
      </c>
      <c r="AK123" s="3" t="n">
        <v>3.019228</v>
      </c>
      <c r="AL123" s="3" t="n">
        <v>3.007923</v>
      </c>
      <c r="AM123" s="3" t="n"/>
      <c r="AN123" s="3" t="n"/>
      <c r="AO123" s="3" t="n"/>
      <c r="AP123" s="3" t="n"/>
      <c r="AQ123" s="3" t="n"/>
      <c r="AR123" s="3" t="n"/>
      <c r="AS123" s="3" t="n"/>
      <c r="AT123" s="3" t="n"/>
      <c r="AU123" s="3" t="n"/>
    </row>
    <row r="124">
      <c r="A124" s="3" t="n">
        <v>2031</v>
      </c>
      <c r="B124" s="3" t="inlineStr">
        <is>
          <t>ARM</t>
        </is>
      </c>
      <c r="C124" s="3" t="inlineStr">
        <is>
          <t>IMF.RES:WEO</t>
        </is>
      </c>
      <c r="D124" s="3" t="inlineStr">
        <is>
          <t>ARM.NGDP.A</t>
        </is>
      </c>
      <c r="E124" s="3" t="inlineStr">
        <is>
          <t>Armenia, Republic of</t>
        </is>
      </c>
      <c r="F124" s="3" t="inlineStr">
        <is>
          <t>Gross domestic product (GDP), Current prices, Domestic currency</t>
        </is>
      </c>
      <c r="G124" s="3" t="n">
        <v>1031.3383</v>
      </c>
      <c r="H124" s="3" t="n">
        <v>1175.8768</v>
      </c>
      <c r="I124" s="3" t="n">
        <v>1362.4717</v>
      </c>
      <c r="J124" s="3" t="n">
        <v>1624.6427</v>
      </c>
      <c r="K124" s="3" t="n">
        <v>1907.94543</v>
      </c>
      <c r="L124" s="3" t="n">
        <v>2242.8809</v>
      </c>
      <c r="M124" s="3" t="n">
        <v>2656.1898</v>
      </c>
      <c r="N124" s="3" t="n">
        <v>3149.2834</v>
      </c>
      <c r="O124" s="3" t="n">
        <v>3568.2276</v>
      </c>
      <c r="P124" s="3" t="n">
        <v>3141.651</v>
      </c>
      <c r="Q124" s="3" t="n">
        <v>3460.2027</v>
      </c>
      <c r="R124" s="3" t="n">
        <v>3777.9456</v>
      </c>
      <c r="S124" s="3" t="n">
        <v>4266.4605</v>
      </c>
      <c r="T124" s="3" t="n">
        <v>4555.6382</v>
      </c>
      <c r="U124" s="3" t="n">
        <v>4828.6263</v>
      </c>
      <c r="V124" s="3" t="n">
        <v>5043.6332</v>
      </c>
      <c r="W124" s="3" t="n">
        <v>5067.2935</v>
      </c>
      <c r="X124" s="3" t="n">
        <v>5564.4933</v>
      </c>
      <c r="Y124" s="3" t="n">
        <v>6017.0352</v>
      </c>
      <c r="Z124" s="3" t="n">
        <v>6543.3218</v>
      </c>
      <c r="AA124" s="3" t="n">
        <v>6181.9026</v>
      </c>
      <c r="AB124" s="3" t="n">
        <v>6991.7778</v>
      </c>
      <c r="AC124" s="3" t="n">
        <v>8501.4494</v>
      </c>
      <c r="AD124" s="3" t="n">
        <v>9492.514300000001</v>
      </c>
      <c r="AE124" s="3" t="n">
        <v>10193.4153</v>
      </c>
      <c r="AF124" s="3" t="n">
        <v>11317.5087</v>
      </c>
      <c r="AG124" s="3" t="n">
        <v>12298.691434</v>
      </c>
      <c r="AH124" s="3" t="n">
        <v>13353.10311</v>
      </c>
      <c r="AI124" s="3" t="n">
        <v>14431.893293</v>
      </c>
      <c r="AJ124" s="3" t="n">
        <v>15597.838369</v>
      </c>
      <c r="AK124" s="3" t="n">
        <v>16857.979535</v>
      </c>
      <c r="AL124" s="3" t="n">
        <v>18216.457042</v>
      </c>
      <c r="AM124" s="3" t="n"/>
      <c r="AN124" s="3" t="n"/>
      <c r="AO124" s="3" t="n"/>
      <c r="AP124" s="3" t="n"/>
      <c r="AQ124" s="3" t="n"/>
      <c r="AR124" s="3" t="n"/>
      <c r="AS124" s="3" t="n"/>
      <c r="AT124" s="3" t="n"/>
      <c r="AU124" s="3" t="n"/>
    </row>
    <row r="125">
      <c r="A125" s="3" t="n">
        <v>2031</v>
      </c>
      <c r="B125" s="3" t="inlineStr">
        <is>
          <t>ARM</t>
        </is>
      </c>
      <c r="C125" s="3" t="inlineStr">
        <is>
          <t>IMF.RES:WEO</t>
        </is>
      </c>
      <c r="D125" s="3" t="inlineStr">
        <is>
          <t>ARM.NGDP_D.A</t>
        </is>
      </c>
      <c r="E125" s="3" t="inlineStr">
        <is>
          <t>Armenia, Republic of</t>
        </is>
      </c>
      <c r="F125" s="3" t="inlineStr">
        <is>
          <t>Gross domestic product (GDP), Price deflator, Index</t>
        </is>
      </c>
      <c r="G125" s="3" t="n">
        <v>82.828727</v>
      </c>
      <c r="H125" s="3" t="n">
        <v>86.16465599999999</v>
      </c>
      <c r="I125" s="3" t="n">
        <v>87.002646</v>
      </c>
      <c r="J125" s="3" t="n">
        <v>90.970906</v>
      </c>
      <c r="K125" s="3" t="n">
        <v>96.810545</v>
      </c>
      <c r="L125" s="3" t="n">
        <v>100</v>
      </c>
      <c r="M125" s="3" t="n">
        <v>104.619858</v>
      </c>
      <c r="N125" s="3" t="n">
        <v>109.048198</v>
      </c>
      <c r="O125" s="3" t="n">
        <v>115.528187</v>
      </c>
      <c r="P125" s="3" t="n">
        <v>118.482047</v>
      </c>
      <c r="Q125" s="3" t="n">
        <v>127.68671</v>
      </c>
      <c r="R125" s="3" t="n">
        <v>133.154096</v>
      </c>
      <c r="S125" s="3" t="n">
        <v>140.358201</v>
      </c>
      <c r="T125" s="3" t="n">
        <v>144.926791</v>
      </c>
      <c r="U125" s="3" t="n">
        <v>148.26398</v>
      </c>
      <c r="V125" s="3" t="n">
        <v>149.985449</v>
      </c>
      <c r="W125" s="3" t="n">
        <v>150.395773</v>
      </c>
      <c r="X125" s="3" t="n">
        <v>153.604581</v>
      </c>
      <c r="Y125" s="3" t="n">
        <v>157.84939</v>
      </c>
      <c r="Z125" s="3" t="n">
        <v>159.485017</v>
      </c>
      <c r="AA125" s="3" t="n">
        <v>162.199914</v>
      </c>
      <c r="AB125" s="3" t="n">
        <v>173.44233</v>
      </c>
      <c r="AC125" s="3" t="n">
        <v>187.344973</v>
      </c>
      <c r="AD125" s="3" t="n">
        <v>193.069899</v>
      </c>
      <c r="AE125" s="3" t="n">
        <v>195.853594</v>
      </c>
      <c r="AF125" s="3" t="n">
        <v>202.917807</v>
      </c>
      <c r="AG125" s="3" t="n">
        <v>209.411177</v>
      </c>
      <c r="AH125" s="3" t="n">
        <v>215.611764</v>
      </c>
      <c r="AI125" s="3" t="n">
        <v>222.037832</v>
      </c>
      <c r="AJ125" s="3" t="n">
        <v>228.655421</v>
      </c>
      <c r="AK125" s="3" t="n">
        <v>235.470241</v>
      </c>
      <c r="AL125" s="3" t="n">
        <v>242.44199</v>
      </c>
      <c r="AM125" s="3" t="n"/>
      <c r="AN125" s="3" t="n"/>
      <c r="AO125" s="3" t="n"/>
      <c r="AP125" s="3" t="n"/>
      <c r="AQ125" s="3" t="n"/>
      <c r="AR125" s="3" t="n"/>
      <c r="AS125" s="3" t="n"/>
      <c r="AT125" s="3" t="n"/>
      <c r="AU125" s="3" t="n"/>
    </row>
    <row r="126">
      <c r="A126" s="3" t="n">
        <v>2031</v>
      </c>
      <c r="B126" s="3" t="inlineStr">
        <is>
          <t>ARM</t>
        </is>
      </c>
      <c r="C126" s="3" t="inlineStr">
        <is>
          <t>IMF.RES:WEO</t>
        </is>
      </c>
      <c r="D126" s="3" t="inlineStr">
        <is>
          <t>ARM.NGDP_R.A</t>
        </is>
      </c>
      <c r="E126" s="3" t="inlineStr">
        <is>
          <t>Armenia, Republic of</t>
        </is>
      </c>
      <c r="F126" s="3" t="inlineStr">
        <is>
          <t>Gross domestic product (GDP), Constant prices, Domestic currency</t>
        </is>
      </c>
      <c r="G126" s="3" t="n">
        <v>1245.145656</v>
      </c>
      <c r="H126" s="3" t="n">
        <v>1364.685777</v>
      </c>
      <c r="I126" s="3" t="n">
        <v>1566.01179</v>
      </c>
      <c r="J126" s="3" t="n">
        <v>1785.892624</v>
      </c>
      <c r="K126" s="3" t="n">
        <v>1970.803313</v>
      </c>
      <c r="L126" s="3" t="n">
        <v>2242.8809</v>
      </c>
      <c r="M126" s="3" t="n">
        <v>2538.8964</v>
      </c>
      <c r="N126" s="3" t="n">
        <v>2887.9738</v>
      </c>
      <c r="O126" s="3" t="n">
        <v>3088.6208</v>
      </c>
      <c r="P126" s="3" t="n">
        <v>2651.584</v>
      </c>
      <c r="Q126" s="3" t="n">
        <v>2709.9161</v>
      </c>
      <c r="R126" s="3" t="n">
        <v>2837.2733</v>
      </c>
      <c r="S126" s="3" t="n">
        <v>3039.694482</v>
      </c>
      <c r="T126" s="3" t="n">
        <v>3143.406512</v>
      </c>
      <c r="U126" s="3" t="n">
        <v>3256.776388</v>
      </c>
      <c r="V126" s="3" t="n">
        <v>3362.748338</v>
      </c>
      <c r="W126" s="3" t="n">
        <v>3369.305801</v>
      </c>
      <c r="X126" s="3" t="n">
        <v>3622.608956</v>
      </c>
      <c r="Y126" s="3" t="n">
        <v>3811.883728</v>
      </c>
      <c r="Z126" s="3" t="n">
        <v>4102.781509</v>
      </c>
      <c r="AA126" s="3" t="n">
        <v>3811.28599</v>
      </c>
      <c r="AB126" s="3" t="n">
        <v>4031.183052</v>
      </c>
      <c r="AC126" s="3" t="n">
        <v>4537.858293</v>
      </c>
      <c r="AD126" s="3" t="n">
        <v>4916.62053</v>
      </c>
      <c r="AE126" s="3" t="n">
        <v>5204.60978</v>
      </c>
      <c r="AF126" s="3" t="n">
        <v>5577.385676</v>
      </c>
      <c r="AG126" s="3" t="n">
        <v>5872.987117</v>
      </c>
      <c r="AH126" s="3" t="n">
        <v>6193.123644</v>
      </c>
      <c r="AI126" s="3" t="n">
        <v>6499.745196</v>
      </c>
      <c r="AJ126" s="3" t="n">
        <v>6821.547581</v>
      </c>
      <c r="AK126" s="3" t="n">
        <v>7159.282401</v>
      </c>
      <c r="AL126" s="3" t="n">
        <v>7513.738473</v>
      </c>
      <c r="AM126" s="3" t="n"/>
      <c r="AN126" s="3" t="n"/>
      <c r="AO126" s="3" t="n"/>
      <c r="AP126" s="3" t="n"/>
      <c r="AQ126" s="3" t="n"/>
      <c r="AR126" s="3" t="n"/>
      <c r="AS126" s="3" t="n"/>
      <c r="AT126" s="3" t="n"/>
      <c r="AU126" s="3" t="n"/>
    </row>
    <row r="127">
      <c r="A127" s="3" t="n">
        <v>2031</v>
      </c>
      <c r="B127" s="3" t="inlineStr">
        <is>
          <t>ARM</t>
        </is>
      </c>
      <c r="C127" s="3" t="inlineStr">
        <is>
          <t>IMF.RES:WEO</t>
        </is>
      </c>
      <c r="D127" s="3" t="inlineStr">
        <is>
          <t>ARM.NGDP_RPCH.A</t>
        </is>
      </c>
      <c r="E127" s="3" t="inlineStr">
        <is>
          <t>Armenia, Republic of</t>
        </is>
      </c>
      <c r="F127" s="3" t="inlineStr">
        <is>
          <t>Gross domestic product (GDP), Constant prices, Percent change</t>
        </is>
      </c>
      <c r="G127" s="3" t="n">
        <v>5.567404</v>
      </c>
      <c r="H127" s="3" t="n">
        <v>9.600493</v>
      </c>
      <c r="I127" s="3" t="n">
        <v>14.752555</v>
      </c>
      <c r="J127" s="3" t="n">
        <v>14.040816</v>
      </c>
      <c r="K127" s="3" t="n">
        <v>10.353965</v>
      </c>
      <c r="L127" s="3" t="n">
        <v>13.805416</v>
      </c>
      <c r="M127" s="3" t="n">
        <v>13.198004</v>
      </c>
      <c r="N127" s="3" t="n">
        <v>13.749179</v>
      </c>
      <c r="O127" s="3" t="n">
        <v>6.947674</v>
      </c>
      <c r="P127" s="3" t="n">
        <v>-14.149901</v>
      </c>
      <c r="Q127" s="3" t="n">
        <v>2.199896</v>
      </c>
      <c r="R127" s="3" t="n">
        <v>4.699673</v>
      </c>
      <c r="S127" s="3" t="n">
        <v>7.134356</v>
      </c>
      <c r="T127" s="3" t="n">
        <v>3.411923</v>
      </c>
      <c r="U127" s="3" t="n">
        <v>3.606593</v>
      </c>
      <c r="V127" s="3" t="n">
        <v>3.253891</v>
      </c>
      <c r="W127" s="3" t="n">
        <v>0.195003</v>
      </c>
      <c r="X127" s="3" t="n">
        <v>7.517963</v>
      </c>
      <c r="Y127" s="3" t="n">
        <v>5.224819</v>
      </c>
      <c r="Z127" s="3" t="n">
        <v>7.631339</v>
      </c>
      <c r="AA127" s="3" t="n">
        <v>-7.104827</v>
      </c>
      <c r="AB127" s="3" t="n">
        <v>5.769629</v>
      </c>
      <c r="AC127" s="3" t="n">
        <v>12.568897</v>
      </c>
      <c r="AD127" s="3" t="n">
        <v>8.346717999999999</v>
      </c>
      <c r="AE127" s="3" t="n">
        <v>5.857463</v>
      </c>
      <c r="AF127" s="3" t="n">
        <v>7.162418</v>
      </c>
      <c r="AG127" s="3" t="n">
        <v>5.3</v>
      </c>
      <c r="AH127" s="3" t="n">
        <v>5.451</v>
      </c>
      <c r="AI127" s="3" t="n">
        <v>4.951</v>
      </c>
      <c r="AJ127" s="3" t="n">
        <v>4.951</v>
      </c>
      <c r="AK127" s="3" t="n">
        <v>4.951</v>
      </c>
      <c r="AL127" s="3" t="n">
        <v>4.951</v>
      </c>
      <c r="AM127" s="3" t="n"/>
      <c r="AN127" s="3" t="n"/>
      <c r="AO127" s="3" t="n"/>
      <c r="AP127" s="3" t="n"/>
      <c r="AQ127" s="3" t="n"/>
      <c r="AR127" s="3" t="n"/>
      <c r="AS127" s="3" t="n"/>
      <c r="AT127" s="3" t="n"/>
      <c r="AU127" s="3" t="n"/>
    </row>
    <row r="128">
      <c r="A128" s="3" t="n">
        <v>2031</v>
      </c>
      <c r="B128" s="3" t="inlineStr">
        <is>
          <t>ARM</t>
        </is>
      </c>
      <c r="C128" s="3" t="inlineStr">
        <is>
          <t>IMF.RES:WEO</t>
        </is>
      </c>
      <c r="D128" s="3" t="inlineStr">
        <is>
          <t>ARM.NGDPD.A</t>
        </is>
      </c>
      <c r="E128" s="3" t="inlineStr">
        <is>
          <t>Armenia, Republic of</t>
        </is>
      </c>
      <c r="F128" s="3" t="inlineStr">
        <is>
          <t>Gross domestic product (GDP), Current prices, US dollar</t>
        </is>
      </c>
      <c r="G128" s="3" t="n">
        <v>1.911564</v>
      </c>
      <c r="H128" s="3" t="n">
        <v>2.118398</v>
      </c>
      <c r="I128" s="3" t="n">
        <v>2.376321</v>
      </c>
      <c r="J128" s="3" t="n">
        <v>2.807095</v>
      </c>
      <c r="K128" s="3" t="n">
        <v>3.576604</v>
      </c>
      <c r="L128" s="3" t="n">
        <v>4.900464</v>
      </c>
      <c r="M128" s="3" t="n">
        <v>6.384471</v>
      </c>
      <c r="N128" s="3" t="n">
        <v>9.206322</v>
      </c>
      <c r="O128" s="3" t="n">
        <v>11.66205</v>
      </c>
      <c r="P128" s="3" t="n">
        <v>8.647936</v>
      </c>
      <c r="Q128" s="3" t="n">
        <v>9.260277</v>
      </c>
      <c r="R128" s="3" t="n">
        <v>10.14209</v>
      </c>
      <c r="S128" s="3" t="n">
        <v>10.619316</v>
      </c>
      <c r="T128" s="3" t="n">
        <v>11.121485</v>
      </c>
      <c r="U128" s="3" t="n">
        <v>11.609554</v>
      </c>
      <c r="V128" s="3" t="n">
        <v>10.553337</v>
      </c>
      <c r="W128" s="3" t="n">
        <v>10.546132</v>
      </c>
      <c r="X128" s="3" t="n">
        <v>11.527452</v>
      </c>
      <c r="Y128" s="3" t="n">
        <v>12.457952</v>
      </c>
      <c r="Z128" s="3" t="n">
        <v>13.619294</v>
      </c>
      <c r="AA128" s="3" t="n">
        <v>12.641691</v>
      </c>
      <c r="AB128" s="3" t="n">
        <v>13.878909</v>
      </c>
      <c r="AC128" s="3" t="n">
        <v>19.513693</v>
      </c>
      <c r="AD128" s="3" t="n">
        <v>24.186188</v>
      </c>
      <c r="AE128" s="3" t="n">
        <v>25.955275</v>
      </c>
      <c r="AF128" s="3" t="n">
        <v>29.24339</v>
      </c>
      <c r="AG128" s="3" t="n">
        <v>31.873059</v>
      </c>
      <c r="AH128" s="3" t="n">
        <v>33.553439</v>
      </c>
      <c r="AI128" s="3" t="n">
        <v>35.404197</v>
      </c>
      <c r="AJ128" s="3" t="n">
        <v>37.901693</v>
      </c>
      <c r="AK128" s="3" t="n">
        <v>40.665274</v>
      </c>
      <c r="AL128" s="3" t="n">
        <v>43.61766</v>
      </c>
      <c r="AM128" s="3" t="n"/>
      <c r="AN128" s="3" t="n"/>
      <c r="AO128" s="3" t="n"/>
      <c r="AP128" s="3" t="n"/>
      <c r="AQ128" s="3" t="n"/>
      <c r="AR128" s="3" t="n"/>
      <c r="AS128" s="3" t="n"/>
      <c r="AT128" s="3" t="n"/>
      <c r="AU128" s="3" t="n"/>
    </row>
    <row r="129">
      <c r="A129" s="3" t="n">
        <v>2031</v>
      </c>
      <c r="B129" s="3" t="inlineStr">
        <is>
          <t>ARM</t>
        </is>
      </c>
      <c r="C129" s="3" t="inlineStr">
        <is>
          <t>IMF.RES:WEO</t>
        </is>
      </c>
      <c r="D129" s="3" t="inlineStr">
        <is>
          <t>ARM.NGDPPC.A</t>
        </is>
      </c>
      <c r="E129" s="3" t="inlineStr">
        <is>
          <t>Armenia, Republic of</t>
        </is>
      </c>
      <c r="F129" s="3" t="inlineStr">
        <is>
          <t>Gross domestic product (GDP), Current prices, Per capita, Domestic currency</t>
        </is>
      </c>
      <c r="G129" s="3" t="n">
        <v>321109.128837</v>
      </c>
      <c r="H129" s="3" t="n">
        <v>367490.210173</v>
      </c>
      <c r="I129" s="3" t="n">
        <v>428113.652789</v>
      </c>
      <c r="J129" s="3" t="n">
        <v>513331.448071</v>
      </c>
      <c r="K129" s="3" t="n">
        <v>606389.979024</v>
      </c>
      <c r="L129" s="3" t="n">
        <v>717239.902785</v>
      </c>
      <c r="M129" s="3" t="n">
        <v>854808.695512</v>
      </c>
      <c r="N129" s="3" t="n">
        <v>1020159.505029</v>
      </c>
      <c r="O129" s="3" t="n">
        <v>1163805.479452</v>
      </c>
      <c r="P129" s="3" t="n">
        <v>1034441.645676</v>
      </c>
      <c r="Q129" s="3" t="n">
        <v>1145705.577538</v>
      </c>
      <c r="R129" s="3" t="n">
        <v>1249258.667725</v>
      </c>
      <c r="S129" s="3" t="n">
        <v>1411800.297816</v>
      </c>
      <c r="T129" s="3" t="n">
        <v>1511567.662624</v>
      </c>
      <c r="U129" s="3" t="n">
        <v>1607077.913865</v>
      </c>
      <c r="V129" s="3" t="n">
        <v>1685480.951744</v>
      </c>
      <c r="W129" s="3" t="n">
        <v>1700747.956838</v>
      </c>
      <c r="X129" s="3" t="n">
        <v>1874197.810711</v>
      </c>
      <c r="Y129" s="3" t="n">
        <v>2031066.734177</v>
      </c>
      <c r="Z129" s="3" t="n">
        <v>2209462.029377</v>
      </c>
      <c r="AA129" s="3" t="n">
        <v>2086823.839182</v>
      </c>
      <c r="AB129" s="3" t="n">
        <v>2354728.56782</v>
      </c>
      <c r="AC129" s="3" t="n">
        <v>2848867.985859</v>
      </c>
      <c r="AD129" s="3" t="n">
        <v>3129022.085242</v>
      </c>
      <c r="AE129" s="3" t="n">
        <v>3360060.421268</v>
      </c>
      <c r="AF129" s="3" t="n">
        <v>3684716.555339</v>
      </c>
      <c r="AG129" s="3" t="n">
        <v>4016795.1728</v>
      </c>
      <c r="AH129" s="3" t="n">
        <v>4375593.437006</v>
      </c>
      <c r="AI129" s="3" t="n">
        <v>4745452.262452</v>
      </c>
      <c r="AJ129" s="3" t="n">
        <v>5147218.363793</v>
      </c>
      <c r="AK129" s="3" t="n">
        <v>5583539.922678</v>
      </c>
      <c r="AL129" s="3" t="n">
        <v>6056157.041131</v>
      </c>
      <c r="AM129" s="3" t="n"/>
      <c r="AN129" s="3" t="n"/>
      <c r="AO129" s="3" t="n"/>
      <c r="AP129" s="3" t="n"/>
      <c r="AQ129" s="3" t="n"/>
      <c r="AR129" s="3" t="n"/>
      <c r="AS129" s="3" t="n"/>
      <c r="AT129" s="3" t="n"/>
      <c r="AU129" s="3" t="n"/>
    </row>
    <row r="130">
      <c r="A130" s="3" t="n">
        <v>2031</v>
      </c>
      <c r="B130" s="3" t="inlineStr">
        <is>
          <t>ARM</t>
        </is>
      </c>
      <c r="C130" s="3" t="inlineStr">
        <is>
          <t>IMF.RES:WEO</t>
        </is>
      </c>
      <c r="D130" s="3" t="inlineStr">
        <is>
          <t>ARM.NGDPRPC.A</t>
        </is>
      </c>
      <c r="E130" s="3" t="inlineStr">
        <is>
          <t>Armenia, Republic of</t>
        </is>
      </c>
      <c r="F130" s="3" t="inlineStr">
        <is>
          <t>Gross domestic product (GDP), Constant prices, Per capita, Domestic currency</t>
        </is>
      </c>
      <c r="G130" s="3" t="n">
        <v>387678.45305</v>
      </c>
      <c r="H130" s="3" t="n">
        <v>426497.625368</v>
      </c>
      <c r="I130" s="3" t="n">
        <v>492069.690531</v>
      </c>
      <c r="J130" s="3" t="n">
        <v>564280.901131</v>
      </c>
      <c r="K130" s="3" t="n">
        <v>626367.694102</v>
      </c>
      <c r="L130" s="3" t="n">
        <v>717239.902785</v>
      </c>
      <c r="M130" s="3" t="n">
        <v>817061.611984</v>
      </c>
      <c r="N130" s="3" t="n">
        <v>935512.4795519999</v>
      </c>
      <c r="O130" s="3" t="n">
        <v>1007377.951729</v>
      </c>
      <c r="P130" s="3" t="n">
        <v>873078.810029</v>
      </c>
      <c r="Q130" s="3" t="n">
        <v>897278.6451</v>
      </c>
      <c r="R130" s="3" t="n">
        <v>938205.214688</v>
      </c>
      <c r="S130" s="3" t="n">
        <v>1005855.222369</v>
      </c>
      <c r="T130" s="3" t="n">
        <v>1042987.0471</v>
      </c>
      <c r="U130" s="3" t="n">
        <v>1083930.103156</v>
      </c>
      <c r="V130" s="3" t="n">
        <v>1123762.97876</v>
      </c>
      <c r="W130" s="3" t="n">
        <v>1130848.24417</v>
      </c>
      <c r="X130" s="3" t="n">
        <v>1220144.47824</v>
      </c>
      <c r="Y130" s="3" t="n">
        <v>1286711.806832</v>
      </c>
      <c r="Z130" s="3" t="n">
        <v>1385372.787027</v>
      </c>
      <c r="AA130" s="3" t="n">
        <v>1286575.182008</v>
      </c>
      <c r="AB130" s="3" t="n">
        <v>1357643.530223</v>
      </c>
      <c r="AC130" s="3" t="n">
        <v>1520653.550695</v>
      </c>
      <c r="AD130" s="3" t="n">
        <v>1620668.006199</v>
      </c>
      <c r="AE130" s="3" t="n">
        <v>1715598.042098</v>
      </c>
      <c r="AF130" s="3" t="n">
        <v>1815866.537435</v>
      </c>
      <c r="AG130" s="3" t="n">
        <v>1918137.911373</v>
      </c>
      <c r="AH130" s="3" t="n">
        <v>2029385.300994</v>
      </c>
      <c r="AI130" s="3" t="n">
        <v>2137226.898734</v>
      </c>
      <c r="AJ130" s="3" t="n">
        <v>2251080.832237</v>
      </c>
      <c r="AK130" s="3" t="n">
        <v>2371229.542861</v>
      </c>
      <c r="AL130" s="3" t="n">
        <v>2497981.910215</v>
      </c>
      <c r="AM130" s="3" t="n"/>
      <c r="AN130" s="3" t="n"/>
      <c r="AO130" s="3" t="n"/>
      <c r="AP130" s="3" t="n"/>
      <c r="AQ130" s="3" t="n"/>
      <c r="AR130" s="3" t="n"/>
      <c r="AS130" s="3" t="n"/>
      <c r="AT130" s="3" t="n"/>
      <c r="AU130" s="3" t="n"/>
    </row>
    <row r="131">
      <c r="A131" s="3" t="n">
        <v>2031</v>
      </c>
      <c r="B131" s="3" t="inlineStr">
        <is>
          <t>ARM</t>
        </is>
      </c>
      <c r="C131" s="3" t="inlineStr">
        <is>
          <t>IMF.RES:WEO</t>
        </is>
      </c>
      <c r="D131" s="3" t="inlineStr">
        <is>
          <t>ARM.PCPI.A</t>
        </is>
      </c>
      <c r="E131" s="3" t="inlineStr">
        <is>
          <t>Armenia, Republic of</t>
        </is>
      </c>
      <c r="F131" s="3" t="inlineStr">
        <is>
          <t>All Items, Consumer price index (CPI), Period average</t>
        </is>
      </c>
      <c r="G131" s="3" t="n">
        <v>40.505438</v>
      </c>
      <c r="H131" s="3" t="n">
        <v>41.785363</v>
      </c>
      <c r="I131" s="3" t="n">
        <v>42.219095</v>
      </c>
      <c r="J131" s="3" t="n">
        <v>44.195873</v>
      </c>
      <c r="K131" s="3" t="n">
        <v>47.240333</v>
      </c>
      <c r="L131" s="3" t="n">
        <v>47.508917</v>
      </c>
      <c r="M131" s="3" t="n">
        <v>48.88625</v>
      </c>
      <c r="N131" s="3" t="n">
        <v>51.041833</v>
      </c>
      <c r="O131" s="3" t="n">
        <v>55.694167</v>
      </c>
      <c r="P131" s="3" t="n">
        <v>57.652417</v>
      </c>
      <c r="Q131" s="3" t="n">
        <v>62.35225</v>
      </c>
      <c r="R131" s="3" t="n">
        <v>67.025167</v>
      </c>
      <c r="S131" s="3" t="n">
        <v>68.69541700000001</v>
      </c>
      <c r="T131" s="3" t="n">
        <v>72.620417</v>
      </c>
      <c r="U131" s="3" t="n">
        <v>74.81358299999999</v>
      </c>
      <c r="V131" s="3" t="n">
        <v>77.578833</v>
      </c>
      <c r="W131" s="3" t="n">
        <v>76.479917</v>
      </c>
      <c r="X131" s="3" t="n">
        <v>77.22975</v>
      </c>
      <c r="Y131" s="3" t="n">
        <v>79.18208300000001</v>
      </c>
      <c r="Z131" s="3" t="n">
        <v>80.31975</v>
      </c>
      <c r="AA131" s="3" t="n">
        <v>81.302583</v>
      </c>
      <c r="AB131" s="3" t="n">
        <v>87.13475</v>
      </c>
      <c r="AC131" s="3" t="n">
        <v>94.664</v>
      </c>
      <c r="AD131" s="3" t="n">
        <v>96.53874999999999</v>
      </c>
      <c r="AE131" s="3" t="n">
        <v>96.79875</v>
      </c>
      <c r="AF131" s="3" t="n">
        <v>100</v>
      </c>
      <c r="AG131" s="3" t="n">
        <v>103.620221</v>
      </c>
      <c r="AH131" s="3" t="n">
        <v>107.156626</v>
      </c>
      <c r="AI131" s="3" t="n">
        <v>110.735474</v>
      </c>
      <c r="AJ131" s="3" t="n">
        <v>114.056037</v>
      </c>
      <c r="AK131" s="3" t="n">
        <v>117.447716</v>
      </c>
      <c r="AL131" s="3" t="n">
        <v>121.003356</v>
      </c>
      <c r="AM131" s="3" t="n"/>
      <c r="AN131" s="3" t="n"/>
      <c r="AO131" s="3" t="n"/>
      <c r="AP131" s="3" t="n"/>
      <c r="AQ131" s="3" t="n"/>
      <c r="AR131" s="3" t="n"/>
      <c r="AS131" s="3" t="n"/>
      <c r="AT131" s="3" t="n"/>
      <c r="AU131" s="3" t="n"/>
    </row>
    <row r="132">
      <c r="A132" s="3" t="n">
        <v>2031</v>
      </c>
      <c r="B132" s="3" t="inlineStr">
        <is>
          <t>ARM</t>
        </is>
      </c>
      <c r="C132" s="3" t="inlineStr">
        <is>
          <t>IMF.RES:WEO</t>
        </is>
      </c>
      <c r="D132" s="3" t="inlineStr">
        <is>
          <t>ARM.PCPIPCH.A</t>
        </is>
      </c>
      <c r="E132" s="3" t="inlineStr">
        <is>
          <t>Armenia, Republic of</t>
        </is>
      </c>
      <c r="F132" s="3" t="inlineStr">
        <is>
          <t>All Items, Consumer price index (CPI), Period average, percent change</t>
        </is>
      </c>
      <c r="G132" s="3" t="n">
        <v>-0.774116</v>
      </c>
      <c r="H132" s="3" t="n">
        <v>3.159884</v>
      </c>
      <c r="I132" s="3" t="n">
        <v>1.037999</v>
      </c>
      <c r="J132" s="3" t="n">
        <v>4.682191</v>
      </c>
      <c r="K132" s="3" t="n">
        <v>6.888562</v>
      </c>
      <c r="L132" s="3" t="n">
        <v>0.568547</v>
      </c>
      <c r="M132" s="3" t="n">
        <v>2.899105</v>
      </c>
      <c r="N132" s="3" t="n">
        <v>4.409386</v>
      </c>
      <c r="O132" s="3" t="n">
        <v>9.114746</v>
      </c>
      <c r="P132" s="3" t="n">
        <v>3.516077</v>
      </c>
      <c r="Q132" s="3" t="n">
        <v>8.152013999999999</v>
      </c>
      <c r="R132" s="3" t="n">
        <v>7.494383</v>
      </c>
      <c r="S132" s="3" t="n">
        <v>2.491974</v>
      </c>
      <c r="T132" s="3" t="n">
        <v>5.713627</v>
      </c>
      <c r="U132" s="3" t="n">
        <v>3.020041</v>
      </c>
      <c r="V132" s="3" t="n">
        <v>3.696187</v>
      </c>
      <c r="W132" s="3" t="n">
        <v>-1.416516</v>
      </c>
      <c r="X132" s="3" t="n">
        <v>0.980432</v>
      </c>
      <c r="Y132" s="3" t="n">
        <v>2.527955</v>
      </c>
      <c r="Z132" s="3" t="n">
        <v>1.436773</v>
      </c>
      <c r="AA132" s="3" t="n">
        <v>1.223651</v>
      </c>
      <c r="AB132" s="3" t="n">
        <v>7.173409</v>
      </c>
      <c r="AC132" s="3" t="n">
        <v>8.640927</v>
      </c>
      <c r="AD132" s="3" t="n">
        <v>1.980426</v>
      </c>
      <c r="AE132" s="3" t="n">
        <v>0.269322</v>
      </c>
      <c r="AF132" s="3" t="n">
        <v>3.307119</v>
      </c>
      <c r="AG132" s="3" t="n">
        <v>3.620221</v>
      </c>
      <c r="AH132" s="3" t="n">
        <v>3.412853</v>
      </c>
      <c r="AI132" s="3" t="n">
        <v>3.339829</v>
      </c>
      <c r="AJ132" s="3" t="n">
        <v>2.998644</v>
      </c>
      <c r="AK132" s="3" t="n">
        <v>2.973695</v>
      </c>
      <c r="AL132" s="3" t="n">
        <v>3.027423</v>
      </c>
      <c r="AM132" s="3" t="n"/>
      <c r="AN132" s="3" t="n"/>
      <c r="AO132" s="3" t="n"/>
      <c r="AP132" s="3" t="n"/>
      <c r="AQ132" s="3" t="n"/>
      <c r="AR132" s="3" t="n"/>
      <c r="AS132" s="3" t="n"/>
      <c r="AT132" s="3" t="n"/>
      <c r="AU132" s="3" t="n"/>
    </row>
    <row r="133">
      <c r="A133" s="3" t="n">
        <v>2031</v>
      </c>
      <c r="B133" s="3" t="inlineStr">
        <is>
          <t>ARM</t>
        </is>
      </c>
      <c r="C133" s="3" t="inlineStr">
        <is>
          <t>IMF.RES:WEO</t>
        </is>
      </c>
      <c r="D133" s="3" t="inlineStr">
        <is>
          <t>ARM.PPPPC.A</t>
        </is>
      </c>
      <c r="E133" s="3" t="inlineStr">
        <is>
          <t>Armenia, Republic of</t>
        </is>
      </c>
      <c r="F133" s="3" t="inlineStr">
        <is>
          <t>Gross domestic product (GDP), Per capita, purchasing power parity (PPP) international dollar, ICP benchmarks 2017-2021</t>
        </is>
      </c>
      <c r="G133" s="3" t="n">
        <v>2797.756741</v>
      </c>
      <c r="H133" s="3" t="n">
        <v>3147.205513</v>
      </c>
      <c r="I133" s="3" t="n">
        <v>3687.5022</v>
      </c>
      <c r="J133" s="3" t="n">
        <v>4312.125558</v>
      </c>
      <c r="K133" s="3" t="n">
        <v>4915.286298</v>
      </c>
      <c r="L133" s="3" t="n">
        <v>5804.882608</v>
      </c>
      <c r="M133" s="3" t="n">
        <v>6816.706114</v>
      </c>
      <c r="N133" s="3" t="n">
        <v>8016.392858</v>
      </c>
      <c r="O133" s="3" t="n">
        <v>8798.498853999999</v>
      </c>
      <c r="P133" s="3" t="n">
        <v>7672.551969</v>
      </c>
      <c r="Q133" s="3" t="n">
        <v>7981.053268</v>
      </c>
      <c r="R133" s="3" t="n">
        <v>8517.263958</v>
      </c>
      <c r="S133" s="3" t="n">
        <v>9301.428433999999</v>
      </c>
      <c r="T133" s="3" t="n">
        <v>9808.951863</v>
      </c>
      <c r="U133" s="3" t="n">
        <v>10371.558456</v>
      </c>
      <c r="V133" s="3" t="n">
        <v>10852.489108</v>
      </c>
      <c r="W133" s="3" t="n">
        <v>11024.686565</v>
      </c>
      <c r="X133" s="3" t="n">
        <v>12108.269868</v>
      </c>
      <c r="Y133" s="3" t="n">
        <v>12905.748171</v>
      </c>
      <c r="Z133" s="3" t="n">
        <v>14980.810768</v>
      </c>
      <c r="AA133" s="3" t="n">
        <v>14702.097557</v>
      </c>
      <c r="AB133" s="3" t="n">
        <v>15884.438009</v>
      </c>
      <c r="AC133" s="3" t="n">
        <v>19057.072553</v>
      </c>
      <c r="AD133" s="3" t="n">
        <v>21061.963796</v>
      </c>
      <c r="AE133" s="3" t="n">
        <v>22849.160389</v>
      </c>
      <c r="AF133" s="3" t="n">
        <v>24870.644666</v>
      </c>
      <c r="AG133" s="3" t="n">
        <v>27024.019573</v>
      </c>
      <c r="AH133" s="3" t="n">
        <v>29219.185757</v>
      </c>
      <c r="AI133" s="3" t="n">
        <v>31276.981147</v>
      </c>
      <c r="AJ133" s="3" t="n">
        <v>33528.927558</v>
      </c>
      <c r="AK133" s="3" t="n">
        <v>35967.480218</v>
      </c>
      <c r="AL133" s="3" t="n">
        <v>38574.126549</v>
      </c>
      <c r="AM133" s="3" t="n"/>
      <c r="AN133" s="3" t="n"/>
      <c r="AO133" s="3" t="n"/>
      <c r="AP133" s="3" t="n"/>
      <c r="AQ133" s="3" t="n"/>
      <c r="AR133" s="3" t="n"/>
      <c r="AS133" s="3" t="n"/>
      <c r="AT133" s="3" t="n"/>
      <c r="AU133" s="3" t="n"/>
    </row>
    <row r="134">
      <c r="A134" s="3" t="n">
        <v>2025</v>
      </c>
      <c r="B134" s="3" t="inlineStr">
        <is>
          <t>ARM</t>
        </is>
      </c>
      <c r="C134" s="3" t="inlineStr">
        <is>
          <t>IMF.STA:ER</t>
        </is>
      </c>
      <c r="D134" s="3" t="inlineStr">
        <is>
          <t>ARM.XDC_USD.PA_RT.A</t>
        </is>
      </c>
      <c r="E134" s="3" t="inlineStr">
        <is>
          <t>Armenia, Republic of</t>
        </is>
      </c>
      <c r="F134" s="3" t="inlineStr">
        <is>
          <t>Domestic currency per US Dollar</t>
        </is>
      </c>
      <c r="G134" s="3" t="n">
        <v>539.525833333333</v>
      </c>
      <c r="H134" s="3" t="n">
        <v>555.078258333333</v>
      </c>
      <c r="I134" s="3" t="n">
        <v>573.353333333333</v>
      </c>
      <c r="J134" s="3" t="n">
        <v>578.762954545454</v>
      </c>
      <c r="K134" s="3" t="n">
        <v>533.450833333333</v>
      </c>
      <c r="L134" s="3" t="n">
        <v>457.686940629158</v>
      </c>
      <c r="M134" s="3" t="n">
        <v>416.040369724541</v>
      </c>
      <c r="N134" s="3" t="n">
        <v>342.07911620867</v>
      </c>
      <c r="O134" s="3" t="n">
        <v>305.969400261936</v>
      </c>
      <c r="P134" s="3" t="n">
        <v>363.28328560606</v>
      </c>
      <c r="Q134" s="3" t="n">
        <v>373.660466738816</v>
      </c>
      <c r="R134" s="3" t="n">
        <v>372.50088244871</v>
      </c>
      <c r="S134" s="3" t="n">
        <v>401.763975626916</v>
      </c>
      <c r="T134" s="3" t="n">
        <v>409.625749270292</v>
      </c>
      <c r="U134" s="3" t="n">
        <v>415.919789204937</v>
      </c>
      <c r="V134" s="3" t="n">
        <v>477.918306576099</v>
      </c>
      <c r="W134" s="3" t="n">
        <v>480.488150777966</v>
      </c>
      <c r="X134" s="3" t="n">
        <v>482.716393849129</v>
      </c>
      <c r="Y134" s="3" t="n">
        <v>482.987946590234</v>
      </c>
      <c r="Z134" s="3" t="n">
        <v>480.445128767119</v>
      </c>
      <c r="AA134" s="3" t="n">
        <v>489.008858590915</v>
      </c>
      <c r="AB134" s="3" t="n">
        <v>503.769674961652</v>
      </c>
      <c r="AC134" s="3" t="n">
        <v>435.6661796523</v>
      </c>
      <c r="AD134" s="3" t="n">
        <v>392.476302158971</v>
      </c>
      <c r="AE134" s="3" t="n">
        <v>392.729551399084</v>
      </c>
      <c r="AF134" s="3" t="n">
        <v>387.010152166483</v>
      </c>
      <c r="AG134" s="3" t="n"/>
      <c r="AH134" s="3" t="n"/>
      <c r="AI134" s="3" t="n"/>
      <c r="AJ134" s="3" t="n"/>
      <c r="AK134" s="3" t="n"/>
      <c r="AL134" s="3" t="n"/>
      <c r="AM134" s="3" t="n"/>
      <c r="AN134" s="3" t="n"/>
      <c r="AO134" s="3" t="n"/>
      <c r="AP134" s="3" t="n"/>
      <c r="AQ134" s="3" t="n"/>
      <c r="AR134" s="3" t="n"/>
      <c r="AS134" s="3" t="n"/>
      <c r="AT134" s="3" t="n"/>
      <c r="AU134" s="3" t="n"/>
    </row>
    <row r="135">
      <c r="A135" s="3" t="n">
        <v>2031</v>
      </c>
      <c r="B135" s="3" t="inlineStr">
        <is>
          <t>ATG</t>
        </is>
      </c>
      <c r="C135" s="3" t="inlineStr">
        <is>
          <t>IMF.RES:WEO</t>
        </is>
      </c>
      <c r="D135" s="3" t="inlineStr">
        <is>
          <t>ATG.BCA.A</t>
        </is>
      </c>
      <c r="E135" s="3" t="inlineStr">
        <is>
          <t>Antigua and Barbuda</t>
        </is>
      </c>
      <c r="F135" s="3" t="inlineStr">
        <is>
          <t>Current account balance (credit less debit), US dollar</t>
        </is>
      </c>
      <c r="G135" s="3" t="n"/>
      <c r="H135" s="3" t="n"/>
      <c r="I135" s="3" t="n"/>
      <c r="J135" s="3" t="n"/>
      <c r="K135" s="3" t="n"/>
      <c r="L135" s="3" t="n"/>
      <c r="M135" s="3" t="n"/>
      <c r="N135" s="3" t="n"/>
      <c r="O135" s="3" t="n"/>
      <c r="P135" s="3" t="n"/>
      <c r="Q135" s="3" t="n"/>
      <c r="R135" s="3" t="n"/>
      <c r="S135" s="3" t="n"/>
      <c r="T135" s="3" t="n"/>
      <c r="U135" s="3" t="n">
        <v>-0.000519</v>
      </c>
      <c r="V135" s="3" t="n">
        <v>0.029241</v>
      </c>
      <c r="W135" s="3" t="n">
        <v>-0.03557</v>
      </c>
      <c r="X135" s="3" t="n">
        <v>-0.118141</v>
      </c>
      <c r="Y135" s="3" t="n">
        <v>-0.232511</v>
      </c>
      <c r="Z135" s="3" t="n">
        <v>-0.112307</v>
      </c>
      <c r="AA135" s="3" t="n">
        <v>-0.219741</v>
      </c>
      <c r="AB135" s="3" t="n">
        <v>-0.281615</v>
      </c>
      <c r="AC135" s="3" t="n">
        <v>-0.2801</v>
      </c>
      <c r="AD135" s="3" t="n">
        <v>-0.265093</v>
      </c>
      <c r="AE135" s="3" t="n">
        <v>-0.161248</v>
      </c>
      <c r="AF135" s="3" t="n">
        <v>-0.26472</v>
      </c>
      <c r="AG135" s="3" t="n">
        <v>-0.280636</v>
      </c>
      <c r="AH135" s="3" t="n">
        <v>-0.281252</v>
      </c>
      <c r="AI135" s="3" t="n">
        <v>-0.281024</v>
      </c>
      <c r="AJ135" s="3" t="n">
        <v>-0.28201</v>
      </c>
      <c r="AK135" s="3" t="n">
        <v>-0.281407</v>
      </c>
      <c r="AL135" s="3" t="n">
        <v>-0.279128</v>
      </c>
      <c r="AM135" s="3" t="n"/>
      <c r="AN135" s="3" t="n"/>
      <c r="AO135" s="3" t="n"/>
      <c r="AP135" s="3" t="n"/>
      <c r="AQ135" s="3" t="n"/>
      <c r="AR135" s="3" t="n"/>
      <c r="AS135" s="3" t="n"/>
      <c r="AT135" s="3" t="n"/>
      <c r="AU135" s="3" t="n"/>
    </row>
    <row r="136">
      <c r="A136" s="3" t="n">
        <v>2031</v>
      </c>
      <c r="B136" s="3" t="inlineStr">
        <is>
          <t>ATG</t>
        </is>
      </c>
      <c r="C136" s="3" t="inlineStr">
        <is>
          <t>IMF.RES:WEO</t>
        </is>
      </c>
      <c r="D136" s="3" t="inlineStr">
        <is>
          <t>ATG.BCA_NGDPD.A</t>
        </is>
      </c>
      <c r="E136" s="3" t="inlineStr">
        <is>
          <t>Antigua and Barbuda</t>
        </is>
      </c>
      <c r="F136" s="3" t="inlineStr">
        <is>
          <t>Current account balance (credit less debit), Percent of GDP</t>
        </is>
      </c>
      <c r="G136" s="3" t="n"/>
      <c r="H136" s="3" t="n"/>
      <c r="I136" s="3" t="n"/>
      <c r="J136" s="3" t="n"/>
      <c r="K136" s="3" t="n"/>
      <c r="L136" s="3" t="n"/>
      <c r="M136" s="3" t="n"/>
      <c r="N136" s="3" t="n"/>
      <c r="O136" s="3" t="n"/>
      <c r="P136" s="3" t="n"/>
      <c r="Q136" s="3" t="n"/>
      <c r="R136" s="3" t="n"/>
      <c r="S136" s="3" t="n"/>
      <c r="T136" s="3" t="n"/>
      <c r="U136" s="3" t="n">
        <v>-0.037609</v>
      </c>
      <c r="V136" s="3" t="n">
        <v>2.034159</v>
      </c>
      <c r="W136" s="3" t="n">
        <v>-2.387908</v>
      </c>
      <c r="X136" s="3" t="n">
        <v>-7.69719</v>
      </c>
      <c r="Y136" s="3" t="n">
        <v>-13.993799</v>
      </c>
      <c r="Z136" s="3" t="n">
        <v>-6.505113</v>
      </c>
      <c r="AA136" s="3" t="n">
        <v>-15.566377</v>
      </c>
      <c r="AB136" s="3" t="n">
        <v>-17.577571</v>
      </c>
      <c r="AC136" s="3" t="n">
        <v>-15.082535</v>
      </c>
      <c r="AD136" s="3" t="n">
        <v>-12.905558</v>
      </c>
      <c r="AE136" s="3" t="n">
        <v>-7.457034</v>
      </c>
      <c r="AF136" s="3" t="n">
        <v>-11.645688</v>
      </c>
      <c r="AG136" s="3" t="n">
        <v>-11.768388</v>
      </c>
      <c r="AH136" s="3" t="n">
        <v>-11.286523</v>
      </c>
      <c r="AI136" s="3" t="n">
        <v>-10.791979</v>
      </c>
      <c r="AJ136" s="3" t="n">
        <v>-10.363108</v>
      </c>
      <c r="AK136" s="3" t="n">
        <v>-9.894696</v>
      </c>
      <c r="AL136" s="3" t="n">
        <v>-9.390518999999999</v>
      </c>
      <c r="AM136" s="3" t="n"/>
      <c r="AN136" s="3" t="n"/>
      <c r="AO136" s="3" t="n"/>
      <c r="AP136" s="3" t="n"/>
      <c r="AQ136" s="3" t="n"/>
      <c r="AR136" s="3" t="n"/>
      <c r="AS136" s="3" t="n"/>
      <c r="AT136" s="3" t="n"/>
      <c r="AU136" s="3" t="n"/>
    </row>
    <row r="137">
      <c r="A137" s="3" t="n">
        <v>2031</v>
      </c>
      <c r="B137" s="3" t="inlineStr">
        <is>
          <t>ATG</t>
        </is>
      </c>
      <c r="C137" s="3" t="inlineStr">
        <is>
          <t>IMF.RES:WEO</t>
        </is>
      </c>
      <c r="D137" s="3" t="inlineStr">
        <is>
          <t>ATG.GGR_NGDP.A</t>
        </is>
      </c>
      <c r="E137" s="3" t="inlineStr">
        <is>
          <t>Antigua and Barbuda</t>
        </is>
      </c>
      <c r="F137" s="3" t="inlineStr">
        <is>
          <t>Revenue, General government, Percent of GDP</t>
        </is>
      </c>
      <c r="G137" s="3" t="n">
        <v>16.589186</v>
      </c>
      <c r="H137" s="3" t="n">
        <v>15.607565</v>
      </c>
      <c r="I137" s="3" t="n">
        <v>17.500948</v>
      </c>
      <c r="J137" s="3" t="n">
        <v>16.927435</v>
      </c>
      <c r="K137" s="3" t="n">
        <v>18.028629</v>
      </c>
      <c r="L137" s="3" t="n">
        <v>17.246263</v>
      </c>
      <c r="M137" s="3" t="n">
        <v>19.403102</v>
      </c>
      <c r="N137" s="3" t="n">
        <v>18.840252</v>
      </c>
      <c r="O137" s="3" t="n">
        <v>18.492984</v>
      </c>
      <c r="P137" s="3" t="n">
        <v>16.276943</v>
      </c>
      <c r="Q137" s="3" t="n">
        <v>19.717767</v>
      </c>
      <c r="R137" s="3" t="n">
        <v>17.995381</v>
      </c>
      <c r="S137" s="3" t="n">
        <v>17.557273</v>
      </c>
      <c r="T137" s="3" t="n">
        <v>16.869826</v>
      </c>
      <c r="U137" s="3" t="n">
        <v>18.256036</v>
      </c>
      <c r="V137" s="3" t="n">
        <v>22.414318</v>
      </c>
      <c r="W137" s="3" t="n">
        <v>23.640051</v>
      </c>
      <c r="X137" s="3" t="n">
        <v>19.83304</v>
      </c>
      <c r="Y137" s="3" t="n">
        <v>19.108964</v>
      </c>
      <c r="Z137" s="3" t="n">
        <v>18.468757</v>
      </c>
      <c r="AA137" s="3" t="n">
        <v>19.750363</v>
      </c>
      <c r="AB137" s="3" t="n">
        <v>18.866008</v>
      </c>
      <c r="AC137" s="3" t="n">
        <v>17.952925</v>
      </c>
      <c r="AD137" s="3" t="n">
        <v>16.695326</v>
      </c>
      <c r="AE137" s="3" t="n">
        <v>21.871757</v>
      </c>
      <c r="AF137" s="3" t="n">
        <v>22.400177</v>
      </c>
      <c r="AG137" s="3" t="n">
        <v>21.645918</v>
      </c>
      <c r="AH137" s="3" t="n">
        <v>21.016668</v>
      </c>
      <c r="AI137" s="3" t="n">
        <v>20.917745</v>
      </c>
      <c r="AJ137" s="3" t="n">
        <v>20.802157</v>
      </c>
      <c r="AK137" s="3" t="n">
        <v>20.70242</v>
      </c>
      <c r="AL137" s="3" t="n">
        <v>20.590776</v>
      </c>
      <c r="AM137" s="3" t="n"/>
      <c r="AN137" s="3" t="n"/>
      <c r="AO137" s="3" t="n"/>
      <c r="AP137" s="3" t="n"/>
      <c r="AQ137" s="3" t="n"/>
      <c r="AR137" s="3" t="n"/>
      <c r="AS137" s="3" t="n"/>
      <c r="AT137" s="3" t="n"/>
      <c r="AU137" s="3" t="n"/>
    </row>
    <row r="138">
      <c r="A138" s="3" t="n">
        <v>2031</v>
      </c>
      <c r="B138" s="3" t="inlineStr">
        <is>
          <t>ATG</t>
        </is>
      </c>
      <c r="C138" s="3" t="inlineStr">
        <is>
          <t>IMF.RES:WEO</t>
        </is>
      </c>
      <c r="D138" s="3" t="inlineStr">
        <is>
          <t>ATG.GGX_NGDP.A</t>
        </is>
      </c>
      <c r="E138" s="3" t="inlineStr">
        <is>
          <t>Antigua and Barbuda</t>
        </is>
      </c>
      <c r="F138" s="3" t="inlineStr">
        <is>
          <t>Expenditure, General government, Percent of GDP</t>
        </is>
      </c>
      <c r="G138" s="3" t="n">
        <v>21.092213</v>
      </c>
      <c r="H138" s="3" t="n">
        <v>24.183249</v>
      </c>
      <c r="I138" s="3" t="n">
        <v>26.330345</v>
      </c>
      <c r="J138" s="3" t="n">
        <v>24.249393</v>
      </c>
      <c r="K138" s="3" t="n">
        <v>21.930055</v>
      </c>
      <c r="L138" s="3" t="n">
        <v>21.540543</v>
      </c>
      <c r="M138" s="3" t="n">
        <v>26.027602</v>
      </c>
      <c r="N138" s="3" t="n">
        <v>23.819004</v>
      </c>
      <c r="O138" s="3" t="n">
        <v>23.208643</v>
      </c>
      <c r="P138" s="3" t="n">
        <v>32.077879</v>
      </c>
      <c r="Q138" s="3" t="n">
        <v>19.962688</v>
      </c>
      <c r="R138" s="3" t="n">
        <v>21.085824</v>
      </c>
      <c r="S138" s="3" t="n">
        <v>18.531798</v>
      </c>
      <c r="T138" s="3" t="n">
        <v>20.698972</v>
      </c>
      <c r="U138" s="3" t="n">
        <v>20.857486</v>
      </c>
      <c r="V138" s="3" t="n">
        <v>24.83191</v>
      </c>
      <c r="W138" s="3" t="n">
        <v>23.78032</v>
      </c>
      <c r="X138" s="3" t="n">
        <v>22.550113</v>
      </c>
      <c r="Y138" s="3" t="n">
        <v>21.538746</v>
      </c>
      <c r="Z138" s="3" t="n">
        <v>22.108944</v>
      </c>
      <c r="AA138" s="3" t="n">
        <v>25.977135</v>
      </c>
      <c r="AB138" s="3" t="n">
        <v>23.38581</v>
      </c>
      <c r="AC138" s="3" t="n">
        <v>20.810376</v>
      </c>
      <c r="AD138" s="3" t="n">
        <v>18.353352</v>
      </c>
      <c r="AE138" s="3" t="n">
        <v>20.22543</v>
      </c>
      <c r="AF138" s="3" t="n">
        <v>19.259534</v>
      </c>
      <c r="AG138" s="3" t="n">
        <v>22.294999</v>
      </c>
      <c r="AH138" s="3" t="n">
        <v>22.165777</v>
      </c>
      <c r="AI138" s="3" t="n">
        <v>21.899481</v>
      </c>
      <c r="AJ138" s="3" t="n">
        <v>21.761675</v>
      </c>
      <c r="AK138" s="3" t="n">
        <v>21.660277</v>
      </c>
      <c r="AL138" s="3" t="n">
        <v>21.536346</v>
      </c>
      <c r="AM138" s="3" t="n"/>
      <c r="AN138" s="3" t="n"/>
      <c r="AO138" s="3" t="n"/>
      <c r="AP138" s="3" t="n"/>
      <c r="AQ138" s="3" t="n"/>
      <c r="AR138" s="3" t="n"/>
      <c r="AS138" s="3" t="n"/>
      <c r="AT138" s="3" t="n"/>
      <c r="AU138" s="3" t="n"/>
    </row>
    <row r="139">
      <c r="A139" s="3" t="n">
        <v>2031</v>
      </c>
      <c r="B139" s="3" t="inlineStr">
        <is>
          <t>ATG</t>
        </is>
      </c>
      <c r="C139" s="3" t="inlineStr">
        <is>
          <t>IMF.RES:WEO</t>
        </is>
      </c>
      <c r="D139" s="3" t="inlineStr">
        <is>
          <t>ATG.LP.A</t>
        </is>
      </c>
      <c r="E139" s="3" t="inlineStr">
        <is>
          <t>Antigua and Barbuda</t>
        </is>
      </c>
      <c r="F139" s="3" t="inlineStr">
        <is>
          <t>Population, Persons for countries / Index for country groups</t>
        </is>
      </c>
      <c r="G139" s="3" t="n">
        <v>0.075597</v>
      </c>
      <c r="H139" s="3" t="n">
        <v>0.076886</v>
      </c>
      <c r="I139" s="3" t="n">
        <v>0.077665</v>
      </c>
      <c r="J139" s="3" t="n">
        <v>0.078412</v>
      </c>
      <c r="K139" s="3" t="n">
        <v>0.079196</v>
      </c>
      <c r="L139" s="3" t="n">
        <v>0.08000699999999999</v>
      </c>
      <c r="M139" s="3" t="n">
        <v>0.080855</v>
      </c>
      <c r="N139" s="3" t="n">
        <v>0.081736</v>
      </c>
      <c r="O139" s="3" t="n">
        <v>0.082663</v>
      </c>
      <c r="P139" s="3" t="n">
        <v>0.083624</v>
      </c>
      <c r="Q139" s="3" t="n">
        <v>0.084622</v>
      </c>
      <c r="R139" s="3" t="n">
        <v>0.085567</v>
      </c>
      <c r="S139" s="3" t="n">
        <v>0.086793</v>
      </c>
      <c r="T139" s="3" t="n">
        <v>0.08806899999999999</v>
      </c>
      <c r="U139" s="3" t="n">
        <v>0.089391</v>
      </c>
      <c r="V139" s="3" t="n">
        <v>0.090755</v>
      </c>
      <c r="W139" s="3" t="n">
        <v>0.092157</v>
      </c>
      <c r="X139" s="3" t="n">
        <v>0.093581</v>
      </c>
      <c r="Y139" s="3" t="n">
        <v>0.09510399999999999</v>
      </c>
      <c r="Z139" s="3" t="n">
        <v>0.096453</v>
      </c>
      <c r="AA139" s="3" t="n">
        <v>0.097895</v>
      </c>
      <c r="AB139" s="3" t="n">
        <v>0.09933699999999999</v>
      </c>
      <c r="AC139" s="3" t="n">
        <v>0.100772</v>
      </c>
      <c r="AD139" s="3" t="n">
        <v>0.102195</v>
      </c>
      <c r="AE139" s="3" t="n">
        <v>0.103524</v>
      </c>
      <c r="AF139" s="3" t="n">
        <v>0.104869</v>
      </c>
      <c r="AG139" s="3" t="n">
        <v>0.106233</v>
      </c>
      <c r="AH139" s="3" t="n">
        <v>0.107614</v>
      </c>
      <c r="AI139" s="3" t="n">
        <v>0.109013</v>
      </c>
      <c r="AJ139" s="3" t="n">
        <v>0.11043</v>
      </c>
      <c r="AK139" s="3" t="n">
        <v>0.111865</v>
      </c>
      <c r="AL139" s="3" t="n">
        <v>0.11332</v>
      </c>
      <c r="AM139" s="3" t="n"/>
      <c r="AN139" s="3" t="n"/>
      <c r="AO139" s="3" t="n"/>
      <c r="AP139" s="3" t="n"/>
      <c r="AQ139" s="3" t="n"/>
      <c r="AR139" s="3" t="n"/>
      <c r="AS139" s="3" t="n"/>
      <c r="AT139" s="3" t="n"/>
      <c r="AU139" s="3" t="n"/>
    </row>
    <row r="140">
      <c r="A140" s="3" t="n">
        <v>2031</v>
      </c>
      <c r="B140" s="3" t="inlineStr">
        <is>
          <t>ATG</t>
        </is>
      </c>
      <c r="C140" s="3" t="inlineStr">
        <is>
          <t>IMF.RES:WEO</t>
        </is>
      </c>
      <c r="D140" s="3" t="inlineStr">
        <is>
          <t>ATG.NGDP.A</t>
        </is>
      </c>
      <c r="E140" s="3" t="inlineStr">
        <is>
          <t>Antigua and Barbuda</t>
        </is>
      </c>
      <c r="F140" s="3" t="inlineStr">
        <is>
          <t>Gross domestic product (GDP), Current prices, Domestic currency</t>
        </is>
      </c>
      <c r="G140" s="3" t="n">
        <v>2.43271</v>
      </c>
      <c r="H140" s="3" t="n">
        <v>2.36999</v>
      </c>
      <c r="I140" s="3" t="n">
        <v>2.42485</v>
      </c>
      <c r="J140" s="3" t="n">
        <v>2.55987</v>
      </c>
      <c r="K140" s="3" t="n">
        <v>2.77109</v>
      </c>
      <c r="L140" s="3" t="n">
        <v>3.08852</v>
      </c>
      <c r="M140" s="3" t="n">
        <v>3.51992</v>
      </c>
      <c r="N140" s="3" t="n">
        <v>4.01593</v>
      </c>
      <c r="O140" s="3" t="n">
        <v>4.20563</v>
      </c>
      <c r="P140" s="3" t="n">
        <v>3.7436</v>
      </c>
      <c r="Q140" s="3" t="n">
        <v>3.50554</v>
      </c>
      <c r="R140" s="3" t="n">
        <v>3.47587</v>
      </c>
      <c r="S140" s="3" t="n">
        <v>3.68477</v>
      </c>
      <c r="T140" s="3" t="n">
        <v>3.57884</v>
      </c>
      <c r="U140" s="3" t="n">
        <v>3.72251</v>
      </c>
      <c r="V140" s="3" t="n">
        <v>3.88121</v>
      </c>
      <c r="W140" s="3" t="n">
        <v>4.02193</v>
      </c>
      <c r="X140" s="3" t="n">
        <v>4.14411</v>
      </c>
      <c r="Y140" s="3" t="n">
        <v>4.48613</v>
      </c>
      <c r="Z140" s="3" t="n">
        <v>4.66141</v>
      </c>
      <c r="AA140" s="3" t="n">
        <v>3.81142</v>
      </c>
      <c r="AB140" s="3" t="n">
        <v>4.32574</v>
      </c>
      <c r="AC140" s="3" t="n">
        <v>5.01421</v>
      </c>
      <c r="AD140" s="3" t="n">
        <v>5.54606</v>
      </c>
      <c r="AE140" s="3" t="n">
        <v>5.83838</v>
      </c>
      <c r="AF140" s="3" t="n">
        <v>6.137422</v>
      </c>
      <c r="AG140" s="3" t="n">
        <v>6.438579</v>
      </c>
      <c r="AH140" s="3" t="n">
        <v>6.728199</v>
      </c>
      <c r="AI140" s="3" t="n">
        <v>7.030824</v>
      </c>
      <c r="AJ140" s="3" t="n">
        <v>7.347483</v>
      </c>
      <c r="AK140" s="3" t="n">
        <v>7.678842</v>
      </c>
      <c r="AL140" s="3" t="n">
        <v>8.025601999999999</v>
      </c>
      <c r="AM140" s="3" t="n"/>
      <c r="AN140" s="3" t="n"/>
      <c r="AO140" s="3" t="n"/>
      <c r="AP140" s="3" t="n"/>
      <c r="AQ140" s="3" t="n"/>
      <c r="AR140" s="3" t="n"/>
      <c r="AS140" s="3" t="n"/>
      <c r="AT140" s="3" t="n"/>
      <c r="AU140" s="3" t="n"/>
    </row>
    <row r="141">
      <c r="A141" s="3" t="n">
        <v>2031</v>
      </c>
      <c r="B141" s="3" t="inlineStr">
        <is>
          <t>ATG</t>
        </is>
      </c>
      <c r="C141" s="3" t="inlineStr">
        <is>
          <t>IMF.RES:WEO</t>
        </is>
      </c>
      <c r="D141" s="3" t="inlineStr">
        <is>
          <t>ATG.NGDP_D.A</t>
        </is>
      </c>
      <c r="E141" s="3" t="inlineStr">
        <is>
          <t>Antigua and Barbuda</t>
        </is>
      </c>
      <c r="F141" s="3" t="inlineStr">
        <is>
          <t>Gross domestic product (GDP), Price deflator, Index</t>
        </is>
      </c>
      <c r="G141" s="3" t="n">
        <v>74.4014</v>
      </c>
      <c r="H141" s="3" t="n">
        <v>75.936879</v>
      </c>
      <c r="I141" s="3" t="n">
        <v>76.904658</v>
      </c>
      <c r="J141" s="3" t="n">
        <v>76.53603099999999</v>
      </c>
      <c r="K141" s="3" t="n">
        <v>78.333592</v>
      </c>
      <c r="L141" s="3" t="n">
        <v>81.998428</v>
      </c>
      <c r="M141" s="3" t="n">
        <v>82.914902</v>
      </c>
      <c r="N141" s="3" t="n">
        <v>86.53771999999999</v>
      </c>
      <c r="O141" s="3" t="n">
        <v>90.638187</v>
      </c>
      <c r="P141" s="3" t="n">
        <v>91.643941</v>
      </c>
      <c r="Q141" s="3" t="n">
        <v>93.117041</v>
      </c>
      <c r="R141" s="3" t="n">
        <v>94.17353900000001</v>
      </c>
      <c r="S141" s="3" t="n">
        <v>96.575737</v>
      </c>
      <c r="T141" s="3" t="n">
        <v>94.36649800000001</v>
      </c>
      <c r="U141" s="3" t="n">
        <v>96.043459</v>
      </c>
      <c r="V141" s="3" t="n">
        <v>98.73440600000001</v>
      </c>
      <c r="W141" s="3" t="n">
        <v>98.26530099999999</v>
      </c>
      <c r="X141" s="3" t="n">
        <v>98.576342</v>
      </c>
      <c r="Y141" s="3" t="n">
        <v>100</v>
      </c>
      <c r="Z141" s="3" t="n">
        <v>100.712335</v>
      </c>
      <c r="AA141" s="3" t="n">
        <v>101.499557</v>
      </c>
      <c r="AB141" s="3" t="n">
        <v>106.492598</v>
      </c>
      <c r="AC141" s="3" t="n">
        <v>113.773144</v>
      </c>
      <c r="AD141" s="3" t="n">
        <v>121.157825</v>
      </c>
      <c r="AE141" s="3" t="n">
        <v>124.383078</v>
      </c>
      <c r="AF141" s="3" t="n">
        <v>126.898077</v>
      </c>
      <c r="AG141" s="3" t="n">
        <v>129.759692</v>
      </c>
      <c r="AH141" s="3" t="n">
        <v>132.421356</v>
      </c>
      <c r="AI141" s="3" t="n">
        <v>135.006738</v>
      </c>
      <c r="AJ141" s="3" t="n">
        <v>137.642583</v>
      </c>
      <c r="AK141" s="3" t="n">
        <v>140.329877</v>
      </c>
      <c r="AL141" s="3" t="n">
        <v>143.069622</v>
      </c>
      <c r="AM141" s="3" t="n"/>
      <c r="AN141" s="3" t="n"/>
      <c r="AO141" s="3" t="n"/>
      <c r="AP141" s="3" t="n"/>
      <c r="AQ141" s="3" t="n"/>
      <c r="AR141" s="3" t="n"/>
      <c r="AS141" s="3" t="n"/>
      <c r="AT141" s="3" t="n"/>
      <c r="AU141" s="3" t="n"/>
    </row>
    <row r="142">
      <c r="A142" s="3" t="n">
        <v>2031</v>
      </c>
      <c r="B142" s="3" t="inlineStr">
        <is>
          <t>ATG</t>
        </is>
      </c>
      <c r="C142" s="3" t="inlineStr">
        <is>
          <t>IMF.RES:WEO</t>
        </is>
      </c>
      <c r="D142" s="3" t="inlineStr">
        <is>
          <t>ATG.NGDP_R.A</t>
        </is>
      </c>
      <c r="E142" s="3" t="inlineStr">
        <is>
          <t>Antigua and Barbuda</t>
        </is>
      </c>
      <c r="F142" s="3" t="inlineStr">
        <is>
          <t>Gross domestic product (GDP), Constant prices, Domestic currency</t>
        </is>
      </c>
      <c r="G142" s="3" t="n">
        <v>3.26971</v>
      </c>
      <c r="H142" s="3" t="n">
        <v>3.121</v>
      </c>
      <c r="I142" s="3" t="n">
        <v>3.15306</v>
      </c>
      <c r="J142" s="3" t="n">
        <v>3.34466</v>
      </c>
      <c r="K142" s="3" t="n">
        <v>3.53755</v>
      </c>
      <c r="L142" s="3" t="n">
        <v>3.76656</v>
      </c>
      <c r="M142" s="3" t="n">
        <v>4.24522</v>
      </c>
      <c r="N142" s="3" t="n">
        <v>4.64067</v>
      </c>
      <c r="O142" s="3" t="n">
        <v>4.64002</v>
      </c>
      <c r="P142" s="3" t="n">
        <v>4.08494</v>
      </c>
      <c r="Q142" s="3" t="n">
        <v>3.76466</v>
      </c>
      <c r="R142" s="3" t="n">
        <v>3.69092</v>
      </c>
      <c r="S142" s="3" t="n">
        <v>3.81542</v>
      </c>
      <c r="T142" s="3" t="n">
        <v>3.79249</v>
      </c>
      <c r="U142" s="3" t="n">
        <v>3.87586</v>
      </c>
      <c r="V142" s="3" t="n">
        <v>3.93096</v>
      </c>
      <c r="W142" s="3" t="n">
        <v>4.09293</v>
      </c>
      <c r="X142" s="3" t="n">
        <v>4.20396</v>
      </c>
      <c r="Y142" s="3" t="n">
        <v>4.48613</v>
      </c>
      <c r="Z142" s="3" t="n">
        <v>4.62844</v>
      </c>
      <c r="AA142" s="3" t="n">
        <v>3.75511</v>
      </c>
      <c r="AB142" s="3" t="n">
        <v>4.06201</v>
      </c>
      <c r="AC142" s="3" t="n">
        <v>4.4072</v>
      </c>
      <c r="AD142" s="3" t="n">
        <v>4.57755</v>
      </c>
      <c r="AE142" s="3" t="n">
        <v>4.69387</v>
      </c>
      <c r="AF142" s="3" t="n">
        <v>4.836497</v>
      </c>
      <c r="AG142" s="3" t="n">
        <v>4.961925</v>
      </c>
      <c r="AH142" s="3" t="n">
        <v>5.080901</v>
      </c>
      <c r="AI142" s="3" t="n">
        <v>5.207758</v>
      </c>
      <c r="AJ142" s="3" t="n">
        <v>5.338088</v>
      </c>
      <c r="AK142" s="3" t="n">
        <v>5.471994</v>
      </c>
      <c r="AL142" s="3" t="n">
        <v>5.609578</v>
      </c>
      <c r="AM142" s="3" t="n"/>
      <c r="AN142" s="3" t="n"/>
      <c r="AO142" s="3" t="n"/>
      <c r="AP142" s="3" t="n"/>
      <c r="AQ142" s="3" t="n"/>
      <c r="AR142" s="3" t="n"/>
      <c r="AS142" s="3" t="n"/>
      <c r="AT142" s="3" t="n"/>
      <c r="AU142" s="3" t="n"/>
    </row>
    <row r="143">
      <c r="A143" s="3" t="n">
        <v>2031</v>
      </c>
      <c r="B143" s="3" t="inlineStr">
        <is>
          <t>ATG</t>
        </is>
      </c>
      <c r="C143" s="3" t="inlineStr">
        <is>
          <t>IMF.RES:WEO</t>
        </is>
      </c>
      <c r="D143" s="3" t="inlineStr">
        <is>
          <t>ATG.NGDP_RPCH.A</t>
        </is>
      </c>
      <c r="E143" s="3" t="inlineStr">
        <is>
          <t>Antigua and Barbuda</t>
        </is>
      </c>
      <c r="F143" s="3" t="inlineStr">
        <is>
          <t>Gross domestic product (GDP), Constant prices, Percent change</t>
        </is>
      </c>
      <c r="G143" s="3" t="n">
        <v>6.203552</v>
      </c>
      <c r="H143" s="3" t="n">
        <v>-4.54811</v>
      </c>
      <c r="I143" s="3" t="n">
        <v>1.027235</v>
      </c>
      <c r="J143" s="3" t="n">
        <v>6.076637</v>
      </c>
      <c r="K143" s="3" t="n">
        <v>5.767103</v>
      </c>
      <c r="L143" s="3" t="n">
        <v>6.473689</v>
      </c>
      <c r="M143" s="3" t="n">
        <v>12.708147</v>
      </c>
      <c r="N143" s="3" t="n">
        <v>9.315182999999999</v>
      </c>
      <c r="O143" s="3" t="n">
        <v>-0.014007</v>
      </c>
      <c r="P143" s="3" t="n">
        <v>-11.962879</v>
      </c>
      <c r="Q143" s="3" t="n">
        <v>-7.840507</v>
      </c>
      <c r="R143" s="3" t="n">
        <v>-1.958743</v>
      </c>
      <c r="S143" s="3" t="n">
        <v>3.373143</v>
      </c>
      <c r="T143" s="3" t="n">
        <v>-0.600982</v>
      </c>
      <c r="U143" s="3" t="n">
        <v>2.198292</v>
      </c>
      <c r="V143" s="3" t="n">
        <v>1.42162</v>
      </c>
      <c r="W143" s="3" t="n">
        <v>4.120368</v>
      </c>
      <c r="X143" s="3" t="n">
        <v>2.712727</v>
      </c>
      <c r="Y143" s="3" t="n">
        <v>6.712005</v>
      </c>
      <c r="Z143" s="3" t="n">
        <v>3.172222</v>
      </c>
      <c r="AA143" s="3" t="n">
        <v>-18.868777</v>
      </c>
      <c r="AB143" s="3" t="n">
        <v>8.172863</v>
      </c>
      <c r="AC143" s="3" t="n">
        <v>8.498010000000001</v>
      </c>
      <c r="AD143" s="3" t="n">
        <v>3.865266</v>
      </c>
      <c r="AE143" s="3" t="n">
        <v>2.541097</v>
      </c>
      <c r="AF143" s="3" t="n">
        <v>3.03859</v>
      </c>
      <c r="AG143" s="3" t="n">
        <v>2.593362</v>
      </c>
      <c r="AH143" s="3" t="n">
        <v>2.39778</v>
      </c>
      <c r="AI143" s="3" t="n">
        <v>2.496737</v>
      </c>
      <c r="AJ143" s="3" t="n">
        <v>2.502619</v>
      </c>
      <c r="AK143" s="3" t="n">
        <v>2.508485</v>
      </c>
      <c r="AL143" s="3" t="n">
        <v>2.514336</v>
      </c>
      <c r="AM143" s="3" t="n"/>
      <c r="AN143" s="3" t="n"/>
      <c r="AO143" s="3" t="n"/>
      <c r="AP143" s="3" t="n"/>
      <c r="AQ143" s="3" t="n"/>
      <c r="AR143" s="3" t="n"/>
      <c r="AS143" s="3" t="n"/>
      <c r="AT143" s="3" t="n"/>
      <c r="AU143" s="3" t="n"/>
    </row>
    <row r="144">
      <c r="A144" s="3" t="n">
        <v>2031</v>
      </c>
      <c r="B144" s="3" t="inlineStr">
        <is>
          <t>ATG</t>
        </is>
      </c>
      <c r="C144" s="3" t="inlineStr">
        <is>
          <t>IMF.RES:WEO</t>
        </is>
      </c>
      <c r="D144" s="3" t="inlineStr">
        <is>
          <t>ATG.NGDPD.A</t>
        </is>
      </c>
      <c r="E144" s="3" t="inlineStr">
        <is>
          <t>Antigua and Barbuda</t>
        </is>
      </c>
      <c r="F144" s="3" t="inlineStr">
        <is>
          <t>Gross domestic product (GDP), Current prices, US dollar</t>
        </is>
      </c>
      <c r="G144" s="3" t="n">
        <v>0.901004</v>
      </c>
      <c r="H144" s="3" t="n">
        <v>0.8777740000000001</v>
      </c>
      <c r="I144" s="3" t="n">
        <v>0.898093</v>
      </c>
      <c r="J144" s="3" t="n">
        <v>0.9481000000000001</v>
      </c>
      <c r="K144" s="3" t="n">
        <v>1.02633</v>
      </c>
      <c r="L144" s="3" t="n">
        <v>1.143896</v>
      </c>
      <c r="M144" s="3" t="n">
        <v>1.303674</v>
      </c>
      <c r="N144" s="3" t="n">
        <v>1.487381</v>
      </c>
      <c r="O144" s="3" t="n">
        <v>1.557641</v>
      </c>
      <c r="P144" s="3" t="n">
        <v>1.386519</v>
      </c>
      <c r="Q144" s="3" t="n">
        <v>1.298348</v>
      </c>
      <c r="R144" s="3" t="n">
        <v>1.287359</v>
      </c>
      <c r="S144" s="3" t="n">
        <v>1.36473</v>
      </c>
      <c r="T144" s="3" t="n">
        <v>1.325496</v>
      </c>
      <c r="U144" s="3" t="n">
        <v>1.378707</v>
      </c>
      <c r="V144" s="3" t="n">
        <v>1.437485</v>
      </c>
      <c r="W144" s="3" t="n">
        <v>1.489604</v>
      </c>
      <c r="X144" s="3" t="n">
        <v>1.534856</v>
      </c>
      <c r="Y144" s="3" t="n">
        <v>1.66153</v>
      </c>
      <c r="Z144" s="3" t="n">
        <v>1.726448</v>
      </c>
      <c r="AA144" s="3" t="n">
        <v>1.411637</v>
      </c>
      <c r="AB144" s="3" t="n">
        <v>1.602126</v>
      </c>
      <c r="AC144" s="3" t="n">
        <v>1.857115</v>
      </c>
      <c r="AD144" s="3" t="n">
        <v>2.054096</v>
      </c>
      <c r="AE144" s="3" t="n">
        <v>2.162363</v>
      </c>
      <c r="AF144" s="3" t="n">
        <v>2.273119</v>
      </c>
      <c r="AG144" s="3" t="n">
        <v>2.384659</v>
      </c>
      <c r="AH144" s="3" t="n">
        <v>2.491925</v>
      </c>
      <c r="AI144" s="3" t="n">
        <v>2.604009</v>
      </c>
      <c r="AJ144" s="3" t="n">
        <v>2.72129</v>
      </c>
      <c r="AK144" s="3" t="n">
        <v>2.844016</v>
      </c>
      <c r="AL144" s="3" t="n">
        <v>2.972445</v>
      </c>
      <c r="AM144" s="3" t="n"/>
      <c r="AN144" s="3" t="n"/>
      <c r="AO144" s="3" t="n"/>
      <c r="AP144" s="3" t="n"/>
      <c r="AQ144" s="3" t="n"/>
      <c r="AR144" s="3" t="n"/>
      <c r="AS144" s="3" t="n"/>
      <c r="AT144" s="3" t="n"/>
      <c r="AU144" s="3" t="n"/>
    </row>
    <row r="145">
      <c r="A145" s="3" t="n">
        <v>2031</v>
      </c>
      <c r="B145" s="3" t="inlineStr">
        <is>
          <t>ATG</t>
        </is>
      </c>
      <c r="C145" s="3" t="inlineStr">
        <is>
          <t>IMF.RES:WEO</t>
        </is>
      </c>
      <c r="D145" s="3" t="inlineStr">
        <is>
          <t>ATG.NGDPPC.A</t>
        </is>
      </c>
      <c r="E145" s="3" t="inlineStr">
        <is>
          <t>Antigua and Barbuda</t>
        </is>
      </c>
      <c r="F145" s="3" t="inlineStr">
        <is>
          <t>Gross domestic product (GDP), Current prices, Per capita, Domestic currency</t>
        </is>
      </c>
      <c r="G145" s="3" t="n">
        <v>32179.992308</v>
      </c>
      <c r="H145" s="3" t="n">
        <v>30824.727519</v>
      </c>
      <c r="I145" s="3" t="n">
        <v>31221.914633</v>
      </c>
      <c r="J145" s="3" t="n">
        <v>32646.406162</v>
      </c>
      <c r="K145" s="3" t="n">
        <v>34990.277287</v>
      </c>
      <c r="L145" s="3" t="n">
        <v>38603.122227</v>
      </c>
      <c r="M145" s="3" t="n">
        <v>43533.733226</v>
      </c>
      <c r="N145" s="3" t="n">
        <v>49132.940198</v>
      </c>
      <c r="O145" s="3" t="n">
        <v>50876.813084</v>
      </c>
      <c r="P145" s="3" t="n">
        <v>44767.052521</v>
      </c>
      <c r="Q145" s="3" t="n">
        <v>41425.870341</v>
      </c>
      <c r="R145" s="3" t="n">
        <v>40621.618147</v>
      </c>
      <c r="S145" s="3" t="n">
        <v>42454.691047</v>
      </c>
      <c r="T145" s="3" t="n">
        <v>40636.773439</v>
      </c>
      <c r="U145" s="3" t="n">
        <v>41643.006567</v>
      </c>
      <c r="V145" s="3" t="n">
        <v>42765.798028</v>
      </c>
      <c r="W145" s="3" t="n">
        <v>43642.15415</v>
      </c>
      <c r="X145" s="3" t="n">
        <v>44283.668693</v>
      </c>
      <c r="Y145" s="3" t="n">
        <v>47170.78146</v>
      </c>
      <c r="Z145" s="3" t="n">
        <v>48328.304978</v>
      </c>
      <c r="AA145" s="3" t="n">
        <v>38933.755554</v>
      </c>
      <c r="AB145" s="3" t="n">
        <v>43546.110714</v>
      </c>
      <c r="AC145" s="3" t="n">
        <v>49757.968483</v>
      </c>
      <c r="AD145" s="3" t="n">
        <v>54269.386956</v>
      </c>
      <c r="AE145" s="3" t="n">
        <v>56396.644492</v>
      </c>
      <c r="AF145" s="3" t="n">
        <v>58524.46717</v>
      </c>
      <c r="AG145" s="3" t="n">
        <v>60608.292527</v>
      </c>
      <c r="AH145" s="3" t="n">
        <v>62521.784983</v>
      </c>
      <c r="AI145" s="3" t="n">
        <v>64495.494364</v>
      </c>
      <c r="AJ145" s="3" t="n">
        <v>66535.321819</v>
      </c>
      <c r="AK145" s="3" t="n">
        <v>68643.58547000001</v>
      </c>
      <c r="AL145" s="3" t="n">
        <v>70822.68767100001</v>
      </c>
      <c r="AM145" s="3" t="n"/>
      <c r="AN145" s="3" t="n"/>
      <c r="AO145" s="3" t="n"/>
      <c r="AP145" s="3" t="n"/>
      <c r="AQ145" s="3" t="n"/>
      <c r="AR145" s="3" t="n"/>
      <c r="AS145" s="3" t="n"/>
      <c r="AT145" s="3" t="n"/>
      <c r="AU145" s="3" t="n"/>
    </row>
    <row r="146">
      <c r="A146" s="3" t="n">
        <v>2031</v>
      </c>
      <c r="B146" s="3" t="inlineStr">
        <is>
          <t>ATG</t>
        </is>
      </c>
      <c r="C146" s="3" t="inlineStr">
        <is>
          <t>IMF.RES:WEO</t>
        </is>
      </c>
      <c r="D146" s="3" t="inlineStr">
        <is>
          <t>ATG.NGDPRPC.A</t>
        </is>
      </c>
      <c r="E146" s="3" t="inlineStr">
        <is>
          <t>Antigua and Barbuda</t>
        </is>
      </c>
      <c r="F146" s="3" t="inlineStr">
        <is>
          <t>Gross domestic product (GDP), Constant prices, Per capita, Domestic currency</t>
        </is>
      </c>
      <c r="G146" s="3" t="n">
        <v>43251.864238</v>
      </c>
      <c r="H146" s="3" t="n">
        <v>40592.565617</v>
      </c>
      <c r="I146" s="3" t="n">
        <v>40598.210262</v>
      </c>
      <c r="J146" s="3" t="n">
        <v>42654.950773</v>
      </c>
      <c r="K146" s="3" t="n">
        <v>44668.291328</v>
      </c>
      <c r="L146" s="3" t="n">
        <v>47077.880685</v>
      </c>
      <c r="M146" s="3" t="n">
        <v>52504.1123</v>
      </c>
      <c r="N146" s="3" t="n">
        <v>56776.328668</v>
      </c>
      <c r="O146" s="3" t="n">
        <v>56131.763909</v>
      </c>
      <c r="P146" s="3" t="n">
        <v>48848.895054</v>
      </c>
      <c r="Q146" s="3" t="n">
        <v>44487.958214</v>
      </c>
      <c r="R146" s="3" t="n">
        <v>43134.85339</v>
      </c>
      <c r="S146" s="3" t="n">
        <v>43959.996774</v>
      </c>
      <c r="T146" s="3" t="n">
        <v>43062.712192</v>
      </c>
      <c r="U146" s="3" t="n">
        <v>43358.503652</v>
      </c>
      <c r="V146" s="3" t="n">
        <v>43313.977191</v>
      </c>
      <c r="W146" s="3" t="n">
        <v>44412.578534</v>
      </c>
      <c r="X146" s="3" t="n">
        <v>44923.221594</v>
      </c>
      <c r="Y146" s="3" t="n">
        <v>47170.78146</v>
      </c>
      <c r="Z146" s="3" t="n">
        <v>47986.480462</v>
      </c>
      <c r="AA146" s="3" t="n">
        <v>38358.547423</v>
      </c>
      <c r="AB146" s="3" t="n">
        <v>40891.208714</v>
      </c>
      <c r="AC146" s="3" t="n">
        <v>43734.370659</v>
      </c>
      <c r="AD146" s="3" t="n">
        <v>44792.308821</v>
      </c>
      <c r="AE146" s="3" t="n">
        <v>45341.090796</v>
      </c>
      <c r="AF146" s="3" t="n">
        <v>46119.270174</v>
      </c>
      <c r="AG146" s="3" t="n">
        <v>46708.104608</v>
      </c>
      <c r="AH146" s="3" t="n">
        <v>47214.276432</v>
      </c>
      <c r="AI146" s="3" t="n">
        <v>47772.055932</v>
      </c>
      <c r="AJ146" s="3" t="n">
        <v>48339.198702</v>
      </c>
      <c r="AK146" s="3" t="n">
        <v>48915.873924</v>
      </c>
      <c r="AL146" s="3" t="n">
        <v>49502.254103</v>
      </c>
      <c r="AM146" s="3" t="n"/>
      <c r="AN146" s="3" t="n"/>
      <c r="AO146" s="3" t="n"/>
      <c r="AP146" s="3" t="n"/>
      <c r="AQ146" s="3" t="n"/>
      <c r="AR146" s="3" t="n"/>
      <c r="AS146" s="3" t="n"/>
      <c r="AT146" s="3" t="n"/>
      <c r="AU146" s="3" t="n"/>
    </row>
    <row r="147">
      <c r="A147" s="3" t="n">
        <v>2031</v>
      </c>
      <c r="B147" s="3" t="inlineStr">
        <is>
          <t>ATG</t>
        </is>
      </c>
      <c r="C147" s="3" t="inlineStr">
        <is>
          <t>IMF.RES:WEO</t>
        </is>
      </c>
      <c r="D147" s="3" t="inlineStr">
        <is>
          <t>ATG.PCPI.A</t>
        </is>
      </c>
      <c r="E147" s="3" t="inlineStr">
        <is>
          <t>Antigua and Barbuda</t>
        </is>
      </c>
      <c r="F147" s="3" t="inlineStr">
        <is>
          <t>All Items, Consumer price index (CPI), Period average</t>
        </is>
      </c>
      <c r="G147" s="3" t="n">
        <v>70.596987</v>
      </c>
      <c r="H147" s="3" t="n">
        <v>71.96312500000001</v>
      </c>
      <c r="I147" s="3" t="n">
        <v>73.695751</v>
      </c>
      <c r="J147" s="3" t="n">
        <v>75.16489799999999</v>
      </c>
      <c r="K147" s="3" t="n">
        <v>76.690804</v>
      </c>
      <c r="L147" s="3" t="n">
        <v>78.300354</v>
      </c>
      <c r="M147" s="3" t="n">
        <v>79.70019600000001</v>
      </c>
      <c r="N147" s="3" t="n">
        <v>80.828793</v>
      </c>
      <c r="O147" s="3" t="n">
        <v>85.140044</v>
      </c>
      <c r="P147" s="3" t="n">
        <v>84.671638</v>
      </c>
      <c r="Q147" s="3" t="n">
        <v>87.525093</v>
      </c>
      <c r="R147" s="3" t="n">
        <v>90.550617</v>
      </c>
      <c r="S147" s="3" t="n">
        <v>93.608403</v>
      </c>
      <c r="T147" s="3" t="n">
        <v>94.600182</v>
      </c>
      <c r="U147" s="3" t="n">
        <v>95.63079500000001</v>
      </c>
      <c r="V147" s="3" t="n">
        <v>96.557451</v>
      </c>
      <c r="W147" s="3" t="n">
        <v>96.08546</v>
      </c>
      <c r="X147" s="3" t="n">
        <v>98.42211500000001</v>
      </c>
      <c r="Y147" s="3" t="n">
        <v>99.61416699999999</v>
      </c>
      <c r="Z147" s="3" t="n">
        <v>101.04</v>
      </c>
      <c r="AA147" s="3" t="n">
        <v>102.109167</v>
      </c>
      <c r="AB147" s="3" t="n">
        <v>103.77</v>
      </c>
      <c r="AC147" s="3" t="n">
        <v>111.585</v>
      </c>
      <c r="AD147" s="3" t="n">
        <v>117.239167</v>
      </c>
      <c r="AE147" s="3" t="n">
        <v>124.510833</v>
      </c>
      <c r="AF147" s="3" t="n">
        <v>126.208333</v>
      </c>
      <c r="AG147" s="3" t="n">
        <v>129.493536</v>
      </c>
      <c r="AH147" s="3" t="n">
        <v>132.156739</v>
      </c>
      <c r="AI147" s="3" t="n">
        <v>134.744025</v>
      </c>
      <c r="AJ147" s="3" t="n">
        <v>137.381962</v>
      </c>
      <c r="AK147" s="3" t="n">
        <v>140.071544</v>
      </c>
      <c r="AL147" s="3" t="n">
        <v>142.813781</v>
      </c>
      <c r="AM147" s="3" t="n"/>
      <c r="AN147" s="3" t="n"/>
      <c r="AO147" s="3" t="n"/>
      <c r="AP147" s="3" t="n"/>
      <c r="AQ147" s="3" t="n"/>
      <c r="AR147" s="3" t="n"/>
      <c r="AS147" s="3" t="n"/>
      <c r="AT147" s="3" t="n"/>
      <c r="AU147" s="3" t="n"/>
    </row>
    <row r="148">
      <c r="A148" s="3" t="n">
        <v>2031</v>
      </c>
      <c r="B148" s="3" t="inlineStr">
        <is>
          <t>ATG</t>
        </is>
      </c>
      <c r="C148" s="3" t="inlineStr">
        <is>
          <t>IMF.RES:WEO</t>
        </is>
      </c>
      <c r="D148" s="3" t="inlineStr">
        <is>
          <t>ATG.PCPIPCH.A</t>
        </is>
      </c>
      <c r="E148" s="3" t="inlineStr">
        <is>
          <t>Antigua and Barbuda</t>
        </is>
      </c>
      <c r="F148" s="3" t="inlineStr">
        <is>
          <t>All Items, Consumer price index (CPI), Period average, percent change</t>
        </is>
      </c>
      <c r="G148" s="3" t="n">
        <v>-0.161594</v>
      </c>
      <c r="H148" s="3" t="n">
        <v>1.935122</v>
      </c>
      <c r="I148" s="3" t="n">
        <v>2.407658</v>
      </c>
      <c r="J148" s="3" t="n">
        <v>1.993531</v>
      </c>
      <c r="K148" s="3" t="n">
        <v>2.030078</v>
      </c>
      <c r="L148" s="3" t="n">
        <v>2.098752</v>
      </c>
      <c r="M148" s="3" t="n">
        <v>1.787785</v>
      </c>
      <c r="N148" s="3" t="n">
        <v>1.416053</v>
      </c>
      <c r="O148" s="3" t="n">
        <v>5.333806</v>
      </c>
      <c r="P148" s="3" t="n">
        <v>-0.55016</v>
      </c>
      <c r="Q148" s="3" t="n">
        <v>3.370025</v>
      </c>
      <c r="R148" s="3" t="n">
        <v>3.45675</v>
      </c>
      <c r="S148" s="3" t="n">
        <v>3.37688</v>
      </c>
      <c r="T148" s="3" t="n">
        <v>1.059498</v>
      </c>
      <c r="U148" s="3" t="n">
        <v>1.089442</v>
      </c>
      <c r="V148" s="3" t="n">
        <v>0.968993</v>
      </c>
      <c r="W148" s="3" t="n">
        <v>-0.488819</v>
      </c>
      <c r="X148" s="3" t="n">
        <v>2.431851</v>
      </c>
      <c r="Y148" s="3" t="n">
        <v>1.211162</v>
      </c>
      <c r="Z148" s="3" t="n">
        <v>1.431356</v>
      </c>
      <c r="AA148" s="3" t="n">
        <v>1.058162</v>
      </c>
      <c r="AB148" s="3" t="n">
        <v>1.626527</v>
      </c>
      <c r="AC148" s="3" t="n">
        <v>7.531078</v>
      </c>
      <c r="AD148" s="3" t="n">
        <v>5.067139</v>
      </c>
      <c r="AE148" s="3" t="n">
        <v>6.202421</v>
      </c>
      <c r="AF148" s="3" t="n">
        <v>1.363335</v>
      </c>
      <c r="AG148" s="3" t="n">
        <v>2.603</v>
      </c>
      <c r="AH148" s="3" t="n">
        <v>2.05663</v>
      </c>
      <c r="AI148" s="3" t="n">
        <v>1.95774</v>
      </c>
      <c r="AJ148" s="3" t="n">
        <v>1.95774</v>
      </c>
      <c r="AK148" s="3" t="n">
        <v>1.95774</v>
      </c>
      <c r="AL148" s="3" t="n">
        <v>1.95774</v>
      </c>
      <c r="AM148" s="3" t="n"/>
      <c r="AN148" s="3" t="n"/>
      <c r="AO148" s="3" t="n"/>
      <c r="AP148" s="3" t="n"/>
      <c r="AQ148" s="3" t="n"/>
      <c r="AR148" s="3" t="n"/>
      <c r="AS148" s="3" t="n"/>
      <c r="AT148" s="3" t="n"/>
      <c r="AU148" s="3" t="n"/>
    </row>
    <row r="149">
      <c r="A149" s="3" t="n">
        <v>2031</v>
      </c>
      <c r="B149" s="3" t="inlineStr">
        <is>
          <t>ATG</t>
        </is>
      </c>
      <c r="C149" s="3" t="inlineStr">
        <is>
          <t>IMF.RES:WEO</t>
        </is>
      </c>
      <c r="D149" s="3" t="inlineStr">
        <is>
          <t>ATG.PPPPC.A</t>
        </is>
      </c>
      <c r="E149" s="3" t="inlineStr">
        <is>
          <t>Antigua and Barbuda</t>
        </is>
      </c>
      <c r="F149" s="3" t="inlineStr">
        <is>
          <t>Gross domestic product (GDP), Per capita, purchasing power parity (PPP) international dollar, ICP benchmarks 2017-2021</t>
        </is>
      </c>
      <c r="G149" s="3" t="n">
        <v>14500.025232</v>
      </c>
      <c r="H149" s="3" t="n">
        <v>13914.917224</v>
      </c>
      <c r="I149" s="3" t="n">
        <v>14133.12504</v>
      </c>
      <c r="J149" s="3" t="n">
        <v>15142.275086</v>
      </c>
      <c r="K149" s="3" t="n">
        <v>16283.375901</v>
      </c>
      <c r="L149" s="3" t="n">
        <v>17699.92973</v>
      </c>
      <c r="M149" s="3" t="n">
        <v>20348.7963</v>
      </c>
      <c r="N149" s="3" t="n">
        <v>22600.724083</v>
      </c>
      <c r="O149" s="3" t="n">
        <v>22774.584911</v>
      </c>
      <c r="P149" s="3" t="n">
        <v>19941.911076</v>
      </c>
      <c r="Q149" s="3" t="n">
        <v>18382.348342</v>
      </c>
      <c r="R149" s="3" t="n">
        <v>18190.985608</v>
      </c>
      <c r="S149" s="3" t="n">
        <v>18884.151048</v>
      </c>
      <c r="T149" s="3" t="n">
        <v>18813.548072</v>
      </c>
      <c r="U149" s="3" t="n">
        <v>19272.704712</v>
      </c>
      <c r="V149" s="3" t="n">
        <v>19431.590134</v>
      </c>
      <c r="W149" s="3" t="n">
        <v>20113.773325</v>
      </c>
      <c r="X149" s="3" t="n">
        <v>20709.392838</v>
      </c>
      <c r="Y149" s="3" t="n">
        <v>23446.844124</v>
      </c>
      <c r="Z149" s="3" t="n">
        <v>25149.742264</v>
      </c>
      <c r="AA149" s="3" t="n">
        <v>20987.828365</v>
      </c>
      <c r="AB149" s="3" t="n">
        <v>23934.392948</v>
      </c>
      <c r="AC149" s="3" t="n">
        <v>27419.223864</v>
      </c>
      <c r="AD149" s="3" t="n">
        <v>29121.558999</v>
      </c>
      <c r="AE149" s="3" t="n">
        <v>30210.160821</v>
      </c>
      <c r="AF149" s="3" t="n">
        <v>31600.351404</v>
      </c>
      <c r="AG149" s="3" t="n">
        <v>32920.674961</v>
      </c>
      <c r="AH149" s="3" t="n">
        <v>34008.173403</v>
      </c>
      <c r="AI149" s="3" t="n">
        <v>34974.740261</v>
      </c>
      <c r="AJ149" s="3" t="n">
        <v>36019.227014</v>
      </c>
      <c r="AK149" s="3" t="n">
        <v>37118.686716</v>
      </c>
      <c r="AL149" s="3" t="n">
        <v>38241.785047</v>
      </c>
      <c r="AM149" s="3" t="n"/>
      <c r="AN149" s="3" t="n"/>
      <c r="AO149" s="3" t="n"/>
      <c r="AP149" s="3" t="n"/>
      <c r="AQ149" s="3" t="n"/>
      <c r="AR149" s="3" t="n"/>
      <c r="AS149" s="3" t="n"/>
      <c r="AT149" s="3" t="n"/>
      <c r="AU149" s="3" t="n"/>
    </row>
    <row r="150">
      <c r="A150" s="3" t="n">
        <v>2025</v>
      </c>
      <c r="B150" s="3" t="inlineStr">
        <is>
          <t>ATG</t>
        </is>
      </c>
      <c r="C150" s="3" t="inlineStr">
        <is>
          <t>IMF.STA:ER</t>
        </is>
      </c>
      <c r="D150" s="3" t="inlineStr">
        <is>
          <t>ATG.XDC_USD.PA_RT.A</t>
        </is>
      </c>
      <c r="E150" s="3" t="inlineStr">
        <is>
          <t>Antigua and Barbuda</t>
        </is>
      </c>
      <c r="F150" s="3" t="inlineStr">
        <is>
          <t>Domestic currency per US Dollar</t>
        </is>
      </c>
      <c r="G150" s="3" t="n">
        <v>2.7</v>
      </c>
      <c r="H150" s="3" t="n">
        <v>2.7</v>
      </c>
      <c r="I150" s="3" t="n">
        <v>2.7</v>
      </c>
      <c r="J150" s="3" t="n">
        <v>2.7</v>
      </c>
      <c r="K150" s="3" t="n">
        <v>2.7</v>
      </c>
      <c r="L150" s="3" t="n">
        <v>2.7</v>
      </c>
      <c r="M150" s="3" t="n">
        <v>2.7</v>
      </c>
      <c r="N150" s="3" t="n">
        <v>2.7</v>
      </c>
      <c r="O150" s="3" t="n">
        <v>2.7</v>
      </c>
      <c r="P150" s="3" t="n">
        <v>2.7</v>
      </c>
      <c r="Q150" s="3" t="n">
        <v>2.7</v>
      </c>
      <c r="R150" s="3" t="n">
        <v>2.7</v>
      </c>
      <c r="S150" s="3" t="n">
        <v>2.7</v>
      </c>
      <c r="T150" s="3" t="n">
        <v>2.7</v>
      </c>
      <c r="U150" s="3" t="n">
        <v>2.7</v>
      </c>
      <c r="V150" s="3" t="n">
        <v>2.7</v>
      </c>
      <c r="W150" s="3" t="n">
        <v>2.7</v>
      </c>
      <c r="X150" s="3" t="n">
        <v>2.7</v>
      </c>
      <c r="Y150" s="3" t="n">
        <v>2.7</v>
      </c>
      <c r="Z150" s="3" t="n">
        <v>2.7</v>
      </c>
      <c r="AA150" s="3" t="n">
        <v>2.7</v>
      </c>
      <c r="AB150" s="3" t="n">
        <v>2.7</v>
      </c>
      <c r="AC150" s="3" t="n">
        <v>2.7</v>
      </c>
      <c r="AD150" s="3" t="n">
        <v>2.7</v>
      </c>
      <c r="AE150" s="3" t="n">
        <v>2.7</v>
      </c>
      <c r="AF150" s="3" t="n">
        <v>2.7</v>
      </c>
      <c r="AG150" s="3" t="n"/>
      <c r="AH150" s="3" t="n"/>
      <c r="AI150" s="3" t="n"/>
      <c r="AJ150" s="3" t="n"/>
      <c r="AK150" s="3" t="n"/>
      <c r="AL150" s="3" t="n"/>
      <c r="AM150" s="3" t="n"/>
      <c r="AN150" s="3" t="n"/>
      <c r="AO150" s="3" t="n"/>
      <c r="AP150" s="3" t="n"/>
      <c r="AQ150" s="3" t="n"/>
      <c r="AR150" s="3" t="n"/>
      <c r="AS150" s="3" t="n"/>
      <c r="AT150" s="3" t="n"/>
      <c r="AU150" s="3" t="n"/>
    </row>
    <row r="151">
      <c r="A151" s="3" t="n">
        <v>2031</v>
      </c>
      <c r="B151" s="3" t="inlineStr">
        <is>
          <t>AUS</t>
        </is>
      </c>
      <c r="C151" s="3" t="inlineStr">
        <is>
          <t>IMF.RES:WEO</t>
        </is>
      </c>
      <c r="D151" s="3" t="inlineStr">
        <is>
          <t>AUS.BCA.A</t>
        </is>
      </c>
      <c r="E151" s="3" t="inlineStr">
        <is>
          <t>Australia</t>
        </is>
      </c>
      <c r="F151" s="3" t="inlineStr">
        <is>
          <t>Current account balance (credit less debit), US dollar</t>
        </is>
      </c>
      <c r="G151" s="3" t="n">
        <v>-16.204371</v>
      </c>
      <c r="H151" s="3" t="n">
        <v>-8.523080999999999</v>
      </c>
      <c r="I151" s="3" t="n">
        <v>-16.198368</v>
      </c>
      <c r="J151" s="3" t="n">
        <v>-28.859908</v>
      </c>
      <c r="K151" s="3" t="n">
        <v>-41.618181</v>
      </c>
      <c r="L151" s="3" t="n">
        <v>-43.917132</v>
      </c>
      <c r="M151" s="3" t="n">
        <v>-46.137449</v>
      </c>
      <c r="N151" s="3" t="n">
        <v>-64.23038699999999</v>
      </c>
      <c r="O151" s="3" t="n">
        <v>-51.412532</v>
      </c>
      <c r="P151" s="3" t="n">
        <v>-45.297386</v>
      </c>
      <c r="Q151" s="3" t="n">
        <v>-46.471492</v>
      </c>
      <c r="R151" s="3" t="n">
        <v>-45.319287</v>
      </c>
      <c r="S151" s="3" t="n">
        <v>-68.584447</v>
      </c>
      <c r="T151" s="3" t="n">
        <v>-51.678148</v>
      </c>
      <c r="U151" s="3" t="n">
        <v>-45.141994</v>
      </c>
      <c r="V151" s="3" t="n">
        <v>-58.338753</v>
      </c>
      <c r="W151" s="3" t="n">
        <v>-43.792737</v>
      </c>
      <c r="X151" s="3" t="n">
        <v>-39.602301</v>
      </c>
      <c r="Y151" s="3" t="n">
        <v>-37.355402</v>
      </c>
      <c r="Z151" s="3" t="n">
        <v>-1.807407</v>
      </c>
      <c r="AA151" s="3" t="n">
        <v>21.342339</v>
      </c>
      <c r="AB151" s="3" t="n">
        <v>37.867123</v>
      </c>
      <c r="AC151" s="3" t="n">
        <v>5.20313</v>
      </c>
      <c r="AD151" s="3" t="n">
        <v>-7.281186</v>
      </c>
      <c r="AE151" s="3" t="n">
        <v>-40.392152</v>
      </c>
      <c r="AF151" s="3" t="n">
        <v>-48.391198</v>
      </c>
      <c r="AG151" s="3" t="n">
        <v>-49.115315</v>
      </c>
      <c r="AH151" s="3" t="n">
        <v>-49.601552</v>
      </c>
      <c r="AI151" s="3" t="n">
        <v>-53.093388</v>
      </c>
      <c r="AJ151" s="3" t="n">
        <v>-55.223499</v>
      </c>
      <c r="AK151" s="3" t="n">
        <v>-58.895714</v>
      </c>
      <c r="AL151" s="3" t="n">
        <v>-62.521185</v>
      </c>
      <c r="AM151" s="3" t="n"/>
      <c r="AN151" s="3" t="n"/>
      <c r="AO151" s="3" t="n"/>
      <c r="AP151" s="3" t="n"/>
      <c r="AQ151" s="3" t="n"/>
      <c r="AR151" s="3" t="n"/>
      <c r="AS151" s="3" t="n"/>
      <c r="AT151" s="3" t="n"/>
      <c r="AU151" s="3" t="n"/>
    </row>
    <row r="152">
      <c r="A152" s="3" t="n">
        <v>2031</v>
      </c>
      <c r="B152" s="3" t="inlineStr">
        <is>
          <t>AUS</t>
        </is>
      </c>
      <c r="C152" s="3" t="inlineStr">
        <is>
          <t>IMF.RES:WEO</t>
        </is>
      </c>
      <c r="D152" s="3" t="inlineStr">
        <is>
          <t>AUS.BCA_NGDPD.A</t>
        </is>
      </c>
      <c r="E152" s="3" t="inlineStr">
        <is>
          <t>Australia</t>
        </is>
      </c>
      <c r="F152" s="3" t="inlineStr">
        <is>
          <t>Current account balance (credit less debit), Percent of GDP</t>
        </is>
      </c>
      <c r="G152" s="3" t="n">
        <v>-4.040561</v>
      </c>
      <c r="H152" s="3" t="n">
        <v>-2.250164</v>
      </c>
      <c r="I152" s="3" t="n">
        <v>-3.800408</v>
      </c>
      <c r="J152" s="3" t="n">
        <v>-5.324466</v>
      </c>
      <c r="K152" s="3" t="n">
        <v>-6.307723</v>
      </c>
      <c r="L152" s="3" t="n">
        <v>-5.953176</v>
      </c>
      <c r="M152" s="3" t="n">
        <v>-5.878327</v>
      </c>
      <c r="N152" s="3" t="n">
        <v>-6.747298</v>
      </c>
      <c r="O152" s="3" t="n">
        <v>-4.852507</v>
      </c>
      <c r="P152" s="3" t="n">
        <v>-4.510705</v>
      </c>
      <c r="Q152" s="3" t="n">
        <v>-3.692757</v>
      </c>
      <c r="R152" s="3" t="n">
        <v>-2.980668</v>
      </c>
      <c r="S152" s="3" t="n">
        <v>-4.351998</v>
      </c>
      <c r="T152" s="3" t="n">
        <v>-3.385161</v>
      </c>
      <c r="U152" s="3" t="n">
        <v>-3.085384</v>
      </c>
      <c r="V152" s="3" t="n">
        <v>-4.709058</v>
      </c>
      <c r="W152" s="3" t="n">
        <v>-3.454614</v>
      </c>
      <c r="X152" s="3" t="n">
        <v>-2.856553</v>
      </c>
      <c r="Y152" s="3" t="n">
        <v>-2.625859</v>
      </c>
      <c r="Z152" s="3" t="n">
        <v>-0.129844</v>
      </c>
      <c r="AA152" s="3" t="n">
        <v>1.561632</v>
      </c>
      <c r="AB152" s="3" t="n">
        <v>2.280982</v>
      </c>
      <c r="AC152" s="3" t="n">
        <v>0.300545</v>
      </c>
      <c r="AD152" s="3" t="n">
        <v>-0.416502</v>
      </c>
      <c r="AE152" s="3" t="n">
        <v>-2.244734</v>
      </c>
      <c r="AF152" s="3" t="n">
        <v>-2.630013</v>
      </c>
      <c r="AG152" s="3" t="n">
        <v>-2.312437</v>
      </c>
      <c r="AH152" s="3" t="n">
        <v>-2.243141</v>
      </c>
      <c r="AI152" s="3" t="n">
        <v>-2.315672</v>
      </c>
      <c r="AJ152" s="3" t="n">
        <v>-2.319679</v>
      </c>
      <c r="AK152" s="3" t="n">
        <v>-2.371027</v>
      </c>
      <c r="AL152" s="3" t="n">
        <v>-2.413726</v>
      </c>
      <c r="AM152" s="3" t="n"/>
      <c r="AN152" s="3" t="n"/>
      <c r="AO152" s="3" t="n"/>
      <c r="AP152" s="3" t="n"/>
      <c r="AQ152" s="3" t="n"/>
      <c r="AR152" s="3" t="n"/>
      <c r="AS152" s="3" t="n"/>
      <c r="AT152" s="3" t="n"/>
      <c r="AU152" s="3" t="n"/>
    </row>
    <row r="153">
      <c r="A153" s="3" t="n">
        <v>2031</v>
      </c>
      <c r="B153" s="3" t="inlineStr">
        <is>
          <t>AUS</t>
        </is>
      </c>
      <c r="C153" s="3" t="inlineStr">
        <is>
          <t>IMF.RES:WEO</t>
        </is>
      </c>
      <c r="D153" s="3" t="inlineStr">
        <is>
          <t>AUS.GGR_NGDP.A</t>
        </is>
      </c>
      <c r="E153" s="3" t="inlineStr">
        <is>
          <t>Australia</t>
        </is>
      </c>
      <c r="F153" s="3" t="inlineStr">
        <is>
          <t>Revenue, General government, Percent of GDP</t>
        </is>
      </c>
      <c r="G153" s="3" t="n">
        <v>36.394087</v>
      </c>
      <c r="H153" s="3" t="n">
        <v>35.525555</v>
      </c>
      <c r="I153" s="3" t="n">
        <v>35.048023</v>
      </c>
      <c r="J153" s="3" t="n">
        <v>35.901482</v>
      </c>
      <c r="K153" s="3" t="n">
        <v>36.101842</v>
      </c>
      <c r="L153" s="3" t="n">
        <v>36.223774</v>
      </c>
      <c r="M153" s="3" t="n">
        <v>36.242854</v>
      </c>
      <c r="N153" s="3" t="n">
        <v>35.70934</v>
      </c>
      <c r="O153" s="3" t="n">
        <v>33.883717</v>
      </c>
      <c r="P153" s="3" t="n">
        <v>33.078632</v>
      </c>
      <c r="Q153" s="3" t="n">
        <v>31.737949</v>
      </c>
      <c r="R153" s="3" t="n">
        <v>31.679398</v>
      </c>
      <c r="S153" s="3" t="n">
        <v>32.881005</v>
      </c>
      <c r="T153" s="3" t="n">
        <v>33.407586</v>
      </c>
      <c r="U153" s="3" t="n">
        <v>33.687314</v>
      </c>
      <c r="V153" s="3" t="n">
        <v>34.338426</v>
      </c>
      <c r="W153" s="3" t="n">
        <v>34.73069</v>
      </c>
      <c r="X153" s="3" t="n">
        <v>34.926161</v>
      </c>
      <c r="Y153" s="3" t="n">
        <v>35.479311</v>
      </c>
      <c r="Z153" s="3" t="n">
        <v>34.362932</v>
      </c>
      <c r="AA153" s="3" t="n">
        <v>35.606183</v>
      </c>
      <c r="AB153" s="3" t="n">
        <v>35.311958</v>
      </c>
      <c r="AC153" s="3" t="n">
        <v>35.229431</v>
      </c>
      <c r="AD153" s="3" t="n">
        <v>36.171686</v>
      </c>
      <c r="AE153" s="3" t="n">
        <v>36.463351</v>
      </c>
      <c r="AF153" s="3" t="n">
        <v>36.669208</v>
      </c>
      <c r="AG153" s="3" t="n">
        <v>36.620375</v>
      </c>
      <c r="AH153" s="3" t="n">
        <v>36.242074</v>
      </c>
      <c r="AI153" s="3" t="n">
        <v>36.014653</v>
      </c>
      <c r="AJ153" s="3" t="n">
        <v>36.066308</v>
      </c>
      <c r="AK153" s="3" t="n">
        <v>36.082284</v>
      </c>
      <c r="AL153" s="3" t="n">
        <v>36.07909</v>
      </c>
      <c r="AM153" s="3" t="n"/>
      <c r="AN153" s="3" t="n"/>
      <c r="AO153" s="3" t="n"/>
      <c r="AP153" s="3" t="n"/>
      <c r="AQ153" s="3" t="n"/>
      <c r="AR153" s="3" t="n"/>
      <c r="AS153" s="3" t="n"/>
      <c r="AT153" s="3" t="n"/>
      <c r="AU153" s="3" t="n"/>
    </row>
    <row r="154">
      <c r="A154" s="3" t="n">
        <v>2031</v>
      </c>
      <c r="B154" s="3" t="inlineStr">
        <is>
          <t>AUS</t>
        </is>
      </c>
      <c r="C154" s="3" t="inlineStr">
        <is>
          <t>IMF.RES:WEO</t>
        </is>
      </c>
      <c r="D154" s="3" t="inlineStr">
        <is>
          <t>AUS.GGX_NGDP.A</t>
        </is>
      </c>
      <c r="E154" s="3" t="inlineStr">
        <is>
          <t>Australia</t>
        </is>
      </c>
      <c r="F154" s="3" t="inlineStr">
        <is>
          <t>Expenditure, General government, Percent of GDP</t>
        </is>
      </c>
      <c r="G154" s="3" t="n">
        <v>35.146085</v>
      </c>
      <c r="H154" s="3" t="n">
        <v>35.555756</v>
      </c>
      <c r="I154" s="3" t="n">
        <v>34.855789</v>
      </c>
      <c r="J154" s="3" t="n">
        <v>34.852379</v>
      </c>
      <c r="K154" s="3" t="n">
        <v>34.780839</v>
      </c>
      <c r="L154" s="3" t="n">
        <v>34.519775</v>
      </c>
      <c r="M154" s="3" t="n">
        <v>34.474643</v>
      </c>
      <c r="N154" s="3" t="n">
        <v>34.237806</v>
      </c>
      <c r="O154" s="3" t="n">
        <v>34.981349</v>
      </c>
      <c r="P154" s="3" t="n">
        <v>37.626096</v>
      </c>
      <c r="Q154" s="3" t="n">
        <v>36.838067</v>
      </c>
      <c r="R154" s="3" t="n">
        <v>36.190658</v>
      </c>
      <c r="S154" s="3" t="n">
        <v>36.376886</v>
      </c>
      <c r="T154" s="3" t="n">
        <v>36.20523</v>
      </c>
      <c r="U154" s="3" t="n">
        <v>36.59325</v>
      </c>
      <c r="V154" s="3" t="n">
        <v>37.113773</v>
      </c>
      <c r="W154" s="3" t="n">
        <v>37.145428</v>
      </c>
      <c r="X154" s="3" t="n">
        <v>36.63767</v>
      </c>
      <c r="Y154" s="3" t="n">
        <v>36.733314</v>
      </c>
      <c r="Z154" s="3" t="n">
        <v>38.75496</v>
      </c>
      <c r="AA154" s="3" t="n">
        <v>44.310567</v>
      </c>
      <c r="AB154" s="3" t="n">
        <v>41.663342</v>
      </c>
      <c r="AC154" s="3" t="n">
        <v>37.435326</v>
      </c>
      <c r="AD154" s="3" t="n">
        <v>37.435017</v>
      </c>
      <c r="AE154" s="3" t="n">
        <v>38.714705</v>
      </c>
      <c r="AF154" s="3" t="n">
        <v>39.451592</v>
      </c>
      <c r="AG154" s="3" t="n">
        <v>39.054056</v>
      </c>
      <c r="AH154" s="3" t="n">
        <v>38.294048</v>
      </c>
      <c r="AI154" s="3" t="n">
        <v>37.897222</v>
      </c>
      <c r="AJ154" s="3" t="n">
        <v>37.723209</v>
      </c>
      <c r="AK154" s="3" t="n">
        <v>37.564086</v>
      </c>
      <c r="AL154" s="3" t="n">
        <v>37.526649</v>
      </c>
      <c r="AM154" s="3" t="n"/>
      <c r="AN154" s="3" t="n"/>
      <c r="AO154" s="3" t="n"/>
      <c r="AP154" s="3" t="n"/>
      <c r="AQ154" s="3" t="n"/>
      <c r="AR154" s="3" t="n"/>
      <c r="AS154" s="3" t="n"/>
      <c r="AT154" s="3" t="n"/>
      <c r="AU154" s="3" t="n"/>
    </row>
    <row r="155">
      <c r="A155" s="3" t="n">
        <v>2027</v>
      </c>
      <c r="B155" s="3" t="inlineStr">
        <is>
          <t>AUS</t>
        </is>
      </c>
      <c r="C155" s="3" t="inlineStr">
        <is>
          <t>IMF.RES:WEO</t>
        </is>
      </c>
      <c r="D155" s="3" t="inlineStr">
        <is>
          <t>AUS.LE.A</t>
        </is>
      </c>
      <c r="E155" s="3" t="inlineStr">
        <is>
          <t>Australia</t>
        </is>
      </c>
      <c r="F155" s="3" t="inlineStr">
        <is>
          <t>Employed persons, Persons for countries / Index for country groups</t>
        </is>
      </c>
      <c r="G155" s="3" t="n">
        <v>8.899442000000001</v>
      </c>
      <c r="H155" s="3" t="n">
        <v>9.015608</v>
      </c>
      <c r="I155" s="3" t="n">
        <v>9.185433</v>
      </c>
      <c r="J155" s="3" t="n">
        <v>9.392083</v>
      </c>
      <c r="K155" s="3" t="n">
        <v>9.556317</v>
      </c>
      <c r="L155" s="3" t="n">
        <v>9.876683</v>
      </c>
      <c r="M155" s="3" t="n">
        <v>10.122825</v>
      </c>
      <c r="N155" s="3" t="n">
        <v>10.433825</v>
      </c>
      <c r="O155" s="3" t="n">
        <v>10.727917</v>
      </c>
      <c r="P155" s="3" t="n">
        <v>10.803883</v>
      </c>
      <c r="Q155" s="3" t="n">
        <v>11.021317</v>
      </c>
      <c r="R155" s="3" t="n">
        <v>11.213325</v>
      </c>
      <c r="S155" s="3" t="n">
        <v>11.350575</v>
      </c>
      <c r="T155" s="3" t="n">
        <v>11.457658</v>
      </c>
      <c r="U155" s="3" t="n">
        <v>11.530992</v>
      </c>
      <c r="V155" s="3" t="n">
        <v>11.758692</v>
      </c>
      <c r="W155" s="3" t="n">
        <v>11.958042</v>
      </c>
      <c r="X155" s="3" t="n">
        <v>12.212742</v>
      </c>
      <c r="Y155" s="3" t="n">
        <v>12.532008</v>
      </c>
      <c r="Z155" s="3" t="n">
        <v>12.821158</v>
      </c>
      <c r="AA155" s="3" t="n">
        <v>12.596542</v>
      </c>
      <c r="AB155" s="3" t="n">
        <v>12.978317</v>
      </c>
      <c r="AC155" s="3" t="n">
        <v>13.562775</v>
      </c>
      <c r="AD155" s="3" t="n">
        <v>14.019592</v>
      </c>
      <c r="AE155" s="3" t="n">
        <v>14.344767</v>
      </c>
      <c r="AF155" s="3" t="n">
        <v>14.589367</v>
      </c>
      <c r="AG155" s="3" t="n">
        <v>14.818912</v>
      </c>
      <c r="AH155" s="3" t="n">
        <v>15.172217</v>
      </c>
      <c r="AI155" s="3" t="n"/>
      <c r="AJ155" s="3" t="n"/>
      <c r="AK155" s="3" t="n"/>
      <c r="AL155" s="3" t="n"/>
      <c r="AM155" s="3" t="n"/>
      <c r="AN155" s="3" t="n"/>
      <c r="AO155" s="3" t="n"/>
      <c r="AP155" s="3" t="n"/>
      <c r="AQ155" s="3" t="n"/>
      <c r="AR155" s="3" t="n"/>
      <c r="AS155" s="3" t="n"/>
      <c r="AT155" s="3" t="n"/>
      <c r="AU155" s="3" t="n"/>
    </row>
    <row r="156">
      <c r="A156" s="3" t="n">
        <v>2031</v>
      </c>
      <c r="B156" s="3" t="inlineStr">
        <is>
          <t>AUS</t>
        </is>
      </c>
      <c r="C156" s="3" t="inlineStr">
        <is>
          <t>IMF.RES:WEO</t>
        </is>
      </c>
      <c r="D156" s="3" t="inlineStr">
        <is>
          <t>AUS.LP.A</t>
        </is>
      </c>
      <c r="E156" s="3" t="inlineStr">
        <is>
          <t>Australia</t>
        </is>
      </c>
      <c r="F156" s="3" t="inlineStr">
        <is>
          <t>Population, Persons for countries / Index for country groups</t>
        </is>
      </c>
      <c r="G156" s="3" t="n">
        <v>19.141036</v>
      </c>
      <c r="H156" s="3" t="n">
        <v>19.386461</v>
      </c>
      <c r="I156" s="3" t="n">
        <v>19.605441</v>
      </c>
      <c r="J156" s="3" t="n">
        <v>19.827155</v>
      </c>
      <c r="K156" s="3" t="n">
        <v>20.046003</v>
      </c>
      <c r="L156" s="3" t="n">
        <v>20.311543</v>
      </c>
      <c r="M156" s="3" t="n">
        <v>20.627547</v>
      </c>
      <c r="N156" s="3" t="n">
        <v>21.016121</v>
      </c>
      <c r="O156" s="3" t="n">
        <v>21.475625</v>
      </c>
      <c r="P156" s="3" t="n">
        <v>21.865623</v>
      </c>
      <c r="Q156" s="3" t="n">
        <v>22.172469</v>
      </c>
      <c r="R156" s="3" t="n">
        <v>22.522197</v>
      </c>
      <c r="S156" s="3" t="n">
        <v>22.928023</v>
      </c>
      <c r="T156" s="3" t="n">
        <v>23.297777</v>
      </c>
      <c r="U156" s="3" t="n">
        <v>23.640331</v>
      </c>
      <c r="V156" s="3" t="n">
        <v>23.984581</v>
      </c>
      <c r="W156" s="3" t="n">
        <v>24.385064</v>
      </c>
      <c r="X156" s="3" t="n">
        <v>24.759018</v>
      </c>
      <c r="Y156" s="3" t="n">
        <v>25.14614</v>
      </c>
      <c r="Z156" s="3" t="n">
        <v>25.520468</v>
      </c>
      <c r="AA156" s="3" t="n">
        <v>25.630698</v>
      </c>
      <c r="AB156" s="3" t="n">
        <v>25.773795</v>
      </c>
      <c r="AC156" s="3" t="n">
        <v>26.320285</v>
      </c>
      <c r="AD156" s="3" t="n">
        <v>26.95666</v>
      </c>
      <c r="AE156" s="3" t="n">
        <v>27.388006</v>
      </c>
      <c r="AF156" s="3" t="n">
        <v>27.730356</v>
      </c>
      <c r="AG156" s="3" t="n">
        <v>28.076986</v>
      </c>
      <c r="AH156" s="3" t="n">
        <v>28.413909</v>
      </c>
      <c r="AI156" s="3" t="n">
        <v>28.754876</v>
      </c>
      <c r="AJ156" s="3" t="n">
        <v>29.099935</v>
      </c>
      <c r="AK156" s="3" t="n">
        <v>29.449134</v>
      </c>
      <c r="AL156" s="3" t="n">
        <v>29.802524</v>
      </c>
      <c r="AM156" s="3" t="n"/>
      <c r="AN156" s="3" t="n"/>
      <c r="AO156" s="3" t="n"/>
      <c r="AP156" s="3" t="n"/>
      <c r="AQ156" s="3" t="n"/>
      <c r="AR156" s="3" t="n"/>
      <c r="AS156" s="3" t="n"/>
      <c r="AT156" s="3" t="n"/>
      <c r="AU156" s="3" t="n"/>
    </row>
    <row r="157">
      <c r="A157" s="3" t="n">
        <v>2031</v>
      </c>
      <c r="B157" s="3" t="inlineStr">
        <is>
          <t>AUS</t>
        </is>
      </c>
      <c r="C157" s="3" t="inlineStr">
        <is>
          <t>IMF.RES:WEO</t>
        </is>
      </c>
      <c r="D157" s="3" t="inlineStr">
        <is>
          <t>AUS.NGDP.A</t>
        </is>
      </c>
      <c r="E157" s="3" t="inlineStr">
        <is>
          <t>Australia</t>
        </is>
      </c>
      <c r="F157" s="3" t="inlineStr">
        <is>
          <t>Gross domestic product (GDP), Current prices, Domestic currency</t>
        </is>
      </c>
      <c r="G157" s="3" t="n">
        <v>688.741</v>
      </c>
      <c r="H157" s="3" t="n">
        <v>731.769</v>
      </c>
      <c r="I157" s="3" t="n">
        <v>783.679</v>
      </c>
      <c r="J157" s="3" t="n">
        <v>831.52</v>
      </c>
      <c r="K157" s="3" t="n">
        <v>895.759</v>
      </c>
      <c r="L157" s="3" t="n">
        <v>965.787</v>
      </c>
      <c r="M157" s="3" t="n">
        <v>1041.844</v>
      </c>
      <c r="N157" s="3" t="n">
        <v>1135.21</v>
      </c>
      <c r="O157" s="3" t="n">
        <v>1238.803</v>
      </c>
      <c r="P157" s="3" t="n">
        <v>1269.07</v>
      </c>
      <c r="Q157" s="3" t="n">
        <v>1368.625</v>
      </c>
      <c r="R157" s="3" t="n">
        <v>1472.992</v>
      </c>
      <c r="S157" s="3" t="n">
        <v>1521.462</v>
      </c>
      <c r="T157" s="3" t="n">
        <v>1576.38</v>
      </c>
      <c r="U157" s="3" t="n">
        <v>1620.803</v>
      </c>
      <c r="V157" s="3" t="n">
        <v>1646.083</v>
      </c>
      <c r="W157" s="3" t="n">
        <v>1704.098</v>
      </c>
      <c r="X157" s="3" t="n">
        <v>1808.053</v>
      </c>
      <c r="Y157" s="3" t="n">
        <v>1901.511</v>
      </c>
      <c r="Z157" s="3" t="n">
        <v>2001.638</v>
      </c>
      <c r="AA157" s="3" t="n">
        <v>1979.468</v>
      </c>
      <c r="AB157" s="3" t="n">
        <v>2208.259</v>
      </c>
      <c r="AC157" s="3" t="n">
        <v>2491.143</v>
      </c>
      <c r="AD157" s="3" t="n">
        <v>2629.518</v>
      </c>
      <c r="AE157" s="3" t="n">
        <v>2726.024</v>
      </c>
      <c r="AF157" s="3" t="n">
        <v>2854.421</v>
      </c>
      <c r="AG157" s="3" t="n">
        <v>3016.61501</v>
      </c>
      <c r="AH157" s="3" t="n">
        <v>3145.258644</v>
      </c>
      <c r="AI157" s="3" t="n">
        <v>3275.482116</v>
      </c>
      <c r="AJ157" s="3" t="n">
        <v>3416.855223</v>
      </c>
      <c r="AK157" s="3" t="n">
        <v>3573.931996</v>
      </c>
      <c r="AL157" s="3" t="n">
        <v>3739.064236</v>
      </c>
      <c r="AM157" s="3" t="n"/>
      <c r="AN157" s="3" t="n"/>
      <c r="AO157" s="3" t="n"/>
      <c r="AP157" s="3" t="n"/>
      <c r="AQ157" s="3" t="n"/>
      <c r="AR157" s="3" t="n"/>
      <c r="AS157" s="3" t="n"/>
      <c r="AT157" s="3" t="n"/>
      <c r="AU157" s="3" t="n"/>
    </row>
    <row r="158">
      <c r="A158" s="3" t="n">
        <v>2031</v>
      </c>
      <c r="B158" s="3" t="inlineStr">
        <is>
          <t>AUS</t>
        </is>
      </c>
      <c r="C158" s="3" t="inlineStr">
        <is>
          <t>IMF.RES:WEO</t>
        </is>
      </c>
      <c r="D158" s="3" t="inlineStr">
        <is>
          <t>AUS.NGDP_D.A</t>
        </is>
      </c>
      <c r="E158" s="3" t="inlineStr">
        <is>
          <t>Australia</t>
        </is>
      </c>
      <c r="F158" s="3" t="inlineStr">
        <is>
          <t>Gross domestic product (GDP), Price deflator, Index</t>
        </is>
      </c>
      <c r="G158" s="3" t="n">
        <v>48.558114</v>
      </c>
      <c r="H158" s="3" t="n">
        <v>50.2924</v>
      </c>
      <c r="I158" s="3" t="n">
        <v>51.715186</v>
      </c>
      <c r="J158" s="3" t="n">
        <v>53.264732</v>
      </c>
      <c r="K158" s="3" t="n">
        <v>55.118238</v>
      </c>
      <c r="L158" s="3" t="n">
        <v>57.673731</v>
      </c>
      <c r="M158" s="3" t="n">
        <v>60.617613</v>
      </c>
      <c r="N158" s="3" t="n">
        <v>63.292085</v>
      </c>
      <c r="O158" s="3" t="n">
        <v>67.275537</v>
      </c>
      <c r="P158" s="3" t="n">
        <v>67.58317</v>
      </c>
      <c r="Q158" s="3" t="n">
        <v>71.156879</v>
      </c>
      <c r="R158" s="3" t="n">
        <v>74.533002</v>
      </c>
      <c r="S158" s="3" t="n">
        <v>74.114007</v>
      </c>
      <c r="T158" s="3" t="n">
        <v>75.104268</v>
      </c>
      <c r="U158" s="3" t="n">
        <v>75.29418699999999</v>
      </c>
      <c r="V158" s="3" t="n">
        <v>74.734617</v>
      </c>
      <c r="W158" s="3" t="n">
        <v>75.33206800000001</v>
      </c>
      <c r="X158" s="3" t="n">
        <v>78.06384</v>
      </c>
      <c r="Y158" s="3" t="n">
        <v>79.87162600000001</v>
      </c>
      <c r="Z158" s="3" t="n">
        <v>82.449803</v>
      </c>
      <c r="AA158" s="3" t="n">
        <v>83.23698899999999</v>
      </c>
      <c r="AB158" s="3" t="n">
        <v>88.135193</v>
      </c>
      <c r="AC158" s="3" t="n">
        <v>95.410596</v>
      </c>
      <c r="AD158" s="3" t="n">
        <v>98.60502700000001</v>
      </c>
      <c r="AE158" s="3" t="n">
        <v>101.207913</v>
      </c>
      <c r="AF158" s="3" t="n">
        <v>103.92645</v>
      </c>
      <c r="AG158" s="3" t="n">
        <v>107.669157</v>
      </c>
      <c r="AH158" s="3" t="n">
        <v>110.386828</v>
      </c>
      <c r="AI158" s="3" t="n">
        <v>112.863272</v>
      </c>
      <c r="AJ158" s="3" t="n">
        <v>115.361363</v>
      </c>
      <c r="AK158" s="3" t="n">
        <v>117.99912</v>
      </c>
      <c r="AL158" s="3" t="n">
        <v>120.646175</v>
      </c>
      <c r="AM158" s="3" t="n"/>
      <c r="AN158" s="3" t="n"/>
      <c r="AO158" s="3" t="n"/>
      <c r="AP158" s="3" t="n"/>
      <c r="AQ158" s="3" t="n"/>
      <c r="AR158" s="3" t="n"/>
      <c r="AS158" s="3" t="n"/>
      <c r="AT158" s="3" t="n"/>
      <c r="AU158" s="3" t="n"/>
    </row>
    <row r="159">
      <c r="A159" s="3" t="n">
        <v>2031</v>
      </c>
      <c r="B159" s="3" t="inlineStr">
        <is>
          <t>AUS</t>
        </is>
      </c>
      <c r="C159" s="3" t="inlineStr">
        <is>
          <t>IMF.RES:WEO</t>
        </is>
      </c>
      <c r="D159" s="3" t="inlineStr">
        <is>
          <t>AUS.NGDP_R.A</t>
        </is>
      </c>
      <c r="E159" s="3" t="inlineStr">
        <is>
          <t>Australia</t>
        </is>
      </c>
      <c r="F159" s="3" t="inlineStr">
        <is>
          <t>Gross domestic product (GDP), Constant prices, Domestic currency</t>
        </is>
      </c>
      <c r="G159" s="3" t="n">
        <v>1418.385</v>
      </c>
      <c r="H159" s="3" t="n">
        <v>1455.029</v>
      </c>
      <c r="I159" s="3" t="n">
        <v>1515.375</v>
      </c>
      <c r="J159" s="3" t="n">
        <v>1561.108</v>
      </c>
      <c r="K159" s="3" t="n">
        <v>1625.159</v>
      </c>
      <c r="L159" s="3" t="n">
        <v>1674.57</v>
      </c>
      <c r="M159" s="3" t="n">
        <v>1718.715</v>
      </c>
      <c r="N159" s="3" t="n">
        <v>1793.605</v>
      </c>
      <c r="O159" s="3" t="n">
        <v>1841.387</v>
      </c>
      <c r="P159" s="3" t="n">
        <v>1877.79</v>
      </c>
      <c r="Q159" s="3" t="n">
        <v>1923.391</v>
      </c>
      <c r="R159" s="3" t="n">
        <v>1976.295</v>
      </c>
      <c r="S159" s="3" t="n">
        <v>2052.867</v>
      </c>
      <c r="T159" s="3" t="n">
        <v>2098.922</v>
      </c>
      <c r="U159" s="3" t="n">
        <v>2152.627</v>
      </c>
      <c r="V159" s="3" t="n">
        <v>2202.571</v>
      </c>
      <c r="W159" s="3" t="n">
        <v>2262.115</v>
      </c>
      <c r="X159" s="3" t="n">
        <v>2316.121</v>
      </c>
      <c r="Y159" s="3" t="n">
        <v>2380.709</v>
      </c>
      <c r="Z159" s="3" t="n">
        <v>2427.705</v>
      </c>
      <c r="AA159" s="3" t="n">
        <v>2378.111</v>
      </c>
      <c r="AB159" s="3" t="n">
        <v>2505.536</v>
      </c>
      <c r="AC159" s="3" t="n">
        <v>2610.971</v>
      </c>
      <c r="AD159" s="3" t="n">
        <v>2666.718</v>
      </c>
      <c r="AE159" s="3" t="n">
        <v>2693.489</v>
      </c>
      <c r="AF159" s="3" t="n">
        <v>2746.578</v>
      </c>
      <c r="AG159" s="3" t="n">
        <v>2801.744798</v>
      </c>
      <c r="AH159" s="3" t="n">
        <v>2849.306129</v>
      </c>
      <c r="AI159" s="3" t="n">
        <v>2902.168313</v>
      </c>
      <c r="AJ159" s="3" t="n">
        <v>2961.87141</v>
      </c>
      <c r="AK159" s="3" t="n">
        <v>3028.778509</v>
      </c>
      <c r="AL159" s="3" t="n">
        <v>3099.198334</v>
      </c>
      <c r="AM159" s="3" t="n"/>
      <c r="AN159" s="3" t="n"/>
      <c r="AO159" s="3" t="n"/>
      <c r="AP159" s="3" t="n"/>
      <c r="AQ159" s="3" t="n"/>
      <c r="AR159" s="3" t="n"/>
      <c r="AS159" s="3" t="n"/>
      <c r="AT159" s="3" t="n"/>
      <c r="AU159" s="3" t="n"/>
    </row>
    <row r="160">
      <c r="A160" s="3" t="n">
        <v>2031</v>
      </c>
      <c r="B160" s="3" t="inlineStr">
        <is>
          <t>AUS</t>
        </is>
      </c>
      <c r="C160" s="3" t="inlineStr">
        <is>
          <t>IMF.RES:WEO</t>
        </is>
      </c>
      <c r="D160" s="3" t="inlineStr">
        <is>
          <t>AUS.NGDP_RPCH.A</t>
        </is>
      </c>
      <c r="E160" s="3" t="inlineStr">
        <is>
          <t>Australia</t>
        </is>
      </c>
      <c r="F160" s="3" t="inlineStr">
        <is>
          <t>Gross domestic product (GDP), Constant prices, Percent change</t>
        </is>
      </c>
      <c r="G160" s="3" t="n">
        <v>3.10833</v>
      </c>
      <c r="H160" s="3" t="n">
        <v>2.583502</v>
      </c>
      <c r="I160" s="3" t="n">
        <v>4.147409</v>
      </c>
      <c r="J160" s="3" t="n">
        <v>3.017933</v>
      </c>
      <c r="K160" s="3" t="n">
        <v>4.102919</v>
      </c>
      <c r="L160" s="3" t="n">
        <v>3.040379</v>
      </c>
      <c r="M160" s="3" t="n">
        <v>2.636199</v>
      </c>
      <c r="N160" s="3" t="n">
        <v>4.357325</v>
      </c>
      <c r="O160" s="3" t="n">
        <v>2.66402</v>
      </c>
      <c r="P160" s="3" t="n">
        <v>1.976934</v>
      </c>
      <c r="Q160" s="3" t="n">
        <v>2.42844</v>
      </c>
      <c r="R160" s="3" t="n">
        <v>2.750559</v>
      </c>
      <c r="S160" s="3" t="n">
        <v>3.874523</v>
      </c>
      <c r="T160" s="3" t="n">
        <v>2.243448</v>
      </c>
      <c r="U160" s="3" t="n">
        <v>2.558694</v>
      </c>
      <c r="V160" s="3" t="n">
        <v>2.320142</v>
      </c>
      <c r="W160" s="3" t="n">
        <v>2.703386</v>
      </c>
      <c r="X160" s="3" t="n">
        <v>2.387412</v>
      </c>
      <c r="Y160" s="3" t="n">
        <v>2.788628</v>
      </c>
      <c r="Z160" s="3" t="n">
        <v>1.974034</v>
      </c>
      <c r="AA160" s="3" t="n">
        <v>-2.042835</v>
      </c>
      <c r="AB160" s="3" t="n">
        <v>5.358244</v>
      </c>
      <c r="AC160" s="3" t="n">
        <v>4.208082</v>
      </c>
      <c r="AD160" s="3" t="n">
        <v>2.135106</v>
      </c>
      <c r="AE160" s="3" t="n">
        <v>1.003893</v>
      </c>
      <c r="AF160" s="3" t="n">
        <v>1.971012</v>
      </c>
      <c r="AG160" s="3" t="n">
        <v>2.008565</v>
      </c>
      <c r="AH160" s="3" t="n">
        <v>1.697561</v>
      </c>
      <c r="AI160" s="3" t="n">
        <v>1.855265</v>
      </c>
      <c r="AJ160" s="3" t="n">
        <v>2.057189</v>
      </c>
      <c r="AK160" s="3" t="n">
        <v>2.258947</v>
      </c>
      <c r="AL160" s="3" t="n">
        <v>2.325024</v>
      </c>
      <c r="AM160" s="3" t="n"/>
      <c r="AN160" s="3" t="n"/>
      <c r="AO160" s="3" t="n"/>
      <c r="AP160" s="3" t="n"/>
      <c r="AQ160" s="3" t="n"/>
      <c r="AR160" s="3" t="n"/>
      <c r="AS160" s="3" t="n"/>
      <c r="AT160" s="3" t="n"/>
      <c r="AU160" s="3" t="n"/>
    </row>
    <row r="161">
      <c r="A161" s="3" t="n">
        <v>2031</v>
      </c>
      <c r="B161" s="3" t="inlineStr">
        <is>
          <t>AUS</t>
        </is>
      </c>
      <c r="C161" s="3" t="inlineStr">
        <is>
          <t>IMF.RES:WEO</t>
        </is>
      </c>
      <c r="D161" s="3" t="inlineStr">
        <is>
          <t>AUS.NGDPD.A</t>
        </is>
      </c>
      <c r="E161" s="3" t="inlineStr">
        <is>
          <t>Australia</t>
        </is>
      </c>
      <c r="F161" s="3" t="inlineStr">
        <is>
          <t>Gross domestic product (GDP), Current prices, US dollar</t>
        </is>
      </c>
      <c r="G161" s="3" t="n">
        <v>401.042602</v>
      </c>
      <c r="H161" s="3" t="n">
        <v>378.77607</v>
      </c>
      <c r="I161" s="3" t="n">
        <v>426.227063</v>
      </c>
      <c r="J161" s="3" t="n">
        <v>542.024446</v>
      </c>
      <c r="K161" s="3" t="n">
        <v>659.797173</v>
      </c>
      <c r="L161" s="3" t="n">
        <v>737.709284</v>
      </c>
      <c r="M161" s="3" t="n">
        <v>784.873775</v>
      </c>
      <c r="N161" s="3" t="n">
        <v>951.942375</v>
      </c>
      <c r="O161" s="3" t="n">
        <v>1059.504589</v>
      </c>
      <c r="P161" s="3" t="n">
        <v>1004.219727</v>
      </c>
      <c r="Q161" s="3" t="n">
        <v>1258.449651</v>
      </c>
      <c r="R161" s="3" t="n">
        <v>1520.440661</v>
      </c>
      <c r="S161" s="3" t="n">
        <v>1575.930021</v>
      </c>
      <c r="T161" s="3" t="n">
        <v>1526.608306</v>
      </c>
      <c r="U161" s="3" t="n">
        <v>1463.091484</v>
      </c>
      <c r="V161" s="3" t="n">
        <v>1238.86253</v>
      </c>
      <c r="W161" s="3" t="n">
        <v>1267.659506</v>
      </c>
      <c r="X161" s="3" t="n">
        <v>1386.366556</v>
      </c>
      <c r="Y161" s="3" t="n">
        <v>1422.597359</v>
      </c>
      <c r="Z161" s="3" t="n">
        <v>1391.987377</v>
      </c>
      <c r="AA161" s="3" t="n">
        <v>1366.669129</v>
      </c>
      <c r="AB161" s="3" t="n">
        <v>1660.123402</v>
      </c>
      <c r="AC161" s="3" t="n">
        <v>1731.233002</v>
      </c>
      <c r="AD161" s="3" t="n">
        <v>1748.174806</v>
      </c>
      <c r="AE161" s="3" t="n">
        <v>1799.41781</v>
      </c>
      <c r="AF161" s="3" t="n">
        <v>1839.960586</v>
      </c>
      <c r="AG161" s="3" t="n">
        <v>2123.963332</v>
      </c>
      <c r="AH161" s="3" t="n">
        <v>2211.254123</v>
      </c>
      <c r="AI161" s="3" t="n">
        <v>2292.785744</v>
      </c>
      <c r="AJ161" s="3" t="n">
        <v>2380.652929</v>
      </c>
      <c r="AK161" s="3" t="n">
        <v>2483.974729</v>
      </c>
      <c r="AL161" s="3" t="n">
        <v>2590.234966</v>
      </c>
      <c r="AM161" s="3" t="n"/>
      <c r="AN161" s="3" t="n"/>
      <c r="AO161" s="3" t="n"/>
      <c r="AP161" s="3" t="n"/>
      <c r="AQ161" s="3" t="n"/>
      <c r="AR161" s="3" t="n"/>
      <c r="AS161" s="3" t="n"/>
      <c r="AT161" s="3" t="n"/>
      <c r="AU161" s="3" t="n"/>
    </row>
    <row r="162">
      <c r="A162" s="3" t="n">
        <v>2031</v>
      </c>
      <c r="B162" s="3" t="inlineStr">
        <is>
          <t>AUS</t>
        </is>
      </c>
      <c r="C162" s="3" t="inlineStr">
        <is>
          <t>IMF.RES:WEO</t>
        </is>
      </c>
      <c r="D162" s="3" t="inlineStr">
        <is>
          <t>AUS.NGDPPC.A</t>
        </is>
      </c>
      <c r="E162" s="3" t="inlineStr">
        <is>
          <t>Australia</t>
        </is>
      </c>
      <c r="F162" s="3" t="inlineStr">
        <is>
          <t>Gross domestic product (GDP), Current prices, Per capita, Domestic currency</t>
        </is>
      </c>
      <c r="G162" s="3" t="n">
        <v>35982.430627</v>
      </c>
      <c r="H162" s="3" t="n">
        <v>37746.394249</v>
      </c>
      <c r="I162" s="3" t="n">
        <v>39972.525994</v>
      </c>
      <c r="J162" s="3" t="n">
        <v>41938.442505</v>
      </c>
      <c r="K162" s="3" t="n">
        <v>44685.167412</v>
      </c>
      <c r="L162" s="3" t="n">
        <v>47548.677124</v>
      </c>
      <c r="M162" s="3" t="n">
        <v>50507.411279</v>
      </c>
      <c r="N162" s="3" t="n">
        <v>54016.152648</v>
      </c>
      <c r="O162" s="3" t="n">
        <v>57684.141905</v>
      </c>
      <c r="P162" s="3" t="n">
        <v>58039.507953</v>
      </c>
      <c r="Q162" s="3" t="n">
        <v>61726.323758</v>
      </c>
      <c r="R162" s="3" t="n">
        <v>65401.790065</v>
      </c>
      <c r="S162" s="3" t="n">
        <v>66358.185352</v>
      </c>
      <c r="T162" s="3" t="n">
        <v>67662.249493</v>
      </c>
      <c r="U162" s="3" t="n">
        <v>68560.926664</v>
      </c>
      <c r="V162" s="3" t="n">
        <v>68630.88415</v>
      </c>
      <c r="W162" s="3" t="n">
        <v>69882.859442</v>
      </c>
      <c r="X162" s="3" t="n">
        <v>73026.038432</v>
      </c>
      <c r="Y162" s="3" t="n">
        <v>75618.40505099999</v>
      </c>
      <c r="Z162" s="3" t="n">
        <v>78432.652567</v>
      </c>
      <c r="AA162" s="3" t="n">
        <v>77230.358689</v>
      </c>
      <c r="AB162" s="3" t="n">
        <v>85678.457519</v>
      </c>
      <c r="AC162" s="3" t="n">
        <v>94647.26540800001</v>
      </c>
      <c r="AD162" s="3" t="n">
        <v>97546.135167</v>
      </c>
      <c r="AE162" s="3" t="n">
        <v>99533.496524</v>
      </c>
      <c r="AF162" s="3" t="n">
        <v>102934.88451</v>
      </c>
      <c r="AG162" s="3" t="n">
        <v>107440.843586</v>
      </c>
      <c r="AH162" s="3" t="n">
        <v>110694.329502</v>
      </c>
      <c r="AI162" s="3" t="n">
        <v>113910.49246</v>
      </c>
      <c r="AJ162" s="3" t="n">
        <v>117417.968424</v>
      </c>
      <c r="AK162" s="3" t="n">
        <v>121359.493846</v>
      </c>
      <c r="AL162" s="3" t="n">
        <v>125461.329567</v>
      </c>
      <c r="AM162" s="3" t="n"/>
      <c r="AN162" s="3" t="n"/>
      <c r="AO162" s="3" t="n"/>
      <c r="AP162" s="3" t="n"/>
      <c r="AQ162" s="3" t="n"/>
      <c r="AR162" s="3" t="n"/>
      <c r="AS162" s="3" t="n"/>
      <c r="AT162" s="3" t="n"/>
      <c r="AU162" s="3" t="n"/>
    </row>
    <row r="163">
      <c r="A163" s="3" t="n">
        <v>2031</v>
      </c>
      <c r="B163" s="3" t="inlineStr">
        <is>
          <t>AUS</t>
        </is>
      </c>
      <c r="C163" s="3" t="inlineStr">
        <is>
          <t>IMF.RES:WEO</t>
        </is>
      </c>
      <c r="D163" s="3" t="inlineStr">
        <is>
          <t>AUS.NGDPRPC.A</t>
        </is>
      </c>
      <c r="E163" s="3" t="inlineStr">
        <is>
          <t>Australia</t>
        </is>
      </c>
      <c r="F163" s="3" t="inlineStr">
        <is>
          <t>Gross domestic product (GDP), Constant prices, Per capita, Domestic currency</t>
        </is>
      </c>
      <c r="G163" s="3" t="n">
        <v>74101.78843</v>
      </c>
      <c r="H163" s="3" t="n">
        <v>75053.873938</v>
      </c>
      <c r="I163" s="3" t="n">
        <v>77293.594161</v>
      </c>
      <c r="J163" s="3" t="n">
        <v>78735.85494200001</v>
      </c>
      <c r="K163" s="3" t="n">
        <v>81071.47345</v>
      </c>
      <c r="L163" s="3" t="n">
        <v>82444.253497</v>
      </c>
      <c r="M163" s="3" t="n">
        <v>83321.34693499999</v>
      </c>
      <c r="N163" s="3" t="n">
        <v>85344.245972</v>
      </c>
      <c r="O163" s="3" t="n">
        <v>85743.11574199999</v>
      </c>
      <c r="P163" s="3" t="n">
        <v>85878.64155499999</v>
      </c>
      <c r="Q163" s="3" t="n">
        <v>86746.81200400001</v>
      </c>
      <c r="R163" s="3" t="n">
        <v>87748.76625</v>
      </c>
      <c r="S163" s="3" t="n">
        <v>89535.28178200001</v>
      </c>
      <c r="T163" s="3" t="n">
        <v>90091.08465600001</v>
      </c>
      <c r="U163" s="3" t="n">
        <v>91057.396785</v>
      </c>
      <c r="V163" s="3" t="n">
        <v>91832.790408</v>
      </c>
      <c r="W163" s="3" t="n">
        <v>92766.41636</v>
      </c>
      <c r="X163" s="3" t="n">
        <v>93546.561499</v>
      </c>
      <c r="Y163" s="3" t="n">
        <v>94674.928239</v>
      </c>
      <c r="Z163" s="3" t="n">
        <v>95127.761764</v>
      </c>
      <c r="AA163" s="3" t="n">
        <v>92783.700233</v>
      </c>
      <c r="AB163" s="3" t="n">
        <v>97212.536997</v>
      </c>
      <c r="AC163" s="3" t="n">
        <v>99199.951672</v>
      </c>
      <c r="AD163" s="3" t="n">
        <v>98926.12808900001</v>
      </c>
      <c r="AE163" s="3" t="n">
        <v>98345.56776400001</v>
      </c>
      <c r="AF163" s="3" t="n">
        <v>99045.897304</v>
      </c>
      <c r="AG163" s="3" t="n">
        <v>99787.94893899999</v>
      </c>
      <c r="AH163" s="3" t="n">
        <v>100278.56757</v>
      </c>
      <c r="AI163" s="3" t="n">
        <v>100927.866513</v>
      </c>
      <c r="AJ163" s="3" t="n">
        <v>101782.750788</v>
      </c>
      <c r="AK163" s="3" t="n">
        <v>102847.795437</v>
      </c>
      <c r="AL163" s="3" t="n">
        <v>103991.137634</v>
      </c>
      <c r="AM163" s="3" t="n"/>
      <c r="AN163" s="3" t="n"/>
      <c r="AO163" s="3" t="n"/>
      <c r="AP163" s="3" t="n"/>
      <c r="AQ163" s="3" t="n"/>
      <c r="AR163" s="3" t="n"/>
      <c r="AS163" s="3" t="n"/>
      <c r="AT163" s="3" t="n"/>
      <c r="AU163" s="3" t="n"/>
    </row>
    <row r="164">
      <c r="A164" s="3" t="n">
        <v>2031</v>
      </c>
      <c r="B164" s="3" t="inlineStr">
        <is>
          <t>AUS</t>
        </is>
      </c>
      <c r="C164" s="3" t="inlineStr">
        <is>
          <t>IMF.RES:WEO</t>
        </is>
      </c>
      <c r="D164" s="3" t="inlineStr">
        <is>
          <t>AUS.PCPI.A</t>
        </is>
      </c>
      <c r="E164" s="3" t="inlineStr">
        <is>
          <t>Australia</t>
        </is>
      </c>
      <c r="F164" s="3" t="inlineStr">
        <is>
          <t>All Items, Consumer price index (CPI), Period average</t>
        </is>
      </c>
      <c r="G164" s="3" t="n">
        <v>71.47499999999999</v>
      </c>
      <c r="H164" s="3" t="n">
        <v>74.625</v>
      </c>
      <c r="I164" s="3" t="n">
        <v>76.90000000000001</v>
      </c>
      <c r="J164" s="3" t="n">
        <v>79</v>
      </c>
      <c r="K164" s="3" t="n">
        <v>80.84999999999999</v>
      </c>
      <c r="L164" s="3" t="n">
        <v>83</v>
      </c>
      <c r="M164" s="3" t="n">
        <v>85.95</v>
      </c>
      <c r="N164" s="3" t="n">
        <v>87.97499999999999</v>
      </c>
      <c r="O164" s="3" t="n">
        <v>91.8</v>
      </c>
      <c r="P164" s="3" t="n">
        <v>93.425</v>
      </c>
      <c r="Q164" s="3" t="n">
        <v>96.09999999999999</v>
      </c>
      <c r="R164" s="3" t="n">
        <v>99.325</v>
      </c>
      <c r="S164" s="3" t="n">
        <v>101</v>
      </c>
      <c r="T164" s="3" t="n">
        <v>103.475</v>
      </c>
      <c r="U164" s="3" t="n">
        <v>106.075</v>
      </c>
      <c r="V164" s="3" t="n">
        <v>107.65</v>
      </c>
      <c r="W164" s="3" t="n">
        <v>109.025</v>
      </c>
      <c r="X164" s="3" t="n">
        <v>111.2</v>
      </c>
      <c r="Y164" s="3" t="n">
        <v>113.35</v>
      </c>
      <c r="Z164" s="3" t="n">
        <v>115.125</v>
      </c>
      <c r="AA164" s="3" t="n">
        <v>116.15</v>
      </c>
      <c r="AB164" s="3" t="n">
        <v>119.45</v>
      </c>
      <c r="AC164" s="3" t="n">
        <v>127.35</v>
      </c>
      <c r="AD164" s="3" t="n">
        <v>134.5</v>
      </c>
      <c r="AE164" s="3" t="n">
        <v>138.75</v>
      </c>
      <c r="AF164" s="3" t="n">
        <v>142.725</v>
      </c>
      <c r="AG164" s="3" t="n">
        <v>148.461567</v>
      </c>
      <c r="AH164" s="3" t="n">
        <v>153.14478</v>
      </c>
      <c r="AI164" s="3" t="n">
        <v>157.102494</v>
      </c>
      <c r="AJ164" s="3" t="n">
        <v>161.070762</v>
      </c>
      <c r="AK164" s="3" t="n">
        <v>165.094408</v>
      </c>
      <c r="AL164" s="3" t="n">
        <v>169.104968</v>
      </c>
      <c r="AM164" s="3" t="n"/>
      <c r="AN164" s="3" t="n"/>
      <c r="AO164" s="3" t="n"/>
      <c r="AP164" s="3" t="n"/>
      <c r="AQ164" s="3" t="n"/>
      <c r="AR164" s="3" t="n"/>
      <c r="AS164" s="3" t="n"/>
      <c r="AT164" s="3" t="n"/>
      <c r="AU164" s="3" t="n"/>
    </row>
    <row r="165">
      <c r="A165" s="3" t="n">
        <v>2031</v>
      </c>
      <c r="B165" s="3" t="inlineStr">
        <is>
          <t>AUS</t>
        </is>
      </c>
      <c r="C165" s="3" t="inlineStr">
        <is>
          <t>IMF.RES:WEO</t>
        </is>
      </c>
      <c r="D165" s="3" t="inlineStr">
        <is>
          <t>AUS.PCPIPCH.A</t>
        </is>
      </c>
      <c r="E165" s="3" t="inlineStr">
        <is>
          <t>Australia</t>
        </is>
      </c>
      <c r="F165" s="3" t="inlineStr">
        <is>
          <t>All Items, Consumer price index (CPI), Period average, percent change</t>
        </is>
      </c>
      <c r="G165" s="3" t="n">
        <v>4.457435</v>
      </c>
      <c r="H165" s="3" t="n">
        <v>4.407135</v>
      </c>
      <c r="I165" s="3" t="n">
        <v>3.048576</v>
      </c>
      <c r="J165" s="3" t="n">
        <v>2.730819</v>
      </c>
      <c r="K165" s="3" t="n">
        <v>2.341772</v>
      </c>
      <c r="L165" s="3" t="n">
        <v>2.659246</v>
      </c>
      <c r="M165" s="3" t="n">
        <v>3.554217</v>
      </c>
      <c r="N165" s="3" t="n">
        <v>2.356021</v>
      </c>
      <c r="O165" s="3" t="n">
        <v>4.347826</v>
      </c>
      <c r="P165" s="3" t="n">
        <v>1.770153</v>
      </c>
      <c r="Q165" s="3" t="n">
        <v>2.863259</v>
      </c>
      <c r="R165" s="3" t="n">
        <v>3.355879</v>
      </c>
      <c r="S165" s="3" t="n">
        <v>1.686383</v>
      </c>
      <c r="T165" s="3" t="n">
        <v>2.450495</v>
      </c>
      <c r="U165" s="3" t="n">
        <v>2.512684</v>
      </c>
      <c r="V165" s="3" t="n">
        <v>1.484798</v>
      </c>
      <c r="W165" s="3" t="n">
        <v>1.277288</v>
      </c>
      <c r="X165" s="3" t="n">
        <v>1.994955</v>
      </c>
      <c r="Y165" s="3" t="n">
        <v>1.933453</v>
      </c>
      <c r="Z165" s="3" t="n">
        <v>1.565946</v>
      </c>
      <c r="AA165" s="3" t="n">
        <v>0.890337</v>
      </c>
      <c r="AB165" s="3" t="n">
        <v>2.841154</v>
      </c>
      <c r="AC165" s="3" t="n">
        <v>6.613646</v>
      </c>
      <c r="AD165" s="3" t="n">
        <v>5.614448</v>
      </c>
      <c r="AE165" s="3" t="n">
        <v>3.159851</v>
      </c>
      <c r="AF165" s="3" t="n">
        <v>2.864865</v>
      </c>
      <c r="AG165" s="3" t="n">
        <v>4.019315</v>
      </c>
      <c r="AH165" s="3" t="n">
        <v>3.154495</v>
      </c>
      <c r="AI165" s="3" t="n">
        <v>2.584295</v>
      </c>
      <c r="AJ165" s="3" t="n">
        <v>2.52591</v>
      </c>
      <c r="AK165" s="3" t="n">
        <v>2.498061</v>
      </c>
      <c r="AL165" s="3" t="n">
        <v>2.429252</v>
      </c>
      <c r="AM165" s="3" t="n"/>
      <c r="AN165" s="3" t="n"/>
      <c r="AO165" s="3" t="n"/>
      <c r="AP165" s="3" t="n"/>
      <c r="AQ165" s="3" t="n"/>
      <c r="AR165" s="3" t="n"/>
      <c r="AS165" s="3" t="n"/>
      <c r="AT165" s="3" t="n"/>
      <c r="AU165" s="3" t="n"/>
    </row>
    <row r="166">
      <c r="A166" s="3" t="n">
        <v>2031</v>
      </c>
      <c r="B166" s="3" t="inlineStr">
        <is>
          <t>AUS</t>
        </is>
      </c>
      <c r="C166" s="3" t="inlineStr">
        <is>
          <t>IMF.RES:WEO</t>
        </is>
      </c>
      <c r="D166" s="3" t="inlineStr">
        <is>
          <t>AUS.PPPPC.A</t>
        </is>
      </c>
      <c r="E166" s="3" t="inlineStr">
        <is>
          <t>Australia</t>
        </is>
      </c>
      <c r="F166" s="3" t="inlineStr">
        <is>
          <t>Gross domestic product (GDP), Per capita, purchasing power parity (PPP) international dollar, ICP benchmarks 2017-2021</t>
        </is>
      </c>
      <c r="G166" s="3" t="n">
        <v>28471.012709</v>
      </c>
      <c r="H166" s="3" t="n">
        <v>29486.113839</v>
      </c>
      <c r="I166" s="3" t="n">
        <v>30837.922594</v>
      </c>
      <c r="J166" s="3" t="n">
        <v>32033.510345</v>
      </c>
      <c r="K166" s="3" t="n">
        <v>33870.645516</v>
      </c>
      <c r="L166" s="3" t="n">
        <v>35524.283472</v>
      </c>
      <c r="M166" s="3" t="n">
        <v>37009.394926</v>
      </c>
      <c r="N166" s="3" t="n">
        <v>38934.947317</v>
      </c>
      <c r="O166" s="3" t="n">
        <v>39870.468597</v>
      </c>
      <c r="P166" s="3" t="n">
        <v>40179.774541</v>
      </c>
      <c r="Q166" s="3" t="n">
        <v>41079.234242</v>
      </c>
      <c r="R166" s="3" t="n">
        <v>42411.069232</v>
      </c>
      <c r="S166" s="3" t="n">
        <v>44080.277215</v>
      </c>
      <c r="T166" s="3" t="n">
        <v>45108.817505</v>
      </c>
      <c r="U166" s="3" t="n">
        <v>46386.74625</v>
      </c>
      <c r="V166" s="3" t="n">
        <v>47215.909252</v>
      </c>
      <c r="W166" s="3" t="n">
        <v>48149.151856</v>
      </c>
      <c r="X166" s="3" t="n">
        <v>49423.625518</v>
      </c>
      <c r="Y166" s="3" t="n">
        <v>51426.994718</v>
      </c>
      <c r="Z166" s="3" t="n">
        <v>53748.492316</v>
      </c>
      <c r="AA166" s="3" t="n">
        <v>53963.371401</v>
      </c>
      <c r="AB166" s="3" t="n">
        <v>60478.220768</v>
      </c>
      <c r="AC166" s="3" t="n">
        <v>66104.039099</v>
      </c>
      <c r="AD166" s="3" t="n">
        <v>68360.690931</v>
      </c>
      <c r="AE166" s="3" t="n">
        <v>69646.632917</v>
      </c>
      <c r="AF166" s="3" t="n">
        <v>72132.375845</v>
      </c>
      <c r="AG166" s="3" t="n">
        <v>74754.758502</v>
      </c>
      <c r="AH166" s="3" t="n">
        <v>76771.910731</v>
      </c>
      <c r="AI166" s="3" t="n">
        <v>78537.291317</v>
      </c>
      <c r="AJ166" s="3" t="n">
        <v>80610.828631</v>
      </c>
      <c r="AK166" s="3" t="n">
        <v>82951.077597</v>
      </c>
      <c r="AL166" s="3" t="n">
        <v>85387.39616800001</v>
      </c>
      <c r="AM166" s="3" t="n"/>
      <c r="AN166" s="3" t="n"/>
      <c r="AO166" s="3" t="n"/>
      <c r="AP166" s="3" t="n"/>
      <c r="AQ166" s="3" t="n"/>
      <c r="AR166" s="3" t="n"/>
      <c r="AS166" s="3" t="n"/>
      <c r="AT166" s="3" t="n"/>
      <c r="AU166" s="3" t="n"/>
    </row>
    <row r="167">
      <c r="A167" s="3" t="n">
        <v>2025</v>
      </c>
      <c r="B167" s="3" t="inlineStr">
        <is>
          <t>AUS</t>
        </is>
      </c>
      <c r="C167" s="3" t="inlineStr">
        <is>
          <t>IMF.STA:ER</t>
        </is>
      </c>
      <c r="D167" s="3" t="inlineStr">
        <is>
          <t>AUS.XDC_USD.PA_RT.A</t>
        </is>
      </c>
      <c r="E167" s="3" t="inlineStr">
        <is>
          <t>Australia</t>
        </is>
      </c>
      <c r="F167" s="3" t="inlineStr">
        <is>
          <t>Domestic currency per US Dollar</t>
        </is>
      </c>
      <c r="G167" s="3" t="n">
        <v>1.72482666666666</v>
      </c>
      <c r="H167" s="3" t="n">
        <v>1.9334425</v>
      </c>
      <c r="I167" s="3" t="n">
        <v>1.8405625</v>
      </c>
      <c r="J167" s="3" t="n">
        <v>1.54191416666666</v>
      </c>
      <c r="K167" s="3" t="n">
        <v>1.3597525</v>
      </c>
      <c r="L167" s="3" t="n">
        <v>1.30947333333333</v>
      </c>
      <c r="M167" s="3" t="n">
        <v>1.3279734405</v>
      </c>
      <c r="N167" s="3" t="n">
        <v>1.1950725</v>
      </c>
      <c r="O167" s="3" t="n">
        <v>1.19217833333333</v>
      </c>
      <c r="P167" s="3" t="n">
        <v>1.28218881008451</v>
      </c>
      <c r="Q167" s="3" t="n">
        <v>1.09015948638677</v>
      </c>
      <c r="R167" s="3" t="n">
        <v>0.969463201496735</v>
      </c>
      <c r="S167" s="3" t="n">
        <v>0.965801030658707</v>
      </c>
      <c r="T167" s="3" t="n">
        <v>1.03584309652053</v>
      </c>
      <c r="U167" s="3" t="n">
        <v>1.10936329281691</v>
      </c>
      <c r="V167" s="3" t="n">
        <v>1.33109026245501</v>
      </c>
      <c r="W167" s="3" t="n">
        <v>1.34521397601946</v>
      </c>
      <c r="X167" s="3" t="n">
        <v>1.30475807671592</v>
      </c>
      <c r="Y167" s="3" t="n">
        <v>1.3384121464645</v>
      </c>
      <c r="Z167" s="3" t="n">
        <v>1.43850654421381</v>
      </c>
      <c r="AA167" s="3" t="n">
        <v>1.45308511847016</v>
      </c>
      <c r="AB167" s="3" t="n">
        <v>1.3312242595708</v>
      </c>
      <c r="AC167" s="3" t="n">
        <v>1.44166445896521</v>
      </c>
      <c r="AD167" s="3" t="n">
        <v>1.50519106560508</v>
      </c>
      <c r="AE167" s="3" t="n">
        <v>1.51535803855596</v>
      </c>
      <c r="AF167" s="3" t="n">
        <v>1.5519978866485</v>
      </c>
      <c r="AG167" s="3" t="n"/>
      <c r="AH167" s="3" t="n"/>
      <c r="AI167" s="3" t="n"/>
      <c r="AJ167" s="3" t="n"/>
      <c r="AK167" s="3" t="n"/>
      <c r="AL167" s="3" t="n"/>
      <c r="AM167" s="3" t="n"/>
      <c r="AN167" s="3" t="n"/>
      <c r="AO167" s="3" t="n"/>
      <c r="AP167" s="3" t="n"/>
      <c r="AQ167" s="3" t="n"/>
      <c r="AR167" s="3" t="n"/>
      <c r="AS167" s="3" t="n"/>
      <c r="AT167" s="3" t="n"/>
      <c r="AU167" s="3" t="n"/>
    </row>
    <row r="168">
      <c r="A168" s="3" t="n">
        <v>2031</v>
      </c>
      <c r="B168" s="3" t="inlineStr">
        <is>
          <t>AUT</t>
        </is>
      </c>
      <c r="C168" s="3" t="inlineStr">
        <is>
          <t>IMF.RES:WEO</t>
        </is>
      </c>
      <c r="D168" s="3" t="inlineStr">
        <is>
          <t>AUT.BCA.A</t>
        </is>
      </c>
      <c r="E168" s="3" t="inlineStr">
        <is>
          <t>Austria</t>
        </is>
      </c>
      <c r="F168" s="3" t="inlineStr">
        <is>
          <t>Current account balance (credit less debit), US dollar</t>
        </is>
      </c>
      <c r="G168" s="3" t="n">
        <v>-1.393423</v>
      </c>
      <c r="H168" s="3" t="n">
        <v>-1.572736</v>
      </c>
      <c r="I168" s="3" t="n">
        <v>4.504365</v>
      </c>
      <c r="J168" s="3" t="n">
        <v>4.059849</v>
      </c>
      <c r="K168" s="3" t="n">
        <v>6.255232</v>
      </c>
      <c r="L168" s="3" t="n">
        <v>7.142536</v>
      </c>
      <c r="M168" s="3" t="n">
        <v>11.079991</v>
      </c>
      <c r="N168" s="3" t="n">
        <v>14.800166</v>
      </c>
      <c r="O168" s="3" t="n">
        <v>19.397139</v>
      </c>
      <c r="P168" s="3" t="n">
        <v>10.420251</v>
      </c>
      <c r="Q168" s="3" t="n">
        <v>11.207475</v>
      </c>
      <c r="R168" s="3" t="n">
        <v>7.037879</v>
      </c>
      <c r="S168" s="3" t="n">
        <v>6.074471</v>
      </c>
      <c r="T168" s="3" t="n">
        <v>7.45882</v>
      </c>
      <c r="U168" s="3" t="n">
        <v>10.515136</v>
      </c>
      <c r="V168" s="3" t="n">
        <v>5.986428</v>
      </c>
      <c r="W168" s="3" t="n">
        <v>10.132008</v>
      </c>
      <c r="X168" s="3" t="n">
        <v>5.244388</v>
      </c>
      <c r="Y168" s="3" t="n">
        <v>3.830391</v>
      </c>
      <c r="Z168" s="3" t="n">
        <v>10.525341</v>
      </c>
      <c r="AA168" s="3" t="n">
        <v>14.614114</v>
      </c>
      <c r="AB168" s="3" t="n">
        <v>8.340312000000001</v>
      </c>
      <c r="AC168" s="3" t="n">
        <v>-6.129349</v>
      </c>
      <c r="AD168" s="3" t="n">
        <v>8.298966999999999</v>
      </c>
      <c r="AE168" s="3" t="n">
        <v>8.164102</v>
      </c>
      <c r="AF168" s="3" t="n">
        <v>5.994882</v>
      </c>
      <c r="AG168" s="3" t="n">
        <v>2.732039</v>
      </c>
      <c r="AH168" s="3" t="n">
        <v>4.737688</v>
      </c>
      <c r="AI168" s="3" t="n">
        <v>10.699116</v>
      </c>
      <c r="AJ168" s="3" t="n">
        <v>14.71198</v>
      </c>
      <c r="AK168" s="3" t="n">
        <v>16.6965</v>
      </c>
      <c r="AL168" s="3" t="n">
        <v>18.364686</v>
      </c>
      <c r="AM168" s="3" t="n"/>
      <c r="AN168" s="3" t="n"/>
      <c r="AO168" s="3" t="n"/>
      <c r="AP168" s="3" t="n"/>
      <c r="AQ168" s="3" t="n"/>
      <c r="AR168" s="3" t="n"/>
      <c r="AS168" s="3" t="n"/>
      <c r="AT168" s="3" t="n"/>
      <c r="AU168" s="3" t="n"/>
    </row>
    <row r="169">
      <c r="A169" s="3" t="n">
        <v>2031</v>
      </c>
      <c r="B169" s="3" t="inlineStr">
        <is>
          <t>AUT</t>
        </is>
      </c>
      <c r="C169" s="3" t="inlineStr">
        <is>
          <t>IMF.RES:WEO</t>
        </is>
      </c>
      <c r="D169" s="3" t="inlineStr">
        <is>
          <t>AUT.BCA_NGDPD.A</t>
        </is>
      </c>
      <c r="E169" s="3" t="inlineStr">
        <is>
          <t>Austria</t>
        </is>
      </c>
      <c r="F169" s="3" t="inlineStr">
        <is>
          <t>Current account balance (credit less debit), Percent of GDP</t>
        </is>
      </c>
      <c r="G169" s="3" t="n">
        <v>-0.709958</v>
      </c>
      <c r="H169" s="3" t="n">
        <v>-0.800462</v>
      </c>
      <c r="I169" s="3" t="n">
        <v>2.117839</v>
      </c>
      <c r="J169" s="3" t="n">
        <v>1.557201</v>
      </c>
      <c r="K169" s="3" t="n">
        <v>2.091529</v>
      </c>
      <c r="L169" s="3" t="n">
        <v>2.273781</v>
      </c>
      <c r="M169" s="3" t="n">
        <v>3.318122</v>
      </c>
      <c r="N169" s="3" t="n">
        <v>3.826253</v>
      </c>
      <c r="O169" s="3" t="n">
        <v>4.519504</v>
      </c>
      <c r="P169" s="3" t="n">
        <v>2.612531</v>
      </c>
      <c r="Q169" s="3" t="n">
        <v>2.872635</v>
      </c>
      <c r="R169" s="3" t="n">
        <v>1.640993</v>
      </c>
      <c r="S169" s="3" t="n">
        <v>1.492469</v>
      </c>
      <c r="T169" s="3" t="n">
        <v>1.748489</v>
      </c>
      <c r="U169" s="3" t="n">
        <v>2.397055</v>
      </c>
      <c r="V169" s="3" t="n">
        <v>1.5771</v>
      </c>
      <c r="W169" s="3" t="n">
        <v>2.574328</v>
      </c>
      <c r="X169" s="3" t="n">
        <v>1.264379</v>
      </c>
      <c r="Y169" s="3" t="n">
        <v>0.845958</v>
      </c>
      <c r="Z169" s="3" t="n">
        <v>2.375749</v>
      </c>
      <c r="AA169" s="3" t="n">
        <v>3.36692</v>
      </c>
      <c r="AB169" s="3" t="n">
        <v>1.734725</v>
      </c>
      <c r="AC169" s="3" t="n">
        <v>-1.294221</v>
      </c>
      <c r="AD169" s="3" t="n">
        <v>1.605776</v>
      </c>
      <c r="AE169" s="3" t="n">
        <v>1.527057</v>
      </c>
      <c r="AF169" s="3" t="n">
        <v>1.033728</v>
      </c>
      <c r="AG169" s="3" t="n">
        <v>0.438024</v>
      </c>
      <c r="AH169" s="3" t="n">
        <v>0.7348749999999999</v>
      </c>
      <c r="AI169" s="3" t="n">
        <v>1.610217</v>
      </c>
      <c r="AJ169" s="3" t="n">
        <v>2.14456</v>
      </c>
      <c r="AK169" s="3" t="n">
        <v>2.362999</v>
      </c>
      <c r="AL169" s="3" t="n">
        <v>2.525782</v>
      </c>
      <c r="AM169" s="3" t="n"/>
      <c r="AN169" s="3" t="n"/>
      <c r="AO169" s="3" t="n"/>
      <c r="AP169" s="3" t="n"/>
      <c r="AQ169" s="3" t="n"/>
      <c r="AR169" s="3" t="n"/>
      <c r="AS169" s="3" t="n"/>
      <c r="AT169" s="3" t="n"/>
      <c r="AU169" s="3" t="n"/>
    </row>
    <row r="170">
      <c r="A170" s="3" t="n">
        <v>2031</v>
      </c>
      <c r="B170" s="3" t="inlineStr">
        <is>
          <t>AUT</t>
        </is>
      </c>
      <c r="C170" s="3" t="inlineStr">
        <is>
          <t>IMF.RES:WEO</t>
        </is>
      </c>
      <c r="D170" s="3" t="inlineStr">
        <is>
          <t>AUT.GGR_NGDP.A</t>
        </is>
      </c>
      <c r="E170" s="3" t="inlineStr">
        <is>
          <t>Austria</t>
        </is>
      </c>
      <c r="F170" s="3" t="inlineStr">
        <is>
          <t>Revenue, General government, Percent of GDP</t>
        </is>
      </c>
      <c r="G170" s="3" t="n">
        <v>48.865404</v>
      </c>
      <c r="H170" s="3" t="n">
        <v>51.102846</v>
      </c>
      <c r="I170" s="3" t="n">
        <v>50.186172</v>
      </c>
      <c r="J170" s="3" t="n">
        <v>49.923701</v>
      </c>
      <c r="K170" s="3" t="n">
        <v>49.375223</v>
      </c>
      <c r="L170" s="3" t="n">
        <v>49.084425</v>
      </c>
      <c r="M170" s="3" t="n">
        <v>48.311684</v>
      </c>
      <c r="N170" s="3" t="n">
        <v>48.159448</v>
      </c>
      <c r="O170" s="3" t="n">
        <v>48.83257</v>
      </c>
      <c r="P170" s="3" t="n">
        <v>49.216817</v>
      </c>
      <c r="Q170" s="3" t="n">
        <v>48.892265</v>
      </c>
      <c r="R170" s="3" t="n">
        <v>48.858882</v>
      </c>
      <c r="S170" s="3" t="n">
        <v>49.576834</v>
      </c>
      <c r="T170" s="3" t="n">
        <v>50.434989</v>
      </c>
      <c r="U170" s="3" t="n">
        <v>50.472656</v>
      </c>
      <c r="V170" s="3" t="n">
        <v>50.739074</v>
      </c>
      <c r="W170" s="3" t="n">
        <v>49.188325</v>
      </c>
      <c r="X170" s="3" t="n">
        <v>49.045331</v>
      </c>
      <c r="Y170" s="3" t="n">
        <v>49.388077</v>
      </c>
      <c r="Z170" s="3" t="n">
        <v>49.610216</v>
      </c>
      <c r="AA170" s="3" t="n">
        <v>49.108391</v>
      </c>
      <c r="AB170" s="3" t="n">
        <v>50.333123</v>
      </c>
      <c r="AC170" s="3" t="n">
        <v>49.5547</v>
      </c>
      <c r="AD170" s="3" t="n">
        <v>49.618134</v>
      </c>
      <c r="AE170" s="3" t="n">
        <v>50.509677</v>
      </c>
      <c r="AF170" s="3" t="n">
        <v>50.664317</v>
      </c>
      <c r="AG170" s="3" t="n">
        <v>50.98122</v>
      </c>
      <c r="AH170" s="3" t="n">
        <v>51.533034</v>
      </c>
      <c r="AI170" s="3" t="n">
        <v>51.533034</v>
      </c>
      <c r="AJ170" s="3" t="n">
        <v>51.533034</v>
      </c>
      <c r="AK170" s="3" t="n">
        <v>51.533034</v>
      </c>
      <c r="AL170" s="3" t="n">
        <v>51.550707</v>
      </c>
      <c r="AM170" s="3" t="n"/>
      <c r="AN170" s="3" t="n"/>
      <c r="AO170" s="3" t="n"/>
      <c r="AP170" s="3" t="n"/>
      <c r="AQ170" s="3" t="n"/>
      <c r="AR170" s="3" t="n"/>
      <c r="AS170" s="3" t="n"/>
      <c r="AT170" s="3" t="n"/>
      <c r="AU170" s="3" t="n"/>
    </row>
    <row r="171">
      <c r="A171" s="3" t="n">
        <v>2031</v>
      </c>
      <c r="B171" s="3" t="inlineStr">
        <is>
          <t>AUT</t>
        </is>
      </c>
      <c r="C171" s="3" t="inlineStr">
        <is>
          <t>IMF.RES:WEO</t>
        </is>
      </c>
      <c r="D171" s="3" t="inlineStr">
        <is>
          <t>AUT.GGX_NGDP.A</t>
        </is>
      </c>
      <c r="E171" s="3" t="inlineStr">
        <is>
          <t>Austria</t>
        </is>
      </c>
      <c r="F171" s="3" t="inlineStr">
        <is>
          <t>Expenditure, General government, Percent of GDP</t>
        </is>
      </c>
      <c r="G171" s="3" t="n">
        <v>50.940267</v>
      </c>
      <c r="H171" s="3" t="n">
        <v>51.81533</v>
      </c>
      <c r="I171" s="3" t="n">
        <v>51.611837</v>
      </c>
      <c r="J171" s="3" t="n">
        <v>51.762414</v>
      </c>
      <c r="K171" s="3" t="n">
        <v>54.316154</v>
      </c>
      <c r="L171" s="3" t="n">
        <v>51.672446</v>
      </c>
      <c r="M171" s="3" t="n">
        <v>50.92023</v>
      </c>
      <c r="N171" s="3" t="n">
        <v>49.719675</v>
      </c>
      <c r="O171" s="3" t="n">
        <v>50.404288</v>
      </c>
      <c r="P171" s="3" t="n">
        <v>54.597325</v>
      </c>
      <c r="Q171" s="3" t="n">
        <v>53.357143</v>
      </c>
      <c r="R171" s="3" t="n">
        <v>51.340653</v>
      </c>
      <c r="S171" s="3" t="n">
        <v>51.75347</v>
      </c>
      <c r="T171" s="3" t="n">
        <v>52.427569</v>
      </c>
      <c r="U171" s="3" t="n">
        <v>52.395934</v>
      </c>
      <c r="V171" s="3" t="n">
        <v>51.215566</v>
      </c>
      <c r="W171" s="3" t="n">
        <v>50.639688</v>
      </c>
      <c r="X171" s="3" t="n">
        <v>49.821002</v>
      </c>
      <c r="Y171" s="3" t="n">
        <v>49.192896</v>
      </c>
      <c r="Z171" s="3" t="n">
        <v>49.073961</v>
      </c>
      <c r="AA171" s="3" t="n">
        <v>57.312843</v>
      </c>
      <c r="AB171" s="3" t="n">
        <v>56.026428</v>
      </c>
      <c r="AC171" s="3" t="n">
        <v>52.96516</v>
      </c>
      <c r="AD171" s="3" t="n">
        <v>52.208555</v>
      </c>
      <c r="AE171" s="3" t="n">
        <v>55.186177</v>
      </c>
      <c r="AF171" s="3" t="n">
        <v>55.183431</v>
      </c>
      <c r="AG171" s="3" t="n">
        <v>55.166286</v>
      </c>
      <c r="AH171" s="3" t="n">
        <v>55.309511</v>
      </c>
      <c r="AI171" s="3" t="n">
        <v>55.381501</v>
      </c>
      <c r="AJ171" s="3" t="n">
        <v>55.226859</v>
      </c>
      <c r="AK171" s="3" t="n">
        <v>55.177237</v>
      </c>
      <c r="AL171" s="3" t="n">
        <v>55.195123</v>
      </c>
      <c r="AM171" s="3" t="n"/>
      <c r="AN171" s="3" t="n"/>
      <c r="AO171" s="3" t="n"/>
      <c r="AP171" s="3" t="n"/>
      <c r="AQ171" s="3" t="n"/>
      <c r="AR171" s="3" t="n"/>
      <c r="AS171" s="3" t="n"/>
      <c r="AT171" s="3" t="n"/>
      <c r="AU171" s="3" t="n"/>
    </row>
    <row r="172">
      <c r="A172" s="3" t="n">
        <v>2027</v>
      </c>
      <c r="B172" s="3" t="inlineStr">
        <is>
          <t>AUT</t>
        </is>
      </c>
      <c r="C172" s="3" t="inlineStr">
        <is>
          <t>IMF.RES:WEO</t>
        </is>
      </c>
      <c r="D172" s="3" t="inlineStr">
        <is>
          <t>AUT.LE.A</t>
        </is>
      </c>
      <c r="E172" s="3" t="inlineStr">
        <is>
          <t>Austria</t>
        </is>
      </c>
      <c r="F172" s="3" t="inlineStr">
        <is>
          <t>Employed persons, Persons for countries / Index for country groups</t>
        </is>
      </c>
      <c r="G172" s="3" t="n">
        <v>3.635385</v>
      </c>
      <c r="H172" s="3" t="n">
        <v>3.652119</v>
      </c>
      <c r="I172" s="3" t="n">
        <v>3.660259</v>
      </c>
      <c r="J172" s="3" t="n">
        <v>3.694558</v>
      </c>
      <c r="K172" s="3" t="n">
        <v>3.710625</v>
      </c>
      <c r="L172" s="3" t="n">
        <v>3.7474</v>
      </c>
      <c r="M172" s="3" t="n">
        <v>3.8261</v>
      </c>
      <c r="N172" s="3" t="n">
        <v>3.9239</v>
      </c>
      <c r="O172" s="3" t="n">
        <v>3.9943</v>
      </c>
      <c r="P172" s="3" t="n">
        <v>3.9823</v>
      </c>
      <c r="Q172" s="3" t="n">
        <v>4.0168</v>
      </c>
      <c r="R172" s="3" t="n">
        <v>4.0527</v>
      </c>
      <c r="S172" s="3" t="n">
        <v>4.0848</v>
      </c>
      <c r="T172" s="3" t="n">
        <v>4.1049</v>
      </c>
      <c r="U172" s="3" t="n">
        <v>4.1127</v>
      </c>
      <c r="V172" s="3" t="n">
        <v>4.1482</v>
      </c>
      <c r="W172" s="3" t="n">
        <v>4.2204</v>
      </c>
      <c r="X172" s="3" t="n">
        <v>4.2601</v>
      </c>
      <c r="Y172" s="3" t="n">
        <v>4.319</v>
      </c>
      <c r="Z172" s="3" t="n">
        <v>4.35465</v>
      </c>
      <c r="AA172" s="3" t="n">
        <v>4.2968</v>
      </c>
      <c r="AB172" s="3" t="n">
        <v>4.3059</v>
      </c>
      <c r="AC172" s="3" t="n">
        <v>4.442475</v>
      </c>
      <c r="AD172" s="3" t="n">
        <v>4.472281</v>
      </c>
      <c r="AE172" s="3" t="n">
        <v>4.480812</v>
      </c>
      <c r="AF172" s="3" t="n">
        <v>4.465311</v>
      </c>
      <c r="AG172" s="3" t="n">
        <v>4.472924</v>
      </c>
      <c r="AH172" s="3" t="n">
        <v>4.488197</v>
      </c>
      <c r="AI172" s="3" t="n"/>
      <c r="AJ172" s="3" t="n"/>
      <c r="AK172" s="3" t="n"/>
      <c r="AL172" s="3" t="n"/>
      <c r="AM172" s="3" t="n"/>
      <c r="AN172" s="3" t="n"/>
      <c r="AO172" s="3" t="n"/>
      <c r="AP172" s="3" t="n"/>
      <c r="AQ172" s="3" t="n"/>
      <c r="AR172" s="3" t="n"/>
      <c r="AS172" s="3" t="n"/>
      <c r="AT172" s="3" t="n"/>
      <c r="AU172" s="3" t="n"/>
    </row>
    <row r="173">
      <c r="A173" s="3" t="n">
        <v>2031</v>
      </c>
      <c r="B173" s="3" t="inlineStr">
        <is>
          <t>AUT</t>
        </is>
      </c>
      <c r="C173" s="3" t="inlineStr">
        <is>
          <t>IMF.RES:WEO</t>
        </is>
      </c>
      <c r="D173" s="3" t="inlineStr">
        <is>
          <t>AUT.LP.A</t>
        </is>
      </c>
      <c r="E173" s="3" t="inlineStr">
        <is>
          <t>Austria</t>
        </is>
      </c>
      <c r="F173" s="3" t="inlineStr">
        <is>
          <t>Population, Persons for countries / Index for country groups</t>
        </is>
      </c>
      <c r="G173" s="3" t="n">
        <v>8.011566</v>
      </c>
      <c r="H173" s="3" t="n">
        <v>8.042293000000001</v>
      </c>
      <c r="I173" s="3" t="n">
        <v>8.082121000000001</v>
      </c>
      <c r="J173" s="3" t="n">
        <v>8.118245</v>
      </c>
      <c r="K173" s="3" t="n">
        <v>8.169441000000001</v>
      </c>
      <c r="L173" s="3" t="n">
        <v>8.225277999999999</v>
      </c>
      <c r="M173" s="3" t="n">
        <v>8.267948000000001</v>
      </c>
      <c r="N173" s="3" t="n">
        <v>8.295189000000001</v>
      </c>
      <c r="O173" s="3" t="n">
        <v>8.321541</v>
      </c>
      <c r="P173" s="3" t="n">
        <v>8.341483</v>
      </c>
      <c r="Q173" s="3" t="n">
        <v>8.361069000000001</v>
      </c>
      <c r="R173" s="3" t="n">
        <v>8.388534</v>
      </c>
      <c r="S173" s="3" t="n">
        <v>8.426311</v>
      </c>
      <c r="T173" s="3" t="n">
        <v>8.47723</v>
      </c>
      <c r="U173" s="3" t="n">
        <v>8.543932</v>
      </c>
      <c r="V173" s="3" t="n">
        <v>8.629519</v>
      </c>
      <c r="W173" s="3" t="n">
        <v>8.739806</v>
      </c>
      <c r="X173" s="3" t="n">
        <v>8.814647000000001</v>
      </c>
      <c r="Y173" s="3" t="n">
        <v>8.884594</v>
      </c>
      <c r="Z173" s="3" t="n">
        <v>8.8588</v>
      </c>
      <c r="AA173" s="3" t="n">
        <v>8.901</v>
      </c>
      <c r="AB173" s="3" t="n">
        <v>8.932</v>
      </c>
      <c r="AC173" s="3" t="n">
        <v>8.978289999999999</v>
      </c>
      <c r="AD173" s="3" t="n">
        <v>9.104772000000001</v>
      </c>
      <c r="AE173" s="3" t="n">
        <v>9.158799999999999</v>
      </c>
      <c r="AF173" s="3" t="n">
        <v>9.181697</v>
      </c>
      <c r="AG173" s="3" t="n">
        <v>9.204651</v>
      </c>
      <c r="AH173" s="3" t="n">
        <v>9.227663</v>
      </c>
      <c r="AI173" s="3" t="n">
        <v>9.253500000000001</v>
      </c>
      <c r="AJ173" s="3" t="n">
        <v>9.27941</v>
      </c>
      <c r="AK173" s="3" t="n">
        <v>9.305391999999999</v>
      </c>
      <c r="AL173" s="3" t="n">
        <v>9.331448</v>
      </c>
      <c r="AM173" s="3" t="n"/>
      <c r="AN173" s="3" t="n"/>
      <c r="AO173" s="3" t="n"/>
      <c r="AP173" s="3" t="n"/>
      <c r="AQ173" s="3" t="n"/>
      <c r="AR173" s="3" t="n"/>
      <c r="AS173" s="3" t="n"/>
      <c r="AT173" s="3" t="n"/>
      <c r="AU173" s="3" t="n"/>
    </row>
    <row r="174">
      <c r="A174" s="3" t="n">
        <v>2031</v>
      </c>
      <c r="B174" s="3" t="inlineStr">
        <is>
          <t>AUT</t>
        </is>
      </c>
      <c r="C174" s="3" t="inlineStr">
        <is>
          <t>IMF.RES:WEO</t>
        </is>
      </c>
      <c r="D174" s="3" t="inlineStr">
        <is>
          <t>AUT.NGDP.A</t>
        </is>
      </c>
      <c r="E174" s="3" t="inlineStr">
        <is>
          <t>Austria</t>
        </is>
      </c>
      <c r="F174" s="3" t="inlineStr">
        <is>
          <t>Gross domestic product (GDP), Current prices, Domestic currency</t>
        </is>
      </c>
      <c r="G174" s="3" t="n">
        <v>212.4068</v>
      </c>
      <c r="H174" s="3" t="n">
        <v>219.3733</v>
      </c>
      <c r="I174" s="3" t="n">
        <v>225.0879</v>
      </c>
      <c r="J174" s="3" t="n">
        <v>230.5418</v>
      </c>
      <c r="K174" s="3" t="n">
        <v>240.5417</v>
      </c>
      <c r="L174" s="3" t="n">
        <v>252.355</v>
      </c>
      <c r="M174" s="3" t="n">
        <v>265.9336</v>
      </c>
      <c r="N174" s="3" t="n">
        <v>282.2082</v>
      </c>
      <c r="O174" s="3" t="n">
        <v>291.8462</v>
      </c>
      <c r="P174" s="3" t="n">
        <v>286.2741</v>
      </c>
      <c r="Q174" s="3" t="n">
        <v>294.0506</v>
      </c>
      <c r="R174" s="3" t="n">
        <v>308.1671</v>
      </c>
      <c r="S174" s="3" t="n">
        <v>316.5894</v>
      </c>
      <c r="T174" s="3" t="n">
        <v>321.1917</v>
      </c>
      <c r="U174" s="3" t="n">
        <v>330.1134</v>
      </c>
      <c r="V174" s="3" t="n">
        <v>342.0835</v>
      </c>
      <c r="W174" s="3" t="n">
        <v>355.6657</v>
      </c>
      <c r="X174" s="3" t="n">
        <v>367.2949</v>
      </c>
      <c r="Y174" s="3" t="n">
        <v>383.2342</v>
      </c>
      <c r="Z174" s="3" t="n">
        <v>395.7068</v>
      </c>
      <c r="AA174" s="3" t="n">
        <v>380.3179</v>
      </c>
      <c r="AB174" s="3" t="n">
        <v>406.2315</v>
      </c>
      <c r="AC174" s="3" t="n">
        <v>449.3822</v>
      </c>
      <c r="AD174" s="3" t="n">
        <v>477.8374</v>
      </c>
      <c r="AE174" s="3" t="n">
        <v>494.0875</v>
      </c>
      <c r="AF174" s="3" t="n">
        <v>513.509769</v>
      </c>
      <c r="AG174" s="3" t="n">
        <v>528.9251829999999</v>
      </c>
      <c r="AH174" s="3" t="n">
        <v>547.973387</v>
      </c>
      <c r="AI174" s="3" t="n">
        <v>566.298704</v>
      </c>
      <c r="AJ174" s="3" t="n">
        <v>584.985761</v>
      </c>
      <c r="AK174" s="3" t="n">
        <v>602.6182659999999</v>
      </c>
      <c r="AL174" s="3" t="n">
        <v>620.211013</v>
      </c>
      <c r="AM174" s="3" t="n"/>
      <c r="AN174" s="3" t="n"/>
      <c r="AO174" s="3" t="n"/>
      <c r="AP174" s="3" t="n"/>
      <c r="AQ174" s="3" t="n"/>
      <c r="AR174" s="3" t="n"/>
      <c r="AS174" s="3" t="n"/>
      <c r="AT174" s="3" t="n"/>
      <c r="AU174" s="3" t="n"/>
    </row>
    <row r="175">
      <c r="A175" s="3" t="n">
        <v>2031</v>
      </c>
      <c r="B175" s="3" t="inlineStr">
        <is>
          <t>AUT</t>
        </is>
      </c>
      <c r="C175" s="3" t="inlineStr">
        <is>
          <t>IMF.RES:WEO</t>
        </is>
      </c>
      <c r="D175" s="3" t="inlineStr">
        <is>
          <t>AUT.NGDP_D.A</t>
        </is>
      </c>
      <c r="E175" s="3" t="inlineStr">
        <is>
          <t>Austria</t>
        </is>
      </c>
      <c r="F175" s="3" t="inlineStr">
        <is>
          <t>Gross domestic product (GDP), Price deflator, Index</t>
        </is>
      </c>
      <c r="G175" s="3" t="n">
        <v>69.989248</v>
      </c>
      <c r="H175" s="3" t="n">
        <v>71.345133</v>
      </c>
      <c r="I175" s="3" t="n">
        <v>72.132946</v>
      </c>
      <c r="J175" s="3" t="n">
        <v>73.046858</v>
      </c>
      <c r="K175" s="3" t="n">
        <v>74.309084</v>
      </c>
      <c r="L175" s="3" t="n">
        <v>76.1906</v>
      </c>
      <c r="M175" s="3" t="n">
        <v>77.74836000000001</v>
      </c>
      <c r="N175" s="3" t="n">
        <v>79.50492</v>
      </c>
      <c r="O175" s="3" t="n">
        <v>81.042388</v>
      </c>
      <c r="P175" s="3" t="n">
        <v>82.45205199999999</v>
      </c>
      <c r="Q175" s="3" t="n">
        <v>83.186961</v>
      </c>
      <c r="R175" s="3" t="n">
        <v>84.700919</v>
      </c>
      <c r="S175" s="3" t="n">
        <v>86.472618</v>
      </c>
      <c r="T175" s="3" t="n">
        <v>87.950185</v>
      </c>
      <c r="U175" s="3" t="n">
        <v>89.715065</v>
      </c>
      <c r="V175" s="3" t="n">
        <v>91.771944</v>
      </c>
      <c r="W175" s="3" t="n">
        <v>93.437393</v>
      </c>
      <c r="X175" s="3" t="n">
        <v>94.34866</v>
      </c>
      <c r="Y175" s="3" t="n">
        <v>96.056809</v>
      </c>
      <c r="Z175" s="3" t="n">
        <v>97.47241200000001</v>
      </c>
      <c r="AA175" s="3" t="n">
        <v>99.99997399999999</v>
      </c>
      <c r="AB175" s="3" t="n">
        <v>101.801869</v>
      </c>
      <c r="AC175" s="3" t="n">
        <v>106.91583</v>
      </c>
      <c r="AD175" s="3" t="n">
        <v>114.586722</v>
      </c>
      <c r="AE175" s="3" t="n">
        <v>119.269673</v>
      </c>
      <c r="AF175" s="3" t="n">
        <v>123.199461</v>
      </c>
      <c r="AG175" s="3" t="n">
        <v>126.038587</v>
      </c>
      <c r="AH175" s="3" t="n">
        <v>129.279594</v>
      </c>
      <c r="AI175" s="3" t="n">
        <v>131.863528</v>
      </c>
      <c r="AJ175" s="3" t="n">
        <v>134.760918</v>
      </c>
      <c r="AK175" s="3" t="n">
        <v>137.680374</v>
      </c>
      <c r="AL175" s="3" t="n">
        <v>140.596361</v>
      </c>
      <c r="AM175" s="3" t="n"/>
      <c r="AN175" s="3" t="n"/>
      <c r="AO175" s="3" t="n"/>
      <c r="AP175" s="3" t="n"/>
      <c r="AQ175" s="3" t="n"/>
      <c r="AR175" s="3" t="n"/>
      <c r="AS175" s="3" t="n"/>
      <c r="AT175" s="3" t="n"/>
      <c r="AU175" s="3" t="n"/>
    </row>
    <row r="176">
      <c r="A176" s="3" t="n">
        <v>2031</v>
      </c>
      <c r="B176" s="3" t="inlineStr">
        <is>
          <t>AUT</t>
        </is>
      </c>
      <c r="C176" s="3" t="inlineStr">
        <is>
          <t>IMF.RES:WEO</t>
        </is>
      </c>
      <c r="D176" s="3" t="inlineStr">
        <is>
          <t>AUT.NGDP_R.A</t>
        </is>
      </c>
      <c r="E176" s="3" t="inlineStr">
        <is>
          <t>Austria</t>
        </is>
      </c>
      <c r="F176" s="3" t="inlineStr">
        <is>
          <t>Gross domestic product (GDP), Constant prices, Domestic currency</t>
        </is>
      </c>
      <c r="G176" s="3" t="n">
        <v>303.4849</v>
      </c>
      <c r="H176" s="3" t="n">
        <v>307.4818</v>
      </c>
      <c r="I176" s="3" t="n">
        <v>312.0459</v>
      </c>
      <c r="J176" s="3" t="n">
        <v>315.6081</v>
      </c>
      <c r="K176" s="3" t="n">
        <v>323.7043</v>
      </c>
      <c r="L176" s="3" t="n">
        <v>331.2154</v>
      </c>
      <c r="M176" s="3" t="n">
        <v>342.044</v>
      </c>
      <c r="N176" s="3" t="n">
        <v>354.9569</v>
      </c>
      <c r="O176" s="3" t="n">
        <v>360.1155</v>
      </c>
      <c r="P176" s="3" t="n">
        <v>347.2007</v>
      </c>
      <c r="Q176" s="3" t="n">
        <v>353.4816</v>
      </c>
      <c r="R176" s="3" t="n">
        <v>363.8297</v>
      </c>
      <c r="S176" s="3" t="n">
        <v>366.1152</v>
      </c>
      <c r="T176" s="3" t="n">
        <v>365.1973</v>
      </c>
      <c r="U176" s="3" t="n">
        <v>367.9576</v>
      </c>
      <c r="V176" s="3" t="n">
        <v>372.7539</v>
      </c>
      <c r="W176" s="3" t="n">
        <v>380.646</v>
      </c>
      <c r="X176" s="3" t="n">
        <v>389.2953</v>
      </c>
      <c r="Y176" s="3" t="n">
        <v>398.9662</v>
      </c>
      <c r="Z176" s="3" t="n">
        <v>405.968</v>
      </c>
      <c r="AA176" s="3" t="n">
        <v>380.318</v>
      </c>
      <c r="AB176" s="3" t="n">
        <v>399.0413</v>
      </c>
      <c r="AC176" s="3" t="n">
        <v>420.314</v>
      </c>
      <c r="AD176" s="3" t="n">
        <v>417.0094</v>
      </c>
      <c r="AE176" s="3" t="n">
        <v>414.2608</v>
      </c>
      <c r="AF176" s="3" t="n">
        <v>416.8117</v>
      </c>
      <c r="AG176" s="3" t="n">
        <v>419.653375</v>
      </c>
      <c r="AH176" s="3" t="n">
        <v>423.866885</v>
      </c>
      <c r="AI176" s="3" t="n">
        <v>429.458176</v>
      </c>
      <c r="AJ176" s="3" t="n">
        <v>434.091553</v>
      </c>
      <c r="AK176" s="3" t="n">
        <v>437.693658</v>
      </c>
      <c r="AL176" s="3" t="n">
        <v>441.128781</v>
      </c>
      <c r="AM176" s="3" t="n"/>
      <c r="AN176" s="3" t="n"/>
      <c r="AO176" s="3" t="n"/>
      <c r="AP176" s="3" t="n"/>
      <c r="AQ176" s="3" t="n"/>
      <c r="AR176" s="3" t="n"/>
      <c r="AS176" s="3" t="n"/>
      <c r="AT176" s="3" t="n"/>
      <c r="AU176" s="3" t="n"/>
    </row>
    <row r="177">
      <c r="A177" s="3" t="n">
        <v>2031</v>
      </c>
      <c r="B177" s="3" t="inlineStr">
        <is>
          <t>AUT</t>
        </is>
      </c>
      <c r="C177" s="3" t="inlineStr">
        <is>
          <t>IMF.RES:WEO</t>
        </is>
      </c>
      <c r="D177" s="3" t="inlineStr">
        <is>
          <t>AUT.NGDP_RPCH.A</t>
        </is>
      </c>
      <c r="E177" s="3" t="inlineStr">
        <is>
          <t>Austria</t>
        </is>
      </c>
      <c r="F177" s="3" t="inlineStr">
        <is>
          <t>Gross domestic product (GDP), Constant prices, Percent change</t>
        </is>
      </c>
      <c r="G177" s="3" t="n">
        <v>3.189549</v>
      </c>
      <c r="H177" s="3" t="n">
        <v>1.317001</v>
      </c>
      <c r="I177" s="3" t="n">
        <v>1.484348</v>
      </c>
      <c r="J177" s="3" t="n">
        <v>1.141563</v>
      </c>
      <c r="K177" s="3" t="n">
        <v>2.56527</v>
      </c>
      <c r="L177" s="3" t="n">
        <v>2.320358</v>
      </c>
      <c r="M177" s="3" t="n">
        <v>3.269353</v>
      </c>
      <c r="N177" s="3" t="n">
        <v>3.775216</v>
      </c>
      <c r="O177" s="3" t="n">
        <v>1.453303</v>
      </c>
      <c r="P177" s="3" t="n">
        <v>-3.586294</v>
      </c>
      <c r="Q177" s="3" t="n">
        <v>1.809011</v>
      </c>
      <c r="R177" s="3" t="n">
        <v>2.927479</v>
      </c>
      <c r="S177" s="3" t="n">
        <v>0.628179</v>
      </c>
      <c r="T177" s="3" t="n">
        <v>-0.250713</v>
      </c>
      <c r="U177" s="3" t="n">
        <v>0.755838</v>
      </c>
      <c r="V177" s="3" t="n">
        <v>1.303493</v>
      </c>
      <c r="W177" s="3" t="n">
        <v>2.117241</v>
      </c>
      <c r="X177" s="3" t="n">
        <v>2.272269</v>
      </c>
      <c r="Y177" s="3" t="n">
        <v>2.484207</v>
      </c>
      <c r="Z177" s="3" t="n">
        <v>1.754986</v>
      </c>
      <c r="AA177" s="3" t="n">
        <v>-6.318232</v>
      </c>
      <c r="AB177" s="3" t="n">
        <v>4.923064</v>
      </c>
      <c r="AC177" s="3" t="n">
        <v>5.330952</v>
      </c>
      <c r="AD177" s="3" t="n">
        <v>-0.786222</v>
      </c>
      <c r="AE177" s="3" t="n">
        <v>-0.659122</v>
      </c>
      <c r="AF177" s="3" t="n">
        <v>0.615772</v>
      </c>
      <c r="AG177" s="3" t="n">
        <v>0.681765</v>
      </c>
      <c r="AH177" s="3" t="n">
        <v>1.004045</v>
      </c>
      <c r="AI177" s="3" t="n">
        <v>1.319115</v>
      </c>
      <c r="AJ177" s="3" t="n">
        <v>1.078889</v>
      </c>
      <c r="AK177" s="3" t="n">
        <v>0.829803</v>
      </c>
      <c r="AL177" s="3" t="n">
        <v>0.784823</v>
      </c>
      <c r="AM177" s="3" t="n"/>
      <c r="AN177" s="3" t="n"/>
      <c r="AO177" s="3" t="n"/>
      <c r="AP177" s="3" t="n"/>
      <c r="AQ177" s="3" t="n"/>
      <c r="AR177" s="3" t="n"/>
      <c r="AS177" s="3" t="n"/>
      <c r="AT177" s="3" t="n"/>
      <c r="AU177" s="3" t="n"/>
    </row>
    <row r="178">
      <c r="A178" s="3" t="n">
        <v>2031</v>
      </c>
      <c r="B178" s="3" t="inlineStr">
        <is>
          <t>AUT</t>
        </is>
      </c>
      <c r="C178" s="3" t="inlineStr">
        <is>
          <t>IMF.RES:WEO</t>
        </is>
      </c>
      <c r="D178" s="3" t="inlineStr">
        <is>
          <t>AUT.NGDPD.A</t>
        </is>
      </c>
      <c r="E178" s="3" t="inlineStr">
        <is>
          <t>Austria</t>
        </is>
      </c>
      <c r="F178" s="3" t="inlineStr">
        <is>
          <t>Gross domestic product (GDP), Current prices, US dollar</t>
        </is>
      </c>
      <c r="G178" s="3" t="n">
        <v>196.268258</v>
      </c>
      <c r="H178" s="3" t="n">
        <v>196.478545</v>
      </c>
      <c r="I178" s="3" t="n">
        <v>212.686809</v>
      </c>
      <c r="J178" s="3" t="n">
        <v>260.714455</v>
      </c>
      <c r="K178" s="3" t="n">
        <v>299.074565</v>
      </c>
      <c r="L178" s="3" t="n">
        <v>314.125934</v>
      </c>
      <c r="M178" s="3" t="n">
        <v>333.923607</v>
      </c>
      <c r="N178" s="3" t="n">
        <v>386.805729</v>
      </c>
      <c r="O178" s="3" t="n">
        <v>429.187369</v>
      </c>
      <c r="P178" s="3" t="n">
        <v>398.856524</v>
      </c>
      <c r="Q178" s="3" t="n">
        <v>390.146168</v>
      </c>
      <c r="R178" s="3" t="n">
        <v>428.879329</v>
      </c>
      <c r="S178" s="3" t="n">
        <v>407.008048</v>
      </c>
      <c r="T178" s="3" t="n">
        <v>426.586708</v>
      </c>
      <c r="U178" s="3" t="n">
        <v>438.668936</v>
      </c>
      <c r="V178" s="3" t="n">
        <v>379.584481</v>
      </c>
      <c r="W178" s="3" t="n">
        <v>393.578835</v>
      </c>
      <c r="X178" s="3" t="n">
        <v>414.779714</v>
      </c>
      <c r="Y178" s="3" t="n">
        <v>452.787391</v>
      </c>
      <c r="Z178" s="3" t="n">
        <v>443.032565</v>
      </c>
      <c r="AA178" s="3" t="n">
        <v>434.04992</v>
      </c>
      <c r="AB178" s="3" t="n">
        <v>480.785784</v>
      </c>
      <c r="AC178" s="3" t="n">
        <v>473.593598</v>
      </c>
      <c r="AD178" s="3" t="n">
        <v>516.819611</v>
      </c>
      <c r="AE178" s="3" t="n">
        <v>534.629641</v>
      </c>
      <c r="AF178" s="3" t="n">
        <v>579.928404</v>
      </c>
      <c r="AG178" s="3" t="n">
        <v>623.7185469999999</v>
      </c>
      <c r="AH178" s="3" t="n">
        <v>644.693068</v>
      </c>
      <c r="AI178" s="3" t="n">
        <v>664.451686</v>
      </c>
      <c r="AJ178" s="3" t="n">
        <v>686.013838</v>
      </c>
      <c r="AK178" s="3" t="n">
        <v>706.5809369999999</v>
      </c>
      <c r="AL178" s="3" t="n">
        <v>727.088973</v>
      </c>
      <c r="AM178" s="3" t="n"/>
      <c r="AN178" s="3" t="n"/>
      <c r="AO178" s="3" t="n"/>
      <c r="AP178" s="3" t="n"/>
      <c r="AQ178" s="3" t="n"/>
      <c r="AR178" s="3" t="n"/>
      <c r="AS178" s="3" t="n"/>
      <c r="AT178" s="3" t="n"/>
      <c r="AU178" s="3" t="n"/>
    </row>
    <row r="179">
      <c r="A179" s="3" t="n">
        <v>2031</v>
      </c>
      <c r="B179" s="3" t="inlineStr">
        <is>
          <t>AUT</t>
        </is>
      </c>
      <c r="C179" s="3" t="inlineStr">
        <is>
          <t>IMF.RES:WEO</t>
        </is>
      </c>
      <c r="D179" s="3" t="inlineStr">
        <is>
          <t>AUT.NGDPPC.A</t>
        </is>
      </c>
      <c r="E179" s="3" t="inlineStr">
        <is>
          <t>Austria</t>
        </is>
      </c>
      <c r="F179" s="3" t="inlineStr">
        <is>
          <t>Gross domestic product (GDP), Current prices, Per capita, Domestic currency</t>
        </is>
      </c>
      <c r="G179" s="3" t="n">
        <v>26512.519525</v>
      </c>
      <c r="H179" s="3" t="n">
        <v>27277.456815</v>
      </c>
      <c r="I179" s="3" t="n">
        <v>27850.102714</v>
      </c>
      <c r="J179" s="3" t="n">
        <v>28397.985032</v>
      </c>
      <c r="K179" s="3" t="n">
        <v>29444.083139</v>
      </c>
      <c r="L179" s="3" t="n">
        <v>30680.421987</v>
      </c>
      <c r="M179" s="3" t="n">
        <v>32164.401615</v>
      </c>
      <c r="N179" s="3" t="n">
        <v>34020.707666</v>
      </c>
      <c r="O179" s="3" t="n">
        <v>35071.172515</v>
      </c>
      <c r="P179" s="3" t="n">
        <v>34319.329069</v>
      </c>
      <c r="Q179" s="3" t="n">
        <v>35169.019655</v>
      </c>
      <c r="R179" s="3" t="n">
        <v>36736.705126</v>
      </c>
      <c r="S179" s="3" t="n">
        <v>37571.530412</v>
      </c>
      <c r="T179" s="3" t="n">
        <v>37888.756115</v>
      </c>
      <c r="U179" s="3" t="n">
        <v>38637.175483</v>
      </c>
      <c r="V179" s="3" t="n">
        <v>39641.085442</v>
      </c>
      <c r="W179" s="3" t="n">
        <v>40694.919315</v>
      </c>
      <c r="X179" s="3" t="n">
        <v>41668.702586</v>
      </c>
      <c r="Y179" s="3" t="n">
        <v>43134.690405</v>
      </c>
      <c r="Z179" s="3" t="n">
        <v>44668.216914</v>
      </c>
      <c r="AA179" s="3" t="n">
        <v>42727.547467</v>
      </c>
      <c r="AB179" s="3" t="n">
        <v>45480.463502</v>
      </c>
      <c r="AC179" s="3" t="n">
        <v>50052.092325</v>
      </c>
      <c r="AD179" s="3" t="n">
        <v>52482.083022</v>
      </c>
      <c r="AE179" s="3" t="n">
        <v>53946.750666</v>
      </c>
      <c r="AF179" s="3" t="n">
        <v>55927.544686</v>
      </c>
      <c r="AG179" s="3" t="n">
        <v>57462.816245</v>
      </c>
      <c r="AH179" s="3" t="n">
        <v>59383.767535</v>
      </c>
      <c r="AI179" s="3" t="n">
        <v>61198.323225</v>
      </c>
      <c r="AJ179" s="3" t="n">
        <v>63041.265916</v>
      </c>
      <c r="AK179" s="3" t="n">
        <v>64760.112805</v>
      </c>
      <c r="AL179" s="3" t="n">
        <v>66464.608825</v>
      </c>
      <c r="AM179" s="3" t="n"/>
      <c r="AN179" s="3" t="n"/>
      <c r="AO179" s="3" t="n"/>
      <c r="AP179" s="3" t="n"/>
      <c r="AQ179" s="3" t="n"/>
      <c r="AR179" s="3" t="n"/>
      <c r="AS179" s="3" t="n"/>
      <c r="AT179" s="3" t="n"/>
      <c r="AU179" s="3" t="n"/>
    </row>
    <row r="180">
      <c r="A180" s="3" t="n">
        <v>2031</v>
      </c>
      <c r="B180" s="3" t="inlineStr">
        <is>
          <t>AUT</t>
        </is>
      </c>
      <c r="C180" s="3" t="inlineStr">
        <is>
          <t>IMF.RES:WEO</t>
        </is>
      </c>
      <c r="D180" s="3" t="inlineStr">
        <is>
          <t>AUT.NGDPRPC.A</t>
        </is>
      </c>
      <c r="E180" s="3" t="inlineStr">
        <is>
          <t>Austria</t>
        </is>
      </c>
      <c r="F180" s="3" t="inlineStr">
        <is>
          <t>Gross domestic product (GDP), Constant prices, Per capita, Domestic currency</t>
        </is>
      </c>
      <c r="G180" s="3" t="n">
        <v>37880.846267</v>
      </c>
      <c r="H180" s="3" t="n">
        <v>38233.100933</v>
      </c>
      <c r="I180" s="3" t="n">
        <v>38609.40711</v>
      </c>
      <c r="J180" s="3" t="n">
        <v>38876.395083</v>
      </c>
      <c r="K180" s="3" t="n">
        <v>39623.800453</v>
      </c>
      <c r="L180" s="3" t="n">
        <v>40267.988511</v>
      </c>
      <c r="M180" s="3" t="n">
        <v>41369.877991</v>
      </c>
      <c r="N180" s="3" t="n">
        <v>42790.694703</v>
      </c>
      <c r="O180" s="3" t="n">
        <v>43275.097725</v>
      </c>
      <c r="P180" s="3" t="n">
        <v>41623.378001</v>
      </c>
      <c r="Q180" s="3" t="n">
        <v>42277.082033</v>
      </c>
      <c r="R180" s="3" t="n">
        <v>43372.262662</v>
      </c>
      <c r="S180" s="3" t="n">
        <v>43449.049056</v>
      </c>
      <c r="T180" s="3" t="n">
        <v>43079.791394</v>
      </c>
      <c r="U180" s="3" t="n">
        <v>43066.54126</v>
      </c>
      <c r="V180" s="3" t="n">
        <v>43195.211691</v>
      </c>
      <c r="W180" s="3" t="n">
        <v>43553.140653</v>
      </c>
      <c r="X180" s="3" t="n">
        <v>44164.593829</v>
      </c>
      <c r="Y180" s="3" t="n">
        <v>44905.396019</v>
      </c>
      <c r="Z180" s="3" t="n">
        <v>45826.52278</v>
      </c>
      <c r="AA180" s="3" t="n">
        <v>42727.558701</v>
      </c>
      <c r="AB180" s="3" t="n">
        <v>44675.470219</v>
      </c>
      <c r="AC180" s="3" t="n">
        <v>46814.482491</v>
      </c>
      <c r="AD180" s="3" t="n">
        <v>45801.190848</v>
      </c>
      <c r="AE180" s="3" t="n">
        <v>45230.903612</v>
      </c>
      <c r="AF180" s="3" t="n">
        <v>45395.9328</v>
      </c>
      <c r="AG180" s="3" t="n">
        <v>45591.44765</v>
      </c>
      <c r="AH180" s="3" t="n">
        <v>45934.370462</v>
      </c>
      <c r="AI180" s="3" t="n">
        <v>46410.348598</v>
      </c>
      <c r="AJ180" s="3" t="n">
        <v>46780.080479</v>
      </c>
      <c r="AK180" s="3" t="n">
        <v>47036.560724</v>
      </c>
      <c r="AL180" s="3" t="n">
        <v>47273.349311</v>
      </c>
      <c r="AM180" s="3" t="n"/>
      <c r="AN180" s="3" t="n"/>
      <c r="AO180" s="3" t="n"/>
      <c r="AP180" s="3" t="n"/>
      <c r="AQ180" s="3" t="n"/>
      <c r="AR180" s="3" t="n"/>
      <c r="AS180" s="3" t="n"/>
      <c r="AT180" s="3" t="n"/>
      <c r="AU180" s="3" t="n"/>
    </row>
    <row r="181">
      <c r="A181" s="3" t="n">
        <v>2031</v>
      </c>
      <c r="B181" s="3" t="inlineStr">
        <is>
          <t>AUT</t>
        </is>
      </c>
      <c r="C181" s="3" t="inlineStr">
        <is>
          <t>IMF.RES:WEO</t>
        </is>
      </c>
      <c r="D181" s="3" t="inlineStr">
        <is>
          <t>AUT.PCPI.A</t>
        </is>
      </c>
      <c r="E181" s="3" t="inlineStr">
        <is>
          <t>Austria</t>
        </is>
      </c>
      <c r="F181" s="3" t="inlineStr">
        <is>
          <t>All Items, Consumer price index (CPI), Period average</t>
        </is>
      </c>
      <c r="G181" s="3" t="n">
        <v>91.15991</v>
      </c>
      <c r="H181" s="3" t="n">
        <v>93.248874</v>
      </c>
      <c r="I181" s="3" t="n">
        <v>94.82263500000001</v>
      </c>
      <c r="J181" s="3" t="n">
        <v>96.059966</v>
      </c>
      <c r="K181" s="3" t="n">
        <v>97.94482000000001</v>
      </c>
      <c r="L181" s="3" t="n">
        <v>100</v>
      </c>
      <c r="M181" s="3" t="n">
        <v>101.689189</v>
      </c>
      <c r="N181" s="3" t="n">
        <v>103.93018</v>
      </c>
      <c r="O181" s="3" t="n">
        <v>107.283221</v>
      </c>
      <c r="P181" s="3" t="n">
        <v>107.712556</v>
      </c>
      <c r="Q181" s="3" t="n">
        <v>109.535473</v>
      </c>
      <c r="R181" s="3" t="n">
        <v>113.4192</v>
      </c>
      <c r="S181" s="3" t="n">
        <v>116.331644</v>
      </c>
      <c r="T181" s="3" t="n">
        <v>118.795045</v>
      </c>
      <c r="U181" s="3" t="n">
        <v>120.533502</v>
      </c>
      <c r="V181" s="3" t="n">
        <v>121.511824</v>
      </c>
      <c r="W181" s="3" t="n">
        <v>122.692849</v>
      </c>
      <c r="X181" s="3" t="n">
        <v>125.433559</v>
      </c>
      <c r="Y181" s="3" t="n">
        <v>128.089809</v>
      </c>
      <c r="Z181" s="3" t="n">
        <v>130.007038</v>
      </c>
      <c r="AA181" s="3" t="n">
        <v>131.813063</v>
      </c>
      <c r="AB181" s="3" t="n">
        <v>135.457489</v>
      </c>
      <c r="AC181" s="3" t="n">
        <v>147.135417</v>
      </c>
      <c r="AD181" s="3" t="n">
        <v>158.478322</v>
      </c>
      <c r="AE181" s="3" t="n">
        <v>163.105293</v>
      </c>
      <c r="AF181" s="3" t="n">
        <v>168.938626</v>
      </c>
      <c r="AG181" s="3" t="n">
        <v>173.079129</v>
      </c>
      <c r="AH181" s="3" t="n">
        <v>177.512145</v>
      </c>
      <c r="AI181" s="3" t="n">
        <v>181.231548</v>
      </c>
      <c r="AJ181" s="3" t="n">
        <v>185.024456</v>
      </c>
      <c r="AK181" s="3" t="n">
        <v>188.896744</v>
      </c>
      <c r="AL181" s="3" t="n">
        <v>192.850073</v>
      </c>
      <c r="AM181" s="3" t="n"/>
      <c r="AN181" s="3" t="n"/>
      <c r="AO181" s="3" t="n"/>
      <c r="AP181" s="3" t="n"/>
      <c r="AQ181" s="3" t="n"/>
      <c r="AR181" s="3" t="n"/>
      <c r="AS181" s="3" t="n"/>
      <c r="AT181" s="3" t="n"/>
      <c r="AU181" s="3" t="n"/>
    </row>
    <row r="182">
      <c r="A182" s="3" t="n">
        <v>2031</v>
      </c>
      <c r="B182" s="3" t="inlineStr">
        <is>
          <t>AUT</t>
        </is>
      </c>
      <c r="C182" s="3" t="inlineStr">
        <is>
          <t>IMF.RES:WEO</t>
        </is>
      </c>
      <c r="D182" s="3" t="inlineStr">
        <is>
          <t>AUT.PCPIPCH.A</t>
        </is>
      </c>
      <c r="E182" s="3" t="inlineStr">
        <is>
          <t>Austria</t>
        </is>
      </c>
      <c r="F182" s="3" t="inlineStr">
        <is>
          <t>All Items, Consumer price index (CPI), Period average, percent change</t>
        </is>
      </c>
      <c r="G182" s="3" t="n">
        <v>1.956956</v>
      </c>
      <c r="H182" s="3" t="n">
        <v>2.291538</v>
      </c>
      <c r="I182" s="3" t="n">
        <v>1.6877</v>
      </c>
      <c r="J182" s="3" t="n">
        <v>1.30489</v>
      </c>
      <c r="K182" s="3" t="n">
        <v>1.962164</v>
      </c>
      <c r="L182" s="3" t="n">
        <v>2.098304</v>
      </c>
      <c r="M182" s="3" t="n">
        <v>1.689189</v>
      </c>
      <c r="N182" s="3" t="n">
        <v>2.203765</v>
      </c>
      <c r="O182" s="3" t="n">
        <v>3.226243</v>
      </c>
      <c r="P182" s="3" t="n">
        <v>0.400189</v>
      </c>
      <c r="Q182" s="3" t="n">
        <v>1.69239</v>
      </c>
      <c r="R182" s="3" t="n">
        <v>3.545634</v>
      </c>
      <c r="S182" s="3" t="n">
        <v>2.567858</v>
      </c>
      <c r="T182" s="3" t="n">
        <v>2.117567</v>
      </c>
      <c r="U182" s="3" t="n">
        <v>1.463409</v>
      </c>
      <c r="V182" s="3" t="n">
        <v>0.81166</v>
      </c>
      <c r="W182" s="3" t="n">
        <v>0.971942</v>
      </c>
      <c r="X182" s="3" t="n">
        <v>2.233797</v>
      </c>
      <c r="Y182" s="3" t="n">
        <v>2.117655</v>
      </c>
      <c r="Z182" s="3" t="n">
        <v>1.496786</v>
      </c>
      <c r="AA182" s="3" t="n">
        <v>1.389175</v>
      </c>
      <c r="AB182" s="3" t="n">
        <v>2.764844</v>
      </c>
      <c r="AC182" s="3" t="n">
        <v>8.621102</v>
      </c>
      <c r="AD182" s="3" t="n">
        <v>7.70916</v>
      </c>
      <c r="AE182" s="3" t="n">
        <v>2.919624</v>
      </c>
      <c r="AF182" s="3" t="n">
        <v>3.576422</v>
      </c>
      <c r="AG182" s="3" t="n">
        <v>2.450892</v>
      </c>
      <c r="AH182" s="3" t="n">
        <v>2.561265</v>
      </c>
      <c r="AI182" s="3" t="n">
        <v>2.095295</v>
      </c>
      <c r="AJ182" s="3" t="n">
        <v>2.092852</v>
      </c>
      <c r="AK182" s="3" t="n">
        <v>2.092852</v>
      </c>
      <c r="AL182" s="3" t="n">
        <v>2.092852</v>
      </c>
      <c r="AM182" s="3" t="n"/>
      <c r="AN182" s="3" t="n"/>
      <c r="AO182" s="3" t="n"/>
      <c r="AP182" s="3" t="n"/>
      <c r="AQ182" s="3" t="n"/>
      <c r="AR182" s="3" t="n"/>
      <c r="AS182" s="3" t="n"/>
      <c r="AT182" s="3" t="n"/>
      <c r="AU182" s="3" t="n"/>
    </row>
    <row r="183">
      <c r="A183" s="3" t="n">
        <v>2031</v>
      </c>
      <c r="B183" s="3" t="inlineStr">
        <is>
          <t>AUT</t>
        </is>
      </c>
      <c r="C183" s="3" t="inlineStr">
        <is>
          <t>IMF.RES:WEO</t>
        </is>
      </c>
      <c r="D183" s="3" t="inlineStr">
        <is>
          <t>AUT.PPPPC.A</t>
        </is>
      </c>
      <c r="E183" s="3" t="inlineStr">
        <is>
          <t>Austria</t>
        </is>
      </c>
      <c r="F183" s="3" t="inlineStr">
        <is>
          <t>Gross domestic product (GDP), Per capita, purchasing power parity (PPP) international dollar, ICP benchmarks 2017-2021</t>
        </is>
      </c>
      <c r="G183" s="3" t="n">
        <v>33536.383838</v>
      </c>
      <c r="H183" s="3" t="n">
        <v>34610.373122</v>
      </c>
      <c r="I183" s="3" t="n">
        <v>35494.174295</v>
      </c>
      <c r="J183" s="3" t="n">
        <v>36445.197305</v>
      </c>
      <c r="K183" s="3" t="n">
        <v>38144.670587</v>
      </c>
      <c r="L183" s="3" t="n">
        <v>39980.406591</v>
      </c>
      <c r="M183" s="3" t="n">
        <v>42341.113634</v>
      </c>
      <c r="N183" s="3" t="n">
        <v>44981.819286</v>
      </c>
      <c r="O183" s="3" t="n">
        <v>46367.370729</v>
      </c>
      <c r="P183" s="3" t="n">
        <v>44872.677689</v>
      </c>
      <c r="Q183" s="3" t="n">
        <v>46131.348957</v>
      </c>
      <c r="R183" s="3" t="n">
        <v>48302.834351</v>
      </c>
      <c r="S183" s="3" t="n">
        <v>49289.308077</v>
      </c>
      <c r="T183" s="3" t="n">
        <v>49702.193065</v>
      </c>
      <c r="U183" s="3" t="n">
        <v>50552.310286</v>
      </c>
      <c r="V183" s="3" t="n">
        <v>51173.90008</v>
      </c>
      <c r="W183" s="3" t="n">
        <v>52088.238753</v>
      </c>
      <c r="X183" s="3" t="n">
        <v>53765.457518</v>
      </c>
      <c r="Y183" s="3" t="n">
        <v>56355.565389</v>
      </c>
      <c r="Z183" s="3" t="n">
        <v>60498.82019</v>
      </c>
      <c r="AA183" s="3" t="n">
        <v>58627.313362</v>
      </c>
      <c r="AB183" s="3" t="n">
        <v>63745.517028</v>
      </c>
      <c r="AC183" s="3" t="n">
        <v>71548.502727</v>
      </c>
      <c r="AD183" s="3" t="n">
        <v>72589.865062</v>
      </c>
      <c r="AE183" s="3" t="n">
        <v>73465.65995299999</v>
      </c>
      <c r="AF183" s="3" t="n">
        <v>75825.35940099999</v>
      </c>
      <c r="AG183" s="3" t="n">
        <v>78333.569348</v>
      </c>
      <c r="AH183" s="3" t="n">
        <v>80655.833509</v>
      </c>
      <c r="AI183" s="3" t="n">
        <v>82829.195523</v>
      </c>
      <c r="AJ183" s="3" t="n">
        <v>84973.587293</v>
      </c>
      <c r="AK183" s="3" t="n">
        <v>87009.44353999999</v>
      </c>
      <c r="AL183" s="3" t="n">
        <v>89026.15176199999</v>
      </c>
      <c r="AM183" s="3" t="n"/>
      <c r="AN183" s="3" t="n"/>
      <c r="AO183" s="3" t="n"/>
      <c r="AP183" s="3" t="n"/>
      <c r="AQ183" s="3" t="n"/>
      <c r="AR183" s="3" t="n"/>
      <c r="AS183" s="3" t="n"/>
      <c r="AT183" s="3" t="n"/>
      <c r="AU183" s="3" t="n"/>
    </row>
    <row r="184">
      <c r="A184" s="3" t="inlineStr">
        <is>
          <t>INDICATOR</t>
        </is>
      </c>
      <c r="B184" s="3" t="inlineStr">
        <is>
          <t>AUT</t>
        </is>
      </c>
      <c r="C184" s="3" t="inlineStr">
        <is>
          <t>IMF.STA:ER</t>
        </is>
      </c>
      <c r="D184" s="3" t="inlineStr">
        <is>
          <t>AUT.XDC_USD.PA_RT.A</t>
        </is>
      </c>
      <c r="E184" s="3" t="inlineStr">
        <is>
          <t>Austria</t>
        </is>
      </c>
      <c r="F184" s="3" t="inlineStr">
        <is>
          <t>Domestic currency per US Dollar</t>
        </is>
      </c>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3" t="n"/>
      <c r="AL184" s="3" t="n"/>
      <c r="AM184" s="3" t="n"/>
      <c r="AN184" s="3" t="n"/>
      <c r="AO184" s="3" t="n"/>
      <c r="AP184" s="3" t="n"/>
      <c r="AQ184" s="3" t="n"/>
      <c r="AR184" s="3" t="n"/>
      <c r="AS184" s="3" t="n"/>
      <c r="AT184" s="3" t="n"/>
      <c r="AU184" s="3" t="n"/>
    </row>
    <row r="185">
      <c r="A185" s="3" t="n">
        <v>2031</v>
      </c>
      <c r="B185" s="3" t="inlineStr">
        <is>
          <t>AZE</t>
        </is>
      </c>
      <c r="C185" s="3" t="inlineStr">
        <is>
          <t>IMF.RES:WEO</t>
        </is>
      </c>
      <c r="D185" s="3" t="inlineStr">
        <is>
          <t>AZE.BCA.A</t>
        </is>
      </c>
      <c r="E185" s="3" t="inlineStr">
        <is>
          <t>Azerbaijan, Republic of</t>
        </is>
      </c>
      <c r="F185" s="3" t="inlineStr">
        <is>
          <t>Current account balance (credit less debit), US dollar</t>
        </is>
      </c>
      <c r="G185" s="3" t="n">
        <v>-0.186607</v>
      </c>
      <c r="H185" s="3" t="n">
        <v>-0.051755</v>
      </c>
      <c r="I185" s="3" t="n">
        <v>-0.768373</v>
      </c>
      <c r="J185" s="3" t="n">
        <v>-2.020591</v>
      </c>
      <c r="K185" s="3" t="n">
        <v>-2.589213</v>
      </c>
      <c r="L185" s="3" t="n">
        <v>0.167315</v>
      </c>
      <c r="M185" s="3" t="n">
        <v>3.707605</v>
      </c>
      <c r="N185" s="3" t="n">
        <v>9.018884999999999</v>
      </c>
      <c r="O185" s="3" t="n">
        <v>16.453505</v>
      </c>
      <c r="P185" s="3" t="n">
        <v>10.172836</v>
      </c>
      <c r="Q185" s="3" t="n">
        <v>15.039588</v>
      </c>
      <c r="R185" s="3" t="n">
        <v>17.146135</v>
      </c>
      <c r="S185" s="3" t="n">
        <v>14.916311</v>
      </c>
      <c r="T185" s="3" t="n">
        <v>12.317836</v>
      </c>
      <c r="U185" s="3" t="n">
        <v>10.43053</v>
      </c>
      <c r="V185" s="3" t="n">
        <v>-0.222495</v>
      </c>
      <c r="W185" s="3" t="n">
        <v>-1.363404</v>
      </c>
      <c r="X185" s="3" t="n">
        <v>1.684559</v>
      </c>
      <c r="Y185" s="3" t="n">
        <v>6.051077</v>
      </c>
      <c r="Z185" s="3" t="n">
        <v>4.364886</v>
      </c>
      <c r="AA185" s="3" t="n">
        <v>-0.227568</v>
      </c>
      <c r="AB185" s="3" t="n">
        <v>8.29158</v>
      </c>
      <c r="AC185" s="3" t="n">
        <v>23.478081</v>
      </c>
      <c r="AD185" s="3" t="n">
        <v>8.329368000000001</v>
      </c>
      <c r="AE185" s="3" t="n">
        <v>4.671108</v>
      </c>
      <c r="AF185" s="3" t="n">
        <v>4.160151</v>
      </c>
      <c r="AG185" s="3" t="n">
        <v>7.571644</v>
      </c>
      <c r="AH185" s="3" t="n">
        <v>4.450004</v>
      </c>
      <c r="AI185" s="3" t="n">
        <v>1.783977</v>
      </c>
      <c r="AJ185" s="3" t="n">
        <v>1.506737</v>
      </c>
      <c r="AK185" s="3" t="n">
        <v>1.003083</v>
      </c>
      <c r="AL185" s="3" t="n">
        <v>0.63439</v>
      </c>
      <c r="AM185" s="3" t="n"/>
      <c r="AN185" s="3" t="n"/>
      <c r="AO185" s="3" t="n"/>
      <c r="AP185" s="3" t="n"/>
      <c r="AQ185" s="3" t="n"/>
      <c r="AR185" s="3" t="n"/>
      <c r="AS185" s="3" t="n"/>
      <c r="AT185" s="3" t="n"/>
      <c r="AU185" s="3" t="n"/>
    </row>
    <row r="186">
      <c r="A186" s="3" t="n">
        <v>2031</v>
      </c>
      <c r="B186" s="3" t="inlineStr">
        <is>
          <t>AZE</t>
        </is>
      </c>
      <c r="C186" s="3" t="inlineStr">
        <is>
          <t>IMF.RES:WEO</t>
        </is>
      </c>
      <c r="D186" s="3" t="inlineStr">
        <is>
          <t>AZE.BCA_NGDPD.A</t>
        </is>
      </c>
      <c r="E186" s="3" t="inlineStr">
        <is>
          <t>Azerbaijan, Republic of</t>
        </is>
      </c>
      <c r="F186" s="3" t="inlineStr">
        <is>
          <t>Current account balance (credit less debit), Percent of GDP</t>
        </is>
      </c>
      <c r="G186" s="3" t="n">
        <v>-3.539163</v>
      </c>
      <c r="H186" s="3" t="n">
        <v>-0.945229</v>
      </c>
      <c r="I186" s="3" t="n">
        <v>-12.329245</v>
      </c>
      <c r="J186" s="3" t="n">
        <v>-27.771522</v>
      </c>
      <c r="K186" s="3" t="n">
        <v>-29.824323</v>
      </c>
      <c r="L186" s="3" t="n">
        <v>1.263831</v>
      </c>
      <c r="M186" s="3" t="n">
        <v>17.669577</v>
      </c>
      <c r="N186" s="3" t="n">
        <v>27.288324</v>
      </c>
      <c r="O186" s="3" t="n">
        <v>33.679977</v>
      </c>
      <c r="P186" s="3" t="n">
        <v>22.965067</v>
      </c>
      <c r="Q186" s="3" t="n">
        <v>28.425229</v>
      </c>
      <c r="R186" s="3" t="n">
        <v>25.998047</v>
      </c>
      <c r="S186" s="3" t="n">
        <v>21.405667</v>
      </c>
      <c r="T186" s="3" t="n">
        <v>16.608818</v>
      </c>
      <c r="U186" s="3" t="n">
        <v>13.863988</v>
      </c>
      <c r="V186" s="3" t="n">
        <v>-0.419827</v>
      </c>
      <c r="W186" s="3" t="n">
        <v>-3.604068</v>
      </c>
      <c r="X186" s="3" t="n">
        <v>4.071424</v>
      </c>
      <c r="Y186" s="3" t="n">
        <v>12.843768</v>
      </c>
      <c r="Z186" s="3" t="n">
        <v>9.060623</v>
      </c>
      <c r="AA186" s="3" t="n">
        <v>-0.533034</v>
      </c>
      <c r="AB186" s="3" t="n">
        <v>15.123608</v>
      </c>
      <c r="AC186" s="3" t="n">
        <v>29.791695</v>
      </c>
      <c r="AD186" s="3" t="n">
        <v>11.50013</v>
      </c>
      <c r="AE186" s="3" t="n">
        <v>6.276178</v>
      </c>
      <c r="AF186" s="3" t="n">
        <v>5.478378</v>
      </c>
      <c r="AG186" s="3" t="n">
        <v>9.661122000000001</v>
      </c>
      <c r="AH186" s="3" t="n">
        <v>5.357603</v>
      </c>
      <c r="AI186" s="3" t="n">
        <v>2.023219</v>
      </c>
      <c r="AJ186" s="3" t="n">
        <v>1.607743</v>
      </c>
      <c r="AK186" s="3" t="n">
        <v>1.007112</v>
      </c>
      <c r="AL186" s="3" t="n">
        <v>0.598915</v>
      </c>
      <c r="AM186" s="3" t="n"/>
      <c r="AN186" s="3" t="n"/>
      <c r="AO186" s="3" t="n"/>
      <c r="AP186" s="3" t="n"/>
      <c r="AQ186" s="3" t="n"/>
      <c r="AR186" s="3" t="n"/>
      <c r="AS186" s="3" t="n"/>
      <c r="AT186" s="3" t="n"/>
      <c r="AU186" s="3" t="n"/>
    </row>
    <row r="187">
      <c r="A187" s="3" t="n">
        <v>2031</v>
      </c>
      <c r="B187" s="3" t="inlineStr">
        <is>
          <t>AZE</t>
        </is>
      </c>
      <c r="C187" s="3" t="inlineStr">
        <is>
          <t>IMF.RES:WEO</t>
        </is>
      </c>
      <c r="D187" s="3" t="inlineStr">
        <is>
          <t>AZE.GGR_NGDP.A</t>
        </is>
      </c>
      <c r="E187" s="3" t="inlineStr">
        <is>
          <t>Azerbaijan, Republic of</t>
        </is>
      </c>
      <c r="F187" s="3" t="inlineStr">
        <is>
          <t>Revenue, General government, Percent of GDP</t>
        </is>
      </c>
      <c r="G187" s="3" t="n">
        <v>18.384434</v>
      </c>
      <c r="H187" s="3" t="n">
        <v>38.548857</v>
      </c>
      <c r="I187" s="3" t="n">
        <v>42.531871</v>
      </c>
      <c r="J187" s="3" t="n">
        <v>23.266678</v>
      </c>
      <c r="K187" s="3" t="n">
        <v>25.99729</v>
      </c>
      <c r="L187" s="3" t="n">
        <v>25.238777</v>
      </c>
      <c r="M187" s="3" t="n">
        <v>25.962045</v>
      </c>
      <c r="N187" s="3" t="n">
        <v>28.404835</v>
      </c>
      <c r="O187" s="3" t="n">
        <v>48.632837</v>
      </c>
      <c r="P187" s="3" t="n">
        <v>40.362921</v>
      </c>
      <c r="Q187" s="3" t="n">
        <v>45.789285</v>
      </c>
      <c r="R187" s="3" t="n">
        <v>44.59426</v>
      </c>
      <c r="S187" s="3" t="n">
        <v>40.341917</v>
      </c>
      <c r="T187" s="3" t="n">
        <v>39.422817</v>
      </c>
      <c r="U187" s="3" t="n">
        <v>39.116532</v>
      </c>
      <c r="V187" s="3" t="n">
        <v>33.866095</v>
      </c>
      <c r="W187" s="3" t="n">
        <v>34.255099</v>
      </c>
      <c r="X187" s="3" t="n">
        <v>34.229226</v>
      </c>
      <c r="Y187" s="3" t="n">
        <v>38.611937</v>
      </c>
      <c r="Z187" s="3" t="n">
        <v>41.474887</v>
      </c>
      <c r="AA187" s="3" t="n">
        <v>33.71621</v>
      </c>
      <c r="AB187" s="3" t="n">
        <v>36.372965</v>
      </c>
      <c r="AC187" s="3" t="n">
        <v>32.139779</v>
      </c>
      <c r="AD187" s="3" t="n">
        <v>40.647932</v>
      </c>
      <c r="AE187" s="3" t="n">
        <v>37.913391</v>
      </c>
      <c r="AF187" s="3" t="n">
        <v>37.147176</v>
      </c>
      <c r="AG187" s="3" t="n">
        <v>38.778511</v>
      </c>
      <c r="AH187" s="3" t="n">
        <v>36.605865</v>
      </c>
      <c r="AI187" s="3" t="n">
        <v>35.045449</v>
      </c>
      <c r="AJ187" s="3" t="n">
        <v>34.314581</v>
      </c>
      <c r="AK187" s="3" t="n">
        <v>33.659488</v>
      </c>
      <c r="AL187" s="3" t="n">
        <v>33.237601</v>
      </c>
      <c r="AM187" s="3" t="n"/>
      <c r="AN187" s="3" t="n"/>
      <c r="AO187" s="3" t="n"/>
      <c r="AP187" s="3" t="n"/>
      <c r="AQ187" s="3" t="n"/>
      <c r="AR187" s="3" t="n"/>
      <c r="AS187" s="3" t="n"/>
      <c r="AT187" s="3" t="n"/>
      <c r="AU187" s="3" t="n"/>
    </row>
    <row r="188">
      <c r="A188" s="3" t="n">
        <v>2031</v>
      </c>
      <c r="B188" s="3" t="inlineStr">
        <is>
          <t>AZE</t>
        </is>
      </c>
      <c r="C188" s="3" t="inlineStr">
        <is>
          <t>IMF.RES:WEO</t>
        </is>
      </c>
      <c r="D188" s="3" t="inlineStr">
        <is>
          <t>AZE.GGX_NGDP.A</t>
        </is>
      </c>
      <c r="E188" s="3" t="inlineStr">
        <is>
          <t>Azerbaijan, Republic of</t>
        </is>
      </c>
      <c r="F188" s="3" t="inlineStr">
        <is>
          <t>Expenditure, General government, Percent of GDP</t>
        </is>
      </c>
      <c r="G188" s="3" t="n">
        <v>18.239707</v>
      </c>
      <c r="H188" s="3" t="n">
        <v>16.784812</v>
      </c>
      <c r="I188" s="3" t="n">
        <v>23.138784</v>
      </c>
      <c r="J188" s="3" t="n">
        <v>21.662052</v>
      </c>
      <c r="K188" s="3" t="n">
        <v>24.215851</v>
      </c>
      <c r="L188" s="3" t="n">
        <v>22.497958</v>
      </c>
      <c r="M188" s="3" t="n">
        <v>25.29908</v>
      </c>
      <c r="N188" s="3" t="n">
        <v>26.067727</v>
      </c>
      <c r="O188" s="3" t="n">
        <v>31.439018</v>
      </c>
      <c r="P188" s="3" t="n">
        <v>34.506353</v>
      </c>
      <c r="Q188" s="3" t="n">
        <v>31.95804</v>
      </c>
      <c r="R188" s="3" t="n">
        <v>33.73462</v>
      </c>
      <c r="S188" s="3" t="n">
        <v>36.636437</v>
      </c>
      <c r="T188" s="3" t="n">
        <v>37.779342</v>
      </c>
      <c r="U188" s="3" t="n">
        <v>36.374193</v>
      </c>
      <c r="V188" s="3" t="n">
        <v>38.699137</v>
      </c>
      <c r="W188" s="3" t="n">
        <v>35.425021</v>
      </c>
      <c r="X188" s="3" t="n">
        <v>35.571452</v>
      </c>
      <c r="Y188" s="3" t="n">
        <v>33.182919</v>
      </c>
      <c r="Z188" s="3" t="n">
        <v>32.520031</v>
      </c>
      <c r="AA188" s="3" t="n">
        <v>40.156563</v>
      </c>
      <c r="AB188" s="3" t="n">
        <v>32.167672</v>
      </c>
      <c r="AC188" s="3" t="n">
        <v>26.176674</v>
      </c>
      <c r="AD188" s="3" t="n">
        <v>32.726812</v>
      </c>
      <c r="AE188" s="3" t="n">
        <v>33.859293</v>
      </c>
      <c r="AF188" s="3" t="n">
        <v>34.588672</v>
      </c>
      <c r="AG188" s="3" t="n">
        <v>37.001491</v>
      </c>
      <c r="AH188" s="3" t="n">
        <v>36.42501</v>
      </c>
      <c r="AI188" s="3" t="n">
        <v>35.607397</v>
      </c>
      <c r="AJ188" s="3" t="n">
        <v>34.798017</v>
      </c>
      <c r="AK188" s="3" t="n">
        <v>34.26583</v>
      </c>
      <c r="AL188" s="3" t="n">
        <v>33.725507</v>
      </c>
      <c r="AM188" s="3" t="n"/>
      <c r="AN188" s="3" t="n"/>
      <c r="AO188" s="3" t="n"/>
      <c r="AP188" s="3" t="n"/>
      <c r="AQ188" s="3" t="n"/>
      <c r="AR188" s="3" t="n"/>
      <c r="AS188" s="3" t="n"/>
      <c r="AT188" s="3" t="n"/>
      <c r="AU188" s="3" t="n"/>
    </row>
    <row r="189">
      <c r="A189" s="3" t="n">
        <v>2031</v>
      </c>
      <c r="B189" s="3" t="inlineStr">
        <is>
          <t>AZE</t>
        </is>
      </c>
      <c r="C189" s="3" t="inlineStr">
        <is>
          <t>IMF.RES:WEO</t>
        </is>
      </c>
      <c r="D189" s="3" t="inlineStr">
        <is>
          <t>AZE.LP.A</t>
        </is>
      </c>
      <c r="E189" s="3" t="inlineStr">
        <is>
          <t>Azerbaijan, Republic of</t>
        </is>
      </c>
      <c r="F189" s="3" t="inlineStr">
        <is>
          <t>Population, Persons for countries / Index for country groups</t>
        </is>
      </c>
      <c r="G189" s="3" t="n">
        <v>8.0328</v>
      </c>
      <c r="H189" s="3" t="n">
        <v>8.1143</v>
      </c>
      <c r="I189" s="3" t="n">
        <v>8.1914</v>
      </c>
      <c r="J189" s="3" t="n">
        <v>8.2692</v>
      </c>
      <c r="K189" s="3" t="n">
        <v>8.3491</v>
      </c>
      <c r="L189" s="3" t="n">
        <v>8.4474</v>
      </c>
      <c r="M189" s="3" t="n">
        <v>8.553100000000001</v>
      </c>
      <c r="N189" s="3" t="n">
        <v>8.6661</v>
      </c>
      <c r="O189" s="3" t="n">
        <v>8.779400000000001</v>
      </c>
      <c r="P189" s="3" t="n">
        <v>8.9224</v>
      </c>
      <c r="Q189" s="3" t="n">
        <v>8.997400000000001</v>
      </c>
      <c r="R189" s="3" t="n">
        <v>9.1111</v>
      </c>
      <c r="S189" s="3" t="n">
        <v>9.235099999999999</v>
      </c>
      <c r="T189" s="3" t="n">
        <v>9.356400000000001</v>
      </c>
      <c r="U189" s="3" t="n">
        <v>9.4771</v>
      </c>
      <c r="V189" s="3" t="n">
        <v>9.593</v>
      </c>
      <c r="W189" s="3" t="n">
        <v>9.705399999999999</v>
      </c>
      <c r="X189" s="3" t="n">
        <v>9.81</v>
      </c>
      <c r="Y189" s="3" t="n">
        <v>9.898099999999999</v>
      </c>
      <c r="Z189" s="3" t="n">
        <v>9.951000000000001</v>
      </c>
      <c r="AA189" s="3" t="n">
        <v>9.974</v>
      </c>
      <c r="AB189" s="3" t="n">
        <v>10.0261</v>
      </c>
      <c r="AC189" s="3" t="n">
        <v>10.0633</v>
      </c>
      <c r="AD189" s="3" t="n">
        <v>10.1271</v>
      </c>
      <c r="AE189" s="3" t="n">
        <v>10.248625</v>
      </c>
      <c r="AF189" s="3" t="n">
        <v>10.371609</v>
      </c>
      <c r="AG189" s="3" t="n">
        <v>10.496068</v>
      </c>
      <c r="AH189" s="3" t="n">
        <v>10.622021</v>
      </c>
      <c r="AI189" s="3" t="n">
        <v>10.749485</v>
      </c>
      <c r="AJ189" s="3" t="n">
        <v>10.878479</v>
      </c>
      <c r="AK189" s="3" t="n">
        <v>11.009021</v>
      </c>
      <c r="AL189" s="3" t="n">
        <v>11.141129</v>
      </c>
      <c r="AM189" s="3" t="n"/>
      <c r="AN189" s="3" t="n"/>
      <c r="AO189" s="3" t="n"/>
      <c r="AP189" s="3" t="n"/>
      <c r="AQ189" s="3" t="n"/>
      <c r="AR189" s="3" t="n"/>
      <c r="AS189" s="3" t="n"/>
      <c r="AT189" s="3" t="n"/>
      <c r="AU189" s="3" t="n"/>
    </row>
    <row r="190">
      <c r="A190" s="3" t="n">
        <v>2031</v>
      </c>
      <c r="B190" s="3" t="inlineStr">
        <is>
          <t>AZE</t>
        </is>
      </c>
      <c r="C190" s="3" t="inlineStr">
        <is>
          <t>IMF.RES:WEO</t>
        </is>
      </c>
      <c r="D190" s="3" t="inlineStr">
        <is>
          <t>AZE.NGDP.A</t>
        </is>
      </c>
      <c r="E190" s="3" t="inlineStr">
        <is>
          <t>Azerbaijan, Republic of</t>
        </is>
      </c>
      <c r="F190" s="3" t="inlineStr">
        <is>
          <t>Gross domestic product (GDP), Current prices, Domestic currency</t>
        </is>
      </c>
      <c r="G190" s="3" t="n">
        <v>4.7181</v>
      </c>
      <c r="H190" s="3" t="n">
        <v>5.3156</v>
      </c>
      <c r="I190" s="3" t="n">
        <v>6.0625</v>
      </c>
      <c r="J190" s="3" t="n">
        <v>7.1465</v>
      </c>
      <c r="K190" s="3" t="n">
        <v>8.530200000000001</v>
      </c>
      <c r="L190" s="3" t="n">
        <v>12.5225</v>
      </c>
      <c r="M190" s="3" t="n">
        <v>18.7462</v>
      </c>
      <c r="N190" s="3" t="n">
        <v>28.3605</v>
      </c>
      <c r="O190" s="3" t="n">
        <v>40.1372</v>
      </c>
      <c r="P190" s="3" t="n">
        <v>35.6015</v>
      </c>
      <c r="Q190" s="3" t="n">
        <v>42.465</v>
      </c>
      <c r="R190" s="3" t="n">
        <v>52.082</v>
      </c>
      <c r="S190" s="3" t="n">
        <v>54.7437</v>
      </c>
      <c r="T190" s="3" t="n">
        <v>58.182</v>
      </c>
      <c r="U190" s="3" t="n">
        <v>59.0141</v>
      </c>
      <c r="V190" s="3" t="n">
        <v>54.38</v>
      </c>
      <c r="W190" s="3" t="n">
        <v>60.4252</v>
      </c>
      <c r="X190" s="3" t="n">
        <v>70.3378</v>
      </c>
      <c r="Y190" s="3" t="n">
        <v>80.092</v>
      </c>
      <c r="Z190" s="3" t="n">
        <v>81.89619999999999</v>
      </c>
      <c r="AA190" s="3" t="n">
        <v>72.57810000000001</v>
      </c>
      <c r="AB190" s="3" t="n">
        <v>93.2032</v>
      </c>
      <c r="AC190" s="3" t="n">
        <v>133.9727</v>
      </c>
      <c r="AD190" s="3" t="n">
        <v>123.1284</v>
      </c>
      <c r="AE190" s="3" t="n">
        <v>126.5242</v>
      </c>
      <c r="AF190" s="3" t="n">
        <v>129.094</v>
      </c>
      <c r="AG190" s="3" t="n">
        <v>133.232911</v>
      </c>
      <c r="AH190" s="3" t="n">
        <v>141.201317</v>
      </c>
      <c r="AI190" s="3" t="n">
        <v>149.89775</v>
      </c>
      <c r="AJ190" s="3" t="n">
        <v>159.319837</v>
      </c>
      <c r="AK190" s="3" t="n">
        <v>169.319845</v>
      </c>
      <c r="AL190" s="3" t="n">
        <v>180.069404</v>
      </c>
      <c r="AM190" s="3" t="n"/>
      <c r="AN190" s="3" t="n"/>
      <c r="AO190" s="3" t="n"/>
      <c r="AP190" s="3" t="n"/>
      <c r="AQ190" s="3" t="n"/>
      <c r="AR190" s="3" t="n"/>
      <c r="AS190" s="3" t="n"/>
      <c r="AT190" s="3" t="n"/>
      <c r="AU190" s="3" t="n"/>
    </row>
    <row r="191">
      <c r="A191" s="3" t="n">
        <v>2031</v>
      </c>
      <c r="B191" s="3" t="inlineStr">
        <is>
          <t>AZE</t>
        </is>
      </c>
      <c r="C191" s="3" t="inlineStr">
        <is>
          <t>IMF.RES:WEO</t>
        </is>
      </c>
      <c r="D191" s="3" t="inlineStr">
        <is>
          <t>AZE.NGDP_D.A</t>
        </is>
      </c>
      <c r="E191" s="3" t="inlineStr">
        <is>
          <t>Azerbaijan, Republic of</t>
        </is>
      </c>
      <c r="F191" s="3" t="inlineStr">
        <is>
          <t>Gross domestic product (GDP), Price deflator, Index</t>
        </is>
      </c>
      <c r="G191" s="3" t="n">
        <v>68.966244</v>
      </c>
      <c r="H191" s="3" t="n">
        <v>70.70075199999999</v>
      </c>
      <c r="I191" s="3" t="n">
        <v>73.68035500000001</v>
      </c>
      <c r="J191" s="3" t="n">
        <v>78.80958699999999</v>
      </c>
      <c r="K191" s="3" t="n">
        <v>86.101023</v>
      </c>
      <c r="L191" s="3" t="n">
        <v>99.998403</v>
      </c>
      <c r="M191" s="3" t="n">
        <v>111.327411</v>
      </c>
      <c r="N191" s="3" t="n">
        <v>134.738817</v>
      </c>
      <c r="O191" s="3" t="n">
        <v>172.148707</v>
      </c>
      <c r="P191" s="3" t="n">
        <v>139.753854</v>
      </c>
      <c r="Q191" s="3" t="n">
        <v>158.758624</v>
      </c>
      <c r="R191" s="3" t="n">
        <v>194.51799</v>
      </c>
      <c r="S191" s="3" t="n">
        <v>200.051993</v>
      </c>
      <c r="T191" s="3" t="n">
        <v>200.878536</v>
      </c>
      <c r="U191" s="3" t="n">
        <v>198.264301</v>
      </c>
      <c r="V191" s="3" t="n">
        <v>180.744318</v>
      </c>
      <c r="W191" s="3" t="n">
        <v>207.18421</v>
      </c>
      <c r="X191" s="3" t="n">
        <v>240.802344</v>
      </c>
      <c r="Y191" s="3" t="n">
        <v>270.222612</v>
      </c>
      <c r="Z191" s="3" t="n">
        <v>269.623656</v>
      </c>
      <c r="AA191" s="3" t="n">
        <v>249.419048</v>
      </c>
      <c r="AB191" s="3" t="n">
        <v>303.265719</v>
      </c>
      <c r="AC191" s="3" t="n">
        <v>416.295039</v>
      </c>
      <c r="AD191" s="3" t="n">
        <v>377.485455</v>
      </c>
      <c r="AE191" s="3" t="n">
        <v>372.417094</v>
      </c>
      <c r="AF191" s="3" t="n">
        <v>374.734872</v>
      </c>
      <c r="AG191" s="3" t="n">
        <v>378.362083</v>
      </c>
      <c r="AH191" s="3" t="n">
        <v>391.292575</v>
      </c>
      <c r="AI191" s="3" t="n">
        <v>405.390308</v>
      </c>
      <c r="AJ191" s="3" t="n">
        <v>420.491903</v>
      </c>
      <c r="AK191" s="3" t="n">
        <v>435.992029</v>
      </c>
      <c r="AL191" s="3" t="n">
        <v>452.240433</v>
      </c>
      <c r="AM191" s="3" t="n"/>
      <c r="AN191" s="3" t="n"/>
      <c r="AO191" s="3" t="n"/>
      <c r="AP191" s="3" t="n"/>
      <c r="AQ191" s="3" t="n"/>
      <c r="AR191" s="3" t="n"/>
      <c r="AS191" s="3" t="n"/>
      <c r="AT191" s="3" t="n"/>
      <c r="AU191" s="3" t="n"/>
    </row>
    <row r="192">
      <c r="A192" s="3" t="n">
        <v>2031</v>
      </c>
      <c r="B192" s="3" t="inlineStr">
        <is>
          <t>AZE</t>
        </is>
      </c>
      <c r="C192" s="3" t="inlineStr">
        <is>
          <t>IMF.RES:WEO</t>
        </is>
      </c>
      <c r="D192" s="3" t="inlineStr">
        <is>
          <t>AZE.NGDP_R.A</t>
        </is>
      </c>
      <c r="E192" s="3" t="inlineStr">
        <is>
          <t>Azerbaijan, Republic of</t>
        </is>
      </c>
      <c r="F192" s="3" t="inlineStr">
        <is>
          <t>Gross domestic product (GDP), Constant prices, Domestic currency</t>
        </is>
      </c>
      <c r="G192" s="3" t="n">
        <v>6.841173</v>
      </c>
      <c r="H192" s="3" t="n">
        <v>7.518449</v>
      </c>
      <c r="I192" s="3" t="n">
        <v>8.228109</v>
      </c>
      <c r="J192" s="3" t="n">
        <v>9.068059</v>
      </c>
      <c r="K192" s="3" t="n">
        <v>9.907199</v>
      </c>
      <c r="L192" s="3" t="n">
        <v>12.5227</v>
      </c>
      <c r="M192" s="3" t="n">
        <v>16.8388</v>
      </c>
      <c r="N192" s="3" t="n">
        <v>21.0485</v>
      </c>
      <c r="O192" s="3" t="n">
        <v>23.315423</v>
      </c>
      <c r="P192" s="3" t="n">
        <v>25.474432</v>
      </c>
      <c r="Q192" s="3" t="n">
        <v>26.748153</v>
      </c>
      <c r="R192" s="3" t="n">
        <v>26.774901</v>
      </c>
      <c r="S192" s="3" t="n">
        <v>27.364736</v>
      </c>
      <c r="T192" s="3" t="n">
        <v>28.963771</v>
      </c>
      <c r="U192" s="3" t="n">
        <v>29.765369</v>
      </c>
      <c r="V192" s="3" t="n">
        <v>30.0867</v>
      </c>
      <c r="W192" s="3" t="n">
        <v>29.164964</v>
      </c>
      <c r="X192" s="3" t="n">
        <v>29.209766</v>
      </c>
      <c r="Y192" s="3" t="n">
        <v>29.639266</v>
      </c>
      <c r="Z192" s="3" t="n">
        <v>30.374264</v>
      </c>
      <c r="AA192" s="3" t="n">
        <v>29.09886</v>
      </c>
      <c r="AB192" s="3" t="n">
        <v>30.73318</v>
      </c>
      <c r="AC192" s="3" t="n">
        <v>32.182151</v>
      </c>
      <c r="AD192" s="3" t="n">
        <v>32.618051</v>
      </c>
      <c r="AE192" s="3" t="n">
        <v>33.97379</v>
      </c>
      <c r="AF192" s="3" t="n">
        <v>34.449423</v>
      </c>
      <c r="AG192" s="3" t="n">
        <v>35.213072</v>
      </c>
      <c r="AH192" s="3" t="n">
        <v>36.085867</v>
      </c>
      <c r="AI192" s="3" t="n">
        <v>36.976155</v>
      </c>
      <c r="AJ192" s="3" t="n">
        <v>37.888919</v>
      </c>
      <c r="AK192" s="3" t="n">
        <v>38.835537</v>
      </c>
      <c r="AL192" s="3" t="n">
        <v>39.817184</v>
      </c>
      <c r="AM192" s="3" t="n"/>
      <c r="AN192" s="3" t="n"/>
      <c r="AO192" s="3" t="n"/>
      <c r="AP192" s="3" t="n"/>
      <c r="AQ192" s="3" t="n"/>
      <c r="AR192" s="3" t="n"/>
      <c r="AS192" s="3" t="n"/>
      <c r="AT192" s="3" t="n"/>
      <c r="AU192" s="3" t="n"/>
    </row>
    <row r="193">
      <c r="A193" s="3" t="n">
        <v>2031</v>
      </c>
      <c r="B193" s="3" t="inlineStr">
        <is>
          <t>AZE</t>
        </is>
      </c>
      <c r="C193" s="3" t="inlineStr">
        <is>
          <t>IMF.RES:WEO</t>
        </is>
      </c>
      <c r="D193" s="3" t="inlineStr">
        <is>
          <t>AZE.NGDP_RPCH.A</t>
        </is>
      </c>
      <c r="E193" s="3" t="inlineStr">
        <is>
          <t>Azerbaijan, Republic of</t>
        </is>
      </c>
      <c r="F193" s="3" t="inlineStr">
        <is>
          <t>Gross domestic product (GDP), Constant prices, Percent change</t>
        </is>
      </c>
      <c r="G193" s="3" t="n">
        <v>6.227069</v>
      </c>
      <c r="H193" s="3" t="n">
        <v>9.9</v>
      </c>
      <c r="I193" s="3" t="n">
        <v>9.438916000000001</v>
      </c>
      <c r="J193" s="3" t="n">
        <v>10.2083</v>
      </c>
      <c r="K193" s="3" t="n">
        <v>9.253800999999999</v>
      </c>
      <c r="L193" s="3" t="n">
        <v>26.4</v>
      </c>
      <c r="M193" s="3" t="n">
        <v>34.466209</v>
      </c>
      <c r="N193" s="3" t="n">
        <v>25</v>
      </c>
      <c r="O193" s="3" t="n">
        <v>10.77</v>
      </c>
      <c r="P193" s="3" t="n">
        <v>9.26</v>
      </c>
      <c r="Q193" s="3" t="n">
        <v>5</v>
      </c>
      <c r="R193" s="3" t="n">
        <v>0.1</v>
      </c>
      <c r="S193" s="3" t="n">
        <v>2.202939</v>
      </c>
      <c r="T193" s="3" t="n">
        <v>5.843416</v>
      </c>
      <c r="U193" s="3" t="n">
        <v>2.767585</v>
      </c>
      <c r="V193" s="3" t="n">
        <v>1.079546</v>
      </c>
      <c r="W193" s="3" t="n">
        <v>-3.063598</v>
      </c>
      <c r="X193" s="3" t="n">
        <v>0.153615</v>
      </c>
      <c r="Y193" s="3" t="n">
        <v>1.470402</v>
      </c>
      <c r="Z193" s="3" t="n">
        <v>2.479809</v>
      </c>
      <c r="AA193" s="3" t="n">
        <v>-4.198961</v>
      </c>
      <c r="AB193" s="3" t="n">
        <v>5.61644</v>
      </c>
      <c r="AC193" s="3" t="n">
        <v>4.71468</v>
      </c>
      <c r="AD193" s="3" t="n">
        <v>1.354477</v>
      </c>
      <c r="AE193" s="3" t="n">
        <v>4.156405</v>
      </c>
      <c r="AF193" s="3" t="n">
        <v>1.4</v>
      </c>
      <c r="AG193" s="3" t="n">
        <v>2.216725</v>
      </c>
      <c r="AH193" s="3" t="n">
        <v>2.478611</v>
      </c>
      <c r="AI193" s="3" t="n">
        <v>2.467139</v>
      </c>
      <c r="AJ193" s="3" t="n">
        <v>2.468521</v>
      </c>
      <c r="AK193" s="3" t="n">
        <v>2.498403</v>
      </c>
      <c r="AL193" s="3" t="n">
        <v>2.527702</v>
      </c>
      <c r="AM193" s="3" t="n"/>
      <c r="AN193" s="3" t="n"/>
      <c r="AO193" s="3" t="n"/>
      <c r="AP193" s="3" t="n"/>
      <c r="AQ193" s="3" t="n"/>
      <c r="AR193" s="3" t="n"/>
      <c r="AS193" s="3" t="n"/>
      <c r="AT193" s="3" t="n"/>
      <c r="AU193" s="3" t="n"/>
    </row>
    <row r="194">
      <c r="A194" s="3" t="n">
        <v>2031</v>
      </c>
      <c r="B194" s="3" t="inlineStr">
        <is>
          <t>AZE</t>
        </is>
      </c>
      <c r="C194" s="3" t="inlineStr">
        <is>
          <t>IMF.RES:WEO</t>
        </is>
      </c>
      <c r="D194" s="3" t="inlineStr">
        <is>
          <t>AZE.NGDPD.A</t>
        </is>
      </c>
      <c r="E194" s="3" t="inlineStr">
        <is>
          <t>Azerbaijan, Republic of</t>
        </is>
      </c>
      <c r="F194" s="3" t="inlineStr">
        <is>
          <t>Gross domestic product (GDP), Current prices, US dollar</t>
        </is>
      </c>
      <c r="G194" s="3" t="n">
        <v>5.272617</v>
      </c>
      <c r="H194" s="3" t="n">
        <v>5.47539</v>
      </c>
      <c r="I194" s="3" t="n">
        <v>6.232117</v>
      </c>
      <c r="J194" s="3" t="n">
        <v>7.275766</v>
      </c>
      <c r="K194" s="3" t="n">
        <v>8.681547999999999</v>
      </c>
      <c r="L194" s="3" t="n">
        <v>13.238714</v>
      </c>
      <c r="M194" s="3" t="n">
        <v>20.982986</v>
      </c>
      <c r="N194" s="3" t="n">
        <v>33.050344</v>
      </c>
      <c r="O194" s="3" t="n">
        <v>48.852483</v>
      </c>
      <c r="P194" s="3" t="n">
        <v>44.297001</v>
      </c>
      <c r="Q194" s="3" t="n">
        <v>52.909295</v>
      </c>
      <c r="R194" s="3" t="n">
        <v>65.951627</v>
      </c>
      <c r="S194" s="3" t="n">
        <v>69.683936</v>
      </c>
      <c r="T194" s="3" t="n">
        <v>74.16443599999999</v>
      </c>
      <c r="U194" s="3" t="n">
        <v>75.234702</v>
      </c>
      <c r="V194" s="3" t="n">
        <v>52.996784</v>
      </c>
      <c r="W194" s="3" t="n">
        <v>37.829587</v>
      </c>
      <c r="X194" s="3" t="n">
        <v>41.375176</v>
      </c>
      <c r="Y194" s="3" t="n">
        <v>47.112941</v>
      </c>
      <c r="Z194" s="3" t="n">
        <v>48.174235</v>
      </c>
      <c r="AA194" s="3" t="n">
        <v>42.693</v>
      </c>
      <c r="AB194" s="3" t="n">
        <v>54.825412</v>
      </c>
      <c r="AC194" s="3" t="n">
        <v>78.80747100000001</v>
      </c>
      <c r="AD194" s="3" t="n">
        <v>72.428471</v>
      </c>
      <c r="AE194" s="3" t="n">
        <v>74.426</v>
      </c>
      <c r="AF194" s="3" t="n">
        <v>75.937647</v>
      </c>
      <c r="AG194" s="3" t="n">
        <v>78.37230099999999</v>
      </c>
      <c r="AH194" s="3" t="n">
        <v>83.05959799999999</v>
      </c>
      <c r="AI194" s="3" t="n">
        <v>88.175147</v>
      </c>
      <c r="AJ194" s="3" t="n">
        <v>93.717551</v>
      </c>
      <c r="AK194" s="3" t="n">
        <v>99.599909</v>
      </c>
      <c r="AL194" s="3" t="n">
        <v>105.923179</v>
      </c>
      <c r="AM194" s="3" t="n"/>
      <c r="AN194" s="3" t="n"/>
      <c r="AO194" s="3" t="n"/>
      <c r="AP194" s="3" t="n"/>
      <c r="AQ194" s="3" t="n"/>
      <c r="AR194" s="3" t="n"/>
      <c r="AS194" s="3" t="n"/>
      <c r="AT194" s="3" t="n"/>
      <c r="AU194" s="3" t="n"/>
    </row>
    <row r="195">
      <c r="A195" s="3" t="n">
        <v>2031</v>
      </c>
      <c r="B195" s="3" t="inlineStr">
        <is>
          <t>AZE</t>
        </is>
      </c>
      <c r="C195" s="3" t="inlineStr">
        <is>
          <t>IMF.RES:WEO</t>
        </is>
      </c>
      <c r="D195" s="3" t="inlineStr">
        <is>
          <t>AZE.NGDPPC.A</t>
        </is>
      </c>
      <c r="E195" s="3" t="inlineStr">
        <is>
          <t>Azerbaijan, Republic of</t>
        </is>
      </c>
      <c r="F195" s="3" t="inlineStr">
        <is>
          <t>Gross domestic product (GDP), Current prices, Per capita, Domestic currency</t>
        </is>
      </c>
      <c r="G195" s="3" t="n">
        <v>587.354347</v>
      </c>
      <c r="H195" s="3" t="n">
        <v>655.0903960000001</v>
      </c>
      <c r="I195" s="3" t="n">
        <v>740.105476</v>
      </c>
      <c r="J195" s="3" t="n">
        <v>864.231123</v>
      </c>
      <c r="K195" s="3" t="n">
        <v>1021.690961</v>
      </c>
      <c r="L195" s="3" t="n">
        <v>1482.408789</v>
      </c>
      <c r="M195" s="3" t="n">
        <v>2191.743345</v>
      </c>
      <c r="N195" s="3" t="n">
        <v>3272.579361</v>
      </c>
      <c r="O195" s="3" t="n">
        <v>4571.7475</v>
      </c>
      <c r="P195" s="3" t="n">
        <v>3990.125975</v>
      </c>
      <c r="Q195" s="3" t="n">
        <v>4719.696801</v>
      </c>
      <c r="R195" s="3" t="n">
        <v>5716.324044</v>
      </c>
      <c r="S195" s="3" t="n">
        <v>5927.78638</v>
      </c>
      <c r="T195" s="3" t="n">
        <v>6218.41734</v>
      </c>
      <c r="U195" s="3" t="n">
        <v>6227.020924</v>
      </c>
      <c r="V195" s="3" t="n">
        <v>5668.716773</v>
      </c>
      <c r="W195" s="3" t="n">
        <v>6225.936077</v>
      </c>
      <c r="X195" s="3" t="n">
        <v>7170.010194</v>
      </c>
      <c r="Y195" s="3" t="n">
        <v>8091.653954</v>
      </c>
      <c r="Z195" s="3" t="n">
        <v>8229.946739000001</v>
      </c>
      <c r="AA195" s="3" t="n">
        <v>7276.729497</v>
      </c>
      <c r="AB195" s="3" t="n">
        <v>9296.057290000001</v>
      </c>
      <c r="AC195" s="3" t="n">
        <v>13312.998718</v>
      </c>
      <c r="AD195" s="3" t="n">
        <v>12158.307907</v>
      </c>
      <c r="AE195" s="3" t="n">
        <v>12345.48025</v>
      </c>
      <c r="AF195" s="3" t="n">
        <v>12446.863713</v>
      </c>
      <c r="AG195" s="3" t="n">
        <v>12693.602103</v>
      </c>
      <c r="AH195" s="3" t="n">
        <v>13293.263086</v>
      </c>
      <c r="AI195" s="3" t="n">
        <v>13944.644655</v>
      </c>
      <c r="AJ195" s="3" t="n">
        <v>14645.414925</v>
      </c>
      <c r="AK195" s="3" t="n">
        <v>15380.10064</v>
      </c>
      <c r="AL195" s="3" t="n">
        <v>16162.581538</v>
      </c>
      <c r="AM195" s="3" t="n"/>
      <c r="AN195" s="3" t="n"/>
      <c r="AO195" s="3" t="n"/>
      <c r="AP195" s="3" t="n"/>
      <c r="AQ195" s="3" t="n"/>
      <c r="AR195" s="3" t="n"/>
      <c r="AS195" s="3" t="n"/>
      <c r="AT195" s="3" t="n"/>
      <c r="AU195" s="3" t="n"/>
    </row>
    <row r="196">
      <c r="A196" s="3" t="n">
        <v>2031</v>
      </c>
      <c r="B196" s="3" t="inlineStr">
        <is>
          <t>AZE</t>
        </is>
      </c>
      <c r="C196" s="3" t="inlineStr">
        <is>
          <t>IMF.RES:WEO</t>
        </is>
      </c>
      <c r="D196" s="3" t="inlineStr">
        <is>
          <t>AZE.NGDPRPC.A</t>
        </is>
      </c>
      <c r="E196" s="3" t="inlineStr">
        <is>
          <t>Azerbaijan, Republic of</t>
        </is>
      </c>
      <c r="F196" s="3" t="inlineStr">
        <is>
          <t>Gross domestic product (GDP), Constant prices, Per capita, Domestic currency</t>
        </is>
      </c>
      <c r="G196" s="3" t="n">
        <v>851.654827</v>
      </c>
      <c r="H196" s="3" t="n">
        <v>926.5677889999999</v>
      </c>
      <c r="I196" s="3" t="n">
        <v>1004.481422</v>
      </c>
      <c r="J196" s="3" t="n">
        <v>1096.606587</v>
      </c>
      <c r="K196" s="3" t="n">
        <v>1186.618841</v>
      </c>
      <c r="L196" s="3" t="n">
        <v>1482.432464</v>
      </c>
      <c r="M196" s="3" t="n">
        <v>1968.736482</v>
      </c>
      <c r="N196" s="3" t="n">
        <v>2428.831885</v>
      </c>
      <c r="O196" s="3" t="n">
        <v>2655.696682</v>
      </c>
      <c r="P196" s="3" t="n">
        <v>2855.109798</v>
      </c>
      <c r="Q196" s="3" t="n">
        <v>2972.875858</v>
      </c>
      <c r="R196" s="3" t="n">
        <v>2938.712274</v>
      </c>
      <c r="S196" s="3" t="n">
        <v>2963.122884</v>
      </c>
      <c r="T196" s="3" t="n">
        <v>3095.610647</v>
      </c>
      <c r="U196" s="3" t="n">
        <v>3140.767595</v>
      </c>
      <c r="V196" s="3" t="n">
        <v>3136.3181</v>
      </c>
      <c r="W196" s="3" t="n">
        <v>3005.024406</v>
      </c>
      <c r="X196" s="3" t="n">
        <v>2977.550002</v>
      </c>
      <c r="Y196" s="3" t="n">
        <v>2994.439985</v>
      </c>
      <c r="Z196" s="3" t="n">
        <v>3052.383036</v>
      </c>
      <c r="AA196" s="3" t="n">
        <v>2917.471443</v>
      </c>
      <c r="AB196" s="3" t="n">
        <v>3065.317549</v>
      </c>
      <c r="AC196" s="3" t="n">
        <v>3197.971987</v>
      </c>
      <c r="AD196" s="3" t="n">
        <v>3220.867912</v>
      </c>
      <c r="AE196" s="3" t="n">
        <v>3314.960687</v>
      </c>
      <c r="AF196" s="3" t="n">
        <v>3321.511992</v>
      </c>
      <c r="AG196" s="3" t="n">
        <v>3354.882181</v>
      </c>
      <c r="AH196" s="3" t="n">
        <v>3397.26944</v>
      </c>
      <c r="AI196" s="3" t="n">
        <v>3439.807111</v>
      </c>
      <c r="AJ196" s="3" t="n">
        <v>3482.924363</v>
      </c>
      <c r="AK196" s="3" t="n">
        <v>3527.610508</v>
      </c>
      <c r="AL196" s="3" t="n">
        <v>3573.891309</v>
      </c>
      <c r="AM196" s="3" t="n"/>
      <c r="AN196" s="3" t="n"/>
      <c r="AO196" s="3" t="n"/>
      <c r="AP196" s="3" t="n"/>
      <c r="AQ196" s="3" t="n"/>
      <c r="AR196" s="3" t="n"/>
      <c r="AS196" s="3" t="n"/>
      <c r="AT196" s="3" t="n"/>
      <c r="AU196" s="3" t="n"/>
    </row>
    <row r="197">
      <c r="A197" s="3" t="n">
        <v>2031</v>
      </c>
      <c r="B197" s="3" t="inlineStr">
        <is>
          <t>AZE</t>
        </is>
      </c>
      <c r="C197" s="3" t="inlineStr">
        <is>
          <t>IMF.RES:WEO</t>
        </is>
      </c>
      <c r="D197" s="3" t="inlineStr">
        <is>
          <t>AZE.PCPI.A</t>
        </is>
      </c>
      <c r="E197" s="3" t="inlineStr">
        <is>
          <t>Azerbaijan, Republic of</t>
        </is>
      </c>
      <c r="F197" s="3" t="inlineStr">
        <is>
          <t>All Items, Consumer price index (CPI), Period average</t>
        </is>
      </c>
      <c r="G197" s="3" t="n">
        <v>73.94542199999999</v>
      </c>
      <c r="H197" s="3" t="n">
        <v>75.255938</v>
      </c>
      <c r="I197" s="3" t="n">
        <v>77.320159</v>
      </c>
      <c r="J197" s="3" t="n">
        <v>78.95643099999999</v>
      </c>
      <c r="K197" s="3" t="n">
        <v>84.255436</v>
      </c>
      <c r="L197" s="3" t="n">
        <v>92.33610299999999</v>
      </c>
      <c r="M197" s="3" t="n">
        <v>100</v>
      </c>
      <c r="N197" s="3" t="n">
        <v>116.712835</v>
      </c>
      <c r="O197" s="3" t="n">
        <v>140.99723</v>
      </c>
      <c r="P197" s="3" t="n">
        <v>143.056325</v>
      </c>
      <c r="Q197" s="3" t="n">
        <v>151.246537</v>
      </c>
      <c r="R197" s="3" t="n">
        <v>163.157895</v>
      </c>
      <c r="S197" s="3" t="n">
        <v>164.912281</v>
      </c>
      <c r="T197" s="3" t="n">
        <v>168.882733</v>
      </c>
      <c r="U197" s="3" t="n">
        <v>171.191136</v>
      </c>
      <c r="V197" s="3" t="n">
        <v>178.10711</v>
      </c>
      <c r="W197" s="3" t="n">
        <v>200.277008</v>
      </c>
      <c r="X197" s="3" t="n">
        <v>226.186519</v>
      </c>
      <c r="Y197" s="3" t="n">
        <v>231.301939</v>
      </c>
      <c r="Z197" s="3" t="n">
        <v>237.303786</v>
      </c>
      <c r="AA197" s="3" t="n">
        <v>243.859649</v>
      </c>
      <c r="AB197" s="3" t="n">
        <v>260.110803</v>
      </c>
      <c r="AC197" s="3" t="n">
        <v>296.158818</v>
      </c>
      <c r="AD197" s="3" t="n">
        <v>322.166635</v>
      </c>
      <c r="AE197" s="3" t="n">
        <v>329.302081</v>
      </c>
      <c r="AF197" s="3" t="n">
        <v>347.742998</v>
      </c>
      <c r="AG197" s="3" t="n">
        <v>368.607577</v>
      </c>
      <c r="AH197" s="3" t="n">
        <v>387.406564</v>
      </c>
      <c r="AI197" s="3" t="n">
        <v>403.290233</v>
      </c>
      <c r="AJ197" s="3" t="n">
        <v>419.421842</v>
      </c>
      <c r="AK197" s="3" t="n">
        <v>436.198716</v>
      </c>
      <c r="AL197" s="3" t="n">
        <v>453.646665</v>
      </c>
      <c r="AM197" s="3" t="n"/>
      <c r="AN197" s="3" t="n"/>
      <c r="AO197" s="3" t="n"/>
      <c r="AP197" s="3" t="n"/>
      <c r="AQ197" s="3" t="n"/>
      <c r="AR197" s="3" t="n"/>
      <c r="AS197" s="3" t="n"/>
      <c r="AT197" s="3" t="n"/>
      <c r="AU197" s="3" t="n"/>
    </row>
    <row r="198">
      <c r="A198" s="3" t="n">
        <v>2031</v>
      </c>
      <c r="B198" s="3" t="inlineStr">
        <is>
          <t>AZE</t>
        </is>
      </c>
      <c r="C198" s="3" t="inlineStr">
        <is>
          <t>IMF.RES:WEO</t>
        </is>
      </c>
      <c r="D198" s="3" t="inlineStr">
        <is>
          <t>AZE.PCPIPCH.A</t>
        </is>
      </c>
      <c r="E198" s="3" t="inlineStr">
        <is>
          <t>Azerbaijan, Republic of</t>
        </is>
      </c>
      <c r="F198" s="3" t="inlineStr">
        <is>
          <t>All Items, Consumer price index (CPI), Period average, percent change</t>
        </is>
      </c>
      <c r="G198" s="3" t="n">
        <v>1.805003</v>
      </c>
      <c r="H198" s="3" t="n">
        <v>1.772275</v>
      </c>
      <c r="I198" s="3" t="n">
        <v>2.742934</v>
      </c>
      <c r="J198" s="3" t="n">
        <v>2.11623</v>
      </c>
      <c r="K198" s="3" t="n">
        <v>6.711302</v>
      </c>
      <c r="L198" s="3" t="n">
        <v>9.590678</v>
      </c>
      <c r="M198" s="3" t="n">
        <v>8.300000000000001</v>
      </c>
      <c r="N198" s="3" t="n">
        <v>16.712835</v>
      </c>
      <c r="O198" s="3" t="n">
        <v>20.806962</v>
      </c>
      <c r="P198" s="3" t="n">
        <v>1.46038</v>
      </c>
      <c r="Q198" s="3" t="n">
        <v>5.725166</v>
      </c>
      <c r="R198" s="3" t="n">
        <v>7.875458</v>
      </c>
      <c r="S198" s="3" t="n">
        <v>1.075269</v>
      </c>
      <c r="T198" s="3" t="n">
        <v>2.407615</v>
      </c>
      <c r="U198" s="3" t="n">
        <v>1.366867</v>
      </c>
      <c r="V198" s="3" t="n">
        <v>4.039914</v>
      </c>
      <c r="W198" s="3" t="n">
        <v>12.447509</v>
      </c>
      <c r="X198" s="3" t="n">
        <v>12.936837</v>
      </c>
      <c r="Y198" s="3" t="n">
        <v>2.261594</v>
      </c>
      <c r="Z198" s="3" t="n">
        <v>2.59481</v>
      </c>
      <c r="AA198" s="3" t="n">
        <v>2.762646</v>
      </c>
      <c r="AB198" s="3" t="n">
        <v>6.664142</v>
      </c>
      <c r="AC198" s="3" t="n">
        <v>13.858715</v>
      </c>
      <c r="AD198" s="3" t="n">
        <v>8.781713</v>
      </c>
      <c r="AE198" s="3" t="n">
        <v>2.214831</v>
      </c>
      <c r="AF198" s="3" t="n">
        <v>5.6</v>
      </c>
      <c r="AG198" s="3" t="n">
        <v>6</v>
      </c>
      <c r="AH198" s="3" t="n">
        <v>5.1</v>
      </c>
      <c r="AI198" s="3" t="n">
        <v>4.1</v>
      </c>
      <c r="AJ198" s="3" t="n">
        <v>4</v>
      </c>
      <c r="AK198" s="3" t="n">
        <v>4</v>
      </c>
      <c r="AL198" s="3" t="n">
        <v>4</v>
      </c>
      <c r="AM198" s="3" t="n"/>
      <c r="AN198" s="3" t="n"/>
      <c r="AO198" s="3" t="n"/>
      <c r="AP198" s="3" t="n"/>
      <c r="AQ198" s="3" t="n"/>
      <c r="AR198" s="3" t="n"/>
      <c r="AS198" s="3" t="n"/>
      <c r="AT198" s="3" t="n"/>
      <c r="AU198" s="3" t="n"/>
    </row>
    <row r="199">
      <c r="A199" s="3" t="n">
        <v>2031</v>
      </c>
      <c r="B199" s="3" t="inlineStr">
        <is>
          <t>AZE</t>
        </is>
      </c>
      <c r="C199" s="3" t="inlineStr">
        <is>
          <t>IMF.RES:WEO</t>
        </is>
      </c>
      <c r="D199" s="3" t="inlineStr">
        <is>
          <t>AZE.PPPPC.A</t>
        </is>
      </c>
      <c r="E199" s="3" t="inlineStr">
        <is>
          <t>Azerbaijan, Republic of</t>
        </is>
      </c>
      <c r="F199" s="3" t="inlineStr">
        <is>
          <t>Gross domestic product (GDP), Per capita, purchasing power parity (PPP) international dollar, ICP benchmarks 2017-2021</t>
        </is>
      </c>
      <c r="G199" s="3" t="n">
        <v>2991.138776</v>
      </c>
      <c r="H199" s="3" t="n">
        <v>3327.5175</v>
      </c>
      <c r="I199" s="3" t="n">
        <v>3663.382325</v>
      </c>
      <c r="J199" s="3" t="n">
        <v>4078.322455</v>
      </c>
      <c r="K199" s="3" t="n">
        <v>4531.744042</v>
      </c>
      <c r="L199" s="3" t="n">
        <v>5839.001401</v>
      </c>
      <c r="M199" s="3" t="n">
        <v>7993.592727</v>
      </c>
      <c r="N199" s="3" t="n">
        <v>10128.882347</v>
      </c>
      <c r="O199" s="3" t="n">
        <v>11288.319041</v>
      </c>
      <c r="P199" s="3" t="n">
        <v>12210.793003</v>
      </c>
      <c r="Q199" s="3" t="n">
        <v>12868.985622</v>
      </c>
      <c r="R199" s="3" t="n">
        <v>12983.566145</v>
      </c>
      <c r="S199" s="3" t="n">
        <v>13335.16827</v>
      </c>
      <c r="T199" s="3" t="n">
        <v>14168.526403</v>
      </c>
      <c r="U199" s="3" t="n">
        <v>14625.583679</v>
      </c>
      <c r="V199" s="3" t="n">
        <v>14740.404664</v>
      </c>
      <c r="W199" s="3" t="n">
        <v>14257.539732</v>
      </c>
      <c r="X199" s="3" t="n">
        <v>14380.187883</v>
      </c>
      <c r="Y199" s="3" t="n">
        <v>15347.34095</v>
      </c>
      <c r="Z199" s="3" t="n">
        <v>16798.121406</v>
      </c>
      <c r="AA199" s="3" t="n">
        <v>15344.671161</v>
      </c>
      <c r="AB199" s="3" t="n">
        <v>20335.334672</v>
      </c>
      <c r="AC199" s="3" t="n">
        <v>22724.289594</v>
      </c>
      <c r="AD199" s="3" t="n">
        <v>23733.810529</v>
      </c>
      <c r="AE199" s="3" t="n">
        <v>25033.572968</v>
      </c>
      <c r="AF199" s="3" t="n">
        <v>25794.5939</v>
      </c>
      <c r="AG199" s="3" t="n">
        <v>26800.144997</v>
      </c>
      <c r="AH199" s="3" t="n">
        <v>27734.69182</v>
      </c>
      <c r="AI199" s="3" t="n">
        <v>28542.896308</v>
      </c>
      <c r="AJ199" s="3" t="n">
        <v>29414.560835</v>
      </c>
      <c r="AK199" s="3" t="n">
        <v>30339.38666</v>
      </c>
      <c r="AL199" s="3" t="n">
        <v>31292.330275</v>
      </c>
      <c r="AM199" s="3" t="n"/>
      <c r="AN199" s="3" t="n"/>
      <c r="AO199" s="3" t="n"/>
      <c r="AP199" s="3" t="n"/>
      <c r="AQ199" s="3" t="n"/>
      <c r="AR199" s="3" t="n"/>
      <c r="AS199" s="3" t="n"/>
      <c r="AT199" s="3" t="n"/>
      <c r="AU199" s="3" t="n"/>
    </row>
    <row r="200">
      <c r="A200" s="3" t="n">
        <v>2025</v>
      </c>
      <c r="B200" s="3" t="inlineStr">
        <is>
          <t>AZE</t>
        </is>
      </c>
      <c r="C200" s="3" t="inlineStr">
        <is>
          <t>IMF.STA:ER</t>
        </is>
      </c>
      <c r="D200" s="3" t="inlineStr">
        <is>
          <t>AZE.XDC_USD.PA_RT.A</t>
        </is>
      </c>
      <c r="E200" s="3" t="inlineStr">
        <is>
          <t>Azerbaijan, Republic of</t>
        </is>
      </c>
      <c r="F200" s="3" t="inlineStr">
        <is>
          <t>Domestic currency per US Dollar</t>
        </is>
      </c>
      <c r="G200" s="3" t="n">
        <v>0.89483075</v>
      </c>
      <c r="H200" s="3" t="n">
        <v>0.931316666666666</v>
      </c>
      <c r="I200" s="3" t="n">
        <v>0.9721641666666661</v>
      </c>
      <c r="J200" s="3" t="n">
        <v>0.982145999999999</v>
      </c>
      <c r="K200" s="3" t="n">
        <v>0.9826955000000001</v>
      </c>
      <c r="L200" s="3" t="n">
        <v>0.945421</v>
      </c>
      <c r="M200" s="3" t="n">
        <v>0.893445</v>
      </c>
      <c r="N200" s="3" t="n">
        <v>0.858123808243727</v>
      </c>
      <c r="O200" s="3" t="n">
        <v>0.821619578853046</v>
      </c>
      <c r="P200" s="3" t="n">
        <v>0.803783333333333</v>
      </c>
      <c r="Q200" s="3" t="n">
        <v>0.80265</v>
      </c>
      <c r="R200" s="3" t="n">
        <v>0.789686388888888</v>
      </c>
      <c r="S200" s="3" t="n">
        <v>0.785645349462365</v>
      </c>
      <c r="T200" s="3" t="n">
        <v>0.784541075268817</v>
      </c>
      <c r="U200" s="3" t="n">
        <v>0.7843475</v>
      </c>
      <c r="V200" s="3" t="n">
        <v>1.02456381855059</v>
      </c>
      <c r="W200" s="3" t="n">
        <v>1.59572157270424</v>
      </c>
      <c r="X200" s="3" t="n">
        <v>1.72115480222734</v>
      </c>
      <c r="Y200" s="3" t="n">
        <v>1.70001666666666</v>
      </c>
      <c r="Z200" s="3" t="n">
        <v>1.7</v>
      </c>
      <c r="AA200" s="3" t="n">
        <v>1.7</v>
      </c>
      <c r="AB200" s="3" t="n">
        <v>1.7</v>
      </c>
      <c r="AC200" s="3" t="n">
        <v>1.7</v>
      </c>
      <c r="AD200" s="3" t="n">
        <v>1.7</v>
      </c>
      <c r="AE200" s="3" t="n">
        <v>1.7</v>
      </c>
      <c r="AF200" s="3" t="n">
        <v>1.7</v>
      </c>
      <c r="AG200" s="3" t="n"/>
      <c r="AH200" s="3" t="n"/>
      <c r="AI200" s="3" t="n"/>
      <c r="AJ200" s="3" t="n"/>
      <c r="AK200" s="3" t="n"/>
      <c r="AL200" s="3" t="n"/>
      <c r="AM200" s="3" t="n"/>
      <c r="AN200" s="3" t="n"/>
      <c r="AO200" s="3" t="n"/>
      <c r="AP200" s="3" t="n"/>
      <c r="AQ200" s="3" t="n"/>
      <c r="AR200" s="3" t="n"/>
      <c r="AS200" s="3" t="n"/>
      <c r="AT200" s="3" t="n"/>
      <c r="AU200" s="3" t="n"/>
    </row>
    <row r="201">
      <c r="A201" s="3" t="n">
        <v>2031</v>
      </c>
      <c r="B201" s="3" t="inlineStr">
        <is>
          <t>BDI</t>
        </is>
      </c>
      <c r="C201" s="3" t="inlineStr">
        <is>
          <t>IMF.RES:WEO</t>
        </is>
      </c>
      <c r="D201" s="3" t="inlineStr">
        <is>
          <t>BDI.BCA.A</t>
        </is>
      </c>
      <c r="E201" s="3" t="inlineStr">
        <is>
          <t>Burundi</t>
        </is>
      </c>
      <c r="F201" s="3" t="inlineStr">
        <is>
          <t>Current account balance (credit less debit), US dollar</t>
        </is>
      </c>
      <c r="G201" s="3" t="n">
        <v>-0.061095</v>
      </c>
      <c r="H201" s="3" t="n">
        <v>-0.030754</v>
      </c>
      <c r="I201" s="3" t="n">
        <v>-0.103508</v>
      </c>
      <c r="J201" s="3" t="n">
        <v>-0.110462</v>
      </c>
      <c r="K201" s="3" t="n">
        <v>-0.059531</v>
      </c>
      <c r="L201" s="3" t="n">
        <v>-0.052113</v>
      </c>
      <c r="M201" s="3" t="n">
        <v>-0.271066</v>
      </c>
      <c r="N201" s="3" t="n">
        <v>-0.43955</v>
      </c>
      <c r="O201" s="3" t="n">
        <v>-0.158301</v>
      </c>
      <c r="P201" s="3" t="n">
        <v>-0.112068</v>
      </c>
      <c r="Q201" s="3" t="n">
        <v>-0.248688</v>
      </c>
      <c r="R201" s="3" t="n">
        <v>-0.323583</v>
      </c>
      <c r="S201" s="3" t="n">
        <v>-0.460792</v>
      </c>
      <c r="T201" s="3" t="n">
        <v>-0.506198</v>
      </c>
      <c r="U201" s="3" t="n">
        <v>-0.428781</v>
      </c>
      <c r="V201" s="3" t="n">
        <v>-0.35791</v>
      </c>
      <c r="W201" s="3" t="n">
        <v>-0.327363</v>
      </c>
      <c r="X201" s="3" t="n">
        <v>-0.373485</v>
      </c>
      <c r="Y201" s="3" t="n">
        <v>-0.389205</v>
      </c>
      <c r="Z201" s="3" t="n">
        <v>-0.348177</v>
      </c>
      <c r="AA201" s="3" t="n">
        <v>-0.344634</v>
      </c>
      <c r="AB201" s="3" t="n">
        <v>-0.424294</v>
      </c>
      <c r="AC201" s="3" t="n">
        <v>-0.658674</v>
      </c>
      <c r="AD201" s="3" t="n">
        <v>-0.634366</v>
      </c>
      <c r="AE201" s="3" t="n">
        <v>-0.414596</v>
      </c>
      <c r="AF201" s="3" t="n">
        <v>-0.425447</v>
      </c>
      <c r="AG201" s="3" t="n">
        <v>-0.44719</v>
      </c>
      <c r="AH201" s="3" t="n">
        <v>-0.478651</v>
      </c>
      <c r="AI201" s="3" t="n">
        <v>-0.49882</v>
      </c>
      <c r="AJ201" s="3" t="n">
        <v>-0.500429</v>
      </c>
      <c r="AK201" s="3" t="n">
        <v>-0.479309</v>
      </c>
      <c r="AL201" s="3" t="n">
        <v>-0.472268</v>
      </c>
      <c r="AM201" s="3" t="n"/>
      <c r="AN201" s="3" t="n"/>
      <c r="AO201" s="3" t="n"/>
      <c r="AP201" s="3" t="n"/>
      <c r="AQ201" s="3" t="n"/>
      <c r="AR201" s="3" t="n"/>
      <c r="AS201" s="3" t="n"/>
      <c r="AT201" s="3" t="n"/>
      <c r="AU201" s="3" t="n"/>
    </row>
    <row r="202">
      <c r="A202" s="3" t="n">
        <v>2031</v>
      </c>
      <c r="B202" s="3" t="inlineStr">
        <is>
          <t>BDI</t>
        </is>
      </c>
      <c r="C202" s="3" t="inlineStr">
        <is>
          <t>IMF.RES:WEO</t>
        </is>
      </c>
      <c r="D202" s="3" t="inlineStr">
        <is>
          <t>BDI.BCA_NGDPD.A</t>
        </is>
      </c>
      <c r="E202" s="3" t="inlineStr">
        <is>
          <t>Burundi</t>
        </is>
      </c>
      <c r="F202" s="3" t="inlineStr">
        <is>
          <t>Current account balance (credit less debit), Percent of GDP</t>
        </is>
      </c>
      <c r="G202" s="3" t="n">
        <v>-6.176443</v>
      </c>
      <c r="H202" s="3" t="n">
        <v>-3.128945</v>
      </c>
      <c r="I202" s="3" t="n">
        <v>-11.415462</v>
      </c>
      <c r="J202" s="3" t="n">
        <v>-13.089524</v>
      </c>
      <c r="K202" s="3" t="n">
        <v>-6.254785</v>
      </c>
      <c r="L202" s="3" t="n">
        <v>-4.66501</v>
      </c>
      <c r="M202" s="3" t="n">
        <v>-21.287197</v>
      </c>
      <c r="N202" s="3" t="n">
        <v>-32.410438</v>
      </c>
      <c r="O202" s="3" t="n">
        <v>-9.821191000000001</v>
      </c>
      <c r="P202" s="3" t="n">
        <v>-6.311905</v>
      </c>
      <c r="Q202" s="3" t="n">
        <v>-12.237787</v>
      </c>
      <c r="R202" s="3" t="n">
        <v>-14.472671</v>
      </c>
      <c r="S202" s="3" t="n">
        <v>-19.748422</v>
      </c>
      <c r="T202" s="3" t="n">
        <v>-20.613436</v>
      </c>
      <c r="U202" s="3" t="n">
        <v>-15.846672</v>
      </c>
      <c r="V202" s="3" t="n">
        <v>-11.529028</v>
      </c>
      <c r="W202" s="3" t="n">
        <v>-11.060797</v>
      </c>
      <c r="X202" s="3" t="n">
        <v>-11.775528</v>
      </c>
      <c r="Y202" s="3" t="n">
        <v>-12.817035</v>
      </c>
      <c r="Z202" s="3" t="n">
        <v>-11.570341</v>
      </c>
      <c r="AA202" s="3" t="n">
        <v>-11.155241</v>
      </c>
      <c r="AB202" s="3" t="n">
        <v>-12.644104</v>
      </c>
      <c r="AC202" s="3" t="n">
        <v>-16.794242</v>
      </c>
      <c r="AD202" s="3" t="n">
        <v>-14.784994</v>
      </c>
      <c r="AE202" s="3" t="n">
        <v>-8.569006999999999</v>
      </c>
      <c r="AF202" s="3" t="n">
        <v>-6.149445</v>
      </c>
      <c r="AG202" s="3" t="n">
        <v>-5.496</v>
      </c>
      <c r="AH202" s="3" t="n">
        <v>-5.279239</v>
      </c>
      <c r="AI202" s="3" t="n">
        <v>-5.365055</v>
      </c>
      <c r="AJ202" s="3" t="n">
        <v>-5.284238</v>
      </c>
      <c r="AK202" s="3" t="n">
        <v>-5.069382</v>
      </c>
      <c r="AL202" s="3" t="n">
        <v>-4.84444</v>
      </c>
      <c r="AM202" s="3" t="n"/>
      <c r="AN202" s="3" t="n"/>
      <c r="AO202" s="3" t="n"/>
      <c r="AP202" s="3" t="n"/>
      <c r="AQ202" s="3" t="n"/>
      <c r="AR202" s="3" t="n"/>
      <c r="AS202" s="3" t="n"/>
      <c r="AT202" s="3" t="n"/>
      <c r="AU202" s="3" t="n"/>
    </row>
    <row r="203">
      <c r="A203" s="3" t="n">
        <v>2031</v>
      </c>
      <c r="B203" s="3" t="inlineStr">
        <is>
          <t>BDI</t>
        </is>
      </c>
      <c r="C203" s="3" t="inlineStr">
        <is>
          <t>IMF.RES:WEO</t>
        </is>
      </c>
      <c r="D203" s="3" t="inlineStr">
        <is>
          <t>BDI.GGR_NGDP.A</t>
        </is>
      </c>
      <c r="E203" s="3" t="inlineStr">
        <is>
          <t>Burundi</t>
        </is>
      </c>
      <c r="F203" s="3" t="inlineStr">
        <is>
          <t>Revenue, General government, Percent of GDP</t>
        </is>
      </c>
      <c r="G203" s="3" t="n">
        <v>16.024245</v>
      </c>
      <c r="H203" s="3" t="n">
        <v>14.878576</v>
      </c>
      <c r="I203" s="3" t="n">
        <v>17.009351</v>
      </c>
      <c r="J203" s="3" t="n">
        <v>20.202239</v>
      </c>
      <c r="K203" s="3" t="n">
        <v>24.368806</v>
      </c>
      <c r="L203" s="3" t="n">
        <v>22.586735</v>
      </c>
      <c r="M203" s="3" t="n">
        <v>26.549904</v>
      </c>
      <c r="N203" s="3" t="n">
        <v>36.454777</v>
      </c>
      <c r="O203" s="3" t="n">
        <v>38.458431</v>
      </c>
      <c r="P203" s="3" t="n">
        <v>32.842991</v>
      </c>
      <c r="Q203" s="3" t="n">
        <v>37.206761</v>
      </c>
      <c r="R203" s="3" t="n">
        <v>38.695616</v>
      </c>
      <c r="S203" s="3" t="n">
        <v>33.750212</v>
      </c>
      <c r="T203" s="3" t="n">
        <v>32.870328</v>
      </c>
      <c r="U203" s="3" t="n">
        <v>24.52942</v>
      </c>
      <c r="V203" s="3" t="n">
        <v>15.608612</v>
      </c>
      <c r="W203" s="3" t="n">
        <v>15.462897</v>
      </c>
      <c r="X203" s="3" t="n">
        <v>19.087089</v>
      </c>
      <c r="Y203" s="3" t="n">
        <v>19.359657</v>
      </c>
      <c r="Z203" s="3" t="n">
        <v>22.399952</v>
      </c>
      <c r="AA203" s="3" t="n">
        <v>22.58909</v>
      </c>
      <c r="AB203" s="3" t="n">
        <v>23.79167</v>
      </c>
      <c r="AC203" s="3" t="n">
        <v>22.784992</v>
      </c>
      <c r="AD203" s="3" t="n">
        <v>20.747672</v>
      </c>
      <c r="AE203" s="3" t="n">
        <v>17.4669</v>
      </c>
      <c r="AF203" s="3" t="n">
        <v>17.416861</v>
      </c>
      <c r="AG203" s="3" t="n">
        <v>17.403118</v>
      </c>
      <c r="AH203" s="3" t="n">
        <v>17.876589</v>
      </c>
      <c r="AI203" s="3" t="n">
        <v>17.864824</v>
      </c>
      <c r="AJ203" s="3" t="n">
        <v>18.083551</v>
      </c>
      <c r="AK203" s="3" t="n">
        <v>18.153013</v>
      </c>
      <c r="AL203" s="3" t="n">
        <v>18.598647</v>
      </c>
      <c r="AM203" s="3" t="n"/>
      <c r="AN203" s="3" t="n"/>
      <c r="AO203" s="3" t="n"/>
      <c r="AP203" s="3" t="n"/>
      <c r="AQ203" s="3" t="n"/>
      <c r="AR203" s="3" t="n"/>
      <c r="AS203" s="3" t="n"/>
      <c r="AT203" s="3" t="n"/>
      <c r="AU203" s="3" t="n"/>
    </row>
    <row r="204">
      <c r="A204" s="3" t="n">
        <v>2031</v>
      </c>
      <c r="B204" s="3" t="inlineStr">
        <is>
          <t>BDI</t>
        </is>
      </c>
      <c r="C204" s="3" t="inlineStr">
        <is>
          <t>IMF.RES:WEO</t>
        </is>
      </c>
      <c r="D204" s="3" t="inlineStr">
        <is>
          <t>BDI.GGX_NGDP.A</t>
        </is>
      </c>
      <c r="E204" s="3" t="inlineStr">
        <is>
          <t>Burundi</t>
        </is>
      </c>
      <c r="F204" s="3" t="inlineStr">
        <is>
          <t>Expenditure, General government, Percent of GDP</t>
        </is>
      </c>
      <c r="G204" s="3" t="n">
        <v>21.686289</v>
      </c>
      <c r="H204" s="3" t="n">
        <v>22.657199</v>
      </c>
      <c r="I204" s="3" t="n">
        <v>21.907186</v>
      </c>
      <c r="J204" s="3" t="n">
        <v>33.903825</v>
      </c>
      <c r="K204" s="3" t="n">
        <v>39.234051</v>
      </c>
      <c r="L204" s="3" t="n">
        <v>33.142318</v>
      </c>
      <c r="M204" s="3" t="n">
        <v>36.473671</v>
      </c>
      <c r="N204" s="3" t="n">
        <v>38.965266</v>
      </c>
      <c r="O204" s="3" t="n">
        <v>41.162681</v>
      </c>
      <c r="P204" s="3" t="n">
        <v>37.987883</v>
      </c>
      <c r="Q204" s="3" t="n">
        <v>40.844053</v>
      </c>
      <c r="R204" s="3" t="n">
        <v>42.186596</v>
      </c>
      <c r="S204" s="3" t="n">
        <v>37.544095</v>
      </c>
      <c r="T204" s="3" t="n">
        <v>34.769248</v>
      </c>
      <c r="U204" s="3" t="n">
        <v>28.458549</v>
      </c>
      <c r="V204" s="3" t="n">
        <v>23.167911</v>
      </c>
      <c r="W204" s="3" t="n">
        <v>22.574394</v>
      </c>
      <c r="X204" s="3" t="n">
        <v>24.093367</v>
      </c>
      <c r="Y204" s="3" t="n">
        <v>26.018651</v>
      </c>
      <c r="Z204" s="3" t="n">
        <v>28.80217</v>
      </c>
      <c r="AA204" s="3" t="n">
        <v>29.167905</v>
      </c>
      <c r="AB204" s="3" t="n">
        <v>28.390911</v>
      </c>
      <c r="AC204" s="3" t="n">
        <v>33.51581</v>
      </c>
      <c r="AD204" s="3" t="n">
        <v>28.445102</v>
      </c>
      <c r="AE204" s="3" t="n">
        <v>22.294394</v>
      </c>
      <c r="AF204" s="3" t="n">
        <v>20.397988</v>
      </c>
      <c r="AG204" s="3" t="n">
        <v>19.941883</v>
      </c>
      <c r="AH204" s="3" t="n">
        <v>20.819535</v>
      </c>
      <c r="AI204" s="3" t="n">
        <v>21.325011</v>
      </c>
      <c r="AJ204" s="3" t="n">
        <v>21.323396</v>
      </c>
      <c r="AK204" s="3" t="n">
        <v>22.058877</v>
      </c>
      <c r="AL204" s="3" t="n">
        <v>21.758223</v>
      </c>
      <c r="AM204" s="3" t="n"/>
      <c r="AN204" s="3" t="n"/>
      <c r="AO204" s="3" t="n"/>
      <c r="AP204" s="3" t="n"/>
      <c r="AQ204" s="3" t="n"/>
      <c r="AR204" s="3" t="n"/>
      <c r="AS204" s="3" t="n"/>
      <c r="AT204" s="3" t="n"/>
      <c r="AU204" s="3" t="n"/>
    </row>
    <row r="205">
      <c r="A205" s="3" t="n">
        <v>2031</v>
      </c>
      <c r="B205" s="3" t="inlineStr">
        <is>
          <t>BDI</t>
        </is>
      </c>
      <c r="C205" s="3" t="inlineStr">
        <is>
          <t>IMF.RES:WEO</t>
        </is>
      </c>
      <c r="D205" s="3" t="inlineStr">
        <is>
          <t>BDI.LP.A</t>
        </is>
      </c>
      <c r="E205" s="3" t="inlineStr">
        <is>
          <t>Burundi</t>
        </is>
      </c>
      <c r="F205" s="3" t="inlineStr">
        <is>
          <t>Population, Persons for countries / Index for country groups</t>
        </is>
      </c>
      <c r="G205" s="3" t="n">
        <v>6.470194</v>
      </c>
      <c r="H205" s="3" t="n">
        <v>6.634365</v>
      </c>
      <c r="I205" s="3" t="n">
        <v>6.824132</v>
      </c>
      <c r="J205" s="3" t="n">
        <v>7.043154</v>
      </c>
      <c r="K205" s="3" t="n">
        <v>7.310656</v>
      </c>
      <c r="L205" s="3" t="n">
        <v>7.587299</v>
      </c>
      <c r="M205" s="3" t="n">
        <v>7.865547</v>
      </c>
      <c r="N205" s="3" t="n">
        <v>8.161873999999999</v>
      </c>
      <c r="O205" s="3" t="n">
        <v>8.505637</v>
      </c>
      <c r="P205" s="3" t="n">
        <v>8.947646000000001</v>
      </c>
      <c r="Q205" s="3" t="n">
        <v>9.376443999999999</v>
      </c>
      <c r="R205" s="3" t="n">
        <v>9.717978</v>
      </c>
      <c r="S205" s="3" t="n">
        <v>10.071028</v>
      </c>
      <c r="T205" s="3" t="n">
        <v>10.439341</v>
      </c>
      <c r="U205" s="3" t="n">
        <v>10.799785</v>
      </c>
      <c r="V205" s="3" t="n">
        <v>11.04758</v>
      </c>
      <c r="W205" s="3" t="n">
        <v>11.239451</v>
      </c>
      <c r="X205" s="3" t="n">
        <v>11.506762</v>
      </c>
      <c r="Y205" s="3" t="n">
        <v>11.859446</v>
      </c>
      <c r="Z205" s="3" t="n">
        <v>12.255336</v>
      </c>
      <c r="AA205" s="3" t="n">
        <v>12.617036</v>
      </c>
      <c r="AB205" s="3" t="n">
        <v>12.965481</v>
      </c>
      <c r="AC205" s="3" t="n">
        <v>13.321097</v>
      </c>
      <c r="AD205" s="3" t="n">
        <v>13.68945</v>
      </c>
      <c r="AE205" s="3" t="n">
        <v>14.047786</v>
      </c>
      <c r="AF205" s="3" t="n">
        <v>14.46922</v>
      </c>
      <c r="AG205" s="3" t="n">
        <v>14.903296</v>
      </c>
      <c r="AH205" s="3" t="n">
        <v>15.350395</v>
      </c>
      <c r="AI205" s="3" t="n">
        <v>15.810907</v>
      </c>
      <c r="AJ205" s="3" t="n">
        <v>16.285234</v>
      </c>
      <c r="AK205" s="3" t="n">
        <v>16.773791</v>
      </c>
      <c r="AL205" s="3" t="n">
        <v>17.176362</v>
      </c>
      <c r="AM205" s="3" t="n"/>
      <c r="AN205" s="3" t="n"/>
      <c r="AO205" s="3" t="n"/>
      <c r="AP205" s="3" t="n"/>
      <c r="AQ205" s="3" t="n"/>
      <c r="AR205" s="3" t="n"/>
      <c r="AS205" s="3" t="n"/>
      <c r="AT205" s="3" t="n"/>
      <c r="AU205" s="3" t="n"/>
    </row>
    <row r="206">
      <c r="A206" s="3" t="n">
        <v>2031</v>
      </c>
      <c r="B206" s="3" t="inlineStr">
        <is>
          <t>BDI</t>
        </is>
      </c>
      <c r="C206" s="3" t="inlineStr">
        <is>
          <t>IMF.RES:WEO</t>
        </is>
      </c>
      <c r="D206" s="3" t="inlineStr">
        <is>
          <t>BDI.NGDP.A</t>
        </is>
      </c>
      <c r="E206" s="3" t="inlineStr">
        <is>
          <t>Burundi</t>
        </is>
      </c>
      <c r="F206" s="3" t="inlineStr">
        <is>
          <t>Gross domestic product (GDP), Current prices, Domestic currency</t>
        </is>
      </c>
      <c r="G206" s="3" t="n">
        <v>712.861387</v>
      </c>
      <c r="H206" s="3" t="n">
        <v>816.150251</v>
      </c>
      <c r="I206" s="3" t="n">
        <v>843.944699</v>
      </c>
      <c r="J206" s="3" t="n">
        <v>913.6181759999999</v>
      </c>
      <c r="K206" s="3" t="n">
        <v>1047.804949</v>
      </c>
      <c r="L206" s="3" t="n">
        <v>1208.244</v>
      </c>
      <c r="M206" s="3" t="n">
        <v>1309.9</v>
      </c>
      <c r="N206" s="3" t="n">
        <v>1467.231</v>
      </c>
      <c r="O206" s="3" t="n">
        <v>1911.139</v>
      </c>
      <c r="P206" s="3" t="n">
        <v>2184.177</v>
      </c>
      <c r="Q206" s="3" t="n">
        <v>2501.047</v>
      </c>
      <c r="R206" s="3" t="n">
        <v>2819.534</v>
      </c>
      <c r="S206" s="3" t="n">
        <v>3365.81</v>
      </c>
      <c r="T206" s="3" t="n">
        <v>3812.5</v>
      </c>
      <c r="U206" s="3" t="n">
        <v>4184.999</v>
      </c>
      <c r="V206" s="3" t="n">
        <v>4879.793</v>
      </c>
      <c r="W206" s="3" t="n">
        <v>4897.101</v>
      </c>
      <c r="X206" s="3" t="n">
        <v>5485.068</v>
      </c>
      <c r="Y206" s="3" t="n">
        <v>5414.485</v>
      </c>
      <c r="Z206" s="3" t="n">
        <v>5553.570543</v>
      </c>
      <c r="AA206" s="3" t="n">
        <v>5916.430253</v>
      </c>
      <c r="AB206" s="3" t="n">
        <v>6622.373858</v>
      </c>
      <c r="AC206" s="3" t="n">
        <v>7978.216448</v>
      </c>
      <c r="AD206" s="3" t="n">
        <v>10902.919786</v>
      </c>
      <c r="AE206" s="3" t="n">
        <v>13949.332186</v>
      </c>
      <c r="AF206" s="3" t="n">
        <v>20362.337134</v>
      </c>
      <c r="AG206" s="3" t="n">
        <v>24421.404207</v>
      </c>
      <c r="AH206" s="3" t="n">
        <v>29465.181455</v>
      </c>
      <c r="AI206" s="3" t="n">
        <v>34655.430065</v>
      </c>
      <c r="AJ206" s="3" t="n">
        <v>40485.618834</v>
      </c>
      <c r="AK206" s="3" t="n">
        <v>46359.710428</v>
      </c>
      <c r="AL206" s="3" t="n">
        <v>52520.88145</v>
      </c>
      <c r="AM206" s="3" t="n"/>
      <c r="AN206" s="3" t="n"/>
      <c r="AO206" s="3" t="n"/>
      <c r="AP206" s="3" t="n"/>
      <c r="AQ206" s="3" t="n"/>
      <c r="AR206" s="3" t="n"/>
      <c r="AS206" s="3" t="n"/>
      <c r="AT206" s="3" t="n"/>
      <c r="AU206" s="3" t="n"/>
    </row>
    <row r="207">
      <c r="A207" s="3" t="n">
        <v>2031</v>
      </c>
      <c r="B207" s="3" t="inlineStr">
        <is>
          <t>BDI</t>
        </is>
      </c>
      <c r="C207" s="3" t="inlineStr">
        <is>
          <t>IMF.RES:WEO</t>
        </is>
      </c>
      <c r="D207" s="3" t="inlineStr">
        <is>
          <t>BDI.NGDP_D.A</t>
        </is>
      </c>
      <c r="E207" s="3" t="inlineStr">
        <is>
          <t>Burundi</t>
        </is>
      </c>
      <c r="F207" s="3" t="inlineStr">
        <is>
          <t>Gross domestic product (GDP), Price deflator, Index</t>
        </is>
      </c>
      <c r="G207" s="3" t="n">
        <v>68.131586</v>
      </c>
      <c r="H207" s="3" t="n">
        <v>76.72594599999999</v>
      </c>
      <c r="I207" s="3" t="n">
        <v>77.514942</v>
      </c>
      <c r="J207" s="3" t="n">
        <v>81.8921</v>
      </c>
      <c r="K207" s="3" t="n">
        <v>90.51107</v>
      </c>
      <c r="L207" s="3" t="n">
        <v>100</v>
      </c>
      <c r="M207" s="3" t="n">
        <v>102.845666</v>
      </c>
      <c r="N207" s="3" t="n">
        <v>111.35447</v>
      </c>
      <c r="O207" s="3" t="n">
        <v>138.319844</v>
      </c>
      <c r="P207" s="3" t="n">
        <v>152.275264</v>
      </c>
      <c r="Q207" s="3" t="n">
        <v>165.867322</v>
      </c>
      <c r="R207" s="3" t="n">
        <v>179.740875</v>
      </c>
      <c r="S207" s="3" t="n">
        <v>205.430232</v>
      </c>
      <c r="T207" s="3" t="n">
        <v>221.77315</v>
      </c>
      <c r="U207" s="3" t="n">
        <v>233.537891</v>
      </c>
      <c r="V207" s="3" t="n">
        <v>283.360954</v>
      </c>
      <c r="W207" s="3" t="n">
        <v>286.082549</v>
      </c>
      <c r="X207" s="3" t="n">
        <v>318.836647</v>
      </c>
      <c r="Y207" s="3" t="n">
        <v>309.747122</v>
      </c>
      <c r="Z207" s="3" t="n">
        <v>311.956108</v>
      </c>
      <c r="AA207" s="3" t="n">
        <v>331.228795</v>
      </c>
      <c r="AB207" s="3" t="n">
        <v>359.535737</v>
      </c>
      <c r="AC207" s="3" t="n">
        <v>425.375118</v>
      </c>
      <c r="AD207" s="3" t="n">
        <v>566.253811</v>
      </c>
      <c r="AE207" s="3" t="n">
        <v>695.612093</v>
      </c>
      <c r="AF207" s="3" t="n">
        <v>977.257896</v>
      </c>
      <c r="AG207" s="3" t="n">
        <v>1128.948733</v>
      </c>
      <c r="AH207" s="3" t="n">
        <v>1307.61526</v>
      </c>
      <c r="AI207" s="3" t="n">
        <v>1478.393731</v>
      </c>
      <c r="AJ207" s="3" t="n">
        <v>1659.674288</v>
      </c>
      <c r="AK207" s="3" t="n">
        <v>1825.456097</v>
      </c>
      <c r="AL207" s="3" t="n">
        <v>1985.17735</v>
      </c>
      <c r="AM207" s="3" t="n"/>
      <c r="AN207" s="3" t="n"/>
      <c r="AO207" s="3" t="n"/>
      <c r="AP207" s="3" t="n"/>
      <c r="AQ207" s="3" t="n"/>
      <c r="AR207" s="3" t="n"/>
      <c r="AS207" s="3" t="n"/>
      <c r="AT207" s="3" t="n"/>
      <c r="AU207" s="3" t="n"/>
    </row>
    <row r="208">
      <c r="A208" s="3" t="n">
        <v>2031</v>
      </c>
      <c r="B208" s="3" t="inlineStr">
        <is>
          <t>BDI</t>
        </is>
      </c>
      <c r="C208" s="3" t="inlineStr">
        <is>
          <t>IMF.RES:WEO</t>
        </is>
      </c>
      <c r="D208" s="3" t="inlineStr">
        <is>
          <t>BDI.NGDP_R.A</t>
        </is>
      </c>
      <c r="E208" s="3" t="inlineStr">
        <is>
          <t>Burundi</t>
        </is>
      </c>
      <c r="F208" s="3" t="inlineStr">
        <is>
          <t>Gross domestic product (GDP), Constant prices, Domestic currency</t>
        </is>
      </c>
      <c r="G208" s="3" t="n">
        <v>1046.30088</v>
      </c>
      <c r="H208" s="3" t="n">
        <v>1063.72133</v>
      </c>
      <c r="I208" s="3" t="n">
        <v>1088.750992</v>
      </c>
      <c r="J208" s="3" t="n">
        <v>1115.63652</v>
      </c>
      <c r="K208" s="3" t="n">
        <v>1157.653923</v>
      </c>
      <c r="L208" s="3" t="n">
        <v>1208.244</v>
      </c>
      <c r="M208" s="3" t="n">
        <v>1273.656</v>
      </c>
      <c r="N208" s="3" t="n">
        <v>1317.622</v>
      </c>
      <c r="O208" s="3" t="n">
        <v>1381.681</v>
      </c>
      <c r="P208" s="3" t="n">
        <v>1434.361</v>
      </c>
      <c r="Q208" s="3" t="n">
        <v>1507.86</v>
      </c>
      <c r="R208" s="3" t="n">
        <v>1568.666</v>
      </c>
      <c r="S208" s="3" t="n">
        <v>1638.42</v>
      </c>
      <c r="T208" s="3" t="n">
        <v>1719.099</v>
      </c>
      <c r="U208" s="3" t="n">
        <v>1792</v>
      </c>
      <c r="V208" s="3" t="n">
        <v>1722.112</v>
      </c>
      <c r="W208" s="3" t="n">
        <v>1711.779</v>
      </c>
      <c r="X208" s="3" t="n">
        <v>1720.338</v>
      </c>
      <c r="Y208" s="3" t="n">
        <v>1748.034</v>
      </c>
      <c r="Z208" s="3" t="n">
        <v>1780.241</v>
      </c>
      <c r="AA208" s="3" t="n">
        <v>1786.206494</v>
      </c>
      <c r="AB208" s="3" t="n">
        <v>1841.923675</v>
      </c>
      <c r="AC208" s="3" t="n">
        <v>1875.571962</v>
      </c>
      <c r="AD208" s="3" t="n">
        <v>1925.447488</v>
      </c>
      <c r="AE208" s="3" t="n">
        <v>2005.332041</v>
      </c>
      <c r="AF208" s="3" t="n">
        <v>2083.619606</v>
      </c>
      <c r="AG208" s="3" t="n">
        <v>2163.198691</v>
      </c>
      <c r="AH208" s="3" t="n">
        <v>2253.352524</v>
      </c>
      <c r="AI208" s="3" t="n">
        <v>2344.127234</v>
      </c>
      <c r="AJ208" s="3" t="n">
        <v>2439.371335</v>
      </c>
      <c r="AK208" s="3" t="n">
        <v>2539.623413</v>
      </c>
      <c r="AL208" s="3" t="n">
        <v>2645.651858</v>
      </c>
      <c r="AM208" s="3" t="n"/>
      <c r="AN208" s="3" t="n"/>
      <c r="AO208" s="3" t="n"/>
      <c r="AP208" s="3" t="n"/>
      <c r="AQ208" s="3" t="n"/>
      <c r="AR208" s="3" t="n"/>
      <c r="AS208" s="3" t="n"/>
      <c r="AT208" s="3" t="n"/>
      <c r="AU208" s="3" t="n"/>
    </row>
    <row r="209">
      <c r="A209" s="3" t="n">
        <v>2031</v>
      </c>
      <c r="B209" s="3" t="inlineStr">
        <is>
          <t>BDI</t>
        </is>
      </c>
      <c r="C209" s="3" t="inlineStr">
        <is>
          <t>IMF.RES:WEO</t>
        </is>
      </c>
      <c r="D209" s="3" t="inlineStr">
        <is>
          <t>BDI.NGDP_RPCH.A</t>
        </is>
      </c>
      <c r="E209" s="3" t="inlineStr">
        <is>
          <t>Burundi</t>
        </is>
      </c>
      <c r="F209" s="3" t="inlineStr">
        <is>
          <t>Gross domestic product (GDP), Constant prices, Percent change</t>
        </is>
      </c>
      <c r="G209" s="3" t="n">
        <v>1.781332</v>
      </c>
      <c r="H209" s="3" t="n">
        <v>1.664956</v>
      </c>
      <c r="I209" s="3" t="n">
        <v>2.353028</v>
      </c>
      <c r="J209" s="3" t="n">
        <v>2.469392</v>
      </c>
      <c r="K209" s="3" t="n">
        <v>3.766227</v>
      </c>
      <c r="L209" s="3" t="n">
        <v>4.370052</v>
      </c>
      <c r="M209" s="3" t="n">
        <v>5.413807</v>
      </c>
      <c r="N209" s="3" t="n">
        <v>3.451952</v>
      </c>
      <c r="O209" s="3" t="n">
        <v>4.861713</v>
      </c>
      <c r="P209" s="3" t="n">
        <v>3.812747</v>
      </c>
      <c r="Q209" s="3" t="n">
        <v>5.124163</v>
      </c>
      <c r="R209" s="3" t="n">
        <v>4.032602</v>
      </c>
      <c r="S209" s="3" t="n">
        <v>4.446708</v>
      </c>
      <c r="T209" s="3" t="n">
        <v>4.924195</v>
      </c>
      <c r="U209" s="3" t="n">
        <v>4.240652</v>
      </c>
      <c r="V209" s="3" t="n">
        <v>-3.9</v>
      </c>
      <c r="W209" s="3" t="n">
        <v>-0.600019</v>
      </c>
      <c r="X209" s="3" t="n">
        <v>0.500006</v>
      </c>
      <c r="Y209" s="3" t="n">
        <v>1.609916</v>
      </c>
      <c r="Z209" s="3" t="n">
        <v>1.84247</v>
      </c>
      <c r="AA209" s="3" t="n">
        <v>0.335095</v>
      </c>
      <c r="AB209" s="3" t="n">
        <v>3.119302</v>
      </c>
      <c r="AC209" s="3" t="n">
        <v>1.826801</v>
      </c>
      <c r="AD209" s="3" t="n">
        <v>2.659217</v>
      </c>
      <c r="AE209" s="3" t="n">
        <v>4.148882</v>
      </c>
      <c r="AF209" s="3" t="n">
        <v>3.90397</v>
      </c>
      <c r="AG209" s="3" t="n">
        <v>3.819271</v>
      </c>
      <c r="AH209" s="3" t="n">
        <v>4.167617</v>
      </c>
      <c r="AI209" s="3" t="n">
        <v>4.028429</v>
      </c>
      <c r="AJ209" s="3" t="n">
        <v>4.063094</v>
      </c>
      <c r="AK209" s="3" t="n">
        <v>4.109751</v>
      </c>
      <c r="AL209" s="3" t="n">
        <v>4.174967</v>
      </c>
      <c r="AM209" s="3" t="n"/>
      <c r="AN209" s="3" t="n"/>
      <c r="AO209" s="3" t="n"/>
      <c r="AP209" s="3" t="n"/>
      <c r="AQ209" s="3" t="n"/>
      <c r="AR209" s="3" t="n"/>
      <c r="AS209" s="3" t="n"/>
      <c r="AT209" s="3" t="n"/>
      <c r="AU209" s="3" t="n"/>
    </row>
    <row r="210">
      <c r="A210" s="3" t="n">
        <v>2031</v>
      </c>
      <c r="B210" s="3" t="inlineStr">
        <is>
          <t>BDI</t>
        </is>
      </c>
      <c r="C210" s="3" t="inlineStr">
        <is>
          <t>IMF.RES:WEO</t>
        </is>
      </c>
      <c r="D210" s="3" t="inlineStr">
        <is>
          <t>BDI.NGDPD.A</t>
        </is>
      </c>
      <c r="E210" s="3" t="inlineStr">
        <is>
          <t>Burundi</t>
        </is>
      </c>
      <c r="F210" s="3" t="inlineStr">
        <is>
          <t>Gross domestic product (GDP), Current prices, US dollar</t>
        </is>
      </c>
      <c r="G210" s="3" t="n">
        <v>0.98916</v>
      </c>
      <c r="H210" s="3" t="n">
        <v>0.982895</v>
      </c>
      <c r="I210" s="3" t="n">
        <v>0.906737</v>
      </c>
      <c r="J210" s="3" t="n">
        <v>0.843893</v>
      </c>
      <c r="K210" s="3" t="n">
        <v>0.951762</v>
      </c>
      <c r="L210" s="3" t="n">
        <v>1.117113</v>
      </c>
      <c r="M210" s="3" t="n">
        <v>1.273375</v>
      </c>
      <c r="N210" s="3" t="n">
        <v>1.356199</v>
      </c>
      <c r="O210" s="3" t="n">
        <v>1.611836</v>
      </c>
      <c r="P210" s="3" t="n">
        <v>1.775495</v>
      </c>
      <c r="Q210" s="3" t="n">
        <v>2.032135</v>
      </c>
      <c r="R210" s="3" t="n">
        <v>2.235821</v>
      </c>
      <c r="S210" s="3" t="n">
        <v>2.333308</v>
      </c>
      <c r="T210" s="3" t="n">
        <v>2.455668</v>
      </c>
      <c r="U210" s="3" t="n">
        <v>2.705811</v>
      </c>
      <c r="V210" s="3" t="n">
        <v>3.104426</v>
      </c>
      <c r="W210" s="3" t="n">
        <v>2.95967</v>
      </c>
      <c r="X210" s="3" t="n">
        <v>3.171708</v>
      </c>
      <c r="Y210" s="3" t="n">
        <v>3.036619</v>
      </c>
      <c r="Z210" s="3" t="n">
        <v>3.009222</v>
      </c>
      <c r="AA210" s="3" t="n">
        <v>3.089433</v>
      </c>
      <c r="AB210" s="3" t="n">
        <v>3.355665</v>
      </c>
      <c r="AC210" s="3" t="n">
        <v>3.922024</v>
      </c>
      <c r="AD210" s="3" t="n">
        <v>4.290605</v>
      </c>
      <c r="AE210" s="3" t="n">
        <v>4.838322</v>
      </c>
      <c r="AF210" s="3" t="n">
        <v>6.918454</v>
      </c>
      <c r="AG210" s="3" t="n">
        <v>8.136651000000001</v>
      </c>
      <c r="AH210" s="3" t="n">
        <v>9.066659</v>
      </c>
      <c r="AI210" s="3" t="n">
        <v>9.29758</v>
      </c>
      <c r="AJ210" s="3" t="n">
        <v>9.470217</v>
      </c>
      <c r="AK210" s="3" t="n">
        <v>9.454974999999999</v>
      </c>
      <c r="AL210" s="3" t="n">
        <v>9.748663000000001</v>
      </c>
      <c r="AM210" s="3" t="n"/>
      <c r="AN210" s="3" t="n"/>
      <c r="AO210" s="3" t="n"/>
      <c r="AP210" s="3" t="n"/>
      <c r="AQ210" s="3" t="n"/>
      <c r="AR210" s="3" t="n"/>
      <c r="AS210" s="3" t="n"/>
      <c r="AT210" s="3" t="n"/>
      <c r="AU210" s="3" t="n"/>
    </row>
    <row r="211">
      <c r="A211" s="3" t="n">
        <v>2031</v>
      </c>
      <c r="B211" s="3" t="inlineStr">
        <is>
          <t>BDI</t>
        </is>
      </c>
      <c r="C211" s="3" t="inlineStr">
        <is>
          <t>IMF.RES:WEO</t>
        </is>
      </c>
      <c r="D211" s="3" t="inlineStr">
        <is>
          <t>BDI.NGDPPC.A</t>
        </is>
      </c>
      <c r="E211" s="3" t="inlineStr">
        <is>
          <t>Burundi</t>
        </is>
      </c>
      <c r="F211" s="3" t="inlineStr">
        <is>
          <t>Gross domestic product (GDP), Current prices, Per capita, Domestic currency</t>
        </is>
      </c>
      <c r="G211" s="3" t="n">
        <v>110176.199746</v>
      </c>
      <c r="H211" s="3" t="n">
        <v>123018.593435</v>
      </c>
      <c r="I211" s="3" t="n">
        <v>123670.629262</v>
      </c>
      <c r="J211" s="3" t="n">
        <v>129717.194312</v>
      </c>
      <c r="K211" s="3" t="n">
        <v>143325.708196</v>
      </c>
      <c r="L211" s="3" t="n">
        <v>159245.602421</v>
      </c>
      <c r="M211" s="3" t="n">
        <v>166536.415077</v>
      </c>
      <c r="N211" s="3" t="n">
        <v>179766.435993</v>
      </c>
      <c r="O211" s="3" t="n">
        <v>224690.872653</v>
      </c>
      <c r="P211" s="3" t="n">
        <v>244106.32696</v>
      </c>
      <c r="Q211" s="3" t="n">
        <v>266737.262015</v>
      </c>
      <c r="R211" s="3" t="n">
        <v>290135.869828</v>
      </c>
      <c r="S211" s="3" t="n">
        <v>334207.193149</v>
      </c>
      <c r="T211" s="3" t="n">
        <v>365205.045031</v>
      </c>
      <c r="U211" s="3" t="n">
        <v>387507.62168</v>
      </c>
      <c r="V211" s="3" t="n">
        <v>441706.962068</v>
      </c>
      <c r="W211" s="3" t="n">
        <v>435706.423739</v>
      </c>
      <c r="X211" s="3" t="n">
        <v>476682.145681</v>
      </c>
      <c r="Y211" s="3" t="n">
        <v>456554.631641</v>
      </c>
      <c r="Z211" s="3" t="n">
        <v>453155.306617</v>
      </c>
      <c r="AA211" s="3" t="n">
        <v>468923.94163</v>
      </c>
      <c r="AB211" s="3" t="n">
        <v>510769.624178</v>
      </c>
      <c r="AC211" s="3" t="n">
        <v>598915.873703</v>
      </c>
      <c r="AD211" s="3" t="n">
        <v>796446.8832329999</v>
      </c>
      <c r="AE211" s="3" t="n">
        <v>992991.506683</v>
      </c>
      <c r="AF211" s="3" t="n">
        <v>1407286.48294</v>
      </c>
      <c r="AG211" s="3" t="n">
        <v>1638657.913868</v>
      </c>
      <c r="AH211" s="3" t="n">
        <v>1919506.394077</v>
      </c>
      <c r="AI211" s="3" t="n">
        <v>2191868.580069</v>
      </c>
      <c r="AJ211" s="3" t="n">
        <v>2486032.350418</v>
      </c>
      <c r="AK211" s="3" t="n">
        <v>2763818.271967</v>
      </c>
      <c r="AL211" s="3" t="n">
        <v>3057741.859291</v>
      </c>
      <c r="AM211" s="3" t="n"/>
      <c r="AN211" s="3" t="n"/>
      <c r="AO211" s="3" t="n"/>
      <c r="AP211" s="3" t="n"/>
      <c r="AQ211" s="3" t="n"/>
      <c r="AR211" s="3" t="n"/>
      <c r="AS211" s="3" t="n"/>
      <c r="AT211" s="3" t="n"/>
      <c r="AU211" s="3" t="n"/>
    </row>
    <row r="212">
      <c r="A212" s="3" t="n">
        <v>2031</v>
      </c>
      <c r="B212" s="3" t="inlineStr">
        <is>
          <t>BDI</t>
        </is>
      </c>
      <c r="C212" s="3" t="inlineStr">
        <is>
          <t>IMF.RES:WEO</t>
        </is>
      </c>
      <c r="D212" s="3" t="inlineStr">
        <is>
          <t>BDI.NGDPRPC.A</t>
        </is>
      </c>
      <c r="E212" s="3" t="inlineStr">
        <is>
          <t>Burundi</t>
        </is>
      </c>
      <c r="F212" s="3" t="inlineStr">
        <is>
          <t>Gross domestic product (GDP), Constant prices, Per capita, Domestic currency</t>
        </is>
      </c>
      <c r="G212" s="3" t="n">
        <v>161710.897741</v>
      </c>
      <c r="H212" s="3" t="n">
        <v>160335.06302</v>
      </c>
      <c r="I212" s="3" t="n">
        <v>159544.245558</v>
      </c>
      <c r="J212" s="3" t="n">
        <v>158400.13157</v>
      </c>
      <c r="K212" s="3" t="n">
        <v>158351.579253</v>
      </c>
      <c r="L212" s="3" t="n">
        <v>159245.602421</v>
      </c>
      <c r="M212" s="3" t="n">
        <v>161928.47109</v>
      </c>
      <c r="N212" s="3" t="n">
        <v>161436.20938</v>
      </c>
      <c r="O212" s="3" t="n">
        <v>162442.977522</v>
      </c>
      <c r="P212" s="3" t="n">
        <v>160305.962037</v>
      </c>
      <c r="Q212" s="3" t="n">
        <v>160813.630413</v>
      </c>
      <c r="R212" s="3" t="n">
        <v>161418.970078</v>
      </c>
      <c r="S212" s="3" t="n">
        <v>162686.470537</v>
      </c>
      <c r="T212" s="3" t="n">
        <v>164675.049891</v>
      </c>
      <c r="U212" s="3" t="n">
        <v>165929.229147</v>
      </c>
      <c r="V212" s="3" t="n">
        <v>155881.378546</v>
      </c>
      <c r="W212" s="3" t="n">
        <v>152300.944237</v>
      </c>
      <c r="X212" s="3" t="n">
        <v>149506.698757</v>
      </c>
      <c r="Y212" s="3" t="n">
        <v>147395.923891</v>
      </c>
      <c r="Z212" s="3" t="n">
        <v>145262.52075</v>
      </c>
      <c r="AA212" s="3" t="n">
        <v>141571.007136</v>
      </c>
      <c r="AB212" s="3" t="n">
        <v>142063.659239</v>
      </c>
      <c r="AC212" s="3" t="n">
        <v>140797.110199</v>
      </c>
      <c r="AD212" s="3" t="n">
        <v>140651.924502</v>
      </c>
      <c r="AE212" s="3" t="n">
        <v>142750.753822</v>
      </c>
      <c r="AF212" s="3" t="n">
        <v>144003.592929</v>
      </c>
      <c r="AG212" s="3" t="n">
        <v>145149.010429</v>
      </c>
      <c r="AH212" s="3" t="n">
        <v>146794.432066</v>
      </c>
      <c r="AI212" s="3" t="n">
        <v>148260.137663</v>
      </c>
      <c r="AJ212" s="3" t="n">
        <v>149790.375629</v>
      </c>
      <c r="AK212" s="3" t="n">
        <v>151404.258737</v>
      </c>
      <c r="AL212" s="3" t="n">
        <v>154028.649351</v>
      </c>
      <c r="AM212" s="3" t="n"/>
      <c r="AN212" s="3" t="n"/>
      <c r="AO212" s="3" t="n"/>
      <c r="AP212" s="3" t="n"/>
      <c r="AQ212" s="3" t="n"/>
      <c r="AR212" s="3" t="n"/>
      <c r="AS212" s="3" t="n"/>
      <c r="AT212" s="3" t="n"/>
      <c r="AU212" s="3" t="n"/>
    </row>
    <row r="213">
      <c r="A213" s="3" t="n">
        <v>2031</v>
      </c>
      <c r="B213" s="3" t="inlineStr">
        <is>
          <t>BDI</t>
        </is>
      </c>
      <c r="C213" s="3" t="inlineStr">
        <is>
          <t>IMF.RES:WEO</t>
        </is>
      </c>
      <c r="D213" s="3" t="inlineStr">
        <is>
          <t>BDI.PCPI.A</t>
        </is>
      </c>
      <c r="E213" s="3" t="inlineStr">
        <is>
          <t>Burundi</t>
        </is>
      </c>
      <c r="F213" s="3" t="inlineStr">
        <is>
          <t>All Items, Consumer price index (CPI), Period average</t>
        </is>
      </c>
      <c r="G213" s="3" t="n">
        <v>25.534145</v>
      </c>
      <c r="H213" s="3" t="n">
        <v>27.907847</v>
      </c>
      <c r="I213" s="3" t="n">
        <v>27.526715</v>
      </c>
      <c r="J213" s="3" t="n">
        <v>30.457612</v>
      </c>
      <c r="K213" s="3" t="n">
        <v>32.947957</v>
      </c>
      <c r="L213" s="3" t="n">
        <v>37.314244</v>
      </c>
      <c r="M213" s="3" t="n">
        <v>38.338676</v>
      </c>
      <c r="N213" s="3" t="n">
        <v>41.56375</v>
      </c>
      <c r="O213" s="3" t="n">
        <v>51.708194</v>
      </c>
      <c r="P213" s="3" t="n">
        <v>57.166219</v>
      </c>
      <c r="Q213" s="3" t="n">
        <v>60.878174</v>
      </c>
      <c r="R213" s="3" t="n">
        <v>66.717709</v>
      </c>
      <c r="S213" s="3" t="n">
        <v>78.834343</v>
      </c>
      <c r="T213" s="3" t="n">
        <v>85.09218</v>
      </c>
      <c r="U213" s="3" t="n">
        <v>88.84079</v>
      </c>
      <c r="V213" s="3" t="n">
        <v>93.766735</v>
      </c>
      <c r="W213" s="3" t="n">
        <v>98.97799999999999</v>
      </c>
      <c r="X213" s="3" t="n">
        <v>114.65984</v>
      </c>
      <c r="Y213" s="3" t="n">
        <v>111.455828</v>
      </c>
      <c r="Z213" s="3" t="n">
        <v>110.544214</v>
      </c>
      <c r="AA213" s="3" t="n">
        <v>118.865563</v>
      </c>
      <c r="AB213" s="3" t="n">
        <v>128.80634</v>
      </c>
      <c r="AC213" s="3" t="n">
        <v>153.093303</v>
      </c>
      <c r="AD213" s="3" t="n">
        <v>194.5475</v>
      </c>
      <c r="AE213" s="3" t="n">
        <v>233.823152</v>
      </c>
      <c r="AF213" s="3" t="n">
        <v>313.780616</v>
      </c>
      <c r="AG213" s="3" t="n">
        <v>359.258047</v>
      </c>
      <c r="AH213" s="3" t="n">
        <v>414.349276</v>
      </c>
      <c r="AI213" s="3" t="n">
        <v>470.276611</v>
      </c>
      <c r="AJ213" s="3" t="n">
        <v>530.442916</v>
      </c>
      <c r="AK213" s="3" t="n">
        <v>586.959787</v>
      </c>
      <c r="AL213" s="3" t="n">
        <v>644.665327</v>
      </c>
      <c r="AM213" s="3" t="n"/>
      <c r="AN213" s="3" t="n"/>
      <c r="AO213" s="3" t="n"/>
      <c r="AP213" s="3" t="n"/>
      <c r="AQ213" s="3" t="n"/>
      <c r="AR213" s="3" t="n"/>
      <c r="AS213" s="3" t="n"/>
      <c r="AT213" s="3" t="n"/>
      <c r="AU213" s="3" t="n"/>
    </row>
    <row r="214">
      <c r="A214" s="3" t="n">
        <v>2031</v>
      </c>
      <c r="B214" s="3" t="inlineStr">
        <is>
          <t>BDI</t>
        </is>
      </c>
      <c r="C214" s="3" t="inlineStr">
        <is>
          <t>IMF.RES:WEO</t>
        </is>
      </c>
      <c r="D214" s="3" t="inlineStr">
        <is>
          <t>BDI.PCPIPCH.A</t>
        </is>
      </c>
      <c r="E214" s="3" t="inlineStr">
        <is>
          <t>Burundi</t>
        </is>
      </c>
      <c r="F214" s="3" t="inlineStr">
        <is>
          <t>All Items, Consumer price index (CPI), Period average, percent change</t>
        </is>
      </c>
      <c r="G214" s="3" t="n">
        <v>24.432024</v>
      </c>
      <c r="H214" s="3" t="n">
        <v>9.296188000000001</v>
      </c>
      <c r="I214" s="3" t="n">
        <v>-1.36568</v>
      </c>
      <c r="J214" s="3" t="n">
        <v>10.647465</v>
      </c>
      <c r="K214" s="3" t="n">
        <v>8.176429000000001</v>
      </c>
      <c r="L214" s="3" t="n">
        <v>13.25207</v>
      </c>
      <c r="M214" s="3" t="n">
        <v>2.74542</v>
      </c>
      <c r="N214" s="3" t="n">
        <v>8.412063</v>
      </c>
      <c r="O214" s="3" t="n">
        <v>24.406951</v>
      </c>
      <c r="P214" s="3" t="n">
        <v>10.555436</v>
      </c>
      <c r="Q214" s="3" t="n">
        <v>6.493266</v>
      </c>
      <c r="R214" s="3" t="n">
        <v>9.592166000000001</v>
      </c>
      <c r="S214" s="3" t="n">
        <v>18.161045</v>
      </c>
      <c r="T214" s="3" t="n">
        <v>7.937958</v>
      </c>
      <c r="U214" s="3" t="n">
        <v>4.405352</v>
      </c>
      <c r="V214" s="3" t="n">
        <v>5.544689</v>
      </c>
      <c r="W214" s="3" t="n">
        <v>5.55769</v>
      </c>
      <c r="X214" s="3" t="n">
        <v>15.843764</v>
      </c>
      <c r="Y214" s="3" t="n">
        <v>-2.794362</v>
      </c>
      <c r="Z214" s="3" t="n">
        <v>-0.8179149999999999</v>
      </c>
      <c r="AA214" s="3" t="n">
        <v>7.52762</v>
      </c>
      <c r="AB214" s="3" t="n">
        <v>8.363042</v>
      </c>
      <c r="AC214" s="3" t="n">
        <v>18.855409</v>
      </c>
      <c r="AD214" s="3" t="n">
        <v>27.077734</v>
      </c>
      <c r="AE214" s="3" t="n">
        <v>20.188207</v>
      </c>
      <c r="AF214" s="3" t="n">
        <v>34.1957</v>
      </c>
      <c r="AG214" s="3" t="n">
        <v>14.493384</v>
      </c>
      <c r="AH214" s="3" t="n">
        <v>15.334724</v>
      </c>
      <c r="AI214" s="3" t="n">
        <v>13.49763</v>
      </c>
      <c r="AJ214" s="3" t="n">
        <v>12.793812</v>
      </c>
      <c r="AK214" s="3" t="n">
        <v>10.654656</v>
      </c>
      <c r="AL214" s="3" t="n">
        <v>9.83126</v>
      </c>
      <c r="AM214" s="3" t="n"/>
      <c r="AN214" s="3" t="n"/>
      <c r="AO214" s="3" t="n"/>
      <c r="AP214" s="3" t="n"/>
      <c r="AQ214" s="3" t="n"/>
      <c r="AR214" s="3" t="n"/>
      <c r="AS214" s="3" t="n"/>
      <c r="AT214" s="3" t="n"/>
      <c r="AU214" s="3" t="n"/>
    </row>
    <row r="215">
      <c r="A215" s="3" t="n">
        <v>2031</v>
      </c>
      <c r="B215" s="3" t="inlineStr">
        <is>
          <t>BDI</t>
        </is>
      </c>
      <c r="C215" s="3" t="inlineStr">
        <is>
          <t>IMF.RES:WEO</t>
        </is>
      </c>
      <c r="D215" s="3" t="inlineStr">
        <is>
          <t>BDI.PPPPC.A</t>
        </is>
      </c>
      <c r="E215" s="3" t="inlineStr">
        <is>
          <t>Burundi</t>
        </is>
      </c>
      <c r="F215" s="3" t="inlineStr">
        <is>
          <t>Gross domestic product (GDP), Per capita, purchasing power parity (PPP) international dollar, ICP benchmarks 2017-2021</t>
        </is>
      </c>
      <c r="G215" s="3" t="n">
        <v>598.803571</v>
      </c>
      <c r="H215" s="3" t="n">
        <v>607.077028</v>
      </c>
      <c r="I215" s="3" t="n">
        <v>613.470416</v>
      </c>
      <c r="J215" s="3" t="n">
        <v>621.095512</v>
      </c>
      <c r="K215" s="3" t="n">
        <v>637.600538</v>
      </c>
      <c r="L215" s="3" t="n">
        <v>661.307203</v>
      </c>
      <c r="M215" s="3" t="n">
        <v>693.186006</v>
      </c>
      <c r="N215" s="3" t="n">
        <v>709.801913</v>
      </c>
      <c r="O215" s="3" t="n">
        <v>727.987444</v>
      </c>
      <c r="P215" s="3" t="n">
        <v>722.841157</v>
      </c>
      <c r="Q215" s="3" t="n">
        <v>733.943351</v>
      </c>
      <c r="R215" s="3" t="n">
        <v>751.90616</v>
      </c>
      <c r="S215" s="3" t="n">
        <v>771.920221</v>
      </c>
      <c r="T215" s="3" t="n">
        <v>794.654412</v>
      </c>
      <c r="U215" s="3" t="n">
        <v>814.652593</v>
      </c>
      <c r="V215" s="3" t="n">
        <v>772.423864</v>
      </c>
      <c r="W215" s="3" t="n">
        <v>761.853252</v>
      </c>
      <c r="X215" s="3" t="n">
        <v>761.269257</v>
      </c>
      <c r="Y215" s="3" t="n">
        <v>753.455516</v>
      </c>
      <c r="Z215" s="3" t="n">
        <v>778.3548520000001</v>
      </c>
      <c r="AA215" s="3" t="n">
        <v>787.295253</v>
      </c>
      <c r="AB215" s="3" t="n">
        <v>837.877804</v>
      </c>
      <c r="AC215" s="3" t="n">
        <v>889.469862</v>
      </c>
      <c r="AD215" s="3" t="n">
        <v>921.429413</v>
      </c>
      <c r="AE215" s="3" t="n">
        <v>958.395363</v>
      </c>
      <c r="AF215" s="3" t="n">
        <v>994.23268</v>
      </c>
      <c r="AG215" s="3" t="n">
        <v>1030.850738</v>
      </c>
      <c r="AH215" s="3" t="n">
        <v>1065.429632</v>
      </c>
      <c r="AI215" s="3" t="n">
        <v>1093.730152</v>
      </c>
      <c r="AJ215" s="3" t="n">
        <v>1124.667309</v>
      </c>
      <c r="AK215" s="3" t="n">
        <v>1157.673513</v>
      </c>
      <c r="AL215" s="3" t="n">
        <v>1199.002002</v>
      </c>
      <c r="AM215" s="3" t="n"/>
      <c r="AN215" s="3" t="n"/>
      <c r="AO215" s="3" t="n"/>
      <c r="AP215" s="3" t="n"/>
      <c r="AQ215" s="3" t="n"/>
      <c r="AR215" s="3" t="n"/>
      <c r="AS215" s="3" t="n"/>
      <c r="AT215" s="3" t="n"/>
      <c r="AU215" s="3" t="n"/>
    </row>
    <row r="216">
      <c r="A216" s="3" t="n">
        <v>2025</v>
      </c>
      <c r="B216" s="3" t="inlineStr">
        <is>
          <t>BDI</t>
        </is>
      </c>
      <c r="C216" s="3" t="inlineStr">
        <is>
          <t>IMF.STA:ER</t>
        </is>
      </c>
      <c r="D216" s="3" t="inlineStr">
        <is>
          <t>BDI.XDC_USD.PA_RT.A</t>
        </is>
      </c>
      <c r="E216" s="3" t="inlineStr">
        <is>
          <t>Burundi</t>
        </is>
      </c>
      <c r="F216" s="3" t="inlineStr">
        <is>
          <t>Domestic currency per US Dollar</t>
        </is>
      </c>
      <c r="G216" s="3" t="n">
        <v>720.6733333333329</v>
      </c>
      <c r="H216" s="3" t="n">
        <v>830.353333333333</v>
      </c>
      <c r="I216" s="3" t="n">
        <v>930.749166666666</v>
      </c>
      <c r="J216" s="3" t="n">
        <v>1082.62</v>
      </c>
      <c r="K216" s="3" t="n">
        <v>1100.9</v>
      </c>
      <c r="L216" s="3" t="n">
        <v>1081.57716666666</v>
      </c>
      <c r="M216" s="3" t="n">
        <v>1028.683553</v>
      </c>
      <c r="N216" s="3" t="n">
        <v>1081.8696825</v>
      </c>
      <c r="O216" s="3" t="n">
        <v>1185.69083333333</v>
      </c>
      <c r="P216" s="3" t="n">
        <v>1230.17916666666</v>
      </c>
      <c r="Q216" s="3" t="n">
        <v>1230.74833333333</v>
      </c>
      <c r="R216" s="3" t="n">
        <v>1261.07333333333</v>
      </c>
      <c r="S216" s="3" t="n">
        <v>1442.505625</v>
      </c>
      <c r="T216" s="3" t="n">
        <v>1555.09083333333</v>
      </c>
      <c r="U216" s="3" t="n">
        <v>1546.68666666666</v>
      </c>
      <c r="V216" s="3" t="n">
        <v>1571.89833333333</v>
      </c>
      <c r="W216" s="3" t="n">
        <v>1654.62666666666</v>
      </c>
      <c r="X216" s="3" t="n">
        <v>1729.055</v>
      </c>
      <c r="Y216" s="3" t="n">
        <v>1782.876875</v>
      </c>
      <c r="Z216" s="3" t="n">
        <v>1845.62289069697</v>
      </c>
      <c r="AA216" s="3" t="n">
        <v>1915.04617583333</v>
      </c>
      <c r="AB216" s="3" t="n">
        <v>1975.95088138768</v>
      </c>
      <c r="AC216" s="3" t="n">
        <v>2034.30663430472</v>
      </c>
      <c r="AD216" s="3" t="n">
        <v>2574.05174879329</v>
      </c>
      <c r="AE216" s="3" t="n">
        <v>2885.24549799567</v>
      </c>
      <c r="AF216" s="3" t="n">
        <v>2943.1375</v>
      </c>
      <c r="AG216" s="3" t="n"/>
      <c r="AH216" s="3" t="n"/>
      <c r="AI216" s="3" t="n"/>
      <c r="AJ216" s="3" t="n"/>
      <c r="AK216" s="3" t="n"/>
      <c r="AL216" s="3" t="n"/>
      <c r="AM216" s="3" t="n"/>
      <c r="AN216" s="3" t="n"/>
      <c r="AO216" s="3" t="n"/>
      <c r="AP216" s="3" t="n"/>
      <c r="AQ216" s="3" t="n"/>
      <c r="AR216" s="3" t="n"/>
      <c r="AS216" s="3" t="n"/>
      <c r="AT216" s="3" t="n"/>
      <c r="AU216" s="3" t="n"/>
    </row>
    <row r="217">
      <c r="A217" s="3" t="n">
        <v>2031</v>
      </c>
      <c r="B217" s="3" t="inlineStr">
        <is>
          <t>BEL</t>
        </is>
      </c>
      <c r="C217" s="3" t="inlineStr">
        <is>
          <t>IMF.RES:WEO</t>
        </is>
      </c>
      <c r="D217" s="3" t="inlineStr">
        <is>
          <t>BEL.BCA.A</t>
        </is>
      </c>
      <c r="E217" s="3" t="inlineStr">
        <is>
          <t>Belgium</t>
        </is>
      </c>
      <c r="F217" s="3" t="inlineStr">
        <is>
          <t>Current account balance (credit less debit), US dollar</t>
        </is>
      </c>
      <c r="G217" s="3" t="n">
        <v>9.39268</v>
      </c>
      <c r="H217" s="3" t="n">
        <v>7.895815</v>
      </c>
      <c r="I217" s="3" t="n">
        <v>11.622181</v>
      </c>
      <c r="J217" s="3" t="n">
        <v>10.806024</v>
      </c>
      <c r="K217" s="3" t="n">
        <v>11.434414</v>
      </c>
      <c r="L217" s="3" t="n">
        <v>7.701</v>
      </c>
      <c r="M217" s="3" t="n">
        <v>7.553988</v>
      </c>
      <c r="N217" s="3" t="n">
        <v>7.043547</v>
      </c>
      <c r="O217" s="3" t="n">
        <v>-5.202963</v>
      </c>
      <c r="P217" s="3" t="n">
        <v>8.000144000000001</v>
      </c>
      <c r="Q217" s="3" t="n">
        <v>7.824136</v>
      </c>
      <c r="R217" s="3" t="n">
        <v>-10.149743</v>
      </c>
      <c r="S217" s="3" t="n">
        <v>-0.403679</v>
      </c>
      <c r="T217" s="3" t="n">
        <v>4.981843</v>
      </c>
      <c r="U217" s="3" t="n">
        <v>4.132702</v>
      </c>
      <c r="V217" s="3" t="n">
        <v>6.39477</v>
      </c>
      <c r="W217" s="3" t="n">
        <v>2.62485</v>
      </c>
      <c r="X217" s="3" t="n">
        <v>3.50981</v>
      </c>
      <c r="Y217" s="3" t="n">
        <v>-4.968166</v>
      </c>
      <c r="Z217" s="3" t="n">
        <v>0.747892</v>
      </c>
      <c r="AA217" s="3" t="n">
        <v>4.8436</v>
      </c>
      <c r="AB217" s="3" t="n">
        <v>11.00088</v>
      </c>
      <c r="AC217" s="3" t="n">
        <v>-11.50623</v>
      </c>
      <c r="AD217" s="3" t="n">
        <v>1.262204</v>
      </c>
      <c r="AE217" s="3" t="n">
        <v>-2.534172</v>
      </c>
      <c r="AF217" s="3" t="n">
        <v>-15.442195</v>
      </c>
      <c r="AG217" s="3" t="n">
        <v>-15.551903</v>
      </c>
      <c r="AH217" s="3" t="n">
        <v>-15.384507</v>
      </c>
      <c r="AI217" s="3" t="n">
        <v>-10.640653</v>
      </c>
      <c r="AJ217" s="3" t="n">
        <v>-9.194139</v>
      </c>
      <c r="AK217" s="3" t="n">
        <v>-7.257784</v>
      </c>
      <c r="AL217" s="3" t="n">
        <v>-6.251377</v>
      </c>
      <c r="AM217" s="3" t="n"/>
      <c r="AN217" s="3" t="n"/>
      <c r="AO217" s="3" t="n"/>
      <c r="AP217" s="3" t="n"/>
      <c r="AQ217" s="3" t="n"/>
      <c r="AR217" s="3" t="n"/>
      <c r="AS217" s="3" t="n"/>
      <c r="AT217" s="3" t="n"/>
      <c r="AU217" s="3" t="n"/>
    </row>
    <row r="218">
      <c r="A218" s="3" t="n">
        <v>2031</v>
      </c>
      <c r="B218" s="3" t="inlineStr">
        <is>
          <t>BEL</t>
        </is>
      </c>
      <c r="C218" s="3" t="inlineStr">
        <is>
          <t>IMF.RES:WEO</t>
        </is>
      </c>
      <c r="D218" s="3" t="inlineStr">
        <is>
          <t>BEL.BCA_NGDPD.A</t>
        </is>
      </c>
      <c r="E218" s="3" t="inlineStr">
        <is>
          <t>Belgium</t>
        </is>
      </c>
      <c r="F218" s="3" t="inlineStr">
        <is>
          <t>Current account balance (credit less debit), Percent of GDP</t>
        </is>
      </c>
      <c r="G218" s="3" t="n">
        <v>3.964884</v>
      </c>
      <c r="H218" s="3" t="n">
        <v>3.335116</v>
      </c>
      <c r="I218" s="3" t="n">
        <v>4.501229</v>
      </c>
      <c r="J218" s="3" t="n">
        <v>3.39808</v>
      </c>
      <c r="K218" s="3" t="n">
        <v>3.098358</v>
      </c>
      <c r="L218" s="3" t="n">
        <v>1.995454</v>
      </c>
      <c r="M218" s="3" t="n">
        <v>1.850194</v>
      </c>
      <c r="N218" s="3" t="n">
        <v>1.495516</v>
      </c>
      <c r="O218" s="3" t="n">
        <v>-1.005848</v>
      </c>
      <c r="P218" s="3" t="n">
        <v>1.651257</v>
      </c>
      <c r="Q218" s="3" t="n">
        <v>1.623436</v>
      </c>
      <c r="R218" s="3" t="n">
        <v>-1.92556</v>
      </c>
      <c r="S218" s="3" t="n">
        <v>-0.080941</v>
      </c>
      <c r="T218" s="3" t="n">
        <v>0.950542</v>
      </c>
      <c r="U218" s="3" t="n">
        <v>0.767979</v>
      </c>
      <c r="V218" s="3" t="n">
        <v>1.386877</v>
      </c>
      <c r="W218" s="3" t="n">
        <v>0.553602</v>
      </c>
      <c r="X218" s="3" t="n">
        <v>0.700935</v>
      </c>
      <c r="Y218" s="3" t="n">
        <v>-0.915141</v>
      </c>
      <c r="Z218" s="3" t="n">
        <v>0.139327</v>
      </c>
      <c r="AA218" s="3" t="n">
        <v>0.915148</v>
      </c>
      <c r="AB218" s="3" t="n">
        <v>1.836786</v>
      </c>
      <c r="AC218" s="3" t="n">
        <v>-1.945096</v>
      </c>
      <c r="AD218" s="3" t="n">
        <v>0.193733</v>
      </c>
      <c r="AE218" s="3" t="n">
        <v>-0.377576</v>
      </c>
      <c r="AF218" s="3" t="n">
        <v>-2.130202</v>
      </c>
      <c r="AG218" s="3" t="n">
        <v>-2.002227</v>
      </c>
      <c r="AH218" s="3" t="n">
        <v>-1.930256</v>
      </c>
      <c r="AI218" s="3" t="n">
        <v>-1.302465</v>
      </c>
      <c r="AJ218" s="3" t="n">
        <v>-1.093509</v>
      </c>
      <c r="AK218" s="3" t="n">
        <v>-0.840256</v>
      </c>
      <c r="AL218" s="3" t="n">
        <v>-0.704296</v>
      </c>
      <c r="AM218" s="3" t="n"/>
      <c r="AN218" s="3" t="n"/>
      <c r="AO218" s="3" t="n"/>
      <c r="AP218" s="3" t="n"/>
      <c r="AQ218" s="3" t="n"/>
      <c r="AR218" s="3" t="n"/>
      <c r="AS218" s="3" t="n"/>
      <c r="AT218" s="3" t="n"/>
      <c r="AU218" s="3" t="n"/>
    </row>
    <row r="219">
      <c r="A219" s="3" t="n">
        <v>2031</v>
      </c>
      <c r="B219" s="3" t="inlineStr">
        <is>
          <t>BEL</t>
        </is>
      </c>
      <c r="C219" s="3" t="inlineStr">
        <is>
          <t>IMF.RES:WEO</t>
        </is>
      </c>
      <c r="D219" s="3" t="inlineStr">
        <is>
          <t>BEL.GGR_NGDP.A</t>
        </is>
      </c>
      <c r="E219" s="3" t="inlineStr">
        <is>
          <t>Belgium</t>
        </is>
      </c>
      <c r="F219" s="3" t="inlineStr">
        <is>
          <t>Revenue, General government, Percent of GDP</t>
        </is>
      </c>
      <c r="G219" s="3" t="n">
        <v>49.319086</v>
      </c>
      <c r="H219" s="3" t="n">
        <v>49.612159</v>
      </c>
      <c r="I219" s="3" t="n">
        <v>49.860021</v>
      </c>
      <c r="J219" s="3" t="n">
        <v>49.183075</v>
      </c>
      <c r="K219" s="3" t="n">
        <v>49.08015</v>
      </c>
      <c r="L219" s="3" t="n">
        <v>49.14707</v>
      </c>
      <c r="M219" s="3" t="n">
        <v>49.029036</v>
      </c>
      <c r="N219" s="3" t="n">
        <v>48.629354</v>
      </c>
      <c r="O219" s="3" t="n">
        <v>49.679994</v>
      </c>
      <c r="P219" s="3" t="n">
        <v>49.082692</v>
      </c>
      <c r="Q219" s="3" t="n">
        <v>49.769382</v>
      </c>
      <c r="R219" s="3" t="n">
        <v>50.585536</v>
      </c>
      <c r="S219" s="3" t="n">
        <v>51.896421</v>
      </c>
      <c r="T219" s="3" t="n">
        <v>52.738402</v>
      </c>
      <c r="U219" s="3" t="n">
        <v>52.241289</v>
      </c>
      <c r="V219" s="3" t="n">
        <v>51.405575</v>
      </c>
      <c r="W219" s="3" t="n">
        <v>50.947494</v>
      </c>
      <c r="X219" s="3" t="n">
        <v>51.490884</v>
      </c>
      <c r="Y219" s="3" t="n">
        <v>51.402679</v>
      </c>
      <c r="Z219" s="3" t="n">
        <v>49.703241</v>
      </c>
      <c r="AA219" s="3" t="n">
        <v>49.418372</v>
      </c>
      <c r="AB219" s="3" t="n">
        <v>49.537138</v>
      </c>
      <c r="AC219" s="3" t="n">
        <v>48.902547</v>
      </c>
      <c r="AD219" s="3" t="n">
        <v>48.79723</v>
      </c>
      <c r="AE219" s="3" t="n">
        <v>49.692748</v>
      </c>
      <c r="AF219" s="3" t="n">
        <v>49.733535</v>
      </c>
      <c r="AG219" s="3" t="n">
        <v>49.80604</v>
      </c>
      <c r="AH219" s="3" t="n">
        <v>49.88449</v>
      </c>
      <c r="AI219" s="3" t="n">
        <v>49.958758</v>
      </c>
      <c r="AJ219" s="3" t="n">
        <v>50.206788</v>
      </c>
      <c r="AK219" s="3" t="n">
        <v>50.24685</v>
      </c>
      <c r="AL219" s="3" t="n">
        <v>50.368188</v>
      </c>
      <c r="AM219" s="3" t="n"/>
      <c r="AN219" s="3" t="n"/>
      <c r="AO219" s="3" t="n"/>
      <c r="AP219" s="3" t="n"/>
      <c r="AQ219" s="3" t="n"/>
      <c r="AR219" s="3" t="n"/>
      <c r="AS219" s="3" t="n"/>
      <c r="AT219" s="3" t="n"/>
      <c r="AU219" s="3" t="n"/>
    </row>
    <row r="220">
      <c r="A220" s="3" t="n">
        <v>2031</v>
      </c>
      <c r="B220" s="3" t="inlineStr">
        <is>
          <t>BEL</t>
        </is>
      </c>
      <c r="C220" s="3" t="inlineStr">
        <is>
          <t>IMF.RES:WEO</t>
        </is>
      </c>
      <c r="D220" s="3" t="inlineStr">
        <is>
          <t>BEL.GGX_NGDP.A</t>
        </is>
      </c>
      <c r="E220" s="3" t="inlineStr">
        <is>
          <t>Belgium</t>
        </is>
      </c>
      <c r="F220" s="3" t="inlineStr">
        <is>
          <t>Expenditure, General government, Percent of GDP</t>
        </is>
      </c>
      <c r="G220" s="3" t="n">
        <v>49.39854</v>
      </c>
      <c r="H220" s="3" t="n">
        <v>49.379386</v>
      </c>
      <c r="I220" s="3" t="n">
        <v>49.90357</v>
      </c>
      <c r="J220" s="3" t="n">
        <v>51.047116</v>
      </c>
      <c r="K220" s="3" t="n">
        <v>49.318779</v>
      </c>
      <c r="L220" s="3" t="n">
        <v>51.862197</v>
      </c>
      <c r="M220" s="3" t="n">
        <v>48.789332</v>
      </c>
      <c r="N220" s="3" t="n">
        <v>48.562798</v>
      </c>
      <c r="O220" s="3" t="n">
        <v>50.775424</v>
      </c>
      <c r="P220" s="3" t="n">
        <v>54.530318</v>
      </c>
      <c r="Q220" s="3" t="n">
        <v>53.902632</v>
      </c>
      <c r="R220" s="3" t="n">
        <v>55.026971</v>
      </c>
      <c r="S220" s="3" t="n">
        <v>56.244845</v>
      </c>
      <c r="T220" s="3" t="n">
        <v>55.902052</v>
      </c>
      <c r="U220" s="3" t="n">
        <v>55.416474</v>
      </c>
      <c r="V220" s="3" t="n">
        <v>53.880993</v>
      </c>
      <c r="W220" s="3" t="n">
        <v>53.37844</v>
      </c>
      <c r="X220" s="3" t="n">
        <v>52.254132</v>
      </c>
      <c r="Y220" s="3" t="n">
        <v>52.450968</v>
      </c>
      <c r="Z220" s="3" t="n">
        <v>51.751188</v>
      </c>
      <c r="AA220" s="3" t="n">
        <v>58.453046</v>
      </c>
      <c r="AB220" s="3" t="n">
        <v>54.939166</v>
      </c>
      <c r="AC220" s="3" t="n">
        <v>52.504236</v>
      </c>
      <c r="AD220" s="3" t="n">
        <v>52.803897</v>
      </c>
      <c r="AE220" s="3" t="n">
        <v>54.054995</v>
      </c>
      <c r="AF220" s="3" t="n">
        <v>54.990165</v>
      </c>
      <c r="AG220" s="3" t="n">
        <v>54.934355</v>
      </c>
      <c r="AH220" s="3" t="n">
        <v>55.075246</v>
      </c>
      <c r="AI220" s="3" t="n">
        <v>55.274264</v>
      </c>
      <c r="AJ220" s="3" t="n">
        <v>55.616719</v>
      </c>
      <c r="AK220" s="3" t="n">
        <v>55.908479</v>
      </c>
      <c r="AL220" s="3" t="n">
        <v>56.148256</v>
      </c>
      <c r="AM220" s="3" t="n"/>
      <c r="AN220" s="3" t="n"/>
      <c r="AO220" s="3" t="n"/>
      <c r="AP220" s="3" t="n"/>
      <c r="AQ220" s="3" t="n"/>
      <c r="AR220" s="3" t="n"/>
      <c r="AS220" s="3" t="n"/>
      <c r="AT220" s="3" t="n"/>
      <c r="AU220" s="3" t="n"/>
    </row>
    <row r="221">
      <c r="A221" s="3" t="n">
        <v>2027</v>
      </c>
      <c r="B221" s="3" t="inlineStr">
        <is>
          <t>BEL</t>
        </is>
      </c>
      <c r="C221" s="3" t="inlineStr">
        <is>
          <t>IMF.RES:WEO</t>
        </is>
      </c>
      <c r="D221" s="3" t="inlineStr">
        <is>
          <t>BEL.LE.A</t>
        </is>
      </c>
      <c r="E221" s="3" t="inlineStr">
        <is>
          <t>Belgium</t>
        </is>
      </c>
      <c r="F221" s="3" t="inlineStr">
        <is>
          <t>Employed persons, Persons for countries / Index for country groups</t>
        </is>
      </c>
      <c r="G221" s="3" t="n">
        <v>4.17325</v>
      </c>
      <c r="H221" s="3" t="n">
        <v>4.23125</v>
      </c>
      <c r="I221" s="3" t="n">
        <v>4.24275</v>
      </c>
      <c r="J221" s="3" t="n">
        <v>4.2405</v>
      </c>
      <c r="K221" s="3" t="n">
        <v>4.284</v>
      </c>
      <c r="L221" s="3" t="n">
        <v>4.346</v>
      </c>
      <c r="M221" s="3" t="n">
        <v>4.39675</v>
      </c>
      <c r="N221" s="3" t="n">
        <v>4.4705</v>
      </c>
      <c r="O221" s="3" t="n">
        <v>4.54925</v>
      </c>
      <c r="P221" s="3" t="n">
        <v>4.5435</v>
      </c>
      <c r="Q221" s="3" t="n">
        <v>4.57625</v>
      </c>
      <c r="R221" s="3" t="n">
        <v>4.632</v>
      </c>
      <c r="S221" s="3" t="n">
        <v>4.64275</v>
      </c>
      <c r="T221" s="3" t="n">
        <v>4.63175</v>
      </c>
      <c r="U221" s="3" t="n">
        <v>4.64875</v>
      </c>
      <c r="V221" s="3" t="n">
        <v>4.68725</v>
      </c>
      <c r="W221" s="3" t="n">
        <v>4.7455</v>
      </c>
      <c r="X221" s="3" t="n">
        <v>4.81575</v>
      </c>
      <c r="Y221" s="3" t="n">
        <v>4.886</v>
      </c>
      <c r="Z221" s="3" t="n">
        <v>4.963</v>
      </c>
      <c r="AA221" s="3" t="n">
        <v>4.95625</v>
      </c>
      <c r="AB221" s="3" t="n">
        <v>5.03825</v>
      </c>
      <c r="AC221" s="3" t="n">
        <v>5.134</v>
      </c>
      <c r="AD221" s="3" t="n">
        <v>5.1705</v>
      </c>
      <c r="AE221" s="3" t="n">
        <v>5.1845</v>
      </c>
      <c r="AF221" s="3" t="n">
        <v>5.20425</v>
      </c>
      <c r="AG221" s="3" t="n">
        <v>5.225763</v>
      </c>
      <c r="AH221" s="3" t="n">
        <v>5.254641</v>
      </c>
      <c r="AI221" s="3" t="n"/>
      <c r="AJ221" s="3" t="n"/>
      <c r="AK221" s="3" t="n"/>
      <c r="AL221" s="3" t="n"/>
      <c r="AM221" s="3" t="n"/>
      <c r="AN221" s="3" t="n"/>
      <c r="AO221" s="3" t="n"/>
      <c r="AP221" s="3" t="n"/>
      <c r="AQ221" s="3" t="n"/>
      <c r="AR221" s="3" t="n"/>
      <c r="AS221" s="3" t="n"/>
      <c r="AT221" s="3" t="n"/>
      <c r="AU221" s="3" t="n"/>
    </row>
    <row r="222">
      <c r="A222" s="3" t="n">
        <v>2031</v>
      </c>
      <c r="B222" s="3" t="inlineStr">
        <is>
          <t>BEL</t>
        </is>
      </c>
      <c r="C222" s="3" t="inlineStr">
        <is>
          <t>IMF.RES:WEO</t>
        </is>
      </c>
      <c r="D222" s="3" t="inlineStr">
        <is>
          <t>BEL.LP.A</t>
        </is>
      </c>
      <c r="E222" s="3" t="inlineStr">
        <is>
          <t>Belgium</t>
        </is>
      </c>
      <c r="F222" s="3" t="inlineStr">
        <is>
          <t>Population, Persons for countries / Index for country groups</t>
        </is>
      </c>
      <c r="G222" s="3" t="n">
        <v>10.239085</v>
      </c>
      <c r="H222" s="3" t="n">
        <v>10.263414</v>
      </c>
      <c r="I222" s="3" t="n">
        <v>10.309725</v>
      </c>
      <c r="J222" s="3" t="n">
        <v>10.355844</v>
      </c>
      <c r="K222" s="3" t="n">
        <v>10.396421</v>
      </c>
      <c r="L222" s="3" t="n">
        <v>10.445852</v>
      </c>
      <c r="M222" s="3" t="n">
        <v>10.511382</v>
      </c>
      <c r="N222" s="3" t="n">
        <v>10.584534</v>
      </c>
      <c r="O222" s="3" t="n">
        <v>10.666866</v>
      </c>
      <c r="P222" s="3" t="n">
        <v>10.75308</v>
      </c>
      <c r="Q222" s="3" t="n">
        <v>10.839905</v>
      </c>
      <c r="R222" s="3" t="n">
        <v>11.000638</v>
      </c>
      <c r="S222" s="3" t="n">
        <v>11.075889</v>
      </c>
      <c r="T222" s="3" t="n">
        <v>11.137974</v>
      </c>
      <c r="U222" s="3" t="n">
        <v>11.18084</v>
      </c>
      <c r="V222" s="3" t="n">
        <v>11.237274</v>
      </c>
      <c r="W222" s="3" t="n">
        <v>11.311117</v>
      </c>
      <c r="X222" s="3" t="n">
        <v>11.351727</v>
      </c>
      <c r="Y222" s="3" t="n">
        <v>11.398589</v>
      </c>
      <c r="Z222" s="3" t="n">
        <v>11.455519</v>
      </c>
      <c r="AA222" s="3" t="n">
        <v>11.52244</v>
      </c>
      <c r="AB222" s="3" t="n">
        <v>11.554767</v>
      </c>
      <c r="AC222" s="3" t="n">
        <v>11.617623</v>
      </c>
      <c r="AD222" s="3" t="n">
        <v>11.742796</v>
      </c>
      <c r="AE222" s="3" t="n">
        <v>11.817096</v>
      </c>
      <c r="AF222" s="3" t="n">
        <v>11.883495</v>
      </c>
      <c r="AG222" s="3" t="n">
        <v>11.929222</v>
      </c>
      <c r="AH222" s="3" t="n">
        <v>11.969033</v>
      </c>
      <c r="AI222" s="3" t="n">
        <v>12.005334</v>
      </c>
      <c r="AJ222" s="3" t="n">
        <v>12.038828</v>
      </c>
      <c r="AK222" s="3" t="n">
        <v>12.070115</v>
      </c>
      <c r="AL222" s="3" t="n">
        <v>12.099898</v>
      </c>
      <c r="AM222" s="3" t="n"/>
      <c r="AN222" s="3" t="n"/>
      <c r="AO222" s="3" t="n"/>
      <c r="AP222" s="3" t="n"/>
      <c r="AQ222" s="3" t="n"/>
      <c r="AR222" s="3" t="n"/>
      <c r="AS222" s="3" t="n"/>
      <c r="AT222" s="3" t="n"/>
      <c r="AU222" s="3" t="n"/>
    </row>
    <row r="223">
      <c r="A223" s="3" t="n">
        <v>2031</v>
      </c>
      <c r="B223" s="3" t="inlineStr">
        <is>
          <t>BEL</t>
        </is>
      </c>
      <c r="C223" s="3" t="inlineStr">
        <is>
          <t>IMF.RES:WEO</t>
        </is>
      </c>
      <c r="D223" s="3" t="inlineStr">
        <is>
          <t>BEL.NGDP.A</t>
        </is>
      </c>
      <c r="E223" s="3" t="inlineStr">
        <is>
          <t>Belgium</t>
        </is>
      </c>
      <c r="F223" s="3" t="inlineStr">
        <is>
          <t>Gross domestic product (GDP), Current prices, Domestic currency</t>
        </is>
      </c>
      <c r="G223" s="3" t="n">
        <v>256.376</v>
      </c>
      <c r="H223" s="3" t="n">
        <v>264.335</v>
      </c>
      <c r="I223" s="3" t="n">
        <v>273.255</v>
      </c>
      <c r="J223" s="3" t="n">
        <v>281.201</v>
      </c>
      <c r="K223" s="3" t="n">
        <v>296.82</v>
      </c>
      <c r="L223" s="3" t="n">
        <v>310.037</v>
      </c>
      <c r="M223" s="3" t="n">
        <v>325.151</v>
      </c>
      <c r="N223" s="3" t="n">
        <v>343.619</v>
      </c>
      <c r="O223" s="3" t="n">
        <v>351.743</v>
      </c>
      <c r="P223" s="3" t="n">
        <v>347.735</v>
      </c>
      <c r="Q223" s="3" t="n">
        <v>363.242</v>
      </c>
      <c r="R223" s="3" t="n">
        <v>378.747</v>
      </c>
      <c r="S223" s="3" t="n">
        <v>387.936</v>
      </c>
      <c r="T223" s="3" t="n">
        <v>394.617</v>
      </c>
      <c r="U223" s="3" t="n">
        <v>404.959</v>
      </c>
      <c r="V223" s="3" t="n">
        <v>415.538</v>
      </c>
      <c r="W223" s="3" t="n">
        <v>428.467</v>
      </c>
      <c r="X223" s="3" t="n">
        <v>443.408</v>
      </c>
      <c r="Y223" s="3" t="n">
        <v>459.492</v>
      </c>
      <c r="Z223" s="3" t="n">
        <v>479.446</v>
      </c>
      <c r="AA223" s="3" t="n">
        <v>463.75</v>
      </c>
      <c r="AB223" s="3" t="n">
        <v>506.047</v>
      </c>
      <c r="AC223" s="3" t="n">
        <v>561.309</v>
      </c>
      <c r="AD223" s="3" t="n">
        <v>602.376</v>
      </c>
      <c r="AE223" s="3" t="n">
        <v>620.272</v>
      </c>
      <c r="AF223" s="3" t="n">
        <v>641.893</v>
      </c>
      <c r="AG223" s="3" t="n">
        <v>658.682089</v>
      </c>
      <c r="AH223" s="3" t="n">
        <v>677.446772</v>
      </c>
      <c r="AI223" s="3" t="n">
        <v>696.280458</v>
      </c>
      <c r="AJ223" s="3" t="n">
        <v>716.970108</v>
      </c>
      <c r="AK223" s="3" t="n">
        <v>736.669588</v>
      </c>
      <c r="AL223" s="3" t="n">
        <v>757.133435</v>
      </c>
      <c r="AM223" s="3" t="n"/>
      <c r="AN223" s="3" t="n"/>
      <c r="AO223" s="3" t="n"/>
      <c r="AP223" s="3" t="n"/>
      <c r="AQ223" s="3" t="n"/>
      <c r="AR223" s="3" t="n"/>
      <c r="AS223" s="3" t="n"/>
      <c r="AT223" s="3" t="n"/>
      <c r="AU223" s="3" t="n"/>
    </row>
    <row r="224">
      <c r="A224" s="3" t="n">
        <v>2031</v>
      </c>
      <c r="B224" s="3" t="inlineStr">
        <is>
          <t>BEL</t>
        </is>
      </c>
      <c r="C224" s="3" t="inlineStr">
        <is>
          <t>IMF.RES:WEO</t>
        </is>
      </c>
      <c r="D224" s="3" t="inlineStr">
        <is>
          <t>BEL.NGDP_D.A</t>
        </is>
      </c>
      <c r="E224" s="3" t="inlineStr">
        <is>
          <t>Belgium</t>
        </is>
      </c>
      <c r="F224" s="3" t="inlineStr">
        <is>
          <t>Gross domestic product (GDP), Price deflator, Index</t>
        </is>
      </c>
      <c r="G224" s="3" t="n">
        <v>70.70783400000001</v>
      </c>
      <c r="H224" s="3" t="n">
        <v>72.109784</v>
      </c>
      <c r="I224" s="3" t="n">
        <v>73.292314</v>
      </c>
      <c r="J224" s="3" t="n">
        <v>74.648725</v>
      </c>
      <c r="K224" s="3" t="n">
        <v>76.078041</v>
      </c>
      <c r="L224" s="3" t="n">
        <v>77.662634</v>
      </c>
      <c r="M224" s="3" t="n">
        <v>79.42134799999999</v>
      </c>
      <c r="N224" s="3" t="n">
        <v>80.955724</v>
      </c>
      <c r="O224" s="3" t="n">
        <v>82.500997</v>
      </c>
      <c r="P224" s="3" t="n">
        <v>83.14603200000001</v>
      </c>
      <c r="Q224" s="3" t="n">
        <v>84.56200200000001</v>
      </c>
      <c r="R224" s="3" t="n">
        <v>86.501344</v>
      </c>
      <c r="S224" s="3" t="n">
        <v>88.408991</v>
      </c>
      <c r="T224" s="3" t="n">
        <v>89.657562</v>
      </c>
      <c r="U224" s="3" t="n">
        <v>90.410999</v>
      </c>
      <c r="V224" s="3" t="n">
        <v>91.42529</v>
      </c>
      <c r="W224" s="3" t="n">
        <v>93.158164</v>
      </c>
      <c r="X224" s="3" t="n">
        <v>95.005549</v>
      </c>
      <c r="Y224" s="3" t="n">
        <v>96.636893</v>
      </c>
      <c r="Z224" s="3" t="n">
        <v>98.429064</v>
      </c>
      <c r="AA224" s="3" t="n">
        <v>99.99978400000001</v>
      </c>
      <c r="AB224" s="3" t="n">
        <v>102.697278</v>
      </c>
      <c r="AC224" s="3" t="n">
        <v>109.576946</v>
      </c>
      <c r="AD224" s="3" t="n">
        <v>115.612093</v>
      </c>
      <c r="AE224" s="3" t="n">
        <v>117.785838</v>
      </c>
      <c r="AF224" s="3" t="n">
        <v>120.7183</v>
      </c>
      <c r="AG224" s="3" t="n">
        <v>123.062226</v>
      </c>
      <c r="AH224" s="3" t="n">
        <v>125.241705</v>
      </c>
      <c r="AI224" s="3" t="n">
        <v>127.268233</v>
      </c>
      <c r="AJ224" s="3" t="n">
        <v>129.435518</v>
      </c>
      <c r="AK224" s="3" t="n">
        <v>131.270348</v>
      </c>
      <c r="AL224" s="3" t="n">
        <v>133.237406</v>
      </c>
      <c r="AM224" s="3" t="n"/>
      <c r="AN224" s="3" t="n"/>
      <c r="AO224" s="3" t="n"/>
      <c r="AP224" s="3" t="n"/>
      <c r="AQ224" s="3" t="n"/>
      <c r="AR224" s="3" t="n"/>
      <c r="AS224" s="3" t="n"/>
      <c r="AT224" s="3" t="n"/>
      <c r="AU224" s="3" t="n"/>
    </row>
    <row r="225">
      <c r="A225" s="3" t="n">
        <v>2031</v>
      </c>
      <c r="B225" s="3" t="inlineStr">
        <is>
          <t>BEL</t>
        </is>
      </c>
      <c r="C225" s="3" t="inlineStr">
        <is>
          <t>IMF.RES:WEO</t>
        </is>
      </c>
      <c r="D225" s="3" t="inlineStr">
        <is>
          <t>BEL.NGDP_R.A</t>
        </is>
      </c>
      <c r="E225" s="3" t="inlineStr">
        <is>
          <t>Belgium</t>
        </is>
      </c>
      <c r="F225" s="3" t="inlineStr">
        <is>
          <t>Gross domestic product (GDP), Constant prices, Domestic currency</t>
        </is>
      </c>
      <c r="G225" s="3" t="n">
        <v>362.585</v>
      </c>
      <c r="H225" s="3" t="n">
        <v>366.573</v>
      </c>
      <c r="I225" s="3" t="n">
        <v>372.829</v>
      </c>
      <c r="J225" s="3" t="n">
        <v>376.699</v>
      </c>
      <c r="K225" s="3" t="n">
        <v>390.152</v>
      </c>
      <c r="L225" s="3" t="n">
        <v>399.21</v>
      </c>
      <c r="M225" s="3" t="n">
        <v>409.4</v>
      </c>
      <c r="N225" s="3" t="n">
        <v>424.453</v>
      </c>
      <c r="O225" s="3" t="n">
        <v>426.35</v>
      </c>
      <c r="P225" s="3" t="n">
        <v>418.222</v>
      </c>
      <c r="Q225" s="3" t="n">
        <v>429.557</v>
      </c>
      <c r="R225" s="3" t="n">
        <v>437.851</v>
      </c>
      <c r="S225" s="3" t="n">
        <v>438.797</v>
      </c>
      <c r="T225" s="3" t="n">
        <v>440.138</v>
      </c>
      <c r="U225" s="3" t="n">
        <v>447.909</v>
      </c>
      <c r="V225" s="3" t="n">
        <v>454.511</v>
      </c>
      <c r="W225" s="3" t="n">
        <v>459.935</v>
      </c>
      <c r="X225" s="3" t="n">
        <v>466.718</v>
      </c>
      <c r="Y225" s="3" t="n">
        <v>475.483</v>
      </c>
      <c r="Z225" s="3" t="n">
        <v>487.098</v>
      </c>
      <c r="AA225" s="3" t="n">
        <v>463.751</v>
      </c>
      <c r="AB225" s="3" t="n">
        <v>492.756</v>
      </c>
      <c r="AC225" s="3" t="n">
        <v>512.251</v>
      </c>
      <c r="AD225" s="3" t="n">
        <v>521.032</v>
      </c>
      <c r="AE225" s="3" t="n">
        <v>526.61</v>
      </c>
      <c r="AF225" s="3" t="n">
        <v>531.728</v>
      </c>
      <c r="AG225" s="3" t="n">
        <v>535.243112</v>
      </c>
      <c r="AH225" s="3" t="n">
        <v>540.91149</v>
      </c>
      <c r="AI225" s="3" t="n">
        <v>547.096823</v>
      </c>
      <c r="AJ225" s="3" t="n">
        <v>553.920686</v>
      </c>
      <c r="AK225" s="3" t="n">
        <v>561.185064</v>
      </c>
      <c r="AL225" s="3" t="n">
        <v>568.258913</v>
      </c>
      <c r="AM225" s="3" t="n"/>
      <c r="AN225" s="3" t="n"/>
      <c r="AO225" s="3" t="n"/>
      <c r="AP225" s="3" t="n"/>
      <c r="AQ225" s="3" t="n"/>
      <c r="AR225" s="3" t="n"/>
      <c r="AS225" s="3" t="n"/>
      <c r="AT225" s="3" t="n"/>
      <c r="AU225" s="3" t="n"/>
    </row>
    <row r="226">
      <c r="A226" s="3" t="n">
        <v>2031</v>
      </c>
      <c r="B226" s="3" t="inlineStr">
        <is>
          <t>BEL</t>
        </is>
      </c>
      <c r="C226" s="3" t="inlineStr">
        <is>
          <t>IMF.RES:WEO</t>
        </is>
      </c>
      <c r="D226" s="3" t="inlineStr">
        <is>
          <t>BEL.NGDP_RPCH.A</t>
        </is>
      </c>
      <c r="E226" s="3" t="inlineStr">
        <is>
          <t>Belgium</t>
        </is>
      </c>
      <c r="F226" s="3" t="inlineStr">
        <is>
          <t>Gross domestic product (GDP), Constant prices, Percent change</t>
        </is>
      </c>
      <c r="G226" s="3" t="n">
        <v>3.716618</v>
      </c>
      <c r="H226" s="3" t="n">
        <v>1.09988</v>
      </c>
      <c r="I226" s="3" t="n">
        <v>1.706618</v>
      </c>
      <c r="J226" s="3" t="n">
        <v>1.038009</v>
      </c>
      <c r="K226" s="3" t="n">
        <v>3.571286</v>
      </c>
      <c r="L226" s="3" t="n">
        <v>2.321659</v>
      </c>
      <c r="M226" s="3" t="n">
        <v>2.552541</v>
      </c>
      <c r="N226" s="3" t="n">
        <v>3.676844</v>
      </c>
      <c r="O226" s="3" t="n">
        <v>0.446928</v>
      </c>
      <c r="P226" s="3" t="n">
        <v>-1.906415</v>
      </c>
      <c r="Q226" s="3" t="n">
        <v>2.710283</v>
      </c>
      <c r="R226" s="3" t="n">
        <v>1.930826</v>
      </c>
      <c r="S226" s="3" t="n">
        <v>0.216055</v>
      </c>
      <c r="T226" s="3" t="n">
        <v>0.305608</v>
      </c>
      <c r="U226" s="3" t="n">
        <v>1.765583</v>
      </c>
      <c r="V226" s="3" t="n">
        <v>1.47396</v>
      </c>
      <c r="W226" s="3" t="n">
        <v>1.19337</v>
      </c>
      <c r="X226" s="3" t="n">
        <v>1.474774</v>
      </c>
      <c r="Y226" s="3" t="n">
        <v>1.878008</v>
      </c>
      <c r="Z226" s="3" t="n">
        <v>2.442779</v>
      </c>
      <c r="AA226" s="3" t="n">
        <v>-4.793081</v>
      </c>
      <c r="AB226" s="3" t="n">
        <v>6.254434</v>
      </c>
      <c r="AC226" s="3" t="n">
        <v>3.956319</v>
      </c>
      <c r="AD226" s="3" t="n">
        <v>1.714199</v>
      </c>
      <c r="AE226" s="3" t="n">
        <v>1.070568</v>
      </c>
      <c r="AF226" s="3" t="n">
        <v>0.971877</v>
      </c>
      <c r="AG226" s="3" t="n">
        <v>0.661073</v>
      </c>
      <c r="AH226" s="3" t="n">
        <v>1.059029</v>
      </c>
      <c r="AI226" s="3" t="n">
        <v>1.143502</v>
      </c>
      <c r="AJ226" s="3" t="n">
        <v>1.247286</v>
      </c>
      <c r="AK226" s="3" t="n">
        <v>1.311447</v>
      </c>
      <c r="AL226" s="3" t="n">
        <v>1.26052</v>
      </c>
      <c r="AM226" s="3" t="n"/>
      <c r="AN226" s="3" t="n"/>
      <c r="AO226" s="3" t="n"/>
      <c r="AP226" s="3" t="n"/>
      <c r="AQ226" s="3" t="n"/>
      <c r="AR226" s="3" t="n"/>
      <c r="AS226" s="3" t="n"/>
      <c r="AT226" s="3" t="n"/>
      <c r="AU226" s="3" t="n"/>
    </row>
    <row r="227">
      <c r="A227" s="3" t="n">
        <v>2031</v>
      </c>
      <c r="B227" s="3" t="inlineStr">
        <is>
          <t>BEL</t>
        </is>
      </c>
      <c r="C227" s="3" t="inlineStr">
        <is>
          <t>IMF.RES:WEO</t>
        </is>
      </c>
      <c r="D227" s="3" t="inlineStr">
        <is>
          <t>BEL.NGDPD.A</t>
        </is>
      </c>
      <c r="E227" s="3" t="inlineStr">
        <is>
          <t>Belgium</t>
        </is>
      </c>
      <c r="F227" s="3" t="inlineStr">
        <is>
          <t>Gross domestic product (GDP), Current prices, US dollar</t>
        </is>
      </c>
      <c r="G227" s="3" t="n">
        <v>236.896705</v>
      </c>
      <c r="H227" s="3" t="n">
        <v>236.747846</v>
      </c>
      <c r="I227" s="3" t="n">
        <v>258.20017</v>
      </c>
      <c r="J227" s="3" t="n">
        <v>318.003787</v>
      </c>
      <c r="K227" s="3" t="n">
        <v>369.047497</v>
      </c>
      <c r="L227" s="3" t="n">
        <v>385.927215</v>
      </c>
      <c r="M227" s="3" t="n">
        <v>408.280844</v>
      </c>
      <c r="N227" s="3" t="n">
        <v>470.977802</v>
      </c>
      <c r="O227" s="3" t="n">
        <v>517.271264</v>
      </c>
      <c r="P227" s="3" t="n">
        <v>484.488025</v>
      </c>
      <c r="Q227" s="3" t="n">
        <v>481.949278</v>
      </c>
      <c r="R227" s="3" t="n">
        <v>527.106104</v>
      </c>
      <c r="S227" s="3" t="n">
        <v>498.731398</v>
      </c>
      <c r="T227" s="3" t="n">
        <v>524.105594</v>
      </c>
      <c r="U227" s="3" t="n">
        <v>538.127</v>
      </c>
      <c r="V227" s="3" t="n">
        <v>461.091447</v>
      </c>
      <c r="W227" s="3" t="n">
        <v>474.140584</v>
      </c>
      <c r="X227" s="3" t="n">
        <v>500.732908</v>
      </c>
      <c r="Y227" s="3" t="n">
        <v>542.885222</v>
      </c>
      <c r="Z227" s="3" t="n">
        <v>536.7868109999999</v>
      </c>
      <c r="AA227" s="3" t="n">
        <v>529.269462</v>
      </c>
      <c r="AB227" s="3" t="n">
        <v>598.920083</v>
      </c>
      <c r="AC227" s="3" t="n">
        <v>591.550687</v>
      </c>
      <c r="AD227" s="3" t="n">
        <v>651.518132</v>
      </c>
      <c r="AE227" s="3" t="n">
        <v>671.168157</v>
      </c>
      <c r="AF227" s="3" t="n">
        <v>724.917042</v>
      </c>
      <c r="AG227" s="3" t="n">
        <v>776.730337</v>
      </c>
      <c r="AH227" s="3" t="n">
        <v>797.0190679999999</v>
      </c>
      <c r="AI227" s="3" t="n">
        <v>816.962358</v>
      </c>
      <c r="AJ227" s="3" t="n">
        <v>840.792114</v>
      </c>
      <c r="AK227" s="3" t="n">
        <v>863.758562</v>
      </c>
      <c r="AL227" s="3" t="n">
        <v>887.606574</v>
      </c>
      <c r="AM227" s="3" t="n"/>
      <c r="AN227" s="3" t="n"/>
      <c r="AO227" s="3" t="n"/>
      <c r="AP227" s="3" t="n"/>
      <c r="AQ227" s="3" t="n"/>
      <c r="AR227" s="3" t="n"/>
      <c r="AS227" s="3" t="n"/>
      <c r="AT227" s="3" t="n"/>
      <c r="AU227" s="3" t="n"/>
    </row>
    <row r="228">
      <c r="A228" s="3" t="n">
        <v>2031</v>
      </c>
      <c r="B228" s="3" t="inlineStr">
        <is>
          <t>BEL</t>
        </is>
      </c>
      <c r="C228" s="3" t="inlineStr">
        <is>
          <t>IMF.RES:WEO</t>
        </is>
      </c>
      <c r="D228" s="3" t="inlineStr">
        <is>
          <t>BEL.NGDPPC.A</t>
        </is>
      </c>
      <c r="E228" s="3" t="inlineStr">
        <is>
          <t>Belgium</t>
        </is>
      </c>
      <c r="F228" s="3" t="inlineStr">
        <is>
          <t>Gross domestic product (GDP), Current prices, Per capita, Domestic currency</t>
        </is>
      </c>
      <c r="G228" s="3" t="n">
        <v>25038.956118</v>
      </c>
      <c r="H228" s="3" t="n">
        <v>25755.075261</v>
      </c>
      <c r="I228" s="3" t="n">
        <v>26504.586689</v>
      </c>
      <c r="J228" s="3" t="n">
        <v>27153.846659</v>
      </c>
      <c r="K228" s="3" t="n">
        <v>28550.209731</v>
      </c>
      <c r="L228" s="3" t="n">
        <v>29680.39371</v>
      </c>
      <c r="M228" s="3" t="n">
        <v>30933.230283</v>
      </c>
      <c r="N228" s="3" t="n">
        <v>32464.253977</v>
      </c>
      <c r="O228" s="3" t="n">
        <v>32975.290024</v>
      </c>
      <c r="P228" s="3" t="n">
        <v>32338.176597</v>
      </c>
      <c r="Q228" s="3" t="n">
        <v>33509.703268</v>
      </c>
      <c r="R228" s="3" t="n">
        <v>34429.548541</v>
      </c>
      <c r="S228" s="3" t="n">
        <v>35025.269755</v>
      </c>
      <c r="T228" s="3" t="n">
        <v>35429.872614</v>
      </c>
      <c r="U228" s="3" t="n">
        <v>36219.013956</v>
      </c>
      <c r="V228" s="3" t="n">
        <v>36978.541237</v>
      </c>
      <c r="W228" s="3" t="n">
        <v>37880.166919</v>
      </c>
      <c r="X228" s="3" t="n">
        <v>39060.840699</v>
      </c>
      <c r="Y228" s="3" t="n">
        <v>40311.305198</v>
      </c>
      <c r="Z228" s="3" t="n">
        <v>41852.839666</v>
      </c>
      <c r="AA228" s="3" t="n">
        <v>40247.551734</v>
      </c>
      <c r="AB228" s="3" t="n">
        <v>43795.517469</v>
      </c>
      <c r="AC228" s="3" t="n">
        <v>48315.305119</v>
      </c>
      <c r="AD228" s="3" t="n">
        <v>51297.493374</v>
      </c>
      <c r="AE228" s="3" t="n">
        <v>52489.376409</v>
      </c>
      <c r="AF228" s="3" t="n">
        <v>54015.506381</v>
      </c>
      <c r="AG228" s="3" t="n">
        <v>55215.844717</v>
      </c>
      <c r="AH228" s="3" t="n">
        <v>56599.957537</v>
      </c>
      <c r="AI228" s="3" t="n">
        <v>57997.590064</v>
      </c>
      <c r="AJ228" s="3" t="n">
        <v>59554.811476</v>
      </c>
      <c r="AK228" s="3" t="n">
        <v>61032.525751</v>
      </c>
      <c r="AL228" s="3" t="n">
        <v>62573.540373</v>
      </c>
      <c r="AM228" s="3" t="n"/>
      <c r="AN228" s="3" t="n"/>
      <c r="AO228" s="3" t="n"/>
      <c r="AP228" s="3" t="n"/>
      <c r="AQ228" s="3" t="n"/>
      <c r="AR228" s="3" t="n"/>
      <c r="AS228" s="3" t="n"/>
      <c r="AT228" s="3" t="n"/>
      <c r="AU228" s="3" t="n"/>
    </row>
    <row r="229">
      <c r="A229" s="3" t="n">
        <v>2031</v>
      </c>
      <c r="B229" s="3" t="inlineStr">
        <is>
          <t>BEL</t>
        </is>
      </c>
      <c r="C229" s="3" t="inlineStr">
        <is>
          <t>IMF.RES:WEO</t>
        </is>
      </c>
      <c r="D229" s="3" t="inlineStr">
        <is>
          <t>BEL.NGDPRPC.A</t>
        </is>
      </c>
      <c r="E229" s="3" t="inlineStr">
        <is>
          <t>Belgium</t>
        </is>
      </c>
      <c r="F229" s="3" t="inlineStr">
        <is>
          <t>Gross domestic product (GDP), Constant prices, Per capita, Domestic currency</t>
        </is>
      </c>
      <c r="G229" s="3" t="n">
        <v>35411.855649</v>
      </c>
      <c r="H229" s="3" t="n">
        <v>35716.477967</v>
      </c>
      <c r="I229" s="3" t="n">
        <v>36162.846245</v>
      </c>
      <c r="J229" s="3" t="n">
        <v>36375.49967</v>
      </c>
      <c r="K229" s="3" t="n">
        <v>37527.529907</v>
      </c>
      <c r="L229" s="3" t="n">
        <v>38217.083681</v>
      </c>
      <c r="M229" s="3" t="n">
        <v>38948.256281</v>
      </c>
      <c r="N229" s="3" t="n">
        <v>40101.245837</v>
      </c>
      <c r="O229" s="3" t="n">
        <v>39969.565569</v>
      </c>
      <c r="P229" s="3" t="n">
        <v>38893.228731</v>
      </c>
      <c r="Q229" s="3" t="n">
        <v>39627.376808</v>
      </c>
      <c r="R229" s="3" t="n">
        <v>39802.327829</v>
      </c>
      <c r="S229" s="3" t="n">
        <v>39617.316497</v>
      </c>
      <c r="T229" s="3" t="n">
        <v>39516.881616</v>
      </c>
      <c r="U229" s="3" t="n">
        <v>40060.40691</v>
      </c>
      <c r="V229" s="3" t="n">
        <v>40446.73112</v>
      </c>
      <c r="W229" s="3" t="n">
        <v>40662.208693</v>
      </c>
      <c r="X229" s="3" t="n">
        <v>41114.272745</v>
      </c>
      <c r="Y229" s="3" t="n">
        <v>41714.198135</v>
      </c>
      <c r="Z229" s="3" t="n">
        <v>42520.81464</v>
      </c>
      <c r="AA229" s="3" t="n">
        <v>40247.638521</v>
      </c>
      <c r="AB229" s="3" t="n">
        <v>42645.256283</v>
      </c>
      <c r="AC229" s="3" t="n">
        <v>44092.58245</v>
      </c>
      <c r="AD229" s="3" t="n">
        <v>44370.352683</v>
      </c>
      <c r="AE229" s="3" t="n">
        <v>44563.402041</v>
      </c>
      <c r="AF229" s="3" t="n">
        <v>44745.085516</v>
      </c>
      <c r="AG229" s="3" t="n">
        <v>44868.231681</v>
      </c>
      <c r="AH229" s="3" t="n">
        <v>45192.579885</v>
      </c>
      <c r="AI229" s="3" t="n">
        <v>45571.144355</v>
      </c>
      <c r="AJ229" s="3" t="n">
        <v>46011.181867</v>
      </c>
      <c r="AK229" s="3" t="n">
        <v>46493.763841</v>
      </c>
      <c r="AL229" s="3" t="n">
        <v>46963.943676</v>
      </c>
      <c r="AM229" s="3" t="n"/>
      <c r="AN229" s="3" t="n"/>
      <c r="AO229" s="3" t="n"/>
      <c r="AP229" s="3" t="n"/>
      <c r="AQ229" s="3" t="n"/>
      <c r="AR229" s="3" t="n"/>
      <c r="AS229" s="3" t="n"/>
      <c r="AT229" s="3" t="n"/>
      <c r="AU229" s="3" t="n"/>
    </row>
    <row r="230">
      <c r="A230" s="3" t="n">
        <v>2031</v>
      </c>
      <c r="B230" s="3" t="inlineStr">
        <is>
          <t>BEL</t>
        </is>
      </c>
      <c r="C230" s="3" t="inlineStr">
        <is>
          <t>IMF.RES:WEO</t>
        </is>
      </c>
      <c r="D230" s="3" t="inlineStr">
        <is>
          <t>BEL.PCPI.A</t>
        </is>
      </c>
      <c r="E230" s="3" t="inlineStr">
        <is>
          <t>Belgium</t>
        </is>
      </c>
      <c r="F230" s="3" t="inlineStr">
        <is>
          <t>All Items, Consumer price index (CPI), Period average</t>
        </is>
      </c>
      <c r="G230" s="3" t="n">
        <v>55.316667</v>
      </c>
      <c r="H230" s="3" t="n">
        <v>56.666667</v>
      </c>
      <c r="I230" s="3" t="n">
        <v>57.544167</v>
      </c>
      <c r="J230" s="3" t="n">
        <v>58.419167</v>
      </c>
      <c r="K230" s="3" t="n">
        <v>59.500833</v>
      </c>
      <c r="L230" s="3" t="n">
        <v>61.0125</v>
      </c>
      <c r="M230" s="3" t="n">
        <v>62.435</v>
      </c>
      <c r="N230" s="3" t="n">
        <v>63.570833</v>
      </c>
      <c r="O230" s="3" t="n">
        <v>66.425833</v>
      </c>
      <c r="P230" s="3" t="n">
        <v>66.423333</v>
      </c>
      <c r="Q230" s="3" t="n">
        <v>67.9675</v>
      </c>
      <c r="R230" s="3" t="n">
        <v>70.245833</v>
      </c>
      <c r="S230" s="3" t="n">
        <v>72.08750000000001</v>
      </c>
      <c r="T230" s="3" t="n">
        <v>72.983333</v>
      </c>
      <c r="U230" s="3" t="n">
        <v>73.3475</v>
      </c>
      <c r="V230" s="3" t="n">
        <v>73.80416700000001</v>
      </c>
      <c r="W230" s="3" t="n">
        <v>75.11</v>
      </c>
      <c r="X230" s="3" t="n">
        <v>76.781667</v>
      </c>
      <c r="Y230" s="3" t="n">
        <v>78.55583300000001</v>
      </c>
      <c r="Z230" s="3" t="n">
        <v>79.53749999999999</v>
      </c>
      <c r="AA230" s="3" t="n">
        <v>79.874167</v>
      </c>
      <c r="AB230" s="3" t="n">
        <v>82.44499999999999</v>
      </c>
      <c r="AC230" s="3" t="n">
        <v>90.96250000000001</v>
      </c>
      <c r="AD230" s="3" t="n">
        <v>93.050833</v>
      </c>
      <c r="AE230" s="3" t="n">
        <v>97.06916699999999</v>
      </c>
      <c r="AF230" s="3" t="n">
        <v>100.005</v>
      </c>
      <c r="AG230" s="3" t="n">
        <v>102.849376</v>
      </c>
      <c r="AH230" s="3" t="n">
        <v>105.142786</v>
      </c>
      <c r="AI230" s="3" t="n">
        <v>107.332962</v>
      </c>
      <c r="AJ230" s="3" t="n">
        <v>109.439967</v>
      </c>
      <c r="AK230" s="3" t="n">
        <v>111.441343</v>
      </c>
      <c r="AL230" s="3" t="n">
        <v>113.46302</v>
      </c>
      <c r="AM230" s="3" t="n"/>
      <c r="AN230" s="3" t="n"/>
      <c r="AO230" s="3" t="n"/>
      <c r="AP230" s="3" t="n"/>
      <c r="AQ230" s="3" t="n"/>
      <c r="AR230" s="3" t="n"/>
      <c r="AS230" s="3" t="n"/>
      <c r="AT230" s="3" t="n"/>
      <c r="AU230" s="3" t="n"/>
    </row>
    <row r="231">
      <c r="A231" s="3" t="n">
        <v>2031</v>
      </c>
      <c r="B231" s="3" t="inlineStr">
        <is>
          <t>BEL</t>
        </is>
      </c>
      <c r="C231" s="3" t="inlineStr">
        <is>
          <t>IMF.RES:WEO</t>
        </is>
      </c>
      <c r="D231" s="3" t="inlineStr">
        <is>
          <t>BEL.PCPIPCH.A</t>
        </is>
      </c>
      <c r="E231" s="3" t="inlineStr">
        <is>
          <t>Belgium</t>
        </is>
      </c>
      <c r="F231" s="3" t="inlineStr">
        <is>
          <t>All Items, Consumer price index (CPI), Period average, percent change</t>
        </is>
      </c>
      <c r="G231" s="3" t="n">
        <v>2.679124</v>
      </c>
      <c r="H231" s="3" t="n">
        <v>2.440494</v>
      </c>
      <c r="I231" s="3" t="n">
        <v>1.548529</v>
      </c>
      <c r="J231" s="3" t="n">
        <v>1.520571</v>
      </c>
      <c r="K231" s="3" t="n">
        <v>1.851561</v>
      </c>
      <c r="L231" s="3" t="n">
        <v>2.540581</v>
      </c>
      <c r="M231" s="3" t="n">
        <v>2.331489</v>
      </c>
      <c r="N231" s="3" t="n">
        <v>1.819225</v>
      </c>
      <c r="O231" s="3" t="n">
        <v>4.491053</v>
      </c>
      <c r="P231" s="3" t="n">
        <v>-0.003764</v>
      </c>
      <c r="Q231" s="3" t="n">
        <v>2.324735</v>
      </c>
      <c r="R231" s="3" t="n">
        <v>3.352092</v>
      </c>
      <c r="S231" s="3" t="n">
        <v>2.621745</v>
      </c>
      <c r="T231" s="3" t="n">
        <v>1.242703</v>
      </c>
      <c r="U231" s="3" t="n">
        <v>0.498972</v>
      </c>
      <c r="V231" s="3" t="n">
        <v>0.622607</v>
      </c>
      <c r="W231" s="3" t="n">
        <v>1.769322</v>
      </c>
      <c r="X231" s="3" t="n">
        <v>2.225625</v>
      </c>
      <c r="Y231" s="3" t="n">
        <v>2.310664</v>
      </c>
      <c r="Z231" s="3" t="n">
        <v>1.249642</v>
      </c>
      <c r="AA231" s="3" t="n">
        <v>0.42328</v>
      </c>
      <c r="AB231" s="3" t="n">
        <v>3.218604</v>
      </c>
      <c r="AC231" s="3" t="n">
        <v>10.33113</v>
      </c>
      <c r="AD231" s="3" t="n">
        <v>2.295818</v>
      </c>
      <c r="AE231" s="3" t="n">
        <v>4.318428</v>
      </c>
      <c r="AF231" s="3" t="n">
        <v>3.024476</v>
      </c>
      <c r="AG231" s="3" t="n">
        <v>2.844234</v>
      </c>
      <c r="AH231" s="3" t="n">
        <v>2.229872</v>
      </c>
      <c r="AI231" s="3" t="n">
        <v>2.08305</v>
      </c>
      <c r="AJ231" s="3" t="n">
        <v>1.963055</v>
      </c>
      <c r="AK231" s="3" t="n">
        <v>1.828743</v>
      </c>
      <c r="AL231" s="3" t="n">
        <v>1.814118</v>
      </c>
      <c r="AM231" s="3" t="n"/>
      <c r="AN231" s="3" t="n"/>
      <c r="AO231" s="3" t="n"/>
      <c r="AP231" s="3" t="n"/>
      <c r="AQ231" s="3" t="n"/>
      <c r="AR231" s="3" t="n"/>
      <c r="AS231" s="3" t="n"/>
      <c r="AT231" s="3" t="n"/>
      <c r="AU231" s="3" t="n"/>
    </row>
    <row r="232">
      <c r="A232" s="3" t="n">
        <v>2031</v>
      </c>
      <c r="B232" s="3" t="inlineStr">
        <is>
          <t>BEL</t>
        </is>
      </c>
      <c r="C232" s="3" t="inlineStr">
        <is>
          <t>IMF.RES:WEO</t>
        </is>
      </c>
      <c r="D232" s="3" t="inlineStr">
        <is>
          <t>BEL.PPPPC.A</t>
        </is>
      </c>
      <c r="E232" s="3" t="inlineStr">
        <is>
          <t>Belgium</t>
        </is>
      </c>
      <c r="F232" s="3" t="inlineStr">
        <is>
          <t>Gross domestic product (GDP), Per capita, purchasing power parity (PPP) international dollar, ICP benchmarks 2017-2021</t>
        </is>
      </c>
      <c r="G232" s="3" t="n">
        <v>31543.369228</v>
      </c>
      <c r="H232" s="3" t="n">
        <v>32531.060361</v>
      </c>
      <c r="I232" s="3" t="n">
        <v>33449.481118</v>
      </c>
      <c r="J232" s="3" t="n">
        <v>34310.426904</v>
      </c>
      <c r="K232" s="3" t="n">
        <v>36348.840014</v>
      </c>
      <c r="L232" s="3" t="n">
        <v>38177.514351</v>
      </c>
      <c r="M232" s="3" t="n">
        <v>40107.804625</v>
      </c>
      <c r="N232" s="3" t="n">
        <v>42413.916761</v>
      </c>
      <c r="O232" s="3" t="n">
        <v>43089.025858</v>
      </c>
      <c r="P232" s="3" t="n">
        <v>42187.277142</v>
      </c>
      <c r="Q232" s="3" t="n">
        <v>43506.015428</v>
      </c>
      <c r="R232" s="3" t="n">
        <v>44599.690398</v>
      </c>
      <c r="S232" s="3" t="n">
        <v>45218.935687</v>
      </c>
      <c r="T232" s="3" t="n">
        <v>45871.9774</v>
      </c>
      <c r="U232" s="3" t="n">
        <v>47312.860436</v>
      </c>
      <c r="V232" s="3" t="n">
        <v>48212.44688</v>
      </c>
      <c r="W232" s="3" t="n">
        <v>48929.86252</v>
      </c>
      <c r="X232" s="3" t="n">
        <v>50359.864515</v>
      </c>
      <c r="Y232" s="3" t="n">
        <v>52597.805686</v>
      </c>
      <c r="Z232" s="3" t="n">
        <v>56878.237796</v>
      </c>
      <c r="AA232" s="3" t="n">
        <v>56198.703774</v>
      </c>
      <c r="AB232" s="3" t="n">
        <v>62045.209456</v>
      </c>
      <c r="AC232" s="3" t="n">
        <v>68713.626401</v>
      </c>
      <c r="AD232" s="3" t="n">
        <v>71704.945574</v>
      </c>
      <c r="AE232" s="3" t="n">
        <v>73804.776428</v>
      </c>
      <c r="AF232" s="3" t="n">
        <v>76207.881012</v>
      </c>
      <c r="AG232" s="3" t="n">
        <v>78606.868961</v>
      </c>
      <c r="AH232" s="3" t="n">
        <v>80913.718446</v>
      </c>
      <c r="AI232" s="3" t="n">
        <v>82930.743285</v>
      </c>
      <c r="AJ232" s="3" t="n">
        <v>85220.364611</v>
      </c>
      <c r="AK232" s="3" t="n">
        <v>87696.558017</v>
      </c>
      <c r="AL232" s="3" t="n">
        <v>90182.609345</v>
      </c>
      <c r="AM232" s="3" t="n"/>
      <c r="AN232" s="3" t="n"/>
      <c r="AO232" s="3" t="n"/>
      <c r="AP232" s="3" t="n"/>
      <c r="AQ232" s="3" t="n"/>
      <c r="AR232" s="3" t="n"/>
      <c r="AS232" s="3" t="n"/>
      <c r="AT232" s="3" t="n"/>
      <c r="AU232" s="3" t="n"/>
    </row>
    <row r="233">
      <c r="A233" s="3" t="inlineStr">
        <is>
          <t>INDICATOR</t>
        </is>
      </c>
      <c r="B233" s="3" t="inlineStr">
        <is>
          <t>BEL</t>
        </is>
      </c>
      <c r="C233" s="3" t="inlineStr">
        <is>
          <t>IMF.STA:ER</t>
        </is>
      </c>
      <c r="D233" s="3" t="inlineStr">
        <is>
          <t>BEL.XDC_USD.PA_RT.A</t>
        </is>
      </c>
      <c r="E233" s="3" t="inlineStr">
        <is>
          <t>Belgium</t>
        </is>
      </c>
      <c r="F233" s="3" t="inlineStr">
        <is>
          <t>Domestic currency per US Dollar</t>
        </is>
      </c>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3" t="n"/>
      <c r="AL233" s="3" t="n"/>
      <c r="AM233" s="3" t="n"/>
      <c r="AN233" s="3" t="n"/>
      <c r="AO233" s="3" t="n"/>
      <c r="AP233" s="3" t="n"/>
      <c r="AQ233" s="3" t="n"/>
      <c r="AR233" s="3" t="n"/>
      <c r="AS233" s="3" t="n"/>
      <c r="AT233" s="3" t="n"/>
      <c r="AU233" s="3" t="n"/>
    </row>
    <row r="234">
      <c r="A234" s="3" t="n">
        <v>2031</v>
      </c>
      <c r="B234" s="3" t="inlineStr">
        <is>
          <t>BEN</t>
        </is>
      </c>
      <c r="C234" s="3" t="inlineStr">
        <is>
          <t>IMF.RES:WEO</t>
        </is>
      </c>
      <c r="D234" s="3" t="inlineStr">
        <is>
          <t>BEN.BCA.A</t>
        </is>
      </c>
      <c r="E234" s="3" t="inlineStr">
        <is>
          <t>Benin</t>
        </is>
      </c>
      <c r="F234" s="3" t="inlineStr">
        <is>
          <t>Current account balance (credit less debit), US dollar</t>
        </is>
      </c>
      <c r="G234" s="3" t="n">
        <v>-0.080819</v>
      </c>
      <c r="H234" s="3" t="n">
        <v>-0.074993</v>
      </c>
      <c r="I234" s="3" t="n">
        <v>-0.156822</v>
      </c>
      <c r="J234" s="3" t="n">
        <v>-0.331868</v>
      </c>
      <c r="K234" s="3" t="n">
        <v>-0.288879</v>
      </c>
      <c r="L234" s="3" t="n">
        <v>-0.2263</v>
      </c>
      <c r="M234" s="3" t="n">
        <v>-0.21721</v>
      </c>
      <c r="N234" s="3" t="n">
        <v>-0.5348270000000001</v>
      </c>
      <c r="O234" s="3" t="n">
        <v>-0.5381320000000001</v>
      </c>
      <c r="P234" s="3" t="n">
        <v>-0.6508389999999999</v>
      </c>
      <c r="Q234" s="3" t="n">
        <v>-0.531289</v>
      </c>
      <c r="R234" s="3" t="n">
        <v>-0.516748</v>
      </c>
      <c r="S234" s="3" t="n">
        <v>-0.577301</v>
      </c>
      <c r="T234" s="3" t="n">
        <v>-0.673377</v>
      </c>
      <c r="U234" s="3" t="n">
        <v>-0.886028</v>
      </c>
      <c r="V234" s="3" t="n">
        <v>-0.679269</v>
      </c>
      <c r="W234" s="3" t="n">
        <v>-0.354143</v>
      </c>
      <c r="X234" s="3" t="n">
        <v>-0.530842</v>
      </c>
      <c r="Y234" s="3" t="n">
        <v>-0.649119</v>
      </c>
      <c r="Z234" s="3" t="n">
        <v>-0.5756559999999999</v>
      </c>
      <c r="AA234" s="3" t="n">
        <v>-0.273747</v>
      </c>
      <c r="AB234" s="3" t="n">
        <v>-0.735148</v>
      </c>
      <c r="AC234" s="3" t="n">
        <v>-0.991784</v>
      </c>
      <c r="AD234" s="3" t="n">
        <v>-1.609007</v>
      </c>
      <c r="AE234" s="3" t="n">
        <v>-1.298365</v>
      </c>
      <c r="AF234" s="3" t="n">
        <v>-1.38132</v>
      </c>
      <c r="AG234" s="3" t="n">
        <v>-1.377783</v>
      </c>
      <c r="AH234" s="3" t="n">
        <v>-1.467657</v>
      </c>
      <c r="AI234" s="3" t="n">
        <v>-1.502585</v>
      </c>
      <c r="AJ234" s="3" t="n">
        <v>-1.55477</v>
      </c>
      <c r="AK234" s="3" t="n">
        <v>-1.590681</v>
      </c>
      <c r="AL234" s="3" t="n">
        <v>-1.661679</v>
      </c>
      <c r="AM234" s="3" t="n"/>
      <c r="AN234" s="3" t="n"/>
      <c r="AO234" s="3" t="n"/>
      <c r="AP234" s="3" t="n"/>
      <c r="AQ234" s="3" t="n"/>
      <c r="AR234" s="3" t="n"/>
      <c r="AS234" s="3" t="n"/>
      <c r="AT234" s="3" t="n"/>
      <c r="AU234" s="3" t="n"/>
    </row>
    <row r="235">
      <c r="A235" s="3" t="n">
        <v>2031</v>
      </c>
      <c r="B235" s="3" t="inlineStr">
        <is>
          <t>BEN</t>
        </is>
      </c>
      <c r="C235" s="3" t="inlineStr">
        <is>
          <t>IMF.RES:WEO</t>
        </is>
      </c>
      <c r="D235" s="3" t="inlineStr">
        <is>
          <t>BEN.BCA_NGDPD.A</t>
        </is>
      </c>
      <c r="E235" s="3" t="inlineStr">
        <is>
          <t>Benin</t>
        </is>
      </c>
      <c r="F235" s="3" t="inlineStr">
        <is>
          <t>Current account balance (credit less debit), Percent of GDP</t>
        </is>
      </c>
      <c r="G235" s="3" t="n">
        <v>-2.294988</v>
      </c>
      <c r="H235" s="3" t="n">
        <v>-2.045496</v>
      </c>
      <c r="I235" s="3" t="n">
        <v>-3.741529</v>
      </c>
      <c r="J235" s="3" t="n">
        <v>-6.205551</v>
      </c>
      <c r="K235" s="3" t="n">
        <v>-4.668788</v>
      </c>
      <c r="L235" s="3" t="n">
        <v>-3.443766</v>
      </c>
      <c r="M235" s="3" t="n">
        <v>-3.087787</v>
      </c>
      <c r="N235" s="3" t="n">
        <v>-6.546219</v>
      </c>
      <c r="O235" s="3" t="n">
        <v>-5.498622</v>
      </c>
      <c r="P235" s="3" t="n">
        <v>-6.690332</v>
      </c>
      <c r="Q235" s="3" t="n">
        <v>-5.567234</v>
      </c>
      <c r="R235" s="3" t="n">
        <v>-4.833287</v>
      </c>
      <c r="S235" s="3" t="n">
        <v>-5.178326</v>
      </c>
      <c r="T235" s="3" t="n">
        <v>-5.379255</v>
      </c>
      <c r="U235" s="3" t="n">
        <v>-6.667907</v>
      </c>
      <c r="V235" s="3" t="n">
        <v>-5.964093</v>
      </c>
      <c r="W235" s="3" t="n">
        <v>-2.996695</v>
      </c>
      <c r="X235" s="3" t="n">
        <v>-4.158169</v>
      </c>
      <c r="Y235" s="3" t="n">
        <v>-4.524892</v>
      </c>
      <c r="Z235" s="3" t="n">
        <v>-3.916808</v>
      </c>
      <c r="AA235" s="3" t="n">
        <v>-1.746486</v>
      </c>
      <c r="AB235" s="3" t="n">
        <v>-4.153521</v>
      </c>
      <c r="AC235" s="3" t="n">
        <v>-5.687121</v>
      </c>
      <c r="AD235" s="3" t="n">
        <v>-8.176283</v>
      </c>
      <c r="AE235" s="3" t="n">
        <v>-6.04248</v>
      </c>
      <c r="AF235" s="3" t="n">
        <v>-5.665273</v>
      </c>
      <c r="AG235" s="3" t="n">
        <v>-4.958589</v>
      </c>
      <c r="AH235" s="3" t="n">
        <v>-4.863153</v>
      </c>
      <c r="AI235" s="3" t="n">
        <v>-4.59072</v>
      </c>
      <c r="AJ235" s="3" t="n">
        <v>-4.374375</v>
      </c>
      <c r="AK235" s="3" t="n">
        <v>-4.136352</v>
      </c>
      <c r="AL235" s="3" t="n">
        <v>-3.994286</v>
      </c>
      <c r="AM235" s="3" t="n"/>
      <c r="AN235" s="3" t="n"/>
      <c r="AO235" s="3" t="n"/>
      <c r="AP235" s="3" t="n"/>
      <c r="AQ235" s="3" t="n"/>
      <c r="AR235" s="3" t="n"/>
      <c r="AS235" s="3" t="n"/>
      <c r="AT235" s="3" t="n"/>
      <c r="AU235" s="3" t="n"/>
    </row>
    <row r="236">
      <c r="A236" s="3" t="n">
        <v>2031</v>
      </c>
      <c r="B236" s="3" t="inlineStr">
        <is>
          <t>BEN</t>
        </is>
      </c>
      <c r="C236" s="3" t="inlineStr">
        <is>
          <t>IMF.RES:WEO</t>
        </is>
      </c>
      <c r="D236" s="3" t="inlineStr">
        <is>
          <t>BEN.GGR_NGDP.A</t>
        </is>
      </c>
      <c r="E236" s="3" t="inlineStr">
        <is>
          <t>Benin</t>
        </is>
      </c>
      <c r="F236" s="3" t="inlineStr">
        <is>
          <t>Revenue, General government, Percent of GDP</t>
        </is>
      </c>
      <c r="G236" s="3" t="n">
        <v>11.949255</v>
      </c>
      <c r="H236" s="3" t="n">
        <v>12.178031</v>
      </c>
      <c r="I236" s="3" t="n">
        <v>11.954103</v>
      </c>
      <c r="J236" s="3" t="n">
        <v>12.61387</v>
      </c>
      <c r="K236" s="3" t="n">
        <v>12.654779</v>
      </c>
      <c r="L236" s="3" t="n">
        <v>12.615241</v>
      </c>
      <c r="M236" s="3" t="n">
        <v>12.85928</v>
      </c>
      <c r="N236" s="3" t="n">
        <v>16.03147</v>
      </c>
      <c r="O236" s="3" t="n">
        <v>14.508512</v>
      </c>
      <c r="P236" s="3" t="n">
        <v>14.755794</v>
      </c>
      <c r="Q236" s="3" t="n">
        <v>13.80024</v>
      </c>
      <c r="R236" s="3" t="n">
        <v>13.746474</v>
      </c>
      <c r="S236" s="3" t="n">
        <v>14.020367</v>
      </c>
      <c r="T236" s="3" t="n">
        <v>13.528994</v>
      </c>
      <c r="U236" s="3" t="n">
        <v>12.574012</v>
      </c>
      <c r="V236" s="3" t="n">
        <v>12.599727</v>
      </c>
      <c r="W236" s="3" t="n">
        <v>11.139156</v>
      </c>
      <c r="X236" s="3" t="n">
        <v>13.507743</v>
      </c>
      <c r="Y236" s="3" t="n">
        <v>13.507639</v>
      </c>
      <c r="Z236" s="3" t="n">
        <v>13.769933</v>
      </c>
      <c r="AA236" s="3" t="n">
        <v>14.389202</v>
      </c>
      <c r="AB236" s="3" t="n">
        <v>17.49099</v>
      </c>
      <c r="AC236" s="3" t="n">
        <v>14.470131</v>
      </c>
      <c r="AD236" s="3" t="n">
        <v>15.214327</v>
      </c>
      <c r="AE236" s="3" t="n">
        <v>15.150385</v>
      </c>
      <c r="AF236" s="3" t="n">
        <v>15.569354</v>
      </c>
      <c r="AG236" s="3" t="n">
        <v>15.902851</v>
      </c>
      <c r="AH236" s="3" t="n">
        <v>16.354151</v>
      </c>
      <c r="AI236" s="3" t="n">
        <v>16.735693</v>
      </c>
      <c r="AJ236" s="3" t="n">
        <v>17.128283</v>
      </c>
      <c r="AK236" s="3" t="n">
        <v>17.515359</v>
      </c>
      <c r="AL236" s="3" t="n">
        <v>17.83344</v>
      </c>
      <c r="AM236" s="3" t="n"/>
      <c r="AN236" s="3" t="n"/>
      <c r="AO236" s="3" t="n"/>
      <c r="AP236" s="3" t="n"/>
      <c r="AQ236" s="3" t="n"/>
      <c r="AR236" s="3" t="n"/>
      <c r="AS236" s="3" t="n"/>
      <c r="AT236" s="3" t="n"/>
      <c r="AU236" s="3" t="n"/>
    </row>
    <row r="237">
      <c r="A237" s="3" t="n">
        <v>2031</v>
      </c>
      <c r="B237" s="3" t="inlineStr">
        <is>
          <t>BEN</t>
        </is>
      </c>
      <c r="C237" s="3" t="inlineStr">
        <is>
          <t>IMF.RES:WEO</t>
        </is>
      </c>
      <c r="D237" s="3" t="inlineStr">
        <is>
          <t>BEN.GGX_NGDP.A</t>
        </is>
      </c>
      <c r="E237" s="3" t="inlineStr">
        <is>
          <t>Benin</t>
        </is>
      </c>
      <c r="F237" s="3" t="inlineStr">
        <is>
          <t>Expenditure, General government, Percent of GDP</t>
        </is>
      </c>
      <c r="G237" s="3" t="n">
        <v>15.641454</v>
      </c>
      <c r="H237" s="3" t="n">
        <v>15.447458</v>
      </c>
      <c r="I237" s="3" t="n">
        <v>15.283995</v>
      </c>
      <c r="J237" s="3" t="n">
        <v>13.68591</v>
      </c>
      <c r="K237" s="3" t="n">
        <v>13.359552</v>
      </c>
      <c r="L237" s="3" t="n">
        <v>14.138525</v>
      </c>
      <c r="M237" s="3" t="n">
        <v>13.005823</v>
      </c>
      <c r="N237" s="3" t="n">
        <v>15.809466</v>
      </c>
      <c r="O237" s="3" t="n">
        <v>14.549417</v>
      </c>
      <c r="P237" s="3" t="n">
        <v>16.996796</v>
      </c>
      <c r="Q237" s="3" t="n">
        <v>14.075779</v>
      </c>
      <c r="R237" s="3" t="n">
        <v>14.727783</v>
      </c>
      <c r="S237" s="3" t="n">
        <v>14.235933</v>
      </c>
      <c r="T237" s="3" t="n">
        <v>14.894028</v>
      </c>
      <c r="U237" s="3" t="n">
        <v>14.224557</v>
      </c>
      <c r="V237" s="3" t="n">
        <v>18.152563</v>
      </c>
      <c r="W237" s="3" t="n">
        <v>15.427786</v>
      </c>
      <c r="X237" s="3" t="n">
        <v>17.688742</v>
      </c>
      <c r="Y237" s="3" t="n">
        <v>16.465804</v>
      </c>
      <c r="Z237" s="3" t="n">
        <v>14.298322</v>
      </c>
      <c r="AA237" s="3" t="n">
        <v>19.070972</v>
      </c>
      <c r="AB237" s="3" t="n">
        <v>20.020483</v>
      </c>
      <c r="AC237" s="3" t="n">
        <v>20.024793</v>
      </c>
      <c r="AD237" s="3" t="n">
        <v>19.343826</v>
      </c>
      <c r="AE237" s="3" t="n">
        <v>18.214433</v>
      </c>
      <c r="AF237" s="3" t="n">
        <v>18.469354</v>
      </c>
      <c r="AG237" s="3" t="n">
        <v>18.802851</v>
      </c>
      <c r="AH237" s="3" t="n">
        <v>19.254151</v>
      </c>
      <c r="AI237" s="3" t="n">
        <v>19.635693</v>
      </c>
      <c r="AJ237" s="3" t="n">
        <v>20.028283</v>
      </c>
      <c r="AK237" s="3" t="n">
        <v>20.415359</v>
      </c>
      <c r="AL237" s="3" t="n">
        <v>20.73344</v>
      </c>
      <c r="AM237" s="3" t="n"/>
      <c r="AN237" s="3" t="n"/>
      <c r="AO237" s="3" t="n"/>
      <c r="AP237" s="3" t="n"/>
      <c r="AQ237" s="3" t="n"/>
      <c r="AR237" s="3" t="n"/>
      <c r="AS237" s="3" t="n"/>
      <c r="AT237" s="3" t="n"/>
      <c r="AU237" s="3" t="n"/>
    </row>
    <row r="238">
      <c r="A238" s="3" t="n">
        <v>2031</v>
      </c>
      <c r="B238" s="3" t="inlineStr">
        <is>
          <t>BEN</t>
        </is>
      </c>
      <c r="C238" s="3" t="inlineStr">
        <is>
          <t>IMF.RES:WEO</t>
        </is>
      </c>
      <c r="D238" s="3" t="inlineStr">
        <is>
          <t>BEN.LP.A</t>
        </is>
      </c>
      <c r="E238" s="3" t="inlineStr">
        <is>
          <t>Benin</t>
        </is>
      </c>
      <c r="F238" s="3" t="inlineStr">
        <is>
          <t>Population, Persons for countries / Index for country groups</t>
        </is>
      </c>
      <c r="G238" s="3" t="n">
        <v>7.221619</v>
      </c>
      <c r="H238" s="3" t="n">
        <v>7.445596</v>
      </c>
      <c r="I238" s="3" t="n">
        <v>7.675426</v>
      </c>
      <c r="J238" s="3" t="n">
        <v>7.91307</v>
      </c>
      <c r="K238" s="3" t="n">
        <v>8.159094</v>
      </c>
      <c r="L238" s="3" t="n">
        <v>8.426144000000001</v>
      </c>
      <c r="M238" s="3" t="n">
        <v>8.693242</v>
      </c>
      <c r="N238" s="3" t="n">
        <v>8.953969000000001</v>
      </c>
      <c r="O238" s="3" t="n">
        <v>9.228465999999999</v>
      </c>
      <c r="P238" s="3" t="n">
        <v>9.509423</v>
      </c>
      <c r="Q238" s="3" t="n">
        <v>9.797484000000001</v>
      </c>
      <c r="R238" s="3" t="n">
        <v>10.093623</v>
      </c>
      <c r="S238" s="3" t="n">
        <v>10.397657</v>
      </c>
      <c r="T238" s="3" t="n">
        <v>10.708834</v>
      </c>
      <c r="U238" s="3" t="n">
        <v>11.030004</v>
      </c>
      <c r="V238" s="3" t="n">
        <v>11.360681</v>
      </c>
      <c r="W238" s="3" t="n">
        <v>11.697842</v>
      </c>
      <c r="X238" s="3" t="n">
        <v>12.03978</v>
      </c>
      <c r="Y238" s="3" t="n">
        <v>12.383347</v>
      </c>
      <c r="Z238" s="3" t="n">
        <v>12.726755</v>
      </c>
      <c r="AA238" s="3" t="n">
        <v>13.070169</v>
      </c>
      <c r="AB238" s="3" t="n">
        <v>13.413417</v>
      </c>
      <c r="AC238" s="3" t="n">
        <v>13.759501</v>
      </c>
      <c r="AD238" s="3" t="n">
        <v>14.111034</v>
      </c>
      <c r="AE238" s="3" t="n">
        <v>14.500259</v>
      </c>
      <c r="AF238" s="3" t="n">
        <v>14.922529</v>
      </c>
      <c r="AG238" s="3" t="n">
        <v>15.357095</v>
      </c>
      <c r="AH238" s="3" t="n">
        <v>15.808651</v>
      </c>
      <c r="AI238" s="3" t="n">
        <v>16.283429</v>
      </c>
      <c r="AJ238" s="3" t="n">
        <v>16.784174</v>
      </c>
      <c r="AK238" s="3" t="n">
        <v>17.30212</v>
      </c>
      <c r="AL238" s="3" t="n">
        <v>17.813456</v>
      </c>
      <c r="AM238" s="3" t="n"/>
      <c r="AN238" s="3" t="n"/>
      <c r="AO238" s="3" t="n"/>
      <c r="AP238" s="3" t="n"/>
      <c r="AQ238" s="3" t="n"/>
      <c r="AR238" s="3" t="n"/>
      <c r="AS238" s="3" t="n"/>
      <c r="AT238" s="3" t="n"/>
      <c r="AU238" s="3" t="n"/>
    </row>
    <row r="239">
      <c r="A239" s="3" t="n">
        <v>2031</v>
      </c>
      <c r="B239" s="3" t="inlineStr">
        <is>
          <t>BEN</t>
        </is>
      </c>
      <c r="C239" s="3" t="inlineStr">
        <is>
          <t>IMF.RES:WEO</t>
        </is>
      </c>
      <c r="D239" s="3" t="inlineStr">
        <is>
          <t>BEN.NGDP.A</t>
        </is>
      </c>
      <c r="E239" s="3" t="inlineStr">
        <is>
          <t>Benin</t>
        </is>
      </c>
      <c r="F239" s="3" t="inlineStr">
        <is>
          <t>Gross domestic product (GDP), Current prices, Domestic currency</t>
        </is>
      </c>
      <c r="G239" s="3" t="n">
        <v>2499.925504</v>
      </c>
      <c r="H239" s="3" t="n">
        <v>2685.132757</v>
      </c>
      <c r="I239" s="3" t="n">
        <v>2909.671456</v>
      </c>
      <c r="J239" s="3" t="n">
        <v>3102.020936</v>
      </c>
      <c r="K239" s="3" t="n">
        <v>3264.365138</v>
      </c>
      <c r="L239" s="3" t="n">
        <v>3462.850974</v>
      </c>
      <c r="M239" s="3" t="n">
        <v>3674.799894</v>
      </c>
      <c r="N239" s="3" t="n">
        <v>3909.982232</v>
      </c>
      <c r="O239" s="3" t="n">
        <v>4365.329921</v>
      </c>
      <c r="P239" s="3" t="n">
        <v>4580.012184</v>
      </c>
      <c r="Q239" s="3" t="n">
        <v>4718.033729</v>
      </c>
      <c r="R239" s="3" t="n">
        <v>5039.21252</v>
      </c>
      <c r="S239" s="3" t="n">
        <v>5688.291393</v>
      </c>
      <c r="T239" s="3" t="n">
        <v>6182.55916</v>
      </c>
      <c r="U239" s="3" t="n">
        <v>6559.33279</v>
      </c>
      <c r="V239" s="3" t="n">
        <v>6732.814</v>
      </c>
      <c r="W239" s="3" t="n">
        <v>7005.23</v>
      </c>
      <c r="X239" s="3" t="n">
        <v>7415.425</v>
      </c>
      <c r="Y239" s="3" t="n">
        <v>7964.553</v>
      </c>
      <c r="Z239" s="3" t="n">
        <v>8610.814</v>
      </c>
      <c r="AA239" s="3" t="n">
        <v>9008.810371</v>
      </c>
      <c r="AB239" s="3" t="n">
        <v>9809.693955999999</v>
      </c>
      <c r="AC239" s="3" t="n">
        <v>10854.508073</v>
      </c>
      <c r="AD239" s="3" t="n">
        <v>11934.896172</v>
      </c>
      <c r="AE239" s="3" t="n">
        <v>13025.901762</v>
      </c>
      <c r="AF239" s="3" t="n">
        <v>14161.950489</v>
      </c>
      <c r="AG239" s="3" t="n">
        <v>15456.232135</v>
      </c>
      <c r="AH239" s="3" t="n">
        <v>16826.290935</v>
      </c>
      <c r="AI239" s="3" t="n">
        <v>18298.5167</v>
      </c>
      <c r="AJ239" s="3" t="n">
        <v>19880.980339</v>
      </c>
      <c r="AK239" s="3" t="n">
        <v>21510.637342</v>
      </c>
      <c r="AL239" s="3" t="n">
        <v>23269.966536</v>
      </c>
      <c r="AM239" s="3" t="n"/>
      <c r="AN239" s="3" t="n"/>
      <c r="AO239" s="3" t="n"/>
      <c r="AP239" s="3" t="n"/>
      <c r="AQ239" s="3" t="n"/>
      <c r="AR239" s="3" t="n"/>
      <c r="AS239" s="3" t="n"/>
      <c r="AT239" s="3" t="n"/>
      <c r="AU239" s="3" t="n"/>
    </row>
    <row r="240">
      <c r="A240" s="3" t="n">
        <v>2031</v>
      </c>
      <c r="B240" s="3" t="inlineStr">
        <is>
          <t>BEN</t>
        </is>
      </c>
      <c r="C240" s="3" t="inlineStr">
        <is>
          <t>IMF.RES:WEO</t>
        </is>
      </c>
      <c r="D240" s="3" t="inlineStr">
        <is>
          <t>BEN.NGDP_D.A</t>
        </is>
      </c>
      <c r="E240" s="3" t="inlineStr">
        <is>
          <t>Benin</t>
        </is>
      </c>
      <c r="F240" s="3" t="inlineStr">
        <is>
          <t>Gross domestic product (GDP), Price deflator, Index</t>
        </is>
      </c>
      <c r="G240" s="3" t="n">
        <v>67.989018</v>
      </c>
      <c r="H240" s="3" t="n">
        <v>69.32860100000001</v>
      </c>
      <c r="I240" s="3" t="n">
        <v>71.792698</v>
      </c>
      <c r="J240" s="3" t="n">
        <v>73.99076599999999</v>
      </c>
      <c r="K240" s="3" t="n">
        <v>74.56028999999999</v>
      </c>
      <c r="L240" s="3" t="n">
        <v>77.761663</v>
      </c>
      <c r="M240" s="3" t="n">
        <v>79.390224</v>
      </c>
      <c r="N240" s="3" t="n">
        <v>79.699989</v>
      </c>
      <c r="O240" s="3" t="n">
        <v>84.82799300000001</v>
      </c>
      <c r="P240" s="3" t="n">
        <v>86.98236199999999</v>
      </c>
      <c r="Q240" s="3" t="n">
        <v>87.748581</v>
      </c>
      <c r="R240" s="3" t="n">
        <v>91.0243</v>
      </c>
      <c r="S240" s="3" t="n">
        <v>98.032194</v>
      </c>
      <c r="T240" s="3" t="n">
        <v>99.401995</v>
      </c>
      <c r="U240" s="3" t="n">
        <v>99.155689</v>
      </c>
      <c r="V240" s="3" t="n">
        <v>100</v>
      </c>
      <c r="W240" s="3" t="n">
        <v>100.683591</v>
      </c>
      <c r="X240" s="3" t="n">
        <v>100.902875</v>
      </c>
      <c r="Y240" s="3" t="n">
        <v>101.685062</v>
      </c>
      <c r="Z240" s="3" t="n">
        <v>102.657295</v>
      </c>
      <c r="AA240" s="3" t="n">
        <v>103.4791</v>
      </c>
      <c r="AB240" s="3" t="n">
        <v>105.154143</v>
      </c>
      <c r="AC240" s="3" t="n">
        <v>109.506241</v>
      </c>
      <c r="AD240" s="3" t="n">
        <v>113.213536</v>
      </c>
      <c r="AE240" s="3" t="n">
        <v>114.992756</v>
      </c>
      <c r="AF240" s="3" t="n">
        <v>116.299344</v>
      </c>
      <c r="AG240" s="3" t="n">
        <v>118.655153</v>
      </c>
      <c r="AH240" s="3" t="n">
        <v>121.064486</v>
      </c>
      <c r="AI240" s="3" t="n">
        <v>123.520626</v>
      </c>
      <c r="AJ240" s="3" t="n">
        <v>126.032942</v>
      </c>
      <c r="AK240" s="3" t="n">
        <v>128.593721</v>
      </c>
      <c r="AL240" s="3" t="n">
        <v>131.205022</v>
      </c>
      <c r="AM240" s="3" t="n"/>
      <c r="AN240" s="3" t="n"/>
      <c r="AO240" s="3" t="n"/>
      <c r="AP240" s="3" t="n"/>
      <c r="AQ240" s="3" t="n"/>
      <c r="AR240" s="3" t="n"/>
      <c r="AS240" s="3" t="n"/>
      <c r="AT240" s="3" t="n"/>
      <c r="AU240" s="3" t="n"/>
    </row>
    <row r="241">
      <c r="A241" s="3" t="n">
        <v>2031</v>
      </c>
      <c r="B241" s="3" t="inlineStr">
        <is>
          <t>BEN</t>
        </is>
      </c>
      <c r="C241" s="3" t="inlineStr">
        <is>
          <t>IMF.RES:WEO</t>
        </is>
      </c>
      <c r="D241" s="3" t="inlineStr">
        <is>
          <t>BEN.NGDP_R.A</t>
        </is>
      </c>
      <c r="E241" s="3" t="inlineStr">
        <is>
          <t>Benin</t>
        </is>
      </c>
      <c r="F241" s="3" t="inlineStr">
        <is>
          <t>Gross domestic product (GDP), Constant prices, Domestic currency</t>
        </is>
      </c>
      <c r="G241" s="3" t="n">
        <v>3676.954864</v>
      </c>
      <c r="H241" s="3" t="n">
        <v>3873.051963</v>
      </c>
      <c r="I241" s="3" t="n">
        <v>4052.879387</v>
      </c>
      <c r="J241" s="3" t="n">
        <v>4192.443357</v>
      </c>
      <c r="K241" s="3" t="n">
        <v>4378.155078</v>
      </c>
      <c r="L241" s="3" t="n">
        <v>4453.159616</v>
      </c>
      <c r="M241" s="3" t="n">
        <v>4628.781371</v>
      </c>
      <c r="N241" s="3" t="n">
        <v>4905.875512</v>
      </c>
      <c r="O241" s="3" t="n">
        <v>5146.095968</v>
      </c>
      <c r="P241" s="3" t="n">
        <v>5265.449319</v>
      </c>
      <c r="Q241" s="3" t="n">
        <v>5376.763563</v>
      </c>
      <c r="R241" s="3" t="n">
        <v>5536.117854</v>
      </c>
      <c r="S241" s="3" t="n">
        <v>5802.472807</v>
      </c>
      <c r="T241" s="3" t="n">
        <v>6219.753627</v>
      </c>
      <c r="U241" s="3" t="n">
        <v>6615.185529</v>
      </c>
      <c r="V241" s="3" t="n">
        <v>6732.814</v>
      </c>
      <c r="W241" s="3" t="n">
        <v>6957.668</v>
      </c>
      <c r="X241" s="3" t="n">
        <v>7349.072079</v>
      </c>
      <c r="Y241" s="3" t="n">
        <v>7832.569312</v>
      </c>
      <c r="Z241" s="3" t="n">
        <v>8387.922162000001</v>
      </c>
      <c r="AA241" s="3" t="n">
        <v>8705.922576999999</v>
      </c>
      <c r="AB241" s="3" t="n">
        <v>9328.870656999999</v>
      </c>
      <c r="AC241" s="3" t="n">
        <v>9912.227787</v>
      </c>
      <c r="AD241" s="3" t="n">
        <v>10541.933936</v>
      </c>
      <c r="AE241" s="3" t="n">
        <v>11327.58462</v>
      </c>
      <c r="AF241" s="3" t="n">
        <v>12177.154264</v>
      </c>
      <c r="AG241" s="3" t="n">
        <v>13026.178627</v>
      </c>
      <c r="AH241" s="3" t="n">
        <v>13898.61841</v>
      </c>
      <c r="AI241" s="3" t="n">
        <v>14814.138549</v>
      </c>
      <c r="AJ241" s="3" t="n">
        <v>15774.4317</v>
      </c>
      <c r="AK241" s="3" t="n">
        <v>16727.595383</v>
      </c>
      <c r="AL241" s="3" t="n">
        <v>17735.57614</v>
      </c>
      <c r="AM241" s="3" t="n"/>
      <c r="AN241" s="3" t="n"/>
      <c r="AO241" s="3" t="n"/>
      <c r="AP241" s="3" t="n"/>
      <c r="AQ241" s="3" t="n"/>
      <c r="AR241" s="3" t="n"/>
      <c r="AS241" s="3" t="n"/>
      <c r="AT241" s="3" t="n"/>
      <c r="AU241" s="3" t="n"/>
    </row>
    <row r="242">
      <c r="A242" s="3" t="n">
        <v>2031</v>
      </c>
      <c r="B242" s="3" t="inlineStr">
        <is>
          <t>BEN</t>
        </is>
      </c>
      <c r="C242" s="3" t="inlineStr">
        <is>
          <t>IMF.RES:WEO</t>
        </is>
      </c>
      <c r="D242" s="3" t="inlineStr">
        <is>
          <t>BEN.NGDP_RPCH.A</t>
        </is>
      </c>
      <c r="E242" s="3" t="inlineStr">
        <is>
          <t>Benin</t>
        </is>
      </c>
      <c r="F242" s="3" t="inlineStr">
        <is>
          <t>Gross domestic product (GDP), Constant prices, Percent change</t>
        </is>
      </c>
      <c r="G242" s="3" t="n">
        <v>5.857724</v>
      </c>
      <c r="H242" s="3" t="n">
        <v>5.333139</v>
      </c>
      <c r="I242" s="3" t="n">
        <v>4.643042</v>
      </c>
      <c r="J242" s="3" t="n">
        <v>3.443576</v>
      </c>
      <c r="K242" s="3" t="n">
        <v>4.429678</v>
      </c>
      <c r="L242" s="3" t="n">
        <v>1.713154</v>
      </c>
      <c r="M242" s="3" t="n">
        <v>3.943756</v>
      </c>
      <c r="N242" s="3" t="n">
        <v>5.98633</v>
      </c>
      <c r="O242" s="3" t="n">
        <v>4.896587</v>
      </c>
      <c r="P242" s="3" t="n">
        <v>2.319299</v>
      </c>
      <c r="Q242" s="3" t="n">
        <v>2.11405</v>
      </c>
      <c r="R242" s="3" t="n">
        <v>2.963759</v>
      </c>
      <c r="S242" s="3" t="n">
        <v>4.811223</v>
      </c>
      <c r="T242" s="3" t="n">
        <v>7.191431</v>
      </c>
      <c r="U242" s="3" t="n">
        <v>6.357678</v>
      </c>
      <c r="V242" s="3" t="n">
        <v>1.778158</v>
      </c>
      <c r="W242" s="3" t="n">
        <v>3.339673</v>
      </c>
      <c r="X242" s="3" t="n">
        <v>5.625507</v>
      </c>
      <c r="Y242" s="3" t="n">
        <v>6.579024</v>
      </c>
      <c r="Z242" s="3" t="n">
        <v>7.090302</v>
      </c>
      <c r="AA242" s="3" t="n">
        <v>3.79117</v>
      </c>
      <c r="AB242" s="3" t="n">
        <v>7.155452</v>
      </c>
      <c r="AC242" s="3" t="n">
        <v>6.253245</v>
      </c>
      <c r="AD242" s="3" t="n">
        <v>6.352822</v>
      </c>
      <c r="AE242" s="3" t="n">
        <v>7.452624</v>
      </c>
      <c r="AF242" s="3" t="n">
        <v>7.500007</v>
      </c>
      <c r="AG242" s="3" t="n">
        <v>6.972272</v>
      </c>
      <c r="AH242" s="3" t="n">
        <v>6.697588</v>
      </c>
      <c r="AI242" s="3" t="n">
        <v>6.587131</v>
      </c>
      <c r="AJ242" s="3" t="n">
        <v>6.482275</v>
      </c>
      <c r="AK242" s="3" t="n">
        <v>6.04246</v>
      </c>
      <c r="AL242" s="3" t="n">
        <v>6.025856</v>
      </c>
      <c r="AM242" s="3" t="n"/>
      <c r="AN242" s="3" t="n"/>
      <c r="AO242" s="3" t="n"/>
      <c r="AP242" s="3" t="n"/>
      <c r="AQ242" s="3" t="n"/>
      <c r="AR242" s="3" t="n"/>
      <c r="AS242" s="3" t="n"/>
      <c r="AT242" s="3" t="n"/>
      <c r="AU242" s="3" t="n"/>
    </row>
    <row r="243">
      <c r="A243" s="3" t="n">
        <v>2031</v>
      </c>
      <c r="B243" s="3" t="inlineStr">
        <is>
          <t>BEN</t>
        </is>
      </c>
      <c r="C243" s="3" t="inlineStr">
        <is>
          <t>IMF.RES:WEO</t>
        </is>
      </c>
      <c r="D243" s="3" t="inlineStr">
        <is>
          <t>BEN.NGDPD.A</t>
        </is>
      </c>
      <c r="E243" s="3" t="inlineStr">
        <is>
          <t>Benin</t>
        </is>
      </c>
      <c r="F243" s="3" t="inlineStr">
        <is>
          <t>Gross domestic product (GDP), Current prices, US dollar</t>
        </is>
      </c>
      <c r="G243" s="3" t="n">
        <v>3.521546</v>
      </c>
      <c r="H243" s="3" t="n">
        <v>3.666247</v>
      </c>
      <c r="I243" s="3" t="n">
        <v>4.19138</v>
      </c>
      <c r="J243" s="3" t="n">
        <v>5.347919</v>
      </c>
      <c r="K243" s="3" t="n">
        <v>6.187461</v>
      </c>
      <c r="L243" s="3" t="n">
        <v>6.571285</v>
      </c>
      <c r="M243" s="3" t="n">
        <v>7.034484</v>
      </c>
      <c r="N243" s="3" t="n">
        <v>8.170012</v>
      </c>
      <c r="O243" s="3" t="n">
        <v>9.786662</v>
      </c>
      <c r="P243" s="3" t="n">
        <v>9.728052</v>
      </c>
      <c r="Q243" s="3" t="n">
        <v>9.543132</v>
      </c>
      <c r="R243" s="3" t="n">
        <v>10.691439</v>
      </c>
      <c r="S243" s="3" t="n">
        <v>11.148414</v>
      </c>
      <c r="T243" s="3" t="n">
        <v>12.518028</v>
      </c>
      <c r="U243" s="3" t="n">
        <v>13.287951</v>
      </c>
      <c r="V243" s="3" t="n">
        <v>11.389314</v>
      </c>
      <c r="W243" s="3" t="n">
        <v>11.817804</v>
      </c>
      <c r="X243" s="3" t="n">
        <v>12.766248</v>
      </c>
      <c r="Y243" s="3" t="n">
        <v>14.345514</v>
      </c>
      <c r="Z243" s="3" t="n">
        <v>14.697077</v>
      </c>
      <c r="AA243" s="3" t="n">
        <v>15.674186</v>
      </c>
      <c r="AB243" s="3" t="n">
        <v>17.699382</v>
      </c>
      <c r="AC243" s="3" t="n">
        <v>17.439127</v>
      </c>
      <c r="AD243" s="3" t="n">
        <v>19.678959</v>
      </c>
      <c r="AE243" s="3" t="n">
        <v>21.487287</v>
      </c>
      <c r="AF243" s="3" t="n">
        <v>24.382227</v>
      </c>
      <c r="AG243" s="3" t="n">
        <v>27.785785</v>
      </c>
      <c r="AH243" s="3" t="n">
        <v>30.179119</v>
      </c>
      <c r="AI243" s="3" t="n">
        <v>32.730931</v>
      </c>
      <c r="AJ243" s="3" t="n">
        <v>35.542666</v>
      </c>
      <c r="AK243" s="3" t="n">
        <v>38.456122</v>
      </c>
      <c r="AL243" s="3" t="n">
        <v>41.601402</v>
      </c>
      <c r="AM243" s="3" t="n"/>
      <c r="AN243" s="3" t="n"/>
      <c r="AO243" s="3" t="n"/>
      <c r="AP243" s="3" t="n"/>
      <c r="AQ243" s="3" t="n"/>
      <c r="AR243" s="3" t="n"/>
      <c r="AS243" s="3" t="n"/>
      <c r="AT243" s="3" t="n"/>
      <c r="AU243" s="3" t="n"/>
    </row>
    <row r="244">
      <c r="A244" s="3" t="n">
        <v>2031</v>
      </c>
      <c r="B244" s="3" t="inlineStr">
        <is>
          <t>BEN</t>
        </is>
      </c>
      <c r="C244" s="3" t="inlineStr">
        <is>
          <t>IMF.RES:WEO</t>
        </is>
      </c>
      <c r="D244" s="3" t="inlineStr">
        <is>
          <t>BEN.NGDPPC.A</t>
        </is>
      </c>
      <c r="E244" s="3" t="inlineStr">
        <is>
          <t>Benin</t>
        </is>
      </c>
      <c r="F244" s="3" t="inlineStr">
        <is>
          <t>Gross domestic product (GDP), Current prices, Per capita, Domestic currency</t>
        </is>
      </c>
      <c r="G244" s="3" t="n">
        <v>346172.444652</v>
      </c>
      <c r="H244" s="3" t="n">
        <v>360633.689637</v>
      </c>
      <c r="I244" s="3" t="n">
        <v>379089.246164</v>
      </c>
      <c r="J244" s="3" t="n">
        <v>392012.320916</v>
      </c>
      <c r="K244" s="3" t="n">
        <v>400089.169003</v>
      </c>
      <c r="L244" s="3" t="n">
        <v>410965.083709</v>
      </c>
      <c r="M244" s="3" t="n">
        <v>422719.15283</v>
      </c>
      <c r="N244" s="3" t="n">
        <v>436675.873275</v>
      </c>
      <c r="O244" s="3" t="n">
        <v>473028.769991</v>
      </c>
      <c r="P244" s="3" t="n">
        <v>481628.820553</v>
      </c>
      <c r="Q244" s="3" t="n">
        <v>481555.645182</v>
      </c>
      <c r="R244" s="3" t="n">
        <v>499247.150382</v>
      </c>
      <c r="S244" s="3" t="n">
        <v>547074.345053</v>
      </c>
      <c r="T244" s="3" t="n">
        <v>577332.617122</v>
      </c>
      <c r="U244" s="3" t="n">
        <v>594680.907643</v>
      </c>
      <c r="V244" s="3" t="n">
        <v>592641.761528</v>
      </c>
      <c r="W244" s="3" t="n">
        <v>598848.061036</v>
      </c>
      <c r="X244" s="3" t="n">
        <v>615910.340554</v>
      </c>
      <c r="Y244" s="3" t="n">
        <v>643166.423423</v>
      </c>
      <c r="Z244" s="3" t="n">
        <v>676591.4799180001</v>
      </c>
      <c r="AA244" s="3" t="n">
        <v>689265.0256629999</v>
      </c>
      <c r="AB244" s="3" t="n">
        <v>731334.45085</v>
      </c>
      <c r="AC244" s="3" t="n">
        <v>788873.671594</v>
      </c>
      <c r="AD244" s="3" t="n">
        <v>845784.66554</v>
      </c>
      <c r="AE244" s="3" t="n">
        <v>898321.98683</v>
      </c>
      <c r="AF244" s="3" t="n">
        <v>949031.555315</v>
      </c>
      <c r="AG244" s="3" t="n">
        <v>1006455.467192</v>
      </c>
      <c r="AH244" s="3" t="n">
        <v>1064372.369864</v>
      </c>
      <c r="AI244" s="3" t="n">
        <v>1123750.818424</v>
      </c>
      <c r="AJ244" s="3" t="n">
        <v>1184507.539453</v>
      </c>
      <c r="AK244" s="3" t="n">
        <v>1243237.101077</v>
      </c>
      <c r="AL244" s="3" t="n">
        <v>1306313.992324</v>
      </c>
      <c r="AM244" s="3" t="n"/>
      <c r="AN244" s="3" t="n"/>
      <c r="AO244" s="3" t="n"/>
      <c r="AP244" s="3" t="n"/>
      <c r="AQ244" s="3" t="n"/>
      <c r="AR244" s="3" t="n"/>
      <c r="AS244" s="3" t="n"/>
      <c r="AT244" s="3" t="n"/>
      <c r="AU244" s="3" t="n"/>
    </row>
    <row r="245">
      <c r="A245" s="3" t="n">
        <v>2031</v>
      </c>
      <c r="B245" s="3" t="inlineStr">
        <is>
          <t>BEN</t>
        </is>
      </c>
      <c r="C245" s="3" t="inlineStr">
        <is>
          <t>IMF.RES:WEO</t>
        </is>
      </c>
      <c r="D245" s="3" t="inlineStr">
        <is>
          <t>BEN.NGDPRPC.A</t>
        </is>
      </c>
      <c r="E245" s="3" t="inlineStr">
        <is>
          <t>Benin</t>
        </is>
      </c>
      <c r="F245" s="3" t="inlineStr">
        <is>
          <t>Gross domestic product (GDP), Constant prices, Per capita, Domestic currency</t>
        </is>
      </c>
      <c r="G245" s="3" t="n">
        <v>509159.353888</v>
      </c>
      <c r="H245" s="3" t="n">
        <v>520180.246544</v>
      </c>
      <c r="I245" s="3" t="n">
        <v>528033.1524040001</v>
      </c>
      <c r="J245" s="3" t="n">
        <v>529812.494654</v>
      </c>
      <c r="K245" s="3" t="n">
        <v>536598.19073</v>
      </c>
      <c r="L245" s="3" t="n">
        <v>528493.177466</v>
      </c>
      <c r="M245" s="3" t="n">
        <v>532457.438866</v>
      </c>
      <c r="N245" s="3" t="n">
        <v>547899.541754</v>
      </c>
      <c r="O245" s="3" t="n">
        <v>557632.86858</v>
      </c>
      <c r="P245" s="3" t="n">
        <v>553708.602376</v>
      </c>
      <c r="Q245" s="3" t="n">
        <v>548790.236653</v>
      </c>
      <c r="R245" s="3" t="n">
        <v>548476.781218</v>
      </c>
      <c r="S245" s="3" t="n">
        <v>558055.801089</v>
      </c>
      <c r="T245" s="3" t="n">
        <v>580805.868028</v>
      </c>
      <c r="U245" s="3" t="n">
        <v>599744.61743</v>
      </c>
      <c r="V245" s="3" t="n">
        <v>592641.761528</v>
      </c>
      <c r="W245" s="3" t="n">
        <v>594782.182902</v>
      </c>
      <c r="X245" s="3" t="n">
        <v>610399.199901</v>
      </c>
      <c r="Y245" s="3" t="n">
        <v>632508.2639</v>
      </c>
      <c r="Z245" s="3" t="n">
        <v>659077.8373970001</v>
      </c>
      <c r="AA245" s="3" t="n">
        <v>666091.048772</v>
      </c>
      <c r="AB245" s="3" t="n">
        <v>695488.0070559999</v>
      </c>
      <c r="AC245" s="3" t="n">
        <v>720391.516161</v>
      </c>
      <c r="AD245" s="3" t="n">
        <v>747070.266844</v>
      </c>
      <c r="AE245" s="3" t="n">
        <v>781198.7613679999</v>
      </c>
      <c r="AF245" s="3" t="n">
        <v>816024.858994</v>
      </c>
      <c r="AG245" s="3" t="n">
        <v>848218.930803</v>
      </c>
      <c r="AH245" s="3" t="n">
        <v>879178.035878</v>
      </c>
      <c r="AI245" s="3" t="n">
        <v>909767.747425</v>
      </c>
      <c r="AJ245" s="3" t="n">
        <v>939839.633669</v>
      </c>
      <c r="AK245" s="3" t="n">
        <v>966794.561266</v>
      </c>
      <c r="AL245" s="3" t="n">
        <v>995628.044327</v>
      </c>
      <c r="AM245" s="3" t="n"/>
      <c r="AN245" s="3" t="n"/>
      <c r="AO245" s="3" t="n"/>
      <c r="AP245" s="3" t="n"/>
      <c r="AQ245" s="3" t="n"/>
      <c r="AR245" s="3" t="n"/>
      <c r="AS245" s="3" t="n"/>
      <c r="AT245" s="3" t="n"/>
      <c r="AU245" s="3" t="n"/>
    </row>
    <row r="246">
      <c r="A246" s="3" t="n">
        <v>2031</v>
      </c>
      <c r="B246" s="3" t="inlineStr">
        <is>
          <t>BEN</t>
        </is>
      </c>
      <c r="C246" s="3" t="inlineStr">
        <is>
          <t>IMF.RES:WEO</t>
        </is>
      </c>
      <c r="D246" s="3" t="inlineStr">
        <is>
          <t>BEN.PCPI.A</t>
        </is>
      </c>
      <c r="E246" s="3" t="inlineStr">
        <is>
          <t>Benin</t>
        </is>
      </c>
      <c r="F246" s="3" t="inlineStr">
        <is>
          <t>All Items, Consumer price index (CPI), Period average</t>
        </is>
      </c>
      <c r="G246" s="3" t="n">
        <v>61.856391</v>
      </c>
      <c r="H246" s="3" t="n">
        <v>64.319067</v>
      </c>
      <c r="I246" s="3" t="n">
        <v>65.877178</v>
      </c>
      <c r="J246" s="3" t="n">
        <v>66.869748</v>
      </c>
      <c r="K246" s="3" t="n">
        <v>67.46033300000001</v>
      </c>
      <c r="L246" s="3" t="n">
        <v>71.07911300000001</v>
      </c>
      <c r="M246" s="3" t="n">
        <v>73.770946</v>
      </c>
      <c r="N246" s="3" t="n">
        <v>74.725756</v>
      </c>
      <c r="O246" s="3" t="n">
        <v>80.25669499999999</v>
      </c>
      <c r="P246" s="3" t="n">
        <v>81.007975</v>
      </c>
      <c r="Q246" s="3" t="n">
        <v>82.744254</v>
      </c>
      <c r="R246" s="3" t="n">
        <v>85.00595800000001</v>
      </c>
      <c r="S246" s="3" t="n">
        <v>90.739114</v>
      </c>
      <c r="T246" s="3" t="n">
        <v>91.1279</v>
      </c>
      <c r="U246" s="3" t="n">
        <v>90.62569999999999</v>
      </c>
      <c r="V246" s="3" t="n">
        <v>90.823976</v>
      </c>
      <c r="W246" s="3" t="n">
        <v>90.102788</v>
      </c>
      <c r="X246" s="3" t="n">
        <v>91.697078</v>
      </c>
      <c r="Y246" s="3" t="n">
        <v>92.475409</v>
      </c>
      <c r="Z246" s="3" t="n">
        <v>91.628629</v>
      </c>
      <c r="AA246" s="3" t="n">
        <v>94.407639</v>
      </c>
      <c r="AB246" s="3" t="n">
        <v>96.044245</v>
      </c>
      <c r="AC246" s="3" t="n">
        <v>97.341578</v>
      </c>
      <c r="AD246" s="3" t="n">
        <v>100</v>
      </c>
      <c r="AE246" s="3" t="n">
        <v>101.164995</v>
      </c>
      <c r="AF246" s="3" t="n">
        <v>102.303924</v>
      </c>
      <c r="AG246" s="3" t="n">
        <v>104.350003</v>
      </c>
      <c r="AH246" s="3" t="n">
        <v>106.437003</v>
      </c>
      <c r="AI246" s="3" t="n">
        <v>108.565743</v>
      </c>
      <c r="AJ246" s="3" t="n">
        <v>110.737058</v>
      </c>
      <c r="AK246" s="3" t="n">
        <v>112.951799</v>
      </c>
      <c r="AL246" s="3" t="n">
        <v>115.210835</v>
      </c>
      <c r="AM246" s="3" t="n"/>
      <c r="AN246" s="3" t="n"/>
      <c r="AO246" s="3" t="n"/>
      <c r="AP246" s="3" t="n"/>
      <c r="AQ246" s="3" t="n"/>
      <c r="AR246" s="3" t="n"/>
      <c r="AS246" s="3" t="n"/>
      <c r="AT246" s="3" t="n"/>
      <c r="AU246" s="3" t="n"/>
    </row>
    <row r="247">
      <c r="A247" s="3" t="n">
        <v>2031</v>
      </c>
      <c r="B247" s="3" t="inlineStr">
        <is>
          <t>BEN</t>
        </is>
      </c>
      <c r="C247" s="3" t="inlineStr">
        <is>
          <t>IMF.RES:WEO</t>
        </is>
      </c>
      <c r="D247" s="3" t="inlineStr">
        <is>
          <t>BEN.PCPIPCH.A</t>
        </is>
      </c>
      <c r="E247" s="3" t="inlineStr">
        <is>
          <t>Benin</t>
        </is>
      </c>
      <c r="F247" s="3" t="inlineStr">
        <is>
          <t>All Items, Consumer price index (CPI), Period average, percent change</t>
        </is>
      </c>
      <c r="G247" s="3" t="n">
        <v>4.20985</v>
      </c>
      <c r="H247" s="3" t="n">
        <v>3.981279</v>
      </c>
      <c r="I247" s="3" t="n">
        <v>2.422471</v>
      </c>
      <c r="J247" s="3" t="n">
        <v>1.506697</v>
      </c>
      <c r="K247" s="3" t="n">
        <v>0.8831870000000001</v>
      </c>
      <c r="L247" s="3" t="n">
        <v>5.364308</v>
      </c>
      <c r="M247" s="3" t="n">
        <v>3.787094</v>
      </c>
      <c r="N247" s="3" t="n">
        <v>1.294291</v>
      </c>
      <c r="O247" s="3" t="n">
        <v>7.40165</v>
      </c>
      <c r="P247" s="3" t="n">
        <v>0.936096</v>
      </c>
      <c r="Q247" s="3" t="n">
        <v>2.143343</v>
      </c>
      <c r="R247" s="3" t="n">
        <v>2.733367</v>
      </c>
      <c r="S247" s="3" t="n">
        <v>6.744417</v>
      </c>
      <c r="T247" s="3" t="n">
        <v>0.428466</v>
      </c>
      <c r="U247" s="3" t="n">
        <v>-0.551094</v>
      </c>
      <c r="V247" s="3" t="n">
        <v>0.218786</v>
      </c>
      <c r="W247" s="3" t="n">
        <v>-0.79405</v>
      </c>
      <c r="X247" s="3" t="n">
        <v>1.769412</v>
      </c>
      <c r="Y247" s="3" t="n">
        <v>0.8488059999999999</v>
      </c>
      <c r="Z247" s="3" t="n">
        <v>-0.915682</v>
      </c>
      <c r="AA247" s="3" t="n">
        <v>3.032906</v>
      </c>
      <c r="AB247" s="3" t="n">
        <v>1.733552</v>
      </c>
      <c r="AC247" s="3" t="n">
        <v>1.350766</v>
      </c>
      <c r="AD247" s="3" t="n">
        <v>2.731025</v>
      </c>
      <c r="AE247" s="3" t="n">
        <v>1.164995</v>
      </c>
      <c r="AF247" s="3" t="n">
        <v>1.125814</v>
      </c>
      <c r="AG247" s="3" t="n">
        <v>2</v>
      </c>
      <c r="AH247" s="3" t="n">
        <v>2</v>
      </c>
      <c r="AI247" s="3" t="n">
        <v>2</v>
      </c>
      <c r="AJ247" s="3" t="n">
        <v>2</v>
      </c>
      <c r="AK247" s="3" t="n">
        <v>2</v>
      </c>
      <c r="AL247" s="3" t="n">
        <v>2</v>
      </c>
      <c r="AM247" s="3" t="n"/>
      <c r="AN247" s="3" t="n"/>
      <c r="AO247" s="3" t="n"/>
      <c r="AP247" s="3" t="n"/>
      <c r="AQ247" s="3" t="n"/>
      <c r="AR247" s="3" t="n"/>
      <c r="AS247" s="3" t="n"/>
      <c r="AT247" s="3" t="n"/>
      <c r="AU247" s="3" t="n"/>
    </row>
    <row r="248">
      <c r="A248" s="3" t="n">
        <v>2031</v>
      </c>
      <c r="B248" s="3" t="inlineStr">
        <is>
          <t>BEN</t>
        </is>
      </c>
      <c r="C248" s="3" t="inlineStr">
        <is>
          <t>IMF.RES:WEO</t>
        </is>
      </c>
      <c r="D248" s="3" t="inlineStr">
        <is>
          <t>BEN.PPPPC.A</t>
        </is>
      </c>
      <c r="E248" s="3" t="inlineStr">
        <is>
          <t>Benin</t>
        </is>
      </c>
      <c r="F248" s="3" t="inlineStr">
        <is>
          <t>Gross domestic product (GDP), Per capita, purchasing power parity (PPP) international dollar, ICP benchmarks 2017-2021</t>
        </is>
      </c>
      <c r="G248" s="3" t="n">
        <v>1760.126181</v>
      </c>
      <c r="H248" s="3" t="n">
        <v>1838.713782</v>
      </c>
      <c r="I248" s="3" t="n">
        <v>1895.477583</v>
      </c>
      <c r="J248" s="3" t="n">
        <v>1939.411793</v>
      </c>
      <c r="K248" s="3" t="n">
        <v>2017.06764</v>
      </c>
      <c r="L248" s="3" t="n">
        <v>2048.897218</v>
      </c>
      <c r="M248" s="3" t="n">
        <v>2127.925664</v>
      </c>
      <c r="N248" s="3" t="n">
        <v>2248.962084</v>
      </c>
      <c r="O248" s="3" t="n">
        <v>2333.008356</v>
      </c>
      <c r="P248" s="3" t="n">
        <v>2330.877507</v>
      </c>
      <c r="Q248" s="3" t="n">
        <v>2338.25054</v>
      </c>
      <c r="R248" s="3" t="n">
        <v>2385.131349</v>
      </c>
      <c r="S248" s="3" t="n">
        <v>2471.972244</v>
      </c>
      <c r="T248" s="3" t="n">
        <v>2616.534546</v>
      </c>
      <c r="U248" s="3" t="n">
        <v>2748.912334</v>
      </c>
      <c r="V248" s="3" t="n">
        <v>2741.565832</v>
      </c>
      <c r="W248" s="3" t="n">
        <v>2777.612531</v>
      </c>
      <c r="X248" s="3" t="n">
        <v>2901.593556</v>
      </c>
      <c r="Y248" s="3" t="n">
        <v>2981.232889</v>
      </c>
      <c r="Z248" s="3" t="n">
        <v>3215.664439</v>
      </c>
      <c r="AA248" s="3" t="n">
        <v>3244.587728</v>
      </c>
      <c r="AB248" s="3" t="n">
        <v>3464.288629</v>
      </c>
      <c r="AC248" s="3" t="n">
        <v>3843.552519</v>
      </c>
      <c r="AD248" s="3" t="n">
        <v>4133.372809</v>
      </c>
      <c r="AE248" s="3" t="n">
        <v>4429.498647</v>
      </c>
      <c r="AF248" s="3" t="n">
        <v>4758.223409</v>
      </c>
      <c r="AG248" s="3" t="n">
        <v>5087.640334</v>
      </c>
      <c r="AH248" s="3" t="n">
        <v>5389.131139</v>
      </c>
      <c r="AI248" s="3" t="n">
        <v>5668.172469</v>
      </c>
      <c r="AJ248" s="3" t="n">
        <v>5959.648573</v>
      </c>
      <c r="AK248" s="3" t="n">
        <v>6243.224298</v>
      </c>
      <c r="AL248" s="3" t="n">
        <v>6545.491393</v>
      </c>
      <c r="AM248" s="3" t="n"/>
      <c r="AN248" s="3" t="n"/>
      <c r="AO248" s="3" t="n"/>
      <c r="AP248" s="3" t="n"/>
      <c r="AQ248" s="3" t="n"/>
      <c r="AR248" s="3" t="n"/>
      <c r="AS248" s="3" t="n"/>
      <c r="AT248" s="3" t="n"/>
      <c r="AU248" s="3" t="n"/>
    </row>
    <row r="249">
      <c r="A249" s="3" t="n">
        <v>2025</v>
      </c>
      <c r="B249" s="3" t="inlineStr">
        <is>
          <t>BEN</t>
        </is>
      </c>
      <c r="C249" s="3" t="inlineStr">
        <is>
          <t>IMF.STA:ER</t>
        </is>
      </c>
      <c r="D249" s="3" t="inlineStr">
        <is>
          <t>BEN.XDC_USD.PA_RT.A</t>
        </is>
      </c>
      <c r="E249" s="3" t="inlineStr">
        <is>
          <t>Benin</t>
        </is>
      </c>
      <c r="F249" s="3" t="inlineStr">
        <is>
          <t>Domestic currency per US Dollar</t>
        </is>
      </c>
      <c r="G249" s="3" t="n">
        <v>710.207977031373</v>
      </c>
      <c r="H249" s="3" t="n">
        <v>732.397693260192</v>
      </c>
      <c r="I249" s="3" t="n">
        <v>693.713226496371</v>
      </c>
      <c r="J249" s="3" t="n">
        <v>579.897426172445</v>
      </c>
      <c r="K249" s="3" t="n">
        <v>527.338032291584</v>
      </c>
      <c r="L249" s="3" t="n">
        <v>527.258362649643</v>
      </c>
      <c r="M249" s="3" t="n">
        <v>522.42562489518</v>
      </c>
      <c r="N249" s="3" t="n">
        <v>478.633718476359</v>
      </c>
      <c r="O249" s="3" t="n">
        <v>446.000041432788</v>
      </c>
      <c r="P249" s="3" t="n">
        <v>470.293423341398</v>
      </c>
      <c r="Q249" s="3" t="n">
        <v>494.794262222936</v>
      </c>
      <c r="R249" s="3" t="n">
        <v>471.248625718934</v>
      </c>
      <c r="S249" s="3" t="n">
        <v>510.556338454251</v>
      </c>
      <c r="T249" s="3" t="n">
        <v>493.899623852233</v>
      </c>
      <c r="U249" s="3" t="n">
        <v>493.757329875319</v>
      </c>
      <c r="V249" s="3" t="n">
        <v>591.21169798261</v>
      </c>
      <c r="W249" s="3" t="n">
        <v>592.605615063006</v>
      </c>
      <c r="X249" s="3" t="n">
        <v>580.656749587853</v>
      </c>
      <c r="Y249" s="3" t="n">
        <v>555.446458398235</v>
      </c>
      <c r="Z249" s="3" t="n">
        <v>585.950813757166</v>
      </c>
      <c r="AA249" s="3" t="n">
        <v>574.294549649056</v>
      </c>
      <c r="AB249" s="3" t="n">
        <v>554.607798864163</v>
      </c>
      <c r="AC249" s="3" t="n">
        <v>622.912348249567</v>
      </c>
      <c r="AD249" s="3" t="n">
        <v>606.654982255763</v>
      </c>
      <c r="AE249" s="3" t="n">
        <v>606.345297609062</v>
      </c>
      <c r="AF249" s="3" t="n">
        <v>581.928481040339</v>
      </c>
      <c r="AG249" s="3" t="n"/>
      <c r="AH249" s="3" t="n"/>
      <c r="AI249" s="3" t="n"/>
      <c r="AJ249" s="3" t="n"/>
      <c r="AK249" s="3" t="n"/>
      <c r="AL249" s="3" t="n"/>
      <c r="AM249" s="3" t="n"/>
      <c r="AN249" s="3" t="n"/>
      <c r="AO249" s="3" t="n"/>
      <c r="AP249" s="3" t="n"/>
      <c r="AQ249" s="3" t="n"/>
      <c r="AR249" s="3" t="n"/>
      <c r="AS249" s="3" t="n"/>
      <c r="AT249" s="3" t="n"/>
      <c r="AU249" s="3" t="n"/>
    </row>
    <row r="250">
      <c r="A250" s="3" t="n">
        <v>2031</v>
      </c>
      <c r="B250" s="3" t="inlineStr">
        <is>
          <t>BFA</t>
        </is>
      </c>
      <c r="C250" s="3" t="inlineStr">
        <is>
          <t>IMF.RES:WEO</t>
        </is>
      </c>
      <c r="D250" s="3" t="inlineStr">
        <is>
          <t>BFA.BCA.A</t>
        </is>
      </c>
      <c r="E250" s="3" t="inlineStr">
        <is>
          <t>Burkina Faso</t>
        </is>
      </c>
      <c r="F250" s="3" t="inlineStr">
        <is>
          <t>Current account balance (credit less debit), US dollar</t>
        </is>
      </c>
      <c r="G250" s="3" t="n">
        <v>-0.318767</v>
      </c>
      <c r="H250" s="3" t="n">
        <v>-0.291239</v>
      </c>
      <c r="I250" s="3" t="n">
        <v>-0.299755</v>
      </c>
      <c r="J250" s="3" t="n">
        <v>-0.368099</v>
      </c>
      <c r="K250" s="3" t="n">
        <v>-0.531748</v>
      </c>
      <c r="L250" s="3" t="n">
        <v>-0.63492</v>
      </c>
      <c r="M250" s="3" t="n">
        <v>-0.543965</v>
      </c>
      <c r="N250" s="3" t="n">
        <v>-0.560802</v>
      </c>
      <c r="O250" s="3" t="n">
        <v>-0.966925</v>
      </c>
      <c r="P250" s="3" t="n">
        <v>-0.381154</v>
      </c>
      <c r="Q250" s="3" t="n">
        <v>-0.181773</v>
      </c>
      <c r="R250" s="3" t="n">
        <v>-0.160365</v>
      </c>
      <c r="S250" s="3" t="n">
        <v>-0.162396</v>
      </c>
      <c r="T250" s="3" t="n">
        <v>-1.345564</v>
      </c>
      <c r="U250" s="3" t="n">
        <v>-0.999212</v>
      </c>
      <c r="V250" s="3" t="n">
        <v>-0.895491</v>
      </c>
      <c r="W250" s="3" t="n">
        <v>-0.780007</v>
      </c>
      <c r="X250" s="3" t="n">
        <v>-0.709458</v>
      </c>
      <c r="Y250" s="3" t="n">
        <v>-0.665098</v>
      </c>
      <c r="Z250" s="3" t="n">
        <v>-0.523859</v>
      </c>
      <c r="AA250" s="3" t="n">
        <v>0.7443070000000001</v>
      </c>
      <c r="AB250" s="3" t="n">
        <v>0.077296</v>
      </c>
      <c r="AC250" s="3" t="n">
        <v>-1.406983</v>
      </c>
      <c r="AD250" s="3" t="n">
        <v>-1.01734</v>
      </c>
      <c r="AE250" s="3" t="n">
        <v>-0.805859</v>
      </c>
      <c r="AF250" s="3" t="n">
        <v>1.821064</v>
      </c>
      <c r="AG250" s="3" t="n">
        <v>2.794175</v>
      </c>
      <c r="AH250" s="3" t="n">
        <v>3.038715</v>
      </c>
      <c r="AI250" s="3" t="n">
        <v>2.66472</v>
      </c>
      <c r="AJ250" s="3" t="n">
        <v>2.488863</v>
      </c>
      <c r="AK250" s="3" t="n">
        <v>2.252113</v>
      </c>
      <c r="AL250" s="3" t="n">
        <v>2.565748</v>
      </c>
      <c r="AM250" s="3" t="n"/>
      <c r="AN250" s="3" t="n"/>
      <c r="AO250" s="3" t="n"/>
      <c r="AP250" s="3" t="n"/>
      <c r="AQ250" s="3" t="n"/>
      <c r="AR250" s="3" t="n"/>
      <c r="AS250" s="3" t="n"/>
      <c r="AT250" s="3" t="n"/>
      <c r="AU250" s="3" t="n"/>
    </row>
    <row r="251">
      <c r="A251" s="3" t="n">
        <v>2031</v>
      </c>
      <c r="B251" s="3" t="inlineStr">
        <is>
          <t>BFA</t>
        </is>
      </c>
      <c r="C251" s="3" t="inlineStr">
        <is>
          <t>IMF.RES:WEO</t>
        </is>
      </c>
      <c r="D251" s="3" t="inlineStr">
        <is>
          <t>BFA.BCA_NGDPD.A</t>
        </is>
      </c>
      <c r="E251" s="3" t="inlineStr">
        <is>
          <t>Burkina Faso</t>
        </is>
      </c>
      <c r="F251" s="3" t="inlineStr">
        <is>
          <t>Current account balance (credit less debit), Percent of GDP</t>
        </is>
      </c>
      <c r="G251" s="3" t="n">
        <v>-10.765596</v>
      </c>
      <c r="H251" s="3" t="n">
        <v>-9.128610999999999</v>
      </c>
      <c r="I251" s="3" t="n">
        <v>-8.281002000000001</v>
      </c>
      <c r="J251" s="3" t="n">
        <v>-7.766484</v>
      </c>
      <c r="K251" s="3" t="n">
        <v>-9.758245000000001</v>
      </c>
      <c r="L251" s="3" t="n">
        <v>-10.324323</v>
      </c>
      <c r="M251" s="3" t="n">
        <v>-8.307636</v>
      </c>
      <c r="N251" s="3" t="n">
        <v>-7.353213</v>
      </c>
      <c r="O251" s="3" t="n">
        <v>-10.231581</v>
      </c>
      <c r="P251" s="3" t="n">
        <v>-4.037461</v>
      </c>
      <c r="Q251" s="3" t="n">
        <v>-1.796556</v>
      </c>
      <c r="R251" s="3" t="n">
        <v>-1.327723</v>
      </c>
      <c r="S251" s="3" t="n">
        <v>-1.292042</v>
      </c>
      <c r="T251" s="3" t="n">
        <v>-10.008286</v>
      </c>
      <c r="U251" s="3" t="n">
        <v>-7.164549</v>
      </c>
      <c r="V251" s="3" t="n">
        <v>-7.567512</v>
      </c>
      <c r="W251" s="3" t="n">
        <v>-6.079893</v>
      </c>
      <c r="X251" s="3" t="n">
        <v>-5.033693</v>
      </c>
      <c r="Y251" s="3" t="n">
        <v>-4.178759</v>
      </c>
      <c r="Z251" s="3" t="n">
        <v>-3.25541</v>
      </c>
      <c r="AA251" s="3" t="n">
        <v>4.172717</v>
      </c>
      <c r="AB251" s="3" t="n">
        <v>0.392209</v>
      </c>
      <c r="AC251" s="3" t="n">
        <v>-7.539121</v>
      </c>
      <c r="AD251" s="3" t="n">
        <v>-5.057472</v>
      </c>
      <c r="AE251" s="3" t="n">
        <v>-3.484082</v>
      </c>
      <c r="AF251" s="3" t="n">
        <v>6.70989</v>
      </c>
      <c r="AG251" s="3" t="n">
        <v>8.593975</v>
      </c>
      <c r="AH251" s="3" t="n">
        <v>8.429899000000001</v>
      </c>
      <c r="AI251" s="3" t="n">
        <v>6.918474</v>
      </c>
      <c r="AJ251" s="3" t="n">
        <v>6.042461</v>
      </c>
      <c r="AK251" s="3" t="n">
        <v>5.113191</v>
      </c>
      <c r="AL251" s="3" t="n">
        <v>5.451728</v>
      </c>
      <c r="AM251" s="3" t="n"/>
      <c r="AN251" s="3" t="n"/>
      <c r="AO251" s="3" t="n"/>
      <c r="AP251" s="3" t="n"/>
      <c r="AQ251" s="3" t="n"/>
      <c r="AR251" s="3" t="n"/>
      <c r="AS251" s="3" t="n"/>
      <c r="AT251" s="3" t="n"/>
      <c r="AU251" s="3" t="n"/>
    </row>
    <row r="252">
      <c r="A252" s="3" t="n">
        <v>2031</v>
      </c>
      <c r="B252" s="3" t="inlineStr">
        <is>
          <t>BFA</t>
        </is>
      </c>
      <c r="C252" s="3" t="inlineStr">
        <is>
          <t>IMF.RES:WEO</t>
        </is>
      </c>
      <c r="D252" s="3" t="inlineStr">
        <is>
          <t>BFA.GGR_NGDP.A</t>
        </is>
      </c>
      <c r="E252" s="3" t="inlineStr">
        <is>
          <t>Burkina Faso</t>
        </is>
      </c>
      <c r="F252" s="3" t="inlineStr">
        <is>
          <t>Revenue, General government, Percent of GDP</t>
        </is>
      </c>
      <c r="G252" s="3" t="n">
        <v>16.799307</v>
      </c>
      <c r="H252" s="3" t="n">
        <v>16.102322</v>
      </c>
      <c r="I252" s="3" t="n">
        <v>15.033892</v>
      </c>
      <c r="J252" s="3" t="n">
        <v>15.808541</v>
      </c>
      <c r="K252" s="3" t="n">
        <v>16.06313</v>
      </c>
      <c r="L252" s="3" t="n">
        <v>15.327439</v>
      </c>
      <c r="M252" s="3" t="n">
        <v>36.223782</v>
      </c>
      <c r="N252" s="3" t="n">
        <v>17.82356</v>
      </c>
      <c r="O252" s="3" t="n">
        <v>14.963253</v>
      </c>
      <c r="P252" s="3" t="n">
        <v>17.358672</v>
      </c>
      <c r="Q252" s="3" t="n">
        <v>17.596704</v>
      </c>
      <c r="R252" s="3" t="n">
        <v>18.396613</v>
      </c>
      <c r="S252" s="3" t="n">
        <v>19.904706</v>
      </c>
      <c r="T252" s="3" t="n">
        <v>21.712595</v>
      </c>
      <c r="U252" s="3" t="n">
        <v>19.190308</v>
      </c>
      <c r="V252" s="3" t="n">
        <v>18.269025</v>
      </c>
      <c r="W252" s="3" t="n">
        <v>18.550118</v>
      </c>
      <c r="X252" s="3" t="n">
        <v>19.343087</v>
      </c>
      <c r="Y252" s="3" t="n">
        <v>19.757286</v>
      </c>
      <c r="Z252" s="3" t="n">
        <v>19.961369</v>
      </c>
      <c r="AA252" s="3" t="n">
        <v>19.267536</v>
      </c>
      <c r="AB252" s="3" t="n">
        <v>20.3597</v>
      </c>
      <c r="AC252" s="3" t="n">
        <v>21.969378</v>
      </c>
      <c r="AD252" s="3" t="n">
        <v>22.516011</v>
      </c>
      <c r="AE252" s="3" t="n">
        <v>21.990302</v>
      </c>
      <c r="AF252" s="3" t="n">
        <v>22.545616</v>
      </c>
      <c r="AG252" s="3" t="n">
        <v>21.186329</v>
      </c>
      <c r="AH252" s="3" t="n">
        <v>21.193178</v>
      </c>
      <c r="AI252" s="3" t="n">
        <v>21.498092</v>
      </c>
      <c r="AJ252" s="3" t="n">
        <v>21.64961</v>
      </c>
      <c r="AK252" s="3" t="n">
        <v>21.799066</v>
      </c>
      <c r="AL252" s="3" t="n">
        <v>21.918475</v>
      </c>
      <c r="AM252" s="3" t="n"/>
      <c r="AN252" s="3" t="n"/>
      <c r="AO252" s="3" t="n"/>
      <c r="AP252" s="3" t="n"/>
      <c r="AQ252" s="3" t="n"/>
      <c r="AR252" s="3" t="n"/>
      <c r="AS252" s="3" t="n"/>
      <c r="AT252" s="3" t="n"/>
      <c r="AU252" s="3" t="n"/>
    </row>
    <row r="253">
      <c r="A253" s="3" t="n">
        <v>2031</v>
      </c>
      <c r="B253" s="3" t="inlineStr">
        <is>
          <t>BFA</t>
        </is>
      </c>
      <c r="C253" s="3" t="inlineStr">
        <is>
          <t>IMF.RES:WEO</t>
        </is>
      </c>
      <c r="D253" s="3" t="inlineStr">
        <is>
          <t>BFA.GGX_NGDP.A</t>
        </is>
      </c>
      <c r="E253" s="3" t="inlineStr">
        <is>
          <t>Burkina Faso</t>
        </is>
      </c>
      <c r="F253" s="3" t="inlineStr">
        <is>
          <t>Expenditure, General government, Percent of GDP</t>
        </is>
      </c>
      <c r="G253" s="3" t="n">
        <v>19.827137</v>
      </c>
      <c r="H253" s="3" t="n">
        <v>19.659766</v>
      </c>
      <c r="I253" s="3" t="n">
        <v>19.466509</v>
      </c>
      <c r="J253" s="3" t="n">
        <v>17.598454</v>
      </c>
      <c r="K253" s="3" t="n">
        <v>20.257184</v>
      </c>
      <c r="L253" s="3" t="n">
        <v>20.216972</v>
      </c>
      <c r="M253" s="3" t="n">
        <v>21.878108</v>
      </c>
      <c r="N253" s="3" t="n">
        <v>22.838479</v>
      </c>
      <c r="O253" s="3" t="n">
        <v>18.590568</v>
      </c>
      <c r="P253" s="3" t="n">
        <v>21.519116</v>
      </c>
      <c r="Q253" s="3" t="n">
        <v>21.655048</v>
      </c>
      <c r="R253" s="3" t="n">
        <v>20.436031</v>
      </c>
      <c r="S253" s="3" t="n">
        <v>22.667976</v>
      </c>
      <c r="T253" s="3" t="n">
        <v>25.260574</v>
      </c>
      <c r="U253" s="3" t="n">
        <v>20.927724</v>
      </c>
      <c r="V253" s="3" t="n">
        <v>20.358742</v>
      </c>
      <c r="W253" s="3" t="n">
        <v>21.632522</v>
      </c>
      <c r="X253" s="3" t="n">
        <v>26.261815</v>
      </c>
      <c r="Y253" s="3" t="n">
        <v>24.191573</v>
      </c>
      <c r="Z253" s="3" t="n">
        <v>23.348111</v>
      </c>
      <c r="AA253" s="3" t="n">
        <v>24.427078</v>
      </c>
      <c r="AB253" s="3" t="n">
        <v>27.809327</v>
      </c>
      <c r="AC253" s="3" t="n">
        <v>32.858423</v>
      </c>
      <c r="AD253" s="3" t="n">
        <v>29.427624</v>
      </c>
      <c r="AE253" s="3" t="n">
        <v>27.826297</v>
      </c>
      <c r="AF253" s="3" t="n">
        <v>26.085616</v>
      </c>
      <c r="AG253" s="3" t="n">
        <v>24.686329</v>
      </c>
      <c r="AH253" s="3" t="n">
        <v>24.237178</v>
      </c>
      <c r="AI253" s="3" t="n">
        <v>24.498092</v>
      </c>
      <c r="AJ253" s="3" t="n">
        <v>24.64961</v>
      </c>
      <c r="AK253" s="3" t="n">
        <v>24.799066</v>
      </c>
      <c r="AL253" s="3" t="n">
        <v>24.918475</v>
      </c>
      <c r="AM253" s="3" t="n"/>
      <c r="AN253" s="3" t="n"/>
      <c r="AO253" s="3" t="n"/>
      <c r="AP253" s="3" t="n"/>
      <c r="AQ253" s="3" t="n"/>
      <c r="AR253" s="3" t="n"/>
      <c r="AS253" s="3" t="n"/>
      <c r="AT253" s="3" t="n"/>
      <c r="AU253" s="3" t="n"/>
    </row>
    <row r="254">
      <c r="A254" s="3" t="n">
        <v>2031</v>
      </c>
      <c r="B254" s="3" t="inlineStr">
        <is>
          <t>BFA</t>
        </is>
      </c>
      <c r="C254" s="3" t="inlineStr">
        <is>
          <t>IMF.RES:WEO</t>
        </is>
      </c>
      <c r="D254" s="3" t="inlineStr">
        <is>
          <t>BFA.LP.A</t>
        </is>
      </c>
      <c r="E254" s="3" t="inlineStr">
        <is>
          <t>Burkina Faso</t>
        </is>
      </c>
      <c r="F254" s="3" t="inlineStr">
        <is>
          <t>Population, Persons for countries / Index for country groups</t>
        </is>
      </c>
      <c r="G254" s="3" t="n">
        <v>11.925546</v>
      </c>
      <c r="H254" s="3" t="n">
        <v>12.295001</v>
      </c>
      <c r="I254" s="3" t="n">
        <v>12.680897</v>
      </c>
      <c r="J254" s="3" t="n">
        <v>13.082532</v>
      </c>
      <c r="K254" s="3" t="n">
        <v>13.500533</v>
      </c>
      <c r="L254" s="3" t="n">
        <v>13.932123</v>
      </c>
      <c r="M254" s="3" t="n">
        <v>14.373707</v>
      </c>
      <c r="N254" s="3" t="n">
        <v>14.816307</v>
      </c>
      <c r="O254" s="3" t="n">
        <v>15.258093</v>
      </c>
      <c r="P254" s="3" t="n">
        <v>15.710066</v>
      </c>
      <c r="Q254" s="3" t="n">
        <v>16.176498</v>
      </c>
      <c r="R254" s="3" t="n">
        <v>16.661908</v>
      </c>
      <c r="S254" s="3" t="n">
        <v>17.172287</v>
      </c>
      <c r="T254" s="3" t="n">
        <v>17.695409</v>
      </c>
      <c r="U254" s="3" t="n">
        <v>18.229461</v>
      </c>
      <c r="V254" s="3" t="n">
        <v>18.777487</v>
      </c>
      <c r="W254" s="3" t="n">
        <v>19.334856</v>
      </c>
      <c r="X254" s="3" t="n">
        <v>19.894407</v>
      </c>
      <c r="Y254" s="3" t="n">
        <v>20.438288</v>
      </c>
      <c r="Z254" s="3" t="n">
        <v>20.961952</v>
      </c>
      <c r="AA254" s="3" t="n">
        <v>21.47869</v>
      </c>
      <c r="AB254" s="3" t="n">
        <v>21.995243</v>
      </c>
      <c r="AC254" s="3" t="n">
        <v>22.509038</v>
      </c>
      <c r="AD254" s="3" t="n">
        <v>23.025776</v>
      </c>
      <c r="AE254" s="3" t="n">
        <v>23.554377</v>
      </c>
      <c r="AF254" s="3" t="n">
        <v>24.095112</v>
      </c>
      <c r="AG254" s="3" t="n">
        <v>24.648262</v>
      </c>
      <c r="AH254" s="3" t="n">
        <v>25.21411</v>
      </c>
      <c r="AI254" s="3" t="n">
        <v>25.792948</v>
      </c>
      <c r="AJ254" s="3" t="n">
        <v>26.385074</v>
      </c>
      <c r="AK254" s="3" t="n">
        <v>26.990794</v>
      </c>
      <c r="AL254" s="3" t="n">
        <v>27.610419</v>
      </c>
      <c r="AM254" s="3" t="n"/>
      <c r="AN254" s="3" t="n"/>
      <c r="AO254" s="3" t="n"/>
      <c r="AP254" s="3" t="n"/>
      <c r="AQ254" s="3" t="n"/>
      <c r="AR254" s="3" t="n"/>
      <c r="AS254" s="3" t="n"/>
      <c r="AT254" s="3" t="n"/>
      <c r="AU254" s="3" t="n"/>
    </row>
    <row r="255">
      <c r="A255" s="3" t="n">
        <v>2031</v>
      </c>
      <c r="B255" s="3" t="inlineStr">
        <is>
          <t>BFA</t>
        </is>
      </c>
      <c r="C255" s="3" t="inlineStr">
        <is>
          <t>IMF.RES:WEO</t>
        </is>
      </c>
      <c r="D255" s="3" t="inlineStr">
        <is>
          <t>BFA.NGDP.A</t>
        </is>
      </c>
      <c r="E255" s="3" t="inlineStr">
        <is>
          <t>Burkina Faso</t>
        </is>
      </c>
      <c r="F255" s="3" t="inlineStr">
        <is>
          <t>Gross domestic product (GDP), Current prices, Domestic currency</t>
        </is>
      </c>
      <c r="G255" s="3" t="n">
        <v>2108.160115</v>
      </c>
      <c r="H255" s="3" t="n">
        <v>2336.620419</v>
      </c>
      <c r="I255" s="3" t="n">
        <v>2512.872152</v>
      </c>
      <c r="J255" s="3" t="n">
        <v>2749.159243</v>
      </c>
      <c r="K255" s="3" t="n">
        <v>2874.882704</v>
      </c>
      <c r="L255" s="3" t="n">
        <v>3240.716113</v>
      </c>
      <c r="M255" s="3" t="n">
        <v>3420.539892</v>
      </c>
      <c r="N255" s="3" t="n">
        <v>3649.928074</v>
      </c>
      <c r="O255" s="3" t="n">
        <v>4215.340616</v>
      </c>
      <c r="P255" s="3" t="n">
        <v>4444.600582</v>
      </c>
      <c r="Q255" s="3" t="n">
        <v>5002.181839</v>
      </c>
      <c r="R255" s="3" t="n">
        <v>5692.822881</v>
      </c>
      <c r="S255" s="3" t="n">
        <v>6413.1059</v>
      </c>
      <c r="T255" s="3" t="n">
        <v>6640.134955</v>
      </c>
      <c r="U255" s="3" t="n">
        <v>6884.46639</v>
      </c>
      <c r="V255" s="3" t="n">
        <v>6995.311</v>
      </c>
      <c r="W255" s="3" t="n">
        <v>7604.80434</v>
      </c>
      <c r="X255" s="3" t="n">
        <v>8186.774147</v>
      </c>
      <c r="Y255" s="3" t="n">
        <v>8836.568740999999</v>
      </c>
      <c r="Z255" s="3" t="n">
        <v>9428.060496</v>
      </c>
      <c r="AA255" s="3" t="n">
        <v>10252.165739</v>
      </c>
      <c r="AB255" s="3" t="n">
        <v>10922.877001</v>
      </c>
      <c r="AC255" s="3" t="n">
        <v>11615.916001</v>
      </c>
      <c r="AD255" s="3" t="n">
        <v>12199.703518</v>
      </c>
      <c r="AE255" s="3" t="n">
        <v>14021.571214</v>
      </c>
      <c r="AF255" s="3" t="n">
        <v>15763.749134</v>
      </c>
      <c r="AG255" s="3" t="n">
        <v>18085.915592</v>
      </c>
      <c r="AH255" s="3" t="n">
        <v>20097.841615</v>
      </c>
      <c r="AI255" s="3" t="n">
        <v>21532.710869</v>
      </c>
      <c r="AJ255" s="3" t="n">
        <v>23039.602637</v>
      </c>
      <c r="AK255" s="3" t="n">
        <v>24640.753185</v>
      </c>
      <c r="AL255" s="3" t="n">
        <v>26333.408624</v>
      </c>
      <c r="AM255" s="3" t="n"/>
      <c r="AN255" s="3" t="n"/>
      <c r="AO255" s="3" t="n"/>
      <c r="AP255" s="3" t="n"/>
      <c r="AQ255" s="3" t="n"/>
      <c r="AR255" s="3" t="n"/>
      <c r="AS255" s="3" t="n"/>
      <c r="AT255" s="3" t="n"/>
      <c r="AU255" s="3" t="n"/>
    </row>
    <row r="256">
      <c r="A256" s="3" t="n">
        <v>2031</v>
      </c>
      <c r="B256" s="3" t="inlineStr">
        <is>
          <t>BFA</t>
        </is>
      </c>
      <c r="C256" s="3" t="inlineStr">
        <is>
          <t>IMF.RES:WEO</t>
        </is>
      </c>
      <c r="D256" s="3" t="inlineStr">
        <is>
          <t>BFA.NGDP_D.A</t>
        </is>
      </c>
      <c r="E256" s="3" t="inlineStr">
        <is>
          <t>Burkina Faso</t>
        </is>
      </c>
      <c r="F256" s="3" t="inlineStr">
        <is>
          <t>Gross domestic product (GDP), Price deflator, Index</t>
        </is>
      </c>
      <c r="G256" s="3" t="n">
        <v>69.81107</v>
      </c>
      <c r="H256" s="3" t="n">
        <v>72.576672</v>
      </c>
      <c r="I256" s="3" t="n">
        <v>74.795331</v>
      </c>
      <c r="J256" s="3" t="n">
        <v>75.905839</v>
      </c>
      <c r="K256" s="3" t="n">
        <v>75.974647</v>
      </c>
      <c r="L256" s="3" t="n">
        <v>78.815631</v>
      </c>
      <c r="M256" s="3" t="n">
        <v>78.29322000000001</v>
      </c>
      <c r="N256" s="3" t="n">
        <v>80.244561</v>
      </c>
      <c r="O256" s="3" t="n">
        <v>87.594802</v>
      </c>
      <c r="P256" s="3" t="n">
        <v>89.70189999999999</v>
      </c>
      <c r="Q256" s="3" t="n">
        <v>93.09228899999999</v>
      </c>
      <c r="R256" s="3" t="n">
        <v>99.364852</v>
      </c>
      <c r="S256" s="3" t="n">
        <v>105.151861</v>
      </c>
      <c r="T256" s="3" t="n">
        <v>102.912998</v>
      </c>
      <c r="U256" s="3" t="n">
        <v>102.274539</v>
      </c>
      <c r="V256" s="3" t="n">
        <v>100</v>
      </c>
      <c r="W256" s="3" t="n">
        <v>102.6</v>
      </c>
      <c r="X256" s="3" t="n">
        <v>104</v>
      </c>
      <c r="Y256" s="3" t="n">
        <v>105.3</v>
      </c>
      <c r="Z256" s="3" t="n">
        <v>106.1</v>
      </c>
      <c r="AA256" s="3" t="n">
        <v>113.1</v>
      </c>
      <c r="AB256" s="3" t="n">
        <v>112.676564</v>
      </c>
      <c r="AC256" s="3" t="n">
        <v>117.907669</v>
      </c>
      <c r="AD256" s="3" t="n">
        <v>120.226301</v>
      </c>
      <c r="AE256" s="3" t="n">
        <v>131.851902</v>
      </c>
      <c r="AF256" s="3" t="n">
        <v>141.182244</v>
      </c>
      <c r="AG256" s="3" t="n">
        <v>154.475347</v>
      </c>
      <c r="AH256" s="3" t="n">
        <v>163.7972</v>
      </c>
      <c r="AI256" s="3" t="n">
        <v>167.481724</v>
      </c>
      <c r="AJ256" s="3" t="n">
        <v>170.984305</v>
      </c>
      <c r="AK256" s="3" t="n">
        <v>174.441033</v>
      </c>
      <c r="AL256" s="3" t="n">
        <v>177.793552</v>
      </c>
      <c r="AM256" s="3" t="n"/>
      <c r="AN256" s="3" t="n"/>
      <c r="AO256" s="3" t="n"/>
      <c r="AP256" s="3" t="n"/>
      <c r="AQ256" s="3" t="n"/>
      <c r="AR256" s="3" t="n"/>
      <c r="AS256" s="3" t="n"/>
      <c r="AT256" s="3" t="n"/>
      <c r="AU256" s="3" t="n"/>
    </row>
    <row r="257">
      <c r="A257" s="3" t="n">
        <v>2031</v>
      </c>
      <c r="B257" s="3" t="inlineStr">
        <is>
          <t>BFA</t>
        </is>
      </c>
      <c r="C257" s="3" t="inlineStr">
        <is>
          <t>IMF.RES:WEO</t>
        </is>
      </c>
      <c r="D257" s="3" t="inlineStr">
        <is>
          <t>BFA.NGDP_R.A</t>
        </is>
      </c>
      <c r="E257" s="3" t="inlineStr">
        <is>
          <t>Burkina Faso</t>
        </is>
      </c>
      <c r="F257" s="3" t="inlineStr">
        <is>
          <t>Gross domestic product (GDP), Constant prices, Domestic currency</t>
        </is>
      </c>
      <c r="G257" s="3" t="n">
        <v>3019.807772</v>
      </c>
      <c r="H257" s="3" t="n">
        <v>3219.519913</v>
      </c>
      <c r="I257" s="3" t="n">
        <v>3359.66445</v>
      </c>
      <c r="J257" s="3" t="n">
        <v>3621.802064</v>
      </c>
      <c r="K257" s="3" t="n">
        <v>3784.002735</v>
      </c>
      <c r="L257" s="3" t="n">
        <v>4111.768255</v>
      </c>
      <c r="M257" s="3" t="n">
        <v>4368.883896</v>
      </c>
      <c r="N257" s="3" t="n">
        <v>4548.505272</v>
      </c>
      <c r="O257" s="3" t="n">
        <v>4812.318202</v>
      </c>
      <c r="P257" s="3" t="n">
        <v>4954.856702</v>
      </c>
      <c r="Q257" s="3" t="n">
        <v>5373.357851</v>
      </c>
      <c r="R257" s="3" t="n">
        <v>5729.211839</v>
      </c>
      <c r="S257" s="3" t="n">
        <v>6098.899109</v>
      </c>
      <c r="T257" s="3" t="n">
        <v>6452.183014</v>
      </c>
      <c r="U257" s="3" t="n">
        <v>6731.359012</v>
      </c>
      <c r="V257" s="3" t="n">
        <v>6995.311</v>
      </c>
      <c r="W257" s="3" t="n">
        <v>7412.09</v>
      </c>
      <c r="X257" s="3" t="n">
        <v>7871.898218</v>
      </c>
      <c r="Y257" s="3" t="n">
        <v>8391.803173</v>
      </c>
      <c r="Z257" s="3" t="n">
        <v>8886.013663</v>
      </c>
      <c r="AA257" s="3" t="n">
        <v>9064.691193000001</v>
      </c>
      <c r="AB257" s="3" t="n">
        <v>9694.009638</v>
      </c>
      <c r="AC257" s="3" t="n">
        <v>9851.705252</v>
      </c>
      <c r="AD257" s="3" t="n">
        <v>10147.283418</v>
      </c>
      <c r="AE257" s="3" t="n">
        <v>10634.333694</v>
      </c>
      <c r="AF257" s="3" t="n">
        <v>11165.532375</v>
      </c>
      <c r="AG257" s="3" t="n">
        <v>11707.962447</v>
      </c>
      <c r="AH257" s="3" t="n">
        <v>12269.954306</v>
      </c>
      <c r="AI257" s="3" t="n">
        <v>12856.7526</v>
      </c>
      <c r="AJ257" s="3" t="n">
        <v>13474.688555</v>
      </c>
      <c r="AK257" s="3" t="n">
        <v>14125.548761</v>
      </c>
      <c r="AL257" s="3" t="n">
        <v>14811.228136</v>
      </c>
      <c r="AM257" s="3" t="n"/>
      <c r="AN257" s="3" t="n"/>
      <c r="AO257" s="3" t="n"/>
      <c r="AP257" s="3" t="n"/>
      <c r="AQ257" s="3" t="n"/>
      <c r="AR257" s="3" t="n"/>
      <c r="AS257" s="3" t="n"/>
      <c r="AT257" s="3" t="n"/>
      <c r="AU257" s="3" t="n"/>
    </row>
    <row r="258">
      <c r="A258" s="3" t="n">
        <v>2031</v>
      </c>
      <c r="B258" s="3" t="inlineStr">
        <is>
          <t>BFA</t>
        </is>
      </c>
      <c r="C258" s="3" t="inlineStr">
        <is>
          <t>IMF.RES:WEO</t>
        </is>
      </c>
      <c r="D258" s="3" t="inlineStr">
        <is>
          <t>BFA.NGDP_RPCH.A</t>
        </is>
      </c>
      <c r="E258" s="3" t="inlineStr">
        <is>
          <t>Burkina Faso</t>
        </is>
      </c>
      <c r="F258" s="3" t="inlineStr">
        <is>
          <t>Gross domestic product (GDP), Constant prices, Percent change</t>
        </is>
      </c>
      <c r="G258" s="3" t="n">
        <v>1.888474</v>
      </c>
      <c r="H258" s="3" t="n">
        <v>6.613406</v>
      </c>
      <c r="I258" s="3" t="n">
        <v>4.352964</v>
      </c>
      <c r="J258" s="3" t="n">
        <v>7.802494</v>
      </c>
      <c r="K258" s="3" t="n">
        <v>4.478452</v>
      </c>
      <c r="L258" s="3" t="n">
        <v>8.661873</v>
      </c>
      <c r="M258" s="3" t="n">
        <v>6.253165</v>
      </c>
      <c r="N258" s="3" t="n">
        <v>4.111379</v>
      </c>
      <c r="O258" s="3" t="n">
        <v>5.799992</v>
      </c>
      <c r="P258" s="3" t="n">
        <v>2.961951</v>
      </c>
      <c r="Q258" s="3" t="n">
        <v>8.446282</v>
      </c>
      <c r="R258" s="3" t="n">
        <v>6.622563</v>
      </c>
      <c r="S258" s="3" t="n">
        <v>6.452672</v>
      </c>
      <c r="T258" s="3" t="n">
        <v>5.792585</v>
      </c>
      <c r="U258" s="3" t="n">
        <v>4.326846</v>
      </c>
      <c r="V258" s="3" t="n">
        <v>3.921229</v>
      </c>
      <c r="W258" s="3" t="n">
        <v>5.957977</v>
      </c>
      <c r="X258" s="3" t="n">
        <v>6.203489</v>
      </c>
      <c r="Y258" s="3" t="n">
        <v>6.604569</v>
      </c>
      <c r="Z258" s="3" t="n">
        <v>5.889205</v>
      </c>
      <c r="AA258" s="3" t="n">
        <v>2.010773</v>
      </c>
      <c r="AB258" s="3" t="n">
        <v>6.942525</v>
      </c>
      <c r="AC258" s="3" t="n">
        <v>1.626733</v>
      </c>
      <c r="AD258" s="3" t="n">
        <v>3.000274</v>
      </c>
      <c r="AE258" s="3" t="n">
        <v>4.79981</v>
      </c>
      <c r="AF258" s="3" t="n">
        <v>4.995129</v>
      </c>
      <c r="AG258" s="3" t="n">
        <v>4.858076</v>
      </c>
      <c r="AH258" s="3" t="n">
        <v>4.800083</v>
      </c>
      <c r="AI258" s="3" t="n">
        <v>4.7824</v>
      </c>
      <c r="AJ258" s="3" t="n">
        <v>4.806314</v>
      </c>
      <c r="AK258" s="3" t="n">
        <v>4.830243</v>
      </c>
      <c r="AL258" s="3" t="n">
        <v>4.854179</v>
      </c>
      <c r="AM258" s="3" t="n"/>
      <c r="AN258" s="3" t="n"/>
      <c r="AO258" s="3" t="n"/>
      <c r="AP258" s="3" t="n"/>
      <c r="AQ258" s="3" t="n"/>
      <c r="AR258" s="3" t="n"/>
      <c r="AS258" s="3" t="n"/>
      <c r="AT258" s="3" t="n"/>
      <c r="AU258" s="3" t="n"/>
    </row>
    <row r="259">
      <c r="A259" s="3" t="n">
        <v>2031</v>
      </c>
      <c r="B259" s="3" t="inlineStr">
        <is>
          <t>BFA</t>
        </is>
      </c>
      <c r="C259" s="3" t="inlineStr">
        <is>
          <t>IMF.RES:WEO</t>
        </is>
      </c>
      <c r="D259" s="3" t="inlineStr">
        <is>
          <t>BFA.NGDPD.A</t>
        </is>
      </c>
      <c r="E259" s="3" t="inlineStr">
        <is>
          <t>Burkina Faso</t>
        </is>
      </c>
      <c r="F259" s="3" t="inlineStr">
        <is>
          <t>Gross domestic product (GDP), Current prices, US dollar</t>
        </is>
      </c>
      <c r="G259" s="3" t="n">
        <v>2.960982</v>
      </c>
      <c r="H259" s="3" t="n">
        <v>3.190393</v>
      </c>
      <c r="I259" s="3" t="n">
        <v>3.61979</v>
      </c>
      <c r="J259" s="3" t="n">
        <v>4.739581</v>
      </c>
      <c r="K259" s="3" t="n">
        <v>5.449214</v>
      </c>
      <c r="L259" s="3" t="n">
        <v>6.149751</v>
      </c>
      <c r="M259" s="3" t="n">
        <v>6.547767</v>
      </c>
      <c r="N259" s="3" t="n">
        <v>7.626622</v>
      </c>
      <c r="O259" s="3" t="n">
        <v>9.4504</v>
      </c>
      <c r="P259" s="3" t="n">
        <v>9.440435000000001</v>
      </c>
      <c r="Q259" s="3" t="n">
        <v>10.117877</v>
      </c>
      <c r="R259" s="3" t="n">
        <v>12.07817</v>
      </c>
      <c r="S259" s="3" t="n">
        <v>12.568969</v>
      </c>
      <c r="T259" s="3" t="n">
        <v>13.444496</v>
      </c>
      <c r="U259" s="3" t="n">
        <v>13.946609</v>
      </c>
      <c r="V259" s="3" t="n">
        <v>11.833357</v>
      </c>
      <c r="W259" s="3" t="n">
        <v>12.829284</v>
      </c>
      <c r="X259" s="3" t="n">
        <v>14.094188</v>
      </c>
      <c r="Y259" s="3" t="n">
        <v>15.916162</v>
      </c>
      <c r="Z259" s="3" t="n">
        <v>16.091967</v>
      </c>
      <c r="AA259" s="3" t="n">
        <v>17.837466</v>
      </c>
      <c r="AB259" s="3" t="n">
        <v>19.70787</v>
      </c>
      <c r="AC259" s="3" t="n">
        <v>18.662424</v>
      </c>
      <c r="AD259" s="3" t="n">
        <v>20.115589</v>
      </c>
      <c r="AE259" s="3" t="n">
        <v>23.129725</v>
      </c>
      <c r="AF259" s="3" t="n">
        <v>27.139998</v>
      </c>
      <c r="AG259" s="3" t="n">
        <v>32.513187</v>
      </c>
      <c r="AH259" s="3" t="n">
        <v>36.046872</v>
      </c>
      <c r="AI259" s="3" t="n">
        <v>38.516</v>
      </c>
      <c r="AJ259" s="3" t="n">
        <v>41.189564</v>
      </c>
      <c r="AK259" s="3" t="n">
        <v>44.045164</v>
      </c>
      <c r="AL259" s="3" t="n">
        <v>47.06302</v>
      </c>
      <c r="AM259" s="3" t="n"/>
      <c r="AN259" s="3" t="n"/>
      <c r="AO259" s="3" t="n"/>
      <c r="AP259" s="3" t="n"/>
      <c r="AQ259" s="3" t="n"/>
      <c r="AR259" s="3" t="n"/>
      <c r="AS259" s="3" t="n"/>
      <c r="AT259" s="3" t="n"/>
      <c r="AU259" s="3" t="n"/>
    </row>
    <row r="260">
      <c r="A260" s="3" t="n">
        <v>2031</v>
      </c>
      <c r="B260" s="3" t="inlineStr">
        <is>
          <t>BFA</t>
        </is>
      </c>
      <c r="C260" s="3" t="inlineStr">
        <is>
          <t>IMF.RES:WEO</t>
        </is>
      </c>
      <c r="D260" s="3" t="inlineStr">
        <is>
          <t>BFA.NGDPPC.A</t>
        </is>
      </c>
      <c r="E260" s="3" t="inlineStr">
        <is>
          <t>Burkina Faso</t>
        </is>
      </c>
      <c r="F260" s="3" t="inlineStr">
        <is>
          <t>Gross domestic product (GDP), Current prices, Per capita, Domestic currency</t>
        </is>
      </c>
      <c r="G260" s="3" t="n">
        <v>176776.82136</v>
      </c>
      <c r="H260" s="3" t="n">
        <v>190046.378968</v>
      </c>
      <c r="I260" s="3" t="n">
        <v>198162.018942</v>
      </c>
      <c r="J260" s="3" t="n">
        <v>210139.691857</v>
      </c>
      <c r="K260" s="3" t="n">
        <v>212945.866986</v>
      </c>
      <c r="L260" s="3" t="n">
        <v>232607.486497</v>
      </c>
      <c r="M260" s="3" t="n">
        <v>237972.00623</v>
      </c>
      <c r="N260" s="3" t="n">
        <v>246345.332465</v>
      </c>
      <c r="O260" s="3" t="n">
        <v>276269.165227</v>
      </c>
      <c r="P260" s="3" t="n">
        <v>282914.189051</v>
      </c>
      <c r="Q260" s="3" t="n">
        <v>309225.262396</v>
      </c>
      <c r="R260" s="3" t="n">
        <v>341666.925606</v>
      </c>
      <c r="S260" s="3" t="n">
        <v>373456.715459</v>
      </c>
      <c r="T260" s="3" t="n">
        <v>375246.198317</v>
      </c>
      <c r="U260" s="3" t="n">
        <v>377656.058521</v>
      </c>
      <c r="V260" s="3" t="n">
        <v>372537.123844</v>
      </c>
      <c r="W260" s="3" t="n">
        <v>393320.971204</v>
      </c>
      <c r="X260" s="3" t="n">
        <v>411511.343214</v>
      </c>
      <c r="Y260" s="3" t="n">
        <v>432353.665886</v>
      </c>
      <c r="Z260" s="3" t="n">
        <v>449770.159578</v>
      </c>
      <c r="AA260" s="3" t="n">
        <v>477318.017954</v>
      </c>
      <c r="AB260" s="3" t="n">
        <v>496601.787987</v>
      </c>
      <c r="AC260" s="3" t="n">
        <v>516055.639561</v>
      </c>
      <c r="AD260" s="3" t="n">
        <v>529828.1160339999</v>
      </c>
      <c r="AE260" s="3" t="n">
        <v>595285.1729980001</v>
      </c>
      <c r="AF260" s="3" t="n">
        <v>654230.154035</v>
      </c>
      <c r="AG260" s="3" t="n">
        <v>733760.2836889999</v>
      </c>
      <c r="AH260" s="3" t="n">
        <v>797087.098198</v>
      </c>
      <c r="AI260" s="3" t="n">
        <v>834829.386541</v>
      </c>
      <c r="AJ260" s="3" t="n">
        <v>873205.902426</v>
      </c>
      <c r="AK260" s="3" t="n">
        <v>912931.759182</v>
      </c>
      <c r="AL260" s="3" t="n">
        <v>953748.952992</v>
      </c>
      <c r="AM260" s="3" t="n"/>
      <c r="AN260" s="3" t="n"/>
      <c r="AO260" s="3" t="n"/>
      <c r="AP260" s="3" t="n"/>
      <c r="AQ260" s="3" t="n"/>
      <c r="AR260" s="3" t="n"/>
      <c r="AS260" s="3" t="n"/>
      <c r="AT260" s="3" t="n"/>
      <c r="AU260" s="3" t="n"/>
    </row>
    <row r="261">
      <c r="A261" s="3" t="n">
        <v>2031</v>
      </c>
      <c r="B261" s="3" t="inlineStr">
        <is>
          <t>BFA</t>
        </is>
      </c>
      <c r="C261" s="3" t="inlineStr">
        <is>
          <t>IMF.RES:WEO</t>
        </is>
      </c>
      <c r="D261" s="3" t="inlineStr">
        <is>
          <t>BFA.NGDPRPC.A</t>
        </is>
      </c>
      <c r="E261" s="3" t="inlineStr">
        <is>
          <t>Burkina Faso</t>
        </is>
      </c>
      <c r="F261" s="3" t="inlineStr">
        <is>
          <t>Gross domestic product (GDP), Constant prices, Per capita, Domestic currency</t>
        </is>
      </c>
      <c r="G261" s="3" t="n">
        <v>253221.762098</v>
      </c>
      <c r="H261" s="3" t="n">
        <v>261856.010654</v>
      </c>
      <c r="I261" s="3" t="n">
        <v>264939.022064</v>
      </c>
      <c r="J261" s="3" t="n">
        <v>276842.591597</v>
      </c>
      <c r="K261" s="3" t="n">
        <v>280285.432835</v>
      </c>
      <c r="L261" s="3" t="n">
        <v>295128.621481</v>
      </c>
      <c r="M261" s="3" t="n">
        <v>303949.697591</v>
      </c>
      <c r="N261" s="3" t="n">
        <v>306993.184716</v>
      </c>
      <c r="O261" s="3" t="n">
        <v>315394.47307</v>
      </c>
      <c r="P261" s="3" t="n">
        <v>315393.754687</v>
      </c>
      <c r="Q261" s="3" t="n">
        <v>332170.649725</v>
      </c>
      <c r="R261" s="3" t="n">
        <v>343850.886646</v>
      </c>
      <c r="S261" s="3" t="n">
        <v>355159.39775</v>
      </c>
      <c r="T261" s="3" t="n">
        <v>364624.689622</v>
      </c>
      <c r="U261" s="3" t="n">
        <v>369257.160822</v>
      </c>
      <c r="V261" s="3" t="n">
        <v>372537.123844</v>
      </c>
      <c r="W261" s="3" t="n">
        <v>383353.773103</v>
      </c>
      <c r="X261" s="3" t="n">
        <v>395683.98386</v>
      </c>
      <c r="Y261" s="3" t="n">
        <v>410592.275295</v>
      </c>
      <c r="Z261" s="3" t="n">
        <v>423911.554739</v>
      </c>
      <c r="AA261" s="3" t="n">
        <v>422031.846113</v>
      </c>
      <c r="AB261" s="3" t="n">
        <v>440732.100042</v>
      </c>
      <c r="AC261" s="3" t="n">
        <v>437677.756444</v>
      </c>
      <c r="AD261" s="3" t="n">
        <v>440692.353577</v>
      </c>
      <c r="AE261" s="3" t="n">
        <v>451480.156964</v>
      </c>
      <c r="AF261" s="3" t="n">
        <v>463394.076073</v>
      </c>
      <c r="AG261" s="3" t="n">
        <v>475001.544886</v>
      </c>
      <c r="AH261" s="3" t="n">
        <v>486630.478021</v>
      </c>
      <c r="AI261" s="3" t="n">
        <v>498459.991933</v>
      </c>
      <c r="AJ261" s="3" t="n">
        <v>510693.598542</v>
      </c>
      <c r="AK261" s="3" t="n">
        <v>523346.911632</v>
      </c>
      <c r="AL261" s="3" t="n">
        <v>536436.187564</v>
      </c>
      <c r="AM261" s="3" t="n"/>
      <c r="AN261" s="3" t="n"/>
      <c r="AO261" s="3" t="n"/>
      <c r="AP261" s="3" t="n"/>
      <c r="AQ261" s="3" t="n"/>
      <c r="AR261" s="3" t="n"/>
      <c r="AS261" s="3" t="n"/>
      <c r="AT261" s="3" t="n"/>
      <c r="AU261" s="3" t="n"/>
    </row>
    <row r="262">
      <c r="A262" s="3" t="n">
        <v>2031</v>
      </c>
      <c r="B262" s="3" t="inlineStr">
        <is>
          <t>BFA</t>
        </is>
      </c>
      <c r="C262" s="3" t="inlineStr">
        <is>
          <t>IMF.RES:WEO</t>
        </is>
      </c>
      <c r="D262" s="3" t="inlineStr">
        <is>
          <t>BFA.PCPI.A</t>
        </is>
      </c>
      <c r="E262" s="3" t="inlineStr">
        <is>
          <t>Burkina Faso</t>
        </is>
      </c>
      <c r="F262" s="3" t="inlineStr">
        <is>
          <t>All Items, Consumer price index (CPI), Period average</t>
        </is>
      </c>
      <c r="G262" s="3" t="n">
        <v>71.22743800000001</v>
      </c>
      <c r="H262" s="3" t="n">
        <v>74.594549</v>
      </c>
      <c r="I262" s="3" t="n">
        <v>76.310243</v>
      </c>
      <c r="J262" s="3" t="n">
        <v>77.867222</v>
      </c>
      <c r="K262" s="3" t="n">
        <v>77.55574799999999</v>
      </c>
      <c r="L262" s="3" t="n">
        <v>82.526307</v>
      </c>
      <c r="M262" s="3" t="n">
        <v>84.454303</v>
      </c>
      <c r="N262" s="3" t="n">
        <v>84.257304</v>
      </c>
      <c r="O262" s="3" t="n">
        <v>93.246247</v>
      </c>
      <c r="P262" s="3" t="n">
        <v>94.051523</v>
      </c>
      <c r="Q262" s="3" t="n">
        <v>93.479671</v>
      </c>
      <c r="R262" s="3" t="n">
        <v>96.068449</v>
      </c>
      <c r="S262" s="3" t="n">
        <v>99.735056</v>
      </c>
      <c r="T262" s="3" t="n">
        <v>100.25871</v>
      </c>
      <c r="U262" s="3" t="n">
        <v>100</v>
      </c>
      <c r="V262" s="3" t="n">
        <v>101.653333</v>
      </c>
      <c r="W262" s="3" t="n">
        <v>102.101667</v>
      </c>
      <c r="X262" s="3" t="n">
        <v>103.615833</v>
      </c>
      <c r="Y262" s="3" t="n">
        <v>105.6425</v>
      </c>
      <c r="Z262" s="3" t="n">
        <v>102.226667</v>
      </c>
      <c r="AA262" s="3" t="n">
        <v>104.153333</v>
      </c>
      <c r="AB262" s="3" t="n">
        <v>108.223779</v>
      </c>
      <c r="AC262" s="3" t="n">
        <v>123.13634</v>
      </c>
      <c r="AD262" s="3" t="n">
        <v>124.296436</v>
      </c>
      <c r="AE262" s="3" t="n">
        <v>129.508333</v>
      </c>
      <c r="AF262" s="3" t="n">
        <v>128.796169</v>
      </c>
      <c r="AG262" s="3" t="n">
        <v>130.768237</v>
      </c>
      <c r="AH262" s="3" t="n">
        <v>133.463069</v>
      </c>
      <c r="AI262" s="3" t="n">
        <v>136.173385</v>
      </c>
      <c r="AJ262" s="3" t="n">
        <v>138.896853</v>
      </c>
      <c r="AK262" s="3" t="n">
        <v>141.67479</v>
      </c>
      <c r="AL262" s="3" t="n">
        <v>144.508286</v>
      </c>
      <c r="AM262" s="3" t="n"/>
      <c r="AN262" s="3" t="n"/>
      <c r="AO262" s="3" t="n"/>
      <c r="AP262" s="3" t="n"/>
      <c r="AQ262" s="3" t="n"/>
      <c r="AR262" s="3" t="n"/>
      <c r="AS262" s="3" t="n"/>
      <c r="AT262" s="3" t="n"/>
      <c r="AU262" s="3" t="n"/>
    </row>
    <row r="263">
      <c r="A263" s="3" t="n">
        <v>2031</v>
      </c>
      <c r="B263" s="3" t="inlineStr">
        <is>
          <t>BFA</t>
        </is>
      </c>
      <c r="C263" s="3" t="inlineStr">
        <is>
          <t>IMF.RES:WEO</t>
        </is>
      </c>
      <c r="D263" s="3" t="inlineStr">
        <is>
          <t>BFA.PCPIPCH.A</t>
        </is>
      </c>
      <c r="E263" s="3" t="inlineStr">
        <is>
          <t>Burkina Faso</t>
        </is>
      </c>
      <c r="F263" s="3" t="inlineStr">
        <is>
          <t>All Items, Consumer price index (CPI), Period average, percent change</t>
        </is>
      </c>
      <c r="G263" s="3" t="n">
        <v>-0.169022</v>
      </c>
      <c r="H263" s="3" t="n">
        <v>4.727267</v>
      </c>
      <c r="I263" s="3" t="n">
        <v>2.300025</v>
      </c>
      <c r="J263" s="3" t="n">
        <v>2.040328</v>
      </c>
      <c r="K263" s="3" t="n">
        <v>-0.400006</v>
      </c>
      <c r="L263" s="3" t="n">
        <v>6.409014</v>
      </c>
      <c r="M263" s="3" t="n">
        <v>2.33622</v>
      </c>
      <c r="N263" s="3" t="n">
        <v>-0.233261</v>
      </c>
      <c r="O263" s="3" t="n">
        <v>10.668444</v>
      </c>
      <c r="P263" s="3" t="n">
        <v>0.863601</v>
      </c>
      <c r="Q263" s="3" t="n">
        <v>-0.60802</v>
      </c>
      <c r="R263" s="3" t="n">
        <v>2.769348</v>
      </c>
      <c r="S263" s="3" t="n">
        <v>3.816661</v>
      </c>
      <c r="T263" s="3" t="n">
        <v>0.525045</v>
      </c>
      <c r="U263" s="3" t="n">
        <v>-0.258043</v>
      </c>
      <c r="V263" s="3" t="n">
        <v>1.653333</v>
      </c>
      <c r="W263" s="3" t="n">
        <v>0.441041</v>
      </c>
      <c r="X263" s="3" t="n">
        <v>1.482999</v>
      </c>
      <c r="Y263" s="3" t="n">
        <v>1.955943</v>
      </c>
      <c r="Z263" s="3" t="n">
        <v>-3.233389</v>
      </c>
      <c r="AA263" s="3" t="n">
        <v>1.884701</v>
      </c>
      <c r="AB263" s="3" t="n">
        <v>3.908128</v>
      </c>
      <c r="AC263" s="3" t="n">
        <v>13.779375</v>
      </c>
      <c r="AD263" s="3" t="n">
        <v>0.942124</v>
      </c>
      <c r="AE263" s="3" t="n">
        <v>4.193119</v>
      </c>
      <c r="AF263" s="3" t="n">
        <v>-0.549898</v>
      </c>
      <c r="AG263" s="3" t="n">
        <v>1.531154</v>
      </c>
      <c r="AH263" s="3" t="n">
        <v>2.06077</v>
      </c>
      <c r="AI263" s="3" t="n">
        <v>2.030761</v>
      </c>
      <c r="AJ263" s="3" t="n">
        <v>2</v>
      </c>
      <c r="AK263" s="3" t="n">
        <v>2</v>
      </c>
      <c r="AL263" s="3" t="n">
        <v>2</v>
      </c>
      <c r="AM263" s="3" t="n"/>
      <c r="AN263" s="3" t="n"/>
      <c r="AO263" s="3" t="n"/>
      <c r="AP263" s="3" t="n"/>
      <c r="AQ263" s="3" t="n"/>
      <c r="AR263" s="3" t="n"/>
      <c r="AS263" s="3" t="n"/>
      <c r="AT263" s="3" t="n"/>
      <c r="AU263" s="3" t="n"/>
    </row>
    <row r="264">
      <c r="A264" s="3" t="n">
        <v>2031</v>
      </c>
      <c r="B264" s="3" t="inlineStr">
        <is>
          <t>BFA</t>
        </is>
      </c>
      <c r="C264" s="3" t="inlineStr">
        <is>
          <t>IMF.RES:WEO</t>
        </is>
      </c>
      <c r="D264" s="3" t="inlineStr">
        <is>
          <t>BFA.PPPPC.A</t>
        </is>
      </c>
      <c r="E264" s="3" t="inlineStr">
        <is>
          <t>Burkina Faso</t>
        </is>
      </c>
      <c r="F264" s="3" t="inlineStr">
        <is>
          <t>Gross domestic product (GDP), Per capita, purchasing power parity (PPP) international dollar, ICP benchmarks 2017-2021</t>
        </is>
      </c>
      <c r="G264" s="3" t="n">
        <v>949.995327</v>
      </c>
      <c r="H264" s="3" t="n">
        <v>1004.507511</v>
      </c>
      <c r="I264" s="3" t="n">
        <v>1032.128469</v>
      </c>
      <c r="J264" s="3" t="n">
        <v>1099.793398</v>
      </c>
      <c r="K264" s="3" t="n">
        <v>1143.410435</v>
      </c>
      <c r="L264" s="3" t="n">
        <v>1241.716589</v>
      </c>
      <c r="M264" s="3" t="n">
        <v>1318.267774</v>
      </c>
      <c r="N264" s="3" t="n">
        <v>1367.540815</v>
      </c>
      <c r="O264" s="3" t="n">
        <v>1432.030852</v>
      </c>
      <c r="P264" s="3" t="n">
        <v>1440.859505</v>
      </c>
      <c r="Q264" s="3" t="n">
        <v>1535.947209</v>
      </c>
      <c r="R264" s="3" t="n">
        <v>1622.761024</v>
      </c>
      <c r="S264" s="3" t="n">
        <v>1707.338525</v>
      </c>
      <c r="T264" s="3" t="n">
        <v>1782.673942</v>
      </c>
      <c r="U264" s="3" t="n">
        <v>1836.765965</v>
      </c>
      <c r="V264" s="3" t="n">
        <v>1870.278799</v>
      </c>
      <c r="W264" s="3" t="n">
        <v>1942.87035</v>
      </c>
      <c r="X264" s="3" t="n">
        <v>2041.274734</v>
      </c>
      <c r="Y264" s="3" t="n">
        <v>2075.7872</v>
      </c>
      <c r="Z264" s="3" t="n">
        <v>2240.303351</v>
      </c>
      <c r="AA264" s="3" t="n">
        <v>2392.36658</v>
      </c>
      <c r="AB264" s="3" t="n">
        <v>2486.430931</v>
      </c>
      <c r="AC264" s="3" t="n">
        <v>2644.819266</v>
      </c>
      <c r="AD264" s="3" t="n">
        <v>2761.569233</v>
      </c>
      <c r="AE264" s="3" t="n">
        <v>2899.405703</v>
      </c>
      <c r="AF264" s="3" t="n">
        <v>3060.33671</v>
      </c>
      <c r="AG264" s="3" t="n">
        <v>3226.864707</v>
      </c>
      <c r="AH264" s="3" t="n">
        <v>3378.457981</v>
      </c>
      <c r="AI264" s="3" t="n">
        <v>3517.386725</v>
      </c>
      <c r="AJ264" s="3" t="n">
        <v>3667.791197</v>
      </c>
      <c r="AK264" s="3" t="n">
        <v>3827.733554</v>
      </c>
      <c r="AL264" s="3" t="n">
        <v>3994.298309</v>
      </c>
      <c r="AM264" s="3" t="n"/>
      <c r="AN264" s="3" t="n"/>
      <c r="AO264" s="3" t="n"/>
      <c r="AP264" s="3" t="n"/>
      <c r="AQ264" s="3" t="n"/>
      <c r="AR264" s="3" t="n"/>
      <c r="AS264" s="3" t="n"/>
      <c r="AT264" s="3" t="n"/>
      <c r="AU264" s="3" t="n"/>
    </row>
    <row r="265">
      <c r="A265" s="3" t="n">
        <v>2025</v>
      </c>
      <c r="B265" s="3" t="inlineStr">
        <is>
          <t>BFA</t>
        </is>
      </c>
      <c r="C265" s="3" t="inlineStr">
        <is>
          <t>IMF.STA:ER</t>
        </is>
      </c>
      <c r="D265" s="3" t="inlineStr">
        <is>
          <t>BFA.XDC_USD.PA_RT.A</t>
        </is>
      </c>
      <c r="E265" s="3" t="inlineStr">
        <is>
          <t>Burkina Faso</t>
        </is>
      </c>
      <c r="F265" s="3" t="inlineStr">
        <is>
          <t>Domestic currency per US Dollar</t>
        </is>
      </c>
      <c r="G265" s="3" t="n">
        <v>710.207977031367</v>
      </c>
      <c r="H265" s="3" t="n">
        <v>732.397693260228</v>
      </c>
      <c r="I265" s="3" t="n">
        <v>693.713226496374</v>
      </c>
      <c r="J265" s="3" t="n">
        <v>579.897426172466</v>
      </c>
      <c r="K265" s="3" t="n">
        <v>527.338032291576</v>
      </c>
      <c r="L265" s="3" t="n">
        <v>527.258362649626</v>
      </c>
      <c r="M265" s="3" t="n">
        <v>522.425624895176</v>
      </c>
      <c r="N265" s="3" t="n">
        <v>478.633718476363</v>
      </c>
      <c r="O265" s="3" t="n">
        <v>446.000041432788</v>
      </c>
      <c r="P265" s="3" t="n">
        <v>470.293423341398</v>
      </c>
      <c r="Q265" s="3" t="n">
        <v>494.794262222947</v>
      </c>
      <c r="R265" s="3" t="n">
        <v>471.248625718937</v>
      </c>
      <c r="S265" s="3" t="n">
        <v>510.556338454251</v>
      </c>
      <c r="T265" s="3" t="n">
        <v>493.899623852237</v>
      </c>
      <c r="U265" s="3" t="n">
        <v>493.757329875312</v>
      </c>
      <c r="V265" s="3" t="n">
        <v>591.21169798261</v>
      </c>
      <c r="W265" s="3" t="n">
        <v>592.605615063022</v>
      </c>
      <c r="X265" s="3" t="n">
        <v>580.656749587858</v>
      </c>
      <c r="Y265" s="3" t="n">
        <v>555.446458398226</v>
      </c>
      <c r="Z265" s="3" t="n">
        <v>585.911013180369</v>
      </c>
      <c r="AA265" s="3" t="n">
        <v>575.586004510945</v>
      </c>
      <c r="AB265" s="3" t="n">
        <v>554.530675033104</v>
      </c>
      <c r="AC265" s="3" t="n">
        <v>623.759700911182</v>
      </c>
      <c r="AD265" s="3" t="n">
        <v>606.569750165917</v>
      </c>
      <c r="AE265" s="3" t="n">
        <v>606.345297609062</v>
      </c>
      <c r="AF265" s="3" t="n">
        <v>581.928481040339</v>
      </c>
      <c r="AG265" s="3" t="n"/>
      <c r="AH265" s="3" t="n"/>
      <c r="AI265" s="3" t="n"/>
      <c r="AJ265" s="3" t="n"/>
      <c r="AK265" s="3" t="n"/>
      <c r="AL265" s="3" t="n"/>
      <c r="AM265" s="3" t="n"/>
      <c r="AN265" s="3" t="n"/>
      <c r="AO265" s="3" t="n"/>
      <c r="AP265" s="3" t="n"/>
      <c r="AQ265" s="3" t="n"/>
      <c r="AR265" s="3" t="n"/>
      <c r="AS265" s="3" t="n"/>
      <c r="AT265" s="3" t="n"/>
      <c r="AU265" s="3" t="n"/>
    </row>
    <row r="266">
      <c r="A266" s="3" t="n">
        <v>2031</v>
      </c>
      <c r="B266" s="3" t="inlineStr">
        <is>
          <t>BGD</t>
        </is>
      </c>
      <c r="C266" s="3" t="inlineStr">
        <is>
          <t>IMF.RES:WEO</t>
        </is>
      </c>
      <c r="D266" s="3" t="inlineStr">
        <is>
          <t>BGD.BCA.A</t>
        </is>
      </c>
      <c r="E266" s="3" t="inlineStr">
        <is>
          <t>Bangladesh</t>
        </is>
      </c>
      <c r="F266" s="3" t="inlineStr">
        <is>
          <t>Current account balance (credit less debit), US dollar</t>
        </is>
      </c>
      <c r="G266" s="3" t="n">
        <v>-0.337</v>
      </c>
      <c r="H266" s="3" t="n">
        <v>-1.018</v>
      </c>
      <c r="I266" s="3" t="n">
        <v>0.157</v>
      </c>
      <c r="J266" s="3" t="n">
        <v>0.176</v>
      </c>
      <c r="K266" s="3" t="n">
        <v>0.176</v>
      </c>
      <c r="L266" s="3" t="n">
        <v>-0.5569</v>
      </c>
      <c r="M266" s="3" t="n">
        <v>0.572</v>
      </c>
      <c r="N266" s="3" t="n">
        <v>0.9565</v>
      </c>
      <c r="O266" s="3" t="n">
        <v>0.2775</v>
      </c>
      <c r="P266" s="3" t="n">
        <v>2.08577</v>
      </c>
      <c r="Q266" s="3" t="n">
        <v>3.23992</v>
      </c>
      <c r="R266" s="3" t="n">
        <v>-2.22676</v>
      </c>
      <c r="S266" s="3" t="n">
        <v>-0.447</v>
      </c>
      <c r="T266" s="3" t="n">
        <v>2.388</v>
      </c>
      <c r="U266" s="3" t="n">
        <v>1.406</v>
      </c>
      <c r="V266" s="3" t="n">
        <v>2.875</v>
      </c>
      <c r="W266" s="3" t="n">
        <v>4.262</v>
      </c>
      <c r="X266" s="3" t="n">
        <v>-1.331</v>
      </c>
      <c r="Y266" s="3" t="n">
        <v>-9.567</v>
      </c>
      <c r="Z266" s="3" t="n">
        <v>-4.49</v>
      </c>
      <c r="AA266" s="3" t="n">
        <v>-5.435</v>
      </c>
      <c r="AB266" s="3" t="n">
        <v>-4.575</v>
      </c>
      <c r="AC266" s="3" t="n">
        <v>-18.196</v>
      </c>
      <c r="AD266" s="3" t="n">
        <v>-11.633</v>
      </c>
      <c r="AE266" s="3" t="n">
        <v>-6.512</v>
      </c>
      <c r="AF266" s="3" t="n">
        <v>0.20574</v>
      </c>
      <c r="AG266" s="3" t="n">
        <v>-3.141031</v>
      </c>
      <c r="AH266" s="3" t="n">
        <v>-6.513126</v>
      </c>
      <c r="AI266" s="3" t="n">
        <v>-7.836791</v>
      </c>
      <c r="AJ266" s="3" t="n">
        <v>-11.780469</v>
      </c>
      <c r="AK266" s="3" t="n">
        <v>-13.987877</v>
      </c>
      <c r="AL266" s="3" t="n">
        <v>-14.971119</v>
      </c>
      <c r="AM266" s="3" t="n"/>
      <c r="AN266" s="3" t="n"/>
      <c r="AO266" s="3" t="n"/>
      <c r="AP266" s="3" t="n"/>
      <c r="AQ266" s="3" t="n"/>
      <c r="AR266" s="3" t="n"/>
      <c r="AS266" s="3" t="n"/>
      <c r="AT266" s="3" t="n"/>
      <c r="AU266" s="3" t="n"/>
    </row>
    <row r="267">
      <c r="A267" s="3" t="n">
        <v>2031</v>
      </c>
      <c r="B267" s="3" t="inlineStr">
        <is>
          <t>BGD</t>
        </is>
      </c>
      <c r="C267" s="3" t="inlineStr">
        <is>
          <t>IMF.RES:WEO</t>
        </is>
      </c>
      <c r="D267" s="3" t="inlineStr">
        <is>
          <t>BGD.BCA_NGDPD.A</t>
        </is>
      </c>
      <c r="E267" s="3" t="inlineStr">
        <is>
          <t>Bangladesh</t>
        </is>
      </c>
      <c r="F267" s="3" t="inlineStr">
        <is>
          <t>Current account balance (credit less debit), Percent of GDP</t>
        </is>
      </c>
      <c r="G267" s="3" t="n">
        <v>-0.546311</v>
      </c>
      <c r="H267" s="3" t="n">
        <v>-1.627844</v>
      </c>
      <c r="I267" s="3" t="n">
        <v>0.241405</v>
      </c>
      <c r="J267" s="3" t="n">
        <v>0.245278</v>
      </c>
      <c r="K267" s="3" t="n">
        <v>0.228121</v>
      </c>
      <c r="L267" s="3" t="n">
        <v>-0.700237</v>
      </c>
      <c r="M267" s="3" t="n">
        <v>0.6649</v>
      </c>
      <c r="N267" s="3" t="n">
        <v>1.002893</v>
      </c>
      <c r="O267" s="3" t="n">
        <v>0.252813</v>
      </c>
      <c r="P267" s="3" t="n">
        <v>1.699069</v>
      </c>
      <c r="Q267" s="3" t="n">
        <v>2.346163</v>
      </c>
      <c r="R267" s="3" t="n">
        <v>-1.445036</v>
      </c>
      <c r="S267" s="3" t="n">
        <v>-0.279814</v>
      </c>
      <c r="T267" s="3" t="n">
        <v>1.329061</v>
      </c>
      <c r="U267" s="3" t="n">
        <v>0.678893</v>
      </c>
      <c r="V267" s="3" t="n">
        <v>1.230277</v>
      </c>
      <c r="W267" s="3" t="n">
        <v>1.606869</v>
      </c>
      <c r="X267" s="3" t="n">
        <v>-0.453099</v>
      </c>
      <c r="Y267" s="3" t="n">
        <v>-2.976858</v>
      </c>
      <c r="Z267" s="3" t="n">
        <v>-1.278334</v>
      </c>
      <c r="AA267" s="3" t="n">
        <v>-1.453589</v>
      </c>
      <c r="AB267" s="3" t="n">
        <v>-1.09906</v>
      </c>
      <c r="AC267" s="3" t="n">
        <v>-3.953924</v>
      </c>
      <c r="AD267" s="3" t="n">
        <v>-2.576328</v>
      </c>
      <c r="AE267" s="3" t="n">
        <v>-1.44563</v>
      </c>
      <c r="AF267" s="3" t="n">
        <v>0.044931</v>
      </c>
      <c r="AG267" s="3" t="n">
        <v>-0.615038</v>
      </c>
      <c r="AH267" s="3" t="n">
        <v>-1.206713</v>
      </c>
      <c r="AI267" s="3" t="n">
        <v>-1.364539</v>
      </c>
      <c r="AJ267" s="3" t="n">
        <v>-1.894037</v>
      </c>
      <c r="AK267" s="3" t="n">
        <v>-2.066142</v>
      </c>
      <c r="AL267" s="3" t="n">
        <v>-2.023094</v>
      </c>
      <c r="AM267" s="3" t="n"/>
      <c r="AN267" s="3" t="n"/>
      <c r="AO267" s="3" t="n"/>
      <c r="AP267" s="3" t="n"/>
      <c r="AQ267" s="3" t="n"/>
      <c r="AR267" s="3" t="n"/>
      <c r="AS267" s="3" t="n"/>
      <c r="AT267" s="3" t="n"/>
      <c r="AU267" s="3" t="n"/>
    </row>
    <row r="268">
      <c r="A268" s="3" t="n">
        <v>2031</v>
      </c>
      <c r="B268" s="3" t="inlineStr">
        <is>
          <t>BGD</t>
        </is>
      </c>
      <c r="C268" s="3" t="inlineStr">
        <is>
          <t>IMF.RES:WEO</t>
        </is>
      </c>
      <c r="D268" s="3" t="inlineStr">
        <is>
          <t>BGD.GGR_NGDP.A</t>
        </is>
      </c>
      <c r="E268" s="3" t="inlineStr">
        <is>
          <t>Bangladesh</t>
        </is>
      </c>
      <c r="F268" s="3" t="inlineStr">
        <is>
          <t>Revenue, General government, Percent of GDP</t>
        </is>
      </c>
      <c r="G268" s="3" t="n">
        <v>7.260039</v>
      </c>
      <c r="H268" s="3" t="n">
        <v>7.290509</v>
      </c>
      <c r="I268" s="3" t="n">
        <v>8.050871000000001</v>
      </c>
      <c r="J268" s="3" t="n">
        <v>8.194342000000001</v>
      </c>
      <c r="K268" s="3" t="n">
        <v>7.676991</v>
      </c>
      <c r="L268" s="3" t="n">
        <v>7.864392</v>
      </c>
      <c r="M268" s="3" t="n">
        <v>7.979367</v>
      </c>
      <c r="N268" s="3" t="n">
        <v>7.762888</v>
      </c>
      <c r="O268" s="3" t="n">
        <v>8.174937</v>
      </c>
      <c r="P268" s="3" t="n">
        <v>7.895902</v>
      </c>
      <c r="Q268" s="3" t="n">
        <v>8.367746</v>
      </c>
      <c r="R268" s="3" t="n">
        <v>8.56963</v>
      </c>
      <c r="S268" s="3" t="n">
        <v>9.138724</v>
      </c>
      <c r="T268" s="3" t="n">
        <v>9.230746</v>
      </c>
      <c r="U268" s="3" t="n">
        <v>9.129085999999999</v>
      </c>
      <c r="V268" s="3" t="n">
        <v>8.213395999999999</v>
      </c>
      <c r="W268" s="3" t="n">
        <v>8.438038000000001</v>
      </c>
      <c r="X268" s="3" t="n">
        <v>8.068160000000001</v>
      </c>
      <c r="Y268" s="3" t="n">
        <v>8.881893</v>
      </c>
      <c r="Z268" s="3" t="n">
        <v>8.143962</v>
      </c>
      <c r="AA268" s="3" t="n">
        <v>8.467772999999999</v>
      </c>
      <c r="AB268" s="3" t="n">
        <v>9.361879</v>
      </c>
      <c r="AC268" s="3" t="n">
        <v>8.507002</v>
      </c>
      <c r="AD268" s="3" t="n">
        <v>8.236897000000001</v>
      </c>
      <c r="AE268" s="3" t="n">
        <v>8.338175</v>
      </c>
      <c r="AF268" s="3" t="n">
        <v>7.944931</v>
      </c>
      <c r="AG268" s="3" t="n">
        <v>7.839133</v>
      </c>
      <c r="AH268" s="3" t="n">
        <v>9.907477999999999</v>
      </c>
      <c r="AI268" s="3" t="n">
        <v>10.562107</v>
      </c>
      <c r="AJ268" s="3" t="n">
        <v>10.884231</v>
      </c>
      <c r="AK268" s="3" t="n">
        <v>11.05698</v>
      </c>
      <c r="AL268" s="3" t="n">
        <v>11.232636</v>
      </c>
      <c r="AM268" s="3" t="n"/>
      <c r="AN268" s="3" t="n"/>
      <c r="AO268" s="3" t="n"/>
      <c r="AP268" s="3" t="n"/>
      <c r="AQ268" s="3" t="n"/>
      <c r="AR268" s="3" t="n"/>
      <c r="AS268" s="3" t="n"/>
      <c r="AT268" s="3" t="n"/>
      <c r="AU268" s="3" t="n"/>
    </row>
    <row r="269">
      <c r="A269" s="3" t="n">
        <v>2031</v>
      </c>
      <c r="B269" s="3" t="inlineStr">
        <is>
          <t>BGD</t>
        </is>
      </c>
      <c r="C269" s="3" t="inlineStr">
        <is>
          <t>IMF.RES:WEO</t>
        </is>
      </c>
      <c r="D269" s="3" t="inlineStr">
        <is>
          <t>BGD.GGX_NGDP.A</t>
        </is>
      </c>
      <c r="E269" s="3" t="inlineStr">
        <is>
          <t>Bangladesh</t>
        </is>
      </c>
      <c r="F269" s="3" t="inlineStr">
        <is>
          <t>Expenditure, General government, Percent of GDP</t>
        </is>
      </c>
      <c r="G269" s="3" t="n">
        <v>9.755795000000001</v>
      </c>
      <c r="H269" s="3" t="n">
        <v>10.729617</v>
      </c>
      <c r="I269" s="3" t="n">
        <v>10.35569</v>
      </c>
      <c r="J269" s="3" t="n">
        <v>10.152247</v>
      </c>
      <c r="K269" s="3" t="n">
        <v>9.884658999999999</v>
      </c>
      <c r="L269" s="3" t="n">
        <v>10.262554</v>
      </c>
      <c r="M269" s="3" t="n">
        <v>10.126896</v>
      </c>
      <c r="N269" s="3" t="n">
        <v>9.626749</v>
      </c>
      <c r="O269" s="3" t="n">
        <v>11.539666</v>
      </c>
      <c r="P269" s="3" t="n">
        <v>10.575584</v>
      </c>
      <c r="Q269" s="3" t="n">
        <v>10.601092</v>
      </c>
      <c r="R269" s="3" t="n">
        <v>11.534214</v>
      </c>
      <c r="S269" s="3" t="n">
        <v>11.694775</v>
      </c>
      <c r="T269" s="3" t="n">
        <v>12.087541</v>
      </c>
      <c r="U269" s="3" t="n">
        <v>11.748098</v>
      </c>
      <c r="V269" s="3" t="n">
        <v>11.503141</v>
      </c>
      <c r="W269" s="3" t="n">
        <v>11.600952</v>
      </c>
      <c r="X269" s="3" t="n">
        <v>12.235131</v>
      </c>
      <c r="Y269" s="3" t="n">
        <v>12.950393</v>
      </c>
      <c r="Z269" s="3" t="n">
        <v>13.552147</v>
      </c>
      <c r="AA269" s="3" t="n">
        <v>13.30822</v>
      </c>
      <c r="AB269" s="3" t="n">
        <v>12.91717</v>
      </c>
      <c r="AC269" s="3" t="n">
        <v>13.034667</v>
      </c>
      <c r="AD269" s="3" t="n">
        <v>12.62466</v>
      </c>
      <c r="AE269" s="3" t="n">
        <v>12.033192</v>
      </c>
      <c r="AF269" s="3" t="n">
        <v>10.878171</v>
      </c>
      <c r="AG269" s="3" t="n">
        <v>12.139616</v>
      </c>
      <c r="AH269" s="3" t="n">
        <v>14.612287</v>
      </c>
      <c r="AI269" s="3" t="n">
        <v>16.047074</v>
      </c>
      <c r="AJ269" s="3" t="n">
        <v>16.494213</v>
      </c>
      <c r="AK269" s="3" t="n">
        <v>16.784682</v>
      </c>
      <c r="AL269" s="3" t="n">
        <v>16.886845</v>
      </c>
      <c r="AM269" s="3" t="n"/>
      <c r="AN269" s="3" t="n"/>
      <c r="AO269" s="3" t="n"/>
      <c r="AP269" s="3" t="n"/>
      <c r="AQ269" s="3" t="n"/>
      <c r="AR269" s="3" t="n"/>
      <c r="AS269" s="3" t="n"/>
      <c r="AT269" s="3" t="n"/>
      <c r="AU269" s="3" t="n"/>
    </row>
    <row r="270">
      <c r="A270" s="3" t="n">
        <v>2031</v>
      </c>
      <c r="B270" s="3" t="inlineStr">
        <is>
          <t>BGD</t>
        </is>
      </c>
      <c r="C270" s="3" t="inlineStr">
        <is>
          <t>IMF.RES:WEO</t>
        </is>
      </c>
      <c r="D270" s="3" t="inlineStr">
        <is>
          <t>BGD.LP.A</t>
        </is>
      </c>
      <c r="E270" s="3" t="inlineStr">
        <is>
          <t>Bangladesh</t>
        </is>
      </c>
      <c r="F270" s="3" t="inlineStr">
        <is>
          <t>Population, Persons for countries / Index for country groups</t>
        </is>
      </c>
      <c r="G270" s="3" t="n">
        <v>127.657854</v>
      </c>
      <c r="H270" s="3" t="n">
        <v>130.088702</v>
      </c>
      <c r="I270" s="3" t="n">
        <v>132.478086</v>
      </c>
      <c r="J270" s="3" t="n">
        <v>134.791603</v>
      </c>
      <c r="K270" s="3" t="n">
        <v>136.986432</v>
      </c>
      <c r="L270" s="3" t="n">
        <v>139.035505</v>
      </c>
      <c r="M270" s="3" t="n">
        <v>140.921167</v>
      </c>
      <c r="N270" s="3" t="n">
        <v>142.660376</v>
      </c>
      <c r="O270" s="3" t="n">
        <v>144.304167</v>
      </c>
      <c r="P270" s="3" t="n">
        <v>145.924797</v>
      </c>
      <c r="Q270" s="3" t="n">
        <v>147.57543</v>
      </c>
      <c r="R270" s="3" t="n">
        <v>149.273778</v>
      </c>
      <c r="S270" s="3" t="n">
        <v>151.007807</v>
      </c>
      <c r="T270" s="3" t="n">
        <v>152.764676</v>
      </c>
      <c r="U270" s="3" t="n">
        <v>154.520167</v>
      </c>
      <c r="V270" s="3" t="n">
        <v>156.256276</v>
      </c>
      <c r="W270" s="3" t="n">
        <v>157.97084</v>
      </c>
      <c r="X270" s="3" t="n">
        <v>159.670593</v>
      </c>
      <c r="Y270" s="3" t="n">
        <v>161.356039</v>
      </c>
      <c r="Z270" s="3" t="n">
        <v>163.046161</v>
      </c>
      <c r="AA270" s="3" t="n">
        <v>164.689383</v>
      </c>
      <c r="AB270" s="3" t="n">
        <v>166.656543</v>
      </c>
      <c r="AC270" s="3" t="n">
        <v>168.519572</v>
      </c>
      <c r="AD270" s="3" t="n">
        <v>170.27857</v>
      </c>
      <c r="AE270" s="3" t="n">
        <v>172.018548</v>
      </c>
      <c r="AF270" s="3" t="n">
        <v>173.735877</v>
      </c>
      <c r="AG270" s="3" t="n">
        <v>175.423223</v>
      </c>
      <c r="AH270" s="3" t="n">
        <v>177.069952</v>
      </c>
      <c r="AI270" s="3" t="n">
        <v>178.680513</v>
      </c>
      <c r="AJ270" s="3" t="n">
        <v>180.244697</v>
      </c>
      <c r="AK270" s="3" t="n">
        <v>181.766936</v>
      </c>
      <c r="AL270" s="3" t="n">
        <v>183.230327</v>
      </c>
      <c r="AM270" s="3" t="n"/>
      <c r="AN270" s="3" t="n"/>
      <c r="AO270" s="3" t="n"/>
      <c r="AP270" s="3" t="n"/>
      <c r="AQ270" s="3" t="n"/>
      <c r="AR270" s="3" t="n"/>
      <c r="AS270" s="3" t="n"/>
      <c r="AT270" s="3" t="n"/>
      <c r="AU270" s="3" t="n"/>
    </row>
    <row r="271">
      <c r="A271" s="3" t="n">
        <v>2031</v>
      </c>
      <c r="B271" s="3" t="inlineStr">
        <is>
          <t>BGD</t>
        </is>
      </c>
      <c r="C271" s="3" t="inlineStr">
        <is>
          <t>IMF.RES:WEO</t>
        </is>
      </c>
      <c r="D271" s="3" t="inlineStr">
        <is>
          <t>BGD.NGDP.A</t>
        </is>
      </c>
      <c r="E271" s="3" t="inlineStr">
        <is>
          <t>Bangladesh</t>
        </is>
      </c>
      <c r="F271" s="3" t="inlineStr">
        <is>
          <t>Gross domestic product (GDP), Current prices, Domestic currency</t>
        </is>
      </c>
      <c r="G271" s="3" t="n">
        <v>3216.437</v>
      </c>
      <c r="H271" s="3" t="n">
        <v>3489.966</v>
      </c>
      <c r="I271" s="3" t="n">
        <v>3764.807</v>
      </c>
      <c r="J271" s="3" t="n">
        <v>4172.574</v>
      </c>
      <c r="K271" s="3" t="n">
        <v>4591.529</v>
      </c>
      <c r="L271" s="3" t="n">
        <v>5115.978</v>
      </c>
      <c r="M271" s="3" t="n">
        <v>5777.98</v>
      </c>
      <c r="N271" s="3" t="n">
        <v>6586.128</v>
      </c>
      <c r="O271" s="3" t="n">
        <v>7531.067</v>
      </c>
      <c r="P271" s="3" t="n">
        <v>8446.153</v>
      </c>
      <c r="Q271" s="3" t="n">
        <v>9553.826999999999</v>
      </c>
      <c r="R271" s="3" t="n">
        <v>10970.839</v>
      </c>
      <c r="S271" s="3" t="n">
        <v>12640.431</v>
      </c>
      <c r="T271" s="3" t="n">
        <v>14362.061</v>
      </c>
      <c r="U271" s="3" t="n">
        <v>16096.052</v>
      </c>
      <c r="V271" s="3" t="n">
        <v>18157.997</v>
      </c>
      <c r="W271" s="3" t="n">
        <v>20758.21</v>
      </c>
      <c r="X271" s="3" t="n">
        <v>23243.07</v>
      </c>
      <c r="Y271" s="3" t="n">
        <v>26392.48</v>
      </c>
      <c r="Z271" s="3" t="n">
        <v>29514.29</v>
      </c>
      <c r="AA271" s="3" t="n">
        <v>31704.69</v>
      </c>
      <c r="AB271" s="3" t="n">
        <v>35301.85</v>
      </c>
      <c r="AC271" s="3" t="n">
        <v>39717.164</v>
      </c>
      <c r="AD271" s="3" t="n">
        <v>44908.417</v>
      </c>
      <c r="AE271" s="3" t="n">
        <v>50026.537</v>
      </c>
      <c r="AF271" s="3" t="n">
        <v>55150.262</v>
      </c>
      <c r="AG271" s="3" t="n">
        <v>62844.256929</v>
      </c>
      <c r="AH271" s="3" t="n">
        <v>69403.25268200001</v>
      </c>
      <c r="AI271" s="3" t="n">
        <v>76136.02310000001</v>
      </c>
      <c r="AJ271" s="3" t="n">
        <v>84756.386812</v>
      </c>
      <c r="AK271" s="3" t="n">
        <v>94586.957217</v>
      </c>
      <c r="AL271" s="3" t="n">
        <v>105877.156245</v>
      </c>
      <c r="AM271" s="3" t="n"/>
      <c r="AN271" s="3" t="n"/>
      <c r="AO271" s="3" t="n"/>
      <c r="AP271" s="3" t="n"/>
      <c r="AQ271" s="3" t="n"/>
      <c r="AR271" s="3" t="n"/>
      <c r="AS271" s="3" t="n"/>
      <c r="AT271" s="3" t="n"/>
      <c r="AU271" s="3" t="n"/>
    </row>
    <row r="272">
      <c r="A272" s="3" t="n">
        <v>2031</v>
      </c>
      <c r="B272" s="3" t="inlineStr">
        <is>
          <t>BGD</t>
        </is>
      </c>
      <c r="C272" s="3" t="inlineStr">
        <is>
          <t>IMF.RES:WEO</t>
        </is>
      </c>
      <c r="D272" s="3" t="inlineStr">
        <is>
          <t>BGD.NGDP_D.A</t>
        </is>
      </c>
      <c r="E272" s="3" t="inlineStr">
        <is>
          <t>Bangladesh</t>
        </is>
      </c>
      <c r="F272" s="3" t="inlineStr">
        <is>
          <t>Gross domestic product (GDP), Price deflator, Index</t>
        </is>
      </c>
      <c r="G272" s="3" t="n">
        <v>38.791881</v>
      </c>
      <c r="H272" s="3" t="n">
        <v>40.057008</v>
      </c>
      <c r="I272" s="3" t="n">
        <v>41.616338</v>
      </c>
      <c r="J272" s="3" t="n">
        <v>44.036665</v>
      </c>
      <c r="K272" s="3" t="n">
        <v>46.045678</v>
      </c>
      <c r="L272" s="3" t="n">
        <v>48.157511</v>
      </c>
      <c r="M272" s="3" t="n">
        <v>50.987208</v>
      </c>
      <c r="N272" s="3" t="n">
        <v>54.286771</v>
      </c>
      <c r="O272" s="3" t="n">
        <v>58.554211</v>
      </c>
      <c r="P272" s="3" t="n">
        <v>62.515052</v>
      </c>
      <c r="Q272" s="3" t="n">
        <v>66.981531</v>
      </c>
      <c r="R272" s="3" t="n">
        <v>72.24590499999999</v>
      </c>
      <c r="S272" s="3" t="n">
        <v>78.144448</v>
      </c>
      <c r="T272" s="3" t="n">
        <v>83.751302</v>
      </c>
      <c r="U272" s="3" t="n">
        <v>88.498902</v>
      </c>
      <c r="V272" s="3" t="n">
        <v>93.69629399999999</v>
      </c>
      <c r="W272" s="3" t="n">
        <v>100</v>
      </c>
      <c r="X272" s="3" t="n">
        <v>105.047584</v>
      </c>
      <c r="Y272" s="3" t="n">
        <v>111.146168</v>
      </c>
      <c r="Z272" s="3" t="n">
        <v>115.212117</v>
      </c>
      <c r="AA272" s="3" t="n">
        <v>119.637405</v>
      </c>
      <c r="AB272" s="3" t="n">
        <v>124.567917</v>
      </c>
      <c r="AC272" s="3" t="n">
        <v>130.857352</v>
      </c>
      <c r="AD272" s="3" t="n">
        <v>139.882746</v>
      </c>
      <c r="AE272" s="3" t="n">
        <v>149.510672</v>
      </c>
      <c r="AF272" s="3" t="n">
        <v>159.265364</v>
      </c>
      <c r="AG272" s="3" t="n">
        <v>173.349653</v>
      </c>
      <c r="AH272" s="3" t="n">
        <v>183.622549</v>
      </c>
      <c r="AI272" s="3" t="n">
        <v>192.673183</v>
      </c>
      <c r="AJ272" s="3" t="n">
        <v>202.913879</v>
      </c>
      <c r="AK272" s="3" t="n">
        <v>214.136253</v>
      </c>
      <c r="AL272" s="3" t="n">
        <v>225.979292</v>
      </c>
      <c r="AM272" s="3" t="n"/>
      <c r="AN272" s="3" t="n"/>
      <c r="AO272" s="3" t="n"/>
      <c r="AP272" s="3" t="n"/>
      <c r="AQ272" s="3" t="n"/>
      <c r="AR272" s="3" t="n"/>
      <c r="AS272" s="3" t="n"/>
      <c r="AT272" s="3" t="n"/>
      <c r="AU272" s="3" t="n"/>
    </row>
    <row r="273">
      <c r="A273" s="3" t="n">
        <v>2031</v>
      </c>
      <c r="B273" s="3" t="inlineStr">
        <is>
          <t>BGD</t>
        </is>
      </c>
      <c r="C273" s="3" t="inlineStr">
        <is>
          <t>IMF.RES:WEO</t>
        </is>
      </c>
      <c r="D273" s="3" t="inlineStr">
        <is>
          <t>BGD.NGDP_R.A</t>
        </is>
      </c>
      <c r="E273" s="3" t="inlineStr">
        <is>
          <t>Bangladesh</t>
        </is>
      </c>
      <c r="F273" s="3" t="inlineStr">
        <is>
          <t>Gross domestic product (GDP), Constant prices, Domestic currency</t>
        </is>
      </c>
      <c r="G273" s="3" t="n">
        <v>8291.521000000001</v>
      </c>
      <c r="H273" s="3" t="n">
        <v>8712.498</v>
      </c>
      <c r="I273" s="3" t="n">
        <v>9046.464</v>
      </c>
      <c r="J273" s="3" t="n">
        <v>9475.227000000001</v>
      </c>
      <c r="K273" s="3" t="n">
        <v>9971.683000000001</v>
      </c>
      <c r="L273" s="3" t="n">
        <v>10623.427</v>
      </c>
      <c r="M273" s="3" t="n">
        <v>11332.215</v>
      </c>
      <c r="N273" s="3" t="n">
        <v>12132.105</v>
      </c>
      <c r="O273" s="3" t="n">
        <v>12861.7</v>
      </c>
      <c r="P273" s="3" t="n">
        <v>13510.591</v>
      </c>
      <c r="Q273" s="3" t="n">
        <v>14263.375</v>
      </c>
      <c r="R273" s="3" t="n">
        <v>15185.413</v>
      </c>
      <c r="S273" s="3" t="n">
        <v>16175.725</v>
      </c>
      <c r="T273" s="3" t="n">
        <v>17148.463</v>
      </c>
      <c r="U273" s="3" t="n">
        <v>18187.855</v>
      </c>
      <c r="V273" s="3" t="n">
        <v>19379.632</v>
      </c>
      <c r="W273" s="3" t="n">
        <v>20758.21</v>
      </c>
      <c r="X273" s="3" t="n">
        <v>22126.23</v>
      </c>
      <c r="Y273" s="3" t="n">
        <v>23745.74</v>
      </c>
      <c r="Z273" s="3" t="n">
        <v>25617.349</v>
      </c>
      <c r="AA273" s="3" t="n">
        <v>26500.65</v>
      </c>
      <c r="AB273" s="3" t="n">
        <v>28339.44</v>
      </c>
      <c r="AC273" s="3" t="n">
        <v>30351.496</v>
      </c>
      <c r="AD273" s="3" t="n">
        <v>32104.329</v>
      </c>
      <c r="AE273" s="3" t="n">
        <v>33460.178</v>
      </c>
      <c r="AF273" s="3" t="n">
        <v>34627.907</v>
      </c>
      <c r="AG273" s="3" t="n">
        <v>36252.888747</v>
      </c>
      <c r="AH273" s="3" t="n">
        <v>37796.693835</v>
      </c>
      <c r="AI273" s="3" t="n">
        <v>39515.630607</v>
      </c>
      <c r="AJ273" s="3" t="n">
        <v>41769.635015</v>
      </c>
      <c r="AK273" s="3" t="n">
        <v>44171.389028</v>
      </c>
      <c r="AL273" s="3" t="n">
        <v>46852.592342</v>
      </c>
      <c r="AM273" s="3" t="n"/>
      <c r="AN273" s="3" t="n"/>
      <c r="AO273" s="3" t="n"/>
      <c r="AP273" s="3" t="n"/>
      <c r="AQ273" s="3" t="n"/>
      <c r="AR273" s="3" t="n"/>
      <c r="AS273" s="3" t="n"/>
      <c r="AT273" s="3" t="n"/>
      <c r="AU273" s="3" t="n"/>
    </row>
    <row r="274">
      <c r="A274" s="3" t="n">
        <v>2031</v>
      </c>
      <c r="B274" s="3" t="inlineStr">
        <is>
          <t>BGD</t>
        </is>
      </c>
      <c r="C274" s="3" t="inlineStr">
        <is>
          <t>IMF.RES:WEO</t>
        </is>
      </c>
      <c r="D274" s="3" t="inlineStr">
        <is>
          <t>BGD.NGDP_RPCH.A</t>
        </is>
      </c>
      <c r="E274" s="3" t="inlineStr">
        <is>
          <t>Bangladesh</t>
        </is>
      </c>
      <c r="F274" s="3" t="inlineStr">
        <is>
          <t>Gross domestic product (GDP), Constant prices, Percent change</t>
        </is>
      </c>
      <c r="G274" s="3" t="n">
        <v>5.293327</v>
      </c>
      <c r="H274" s="3" t="n">
        <v>5.077199</v>
      </c>
      <c r="I274" s="3" t="n">
        <v>3.833183</v>
      </c>
      <c r="J274" s="3" t="n">
        <v>4.739565</v>
      </c>
      <c r="K274" s="3" t="n">
        <v>5.239516</v>
      </c>
      <c r="L274" s="3" t="n">
        <v>6.535948</v>
      </c>
      <c r="M274" s="3" t="n">
        <v>6.671934</v>
      </c>
      <c r="N274" s="3" t="n">
        <v>7.058549</v>
      </c>
      <c r="O274" s="3" t="n">
        <v>6.013754</v>
      </c>
      <c r="P274" s="3" t="n">
        <v>5.045142</v>
      </c>
      <c r="Q274" s="3" t="n">
        <v>5.571807</v>
      </c>
      <c r="R274" s="3" t="n">
        <v>6.464375</v>
      </c>
      <c r="S274" s="3" t="n">
        <v>6.521469</v>
      </c>
      <c r="T274" s="3" t="n">
        <v>6.013567</v>
      </c>
      <c r="U274" s="3" t="n">
        <v>6.061138</v>
      </c>
      <c r="V274" s="3" t="n">
        <v>6.552598</v>
      </c>
      <c r="W274" s="3" t="n">
        <v>7.113541</v>
      </c>
      <c r="X274" s="3" t="n">
        <v>6.59026</v>
      </c>
      <c r="Y274" s="3" t="n">
        <v>7.319412</v>
      </c>
      <c r="Z274" s="3" t="n">
        <v>7.881873</v>
      </c>
      <c r="AA274" s="3" t="n">
        <v>3.448058</v>
      </c>
      <c r="AB274" s="3" t="n">
        <v>6.93866</v>
      </c>
      <c r="AC274" s="3" t="n">
        <v>7.099844</v>
      </c>
      <c r="AD274" s="3" t="n">
        <v>5.775112</v>
      </c>
      <c r="AE274" s="3" t="n">
        <v>4.223259</v>
      </c>
      <c r="AF274" s="3" t="n">
        <v>3.489907</v>
      </c>
      <c r="AG274" s="3" t="n">
        <v>4.692694</v>
      </c>
      <c r="AH274" s="3" t="n">
        <v>4.258433</v>
      </c>
      <c r="AI274" s="3" t="n">
        <v>4.54785</v>
      </c>
      <c r="AJ274" s="3" t="n">
        <v>5.704083</v>
      </c>
      <c r="AK274" s="3" t="n">
        <v>5.75</v>
      </c>
      <c r="AL274" s="3" t="n">
        <v>6.07</v>
      </c>
      <c r="AM274" s="3" t="n"/>
      <c r="AN274" s="3" t="n"/>
      <c r="AO274" s="3" t="n"/>
      <c r="AP274" s="3" t="n"/>
      <c r="AQ274" s="3" t="n"/>
      <c r="AR274" s="3" t="n"/>
      <c r="AS274" s="3" t="n"/>
      <c r="AT274" s="3" t="n"/>
      <c r="AU274" s="3" t="n"/>
    </row>
    <row r="275">
      <c r="A275" s="3" t="n">
        <v>2031</v>
      </c>
      <c r="B275" s="3" t="inlineStr">
        <is>
          <t>BGD</t>
        </is>
      </c>
      <c r="C275" s="3" t="inlineStr">
        <is>
          <t>IMF.RES:WEO</t>
        </is>
      </c>
      <c r="D275" s="3" t="inlineStr">
        <is>
          <t>BGD.NGDPD.A</t>
        </is>
      </c>
      <c r="E275" s="3" t="inlineStr">
        <is>
          <t>Bangladesh</t>
        </is>
      </c>
      <c r="F275" s="3" t="inlineStr">
        <is>
          <t>Gross domestic product (GDP), Current prices, US dollar</t>
        </is>
      </c>
      <c r="G275" s="3" t="n">
        <v>61.686502</v>
      </c>
      <c r="H275" s="3" t="n">
        <v>62.536722</v>
      </c>
      <c r="I275" s="3" t="n">
        <v>65.036052</v>
      </c>
      <c r="J275" s="3" t="n">
        <v>71.755307</v>
      </c>
      <c r="K275" s="3" t="n">
        <v>77.152141</v>
      </c>
      <c r="L275" s="3" t="n">
        <v>79.530216</v>
      </c>
      <c r="M275" s="3" t="n">
        <v>86.027942</v>
      </c>
      <c r="N275" s="3" t="n">
        <v>95.374105</v>
      </c>
      <c r="O275" s="3" t="n">
        <v>109.764984</v>
      </c>
      <c r="P275" s="3" t="n">
        <v>122.759555</v>
      </c>
      <c r="Q275" s="3" t="n">
        <v>138.09441</v>
      </c>
      <c r="R275" s="3" t="n">
        <v>154.097208</v>
      </c>
      <c r="S275" s="3" t="n">
        <v>159.748729</v>
      </c>
      <c r="T275" s="3" t="n">
        <v>179.675661</v>
      </c>
      <c r="U275" s="3" t="n">
        <v>207.101729</v>
      </c>
      <c r="V275" s="3" t="n">
        <v>233.687214</v>
      </c>
      <c r="W275" s="3" t="n">
        <v>265.236376</v>
      </c>
      <c r="X275" s="3" t="n">
        <v>293.754745</v>
      </c>
      <c r="Y275" s="3" t="n">
        <v>321.379151</v>
      </c>
      <c r="Z275" s="3" t="n">
        <v>351.238421</v>
      </c>
      <c r="AA275" s="3" t="n">
        <v>373.902149</v>
      </c>
      <c r="AB275" s="3" t="n">
        <v>416.264826</v>
      </c>
      <c r="AC275" s="3" t="n">
        <v>460.201</v>
      </c>
      <c r="AD275" s="3" t="n">
        <v>451.534172</v>
      </c>
      <c r="AE275" s="3" t="n">
        <v>450.461024</v>
      </c>
      <c r="AF275" s="3" t="n">
        <v>457.903817</v>
      </c>
      <c r="AG275" s="3" t="n">
        <v>510.704858</v>
      </c>
      <c r="AH275" s="3" t="n">
        <v>539.74096</v>
      </c>
      <c r="AI275" s="3" t="n">
        <v>574.317868</v>
      </c>
      <c r="AJ275" s="3" t="n">
        <v>621.976844</v>
      </c>
      <c r="AK275" s="3" t="n">
        <v>677.004633</v>
      </c>
      <c r="AL275" s="3" t="n">
        <v>740.011028</v>
      </c>
      <c r="AM275" s="3" t="n"/>
      <c r="AN275" s="3" t="n"/>
      <c r="AO275" s="3" t="n"/>
      <c r="AP275" s="3" t="n"/>
      <c r="AQ275" s="3" t="n"/>
      <c r="AR275" s="3" t="n"/>
      <c r="AS275" s="3" t="n"/>
      <c r="AT275" s="3" t="n"/>
      <c r="AU275" s="3" t="n"/>
    </row>
    <row r="276">
      <c r="A276" s="3" t="n">
        <v>2031</v>
      </c>
      <c r="B276" s="3" t="inlineStr">
        <is>
          <t>BGD</t>
        </is>
      </c>
      <c r="C276" s="3" t="inlineStr">
        <is>
          <t>IMF.RES:WEO</t>
        </is>
      </c>
      <c r="D276" s="3" t="inlineStr">
        <is>
          <t>BGD.NGDPPC.A</t>
        </is>
      </c>
      <c r="E276" s="3" t="inlineStr">
        <is>
          <t>Bangladesh</t>
        </is>
      </c>
      <c r="F276" s="3" t="inlineStr">
        <is>
          <t>Gross domestic product (GDP), Current prices, Per capita, Domestic currency</t>
        </is>
      </c>
      <c r="G276" s="3" t="n">
        <v>25195.76273</v>
      </c>
      <c r="H276" s="3" t="n">
        <v>26827.587226</v>
      </c>
      <c r="I276" s="3" t="n">
        <v>28418.337807</v>
      </c>
      <c r="J276" s="3" t="n">
        <v>30955.74136</v>
      </c>
      <c r="K276" s="3" t="n">
        <v>33518.129737</v>
      </c>
      <c r="L276" s="3" t="n">
        <v>36796.198209</v>
      </c>
      <c r="M276" s="3" t="n">
        <v>41001.505473</v>
      </c>
      <c r="N276" s="3" t="n">
        <v>46166.484238</v>
      </c>
      <c r="O276" s="3" t="n">
        <v>52188.839426</v>
      </c>
      <c r="P276" s="3" t="n">
        <v>57880.176458</v>
      </c>
      <c r="Q276" s="3" t="n">
        <v>64738.601812</v>
      </c>
      <c r="R276" s="3" t="n">
        <v>73494.750029</v>
      </c>
      <c r="S276" s="3" t="n">
        <v>83707.13575099999</v>
      </c>
      <c r="T276" s="3" t="n">
        <v>94014.279846</v>
      </c>
      <c r="U276" s="3" t="n">
        <v>104167.96922</v>
      </c>
      <c r="V276" s="3" t="n">
        <v>116206.513203</v>
      </c>
      <c r="W276" s="3" t="n">
        <v>131405.327717</v>
      </c>
      <c r="X276" s="3" t="n">
        <v>145568.883808</v>
      </c>
      <c r="Y276" s="3" t="n">
        <v>163566.732076</v>
      </c>
      <c r="Z276" s="3" t="n">
        <v>181018.000172</v>
      </c>
      <c r="AA276" s="3" t="n">
        <v>192512.04554</v>
      </c>
      <c r="AB276" s="3" t="n">
        <v>211823.966831</v>
      </c>
      <c r="AC276" s="3" t="n">
        <v>235682.796094</v>
      </c>
      <c r="AD276" s="3" t="n">
        <v>263734.989602</v>
      </c>
      <c r="AE276" s="3" t="n">
        <v>290820.597666</v>
      </c>
      <c r="AF276" s="3" t="n">
        <v>317437.382331</v>
      </c>
      <c r="AG276" s="3" t="n">
        <v>358243.656876</v>
      </c>
      <c r="AH276" s="3" t="n">
        <v>391953.869165</v>
      </c>
      <c r="AI276" s="3" t="n">
        <v>426101.435728</v>
      </c>
      <c r="AJ276" s="3" t="n">
        <v>470229.571199</v>
      </c>
      <c r="AK276" s="3" t="n">
        <v>520374.934518</v>
      </c>
      <c r="AL276" s="3" t="n">
        <v>577836.421506</v>
      </c>
      <c r="AM276" s="3" t="n"/>
      <c r="AN276" s="3" t="n"/>
      <c r="AO276" s="3" t="n"/>
      <c r="AP276" s="3" t="n"/>
      <c r="AQ276" s="3" t="n"/>
      <c r="AR276" s="3" t="n"/>
      <c r="AS276" s="3" t="n"/>
      <c r="AT276" s="3" t="n"/>
      <c r="AU276" s="3" t="n"/>
    </row>
    <row r="277">
      <c r="A277" s="3" t="n">
        <v>2031</v>
      </c>
      <c r="B277" s="3" t="inlineStr">
        <is>
          <t>BGD</t>
        </is>
      </c>
      <c r="C277" s="3" t="inlineStr">
        <is>
          <t>IMF.RES:WEO</t>
        </is>
      </c>
      <c r="D277" s="3" t="inlineStr">
        <is>
          <t>BGD.NGDPRPC.A</t>
        </is>
      </c>
      <c r="E277" s="3" t="inlineStr">
        <is>
          <t>Bangladesh</t>
        </is>
      </c>
      <c r="F277" s="3" t="inlineStr">
        <is>
          <t>Gross domestic product (GDP), Constant prices, Per capita, Domestic currency</t>
        </is>
      </c>
      <c r="G277" s="3" t="n">
        <v>64951.12318</v>
      </c>
      <c r="H277" s="3" t="n">
        <v>66973.517808</v>
      </c>
      <c r="I277" s="3" t="n">
        <v>68286.49381299999</v>
      </c>
      <c r="J277" s="3" t="n">
        <v>70295.380344</v>
      </c>
      <c r="K277" s="3" t="n">
        <v>72793.216484</v>
      </c>
      <c r="L277" s="3" t="n">
        <v>76408.015348</v>
      </c>
      <c r="M277" s="3" t="n">
        <v>80415.27927499999</v>
      </c>
      <c r="N277" s="3" t="n">
        <v>85041.868949</v>
      </c>
      <c r="O277" s="3" t="n">
        <v>89129.096321</v>
      </c>
      <c r="P277" s="3" t="n">
        <v>92585.984547</v>
      </c>
      <c r="Q277" s="3" t="n">
        <v>96651.420904</v>
      </c>
      <c r="R277" s="3" t="n">
        <v>101728.603667</v>
      </c>
      <c r="S277" s="3" t="n">
        <v>107118.468385</v>
      </c>
      <c r="T277" s="3" t="n">
        <v>112254.111677</v>
      </c>
      <c r="U277" s="3" t="n">
        <v>117705.380166</v>
      </c>
      <c r="V277" s="3" t="n">
        <v>124024.663176</v>
      </c>
      <c r="W277" s="3" t="n">
        <v>131405.327717</v>
      </c>
      <c r="X277" s="3" t="n">
        <v>138574.233265</v>
      </c>
      <c r="Y277" s="3" t="n">
        <v>147163.627387</v>
      </c>
      <c r="Z277" s="3" t="n">
        <v>157117.155307</v>
      </c>
      <c r="AA277" s="3" t="n">
        <v>160912.922966</v>
      </c>
      <c r="AB277" s="3" t="n">
        <v>170046.969169</v>
      </c>
      <c r="AC277" s="3" t="n">
        <v>180106.6522</v>
      </c>
      <c r="AD277" s="3" t="n">
        <v>188540.043062</v>
      </c>
      <c r="AE277" s="3" t="n">
        <v>194514.942419</v>
      </c>
      <c r="AF277" s="3" t="n">
        <v>199313.507408</v>
      </c>
      <c r="AG277" s="3" t="n">
        <v>206659.575141</v>
      </c>
      <c r="AH277" s="3" t="n">
        <v>213456.283644</v>
      </c>
      <c r="AI277" s="3" t="n">
        <v>221152.435469</v>
      </c>
      <c r="AJ277" s="3" t="n">
        <v>231738.495479</v>
      </c>
      <c r="AK277" s="3" t="n">
        <v>243011.133345</v>
      </c>
      <c r="AL277" s="3" t="n">
        <v>255703.262698</v>
      </c>
      <c r="AM277" s="3" t="n"/>
      <c r="AN277" s="3" t="n"/>
      <c r="AO277" s="3" t="n"/>
      <c r="AP277" s="3" t="n"/>
      <c r="AQ277" s="3" t="n"/>
      <c r="AR277" s="3" t="n"/>
      <c r="AS277" s="3" t="n"/>
      <c r="AT277" s="3" t="n"/>
      <c r="AU277" s="3" t="n"/>
    </row>
    <row r="278">
      <c r="A278" s="3" t="n">
        <v>2031</v>
      </c>
      <c r="B278" s="3" t="inlineStr">
        <is>
          <t>BGD</t>
        </is>
      </c>
      <c r="C278" s="3" t="inlineStr">
        <is>
          <t>IMF.RES:WEO</t>
        </is>
      </c>
      <c r="D278" s="3" t="inlineStr">
        <is>
          <t>BGD.PCPI.A</t>
        </is>
      </c>
      <c r="E278" s="3" t="inlineStr">
        <is>
          <t>Bangladesh</t>
        </is>
      </c>
      <c r="F278" s="3" t="inlineStr">
        <is>
          <t>All Items, Consumer price index (CPI), Period average</t>
        </is>
      </c>
      <c r="G278" s="3" t="n">
        <v>74.820043</v>
      </c>
      <c r="H278" s="3" t="n">
        <v>76.175983</v>
      </c>
      <c r="I278" s="3" t="n">
        <v>78.009201</v>
      </c>
      <c r="J278" s="3" t="n">
        <v>81.03639800000001</v>
      </c>
      <c r="K278" s="3" t="n">
        <v>87.63223000000001</v>
      </c>
      <c r="L278" s="3" t="n">
        <v>93.315755</v>
      </c>
      <c r="M278" s="3" t="n">
        <v>100</v>
      </c>
      <c r="N278" s="3" t="n">
        <v>107.205339</v>
      </c>
      <c r="O278" s="3" t="n">
        <v>117.858037</v>
      </c>
      <c r="P278" s="3" t="n">
        <v>125.701052</v>
      </c>
      <c r="Q278" s="3" t="n">
        <v>134.896877</v>
      </c>
      <c r="R278" s="3" t="n">
        <v>146.750595</v>
      </c>
      <c r="S278" s="3" t="n">
        <v>159.795161</v>
      </c>
      <c r="T278" s="3" t="n">
        <v>170.623905</v>
      </c>
      <c r="U278" s="3" t="n">
        <v>183.163808</v>
      </c>
      <c r="V278" s="3" t="n">
        <v>194.896251</v>
      </c>
      <c r="W278" s="3" t="n">
        <v>206.426828</v>
      </c>
      <c r="X278" s="3" t="n">
        <v>217.656954</v>
      </c>
      <c r="Y278" s="3" t="n">
        <v>230.243021</v>
      </c>
      <c r="Z278" s="3" t="n">
        <v>242.847866</v>
      </c>
      <c r="AA278" s="3" t="n">
        <v>256.562969</v>
      </c>
      <c r="AB278" s="3" t="n">
        <v>270.821858</v>
      </c>
      <c r="AC278" s="3" t="n">
        <v>287.476527</v>
      </c>
      <c r="AD278" s="3" t="n">
        <v>313.395815</v>
      </c>
      <c r="AE278" s="3" t="n">
        <v>343.881697</v>
      </c>
      <c r="AF278" s="3" t="n">
        <v>378.426093</v>
      </c>
      <c r="AG278" s="3" t="n">
        <v>413.139679</v>
      </c>
      <c r="AH278" s="3" t="n">
        <v>437.804224</v>
      </c>
      <c r="AI278" s="3" t="n">
        <v>459.566669</v>
      </c>
      <c r="AJ278" s="3" t="n">
        <v>484.049601</v>
      </c>
      <c r="AK278" s="3" t="n">
        <v>510.536677</v>
      </c>
      <c r="AL278" s="3" t="n">
        <v>538.616194</v>
      </c>
      <c r="AM278" s="3" t="n"/>
      <c r="AN278" s="3" t="n"/>
      <c r="AO278" s="3" t="n"/>
      <c r="AP278" s="3" t="n"/>
      <c r="AQ278" s="3" t="n"/>
      <c r="AR278" s="3" t="n"/>
      <c r="AS278" s="3" t="n"/>
      <c r="AT278" s="3" t="n"/>
      <c r="AU278" s="3" t="n"/>
    </row>
    <row r="279">
      <c r="A279" s="3" t="n">
        <v>2031</v>
      </c>
      <c r="B279" s="3" t="inlineStr">
        <is>
          <t>BGD</t>
        </is>
      </c>
      <c r="C279" s="3" t="inlineStr">
        <is>
          <t>IMF.RES:WEO</t>
        </is>
      </c>
      <c r="D279" s="3" t="inlineStr">
        <is>
          <t>BGD.PCPIPCH.A</t>
        </is>
      </c>
      <c r="E279" s="3" t="inlineStr">
        <is>
          <t>Bangladesh</t>
        </is>
      </c>
      <c r="F279" s="3" t="inlineStr">
        <is>
          <t>All Items, Consumer price index (CPI), Period average, percent change</t>
        </is>
      </c>
      <c r="G279" s="3" t="n">
        <v>3.622552</v>
      </c>
      <c r="H279" s="3" t="n">
        <v>1.812269</v>
      </c>
      <c r="I279" s="3" t="n">
        <v>2.406557</v>
      </c>
      <c r="J279" s="3" t="n">
        <v>3.880564</v>
      </c>
      <c r="K279" s="3" t="n">
        <v>8.139343999999999</v>
      </c>
      <c r="L279" s="3" t="n">
        <v>6.485656</v>
      </c>
      <c r="M279" s="3" t="n">
        <v>7.16304</v>
      </c>
      <c r="N279" s="3" t="n">
        <v>7.205339</v>
      </c>
      <c r="O279" s="3" t="n">
        <v>9.936723000000001</v>
      </c>
      <c r="P279" s="3" t="n">
        <v>6.654628</v>
      </c>
      <c r="Q279" s="3" t="n">
        <v>7.315631</v>
      </c>
      <c r="R279" s="3" t="n">
        <v>8.787243999999999</v>
      </c>
      <c r="S279" s="3" t="n">
        <v>8.888935999999999</v>
      </c>
      <c r="T279" s="3" t="n">
        <v>6.77664</v>
      </c>
      <c r="U279" s="3" t="n">
        <v>7.349441</v>
      </c>
      <c r="V279" s="3" t="n">
        <v>6.405437</v>
      </c>
      <c r="W279" s="3" t="n">
        <v>5.916264</v>
      </c>
      <c r="X279" s="3" t="n">
        <v>5.440246</v>
      </c>
      <c r="Y279" s="3" t="n">
        <v>5.782524</v>
      </c>
      <c r="Z279" s="3" t="n">
        <v>5.474583</v>
      </c>
      <c r="AA279" s="3" t="n">
        <v>5.647611</v>
      </c>
      <c r="AB279" s="3" t="n">
        <v>5.557656</v>
      </c>
      <c r="AC279" s="3" t="n">
        <v>6.149677</v>
      </c>
      <c r="AD279" s="3" t="n">
        <v>9.016140999999999</v>
      </c>
      <c r="AE279" s="3" t="n">
        <v>9.727596999999999</v>
      </c>
      <c r="AF279" s="3" t="n">
        <v>10.04543</v>
      </c>
      <c r="AG279" s="3" t="n">
        <v>9.173147999999999</v>
      </c>
      <c r="AH279" s="3" t="n">
        <v>5.970026</v>
      </c>
      <c r="AI279" s="3" t="n">
        <v>4.970816</v>
      </c>
      <c r="AJ279" s="3" t="n">
        <v>5.327395</v>
      </c>
      <c r="AK279" s="3" t="n">
        <v>5.471976</v>
      </c>
      <c r="AL279" s="3" t="n">
        <v>5.5</v>
      </c>
      <c r="AM279" s="3" t="n"/>
      <c r="AN279" s="3" t="n"/>
      <c r="AO279" s="3" t="n"/>
      <c r="AP279" s="3" t="n"/>
      <c r="AQ279" s="3" t="n"/>
      <c r="AR279" s="3" t="n"/>
      <c r="AS279" s="3" t="n"/>
      <c r="AT279" s="3" t="n"/>
      <c r="AU279" s="3" t="n"/>
    </row>
    <row r="280">
      <c r="A280" s="3" t="n">
        <v>2031</v>
      </c>
      <c r="B280" s="3" t="inlineStr">
        <is>
          <t>BGD</t>
        </is>
      </c>
      <c r="C280" s="3" t="inlineStr">
        <is>
          <t>IMF.RES:WEO</t>
        </is>
      </c>
      <c r="D280" s="3" t="inlineStr">
        <is>
          <t>BGD.PPPPC.A</t>
        </is>
      </c>
      <c r="E280" s="3" t="inlineStr">
        <is>
          <t>Bangladesh</t>
        </is>
      </c>
      <c r="F280" s="3" t="inlineStr">
        <is>
          <t>Gross domestic product (GDP), Per capita, purchasing power parity (PPP) international dollar, ICP benchmarks 2017-2021</t>
        </is>
      </c>
      <c r="G280" s="3" t="n">
        <v>1690.488338</v>
      </c>
      <c r="H280" s="3" t="n">
        <v>1782.373938</v>
      </c>
      <c r="I280" s="3" t="n">
        <v>1845.558066</v>
      </c>
      <c r="J280" s="3" t="n">
        <v>1937.358793</v>
      </c>
      <c r="K280" s="3" t="n">
        <v>2060.144129</v>
      </c>
      <c r="L280" s="3" t="n">
        <v>2230.258197</v>
      </c>
      <c r="M280" s="3" t="n">
        <v>2419.611084</v>
      </c>
      <c r="N280" s="3" t="n">
        <v>2628.145649</v>
      </c>
      <c r="O280" s="3" t="n">
        <v>2807.520074</v>
      </c>
      <c r="P280" s="3" t="n">
        <v>2934.396976</v>
      </c>
      <c r="Q280" s="3" t="n">
        <v>3100.475809</v>
      </c>
      <c r="R280" s="3" t="n">
        <v>3330.677429</v>
      </c>
      <c r="S280" s="3" t="n">
        <v>3572.446672</v>
      </c>
      <c r="T280" s="3" t="n">
        <v>3807.440912</v>
      </c>
      <c r="U280" s="3" t="n">
        <v>4061.872458</v>
      </c>
      <c r="V280" s="3" t="n">
        <v>4319.663539</v>
      </c>
      <c r="W280" s="3" t="n">
        <v>4620.214335</v>
      </c>
      <c r="X280" s="3" t="n">
        <v>4959.530253</v>
      </c>
      <c r="Y280" s="3" t="n">
        <v>5563.893224</v>
      </c>
      <c r="Z280" s="3" t="n">
        <v>6116.365194</v>
      </c>
      <c r="AA280" s="3" t="n">
        <v>6705.446945</v>
      </c>
      <c r="AB280" s="3" t="n">
        <v>7485.821883</v>
      </c>
      <c r="AC280" s="3" t="n">
        <v>8492.589934</v>
      </c>
      <c r="AD280" s="3" t="n">
        <v>9219.192832999999</v>
      </c>
      <c r="AE280" s="3" t="n">
        <v>9747.475833</v>
      </c>
      <c r="AF280" s="3" t="n">
        <v>10271.274659</v>
      </c>
      <c r="AG280" s="3" t="n">
        <v>10954.943543</v>
      </c>
      <c r="AH280" s="3" t="n">
        <v>11563.705875</v>
      </c>
      <c r="AI280" s="3" t="n">
        <v>12177.283505</v>
      </c>
      <c r="AJ280" s="3" t="n">
        <v>12987.072034</v>
      </c>
      <c r="AK280" s="3" t="n">
        <v>13869.061725</v>
      </c>
      <c r="AL280" s="3" t="n">
        <v>14856.878624</v>
      </c>
      <c r="AM280" s="3" t="n"/>
      <c r="AN280" s="3" t="n"/>
      <c r="AO280" s="3" t="n"/>
      <c r="AP280" s="3" t="n"/>
      <c r="AQ280" s="3" t="n"/>
      <c r="AR280" s="3" t="n"/>
      <c r="AS280" s="3" t="n"/>
      <c r="AT280" s="3" t="n"/>
      <c r="AU280" s="3" t="n"/>
    </row>
    <row r="281">
      <c r="A281" s="3" t="n">
        <v>2025</v>
      </c>
      <c r="B281" s="3" t="inlineStr">
        <is>
          <t>BGD</t>
        </is>
      </c>
      <c r="C281" s="3" t="inlineStr">
        <is>
          <t>IMF.STA:ER</t>
        </is>
      </c>
      <c r="D281" s="3" t="inlineStr">
        <is>
          <t>BGD.XDC_USD.PA_RT.A</t>
        </is>
      </c>
      <c r="E281" s="3" t="inlineStr">
        <is>
          <t>Bangladesh</t>
        </is>
      </c>
      <c r="F281" s="3" t="inlineStr">
        <is>
          <t>Domestic currency per US Dollar</t>
        </is>
      </c>
      <c r="G281" s="3" t="n">
        <v>52.1416666666666</v>
      </c>
      <c r="H281" s="3" t="n">
        <v>55.8066666666666</v>
      </c>
      <c r="I281" s="3" t="n">
        <v>57.888</v>
      </c>
      <c r="J281" s="3" t="n">
        <v>58.15004</v>
      </c>
      <c r="K281" s="3" t="n">
        <v>59.5126583333333</v>
      </c>
      <c r="L281" s="3" t="n">
        <v>64.32747499999989</v>
      </c>
      <c r="M281" s="3" t="n">
        <v>68.93323333333331</v>
      </c>
      <c r="N281" s="3" t="n">
        <v>68.874875</v>
      </c>
      <c r="O281" s="3" t="n">
        <v>68.598275</v>
      </c>
      <c r="P281" s="3" t="n">
        <v>69.0390666666666</v>
      </c>
      <c r="Q281" s="3" t="n">
        <v>69.6492916666666</v>
      </c>
      <c r="R281" s="3" t="n">
        <v>74.1524</v>
      </c>
      <c r="S281" s="3" t="n">
        <v>81.8626583333333</v>
      </c>
      <c r="T281" s="3" t="n">
        <v>78.103235</v>
      </c>
      <c r="U281" s="3" t="n">
        <v>77.6414083333333</v>
      </c>
      <c r="V281" s="3" t="n">
        <v>77.9469083333333</v>
      </c>
      <c r="W281" s="3" t="n">
        <v>78.4680916666666</v>
      </c>
      <c r="X281" s="3" t="n">
        <v>80.4375416666666</v>
      </c>
      <c r="Y281" s="3" t="n">
        <v>83.46620191666661</v>
      </c>
      <c r="Z281" s="3" t="n">
        <v>84.45352250000001</v>
      </c>
      <c r="AA281" s="3" t="n">
        <v>84.8713916666666</v>
      </c>
      <c r="AB281" s="3" t="n">
        <v>85.08376325</v>
      </c>
      <c r="AC281" s="3" t="n">
        <v>91.7454544396961</v>
      </c>
      <c r="AD281" s="3" t="n">
        <v>106.309484297483</v>
      </c>
      <c r="AE281" s="3" t="n">
        <v>115.603653796648</v>
      </c>
      <c r="AF281" s="3" t="n">
        <v>121.920836605034</v>
      </c>
      <c r="AG281" s="3" t="n"/>
      <c r="AH281" s="3" t="n"/>
      <c r="AI281" s="3" t="n"/>
      <c r="AJ281" s="3" t="n"/>
      <c r="AK281" s="3" t="n"/>
      <c r="AL281" s="3" t="n"/>
      <c r="AM281" s="3" t="n"/>
      <c r="AN281" s="3" t="n"/>
      <c r="AO281" s="3" t="n"/>
      <c r="AP281" s="3" t="n"/>
      <c r="AQ281" s="3" t="n"/>
      <c r="AR281" s="3" t="n"/>
      <c r="AS281" s="3" t="n"/>
      <c r="AT281" s="3" t="n"/>
      <c r="AU281" s="3" t="n"/>
    </row>
    <row r="282">
      <c r="A282" s="3" t="n">
        <v>2031</v>
      </c>
      <c r="B282" s="3" t="inlineStr">
        <is>
          <t>BGR</t>
        </is>
      </c>
      <c r="C282" s="3" t="inlineStr">
        <is>
          <t>IMF.RES:WEO</t>
        </is>
      </c>
      <c r="D282" s="3" t="inlineStr">
        <is>
          <t>BGR.BCA.A</t>
        </is>
      </c>
      <c r="E282" s="3" t="inlineStr">
        <is>
          <t>Bulgaria</t>
        </is>
      </c>
      <c r="F282" s="3" t="inlineStr">
        <is>
          <t>Current account balance (credit less debit), US dollar</t>
        </is>
      </c>
      <c r="G282" s="3" t="n">
        <v>-0.412483</v>
      </c>
      <c r="H282" s="3" t="n">
        <v>-0.514184</v>
      </c>
      <c r="I282" s="3" t="n">
        <v>-0.102522</v>
      </c>
      <c r="J282" s="3" t="n">
        <v>-0.714941</v>
      </c>
      <c r="K282" s="3" t="n">
        <v>-1.11888</v>
      </c>
      <c r="L282" s="3" t="n">
        <v>-2.816061</v>
      </c>
      <c r="M282" s="3" t="n">
        <v>-5.253202</v>
      </c>
      <c r="N282" s="3" t="n">
        <v>-10.615741</v>
      </c>
      <c r="O282" s="3" t="n">
        <v>-12.026373</v>
      </c>
      <c r="P282" s="3" t="n">
        <v>-4.325679</v>
      </c>
      <c r="Q282" s="3" t="n">
        <v>-0.8736969999999999</v>
      </c>
      <c r="R282" s="3" t="n">
        <v>0.189551</v>
      </c>
      <c r="S282" s="3" t="n">
        <v>-0.45986</v>
      </c>
      <c r="T282" s="3" t="n">
        <v>0.71135</v>
      </c>
      <c r="U282" s="3" t="n">
        <v>1.206988</v>
      </c>
      <c r="V282" s="3" t="n">
        <v>0.008876999999999999</v>
      </c>
      <c r="W282" s="3" t="n">
        <v>1.633227</v>
      </c>
      <c r="X282" s="3" t="n">
        <v>1.87156</v>
      </c>
      <c r="Y282" s="3" t="n">
        <v>0.43467</v>
      </c>
      <c r="Z282" s="3" t="n">
        <v>1.14087</v>
      </c>
      <c r="AA282" s="3" t="n">
        <v>1.099054</v>
      </c>
      <c r="AB282" s="3" t="n">
        <v>0.165339</v>
      </c>
      <c r="AC282" s="3" t="n">
        <v>-1.265601</v>
      </c>
      <c r="AD282" s="3" t="n">
        <v>-1.200771</v>
      </c>
      <c r="AE282" s="3" t="n">
        <v>-1.532189</v>
      </c>
      <c r="AF282" s="3" t="n">
        <v>-7.763552</v>
      </c>
      <c r="AG282" s="3" t="n">
        <v>-5.873278</v>
      </c>
      <c r="AH282" s="3" t="n">
        <v>-5.092354</v>
      </c>
      <c r="AI282" s="3" t="n">
        <v>-4.662346</v>
      </c>
      <c r="AJ282" s="3" t="n">
        <v>-0.981444</v>
      </c>
      <c r="AK282" s="3" t="n">
        <v>0.715771</v>
      </c>
      <c r="AL282" s="3" t="n">
        <v>2.357311</v>
      </c>
      <c r="AM282" s="3" t="n"/>
      <c r="AN282" s="3" t="n"/>
      <c r="AO282" s="3" t="n"/>
      <c r="AP282" s="3" t="n"/>
      <c r="AQ282" s="3" t="n"/>
      <c r="AR282" s="3" t="n"/>
      <c r="AS282" s="3" t="n"/>
      <c r="AT282" s="3" t="n"/>
      <c r="AU282" s="3" t="n"/>
    </row>
    <row r="283">
      <c r="A283" s="3" t="n">
        <v>2031</v>
      </c>
      <c r="B283" s="3" t="inlineStr">
        <is>
          <t>BGR</t>
        </is>
      </c>
      <c r="C283" s="3" t="inlineStr">
        <is>
          <t>IMF.RES:WEO</t>
        </is>
      </c>
      <c r="D283" s="3" t="inlineStr">
        <is>
          <t>BGR.BCA_NGDPD.A</t>
        </is>
      </c>
      <c r="E283" s="3" t="inlineStr">
        <is>
          <t>Bulgaria</t>
        </is>
      </c>
      <c r="F283" s="3" t="inlineStr">
        <is>
          <t>Current account balance (credit less debit), Percent of GDP</t>
        </is>
      </c>
      <c r="G283" s="3" t="n">
        <v>-3.104306</v>
      </c>
      <c r="H283" s="3" t="n">
        <v>-3.623627</v>
      </c>
      <c r="I283" s="3" t="n">
        <v>-0.622881</v>
      </c>
      <c r="J283" s="3" t="n">
        <v>-3.374853</v>
      </c>
      <c r="K283" s="3" t="n">
        <v>-4.271835</v>
      </c>
      <c r="L283" s="3" t="n">
        <v>-9.410748999999999</v>
      </c>
      <c r="M283" s="3" t="n">
        <v>-15.263288</v>
      </c>
      <c r="N283" s="3" t="n">
        <v>-23.857349</v>
      </c>
      <c r="O283" s="3" t="n">
        <v>-21.956392</v>
      </c>
      <c r="P283" s="3" t="n">
        <v>-8.297546000000001</v>
      </c>
      <c r="Q283" s="3" t="n">
        <v>-1.719796</v>
      </c>
      <c r="R283" s="3" t="n">
        <v>0.328357</v>
      </c>
      <c r="S283" s="3" t="n">
        <v>-0.846535</v>
      </c>
      <c r="T283" s="3" t="n">
        <v>1.273555</v>
      </c>
      <c r="U283" s="3" t="n">
        <v>2.111146</v>
      </c>
      <c r="V283" s="3" t="n">
        <v>0.017468</v>
      </c>
      <c r="W283" s="3" t="n">
        <v>3.027401</v>
      </c>
      <c r="X283" s="3" t="n">
        <v>3.156704</v>
      </c>
      <c r="Y283" s="3" t="n">
        <v>0.656968</v>
      </c>
      <c r="Z283" s="3" t="n">
        <v>1.665184</v>
      </c>
      <c r="AA283" s="3" t="n">
        <v>1.556853</v>
      </c>
      <c r="AB283" s="3" t="n">
        <v>0.195812</v>
      </c>
      <c r="AC283" s="3" t="n">
        <v>-1.395127</v>
      </c>
      <c r="AD283" s="3" t="n">
        <v>-1.174503</v>
      </c>
      <c r="AE283" s="3" t="n">
        <v>-1.351568</v>
      </c>
      <c r="AF283" s="3" t="n">
        <v>-5.925274</v>
      </c>
      <c r="AG283" s="3" t="n">
        <v>-3.96519</v>
      </c>
      <c r="AH283" s="3" t="n">
        <v>-3.215131</v>
      </c>
      <c r="AI283" s="3" t="n">
        <v>-2.739198</v>
      </c>
      <c r="AJ283" s="3" t="n">
        <v>-0.546675</v>
      </c>
      <c r="AK283" s="3" t="n">
        <v>0.376595</v>
      </c>
      <c r="AL283" s="3" t="n">
        <v>1.17521</v>
      </c>
      <c r="AM283" s="3" t="n"/>
      <c r="AN283" s="3" t="n"/>
      <c r="AO283" s="3" t="n"/>
      <c r="AP283" s="3" t="n"/>
      <c r="AQ283" s="3" t="n"/>
      <c r="AR283" s="3" t="n"/>
      <c r="AS283" s="3" t="n"/>
      <c r="AT283" s="3" t="n"/>
      <c r="AU283" s="3" t="n"/>
    </row>
    <row r="284">
      <c r="A284" s="3" t="n">
        <v>2031</v>
      </c>
      <c r="B284" s="3" t="inlineStr">
        <is>
          <t>BGR</t>
        </is>
      </c>
      <c r="C284" s="3" t="inlineStr">
        <is>
          <t>IMF.RES:WEO</t>
        </is>
      </c>
      <c r="D284" s="3" t="inlineStr">
        <is>
          <t>BGR.GGR_NGDP.A</t>
        </is>
      </c>
      <c r="E284" s="3" t="inlineStr">
        <is>
          <t>Bulgaria</t>
        </is>
      </c>
      <c r="F284" s="3" t="inlineStr">
        <is>
          <t>Revenue, General government, Percent of GDP</t>
        </is>
      </c>
      <c r="G284" s="3" t="n">
        <v>36.525348</v>
      </c>
      <c r="H284" s="3" t="n">
        <v>35.897064</v>
      </c>
      <c r="I284" s="3" t="n">
        <v>34.460347</v>
      </c>
      <c r="J284" s="3" t="n">
        <v>35.767193</v>
      </c>
      <c r="K284" s="3" t="n">
        <v>36.203844</v>
      </c>
      <c r="L284" s="3" t="n">
        <v>36.220487</v>
      </c>
      <c r="M284" s="3" t="n">
        <v>35.722011</v>
      </c>
      <c r="N284" s="3" t="n">
        <v>36.200501</v>
      </c>
      <c r="O284" s="3" t="n">
        <v>36.183711</v>
      </c>
      <c r="P284" s="3" t="n">
        <v>32.915971</v>
      </c>
      <c r="Q284" s="3" t="n">
        <v>30.784649</v>
      </c>
      <c r="R284" s="3" t="n">
        <v>30.120214</v>
      </c>
      <c r="S284" s="3" t="n">
        <v>32.084594</v>
      </c>
      <c r="T284" s="3" t="n">
        <v>33.718435</v>
      </c>
      <c r="U284" s="3" t="n">
        <v>33.428604</v>
      </c>
      <c r="V284" s="3" t="n">
        <v>34.554938</v>
      </c>
      <c r="W284" s="3" t="n">
        <v>34.26436</v>
      </c>
      <c r="X284" s="3" t="n">
        <v>32.851923</v>
      </c>
      <c r="Y284" s="3" t="n">
        <v>34.572061</v>
      </c>
      <c r="Z284" s="3" t="n">
        <v>35.102542</v>
      </c>
      <c r="AA284" s="3" t="n">
        <v>34.739572</v>
      </c>
      <c r="AB284" s="3" t="n">
        <v>35.650053</v>
      </c>
      <c r="AC284" s="3" t="n">
        <v>36.767174</v>
      </c>
      <c r="AD284" s="3" t="n">
        <v>34.471724</v>
      </c>
      <c r="AE284" s="3" t="n">
        <v>33.276726</v>
      </c>
      <c r="AF284" s="3" t="n">
        <v>35.86509</v>
      </c>
      <c r="AG284" s="3" t="n">
        <v>34.547113</v>
      </c>
      <c r="AH284" s="3" t="n">
        <v>33.654524</v>
      </c>
      <c r="AI284" s="3" t="n">
        <v>33.499944</v>
      </c>
      <c r="AJ284" s="3" t="n">
        <v>33.191331</v>
      </c>
      <c r="AK284" s="3" t="n">
        <v>32.726147</v>
      </c>
      <c r="AL284" s="3" t="n">
        <v>32.336754</v>
      </c>
      <c r="AM284" s="3" t="n"/>
      <c r="AN284" s="3" t="n"/>
      <c r="AO284" s="3" t="n"/>
      <c r="AP284" s="3" t="n"/>
      <c r="AQ284" s="3" t="n"/>
      <c r="AR284" s="3" t="n"/>
      <c r="AS284" s="3" t="n"/>
      <c r="AT284" s="3" t="n"/>
      <c r="AU284" s="3" t="n"/>
    </row>
    <row r="285">
      <c r="A285" s="3" t="n">
        <v>2031</v>
      </c>
      <c r="B285" s="3" t="inlineStr">
        <is>
          <t>BGR</t>
        </is>
      </c>
      <c r="C285" s="3" t="inlineStr">
        <is>
          <t>IMF.RES:WEO</t>
        </is>
      </c>
      <c r="D285" s="3" t="inlineStr">
        <is>
          <t>BGR.GGX_NGDP.A</t>
        </is>
      </c>
      <c r="E285" s="3" t="inlineStr">
        <is>
          <t>Bulgaria</t>
        </is>
      </c>
      <c r="F285" s="3" t="inlineStr">
        <is>
          <t>Expenditure, General government, Percent of GDP</t>
        </is>
      </c>
      <c r="G285" s="3" t="n">
        <v>37.130101</v>
      </c>
      <c r="H285" s="3" t="n">
        <v>36.477152</v>
      </c>
      <c r="I285" s="3" t="n">
        <v>35.074667</v>
      </c>
      <c r="J285" s="3" t="n">
        <v>35.764641</v>
      </c>
      <c r="K285" s="3" t="n">
        <v>34.610593</v>
      </c>
      <c r="L285" s="3" t="n">
        <v>34.033339</v>
      </c>
      <c r="M285" s="3" t="n">
        <v>32.500925</v>
      </c>
      <c r="N285" s="3" t="n">
        <v>33.114185</v>
      </c>
      <c r="O285" s="3" t="n">
        <v>33.452205</v>
      </c>
      <c r="P285" s="3" t="n">
        <v>33.771477</v>
      </c>
      <c r="Q285" s="3" t="n">
        <v>34.554021</v>
      </c>
      <c r="R285" s="3" t="n">
        <v>31.954006</v>
      </c>
      <c r="S285" s="3" t="n">
        <v>32.518761</v>
      </c>
      <c r="T285" s="3" t="n">
        <v>35.469987</v>
      </c>
      <c r="U285" s="3" t="n">
        <v>37.080455</v>
      </c>
      <c r="V285" s="3" t="n">
        <v>37.329523</v>
      </c>
      <c r="W285" s="3" t="n">
        <v>32.724675</v>
      </c>
      <c r="X285" s="3" t="n">
        <v>32.028481</v>
      </c>
      <c r="Y285" s="3" t="n">
        <v>34.44867</v>
      </c>
      <c r="Z285" s="3" t="n">
        <v>36.065431</v>
      </c>
      <c r="AA285" s="3" t="n">
        <v>37.658763</v>
      </c>
      <c r="AB285" s="3" t="n">
        <v>38.452471</v>
      </c>
      <c r="AC285" s="3" t="n">
        <v>37.567444</v>
      </c>
      <c r="AD285" s="3" t="n">
        <v>37.511297</v>
      </c>
      <c r="AE285" s="3" t="n">
        <v>36.284649</v>
      </c>
      <c r="AF285" s="3" t="n">
        <v>38.874316</v>
      </c>
      <c r="AG285" s="3" t="n">
        <v>37.8199</v>
      </c>
      <c r="AH285" s="3" t="n">
        <v>37.20662</v>
      </c>
      <c r="AI285" s="3" t="n">
        <v>36.842634</v>
      </c>
      <c r="AJ285" s="3" t="n">
        <v>36.563161</v>
      </c>
      <c r="AK285" s="3" t="n">
        <v>36.089014</v>
      </c>
      <c r="AL285" s="3" t="n">
        <v>35.671785</v>
      </c>
      <c r="AM285" s="3" t="n"/>
      <c r="AN285" s="3" t="n"/>
      <c r="AO285" s="3" t="n"/>
      <c r="AP285" s="3" t="n"/>
      <c r="AQ285" s="3" t="n"/>
      <c r="AR285" s="3" t="n"/>
      <c r="AS285" s="3" t="n"/>
      <c r="AT285" s="3" t="n"/>
      <c r="AU285" s="3" t="n"/>
    </row>
    <row r="286">
      <c r="A286" s="3" t="n">
        <v>2031</v>
      </c>
      <c r="B286" s="3" t="inlineStr">
        <is>
          <t>BGR</t>
        </is>
      </c>
      <c r="C286" s="3" t="inlineStr">
        <is>
          <t>IMF.RES:WEO</t>
        </is>
      </c>
      <c r="D286" s="3" t="inlineStr">
        <is>
          <t>BGR.LP.A</t>
        </is>
      </c>
      <c r="E286" s="3" t="inlineStr">
        <is>
          <t>Bulgaria</t>
        </is>
      </c>
      <c r="F286" s="3" t="inlineStr">
        <is>
          <t>Population, Persons for countries / Index for country groups</t>
        </is>
      </c>
      <c r="G286" s="3" t="n">
        <v>8.1495</v>
      </c>
      <c r="H286" s="3" t="n">
        <v>7.8911</v>
      </c>
      <c r="I286" s="3" t="n">
        <v>7.8458</v>
      </c>
      <c r="J286" s="3" t="n">
        <v>7.801273</v>
      </c>
      <c r="K286" s="3" t="n">
        <v>7.761049</v>
      </c>
      <c r="L286" s="3" t="n">
        <v>7.71875</v>
      </c>
      <c r="M286" s="3" t="n">
        <v>7.67929</v>
      </c>
      <c r="N286" s="3" t="n">
        <v>7.64024</v>
      </c>
      <c r="O286" s="3" t="n">
        <v>7.606551</v>
      </c>
      <c r="P286" s="3" t="n">
        <v>7.56371</v>
      </c>
      <c r="Q286" s="3" t="n">
        <v>7.504868</v>
      </c>
      <c r="R286" s="3" t="n">
        <v>7.327224</v>
      </c>
      <c r="S286" s="3" t="n">
        <v>7.284552</v>
      </c>
      <c r="T286" s="3" t="n">
        <v>7.245677</v>
      </c>
      <c r="U286" s="3" t="n">
        <v>7.202198</v>
      </c>
      <c r="V286" s="3" t="n">
        <v>7.153784</v>
      </c>
      <c r="W286" s="3" t="n">
        <v>7.101859</v>
      </c>
      <c r="X286" s="3" t="n">
        <v>7.050034</v>
      </c>
      <c r="Y286" s="3" t="n">
        <v>7.000039</v>
      </c>
      <c r="Z286" s="3" t="n">
        <v>6.951482</v>
      </c>
      <c r="AA286" s="3" t="n">
        <v>6.916548</v>
      </c>
      <c r="AB286" s="3" t="n">
        <v>6.838937</v>
      </c>
      <c r="AC286" s="3" t="n">
        <v>6.44771</v>
      </c>
      <c r="AD286" s="3" t="n">
        <v>6.445481</v>
      </c>
      <c r="AE286" s="3" t="n">
        <v>6.43736</v>
      </c>
      <c r="AF286" s="3" t="n">
        <v>6.262908</v>
      </c>
      <c r="AG286" s="3" t="n">
        <v>6.210925</v>
      </c>
      <c r="AH286" s="3" t="n">
        <v>6.159375</v>
      </c>
      <c r="AI286" s="3" t="n">
        <v>6.108252</v>
      </c>
      <c r="AJ286" s="3" t="n">
        <v>6.057553</v>
      </c>
      <c r="AK286" s="3" t="n">
        <v>6.007276</v>
      </c>
      <c r="AL286" s="3" t="n">
        <v>5.96542</v>
      </c>
      <c r="AM286" s="3" t="n"/>
      <c r="AN286" s="3" t="n"/>
      <c r="AO286" s="3" t="n"/>
      <c r="AP286" s="3" t="n"/>
      <c r="AQ286" s="3" t="n"/>
      <c r="AR286" s="3" t="n"/>
      <c r="AS286" s="3" t="n"/>
      <c r="AT286" s="3" t="n"/>
      <c r="AU286" s="3" t="n"/>
    </row>
    <row r="287">
      <c r="A287" s="3" t="n">
        <v>2031</v>
      </c>
      <c r="B287" s="3" t="inlineStr">
        <is>
          <t>BGR</t>
        </is>
      </c>
      <c r="C287" s="3" t="inlineStr">
        <is>
          <t>IMF.RES:WEO</t>
        </is>
      </c>
      <c r="D287" s="3" t="inlineStr">
        <is>
          <t>BGR.NGDP.A</t>
        </is>
      </c>
      <c r="E287" s="3" t="inlineStr">
        <is>
          <t>Bulgaria</t>
        </is>
      </c>
      <c r="F287" s="3" t="inlineStr">
        <is>
          <t>Gross domestic product (GDP), Current prices, Domestic currency</t>
        </is>
      </c>
      <c r="G287" s="3" t="n">
        <v>14.380025</v>
      </c>
      <c r="H287" s="3" t="n">
        <v>15.843241</v>
      </c>
      <c r="I287" s="3" t="n">
        <v>17.419054</v>
      </c>
      <c r="J287" s="3" t="n">
        <v>18.732666</v>
      </c>
      <c r="K287" s="3" t="n">
        <v>21.065887</v>
      </c>
      <c r="L287" s="3" t="n">
        <v>24.039531</v>
      </c>
      <c r="M287" s="3" t="n">
        <v>27.409559</v>
      </c>
      <c r="N287" s="3" t="n">
        <v>32.464211</v>
      </c>
      <c r="O287" s="3" t="n">
        <v>37.246101</v>
      </c>
      <c r="P287" s="3" t="n">
        <v>37.417089</v>
      </c>
      <c r="Q287" s="3" t="n">
        <v>38.289423</v>
      </c>
      <c r="R287" s="3" t="n">
        <v>41.479228</v>
      </c>
      <c r="S287" s="3" t="n">
        <v>42.254605</v>
      </c>
      <c r="T287" s="3" t="n">
        <v>42.055507</v>
      </c>
      <c r="U287" s="3" t="n">
        <v>43.024031</v>
      </c>
      <c r="V287" s="3" t="n">
        <v>45.797121</v>
      </c>
      <c r="W287" s="3" t="n">
        <v>48.751392</v>
      </c>
      <c r="X287" s="3" t="n">
        <v>52.500966</v>
      </c>
      <c r="Y287" s="3" t="n">
        <v>55.999694</v>
      </c>
      <c r="Z287" s="3" t="n">
        <v>61.194422</v>
      </c>
      <c r="AA287" s="3" t="n">
        <v>61.855554</v>
      </c>
      <c r="AB287" s="3" t="n">
        <v>71.343943</v>
      </c>
      <c r="AC287" s="3" t="n">
        <v>86.07818899999999</v>
      </c>
      <c r="AD287" s="3" t="n">
        <v>94.52510599999999</v>
      </c>
      <c r="AE287" s="3" t="n">
        <v>104.767222</v>
      </c>
      <c r="AF287" s="3" t="n">
        <v>116.018269</v>
      </c>
      <c r="AG287" s="3" t="n">
        <v>125.609411</v>
      </c>
      <c r="AH287" s="3" t="n">
        <v>134.625233</v>
      </c>
      <c r="AI287" s="3" t="n">
        <v>145.065183</v>
      </c>
      <c r="AJ287" s="3" t="n">
        <v>153.090784</v>
      </c>
      <c r="AK287" s="3" t="n">
        <v>162.099014</v>
      </c>
      <c r="AL287" s="3" t="n">
        <v>171.101326</v>
      </c>
      <c r="AM287" s="3" t="n"/>
      <c r="AN287" s="3" t="n"/>
      <c r="AO287" s="3" t="n"/>
      <c r="AP287" s="3" t="n"/>
      <c r="AQ287" s="3" t="n"/>
      <c r="AR287" s="3" t="n"/>
      <c r="AS287" s="3" t="n"/>
      <c r="AT287" s="3" t="n"/>
      <c r="AU287" s="3" t="n"/>
    </row>
    <row r="288">
      <c r="A288" s="3" t="n">
        <v>2031</v>
      </c>
      <c r="B288" s="3" t="inlineStr">
        <is>
          <t>BGR</t>
        </is>
      </c>
      <c r="C288" s="3" t="inlineStr">
        <is>
          <t>IMF.RES:WEO</t>
        </is>
      </c>
      <c r="D288" s="3" t="inlineStr">
        <is>
          <t>BGR.NGDP_D.A</t>
        </is>
      </c>
      <c r="E288" s="3" t="inlineStr">
        <is>
          <t>Bulgaria</t>
        </is>
      </c>
      <c r="F288" s="3" t="inlineStr">
        <is>
          <t>Gross domestic product (GDP), Price deflator, Index</t>
        </is>
      </c>
      <c r="G288" s="3" t="n">
        <v>42.313875</v>
      </c>
      <c r="H288" s="3" t="n">
        <v>44.902515</v>
      </c>
      <c r="I288" s="3" t="n">
        <v>46.630532</v>
      </c>
      <c r="J288" s="3" t="n">
        <v>47.65147</v>
      </c>
      <c r="K288" s="3" t="n">
        <v>50.311163</v>
      </c>
      <c r="L288" s="3" t="n">
        <v>53.62881</v>
      </c>
      <c r="M288" s="3" t="n">
        <v>57.252233</v>
      </c>
      <c r="N288" s="3" t="n">
        <v>63.579413</v>
      </c>
      <c r="O288" s="3" t="n">
        <v>68.73154700000001</v>
      </c>
      <c r="P288" s="3" t="n">
        <v>71.43821699999999</v>
      </c>
      <c r="Q288" s="3" t="n">
        <v>71.984098</v>
      </c>
      <c r="R288" s="3" t="n">
        <v>76.38436299999999</v>
      </c>
      <c r="S288" s="3" t="n">
        <v>77.233887</v>
      </c>
      <c r="T288" s="3" t="n">
        <v>77.289463</v>
      </c>
      <c r="U288" s="3" t="n">
        <v>78.325749</v>
      </c>
      <c r="V288" s="3" t="n">
        <v>80.63458900000001</v>
      </c>
      <c r="W288" s="3" t="n">
        <v>83.314527</v>
      </c>
      <c r="X288" s="3" t="n">
        <v>87.324557</v>
      </c>
      <c r="Y288" s="3" t="n">
        <v>91.022998</v>
      </c>
      <c r="Z288" s="3" t="n">
        <v>95.831418</v>
      </c>
      <c r="AA288" s="3" t="n">
        <v>99.99999699999999</v>
      </c>
      <c r="AB288" s="3" t="n">
        <v>106.966096</v>
      </c>
      <c r="AC288" s="3" t="n">
        <v>123.993452</v>
      </c>
      <c r="AD288" s="3" t="n">
        <v>133.909323</v>
      </c>
      <c r="AE288" s="3" t="n">
        <v>143.556466</v>
      </c>
      <c r="AF288" s="3" t="n">
        <v>154.198573</v>
      </c>
      <c r="AG288" s="3" t="n">
        <v>162.44141</v>
      </c>
      <c r="AH288" s="3" t="n">
        <v>169.894936</v>
      </c>
      <c r="AI288" s="3" t="n">
        <v>178.156382</v>
      </c>
      <c r="AJ288" s="3" t="n">
        <v>183.180717</v>
      </c>
      <c r="AK288" s="3" t="n">
        <v>188.970413</v>
      </c>
      <c r="AL288" s="3" t="n">
        <v>194.340933</v>
      </c>
      <c r="AM288" s="3" t="n"/>
      <c r="AN288" s="3" t="n"/>
      <c r="AO288" s="3" t="n"/>
      <c r="AP288" s="3" t="n"/>
      <c r="AQ288" s="3" t="n"/>
      <c r="AR288" s="3" t="n"/>
      <c r="AS288" s="3" t="n"/>
      <c r="AT288" s="3" t="n"/>
      <c r="AU288" s="3" t="n"/>
    </row>
    <row r="289">
      <c r="A289" s="3" t="n">
        <v>2031</v>
      </c>
      <c r="B289" s="3" t="inlineStr">
        <is>
          <t>BGR</t>
        </is>
      </c>
      <c r="C289" s="3" t="inlineStr">
        <is>
          <t>IMF.RES:WEO</t>
        </is>
      </c>
      <c r="D289" s="3" t="inlineStr">
        <is>
          <t>BGR.NGDP_R.A</t>
        </is>
      </c>
      <c r="E289" s="3" t="inlineStr">
        <is>
          <t>Bulgaria</t>
        </is>
      </c>
      <c r="F289" s="3" t="inlineStr">
        <is>
          <t>Gross domestic product (GDP), Constant prices, Domestic currency</t>
        </is>
      </c>
      <c r="G289" s="3" t="n">
        <v>33.984184</v>
      </c>
      <c r="H289" s="3" t="n">
        <v>35.283638</v>
      </c>
      <c r="I289" s="3" t="n">
        <v>37.355469</v>
      </c>
      <c r="J289" s="3" t="n">
        <v>39.311832</v>
      </c>
      <c r="K289" s="3" t="n">
        <v>41.871199</v>
      </c>
      <c r="L289" s="3" t="n">
        <v>44.825777</v>
      </c>
      <c r="M289" s="3" t="n">
        <v>47.875092</v>
      </c>
      <c r="N289" s="3" t="n">
        <v>51.060885</v>
      </c>
      <c r="O289" s="3" t="n">
        <v>54.190692</v>
      </c>
      <c r="P289" s="3" t="n">
        <v>52.376852</v>
      </c>
      <c r="Q289" s="3" t="n">
        <v>53.191502</v>
      </c>
      <c r="R289" s="3" t="n">
        <v>54.303298</v>
      </c>
      <c r="S289" s="3" t="n">
        <v>54.709929</v>
      </c>
      <c r="T289" s="3" t="n">
        <v>54.412989</v>
      </c>
      <c r="U289" s="3" t="n">
        <v>54.929613</v>
      </c>
      <c r="V289" s="3" t="n">
        <v>56.795876</v>
      </c>
      <c r="W289" s="3" t="n">
        <v>58.514876</v>
      </c>
      <c r="X289" s="3" t="n">
        <v>60.121652</v>
      </c>
      <c r="Y289" s="3" t="n">
        <v>61.522577</v>
      </c>
      <c r="Z289" s="3" t="n">
        <v>63.856325</v>
      </c>
      <c r="AA289" s="3" t="n">
        <v>61.855556</v>
      </c>
      <c r="AB289" s="3" t="n">
        <v>66.697716</v>
      </c>
      <c r="AC289" s="3" t="n">
        <v>69.42156</v>
      </c>
      <c r="AD289" s="3" t="n">
        <v>70.588891</v>
      </c>
      <c r="AE289" s="3" t="n">
        <v>72.9798</v>
      </c>
      <c r="AF289" s="3" t="n">
        <v>75.23952199999999</v>
      </c>
      <c r="AG289" s="3" t="n">
        <v>77.325979</v>
      </c>
      <c r="AH289" s="3" t="n">
        <v>79.240286</v>
      </c>
      <c r="AI289" s="3" t="n">
        <v>81.425757</v>
      </c>
      <c r="AJ289" s="3" t="n">
        <v>83.573635</v>
      </c>
      <c r="AK289" s="3" t="n">
        <v>85.780102</v>
      </c>
      <c r="AL289" s="3" t="n">
        <v>88.041836</v>
      </c>
      <c r="AM289" s="3" t="n"/>
      <c r="AN289" s="3" t="n"/>
      <c r="AO289" s="3" t="n"/>
      <c r="AP289" s="3" t="n"/>
      <c r="AQ289" s="3" t="n"/>
      <c r="AR289" s="3" t="n"/>
      <c r="AS289" s="3" t="n"/>
      <c r="AT289" s="3" t="n"/>
      <c r="AU289" s="3" t="n"/>
    </row>
    <row r="290">
      <c r="A290" s="3" t="n">
        <v>2031</v>
      </c>
      <c r="B290" s="3" t="inlineStr">
        <is>
          <t>BGR</t>
        </is>
      </c>
      <c r="C290" s="3" t="inlineStr">
        <is>
          <t>IMF.RES:WEO</t>
        </is>
      </c>
      <c r="D290" s="3" t="inlineStr">
        <is>
          <t>BGR.NGDP_RPCH.A</t>
        </is>
      </c>
      <c r="E290" s="3" t="inlineStr">
        <is>
          <t>Bulgaria</t>
        </is>
      </c>
      <c r="F290" s="3" t="inlineStr">
        <is>
          <t>Gross domestic product (GDP), Constant prices, Percent change</t>
        </is>
      </c>
      <c r="G290" s="3" t="n">
        <v>4.587226</v>
      </c>
      <c r="H290" s="3" t="n">
        <v>3.823702</v>
      </c>
      <c r="I290" s="3" t="n">
        <v>5.871931</v>
      </c>
      <c r="J290" s="3" t="n">
        <v>5.237153</v>
      </c>
      <c r="K290" s="3" t="n">
        <v>6.510424</v>
      </c>
      <c r="L290" s="3" t="n">
        <v>7.056349</v>
      </c>
      <c r="M290" s="3" t="n">
        <v>6.802593</v>
      </c>
      <c r="N290" s="3" t="n">
        <v>6.654385</v>
      </c>
      <c r="O290" s="3" t="n">
        <v>6.129559</v>
      </c>
      <c r="P290" s="3" t="n">
        <v>-3.347143</v>
      </c>
      <c r="Q290" s="3" t="n">
        <v>1.555363</v>
      </c>
      <c r="R290" s="3" t="n">
        <v>2.090176</v>
      </c>
      <c r="S290" s="3" t="n">
        <v>0.748815</v>
      </c>
      <c r="T290" s="3" t="n">
        <v>-0.542753</v>
      </c>
      <c r="U290" s="3" t="n">
        <v>0.94945</v>
      </c>
      <c r="V290" s="3" t="n">
        <v>3.397554</v>
      </c>
      <c r="W290" s="3" t="n">
        <v>3.026628</v>
      </c>
      <c r="X290" s="3" t="n">
        <v>2.745927</v>
      </c>
      <c r="Y290" s="3" t="n">
        <v>2.330151</v>
      </c>
      <c r="Z290" s="3" t="n">
        <v>3.79332</v>
      </c>
      <c r="AA290" s="3" t="n">
        <v>-3.133235</v>
      </c>
      <c r="AB290" s="3" t="n">
        <v>7.828173</v>
      </c>
      <c r="AC290" s="3" t="n">
        <v>4.083864</v>
      </c>
      <c r="AD290" s="3" t="n">
        <v>1.681511</v>
      </c>
      <c r="AE290" s="3" t="n">
        <v>3.38709</v>
      </c>
      <c r="AF290" s="3" t="n">
        <v>3.096366</v>
      </c>
      <c r="AG290" s="3" t="n">
        <v>2.773087</v>
      </c>
      <c r="AH290" s="3" t="n">
        <v>2.475632</v>
      </c>
      <c r="AI290" s="3" t="n">
        <v>2.758031</v>
      </c>
      <c r="AJ290" s="3" t="n">
        <v>2.637836</v>
      </c>
      <c r="AK290" s="3" t="n">
        <v>2.640147</v>
      </c>
      <c r="AL290" s="3" t="n">
        <v>2.636665</v>
      </c>
      <c r="AM290" s="3" t="n"/>
      <c r="AN290" s="3" t="n"/>
      <c r="AO290" s="3" t="n"/>
      <c r="AP290" s="3" t="n"/>
      <c r="AQ290" s="3" t="n"/>
      <c r="AR290" s="3" t="n"/>
      <c r="AS290" s="3" t="n"/>
      <c r="AT290" s="3" t="n"/>
      <c r="AU290" s="3" t="n"/>
    </row>
    <row r="291">
      <c r="A291" s="3" t="n">
        <v>2031</v>
      </c>
      <c r="B291" s="3" t="inlineStr">
        <is>
          <t>BGR</t>
        </is>
      </c>
      <c r="C291" s="3" t="inlineStr">
        <is>
          <t>IMF.RES:WEO</t>
        </is>
      </c>
      <c r="D291" s="3" t="inlineStr">
        <is>
          <t>BGR.NGDPD.A</t>
        </is>
      </c>
      <c r="E291" s="3" t="inlineStr">
        <is>
          <t>Bulgaria</t>
        </is>
      </c>
      <c r="F291" s="3" t="inlineStr">
        <is>
          <t>Gross domestic product (GDP), Current prices, US dollar</t>
        </is>
      </c>
      <c r="G291" s="3" t="n">
        <v>13.287439</v>
      </c>
      <c r="H291" s="3" t="n">
        <v>14.189771</v>
      </c>
      <c r="I291" s="3" t="n">
        <v>16.459361</v>
      </c>
      <c r="J291" s="3" t="n">
        <v>21.184344</v>
      </c>
      <c r="K291" s="3" t="n">
        <v>26.192012</v>
      </c>
      <c r="L291" s="3" t="n">
        <v>29.923878</v>
      </c>
      <c r="M291" s="3" t="n">
        <v>34.417234</v>
      </c>
      <c r="N291" s="3" t="n">
        <v>44.496733</v>
      </c>
      <c r="O291" s="3" t="n">
        <v>54.773905</v>
      </c>
      <c r="P291" s="3" t="n">
        <v>52.13203</v>
      </c>
      <c r="Q291" s="3" t="n">
        <v>50.802385</v>
      </c>
      <c r="R291" s="3" t="n">
        <v>57.727069</v>
      </c>
      <c r="S291" s="3" t="n">
        <v>54.322616</v>
      </c>
      <c r="T291" s="3" t="n">
        <v>55.855492</v>
      </c>
      <c r="U291" s="3" t="n">
        <v>57.17219</v>
      </c>
      <c r="V291" s="3" t="n">
        <v>50.817641</v>
      </c>
      <c r="W291" s="3" t="n">
        <v>53.948177</v>
      </c>
      <c r="X291" s="3" t="n">
        <v>59.288424</v>
      </c>
      <c r="Y291" s="3" t="n">
        <v>66.16308100000001</v>
      </c>
      <c r="Z291" s="3" t="n">
        <v>68.513156</v>
      </c>
      <c r="AA291" s="3" t="n">
        <v>70.594622</v>
      </c>
      <c r="AB291" s="3" t="n">
        <v>84.437454</v>
      </c>
      <c r="AC291" s="3" t="n">
        <v>90.71583</v>
      </c>
      <c r="AD291" s="3" t="n">
        <v>102.236511</v>
      </c>
      <c r="AE291" s="3" t="n">
        <v>113.363852</v>
      </c>
      <c r="AF291" s="3" t="n">
        <v>131.024361</v>
      </c>
      <c r="AG291" s="3" t="n">
        <v>148.120985</v>
      </c>
      <c r="AH291" s="3" t="n">
        <v>158.38717</v>
      </c>
      <c r="AI291" s="3" t="n">
        <v>170.208416</v>
      </c>
      <c r="AJ291" s="3" t="n">
        <v>179.529834</v>
      </c>
      <c r="AK291" s="3" t="n">
        <v>190.064058</v>
      </c>
      <c r="AL291" s="3" t="n">
        <v>200.586389</v>
      </c>
      <c r="AM291" s="3" t="n"/>
      <c r="AN291" s="3" t="n"/>
      <c r="AO291" s="3" t="n"/>
      <c r="AP291" s="3" t="n"/>
      <c r="AQ291" s="3" t="n"/>
      <c r="AR291" s="3" t="n"/>
      <c r="AS291" s="3" t="n"/>
      <c r="AT291" s="3" t="n"/>
      <c r="AU291" s="3" t="n"/>
    </row>
    <row r="292">
      <c r="A292" s="3" t="n">
        <v>2031</v>
      </c>
      <c r="B292" s="3" t="inlineStr">
        <is>
          <t>BGR</t>
        </is>
      </c>
      <c r="C292" s="3" t="inlineStr">
        <is>
          <t>IMF.RES:WEO</t>
        </is>
      </c>
      <c r="D292" s="3" t="inlineStr">
        <is>
          <t>BGR.NGDPPC.A</t>
        </is>
      </c>
      <c r="E292" s="3" t="inlineStr">
        <is>
          <t>Bulgaria</t>
        </is>
      </c>
      <c r="F292" s="3" t="inlineStr">
        <is>
          <t>Gross domestic product (GDP), Current prices, Per capita, Domestic currency</t>
        </is>
      </c>
      <c r="G292" s="3" t="n">
        <v>1764.528499</v>
      </c>
      <c r="H292" s="3" t="n">
        <v>2007.735423</v>
      </c>
      <c r="I292" s="3" t="n">
        <v>2220.175635</v>
      </c>
      <c r="J292" s="3" t="n">
        <v>2401.231953</v>
      </c>
      <c r="K292" s="3" t="n">
        <v>2714.309238</v>
      </c>
      <c r="L292" s="3" t="n">
        <v>3114.433166</v>
      </c>
      <c r="M292" s="3" t="n">
        <v>3569.282968</v>
      </c>
      <c r="N292" s="3" t="n">
        <v>4249.108798</v>
      </c>
      <c r="O292" s="3" t="n">
        <v>4896.582038</v>
      </c>
      <c r="P292" s="3" t="n">
        <v>4946.92274</v>
      </c>
      <c r="Q292" s="3" t="n">
        <v>5101.944898</v>
      </c>
      <c r="R292" s="3" t="n">
        <v>5660.97447</v>
      </c>
      <c r="S292" s="3" t="n">
        <v>5800.577029</v>
      </c>
      <c r="T292" s="3" t="n">
        <v>5804.220503</v>
      </c>
      <c r="U292" s="3" t="n">
        <v>5973.736212</v>
      </c>
      <c r="V292" s="3" t="n">
        <v>6401.803717</v>
      </c>
      <c r="W292" s="3" t="n">
        <v>6864.595876</v>
      </c>
      <c r="X292" s="3" t="n">
        <v>7446.909618</v>
      </c>
      <c r="Y292" s="3" t="n">
        <v>7999.911715</v>
      </c>
      <c r="Z292" s="3" t="n">
        <v>8803.075661000001</v>
      </c>
      <c r="AA292" s="3" t="n">
        <v>8943.125097</v>
      </c>
      <c r="AB292" s="3" t="n">
        <v>10432.022257</v>
      </c>
      <c r="AC292" s="3" t="n">
        <v>13350.195496</v>
      </c>
      <c r="AD292" s="3" t="n">
        <v>14665.33002</v>
      </c>
      <c r="AE292" s="3" t="n">
        <v>16274.873861</v>
      </c>
      <c r="AF292" s="3" t="n">
        <v>18524.66577</v>
      </c>
      <c r="AG292" s="3" t="n">
        <v>20223.944507</v>
      </c>
      <c r="AH292" s="3" t="n">
        <v>21856.964132</v>
      </c>
      <c r="AI292" s="3" t="n">
        <v>23749.050378</v>
      </c>
      <c r="AJ292" s="3" t="n">
        <v>25272.708878</v>
      </c>
      <c r="AK292" s="3" t="n">
        <v>26983.781119</v>
      </c>
      <c r="AL292" s="3" t="n">
        <v>28682.192961</v>
      </c>
      <c r="AM292" s="3" t="n"/>
      <c r="AN292" s="3" t="n"/>
      <c r="AO292" s="3" t="n"/>
      <c r="AP292" s="3" t="n"/>
      <c r="AQ292" s="3" t="n"/>
      <c r="AR292" s="3" t="n"/>
      <c r="AS292" s="3" t="n"/>
      <c r="AT292" s="3" t="n"/>
      <c r="AU292" s="3" t="n"/>
    </row>
    <row r="293">
      <c r="A293" s="3" t="n">
        <v>2031</v>
      </c>
      <c r="B293" s="3" t="inlineStr">
        <is>
          <t>BGR</t>
        </is>
      </c>
      <c r="C293" s="3" t="inlineStr">
        <is>
          <t>IMF.RES:WEO</t>
        </is>
      </c>
      <c r="D293" s="3" t="inlineStr">
        <is>
          <t>BGR.NGDPRPC.A</t>
        </is>
      </c>
      <c r="E293" s="3" t="inlineStr">
        <is>
          <t>Bulgaria</t>
        </is>
      </c>
      <c r="F293" s="3" t="inlineStr">
        <is>
          <t>Gross domestic product (GDP), Constant prices, Per capita, Domestic currency</t>
        </is>
      </c>
      <c r="G293" s="3" t="n">
        <v>4170.094362</v>
      </c>
      <c r="H293" s="3" t="n">
        <v>4471.320602</v>
      </c>
      <c r="I293" s="3" t="n">
        <v>4761.205868</v>
      </c>
      <c r="J293" s="3" t="n">
        <v>5039.156045</v>
      </c>
      <c r="K293" s="3" t="n">
        <v>5395.043763</v>
      </c>
      <c r="L293" s="3" t="n">
        <v>5807.388113</v>
      </c>
      <c r="M293" s="3" t="n">
        <v>6234.312287</v>
      </c>
      <c r="N293" s="3" t="n">
        <v>6683.151969</v>
      </c>
      <c r="O293" s="3" t="n">
        <v>7124.213326</v>
      </c>
      <c r="P293" s="3" t="n">
        <v>6924.756766</v>
      </c>
      <c r="Q293" s="3" t="n">
        <v>7087.599942</v>
      </c>
      <c r="R293" s="3" t="n">
        <v>7411.16936</v>
      </c>
      <c r="S293" s="3" t="n">
        <v>7510.404072</v>
      </c>
      <c r="T293" s="3" t="n">
        <v>7509.717725</v>
      </c>
      <c r="U293" s="3" t="n">
        <v>7626.784629</v>
      </c>
      <c r="V293" s="3" t="n">
        <v>7939.277451</v>
      </c>
      <c r="W293" s="3" t="n">
        <v>8239.374507</v>
      </c>
      <c r="X293" s="3" t="n">
        <v>8527.852773000001</v>
      </c>
      <c r="Y293" s="3" t="n">
        <v>8788.890605000001</v>
      </c>
      <c r="Z293" s="3" t="n">
        <v>9186.001632</v>
      </c>
      <c r="AA293" s="3" t="n">
        <v>8943.125386</v>
      </c>
      <c r="AB293" s="3" t="n">
        <v>9752.643722000001</v>
      </c>
      <c r="AC293" s="3" t="n">
        <v>10766.855209</v>
      </c>
      <c r="AD293" s="3" t="n">
        <v>10951.687081</v>
      </c>
      <c r="AE293" s="3" t="n">
        <v>11336.914512</v>
      </c>
      <c r="AF293" s="3" t="n">
        <v>12013.513128</v>
      </c>
      <c r="AG293" s="3" t="n">
        <v>12449.993195</v>
      </c>
      <c r="AH293" s="3" t="n">
        <v>12864.988586</v>
      </c>
      <c r="AI293" s="3" t="n">
        <v>13330.451694</v>
      </c>
      <c r="AJ293" s="3" t="n">
        <v>13796.598969</v>
      </c>
      <c r="AK293" s="3" t="n">
        <v>14279.36822</v>
      </c>
      <c r="AL293" s="3" t="n">
        <v>14758.698792</v>
      </c>
      <c r="AM293" s="3" t="n"/>
      <c r="AN293" s="3" t="n"/>
      <c r="AO293" s="3" t="n"/>
      <c r="AP293" s="3" t="n"/>
      <c r="AQ293" s="3" t="n"/>
      <c r="AR293" s="3" t="n"/>
      <c r="AS293" s="3" t="n"/>
      <c r="AT293" s="3" t="n"/>
      <c r="AU293" s="3" t="n"/>
    </row>
    <row r="294">
      <c r="A294" s="3" t="n">
        <v>2031</v>
      </c>
      <c r="B294" s="3" t="inlineStr">
        <is>
          <t>BGR</t>
        </is>
      </c>
      <c r="C294" s="3" t="inlineStr">
        <is>
          <t>IMF.RES:WEO</t>
        </is>
      </c>
      <c r="D294" s="3" t="inlineStr">
        <is>
          <t>BGR.PCPI.A</t>
        </is>
      </c>
      <c r="E294" s="3" t="inlineStr">
        <is>
          <t>Bulgaria</t>
        </is>
      </c>
      <c r="F294" s="3" t="inlineStr">
        <is>
          <t>All Items, Consumer price index (CPI), Period average</t>
        </is>
      </c>
      <c r="G294" s="3" t="n">
        <v>37.9525</v>
      </c>
      <c r="H294" s="3" t="n">
        <v>40.745</v>
      </c>
      <c r="I294" s="3" t="n">
        <v>43.1125</v>
      </c>
      <c r="J294" s="3" t="n">
        <v>44.125</v>
      </c>
      <c r="K294" s="3" t="n">
        <v>46.838333</v>
      </c>
      <c r="L294" s="3" t="n">
        <v>49.6675</v>
      </c>
      <c r="M294" s="3" t="n">
        <v>53.35</v>
      </c>
      <c r="N294" s="3" t="n">
        <v>57.39</v>
      </c>
      <c r="O294" s="3" t="n">
        <v>64.249167</v>
      </c>
      <c r="P294" s="3" t="n">
        <v>65.83666700000001</v>
      </c>
      <c r="Q294" s="3" t="n">
        <v>67.83416699999999</v>
      </c>
      <c r="R294" s="3" t="n">
        <v>70.13249999999999</v>
      </c>
      <c r="S294" s="3" t="n">
        <v>71.809167</v>
      </c>
      <c r="T294" s="3" t="n">
        <v>72.08416699999999</v>
      </c>
      <c r="U294" s="3" t="n">
        <v>70.93083300000001</v>
      </c>
      <c r="V294" s="3" t="n">
        <v>70.175833</v>
      </c>
      <c r="W294" s="3" t="n">
        <v>69.246667</v>
      </c>
      <c r="X294" s="3" t="n">
        <v>70.0675</v>
      </c>
      <c r="Y294" s="3" t="n">
        <v>71.91500000000001</v>
      </c>
      <c r="Z294" s="3" t="n">
        <v>73.681667</v>
      </c>
      <c r="AA294" s="3" t="n">
        <v>74.581667</v>
      </c>
      <c r="AB294" s="3" t="n">
        <v>76.69750000000001</v>
      </c>
      <c r="AC294" s="3" t="n">
        <v>86.684167</v>
      </c>
      <c r="AD294" s="3" t="n">
        <v>94.139167</v>
      </c>
      <c r="AE294" s="3" t="n">
        <v>96.583333</v>
      </c>
      <c r="AF294" s="3" t="n">
        <v>99.999167</v>
      </c>
      <c r="AG294" s="3" t="n">
        <v>103.763734</v>
      </c>
      <c r="AH294" s="3" t="n">
        <v>107.61713</v>
      </c>
      <c r="AI294" s="3" t="n">
        <v>111.325304</v>
      </c>
      <c r="AJ294" s="3" t="n">
        <v>114.159333</v>
      </c>
      <c r="AK294" s="3" t="n">
        <v>116.906832</v>
      </c>
      <c r="AL294" s="3" t="n">
        <v>119.532259</v>
      </c>
      <c r="AM294" s="3" t="n"/>
      <c r="AN294" s="3" t="n"/>
      <c r="AO294" s="3" t="n"/>
      <c r="AP294" s="3" t="n"/>
      <c r="AQ294" s="3" t="n"/>
      <c r="AR294" s="3" t="n"/>
      <c r="AS294" s="3" t="n"/>
      <c r="AT294" s="3" t="n"/>
      <c r="AU294" s="3" t="n"/>
    </row>
    <row r="295">
      <c r="A295" s="3" t="n">
        <v>2031</v>
      </c>
      <c r="B295" s="3" t="inlineStr">
        <is>
          <t>BGR</t>
        </is>
      </c>
      <c r="C295" s="3" t="inlineStr">
        <is>
          <t>IMF.RES:WEO</t>
        </is>
      </c>
      <c r="D295" s="3" t="inlineStr">
        <is>
          <t>BGR.PCPIPCH.A</t>
        </is>
      </c>
      <c r="E295" s="3" t="inlineStr">
        <is>
          <t>Bulgaria</t>
        </is>
      </c>
      <c r="F295" s="3" t="inlineStr">
        <is>
          <t>All Items, Consumer price index (CPI), Period average, percent change</t>
        </is>
      </c>
      <c r="G295" s="3" t="n">
        <v>10.316345</v>
      </c>
      <c r="H295" s="3" t="n">
        <v>7.357882</v>
      </c>
      <c r="I295" s="3" t="n">
        <v>5.810529</v>
      </c>
      <c r="J295" s="3" t="n">
        <v>2.348507</v>
      </c>
      <c r="K295" s="3" t="n">
        <v>6.149197</v>
      </c>
      <c r="L295" s="3" t="n">
        <v>6.04028</v>
      </c>
      <c r="M295" s="3" t="n">
        <v>7.414305</v>
      </c>
      <c r="N295" s="3" t="n">
        <v>7.572634</v>
      </c>
      <c r="O295" s="3" t="n">
        <v>11.95185</v>
      </c>
      <c r="P295" s="3" t="n">
        <v>2.470849</v>
      </c>
      <c r="Q295" s="3" t="n">
        <v>3.034024</v>
      </c>
      <c r="R295" s="3" t="n">
        <v>3.388165</v>
      </c>
      <c r="S295" s="3" t="n">
        <v>2.390713</v>
      </c>
      <c r="T295" s="3" t="n">
        <v>0.382959</v>
      </c>
      <c r="U295" s="3" t="n">
        <v>-1.599982</v>
      </c>
      <c r="V295" s="3" t="n">
        <v>-1.064417</v>
      </c>
      <c r="W295" s="3" t="n">
        <v>-1.324055</v>
      </c>
      <c r="X295" s="3" t="n">
        <v>1.185376</v>
      </c>
      <c r="Y295" s="3" t="n">
        <v>2.636743</v>
      </c>
      <c r="Z295" s="3" t="n">
        <v>2.456604</v>
      </c>
      <c r="AA295" s="3" t="n">
        <v>1.221471</v>
      </c>
      <c r="AB295" s="3" t="n">
        <v>2.836935</v>
      </c>
      <c r="AC295" s="3" t="n">
        <v>13.02085</v>
      </c>
      <c r="AD295" s="3" t="n">
        <v>8.600187</v>
      </c>
      <c r="AE295" s="3" t="n">
        <v>2.596333</v>
      </c>
      <c r="AF295" s="3" t="n">
        <v>3.53667</v>
      </c>
      <c r="AG295" s="3" t="n">
        <v>3.764599</v>
      </c>
      <c r="AH295" s="3" t="n">
        <v>3.713624</v>
      </c>
      <c r="AI295" s="3" t="n">
        <v>3.44571</v>
      </c>
      <c r="AJ295" s="3" t="n">
        <v>2.545718</v>
      </c>
      <c r="AK295" s="3" t="n">
        <v>2.406723</v>
      </c>
      <c r="AL295" s="3" t="n">
        <v>2.245743</v>
      </c>
      <c r="AM295" s="3" t="n"/>
      <c r="AN295" s="3" t="n"/>
      <c r="AO295" s="3" t="n"/>
      <c r="AP295" s="3" t="n"/>
      <c r="AQ295" s="3" t="n"/>
      <c r="AR295" s="3" t="n"/>
      <c r="AS295" s="3" t="n"/>
      <c r="AT295" s="3" t="n"/>
      <c r="AU295" s="3" t="n"/>
    </row>
    <row r="296">
      <c r="A296" s="3" t="n">
        <v>2031</v>
      </c>
      <c r="B296" s="3" t="inlineStr">
        <is>
          <t>BGR</t>
        </is>
      </c>
      <c r="C296" s="3" t="inlineStr">
        <is>
          <t>IMF.RES:WEO</t>
        </is>
      </c>
      <c r="D296" s="3" t="inlineStr">
        <is>
          <t>BGR.PPPPC.A</t>
        </is>
      </c>
      <c r="E296" s="3" t="inlineStr">
        <is>
          <t>Bulgaria</t>
        </is>
      </c>
      <c r="F296" s="3" t="inlineStr">
        <is>
          <t>Gross domestic product (GDP), Per capita, purchasing power parity (PPP) international dollar, ICP benchmarks 2017-2021</t>
        </is>
      </c>
      <c r="G296" s="3" t="n">
        <v>7658.694889</v>
      </c>
      <c r="H296" s="3" t="n">
        <v>8396.821007</v>
      </c>
      <c r="I296" s="3" t="n">
        <v>9080.154372000001</v>
      </c>
      <c r="J296" s="3" t="n">
        <v>9799.963378</v>
      </c>
      <c r="K296" s="3" t="n">
        <v>10774.200163</v>
      </c>
      <c r="L296" s="3" t="n">
        <v>11961.356892</v>
      </c>
      <c r="M296" s="3" t="n">
        <v>13236.675319</v>
      </c>
      <c r="N296" s="3" t="n">
        <v>14574.086499</v>
      </c>
      <c r="O296" s="3" t="n">
        <v>15835.203716</v>
      </c>
      <c r="P296" s="3" t="n">
        <v>15486.793698</v>
      </c>
      <c r="Q296" s="3" t="n">
        <v>16043.631283</v>
      </c>
      <c r="R296" s="3" t="n">
        <v>17122.201391</v>
      </c>
      <c r="S296" s="3" t="n">
        <v>17674.538228</v>
      </c>
      <c r="T296" s="3" t="n">
        <v>17973.717041</v>
      </c>
      <c r="U296" s="3" t="n">
        <v>18571.835284</v>
      </c>
      <c r="V296" s="3" t="n">
        <v>19512.198986</v>
      </c>
      <c r="W296" s="3" t="n">
        <v>20442.159168</v>
      </c>
      <c r="X296" s="3" t="n">
        <v>21536.797568</v>
      </c>
      <c r="Y296" s="3" t="n">
        <v>23006.152932</v>
      </c>
      <c r="Z296" s="3" t="n">
        <v>25476.690185</v>
      </c>
      <c r="AA296" s="3" t="n">
        <v>25905.165702</v>
      </c>
      <c r="AB296" s="3" t="n">
        <v>29691.818213</v>
      </c>
      <c r="AC296" s="3" t="n">
        <v>35110.993132</v>
      </c>
      <c r="AD296" s="3" t="n">
        <v>37035.154742</v>
      </c>
      <c r="AE296" s="3" t="n">
        <v>39289.627387</v>
      </c>
      <c r="AF296" s="3" t="n">
        <v>42815.545188</v>
      </c>
      <c r="AG296" s="3" t="n">
        <v>45642.304688</v>
      </c>
      <c r="AH296" s="3" t="n">
        <v>48199.367399</v>
      </c>
      <c r="AI296" s="3" t="n">
        <v>50763.01358</v>
      </c>
      <c r="AJ296" s="3" t="n">
        <v>53472.31015</v>
      </c>
      <c r="AK296" s="3" t="n">
        <v>56360.35801</v>
      </c>
      <c r="AL296" s="3" t="n">
        <v>59303.894621</v>
      </c>
      <c r="AM296" s="3" t="n"/>
      <c r="AN296" s="3" t="n"/>
      <c r="AO296" s="3" t="n"/>
      <c r="AP296" s="3" t="n"/>
      <c r="AQ296" s="3" t="n"/>
      <c r="AR296" s="3" t="n"/>
      <c r="AS296" s="3" t="n"/>
      <c r="AT296" s="3" t="n"/>
      <c r="AU296" s="3" t="n"/>
    </row>
    <row r="297">
      <c r="A297" s="3" t="n">
        <v>2025</v>
      </c>
      <c r="B297" s="3" t="inlineStr">
        <is>
          <t>BGR</t>
        </is>
      </c>
      <c r="C297" s="3" t="inlineStr">
        <is>
          <t>IMF.STA:ER</t>
        </is>
      </c>
      <c r="D297" s="3" t="inlineStr">
        <is>
          <t>BGR.XDC_USD.PA_RT.A</t>
        </is>
      </c>
      <c r="E297" s="3" t="inlineStr">
        <is>
          <t>Bulgaria</t>
        </is>
      </c>
      <c r="F297" s="3" t="inlineStr">
        <is>
          <t>Domestic currency per US Dollar</t>
        </is>
      </c>
      <c r="G297" s="3" t="n">
        <v>2.123275</v>
      </c>
      <c r="H297" s="3" t="n">
        <v>2.18470833333333</v>
      </c>
      <c r="I297" s="3" t="n">
        <v>2.076975</v>
      </c>
      <c r="J297" s="3" t="n">
        <v>1.73270166666666</v>
      </c>
      <c r="K297" s="3" t="n">
        <v>1.57510891666666</v>
      </c>
      <c r="L297" s="3" t="n">
        <v>1.57413333333333</v>
      </c>
      <c r="M297" s="3" t="n">
        <v>1.55926666666666</v>
      </c>
      <c r="N297" s="3" t="n">
        <v>1.42905</v>
      </c>
      <c r="O297" s="3" t="n">
        <v>1.33711666666666</v>
      </c>
      <c r="P297" s="3" t="n">
        <v>1.40669166666666</v>
      </c>
      <c r="Q297" s="3" t="n">
        <v>1.47739166666666</v>
      </c>
      <c r="R297" s="3" t="n">
        <v>1.40645833333333</v>
      </c>
      <c r="S297" s="3" t="n">
        <v>1.52205</v>
      </c>
      <c r="T297" s="3" t="n">
        <v>1.47356666666666</v>
      </c>
      <c r="U297" s="3" t="n">
        <v>1.47418333333333</v>
      </c>
      <c r="V297" s="3" t="n">
        <v>1.7644</v>
      </c>
      <c r="W297" s="3" t="n">
        <v>1.76804166666666</v>
      </c>
      <c r="X297" s="3" t="n">
        <v>1.73545833333333</v>
      </c>
      <c r="Y297" s="3" t="n">
        <v>1.65704166666666</v>
      </c>
      <c r="Z297" s="3" t="n">
        <v>1.74704166666666</v>
      </c>
      <c r="AA297" s="3" t="n">
        <v>1.71633333333333</v>
      </c>
      <c r="AB297" s="3" t="n">
        <v>1.653775</v>
      </c>
      <c r="AC297" s="3" t="n">
        <v>1.86014166666666</v>
      </c>
      <c r="AD297" s="3" t="n">
        <v>1.80896666666666</v>
      </c>
      <c r="AE297" s="3" t="n">
        <v>1.80784166666666</v>
      </c>
      <c r="AF297" s="3" t="n">
        <v>1.73519166666666</v>
      </c>
      <c r="AG297" s="3" t="n"/>
      <c r="AH297" s="3" t="n"/>
      <c r="AI297" s="3" t="n"/>
      <c r="AJ297" s="3" t="n"/>
      <c r="AK297" s="3" t="n"/>
      <c r="AL297" s="3" t="n"/>
      <c r="AM297" s="3" t="n"/>
      <c r="AN297" s="3" t="n"/>
      <c r="AO297" s="3" t="n"/>
      <c r="AP297" s="3" t="n"/>
      <c r="AQ297" s="3" t="n"/>
      <c r="AR297" s="3" t="n"/>
      <c r="AS297" s="3" t="n"/>
      <c r="AT297" s="3" t="n"/>
      <c r="AU297" s="3" t="n"/>
    </row>
    <row r="298">
      <c r="A298" s="3" t="n">
        <v>2031</v>
      </c>
      <c r="B298" s="3" t="inlineStr">
        <is>
          <t>BHR</t>
        </is>
      </c>
      <c r="C298" s="3" t="inlineStr">
        <is>
          <t>IMF.RES:WEO</t>
        </is>
      </c>
      <c r="D298" s="3" t="inlineStr">
        <is>
          <t>BHR.BCA.A</t>
        </is>
      </c>
      <c r="E298" s="3" t="inlineStr">
        <is>
          <t>Bahrain, Kingdom of</t>
        </is>
      </c>
      <c r="F298" s="3" t="inlineStr">
        <is>
          <t>Current account balance (credit less debit), US dollar</t>
        </is>
      </c>
      <c r="G298" s="3" t="n">
        <v>0.84611</v>
      </c>
      <c r="H298" s="3" t="n">
        <v>0.226064</v>
      </c>
      <c r="I298" s="3" t="n">
        <v>-0.055585</v>
      </c>
      <c r="J298" s="3" t="n">
        <v>0.196543</v>
      </c>
      <c r="K298" s="3" t="n">
        <v>0.474468</v>
      </c>
      <c r="L298" s="3" t="n">
        <v>1.47633</v>
      </c>
      <c r="M298" s="3" t="n">
        <v>2.18875</v>
      </c>
      <c r="N298" s="3" t="n">
        <v>2.90758</v>
      </c>
      <c r="O298" s="3" t="n">
        <v>2.256915</v>
      </c>
      <c r="P298" s="3" t="n">
        <v>0.560106</v>
      </c>
      <c r="Q298" s="3" t="n">
        <v>0.771277</v>
      </c>
      <c r="R298" s="3" t="n">
        <v>2.523835</v>
      </c>
      <c r="S298" s="3" t="n">
        <v>2.577926</v>
      </c>
      <c r="T298" s="3" t="n">
        <v>2.40984</v>
      </c>
      <c r="U298" s="3" t="n">
        <v>1.523138</v>
      </c>
      <c r="V298" s="3" t="n">
        <v>-0.752128</v>
      </c>
      <c r="W298" s="3" t="n">
        <v>-1.492819</v>
      </c>
      <c r="X298" s="3" t="n">
        <v>-1.45</v>
      </c>
      <c r="Y298" s="3" t="n">
        <v>-2.434574</v>
      </c>
      <c r="Z298" s="3" t="n">
        <v>-0.794149</v>
      </c>
      <c r="AA298" s="3" t="n">
        <v>-3.244681</v>
      </c>
      <c r="AB298" s="3" t="n">
        <v>2.602394</v>
      </c>
      <c r="AC298" s="3" t="n">
        <v>6.838564</v>
      </c>
      <c r="AD298" s="3" t="n">
        <v>2.699468</v>
      </c>
      <c r="AE298" s="3" t="n">
        <v>2.281915</v>
      </c>
      <c r="AF298" s="3" t="n">
        <v>2.822074</v>
      </c>
      <c r="AG298" s="3" t="n">
        <v>1.920124</v>
      </c>
      <c r="AH298" s="3" t="n">
        <v>2.465547</v>
      </c>
      <c r="AI298" s="3" t="n">
        <v>2.065881</v>
      </c>
      <c r="AJ298" s="3" t="n">
        <v>1.82423</v>
      </c>
      <c r="AK298" s="3" t="n">
        <v>1.319789</v>
      </c>
      <c r="AL298" s="3" t="n">
        <v>1.244413</v>
      </c>
      <c r="AM298" s="3" t="n"/>
      <c r="AN298" s="3" t="n"/>
      <c r="AO298" s="3" t="n"/>
      <c r="AP298" s="3" t="n"/>
      <c r="AQ298" s="3" t="n"/>
      <c r="AR298" s="3" t="n"/>
      <c r="AS298" s="3" t="n"/>
      <c r="AT298" s="3" t="n"/>
      <c r="AU298" s="3" t="n"/>
    </row>
    <row r="299">
      <c r="A299" s="3" t="n">
        <v>2031</v>
      </c>
      <c r="B299" s="3" t="inlineStr">
        <is>
          <t>BHR</t>
        </is>
      </c>
      <c r="C299" s="3" t="inlineStr">
        <is>
          <t>IMF.RES:WEO</t>
        </is>
      </c>
      <c r="D299" s="3" t="inlineStr">
        <is>
          <t>BHR.BCA_NGDPD.A</t>
        </is>
      </c>
      <c r="E299" s="3" t="inlineStr">
        <is>
          <t>Bahrain, Kingdom of</t>
        </is>
      </c>
      <c r="F299" s="3" t="inlineStr">
        <is>
          <t>Current account balance (credit less debit), Percent of GDP</t>
        </is>
      </c>
      <c r="G299" s="3" t="n">
        <v>8.955358</v>
      </c>
      <c r="H299" s="3" t="n">
        <v>2.359986</v>
      </c>
      <c r="I299" s="3" t="n">
        <v>-0.555782</v>
      </c>
      <c r="J299" s="3" t="n">
        <v>1.702329</v>
      </c>
      <c r="K299" s="3" t="n">
        <v>3.460985</v>
      </c>
      <c r="L299" s="3" t="n">
        <v>8.868237000000001</v>
      </c>
      <c r="M299" s="3" t="n">
        <v>11.345714</v>
      </c>
      <c r="N299" s="3" t="n">
        <v>12.835077</v>
      </c>
      <c r="O299" s="3" t="n">
        <v>8.420228</v>
      </c>
      <c r="P299" s="3" t="n">
        <v>2.342272</v>
      </c>
      <c r="Q299" s="3" t="n">
        <v>2.877255</v>
      </c>
      <c r="R299" s="3" t="n">
        <v>8.436771</v>
      </c>
      <c r="S299" s="3" t="n">
        <v>8.065248</v>
      </c>
      <c r="T299" s="3" t="n">
        <v>7.124789</v>
      </c>
      <c r="U299" s="3" t="n">
        <v>4.380292</v>
      </c>
      <c r="V299" s="3" t="n">
        <v>-2.312579</v>
      </c>
      <c r="W299" s="3" t="n">
        <v>-4.405587</v>
      </c>
      <c r="X299" s="3" t="n">
        <v>-3.897348</v>
      </c>
      <c r="Y299" s="3" t="n">
        <v>-6.152891</v>
      </c>
      <c r="Z299" s="3" t="n">
        <v>-1.963442</v>
      </c>
      <c r="AA299" s="3" t="n">
        <v>-9.053837</v>
      </c>
      <c r="AB299" s="3" t="n">
        <v>6.372135</v>
      </c>
      <c r="AC299" s="3" t="n">
        <v>14.719832</v>
      </c>
      <c r="AD299" s="3" t="n">
        <v>5.843987</v>
      </c>
      <c r="AE299" s="3" t="n">
        <v>4.83358</v>
      </c>
      <c r="AF299" s="3" t="n">
        <v>5.936502</v>
      </c>
      <c r="AG299" s="3" t="n">
        <v>3.930721</v>
      </c>
      <c r="AH299" s="3" t="n">
        <v>4.834986</v>
      </c>
      <c r="AI299" s="3" t="n">
        <v>3.895476</v>
      </c>
      <c r="AJ299" s="3" t="n">
        <v>3.290388</v>
      </c>
      <c r="AK299" s="3" t="n">
        <v>2.268996</v>
      </c>
      <c r="AL299" s="3" t="n">
        <v>2.037555</v>
      </c>
      <c r="AM299" s="3" t="n"/>
      <c r="AN299" s="3" t="n"/>
      <c r="AO299" s="3" t="n"/>
      <c r="AP299" s="3" t="n"/>
      <c r="AQ299" s="3" t="n"/>
      <c r="AR299" s="3" t="n"/>
      <c r="AS299" s="3" t="n"/>
      <c r="AT299" s="3" t="n"/>
      <c r="AU299" s="3" t="n"/>
    </row>
    <row r="300">
      <c r="A300" s="3" t="n">
        <v>2031</v>
      </c>
      <c r="B300" s="3" t="inlineStr">
        <is>
          <t>BHR</t>
        </is>
      </c>
      <c r="C300" s="3" t="inlineStr">
        <is>
          <t>IMF.RES:WEO</t>
        </is>
      </c>
      <c r="D300" s="3" t="inlineStr">
        <is>
          <t>BHR.GGR_NGDP.A</t>
        </is>
      </c>
      <c r="E300" s="3" t="inlineStr">
        <is>
          <t>Bahrain, Kingdom of</t>
        </is>
      </c>
      <c r="F300" s="3" t="inlineStr">
        <is>
          <t>Revenue, General government, Percent of GDP</t>
        </is>
      </c>
      <c r="G300" s="3" t="n">
        <v>29.480797</v>
      </c>
      <c r="H300" s="3" t="n">
        <v>27.235517</v>
      </c>
      <c r="I300" s="3" t="n">
        <v>27.307767</v>
      </c>
      <c r="J300" s="3" t="n">
        <v>26.387249</v>
      </c>
      <c r="K300" s="3" t="n">
        <v>25.229879</v>
      </c>
      <c r="L300" s="3" t="n">
        <v>26.702165</v>
      </c>
      <c r="M300" s="3" t="n">
        <v>25.374409</v>
      </c>
      <c r="N300" s="3" t="n">
        <v>23.92085</v>
      </c>
      <c r="O300" s="3" t="n">
        <v>26.765927</v>
      </c>
      <c r="P300" s="3" t="n">
        <v>19.234215</v>
      </c>
      <c r="Q300" s="3" t="n">
        <v>21.787592</v>
      </c>
      <c r="R300" s="3" t="n">
        <v>25.266095</v>
      </c>
      <c r="S300" s="3" t="n">
        <v>25.347485</v>
      </c>
      <c r="T300" s="3" t="n">
        <v>23.406091</v>
      </c>
      <c r="U300" s="3" t="n">
        <v>23.966005</v>
      </c>
      <c r="V300" s="3" t="n">
        <v>17.385243</v>
      </c>
      <c r="W300" s="3" t="n">
        <v>16.697906</v>
      </c>
      <c r="X300" s="3" t="n">
        <v>17.306531</v>
      </c>
      <c r="Y300" s="3" t="n">
        <v>20.793786</v>
      </c>
      <c r="Z300" s="3" t="n">
        <v>22.665309</v>
      </c>
      <c r="AA300" s="3" t="n">
        <v>17.283231</v>
      </c>
      <c r="AB300" s="3" t="n">
        <v>20.058756</v>
      </c>
      <c r="AC300" s="3" t="n">
        <v>22.382661</v>
      </c>
      <c r="AD300" s="3" t="n">
        <v>19.356722</v>
      </c>
      <c r="AE300" s="3" t="n">
        <v>17.88842</v>
      </c>
      <c r="AF300" s="3" t="n">
        <v>16.426939</v>
      </c>
      <c r="AG300" s="3" t="n">
        <v>19.992067</v>
      </c>
      <c r="AH300" s="3" t="n">
        <v>21.120453</v>
      </c>
      <c r="AI300" s="3" t="n">
        <v>21.359125</v>
      </c>
      <c r="AJ300" s="3" t="n">
        <v>21.500904</v>
      </c>
      <c r="AK300" s="3" t="n">
        <v>20.929232</v>
      </c>
      <c r="AL300" s="3" t="n">
        <v>20.174599</v>
      </c>
      <c r="AM300" s="3" t="n"/>
      <c r="AN300" s="3" t="n"/>
      <c r="AO300" s="3" t="n"/>
      <c r="AP300" s="3" t="n"/>
      <c r="AQ300" s="3" t="n"/>
      <c r="AR300" s="3" t="n"/>
      <c r="AS300" s="3" t="n"/>
      <c r="AT300" s="3" t="n"/>
      <c r="AU300" s="3" t="n"/>
    </row>
    <row r="301">
      <c r="A301" s="3" t="n">
        <v>2031</v>
      </c>
      <c r="B301" s="3" t="inlineStr">
        <is>
          <t>BHR</t>
        </is>
      </c>
      <c r="C301" s="3" t="inlineStr">
        <is>
          <t>IMF.RES:WEO</t>
        </is>
      </c>
      <c r="D301" s="3" t="inlineStr">
        <is>
          <t>BHR.GGX_NGDP.A</t>
        </is>
      </c>
      <c r="E301" s="3" t="inlineStr">
        <is>
          <t>Bahrain, Kingdom of</t>
        </is>
      </c>
      <c r="F301" s="3" t="inlineStr">
        <is>
          <t>Expenditure, General government, Percent of GDP</t>
        </is>
      </c>
      <c r="G301" s="3" t="n">
        <v>22.153525</v>
      </c>
      <c r="H301" s="3" t="n">
        <v>26.540124</v>
      </c>
      <c r="I301" s="3" t="n">
        <v>30.580045</v>
      </c>
      <c r="J301" s="3" t="n">
        <v>28.090292</v>
      </c>
      <c r="K301" s="3" t="n">
        <v>24.992984</v>
      </c>
      <c r="L301" s="3" t="n">
        <v>23.906602</v>
      </c>
      <c r="M301" s="3" t="n">
        <v>23.131944</v>
      </c>
      <c r="N301" s="3" t="n">
        <v>22.399355</v>
      </c>
      <c r="O301" s="3" t="n">
        <v>22.682821</v>
      </c>
      <c r="P301" s="3" t="n">
        <v>24.592746</v>
      </c>
      <c r="Q301" s="3" t="n">
        <v>31.073435</v>
      </c>
      <c r="R301" s="3" t="n">
        <v>30.167315</v>
      </c>
      <c r="S301" s="3" t="n">
        <v>31.113134</v>
      </c>
      <c r="T301" s="3" t="n">
        <v>31.951255</v>
      </c>
      <c r="U301" s="3" t="n">
        <v>27.284634</v>
      </c>
      <c r="V301" s="3" t="n">
        <v>34.846883</v>
      </c>
      <c r="W301" s="3" t="n">
        <v>33.277045</v>
      </c>
      <c r="X301" s="3" t="n">
        <v>30.683503</v>
      </c>
      <c r="Y301" s="3" t="n">
        <v>32.069451</v>
      </c>
      <c r="Z301" s="3" t="n">
        <v>31.231831</v>
      </c>
      <c r="AA301" s="3" t="n">
        <v>34.587918</v>
      </c>
      <c r="AB301" s="3" t="n">
        <v>30.62891</v>
      </c>
      <c r="AC301" s="3" t="n">
        <v>28.417498</v>
      </c>
      <c r="AD301" s="3" t="n">
        <v>29.02079</v>
      </c>
      <c r="AE301" s="3" t="n">
        <v>28.895178</v>
      </c>
      <c r="AF301" s="3" t="n">
        <v>29.399239</v>
      </c>
      <c r="AG301" s="3" t="n">
        <v>30.619236</v>
      </c>
      <c r="AH301" s="3" t="n">
        <v>30.206416</v>
      </c>
      <c r="AI301" s="3" t="n">
        <v>29.987536</v>
      </c>
      <c r="AJ301" s="3" t="n">
        <v>29.718771</v>
      </c>
      <c r="AK301" s="3" t="n">
        <v>29.402773</v>
      </c>
      <c r="AL301" s="3" t="n">
        <v>28.895781</v>
      </c>
      <c r="AM301" s="3" t="n"/>
      <c r="AN301" s="3" t="n"/>
      <c r="AO301" s="3" t="n"/>
      <c r="AP301" s="3" t="n"/>
      <c r="AQ301" s="3" t="n"/>
      <c r="AR301" s="3" t="n"/>
      <c r="AS301" s="3" t="n"/>
      <c r="AT301" s="3" t="n"/>
      <c r="AU301" s="3" t="n"/>
    </row>
    <row r="302">
      <c r="A302" s="3" t="n">
        <v>2031</v>
      </c>
      <c r="B302" s="3" t="inlineStr">
        <is>
          <t>BHR</t>
        </is>
      </c>
      <c r="C302" s="3" t="inlineStr">
        <is>
          <t>IMF.RES:WEO</t>
        </is>
      </c>
      <c r="D302" s="3" t="inlineStr">
        <is>
          <t>BHR.LP.A</t>
        </is>
      </c>
      <c r="E302" s="3" t="inlineStr">
        <is>
          <t>Bahrain, Kingdom of</t>
        </is>
      </c>
      <c r="F302" s="3" t="inlineStr">
        <is>
          <t>Population, Persons for countries / Index for country groups</t>
        </is>
      </c>
      <c r="G302" s="3" t="n">
        <v>0.637582</v>
      </c>
      <c r="H302" s="3" t="n">
        <v>0.661316</v>
      </c>
      <c r="I302" s="3" t="n">
        <v>0.710553</v>
      </c>
      <c r="J302" s="3" t="n">
        <v>0.764517</v>
      </c>
      <c r="K302" s="3" t="n">
        <v>0.8237409999999999</v>
      </c>
      <c r="L302" s="3" t="n">
        <v>0.888822</v>
      </c>
      <c r="M302" s="3" t="n">
        <v>0.9604240000000001</v>
      </c>
      <c r="N302" s="3" t="n">
        <v>1.039295</v>
      </c>
      <c r="O302" s="3" t="n">
        <v>1.103496</v>
      </c>
      <c r="P302" s="3" t="n">
        <v>1.178415</v>
      </c>
      <c r="Q302" s="3" t="n">
        <v>1.228543</v>
      </c>
      <c r="R302" s="3" t="n">
        <v>1.19502</v>
      </c>
      <c r="S302" s="3" t="n">
        <v>1.208964</v>
      </c>
      <c r="T302" s="3" t="n">
        <v>1.253191</v>
      </c>
      <c r="U302" s="3" t="n">
        <v>1.314562</v>
      </c>
      <c r="V302" s="3" t="n">
        <v>1.370322</v>
      </c>
      <c r="W302" s="3" t="n">
        <v>1.423726</v>
      </c>
      <c r="X302" s="3" t="n">
        <v>1.501116</v>
      </c>
      <c r="Y302" s="3" t="n">
        <v>1.503091</v>
      </c>
      <c r="Z302" s="3" t="n">
        <v>1.483756</v>
      </c>
      <c r="AA302" s="3" t="n">
        <v>1.472204</v>
      </c>
      <c r="AB302" s="3" t="n">
        <v>1.504365</v>
      </c>
      <c r="AC302" s="3" t="n">
        <v>1.524693</v>
      </c>
      <c r="AD302" s="3" t="n">
        <v>1.577059</v>
      </c>
      <c r="AE302" s="3" t="n">
        <v>1.58867</v>
      </c>
      <c r="AF302" s="3" t="n">
        <v>1.620031</v>
      </c>
      <c r="AG302" s="3" t="n">
        <v>1.652031</v>
      </c>
      <c r="AH302" s="3" t="n">
        <v>1.684683</v>
      </c>
      <c r="AI302" s="3" t="n">
        <v>1.718</v>
      </c>
      <c r="AJ302" s="3" t="n">
        <v>1.751996</v>
      </c>
      <c r="AK302" s="3" t="n">
        <v>1.786686</v>
      </c>
      <c r="AL302" s="3" t="n">
        <v>1.822084</v>
      </c>
      <c r="AM302" s="3" t="n"/>
      <c r="AN302" s="3" t="n"/>
      <c r="AO302" s="3" t="n"/>
      <c r="AP302" s="3" t="n"/>
      <c r="AQ302" s="3" t="n"/>
      <c r="AR302" s="3" t="n"/>
      <c r="AS302" s="3" t="n"/>
      <c r="AT302" s="3" t="n"/>
      <c r="AU302" s="3" t="n"/>
    </row>
    <row r="303">
      <c r="A303" s="3" t="n">
        <v>2031</v>
      </c>
      <c r="B303" s="3" t="inlineStr">
        <is>
          <t>BHR</t>
        </is>
      </c>
      <c r="C303" s="3" t="inlineStr">
        <is>
          <t>IMF.RES:WEO</t>
        </is>
      </c>
      <c r="D303" s="3" t="inlineStr">
        <is>
          <t>BHR.NGDP.A</t>
        </is>
      </c>
      <c r="E303" s="3" t="inlineStr">
        <is>
          <t>Bahrain, Kingdom of</t>
        </is>
      </c>
      <c r="F303" s="3" t="inlineStr">
        <is>
          <t>Gross domestic product (GDP), Current prices, Domestic currency</t>
        </is>
      </c>
      <c r="G303" s="3" t="n">
        <v>3.552482</v>
      </c>
      <c r="H303" s="3" t="n">
        <v>3.601716</v>
      </c>
      <c r="I303" s="3" t="n">
        <v>3.760469</v>
      </c>
      <c r="J303" s="3" t="n">
        <v>4.341112</v>
      </c>
      <c r="K303" s="3" t="n">
        <v>5.154603</v>
      </c>
      <c r="L303" s="3" t="n">
        <v>6.259417</v>
      </c>
      <c r="M303" s="3" t="n">
        <v>7.253576</v>
      </c>
      <c r="N303" s="3" t="n">
        <v>8.517674</v>
      </c>
      <c r="O303" s="3" t="n">
        <v>10.078112</v>
      </c>
      <c r="P303" s="3" t="n">
        <v>8.991269000000001</v>
      </c>
      <c r="Q303" s="3" t="n">
        <v>10.07905</v>
      </c>
      <c r="R303" s="3" t="n">
        <v>11.24793</v>
      </c>
      <c r="S303" s="3" t="n">
        <v>12.01823</v>
      </c>
      <c r="T303" s="3" t="n">
        <v>12.71757</v>
      </c>
      <c r="U303" s="3" t="n">
        <v>13.07447</v>
      </c>
      <c r="V303" s="3" t="n">
        <v>12.22877</v>
      </c>
      <c r="W303" s="3" t="n">
        <v>12.74064</v>
      </c>
      <c r="X303" s="3" t="n">
        <v>13.989</v>
      </c>
      <c r="Y303" s="3" t="n">
        <v>14.87756</v>
      </c>
      <c r="Z303" s="3" t="n">
        <v>15.20799</v>
      </c>
      <c r="AA303" s="3" t="n">
        <v>13.47495</v>
      </c>
      <c r="AB303" s="3" t="n">
        <v>15.35592</v>
      </c>
      <c r="AC303" s="3" t="n">
        <v>17.46827</v>
      </c>
      <c r="AD303" s="3" t="n">
        <v>17.36828</v>
      </c>
      <c r="AE303" s="3" t="n">
        <v>17.75082</v>
      </c>
      <c r="AF303" s="3" t="n">
        <v>17.874161</v>
      </c>
      <c r="AG303" s="3" t="n">
        <v>18.367287</v>
      </c>
      <c r="AH303" s="3" t="n">
        <v>19.173699</v>
      </c>
      <c r="AI303" s="3" t="n">
        <v>19.940339</v>
      </c>
      <c r="AJ303" s="3" t="n">
        <v>20.845882</v>
      </c>
      <c r="AK303" s="3" t="n">
        <v>21.870498</v>
      </c>
      <c r="AL303" s="3" t="n">
        <v>22.963758</v>
      </c>
      <c r="AM303" s="3" t="n"/>
      <c r="AN303" s="3" t="n"/>
      <c r="AO303" s="3" t="n"/>
      <c r="AP303" s="3" t="n"/>
      <c r="AQ303" s="3" t="n"/>
      <c r="AR303" s="3" t="n"/>
      <c r="AS303" s="3" t="n"/>
      <c r="AT303" s="3" t="n"/>
      <c r="AU303" s="3" t="n"/>
    </row>
    <row r="304">
      <c r="A304" s="3" t="n">
        <v>2031</v>
      </c>
      <c r="B304" s="3" t="inlineStr">
        <is>
          <t>BHR</t>
        </is>
      </c>
      <c r="C304" s="3" t="inlineStr">
        <is>
          <t>IMF.RES:WEO</t>
        </is>
      </c>
      <c r="D304" s="3" t="inlineStr">
        <is>
          <t>BHR.NGDP_D.A</t>
        </is>
      </c>
      <c r="E304" s="3" t="inlineStr">
        <is>
          <t>Bahrain, Kingdom of</t>
        </is>
      </c>
      <c r="F304" s="3" t="inlineStr">
        <is>
          <t>Gross domestic product (GDP), Price deflator, Index</t>
        </is>
      </c>
      <c r="G304" s="3" t="n">
        <v>59.404663</v>
      </c>
      <c r="H304" s="3" t="n">
        <v>58.764128</v>
      </c>
      <c r="I304" s="3" t="n">
        <v>59.366369</v>
      </c>
      <c r="J304" s="3" t="n">
        <v>64.47341900000001</v>
      </c>
      <c r="K304" s="3" t="n">
        <v>71.559695</v>
      </c>
      <c r="L304" s="3" t="n">
        <v>81.388357</v>
      </c>
      <c r="M304" s="3" t="n">
        <v>88.586037</v>
      </c>
      <c r="N304" s="3" t="n">
        <v>96.057193</v>
      </c>
      <c r="O304" s="3" t="n">
        <v>106.977509</v>
      </c>
      <c r="P304" s="3" t="n">
        <v>93.076235</v>
      </c>
      <c r="Q304" s="3" t="n">
        <v>100</v>
      </c>
      <c r="R304" s="3" t="n">
        <v>109.486061</v>
      </c>
      <c r="S304" s="3" t="n">
        <v>112.69813</v>
      </c>
      <c r="T304" s="3" t="n">
        <v>113.261623</v>
      </c>
      <c r="U304" s="3" t="n">
        <v>111.630061</v>
      </c>
      <c r="V304" s="3" t="n">
        <v>101.855065</v>
      </c>
      <c r="W304" s="3" t="n">
        <v>102.218856</v>
      </c>
      <c r="X304" s="3" t="n">
        <v>106.937033</v>
      </c>
      <c r="Y304" s="3" t="n">
        <v>111.442063</v>
      </c>
      <c r="Z304" s="3" t="n">
        <v>111.625649</v>
      </c>
      <c r="AA304" s="3" t="n">
        <v>105.119228</v>
      </c>
      <c r="AB304" s="3" t="n">
        <v>114.79903</v>
      </c>
      <c r="AC304" s="3" t="n">
        <v>122.989742</v>
      </c>
      <c r="AD304" s="3" t="n">
        <v>117.720483</v>
      </c>
      <c r="AE304" s="3" t="n">
        <v>116.925791</v>
      </c>
      <c r="AF304" s="3" t="n">
        <v>114.187706</v>
      </c>
      <c r="AG304" s="3" t="n">
        <v>117.92639</v>
      </c>
      <c r="AH304" s="3" t="n">
        <v>117.800372</v>
      </c>
      <c r="AI304" s="3" t="n">
        <v>119.199295</v>
      </c>
      <c r="AJ304" s="3" t="n">
        <v>121.09795</v>
      </c>
      <c r="AK304" s="3" t="n">
        <v>123.232928</v>
      </c>
      <c r="AL304" s="3" t="n">
        <v>125.312928</v>
      </c>
      <c r="AM304" s="3" t="n"/>
      <c r="AN304" s="3" t="n"/>
      <c r="AO304" s="3" t="n"/>
      <c r="AP304" s="3" t="n"/>
      <c r="AQ304" s="3" t="n"/>
      <c r="AR304" s="3" t="n"/>
      <c r="AS304" s="3" t="n"/>
      <c r="AT304" s="3" t="n"/>
      <c r="AU304" s="3" t="n"/>
    </row>
    <row r="305">
      <c r="A305" s="3" t="n">
        <v>2031</v>
      </c>
      <c r="B305" s="3" t="inlineStr">
        <is>
          <t>BHR</t>
        </is>
      </c>
      <c r="C305" s="3" t="inlineStr">
        <is>
          <t>IMF.RES:WEO</t>
        </is>
      </c>
      <c r="D305" s="3" t="inlineStr">
        <is>
          <t>BHR.NGDP_R.A</t>
        </is>
      </c>
      <c r="E305" s="3" t="inlineStr">
        <is>
          <t>Bahrain, Kingdom of</t>
        </is>
      </c>
      <c r="F305" s="3" t="inlineStr">
        <is>
          <t>Gross domestic product (GDP), Constant prices, Domestic currency</t>
        </is>
      </c>
      <c r="G305" s="3" t="n">
        <v>5.98014</v>
      </c>
      <c r="H305" s="3" t="n">
        <v>6.129107</v>
      </c>
      <c r="I305" s="3" t="n">
        <v>6.334342</v>
      </c>
      <c r="J305" s="3" t="n">
        <v>6.733181</v>
      </c>
      <c r="K305" s="3" t="n">
        <v>7.203221</v>
      </c>
      <c r="L305" s="3" t="n">
        <v>7.690802</v>
      </c>
      <c r="M305" s="3" t="n">
        <v>8.188171000000001</v>
      </c>
      <c r="N305" s="3" t="n">
        <v>8.867293999999999</v>
      </c>
      <c r="O305" s="3" t="n">
        <v>9.420776</v>
      </c>
      <c r="P305" s="3" t="n">
        <v>9.660113000000001</v>
      </c>
      <c r="Q305" s="3" t="n">
        <v>10.07905</v>
      </c>
      <c r="R305" s="3" t="n">
        <v>10.27339</v>
      </c>
      <c r="S305" s="3" t="n">
        <v>10.66409</v>
      </c>
      <c r="T305" s="3" t="n">
        <v>11.22849</v>
      </c>
      <c r="U305" s="3" t="n">
        <v>11.71232</v>
      </c>
      <c r="V305" s="3" t="n">
        <v>12.00605</v>
      </c>
      <c r="W305" s="3" t="n">
        <v>12.46408</v>
      </c>
      <c r="X305" s="3" t="n">
        <v>13.08153</v>
      </c>
      <c r="Y305" s="3" t="n">
        <v>13.35004</v>
      </c>
      <c r="Z305" s="3" t="n">
        <v>13.6241</v>
      </c>
      <c r="AA305" s="3" t="n">
        <v>12.81873</v>
      </c>
      <c r="AB305" s="3" t="n">
        <v>13.37635</v>
      </c>
      <c r="AC305" s="3" t="n">
        <v>14.20303</v>
      </c>
      <c r="AD305" s="3" t="n">
        <v>14.75383</v>
      </c>
      <c r="AE305" s="3" t="n">
        <v>15.18127</v>
      </c>
      <c r="AF305" s="3" t="n">
        <v>15.653315</v>
      </c>
      <c r="AG305" s="3" t="n">
        <v>15.575214</v>
      </c>
      <c r="AH305" s="3" t="n">
        <v>16.276433</v>
      </c>
      <c r="AI305" s="3" t="n">
        <v>16.728571</v>
      </c>
      <c r="AJ305" s="3" t="n">
        <v>17.214067</v>
      </c>
      <c r="AK305" s="3" t="n">
        <v>17.747284</v>
      </c>
      <c r="AL305" s="3" t="n">
        <v>18.325131</v>
      </c>
      <c r="AM305" s="3" t="n"/>
      <c r="AN305" s="3" t="n"/>
      <c r="AO305" s="3" t="n"/>
      <c r="AP305" s="3" t="n"/>
      <c r="AQ305" s="3" t="n"/>
      <c r="AR305" s="3" t="n"/>
      <c r="AS305" s="3" t="n"/>
      <c r="AT305" s="3" t="n"/>
      <c r="AU305" s="3" t="n"/>
    </row>
    <row r="306">
      <c r="A306" s="3" t="n">
        <v>2031</v>
      </c>
      <c r="B306" s="3" t="inlineStr">
        <is>
          <t>BHR</t>
        </is>
      </c>
      <c r="C306" s="3" t="inlineStr">
        <is>
          <t>IMF.RES:WEO</t>
        </is>
      </c>
      <c r="D306" s="3" t="inlineStr">
        <is>
          <t>BHR.NGDP_RPCH.A</t>
        </is>
      </c>
      <c r="E306" s="3" t="inlineStr">
        <is>
          <t>Bahrain, Kingdom of</t>
        </is>
      </c>
      <c r="F306" s="3" t="inlineStr">
        <is>
          <t>Gross domestic product (GDP), Constant prices, Percent change</t>
        </is>
      </c>
      <c r="G306" s="3" t="n">
        <v>7.018173</v>
      </c>
      <c r="H306" s="3" t="n">
        <v>2.491033</v>
      </c>
      <c r="I306" s="3" t="n">
        <v>3.348518</v>
      </c>
      <c r="J306" s="3" t="n">
        <v>6.296459</v>
      </c>
      <c r="K306" s="3" t="n">
        <v>6.980947</v>
      </c>
      <c r="L306" s="3" t="n">
        <v>6.768939</v>
      </c>
      <c r="M306" s="3" t="n">
        <v>6.467056</v>
      </c>
      <c r="N306" s="3" t="n">
        <v>8.29396</v>
      </c>
      <c r="O306" s="3" t="n">
        <v>6.241836</v>
      </c>
      <c r="P306" s="3" t="n">
        <v>2.540515</v>
      </c>
      <c r="Q306" s="3" t="n">
        <v>4.336776</v>
      </c>
      <c r="R306" s="3" t="n">
        <v>1.928158</v>
      </c>
      <c r="S306" s="3" t="n">
        <v>3.803029</v>
      </c>
      <c r="T306" s="3" t="n">
        <v>5.292528</v>
      </c>
      <c r="U306" s="3" t="n">
        <v>4.30895</v>
      </c>
      <c r="V306" s="3" t="n">
        <v>2.507872</v>
      </c>
      <c r="W306" s="3" t="n">
        <v>3.814993</v>
      </c>
      <c r="X306" s="3" t="n">
        <v>4.953835</v>
      </c>
      <c r="Y306" s="3" t="n">
        <v>2.052589</v>
      </c>
      <c r="Z306" s="3" t="n">
        <v>2.052878</v>
      </c>
      <c r="AA306" s="3" t="n">
        <v>-5.911363</v>
      </c>
      <c r="AB306" s="3" t="n">
        <v>4.350041</v>
      </c>
      <c r="AC306" s="3" t="n">
        <v>6.180161</v>
      </c>
      <c r="AD306" s="3" t="n">
        <v>3.878046</v>
      </c>
      <c r="AE306" s="3" t="n">
        <v>2.897146</v>
      </c>
      <c r="AF306" s="3" t="n">
        <v>3.109389</v>
      </c>
      <c r="AG306" s="3" t="n">
        <v>-0.498944</v>
      </c>
      <c r="AH306" s="3" t="n">
        <v>4.502152</v>
      </c>
      <c r="AI306" s="3" t="n">
        <v>2.777868</v>
      </c>
      <c r="AJ306" s="3" t="n">
        <v>2.902195</v>
      </c>
      <c r="AK306" s="3" t="n">
        <v>3.097567</v>
      </c>
      <c r="AL306" s="3" t="n">
        <v>3.255972</v>
      </c>
      <c r="AM306" s="3" t="n"/>
      <c r="AN306" s="3" t="n"/>
      <c r="AO306" s="3" t="n"/>
      <c r="AP306" s="3" t="n"/>
      <c r="AQ306" s="3" t="n"/>
      <c r="AR306" s="3" t="n"/>
      <c r="AS306" s="3" t="n"/>
      <c r="AT306" s="3" t="n"/>
      <c r="AU306" s="3" t="n"/>
    </row>
    <row r="307">
      <c r="A307" s="3" t="n">
        <v>2031</v>
      </c>
      <c r="B307" s="3" t="inlineStr">
        <is>
          <t>BHR</t>
        </is>
      </c>
      <c r="C307" s="3" t="inlineStr">
        <is>
          <t>IMF.RES:WEO</t>
        </is>
      </c>
      <c r="D307" s="3" t="inlineStr">
        <is>
          <t>BHR.NGDPD.A</t>
        </is>
      </c>
      <c r="E307" s="3" t="inlineStr">
        <is>
          <t>Bahrain, Kingdom of</t>
        </is>
      </c>
      <c r="F307" s="3" t="inlineStr">
        <is>
          <t>Gross domestic product (GDP), Current prices, US dollar</t>
        </is>
      </c>
      <c r="G307" s="3" t="n">
        <v>9.448090000000001</v>
      </c>
      <c r="H307" s="3" t="n">
        <v>9.579033000000001</v>
      </c>
      <c r="I307" s="3" t="n">
        <v>10.001246</v>
      </c>
      <c r="J307" s="3" t="n">
        <v>11.54551</v>
      </c>
      <c r="K307" s="3" t="n">
        <v>13.70905</v>
      </c>
      <c r="L307" s="3" t="n">
        <v>16.647387</v>
      </c>
      <c r="M307" s="3" t="n">
        <v>19.291425</v>
      </c>
      <c r="N307" s="3" t="n">
        <v>22.653388</v>
      </c>
      <c r="O307" s="3" t="n">
        <v>26.803489</v>
      </c>
      <c r="P307" s="3" t="n">
        <v>23.91295</v>
      </c>
      <c r="Q307" s="3" t="n">
        <v>26.805984</v>
      </c>
      <c r="R307" s="3" t="n">
        <v>29.914707</v>
      </c>
      <c r="S307" s="3" t="n">
        <v>31.963378</v>
      </c>
      <c r="T307" s="3" t="n">
        <v>33.823324</v>
      </c>
      <c r="U307" s="3" t="n">
        <v>34.772527</v>
      </c>
      <c r="V307" s="3" t="n">
        <v>32.523324</v>
      </c>
      <c r="W307" s="3" t="n">
        <v>33.884681</v>
      </c>
      <c r="X307" s="3" t="n">
        <v>37.204787</v>
      </c>
      <c r="Y307" s="3" t="n">
        <v>39.567979</v>
      </c>
      <c r="Z307" s="3" t="n">
        <v>40.446782</v>
      </c>
      <c r="AA307" s="3" t="n">
        <v>35.837633</v>
      </c>
      <c r="AB307" s="3" t="n">
        <v>40.840213</v>
      </c>
      <c r="AC307" s="3" t="n">
        <v>46.458165</v>
      </c>
      <c r="AD307" s="3" t="n">
        <v>46.192234</v>
      </c>
      <c r="AE307" s="3" t="n">
        <v>47.209628</v>
      </c>
      <c r="AF307" s="3" t="n">
        <v>47.537663</v>
      </c>
      <c r="AG307" s="3" t="n">
        <v>48.849168</v>
      </c>
      <c r="AH307" s="3" t="n">
        <v>50.99388</v>
      </c>
      <c r="AI307" s="3" t="n">
        <v>53.032816</v>
      </c>
      <c r="AJ307" s="3" t="n">
        <v>55.441176</v>
      </c>
      <c r="AK307" s="3" t="n">
        <v>58.166217</v>
      </c>
      <c r="AL307" s="3" t="n">
        <v>61.073824</v>
      </c>
      <c r="AM307" s="3" t="n"/>
      <c r="AN307" s="3" t="n"/>
      <c r="AO307" s="3" t="n"/>
      <c r="AP307" s="3" t="n"/>
      <c r="AQ307" s="3" t="n"/>
      <c r="AR307" s="3" t="n"/>
      <c r="AS307" s="3" t="n"/>
      <c r="AT307" s="3" t="n"/>
      <c r="AU307" s="3" t="n"/>
    </row>
    <row r="308">
      <c r="A308" s="3" t="n">
        <v>2031</v>
      </c>
      <c r="B308" s="3" t="inlineStr">
        <is>
          <t>BHR</t>
        </is>
      </c>
      <c r="C308" s="3" t="inlineStr">
        <is>
          <t>IMF.RES:WEO</t>
        </is>
      </c>
      <c r="D308" s="3" t="inlineStr">
        <is>
          <t>BHR.NGDPPC.A</t>
        </is>
      </c>
      <c r="E308" s="3" t="inlineStr">
        <is>
          <t>Bahrain, Kingdom of</t>
        </is>
      </c>
      <c r="F308" s="3" t="inlineStr">
        <is>
          <t>Gross domestic product (GDP), Current prices, Per capita, Domestic currency</t>
        </is>
      </c>
      <c r="G308" s="3" t="n">
        <v>5571.804097</v>
      </c>
      <c r="H308" s="3" t="n">
        <v>5446.28654</v>
      </c>
      <c r="I308" s="3" t="n">
        <v>5292.312571</v>
      </c>
      <c r="J308" s="3" t="n">
        <v>5678.241088</v>
      </c>
      <c r="K308" s="3" t="n">
        <v>6257.552589</v>
      </c>
      <c r="L308" s="3" t="n">
        <v>7042.374592</v>
      </c>
      <c r="M308" s="3" t="n">
        <v>7552.472498</v>
      </c>
      <c r="N308" s="3" t="n">
        <v>8195.626832</v>
      </c>
      <c r="O308" s="3" t="n">
        <v>9132.89378</v>
      </c>
      <c r="P308" s="3" t="n">
        <v>7629.968249</v>
      </c>
      <c r="Q308" s="3" t="n">
        <v>8204.067745</v>
      </c>
      <c r="R308" s="3" t="n">
        <v>9412.336195</v>
      </c>
      <c r="S308" s="3" t="n">
        <v>9940.932897999999</v>
      </c>
      <c r="T308" s="3" t="n">
        <v>10148.149803</v>
      </c>
      <c r="U308" s="3" t="n">
        <v>9945.875507999999</v>
      </c>
      <c r="V308" s="3" t="n">
        <v>8924.012021</v>
      </c>
      <c r="W308" s="3" t="n">
        <v>8948.800542000001</v>
      </c>
      <c r="X308" s="3" t="n">
        <v>9319.066613999999</v>
      </c>
      <c r="Y308" s="3" t="n">
        <v>9897.976902</v>
      </c>
      <c r="Z308" s="3" t="n">
        <v>10249.656952</v>
      </c>
      <c r="AA308" s="3" t="n">
        <v>9152.909514999999</v>
      </c>
      <c r="AB308" s="3" t="n">
        <v>10207.575954</v>
      </c>
      <c r="AC308" s="3" t="n">
        <v>11456.909686</v>
      </c>
      <c r="AD308" s="3" t="n">
        <v>11013.081946</v>
      </c>
      <c r="AE308" s="3" t="n">
        <v>11173.384026</v>
      </c>
      <c r="AF308" s="3" t="n">
        <v>11033.219912</v>
      </c>
      <c r="AG308" s="3" t="n">
        <v>11118.003998</v>
      </c>
      <c r="AH308" s="3" t="n">
        <v>11381.19427</v>
      </c>
      <c r="AI308" s="3" t="n">
        <v>11606.71981</v>
      </c>
      <c r="AJ308" s="3" t="n">
        <v>11898.362338</v>
      </c>
      <c r="AK308" s="3" t="n">
        <v>12240.818244</v>
      </c>
      <c r="AL308" s="3" t="n">
        <v>12603.01715</v>
      </c>
      <c r="AM308" s="3" t="n"/>
      <c r="AN308" s="3" t="n"/>
      <c r="AO308" s="3" t="n"/>
      <c r="AP308" s="3" t="n"/>
      <c r="AQ308" s="3" t="n"/>
      <c r="AR308" s="3" t="n"/>
      <c r="AS308" s="3" t="n"/>
      <c r="AT308" s="3" t="n"/>
      <c r="AU308" s="3" t="n"/>
    </row>
    <row r="309">
      <c r="A309" s="3" t="n">
        <v>2031</v>
      </c>
      <c r="B309" s="3" t="inlineStr">
        <is>
          <t>BHR</t>
        </is>
      </c>
      <c r="C309" s="3" t="inlineStr">
        <is>
          <t>IMF.RES:WEO</t>
        </is>
      </c>
      <c r="D309" s="3" t="inlineStr">
        <is>
          <t>BHR.NGDPRPC.A</t>
        </is>
      </c>
      <c r="E309" s="3" t="inlineStr">
        <is>
          <t>Bahrain, Kingdom of</t>
        </is>
      </c>
      <c r="F309" s="3" t="inlineStr">
        <is>
          <t>Gross domestic product (GDP), Constant prices, Per capita, Domestic currency</t>
        </is>
      </c>
      <c r="G309" s="3" t="n">
        <v>9379.405277</v>
      </c>
      <c r="H309" s="3" t="n">
        <v>9268.046216000001</v>
      </c>
      <c r="I309" s="3" t="n">
        <v>8914.664393999999</v>
      </c>
      <c r="J309" s="3" t="n">
        <v>8807.10403</v>
      </c>
      <c r="K309" s="3" t="n">
        <v>8744.521038000001</v>
      </c>
      <c r="L309" s="3" t="n">
        <v>8652.803526</v>
      </c>
      <c r="M309" s="3" t="n">
        <v>8525.578955999999</v>
      </c>
      <c r="N309" s="3" t="n">
        <v>8532.028227999999</v>
      </c>
      <c r="O309" s="3" t="n">
        <v>8537.209276</v>
      </c>
      <c r="P309" s="3" t="n">
        <v>8197.547157000001</v>
      </c>
      <c r="Q309" s="3" t="n">
        <v>8204.067745</v>
      </c>
      <c r="R309" s="3" t="n">
        <v>8596.835198999999</v>
      </c>
      <c r="S309" s="3" t="n">
        <v>8820.849918</v>
      </c>
      <c r="T309" s="3" t="n">
        <v>8959.919118</v>
      </c>
      <c r="U309" s="3" t="n">
        <v>8909.674857</v>
      </c>
      <c r="V309" s="3" t="n">
        <v>8761.480878</v>
      </c>
      <c r="W309" s="3" t="n">
        <v>8754.549682000001</v>
      </c>
      <c r="X309" s="3" t="n">
        <v>8714.536384999999</v>
      </c>
      <c r="Y309" s="3" t="n">
        <v>8881.724393</v>
      </c>
      <c r="Z309" s="3" t="n">
        <v>9182.170114</v>
      </c>
      <c r="AA309" s="3" t="n">
        <v>8707.169658999999</v>
      </c>
      <c r="AB309" s="3" t="n">
        <v>8891.691843000001</v>
      </c>
      <c r="AC309" s="3" t="n">
        <v>9315.337578999999</v>
      </c>
      <c r="AD309" s="3" t="n">
        <v>9355.280937</v>
      </c>
      <c r="AE309" s="3" t="n">
        <v>9555.961905</v>
      </c>
      <c r="AF309" s="3" t="n">
        <v>9662.353558000001</v>
      </c>
      <c r="AG309" s="3" t="n">
        <v>9427.918582</v>
      </c>
      <c r="AH309" s="3" t="n">
        <v>9661.424762000001</v>
      </c>
      <c r="AI309" s="3" t="n">
        <v>9737.238627999999</v>
      </c>
      <c r="AJ309" s="3" t="n">
        <v>9825.403603000001</v>
      </c>
      <c r="AK309" s="3" t="n">
        <v>9933.074280000001</v>
      </c>
      <c r="AL309" s="3" t="n">
        <v>10057.236228</v>
      </c>
      <c r="AM309" s="3" t="n"/>
      <c r="AN309" s="3" t="n"/>
      <c r="AO309" s="3" t="n"/>
      <c r="AP309" s="3" t="n"/>
      <c r="AQ309" s="3" t="n"/>
      <c r="AR309" s="3" t="n"/>
      <c r="AS309" s="3" t="n"/>
      <c r="AT309" s="3" t="n"/>
      <c r="AU309" s="3" t="n"/>
    </row>
    <row r="310">
      <c r="A310" s="3" t="n">
        <v>2031</v>
      </c>
      <c r="B310" s="3" t="inlineStr">
        <is>
          <t>BHR</t>
        </is>
      </c>
      <c r="C310" s="3" t="inlineStr">
        <is>
          <t>IMF.RES:WEO</t>
        </is>
      </c>
      <c r="D310" s="3" t="inlineStr">
        <is>
          <t>BHR.PCPI.A</t>
        </is>
      </c>
      <c r="E310" s="3" t="inlineStr">
        <is>
          <t>Bahrain, Kingdom of</t>
        </is>
      </c>
      <c r="F310" s="3" t="inlineStr">
        <is>
          <t>All Items, Consumer price index (CPI), Period average</t>
        </is>
      </c>
      <c r="G310" s="3" t="n">
        <v>70.08444299999999</v>
      </c>
      <c r="H310" s="3" t="n">
        <v>69.260727</v>
      </c>
      <c r="I310" s="3" t="n">
        <v>68.917513</v>
      </c>
      <c r="J310" s="3" t="n">
        <v>70.07496999999999</v>
      </c>
      <c r="K310" s="3" t="n">
        <v>71.650531</v>
      </c>
      <c r="L310" s="3" t="n">
        <v>73.5262</v>
      </c>
      <c r="M310" s="3" t="n">
        <v>75.026734</v>
      </c>
      <c r="N310" s="3" t="n">
        <v>77.466442</v>
      </c>
      <c r="O310" s="3" t="n">
        <v>80.203579</v>
      </c>
      <c r="P310" s="3" t="n">
        <v>82.4375</v>
      </c>
      <c r="Q310" s="3" t="n">
        <v>84.05500000000001</v>
      </c>
      <c r="R310" s="3" t="n">
        <v>83.77249999999999</v>
      </c>
      <c r="S310" s="3" t="n">
        <v>86.081667</v>
      </c>
      <c r="T310" s="3" t="n">
        <v>88.924167</v>
      </c>
      <c r="U310" s="3" t="n">
        <v>91.276667</v>
      </c>
      <c r="V310" s="3" t="n">
        <v>92.964167</v>
      </c>
      <c r="W310" s="3" t="n">
        <v>95.556667</v>
      </c>
      <c r="X310" s="3" t="n">
        <v>96.880833</v>
      </c>
      <c r="Y310" s="3" t="n">
        <v>98.906667</v>
      </c>
      <c r="Z310" s="3" t="n">
        <v>99.9025</v>
      </c>
      <c r="AA310" s="3" t="n">
        <v>97.58</v>
      </c>
      <c r="AB310" s="3" t="n">
        <v>96.983333</v>
      </c>
      <c r="AC310" s="3" t="n">
        <v>100.508333</v>
      </c>
      <c r="AD310" s="3" t="n">
        <v>100.583333</v>
      </c>
      <c r="AE310" s="3" t="n">
        <v>101.508333</v>
      </c>
      <c r="AF310" s="3" t="n">
        <v>101.368333</v>
      </c>
      <c r="AG310" s="3" t="n">
        <v>103.801173</v>
      </c>
      <c r="AH310" s="3" t="n">
        <v>105.046787</v>
      </c>
      <c r="AI310" s="3" t="n">
        <v>106.727536</v>
      </c>
      <c r="AJ310" s="3" t="n">
        <v>108.648632</v>
      </c>
      <c r="AK310" s="3" t="n">
        <v>110.821604</v>
      </c>
      <c r="AL310" s="3" t="n">
        <v>113.038036</v>
      </c>
      <c r="AM310" s="3" t="n"/>
      <c r="AN310" s="3" t="n"/>
      <c r="AO310" s="3" t="n"/>
      <c r="AP310" s="3" t="n"/>
      <c r="AQ310" s="3" t="n"/>
      <c r="AR310" s="3" t="n"/>
      <c r="AS310" s="3" t="n"/>
      <c r="AT310" s="3" t="n"/>
      <c r="AU310" s="3" t="n"/>
    </row>
    <row r="311">
      <c r="A311" s="3" t="n">
        <v>2031</v>
      </c>
      <c r="B311" s="3" t="inlineStr">
        <is>
          <t>BHR</t>
        </is>
      </c>
      <c r="C311" s="3" t="inlineStr">
        <is>
          <t>IMF.RES:WEO</t>
        </is>
      </c>
      <c r="D311" s="3" t="inlineStr">
        <is>
          <t>BHR.PCPIPCH.A</t>
        </is>
      </c>
      <c r="E311" s="3" t="inlineStr">
        <is>
          <t>Bahrain, Kingdom of</t>
        </is>
      </c>
      <c r="F311" s="3" t="inlineStr">
        <is>
          <t>All Items, Consumer price index (CPI), Period average, percent change</t>
        </is>
      </c>
      <c r="G311" s="3" t="n">
        <v>-0.730472</v>
      </c>
      <c r="H311" s="3" t="n">
        <v>-1.175318</v>
      </c>
      <c r="I311" s="3" t="n">
        <v>-0.49554</v>
      </c>
      <c r="J311" s="3" t="n">
        <v>1.679482</v>
      </c>
      <c r="K311" s="3" t="n">
        <v>2.248394</v>
      </c>
      <c r="L311" s="3" t="n">
        <v>2.617801</v>
      </c>
      <c r="M311" s="3" t="n">
        <v>2.040816</v>
      </c>
      <c r="N311" s="3" t="n">
        <v>3.251785</v>
      </c>
      <c r="O311" s="3" t="n">
        <v>3.533319</v>
      </c>
      <c r="P311" s="3" t="n">
        <v>2.785313</v>
      </c>
      <c r="Q311" s="3" t="n">
        <v>1.962092</v>
      </c>
      <c r="R311" s="3" t="n">
        <v>-0.336089</v>
      </c>
      <c r="S311" s="3" t="n">
        <v>2.756473</v>
      </c>
      <c r="T311" s="3" t="n">
        <v>3.302097</v>
      </c>
      <c r="U311" s="3" t="n">
        <v>2.645513</v>
      </c>
      <c r="V311" s="3" t="n">
        <v>1.848775</v>
      </c>
      <c r="W311" s="3" t="n">
        <v>2.788709</v>
      </c>
      <c r="X311" s="3" t="n">
        <v>1.38574</v>
      </c>
      <c r="Y311" s="3" t="n">
        <v>2.091057</v>
      </c>
      <c r="Z311" s="3" t="n">
        <v>1.006841</v>
      </c>
      <c r="AA311" s="3" t="n">
        <v>-2.324767</v>
      </c>
      <c r="AB311" s="3" t="n">
        <v>-0.611464</v>
      </c>
      <c r="AC311" s="3" t="n">
        <v>3.634645</v>
      </c>
      <c r="AD311" s="3" t="n">
        <v>0.07462100000000001</v>
      </c>
      <c r="AE311" s="3" t="n">
        <v>0.919635</v>
      </c>
      <c r="AF311" s="3" t="n">
        <v>-0.13792</v>
      </c>
      <c r="AG311" s="3" t="n">
        <v>2.4</v>
      </c>
      <c r="AH311" s="3" t="n">
        <v>1.2</v>
      </c>
      <c r="AI311" s="3" t="n">
        <v>1.6</v>
      </c>
      <c r="AJ311" s="3" t="n">
        <v>1.8</v>
      </c>
      <c r="AK311" s="3" t="n">
        <v>2</v>
      </c>
      <c r="AL311" s="3" t="n">
        <v>2</v>
      </c>
      <c r="AM311" s="3" t="n"/>
      <c r="AN311" s="3" t="n"/>
      <c r="AO311" s="3" t="n"/>
      <c r="AP311" s="3" t="n"/>
      <c r="AQ311" s="3" t="n"/>
      <c r="AR311" s="3" t="n"/>
      <c r="AS311" s="3" t="n"/>
      <c r="AT311" s="3" t="n"/>
      <c r="AU311" s="3" t="n"/>
    </row>
    <row r="312">
      <c r="A312" s="3" t="n">
        <v>2031</v>
      </c>
      <c r="B312" s="3" t="inlineStr">
        <is>
          <t>BHR</t>
        </is>
      </c>
      <c r="C312" s="3" t="inlineStr">
        <is>
          <t>IMF.RES:WEO</t>
        </is>
      </c>
      <c r="D312" s="3" t="inlineStr">
        <is>
          <t>BHR.PPPPC.A</t>
        </is>
      </c>
      <c r="E312" s="3" t="inlineStr">
        <is>
          <t>Bahrain, Kingdom of</t>
        </is>
      </c>
      <c r="F312" s="3" t="inlineStr">
        <is>
          <t>Gross domestic product (GDP), Per capita, purchasing power parity (PPP) international dollar, ICP benchmarks 2017-2021</t>
        </is>
      </c>
      <c r="G312" s="3" t="n">
        <v>39279.664008</v>
      </c>
      <c r="H312" s="3" t="n">
        <v>39687.235861</v>
      </c>
      <c r="I312" s="3" t="n">
        <v>38767.236761</v>
      </c>
      <c r="J312" s="3" t="n">
        <v>39055.603084</v>
      </c>
      <c r="K312" s="3" t="n">
        <v>39820.77162</v>
      </c>
      <c r="L312" s="3" t="n">
        <v>40638.719622</v>
      </c>
      <c r="M312" s="3" t="n">
        <v>41276.020605</v>
      </c>
      <c r="N312" s="3" t="n">
        <v>42426.369138</v>
      </c>
      <c r="O312" s="3" t="n">
        <v>43269.935076</v>
      </c>
      <c r="P312" s="3" t="n">
        <v>41804.640207</v>
      </c>
      <c r="Q312" s="3" t="n">
        <v>42346.38006</v>
      </c>
      <c r="R312" s="3" t="n">
        <v>45289.240857</v>
      </c>
      <c r="S312" s="3" t="n">
        <v>47334.607701</v>
      </c>
      <c r="T312" s="3" t="n">
        <v>48899.222414</v>
      </c>
      <c r="U312" s="3" t="n">
        <v>49471.920808</v>
      </c>
      <c r="V312" s="3" t="n">
        <v>49100.547069</v>
      </c>
      <c r="W312" s="3" t="n">
        <v>49527.899561</v>
      </c>
      <c r="X312" s="3" t="n">
        <v>50184.464702</v>
      </c>
      <c r="Y312" s="3" t="n">
        <v>51993.130782</v>
      </c>
      <c r="Z312" s="3" t="n">
        <v>56599.48422</v>
      </c>
      <c r="AA312" s="3" t="n">
        <v>53436.0317</v>
      </c>
      <c r="AB312" s="3" t="n">
        <v>54954.67579</v>
      </c>
      <c r="AC312" s="3" t="n">
        <v>61667.82797</v>
      </c>
      <c r="AD312" s="3" t="n">
        <v>64223.76833</v>
      </c>
      <c r="AE312" s="3" t="n">
        <v>67230.023221</v>
      </c>
      <c r="AF312" s="3" t="n">
        <v>69906.923379</v>
      </c>
      <c r="AG312" s="3" t="n">
        <v>70164.928709</v>
      </c>
      <c r="AH312" s="3" t="n">
        <v>73481.65384899999</v>
      </c>
      <c r="AI312" s="3" t="n">
        <v>75273.854861</v>
      </c>
      <c r="AJ312" s="3" t="n">
        <v>77305.98512700001</v>
      </c>
      <c r="AK312" s="3" t="n">
        <v>79589.219663</v>
      </c>
      <c r="AL312" s="3" t="n">
        <v>82038.858758</v>
      </c>
      <c r="AM312" s="3" t="n"/>
      <c r="AN312" s="3" t="n"/>
      <c r="AO312" s="3" t="n"/>
      <c r="AP312" s="3" t="n"/>
      <c r="AQ312" s="3" t="n"/>
      <c r="AR312" s="3" t="n"/>
      <c r="AS312" s="3" t="n"/>
      <c r="AT312" s="3" t="n"/>
      <c r="AU312" s="3" t="n"/>
    </row>
    <row r="313">
      <c r="A313" s="3" t="n">
        <v>2025</v>
      </c>
      <c r="B313" s="3" t="inlineStr">
        <is>
          <t>BHR</t>
        </is>
      </c>
      <c r="C313" s="3" t="inlineStr">
        <is>
          <t>IMF.STA:ER</t>
        </is>
      </c>
      <c r="D313" s="3" t="inlineStr">
        <is>
          <t>BHR.XDC_USD.PA_RT.A</t>
        </is>
      </c>
      <c r="E313" s="3" t="inlineStr">
        <is>
          <t>Bahrain, Kingdom of</t>
        </is>
      </c>
      <c r="F313" s="3" t="inlineStr">
        <is>
          <t>Domestic currency per US Dollar</t>
        </is>
      </c>
      <c r="G313" s="3" t="n">
        <v>0.376</v>
      </c>
      <c r="H313" s="3" t="n">
        <v>0.376</v>
      </c>
      <c r="I313" s="3" t="n">
        <v>0.376</v>
      </c>
      <c r="J313" s="3" t="n">
        <v>0.376</v>
      </c>
      <c r="K313" s="3" t="n">
        <v>0.376</v>
      </c>
      <c r="L313" s="3" t="n">
        <v>0.376</v>
      </c>
      <c r="M313" s="3" t="n">
        <v>0.376</v>
      </c>
      <c r="N313" s="3" t="n">
        <v>0.376</v>
      </c>
      <c r="O313" s="3" t="n">
        <v>0.376</v>
      </c>
      <c r="P313" s="3" t="n">
        <v>0.376</v>
      </c>
      <c r="Q313" s="3" t="n">
        <v>0.376</v>
      </c>
      <c r="R313" s="3" t="n">
        <v>0.376</v>
      </c>
      <c r="S313" s="3" t="n">
        <v>0.376</v>
      </c>
      <c r="T313" s="3" t="n">
        <v>0.376</v>
      </c>
      <c r="U313" s="3" t="n">
        <v>0.376</v>
      </c>
      <c r="V313" s="3" t="n">
        <v>0.376</v>
      </c>
      <c r="W313" s="3" t="n">
        <v>0.376</v>
      </c>
      <c r="X313" s="3" t="n">
        <v>0.376</v>
      </c>
      <c r="Y313" s="3" t="n">
        <v>0.376</v>
      </c>
      <c r="Z313" s="3" t="n">
        <v>0.376</v>
      </c>
      <c r="AA313" s="3" t="n">
        <v>0.376</v>
      </c>
      <c r="AB313" s="3" t="n">
        <v>0.376</v>
      </c>
      <c r="AC313" s="3" t="n">
        <v>0.376</v>
      </c>
      <c r="AD313" s="3" t="n">
        <v>0.376</v>
      </c>
      <c r="AE313" s="3" t="n">
        <v>0.376</v>
      </c>
      <c r="AF313" s="3" t="n">
        <v>0.376</v>
      </c>
      <c r="AG313" s="3" t="n"/>
      <c r="AH313" s="3" t="n"/>
      <c r="AI313" s="3" t="n"/>
      <c r="AJ313" s="3" t="n"/>
      <c r="AK313" s="3" t="n"/>
      <c r="AL313" s="3" t="n"/>
      <c r="AM313" s="3" t="n"/>
      <c r="AN313" s="3" t="n"/>
      <c r="AO313" s="3" t="n"/>
      <c r="AP313" s="3" t="n"/>
      <c r="AQ313" s="3" t="n"/>
      <c r="AR313" s="3" t="n"/>
      <c r="AS313" s="3" t="n"/>
      <c r="AT313" s="3" t="n"/>
      <c r="AU313" s="3" t="n"/>
    </row>
    <row r="314">
      <c r="A314" s="3" t="n">
        <v>2031</v>
      </c>
      <c r="B314" s="3" t="inlineStr">
        <is>
          <t>BHS</t>
        </is>
      </c>
      <c r="C314" s="3" t="inlineStr">
        <is>
          <t>IMF.RES:WEO</t>
        </is>
      </c>
      <c r="D314" s="3" t="inlineStr">
        <is>
          <t>BHS.BCA.A</t>
        </is>
      </c>
      <c r="E314" s="3" t="inlineStr">
        <is>
          <t>Bahamas, The</t>
        </is>
      </c>
      <c r="F314" s="3" t="inlineStr">
        <is>
          <t>Current account balance (credit less debit), US dollar</t>
        </is>
      </c>
      <c r="G314" s="3" t="n">
        <v>-0.122333</v>
      </c>
      <c r="H314" s="3" t="n">
        <v>-0.319027</v>
      </c>
      <c r="I314" s="3" t="n">
        <v>0.007454</v>
      </c>
      <c r="J314" s="3" t="n">
        <v>-0.015311</v>
      </c>
      <c r="K314" s="3" t="n">
        <v>0.145459</v>
      </c>
      <c r="L314" s="3" t="n">
        <v>-0.304703</v>
      </c>
      <c r="M314" s="3" t="n">
        <v>-1.031074</v>
      </c>
      <c r="N314" s="3" t="n">
        <v>-0.954276</v>
      </c>
      <c r="O314" s="3" t="n">
        <v>-0.871725</v>
      </c>
      <c r="P314" s="3" t="n">
        <v>-0.808082</v>
      </c>
      <c r="Q314" s="3" t="n">
        <v>-0.795964</v>
      </c>
      <c r="R314" s="3" t="n">
        <v>-1.101228</v>
      </c>
      <c r="S314" s="3" t="n">
        <v>-1.531824</v>
      </c>
      <c r="T314" s="3" t="n">
        <v>-1.516207</v>
      </c>
      <c r="U314" s="3" t="n">
        <v>-2.192619</v>
      </c>
      <c r="V314" s="3" t="n">
        <v>-1.478316</v>
      </c>
      <c r="W314" s="3" t="n">
        <v>-1.472697</v>
      </c>
      <c r="X314" s="3" t="n">
        <v>-1.652896</v>
      </c>
      <c r="Y314" s="3" t="n">
        <v>-1.199299</v>
      </c>
      <c r="Z314" s="3" t="n">
        <v>-0.28108</v>
      </c>
      <c r="AA314" s="3" t="n">
        <v>-2.2795</v>
      </c>
      <c r="AB314" s="3" t="n">
        <v>-2.433987</v>
      </c>
      <c r="AC314" s="3" t="n">
        <v>-1.232593</v>
      </c>
      <c r="AD314" s="3" t="n">
        <v>-1.069097</v>
      </c>
      <c r="AE314" s="3" t="n">
        <v>-1.206036</v>
      </c>
      <c r="AF314" s="3" t="n">
        <v>-1.642616</v>
      </c>
      <c r="AG314" s="3" t="n">
        <v>-1.547015</v>
      </c>
      <c r="AH314" s="3" t="n">
        <v>-1.479309</v>
      </c>
      <c r="AI314" s="3" t="n">
        <v>-1.369008</v>
      </c>
      <c r="AJ314" s="3" t="n">
        <v>-1.256191</v>
      </c>
      <c r="AK314" s="3" t="n">
        <v>-1.195781</v>
      </c>
      <c r="AL314" s="3" t="n">
        <v>-1.188218</v>
      </c>
      <c r="AM314" s="3" t="n"/>
      <c r="AN314" s="3" t="n"/>
      <c r="AO314" s="3" t="n"/>
      <c r="AP314" s="3" t="n"/>
      <c r="AQ314" s="3" t="n"/>
      <c r="AR314" s="3" t="n"/>
      <c r="AS314" s="3" t="n"/>
      <c r="AT314" s="3" t="n"/>
      <c r="AU314" s="3" t="n"/>
    </row>
    <row r="315">
      <c r="A315" s="3" t="n">
        <v>2031</v>
      </c>
      <c r="B315" s="3" t="inlineStr">
        <is>
          <t>BHS</t>
        </is>
      </c>
      <c r="C315" s="3" t="inlineStr">
        <is>
          <t>IMF.RES:WEO</t>
        </is>
      </c>
      <c r="D315" s="3" t="inlineStr">
        <is>
          <t>BHS.BCA_NGDPD.A</t>
        </is>
      </c>
      <c r="E315" s="3" t="inlineStr">
        <is>
          <t>Bahamas, The</t>
        </is>
      </c>
      <c r="F315" s="3" t="inlineStr">
        <is>
          <t>Current account balance (credit less debit), Percent of GDP</t>
        </is>
      </c>
      <c r="G315" s="3" t="n">
        <v>-1.51469</v>
      </c>
      <c r="H315" s="3" t="n">
        <v>-3.835454</v>
      </c>
      <c r="I315" s="3" t="n">
        <v>0.08393100000000001</v>
      </c>
      <c r="J315" s="3" t="n">
        <v>-0.17261</v>
      </c>
      <c r="K315" s="3" t="n">
        <v>1.60634</v>
      </c>
      <c r="L315" s="3" t="n">
        <v>-3.097769</v>
      </c>
      <c r="M315" s="3" t="n">
        <v>-10.141129</v>
      </c>
      <c r="N315" s="3" t="n">
        <v>-8.987052</v>
      </c>
      <c r="O315" s="3" t="n">
        <v>-8.281641</v>
      </c>
      <c r="P315" s="3" t="n">
        <v>-8.095421</v>
      </c>
      <c r="Q315" s="3" t="n">
        <v>-7.884136</v>
      </c>
      <c r="R315" s="3" t="n">
        <v>-10.935249</v>
      </c>
      <c r="S315" s="3" t="n">
        <v>-14.288743</v>
      </c>
      <c r="T315" s="3" t="n">
        <v>-14.474086</v>
      </c>
      <c r="U315" s="3" t="n">
        <v>-19.684048</v>
      </c>
      <c r="V315" s="3" t="n">
        <v>-12.488305</v>
      </c>
      <c r="W315" s="3" t="n">
        <v>-12.395454</v>
      </c>
      <c r="X315" s="3" t="n">
        <v>-13.279572</v>
      </c>
      <c r="Y315" s="3" t="n">
        <v>-9.355466</v>
      </c>
      <c r="Z315" s="3" t="n">
        <v>-2.117048</v>
      </c>
      <c r="AA315" s="3" t="n">
        <v>-21.996116</v>
      </c>
      <c r="AB315" s="3" t="n">
        <v>-20.22086</v>
      </c>
      <c r="AC315" s="3" t="n">
        <v>-8.869609000000001</v>
      </c>
      <c r="AD315" s="3" t="n">
        <v>-7.000712</v>
      </c>
      <c r="AE315" s="3" t="n">
        <v>-7.617339</v>
      </c>
      <c r="AF315" s="3" t="n">
        <v>-9.950665000000001</v>
      </c>
      <c r="AG315" s="3" t="n">
        <v>-9.077413</v>
      </c>
      <c r="AH315" s="3" t="n">
        <v>-8.402642</v>
      </c>
      <c r="AI315" s="3" t="n">
        <v>-7.518534</v>
      </c>
      <c r="AJ315" s="3" t="n">
        <v>-6.663757</v>
      </c>
      <c r="AK315" s="3" t="n">
        <v>-6.128225</v>
      </c>
      <c r="AL315" s="3" t="n">
        <v>-5.882038</v>
      </c>
      <c r="AM315" s="3" t="n"/>
      <c r="AN315" s="3" t="n"/>
      <c r="AO315" s="3" t="n"/>
      <c r="AP315" s="3" t="n"/>
      <c r="AQ315" s="3" t="n"/>
      <c r="AR315" s="3" t="n"/>
      <c r="AS315" s="3" t="n"/>
      <c r="AT315" s="3" t="n"/>
      <c r="AU315" s="3" t="n"/>
    </row>
    <row r="316">
      <c r="A316" s="3" t="n">
        <v>2031</v>
      </c>
      <c r="B316" s="3" t="inlineStr">
        <is>
          <t>BHS</t>
        </is>
      </c>
      <c r="C316" s="3" t="inlineStr">
        <is>
          <t>IMF.RES:WEO</t>
        </is>
      </c>
      <c r="D316" s="3" t="inlineStr">
        <is>
          <t>BHS.GGR_NGDP.A</t>
        </is>
      </c>
      <c r="E316" s="3" t="inlineStr">
        <is>
          <t>Bahamas, The</t>
        </is>
      </c>
      <c r="F316" s="3" t="inlineStr">
        <is>
          <t>Revenue, General government, Percent of GDP</t>
        </is>
      </c>
      <c r="G316" s="3" t="n">
        <v>11.655762</v>
      </c>
      <c r="H316" s="3" t="n">
        <v>11.680986</v>
      </c>
      <c r="I316" s="3" t="n">
        <v>9.963813999999999</v>
      </c>
      <c r="J316" s="3" t="n">
        <v>10.160309</v>
      </c>
      <c r="K316" s="3" t="n">
        <v>10.537722</v>
      </c>
      <c r="L316" s="3" t="n">
        <v>11.695926</v>
      </c>
      <c r="M316" s="3" t="n">
        <v>12.802582</v>
      </c>
      <c r="N316" s="3" t="n">
        <v>12.856194</v>
      </c>
      <c r="O316" s="3" t="n">
        <v>13.513858</v>
      </c>
      <c r="P316" s="3" t="n">
        <v>12.838645</v>
      </c>
      <c r="Q316" s="3" t="n">
        <v>12.862095</v>
      </c>
      <c r="R316" s="3" t="n">
        <v>14.2035</v>
      </c>
      <c r="S316" s="3" t="n">
        <v>13.718656</v>
      </c>
      <c r="T316" s="3" t="n">
        <v>13.05095</v>
      </c>
      <c r="U316" s="3" t="n">
        <v>13.605663</v>
      </c>
      <c r="V316" s="3" t="n">
        <v>15.07523</v>
      </c>
      <c r="W316" s="3" t="n">
        <v>16.747318</v>
      </c>
      <c r="X316" s="3" t="n">
        <v>17.012789</v>
      </c>
      <c r="Y316" s="3" t="n">
        <v>16.162863</v>
      </c>
      <c r="Z316" s="3" t="n">
        <v>18.589552</v>
      </c>
      <c r="AA316" s="3" t="n">
        <v>17.651675</v>
      </c>
      <c r="AB316" s="3" t="n">
        <v>17.020531</v>
      </c>
      <c r="AC316" s="3" t="n">
        <v>20.097954</v>
      </c>
      <c r="AD316" s="3" t="n">
        <v>19.565697</v>
      </c>
      <c r="AE316" s="3" t="n">
        <v>19.769678</v>
      </c>
      <c r="AF316" s="3" t="n">
        <v>20.994135</v>
      </c>
      <c r="AG316" s="3" t="n">
        <v>21.988106</v>
      </c>
      <c r="AH316" s="3" t="n">
        <v>22.069591</v>
      </c>
      <c r="AI316" s="3" t="n">
        <v>21.993146</v>
      </c>
      <c r="AJ316" s="3" t="n">
        <v>21.919055</v>
      </c>
      <c r="AK316" s="3" t="n">
        <v>21.844794</v>
      </c>
      <c r="AL316" s="3" t="n">
        <v>21.770925</v>
      </c>
      <c r="AM316" s="3" t="n"/>
      <c r="AN316" s="3" t="n"/>
      <c r="AO316" s="3" t="n"/>
      <c r="AP316" s="3" t="n"/>
      <c r="AQ316" s="3" t="n"/>
      <c r="AR316" s="3" t="n"/>
      <c r="AS316" s="3" t="n"/>
      <c r="AT316" s="3" t="n"/>
      <c r="AU316" s="3" t="n"/>
    </row>
    <row r="317">
      <c r="A317" s="3" t="n">
        <v>2031</v>
      </c>
      <c r="B317" s="3" t="inlineStr">
        <is>
          <t>BHS</t>
        </is>
      </c>
      <c r="C317" s="3" t="inlineStr">
        <is>
          <t>IMF.RES:WEO</t>
        </is>
      </c>
      <c r="D317" s="3" t="inlineStr">
        <is>
          <t>BHS.GGX_NGDP.A</t>
        </is>
      </c>
      <c r="E317" s="3" t="inlineStr">
        <is>
          <t>Bahamas, The</t>
        </is>
      </c>
      <c r="F317" s="3" t="inlineStr">
        <is>
          <t>Expenditure, General government, Percent of GDP</t>
        </is>
      </c>
      <c r="G317" s="3" t="n">
        <v>11.562731</v>
      </c>
      <c r="H317" s="3" t="n">
        <v>11.378625</v>
      </c>
      <c r="I317" s="3" t="n">
        <v>11.631795</v>
      </c>
      <c r="J317" s="3" t="n">
        <v>11.789006</v>
      </c>
      <c r="K317" s="3" t="n">
        <v>12.485062</v>
      </c>
      <c r="L317" s="3" t="n">
        <v>12.850933</v>
      </c>
      <c r="M317" s="3" t="n">
        <v>13.241147</v>
      </c>
      <c r="N317" s="3" t="n">
        <v>13.629239</v>
      </c>
      <c r="O317" s="3" t="n">
        <v>14.338211</v>
      </c>
      <c r="P317" s="3" t="n">
        <v>15.226586</v>
      </c>
      <c r="Q317" s="3" t="n">
        <v>15.432067</v>
      </c>
      <c r="R317" s="3" t="n">
        <v>17.071853</v>
      </c>
      <c r="S317" s="3" t="n">
        <v>16.971437</v>
      </c>
      <c r="T317" s="3" t="n">
        <v>18.149167</v>
      </c>
      <c r="U317" s="3" t="n">
        <v>18.117162</v>
      </c>
      <c r="V317" s="3" t="n">
        <v>18.411896</v>
      </c>
      <c r="W317" s="3" t="n">
        <v>19.357566</v>
      </c>
      <c r="X317" s="3" t="n">
        <v>23.063041</v>
      </c>
      <c r="Y317" s="3" t="n">
        <v>19.446271</v>
      </c>
      <c r="Z317" s="3" t="n">
        <v>20.269547</v>
      </c>
      <c r="AA317" s="3" t="n">
        <v>24.760755</v>
      </c>
      <c r="AB317" s="3" t="n">
        <v>28.922996</v>
      </c>
      <c r="AC317" s="3" t="n">
        <v>25.623682</v>
      </c>
      <c r="AD317" s="3" t="n">
        <v>23.22025</v>
      </c>
      <c r="AE317" s="3" t="n">
        <v>20.969992</v>
      </c>
      <c r="AF317" s="3" t="n">
        <v>21.481703</v>
      </c>
      <c r="AG317" s="3" t="n">
        <v>22.30141</v>
      </c>
      <c r="AH317" s="3" t="n">
        <v>22.407164</v>
      </c>
      <c r="AI317" s="3" t="n">
        <v>22.266263</v>
      </c>
      <c r="AJ317" s="3" t="n">
        <v>21.810612</v>
      </c>
      <c r="AK317" s="3" t="n">
        <v>21.683989</v>
      </c>
      <c r="AL317" s="3" t="n">
        <v>21.521226</v>
      </c>
      <c r="AM317" s="3" t="n"/>
      <c r="AN317" s="3" t="n"/>
      <c r="AO317" s="3" t="n"/>
      <c r="AP317" s="3" t="n"/>
      <c r="AQ317" s="3" t="n"/>
      <c r="AR317" s="3" t="n"/>
      <c r="AS317" s="3" t="n"/>
      <c r="AT317" s="3" t="n"/>
      <c r="AU317" s="3" t="n"/>
    </row>
    <row r="318">
      <c r="A318" s="3" t="n">
        <v>2031</v>
      </c>
      <c r="B318" s="3" t="inlineStr">
        <is>
          <t>BHS</t>
        </is>
      </c>
      <c r="C318" s="3" t="inlineStr">
        <is>
          <t>IMF.RES:WEO</t>
        </is>
      </c>
      <c r="D318" s="3" t="inlineStr">
        <is>
          <t>BHS.LP.A</t>
        </is>
      </c>
      <c r="E318" s="3" t="inlineStr">
        <is>
          <t>Bahamas, The</t>
        </is>
      </c>
      <c r="F318" s="3" t="inlineStr">
        <is>
          <t>Population, Persons for countries / Index for country groups</t>
        </is>
      </c>
      <c r="G318" s="3" t="n">
        <v>0.303611</v>
      </c>
      <c r="H318" s="3" t="n">
        <v>0.308396</v>
      </c>
      <c r="I318" s="3" t="n">
        <v>0.313181</v>
      </c>
      <c r="J318" s="3" t="n">
        <v>0.317966</v>
      </c>
      <c r="K318" s="3" t="n">
        <v>0.322751</v>
      </c>
      <c r="L318" s="3" t="n">
        <v>0.327536</v>
      </c>
      <c r="M318" s="3" t="n">
        <v>0.332321</v>
      </c>
      <c r="N318" s="3" t="n">
        <v>0.337106</v>
      </c>
      <c r="O318" s="3" t="n">
        <v>0.341891</v>
      </c>
      <c r="P318" s="3" t="n">
        <v>0.346676</v>
      </c>
      <c r="Q318" s="3" t="n">
        <v>0.351461</v>
      </c>
      <c r="R318" s="3" t="n">
        <v>0.35502</v>
      </c>
      <c r="S318" s="3" t="n">
        <v>0.3586</v>
      </c>
      <c r="T318" s="3" t="n">
        <v>0.36223</v>
      </c>
      <c r="U318" s="3" t="n">
        <v>0.36592</v>
      </c>
      <c r="V318" s="3" t="n">
        <v>0.36967</v>
      </c>
      <c r="W318" s="3" t="n">
        <v>0.37348</v>
      </c>
      <c r="X318" s="3" t="n">
        <v>0.37736</v>
      </c>
      <c r="Y318" s="3" t="n">
        <v>0.38132</v>
      </c>
      <c r="Z318" s="3" t="n">
        <v>0.38534</v>
      </c>
      <c r="AA318" s="3" t="n">
        <v>0.38941</v>
      </c>
      <c r="AB318" s="3" t="n">
        <v>0.394362</v>
      </c>
      <c r="AC318" s="3" t="n">
        <v>0.399314</v>
      </c>
      <c r="AD318" s="3" t="n">
        <v>0.403706</v>
      </c>
      <c r="AE318" s="3" t="n">
        <v>0.408147</v>
      </c>
      <c r="AF318" s="3" t="n">
        <v>0.412637</v>
      </c>
      <c r="AG318" s="3" t="n">
        <v>0.416763</v>
      </c>
      <c r="AH318" s="3" t="n">
        <v>0.420931</v>
      </c>
      <c r="AI318" s="3" t="n">
        <v>0.42514</v>
      </c>
      <c r="AJ318" s="3" t="n">
        <v>0.429392</v>
      </c>
      <c r="AK318" s="3" t="n">
        <v>0.433685</v>
      </c>
      <c r="AL318" s="3" t="n">
        <v>0.434685</v>
      </c>
      <c r="AM318" s="3" t="n"/>
      <c r="AN318" s="3" t="n"/>
      <c r="AO318" s="3" t="n"/>
      <c r="AP318" s="3" t="n"/>
      <c r="AQ318" s="3" t="n"/>
      <c r="AR318" s="3" t="n"/>
      <c r="AS318" s="3" t="n"/>
      <c r="AT318" s="3" t="n"/>
      <c r="AU318" s="3" t="n"/>
    </row>
    <row r="319">
      <c r="A319" s="3" t="n">
        <v>2031</v>
      </c>
      <c r="B319" s="3" t="inlineStr">
        <is>
          <t>BHS</t>
        </is>
      </c>
      <c r="C319" s="3" t="inlineStr">
        <is>
          <t>IMF.RES:WEO</t>
        </is>
      </c>
      <c r="D319" s="3" t="inlineStr">
        <is>
          <t>BHS.NGDP.A</t>
        </is>
      </c>
      <c r="E319" s="3" t="inlineStr">
        <is>
          <t>Bahamas, The</t>
        </is>
      </c>
      <c r="F319" s="3" t="inlineStr">
        <is>
          <t>Gross domestic product (GDP), Current prices, Domestic currency</t>
        </is>
      </c>
      <c r="G319" s="3" t="n">
        <v>8.076468</v>
      </c>
      <c r="H319" s="3" t="n">
        <v>8.317833</v>
      </c>
      <c r="I319" s="3" t="n">
        <v>8.881164</v>
      </c>
      <c r="J319" s="3" t="n">
        <v>8.870087</v>
      </c>
      <c r="K319" s="3" t="n">
        <v>9.055287</v>
      </c>
      <c r="L319" s="3" t="n">
        <v>9.836198</v>
      </c>
      <c r="M319" s="3" t="n">
        <v>10.167252</v>
      </c>
      <c r="N319" s="3" t="n">
        <v>10.618341</v>
      </c>
      <c r="O319" s="3" t="n">
        <v>10.525998</v>
      </c>
      <c r="P319" s="3" t="n">
        <v>9.981960000000001</v>
      </c>
      <c r="Q319" s="3" t="n">
        <v>10.095765</v>
      </c>
      <c r="R319" s="3" t="n">
        <v>10.070447</v>
      </c>
      <c r="S319" s="3" t="n">
        <v>10.720497</v>
      </c>
      <c r="T319" s="3" t="n">
        <v>10.475321</v>
      </c>
      <c r="U319" s="3" t="n">
        <v>11.139067</v>
      </c>
      <c r="V319" s="3" t="n">
        <v>11.837603</v>
      </c>
      <c r="W319" s="3" t="n">
        <v>11.880947</v>
      </c>
      <c r="X319" s="3" t="n">
        <v>12.446905</v>
      </c>
      <c r="Y319" s="3" t="n">
        <v>12.819238</v>
      </c>
      <c r="Z319" s="3" t="n">
        <v>13.27697</v>
      </c>
      <c r="AA319" s="3" t="n">
        <v>10.363194</v>
      </c>
      <c r="AB319" s="3" t="n">
        <v>12.037011</v>
      </c>
      <c r="AC319" s="3" t="n">
        <v>13.89681</v>
      </c>
      <c r="AD319" s="3" t="n">
        <v>15.271257</v>
      </c>
      <c r="AE319" s="3" t="n">
        <v>15.832778</v>
      </c>
      <c r="AF319" s="3" t="n">
        <v>16.507598</v>
      </c>
      <c r="AG319" s="3" t="n">
        <v>17.042467</v>
      </c>
      <c r="AH319" s="3" t="n">
        <v>17.605289</v>
      </c>
      <c r="AI319" s="3" t="n">
        <v>18.208448</v>
      </c>
      <c r="AJ319" s="3" t="n">
        <v>18.851097</v>
      </c>
      <c r="AK319" s="3" t="n">
        <v>19.512674</v>
      </c>
      <c r="AL319" s="3" t="n">
        <v>20.200782</v>
      </c>
      <c r="AM319" s="3" t="n"/>
      <c r="AN319" s="3" t="n"/>
      <c r="AO319" s="3" t="n"/>
      <c r="AP319" s="3" t="n"/>
      <c r="AQ319" s="3" t="n"/>
      <c r="AR319" s="3" t="n"/>
      <c r="AS319" s="3" t="n"/>
      <c r="AT319" s="3" t="n"/>
      <c r="AU319" s="3" t="n"/>
    </row>
    <row r="320">
      <c r="A320" s="3" t="n">
        <v>2031</v>
      </c>
      <c r="B320" s="3" t="inlineStr">
        <is>
          <t>BHS</t>
        </is>
      </c>
      <c r="C320" s="3" t="inlineStr">
        <is>
          <t>IMF.RES:WEO</t>
        </is>
      </c>
      <c r="D320" s="3" t="inlineStr">
        <is>
          <t>BHS.NGDP_D.A</t>
        </is>
      </c>
      <c r="E320" s="3" t="inlineStr">
        <is>
          <t>Bahamas, The</t>
        </is>
      </c>
      <c r="F320" s="3" t="inlineStr">
        <is>
          <t>Gross domestic product (GDP), Price deflator, Index</t>
        </is>
      </c>
      <c r="G320" s="3" t="n">
        <v>74.37679199999999</v>
      </c>
      <c r="H320" s="3" t="n">
        <v>74.63977300000001</v>
      </c>
      <c r="I320" s="3" t="n">
        <v>77.596119</v>
      </c>
      <c r="J320" s="3" t="n">
        <v>78.492064</v>
      </c>
      <c r="K320" s="3" t="n">
        <v>79.429637</v>
      </c>
      <c r="L320" s="3" t="n">
        <v>83.44626100000001</v>
      </c>
      <c r="M320" s="3" t="n">
        <v>84.137168</v>
      </c>
      <c r="N320" s="3" t="n">
        <v>86.617135</v>
      </c>
      <c r="O320" s="3" t="n">
        <v>87.906755</v>
      </c>
      <c r="P320" s="3" t="n">
        <v>86.99558399999999</v>
      </c>
      <c r="Q320" s="3" t="n">
        <v>86.654037</v>
      </c>
      <c r="R320" s="3" t="n">
        <v>85.91016399999999</v>
      </c>
      <c r="S320" s="3" t="n">
        <v>87.425156</v>
      </c>
      <c r="T320" s="3" t="n">
        <v>87.943624</v>
      </c>
      <c r="U320" s="3" t="n">
        <v>91.819836</v>
      </c>
      <c r="V320" s="3" t="n">
        <v>96.61486600000001</v>
      </c>
      <c r="W320" s="3" t="n">
        <v>98.102958</v>
      </c>
      <c r="X320" s="3" t="n">
        <v>99.42431999999999</v>
      </c>
      <c r="Y320" s="3" t="n">
        <v>100</v>
      </c>
      <c r="Z320" s="3" t="n">
        <v>104.446984</v>
      </c>
      <c r="AA320" s="3" t="n">
        <v>102.02047</v>
      </c>
      <c r="AB320" s="3" t="n">
        <v>100.775093</v>
      </c>
      <c r="AC320" s="3" t="n">
        <v>104.931671</v>
      </c>
      <c r="AD320" s="3" t="n">
        <v>111.898281</v>
      </c>
      <c r="AE320" s="3" t="n">
        <v>112.22131</v>
      </c>
      <c r="AF320" s="3" t="n">
        <v>113.817479</v>
      </c>
      <c r="AG320" s="3" t="n">
        <v>115.088467</v>
      </c>
      <c r="AH320" s="3" t="n">
        <v>116.672453</v>
      </c>
      <c r="AI320" s="3" t="n">
        <v>118.536016</v>
      </c>
      <c r="AJ320" s="3" t="n">
        <v>120.846501</v>
      </c>
      <c r="AK320" s="3" t="n">
        <v>123.239008</v>
      </c>
      <c r="AL320" s="3" t="n">
        <v>125.6995</v>
      </c>
      <c r="AM320" s="3" t="n"/>
      <c r="AN320" s="3" t="n"/>
      <c r="AO320" s="3" t="n"/>
      <c r="AP320" s="3" t="n"/>
      <c r="AQ320" s="3" t="n"/>
      <c r="AR320" s="3" t="n"/>
      <c r="AS320" s="3" t="n"/>
      <c r="AT320" s="3" t="n"/>
      <c r="AU320" s="3" t="n"/>
    </row>
    <row r="321">
      <c r="A321" s="3" t="n">
        <v>2031</v>
      </c>
      <c r="B321" s="3" t="inlineStr">
        <is>
          <t>BHS</t>
        </is>
      </c>
      <c r="C321" s="3" t="inlineStr">
        <is>
          <t>IMF.RES:WEO</t>
        </is>
      </c>
      <c r="D321" s="3" t="inlineStr">
        <is>
          <t>BHS.NGDP_R.A</t>
        </is>
      </c>
      <c r="E321" s="3" t="inlineStr">
        <is>
          <t>Bahamas, The</t>
        </is>
      </c>
      <c r="F321" s="3" t="inlineStr">
        <is>
          <t>Gross domestic product (GDP), Constant prices, Domestic currency</t>
        </is>
      </c>
      <c r="G321" s="3" t="n">
        <v>10.858855</v>
      </c>
      <c r="H321" s="3" t="n">
        <v>11.143968</v>
      </c>
      <c r="I321" s="3" t="n">
        <v>11.445371</v>
      </c>
      <c r="J321" s="3" t="n">
        <v>11.300616</v>
      </c>
      <c r="K321" s="3" t="n">
        <v>11.400388</v>
      </c>
      <c r="L321" s="3" t="n">
        <v>11.787463</v>
      </c>
      <c r="M321" s="3" t="n">
        <v>12.084138</v>
      </c>
      <c r="N321" s="3" t="n">
        <v>12.258938</v>
      </c>
      <c r="O321" s="3" t="n">
        <v>11.974049</v>
      </c>
      <c r="P321" s="3" t="n">
        <v>11.4741</v>
      </c>
      <c r="Q321" s="3" t="n">
        <v>11.650657</v>
      </c>
      <c r="R321" s="3" t="n">
        <v>11.722067</v>
      </c>
      <c r="S321" s="3" t="n">
        <v>12.262485</v>
      </c>
      <c r="T321" s="3" t="n">
        <v>11.911405</v>
      </c>
      <c r="U321" s="3" t="n">
        <v>12.131439</v>
      </c>
      <c r="V321" s="3" t="n">
        <v>12.252362</v>
      </c>
      <c r="W321" s="3" t="n">
        <v>12.110691</v>
      </c>
      <c r="X321" s="3" t="n">
        <v>12.518974</v>
      </c>
      <c r="Y321" s="3" t="n">
        <v>12.819238</v>
      </c>
      <c r="Z321" s="3" t="n">
        <v>12.711683</v>
      </c>
      <c r="AA321" s="3" t="n">
        <v>10.157956</v>
      </c>
      <c r="AB321" s="3" t="n">
        <v>11.94443</v>
      </c>
      <c r="AC321" s="3" t="n">
        <v>13.243675</v>
      </c>
      <c r="AD321" s="3" t="n">
        <v>13.647446</v>
      </c>
      <c r="AE321" s="3" t="n">
        <v>14.108531</v>
      </c>
      <c r="AF321" s="3" t="n">
        <v>14.50357</v>
      </c>
      <c r="AG321" s="3" t="n">
        <v>14.808145</v>
      </c>
      <c r="AH321" s="3" t="n">
        <v>15.0895</v>
      </c>
      <c r="AI321" s="3" t="n">
        <v>15.361111</v>
      </c>
      <c r="AJ321" s="3" t="n">
        <v>15.599208</v>
      </c>
      <c r="AK321" s="3" t="n">
        <v>15.833196</v>
      </c>
      <c r="AL321" s="3" t="n">
        <v>16.070694</v>
      </c>
      <c r="AM321" s="3" t="n"/>
      <c r="AN321" s="3" t="n"/>
      <c r="AO321" s="3" t="n"/>
      <c r="AP321" s="3" t="n"/>
      <c r="AQ321" s="3" t="n"/>
      <c r="AR321" s="3" t="n"/>
      <c r="AS321" s="3" t="n"/>
      <c r="AT321" s="3" t="n"/>
      <c r="AU321" s="3" t="n"/>
    </row>
    <row r="322">
      <c r="A322" s="3" t="n">
        <v>2031</v>
      </c>
      <c r="B322" s="3" t="inlineStr">
        <is>
          <t>BHS</t>
        </is>
      </c>
      <c r="C322" s="3" t="inlineStr">
        <is>
          <t>IMF.RES:WEO</t>
        </is>
      </c>
      <c r="D322" s="3" t="inlineStr">
        <is>
          <t>BHS.NGDP_RPCH.A</t>
        </is>
      </c>
      <c r="E322" s="3" t="inlineStr">
        <is>
          <t>Bahamas, The</t>
        </is>
      </c>
      <c r="F322" s="3" t="inlineStr">
        <is>
          <t>Gross domestic product (GDP), Constant prices, Percent change</t>
        </is>
      </c>
      <c r="G322" s="3" t="n">
        <v>4.149252</v>
      </c>
      <c r="H322" s="3" t="n">
        <v>2.625629</v>
      </c>
      <c r="I322" s="3" t="n">
        <v>2.704629</v>
      </c>
      <c r="J322" s="3" t="n">
        <v>-1.264747</v>
      </c>
      <c r="K322" s="3" t="n">
        <v>0.882885</v>
      </c>
      <c r="L322" s="3" t="n">
        <v>3.395286</v>
      </c>
      <c r="M322" s="3" t="n">
        <v>2.516866</v>
      </c>
      <c r="N322" s="3" t="n">
        <v>1.446525</v>
      </c>
      <c r="O322" s="3" t="n">
        <v>-2.323927</v>
      </c>
      <c r="P322" s="3" t="n">
        <v>-4.175275</v>
      </c>
      <c r="Q322" s="3" t="n">
        <v>1.538746</v>
      </c>
      <c r="R322" s="3" t="n">
        <v>0.6129289999999999</v>
      </c>
      <c r="S322" s="3" t="n">
        <v>4.610261</v>
      </c>
      <c r="T322" s="3" t="n">
        <v>-2.863046</v>
      </c>
      <c r="U322" s="3" t="n">
        <v>1.847257</v>
      </c>
      <c r="V322" s="3" t="n">
        <v>0.996776</v>
      </c>
      <c r="W322" s="3" t="n">
        <v>-1.156273</v>
      </c>
      <c r="X322" s="3" t="n">
        <v>3.371256</v>
      </c>
      <c r="Y322" s="3" t="n">
        <v>2.398476</v>
      </c>
      <c r="Z322" s="3" t="n">
        <v>-0.839015</v>
      </c>
      <c r="AA322" s="3" t="n">
        <v>-20.089608</v>
      </c>
      <c r="AB322" s="3" t="n">
        <v>17.58695</v>
      </c>
      <c r="AC322" s="3" t="n">
        <v>10.877411</v>
      </c>
      <c r="AD322" s="3" t="n">
        <v>3.048779</v>
      </c>
      <c r="AE322" s="3" t="n">
        <v>3.378547</v>
      </c>
      <c r="AF322" s="3" t="n">
        <v>2.8</v>
      </c>
      <c r="AG322" s="3" t="n">
        <v>2.1</v>
      </c>
      <c r="AH322" s="3" t="n">
        <v>1.9</v>
      </c>
      <c r="AI322" s="3" t="n">
        <v>1.8</v>
      </c>
      <c r="AJ322" s="3" t="n">
        <v>1.55</v>
      </c>
      <c r="AK322" s="3" t="n">
        <v>1.5</v>
      </c>
      <c r="AL322" s="3" t="n">
        <v>1.5</v>
      </c>
      <c r="AM322" s="3" t="n"/>
      <c r="AN322" s="3" t="n"/>
      <c r="AO322" s="3" t="n"/>
      <c r="AP322" s="3" t="n"/>
      <c r="AQ322" s="3" t="n"/>
      <c r="AR322" s="3" t="n"/>
      <c r="AS322" s="3" t="n"/>
      <c r="AT322" s="3" t="n"/>
      <c r="AU322" s="3" t="n"/>
    </row>
    <row r="323">
      <c r="A323" s="3" t="n">
        <v>2031</v>
      </c>
      <c r="B323" s="3" t="inlineStr">
        <is>
          <t>BHS</t>
        </is>
      </c>
      <c r="C323" s="3" t="inlineStr">
        <is>
          <t>IMF.RES:WEO</t>
        </is>
      </c>
      <c r="D323" s="3" t="inlineStr">
        <is>
          <t>BHS.NGDPD.A</t>
        </is>
      </c>
      <c r="E323" s="3" t="inlineStr">
        <is>
          <t>Bahamas, The</t>
        </is>
      </c>
      <c r="F323" s="3" t="inlineStr">
        <is>
          <t>Gross domestic product (GDP), Current prices, US dollar</t>
        </is>
      </c>
      <c r="G323" s="3" t="n">
        <v>8.076468</v>
      </c>
      <c r="H323" s="3" t="n">
        <v>8.317833</v>
      </c>
      <c r="I323" s="3" t="n">
        <v>8.881164</v>
      </c>
      <c r="J323" s="3" t="n">
        <v>8.870087</v>
      </c>
      <c r="K323" s="3" t="n">
        <v>9.055287</v>
      </c>
      <c r="L323" s="3" t="n">
        <v>9.836198</v>
      </c>
      <c r="M323" s="3" t="n">
        <v>10.167252</v>
      </c>
      <c r="N323" s="3" t="n">
        <v>10.618341</v>
      </c>
      <c r="O323" s="3" t="n">
        <v>10.525998</v>
      </c>
      <c r="P323" s="3" t="n">
        <v>9.981960000000001</v>
      </c>
      <c r="Q323" s="3" t="n">
        <v>10.095765</v>
      </c>
      <c r="R323" s="3" t="n">
        <v>10.070447</v>
      </c>
      <c r="S323" s="3" t="n">
        <v>10.720497</v>
      </c>
      <c r="T323" s="3" t="n">
        <v>10.475321</v>
      </c>
      <c r="U323" s="3" t="n">
        <v>11.139067</v>
      </c>
      <c r="V323" s="3" t="n">
        <v>11.837603</v>
      </c>
      <c r="W323" s="3" t="n">
        <v>11.880947</v>
      </c>
      <c r="X323" s="3" t="n">
        <v>12.446905</v>
      </c>
      <c r="Y323" s="3" t="n">
        <v>12.819238</v>
      </c>
      <c r="Z323" s="3" t="n">
        <v>13.27697</v>
      </c>
      <c r="AA323" s="3" t="n">
        <v>10.363194</v>
      </c>
      <c r="AB323" s="3" t="n">
        <v>12.037011</v>
      </c>
      <c r="AC323" s="3" t="n">
        <v>13.89681</v>
      </c>
      <c r="AD323" s="3" t="n">
        <v>15.271257</v>
      </c>
      <c r="AE323" s="3" t="n">
        <v>15.832778</v>
      </c>
      <c r="AF323" s="3" t="n">
        <v>16.507598</v>
      </c>
      <c r="AG323" s="3" t="n">
        <v>17.042467</v>
      </c>
      <c r="AH323" s="3" t="n">
        <v>17.605289</v>
      </c>
      <c r="AI323" s="3" t="n">
        <v>18.208448</v>
      </c>
      <c r="AJ323" s="3" t="n">
        <v>18.851097</v>
      </c>
      <c r="AK323" s="3" t="n">
        <v>19.512674</v>
      </c>
      <c r="AL323" s="3" t="n">
        <v>20.200782</v>
      </c>
      <c r="AM323" s="3" t="n"/>
      <c r="AN323" s="3" t="n"/>
      <c r="AO323" s="3" t="n"/>
      <c r="AP323" s="3" t="n"/>
      <c r="AQ323" s="3" t="n"/>
      <c r="AR323" s="3" t="n"/>
      <c r="AS323" s="3" t="n"/>
      <c r="AT323" s="3" t="n"/>
      <c r="AU323" s="3" t="n"/>
    </row>
    <row r="324">
      <c r="A324" s="3" t="n">
        <v>2031</v>
      </c>
      <c r="B324" s="3" t="inlineStr">
        <is>
          <t>BHS</t>
        </is>
      </c>
      <c r="C324" s="3" t="inlineStr">
        <is>
          <t>IMF.RES:WEO</t>
        </is>
      </c>
      <c r="D324" s="3" t="inlineStr">
        <is>
          <t>BHS.NGDPPC.A</t>
        </is>
      </c>
      <c r="E324" s="3" t="inlineStr">
        <is>
          <t>Bahamas, The</t>
        </is>
      </c>
      <c r="F324" s="3" t="inlineStr">
        <is>
          <t>Gross domestic product (GDP), Current prices, Per capita, Domestic currency</t>
        </is>
      </c>
      <c r="G324" s="3" t="n">
        <v>26601.368083</v>
      </c>
      <c r="H324" s="3" t="n">
        <v>26971.27253</v>
      </c>
      <c r="I324" s="3" t="n">
        <v>28357.926858</v>
      </c>
      <c r="J324" s="3" t="n">
        <v>27896.337517</v>
      </c>
      <c r="K324" s="3" t="n">
        <v>28056.571575</v>
      </c>
      <c r="L324" s="3" t="n">
        <v>30030.889788</v>
      </c>
      <c r="M324" s="3" t="n">
        <v>30594.670555</v>
      </c>
      <c r="N324" s="3" t="n">
        <v>31498.522851</v>
      </c>
      <c r="O324" s="3" t="n">
        <v>30787.58498</v>
      </c>
      <c r="P324" s="3" t="n">
        <v>28793.340641</v>
      </c>
      <c r="Q324" s="3" t="n">
        <v>28725.135337</v>
      </c>
      <c r="R324" s="3" t="n">
        <v>28365.858934</v>
      </c>
      <c r="S324" s="3" t="n">
        <v>29895.417809</v>
      </c>
      <c r="T324" s="3" t="n">
        <v>28918.976596</v>
      </c>
      <c r="U324" s="3" t="n">
        <v>30441.264013</v>
      </c>
      <c r="V324" s="3" t="n">
        <v>32022.082546</v>
      </c>
      <c r="W324" s="3" t="n">
        <v>31811.466587</v>
      </c>
      <c r="X324" s="3" t="n">
        <v>32984.165498</v>
      </c>
      <c r="Y324" s="3" t="n">
        <v>33618.059476</v>
      </c>
      <c r="Z324" s="3" t="n">
        <v>34455.207419</v>
      </c>
      <c r="AA324" s="3" t="n">
        <v>26612.552738</v>
      </c>
      <c r="AB324" s="3" t="n">
        <v>30522.745008</v>
      </c>
      <c r="AC324" s="3" t="n">
        <v>34801.708863</v>
      </c>
      <c r="AD324" s="3" t="n">
        <v>37827.626655</v>
      </c>
      <c r="AE324" s="3" t="n">
        <v>38791.831281</v>
      </c>
      <c r="AF324" s="3" t="n">
        <v>40005.146968</v>
      </c>
      <c r="AG324" s="3" t="n">
        <v>40892.445142</v>
      </c>
      <c r="AH324" s="3" t="n">
        <v>41824.659536</v>
      </c>
      <c r="AI324" s="3" t="n">
        <v>42829.284064</v>
      </c>
      <c r="AJ324" s="3" t="n">
        <v>43901.880515</v>
      </c>
      <c r="AK324" s="3" t="n">
        <v>44992.684419</v>
      </c>
      <c r="AL324" s="3" t="n">
        <v>46472.180847</v>
      </c>
      <c r="AM324" s="3" t="n"/>
      <c r="AN324" s="3" t="n"/>
      <c r="AO324" s="3" t="n"/>
      <c r="AP324" s="3" t="n"/>
      <c r="AQ324" s="3" t="n"/>
      <c r="AR324" s="3" t="n"/>
      <c r="AS324" s="3" t="n"/>
      <c r="AT324" s="3" t="n"/>
      <c r="AU324" s="3" t="n"/>
    </row>
    <row r="325">
      <c r="A325" s="3" t="n">
        <v>2031</v>
      </c>
      <c r="B325" s="3" t="inlineStr">
        <is>
          <t>BHS</t>
        </is>
      </c>
      <c r="C325" s="3" t="inlineStr">
        <is>
          <t>IMF.RES:WEO</t>
        </is>
      </c>
      <c r="D325" s="3" t="inlineStr">
        <is>
          <t>BHS.NGDPRPC.A</t>
        </is>
      </c>
      <c r="E325" s="3" t="inlineStr">
        <is>
          <t>Bahamas, The</t>
        </is>
      </c>
      <c r="F325" s="3" t="inlineStr">
        <is>
          <t>Gross domestic product (GDP), Constant prices, Per capita, Domestic currency</t>
        </is>
      </c>
      <c r="G325" s="3" t="n">
        <v>35765.683762</v>
      </c>
      <c r="H325" s="3" t="n">
        <v>36135.255359</v>
      </c>
      <c r="I325" s="3" t="n">
        <v>36545.547907</v>
      </c>
      <c r="J325" s="3" t="n">
        <v>35540.328827</v>
      </c>
      <c r="K325" s="3" t="n">
        <v>35322.547906</v>
      </c>
      <c r="L325" s="3" t="n">
        <v>35988.298741</v>
      </c>
      <c r="M325" s="3" t="n">
        <v>36362.84825</v>
      </c>
      <c r="N325" s="3" t="n">
        <v>36365.232763</v>
      </c>
      <c r="O325" s="3" t="n">
        <v>35023.002609</v>
      </c>
      <c r="P325" s="3" t="n">
        <v>33097.473848</v>
      </c>
      <c r="Q325" s="3" t="n">
        <v>33149.217524</v>
      </c>
      <c r="R325" s="3" t="n">
        <v>33018.047834</v>
      </c>
      <c r="S325" s="3" t="n">
        <v>34195.441176</v>
      </c>
      <c r="T325" s="3" t="n">
        <v>32883.539858</v>
      </c>
      <c r="U325" s="3" t="n">
        <v>33153.254619</v>
      </c>
      <c r="V325" s="3" t="n">
        <v>33144.05323</v>
      </c>
      <c r="W325" s="3" t="n">
        <v>32426.613065</v>
      </c>
      <c r="X325" s="3" t="n">
        <v>33175.148133</v>
      </c>
      <c r="Y325" s="3" t="n">
        <v>33618.059476</v>
      </c>
      <c r="Z325" s="3" t="n">
        <v>32988.226333</v>
      </c>
      <c r="AA325" s="3" t="n">
        <v>26085.503103</v>
      </c>
      <c r="AB325" s="3" t="n">
        <v>30287.984974</v>
      </c>
      <c r="AC325" s="3" t="n">
        <v>33166.067678</v>
      </c>
      <c r="AD325" s="3" t="n">
        <v>33805.368852</v>
      </c>
      <c r="AE325" s="3" t="n">
        <v>34567.259341</v>
      </c>
      <c r="AF325" s="3" t="n">
        <v>35148.509004</v>
      </c>
      <c r="AG325" s="3" t="n">
        <v>35531.314547</v>
      </c>
      <c r="AH325" s="3" t="n">
        <v>35847.930221</v>
      </c>
      <c r="AI325" s="3" t="n">
        <v>36131.874223</v>
      </c>
      <c r="AJ325" s="3" t="n">
        <v>36328.631954</v>
      </c>
      <c r="AK325" s="3" t="n">
        <v>36508.476667</v>
      </c>
      <c r="AL325" s="3" t="n">
        <v>36970.855732</v>
      </c>
      <c r="AM325" s="3" t="n"/>
      <c r="AN325" s="3" t="n"/>
      <c r="AO325" s="3" t="n"/>
      <c r="AP325" s="3" t="n"/>
      <c r="AQ325" s="3" t="n"/>
      <c r="AR325" s="3" t="n"/>
      <c r="AS325" s="3" t="n"/>
      <c r="AT325" s="3" t="n"/>
      <c r="AU325" s="3" t="n"/>
    </row>
    <row r="326">
      <c r="A326" s="3" t="n">
        <v>2031</v>
      </c>
      <c r="B326" s="3" t="inlineStr">
        <is>
          <t>BHS</t>
        </is>
      </c>
      <c r="C326" s="3" t="inlineStr">
        <is>
          <t>IMF.RES:WEO</t>
        </is>
      </c>
      <c r="D326" s="3" t="inlineStr">
        <is>
          <t>BHS.PCPI.A</t>
        </is>
      </c>
      <c r="E326" s="3" t="inlineStr">
        <is>
          <t>Bahamas, The</t>
        </is>
      </c>
      <c r="F326" s="3" t="inlineStr">
        <is>
          <t>All Items, Consumer price index (CPI), Period average</t>
        </is>
      </c>
      <c r="G326" s="3" t="n">
        <v>74.962453</v>
      </c>
      <c r="H326" s="3" t="n">
        <v>76.73293099999999</v>
      </c>
      <c r="I326" s="3" t="n">
        <v>77.882707</v>
      </c>
      <c r="J326" s="3" t="n">
        <v>80.731219</v>
      </c>
      <c r="K326" s="3" t="n">
        <v>81.667666</v>
      </c>
      <c r="L326" s="3" t="n">
        <v>83.152889</v>
      </c>
      <c r="M326" s="3" t="n">
        <v>84.780709</v>
      </c>
      <c r="N326" s="3" t="n">
        <v>86.821551</v>
      </c>
      <c r="O326" s="3" t="n">
        <v>90.671138</v>
      </c>
      <c r="P326" s="3" t="n">
        <v>92.18134999999999</v>
      </c>
      <c r="Q326" s="3" t="n">
        <v>93.67577</v>
      </c>
      <c r="R326" s="3" t="n">
        <v>96.546125</v>
      </c>
      <c r="S326" s="3" t="n">
        <v>98.39242</v>
      </c>
      <c r="T326" s="3" t="n">
        <v>98.830658</v>
      </c>
      <c r="U326" s="3" t="n">
        <v>100</v>
      </c>
      <c r="V326" s="3" t="n">
        <v>101.878438</v>
      </c>
      <c r="W326" s="3" t="n">
        <v>101.5422</v>
      </c>
      <c r="X326" s="3" t="n">
        <v>103.065258</v>
      </c>
      <c r="Y326" s="3" t="n">
        <v>105.402279</v>
      </c>
      <c r="Z326" s="3" t="n">
        <v>108.028098</v>
      </c>
      <c r="AA326" s="3" t="n">
        <v>108.069711</v>
      </c>
      <c r="AB326" s="3" t="n">
        <v>111.209042</v>
      </c>
      <c r="AC326" s="3" t="n">
        <v>117.44276</v>
      </c>
      <c r="AD326" s="3" t="n">
        <v>121.03568</v>
      </c>
      <c r="AE326" s="3" t="n">
        <v>121.523391</v>
      </c>
      <c r="AF326" s="3" t="n">
        <v>122.276525</v>
      </c>
      <c r="AG326" s="3" t="n">
        <v>124.219175</v>
      </c>
      <c r="AH326" s="3" t="n">
        <v>126.560637</v>
      </c>
      <c r="AI326" s="3" t="n">
        <v>129.07563</v>
      </c>
      <c r="AJ326" s="3" t="n">
        <v>131.693983</v>
      </c>
      <c r="AK326" s="3" t="n">
        <v>134.339923</v>
      </c>
      <c r="AL326" s="3" t="n">
        <v>136.991433</v>
      </c>
      <c r="AM326" s="3" t="n"/>
      <c r="AN326" s="3" t="n"/>
      <c r="AO326" s="3" t="n"/>
      <c r="AP326" s="3" t="n"/>
      <c r="AQ326" s="3" t="n"/>
      <c r="AR326" s="3" t="n"/>
      <c r="AS326" s="3" t="n"/>
      <c r="AT326" s="3" t="n"/>
      <c r="AU326" s="3" t="n"/>
    </row>
    <row r="327">
      <c r="A327" s="3" t="n">
        <v>2031</v>
      </c>
      <c r="B327" s="3" t="inlineStr">
        <is>
          <t>BHS</t>
        </is>
      </c>
      <c r="C327" s="3" t="inlineStr">
        <is>
          <t>IMF.RES:WEO</t>
        </is>
      </c>
      <c r="D327" s="3" t="inlineStr">
        <is>
          <t>BHS.PCPIPCH.A</t>
        </is>
      </c>
      <c r="E327" s="3" t="inlineStr">
        <is>
          <t>Bahamas, The</t>
        </is>
      </c>
      <c r="F327" s="3" t="inlineStr">
        <is>
          <t>All Items, Consumer price index (CPI), Period average, percent change</t>
        </is>
      </c>
      <c r="G327" s="3" t="n">
        <v>1.73205</v>
      </c>
      <c r="H327" s="3" t="n">
        <v>2.36182</v>
      </c>
      <c r="I327" s="3" t="n">
        <v>1.498413</v>
      </c>
      <c r="J327" s="3" t="n">
        <v>3.657438</v>
      </c>
      <c r="K327" s="3" t="n">
        <v>1.159957</v>
      </c>
      <c r="L327" s="3" t="n">
        <v>1.818619</v>
      </c>
      <c r="M327" s="3" t="n">
        <v>1.957622</v>
      </c>
      <c r="N327" s="3" t="n">
        <v>2.407201</v>
      </c>
      <c r="O327" s="3" t="n">
        <v>4.433908</v>
      </c>
      <c r="P327" s="3" t="n">
        <v>1.665593</v>
      </c>
      <c r="Q327" s="3" t="n">
        <v>1.621174</v>
      </c>
      <c r="R327" s="3" t="n">
        <v>3.064138</v>
      </c>
      <c r="S327" s="3" t="n">
        <v>1.912345</v>
      </c>
      <c r="T327" s="3" t="n">
        <v>0.445398</v>
      </c>
      <c r="U327" s="3" t="n">
        <v>1.183178</v>
      </c>
      <c r="V327" s="3" t="n">
        <v>1.878438</v>
      </c>
      <c r="W327" s="3" t="n">
        <v>-0.330038</v>
      </c>
      <c r="X327" s="3" t="n">
        <v>1.499926</v>
      </c>
      <c r="Y327" s="3" t="n">
        <v>2.267515</v>
      </c>
      <c r="Z327" s="3" t="n">
        <v>2.491235</v>
      </c>
      <c r="AA327" s="3" t="n">
        <v>0.038521</v>
      </c>
      <c r="AB327" s="3" t="n">
        <v>2.904913</v>
      </c>
      <c r="AC327" s="3" t="n">
        <v>5.605406</v>
      </c>
      <c r="AD327" s="3" t="n">
        <v>3.059294</v>
      </c>
      <c r="AE327" s="3" t="n">
        <v>0.402949</v>
      </c>
      <c r="AF327" s="3" t="n">
        <v>0.619744</v>
      </c>
      <c r="AG327" s="3" t="n">
        <v>1.588735</v>
      </c>
      <c r="AH327" s="3" t="n">
        <v>1.884944</v>
      </c>
      <c r="AI327" s="3" t="n">
        <v>1.987185</v>
      </c>
      <c r="AJ327" s="3" t="n">
        <v>2.028542</v>
      </c>
      <c r="AK327" s="3" t="n">
        <v>2.009158</v>
      </c>
      <c r="AL327" s="3" t="n">
        <v>1.973732</v>
      </c>
      <c r="AM327" s="3" t="n"/>
      <c r="AN327" s="3" t="n"/>
      <c r="AO327" s="3" t="n"/>
      <c r="AP327" s="3" t="n"/>
      <c r="AQ327" s="3" t="n"/>
      <c r="AR327" s="3" t="n"/>
      <c r="AS327" s="3" t="n"/>
      <c r="AT327" s="3" t="n"/>
      <c r="AU327" s="3" t="n"/>
    </row>
    <row r="328">
      <c r="A328" s="3" t="n">
        <v>2031</v>
      </c>
      <c r="B328" s="3" t="inlineStr">
        <is>
          <t>BHS</t>
        </is>
      </c>
      <c r="C328" s="3" t="inlineStr">
        <is>
          <t>IMF.RES:WEO</t>
        </is>
      </c>
      <c r="D328" s="3" t="inlineStr">
        <is>
          <t>BHS.PPPPC.A</t>
        </is>
      </c>
      <c r="E328" s="3" t="inlineStr">
        <is>
          <t>Bahamas, The</t>
        </is>
      </c>
      <c r="F328" s="3" t="inlineStr">
        <is>
          <t>Gross domestic product (GDP), Per capita, purchasing power parity (PPP) international dollar, ICP benchmarks 2017-2021</t>
        </is>
      </c>
      <c r="G328" s="3" t="n">
        <v>27812.375794</v>
      </c>
      <c r="H328" s="3" t="n">
        <v>28732.464824</v>
      </c>
      <c r="I328" s="3" t="n">
        <v>29510.2861</v>
      </c>
      <c r="J328" s="3" t="n">
        <v>29265.150239</v>
      </c>
      <c r="K328" s="3" t="n">
        <v>29867.904998</v>
      </c>
      <c r="L328" s="3" t="n">
        <v>31385.104931</v>
      </c>
      <c r="M328" s="3" t="n">
        <v>32689.699437</v>
      </c>
      <c r="N328" s="3" t="n">
        <v>33577.553404</v>
      </c>
      <c r="O328" s="3" t="n">
        <v>32961.182711</v>
      </c>
      <c r="P328" s="3" t="n">
        <v>31341.119707</v>
      </c>
      <c r="Q328" s="3" t="n">
        <v>31771.625058</v>
      </c>
      <c r="R328" s="3" t="n">
        <v>32298.840078</v>
      </c>
      <c r="S328" s="3" t="n">
        <v>34073.414359</v>
      </c>
      <c r="T328" s="3" t="n">
        <v>33323.876818</v>
      </c>
      <c r="U328" s="3" t="n">
        <v>34182.370754</v>
      </c>
      <c r="V328" s="3" t="n">
        <v>34490.026293</v>
      </c>
      <c r="W328" s="3" t="n">
        <v>34064.089259</v>
      </c>
      <c r="X328" s="3" t="n">
        <v>35474.556402</v>
      </c>
      <c r="Y328" s="3" t="n">
        <v>36280.768007</v>
      </c>
      <c r="Z328" s="3" t="n">
        <v>36990.838666</v>
      </c>
      <c r="AA328" s="3" t="n">
        <v>27655.424255</v>
      </c>
      <c r="AB328" s="3" t="n">
        <v>31223.120631</v>
      </c>
      <c r="AC328" s="3" t="n">
        <v>36621.802461</v>
      </c>
      <c r="AD328" s="3" t="n">
        <v>38708.853481</v>
      </c>
      <c r="AE328" s="3" t="n">
        <v>40563.878972</v>
      </c>
      <c r="AF328" s="3" t="n">
        <v>42416.01365</v>
      </c>
      <c r="AG328" s="3" t="n">
        <v>44106.360117</v>
      </c>
      <c r="AH328" s="3" t="n">
        <v>45476.550034</v>
      </c>
      <c r="AI328" s="3" t="n">
        <v>46589.120569</v>
      </c>
      <c r="AJ328" s="3" t="n">
        <v>47675.739954</v>
      </c>
      <c r="AK328" s="3" t="n">
        <v>48792.149889</v>
      </c>
      <c r="AL328" s="3" t="n">
        <v>50302.102856</v>
      </c>
      <c r="AM328" s="3" t="n"/>
      <c r="AN328" s="3" t="n"/>
      <c r="AO328" s="3" t="n"/>
      <c r="AP328" s="3" t="n"/>
      <c r="AQ328" s="3" t="n"/>
      <c r="AR328" s="3" t="n"/>
      <c r="AS328" s="3" t="n"/>
      <c r="AT328" s="3" t="n"/>
      <c r="AU328" s="3" t="n"/>
    </row>
    <row r="329">
      <c r="A329" s="3" t="n">
        <v>2025</v>
      </c>
      <c r="B329" s="3" t="inlineStr">
        <is>
          <t>BHS</t>
        </is>
      </c>
      <c r="C329" s="3" t="inlineStr">
        <is>
          <t>IMF.STA:ER</t>
        </is>
      </c>
      <c r="D329" s="3" t="inlineStr">
        <is>
          <t>BHS.XDC_USD.PA_RT.A</t>
        </is>
      </c>
      <c r="E329" s="3" t="inlineStr">
        <is>
          <t>Bahamas, The</t>
        </is>
      </c>
      <c r="F329" s="3" t="inlineStr">
        <is>
          <t>Domestic currency per US Dollar</t>
        </is>
      </c>
      <c r="G329" s="3" t="n">
        <v>1</v>
      </c>
      <c r="H329" s="3" t="n">
        <v>1</v>
      </c>
      <c r="I329" s="3" t="n">
        <v>1</v>
      </c>
      <c r="J329" s="3" t="n">
        <v>1</v>
      </c>
      <c r="K329" s="3" t="n">
        <v>1</v>
      </c>
      <c r="L329" s="3" t="n">
        <v>1</v>
      </c>
      <c r="M329" s="3" t="n">
        <v>1</v>
      </c>
      <c r="N329" s="3" t="n">
        <v>1</v>
      </c>
      <c r="O329" s="3" t="n">
        <v>1</v>
      </c>
      <c r="P329" s="3" t="n">
        <v>1</v>
      </c>
      <c r="Q329" s="3" t="n">
        <v>1</v>
      </c>
      <c r="R329" s="3" t="n">
        <v>1</v>
      </c>
      <c r="S329" s="3" t="n">
        <v>1</v>
      </c>
      <c r="T329" s="3" t="n">
        <v>1</v>
      </c>
      <c r="U329" s="3" t="n">
        <v>1</v>
      </c>
      <c r="V329" s="3" t="n">
        <v>1</v>
      </c>
      <c r="W329" s="3" t="n">
        <v>1</v>
      </c>
      <c r="X329" s="3" t="n">
        <v>1</v>
      </c>
      <c r="Y329" s="3" t="n">
        <v>1</v>
      </c>
      <c r="Z329" s="3" t="n">
        <v>1</v>
      </c>
      <c r="AA329" s="3" t="n">
        <v>1</v>
      </c>
      <c r="AB329" s="3" t="n">
        <v>1</v>
      </c>
      <c r="AC329" s="3" t="n">
        <v>1</v>
      </c>
      <c r="AD329" s="3" t="n">
        <v>1</v>
      </c>
      <c r="AE329" s="3" t="n">
        <v>1</v>
      </c>
      <c r="AF329" s="3" t="n">
        <v>1</v>
      </c>
      <c r="AG329" s="3" t="n"/>
      <c r="AH329" s="3" t="n"/>
      <c r="AI329" s="3" t="n"/>
      <c r="AJ329" s="3" t="n"/>
      <c r="AK329" s="3" t="n"/>
      <c r="AL329" s="3" t="n"/>
      <c r="AM329" s="3" t="n"/>
      <c r="AN329" s="3" t="n"/>
      <c r="AO329" s="3" t="n"/>
      <c r="AP329" s="3" t="n"/>
      <c r="AQ329" s="3" t="n"/>
      <c r="AR329" s="3" t="n"/>
      <c r="AS329" s="3" t="n"/>
      <c r="AT329" s="3" t="n"/>
      <c r="AU329" s="3" t="n"/>
    </row>
    <row r="330">
      <c r="A330" s="3" t="n">
        <v>2031</v>
      </c>
      <c r="B330" s="3" t="inlineStr">
        <is>
          <t>BIH</t>
        </is>
      </c>
      <c r="C330" s="3" t="inlineStr">
        <is>
          <t>IMF.RES:WEO</t>
        </is>
      </c>
      <c r="D330" s="3" t="inlineStr">
        <is>
          <t>BIH.BCA.A</t>
        </is>
      </c>
      <c r="E330" s="3" t="inlineStr">
        <is>
          <t>Bosnia and Herzegovina</t>
        </is>
      </c>
      <c r="F330" s="3" t="inlineStr">
        <is>
          <t>Current account balance (credit less debit), US dollar</t>
        </is>
      </c>
      <c r="G330" s="3" t="n">
        <v>-0.39569</v>
      </c>
      <c r="H330" s="3" t="n">
        <v>-0.742835</v>
      </c>
      <c r="I330" s="3" t="n">
        <v>-1.190656</v>
      </c>
      <c r="J330" s="3" t="n">
        <v>-1.631046</v>
      </c>
      <c r="K330" s="3" t="n">
        <v>-1.639327</v>
      </c>
      <c r="L330" s="3" t="n">
        <v>-1.844398</v>
      </c>
      <c r="M330" s="3" t="n">
        <v>-0.998104</v>
      </c>
      <c r="N330" s="3" t="n">
        <v>-1.450133</v>
      </c>
      <c r="O330" s="3" t="n">
        <v>-2.643281</v>
      </c>
      <c r="P330" s="3" t="n">
        <v>-1.131431</v>
      </c>
      <c r="Q330" s="3" t="n">
        <v>-1.030659</v>
      </c>
      <c r="R330" s="3" t="n">
        <v>-1.767324</v>
      </c>
      <c r="S330" s="3" t="n">
        <v>-1.48597</v>
      </c>
      <c r="T330" s="3" t="n">
        <v>-0.968194</v>
      </c>
      <c r="U330" s="3" t="n">
        <v>-1.364226</v>
      </c>
      <c r="V330" s="3" t="n">
        <v>-0.826025</v>
      </c>
      <c r="W330" s="3" t="n">
        <v>-0.804268</v>
      </c>
      <c r="X330" s="3" t="n">
        <v>-0.875777</v>
      </c>
      <c r="Y330" s="3" t="n">
        <v>-0.661764</v>
      </c>
      <c r="Z330" s="3" t="n">
        <v>-0.531917</v>
      </c>
      <c r="AA330" s="3" t="n">
        <v>-0.574322</v>
      </c>
      <c r="AB330" s="3" t="n">
        <v>-0.418984</v>
      </c>
      <c r="AC330" s="3" t="n">
        <v>-1.077584</v>
      </c>
      <c r="AD330" s="3" t="n">
        <v>-0.590011</v>
      </c>
      <c r="AE330" s="3" t="n">
        <v>-1.029217</v>
      </c>
      <c r="AF330" s="3" t="n">
        <v>-1.049841</v>
      </c>
      <c r="AG330" s="3" t="n">
        <v>-1.708462</v>
      </c>
      <c r="AH330" s="3" t="n">
        <v>-1.720241</v>
      </c>
      <c r="AI330" s="3" t="n">
        <v>-1.768843</v>
      </c>
      <c r="AJ330" s="3" t="n">
        <v>-1.811251</v>
      </c>
      <c r="AK330" s="3" t="n">
        <v>-1.833962</v>
      </c>
      <c r="AL330" s="3" t="n">
        <v>-1.892704</v>
      </c>
      <c r="AM330" s="3" t="n"/>
      <c r="AN330" s="3" t="n"/>
      <c r="AO330" s="3" t="n"/>
      <c r="AP330" s="3" t="n"/>
      <c r="AQ330" s="3" t="n"/>
      <c r="AR330" s="3" t="n"/>
      <c r="AS330" s="3" t="n"/>
      <c r="AT330" s="3" t="n"/>
      <c r="AU330" s="3" t="n"/>
    </row>
    <row r="331">
      <c r="A331" s="3" t="n">
        <v>2031</v>
      </c>
      <c r="B331" s="3" t="inlineStr">
        <is>
          <t>BIH</t>
        </is>
      </c>
      <c r="C331" s="3" t="inlineStr">
        <is>
          <t>IMF.RES:WEO</t>
        </is>
      </c>
      <c r="D331" s="3" t="inlineStr">
        <is>
          <t>BIH.BCA_NGDPD.A</t>
        </is>
      </c>
      <c r="E331" s="3" t="inlineStr">
        <is>
          <t>Bosnia and Herzegovina</t>
        </is>
      </c>
      <c r="F331" s="3" t="inlineStr">
        <is>
          <t>Current account balance (credit less debit), Percent of GDP</t>
        </is>
      </c>
      <c r="G331" s="3" t="n">
        <v>-7.106792</v>
      </c>
      <c r="H331" s="3" t="n">
        <v>-12.806141</v>
      </c>
      <c r="I331" s="3" t="n">
        <v>-17.696455</v>
      </c>
      <c r="J331" s="3" t="n">
        <v>-19.191281</v>
      </c>
      <c r="K331" s="3" t="n">
        <v>-16.119055</v>
      </c>
      <c r="L331" s="3" t="n">
        <v>-16.418841</v>
      </c>
      <c r="M331" s="3" t="n">
        <v>-7.751112</v>
      </c>
      <c r="N331" s="3" t="n">
        <v>-9.177239</v>
      </c>
      <c r="O331" s="3" t="n">
        <v>-13.775707</v>
      </c>
      <c r="P331" s="3" t="n">
        <v>-6.404724</v>
      </c>
      <c r="Q331" s="3" t="n">
        <v>-5.989743</v>
      </c>
      <c r="R331" s="3" t="n">
        <v>-9.468493</v>
      </c>
      <c r="S331" s="3" t="n">
        <v>-8.621015999999999</v>
      </c>
      <c r="T331" s="3" t="n">
        <v>-5.324288</v>
      </c>
      <c r="U331" s="3" t="n">
        <v>-7.339217</v>
      </c>
      <c r="V331" s="3" t="n">
        <v>-5.032889</v>
      </c>
      <c r="W331" s="3" t="n">
        <v>-4.696795</v>
      </c>
      <c r="X331" s="3" t="n">
        <v>-4.769353</v>
      </c>
      <c r="Y331" s="3" t="n">
        <v>-3.227537</v>
      </c>
      <c r="Z331" s="3" t="n">
        <v>-2.596657</v>
      </c>
      <c r="AA331" s="3" t="n">
        <v>-2.834144</v>
      </c>
      <c r="AB331" s="3" t="n">
        <v>-1.768774</v>
      </c>
      <c r="AC331" s="3" t="n">
        <v>-4.383877</v>
      </c>
      <c r="AD331" s="3" t="n">
        <v>-2.137263</v>
      </c>
      <c r="AE331" s="3" t="n">
        <v>-3.460943</v>
      </c>
      <c r="AF331" s="3" t="n">
        <v>-3.184995</v>
      </c>
      <c r="AG331" s="3" t="n">
        <v>-4.646258</v>
      </c>
      <c r="AH331" s="3" t="n">
        <v>-4.420649</v>
      </c>
      <c r="AI331" s="3" t="n">
        <v>-4.328772</v>
      </c>
      <c r="AJ331" s="3" t="n">
        <v>-4.208324</v>
      </c>
      <c r="AK331" s="3" t="n">
        <v>-4.049294</v>
      </c>
      <c r="AL331" s="3" t="n">
        <v>-3.971292</v>
      </c>
      <c r="AM331" s="3" t="n"/>
      <c r="AN331" s="3" t="n"/>
      <c r="AO331" s="3" t="n"/>
      <c r="AP331" s="3" t="n"/>
      <c r="AQ331" s="3" t="n"/>
      <c r="AR331" s="3" t="n"/>
      <c r="AS331" s="3" t="n"/>
      <c r="AT331" s="3" t="n"/>
      <c r="AU331" s="3" t="n"/>
    </row>
    <row r="332">
      <c r="A332" s="3" t="n">
        <v>2031</v>
      </c>
      <c r="B332" s="3" t="inlineStr">
        <is>
          <t>BIH</t>
        </is>
      </c>
      <c r="C332" s="3" t="inlineStr">
        <is>
          <t>IMF.RES:WEO</t>
        </is>
      </c>
      <c r="D332" s="3" t="inlineStr">
        <is>
          <t>BIH.GGR_NGDP.A</t>
        </is>
      </c>
      <c r="E332" s="3" t="inlineStr">
        <is>
          <t>Bosnia and Herzegovina</t>
        </is>
      </c>
      <c r="F332" s="3" t="inlineStr">
        <is>
          <t>Revenue, General government, Percent of GDP</t>
        </is>
      </c>
      <c r="G332" s="3" t="n">
        <v>51.539492</v>
      </c>
      <c r="H332" s="3" t="n">
        <v>46.760616</v>
      </c>
      <c r="I332" s="3" t="n">
        <v>44.44654</v>
      </c>
      <c r="J332" s="3" t="n">
        <v>46.845038</v>
      </c>
      <c r="K332" s="3" t="n">
        <v>45.407178</v>
      </c>
      <c r="L332" s="3" t="n">
        <v>45.268574</v>
      </c>
      <c r="M332" s="3" t="n">
        <v>46.311059</v>
      </c>
      <c r="N332" s="3" t="n">
        <v>45.370024</v>
      </c>
      <c r="O332" s="3" t="n">
        <v>44.549125</v>
      </c>
      <c r="P332" s="3" t="n">
        <v>43.629353</v>
      </c>
      <c r="Q332" s="3" t="n">
        <v>44.621796</v>
      </c>
      <c r="R332" s="3" t="n">
        <v>43.654533</v>
      </c>
      <c r="S332" s="3" t="n">
        <v>44.190999</v>
      </c>
      <c r="T332" s="3" t="n">
        <v>41.622966</v>
      </c>
      <c r="U332" s="3" t="n">
        <v>43.311217</v>
      </c>
      <c r="V332" s="3" t="n">
        <v>42.494109</v>
      </c>
      <c r="W332" s="3" t="n">
        <v>41.797022</v>
      </c>
      <c r="X332" s="3" t="n">
        <v>41.770342</v>
      </c>
      <c r="Y332" s="3" t="n">
        <v>42.054986</v>
      </c>
      <c r="Z332" s="3" t="n">
        <v>41.282362</v>
      </c>
      <c r="AA332" s="3" t="n">
        <v>40.883192</v>
      </c>
      <c r="AB332" s="3" t="n">
        <v>40.466559</v>
      </c>
      <c r="AC332" s="3" t="n">
        <v>39.517498</v>
      </c>
      <c r="AD332" s="3" t="n">
        <v>40.200474</v>
      </c>
      <c r="AE332" s="3" t="n">
        <v>41.2906</v>
      </c>
      <c r="AF332" s="3" t="n">
        <v>42.459111</v>
      </c>
      <c r="AG332" s="3" t="n">
        <v>41.395582</v>
      </c>
      <c r="AH332" s="3" t="n">
        <v>41.809757</v>
      </c>
      <c r="AI332" s="3" t="n">
        <v>41.830699</v>
      </c>
      <c r="AJ332" s="3" t="n">
        <v>41.84628</v>
      </c>
      <c r="AK332" s="3" t="n">
        <v>41.911087</v>
      </c>
      <c r="AL332" s="3" t="n">
        <v>42.089208</v>
      </c>
      <c r="AM332" s="3" t="n"/>
      <c r="AN332" s="3" t="n"/>
      <c r="AO332" s="3" t="n"/>
      <c r="AP332" s="3" t="n"/>
      <c r="AQ332" s="3" t="n"/>
      <c r="AR332" s="3" t="n"/>
      <c r="AS332" s="3" t="n"/>
      <c r="AT332" s="3" t="n"/>
      <c r="AU332" s="3" t="n"/>
    </row>
    <row r="333">
      <c r="A333" s="3" t="n">
        <v>2031</v>
      </c>
      <c r="B333" s="3" t="inlineStr">
        <is>
          <t>BIH</t>
        </is>
      </c>
      <c r="C333" s="3" t="inlineStr">
        <is>
          <t>IMF.RES:WEO</t>
        </is>
      </c>
      <c r="D333" s="3" t="inlineStr">
        <is>
          <t>BIH.GGX_NGDP.A</t>
        </is>
      </c>
      <c r="E333" s="3" t="inlineStr">
        <is>
          <t>Bosnia and Herzegovina</t>
        </is>
      </c>
      <c r="F333" s="3" t="inlineStr">
        <is>
          <t>Expenditure, General government, Percent of GDP</t>
        </is>
      </c>
      <c r="G333" s="3" t="n">
        <v>56.164551</v>
      </c>
      <c r="H333" s="3" t="n">
        <v>50.203717</v>
      </c>
      <c r="I333" s="3" t="n">
        <v>47.43427</v>
      </c>
      <c r="J333" s="3" t="n">
        <v>47.287442</v>
      </c>
      <c r="K333" s="3" t="n">
        <v>45.590685</v>
      </c>
      <c r="L333" s="3" t="n">
        <v>44.528526</v>
      </c>
      <c r="M333" s="3" t="n">
        <v>44.229361</v>
      </c>
      <c r="N333" s="3" t="n">
        <v>45.201184</v>
      </c>
      <c r="O333" s="3" t="n">
        <v>48.371863</v>
      </c>
      <c r="P333" s="3" t="n">
        <v>48.970859</v>
      </c>
      <c r="Q333" s="3" t="n">
        <v>48.679548</v>
      </c>
      <c r="R333" s="3" t="n">
        <v>46.382071</v>
      </c>
      <c r="S333" s="3" t="n">
        <v>47.948808</v>
      </c>
      <c r="T333" s="3" t="n">
        <v>43.810713</v>
      </c>
      <c r="U333" s="3" t="n">
        <v>46.177673</v>
      </c>
      <c r="V333" s="3" t="n">
        <v>42.688333</v>
      </c>
      <c r="W333" s="3" t="n">
        <v>41.455275</v>
      </c>
      <c r="X333" s="3" t="n">
        <v>39.980847</v>
      </c>
      <c r="Y333" s="3" t="n">
        <v>40.423106</v>
      </c>
      <c r="Z333" s="3" t="n">
        <v>39.914682</v>
      </c>
      <c r="AA333" s="3" t="n">
        <v>45.384775</v>
      </c>
      <c r="AB333" s="3" t="n">
        <v>40.643242</v>
      </c>
      <c r="AC333" s="3" t="n">
        <v>39.368453</v>
      </c>
      <c r="AD333" s="3" t="n">
        <v>41.871448</v>
      </c>
      <c r="AE333" s="3" t="n">
        <v>43.254838</v>
      </c>
      <c r="AF333" s="3" t="n">
        <v>44.864241</v>
      </c>
      <c r="AG333" s="3" t="n">
        <v>45.346275</v>
      </c>
      <c r="AH333" s="3" t="n">
        <v>46.065367</v>
      </c>
      <c r="AI333" s="3" t="n">
        <v>46.351504</v>
      </c>
      <c r="AJ333" s="3" t="n">
        <v>46.453632</v>
      </c>
      <c r="AK333" s="3" t="n">
        <v>46.524312</v>
      </c>
      <c r="AL333" s="3" t="n">
        <v>46.714973</v>
      </c>
      <c r="AM333" s="3" t="n"/>
      <c r="AN333" s="3" t="n"/>
      <c r="AO333" s="3" t="n"/>
      <c r="AP333" s="3" t="n"/>
      <c r="AQ333" s="3" t="n"/>
      <c r="AR333" s="3" t="n"/>
      <c r="AS333" s="3" t="n"/>
      <c r="AT333" s="3" t="n"/>
      <c r="AU333" s="3" t="n"/>
    </row>
    <row r="334">
      <c r="A334" s="3" t="n">
        <v>2031</v>
      </c>
      <c r="B334" s="3" t="inlineStr">
        <is>
          <t>BIH</t>
        </is>
      </c>
      <c r="C334" s="3" t="inlineStr">
        <is>
          <t>IMF.RES:WEO</t>
        </is>
      </c>
      <c r="D334" s="3" t="inlineStr">
        <is>
          <t>BIH.LP.A</t>
        </is>
      </c>
      <c r="E334" s="3" t="inlineStr">
        <is>
          <t>Bosnia and Herzegovina</t>
        </is>
      </c>
      <c r="F334" s="3" t="inlineStr">
        <is>
          <t>Population, Persons for countries / Index for country groups</t>
        </is>
      </c>
      <c r="G334" s="3" t="n">
        <v>3.751</v>
      </c>
      <c r="H334" s="3" t="n">
        <v>3.755</v>
      </c>
      <c r="I334" s="3" t="n">
        <v>3.759</v>
      </c>
      <c r="J334" s="3" t="n">
        <v>3.76</v>
      </c>
      <c r="K334" s="3" t="n">
        <v>3.763</v>
      </c>
      <c r="L334" s="3" t="n">
        <v>3.766</v>
      </c>
      <c r="M334" s="3" t="n">
        <v>3.768</v>
      </c>
      <c r="N334" s="3" t="n">
        <v>3.762</v>
      </c>
      <c r="O334" s="3" t="n">
        <v>3.754</v>
      </c>
      <c r="P334" s="3" t="n">
        <v>3.736</v>
      </c>
      <c r="Q334" s="3" t="n">
        <v>3.704</v>
      </c>
      <c r="R334" s="3" t="n">
        <v>3.66</v>
      </c>
      <c r="S334" s="3" t="n">
        <v>3.605</v>
      </c>
      <c r="T334" s="3" t="n">
        <v>3.531</v>
      </c>
      <c r="U334" s="3" t="n">
        <v>3.526</v>
      </c>
      <c r="V334" s="3" t="n">
        <v>3.518</v>
      </c>
      <c r="W334" s="3" t="n">
        <v>3.511</v>
      </c>
      <c r="X334" s="3" t="n">
        <v>3.504</v>
      </c>
      <c r="Y334" s="3" t="n">
        <v>3.496</v>
      </c>
      <c r="Z334" s="3" t="n">
        <v>3.491</v>
      </c>
      <c r="AA334" s="3" t="n">
        <v>3.487013</v>
      </c>
      <c r="AB334" s="3" t="n">
        <v>3.481031</v>
      </c>
      <c r="AC334" s="3" t="n">
        <v>3.473057</v>
      </c>
      <c r="AD334" s="3" t="n">
        <v>3.464085</v>
      </c>
      <c r="AE334" s="3" t="n">
        <v>3.455113</v>
      </c>
      <c r="AF334" s="3" t="n">
        <v>3.445144</v>
      </c>
      <c r="AG334" s="3" t="n">
        <v>3.436173</v>
      </c>
      <c r="AH334" s="3" t="n">
        <v>3.426204</v>
      </c>
      <c r="AI334" s="3" t="n">
        <v>3.416236</v>
      </c>
      <c r="AJ334" s="3" t="n">
        <v>3.40527</v>
      </c>
      <c r="AK334" s="3" t="n">
        <v>3.394305</v>
      </c>
      <c r="AL334" s="3" t="n">
        <v>3.384</v>
      </c>
      <c r="AM334" s="3" t="n"/>
      <c r="AN334" s="3" t="n"/>
      <c r="AO334" s="3" t="n"/>
      <c r="AP334" s="3" t="n"/>
      <c r="AQ334" s="3" t="n"/>
      <c r="AR334" s="3" t="n"/>
      <c r="AS334" s="3" t="n"/>
      <c r="AT334" s="3" t="n"/>
      <c r="AU334" s="3" t="n"/>
    </row>
    <row r="335">
      <c r="A335" s="3" t="n">
        <v>2031</v>
      </c>
      <c r="B335" s="3" t="inlineStr">
        <is>
          <t>BIH</t>
        </is>
      </c>
      <c r="C335" s="3" t="inlineStr">
        <is>
          <t>IMF.RES:WEO</t>
        </is>
      </c>
      <c r="D335" s="3" t="inlineStr">
        <is>
          <t>BIH.NGDP.A</t>
        </is>
      </c>
      <c r="E335" s="3" t="inlineStr">
        <is>
          <t>Bosnia and Herzegovina</t>
        </is>
      </c>
      <c r="F335" s="3" t="inlineStr">
        <is>
          <t>Gross domestic product (GDP), Current prices, Domestic currency</t>
        </is>
      </c>
      <c r="G335" s="3" t="n">
        <v>11.819602</v>
      </c>
      <c r="H335" s="3" t="n">
        <v>12.678173</v>
      </c>
      <c r="I335" s="3" t="n">
        <v>13.982387</v>
      </c>
      <c r="J335" s="3" t="n">
        <v>14.728006</v>
      </c>
      <c r="K335" s="3" t="n">
        <v>15.998147</v>
      </c>
      <c r="L335" s="3" t="n">
        <v>17.650337</v>
      </c>
      <c r="M335" s="3" t="n">
        <v>20.057215</v>
      </c>
      <c r="N335" s="3" t="n">
        <v>22.547858</v>
      </c>
      <c r="O335" s="3" t="n">
        <v>25.519328</v>
      </c>
      <c r="P335" s="3" t="n">
        <v>24.798519</v>
      </c>
      <c r="Q335" s="3" t="n">
        <v>25.364953</v>
      </c>
      <c r="R335" s="3" t="n">
        <v>26.231262</v>
      </c>
      <c r="S335" s="3" t="n">
        <v>26.22271</v>
      </c>
      <c r="T335" s="3" t="n">
        <v>26.778755</v>
      </c>
      <c r="U335" s="3" t="n">
        <v>27.35871</v>
      </c>
      <c r="V335" s="3" t="n">
        <v>28.928937</v>
      </c>
      <c r="W335" s="3" t="n">
        <v>30.265105</v>
      </c>
      <c r="X335" s="3" t="n">
        <v>31.802727</v>
      </c>
      <c r="Y335" s="3" t="n">
        <v>33.941777</v>
      </c>
      <c r="Z335" s="3" t="n">
        <v>35.784879</v>
      </c>
      <c r="AA335" s="3" t="n">
        <v>34.727501</v>
      </c>
      <c r="AB335" s="3" t="n">
        <v>39.145339</v>
      </c>
      <c r="AC335" s="3" t="n">
        <v>45.617938</v>
      </c>
      <c r="AD335" s="3" t="n">
        <v>49.920183</v>
      </c>
      <c r="AE335" s="3" t="n">
        <v>53.752187</v>
      </c>
      <c r="AF335" s="3" t="n">
        <v>57.084984</v>
      </c>
      <c r="AG335" s="3" t="n">
        <v>60.987427</v>
      </c>
      <c r="AH335" s="3" t="n">
        <v>64.690791</v>
      </c>
      <c r="AI335" s="3" t="n">
        <v>68.11447800000001</v>
      </c>
      <c r="AJ335" s="3" t="n">
        <v>71.781847</v>
      </c>
      <c r="AK335" s="3" t="n">
        <v>75.548174</v>
      </c>
      <c r="AL335" s="3" t="n">
        <v>79.51251000000001</v>
      </c>
      <c r="AM335" s="3" t="n"/>
      <c r="AN335" s="3" t="n"/>
      <c r="AO335" s="3" t="n"/>
      <c r="AP335" s="3" t="n"/>
      <c r="AQ335" s="3" t="n"/>
      <c r="AR335" s="3" t="n"/>
      <c r="AS335" s="3" t="n"/>
      <c r="AT335" s="3" t="n"/>
      <c r="AU335" s="3" t="n"/>
    </row>
    <row r="336">
      <c r="A336" s="3" t="n">
        <v>2031</v>
      </c>
      <c r="B336" s="3" t="inlineStr">
        <is>
          <t>BIH</t>
        </is>
      </c>
      <c r="C336" s="3" t="inlineStr">
        <is>
          <t>IMF.RES:WEO</t>
        </is>
      </c>
      <c r="D336" s="3" t="inlineStr">
        <is>
          <t>BIH.NGDP_D.A</t>
        </is>
      </c>
      <c r="E336" s="3" t="inlineStr">
        <is>
          <t>Bosnia and Herzegovina</t>
        </is>
      </c>
      <c r="F336" s="3" t="inlineStr">
        <is>
          <t>Gross domestic product (GDP), Price deflator, Index</t>
        </is>
      </c>
      <c r="G336" s="3" t="n">
        <v>57.752356</v>
      </c>
      <c r="H336" s="3" t="n">
        <v>57.604392</v>
      </c>
      <c r="I336" s="3" t="n">
        <v>60.489143</v>
      </c>
      <c r="J336" s="3" t="n">
        <v>61.342562</v>
      </c>
      <c r="K336" s="3" t="n">
        <v>62.66877</v>
      </c>
      <c r="L336" s="3" t="n">
        <v>66.547342</v>
      </c>
      <c r="M336" s="3" t="n">
        <v>71.738118</v>
      </c>
      <c r="N336" s="3" t="n">
        <v>76.18270099999999</v>
      </c>
      <c r="O336" s="3" t="n">
        <v>81.772498</v>
      </c>
      <c r="P336" s="3" t="n">
        <v>81.924153</v>
      </c>
      <c r="Q336" s="3" t="n">
        <v>83.076251</v>
      </c>
      <c r="R336" s="3" t="n">
        <v>85.097105</v>
      </c>
      <c r="S336" s="3" t="n">
        <v>85.77428500000001</v>
      </c>
      <c r="T336" s="3" t="n">
        <v>85.582048</v>
      </c>
      <c r="U336" s="3" t="n">
        <v>86.438159</v>
      </c>
      <c r="V336" s="3" t="n">
        <v>87.64439400000001</v>
      </c>
      <c r="W336" s="3" t="n">
        <v>88.812963</v>
      </c>
      <c r="X336" s="3" t="n">
        <v>90.392685</v>
      </c>
      <c r="Y336" s="3" t="n">
        <v>92.914783</v>
      </c>
      <c r="Z336" s="3" t="n">
        <v>95.212537</v>
      </c>
      <c r="AA336" s="3" t="n">
        <v>95.271711</v>
      </c>
      <c r="AB336" s="3" t="n">
        <v>100</v>
      </c>
      <c r="AC336" s="3" t="n">
        <v>111.808838</v>
      </c>
      <c r="AD336" s="3" t="n">
        <v>119.961076</v>
      </c>
      <c r="AE336" s="3" t="n">
        <v>125.131847</v>
      </c>
      <c r="AF336" s="3" t="n">
        <v>130.284703</v>
      </c>
      <c r="AG336" s="3" t="n">
        <v>136.194936</v>
      </c>
      <c r="AH336" s="3" t="n">
        <v>140.667143</v>
      </c>
      <c r="AI336" s="3" t="n">
        <v>143.797857</v>
      </c>
      <c r="AJ336" s="3" t="n">
        <v>147.126325</v>
      </c>
      <c r="AK336" s="3" t="n">
        <v>150.335832</v>
      </c>
      <c r="AL336" s="3" t="n">
        <v>153.616112</v>
      </c>
      <c r="AM336" s="3" t="n"/>
      <c r="AN336" s="3" t="n"/>
      <c r="AO336" s="3" t="n"/>
      <c r="AP336" s="3" t="n"/>
      <c r="AQ336" s="3" t="n"/>
      <c r="AR336" s="3" t="n"/>
      <c r="AS336" s="3" t="n"/>
      <c r="AT336" s="3" t="n"/>
      <c r="AU336" s="3" t="n"/>
    </row>
    <row r="337">
      <c r="A337" s="3" t="n">
        <v>2031</v>
      </c>
      <c r="B337" s="3" t="inlineStr">
        <is>
          <t>BIH</t>
        </is>
      </c>
      <c r="C337" s="3" t="inlineStr">
        <is>
          <t>IMF.RES:WEO</t>
        </is>
      </c>
      <c r="D337" s="3" t="inlineStr">
        <is>
          <t>BIH.NGDP_R.A</t>
        </is>
      </c>
      <c r="E337" s="3" t="inlineStr">
        <is>
          <t>Bosnia and Herzegovina</t>
        </is>
      </c>
      <c r="F337" s="3" t="inlineStr">
        <is>
          <t>Gross domestic product (GDP), Constant prices, Domestic currency</t>
        </is>
      </c>
      <c r="G337" s="3" t="n">
        <v>20.466009</v>
      </c>
      <c r="H337" s="3" t="n">
        <v>22.009039</v>
      </c>
      <c r="I337" s="3" t="n">
        <v>23.115531</v>
      </c>
      <c r="J337" s="3" t="n">
        <v>24.009441</v>
      </c>
      <c r="K337" s="3" t="n">
        <v>25.528102</v>
      </c>
      <c r="L337" s="3" t="n">
        <v>26.522978</v>
      </c>
      <c r="M337" s="3" t="n">
        <v>27.958937</v>
      </c>
      <c r="N337" s="3" t="n">
        <v>29.597084</v>
      </c>
      <c r="O337" s="3" t="n">
        <v>31.207715</v>
      </c>
      <c r="P337" s="3" t="n">
        <v>30.270096</v>
      </c>
      <c r="Q337" s="3" t="n">
        <v>30.532135</v>
      </c>
      <c r="R337" s="3" t="n">
        <v>30.825094</v>
      </c>
      <c r="S337" s="3" t="n">
        <v>30.571761</v>
      </c>
      <c r="T337" s="3" t="n">
        <v>31.290154</v>
      </c>
      <c r="U337" s="3" t="n">
        <v>31.651195</v>
      </c>
      <c r="V337" s="3" t="n">
        <v>33.007174</v>
      </c>
      <c r="W337" s="3" t="n">
        <v>34.077351</v>
      </c>
      <c r="X337" s="3" t="n">
        <v>35.182854</v>
      </c>
      <c r="Y337" s="3" t="n">
        <v>36.530007</v>
      </c>
      <c r="Z337" s="3" t="n">
        <v>37.584209</v>
      </c>
      <c r="AA337" s="3" t="n">
        <v>36.45101</v>
      </c>
      <c r="AB337" s="3" t="n">
        <v>39.145339</v>
      </c>
      <c r="AC337" s="3" t="n">
        <v>40.799939</v>
      </c>
      <c r="AD337" s="3" t="n">
        <v>41.613651</v>
      </c>
      <c r="AE337" s="3" t="n">
        <v>42.95644</v>
      </c>
      <c r="AF337" s="3" t="n">
        <v>43.815569</v>
      </c>
      <c r="AG337" s="3" t="n">
        <v>44.779512</v>
      </c>
      <c r="AH337" s="3" t="n">
        <v>45.988558</v>
      </c>
      <c r="AI337" s="3" t="n">
        <v>47.368215</v>
      </c>
      <c r="AJ337" s="3" t="n">
        <v>48.789262</v>
      </c>
      <c r="AK337" s="3" t="n">
        <v>50.252939</v>
      </c>
      <c r="AL337" s="3" t="n">
        <v>51.760528</v>
      </c>
      <c r="AM337" s="3" t="n"/>
      <c r="AN337" s="3" t="n"/>
      <c r="AO337" s="3" t="n"/>
      <c r="AP337" s="3" t="n"/>
      <c r="AQ337" s="3" t="n"/>
      <c r="AR337" s="3" t="n"/>
      <c r="AS337" s="3" t="n"/>
      <c r="AT337" s="3" t="n"/>
      <c r="AU337" s="3" t="n"/>
    </row>
    <row r="338">
      <c r="A338" s="3" t="n">
        <v>2031</v>
      </c>
      <c r="B338" s="3" t="inlineStr">
        <is>
          <t>BIH</t>
        </is>
      </c>
      <c r="C338" s="3" t="inlineStr">
        <is>
          <t>IMF.RES:WEO</t>
        </is>
      </c>
      <c r="D338" s="3" t="inlineStr">
        <is>
          <t>BIH.NGDP_RPCH.A</t>
        </is>
      </c>
      <c r="E338" s="3" t="inlineStr">
        <is>
          <t>Bosnia and Herzegovina</t>
        </is>
      </c>
      <c r="F338" s="3" t="inlineStr">
        <is>
          <t>Gross domestic product (GDP), Constant prices, Percent change</t>
        </is>
      </c>
      <c r="G338" s="3" t="n">
        <v>4.441683</v>
      </c>
      <c r="H338" s="3" t="n">
        <v>7.539481</v>
      </c>
      <c r="I338" s="3" t="n">
        <v>5.027443</v>
      </c>
      <c r="J338" s="3" t="n">
        <v>3.867137</v>
      </c>
      <c r="K338" s="3" t="n">
        <v>6.325268</v>
      </c>
      <c r="L338" s="3" t="n">
        <v>3.89718</v>
      </c>
      <c r="M338" s="3" t="n">
        <v>5.414018</v>
      </c>
      <c r="N338" s="3" t="n">
        <v>5.859118</v>
      </c>
      <c r="O338" s="3" t="n">
        <v>5.441859</v>
      </c>
      <c r="P338" s="3" t="n">
        <v>-3.004449</v>
      </c>
      <c r="Q338" s="3" t="n">
        <v>0.865672</v>
      </c>
      <c r="R338" s="3" t="n">
        <v>0.959508</v>
      </c>
      <c r="S338" s="3" t="n">
        <v>-0.821838</v>
      </c>
      <c r="T338" s="3" t="n">
        <v>2.349858</v>
      </c>
      <c r="U338" s="3" t="n">
        <v>1.153848</v>
      </c>
      <c r="V338" s="3" t="n">
        <v>4.28413</v>
      </c>
      <c r="W338" s="3" t="n">
        <v>3.242258</v>
      </c>
      <c r="X338" s="3" t="n">
        <v>3.244099</v>
      </c>
      <c r="Y338" s="3" t="n">
        <v>3.829004</v>
      </c>
      <c r="Z338" s="3" t="n">
        <v>2.885852</v>
      </c>
      <c r="AA338" s="3" t="n">
        <v>-3.015093</v>
      </c>
      <c r="AB338" s="3" t="n">
        <v>7.391643</v>
      </c>
      <c r="AC338" s="3" t="n">
        <v>4.226813</v>
      </c>
      <c r="AD338" s="3" t="n">
        <v>1.994394</v>
      </c>
      <c r="AE338" s="3" t="n">
        <v>3.2268</v>
      </c>
      <c r="AF338" s="3" t="n">
        <v>2</v>
      </c>
      <c r="AG338" s="3" t="n">
        <v>2.2</v>
      </c>
      <c r="AH338" s="3" t="n">
        <v>2.7</v>
      </c>
      <c r="AI338" s="3" t="n">
        <v>3</v>
      </c>
      <c r="AJ338" s="3" t="n">
        <v>3</v>
      </c>
      <c r="AK338" s="3" t="n">
        <v>3</v>
      </c>
      <c r="AL338" s="3" t="n">
        <v>3</v>
      </c>
      <c r="AM338" s="3" t="n"/>
      <c r="AN338" s="3" t="n"/>
      <c r="AO338" s="3" t="n"/>
      <c r="AP338" s="3" t="n"/>
      <c r="AQ338" s="3" t="n"/>
      <c r="AR338" s="3" t="n"/>
      <c r="AS338" s="3" t="n"/>
      <c r="AT338" s="3" t="n"/>
      <c r="AU338" s="3" t="n"/>
    </row>
    <row r="339">
      <c r="A339" s="3" t="n">
        <v>2031</v>
      </c>
      <c r="B339" s="3" t="inlineStr">
        <is>
          <t>BIH</t>
        </is>
      </c>
      <c r="C339" s="3" t="inlineStr">
        <is>
          <t>IMF.RES:WEO</t>
        </is>
      </c>
      <c r="D339" s="3" t="inlineStr">
        <is>
          <t>BIH.NGDPD.A</t>
        </is>
      </c>
      <c r="E339" s="3" t="inlineStr">
        <is>
          <t>Bosnia and Herzegovina</t>
        </is>
      </c>
      <c r="F339" s="3" t="inlineStr">
        <is>
          <t>Gross domestic product (GDP), Current prices, US dollar</t>
        </is>
      </c>
      <c r="G339" s="3" t="n">
        <v>5.567774</v>
      </c>
      <c r="H339" s="3" t="n">
        <v>5.800617</v>
      </c>
      <c r="I339" s="3" t="n">
        <v>6.72822</v>
      </c>
      <c r="J339" s="3" t="n">
        <v>8.498893000000001</v>
      </c>
      <c r="K339" s="3" t="n">
        <v>10.17012</v>
      </c>
      <c r="L339" s="3" t="n">
        <v>11.233425</v>
      </c>
      <c r="M339" s="3" t="n">
        <v>12.876915</v>
      </c>
      <c r="N339" s="3" t="n">
        <v>15.801411</v>
      </c>
      <c r="O339" s="3" t="n">
        <v>19.187988</v>
      </c>
      <c r="P339" s="3" t="n">
        <v>17.665572</v>
      </c>
      <c r="Q339" s="3" t="n">
        <v>17.207059</v>
      </c>
      <c r="R339" s="3" t="n">
        <v>18.665315</v>
      </c>
      <c r="S339" s="3" t="n">
        <v>17.236596</v>
      </c>
      <c r="T339" s="3" t="n">
        <v>18.184472</v>
      </c>
      <c r="U339" s="3" t="n">
        <v>18.588171</v>
      </c>
      <c r="V339" s="3" t="n">
        <v>16.412551</v>
      </c>
      <c r="W339" s="3" t="n">
        <v>17.123764</v>
      </c>
      <c r="X339" s="3" t="n">
        <v>18.362604</v>
      </c>
      <c r="Y339" s="3" t="n">
        <v>20.503686</v>
      </c>
      <c r="Z339" s="3" t="n">
        <v>20.484671</v>
      </c>
      <c r="AA339" s="3" t="n">
        <v>20.2644</v>
      </c>
      <c r="AB339" s="3" t="n">
        <v>23.687835</v>
      </c>
      <c r="AC339" s="3" t="n">
        <v>24.580624</v>
      </c>
      <c r="AD339" s="3" t="n">
        <v>27.605926</v>
      </c>
      <c r="AE339" s="3" t="n">
        <v>29.738058</v>
      </c>
      <c r="AF339" s="3" t="n">
        <v>32.962098</v>
      </c>
      <c r="AG339" s="3" t="n">
        <v>36.770711</v>
      </c>
      <c r="AH339" s="3" t="n">
        <v>38.913769</v>
      </c>
      <c r="AI339" s="3" t="n">
        <v>40.862466</v>
      </c>
      <c r="AJ339" s="3" t="n">
        <v>43.039727</v>
      </c>
      <c r="AK339" s="3" t="n">
        <v>45.290894</v>
      </c>
      <c r="AL339" s="3" t="n">
        <v>47.65965</v>
      </c>
      <c r="AM339" s="3" t="n"/>
      <c r="AN339" s="3" t="n"/>
      <c r="AO339" s="3" t="n"/>
      <c r="AP339" s="3" t="n"/>
      <c r="AQ339" s="3" t="n"/>
      <c r="AR339" s="3" t="n"/>
      <c r="AS339" s="3" t="n"/>
      <c r="AT339" s="3" t="n"/>
      <c r="AU339" s="3" t="n"/>
    </row>
    <row r="340">
      <c r="A340" s="3" t="n">
        <v>2031</v>
      </c>
      <c r="B340" s="3" t="inlineStr">
        <is>
          <t>BIH</t>
        </is>
      </c>
      <c r="C340" s="3" t="inlineStr">
        <is>
          <t>IMF.RES:WEO</t>
        </is>
      </c>
      <c r="D340" s="3" t="inlineStr">
        <is>
          <t>BIH.NGDPPC.A</t>
        </is>
      </c>
      <c r="E340" s="3" t="inlineStr">
        <is>
          <t>Bosnia and Herzegovina</t>
        </is>
      </c>
      <c r="F340" s="3" t="inlineStr">
        <is>
          <t>Gross domestic product (GDP), Current prices, Per capita, Domestic currency</t>
        </is>
      </c>
      <c r="G340" s="3" t="n">
        <v>3151.053609</v>
      </c>
      <c r="H340" s="3" t="n">
        <v>3376.3444</v>
      </c>
      <c r="I340" s="3" t="n">
        <v>3719.709175</v>
      </c>
      <c r="J340" s="3" t="n">
        <v>3917.022884</v>
      </c>
      <c r="K340" s="3" t="n">
        <v>4251.434361</v>
      </c>
      <c r="L340" s="3" t="n">
        <v>4686.759665</v>
      </c>
      <c r="M340" s="3" t="n">
        <v>5323.040097</v>
      </c>
      <c r="N340" s="3" t="n">
        <v>5993.582677</v>
      </c>
      <c r="O340" s="3" t="n">
        <v>6797.903139</v>
      </c>
      <c r="P340" s="3" t="n">
        <v>6637.71935</v>
      </c>
      <c r="Q340" s="3" t="n">
        <v>6847.989542</v>
      </c>
      <c r="R340" s="3" t="n">
        <v>7167.011552</v>
      </c>
      <c r="S340" s="3" t="n">
        <v>7273.983276</v>
      </c>
      <c r="T340" s="3" t="n">
        <v>7583.901164</v>
      </c>
      <c r="U340" s="3" t="n">
        <v>7759.135137</v>
      </c>
      <c r="V340" s="3" t="n">
        <v>8223.120278</v>
      </c>
      <c r="W340" s="3" t="n">
        <v>8620.081283</v>
      </c>
      <c r="X340" s="3" t="n">
        <v>9076.120618000001</v>
      </c>
      <c r="Y340" s="3" t="n">
        <v>9708.746265</v>
      </c>
      <c r="Z340" s="3" t="n">
        <v>10250.60996</v>
      </c>
      <c r="AA340" s="3" t="n">
        <v>9959.098356</v>
      </c>
      <c r="AB340" s="3" t="n">
        <v>11245.327654</v>
      </c>
      <c r="AC340" s="3" t="n">
        <v>13134.810064</v>
      </c>
      <c r="AD340" s="3" t="n">
        <v>14410.785526</v>
      </c>
      <c r="AE340" s="3" t="n">
        <v>15557.287384</v>
      </c>
      <c r="AF340" s="3" t="n">
        <v>16569.692284</v>
      </c>
      <c r="AG340" s="3" t="n">
        <v>17748.649818</v>
      </c>
      <c r="AH340" s="3" t="n">
        <v>18881.183921</v>
      </c>
      <c r="AI340" s="3" t="n">
        <v>19938.460483</v>
      </c>
      <c r="AJ340" s="3" t="n">
        <v>21079.633771</v>
      </c>
      <c r="AK340" s="3" t="n">
        <v>22257.334393</v>
      </c>
      <c r="AL340" s="3" t="n">
        <v>23496.604641</v>
      </c>
      <c r="AM340" s="3" t="n"/>
      <c r="AN340" s="3" t="n"/>
      <c r="AO340" s="3" t="n"/>
      <c r="AP340" s="3" t="n"/>
      <c r="AQ340" s="3" t="n"/>
      <c r="AR340" s="3" t="n"/>
      <c r="AS340" s="3" t="n"/>
      <c r="AT340" s="3" t="n"/>
      <c r="AU340" s="3" t="n"/>
    </row>
    <row r="341">
      <c r="A341" s="3" t="n">
        <v>2031</v>
      </c>
      <c r="B341" s="3" t="inlineStr">
        <is>
          <t>BIH</t>
        </is>
      </c>
      <c r="C341" s="3" t="inlineStr">
        <is>
          <t>IMF.RES:WEO</t>
        </is>
      </c>
      <c r="D341" s="3" t="inlineStr">
        <is>
          <t>BIH.NGDPRPC.A</t>
        </is>
      </c>
      <c r="E341" s="3" t="inlineStr">
        <is>
          <t>Bosnia and Herzegovina</t>
        </is>
      </c>
      <c r="F341" s="3" t="inlineStr">
        <is>
          <t>Gross domestic product (GDP), Constant prices, Per capita, Domestic currency</t>
        </is>
      </c>
      <c r="G341" s="3" t="n">
        <v>5456.147317</v>
      </c>
      <c r="H341" s="3" t="n">
        <v>5861.262147</v>
      </c>
      <c r="I341" s="3" t="n">
        <v>6149.383146</v>
      </c>
      <c r="J341" s="3" t="n">
        <v>6385.48951</v>
      </c>
      <c r="K341" s="3" t="n">
        <v>6783.976062</v>
      </c>
      <c r="L341" s="3" t="n">
        <v>7042.74508</v>
      </c>
      <c r="M341" s="3" t="n">
        <v>7420.099996</v>
      </c>
      <c r="N341" s="3" t="n">
        <v>7867.380086</v>
      </c>
      <c r="O341" s="3" t="n">
        <v>8313.190063</v>
      </c>
      <c r="P341" s="3" t="n">
        <v>8102.273998</v>
      </c>
      <c r="Q341" s="3" t="n">
        <v>8243.017104</v>
      </c>
      <c r="R341" s="3" t="n">
        <v>8422.156749</v>
      </c>
      <c r="S341" s="3" t="n">
        <v>8480.377619999999</v>
      </c>
      <c r="T341" s="3" t="n">
        <v>8861.556059</v>
      </c>
      <c r="U341" s="3" t="n">
        <v>8976.515934999999</v>
      </c>
      <c r="V341" s="3" t="n">
        <v>9382.368850000001</v>
      </c>
      <c r="W341" s="3" t="n">
        <v>9705.881923000001</v>
      </c>
      <c r="X341" s="3" t="n">
        <v>10040.768954</v>
      </c>
      <c r="Y341" s="3" t="n">
        <v>10449.086769</v>
      </c>
      <c r="Z341" s="3" t="n">
        <v>10766.029617</v>
      </c>
      <c r="AA341" s="3" t="n">
        <v>10453.363641</v>
      </c>
      <c r="AB341" s="3" t="n">
        <v>11245.327654</v>
      </c>
      <c r="AC341" s="3" t="n">
        <v>11747.559736</v>
      </c>
      <c r="AD341" s="3" t="n">
        <v>12012.88454</v>
      </c>
      <c r="AE341" s="3" t="n">
        <v>12432.716154</v>
      </c>
      <c r="AF341" s="3" t="n">
        <v>12718.064257</v>
      </c>
      <c r="AG341" s="3" t="n">
        <v>13031.798647</v>
      </c>
      <c r="AH341" s="3" t="n">
        <v>13422.59715</v>
      </c>
      <c r="AI341" s="3" t="n">
        <v>13865.617273</v>
      </c>
      <c r="AJ341" s="3" t="n">
        <v>14327.574505</v>
      </c>
      <c r="AK341" s="3" t="n">
        <v>14805.076165</v>
      </c>
      <c r="AL341" s="3" t="n">
        <v>15295.664167</v>
      </c>
      <c r="AM341" s="3" t="n"/>
      <c r="AN341" s="3" t="n"/>
      <c r="AO341" s="3" t="n"/>
      <c r="AP341" s="3" t="n"/>
      <c r="AQ341" s="3" t="n"/>
      <c r="AR341" s="3" t="n"/>
      <c r="AS341" s="3" t="n"/>
      <c r="AT341" s="3" t="n"/>
      <c r="AU341" s="3" t="n"/>
    </row>
    <row r="342">
      <c r="A342" s="3" t="n">
        <v>2031</v>
      </c>
      <c r="B342" s="3" t="inlineStr">
        <is>
          <t>BIH</t>
        </is>
      </c>
      <c r="C342" s="3" t="inlineStr">
        <is>
          <t>IMF.RES:WEO</t>
        </is>
      </c>
      <c r="D342" s="3" t="inlineStr">
        <is>
          <t>BIH.PCPI.A</t>
        </is>
      </c>
      <c r="E342" s="3" t="inlineStr">
        <is>
          <t>Bosnia and Herzegovina</t>
        </is>
      </c>
      <c r="F342" s="3" t="inlineStr">
        <is>
          <t>All Items, Consumer price index (CPI), Period average</t>
        </is>
      </c>
      <c r="G342" s="3" t="n">
        <v>75.533677</v>
      </c>
      <c r="H342" s="3" t="n">
        <v>77.959542</v>
      </c>
      <c r="I342" s="3" t="n">
        <v>78.203943</v>
      </c>
      <c r="J342" s="3" t="n">
        <v>78.631817</v>
      </c>
      <c r="K342" s="3" t="n">
        <v>78.853432</v>
      </c>
      <c r="L342" s="3" t="n">
        <v>81.67795099999999</v>
      </c>
      <c r="M342" s="3" t="n">
        <v>86.680994</v>
      </c>
      <c r="N342" s="3" t="n">
        <v>87.98219899999999</v>
      </c>
      <c r="O342" s="3" t="n">
        <v>94.516366</v>
      </c>
      <c r="P342" s="3" t="n">
        <v>94.15585799999999</v>
      </c>
      <c r="Q342" s="3" t="n">
        <v>96.15526300000001</v>
      </c>
      <c r="R342" s="3" t="n">
        <v>99.991095</v>
      </c>
      <c r="S342" s="3" t="n">
        <v>102.043606</v>
      </c>
      <c r="T342" s="3" t="n">
        <v>101.94856</v>
      </c>
      <c r="U342" s="3" t="n">
        <v>101.033966</v>
      </c>
      <c r="V342" s="3" t="n">
        <v>100</v>
      </c>
      <c r="W342" s="3" t="n">
        <v>98.41589999999999</v>
      </c>
      <c r="X342" s="3" t="n">
        <v>99.2132</v>
      </c>
      <c r="Y342" s="3" t="n">
        <v>100.619158</v>
      </c>
      <c r="Z342" s="3" t="n">
        <v>101.181558</v>
      </c>
      <c r="AA342" s="3" t="n">
        <v>100.121667</v>
      </c>
      <c r="AB342" s="3" t="n">
        <v>102.105717</v>
      </c>
      <c r="AC342" s="3" t="n">
        <v>116.4218</v>
      </c>
      <c r="AD342" s="3" t="n">
        <v>123.5304</v>
      </c>
      <c r="AE342" s="3" t="n">
        <v>125.620692</v>
      </c>
      <c r="AF342" s="3" t="n">
        <v>130.619875</v>
      </c>
      <c r="AG342" s="3" t="n">
        <v>136.550953</v>
      </c>
      <c r="AH342" s="3" t="n">
        <v>140.486728</v>
      </c>
      <c r="AI342" s="3" t="n">
        <v>143.354279</v>
      </c>
      <c r="AJ342" s="3" t="n">
        <v>146.288074</v>
      </c>
      <c r="AK342" s="3" t="n">
        <v>149.246357</v>
      </c>
      <c r="AL342" s="3" t="n">
        <v>152.207176</v>
      </c>
      <c r="AM342" s="3" t="n"/>
      <c r="AN342" s="3" t="n"/>
      <c r="AO342" s="3" t="n"/>
      <c r="AP342" s="3" t="n"/>
      <c r="AQ342" s="3" t="n"/>
      <c r="AR342" s="3" t="n"/>
      <c r="AS342" s="3" t="n"/>
      <c r="AT342" s="3" t="n"/>
      <c r="AU342" s="3" t="n"/>
    </row>
    <row r="343">
      <c r="A343" s="3" t="n">
        <v>2031</v>
      </c>
      <c r="B343" s="3" t="inlineStr">
        <is>
          <t>BIH</t>
        </is>
      </c>
      <c r="C343" s="3" t="inlineStr">
        <is>
          <t>IMF.RES:WEO</t>
        </is>
      </c>
      <c r="D343" s="3" t="inlineStr">
        <is>
          <t>BIH.PCPIPCH.A</t>
        </is>
      </c>
      <c r="E343" s="3" t="inlineStr">
        <is>
          <t>Bosnia and Herzegovina</t>
        </is>
      </c>
      <c r="F343" s="3" t="inlineStr">
        <is>
          <t>All Items, Consumer price index (CPI), Period average, percent change</t>
        </is>
      </c>
      <c r="G343" s="3" t="n">
        <v>4.972661</v>
      </c>
      <c r="H343" s="3" t="n">
        <v>3.211634</v>
      </c>
      <c r="I343" s="3" t="n">
        <v>0.313497</v>
      </c>
      <c r="J343" s="3" t="n">
        <v>0.547126</v>
      </c>
      <c r="K343" s="3" t="n">
        <v>0.281838</v>
      </c>
      <c r="L343" s="3" t="n">
        <v>3.581986</v>
      </c>
      <c r="M343" s="3" t="n">
        <v>6.125329</v>
      </c>
      <c r="N343" s="3" t="n">
        <v>1.501142</v>
      </c>
      <c r="O343" s="3" t="n">
        <v>7.426692</v>
      </c>
      <c r="P343" s="3" t="n">
        <v>-0.381424</v>
      </c>
      <c r="Q343" s="3" t="n">
        <v>2.123506</v>
      </c>
      <c r="R343" s="3" t="n">
        <v>3.989207</v>
      </c>
      <c r="S343" s="3" t="n">
        <v>2.052694</v>
      </c>
      <c r="T343" s="3" t="n">
        <v>-0.093142</v>
      </c>
      <c r="U343" s="3" t="n">
        <v>-0.897113</v>
      </c>
      <c r="V343" s="3" t="n">
        <v>-1.023385</v>
      </c>
      <c r="W343" s="3" t="n">
        <v>-1.5841</v>
      </c>
      <c r="X343" s="3" t="n">
        <v>0.810133</v>
      </c>
      <c r="Y343" s="3" t="n">
        <v>1.417108</v>
      </c>
      <c r="Z343" s="3" t="n">
        <v>0.558939</v>
      </c>
      <c r="AA343" s="3" t="n">
        <v>-1.047515</v>
      </c>
      <c r="AB343" s="3" t="n">
        <v>1.981639</v>
      </c>
      <c r="AC343" s="3" t="n">
        <v>14.020844</v>
      </c>
      <c r="AD343" s="3" t="n">
        <v>6.105901</v>
      </c>
      <c r="AE343" s="3" t="n">
        <v>1.692127</v>
      </c>
      <c r="AF343" s="3" t="n">
        <v>3.979586</v>
      </c>
      <c r="AG343" s="3" t="n">
        <v>4.540717</v>
      </c>
      <c r="AH343" s="3" t="n">
        <v>2.882276</v>
      </c>
      <c r="AI343" s="3" t="n">
        <v>2.041154</v>
      </c>
      <c r="AJ343" s="3" t="n">
        <v>2.046535</v>
      </c>
      <c r="AK343" s="3" t="n">
        <v>2.022231</v>
      </c>
      <c r="AL343" s="3" t="n">
        <v>1.983847</v>
      </c>
      <c r="AM343" s="3" t="n"/>
      <c r="AN343" s="3" t="n"/>
      <c r="AO343" s="3" t="n"/>
      <c r="AP343" s="3" t="n"/>
      <c r="AQ343" s="3" t="n"/>
      <c r="AR343" s="3" t="n"/>
      <c r="AS343" s="3" t="n"/>
      <c r="AT343" s="3" t="n"/>
      <c r="AU343" s="3" t="n"/>
    </row>
    <row r="344">
      <c r="A344" s="3" t="n">
        <v>2031</v>
      </c>
      <c r="B344" s="3" t="inlineStr">
        <is>
          <t>BIH</t>
        </is>
      </c>
      <c r="C344" s="3" t="inlineStr">
        <is>
          <t>IMF.RES:WEO</t>
        </is>
      </c>
      <c r="D344" s="3" t="inlineStr">
        <is>
          <t>BIH.PPPPC.A</t>
        </is>
      </c>
      <c r="E344" s="3" t="inlineStr">
        <is>
          <t>Bosnia and Herzegovina</t>
        </is>
      </c>
      <c r="F344" s="3" t="inlineStr">
        <is>
          <t>Gross domestic product (GDP), Per capita, purchasing power parity (PPP) international dollar, ICP benchmarks 2017-2021</t>
        </is>
      </c>
      <c r="G344" s="3" t="n">
        <v>5269.315413</v>
      </c>
      <c r="H344" s="3" t="n">
        <v>5788.012395</v>
      </c>
      <c r="I344" s="3" t="n">
        <v>6166.901998</v>
      </c>
      <c r="J344" s="3" t="n">
        <v>6530.103476</v>
      </c>
      <c r="K344" s="3" t="n">
        <v>7124.15888</v>
      </c>
      <c r="L344" s="3" t="n">
        <v>7627.826181</v>
      </c>
      <c r="M344" s="3" t="n">
        <v>8284.367248</v>
      </c>
      <c r="N344" s="3" t="n">
        <v>9021.720331</v>
      </c>
      <c r="O344" s="3" t="n">
        <v>9716.585376999999</v>
      </c>
      <c r="P344" s="3" t="n">
        <v>9528.469263999999</v>
      </c>
      <c r="Q344" s="3" t="n">
        <v>9811.804794</v>
      </c>
      <c r="R344" s="3" t="n">
        <v>10231.879218</v>
      </c>
      <c r="S344" s="3" t="n">
        <v>10494.437991</v>
      </c>
      <c r="T344" s="3" t="n">
        <v>11152.789318</v>
      </c>
      <c r="U344" s="3" t="n">
        <v>11494.242849</v>
      </c>
      <c r="V344" s="3" t="n">
        <v>12125.424762</v>
      </c>
      <c r="W344" s="3" t="n">
        <v>12662.712527</v>
      </c>
      <c r="X344" s="3" t="n">
        <v>13334.220347</v>
      </c>
      <c r="Y344" s="3" t="n">
        <v>14395.324687</v>
      </c>
      <c r="Z344" s="3" t="n">
        <v>15744.163816</v>
      </c>
      <c r="AA344" s="3" t="n">
        <v>15488.969719</v>
      </c>
      <c r="AB344" s="3" t="n">
        <v>17287.092196</v>
      </c>
      <c r="AC344" s="3" t="n">
        <v>19343.600028</v>
      </c>
      <c r="AD344" s="3" t="n">
        <v>20512.369951</v>
      </c>
      <c r="AE344" s="3" t="n">
        <v>21756.270876</v>
      </c>
      <c r="AF344" s="3" t="n">
        <v>22886.947137</v>
      </c>
      <c r="AG344" s="3" t="n">
        <v>24123.383069</v>
      </c>
      <c r="AH344" s="3" t="n">
        <v>25392.408109</v>
      </c>
      <c r="AI344" s="3" t="n">
        <v>26661.04327</v>
      </c>
      <c r="AJ344" s="3" t="n">
        <v>28039.158945</v>
      </c>
      <c r="AK344" s="3" t="n">
        <v>29506.031163</v>
      </c>
      <c r="AL344" s="3" t="n">
        <v>31034.080769</v>
      </c>
      <c r="AM344" s="3" t="n"/>
      <c r="AN344" s="3" t="n"/>
      <c r="AO344" s="3" t="n"/>
      <c r="AP344" s="3" t="n"/>
      <c r="AQ344" s="3" t="n"/>
      <c r="AR344" s="3" t="n"/>
      <c r="AS344" s="3" t="n"/>
      <c r="AT344" s="3" t="n"/>
      <c r="AU344" s="3" t="n"/>
    </row>
    <row r="345">
      <c r="A345" s="3" t="n">
        <v>2025</v>
      </c>
      <c r="B345" s="3" t="inlineStr">
        <is>
          <t>BIH</t>
        </is>
      </c>
      <c r="C345" s="3" t="inlineStr">
        <is>
          <t>IMF.STA:ER</t>
        </is>
      </c>
      <c r="D345" s="3" t="inlineStr">
        <is>
          <t>BIH.XDC_USD.PA_RT.A</t>
        </is>
      </c>
      <c r="E345" s="3" t="inlineStr">
        <is>
          <t>Bosnia and Herzegovina</t>
        </is>
      </c>
      <c r="F345" s="3" t="inlineStr">
        <is>
          <t>Domestic currency per US Dollar</t>
        </is>
      </c>
      <c r="G345" s="3" t="n">
        <v>2.12285951185833</v>
      </c>
      <c r="H345" s="3" t="n">
        <v>2.1856595833</v>
      </c>
      <c r="I345" s="3" t="n">
        <v>2.07817042621666</v>
      </c>
      <c r="J345" s="3" t="n">
        <v>1.73293220419166</v>
      </c>
      <c r="K345" s="3" t="n">
        <v>1.57515702795</v>
      </c>
      <c r="L345" s="3" t="n">
        <v>1.5727220196</v>
      </c>
      <c r="M345" s="3" t="n">
        <v>1.55907195605833</v>
      </c>
      <c r="N345" s="3" t="n">
        <v>1.429002741625</v>
      </c>
      <c r="O345" s="3" t="n">
        <v>1.33519568048428</v>
      </c>
      <c r="P345" s="3" t="n">
        <v>1.40789123836949</v>
      </c>
      <c r="Q345" s="3" t="n">
        <v>1.47673956845027</v>
      </c>
      <c r="R345" s="3" t="n">
        <v>1.40693658566639</v>
      </c>
      <c r="S345" s="3" t="n">
        <v>1.52220997445129</v>
      </c>
      <c r="T345" s="3" t="n">
        <v>1.47305132263234</v>
      </c>
      <c r="U345" s="3" t="n">
        <v>1.47416918679399</v>
      </c>
      <c r="V345" s="3" t="n">
        <v>1.76349164694686</v>
      </c>
      <c r="W345" s="3" t="n">
        <v>1.76813902429915</v>
      </c>
      <c r="X345" s="3" t="n">
        <v>1.7353527132769</v>
      </c>
      <c r="Y345" s="3" t="n">
        <v>1.65698544113543</v>
      </c>
      <c r="Z345" s="3" t="n">
        <v>1.74708646136072</v>
      </c>
      <c r="AA345" s="3" t="n">
        <v>1.71697049519218</v>
      </c>
      <c r="AB345" s="3" t="n">
        <v>1.65360615435867</v>
      </c>
      <c r="AC345" s="3" t="n">
        <v>1.85932587706093</v>
      </c>
      <c r="AD345" s="3" t="n">
        <v>1.80920280030081</v>
      </c>
      <c r="AE345" s="3" t="n">
        <v>1.80756356165183</v>
      </c>
      <c r="AF345" s="3" t="n">
        <v>1.73592901689708</v>
      </c>
      <c r="AG345" s="3" t="n"/>
      <c r="AH345" s="3" t="n"/>
      <c r="AI345" s="3" t="n"/>
      <c r="AJ345" s="3" t="n"/>
      <c r="AK345" s="3" t="n"/>
      <c r="AL345" s="3" t="n"/>
      <c r="AM345" s="3" t="n"/>
      <c r="AN345" s="3" t="n"/>
      <c r="AO345" s="3" t="n"/>
      <c r="AP345" s="3" t="n"/>
      <c r="AQ345" s="3" t="n"/>
      <c r="AR345" s="3" t="n"/>
      <c r="AS345" s="3" t="n"/>
      <c r="AT345" s="3" t="n"/>
      <c r="AU345" s="3" t="n"/>
    </row>
    <row r="346">
      <c r="A346" s="3" t="n">
        <v>2031</v>
      </c>
      <c r="B346" s="3" t="inlineStr">
        <is>
          <t>BLR</t>
        </is>
      </c>
      <c r="C346" s="3" t="inlineStr">
        <is>
          <t>IMF.RES:WEO</t>
        </is>
      </c>
      <c r="D346" s="3" t="inlineStr">
        <is>
          <t>BLR.BCA.A</t>
        </is>
      </c>
      <c r="E346" s="3" t="inlineStr">
        <is>
          <t>Belarus, Republic of</t>
        </is>
      </c>
      <c r="F346" s="3" t="inlineStr">
        <is>
          <t>Current account balance (credit less debit), US dollar</t>
        </is>
      </c>
      <c r="G346" s="3" t="n">
        <v>-0.4591</v>
      </c>
      <c r="H346" s="3" t="n">
        <v>-0.5288</v>
      </c>
      <c r="I346" s="3" t="n">
        <v>-0.3257</v>
      </c>
      <c r="J346" s="3" t="n">
        <v>-0.4561</v>
      </c>
      <c r="K346" s="3" t="n">
        <v>-1.1919</v>
      </c>
      <c r="L346" s="3" t="n">
        <v>0.4586</v>
      </c>
      <c r="M346" s="3" t="n">
        <v>-1.3879</v>
      </c>
      <c r="N346" s="3" t="n">
        <v>-3.0125</v>
      </c>
      <c r="O346" s="3" t="n">
        <v>-4.9586</v>
      </c>
      <c r="P346" s="3" t="n">
        <v>-6.1326</v>
      </c>
      <c r="Q346" s="3" t="n">
        <v>-8.280200000000001</v>
      </c>
      <c r="R346" s="3" t="n">
        <v>-5.0525</v>
      </c>
      <c r="S346" s="3" t="n">
        <v>-1.8622</v>
      </c>
      <c r="T346" s="3" t="n">
        <v>-7.5673</v>
      </c>
      <c r="U346" s="3" t="n">
        <v>-5.2277</v>
      </c>
      <c r="V346" s="3" t="n">
        <v>-1.8311</v>
      </c>
      <c r="W346" s="3" t="n">
        <v>-1.6118</v>
      </c>
      <c r="X346" s="3" t="n">
        <v>-0.9524</v>
      </c>
      <c r="Y346" s="3" t="n">
        <v>0.0229</v>
      </c>
      <c r="Z346" s="3" t="n">
        <v>-1.2458</v>
      </c>
      <c r="AA346" s="3" t="n">
        <v>-0.1784</v>
      </c>
      <c r="AB346" s="3" t="n">
        <v>2.1574</v>
      </c>
      <c r="AC346" s="3" t="n">
        <v>2.5164</v>
      </c>
      <c r="AD346" s="3" t="n">
        <v>-1.2967</v>
      </c>
      <c r="AE346" s="3" t="n">
        <v>-2.427501</v>
      </c>
      <c r="AF346" s="3" t="n">
        <v>-2.42855</v>
      </c>
      <c r="AG346" s="3" t="n">
        <v>-2.748595</v>
      </c>
      <c r="AH346" s="3" t="n">
        <v>-3.619205</v>
      </c>
      <c r="AI346" s="3" t="n">
        <v>-3.888671</v>
      </c>
      <c r="AJ346" s="3" t="n">
        <v>-4.044763</v>
      </c>
      <c r="AK346" s="3" t="n">
        <v>-4.287998</v>
      </c>
      <c r="AL346" s="3" t="n">
        <v>-4.348977</v>
      </c>
      <c r="AM346" s="3" t="n"/>
      <c r="AN346" s="3" t="n"/>
      <c r="AO346" s="3" t="n"/>
      <c r="AP346" s="3" t="n"/>
      <c r="AQ346" s="3" t="n"/>
      <c r="AR346" s="3" t="n"/>
      <c r="AS346" s="3" t="n"/>
      <c r="AT346" s="3" t="n"/>
      <c r="AU346" s="3" t="n"/>
    </row>
    <row r="347">
      <c r="A347" s="3" t="n">
        <v>2031</v>
      </c>
      <c r="B347" s="3" t="inlineStr">
        <is>
          <t>BLR</t>
        </is>
      </c>
      <c r="C347" s="3" t="inlineStr">
        <is>
          <t>IMF.RES:WEO</t>
        </is>
      </c>
      <c r="D347" s="3" t="inlineStr">
        <is>
          <t>BLR.BCA_NGDPD.A</t>
        </is>
      </c>
      <c r="E347" s="3" t="inlineStr">
        <is>
          <t>Belarus, Republic of</t>
        </is>
      </c>
      <c r="F347" s="3" t="inlineStr">
        <is>
          <t>Current account balance (credit less debit), Percent of GDP</t>
        </is>
      </c>
      <c r="G347" s="3" t="n">
        <v>-4.256717</v>
      </c>
      <c r="H347" s="3" t="n">
        <v>-4.138507</v>
      </c>
      <c r="I347" s="3" t="n">
        <v>-2.158033</v>
      </c>
      <c r="J347" s="3" t="n">
        <v>-2.47611</v>
      </c>
      <c r="K347" s="3" t="n">
        <v>-4.981165</v>
      </c>
      <c r="L347" s="3" t="n">
        <v>1.468059</v>
      </c>
      <c r="M347" s="3" t="n">
        <v>-3.631431</v>
      </c>
      <c r="N347" s="3" t="n">
        <v>-6.434874</v>
      </c>
      <c r="O347" s="3" t="n">
        <v>-7.896165</v>
      </c>
      <c r="P347" s="3" t="n">
        <v>-12.058891</v>
      </c>
      <c r="Q347" s="3" t="n">
        <v>-14.470836</v>
      </c>
      <c r="R347" s="3" t="n">
        <v>-8.233114</v>
      </c>
      <c r="S347" s="3" t="n">
        <v>-2.835745</v>
      </c>
      <c r="T347" s="3" t="n">
        <v>-10.023483</v>
      </c>
      <c r="U347" s="3" t="n">
        <v>-6.63953</v>
      </c>
      <c r="V347" s="3" t="n">
        <v>-3.250729</v>
      </c>
      <c r="W347" s="3" t="n">
        <v>-3.378792</v>
      </c>
      <c r="X347" s="3" t="n">
        <v>-1.740402</v>
      </c>
      <c r="Y347" s="3" t="n">
        <v>0.038159</v>
      </c>
      <c r="Z347" s="3" t="n">
        <v>-1.934041</v>
      </c>
      <c r="AA347" s="3" t="n">
        <v>-0.290969</v>
      </c>
      <c r="AB347" s="3" t="n">
        <v>3.163003</v>
      </c>
      <c r="AC347" s="3" t="n">
        <v>3.412739</v>
      </c>
      <c r="AD347" s="3" t="n">
        <v>-1.806202</v>
      </c>
      <c r="AE347" s="3" t="n">
        <v>-3.078753</v>
      </c>
      <c r="AF347" s="3" t="n">
        <v>-2.617922</v>
      </c>
      <c r="AG347" s="3" t="n">
        <v>-2.693603</v>
      </c>
      <c r="AH347" s="3" t="n">
        <v>-3.369277</v>
      </c>
      <c r="AI347" s="3" t="n">
        <v>-3.432016</v>
      </c>
      <c r="AJ347" s="3" t="n">
        <v>-3.355717</v>
      </c>
      <c r="AK347" s="3" t="n">
        <v>-3.37348</v>
      </c>
      <c r="AL347" s="3" t="n">
        <v>-3.258083</v>
      </c>
      <c r="AM347" s="3" t="n"/>
      <c r="AN347" s="3" t="n"/>
      <c r="AO347" s="3" t="n"/>
      <c r="AP347" s="3" t="n"/>
      <c r="AQ347" s="3" t="n"/>
      <c r="AR347" s="3" t="n"/>
      <c r="AS347" s="3" t="n"/>
      <c r="AT347" s="3" t="n"/>
      <c r="AU347" s="3" t="n"/>
    </row>
    <row r="348">
      <c r="A348" s="3" t="n">
        <v>2031</v>
      </c>
      <c r="B348" s="3" t="inlineStr">
        <is>
          <t>BLR</t>
        </is>
      </c>
      <c r="C348" s="3" t="inlineStr">
        <is>
          <t>IMF.RES:WEO</t>
        </is>
      </c>
      <c r="D348" s="3" t="inlineStr">
        <is>
          <t>BLR.GGR_NGDP.A</t>
        </is>
      </c>
      <c r="E348" s="3" t="inlineStr">
        <is>
          <t>Belarus, Republic of</t>
        </is>
      </c>
      <c r="F348" s="3" t="inlineStr">
        <is>
          <t>Revenue, General government, Percent of GDP</t>
        </is>
      </c>
      <c r="G348" s="3" t="n">
        <v>44.32306</v>
      </c>
      <c r="H348" s="3" t="n">
        <v>37.641843</v>
      </c>
      <c r="I348" s="3" t="n">
        <v>35.975044</v>
      </c>
      <c r="J348" s="3" t="n">
        <v>36.792165</v>
      </c>
      <c r="K348" s="3" t="n">
        <v>36.939135</v>
      </c>
      <c r="L348" s="3" t="n">
        <v>38.279327</v>
      </c>
      <c r="M348" s="3" t="n">
        <v>39.504742</v>
      </c>
      <c r="N348" s="3" t="n">
        <v>41.349847</v>
      </c>
      <c r="O348" s="3" t="n">
        <v>49.102837</v>
      </c>
      <c r="P348" s="3" t="n">
        <v>44.470805</v>
      </c>
      <c r="Q348" s="3" t="n">
        <v>40.131912</v>
      </c>
      <c r="R348" s="3" t="n">
        <v>37.488602</v>
      </c>
      <c r="S348" s="3" t="n">
        <v>39.252388</v>
      </c>
      <c r="T348" s="3" t="n">
        <v>39.831081</v>
      </c>
      <c r="U348" s="3" t="n">
        <v>38.928559</v>
      </c>
      <c r="V348" s="3" t="n">
        <v>38.806474</v>
      </c>
      <c r="W348" s="3" t="n">
        <v>39.024134</v>
      </c>
      <c r="X348" s="3" t="n">
        <v>38.705564</v>
      </c>
      <c r="Y348" s="3" t="n">
        <v>39.649421</v>
      </c>
      <c r="Z348" s="3" t="n">
        <v>38.263026</v>
      </c>
      <c r="AA348" s="3" t="n">
        <v>35.17484</v>
      </c>
      <c r="AB348" s="3" t="n">
        <v>36.493334</v>
      </c>
      <c r="AC348" s="3" t="n">
        <v>36.031119</v>
      </c>
      <c r="AD348" s="3" t="n">
        <v>41.089612</v>
      </c>
      <c r="AE348" s="3" t="n">
        <v>41.344926</v>
      </c>
      <c r="AF348" s="3" t="n">
        <v>41.448596</v>
      </c>
      <c r="AG348" s="3" t="n">
        <v>41.136846</v>
      </c>
      <c r="AH348" s="3" t="n">
        <v>40.916411</v>
      </c>
      <c r="AI348" s="3" t="n">
        <v>40.796738</v>
      </c>
      <c r="AJ348" s="3" t="n">
        <v>40.614714</v>
      </c>
      <c r="AK348" s="3" t="n">
        <v>40.51893</v>
      </c>
      <c r="AL348" s="3" t="n">
        <v>40.392769</v>
      </c>
      <c r="AM348" s="3" t="n"/>
      <c r="AN348" s="3" t="n"/>
      <c r="AO348" s="3" t="n"/>
      <c r="AP348" s="3" t="n"/>
      <c r="AQ348" s="3" t="n"/>
      <c r="AR348" s="3" t="n"/>
      <c r="AS348" s="3" t="n"/>
      <c r="AT348" s="3" t="n"/>
      <c r="AU348" s="3" t="n"/>
    </row>
    <row r="349">
      <c r="A349" s="3" t="n">
        <v>2031</v>
      </c>
      <c r="B349" s="3" t="inlineStr">
        <is>
          <t>BLR</t>
        </is>
      </c>
      <c r="C349" s="3" t="inlineStr">
        <is>
          <t>IMF.RES:WEO</t>
        </is>
      </c>
      <c r="D349" s="3" t="inlineStr">
        <is>
          <t>BLR.GGX_NGDP.A</t>
        </is>
      </c>
      <c r="E349" s="3" t="inlineStr">
        <is>
          <t>Belarus, Republic of</t>
        </is>
      </c>
      <c r="F349" s="3" t="inlineStr">
        <is>
          <t>Expenditure, General government, Percent of GDP</t>
        </is>
      </c>
      <c r="G349" s="3" t="n"/>
      <c r="H349" s="3" t="n">
        <v>42.380254</v>
      </c>
      <c r="I349" s="3" t="n">
        <v>43.782224</v>
      </c>
      <c r="J349" s="3" t="n">
        <v>43.531441</v>
      </c>
      <c r="K349" s="3" t="n">
        <v>44.002539</v>
      </c>
      <c r="L349" s="3" t="n">
        <v>44.985498</v>
      </c>
      <c r="M349" s="3" t="n">
        <v>47.209846</v>
      </c>
      <c r="N349" s="3" t="n">
        <v>49.170777</v>
      </c>
      <c r="O349" s="3" t="n">
        <v>60.009149</v>
      </c>
      <c r="P349" s="3" t="n">
        <v>51.702768</v>
      </c>
      <c r="Q349" s="3" t="n">
        <v>44.31854</v>
      </c>
      <c r="R349" s="3" t="n">
        <v>40.294522</v>
      </c>
      <c r="S349" s="3" t="n">
        <v>38.892563</v>
      </c>
      <c r="T349" s="3" t="n">
        <v>40.81304</v>
      </c>
      <c r="U349" s="3" t="n">
        <v>38.836449</v>
      </c>
      <c r="V349" s="3" t="n">
        <v>41.770114</v>
      </c>
      <c r="W349" s="3" t="n">
        <v>40.683217</v>
      </c>
      <c r="X349" s="3" t="n">
        <v>39.042089</v>
      </c>
      <c r="Y349" s="3" t="n">
        <v>37.844622</v>
      </c>
      <c r="Z349" s="3" t="n">
        <v>37.353475</v>
      </c>
      <c r="AA349" s="3" t="n">
        <v>38.045185</v>
      </c>
      <c r="AB349" s="3" t="n">
        <v>36.716151</v>
      </c>
      <c r="AC349" s="3" t="n">
        <v>38.007143</v>
      </c>
      <c r="AD349" s="3" t="n">
        <v>40.33132</v>
      </c>
      <c r="AE349" s="3" t="n">
        <v>40.806127</v>
      </c>
      <c r="AF349" s="3" t="n">
        <v>41.29827</v>
      </c>
      <c r="AG349" s="3" t="n">
        <v>41.316118</v>
      </c>
      <c r="AH349" s="3" t="n">
        <v>41.082916</v>
      </c>
      <c r="AI349" s="3" t="n">
        <v>40.9341</v>
      </c>
      <c r="AJ349" s="3" t="n">
        <v>40.777863</v>
      </c>
      <c r="AK349" s="3" t="n">
        <v>40.710589</v>
      </c>
      <c r="AL349" s="3" t="n">
        <v>40.644918</v>
      </c>
      <c r="AM349" s="3" t="n"/>
      <c r="AN349" s="3" t="n"/>
      <c r="AO349" s="3" t="n"/>
      <c r="AP349" s="3" t="n"/>
      <c r="AQ349" s="3" t="n"/>
      <c r="AR349" s="3" t="n"/>
      <c r="AS349" s="3" t="n"/>
      <c r="AT349" s="3" t="n"/>
      <c r="AU349" s="3" t="n"/>
    </row>
    <row r="350">
      <c r="A350" s="3" t="n">
        <v>2031</v>
      </c>
      <c r="B350" s="3" t="inlineStr">
        <is>
          <t>BLR</t>
        </is>
      </c>
      <c r="C350" s="3" t="inlineStr">
        <is>
          <t>IMF.RES:WEO</t>
        </is>
      </c>
      <c r="D350" s="3" t="inlineStr">
        <is>
          <t>BLR.LP.A</t>
        </is>
      </c>
      <c r="E350" s="3" t="inlineStr">
        <is>
          <t>Belarus, Republic of</t>
        </is>
      </c>
      <c r="F350" s="3" t="inlineStr">
        <is>
          <t>Population, Persons for countries / Index for country groups</t>
        </is>
      </c>
      <c r="G350" s="3" t="n">
        <v>9.99</v>
      </c>
      <c r="H350" s="3" t="n">
        <v>9.928549</v>
      </c>
      <c r="I350" s="3" t="n">
        <v>9.865548</v>
      </c>
      <c r="J350" s="3" t="n">
        <v>9.796749</v>
      </c>
      <c r="K350" s="3" t="n">
        <v>9.730146</v>
      </c>
      <c r="L350" s="3" t="n">
        <v>9.663914999999999</v>
      </c>
      <c r="M350" s="3" t="n">
        <v>9.604924</v>
      </c>
      <c r="N350" s="3" t="n">
        <v>9.560953</v>
      </c>
      <c r="O350" s="3" t="n">
        <v>9.527984999999999</v>
      </c>
      <c r="P350" s="3" t="n">
        <v>9.504583</v>
      </c>
      <c r="Q350" s="3" t="n">
        <v>9.483836</v>
      </c>
      <c r="R350" s="3" t="n">
        <v>9.461643</v>
      </c>
      <c r="S350" s="3" t="n">
        <v>9.446835999999999</v>
      </c>
      <c r="T350" s="3" t="n">
        <v>9.443211</v>
      </c>
      <c r="U350" s="3" t="n">
        <v>9.448515</v>
      </c>
      <c r="V350" s="3" t="n">
        <v>9.461076</v>
      </c>
      <c r="W350" s="3" t="n">
        <v>9.469379</v>
      </c>
      <c r="X350" s="3" t="n">
        <v>9.458989000000001</v>
      </c>
      <c r="Y350" s="3" t="n">
        <v>9.438784999999999</v>
      </c>
      <c r="Z350" s="3" t="n">
        <v>9.419758</v>
      </c>
      <c r="AA350" s="3" t="n">
        <v>9.379951999999999</v>
      </c>
      <c r="AB350" s="3" t="n">
        <v>9.302585000000001</v>
      </c>
      <c r="AC350" s="3" t="n">
        <v>9.228071</v>
      </c>
      <c r="AD350" s="3" t="n">
        <v>9.178298</v>
      </c>
      <c r="AE350" s="3" t="n">
        <v>9.132629</v>
      </c>
      <c r="AF350" s="3" t="n">
        <v>9.086966</v>
      </c>
      <c r="AG350" s="3" t="n">
        <v>9.041531000000001</v>
      </c>
      <c r="AH350" s="3" t="n">
        <v>8.996323</v>
      </c>
      <c r="AI350" s="3" t="n">
        <v>8.951342</v>
      </c>
      <c r="AJ350" s="3" t="n">
        <v>8.906585</v>
      </c>
      <c r="AK350" s="3" t="n">
        <v>8.862052</v>
      </c>
      <c r="AL350" s="3" t="n">
        <v>8.817742000000001</v>
      </c>
      <c r="AM350" s="3" t="n"/>
      <c r="AN350" s="3" t="n"/>
      <c r="AO350" s="3" t="n"/>
      <c r="AP350" s="3" t="n"/>
      <c r="AQ350" s="3" t="n"/>
      <c r="AR350" s="3" t="n"/>
      <c r="AS350" s="3" t="n"/>
      <c r="AT350" s="3" t="n"/>
      <c r="AU350" s="3" t="n"/>
    </row>
    <row r="351">
      <c r="A351" s="3" t="n">
        <v>2031</v>
      </c>
      <c r="B351" s="3" t="inlineStr">
        <is>
          <t>BLR</t>
        </is>
      </c>
      <c r="C351" s="3" t="inlineStr">
        <is>
          <t>IMF.RES:WEO</t>
        </is>
      </c>
      <c r="D351" s="3" t="inlineStr">
        <is>
          <t>BLR.NGDP.A</t>
        </is>
      </c>
      <c r="E351" s="3" t="inlineStr">
        <is>
          <t>Belarus, Republic of</t>
        </is>
      </c>
      <c r="F351" s="3" t="inlineStr">
        <is>
          <t>Gross domestic product (GDP), Current prices, Domestic currency</t>
        </is>
      </c>
      <c r="G351" s="3" t="n">
        <v>0.9456020000000001</v>
      </c>
      <c r="H351" s="3" t="n">
        <v>1.77608</v>
      </c>
      <c r="I351" s="3" t="n">
        <v>2.702931</v>
      </c>
      <c r="J351" s="3" t="n">
        <v>3.781221</v>
      </c>
      <c r="K351" s="3" t="n">
        <v>5.16923</v>
      </c>
      <c r="L351" s="3" t="n">
        <v>6.727985</v>
      </c>
      <c r="M351" s="3" t="n">
        <v>8.196123</v>
      </c>
      <c r="N351" s="3" t="n">
        <v>10.047089</v>
      </c>
      <c r="O351" s="3" t="n">
        <v>13.417384</v>
      </c>
      <c r="P351" s="3" t="n">
        <v>14.20913</v>
      </c>
      <c r="Q351" s="3" t="n">
        <v>17.04658</v>
      </c>
      <c r="R351" s="3" t="n">
        <v>30.7245</v>
      </c>
      <c r="S351" s="3" t="n">
        <v>54.76167</v>
      </c>
      <c r="T351" s="3" t="n">
        <v>67.06885</v>
      </c>
      <c r="U351" s="3" t="n">
        <v>80.57926999999999</v>
      </c>
      <c r="V351" s="3" t="n">
        <v>89.90980999999999</v>
      </c>
      <c r="W351" s="3" t="n">
        <v>94.949</v>
      </c>
      <c r="X351" s="3" t="n">
        <v>105.7482</v>
      </c>
      <c r="Y351" s="3" t="n">
        <v>122.3197</v>
      </c>
      <c r="Z351" s="3" t="n">
        <v>134.7321</v>
      </c>
      <c r="AA351" s="3" t="n">
        <v>149.7208</v>
      </c>
      <c r="AB351" s="3" t="n">
        <v>173.1533</v>
      </c>
      <c r="AC351" s="3" t="n">
        <v>193.741</v>
      </c>
      <c r="AD351" s="3" t="n">
        <v>216.1003</v>
      </c>
      <c r="AE351" s="3" t="n">
        <v>255.1242</v>
      </c>
      <c r="AF351" s="3" t="n">
        <v>285.327243</v>
      </c>
      <c r="AG351" s="3" t="n">
        <v>310.643558</v>
      </c>
      <c r="AH351" s="3" t="n">
        <v>336.816289</v>
      </c>
      <c r="AI351" s="3" t="n">
        <v>361.898529</v>
      </c>
      <c r="AJ351" s="3" t="n">
        <v>389.395282</v>
      </c>
      <c r="AK351" s="3" t="n">
        <v>415.343588</v>
      </c>
      <c r="AL351" s="3" t="n">
        <v>441.167913</v>
      </c>
      <c r="AM351" s="3" t="n"/>
      <c r="AN351" s="3" t="n"/>
      <c r="AO351" s="3" t="n"/>
      <c r="AP351" s="3" t="n"/>
      <c r="AQ351" s="3" t="n"/>
      <c r="AR351" s="3" t="n"/>
      <c r="AS351" s="3" t="n"/>
      <c r="AT351" s="3" t="n"/>
      <c r="AU351" s="3" t="n"/>
    </row>
    <row r="352">
      <c r="A352" s="3" t="n">
        <v>2031</v>
      </c>
      <c r="B352" s="3" t="inlineStr">
        <is>
          <t>BLR</t>
        </is>
      </c>
      <c r="C352" s="3" t="inlineStr">
        <is>
          <t>IMF.RES:WEO</t>
        </is>
      </c>
      <c r="D352" s="3" t="inlineStr">
        <is>
          <t>BLR.NGDP_D.A</t>
        </is>
      </c>
      <c r="E352" s="3" t="inlineStr">
        <is>
          <t>Belarus, Republic of</t>
        </is>
      </c>
      <c r="F352" s="3" t="inlineStr">
        <is>
          <t>Gross domestic product (GDP), Price deflator, Index</t>
        </is>
      </c>
      <c r="G352" s="3" t="n">
        <v>1.077204</v>
      </c>
      <c r="H352" s="3" t="n">
        <v>1.931796</v>
      </c>
      <c r="I352" s="3" t="n">
        <v>2.798367</v>
      </c>
      <c r="J352" s="3" t="n">
        <v>3.656806</v>
      </c>
      <c r="K352" s="3" t="n">
        <v>4.485544</v>
      </c>
      <c r="L352" s="3" t="n">
        <v>5.333555</v>
      </c>
      <c r="M352" s="3" t="n">
        <v>5.906671</v>
      </c>
      <c r="N352" s="3" t="n">
        <v>6.665954</v>
      </c>
      <c r="O352" s="3" t="n">
        <v>8.077275999999999</v>
      </c>
      <c r="P352" s="3" t="n">
        <v>8.539296999999999</v>
      </c>
      <c r="Q352" s="3" t="n">
        <v>9.499344000000001</v>
      </c>
      <c r="R352" s="3" t="n">
        <v>16.271191</v>
      </c>
      <c r="S352" s="3" t="n">
        <v>28.543391</v>
      </c>
      <c r="T352" s="3" t="n">
        <v>34.636571</v>
      </c>
      <c r="U352" s="3" t="n">
        <v>40.57969</v>
      </c>
      <c r="V352" s="3" t="n">
        <v>47.081568</v>
      </c>
      <c r="W352" s="3" t="n">
        <v>51.009074</v>
      </c>
      <c r="X352" s="3" t="n">
        <v>55.407661</v>
      </c>
      <c r="Y352" s="3" t="n">
        <v>62.133725</v>
      </c>
      <c r="Z352" s="3" t="n">
        <v>67.46292800000001</v>
      </c>
      <c r="AA352" s="3" t="n">
        <v>75.475813</v>
      </c>
      <c r="AB352" s="3" t="n">
        <v>85.348254</v>
      </c>
      <c r="AC352" s="3" t="n">
        <v>100</v>
      </c>
      <c r="AD352" s="3" t="n">
        <v>107.120452</v>
      </c>
      <c r="AE352" s="3" t="n">
        <v>121.192639</v>
      </c>
      <c r="AF352" s="3" t="n">
        <v>133.850111</v>
      </c>
      <c r="AG352" s="3" t="n">
        <v>143.969465</v>
      </c>
      <c r="AH352" s="3" t="n">
        <v>154.570382</v>
      </c>
      <c r="AI352" s="3" t="n">
        <v>164.370335</v>
      </c>
      <c r="AJ352" s="3" t="n">
        <v>175.207414</v>
      </c>
      <c r="AK352" s="3" t="n">
        <v>185.086529</v>
      </c>
      <c r="AL352" s="3" t="n">
        <v>194.805324</v>
      </c>
      <c r="AM352" s="3" t="n"/>
      <c r="AN352" s="3" t="n"/>
      <c r="AO352" s="3" t="n"/>
      <c r="AP352" s="3" t="n"/>
      <c r="AQ352" s="3" t="n"/>
      <c r="AR352" s="3" t="n"/>
      <c r="AS352" s="3" t="n"/>
      <c r="AT352" s="3" t="n"/>
      <c r="AU352" s="3" t="n"/>
    </row>
    <row r="353">
      <c r="A353" s="3" t="n">
        <v>2031</v>
      </c>
      <c r="B353" s="3" t="inlineStr">
        <is>
          <t>BLR</t>
        </is>
      </c>
      <c r="C353" s="3" t="inlineStr">
        <is>
          <t>IMF.RES:WEO</t>
        </is>
      </c>
      <c r="D353" s="3" t="inlineStr">
        <is>
          <t>BLR.NGDP_R.A</t>
        </is>
      </c>
      <c r="E353" s="3" t="inlineStr">
        <is>
          <t>Belarus, Republic of</t>
        </is>
      </c>
      <c r="F353" s="3" t="inlineStr">
        <is>
          <t>Gross domestic product (GDP), Constant prices, Domestic currency</t>
        </is>
      </c>
      <c r="G353" s="3" t="n">
        <v>87.78295199999999</v>
      </c>
      <c r="H353" s="3" t="n">
        <v>91.939303</v>
      </c>
      <c r="I353" s="3" t="n">
        <v>96.589609</v>
      </c>
      <c r="J353" s="3" t="n">
        <v>103.402266</v>
      </c>
      <c r="K353" s="3" t="n">
        <v>115.24197</v>
      </c>
      <c r="L353" s="3" t="n">
        <v>126.14447</v>
      </c>
      <c r="M353" s="3" t="n">
        <v>138.760434</v>
      </c>
      <c r="N353" s="3" t="n">
        <v>150.722446</v>
      </c>
      <c r="O353" s="3" t="n">
        <v>166.112731</v>
      </c>
      <c r="P353" s="3" t="n">
        <v>166.396949</v>
      </c>
      <c r="Q353" s="3" t="n">
        <v>179.450076</v>
      </c>
      <c r="R353" s="3" t="n">
        <v>188.827609</v>
      </c>
      <c r="S353" s="3" t="n">
        <v>191.854117</v>
      </c>
      <c r="T353" s="3" t="n">
        <v>193.635938</v>
      </c>
      <c r="U353" s="3" t="n">
        <v>198.570442</v>
      </c>
      <c r="V353" s="3" t="n">
        <v>190.966047</v>
      </c>
      <c r="W353" s="3" t="n">
        <v>186.141392</v>
      </c>
      <c r="X353" s="3" t="n">
        <v>190.854833</v>
      </c>
      <c r="Y353" s="3" t="n">
        <v>196.865229</v>
      </c>
      <c r="Z353" s="3" t="n">
        <v>199.712797</v>
      </c>
      <c r="AA353" s="3" t="n">
        <v>198.369243</v>
      </c>
      <c r="AB353" s="3" t="n">
        <v>202.87855</v>
      </c>
      <c r="AC353" s="3" t="n">
        <v>193.741</v>
      </c>
      <c r="AD353" s="3" t="n">
        <v>201.7358</v>
      </c>
      <c r="AE353" s="3" t="n">
        <v>210.5113</v>
      </c>
      <c r="AF353" s="3" t="n">
        <v>213.169224</v>
      </c>
      <c r="AG353" s="3" t="n">
        <v>215.770448</v>
      </c>
      <c r="AH353" s="3" t="n">
        <v>217.904805</v>
      </c>
      <c r="AI353" s="3" t="n">
        <v>220.172654</v>
      </c>
      <c r="AJ353" s="3" t="n">
        <v>222.248176</v>
      </c>
      <c r="AK353" s="3" t="n">
        <v>224.405088</v>
      </c>
      <c r="AL353" s="3" t="n">
        <v>226.466045</v>
      </c>
      <c r="AM353" s="3" t="n"/>
      <c r="AN353" s="3" t="n"/>
      <c r="AO353" s="3" t="n"/>
      <c r="AP353" s="3" t="n"/>
      <c r="AQ353" s="3" t="n"/>
      <c r="AR353" s="3" t="n"/>
      <c r="AS353" s="3" t="n"/>
      <c r="AT353" s="3" t="n"/>
      <c r="AU353" s="3" t="n"/>
    </row>
    <row r="354">
      <c r="A354" s="3" t="n">
        <v>2031</v>
      </c>
      <c r="B354" s="3" t="inlineStr">
        <is>
          <t>BLR</t>
        </is>
      </c>
      <c r="C354" s="3" t="inlineStr">
        <is>
          <t>IMF.RES:WEO</t>
        </is>
      </c>
      <c r="D354" s="3" t="inlineStr">
        <is>
          <t>BLR.NGDP_RPCH.A</t>
        </is>
      </c>
      <c r="E354" s="3" t="inlineStr">
        <is>
          <t>Belarus, Republic of</t>
        </is>
      </c>
      <c r="F354" s="3" t="inlineStr">
        <is>
          <t>Gross domestic product (GDP), Constant prices, Percent change</t>
        </is>
      </c>
      <c r="G354" s="3" t="n">
        <v>5.760399</v>
      </c>
      <c r="H354" s="3" t="n">
        <v>4.734804</v>
      </c>
      <c r="I354" s="3" t="n">
        <v>5.058017</v>
      </c>
      <c r="J354" s="3" t="n">
        <v>7.053199</v>
      </c>
      <c r="K354" s="3" t="n">
        <v>11.45014</v>
      </c>
      <c r="L354" s="3" t="n">
        <v>9.460528999999999</v>
      </c>
      <c r="M354" s="3" t="n">
        <v>10.001203</v>
      </c>
      <c r="N354" s="3" t="n">
        <v>8.620621999999999</v>
      </c>
      <c r="O354" s="3" t="n">
        <v>10.211011</v>
      </c>
      <c r="P354" s="3" t="n">
        <v>0.1711</v>
      </c>
      <c r="Q354" s="3" t="n">
        <v>7.844571</v>
      </c>
      <c r="R354" s="3" t="n">
        <v>5.225706</v>
      </c>
      <c r="S354" s="3" t="n">
        <v>1.602789</v>
      </c>
      <c r="T354" s="3" t="n">
        <v>0.928737</v>
      </c>
      <c r="U354" s="3" t="n">
        <v>2.548341</v>
      </c>
      <c r="V354" s="3" t="n">
        <v>-3.829571</v>
      </c>
      <c r="W354" s="3" t="n">
        <v>-2.526446</v>
      </c>
      <c r="X354" s="3" t="n">
        <v>2.532184</v>
      </c>
      <c r="Y354" s="3" t="n">
        <v>3.149198</v>
      </c>
      <c r="Z354" s="3" t="n">
        <v>1.446455</v>
      </c>
      <c r="AA354" s="3" t="n">
        <v>-0.672743</v>
      </c>
      <c r="AB354" s="3" t="n">
        <v>2.273188</v>
      </c>
      <c r="AC354" s="3" t="n">
        <v>-4.503951</v>
      </c>
      <c r="AD354" s="3" t="n">
        <v>4.12654</v>
      </c>
      <c r="AE354" s="3" t="n">
        <v>4.349996</v>
      </c>
      <c r="AF354" s="3" t="n">
        <v>1.262604</v>
      </c>
      <c r="AG354" s="3" t="n">
        <v>1.220262</v>
      </c>
      <c r="AH354" s="3" t="n">
        <v>0.989179</v>
      </c>
      <c r="AI354" s="3" t="n">
        <v>1.040752</v>
      </c>
      <c r="AJ354" s="3" t="n">
        <v>0.942679</v>
      </c>
      <c r="AK354" s="3" t="n">
        <v>0.9704970000000001</v>
      </c>
      <c r="AL354" s="3" t="n">
        <v>0.918409</v>
      </c>
      <c r="AM354" s="3" t="n"/>
      <c r="AN354" s="3" t="n"/>
      <c r="AO354" s="3" t="n"/>
      <c r="AP354" s="3" t="n"/>
      <c r="AQ354" s="3" t="n"/>
      <c r="AR354" s="3" t="n"/>
      <c r="AS354" s="3" t="n"/>
      <c r="AT354" s="3" t="n"/>
      <c r="AU354" s="3" t="n"/>
    </row>
    <row r="355">
      <c r="A355" s="3" t="n">
        <v>2031</v>
      </c>
      <c r="B355" s="3" t="inlineStr">
        <is>
          <t>BLR</t>
        </is>
      </c>
      <c r="C355" s="3" t="inlineStr">
        <is>
          <t>IMF.RES:WEO</t>
        </is>
      </c>
      <c r="D355" s="3" t="inlineStr">
        <is>
          <t>BLR.NGDPD.A</t>
        </is>
      </c>
      <c r="E355" s="3" t="inlineStr">
        <is>
          <t>Belarus, Republic of</t>
        </is>
      </c>
      <c r="F355" s="3" t="inlineStr">
        <is>
          <t>Gross domestic product (GDP), Current prices, US dollar</t>
        </is>
      </c>
      <c r="G355" s="3" t="n">
        <v>10.785308</v>
      </c>
      <c r="H355" s="3" t="n">
        <v>12.777554</v>
      </c>
      <c r="I355" s="3" t="n">
        <v>15.092447</v>
      </c>
      <c r="J355" s="3" t="n">
        <v>18.420018</v>
      </c>
      <c r="K355" s="3" t="n">
        <v>23.928135</v>
      </c>
      <c r="L355" s="3" t="n">
        <v>31.238522</v>
      </c>
      <c r="M355" s="3" t="n">
        <v>38.219093</v>
      </c>
      <c r="N355" s="3" t="n">
        <v>46.815212</v>
      </c>
      <c r="O355" s="3" t="n">
        <v>62.797576</v>
      </c>
      <c r="P355" s="3" t="n">
        <v>50.855422</v>
      </c>
      <c r="Q355" s="3" t="n">
        <v>57.219915</v>
      </c>
      <c r="R355" s="3" t="n">
        <v>61.368035</v>
      </c>
      <c r="S355" s="3" t="n">
        <v>65.668806</v>
      </c>
      <c r="T355" s="3" t="n">
        <v>75.495715</v>
      </c>
      <c r="U355" s="3" t="n">
        <v>78.735998</v>
      </c>
      <c r="V355" s="3" t="n">
        <v>56.328898</v>
      </c>
      <c r="W355" s="3" t="n">
        <v>47.703443</v>
      </c>
      <c r="X355" s="3" t="n">
        <v>54.723001</v>
      </c>
      <c r="Y355" s="3" t="n">
        <v>60.011433</v>
      </c>
      <c r="Z355" s="3" t="n">
        <v>64.414361</v>
      </c>
      <c r="AA355" s="3" t="n">
        <v>61.312307</v>
      </c>
      <c r="AB355" s="3" t="n">
        <v>68.20733</v>
      </c>
      <c r="AC355" s="3" t="n">
        <v>73.735495</v>
      </c>
      <c r="AD355" s="3" t="n">
        <v>71.791539</v>
      </c>
      <c r="AE355" s="3" t="n">
        <v>78.84689899999999</v>
      </c>
      <c r="AF355" s="3" t="n">
        <v>92.76632600000001</v>
      </c>
      <c r="AG355" s="3" t="n">
        <v>102.041613</v>
      </c>
      <c r="AH355" s="3" t="n">
        <v>107.417852</v>
      </c>
      <c r="AI355" s="3" t="n">
        <v>113.305723</v>
      </c>
      <c r="AJ355" s="3" t="n">
        <v>120.533485</v>
      </c>
      <c r="AK355" s="3" t="n">
        <v>127.109069</v>
      </c>
      <c r="AL355" s="3" t="n">
        <v>133.482688</v>
      </c>
      <c r="AM355" s="3" t="n"/>
      <c r="AN355" s="3" t="n"/>
      <c r="AO355" s="3" t="n"/>
      <c r="AP355" s="3" t="n"/>
      <c r="AQ355" s="3" t="n"/>
      <c r="AR355" s="3" t="n"/>
      <c r="AS355" s="3" t="n"/>
      <c r="AT355" s="3" t="n"/>
      <c r="AU355" s="3" t="n"/>
    </row>
    <row r="356">
      <c r="A356" s="3" t="n">
        <v>2031</v>
      </c>
      <c r="B356" s="3" t="inlineStr">
        <is>
          <t>BLR</t>
        </is>
      </c>
      <c r="C356" s="3" t="inlineStr">
        <is>
          <t>IMF.RES:WEO</t>
        </is>
      </c>
      <c r="D356" s="3" t="inlineStr">
        <is>
          <t>BLR.NGDPPC.A</t>
        </is>
      </c>
      <c r="E356" s="3" t="inlineStr">
        <is>
          <t>Belarus, Republic of</t>
        </is>
      </c>
      <c r="F356" s="3" t="inlineStr">
        <is>
          <t>Gross domestic product (GDP), Current prices, Per capita, Domestic currency</t>
        </is>
      </c>
      <c r="G356" s="3" t="n">
        <v>94.65484499999999</v>
      </c>
      <c r="H356" s="3" t="n">
        <v>178.886156</v>
      </c>
      <c r="I356" s="3" t="n">
        <v>273.976818</v>
      </c>
      <c r="J356" s="3" t="n">
        <v>385.966872</v>
      </c>
      <c r="K356" s="3" t="n">
        <v>531.259221</v>
      </c>
      <c r="L356" s="3" t="n">
        <v>696.196584</v>
      </c>
      <c r="M356" s="3" t="n">
        <v>853.3250849999999</v>
      </c>
      <c r="N356" s="3" t="n">
        <v>1050.845964</v>
      </c>
      <c r="O356" s="3" t="n">
        <v>1408.207898</v>
      </c>
      <c r="P356" s="3" t="n">
        <v>1494.976687</v>
      </c>
      <c r="Q356" s="3" t="n">
        <v>1797.435131</v>
      </c>
      <c r="R356" s="3" t="n">
        <v>3247.269</v>
      </c>
      <c r="S356" s="3" t="n">
        <v>5796.826578</v>
      </c>
      <c r="T356" s="3" t="n">
        <v>7102.335212</v>
      </c>
      <c r="U356" s="3" t="n">
        <v>8528.247031000001</v>
      </c>
      <c r="V356" s="3" t="n">
        <v>9503.127339999999</v>
      </c>
      <c r="W356" s="3" t="n">
        <v>10026.951081</v>
      </c>
      <c r="X356" s="3" t="n">
        <v>11179.651441</v>
      </c>
      <c r="Y356" s="3" t="n">
        <v>12959.263295</v>
      </c>
      <c r="Z356" s="3" t="n">
        <v>14303.138149</v>
      </c>
      <c r="AA356" s="3" t="n">
        <v>15961.787438</v>
      </c>
      <c r="AB356" s="3" t="n">
        <v>18613.460667</v>
      </c>
      <c r="AC356" s="3" t="n">
        <v>20994.745272</v>
      </c>
      <c r="AD356" s="3" t="n">
        <v>23544.70295</v>
      </c>
      <c r="AE356" s="3" t="n">
        <v>27935.460862</v>
      </c>
      <c r="AF356" s="3" t="n">
        <v>31399.616496</v>
      </c>
      <c r="AG356" s="3" t="n">
        <v>34357.406678</v>
      </c>
      <c r="AH356" s="3" t="n">
        <v>37439.326575</v>
      </c>
      <c r="AI356" s="3" t="n">
        <v>40429.52876</v>
      </c>
      <c r="AJ356" s="3" t="n">
        <v>43719.930817</v>
      </c>
      <c r="AK356" s="3" t="n">
        <v>46867.653516</v>
      </c>
      <c r="AL356" s="3" t="n">
        <v>50031.847116</v>
      </c>
      <c r="AM356" s="3" t="n"/>
      <c r="AN356" s="3" t="n"/>
      <c r="AO356" s="3" t="n"/>
      <c r="AP356" s="3" t="n"/>
      <c r="AQ356" s="3" t="n"/>
      <c r="AR356" s="3" t="n"/>
      <c r="AS356" s="3" t="n"/>
      <c r="AT356" s="3" t="n"/>
      <c r="AU356" s="3" t="n"/>
    </row>
    <row r="357">
      <c r="A357" s="3" t="n">
        <v>2031</v>
      </c>
      <c r="B357" s="3" t="inlineStr">
        <is>
          <t>BLR</t>
        </is>
      </c>
      <c r="C357" s="3" t="inlineStr">
        <is>
          <t>IMF.RES:WEO</t>
        </is>
      </c>
      <c r="D357" s="3" t="inlineStr">
        <is>
          <t>BLR.NGDPRPC.A</t>
        </is>
      </c>
      <c r="E357" s="3" t="inlineStr">
        <is>
          <t>Belarus, Republic of</t>
        </is>
      </c>
      <c r="F357" s="3" t="inlineStr">
        <is>
          <t>Gross domestic product (GDP), Constant prices, Per capita, Domestic currency</t>
        </is>
      </c>
      <c r="G357" s="3" t="n">
        <v>8787.082273</v>
      </c>
      <c r="H357" s="3" t="n">
        <v>9260.094580000001</v>
      </c>
      <c r="I357" s="3" t="n">
        <v>9790.597414</v>
      </c>
      <c r="J357" s="3" t="n">
        <v>10554.753035</v>
      </c>
      <c r="K357" s="3" t="n">
        <v>11843.806864</v>
      </c>
      <c r="L357" s="3" t="n">
        <v>13053.143542</v>
      </c>
      <c r="M357" s="3" t="n">
        <v>14446.801853</v>
      </c>
      <c r="N357" s="3" t="n">
        <v>15764.374735</v>
      </c>
      <c r="O357" s="3" t="n">
        <v>17434.193155</v>
      </c>
      <c r="P357" s="3" t="n">
        <v>17507.022582</v>
      </c>
      <c r="Q357" s="3" t="n">
        <v>18921.676397</v>
      </c>
      <c r="R357" s="3" t="n">
        <v>19957.169059</v>
      </c>
      <c r="S357" s="3" t="n">
        <v>20308.822708</v>
      </c>
      <c r="T357" s="3" t="n">
        <v>20505.306729</v>
      </c>
      <c r="U357" s="3" t="n">
        <v>21016.047693</v>
      </c>
      <c r="V357" s="3" t="n">
        <v>20184.389882</v>
      </c>
      <c r="W357" s="3" t="n">
        <v>19657.191016</v>
      </c>
      <c r="X357" s="3" t="n">
        <v>20177.085883</v>
      </c>
      <c r="Y357" s="3" t="n">
        <v>20857.051966</v>
      </c>
      <c r="Z357" s="3" t="n">
        <v>21201.478544</v>
      </c>
      <c r="AA357" s="3" t="n">
        <v>21148.21519</v>
      </c>
      <c r="AB357" s="3" t="n">
        <v>21808.8359</v>
      </c>
      <c r="AC357" s="3" t="n">
        <v>20994.745272</v>
      </c>
      <c r="AD357" s="3" t="n">
        <v>21979.652437</v>
      </c>
      <c r="AE357" s="3" t="n">
        <v>23050.460059</v>
      </c>
      <c r="AF357" s="3" t="n">
        <v>23458.790019</v>
      </c>
      <c r="AG357" s="3" t="n">
        <v>23864.370672</v>
      </c>
      <c r="AH357" s="3" t="n">
        <v>24221.539831</v>
      </c>
      <c r="AI357" s="3" t="n">
        <v>24596.60909</v>
      </c>
      <c r="AJ357" s="3" t="n">
        <v>24953.242466</v>
      </c>
      <c r="AK357" s="3" t="n">
        <v>25322.023</v>
      </c>
      <c r="AL357" s="3" t="n">
        <v>25682.997792</v>
      </c>
      <c r="AM357" s="3" t="n"/>
      <c r="AN357" s="3" t="n"/>
      <c r="AO357" s="3" t="n"/>
      <c r="AP357" s="3" t="n"/>
      <c r="AQ357" s="3" t="n"/>
      <c r="AR357" s="3" t="n"/>
      <c r="AS357" s="3" t="n"/>
      <c r="AT357" s="3" t="n"/>
      <c r="AU357" s="3" t="n"/>
    </row>
    <row r="358">
      <c r="A358" s="3" t="n">
        <v>2031</v>
      </c>
      <c r="B358" s="3" t="inlineStr">
        <is>
          <t>BLR</t>
        </is>
      </c>
      <c r="C358" s="3" t="inlineStr">
        <is>
          <t>IMF.RES:WEO</t>
        </is>
      </c>
      <c r="D358" s="3" t="inlineStr">
        <is>
          <t>BLR.PCPI.A</t>
        </is>
      </c>
      <c r="E358" s="3" t="inlineStr">
        <is>
          <t>Belarus, Republic of</t>
        </is>
      </c>
      <c r="F358" s="3" t="inlineStr">
        <is>
          <t>All Items, Consumer price index (CPI), Period average</t>
        </is>
      </c>
      <c r="G358" s="3" t="n">
        <v>26.019102</v>
      </c>
      <c r="H358" s="3" t="n">
        <v>41.925369</v>
      </c>
      <c r="I358" s="3" t="n">
        <v>59.771986</v>
      </c>
      <c r="J358" s="3" t="n">
        <v>76.74606300000001</v>
      </c>
      <c r="K358" s="3" t="n">
        <v>90.63229</v>
      </c>
      <c r="L358" s="3" t="n">
        <v>100</v>
      </c>
      <c r="M358" s="3" t="n">
        <v>106.991583</v>
      </c>
      <c r="N358" s="3" t="n">
        <v>116.009984</v>
      </c>
      <c r="O358" s="3" t="n">
        <v>133.212383</v>
      </c>
      <c r="P358" s="3" t="n">
        <v>150.463739</v>
      </c>
      <c r="Q358" s="3" t="n">
        <v>162.113764</v>
      </c>
      <c r="R358" s="3" t="n">
        <v>248.40314</v>
      </c>
      <c r="S358" s="3" t="n">
        <v>395.502561</v>
      </c>
      <c r="T358" s="3" t="n">
        <v>467.890313</v>
      </c>
      <c r="U358" s="3" t="n">
        <v>552.6117829999999</v>
      </c>
      <c r="V358" s="3" t="n">
        <v>627.340088</v>
      </c>
      <c r="W358" s="3" t="n">
        <v>701.547204</v>
      </c>
      <c r="X358" s="3" t="n">
        <v>743.862318</v>
      </c>
      <c r="Y358" s="3" t="n">
        <v>780.069422</v>
      </c>
      <c r="Z358" s="3" t="n">
        <v>823.751383</v>
      </c>
      <c r="AA358" s="3" t="n">
        <v>869.3535419999999</v>
      </c>
      <c r="AB358" s="3" t="n">
        <v>951.53107</v>
      </c>
      <c r="AC358" s="3" t="n">
        <v>1096.533777</v>
      </c>
      <c r="AD358" s="3" t="n">
        <v>1151.552329</v>
      </c>
      <c r="AE358" s="3" t="n">
        <v>1217.761507</v>
      </c>
      <c r="AF358" s="3" t="n">
        <v>1297.89659</v>
      </c>
      <c r="AG358" s="3" t="n">
        <v>1380.841204</v>
      </c>
      <c r="AH358" s="3" t="n">
        <v>1465.995595</v>
      </c>
      <c r="AI358" s="3" t="n">
        <v>1549.852211</v>
      </c>
      <c r="AJ358" s="3" t="n">
        <v>1629.315948</v>
      </c>
      <c r="AK358" s="3" t="n">
        <v>1711.248245</v>
      </c>
      <c r="AL358" s="3" t="n">
        <v>1796.433425</v>
      </c>
      <c r="AM358" s="3" t="n"/>
      <c r="AN358" s="3" t="n"/>
      <c r="AO358" s="3" t="n"/>
      <c r="AP358" s="3" t="n"/>
      <c r="AQ358" s="3" t="n"/>
      <c r="AR358" s="3" t="n"/>
      <c r="AS358" s="3" t="n"/>
      <c r="AT358" s="3" t="n"/>
      <c r="AU358" s="3" t="n"/>
    </row>
    <row r="359">
      <c r="A359" s="3" t="n">
        <v>2031</v>
      </c>
      <c r="B359" s="3" t="inlineStr">
        <is>
          <t>BLR</t>
        </is>
      </c>
      <c r="C359" s="3" t="inlineStr">
        <is>
          <t>IMF.RES:WEO</t>
        </is>
      </c>
      <c r="D359" s="3" t="inlineStr">
        <is>
          <t>BLR.PCPIPCH.A</t>
        </is>
      </c>
      <c r="E359" s="3" t="inlineStr">
        <is>
          <t>Belarus, Republic of</t>
        </is>
      </c>
      <c r="F359" s="3" t="inlineStr">
        <is>
          <t>All Items, Consumer price index (CPI), Period average, percent change</t>
        </is>
      </c>
      <c r="G359" s="3" t="n">
        <v>168.601122</v>
      </c>
      <c r="H359" s="3" t="n">
        <v>61.133034</v>
      </c>
      <c r="I359" s="3" t="n">
        <v>42.567585</v>
      </c>
      <c r="J359" s="3" t="n">
        <v>28.398048</v>
      </c>
      <c r="K359" s="3" t="n">
        <v>18.093732</v>
      </c>
      <c r="L359" s="3" t="n">
        <v>10.335951</v>
      </c>
      <c r="M359" s="3" t="n">
        <v>6.991583</v>
      </c>
      <c r="N359" s="3" t="n">
        <v>8.429074999999999</v>
      </c>
      <c r="O359" s="3" t="n">
        <v>14.828379</v>
      </c>
      <c r="P359" s="3" t="n">
        <v>12.950264</v>
      </c>
      <c r="Q359" s="3" t="n">
        <v>7.742746</v>
      </c>
      <c r="R359" s="3" t="n">
        <v>53.227668</v>
      </c>
      <c r="S359" s="3" t="n">
        <v>59.21802</v>
      </c>
      <c r="T359" s="3" t="n">
        <v>18.302727</v>
      </c>
      <c r="U359" s="3" t="n">
        <v>18.107122</v>
      </c>
      <c r="V359" s="3" t="n">
        <v>13.522749</v>
      </c>
      <c r="W359" s="3" t="n">
        <v>11.82885</v>
      </c>
      <c r="X359" s="3" t="n">
        <v>6.031684</v>
      </c>
      <c r="Y359" s="3" t="n">
        <v>4.867447</v>
      </c>
      <c r="Z359" s="3" t="n">
        <v>5.599753</v>
      </c>
      <c r="AA359" s="3" t="n">
        <v>5.535913</v>
      </c>
      <c r="AB359" s="3" t="n">
        <v>9.452717</v>
      </c>
      <c r="AC359" s="3" t="n">
        <v>15.238883</v>
      </c>
      <c r="AD359" s="3" t="n">
        <v>5.017497</v>
      </c>
      <c r="AE359" s="3" t="n">
        <v>5.749559</v>
      </c>
      <c r="AF359" s="3" t="n">
        <v>6.580524</v>
      </c>
      <c r="AG359" s="3" t="n">
        <v>6.390695</v>
      </c>
      <c r="AH359" s="3" t="n">
        <v>6.166849</v>
      </c>
      <c r="AI359" s="3" t="n">
        <v>5.720114</v>
      </c>
      <c r="AJ359" s="3" t="n">
        <v>5.127182</v>
      </c>
      <c r="AK359" s="3" t="n">
        <v>5.028632</v>
      </c>
      <c r="AL359" s="3" t="n">
        <v>4.977956</v>
      </c>
      <c r="AM359" s="3" t="n"/>
      <c r="AN359" s="3" t="n"/>
      <c r="AO359" s="3" t="n"/>
      <c r="AP359" s="3" t="n"/>
      <c r="AQ359" s="3" t="n"/>
      <c r="AR359" s="3" t="n"/>
      <c r="AS359" s="3" t="n"/>
      <c r="AT359" s="3" t="n"/>
      <c r="AU359" s="3" t="n"/>
    </row>
    <row r="360">
      <c r="A360" s="3" t="n">
        <v>2031</v>
      </c>
      <c r="B360" s="3" t="inlineStr">
        <is>
          <t>BLR</t>
        </is>
      </c>
      <c r="C360" s="3" t="inlineStr">
        <is>
          <t>IMF.RES:WEO</t>
        </is>
      </c>
      <c r="D360" s="3" t="inlineStr">
        <is>
          <t>BLR.PPPPC.A</t>
        </is>
      </c>
      <c r="E360" s="3" t="inlineStr">
        <is>
          <t>Belarus, Republic of</t>
        </is>
      </c>
      <c r="F360" s="3" t="inlineStr">
        <is>
          <t>Gross domestic product (GDP), Per capita, purchasing power parity (PPP) international dollar, ICP benchmarks 2017-2021</t>
        </is>
      </c>
      <c r="G360" s="3" t="n">
        <v>5831.709596</v>
      </c>
      <c r="H360" s="3" t="n">
        <v>6284.009282</v>
      </c>
      <c r="I360" s="3" t="n">
        <v>6747.265121</v>
      </c>
      <c r="J360" s="3" t="n">
        <v>7417.491069</v>
      </c>
      <c r="K360" s="3" t="n">
        <v>8547.196629</v>
      </c>
      <c r="L360" s="3" t="n">
        <v>9715.318029</v>
      </c>
      <c r="M360" s="3" t="n">
        <v>11084.200931</v>
      </c>
      <c r="N360" s="3" t="n">
        <v>12422.78779</v>
      </c>
      <c r="O360" s="3" t="n">
        <v>14003.31645</v>
      </c>
      <c r="P360" s="3" t="n">
        <v>14148.53887</v>
      </c>
      <c r="Q360" s="3" t="n">
        <v>15477.663408</v>
      </c>
      <c r="R360" s="3" t="n">
        <v>16661.500476</v>
      </c>
      <c r="S360" s="3" t="n">
        <v>17270.775208</v>
      </c>
      <c r="T360" s="3" t="n">
        <v>17734.660042</v>
      </c>
      <c r="U360" s="3" t="n">
        <v>18492.971334</v>
      </c>
      <c r="V360" s="3" t="n">
        <v>17925.990994</v>
      </c>
      <c r="W360" s="3" t="n">
        <v>17623.667497</v>
      </c>
      <c r="X360" s="3" t="n">
        <v>18413.747563</v>
      </c>
      <c r="Y360" s="3" t="n">
        <v>20025.981554</v>
      </c>
      <c r="Z360" s="3" t="n">
        <v>22301.593241</v>
      </c>
      <c r="AA360" s="3" t="n">
        <v>24872.306674</v>
      </c>
      <c r="AB360" s="3" t="n">
        <v>27029.590588</v>
      </c>
      <c r="AC360" s="3" t="n">
        <v>27871.311165</v>
      </c>
      <c r="AD360" s="3" t="n">
        <v>30258.438129</v>
      </c>
      <c r="AE360" s="3" t="n">
        <v>32520.348068</v>
      </c>
      <c r="AF360" s="3" t="n">
        <v>34035.30197</v>
      </c>
      <c r="AG360" s="3" t="n">
        <v>35615.659192</v>
      </c>
      <c r="AH360" s="3" t="n">
        <v>36942.495675</v>
      </c>
      <c r="AI360" s="3" t="n">
        <v>38130.308498</v>
      </c>
      <c r="AJ360" s="3" t="n">
        <v>39370.99968</v>
      </c>
      <c r="AK360" s="3" t="n">
        <v>40687.002756</v>
      </c>
      <c r="AL360" s="3" t="n">
        <v>42012.0051</v>
      </c>
      <c r="AM360" s="3" t="n"/>
      <c r="AN360" s="3" t="n"/>
      <c r="AO360" s="3" t="n"/>
      <c r="AP360" s="3" t="n"/>
      <c r="AQ360" s="3" t="n"/>
      <c r="AR360" s="3" t="n"/>
      <c r="AS360" s="3" t="n"/>
      <c r="AT360" s="3" t="n"/>
      <c r="AU360" s="3" t="n"/>
    </row>
    <row r="361">
      <c r="A361" s="3" t="n">
        <v>2025</v>
      </c>
      <c r="B361" s="3" t="inlineStr">
        <is>
          <t>BLR</t>
        </is>
      </c>
      <c r="C361" s="3" t="inlineStr">
        <is>
          <t>IMF.STA:ER</t>
        </is>
      </c>
      <c r="D361" s="3" t="inlineStr">
        <is>
          <t>BLR.XDC_USD.PA_RT.A</t>
        </is>
      </c>
      <c r="E361" s="3" t="inlineStr">
        <is>
          <t>Belarus, Republic of</t>
        </is>
      </c>
      <c r="F361" s="3" t="inlineStr">
        <is>
          <t>Domestic currency per US Dollar</t>
        </is>
      </c>
      <c r="G361" s="3" t="n">
        <v>0.087675</v>
      </c>
      <c r="H361" s="3" t="n">
        <v>0.139</v>
      </c>
      <c r="I361" s="3" t="n">
        <v>0.179091666666666</v>
      </c>
      <c r="J361" s="3" t="n">
        <v>0.205127083333333</v>
      </c>
      <c r="K361" s="3" t="n">
        <v>0.21602575</v>
      </c>
      <c r="L361" s="3" t="n">
        <v>0.215382</v>
      </c>
      <c r="M361" s="3" t="n">
        <v>0.214456416666666</v>
      </c>
      <c r="N361" s="3" t="n">
        <v>0.214607833333333</v>
      </c>
      <c r="O361" s="3" t="n">
        <v>0.21363975</v>
      </c>
      <c r="P361" s="3" t="n">
        <v>0.279304921788469</v>
      </c>
      <c r="Q361" s="3" t="n">
        <v>0.297851</v>
      </c>
      <c r="R361" s="3" t="n">
        <v>0.497463333333333</v>
      </c>
      <c r="S361" s="3" t="n">
        <v>0.833689833333333</v>
      </c>
      <c r="T361" s="3" t="n">
        <v>0.88800525</v>
      </c>
      <c r="U361" s="3" t="n">
        <v>1.02241025</v>
      </c>
      <c r="V361" s="3" t="n">
        <v>1.59259883333333</v>
      </c>
      <c r="W361" s="3" t="n">
        <v>1.98956283333333</v>
      </c>
      <c r="X361" s="3" t="n">
        <v>1.93234166666666</v>
      </c>
      <c r="Y361" s="3" t="n">
        <v>2.03760833333333</v>
      </c>
      <c r="Z361" s="3" t="n">
        <v>2.09178333333333</v>
      </c>
      <c r="AA361" s="3" t="n">
        <v>2.439575</v>
      </c>
      <c r="AB361" s="3" t="n">
        <v>2.538675</v>
      </c>
      <c r="AC361" s="3" t="n">
        <v>2.6261</v>
      </c>
      <c r="AD361" s="3" t="n">
        <v>3.00735</v>
      </c>
      <c r="AE361" s="3" t="n">
        <v>3.24619166666666</v>
      </c>
      <c r="AF361" s="3" t="n">
        <v>3.069175</v>
      </c>
      <c r="AG361" s="3" t="n"/>
      <c r="AH361" s="3" t="n"/>
      <c r="AI361" s="3" t="n"/>
      <c r="AJ361" s="3" t="n"/>
      <c r="AK361" s="3" t="n"/>
      <c r="AL361" s="3" t="n"/>
      <c r="AM361" s="3" t="n"/>
      <c r="AN361" s="3" t="n"/>
      <c r="AO361" s="3" t="n"/>
      <c r="AP361" s="3" t="n"/>
      <c r="AQ361" s="3" t="n"/>
      <c r="AR361" s="3" t="n"/>
      <c r="AS361" s="3" t="n"/>
      <c r="AT361" s="3" t="n"/>
      <c r="AU361" s="3" t="n"/>
    </row>
    <row r="362">
      <c r="A362" s="3" t="n">
        <v>2031</v>
      </c>
      <c r="B362" s="3" t="inlineStr">
        <is>
          <t>BLZ</t>
        </is>
      </c>
      <c r="C362" s="3" t="inlineStr">
        <is>
          <t>IMF.RES:WEO</t>
        </is>
      </c>
      <c r="D362" s="3" t="inlineStr">
        <is>
          <t>BLZ.BCA.A</t>
        </is>
      </c>
      <c r="E362" s="3" t="inlineStr">
        <is>
          <t>Belize</t>
        </is>
      </c>
      <c r="F362" s="3" t="inlineStr">
        <is>
          <t>Current account balance (credit less debit), US dollar</t>
        </is>
      </c>
      <c r="G362" s="3" t="n">
        <v>-0.161572</v>
      </c>
      <c r="H362" s="3" t="n">
        <v>-0.190365</v>
      </c>
      <c r="I362" s="3" t="n">
        <v>-0.165324</v>
      </c>
      <c r="J362" s="3" t="n">
        <v>-0.184286</v>
      </c>
      <c r="K362" s="3" t="n">
        <v>-0.154924</v>
      </c>
      <c r="L362" s="3" t="n">
        <v>-0.151221</v>
      </c>
      <c r="M362" s="3" t="n">
        <v>-0.025384</v>
      </c>
      <c r="N362" s="3" t="n">
        <v>-0.05209</v>
      </c>
      <c r="O362" s="3" t="n">
        <v>-0.144877</v>
      </c>
      <c r="P362" s="3" t="n">
        <v>-0.082839</v>
      </c>
      <c r="Q362" s="3" t="n">
        <v>-0.045737</v>
      </c>
      <c r="R362" s="3" t="n">
        <v>-0.019949</v>
      </c>
      <c r="S362" s="3" t="n">
        <v>-0.033113</v>
      </c>
      <c r="T362" s="3" t="n">
        <v>-0.072586</v>
      </c>
      <c r="U362" s="3" t="n">
        <v>-0.135861</v>
      </c>
      <c r="V362" s="3" t="n">
        <v>-0.174736</v>
      </c>
      <c r="W362" s="3" t="n">
        <v>-0.163456</v>
      </c>
      <c r="X362" s="3" t="n">
        <v>-0.158035</v>
      </c>
      <c r="Y362" s="3" t="n">
        <v>-0.150794</v>
      </c>
      <c r="Z362" s="3" t="n">
        <v>-0.184646</v>
      </c>
      <c r="AA362" s="3" t="n">
        <v>-0.12792</v>
      </c>
      <c r="AB362" s="3" t="n">
        <v>-0.157868</v>
      </c>
      <c r="AC362" s="3" t="n">
        <v>-0.235566</v>
      </c>
      <c r="AD362" s="3" t="n">
        <v>-0.031416</v>
      </c>
      <c r="AE362" s="3" t="n">
        <v>-0.06143</v>
      </c>
      <c r="AF362" s="3" t="n">
        <v>-0.118047</v>
      </c>
      <c r="AG362" s="3" t="n">
        <v>-0.154828</v>
      </c>
      <c r="AH362" s="3" t="n">
        <v>-0.139372</v>
      </c>
      <c r="AI362" s="3" t="n">
        <v>-0.12914</v>
      </c>
      <c r="AJ362" s="3" t="n">
        <v>-0.127188</v>
      </c>
      <c r="AK362" s="3" t="n">
        <v>-0.127762</v>
      </c>
      <c r="AL362" s="3" t="n">
        <v>-0.130305</v>
      </c>
      <c r="AM362" s="3" t="n"/>
      <c r="AN362" s="3" t="n"/>
      <c r="AO362" s="3" t="n"/>
      <c r="AP362" s="3" t="n"/>
      <c r="AQ362" s="3" t="n"/>
      <c r="AR362" s="3" t="n"/>
      <c r="AS362" s="3" t="n"/>
      <c r="AT362" s="3" t="n"/>
      <c r="AU362" s="3" t="n"/>
    </row>
    <row r="363">
      <c r="A363" s="3" t="n">
        <v>2031</v>
      </c>
      <c r="B363" s="3" t="inlineStr">
        <is>
          <t>BLZ</t>
        </is>
      </c>
      <c r="C363" s="3" t="inlineStr">
        <is>
          <t>IMF.RES:WEO</t>
        </is>
      </c>
      <c r="D363" s="3" t="inlineStr">
        <is>
          <t>BLZ.BCA_NGDPD.A</t>
        </is>
      </c>
      <c r="E363" s="3" t="inlineStr">
        <is>
          <t>Belize</t>
        </is>
      </c>
      <c r="F363" s="3" t="inlineStr">
        <is>
          <t>Current account balance (credit less debit), Percent of GDP</t>
        </is>
      </c>
      <c r="G363" s="3" t="n">
        <v>-14.196132</v>
      </c>
      <c r="H363" s="3" t="n">
        <v>-16.242144</v>
      </c>
      <c r="I363" s="3" t="n">
        <v>-13.290645</v>
      </c>
      <c r="J363" s="3" t="n">
        <v>-14.086162</v>
      </c>
      <c r="K363" s="3" t="n">
        <v>-11.064386</v>
      </c>
      <c r="L363" s="3" t="n">
        <v>-10.257161</v>
      </c>
      <c r="M363" s="3" t="n">
        <v>-1.596012</v>
      </c>
      <c r="N363" s="3" t="n">
        <v>-3.053</v>
      </c>
      <c r="O363" s="3" t="n">
        <v>-8.333684999999999</v>
      </c>
      <c r="P363" s="3" t="n">
        <v>-4.907471</v>
      </c>
      <c r="Q363" s="3" t="n">
        <v>-2.615035</v>
      </c>
      <c r="R363" s="3" t="n">
        <v>-1.089164</v>
      </c>
      <c r="S363" s="3" t="n">
        <v>-1.727265</v>
      </c>
      <c r="T363" s="3" t="n">
        <v>-3.566556</v>
      </c>
      <c r="U363" s="3" t="n">
        <v>-6.353884</v>
      </c>
      <c r="V363" s="3" t="n">
        <v>-7.967532</v>
      </c>
      <c r="W363" s="3" t="n">
        <v>-7.298444</v>
      </c>
      <c r="X363" s="3" t="n">
        <v>-6.974098</v>
      </c>
      <c r="Y363" s="3" t="n">
        <v>-6.596676</v>
      </c>
      <c r="Z363" s="3" t="n">
        <v>-7.754353</v>
      </c>
      <c r="AA363" s="3" t="n">
        <v>-6.248266</v>
      </c>
      <c r="AB363" s="3" t="n">
        <v>-6.500369</v>
      </c>
      <c r="AC363" s="3" t="n">
        <v>-8.275316999999999</v>
      </c>
      <c r="AD363" s="3" t="n">
        <v>-1.029245</v>
      </c>
      <c r="AE363" s="3" t="n">
        <v>-1.917511</v>
      </c>
      <c r="AF363" s="3" t="n">
        <v>-3.548483</v>
      </c>
      <c r="AG363" s="3" t="n">
        <v>-4.488288</v>
      </c>
      <c r="AH363" s="3" t="n">
        <v>-3.896092</v>
      </c>
      <c r="AI363" s="3" t="n">
        <v>-3.495253</v>
      </c>
      <c r="AJ363" s="3" t="n">
        <v>-3.332928</v>
      </c>
      <c r="AK363" s="3" t="n">
        <v>-3.241464</v>
      </c>
      <c r="AL363" s="3" t="n">
        <v>-3.20083</v>
      </c>
      <c r="AM363" s="3" t="n"/>
      <c r="AN363" s="3" t="n"/>
      <c r="AO363" s="3" t="n"/>
      <c r="AP363" s="3" t="n"/>
      <c r="AQ363" s="3" t="n"/>
      <c r="AR363" s="3" t="n"/>
      <c r="AS363" s="3" t="n"/>
      <c r="AT363" s="3" t="n"/>
      <c r="AU363" s="3" t="n"/>
    </row>
    <row r="364">
      <c r="A364" s="3" t="n">
        <v>2031</v>
      </c>
      <c r="B364" s="3" t="inlineStr">
        <is>
          <t>BLZ</t>
        </is>
      </c>
      <c r="C364" s="3" t="inlineStr">
        <is>
          <t>IMF.RES:WEO</t>
        </is>
      </c>
      <c r="D364" s="3" t="inlineStr">
        <is>
          <t>BLZ.GGR_NGDP.A</t>
        </is>
      </c>
      <c r="E364" s="3" t="inlineStr">
        <is>
          <t>Belize</t>
        </is>
      </c>
      <c r="F364" s="3" t="inlineStr">
        <is>
          <t>Revenue, General government, Percent of GDP</t>
        </is>
      </c>
      <c r="G364" s="3" t="n">
        <v>16.477629</v>
      </c>
      <c r="H364" s="3" t="n">
        <v>18.622246</v>
      </c>
      <c r="I364" s="3" t="n">
        <v>18.971046</v>
      </c>
      <c r="J364" s="3" t="n">
        <v>16.147734</v>
      </c>
      <c r="K364" s="3" t="n">
        <v>17.181201</v>
      </c>
      <c r="L364" s="3" t="n">
        <v>17.697814</v>
      </c>
      <c r="M364" s="3" t="n">
        <v>18.897012</v>
      </c>
      <c r="N364" s="3" t="n">
        <v>21.870361</v>
      </c>
      <c r="O364" s="3" t="n">
        <v>23.029088</v>
      </c>
      <c r="P364" s="3" t="n">
        <v>20.716668</v>
      </c>
      <c r="Q364" s="3" t="n">
        <v>21.400771</v>
      </c>
      <c r="R364" s="3" t="n">
        <v>22.417007</v>
      </c>
      <c r="S364" s="3" t="n">
        <v>21.832726</v>
      </c>
      <c r="T364" s="3" t="n">
        <v>22.599392</v>
      </c>
      <c r="U364" s="3" t="n">
        <v>23.092515</v>
      </c>
      <c r="V364" s="3" t="n">
        <v>22.804557</v>
      </c>
      <c r="W364" s="3" t="n">
        <v>23.188911</v>
      </c>
      <c r="X364" s="3" t="n">
        <v>24.188046</v>
      </c>
      <c r="Y364" s="3" t="n">
        <v>25.564257</v>
      </c>
      <c r="Z364" s="3" t="n">
        <v>24.629949</v>
      </c>
      <c r="AA364" s="3" t="n">
        <v>24.586733</v>
      </c>
      <c r="AB364" s="3" t="n">
        <v>22.442181</v>
      </c>
      <c r="AC364" s="3" t="n">
        <v>22.380845</v>
      </c>
      <c r="AD364" s="3" t="n">
        <v>23.368431</v>
      </c>
      <c r="AE364" s="3" t="n">
        <v>25.237623</v>
      </c>
      <c r="AF364" s="3" t="n">
        <v>24.908267</v>
      </c>
      <c r="AG364" s="3" t="n">
        <v>24.556633</v>
      </c>
      <c r="AH364" s="3" t="n">
        <v>24.48701</v>
      </c>
      <c r="AI364" s="3" t="n">
        <v>24.475941</v>
      </c>
      <c r="AJ364" s="3" t="n">
        <v>24.469439</v>
      </c>
      <c r="AK364" s="3" t="n">
        <v>24.469439</v>
      </c>
      <c r="AL364" s="3" t="n">
        <v>24.469439</v>
      </c>
      <c r="AM364" s="3" t="n"/>
      <c r="AN364" s="3" t="n"/>
      <c r="AO364" s="3" t="n"/>
      <c r="AP364" s="3" t="n"/>
      <c r="AQ364" s="3" t="n"/>
      <c r="AR364" s="3" t="n"/>
      <c r="AS364" s="3" t="n"/>
      <c r="AT364" s="3" t="n"/>
      <c r="AU364" s="3" t="n"/>
    </row>
    <row r="365">
      <c r="A365" s="3" t="n">
        <v>2031</v>
      </c>
      <c r="B365" s="3" t="inlineStr">
        <is>
          <t>BLZ</t>
        </is>
      </c>
      <c r="C365" s="3" t="inlineStr">
        <is>
          <t>IMF.RES:WEO</t>
        </is>
      </c>
      <c r="D365" s="3" t="inlineStr">
        <is>
          <t>BLZ.GGX_NGDP.A</t>
        </is>
      </c>
      <c r="E365" s="3" t="inlineStr">
        <is>
          <t>Belize</t>
        </is>
      </c>
      <c r="F365" s="3" t="inlineStr">
        <is>
          <t>Expenditure, General government, Percent of GDP</t>
        </is>
      </c>
      <c r="G365" s="3" t="n">
        <v>23.160129</v>
      </c>
      <c r="H365" s="3" t="n">
        <v>25.856708</v>
      </c>
      <c r="I365" s="3" t="n">
        <v>24.377591</v>
      </c>
      <c r="J365" s="3" t="n">
        <v>24.559008</v>
      </c>
      <c r="K365" s="3" t="n">
        <v>21.70312</v>
      </c>
      <c r="L365" s="3" t="n">
        <v>21.400856</v>
      </c>
      <c r="M365" s="3" t="n">
        <v>21.167231</v>
      </c>
      <c r="N365" s="3" t="n">
        <v>22.057561</v>
      </c>
      <c r="O365" s="3" t="n">
        <v>21.775746</v>
      </c>
      <c r="P365" s="3" t="n">
        <v>23.18018</v>
      </c>
      <c r="Q365" s="3" t="n">
        <v>23.304134</v>
      </c>
      <c r="R365" s="3" t="n">
        <v>23.472781</v>
      </c>
      <c r="S365" s="3" t="n">
        <v>22.056405</v>
      </c>
      <c r="T365" s="3" t="n">
        <v>23.807782</v>
      </c>
      <c r="U365" s="3" t="n">
        <v>24.816242</v>
      </c>
      <c r="V365" s="3" t="n">
        <v>27.94762</v>
      </c>
      <c r="W365" s="3" t="n">
        <v>27.661657</v>
      </c>
      <c r="X365" s="3" t="n">
        <v>27.668994</v>
      </c>
      <c r="Y365" s="3" t="n">
        <v>26.930734</v>
      </c>
      <c r="Z365" s="3" t="n">
        <v>27.532201</v>
      </c>
      <c r="AA365" s="3" t="n">
        <v>33.153364</v>
      </c>
      <c r="AB365" s="3" t="n">
        <v>25.732823</v>
      </c>
      <c r="AC365" s="3" t="n">
        <v>23.424081</v>
      </c>
      <c r="AD365" s="3" t="n">
        <v>25.792716</v>
      </c>
      <c r="AE365" s="3" t="n">
        <v>26.752693</v>
      </c>
      <c r="AF365" s="3" t="n">
        <v>25.86861</v>
      </c>
      <c r="AG365" s="3" t="n">
        <v>26.055269</v>
      </c>
      <c r="AH365" s="3" t="n">
        <v>26.273305</v>
      </c>
      <c r="AI365" s="3" t="n">
        <v>26.115496</v>
      </c>
      <c r="AJ365" s="3" t="n">
        <v>25.745431</v>
      </c>
      <c r="AK365" s="3" t="n">
        <v>25.597667</v>
      </c>
      <c r="AL365" s="3" t="n">
        <v>25.556434</v>
      </c>
      <c r="AM365" s="3" t="n"/>
      <c r="AN365" s="3" t="n"/>
      <c r="AO365" s="3" t="n"/>
      <c r="AP365" s="3" t="n"/>
      <c r="AQ365" s="3" t="n"/>
      <c r="AR365" s="3" t="n"/>
      <c r="AS365" s="3" t="n"/>
      <c r="AT365" s="3" t="n"/>
      <c r="AU365" s="3" t="n"/>
    </row>
    <row r="366">
      <c r="A366" s="3" t="n">
        <v>2031</v>
      </c>
      <c r="B366" s="3" t="inlineStr">
        <is>
          <t>BLZ</t>
        </is>
      </c>
      <c r="C366" s="3" t="inlineStr">
        <is>
          <t>IMF.RES:WEO</t>
        </is>
      </c>
      <c r="D366" s="3" t="inlineStr">
        <is>
          <t>BLZ.LP.A</t>
        </is>
      </c>
      <c r="E366" s="3" t="inlineStr">
        <is>
          <t>Belize</t>
        </is>
      </c>
      <c r="F366" s="3" t="inlineStr">
        <is>
          <t>Population, Persons for countries / Index for country groups</t>
        </is>
      </c>
      <c r="G366" s="3" t="n">
        <v>0.249765</v>
      </c>
      <c r="H366" s="3" t="n">
        <v>0.256089</v>
      </c>
      <c r="I366" s="3" t="n">
        <v>0.262623</v>
      </c>
      <c r="J366" s="3" t="n">
        <v>0.269379</v>
      </c>
      <c r="K366" s="3" t="n">
        <v>0.276381</v>
      </c>
      <c r="L366" s="3" t="n">
        <v>0.283601</v>
      </c>
      <c r="M366" s="3" t="n">
        <v>0.29107</v>
      </c>
      <c r="N366" s="3" t="n">
        <v>0.298792</v>
      </c>
      <c r="O366" s="3" t="n">
        <v>0.306809</v>
      </c>
      <c r="P366" s="3" t="n">
        <v>0.315082</v>
      </c>
      <c r="Q366" s="3" t="n">
        <v>0.322453</v>
      </c>
      <c r="R366" s="3" t="n">
        <v>0.328375</v>
      </c>
      <c r="S366" s="3" t="n">
        <v>0.334158</v>
      </c>
      <c r="T366" s="3" t="n">
        <v>0.341655</v>
      </c>
      <c r="U366" s="3" t="n">
        <v>0.349169</v>
      </c>
      <c r="V366" s="3" t="n">
        <v>0.356705</v>
      </c>
      <c r="W366" s="3" t="n">
        <v>0.364118</v>
      </c>
      <c r="X366" s="3" t="n">
        <v>0.371352</v>
      </c>
      <c r="Y366" s="3" t="n">
        <v>0.37877</v>
      </c>
      <c r="Z366" s="3" t="n">
        <v>0.386121</v>
      </c>
      <c r="AA366" s="3" t="n">
        <v>0.392997</v>
      </c>
      <c r="AB366" s="3" t="n">
        <v>0.399373</v>
      </c>
      <c r="AC366" s="3" t="n">
        <v>0.397484</v>
      </c>
      <c r="AD366" s="3" t="n">
        <v>0.404198</v>
      </c>
      <c r="AE366" s="3" t="n">
        <v>0.410919</v>
      </c>
      <c r="AF366" s="3" t="n">
        <v>0.417494</v>
      </c>
      <c r="AG366" s="3" t="n">
        <v>0.42409</v>
      </c>
      <c r="AH366" s="3" t="n">
        <v>0.430706</v>
      </c>
      <c r="AI366" s="3" t="n">
        <v>0.437296</v>
      </c>
      <c r="AJ366" s="3" t="n">
        <v>0.443855</v>
      </c>
      <c r="AK366" s="3" t="n">
        <v>0.450513</v>
      </c>
      <c r="AL366" s="3" t="n">
        <v>0.457271</v>
      </c>
      <c r="AM366" s="3" t="n"/>
      <c r="AN366" s="3" t="n"/>
      <c r="AO366" s="3" t="n"/>
      <c r="AP366" s="3" t="n"/>
      <c r="AQ366" s="3" t="n"/>
      <c r="AR366" s="3" t="n"/>
      <c r="AS366" s="3" t="n"/>
      <c r="AT366" s="3" t="n"/>
      <c r="AU366" s="3" t="n"/>
    </row>
    <row r="367">
      <c r="A367" s="3" t="n">
        <v>2031</v>
      </c>
      <c r="B367" s="3" t="inlineStr">
        <is>
          <t>BLZ</t>
        </is>
      </c>
      <c r="C367" s="3" t="inlineStr">
        <is>
          <t>IMF.RES:WEO</t>
        </is>
      </c>
      <c r="D367" s="3" t="inlineStr">
        <is>
          <t>BLZ.NGDP.A</t>
        </is>
      </c>
      <c r="E367" s="3" t="inlineStr">
        <is>
          <t>Belize</t>
        </is>
      </c>
      <c r="F367" s="3" t="inlineStr">
        <is>
          <t>Gross domestic product (GDP), Current prices, Domestic currency</t>
        </is>
      </c>
      <c r="G367" s="3" t="n">
        <v>2.276276</v>
      </c>
      <c r="H367" s="3" t="n">
        <v>2.34409</v>
      </c>
      <c r="I367" s="3" t="n">
        <v>2.487824</v>
      </c>
      <c r="J367" s="3" t="n">
        <v>2.616561</v>
      </c>
      <c r="K367" s="3" t="n">
        <v>2.800404</v>
      </c>
      <c r="L367" s="3" t="n">
        <v>2.948597</v>
      </c>
      <c r="M367" s="3" t="n">
        <v>3.180926</v>
      </c>
      <c r="N367" s="3" t="n">
        <v>3.412381</v>
      </c>
      <c r="O367" s="3" t="n">
        <v>3.476907</v>
      </c>
      <c r="P367" s="3" t="n">
        <v>3.376025</v>
      </c>
      <c r="Q367" s="3" t="n">
        <v>3.497977</v>
      </c>
      <c r="R367" s="3" t="n">
        <v>3.663153</v>
      </c>
      <c r="S367" s="3" t="n">
        <v>3.834167</v>
      </c>
      <c r="T367" s="3" t="n">
        <v>4.070383</v>
      </c>
      <c r="U367" s="3" t="n">
        <v>4.276484</v>
      </c>
      <c r="V367" s="3" t="n">
        <v>4.38619</v>
      </c>
      <c r="W367" s="3" t="n">
        <v>4.47921</v>
      </c>
      <c r="X367" s="3" t="n">
        <v>4.532057</v>
      </c>
      <c r="Y367" s="3" t="n">
        <v>4.57183</v>
      </c>
      <c r="Z367" s="3" t="n">
        <v>4.762376</v>
      </c>
      <c r="AA367" s="3" t="n">
        <v>4.094569</v>
      </c>
      <c r="AB367" s="3" t="n">
        <v>4.857212</v>
      </c>
      <c r="AC367" s="3" t="n">
        <v>5.693209</v>
      </c>
      <c r="AD367" s="3" t="n">
        <v>6.104725</v>
      </c>
      <c r="AE367" s="3" t="n">
        <v>6.407264</v>
      </c>
      <c r="AF367" s="3" t="n">
        <v>6.653405</v>
      </c>
      <c r="AG367" s="3" t="n">
        <v>6.899221</v>
      </c>
      <c r="AH367" s="3" t="n">
        <v>7.154432</v>
      </c>
      <c r="AI367" s="3" t="n">
        <v>7.38947</v>
      </c>
      <c r="AJ367" s="3" t="n">
        <v>7.63223</v>
      </c>
      <c r="AK367" s="3" t="n">
        <v>7.882964</v>
      </c>
      <c r="AL367" s="3" t="n">
        <v>8.141937</v>
      </c>
      <c r="AM367" s="3" t="n"/>
      <c r="AN367" s="3" t="n"/>
      <c r="AO367" s="3" t="n"/>
      <c r="AP367" s="3" t="n"/>
      <c r="AQ367" s="3" t="n"/>
      <c r="AR367" s="3" t="n"/>
      <c r="AS367" s="3" t="n"/>
      <c r="AT367" s="3" t="n"/>
      <c r="AU367" s="3" t="n"/>
    </row>
    <row r="368">
      <c r="A368" s="3" t="n">
        <v>2031</v>
      </c>
      <c r="B368" s="3" t="inlineStr">
        <is>
          <t>BLZ</t>
        </is>
      </c>
      <c r="C368" s="3" t="inlineStr">
        <is>
          <t>IMF.RES:WEO</t>
        </is>
      </c>
      <c r="D368" s="3" t="inlineStr">
        <is>
          <t>BLZ.NGDP_D.A</t>
        </is>
      </c>
      <c r="E368" s="3" t="inlineStr">
        <is>
          <t>Belize</t>
        </is>
      </c>
      <c r="F368" s="3" t="inlineStr">
        <is>
          <t>Gross domestic product (GDP), Price deflator, Index</t>
        </is>
      </c>
      <c r="G368" s="3" t="n">
        <v>83.295117</v>
      </c>
      <c r="H368" s="3" t="n">
        <v>81.697024</v>
      </c>
      <c r="I368" s="3" t="n">
        <v>82.264939</v>
      </c>
      <c r="J368" s="3" t="n">
        <v>78.89636</v>
      </c>
      <c r="K368" s="3" t="n">
        <v>80.587135</v>
      </c>
      <c r="L368" s="3" t="n">
        <v>83.009535</v>
      </c>
      <c r="M368" s="3" t="n">
        <v>85.684506</v>
      </c>
      <c r="N368" s="3" t="n">
        <v>88.948836</v>
      </c>
      <c r="O368" s="3" t="n">
        <v>92.130211</v>
      </c>
      <c r="P368" s="3" t="n">
        <v>89.85847800000001</v>
      </c>
      <c r="Q368" s="3" t="n">
        <v>91.803185</v>
      </c>
      <c r="R368" s="3" t="n">
        <v>96.2634</v>
      </c>
      <c r="S368" s="3" t="n">
        <v>96.93444700000001</v>
      </c>
      <c r="T368" s="3" t="n">
        <v>98.88526299999999</v>
      </c>
      <c r="U368" s="3" t="n">
        <v>100</v>
      </c>
      <c r="V368" s="3" t="n">
        <v>99.810306</v>
      </c>
      <c r="W368" s="3" t="n">
        <v>101.946126</v>
      </c>
      <c r="X368" s="3" t="n">
        <v>105.075184</v>
      </c>
      <c r="Y368" s="3" t="n">
        <v>105.133064</v>
      </c>
      <c r="Z368" s="3" t="n">
        <v>105.043551</v>
      </c>
      <c r="AA368" s="3" t="n">
        <v>104.436627</v>
      </c>
      <c r="AB368" s="3" t="n">
        <v>104.999396</v>
      </c>
      <c r="AC368" s="3" t="n">
        <v>112.65055</v>
      </c>
      <c r="AD368" s="3" t="n">
        <v>120.192043</v>
      </c>
      <c r="AE368" s="3" t="n">
        <v>121.877141</v>
      </c>
      <c r="AF368" s="3" t="n">
        <v>123.175888</v>
      </c>
      <c r="AG368" s="3" t="n">
        <v>124.986594</v>
      </c>
      <c r="AH368" s="3" t="n">
        <v>126.922127</v>
      </c>
      <c r="AI368" s="3" t="n">
        <v>128.521358</v>
      </c>
      <c r="AJ368" s="3" t="n">
        <v>130.14074</v>
      </c>
      <c r="AK368" s="3" t="n">
        <v>131.780527</v>
      </c>
      <c r="AL368" s="3" t="n">
        <v>133.440986</v>
      </c>
      <c r="AM368" s="3" t="n"/>
      <c r="AN368" s="3" t="n"/>
      <c r="AO368" s="3" t="n"/>
      <c r="AP368" s="3" t="n"/>
      <c r="AQ368" s="3" t="n"/>
      <c r="AR368" s="3" t="n"/>
      <c r="AS368" s="3" t="n"/>
      <c r="AT368" s="3" t="n"/>
      <c r="AU368" s="3" t="n"/>
    </row>
    <row r="369">
      <c r="A369" s="3" t="n">
        <v>2031</v>
      </c>
      <c r="B369" s="3" t="inlineStr">
        <is>
          <t>BLZ</t>
        </is>
      </c>
      <c r="C369" s="3" t="inlineStr">
        <is>
          <t>IMF.RES:WEO</t>
        </is>
      </c>
      <c r="D369" s="3" t="inlineStr">
        <is>
          <t>BLZ.NGDP_R.A</t>
        </is>
      </c>
      <c r="E369" s="3" t="inlineStr">
        <is>
          <t>Belize</t>
        </is>
      </c>
      <c r="F369" s="3" t="inlineStr">
        <is>
          <t>Gross domestic product (GDP), Constant prices, Domestic currency</t>
        </is>
      </c>
      <c r="G369" s="3" t="n">
        <v>2.732785</v>
      </c>
      <c r="H369" s="3" t="n">
        <v>2.869248</v>
      </c>
      <c r="I369" s="3" t="n">
        <v>3.024161</v>
      </c>
      <c r="J369" s="3" t="n">
        <v>3.316453</v>
      </c>
      <c r="K369" s="3" t="n">
        <v>3.475001</v>
      </c>
      <c r="L369" s="3" t="n">
        <v>3.552118</v>
      </c>
      <c r="M369" s="3" t="n">
        <v>3.71237</v>
      </c>
      <c r="N369" s="3" t="n">
        <v>3.836341</v>
      </c>
      <c r="O369" s="3" t="n">
        <v>3.773906</v>
      </c>
      <c r="P369" s="3" t="n">
        <v>3.757047</v>
      </c>
      <c r="Q369" s="3" t="n">
        <v>3.8103</v>
      </c>
      <c r="R369" s="3" t="n">
        <v>3.805344</v>
      </c>
      <c r="S369" s="3" t="n">
        <v>3.955423</v>
      </c>
      <c r="T369" s="3" t="n">
        <v>4.116269</v>
      </c>
      <c r="U369" s="3" t="n">
        <v>4.276484</v>
      </c>
      <c r="V369" s="3" t="n">
        <v>4.394526</v>
      </c>
      <c r="W369" s="3" t="n">
        <v>4.393703</v>
      </c>
      <c r="X369" s="3" t="n">
        <v>4.313156</v>
      </c>
      <c r="Y369" s="3" t="n">
        <v>4.348613</v>
      </c>
      <c r="Z369" s="3" t="n">
        <v>4.533715</v>
      </c>
      <c r="AA369" s="3" t="n">
        <v>3.920626</v>
      </c>
      <c r="AB369" s="3" t="n">
        <v>4.625943</v>
      </c>
      <c r="AC369" s="3" t="n">
        <v>5.053867</v>
      </c>
      <c r="AD369" s="3" t="n">
        <v>5.079143</v>
      </c>
      <c r="AE369" s="3" t="n">
        <v>5.25715</v>
      </c>
      <c r="AF369" s="3" t="n">
        <v>5.401548</v>
      </c>
      <c r="AG369" s="3" t="n">
        <v>5.519969</v>
      </c>
      <c r="AH369" s="3" t="n">
        <v>5.636867</v>
      </c>
      <c r="AI369" s="3" t="n">
        <v>5.749605</v>
      </c>
      <c r="AJ369" s="3" t="n">
        <v>5.864597</v>
      </c>
      <c r="AK369" s="3" t="n">
        <v>5.981889</v>
      </c>
      <c r="AL369" s="3" t="n">
        <v>6.101526</v>
      </c>
      <c r="AM369" s="3" t="n"/>
      <c r="AN369" s="3" t="n"/>
      <c r="AO369" s="3" t="n"/>
      <c r="AP369" s="3" t="n"/>
      <c r="AQ369" s="3" t="n"/>
      <c r="AR369" s="3" t="n"/>
      <c r="AS369" s="3" t="n"/>
      <c r="AT369" s="3" t="n"/>
      <c r="AU369" s="3" t="n"/>
    </row>
    <row r="370">
      <c r="A370" s="3" t="n">
        <v>2031</v>
      </c>
      <c r="B370" s="3" t="inlineStr">
        <is>
          <t>BLZ</t>
        </is>
      </c>
      <c r="C370" s="3" t="inlineStr">
        <is>
          <t>IMF.RES:WEO</t>
        </is>
      </c>
      <c r="D370" s="3" t="inlineStr">
        <is>
          <t>BLZ.NGDP_RPCH.A</t>
        </is>
      </c>
      <c r="E370" s="3" t="inlineStr">
        <is>
          <t>Belize</t>
        </is>
      </c>
      <c r="F370" s="3" t="inlineStr">
        <is>
          <t>Gross domestic product (GDP), Constant prices, Percent change</t>
        </is>
      </c>
      <c r="G370" s="3" t="n">
        <v>12.240614</v>
      </c>
      <c r="H370" s="3" t="n">
        <v>4.993563</v>
      </c>
      <c r="I370" s="3" t="n">
        <v>5.399072</v>
      </c>
      <c r="J370" s="3" t="n">
        <v>9.665225</v>
      </c>
      <c r="K370" s="3" t="n">
        <v>4.780666</v>
      </c>
      <c r="L370" s="3" t="n">
        <v>2.219189</v>
      </c>
      <c r="M370" s="3" t="n">
        <v>4.511455</v>
      </c>
      <c r="N370" s="3" t="n">
        <v>3.339398</v>
      </c>
      <c r="O370" s="3" t="n">
        <v>-1.627478</v>
      </c>
      <c r="P370" s="3" t="n">
        <v>-0.446709</v>
      </c>
      <c r="Q370" s="3" t="n">
        <v>1.417411</v>
      </c>
      <c r="R370" s="3" t="n">
        <v>-0.130072</v>
      </c>
      <c r="S370" s="3" t="n">
        <v>3.943892</v>
      </c>
      <c r="T370" s="3" t="n">
        <v>4.066467</v>
      </c>
      <c r="U370" s="3" t="n">
        <v>3.89226</v>
      </c>
      <c r="V370" s="3" t="n">
        <v>2.76026</v>
      </c>
      <c r="W370" s="3" t="n">
        <v>-0.018741</v>
      </c>
      <c r="X370" s="3" t="n">
        <v>-1.833237</v>
      </c>
      <c r="Y370" s="3" t="n">
        <v>0.822068</v>
      </c>
      <c r="Z370" s="3" t="n">
        <v>4.256586</v>
      </c>
      <c r="AA370" s="3" t="n">
        <v>-13.5229</v>
      </c>
      <c r="AB370" s="3" t="n">
        <v>17.989925</v>
      </c>
      <c r="AC370" s="3" t="n">
        <v>9.250513</v>
      </c>
      <c r="AD370" s="3" t="n">
        <v>0.500128</v>
      </c>
      <c r="AE370" s="3" t="n">
        <v>3.504665</v>
      </c>
      <c r="AF370" s="3" t="n">
        <v>2.746709</v>
      </c>
      <c r="AG370" s="3" t="n">
        <v>2.192348</v>
      </c>
      <c r="AH370" s="3" t="n">
        <v>2.117738</v>
      </c>
      <c r="AI370" s="3" t="n">
        <v>2</v>
      </c>
      <c r="AJ370" s="3" t="n">
        <v>2</v>
      </c>
      <c r="AK370" s="3" t="n">
        <v>2</v>
      </c>
      <c r="AL370" s="3" t="n">
        <v>2</v>
      </c>
      <c r="AM370" s="3" t="n"/>
      <c r="AN370" s="3" t="n"/>
      <c r="AO370" s="3" t="n"/>
      <c r="AP370" s="3" t="n"/>
      <c r="AQ370" s="3" t="n"/>
      <c r="AR370" s="3" t="n"/>
      <c r="AS370" s="3" t="n"/>
      <c r="AT370" s="3" t="n"/>
      <c r="AU370" s="3" t="n"/>
    </row>
    <row r="371">
      <c r="A371" s="3" t="n">
        <v>2031</v>
      </c>
      <c r="B371" s="3" t="inlineStr">
        <is>
          <t>BLZ</t>
        </is>
      </c>
      <c r="C371" s="3" t="inlineStr">
        <is>
          <t>IMF.RES:WEO</t>
        </is>
      </c>
      <c r="D371" s="3" t="inlineStr">
        <is>
          <t>BLZ.NGDPD.A</t>
        </is>
      </c>
      <c r="E371" s="3" t="inlineStr">
        <is>
          <t>Belize</t>
        </is>
      </c>
      <c r="F371" s="3" t="inlineStr">
        <is>
          <t>Gross domestic product (GDP), Current prices, US dollar</t>
        </is>
      </c>
      <c r="G371" s="3" t="n">
        <v>1.138138</v>
      </c>
      <c r="H371" s="3" t="n">
        <v>1.172045</v>
      </c>
      <c r="I371" s="3" t="n">
        <v>1.243912</v>
      </c>
      <c r="J371" s="3" t="n">
        <v>1.30828</v>
      </c>
      <c r="K371" s="3" t="n">
        <v>1.400202</v>
      </c>
      <c r="L371" s="3" t="n">
        <v>1.474298</v>
      </c>
      <c r="M371" s="3" t="n">
        <v>1.590463</v>
      </c>
      <c r="N371" s="3" t="n">
        <v>1.70619</v>
      </c>
      <c r="O371" s="3" t="n">
        <v>1.738454</v>
      </c>
      <c r="P371" s="3" t="n">
        <v>1.688013</v>
      </c>
      <c r="Q371" s="3" t="n">
        <v>1.748988</v>
      </c>
      <c r="R371" s="3" t="n">
        <v>1.831577</v>
      </c>
      <c r="S371" s="3" t="n">
        <v>1.917083</v>
      </c>
      <c r="T371" s="3" t="n">
        <v>2.035191</v>
      </c>
      <c r="U371" s="3" t="n">
        <v>2.138242</v>
      </c>
      <c r="V371" s="3" t="n">
        <v>2.193095</v>
      </c>
      <c r="W371" s="3" t="n">
        <v>2.239605</v>
      </c>
      <c r="X371" s="3" t="n">
        <v>2.266028</v>
      </c>
      <c r="Y371" s="3" t="n">
        <v>2.285915</v>
      </c>
      <c r="Z371" s="3" t="n">
        <v>2.381188</v>
      </c>
      <c r="AA371" s="3" t="n">
        <v>2.047285</v>
      </c>
      <c r="AB371" s="3" t="n">
        <v>2.428606</v>
      </c>
      <c r="AC371" s="3" t="n">
        <v>2.846604</v>
      </c>
      <c r="AD371" s="3" t="n">
        <v>3.052363</v>
      </c>
      <c r="AE371" s="3" t="n">
        <v>3.203632</v>
      </c>
      <c r="AF371" s="3" t="n">
        <v>3.326702</v>
      </c>
      <c r="AG371" s="3" t="n">
        <v>3.449611</v>
      </c>
      <c r="AH371" s="3" t="n">
        <v>3.577216</v>
      </c>
      <c r="AI371" s="3" t="n">
        <v>3.694735</v>
      </c>
      <c r="AJ371" s="3" t="n">
        <v>3.816115</v>
      </c>
      <c r="AK371" s="3" t="n">
        <v>3.941482</v>
      </c>
      <c r="AL371" s="3" t="n">
        <v>4.070969</v>
      </c>
      <c r="AM371" s="3" t="n"/>
      <c r="AN371" s="3" t="n"/>
      <c r="AO371" s="3" t="n"/>
      <c r="AP371" s="3" t="n"/>
      <c r="AQ371" s="3" t="n"/>
      <c r="AR371" s="3" t="n"/>
      <c r="AS371" s="3" t="n"/>
      <c r="AT371" s="3" t="n"/>
      <c r="AU371" s="3" t="n"/>
    </row>
    <row r="372">
      <c r="A372" s="3" t="n">
        <v>2031</v>
      </c>
      <c r="B372" s="3" t="inlineStr">
        <is>
          <t>BLZ</t>
        </is>
      </c>
      <c r="C372" s="3" t="inlineStr">
        <is>
          <t>IMF.RES:WEO</t>
        </is>
      </c>
      <c r="D372" s="3" t="inlineStr">
        <is>
          <t>BLZ.NGDPPC.A</t>
        </is>
      </c>
      <c r="E372" s="3" t="inlineStr">
        <is>
          <t>Belize</t>
        </is>
      </c>
      <c r="F372" s="3" t="inlineStr">
        <is>
          <t>Gross domestic product (GDP), Current prices, Per capita, Domestic currency</t>
        </is>
      </c>
      <c r="G372" s="3" t="n">
        <v>9113.671764000001</v>
      </c>
      <c r="H372" s="3" t="n">
        <v>9153.420335999999</v>
      </c>
      <c r="I372" s="3" t="n">
        <v>9472.986223</v>
      </c>
      <c r="J372" s="3" t="n">
        <v>9713.305541</v>
      </c>
      <c r="K372" s="3" t="n">
        <v>10132.404186</v>
      </c>
      <c r="L372" s="3" t="n">
        <v>10396.989972</v>
      </c>
      <c r="M372" s="3" t="n">
        <v>10928.389101</v>
      </c>
      <c r="N372" s="3" t="n">
        <v>11420.589764</v>
      </c>
      <c r="O372" s="3" t="n">
        <v>11332.481069</v>
      </c>
      <c r="P372" s="3" t="n">
        <v>10714.751955</v>
      </c>
      <c r="Q372" s="3" t="n">
        <v>10848.020599</v>
      </c>
      <c r="R372" s="3" t="n">
        <v>11155.396874</v>
      </c>
      <c r="S372" s="3" t="n">
        <v>11474.114022</v>
      </c>
      <c r="T372" s="3" t="n">
        <v>11913.722731</v>
      </c>
      <c r="U372" s="3" t="n">
        <v>12247.606173</v>
      </c>
      <c r="V372" s="3" t="n">
        <v>12296.408298</v>
      </c>
      <c r="W372" s="3" t="n">
        <v>12301.533886</v>
      </c>
      <c r="X372" s="3" t="n">
        <v>12204.206557</v>
      </c>
      <c r="Y372" s="3" t="n">
        <v>12070.20118</v>
      </c>
      <c r="Z372" s="3" t="n">
        <v>12333.894616</v>
      </c>
      <c r="AA372" s="3" t="n">
        <v>10418.830693</v>
      </c>
      <c r="AB372" s="3" t="n">
        <v>12162.095311</v>
      </c>
      <c r="AC372" s="3" t="n">
        <v>14323.114263</v>
      </c>
      <c r="AD372" s="3" t="n">
        <v>15103.303963</v>
      </c>
      <c r="AE372" s="3" t="n">
        <v>15592.522075</v>
      </c>
      <c r="AF372" s="3" t="n">
        <v>15936.539535</v>
      </c>
      <c r="AG372" s="3" t="n">
        <v>16268.29074</v>
      </c>
      <c r="AH372" s="3" t="n">
        <v>16610.944457</v>
      </c>
      <c r="AI372" s="3" t="n">
        <v>16898.107795</v>
      </c>
      <c r="AJ372" s="3" t="n">
        <v>17195.316356</v>
      </c>
      <c r="AK372" s="3" t="n">
        <v>17497.752303</v>
      </c>
      <c r="AL372" s="3" t="n">
        <v>17805.509105</v>
      </c>
      <c r="AM372" s="3" t="n"/>
      <c r="AN372" s="3" t="n"/>
      <c r="AO372" s="3" t="n"/>
      <c r="AP372" s="3" t="n"/>
      <c r="AQ372" s="3" t="n"/>
      <c r="AR372" s="3" t="n"/>
      <c r="AS372" s="3" t="n"/>
      <c r="AT372" s="3" t="n"/>
      <c r="AU372" s="3" t="n"/>
    </row>
    <row r="373">
      <c r="A373" s="3" t="n">
        <v>2031</v>
      </c>
      <c r="B373" s="3" t="inlineStr">
        <is>
          <t>BLZ</t>
        </is>
      </c>
      <c r="C373" s="3" t="inlineStr">
        <is>
          <t>IMF.RES:WEO</t>
        </is>
      </c>
      <c r="D373" s="3" t="inlineStr">
        <is>
          <t>BLZ.NGDPRPC.A</t>
        </is>
      </c>
      <c r="E373" s="3" t="inlineStr">
        <is>
          <t>Belize</t>
        </is>
      </c>
      <c r="F373" s="3" t="inlineStr">
        <is>
          <t>Gross domestic product (GDP), Constant prices, Per capita, Domestic currency</t>
        </is>
      </c>
      <c r="G373" s="3" t="n">
        <v>10941.423791</v>
      </c>
      <c r="H373" s="3" t="n">
        <v>11204.105009</v>
      </c>
      <c r="I373" s="3" t="n">
        <v>11515.216941</v>
      </c>
      <c r="J373" s="3" t="n">
        <v>12311.474821</v>
      </c>
      <c r="K373" s="3" t="n">
        <v>12573.227895</v>
      </c>
      <c r="L373" s="3" t="n">
        <v>12525.055112</v>
      </c>
      <c r="M373" s="3" t="n">
        <v>12754.218514</v>
      </c>
      <c r="N373" s="3" t="n">
        <v>12839.504458</v>
      </c>
      <c r="O373" s="3" t="n">
        <v>12300.504901</v>
      </c>
      <c r="P373" s="3" t="n">
        <v>11924.030061</v>
      </c>
      <c r="Q373" s="3" t="n">
        <v>11816.605965</v>
      </c>
      <c r="R373" s="3" t="n">
        <v>11588.409337</v>
      </c>
      <c r="S373" s="3" t="n">
        <v>11836.982969</v>
      </c>
      <c r="T373" s="3" t="n">
        <v>12048.026578</v>
      </c>
      <c r="U373" s="3" t="n">
        <v>12247.606173</v>
      </c>
      <c r="V373" s="3" t="n">
        <v>12319.778233</v>
      </c>
      <c r="W373" s="3" t="n">
        <v>12066.700655</v>
      </c>
      <c r="X373" s="3" t="n">
        <v>11614.737311</v>
      </c>
      <c r="Y373" s="3" t="n">
        <v>11480.880253</v>
      </c>
      <c r="Z373" s="3" t="n">
        <v>11741.696198</v>
      </c>
      <c r="AA373" s="3" t="n">
        <v>9976.222874999999</v>
      </c>
      <c r="AB373" s="3" t="n">
        <v>11583.014598</v>
      </c>
      <c r="AC373" s="3" t="n">
        <v>12714.642071</v>
      </c>
      <c r="AD373" s="3" t="n">
        <v>12565.976578</v>
      </c>
      <c r="AE373" s="3" t="n">
        <v>12793.639484</v>
      </c>
      <c r="AF373" s="3" t="n">
        <v>12938.035006</v>
      </c>
      <c r="AG373" s="3" t="n">
        <v>13016.02851</v>
      </c>
      <c r="AH373" s="3" t="n">
        <v>13087.508751</v>
      </c>
      <c r="AI373" s="3" t="n">
        <v>13148.093064</v>
      </c>
      <c r="AJ373" s="3" t="n">
        <v>13212.861958</v>
      </c>
      <c r="AK373" s="3" t="n">
        <v>13277.94991</v>
      </c>
      <c r="AL373" s="3" t="n">
        <v>13343.358492</v>
      </c>
      <c r="AM373" s="3" t="n"/>
      <c r="AN373" s="3" t="n"/>
      <c r="AO373" s="3" t="n"/>
      <c r="AP373" s="3" t="n"/>
      <c r="AQ373" s="3" t="n"/>
      <c r="AR373" s="3" t="n"/>
      <c r="AS373" s="3" t="n"/>
      <c r="AT373" s="3" t="n"/>
      <c r="AU373" s="3" t="n"/>
    </row>
    <row r="374">
      <c r="A374" s="3" t="n">
        <v>2031</v>
      </c>
      <c r="B374" s="3" t="inlineStr">
        <is>
          <t>BLZ</t>
        </is>
      </c>
      <c r="C374" s="3" t="inlineStr">
        <is>
          <t>IMF.RES:WEO</t>
        </is>
      </c>
      <c r="D374" s="3" t="inlineStr">
        <is>
          <t>BLZ.PCPI.A</t>
        </is>
      </c>
      <c r="E374" s="3" t="inlineStr">
        <is>
          <t>Belize</t>
        </is>
      </c>
      <c r="F374" s="3" t="inlineStr">
        <is>
          <t>All Items, Consumer price index (CPI), Period average</t>
        </is>
      </c>
      <c r="G374" s="3" t="n">
        <v>73.305238</v>
      </c>
      <c r="H374" s="3" t="n">
        <v>74.147542</v>
      </c>
      <c r="I374" s="3" t="n">
        <v>75.77527499999999</v>
      </c>
      <c r="J374" s="3" t="n">
        <v>77.761645</v>
      </c>
      <c r="K374" s="3" t="n">
        <v>80.14693699999999</v>
      </c>
      <c r="L374" s="3" t="n">
        <v>83.073436</v>
      </c>
      <c r="M374" s="3" t="n">
        <v>86.59597100000001</v>
      </c>
      <c r="N374" s="3" t="n">
        <v>88.60333799999999</v>
      </c>
      <c r="O374" s="3" t="n">
        <v>94.26901700000001</v>
      </c>
      <c r="P374" s="3" t="n">
        <v>93.227994</v>
      </c>
      <c r="Q374" s="3" t="n">
        <v>94.083806</v>
      </c>
      <c r="R374" s="3" t="n">
        <v>95.641583</v>
      </c>
      <c r="S374" s="3" t="n">
        <v>96.834346</v>
      </c>
      <c r="T374" s="3" t="n">
        <v>97.327956</v>
      </c>
      <c r="U374" s="3" t="n">
        <v>98.497254</v>
      </c>
      <c r="V374" s="3" t="n">
        <v>97.648618</v>
      </c>
      <c r="W374" s="3" t="n">
        <v>98.29424400000001</v>
      </c>
      <c r="X374" s="3" t="n">
        <v>99.424548</v>
      </c>
      <c r="Y374" s="3" t="n">
        <v>99.692662</v>
      </c>
      <c r="Z374" s="3" t="n">
        <v>99.87770399999999</v>
      </c>
      <c r="AA374" s="3" t="n">
        <v>100</v>
      </c>
      <c r="AB374" s="3" t="n">
        <v>103.238845</v>
      </c>
      <c r="AC374" s="3" t="n">
        <v>109.716461</v>
      </c>
      <c r="AD374" s="3" t="n">
        <v>114.54304</v>
      </c>
      <c r="AE374" s="3" t="n">
        <v>118.300464</v>
      </c>
      <c r="AF374" s="3" t="n">
        <v>119.561098</v>
      </c>
      <c r="AG374" s="3" t="n">
        <v>121.318666</v>
      </c>
      <c r="AH374" s="3" t="n">
        <v>123.197397</v>
      </c>
      <c r="AI374" s="3" t="n">
        <v>124.749696</v>
      </c>
      <c r="AJ374" s="3" t="n">
        <v>126.321555</v>
      </c>
      <c r="AK374" s="3" t="n">
        <v>127.913219</v>
      </c>
      <c r="AL374" s="3" t="n">
        <v>129.52495</v>
      </c>
      <c r="AM374" s="3" t="n"/>
      <c r="AN374" s="3" t="n"/>
      <c r="AO374" s="3" t="n"/>
      <c r="AP374" s="3" t="n"/>
      <c r="AQ374" s="3" t="n"/>
      <c r="AR374" s="3" t="n"/>
      <c r="AS374" s="3" t="n"/>
      <c r="AT374" s="3" t="n"/>
      <c r="AU374" s="3" t="n"/>
    </row>
    <row r="375">
      <c r="A375" s="3" t="n">
        <v>2031</v>
      </c>
      <c r="B375" s="3" t="inlineStr">
        <is>
          <t>BLZ</t>
        </is>
      </c>
      <c r="C375" s="3" t="inlineStr">
        <is>
          <t>IMF.RES:WEO</t>
        </is>
      </c>
      <c r="D375" s="3" t="inlineStr">
        <is>
          <t>BLZ.PCPIPCH.A</t>
        </is>
      </c>
      <c r="E375" s="3" t="inlineStr">
        <is>
          <t>Belize</t>
        </is>
      </c>
      <c r="F375" s="3" t="inlineStr">
        <is>
          <t>All Items, Consumer price index (CPI), Period average, percent change</t>
        </is>
      </c>
      <c r="G375" s="3" t="n">
        <v>0.613796</v>
      </c>
      <c r="H375" s="3" t="n">
        <v>1.149038</v>
      </c>
      <c r="I375" s="3" t="n">
        <v>2.195262</v>
      </c>
      <c r="J375" s="3" t="n">
        <v>2.621395</v>
      </c>
      <c r="K375" s="3" t="n">
        <v>3.06744</v>
      </c>
      <c r="L375" s="3" t="n">
        <v>3.651418</v>
      </c>
      <c r="M375" s="3" t="n">
        <v>4.240267</v>
      </c>
      <c r="N375" s="3" t="n">
        <v>2.318083</v>
      </c>
      <c r="O375" s="3" t="n">
        <v>6.394431</v>
      </c>
      <c r="P375" s="3" t="n">
        <v>-1.10431</v>
      </c>
      <c r="Q375" s="3" t="n">
        <v>0.917977</v>
      </c>
      <c r="R375" s="3" t="n">
        <v>1.655733</v>
      </c>
      <c r="S375" s="3" t="n">
        <v>1.247117</v>
      </c>
      <c r="T375" s="3" t="n">
        <v>0.509748</v>
      </c>
      <c r="U375" s="3" t="n">
        <v>1.2014</v>
      </c>
      <c r="V375" s="3" t="n">
        <v>-0.861584</v>
      </c>
      <c r="W375" s="3" t="n">
        <v>0.661174</v>
      </c>
      <c r="X375" s="3" t="n">
        <v>1.149918</v>
      </c>
      <c r="Y375" s="3" t="n">
        <v>0.269666</v>
      </c>
      <c r="Z375" s="3" t="n">
        <v>0.185613</v>
      </c>
      <c r="AA375" s="3" t="n">
        <v>0.122446</v>
      </c>
      <c r="AB375" s="3" t="n">
        <v>3.238845</v>
      </c>
      <c r="AC375" s="3" t="n">
        <v>6.274398</v>
      </c>
      <c r="AD375" s="3" t="n">
        <v>4.399138</v>
      </c>
      <c r="AE375" s="3" t="n">
        <v>3.280361</v>
      </c>
      <c r="AF375" s="3" t="n">
        <v>1.06562</v>
      </c>
      <c r="AG375" s="3" t="n">
        <v>1.470017</v>
      </c>
      <c r="AH375" s="3" t="n">
        <v>1.548592</v>
      </c>
      <c r="AI375" s="3" t="n">
        <v>1.26001</v>
      </c>
      <c r="AJ375" s="3" t="n">
        <v>1.26001</v>
      </c>
      <c r="AK375" s="3" t="n">
        <v>1.26001</v>
      </c>
      <c r="AL375" s="3" t="n">
        <v>1.260019</v>
      </c>
      <c r="AM375" s="3" t="n"/>
      <c r="AN375" s="3" t="n"/>
      <c r="AO375" s="3" t="n"/>
      <c r="AP375" s="3" t="n"/>
      <c r="AQ375" s="3" t="n"/>
      <c r="AR375" s="3" t="n"/>
      <c r="AS375" s="3" t="n"/>
      <c r="AT375" s="3" t="n"/>
      <c r="AU375" s="3" t="n"/>
    </row>
    <row r="376">
      <c r="A376" s="3" t="n">
        <v>2031</v>
      </c>
      <c r="B376" s="3" t="inlineStr">
        <is>
          <t>BLZ</t>
        </is>
      </c>
      <c r="C376" s="3" t="inlineStr">
        <is>
          <t>IMF.RES:WEO</t>
        </is>
      </c>
      <c r="D376" s="3" t="inlineStr">
        <is>
          <t>BLZ.PPPPC.A</t>
        </is>
      </c>
      <c r="E376" s="3" t="inlineStr">
        <is>
          <t>Belize</t>
        </is>
      </c>
      <c r="F376" s="3" t="inlineStr">
        <is>
          <t>Gross domestic product (GDP), Per capita, purchasing power parity (PPP) international dollar, ICP benchmarks 2017-2021</t>
        </is>
      </c>
      <c r="G376" s="3" t="n">
        <v>6279.369651</v>
      </c>
      <c r="H376" s="3" t="n">
        <v>6574.906472</v>
      </c>
      <c r="I376" s="3" t="n">
        <v>6862.489929</v>
      </c>
      <c r="J376" s="3" t="n">
        <v>7481.868155</v>
      </c>
      <c r="K376" s="3" t="n">
        <v>7846.395212</v>
      </c>
      <c r="L376" s="3" t="n">
        <v>8061.438903</v>
      </c>
      <c r="M376" s="3" t="n">
        <v>8462.088062000001</v>
      </c>
      <c r="N376" s="3" t="n">
        <v>8749.466898999999</v>
      </c>
      <c r="O376" s="3" t="n">
        <v>8543.641208999999</v>
      </c>
      <c r="P376" s="3" t="n">
        <v>8333.230141</v>
      </c>
      <c r="Q376" s="3" t="n">
        <v>8358.523241000001</v>
      </c>
      <c r="R376" s="3" t="n">
        <v>8366.234134</v>
      </c>
      <c r="S376" s="3" t="n">
        <v>8704.806457999999</v>
      </c>
      <c r="T376" s="3" t="n">
        <v>9010.803689</v>
      </c>
      <c r="U376" s="3" t="n">
        <v>9319.612981</v>
      </c>
      <c r="V376" s="3" t="n">
        <v>9461.531752000001</v>
      </c>
      <c r="W376" s="3" t="n">
        <v>9355.22819</v>
      </c>
      <c r="X376" s="3" t="n">
        <v>9166.090647000001</v>
      </c>
      <c r="Y376" s="3" t="n">
        <v>9533.742381</v>
      </c>
      <c r="Z376" s="3" t="n">
        <v>10492.021636</v>
      </c>
      <c r="AA376" s="3" t="n">
        <v>9585.304447</v>
      </c>
      <c r="AB376" s="3" t="n">
        <v>11598.187456</v>
      </c>
      <c r="AC376" s="3" t="n">
        <v>13636.799848</v>
      </c>
      <c r="AD376" s="3" t="n">
        <v>13976.018581</v>
      </c>
      <c r="AE376" s="3" t="n">
        <v>14582.474748</v>
      </c>
      <c r="AF376" s="3" t="n">
        <v>15165.399637</v>
      </c>
      <c r="AG376" s="3" t="n">
        <v>15693.905356</v>
      </c>
      <c r="AH376" s="3" t="n">
        <v>16126.607072</v>
      </c>
      <c r="AI376" s="3" t="n">
        <v>16467.185834</v>
      </c>
      <c r="AJ376" s="3" t="n">
        <v>16842.551754</v>
      </c>
      <c r="AK376" s="3" t="n">
        <v>17236.530912</v>
      </c>
      <c r="AL376" s="3" t="n">
        <v>17634.144147</v>
      </c>
      <c r="AM376" s="3" t="n"/>
      <c r="AN376" s="3" t="n"/>
      <c r="AO376" s="3" t="n"/>
      <c r="AP376" s="3" t="n"/>
      <c r="AQ376" s="3" t="n"/>
      <c r="AR376" s="3" t="n"/>
      <c r="AS376" s="3" t="n"/>
      <c r="AT376" s="3" t="n"/>
      <c r="AU376" s="3" t="n"/>
    </row>
    <row r="377">
      <c r="A377" s="3" t="n">
        <v>2025</v>
      </c>
      <c r="B377" s="3" t="inlineStr">
        <is>
          <t>BLZ</t>
        </is>
      </c>
      <c r="C377" s="3" t="inlineStr">
        <is>
          <t>IMF.STA:ER</t>
        </is>
      </c>
      <c r="D377" s="3" t="inlineStr">
        <is>
          <t>BLZ.XDC_USD.PA_RT.A</t>
        </is>
      </c>
      <c r="E377" s="3" t="inlineStr">
        <is>
          <t>Belize</t>
        </is>
      </c>
      <c r="F377" s="3" t="inlineStr">
        <is>
          <t>Domestic currency per US Dollar</t>
        </is>
      </c>
      <c r="G377" s="3" t="n">
        <v>2</v>
      </c>
      <c r="H377" s="3" t="n">
        <v>2</v>
      </c>
      <c r="I377" s="3" t="n">
        <v>2</v>
      </c>
      <c r="J377" s="3" t="n">
        <v>2</v>
      </c>
      <c r="K377" s="3" t="n">
        <v>2</v>
      </c>
      <c r="L377" s="3" t="n">
        <v>2</v>
      </c>
      <c r="M377" s="3" t="n">
        <v>2</v>
      </c>
      <c r="N377" s="3" t="n">
        <v>2</v>
      </c>
      <c r="O377" s="3" t="n">
        <v>2</v>
      </c>
      <c r="P377" s="3" t="n">
        <v>2</v>
      </c>
      <c r="Q377" s="3" t="n">
        <v>2</v>
      </c>
      <c r="R377" s="3" t="n">
        <v>2</v>
      </c>
      <c r="S377" s="3" t="n">
        <v>2</v>
      </c>
      <c r="T377" s="3" t="n">
        <v>2</v>
      </c>
      <c r="U377" s="3" t="n">
        <v>2</v>
      </c>
      <c r="V377" s="3" t="n">
        <v>2</v>
      </c>
      <c r="W377" s="3" t="n">
        <v>2</v>
      </c>
      <c r="X377" s="3" t="n">
        <v>2</v>
      </c>
      <c r="Y377" s="3" t="n">
        <v>2</v>
      </c>
      <c r="Z377" s="3" t="n">
        <v>2</v>
      </c>
      <c r="AA377" s="3" t="n">
        <v>2</v>
      </c>
      <c r="AB377" s="3" t="n">
        <v>2</v>
      </c>
      <c r="AC377" s="3" t="n">
        <v>2</v>
      </c>
      <c r="AD377" s="3" t="n">
        <v>2</v>
      </c>
      <c r="AE377" s="3" t="n">
        <v>2</v>
      </c>
      <c r="AF377" s="3" t="n">
        <v>2</v>
      </c>
      <c r="AG377" s="3" t="n"/>
      <c r="AH377" s="3" t="n"/>
      <c r="AI377" s="3" t="n"/>
      <c r="AJ377" s="3" t="n"/>
      <c r="AK377" s="3" t="n"/>
      <c r="AL377" s="3" t="n"/>
      <c r="AM377" s="3" t="n"/>
      <c r="AN377" s="3" t="n"/>
      <c r="AO377" s="3" t="n"/>
      <c r="AP377" s="3" t="n"/>
      <c r="AQ377" s="3" t="n"/>
      <c r="AR377" s="3" t="n"/>
      <c r="AS377" s="3" t="n"/>
      <c r="AT377" s="3" t="n"/>
      <c r="AU377" s="3" t="n"/>
    </row>
    <row r="378">
      <c r="A378" s="3" t="n">
        <v>2025</v>
      </c>
      <c r="B378" s="3" t="inlineStr">
        <is>
          <t>BMU</t>
        </is>
      </c>
      <c r="C378" s="3" t="inlineStr">
        <is>
          <t>IMF.STA:ER</t>
        </is>
      </c>
      <c r="D378" s="3" t="inlineStr">
        <is>
          <t>BMU.XDC_USD.PA_RT.A</t>
        </is>
      </c>
      <c r="E378" s="3" t="inlineStr">
        <is>
          <t>Bermuda</t>
        </is>
      </c>
      <c r="F378" s="3" t="inlineStr">
        <is>
          <t>Domestic currency per US Dollar</t>
        </is>
      </c>
      <c r="G378" s="3" t="n">
        <v>1</v>
      </c>
      <c r="H378" s="3" t="n">
        <v>1</v>
      </c>
      <c r="I378" s="3" t="n">
        <v>1</v>
      </c>
      <c r="J378" s="3" t="n">
        <v>1</v>
      </c>
      <c r="K378" s="3" t="n">
        <v>1</v>
      </c>
      <c r="L378" s="3" t="n">
        <v>1</v>
      </c>
      <c r="M378" s="3" t="n">
        <v>1</v>
      </c>
      <c r="N378" s="3" t="n">
        <v>1</v>
      </c>
      <c r="O378" s="3" t="n">
        <v>1</v>
      </c>
      <c r="P378" s="3" t="n">
        <v>1</v>
      </c>
      <c r="Q378" s="3" t="n">
        <v>1</v>
      </c>
      <c r="R378" s="3" t="n">
        <v>1</v>
      </c>
      <c r="S378" s="3" t="n">
        <v>1</v>
      </c>
      <c r="T378" s="3" t="n">
        <v>1</v>
      </c>
      <c r="U378" s="3" t="n">
        <v>1</v>
      </c>
      <c r="V378" s="3" t="n">
        <v>1</v>
      </c>
      <c r="W378" s="3" t="n">
        <v>1</v>
      </c>
      <c r="X378" s="3" t="n">
        <v>1</v>
      </c>
      <c r="Y378" s="3" t="n">
        <v>1</v>
      </c>
      <c r="Z378" s="3" t="n">
        <v>1</v>
      </c>
      <c r="AA378" s="3" t="n">
        <v>1</v>
      </c>
      <c r="AB378" s="3" t="n">
        <v>1</v>
      </c>
      <c r="AC378" s="3" t="n">
        <v>1</v>
      </c>
      <c r="AD378" s="3" t="n">
        <v>1</v>
      </c>
      <c r="AE378" s="3" t="n">
        <v>1</v>
      </c>
      <c r="AF378" s="3" t="n">
        <v>1</v>
      </c>
      <c r="AG378" s="3" t="n"/>
      <c r="AH378" s="3" t="n"/>
      <c r="AI378" s="3" t="n"/>
      <c r="AJ378" s="3" t="n"/>
      <c r="AK378" s="3" t="n"/>
      <c r="AL378" s="3" t="n"/>
      <c r="AM378" s="3" t="n"/>
      <c r="AN378" s="3" t="n"/>
      <c r="AO378" s="3" t="n"/>
      <c r="AP378" s="3" t="n"/>
      <c r="AQ378" s="3" t="n"/>
      <c r="AR378" s="3" t="n"/>
      <c r="AS378" s="3" t="n"/>
      <c r="AT378" s="3" t="n"/>
      <c r="AU378" s="3" t="n"/>
    </row>
    <row r="379">
      <c r="A379" s="3" t="n">
        <v>2026</v>
      </c>
      <c r="B379" s="3" t="inlineStr">
        <is>
          <t>BOL</t>
        </is>
      </c>
      <c r="C379" s="3" t="inlineStr">
        <is>
          <t>IMF.RES:WEO</t>
        </is>
      </c>
      <c r="D379" s="3" t="inlineStr">
        <is>
          <t>BOL.BCA.A</t>
        </is>
      </c>
      <c r="E379" s="3" t="inlineStr">
        <is>
          <t>Bolivia</t>
        </is>
      </c>
      <c r="F379" s="3" t="inlineStr">
        <is>
          <t>Current account balance (credit less debit), US dollar</t>
        </is>
      </c>
      <c r="G379" s="3" t="n">
        <v>-0.44645</v>
      </c>
      <c r="H379" s="3" t="n">
        <v>-0.27395</v>
      </c>
      <c r="I379" s="3" t="n">
        <v>-0.34992</v>
      </c>
      <c r="J379" s="3" t="n">
        <v>0.084353</v>
      </c>
      <c r="K379" s="3" t="n">
        <v>0.324531</v>
      </c>
      <c r="L379" s="3" t="n">
        <v>0.622439</v>
      </c>
      <c r="M379" s="3" t="n">
        <v>1.317472</v>
      </c>
      <c r="N379" s="3" t="n">
        <v>1.591246</v>
      </c>
      <c r="O379" s="3" t="n">
        <v>1.992699</v>
      </c>
      <c r="P379" s="3" t="n">
        <v>0.81354</v>
      </c>
      <c r="Q379" s="3" t="n">
        <v>0.873746</v>
      </c>
      <c r="R379" s="3" t="n">
        <v>0.537205</v>
      </c>
      <c r="S379" s="3" t="n">
        <v>1.970039</v>
      </c>
      <c r="T379" s="3" t="n">
        <v>1.053982</v>
      </c>
      <c r="U379" s="3" t="n">
        <v>0.5704090000000001</v>
      </c>
      <c r="V379" s="3" t="n">
        <v>-1.936209</v>
      </c>
      <c r="W379" s="3" t="n">
        <v>-1.907244</v>
      </c>
      <c r="X379" s="3" t="n">
        <v>-1.898242</v>
      </c>
      <c r="Y379" s="3" t="n">
        <v>-1.724978</v>
      </c>
      <c r="Z379" s="3" t="n">
        <v>-1.366095</v>
      </c>
      <c r="AA379" s="3" t="n">
        <v>-0.015916</v>
      </c>
      <c r="AB379" s="3" t="n">
        <v>1.591563</v>
      </c>
      <c r="AC379" s="3" t="n">
        <v>1.154275</v>
      </c>
      <c r="AD379" s="3" t="n">
        <v>-1.144744</v>
      </c>
      <c r="AE379" s="3" t="n">
        <v>-1.304994</v>
      </c>
      <c r="AF379" s="3" t="n">
        <v>-1.218921</v>
      </c>
      <c r="AG379" s="3" t="n">
        <v>0.999584</v>
      </c>
      <c r="AH379" s="3" t="n"/>
      <c r="AI379" s="3" t="n"/>
      <c r="AJ379" s="3" t="n"/>
      <c r="AK379" s="3" t="n"/>
      <c r="AL379" s="3" t="n"/>
      <c r="AM379" s="3" t="n"/>
      <c r="AN379" s="3" t="n"/>
      <c r="AO379" s="3" t="n"/>
      <c r="AP379" s="3" t="n"/>
      <c r="AQ379" s="3" t="n"/>
      <c r="AR379" s="3" t="n"/>
      <c r="AS379" s="3" t="n"/>
      <c r="AT379" s="3" t="n"/>
      <c r="AU379" s="3" t="n"/>
    </row>
    <row r="380">
      <c r="A380" s="3" t="n">
        <v>2026</v>
      </c>
      <c r="B380" s="3" t="inlineStr">
        <is>
          <t>BOL</t>
        </is>
      </c>
      <c r="C380" s="3" t="inlineStr">
        <is>
          <t>IMF.RES:WEO</t>
        </is>
      </c>
      <c r="D380" s="3" t="inlineStr">
        <is>
          <t>BOL.BCA_NGDPD.A</t>
        </is>
      </c>
      <c r="E380" s="3" t="inlineStr">
        <is>
          <t>Bolivia</t>
        </is>
      </c>
      <c r="F380" s="3" t="inlineStr">
        <is>
          <t>Current account balance (credit less debit), Percent of GDP</t>
        </is>
      </c>
      <c r="G380" s="3" t="n">
        <v>-4.764264</v>
      </c>
      <c r="H380" s="3" t="n">
        <v>-3.01049</v>
      </c>
      <c r="I380" s="3" t="n">
        <v>-3.933703</v>
      </c>
      <c r="J380" s="3" t="n">
        <v>0.931416</v>
      </c>
      <c r="K380" s="3" t="n">
        <v>3.315031</v>
      </c>
      <c r="L380" s="3" t="n">
        <v>5.789916</v>
      </c>
      <c r="M380" s="3" t="n">
        <v>10.21516</v>
      </c>
      <c r="N380" s="3" t="n">
        <v>10.672201</v>
      </c>
      <c r="O380" s="3" t="n">
        <v>10.444805</v>
      </c>
      <c r="P380" s="3" t="n">
        <v>4.053291</v>
      </c>
      <c r="Q380" s="3" t="n">
        <v>3.849406</v>
      </c>
      <c r="R380" s="3" t="n">
        <v>1.924442</v>
      </c>
      <c r="S380" s="3" t="n">
        <v>6.265328</v>
      </c>
      <c r="T380" s="3" t="n">
        <v>2.930538</v>
      </c>
      <c r="U380" s="3" t="n">
        <v>1.451167</v>
      </c>
      <c r="V380" s="3" t="n">
        <v>-4.836469</v>
      </c>
      <c r="W380" s="3" t="n">
        <v>-4.584089</v>
      </c>
      <c r="X380" s="3" t="n">
        <v>-4.103225</v>
      </c>
      <c r="Y380" s="3" t="n">
        <v>-3.53719</v>
      </c>
      <c r="Z380" s="3" t="n">
        <v>-2.76458</v>
      </c>
      <c r="AA380" s="3" t="n">
        <v>-0.037341</v>
      </c>
      <c r="AB380" s="3" t="n">
        <v>3.300158</v>
      </c>
      <c r="AC380" s="3" t="n">
        <v>2.248713</v>
      </c>
      <c r="AD380" s="3" t="n">
        <v>-2.171295</v>
      </c>
      <c r="AE380" s="3" t="n">
        <v>-2.360642</v>
      </c>
      <c r="AF380" s="3" t="n">
        <v>-1.897166</v>
      </c>
      <c r="AG380" s="3" t="n">
        <v>1.237977</v>
      </c>
      <c r="AH380" s="3" t="n"/>
      <c r="AI380" s="3" t="n"/>
      <c r="AJ380" s="3" t="n"/>
      <c r="AK380" s="3" t="n"/>
      <c r="AL380" s="3" t="n"/>
      <c r="AM380" s="3" t="n"/>
      <c r="AN380" s="3" t="n"/>
      <c r="AO380" s="3" t="n"/>
      <c r="AP380" s="3" t="n"/>
      <c r="AQ380" s="3" t="n"/>
      <c r="AR380" s="3" t="n"/>
      <c r="AS380" s="3" t="n"/>
      <c r="AT380" s="3" t="n"/>
      <c r="AU380" s="3" t="n"/>
    </row>
    <row r="381">
      <c r="A381" s="3" t="n">
        <v>2026</v>
      </c>
      <c r="B381" s="3" t="inlineStr">
        <is>
          <t>BOL</t>
        </is>
      </c>
      <c r="C381" s="3" t="inlineStr">
        <is>
          <t>IMF.RES:WEO</t>
        </is>
      </c>
      <c r="D381" s="3" t="inlineStr">
        <is>
          <t>BOL.GGR_NGDP.A</t>
        </is>
      </c>
      <c r="E381" s="3" t="inlineStr">
        <is>
          <t>Bolivia</t>
        </is>
      </c>
      <c r="F381" s="3" t="inlineStr">
        <is>
          <t>Revenue, General government, Percent of GDP</t>
        </is>
      </c>
      <c r="G381" s="3" t="n">
        <v>22.893538</v>
      </c>
      <c r="H381" s="3" t="n">
        <v>22.525989</v>
      </c>
      <c r="I381" s="3" t="n">
        <v>21.810525</v>
      </c>
      <c r="J381" s="3" t="n">
        <v>21.546559</v>
      </c>
      <c r="K381" s="3" t="n">
        <v>24.049781</v>
      </c>
      <c r="L381" s="3" t="n">
        <v>27.5498</v>
      </c>
      <c r="M381" s="3" t="n">
        <v>30.64104</v>
      </c>
      <c r="N381" s="3" t="n">
        <v>27.577741</v>
      </c>
      <c r="O381" s="3" t="n">
        <v>34.203739</v>
      </c>
      <c r="P381" s="3" t="n">
        <v>31.179781</v>
      </c>
      <c r="Q381" s="3" t="n">
        <v>28.87374</v>
      </c>
      <c r="R381" s="3" t="n">
        <v>31.287566</v>
      </c>
      <c r="S381" s="3" t="n">
        <v>32.756865</v>
      </c>
      <c r="T381" s="3" t="n">
        <v>30.942908</v>
      </c>
      <c r="U381" s="3" t="n">
        <v>31.993431</v>
      </c>
      <c r="V381" s="3" t="n">
        <v>31.202821</v>
      </c>
      <c r="W381" s="3" t="n">
        <v>26.912767</v>
      </c>
      <c r="X381" s="3" t="n">
        <v>25.141717</v>
      </c>
      <c r="Y381" s="3" t="n">
        <v>24.58468</v>
      </c>
      <c r="Z381" s="3" t="n">
        <v>24.089525</v>
      </c>
      <c r="AA381" s="3" t="n">
        <v>20.952234</v>
      </c>
      <c r="AB381" s="3" t="n">
        <v>21.566383</v>
      </c>
      <c r="AC381" s="3" t="n">
        <v>25.029699</v>
      </c>
      <c r="AD381" s="3" t="n">
        <v>24.024941</v>
      </c>
      <c r="AE381" s="3" t="n">
        <v>24.822739</v>
      </c>
      <c r="AF381" s="3" t="n">
        <v>20.577463</v>
      </c>
      <c r="AG381" s="3" t="n">
        <v>19.703639</v>
      </c>
      <c r="AH381" s="3" t="n"/>
      <c r="AI381" s="3" t="n"/>
      <c r="AJ381" s="3" t="n"/>
      <c r="AK381" s="3" t="n"/>
      <c r="AL381" s="3" t="n"/>
      <c r="AM381" s="3" t="n"/>
      <c r="AN381" s="3" t="n"/>
      <c r="AO381" s="3" t="n"/>
      <c r="AP381" s="3" t="n"/>
      <c r="AQ381" s="3" t="n"/>
      <c r="AR381" s="3" t="n"/>
      <c r="AS381" s="3" t="n"/>
      <c r="AT381" s="3" t="n"/>
      <c r="AU381" s="3" t="n"/>
    </row>
    <row r="382">
      <c r="A382" s="3" t="n">
        <v>2026</v>
      </c>
      <c r="B382" s="3" t="inlineStr">
        <is>
          <t>BOL</t>
        </is>
      </c>
      <c r="C382" s="3" t="inlineStr">
        <is>
          <t>IMF.RES:WEO</t>
        </is>
      </c>
      <c r="D382" s="3" t="inlineStr">
        <is>
          <t>BOL.GGX_NGDP.A</t>
        </is>
      </c>
      <c r="E382" s="3" t="inlineStr">
        <is>
          <t>Bolivia</t>
        </is>
      </c>
      <c r="F382" s="3" t="inlineStr">
        <is>
          <t>Expenditure, General government, Percent of GDP</t>
        </is>
      </c>
      <c r="G382" s="3" t="n">
        <v>26.22932</v>
      </c>
      <c r="H382" s="3" t="n">
        <v>28.637652</v>
      </c>
      <c r="I382" s="3" t="n">
        <v>29.632365</v>
      </c>
      <c r="J382" s="3" t="n">
        <v>28.583353</v>
      </c>
      <c r="K382" s="3" t="n">
        <v>29.024132</v>
      </c>
      <c r="L382" s="3" t="n">
        <v>29.548715</v>
      </c>
      <c r="M382" s="3" t="n">
        <v>26.648435</v>
      </c>
      <c r="N382" s="3" t="n">
        <v>28.942808</v>
      </c>
      <c r="O382" s="3" t="n">
        <v>31.098833</v>
      </c>
      <c r="P382" s="3" t="n">
        <v>28.891232</v>
      </c>
      <c r="Q382" s="3" t="n">
        <v>27.458252</v>
      </c>
      <c r="R382" s="3" t="n">
        <v>30.568746</v>
      </c>
      <c r="S382" s="3" t="n">
        <v>31.268466</v>
      </c>
      <c r="T382" s="3" t="n">
        <v>30.431652</v>
      </c>
      <c r="U382" s="3" t="n">
        <v>34.876955</v>
      </c>
      <c r="V382" s="3" t="n">
        <v>36.961038</v>
      </c>
      <c r="W382" s="3" t="n">
        <v>32.864876</v>
      </c>
      <c r="X382" s="3" t="n">
        <v>31.556858</v>
      </c>
      <c r="Y382" s="3" t="n">
        <v>31.385185</v>
      </c>
      <c r="Z382" s="3" t="n">
        <v>30.132816</v>
      </c>
      <c r="AA382" s="3" t="n">
        <v>31.9347</v>
      </c>
      <c r="AB382" s="3" t="n">
        <v>29.43192</v>
      </c>
      <c r="AC382" s="3" t="n">
        <v>31.178358</v>
      </c>
      <c r="AD382" s="3" t="n">
        <v>33.486503</v>
      </c>
      <c r="AE382" s="3" t="n">
        <v>33.523646</v>
      </c>
      <c r="AF382" s="3" t="n">
        <v>32.176269</v>
      </c>
      <c r="AG382" s="3" t="n">
        <v>29.0024</v>
      </c>
      <c r="AH382" s="3" t="n"/>
      <c r="AI382" s="3" t="n"/>
      <c r="AJ382" s="3" t="n"/>
      <c r="AK382" s="3" t="n"/>
      <c r="AL382" s="3" t="n"/>
      <c r="AM382" s="3" t="n"/>
      <c r="AN382" s="3" t="n"/>
      <c r="AO382" s="3" t="n"/>
      <c r="AP382" s="3" t="n"/>
      <c r="AQ382" s="3" t="n"/>
      <c r="AR382" s="3" t="n"/>
      <c r="AS382" s="3" t="n"/>
      <c r="AT382" s="3" t="n"/>
      <c r="AU382" s="3" t="n"/>
    </row>
    <row r="383">
      <c r="A383" s="3" t="n">
        <v>2026</v>
      </c>
      <c r="B383" s="3" t="inlineStr">
        <is>
          <t>BOL</t>
        </is>
      </c>
      <c r="C383" s="3" t="inlineStr">
        <is>
          <t>IMF.RES:WEO</t>
        </is>
      </c>
      <c r="D383" s="3" t="inlineStr">
        <is>
          <t>BOL.LP.A</t>
        </is>
      </c>
      <c r="E383" s="3" t="inlineStr">
        <is>
          <t>Bolivia</t>
        </is>
      </c>
      <c r="F383" s="3" t="inlineStr">
        <is>
          <t>Population, Persons for countries / Index for country groups</t>
        </is>
      </c>
      <c r="G383" s="3" t="n">
        <v>8.606325999999999</v>
      </c>
      <c r="H383" s="3" t="n">
        <v>8.752736000000001</v>
      </c>
      <c r="I383" s="3" t="n">
        <v>8.900356</v>
      </c>
      <c r="J383" s="3" t="n">
        <v>9.050700000000001</v>
      </c>
      <c r="K383" s="3" t="n">
        <v>9.204287000000001</v>
      </c>
      <c r="L383" s="3" t="n">
        <v>9.360754</v>
      </c>
      <c r="M383" s="3" t="n">
        <v>9.521689</v>
      </c>
      <c r="N383" s="3" t="n">
        <v>9.68596</v>
      </c>
      <c r="O383" s="3" t="n">
        <v>9.850858000000001</v>
      </c>
      <c r="P383" s="3" t="n">
        <v>10.016276</v>
      </c>
      <c r="Q383" s="3" t="n">
        <v>10.182345</v>
      </c>
      <c r="R383" s="3" t="n">
        <v>10.348929</v>
      </c>
      <c r="S383" s="3" t="n">
        <v>10.515807</v>
      </c>
      <c r="T383" s="3" t="n">
        <v>10.682608</v>
      </c>
      <c r="U383" s="3" t="n">
        <v>10.848889</v>
      </c>
      <c r="V383" s="3" t="n">
        <v>11.014705</v>
      </c>
      <c r="W383" s="3" t="n">
        <v>11.18002</v>
      </c>
      <c r="X383" s="3" t="n">
        <v>11.344588</v>
      </c>
      <c r="Y383" s="3" t="n">
        <v>11.508368</v>
      </c>
      <c r="Z383" s="3" t="n">
        <v>11.671386</v>
      </c>
      <c r="AA383" s="3" t="n">
        <v>11.8163</v>
      </c>
      <c r="AB383" s="3" t="n">
        <v>11.93736</v>
      </c>
      <c r="AC383" s="3" t="n">
        <v>12.077154</v>
      </c>
      <c r="AD383" s="3" t="n">
        <v>12.24416</v>
      </c>
      <c r="AE383" s="3" t="n">
        <v>12.413315</v>
      </c>
      <c r="AF383" s="3" t="n">
        <v>12.581843</v>
      </c>
      <c r="AG383" s="3" t="n">
        <v>12.749291</v>
      </c>
      <c r="AH383" s="3" t="n"/>
      <c r="AI383" s="3" t="n"/>
      <c r="AJ383" s="3" t="n"/>
      <c r="AK383" s="3" t="n"/>
      <c r="AL383" s="3" t="n"/>
      <c r="AM383" s="3" t="n"/>
      <c r="AN383" s="3" t="n"/>
      <c r="AO383" s="3" t="n"/>
      <c r="AP383" s="3" t="n"/>
      <c r="AQ383" s="3" t="n"/>
      <c r="AR383" s="3" t="n"/>
      <c r="AS383" s="3" t="n"/>
      <c r="AT383" s="3" t="n"/>
      <c r="AU383" s="3" t="n"/>
    </row>
    <row r="384">
      <c r="A384" s="3" t="n">
        <v>2026</v>
      </c>
      <c r="B384" s="3" t="inlineStr">
        <is>
          <t>BOL</t>
        </is>
      </c>
      <c r="C384" s="3" t="inlineStr">
        <is>
          <t>IMF.RES:WEO</t>
        </is>
      </c>
      <c r="D384" s="3" t="inlineStr">
        <is>
          <t>BOL.NGDP.A</t>
        </is>
      </c>
      <c r="E384" s="3" t="inlineStr">
        <is>
          <t>Bolivia</t>
        </is>
      </c>
      <c r="F384" s="3" t="inlineStr">
        <is>
          <t>Gross domestic product (GDP), Current prices, Domestic currency</t>
        </is>
      </c>
      <c r="G384" s="3" t="n">
        <v>58.036226</v>
      </c>
      <c r="H384" s="3" t="n">
        <v>60.021069</v>
      </c>
      <c r="I384" s="3" t="n">
        <v>63.683908</v>
      </c>
      <c r="J384" s="3" t="n">
        <v>69.281834</v>
      </c>
      <c r="K384" s="3" t="n">
        <v>77.591387</v>
      </c>
      <c r="L384" s="3" t="n">
        <v>86.49594</v>
      </c>
      <c r="M384" s="3" t="n">
        <v>102.715665</v>
      </c>
      <c r="N384" s="3" t="n">
        <v>116.212562</v>
      </c>
      <c r="O384" s="3" t="n">
        <v>137.125819</v>
      </c>
      <c r="P384" s="3" t="n">
        <v>139.895558</v>
      </c>
      <c r="Q384" s="3" t="n">
        <v>158.168589</v>
      </c>
      <c r="R384" s="3" t="n">
        <v>192.263475</v>
      </c>
      <c r="S384" s="3" t="n">
        <v>215.702472</v>
      </c>
      <c r="T384" s="3" t="n">
        <v>246.723291</v>
      </c>
      <c r="U384" s="3" t="n">
        <v>269.645596</v>
      </c>
      <c r="V384" s="3" t="n">
        <v>274.630009</v>
      </c>
      <c r="W384" s="3" t="n">
        <v>285.415367</v>
      </c>
      <c r="X384" s="3" t="n">
        <v>317.358608</v>
      </c>
      <c r="Y384" s="3" t="n">
        <v>334.541008</v>
      </c>
      <c r="Z384" s="3" t="n">
        <v>338.981407</v>
      </c>
      <c r="AA384" s="3" t="n">
        <v>292.388248</v>
      </c>
      <c r="AB384" s="3" t="n">
        <v>330.836237</v>
      </c>
      <c r="AC384" s="3" t="n">
        <v>352.127256</v>
      </c>
      <c r="AD384" s="3" t="n">
        <v>361.67083</v>
      </c>
      <c r="AE384" s="3" t="n">
        <v>379.229973</v>
      </c>
      <c r="AF384" s="3" t="n">
        <v>440.751916</v>
      </c>
      <c r="AG384" s="3" t="n">
        <v>553.899297</v>
      </c>
      <c r="AH384" s="3" t="n"/>
      <c r="AI384" s="3" t="n"/>
      <c r="AJ384" s="3" t="n"/>
      <c r="AK384" s="3" t="n"/>
      <c r="AL384" s="3" t="n"/>
      <c r="AM384" s="3" t="n"/>
      <c r="AN384" s="3" t="n"/>
      <c r="AO384" s="3" t="n"/>
      <c r="AP384" s="3" t="n"/>
      <c r="AQ384" s="3" t="n"/>
      <c r="AR384" s="3" t="n"/>
      <c r="AS384" s="3" t="n"/>
      <c r="AT384" s="3" t="n"/>
      <c r="AU384" s="3" t="n"/>
    </row>
    <row r="385">
      <c r="A385" s="3" t="n">
        <v>2026</v>
      </c>
      <c r="B385" s="3" t="inlineStr">
        <is>
          <t>BOL</t>
        </is>
      </c>
      <c r="C385" s="3" t="inlineStr">
        <is>
          <t>IMF.RES:WEO</t>
        </is>
      </c>
      <c r="D385" s="3" t="inlineStr">
        <is>
          <t>BOL.NGDP_D.A</t>
        </is>
      </c>
      <c r="E385" s="3" t="inlineStr">
        <is>
          <t>Bolivia</t>
        </is>
      </c>
      <c r="F385" s="3" t="inlineStr">
        <is>
          <t>Gross domestic product (GDP), Price deflator, Index</t>
        </is>
      </c>
      <c r="G385" s="3" t="n">
        <v>38.26721</v>
      </c>
      <c r="H385" s="3" t="n">
        <v>38.944544</v>
      </c>
      <c r="I385" s="3" t="n">
        <v>40.243662</v>
      </c>
      <c r="J385" s="3" t="n">
        <v>42.992615</v>
      </c>
      <c r="K385" s="3" t="n">
        <v>46.269011</v>
      </c>
      <c r="L385" s="3" t="n">
        <v>49.494238</v>
      </c>
      <c r="M385" s="3" t="n">
        <v>56.123309</v>
      </c>
      <c r="N385" s="3" t="n">
        <v>60.460837</v>
      </c>
      <c r="O385" s="3" t="n">
        <v>66.891279</v>
      </c>
      <c r="P385" s="3" t="n">
        <v>66.285527</v>
      </c>
      <c r="Q385" s="3" t="n">
        <v>71.73576199999999</v>
      </c>
      <c r="R385" s="3" t="n">
        <v>82.640947</v>
      </c>
      <c r="S385" s="3" t="n">
        <v>87.923541</v>
      </c>
      <c r="T385" s="3" t="n">
        <v>93.86632</v>
      </c>
      <c r="U385" s="3" t="n">
        <v>96.982111</v>
      </c>
      <c r="V385" s="3" t="n">
        <v>94.125761</v>
      </c>
      <c r="W385" s="3" t="n">
        <v>93.75272200000001</v>
      </c>
      <c r="X385" s="3" t="n">
        <v>100.000002</v>
      </c>
      <c r="Y385" s="3" t="n">
        <v>102.475126</v>
      </c>
      <c r="Z385" s="3" t="n">
        <v>102.29401</v>
      </c>
      <c r="AA385" s="3" t="n">
        <v>101.092021</v>
      </c>
      <c r="AB385" s="3" t="n">
        <v>103.959144</v>
      </c>
      <c r="AC385" s="3" t="n">
        <v>106.652729</v>
      </c>
      <c r="AD385" s="3" t="n">
        <v>106.854453</v>
      </c>
      <c r="AE385" s="3" t="n">
        <v>113.31531</v>
      </c>
      <c r="AF385" s="3" t="n">
        <v>133.297867</v>
      </c>
      <c r="AG385" s="3" t="n">
        <v>173.206547</v>
      </c>
      <c r="AH385" s="3" t="n"/>
      <c r="AI385" s="3" t="n"/>
      <c r="AJ385" s="3" t="n"/>
      <c r="AK385" s="3" t="n"/>
      <c r="AL385" s="3" t="n"/>
      <c r="AM385" s="3" t="n"/>
      <c r="AN385" s="3" t="n"/>
      <c r="AO385" s="3" t="n"/>
      <c r="AP385" s="3" t="n"/>
      <c r="AQ385" s="3" t="n"/>
      <c r="AR385" s="3" t="n"/>
      <c r="AS385" s="3" t="n"/>
      <c r="AT385" s="3" t="n"/>
      <c r="AU385" s="3" t="n"/>
    </row>
    <row r="386">
      <c r="A386" s="3" t="n">
        <v>2026</v>
      </c>
      <c r="B386" s="3" t="inlineStr">
        <is>
          <t>BOL</t>
        </is>
      </c>
      <c r="C386" s="3" t="inlineStr">
        <is>
          <t>IMF.RES:WEO</t>
        </is>
      </c>
      <c r="D386" s="3" t="inlineStr">
        <is>
          <t>BOL.NGDP_R.A</t>
        </is>
      </c>
      <c r="E386" s="3" t="inlineStr">
        <is>
          <t>Bolivia</t>
        </is>
      </c>
      <c r="F386" s="3" t="inlineStr">
        <is>
          <t>Gross domestic product (GDP), Constant prices, Domestic currency</t>
        </is>
      </c>
      <c r="G386" s="3" t="n">
        <v>151.660458</v>
      </c>
      <c r="H386" s="3" t="n">
        <v>154.119327</v>
      </c>
      <c r="I386" s="3" t="n">
        <v>158.245807</v>
      </c>
      <c r="J386" s="3" t="n">
        <v>161.148219</v>
      </c>
      <c r="K386" s="3" t="n">
        <v>167.696228</v>
      </c>
      <c r="L386" s="3" t="n">
        <v>174.759615</v>
      </c>
      <c r="M386" s="3" t="n">
        <v>183.017836</v>
      </c>
      <c r="N386" s="3" t="n">
        <v>192.2113</v>
      </c>
      <c r="O386" s="3" t="n">
        <v>204.998053</v>
      </c>
      <c r="P386" s="3" t="n">
        <v>211.04993</v>
      </c>
      <c r="Q386" s="3" t="n">
        <v>220.487781</v>
      </c>
      <c r="R386" s="3" t="n">
        <v>232.649169</v>
      </c>
      <c r="S386" s="3" t="n">
        <v>245.329602</v>
      </c>
      <c r="T386" s="3" t="n">
        <v>262.845385</v>
      </c>
      <c r="U386" s="3" t="n">
        <v>278.036426</v>
      </c>
      <c r="V386" s="3" t="n">
        <v>291.769232</v>
      </c>
      <c r="W386" s="3" t="n">
        <v>304.43422</v>
      </c>
      <c r="X386" s="3" t="n">
        <v>317.358601</v>
      </c>
      <c r="Y386" s="3" t="n">
        <v>326.460696</v>
      </c>
      <c r="Z386" s="3" t="n">
        <v>331.379528</v>
      </c>
      <c r="AA386" s="3" t="n">
        <v>289.229797</v>
      </c>
      <c r="AB386" s="3" t="n">
        <v>318.236783</v>
      </c>
      <c r="AC386" s="3" t="n">
        <v>330.162445</v>
      </c>
      <c r="AD386" s="3" t="n">
        <v>338.470526</v>
      </c>
      <c r="AE386" s="3" t="n">
        <v>334.667904</v>
      </c>
      <c r="AF386" s="3" t="n">
        <v>330.651889</v>
      </c>
      <c r="AG386" s="3" t="n">
        <v>319.7912</v>
      </c>
      <c r="AH386" s="3" t="n"/>
      <c r="AI386" s="3" t="n"/>
      <c r="AJ386" s="3" t="n"/>
      <c r="AK386" s="3" t="n"/>
      <c r="AL386" s="3" t="n"/>
      <c r="AM386" s="3" t="n"/>
      <c r="AN386" s="3" t="n"/>
      <c r="AO386" s="3" t="n"/>
      <c r="AP386" s="3" t="n"/>
      <c r="AQ386" s="3" t="n"/>
      <c r="AR386" s="3" t="n"/>
      <c r="AS386" s="3" t="n"/>
      <c r="AT386" s="3" t="n"/>
      <c r="AU386" s="3" t="n"/>
    </row>
    <row r="387">
      <c r="A387" s="3" t="n">
        <v>2026</v>
      </c>
      <c r="B387" s="3" t="inlineStr">
        <is>
          <t>BOL</t>
        </is>
      </c>
      <c r="C387" s="3" t="inlineStr">
        <is>
          <t>IMF.RES:WEO</t>
        </is>
      </c>
      <c r="D387" s="3" t="inlineStr">
        <is>
          <t>BOL.NGDP_RPCH.A</t>
        </is>
      </c>
      <c r="E387" s="3" t="inlineStr">
        <is>
          <t>Bolivia</t>
        </is>
      </c>
      <c r="F387" s="3" t="inlineStr">
        <is>
          <t>Gross domestic product (GDP), Constant prices, Percent change</t>
        </is>
      </c>
      <c r="G387" s="3" t="n">
        <v>2.138977</v>
      </c>
      <c r="H387" s="3" t="n">
        <v>1.621299</v>
      </c>
      <c r="I387" s="3" t="n">
        <v>2.677458</v>
      </c>
      <c r="J387" s="3" t="n">
        <v>1.834116</v>
      </c>
      <c r="K387" s="3" t="n">
        <v>4.063346</v>
      </c>
      <c r="L387" s="3" t="n">
        <v>4.212013</v>
      </c>
      <c r="M387" s="3" t="n">
        <v>4.725474</v>
      </c>
      <c r="N387" s="3" t="n">
        <v>5.023262</v>
      </c>
      <c r="O387" s="3" t="n">
        <v>6.652446</v>
      </c>
      <c r="P387" s="3" t="n">
        <v>2.952163</v>
      </c>
      <c r="Q387" s="3" t="n">
        <v>4.471857</v>
      </c>
      <c r="R387" s="3" t="n">
        <v>5.515674</v>
      </c>
      <c r="S387" s="3" t="n">
        <v>5.450453</v>
      </c>
      <c r="T387" s="3" t="n">
        <v>7.139694</v>
      </c>
      <c r="U387" s="3" t="n">
        <v>5.779459</v>
      </c>
      <c r="V387" s="3" t="n">
        <v>4.939211</v>
      </c>
      <c r="W387" s="3" t="n">
        <v>4.340755</v>
      </c>
      <c r="X387" s="3" t="n">
        <v>4.245377</v>
      </c>
      <c r="Y387" s="3" t="n">
        <v>2.868079</v>
      </c>
      <c r="Z387" s="3" t="n">
        <v>1.506715</v>
      </c>
      <c r="AA387" s="3" t="n">
        <v>-12.719473</v>
      </c>
      <c r="AB387" s="3" t="n">
        <v>10.029045</v>
      </c>
      <c r="AC387" s="3" t="n">
        <v>3.747418</v>
      </c>
      <c r="AD387" s="3" t="n">
        <v>2.516361</v>
      </c>
      <c r="AE387" s="3" t="n">
        <v>-1.123472</v>
      </c>
      <c r="AF387" s="3" t="n">
        <v>-1.2</v>
      </c>
      <c r="AG387" s="3" t="n">
        <v>-3.284629</v>
      </c>
      <c r="AH387" s="3" t="n"/>
      <c r="AI387" s="3" t="n"/>
      <c r="AJ387" s="3" t="n"/>
      <c r="AK387" s="3" t="n"/>
      <c r="AL387" s="3" t="n"/>
      <c r="AM387" s="3" t="n"/>
      <c r="AN387" s="3" t="n"/>
      <c r="AO387" s="3" t="n"/>
      <c r="AP387" s="3" t="n"/>
      <c r="AQ387" s="3" t="n"/>
      <c r="AR387" s="3" t="n"/>
      <c r="AS387" s="3" t="n"/>
      <c r="AT387" s="3" t="n"/>
      <c r="AU387" s="3" t="n"/>
    </row>
    <row r="388">
      <c r="A388" s="3" t="n">
        <v>2026</v>
      </c>
      <c r="B388" s="3" t="inlineStr">
        <is>
          <t>BOL</t>
        </is>
      </c>
      <c r="C388" s="3" t="inlineStr">
        <is>
          <t>IMF.RES:WEO</t>
        </is>
      </c>
      <c r="D388" s="3" t="inlineStr">
        <is>
          <t>BOL.NGDPD.A</t>
        </is>
      </c>
      <c r="E388" s="3" t="inlineStr">
        <is>
          <t>Bolivia</t>
        </is>
      </c>
      <c r="F388" s="3" t="inlineStr">
        <is>
          <t>Gross domestic product (GDP), Current prices, US dollar</t>
        </is>
      </c>
      <c r="G388" s="3" t="n">
        <v>9.370808</v>
      </c>
      <c r="H388" s="3" t="n">
        <v>9.099845999999999</v>
      </c>
      <c r="I388" s="3" t="n">
        <v>8.895436</v>
      </c>
      <c r="J388" s="3" t="n">
        <v>9.056449000000001</v>
      </c>
      <c r="K388" s="3" t="n">
        <v>9.789682000000001</v>
      </c>
      <c r="L388" s="3" t="n">
        <v>10.750402</v>
      </c>
      <c r="M388" s="3" t="n">
        <v>12.897227</v>
      </c>
      <c r="N388" s="3" t="n">
        <v>14.910197</v>
      </c>
      <c r="O388" s="3" t="n">
        <v>19.078375</v>
      </c>
      <c r="P388" s="3" t="n">
        <v>20.071099</v>
      </c>
      <c r="Q388" s="3" t="n">
        <v>22.698195</v>
      </c>
      <c r="R388" s="3" t="n">
        <v>27.914842</v>
      </c>
      <c r="S388" s="3" t="n">
        <v>31.443509</v>
      </c>
      <c r="T388" s="3" t="n">
        <v>35.965494</v>
      </c>
      <c r="U388" s="3" t="n">
        <v>39.306938</v>
      </c>
      <c r="V388" s="3" t="n">
        <v>40.033529</v>
      </c>
      <c r="W388" s="3" t="n">
        <v>41.605739</v>
      </c>
      <c r="X388" s="3" t="n">
        <v>46.262188</v>
      </c>
      <c r="Y388" s="3" t="n">
        <v>48.766911</v>
      </c>
      <c r="Z388" s="3" t="n">
        <v>49.414199</v>
      </c>
      <c r="AA388" s="3" t="n">
        <v>42.622194</v>
      </c>
      <c r="AB388" s="3" t="n">
        <v>48.226857</v>
      </c>
      <c r="AC388" s="3" t="n">
        <v>51.330504</v>
      </c>
      <c r="AD388" s="3" t="n">
        <v>52.721695</v>
      </c>
      <c r="AE388" s="3" t="n">
        <v>55.281337</v>
      </c>
      <c r="AF388" s="3" t="n">
        <v>64.24955</v>
      </c>
      <c r="AG388" s="3" t="n">
        <v>80.74333799999999</v>
      </c>
      <c r="AH388" s="3" t="n"/>
      <c r="AI388" s="3" t="n"/>
      <c r="AJ388" s="3" t="n"/>
      <c r="AK388" s="3" t="n"/>
      <c r="AL388" s="3" t="n"/>
      <c r="AM388" s="3" t="n"/>
      <c r="AN388" s="3" t="n"/>
      <c r="AO388" s="3" t="n"/>
      <c r="AP388" s="3" t="n"/>
      <c r="AQ388" s="3" t="n"/>
      <c r="AR388" s="3" t="n"/>
      <c r="AS388" s="3" t="n"/>
      <c r="AT388" s="3" t="n"/>
      <c r="AU388" s="3" t="n"/>
    </row>
    <row r="389">
      <c r="A389" s="3" t="n">
        <v>2026</v>
      </c>
      <c r="B389" s="3" t="inlineStr">
        <is>
          <t>BOL</t>
        </is>
      </c>
      <c r="C389" s="3" t="inlineStr">
        <is>
          <t>IMF.RES:WEO</t>
        </is>
      </c>
      <c r="D389" s="3" t="inlineStr">
        <is>
          <t>BOL.NGDPPC.A</t>
        </is>
      </c>
      <c r="E389" s="3" t="inlineStr">
        <is>
          <t>Bolivia</t>
        </is>
      </c>
      <c r="F389" s="3" t="inlineStr">
        <is>
          <t>Gross domestic product (GDP), Current prices, Per capita, Domestic currency</t>
        </is>
      </c>
      <c r="G389" s="3" t="n">
        <v>6743.438384</v>
      </c>
      <c r="H389" s="3" t="n">
        <v>6857.406579</v>
      </c>
      <c r="I389" s="3" t="n">
        <v>7155.209421</v>
      </c>
      <c r="J389" s="3" t="n">
        <v>7654.859186</v>
      </c>
      <c r="K389" s="3" t="n">
        <v>8429.918696999999</v>
      </c>
      <c r="L389" s="3" t="n">
        <v>9240.275323</v>
      </c>
      <c r="M389" s="3" t="n">
        <v>10787.546757</v>
      </c>
      <c r="N389" s="3" t="n">
        <v>11998.043305</v>
      </c>
      <c r="O389" s="3" t="n">
        <v>13920.191092</v>
      </c>
      <c r="P389" s="3" t="n">
        <v>13966.824105</v>
      </c>
      <c r="Q389" s="3" t="n">
        <v>15533.611269</v>
      </c>
      <c r="R389" s="3" t="n">
        <v>18578.103618</v>
      </c>
      <c r="S389" s="3" t="n">
        <v>20512.212912</v>
      </c>
      <c r="T389" s="3" t="n">
        <v>23095.792956</v>
      </c>
      <c r="U389" s="3" t="n">
        <v>24854.674824</v>
      </c>
      <c r="V389" s="3" t="n">
        <v>24933.033554</v>
      </c>
      <c r="W389" s="3" t="n">
        <v>25529.058054</v>
      </c>
      <c r="X389" s="3" t="n">
        <v>27974.451042</v>
      </c>
      <c r="Y389" s="3" t="n">
        <v>29069.370078</v>
      </c>
      <c r="Z389" s="3" t="n">
        <v>29043.801804</v>
      </c>
      <c r="AA389" s="3" t="n">
        <v>24744.485191</v>
      </c>
      <c r="AB389" s="3" t="n">
        <v>27714.356472</v>
      </c>
      <c r="AC389" s="3" t="n">
        <v>29156.47646</v>
      </c>
      <c r="AD389" s="3" t="n">
        <v>29538.232491</v>
      </c>
      <c r="AE389" s="3" t="n">
        <v>30550.257744</v>
      </c>
      <c r="AF389" s="3" t="n">
        <v>35030.792683</v>
      </c>
      <c r="AG389" s="3" t="n">
        <v>43445.498019</v>
      </c>
      <c r="AH389" s="3" t="n"/>
      <c r="AI389" s="3" t="n"/>
      <c r="AJ389" s="3" t="n"/>
      <c r="AK389" s="3" t="n"/>
      <c r="AL389" s="3" t="n"/>
      <c r="AM389" s="3" t="n"/>
      <c r="AN389" s="3" t="n"/>
      <c r="AO389" s="3" t="n"/>
      <c r="AP389" s="3" t="n"/>
      <c r="AQ389" s="3" t="n"/>
      <c r="AR389" s="3" t="n"/>
      <c r="AS389" s="3" t="n"/>
      <c r="AT389" s="3" t="n"/>
      <c r="AU389" s="3" t="n"/>
    </row>
    <row r="390">
      <c r="A390" s="3" t="n">
        <v>2026</v>
      </c>
      <c r="B390" s="3" t="inlineStr">
        <is>
          <t>BOL</t>
        </is>
      </c>
      <c r="C390" s="3" t="inlineStr">
        <is>
          <t>IMF.RES:WEO</t>
        </is>
      </c>
      <c r="D390" s="3" t="inlineStr">
        <is>
          <t>BOL.NGDPRPC.A</t>
        </is>
      </c>
      <c r="E390" s="3" t="inlineStr">
        <is>
          <t>Bolivia</t>
        </is>
      </c>
      <c r="F390" s="3" t="inlineStr">
        <is>
          <t>Gross domestic product (GDP), Constant prices, Per capita, Domestic currency</t>
        </is>
      </c>
      <c r="G390" s="3" t="n">
        <v>17621.975561</v>
      </c>
      <c r="H390" s="3" t="n">
        <v>17608.131511</v>
      </c>
      <c r="I390" s="3" t="n">
        <v>17779.717582</v>
      </c>
      <c r="J390" s="3" t="n">
        <v>17805.055868</v>
      </c>
      <c r="K390" s="3" t="n">
        <v>18219.362078</v>
      </c>
      <c r="L390" s="3" t="n">
        <v>18669.396119</v>
      </c>
      <c r="M390" s="3" t="n">
        <v>19221.15243</v>
      </c>
      <c r="N390" s="3" t="n">
        <v>19844.322128</v>
      </c>
      <c r="O390" s="3" t="n">
        <v>20810.173402</v>
      </c>
      <c r="P390" s="3" t="n">
        <v>21070.699393</v>
      </c>
      <c r="Q390" s="3" t="n">
        <v>21653.92951</v>
      </c>
      <c r="R390" s="3" t="n">
        <v>22480.50681</v>
      </c>
      <c r="S390" s="3" t="n">
        <v>23329.602913</v>
      </c>
      <c r="T390" s="3" t="n">
        <v>24604.983831</v>
      </c>
      <c r="U390" s="3" t="n">
        <v>25628.102441</v>
      </c>
      <c r="V390" s="3" t="n">
        <v>26489.064551</v>
      </c>
      <c r="W390" s="3" t="n">
        <v>27230.204731</v>
      </c>
      <c r="X390" s="3" t="n">
        <v>27974.450483</v>
      </c>
      <c r="Y390" s="3" t="n">
        <v>28367.245125</v>
      </c>
      <c r="Z390" s="3" t="n">
        <v>28392.475623</v>
      </c>
      <c r="AA390" s="3" t="n">
        <v>24477.189102</v>
      </c>
      <c r="AB390" s="3" t="n">
        <v>26658.892423</v>
      </c>
      <c r="AC390" s="3" t="n">
        <v>27337.768905</v>
      </c>
      <c r="AD390" s="3" t="n">
        <v>27643.426699</v>
      </c>
      <c r="AE390" s="3" t="n">
        <v>26960.397269</v>
      </c>
      <c r="AF390" s="3" t="n">
        <v>26280.08489</v>
      </c>
      <c r="AG390" s="3" t="n">
        <v>25083.057585</v>
      </c>
      <c r="AH390" s="3" t="n"/>
      <c r="AI390" s="3" t="n"/>
      <c r="AJ390" s="3" t="n"/>
      <c r="AK390" s="3" t="n"/>
      <c r="AL390" s="3" t="n"/>
      <c r="AM390" s="3" t="n"/>
      <c r="AN390" s="3" t="n"/>
      <c r="AO390" s="3" t="n"/>
      <c r="AP390" s="3" t="n"/>
      <c r="AQ390" s="3" t="n"/>
      <c r="AR390" s="3" t="n"/>
      <c r="AS390" s="3" t="n"/>
      <c r="AT390" s="3" t="n"/>
      <c r="AU390" s="3" t="n"/>
    </row>
    <row r="391">
      <c r="A391" s="3" t="n">
        <v>2026</v>
      </c>
      <c r="B391" s="3" t="inlineStr">
        <is>
          <t>BOL</t>
        </is>
      </c>
      <c r="C391" s="3" t="inlineStr">
        <is>
          <t>IMF.RES:WEO</t>
        </is>
      </c>
      <c r="D391" s="3" t="inlineStr">
        <is>
          <t>BOL.PCPI.A</t>
        </is>
      </c>
      <c r="E391" s="3" t="inlineStr">
        <is>
          <t>Bolivia</t>
        </is>
      </c>
      <c r="F391" s="3" t="inlineStr">
        <is>
          <t>All Items, Consumer price index (CPI), Period average</t>
        </is>
      </c>
      <c r="G391" s="3" t="n">
        <v>44.512213</v>
      </c>
      <c r="H391" s="3" t="n">
        <v>45.222562</v>
      </c>
      <c r="I391" s="3" t="n">
        <v>45.639938</v>
      </c>
      <c r="J391" s="3" t="n">
        <v>47.163432</v>
      </c>
      <c r="K391" s="3" t="n">
        <v>48.337097</v>
      </c>
      <c r="L391" s="3" t="n">
        <v>50.9473</v>
      </c>
      <c r="M391" s="3" t="n">
        <v>53.138034</v>
      </c>
      <c r="N391" s="3" t="n">
        <v>57.751295</v>
      </c>
      <c r="O391" s="3" t="n">
        <v>65.84166</v>
      </c>
      <c r="P391" s="3" t="n">
        <v>68.044346</v>
      </c>
      <c r="Q391" s="3" t="n">
        <v>69.746619</v>
      </c>
      <c r="R391" s="3" t="n">
        <v>76.640092</v>
      </c>
      <c r="S391" s="3" t="n">
        <v>80.102186</v>
      </c>
      <c r="T391" s="3" t="n">
        <v>84.69741</v>
      </c>
      <c r="U391" s="3" t="n">
        <v>89.57987799999999</v>
      </c>
      <c r="V391" s="3" t="n">
        <v>93.21778999999999</v>
      </c>
      <c r="W391" s="3" t="n">
        <v>96.596478</v>
      </c>
      <c r="X391" s="3" t="n">
        <v>99.322863</v>
      </c>
      <c r="Y391" s="3" t="n">
        <v>101.579113</v>
      </c>
      <c r="Z391" s="3" t="n">
        <v>103.447439</v>
      </c>
      <c r="AA391" s="3" t="n">
        <v>104.421806</v>
      </c>
      <c r="AB391" s="3" t="n">
        <v>105.190676</v>
      </c>
      <c r="AC391" s="3" t="n">
        <v>107.0279</v>
      </c>
      <c r="AD391" s="3" t="n">
        <v>109.785818</v>
      </c>
      <c r="AE391" s="3" t="n">
        <v>115.385209</v>
      </c>
      <c r="AF391" s="3" t="n">
        <v>137.904485</v>
      </c>
      <c r="AG391" s="3" t="n">
        <v>166.439182</v>
      </c>
      <c r="AH391" s="3" t="n"/>
      <c r="AI391" s="3" t="n"/>
      <c r="AJ391" s="3" t="n"/>
      <c r="AK391" s="3" t="n"/>
      <c r="AL391" s="3" t="n"/>
      <c r="AM391" s="3" t="n"/>
      <c r="AN391" s="3" t="n"/>
      <c r="AO391" s="3" t="n"/>
      <c r="AP391" s="3" t="n"/>
      <c r="AQ391" s="3" t="n"/>
      <c r="AR391" s="3" t="n"/>
      <c r="AS391" s="3" t="n"/>
      <c r="AT391" s="3" t="n"/>
      <c r="AU391" s="3" t="n"/>
    </row>
    <row r="392">
      <c r="A392" s="3" t="n">
        <v>2026</v>
      </c>
      <c r="B392" s="3" t="inlineStr">
        <is>
          <t>BOL</t>
        </is>
      </c>
      <c r="C392" s="3" t="inlineStr">
        <is>
          <t>IMF.RES:WEO</t>
        </is>
      </c>
      <c r="D392" s="3" t="inlineStr">
        <is>
          <t>BOL.PCPIPCH.A</t>
        </is>
      </c>
      <c r="E392" s="3" t="inlineStr">
        <is>
          <t>Bolivia</t>
        </is>
      </c>
      <c r="F392" s="3" t="inlineStr">
        <is>
          <t>All Items, Consumer price index (CPI), Period average, percent change</t>
        </is>
      </c>
      <c r="G392" s="3" t="n">
        <v>4.601122</v>
      </c>
      <c r="H392" s="3" t="n">
        <v>1.595852</v>
      </c>
      <c r="I392" s="3" t="n">
        <v>0.922937</v>
      </c>
      <c r="J392" s="3" t="n">
        <v>3.338072</v>
      </c>
      <c r="K392" s="3" t="n">
        <v>2.488506</v>
      </c>
      <c r="L392" s="3" t="n">
        <v>5.4</v>
      </c>
      <c r="M392" s="3" t="n">
        <v>4.3</v>
      </c>
      <c r="N392" s="3" t="n">
        <v>8.681656</v>
      </c>
      <c r="O392" s="3" t="n">
        <v>14.008976</v>
      </c>
      <c r="P392" s="3" t="n">
        <v>3.345429</v>
      </c>
      <c r="Q392" s="3" t="n">
        <v>2.501712</v>
      </c>
      <c r="R392" s="3" t="n">
        <v>9.883594</v>
      </c>
      <c r="S392" s="3" t="n">
        <v>4.517341</v>
      </c>
      <c r="T392" s="3" t="n">
        <v>5.736703</v>
      </c>
      <c r="U392" s="3" t="n">
        <v>5.764602</v>
      </c>
      <c r="V392" s="3" t="n">
        <v>4.061081</v>
      </c>
      <c r="W392" s="3" t="n">
        <v>3.62451</v>
      </c>
      <c r="X392" s="3" t="n">
        <v>2.822448</v>
      </c>
      <c r="Y392" s="3" t="n">
        <v>2.271631</v>
      </c>
      <c r="Z392" s="3" t="n">
        <v>1.839282</v>
      </c>
      <c r="AA392" s="3" t="n">
        <v>0.941895</v>
      </c>
      <c r="AB392" s="3" t="n">
        <v>0.736312</v>
      </c>
      <c r="AC392" s="3" t="n">
        <v>1.746566</v>
      </c>
      <c r="AD392" s="3" t="n">
        <v>2.576821</v>
      </c>
      <c r="AE392" s="3" t="n">
        <v>5.100287</v>
      </c>
      <c r="AF392" s="3" t="n">
        <v>19.516605</v>
      </c>
      <c r="AG392" s="3" t="n">
        <v>20.691638</v>
      </c>
      <c r="AH392" s="3" t="n"/>
      <c r="AI392" s="3" t="n"/>
      <c r="AJ392" s="3" t="n"/>
      <c r="AK392" s="3" t="n"/>
      <c r="AL392" s="3" t="n"/>
      <c r="AM392" s="3" t="n"/>
      <c r="AN392" s="3" t="n"/>
      <c r="AO392" s="3" t="n"/>
      <c r="AP392" s="3" t="n"/>
      <c r="AQ392" s="3" t="n"/>
      <c r="AR392" s="3" t="n"/>
      <c r="AS392" s="3" t="n"/>
      <c r="AT392" s="3" t="n"/>
      <c r="AU392" s="3" t="n"/>
    </row>
    <row r="393">
      <c r="A393" s="3" t="n">
        <v>2026</v>
      </c>
      <c r="B393" s="3" t="inlineStr">
        <is>
          <t>BOL</t>
        </is>
      </c>
      <c r="C393" s="3" t="inlineStr">
        <is>
          <t>IMF.RES:WEO</t>
        </is>
      </c>
      <c r="D393" s="3" t="inlineStr">
        <is>
          <t>BOL.PPPPC.A</t>
        </is>
      </c>
      <c r="E393" s="3" t="inlineStr">
        <is>
          <t>Bolivia</t>
        </is>
      </c>
      <c r="F393" s="3" t="inlineStr">
        <is>
          <t>Gross domestic product (GDP), Per capita, purchasing power parity (PPP) international dollar, ICP benchmarks 2017-2021</t>
        </is>
      </c>
      <c r="G393" s="3" t="n">
        <v>4773.58363</v>
      </c>
      <c r="H393" s="3" t="n">
        <v>4877.231983</v>
      </c>
      <c r="I393" s="3" t="n">
        <v>5001.291696</v>
      </c>
      <c r="J393" s="3" t="n">
        <v>5107.296149</v>
      </c>
      <c r="K393" s="3" t="n">
        <v>5366.662567</v>
      </c>
      <c r="L393" s="3" t="n">
        <v>5671.669593</v>
      </c>
      <c r="M393" s="3" t="n">
        <v>6019.36725</v>
      </c>
      <c r="N393" s="3" t="n">
        <v>6382.889548</v>
      </c>
      <c r="O393" s="3" t="n">
        <v>6822.499201</v>
      </c>
      <c r="P393" s="3" t="n">
        <v>6950.515178</v>
      </c>
      <c r="Q393" s="3" t="n">
        <v>7229.716211</v>
      </c>
      <c r="R393" s="3" t="n">
        <v>7660.551137</v>
      </c>
      <c r="S393" s="3" t="n">
        <v>8097.914267</v>
      </c>
      <c r="T393" s="3" t="n">
        <v>8685.972024000001</v>
      </c>
      <c r="U393" s="3" t="n">
        <v>9204.725612</v>
      </c>
      <c r="V393" s="3" t="n">
        <v>9602.247894</v>
      </c>
      <c r="W393" s="3" t="n">
        <v>9964.705861</v>
      </c>
      <c r="X393" s="3" t="n">
        <v>10420.391866</v>
      </c>
      <c r="Y393" s="3" t="n">
        <v>10758.407559</v>
      </c>
      <c r="Z393" s="3" t="n">
        <v>11005.35459</v>
      </c>
      <c r="AA393" s="3" t="n">
        <v>9580.989215</v>
      </c>
      <c r="AB393" s="3" t="n">
        <v>11202.441453</v>
      </c>
      <c r="AC393" s="3" t="n">
        <v>12304.768744</v>
      </c>
      <c r="AD393" s="3" t="n">
        <v>12902.716697</v>
      </c>
      <c r="AE393" s="3" t="n">
        <v>12896.310252</v>
      </c>
      <c r="AF393" s="3" t="n">
        <v>12927.494504</v>
      </c>
      <c r="AG393" s="3" t="n">
        <v>12692.146427</v>
      </c>
      <c r="AH393" s="3" t="n"/>
      <c r="AI393" s="3" t="n"/>
      <c r="AJ393" s="3" t="n"/>
      <c r="AK393" s="3" t="n"/>
      <c r="AL393" s="3" t="n"/>
      <c r="AM393" s="3" t="n"/>
      <c r="AN393" s="3" t="n"/>
      <c r="AO393" s="3" t="n"/>
      <c r="AP393" s="3" t="n"/>
      <c r="AQ393" s="3" t="n"/>
      <c r="AR393" s="3" t="n"/>
      <c r="AS393" s="3" t="n"/>
      <c r="AT393" s="3" t="n"/>
      <c r="AU393" s="3" t="n"/>
    </row>
    <row r="394">
      <c r="A394" s="3" t="n">
        <v>2025</v>
      </c>
      <c r="B394" s="3" t="inlineStr">
        <is>
          <t>BOL</t>
        </is>
      </c>
      <c r="C394" s="3" t="inlineStr">
        <is>
          <t>IMF.STA:ER</t>
        </is>
      </c>
      <c r="D394" s="3" t="inlineStr">
        <is>
          <t>BOL.XDC_USD.PA_RT.A</t>
        </is>
      </c>
      <c r="E394" s="3" t="inlineStr">
        <is>
          <t>Bolivia</t>
        </is>
      </c>
      <c r="F394" s="3" t="inlineStr">
        <is>
          <t>Domestic currency per US Dollar</t>
        </is>
      </c>
      <c r="G394" s="3" t="n">
        <v>6.18354166666666</v>
      </c>
      <c r="H394" s="3" t="n">
        <v>6.60691666666666</v>
      </c>
      <c r="I394" s="3" t="n">
        <v>7.17</v>
      </c>
      <c r="J394" s="3" t="n">
        <v>7.65916666666666</v>
      </c>
      <c r="K394" s="3" t="n">
        <v>7.93626666666666</v>
      </c>
      <c r="L394" s="3" t="n">
        <v>8.06606249999999</v>
      </c>
      <c r="M394" s="3" t="n">
        <v>8.01161666666666</v>
      </c>
      <c r="N394" s="3" t="n">
        <v>7.85124516125</v>
      </c>
      <c r="O394" s="3" t="n">
        <v>7.23832069891666</v>
      </c>
      <c r="P394" s="3" t="n">
        <v>7.02</v>
      </c>
      <c r="Q394" s="3" t="n">
        <v>7.01666666666666</v>
      </c>
      <c r="R394" s="3" t="n">
        <v>6.93696249999999</v>
      </c>
      <c r="S394" s="3" t="n">
        <v>6.91</v>
      </c>
      <c r="T394" s="3" t="n">
        <v>6.91</v>
      </c>
      <c r="U394" s="3" t="n">
        <v>6.91</v>
      </c>
      <c r="V394" s="3" t="n">
        <v>6.91</v>
      </c>
      <c r="W394" s="3" t="n">
        <v>6.91</v>
      </c>
      <c r="X394" s="3" t="n">
        <v>6.91</v>
      </c>
      <c r="Y394" s="3" t="n">
        <v>6.91</v>
      </c>
      <c r="Z394" s="3" t="n">
        <v>6.91</v>
      </c>
      <c r="AA394" s="3" t="n">
        <v>6.91</v>
      </c>
      <c r="AB394" s="3" t="n">
        <v>6.91</v>
      </c>
      <c r="AC394" s="3" t="n">
        <v>6.91</v>
      </c>
      <c r="AD394" s="3" t="n">
        <v>6.91</v>
      </c>
      <c r="AE394" s="3" t="n">
        <v>6.91</v>
      </c>
      <c r="AF394" s="3" t="n">
        <v>6.91</v>
      </c>
      <c r="AG394" s="3" t="n"/>
      <c r="AH394" s="3" t="n"/>
      <c r="AI394" s="3" t="n"/>
      <c r="AJ394" s="3" t="n"/>
      <c r="AK394" s="3" t="n"/>
      <c r="AL394" s="3" t="n"/>
      <c r="AM394" s="3" t="n"/>
      <c r="AN394" s="3" t="n"/>
      <c r="AO394" s="3" t="n"/>
      <c r="AP394" s="3" t="n"/>
      <c r="AQ394" s="3" t="n"/>
      <c r="AR394" s="3" t="n"/>
      <c r="AS394" s="3" t="n"/>
      <c r="AT394" s="3" t="n"/>
      <c r="AU394" s="3" t="n"/>
    </row>
    <row r="395">
      <c r="A395" s="3" t="n">
        <v>2031</v>
      </c>
      <c r="B395" s="3" t="inlineStr">
        <is>
          <t>BRA</t>
        </is>
      </c>
      <c r="C395" s="3" t="inlineStr">
        <is>
          <t>IMF.RES:WEO</t>
        </is>
      </c>
      <c r="D395" s="3" t="inlineStr">
        <is>
          <t>BRA.BCA.A</t>
        </is>
      </c>
      <c r="E395" s="3" t="inlineStr">
        <is>
          <t>Brazil</t>
        </is>
      </c>
      <c r="F395" s="3" t="inlineStr">
        <is>
          <t>Current account balance (credit less debit), US dollar</t>
        </is>
      </c>
      <c r="G395" s="3" t="n">
        <v>-26.530849</v>
      </c>
      <c r="H395" s="3" t="n">
        <v>-24.890077</v>
      </c>
      <c r="I395" s="3" t="n">
        <v>-9.407043</v>
      </c>
      <c r="J395" s="3" t="n">
        <v>2.193173</v>
      </c>
      <c r="K395" s="3" t="n">
        <v>8.959313</v>
      </c>
      <c r="L395" s="3" t="n">
        <v>11.679375</v>
      </c>
      <c r="M395" s="3" t="n">
        <v>10.774</v>
      </c>
      <c r="N395" s="3" t="n">
        <v>-2.75367</v>
      </c>
      <c r="O395" s="3" t="n">
        <v>-35.601728</v>
      </c>
      <c r="P395" s="3" t="n">
        <v>-29.328433</v>
      </c>
      <c r="Q395" s="3" t="n">
        <v>-86.717778</v>
      </c>
      <c r="R395" s="3" t="n">
        <v>-83.576206</v>
      </c>
      <c r="S395" s="3" t="n">
        <v>-92.67817100000001</v>
      </c>
      <c r="T395" s="3" t="n">
        <v>-88.38403</v>
      </c>
      <c r="U395" s="3" t="n">
        <v>-110.493241</v>
      </c>
      <c r="V395" s="3" t="n">
        <v>-63.408884</v>
      </c>
      <c r="W395" s="3" t="n">
        <v>-30.528825</v>
      </c>
      <c r="X395" s="3" t="n">
        <v>-25.263599</v>
      </c>
      <c r="Y395" s="3" t="n">
        <v>-53.818304</v>
      </c>
      <c r="Z395" s="3" t="n">
        <v>-63.959511</v>
      </c>
      <c r="AA395" s="3" t="n">
        <v>-24.223442</v>
      </c>
      <c r="AB395" s="3" t="n">
        <v>-39.397557</v>
      </c>
      <c r="AC395" s="3" t="n">
        <v>-41.96006</v>
      </c>
      <c r="AD395" s="3" t="n">
        <v>-27.073227</v>
      </c>
      <c r="AE395" s="3" t="n">
        <v>-66.16831000000001</v>
      </c>
      <c r="AF395" s="3" t="n">
        <v>-68.99955199999999</v>
      </c>
      <c r="AG395" s="3" t="n">
        <v>-71.305386</v>
      </c>
      <c r="AH395" s="3" t="n">
        <v>-66.55138599999999</v>
      </c>
      <c r="AI395" s="3" t="n">
        <v>-58.804353</v>
      </c>
      <c r="AJ395" s="3" t="n">
        <v>-56.680182</v>
      </c>
      <c r="AK395" s="3" t="n">
        <v>-62.483643</v>
      </c>
      <c r="AL395" s="3" t="n">
        <v>-62.369966</v>
      </c>
      <c r="AM395" s="3" t="n"/>
      <c r="AN395" s="3" t="n"/>
      <c r="AO395" s="3" t="n"/>
      <c r="AP395" s="3" t="n"/>
      <c r="AQ395" s="3" t="n"/>
      <c r="AR395" s="3" t="n"/>
      <c r="AS395" s="3" t="n"/>
      <c r="AT395" s="3" t="n"/>
      <c r="AU395" s="3" t="n"/>
    </row>
    <row r="396">
      <c r="A396" s="3" t="n">
        <v>2031</v>
      </c>
      <c r="B396" s="3" t="inlineStr">
        <is>
          <t>BRA</t>
        </is>
      </c>
      <c r="C396" s="3" t="inlineStr">
        <is>
          <t>IMF.RES:WEO</t>
        </is>
      </c>
      <c r="D396" s="3" t="inlineStr">
        <is>
          <t>BRA.BCA_NGDPD.A</t>
        </is>
      </c>
      <c r="E396" s="3" t="inlineStr">
        <is>
          <t>Brazil</t>
        </is>
      </c>
      <c r="F396" s="3" t="inlineStr">
        <is>
          <t>Current account balance (credit less debit), Percent of GDP</t>
        </is>
      </c>
      <c r="G396" s="3" t="n">
        <v>-4.047706</v>
      </c>
      <c r="H396" s="3" t="n">
        <v>-4.444803</v>
      </c>
      <c r="I396" s="3" t="n">
        <v>-1.84525</v>
      </c>
      <c r="J396" s="3" t="n">
        <v>0.392878</v>
      </c>
      <c r="K396" s="3" t="n">
        <v>1.33863</v>
      </c>
      <c r="L396" s="3" t="n">
        <v>1.309886</v>
      </c>
      <c r="M396" s="3" t="n">
        <v>0.97271</v>
      </c>
      <c r="N396" s="3" t="n">
        <v>-0.197097</v>
      </c>
      <c r="O396" s="3" t="n">
        <v>-2.099338</v>
      </c>
      <c r="P396" s="3" t="n">
        <v>-1.757031</v>
      </c>
      <c r="Q396" s="3" t="n">
        <v>-3.926183</v>
      </c>
      <c r="R396" s="3" t="n">
        <v>-3.197221</v>
      </c>
      <c r="S396" s="3" t="n">
        <v>-3.761208</v>
      </c>
      <c r="T396" s="3" t="n">
        <v>-3.575814</v>
      </c>
      <c r="U396" s="3" t="n">
        <v>-4.498811</v>
      </c>
      <c r="V396" s="3" t="n">
        <v>-3.522626</v>
      </c>
      <c r="W396" s="3" t="n">
        <v>-1.699235</v>
      </c>
      <c r="X396" s="3" t="n">
        <v>-1.224297</v>
      </c>
      <c r="Y396" s="3" t="n">
        <v>-2.80752</v>
      </c>
      <c r="Z396" s="3" t="n">
        <v>-3.414294</v>
      </c>
      <c r="AA396" s="3" t="n">
        <v>-1.641053</v>
      </c>
      <c r="AB396" s="3" t="n">
        <v>-2.358217</v>
      </c>
      <c r="AC396" s="3" t="n">
        <v>-2.149759</v>
      </c>
      <c r="AD396" s="3" t="n">
        <v>-1.235579</v>
      </c>
      <c r="AE396" s="3" t="n">
        <v>-3.027159</v>
      </c>
      <c r="AF396" s="3" t="n">
        <v>-3.026405</v>
      </c>
      <c r="AG396" s="3" t="n">
        <v>-2.705151</v>
      </c>
      <c r="AH396" s="3" t="n">
        <v>-2.405566</v>
      </c>
      <c r="AI396" s="3" t="n">
        <v>-2.042229</v>
      </c>
      <c r="AJ396" s="3" t="n">
        <v>-1.866216</v>
      </c>
      <c r="AK396" s="3" t="n">
        <v>-1.950476</v>
      </c>
      <c r="AL396" s="3" t="n">
        <v>-1.845879</v>
      </c>
      <c r="AM396" s="3" t="n"/>
      <c r="AN396" s="3" t="n"/>
      <c r="AO396" s="3" t="n"/>
      <c r="AP396" s="3" t="n"/>
      <c r="AQ396" s="3" t="n"/>
      <c r="AR396" s="3" t="n"/>
      <c r="AS396" s="3" t="n"/>
      <c r="AT396" s="3" t="n"/>
      <c r="AU396" s="3" t="n"/>
    </row>
    <row r="397">
      <c r="A397" s="3" t="n">
        <v>2031</v>
      </c>
      <c r="B397" s="3" t="inlineStr">
        <is>
          <t>BRA</t>
        </is>
      </c>
      <c r="C397" s="3" t="inlineStr">
        <is>
          <t>IMF.RES:WEO</t>
        </is>
      </c>
      <c r="D397" s="3" t="inlineStr">
        <is>
          <t>BRA.GGR_NGDP.A</t>
        </is>
      </c>
      <c r="E397" s="3" t="inlineStr">
        <is>
          <t>Brazil</t>
        </is>
      </c>
      <c r="F397" s="3" t="inlineStr">
        <is>
          <t>Revenue, General government, Percent of GDP</t>
        </is>
      </c>
      <c r="G397" s="3" t="n"/>
      <c r="H397" s="3" t="n">
        <v>36.334254</v>
      </c>
      <c r="I397" s="3" t="n">
        <v>40.346254</v>
      </c>
      <c r="J397" s="3" t="n">
        <v>35.887487</v>
      </c>
      <c r="K397" s="3" t="n">
        <v>36.725684</v>
      </c>
      <c r="L397" s="3" t="n">
        <v>38.506734</v>
      </c>
      <c r="M397" s="3" t="n">
        <v>37.694361</v>
      </c>
      <c r="N397" s="3" t="n">
        <v>37.691564</v>
      </c>
      <c r="O397" s="3" t="n">
        <v>37.522608</v>
      </c>
      <c r="P397" s="3" t="n">
        <v>36.306135</v>
      </c>
      <c r="Q397" s="3" t="n">
        <v>35.962132</v>
      </c>
      <c r="R397" s="3" t="n">
        <v>36.625928</v>
      </c>
      <c r="S397" s="3" t="n">
        <v>36.958176</v>
      </c>
      <c r="T397" s="3" t="n">
        <v>36.358013</v>
      </c>
      <c r="U397" s="3" t="n">
        <v>35.1515</v>
      </c>
      <c r="V397" s="3" t="n">
        <v>36.909474</v>
      </c>
      <c r="W397" s="3" t="n">
        <v>37.51231</v>
      </c>
      <c r="X397" s="3" t="n">
        <v>36.327653</v>
      </c>
      <c r="Y397" s="3" t="n">
        <v>37.190521</v>
      </c>
      <c r="Z397" s="3" t="n">
        <v>38.18435</v>
      </c>
      <c r="AA397" s="3" t="n">
        <v>34.541534</v>
      </c>
      <c r="AB397" s="3" t="n">
        <v>37.74024</v>
      </c>
      <c r="AC397" s="3" t="n">
        <v>39.480635</v>
      </c>
      <c r="AD397" s="3" t="n">
        <v>37.596855</v>
      </c>
      <c r="AE397" s="3" t="n">
        <v>39.369573</v>
      </c>
      <c r="AF397" s="3" t="n">
        <v>39.347896</v>
      </c>
      <c r="AG397" s="3" t="n">
        <v>40.17029</v>
      </c>
      <c r="AH397" s="3" t="n">
        <v>39.818496</v>
      </c>
      <c r="AI397" s="3" t="n">
        <v>40.052371</v>
      </c>
      <c r="AJ397" s="3" t="n">
        <v>40.065286</v>
      </c>
      <c r="AK397" s="3" t="n">
        <v>40.057031</v>
      </c>
      <c r="AL397" s="3" t="n">
        <v>40.085607</v>
      </c>
      <c r="AM397" s="3" t="n"/>
      <c r="AN397" s="3" t="n"/>
      <c r="AO397" s="3" t="n"/>
      <c r="AP397" s="3" t="n"/>
      <c r="AQ397" s="3" t="n"/>
      <c r="AR397" s="3" t="n"/>
      <c r="AS397" s="3" t="n"/>
      <c r="AT397" s="3" t="n"/>
      <c r="AU397" s="3" t="n"/>
    </row>
    <row r="398">
      <c r="A398" s="3" t="n">
        <v>2031</v>
      </c>
      <c r="B398" s="3" t="inlineStr">
        <is>
          <t>BRA</t>
        </is>
      </c>
      <c r="C398" s="3" t="inlineStr">
        <is>
          <t>IMF.RES:WEO</t>
        </is>
      </c>
      <c r="D398" s="3" t="inlineStr">
        <is>
          <t>BRA.GGX_NGDP.A</t>
        </is>
      </c>
      <c r="E398" s="3" t="inlineStr">
        <is>
          <t>Brazil</t>
        </is>
      </c>
      <c r="F398" s="3" t="inlineStr">
        <is>
          <t>Expenditure, General government, Percent of GDP</t>
        </is>
      </c>
      <c r="G398" s="3" t="n"/>
      <c r="H398" s="3" t="n">
        <v>39.802299</v>
      </c>
      <c r="I398" s="3" t="n">
        <v>44.494777</v>
      </c>
      <c r="J398" s="3" t="n">
        <v>41.288173</v>
      </c>
      <c r="K398" s="3" t="n">
        <v>39.68068</v>
      </c>
      <c r="L398" s="3" t="n">
        <v>41.870309</v>
      </c>
      <c r="M398" s="3" t="n">
        <v>42.5628</v>
      </c>
      <c r="N398" s="3" t="n">
        <v>40.351754</v>
      </c>
      <c r="O398" s="3" t="n">
        <v>39.915579</v>
      </c>
      <c r="P398" s="3" t="n">
        <v>40.536594</v>
      </c>
      <c r="Q398" s="3" t="n">
        <v>39.515877</v>
      </c>
      <c r="R398" s="3" t="n">
        <v>39.367254</v>
      </c>
      <c r="S398" s="3" t="n">
        <v>39.309502</v>
      </c>
      <c r="T398" s="3" t="n">
        <v>39.780146</v>
      </c>
      <c r="U398" s="3" t="n">
        <v>41.426432</v>
      </c>
      <c r="V398" s="3" t="n">
        <v>46.190851</v>
      </c>
      <c r="W398" s="3" t="n">
        <v>45.502924</v>
      </c>
      <c r="X398" s="3" t="n">
        <v>44.297324</v>
      </c>
      <c r="Y398" s="3" t="n">
        <v>44.180659</v>
      </c>
      <c r="Z398" s="3" t="n">
        <v>43.042876</v>
      </c>
      <c r="AA398" s="3" t="n">
        <v>46.178422</v>
      </c>
      <c r="AB398" s="3" t="n">
        <v>40.370989</v>
      </c>
      <c r="AC398" s="3" t="n">
        <v>43.445331</v>
      </c>
      <c r="AD398" s="3" t="n">
        <v>45.309295</v>
      </c>
      <c r="AE398" s="3" t="n">
        <v>45.541545</v>
      </c>
      <c r="AF398" s="3" t="n">
        <v>47.417265</v>
      </c>
      <c r="AG398" s="3" t="n">
        <v>47.876509</v>
      </c>
      <c r="AH398" s="3" t="n">
        <v>46.689673</v>
      </c>
      <c r="AI398" s="3" t="n">
        <v>46.221624</v>
      </c>
      <c r="AJ398" s="3" t="n">
        <v>46.106456</v>
      </c>
      <c r="AK398" s="3" t="n">
        <v>46.143251</v>
      </c>
      <c r="AL398" s="3" t="n">
        <v>46.19442</v>
      </c>
      <c r="AM398" s="3" t="n"/>
      <c r="AN398" s="3" t="n"/>
      <c r="AO398" s="3" t="n"/>
      <c r="AP398" s="3" t="n"/>
      <c r="AQ398" s="3" t="n"/>
      <c r="AR398" s="3" t="n"/>
      <c r="AS398" s="3" t="n"/>
      <c r="AT398" s="3" t="n"/>
      <c r="AU398" s="3" t="n"/>
    </row>
    <row r="399">
      <c r="A399" s="3" t="n">
        <v>2031</v>
      </c>
      <c r="B399" s="3" t="inlineStr">
        <is>
          <t>BRA</t>
        </is>
      </c>
      <c r="C399" s="3" t="inlineStr">
        <is>
          <t>IMF.RES:WEO</t>
        </is>
      </c>
      <c r="D399" s="3" t="inlineStr">
        <is>
          <t>BRA.LP.A</t>
        </is>
      </c>
      <c r="E399" s="3" t="inlineStr">
        <is>
          <t>Brazil</t>
        </is>
      </c>
      <c r="F399" s="3" t="inlineStr">
        <is>
          <t>Population, Persons for countries / Index for country groups</t>
        </is>
      </c>
      <c r="G399" s="3" t="n">
        <v>174.695935</v>
      </c>
      <c r="H399" s="3" t="n">
        <v>177.003743</v>
      </c>
      <c r="I399" s="3" t="n">
        <v>179.228254</v>
      </c>
      <c r="J399" s="3" t="n">
        <v>181.377654</v>
      </c>
      <c r="K399" s="3" t="n">
        <v>183.469593</v>
      </c>
      <c r="L399" s="3" t="n">
        <v>185.518369</v>
      </c>
      <c r="M399" s="3" t="n">
        <v>187.53503</v>
      </c>
      <c r="N399" s="3" t="n">
        <v>189.458827</v>
      </c>
      <c r="O399" s="3" t="n">
        <v>191.335196</v>
      </c>
      <c r="P399" s="3" t="n">
        <v>193.174036</v>
      </c>
      <c r="Q399" s="3" t="n">
        <v>194.749329</v>
      </c>
      <c r="R399" s="3" t="n">
        <v>196.15861</v>
      </c>
      <c r="S399" s="3" t="n">
        <v>197.67062</v>
      </c>
      <c r="T399" s="3" t="n">
        <v>199.226702</v>
      </c>
      <c r="U399" s="3" t="n">
        <v>200.811131</v>
      </c>
      <c r="V399" s="3" t="n">
        <v>202.403642</v>
      </c>
      <c r="W399" s="3" t="n">
        <v>203.871925</v>
      </c>
      <c r="X399" s="3" t="n">
        <v>205.211557</v>
      </c>
      <c r="Y399" s="3" t="n">
        <v>206.529038</v>
      </c>
      <c r="Z399" s="3" t="n">
        <v>207.900099</v>
      </c>
      <c r="AA399" s="3" t="n">
        <v>209.164889</v>
      </c>
      <c r="AB399" s="3" t="n">
        <v>210.103642</v>
      </c>
      <c r="AC399" s="3" t="n">
        <v>210.862983</v>
      </c>
      <c r="AD399" s="3" t="n">
        <v>211.695158</v>
      </c>
      <c r="AE399" s="3" t="n">
        <v>212.58375</v>
      </c>
      <c r="AF399" s="3" t="n">
        <v>213.361807</v>
      </c>
      <c r="AG399" s="3" t="n">
        <v>214.082969</v>
      </c>
      <c r="AH399" s="3" t="n">
        <v>214.757331</v>
      </c>
      <c r="AI399" s="3" t="n">
        <v>215.382275</v>
      </c>
      <c r="AJ399" s="3" t="n">
        <v>215.963807</v>
      </c>
      <c r="AK399" s="3" t="n">
        <v>216.499397</v>
      </c>
      <c r="AL399" s="3" t="n">
        <v>216.988686</v>
      </c>
      <c r="AM399" s="3" t="n"/>
      <c r="AN399" s="3" t="n"/>
      <c r="AO399" s="3" t="n"/>
      <c r="AP399" s="3" t="n"/>
      <c r="AQ399" s="3" t="n"/>
      <c r="AR399" s="3" t="n"/>
      <c r="AS399" s="3" t="n"/>
      <c r="AT399" s="3" t="n"/>
      <c r="AU399" s="3" t="n"/>
    </row>
    <row r="400">
      <c r="A400" s="3" t="n">
        <v>2031</v>
      </c>
      <c r="B400" s="3" t="inlineStr">
        <is>
          <t>BRA</t>
        </is>
      </c>
      <c r="C400" s="3" t="inlineStr">
        <is>
          <t>IMF.RES:WEO</t>
        </is>
      </c>
      <c r="D400" s="3" t="inlineStr">
        <is>
          <t>BRA.NGDP.A</t>
        </is>
      </c>
      <c r="E400" s="3" t="inlineStr">
        <is>
          <t>Brazil</t>
        </is>
      </c>
      <c r="F400" s="3" t="inlineStr">
        <is>
          <t>Gross domestic product (GDP), Current prices, Domestic currency</t>
        </is>
      </c>
      <c r="G400" s="3" t="n">
        <v>1199.093</v>
      </c>
      <c r="H400" s="3" t="n">
        <v>1315.756</v>
      </c>
      <c r="I400" s="3" t="n">
        <v>1488.788</v>
      </c>
      <c r="J400" s="3" t="n">
        <v>1717.951</v>
      </c>
      <c r="K400" s="3" t="n">
        <v>1957.75</v>
      </c>
      <c r="L400" s="3" t="n">
        <v>2170.584</v>
      </c>
      <c r="M400" s="3" t="n">
        <v>2409.45</v>
      </c>
      <c r="N400" s="3" t="n">
        <v>2720.263</v>
      </c>
      <c r="O400" s="3" t="n">
        <v>3109.803</v>
      </c>
      <c r="P400" s="3" t="n">
        <v>3333.039</v>
      </c>
      <c r="Q400" s="3" t="n">
        <v>3885.847</v>
      </c>
      <c r="R400" s="3" t="n">
        <v>4376.382</v>
      </c>
      <c r="S400" s="3" t="n">
        <v>4814.76</v>
      </c>
      <c r="T400" s="3" t="n">
        <v>5331.619</v>
      </c>
      <c r="U400" s="3" t="n">
        <v>5778.953</v>
      </c>
      <c r="V400" s="3" t="n">
        <v>5995.787</v>
      </c>
      <c r="W400" s="3" t="n">
        <v>6269.327</v>
      </c>
      <c r="X400" s="3" t="n">
        <v>6585.479</v>
      </c>
      <c r="Y400" s="3" t="n">
        <v>7004.141</v>
      </c>
      <c r="Z400" s="3" t="n">
        <v>7389.131</v>
      </c>
      <c r="AA400" s="3" t="n">
        <v>7609.597</v>
      </c>
      <c r="AB400" s="3" t="n">
        <v>9012.142</v>
      </c>
      <c r="AC400" s="3" t="n">
        <v>10079.676</v>
      </c>
      <c r="AD400" s="3" t="n">
        <v>10943.344</v>
      </c>
      <c r="AE400" s="3" t="n">
        <v>11779.251</v>
      </c>
      <c r="AF400" s="3" t="n">
        <v>12738.566</v>
      </c>
      <c r="AG400" s="3" t="n">
        <v>13666.646631</v>
      </c>
      <c r="AH400" s="3" t="n">
        <v>14450.326253</v>
      </c>
      <c r="AI400" s="3" t="n">
        <v>15322.670402</v>
      </c>
      <c r="AJ400" s="3" t="n">
        <v>16271.584737</v>
      </c>
      <c r="AK400" s="3" t="n">
        <v>17279.264182</v>
      </c>
      <c r="AL400" s="3" t="n">
        <v>18349.347989</v>
      </c>
      <c r="AM400" s="3" t="n"/>
      <c r="AN400" s="3" t="n"/>
      <c r="AO400" s="3" t="n"/>
      <c r="AP400" s="3" t="n"/>
      <c r="AQ400" s="3" t="n"/>
      <c r="AR400" s="3" t="n"/>
      <c r="AS400" s="3" t="n"/>
      <c r="AT400" s="3" t="n"/>
      <c r="AU400" s="3" t="n"/>
    </row>
    <row r="401">
      <c r="A401" s="3" t="n">
        <v>2031</v>
      </c>
      <c r="B401" s="3" t="inlineStr">
        <is>
          <t>BRA</t>
        </is>
      </c>
      <c r="C401" s="3" t="inlineStr">
        <is>
          <t>IMF.RES:WEO</t>
        </is>
      </c>
      <c r="D401" s="3" t="inlineStr">
        <is>
          <t>BRA.NGDP_D.A</t>
        </is>
      </c>
      <c r="E401" s="3" t="inlineStr">
        <is>
          <t>Brazil</t>
        </is>
      </c>
      <c r="F401" s="3" t="inlineStr">
        <is>
          <t>Gross domestic product (GDP), Price deflator, Index</t>
        </is>
      </c>
      <c r="G401" s="3" t="n">
        <v>152.729105</v>
      </c>
      <c r="H401" s="3" t="n">
        <v>165.291204</v>
      </c>
      <c r="I401" s="3" t="n">
        <v>181.486917</v>
      </c>
      <c r="J401" s="3" t="n">
        <v>207.059883</v>
      </c>
      <c r="K401" s="3" t="n">
        <v>223.111261</v>
      </c>
      <c r="L401" s="3" t="n">
        <v>239.691246</v>
      </c>
      <c r="M401" s="3" t="n">
        <v>255.928867</v>
      </c>
      <c r="N401" s="3" t="n">
        <v>272.408216</v>
      </c>
      <c r="O401" s="3" t="n">
        <v>296.321286</v>
      </c>
      <c r="P401" s="3" t="n">
        <v>317.992862</v>
      </c>
      <c r="Q401" s="3" t="n">
        <v>344.778214</v>
      </c>
      <c r="R401" s="3" t="n">
        <v>373.459231</v>
      </c>
      <c r="S401" s="3" t="n">
        <v>403.123673</v>
      </c>
      <c r="T401" s="3" t="n">
        <v>433.37617</v>
      </c>
      <c r="U401" s="3" t="n">
        <v>467.381912</v>
      </c>
      <c r="V401" s="3" t="n">
        <v>502.744988</v>
      </c>
      <c r="W401" s="3" t="n">
        <v>543.485407</v>
      </c>
      <c r="X401" s="3" t="n">
        <v>563.438857</v>
      </c>
      <c r="Y401" s="3" t="n">
        <v>588.756936</v>
      </c>
      <c r="Z401" s="3" t="n">
        <v>613.627538</v>
      </c>
      <c r="AA401" s="3" t="n">
        <v>653.344123</v>
      </c>
      <c r="AB401" s="3" t="n">
        <v>738.588165</v>
      </c>
      <c r="AC401" s="3" t="n">
        <v>801.8873599999999</v>
      </c>
      <c r="AD401" s="3" t="n">
        <v>843.26167</v>
      </c>
      <c r="AE401" s="3" t="n">
        <v>877.662661</v>
      </c>
      <c r="AF401" s="3" t="n">
        <v>927.931928</v>
      </c>
      <c r="AG401" s="3" t="n">
        <v>976.869536</v>
      </c>
      <c r="AH401" s="3" t="n">
        <v>1013.022067</v>
      </c>
      <c r="AI401" s="3" t="n">
        <v>1049.49035</v>
      </c>
      <c r="AJ401" s="3" t="n">
        <v>1087.26796</v>
      </c>
      <c r="AK401" s="3" t="n">
        <v>1126.405417</v>
      </c>
      <c r="AL401" s="3" t="n">
        <v>1166.951673</v>
      </c>
      <c r="AM401" s="3" t="n"/>
      <c r="AN401" s="3" t="n"/>
      <c r="AO401" s="3" t="n"/>
      <c r="AP401" s="3" t="n"/>
      <c r="AQ401" s="3" t="n"/>
      <c r="AR401" s="3" t="n"/>
      <c r="AS401" s="3" t="n"/>
      <c r="AT401" s="3" t="n"/>
      <c r="AU401" s="3" t="n"/>
    </row>
    <row r="402">
      <c r="A402" s="3" t="n">
        <v>2031</v>
      </c>
      <c r="B402" s="3" t="inlineStr">
        <is>
          <t>BRA</t>
        </is>
      </c>
      <c r="C402" s="3" t="inlineStr">
        <is>
          <t>IMF.RES:WEO</t>
        </is>
      </c>
      <c r="D402" s="3" t="inlineStr">
        <is>
          <t>BRA.NGDP_R.A</t>
        </is>
      </c>
      <c r="E402" s="3" t="inlineStr">
        <is>
          <t>Brazil</t>
        </is>
      </c>
      <c r="F402" s="3" t="inlineStr">
        <is>
          <t>Gross domestic product (GDP), Constant prices, Domestic currency</t>
        </is>
      </c>
      <c r="G402" s="3" t="n">
        <v>785.111</v>
      </c>
      <c r="H402" s="3" t="n">
        <v>796.023</v>
      </c>
      <c r="I402" s="3" t="n">
        <v>820.328</v>
      </c>
      <c r="J402" s="3" t="n">
        <v>829.688</v>
      </c>
      <c r="K402" s="3" t="n">
        <v>877.477</v>
      </c>
      <c r="L402" s="3" t="n">
        <v>905.575</v>
      </c>
      <c r="M402" s="3" t="n">
        <v>941.453</v>
      </c>
      <c r="N402" s="3" t="n">
        <v>998.598</v>
      </c>
      <c r="O402" s="3" t="n">
        <v>1049.47</v>
      </c>
      <c r="P402" s="3" t="n">
        <v>1048.149</v>
      </c>
      <c r="Q402" s="3" t="n">
        <v>1127.057</v>
      </c>
      <c r="R402" s="3" t="n">
        <v>1171.85</v>
      </c>
      <c r="S402" s="3" t="n">
        <v>1194.363</v>
      </c>
      <c r="T402" s="3" t="n">
        <v>1230.252</v>
      </c>
      <c r="U402" s="3" t="n">
        <v>1236.452</v>
      </c>
      <c r="V402" s="3" t="n">
        <v>1192.61</v>
      </c>
      <c r="W402" s="3" t="n">
        <v>1153.541</v>
      </c>
      <c r="X402" s="3" t="n">
        <v>1168.801</v>
      </c>
      <c r="Y402" s="3" t="n">
        <v>1189.649</v>
      </c>
      <c r="Z402" s="3" t="n">
        <v>1204.172</v>
      </c>
      <c r="AA402" s="3" t="n">
        <v>1164.715</v>
      </c>
      <c r="AB402" s="3" t="n">
        <v>1220.185</v>
      </c>
      <c r="AC402" s="3" t="n">
        <v>1256.994</v>
      </c>
      <c r="AD402" s="3" t="n">
        <v>1297.74</v>
      </c>
      <c r="AE402" s="3" t="n">
        <v>1342.116</v>
      </c>
      <c r="AF402" s="3" t="n">
        <v>1372.791</v>
      </c>
      <c r="AG402" s="3" t="n">
        <v>1399.024755</v>
      </c>
      <c r="AH402" s="3" t="n">
        <v>1426.457204</v>
      </c>
      <c r="AI402" s="3" t="n">
        <v>1460.010604</v>
      </c>
      <c r="AJ402" s="3" t="n">
        <v>1496.556998</v>
      </c>
      <c r="AK402" s="3" t="n">
        <v>1534.018206</v>
      </c>
      <c r="AL402" s="3" t="n">
        <v>1572.417129</v>
      </c>
      <c r="AM402" s="3" t="n"/>
      <c r="AN402" s="3" t="n"/>
      <c r="AO402" s="3" t="n"/>
      <c r="AP402" s="3" t="n"/>
      <c r="AQ402" s="3" t="n"/>
      <c r="AR402" s="3" t="n"/>
      <c r="AS402" s="3" t="n"/>
      <c r="AT402" s="3" t="n"/>
      <c r="AU402" s="3" t="n"/>
    </row>
    <row r="403">
      <c r="A403" s="3" t="n">
        <v>2031</v>
      </c>
      <c r="B403" s="3" t="inlineStr">
        <is>
          <t>BRA</t>
        </is>
      </c>
      <c r="C403" s="3" t="inlineStr">
        <is>
          <t>IMF.RES:WEO</t>
        </is>
      </c>
      <c r="D403" s="3" t="inlineStr">
        <is>
          <t>BRA.NGDP_RPCH.A</t>
        </is>
      </c>
      <c r="E403" s="3" t="inlineStr">
        <is>
          <t>Brazil</t>
        </is>
      </c>
      <c r="F403" s="3" t="inlineStr">
        <is>
          <t>Gross domestic product (GDP), Constant prices, Percent change</t>
        </is>
      </c>
      <c r="G403" s="3" t="n">
        <v>4.388067</v>
      </c>
      <c r="H403" s="3" t="n">
        <v>1.389867</v>
      </c>
      <c r="I403" s="3" t="n">
        <v>3.053304</v>
      </c>
      <c r="J403" s="3" t="n">
        <v>1.141007</v>
      </c>
      <c r="K403" s="3" t="n">
        <v>5.759876</v>
      </c>
      <c r="L403" s="3" t="n">
        <v>3.202135</v>
      </c>
      <c r="M403" s="3" t="n">
        <v>3.961903</v>
      </c>
      <c r="N403" s="3" t="n">
        <v>6.069873</v>
      </c>
      <c r="O403" s="3" t="n">
        <v>5.094342</v>
      </c>
      <c r="P403" s="3" t="n">
        <v>-0.125873</v>
      </c>
      <c r="Q403" s="3" t="n">
        <v>7.528319</v>
      </c>
      <c r="R403" s="3" t="n">
        <v>3.974333</v>
      </c>
      <c r="S403" s="3" t="n">
        <v>1.92115</v>
      </c>
      <c r="T403" s="3" t="n">
        <v>3.004865</v>
      </c>
      <c r="U403" s="3" t="n">
        <v>0.503962</v>
      </c>
      <c r="V403" s="3" t="n">
        <v>-3.545791</v>
      </c>
      <c r="W403" s="3" t="n">
        <v>-3.275924</v>
      </c>
      <c r="X403" s="3" t="n">
        <v>1.322883</v>
      </c>
      <c r="Y403" s="3" t="n">
        <v>1.783708</v>
      </c>
      <c r="Z403" s="3" t="n">
        <v>1.22078</v>
      </c>
      <c r="AA403" s="3" t="n">
        <v>-3.276691</v>
      </c>
      <c r="AB403" s="3" t="n">
        <v>4.762538</v>
      </c>
      <c r="AC403" s="3" t="n">
        <v>3.016674</v>
      </c>
      <c r="AD403" s="3" t="n">
        <v>3.241543</v>
      </c>
      <c r="AE403" s="3" t="n">
        <v>3.419483</v>
      </c>
      <c r="AF403" s="3" t="n">
        <v>2.28557</v>
      </c>
      <c r="AG403" s="3" t="n">
        <v>1.91098</v>
      </c>
      <c r="AH403" s="3" t="n">
        <v>1.960827</v>
      </c>
      <c r="AI403" s="3" t="n">
        <v>2.352219</v>
      </c>
      <c r="AJ403" s="3" t="n">
        <v>2.503159</v>
      </c>
      <c r="AK403" s="3" t="n">
        <v>2.503159</v>
      </c>
      <c r="AL403" s="3" t="n">
        <v>2.503159</v>
      </c>
      <c r="AM403" s="3" t="n"/>
      <c r="AN403" s="3" t="n"/>
      <c r="AO403" s="3" t="n"/>
      <c r="AP403" s="3" t="n"/>
      <c r="AQ403" s="3" t="n"/>
      <c r="AR403" s="3" t="n"/>
      <c r="AS403" s="3" t="n"/>
      <c r="AT403" s="3" t="n"/>
      <c r="AU403" s="3" t="n"/>
    </row>
    <row r="404">
      <c r="A404" s="3" t="n">
        <v>2031</v>
      </c>
      <c r="B404" s="3" t="inlineStr">
        <is>
          <t>BRA</t>
        </is>
      </c>
      <c r="C404" s="3" t="inlineStr">
        <is>
          <t>IMF.RES:WEO</t>
        </is>
      </c>
      <c r="D404" s="3" t="inlineStr">
        <is>
          <t>BRA.NGDPD.A</t>
        </is>
      </c>
      <c r="E404" s="3" t="inlineStr">
        <is>
          <t>Brazil</t>
        </is>
      </c>
      <c r="F404" s="3" t="inlineStr">
        <is>
          <t>Gross domestic product (GDP), Current prices, US dollar</t>
        </is>
      </c>
      <c r="G404" s="3" t="n">
        <v>655.453995</v>
      </c>
      <c r="H404" s="3" t="n">
        <v>559.981557</v>
      </c>
      <c r="I404" s="3" t="n">
        <v>509.797798</v>
      </c>
      <c r="J404" s="3" t="n">
        <v>558.23243</v>
      </c>
      <c r="K404" s="3" t="n">
        <v>669.289544</v>
      </c>
      <c r="L404" s="3" t="n">
        <v>891.633023</v>
      </c>
      <c r="M404" s="3" t="n">
        <v>1107.627596</v>
      </c>
      <c r="N404" s="3" t="n">
        <v>1397.114279</v>
      </c>
      <c r="O404" s="3" t="n">
        <v>1695.855343</v>
      </c>
      <c r="P404" s="3" t="n">
        <v>1669.204137</v>
      </c>
      <c r="Q404" s="3" t="n">
        <v>2208.704244</v>
      </c>
      <c r="R404" s="3" t="n">
        <v>2614.026869</v>
      </c>
      <c r="S404" s="3" t="n">
        <v>2464.053224</v>
      </c>
      <c r="T404" s="3" t="n">
        <v>2471.717855</v>
      </c>
      <c r="U404" s="3" t="n">
        <v>2456.054513</v>
      </c>
      <c r="V404" s="3" t="n">
        <v>1800.045633</v>
      </c>
      <c r="W404" s="3" t="n">
        <v>1796.621874</v>
      </c>
      <c r="X404" s="3" t="n">
        <v>2063.518641</v>
      </c>
      <c r="Y404" s="3" t="n">
        <v>1916.933898</v>
      </c>
      <c r="Z404" s="3" t="n">
        <v>1873.286306</v>
      </c>
      <c r="AA404" s="3" t="n">
        <v>1476.091674</v>
      </c>
      <c r="AB404" s="3" t="n">
        <v>1670.65029</v>
      </c>
      <c r="AC404" s="3" t="n">
        <v>1951.849476</v>
      </c>
      <c r="AD404" s="3" t="n">
        <v>2191.137482</v>
      </c>
      <c r="AE404" s="3" t="n">
        <v>2185.822364</v>
      </c>
      <c r="AF404" s="3" t="n">
        <v>2279.917849</v>
      </c>
      <c r="AG404" s="3" t="n">
        <v>2635.911515</v>
      </c>
      <c r="AH404" s="3" t="n">
        <v>2766.558484</v>
      </c>
      <c r="AI404" s="3" t="n">
        <v>2879.419667</v>
      </c>
      <c r="AJ404" s="3" t="n">
        <v>3037.1713</v>
      </c>
      <c r="AK404" s="3" t="n">
        <v>3203.507834</v>
      </c>
      <c r="AL404" s="3" t="n">
        <v>3378.876755</v>
      </c>
      <c r="AM404" s="3" t="n"/>
      <c r="AN404" s="3" t="n"/>
      <c r="AO404" s="3" t="n"/>
      <c r="AP404" s="3" t="n"/>
      <c r="AQ404" s="3" t="n"/>
      <c r="AR404" s="3" t="n"/>
      <c r="AS404" s="3" t="n"/>
      <c r="AT404" s="3" t="n"/>
      <c r="AU404" s="3" t="n"/>
    </row>
    <row r="405">
      <c r="A405" s="3" t="n">
        <v>2031</v>
      </c>
      <c r="B405" s="3" t="inlineStr">
        <is>
          <t>BRA</t>
        </is>
      </c>
      <c r="C405" s="3" t="inlineStr">
        <is>
          <t>IMF.RES:WEO</t>
        </is>
      </c>
      <c r="D405" s="3" t="inlineStr">
        <is>
          <t>BRA.NGDPPC.A</t>
        </is>
      </c>
      <c r="E405" s="3" t="inlineStr">
        <is>
          <t>Brazil</t>
        </is>
      </c>
      <c r="F405" s="3" t="inlineStr">
        <is>
          <t>Gross domestic product (GDP), Current prices, Per capita, Domestic currency</t>
        </is>
      </c>
      <c r="G405" s="3" t="n">
        <v>6863.8861</v>
      </c>
      <c r="H405" s="3" t="n">
        <v>7433.492522</v>
      </c>
      <c r="I405" s="3" t="n">
        <v>8306.659061</v>
      </c>
      <c r="J405" s="3" t="n">
        <v>9471.679461</v>
      </c>
      <c r="K405" s="3" t="n">
        <v>10670.705527</v>
      </c>
      <c r="L405" s="3" t="n">
        <v>11700.102862</v>
      </c>
      <c r="M405" s="3" t="n">
        <v>12847.999651</v>
      </c>
      <c r="N405" s="3" t="n">
        <v>14358.069471</v>
      </c>
      <c r="O405" s="3" t="n">
        <v>16253.167556</v>
      </c>
      <c r="P405" s="3" t="n">
        <v>17254.07342</v>
      </c>
      <c r="Q405" s="3" t="n">
        <v>19953.070031</v>
      </c>
      <c r="R405" s="3" t="n">
        <v>22310.425222</v>
      </c>
      <c r="S405" s="3" t="n">
        <v>24357.489241</v>
      </c>
      <c r="T405" s="3" t="n">
        <v>26761.568336</v>
      </c>
      <c r="U405" s="3" t="n">
        <v>28778.051153</v>
      </c>
      <c r="V405" s="3" t="n">
        <v>29622.92052</v>
      </c>
      <c r="W405" s="3" t="n">
        <v>30751.301338</v>
      </c>
      <c r="X405" s="3" t="n">
        <v>32091.170187</v>
      </c>
      <c r="Y405" s="3" t="n">
        <v>33913.589429</v>
      </c>
      <c r="Z405" s="3" t="n">
        <v>35541.738727</v>
      </c>
      <c r="AA405" s="3" t="n">
        <v>36380.85262</v>
      </c>
      <c r="AB405" s="3" t="n">
        <v>42893.792388</v>
      </c>
      <c r="AC405" s="3" t="n">
        <v>47802.017484</v>
      </c>
      <c r="AD405" s="3" t="n">
        <v>51693.879555</v>
      </c>
      <c r="AE405" s="3" t="n">
        <v>55409.93138</v>
      </c>
      <c r="AF405" s="3" t="n">
        <v>59704.059538</v>
      </c>
      <c r="AG405" s="3" t="n">
        <v>63838.084212</v>
      </c>
      <c r="AH405" s="3" t="n">
        <v>67286.765954</v>
      </c>
      <c r="AI405" s="3" t="n">
        <v>71141.742883</v>
      </c>
      <c r="AJ405" s="3" t="n">
        <v>75344.035565</v>
      </c>
      <c r="AK405" s="3" t="n">
        <v>79812.06609199999</v>
      </c>
      <c r="AL405" s="3" t="n">
        <v>84563.61646400001</v>
      </c>
      <c r="AM405" s="3" t="n"/>
      <c r="AN405" s="3" t="n"/>
      <c r="AO405" s="3" t="n"/>
      <c r="AP405" s="3" t="n"/>
      <c r="AQ405" s="3" t="n"/>
      <c r="AR405" s="3" t="n"/>
      <c r="AS405" s="3" t="n"/>
      <c r="AT405" s="3" t="n"/>
      <c r="AU405" s="3" t="n"/>
    </row>
    <row r="406">
      <c r="A406" s="3" t="n">
        <v>2031</v>
      </c>
      <c r="B406" s="3" t="inlineStr">
        <is>
          <t>BRA</t>
        </is>
      </c>
      <c r="C406" s="3" t="inlineStr">
        <is>
          <t>IMF.RES:WEO</t>
        </is>
      </c>
      <c r="D406" s="3" t="inlineStr">
        <is>
          <t>BRA.NGDPRPC.A</t>
        </is>
      </c>
      <c r="E406" s="3" t="inlineStr">
        <is>
          <t>Brazil</t>
        </is>
      </c>
      <c r="F406" s="3" t="inlineStr">
        <is>
          <t>Gross domestic product (GDP), Constant prices, Per capita, Domestic currency</t>
        </is>
      </c>
      <c r="G406" s="3" t="n">
        <v>4494.157234</v>
      </c>
      <c r="H406" s="3" t="n">
        <v>4497.209983</v>
      </c>
      <c r="I406" s="3" t="n">
        <v>4577.00157</v>
      </c>
      <c r="J406" s="3" t="n">
        <v>4574.367248</v>
      </c>
      <c r="K406" s="3" t="n">
        <v>4782.683526</v>
      </c>
      <c r="L406" s="3" t="n">
        <v>4881.322561</v>
      </c>
      <c r="M406" s="3" t="n">
        <v>5020.14477</v>
      </c>
      <c r="N406" s="3" t="n">
        <v>5270.791632</v>
      </c>
      <c r="O406" s="3" t="n">
        <v>5484.981446</v>
      </c>
      <c r="P406" s="3" t="n">
        <v>5425.93105</v>
      </c>
      <c r="Q406" s="3" t="n">
        <v>5787.218913</v>
      </c>
      <c r="R406" s="3" t="n">
        <v>5973.992169</v>
      </c>
      <c r="S406" s="3" t="n">
        <v>6042.187757</v>
      </c>
      <c r="T406" s="3" t="n">
        <v>6175.136102</v>
      </c>
      <c r="U406" s="3" t="n">
        <v>6157.288163</v>
      </c>
      <c r="V406" s="3" t="n">
        <v>5892.235872</v>
      </c>
      <c r="W406" s="3" t="n">
        <v>5658.165047</v>
      </c>
      <c r="X406" s="3" t="n">
        <v>5695.590527</v>
      </c>
      <c r="Y406" s="3" t="n">
        <v>5760.202108</v>
      </c>
      <c r="Z406" s="3" t="n">
        <v>5792.070354</v>
      </c>
      <c r="AA406" s="3" t="n">
        <v>5568.405891</v>
      </c>
      <c r="AB406" s="3" t="n">
        <v>5807.538548</v>
      </c>
      <c r="AC406" s="3" t="n">
        <v>5961.188551</v>
      </c>
      <c r="AD406" s="3" t="n">
        <v>6130.22996</v>
      </c>
      <c r="AE406" s="3" t="n">
        <v>6313.351797</v>
      </c>
      <c r="AF406" s="3" t="n">
        <v>6434.099066</v>
      </c>
      <c r="AG406" s="3" t="n">
        <v>6534.965198</v>
      </c>
      <c r="AH406" s="3" t="n">
        <v>6642.181661</v>
      </c>
      <c r="AI406" s="3" t="n">
        <v>6778.694332</v>
      </c>
      <c r="AJ406" s="3" t="n">
        <v>6929.665764</v>
      </c>
      <c r="AK406" s="3" t="n">
        <v>7085.554176</v>
      </c>
      <c r="AL406" s="3" t="n">
        <v>7246.539717</v>
      </c>
      <c r="AM406" s="3" t="n"/>
      <c r="AN406" s="3" t="n"/>
      <c r="AO406" s="3" t="n"/>
      <c r="AP406" s="3" t="n"/>
      <c r="AQ406" s="3" t="n"/>
      <c r="AR406" s="3" t="n"/>
      <c r="AS406" s="3" t="n"/>
      <c r="AT406" s="3" t="n"/>
      <c r="AU406" s="3" t="n"/>
    </row>
    <row r="407">
      <c r="A407" s="3" t="n">
        <v>2031</v>
      </c>
      <c r="B407" s="3" t="inlineStr">
        <is>
          <t>BRA</t>
        </is>
      </c>
      <c r="C407" s="3" t="inlineStr">
        <is>
          <t>IMF.RES:WEO</t>
        </is>
      </c>
      <c r="D407" s="3" t="inlineStr">
        <is>
          <t>BRA.PCPI.A</t>
        </is>
      </c>
      <c r="E407" s="3" t="inlineStr">
        <is>
          <t>Brazil</t>
        </is>
      </c>
      <c r="F407" s="3" t="inlineStr">
        <is>
          <t>All Items, Consumer price index (CPI), Period average</t>
        </is>
      </c>
      <c r="G407" s="3" t="n">
        <v>10780490489263.1</v>
      </c>
      <c r="H407" s="3" t="n">
        <v>11517926859177.8</v>
      </c>
      <c r="I407" s="3" t="n">
        <v>12491189222130.3</v>
      </c>
      <c r="J407" s="3" t="n">
        <v>14329200077485.9</v>
      </c>
      <c r="K407" s="3" t="n">
        <v>15274640629719.9</v>
      </c>
      <c r="L407" s="3" t="n">
        <v>16324036146421.6</v>
      </c>
      <c r="M407" s="3" t="n">
        <v>17006987205724</v>
      </c>
      <c r="N407" s="3" t="n">
        <v>17626272098499.1</v>
      </c>
      <c r="O407" s="3" t="n">
        <v>18627144404695.4</v>
      </c>
      <c r="P407" s="3" t="n">
        <v>19537658456154.1</v>
      </c>
      <c r="Q407" s="3" t="n">
        <v>20522171165156.5</v>
      </c>
      <c r="R407" s="3" t="n">
        <v>21884097039589.5</v>
      </c>
      <c r="S407" s="3" t="n">
        <v>23066633284567.3</v>
      </c>
      <c r="T407" s="3" t="n">
        <v>24497737755913.4</v>
      </c>
      <c r="U407" s="3" t="n">
        <v>26048244961124</v>
      </c>
      <c r="V407" s="3" t="n">
        <v>28400440595910.1</v>
      </c>
      <c r="W407" s="3" t="n">
        <v>30882511530234.4</v>
      </c>
      <c r="X407" s="3" t="n">
        <v>31946817701225.1</v>
      </c>
      <c r="Y407" s="3" t="n">
        <v>33117565218738</v>
      </c>
      <c r="Z407" s="3" t="n">
        <v>34353857264335.9</v>
      </c>
      <c r="AA407" s="3" t="n">
        <v>35457162626753.9</v>
      </c>
      <c r="AB407" s="3" t="n">
        <v>38400665110472</v>
      </c>
      <c r="AC407" s="3" t="n">
        <v>41964222399270</v>
      </c>
      <c r="AD407" s="3" t="n">
        <v>43891861505252.1</v>
      </c>
      <c r="AE407" s="3" t="n">
        <v>45808802547407.5</v>
      </c>
      <c r="AF407" s="3" t="n">
        <v>48106917833973</v>
      </c>
      <c r="AG407" s="3" t="n">
        <v>50029642015430.3</v>
      </c>
      <c r="AH407" s="3" t="n">
        <v>51707111576299.8</v>
      </c>
      <c r="AI407" s="3" t="n">
        <v>53256189988619.5</v>
      </c>
      <c r="AJ407" s="3" t="n">
        <v>54847947646689.5</v>
      </c>
      <c r="AK407" s="3" t="n">
        <v>56493259466695.2</v>
      </c>
      <c r="AL407" s="3" t="n">
        <v>58185140276302.6</v>
      </c>
      <c r="AM407" s="3" t="n"/>
      <c r="AN407" s="3" t="n"/>
      <c r="AO407" s="3" t="n"/>
      <c r="AP407" s="3" t="n"/>
      <c r="AQ407" s="3" t="n"/>
      <c r="AR407" s="3" t="n"/>
      <c r="AS407" s="3" t="n"/>
      <c r="AT407" s="3" t="n"/>
      <c r="AU407" s="3" t="n"/>
    </row>
    <row r="408">
      <c r="A408" s="3" t="n">
        <v>2031</v>
      </c>
      <c r="B408" s="3" t="inlineStr">
        <is>
          <t>BRA</t>
        </is>
      </c>
      <c r="C408" s="3" t="inlineStr">
        <is>
          <t>IMF.RES:WEO</t>
        </is>
      </c>
      <c r="D408" s="3" t="inlineStr">
        <is>
          <t>BRA.PCPIPCH.A</t>
        </is>
      </c>
      <c r="E408" s="3" t="inlineStr">
        <is>
          <t>Brazil</t>
        </is>
      </c>
      <c r="F408" s="3" t="inlineStr">
        <is>
          <t>All Items, Consumer price index (CPI), Period average, percent change</t>
        </is>
      </c>
      <c r="G408" s="3" t="n">
        <v>7.043924</v>
      </c>
      <c r="H408" s="3" t="n">
        <v>6.840471</v>
      </c>
      <c r="I408" s="3" t="n">
        <v>8.449979000000001</v>
      </c>
      <c r="J408" s="3" t="n">
        <v>14.714459</v>
      </c>
      <c r="K408" s="3" t="n">
        <v>6.598</v>
      </c>
      <c r="L408" s="3" t="n">
        <v>6.870181</v>
      </c>
      <c r="M408" s="3" t="n">
        <v>4.183714</v>
      </c>
      <c r="N408" s="3" t="n">
        <v>3.641356</v>
      </c>
      <c r="O408" s="3" t="n">
        <v>5.678298</v>
      </c>
      <c r="P408" s="3" t="n">
        <v>4.888103</v>
      </c>
      <c r="Q408" s="3" t="n">
        <v>5.039052</v>
      </c>
      <c r="R408" s="3" t="n">
        <v>6.636363</v>
      </c>
      <c r="S408" s="3" t="n">
        <v>5.403633</v>
      </c>
      <c r="T408" s="3" t="n">
        <v>6.204219</v>
      </c>
      <c r="U408" s="3" t="n">
        <v>6.329185</v>
      </c>
      <c r="V408" s="3" t="n">
        <v>9.030150000000001</v>
      </c>
      <c r="W408" s="3" t="n">
        <v>8.739551000000001</v>
      </c>
      <c r="X408" s="3" t="n">
        <v>3.446307</v>
      </c>
      <c r="Y408" s="3" t="n">
        <v>3.664676</v>
      </c>
      <c r="Z408" s="3" t="n">
        <v>3.73304</v>
      </c>
      <c r="AA408" s="3" t="n">
        <v>3.211591</v>
      </c>
      <c r="AB408" s="3" t="n">
        <v>8.301574</v>
      </c>
      <c r="AC408" s="3" t="n">
        <v>9.279935999999999</v>
      </c>
      <c r="AD408" s="3" t="n">
        <v>4.59353</v>
      </c>
      <c r="AE408" s="3" t="n">
        <v>4.367418</v>
      </c>
      <c r="AF408" s="3" t="n">
        <v>5.016755</v>
      </c>
      <c r="AG408" s="3" t="n">
        <v>3.996773</v>
      </c>
      <c r="AH408" s="3" t="n">
        <v>3.352951</v>
      </c>
      <c r="AI408" s="3" t="n">
        <v>2.995871</v>
      </c>
      <c r="AJ408" s="3" t="n">
        <v>2.988869</v>
      </c>
      <c r="AK408" s="3" t="n">
        <v>2.999769</v>
      </c>
      <c r="AL408" s="3" t="n">
        <v>2.994837</v>
      </c>
      <c r="AM408" s="3" t="n"/>
      <c r="AN408" s="3" t="n"/>
      <c r="AO408" s="3" t="n"/>
      <c r="AP408" s="3" t="n"/>
      <c r="AQ408" s="3" t="n"/>
      <c r="AR408" s="3" t="n"/>
      <c r="AS408" s="3" t="n"/>
      <c r="AT408" s="3" t="n"/>
      <c r="AU408" s="3" t="n"/>
    </row>
    <row r="409">
      <c r="A409" s="3" t="n">
        <v>2031</v>
      </c>
      <c r="B409" s="3" t="inlineStr">
        <is>
          <t>BRA</t>
        </is>
      </c>
      <c r="C409" s="3" t="inlineStr">
        <is>
          <t>IMF.RES:WEO</t>
        </is>
      </c>
      <c r="D409" s="3" t="inlineStr">
        <is>
          <t>BRA.PPPPC.A</t>
        </is>
      </c>
      <c r="E409" s="3" t="inlineStr">
        <is>
          <t>Brazil</t>
        </is>
      </c>
      <c r="F409" s="3" t="inlineStr">
        <is>
          <t>Gross domestic product (GDP), Per capita, purchasing power parity (PPP) international dollar, ICP benchmarks 2017-2021</t>
        </is>
      </c>
      <c r="G409" s="3" t="n">
        <v>8333.612413000001</v>
      </c>
      <c r="H409" s="3" t="n">
        <v>8527.041965</v>
      </c>
      <c r="I409" s="3" t="n">
        <v>8813.197098000001</v>
      </c>
      <c r="J409" s="3" t="n">
        <v>8982.015985</v>
      </c>
      <c r="K409" s="3" t="n">
        <v>9643.570537</v>
      </c>
      <c r="L409" s="3" t="n">
        <v>10151.103454</v>
      </c>
      <c r="M409" s="3" t="n">
        <v>10761.74641</v>
      </c>
      <c r="N409" s="3" t="n">
        <v>11605.183272</v>
      </c>
      <c r="O409" s="3" t="n">
        <v>12309.433083</v>
      </c>
      <c r="P409" s="3" t="n">
        <v>12252.0119</v>
      </c>
      <c r="Q409" s="3" t="n">
        <v>13226.640107</v>
      </c>
      <c r="R409" s="3" t="n">
        <v>13935.214611</v>
      </c>
      <c r="S409" s="3" t="n">
        <v>14356.71697</v>
      </c>
      <c r="T409" s="3" t="n">
        <v>14922.341366</v>
      </c>
      <c r="U409" s="3" t="n">
        <v>15138.364897</v>
      </c>
      <c r="V409" s="3" t="n">
        <v>14621.149245</v>
      </c>
      <c r="W409" s="3" t="n">
        <v>14173.734163</v>
      </c>
      <c r="X409" s="3" t="n">
        <v>14523.000104</v>
      </c>
      <c r="Y409" s="3" t="n">
        <v>15432.16233</v>
      </c>
      <c r="Z409" s="3" t="n">
        <v>16035.46914</v>
      </c>
      <c r="AA409" s="3" t="n">
        <v>16062.816514</v>
      </c>
      <c r="AB409" s="3" t="n">
        <v>18028.100188</v>
      </c>
      <c r="AC409" s="3" t="n">
        <v>19821.226656</v>
      </c>
      <c r="AD409" s="3" t="n">
        <v>21137.485928</v>
      </c>
      <c r="AE409" s="3" t="n">
        <v>22309.326338</v>
      </c>
      <c r="AF409" s="3" t="n">
        <v>23380.97527</v>
      </c>
      <c r="AG409" s="3" t="n">
        <v>24427.845175</v>
      </c>
      <c r="AH409" s="3" t="n">
        <v>25373.83493</v>
      </c>
      <c r="AI409" s="3" t="n">
        <v>26320.371195</v>
      </c>
      <c r="AJ409" s="3" t="n">
        <v>27384.992258</v>
      </c>
      <c r="AK409" s="3" t="n">
        <v>28515.566329</v>
      </c>
      <c r="AL409" s="3" t="n">
        <v>29689.935273</v>
      </c>
      <c r="AM409" s="3" t="n"/>
      <c r="AN409" s="3" t="n"/>
      <c r="AO409" s="3" t="n"/>
      <c r="AP409" s="3" t="n"/>
      <c r="AQ409" s="3" t="n"/>
      <c r="AR409" s="3" t="n"/>
      <c r="AS409" s="3" t="n"/>
      <c r="AT409" s="3" t="n"/>
      <c r="AU409" s="3" t="n"/>
    </row>
    <row r="410">
      <c r="A410" s="3" t="n">
        <v>2025</v>
      </c>
      <c r="B410" s="3" t="inlineStr">
        <is>
          <t>BRA</t>
        </is>
      </c>
      <c r="C410" s="3" t="inlineStr">
        <is>
          <t>IMF.STA:ER</t>
        </is>
      </c>
      <c r="D410" s="3" t="inlineStr">
        <is>
          <t>BRA.XDC_USD.PA_RT.A</t>
        </is>
      </c>
      <c r="E410" s="3" t="inlineStr">
        <is>
          <t>Brazil</t>
        </is>
      </c>
      <c r="F410" s="3" t="inlineStr">
        <is>
          <t>Domestic currency per US Dollar</t>
        </is>
      </c>
      <c r="G410" s="3" t="n">
        <v>1.82942312207561</v>
      </c>
      <c r="H410" s="3" t="n">
        <v>2.34963170932244</v>
      </c>
      <c r="I410" s="3" t="n">
        <v>2.92036301775519</v>
      </c>
      <c r="J410" s="3" t="n">
        <v>3.07747511847801</v>
      </c>
      <c r="K410" s="3" t="n">
        <v>2.92511944951586</v>
      </c>
      <c r="L410" s="3" t="n">
        <v>2.43439003623188</v>
      </c>
      <c r="M410" s="3" t="n">
        <v>2.17532666666666</v>
      </c>
      <c r="N410" s="3" t="n">
        <v>1.94705833333333</v>
      </c>
      <c r="O410" s="3" t="n">
        <v>1.83376666666666</v>
      </c>
      <c r="P410" s="3" t="n">
        <v>1.99942817314425</v>
      </c>
      <c r="Q410" s="3" t="n">
        <v>1.75922671058717</v>
      </c>
      <c r="R410" s="3" t="n">
        <v>1.67282875525659</v>
      </c>
      <c r="S410" s="3" t="n">
        <v>1.95306861112486</v>
      </c>
      <c r="T410" s="3" t="n">
        <v>2.15608915126311</v>
      </c>
      <c r="U410" s="3" t="n">
        <v>2.35295196276668</v>
      </c>
      <c r="V410" s="3" t="n">
        <v>3.32690438276879</v>
      </c>
      <c r="W410" s="3" t="n">
        <v>3.4913134215727</v>
      </c>
      <c r="X410" s="3" t="n">
        <v>3.19138944630048</v>
      </c>
      <c r="Y410" s="3" t="n">
        <v>3.65382536145755</v>
      </c>
      <c r="Z410" s="3" t="n">
        <v>3.9444710972507</v>
      </c>
      <c r="AA410" s="3" t="n">
        <v>5.1551787875128</v>
      </c>
      <c r="AB410" s="3" t="n">
        <v>5.39440078962503</v>
      </c>
      <c r="AC410" s="3" t="n">
        <v>5.16397029102111</v>
      </c>
      <c r="AD410" s="3" t="n">
        <v>4.99437976287199</v>
      </c>
      <c r="AE410" s="3" t="n">
        <v>5.38893490570959</v>
      </c>
      <c r="AF410" s="3" t="n">
        <v>5.58728623856661</v>
      </c>
      <c r="AG410" s="3" t="n"/>
      <c r="AH410" s="3" t="n"/>
      <c r="AI410" s="3" t="n"/>
      <c r="AJ410" s="3" t="n"/>
      <c r="AK410" s="3" t="n"/>
      <c r="AL410" s="3" t="n"/>
      <c r="AM410" s="3" t="n"/>
      <c r="AN410" s="3" t="n"/>
      <c r="AO410" s="3" t="n"/>
      <c r="AP410" s="3" t="n"/>
      <c r="AQ410" s="3" t="n"/>
      <c r="AR410" s="3" t="n"/>
      <c r="AS410" s="3" t="n"/>
      <c r="AT410" s="3" t="n"/>
      <c r="AU410" s="3" t="n"/>
    </row>
    <row r="411">
      <c r="A411" s="3" t="n">
        <v>2031</v>
      </c>
      <c r="B411" s="3" t="inlineStr">
        <is>
          <t>BRB</t>
        </is>
      </c>
      <c r="C411" s="3" t="inlineStr">
        <is>
          <t>IMF.RES:WEO</t>
        </is>
      </c>
      <c r="D411" s="3" t="inlineStr">
        <is>
          <t>BRB.BCA.A</t>
        </is>
      </c>
      <c r="E411" s="3" t="inlineStr">
        <is>
          <t>Barbados</t>
        </is>
      </c>
      <c r="F411" s="3" t="inlineStr">
        <is>
          <t>Current account balance (credit less debit), US dollar</t>
        </is>
      </c>
      <c r="G411" s="3" t="n">
        <v>-0.1118</v>
      </c>
      <c r="H411" s="3" t="n">
        <v>-0.114</v>
      </c>
      <c r="I411" s="3" t="n">
        <v>-0.16175</v>
      </c>
      <c r="J411" s="3" t="n">
        <v>-0.1191</v>
      </c>
      <c r="K411" s="3" t="n">
        <v>-0.361405</v>
      </c>
      <c r="L411" s="3" t="n">
        <v>-0.40141</v>
      </c>
      <c r="M411" s="3" t="n">
        <v>-0.441728</v>
      </c>
      <c r="N411" s="3" t="n">
        <v>-0.226197</v>
      </c>
      <c r="O411" s="3" t="n">
        <v>-0.460653</v>
      </c>
      <c r="P411" s="3" t="n">
        <v>-0.269039</v>
      </c>
      <c r="Q411" s="3" t="n">
        <v>-0.208524</v>
      </c>
      <c r="R411" s="3" t="n">
        <v>-0.550384</v>
      </c>
      <c r="S411" s="3" t="n">
        <v>-0.390882</v>
      </c>
      <c r="T411" s="3" t="n">
        <v>-0.391257</v>
      </c>
      <c r="U411" s="3" t="n">
        <v>-0.432886</v>
      </c>
      <c r="V411" s="3" t="n">
        <v>-0.288536</v>
      </c>
      <c r="W411" s="3" t="n">
        <v>-0.205775</v>
      </c>
      <c r="X411" s="3" t="n">
        <v>-0.188589</v>
      </c>
      <c r="Y411" s="3" t="n">
        <v>-0.201437</v>
      </c>
      <c r="Z411" s="3" t="n">
        <v>-0.060287</v>
      </c>
      <c r="AA411" s="3" t="n">
        <v>-0.277219</v>
      </c>
      <c r="AB411" s="3" t="n">
        <v>-0.470084</v>
      </c>
      <c r="AC411" s="3" t="n">
        <v>-0.542753</v>
      </c>
      <c r="AD411" s="3" t="n">
        <v>-0.5626</v>
      </c>
      <c r="AE411" s="3" t="n">
        <v>-0.296475</v>
      </c>
      <c r="AF411" s="3" t="n">
        <v>-0.602276</v>
      </c>
      <c r="AG411" s="3" t="n">
        <v>-0.592155</v>
      </c>
      <c r="AH411" s="3" t="n">
        <v>-0.590936</v>
      </c>
      <c r="AI411" s="3" t="n">
        <v>-0.562009</v>
      </c>
      <c r="AJ411" s="3" t="n">
        <v>-0.53778</v>
      </c>
      <c r="AK411" s="3" t="n">
        <v>-0.52905</v>
      </c>
      <c r="AL411" s="3" t="n">
        <v>-0.560555</v>
      </c>
      <c r="AM411" s="3" t="n"/>
      <c r="AN411" s="3" t="n"/>
      <c r="AO411" s="3" t="n"/>
      <c r="AP411" s="3" t="n"/>
      <c r="AQ411" s="3" t="n"/>
      <c r="AR411" s="3" t="n"/>
      <c r="AS411" s="3" t="n"/>
      <c r="AT411" s="3" t="n"/>
      <c r="AU411" s="3" t="n"/>
    </row>
    <row r="412">
      <c r="A412" s="3" t="n">
        <v>2031</v>
      </c>
      <c r="B412" s="3" t="inlineStr">
        <is>
          <t>BRB</t>
        </is>
      </c>
      <c r="C412" s="3" t="inlineStr">
        <is>
          <t>IMF.RES:WEO</t>
        </is>
      </c>
      <c r="D412" s="3" t="inlineStr">
        <is>
          <t>BRB.BCA_NGDPD.A</t>
        </is>
      </c>
      <c r="E412" s="3" t="inlineStr">
        <is>
          <t>Barbados</t>
        </is>
      </c>
      <c r="F412" s="3" t="inlineStr">
        <is>
          <t>Current account balance (credit less debit), Percent of GDP</t>
        </is>
      </c>
      <c r="G412" s="3" t="n">
        <v>-3.19504</v>
      </c>
      <c r="H412" s="3" t="n">
        <v>-3.262974</v>
      </c>
      <c r="I412" s="3" t="n">
        <v>-4.551046</v>
      </c>
      <c r="J412" s="3" t="n">
        <v>-3.239758</v>
      </c>
      <c r="K412" s="3" t="n">
        <v>-9.111969999999999</v>
      </c>
      <c r="L412" s="3" t="n">
        <v>-9.017797</v>
      </c>
      <c r="M412" s="3" t="n">
        <v>-8.889896</v>
      </c>
      <c r="N412" s="3" t="n">
        <v>-4.05947</v>
      </c>
      <c r="O412" s="3" t="n">
        <v>-8.070928</v>
      </c>
      <c r="P412" s="3" t="n">
        <v>-5.028276</v>
      </c>
      <c r="Q412" s="3" t="n">
        <v>-3.841152</v>
      </c>
      <c r="R412" s="3" t="n">
        <v>-9.893374</v>
      </c>
      <c r="S412" s="3" t="n">
        <v>-7.124432</v>
      </c>
      <c r="T412" s="3" t="n">
        <v>-6.912603</v>
      </c>
      <c r="U412" s="3" t="n">
        <v>-7.614665</v>
      </c>
      <c r="V412" s="3" t="n">
        <v>-5.062372</v>
      </c>
      <c r="W412" s="3" t="n">
        <v>-3.62342</v>
      </c>
      <c r="X412" s="3" t="n">
        <v>-3.225189</v>
      </c>
      <c r="Y412" s="3" t="n">
        <v>-3.356671</v>
      </c>
      <c r="Z412" s="3" t="n">
        <v>-0.977623</v>
      </c>
      <c r="AA412" s="3" t="n">
        <v>-5.130602</v>
      </c>
      <c r="AB412" s="3" t="n">
        <v>-7.902034</v>
      </c>
      <c r="AC412" s="3" t="n">
        <v>-7.881238</v>
      </c>
      <c r="AD412" s="3" t="n">
        <v>-7.788739</v>
      </c>
      <c r="AE412" s="3" t="n">
        <v>-3.90224</v>
      </c>
      <c r="AF412" s="3" t="n">
        <v>-7.512906</v>
      </c>
      <c r="AG412" s="3" t="n">
        <v>-6.980746</v>
      </c>
      <c r="AH412" s="3" t="n">
        <v>-6.599316</v>
      </c>
      <c r="AI412" s="3" t="n">
        <v>-5.995046</v>
      </c>
      <c r="AJ412" s="3" t="n">
        <v>-5.481558</v>
      </c>
      <c r="AK412" s="3" t="n">
        <v>-5.152565</v>
      </c>
      <c r="AL412" s="3" t="n">
        <v>-5.2144</v>
      </c>
      <c r="AM412" s="3" t="n"/>
      <c r="AN412" s="3" t="n"/>
      <c r="AO412" s="3" t="n"/>
      <c r="AP412" s="3" t="n"/>
      <c r="AQ412" s="3" t="n"/>
      <c r="AR412" s="3" t="n"/>
      <c r="AS412" s="3" t="n"/>
      <c r="AT412" s="3" t="n"/>
      <c r="AU412" s="3" t="n"/>
    </row>
    <row r="413">
      <c r="A413" s="3" t="n">
        <v>2031</v>
      </c>
      <c r="B413" s="3" t="inlineStr">
        <is>
          <t>BRB</t>
        </is>
      </c>
      <c r="C413" s="3" t="inlineStr">
        <is>
          <t>IMF.RES:WEO</t>
        </is>
      </c>
      <c r="D413" s="3" t="inlineStr">
        <is>
          <t>BRB.GGR_NGDP.A</t>
        </is>
      </c>
      <c r="E413" s="3" t="inlineStr">
        <is>
          <t>Barbados</t>
        </is>
      </c>
      <c r="F413" s="3" t="inlineStr">
        <is>
          <t>Revenue, General government, Percent of GDP</t>
        </is>
      </c>
      <c r="G413" s="3" t="n">
        <v>24.372345</v>
      </c>
      <c r="H413" s="3" t="n">
        <v>24.535165</v>
      </c>
      <c r="I413" s="3" t="n">
        <v>24.16417</v>
      </c>
      <c r="J413" s="3" t="n">
        <v>24.840501</v>
      </c>
      <c r="K413" s="3" t="n">
        <v>23.46406</v>
      </c>
      <c r="L413" s="3" t="n">
        <v>23.594615</v>
      </c>
      <c r="M413" s="3" t="n">
        <v>21.843166</v>
      </c>
      <c r="N413" s="3" t="n">
        <v>22.044459</v>
      </c>
      <c r="O413" s="3" t="n">
        <v>23.115546</v>
      </c>
      <c r="P413" s="3" t="n">
        <v>21.635705</v>
      </c>
      <c r="Q413" s="3" t="n">
        <v>20.859334</v>
      </c>
      <c r="R413" s="3" t="n">
        <v>23.001457</v>
      </c>
      <c r="S413" s="3" t="n">
        <v>22.218343</v>
      </c>
      <c r="T413" s="3" t="n">
        <v>20.599089</v>
      </c>
      <c r="U413" s="3" t="n">
        <v>21.159057</v>
      </c>
      <c r="V413" s="3" t="n">
        <v>21.58497</v>
      </c>
      <c r="W413" s="3" t="n">
        <v>24.068724</v>
      </c>
      <c r="X413" s="3" t="n">
        <v>24.332694</v>
      </c>
      <c r="Y413" s="3" t="n">
        <v>24.702935</v>
      </c>
      <c r="Z413" s="3" t="n">
        <v>25.069676</v>
      </c>
      <c r="AA413" s="3" t="n">
        <v>26.379915</v>
      </c>
      <c r="AB413" s="3" t="n">
        <v>23.243306</v>
      </c>
      <c r="AC413" s="3" t="n">
        <v>25.171871</v>
      </c>
      <c r="AD413" s="3" t="n">
        <v>24.878825</v>
      </c>
      <c r="AE413" s="3" t="n">
        <v>27.244984</v>
      </c>
      <c r="AF413" s="3" t="n">
        <v>26.663273</v>
      </c>
      <c r="AG413" s="3" t="n">
        <v>26.120193</v>
      </c>
      <c r="AH413" s="3" t="n">
        <v>26.157757</v>
      </c>
      <c r="AI413" s="3" t="n">
        <v>26.158583</v>
      </c>
      <c r="AJ413" s="3" t="n">
        <v>26.172005</v>
      </c>
      <c r="AK413" s="3" t="n">
        <v>26.162352</v>
      </c>
      <c r="AL413" s="3" t="n">
        <v>26.162352</v>
      </c>
      <c r="AM413" s="3" t="n"/>
      <c r="AN413" s="3" t="n"/>
      <c r="AO413" s="3" t="n"/>
      <c r="AP413" s="3" t="n"/>
      <c r="AQ413" s="3" t="n"/>
      <c r="AR413" s="3" t="n"/>
      <c r="AS413" s="3" t="n"/>
      <c r="AT413" s="3" t="n"/>
      <c r="AU413" s="3" t="n"/>
    </row>
    <row r="414">
      <c r="A414" s="3" t="n">
        <v>2031</v>
      </c>
      <c r="B414" s="3" t="inlineStr">
        <is>
          <t>BRB</t>
        </is>
      </c>
      <c r="C414" s="3" t="inlineStr">
        <is>
          <t>IMF.RES:WEO</t>
        </is>
      </c>
      <c r="D414" s="3" t="inlineStr">
        <is>
          <t>BRB.GGX_NGDP.A</t>
        </is>
      </c>
      <c r="E414" s="3" t="inlineStr">
        <is>
          <t>Barbados</t>
        </is>
      </c>
      <c r="F414" s="3" t="inlineStr">
        <is>
          <t>Expenditure, General government, Percent of GDP</t>
        </is>
      </c>
      <c r="G414" s="3" t="n">
        <v>19.693714</v>
      </c>
      <c r="H414" s="3" t="n">
        <v>20.7039</v>
      </c>
      <c r="I414" s="3" t="n">
        <v>29.121688</v>
      </c>
      <c r="J414" s="3" t="n">
        <v>27.701079</v>
      </c>
      <c r="K414" s="3" t="n">
        <v>26.193876</v>
      </c>
      <c r="L414" s="3" t="n">
        <v>26.379492</v>
      </c>
      <c r="M414" s="3" t="n">
        <v>24.974065</v>
      </c>
      <c r="N414" s="3" t="n">
        <v>26.122363</v>
      </c>
      <c r="O414" s="3" t="n">
        <v>27.059801</v>
      </c>
      <c r="P414" s="3" t="n">
        <v>27.821858</v>
      </c>
      <c r="Q414" s="3" t="n">
        <v>27.960496</v>
      </c>
      <c r="R414" s="3" t="n">
        <v>26.469289</v>
      </c>
      <c r="S414" s="3" t="n">
        <v>28.91287</v>
      </c>
      <c r="T414" s="3" t="n">
        <v>29.060546</v>
      </c>
      <c r="U414" s="3" t="n">
        <v>27.354803</v>
      </c>
      <c r="V414" s="3" t="n">
        <v>29.167218</v>
      </c>
      <c r="W414" s="3" t="n">
        <v>28.617661</v>
      </c>
      <c r="X414" s="3" t="n">
        <v>27.976575</v>
      </c>
      <c r="Y414" s="3" t="n">
        <v>25.024118</v>
      </c>
      <c r="Z414" s="3" t="n">
        <v>22.209284</v>
      </c>
      <c r="AA414" s="3" t="n">
        <v>30.57412</v>
      </c>
      <c r="AB414" s="3" t="n">
        <v>27.122836</v>
      </c>
      <c r="AC414" s="3" t="n">
        <v>26.912005</v>
      </c>
      <c r="AD414" s="3" t="n">
        <v>26.452853</v>
      </c>
      <c r="AE414" s="3" t="n">
        <v>28.081395</v>
      </c>
      <c r="AF414" s="3" t="n">
        <v>26.972659</v>
      </c>
      <c r="AG414" s="3" t="n">
        <v>26.177416</v>
      </c>
      <c r="AH414" s="3" t="n">
        <v>25.990408</v>
      </c>
      <c r="AI414" s="3" t="n">
        <v>26.022145</v>
      </c>
      <c r="AJ414" s="3" t="n">
        <v>25.883236</v>
      </c>
      <c r="AK414" s="3" t="n">
        <v>25.773075</v>
      </c>
      <c r="AL414" s="3" t="n">
        <v>25.558556</v>
      </c>
      <c r="AM414" s="3" t="n"/>
      <c r="AN414" s="3" t="n"/>
      <c r="AO414" s="3" t="n"/>
      <c r="AP414" s="3" t="n"/>
      <c r="AQ414" s="3" t="n"/>
      <c r="AR414" s="3" t="n"/>
      <c r="AS414" s="3" t="n"/>
      <c r="AT414" s="3" t="n"/>
      <c r="AU414" s="3" t="n"/>
    </row>
    <row r="415">
      <c r="A415" s="3" t="n">
        <v>2031</v>
      </c>
      <c r="B415" s="3" t="inlineStr">
        <is>
          <t>BRB</t>
        </is>
      </c>
      <c r="C415" s="3" t="inlineStr">
        <is>
          <t>IMF.RES:WEO</t>
        </is>
      </c>
      <c r="D415" s="3" t="inlineStr">
        <is>
          <t>BRB.LP.A</t>
        </is>
      </c>
      <c r="E415" s="3" t="inlineStr">
        <is>
          <t>Barbados</t>
        </is>
      </c>
      <c r="F415" s="3" t="inlineStr">
        <is>
          <t>Population, Persons for countries / Index for country groups</t>
        </is>
      </c>
      <c r="G415" s="3" t="n">
        <v>0.269847</v>
      </c>
      <c r="H415" s="3" t="n">
        <v>0.270685</v>
      </c>
      <c r="I415" s="3" t="n">
        <v>0.271478</v>
      </c>
      <c r="J415" s="3" t="n">
        <v>0.272258</v>
      </c>
      <c r="K415" s="3" t="n">
        <v>0.273091</v>
      </c>
      <c r="L415" s="3" t="n">
        <v>0.274009</v>
      </c>
      <c r="M415" s="3" t="n">
        <v>0.275039</v>
      </c>
      <c r="N415" s="3" t="n">
        <v>0.27615</v>
      </c>
      <c r="O415" s="3" t="n">
        <v>0.277319</v>
      </c>
      <c r="P415" s="3" t="n">
        <v>0.27847</v>
      </c>
      <c r="Q415" s="3" t="n">
        <v>0.279569</v>
      </c>
      <c r="R415" s="3" t="n">
        <v>0.280601</v>
      </c>
      <c r="S415" s="3" t="n">
        <v>0.281585</v>
      </c>
      <c r="T415" s="3" t="n">
        <v>0.282509</v>
      </c>
      <c r="U415" s="3" t="n">
        <v>0.283385</v>
      </c>
      <c r="V415" s="3" t="n">
        <v>0.284217</v>
      </c>
      <c r="W415" s="3" t="n">
        <v>0.284996</v>
      </c>
      <c r="X415" s="3" t="n">
        <v>0.285719</v>
      </c>
      <c r="Y415" s="3" t="n">
        <v>0.286444</v>
      </c>
      <c r="Z415" s="3" t="n">
        <v>0.287171</v>
      </c>
      <c r="AA415" s="3" t="n">
        <v>0.287899</v>
      </c>
      <c r="AB415" s="3" t="n">
        <v>0.288629</v>
      </c>
      <c r="AC415" s="3" t="n">
        <v>0.289362</v>
      </c>
      <c r="AD415" s="3" t="n">
        <v>0.290362</v>
      </c>
      <c r="AE415" s="3" t="n">
        <v>0.291362</v>
      </c>
      <c r="AF415" s="3" t="n">
        <v>0.291569</v>
      </c>
      <c r="AG415" s="3" t="n">
        <v>0.292309</v>
      </c>
      <c r="AH415" s="3" t="n">
        <v>0.293051</v>
      </c>
      <c r="AI415" s="3" t="n">
        <v>0.293794</v>
      </c>
      <c r="AJ415" s="3" t="n">
        <v>0.294539</v>
      </c>
      <c r="AK415" s="3" t="n">
        <v>0.295287</v>
      </c>
      <c r="AL415" s="3" t="n">
        <v>0.296036</v>
      </c>
      <c r="AM415" s="3" t="n"/>
      <c r="AN415" s="3" t="n"/>
      <c r="AO415" s="3" t="n"/>
      <c r="AP415" s="3" t="n"/>
      <c r="AQ415" s="3" t="n"/>
      <c r="AR415" s="3" t="n"/>
      <c r="AS415" s="3" t="n"/>
      <c r="AT415" s="3" t="n"/>
      <c r="AU415" s="3" t="n"/>
    </row>
    <row r="416">
      <c r="A416" s="3" t="n">
        <v>2031</v>
      </c>
      <c r="B416" s="3" t="inlineStr">
        <is>
          <t>BRB</t>
        </is>
      </c>
      <c r="C416" s="3" t="inlineStr">
        <is>
          <t>IMF.RES:WEO</t>
        </is>
      </c>
      <c r="D416" s="3" t="inlineStr">
        <is>
          <t>BRB.NGDP.A</t>
        </is>
      </c>
      <c r="E416" s="3" t="inlineStr">
        <is>
          <t>Barbados</t>
        </is>
      </c>
      <c r="F416" s="3" t="inlineStr">
        <is>
          <t>Gross domestic product (GDP), Current prices, Domestic currency</t>
        </is>
      </c>
      <c r="G416" s="3" t="n">
        <v>6.998348</v>
      </c>
      <c r="H416" s="3" t="n">
        <v>6.987491</v>
      </c>
      <c r="I416" s="3" t="n">
        <v>7.108256</v>
      </c>
      <c r="J416" s="3" t="n">
        <v>7.352401</v>
      </c>
      <c r="K416" s="3" t="n">
        <v>7.932532</v>
      </c>
      <c r="L416" s="3" t="n">
        <v>8.902628999999999</v>
      </c>
      <c r="M416" s="3" t="n">
        <v>9.937763</v>
      </c>
      <c r="N416" s="3" t="n">
        <v>11.144146</v>
      </c>
      <c r="O416" s="3" t="n">
        <v>11.415114</v>
      </c>
      <c r="P416" s="3" t="n">
        <v>10.701033</v>
      </c>
      <c r="Q416" s="3" t="n">
        <v>10.857367</v>
      </c>
      <c r="R416" s="3" t="n">
        <v>11.126324</v>
      </c>
      <c r="S416" s="3" t="n">
        <v>10.973001</v>
      </c>
      <c r="T416" s="3" t="n">
        <v>11.320119</v>
      </c>
      <c r="U416" s="3" t="n">
        <v>11.369802</v>
      </c>
      <c r="V416" s="3" t="n">
        <v>11.399238</v>
      </c>
      <c r="W416" s="3" t="n">
        <v>11.358059</v>
      </c>
      <c r="X416" s="3" t="n">
        <v>11.694763</v>
      </c>
      <c r="Y416" s="3" t="n">
        <v>12.002203</v>
      </c>
      <c r="Z416" s="3" t="n">
        <v>12.333422</v>
      </c>
      <c r="AA416" s="3" t="n">
        <v>10.806494</v>
      </c>
      <c r="AB416" s="3" t="n">
        <v>11.897801</v>
      </c>
      <c r="AC416" s="3" t="n">
        <v>13.77329</v>
      </c>
      <c r="AD416" s="3" t="n">
        <v>14.446496</v>
      </c>
      <c r="AE416" s="3" t="n">
        <v>15.195143</v>
      </c>
      <c r="AF416" s="3" t="n">
        <v>16.0331</v>
      </c>
      <c r="AG416" s="3" t="n">
        <v>16.965383</v>
      </c>
      <c r="AH416" s="3" t="n">
        <v>17.909021</v>
      </c>
      <c r="AI416" s="3" t="n">
        <v>18.749097</v>
      </c>
      <c r="AJ416" s="3" t="n">
        <v>19.621418</v>
      </c>
      <c r="AK416" s="3" t="n">
        <v>20.535389</v>
      </c>
      <c r="AL416" s="3" t="n">
        <v>21.500278</v>
      </c>
      <c r="AM416" s="3" t="n"/>
      <c r="AN416" s="3" t="n"/>
      <c r="AO416" s="3" t="n"/>
      <c r="AP416" s="3" t="n"/>
      <c r="AQ416" s="3" t="n"/>
      <c r="AR416" s="3" t="n"/>
      <c r="AS416" s="3" t="n"/>
      <c r="AT416" s="3" t="n"/>
      <c r="AU416" s="3" t="n"/>
    </row>
    <row r="417">
      <c r="A417" s="3" t="n">
        <v>2031</v>
      </c>
      <c r="B417" s="3" t="inlineStr">
        <is>
          <t>BRB</t>
        </is>
      </c>
      <c r="C417" s="3" t="inlineStr">
        <is>
          <t>IMF.RES:WEO</t>
        </is>
      </c>
      <c r="D417" s="3" t="inlineStr">
        <is>
          <t>BRB.NGDP_D.A</t>
        </is>
      </c>
      <c r="E417" s="3" t="inlineStr">
        <is>
          <t>Barbados</t>
        </is>
      </c>
      <c r="F417" s="3" t="inlineStr">
        <is>
          <t>Gross domestic product (GDP), Price deflator, Index</t>
        </is>
      </c>
      <c r="G417" s="3" t="n">
        <v>54.365606</v>
      </c>
      <c r="H417" s="3" t="n">
        <v>55.597447</v>
      </c>
      <c r="I417" s="3" t="n">
        <v>56.114405</v>
      </c>
      <c r="J417" s="3" t="n">
        <v>56.808292</v>
      </c>
      <c r="K417" s="3" t="n">
        <v>60.440415</v>
      </c>
      <c r="L417" s="3" t="n">
        <v>65.24494199999999</v>
      </c>
      <c r="M417" s="3" t="n">
        <v>68.92412899999999</v>
      </c>
      <c r="N417" s="3" t="n">
        <v>75.58920999999999</v>
      </c>
      <c r="O417" s="3" t="n">
        <v>76.88697000000001</v>
      </c>
      <c r="P417" s="3" t="n">
        <v>75.735759</v>
      </c>
      <c r="Q417" s="3" t="n">
        <v>78.600133</v>
      </c>
      <c r="R417" s="3" t="n">
        <v>80.607027</v>
      </c>
      <c r="S417" s="3" t="n">
        <v>81.835067</v>
      </c>
      <c r="T417" s="3" t="n">
        <v>84.259249</v>
      </c>
      <c r="U417" s="3" t="n">
        <v>83.951292</v>
      </c>
      <c r="V417" s="3" t="n">
        <v>84.824009</v>
      </c>
      <c r="W417" s="3" t="n">
        <v>83.33725800000001</v>
      </c>
      <c r="X417" s="3" t="n">
        <v>85.249661</v>
      </c>
      <c r="Y417" s="3" t="n">
        <v>87.711871</v>
      </c>
      <c r="Z417" s="3" t="n">
        <v>89.915622</v>
      </c>
      <c r="AA417" s="3" t="n">
        <v>95.386636</v>
      </c>
      <c r="AB417" s="3" t="n">
        <v>97.222269</v>
      </c>
      <c r="AC417" s="3" t="n">
        <v>97.069658</v>
      </c>
      <c r="AD417" s="3" t="n">
        <v>100</v>
      </c>
      <c r="AE417" s="3" t="n">
        <v>101.756125</v>
      </c>
      <c r="AF417" s="3" t="n">
        <v>104.501126</v>
      </c>
      <c r="AG417" s="3" t="n">
        <v>107.916995</v>
      </c>
      <c r="AH417" s="3" t="n">
        <v>111.436585</v>
      </c>
      <c r="AI417" s="3" t="n">
        <v>114.376326</v>
      </c>
      <c r="AJ417" s="3" t="n">
        <v>117.350787</v>
      </c>
      <c r="AK417" s="3" t="n">
        <v>120.408837</v>
      </c>
      <c r="AL417" s="3" t="n">
        <v>123.594558</v>
      </c>
      <c r="AM417" s="3" t="n"/>
      <c r="AN417" s="3" t="n"/>
      <c r="AO417" s="3" t="n"/>
      <c r="AP417" s="3" t="n"/>
      <c r="AQ417" s="3" t="n"/>
      <c r="AR417" s="3" t="n"/>
      <c r="AS417" s="3" t="n"/>
      <c r="AT417" s="3" t="n"/>
      <c r="AU417" s="3" t="n"/>
    </row>
    <row r="418">
      <c r="A418" s="3" t="n">
        <v>2031</v>
      </c>
      <c r="B418" s="3" t="inlineStr">
        <is>
          <t>BRB</t>
        </is>
      </c>
      <c r="C418" s="3" t="inlineStr">
        <is>
          <t>IMF.RES:WEO</t>
        </is>
      </c>
      <c r="D418" s="3" t="inlineStr">
        <is>
          <t>BRB.NGDP_R.A</t>
        </is>
      </c>
      <c r="E418" s="3" t="inlineStr">
        <is>
          <t>Barbados</t>
        </is>
      </c>
      <c r="F418" s="3" t="inlineStr">
        <is>
          <t>Gross domestic product (GDP), Constant prices, Domestic currency</t>
        </is>
      </c>
      <c r="G418" s="3" t="n">
        <v>12.872749</v>
      </c>
      <c r="H418" s="3" t="n">
        <v>12.568008</v>
      </c>
      <c r="I418" s="3" t="n">
        <v>12.667436</v>
      </c>
      <c r="J418" s="3" t="n">
        <v>12.942478</v>
      </c>
      <c r="K418" s="3" t="n">
        <v>13.124548</v>
      </c>
      <c r="L418" s="3" t="n">
        <v>13.644933</v>
      </c>
      <c r="M418" s="3" t="n">
        <v>14.418409</v>
      </c>
      <c r="N418" s="3" t="n">
        <v>14.743038</v>
      </c>
      <c r="O418" s="3" t="n">
        <v>14.846617</v>
      </c>
      <c r="P418" s="3" t="n">
        <v>14.129433</v>
      </c>
      <c r="Q418" s="3" t="n">
        <v>13.81342</v>
      </c>
      <c r="R418" s="3" t="n">
        <v>13.803169</v>
      </c>
      <c r="S418" s="3" t="n">
        <v>13.408678</v>
      </c>
      <c r="T418" s="3" t="n">
        <v>13.434869</v>
      </c>
      <c r="U418" s="3" t="n">
        <v>13.543332</v>
      </c>
      <c r="V418" s="3" t="n">
        <v>13.438693</v>
      </c>
      <c r="W418" s="3" t="n">
        <v>13.629029</v>
      </c>
      <c r="X418" s="3" t="n">
        <v>13.718252</v>
      </c>
      <c r="Y418" s="3" t="n">
        <v>13.68367</v>
      </c>
      <c r="Z418" s="3" t="n">
        <v>13.716662</v>
      </c>
      <c r="AA418" s="3" t="n">
        <v>11.329149</v>
      </c>
      <c r="AB418" s="3" t="n">
        <v>12.237733</v>
      </c>
      <c r="AC418" s="3" t="n">
        <v>14.189078</v>
      </c>
      <c r="AD418" s="3" t="n">
        <v>14.446496</v>
      </c>
      <c r="AE418" s="3" t="n">
        <v>14.932903</v>
      </c>
      <c r="AF418" s="3" t="n">
        <v>15.342514</v>
      </c>
      <c r="AG418" s="3" t="n">
        <v>15.720771</v>
      </c>
      <c r="AH418" s="3" t="n">
        <v>16.071042</v>
      </c>
      <c r="AI418" s="3" t="n">
        <v>16.392463</v>
      </c>
      <c r="AJ418" s="3" t="n">
        <v>16.720313</v>
      </c>
      <c r="AK418" s="3" t="n">
        <v>17.054719</v>
      </c>
      <c r="AL418" s="3" t="n">
        <v>17.395813</v>
      </c>
      <c r="AM418" s="3" t="n"/>
      <c r="AN418" s="3" t="n"/>
      <c r="AO418" s="3" t="n"/>
      <c r="AP418" s="3" t="n"/>
      <c r="AQ418" s="3" t="n"/>
      <c r="AR418" s="3" t="n"/>
      <c r="AS418" s="3" t="n"/>
      <c r="AT418" s="3" t="n"/>
      <c r="AU418" s="3" t="n"/>
    </row>
    <row r="419">
      <c r="A419" s="3" t="n">
        <v>2031</v>
      </c>
      <c r="B419" s="3" t="inlineStr">
        <is>
          <t>BRB</t>
        </is>
      </c>
      <c r="C419" s="3" t="inlineStr">
        <is>
          <t>IMF.RES:WEO</t>
        </is>
      </c>
      <c r="D419" s="3" t="inlineStr">
        <is>
          <t>BRB.NGDP_RPCH.A</t>
        </is>
      </c>
      <c r="E419" s="3" t="inlineStr">
        <is>
          <t>Barbados</t>
        </is>
      </c>
      <c r="F419" s="3" t="inlineStr">
        <is>
          <t>Gross domestic product (GDP), Constant prices, Percent change</t>
        </is>
      </c>
      <c r="G419" s="3" t="n">
        <v>4.45306</v>
      </c>
      <c r="H419" s="3" t="n">
        <v>-2.367339</v>
      </c>
      <c r="I419" s="3" t="n">
        <v>0.791123</v>
      </c>
      <c r="J419" s="3" t="n">
        <v>2.171254</v>
      </c>
      <c r="K419" s="3" t="n">
        <v>1.406764</v>
      </c>
      <c r="L419" s="3" t="n">
        <v>3.964974</v>
      </c>
      <c r="M419" s="3" t="n">
        <v>5.668591</v>
      </c>
      <c r="N419" s="3" t="n">
        <v>2.251488</v>
      </c>
      <c r="O419" s="3" t="n">
        <v>0.702566</v>
      </c>
      <c r="P419" s="3" t="n">
        <v>-4.830622</v>
      </c>
      <c r="Q419" s="3" t="n">
        <v>-2.236559</v>
      </c>
      <c r="R419" s="3" t="n">
        <v>-0.074211</v>
      </c>
      <c r="S419" s="3" t="n">
        <v>-2.857971</v>
      </c>
      <c r="T419" s="3" t="n">
        <v>0.195322</v>
      </c>
      <c r="U419" s="3" t="n">
        <v>0.807325</v>
      </c>
      <c r="V419" s="3" t="n">
        <v>-0.77262</v>
      </c>
      <c r="W419" s="3" t="n">
        <v>1.416325</v>
      </c>
      <c r="X419" s="3" t="n">
        <v>0.654655</v>
      </c>
      <c r="Y419" s="3" t="n">
        <v>-0.252086</v>
      </c>
      <c r="Z419" s="3" t="n">
        <v>0.2411</v>
      </c>
      <c r="AA419" s="3" t="n">
        <v>-17.405932</v>
      </c>
      <c r="AB419" s="3" t="n">
        <v>8.019876999999999</v>
      </c>
      <c r="AC419" s="3" t="n">
        <v>15.945321</v>
      </c>
      <c r="AD419" s="3" t="n">
        <v>1.814198</v>
      </c>
      <c r="AE419" s="3" t="n">
        <v>3.366949</v>
      </c>
      <c r="AF419" s="3" t="n">
        <v>2.743014</v>
      </c>
      <c r="AG419" s="3" t="n">
        <v>2.465414</v>
      </c>
      <c r="AH419" s="3" t="n">
        <v>2.228083</v>
      </c>
      <c r="AI419" s="3" t="n">
        <v>2</v>
      </c>
      <c r="AJ419" s="3" t="n">
        <v>2</v>
      </c>
      <c r="AK419" s="3" t="n">
        <v>2</v>
      </c>
      <c r="AL419" s="3" t="n">
        <v>2</v>
      </c>
      <c r="AM419" s="3" t="n"/>
      <c r="AN419" s="3" t="n"/>
      <c r="AO419" s="3" t="n"/>
      <c r="AP419" s="3" t="n"/>
      <c r="AQ419" s="3" t="n"/>
      <c r="AR419" s="3" t="n"/>
      <c r="AS419" s="3" t="n"/>
      <c r="AT419" s="3" t="n"/>
      <c r="AU419" s="3" t="n"/>
    </row>
    <row r="420">
      <c r="A420" s="3" t="n">
        <v>2031</v>
      </c>
      <c r="B420" s="3" t="inlineStr">
        <is>
          <t>BRB</t>
        </is>
      </c>
      <c r="C420" s="3" t="inlineStr">
        <is>
          <t>IMF.RES:WEO</t>
        </is>
      </c>
      <c r="D420" s="3" t="inlineStr">
        <is>
          <t>BRB.NGDPD.A</t>
        </is>
      </c>
      <c r="E420" s="3" t="inlineStr">
        <is>
          <t>Barbados</t>
        </is>
      </c>
      <c r="F420" s="3" t="inlineStr">
        <is>
          <t>Gross domestic product (GDP), Current prices, US dollar</t>
        </is>
      </c>
      <c r="G420" s="3" t="n">
        <v>3.499174</v>
      </c>
      <c r="H420" s="3" t="n">
        <v>3.493746</v>
      </c>
      <c r="I420" s="3" t="n">
        <v>3.554128</v>
      </c>
      <c r="J420" s="3" t="n">
        <v>3.6762</v>
      </c>
      <c r="K420" s="3" t="n">
        <v>3.966266</v>
      </c>
      <c r="L420" s="3" t="n">
        <v>4.451314</v>
      </c>
      <c r="M420" s="3" t="n">
        <v>4.968881</v>
      </c>
      <c r="N420" s="3" t="n">
        <v>5.572073</v>
      </c>
      <c r="O420" s="3" t="n">
        <v>5.707557</v>
      </c>
      <c r="P420" s="3" t="n">
        <v>5.350517</v>
      </c>
      <c r="Q420" s="3" t="n">
        <v>5.428683</v>
      </c>
      <c r="R420" s="3" t="n">
        <v>5.563162</v>
      </c>
      <c r="S420" s="3" t="n">
        <v>5.486501</v>
      </c>
      <c r="T420" s="3" t="n">
        <v>5.66006</v>
      </c>
      <c r="U420" s="3" t="n">
        <v>5.684901</v>
      </c>
      <c r="V420" s="3" t="n">
        <v>5.699619</v>
      </c>
      <c r="W420" s="3" t="n">
        <v>5.679029</v>
      </c>
      <c r="X420" s="3" t="n">
        <v>5.847382</v>
      </c>
      <c r="Y420" s="3" t="n">
        <v>6.001102</v>
      </c>
      <c r="Z420" s="3" t="n">
        <v>6.166711</v>
      </c>
      <c r="AA420" s="3" t="n">
        <v>5.403247</v>
      </c>
      <c r="AB420" s="3" t="n">
        <v>5.948901</v>
      </c>
      <c r="AC420" s="3" t="n">
        <v>6.886645</v>
      </c>
      <c r="AD420" s="3" t="n">
        <v>7.223248</v>
      </c>
      <c r="AE420" s="3" t="n">
        <v>7.597571</v>
      </c>
      <c r="AF420" s="3" t="n">
        <v>8.016550000000001</v>
      </c>
      <c r="AG420" s="3" t="n">
        <v>8.482692</v>
      </c>
      <c r="AH420" s="3" t="n">
        <v>8.954510000000001</v>
      </c>
      <c r="AI420" s="3" t="n">
        <v>9.374549</v>
      </c>
      <c r="AJ420" s="3" t="n">
        <v>9.810708999999999</v>
      </c>
      <c r="AK420" s="3" t="n">
        <v>10.267694</v>
      </c>
      <c r="AL420" s="3" t="n">
        <v>10.750139</v>
      </c>
      <c r="AM420" s="3" t="n"/>
      <c r="AN420" s="3" t="n"/>
      <c r="AO420" s="3" t="n"/>
      <c r="AP420" s="3" t="n"/>
      <c r="AQ420" s="3" t="n"/>
      <c r="AR420" s="3" t="n"/>
      <c r="AS420" s="3" t="n"/>
      <c r="AT420" s="3" t="n"/>
      <c r="AU420" s="3" t="n"/>
    </row>
    <row r="421">
      <c r="A421" s="3" t="n">
        <v>2031</v>
      </c>
      <c r="B421" s="3" t="inlineStr">
        <is>
          <t>BRB</t>
        </is>
      </c>
      <c r="C421" s="3" t="inlineStr">
        <is>
          <t>IMF.RES:WEO</t>
        </is>
      </c>
      <c r="D421" s="3" t="inlineStr">
        <is>
          <t>BRB.NGDPPC.A</t>
        </is>
      </c>
      <c r="E421" s="3" t="inlineStr">
        <is>
          <t>Barbados</t>
        </is>
      </c>
      <c r="F421" s="3" t="inlineStr">
        <is>
          <t>Gross domestic product (GDP), Current prices, Per capita, Domestic currency</t>
        </is>
      </c>
      <c r="G421" s="3" t="n">
        <v>25934.503993</v>
      </c>
      <c r="H421" s="3" t="n">
        <v>25814.10626</v>
      </c>
      <c r="I421" s="3" t="n">
        <v>26183.544642</v>
      </c>
      <c r="J421" s="3" t="n">
        <v>27005.269857</v>
      </c>
      <c r="K421" s="3" t="n">
        <v>29047.20971</v>
      </c>
      <c r="L421" s="3" t="n">
        <v>32490.279273</v>
      </c>
      <c r="M421" s="3" t="n">
        <v>36132.1945</v>
      </c>
      <c r="N421" s="3" t="n">
        <v>40355.406721</v>
      </c>
      <c r="O421" s="3" t="n">
        <v>41162.394556</v>
      </c>
      <c r="P421" s="3" t="n">
        <v>38427.958094</v>
      </c>
      <c r="Q421" s="3" t="n">
        <v>38836.088897</v>
      </c>
      <c r="R421" s="3" t="n">
        <v>39651.762096</v>
      </c>
      <c r="S421" s="3" t="n">
        <v>38968.698691</v>
      </c>
      <c r="T421" s="3" t="n">
        <v>40069.942424</v>
      </c>
      <c r="U421" s="3" t="n">
        <v>40121.396676</v>
      </c>
      <c r="V421" s="3" t="n">
        <v>40107.517446</v>
      </c>
      <c r="W421" s="3" t="n">
        <v>39853.397426</v>
      </c>
      <c r="X421" s="3" t="n">
        <v>40930.995951</v>
      </c>
      <c r="Y421" s="3" t="n">
        <v>41900.720615</v>
      </c>
      <c r="Z421" s="3" t="n">
        <v>42948.078817</v>
      </c>
      <c r="AA421" s="3" t="n">
        <v>37535.708705</v>
      </c>
      <c r="AB421" s="3" t="n">
        <v>41221.724798</v>
      </c>
      <c r="AC421" s="3" t="n">
        <v>47598.88487</v>
      </c>
      <c r="AD421" s="3" t="n">
        <v>49753.466243</v>
      </c>
      <c r="AE421" s="3" t="n">
        <v>52152.180089</v>
      </c>
      <c r="AF421" s="3" t="n">
        <v>54988.962419</v>
      </c>
      <c r="AG421" s="3" t="n">
        <v>58039.189724</v>
      </c>
      <c r="AH421" s="3" t="n">
        <v>61112.373304</v>
      </c>
      <c r="AI421" s="3" t="n">
        <v>63817.136665</v>
      </c>
      <c r="AJ421" s="3" t="n">
        <v>66617.294633</v>
      </c>
      <c r="AK421" s="3" t="n">
        <v>69543.91963400001</v>
      </c>
      <c r="AL421" s="3" t="n">
        <v>72627.311395</v>
      </c>
      <c r="AM421" s="3" t="n"/>
      <c r="AN421" s="3" t="n"/>
      <c r="AO421" s="3" t="n"/>
      <c r="AP421" s="3" t="n"/>
      <c r="AQ421" s="3" t="n"/>
      <c r="AR421" s="3" t="n"/>
      <c r="AS421" s="3" t="n"/>
      <c r="AT421" s="3" t="n"/>
      <c r="AU421" s="3" t="n"/>
    </row>
    <row r="422">
      <c r="A422" s="3" t="n">
        <v>2031</v>
      </c>
      <c r="B422" s="3" t="inlineStr">
        <is>
          <t>BRB</t>
        </is>
      </c>
      <c r="C422" s="3" t="inlineStr">
        <is>
          <t>IMF.RES:WEO</t>
        </is>
      </c>
      <c r="D422" s="3" t="inlineStr">
        <is>
          <t>BRB.NGDPRPC.A</t>
        </is>
      </c>
      <c r="E422" s="3" t="inlineStr">
        <is>
          <t>Barbados</t>
        </is>
      </c>
      <c r="F422" s="3" t="inlineStr">
        <is>
          <t>Gross domestic product (GDP), Constant prices, Per capita, Domestic currency</t>
        </is>
      </c>
      <c r="G422" s="3" t="n">
        <v>47703.881165</v>
      </c>
      <c r="H422" s="3" t="n">
        <v>46430.38085</v>
      </c>
      <c r="I422" s="3" t="n">
        <v>46661.003976</v>
      </c>
      <c r="J422" s="3" t="n">
        <v>47537.549775</v>
      </c>
      <c r="K422" s="3" t="n">
        <v>48059.249145</v>
      </c>
      <c r="L422" s="3" t="n">
        <v>49797.391309</v>
      </c>
      <c r="M422" s="3" t="n">
        <v>52423.143072</v>
      </c>
      <c r="N422" s="3" t="n">
        <v>53387.787734</v>
      </c>
      <c r="O422" s="3" t="n">
        <v>53536.242221</v>
      </c>
      <c r="P422" s="3" t="n">
        <v>50739.516695</v>
      </c>
      <c r="Q422" s="3" t="n">
        <v>49409.698797</v>
      </c>
      <c r="R422" s="3" t="n">
        <v>49191.446185</v>
      </c>
      <c r="S422" s="3" t="n">
        <v>47618.582209</v>
      </c>
      <c r="T422" s="3" t="n">
        <v>47555.542044</v>
      </c>
      <c r="U422" s="3" t="n">
        <v>47791.279476</v>
      </c>
      <c r="V422" s="3" t="n">
        <v>47283.213887</v>
      </c>
      <c r="W422" s="3" t="n">
        <v>47821.824612</v>
      </c>
      <c r="X422" s="3" t="n">
        <v>48013.089454</v>
      </c>
      <c r="Y422" s="3" t="n">
        <v>47770.866464</v>
      </c>
      <c r="Z422" s="3" t="n">
        <v>47764.868607</v>
      </c>
      <c r="AA422" s="3" t="n">
        <v>39351.119151</v>
      </c>
      <c r="AB422" s="3" t="n">
        <v>42399.468141</v>
      </c>
      <c r="AC422" s="3" t="n">
        <v>49035.801745</v>
      </c>
      <c r="AD422" s="3" t="n">
        <v>49753.466243</v>
      </c>
      <c r="AE422" s="3" t="n">
        <v>51252.128714</v>
      </c>
      <c r="AF422" s="3" t="n">
        <v>52620.449566</v>
      </c>
      <c r="AG422" s="3" t="n">
        <v>53781.32469</v>
      </c>
      <c r="AH422" s="3" t="n">
        <v>54840.493872</v>
      </c>
      <c r="AI422" s="3" t="n">
        <v>55795.756738</v>
      </c>
      <c r="AJ422" s="3" t="n">
        <v>56767.659263</v>
      </c>
      <c r="AK422" s="3" t="n">
        <v>57756.491293</v>
      </c>
      <c r="AL422" s="3" t="n">
        <v>58762.547721</v>
      </c>
      <c r="AM422" s="3" t="n"/>
      <c r="AN422" s="3" t="n"/>
      <c r="AO422" s="3" t="n"/>
      <c r="AP422" s="3" t="n"/>
      <c r="AQ422" s="3" t="n"/>
      <c r="AR422" s="3" t="n"/>
      <c r="AS422" s="3" t="n"/>
      <c r="AT422" s="3" t="n"/>
      <c r="AU422" s="3" t="n"/>
    </row>
    <row r="423">
      <c r="A423" s="3" t="n">
        <v>2031</v>
      </c>
      <c r="B423" s="3" t="inlineStr">
        <is>
          <t>BRB</t>
        </is>
      </c>
      <c r="C423" s="3" t="inlineStr">
        <is>
          <t>IMF.RES:WEO</t>
        </is>
      </c>
      <c r="D423" s="3" t="inlineStr">
        <is>
          <t>BRB.PCPI.A</t>
        </is>
      </c>
      <c r="E423" s="3" t="inlineStr">
        <is>
          <t>Barbados</t>
        </is>
      </c>
      <c r="F423" s="3" t="inlineStr">
        <is>
          <t>All Items, Consumer price index (CPI), Period average</t>
        </is>
      </c>
      <c r="G423" s="3" t="n">
        <v>51.97008</v>
      </c>
      <c r="H423" s="3" t="n">
        <v>53.309783</v>
      </c>
      <c r="I423" s="3" t="n">
        <v>53.390059</v>
      </c>
      <c r="J423" s="3" t="n">
        <v>54.231947</v>
      </c>
      <c r="K423" s="3" t="n">
        <v>55.006303</v>
      </c>
      <c r="L423" s="3" t="n">
        <v>58.342337</v>
      </c>
      <c r="M423" s="3" t="n">
        <v>62.605799</v>
      </c>
      <c r="N423" s="3" t="n">
        <v>65.13146</v>
      </c>
      <c r="O423" s="3" t="n">
        <v>70.41239</v>
      </c>
      <c r="P423" s="3" t="n">
        <v>72.97857</v>
      </c>
      <c r="Q423" s="3" t="n">
        <v>77.228525</v>
      </c>
      <c r="R423" s="3" t="n">
        <v>84.51287600000001</v>
      </c>
      <c r="S423" s="3" t="n">
        <v>88.344138</v>
      </c>
      <c r="T423" s="3" t="n">
        <v>89.946793</v>
      </c>
      <c r="U423" s="3" t="n">
        <v>91.538405</v>
      </c>
      <c r="V423" s="3" t="n">
        <v>90.519774</v>
      </c>
      <c r="W423" s="3" t="n">
        <v>91.680173</v>
      </c>
      <c r="X423" s="3" t="n">
        <v>95.95263799999999</v>
      </c>
      <c r="Y423" s="3" t="n">
        <v>98.949793</v>
      </c>
      <c r="Z423" s="3" t="n">
        <v>100.591667</v>
      </c>
      <c r="AA423" s="3" t="n">
        <v>101.166667</v>
      </c>
      <c r="AB423" s="3" t="n">
        <v>102.720833</v>
      </c>
      <c r="AC423" s="3" t="n">
        <v>107.2</v>
      </c>
      <c r="AD423" s="3" t="n">
        <v>110.616667</v>
      </c>
      <c r="AE423" s="3" t="n">
        <v>112.25</v>
      </c>
      <c r="AF423" s="3" t="n">
        <v>113.110542</v>
      </c>
      <c r="AG423" s="3" t="n">
        <v>115.660396</v>
      </c>
      <c r="AH423" s="3" t="n">
        <v>118.17515</v>
      </c>
      <c r="AI423" s="3" t="n">
        <v>120.773073</v>
      </c>
      <c r="AJ423" s="3" t="n">
        <v>123.628358</v>
      </c>
      <c r="AK423" s="3" t="n">
        <v>126.55712</v>
      </c>
      <c r="AL423" s="3" t="n">
        <v>129.601111</v>
      </c>
      <c r="AM423" s="3" t="n"/>
      <c r="AN423" s="3" t="n"/>
      <c r="AO423" s="3" t="n"/>
      <c r="AP423" s="3" t="n"/>
      <c r="AQ423" s="3" t="n"/>
      <c r="AR423" s="3" t="n"/>
      <c r="AS423" s="3" t="n"/>
      <c r="AT423" s="3" t="n"/>
      <c r="AU423" s="3" t="n"/>
    </row>
    <row r="424">
      <c r="A424" s="3" t="n">
        <v>2031</v>
      </c>
      <c r="B424" s="3" t="inlineStr">
        <is>
          <t>BRB</t>
        </is>
      </c>
      <c r="C424" s="3" t="inlineStr">
        <is>
          <t>IMF.RES:WEO</t>
        </is>
      </c>
      <c r="D424" s="3" t="inlineStr">
        <is>
          <t>BRB.PCPIPCH.A</t>
        </is>
      </c>
      <c r="E424" s="3" t="inlineStr">
        <is>
          <t>Barbados</t>
        </is>
      </c>
      <c r="F424" s="3" t="inlineStr">
        <is>
          <t>All Items, Consumer price index (CPI), Period average, percent change</t>
        </is>
      </c>
      <c r="G424" s="3" t="n">
        <v>2.435813</v>
      </c>
      <c r="H424" s="3" t="n">
        <v>2.577835</v>
      </c>
      <c r="I424" s="3" t="n">
        <v>0.150585</v>
      </c>
      <c r="J424" s="3" t="n">
        <v>1.576861</v>
      </c>
      <c r="K424" s="3" t="n">
        <v>1.42786</v>
      </c>
      <c r="L424" s="3" t="n">
        <v>6.064822</v>
      </c>
      <c r="M424" s="3" t="n">
        <v>7.307663</v>
      </c>
      <c r="N424" s="3" t="n">
        <v>4.03423</v>
      </c>
      <c r="O424" s="3" t="n">
        <v>8.108108</v>
      </c>
      <c r="P424" s="3" t="n">
        <v>3.644501</v>
      </c>
      <c r="Q424" s="3" t="n">
        <v>5.823566</v>
      </c>
      <c r="R424" s="3" t="n">
        <v>9.432202</v>
      </c>
      <c r="S424" s="3" t="n">
        <v>4.533348</v>
      </c>
      <c r="T424" s="3" t="n">
        <v>1.814104</v>
      </c>
      <c r="U424" s="3" t="n">
        <v>1.769503</v>
      </c>
      <c r="V424" s="3" t="n">
        <v>-1.11279</v>
      </c>
      <c r="W424" s="3" t="n">
        <v>1.281928</v>
      </c>
      <c r="X424" s="3" t="n">
        <v>4.660185</v>
      </c>
      <c r="Y424" s="3" t="n">
        <v>3.123577</v>
      </c>
      <c r="Z424" s="3" t="n">
        <v>1.6593</v>
      </c>
      <c r="AA424" s="3" t="n">
        <v>0.571618</v>
      </c>
      <c r="AB424" s="3" t="n">
        <v>1.536244</v>
      </c>
      <c r="AC424" s="3" t="n">
        <v>4.360524</v>
      </c>
      <c r="AD424" s="3" t="n">
        <v>3.187189</v>
      </c>
      <c r="AE424" s="3" t="n">
        <v>1.476571</v>
      </c>
      <c r="AF424" s="3" t="n">
        <v>0.76663</v>
      </c>
      <c r="AG424" s="3" t="n">
        <v>2.254303</v>
      </c>
      <c r="AH424" s="3" t="n">
        <v>2.174257</v>
      </c>
      <c r="AI424" s="3" t="n">
        <v>2.198367</v>
      </c>
      <c r="AJ424" s="3" t="n">
        <v>2.364174</v>
      </c>
      <c r="AK424" s="3" t="n">
        <v>2.369005</v>
      </c>
      <c r="AL424" s="3" t="n">
        <v>2.405231</v>
      </c>
      <c r="AM424" s="3" t="n"/>
      <c r="AN424" s="3" t="n"/>
      <c r="AO424" s="3" t="n"/>
      <c r="AP424" s="3" t="n"/>
      <c r="AQ424" s="3" t="n"/>
      <c r="AR424" s="3" t="n"/>
      <c r="AS424" s="3" t="n"/>
      <c r="AT424" s="3" t="n"/>
      <c r="AU424" s="3" t="n"/>
    </row>
    <row r="425">
      <c r="A425" s="3" t="n">
        <v>2031</v>
      </c>
      <c r="B425" s="3" t="inlineStr">
        <is>
          <t>BRB</t>
        </is>
      </c>
      <c r="C425" s="3" t="inlineStr">
        <is>
          <t>IMF.RES:WEO</t>
        </is>
      </c>
      <c r="D425" s="3" t="inlineStr">
        <is>
          <t>BRB.PPPPC.A</t>
        </is>
      </c>
      <c r="E425" s="3" t="inlineStr">
        <is>
          <t>Barbados</t>
        </is>
      </c>
      <c r="F425" s="3" t="inlineStr">
        <is>
          <t>Gross domestic product (GDP), Per capita, purchasing power parity (PPP) international dollar, ICP benchmarks 2017-2021</t>
        </is>
      </c>
      <c r="G425" s="3" t="n">
        <v>13440.132755</v>
      </c>
      <c r="H425" s="3" t="n">
        <v>13375.877693</v>
      </c>
      <c r="I425" s="3" t="n">
        <v>13651.215074</v>
      </c>
      <c r="J425" s="3" t="n">
        <v>14182.22584</v>
      </c>
      <c r="K425" s="3" t="n">
        <v>14723.39648</v>
      </c>
      <c r="L425" s="3" t="n">
        <v>15734.289905</v>
      </c>
      <c r="M425" s="3" t="n">
        <v>17074.750926</v>
      </c>
      <c r="N425" s="3" t="n">
        <v>17860.059001</v>
      </c>
      <c r="O425" s="3" t="n">
        <v>18254.737059</v>
      </c>
      <c r="P425" s="3" t="n">
        <v>17407.815459</v>
      </c>
      <c r="Q425" s="3" t="n">
        <v>17157.604041</v>
      </c>
      <c r="R425" s="3" t="n">
        <v>17434.25572</v>
      </c>
      <c r="S425" s="3" t="n">
        <v>17191.041608</v>
      </c>
      <c r="T425" s="3" t="n">
        <v>17460.48816</v>
      </c>
      <c r="U425" s="3" t="n">
        <v>17852.66092</v>
      </c>
      <c r="V425" s="3" t="n">
        <v>17826.791431</v>
      </c>
      <c r="W425" s="3" t="n">
        <v>18201.183264</v>
      </c>
      <c r="X425" s="3" t="n">
        <v>18601.246249</v>
      </c>
      <c r="Y425" s="3" t="n">
        <v>19378.505067</v>
      </c>
      <c r="Z425" s="3" t="n">
        <v>19571.816767</v>
      </c>
      <c r="AA425" s="3" t="n">
        <v>16187.384757</v>
      </c>
      <c r="AB425" s="3" t="n">
        <v>17289.516578</v>
      </c>
      <c r="AC425" s="3" t="n">
        <v>21417.833069</v>
      </c>
      <c r="AD425" s="3" t="n">
        <v>22535.359348</v>
      </c>
      <c r="AE425" s="3" t="n">
        <v>23790.46629</v>
      </c>
      <c r="AF425" s="3" t="n">
        <v>25118.518044</v>
      </c>
      <c r="AG425" s="3" t="n">
        <v>26408.14857</v>
      </c>
      <c r="AH425" s="3" t="n">
        <v>27519.548098</v>
      </c>
      <c r="AI425" s="3" t="n">
        <v>28458.480693</v>
      </c>
      <c r="AJ425" s="3" t="n">
        <v>29469.034103</v>
      </c>
      <c r="AK425" s="3" t="n">
        <v>30533.287009</v>
      </c>
      <c r="AL425" s="3" t="n">
        <v>31625.963883</v>
      </c>
      <c r="AM425" s="3" t="n"/>
      <c r="AN425" s="3" t="n"/>
      <c r="AO425" s="3" t="n"/>
      <c r="AP425" s="3" t="n"/>
      <c r="AQ425" s="3" t="n"/>
      <c r="AR425" s="3" t="n"/>
      <c r="AS425" s="3" t="n"/>
      <c r="AT425" s="3" t="n"/>
      <c r="AU425" s="3" t="n"/>
    </row>
    <row r="426">
      <c r="A426" s="3" t="n">
        <v>2025</v>
      </c>
      <c r="B426" s="3" t="inlineStr">
        <is>
          <t>BRB</t>
        </is>
      </c>
      <c r="C426" s="3" t="inlineStr">
        <is>
          <t>IMF.STA:ER</t>
        </is>
      </c>
      <c r="D426" s="3" t="inlineStr">
        <is>
          <t>BRB.XDC_USD.PA_RT.A</t>
        </is>
      </c>
      <c r="E426" s="3" t="inlineStr">
        <is>
          <t>Barbados</t>
        </is>
      </c>
      <c r="F426" s="3" t="inlineStr">
        <is>
          <t>Domestic currency per US Dollar</t>
        </is>
      </c>
      <c r="G426" s="3" t="n">
        <v>2</v>
      </c>
      <c r="H426" s="3" t="n">
        <v>2</v>
      </c>
      <c r="I426" s="3" t="n">
        <v>2</v>
      </c>
      <c r="J426" s="3" t="n">
        <v>2</v>
      </c>
      <c r="K426" s="3" t="n">
        <v>2</v>
      </c>
      <c r="L426" s="3" t="n">
        <v>2</v>
      </c>
      <c r="M426" s="3" t="n">
        <v>2</v>
      </c>
      <c r="N426" s="3" t="n">
        <v>2</v>
      </c>
      <c r="O426" s="3" t="n">
        <v>2</v>
      </c>
      <c r="P426" s="3" t="n">
        <v>2</v>
      </c>
      <c r="Q426" s="3" t="n">
        <v>2</v>
      </c>
      <c r="R426" s="3" t="n">
        <v>2</v>
      </c>
      <c r="S426" s="3" t="n">
        <v>2</v>
      </c>
      <c r="T426" s="3" t="n">
        <v>2</v>
      </c>
      <c r="U426" s="3" t="n">
        <v>2</v>
      </c>
      <c r="V426" s="3" t="n">
        <v>2</v>
      </c>
      <c r="W426" s="3" t="n">
        <v>2</v>
      </c>
      <c r="X426" s="3" t="n">
        <v>2</v>
      </c>
      <c r="Y426" s="3" t="n">
        <v>2</v>
      </c>
      <c r="Z426" s="3" t="n">
        <v>2</v>
      </c>
      <c r="AA426" s="3" t="n">
        <v>2</v>
      </c>
      <c r="AB426" s="3" t="n">
        <v>2</v>
      </c>
      <c r="AC426" s="3" t="n">
        <v>2</v>
      </c>
      <c r="AD426" s="3" t="n">
        <v>2</v>
      </c>
      <c r="AE426" s="3" t="n">
        <v>2</v>
      </c>
      <c r="AF426" s="3" t="n">
        <v>2</v>
      </c>
      <c r="AG426" s="3" t="n"/>
      <c r="AH426" s="3" t="n"/>
      <c r="AI426" s="3" t="n"/>
      <c r="AJ426" s="3" t="n"/>
      <c r="AK426" s="3" t="n"/>
      <c r="AL426" s="3" t="n"/>
      <c r="AM426" s="3" t="n"/>
      <c r="AN426" s="3" t="n"/>
      <c r="AO426" s="3" t="n"/>
      <c r="AP426" s="3" t="n"/>
      <c r="AQ426" s="3" t="n"/>
      <c r="AR426" s="3" t="n"/>
      <c r="AS426" s="3" t="n"/>
      <c r="AT426" s="3" t="n"/>
      <c r="AU426" s="3" t="n"/>
    </row>
    <row r="427">
      <c r="A427" s="3" t="n">
        <v>2031</v>
      </c>
      <c r="B427" s="3" t="inlineStr">
        <is>
          <t>BRN</t>
        </is>
      </c>
      <c r="C427" s="3" t="inlineStr">
        <is>
          <t>IMF.RES:WEO</t>
        </is>
      </c>
      <c r="D427" s="3" t="inlineStr">
        <is>
          <t>BRN.BCA.A</t>
        </is>
      </c>
      <c r="E427" s="3" t="inlineStr">
        <is>
          <t>Brunei Darussalam</t>
        </is>
      </c>
      <c r="F427" s="3" t="inlineStr">
        <is>
          <t>Current account balance (credit less debit), US dollar</t>
        </is>
      </c>
      <c r="G427" s="3" t="n">
        <v>2.998273</v>
      </c>
      <c r="H427" s="3" t="n">
        <v>1.951317</v>
      </c>
      <c r="I427" s="3" t="n">
        <v>1.755703</v>
      </c>
      <c r="J427" s="3" t="n">
        <v>2.484083</v>
      </c>
      <c r="K427" s="3" t="n">
        <v>2.882182</v>
      </c>
      <c r="L427" s="3" t="n">
        <v>4.032631</v>
      </c>
      <c r="M427" s="3" t="n">
        <v>5.229408</v>
      </c>
      <c r="N427" s="3" t="n">
        <v>4.828377</v>
      </c>
      <c r="O427" s="3" t="n">
        <v>6.938902</v>
      </c>
      <c r="P427" s="3" t="n">
        <v>3.977384</v>
      </c>
      <c r="Q427" s="3" t="n">
        <v>5.016204</v>
      </c>
      <c r="R427" s="3" t="n">
        <v>6.430078</v>
      </c>
      <c r="S427" s="3" t="n">
        <v>5.683735</v>
      </c>
      <c r="T427" s="3" t="n">
        <v>3.778237</v>
      </c>
      <c r="U427" s="3" t="n">
        <v>5.250594</v>
      </c>
      <c r="V427" s="3" t="n">
        <v>2.15665</v>
      </c>
      <c r="W427" s="3" t="n">
        <v>1.46994</v>
      </c>
      <c r="X427" s="3" t="n">
        <v>1.984437</v>
      </c>
      <c r="Y427" s="3" t="n">
        <v>0.939947</v>
      </c>
      <c r="Z427" s="3" t="n">
        <v>0.893759</v>
      </c>
      <c r="AA427" s="3" t="n">
        <v>0.513713</v>
      </c>
      <c r="AB427" s="3" t="n">
        <v>1.560113</v>
      </c>
      <c r="AC427" s="3" t="n">
        <v>3.2556</v>
      </c>
      <c r="AD427" s="3" t="n">
        <v>1.943642</v>
      </c>
      <c r="AE427" s="3" t="n">
        <v>2.229655</v>
      </c>
      <c r="AF427" s="3" t="n">
        <v>2.191541</v>
      </c>
      <c r="AG427" s="3" t="n">
        <v>2.442977</v>
      </c>
      <c r="AH427" s="3" t="n">
        <v>2.744057</v>
      </c>
      <c r="AI427" s="3" t="n">
        <v>2.955196</v>
      </c>
      <c r="AJ427" s="3" t="n">
        <v>2.997959</v>
      </c>
      <c r="AK427" s="3" t="n">
        <v>3.155853</v>
      </c>
      <c r="AL427" s="3" t="n">
        <v>3.290024</v>
      </c>
      <c r="AM427" s="3" t="n"/>
      <c r="AN427" s="3" t="n"/>
      <c r="AO427" s="3" t="n"/>
      <c r="AP427" s="3" t="n"/>
      <c r="AQ427" s="3" t="n"/>
      <c r="AR427" s="3" t="n"/>
      <c r="AS427" s="3" t="n"/>
      <c r="AT427" s="3" t="n"/>
      <c r="AU427" s="3" t="n"/>
    </row>
    <row r="428">
      <c r="A428" s="3" t="n">
        <v>2031</v>
      </c>
      <c r="B428" s="3" t="inlineStr">
        <is>
          <t>BRN</t>
        </is>
      </c>
      <c r="C428" s="3" t="inlineStr">
        <is>
          <t>IMF.RES:WEO</t>
        </is>
      </c>
      <c r="D428" s="3" t="inlineStr">
        <is>
          <t>BRN.BCA_NGDPD.A</t>
        </is>
      </c>
      <c r="E428" s="3" t="inlineStr">
        <is>
          <t>Brunei Darussalam</t>
        </is>
      </c>
      <c r="F428" s="3" t="inlineStr">
        <is>
          <t>Current account balance (credit less debit), Percent of GDP</t>
        </is>
      </c>
      <c r="G428" s="3" t="n">
        <v>45.088687</v>
      </c>
      <c r="H428" s="3" t="n">
        <v>31.441297</v>
      </c>
      <c r="I428" s="3" t="n">
        <v>27.11611</v>
      </c>
      <c r="J428" s="3" t="n">
        <v>34.188109</v>
      </c>
      <c r="K428" s="3" t="n">
        <v>33.042027</v>
      </c>
      <c r="L428" s="3" t="n">
        <v>38.183082</v>
      </c>
      <c r="M428" s="3" t="n">
        <v>41.144572</v>
      </c>
      <c r="N428" s="3" t="n">
        <v>35.578743</v>
      </c>
      <c r="O428" s="3" t="n">
        <v>43.507799</v>
      </c>
      <c r="P428" s="3" t="n">
        <v>33.444981</v>
      </c>
      <c r="Q428" s="3" t="n">
        <v>36.586416</v>
      </c>
      <c r="R428" s="3" t="n">
        <v>34.713065</v>
      </c>
      <c r="S428" s="3" t="n">
        <v>29.834729</v>
      </c>
      <c r="T428" s="3" t="n">
        <v>20.880999</v>
      </c>
      <c r="U428" s="3" t="n">
        <v>30.718313</v>
      </c>
      <c r="V428" s="3" t="n">
        <v>16.675069</v>
      </c>
      <c r="W428" s="3" t="n">
        <v>12.890667</v>
      </c>
      <c r="X428" s="3" t="n">
        <v>16.359561</v>
      </c>
      <c r="Y428" s="3" t="n">
        <v>6.929503</v>
      </c>
      <c r="Z428" s="3" t="n">
        <v>6.634084</v>
      </c>
      <c r="AA428" s="3" t="n">
        <v>4.278245</v>
      </c>
      <c r="AB428" s="3" t="n">
        <v>11.137332</v>
      </c>
      <c r="AC428" s="3" t="n">
        <v>19.513273</v>
      </c>
      <c r="AD428" s="3" t="n">
        <v>12.873626</v>
      </c>
      <c r="AE428" s="3" t="n">
        <v>14.540127</v>
      </c>
      <c r="AF428" s="3" t="n">
        <v>13.74725</v>
      </c>
      <c r="AG428" s="3" t="n">
        <v>14.487217</v>
      </c>
      <c r="AH428" s="3" t="n">
        <v>15.608154</v>
      </c>
      <c r="AI428" s="3" t="n">
        <v>16.133047</v>
      </c>
      <c r="AJ428" s="3" t="n">
        <v>15.768341</v>
      </c>
      <c r="AK428" s="3" t="n">
        <v>15.935803</v>
      </c>
      <c r="AL428" s="3" t="n">
        <v>15.922942</v>
      </c>
      <c r="AM428" s="3" t="n"/>
      <c r="AN428" s="3" t="n"/>
      <c r="AO428" s="3" t="n"/>
      <c r="AP428" s="3" t="n"/>
      <c r="AQ428" s="3" t="n"/>
      <c r="AR428" s="3" t="n"/>
      <c r="AS428" s="3" t="n"/>
      <c r="AT428" s="3" t="n"/>
      <c r="AU428" s="3" t="n"/>
    </row>
    <row r="429">
      <c r="A429" s="3" t="n">
        <v>2031</v>
      </c>
      <c r="B429" s="3" t="inlineStr">
        <is>
          <t>BRN</t>
        </is>
      </c>
      <c r="C429" s="3" t="inlineStr">
        <is>
          <t>IMF.RES:WEO</t>
        </is>
      </c>
      <c r="D429" s="3" t="inlineStr">
        <is>
          <t>BRN.GGR_NGDP.A</t>
        </is>
      </c>
      <c r="E429" s="3" t="inlineStr">
        <is>
          <t>Brunei Darussalam</t>
        </is>
      </c>
      <c r="F429" s="3" t="inlineStr">
        <is>
          <t>Revenue, General government, Percent of GDP</t>
        </is>
      </c>
      <c r="G429" s="3" t="n">
        <v>44.351658</v>
      </c>
      <c r="H429" s="3" t="n">
        <v>38.060748</v>
      </c>
      <c r="I429" s="3" t="n">
        <v>36.811877</v>
      </c>
      <c r="J429" s="3" t="n">
        <v>38.947743</v>
      </c>
      <c r="K429" s="3" t="n">
        <v>41.719112</v>
      </c>
      <c r="L429" s="3" t="n">
        <v>45.062294</v>
      </c>
      <c r="M429" s="3" t="n">
        <v>47.768979</v>
      </c>
      <c r="N429" s="3" t="n">
        <v>32.445204</v>
      </c>
      <c r="O429" s="3" t="n">
        <v>63.311582</v>
      </c>
      <c r="P429" s="3" t="n">
        <v>38.444788</v>
      </c>
      <c r="Q429" s="3" t="n">
        <v>36.781968</v>
      </c>
      <c r="R429" s="3" t="n">
        <v>51.468065</v>
      </c>
      <c r="S429" s="3" t="n">
        <v>50.659083</v>
      </c>
      <c r="T429" s="3" t="n">
        <v>43.860551</v>
      </c>
      <c r="U429" s="3" t="n">
        <v>35.251112</v>
      </c>
      <c r="V429" s="3" t="n">
        <v>25.597611</v>
      </c>
      <c r="W429" s="3" t="n">
        <v>23.10977</v>
      </c>
      <c r="X429" s="3" t="n">
        <v>22.738779</v>
      </c>
      <c r="Y429" s="3" t="n">
        <v>29.990747</v>
      </c>
      <c r="Z429" s="3" t="n">
        <v>27.978646</v>
      </c>
      <c r="AA429" s="3" t="n">
        <v>16.599612</v>
      </c>
      <c r="AB429" s="3" t="n">
        <v>21.721238</v>
      </c>
      <c r="AC429" s="3" t="n">
        <v>25.870051</v>
      </c>
      <c r="AD429" s="3" t="n">
        <v>21.491246</v>
      </c>
      <c r="AE429" s="3" t="n">
        <v>17.428438</v>
      </c>
      <c r="AF429" s="3" t="n">
        <v>16.516742</v>
      </c>
      <c r="AG429" s="3" t="n">
        <v>18.358234</v>
      </c>
      <c r="AH429" s="3" t="n">
        <v>18.875011</v>
      </c>
      <c r="AI429" s="3" t="n">
        <v>19.011144</v>
      </c>
      <c r="AJ429" s="3" t="n">
        <v>19.418357</v>
      </c>
      <c r="AK429" s="3" t="n">
        <v>19.771186</v>
      </c>
      <c r="AL429" s="3" t="n">
        <v>20.07596</v>
      </c>
      <c r="AM429" s="3" t="n"/>
      <c r="AN429" s="3" t="n"/>
      <c r="AO429" s="3" t="n"/>
      <c r="AP429" s="3" t="n"/>
      <c r="AQ429" s="3" t="n"/>
      <c r="AR429" s="3" t="n"/>
      <c r="AS429" s="3" t="n"/>
      <c r="AT429" s="3" t="n"/>
      <c r="AU429" s="3" t="n"/>
    </row>
    <row r="430">
      <c r="A430" s="3" t="n">
        <v>2031</v>
      </c>
      <c r="B430" s="3" t="inlineStr">
        <is>
          <t>BRN</t>
        </is>
      </c>
      <c r="C430" s="3" t="inlineStr">
        <is>
          <t>IMF.RES:WEO</t>
        </is>
      </c>
      <c r="D430" s="3" t="inlineStr">
        <is>
          <t>BRN.GGX_NGDP.A</t>
        </is>
      </c>
      <c r="E430" s="3" t="inlineStr">
        <is>
          <t>Brunei Darussalam</t>
        </is>
      </c>
      <c r="F430" s="3" t="inlineStr">
        <is>
          <t>Expenditure, General government, Percent of GDP</t>
        </is>
      </c>
      <c r="G430" s="3" t="n">
        <v>37.492112</v>
      </c>
      <c r="H430" s="3" t="n">
        <v>35.475456</v>
      </c>
      <c r="I430" s="3" t="n">
        <v>41.425375</v>
      </c>
      <c r="J430" s="3" t="n">
        <v>30.886884</v>
      </c>
      <c r="K430" s="3" t="n">
        <v>33.153836</v>
      </c>
      <c r="L430" s="3" t="n">
        <v>29.053023</v>
      </c>
      <c r="M430" s="3" t="n">
        <v>27.98884</v>
      </c>
      <c r="N430" s="3" t="n">
        <v>29.326424</v>
      </c>
      <c r="O430" s="3" t="n">
        <v>27.171325</v>
      </c>
      <c r="P430" s="3" t="n">
        <v>34.834779</v>
      </c>
      <c r="Q430" s="3" t="n">
        <v>25.486171</v>
      </c>
      <c r="R430" s="3" t="n">
        <v>29.930082</v>
      </c>
      <c r="S430" s="3" t="n">
        <v>31.121617</v>
      </c>
      <c r="T430" s="3" t="n">
        <v>33.433721</v>
      </c>
      <c r="U430" s="3" t="n">
        <v>34.004343</v>
      </c>
      <c r="V430" s="3" t="n">
        <v>36.990564</v>
      </c>
      <c r="W430" s="3" t="n">
        <v>39.838252</v>
      </c>
      <c r="X430" s="3" t="n">
        <v>36.557142</v>
      </c>
      <c r="Y430" s="3" t="n">
        <v>32.891271</v>
      </c>
      <c r="Z430" s="3" t="n">
        <v>32.134009</v>
      </c>
      <c r="AA430" s="3" t="n">
        <v>32.826634</v>
      </c>
      <c r="AB430" s="3" t="n">
        <v>30.061665</v>
      </c>
      <c r="AC430" s="3" t="n">
        <v>26.121387</v>
      </c>
      <c r="AD430" s="3" t="n">
        <v>30.11107</v>
      </c>
      <c r="AE430" s="3" t="n">
        <v>30.317159</v>
      </c>
      <c r="AF430" s="3" t="n">
        <v>29.925893</v>
      </c>
      <c r="AG430" s="3" t="n">
        <v>29.057244</v>
      </c>
      <c r="AH430" s="3" t="n">
        <v>28.67789</v>
      </c>
      <c r="AI430" s="3" t="n">
        <v>28.613556</v>
      </c>
      <c r="AJ430" s="3" t="n">
        <v>28.668698</v>
      </c>
      <c r="AK430" s="3" t="n">
        <v>28.881306</v>
      </c>
      <c r="AL430" s="3" t="n">
        <v>29.097834</v>
      </c>
      <c r="AM430" s="3" t="n"/>
      <c r="AN430" s="3" t="n"/>
      <c r="AO430" s="3" t="n"/>
      <c r="AP430" s="3" t="n"/>
      <c r="AQ430" s="3" t="n"/>
      <c r="AR430" s="3" t="n"/>
      <c r="AS430" s="3" t="n"/>
      <c r="AT430" s="3" t="n"/>
      <c r="AU430" s="3" t="n"/>
    </row>
    <row r="431">
      <c r="A431" s="3" t="n">
        <v>2031</v>
      </c>
      <c r="B431" s="3" t="inlineStr">
        <is>
          <t>BRN</t>
        </is>
      </c>
      <c r="C431" s="3" t="inlineStr">
        <is>
          <t>IMF.RES:WEO</t>
        </is>
      </c>
      <c r="D431" s="3" t="inlineStr">
        <is>
          <t>BRN.LP.A</t>
        </is>
      </c>
      <c r="E431" s="3" t="inlineStr">
        <is>
          <t>Brunei Darussalam</t>
        </is>
      </c>
      <c r="F431" s="3" t="inlineStr">
        <is>
          <t>Population, Persons for countries / Index for country groups</t>
        </is>
      </c>
      <c r="G431" s="3" t="n">
        <v>0.3248</v>
      </c>
      <c r="H431" s="3" t="n">
        <v>0.332844</v>
      </c>
      <c r="I431" s="3" t="n">
        <v>0.3401</v>
      </c>
      <c r="J431" s="3" t="n">
        <v>0.3464</v>
      </c>
      <c r="K431" s="3" t="n">
        <v>0.3523</v>
      </c>
      <c r="L431" s="3" t="n">
        <v>0.3585</v>
      </c>
      <c r="M431" s="3" t="n">
        <v>0.3645</v>
      </c>
      <c r="N431" s="3" t="n">
        <v>0.37</v>
      </c>
      <c r="O431" s="3" t="n">
        <v>0.375</v>
      </c>
      <c r="P431" s="3" t="n">
        <v>0.3801</v>
      </c>
      <c r="Q431" s="3" t="n">
        <v>0.3868</v>
      </c>
      <c r="R431" s="3" t="n">
        <v>0.393372</v>
      </c>
      <c r="S431" s="3" t="n">
        <v>0.3987</v>
      </c>
      <c r="T431" s="3" t="n">
        <v>0.4033</v>
      </c>
      <c r="U431" s="3" t="n">
        <v>0.4076</v>
      </c>
      <c r="V431" s="3" t="n">
        <v>0.4124</v>
      </c>
      <c r="W431" s="3" t="n">
        <v>0.417256</v>
      </c>
      <c r="X431" s="3" t="n">
        <v>0.4264</v>
      </c>
      <c r="Y431" s="3" t="n">
        <v>0.4366</v>
      </c>
      <c r="Z431" s="3" t="n">
        <v>0.451</v>
      </c>
      <c r="AA431" s="3" t="n">
        <v>0.4418</v>
      </c>
      <c r="AB431" s="3" t="n">
        <v>0.440715</v>
      </c>
      <c r="AC431" s="3" t="n">
        <v>0.4454</v>
      </c>
      <c r="AD431" s="3" t="n">
        <v>0.4505</v>
      </c>
      <c r="AE431" s="3" t="n">
        <v>0.4555</v>
      </c>
      <c r="AF431" s="3" t="n">
        <v>0.4597</v>
      </c>
      <c r="AG431" s="3" t="n">
        <v>0.4647</v>
      </c>
      <c r="AH431" s="3" t="n">
        <v>0.4696</v>
      </c>
      <c r="AI431" s="3" t="n">
        <v>0.4746</v>
      </c>
      <c r="AJ431" s="3" t="n">
        <v>0.4796</v>
      </c>
      <c r="AK431" s="3" t="n">
        <v>0.4848</v>
      </c>
      <c r="AL431" s="3" t="n">
        <v>0.4899</v>
      </c>
      <c r="AM431" s="3" t="n"/>
      <c r="AN431" s="3" t="n"/>
      <c r="AO431" s="3" t="n"/>
      <c r="AP431" s="3" t="n"/>
      <c r="AQ431" s="3" t="n"/>
      <c r="AR431" s="3" t="n"/>
      <c r="AS431" s="3" t="n"/>
      <c r="AT431" s="3" t="n"/>
      <c r="AU431" s="3" t="n"/>
    </row>
    <row r="432">
      <c r="A432" s="3" t="n">
        <v>2031</v>
      </c>
      <c r="B432" s="3" t="inlineStr">
        <is>
          <t>BRN</t>
        </is>
      </c>
      <c r="C432" s="3" t="inlineStr">
        <is>
          <t>IMF.RES:WEO</t>
        </is>
      </c>
      <c r="D432" s="3" t="inlineStr">
        <is>
          <t>BRN.NGDP.A</t>
        </is>
      </c>
      <c r="E432" s="3" t="inlineStr">
        <is>
          <t>Brunei Darussalam</t>
        </is>
      </c>
      <c r="F432" s="3" t="inlineStr">
        <is>
          <t>Gross domestic product (GDP), Current prices, Domestic currency</t>
        </is>
      </c>
      <c r="G432" s="3" t="n">
        <v>11.463878</v>
      </c>
      <c r="H432" s="3" t="n">
        <v>11.119829</v>
      </c>
      <c r="I432" s="3" t="n">
        <v>11.593631</v>
      </c>
      <c r="J432" s="3" t="n">
        <v>12.658577</v>
      </c>
      <c r="K432" s="3" t="n">
        <v>14.743482</v>
      </c>
      <c r="L432" s="3" t="n">
        <v>17.578205</v>
      </c>
      <c r="M432" s="3" t="n">
        <v>20.195085</v>
      </c>
      <c r="N432" s="3" t="n">
        <v>20.452817</v>
      </c>
      <c r="O432" s="3" t="n">
        <v>22.601879</v>
      </c>
      <c r="P432" s="3" t="n">
        <v>17.298201</v>
      </c>
      <c r="Q432" s="3" t="n">
        <v>18.689783</v>
      </c>
      <c r="R432" s="3" t="n">
        <v>23.302576</v>
      </c>
      <c r="S432" s="3" t="n">
        <v>23.802306</v>
      </c>
      <c r="T432" s="3" t="n">
        <v>22.638783</v>
      </c>
      <c r="U432" s="3" t="n">
        <v>21.663593</v>
      </c>
      <c r="V432" s="3" t="n">
        <v>17.778007</v>
      </c>
      <c r="W432" s="3" t="n">
        <v>15.747723</v>
      </c>
      <c r="X432" s="3" t="n">
        <v>16.747678</v>
      </c>
      <c r="Y432" s="3" t="n">
        <v>18.300661</v>
      </c>
      <c r="Z432" s="3" t="n">
        <v>18.374987</v>
      </c>
      <c r="AA432" s="3" t="n">
        <v>16.564438</v>
      </c>
      <c r="AB432" s="3" t="n">
        <v>18.822028</v>
      </c>
      <c r="AC432" s="3" t="n">
        <v>23.003105</v>
      </c>
      <c r="AD432" s="3" t="n">
        <v>20.273906</v>
      </c>
      <c r="AE432" s="3" t="n">
        <v>20.495827</v>
      </c>
      <c r="AF432" s="3" t="n">
        <v>20.85764</v>
      </c>
      <c r="AG432" s="3" t="n">
        <v>21.805445</v>
      </c>
      <c r="AH432" s="3" t="n">
        <v>22.705953</v>
      </c>
      <c r="AI432" s="3" t="n">
        <v>23.653548</v>
      </c>
      <c r="AJ432" s="3" t="n">
        <v>24.546155</v>
      </c>
      <c r="AK432" s="3" t="n">
        <v>25.562479</v>
      </c>
      <c r="AL432" s="3" t="n">
        <v>26.665666</v>
      </c>
      <c r="AM432" s="3" t="n"/>
      <c r="AN432" s="3" t="n"/>
      <c r="AO432" s="3" t="n"/>
      <c r="AP432" s="3" t="n"/>
      <c r="AQ432" s="3" t="n"/>
      <c r="AR432" s="3" t="n"/>
      <c r="AS432" s="3" t="n"/>
      <c r="AT432" s="3" t="n"/>
      <c r="AU432" s="3" t="n"/>
    </row>
    <row r="433">
      <c r="A433" s="3" t="n">
        <v>2031</v>
      </c>
      <c r="B433" s="3" t="inlineStr">
        <is>
          <t>BRN</t>
        </is>
      </c>
      <c r="C433" s="3" t="inlineStr">
        <is>
          <t>IMF.RES:WEO</t>
        </is>
      </c>
      <c r="D433" s="3" t="inlineStr">
        <is>
          <t>BRN.NGDP_D.A</t>
        </is>
      </c>
      <c r="E433" s="3" t="inlineStr">
        <is>
          <t>Brunei Darussalam</t>
        </is>
      </c>
      <c r="F433" s="3" t="inlineStr">
        <is>
          <t>Gross domestic product (GDP), Price deflator, Index</t>
        </is>
      </c>
      <c r="G433" s="3" t="n">
        <v>65.098209</v>
      </c>
      <c r="H433" s="3" t="n">
        <v>62.232147</v>
      </c>
      <c r="I433" s="3" t="n">
        <v>62.411391</v>
      </c>
      <c r="J433" s="3" t="n">
        <v>65.78683599999999</v>
      </c>
      <c r="K433" s="3" t="n">
        <v>76.54210999999999</v>
      </c>
      <c r="L433" s="3" t="n">
        <v>91.26240799999999</v>
      </c>
      <c r="M433" s="3" t="n">
        <v>100.720756</v>
      </c>
      <c r="N433" s="3" t="n">
        <v>105.995436</v>
      </c>
      <c r="O433" s="3" t="n">
        <v>121.887283</v>
      </c>
      <c r="P433" s="3" t="n">
        <v>95.092641</v>
      </c>
      <c r="Q433" s="3" t="n">
        <v>100</v>
      </c>
      <c r="R433" s="3" t="n">
        <v>120.180773</v>
      </c>
      <c r="S433" s="3" t="n">
        <v>121.647274</v>
      </c>
      <c r="T433" s="3" t="n">
        <v>118.212577</v>
      </c>
      <c r="U433" s="3" t="n">
        <v>116.030358</v>
      </c>
      <c r="V433" s="3" t="n">
        <v>95.59422499999999</v>
      </c>
      <c r="W433" s="3" t="n">
        <v>86.828716</v>
      </c>
      <c r="X433" s="3" t="n">
        <v>91.13131300000001</v>
      </c>
      <c r="Y433" s="3" t="n">
        <v>99.529639</v>
      </c>
      <c r="Z433" s="3" t="n">
        <v>96.211591</v>
      </c>
      <c r="AA433" s="3" t="n">
        <v>85.759393</v>
      </c>
      <c r="AB433" s="3" t="n">
        <v>99.02287800000001</v>
      </c>
      <c r="AC433" s="3" t="n">
        <v>123.022783</v>
      </c>
      <c r="AD433" s="3" t="n">
        <v>107.217738</v>
      </c>
      <c r="AE433" s="3" t="n">
        <v>104.169853</v>
      </c>
      <c r="AF433" s="3" t="n">
        <v>105.376507</v>
      </c>
      <c r="AG433" s="3" t="n">
        <v>107.373279</v>
      </c>
      <c r="AH433" s="3" t="n">
        <v>108.921107</v>
      </c>
      <c r="AI433" s="3" t="n">
        <v>110.699266</v>
      </c>
      <c r="AJ433" s="3" t="n">
        <v>111.965588</v>
      </c>
      <c r="AK433" s="3" t="n">
        <v>113.20532</v>
      </c>
      <c r="AL433" s="3" t="n">
        <v>114.762743</v>
      </c>
      <c r="AM433" s="3" t="n"/>
      <c r="AN433" s="3" t="n"/>
      <c r="AO433" s="3" t="n"/>
      <c r="AP433" s="3" t="n"/>
      <c r="AQ433" s="3" t="n"/>
      <c r="AR433" s="3" t="n"/>
      <c r="AS433" s="3" t="n"/>
      <c r="AT433" s="3" t="n"/>
      <c r="AU433" s="3" t="n"/>
    </row>
    <row r="434">
      <c r="A434" s="3" t="n">
        <v>2031</v>
      </c>
      <c r="B434" s="3" t="inlineStr">
        <is>
          <t>BRN</t>
        </is>
      </c>
      <c r="C434" s="3" t="inlineStr">
        <is>
          <t>IMF.RES:WEO</t>
        </is>
      </c>
      <c r="D434" s="3" t="inlineStr">
        <is>
          <t>BRN.NGDP_R.A</t>
        </is>
      </c>
      <c r="E434" s="3" t="inlineStr">
        <is>
          <t>Brunei Darussalam</t>
        </is>
      </c>
      <c r="F434" s="3" t="inlineStr">
        <is>
          <t>Gross domestic product (GDP), Constant prices, Domestic currency</t>
        </is>
      </c>
      <c r="G434" s="3" t="n">
        <v>17.610128</v>
      </c>
      <c r="H434" s="3" t="n">
        <v>17.868303</v>
      </c>
      <c r="I434" s="3" t="n">
        <v>18.576145</v>
      </c>
      <c r="J434" s="3" t="n">
        <v>19.241808</v>
      </c>
      <c r="K434" s="3" t="n">
        <v>19.261923</v>
      </c>
      <c r="L434" s="3" t="n">
        <v>19.261167</v>
      </c>
      <c r="M434" s="3" t="n">
        <v>20.050569</v>
      </c>
      <c r="N434" s="3" t="n">
        <v>19.295941</v>
      </c>
      <c r="O434" s="3" t="n">
        <v>18.543262</v>
      </c>
      <c r="P434" s="3" t="n">
        <v>18.190893</v>
      </c>
      <c r="Q434" s="3" t="n">
        <v>18.689783</v>
      </c>
      <c r="R434" s="3" t="n">
        <v>19.389604</v>
      </c>
      <c r="S434" s="3" t="n">
        <v>19.566658</v>
      </c>
      <c r="T434" s="3" t="n">
        <v>19.150909</v>
      </c>
      <c r="U434" s="3" t="n">
        <v>18.670625</v>
      </c>
      <c r="V434" s="3" t="n">
        <v>18.597365</v>
      </c>
      <c r="W434" s="3" t="n">
        <v>18.136538</v>
      </c>
      <c r="X434" s="3" t="n">
        <v>18.377523</v>
      </c>
      <c r="Y434" s="3" t="n">
        <v>18.387147</v>
      </c>
      <c r="Z434" s="3" t="n">
        <v>19.098517</v>
      </c>
      <c r="AA434" s="3" t="n">
        <v>19.315013</v>
      </c>
      <c r="AB434" s="3" t="n">
        <v>19.007757</v>
      </c>
      <c r="AC434" s="3" t="n">
        <v>18.698248</v>
      </c>
      <c r="AD434" s="3" t="n">
        <v>18.909097</v>
      </c>
      <c r="AE434" s="3" t="n">
        <v>19.675392</v>
      </c>
      <c r="AF434" s="3" t="n">
        <v>19.793444</v>
      </c>
      <c r="AG434" s="3" t="n">
        <v>20.308074</v>
      </c>
      <c r="AH434" s="3" t="n">
        <v>20.846238</v>
      </c>
      <c r="AI434" s="3" t="n">
        <v>21.367394</v>
      </c>
      <c r="AJ434" s="3" t="n">
        <v>21.922946</v>
      </c>
      <c r="AK434" s="3" t="n">
        <v>22.580634</v>
      </c>
      <c r="AL434" s="3" t="n">
        <v>23.235473</v>
      </c>
      <c r="AM434" s="3" t="n"/>
      <c r="AN434" s="3" t="n"/>
      <c r="AO434" s="3" t="n"/>
      <c r="AP434" s="3" t="n"/>
      <c r="AQ434" s="3" t="n"/>
      <c r="AR434" s="3" t="n"/>
      <c r="AS434" s="3" t="n"/>
      <c r="AT434" s="3" t="n"/>
      <c r="AU434" s="3" t="n"/>
    </row>
    <row r="435">
      <c r="A435" s="3" t="n">
        <v>2031</v>
      </c>
      <c r="B435" s="3" t="inlineStr">
        <is>
          <t>BRN</t>
        </is>
      </c>
      <c r="C435" s="3" t="inlineStr">
        <is>
          <t>IMF.RES:WEO</t>
        </is>
      </c>
      <c r="D435" s="3" t="inlineStr">
        <is>
          <t>BRN.NGDP_RPCH.A</t>
        </is>
      </c>
      <c r="E435" s="3" t="inlineStr">
        <is>
          <t>Brunei Darussalam</t>
        </is>
      </c>
      <c r="F435" s="3" t="inlineStr">
        <is>
          <t>Gross domestic product (GDP), Constant prices, Percent change</t>
        </is>
      </c>
      <c r="G435" s="3" t="n">
        <v>10.963536</v>
      </c>
      <c r="H435" s="3" t="n">
        <v>1.466061</v>
      </c>
      <c r="I435" s="3" t="n">
        <v>3.961439</v>
      </c>
      <c r="J435" s="3" t="n">
        <v>3.583429</v>
      </c>
      <c r="K435" s="3" t="n">
        <v>0.104538</v>
      </c>
      <c r="L435" s="3" t="n">
        <v>-0.003925</v>
      </c>
      <c r="M435" s="3" t="n">
        <v>4.098413</v>
      </c>
      <c r="N435" s="3" t="n">
        <v>-3.763623</v>
      </c>
      <c r="O435" s="3" t="n">
        <v>-3.900711</v>
      </c>
      <c r="P435" s="3" t="n">
        <v>-1.900254</v>
      </c>
      <c r="Q435" s="3" t="n">
        <v>2.742524</v>
      </c>
      <c r="R435" s="3" t="n">
        <v>3.744404</v>
      </c>
      <c r="S435" s="3" t="n">
        <v>0.913139</v>
      </c>
      <c r="T435" s="3" t="n">
        <v>-2.124783</v>
      </c>
      <c r="U435" s="3" t="n">
        <v>-2.507891</v>
      </c>
      <c r="V435" s="3" t="n">
        <v>-0.392381</v>
      </c>
      <c r="W435" s="3" t="n">
        <v>-2.477916</v>
      </c>
      <c r="X435" s="3" t="n">
        <v>1.328727</v>
      </c>
      <c r="Y435" s="3" t="n">
        <v>0.052368</v>
      </c>
      <c r="Z435" s="3" t="n">
        <v>3.868844</v>
      </c>
      <c r="AA435" s="3" t="n">
        <v>1.133575</v>
      </c>
      <c r="AB435" s="3" t="n">
        <v>-1.590763</v>
      </c>
      <c r="AC435" s="3" t="n">
        <v>-1.62833</v>
      </c>
      <c r="AD435" s="3" t="n">
        <v>1.12764</v>
      </c>
      <c r="AE435" s="3" t="n">
        <v>4.05252</v>
      </c>
      <c r="AF435" s="3" t="n">
        <v>0.6</v>
      </c>
      <c r="AG435" s="3" t="n">
        <v>2.6</v>
      </c>
      <c r="AH435" s="3" t="n">
        <v>2.65</v>
      </c>
      <c r="AI435" s="3" t="n">
        <v>2.5</v>
      </c>
      <c r="AJ435" s="3" t="n">
        <v>2.6</v>
      </c>
      <c r="AK435" s="3" t="n">
        <v>3</v>
      </c>
      <c r="AL435" s="3" t="n">
        <v>2.9</v>
      </c>
      <c r="AM435" s="3" t="n"/>
      <c r="AN435" s="3" t="n"/>
      <c r="AO435" s="3" t="n"/>
      <c r="AP435" s="3" t="n"/>
      <c r="AQ435" s="3" t="n"/>
      <c r="AR435" s="3" t="n"/>
      <c r="AS435" s="3" t="n"/>
      <c r="AT435" s="3" t="n"/>
      <c r="AU435" s="3" t="n"/>
    </row>
    <row r="436">
      <c r="A436" s="3" t="n">
        <v>2031</v>
      </c>
      <c r="B436" s="3" t="inlineStr">
        <is>
          <t>BRN</t>
        </is>
      </c>
      <c r="C436" s="3" t="inlineStr">
        <is>
          <t>IMF.RES:WEO</t>
        </is>
      </c>
      <c r="D436" s="3" t="inlineStr">
        <is>
          <t>BRN.NGDPD.A</t>
        </is>
      </c>
      <c r="E436" s="3" t="inlineStr">
        <is>
          <t>Brunei Darussalam</t>
        </is>
      </c>
      <c r="F436" s="3" t="inlineStr">
        <is>
          <t>Gross domestic product (GDP), Current prices, US dollar</t>
        </is>
      </c>
      <c r="G436" s="3" t="n">
        <v>6.649723</v>
      </c>
      <c r="H436" s="3" t="n">
        <v>6.206223</v>
      </c>
      <c r="I436" s="3" t="n">
        <v>6.474761</v>
      </c>
      <c r="J436" s="3" t="n">
        <v>7.265927</v>
      </c>
      <c r="K436" s="3" t="n">
        <v>8.722776</v>
      </c>
      <c r="L436" s="3" t="n">
        <v>10.561302</v>
      </c>
      <c r="M436" s="3" t="n">
        <v>12.709838</v>
      </c>
      <c r="N436" s="3" t="n">
        <v>13.570961</v>
      </c>
      <c r="O436" s="3" t="n">
        <v>15.948638</v>
      </c>
      <c r="P436" s="3" t="n">
        <v>11.892318</v>
      </c>
      <c r="Q436" s="3" t="n">
        <v>13.710563</v>
      </c>
      <c r="R436" s="3" t="n">
        <v>18.52351</v>
      </c>
      <c r="S436" s="3" t="n">
        <v>19.050735</v>
      </c>
      <c r="T436" s="3" t="n">
        <v>18.094139</v>
      </c>
      <c r="U436" s="3" t="n">
        <v>17.092716</v>
      </c>
      <c r="V436" s="3" t="n">
        <v>12.933379</v>
      </c>
      <c r="W436" s="3" t="n">
        <v>11.40313</v>
      </c>
      <c r="X436" s="3" t="n">
        <v>12.130139</v>
      </c>
      <c r="Y436" s="3" t="n">
        <v>13.564418</v>
      </c>
      <c r="Z436" s="3" t="n">
        <v>13.472221</v>
      </c>
      <c r="AA436" s="3" t="n">
        <v>12.007567</v>
      </c>
      <c r="AB436" s="3" t="n">
        <v>14.007959</v>
      </c>
      <c r="AC436" s="3" t="n">
        <v>16.684029</v>
      </c>
      <c r="AD436" s="3" t="n">
        <v>15.097857</v>
      </c>
      <c r="AE436" s="3" t="n">
        <v>15.334492</v>
      </c>
      <c r="AF436" s="3" t="n">
        <v>15.941667</v>
      </c>
      <c r="AG436" s="3" t="n">
        <v>16.862982</v>
      </c>
      <c r="AH436" s="3" t="n">
        <v>17.580922</v>
      </c>
      <c r="AI436" s="3" t="n">
        <v>18.317655</v>
      </c>
      <c r="AJ436" s="3" t="n">
        <v>19.012523</v>
      </c>
      <c r="AK436" s="3" t="n">
        <v>19.803537</v>
      </c>
      <c r="AL436" s="3" t="n">
        <v>20.662163</v>
      </c>
      <c r="AM436" s="3" t="n"/>
      <c r="AN436" s="3" t="n"/>
      <c r="AO436" s="3" t="n"/>
      <c r="AP436" s="3" t="n"/>
      <c r="AQ436" s="3" t="n"/>
      <c r="AR436" s="3" t="n"/>
      <c r="AS436" s="3" t="n"/>
      <c r="AT436" s="3" t="n"/>
      <c r="AU436" s="3" t="n"/>
    </row>
    <row r="437">
      <c r="A437" s="3" t="n">
        <v>2031</v>
      </c>
      <c r="B437" s="3" t="inlineStr">
        <is>
          <t>BRN</t>
        </is>
      </c>
      <c r="C437" s="3" t="inlineStr">
        <is>
          <t>IMF.RES:WEO</t>
        </is>
      </c>
      <c r="D437" s="3" t="inlineStr">
        <is>
          <t>BRN.NGDPPC.A</t>
        </is>
      </c>
      <c r="E437" s="3" t="inlineStr">
        <is>
          <t>Brunei Darussalam</t>
        </is>
      </c>
      <c r="F437" s="3" t="inlineStr">
        <is>
          <t>Gross domestic product (GDP), Current prices, Per capita, Domestic currency</t>
        </is>
      </c>
      <c r="G437" s="3" t="n">
        <v>35295.191144</v>
      </c>
      <c r="H437" s="3" t="n">
        <v>33408.530048</v>
      </c>
      <c r="I437" s="3" t="n">
        <v>34088.887554</v>
      </c>
      <c r="J437" s="3" t="n">
        <v>36543.235686</v>
      </c>
      <c r="K437" s="3" t="n">
        <v>41849.226254</v>
      </c>
      <c r="L437" s="3" t="n">
        <v>49032.649762</v>
      </c>
      <c r="M437" s="3" t="n">
        <v>55404.897057</v>
      </c>
      <c r="N437" s="3" t="n">
        <v>55277.884446</v>
      </c>
      <c r="O437" s="3" t="n">
        <v>60271.67698</v>
      </c>
      <c r="P437" s="3" t="n">
        <v>45509.605054</v>
      </c>
      <c r="Q437" s="3" t="n">
        <v>48318.983971</v>
      </c>
      <c r="R437" s="3" t="n">
        <v>59238.01389</v>
      </c>
      <c r="S437" s="3" t="n">
        <v>59699.789315</v>
      </c>
      <c r="T437" s="3" t="n">
        <v>56133.853211</v>
      </c>
      <c r="U437" s="3" t="n">
        <v>53149.148675</v>
      </c>
      <c r="V437" s="3" t="n">
        <v>43108.64937</v>
      </c>
      <c r="W437" s="3" t="n">
        <v>37741.154112</v>
      </c>
      <c r="X437" s="3" t="n">
        <v>39276.918386</v>
      </c>
      <c r="Y437" s="3" t="n">
        <v>41916.310124</v>
      </c>
      <c r="Z437" s="3" t="n">
        <v>40742.764967</v>
      </c>
      <c r="AA437" s="3" t="n">
        <v>37493.069262</v>
      </c>
      <c r="AB437" s="3" t="n">
        <v>42707.935968</v>
      </c>
      <c r="AC437" s="3" t="n">
        <v>51645.947463</v>
      </c>
      <c r="AD437" s="3" t="n">
        <v>45003.120977</v>
      </c>
      <c r="AE437" s="3" t="n">
        <v>44996.327113</v>
      </c>
      <c r="AF437" s="3" t="n">
        <v>45372.286709</v>
      </c>
      <c r="AG437" s="3" t="n">
        <v>46923.70318</v>
      </c>
      <c r="AH437" s="3" t="n">
        <v>48351.688853</v>
      </c>
      <c r="AI437" s="3" t="n">
        <v>49838.912907</v>
      </c>
      <c r="AJ437" s="3" t="n">
        <v>51180.474182</v>
      </c>
      <c r="AK437" s="3" t="n">
        <v>52727.886651</v>
      </c>
      <c r="AL437" s="3" t="n">
        <v>54430.834701</v>
      </c>
      <c r="AM437" s="3" t="n"/>
      <c r="AN437" s="3" t="n"/>
      <c r="AO437" s="3" t="n"/>
      <c r="AP437" s="3" t="n"/>
      <c r="AQ437" s="3" t="n"/>
      <c r="AR437" s="3" t="n"/>
      <c r="AS437" s="3" t="n"/>
      <c r="AT437" s="3" t="n"/>
      <c r="AU437" s="3" t="n"/>
    </row>
    <row r="438">
      <c r="A438" s="3" t="n">
        <v>2031</v>
      </c>
      <c r="B438" s="3" t="inlineStr">
        <is>
          <t>BRN</t>
        </is>
      </c>
      <c r="C438" s="3" t="inlineStr">
        <is>
          <t>IMF.RES:WEO</t>
        </is>
      </c>
      <c r="D438" s="3" t="inlineStr">
        <is>
          <t>BRN.NGDPRPC.A</t>
        </is>
      </c>
      <c r="E438" s="3" t="inlineStr">
        <is>
          <t>Brunei Darussalam</t>
        </is>
      </c>
      <c r="F438" s="3" t="inlineStr">
        <is>
          <t>Gross domestic product (GDP), Constant prices, Per capita, Domestic currency</t>
        </is>
      </c>
      <c r="G438" s="3" t="n">
        <v>54218.374695</v>
      </c>
      <c r="H438" s="3" t="n">
        <v>53683.717402</v>
      </c>
      <c r="I438" s="3" t="n">
        <v>54619.656539</v>
      </c>
      <c r="J438" s="3" t="n">
        <v>55547.945003</v>
      </c>
      <c r="K438" s="3" t="n">
        <v>54674.775007</v>
      </c>
      <c r="L438" s="3" t="n">
        <v>53727.105072</v>
      </c>
      <c r="M438" s="3" t="n">
        <v>55008.4205</v>
      </c>
      <c r="N438" s="3" t="n">
        <v>52151.192811</v>
      </c>
      <c r="O438" s="3" t="n">
        <v>49448.699915</v>
      </c>
      <c r="P438" s="3" t="n">
        <v>47858.177867</v>
      </c>
      <c r="Q438" s="3" t="n">
        <v>48318.983971</v>
      </c>
      <c r="R438" s="3" t="n">
        <v>49290.757858</v>
      </c>
      <c r="S438" s="3" t="n">
        <v>49076.142463</v>
      </c>
      <c r="T438" s="3" t="n">
        <v>47485.516985</v>
      </c>
      <c r="U438" s="3" t="n">
        <v>45806.243867</v>
      </c>
      <c r="V438" s="3" t="n">
        <v>45095.453443</v>
      </c>
      <c r="W438" s="3" t="n">
        <v>43466.212589</v>
      </c>
      <c r="X438" s="3" t="n">
        <v>43099.256567</v>
      </c>
      <c r="Y438" s="3" t="n">
        <v>42114.399908</v>
      </c>
      <c r="Z438" s="3" t="n">
        <v>42347.044346</v>
      </c>
      <c r="AA438" s="3" t="n">
        <v>43718.906745</v>
      </c>
      <c r="AB438" s="3" t="n">
        <v>43129.362513</v>
      </c>
      <c r="AC438" s="3" t="n">
        <v>41980.799282</v>
      </c>
      <c r="AD438" s="3" t="n">
        <v>41973.578246</v>
      </c>
      <c r="AE438" s="3" t="n">
        <v>43195.15258</v>
      </c>
      <c r="AF438" s="3" t="n">
        <v>43057.307705</v>
      </c>
      <c r="AG438" s="3" t="n">
        <v>43701.471713</v>
      </c>
      <c r="AH438" s="3" t="n">
        <v>44391.477563</v>
      </c>
      <c r="AI438" s="3" t="n">
        <v>45021.900148</v>
      </c>
      <c r="AJ438" s="3" t="n">
        <v>45710.896683</v>
      </c>
      <c r="AK438" s="3" t="n">
        <v>46577.216235</v>
      </c>
      <c r="AL438" s="3" t="n">
        <v>47429.011695</v>
      </c>
      <c r="AM438" s="3" t="n"/>
      <c r="AN438" s="3" t="n"/>
      <c r="AO438" s="3" t="n"/>
      <c r="AP438" s="3" t="n"/>
      <c r="AQ438" s="3" t="n"/>
      <c r="AR438" s="3" t="n"/>
      <c r="AS438" s="3" t="n"/>
      <c r="AT438" s="3" t="n"/>
      <c r="AU438" s="3" t="n"/>
    </row>
    <row r="439">
      <c r="A439" s="3" t="n">
        <v>2031</v>
      </c>
      <c r="B439" s="3" t="inlineStr">
        <is>
          <t>BRN</t>
        </is>
      </c>
      <c r="C439" s="3" t="inlineStr">
        <is>
          <t>IMF.RES:WEO</t>
        </is>
      </c>
      <c r="D439" s="3" t="inlineStr">
        <is>
          <t>BRN.PCPI.A</t>
        </is>
      </c>
      <c r="E439" s="3" t="inlineStr">
        <is>
          <t>Brunei Darussalam</t>
        </is>
      </c>
      <c r="F439" s="3" t="inlineStr">
        <is>
          <t>All Items, Consumer price index (CPI), Period average</t>
        </is>
      </c>
      <c r="G439" s="3" t="n">
        <v>94.959265</v>
      </c>
      <c r="H439" s="3" t="n">
        <v>95.52511800000001</v>
      </c>
      <c r="I439" s="3" t="n">
        <v>93.313738</v>
      </c>
      <c r="J439" s="3" t="n">
        <v>93.59368000000001</v>
      </c>
      <c r="K439" s="3" t="n">
        <v>94.35574200000001</v>
      </c>
      <c r="L439" s="3" t="n">
        <v>95.52994</v>
      </c>
      <c r="M439" s="3" t="n">
        <v>95.682681</v>
      </c>
      <c r="N439" s="3" t="n">
        <v>96.608673</v>
      </c>
      <c r="O439" s="3" t="n">
        <v>98.622945</v>
      </c>
      <c r="P439" s="3" t="n">
        <v>99.6444</v>
      </c>
      <c r="Q439" s="3" t="n">
        <v>99.928876</v>
      </c>
      <c r="R439" s="3" t="n">
        <v>100.06669</v>
      </c>
      <c r="S439" s="3" t="n">
        <v>100.17853</v>
      </c>
      <c r="T439" s="3" t="n">
        <v>100.562478</v>
      </c>
      <c r="U439" s="3" t="n">
        <v>100.360145</v>
      </c>
      <c r="V439" s="3" t="n">
        <v>99.895369</v>
      </c>
      <c r="W439" s="3" t="n">
        <v>99.616968</v>
      </c>
      <c r="X439" s="3" t="n">
        <v>98.36129</v>
      </c>
      <c r="Y439" s="3" t="n">
        <v>99.264785</v>
      </c>
      <c r="Z439" s="3" t="n">
        <v>98.981498</v>
      </c>
      <c r="AA439" s="3" t="n">
        <v>100.899252</v>
      </c>
      <c r="AB439" s="3" t="n">
        <v>102.651092</v>
      </c>
      <c r="AC439" s="3" t="n">
        <v>106.431765</v>
      </c>
      <c r="AD439" s="3" t="n">
        <v>106.811237</v>
      </c>
      <c r="AE439" s="3" t="n">
        <v>106.396216</v>
      </c>
      <c r="AF439" s="3" t="n">
        <v>106.073469</v>
      </c>
      <c r="AG439" s="3" t="n">
        <v>107.770645</v>
      </c>
      <c r="AH439" s="3" t="n">
        <v>108.956122</v>
      </c>
      <c r="AI439" s="3" t="n">
        <v>110.045683</v>
      </c>
      <c r="AJ439" s="3" t="n">
        <v>111.14614</v>
      </c>
      <c r="AK439" s="3" t="n">
        <v>112.257601</v>
      </c>
      <c r="AL439" s="3" t="n">
        <v>113.380177</v>
      </c>
      <c r="AM439" s="3" t="n"/>
      <c r="AN439" s="3" t="n"/>
      <c r="AO439" s="3" t="n"/>
      <c r="AP439" s="3" t="n"/>
      <c r="AQ439" s="3" t="n"/>
      <c r="AR439" s="3" t="n"/>
      <c r="AS439" s="3" t="n"/>
      <c r="AT439" s="3" t="n"/>
      <c r="AU439" s="3" t="n"/>
    </row>
    <row r="440">
      <c r="A440" s="3" t="n">
        <v>2031</v>
      </c>
      <c r="B440" s="3" t="inlineStr">
        <is>
          <t>BRN</t>
        </is>
      </c>
      <c r="C440" s="3" t="inlineStr">
        <is>
          <t>IMF.RES:WEO</t>
        </is>
      </c>
      <c r="D440" s="3" t="inlineStr">
        <is>
          <t>BRN.PCPIPCH.A</t>
        </is>
      </c>
      <c r="E440" s="3" t="inlineStr">
        <is>
          <t>Brunei Darussalam</t>
        </is>
      </c>
      <c r="F440" s="3" t="inlineStr">
        <is>
          <t>All Items, Consumer price index (CPI), Period average, percent change</t>
        </is>
      </c>
      <c r="G440" s="3" t="n">
        <v>1.558152</v>
      </c>
      <c r="H440" s="3" t="n">
        <v>0.59589</v>
      </c>
      <c r="I440" s="3" t="n">
        <v>-2.314972</v>
      </c>
      <c r="J440" s="3" t="n">
        <v>0.3</v>
      </c>
      <c r="K440" s="3" t="n">
        <v>0.8142239999999999</v>
      </c>
      <c r="L440" s="3" t="n">
        <v>1.244437</v>
      </c>
      <c r="M440" s="3" t="n">
        <v>0.159888</v>
      </c>
      <c r="N440" s="3" t="n">
        <v>0.967774</v>
      </c>
      <c r="O440" s="3" t="n">
        <v>2.08498</v>
      </c>
      <c r="P440" s="3" t="n">
        <v>1.035718</v>
      </c>
      <c r="Q440" s="3" t="n">
        <v>0.285491</v>
      </c>
      <c r="R440" s="3" t="n">
        <v>0.137912</v>
      </c>
      <c r="S440" s="3" t="n">
        <v>0.111765</v>
      </c>
      <c r="T440" s="3" t="n">
        <v>0.383263</v>
      </c>
      <c r="U440" s="3" t="n">
        <v>-0.201201</v>
      </c>
      <c r="V440" s="3" t="n">
        <v>-0.463108</v>
      </c>
      <c r="W440" s="3" t="n">
        <v>-0.278693</v>
      </c>
      <c r="X440" s="3" t="n">
        <v>-1.260506</v>
      </c>
      <c r="Y440" s="3" t="n">
        <v>0.918547</v>
      </c>
      <c r="Z440" s="3" t="n">
        <v>-0.285386</v>
      </c>
      <c r="AA440" s="3" t="n">
        <v>1.937488</v>
      </c>
      <c r="AB440" s="3" t="n">
        <v>1.736227</v>
      </c>
      <c r="AC440" s="3" t="n">
        <v>3.683033</v>
      </c>
      <c r="AD440" s="3" t="n">
        <v>0.35654</v>
      </c>
      <c r="AE440" s="3" t="n">
        <v>-0.388555</v>
      </c>
      <c r="AF440" s="3" t="n">
        <v>-0.303344</v>
      </c>
      <c r="AG440" s="3" t="n">
        <v>1.6</v>
      </c>
      <c r="AH440" s="3" t="n">
        <v>1.1</v>
      </c>
      <c r="AI440" s="3" t="n">
        <v>1</v>
      </c>
      <c r="AJ440" s="3" t="n">
        <v>1</v>
      </c>
      <c r="AK440" s="3" t="n">
        <v>1</v>
      </c>
      <c r="AL440" s="3" t="n">
        <v>1</v>
      </c>
      <c r="AM440" s="3" t="n"/>
      <c r="AN440" s="3" t="n"/>
      <c r="AO440" s="3" t="n"/>
      <c r="AP440" s="3" t="n"/>
      <c r="AQ440" s="3" t="n"/>
      <c r="AR440" s="3" t="n"/>
      <c r="AS440" s="3" t="n"/>
      <c r="AT440" s="3" t="n"/>
      <c r="AU440" s="3" t="n"/>
    </row>
    <row r="441">
      <c r="A441" s="3" t="n">
        <v>2031</v>
      </c>
      <c r="B441" s="3" t="inlineStr">
        <is>
          <t>BRN</t>
        </is>
      </c>
      <c r="C441" s="3" t="inlineStr">
        <is>
          <t>IMF.RES:WEO</t>
        </is>
      </c>
      <c r="D441" s="3" t="inlineStr">
        <is>
          <t>BRN.PPPPC.A</t>
        </is>
      </c>
      <c r="E441" s="3" t="inlineStr">
        <is>
          <t>Brunei Darussalam</t>
        </is>
      </c>
      <c r="F441" s="3" t="inlineStr">
        <is>
          <t>Gross domestic product (GDP), Per capita, purchasing power parity (PPP) international dollar, ICP benchmarks 2017-2021</t>
        </is>
      </c>
      <c r="G441" s="3" t="n">
        <v>57249.712074</v>
      </c>
      <c r="H441" s="3" t="n">
        <v>57961.49687</v>
      </c>
      <c r="I441" s="3" t="n">
        <v>59888.462413</v>
      </c>
      <c r="J441" s="3" t="n">
        <v>62108.718546</v>
      </c>
      <c r="K441" s="3" t="n">
        <v>62776.196445</v>
      </c>
      <c r="L441" s="3" t="n">
        <v>63622.53425</v>
      </c>
      <c r="M441" s="3" t="n">
        <v>67148.67763200001</v>
      </c>
      <c r="N441" s="3" t="n">
        <v>65385.609821</v>
      </c>
      <c r="O441" s="3" t="n">
        <v>63191.627909</v>
      </c>
      <c r="P441" s="3" t="n">
        <v>61536.256892</v>
      </c>
      <c r="Q441" s="3" t="n">
        <v>62883.860621</v>
      </c>
      <c r="R441" s="3" t="n">
        <v>65472.102105</v>
      </c>
      <c r="S441" s="3" t="n">
        <v>66400.770303</v>
      </c>
      <c r="T441" s="3" t="n">
        <v>65342.144574</v>
      </c>
      <c r="U441" s="3" t="n">
        <v>64129.218551</v>
      </c>
      <c r="V441" s="3" t="n">
        <v>63720.022648</v>
      </c>
      <c r="W441" s="3" t="n">
        <v>62001.507377</v>
      </c>
      <c r="X441" s="3" t="n">
        <v>62579.074689</v>
      </c>
      <c r="Y441" s="3" t="n">
        <v>65329.382655</v>
      </c>
      <c r="Z441" s="3" t="n">
        <v>68074.251386</v>
      </c>
      <c r="AA441" s="3" t="n">
        <v>70673.187642</v>
      </c>
      <c r="AB441" s="3" t="n">
        <v>80202.90780099999</v>
      </c>
      <c r="AC441" s="3" t="n">
        <v>83619.50367000001</v>
      </c>
      <c r="AD441" s="3" t="n">
        <v>86698.537795</v>
      </c>
      <c r="AE441" s="3" t="n">
        <v>91436.73123999999</v>
      </c>
      <c r="AF441" s="3" t="n">
        <v>93730.506358</v>
      </c>
      <c r="AG441" s="3" t="n">
        <v>97858.184848</v>
      </c>
      <c r="AH441" s="3" t="n">
        <v>101586.073687</v>
      </c>
      <c r="AI441" s="3" t="n">
        <v>104719.845479</v>
      </c>
      <c r="AJ441" s="3" t="n">
        <v>108212.962973</v>
      </c>
      <c r="AK441" s="3" t="n">
        <v>112289.958246</v>
      </c>
      <c r="AL441" s="3" t="n">
        <v>116407.741283</v>
      </c>
      <c r="AM441" s="3" t="n"/>
      <c r="AN441" s="3" t="n"/>
      <c r="AO441" s="3" t="n"/>
      <c r="AP441" s="3" t="n"/>
      <c r="AQ441" s="3" t="n"/>
      <c r="AR441" s="3" t="n"/>
      <c r="AS441" s="3" t="n"/>
      <c r="AT441" s="3" t="n"/>
      <c r="AU441" s="3" t="n"/>
    </row>
    <row r="442">
      <c r="A442" s="3" t="n">
        <v>2025</v>
      </c>
      <c r="B442" s="3" t="inlineStr">
        <is>
          <t>BRN</t>
        </is>
      </c>
      <c r="C442" s="3" t="inlineStr">
        <is>
          <t>IMF.STA:ER</t>
        </is>
      </c>
      <c r="D442" s="3" t="inlineStr">
        <is>
          <t>BRN.XDC_USD.PA_RT.A</t>
        </is>
      </c>
      <c r="E442" s="3" t="inlineStr">
        <is>
          <t>Brunei Darussalam</t>
        </is>
      </c>
      <c r="F442" s="3" t="inlineStr">
        <is>
          <t>Domestic currency per US Dollar</t>
        </is>
      </c>
      <c r="G442" s="3" t="n">
        <v>1.72396333333333</v>
      </c>
      <c r="H442" s="3" t="n">
        <v>1.7917225</v>
      </c>
      <c r="I442" s="3" t="n">
        <v>1.79058833333333</v>
      </c>
      <c r="J442" s="3" t="n">
        <v>1.74218333333333</v>
      </c>
      <c r="K442" s="3" t="n">
        <v>1.69022833333333</v>
      </c>
      <c r="L442" s="3" t="n">
        <v>1.6643975</v>
      </c>
      <c r="M442" s="3" t="n">
        <v>1.58893333333333</v>
      </c>
      <c r="N442" s="3" t="n">
        <v>1.50710166666666</v>
      </c>
      <c r="O442" s="3" t="n">
        <v>1.41716666666666</v>
      </c>
      <c r="P442" s="3" t="n">
        <v>1.45456927332329</v>
      </c>
      <c r="Q442" s="3" t="n">
        <v>1.36350947368421</v>
      </c>
      <c r="R442" s="3" t="n">
        <v>1.25791302014692</v>
      </c>
      <c r="S442" s="3" t="n">
        <v>1.24956701649958</v>
      </c>
      <c r="T442" s="3" t="n">
        <v>1.25116566976059</v>
      </c>
      <c r="U442" s="3" t="n">
        <v>1.26704012308139</v>
      </c>
      <c r="V442" s="3" t="n">
        <v>1.37491084459887</v>
      </c>
      <c r="W442" s="3" t="n">
        <v>1.38134687688286</v>
      </c>
      <c r="X442" s="3" t="n">
        <v>1.3808911640528</v>
      </c>
      <c r="Y442" s="3" t="n">
        <v>1.34891856542537</v>
      </c>
      <c r="Z442" s="3" t="n">
        <v>1.36421851405474</v>
      </c>
      <c r="AA442" s="3" t="n">
        <v>1.37970342971399</v>
      </c>
      <c r="AB442" s="3" t="n">
        <v>1.34380696297338</v>
      </c>
      <c r="AC442" s="3" t="n">
        <v>1.37895639652215</v>
      </c>
      <c r="AD442" s="3" t="n">
        <v>1.34307960114933</v>
      </c>
      <c r="AE442" s="3" t="n">
        <v>1.33603327650724</v>
      </c>
      <c r="AF442" s="3" t="n">
        <v>1.307595108858</v>
      </c>
      <c r="AG442" s="3" t="n"/>
      <c r="AH442" s="3" t="n"/>
      <c r="AI442" s="3" t="n"/>
      <c r="AJ442" s="3" t="n"/>
      <c r="AK442" s="3" t="n"/>
      <c r="AL442" s="3" t="n"/>
      <c r="AM442" s="3" t="n"/>
      <c r="AN442" s="3" t="n"/>
      <c r="AO442" s="3" t="n"/>
      <c r="AP442" s="3" t="n"/>
      <c r="AQ442" s="3" t="n"/>
      <c r="AR442" s="3" t="n"/>
      <c r="AS442" s="3" t="n"/>
      <c r="AT442" s="3" t="n"/>
      <c r="AU442" s="3" t="n"/>
    </row>
    <row r="443">
      <c r="A443" s="3" t="n">
        <v>2031</v>
      </c>
      <c r="B443" s="3" t="inlineStr">
        <is>
          <t>BTN</t>
        </is>
      </c>
      <c r="C443" s="3" t="inlineStr">
        <is>
          <t>IMF.RES:WEO</t>
        </is>
      </c>
      <c r="D443" s="3" t="inlineStr">
        <is>
          <t>BTN.BCA.A</t>
        </is>
      </c>
      <c r="E443" s="3" t="inlineStr">
        <is>
          <t>Bhutan</t>
        </is>
      </c>
      <c r="F443" s="3" t="inlineStr">
        <is>
          <t>Current account balance (credit less debit), US dollar</t>
        </is>
      </c>
      <c r="G443" s="3" t="n">
        <v>-0.039687</v>
      </c>
      <c r="H443" s="3" t="n">
        <v>-0.039221</v>
      </c>
      <c r="I443" s="3" t="n">
        <v>-0.080766</v>
      </c>
      <c r="J443" s="3" t="n">
        <v>-0.137646</v>
      </c>
      <c r="K443" s="3" t="n">
        <v>-0.121539</v>
      </c>
      <c r="L443" s="3" t="n">
        <v>-0.235099</v>
      </c>
      <c r="M443" s="3" t="n">
        <v>-0.037902</v>
      </c>
      <c r="N443" s="3" t="n">
        <v>0.08390499999999999</v>
      </c>
      <c r="O443" s="3" t="n">
        <v>-0.1116</v>
      </c>
      <c r="P443" s="3" t="n">
        <v>-0.075904</v>
      </c>
      <c r="Q443" s="3" t="n">
        <v>-0.318712</v>
      </c>
      <c r="R443" s="3" t="n">
        <v>-0.6591900000000001</v>
      </c>
      <c r="S443" s="3" t="n">
        <v>-0.388275</v>
      </c>
      <c r="T443" s="3" t="n">
        <v>-0.4685</v>
      </c>
      <c r="U443" s="3" t="n">
        <v>-0.490596</v>
      </c>
      <c r="V443" s="3" t="n">
        <v>-0.550726</v>
      </c>
      <c r="W443" s="3" t="n">
        <v>-0.653074</v>
      </c>
      <c r="X443" s="3" t="n">
        <v>-0.540776</v>
      </c>
      <c r="Y443" s="3" t="n">
        <v>-0.461771</v>
      </c>
      <c r="Z443" s="3" t="n">
        <v>-0.5023300000000001</v>
      </c>
      <c r="AA443" s="3" t="n">
        <v>-0.382476</v>
      </c>
      <c r="AB443" s="3" t="n">
        <v>-0.292353</v>
      </c>
      <c r="AC443" s="3" t="n">
        <v>-0.8466669999999999</v>
      </c>
      <c r="AD443" s="3" t="n">
        <v>-1.022445</v>
      </c>
      <c r="AE443" s="3" t="n">
        <v>-0.6424260000000001</v>
      </c>
      <c r="AF443" s="3" t="n">
        <v>-0.655062</v>
      </c>
      <c r="AG443" s="3" t="n">
        <v>-0.745142</v>
      </c>
      <c r="AH443" s="3" t="n">
        <v>-0.932084</v>
      </c>
      <c r="AI443" s="3" t="n">
        <v>-1.009308</v>
      </c>
      <c r="AJ443" s="3" t="n">
        <v>-1.06374</v>
      </c>
      <c r="AK443" s="3" t="n">
        <v>-1.125623</v>
      </c>
      <c r="AL443" s="3" t="n">
        <v>-1.141296</v>
      </c>
      <c r="AM443" s="3" t="n"/>
      <c r="AN443" s="3" t="n"/>
      <c r="AO443" s="3" t="n"/>
      <c r="AP443" s="3" t="n"/>
      <c r="AQ443" s="3" t="n"/>
      <c r="AR443" s="3" t="n"/>
      <c r="AS443" s="3" t="n"/>
      <c r="AT443" s="3" t="n"/>
      <c r="AU443" s="3" t="n"/>
    </row>
    <row r="444">
      <c r="A444" s="3" t="n">
        <v>2031</v>
      </c>
      <c r="B444" s="3" t="inlineStr">
        <is>
          <t>BTN</t>
        </is>
      </c>
      <c r="C444" s="3" t="inlineStr">
        <is>
          <t>IMF.RES:WEO</t>
        </is>
      </c>
      <c r="D444" s="3" t="inlineStr">
        <is>
          <t>BTN.BCA_NGDPD.A</t>
        </is>
      </c>
      <c r="E444" s="3" t="inlineStr">
        <is>
          <t>Bhutan</t>
        </is>
      </c>
      <c r="F444" s="3" t="inlineStr">
        <is>
          <t>Current account balance (credit less debit), Percent of GDP</t>
        </is>
      </c>
      <c r="G444" s="3" t="n">
        <v>-8.735192</v>
      </c>
      <c r="H444" s="3" t="n">
        <v>-8.276147</v>
      </c>
      <c r="I444" s="3" t="n">
        <v>-15.630184</v>
      </c>
      <c r="J444" s="3" t="n">
        <v>-22.34408</v>
      </c>
      <c r="K444" s="3" t="n">
        <v>-17.367438</v>
      </c>
      <c r="L444" s="3" t="n">
        <v>-28.755514</v>
      </c>
      <c r="M444" s="3" t="n">
        <v>-4.328193</v>
      </c>
      <c r="N444" s="3" t="n">
        <v>7.834911</v>
      </c>
      <c r="O444" s="3" t="n">
        <v>-8.212123999999999</v>
      </c>
      <c r="P444" s="3" t="n">
        <v>-5.964238</v>
      </c>
      <c r="Q444" s="3" t="n">
        <v>-20.848873</v>
      </c>
      <c r="R444" s="3" t="n">
        <v>-35.056933</v>
      </c>
      <c r="S444" s="3" t="n">
        <v>-19.749434</v>
      </c>
      <c r="T444" s="3" t="n">
        <v>-23.482583</v>
      </c>
      <c r="U444" s="3" t="n">
        <v>-24.998615</v>
      </c>
      <c r="V444" s="3" t="n">
        <v>-25.513129</v>
      </c>
      <c r="W444" s="3" t="n">
        <v>-29.005511</v>
      </c>
      <c r="X444" s="3" t="n">
        <v>-21.961993</v>
      </c>
      <c r="Y444" s="3" t="n">
        <v>-17.420478</v>
      </c>
      <c r="Z444" s="3" t="n">
        <v>-19.186676</v>
      </c>
      <c r="AA444" s="3" t="n">
        <v>-14.789633</v>
      </c>
      <c r="AB444" s="3" t="n">
        <v>-11.153982</v>
      </c>
      <c r="AC444" s="3" t="n">
        <v>-29.543057</v>
      </c>
      <c r="AD444" s="3" t="n">
        <v>-35.012448</v>
      </c>
      <c r="AE444" s="3" t="n">
        <v>-20.411478</v>
      </c>
      <c r="AF444" s="3" t="n">
        <v>-18.855244</v>
      </c>
      <c r="AG444" s="3" t="n">
        <v>-19.323276</v>
      </c>
      <c r="AH444" s="3" t="n">
        <v>-21.944903</v>
      </c>
      <c r="AI444" s="3" t="n">
        <v>-21.686468</v>
      </c>
      <c r="AJ444" s="3" t="n">
        <v>-20.611579</v>
      </c>
      <c r="AK444" s="3" t="n">
        <v>-19.802709</v>
      </c>
      <c r="AL444" s="3" t="n">
        <v>-18.382411</v>
      </c>
      <c r="AM444" s="3" t="n"/>
      <c r="AN444" s="3" t="n"/>
      <c r="AO444" s="3" t="n"/>
      <c r="AP444" s="3" t="n"/>
      <c r="AQ444" s="3" t="n"/>
      <c r="AR444" s="3" t="n"/>
      <c r="AS444" s="3" t="n"/>
      <c r="AT444" s="3" t="n"/>
      <c r="AU444" s="3" t="n"/>
    </row>
    <row r="445">
      <c r="A445" s="3" t="n">
        <v>2031</v>
      </c>
      <c r="B445" s="3" t="inlineStr">
        <is>
          <t>BTN</t>
        </is>
      </c>
      <c r="C445" s="3" t="inlineStr">
        <is>
          <t>IMF.RES:WEO</t>
        </is>
      </c>
      <c r="D445" s="3" t="inlineStr">
        <is>
          <t>BTN.GGR_NGDP.A</t>
        </is>
      </c>
      <c r="E445" s="3" t="inlineStr">
        <is>
          <t>Bhutan</t>
        </is>
      </c>
      <c r="F445" s="3" t="inlineStr">
        <is>
          <t>Revenue, General government, Percent of GDP</t>
        </is>
      </c>
      <c r="G445" s="3" t="n">
        <v>39.639246</v>
      </c>
      <c r="H445" s="3" t="n">
        <v>38.130793</v>
      </c>
      <c r="I445" s="3" t="n">
        <v>34.973176</v>
      </c>
      <c r="J445" s="3" t="n">
        <v>24.5116</v>
      </c>
      <c r="K445" s="3" t="n">
        <v>32.797959</v>
      </c>
      <c r="L445" s="3" t="n">
        <v>29.469787</v>
      </c>
      <c r="M445" s="3" t="n">
        <v>33.354259</v>
      </c>
      <c r="N445" s="3" t="n">
        <v>33.986782</v>
      </c>
      <c r="O445" s="3" t="n">
        <v>33.535006</v>
      </c>
      <c r="P445" s="3" t="n">
        <v>38.505975</v>
      </c>
      <c r="Q445" s="3" t="n">
        <v>43.470058</v>
      </c>
      <c r="R445" s="3" t="n">
        <v>33.057398</v>
      </c>
      <c r="S445" s="3" t="n">
        <v>33.017159</v>
      </c>
      <c r="T445" s="3" t="n">
        <v>27.951934</v>
      </c>
      <c r="U445" s="3" t="n">
        <v>31.334202</v>
      </c>
      <c r="V445" s="3" t="n">
        <v>27.053427</v>
      </c>
      <c r="W445" s="3" t="n">
        <v>28.141964</v>
      </c>
      <c r="X445" s="3" t="n">
        <v>26.086483</v>
      </c>
      <c r="Y445" s="3" t="n">
        <v>30.173253</v>
      </c>
      <c r="Z445" s="3" t="n">
        <v>22.76249</v>
      </c>
      <c r="AA445" s="3" t="n">
        <v>29.141087</v>
      </c>
      <c r="AB445" s="3" t="n">
        <v>30.868904</v>
      </c>
      <c r="AC445" s="3" t="n">
        <v>25.136355</v>
      </c>
      <c r="AD445" s="3" t="n">
        <v>24.143619</v>
      </c>
      <c r="AE445" s="3" t="n">
        <v>26.545201</v>
      </c>
      <c r="AF445" s="3" t="n">
        <v>27.76909</v>
      </c>
      <c r="AG445" s="3" t="n">
        <v>32.103352</v>
      </c>
      <c r="AH445" s="3" t="n">
        <v>31.042381</v>
      </c>
      <c r="AI445" s="3" t="n">
        <v>30.301044</v>
      </c>
      <c r="AJ445" s="3" t="n">
        <v>25.662851</v>
      </c>
      <c r="AK445" s="3" t="n">
        <v>26.603366</v>
      </c>
      <c r="AL445" s="3" t="n">
        <v>26.241729</v>
      </c>
      <c r="AM445" s="3" t="n"/>
      <c r="AN445" s="3" t="n"/>
      <c r="AO445" s="3" t="n"/>
      <c r="AP445" s="3" t="n"/>
      <c r="AQ445" s="3" t="n"/>
      <c r="AR445" s="3" t="n"/>
      <c r="AS445" s="3" t="n"/>
      <c r="AT445" s="3" t="n"/>
      <c r="AU445" s="3" t="n"/>
    </row>
    <row r="446">
      <c r="A446" s="3" t="n">
        <v>2031</v>
      </c>
      <c r="B446" s="3" t="inlineStr">
        <is>
          <t>BTN</t>
        </is>
      </c>
      <c r="C446" s="3" t="inlineStr">
        <is>
          <t>IMF.RES:WEO</t>
        </is>
      </c>
      <c r="D446" s="3" t="inlineStr">
        <is>
          <t>BTN.GGX_NGDP.A</t>
        </is>
      </c>
      <c r="E446" s="3" t="inlineStr">
        <is>
          <t>Bhutan</t>
        </is>
      </c>
      <c r="F446" s="3" t="inlineStr">
        <is>
          <t>Expenditure, General government, Percent of GDP</t>
        </is>
      </c>
      <c r="G446" s="3" t="n">
        <v>43.030033</v>
      </c>
      <c r="H446" s="3" t="n">
        <v>50.300107</v>
      </c>
      <c r="I446" s="3" t="n">
        <v>39.305031</v>
      </c>
      <c r="J446" s="3" t="n">
        <v>34.724269</v>
      </c>
      <c r="K446" s="3" t="n">
        <v>30.997609</v>
      </c>
      <c r="L446" s="3" t="n">
        <v>36.431383</v>
      </c>
      <c r="M446" s="3" t="n">
        <v>33.427758</v>
      </c>
      <c r="N446" s="3" t="n">
        <v>33.194019</v>
      </c>
      <c r="O446" s="3" t="n">
        <v>36.100687</v>
      </c>
      <c r="P446" s="3" t="n">
        <v>39.307278</v>
      </c>
      <c r="Q446" s="3" t="n">
        <v>41.547308</v>
      </c>
      <c r="R446" s="3" t="n">
        <v>36.081662</v>
      </c>
      <c r="S446" s="3" t="n">
        <v>35.119315</v>
      </c>
      <c r="T446" s="3" t="n">
        <v>32.497367</v>
      </c>
      <c r="U446" s="3" t="n">
        <v>28.878197</v>
      </c>
      <c r="V446" s="3" t="n">
        <v>27.543221</v>
      </c>
      <c r="W446" s="3" t="n">
        <v>30.450818</v>
      </c>
      <c r="X446" s="3" t="n">
        <v>30.578375</v>
      </c>
      <c r="Y446" s="3" t="n">
        <v>31.692204</v>
      </c>
      <c r="Z446" s="3" t="n">
        <v>24.248154</v>
      </c>
      <c r="AA446" s="3" t="n">
        <v>30.947798</v>
      </c>
      <c r="AB446" s="3" t="n">
        <v>36.629302</v>
      </c>
      <c r="AC446" s="3" t="n">
        <v>32.08787</v>
      </c>
      <c r="AD446" s="3" t="n">
        <v>28.874952</v>
      </c>
      <c r="AE446" s="3" t="n">
        <v>28.334467</v>
      </c>
      <c r="AF446" s="3" t="n">
        <v>30.471178</v>
      </c>
      <c r="AG446" s="3" t="n">
        <v>34.985661</v>
      </c>
      <c r="AH446" s="3" t="n">
        <v>35.326416</v>
      </c>
      <c r="AI446" s="3" t="n">
        <v>34.46308</v>
      </c>
      <c r="AJ446" s="3" t="n">
        <v>31.298707</v>
      </c>
      <c r="AK446" s="3" t="n">
        <v>31.203085</v>
      </c>
      <c r="AL446" s="3" t="n">
        <v>31.273706</v>
      </c>
      <c r="AM446" s="3" t="n"/>
      <c r="AN446" s="3" t="n"/>
      <c r="AO446" s="3" t="n"/>
      <c r="AP446" s="3" t="n"/>
      <c r="AQ446" s="3" t="n"/>
      <c r="AR446" s="3" t="n"/>
      <c r="AS446" s="3" t="n"/>
      <c r="AT446" s="3" t="n"/>
      <c r="AU446" s="3" t="n"/>
    </row>
    <row r="447">
      <c r="A447" s="3" t="n">
        <v>2031</v>
      </c>
      <c r="B447" s="3" t="inlineStr">
        <is>
          <t>BTN</t>
        </is>
      </c>
      <c r="C447" s="3" t="inlineStr">
        <is>
          <t>IMF.RES:WEO</t>
        </is>
      </c>
      <c r="D447" s="3" t="inlineStr">
        <is>
          <t>BTN.LP.A</t>
        </is>
      </c>
      <c r="E447" s="3" t="inlineStr">
        <is>
          <t>Bhutan</t>
        </is>
      </c>
      <c r="F447" s="3" t="inlineStr">
        <is>
          <t>Population, Persons for countries / Index for country groups</t>
        </is>
      </c>
      <c r="G447" s="3" t="n">
        <v>0.582487</v>
      </c>
      <c r="H447" s="3" t="n">
        <v>0.600044</v>
      </c>
      <c r="I447" s="3" t="n">
        <v>0.617602</v>
      </c>
      <c r="J447" s="3" t="n">
        <v>0.631036</v>
      </c>
      <c r="K447" s="3" t="n">
        <v>0.644104</v>
      </c>
      <c r="L447" s="3" t="n">
        <v>0.656205</v>
      </c>
      <c r="M447" s="3" t="n">
        <v>0.666332</v>
      </c>
      <c r="N447" s="3" t="n">
        <v>0.67472</v>
      </c>
      <c r="O447" s="3" t="n">
        <v>0.682496</v>
      </c>
      <c r="P447" s="3" t="n">
        <v>0.69017</v>
      </c>
      <c r="Q447" s="3" t="n">
        <v>0.69781</v>
      </c>
      <c r="R447" s="3" t="n">
        <v>0.705505</v>
      </c>
      <c r="S447" s="3" t="n">
        <v>0.713328</v>
      </c>
      <c r="T447" s="3" t="n">
        <v>0.721276</v>
      </c>
      <c r="U447" s="3" t="n">
        <v>0.729206</v>
      </c>
      <c r="V447" s="3" t="n">
        <v>0.736879</v>
      </c>
      <c r="W447" s="3" t="n">
        <v>0.744242</v>
      </c>
      <c r="X447" s="3" t="n">
        <v>0.751101</v>
      </c>
      <c r="Y447" s="3" t="n">
        <v>0.757047</v>
      </c>
      <c r="Z447" s="3" t="n">
        <v>0.762292</v>
      </c>
      <c r="AA447" s="3" t="n">
        <v>0.767415</v>
      </c>
      <c r="AB447" s="3" t="n">
        <v>0.772724</v>
      </c>
      <c r="AC447" s="3" t="n">
        <v>0.778178</v>
      </c>
      <c r="AD447" s="3" t="n">
        <v>0.78365</v>
      </c>
      <c r="AE447" s="3" t="n">
        <v>0.788955</v>
      </c>
      <c r="AF447" s="3" t="n">
        <v>0.790633</v>
      </c>
      <c r="AG447" s="3" t="n">
        <v>0.792312</v>
      </c>
      <c r="AH447" s="3" t="n">
        <v>0.793991</v>
      </c>
      <c r="AI447" s="3" t="n">
        <v>0.800445</v>
      </c>
      <c r="AJ447" s="3" t="n">
        <v>0.806706</v>
      </c>
      <c r="AK447" s="3" t="n">
        <v>0.81277</v>
      </c>
      <c r="AL447" s="3" t="n">
        <v>0.81862</v>
      </c>
      <c r="AM447" s="3" t="n"/>
      <c r="AN447" s="3" t="n"/>
      <c r="AO447" s="3" t="n"/>
      <c r="AP447" s="3" t="n"/>
      <c r="AQ447" s="3" t="n"/>
      <c r="AR447" s="3" t="n"/>
      <c r="AS447" s="3" t="n"/>
      <c r="AT447" s="3" t="n"/>
      <c r="AU447" s="3" t="n"/>
    </row>
    <row r="448">
      <c r="A448" s="3" t="n">
        <v>2031</v>
      </c>
      <c r="B448" s="3" t="inlineStr">
        <is>
          <t>BTN</t>
        </is>
      </c>
      <c r="C448" s="3" t="inlineStr">
        <is>
          <t>IMF.RES:WEO</t>
        </is>
      </c>
      <c r="D448" s="3" t="inlineStr">
        <is>
          <t>BTN.NGDP.A</t>
        </is>
      </c>
      <c r="E448" s="3" t="inlineStr">
        <is>
          <t>Bhutan</t>
        </is>
      </c>
      <c r="F448" s="3" t="inlineStr">
        <is>
          <t>Gross domestic product (GDP), Current prices, Domestic currency</t>
        </is>
      </c>
      <c r="G448" s="3" t="n">
        <v>19.826973</v>
      </c>
      <c r="H448" s="3" t="n">
        <v>21.982648</v>
      </c>
      <c r="I448" s="3" t="n">
        <v>25.299807</v>
      </c>
      <c r="J448" s="3" t="n">
        <v>28.779623</v>
      </c>
      <c r="K448" s="3" t="n">
        <v>31.846344</v>
      </c>
      <c r="L448" s="3" t="n">
        <v>35.633309</v>
      </c>
      <c r="M448" s="3" t="n">
        <v>40.331144</v>
      </c>
      <c r="N448" s="3" t="n">
        <v>47.321615</v>
      </c>
      <c r="O448" s="3" t="n">
        <v>54.621509</v>
      </c>
      <c r="P448" s="3" t="n">
        <v>60.881453</v>
      </c>
      <c r="Q448" s="3" t="n">
        <v>71.292006</v>
      </c>
      <c r="R448" s="3" t="n">
        <v>85.22074000000001</v>
      </c>
      <c r="S448" s="3" t="n">
        <v>98.876937</v>
      </c>
      <c r="T448" s="3" t="n">
        <v>109.674403</v>
      </c>
      <c r="U448" s="3" t="n">
        <v>120.695982</v>
      </c>
      <c r="V448" s="3" t="n">
        <v>133.924074</v>
      </c>
      <c r="W448" s="3" t="n">
        <v>149.382954</v>
      </c>
      <c r="X448" s="3" t="n">
        <v>163.583285</v>
      </c>
      <c r="Y448" s="3" t="n">
        <v>172.713126</v>
      </c>
      <c r="Z448" s="3" t="n">
        <v>184.660361</v>
      </c>
      <c r="AA448" s="3" t="n">
        <v>187.377593</v>
      </c>
      <c r="AB448" s="3" t="n">
        <v>193.385915</v>
      </c>
      <c r="AC448" s="3" t="n">
        <v>216.239065</v>
      </c>
      <c r="AD448" s="3" t="n">
        <v>238.338405</v>
      </c>
      <c r="AE448" s="3" t="n">
        <v>264.435518</v>
      </c>
      <c r="AF448" s="3" t="n">
        <v>293.370148</v>
      </c>
      <c r="AG448" s="3" t="n">
        <v>327.171098</v>
      </c>
      <c r="AH448" s="3" t="n">
        <v>361.805147</v>
      </c>
      <c r="AI448" s="3" t="n">
        <v>398.278581</v>
      </c>
      <c r="AJ448" s="3" t="n">
        <v>443.885913</v>
      </c>
      <c r="AK448" s="3" t="n">
        <v>491.372139</v>
      </c>
      <c r="AL448" s="3" t="n">
        <v>539.427083</v>
      </c>
      <c r="AM448" s="3" t="n"/>
      <c r="AN448" s="3" t="n"/>
      <c r="AO448" s="3" t="n"/>
      <c r="AP448" s="3" t="n"/>
      <c r="AQ448" s="3" t="n"/>
      <c r="AR448" s="3" t="n"/>
      <c r="AS448" s="3" t="n"/>
      <c r="AT448" s="3" t="n"/>
      <c r="AU448" s="3" t="n"/>
    </row>
    <row r="449">
      <c r="A449" s="3" t="n">
        <v>2031</v>
      </c>
      <c r="B449" s="3" t="inlineStr">
        <is>
          <t>BTN</t>
        </is>
      </c>
      <c r="C449" s="3" t="inlineStr">
        <is>
          <t>IMF.RES:WEO</t>
        </is>
      </c>
      <c r="D449" s="3" t="inlineStr">
        <is>
          <t>BTN.NGDP_D.A</t>
        </is>
      </c>
      <c r="E449" s="3" t="inlineStr">
        <is>
          <t>Bhutan</t>
        </is>
      </c>
      <c r="F449" s="3" t="inlineStr">
        <is>
          <t>Gross domestic product (GDP), Price deflator, Index</t>
        </is>
      </c>
      <c r="G449" s="3" t="n">
        <v>39.601404</v>
      </c>
      <c r="H449" s="3" t="n">
        <v>41.019359</v>
      </c>
      <c r="I449" s="3" t="n">
        <v>43.107254</v>
      </c>
      <c r="J449" s="3" t="n">
        <v>44.967176</v>
      </c>
      <c r="K449" s="3" t="n">
        <v>46.755862</v>
      </c>
      <c r="L449" s="3" t="n">
        <v>49.322623</v>
      </c>
      <c r="M449" s="3" t="n">
        <v>52.533362</v>
      </c>
      <c r="N449" s="3" t="n">
        <v>55.522297</v>
      </c>
      <c r="O449" s="3" t="n">
        <v>58.321674</v>
      </c>
      <c r="P449" s="3" t="n">
        <v>61.249136</v>
      </c>
      <c r="Q449" s="3" t="n">
        <v>65.011978</v>
      </c>
      <c r="R449" s="3" t="n">
        <v>70.32328</v>
      </c>
      <c r="S449" s="3" t="n">
        <v>76.42630699999999</v>
      </c>
      <c r="T449" s="3" t="n">
        <v>81.978774</v>
      </c>
      <c r="U449" s="3" t="n">
        <v>86.89214800000001</v>
      </c>
      <c r="V449" s="3" t="n">
        <v>90.716509</v>
      </c>
      <c r="W449" s="3" t="n">
        <v>94.042905</v>
      </c>
      <c r="X449" s="3" t="n">
        <v>97.937359</v>
      </c>
      <c r="Y449" s="3" t="n">
        <v>100.585333</v>
      </c>
      <c r="Z449" s="3" t="n">
        <v>102.766718</v>
      </c>
      <c r="AA449" s="3" t="n">
        <v>106.903407</v>
      </c>
      <c r="AB449" s="3" t="n">
        <v>114.087798</v>
      </c>
      <c r="AC449" s="3" t="n">
        <v>121.696677</v>
      </c>
      <c r="AD449" s="3" t="n">
        <v>127.849322</v>
      </c>
      <c r="AE449" s="3" t="n">
        <v>133.695811</v>
      </c>
      <c r="AF449" s="3" t="n">
        <v>138.462229</v>
      </c>
      <c r="AG449" s="3" t="n">
        <v>143.670946</v>
      </c>
      <c r="AH449" s="3" t="n">
        <v>149.426283</v>
      </c>
      <c r="AI449" s="3" t="n">
        <v>155.407754</v>
      </c>
      <c r="AJ449" s="3" t="n">
        <v>161.626363</v>
      </c>
      <c r="AK449" s="3" t="n">
        <v>168.092613</v>
      </c>
      <c r="AL449" s="3" t="n">
        <v>174.816939</v>
      </c>
      <c r="AM449" s="3" t="n"/>
      <c r="AN449" s="3" t="n"/>
      <c r="AO449" s="3" t="n"/>
      <c r="AP449" s="3" t="n"/>
      <c r="AQ449" s="3" t="n"/>
      <c r="AR449" s="3" t="n"/>
      <c r="AS449" s="3" t="n"/>
      <c r="AT449" s="3" t="n"/>
      <c r="AU449" s="3" t="n"/>
    </row>
    <row r="450">
      <c r="A450" s="3" t="n">
        <v>2031</v>
      </c>
      <c r="B450" s="3" t="inlineStr">
        <is>
          <t>BTN</t>
        </is>
      </c>
      <c r="C450" s="3" t="inlineStr">
        <is>
          <t>IMF.RES:WEO</t>
        </is>
      </c>
      <c r="D450" s="3" t="inlineStr">
        <is>
          <t>BTN.NGDP_R.A</t>
        </is>
      </c>
      <c r="E450" s="3" t="inlineStr">
        <is>
          <t>Bhutan</t>
        </is>
      </c>
      <c r="F450" s="3" t="inlineStr">
        <is>
          <t>Gross domestic product (GDP), Constant prices, Domestic currency</t>
        </is>
      </c>
      <c r="G450" s="3" t="n">
        <v>50.066339</v>
      </c>
      <c r="H450" s="3" t="n">
        <v>53.590909</v>
      </c>
      <c r="I450" s="3" t="n">
        <v>58.690371</v>
      </c>
      <c r="J450" s="3" t="n">
        <v>64.0014</v>
      </c>
      <c r="K450" s="3" t="n">
        <v>68.111982</v>
      </c>
      <c r="L450" s="3" t="n">
        <v>72.24536500000001</v>
      </c>
      <c r="M450" s="3" t="n">
        <v>76.77244</v>
      </c>
      <c r="N450" s="3" t="n">
        <v>85.22993</v>
      </c>
      <c r="O450" s="3" t="n">
        <v>93.655592</v>
      </c>
      <c r="P450" s="3" t="n">
        <v>99.399693</v>
      </c>
      <c r="Q450" s="3" t="n">
        <v>109.6598</v>
      </c>
      <c r="R450" s="3" t="n">
        <v>121.18425</v>
      </c>
      <c r="S450" s="3" t="n">
        <v>129.375527</v>
      </c>
      <c r="T450" s="3" t="n">
        <v>133.783902</v>
      </c>
      <c r="U450" s="3" t="n">
        <v>138.903209</v>
      </c>
      <c r="V450" s="3" t="n">
        <v>147.62922</v>
      </c>
      <c r="W450" s="3" t="n">
        <v>158.845533</v>
      </c>
      <c r="X450" s="3" t="n">
        <v>167.028484</v>
      </c>
      <c r="Y450" s="3" t="n">
        <v>171.708062</v>
      </c>
      <c r="Z450" s="3" t="n">
        <v>179.688876</v>
      </c>
      <c r="AA450" s="3" t="n">
        <v>175.277476</v>
      </c>
      <c r="AB450" s="3" t="n">
        <v>169.506221</v>
      </c>
      <c r="AC450" s="3" t="n">
        <v>177.68691</v>
      </c>
      <c r="AD450" s="3" t="n">
        <v>186.421328</v>
      </c>
      <c r="AE450" s="3" t="n">
        <v>197.788932</v>
      </c>
      <c r="AF450" s="3" t="n">
        <v>211.877383</v>
      </c>
      <c r="AG450" s="3" t="n">
        <v>227.72252</v>
      </c>
      <c r="AH450" s="3" t="n">
        <v>242.129523</v>
      </c>
      <c r="AI450" s="3" t="n">
        <v>256.279735</v>
      </c>
      <c r="AJ450" s="3" t="n">
        <v>274.637073</v>
      </c>
      <c r="AK450" s="3" t="n">
        <v>292.322269</v>
      </c>
      <c r="AL450" s="3" t="n">
        <v>308.566828</v>
      </c>
      <c r="AM450" s="3" t="n"/>
      <c r="AN450" s="3" t="n"/>
      <c r="AO450" s="3" t="n"/>
      <c r="AP450" s="3" t="n"/>
      <c r="AQ450" s="3" t="n"/>
      <c r="AR450" s="3" t="n"/>
      <c r="AS450" s="3" t="n"/>
      <c r="AT450" s="3" t="n"/>
      <c r="AU450" s="3" t="n"/>
    </row>
    <row r="451">
      <c r="A451" s="3" t="n">
        <v>2031</v>
      </c>
      <c r="B451" s="3" t="inlineStr">
        <is>
          <t>BTN</t>
        </is>
      </c>
      <c r="C451" s="3" t="inlineStr">
        <is>
          <t>IMF.RES:WEO</t>
        </is>
      </c>
      <c r="D451" s="3" t="inlineStr">
        <is>
          <t>BTN.NGDP_RPCH.A</t>
        </is>
      </c>
      <c r="E451" s="3" t="inlineStr">
        <is>
          <t>Bhutan</t>
        </is>
      </c>
      <c r="F451" s="3" t="inlineStr">
        <is>
          <t>Gross domestic product (GDP), Constant prices, Percent change</t>
        </is>
      </c>
      <c r="G451" s="3" t="n">
        <v>6.934089</v>
      </c>
      <c r="H451" s="3" t="n">
        <v>7.039801</v>
      </c>
      <c r="I451" s="3" t="n">
        <v>9.515535</v>
      </c>
      <c r="J451" s="3" t="n">
        <v>9.049234999999999</v>
      </c>
      <c r="K451" s="3" t="n">
        <v>6.422644</v>
      </c>
      <c r="L451" s="3" t="n">
        <v>6.06851</v>
      </c>
      <c r="M451" s="3" t="n">
        <v>6.266251</v>
      </c>
      <c r="N451" s="3" t="n">
        <v>11.01631</v>
      </c>
      <c r="O451" s="3" t="n">
        <v>9.885802</v>
      </c>
      <c r="P451" s="3" t="n">
        <v>6.133218</v>
      </c>
      <c r="Q451" s="3" t="n">
        <v>10.322071</v>
      </c>
      <c r="R451" s="3" t="n">
        <v>10.509275</v>
      </c>
      <c r="S451" s="3" t="n">
        <v>6.759357</v>
      </c>
      <c r="T451" s="3" t="n">
        <v>3.407426</v>
      </c>
      <c r="U451" s="3" t="n">
        <v>3.82655</v>
      </c>
      <c r="V451" s="3" t="n">
        <v>6.28208</v>
      </c>
      <c r="W451" s="3" t="n">
        <v>7.597624</v>
      </c>
      <c r="X451" s="3" t="n">
        <v>5.151514</v>
      </c>
      <c r="Y451" s="3" t="n">
        <v>2.801665</v>
      </c>
      <c r="Z451" s="3" t="n">
        <v>4.647897</v>
      </c>
      <c r="AA451" s="3" t="n">
        <v>-2.455021</v>
      </c>
      <c r="AB451" s="3" t="n">
        <v>-3.292639</v>
      </c>
      <c r="AC451" s="3" t="n">
        <v>4.826188</v>
      </c>
      <c r="AD451" s="3" t="n">
        <v>4.915623</v>
      </c>
      <c r="AE451" s="3" t="n">
        <v>6.097802</v>
      </c>
      <c r="AF451" s="3" t="n">
        <v>7.122972</v>
      </c>
      <c r="AG451" s="3" t="n">
        <v>7.478447</v>
      </c>
      <c r="AH451" s="3" t="n">
        <v>6.32656</v>
      </c>
      <c r="AI451" s="3" t="n">
        <v>5.844067</v>
      </c>
      <c r="AJ451" s="3" t="n">
        <v>7.163008</v>
      </c>
      <c r="AK451" s="3" t="n">
        <v>6.439479</v>
      </c>
      <c r="AL451" s="3" t="n">
        <v>5.557072</v>
      </c>
      <c r="AM451" s="3" t="n"/>
      <c r="AN451" s="3" t="n"/>
      <c r="AO451" s="3" t="n"/>
      <c r="AP451" s="3" t="n"/>
      <c r="AQ451" s="3" t="n"/>
      <c r="AR451" s="3" t="n"/>
      <c r="AS451" s="3" t="n"/>
      <c r="AT451" s="3" t="n"/>
      <c r="AU451" s="3" t="n"/>
    </row>
    <row r="452">
      <c r="A452" s="3" t="n">
        <v>2031</v>
      </c>
      <c r="B452" s="3" t="inlineStr">
        <is>
          <t>BTN</t>
        </is>
      </c>
      <c r="C452" s="3" t="inlineStr">
        <is>
          <t>IMF.RES:WEO</t>
        </is>
      </c>
      <c r="D452" s="3" t="inlineStr">
        <is>
          <t>BTN.NGDPD.A</t>
        </is>
      </c>
      <c r="E452" s="3" t="inlineStr">
        <is>
          <t>Bhutan</t>
        </is>
      </c>
      <c r="F452" s="3" t="inlineStr">
        <is>
          <t>Gross domestic product (GDP), Current prices, US dollar</t>
        </is>
      </c>
      <c r="G452" s="3" t="n">
        <v>0.454334</v>
      </c>
      <c r="H452" s="3" t="n">
        <v>0.473906</v>
      </c>
      <c r="I452" s="3" t="n">
        <v>0.516734</v>
      </c>
      <c r="J452" s="3" t="n">
        <v>0.616029</v>
      </c>
      <c r="K452" s="3" t="n">
        <v>0.699812</v>
      </c>
      <c r="L452" s="3" t="n">
        <v>0.817578</v>
      </c>
      <c r="M452" s="3" t="n">
        <v>0.875698</v>
      </c>
      <c r="N452" s="3" t="n">
        <v>1.070906</v>
      </c>
      <c r="O452" s="3" t="n">
        <v>1.358965</v>
      </c>
      <c r="P452" s="3" t="n">
        <v>1.272646</v>
      </c>
      <c r="Q452" s="3" t="n">
        <v>1.528675</v>
      </c>
      <c r="R452" s="3" t="n">
        <v>1.88034</v>
      </c>
      <c r="S452" s="3" t="n">
        <v>1.966007</v>
      </c>
      <c r="T452" s="3" t="n">
        <v>1.995097</v>
      </c>
      <c r="U452" s="3" t="n">
        <v>1.962492</v>
      </c>
      <c r="V452" s="3" t="n">
        <v>2.1586</v>
      </c>
      <c r="W452" s="3" t="n">
        <v>2.251551</v>
      </c>
      <c r="X452" s="3" t="n">
        <v>2.462325</v>
      </c>
      <c r="Y452" s="3" t="n">
        <v>2.650734</v>
      </c>
      <c r="Z452" s="3" t="n">
        <v>2.618119</v>
      </c>
      <c r="AA452" s="3" t="n">
        <v>2.586106</v>
      </c>
      <c r="AB452" s="3" t="n">
        <v>2.621063</v>
      </c>
      <c r="AC452" s="3" t="n">
        <v>2.865875</v>
      </c>
      <c r="AD452" s="3" t="n">
        <v>2.920233</v>
      </c>
      <c r="AE452" s="3" t="n">
        <v>3.147378</v>
      </c>
      <c r="AF452" s="3" t="n">
        <v>3.474162</v>
      </c>
      <c r="AG452" s="3" t="n">
        <v>3.856189</v>
      </c>
      <c r="AH452" s="3" t="n">
        <v>4.247382</v>
      </c>
      <c r="AI452" s="3" t="n">
        <v>4.654089</v>
      </c>
      <c r="AJ452" s="3" t="n">
        <v>5.160885</v>
      </c>
      <c r="AK452" s="3" t="n">
        <v>5.684188</v>
      </c>
      <c r="AL452" s="3" t="n">
        <v>6.208629</v>
      </c>
      <c r="AM452" s="3" t="n"/>
      <c r="AN452" s="3" t="n"/>
      <c r="AO452" s="3" t="n"/>
      <c r="AP452" s="3" t="n"/>
      <c r="AQ452" s="3" t="n"/>
      <c r="AR452" s="3" t="n"/>
      <c r="AS452" s="3" t="n"/>
      <c r="AT452" s="3" t="n"/>
      <c r="AU452" s="3" t="n"/>
    </row>
    <row r="453">
      <c r="A453" s="3" t="n">
        <v>2031</v>
      </c>
      <c r="B453" s="3" t="inlineStr">
        <is>
          <t>BTN</t>
        </is>
      </c>
      <c r="C453" s="3" t="inlineStr">
        <is>
          <t>IMF.RES:WEO</t>
        </is>
      </c>
      <c r="D453" s="3" t="inlineStr">
        <is>
          <t>BTN.NGDPPC.A</t>
        </is>
      </c>
      <c r="E453" s="3" t="inlineStr">
        <is>
          <t>Bhutan</t>
        </is>
      </c>
      <c r="F453" s="3" t="inlineStr">
        <is>
          <t>Gross domestic product (GDP), Current prices, Per capita, Domestic currency</t>
        </is>
      </c>
      <c r="G453" s="3" t="n">
        <v>34038.479304</v>
      </c>
      <c r="H453" s="3" t="n">
        <v>36635.043376</v>
      </c>
      <c r="I453" s="3" t="n">
        <v>40964.614083</v>
      </c>
      <c r="J453" s="3" t="n">
        <v>45606.94242</v>
      </c>
      <c r="K453" s="3" t="n">
        <v>49442.899238</v>
      </c>
      <c r="L453" s="3" t="n">
        <v>54302.139951</v>
      </c>
      <c r="M453" s="3" t="n">
        <v>60527.10043</v>
      </c>
      <c r="N453" s="3" t="n">
        <v>70135.18889400001</v>
      </c>
      <c r="O453" s="3" t="n">
        <v>80031.983785</v>
      </c>
      <c r="P453" s="3" t="n">
        <v>88212.320691</v>
      </c>
      <c r="Q453" s="3" t="n">
        <v>102165.353791</v>
      </c>
      <c r="R453" s="3" t="n">
        <v>120794.041113</v>
      </c>
      <c r="S453" s="3" t="n">
        <v>138613.564329</v>
      </c>
      <c r="T453" s="3" t="n">
        <v>152056.082422</v>
      </c>
      <c r="U453" s="3" t="n">
        <v>165516.989446</v>
      </c>
      <c r="V453" s="3" t="n">
        <v>181745.123406</v>
      </c>
      <c r="W453" s="3" t="n">
        <v>200718.252408</v>
      </c>
      <c r="X453" s="3" t="n">
        <v>217791.473795</v>
      </c>
      <c r="Y453" s="3" t="n">
        <v>228140.559631</v>
      </c>
      <c r="Z453" s="3" t="n">
        <v>242243.763011</v>
      </c>
      <c r="AA453" s="3" t="n">
        <v>244167.228231</v>
      </c>
      <c r="AB453" s="3" t="n">
        <v>250265.185358</v>
      </c>
      <c r="AC453" s="3" t="n">
        <v>277878.666394</v>
      </c>
      <c r="AD453" s="3" t="n">
        <v>304139.037928</v>
      </c>
      <c r="AE453" s="3" t="n">
        <v>335172.076131</v>
      </c>
      <c r="AF453" s="3" t="n">
        <v>371057.14561</v>
      </c>
      <c r="AG453" s="3" t="n">
        <v>412932.06396</v>
      </c>
      <c r="AH453" s="3" t="n">
        <v>455679.153381</v>
      </c>
      <c r="AI453" s="3" t="n">
        <v>497571.452303</v>
      </c>
      <c r="AJ453" s="3" t="n">
        <v>550245.303328</v>
      </c>
      <c r="AK453" s="3" t="n">
        <v>604564.808144</v>
      </c>
      <c r="AL453" s="3" t="n">
        <v>658946.865903</v>
      </c>
      <c r="AM453" s="3" t="n"/>
      <c r="AN453" s="3" t="n"/>
      <c r="AO453" s="3" t="n"/>
      <c r="AP453" s="3" t="n"/>
      <c r="AQ453" s="3" t="n"/>
      <c r="AR453" s="3" t="n"/>
      <c r="AS453" s="3" t="n"/>
      <c r="AT453" s="3" t="n"/>
      <c r="AU453" s="3" t="n"/>
    </row>
    <row r="454">
      <c r="A454" s="3" t="n">
        <v>2031</v>
      </c>
      <c r="B454" s="3" t="inlineStr">
        <is>
          <t>BTN</t>
        </is>
      </c>
      <c r="C454" s="3" t="inlineStr">
        <is>
          <t>IMF.RES:WEO</t>
        </is>
      </c>
      <c r="D454" s="3" t="inlineStr">
        <is>
          <t>BTN.NGDPRPC.A</t>
        </is>
      </c>
      <c r="E454" s="3" t="inlineStr">
        <is>
          <t>Bhutan</t>
        </is>
      </c>
      <c r="F454" s="3" t="inlineStr">
        <is>
          <t>Gross domestic product (GDP), Constant prices, Per capita, Domestic currency</t>
        </is>
      </c>
      <c r="G454" s="3" t="n">
        <v>85952.709424</v>
      </c>
      <c r="H454" s="3" t="n">
        <v>89311.593045</v>
      </c>
      <c r="I454" s="3" t="n">
        <v>95029.514966</v>
      </c>
      <c r="J454" s="3" t="n">
        <v>101422.740253</v>
      </c>
      <c r="K454" s="3" t="n">
        <v>105746.952599</v>
      </c>
      <c r="L454" s="3" t="n">
        <v>110095.807948</v>
      </c>
      <c r="M454" s="3" t="n">
        <v>115216.499216</v>
      </c>
      <c r="N454" s="3" t="n">
        <v>126318.962374</v>
      </c>
      <c r="O454" s="3" t="n">
        <v>137225.115124</v>
      </c>
      <c r="P454" s="3" t="n">
        <v>144022.147398</v>
      </c>
      <c r="Q454" s="3" t="n">
        <v>157148.507351</v>
      </c>
      <c r="R454" s="3" t="n">
        <v>171769.634742</v>
      </c>
      <c r="S454" s="3" t="n">
        <v>181368.916544</v>
      </c>
      <c r="T454" s="3" t="n">
        <v>185482.258927</v>
      </c>
      <c r="U454" s="3" t="n">
        <v>190485.554741</v>
      </c>
      <c r="V454" s="3" t="n">
        <v>200344.045872</v>
      </c>
      <c r="W454" s="3" t="n">
        <v>213432.637388</v>
      </c>
      <c r="X454" s="3" t="n">
        <v>222378.341598</v>
      </c>
      <c r="Y454" s="3" t="n">
        <v>226812.947641</v>
      </c>
      <c r="Z454" s="3" t="n">
        <v>235721.998935</v>
      </c>
      <c r="AA454" s="3" t="n">
        <v>228399.856477</v>
      </c>
      <c r="AB454" s="3" t="n">
        <v>219361.921568</v>
      </c>
      <c r="AC454" s="3" t="n">
        <v>228337.103299</v>
      </c>
      <c r="AD454" s="3" t="n">
        <v>237888.658659</v>
      </c>
      <c r="AE454" s="3" t="n">
        <v>250697.514688</v>
      </c>
      <c r="AF454" s="3" t="n">
        <v>267984.379532</v>
      </c>
      <c r="AG454" s="3" t="n">
        <v>287415.150156</v>
      </c>
      <c r="AH454" s="3" t="n">
        <v>304952.478441</v>
      </c>
      <c r="AI454" s="3" t="n">
        <v>320171.573456</v>
      </c>
      <c r="AJ454" s="3" t="n">
        <v>340442.79236</v>
      </c>
      <c r="AK454" s="3" t="n">
        <v>359661.735473</v>
      </c>
      <c r="AL454" s="3" t="n">
        <v>376935.364829</v>
      </c>
      <c r="AM454" s="3" t="n"/>
      <c r="AN454" s="3" t="n"/>
      <c r="AO454" s="3" t="n"/>
      <c r="AP454" s="3" t="n"/>
      <c r="AQ454" s="3" t="n"/>
      <c r="AR454" s="3" t="n"/>
      <c r="AS454" s="3" t="n"/>
      <c r="AT454" s="3" t="n"/>
      <c r="AU454" s="3" t="n"/>
    </row>
    <row r="455">
      <c r="A455" s="3" t="n">
        <v>2031</v>
      </c>
      <c r="B455" s="3" t="inlineStr">
        <is>
          <t>BTN</t>
        </is>
      </c>
      <c r="C455" s="3" t="inlineStr">
        <is>
          <t>IMF.RES:WEO</t>
        </is>
      </c>
      <c r="D455" s="3" t="inlineStr">
        <is>
          <t>BTN.PCPI.A</t>
        </is>
      </c>
      <c r="E455" s="3" t="inlineStr">
        <is>
          <t>Bhutan</t>
        </is>
      </c>
      <c r="F455" s="3" t="inlineStr">
        <is>
          <t>All Items, Consumer price index (CPI), Period average</t>
        </is>
      </c>
      <c r="G455" s="3" t="n">
        <v>88.43807200000001</v>
      </c>
      <c r="H455" s="3" t="n">
        <v>91.731784</v>
      </c>
      <c r="I455" s="3" t="n">
        <v>94.427623</v>
      </c>
      <c r="J455" s="3" t="n">
        <v>96.762063</v>
      </c>
      <c r="K455" s="3" t="n">
        <v>100</v>
      </c>
      <c r="L455" s="3" t="n">
        <v>104.822607</v>
      </c>
      <c r="M455" s="3" t="n">
        <v>109.990367</v>
      </c>
      <c r="N455" s="3" t="n">
        <v>115.760182</v>
      </c>
      <c r="O455" s="3" t="n">
        <v>123.052896</v>
      </c>
      <c r="P455" s="3" t="n">
        <v>131.822848</v>
      </c>
      <c r="Q455" s="3" t="n">
        <v>138.184676</v>
      </c>
      <c r="R455" s="3" t="n">
        <v>150.002527</v>
      </c>
      <c r="S455" s="3" t="n">
        <v>165.175407</v>
      </c>
      <c r="T455" s="3" t="n">
        <v>178.5695</v>
      </c>
      <c r="U455" s="3" t="n">
        <v>195.711144</v>
      </c>
      <c r="V455" s="3" t="n">
        <v>208.758553</v>
      </c>
      <c r="W455" s="3" t="n">
        <v>215.628309</v>
      </c>
      <c r="X455" s="3" t="n">
        <v>224.984507</v>
      </c>
      <c r="Y455" s="3" t="n">
        <v>233.135933</v>
      </c>
      <c r="Z455" s="3" t="n">
        <v>239.698088</v>
      </c>
      <c r="AA455" s="3" t="n">
        <v>246.977979</v>
      </c>
      <c r="AB455" s="3" t="n">
        <v>267.279646</v>
      </c>
      <c r="AC455" s="3" t="n">
        <v>283.172365</v>
      </c>
      <c r="AD455" s="3" t="n">
        <v>296.014707</v>
      </c>
      <c r="AE455" s="3" t="n">
        <v>308.728882</v>
      </c>
      <c r="AF455" s="3" t="n">
        <v>316.623975</v>
      </c>
      <c r="AG455" s="3" t="n">
        <v>329.15767</v>
      </c>
      <c r="AH455" s="3" t="n">
        <v>343.146871</v>
      </c>
      <c r="AI455" s="3" t="n">
        <v>356.872746</v>
      </c>
      <c r="AJ455" s="3" t="n">
        <v>371.147656</v>
      </c>
      <c r="AK455" s="3" t="n">
        <v>385.993562</v>
      </c>
      <c r="AL455" s="3" t="n">
        <v>401.433304</v>
      </c>
      <c r="AM455" s="3" t="n"/>
      <c r="AN455" s="3" t="n"/>
      <c r="AO455" s="3" t="n"/>
      <c r="AP455" s="3" t="n"/>
      <c r="AQ455" s="3" t="n"/>
      <c r="AR455" s="3" t="n"/>
      <c r="AS455" s="3" t="n"/>
      <c r="AT455" s="3" t="n"/>
      <c r="AU455" s="3" t="n"/>
    </row>
    <row r="456">
      <c r="A456" s="3" t="n">
        <v>2031</v>
      </c>
      <c r="B456" s="3" t="inlineStr">
        <is>
          <t>BTN</t>
        </is>
      </c>
      <c r="C456" s="3" t="inlineStr">
        <is>
          <t>IMF.RES:WEO</t>
        </is>
      </c>
      <c r="D456" s="3" t="inlineStr">
        <is>
          <t>BTN.PCPIPCH.A</t>
        </is>
      </c>
      <c r="E456" s="3" t="inlineStr">
        <is>
          <t>Bhutan</t>
        </is>
      </c>
      <c r="F456" s="3" t="inlineStr">
        <is>
          <t>All Items, Consumer price index (CPI), Period average, percent change</t>
        </is>
      </c>
      <c r="G456" s="3" t="n">
        <v>7.183159</v>
      </c>
      <c r="H456" s="3" t="n">
        <v>3.724315</v>
      </c>
      <c r="I456" s="3" t="n">
        <v>2.938828</v>
      </c>
      <c r="J456" s="3" t="n">
        <v>2.472201</v>
      </c>
      <c r="K456" s="3" t="n">
        <v>3.346288</v>
      </c>
      <c r="L456" s="3" t="n">
        <v>4.822607</v>
      </c>
      <c r="M456" s="3" t="n">
        <v>4.930006</v>
      </c>
      <c r="N456" s="3" t="n">
        <v>5.245745</v>
      </c>
      <c r="O456" s="3" t="n">
        <v>6.299847</v>
      </c>
      <c r="P456" s="3" t="n">
        <v>7.126977</v>
      </c>
      <c r="Q456" s="3" t="n">
        <v>4.826044</v>
      </c>
      <c r="R456" s="3" t="n">
        <v>8.552216</v>
      </c>
      <c r="S456" s="3" t="n">
        <v>10.115083</v>
      </c>
      <c r="T456" s="3" t="n">
        <v>8.109011000000001</v>
      </c>
      <c r="U456" s="3" t="n">
        <v>9.599424000000001</v>
      </c>
      <c r="V456" s="3" t="n">
        <v>6.666667</v>
      </c>
      <c r="W456" s="3" t="n">
        <v>3.290766</v>
      </c>
      <c r="X456" s="3" t="n">
        <v>4.339039</v>
      </c>
      <c r="Y456" s="3" t="n">
        <v>3.623106</v>
      </c>
      <c r="Z456" s="3" t="n">
        <v>2.814733</v>
      </c>
      <c r="AA456" s="3" t="n">
        <v>3.037108</v>
      </c>
      <c r="AB456" s="3" t="n">
        <v>8.220031000000001</v>
      </c>
      <c r="AC456" s="3" t="n">
        <v>5.946101</v>
      </c>
      <c r="AD456" s="3" t="n">
        <v>4.535168</v>
      </c>
      <c r="AE456" s="3" t="n">
        <v>4.295116</v>
      </c>
      <c r="AF456" s="3" t="n">
        <v>2.55729</v>
      </c>
      <c r="AG456" s="3" t="n">
        <v>3.958543</v>
      </c>
      <c r="AH456" s="3" t="n">
        <v>4.25</v>
      </c>
      <c r="AI456" s="3" t="n">
        <v>4</v>
      </c>
      <c r="AJ456" s="3" t="n">
        <v>4</v>
      </c>
      <c r="AK456" s="3" t="n">
        <v>4</v>
      </c>
      <c r="AL456" s="3" t="n">
        <v>4</v>
      </c>
      <c r="AM456" s="3" t="n"/>
      <c r="AN456" s="3" t="n"/>
      <c r="AO456" s="3" t="n"/>
      <c r="AP456" s="3" t="n"/>
      <c r="AQ456" s="3" t="n"/>
      <c r="AR456" s="3" t="n"/>
      <c r="AS456" s="3" t="n"/>
      <c r="AT456" s="3" t="n"/>
      <c r="AU456" s="3" t="n"/>
    </row>
    <row r="457">
      <c r="A457" s="3" t="n">
        <v>2031</v>
      </c>
      <c r="B457" s="3" t="inlineStr">
        <is>
          <t>BTN</t>
        </is>
      </c>
      <c r="C457" s="3" t="inlineStr">
        <is>
          <t>IMF.RES:WEO</t>
        </is>
      </c>
      <c r="D457" s="3" t="inlineStr">
        <is>
          <t>BTN.PPPPC.A</t>
        </is>
      </c>
      <c r="E457" s="3" t="inlineStr">
        <is>
          <t>Bhutan</t>
        </is>
      </c>
      <c r="F457" s="3" t="inlineStr">
        <is>
          <t>Gross domestic product (GDP), Per capita, purchasing power parity (PPP) international dollar, ICP benchmarks 2017-2021</t>
        </is>
      </c>
      <c r="G457" s="3" t="n">
        <v>3195.465148</v>
      </c>
      <c r="H457" s="3" t="n">
        <v>3395.09983</v>
      </c>
      <c r="I457" s="3" t="n">
        <v>3668.60043</v>
      </c>
      <c r="J457" s="3" t="n">
        <v>3992.708588</v>
      </c>
      <c r="K457" s="3" t="n">
        <v>4274.876343</v>
      </c>
      <c r="L457" s="3" t="n">
        <v>4590.246503</v>
      </c>
      <c r="M457" s="3" t="n">
        <v>4951.886327</v>
      </c>
      <c r="N457" s="3" t="n">
        <v>5576.146609</v>
      </c>
      <c r="O457" s="3" t="n">
        <v>6174.275035</v>
      </c>
      <c r="P457" s="3" t="n">
        <v>6520.06462</v>
      </c>
      <c r="Q457" s="3" t="n">
        <v>7200.777057</v>
      </c>
      <c r="R457" s="3" t="n">
        <v>8033.131631</v>
      </c>
      <c r="S457" s="3" t="n">
        <v>8639.990392</v>
      </c>
      <c r="T457" s="3" t="n">
        <v>8986.328529</v>
      </c>
      <c r="U457" s="3" t="n">
        <v>9389.468639999999</v>
      </c>
      <c r="V457" s="3" t="n">
        <v>9967.065333</v>
      </c>
      <c r="W457" s="3" t="n">
        <v>10719.116257</v>
      </c>
      <c r="X457" s="3" t="n">
        <v>11368.40527</v>
      </c>
      <c r="Y457" s="3" t="n">
        <v>11743.201909</v>
      </c>
      <c r="Z457" s="3" t="n">
        <v>12414.98285</v>
      </c>
      <c r="AA457" s="3" t="n">
        <v>12879.413108</v>
      </c>
      <c r="AB457" s="3" t="n">
        <v>12761.865762</v>
      </c>
      <c r="AC457" s="3" t="n">
        <v>14228.831122</v>
      </c>
      <c r="AD457" s="3" t="n">
        <v>15372.530779</v>
      </c>
      <c r="AE457" s="3" t="n">
        <v>16602.42639</v>
      </c>
      <c r="AF457" s="3" t="n">
        <v>18250.695865</v>
      </c>
      <c r="AG457" s="3" t="n">
        <v>20134.76685</v>
      </c>
      <c r="AH457" s="3" t="n">
        <v>21832.456167</v>
      </c>
      <c r="AI457" s="3" t="n">
        <v>23298.27664</v>
      </c>
      <c r="AJ457" s="3" t="n">
        <v>25213.87219</v>
      </c>
      <c r="AK457" s="3" t="n">
        <v>27126.73235</v>
      </c>
      <c r="AL457" s="3" t="n">
        <v>28942.798979</v>
      </c>
      <c r="AM457" s="3" t="n"/>
      <c r="AN457" s="3" t="n"/>
      <c r="AO457" s="3" t="n"/>
      <c r="AP457" s="3" t="n"/>
      <c r="AQ457" s="3" t="n"/>
      <c r="AR457" s="3" t="n"/>
      <c r="AS457" s="3" t="n"/>
      <c r="AT457" s="3" t="n"/>
      <c r="AU457" s="3" t="n"/>
    </row>
    <row r="458">
      <c r="A458" s="3" t="n">
        <v>2025</v>
      </c>
      <c r="B458" s="3" t="inlineStr">
        <is>
          <t>BTN</t>
        </is>
      </c>
      <c r="C458" s="3" t="inlineStr">
        <is>
          <t>IMF.STA:ER</t>
        </is>
      </c>
      <c r="D458" s="3" t="inlineStr">
        <is>
          <t>BTN.XDC_USD.PA_RT.A</t>
        </is>
      </c>
      <c r="E458" s="3" t="inlineStr">
        <is>
          <t>Bhutan</t>
        </is>
      </c>
      <c r="F458" s="3" t="inlineStr">
        <is>
          <t>Domestic currency per US Dollar</t>
        </is>
      </c>
      <c r="G458" s="3" t="n">
        <v>44.941605</v>
      </c>
      <c r="H458" s="3" t="n">
        <v>47.1864141666666</v>
      </c>
      <c r="I458" s="3" t="n">
        <v>48.6103191666666</v>
      </c>
      <c r="J458" s="3" t="n">
        <v>46.5832841666666</v>
      </c>
      <c r="K458" s="3" t="n">
        <v>45.3164666666666</v>
      </c>
      <c r="L458" s="3" t="n">
        <v>44.099975</v>
      </c>
      <c r="M458" s="3" t="n">
        <v>45.3070083333333</v>
      </c>
      <c r="N458" s="3" t="n">
        <v>41.3485333333333</v>
      </c>
      <c r="O458" s="3" t="n">
        <v>43.5051833333333</v>
      </c>
      <c r="P458" s="3" t="n">
        <v>48.4052666666666</v>
      </c>
      <c r="Q458" s="3" t="n">
        <v>45.7258121212121</v>
      </c>
      <c r="R458" s="3" t="n">
        <v>46.6704666666666</v>
      </c>
      <c r="S458" s="3" t="n">
        <v>53.4372333333333</v>
      </c>
      <c r="T458" s="3" t="n">
        <v>58.5978454166666</v>
      </c>
      <c r="U458" s="3" t="n">
        <v>61.0295144607843</v>
      </c>
      <c r="V458" s="3" t="n">
        <v>64.1519444632786</v>
      </c>
      <c r="W458" s="3" t="n">
        <v>67.1953128073893</v>
      </c>
      <c r="X458" s="3" t="n">
        <v>65.12156864506591</v>
      </c>
      <c r="Y458" s="3" t="n">
        <v>68.38946709354209</v>
      </c>
      <c r="Z458" s="3" t="n">
        <v>70.42034053595501</v>
      </c>
      <c r="AA458" s="3" t="n">
        <v>74.09956688360521</v>
      </c>
      <c r="AB458" s="3" t="n">
        <v>73.91801281543511</v>
      </c>
      <c r="AC458" s="3" t="n">
        <v>78.6044905829915</v>
      </c>
      <c r="AD458" s="3" t="n">
        <v>82.59927644607841</v>
      </c>
      <c r="AE458" s="3" t="n">
        <v>83.669281580941</v>
      </c>
      <c r="AF458" s="3" t="n">
        <v>87.15844835073931</v>
      </c>
      <c r="AG458" s="3" t="n"/>
      <c r="AH458" s="3" t="n"/>
      <c r="AI458" s="3" t="n"/>
      <c r="AJ458" s="3" t="n"/>
      <c r="AK458" s="3" t="n"/>
      <c r="AL458" s="3" t="n"/>
      <c r="AM458" s="3" t="n"/>
      <c r="AN458" s="3" t="n"/>
      <c r="AO458" s="3" t="n"/>
      <c r="AP458" s="3" t="n"/>
      <c r="AQ458" s="3" t="n"/>
      <c r="AR458" s="3" t="n"/>
      <c r="AS458" s="3" t="n"/>
      <c r="AT458" s="3" t="n"/>
      <c r="AU458" s="3" t="n"/>
    </row>
    <row r="459">
      <c r="A459" s="3" t="n">
        <v>2031</v>
      </c>
      <c r="B459" s="3" t="inlineStr">
        <is>
          <t>BWA</t>
        </is>
      </c>
      <c r="C459" s="3" t="inlineStr">
        <is>
          <t>IMF.RES:WEO</t>
        </is>
      </c>
      <c r="D459" s="3" t="inlineStr">
        <is>
          <t>BWA.BCA.A</t>
        </is>
      </c>
      <c r="E459" s="3" t="inlineStr">
        <is>
          <t>Botswana</t>
        </is>
      </c>
      <c r="F459" s="3" t="inlineStr">
        <is>
          <t>Current account balance (credit less debit), US dollar</t>
        </is>
      </c>
      <c r="G459" s="3" t="n">
        <v>0.545148</v>
      </c>
      <c r="H459" s="3" t="n">
        <v>0.595211</v>
      </c>
      <c r="I459" s="3" t="n">
        <v>0.263354</v>
      </c>
      <c r="J459" s="3" t="n">
        <v>0.716789</v>
      </c>
      <c r="K459" s="3" t="n">
        <v>0.316806</v>
      </c>
      <c r="L459" s="3" t="n">
        <v>1.59751</v>
      </c>
      <c r="M459" s="3" t="n">
        <v>1.95058</v>
      </c>
      <c r="N459" s="3" t="n">
        <v>1.654313</v>
      </c>
      <c r="O459" s="3" t="n">
        <v>0.14953</v>
      </c>
      <c r="P459" s="3" t="n">
        <v>-0.648182</v>
      </c>
      <c r="Q459" s="3" t="n">
        <v>-0.744133</v>
      </c>
      <c r="R459" s="3" t="n">
        <v>-0.131914</v>
      </c>
      <c r="S459" s="3" t="n">
        <v>-0.820818</v>
      </c>
      <c r="T459" s="3" t="n">
        <v>0.646614</v>
      </c>
      <c r="U459" s="3" t="n">
        <v>1.713317</v>
      </c>
      <c r="V459" s="3" t="n">
        <v>0.301219</v>
      </c>
      <c r="W459" s="3" t="n">
        <v>1.202538</v>
      </c>
      <c r="X459" s="3" t="n">
        <v>0.899603</v>
      </c>
      <c r="Y459" s="3" t="n">
        <v>0.066926</v>
      </c>
      <c r="Z459" s="3" t="n">
        <v>-1.154933</v>
      </c>
      <c r="AA459" s="3" t="n">
        <v>-1.467049</v>
      </c>
      <c r="AB459" s="3" t="n">
        <v>-0.330923</v>
      </c>
      <c r="AC459" s="3" t="n">
        <v>-0.12092</v>
      </c>
      <c r="AD459" s="3" t="n">
        <v>0.288855</v>
      </c>
      <c r="AE459" s="3" t="n">
        <v>-0.821137</v>
      </c>
      <c r="AF459" s="3" t="n">
        <v>0.71906</v>
      </c>
      <c r="AG459" s="3" t="n">
        <v>-0.419378</v>
      </c>
      <c r="AH459" s="3" t="n">
        <v>-0.335979</v>
      </c>
      <c r="AI459" s="3" t="n">
        <v>-0.5123450000000001</v>
      </c>
      <c r="AJ459" s="3" t="n">
        <v>-0.514052</v>
      </c>
      <c r="AK459" s="3" t="n">
        <v>-0.649749</v>
      </c>
      <c r="AL459" s="3" t="n">
        <v>-0.813503</v>
      </c>
      <c r="AM459" s="3" t="n"/>
      <c r="AN459" s="3" t="n"/>
      <c r="AO459" s="3" t="n"/>
      <c r="AP459" s="3" t="n"/>
      <c r="AQ459" s="3" t="n"/>
      <c r="AR459" s="3" t="n"/>
      <c r="AS459" s="3" t="n"/>
      <c r="AT459" s="3" t="n"/>
      <c r="AU459" s="3" t="n"/>
    </row>
    <row r="460">
      <c r="A460" s="3" t="n">
        <v>2031</v>
      </c>
      <c r="B460" s="3" t="inlineStr">
        <is>
          <t>BWA</t>
        </is>
      </c>
      <c r="C460" s="3" t="inlineStr">
        <is>
          <t>IMF.RES:WEO</t>
        </is>
      </c>
      <c r="D460" s="3" t="inlineStr">
        <is>
          <t>BWA.BCA_NGDPD.A</t>
        </is>
      </c>
      <c r="E460" s="3" t="inlineStr">
        <is>
          <t>Botswana</t>
        </is>
      </c>
      <c r="F460" s="3" t="inlineStr">
        <is>
          <t>Current account balance (credit less debit), Percent of GDP</t>
        </is>
      </c>
      <c r="G460" s="3" t="n">
        <v>9.593652000000001</v>
      </c>
      <c r="H460" s="3" t="n">
        <v>10.900499</v>
      </c>
      <c r="I460" s="3" t="n">
        <v>4.881144</v>
      </c>
      <c r="J460" s="3" t="n">
        <v>9.596776999999999</v>
      </c>
      <c r="K460" s="3" t="n">
        <v>3.592389</v>
      </c>
      <c r="L460" s="3" t="n">
        <v>16.247124</v>
      </c>
      <c r="M460" s="3" t="n">
        <v>19.664776</v>
      </c>
      <c r="N460" s="3" t="n">
        <v>15.656613</v>
      </c>
      <c r="O460" s="3" t="n">
        <v>1.393459</v>
      </c>
      <c r="P460" s="3" t="n">
        <v>-6.405939</v>
      </c>
      <c r="Q460" s="3" t="n">
        <v>-5.888402</v>
      </c>
      <c r="R460" s="3" t="n">
        <v>-0.872985</v>
      </c>
      <c r="S460" s="3" t="n">
        <v>-5.901993</v>
      </c>
      <c r="T460" s="3" t="n">
        <v>4.530732</v>
      </c>
      <c r="U460" s="3" t="n">
        <v>11.075031</v>
      </c>
      <c r="V460" s="3" t="n">
        <v>2.226183</v>
      </c>
      <c r="W460" s="3" t="n">
        <v>7.972997</v>
      </c>
      <c r="X460" s="3" t="n">
        <v>5.585809</v>
      </c>
      <c r="Y460" s="3" t="n">
        <v>0.392946</v>
      </c>
      <c r="Z460" s="3" t="n">
        <v>-6.917432</v>
      </c>
      <c r="AA460" s="3" t="n">
        <v>-9.826169</v>
      </c>
      <c r="AB460" s="3" t="n">
        <v>-1.764905</v>
      </c>
      <c r="AC460" s="3" t="n">
        <v>-0.595045</v>
      </c>
      <c r="AD460" s="3" t="n">
        <v>1.488077</v>
      </c>
      <c r="AE460" s="3" t="n">
        <v>-4.242219</v>
      </c>
      <c r="AF460" s="3" t="n">
        <v>3.681199</v>
      </c>
      <c r="AG460" s="3" t="n">
        <v>-1.911766</v>
      </c>
      <c r="AH460" s="3" t="n">
        <v>-1.419941</v>
      </c>
      <c r="AI460" s="3" t="n">
        <v>-2.017092</v>
      </c>
      <c r="AJ460" s="3" t="n">
        <v>-1.83317</v>
      </c>
      <c r="AK460" s="3" t="n">
        <v>-2.100834</v>
      </c>
      <c r="AL460" s="3" t="n">
        <v>-2.422594</v>
      </c>
      <c r="AM460" s="3" t="n"/>
      <c r="AN460" s="3" t="n"/>
      <c r="AO460" s="3" t="n"/>
      <c r="AP460" s="3" t="n"/>
      <c r="AQ460" s="3" t="n"/>
      <c r="AR460" s="3" t="n"/>
      <c r="AS460" s="3" t="n"/>
      <c r="AT460" s="3" t="n"/>
      <c r="AU460" s="3" t="n"/>
    </row>
    <row r="461">
      <c r="A461" s="3" t="n">
        <v>2031</v>
      </c>
      <c r="B461" s="3" t="inlineStr">
        <is>
          <t>BWA</t>
        </is>
      </c>
      <c r="C461" s="3" t="inlineStr">
        <is>
          <t>IMF.RES:WEO</t>
        </is>
      </c>
      <c r="D461" s="3" t="inlineStr">
        <is>
          <t>BWA.GGR_NGDP.A</t>
        </is>
      </c>
      <c r="E461" s="3" t="inlineStr">
        <is>
          <t>Botswana</t>
        </is>
      </c>
      <c r="F461" s="3" t="inlineStr">
        <is>
          <t>Revenue, General government, Percent of GDP</t>
        </is>
      </c>
      <c r="G461" s="3" t="n">
        <v>47.548788</v>
      </c>
      <c r="H461" s="3" t="n">
        <v>39.205907</v>
      </c>
      <c r="I461" s="3" t="n">
        <v>41.141264</v>
      </c>
      <c r="J461" s="3" t="n">
        <v>42.570548</v>
      </c>
      <c r="K461" s="3" t="n">
        <v>41.19292</v>
      </c>
      <c r="L461" s="3" t="n">
        <v>44.108725</v>
      </c>
      <c r="M461" s="3" t="n">
        <v>46.431994</v>
      </c>
      <c r="N461" s="3" t="n">
        <v>42.800141</v>
      </c>
      <c r="O461" s="3" t="n">
        <v>40.508774</v>
      </c>
      <c r="P461" s="3" t="n">
        <v>38.343476</v>
      </c>
      <c r="Q461" s="3" t="n">
        <v>34.630424</v>
      </c>
      <c r="R461" s="3" t="n">
        <v>37.042086</v>
      </c>
      <c r="S461" s="3" t="n">
        <v>38.033785</v>
      </c>
      <c r="T461" s="3" t="n">
        <v>39.325608</v>
      </c>
      <c r="U461" s="3" t="n">
        <v>40.429327</v>
      </c>
      <c r="V461" s="3" t="n">
        <v>32.991958</v>
      </c>
      <c r="W461" s="3" t="n">
        <v>34.825173</v>
      </c>
      <c r="X461" s="3" t="n">
        <v>33.528542</v>
      </c>
      <c r="Y461" s="3" t="n">
        <v>30.560084</v>
      </c>
      <c r="Z461" s="3" t="n">
        <v>28.328249</v>
      </c>
      <c r="AA461" s="3" t="n">
        <v>25.665501</v>
      </c>
      <c r="AB461" s="3" t="n">
        <v>29.072921</v>
      </c>
      <c r="AC461" s="3" t="n">
        <v>29.112621</v>
      </c>
      <c r="AD461" s="3" t="n">
        <v>28.192987</v>
      </c>
      <c r="AE461" s="3" t="n">
        <v>26.460074</v>
      </c>
      <c r="AF461" s="3" t="n">
        <v>27.589139</v>
      </c>
      <c r="AG461" s="3" t="n">
        <v>25.002015</v>
      </c>
      <c r="AH461" s="3" t="n">
        <v>27.014901</v>
      </c>
      <c r="AI461" s="3" t="n">
        <v>27.363826</v>
      </c>
      <c r="AJ461" s="3" t="n">
        <v>27.782896</v>
      </c>
      <c r="AK461" s="3" t="n">
        <v>28.619112</v>
      </c>
      <c r="AL461" s="3" t="n">
        <v>28.549287</v>
      </c>
      <c r="AM461" s="3" t="n"/>
      <c r="AN461" s="3" t="n"/>
      <c r="AO461" s="3" t="n"/>
      <c r="AP461" s="3" t="n"/>
      <c r="AQ461" s="3" t="n"/>
      <c r="AR461" s="3" t="n"/>
      <c r="AS461" s="3" t="n"/>
      <c r="AT461" s="3" t="n"/>
      <c r="AU461" s="3" t="n"/>
    </row>
    <row r="462">
      <c r="A462" s="3" t="n">
        <v>2031</v>
      </c>
      <c r="B462" s="3" t="inlineStr">
        <is>
          <t>BWA</t>
        </is>
      </c>
      <c r="C462" s="3" t="inlineStr">
        <is>
          <t>IMF.RES:WEO</t>
        </is>
      </c>
      <c r="D462" s="3" t="inlineStr">
        <is>
          <t>BWA.GGX_NGDP.A</t>
        </is>
      </c>
      <c r="E462" s="3" t="inlineStr">
        <is>
          <t>Botswana</t>
        </is>
      </c>
      <c r="F462" s="3" t="inlineStr">
        <is>
          <t>Expenditure, General government, Percent of GDP</t>
        </is>
      </c>
      <c r="G462" s="3" t="n">
        <v>38.81882</v>
      </c>
      <c r="H462" s="3" t="n">
        <v>42.11907</v>
      </c>
      <c r="I462" s="3" t="n">
        <v>45.082123</v>
      </c>
      <c r="J462" s="3" t="n">
        <v>42.745568</v>
      </c>
      <c r="K462" s="3" t="n">
        <v>39.847101</v>
      </c>
      <c r="L462" s="3" t="n">
        <v>33.783388</v>
      </c>
      <c r="M462" s="3" t="n">
        <v>33.121321</v>
      </c>
      <c r="N462" s="3" t="n">
        <v>37.066874</v>
      </c>
      <c r="O462" s="3" t="n">
        <v>48.122357</v>
      </c>
      <c r="P462" s="3" t="n">
        <v>52.123133</v>
      </c>
      <c r="Q462" s="3" t="n">
        <v>42.580929</v>
      </c>
      <c r="R462" s="3" t="n">
        <v>37.157968</v>
      </c>
      <c r="S462" s="3" t="n">
        <v>37.146978</v>
      </c>
      <c r="T462" s="3" t="n">
        <v>33.486766</v>
      </c>
      <c r="U462" s="3" t="n">
        <v>36.532436</v>
      </c>
      <c r="V462" s="3" t="n">
        <v>37.813313</v>
      </c>
      <c r="W462" s="3" t="n">
        <v>34.111072</v>
      </c>
      <c r="X462" s="3" t="n">
        <v>34.671726</v>
      </c>
      <c r="Y462" s="3" t="n">
        <v>35.590857</v>
      </c>
      <c r="Z462" s="3" t="n">
        <v>36.861009</v>
      </c>
      <c r="AA462" s="3" t="n">
        <v>36.534791</v>
      </c>
      <c r="AB462" s="3" t="n">
        <v>31.406318</v>
      </c>
      <c r="AC462" s="3" t="n">
        <v>29.07706</v>
      </c>
      <c r="AD462" s="3" t="n">
        <v>32.356221</v>
      </c>
      <c r="AE462" s="3" t="n">
        <v>33.717754</v>
      </c>
      <c r="AF462" s="3" t="n">
        <v>35.01087</v>
      </c>
      <c r="AG462" s="3" t="n">
        <v>35.690201</v>
      </c>
      <c r="AH462" s="3" t="n">
        <v>34.808351</v>
      </c>
      <c r="AI462" s="3" t="n">
        <v>34.955415</v>
      </c>
      <c r="AJ462" s="3" t="n">
        <v>35.276908</v>
      </c>
      <c r="AK462" s="3" t="n">
        <v>35.701735</v>
      </c>
      <c r="AL462" s="3" t="n">
        <v>36.007567</v>
      </c>
      <c r="AM462" s="3" t="n"/>
      <c r="AN462" s="3" t="n"/>
      <c r="AO462" s="3" t="n"/>
      <c r="AP462" s="3" t="n"/>
      <c r="AQ462" s="3" t="n"/>
      <c r="AR462" s="3" t="n"/>
      <c r="AS462" s="3" t="n"/>
      <c r="AT462" s="3" t="n"/>
      <c r="AU462" s="3" t="n"/>
    </row>
    <row r="463">
      <c r="A463" s="3" t="n">
        <v>2031</v>
      </c>
      <c r="B463" s="3" t="inlineStr">
        <is>
          <t>BWA</t>
        </is>
      </c>
      <c r="C463" s="3" t="inlineStr">
        <is>
          <t>IMF.RES:WEO</t>
        </is>
      </c>
      <c r="D463" s="3" t="inlineStr">
        <is>
          <t>BWA.LP.A</t>
        </is>
      </c>
      <c r="E463" s="3" t="inlineStr">
        <is>
          <t>Botswana</t>
        </is>
      </c>
      <c r="F463" s="3" t="inlineStr">
        <is>
          <t>Population, Persons for countries / Index for country groups</t>
        </is>
      </c>
      <c r="G463" s="3" t="n">
        <v>1.677382</v>
      </c>
      <c r="H463" s="3" t="n">
        <v>1.712254</v>
      </c>
      <c r="I463" s="3" t="n">
        <v>1.744763</v>
      </c>
      <c r="J463" s="3" t="n">
        <v>1.775736</v>
      </c>
      <c r="K463" s="3" t="n">
        <v>1.807146</v>
      </c>
      <c r="L463" s="3" t="n">
        <v>1.839877</v>
      </c>
      <c r="M463" s="3" t="n">
        <v>1.874516</v>
      </c>
      <c r="N463" s="3" t="n">
        <v>1.911201</v>
      </c>
      <c r="O463" s="3" t="n">
        <v>1.94997</v>
      </c>
      <c r="P463" s="3" t="n">
        <v>1.990673</v>
      </c>
      <c r="Q463" s="3" t="n">
        <v>2.033111</v>
      </c>
      <c r="R463" s="3" t="n">
        <v>2.073535</v>
      </c>
      <c r="S463" s="3" t="n">
        <v>2.108617</v>
      </c>
      <c r="T463" s="3" t="n">
        <v>2.140682</v>
      </c>
      <c r="U463" s="3" t="n">
        <v>2.172044</v>
      </c>
      <c r="V463" s="3" t="n">
        <v>2.203273</v>
      </c>
      <c r="W463" s="3" t="n">
        <v>2.234776</v>
      </c>
      <c r="X463" s="3" t="n">
        <v>2.266747</v>
      </c>
      <c r="Y463" s="3" t="n">
        <v>2.299141</v>
      </c>
      <c r="Z463" s="3" t="n">
        <v>2.332083</v>
      </c>
      <c r="AA463" s="3" t="n">
        <v>2.365894</v>
      </c>
      <c r="AB463" s="3" t="n">
        <v>2.401441</v>
      </c>
      <c r="AC463" s="3" t="n">
        <v>2.439892</v>
      </c>
      <c r="AD463" s="3" t="n">
        <v>2.480244</v>
      </c>
      <c r="AE463" s="3" t="n">
        <v>2.521139</v>
      </c>
      <c r="AF463" s="3" t="n">
        <v>2.549273</v>
      </c>
      <c r="AG463" s="3" t="n">
        <v>2.583946</v>
      </c>
      <c r="AH463" s="3" t="n">
        <v>2.618819</v>
      </c>
      <c r="AI463" s="3" t="n">
        <v>2.653823</v>
      </c>
      <c r="AJ463" s="3" t="n">
        <v>2.688896</v>
      </c>
      <c r="AK463" s="3" t="n">
        <v>2.724011</v>
      </c>
      <c r="AL463" s="3" t="n">
        <v>2.759168</v>
      </c>
      <c r="AM463" s="3" t="n"/>
      <c r="AN463" s="3" t="n"/>
      <c r="AO463" s="3" t="n"/>
      <c r="AP463" s="3" t="n"/>
      <c r="AQ463" s="3" t="n"/>
      <c r="AR463" s="3" t="n"/>
      <c r="AS463" s="3" t="n"/>
      <c r="AT463" s="3" t="n"/>
      <c r="AU463" s="3" t="n"/>
    </row>
    <row r="464">
      <c r="A464" s="3" t="n">
        <v>2031</v>
      </c>
      <c r="B464" s="3" t="inlineStr">
        <is>
          <t>BWA</t>
        </is>
      </c>
      <c r="C464" s="3" t="inlineStr">
        <is>
          <t>IMF.RES:WEO</t>
        </is>
      </c>
      <c r="D464" s="3" t="inlineStr">
        <is>
          <t>BWA.NGDP.A</t>
        </is>
      </c>
      <c r="E464" s="3" t="inlineStr">
        <is>
          <t>Botswana</t>
        </is>
      </c>
      <c r="F464" s="3" t="inlineStr">
        <is>
          <t>Gross domestic product (GDP), Current prices, Domestic currency</t>
        </is>
      </c>
      <c r="G464" s="3" t="n">
        <v>28.992875</v>
      </c>
      <c r="H464" s="3" t="n">
        <v>31.896497</v>
      </c>
      <c r="I464" s="3" t="n">
        <v>34.140534</v>
      </c>
      <c r="J464" s="3" t="n">
        <v>36.969349</v>
      </c>
      <c r="K464" s="3" t="n">
        <v>41.394058</v>
      </c>
      <c r="L464" s="3" t="n">
        <v>50.310824</v>
      </c>
      <c r="M464" s="3" t="n">
        <v>57.83167</v>
      </c>
      <c r="N464" s="3" t="n">
        <v>64.870361</v>
      </c>
      <c r="O464" s="3" t="n">
        <v>73.257847</v>
      </c>
      <c r="P464" s="3" t="n">
        <v>72.399013</v>
      </c>
      <c r="Q464" s="3" t="n">
        <v>85.852897</v>
      </c>
      <c r="R464" s="3" t="n">
        <v>103.330102</v>
      </c>
      <c r="S464" s="3" t="n">
        <v>106.26033</v>
      </c>
      <c r="T464" s="3" t="n">
        <v>119.867022</v>
      </c>
      <c r="U464" s="3" t="n">
        <v>138.860798</v>
      </c>
      <c r="V464" s="3" t="n">
        <v>137.052847</v>
      </c>
      <c r="W464" s="3" t="n">
        <v>164.418211</v>
      </c>
      <c r="X464" s="3" t="n">
        <v>166.646764</v>
      </c>
      <c r="Y464" s="3" t="n">
        <v>173.725395</v>
      </c>
      <c r="Z464" s="3" t="n">
        <v>179.579741</v>
      </c>
      <c r="AA464" s="3" t="n">
        <v>171.041896</v>
      </c>
      <c r="AB464" s="3" t="n">
        <v>207.888108</v>
      </c>
      <c r="AC464" s="3" t="n">
        <v>251.34841</v>
      </c>
      <c r="AD464" s="3" t="n">
        <v>263.92302</v>
      </c>
      <c r="AE464" s="3" t="n">
        <v>262.532353</v>
      </c>
      <c r="AF464" s="3" t="n">
        <v>263.746172</v>
      </c>
      <c r="AG464" s="3" t="n">
        <v>285.148537</v>
      </c>
      <c r="AH464" s="3" t="n">
        <v>309.469405</v>
      </c>
      <c r="AI464" s="3" t="n">
        <v>334.630828</v>
      </c>
      <c r="AJ464" s="3" t="n">
        <v>363.237188</v>
      </c>
      <c r="AK464" s="3" t="n">
        <v>394.340874</v>
      </c>
      <c r="AL464" s="3" t="n">
        <v>428.150342</v>
      </c>
      <c r="AM464" s="3" t="n"/>
      <c r="AN464" s="3" t="n"/>
      <c r="AO464" s="3" t="n"/>
      <c r="AP464" s="3" t="n"/>
      <c r="AQ464" s="3" t="n"/>
      <c r="AR464" s="3" t="n"/>
      <c r="AS464" s="3" t="n"/>
      <c r="AT464" s="3" t="n"/>
      <c r="AU464" s="3" t="n"/>
    </row>
    <row r="465">
      <c r="A465" s="3" t="n">
        <v>2031</v>
      </c>
      <c r="B465" s="3" t="inlineStr">
        <is>
          <t>BWA</t>
        </is>
      </c>
      <c r="C465" s="3" t="inlineStr">
        <is>
          <t>IMF.RES:WEO</t>
        </is>
      </c>
      <c r="D465" s="3" t="inlineStr">
        <is>
          <t>BWA.NGDP_D.A</t>
        </is>
      </c>
      <c r="E465" s="3" t="inlineStr">
        <is>
          <t>Botswana</t>
        </is>
      </c>
      <c r="F465" s="3" t="inlineStr">
        <is>
          <t>Gross domestic product (GDP), Price deflator, Index</t>
        </is>
      </c>
      <c r="G465" s="3" t="n">
        <v>30.428295</v>
      </c>
      <c r="H465" s="3" t="n">
        <v>32.707656</v>
      </c>
      <c r="I465" s="3" t="n">
        <v>32.586289</v>
      </c>
      <c r="J465" s="3" t="n">
        <v>33.482378</v>
      </c>
      <c r="K465" s="3" t="n">
        <v>36.973158</v>
      </c>
      <c r="L465" s="3" t="n">
        <v>42.809043</v>
      </c>
      <c r="M465" s="3" t="n">
        <v>46.408054</v>
      </c>
      <c r="N465" s="3" t="n">
        <v>49.206087</v>
      </c>
      <c r="O465" s="3" t="n">
        <v>53.818041</v>
      </c>
      <c r="P465" s="3" t="n">
        <v>61.949373</v>
      </c>
      <c r="Q465" s="3" t="n">
        <v>66.70898200000001</v>
      </c>
      <c r="R465" s="3" t="n">
        <v>75.149884</v>
      </c>
      <c r="S465" s="3" t="n">
        <v>77.413279</v>
      </c>
      <c r="T465" s="3" t="n">
        <v>78.599344</v>
      </c>
      <c r="U465" s="3" t="n">
        <v>86.146244</v>
      </c>
      <c r="V465" s="3" t="n">
        <v>89.35945</v>
      </c>
      <c r="W465" s="3" t="n">
        <v>100.000043</v>
      </c>
      <c r="X465" s="3" t="n">
        <v>97.35134499999999</v>
      </c>
      <c r="Y465" s="3" t="n">
        <v>97.4054</v>
      </c>
      <c r="Z465" s="3" t="n">
        <v>97.724265</v>
      </c>
      <c r="AA465" s="3" t="n">
        <v>101.977048</v>
      </c>
      <c r="AB465" s="3" t="n">
        <v>110.751811</v>
      </c>
      <c r="AC465" s="3" t="n">
        <v>126.941153</v>
      </c>
      <c r="AD465" s="3" t="n">
        <v>129.148665</v>
      </c>
      <c r="AE465" s="3" t="n">
        <v>132.427563</v>
      </c>
      <c r="AF465" s="3" t="n">
        <v>134.230674</v>
      </c>
      <c r="AG465" s="3" t="n">
        <v>138.543155</v>
      </c>
      <c r="AH465" s="3" t="n">
        <v>147.084351</v>
      </c>
      <c r="AI465" s="3" t="n">
        <v>154.47066</v>
      </c>
      <c r="AJ465" s="3" t="n">
        <v>161.332363</v>
      </c>
      <c r="AK465" s="3" t="n">
        <v>168.492749</v>
      </c>
      <c r="AL465" s="3" t="n">
        <v>175.970027</v>
      </c>
      <c r="AM465" s="3" t="n"/>
      <c r="AN465" s="3" t="n"/>
      <c r="AO465" s="3" t="n"/>
      <c r="AP465" s="3" t="n"/>
      <c r="AQ465" s="3" t="n"/>
      <c r="AR465" s="3" t="n"/>
      <c r="AS465" s="3" t="n"/>
      <c r="AT465" s="3" t="n"/>
      <c r="AU465" s="3" t="n"/>
    </row>
    <row r="466">
      <c r="A466" s="3" t="n">
        <v>2031</v>
      </c>
      <c r="B466" s="3" t="inlineStr">
        <is>
          <t>BWA</t>
        </is>
      </c>
      <c r="C466" s="3" t="inlineStr">
        <is>
          <t>IMF.RES:WEO</t>
        </is>
      </c>
      <c r="D466" s="3" t="inlineStr">
        <is>
          <t>BWA.NGDP_R.A</t>
        </is>
      </c>
      <c r="E466" s="3" t="inlineStr">
        <is>
          <t>Botswana</t>
        </is>
      </c>
      <c r="F466" s="3" t="inlineStr">
        <is>
          <t>Gross domestic product (GDP), Constant prices, Domestic currency</t>
        </is>
      </c>
      <c r="G466" s="3" t="n">
        <v>95.282614</v>
      </c>
      <c r="H466" s="3" t="n">
        <v>97.51997299999999</v>
      </c>
      <c r="I466" s="3" t="n">
        <v>104.769629</v>
      </c>
      <c r="J466" s="3" t="n">
        <v>110.414347</v>
      </c>
      <c r="K466" s="3" t="n">
        <v>111.957051</v>
      </c>
      <c r="L466" s="3" t="n">
        <v>117.523822</v>
      </c>
      <c r="M466" s="3" t="n">
        <v>124.615589</v>
      </c>
      <c r="N466" s="3" t="n">
        <v>131.834016</v>
      </c>
      <c r="O466" s="3" t="n">
        <v>136.121355</v>
      </c>
      <c r="P466" s="3" t="n">
        <v>116.868031</v>
      </c>
      <c r="Q466" s="3" t="n">
        <v>128.697658</v>
      </c>
      <c r="R466" s="3" t="n">
        <v>137.498685</v>
      </c>
      <c r="S466" s="3" t="n">
        <v>137.263699</v>
      </c>
      <c r="T466" s="3" t="n">
        <v>152.503845</v>
      </c>
      <c r="U466" s="3" t="n">
        <v>161.191936</v>
      </c>
      <c r="V466" s="3" t="n">
        <v>153.372528</v>
      </c>
      <c r="W466" s="3" t="n">
        <v>164.41814</v>
      </c>
      <c r="X466" s="3" t="n">
        <v>171.18075</v>
      </c>
      <c r="Y466" s="3" t="n">
        <v>178.35294</v>
      </c>
      <c r="Z466" s="3" t="n">
        <v>183.761669</v>
      </c>
      <c r="AA466" s="3" t="n">
        <v>167.725874</v>
      </c>
      <c r="AB466" s="3" t="n">
        <v>187.706283</v>
      </c>
      <c r="AC466" s="3" t="n">
        <v>198.003881</v>
      </c>
      <c r="AD466" s="3" t="n">
        <v>204.355981</v>
      </c>
      <c r="AE466" s="3" t="n">
        <v>198.246005</v>
      </c>
      <c r="AF466" s="3" t="n">
        <v>196.487259</v>
      </c>
      <c r="AG466" s="3" t="n">
        <v>205.81929</v>
      </c>
      <c r="AH466" s="3" t="n">
        <v>210.402672</v>
      </c>
      <c r="AI466" s="3" t="n">
        <v>216.630672</v>
      </c>
      <c r="AJ466" s="3" t="n">
        <v>225.148371</v>
      </c>
      <c r="AK466" s="3" t="n">
        <v>234.040264</v>
      </c>
      <c r="AL466" s="3" t="n">
        <v>243.308675</v>
      </c>
      <c r="AM466" s="3" t="n"/>
      <c r="AN466" s="3" t="n"/>
      <c r="AO466" s="3" t="n"/>
      <c r="AP466" s="3" t="n"/>
      <c r="AQ466" s="3" t="n"/>
      <c r="AR466" s="3" t="n"/>
      <c r="AS466" s="3" t="n"/>
      <c r="AT466" s="3" t="n"/>
      <c r="AU466" s="3" t="n"/>
    </row>
    <row r="467">
      <c r="A467" s="3" t="n">
        <v>2031</v>
      </c>
      <c r="B467" s="3" t="inlineStr">
        <is>
          <t>BWA</t>
        </is>
      </c>
      <c r="C467" s="3" t="inlineStr">
        <is>
          <t>IMF.RES:WEO</t>
        </is>
      </c>
      <c r="D467" s="3" t="inlineStr">
        <is>
          <t>BWA.NGDP_RPCH.A</t>
        </is>
      </c>
      <c r="E467" s="3" t="inlineStr">
        <is>
          <t>Botswana</t>
        </is>
      </c>
      <c r="F467" s="3" t="inlineStr">
        <is>
          <t>Gross domestic product (GDP), Constant prices, Percent change</t>
        </is>
      </c>
      <c r="G467" s="3" t="n">
        <v>4.270584</v>
      </c>
      <c r="H467" s="3" t="n">
        <v>2.348128</v>
      </c>
      <c r="I467" s="3" t="n">
        <v>7.434022</v>
      </c>
      <c r="J467" s="3" t="n">
        <v>5.387742</v>
      </c>
      <c r="K467" s="3" t="n">
        <v>1.397195</v>
      </c>
      <c r="L467" s="3" t="n">
        <v>4.972238</v>
      </c>
      <c r="M467" s="3" t="n">
        <v>6.034323</v>
      </c>
      <c r="N467" s="3" t="n">
        <v>5.792556</v>
      </c>
      <c r="O467" s="3" t="n">
        <v>3.252073</v>
      </c>
      <c r="P467" s="3" t="n">
        <v>-14.144235</v>
      </c>
      <c r="Q467" s="3" t="n">
        <v>10.122209</v>
      </c>
      <c r="R467" s="3" t="n">
        <v>6.83853</v>
      </c>
      <c r="S467" s="3" t="n">
        <v>-0.170901</v>
      </c>
      <c r="T467" s="3" t="n">
        <v>11.102824</v>
      </c>
      <c r="U467" s="3" t="n">
        <v>5.696965</v>
      </c>
      <c r="V467" s="3" t="n">
        <v>-4.850992</v>
      </c>
      <c r="W467" s="3" t="n">
        <v>7.201819</v>
      </c>
      <c r="X467" s="3" t="n">
        <v>4.113056</v>
      </c>
      <c r="Y467" s="3" t="n">
        <v>4.189834</v>
      </c>
      <c r="Z467" s="3" t="n">
        <v>3.032599</v>
      </c>
      <c r="AA467" s="3" t="n">
        <v>-8.726409</v>
      </c>
      <c r="AB467" s="3" t="n">
        <v>11.912538</v>
      </c>
      <c r="AC467" s="3" t="n">
        <v>5.486017</v>
      </c>
      <c r="AD467" s="3" t="n">
        <v>3.208068</v>
      </c>
      <c r="AE467" s="3" t="n">
        <v>-2.989869</v>
      </c>
      <c r="AF467" s="3" t="n">
        <v>-0.887153</v>
      </c>
      <c r="AG467" s="3" t="n">
        <v>4.749433</v>
      </c>
      <c r="AH467" s="3" t="n">
        <v>2.226896</v>
      </c>
      <c r="AI467" s="3" t="n">
        <v>2.960039</v>
      </c>
      <c r="AJ467" s="3" t="n">
        <v>3.931899</v>
      </c>
      <c r="AK467" s="3" t="n">
        <v>3.949348</v>
      </c>
      <c r="AL467" s="3" t="n">
        <v>3.960178</v>
      </c>
      <c r="AM467" s="3" t="n"/>
      <c r="AN467" s="3" t="n"/>
      <c r="AO467" s="3" t="n"/>
      <c r="AP467" s="3" t="n"/>
      <c r="AQ467" s="3" t="n"/>
      <c r="AR467" s="3" t="n"/>
      <c r="AS467" s="3" t="n"/>
      <c r="AT467" s="3" t="n"/>
      <c r="AU467" s="3" t="n"/>
    </row>
    <row r="468">
      <c r="A468" s="3" t="n">
        <v>2031</v>
      </c>
      <c r="B468" s="3" t="inlineStr">
        <is>
          <t>BWA</t>
        </is>
      </c>
      <c r="C468" s="3" t="inlineStr">
        <is>
          <t>IMF.RES:WEO</t>
        </is>
      </c>
      <c r="D468" s="3" t="inlineStr">
        <is>
          <t>BWA.NGDPD.A</t>
        </is>
      </c>
      <c r="E468" s="3" t="inlineStr">
        <is>
          <t>Botswana</t>
        </is>
      </c>
      <c r="F468" s="3" t="inlineStr">
        <is>
          <t>Gross domestic product (GDP), Current prices, US dollar</t>
        </is>
      </c>
      <c r="G468" s="3" t="n">
        <v>5.68238</v>
      </c>
      <c r="H468" s="3" t="n">
        <v>5.460404</v>
      </c>
      <c r="I468" s="3" t="n">
        <v>5.395332</v>
      </c>
      <c r="J468" s="3" t="n">
        <v>7.469058</v>
      </c>
      <c r="K468" s="3" t="n">
        <v>8.818816999999999</v>
      </c>
      <c r="L468" s="3" t="n">
        <v>9.832573999999999</v>
      </c>
      <c r="M468" s="3" t="n">
        <v>9.919157999999999</v>
      </c>
      <c r="N468" s="3" t="n">
        <v>10.566224</v>
      </c>
      <c r="O468" s="3" t="n">
        <v>10.730829</v>
      </c>
      <c r="P468" s="3" t="n">
        <v>10.11846</v>
      </c>
      <c r="Q468" s="3" t="n">
        <v>12.637273</v>
      </c>
      <c r="R468" s="3" t="n">
        <v>15.110643</v>
      </c>
      <c r="S468" s="3" t="n">
        <v>13.907464</v>
      </c>
      <c r="T468" s="3" t="n">
        <v>14.271738</v>
      </c>
      <c r="U468" s="3" t="n">
        <v>15.470088</v>
      </c>
      <c r="V468" s="3" t="n">
        <v>13.530749</v>
      </c>
      <c r="W468" s="3" t="n">
        <v>15.082637</v>
      </c>
      <c r="X468" s="3" t="n">
        <v>16.105156</v>
      </c>
      <c r="Y468" s="3" t="n">
        <v>17.031943</v>
      </c>
      <c r="Z468" s="3" t="n">
        <v>16.695981</v>
      </c>
      <c r="AA468" s="3" t="n">
        <v>14.930018</v>
      </c>
      <c r="AB468" s="3" t="n">
        <v>18.750182</v>
      </c>
      <c r="AC468" s="3" t="n">
        <v>20.32115</v>
      </c>
      <c r="AD468" s="3" t="n">
        <v>19.411266</v>
      </c>
      <c r="AE468" s="3" t="n">
        <v>19.35632</v>
      </c>
      <c r="AF468" s="3" t="n">
        <v>19.533305</v>
      </c>
      <c r="AG468" s="3" t="n">
        <v>21.936675</v>
      </c>
      <c r="AH468" s="3" t="n">
        <v>23.661463</v>
      </c>
      <c r="AI468" s="3" t="n">
        <v>25.400168</v>
      </c>
      <c r="AJ468" s="3" t="n">
        <v>28.041692</v>
      </c>
      <c r="AK468" s="3" t="n">
        <v>30.928156</v>
      </c>
      <c r="AL468" s="3" t="n">
        <v>33.579832</v>
      </c>
      <c r="AM468" s="3" t="n"/>
      <c r="AN468" s="3" t="n"/>
      <c r="AO468" s="3" t="n"/>
      <c r="AP468" s="3" t="n"/>
      <c r="AQ468" s="3" t="n"/>
      <c r="AR468" s="3" t="n"/>
      <c r="AS468" s="3" t="n"/>
      <c r="AT468" s="3" t="n"/>
      <c r="AU468" s="3" t="n"/>
    </row>
    <row r="469">
      <c r="A469" s="3" t="n">
        <v>2031</v>
      </c>
      <c r="B469" s="3" t="inlineStr">
        <is>
          <t>BWA</t>
        </is>
      </c>
      <c r="C469" s="3" t="inlineStr">
        <is>
          <t>IMF.RES:WEO</t>
        </is>
      </c>
      <c r="D469" s="3" t="inlineStr">
        <is>
          <t>BWA.NGDPPC.A</t>
        </is>
      </c>
      <c r="E469" s="3" t="inlineStr">
        <is>
          <t>Botswana</t>
        </is>
      </c>
      <c r="F469" s="3" t="inlineStr">
        <is>
          <t>Gross domestic product (GDP), Current prices, Per capita, Domestic currency</t>
        </is>
      </c>
      <c r="G469" s="3" t="n">
        <v>17284.59881</v>
      </c>
      <c r="H469" s="3" t="n">
        <v>18628.36781</v>
      </c>
      <c r="I469" s="3" t="n">
        <v>19567.433761</v>
      </c>
      <c r="J469" s="3" t="n">
        <v>20819.169502</v>
      </c>
      <c r="K469" s="3" t="n">
        <v>22905.76285</v>
      </c>
      <c r="L469" s="3" t="n">
        <v>27344.667008</v>
      </c>
      <c r="M469" s="3" t="n">
        <v>30851.520989</v>
      </c>
      <c r="N469" s="3" t="n">
        <v>33942.197113</v>
      </c>
      <c r="O469" s="3" t="n">
        <v>37568.704442</v>
      </c>
      <c r="P469" s="3" t="n">
        <v>36369.11371</v>
      </c>
      <c r="Q469" s="3" t="n">
        <v>42227.353409</v>
      </c>
      <c r="R469" s="3" t="n">
        <v>49832.822592</v>
      </c>
      <c r="S469" s="3" t="n">
        <v>50393.376416</v>
      </c>
      <c r="T469" s="3" t="n">
        <v>55994.782155</v>
      </c>
      <c r="U469" s="3" t="n">
        <v>63930.932522</v>
      </c>
      <c r="V469" s="3" t="n">
        <v>62204.205635</v>
      </c>
      <c r="W469" s="3" t="n">
        <v>73572.568808</v>
      </c>
      <c r="X469" s="3" t="n">
        <v>73518.025391</v>
      </c>
      <c r="Y469" s="3" t="n">
        <v>75561.000716</v>
      </c>
      <c r="Z469" s="3" t="n">
        <v>77004.009095</v>
      </c>
      <c r="AA469" s="3" t="n">
        <v>72294.826434</v>
      </c>
      <c r="AB469" s="3" t="n">
        <v>86568.068081</v>
      </c>
      <c r="AC469" s="3" t="n">
        <v>103016.203212</v>
      </c>
      <c r="AD469" s="3" t="n">
        <v>106410.103297</v>
      </c>
      <c r="AE469" s="3" t="n">
        <v>104132.438845</v>
      </c>
      <c r="AF469" s="3" t="n">
        <v>103459.353906</v>
      </c>
      <c r="AG469" s="3" t="n">
        <v>110353.918413</v>
      </c>
      <c r="AH469" s="3" t="n">
        <v>118171.358665</v>
      </c>
      <c r="AI469" s="3" t="n">
        <v>126093.886858</v>
      </c>
      <c r="AJ469" s="3" t="n">
        <v>135087.871174</v>
      </c>
      <c r="AK469" s="3" t="n">
        <v>144764.778536</v>
      </c>
      <c r="AL469" s="3" t="n">
        <v>155173.715496</v>
      </c>
      <c r="AM469" s="3" t="n"/>
      <c r="AN469" s="3" t="n"/>
      <c r="AO469" s="3" t="n"/>
      <c r="AP469" s="3" t="n"/>
      <c r="AQ469" s="3" t="n"/>
      <c r="AR469" s="3" t="n"/>
      <c r="AS469" s="3" t="n"/>
      <c r="AT469" s="3" t="n"/>
      <c r="AU469" s="3" t="n"/>
    </row>
    <row r="470">
      <c r="A470" s="3" t="n">
        <v>2031</v>
      </c>
      <c r="B470" s="3" t="inlineStr">
        <is>
          <t>BWA</t>
        </is>
      </c>
      <c r="C470" s="3" t="inlineStr">
        <is>
          <t>IMF.RES:WEO</t>
        </is>
      </c>
      <c r="D470" s="3" t="inlineStr">
        <is>
          <t>BWA.NGDPRPC.A</t>
        </is>
      </c>
      <c r="E470" s="3" t="inlineStr">
        <is>
          <t>Botswana</t>
        </is>
      </c>
      <c r="F470" s="3" t="inlineStr">
        <is>
          <t>Gross domestic product (GDP), Constant prices, Per capita, Domestic currency</t>
        </is>
      </c>
      <c r="G470" s="3" t="n">
        <v>56804.361972</v>
      </c>
      <c r="H470" s="3" t="n">
        <v>56954.150792</v>
      </c>
      <c r="I470" s="3" t="n">
        <v>60048.057631</v>
      </c>
      <c r="J470" s="3" t="n">
        <v>62179.483252</v>
      </c>
      <c r="K470" s="3" t="n">
        <v>61952.410486</v>
      </c>
      <c r="L470" s="3" t="n">
        <v>63875.912154</v>
      </c>
      <c r="M470" s="3" t="n">
        <v>66478.80785899999</v>
      </c>
      <c r="N470" s="3" t="n">
        <v>68979.671159</v>
      </c>
      <c r="O470" s="3" t="n">
        <v>69806.896954</v>
      </c>
      <c r="P470" s="3" t="n">
        <v>58707.799378</v>
      </c>
      <c r="Q470" s="3" t="n">
        <v>63300.851565</v>
      </c>
      <c r="R470" s="3" t="n">
        <v>66311.243955</v>
      </c>
      <c r="S470" s="3" t="n">
        <v>65096.553287</v>
      </c>
      <c r="T470" s="3" t="n">
        <v>71240.77536699999</v>
      </c>
      <c r="U470" s="3" t="n">
        <v>74212.094939</v>
      </c>
      <c r="V470" s="3" t="n">
        <v>69611.22287500001</v>
      </c>
      <c r="W470" s="3" t="n">
        <v>73572.536922</v>
      </c>
      <c r="X470" s="3" t="n">
        <v>75518.242744</v>
      </c>
      <c r="Y470" s="3" t="n">
        <v>77573.728436</v>
      </c>
      <c r="Z470" s="3" t="n">
        <v>78797.22489699999</v>
      </c>
      <c r="AA470" s="3" t="n">
        <v>70893.232945</v>
      </c>
      <c r="AB470" s="3" t="n">
        <v>78164.020127</v>
      </c>
      <c r="AC470" s="3" t="n">
        <v>81152.72373500001</v>
      </c>
      <c r="AD470" s="3" t="n">
        <v>82393.49870700001</v>
      </c>
      <c r="AE470" s="3" t="n">
        <v>78633.50853599999</v>
      </c>
      <c r="AF470" s="3" t="n">
        <v>77075.791319</v>
      </c>
      <c r="AG470" s="3" t="n">
        <v>79653.10064</v>
      </c>
      <c r="AH470" s="3" t="n">
        <v>80342.57741100001</v>
      </c>
      <c r="AI470" s="3" t="n">
        <v>81629.668129</v>
      </c>
      <c r="AJ470" s="3" t="n">
        <v>83732.654987</v>
      </c>
      <c r="AK470" s="3" t="n">
        <v>85917.512518</v>
      </c>
      <c r="AL470" s="3" t="n">
        <v>88181.901107</v>
      </c>
      <c r="AM470" s="3" t="n"/>
      <c r="AN470" s="3" t="n"/>
      <c r="AO470" s="3" t="n"/>
      <c r="AP470" s="3" t="n"/>
      <c r="AQ470" s="3" t="n"/>
      <c r="AR470" s="3" t="n"/>
      <c r="AS470" s="3" t="n"/>
      <c r="AT470" s="3" t="n"/>
      <c r="AU470" s="3" t="n"/>
    </row>
    <row r="471">
      <c r="A471" s="3" t="n">
        <v>2031</v>
      </c>
      <c r="B471" s="3" t="inlineStr">
        <is>
          <t>BWA</t>
        </is>
      </c>
      <c r="C471" s="3" t="inlineStr">
        <is>
          <t>IMF.RES:WEO</t>
        </is>
      </c>
      <c r="D471" s="3" t="inlineStr">
        <is>
          <t>BWA.PCPI.A</t>
        </is>
      </c>
      <c r="E471" s="3" t="inlineStr">
        <is>
          <t>Botswana</t>
        </is>
      </c>
      <c r="F471" s="3" t="inlineStr">
        <is>
          <t>All Items, Consumer price index (CPI), Period average</t>
        </is>
      </c>
      <c r="G471" s="3" t="n">
        <v>100</v>
      </c>
      <c r="H471" s="3" t="n">
        <v>106.565369</v>
      </c>
      <c r="I471" s="3" t="n">
        <v>115.118708</v>
      </c>
      <c r="J471" s="3" t="n">
        <v>125.692181</v>
      </c>
      <c r="K471" s="3" t="n">
        <v>134.475372</v>
      </c>
      <c r="L471" s="3" t="n">
        <v>146.054004</v>
      </c>
      <c r="M471" s="3" t="n">
        <v>162.928097</v>
      </c>
      <c r="N471" s="3" t="n">
        <v>174.458866</v>
      </c>
      <c r="O471" s="3" t="n">
        <v>196.481231</v>
      </c>
      <c r="P471" s="3" t="n">
        <v>212.41188</v>
      </c>
      <c r="Q471" s="3" t="n">
        <v>227.173599</v>
      </c>
      <c r="R471" s="3" t="n">
        <v>246.422474</v>
      </c>
      <c r="S471" s="3" t="n">
        <v>264.995694</v>
      </c>
      <c r="T471" s="3" t="n">
        <v>280.583238</v>
      </c>
      <c r="U471" s="3" t="n">
        <v>292.969936</v>
      </c>
      <c r="V471" s="3" t="n">
        <v>301.917711</v>
      </c>
      <c r="W471" s="3" t="n">
        <v>310.400674</v>
      </c>
      <c r="X471" s="3" t="n">
        <v>320.632104</v>
      </c>
      <c r="Y471" s="3" t="n">
        <v>331.022525</v>
      </c>
      <c r="Z471" s="3" t="n">
        <v>340.108817</v>
      </c>
      <c r="AA471" s="3" t="n">
        <v>346.538096</v>
      </c>
      <c r="AB471" s="3" t="n">
        <v>369.683497</v>
      </c>
      <c r="AC471" s="3" t="n">
        <v>414.713743</v>
      </c>
      <c r="AD471" s="3" t="n">
        <v>436.01928</v>
      </c>
      <c r="AE471" s="3" t="n">
        <v>448.316365</v>
      </c>
      <c r="AF471" s="3" t="n">
        <v>460.85021</v>
      </c>
      <c r="AG471" s="3" t="n">
        <v>484.282249</v>
      </c>
      <c r="AH471" s="3" t="n">
        <v>511.886337</v>
      </c>
      <c r="AI471" s="3" t="n">
        <v>536.456881</v>
      </c>
      <c r="AJ471" s="3" t="n">
        <v>560.59744</v>
      </c>
      <c r="AK471" s="3" t="n">
        <v>585.824325</v>
      </c>
      <c r="AL471" s="3" t="n">
        <v>612.18642</v>
      </c>
      <c r="AM471" s="3" t="n"/>
      <c r="AN471" s="3" t="n"/>
      <c r="AO471" s="3" t="n"/>
      <c r="AP471" s="3" t="n"/>
      <c r="AQ471" s="3" t="n"/>
      <c r="AR471" s="3" t="n"/>
      <c r="AS471" s="3" t="n"/>
      <c r="AT471" s="3" t="n"/>
      <c r="AU471" s="3" t="n"/>
    </row>
    <row r="472">
      <c r="A472" s="3" t="n">
        <v>2031</v>
      </c>
      <c r="B472" s="3" t="inlineStr">
        <is>
          <t>BWA</t>
        </is>
      </c>
      <c r="C472" s="3" t="inlineStr">
        <is>
          <t>IMF.RES:WEO</t>
        </is>
      </c>
      <c r="D472" s="3" t="inlineStr">
        <is>
          <t>BWA.PCPIPCH.A</t>
        </is>
      </c>
      <c r="E472" s="3" t="inlineStr">
        <is>
          <t>Botswana</t>
        </is>
      </c>
      <c r="F472" s="3" t="inlineStr">
        <is>
          <t>All Items, Consumer price index (CPI), Period average, percent change</t>
        </is>
      </c>
      <c r="G472" s="3" t="n">
        <v>8.534323000000001</v>
      </c>
      <c r="H472" s="3" t="n">
        <v>6.565369</v>
      </c>
      <c r="I472" s="3" t="n">
        <v>8.026377999999999</v>
      </c>
      <c r="J472" s="3" t="n">
        <v>9.184843000000001</v>
      </c>
      <c r="K472" s="3" t="n">
        <v>6.987858</v>
      </c>
      <c r="L472" s="3" t="n">
        <v>8.610225</v>
      </c>
      <c r="M472" s="3" t="n">
        <v>11.553324</v>
      </c>
      <c r="N472" s="3" t="n">
        <v>7.077213</v>
      </c>
      <c r="O472" s="3" t="n">
        <v>12.623242</v>
      </c>
      <c r="P472" s="3" t="n">
        <v>8.107975</v>
      </c>
      <c r="Q472" s="3" t="n">
        <v>6.949573</v>
      </c>
      <c r="R472" s="3" t="n">
        <v>8.473201</v>
      </c>
      <c r="S472" s="3" t="n">
        <v>7.537145</v>
      </c>
      <c r="T472" s="3" t="n">
        <v>5.882187</v>
      </c>
      <c r="U472" s="3" t="n">
        <v>4.414625</v>
      </c>
      <c r="V472" s="3" t="n">
        <v>3.054161</v>
      </c>
      <c r="W472" s="3" t="n">
        <v>2.809694</v>
      </c>
      <c r="X472" s="3" t="n">
        <v>3.296201</v>
      </c>
      <c r="Y472" s="3" t="n">
        <v>3.240605</v>
      </c>
      <c r="Z472" s="3" t="n">
        <v>2.744917</v>
      </c>
      <c r="AA472" s="3" t="n">
        <v>1.890359</v>
      </c>
      <c r="AB472" s="3" t="n">
        <v>6.679035</v>
      </c>
      <c r="AC472" s="3" t="n">
        <v>12.180756</v>
      </c>
      <c r="AD472" s="3" t="n">
        <v>5.137408</v>
      </c>
      <c r="AE472" s="3" t="n">
        <v>2.820308</v>
      </c>
      <c r="AF472" s="3" t="n">
        <v>2.795759</v>
      </c>
      <c r="AG472" s="3" t="n">
        <v>5.084524</v>
      </c>
      <c r="AH472" s="3" t="n">
        <v>5.7</v>
      </c>
      <c r="AI472" s="3" t="n">
        <v>4.8</v>
      </c>
      <c r="AJ472" s="3" t="n">
        <v>4.5</v>
      </c>
      <c r="AK472" s="3" t="n">
        <v>4.5</v>
      </c>
      <c r="AL472" s="3" t="n">
        <v>4.5</v>
      </c>
      <c r="AM472" s="3" t="n"/>
      <c r="AN472" s="3" t="n"/>
      <c r="AO472" s="3" t="n"/>
      <c r="AP472" s="3" t="n"/>
      <c r="AQ472" s="3" t="n"/>
      <c r="AR472" s="3" t="n"/>
      <c r="AS472" s="3" t="n"/>
      <c r="AT472" s="3" t="n"/>
      <c r="AU472" s="3" t="n"/>
    </row>
    <row r="473">
      <c r="A473" s="3" t="n">
        <v>2031</v>
      </c>
      <c r="B473" s="3" t="inlineStr">
        <is>
          <t>BWA</t>
        </is>
      </c>
      <c r="C473" s="3" t="inlineStr">
        <is>
          <t>IMF.RES:WEO</t>
        </is>
      </c>
      <c r="D473" s="3" t="inlineStr">
        <is>
          <t>BWA.PPPPC.A</t>
        </is>
      </c>
      <c r="E473" s="3" t="inlineStr">
        <is>
          <t>Botswana</t>
        </is>
      </c>
      <c r="F473" s="3" t="inlineStr">
        <is>
          <t>Gross domestic product (GDP), Per capita, purchasing power parity (PPP) international dollar, ICP benchmarks 2017-2021</t>
        </is>
      </c>
      <c r="G473" s="3" t="n">
        <v>8588.460311000001</v>
      </c>
      <c r="H473" s="3" t="n">
        <v>8804.996883</v>
      </c>
      <c r="I473" s="3" t="n">
        <v>9427.57458</v>
      </c>
      <c r="J473" s="3" t="n">
        <v>9954.936521</v>
      </c>
      <c r="K473" s="3" t="n">
        <v>10185.281056</v>
      </c>
      <c r="L473" s="3" t="n">
        <v>10830.822868</v>
      </c>
      <c r="M473" s="3" t="n">
        <v>11619.791276</v>
      </c>
      <c r="N473" s="3" t="n">
        <v>12383.570094</v>
      </c>
      <c r="O473" s="3" t="n">
        <v>12773.497097</v>
      </c>
      <c r="P473" s="3" t="n">
        <v>10808.801275</v>
      </c>
      <c r="Q473" s="3" t="n">
        <v>11796.081649</v>
      </c>
      <c r="R473" s="3" t="n">
        <v>12612.023726</v>
      </c>
      <c r="S473" s="3" t="n">
        <v>12611.522178</v>
      </c>
      <c r="T473" s="3" t="n">
        <v>14036.785577</v>
      </c>
      <c r="U473" s="3" t="n">
        <v>14876.91128</v>
      </c>
      <c r="V473" s="3" t="n">
        <v>14084.104575</v>
      </c>
      <c r="W473" s="3" t="n">
        <v>15027.024505</v>
      </c>
      <c r="X473" s="3" t="n">
        <v>15700.665048</v>
      </c>
      <c r="Y473" s="3" t="n">
        <v>15785.819638</v>
      </c>
      <c r="Z473" s="3" t="n">
        <v>15931.45792</v>
      </c>
      <c r="AA473" s="3" t="n">
        <v>15261.357605</v>
      </c>
      <c r="AB473" s="3" t="n">
        <v>17960.625443</v>
      </c>
      <c r="AC473" s="3" t="n">
        <v>19973.651871</v>
      </c>
      <c r="AD473" s="3" t="n">
        <v>21029.367782</v>
      </c>
      <c r="AE473" s="3" t="n">
        <v>20567.941409</v>
      </c>
      <c r="AF473" s="3" t="n">
        <v>20732.399924</v>
      </c>
      <c r="AG473" s="3" t="n">
        <v>22039.476381</v>
      </c>
      <c r="AH473" s="3" t="n">
        <v>22718.40447</v>
      </c>
      <c r="AI473" s="3" t="n">
        <v>23461.225623</v>
      </c>
      <c r="AJ473" s="3" t="n">
        <v>24493.559488</v>
      </c>
      <c r="AK473" s="3" t="n">
        <v>25594.495856</v>
      </c>
      <c r="AL473" s="3" t="n">
        <v>26743.284093</v>
      </c>
      <c r="AM473" s="3" t="n"/>
      <c r="AN473" s="3" t="n"/>
      <c r="AO473" s="3" t="n"/>
      <c r="AP473" s="3" t="n"/>
      <c r="AQ473" s="3" t="n"/>
      <c r="AR473" s="3" t="n"/>
      <c r="AS473" s="3" t="n"/>
      <c r="AT473" s="3" t="n"/>
      <c r="AU473" s="3" t="n"/>
    </row>
    <row r="474">
      <c r="A474" s="3" t="n">
        <v>2025</v>
      </c>
      <c r="B474" s="3" t="inlineStr">
        <is>
          <t>BWA</t>
        </is>
      </c>
      <c r="C474" s="3" t="inlineStr">
        <is>
          <t>IMF.STA:ER</t>
        </is>
      </c>
      <c r="D474" s="3" t="inlineStr">
        <is>
          <t>BWA.XDC_USD.PA_RT.A</t>
        </is>
      </c>
      <c r="E474" s="3" t="inlineStr">
        <is>
          <t>Botswana</t>
        </is>
      </c>
      <c r="F474" s="3" t="inlineStr">
        <is>
          <t>Domestic currency per US Dollar</t>
        </is>
      </c>
      <c r="G474" s="3" t="n">
        <v>5.10224166666666</v>
      </c>
      <c r="H474" s="3" t="n">
        <v>5.84141666666666</v>
      </c>
      <c r="I474" s="3" t="n">
        <v>6.32779166666666</v>
      </c>
      <c r="J474" s="3" t="n">
        <v>4.94966666666666</v>
      </c>
      <c r="K474" s="3" t="n">
        <v>4.69383333333333</v>
      </c>
      <c r="L474" s="3" t="n">
        <v>5.11675</v>
      </c>
      <c r="M474" s="3" t="n">
        <v>5.8303</v>
      </c>
      <c r="N474" s="3" t="n">
        <v>6.13940833333333</v>
      </c>
      <c r="O474" s="3" t="n">
        <v>6.82685833333333</v>
      </c>
      <c r="P474" s="3" t="n">
        <v>7.15514166666666</v>
      </c>
      <c r="Q474" s="3" t="n">
        <v>6.793625</v>
      </c>
      <c r="R474" s="3" t="n">
        <v>6.83823333333333</v>
      </c>
      <c r="S474" s="3" t="n">
        <v>7.640525</v>
      </c>
      <c r="T474" s="3" t="n">
        <v>8.398908333333329</v>
      </c>
      <c r="U474" s="3" t="n">
        <v>8.97608333333333</v>
      </c>
      <c r="V474" s="3" t="n">
        <v>10.1289916666666</v>
      </c>
      <c r="W474" s="3" t="n">
        <v>10.9011583333333</v>
      </c>
      <c r="X474" s="3" t="n">
        <v>10.3474166666666</v>
      </c>
      <c r="Y474" s="3" t="n">
        <v>10.199975</v>
      </c>
      <c r="Z474" s="3" t="n">
        <v>10.7558666666666</v>
      </c>
      <c r="AA474" s="3" t="n">
        <v>11.4562416666666</v>
      </c>
      <c r="AB474" s="3" t="n">
        <v>11.0872583333333</v>
      </c>
      <c r="AC474" s="3" t="n">
        <v>12.3688083333333</v>
      </c>
      <c r="AD474" s="3" t="n">
        <v>13.5963833333333</v>
      </c>
      <c r="AE474" s="3" t="n">
        <v>13.5631333333333</v>
      </c>
      <c r="AF474" s="3" t="n">
        <v>13.5023833333333</v>
      </c>
      <c r="AG474" s="3" t="n"/>
      <c r="AH474" s="3" t="n"/>
      <c r="AI474" s="3" t="n"/>
      <c r="AJ474" s="3" t="n"/>
      <c r="AK474" s="3" t="n"/>
      <c r="AL474" s="3" t="n"/>
      <c r="AM474" s="3" t="n"/>
      <c r="AN474" s="3" t="n"/>
      <c r="AO474" s="3" t="n"/>
      <c r="AP474" s="3" t="n"/>
      <c r="AQ474" s="3" t="n"/>
      <c r="AR474" s="3" t="n"/>
      <c r="AS474" s="3" t="n"/>
      <c r="AT474" s="3" t="n"/>
      <c r="AU474" s="3" t="n"/>
    </row>
    <row r="475">
      <c r="A475" s="3" t="n">
        <v>2031</v>
      </c>
      <c r="B475" s="3" t="inlineStr">
        <is>
          <t>CAF</t>
        </is>
      </c>
      <c r="C475" s="3" t="inlineStr">
        <is>
          <t>IMF.RES:WEO</t>
        </is>
      </c>
      <c r="D475" s="3" t="inlineStr">
        <is>
          <t>CAF.BCA.A</t>
        </is>
      </c>
      <c r="E475" s="3" t="inlineStr">
        <is>
          <t>Central African Republic</t>
        </is>
      </c>
      <c r="F475" s="3" t="inlineStr">
        <is>
          <t>Current account balance (credit less debit), US dollar</t>
        </is>
      </c>
      <c r="G475" s="3" t="n">
        <v>-0.09292300000000001</v>
      </c>
      <c r="H475" s="3" t="n">
        <v>-0.098202</v>
      </c>
      <c r="I475" s="3" t="n">
        <v>-0.113396</v>
      </c>
      <c r="J475" s="3" t="n">
        <v>-0.09850100000000001</v>
      </c>
      <c r="K475" s="3" t="n">
        <v>-0.07727000000000001</v>
      </c>
      <c r="L475" s="3" t="n">
        <v>-0.124313</v>
      </c>
      <c r="M475" s="3" t="n">
        <v>0.00298</v>
      </c>
      <c r="N475" s="3" t="n">
        <v>-0.136837</v>
      </c>
      <c r="O475" s="3" t="n">
        <v>-0.187168</v>
      </c>
      <c r="P475" s="3" t="n">
        <v>-0.254953</v>
      </c>
      <c r="Q475" s="3" t="n">
        <v>-0.209337</v>
      </c>
      <c r="R475" s="3" t="n">
        <v>-0.178217</v>
      </c>
      <c r="S475" s="3" t="n">
        <v>-0.157556</v>
      </c>
      <c r="T475" s="3" t="n">
        <v>-0.039696</v>
      </c>
      <c r="U475" s="3" t="n">
        <v>-0.233205</v>
      </c>
      <c r="V475" s="3" t="n">
        <v>-0.090408</v>
      </c>
      <c r="W475" s="3" t="n">
        <v>-0.009178</v>
      </c>
      <c r="X475" s="3" t="n">
        <v>-0.149063</v>
      </c>
      <c r="Y475" s="3" t="n">
        <v>-0.171266</v>
      </c>
      <c r="Z475" s="3" t="n">
        <v>-0.116997</v>
      </c>
      <c r="AA475" s="3" t="n">
        <v>-0.191248</v>
      </c>
      <c r="AB475" s="3" t="n">
        <v>-0.337476</v>
      </c>
      <c r="AC475" s="3" t="n">
        <v>-0.330197</v>
      </c>
      <c r="AD475" s="3" t="n">
        <v>-0.22405</v>
      </c>
      <c r="AE475" s="3" t="n">
        <v>-0.260937</v>
      </c>
      <c r="AF475" s="3" t="n">
        <v>-0.120772</v>
      </c>
      <c r="AG475" s="3" t="n">
        <v>-0.11892</v>
      </c>
      <c r="AH475" s="3" t="n">
        <v>-0.133108</v>
      </c>
      <c r="AI475" s="3" t="n">
        <v>-0.155365</v>
      </c>
      <c r="AJ475" s="3" t="n">
        <v>-0.186568</v>
      </c>
      <c r="AK475" s="3" t="n">
        <v>-0.222862</v>
      </c>
      <c r="AL475" s="3" t="n">
        <v>-0.25984</v>
      </c>
      <c r="AM475" s="3" t="n"/>
      <c r="AN475" s="3" t="n"/>
      <c r="AO475" s="3" t="n"/>
      <c r="AP475" s="3" t="n"/>
      <c r="AQ475" s="3" t="n"/>
      <c r="AR475" s="3" t="n"/>
      <c r="AS475" s="3" t="n"/>
      <c r="AT475" s="3" t="n"/>
      <c r="AU475" s="3" t="n"/>
    </row>
    <row r="476">
      <c r="A476" s="3" t="n">
        <v>2031</v>
      </c>
      <c r="B476" s="3" t="inlineStr">
        <is>
          <t>CAF</t>
        </is>
      </c>
      <c r="C476" s="3" t="inlineStr">
        <is>
          <t>IMF.RES:WEO</t>
        </is>
      </c>
      <c r="D476" s="3" t="inlineStr">
        <is>
          <t>CAF.BCA_NGDPD.A</t>
        </is>
      </c>
      <c r="E476" s="3" t="inlineStr">
        <is>
          <t>Central African Republic</t>
        </is>
      </c>
      <c r="F476" s="3" t="inlineStr">
        <is>
          <t>Current account balance (credit less debit), Percent of GDP</t>
        </is>
      </c>
      <c r="G476" s="3" t="n">
        <v>-10.70842</v>
      </c>
      <c r="H476" s="3" t="n">
        <v>-10.90998</v>
      </c>
      <c r="I476" s="3" t="n">
        <v>-11.492692</v>
      </c>
      <c r="J476" s="3" t="n">
        <v>-8.272410000000001</v>
      </c>
      <c r="K476" s="3" t="n">
        <v>-5.891296</v>
      </c>
      <c r="L476" s="3" t="n">
        <v>-8.790665000000001</v>
      </c>
      <c r="M476" s="3" t="n">
        <v>0.193622</v>
      </c>
      <c r="N476" s="3" t="n">
        <v>-7.78608</v>
      </c>
      <c r="O476" s="3" t="n">
        <v>-9.169694</v>
      </c>
      <c r="P476" s="3" t="n">
        <v>-12.345565</v>
      </c>
      <c r="Q476" s="3" t="n">
        <v>-9.762321</v>
      </c>
      <c r="R476" s="3" t="n">
        <v>-7.311302</v>
      </c>
      <c r="S476" s="3" t="n">
        <v>-6.272851</v>
      </c>
      <c r="T476" s="3" t="n">
        <v>-2.346715</v>
      </c>
      <c r="U476" s="3" t="n">
        <v>-11.372551</v>
      </c>
      <c r="V476" s="3" t="n">
        <v>-4.846241</v>
      </c>
      <c r="W476" s="3" t="n">
        <v>-0.460099</v>
      </c>
      <c r="X476" s="3" t="n">
        <v>-6.781346</v>
      </c>
      <c r="Y476" s="3" t="n">
        <v>-7.187701</v>
      </c>
      <c r="Z476" s="3" t="n">
        <v>-4.786645</v>
      </c>
      <c r="AA476" s="3" t="n">
        <v>-7.639625</v>
      </c>
      <c r="AB476" s="3" t="n">
        <v>-12.449581</v>
      </c>
      <c r="AC476" s="3" t="n">
        <v>-12.874222</v>
      </c>
      <c r="AD476" s="3" t="n">
        <v>-8.230286</v>
      </c>
      <c r="AE476" s="3" t="n">
        <v>-9.098587</v>
      </c>
      <c r="AF476" s="3" t="n">
        <v>-3.783628</v>
      </c>
      <c r="AG476" s="3" t="n">
        <v>-3.405034</v>
      </c>
      <c r="AH476" s="3" t="n">
        <v>-3.599698</v>
      </c>
      <c r="AI476" s="3" t="n">
        <v>-3.96161</v>
      </c>
      <c r="AJ476" s="3" t="n">
        <v>-4.451191</v>
      </c>
      <c r="AK476" s="3" t="n">
        <v>-4.977561</v>
      </c>
      <c r="AL476" s="3" t="n">
        <v>-5.432432</v>
      </c>
      <c r="AM476" s="3" t="n"/>
      <c r="AN476" s="3" t="n"/>
      <c r="AO476" s="3" t="n"/>
      <c r="AP476" s="3" t="n"/>
      <c r="AQ476" s="3" t="n"/>
      <c r="AR476" s="3" t="n"/>
      <c r="AS476" s="3" t="n"/>
      <c r="AT476" s="3" t="n"/>
      <c r="AU476" s="3" t="n"/>
    </row>
    <row r="477">
      <c r="A477" s="3" t="n">
        <v>2031</v>
      </c>
      <c r="B477" s="3" t="inlineStr">
        <is>
          <t>CAF</t>
        </is>
      </c>
      <c r="C477" s="3" t="inlineStr">
        <is>
          <t>IMF.RES:WEO</t>
        </is>
      </c>
      <c r="D477" s="3" t="inlineStr">
        <is>
          <t>CAF.GGR_NGDP.A</t>
        </is>
      </c>
      <c r="E477" s="3" t="inlineStr">
        <is>
          <t>Central African Republic</t>
        </is>
      </c>
      <c r="F477" s="3" t="inlineStr">
        <is>
          <t>Revenue, General government, Percent of GDP</t>
        </is>
      </c>
      <c r="G477" s="3" t="n">
        <v>15.155451</v>
      </c>
      <c r="H477" s="3" t="n">
        <v>13.265488</v>
      </c>
      <c r="I477" s="3" t="n">
        <v>15.472747</v>
      </c>
      <c r="J477" s="3" t="n">
        <v>9.231106</v>
      </c>
      <c r="K477" s="3" t="n">
        <v>11.33778</v>
      </c>
      <c r="L477" s="3" t="n">
        <v>11.812894</v>
      </c>
      <c r="M477" s="3" t="n">
        <v>21.953648</v>
      </c>
      <c r="N477" s="3" t="n">
        <v>13.915459</v>
      </c>
      <c r="O477" s="3" t="n">
        <v>14.795817</v>
      </c>
      <c r="P477" s="3" t="n">
        <v>15.455216</v>
      </c>
      <c r="Q477" s="3" t="n">
        <v>15.911962</v>
      </c>
      <c r="R477" s="3" t="n">
        <v>12.008866</v>
      </c>
      <c r="S477" s="3" t="n">
        <v>13.966333</v>
      </c>
      <c r="T477" s="3" t="n">
        <v>11.095389</v>
      </c>
      <c r="U477" s="3" t="n">
        <v>13.635253</v>
      </c>
      <c r="V477" s="3" t="n">
        <v>12.159857</v>
      </c>
      <c r="W477" s="3" t="n">
        <v>12.251407</v>
      </c>
      <c r="X477" s="3" t="n">
        <v>12.06295</v>
      </c>
      <c r="Y477" s="3" t="n">
        <v>15.914497</v>
      </c>
      <c r="Z477" s="3" t="n">
        <v>17.091192</v>
      </c>
      <c r="AA477" s="3" t="n">
        <v>20.734347</v>
      </c>
      <c r="AB477" s="3" t="n">
        <v>13.28524</v>
      </c>
      <c r="AC477" s="3" t="n">
        <v>11.984515</v>
      </c>
      <c r="AD477" s="3" t="n">
        <v>14.045702</v>
      </c>
      <c r="AE477" s="3" t="n">
        <v>14.322724</v>
      </c>
      <c r="AF477" s="3" t="n">
        <v>15.57517</v>
      </c>
      <c r="AG477" s="3" t="n">
        <v>14.310388</v>
      </c>
      <c r="AH477" s="3" t="n">
        <v>13.803416</v>
      </c>
      <c r="AI477" s="3" t="n">
        <v>13.468217</v>
      </c>
      <c r="AJ477" s="3" t="n">
        <v>13.217996</v>
      </c>
      <c r="AK477" s="3" t="n">
        <v>12.869744</v>
      </c>
      <c r="AL477" s="3" t="n">
        <v>12.651482</v>
      </c>
      <c r="AM477" s="3" t="n"/>
      <c r="AN477" s="3" t="n"/>
      <c r="AO477" s="3" t="n"/>
      <c r="AP477" s="3" t="n"/>
      <c r="AQ477" s="3" t="n"/>
      <c r="AR477" s="3" t="n"/>
      <c r="AS477" s="3" t="n"/>
      <c r="AT477" s="3" t="n"/>
      <c r="AU477" s="3" t="n"/>
    </row>
    <row r="478">
      <c r="A478" s="3" t="n">
        <v>2031</v>
      </c>
      <c r="B478" s="3" t="inlineStr">
        <is>
          <t>CAF</t>
        </is>
      </c>
      <c r="C478" s="3" t="inlineStr">
        <is>
          <t>IMF.RES:WEO</t>
        </is>
      </c>
      <c r="D478" s="3" t="inlineStr">
        <is>
          <t>CAF.GGX_NGDP.A</t>
        </is>
      </c>
      <c r="E478" s="3" t="inlineStr">
        <is>
          <t>Central African Republic</t>
        </is>
      </c>
      <c r="F478" s="3" t="inlineStr">
        <is>
          <t>Expenditure, General government, Percent of GDP</t>
        </is>
      </c>
      <c r="G478" s="3" t="n">
        <v>17.163908</v>
      </c>
      <c r="H478" s="3" t="n">
        <v>14.141645</v>
      </c>
      <c r="I478" s="3" t="n">
        <v>16.662578</v>
      </c>
      <c r="J478" s="3" t="n">
        <v>12.294119</v>
      </c>
      <c r="K478" s="3" t="n">
        <v>13.075521</v>
      </c>
      <c r="L478" s="3" t="n">
        <v>16.179461</v>
      </c>
      <c r="M478" s="3" t="n">
        <v>13.369923</v>
      </c>
      <c r="N478" s="3" t="n">
        <v>12.871902</v>
      </c>
      <c r="O478" s="3" t="n">
        <v>16.026679</v>
      </c>
      <c r="P478" s="3" t="n">
        <v>15.998</v>
      </c>
      <c r="Q478" s="3" t="n">
        <v>17.259075</v>
      </c>
      <c r="R478" s="3" t="n">
        <v>14.157965</v>
      </c>
      <c r="S478" s="3" t="n">
        <v>14.742497</v>
      </c>
      <c r="T478" s="3" t="n">
        <v>13.399019</v>
      </c>
      <c r="U478" s="3" t="n">
        <v>16.651876</v>
      </c>
      <c r="V478" s="3" t="n">
        <v>12.694855</v>
      </c>
      <c r="W478" s="3" t="n">
        <v>11.068756</v>
      </c>
      <c r="X478" s="3" t="n">
        <v>13.058443</v>
      </c>
      <c r="Y478" s="3" t="n">
        <v>16.844248</v>
      </c>
      <c r="Z478" s="3" t="n">
        <v>15.763867</v>
      </c>
      <c r="AA478" s="3" t="n">
        <v>23.966058</v>
      </c>
      <c r="AB478" s="3" t="n">
        <v>18.996565</v>
      </c>
      <c r="AC478" s="3" t="n">
        <v>17.113017</v>
      </c>
      <c r="AD478" s="3" t="n">
        <v>17.461682</v>
      </c>
      <c r="AE478" s="3" t="n">
        <v>19.353317</v>
      </c>
      <c r="AF478" s="3" t="n">
        <v>21.068797</v>
      </c>
      <c r="AG478" s="3" t="n">
        <v>19.293906</v>
      </c>
      <c r="AH478" s="3" t="n">
        <v>20.020514</v>
      </c>
      <c r="AI478" s="3" t="n">
        <v>20.548508</v>
      </c>
      <c r="AJ478" s="3" t="n">
        <v>21.042567</v>
      </c>
      <c r="AK478" s="3" t="n">
        <v>21.588431</v>
      </c>
      <c r="AL478" s="3" t="n">
        <v>22.204329</v>
      </c>
      <c r="AM478" s="3" t="n"/>
      <c r="AN478" s="3" t="n"/>
      <c r="AO478" s="3" t="n"/>
      <c r="AP478" s="3" t="n"/>
      <c r="AQ478" s="3" t="n"/>
      <c r="AR478" s="3" t="n"/>
      <c r="AS478" s="3" t="n"/>
      <c r="AT478" s="3" t="n"/>
      <c r="AU478" s="3" t="n"/>
    </row>
    <row r="479">
      <c r="A479" s="3" t="n">
        <v>2031</v>
      </c>
      <c r="B479" s="3" t="inlineStr">
        <is>
          <t>CAF</t>
        </is>
      </c>
      <c r="C479" s="3" t="inlineStr">
        <is>
          <t>IMF.RES:WEO</t>
        </is>
      </c>
      <c r="D479" s="3" t="inlineStr">
        <is>
          <t>CAF.LP.A</t>
        </is>
      </c>
      <c r="E479" s="3" t="inlineStr">
        <is>
          <t>Central African Republic</t>
        </is>
      </c>
      <c r="F479" s="3" t="inlineStr">
        <is>
          <t>Population, Persons for countries / Index for country groups</t>
        </is>
      </c>
      <c r="G479" s="3" t="n">
        <v>3.78065</v>
      </c>
      <c r="H479" s="3" t="n">
        <v>3.886183</v>
      </c>
      <c r="I479" s="3" t="n">
        <v>3.952791</v>
      </c>
      <c r="J479" s="3" t="n">
        <v>4.059364</v>
      </c>
      <c r="K479" s="3" t="n">
        <v>4.146808</v>
      </c>
      <c r="L479" s="3" t="n">
        <v>4.238844</v>
      </c>
      <c r="M479" s="3" t="n">
        <v>4.338777</v>
      </c>
      <c r="N479" s="3" t="n">
        <v>4.416381</v>
      </c>
      <c r="O479" s="3" t="n">
        <v>4.50916</v>
      </c>
      <c r="P479" s="3" t="n">
        <v>4.608807</v>
      </c>
      <c r="Q479" s="3" t="n">
        <v>4.449286</v>
      </c>
      <c r="R479" s="3" t="n">
        <v>4.536705</v>
      </c>
      <c r="S479" s="3" t="n">
        <v>4.593338</v>
      </c>
      <c r="T479" s="3" t="n">
        <v>4.628358</v>
      </c>
      <c r="U479" s="3" t="n">
        <v>4.65648</v>
      </c>
      <c r="V479" s="3" t="n">
        <v>4.589884</v>
      </c>
      <c r="W479" s="3" t="n">
        <v>4.668757</v>
      </c>
      <c r="X479" s="3" t="n">
        <v>4.75857</v>
      </c>
      <c r="Y479" s="3" t="n">
        <v>4.828451</v>
      </c>
      <c r="Z479" s="3" t="n">
        <v>4.928863</v>
      </c>
      <c r="AA479" s="3" t="n">
        <v>4.960544</v>
      </c>
      <c r="AB479" s="3" t="n">
        <v>5.092713</v>
      </c>
      <c r="AC479" s="3" t="n">
        <v>5.131487</v>
      </c>
      <c r="AD479" s="3" t="n">
        <v>5.064592</v>
      </c>
      <c r="AE479" s="3" t="n">
        <v>5.33069</v>
      </c>
      <c r="AF479" s="3" t="n">
        <v>5.513282</v>
      </c>
      <c r="AG479" s="3" t="n">
        <v>5.698984</v>
      </c>
      <c r="AH479" s="3" t="n">
        <v>5.888123</v>
      </c>
      <c r="AI479" s="3" t="n">
        <v>6.082465</v>
      </c>
      <c r="AJ479" s="3" t="n">
        <v>6.279732</v>
      </c>
      <c r="AK479" s="3" t="n">
        <v>6.478245</v>
      </c>
      <c r="AL479" s="3" t="n">
        <v>6.680057</v>
      </c>
      <c r="AM479" s="3" t="n"/>
      <c r="AN479" s="3" t="n"/>
      <c r="AO479" s="3" t="n"/>
      <c r="AP479" s="3" t="n"/>
      <c r="AQ479" s="3" t="n"/>
      <c r="AR479" s="3" t="n"/>
      <c r="AS479" s="3" t="n"/>
      <c r="AT479" s="3" t="n"/>
      <c r="AU479" s="3" t="n"/>
    </row>
    <row r="480">
      <c r="A480" s="3" t="n">
        <v>2031</v>
      </c>
      <c r="B480" s="3" t="inlineStr">
        <is>
          <t>CAF</t>
        </is>
      </c>
      <c r="C480" s="3" t="inlineStr">
        <is>
          <t>IMF.RES:WEO</t>
        </is>
      </c>
      <c r="D480" s="3" t="inlineStr">
        <is>
          <t>CAF.NGDP.A</t>
        </is>
      </c>
      <c r="E480" s="3" t="inlineStr">
        <is>
          <t>Central African Republic</t>
        </is>
      </c>
      <c r="F480" s="3" t="inlineStr">
        <is>
          <t>Gross domestic product (GDP), Current prices, Domestic currency</t>
        </is>
      </c>
      <c r="G480" s="3" t="n">
        <v>616.015997</v>
      </c>
      <c r="H480" s="3" t="n">
        <v>659.236938</v>
      </c>
      <c r="I480" s="3" t="n">
        <v>684.959189</v>
      </c>
      <c r="J480" s="3" t="n">
        <v>690.664836</v>
      </c>
      <c r="K480" s="3" t="n">
        <v>691.968209</v>
      </c>
      <c r="L480" s="3" t="n">
        <v>745.21</v>
      </c>
      <c r="M480" s="3" t="n">
        <v>803.9450000000001</v>
      </c>
      <c r="N480" s="3" t="n">
        <v>841.079</v>
      </c>
      <c r="O480" s="3" t="n">
        <v>910.457</v>
      </c>
      <c r="P480" s="3" t="n">
        <v>972.276066</v>
      </c>
      <c r="Q480" s="3" t="n">
        <v>1060.141627</v>
      </c>
      <c r="R480" s="3" t="n">
        <v>1148.89597</v>
      </c>
      <c r="S480" s="3" t="n">
        <v>1281.561</v>
      </c>
      <c r="T480" s="3" t="n">
        <v>835.453651</v>
      </c>
      <c r="U480" s="3" t="n">
        <v>1012.235308</v>
      </c>
      <c r="V480" s="3" t="n">
        <v>1102.809</v>
      </c>
      <c r="W480" s="3" t="n">
        <v>1182.499664</v>
      </c>
      <c r="X480" s="3" t="n">
        <v>1276.81044</v>
      </c>
      <c r="Y480" s="3" t="n">
        <v>1322.900499</v>
      </c>
      <c r="Z480" s="3" t="n">
        <v>1432.04944</v>
      </c>
      <c r="AA480" s="3" t="n">
        <v>1438.826032</v>
      </c>
      <c r="AB480" s="3" t="n">
        <v>1502.399182</v>
      </c>
      <c r="AC480" s="3" t="n">
        <v>1596.385975</v>
      </c>
      <c r="AD480" s="3" t="n">
        <v>1650.995607</v>
      </c>
      <c r="AE480" s="3" t="n">
        <v>1738.555113</v>
      </c>
      <c r="AF480" s="3" t="n">
        <v>1853.99472</v>
      </c>
      <c r="AG480" s="3" t="n">
        <v>1943.353023</v>
      </c>
      <c r="AH480" s="3" t="n">
        <v>2060.498807</v>
      </c>
      <c r="AI480" s="3" t="n">
        <v>2191.228956</v>
      </c>
      <c r="AJ480" s="3" t="n">
        <v>2343.289811</v>
      </c>
      <c r="AK480" s="3" t="n">
        <v>2504.601507</v>
      </c>
      <c r="AL480" s="3" t="n">
        <v>2677.25642</v>
      </c>
      <c r="AM480" s="3" t="n"/>
      <c r="AN480" s="3" t="n"/>
      <c r="AO480" s="3" t="n"/>
      <c r="AP480" s="3" t="n"/>
      <c r="AQ480" s="3" t="n"/>
      <c r="AR480" s="3" t="n"/>
      <c r="AS480" s="3" t="n"/>
      <c r="AT480" s="3" t="n"/>
      <c r="AU480" s="3" t="n"/>
    </row>
    <row r="481">
      <c r="A481" s="3" t="n">
        <v>2031</v>
      </c>
      <c r="B481" s="3" t="inlineStr">
        <is>
          <t>CAF</t>
        </is>
      </c>
      <c r="C481" s="3" t="inlineStr">
        <is>
          <t>IMF.RES:WEO</t>
        </is>
      </c>
      <c r="D481" s="3" t="inlineStr">
        <is>
          <t>CAF.NGDP_D.A</t>
        </is>
      </c>
      <c r="E481" s="3" t="inlineStr">
        <is>
          <t>Central African Republic</t>
        </is>
      </c>
      <c r="F481" s="3" t="inlineStr">
        <is>
          <t>Gross domestic product (GDP), Price deflator, Index</t>
        </is>
      </c>
      <c r="G481" s="3" t="n">
        <v>87.043335</v>
      </c>
      <c r="H481" s="3" t="n">
        <v>90.781874</v>
      </c>
      <c r="I481" s="3" t="n">
        <v>92.39178699999999</v>
      </c>
      <c r="J481" s="3" t="n">
        <v>95.30506200000001</v>
      </c>
      <c r="K481" s="3" t="n">
        <v>95.577105</v>
      </c>
      <c r="L481" s="3" t="n">
        <v>100</v>
      </c>
      <c r="M481" s="3" t="n">
        <v>102.985767</v>
      </c>
      <c r="N481" s="3" t="n">
        <v>103.56802</v>
      </c>
      <c r="O481" s="3" t="n">
        <v>109.255801</v>
      </c>
      <c r="P481" s="3" t="n">
        <v>113.483162</v>
      </c>
      <c r="Q481" s="3" t="n">
        <v>118.261963</v>
      </c>
      <c r="R481" s="3" t="n">
        <v>123.003129</v>
      </c>
      <c r="S481" s="3" t="n">
        <v>130.606141</v>
      </c>
      <c r="T481" s="3" t="n">
        <v>133.855055</v>
      </c>
      <c r="U481" s="3" t="n">
        <v>162.048396</v>
      </c>
      <c r="V481" s="3" t="n">
        <v>169.207365</v>
      </c>
      <c r="W481" s="3" t="n">
        <v>173.207998</v>
      </c>
      <c r="X481" s="3" t="n">
        <v>178.921469</v>
      </c>
      <c r="Y481" s="3" t="n">
        <v>179.631926</v>
      </c>
      <c r="Z481" s="3" t="n">
        <v>186.949517</v>
      </c>
      <c r="AA481" s="3" t="n">
        <v>186.157705</v>
      </c>
      <c r="AB481" s="3" t="n">
        <v>194.21605</v>
      </c>
      <c r="AC481" s="3" t="n">
        <v>204.73844</v>
      </c>
      <c r="AD481" s="3" t="n">
        <v>211.536162</v>
      </c>
      <c r="AE481" s="3" t="n">
        <v>216.058383</v>
      </c>
      <c r="AF481" s="3" t="n">
        <v>219.849256</v>
      </c>
      <c r="AG481" s="3" t="n">
        <v>224.576409</v>
      </c>
      <c r="AH481" s="3" t="n">
        <v>231.208106</v>
      </c>
      <c r="AI481" s="3" t="n">
        <v>238.189991</v>
      </c>
      <c r="AJ481" s="3" t="n">
        <v>246.030746</v>
      </c>
      <c r="AK481" s="3" t="n">
        <v>254.105128</v>
      </c>
      <c r="AL481" s="3" t="n">
        <v>262.443973</v>
      </c>
      <c r="AM481" s="3" t="n"/>
      <c r="AN481" s="3" t="n"/>
      <c r="AO481" s="3" t="n"/>
      <c r="AP481" s="3" t="n"/>
      <c r="AQ481" s="3" t="n"/>
      <c r="AR481" s="3" t="n"/>
      <c r="AS481" s="3" t="n"/>
      <c r="AT481" s="3" t="n"/>
      <c r="AU481" s="3" t="n"/>
    </row>
    <row r="482">
      <c r="A482" s="3" t="n">
        <v>2031</v>
      </c>
      <c r="B482" s="3" t="inlineStr">
        <is>
          <t>CAF</t>
        </is>
      </c>
      <c r="C482" s="3" t="inlineStr">
        <is>
          <t>IMF.RES:WEO</t>
        </is>
      </c>
      <c r="D482" s="3" t="inlineStr">
        <is>
          <t>CAF.NGDP_R.A</t>
        </is>
      </c>
      <c r="E482" s="3" t="inlineStr">
        <is>
          <t>Central African Republic</t>
        </is>
      </c>
      <c r="F482" s="3" t="inlineStr">
        <is>
          <t>Gross domestic product (GDP), Constant prices, Domestic currency</t>
        </is>
      </c>
      <c r="G482" s="3" t="n">
        <v>707.711852</v>
      </c>
      <c r="H482" s="3" t="n">
        <v>726.176831</v>
      </c>
      <c r="I482" s="3" t="n">
        <v>741.363717</v>
      </c>
      <c r="J482" s="3" t="n">
        <v>724.6885140000001</v>
      </c>
      <c r="K482" s="3" t="n">
        <v>723.989505</v>
      </c>
      <c r="L482" s="3" t="n">
        <v>745.21</v>
      </c>
      <c r="M482" s="3" t="n">
        <v>780.6369999999999</v>
      </c>
      <c r="N482" s="3" t="n">
        <v>812.103</v>
      </c>
      <c r="O482" s="3" t="n">
        <v>833.326</v>
      </c>
      <c r="P482" s="3" t="n">
        <v>856.758</v>
      </c>
      <c r="Q482" s="3" t="n">
        <v>896.4349999999999</v>
      </c>
      <c r="R482" s="3" t="n">
        <v>934.038</v>
      </c>
      <c r="S482" s="3" t="n">
        <v>981.241</v>
      </c>
      <c r="T482" s="3" t="n">
        <v>624.148</v>
      </c>
      <c r="U482" s="3" t="n">
        <v>624.65</v>
      </c>
      <c r="V482" s="3" t="n">
        <v>651.75</v>
      </c>
      <c r="W482" s="3" t="n">
        <v>682.705</v>
      </c>
      <c r="X482" s="3" t="n">
        <v>713.615</v>
      </c>
      <c r="Y482" s="3" t="n">
        <v>736.450656</v>
      </c>
      <c r="Z482" s="3" t="n">
        <v>766.008633</v>
      </c>
      <c r="AA482" s="3" t="n">
        <v>772.907052</v>
      </c>
      <c r="AB482" s="3" t="n">
        <v>773.571074</v>
      </c>
      <c r="AC482" s="3" t="n">
        <v>779.719711</v>
      </c>
      <c r="AD482" s="3" t="n">
        <v>780.479133</v>
      </c>
      <c r="AE482" s="3" t="n">
        <v>804.66913</v>
      </c>
      <c r="AF482" s="3" t="n">
        <v>843.3027039999999</v>
      </c>
      <c r="AG482" s="3" t="n">
        <v>865.341569</v>
      </c>
      <c r="AH482" s="3" t="n">
        <v>891.187961</v>
      </c>
      <c r="AI482" s="3" t="n">
        <v>919.950056</v>
      </c>
      <c r="AJ482" s="3" t="n">
        <v>952.4377950000001</v>
      </c>
      <c r="AK482" s="3" t="n">
        <v>985.655634</v>
      </c>
      <c r="AL482" s="3" t="n">
        <v>1020.124938</v>
      </c>
      <c r="AM482" s="3" t="n"/>
      <c r="AN482" s="3" t="n"/>
      <c r="AO482" s="3" t="n"/>
      <c r="AP482" s="3" t="n"/>
      <c r="AQ482" s="3" t="n"/>
      <c r="AR482" s="3" t="n"/>
      <c r="AS482" s="3" t="n"/>
      <c r="AT482" s="3" t="n"/>
      <c r="AU482" s="3" t="n"/>
    </row>
    <row r="483">
      <c r="A483" s="3" t="n">
        <v>2031</v>
      </c>
      <c r="B483" s="3" t="inlineStr">
        <is>
          <t>CAF</t>
        </is>
      </c>
      <c r="C483" s="3" t="inlineStr">
        <is>
          <t>IMF.RES:WEO</t>
        </is>
      </c>
      <c r="D483" s="3" t="inlineStr">
        <is>
          <t>CAF.NGDP_RPCH.A</t>
        </is>
      </c>
      <c r="E483" s="3" t="inlineStr">
        <is>
          <t>Central African Republic</t>
        </is>
      </c>
      <c r="F483" s="3" t="inlineStr">
        <is>
          <t>Gross domestic product (GDP), Constant prices, Percent change</t>
        </is>
      </c>
      <c r="G483" s="3" t="n">
        <v>-3.58073</v>
      </c>
      <c r="H483" s="3" t="n">
        <v>2.60911</v>
      </c>
      <c r="I483" s="3" t="n">
        <v>2.091348</v>
      </c>
      <c r="J483" s="3" t="n">
        <v>-2.249261</v>
      </c>
      <c r="K483" s="3" t="n">
        <v>-0.096456</v>
      </c>
      <c r="L483" s="3" t="n">
        <v>2.93105</v>
      </c>
      <c r="M483" s="3" t="n">
        <v>4.753962</v>
      </c>
      <c r="N483" s="3" t="n">
        <v>4.030811</v>
      </c>
      <c r="O483" s="3" t="n">
        <v>2.613338</v>
      </c>
      <c r="P483" s="3" t="n">
        <v>2.811865</v>
      </c>
      <c r="Q483" s="3" t="n">
        <v>4.631063</v>
      </c>
      <c r="R483" s="3" t="n">
        <v>4.194727</v>
      </c>
      <c r="S483" s="3" t="n">
        <v>5.053649</v>
      </c>
      <c r="T483" s="3" t="n">
        <v>-36.391977</v>
      </c>
      <c r="U483" s="3" t="n">
        <v>0.08043</v>
      </c>
      <c r="V483" s="3" t="n">
        <v>4.33843</v>
      </c>
      <c r="W483" s="3" t="n">
        <v>4.749521</v>
      </c>
      <c r="X483" s="3" t="n">
        <v>4.527578</v>
      </c>
      <c r="Y483" s="3" t="n">
        <v>3.199997</v>
      </c>
      <c r="Z483" s="3" t="n">
        <v>4.013572</v>
      </c>
      <c r="AA483" s="3" t="n">
        <v>0.900567</v>
      </c>
      <c r="AB483" s="3" t="n">
        <v>0.085912</v>
      </c>
      <c r="AC483" s="3" t="n">
        <v>0.794838</v>
      </c>
      <c r="AD483" s="3" t="n">
        <v>0.097397</v>
      </c>
      <c r="AE483" s="3" t="n">
        <v>3.099378</v>
      </c>
      <c r="AF483" s="3" t="n">
        <v>4.801175</v>
      </c>
      <c r="AG483" s="3" t="n">
        <v>2.613399</v>
      </c>
      <c r="AH483" s="3" t="n">
        <v>2.986843</v>
      </c>
      <c r="AI483" s="3" t="n">
        <v>3.227388</v>
      </c>
      <c r="AJ483" s="3" t="n">
        <v>3.531468</v>
      </c>
      <c r="AK483" s="3" t="n">
        <v>3.487665</v>
      </c>
      <c r="AL483" s="3" t="n">
        <v>3.497094</v>
      </c>
      <c r="AM483" s="3" t="n"/>
      <c r="AN483" s="3" t="n"/>
      <c r="AO483" s="3" t="n"/>
      <c r="AP483" s="3" t="n"/>
      <c r="AQ483" s="3" t="n"/>
      <c r="AR483" s="3" t="n"/>
      <c r="AS483" s="3" t="n"/>
      <c r="AT483" s="3" t="n"/>
      <c r="AU483" s="3" t="n"/>
    </row>
    <row r="484">
      <c r="A484" s="3" t="n">
        <v>2031</v>
      </c>
      <c r="B484" s="3" t="inlineStr">
        <is>
          <t>CAF</t>
        </is>
      </c>
      <c r="C484" s="3" t="inlineStr">
        <is>
          <t>IMF.RES:WEO</t>
        </is>
      </c>
      <c r="D484" s="3" t="inlineStr">
        <is>
          <t>CAF.NGDPD.A</t>
        </is>
      </c>
      <c r="E484" s="3" t="inlineStr">
        <is>
          <t>Central African Republic</t>
        </is>
      </c>
      <c r="F484" s="3" t="inlineStr">
        <is>
          <t>Gross domestic product (GDP), Current prices, US dollar</t>
        </is>
      </c>
      <c r="G484" s="3" t="n">
        <v>0.867757</v>
      </c>
      <c r="H484" s="3" t="n">
        <v>0.900114</v>
      </c>
      <c r="I484" s="3" t="n">
        <v>0.986683</v>
      </c>
      <c r="J484" s="3" t="n">
        <v>1.190714</v>
      </c>
      <c r="K484" s="3" t="n">
        <v>1.311595</v>
      </c>
      <c r="L484" s="3" t="n">
        <v>1.414149</v>
      </c>
      <c r="M484" s="3" t="n">
        <v>1.538951</v>
      </c>
      <c r="N484" s="3" t="n">
        <v>1.757457</v>
      </c>
      <c r="O484" s="3" t="n">
        <v>2.04116</v>
      </c>
      <c r="P484" s="3" t="n">
        <v>2.065137</v>
      </c>
      <c r="Q484" s="3" t="n">
        <v>2.144341</v>
      </c>
      <c r="R484" s="3" t="n">
        <v>2.437554</v>
      </c>
      <c r="S484" s="3" t="n">
        <v>2.511716</v>
      </c>
      <c r="T484" s="3" t="n">
        <v>1.69157</v>
      </c>
      <c r="U484" s="3" t="n">
        <v>2.050595</v>
      </c>
      <c r="V484" s="3" t="n">
        <v>1.865526</v>
      </c>
      <c r="W484" s="3" t="n">
        <v>1.994874</v>
      </c>
      <c r="X484" s="3" t="n">
        <v>2.198131</v>
      </c>
      <c r="Y484" s="3" t="n">
        <v>2.382769</v>
      </c>
      <c r="Z484" s="3" t="n">
        <v>2.444245</v>
      </c>
      <c r="AA484" s="3" t="n">
        <v>2.503375</v>
      </c>
      <c r="AB484" s="3" t="n">
        <v>2.710741</v>
      </c>
      <c r="AC484" s="3" t="n">
        <v>2.564794</v>
      </c>
      <c r="AD484" s="3" t="n">
        <v>2.722259</v>
      </c>
      <c r="AE484" s="3" t="n">
        <v>2.867888</v>
      </c>
      <c r="AF484" s="3" t="n">
        <v>3.19197</v>
      </c>
      <c r="AG484" s="3" t="n">
        <v>3.492483</v>
      </c>
      <c r="AH484" s="3" t="n">
        <v>3.69776</v>
      </c>
      <c r="AI484" s="3" t="n">
        <v>3.921774</v>
      </c>
      <c r="AJ484" s="3" t="n">
        <v>4.191412</v>
      </c>
      <c r="AK484" s="3" t="n">
        <v>4.477324</v>
      </c>
      <c r="AL484" s="3" t="n">
        <v>4.783126</v>
      </c>
      <c r="AM484" s="3" t="n"/>
      <c r="AN484" s="3" t="n"/>
      <c r="AO484" s="3" t="n"/>
      <c r="AP484" s="3" t="n"/>
      <c r="AQ484" s="3" t="n"/>
      <c r="AR484" s="3" t="n"/>
      <c r="AS484" s="3" t="n"/>
      <c r="AT484" s="3" t="n"/>
      <c r="AU484" s="3" t="n"/>
    </row>
    <row r="485">
      <c r="A485" s="3" t="n">
        <v>2031</v>
      </c>
      <c r="B485" s="3" t="inlineStr">
        <is>
          <t>CAF</t>
        </is>
      </c>
      <c r="C485" s="3" t="inlineStr">
        <is>
          <t>IMF.RES:WEO</t>
        </is>
      </c>
      <c r="D485" s="3" t="inlineStr">
        <is>
          <t>CAF.NGDPPC.A</t>
        </is>
      </c>
      <c r="E485" s="3" t="inlineStr">
        <is>
          <t>Central African Republic</t>
        </is>
      </c>
      <c r="F485" s="3" t="inlineStr">
        <is>
          <t>Gross domestic product (GDP), Current prices, Per capita, Domestic currency</t>
        </is>
      </c>
      <c r="G485" s="3" t="n">
        <v>162939.176313</v>
      </c>
      <c r="H485" s="3" t="n">
        <v>169636.1026</v>
      </c>
      <c r="I485" s="3" t="n">
        <v>173284.949434</v>
      </c>
      <c r="J485" s="3" t="n">
        <v>170141.144377</v>
      </c>
      <c r="K485" s="3" t="n">
        <v>166867.674867</v>
      </c>
      <c r="L485" s="3" t="n">
        <v>175805.007214</v>
      </c>
      <c r="M485" s="3" t="n">
        <v>185292.998465</v>
      </c>
      <c r="N485" s="3" t="n">
        <v>190445.29899</v>
      </c>
      <c r="O485" s="3" t="n">
        <v>201912.773111</v>
      </c>
      <c r="P485" s="3" t="n">
        <v>210960.464571</v>
      </c>
      <c r="Q485" s="3" t="n">
        <v>238272.30421</v>
      </c>
      <c r="R485" s="3" t="n">
        <v>253244.583838</v>
      </c>
      <c r="S485" s="3" t="n">
        <v>279004.288385</v>
      </c>
      <c r="T485" s="3" t="n">
        <v>180507.569069</v>
      </c>
      <c r="U485" s="3" t="n">
        <v>217382.07994</v>
      </c>
      <c r="V485" s="3" t="n">
        <v>240269.470862</v>
      </c>
      <c r="W485" s="3" t="n">
        <v>253279.334051</v>
      </c>
      <c r="X485" s="3" t="n">
        <v>268318.095488</v>
      </c>
      <c r="Y485" s="3" t="n">
        <v>273980.309325</v>
      </c>
      <c r="Z485" s="3" t="n">
        <v>290543.567626</v>
      </c>
      <c r="AA485" s="3" t="n">
        <v>290054.081092</v>
      </c>
      <c r="AB485" s="3" t="n">
        <v>295009.591603</v>
      </c>
      <c r="AC485" s="3" t="n">
        <v>311096.174507</v>
      </c>
      <c r="AD485" s="3" t="n">
        <v>325987.879558</v>
      </c>
      <c r="AE485" s="3" t="n">
        <v>326140.727146</v>
      </c>
      <c r="AF485" s="3" t="n">
        <v>336277.868604</v>
      </c>
      <c r="AG485" s="3" t="n">
        <v>340999.908661</v>
      </c>
      <c r="AH485" s="3" t="n">
        <v>349941.536028</v>
      </c>
      <c r="AI485" s="3" t="n">
        <v>360253.442562</v>
      </c>
      <c r="AJ485" s="3" t="n">
        <v>373151.244465</v>
      </c>
      <c r="AK485" s="3" t="n">
        <v>386617.287129</v>
      </c>
      <c r="AL485" s="3" t="n">
        <v>400783.469421</v>
      </c>
      <c r="AM485" s="3" t="n"/>
      <c r="AN485" s="3" t="n"/>
      <c r="AO485" s="3" t="n"/>
      <c r="AP485" s="3" t="n"/>
      <c r="AQ485" s="3" t="n"/>
      <c r="AR485" s="3" t="n"/>
      <c r="AS485" s="3" t="n"/>
      <c r="AT485" s="3" t="n"/>
      <c r="AU485" s="3" t="n"/>
    </row>
    <row r="486">
      <c r="A486" s="3" t="n">
        <v>2031</v>
      </c>
      <c r="B486" s="3" t="inlineStr">
        <is>
          <t>CAF</t>
        </is>
      </c>
      <c r="C486" s="3" t="inlineStr">
        <is>
          <t>IMF.RES:WEO</t>
        </is>
      </c>
      <c r="D486" s="3" t="inlineStr">
        <is>
          <t>CAF.NGDPRPC.A</t>
        </is>
      </c>
      <c r="E486" s="3" t="inlineStr">
        <is>
          <t>Central African Republic</t>
        </is>
      </c>
      <c r="F486" s="3" t="inlineStr">
        <is>
          <t>Gross domestic product (GDP), Constant prices, Per capita, Domestic currency</t>
        </is>
      </c>
      <c r="G486" s="3" t="n">
        <v>187193.168446</v>
      </c>
      <c r="H486" s="3" t="n">
        <v>186861.203235</v>
      </c>
      <c r="I486" s="3" t="n">
        <v>187554.494286</v>
      </c>
      <c r="J486" s="3" t="n">
        <v>178522.673471</v>
      </c>
      <c r="K486" s="3" t="n">
        <v>174589.589146</v>
      </c>
      <c r="L486" s="3" t="n">
        <v>175805.007214</v>
      </c>
      <c r="M486" s="3" t="n">
        <v>179920.977732</v>
      </c>
      <c r="N486" s="3" t="n">
        <v>183884.270854</v>
      </c>
      <c r="O486" s="3" t="n">
        <v>184807.369887</v>
      </c>
      <c r="P486" s="3" t="n">
        <v>185895.829441</v>
      </c>
      <c r="Q486" s="3" t="n">
        <v>201478.394511</v>
      </c>
      <c r="R486" s="3" t="n">
        <v>205884.667396</v>
      </c>
      <c r="S486" s="3" t="n">
        <v>213622.642183</v>
      </c>
      <c r="T486" s="3" t="n">
        <v>134853.008346</v>
      </c>
      <c r="U486" s="3" t="n">
        <v>134146.393843</v>
      </c>
      <c r="V486" s="3" t="n">
        <v>141997.052649</v>
      </c>
      <c r="W486" s="3" t="n">
        <v>146228.42868</v>
      </c>
      <c r="X486" s="3" t="n">
        <v>149964.169908</v>
      </c>
      <c r="Y486" s="3" t="n">
        <v>152523.170652</v>
      </c>
      <c r="Z486" s="3" t="n">
        <v>155412.847249</v>
      </c>
      <c r="AA486" s="3" t="n">
        <v>155810.945681</v>
      </c>
      <c r="AB486" s="3" t="n">
        <v>151897.63767</v>
      </c>
      <c r="AC486" s="3" t="n">
        <v>151948.102269</v>
      </c>
      <c r="AD486" s="3" t="n">
        <v>154105.036154</v>
      </c>
      <c r="AE486" s="3" t="n">
        <v>150950.276606</v>
      </c>
      <c r="AF486" s="3" t="n">
        <v>152958.38383</v>
      </c>
      <c r="AG486" s="3" t="n">
        <v>151841.37543</v>
      </c>
      <c r="AH486" s="3" t="n">
        <v>151353.489186</v>
      </c>
      <c r="AI486" s="3" t="n">
        <v>151246.255579</v>
      </c>
      <c r="AJ486" s="3" t="n">
        <v>151668.541731</v>
      </c>
      <c r="AK486" s="3" t="n">
        <v>152148.557809</v>
      </c>
      <c r="AL486" s="3" t="n">
        <v>152712.011048</v>
      </c>
      <c r="AM486" s="3" t="n"/>
      <c r="AN486" s="3" t="n"/>
      <c r="AO486" s="3" t="n"/>
      <c r="AP486" s="3" t="n"/>
      <c r="AQ486" s="3" t="n"/>
      <c r="AR486" s="3" t="n"/>
      <c r="AS486" s="3" t="n"/>
      <c r="AT486" s="3" t="n"/>
      <c r="AU486" s="3" t="n"/>
    </row>
    <row r="487">
      <c r="A487" s="3" t="n">
        <v>2031</v>
      </c>
      <c r="B487" s="3" t="inlineStr">
        <is>
          <t>CAF</t>
        </is>
      </c>
      <c r="C487" s="3" t="inlineStr">
        <is>
          <t>IMF.RES:WEO</t>
        </is>
      </c>
      <c r="D487" s="3" t="inlineStr">
        <is>
          <t>CAF.PCPI.A</t>
        </is>
      </c>
      <c r="E487" s="3" t="inlineStr">
        <is>
          <t>Central African Republic</t>
        </is>
      </c>
      <c r="F487" s="3" t="inlineStr">
        <is>
          <t>All Items, Consumer price index (CPI), Period average</t>
        </is>
      </c>
      <c r="G487" s="3" t="n">
        <v>47.693754</v>
      </c>
      <c r="H487" s="3" t="n">
        <v>49.526472</v>
      </c>
      <c r="I487" s="3" t="n">
        <v>50.664534</v>
      </c>
      <c r="J487" s="3" t="n">
        <v>52.8701</v>
      </c>
      <c r="K487" s="3" t="n">
        <v>51.683887</v>
      </c>
      <c r="L487" s="3" t="n">
        <v>53.174977</v>
      </c>
      <c r="M487" s="3" t="n">
        <v>56.837654</v>
      </c>
      <c r="N487" s="3" t="n">
        <v>57.330527</v>
      </c>
      <c r="O487" s="3" t="n">
        <v>62.633386</v>
      </c>
      <c r="P487" s="3" t="n">
        <v>64.876103</v>
      </c>
      <c r="Q487" s="3" t="n">
        <v>65.84031</v>
      </c>
      <c r="R487" s="3" t="n">
        <v>66.626535</v>
      </c>
      <c r="S487" s="3" t="n">
        <v>70.550117</v>
      </c>
      <c r="T487" s="3" t="n">
        <v>73.351455</v>
      </c>
      <c r="U487" s="3" t="n">
        <v>86.38988500000001</v>
      </c>
      <c r="V487" s="3" t="n">
        <v>87.60195</v>
      </c>
      <c r="W487" s="3" t="n">
        <v>91.93482899999999</v>
      </c>
      <c r="X487" s="3" t="n">
        <v>95.777745</v>
      </c>
      <c r="Y487" s="3" t="n">
        <v>97.321833</v>
      </c>
      <c r="Z487" s="3" t="n">
        <v>100</v>
      </c>
      <c r="AA487" s="3" t="n">
        <v>100.880867</v>
      </c>
      <c r="AB487" s="3" t="n">
        <v>105.17775</v>
      </c>
      <c r="AC487" s="3" t="n">
        <v>111.04605</v>
      </c>
      <c r="AD487" s="3" t="n">
        <v>114.355305</v>
      </c>
      <c r="AE487" s="3" t="n">
        <v>116.041632</v>
      </c>
      <c r="AF487" s="3" t="n">
        <v>117.210566</v>
      </c>
      <c r="AG487" s="3" t="n">
        <v>118.942808</v>
      </c>
      <c r="AH487" s="3" t="n">
        <v>121.970988</v>
      </c>
      <c r="AI487" s="3" t="n">
        <v>125.19496</v>
      </c>
      <c r="AJ487" s="3" t="n">
        <v>128.969821</v>
      </c>
      <c r="AK487" s="3" t="n">
        <v>132.838916</v>
      </c>
      <c r="AL487" s="3" t="n">
        <v>136.824083</v>
      </c>
      <c r="AM487" s="3" t="n"/>
      <c r="AN487" s="3" t="n"/>
      <c r="AO487" s="3" t="n"/>
      <c r="AP487" s="3" t="n"/>
      <c r="AQ487" s="3" t="n"/>
      <c r="AR487" s="3" t="n"/>
      <c r="AS487" s="3" t="n"/>
      <c r="AT487" s="3" t="n"/>
      <c r="AU487" s="3" t="n"/>
    </row>
    <row r="488">
      <c r="A488" s="3" t="n">
        <v>2031</v>
      </c>
      <c r="B488" s="3" t="inlineStr">
        <is>
          <t>CAF</t>
        </is>
      </c>
      <c r="C488" s="3" t="inlineStr">
        <is>
          <t>IMF.RES:WEO</t>
        </is>
      </c>
      <c r="D488" s="3" t="inlineStr">
        <is>
          <t>CAF.PCPIPCH.A</t>
        </is>
      </c>
      <c r="E488" s="3" t="inlineStr">
        <is>
          <t>Central African Republic</t>
        </is>
      </c>
      <c r="F488" s="3" t="inlineStr">
        <is>
          <t>All Items, Consumer price index (CPI), Period average, percent change</t>
        </is>
      </c>
      <c r="G488" s="3" t="n">
        <v>3.202274</v>
      </c>
      <c r="H488" s="3" t="n">
        <v>3.842679</v>
      </c>
      <c r="I488" s="3" t="n">
        <v>2.297886</v>
      </c>
      <c r="J488" s="3" t="n">
        <v>4.353274</v>
      </c>
      <c r="K488" s="3" t="n">
        <v>-2.243637</v>
      </c>
      <c r="L488" s="3" t="n">
        <v>2.88502</v>
      </c>
      <c r="M488" s="3" t="n">
        <v>6.88797</v>
      </c>
      <c r="N488" s="3" t="n">
        <v>0.867161</v>
      </c>
      <c r="O488" s="3" t="n">
        <v>9.249624000000001</v>
      </c>
      <c r="P488" s="3" t="n">
        <v>3.580706</v>
      </c>
      <c r="Q488" s="3" t="n">
        <v>1.486228</v>
      </c>
      <c r="R488" s="3" t="n">
        <v>1.19414</v>
      </c>
      <c r="S488" s="3" t="n">
        <v>5.888917</v>
      </c>
      <c r="T488" s="3" t="n">
        <v>3.970707</v>
      </c>
      <c r="U488" s="3" t="n">
        <v>17.775285</v>
      </c>
      <c r="V488" s="3" t="n">
        <v>1.403017</v>
      </c>
      <c r="W488" s="3" t="n">
        <v>4.946099</v>
      </c>
      <c r="X488" s="3" t="n">
        <v>4.180044</v>
      </c>
      <c r="Y488" s="3" t="n">
        <v>1.612157</v>
      </c>
      <c r="Z488" s="3" t="n">
        <v>2.751867</v>
      </c>
      <c r="AA488" s="3" t="n">
        <v>0.880867</v>
      </c>
      <c r="AB488" s="3" t="n">
        <v>4.259364</v>
      </c>
      <c r="AC488" s="3" t="n">
        <v>5.579412</v>
      </c>
      <c r="AD488" s="3" t="n">
        <v>2.980075</v>
      </c>
      <c r="AE488" s="3" t="n">
        <v>1.474638</v>
      </c>
      <c r="AF488" s="3" t="n">
        <v>1.00734</v>
      </c>
      <c r="AG488" s="3" t="n">
        <v>1.477889</v>
      </c>
      <c r="AH488" s="3" t="n">
        <v>2.545912</v>
      </c>
      <c r="AI488" s="3" t="n">
        <v>2.643228</v>
      </c>
      <c r="AJ488" s="3" t="n">
        <v>3.015187</v>
      </c>
      <c r="AK488" s="3" t="n">
        <v>3</v>
      </c>
      <c r="AL488" s="3" t="n">
        <v>3</v>
      </c>
      <c r="AM488" s="3" t="n"/>
      <c r="AN488" s="3" t="n"/>
      <c r="AO488" s="3" t="n"/>
      <c r="AP488" s="3" t="n"/>
      <c r="AQ488" s="3" t="n"/>
      <c r="AR488" s="3" t="n"/>
      <c r="AS488" s="3" t="n"/>
      <c r="AT488" s="3" t="n"/>
      <c r="AU488" s="3" t="n"/>
    </row>
    <row r="489">
      <c r="A489" s="3" t="n">
        <v>2031</v>
      </c>
      <c r="B489" s="3" t="inlineStr">
        <is>
          <t>CAF</t>
        </is>
      </c>
      <c r="C489" s="3" t="inlineStr">
        <is>
          <t>IMF.RES:WEO</t>
        </is>
      </c>
      <c r="D489" s="3" t="inlineStr">
        <is>
          <t>CAF.PPPPC.A</t>
        </is>
      </c>
      <c r="E489" s="3" t="inlineStr">
        <is>
          <t>Central African Republic</t>
        </is>
      </c>
      <c r="F489" s="3" t="inlineStr">
        <is>
          <t>Gross domestic product (GDP), Per capita, purchasing power parity (PPP) international dollar, ICP benchmarks 2017-2021</t>
        </is>
      </c>
      <c r="G489" s="3" t="n">
        <v>857.531981</v>
      </c>
      <c r="H489" s="3" t="n">
        <v>875.2853720000001</v>
      </c>
      <c r="I489" s="3" t="n">
        <v>892.185564</v>
      </c>
      <c r="J489" s="3" t="n">
        <v>865.987199</v>
      </c>
      <c r="K489" s="3" t="n">
        <v>869.680746</v>
      </c>
      <c r="L489" s="3" t="n">
        <v>903.1965760000001</v>
      </c>
      <c r="M489" s="3" t="n">
        <v>952.847964</v>
      </c>
      <c r="N489" s="3" t="n">
        <v>1000.221148</v>
      </c>
      <c r="O489" s="3" t="n">
        <v>1024.607358</v>
      </c>
      <c r="P489" s="3" t="n">
        <v>1036.998387</v>
      </c>
      <c r="Q489" s="3" t="n">
        <v>1137.58381</v>
      </c>
      <c r="R489" s="3" t="n">
        <v>1186.446919</v>
      </c>
      <c r="S489" s="3" t="n">
        <v>1253.95947</v>
      </c>
      <c r="T489" s="3" t="n">
        <v>805.056519</v>
      </c>
      <c r="U489" s="3" t="n">
        <v>814.78643</v>
      </c>
      <c r="V489" s="3" t="n">
        <v>870.474417</v>
      </c>
      <c r="W489" s="3" t="n">
        <v>904.931654</v>
      </c>
      <c r="X489" s="3" t="n">
        <v>944.670568</v>
      </c>
      <c r="Y489" s="3" t="n">
        <v>981.462702</v>
      </c>
      <c r="Z489" s="3" t="n">
        <v>1087.124836</v>
      </c>
      <c r="AA489" s="3" t="n">
        <v>1160.851236</v>
      </c>
      <c r="AB489" s="3" t="n">
        <v>1219.649276</v>
      </c>
      <c r="AC489" s="3" t="n">
        <v>1306.829803</v>
      </c>
      <c r="AD489" s="3" t="n">
        <v>1374.420036</v>
      </c>
      <c r="AE489" s="3" t="n">
        <v>1379.705705</v>
      </c>
      <c r="AF489" s="3" t="n">
        <v>1437.719774</v>
      </c>
      <c r="AG489" s="3" t="n">
        <v>1468.108285</v>
      </c>
      <c r="AH489" s="3" t="n">
        <v>1495.525695</v>
      </c>
      <c r="AI489" s="3" t="n">
        <v>1518.996143</v>
      </c>
      <c r="AJ489" s="3" t="n">
        <v>1550.322058</v>
      </c>
      <c r="AK489" s="3" t="n">
        <v>1583.80642</v>
      </c>
      <c r="AL489" s="3" t="n">
        <v>1618.370118</v>
      </c>
      <c r="AM489" s="3" t="n"/>
      <c r="AN489" s="3" t="n"/>
      <c r="AO489" s="3" t="n"/>
      <c r="AP489" s="3" t="n"/>
      <c r="AQ489" s="3" t="n"/>
      <c r="AR489" s="3" t="n"/>
      <c r="AS489" s="3" t="n"/>
      <c r="AT489" s="3" t="n"/>
      <c r="AU489" s="3" t="n"/>
    </row>
    <row r="490">
      <c r="A490" s="3" t="n">
        <v>2025</v>
      </c>
      <c r="B490" s="3" t="inlineStr">
        <is>
          <t>CAF</t>
        </is>
      </c>
      <c r="C490" s="3" t="inlineStr">
        <is>
          <t>IMF.STA:ER</t>
        </is>
      </c>
      <c r="D490" s="3" t="inlineStr">
        <is>
          <t>CAF.XDC_USD.PA_RT.A</t>
        </is>
      </c>
      <c r="E490" s="3" t="inlineStr">
        <is>
          <t>Central African Republic</t>
        </is>
      </c>
      <c r="F490" s="3" t="inlineStr">
        <is>
          <t>Domestic currency per US Dollar</t>
        </is>
      </c>
      <c r="G490" s="3" t="n">
        <v>710.207977031367</v>
      </c>
      <c r="H490" s="3" t="n">
        <v>732.397693260228</v>
      </c>
      <c r="I490" s="3" t="n">
        <v>693.713226496374</v>
      </c>
      <c r="J490" s="3" t="n">
        <v>579.897426172466</v>
      </c>
      <c r="K490" s="3" t="n">
        <v>527.338032291576</v>
      </c>
      <c r="L490" s="3" t="n">
        <v>527.258362649626</v>
      </c>
      <c r="M490" s="3" t="n">
        <v>522.425624895176</v>
      </c>
      <c r="N490" s="3" t="n">
        <v>478.633718476363</v>
      </c>
      <c r="O490" s="3" t="n">
        <v>446.000041432788</v>
      </c>
      <c r="P490" s="3" t="n">
        <v>470.293423341398</v>
      </c>
      <c r="Q490" s="3" t="n">
        <v>494.794262222947</v>
      </c>
      <c r="R490" s="3" t="n">
        <v>471.248625718937</v>
      </c>
      <c r="S490" s="3" t="n">
        <v>510.556338454251</v>
      </c>
      <c r="T490" s="3" t="n">
        <v>493.899623852237</v>
      </c>
      <c r="U490" s="3" t="n">
        <v>493.757329875312</v>
      </c>
      <c r="V490" s="3" t="n">
        <v>591.21169798261</v>
      </c>
      <c r="W490" s="3" t="n">
        <v>592.605615063022</v>
      </c>
      <c r="X490" s="3" t="n">
        <v>580.656749587858</v>
      </c>
      <c r="Y490" s="3" t="n">
        <v>555.446458398226</v>
      </c>
      <c r="Z490" s="3" t="n">
        <v>585.911013180369</v>
      </c>
      <c r="AA490" s="3" t="n">
        <v>575.586004510945</v>
      </c>
      <c r="AB490" s="3" t="n">
        <v>554.530675033104</v>
      </c>
      <c r="AC490" s="3" t="n">
        <v>623.759700911182</v>
      </c>
      <c r="AD490" s="3" t="n">
        <v>606.569750165917</v>
      </c>
      <c r="AE490" s="3" t="n">
        <v>606.345297609062</v>
      </c>
      <c r="AF490" s="3" t="n">
        <v>581.928481040339</v>
      </c>
      <c r="AG490" s="3" t="n"/>
      <c r="AH490" s="3" t="n"/>
      <c r="AI490" s="3" t="n"/>
      <c r="AJ490" s="3" t="n"/>
      <c r="AK490" s="3" t="n"/>
      <c r="AL490" s="3" t="n"/>
      <c r="AM490" s="3" t="n"/>
      <c r="AN490" s="3" t="n"/>
      <c r="AO490" s="3" t="n"/>
      <c r="AP490" s="3" t="n"/>
      <c r="AQ490" s="3" t="n"/>
      <c r="AR490" s="3" t="n"/>
      <c r="AS490" s="3" t="n"/>
      <c r="AT490" s="3" t="n"/>
      <c r="AU490" s="3" t="n"/>
    </row>
    <row r="491">
      <c r="A491" s="3" t="n">
        <v>2031</v>
      </c>
      <c r="B491" s="3" t="inlineStr">
        <is>
          <t>CAN</t>
        </is>
      </c>
      <c r="C491" s="3" t="inlineStr">
        <is>
          <t>IMF.RES:WEO</t>
        </is>
      </c>
      <c r="D491" s="3" t="inlineStr">
        <is>
          <t>CAN.BCA.A</t>
        </is>
      </c>
      <c r="E491" s="3" t="inlineStr">
        <is>
          <t>Canada</t>
        </is>
      </c>
      <c r="F491" s="3" t="inlineStr">
        <is>
          <t>Current account balance (credit less debit), US dollar</t>
        </is>
      </c>
      <c r="G491" s="3" t="n">
        <v>18.990246</v>
      </c>
      <c r="H491" s="3" t="n">
        <v>16.350947</v>
      </c>
      <c r="I491" s="3" t="n">
        <v>13.19075</v>
      </c>
      <c r="J491" s="3" t="n">
        <v>11.025581</v>
      </c>
      <c r="K491" s="3" t="n">
        <v>24.071654</v>
      </c>
      <c r="L491" s="3" t="n">
        <v>22.619188</v>
      </c>
      <c r="M491" s="3" t="n">
        <v>19.06387</v>
      </c>
      <c r="N491" s="3" t="n">
        <v>12.093527</v>
      </c>
      <c r="O491" s="3" t="n">
        <v>2.286599</v>
      </c>
      <c r="P491" s="3" t="n">
        <v>-40.04694</v>
      </c>
      <c r="Q491" s="3" t="n">
        <v>-57.616024</v>
      </c>
      <c r="R491" s="3" t="n">
        <v>-48.633412</v>
      </c>
      <c r="S491" s="3" t="n">
        <v>-64.62005000000001</v>
      </c>
      <c r="T491" s="3" t="n">
        <v>-58.01071</v>
      </c>
      <c r="U491" s="3" t="n">
        <v>-41.891034</v>
      </c>
      <c r="V491" s="3" t="n">
        <v>-54.40237</v>
      </c>
      <c r="W491" s="3" t="n">
        <v>-47.187903</v>
      </c>
      <c r="X491" s="3" t="n">
        <v>-46.226476</v>
      </c>
      <c r="Y491" s="3" t="n">
        <v>-41.009619</v>
      </c>
      <c r="Z491" s="3" t="n">
        <v>-34.054286</v>
      </c>
      <c r="AA491" s="3" t="n">
        <v>-33.3959</v>
      </c>
      <c r="AB491" s="3" t="n">
        <v>-0.388395</v>
      </c>
      <c r="AC491" s="3" t="n">
        <v>-10.081789</v>
      </c>
      <c r="AD491" s="3" t="n">
        <v>-15.133617</v>
      </c>
      <c r="AE491" s="3" t="n">
        <v>-10.935037</v>
      </c>
      <c r="AF491" s="3" t="n">
        <v>-21.747999</v>
      </c>
      <c r="AG491" s="3" t="n">
        <v>-5.407092</v>
      </c>
      <c r="AH491" s="3" t="n">
        <v>-9.213886</v>
      </c>
      <c r="AI491" s="3" t="n">
        <v>-11.150836</v>
      </c>
      <c r="AJ491" s="3" t="n">
        <v>-8.713236</v>
      </c>
      <c r="AK491" s="3" t="n">
        <v>-4.71813</v>
      </c>
      <c r="AL491" s="3" t="n">
        <v>-0.705682</v>
      </c>
      <c r="AM491" s="3" t="n"/>
      <c r="AN491" s="3" t="n"/>
      <c r="AO491" s="3" t="n"/>
      <c r="AP491" s="3" t="n"/>
      <c r="AQ491" s="3" t="n"/>
      <c r="AR491" s="3" t="n"/>
      <c r="AS491" s="3" t="n"/>
      <c r="AT491" s="3" t="n"/>
      <c r="AU491" s="3" t="n"/>
    </row>
    <row r="492">
      <c r="A492" s="3" t="n">
        <v>2031</v>
      </c>
      <c r="B492" s="3" t="inlineStr">
        <is>
          <t>CAN</t>
        </is>
      </c>
      <c r="C492" s="3" t="inlineStr">
        <is>
          <t>IMF.RES:WEO</t>
        </is>
      </c>
      <c r="D492" s="3" t="inlineStr">
        <is>
          <t>CAN.BCA_NGDPD.A</t>
        </is>
      </c>
      <c r="E492" s="3" t="inlineStr">
        <is>
          <t>Canada</t>
        </is>
      </c>
      <c r="F492" s="3" t="inlineStr">
        <is>
          <t>Current account balance (credit less debit), Percent of GDP</t>
        </is>
      </c>
      <c r="G492" s="3" t="n">
        <v>2.550288</v>
      </c>
      <c r="H492" s="3" t="n">
        <v>2.212674</v>
      </c>
      <c r="I492" s="3" t="n">
        <v>1.735286</v>
      </c>
      <c r="J492" s="3" t="n">
        <v>1.231085</v>
      </c>
      <c r="K492" s="3" t="n">
        <v>2.345083</v>
      </c>
      <c r="L492" s="3" t="n">
        <v>1.92749</v>
      </c>
      <c r="M492" s="3" t="n">
        <v>1.444938</v>
      </c>
      <c r="N492" s="3" t="n">
        <v>0.823307</v>
      </c>
      <c r="O492" s="3" t="n">
        <v>0.14725</v>
      </c>
      <c r="P492" s="3" t="n">
        <v>-2.909311</v>
      </c>
      <c r="Q492" s="3" t="n">
        <v>-3.562382</v>
      </c>
      <c r="R492" s="3" t="n">
        <v>-2.71191</v>
      </c>
      <c r="S492" s="3" t="n">
        <v>-3.534313</v>
      </c>
      <c r="T492" s="3" t="n">
        <v>-3.141495</v>
      </c>
      <c r="U492" s="3" t="n">
        <v>-2.319868</v>
      </c>
      <c r="V492" s="3" t="n">
        <v>-3.495155</v>
      </c>
      <c r="W492" s="3" t="n">
        <v>-3.088221</v>
      </c>
      <c r="X492" s="3" t="n">
        <v>-2.802852</v>
      </c>
      <c r="Y492" s="3" t="n">
        <v>-2.376956</v>
      </c>
      <c r="Z492" s="3" t="n">
        <v>-1.952962</v>
      </c>
      <c r="AA492" s="3" t="n">
        <v>-2.017044</v>
      </c>
      <c r="AB492" s="3" t="n">
        <v>-0.019205</v>
      </c>
      <c r="AC492" s="3" t="n">
        <v>-0.458145</v>
      </c>
      <c r="AD492" s="3" t="n">
        <v>-0.688958</v>
      </c>
      <c r="AE492" s="3" t="n">
        <v>-0.481704</v>
      </c>
      <c r="AF492" s="3" t="n">
        <v>-0.937454</v>
      </c>
      <c r="AG492" s="3" t="n">
        <v>-0.21565</v>
      </c>
      <c r="AH492" s="3" t="n">
        <v>-0.348959</v>
      </c>
      <c r="AI492" s="3" t="n">
        <v>-0.404101</v>
      </c>
      <c r="AJ492" s="3" t="n">
        <v>-0.3023</v>
      </c>
      <c r="AK492" s="3" t="n">
        <v>-0.156847</v>
      </c>
      <c r="AL492" s="3" t="n">
        <v>-0.022478</v>
      </c>
      <c r="AM492" s="3" t="n"/>
      <c r="AN492" s="3" t="n"/>
      <c r="AO492" s="3" t="n"/>
      <c r="AP492" s="3" t="n"/>
      <c r="AQ492" s="3" t="n"/>
      <c r="AR492" s="3" t="n"/>
      <c r="AS492" s="3" t="n"/>
      <c r="AT492" s="3" t="n"/>
      <c r="AU492" s="3" t="n"/>
    </row>
    <row r="493">
      <c r="A493" s="3" t="n">
        <v>2031</v>
      </c>
      <c r="B493" s="3" t="inlineStr">
        <is>
          <t>CAN</t>
        </is>
      </c>
      <c r="C493" s="3" t="inlineStr">
        <is>
          <t>IMF.RES:WEO</t>
        </is>
      </c>
      <c r="D493" s="3" t="inlineStr">
        <is>
          <t>CAN.GGR_NGDP.A</t>
        </is>
      </c>
      <c r="E493" s="3" t="inlineStr">
        <is>
          <t>Canada</t>
        </is>
      </c>
      <c r="F493" s="3" t="inlineStr">
        <is>
          <t>Revenue, General government, Percent of GDP</t>
        </is>
      </c>
      <c r="G493" s="3" t="n">
        <v>43.197317</v>
      </c>
      <c r="H493" s="3" t="n">
        <v>41.631638</v>
      </c>
      <c r="I493" s="3" t="n">
        <v>40.159957</v>
      </c>
      <c r="J493" s="3" t="n">
        <v>40.148731</v>
      </c>
      <c r="K493" s="3" t="n">
        <v>39.902346</v>
      </c>
      <c r="L493" s="3" t="n">
        <v>40.07372</v>
      </c>
      <c r="M493" s="3" t="n">
        <v>40.488399</v>
      </c>
      <c r="N493" s="3" t="n">
        <v>40.338704</v>
      </c>
      <c r="O493" s="3" t="n">
        <v>38.959808</v>
      </c>
      <c r="P493" s="3" t="n">
        <v>39.539398</v>
      </c>
      <c r="Q493" s="3" t="n">
        <v>38.326387</v>
      </c>
      <c r="R493" s="3" t="n">
        <v>38.26651</v>
      </c>
      <c r="S493" s="3" t="n">
        <v>38.401687</v>
      </c>
      <c r="T493" s="3" t="n">
        <v>38.466035</v>
      </c>
      <c r="U493" s="3" t="n">
        <v>38.545379</v>
      </c>
      <c r="V493" s="3" t="n">
        <v>39.956572</v>
      </c>
      <c r="W493" s="3" t="n">
        <v>40.300069</v>
      </c>
      <c r="X493" s="3" t="n">
        <v>40.342963</v>
      </c>
      <c r="Y493" s="3" t="n">
        <v>41.022242</v>
      </c>
      <c r="Z493" s="3" t="n">
        <v>40.572355</v>
      </c>
      <c r="AA493" s="3" t="n">
        <v>41.413277</v>
      </c>
      <c r="AB493" s="3" t="n">
        <v>42.413533</v>
      </c>
      <c r="AC493" s="3" t="n">
        <v>41.030055</v>
      </c>
      <c r="AD493" s="3" t="n">
        <v>41.645103</v>
      </c>
      <c r="AE493" s="3" t="n">
        <v>42.220668</v>
      </c>
      <c r="AF493" s="3" t="n">
        <v>42.185533</v>
      </c>
      <c r="AG493" s="3" t="n">
        <v>41.897085</v>
      </c>
      <c r="AH493" s="3" t="n">
        <v>41.716884</v>
      </c>
      <c r="AI493" s="3" t="n">
        <v>41.588494</v>
      </c>
      <c r="AJ493" s="3" t="n">
        <v>41.576673</v>
      </c>
      <c r="AK493" s="3" t="n">
        <v>41.61954</v>
      </c>
      <c r="AL493" s="3" t="n">
        <v>41.72804</v>
      </c>
      <c r="AM493" s="3" t="n"/>
      <c r="AN493" s="3" t="n"/>
      <c r="AO493" s="3" t="n"/>
      <c r="AP493" s="3" t="n"/>
      <c r="AQ493" s="3" t="n"/>
      <c r="AR493" s="3" t="n"/>
      <c r="AS493" s="3" t="n"/>
      <c r="AT493" s="3" t="n"/>
      <c r="AU493" s="3" t="n"/>
    </row>
    <row r="494">
      <c r="A494" s="3" t="n">
        <v>2031</v>
      </c>
      <c r="B494" s="3" t="inlineStr">
        <is>
          <t>CAN</t>
        </is>
      </c>
      <c r="C494" s="3" t="inlineStr">
        <is>
          <t>IMF.RES:WEO</t>
        </is>
      </c>
      <c r="D494" s="3" t="inlineStr">
        <is>
          <t>CAN.GGX_NGDP.A</t>
        </is>
      </c>
      <c r="E494" s="3" t="inlineStr">
        <is>
          <t>Canada</t>
        </is>
      </c>
      <c r="F494" s="3" t="inlineStr">
        <is>
          <t>Expenditure, General government, Percent of GDP</t>
        </is>
      </c>
      <c r="G494" s="3" t="n">
        <v>40.557613</v>
      </c>
      <c r="H494" s="3" t="n">
        <v>41.102169</v>
      </c>
      <c r="I494" s="3" t="n">
        <v>40.393853</v>
      </c>
      <c r="J494" s="3" t="n">
        <v>40.275689</v>
      </c>
      <c r="K494" s="3" t="n">
        <v>39.134676</v>
      </c>
      <c r="L494" s="3" t="n">
        <v>38.5206</v>
      </c>
      <c r="M494" s="3" t="n">
        <v>38.660795</v>
      </c>
      <c r="N494" s="3" t="n">
        <v>38.519048</v>
      </c>
      <c r="O494" s="3" t="n">
        <v>38.775383</v>
      </c>
      <c r="P494" s="3" t="n">
        <v>43.42075</v>
      </c>
      <c r="Q494" s="3" t="n">
        <v>43.063945</v>
      </c>
      <c r="R494" s="3" t="n">
        <v>41.575243</v>
      </c>
      <c r="S494" s="3" t="n">
        <v>40.926204</v>
      </c>
      <c r="T494" s="3" t="n">
        <v>39.960741</v>
      </c>
      <c r="U494" s="3" t="n">
        <v>38.370483</v>
      </c>
      <c r="V494" s="3" t="n">
        <v>40.018418</v>
      </c>
      <c r="W494" s="3" t="n">
        <v>40.753233</v>
      </c>
      <c r="X494" s="3" t="n">
        <v>40.455406</v>
      </c>
      <c r="Y494" s="3" t="n">
        <v>40.66235</v>
      </c>
      <c r="Z494" s="3" t="n">
        <v>40.589645</v>
      </c>
      <c r="AA494" s="3" t="n">
        <v>52.362345</v>
      </c>
      <c r="AB494" s="3" t="n">
        <v>45.470653</v>
      </c>
      <c r="AC494" s="3" t="n">
        <v>40.413399</v>
      </c>
      <c r="AD494" s="3" t="n">
        <v>41.80752</v>
      </c>
      <c r="AE494" s="3" t="n">
        <v>44.342235</v>
      </c>
      <c r="AF494" s="3" t="n">
        <v>43.951022</v>
      </c>
      <c r="AG494" s="3" t="n">
        <v>44.568839</v>
      </c>
      <c r="AH494" s="3" t="n">
        <v>44.205457</v>
      </c>
      <c r="AI494" s="3" t="n">
        <v>43.799864</v>
      </c>
      <c r="AJ494" s="3" t="n">
        <v>43.561819</v>
      </c>
      <c r="AK494" s="3" t="n">
        <v>43.350546</v>
      </c>
      <c r="AL494" s="3" t="n">
        <v>43.251782</v>
      </c>
      <c r="AM494" s="3" t="n"/>
      <c r="AN494" s="3" t="n"/>
      <c r="AO494" s="3" t="n"/>
      <c r="AP494" s="3" t="n"/>
      <c r="AQ494" s="3" t="n"/>
      <c r="AR494" s="3" t="n"/>
      <c r="AS494" s="3" t="n"/>
      <c r="AT494" s="3" t="n"/>
      <c r="AU494" s="3" t="n"/>
    </row>
    <row r="495">
      <c r="A495" s="3" t="n">
        <v>2027</v>
      </c>
      <c r="B495" s="3" t="inlineStr">
        <is>
          <t>CAN</t>
        </is>
      </c>
      <c r="C495" s="3" t="inlineStr">
        <is>
          <t>IMF.RES:WEO</t>
        </is>
      </c>
      <c r="D495" s="3" t="inlineStr">
        <is>
          <t>CAN.LE.A</t>
        </is>
      </c>
      <c r="E495" s="3" t="inlineStr">
        <is>
          <t>Canada</t>
        </is>
      </c>
      <c r="F495" s="3" t="inlineStr">
        <is>
          <t>Employed persons, Persons for countries / Index for country groups</t>
        </is>
      </c>
      <c r="G495" s="3" t="n">
        <v>14.765658</v>
      </c>
      <c r="H495" s="3" t="n">
        <v>14.9382</v>
      </c>
      <c r="I495" s="3" t="n">
        <v>15.28365</v>
      </c>
      <c r="J495" s="3" t="n">
        <v>15.653475</v>
      </c>
      <c r="K495" s="3" t="n">
        <v>15.92275</v>
      </c>
      <c r="L495" s="3" t="n">
        <v>16.130383</v>
      </c>
      <c r="M495" s="3" t="n">
        <v>16.419633</v>
      </c>
      <c r="N495" s="3" t="n">
        <v>16.760883</v>
      </c>
      <c r="O495" s="3" t="n">
        <v>16.988475</v>
      </c>
      <c r="P495" s="3" t="n">
        <v>16.756033</v>
      </c>
      <c r="Q495" s="3" t="n">
        <v>16.984392</v>
      </c>
      <c r="R495" s="3" t="n">
        <v>17.226617</v>
      </c>
      <c r="S495" s="3" t="n">
        <v>17.439467</v>
      </c>
      <c r="T495" s="3" t="n">
        <v>17.659608</v>
      </c>
      <c r="U495" s="3" t="n">
        <v>17.730658</v>
      </c>
      <c r="V495" s="3" t="n">
        <v>17.856317</v>
      </c>
      <c r="W495" s="3" t="n">
        <v>17.973008</v>
      </c>
      <c r="X495" s="3" t="n">
        <v>18.3773</v>
      </c>
      <c r="Y495" s="3" t="n">
        <v>18.711058</v>
      </c>
      <c r="Z495" s="3" t="n">
        <v>19.065167</v>
      </c>
      <c r="AA495" s="3" t="n">
        <v>18.072542</v>
      </c>
      <c r="AB495" s="3" t="n">
        <v>18.9727</v>
      </c>
      <c r="AC495" s="3" t="n">
        <v>19.748</v>
      </c>
      <c r="AD495" s="3" t="n">
        <v>20.340408</v>
      </c>
      <c r="AE495" s="3" t="n">
        <v>20.726667</v>
      </c>
      <c r="AF495" s="3" t="n">
        <v>21.0224</v>
      </c>
      <c r="AG495" s="3" t="n">
        <v>21.174669</v>
      </c>
      <c r="AH495" s="3" t="n">
        <v>21.232127</v>
      </c>
      <c r="AI495" s="3" t="n"/>
      <c r="AJ495" s="3" t="n"/>
      <c r="AK495" s="3" t="n"/>
      <c r="AL495" s="3" t="n"/>
      <c r="AM495" s="3" t="n"/>
      <c r="AN495" s="3" t="n"/>
      <c r="AO495" s="3" t="n"/>
      <c r="AP495" s="3" t="n"/>
      <c r="AQ495" s="3" t="n"/>
      <c r="AR495" s="3" t="n"/>
      <c r="AS495" s="3" t="n"/>
      <c r="AT495" s="3" t="n"/>
      <c r="AU495" s="3" t="n"/>
    </row>
    <row r="496">
      <c r="A496" s="3" t="n">
        <v>2031</v>
      </c>
      <c r="B496" s="3" t="inlineStr">
        <is>
          <t>CAN</t>
        </is>
      </c>
      <c r="C496" s="3" t="inlineStr">
        <is>
          <t>IMF.RES:WEO</t>
        </is>
      </c>
      <c r="D496" s="3" t="inlineStr">
        <is>
          <t>CAN.LP.A</t>
        </is>
      </c>
      <c r="E496" s="3" t="inlineStr">
        <is>
          <t>Canada</t>
        </is>
      </c>
      <c r="F496" s="3" t="inlineStr">
        <is>
          <t>Population, Persons for countries / Index for country groups</t>
        </is>
      </c>
      <c r="G496" s="3" t="n">
        <v>30.6474</v>
      </c>
      <c r="H496" s="3" t="n">
        <v>30.971291</v>
      </c>
      <c r="I496" s="3" t="n">
        <v>31.307864</v>
      </c>
      <c r="J496" s="3" t="n">
        <v>31.60184</v>
      </c>
      <c r="K496" s="3" t="n">
        <v>31.89936</v>
      </c>
      <c r="L496" s="3" t="n">
        <v>32.202906</v>
      </c>
      <c r="M496" s="3" t="n">
        <v>32.529278</v>
      </c>
      <c r="N496" s="3" t="n">
        <v>32.848654</v>
      </c>
      <c r="O496" s="3" t="n">
        <v>33.199483</v>
      </c>
      <c r="P496" s="3" t="n">
        <v>33.582177</v>
      </c>
      <c r="Q496" s="3" t="n">
        <v>33.959478</v>
      </c>
      <c r="R496" s="3" t="n">
        <v>34.298531</v>
      </c>
      <c r="S496" s="3" t="n">
        <v>34.664148</v>
      </c>
      <c r="T496" s="3" t="n">
        <v>35.032238</v>
      </c>
      <c r="U496" s="3" t="n">
        <v>35.389234</v>
      </c>
      <c r="V496" s="3" t="n">
        <v>35.676467</v>
      </c>
      <c r="W496" s="3" t="n">
        <v>36.052529</v>
      </c>
      <c r="X496" s="3" t="n">
        <v>36.49434</v>
      </c>
      <c r="Y496" s="3" t="n">
        <v>37.009339</v>
      </c>
      <c r="Z496" s="3" t="n">
        <v>37.555214</v>
      </c>
      <c r="AA496" s="3" t="n">
        <v>37.997798</v>
      </c>
      <c r="AB496" s="3" t="n">
        <v>38.224833</v>
      </c>
      <c r="AC496" s="3" t="n">
        <v>38.873253</v>
      </c>
      <c r="AD496" s="3" t="n">
        <v>39.936359</v>
      </c>
      <c r="AE496" s="3" t="n">
        <v>41.117821</v>
      </c>
      <c r="AF496" s="3" t="n">
        <v>41.601578</v>
      </c>
      <c r="AG496" s="3" t="n">
        <v>41.577956</v>
      </c>
      <c r="AH496" s="3" t="n">
        <v>41.601835</v>
      </c>
      <c r="AI496" s="3" t="n">
        <v>41.731535</v>
      </c>
      <c r="AJ496" s="3" t="n">
        <v>42.011899</v>
      </c>
      <c r="AK496" s="3" t="n">
        <v>42.35078</v>
      </c>
      <c r="AL496" s="3" t="n">
        <v>42.692394</v>
      </c>
      <c r="AM496" s="3" t="n"/>
      <c r="AN496" s="3" t="n"/>
      <c r="AO496" s="3" t="n"/>
      <c r="AP496" s="3" t="n"/>
      <c r="AQ496" s="3" t="n"/>
      <c r="AR496" s="3" t="n"/>
      <c r="AS496" s="3" t="n"/>
      <c r="AT496" s="3" t="n"/>
      <c r="AU496" s="3" t="n"/>
    </row>
    <row r="497">
      <c r="A497" s="3" t="n">
        <v>2031</v>
      </c>
      <c r="B497" s="3" t="inlineStr">
        <is>
          <t>CAN</t>
        </is>
      </c>
      <c r="C497" s="3" t="inlineStr">
        <is>
          <t>IMF.RES:WEO</t>
        </is>
      </c>
      <c r="D497" s="3" t="inlineStr">
        <is>
          <t>CAN.NGDP.A</t>
        </is>
      </c>
      <c r="E497" s="3" t="inlineStr">
        <is>
          <t>Canada</t>
        </is>
      </c>
      <c r="F497" s="3" t="inlineStr">
        <is>
          <t>Gross domestic product (GDP), Current prices, Domestic currency</t>
        </is>
      </c>
      <c r="G497" s="3" t="n">
        <v>1106.071</v>
      </c>
      <c r="H497" s="3" t="n">
        <v>1144.543</v>
      </c>
      <c r="I497" s="3" t="n">
        <v>1193.694</v>
      </c>
      <c r="J497" s="3" t="n">
        <v>1254.747</v>
      </c>
      <c r="K497" s="3" t="n">
        <v>1335.731</v>
      </c>
      <c r="L497" s="3" t="n">
        <v>1421.59</v>
      </c>
      <c r="M497" s="3" t="n">
        <v>1496.604</v>
      </c>
      <c r="N497" s="3" t="n">
        <v>1577.661</v>
      </c>
      <c r="O497" s="3" t="n">
        <v>1657.041</v>
      </c>
      <c r="P497" s="3" t="n">
        <v>1571.334</v>
      </c>
      <c r="Q497" s="3" t="n">
        <v>1666.048</v>
      </c>
      <c r="R497" s="3" t="n">
        <v>1774.063</v>
      </c>
      <c r="S497" s="3" t="n">
        <v>1827.201</v>
      </c>
      <c r="T497" s="3" t="n">
        <v>1902.247</v>
      </c>
      <c r="U497" s="3" t="n">
        <v>1994.898</v>
      </c>
      <c r="V497" s="3" t="n">
        <v>1990.441</v>
      </c>
      <c r="W497" s="3" t="n">
        <v>2025.535</v>
      </c>
      <c r="X497" s="3" t="n">
        <v>2140.641</v>
      </c>
      <c r="Y497" s="3" t="n">
        <v>2235.675</v>
      </c>
      <c r="Z497" s="3" t="n">
        <v>2313.563</v>
      </c>
      <c r="AA497" s="3" t="n">
        <v>2220.527</v>
      </c>
      <c r="AB497" s="3" t="n">
        <v>2535.818</v>
      </c>
      <c r="AC497" s="3" t="n">
        <v>2864.159</v>
      </c>
      <c r="AD497" s="3" t="n">
        <v>2965.201</v>
      </c>
      <c r="AE497" s="3" t="n">
        <v>3108.551</v>
      </c>
      <c r="AF497" s="3" t="n">
        <v>3243.465</v>
      </c>
      <c r="AG497" s="3" t="n">
        <v>3418.496353</v>
      </c>
      <c r="AH497" s="3" t="n">
        <v>3574.096563</v>
      </c>
      <c r="AI497" s="3" t="n">
        <v>3710.451978</v>
      </c>
      <c r="AJ497" s="3" t="n">
        <v>3850.062381</v>
      </c>
      <c r="AK497" s="3" t="n">
        <v>3991.576527</v>
      </c>
      <c r="AL497" s="3" t="n">
        <v>4138.38579</v>
      </c>
      <c r="AM497" s="3" t="n"/>
      <c r="AN497" s="3" t="n"/>
      <c r="AO497" s="3" t="n"/>
      <c r="AP497" s="3" t="n"/>
      <c r="AQ497" s="3" t="n"/>
      <c r="AR497" s="3" t="n"/>
      <c r="AS497" s="3" t="n"/>
      <c r="AT497" s="3" t="n"/>
      <c r="AU497" s="3" t="n"/>
    </row>
    <row r="498">
      <c r="A498" s="3" t="n">
        <v>2031</v>
      </c>
      <c r="B498" s="3" t="inlineStr">
        <is>
          <t>CAN</t>
        </is>
      </c>
      <c r="C498" s="3" t="inlineStr">
        <is>
          <t>IMF.RES:WEO</t>
        </is>
      </c>
      <c r="D498" s="3" t="inlineStr">
        <is>
          <t>CAN.NGDP_D.A</t>
        </is>
      </c>
      <c r="E498" s="3" t="inlineStr">
        <is>
          <t>Canada</t>
        </is>
      </c>
      <c r="F498" s="3" t="inlineStr">
        <is>
          <t>Gross domestic product (GDP), Price deflator, Index</t>
        </is>
      </c>
      <c r="G498" s="3" t="n">
        <v>71.97861</v>
      </c>
      <c r="H498" s="3" t="n">
        <v>73.11130199999999</v>
      </c>
      <c r="I498" s="3" t="n">
        <v>74.03061099999999</v>
      </c>
      <c r="J498" s="3" t="n">
        <v>76.436267</v>
      </c>
      <c r="K498" s="3" t="n">
        <v>78.92885699999999</v>
      </c>
      <c r="L498" s="3" t="n">
        <v>81.389331</v>
      </c>
      <c r="M498" s="3" t="n">
        <v>83.481852</v>
      </c>
      <c r="N498" s="3" t="n">
        <v>86.235535</v>
      </c>
      <c r="O498" s="3" t="n">
        <v>89.681777</v>
      </c>
      <c r="P498" s="3" t="n">
        <v>87.596693</v>
      </c>
      <c r="Q498" s="3" t="n">
        <v>90.092113</v>
      </c>
      <c r="R498" s="3" t="n">
        <v>93.015</v>
      </c>
      <c r="S498" s="3" t="n">
        <v>94.148129</v>
      </c>
      <c r="T498" s="3" t="n">
        <v>95.78711</v>
      </c>
      <c r="U498" s="3" t="n">
        <v>97.64668</v>
      </c>
      <c r="V498" s="3" t="n">
        <v>96.79935</v>
      </c>
      <c r="W498" s="3" t="n">
        <v>97.493526</v>
      </c>
      <c r="X498" s="3" t="n">
        <v>100</v>
      </c>
      <c r="Y498" s="3" t="n">
        <v>101.651255</v>
      </c>
      <c r="Z498" s="3" t="n">
        <v>103.222716</v>
      </c>
      <c r="AA498" s="3" t="n">
        <v>104.328083</v>
      </c>
      <c r="AB498" s="3" t="n">
        <v>112.450172</v>
      </c>
      <c r="AC498" s="3" t="n">
        <v>121.314157</v>
      </c>
      <c r="AD498" s="3" t="n">
        <v>123.187921</v>
      </c>
      <c r="AE498" s="3" t="n">
        <v>126.553705</v>
      </c>
      <c r="AF498" s="3" t="n">
        <v>129.784518</v>
      </c>
      <c r="AG498" s="3" t="n">
        <v>134.766759</v>
      </c>
      <c r="AH498" s="3" t="n">
        <v>138.279341</v>
      </c>
      <c r="AI498" s="3" t="n">
        <v>141.218172</v>
      </c>
      <c r="AJ498" s="3" t="n">
        <v>144.042438</v>
      </c>
      <c r="AK498" s="3" t="n">
        <v>146.890725</v>
      </c>
      <c r="AL498" s="3" t="n">
        <v>149.668872</v>
      </c>
      <c r="AM498" s="3" t="n"/>
      <c r="AN498" s="3" t="n"/>
      <c r="AO498" s="3" t="n"/>
      <c r="AP498" s="3" t="n"/>
      <c r="AQ498" s="3" t="n"/>
      <c r="AR498" s="3" t="n"/>
      <c r="AS498" s="3" t="n"/>
      <c r="AT498" s="3" t="n"/>
      <c r="AU498" s="3" t="n"/>
    </row>
    <row r="499">
      <c r="A499" s="3" t="n">
        <v>2031</v>
      </c>
      <c r="B499" s="3" t="inlineStr">
        <is>
          <t>CAN</t>
        </is>
      </c>
      <c r="C499" s="3" t="inlineStr">
        <is>
          <t>IMF.RES:WEO</t>
        </is>
      </c>
      <c r="D499" s="3" t="inlineStr">
        <is>
          <t>CAN.NGDP_R.A</t>
        </is>
      </c>
      <c r="E499" s="3" t="inlineStr">
        <is>
          <t>Canada</t>
        </is>
      </c>
      <c r="F499" s="3" t="inlineStr">
        <is>
          <t>Gross domestic product (GDP), Constant prices, Domestic currency</t>
        </is>
      </c>
      <c r="G499" s="3" t="n">
        <v>1536.66625</v>
      </c>
      <c r="H499" s="3" t="n">
        <v>1565.48025</v>
      </c>
      <c r="I499" s="3" t="n">
        <v>1612.433</v>
      </c>
      <c r="J499" s="3" t="n">
        <v>1641.55975</v>
      </c>
      <c r="K499" s="3" t="n">
        <v>1692.32275</v>
      </c>
      <c r="L499" s="3" t="n">
        <v>1746.654</v>
      </c>
      <c r="M499" s="3" t="n">
        <v>1792.72975</v>
      </c>
      <c r="N499" s="3" t="n">
        <v>1829.479</v>
      </c>
      <c r="O499" s="3" t="n">
        <v>1847.68975</v>
      </c>
      <c r="P499" s="3" t="n">
        <v>1793.828</v>
      </c>
      <c r="Q499" s="3" t="n">
        <v>1849.27175</v>
      </c>
      <c r="R499" s="3" t="n">
        <v>1907.287</v>
      </c>
      <c r="S499" s="3" t="n">
        <v>1940.7725</v>
      </c>
      <c r="T499" s="3" t="n">
        <v>1985.91125</v>
      </c>
      <c r="U499" s="3" t="n">
        <v>2042.97575</v>
      </c>
      <c r="V499" s="3" t="n">
        <v>2056.2545</v>
      </c>
      <c r="W499" s="3" t="n">
        <v>2077.60975</v>
      </c>
      <c r="X499" s="3" t="n">
        <v>2140.641</v>
      </c>
      <c r="Y499" s="3" t="n">
        <v>2199.358</v>
      </c>
      <c r="Z499" s="3" t="n">
        <v>2241.33125</v>
      </c>
      <c r="AA499" s="3" t="n">
        <v>2128.40775</v>
      </c>
      <c r="AB499" s="3" t="n">
        <v>2255.05925</v>
      </c>
      <c r="AC499" s="3" t="n">
        <v>2360.94375</v>
      </c>
      <c r="AD499" s="3" t="n">
        <v>2407.055</v>
      </c>
      <c r="AE499" s="3" t="n">
        <v>2456.30975</v>
      </c>
      <c r="AF499" s="3" t="n">
        <v>2499.1155</v>
      </c>
      <c r="AG499" s="3" t="n">
        <v>2536.602044</v>
      </c>
      <c r="AH499" s="3" t="n">
        <v>2584.693083</v>
      </c>
      <c r="AI499" s="3" t="n">
        <v>2627.460713</v>
      </c>
      <c r="AJ499" s="3" t="n">
        <v>2672.866707</v>
      </c>
      <c r="AK499" s="3" t="n">
        <v>2717.3782</v>
      </c>
      <c r="AL499" s="3" t="n">
        <v>2765.027715</v>
      </c>
      <c r="AM499" s="3" t="n"/>
      <c r="AN499" s="3" t="n"/>
      <c r="AO499" s="3" t="n"/>
      <c r="AP499" s="3" t="n"/>
      <c r="AQ499" s="3" t="n"/>
      <c r="AR499" s="3" t="n"/>
      <c r="AS499" s="3" t="n"/>
      <c r="AT499" s="3" t="n"/>
      <c r="AU499" s="3" t="n"/>
    </row>
    <row r="500">
      <c r="A500" s="3" t="n">
        <v>2031</v>
      </c>
      <c r="B500" s="3" t="inlineStr">
        <is>
          <t>CAN</t>
        </is>
      </c>
      <c r="C500" s="3" t="inlineStr">
        <is>
          <t>IMF.RES:WEO</t>
        </is>
      </c>
      <c r="D500" s="3" t="inlineStr">
        <is>
          <t>CAN.NGDP_RPCH.A</t>
        </is>
      </c>
      <c r="E500" s="3" t="inlineStr">
        <is>
          <t>Canada</t>
        </is>
      </c>
      <c r="F500" s="3" t="inlineStr">
        <is>
          <t>Gross domestic product (GDP), Constant prices, Percent change</t>
        </is>
      </c>
      <c r="G500" s="3" t="n">
        <v>5.138539</v>
      </c>
      <c r="H500" s="3" t="n">
        <v>1.875098</v>
      </c>
      <c r="I500" s="3" t="n">
        <v>2.999255</v>
      </c>
      <c r="J500" s="3" t="n">
        <v>1.806385</v>
      </c>
      <c r="K500" s="3" t="n">
        <v>3.092364</v>
      </c>
      <c r="L500" s="3" t="n">
        <v>3.210454</v>
      </c>
      <c r="M500" s="3" t="n">
        <v>2.637944</v>
      </c>
      <c r="N500" s="3" t="n">
        <v>2.049905</v>
      </c>
      <c r="O500" s="3" t="n">
        <v>0.995406</v>
      </c>
      <c r="P500" s="3" t="n">
        <v>-2.915086</v>
      </c>
      <c r="Q500" s="3" t="n">
        <v>3.090806</v>
      </c>
      <c r="R500" s="3" t="n">
        <v>3.137194</v>
      </c>
      <c r="S500" s="3" t="n">
        <v>1.755661</v>
      </c>
      <c r="T500" s="3" t="n">
        <v>2.325814</v>
      </c>
      <c r="U500" s="3" t="n">
        <v>2.873467</v>
      </c>
      <c r="V500" s="3" t="n">
        <v>0.649971</v>
      </c>
      <c r="W500" s="3" t="n">
        <v>1.038551</v>
      </c>
      <c r="X500" s="3" t="n">
        <v>3.033835</v>
      </c>
      <c r="Y500" s="3" t="n">
        <v>2.742963</v>
      </c>
      <c r="Z500" s="3" t="n">
        <v>1.908432</v>
      </c>
      <c r="AA500" s="3" t="n">
        <v>-5.038233</v>
      </c>
      <c r="AB500" s="3" t="n">
        <v>5.950528</v>
      </c>
      <c r="AC500" s="3" t="n">
        <v>4.69542</v>
      </c>
      <c r="AD500" s="3" t="n">
        <v>1.953085</v>
      </c>
      <c r="AE500" s="3" t="n">
        <v>2.046266</v>
      </c>
      <c r="AF500" s="3" t="n">
        <v>1.742685</v>
      </c>
      <c r="AG500" s="3" t="n">
        <v>1.499992</v>
      </c>
      <c r="AH500" s="3" t="n">
        <v>1.895884</v>
      </c>
      <c r="AI500" s="3" t="n">
        <v>1.65465</v>
      </c>
      <c r="AJ500" s="3" t="n">
        <v>1.728132</v>
      </c>
      <c r="AK500" s="3" t="n">
        <v>1.665309</v>
      </c>
      <c r="AL500" s="3" t="n">
        <v>1.753511</v>
      </c>
      <c r="AM500" s="3" t="n"/>
      <c r="AN500" s="3" t="n"/>
      <c r="AO500" s="3" t="n"/>
      <c r="AP500" s="3" t="n"/>
      <c r="AQ500" s="3" t="n"/>
      <c r="AR500" s="3" t="n"/>
      <c r="AS500" s="3" t="n"/>
      <c r="AT500" s="3" t="n"/>
      <c r="AU500" s="3" t="n"/>
    </row>
    <row r="501">
      <c r="A501" s="3" t="n">
        <v>2031</v>
      </c>
      <c r="B501" s="3" t="inlineStr">
        <is>
          <t>CAN</t>
        </is>
      </c>
      <c r="C501" s="3" t="inlineStr">
        <is>
          <t>IMF.RES:WEO</t>
        </is>
      </c>
      <c r="D501" s="3" t="inlineStr">
        <is>
          <t>CAN.NGDPD.A</t>
        </is>
      </c>
      <c r="E501" s="3" t="inlineStr">
        <is>
          <t>Canada</t>
        </is>
      </c>
      <c r="F501" s="3" t="inlineStr">
        <is>
          <t>Gross domestic product (GDP), Current prices, US dollar</t>
        </is>
      </c>
      <c r="G501" s="3" t="n">
        <v>744.631343</v>
      </c>
      <c r="H501" s="3" t="n">
        <v>738.967894</v>
      </c>
      <c r="I501" s="3" t="n">
        <v>760.148659</v>
      </c>
      <c r="J501" s="3" t="n">
        <v>895.598837</v>
      </c>
      <c r="K501" s="3" t="n">
        <v>1026.473444</v>
      </c>
      <c r="L501" s="3" t="n">
        <v>1173.505015</v>
      </c>
      <c r="M501" s="3" t="n">
        <v>1319.355542</v>
      </c>
      <c r="N501" s="3" t="n">
        <v>1468.895704</v>
      </c>
      <c r="O501" s="3" t="n">
        <v>1552.864131</v>
      </c>
      <c r="P501" s="3" t="n">
        <v>1376.50921</v>
      </c>
      <c r="Q501" s="3" t="n">
        <v>1617.345309</v>
      </c>
      <c r="R501" s="3" t="n">
        <v>1793.32663</v>
      </c>
      <c r="S501" s="3" t="n">
        <v>1828.362479</v>
      </c>
      <c r="T501" s="3" t="n">
        <v>1846.59548</v>
      </c>
      <c r="U501" s="3" t="n">
        <v>1805.750784</v>
      </c>
      <c r="V501" s="3" t="n">
        <v>1556.508034</v>
      </c>
      <c r="W501" s="3" t="n">
        <v>1527.996251</v>
      </c>
      <c r="X501" s="3" t="n">
        <v>1649.265644</v>
      </c>
      <c r="Y501" s="3" t="n">
        <v>1725.300254</v>
      </c>
      <c r="Z501" s="3" t="n">
        <v>1743.725184</v>
      </c>
      <c r="AA501" s="3" t="n">
        <v>1655.685476</v>
      </c>
      <c r="AB501" s="3" t="n">
        <v>2022.381939</v>
      </c>
      <c r="AC501" s="3" t="n">
        <v>2200.567395</v>
      </c>
      <c r="AD501" s="3" t="n">
        <v>2196.593836</v>
      </c>
      <c r="AE501" s="3" t="n">
        <v>2270.07619</v>
      </c>
      <c r="AF501" s="3" t="n">
        <v>2319.899772</v>
      </c>
      <c r="AG501" s="3" t="n">
        <v>2507.340482</v>
      </c>
      <c r="AH501" s="3" t="n">
        <v>2640.392581</v>
      </c>
      <c r="AI501" s="3" t="n">
        <v>2759.417953</v>
      </c>
      <c r="AJ501" s="3" t="n">
        <v>2882.317317</v>
      </c>
      <c r="AK501" s="3" t="n">
        <v>3008.106707</v>
      </c>
      <c r="AL501" s="3" t="n">
        <v>3139.432668</v>
      </c>
      <c r="AM501" s="3" t="n"/>
      <c r="AN501" s="3" t="n"/>
      <c r="AO501" s="3" t="n"/>
      <c r="AP501" s="3" t="n"/>
      <c r="AQ501" s="3" t="n"/>
      <c r="AR501" s="3" t="n"/>
      <c r="AS501" s="3" t="n"/>
      <c r="AT501" s="3" t="n"/>
      <c r="AU501" s="3" t="n"/>
    </row>
    <row r="502">
      <c r="A502" s="3" t="n">
        <v>2031</v>
      </c>
      <c r="B502" s="3" t="inlineStr">
        <is>
          <t>CAN</t>
        </is>
      </c>
      <c r="C502" s="3" t="inlineStr">
        <is>
          <t>IMF.RES:WEO</t>
        </is>
      </c>
      <c r="D502" s="3" t="inlineStr">
        <is>
          <t>CAN.NGDPPC.A</t>
        </is>
      </c>
      <c r="E502" s="3" t="inlineStr">
        <is>
          <t>Canada</t>
        </is>
      </c>
      <c r="F502" s="3" t="inlineStr">
        <is>
          <t>Gross domestic product (GDP), Current prices, Per capita, Domestic currency</t>
        </is>
      </c>
      <c r="G502" s="3" t="n">
        <v>36090.206379</v>
      </c>
      <c r="H502" s="3" t="n">
        <v>36954.965512</v>
      </c>
      <c r="I502" s="3" t="n">
        <v>38127.609698</v>
      </c>
      <c r="J502" s="3" t="n">
        <v>39704.871301</v>
      </c>
      <c r="K502" s="3" t="n">
        <v>41873.284904</v>
      </c>
      <c r="L502" s="3" t="n">
        <v>44144.774109</v>
      </c>
      <c r="M502" s="3" t="n">
        <v>46007.907092</v>
      </c>
      <c r="N502" s="3" t="n">
        <v>48028.177958</v>
      </c>
      <c r="O502" s="3" t="n">
        <v>49911.650733</v>
      </c>
      <c r="P502" s="3" t="n">
        <v>46790.712475</v>
      </c>
      <c r="Q502" s="3" t="n">
        <v>49059.883209</v>
      </c>
      <c r="R502" s="3" t="n">
        <v>51724.169349</v>
      </c>
      <c r="S502" s="3" t="n">
        <v>52711.550851</v>
      </c>
      <c r="T502" s="3" t="n">
        <v>54299.900199</v>
      </c>
      <c r="U502" s="3" t="n">
        <v>56370.195189</v>
      </c>
      <c r="V502" s="3" t="n">
        <v>55791.427663</v>
      </c>
      <c r="W502" s="3" t="n">
        <v>56182.882872</v>
      </c>
      <c r="X502" s="3" t="n">
        <v>58656.794853</v>
      </c>
      <c r="Y502" s="3" t="n">
        <v>60408.40165</v>
      </c>
      <c r="Z502" s="3" t="n">
        <v>61604.308792</v>
      </c>
      <c r="AA502" s="3" t="n">
        <v>58438.307014</v>
      </c>
      <c r="AB502" s="3" t="n">
        <v>66339.545111</v>
      </c>
      <c r="AC502" s="3" t="n">
        <v>73679.426829</v>
      </c>
      <c r="AD502" s="3" t="n">
        <v>74248.15567199999</v>
      </c>
      <c r="AE502" s="3" t="n">
        <v>75601.063587</v>
      </c>
      <c r="AF502" s="3" t="n">
        <v>77964.95217</v>
      </c>
      <c r="AG502" s="3" t="n">
        <v>82218.961972</v>
      </c>
      <c r="AH502" s="3" t="n">
        <v>85911.99413200001</v>
      </c>
      <c r="AI502" s="3" t="n">
        <v>88912.426059</v>
      </c>
      <c r="AJ502" s="3" t="n">
        <v>91642.188398</v>
      </c>
      <c r="AK502" s="3" t="n">
        <v>94250.36612000001</v>
      </c>
      <c r="AL502" s="3" t="n">
        <v>96934.965616</v>
      </c>
      <c r="AM502" s="3" t="n"/>
      <c r="AN502" s="3" t="n"/>
      <c r="AO502" s="3" t="n"/>
      <c r="AP502" s="3" t="n"/>
      <c r="AQ502" s="3" t="n"/>
      <c r="AR502" s="3" t="n"/>
      <c r="AS502" s="3" t="n"/>
      <c r="AT502" s="3" t="n"/>
      <c r="AU502" s="3" t="n"/>
    </row>
    <row r="503">
      <c r="A503" s="3" t="n">
        <v>2031</v>
      </c>
      <c r="B503" s="3" t="inlineStr">
        <is>
          <t>CAN</t>
        </is>
      </c>
      <c r="C503" s="3" t="inlineStr">
        <is>
          <t>IMF.RES:WEO</t>
        </is>
      </c>
      <c r="D503" s="3" t="inlineStr">
        <is>
          <t>CAN.NGDPRPC.A</t>
        </is>
      </c>
      <c r="E503" s="3" t="inlineStr">
        <is>
          <t>Canada</t>
        </is>
      </c>
      <c r="F503" s="3" t="inlineStr">
        <is>
          <t>Gross domestic product (GDP), Constant prices, Per capita, Domestic currency</t>
        </is>
      </c>
      <c r="G503" s="3" t="n">
        <v>50140.182771</v>
      </c>
      <c r="H503" s="3" t="n">
        <v>50546.173143</v>
      </c>
      <c r="I503" s="3" t="n">
        <v>51502.492337</v>
      </c>
      <c r="J503" s="3" t="n">
        <v>51945.068294</v>
      </c>
      <c r="K503" s="3" t="n">
        <v>53051.933855</v>
      </c>
      <c r="L503" s="3" t="n">
        <v>54239.018477</v>
      </c>
      <c r="M503" s="3" t="n">
        <v>55111.267763</v>
      </c>
      <c r="N503" s="3" t="n">
        <v>55694.184608</v>
      </c>
      <c r="O503" s="3" t="n">
        <v>55654.172386</v>
      </c>
      <c r="P503" s="3" t="n">
        <v>53416.072062</v>
      </c>
      <c r="Q503" s="3" t="n">
        <v>54455.247434</v>
      </c>
      <c r="R503" s="3" t="n">
        <v>55608.417393</v>
      </c>
      <c r="S503" s="3" t="n">
        <v>55987.889851</v>
      </c>
      <c r="T503" s="3" t="n">
        <v>56688.107632</v>
      </c>
      <c r="U503" s="3" t="n">
        <v>57728.736905</v>
      </c>
      <c r="V503" s="3" t="n">
        <v>57636.159119</v>
      </c>
      <c r="W503" s="3" t="n">
        <v>57627.296116</v>
      </c>
      <c r="X503" s="3" t="n">
        <v>58656.794853</v>
      </c>
      <c r="Y503" s="3" t="n">
        <v>59427.108786</v>
      </c>
      <c r="Z503" s="3" t="n">
        <v>59680.960678</v>
      </c>
      <c r="AA503" s="3" t="n">
        <v>56013.975757</v>
      </c>
      <c r="AB503" s="3" t="n">
        <v>58994.614299</v>
      </c>
      <c r="AC503" s="3" t="n">
        <v>60734.401363</v>
      </c>
      <c r="AD503" s="3" t="n">
        <v>60272.269688</v>
      </c>
      <c r="AE503" s="3" t="n">
        <v>59738.324898</v>
      </c>
      <c r="AF503" s="3" t="n">
        <v>60072.613833</v>
      </c>
      <c r="AG503" s="3" t="n">
        <v>61008.339761</v>
      </c>
      <c r="AH503" s="3" t="n">
        <v>62129.305421</v>
      </c>
      <c r="AI503" s="3" t="n">
        <v>62961.037569</v>
      </c>
      <c r="AJ503" s="3" t="n">
        <v>63621.658577</v>
      </c>
      <c r="AK503" s="3" t="n">
        <v>64163.592641</v>
      </c>
      <c r="AL503" s="3" t="n">
        <v>64766.283313</v>
      </c>
      <c r="AM503" s="3" t="n"/>
      <c r="AN503" s="3" t="n"/>
      <c r="AO503" s="3" t="n"/>
      <c r="AP503" s="3" t="n"/>
      <c r="AQ503" s="3" t="n"/>
      <c r="AR503" s="3" t="n"/>
      <c r="AS503" s="3" t="n"/>
      <c r="AT503" s="3" t="n"/>
      <c r="AU503" s="3" t="n"/>
    </row>
    <row r="504">
      <c r="A504" s="3" t="n">
        <v>2031</v>
      </c>
      <c r="B504" s="3" t="inlineStr">
        <is>
          <t>CAN</t>
        </is>
      </c>
      <c r="C504" s="3" t="inlineStr">
        <is>
          <t>IMF.RES:WEO</t>
        </is>
      </c>
      <c r="D504" s="3" t="inlineStr">
        <is>
          <t>CAN.PCPI.A</t>
        </is>
      </c>
      <c r="E504" s="3" t="inlineStr">
        <is>
          <t>Canada</t>
        </is>
      </c>
      <c r="F504" s="3" t="inlineStr">
        <is>
          <t>All Items, Consumer price index (CPI), Period average</t>
        </is>
      </c>
      <c r="G504" s="3" t="n">
        <v>95.375</v>
      </c>
      <c r="H504" s="3" t="n">
        <v>97.783333</v>
      </c>
      <c r="I504" s="3" t="n">
        <v>99.99166700000001</v>
      </c>
      <c r="J504" s="3" t="n">
        <v>102.75</v>
      </c>
      <c r="K504" s="3" t="n">
        <v>104.658333</v>
      </c>
      <c r="L504" s="3" t="n">
        <v>106.975</v>
      </c>
      <c r="M504" s="3" t="n">
        <v>109.116667</v>
      </c>
      <c r="N504" s="3" t="n">
        <v>111.45</v>
      </c>
      <c r="O504" s="3" t="n">
        <v>114.091667</v>
      </c>
      <c r="P504" s="3" t="n">
        <v>114.433333</v>
      </c>
      <c r="Q504" s="3" t="n">
        <v>116.466667</v>
      </c>
      <c r="R504" s="3" t="n">
        <v>119.858333</v>
      </c>
      <c r="S504" s="3" t="n">
        <v>121.675</v>
      </c>
      <c r="T504" s="3" t="n">
        <v>122.816667</v>
      </c>
      <c r="U504" s="3" t="n">
        <v>125.158333</v>
      </c>
      <c r="V504" s="3" t="n">
        <v>126.566667</v>
      </c>
      <c r="W504" s="3" t="n">
        <v>128.375</v>
      </c>
      <c r="X504" s="3" t="n">
        <v>130.425</v>
      </c>
      <c r="Y504" s="3" t="n">
        <v>133.383333</v>
      </c>
      <c r="Z504" s="3" t="n">
        <v>135.983333</v>
      </c>
      <c r="AA504" s="3" t="n">
        <v>136.958333</v>
      </c>
      <c r="AB504" s="3" t="n">
        <v>141.608333</v>
      </c>
      <c r="AC504" s="3" t="n">
        <v>151.208333</v>
      </c>
      <c r="AD504" s="3" t="n">
        <v>157.1</v>
      </c>
      <c r="AE504" s="3" t="n">
        <v>160.841667</v>
      </c>
      <c r="AF504" s="3" t="n">
        <v>164.183333</v>
      </c>
      <c r="AG504" s="3" t="n">
        <v>168.348333</v>
      </c>
      <c r="AH504" s="3" t="n">
        <v>171.874837</v>
      </c>
      <c r="AI504" s="3" t="n">
        <v>175.300547</v>
      </c>
      <c r="AJ504" s="3" t="n">
        <v>178.861886</v>
      </c>
      <c r="AK504" s="3" t="n">
        <v>182.451585</v>
      </c>
      <c r="AL504" s="3" t="n">
        <v>186.016828</v>
      </c>
      <c r="AM504" s="3" t="n"/>
      <c r="AN504" s="3" t="n"/>
      <c r="AO504" s="3" t="n"/>
      <c r="AP504" s="3" t="n"/>
      <c r="AQ504" s="3" t="n"/>
      <c r="AR504" s="3" t="n"/>
      <c r="AS504" s="3" t="n"/>
      <c r="AT504" s="3" t="n"/>
      <c r="AU504" s="3" t="n"/>
    </row>
    <row r="505">
      <c r="A505" s="3" t="n">
        <v>2031</v>
      </c>
      <c r="B505" s="3" t="inlineStr">
        <is>
          <t>CAN</t>
        </is>
      </c>
      <c r="C505" s="3" t="inlineStr">
        <is>
          <t>IMF.RES:WEO</t>
        </is>
      </c>
      <c r="D505" s="3" t="inlineStr">
        <is>
          <t>CAN.PCPIPCH.A</t>
        </is>
      </c>
      <c r="E505" s="3" t="inlineStr">
        <is>
          <t>Canada</t>
        </is>
      </c>
      <c r="F505" s="3" t="inlineStr">
        <is>
          <t>All Items, Consumer price index (CPI), Period average, percent change</t>
        </is>
      </c>
      <c r="G505" s="3" t="n">
        <v>2.71944</v>
      </c>
      <c r="H505" s="3" t="n">
        <v>2.52512</v>
      </c>
      <c r="I505" s="3" t="n">
        <v>2.258394</v>
      </c>
      <c r="J505" s="3" t="n">
        <v>2.758563</v>
      </c>
      <c r="K505" s="3" t="n">
        <v>1.857259</v>
      </c>
      <c r="L505" s="3" t="n">
        <v>2.213552</v>
      </c>
      <c r="M505" s="3" t="n">
        <v>2.002025</v>
      </c>
      <c r="N505" s="3" t="n">
        <v>2.138384</v>
      </c>
      <c r="O505" s="3" t="n">
        <v>2.370271</v>
      </c>
      <c r="P505" s="3" t="n">
        <v>0.299467</v>
      </c>
      <c r="Q505" s="3" t="n">
        <v>1.776872</v>
      </c>
      <c r="R505" s="3" t="n">
        <v>2.912135</v>
      </c>
      <c r="S505" s="3" t="n">
        <v>1.515678</v>
      </c>
      <c r="T505" s="3" t="n">
        <v>0.938292</v>
      </c>
      <c r="U505" s="3" t="n">
        <v>1.906636</v>
      </c>
      <c r="V505" s="3" t="n">
        <v>1.125241</v>
      </c>
      <c r="W505" s="3" t="n">
        <v>1.42876</v>
      </c>
      <c r="X505" s="3" t="n">
        <v>1.596884</v>
      </c>
      <c r="Y505" s="3" t="n">
        <v>2.268226</v>
      </c>
      <c r="Z505" s="3" t="n">
        <v>1.949269</v>
      </c>
      <c r="AA505" s="3" t="n">
        <v>0.717</v>
      </c>
      <c r="AB505" s="3" t="n">
        <v>3.395193</v>
      </c>
      <c r="AC505" s="3" t="n">
        <v>6.779262</v>
      </c>
      <c r="AD505" s="3" t="n">
        <v>3.89639</v>
      </c>
      <c r="AE505" s="3" t="n">
        <v>2.38171</v>
      </c>
      <c r="AF505" s="3" t="n">
        <v>2.077613</v>
      </c>
      <c r="AG505" s="3" t="n">
        <v>2.536798</v>
      </c>
      <c r="AH505" s="3" t="n">
        <v>2.094766</v>
      </c>
      <c r="AI505" s="3" t="n">
        <v>1.993142</v>
      </c>
      <c r="AJ505" s="3" t="n">
        <v>2.031562</v>
      </c>
      <c r="AK505" s="3" t="n">
        <v>2.006967</v>
      </c>
      <c r="AL505" s="3" t="n">
        <v>1.954076</v>
      </c>
      <c r="AM505" s="3" t="n"/>
      <c r="AN505" s="3" t="n"/>
      <c r="AO505" s="3" t="n"/>
      <c r="AP505" s="3" t="n"/>
      <c r="AQ505" s="3" t="n"/>
      <c r="AR505" s="3" t="n"/>
      <c r="AS505" s="3" t="n"/>
      <c r="AT505" s="3" t="n"/>
      <c r="AU505" s="3" t="n"/>
    </row>
    <row r="506">
      <c r="A506" s="3" t="n">
        <v>2031</v>
      </c>
      <c r="B506" s="3" t="inlineStr">
        <is>
          <t>CAN</t>
        </is>
      </c>
      <c r="C506" s="3" t="inlineStr">
        <is>
          <t>IMF.RES:WEO</t>
        </is>
      </c>
      <c r="D506" s="3" t="inlineStr">
        <is>
          <t>CAN.PPPPC.A</t>
        </is>
      </c>
      <c r="E506" s="3" t="inlineStr">
        <is>
          <t>Canada</t>
        </is>
      </c>
      <c r="F506" s="3" t="inlineStr">
        <is>
          <t>Gross domestic product (GDP), Per capita, purchasing power parity (PPP) international dollar, ICP benchmarks 2017-2021</t>
        </is>
      </c>
      <c r="G506" s="3" t="n">
        <v>30077.51837</v>
      </c>
      <c r="H506" s="3" t="n">
        <v>31003.77437</v>
      </c>
      <c r="I506" s="3" t="n">
        <v>32081.282395</v>
      </c>
      <c r="J506" s="3" t="n">
        <v>32995.762528</v>
      </c>
      <c r="K506" s="3" t="n">
        <v>34604.970977</v>
      </c>
      <c r="L506" s="3" t="n">
        <v>36488.719362</v>
      </c>
      <c r="M506" s="3" t="n">
        <v>38218.880961</v>
      </c>
      <c r="N506" s="3" t="n">
        <v>39669.530291</v>
      </c>
      <c r="O506" s="3" t="n">
        <v>40404.679896</v>
      </c>
      <c r="P506" s="3" t="n">
        <v>39019.000555</v>
      </c>
      <c r="Q506" s="3" t="n">
        <v>40261.542946</v>
      </c>
      <c r="R506" s="3" t="n">
        <v>41962.427167</v>
      </c>
      <c r="S506" s="3" t="n">
        <v>43035.422831</v>
      </c>
      <c r="T506" s="3" t="n">
        <v>44315.275027</v>
      </c>
      <c r="U506" s="3" t="n">
        <v>45914.789546</v>
      </c>
      <c r="V506" s="3" t="n">
        <v>46266.587762</v>
      </c>
      <c r="W506" s="3" t="n">
        <v>46699.041533</v>
      </c>
      <c r="X506" s="3" t="n">
        <v>48384.578549</v>
      </c>
      <c r="Y506" s="3" t="n">
        <v>50068.120475</v>
      </c>
      <c r="Z506" s="3" t="n">
        <v>50584.055285</v>
      </c>
      <c r="AA506" s="3" t="n">
        <v>48630.151703</v>
      </c>
      <c r="AB506" s="3" t="n">
        <v>56218.093132</v>
      </c>
      <c r="AC506" s="3" t="n">
        <v>61992.379567</v>
      </c>
      <c r="AD506" s="3" t="n">
        <v>63796.961394</v>
      </c>
      <c r="AE506" s="3" t="n">
        <v>64801.549348</v>
      </c>
      <c r="AF506" s="3" t="n">
        <v>67012.726928</v>
      </c>
      <c r="AG506" s="3" t="n">
        <v>70006.274896</v>
      </c>
      <c r="AH506" s="3" t="n">
        <v>72858.083342</v>
      </c>
      <c r="AI506" s="3" t="n">
        <v>75045.338003</v>
      </c>
      <c r="AJ506" s="3" t="n">
        <v>77181.14266100001</v>
      </c>
      <c r="AK506" s="3" t="n">
        <v>79268.88217899999</v>
      </c>
      <c r="AL506" s="3" t="n">
        <v>81457.941698</v>
      </c>
      <c r="AM506" s="3" t="n"/>
      <c r="AN506" s="3" t="n"/>
      <c r="AO506" s="3" t="n"/>
      <c r="AP506" s="3" t="n"/>
      <c r="AQ506" s="3" t="n"/>
      <c r="AR506" s="3" t="n"/>
      <c r="AS506" s="3" t="n"/>
      <c r="AT506" s="3" t="n"/>
      <c r="AU506" s="3" t="n"/>
    </row>
    <row r="507">
      <c r="A507" s="3" t="n">
        <v>2025</v>
      </c>
      <c r="B507" s="3" t="inlineStr">
        <is>
          <t>CAN</t>
        </is>
      </c>
      <c r="C507" s="3" t="inlineStr">
        <is>
          <t>IMF.STA:ER</t>
        </is>
      </c>
      <c r="D507" s="3" t="inlineStr">
        <is>
          <t>CAN.XDC_USD.PA_RT.A</t>
        </is>
      </c>
      <c r="E507" s="3" t="inlineStr">
        <is>
          <t>Canada</t>
        </is>
      </c>
      <c r="F507" s="3" t="inlineStr">
        <is>
          <t>Domestic currency per US Dollar</t>
        </is>
      </c>
      <c r="G507" s="3" t="n">
        <v>1.485394095</v>
      </c>
      <c r="H507" s="3" t="n">
        <v>1.548839955</v>
      </c>
      <c r="I507" s="3" t="n">
        <v>1.57034283416666</v>
      </c>
      <c r="J507" s="3" t="n">
        <v>1.4010145475</v>
      </c>
      <c r="K507" s="3" t="n">
        <v>1.301281595</v>
      </c>
      <c r="L507" s="3" t="n">
        <v>1.21140513416666</v>
      </c>
      <c r="M507" s="3" t="n">
        <v>1.13434472583333</v>
      </c>
      <c r="N507" s="3" t="n">
        <v>1.07404562166666</v>
      </c>
      <c r="O507" s="3" t="n">
        <v>1.06708691833333</v>
      </c>
      <c r="P507" s="3" t="n">
        <v>1.14153540591269</v>
      </c>
      <c r="Q507" s="3" t="n">
        <v>1.03011273517598</v>
      </c>
      <c r="R507" s="3" t="n">
        <v>0.989258158636363</v>
      </c>
      <c r="S507" s="3" t="n">
        <v>0.999364743593073</v>
      </c>
      <c r="T507" s="3" t="n">
        <v>1.03013736373015</v>
      </c>
      <c r="U507" s="3" t="n">
        <v>1.10474713237886</v>
      </c>
      <c r="V507" s="3" t="n">
        <v>1.27878620362554</v>
      </c>
      <c r="W507" s="3" t="n">
        <v>1.32561516374819</v>
      </c>
      <c r="X507" s="3" t="n">
        <v>1.29793584646039</v>
      </c>
      <c r="Y507" s="3" t="n">
        <v>1.29581792813533</v>
      </c>
      <c r="Z507" s="3" t="n">
        <v>1.32679336266012</v>
      </c>
      <c r="AA507" s="3" t="n">
        <v>1.34115267222386</v>
      </c>
      <c r="AB507" s="3" t="n">
        <v>1.25387690212679</v>
      </c>
      <c r="AC507" s="3" t="n">
        <v>1.30155477474355</v>
      </c>
      <c r="AD507" s="3" t="n">
        <v>1.3499086407939</v>
      </c>
      <c r="AE507" s="3" t="n">
        <v>1.36935976604091</v>
      </c>
      <c r="AF507" s="3" t="n">
        <v>1.39810565893901</v>
      </c>
      <c r="AG507" s="3" t="n"/>
      <c r="AH507" s="3" t="n"/>
      <c r="AI507" s="3" t="n"/>
      <c r="AJ507" s="3" t="n"/>
      <c r="AK507" s="3" t="n"/>
      <c r="AL507" s="3" t="n"/>
      <c r="AM507" s="3" t="n"/>
      <c r="AN507" s="3" t="n"/>
      <c r="AO507" s="3" t="n"/>
      <c r="AP507" s="3" t="n"/>
      <c r="AQ507" s="3" t="n"/>
      <c r="AR507" s="3" t="n"/>
      <c r="AS507" s="3" t="n"/>
      <c r="AT507" s="3" t="n"/>
      <c r="AU507" s="3" t="n"/>
    </row>
    <row r="508">
      <c r="A508" s="3" t="n">
        <v>2031</v>
      </c>
      <c r="B508" s="3" t="inlineStr">
        <is>
          <t>CHE</t>
        </is>
      </c>
      <c r="C508" s="3" t="inlineStr">
        <is>
          <t>IMF.RES:WEO</t>
        </is>
      </c>
      <c r="D508" s="3" t="inlineStr">
        <is>
          <t>CHE.BCA.A</t>
        </is>
      </c>
      <c r="E508" s="3" t="inlineStr">
        <is>
          <t>Switzerland</t>
        </is>
      </c>
      <c r="F508" s="3" t="inlineStr">
        <is>
          <t>Current account balance (credit less debit), US dollar</t>
        </is>
      </c>
      <c r="G508" s="3" t="n">
        <v>31.584319</v>
      </c>
      <c r="H508" s="3" t="n">
        <v>20.533842</v>
      </c>
      <c r="I508" s="3" t="n">
        <v>22.605884</v>
      </c>
      <c r="J508" s="3" t="n">
        <v>40.730343</v>
      </c>
      <c r="K508" s="3" t="n">
        <v>50.678376</v>
      </c>
      <c r="L508" s="3" t="n">
        <v>47.46757</v>
      </c>
      <c r="M508" s="3" t="n">
        <v>56.382578</v>
      </c>
      <c r="N508" s="3" t="n">
        <v>43.364413</v>
      </c>
      <c r="O508" s="3" t="n">
        <v>9.277336</v>
      </c>
      <c r="P508" s="3" t="n">
        <v>33.832662</v>
      </c>
      <c r="Q508" s="3" t="n">
        <v>82.07847</v>
      </c>
      <c r="R508" s="3" t="n">
        <v>49.561686</v>
      </c>
      <c r="S508" s="3" t="n">
        <v>64.70589099999999</v>
      </c>
      <c r="T508" s="3" t="n">
        <v>72.811082</v>
      </c>
      <c r="U508" s="3" t="n">
        <v>54.727384</v>
      </c>
      <c r="V508" s="3" t="n">
        <v>63.714339</v>
      </c>
      <c r="W508" s="3" t="n">
        <v>49.664348</v>
      </c>
      <c r="X508" s="3" t="n">
        <v>36.988665</v>
      </c>
      <c r="Y508" s="3" t="n">
        <v>44.480684</v>
      </c>
      <c r="Z508" s="3" t="n">
        <v>29.62094</v>
      </c>
      <c r="AA508" s="3" t="n">
        <v>4.176929</v>
      </c>
      <c r="AB508" s="3" t="n">
        <v>62.467451</v>
      </c>
      <c r="AC508" s="3" t="n">
        <v>76.842546</v>
      </c>
      <c r="AD508" s="3" t="n">
        <v>54.158956</v>
      </c>
      <c r="AE508" s="3" t="n">
        <v>86.577822</v>
      </c>
      <c r="AF508" s="3" t="n">
        <v>74.184275</v>
      </c>
      <c r="AG508" s="3" t="n">
        <v>78.463807</v>
      </c>
      <c r="AH508" s="3" t="n">
        <v>84.850195</v>
      </c>
      <c r="AI508" s="3" t="n">
        <v>91.630319</v>
      </c>
      <c r="AJ508" s="3" t="n">
        <v>89.867283</v>
      </c>
      <c r="AK508" s="3" t="n">
        <v>99.817455</v>
      </c>
      <c r="AL508" s="3" t="n">
        <v>97.716296</v>
      </c>
      <c r="AM508" s="3" t="n"/>
      <c r="AN508" s="3" t="n"/>
      <c r="AO508" s="3" t="n"/>
      <c r="AP508" s="3" t="n"/>
      <c r="AQ508" s="3" t="n"/>
      <c r="AR508" s="3" t="n"/>
      <c r="AS508" s="3" t="n"/>
      <c r="AT508" s="3" t="n"/>
      <c r="AU508" s="3" t="n"/>
    </row>
    <row r="509">
      <c r="A509" s="3" t="n">
        <v>2031</v>
      </c>
      <c r="B509" s="3" t="inlineStr">
        <is>
          <t>CHE</t>
        </is>
      </c>
      <c r="C509" s="3" t="inlineStr">
        <is>
          <t>IMF.RES:WEO</t>
        </is>
      </c>
      <c r="D509" s="3" t="inlineStr">
        <is>
          <t>CHE.BCA_NGDPD.A</t>
        </is>
      </c>
      <c r="E509" s="3" t="inlineStr">
        <is>
          <t>Switzerland</t>
        </is>
      </c>
      <c r="F509" s="3" t="inlineStr">
        <is>
          <t>Current account balance (credit less debit), Percent of GDP</t>
        </is>
      </c>
      <c r="G509" s="3" t="n">
        <v>11.184925</v>
      </c>
      <c r="H509" s="3" t="n">
        <v>7.072613</v>
      </c>
      <c r="I509" s="3" t="n">
        <v>7.196696</v>
      </c>
      <c r="J509" s="3" t="n">
        <v>11.110457</v>
      </c>
      <c r="K509" s="3" t="n">
        <v>12.399405</v>
      </c>
      <c r="L509" s="3" t="n">
        <v>11.183982</v>
      </c>
      <c r="M509" s="3" t="n">
        <v>12.571374</v>
      </c>
      <c r="N509" s="3" t="n">
        <v>8.684263</v>
      </c>
      <c r="O509" s="3" t="n">
        <v>1.61479</v>
      </c>
      <c r="P509" s="3" t="n">
        <v>6.005572</v>
      </c>
      <c r="Q509" s="3" t="n">
        <v>13.466978</v>
      </c>
      <c r="R509" s="3" t="n">
        <v>6.816551</v>
      </c>
      <c r="S509" s="3" t="n">
        <v>9.267098000000001</v>
      </c>
      <c r="T509" s="3" t="n">
        <v>10.124088</v>
      </c>
      <c r="U509" s="3" t="n">
        <v>7.383769</v>
      </c>
      <c r="V509" s="3" t="n">
        <v>9.026477</v>
      </c>
      <c r="W509" s="3" t="n">
        <v>7.109617</v>
      </c>
      <c r="X509" s="3" t="n">
        <v>5.232558</v>
      </c>
      <c r="Y509" s="3" t="n">
        <v>6.001018</v>
      </c>
      <c r="Z509" s="3" t="n">
        <v>4.019941</v>
      </c>
      <c r="AA509" s="3" t="n">
        <v>0.552809</v>
      </c>
      <c r="AB509" s="3" t="n">
        <v>7.43586</v>
      </c>
      <c r="AC509" s="3" t="n">
        <v>8.952406999999999</v>
      </c>
      <c r="AD509" s="3" t="n">
        <v>5.831766</v>
      </c>
      <c r="AE509" s="3" t="n">
        <v>8.923805</v>
      </c>
      <c r="AF509" s="3" t="n">
        <v>7.108875</v>
      </c>
      <c r="AG509" s="3" t="n">
        <v>6.841316</v>
      </c>
      <c r="AH509" s="3" t="n">
        <v>7.128025</v>
      </c>
      <c r="AI509" s="3" t="n">
        <v>7.379764</v>
      </c>
      <c r="AJ509" s="3" t="n">
        <v>6.971105</v>
      </c>
      <c r="AK509" s="3" t="n">
        <v>7.412214</v>
      </c>
      <c r="AL509" s="3" t="n">
        <v>6.988379</v>
      </c>
      <c r="AM509" s="3" t="n"/>
      <c r="AN509" s="3" t="n"/>
      <c r="AO509" s="3" t="n"/>
      <c r="AP509" s="3" t="n"/>
      <c r="AQ509" s="3" t="n"/>
      <c r="AR509" s="3" t="n"/>
      <c r="AS509" s="3" t="n"/>
      <c r="AT509" s="3" t="n"/>
      <c r="AU509" s="3" t="n"/>
    </row>
    <row r="510">
      <c r="A510" s="3" t="n">
        <v>2031</v>
      </c>
      <c r="B510" s="3" t="inlineStr">
        <is>
          <t>CHE</t>
        </is>
      </c>
      <c r="C510" s="3" t="inlineStr">
        <is>
          <t>IMF.RES:WEO</t>
        </is>
      </c>
      <c r="D510" s="3" t="inlineStr">
        <is>
          <t>CHE.GGR_NGDP.A</t>
        </is>
      </c>
      <c r="E510" s="3" t="inlineStr">
        <is>
          <t>Switzerland</t>
        </is>
      </c>
      <c r="F510" s="3" t="inlineStr">
        <is>
          <t>Revenue, General government, Percent of GDP</t>
        </is>
      </c>
      <c r="G510" s="3" t="n">
        <v>32.152364</v>
      </c>
      <c r="H510" s="3" t="n">
        <v>31.406693</v>
      </c>
      <c r="I510" s="3" t="n">
        <v>31.870056</v>
      </c>
      <c r="J510" s="3" t="n">
        <v>31.484851</v>
      </c>
      <c r="K510" s="3" t="n">
        <v>31.252554</v>
      </c>
      <c r="L510" s="3" t="n">
        <v>31.274315</v>
      </c>
      <c r="M510" s="3" t="n">
        <v>30.901617</v>
      </c>
      <c r="N510" s="3" t="n">
        <v>30.501139</v>
      </c>
      <c r="O510" s="3" t="n">
        <v>31.479366</v>
      </c>
      <c r="P510" s="3" t="n">
        <v>31.706181</v>
      </c>
      <c r="Q510" s="3" t="n">
        <v>31.211625</v>
      </c>
      <c r="R510" s="3" t="n">
        <v>31.629583</v>
      </c>
      <c r="S510" s="3" t="n">
        <v>31.351645</v>
      </c>
      <c r="T510" s="3" t="n">
        <v>31.54376</v>
      </c>
      <c r="U510" s="3" t="n">
        <v>31.302206</v>
      </c>
      <c r="V510" s="3" t="n">
        <v>32.459793</v>
      </c>
      <c r="W510" s="3" t="n">
        <v>32.17137</v>
      </c>
      <c r="X510" s="3" t="n">
        <v>33.02826</v>
      </c>
      <c r="Y510" s="3" t="n">
        <v>32.346245</v>
      </c>
      <c r="Z510" s="3" t="n">
        <v>32.630037</v>
      </c>
      <c r="AA510" s="3" t="n">
        <v>33.339719</v>
      </c>
      <c r="AB510" s="3" t="n">
        <v>33.103079</v>
      </c>
      <c r="AC510" s="3" t="n">
        <v>31.607994</v>
      </c>
      <c r="AD510" s="3" t="n">
        <v>31.058169</v>
      </c>
      <c r="AE510" s="3" t="n">
        <v>31.832429</v>
      </c>
      <c r="AF510" s="3" t="n">
        <v>31.673267</v>
      </c>
      <c r="AG510" s="3" t="n">
        <v>31.673267</v>
      </c>
      <c r="AH510" s="3" t="n">
        <v>31.673267</v>
      </c>
      <c r="AI510" s="3" t="n">
        <v>31.673267</v>
      </c>
      <c r="AJ510" s="3" t="n">
        <v>31.673267</v>
      </c>
      <c r="AK510" s="3" t="n">
        <v>31.673267</v>
      </c>
      <c r="AL510" s="3" t="n">
        <v>31.673267</v>
      </c>
      <c r="AM510" s="3" t="n"/>
      <c r="AN510" s="3" t="n"/>
      <c r="AO510" s="3" t="n"/>
      <c r="AP510" s="3" t="n"/>
      <c r="AQ510" s="3" t="n"/>
      <c r="AR510" s="3" t="n"/>
      <c r="AS510" s="3" t="n"/>
      <c r="AT510" s="3" t="n"/>
      <c r="AU510" s="3" t="n"/>
    </row>
    <row r="511">
      <c r="A511" s="3" t="n">
        <v>2031</v>
      </c>
      <c r="B511" s="3" t="inlineStr">
        <is>
          <t>CHE</t>
        </is>
      </c>
      <c r="C511" s="3" t="inlineStr">
        <is>
          <t>IMF.RES:WEO</t>
        </is>
      </c>
      <c r="D511" s="3" t="inlineStr">
        <is>
          <t>CHE.GGX_NGDP.A</t>
        </is>
      </c>
      <c r="E511" s="3" t="inlineStr">
        <is>
          <t>Switzerland</t>
        </is>
      </c>
      <c r="F511" s="3" t="inlineStr">
        <is>
          <t>Expenditure, General government, Percent of GDP</t>
        </is>
      </c>
      <c r="G511" s="3" t="n">
        <v>31.873566</v>
      </c>
      <c r="H511" s="3" t="n">
        <v>31.201799</v>
      </c>
      <c r="I511" s="3" t="n">
        <v>33.590247</v>
      </c>
      <c r="J511" s="3" t="n">
        <v>32.82725</v>
      </c>
      <c r="K511" s="3" t="n">
        <v>32.627442</v>
      </c>
      <c r="L511" s="3" t="n">
        <v>31.910813</v>
      </c>
      <c r="M511" s="3" t="n">
        <v>30.06809</v>
      </c>
      <c r="N511" s="3" t="n">
        <v>28.95236</v>
      </c>
      <c r="O511" s="3" t="n">
        <v>29.570163</v>
      </c>
      <c r="P511" s="3" t="n">
        <v>31.216674</v>
      </c>
      <c r="Q511" s="3" t="n">
        <v>30.863881</v>
      </c>
      <c r="R511" s="3" t="n">
        <v>30.956691</v>
      </c>
      <c r="S511" s="3" t="n">
        <v>31.120392</v>
      </c>
      <c r="T511" s="3" t="n">
        <v>31.968536</v>
      </c>
      <c r="U511" s="3" t="n">
        <v>31.544432</v>
      </c>
      <c r="V511" s="3" t="n">
        <v>31.923352</v>
      </c>
      <c r="W511" s="3" t="n">
        <v>31.936791</v>
      </c>
      <c r="X511" s="3" t="n">
        <v>31.916548</v>
      </c>
      <c r="Y511" s="3" t="n">
        <v>31.083024</v>
      </c>
      <c r="Z511" s="3" t="n">
        <v>31.316223</v>
      </c>
      <c r="AA511" s="3" t="n">
        <v>36.296899</v>
      </c>
      <c r="AB511" s="3" t="n">
        <v>33.383803</v>
      </c>
      <c r="AC511" s="3" t="n">
        <v>30.458241</v>
      </c>
      <c r="AD511" s="3" t="n">
        <v>30.940247</v>
      </c>
      <c r="AE511" s="3" t="n">
        <v>31.303311</v>
      </c>
      <c r="AF511" s="3" t="n">
        <v>31.221519</v>
      </c>
      <c r="AG511" s="3" t="n">
        <v>31.454803</v>
      </c>
      <c r="AH511" s="3" t="n">
        <v>31.35241</v>
      </c>
      <c r="AI511" s="3" t="n">
        <v>31.410561</v>
      </c>
      <c r="AJ511" s="3" t="n">
        <v>31.442469</v>
      </c>
      <c r="AK511" s="3" t="n">
        <v>31.494307</v>
      </c>
      <c r="AL511" s="3" t="n">
        <v>31.494307</v>
      </c>
      <c r="AM511" s="3" t="n"/>
      <c r="AN511" s="3" t="n"/>
      <c r="AO511" s="3" t="n"/>
      <c r="AP511" s="3" t="n"/>
      <c r="AQ511" s="3" t="n"/>
      <c r="AR511" s="3" t="n"/>
      <c r="AS511" s="3" t="n"/>
      <c r="AT511" s="3" t="n"/>
      <c r="AU511" s="3" t="n"/>
    </row>
    <row r="512">
      <c r="A512" s="3" t="n">
        <v>2027</v>
      </c>
      <c r="B512" s="3" t="inlineStr">
        <is>
          <t>CHE</t>
        </is>
      </c>
      <c r="C512" s="3" t="inlineStr">
        <is>
          <t>IMF.RES:WEO</t>
        </is>
      </c>
      <c r="D512" s="3" t="inlineStr">
        <is>
          <t>CHE.LE.A</t>
        </is>
      </c>
      <c r="E512" s="3" t="inlineStr">
        <is>
          <t>Switzerland</t>
        </is>
      </c>
      <c r="F512" s="3" t="inlineStr">
        <is>
          <t>Employed persons, Persons for countries / Index for country groups</t>
        </is>
      </c>
      <c r="G512" s="3" t="n">
        <v>4.022</v>
      </c>
      <c r="H512" s="3" t="n">
        <v>4.08825</v>
      </c>
      <c r="I512" s="3" t="n">
        <v>4.11775</v>
      </c>
      <c r="J512" s="3" t="n">
        <v>4.10325</v>
      </c>
      <c r="K512" s="3" t="n">
        <v>4.1145</v>
      </c>
      <c r="L512" s="3" t="n">
        <v>4.1445</v>
      </c>
      <c r="M512" s="3" t="n">
        <v>4.23475</v>
      </c>
      <c r="N512" s="3" t="n">
        <v>4.34425</v>
      </c>
      <c r="O512" s="3" t="n">
        <v>4.44825</v>
      </c>
      <c r="P512" s="3" t="n">
        <v>4.4685</v>
      </c>
      <c r="Q512" s="3" t="n">
        <v>4.48125</v>
      </c>
      <c r="R512" s="3" t="n">
        <v>4.59725</v>
      </c>
      <c r="S512" s="3" t="n">
        <v>4.67875</v>
      </c>
      <c r="T512" s="3" t="n">
        <v>4.7355</v>
      </c>
      <c r="U512" s="3" t="n">
        <v>4.82475</v>
      </c>
      <c r="V512" s="3" t="n">
        <v>4.89925</v>
      </c>
      <c r="W512" s="3" t="n">
        <v>4.96675</v>
      </c>
      <c r="X512" s="3" t="n">
        <v>5.0125</v>
      </c>
      <c r="Y512" s="3" t="n">
        <v>5.06425</v>
      </c>
      <c r="Z512" s="3" t="n">
        <v>5.101</v>
      </c>
      <c r="AA512" s="3" t="n">
        <v>5.076</v>
      </c>
      <c r="AB512" s="3" t="n">
        <v>5.1085</v>
      </c>
      <c r="AC512" s="3" t="n">
        <v>5.186</v>
      </c>
      <c r="AD512" s="3" t="n">
        <v>5.30425</v>
      </c>
      <c r="AE512" s="3" t="n">
        <v>5.34225</v>
      </c>
      <c r="AF512" s="3" t="n">
        <v>5.3655</v>
      </c>
      <c r="AG512" s="3" t="n">
        <v>5.374729</v>
      </c>
      <c r="AH512" s="3" t="n">
        <v>5.407019</v>
      </c>
      <c r="AI512" s="3" t="n"/>
      <c r="AJ512" s="3" t="n"/>
      <c r="AK512" s="3" t="n"/>
      <c r="AL512" s="3" t="n"/>
      <c r="AM512" s="3" t="n"/>
      <c r="AN512" s="3" t="n"/>
      <c r="AO512" s="3" t="n"/>
      <c r="AP512" s="3" t="n"/>
      <c r="AQ512" s="3" t="n"/>
      <c r="AR512" s="3" t="n"/>
      <c r="AS512" s="3" t="n"/>
      <c r="AT512" s="3" t="n"/>
      <c r="AU512" s="3" t="n"/>
    </row>
    <row r="513">
      <c r="A513" s="3" t="n">
        <v>2031</v>
      </c>
      <c r="B513" s="3" t="inlineStr">
        <is>
          <t>CHE</t>
        </is>
      </c>
      <c r="C513" s="3" t="inlineStr">
        <is>
          <t>IMF.RES:WEO</t>
        </is>
      </c>
      <c r="D513" s="3" t="inlineStr">
        <is>
          <t>CHE.LP.A</t>
        </is>
      </c>
      <c r="E513" s="3" t="inlineStr">
        <is>
          <t>Switzerland</t>
        </is>
      </c>
      <c r="F513" s="3" t="inlineStr">
        <is>
          <t>Population, Persons for countries / Index for country groups</t>
        </is>
      </c>
      <c r="G513" s="3" t="n">
        <v>7.164</v>
      </c>
      <c r="H513" s="3" t="n">
        <v>7.198</v>
      </c>
      <c r="I513" s="3" t="n">
        <v>7.256</v>
      </c>
      <c r="J513" s="3" t="n">
        <v>7.314</v>
      </c>
      <c r="K513" s="3" t="n">
        <v>7.364</v>
      </c>
      <c r="L513" s="3" t="n">
        <v>7.415</v>
      </c>
      <c r="M513" s="3" t="n">
        <v>7.459</v>
      </c>
      <c r="N513" s="3" t="n">
        <v>7.509</v>
      </c>
      <c r="O513" s="3" t="n">
        <v>7.593</v>
      </c>
      <c r="P513" s="3" t="n">
        <v>7.702</v>
      </c>
      <c r="Q513" s="3" t="n">
        <v>7.786</v>
      </c>
      <c r="R513" s="3" t="n">
        <v>7.87</v>
      </c>
      <c r="S513" s="3" t="n">
        <v>7.955</v>
      </c>
      <c r="T513" s="3" t="n">
        <v>8.039</v>
      </c>
      <c r="U513" s="3" t="n">
        <v>8.140000000000001</v>
      </c>
      <c r="V513" s="3" t="n">
        <v>8.238</v>
      </c>
      <c r="W513" s="3" t="n">
        <v>8.327</v>
      </c>
      <c r="X513" s="3" t="n">
        <v>8.42</v>
      </c>
      <c r="Y513" s="3" t="n">
        <v>8.484</v>
      </c>
      <c r="Z513" s="3" t="n">
        <v>8.545</v>
      </c>
      <c r="AA513" s="3" t="n">
        <v>8.606</v>
      </c>
      <c r="AB513" s="3" t="n">
        <v>8.67</v>
      </c>
      <c r="AC513" s="3" t="n">
        <v>8.739000000000001</v>
      </c>
      <c r="AD513" s="3" t="n">
        <v>8.815</v>
      </c>
      <c r="AE513" s="3" t="n">
        <v>8.962</v>
      </c>
      <c r="AF513" s="3" t="n">
        <v>9.02563</v>
      </c>
      <c r="AG513" s="3" t="n">
        <v>9.089712</v>
      </c>
      <c r="AH513" s="3" t="n">
        <v>9.154249</v>
      </c>
      <c r="AI513" s="3" t="n">
        <v>9.219244</v>
      </c>
      <c r="AJ513" s="3" t="n">
        <v>9.284701</v>
      </c>
      <c r="AK513" s="3" t="n">
        <v>9.350622</v>
      </c>
      <c r="AL513" s="3" t="n">
        <v>9.417012</v>
      </c>
      <c r="AM513" s="3" t="n"/>
      <c r="AN513" s="3" t="n"/>
      <c r="AO513" s="3" t="n"/>
      <c r="AP513" s="3" t="n"/>
      <c r="AQ513" s="3" t="n"/>
      <c r="AR513" s="3" t="n"/>
      <c r="AS513" s="3" t="n"/>
      <c r="AT513" s="3" t="n"/>
      <c r="AU513" s="3" t="n"/>
    </row>
    <row r="514">
      <c r="A514" s="3" t="n">
        <v>2031</v>
      </c>
      <c r="B514" s="3" t="inlineStr">
        <is>
          <t>CHE</t>
        </is>
      </c>
      <c r="C514" s="3" t="inlineStr">
        <is>
          <t>IMF.RES:WEO</t>
        </is>
      </c>
      <c r="D514" s="3" t="inlineStr">
        <is>
          <t>CHE.NGDP.A</t>
        </is>
      </c>
      <c r="E514" s="3" t="inlineStr">
        <is>
          <t>Switzerland</t>
        </is>
      </c>
      <c r="F514" s="3" t="inlineStr">
        <is>
          <t>Gross domestic product (GDP), Current prices, Domestic currency</t>
        </is>
      </c>
      <c r="G514" s="3" t="n">
        <v>476.9003</v>
      </c>
      <c r="H514" s="3" t="n">
        <v>489.9635</v>
      </c>
      <c r="I514" s="3" t="n">
        <v>489.5816</v>
      </c>
      <c r="J514" s="3" t="n">
        <v>493.675</v>
      </c>
      <c r="K514" s="3" t="n">
        <v>508.2369</v>
      </c>
      <c r="L514" s="3" t="n">
        <v>528.4836</v>
      </c>
      <c r="M514" s="3" t="n">
        <v>562.3484</v>
      </c>
      <c r="N514" s="3" t="n">
        <v>599.3964</v>
      </c>
      <c r="O514" s="3" t="n">
        <v>622.26</v>
      </c>
      <c r="P514" s="3" t="n">
        <v>613.0096</v>
      </c>
      <c r="Q514" s="3" t="n">
        <v>635.6296</v>
      </c>
      <c r="R514" s="3" t="n">
        <v>645.6763999999999</v>
      </c>
      <c r="S514" s="3" t="n">
        <v>654.7218</v>
      </c>
      <c r="T514" s="3" t="n">
        <v>666.6165999999999</v>
      </c>
      <c r="U514" s="3" t="n">
        <v>679.0374</v>
      </c>
      <c r="V514" s="3" t="n">
        <v>679.307</v>
      </c>
      <c r="W514" s="3" t="n">
        <v>688.3489</v>
      </c>
      <c r="X514" s="3" t="n">
        <v>696.0731</v>
      </c>
      <c r="Y514" s="3" t="n">
        <v>724.8319</v>
      </c>
      <c r="Z514" s="3" t="n">
        <v>732.2148</v>
      </c>
      <c r="AA514" s="3" t="n">
        <v>709.4653</v>
      </c>
      <c r="AB514" s="3" t="n">
        <v>767.707</v>
      </c>
      <c r="AC514" s="3" t="n">
        <v>819.5758</v>
      </c>
      <c r="AD514" s="3" t="n">
        <v>834.4176</v>
      </c>
      <c r="AE514" s="3" t="n">
        <v>854.1944999999999</v>
      </c>
      <c r="AF514" s="3" t="n">
        <v>867.5568</v>
      </c>
      <c r="AG514" s="3" t="n">
        <v>883.198424</v>
      </c>
      <c r="AH514" s="3" t="n">
        <v>899.747918</v>
      </c>
      <c r="AI514" s="3" t="n">
        <v>922.113249</v>
      </c>
      <c r="AJ514" s="3" t="n">
        <v>940.20571</v>
      </c>
      <c r="AK514" s="3" t="n">
        <v>964.542924</v>
      </c>
      <c r="AL514" s="3" t="n">
        <v>983.550697</v>
      </c>
      <c r="AM514" s="3" t="n"/>
      <c r="AN514" s="3" t="n"/>
      <c r="AO514" s="3" t="n"/>
      <c r="AP514" s="3" t="n"/>
      <c r="AQ514" s="3" t="n"/>
      <c r="AR514" s="3" t="n"/>
      <c r="AS514" s="3" t="n"/>
      <c r="AT514" s="3" t="n"/>
      <c r="AU514" s="3" t="n"/>
    </row>
    <row r="515">
      <c r="A515" s="3" t="n">
        <v>2031</v>
      </c>
      <c r="B515" s="3" t="inlineStr">
        <is>
          <t>CHE</t>
        </is>
      </c>
      <c r="C515" s="3" t="inlineStr">
        <is>
          <t>IMF.RES:WEO</t>
        </is>
      </c>
      <c r="D515" s="3" t="inlineStr">
        <is>
          <t>CHE.NGDP_D.A</t>
        </is>
      </c>
      <c r="E515" s="3" t="inlineStr">
        <is>
          <t>Switzerland</t>
        </is>
      </c>
      <c r="F515" s="3" t="inlineStr">
        <is>
          <t>Gross domestic product (GDP), Price deflator, Index</t>
        </is>
      </c>
      <c r="G515" s="3" t="n">
        <v>93.001491</v>
      </c>
      <c r="H515" s="3" t="n">
        <v>94.01564999999999</v>
      </c>
      <c r="I515" s="3" t="n">
        <v>93.58619899999999</v>
      </c>
      <c r="J515" s="3" t="n">
        <v>94.688833</v>
      </c>
      <c r="K515" s="3" t="n">
        <v>95.09707400000001</v>
      </c>
      <c r="L515" s="3" t="n">
        <v>96.00227599999999</v>
      </c>
      <c r="M515" s="3" t="n">
        <v>98.04298799999999</v>
      </c>
      <c r="N515" s="3" t="n">
        <v>100.465759</v>
      </c>
      <c r="O515" s="3" t="n">
        <v>101.824316</v>
      </c>
      <c r="P515" s="3" t="n">
        <v>102.310154</v>
      </c>
      <c r="Q515" s="3" t="n">
        <v>102.768243</v>
      </c>
      <c r="R515" s="3" t="n">
        <v>102.877341</v>
      </c>
      <c r="S515" s="3" t="n">
        <v>103.084318</v>
      </c>
      <c r="T515" s="3" t="n">
        <v>103.053164</v>
      </c>
      <c r="U515" s="3" t="n">
        <v>102.431289</v>
      </c>
      <c r="V515" s="3" t="n">
        <v>101.058387</v>
      </c>
      <c r="W515" s="3" t="n">
        <v>100.441089</v>
      </c>
      <c r="X515" s="3" t="n">
        <v>100.10592</v>
      </c>
      <c r="Y515" s="3" t="n">
        <v>100.857319</v>
      </c>
      <c r="Z515" s="3" t="n">
        <v>100.765941</v>
      </c>
      <c r="AA515" s="3" t="n">
        <v>100</v>
      </c>
      <c r="AB515" s="3" t="n">
        <v>101.923708</v>
      </c>
      <c r="AC515" s="3" t="n">
        <v>105.034702</v>
      </c>
      <c r="AD515" s="3" t="n">
        <v>106.009038</v>
      </c>
      <c r="AE515" s="3" t="n">
        <v>107.034554</v>
      </c>
      <c r="AF515" s="3" t="n">
        <v>107.34371</v>
      </c>
      <c r="AG515" s="3" t="n">
        <v>107.831771</v>
      </c>
      <c r="AH515" s="3" t="n">
        <v>108.395229</v>
      </c>
      <c r="AI515" s="3" t="n">
        <v>109.093239</v>
      </c>
      <c r="AJ515" s="3" t="n">
        <v>109.887596</v>
      </c>
      <c r="AK515" s="3" t="n">
        <v>110.700678</v>
      </c>
      <c r="AL515" s="3" t="n">
        <v>111.516129</v>
      </c>
      <c r="AM515" s="3" t="n"/>
      <c r="AN515" s="3" t="n"/>
      <c r="AO515" s="3" t="n"/>
      <c r="AP515" s="3" t="n"/>
      <c r="AQ515" s="3" t="n"/>
      <c r="AR515" s="3" t="n"/>
      <c r="AS515" s="3" t="n"/>
      <c r="AT515" s="3" t="n"/>
      <c r="AU515" s="3" t="n"/>
    </row>
    <row r="516">
      <c r="A516" s="3" t="n">
        <v>2031</v>
      </c>
      <c r="B516" s="3" t="inlineStr">
        <is>
          <t>CHE</t>
        </is>
      </c>
      <c r="C516" s="3" t="inlineStr">
        <is>
          <t>IMF.RES:WEO</t>
        </is>
      </c>
      <c r="D516" s="3" t="inlineStr">
        <is>
          <t>CHE.NGDP_R.A</t>
        </is>
      </c>
      <c r="E516" s="3" t="inlineStr">
        <is>
          <t>Switzerland</t>
        </is>
      </c>
      <c r="F516" s="3" t="inlineStr">
        <is>
          <t>Gross domestic product (GDP), Constant prices, Domestic currency</t>
        </is>
      </c>
      <c r="G516" s="3" t="n">
        <v>512.7877999999999</v>
      </c>
      <c r="H516" s="3" t="n">
        <v>521.151</v>
      </c>
      <c r="I516" s="3" t="n">
        <v>523.1344</v>
      </c>
      <c r="J516" s="3" t="n">
        <v>521.3656</v>
      </c>
      <c r="K516" s="3" t="n">
        <v>534.4401</v>
      </c>
      <c r="L516" s="3" t="n">
        <v>550.4906999999999</v>
      </c>
      <c r="M516" s="3" t="n">
        <v>573.5733</v>
      </c>
      <c r="N516" s="3" t="n">
        <v>596.6176</v>
      </c>
      <c r="O516" s="3" t="n">
        <v>611.1114</v>
      </c>
      <c r="P516" s="3" t="n">
        <v>599.1679</v>
      </c>
      <c r="Q516" s="3" t="n">
        <v>618.5078</v>
      </c>
      <c r="R516" s="3" t="n">
        <v>627.6177</v>
      </c>
      <c r="S516" s="3" t="n">
        <v>635.1323</v>
      </c>
      <c r="T516" s="3" t="n">
        <v>646.8667</v>
      </c>
      <c r="U516" s="3" t="n">
        <v>662.9199</v>
      </c>
      <c r="V516" s="3" t="n">
        <v>672.1926</v>
      </c>
      <c r="W516" s="3" t="n">
        <v>685.326</v>
      </c>
      <c r="X516" s="3" t="n">
        <v>695.3366</v>
      </c>
      <c r="Y516" s="3" t="n">
        <v>718.6706</v>
      </c>
      <c r="Z516" s="3" t="n">
        <v>726.6491</v>
      </c>
      <c r="AA516" s="3" t="n">
        <v>709.4653</v>
      </c>
      <c r="AB516" s="3" t="n">
        <v>753.2173</v>
      </c>
      <c r="AC516" s="3" t="n">
        <v>780.2905</v>
      </c>
      <c r="AD516" s="3" t="n">
        <v>787.1193</v>
      </c>
      <c r="AE516" s="3" t="n">
        <v>798.0549</v>
      </c>
      <c r="AF516" s="3" t="n">
        <v>808.2046</v>
      </c>
      <c r="AG516" s="3" t="n">
        <v>819.052137</v>
      </c>
      <c r="AH516" s="3" t="n">
        <v>830.062284</v>
      </c>
      <c r="AI516" s="3" t="n">
        <v>845.252424</v>
      </c>
      <c r="AJ516" s="3" t="n">
        <v>855.606766</v>
      </c>
      <c r="AK516" s="3" t="n">
        <v>871.30715</v>
      </c>
      <c r="AL516" s="3" t="n">
        <v>881.980663</v>
      </c>
      <c r="AM516" s="3" t="n"/>
      <c r="AN516" s="3" t="n"/>
      <c r="AO516" s="3" t="n"/>
      <c r="AP516" s="3" t="n"/>
      <c r="AQ516" s="3" t="n"/>
      <c r="AR516" s="3" t="n"/>
      <c r="AS516" s="3" t="n"/>
      <c r="AT516" s="3" t="n"/>
      <c r="AU516" s="3" t="n"/>
    </row>
    <row r="517">
      <c r="A517" s="3" t="n">
        <v>2031</v>
      </c>
      <c r="B517" s="3" t="inlineStr">
        <is>
          <t>CHE</t>
        </is>
      </c>
      <c r="C517" s="3" t="inlineStr">
        <is>
          <t>IMF.RES:WEO</t>
        </is>
      </c>
      <c r="D517" s="3" t="inlineStr">
        <is>
          <t>CHE.NGDP_RPCH.A</t>
        </is>
      </c>
      <c r="E517" s="3" t="inlineStr">
        <is>
          <t>Switzerland</t>
        </is>
      </c>
      <c r="F517" s="3" t="inlineStr">
        <is>
          <t>Gross domestic product (GDP), Constant prices, Percent change</t>
        </is>
      </c>
      <c r="G517" s="3" t="n">
        <v>3.729538</v>
      </c>
      <c r="H517" s="3" t="n">
        <v>1.630928</v>
      </c>
      <c r="I517" s="3" t="n">
        <v>0.380581</v>
      </c>
      <c r="J517" s="3" t="n">
        <v>-0.338116</v>
      </c>
      <c r="K517" s="3" t="n">
        <v>2.507741</v>
      </c>
      <c r="L517" s="3" t="n">
        <v>3.003255</v>
      </c>
      <c r="M517" s="3" t="n">
        <v>4.193095</v>
      </c>
      <c r="N517" s="3" t="n">
        <v>4.017673</v>
      </c>
      <c r="O517" s="3" t="n">
        <v>2.429328</v>
      </c>
      <c r="P517" s="3" t="n">
        <v>-1.95439</v>
      </c>
      <c r="Q517" s="3" t="n">
        <v>3.227793</v>
      </c>
      <c r="R517" s="3" t="n">
        <v>1.472884</v>
      </c>
      <c r="S517" s="3" t="n">
        <v>1.197321</v>
      </c>
      <c r="T517" s="3" t="n">
        <v>1.847552</v>
      </c>
      <c r="U517" s="3" t="n">
        <v>2.481686</v>
      </c>
      <c r="V517" s="3" t="n">
        <v>1.398766</v>
      </c>
      <c r="W517" s="3" t="n">
        <v>1.953815</v>
      </c>
      <c r="X517" s="3" t="n">
        <v>1.460706</v>
      </c>
      <c r="Y517" s="3" t="n">
        <v>3.355785</v>
      </c>
      <c r="Z517" s="3" t="n">
        <v>1.110175</v>
      </c>
      <c r="AA517" s="3" t="n">
        <v>-2.3648</v>
      </c>
      <c r="AB517" s="3" t="n">
        <v>6.166898</v>
      </c>
      <c r="AC517" s="3" t="n">
        <v>3.594341</v>
      </c>
      <c r="AD517" s="3" t="n">
        <v>0.875161</v>
      </c>
      <c r="AE517" s="3" t="n">
        <v>1.389319</v>
      </c>
      <c r="AF517" s="3" t="n">
        <v>1.271805</v>
      </c>
      <c r="AG517" s="3" t="n">
        <v>1.342177</v>
      </c>
      <c r="AH517" s="3" t="n">
        <v>1.344255</v>
      </c>
      <c r="AI517" s="3" t="n">
        <v>1.83</v>
      </c>
      <c r="AJ517" s="3" t="n">
        <v>1.225</v>
      </c>
      <c r="AK517" s="3" t="n">
        <v>1.835</v>
      </c>
      <c r="AL517" s="3" t="n">
        <v>1.225</v>
      </c>
      <c r="AM517" s="3" t="n"/>
      <c r="AN517" s="3" t="n"/>
      <c r="AO517" s="3" t="n"/>
      <c r="AP517" s="3" t="n"/>
      <c r="AQ517" s="3" t="n"/>
      <c r="AR517" s="3" t="n"/>
      <c r="AS517" s="3" t="n"/>
      <c r="AT517" s="3" t="n"/>
      <c r="AU517" s="3" t="n"/>
    </row>
    <row r="518">
      <c r="A518" s="3" t="n">
        <v>2031</v>
      </c>
      <c r="B518" s="3" t="inlineStr">
        <is>
          <t>CHE</t>
        </is>
      </c>
      <c r="C518" s="3" t="inlineStr">
        <is>
          <t>IMF.RES:WEO</t>
        </is>
      </c>
      <c r="D518" s="3" t="inlineStr">
        <is>
          <t>CHE.NGDPD.A</t>
        </is>
      </c>
      <c r="E518" s="3" t="inlineStr">
        <is>
          <t>Switzerland</t>
        </is>
      </c>
      <c r="F518" s="3" t="inlineStr">
        <is>
          <t>Gross domestic product (GDP), Current prices, US dollar</t>
        </is>
      </c>
      <c r="G518" s="3" t="n">
        <v>282.382934</v>
      </c>
      <c r="H518" s="3" t="n">
        <v>290.328955</v>
      </c>
      <c r="I518" s="3" t="n">
        <v>314.114747</v>
      </c>
      <c r="J518" s="3" t="n">
        <v>366.594657</v>
      </c>
      <c r="K518" s="3" t="n">
        <v>408.716207</v>
      </c>
      <c r="L518" s="3" t="n">
        <v>424.424593</v>
      </c>
      <c r="M518" s="3" t="n">
        <v>448.499733</v>
      </c>
      <c r="N518" s="3" t="n">
        <v>499.344769</v>
      </c>
      <c r="O518" s="3" t="n">
        <v>574.522893</v>
      </c>
      <c r="P518" s="3" t="n">
        <v>563.354572</v>
      </c>
      <c r="Q518" s="3" t="n">
        <v>609.4794889999999</v>
      </c>
      <c r="R518" s="3" t="n">
        <v>727.078651</v>
      </c>
      <c r="S518" s="3" t="n">
        <v>698.232522</v>
      </c>
      <c r="T518" s="3" t="n">
        <v>719.186588</v>
      </c>
      <c r="U518" s="3" t="n">
        <v>741.184985</v>
      </c>
      <c r="V518" s="3" t="n">
        <v>705.860536</v>
      </c>
      <c r="W518" s="3" t="n">
        <v>698.5516699999999</v>
      </c>
      <c r="X518" s="3" t="n">
        <v>706.8944760000001</v>
      </c>
      <c r="Y518" s="3" t="n">
        <v>741.219017</v>
      </c>
      <c r="Z518" s="3" t="n">
        <v>736.850202</v>
      </c>
      <c r="AA518" s="3" t="n">
        <v>755.582263</v>
      </c>
      <c r="AB518" s="3" t="n">
        <v>840.083712</v>
      </c>
      <c r="AC518" s="3" t="n">
        <v>858.345102</v>
      </c>
      <c r="AD518" s="3" t="n">
        <v>928.6888</v>
      </c>
      <c r="AE518" s="3" t="n">
        <v>970.189555</v>
      </c>
      <c r="AF518" s="3" t="n">
        <v>1043.544491</v>
      </c>
      <c r="AG518" s="3" t="n">
        <v>1146.911096</v>
      </c>
      <c r="AH518" s="3" t="n">
        <v>1190.374575</v>
      </c>
      <c r="AI518" s="3" t="n">
        <v>1241.642976</v>
      </c>
      <c r="AJ518" s="3" t="n">
        <v>1289.139799</v>
      </c>
      <c r="AK518" s="3" t="n">
        <v>1346.661881</v>
      </c>
      <c r="AL518" s="3" t="n">
        <v>1398.268358</v>
      </c>
      <c r="AM518" s="3" t="n"/>
      <c r="AN518" s="3" t="n"/>
      <c r="AO518" s="3" t="n"/>
      <c r="AP518" s="3" t="n"/>
      <c r="AQ518" s="3" t="n"/>
      <c r="AR518" s="3" t="n"/>
      <c r="AS518" s="3" t="n"/>
      <c r="AT518" s="3" t="n"/>
      <c r="AU518" s="3" t="n"/>
    </row>
    <row r="519">
      <c r="A519" s="3" t="n">
        <v>2031</v>
      </c>
      <c r="B519" s="3" t="inlineStr">
        <is>
          <t>CHE</t>
        </is>
      </c>
      <c r="C519" s="3" t="inlineStr">
        <is>
          <t>IMF.RES:WEO</t>
        </is>
      </c>
      <c r="D519" s="3" t="inlineStr">
        <is>
          <t>CHE.NGDPPC.A</t>
        </is>
      </c>
      <c r="E519" s="3" t="inlineStr">
        <is>
          <t>Switzerland</t>
        </is>
      </c>
      <c r="F519" s="3" t="inlineStr">
        <is>
          <t>Gross domestic product (GDP), Current prices, Per capita, Domestic currency</t>
        </is>
      </c>
      <c r="G519" s="3" t="n">
        <v>66568.99776699999</v>
      </c>
      <c r="H519" s="3" t="n">
        <v>68069.39427600001</v>
      </c>
      <c r="I519" s="3" t="n">
        <v>67472.65711099999</v>
      </c>
      <c r="J519" s="3" t="n">
        <v>67497.265518</v>
      </c>
      <c r="K519" s="3" t="n">
        <v>69016.41770799999</v>
      </c>
      <c r="L519" s="3" t="n">
        <v>71272.23196200001</v>
      </c>
      <c r="M519" s="3" t="n">
        <v>75391.929213</v>
      </c>
      <c r="N519" s="3" t="n">
        <v>79823.731522</v>
      </c>
      <c r="O519" s="3" t="n">
        <v>81951.797708</v>
      </c>
      <c r="P519" s="3" t="n">
        <v>79590.963386</v>
      </c>
      <c r="Q519" s="3" t="n">
        <v>81637.503211</v>
      </c>
      <c r="R519" s="3" t="n">
        <v>82042.74460000001</v>
      </c>
      <c r="S519" s="3" t="n">
        <v>82303.18038999999</v>
      </c>
      <c r="T519" s="3" t="n">
        <v>82922.826222</v>
      </c>
      <c r="U519" s="3" t="n">
        <v>83419.82801</v>
      </c>
      <c r="V519" s="3" t="n">
        <v>82460.184511</v>
      </c>
      <c r="W519" s="3" t="n">
        <v>82664.693167</v>
      </c>
      <c r="X519" s="3" t="n">
        <v>82669.01425199999</v>
      </c>
      <c r="Y519" s="3" t="n">
        <v>85435.160302</v>
      </c>
      <c r="Z519" s="3" t="n">
        <v>85689.268578</v>
      </c>
      <c r="AA519" s="3" t="n">
        <v>82438.44991900001</v>
      </c>
      <c r="AB519" s="3" t="n">
        <v>88547.520185</v>
      </c>
      <c r="AC519" s="3" t="n">
        <v>93783.705229</v>
      </c>
      <c r="AD519" s="3" t="n">
        <v>94658.83153700001</v>
      </c>
      <c r="AE519" s="3" t="n">
        <v>95312.93238100001</v>
      </c>
      <c r="AF519" s="3" t="n">
        <v>96121.465291</v>
      </c>
      <c r="AG519" s="3" t="n">
        <v>97164.619399</v>
      </c>
      <c r="AH519" s="3" t="n">
        <v>98287.462432</v>
      </c>
      <c r="AI519" s="3" t="n">
        <v>100020.480956</v>
      </c>
      <c r="AJ519" s="3" t="n">
        <v>101263.973555</v>
      </c>
      <c r="AK519" s="3" t="n">
        <v>103152.805399</v>
      </c>
      <c r="AL519" s="3" t="n">
        <v>104444.03438</v>
      </c>
      <c r="AM519" s="3" t="n"/>
      <c r="AN519" s="3" t="n"/>
      <c r="AO519" s="3" t="n"/>
      <c r="AP519" s="3" t="n"/>
      <c r="AQ519" s="3" t="n"/>
      <c r="AR519" s="3" t="n"/>
      <c r="AS519" s="3" t="n"/>
      <c r="AT519" s="3" t="n"/>
      <c r="AU519" s="3" t="n"/>
    </row>
    <row r="520">
      <c r="A520" s="3" t="n">
        <v>2031</v>
      </c>
      <c r="B520" s="3" t="inlineStr">
        <is>
          <t>CHE</t>
        </is>
      </c>
      <c r="C520" s="3" t="inlineStr">
        <is>
          <t>IMF.RES:WEO</t>
        </is>
      </c>
      <c r="D520" s="3" t="inlineStr">
        <is>
          <t>CHE.NGDPRPC.A</t>
        </is>
      </c>
      <c r="E520" s="3" t="inlineStr">
        <is>
          <t>Switzerland</t>
        </is>
      </c>
      <c r="F520" s="3" t="inlineStr">
        <is>
          <t>Gross domestic product (GDP), Constant prices, Per capita, Domestic currency</t>
        </is>
      </c>
      <c r="G520" s="3" t="n">
        <v>71578.41987699999</v>
      </c>
      <c r="H520" s="3" t="n">
        <v>72402.195054</v>
      </c>
      <c r="I520" s="3" t="n">
        <v>72096.802646</v>
      </c>
      <c r="J520" s="3" t="n">
        <v>71283.237626</v>
      </c>
      <c r="K520" s="3" t="n">
        <v>72574.70124900001</v>
      </c>
      <c r="L520" s="3" t="n">
        <v>74240.148348</v>
      </c>
      <c r="M520" s="3" t="n">
        <v>76896.809224</v>
      </c>
      <c r="N520" s="3" t="n">
        <v>79453.66893099999</v>
      </c>
      <c r="O520" s="3" t="n">
        <v>80483.524299</v>
      </c>
      <c r="P520" s="3" t="n">
        <v>77793.806803</v>
      </c>
      <c r="Q520" s="3" t="n">
        <v>79438.453635</v>
      </c>
      <c r="R520" s="3" t="n">
        <v>79748.119441</v>
      </c>
      <c r="S520" s="3" t="n">
        <v>79840.641106</v>
      </c>
      <c r="T520" s="3" t="n">
        <v>80466.065431</v>
      </c>
      <c r="U520" s="3" t="n">
        <v>81439.791155</v>
      </c>
      <c r="V520" s="3" t="n">
        <v>81596.576839</v>
      </c>
      <c r="W520" s="3" t="n">
        <v>82301.66926900001</v>
      </c>
      <c r="X520" s="3" t="n">
        <v>82581.543943</v>
      </c>
      <c r="Y520" s="3" t="n">
        <v>84708.934465</v>
      </c>
      <c r="Z520" s="3" t="n">
        <v>85037.928613</v>
      </c>
      <c r="AA520" s="3" t="n">
        <v>82438.44991900001</v>
      </c>
      <c r="AB520" s="3" t="n">
        <v>86876.27451</v>
      </c>
      <c r="AC520" s="3" t="n">
        <v>89288.30529800001</v>
      </c>
      <c r="AD520" s="3" t="n">
        <v>89293.170732</v>
      </c>
      <c r="AE520" s="3" t="n">
        <v>89048.750279</v>
      </c>
      <c r="AF520" s="3" t="n">
        <v>89545.503426</v>
      </c>
      <c r="AG520" s="3" t="n">
        <v>90107.598657</v>
      </c>
      <c r="AH520" s="3" t="n">
        <v>90675.08127900001</v>
      </c>
      <c r="AI520" s="3" t="n">
        <v>91683.48254</v>
      </c>
      <c r="AJ520" s="3" t="n">
        <v>92152.323703</v>
      </c>
      <c r="AK520" s="3" t="n">
        <v>93181.72857000001</v>
      </c>
      <c r="AL520" s="3" t="n">
        <v>93658.23130299999</v>
      </c>
      <c r="AM520" s="3" t="n"/>
      <c r="AN520" s="3" t="n"/>
      <c r="AO520" s="3" t="n"/>
      <c r="AP520" s="3" t="n"/>
      <c r="AQ520" s="3" t="n"/>
      <c r="AR520" s="3" t="n"/>
      <c r="AS520" s="3" t="n"/>
      <c r="AT520" s="3" t="n"/>
      <c r="AU520" s="3" t="n"/>
    </row>
    <row r="521">
      <c r="A521" s="3" t="n">
        <v>2031</v>
      </c>
      <c r="B521" s="3" t="inlineStr">
        <is>
          <t>CHE</t>
        </is>
      </c>
      <c r="C521" s="3" t="inlineStr">
        <is>
          <t>IMF.RES:WEO</t>
        </is>
      </c>
      <c r="D521" s="3" t="inlineStr">
        <is>
          <t>CHE.PCPI.A</t>
        </is>
      </c>
      <c r="E521" s="3" t="inlineStr">
        <is>
          <t>Switzerland</t>
        </is>
      </c>
      <c r="F521" s="3" t="inlineStr">
        <is>
          <t>All Items, Consumer price index (CPI), Period average</t>
        </is>
      </c>
      <c r="G521" s="3" t="n">
        <v>87.18205</v>
      </c>
      <c r="H521" s="3" t="n">
        <v>88.045608</v>
      </c>
      <c r="I521" s="3" t="n">
        <v>88.61000799999999</v>
      </c>
      <c r="J521" s="3" t="n">
        <v>89.1735</v>
      </c>
      <c r="K521" s="3" t="n">
        <v>89.887792</v>
      </c>
      <c r="L521" s="3" t="n">
        <v>90.941917</v>
      </c>
      <c r="M521" s="3" t="n">
        <v>91.90915</v>
      </c>
      <c r="N521" s="3" t="n">
        <v>92.584383</v>
      </c>
      <c r="O521" s="3" t="n">
        <v>94.83246699999999</v>
      </c>
      <c r="P521" s="3" t="n">
        <v>94.377667</v>
      </c>
      <c r="Q521" s="3" t="n">
        <v>95.026883</v>
      </c>
      <c r="R521" s="3" t="n">
        <v>95.243675</v>
      </c>
      <c r="S521" s="3" t="n">
        <v>94.5836</v>
      </c>
      <c r="T521" s="3" t="n">
        <v>94.379142</v>
      </c>
      <c r="U521" s="3" t="n">
        <v>94.367767</v>
      </c>
      <c r="V521" s="3" t="n">
        <v>93.290358</v>
      </c>
      <c r="W521" s="3" t="n">
        <v>92.8858</v>
      </c>
      <c r="X521" s="3" t="n">
        <v>93.38274199999999</v>
      </c>
      <c r="Y521" s="3" t="n">
        <v>94.25599200000001</v>
      </c>
      <c r="Z521" s="3" t="n">
        <v>94.597458</v>
      </c>
      <c r="AA521" s="3" t="n">
        <v>93.911608</v>
      </c>
      <c r="AB521" s="3" t="n">
        <v>94.458675</v>
      </c>
      <c r="AC521" s="3" t="n">
        <v>97.13591700000001</v>
      </c>
      <c r="AD521" s="3" t="n">
        <v>99.210083</v>
      </c>
      <c r="AE521" s="3" t="n">
        <v>100.262567</v>
      </c>
      <c r="AF521" s="3" t="n">
        <v>100.41605</v>
      </c>
      <c r="AG521" s="3" t="n">
        <v>100.89323</v>
      </c>
      <c r="AH521" s="3" t="n">
        <v>101.433068</v>
      </c>
      <c r="AI521" s="3" t="n">
        <v>102.088098</v>
      </c>
      <c r="AJ521" s="3" t="n">
        <v>102.845643</v>
      </c>
      <c r="AK521" s="3" t="n">
        <v>103.574978</v>
      </c>
      <c r="AL521" s="3" t="n">
        <v>104.300003</v>
      </c>
      <c r="AM521" s="3" t="n"/>
      <c r="AN521" s="3" t="n"/>
      <c r="AO521" s="3" t="n"/>
      <c r="AP521" s="3" t="n"/>
      <c r="AQ521" s="3" t="n"/>
      <c r="AR521" s="3" t="n"/>
      <c r="AS521" s="3" t="n"/>
      <c r="AT521" s="3" t="n"/>
      <c r="AU521" s="3" t="n"/>
    </row>
    <row r="522">
      <c r="A522" s="3" t="n">
        <v>2031</v>
      </c>
      <c r="B522" s="3" t="inlineStr">
        <is>
          <t>CHE</t>
        </is>
      </c>
      <c r="C522" s="3" t="inlineStr">
        <is>
          <t>IMF.RES:WEO</t>
        </is>
      </c>
      <c r="D522" s="3" t="inlineStr">
        <is>
          <t>CHE.PCPIPCH.A</t>
        </is>
      </c>
      <c r="E522" s="3" t="inlineStr">
        <is>
          <t>Switzerland</t>
        </is>
      </c>
      <c r="F522" s="3" t="inlineStr">
        <is>
          <t>All Items, Consumer price index (CPI), Period average, percent change</t>
        </is>
      </c>
      <c r="G522" s="3" t="n">
        <v>1.561105</v>
      </c>
      <c r="H522" s="3" t="n">
        <v>0.990523</v>
      </c>
      <c r="I522" s="3" t="n">
        <v>0.641031</v>
      </c>
      <c r="J522" s="3" t="n">
        <v>0.635923</v>
      </c>
      <c r="K522" s="3" t="n">
        <v>0.801013</v>
      </c>
      <c r="L522" s="3" t="n">
        <v>1.172712</v>
      </c>
      <c r="M522" s="3" t="n">
        <v>1.063573</v>
      </c>
      <c r="N522" s="3" t="n">
        <v>0.734675</v>
      </c>
      <c r="O522" s="3" t="n">
        <v>2.428145</v>
      </c>
      <c r="P522" s="3" t="n">
        <v>-0.479583</v>
      </c>
      <c r="Q522" s="3" t="n">
        <v>0.6878919999999999</v>
      </c>
      <c r="R522" s="3" t="n">
        <v>0.228137</v>
      </c>
      <c r="S522" s="3" t="n">
        <v>-0.693038</v>
      </c>
      <c r="T522" s="3" t="n">
        <v>-0.216167</v>
      </c>
      <c r="U522" s="3" t="n">
        <v>-0.012052</v>
      </c>
      <c r="V522" s="3" t="n">
        <v>-1.141712</v>
      </c>
      <c r="W522" s="3" t="n">
        <v>-0.433655</v>
      </c>
      <c r="X522" s="3" t="n">
        <v>0.535003</v>
      </c>
      <c r="Y522" s="3" t="n">
        <v>0.93513</v>
      </c>
      <c r="Z522" s="3" t="n">
        <v>0.362276</v>
      </c>
      <c r="AA522" s="3" t="n">
        <v>-0.725019</v>
      </c>
      <c r="AB522" s="3" t="n">
        <v>0.582534</v>
      </c>
      <c r="AC522" s="3" t="n">
        <v>2.834299</v>
      </c>
      <c r="AD522" s="3" t="n">
        <v>2.135324</v>
      </c>
      <c r="AE522" s="3" t="n">
        <v>1.060863</v>
      </c>
      <c r="AF522" s="3" t="n">
        <v>0.153081</v>
      </c>
      <c r="AG522" s="3" t="n">
        <v>0.475203</v>
      </c>
      <c r="AH522" s="3" t="n">
        <v>0.535059</v>
      </c>
      <c r="AI522" s="3" t="n">
        <v>0.645776</v>
      </c>
      <c r="AJ522" s="3" t="n">
        <v>0.74205</v>
      </c>
      <c r="AK522" s="3" t="n">
        <v>0.709154</v>
      </c>
      <c r="AL522" s="3" t="n">
        <v>0.7</v>
      </c>
      <c r="AM522" s="3" t="n"/>
      <c r="AN522" s="3" t="n"/>
      <c r="AO522" s="3" t="n"/>
      <c r="AP522" s="3" t="n"/>
      <c r="AQ522" s="3" t="n"/>
      <c r="AR522" s="3" t="n"/>
      <c r="AS522" s="3" t="n"/>
      <c r="AT522" s="3" t="n"/>
      <c r="AU522" s="3" t="n"/>
    </row>
    <row r="523">
      <c r="A523" s="3" t="n">
        <v>2031</v>
      </c>
      <c r="B523" s="3" t="inlineStr">
        <is>
          <t>CHE</t>
        </is>
      </c>
      <c r="C523" s="3" t="inlineStr">
        <is>
          <t>IMF.RES:WEO</t>
        </is>
      </c>
      <c r="D523" s="3" t="inlineStr">
        <is>
          <t>CHE.PPPPC.A</t>
        </is>
      </c>
      <c r="E523" s="3" t="inlineStr">
        <is>
          <t>Switzerland</t>
        </is>
      </c>
      <c r="F523" s="3" t="inlineStr">
        <is>
          <t>Gross domestic product (GDP), Per capita, purchasing power parity (PPP) international dollar, ICP benchmarks 2017-2021</t>
        </is>
      </c>
      <c r="G523" s="3" t="n">
        <v>43872.56748</v>
      </c>
      <c r="H523" s="3" t="n">
        <v>45376.696547</v>
      </c>
      <c r="I523" s="3" t="n">
        <v>45887.493363</v>
      </c>
      <c r="J523" s="3" t="n">
        <v>46265.378573</v>
      </c>
      <c r="K523" s="3" t="n">
        <v>48370.144224</v>
      </c>
      <c r="L523" s="3" t="n">
        <v>51031.75289</v>
      </c>
      <c r="M523" s="3" t="n">
        <v>54487.984094</v>
      </c>
      <c r="N523" s="3" t="n">
        <v>57825.050444</v>
      </c>
      <c r="O523" s="3" t="n">
        <v>59702.948902</v>
      </c>
      <c r="P523" s="3" t="n">
        <v>58063.615056</v>
      </c>
      <c r="Q523" s="3" t="n">
        <v>60011.753378</v>
      </c>
      <c r="R523" s="3" t="n">
        <v>61488.708533</v>
      </c>
      <c r="S523" s="3" t="n">
        <v>62706.252388</v>
      </c>
      <c r="T523" s="3" t="n">
        <v>64273.079863</v>
      </c>
      <c r="U523" s="3" t="n">
        <v>66183.853456</v>
      </c>
      <c r="V523" s="3" t="n">
        <v>66926.67269000001</v>
      </c>
      <c r="W523" s="3" t="n">
        <v>68146.44794699999</v>
      </c>
      <c r="X523" s="3" t="n">
        <v>69602.76427699999</v>
      </c>
      <c r="Y523" s="3" t="n">
        <v>72472.345571</v>
      </c>
      <c r="Z523" s="3" t="n">
        <v>75576.44435000001</v>
      </c>
      <c r="AA523" s="3" t="n">
        <v>74621.747887</v>
      </c>
      <c r="AB523" s="3" t="n">
        <v>84615.080292</v>
      </c>
      <c r="AC523" s="3" t="n">
        <v>93149.59464700001</v>
      </c>
      <c r="AD523" s="3" t="n">
        <v>96601.424377</v>
      </c>
      <c r="AE523" s="3" t="n">
        <v>98728.608355</v>
      </c>
      <c r="AF523" s="3" t="n">
        <v>102095.683678</v>
      </c>
      <c r="AG523" s="3" t="n">
        <v>105679.80808</v>
      </c>
      <c r="AH523" s="3" t="n">
        <v>108680.601842</v>
      </c>
      <c r="AI523" s="3" t="n">
        <v>111692.954849</v>
      </c>
      <c r="AJ523" s="3" t="n">
        <v>114260.29619</v>
      </c>
      <c r="AK523" s="3" t="n">
        <v>117659.679502</v>
      </c>
      <c r="AL523" s="3" t="n">
        <v>120396.329316</v>
      </c>
      <c r="AM523" s="3" t="n"/>
      <c r="AN523" s="3" t="n"/>
      <c r="AO523" s="3" t="n"/>
      <c r="AP523" s="3" t="n"/>
      <c r="AQ523" s="3" t="n"/>
      <c r="AR523" s="3" t="n"/>
      <c r="AS523" s="3" t="n"/>
      <c r="AT523" s="3" t="n"/>
      <c r="AU523" s="3" t="n"/>
    </row>
    <row r="524">
      <c r="A524" s="3" t="n">
        <v>2025</v>
      </c>
      <c r="B524" s="3" t="inlineStr">
        <is>
          <t>CHE</t>
        </is>
      </c>
      <c r="C524" s="3" t="inlineStr">
        <is>
          <t>IMF.STA:ER</t>
        </is>
      </c>
      <c r="D524" s="3" t="inlineStr">
        <is>
          <t>CHE.XDC_USD.PA_RT.A</t>
        </is>
      </c>
      <c r="E524" s="3" t="inlineStr">
        <is>
          <t>Switzerland</t>
        </is>
      </c>
      <c r="F524" s="3" t="inlineStr">
        <is>
          <t>Domestic currency per US Dollar</t>
        </is>
      </c>
      <c r="G524" s="3" t="n">
        <v>1.6888425</v>
      </c>
      <c r="H524" s="3" t="n">
        <v>1.687615</v>
      </c>
      <c r="I524" s="3" t="n">
        <v>1.5586075</v>
      </c>
      <c r="J524" s="3" t="n">
        <v>1.34665083333333</v>
      </c>
      <c r="K524" s="3" t="n">
        <v>1.24349583333333</v>
      </c>
      <c r="L524" s="3" t="n">
        <v>1.24517666666666</v>
      </c>
      <c r="M524" s="3" t="n">
        <v>1.25384333333333</v>
      </c>
      <c r="N524" s="3" t="n">
        <v>1.20036583333333</v>
      </c>
      <c r="O524" s="3" t="n">
        <v>1.08309</v>
      </c>
      <c r="P524" s="3" t="n">
        <v>1.08814169630268</v>
      </c>
      <c r="Q524" s="3" t="n">
        <v>1.04290564573351</v>
      </c>
      <c r="R524" s="3" t="n">
        <v>0.888042028223281</v>
      </c>
      <c r="S524" s="3" t="n">
        <v>0.937684480709349</v>
      </c>
      <c r="T524" s="3" t="n">
        <v>0.926903547758284</v>
      </c>
      <c r="U524" s="3" t="n">
        <v>0.916151047283613</v>
      </c>
      <c r="V524" s="3" t="n">
        <v>0.9623813280043541</v>
      </c>
      <c r="W524" s="3" t="n">
        <v>0.985394394244834</v>
      </c>
      <c r="X524" s="3" t="n">
        <v>0.984691666666666</v>
      </c>
      <c r="Y524" s="3" t="n">
        <v>0.977891666666666</v>
      </c>
      <c r="Z524" s="3" t="n">
        <v>0.993709166666666</v>
      </c>
      <c r="AA524" s="3" t="n">
        <v>0.938965</v>
      </c>
      <c r="AB524" s="3" t="n">
        <v>0.913845833333333</v>
      </c>
      <c r="AC524" s="3" t="n">
        <v>0.9548325</v>
      </c>
      <c r="AD524" s="3" t="n">
        <v>0.89849</v>
      </c>
      <c r="AE524" s="3" t="n">
        <v>0.880440833333333</v>
      </c>
      <c r="AF524" s="3" t="n">
        <v>0.831355833333333</v>
      </c>
      <c r="AG524" s="3" t="n"/>
      <c r="AH524" s="3" t="n"/>
      <c r="AI524" s="3" t="n"/>
      <c r="AJ524" s="3" t="n"/>
      <c r="AK524" s="3" t="n"/>
      <c r="AL524" s="3" t="n"/>
      <c r="AM524" s="3" t="n"/>
      <c r="AN524" s="3" t="n"/>
      <c r="AO524" s="3" t="n"/>
      <c r="AP524" s="3" t="n"/>
      <c r="AQ524" s="3" t="n"/>
      <c r="AR524" s="3" t="n"/>
      <c r="AS524" s="3" t="n"/>
      <c r="AT524" s="3" t="n"/>
      <c r="AU524" s="3" t="n"/>
    </row>
    <row r="525">
      <c r="A525" s="3" t="n">
        <v>2031</v>
      </c>
      <c r="B525" s="3" t="inlineStr">
        <is>
          <t>CHL</t>
        </is>
      </c>
      <c r="C525" s="3" t="inlineStr">
        <is>
          <t>IMF.RES:WEO</t>
        </is>
      </c>
      <c r="D525" s="3" t="inlineStr">
        <is>
          <t>CHL.BCA.A</t>
        </is>
      </c>
      <c r="E525" s="3" t="inlineStr">
        <is>
          <t>Chile</t>
        </is>
      </c>
      <c r="F525" s="3" t="inlineStr">
        <is>
          <t>Current account balance (credit less debit), US dollar</t>
        </is>
      </c>
      <c r="G525" s="3" t="n">
        <v>-0.791</v>
      </c>
      <c r="H525" s="3" t="n">
        <v>-0.9984</v>
      </c>
      <c r="I525" s="3" t="n">
        <v>-0.4801</v>
      </c>
      <c r="J525" s="3" t="n">
        <v>0.165</v>
      </c>
      <c r="K525" s="3" t="n">
        <v>3.231</v>
      </c>
      <c r="L525" s="3" t="n">
        <v>2.34</v>
      </c>
      <c r="M525" s="3" t="n">
        <v>8.457000000000001</v>
      </c>
      <c r="N525" s="3" t="n">
        <v>8.722</v>
      </c>
      <c r="O525" s="3" t="n">
        <v>-7.532</v>
      </c>
      <c r="P525" s="3" t="n">
        <v>2.473</v>
      </c>
      <c r="Q525" s="3" t="n">
        <v>1.945</v>
      </c>
      <c r="R525" s="3" t="n">
        <v>-12.361</v>
      </c>
      <c r="S525" s="3" t="n">
        <v>-14.229801</v>
      </c>
      <c r="T525" s="3" t="n">
        <v>-13.246586</v>
      </c>
      <c r="U525" s="3" t="n">
        <v>-8.980943</v>
      </c>
      <c r="V525" s="3" t="n">
        <v>-6.629036</v>
      </c>
      <c r="W525" s="3" t="n">
        <v>-6.535557</v>
      </c>
      <c r="X525" s="3" t="n">
        <v>-7.616643</v>
      </c>
      <c r="Y525" s="3" t="n">
        <v>-13.263767</v>
      </c>
      <c r="Z525" s="3" t="n">
        <v>-14.506014</v>
      </c>
      <c r="AA525" s="3" t="n">
        <v>-4.951684</v>
      </c>
      <c r="AB525" s="3" t="n">
        <v>-22.959598</v>
      </c>
      <c r="AC525" s="3" t="n">
        <v>-26.659</v>
      </c>
      <c r="AD525" s="3" t="n">
        <v>-10.497</v>
      </c>
      <c r="AE525" s="3" t="n">
        <v>-4.852</v>
      </c>
      <c r="AF525" s="3" t="n">
        <v>-8.132527</v>
      </c>
      <c r="AG525" s="3" t="n">
        <v>-3.136168</v>
      </c>
      <c r="AH525" s="3" t="n">
        <v>-7.968919</v>
      </c>
      <c r="AI525" s="3" t="n">
        <v>-8.833947</v>
      </c>
      <c r="AJ525" s="3" t="n">
        <v>-9.225035999999999</v>
      </c>
      <c r="AK525" s="3" t="n">
        <v>-10.678031</v>
      </c>
      <c r="AL525" s="3" t="n">
        <v>-12.509</v>
      </c>
      <c r="AM525" s="3" t="n"/>
      <c r="AN525" s="3" t="n"/>
      <c r="AO525" s="3" t="n"/>
      <c r="AP525" s="3" t="n"/>
      <c r="AQ525" s="3" t="n"/>
      <c r="AR525" s="3" t="n"/>
      <c r="AS525" s="3" t="n"/>
      <c r="AT525" s="3" t="n"/>
      <c r="AU525" s="3" t="n"/>
    </row>
    <row r="526">
      <c r="A526" s="3" t="n">
        <v>2031</v>
      </c>
      <c r="B526" s="3" t="inlineStr">
        <is>
          <t>CHL</t>
        </is>
      </c>
      <c r="C526" s="3" t="inlineStr">
        <is>
          <t>IMF.RES:WEO</t>
        </is>
      </c>
      <c r="D526" s="3" t="inlineStr">
        <is>
          <t>CHL.BCA_NGDPD.A</t>
        </is>
      </c>
      <c r="E526" s="3" t="inlineStr">
        <is>
          <t>Chile</t>
        </is>
      </c>
      <c r="F526" s="3" t="inlineStr">
        <is>
          <t>Current account balance (credit less debit), Percent of GDP</t>
        </is>
      </c>
      <c r="G526" s="3" t="n">
        <v>-1.010866</v>
      </c>
      <c r="H526" s="3" t="n">
        <v>-1.396027</v>
      </c>
      <c r="I526" s="3" t="n">
        <v>-0.6829769999999999</v>
      </c>
      <c r="J526" s="3" t="n">
        <v>0.215664</v>
      </c>
      <c r="K526" s="3" t="n">
        <v>3.261022</v>
      </c>
      <c r="L526" s="3" t="n">
        <v>1.913094</v>
      </c>
      <c r="M526" s="3" t="n">
        <v>5.497268</v>
      </c>
      <c r="N526" s="3" t="n">
        <v>5.054334</v>
      </c>
      <c r="O526" s="3" t="n">
        <v>-4.192283</v>
      </c>
      <c r="P526" s="3" t="n">
        <v>1.439513</v>
      </c>
      <c r="Q526" s="3" t="n">
        <v>0.895878</v>
      </c>
      <c r="R526" s="3" t="n">
        <v>-4.920293</v>
      </c>
      <c r="S526" s="3" t="n">
        <v>-5.326228</v>
      </c>
      <c r="T526" s="3" t="n">
        <v>-4.778396</v>
      </c>
      <c r="U526" s="3" t="n">
        <v>-3.462277</v>
      </c>
      <c r="V526" s="3" t="n">
        <v>-2.733452</v>
      </c>
      <c r="W526" s="3" t="n">
        <v>-2.621505</v>
      </c>
      <c r="X526" s="3" t="n">
        <v>-2.756085</v>
      </c>
      <c r="Y526" s="3" t="n">
        <v>-4.489672</v>
      </c>
      <c r="Z526" s="3" t="n">
        <v>-5.217238</v>
      </c>
      <c r="AA526" s="3" t="n">
        <v>-1.949021</v>
      </c>
      <c r="AB526" s="3" t="n">
        <v>-7.279259</v>
      </c>
      <c r="AC526" s="3" t="n">
        <v>-8.848872999999999</v>
      </c>
      <c r="AD526" s="3" t="n">
        <v>-3.127583</v>
      </c>
      <c r="AE526" s="3" t="n">
        <v>-1.46937</v>
      </c>
      <c r="AF526" s="3" t="n">
        <v>-2.288625</v>
      </c>
      <c r="AG526" s="3" t="n">
        <v>-0.7689510000000001</v>
      </c>
      <c r="AH526" s="3" t="n">
        <v>-1.836</v>
      </c>
      <c r="AI526" s="3" t="n">
        <v>-1.941433</v>
      </c>
      <c r="AJ526" s="3" t="n">
        <v>-1.939568</v>
      </c>
      <c r="AK526" s="3" t="n">
        <v>-2.149524</v>
      </c>
      <c r="AL526" s="3" t="n">
        <v>-2.409801</v>
      </c>
      <c r="AM526" s="3" t="n"/>
      <c r="AN526" s="3" t="n"/>
      <c r="AO526" s="3" t="n"/>
      <c r="AP526" s="3" t="n"/>
      <c r="AQ526" s="3" t="n"/>
      <c r="AR526" s="3" t="n"/>
      <c r="AS526" s="3" t="n"/>
      <c r="AT526" s="3" t="n"/>
      <c r="AU526" s="3" t="n"/>
    </row>
    <row r="527">
      <c r="A527" s="3" t="n">
        <v>2031</v>
      </c>
      <c r="B527" s="3" t="inlineStr">
        <is>
          <t>CHL</t>
        </is>
      </c>
      <c r="C527" s="3" t="inlineStr">
        <is>
          <t>IMF.RES:WEO</t>
        </is>
      </c>
      <c r="D527" s="3" t="inlineStr">
        <is>
          <t>CHL.GGR_NGDP.A</t>
        </is>
      </c>
      <c r="E527" s="3" t="inlineStr">
        <is>
          <t>Chile</t>
        </is>
      </c>
      <c r="F527" s="3" t="inlineStr">
        <is>
          <t>Revenue, General government, Percent of GDP</t>
        </is>
      </c>
      <c r="G527" s="3" t="n">
        <v>22.177171</v>
      </c>
      <c r="H527" s="3" t="n">
        <v>22.686639</v>
      </c>
      <c r="I527" s="3" t="n">
        <v>22.030861</v>
      </c>
      <c r="J527" s="3" t="n">
        <v>21.802799</v>
      </c>
      <c r="K527" s="3" t="n">
        <v>22.866487</v>
      </c>
      <c r="L527" s="3" t="n">
        <v>24.817124</v>
      </c>
      <c r="M527" s="3" t="n">
        <v>26.239243</v>
      </c>
      <c r="N527" s="3" t="n">
        <v>27.261483</v>
      </c>
      <c r="O527" s="3" t="n">
        <v>25.721567</v>
      </c>
      <c r="P527" s="3" t="n">
        <v>20.716724</v>
      </c>
      <c r="Q527" s="3" t="n">
        <v>23.103755</v>
      </c>
      <c r="R527" s="3" t="n">
        <v>24.31288</v>
      </c>
      <c r="S527" s="3" t="n">
        <v>23.77179</v>
      </c>
      <c r="T527" s="3" t="n">
        <v>22.642928</v>
      </c>
      <c r="U527" s="3" t="n">
        <v>22.356241</v>
      </c>
      <c r="V527" s="3" t="n">
        <v>22.939436</v>
      </c>
      <c r="W527" s="3" t="n">
        <v>22.706037</v>
      </c>
      <c r="X527" s="3" t="n">
        <v>22.865089</v>
      </c>
      <c r="Y527" s="3" t="n">
        <v>24.13344</v>
      </c>
      <c r="Z527" s="3" t="n">
        <v>23.766623</v>
      </c>
      <c r="AA527" s="3" t="n">
        <v>21.993043</v>
      </c>
      <c r="AB527" s="3" t="n">
        <v>26.090307</v>
      </c>
      <c r="AC527" s="3" t="n">
        <v>28.085086</v>
      </c>
      <c r="AD527" s="3" t="n">
        <v>25.122698</v>
      </c>
      <c r="AE527" s="3" t="n">
        <v>23.912306</v>
      </c>
      <c r="AF527" s="3" t="n">
        <v>23.586172</v>
      </c>
      <c r="AG527" s="3" t="n">
        <v>23.596071</v>
      </c>
      <c r="AH527" s="3" t="n">
        <v>24.395414</v>
      </c>
      <c r="AI527" s="3" t="n">
        <v>24.236639</v>
      </c>
      <c r="AJ527" s="3" t="n">
        <v>24.001521</v>
      </c>
      <c r="AK527" s="3" t="n">
        <v>23.796539</v>
      </c>
      <c r="AL527" s="3" t="n">
        <v>23.923495</v>
      </c>
      <c r="AM527" s="3" t="n"/>
      <c r="AN527" s="3" t="n"/>
      <c r="AO527" s="3" t="n"/>
      <c r="AP527" s="3" t="n"/>
      <c r="AQ527" s="3" t="n"/>
      <c r="AR527" s="3" t="n"/>
      <c r="AS527" s="3" t="n"/>
      <c r="AT527" s="3" t="n"/>
      <c r="AU527" s="3" t="n"/>
    </row>
    <row r="528">
      <c r="A528" s="3" t="n">
        <v>2031</v>
      </c>
      <c r="B528" s="3" t="inlineStr">
        <is>
          <t>CHL</t>
        </is>
      </c>
      <c r="C528" s="3" t="inlineStr">
        <is>
          <t>IMF.RES:WEO</t>
        </is>
      </c>
      <c r="D528" s="3" t="inlineStr">
        <is>
          <t>CHL.GGX_NGDP.A</t>
        </is>
      </c>
      <c r="E528" s="3" t="inlineStr">
        <is>
          <t>Chile</t>
        </is>
      </c>
      <c r="F528" s="3" t="inlineStr">
        <is>
          <t>Expenditure, General government, Percent of GDP</t>
        </is>
      </c>
      <c r="G528" s="3" t="n">
        <v>22.870014</v>
      </c>
      <c r="H528" s="3" t="n">
        <v>23.181263</v>
      </c>
      <c r="I528" s="3" t="n">
        <v>23.201551</v>
      </c>
      <c r="J528" s="3" t="n">
        <v>22.2183</v>
      </c>
      <c r="K528" s="3" t="n">
        <v>20.815823</v>
      </c>
      <c r="L528" s="3" t="n">
        <v>20.249087</v>
      </c>
      <c r="M528" s="3" t="n">
        <v>18.730162</v>
      </c>
      <c r="N528" s="3" t="n">
        <v>19.306606</v>
      </c>
      <c r="O528" s="3" t="n">
        <v>21.79111</v>
      </c>
      <c r="P528" s="3" t="n">
        <v>24.975693</v>
      </c>
      <c r="Q528" s="3" t="n">
        <v>23.466475</v>
      </c>
      <c r="R528" s="3" t="n">
        <v>22.886089</v>
      </c>
      <c r="S528" s="3" t="n">
        <v>23.089447</v>
      </c>
      <c r="T528" s="3" t="n">
        <v>23.113202</v>
      </c>
      <c r="U528" s="3" t="n">
        <v>23.852611</v>
      </c>
      <c r="V528" s="3" t="n">
        <v>25.027949</v>
      </c>
      <c r="W528" s="3" t="n">
        <v>25.366653</v>
      </c>
      <c r="X528" s="3" t="n">
        <v>25.492621</v>
      </c>
      <c r="Y528" s="3" t="n">
        <v>25.615662</v>
      </c>
      <c r="Z528" s="3" t="n">
        <v>26.497146</v>
      </c>
      <c r="AA528" s="3" t="n">
        <v>29.088339</v>
      </c>
      <c r="AB528" s="3" t="n">
        <v>33.615344</v>
      </c>
      <c r="AC528" s="3" t="n">
        <v>26.724891</v>
      </c>
      <c r="AD528" s="3" t="n">
        <v>27.396631</v>
      </c>
      <c r="AE528" s="3" t="n">
        <v>26.727417</v>
      </c>
      <c r="AF528" s="3" t="n">
        <v>26.368604</v>
      </c>
      <c r="AG528" s="3" t="n">
        <v>26.06145</v>
      </c>
      <c r="AH528" s="3" t="n">
        <v>26.27835</v>
      </c>
      <c r="AI528" s="3" t="n">
        <v>26.02162</v>
      </c>
      <c r="AJ528" s="3" t="n">
        <v>25.991629</v>
      </c>
      <c r="AK528" s="3" t="n">
        <v>25.835488</v>
      </c>
      <c r="AL528" s="3" t="n">
        <v>25.928415</v>
      </c>
      <c r="AM528" s="3" t="n"/>
      <c r="AN528" s="3" t="n"/>
      <c r="AO528" s="3" t="n"/>
      <c r="AP528" s="3" t="n"/>
      <c r="AQ528" s="3" t="n"/>
      <c r="AR528" s="3" t="n"/>
      <c r="AS528" s="3" t="n"/>
      <c r="AT528" s="3" t="n"/>
      <c r="AU528" s="3" t="n"/>
    </row>
    <row r="529">
      <c r="A529" s="3" t="n">
        <v>2031</v>
      </c>
      <c r="B529" s="3" t="inlineStr">
        <is>
          <t>CHL</t>
        </is>
      </c>
      <c r="C529" s="3" t="inlineStr">
        <is>
          <t>IMF.RES:WEO</t>
        </is>
      </c>
      <c r="D529" s="3" t="inlineStr">
        <is>
          <t>CHL.LP.A</t>
        </is>
      </c>
      <c r="E529" s="3" t="inlineStr">
        <is>
          <t>Chile</t>
        </is>
      </c>
      <c r="F529" s="3" t="inlineStr">
        <is>
          <t>Population, Persons for countries / Index for country groups</t>
        </is>
      </c>
      <c r="G529" s="3" t="n">
        <v>15.365623</v>
      </c>
      <c r="H529" s="3" t="n">
        <v>15.543565</v>
      </c>
      <c r="I529" s="3" t="n">
        <v>15.715924</v>
      </c>
      <c r="J529" s="3" t="n">
        <v>15.882092</v>
      </c>
      <c r="K529" s="3" t="n">
        <v>16.041612</v>
      </c>
      <c r="L529" s="3" t="n">
        <v>16.198348</v>
      </c>
      <c r="M529" s="3" t="n">
        <v>16.356738</v>
      </c>
      <c r="N529" s="3" t="n">
        <v>16.516863</v>
      </c>
      <c r="O529" s="3" t="n">
        <v>16.682228</v>
      </c>
      <c r="P529" s="3" t="n">
        <v>16.855484</v>
      </c>
      <c r="Q529" s="3" t="n">
        <v>17.030393</v>
      </c>
      <c r="R529" s="3" t="n">
        <v>17.204567</v>
      </c>
      <c r="S529" s="3" t="n">
        <v>17.380597</v>
      </c>
      <c r="T529" s="3" t="n">
        <v>17.559507</v>
      </c>
      <c r="U529" s="3" t="n">
        <v>17.74936</v>
      </c>
      <c r="V529" s="3" t="n">
        <v>17.954875</v>
      </c>
      <c r="W529" s="3" t="n">
        <v>18.190964</v>
      </c>
      <c r="X529" s="3" t="n">
        <v>18.460529</v>
      </c>
      <c r="Y529" s="3" t="n">
        <v>18.754494</v>
      </c>
      <c r="Z529" s="3" t="n">
        <v>19.040037</v>
      </c>
      <c r="AA529" s="3" t="n">
        <v>19.23554</v>
      </c>
      <c r="AB529" s="3" t="n">
        <v>19.391613</v>
      </c>
      <c r="AC529" s="3" t="n">
        <v>19.581575</v>
      </c>
      <c r="AD529" s="3" t="n">
        <v>19.756365</v>
      </c>
      <c r="AE529" s="3" t="n">
        <v>19.904328</v>
      </c>
      <c r="AF529" s="3" t="n">
        <v>20.036669</v>
      </c>
      <c r="AG529" s="3" t="n">
        <v>20.150948</v>
      </c>
      <c r="AH529" s="3" t="n">
        <v>20.252145</v>
      </c>
      <c r="AI529" s="3" t="n">
        <v>20.342246</v>
      </c>
      <c r="AJ529" s="3" t="n">
        <v>20.421403</v>
      </c>
      <c r="AK529" s="3" t="n">
        <v>20.489812</v>
      </c>
      <c r="AL529" s="3" t="n">
        <v>20.546653</v>
      </c>
      <c r="AM529" s="3" t="n"/>
      <c r="AN529" s="3" t="n"/>
      <c r="AO529" s="3" t="n"/>
      <c r="AP529" s="3" t="n"/>
      <c r="AQ529" s="3" t="n"/>
      <c r="AR529" s="3" t="n"/>
      <c r="AS529" s="3" t="n"/>
      <c r="AT529" s="3" t="n"/>
      <c r="AU529" s="3" t="n"/>
    </row>
    <row r="530">
      <c r="A530" s="3" t="n">
        <v>2031</v>
      </c>
      <c r="B530" s="3" t="inlineStr">
        <is>
          <t>CHL</t>
        </is>
      </c>
      <c r="C530" s="3" t="inlineStr">
        <is>
          <t>IMF.RES:WEO</t>
        </is>
      </c>
      <c r="D530" s="3" t="inlineStr">
        <is>
          <t>CHL.NGDP.A</t>
        </is>
      </c>
      <c r="E530" s="3" t="inlineStr">
        <is>
          <t>Chile</t>
        </is>
      </c>
      <c r="F530" s="3" t="inlineStr">
        <is>
          <t>Gross domestic product (GDP), Current prices, Domestic currency</t>
        </is>
      </c>
      <c r="G530" s="3" t="n">
        <v>42215.03</v>
      </c>
      <c r="H530" s="3" t="n">
        <v>45409.054</v>
      </c>
      <c r="I530" s="3" t="n">
        <v>48428.962</v>
      </c>
      <c r="J530" s="3" t="n">
        <v>52897.34</v>
      </c>
      <c r="K530" s="3" t="n">
        <v>60391.763</v>
      </c>
      <c r="L530" s="3" t="n">
        <v>68467.94</v>
      </c>
      <c r="M530" s="3" t="n">
        <v>81577.533</v>
      </c>
      <c r="N530" s="3" t="n">
        <v>90159.47900000001</v>
      </c>
      <c r="O530" s="3" t="n">
        <v>93867.122</v>
      </c>
      <c r="P530" s="3" t="n">
        <v>96138.477</v>
      </c>
      <c r="Q530" s="3" t="n">
        <v>110777.867</v>
      </c>
      <c r="R530" s="3" t="n">
        <v>121509.299</v>
      </c>
      <c r="S530" s="3" t="n">
        <v>129973.394</v>
      </c>
      <c r="T530" s="3" t="n">
        <v>137309.192</v>
      </c>
      <c r="U530" s="3" t="n">
        <v>147951.291</v>
      </c>
      <c r="V530" s="3" t="n">
        <v>158622.903</v>
      </c>
      <c r="W530" s="3" t="n">
        <v>168764.687</v>
      </c>
      <c r="X530" s="3" t="n">
        <v>179314.91</v>
      </c>
      <c r="Y530" s="3" t="n">
        <v>189434.867</v>
      </c>
      <c r="Z530" s="3" t="n">
        <v>195531.722</v>
      </c>
      <c r="AA530" s="3" t="n">
        <v>201257.745</v>
      </c>
      <c r="AB530" s="3" t="n">
        <v>239418.124</v>
      </c>
      <c r="AC530" s="3" t="n">
        <v>263065.442</v>
      </c>
      <c r="AD530" s="3" t="n">
        <v>281857.487</v>
      </c>
      <c r="AE530" s="3" t="n">
        <v>311630.878</v>
      </c>
      <c r="AF530" s="3" t="n">
        <v>338022.139031</v>
      </c>
      <c r="AG530" s="3" t="n">
        <v>365697.950062</v>
      </c>
      <c r="AH530" s="3" t="n">
        <v>379772.617094</v>
      </c>
      <c r="AI530" s="3" t="n">
        <v>401350.04498</v>
      </c>
      <c r="AJ530" s="3" t="n">
        <v>422878.216548</v>
      </c>
      <c r="AK530" s="3" t="n">
        <v>445195.531585</v>
      </c>
      <c r="AL530" s="3" t="n">
        <v>468934.642209</v>
      </c>
      <c r="AM530" s="3" t="n"/>
      <c r="AN530" s="3" t="n"/>
      <c r="AO530" s="3" t="n"/>
      <c r="AP530" s="3" t="n"/>
      <c r="AQ530" s="3" t="n"/>
      <c r="AR530" s="3" t="n"/>
      <c r="AS530" s="3" t="n"/>
      <c r="AT530" s="3" t="n"/>
      <c r="AU530" s="3" t="n"/>
    </row>
    <row r="531">
      <c r="A531" s="3" t="n">
        <v>2031</v>
      </c>
      <c r="B531" s="3" t="inlineStr">
        <is>
          <t>CHL</t>
        </is>
      </c>
      <c r="C531" s="3" t="inlineStr">
        <is>
          <t>IMF.RES:WEO</t>
        </is>
      </c>
      <c r="D531" s="3" t="inlineStr">
        <is>
          <t>CHL.NGDP_D.A</t>
        </is>
      </c>
      <c r="E531" s="3" t="inlineStr">
        <is>
          <t>Chile</t>
        </is>
      </c>
      <c r="F531" s="3" t="inlineStr">
        <is>
          <t>Gross domestic product (GDP), Price deflator, Index</t>
        </is>
      </c>
      <c r="G531" s="3" t="n">
        <v>44.151679</v>
      </c>
      <c r="H531" s="3" t="n">
        <v>46.04011</v>
      </c>
      <c r="I531" s="3" t="n">
        <v>47.578153</v>
      </c>
      <c r="J531" s="3" t="n">
        <v>49.624159</v>
      </c>
      <c r="K531" s="3" t="n">
        <v>53.110136</v>
      </c>
      <c r="L531" s="3" t="n">
        <v>56.891746</v>
      </c>
      <c r="M531" s="3" t="n">
        <v>63.917816</v>
      </c>
      <c r="N531" s="3" t="n">
        <v>67.170439</v>
      </c>
      <c r="O531" s="3" t="n">
        <v>67.379429</v>
      </c>
      <c r="P531" s="3" t="n">
        <v>69.790126</v>
      </c>
      <c r="Q531" s="3" t="n">
        <v>75.97174699999999</v>
      </c>
      <c r="R531" s="3" t="n">
        <v>78.44881700000001</v>
      </c>
      <c r="S531" s="3" t="n">
        <v>79.047747</v>
      </c>
      <c r="T531" s="3" t="n">
        <v>80.834835</v>
      </c>
      <c r="U531" s="3" t="n">
        <v>85.566011</v>
      </c>
      <c r="V531" s="3" t="n">
        <v>89.805263</v>
      </c>
      <c r="W531" s="3" t="n">
        <v>93.900972</v>
      </c>
      <c r="X531" s="3" t="n">
        <v>98.434691</v>
      </c>
      <c r="Y531" s="3" t="n">
        <v>99.999999</v>
      </c>
      <c r="Z531" s="3" t="n">
        <v>102.567787</v>
      </c>
      <c r="AA531" s="3" t="n">
        <v>112.481705</v>
      </c>
      <c r="AB531" s="3" t="n">
        <v>120.207878</v>
      </c>
      <c r="AC531" s="3" t="n">
        <v>129.295782</v>
      </c>
      <c r="AD531" s="3" t="n">
        <v>137.813494</v>
      </c>
      <c r="AE531" s="3" t="n">
        <v>148.445749</v>
      </c>
      <c r="AF531" s="3" t="n">
        <v>157.410033</v>
      </c>
      <c r="AG531" s="3" t="n">
        <v>166.313341</v>
      </c>
      <c r="AH531" s="3" t="n">
        <v>168.383371</v>
      </c>
      <c r="AI531" s="3" t="n">
        <v>173.900975</v>
      </c>
      <c r="AJ531" s="3" t="n">
        <v>179.088564</v>
      </c>
      <c r="AK531" s="3" t="n">
        <v>184.363892</v>
      </c>
      <c r="AL531" s="3" t="n">
        <v>189.894499</v>
      </c>
      <c r="AM531" s="3" t="n"/>
      <c r="AN531" s="3" t="n"/>
      <c r="AO531" s="3" t="n"/>
      <c r="AP531" s="3" t="n"/>
      <c r="AQ531" s="3" t="n"/>
      <c r="AR531" s="3" t="n"/>
      <c r="AS531" s="3" t="n"/>
      <c r="AT531" s="3" t="n"/>
      <c r="AU531" s="3" t="n"/>
    </row>
    <row r="532">
      <c r="A532" s="3" t="n">
        <v>2031</v>
      </c>
      <c r="B532" s="3" t="inlineStr">
        <is>
          <t>CHL</t>
        </is>
      </c>
      <c r="C532" s="3" t="inlineStr">
        <is>
          <t>IMF.RES:WEO</t>
        </is>
      </c>
      <c r="D532" s="3" t="inlineStr">
        <is>
          <t>CHL.NGDP_R.A</t>
        </is>
      </c>
      <c r="E532" s="3" t="inlineStr">
        <is>
          <t>Chile</t>
        </is>
      </c>
      <c r="F532" s="3" t="inlineStr">
        <is>
          <t>Gross domestic product (GDP), Constant prices, Domestic currency</t>
        </is>
      </c>
      <c r="G532" s="3" t="n">
        <v>95613.64599999999</v>
      </c>
      <c r="H532" s="3" t="n">
        <v>98629.33500000001</v>
      </c>
      <c r="I532" s="3" t="n">
        <v>101788.234</v>
      </c>
      <c r="J532" s="3" t="n">
        <v>106595.943</v>
      </c>
      <c r="K532" s="3" t="n">
        <v>113710.428</v>
      </c>
      <c r="L532" s="3" t="n">
        <v>120347.757</v>
      </c>
      <c r="M532" s="3" t="n">
        <v>127628.786</v>
      </c>
      <c r="N532" s="3" t="n">
        <v>134224.936</v>
      </c>
      <c r="O532" s="3" t="n">
        <v>139311.245</v>
      </c>
      <c r="P532" s="3" t="n">
        <v>137753.694</v>
      </c>
      <c r="Q532" s="3" t="n">
        <v>145814.558</v>
      </c>
      <c r="R532" s="3" t="n">
        <v>154889.906</v>
      </c>
      <c r="S532" s="3" t="n">
        <v>164423.907</v>
      </c>
      <c r="T532" s="3" t="n">
        <v>169863.885</v>
      </c>
      <c r="U532" s="3" t="n">
        <v>172908.95</v>
      </c>
      <c r="V532" s="3" t="n">
        <v>176629.851</v>
      </c>
      <c r="W532" s="3" t="n">
        <v>179726.24</v>
      </c>
      <c r="X532" s="3" t="n">
        <v>182166.376</v>
      </c>
      <c r="Y532" s="3" t="n">
        <v>189434.868</v>
      </c>
      <c r="Z532" s="3" t="n">
        <v>190636.58</v>
      </c>
      <c r="AA532" s="3" t="n">
        <v>178924.87</v>
      </c>
      <c r="AB532" s="3" t="n">
        <v>199170.078</v>
      </c>
      <c r="AC532" s="3" t="n">
        <v>203460.188</v>
      </c>
      <c r="AD532" s="3" t="n">
        <v>204520.965</v>
      </c>
      <c r="AE532" s="3" t="n">
        <v>209929.136</v>
      </c>
      <c r="AF532" s="3" t="n">
        <v>214739.894624</v>
      </c>
      <c r="AG532" s="3" t="n">
        <v>219884.915321</v>
      </c>
      <c r="AH532" s="3" t="n">
        <v>225540.45305</v>
      </c>
      <c r="AI532" s="3" t="n">
        <v>230792.291008</v>
      </c>
      <c r="AJ532" s="3" t="n">
        <v>236127.984178</v>
      </c>
      <c r="AK532" s="3" t="n">
        <v>241476.531484</v>
      </c>
      <c r="AL532" s="3" t="n">
        <v>246944.827166</v>
      </c>
      <c r="AM532" s="3" t="n"/>
      <c r="AN532" s="3" t="n"/>
      <c r="AO532" s="3" t="n"/>
      <c r="AP532" s="3" t="n"/>
      <c r="AQ532" s="3" t="n"/>
      <c r="AR532" s="3" t="n"/>
      <c r="AS532" s="3" t="n"/>
      <c r="AT532" s="3" t="n"/>
      <c r="AU532" s="3" t="n"/>
    </row>
    <row r="533">
      <c r="A533" s="3" t="n">
        <v>2031</v>
      </c>
      <c r="B533" s="3" t="inlineStr">
        <is>
          <t>CHL</t>
        </is>
      </c>
      <c r="C533" s="3" t="inlineStr">
        <is>
          <t>IMF.RES:WEO</t>
        </is>
      </c>
      <c r="D533" s="3" t="inlineStr">
        <is>
          <t>CHL.NGDP_RPCH.A</t>
        </is>
      </c>
      <c r="E533" s="3" t="inlineStr">
        <is>
          <t>Chile</t>
        </is>
      </c>
      <c r="F533" s="3" t="inlineStr">
        <is>
          <t>Gross domestic product (GDP), Constant prices, Percent change</t>
        </is>
      </c>
      <c r="G533" s="3" t="n">
        <v>4.97162</v>
      </c>
      <c r="H533" s="3" t="n">
        <v>3.154036</v>
      </c>
      <c r="I533" s="3" t="n">
        <v>3.202799</v>
      </c>
      <c r="J533" s="3" t="n">
        <v>4.723246</v>
      </c>
      <c r="K533" s="3" t="n">
        <v>6.674255</v>
      </c>
      <c r="L533" s="3" t="n">
        <v>5.837045</v>
      </c>
      <c r="M533" s="3" t="n">
        <v>6.049991</v>
      </c>
      <c r="N533" s="3" t="n">
        <v>5.168231</v>
      </c>
      <c r="O533" s="3" t="n">
        <v>3.789392</v>
      </c>
      <c r="P533" s="3" t="n">
        <v>-1.118037</v>
      </c>
      <c r="Q533" s="3" t="n">
        <v>5.85165</v>
      </c>
      <c r="R533" s="3" t="n">
        <v>6.223897</v>
      </c>
      <c r="S533" s="3" t="n">
        <v>6.15534</v>
      </c>
      <c r="T533" s="3" t="n">
        <v>3.308508</v>
      </c>
      <c r="U533" s="3" t="n">
        <v>1.79265</v>
      </c>
      <c r="V533" s="3" t="n">
        <v>2.151942</v>
      </c>
      <c r="W533" s="3" t="n">
        <v>1.753038</v>
      </c>
      <c r="X533" s="3" t="n">
        <v>1.357696</v>
      </c>
      <c r="Y533" s="3" t="n">
        <v>3.990029</v>
      </c>
      <c r="Z533" s="3" t="n">
        <v>0.634367</v>
      </c>
      <c r="AA533" s="3" t="n">
        <v>-6.143475</v>
      </c>
      <c r="AB533" s="3" t="n">
        <v>11.314921</v>
      </c>
      <c r="AC533" s="3" t="n">
        <v>2.153993</v>
      </c>
      <c r="AD533" s="3" t="n">
        <v>0.5213680000000001</v>
      </c>
      <c r="AE533" s="3" t="n">
        <v>2.644311</v>
      </c>
      <c r="AF533" s="3" t="n">
        <v>2.291611</v>
      </c>
      <c r="AG533" s="3" t="n">
        <v>2.395931</v>
      </c>
      <c r="AH533" s="3" t="n">
        <v>2.572044</v>
      </c>
      <c r="AI533" s="3" t="n">
        <v>2.328557</v>
      </c>
      <c r="AJ533" s="3" t="n">
        <v>2.311903</v>
      </c>
      <c r="AK533" s="3" t="n">
        <v>2.265105</v>
      </c>
      <c r="AL533" s="3" t="n">
        <v>2.264525</v>
      </c>
      <c r="AM533" s="3" t="n"/>
      <c r="AN533" s="3" t="n"/>
      <c r="AO533" s="3" t="n"/>
      <c r="AP533" s="3" t="n"/>
      <c r="AQ533" s="3" t="n"/>
      <c r="AR533" s="3" t="n"/>
      <c r="AS533" s="3" t="n"/>
      <c r="AT533" s="3" t="n"/>
      <c r="AU533" s="3" t="n"/>
    </row>
    <row r="534">
      <c r="A534" s="3" t="n">
        <v>2031</v>
      </c>
      <c r="B534" s="3" t="inlineStr">
        <is>
          <t>CHL</t>
        </is>
      </c>
      <c r="C534" s="3" t="inlineStr">
        <is>
          <t>IMF.RES:WEO</t>
        </is>
      </c>
      <c r="D534" s="3" t="inlineStr">
        <is>
          <t>CHL.NGDPD.A</t>
        </is>
      </c>
      <c r="E534" s="3" t="inlineStr">
        <is>
          <t>Chile</t>
        </is>
      </c>
      <c r="F534" s="3" t="inlineStr">
        <is>
          <t>Gross domestic product (GDP), Current prices, US dollar</t>
        </is>
      </c>
      <c r="G534" s="3" t="n">
        <v>78.249763</v>
      </c>
      <c r="H534" s="3" t="n">
        <v>71.517267</v>
      </c>
      <c r="I534" s="3" t="n">
        <v>70.295231</v>
      </c>
      <c r="J534" s="3" t="n">
        <v>76.50785500000001</v>
      </c>
      <c r="K534" s="3" t="n">
        <v>99.079365</v>
      </c>
      <c r="L534" s="3" t="n">
        <v>122.314961</v>
      </c>
      <c r="M534" s="3" t="n">
        <v>153.840051</v>
      </c>
      <c r="N534" s="3" t="n">
        <v>172.56476</v>
      </c>
      <c r="O534" s="3" t="n">
        <v>179.663462</v>
      </c>
      <c r="P534" s="3" t="n">
        <v>171.794216</v>
      </c>
      <c r="Q534" s="3" t="n">
        <v>217.105434</v>
      </c>
      <c r="R534" s="3" t="n">
        <v>251.224858</v>
      </c>
      <c r="S534" s="3" t="n">
        <v>267.164687</v>
      </c>
      <c r="T534" s="3" t="n">
        <v>277.218229</v>
      </c>
      <c r="U534" s="3" t="n">
        <v>259.394152</v>
      </c>
      <c r="V534" s="3" t="n">
        <v>242.515163</v>
      </c>
      <c r="W534" s="3" t="n">
        <v>249.305544</v>
      </c>
      <c r="X534" s="3" t="n">
        <v>276.357324</v>
      </c>
      <c r="Y534" s="3" t="n">
        <v>295.428435</v>
      </c>
      <c r="Z534" s="3" t="n">
        <v>278.040131</v>
      </c>
      <c r="AA534" s="3" t="n">
        <v>254.060118</v>
      </c>
      <c r="AB534" s="3" t="n">
        <v>315.411194</v>
      </c>
      <c r="AC534" s="3" t="n">
        <v>301.269992</v>
      </c>
      <c r="AD534" s="3" t="n">
        <v>335.626536</v>
      </c>
      <c r="AE534" s="3" t="n">
        <v>330.209569</v>
      </c>
      <c r="AF534" s="3" t="n">
        <v>355.34553</v>
      </c>
      <c r="AG534" s="3" t="n">
        <v>407.850298</v>
      </c>
      <c r="AH534" s="3" t="n">
        <v>434.036863</v>
      </c>
      <c r="AI534" s="3" t="n">
        <v>455.021909</v>
      </c>
      <c r="AJ534" s="3" t="n">
        <v>475.623298</v>
      </c>
      <c r="AK534" s="3" t="n">
        <v>496.762695</v>
      </c>
      <c r="AL534" s="3" t="n">
        <v>519.088464</v>
      </c>
      <c r="AM534" s="3" t="n"/>
      <c r="AN534" s="3" t="n"/>
      <c r="AO534" s="3" t="n"/>
      <c r="AP534" s="3" t="n"/>
      <c r="AQ534" s="3" t="n"/>
      <c r="AR534" s="3" t="n"/>
      <c r="AS534" s="3" t="n"/>
      <c r="AT534" s="3" t="n"/>
      <c r="AU534" s="3" t="n"/>
    </row>
    <row r="535">
      <c r="A535" s="3" t="n">
        <v>2031</v>
      </c>
      <c r="B535" s="3" t="inlineStr">
        <is>
          <t>CHL</t>
        </is>
      </c>
      <c r="C535" s="3" t="inlineStr">
        <is>
          <t>IMF.RES:WEO</t>
        </is>
      </c>
      <c r="D535" s="3" t="inlineStr">
        <is>
          <t>CHL.NGDPPC.A</t>
        </is>
      </c>
      <c r="E535" s="3" t="inlineStr">
        <is>
          <t>Chile</t>
        </is>
      </c>
      <c r="F535" s="3" t="inlineStr">
        <is>
          <t>Gross domestic product (GDP), Current prices, Per capita, Domestic currency</t>
        </is>
      </c>
      <c r="G535" s="3" t="n">
        <v>2747368.590262</v>
      </c>
      <c r="H535" s="3" t="n">
        <v>2921405.353276</v>
      </c>
      <c r="I535" s="3" t="n">
        <v>3081521.773712</v>
      </c>
      <c r="J535" s="3" t="n">
        <v>3330627.980243</v>
      </c>
      <c r="K535" s="3" t="n">
        <v>3764694.159166</v>
      </c>
      <c r="L535" s="3" t="n">
        <v>4226847.083419</v>
      </c>
      <c r="M535" s="3" t="n">
        <v>4987396.203326</v>
      </c>
      <c r="N535" s="3" t="n">
        <v>5458632.126452</v>
      </c>
      <c r="O535" s="3" t="n">
        <v>5626773.713919</v>
      </c>
      <c r="P535" s="3" t="n">
        <v>5703691.273416</v>
      </c>
      <c r="Q535" s="3" t="n">
        <v>6504715.833628</v>
      </c>
      <c r="R535" s="3" t="n">
        <v>7062618.838358</v>
      </c>
      <c r="S535" s="3" t="n">
        <v>7478074.199638</v>
      </c>
      <c r="T535" s="3" t="n">
        <v>7819649.606336</v>
      </c>
      <c r="U535" s="3" t="n">
        <v>8335584.550654</v>
      </c>
      <c r="V535" s="3" t="n">
        <v>8834531.178858001</v>
      </c>
      <c r="W535" s="3" t="n">
        <v>9277391.071743</v>
      </c>
      <c r="X535" s="3" t="n">
        <v>9713422.080158001</v>
      </c>
      <c r="Y535" s="3" t="n">
        <v>10100771.953645</v>
      </c>
      <c r="Z535" s="3" t="n">
        <v>10269503.257793</v>
      </c>
      <c r="AA535" s="3" t="n">
        <v>10462807.126808</v>
      </c>
      <c r="AB535" s="3" t="n">
        <v>12346478.036665</v>
      </c>
      <c r="AC535" s="3" t="n">
        <v>13434335.184989</v>
      </c>
      <c r="AD535" s="3" t="n">
        <v>14266667.324682</v>
      </c>
      <c r="AE535" s="3" t="n">
        <v>15656438.036994</v>
      </c>
      <c r="AF535" s="3" t="n">
        <v>16870176.326764</v>
      </c>
      <c r="AG535" s="3" t="n">
        <v>18147927.832595</v>
      </c>
      <c r="AH535" s="3" t="n">
        <v>18752216.967317</v>
      </c>
      <c r="AI535" s="3" t="n">
        <v>19729878.646659</v>
      </c>
      <c r="AJ535" s="3" t="n">
        <v>20707598.618394</v>
      </c>
      <c r="AK535" s="3" t="n">
        <v>21727653.313003</v>
      </c>
      <c r="AL535" s="3" t="n">
        <v>22822921.193485</v>
      </c>
      <c r="AM535" s="3" t="n"/>
      <c r="AN535" s="3" t="n"/>
      <c r="AO535" s="3" t="n"/>
      <c r="AP535" s="3" t="n"/>
      <c r="AQ535" s="3" t="n"/>
      <c r="AR535" s="3" t="n"/>
      <c r="AS535" s="3" t="n"/>
      <c r="AT535" s="3" t="n"/>
      <c r="AU535" s="3" t="n"/>
    </row>
    <row r="536">
      <c r="A536" s="3" t="n">
        <v>2031</v>
      </c>
      <c r="B536" s="3" t="inlineStr">
        <is>
          <t>CHL</t>
        </is>
      </c>
      <c r="C536" s="3" t="inlineStr">
        <is>
          <t>IMF.RES:WEO</t>
        </is>
      </c>
      <c r="D536" s="3" t="inlineStr">
        <is>
          <t>CHL.NGDPRPC.A</t>
        </is>
      </c>
      <c r="E536" s="3" t="inlineStr">
        <is>
          <t>Chile</t>
        </is>
      </c>
      <c r="F536" s="3" t="inlineStr">
        <is>
          <t>Gross domestic product (GDP), Constant prices, Per capita, Domestic currency</t>
        </is>
      </c>
      <c r="G536" s="3" t="n">
        <v>6222568.782275</v>
      </c>
      <c r="H536" s="3" t="n">
        <v>6345348.380503</v>
      </c>
      <c r="I536" s="3" t="n">
        <v>6476757.841283</v>
      </c>
      <c r="J536" s="3" t="n">
        <v>6711706.681966</v>
      </c>
      <c r="K536" s="3" t="n">
        <v>7088466.420956</v>
      </c>
      <c r="L536" s="3" t="n">
        <v>7429631.527857</v>
      </c>
      <c r="M536" s="3" t="n">
        <v>7802826.33371</v>
      </c>
      <c r="N536" s="3" t="n">
        <v>8126539.282913</v>
      </c>
      <c r="O536" s="3" t="n">
        <v>8350877.652553</v>
      </c>
      <c r="P536" s="3" t="n">
        <v>8172633.547634</v>
      </c>
      <c r="Q536" s="3" t="n">
        <v>8562019.561146</v>
      </c>
      <c r="R536" s="3" t="n">
        <v>9002836.63053</v>
      </c>
      <c r="S536" s="3" t="n">
        <v>9460199.036892001</v>
      </c>
      <c r="T536" s="3" t="n">
        <v>9673613.558741</v>
      </c>
      <c r="U536" s="3" t="n">
        <v>9741700.545822</v>
      </c>
      <c r="V536" s="3" t="n">
        <v>9837431.393981</v>
      </c>
      <c r="W536" s="3" t="n">
        <v>9879973.375793001</v>
      </c>
      <c r="X536" s="3" t="n">
        <v>9867884.934392</v>
      </c>
      <c r="Y536" s="3" t="n">
        <v>10100772.006965</v>
      </c>
      <c r="Z536" s="3" t="n">
        <v>10012405.963287</v>
      </c>
      <c r="AA536" s="3" t="n">
        <v>9301785.653015001</v>
      </c>
      <c r="AB536" s="3" t="n">
        <v>10270939.194176</v>
      </c>
      <c r="AC536" s="3" t="n">
        <v>10390389.332829</v>
      </c>
      <c r="AD536" s="3" t="n">
        <v>10352155.621745</v>
      </c>
      <c r="AE536" s="3" t="n">
        <v>10546908.993863</v>
      </c>
      <c r="AF536" s="3" t="n">
        <v>10717345.01497</v>
      </c>
      <c r="AG536" s="3" t="n">
        <v>10911889.372224</v>
      </c>
      <c r="AH536" s="3" t="n">
        <v>11136620.493758</v>
      </c>
      <c r="AI536" s="3" t="n">
        <v>11345467.506764</v>
      </c>
      <c r="AJ536" s="3" t="n">
        <v>11562769.912439</v>
      </c>
      <c r="AK536" s="3" t="n">
        <v>11785199.956151</v>
      </c>
      <c r="AL536" s="3" t="n">
        <v>12018737.415107</v>
      </c>
      <c r="AM536" s="3" t="n"/>
      <c r="AN536" s="3" t="n"/>
      <c r="AO536" s="3" t="n"/>
      <c r="AP536" s="3" t="n"/>
      <c r="AQ536" s="3" t="n"/>
      <c r="AR536" s="3" t="n"/>
      <c r="AS536" s="3" t="n"/>
      <c r="AT536" s="3" t="n"/>
      <c r="AU536" s="3" t="n"/>
    </row>
    <row r="537">
      <c r="A537" s="3" t="n">
        <v>2031</v>
      </c>
      <c r="B537" s="3" t="inlineStr">
        <is>
          <t>CHL</t>
        </is>
      </c>
      <c r="C537" s="3" t="inlineStr">
        <is>
          <t>IMF.RES:WEO</t>
        </is>
      </c>
      <c r="D537" s="3" t="inlineStr">
        <is>
          <t>CHL.PCPI.A</t>
        </is>
      </c>
      <c r="E537" s="3" t="inlineStr">
        <is>
          <t>Chile</t>
        </is>
      </c>
      <c r="F537" s="3" t="inlineStr">
        <is>
          <t>All Items, Consumer price index (CPI), Period average</t>
        </is>
      </c>
      <c r="G537" s="3" t="n">
        <v>56.7047</v>
      </c>
      <c r="H537" s="3" t="n">
        <v>58.728533</v>
      </c>
      <c r="I537" s="3" t="n">
        <v>60.190508</v>
      </c>
      <c r="J537" s="3" t="n">
        <v>61.881992</v>
      </c>
      <c r="K537" s="3" t="n">
        <v>62.534675</v>
      </c>
      <c r="L537" s="3" t="n">
        <v>64.443342</v>
      </c>
      <c r="M537" s="3" t="n">
        <v>66.629392</v>
      </c>
      <c r="N537" s="3" t="n">
        <v>69.566592</v>
      </c>
      <c r="O537" s="3" t="n">
        <v>75.630033</v>
      </c>
      <c r="P537" s="3" t="n">
        <v>76.752708</v>
      </c>
      <c r="Q537" s="3" t="n">
        <v>77.834642</v>
      </c>
      <c r="R537" s="3" t="n">
        <v>80.43535</v>
      </c>
      <c r="S537" s="3" t="n">
        <v>82.853458</v>
      </c>
      <c r="T537" s="3" t="n">
        <v>84.339575</v>
      </c>
      <c r="U537" s="3" t="n">
        <v>88.31637499999999</v>
      </c>
      <c r="V537" s="3" t="n">
        <v>92.157158</v>
      </c>
      <c r="W537" s="3" t="n">
        <v>95.64682500000001</v>
      </c>
      <c r="X537" s="3" t="n">
        <v>97.7343</v>
      </c>
      <c r="Y537" s="3" t="n">
        <v>100.000833</v>
      </c>
      <c r="Z537" s="3" t="n">
        <v>102.255</v>
      </c>
      <c r="AA537" s="3" t="n">
        <v>105.369167</v>
      </c>
      <c r="AB537" s="3" t="n">
        <v>110.136667</v>
      </c>
      <c r="AC537" s="3" t="n">
        <v>122.960833</v>
      </c>
      <c r="AD537" s="3" t="n">
        <v>132.283333</v>
      </c>
      <c r="AE537" s="3" t="n">
        <v>137.478174</v>
      </c>
      <c r="AF537" s="3" t="n">
        <v>143.268388</v>
      </c>
      <c r="AG537" s="3" t="n">
        <v>147.430867</v>
      </c>
      <c r="AH537" s="3" t="n">
        <v>152.339462</v>
      </c>
      <c r="AI537" s="3" t="n">
        <v>156.909646</v>
      </c>
      <c r="AJ537" s="3" t="n">
        <v>161.616935</v>
      </c>
      <c r="AK537" s="3" t="n">
        <v>166.465443</v>
      </c>
      <c r="AL537" s="3" t="n">
        <v>171.459406</v>
      </c>
      <c r="AM537" s="3" t="n"/>
      <c r="AN537" s="3" t="n"/>
      <c r="AO537" s="3" t="n"/>
      <c r="AP537" s="3" t="n"/>
      <c r="AQ537" s="3" t="n"/>
      <c r="AR537" s="3" t="n"/>
      <c r="AS537" s="3" t="n"/>
      <c r="AT537" s="3" t="n"/>
      <c r="AU537" s="3" t="n"/>
    </row>
    <row r="538">
      <c r="A538" s="3" t="n">
        <v>2031</v>
      </c>
      <c r="B538" s="3" t="inlineStr">
        <is>
          <t>CHL</t>
        </is>
      </c>
      <c r="C538" s="3" t="inlineStr">
        <is>
          <t>IMF.RES:WEO</t>
        </is>
      </c>
      <c r="D538" s="3" t="inlineStr">
        <is>
          <t>CHL.PCPIPCH.A</t>
        </is>
      </c>
      <c r="E538" s="3" t="inlineStr">
        <is>
          <t>Chile</t>
        </is>
      </c>
      <c r="F538" s="3" t="inlineStr">
        <is>
          <t>All Items, Consumer price index (CPI), Period average, percent change</t>
        </is>
      </c>
      <c r="G538" s="3" t="n">
        <v>3.843303</v>
      </c>
      <c r="H538" s="3" t="n">
        <v>3.569075</v>
      </c>
      <c r="I538" s="3" t="n">
        <v>2.489378</v>
      </c>
      <c r="J538" s="3" t="n">
        <v>2.810216</v>
      </c>
      <c r="K538" s="3" t="n">
        <v>1.054723</v>
      </c>
      <c r="L538" s="3" t="n">
        <v>3.052173</v>
      </c>
      <c r="M538" s="3" t="n">
        <v>3.392205</v>
      </c>
      <c r="N538" s="3" t="n">
        <v>4.408265</v>
      </c>
      <c r="O538" s="3" t="n">
        <v>8.716025</v>
      </c>
      <c r="P538" s="3" t="n">
        <v>1.48443</v>
      </c>
      <c r="Q538" s="3" t="n">
        <v>1.409635</v>
      </c>
      <c r="R538" s="3" t="n">
        <v>3.341325</v>
      </c>
      <c r="S538" s="3" t="n">
        <v>3.006276</v>
      </c>
      <c r="T538" s="3" t="n">
        <v>1.793669</v>
      </c>
      <c r="U538" s="3" t="n">
        <v>4.715224</v>
      </c>
      <c r="V538" s="3" t="n">
        <v>4.348892</v>
      </c>
      <c r="W538" s="3" t="n">
        <v>3.786647</v>
      </c>
      <c r="X538" s="3" t="n">
        <v>2.182482</v>
      </c>
      <c r="Y538" s="3" t="n">
        <v>2.319077</v>
      </c>
      <c r="Z538" s="3" t="n">
        <v>2.254148</v>
      </c>
      <c r="AA538" s="3" t="n">
        <v>3.045491</v>
      </c>
      <c r="AB538" s="3" t="n">
        <v>4.524568</v>
      </c>
      <c r="AC538" s="3" t="n">
        <v>11.643867</v>
      </c>
      <c r="AD538" s="3" t="n">
        <v>7.581683</v>
      </c>
      <c r="AE538" s="3" t="n">
        <v>3.927056</v>
      </c>
      <c r="AF538" s="3" t="n">
        <v>4.211733</v>
      </c>
      <c r="AG538" s="3" t="n">
        <v>2.905372</v>
      </c>
      <c r="AH538" s="3" t="n">
        <v>3.329421</v>
      </c>
      <c r="AI538" s="3" t="n">
        <v>3</v>
      </c>
      <c r="AJ538" s="3" t="n">
        <v>3</v>
      </c>
      <c r="AK538" s="3" t="n">
        <v>3</v>
      </c>
      <c r="AL538" s="3" t="n">
        <v>3</v>
      </c>
      <c r="AM538" s="3" t="n"/>
      <c r="AN538" s="3" t="n"/>
      <c r="AO538" s="3" t="n"/>
      <c r="AP538" s="3" t="n"/>
      <c r="AQ538" s="3" t="n"/>
      <c r="AR538" s="3" t="n"/>
      <c r="AS538" s="3" t="n"/>
      <c r="AT538" s="3" t="n"/>
      <c r="AU538" s="3" t="n"/>
    </row>
    <row r="539">
      <c r="A539" s="3" t="n">
        <v>2031</v>
      </c>
      <c r="B539" s="3" t="inlineStr">
        <is>
          <t>CHL</t>
        </is>
      </c>
      <c r="C539" s="3" t="inlineStr">
        <is>
          <t>IMF.RES:WEO</t>
        </is>
      </c>
      <c r="D539" s="3" t="inlineStr">
        <is>
          <t>CHL.PPPPC.A</t>
        </is>
      </c>
      <c r="E539" s="3" t="inlineStr">
        <is>
          <t>Chile</t>
        </is>
      </c>
      <c r="F539" s="3" t="inlineStr">
        <is>
          <t>Gross domestic product (GDP), Per capita, purchasing power parity (PPP) international dollar, ICP benchmarks 2017-2021</t>
        </is>
      </c>
      <c r="G539" s="3" t="n">
        <v>11200.600406</v>
      </c>
      <c r="H539" s="3" t="n">
        <v>11678.774366</v>
      </c>
      <c r="I539" s="3" t="n">
        <v>12105.887766</v>
      </c>
      <c r="J539" s="3" t="n">
        <v>12792.703255</v>
      </c>
      <c r="K539" s="3" t="n">
        <v>13874.107844</v>
      </c>
      <c r="L539" s="3" t="n">
        <v>14997.869992</v>
      </c>
      <c r="M539" s="3" t="n">
        <v>16236.971039</v>
      </c>
      <c r="N539" s="3" t="n">
        <v>17368.741714</v>
      </c>
      <c r="O539" s="3" t="n">
        <v>18192.047119</v>
      </c>
      <c r="P539" s="3" t="n">
        <v>17913.552781</v>
      </c>
      <c r="Q539" s="3" t="n">
        <v>18995.135856</v>
      </c>
      <c r="R539" s="3" t="n">
        <v>20385.198474</v>
      </c>
      <c r="S539" s="3" t="n">
        <v>21819.648913</v>
      </c>
      <c r="T539" s="3" t="n">
        <v>22691.632077</v>
      </c>
      <c r="U539" s="3" t="n">
        <v>23249.350665</v>
      </c>
      <c r="V539" s="3" t="n">
        <v>23695.706688</v>
      </c>
      <c r="W539" s="3" t="n">
        <v>24024.3147</v>
      </c>
      <c r="X539" s="3" t="n">
        <v>24424.642769</v>
      </c>
      <c r="Y539" s="3" t="n">
        <v>25492.234336</v>
      </c>
      <c r="Z539" s="3" t="n">
        <v>25823.897772</v>
      </c>
      <c r="AA539" s="3" t="n">
        <v>25528.892384</v>
      </c>
      <c r="AB539" s="3" t="n">
        <v>29184.703541</v>
      </c>
      <c r="AC539" s="3" t="n">
        <v>31623.996724</v>
      </c>
      <c r="AD539" s="3" t="n">
        <v>32673.422106</v>
      </c>
      <c r="AE539" s="3" t="n">
        <v>34114.493771</v>
      </c>
      <c r="AF539" s="3" t="n">
        <v>35649.164604</v>
      </c>
      <c r="AG539" s="3" t="n">
        <v>37336.112822</v>
      </c>
      <c r="AH539" s="3" t="n">
        <v>38941.802292</v>
      </c>
      <c r="AI539" s="3" t="n">
        <v>40323.258634</v>
      </c>
      <c r="AJ539" s="3" t="n">
        <v>41826.303496</v>
      </c>
      <c r="AK539" s="3" t="n">
        <v>43414.259713</v>
      </c>
      <c r="AL539" s="3" t="n">
        <v>45073.853312</v>
      </c>
      <c r="AM539" s="3" t="n"/>
      <c r="AN539" s="3" t="n"/>
      <c r="AO539" s="3" t="n"/>
      <c r="AP539" s="3" t="n"/>
      <c r="AQ539" s="3" t="n"/>
      <c r="AR539" s="3" t="n"/>
      <c r="AS539" s="3" t="n"/>
      <c r="AT539" s="3" t="n"/>
      <c r="AU539" s="3" t="n"/>
    </row>
    <row r="540">
      <c r="A540" s="3" t="n">
        <v>2025</v>
      </c>
      <c r="B540" s="3" t="inlineStr">
        <is>
          <t>CHL</t>
        </is>
      </c>
      <c r="C540" s="3" t="inlineStr">
        <is>
          <t>IMF.STA:ER</t>
        </is>
      </c>
      <c r="D540" s="3" t="inlineStr">
        <is>
          <t>CHL.XDC_USD.PA_RT.A</t>
        </is>
      </c>
      <c r="E540" s="3" t="inlineStr">
        <is>
          <t>Chile</t>
        </is>
      </c>
      <c r="F540" s="3" t="inlineStr">
        <is>
          <t>Domestic currency per US Dollar</t>
        </is>
      </c>
      <c r="G540" s="3" t="n">
        <v>539.5875</v>
      </c>
      <c r="H540" s="3" t="n">
        <v>634.938333333333</v>
      </c>
      <c r="I540" s="3" t="n">
        <v>688.936666666666</v>
      </c>
      <c r="J540" s="3" t="n">
        <v>691.3975</v>
      </c>
      <c r="K540" s="3" t="n">
        <v>609.529166666666</v>
      </c>
      <c r="L540" s="3" t="n">
        <v>559.7675</v>
      </c>
      <c r="M540" s="3" t="n">
        <v>530.275</v>
      </c>
      <c r="N540" s="3" t="n">
        <v>522.464166666666</v>
      </c>
      <c r="O540" s="3" t="n">
        <v>522.461035833333</v>
      </c>
      <c r="P540" s="3" t="n">
        <v>560.859894841269</v>
      </c>
      <c r="Q540" s="3" t="n">
        <v>510.249166666666</v>
      </c>
      <c r="R540" s="3" t="n">
        <v>483.6675</v>
      </c>
      <c r="S540" s="3" t="n">
        <v>486.471303391053</v>
      </c>
      <c r="T540" s="3" t="n">
        <v>495.272877645502</v>
      </c>
      <c r="U540" s="3" t="n">
        <v>570.3482161274389</v>
      </c>
      <c r="V540" s="3" t="n">
        <v>654.124084254196</v>
      </c>
      <c r="W540" s="3" t="n">
        <v>676.9577360446571</v>
      </c>
      <c r="X540" s="3" t="n">
        <v>648.833792598261</v>
      </c>
      <c r="Y540" s="3" t="n">
        <v>641.276813066394</v>
      </c>
      <c r="Z540" s="3" t="n">
        <v>702.8974225615279</v>
      </c>
      <c r="AA540" s="3" t="n">
        <v>792.727206103168</v>
      </c>
      <c r="AB540" s="3" t="n">
        <v>758.955378658977</v>
      </c>
      <c r="AC540" s="3" t="n">
        <v>873.314189543013</v>
      </c>
      <c r="AD540" s="3" t="n">
        <v>840.066526651499</v>
      </c>
      <c r="AE540" s="3" t="n">
        <v>943.5721674214871</v>
      </c>
      <c r="AF540" s="3" t="n">
        <v>951.3294541910331</v>
      </c>
      <c r="AG540" s="3" t="n"/>
      <c r="AH540" s="3" t="n"/>
      <c r="AI540" s="3" t="n"/>
      <c r="AJ540" s="3" t="n"/>
      <c r="AK540" s="3" t="n"/>
      <c r="AL540" s="3" t="n"/>
      <c r="AM540" s="3" t="n"/>
      <c r="AN540" s="3" t="n"/>
      <c r="AO540" s="3" t="n"/>
      <c r="AP540" s="3" t="n"/>
      <c r="AQ540" s="3" t="n"/>
      <c r="AR540" s="3" t="n"/>
      <c r="AS540" s="3" t="n"/>
      <c r="AT540" s="3" t="n"/>
      <c r="AU540" s="3" t="n"/>
    </row>
    <row r="541">
      <c r="A541" s="3" t="n">
        <v>2031</v>
      </c>
      <c r="B541" s="3" t="inlineStr">
        <is>
          <t>CHN</t>
        </is>
      </c>
      <c r="C541" s="3" t="inlineStr">
        <is>
          <t>IMF.RES:WEO</t>
        </is>
      </c>
      <c r="D541" s="3" t="inlineStr">
        <is>
          <t>CHN.BCA.A</t>
        </is>
      </c>
      <c r="E541" s="3" t="inlineStr">
        <is>
          <t>China, People's Republic of</t>
        </is>
      </c>
      <c r="F541" s="3" t="inlineStr">
        <is>
          <t>Current account balance (credit less debit), US dollar</t>
        </is>
      </c>
      <c r="G541" s="3" t="n">
        <v>20.431615</v>
      </c>
      <c r="H541" s="3" t="n">
        <v>17.405275</v>
      </c>
      <c r="I541" s="3" t="n">
        <v>35.421968</v>
      </c>
      <c r="J541" s="3" t="n">
        <v>43.051583</v>
      </c>
      <c r="K541" s="3" t="n">
        <v>68.940961</v>
      </c>
      <c r="L541" s="3" t="n">
        <v>132.378494</v>
      </c>
      <c r="M541" s="3" t="n">
        <v>231.843041</v>
      </c>
      <c r="N541" s="3" t="n">
        <v>353.182677</v>
      </c>
      <c r="O541" s="3" t="n">
        <v>420.568516</v>
      </c>
      <c r="P541" s="3" t="n">
        <v>243.256568</v>
      </c>
      <c r="Q541" s="3" t="n">
        <v>237.81039</v>
      </c>
      <c r="R541" s="3" t="n">
        <v>136.096762</v>
      </c>
      <c r="S541" s="3" t="n">
        <v>215.391747</v>
      </c>
      <c r="T541" s="3" t="n">
        <v>148.20395</v>
      </c>
      <c r="U541" s="3" t="n">
        <v>236.046578</v>
      </c>
      <c r="V541" s="3" t="n">
        <v>293.022317</v>
      </c>
      <c r="W541" s="3" t="n">
        <v>191.337036</v>
      </c>
      <c r="X541" s="3" t="n">
        <v>188.676126</v>
      </c>
      <c r="Y541" s="3" t="n">
        <v>24.130909</v>
      </c>
      <c r="Z541" s="3" t="n">
        <v>102.909876</v>
      </c>
      <c r="AA541" s="3" t="n">
        <v>248.835644</v>
      </c>
      <c r="AB541" s="3" t="n">
        <v>352.885755</v>
      </c>
      <c r="AC541" s="3" t="n">
        <v>443.374257</v>
      </c>
      <c r="AD541" s="3" t="n">
        <v>263.382353</v>
      </c>
      <c r="AE541" s="3" t="n">
        <v>423.919215</v>
      </c>
      <c r="AF541" s="3" t="n">
        <v>729.1</v>
      </c>
      <c r="AG541" s="3" t="n">
        <v>725.450033</v>
      </c>
      <c r="AH541" s="3" t="n">
        <v>716.3395829999999</v>
      </c>
      <c r="AI541" s="3" t="n">
        <v>693.872839</v>
      </c>
      <c r="AJ541" s="3" t="n">
        <v>718.600082</v>
      </c>
      <c r="AK541" s="3" t="n">
        <v>749.263359</v>
      </c>
      <c r="AL541" s="3" t="n">
        <v>781.734564</v>
      </c>
      <c r="AM541" s="3" t="n"/>
      <c r="AN541" s="3" t="n"/>
      <c r="AO541" s="3" t="n"/>
      <c r="AP541" s="3" t="n"/>
      <c r="AQ541" s="3" t="n"/>
      <c r="AR541" s="3" t="n"/>
      <c r="AS541" s="3" t="n"/>
      <c r="AT541" s="3" t="n"/>
      <c r="AU541" s="3" t="n"/>
    </row>
    <row r="542">
      <c r="A542" s="3" t="n">
        <v>2031</v>
      </c>
      <c r="B542" s="3" t="inlineStr">
        <is>
          <t>CHN</t>
        </is>
      </c>
      <c r="C542" s="3" t="inlineStr">
        <is>
          <t>IMF.RES:WEO</t>
        </is>
      </c>
      <c r="D542" s="3" t="inlineStr">
        <is>
          <t>CHN.BCA_NGDPD.A</t>
        </is>
      </c>
      <c r="E542" s="3" t="inlineStr">
        <is>
          <t>China, People's Republic of</t>
        </is>
      </c>
      <c r="F542" s="3" t="inlineStr">
        <is>
          <t>Current account balance (credit less debit), Percent of GDP</t>
        </is>
      </c>
      <c r="G542" s="3" t="n">
        <v>1.674248</v>
      </c>
      <c r="H542" s="3" t="n">
        <v>1.287949</v>
      </c>
      <c r="I542" s="3" t="n">
        <v>2.382706</v>
      </c>
      <c r="J542" s="3" t="n">
        <v>2.561173</v>
      </c>
      <c r="K542" s="3" t="n">
        <v>3.483648</v>
      </c>
      <c r="L542" s="3" t="n">
        <v>5.689839</v>
      </c>
      <c r="M542" s="3" t="n">
        <v>8.283718</v>
      </c>
      <c r="N542" s="3" t="n">
        <v>9.773680000000001</v>
      </c>
      <c r="O542" s="3" t="n">
        <v>9.033639000000001</v>
      </c>
      <c r="P542" s="3" t="n">
        <v>4.699249</v>
      </c>
      <c r="Q542" s="3" t="n">
        <v>3.873841</v>
      </c>
      <c r="R542" s="3" t="n">
        <v>1.784084</v>
      </c>
      <c r="S542" s="3" t="n">
        <v>2.480748</v>
      </c>
      <c r="T542" s="3" t="n">
        <v>1.514215</v>
      </c>
      <c r="U542" s="3" t="n">
        <v>2.205536</v>
      </c>
      <c r="V542" s="3" t="n">
        <v>2.591824</v>
      </c>
      <c r="W542" s="3" t="n">
        <v>1.670774</v>
      </c>
      <c r="X542" s="3" t="n">
        <v>1.507461</v>
      </c>
      <c r="Y542" s="3" t="n">
        <v>0.171045</v>
      </c>
      <c r="Z542" s="3" t="n">
        <v>0.705179</v>
      </c>
      <c r="AA542" s="3" t="n">
        <v>1.646807</v>
      </c>
      <c r="AB542" s="3" t="n">
        <v>1.940692</v>
      </c>
      <c r="AC542" s="3" t="n">
        <v>2.417819</v>
      </c>
      <c r="AD542" s="3" t="n">
        <v>1.434003</v>
      </c>
      <c r="AE542" s="3" t="n">
        <v>2.237618</v>
      </c>
      <c r="AF542" s="3" t="n">
        <v>3.714923</v>
      </c>
      <c r="AG542" s="3" t="n">
        <v>3.479111</v>
      </c>
      <c r="AH542" s="3" t="n">
        <v>3.266634</v>
      </c>
      <c r="AI542" s="3" t="n">
        <v>2.983122</v>
      </c>
      <c r="AJ542" s="3" t="n">
        <v>2.913702</v>
      </c>
      <c r="AK542" s="3" t="n">
        <v>2.876605</v>
      </c>
      <c r="AL542" s="3" t="n">
        <v>2.843015</v>
      </c>
      <c r="AM542" s="3" t="n"/>
      <c r="AN542" s="3" t="n"/>
      <c r="AO542" s="3" t="n"/>
      <c r="AP542" s="3" t="n"/>
      <c r="AQ542" s="3" t="n"/>
      <c r="AR542" s="3" t="n"/>
      <c r="AS542" s="3" t="n"/>
      <c r="AT542" s="3" t="n"/>
      <c r="AU542" s="3" t="n"/>
    </row>
    <row r="543">
      <c r="A543" s="3" t="n">
        <v>2031</v>
      </c>
      <c r="B543" s="3" t="inlineStr">
        <is>
          <t>CHN</t>
        </is>
      </c>
      <c r="C543" s="3" t="inlineStr">
        <is>
          <t>IMF.RES:WEO</t>
        </is>
      </c>
      <c r="D543" s="3" t="inlineStr">
        <is>
          <t>CHN.GGR_NGDP.A</t>
        </is>
      </c>
      <c r="E543" s="3" t="inlineStr">
        <is>
          <t>China, People's Republic of</t>
        </is>
      </c>
      <c r="F543" s="3" t="inlineStr">
        <is>
          <t>Revenue, General government, Percent of GDP</t>
        </is>
      </c>
      <c r="G543" s="3" t="n">
        <v>13.259374</v>
      </c>
      <c r="H543" s="3" t="n">
        <v>14.649319</v>
      </c>
      <c r="I543" s="3" t="n">
        <v>15.362893</v>
      </c>
      <c r="J543" s="3" t="n">
        <v>15.607705</v>
      </c>
      <c r="K543" s="3" t="n">
        <v>16.115396</v>
      </c>
      <c r="L543" s="3" t="n">
        <v>16.60802</v>
      </c>
      <c r="M543" s="3" t="n">
        <v>16.930024</v>
      </c>
      <c r="N543" s="3" t="n">
        <v>17.924832</v>
      </c>
      <c r="O543" s="3" t="n">
        <v>22.132789</v>
      </c>
      <c r="P543" s="3" t="n">
        <v>23.501032</v>
      </c>
      <c r="Q543" s="3" t="n">
        <v>24.308717</v>
      </c>
      <c r="R543" s="3" t="n">
        <v>26.550892</v>
      </c>
      <c r="S543" s="3" t="n">
        <v>27.397097</v>
      </c>
      <c r="T543" s="3" t="n">
        <v>27.280855</v>
      </c>
      <c r="U543" s="3" t="n">
        <v>27.74005</v>
      </c>
      <c r="V543" s="3" t="n">
        <v>28.511661</v>
      </c>
      <c r="W543" s="3" t="n">
        <v>28.365643</v>
      </c>
      <c r="X543" s="3" t="n">
        <v>28.675333</v>
      </c>
      <c r="Y543" s="3" t="n">
        <v>28.440431</v>
      </c>
      <c r="Z543" s="3" t="n">
        <v>27.604513</v>
      </c>
      <c r="AA543" s="3" t="n">
        <v>25.275126</v>
      </c>
      <c r="AB543" s="3" t="n">
        <v>26.009204</v>
      </c>
      <c r="AC543" s="3" t="n">
        <v>25.322526</v>
      </c>
      <c r="AD543" s="3" t="n">
        <v>26.025672</v>
      </c>
      <c r="AE543" s="3" t="n">
        <v>25.830537</v>
      </c>
      <c r="AF543" s="3" t="n">
        <v>25.011111</v>
      </c>
      <c r="AG543" s="3" t="n">
        <v>24.665376</v>
      </c>
      <c r="AH543" s="3" t="n">
        <v>24.861521</v>
      </c>
      <c r="AI543" s="3" t="n">
        <v>25.016396</v>
      </c>
      <c r="AJ543" s="3" t="n">
        <v>25.104337</v>
      </c>
      <c r="AK543" s="3" t="n">
        <v>25.187784</v>
      </c>
      <c r="AL543" s="3" t="n">
        <v>25.187784</v>
      </c>
      <c r="AM543" s="3" t="n"/>
      <c r="AN543" s="3" t="n"/>
      <c r="AO543" s="3" t="n"/>
      <c r="AP543" s="3" t="n"/>
      <c r="AQ543" s="3" t="n"/>
      <c r="AR543" s="3" t="n"/>
      <c r="AS543" s="3" t="n"/>
      <c r="AT543" s="3" t="n"/>
      <c r="AU543" s="3" t="n"/>
    </row>
    <row r="544">
      <c r="A544" s="3" t="n">
        <v>2031</v>
      </c>
      <c r="B544" s="3" t="inlineStr">
        <is>
          <t>CHN</t>
        </is>
      </c>
      <c r="C544" s="3" t="inlineStr">
        <is>
          <t>IMF.RES:WEO</t>
        </is>
      </c>
      <c r="D544" s="3" t="inlineStr">
        <is>
          <t>CHN.GGX_NGDP.A</t>
        </is>
      </c>
      <c r="E544" s="3" t="inlineStr">
        <is>
          <t>China, People's Republic of</t>
        </is>
      </c>
      <c r="F544" s="3" t="inlineStr">
        <is>
          <t>Expenditure, General government, Percent of GDP</t>
        </is>
      </c>
      <c r="G544" s="3" t="n">
        <v>16.070838</v>
      </c>
      <c r="H544" s="3" t="n">
        <v>17.211147</v>
      </c>
      <c r="I544" s="3" t="n">
        <v>18.206114</v>
      </c>
      <c r="J544" s="3" t="n">
        <v>17.967845</v>
      </c>
      <c r="K544" s="3" t="n">
        <v>17.604694</v>
      </c>
      <c r="L544" s="3" t="n">
        <v>17.988112</v>
      </c>
      <c r="M544" s="3" t="n">
        <v>18.056084</v>
      </c>
      <c r="N544" s="3" t="n">
        <v>17.866816</v>
      </c>
      <c r="O544" s="3" t="n">
        <v>22.157158</v>
      </c>
      <c r="P544" s="3" t="n">
        <v>25.22235</v>
      </c>
      <c r="Q544" s="3" t="n">
        <v>24.664495</v>
      </c>
      <c r="R544" s="3" t="n">
        <v>26.647283</v>
      </c>
      <c r="S544" s="3" t="n">
        <v>27.693831</v>
      </c>
      <c r="T544" s="3" t="n">
        <v>28.103518</v>
      </c>
      <c r="U544" s="3" t="n">
        <v>28.411767</v>
      </c>
      <c r="V544" s="3" t="n">
        <v>31.011613</v>
      </c>
      <c r="W544" s="3" t="n">
        <v>31.692043</v>
      </c>
      <c r="X544" s="3" t="n">
        <v>32.014027</v>
      </c>
      <c r="Y544" s="3" t="n">
        <v>32.642221</v>
      </c>
      <c r="Z544" s="3" t="n">
        <v>33.609328</v>
      </c>
      <c r="AA544" s="3" t="n">
        <v>34.838308</v>
      </c>
      <c r="AB544" s="3" t="n">
        <v>31.910855</v>
      </c>
      <c r="AC544" s="3" t="n">
        <v>32.641489</v>
      </c>
      <c r="AD544" s="3" t="n">
        <v>32.733664</v>
      </c>
      <c r="AE544" s="3" t="n">
        <v>32.938089</v>
      </c>
      <c r="AF544" s="3" t="n">
        <v>32.878628</v>
      </c>
      <c r="AG544" s="3" t="n">
        <v>32.81841</v>
      </c>
      <c r="AH544" s="3" t="n">
        <v>33.219868</v>
      </c>
      <c r="AI544" s="3" t="n">
        <v>33.224277</v>
      </c>
      <c r="AJ544" s="3" t="n">
        <v>33.13489</v>
      </c>
      <c r="AK544" s="3" t="n">
        <v>33.164103</v>
      </c>
      <c r="AL544" s="3" t="n">
        <v>33.201624</v>
      </c>
      <c r="AM544" s="3" t="n"/>
      <c r="AN544" s="3" t="n"/>
      <c r="AO544" s="3" t="n"/>
      <c r="AP544" s="3" t="n"/>
      <c r="AQ544" s="3" t="n"/>
      <c r="AR544" s="3" t="n"/>
      <c r="AS544" s="3" t="n"/>
      <c r="AT544" s="3" t="n"/>
      <c r="AU544" s="3" t="n"/>
    </row>
    <row r="545">
      <c r="A545" s="3" t="n">
        <v>2031</v>
      </c>
      <c r="B545" s="3" t="inlineStr">
        <is>
          <t>CHN</t>
        </is>
      </c>
      <c r="C545" s="3" t="inlineStr">
        <is>
          <t>IMF.RES:WEO</t>
        </is>
      </c>
      <c r="D545" s="3" t="inlineStr">
        <is>
          <t>CHN.LP.A</t>
        </is>
      </c>
      <c r="E545" s="3" t="inlineStr">
        <is>
          <t>China, People's Republic of</t>
        </is>
      </c>
      <c r="F545" s="3" t="inlineStr">
        <is>
          <t>Population, Persons for countries / Index for country groups</t>
        </is>
      </c>
      <c r="G545" s="3" t="n">
        <v>1267.43</v>
      </c>
      <c r="H545" s="3" t="n">
        <v>1276.27</v>
      </c>
      <c r="I545" s="3" t="n">
        <v>1284.53</v>
      </c>
      <c r="J545" s="3" t="n">
        <v>1292.27</v>
      </c>
      <c r="K545" s="3" t="n">
        <v>1299.88</v>
      </c>
      <c r="L545" s="3" t="n">
        <v>1307.56</v>
      </c>
      <c r="M545" s="3" t="n">
        <v>1314.48</v>
      </c>
      <c r="N545" s="3" t="n">
        <v>1321.29</v>
      </c>
      <c r="O545" s="3" t="n">
        <v>1328.02</v>
      </c>
      <c r="P545" s="3" t="n">
        <v>1334.5</v>
      </c>
      <c r="Q545" s="3" t="n">
        <v>1340.91</v>
      </c>
      <c r="R545" s="3" t="n">
        <v>1349.16</v>
      </c>
      <c r="S545" s="3" t="n">
        <v>1359.22</v>
      </c>
      <c r="T545" s="3" t="n">
        <v>1367.26</v>
      </c>
      <c r="U545" s="3" t="n">
        <v>1376.46</v>
      </c>
      <c r="V545" s="3" t="n">
        <v>1383.26</v>
      </c>
      <c r="W545" s="3" t="n">
        <v>1392.32</v>
      </c>
      <c r="X545" s="3" t="n">
        <v>1400.11</v>
      </c>
      <c r="Y545" s="3" t="n">
        <v>1405.41</v>
      </c>
      <c r="Z545" s="3" t="n">
        <v>1410.08</v>
      </c>
      <c r="AA545" s="3" t="n">
        <v>1412.12</v>
      </c>
      <c r="AB545" s="3" t="n">
        <v>1412.6</v>
      </c>
      <c r="AC545" s="3" t="n">
        <v>1411.75</v>
      </c>
      <c r="AD545" s="3" t="n">
        <v>1409.67</v>
      </c>
      <c r="AE545" s="3" t="n">
        <v>1408.28</v>
      </c>
      <c r="AF545" s="3" t="n">
        <v>1405.079906</v>
      </c>
      <c r="AG545" s="3" t="n">
        <v>1401.922654</v>
      </c>
      <c r="AH545" s="3" t="n">
        <v>1398.713135</v>
      </c>
      <c r="AI545" s="3" t="n">
        <v>1395.198032</v>
      </c>
      <c r="AJ545" s="3" t="n">
        <v>1391.374022</v>
      </c>
      <c r="AK545" s="3" t="n">
        <v>1387.277222</v>
      </c>
      <c r="AL545" s="3" t="n">
        <v>1382.906329</v>
      </c>
      <c r="AM545" s="3" t="n"/>
      <c r="AN545" s="3" t="n"/>
      <c r="AO545" s="3" t="n"/>
      <c r="AP545" s="3" t="n"/>
      <c r="AQ545" s="3" t="n"/>
      <c r="AR545" s="3" t="n"/>
      <c r="AS545" s="3" t="n"/>
      <c r="AT545" s="3" t="n"/>
      <c r="AU545" s="3" t="n"/>
    </row>
    <row r="546">
      <c r="A546" s="3" t="n">
        <v>2031</v>
      </c>
      <c r="B546" s="3" t="inlineStr">
        <is>
          <t>CHN</t>
        </is>
      </c>
      <c r="C546" s="3" t="inlineStr">
        <is>
          <t>IMF.RES:WEO</t>
        </is>
      </c>
      <c r="D546" s="3" t="inlineStr">
        <is>
          <t>CHN.NGDP.A</t>
        </is>
      </c>
      <c r="E546" s="3" t="inlineStr">
        <is>
          <t>China, People's Republic of</t>
        </is>
      </c>
      <c r="F546" s="3" t="inlineStr">
        <is>
          <t>Gross domestic product (GDP), Current prices, Domestic currency</t>
        </is>
      </c>
      <c r="G546" s="3" t="n">
        <v>10102.46</v>
      </c>
      <c r="H546" s="3" t="n">
        <v>11185.53</v>
      </c>
      <c r="I546" s="3" t="n">
        <v>12304.74</v>
      </c>
      <c r="J546" s="3" t="n">
        <v>13913.16</v>
      </c>
      <c r="K546" s="3" t="n">
        <v>16379.66</v>
      </c>
      <c r="L546" s="3" t="n">
        <v>19056.63</v>
      </c>
      <c r="M546" s="3" t="n">
        <v>22303.69</v>
      </c>
      <c r="N546" s="3" t="n">
        <v>27480.19</v>
      </c>
      <c r="O546" s="3" t="n">
        <v>32335.1</v>
      </c>
      <c r="P546" s="3" t="n">
        <v>35360.64</v>
      </c>
      <c r="Q546" s="3" t="n">
        <v>41562.51</v>
      </c>
      <c r="R546" s="3" t="n">
        <v>49268.04</v>
      </c>
      <c r="S546" s="3" t="n">
        <v>54808.88</v>
      </c>
      <c r="T546" s="3" t="n">
        <v>60612.5</v>
      </c>
      <c r="U546" s="3" t="n">
        <v>65743.25</v>
      </c>
      <c r="V546" s="3" t="n">
        <v>70415.75</v>
      </c>
      <c r="W546" s="3" t="n">
        <v>76067.21000000001</v>
      </c>
      <c r="X546" s="3" t="n">
        <v>84506.67</v>
      </c>
      <c r="Y546" s="3" t="n">
        <v>93358.13</v>
      </c>
      <c r="Z546" s="3" t="n">
        <v>100672.28</v>
      </c>
      <c r="AA546" s="3" t="n">
        <v>104224.49</v>
      </c>
      <c r="AB546" s="3" t="n">
        <v>117310.97</v>
      </c>
      <c r="AC546" s="3" t="n">
        <v>123341.28</v>
      </c>
      <c r="AD546" s="3" t="n">
        <v>129427.17</v>
      </c>
      <c r="AE546" s="3" t="n">
        <v>134921.01</v>
      </c>
      <c r="AF546" s="3" t="n">
        <v>140187.9</v>
      </c>
      <c r="AG546" s="3" t="n">
        <v>145879.16137</v>
      </c>
      <c r="AH546" s="3" t="n">
        <v>152948.420265</v>
      </c>
      <c r="AI546" s="3" t="n">
        <v>161420.261573</v>
      </c>
      <c r="AJ546" s="3" t="n">
        <v>170568.392327</v>
      </c>
      <c r="AK546" s="3" t="n">
        <v>179755.063528</v>
      </c>
      <c r="AL546" s="3" t="n">
        <v>189463.028643</v>
      </c>
      <c r="AM546" s="3" t="n"/>
      <c r="AN546" s="3" t="n"/>
      <c r="AO546" s="3" t="n"/>
      <c r="AP546" s="3" t="n"/>
      <c r="AQ546" s="3" t="n"/>
      <c r="AR546" s="3" t="n"/>
      <c r="AS546" s="3" t="n"/>
      <c r="AT546" s="3" t="n"/>
      <c r="AU546" s="3" t="n"/>
    </row>
    <row r="547">
      <c r="A547" s="3" t="n">
        <v>2031</v>
      </c>
      <c r="B547" s="3" t="inlineStr">
        <is>
          <t>CHN</t>
        </is>
      </c>
      <c r="C547" s="3" t="inlineStr">
        <is>
          <t>IMF.RES:WEO</t>
        </is>
      </c>
      <c r="D547" s="3" t="inlineStr">
        <is>
          <t>CHN.NGDP_D.A</t>
        </is>
      </c>
      <c r="E547" s="3" t="inlineStr">
        <is>
          <t>China, People's Republic of</t>
        </is>
      </c>
      <c r="F547" s="3" t="inlineStr">
        <is>
          <t>Gross domestic product (GDP), Price deflator, Index</t>
        </is>
      </c>
      <c r="G547" s="3" t="n">
        <v>57.278395</v>
      </c>
      <c r="H547" s="3" t="n">
        <v>58.548239</v>
      </c>
      <c r="I547" s="3" t="n">
        <v>58.972567</v>
      </c>
      <c r="J547" s="3" t="n">
        <v>60.552488</v>
      </c>
      <c r="K547" s="3" t="n">
        <v>64.738699</v>
      </c>
      <c r="L547" s="3" t="n">
        <v>67.58906</v>
      </c>
      <c r="M547" s="3" t="n">
        <v>70.213382</v>
      </c>
      <c r="N547" s="3" t="n">
        <v>75.783264</v>
      </c>
      <c r="O547" s="3" t="n">
        <v>81.332849</v>
      </c>
      <c r="P547" s="3" t="n">
        <v>81.267324</v>
      </c>
      <c r="Q547" s="3" t="n">
        <v>86.37629699999999</v>
      </c>
      <c r="R547" s="3" t="n">
        <v>93.548866</v>
      </c>
      <c r="S547" s="3" t="n">
        <v>96.496922</v>
      </c>
      <c r="T547" s="3" t="n">
        <v>99.020308</v>
      </c>
      <c r="U547" s="3" t="n">
        <v>99.91709899999999</v>
      </c>
      <c r="V547" s="3" t="n">
        <v>100.000001</v>
      </c>
      <c r="W547" s="3" t="n">
        <v>101.170961</v>
      </c>
      <c r="X547" s="3" t="n">
        <v>105.14979</v>
      </c>
      <c r="Y547" s="3" t="n">
        <v>108.809455</v>
      </c>
      <c r="Z547" s="3" t="n">
        <v>110.625032</v>
      </c>
      <c r="AA547" s="3" t="n">
        <v>111.913476</v>
      </c>
      <c r="AB547" s="3" t="n">
        <v>116.037556</v>
      </c>
      <c r="AC547" s="3" t="n">
        <v>118.320185</v>
      </c>
      <c r="AD547" s="3" t="n">
        <v>117.823187</v>
      </c>
      <c r="AE547" s="3" t="n">
        <v>116.972582</v>
      </c>
      <c r="AF547" s="3" t="n">
        <v>115.796692</v>
      </c>
      <c r="AG547" s="3" t="n">
        <v>115.405346</v>
      </c>
      <c r="AH547" s="3" t="n">
        <v>116.307301</v>
      </c>
      <c r="AI547" s="3" t="n">
        <v>118.028446</v>
      </c>
      <c r="AJ547" s="3" t="n">
        <v>120.307578</v>
      </c>
      <c r="AK547" s="3" t="n">
        <v>122.679915</v>
      </c>
      <c r="AL547" s="3" t="n">
        <v>125.186143</v>
      </c>
      <c r="AM547" s="3" t="n"/>
      <c r="AN547" s="3" t="n"/>
      <c r="AO547" s="3" t="n"/>
      <c r="AP547" s="3" t="n"/>
      <c r="AQ547" s="3" t="n"/>
      <c r="AR547" s="3" t="n"/>
      <c r="AS547" s="3" t="n"/>
      <c r="AT547" s="3" t="n"/>
      <c r="AU547" s="3" t="n"/>
    </row>
    <row r="548">
      <c r="A548" s="3" t="n">
        <v>2031</v>
      </c>
      <c r="B548" s="3" t="inlineStr">
        <is>
          <t>CHN</t>
        </is>
      </c>
      <c r="C548" s="3" t="inlineStr">
        <is>
          <t>IMF.RES:WEO</t>
        </is>
      </c>
      <c r="D548" s="3" t="inlineStr">
        <is>
          <t>CHN.NGDP_R.A</t>
        </is>
      </c>
      <c r="E548" s="3" t="inlineStr">
        <is>
          <t>China, People's Republic of</t>
        </is>
      </c>
      <c r="F548" s="3" t="inlineStr">
        <is>
          <t>Gross domestic product (GDP), Constant prices, Domestic currency</t>
        </is>
      </c>
      <c r="G548" s="3" t="n">
        <v>17637.470539</v>
      </c>
      <c r="H548" s="3" t="n">
        <v>19104.810263</v>
      </c>
      <c r="I548" s="3" t="n">
        <v>20865.193034</v>
      </c>
      <c r="J548" s="3" t="n">
        <v>22977.02462</v>
      </c>
      <c r="K548" s="3" t="n">
        <v>25301.188138</v>
      </c>
      <c r="L548" s="3" t="n">
        <v>28194.843984</v>
      </c>
      <c r="M548" s="3" t="n">
        <v>31765.582604</v>
      </c>
      <c r="N548" s="3" t="n">
        <v>36261.555007</v>
      </c>
      <c r="O548" s="3" t="n">
        <v>39756.50717</v>
      </c>
      <c r="P548" s="3" t="n">
        <v>43511.51038</v>
      </c>
      <c r="Q548" s="3" t="n">
        <v>48117.95784</v>
      </c>
      <c r="R548" s="3" t="n">
        <v>52665.56631</v>
      </c>
      <c r="S548" s="3" t="n">
        <v>56798.57868</v>
      </c>
      <c r="T548" s="3" t="n">
        <v>61212.19074</v>
      </c>
      <c r="U548" s="3" t="n">
        <v>65797.79723</v>
      </c>
      <c r="V548" s="3" t="n">
        <v>70415.74946000001</v>
      </c>
      <c r="W548" s="3" t="n">
        <v>75186.80202</v>
      </c>
      <c r="X548" s="3" t="n">
        <v>80367.89232</v>
      </c>
      <c r="Y548" s="3" t="n">
        <v>85799.64870000001</v>
      </c>
      <c r="Z548" s="3" t="n">
        <v>91003.16461000001</v>
      </c>
      <c r="AA548" s="3" t="n">
        <v>93129.52605</v>
      </c>
      <c r="AB548" s="3" t="n">
        <v>101097.41567</v>
      </c>
      <c r="AC548" s="3" t="n">
        <v>104243.64998</v>
      </c>
      <c r="AD548" s="3" t="n">
        <v>109848.64086</v>
      </c>
      <c r="AE548" s="3" t="n">
        <v>115344.13231</v>
      </c>
      <c r="AF548" s="3" t="n">
        <v>121063.82152</v>
      </c>
      <c r="AG548" s="3" t="n">
        <v>126405.896187</v>
      </c>
      <c r="AH548" s="3" t="n">
        <v>131503.713417</v>
      </c>
      <c r="AI548" s="3" t="n">
        <v>136763.861954</v>
      </c>
      <c r="AJ548" s="3" t="n">
        <v>141776.931478</v>
      </c>
      <c r="AK548" s="3" t="n">
        <v>146523.629184</v>
      </c>
      <c r="AL548" s="3" t="n">
        <v>151345.047854</v>
      </c>
      <c r="AM548" s="3" t="n"/>
      <c r="AN548" s="3" t="n"/>
      <c r="AO548" s="3" t="n"/>
      <c r="AP548" s="3" t="n"/>
      <c r="AQ548" s="3" t="n"/>
      <c r="AR548" s="3" t="n"/>
      <c r="AS548" s="3" t="n"/>
      <c r="AT548" s="3" t="n"/>
      <c r="AU548" s="3" t="n"/>
    </row>
    <row r="549">
      <c r="A549" s="3" t="n">
        <v>2031</v>
      </c>
      <c r="B549" s="3" t="inlineStr">
        <is>
          <t>CHN</t>
        </is>
      </c>
      <c r="C549" s="3" t="inlineStr">
        <is>
          <t>IMF.RES:WEO</t>
        </is>
      </c>
      <c r="D549" s="3" t="inlineStr">
        <is>
          <t>CHN.NGDP_RPCH.A</t>
        </is>
      </c>
      <c r="E549" s="3" t="inlineStr">
        <is>
          <t>China, People's Republic of</t>
        </is>
      </c>
      <c r="F549" s="3" t="inlineStr">
        <is>
          <t>Gross domestic product (GDP), Constant prices, Percent change</t>
        </is>
      </c>
      <c r="G549" s="3" t="n">
        <v>8.572469999999999</v>
      </c>
      <c r="H549" s="3" t="n">
        <v>8.319445</v>
      </c>
      <c r="I549" s="3" t="n">
        <v>9.214343</v>
      </c>
      <c r="J549" s="3" t="n">
        <v>10.121313</v>
      </c>
      <c r="K549" s="3" t="n">
        <v>10.115163</v>
      </c>
      <c r="L549" s="3" t="n">
        <v>11.436838</v>
      </c>
      <c r="M549" s="3" t="n">
        <v>12.664509</v>
      </c>
      <c r="N549" s="3" t="n">
        <v>14.153597</v>
      </c>
      <c r="O549" s="3" t="n">
        <v>9.638175</v>
      </c>
      <c r="P549" s="3" t="n">
        <v>9.445003</v>
      </c>
      <c r="Q549" s="3" t="n">
        <v>10.586733</v>
      </c>
      <c r="R549" s="3" t="n">
        <v>9.450958999999999</v>
      </c>
      <c r="S549" s="3" t="n">
        <v>7.847656</v>
      </c>
      <c r="T549" s="3" t="n">
        <v>7.770638</v>
      </c>
      <c r="U549" s="3" t="n">
        <v>7.491329</v>
      </c>
      <c r="V549" s="3" t="n">
        <v>7.018399</v>
      </c>
      <c r="W549" s="3" t="n">
        <v>6.775548</v>
      </c>
      <c r="X549" s="3" t="n">
        <v>6.890957</v>
      </c>
      <c r="Y549" s="3" t="n">
        <v>6.758615</v>
      </c>
      <c r="Z549" s="3" t="n">
        <v>6.064729</v>
      </c>
      <c r="AA549" s="3" t="n">
        <v>2.33658</v>
      </c>
      <c r="AB549" s="3" t="n">
        <v>8.555707</v>
      </c>
      <c r="AC549" s="3" t="n">
        <v>3.112082</v>
      </c>
      <c r="AD549" s="3" t="n">
        <v>5.376818</v>
      </c>
      <c r="AE549" s="3" t="n">
        <v>5.002785</v>
      </c>
      <c r="AF549" s="3" t="n">
        <v>4.958804</v>
      </c>
      <c r="AG549" s="3" t="n">
        <v>4.41261</v>
      </c>
      <c r="AH549" s="3" t="n">
        <v>4.032895</v>
      </c>
      <c r="AI549" s="3" t="n">
        <v>4</v>
      </c>
      <c r="AJ549" s="3" t="n">
        <v>3.665493</v>
      </c>
      <c r="AK549" s="3" t="n">
        <v>3.348004</v>
      </c>
      <c r="AL549" s="3" t="n">
        <v>3.29054</v>
      </c>
      <c r="AM549" s="3" t="n"/>
      <c r="AN549" s="3" t="n"/>
      <c r="AO549" s="3" t="n"/>
      <c r="AP549" s="3" t="n"/>
      <c r="AQ549" s="3" t="n"/>
      <c r="AR549" s="3" t="n"/>
      <c r="AS549" s="3" t="n"/>
      <c r="AT549" s="3" t="n"/>
      <c r="AU549" s="3" t="n"/>
    </row>
    <row r="550">
      <c r="A550" s="3" t="n">
        <v>2031</v>
      </c>
      <c r="B550" s="3" t="inlineStr">
        <is>
          <t>CHN</t>
        </is>
      </c>
      <c r="C550" s="3" t="inlineStr">
        <is>
          <t>IMF.RES:WEO</t>
        </is>
      </c>
      <c r="D550" s="3" t="inlineStr">
        <is>
          <t>CHN.NGDPD.A</t>
        </is>
      </c>
      <c r="E550" s="3" t="inlineStr">
        <is>
          <t>China, People's Republic of</t>
        </is>
      </c>
      <c r="F550" s="3" t="inlineStr">
        <is>
          <t>Gross domestic product (GDP), Current prices, US dollar</t>
        </is>
      </c>
      <c r="G550" s="3" t="n">
        <v>1220.345696</v>
      </c>
      <c r="H550" s="3" t="n">
        <v>1351.395092</v>
      </c>
      <c r="I550" s="3" t="n">
        <v>1486.627505</v>
      </c>
      <c r="J550" s="3" t="n">
        <v>1680.932339</v>
      </c>
      <c r="K550" s="3" t="n">
        <v>1978.987839</v>
      </c>
      <c r="L550" s="3" t="n">
        <v>2326.577132</v>
      </c>
      <c r="M550" s="3" t="n">
        <v>2798.77994</v>
      </c>
      <c r="N550" s="3" t="n">
        <v>3613.610053</v>
      </c>
      <c r="O550" s="3" t="n">
        <v>4655.582579</v>
      </c>
      <c r="P550" s="3" t="n">
        <v>5176.49852</v>
      </c>
      <c r="Q550" s="3" t="n">
        <v>6138.878286</v>
      </c>
      <c r="R550" s="3" t="n">
        <v>7628.382549</v>
      </c>
      <c r="S550" s="3" t="n">
        <v>8682.533971000001</v>
      </c>
      <c r="T550" s="3" t="n">
        <v>9787.509875</v>
      </c>
      <c r="U550" s="3" t="n">
        <v>10702.457803</v>
      </c>
      <c r="V550" s="3" t="n">
        <v>11305.639738</v>
      </c>
      <c r="W550" s="3" t="n">
        <v>11451.999809</v>
      </c>
      <c r="X550" s="3" t="n">
        <v>12516.151548</v>
      </c>
      <c r="Y550" s="3" t="n">
        <v>14107.926567</v>
      </c>
      <c r="Z550" s="3" t="n">
        <v>14593.449877</v>
      </c>
      <c r="AA550" s="3" t="n">
        <v>15110.191186</v>
      </c>
      <c r="AB550" s="3" t="n">
        <v>18183.504643</v>
      </c>
      <c r="AC550" s="3" t="n">
        <v>18337.776646</v>
      </c>
      <c r="AD550" s="3" t="n">
        <v>18366.93624</v>
      </c>
      <c r="AE550" s="3" t="n">
        <v>18945.112489</v>
      </c>
      <c r="AF550" s="3" t="n">
        <v>19626.24704</v>
      </c>
      <c r="AG550" s="3" t="n">
        <v>20851.592794</v>
      </c>
      <c r="AH550" s="3" t="n">
        <v>21928.978943</v>
      </c>
      <c r="AI550" s="3" t="n">
        <v>23259.955538</v>
      </c>
      <c r="AJ550" s="3" t="n">
        <v>24662.788276</v>
      </c>
      <c r="AK550" s="3" t="n">
        <v>26046.792923</v>
      </c>
      <c r="AL550" s="3" t="n">
        <v>27496.670446</v>
      </c>
      <c r="AM550" s="3" t="n"/>
      <c r="AN550" s="3" t="n"/>
      <c r="AO550" s="3" t="n"/>
      <c r="AP550" s="3" t="n"/>
      <c r="AQ550" s="3" t="n"/>
      <c r="AR550" s="3" t="n"/>
      <c r="AS550" s="3" t="n"/>
      <c r="AT550" s="3" t="n"/>
      <c r="AU550" s="3" t="n"/>
    </row>
    <row r="551">
      <c r="A551" s="3" t="n">
        <v>2031</v>
      </c>
      <c r="B551" s="3" t="inlineStr">
        <is>
          <t>CHN</t>
        </is>
      </c>
      <c r="C551" s="3" t="inlineStr">
        <is>
          <t>IMF.RES:WEO</t>
        </is>
      </c>
      <c r="D551" s="3" t="inlineStr">
        <is>
          <t>CHN.NGDPPC.A</t>
        </is>
      </c>
      <c r="E551" s="3" t="inlineStr">
        <is>
          <t>China, People's Republic of</t>
        </is>
      </c>
      <c r="F551" s="3" t="inlineStr">
        <is>
          <t>Gross domestic product (GDP), Current prices, Per capita, Domestic currency</t>
        </is>
      </c>
      <c r="G551" s="3" t="n">
        <v>7970.822846</v>
      </c>
      <c r="H551" s="3" t="n">
        <v>8764.234841</v>
      </c>
      <c r="I551" s="3" t="n">
        <v>9579.176820000001</v>
      </c>
      <c r="J551" s="3" t="n">
        <v>10766.449736</v>
      </c>
      <c r="K551" s="3" t="n">
        <v>12600.901622</v>
      </c>
      <c r="L551" s="3" t="n">
        <v>14574.191624</v>
      </c>
      <c r="M551" s="3" t="n">
        <v>16967.690646</v>
      </c>
      <c r="N551" s="3" t="n">
        <v>20798.000439</v>
      </c>
      <c r="O551" s="3" t="n">
        <v>24348.353187</v>
      </c>
      <c r="P551" s="3" t="n">
        <v>26497.294867</v>
      </c>
      <c r="Q551" s="3" t="n">
        <v>30995.749155</v>
      </c>
      <c r="R551" s="3" t="n">
        <v>36517.566486</v>
      </c>
      <c r="S551" s="3" t="n">
        <v>40323.773929</v>
      </c>
      <c r="T551" s="3" t="n">
        <v>44331.363457</v>
      </c>
      <c r="U551" s="3" t="n">
        <v>47762.557575</v>
      </c>
      <c r="V551" s="3" t="n">
        <v>50905.65042</v>
      </c>
      <c r="W551" s="3" t="n">
        <v>54633.424787</v>
      </c>
      <c r="X551" s="3" t="n">
        <v>60357.164794</v>
      </c>
      <c r="Y551" s="3" t="n">
        <v>66427.68302500001</v>
      </c>
      <c r="Z551" s="3" t="n">
        <v>71394.729377</v>
      </c>
      <c r="AA551" s="3" t="n">
        <v>73807.105628</v>
      </c>
      <c r="AB551" s="3" t="n">
        <v>83046.134787</v>
      </c>
      <c r="AC551" s="3" t="n">
        <v>87367.65008000001</v>
      </c>
      <c r="AD551" s="3" t="n">
        <v>91813.807487</v>
      </c>
      <c r="AE551" s="3" t="n">
        <v>95805.52873000001</v>
      </c>
      <c r="AF551" s="3" t="n">
        <v>99772.19046100001</v>
      </c>
      <c r="AG551" s="3" t="n">
        <v>104056.497646</v>
      </c>
      <c r="AH551" s="3" t="n">
        <v>109349.384386</v>
      </c>
      <c r="AI551" s="3" t="n">
        <v>115697.024989</v>
      </c>
      <c r="AJ551" s="3" t="n">
        <v>122589.892871</v>
      </c>
      <c r="AK551" s="3" t="n">
        <v>129574.003464</v>
      </c>
      <c r="AL551" s="3" t="n">
        <v>137003.515512</v>
      </c>
      <c r="AM551" s="3" t="n"/>
      <c r="AN551" s="3" t="n"/>
      <c r="AO551" s="3" t="n"/>
      <c r="AP551" s="3" t="n"/>
      <c r="AQ551" s="3" t="n"/>
      <c r="AR551" s="3" t="n"/>
      <c r="AS551" s="3" t="n"/>
      <c r="AT551" s="3" t="n"/>
      <c r="AU551" s="3" t="n"/>
    </row>
    <row r="552">
      <c r="A552" s="3" t="n">
        <v>2031</v>
      </c>
      <c r="B552" s="3" t="inlineStr">
        <is>
          <t>CHN</t>
        </is>
      </c>
      <c r="C552" s="3" t="inlineStr">
        <is>
          <t>IMF.RES:WEO</t>
        </is>
      </c>
      <c r="D552" s="3" t="inlineStr">
        <is>
          <t>CHN.NGDPRPC.A</t>
        </is>
      </c>
      <c r="E552" s="3" t="inlineStr">
        <is>
          <t>China, People's Republic of</t>
        </is>
      </c>
      <c r="F552" s="3" t="inlineStr">
        <is>
          <t>Gross domestic product (GDP), Constant prices, Per capita, Domestic currency</t>
        </is>
      </c>
      <c r="G552" s="3" t="n">
        <v>13915.932666</v>
      </c>
      <c r="H552" s="3" t="n">
        <v>14969.254361</v>
      </c>
      <c r="I552" s="3" t="n">
        <v>16243.445489</v>
      </c>
      <c r="J552" s="3" t="n">
        <v>17780.359074</v>
      </c>
      <c r="K552" s="3" t="n">
        <v>19464.249114</v>
      </c>
      <c r="L552" s="3" t="n">
        <v>21562.944709</v>
      </c>
      <c r="M552" s="3" t="n">
        <v>24165.892675</v>
      </c>
      <c r="N552" s="3" t="n">
        <v>27444.054679</v>
      </c>
      <c r="O552" s="3" t="n">
        <v>29936.678039</v>
      </c>
      <c r="P552" s="3" t="n">
        <v>32605.10332</v>
      </c>
      <c r="Q552" s="3" t="n">
        <v>35884.5544</v>
      </c>
      <c r="R552" s="3" t="n">
        <v>39035.819554</v>
      </c>
      <c r="S552" s="3" t="n">
        <v>41787.627227</v>
      </c>
      <c r="T552" s="3" t="n">
        <v>44769.971139</v>
      </c>
      <c r="U552" s="3" t="n">
        <v>47802.18621</v>
      </c>
      <c r="V552" s="3" t="n">
        <v>50905.65003</v>
      </c>
      <c r="W552" s="3" t="n">
        <v>54001.093154</v>
      </c>
      <c r="X552" s="3" t="n">
        <v>57401.127283</v>
      </c>
      <c r="Y552" s="3" t="n">
        <v>61049.550451</v>
      </c>
      <c r="Z552" s="3" t="n">
        <v>64537.589789</v>
      </c>
      <c r="AA552" s="3" t="n">
        <v>65950.15016400001</v>
      </c>
      <c r="AB552" s="3" t="n">
        <v>71568.32484099999</v>
      </c>
      <c r="AC552" s="3" t="n">
        <v>73840.021236</v>
      </c>
      <c r="AD552" s="3" t="n">
        <v>77925.07527299999</v>
      </c>
      <c r="AE552" s="3" t="n">
        <v>81904.260737</v>
      </c>
      <c r="AF552" s="3" t="n">
        <v>86161.520777</v>
      </c>
      <c r="AG552" s="3" t="n">
        <v>90166.09854000001</v>
      </c>
      <c r="AH552" s="3" t="n">
        <v>94017.643868</v>
      </c>
      <c r="AI552" s="3" t="n">
        <v>98024.695289</v>
      </c>
      <c r="AJ552" s="3" t="n">
        <v>101897.066651</v>
      </c>
      <c r="AK552" s="3" t="n">
        <v>105619.574007</v>
      </c>
      <c r="AL552" s="3" t="n">
        <v>109439.840373</v>
      </c>
      <c r="AM552" s="3" t="n"/>
      <c r="AN552" s="3" t="n"/>
      <c r="AO552" s="3" t="n"/>
      <c r="AP552" s="3" t="n"/>
      <c r="AQ552" s="3" t="n"/>
      <c r="AR552" s="3" t="n"/>
      <c r="AS552" s="3" t="n"/>
      <c r="AT552" s="3" t="n"/>
      <c r="AU552" s="3" t="n"/>
    </row>
    <row r="553">
      <c r="A553" s="3" t="n">
        <v>2031</v>
      </c>
      <c r="B553" s="3" t="inlineStr">
        <is>
          <t>CHN</t>
        </is>
      </c>
      <c r="C553" s="3" t="inlineStr">
        <is>
          <t>IMF.RES:WEO</t>
        </is>
      </c>
      <c r="D553" s="3" t="inlineStr">
        <is>
          <t>CHN.PCPI.A</t>
        </is>
      </c>
      <c r="E553" s="3" t="inlineStr">
        <is>
          <t>China, People's Republic of</t>
        </is>
      </c>
      <c r="F553" s="3" t="inlineStr">
        <is>
          <t>All Items, Consumer price index (CPI), Period average</t>
        </is>
      </c>
      <c r="G553" s="3" t="n">
        <v>70.49615300000001</v>
      </c>
      <c r="H553" s="3" t="n">
        <v>71.006428</v>
      </c>
      <c r="I553" s="3" t="n">
        <v>70.46227</v>
      </c>
      <c r="J553" s="3" t="n">
        <v>71.280833</v>
      </c>
      <c r="K553" s="3" t="n">
        <v>74.055888</v>
      </c>
      <c r="L553" s="3" t="n">
        <v>75.39585599999999</v>
      </c>
      <c r="M553" s="3" t="n">
        <v>76.50188300000001</v>
      </c>
      <c r="N553" s="3" t="n">
        <v>80.15375</v>
      </c>
      <c r="O553" s="3" t="n">
        <v>84.838476</v>
      </c>
      <c r="P553" s="3" t="n">
        <v>84.251531</v>
      </c>
      <c r="Q553" s="3" t="n">
        <v>87.05738599999999</v>
      </c>
      <c r="R553" s="3" t="n">
        <v>91.772486</v>
      </c>
      <c r="S553" s="3" t="n">
        <v>94.177566</v>
      </c>
      <c r="T553" s="3" t="n">
        <v>96.650154</v>
      </c>
      <c r="U553" s="3" t="n">
        <v>98.57805</v>
      </c>
      <c r="V553" s="3" t="n">
        <v>100</v>
      </c>
      <c r="W553" s="3" t="n">
        <v>101.996234</v>
      </c>
      <c r="X553" s="3" t="n">
        <v>103.606723</v>
      </c>
      <c r="Y553" s="3" t="n">
        <v>105.773728</v>
      </c>
      <c r="Z553" s="3" t="n">
        <v>108.846496</v>
      </c>
      <c r="AA553" s="3" t="n">
        <v>111.557096</v>
      </c>
      <c r="AB553" s="3" t="n">
        <v>112.581856</v>
      </c>
      <c r="AC553" s="3" t="n">
        <v>114.806855</v>
      </c>
      <c r="AD553" s="3" t="n">
        <v>115.068463</v>
      </c>
      <c r="AE553" s="3" t="n">
        <v>115.312315</v>
      </c>
      <c r="AF553" s="3" t="n">
        <v>115.369057</v>
      </c>
      <c r="AG553" s="3" t="n">
        <v>116.771655</v>
      </c>
      <c r="AH553" s="3" t="n">
        <v>118.539966</v>
      </c>
      <c r="AI553" s="3" t="n">
        <v>120.67909</v>
      </c>
      <c r="AJ553" s="3" t="n">
        <v>122.973945</v>
      </c>
      <c r="AK553" s="3" t="n">
        <v>125.42922</v>
      </c>
      <c r="AL553" s="3" t="n">
        <v>127.928008</v>
      </c>
      <c r="AM553" s="3" t="n"/>
      <c r="AN553" s="3" t="n"/>
      <c r="AO553" s="3" t="n"/>
      <c r="AP553" s="3" t="n"/>
      <c r="AQ553" s="3" t="n"/>
      <c r="AR553" s="3" t="n"/>
      <c r="AS553" s="3" t="n"/>
      <c r="AT553" s="3" t="n"/>
      <c r="AU553" s="3" t="n"/>
    </row>
    <row r="554">
      <c r="A554" s="3" t="n">
        <v>2031</v>
      </c>
      <c r="B554" s="3" t="inlineStr">
        <is>
          <t>CHN</t>
        </is>
      </c>
      <c r="C554" s="3" t="inlineStr">
        <is>
          <t>IMF.RES:WEO</t>
        </is>
      </c>
      <c r="D554" s="3" t="inlineStr">
        <is>
          <t>CHN.PCPIPCH.A</t>
        </is>
      </c>
      <c r="E554" s="3" t="inlineStr">
        <is>
          <t>China, People's Republic of</t>
        </is>
      </c>
      <c r="F554" s="3" t="inlineStr">
        <is>
          <t>All Items, Consumer price index (CPI), Period average, percent change</t>
        </is>
      </c>
      <c r="G554" s="3" t="n">
        <v>0.351507</v>
      </c>
      <c r="H554" s="3" t="n">
        <v>0.723834</v>
      </c>
      <c r="I554" s="3" t="n">
        <v>-0.766351</v>
      </c>
      <c r="J554" s="3" t="n">
        <v>1.161704</v>
      </c>
      <c r="K554" s="3" t="n">
        <v>3.893129</v>
      </c>
      <c r="L554" s="3" t="n">
        <v>1.809402</v>
      </c>
      <c r="M554" s="3" t="n">
        <v>1.46696</v>
      </c>
      <c r="N554" s="3" t="n">
        <v>4.773565</v>
      </c>
      <c r="O554" s="3" t="n">
        <v>5.844675</v>
      </c>
      <c r="P554" s="3" t="n">
        <v>-0.691838</v>
      </c>
      <c r="Q554" s="3" t="n">
        <v>3.330331</v>
      </c>
      <c r="R554" s="3" t="n">
        <v>5.416082</v>
      </c>
      <c r="S554" s="3" t="n">
        <v>2.620699</v>
      </c>
      <c r="T554" s="3" t="n">
        <v>2.625453</v>
      </c>
      <c r="U554" s="3" t="n">
        <v>1.994715</v>
      </c>
      <c r="V554" s="3" t="n">
        <v>1.442462</v>
      </c>
      <c r="W554" s="3" t="n">
        <v>1.996234</v>
      </c>
      <c r="X554" s="3" t="n">
        <v>1.578969</v>
      </c>
      <c r="Y554" s="3" t="n">
        <v>2.091568</v>
      </c>
      <c r="Z554" s="3" t="n">
        <v>2.905038</v>
      </c>
      <c r="AA554" s="3" t="n">
        <v>2.490296</v>
      </c>
      <c r="AB554" s="3" t="n">
        <v>0.918597</v>
      </c>
      <c r="AC554" s="3" t="n">
        <v>1.976339</v>
      </c>
      <c r="AD554" s="3" t="n">
        <v>0.227867</v>
      </c>
      <c r="AE554" s="3" t="n">
        <v>0.211919</v>
      </c>
      <c r="AF554" s="3" t="n">
        <v>0.049208</v>
      </c>
      <c r="AG554" s="3" t="n">
        <v>1.215749</v>
      </c>
      <c r="AH554" s="3" t="n">
        <v>1.514332</v>
      </c>
      <c r="AI554" s="3" t="n">
        <v>1.80456</v>
      </c>
      <c r="AJ554" s="3" t="n">
        <v>1.901618</v>
      </c>
      <c r="AK554" s="3" t="n">
        <v>1.996581</v>
      </c>
      <c r="AL554" s="3" t="n">
        <v>1.99219</v>
      </c>
      <c r="AM554" s="3" t="n"/>
      <c r="AN554" s="3" t="n"/>
      <c r="AO554" s="3" t="n"/>
      <c r="AP554" s="3" t="n"/>
      <c r="AQ554" s="3" t="n"/>
      <c r="AR554" s="3" t="n"/>
      <c r="AS554" s="3" t="n"/>
      <c r="AT554" s="3" t="n"/>
      <c r="AU554" s="3" t="n"/>
    </row>
    <row r="555">
      <c r="A555" s="3" t="n">
        <v>2031</v>
      </c>
      <c r="B555" s="3" t="inlineStr">
        <is>
          <t>CHN</t>
        </is>
      </c>
      <c r="C555" s="3" t="inlineStr">
        <is>
          <t>IMF.RES:WEO</t>
        </is>
      </c>
      <c r="D555" s="3" t="inlineStr">
        <is>
          <t>CHN.PPPPC.A</t>
        </is>
      </c>
      <c r="E555" s="3" t="inlineStr">
        <is>
          <t>China, People's Republic of</t>
        </is>
      </c>
      <c r="F555" s="3" t="inlineStr">
        <is>
          <t>Gross domestic product (GDP), Per capita, purchasing power parity (PPP) international dollar, ICP benchmarks 2017-2021</t>
        </is>
      </c>
      <c r="G555" s="3" t="n">
        <v>2633.911526</v>
      </c>
      <c r="H555" s="3" t="n">
        <v>2897.071616</v>
      </c>
      <c r="I555" s="3" t="n">
        <v>3192.525724</v>
      </c>
      <c r="J555" s="3" t="n">
        <v>3563.585237</v>
      </c>
      <c r="K555" s="3" t="n">
        <v>4005.97007</v>
      </c>
      <c r="L555" s="3" t="n">
        <v>4577.070953</v>
      </c>
      <c r="M555" s="3" t="n">
        <v>5287.777637</v>
      </c>
      <c r="N555" s="3" t="n">
        <v>6167.771278</v>
      </c>
      <c r="O555" s="3" t="n">
        <v>6857.571181</v>
      </c>
      <c r="P555" s="3" t="n">
        <v>7514.888629</v>
      </c>
      <c r="Q555" s="3" t="n">
        <v>8371.263502</v>
      </c>
      <c r="R555" s="3" t="n">
        <v>9294.28837</v>
      </c>
      <c r="S555" s="3" t="n">
        <v>10134.736526</v>
      </c>
      <c r="T555" s="3" t="n">
        <v>11042.847632</v>
      </c>
      <c r="U555" s="3" t="n">
        <v>11996.127641</v>
      </c>
      <c r="V555" s="3" t="n">
        <v>12893.511222</v>
      </c>
      <c r="W555" s="3" t="n">
        <v>13807.499992</v>
      </c>
      <c r="X555" s="3" t="n">
        <v>14939.698452</v>
      </c>
      <c r="Y555" s="3" t="n">
        <v>16225.26209</v>
      </c>
      <c r="Z555" s="3" t="n">
        <v>17586.600609</v>
      </c>
      <c r="AA555" s="3" t="n">
        <v>18384.413417</v>
      </c>
      <c r="AB555" s="3" t="n">
        <v>20827.092822</v>
      </c>
      <c r="AC555" s="3" t="n">
        <v>23016.507279</v>
      </c>
      <c r="AD555" s="3" t="n">
        <v>25188.582869</v>
      </c>
      <c r="AE555" s="3" t="n">
        <v>27132.068185</v>
      </c>
      <c r="AF555" s="3" t="n">
        <v>29352.032097</v>
      </c>
      <c r="AG555" s="3" t="n">
        <v>31596.217647</v>
      </c>
      <c r="AH555" s="3" t="n">
        <v>33669.344641</v>
      </c>
      <c r="AI555" s="3" t="n">
        <v>35680.538364</v>
      </c>
      <c r="AJ555" s="3" t="n">
        <v>37749.565329</v>
      </c>
      <c r="AK555" s="3" t="n">
        <v>39847.632974</v>
      </c>
      <c r="AL555" s="3" t="n">
        <v>42034.313954</v>
      </c>
      <c r="AM555" s="3" t="n"/>
      <c r="AN555" s="3" t="n"/>
      <c r="AO555" s="3" t="n"/>
      <c r="AP555" s="3" t="n"/>
      <c r="AQ555" s="3" t="n"/>
      <c r="AR555" s="3" t="n"/>
      <c r="AS555" s="3" t="n"/>
      <c r="AT555" s="3" t="n"/>
      <c r="AU555" s="3" t="n"/>
    </row>
    <row r="556">
      <c r="A556" s="3" t="n">
        <v>2025</v>
      </c>
      <c r="B556" s="3" t="inlineStr">
        <is>
          <t>CHN</t>
        </is>
      </c>
      <c r="C556" s="3" t="inlineStr">
        <is>
          <t>IMF.STA:ER</t>
        </is>
      </c>
      <c r="D556" s="3" t="inlineStr">
        <is>
          <t>CHN.XDC_USD.PA_RT.A</t>
        </is>
      </c>
      <c r="E556" s="3" t="inlineStr">
        <is>
          <t>China, People's Republic of</t>
        </is>
      </c>
      <c r="F556" s="3" t="inlineStr">
        <is>
          <t>Domestic currency per US Dollar</t>
        </is>
      </c>
      <c r="G556" s="3" t="n">
        <v>8.278504166666661</v>
      </c>
      <c r="H556" s="3" t="n">
        <v>8.277068333333331</v>
      </c>
      <c r="I556" s="3" t="n">
        <v>8.2769575</v>
      </c>
      <c r="J556" s="3" t="n">
        <v>8.27703666666666</v>
      </c>
      <c r="K556" s="3" t="n">
        <v>8.276800833333329</v>
      </c>
      <c r="L556" s="3" t="n">
        <v>8.19431666666666</v>
      </c>
      <c r="M556" s="3" t="n">
        <v>7.97343833333333</v>
      </c>
      <c r="N556" s="3" t="n">
        <v>7.6075325</v>
      </c>
      <c r="O556" s="3" t="n">
        <v>6.948655</v>
      </c>
      <c r="P556" s="3" t="n">
        <v>6.83141605176666</v>
      </c>
      <c r="Q556" s="3" t="n">
        <v>6.77026902870939</v>
      </c>
      <c r="R556" s="3" t="n">
        <v>6.46146132655007</v>
      </c>
      <c r="S556" s="3" t="n">
        <v>6.31233282683186</v>
      </c>
      <c r="T556" s="3" t="n">
        <v>6.19575834608231</v>
      </c>
      <c r="U556" s="3" t="n">
        <v>6.14343409448867</v>
      </c>
      <c r="V556" s="3" t="n">
        <v>6.22748867298454</v>
      </c>
      <c r="W556" s="3" t="n">
        <v>6.6444778294468</v>
      </c>
      <c r="X556" s="3" t="n">
        <v>6.75875508633597</v>
      </c>
      <c r="Y556" s="3" t="n">
        <v>6.61595717735439</v>
      </c>
      <c r="Z556" s="3" t="n">
        <v>6.90838500992901</v>
      </c>
      <c r="AA556" s="3" t="n">
        <v>6.90076726944924</v>
      </c>
      <c r="AB556" s="3" t="n">
        <v>6.44897518024316</v>
      </c>
      <c r="AC556" s="3" t="n">
        <v>6.73715811237118</v>
      </c>
      <c r="AD556" s="3" t="n">
        <v>7.0839984234363</v>
      </c>
      <c r="AE556" s="3" t="n">
        <v>7.19749110789916</v>
      </c>
      <c r="AF556" s="3" t="n">
        <v>7.18984737402171</v>
      </c>
      <c r="AG556" s="3" t="n"/>
      <c r="AH556" s="3" t="n"/>
      <c r="AI556" s="3" t="n"/>
      <c r="AJ556" s="3" t="n"/>
      <c r="AK556" s="3" t="n"/>
      <c r="AL556" s="3" t="n"/>
      <c r="AM556" s="3" t="n"/>
      <c r="AN556" s="3" t="n"/>
      <c r="AO556" s="3" t="n"/>
      <c r="AP556" s="3" t="n"/>
      <c r="AQ556" s="3" t="n"/>
      <c r="AR556" s="3" t="n"/>
      <c r="AS556" s="3" t="n"/>
      <c r="AT556" s="3" t="n"/>
      <c r="AU556" s="3" t="n"/>
    </row>
    <row r="557">
      <c r="A557" s="3" t="n">
        <v>2031</v>
      </c>
      <c r="B557" s="3" t="inlineStr">
        <is>
          <t>CIV</t>
        </is>
      </c>
      <c r="C557" s="3" t="inlineStr">
        <is>
          <t>IMF.RES:WEO</t>
        </is>
      </c>
      <c r="D557" s="3" t="inlineStr">
        <is>
          <t>CIV.BCA.A</t>
        </is>
      </c>
      <c r="E557" s="3" t="inlineStr">
        <is>
          <t>Côte d'Ivoire</t>
        </is>
      </c>
      <c r="F557" s="3" t="inlineStr">
        <is>
          <t>Current account balance (credit less debit), US dollar</t>
        </is>
      </c>
      <c r="G557" s="3" t="n">
        <v>-0.241264</v>
      </c>
      <c r="H557" s="3" t="n">
        <v>-0.061274</v>
      </c>
      <c r="I557" s="3" t="n">
        <v>0.768225</v>
      </c>
      <c r="J557" s="3" t="n">
        <v>0.294224</v>
      </c>
      <c r="K557" s="3" t="n">
        <v>0.240859</v>
      </c>
      <c r="L557" s="3" t="n">
        <v>0.03969</v>
      </c>
      <c r="M557" s="3" t="n">
        <v>0.479391</v>
      </c>
      <c r="N557" s="3" t="n">
        <v>-0.139224</v>
      </c>
      <c r="O557" s="3" t="n">
        <v>0.453391</v>
      </c>
      <c r="P557" s="3" t="n">
        <v>1.624099</v>
      </c>
      <c r="Q557" s="3" t="n">
        <v>0.464986</v>
      </c>
      <c r="R557" s="3" t="n">
        <v>2.666212</v>
      </c>
      <c r="S557" s="3" t="n">
        <v>-0.320534</v>
      </c>
      <c r="T557" s="3" t="n">
        <v>-0.422893</v>
      </c>
      <c r="U557" s="3" t="n">
        <v>0.510714</v>
      </c>
      <c r="V557" s="3" t="n">
        <v>-0.201373</v>
      </c>
      <c r="W557" s="3" t="n">
        <v>-0.414273</v>
      </c>
      <c r="X557" s="3" t="n">
        <v>-1.049092</v>
      </c>
      <c r="Y557" s="3" t="n">
        <v>-2.284502</v>
      </c>
      <c r="Z557" s="3" t="n">
        <v>-1.348827</v>
      </c>
      <c r="AA557" s="3" t="n">
        <v>-1.974307</v>
      </c>
      <c r="AB557" s="3" t="n">
        <v>-2.874117</v>
      </c>
      <c r="AC557" s="3" t="n">
        <v>-5.393827</v>
      </c>
      <c r="AD557" s="3" t="n">
        <v>-6.502843</v>
      </c>
      <c r="AE557" s="3" t="n">
        <v>-3.892314</v>
      </c>
      <c r="AF557" s="3" t="n">
        <v>-1.087064</v>
      </c>
      <c r="AG557" s="3" t="n">
        <v>-1.186372</v>
      </c>
      <c r="AH557" s="3" t="n">
        <v>-3.755264</v>
      </c>
      <c r="AI557" s="3" t="n">
        <v>-4.766182</v>
      </c>
      <c r="AJ557" s="3" t="n">
        <v>-3.823172</v>
      </c>
      <c r="AK557" s="3" t="n">
        <v>-4.041852</v>
      </c>
      <c r="AL557" s="3" t="n">
        <v>-4.224485</v>
      </c>
      <c r="AM557" s="3" t="n"/>
      <c r="AN557" s="3" t="n"/>
      <c r="AO557" s="3" t="n"/>
      <c r="AP557" s="3" t="n"/>
      <c r="AQ557" s="3" t="n"/>
      <c r="AR557" s="3" t="n"/>
      <c r="AS557" s="3" t="n"/>
      <c r="AT557" s="3" t="n"/>
      <c r="AU557" s="3" t="n"/>
    </row>
    <row r="558">
      <c r="A558" s="3" t="n">
        <v>2031</v>
      </c>
      <c r="B558" s="3" t="inlineStr">
        <is>
          <t>CIV</t>
        </is>
      </c>
      <c r="C558" s="3" t="inlineStr">
        <is>
          <t>IMF.RES:WEO</t>
        </is>
      </c>
      <c r="D558" s="3" t="inlineStr">
        <is>
          <t>CIV.BCA_NGDPD.A</t>
        </is>
      </c>
      <c r="E558" s="3" t="inlineStr">
        <is>
          <t>Côte d'Ivoire</t>
        </is>
      </c>
      <c r="F558" s="3" t="inlineStr">
        <is>
          <t>Current account balance (credit less debit), Percent of GDP</t>
        </is>
      </c>
      <c r="G558" s="3" t="n">
        <v>-1.624579</v>
      </c>
      <c r="H558" s="3" t="n">
        <v>-0.395702</v>
      </c>
      <c r="I558" s="3" t="n">
        <v>4.480096</v>
      </c>
      <c r="J558" s="3" t="n">
        <v>1.387482</v>
      </c>
      <c r="K558" s="3" t="n">
        <v>1.050684</v>
      </c>
      <c r="L558" s="3" t="n">
        <v>0.167998</v>
      </c>
      <c r="M558" s="3" t="n">
        <v>1.946547</v>
      </c>
      <c r="N558" s="3" t="n">
        <v>-0.494442</v>
      </c>
      <c r="O558" s="3" t="n">
        <v>1.348528</v>
      </c>
      <c r="P558" s="3" t="n">
        <v>4.820224</v>
      </c>
      <c r="Q558" s="3" t="n">
        <v>1.350486</v>
      </c>
      <c r="R558" s="3" t="n">
        <v>7.504249</v>
      </c>
      <c r="S558" s="3" t="n">
        <v>-0.865606</v>
      </c>
      <c r="T558" s="3" t="n">
        <v>-0.978279</v>
      </c>
      <c r="U558" s="3" t="n">
        <v>1.044781</v>
      </c>
      <c r="V558" s="3" t="n">
        <v>-0.439535</v>
      </c>
      <c r="W558" s="3" t="n">
        <v>-0.855799</v>
      </c>
      <c r="X558" s="3" t="n">
        <v>-1.9978</v>
      </c>
      <c r="Y558" s="3" t="n">
        <v>-3.903631</v>
      </c>
      <c r="Z558" s="3" t="n">
        <v>-2.233787</v>
      </c>
      <c r="AA558" s="3" t="n">
        <v>-3.127911</v>
      </c>
      <c r="AB558" s="3" t="n">
        <v>-3.946179</v>
      </c>
      <c r="AC558" s="3" t="n">
        <v>-7.588905</v>
      </c>
      <c r="AD558" s="3" t="n">
        <v>-8.048844000000001</v>
      </c>
      <c r="AE558" s="3" t="n">
        <v>-4.467146</v>
      </c>
      <c r="AF558" s="3" t="n">
        <v>-1.099324</v>
      </c>
      <c r="AG558" s="3" t="n">
        <v>-1.058172</v>
      </c>
      <c r="AH558" s="3" t="n">
        <v>-3.0963</v>
      </c>
      <c r="AI558" s="3" t="n">
        <v>-3.624028</v>
      </c>
      <c r="AJ558" s="3" t="n">
        <v>-2.664962</v>
      </c>
      <c r="AK558" s="3" t="n">
        <v>-2.586284</v>
      </c>
      <c r="AL558" s="3" t="n">
        <v>-2.488398</v>
      </c>
      <c r="AM558" s="3" t="n"/>
      <c r="AN558" s="3" t="n"/>
      <c r="AO558" s="3" t="n"/>
      <c r="AP558" s="3" t="n"/>
      <c r="AQ558" s="3" t="n"/>
      <c r="AR558" s="3" t="n"/>
      <c r="AS558" s="3" t="n"/>
      <c r="AT558" s="3" t="n"/>
      <c r="AU558" s="3" t="n"/>
    </row>
    <row r="559">
      <c r="A559" s="3" t="n">
        <v>2031</v>
      </c>
      <c r="B559" s="3" t="inlineStr">
        <is>
          <t>CIV</t>
        </is>
      </c>
      <c r="C559" s="3" t="inlineStr">
        <is>
          <t>IMF.RES:WEO</t>
        </is>
      </c>
      <c r="D559" s="3" t="inlineStr">
        <is>
          <t>CIV.GGR_NGDP.A</t>
        </is>
      </c>
      <c r="E559" s="3" t="inlineStr">
        <is>
          <t>Côte d'Ivoire</t>
        </is>
      </c>
      <c r="F559" s="3" t="inlineStr">
        <is>
          <t>Revenue, General government, Percent of GDP</t>
        </is>
      </c>
      <c r="G559" s="3" t="n">
        <v>12.046812</v>
      </c>
      <c r="H559" s="3" t="n">
        <v>12.138205</v>
      </c>
      <c r="I559" s="3" t="n">
        <v>12.460603</v>
      </c>
      <c r="J559" s="3" t="n">
        <v>11.413515</v>
      </c>
      <c r="K559" s="3" t="n">
        <v>12.470238</v>
      </c>
      <c r="L559" s="3" t="n">
        <v>12.571449</v>
      </c>
      <c r="M559" s="3" t="n">
        <v>13.426948</v>
      </c>
      <c r="N559" s="3" t="n">
        <v>14.453783</v>
      </c>
      <c r="O559" s="3" t="n">
        <v>14.379532</v>
      </c>
      <c r="P559" s="3" t="n">
        <v>13.383985</v>
      </c>
      <c r="Q559" s="3" t="n">
        <v>13.12847</v>
      </c>
      <c r="R559" s="3" t="n">
        <v>10.307848</v>
      </c>
      <c r="S559" s="3" t="n">
        <v>13.865282</v>
      </c>
      <c r="T559" s="3" t="n">
        <v>14.236298</v>
      </c>
      <c r="U559" s="3" t="n">
        <v>13.64538</v>
      </c>
      <c r="V559" s="3" t="n">
        <v>14.460456</v>
      </c>
      <c r="W559" s="3" t="n">
        <v>14.602189</v>
      </c>
      <c r="X559" s="3" t="n">
        <v>14.834974</v>
      </c>
      <c r="Y559" s="3" t="n">
        <v>14.655912</v>
      </c>
      <c r="Z559" s="3" t="n">
        <v>14.977748</v>
      </c>
      <c r="AA559" s="3" t="n">
        <v>14.95062</v>
      </c>
      <c r="AB559" s="3" t="n">
        <v>15.573256</v>
      </c>
      <c r="AC559" s="3" t="n">
        <v>15.109776</v>
      </c>
      <c r="AD559" s="3" t="n">
        <v>15.860903</v>
      </c>
      <c r="AE559" s="3" t="n">
        <v>16.401737</v>
      </c>
      <c r="AF559" s="3" t="n">
        <v>17.18263</v>
      </c>
      <c r="AG559" s="3" t="n">
        <v>17.578721</v>
      </c>
      <c r="AH559" s="3" t="n">
        <v>18.007336</v>
      </c>
      <c r="AI559" s="3" t="n">
        <v>18.497738</v>
      </c>
      <c r="AJ559" s="3" t="n">
        <v>18.942233</v>
      </c>
      <c r="AK559" s="3" t="n">
        <v>19.302434</v>
      </c>
      <c r="AL559" s="3" t="n">
        <v>19.485933</v>
      </c>
      <c r="AM559" s="3" t="n"/>
      <c r="AN559" s="3" t="n"/>
      <c r="AO559" s="3" t="n"/>
      <c r="AP559" s="3" t="n"/>
      <c r="AQ559" s="3" t="n"/>
      <c r="AR559" s="3" t="n"/>
      <c r="AS559" s="3" t="n"/>
      <c r="AT559" s="3" t="n"/>
      <c r="AU559" s="3" t="n"/>
    </row>
    <row r="560">
      <c r="A560" s="3" t="n">
        <v>2031</v>
      </c>
      <c r="B560" s="3" t="inlineStr">
        <is>
          <t>CIV</t>
        </is>
      </c>
      <c r="C560" s="3" t="inlineStr">
        <is>
          <t>IMF.RES:WEO</t>
        </is>
      </c>
      <c r="D560" s="3" t="inlineStr">
        <is>
          <t>CIV.GGX_NGDP.A</t>
        </is>
      </c>
      <c r="E560" s="3" t="inlineStr">
        <is>
          <t>Côte d'Ivoire</t>
        </is>
      </c>
      <c r="F560" s="3" t="inlineStr">
        <is>
          <t>Expenditure, General government, Percent of GDP</t>
        </is>
      </c>
      <c r="G560" s="3" t="n">
        <v>12.877365</v>
      </c>
      <c r="H560" s="3" t="n">
        <v>11.438975</v>
      </c>
      <c r="I560" s="3" t="n">
        <v>13.097887</v>
      </c>
      <c r="J560" s="3" t="n">
        <v>12.67473</v>
      </c>
      <c r="K560" s="3" t="n">
        <v>13.508108</v>
      </c>
      <c r="L560" s="3" t="n">
        <v>13.596576</v>
      </c>
      <c r="M560" s="3" t="n">
        <v>14.461297</v>
      </c>
      <c r="N560" s="3" t="n">
        <v>14.842288</v>
      </c>
      <c r="O560" s="3" t="n">
        <v>14.589401</v>
      </c>
      <c r="P560" s="3" t="n">
        <v>14.385827</v>
      </c>
      <c r="Q560" s="3" t="n">
        <v>14.465363</v>
      </c>
      <c r="R560" s="3" t="n">
        <v>13.197</v>
      </c>
      <c r="S560" s="3" t="n">
        <v>16.14177</v>
      </c>
      <c r="T560" s="3" t="n">
        <v>15.857231</v>
      </c>
      <c r="U560" s="3" t="n">
        <v>15.213548</v>
      </c>
      <c r="V560" s="3" t="n">
        <v>16.502597</v>
      </c>
      <c r="W560" s="3" t="n">
        <v>17.580832</v>
      </c>
      <c r="X560" s="3" t="n">
        <v>18.109089</v>
      </c>
      <c r="Y560" s="3" t="n">
        <v>17.560628</v>
      </c>
      <c r="Z560" s="3" t="n">
        <v>17.197938</v>
      </c>
      <c r="AA560" s="3" t="n">
        <v>20.369514</v>
      </c>
      <c r="AB560" s="3" t="n">
        <v>20.45459</v>
      </c>
      <c r="AC560" s="3" t="n">
        <v>21.850275</v>
      </c>
      <c r="AD560" s="3" t="n">
        <v>20.979684</v>
      </c>
      <c r="AE560" s="3" t="n">
        <v>20.365493</v>
      </c>
      <c r="AF560" s="3" t="n">
        <v>20.185479</v>
      </c>
      <c r="AG560" s="3" t="n">
        <v>20.619976</v>
      </c>
      <c r="AH560" s="3" t="n">
        <v>21.052838</v>
      </c>
      <c r="AI560" s="3" t="n">
        <v>21.486711</v>
      </c>
      <c r="AJ560" s="3" t="n">
        <v>21.990315</v>
      </c>
      <c r="AK560" s="3" t="n">
        <v>22.304689</v>
      </c>
      <c r="AL560" s="3" t="n">
        <v>22.484372</v>
      </c>
      <c r="AM560" s="3" t="n"/>
      <c r="AN560" s="3" t="n"/>
      <c r="AO560" s="3" t="n"/>
      <c r="AP560" s="3" t="n"/>
      <c r="AQ560" s="3" t="n"/>
      <c r="AR560" s="3" t="n"/>
      <c r="AS560" s="3" t="n"/>
      <c r="AT560" s="3" t="n"/>
      <c r="AU560" s="3" t="n"/>
    </row>
    <row r="561">
      <c r="A561" s="3" t="n">
        <v>2031</v>
      </c>
      <c r="B561" s="3" t="inlineStr">
        <is>
          <t>CIV</t>
        </is>
      </c>
      <c r="C561" s="3" t="inlineStr">
        <is>
          <t>IMF.RES:WEO</t>
        </is>
      </c>
      <c r="D561" s="3" t="inlineStr">
        <is>
          <t>CIV.LP.A</t>
        </is>
      </c>
      <c r="E561" s="3" t="inlineStr">
        <is>
          <t>Côte d'Ivoire</t>
        </is>
      </c>
      <c r="F561" s="3" t="inlineStr">
        <is>
          <t>Population, Persons for countries / Index for country groups</t>
        </is>
      </c>
      <c r="G561" s="3" t="n">
        <v>16.258011</v>
      </c>
      <c r="H561" s="3" t="n">
        <v>16.722885</v>
      </c>
      <c r="I561" s="3" t="n">
        <v>17.201051</v>
      </c>
      <c r="J561" s="3" t="n">
        <v>17.69289</v>
      </c>
      <c r="K561" s="3" t="n">
        <v>18.198792</v>
      </c>
      <c r="L561" s="3" t="n">
        <v>18.71916</v>
      </c>
      <c r="M561" s="3" t="n">
        <v>19.254407</v>
      </c>
      <c r="N561" s="3" t="n">
        <v>19.804959</v>
      </c>
      <c r="O561" s="3" t="n">
        <v>20.371253</v>
      </c>
      <c r="P561" s="3" t="n">
        <v>20.953739</v>
      </c>
      <c r="Q561" s="3" t="n">
        <v>21.55288</v>
      </c>
      <c r="R561" s="3" t="n">
        <v>22.169154</v>
      </c>
      <c r="S561" s="3" t="n">
        <v>22.803048</v>
      </c>
      <c r="T561" s="3" t="n">
        <v>23.455068</v>
      </c>
      <c r="U561" s="3" t="n">
        <v>24.125731</v>
      </c>
      <c r="V561" s="3" t="n">
        <v>24.815571</v>
      </c>
      <c r="W561" s="3" t="n">
        <v>25.525136</v>
      </c>
      <c r="X561" s="3" t="n">
        <v>26.25499</v>
      </c>
      <c r="Y561" s="3" t="n">
        <v>27.005713</v>
      </c>
      <c r="Z561" s="3" t="n">
        <v>27.777902</v>
      </c>
      <c r="AA561" s="3" t="n">
        <v>28.572171</v>
      </c>
      <c r="AB561" s="3" t="n">
        <v>29.38915</v>
      </c>
      <c r="AC561" s="3" t="n">
        <v>30.22949</v>
      </c>
      <c r="AD561" s="3" t="n">
        <v>31.093858</v>
      </c>
      <c r="AE561" s="3" t="n">
        <v>31.982941</v>
      </c>
      <c r="AF561" s="3" t="n">
        <v>32.897447</v>
      </c>
      <c r="AG561" s="3" t="n">
        <v>33.838101</v>
      </c>
      <c r="AH561" s="3" t="n">
        <v>34.805652</v>
      </c>
      <c r="AI561" s="3" t="n">
        <v>35.800869</v>
      </c>
      <c r="AJ561" s="3" t="n">
        <v>36.824542</v>
      </c>
      <c r="AK561" s="3" t="n">
        <v>37.877486</v>
      </c>
      <c r="AL561" s="3" t="n">
        <v>38.960538</v>
      </c>
      <c r="AM561" s="3" t="n"/>
      <c r="AN561" s="3" t="n"/>
      <c r="AO561" s="3" t="n"/>
      <c r="AP561" s="3" t="n"/>
      <c r="AQ561" s="3" t="n"/>
      <c r="AR561" s="3" t="n"/>
      <c r="AS561" s="3" t="n"/>
      <c r="AT561" s="3" t="n"/>
      <c r="AU561" s="3" t="n"/>
    </row>
    <row r="562">
      <c r="A562" s="3" t="n">
        <v>2031</v>
      </c>
      <c r="B562" s="3" t="inlineStr">
        <is>
          <t>CIV</t>
        </is>
      </c>
      <c r="C562" s="3" t="inlineStr">
        <is>
          <t>IMF.RES:WEO</t>
        </is>
      </c>
      <c r="D562" s="3" t="inlineStr">
        <is>
          <t>CIV.NGDP.A</t>
        </is>
      </c>
      <c r="E562" s="3" t="inlineStr">
        <is>
          <t>Côte d'Ivoire</t>
        </is>
      </c>
      <c r="F562" s="3" t="inlineStr">
        <is>
          <t>Gross domestic product (GDP), Current prices, Domestic currency</t>
        </is>
      </c>
      <c r="G562" s="3" t="n">
        <v>10547.188911</v>
      </c>
      <c r="H562" s="3" t="n">
        <v>11341.05077</v>
      </c>
      <c r="I562" s="3" t="n">
        <v>11895.455555</v>
      </c>
      <c r="J562" s="3" t="n">
        <v>12297.071043</v>
      </c>
      <c r="K562" s="3" t="n">
        <v>12088.702901</v>
      </c>
      <c r="L562" s="3" t="n">
        <v>12456.79802</v>
      </c>
      <c r="M562" s="3" t="n">
        <v>12866.165352</v>
      </c>
      <c r="N562" s="3" t="n">
        <v>13477.301807</v>
      </c>
      <c r="O562" s="3" t="n">
        <v>14995.064024</v>
      </c>
      <c r="P562" s="3" t="n">
        <v>15845.804075</v>
      </c>
      <c r="Q562" s="3" t="n">
        <v>17036.258206</v>
      </c>
      <c r="R562" s="3" t="n">
        <v>16743.164394</v>
      </c>
      <c r="S562" s="3" t="n">
        <v>18905.92624</v>
      </c>
      <c r="T562" s="3" t="n">
        <v>21350.414002</v>
      </c>
      <c r="U562" s="3" t="n">
        <v>24136.052034</v>
      </c>
      <c r="V562" s="3" t="n">
        <v>27086.367</v>
      </c>
      <c r="W562" s="3" t="n">
        <v>28686.711</v>
      </c>
      <c r="X562" s="3" t="n">
        <v>30491.647</v>
      </c>
      <c r="Y562" s="3" t="n">
        <v>32506.103</v>
      </c>
      <c r="Z562" s="3" t="n">
        <v>35379.059</v>
      </c>
      <c r="AA562" s="3" t="n">
        <v>36277.95</v>
      </c>
      <c r="AB562" s="3" t="n">
        <v>40366.859</v>
      </c>
      <c r="AC562" s="3" t="n">
        <v>44238.8</v>
      </c>
      <c r="AD562" s="3" t="n">
        <v>48998.894</v>
      </c>
      <c r="AE562" s="3" t="n">
        <v>52820.666571</v>
      </c>
      <c r="AF562" s="3" t="n">
        <v>57435.344106</v>
      </c>
      <c r="AG562" s="3" t="n">
        <v>62365.703171</v>
      </c>
      <c r="AH562" s="3" t="n">
        <v>67620.63731999999</v>
      </c>
      <c r="AI562" s="3" t="n">
        <v>73525.271371</v>
      </c>
      <c r="AJ562" s="3" t="n">
        <v>80245.48117499999</v>
      </c>
      <c r="AK562" s="3" t="n">
        <v>87416.217372</v>
      </c>
      <c r="AL562" s="3" t="n">
        <v>94960.236932</v>
      </c>
      <c r="AM562" s="3" t="n"/>
      <c r="AN562" s="3" t="n"/>
      <c r="AO562" s="3" t="n"/>
      <c r="AP562" s="3" t="n"/>
      <c r="AQ562" s="3" t="n"/>
      <c r="AR562" s="3" t="n"/>
      <c r="AS562" s="3" t="n"/>
      <c r="AT562" s="3" t="n"/>
      <c r="AU562" s="3" t="n"/>
    </row>
    <row r="563">
      <c r="A563" s="3" t="n">
        <v>2031</v>
      </c>
      <c r="B563" s="3" t="inlineStr">
        <is>
          <t>CIV</t>
        </is>
      </c>
      <c r="C563" s="3" t="inlineStr">
        <is>
          <t>IMF.RES:WEO</t>
        </is>
      </c>
      <c r="D563" s="3" t="inlineStr">
        <is>
          <t>CIV.NGDP_D.A</t>
        </is>
      </c>
      <c r="E563" s="3" t="inlineStr">
        <is>
          <t>Côte d'Ivoire</t>
        </is>
      </c>
      <c r="F563" s="3" t="inlineStr">
        <is>
          <t>Gross domestic product (GDP), Price deflator, Index</t>
        </is>
      </c>
      <c r="G563" s="3" t="n">
        <v>59.303712</v>
      </c>
      <c r="H563" s="3" t="n">
        <v>63.69006</v>
      </c>
      <c r="I563" s="3" t="n">
        <v>67.93647199999999</v>
      </c>
      <c r="J563" s="3" t="n">
        <v>71.19811300000001</v>
      </c>
      <c r="K563" s="3" t="n">
        <v>69.140046</v>
      </c>
      <c r="L563" s="3" t="n">
        <v>70.03976900000001</v>
      </c>
      <c r="M563" s="3" t="n">
        <v>71.261275</v>
      </c>
      <c r="N563" s="3" t="n">
        <v>73.35147000000001</v>
      </c>
      <c r="O563" s="3" t="n">
        <v>79.588229</v>
      </c>
      <c r="P563" s="3" t="n">
        <v>81.455164</v>
      </c>
      <c r="Q563" s="3" t="n">
        <v>85.84268400000001</v>
      </c>
      <c r="R563" s="3" t="n">
        <v>88.672983</v>
      </c>
      <c r="S563" s="3" t="n">
        <v>90.31524899999999</v>
      </c>
      <c r="T563" s="3" t="n">
        <v>93.338488</v>
      </c>
      <c r="U563" s="3" t="n">
        <v>96.98742799999999</v>
      </c>
      <c r="V563" s="3" t="n">
        <v>100</v>
      </c>
      <c r="W563" s="3" t="n">
        <v>98.82087199999999</v>
      </c>
      <c r="X563" s="3" t="n">
        <v>97.790256</v>
      </c>
      <c r="Y563" s="3" t="n">
        <v>99.43631499999999</v>
      </c>
      <c r="Z563" s="3" t="n">
        <v>101.408529</v>
      </c>
      <c r="AA563" s="3" t="n">
        <v>103.26139</v>
      </c>
      <c r="AB563" s="3" t="n">
        <v>107.320751</v>
      </c>
      <c r="AC563" s="3" t="n">
        <v>110.540374</v>
      </c>
      <c r="AD563" s="3" t="n">
        <v>114.854142</v>
      </c>
      <c r="AE563" s="3" t="n">
        <v>116.782662</v>
      </c>
      <c r="AF563" s="3" t="n">
        <v>119.235097</v>
      </c>
      <c r="AG563" s="3" t="n">
        <v>121.911925</v>
      </c>
      <c r="AH563" s="3" t="n">
        <v>124.350164</v>
      </c>
      <c r="AI563" s="3" t="n">
        <v>126.837167</v>
      </c>
      <c r="AJ563" s="3" t="n">
        <v>129.37391</v>
      </c>
      <c r="AK563" s="3" t="n">
        <v>131.961389</v>
      </c>
      <c r="AL563" s="3" t="n">
        <v>134.600616</v>
      </c>
      <c r="AM563" s="3" t="n"/>
      <c r="AN563" s="3" t="n"/>
      <c r="AO563" s="3" t="n"/>
      <c r="AP563" s="3" t="n"/>
      <c r="AQ563" s="3" t="n"/>
      <c r="AR563" s="3" t="n"/>
      <c r="AS563" s="3" t="n"/>
      <c r="AT563" s="3" t="n"/>
      <c r="AU563" s="3" t="n"/>
    </row>
    <row r="564">
      <c r="A564" s="3" t="n">
        <v>2031</v>
      </c>
      <c r="B564" s="3" t="inlineStr">
        <is>
          <t>CIV</t>
        </is>
      </c>
      <c r="C564" s="3" t="inlineStr">
        <is>
          <t>IMF.RES:WEO</t>
        </is>
      </c>
      <c r="D564" s="3" t="inlineStr">
        <is>
          <t>CIV.NGDP_R.A</t>
        </is>
      </c>
      <c r="E564" s="3" t="inlineStr">
        <is>
          <t>Côte d'Ivoire</t>
        </is>
      </c>
      <c r="F564" s="3" t="inlineStr">
        <is>
          <t>Gross domestic product (GDP), Constant prices, Domestic currency</t>
        </is>
      </c>
      <c r="G564" s="3" t="n">
        <v>17785.04002</v>
      </c>
      <c r="H564" s="3" t="n">
        <v>17806.626064</v>
      </c>
      <c r="I564" s="3" t="n">
        <v>17509.675264</v>
      </c>
      <c r="J564" s="3" t="n">
        <v>17271.624935</v>
      </c>
      <c r="K564" s="3" t="n">
        <v>17484.37212</v>
      </c>
      <c r="L564" s="3" t="n">
        <v>17785.321415</v>
      </c>
      <c r="M564" s="3" t="n">
        <v>18054.918852</v>
      </c>
      <c r="N564" s="3" t="n">
        <v>18373.594811</v>
      </c>
      <c r="O564" s="3" t="n">
        <v>18840.8062</v>
      </c>
      <c r="P564" s="3" t="n">
        <v>19453.406294</v>
      </c>
      <c r="Q564" s="3" t="n">
        <v>19845.905727</v>
      </c>
      <c r="R564" s="3" t="n">
        <v>18881.922986</v>
      </c>
      <c r="S564" s="3" t="n">
        <v>20933.260302</v>
      </c>
      <c r="T564" s="3" t="n">
        <v>22874.18021</v>
      </c>
      <c r="U564" s="3" t="n">
        <v>24885.75332</v>
      </c>
      <c r="V564" s="3" t="n">
        <v>27086.367</v>
      </c>
      <c r="W564" s="3" t="n">
        <v>29029</v>
      </c>
      <c r="X564" s="3" t="n">
        <v>31180.659818</v>
      </c>
      <c r="Y564" s="3" t="n">
        <v>32690.373632</v>
      </c>
      <c r="Z564" s="3" t="n">
        <v>34887.656378</v>
      </c>
      <c r="AA564" s="3" t="n">
        <v>35132.153565</v>
      </c>
      <c r="AB564" s="3" t="n">
        <v>37613.284226</v>
      </c>
      <c r="AC564" s="3" t="n">
        <v>40020.490645</v>
      </c>
      <c r="AD564" s="3" t="n">
        <v>42661.843208</v>
      </c>
      <c r="AE564" s="3" t="n">
        <v>45229.887629</v>
      </c>
      <c r="AF564" s="3" t="n">
        <v>48169.830325</v>
      </c>
      <c r="AG564" s="3" t="n">
        <v>51156.359805</v>
      </c>
      <c r="AH564" s="3" t="n">
        <v>54379.210473</v>
      </c>
      <c r="AI564" s="3" t="n">
        <v>57968.238364</v>
      </c>
      <c r="AJ564" s="3" t="n">
        <v>62026.01505</v>
      </c>
      <c r="AK564" s="3" t="n">
        <v>66243.784073</v>
      </c>
      <c r="AL564" s="3" t="n">
        <v>70549.630038</v>
      </c>
      <c r="AM564" s="3" t="n"/>
      <c r="AN564" s="3" t="n"/>
      <c r="AO564" s="3" t="n"/>
      <c r="AP564" s="3" t="n"/>
      <c r="AQ564" s="3" t="n"/>
      <c r="AR564" s="3" t="n"/>
      <c r="AS564" s="3" t="n"/>
      <c r="AT564" s="3" t="n"/>
      <c r="AU564" s="3" t="n"/>
    </row>
    <row r="565">
      <c r="A565" s="3" t="n">
        <v>2031</v>
      </c>
      <c r="B565" s="3" t="inlineStr">
        <is>
          <t>CIV</t>
        </is>
      </c>
      <c r="C565" s="3" t="inlineStr">
        <is>
          <t>IMF.RES:WEO</t>
        </is>
      </c>
      <c r="D565" s="3" t="inlineStr">
        <is>
          <t>CIV.NGDP_RPCH.A</t>
        </is>
      </c>
      <c r="E565" s="3" t="inlineStr">
        <is>
          <t>Côte d'Ivoire</t>
        </is>
      </c>
      <c r="F565" s="3" t="inlineStr">
        <is>
          <t>Gross domestic product (GDP), Constant prices, Percent change</t>
        </is>
      </c>
      <c r="G565" s="3" t="n">
        <v>-2.0684</v>
      </c>
      <c r="H565" s="3" t="n">
        <v>0.121372</v>
      </c>
      <c r="I565" s="3" t="n">
        <v>-1.667642</v>
      </c>
      <c r="J565" s="3" t="n">
        <v>-1.359536</v>
      </c>
      <c r="K565" s="3" t="n">
        <v>1.231773</v>
      </c>
      <c r="L565" s="3" t="n">
        <v>1.721247</v>
      </c>
      <c r="M565" s="3" t="n">
        <v>1.515842</v>
      </c>
      <c r="N565" s="3" t="n">
        <v>1.765037</v>
      </c>
      <c r="O565" s="3" t="n">
        <v>2.542841</v>
      </c>
      <c r="P565" s="3" t="n">
        <v>3.251454</v>
      </c>
      <c r="Q565" s="3" t="n">
        <v>2.017639</v>
      </c>
      <c r="R565" s="3" t="n">
        <v>-4.857338</v>
      </c>
      <c r="S565" s="3" t="n">
        <v>10.864028</v>
      </c>
      <c r="T565" s="3" t="n">
        <v>9.271943</v>
      </c>
      <c r="U565" s="3" t="n">
        <v>8.794077</v>
      </c>
      <c r="V565" s="3" t="n">
        <v>8.842865</v>
      </c>
      <c r="W565" s="3" t="n">
        <v>7.171995</v>
      </c>
      <c r="X565" s="3" t="n">
        <v>7.412105</v>
      </c>
      <c r="Y565" s="3" t="n">
        <v>4.841828</v>
      </c>
      <c r="Z565" s="3" t="n">
        <v>6.721498</v>
      </c>
      <c r="AA565" s="3" t="n">
        <v>0.700813</v>
      </c>
      <c r="AB565" s="3" t="n">
        <v>7.062279</v>
      </c>
      <c r="AC565" s="3" t="n">
        <v>6.399884</v>
      </c>
      <c r="AD565" s="3" t="n">
        <v>6.6</v>
      </c>
      <c r="AE565" s="3" t="n">
        <v>6.019535</v>
      </c>
      <c r="AF565" s="3" t="n">
        <v>6.5</v>
      </c>
      <c r="AG565" s="3" t="n">
        <v>6.2</v>
      </c>
      <c r="AH565" s="3" t="n">
        <v>6.3</v>
      </c>
      <c r="AI565" s="3" t="n">
        <v>6.6</v>
      </c>
      <c r="AJ565" s="3" t="n">
        <v>7</v>
      </c>
      <c r="AK565" s="3" t="n">
        <v>6.8</v>
      </c>
      <c r="AL565" s="3" t="n">
        <v>6.5</v>
      </c>
      <c r="AM565" s="3" t="n"/>
      <c r="AN565" s="3" t="n"/>
      <c r="AO565" s="3" t="n"/>
      <c r="AP565" s="3" t="n"/>
      <c r="AQ565" s="3" t="n"/>
      <c r="AR565" s="3" t="n"/>
      <c r="AS565" s="3" t="n"/>
      <c r="AT565" s="3" t="n"/>
      <c r="AU565" s="3" t="n"/>
    </row>
    <row r="566">
      <c r="A566" s="3" t="n">
        <v>2031</v>
      </c>
      <c r="B566" s="3" t="inlineStr">
        <is>
          <t>CIV</t>
        </is>
      </c>
      <c r="C566" s="3" t="inlineStr">
        <is>
          <t>IMF.RES:WEO</t>
        </is>
      </c>
      <c r="D566" s="3" t="inlineStr">
        <is>
          <t>CIV.NGDPD.A</t>
        </is>
      </c>
      <c r="E566" s="3" t="inlineStr">
        <is>
          <t>Côte d'Ivoire</t>
        </is>
      </c>
      <c r="F566" s="3" t="inlineStr">
        <is>
          <t>Gross domestic product (GDP), Current prices, US dollar</t>
        </is>
      </c>
      <c r="G566" s="3" t="n">
        <v>14.850845</v>
      </c>
      <c r="H566" s="3" t="n">
        <v>15.484826</v>
      </c>
      <c r="I566" s="3" t="n">
        <v>17.147512</v>
      </c>
      <c r="J566" s="3" t="n">
        <v>21.205597</v>
      </c>
      <c r="K566" s="3" t="n">
        <v>22.924011</v>
      </c>
      <c r="L566" s="3" t="n">
        <v>23.625605</v>
      </c>
      <c r="M566" s="3" t="n">
        <v>24.627746</v>
      </c>
      <c r="N566" s="3" t="n">
        <v>28.157861</v>
      </c>
      <c r="O566" s="3" t="n">
        <v>33.621217</v>
      </c>
      <c r="P566" s="3" t="n">
        <v>33.693442</v>
      </c>
      <c r="Q566" s="3" t="n">
        <v>34.430994</v>
      </c>
      <c r="R566" s="3" t="n">
        <v>35.529365</v>
      </c>
      <c r="S566" s="3" t="n">
        <v>37.030049</v>
      </c>
      <c r="T566" s="3" t="n">
        <v>43.228245</v>
      </c>
      <c r="U566" s="3" t="n">
        <v>48.882418</v>
      </c>
      <c r="V566" s="3" t="n">
        <v>45.815005</v>
      </c>
      <c r="W566" s="3" t="n">
        <v>48.407761</v>
      </c>
      <c r="X566" s="3" t="n">
        <v>52.512344</v>
      </c>
      <c r="Y566" s="3" t="n">
        <v>58.522478</v>
      </c>
      <c r="Z566" s="3" t="n">
        <v>60.38299</v>
      </c>
      <c r="AA566" s="3" t="n">
        <v>63.119025</v>
      </c>
      <c r="AB566" s="3" t="n">
        <v>72.83290100000001</v>
      </c>
      <c r="AC566" s="3" t="n">
        <v>71.07517300000001</v>
      </c>
      <c r="AD566" s="3" t="n">
        <v>80.792259</v>
      </c>
      <c r="AE566" s="3" t="n">
        <v>87.131998</v>
      </c>
      <c r="AF566" s="3" t="n">
        <v>98.88479700000001</v>
      </c>
      <c r="AG566" s="3" t="n">
        <v>112.115296</v>
      </c>
      <c r="AH566" s="3" t="n">
        <v>121.282299</v>
      </c>
      <c r="AI566" s="3" t="n">
        <v>131.516156</v>
      </c>
      <c r="AJ566" s="3" t="n">
        <v>143.46065</v>
      </c>
      <c r="AK566" s="3" t="n">
        <v>156.280294</v>
      </c>
      <c r="AL566" s="3" t="n">
        <v>169.767283</v>
      </c>
      <c r="AM566" s="3" t="n"/>
      <c r="AN566" s="3" t="n"/>
      <c r="AO566" s="3" t="n"/>
      <c r="AP566" s="3" t="n"/>
      <c r="AQ566" s="3" t="n"/>
      <c r="AR566" s="3" t="n"/>
      <c r="AS566" s="3" t="n"/>
      <c r="AT566" s="3" t="n"/>
      <c r="AU566" s="3" t="n"/>
    </row>
    <row r="567">
      <c r="A567" s="3" t="n">
        <v>2031</v>
      </c>
      <c r="B567" s="3" t="inlineStr">
        <is>
          <t>CIV</t>
        </is>
      </c>
      <c r="C567" s="3" t="inlineStr">
        <is>
          <t>IMF.RES:WEO</t>
        </is>
      </c>
      <c r="D567" s="3" t="inlineStr">
        <is>
          <t>CIV.NGDPPC.A</t>
        </is>
      </c>
      <c r="E567" s="3" t="inlineStr">
        <is>
          <t>Côte d'Ivoire</t>
        </is>
      </c>
      <c r="F567" s="3" t="inlineStr">
        <is>
          <t>Gross domestic product (GDP), Current prices, Per capita, Domestic currency</t>
        </is>
      </c>
      <c r="G567" s="3" t="n">
        <v>648737.974267</v>
      </c>
      <c r="H567" s="3" t="n">
        <v>678175.503984</v>
      </c>
      <c r="I567" s="3" t="n">
        <v>691553.9899780001</v>
      </c>
      <c r="J567" s="3" t="n">
        <v>695028.9638490001</v>
      </c>
      <c r="K567" s="3" t="n">
        <v>664258.520655</v>
      </c>
      <c r="L567" s="3" t="n">
        <v>665457.096671</v>
      </c>
      <c r="M567" s="3" t="n">
        <v>668219.238736</v>
      </c>
      <c r="N567" s="3" t="n">
        <v>680501.378351</v>
      </c>
      <c r="O567" s="3" t="n">
        <v>736089.441396</v>
      </c>
      <c r="P567" s="3" t="n">
        <v>756228.00113</v>
      </c>
      <c r="Q567" s="3" t="n">
        <v>790439.972784</v>
      </c>
      <c r="R567" s="3" t="n">
        <v>755245.994661</v>
      </c>
      <c r="S567" s="3" t="n">
        <v>829096.452776</v>
      </c>
      <c r="T567" s="3" t="n">
        <v>910268.694869</v>
      </c>
      <c r="U567" s="3" t="n">
        <v>1000427.792832</v>
      </c>
      <c r="V567" s="3" t="n">
        <v>1091506.891148</v>
      </c>
      <c r="W567" s="3" t="n">
        <v>1123861.231471</v>
      </c>
      <c r="X567" s="3" t="n">
        <v>1161365.775995</v>
      </c>
      <c r="Y567" s="3" t="n">
        <v>1203675.043407</v>
      </c>
      <c r="Z567" s="3" t="n">
        <v>1273640.42497</v>
      </c>
      <c r="AA567" s="3" t="n">
        <v>1269695.276385</v>
      </c>
      <c r="AB567" s="3" t="n">
        <v>1373529.312689</v>
      </c>
      <c r="AC567" s="3" t="n">
        <v>1463431.911608</v>
      </c>
      <c r="AD567" s="3" t="n">
        <v>1575838.362516</v>
      </c>
      <c r="AE567" s="3" t="n">
        <v>1651526.237187</v>
      </c>
      <c r="AF567" s="3" t="n">
        <v>1745890.6371</v>
      </c>
      <c r="AG567" s="3" t="n">
        <v>1843061.556433</v>
      </c>
      <c r="AH567" s="3" t="n">
        <v>1942806.220224</v>
      </c>
      <c r="AI567" s="3" t="n">
        <v>2053728.690579</v>
      </c>
      <c r="AJ567" s="3" t="n">
        <v>2179130.444326</v>
      </c>
      <c r="AK567" s="3" t="n">
        <v>2307867.445947</v>
      </c>
      <c r="AL567" s="3" t="n">
        <v>2437344.115609</v>
      </c>
      <c r="AM567" s="3" t="n"/>
      <c r="AN567" s="3" t="n"/>
      <c r="AO567" s="3" t="n"/>
      <c r="AP567" s="3" t="n"/>
      <c r="AQ567" s="3" t="n"/>
      <c r="AR567" s="3" t="n"/>
      <c r="AS567" s="3" t="n"/>
      <c r="AT567" s="3" t="n"/>
      <c r="AU567" s="3" t="n"/>
    </row>
    <row r="568">
      <c r="A568" s="3" t="n">
        <v>2031</v>
      </c>
      <c r="B568" s="3" t="inlineStr">
        <is>
          <t>CIV</t>
        </is>
      </c>
      <c r="C568" s="3" t="inlineStr">
        <is>
          <t>IMF.RES:WEO</t>
        </is>
      </c>
      <c r="D568" s="3" t="inlineStr">
        <is>
          <t>CIV.NGDPRPC.A</t>
        </is>
      </c>
      <c r="E568" s="3" t="inlineStr">
        <is>
          <t>Côte d'Ivoire</t>
        </is>
      </c>
      <c r="F568" s="3" t="inlineStr">
        <is>
          <t>Gross domestic product (GDP), Constant prices, Per capita, Domestic currency</t>
        </is>
      </c>
      <c r="G568" s="3" t="n">
        <v>1093924.735058</v>
      </c>
      <c r="H568" s="3" t="n">
        <v>1064805.885212</v>
      </c>
      <c r="I568" s="3" t="n">
        <v>1017942.165856</v>
      </c>
      <c r="J568" s="3" t="n">
        <v>976190.146456</v>
      </c>
      <c r="K568" s="3" t="n">
        <v>960743.535029</v>
      </c>
      <c r="L568" s="3" t="n">
        <v>950113.209919</v>
      </c>
      <c r="M568" s="3" t="n">
        <v>937703.177281</v>
      </c>
      <c r="N568" s="3" t="n">
        <v>927726.986689</v>
      </c>
      <c r="O568" s="3" t="n">
        <v>924872.243894</v>
      </c>
      <c r="P568" s="3" t="n">
        <v>928397.857693</v>
      </c>
      <c r="Q568" s="3" t="n">
        <v>920800.623782</v>
      </c>
      <c r="R568" s="3" t="n">
        <v>851720.521347</v>
      </c>
      <c r="S568" s="3" t="n">
        <v>918002.72786</v>
      </c>
      <c r="T568" s="3" t="n">
        <v>975234.024233</v>
      </c>
      <c r="U568" s="3" t="n">
        <v>1031502.551928</v>
      </c>
      <c r="V568" s="3" t="n">
        <v>1091506.891148</v>
      </c>
      <c r="W568" s="3" t="n">
        <v>1137271.110946</v>
      </c>
      <c r="X568" s="3" t="n">
        <v>1187608.894529</v>
      </c>
      <c r="Y568" s="3" t="n">
        <v>1210498.437788</v>
      </c>
      <c r="Z568" s="3" t="n">
        <v>1255950.00974</v>
      </c>
      <c r="AA568" s="3" t="n">
        <v>1229593.442604</v>
      </c>
      <c r="AB568" s="3" t="n">
        <v>1279835.729366</v>
      </c>
      <c r="AC568" s="3" t="n">
        <v>1323889.055025</v>
      </c>
      <c r="AD568" s="3" t="n">
        <v>1372034.420672</v>
      </c>
      <c r="AE568" s="3" t="n">
        <v>1414187.873306</v>
      </c>
      <c r="AF568" s="3" t="n">
        <v>1464242.219914</v>
      </c>
      <c r="AG568" s="3" t="n">
        <v>1511797.595954</v>
      </c>
      <c r="AH568" s="3" t="n">
        <v>1562367.237937</v>
      </c>
      <c r="AI568" s="3" t="n">
        <v>1619185.241355</v>
      </c>
      <c r="AJ568" s="3" t="n">
        <v>1684366.219215</v>
      </c>
      <c r="AK568" s="3" t="n">
        <v>1748895.998411</v>
      </c>
      <c r="AL568" s="3" t="n">
        <v>1810797.141914</v>
      </c>
      <c r="AM568" s="3" t="n"/>
      <c r="AN568" s="3" t="n"/>
      <c r="AO568" s="3" t="n"/>
      <c r="AP568" s="3" t="n"/>
      <c r="AQ568" s="3" t="n"/>
      <c r="AR568" s="3" t="n"/>
      <c r="AS568" s="3" t="n"/>
      <c r="AT568" s="3" t="n"/>
      <c r="AU568" s="3" t="n"/>
    </row>
    <row r="569">
      <c r="A569" s="3" t="n">
        <v>2031</v>
      </c>
      <c r="B569" s="3" t="inlineStr">
        <is>
          <t>CIV</t>
        </is>
      </c>
      <c r="C569" s="3" t="inlineStr">
        <is>
          <t>IMF.RES:WEO</t>
        </is>
      </c>
      <c r="D569" s="3" t="inlineStr">
        <is>
          <t>CIV.PCPI.A</t>
        </is>
      </c>
      <c r="E569" s="3" t="inlineStr">
        <is>
          <t>Côte d'Ivoire</t>
        </is>
      </c>
      <c r="F569" s="3" t="inlineStr">
        <is>
          <t>All Items, Consumer price index (CPI), Period average</t>
        </is>
      </c>
      <c r="G569" s="3" t="n">
        <v>58.910564</v>
      </c>
      <c r="H569" s="3" t="n">
        <v>61.476078</v>
      </c>
      <c r="I569" s="3" t="n">
        <v>63.369709</v>
      </c>
      <c r="J569" s="3" t="n">
        <v>65.45896399999999</v>
      </c>
      <c r="K569" s="3" t="n">
        <v>66.414089</v>
      </c>
      <c r="L569" s="3" t="n">
        <v>68.993657</v>
      </c>
      <c r="M569" s="3" t="n">
        <v>70.694759</v>
      </c>
      <c r="N569" s="3" t="n">
        <v>72.034789</v>
      </c>
      <c r="O569" s="3" t="n">
        <v>73.26336000000001</v>
      </c>
      <c r="P569" s="3" t="n">
        <v>73.642776</v>
      </c>
      <c r="Q569" s="3" t="n">
        <v>74.932125</v>
      </c>
      <c r="R569" s="3" t="n">
        <v>78.600194</v>
      </c>
      <c r="S569" s="3" t="n">
        <v>79.621684</v>
      </c>
      <c r="T569" s="3" t="n">
        <v>81.678828</v>
      </c>
      <c r="U569" s="3" t="n">
        <v>82.099237</v>
      </c>
      <c r="V569" s="3" t="n">
        <v>82.965585</v>
      </c>
      <c r="W569" s="3" t="n">
        <v>83.59871800000001</v>
      </c>
      <c r="X569" s="3" t="n">
        <v>84.214585</v>
      </c>
      <c r="Y569" s="3" t="n">
        <v>84.73292600000001</v>
      </c>
      <c r="Z569" s="3" t="n">
        <v>85.385249</v>
      </c>
      <c r="AA569" s="3" t="n">
        <v>87.339051</v>
      </c>
      <c r="AB569" s="3" t="n">
        <v>90.99177</v>
      </c>
      <c r="AC569" s="3" t="n">
        <v>95.758656</v>
      </c>
      <c r="AD569" s="3" t="n">
        <v>100.007084</v>
      </c>
      <c r="AE569" s="3" t="n">
        <v>103.45053</v>
      </c>
      <c r="AF569" s="3" t="n">
        <v>103.579866</v>
      </c>
      <c r="AG569" s="3" t="n">
        <v>105.444304</v>
      </c>
      <c r="AH569" s="3" t="n">
        <v>107.55319</v>
      </c>
      <c r="AI569" s="3" t="n">
        <v>109.704254</v>
      </c>
      <c r="AJ569" s="3" t="n">
        <v>111.898339</v>
      </c>
      <c r="AK569" s="3" t="n">
        <v>114.136305</v>
      </c>
      <c r="AL569" s="3" t="n">
        <v>116.419032</v>
      </c>
      <c r="AM569" s="3" t="n"/>
      <c r="AN569" s="3" t="n"/>
      <c r="AO569" s="3" t="n"/>
      <c r="AP569" s="3" t="n"/>
      <c r="AQ569" s="3" t="n"/>
      <c r="AR569" s="3" t="n"/>
      <c r="AS569" s="3" t="n"/>
      <c r="AT569" s="3" t="n"/>
      <c r="AU569" s="3" t="n"/>
    </row>
    <row r="570">
      <c r="A570" s="3" t="n">
        <v>2031</v>
      </c>
      <c r="B570" s="3" t="inlineStr">
        <is>
          <t>CIV</t>
        </is>
      </c>
      <c r="C570" s="3" t="inlineStr">
        <is>
          <t>IMF.RES:WEO</t>
        </is>
      </c>
      <c r="D570" s="3" t="inlineStr">
        <is>
          <t>CIV.PCPIPCH.A</t>
        </is>
      </c>
      <c r="E570" s="3" t="inlineStr">
        <is>
          <t>Côte d'Ivoire</t>
        </is>
      </c>
      <c r="F570" s="3" t="inlineStr">
        <is>
          <t>All Items, Consumer price index (CPI), Period average, percent change</t>
        </is>
      </c>
      <c r="G570" s="3" t="n">
        <v>2.533928</v>
      </c>
      <c r="H570" s="3" t="n">
        <v>4.35493</v>
      </c>
      <c r="I570" s="3" t="n">
        <v>3.080274</v>
      </c>
      <c r="J570" s="3" t="n">
        <v>3.296929</v>
      </c>
      <c r="K570" s="3" t="n">
        <v>1.459121</v>
      </c>
      <c r="L570" s="3" t="n">
        <v>3.884067</v>
      </c>
      <c r="M570" s="3" t="n">
        <v>2.465592</v>
      </c>
      <c r="N570" s="3" t="n">
        <v>1.895516</v>
      </c>
      <c r="O570" s="3" t="n">
        <v>1.705524</v>
      </c>
      <c r="P570" s="3" t="n">
        <v>0.51788</v>
      </c>
      <c r="Q570" s="3" t="n">
        <v>1.750815</v>
      </c>
      <c r="R570" s="3" t="n">
        <v>4.895189</v>
      </c>
      <c r="S570" s="3" t="n">
        <v>1.299602</v>
      </c>
      <c r="T570" s="3" t="n">
        <v>2.583648</v>
      </c>
      <c r="U570" s="3" t="n">
        <v>0.51471</v>
      </c>
      <c r="V570" s="3" t="n">
        <v>1.055245</v>
      </c>
      <c r="W570" s="3" t="n">
        <v>0.763128</v>
      </c>
      <c r="X570" s="3" t="n">
        <v>0.736694</v>
      </c>
      <c r="Y570" s="3" t="n">
        <v>0.6155</v>
      </c>
      <c r="Z570" s="3" t="n">
        <v>0.769858</v>
      </c>
      <c r="AA570" s="3" t="n">
        <v>2.288219</v>
      </c>
      <c r="AB570" s="3" t="n">
        <v>4.182229</v>
      </c>
      <c r="AC570" s="3" t="n">
        <v>5.23881</v>
      </c>
      <c r="AD570" s="3" t="n">
        <v>4.436599</v>
      </c>
      <c r="AE570" s="3" t="n">
        <v>3.443203</v>
      </c>
      <c r="AF570" s="3" t="n">
        <v>0.125022</v>
      </c>
      <c r="AG570" s="3" t="n">
        <v>1.8</v>
      </c>
      <c r="AH570" s="3" t="n">
        <v>2</v>
      </c>
      <c r="AI570" s="3" t="n">
        <v>2</v>
      </c>
      <c r="AJ570" s="3" t="n">
        <v>2</v>
      </c>
      <c r="AK570" s="3" t="n">
        <v>2</v>
      </c>
      <c r="AL570" s="3" t="n">
        <v>2</v>
      </c>
      <c r="AM570" s="3" t="n"/>
      <c r="AN570" s="3" t="n"/>
      <c r="AO570" s="3" t="n"/>
      <c r="AP570" s="3" t="n"/>
      <c r="AQ570" s="3" t="n"/>
      <c r="AR570" s="3" t="n"/>
      <c r="AS570" s="3" t="n"/>
      <c r="AT570" s="3" t="n"/>
      <c r="AU570" s="3" t="n"/>
    </row>
    <row r="571">
      <c r="A571" s="3" t="n">
        <v>2031</v>
      </c>
      <c r="B571" s="3" t="inlineStr">
        <is>
          <t>CIV</t>
        </is>
      </c>
      <c r="C571" s="3" t="inlineStr">
        <is>
          <t>IMF.RES:WEO</t>
        </is>
      </c>
      <c r="D571" s="3" t="inlineStr">
        <is>
          <t>CIV.PPPPC.A</t>
        </is>
      </c>
      <c r="E571" s="3" t="inlineStr">
        <is>
          <t>Côte d'Ivoire</t>
        </is>
      </c>
      <c r="F571" s="3" t="inlineStr">
        <is>
          <t>Gross domestic product (GDP), Per capita, purchasing power parity (PPP) international dollar, ICP benchmarks 2017-2021</t>
        </is>
      </c>
      <c r="G571" s="3" t="n">
        <v>3198.98839</v>
      </c>
      <c r="H571" s="3" t="n">
        <v>3183.947245</v>
      </c>
      <c r="I571" s="3" t="n">
        <v>3091.118909</v>
      </c>
      <c r="J571" s="3" t="n">
        <v>3022.855594</v>
      </c>
      <c r="K571" s="3" t="n">
        <v>3055.018708</v>
      </c>
      <c r="L571" s="3" t="n">
        <v>3115.955805</v>
      </c>
      <c r="M571" s="3" t="n">
        <v>3170.093607</v>
      </c>
      <c r="N571" s="3" t="n">
        <v>3221.33975</v>
      </c>
      <c r="O571" s="3" t="n">
        <v>3273.292543</v>
      </c>
      <c r="P571" s="3" t="n">
        <v>3306.035061</v>
      </c>
      <c r="Q571" s="3" t="n">
        <v>3318.833131</v>
      </c>
      <c r="R571" s="3" t="n">
        <v>3133.186956</v>
      </c>
      <c r="S571" s="3" t="n">
        <v>3439.894158</v>
      </c>
      <c r="T571" s="3" t="n">
        <v>3716.545615</v>
      </c>
      <c r="U571" s="3" t="n">
        <v>3999.44734</v>
      </c>
      <c r="V571" s="3" t="n">
        <v>4271.378472</v>
      </c>
      <c r="W571" s="3" t="n">
        <v>4492.756332</v>
      </c>
      <c r="X571" s="3" t="n">
        <v>4775.635909</v>
      </c>
      <c r="Y571" s="3" t="n">
        <v>5029.584121</v>
      </c>
      <c r="Z571" s="3" t="n">
        <v>5598.835154</v>
      </c>
      <c r="AA571" s="3" t="n">
        <v>5610.457191</v>
      </c>
      <c r="AB571" s="3" t="n">
        <v>6096.749123</v>
      </c>
      <c r="AC571" s="3" t="n">
        <v>6755.157717</v>
      </c>
      <c r="AD571" s="3" t="n">
        <v>7259.852622</v>
      </c>
      <c r="AE571" s="3" t="n">
        <v>7668.665728</v>
      </c>
      <c r="AF571" s="3" t="n">
        <v>8165.335552</v>
      </c>
      <c r="AG571" s="3" t="n">
        <v>8672.049787</v>
      </c>
      <c r="AH571" s="3" t="n">
        <v>9158.929516</v>
      </c>
      <c r="AI571" s="3" t="n">
        <v>9647.809686000001</v>
      </c>
      <c r="AJ571" s="3" t="n">
        <v>10214.640579</v>
      </c>
      <c r="AK571" s="3" t="n">
        <v>10800.861441</v>
      </c>
      <c r="AL571" s="3" t="n">
        <v>11385.041204</v>
      </c>
      <c r="AM571" s="3" t="n"/>
      <c r="AN571" s="3" t="n"/>
      <c r="AO571" s="3" t="n"/>
      <c r="AP571" s="3" t="n"/>
      <c r="AQ571" s="3" t="n"/>
      <c r="AR571" s="3" t="n"/>
      <c r="AS571" s="3" t="n"/>
      <c r="AT571" s="3" t="n"/>
      <c r="AU571" s="3" t="n"/>
    </row>
    <row r="572">
      <c r="A572" s="3" t="n">
        <v>2025</v>
      </c>
      <c r="B572" s="3" t="inlineStr">
        <is>
          <t>CIV</t>
        </is>
      </c>
      <c r="C572" s="3" t="inlineStr">
        <is>
          <t>IMF.STA:ER</t>
        </is>
      </c>
      <c r="D572" s="3" t="inlineStr">
        <is>
          <t>CIV.XDC_USD.PA_RT.A</t>
        </is>
      </c>
      <c r="E572" s="3" t="inlineStr">
        <is>
          <t>Côte d'Ivoire</t>
        </is>
      </c>
      <c r="F572" s="3" t="inlineStr">
        <is>
          <t>Domestic currency per US Dollar</t>
        </is>
      </c>
      <c r="G572" s="3" t="n">
        <v>710.207977031367</v>
      </c>
      <c r="H572" s="3" t="n">
        <v>732.397693260228</v>
      </c>
      <c r="I572" s="3" t="n">
        <v>693.713226496374</v>
      </c>
      <c r="J572" s="3" t="n">
        <v>579.897426172466</v>
      </c>
      <c r="K572" s="3" t="n">
        <v>527.338032291576</v>
      </c>
      <c r="L572" s="3" t="n">
        <v>527.258362649626</v>
      </c>
      <c r="M572" s="3" t="n">
        <v>522.425624895176</v>
      </c>
      <c r="N572" s="3" t="n">
        <v>478.633718476363</v>
      </c>
      <c r="O572" s="3" t="n">
        <v>446.000041432788</v>
      </c>
      <c r="P572" s="3" t="n">
        <v>470.293423341398</v>
      </c>
      <c r="Q572" s="3" t="n">
        <v>494.794262222947</v>
      </c>
      <c r="R572" s="3" t="n">
        <v>471.248625718937</v>
      </c>
      <c r="S572" s="3" t="n">
        <v>510.556338454251</v>
      </c>
      <c r="T572" s="3" t="n">
        <v>493.899623852237</v>
      </c>
      <c r="U572" s="3" t="n">
        <v>493.757329875312</v>
      </c>
      <c r="V572" s="3" t="n">
        <v>591.21169798261</v>
      </c>
      <c r="W572" s="3" t="n">
        <v>592.605615063022</v>
      </c>
      <c r="X572" s="3" t="n">
        <v>580.656749587858</v>
      </c>
      <c r="Y572" s="3" t="n">
        <v>555.446458398226</v>
      </c>
      <c r="Z572" s="3" t="n">
        <v>585.911013180369</v>
      </c>
      <c r="AA572" s="3" t="n">
        <v>575.586004510945</v>
      </c>
      <c r="AB572" s="3" t="n">
        <v>554.530675033104</v>
      </c>
      <c r="AC572" s="3" t="n">
        <v>623.759700911182</v>
      </c>
      <c r="AD572" s="3" t="n">
        <v>606.569750165917</v>
      </c>
      <c r="AE572" s="3" t="n">
        <v>606.345297609062</v>
      </c>
      <c r="AF572" s="3" t="n">
        <v>581.928481040339</v>
      </c>
      <c r="AG572" s="3" t="n"/>
      <c r="AH572" s="3" t="n"/>
      <c r="AI572" s="3" t="n"/>
      <c r="AJ572" s="3" t="n"/>
      <c r="AK572" s="3" t="n"/>
      <c r="AL572" s="3" t="n"/>
      <c r="AM572" s="3" t="n"/>
      <c r="AN572" s="3" t="n"/>
      <c r="AO572" s="3" t="n"/>
      <c r="AP572" s="3" t="n"/>
      <c r="AQ572" s="3" t="n"/>
      <c r="AR572" s="3" t="n"/>
      <c r="AS572" s="3" t="n"/>
      <c r="AT572" s="3" t="n"/>
      <c r="AU572" s="3" t="n"/>
    </row>
    <row r="573">
      <c r="A573" s="3" t="n">
        <v>2031</v>
      </c>
      <c r="B573" s="3" t="inlineStr">
        <is>
          <t>CMR</t>
        </is>
      </c>
      <c r="C573" s="3" t="inlineStr">
        <is>
          <t>IMF.RES:WEO</t>
        </is>
      </c>
      <c r="D573" s="3" t="inlineStr">
        <is>
          <t>CMR.BCA.A</t>
        </is>
      </c>
      <c r="E573" s="3" t="inlineStr">
        <is>
          <t>Cameroon</t>
        </is>
      </c>
      <c r="F573" s="3" t="inlineStr">
        <is>
          <t>Current account balance (credit less debit), US dollar</t>
        </is>
      </c>
      <c r="G573" s="3" t="n">
        <v>-0.2184</v>
      </c>
      <c r="H573" s="3" t="n">
        <v>-0.347658</v>
      </c>
      <c r="I573" s="3" t="n">
        <v>-0.439311</v>
      </c>
      <c r="J573" s="3" t="n">
        <v>-0.597885</v>
      </c>
      <c r="K573" s="3" t="n">
        <v>-0.416182</v>
      </c>
      <c r="L573" s="3" t="n">
        <v>-0.495562</v>
      </c>
      <c r="M573" s="3" t="n">
        <v>0.193518</v>
      </c>
      <c r="N573" s="3" t="n">
        <v>0.286075</v>
      </c>
      <c r="O573" s="3" t="n">
        <v>-0.45156</v>
      </c>
      <c r="P573" s="3" t="n">
        <v>-1.123177</v>
      </c>
      <c r="Q573" s="3" t="n">
        <v>-0.85714</v>
      </c>
      <c r="R573" s="3" t="n">
        <v>-0.749197</v>
      </c>
      <c r="S573" s="3" t="n">
        <v>-0.955934</v>
      </c>
      <c r="T573" s="3" t="n">
        <v>-1.128087</v>
      </c>
      <c r="U573" s="3" t="n">
        <v>-1.401975</v>
      </c>
      <c r="V573" s="3" t="n">
        <v>-1.173691</v>
      </c>
      <c r="W573" s="3" t="n">
        <v>-1.037444</v>
      </c>
      <c r="X573" s="3" t="n">
        <v>-0.949763</v>
      </c>
      <c r="Y573" s="3" t="n">
        <v>-1.409334</v>
      </c>
      <c r="Z573" s="3" t="n">
        <v>-1.695071</v>
      </c>
      <c r="AA573" s="3" t="n">
        <v>-1.512407</v>
      </c>
      <c r="AB573" s="3" t="n">
        <v>-1.794495</v>
      </c>
      <c r="AC573" s="3" t="n">
        <v>-1.505133</v>
      </c>
      <c r="AD573" s="3" t="n">
        <v>-2.018871</v>
      </c>
      <c r="AE573" s="3" t="n">
        <v>-1.742305</v>
      </c>
      <c r="AF573" s="3" t="n">
        <v>-2.238829</v>
      </c>
      <c r="AG573" s="3" t="n">
        <v>-3.308178</v>
      </c>
      <c r="AH573" s="3" t="n">
        <v>-3.972973</v>
      </c>
      <c r="AI573" s="3" t="n">
        <v>-3.780631</v>
      </c>
      <c r="AJ573" s="3" t="n">
        <v>-3.954077</v>
      </c>
      <c r="AK573" s="3" t="n">
        <v>-3.652183</v>
      </c>
      <c r="AL573" s="3" t="n">
        <v>-3.333472</v>
      </c>
      <c r="AM573" s="3" t="n"/>
      <c r="AN573" s="3" t="n"/>
      <c r="AO573" s="3" t="n"/>
      <c r="AP573" s="3" t="n"/>
      <c r="AQ573" s="3" t="n"/>
      <c r="AR573" s="3" t="n"/>
      <c r="AS573" s="3" t="n"/>
      <c r="AT573" s="3" t="n"/>
      <c r="AU573" s="3" t="n"/>
    </row>
    <row r="574">
      <c r="A574" s="3" t="n">
        <v>2031</v>
      </c>
      <c r="B574" s="3" t="inlineStr">
        <is>
          <t>CMR</t>
        </is>
      </c>
      <c r="C574" s="3" t="inlineStr">
        <is>
          <t>IMF.RES:WEO</t>
        </is>
      </c>
      <c r="D574" s="3" t="inlineStr">
        <is>
          <t>CMR.BCA_NGDPD.A</t>
        </is>
      </c>
      <c r="E574" s="3" t="inlineStr">
        <is>
          <t>Cameroon</t>
        </is>
      </c>
      <c r="F574" s="3" t="inlineStr">
        <is>
          <t>Current account balance (credit less debit), Percent of GDP</t>
        </is>
      </c>
      <c r="G574" s="3" t="n">
        <v>-2.131748</v>
      </c>
      <c r="H574" s="3" t="n">
        <v>-3.17507</v>
      </c>
      <c r="I574" s="3" t="n">
        <v>-3.55181</v>
      </c>
      <c r="J574" s="3" t="n">
        <v>-3.749823</v>
      </c>
      <c r="K574" s="3" t="n">
        <v>-2.213426</v>
      </c>
      <c r="L574" s="3" t="n">
        <v>-2.536896</v>
      </c>
      <c r="M574" s="3" t="n">
        <v>0.925411</v>
      </c>
      <c r="N574" s="3" t="n">
        <v>1.195411</v>
      </c>
      <c r="O574" s="3" t="n">
        <v>-1.62947</v>
      </c>
      <c r="P574" s="3" t="n">
        <v>-4.025342</v>
      </c>
      <c r="Q574" s="3" t="n">
        <v>-3.11348</v>
      </c>
      <c r="R574" s="3" t="n">
        <v>-2.446316</v>
      </c>
      <c r="S574" s="3" t="n">
        <v>-3.168054</v>
      </c>
      <c r="T574" s="3" t="n">
        <v>-3.344551</v>
      </c>
      <c r="U574" s="3" t="n">
        <v>-3.85201</v>
      </c>
      <c r="V574" s="3" t="n">
        <v>-3.643477</v>
      </c>
      <c r="W574" s="3" t="n">
        <v>-3.068907</v>
      </c>
      <c r="X574" s="3" t="n">
        <v>-2.631957</v>
      </c>
      <c r="Y574" s="3" t="n">
        <v>-3.524043</v>
      </c>
      <c r="Z574" s="3" t="n">
        <v>-4.272642</v>
      </c>
      <c r="AA574" s="3" t="n">
        <v>-3.703955</v>
      </c>
      <c r="AB574" s="3" t="n">
        <v>-3.984615</v>
      </c>
      <c r="AC574" s="3" t="n">
        <v>-3.386698</v>
      </c>
      <c r="AD574" s="3" t="n">
        <v>-4.135192</v>
      </c>
      <c r="AE574" s="3" t="n">
        <v>-3.268359</v>
      </c>
      <c r="AF574" s="3" t="n">
        <v>-3.776596</v>
      </c>
      <c r="AG574" s="3" t="n">
        <v>-5.078938</v>
      </c>
      <c r="AH574" s="3" t="n">
        <v>-5.79147</v>
      </c>
      <c r="AI574" s="3" t="n">
        <v>-5.117503</v>
      </c>
      <c r="AJ574" s="3" t="n">
        <v>-4.97772</v>
      </c>
      <c r="AK574" s="3" t="n">
        <v>-4.255942</v>
      </c>
      <c r="AL574" s="3" t="n">
        <v>-3.609379</v>
      </c>
      <c r="AM574" s="3" t="n"/>
      <c r="AN574" s="3" t="n"/>
      <c r="AO574" s="3" t="n"/>
      <c r="AP574" s="3" t="n"/>
      <c r="AQ574" s="3" t="n"/>
      <c r="AR574" s="3" t="n"/>
      <c r="AS574" s="3" t="n"/>
      <c r="AT574" s="3" t="n"/>
      <c r="AU574" s="3" t="n"/>
    </row>
    <row r="575">
      <c r="A575" s="3" t="n">
        <v>2031</v>
      </c>
      <c r="B575" s="3" t="inlineStr">
        <is>
          <t>CMR</t>
        </is>
      </c>
      <c r="C575" s="3" t="inlineStr">
        <is>
          <t>IMF.RES:WEO</t>
        </is>
      </c>
      <c r="D575" s="3" t="inlineStr">
        <is>
          <t>CMR.GGR_NGDP.A</t>
        </is>
      </c>
      <c r="E575" s="3" t="inlineStr">
        <is>
          <t>Cameroon</t>
        </is>
      </c>
      <c r="F575" s="3" t="inlineStr">
        <is>
          <t>Revenue, General government, Percent of GDP</t>
        </is>
      </c>
      <c r="G575" s="3" t="n">
        <v>16.472185</v>
      </c>
      <c r="H575" s="3" t="n">
        <v>15.580305</v>
      </c>
      <c r="I575" s="3" t="n">
        <v>15.636907</v>
      </c>
      <c r="J575" s="3" t="n">
        <v>14.139738</v>
      </c>
      <c r="K575" s="3" t="n">
        <v>12.779907</v>
      </c>
      <c r="L575" s="3" t="n">
        <v>14.85577</v>
      </c>
      <c r="M575" s="3" t="n">
        <v>18.350868</v>
      </c>
      <c r="N575" s="3" t="n">
        <v>17.195905</v>
      </c>
      <c r="O575" s="3" t="n">
        <v>17.878685</v>
      </c>
      <c r="P575" s="3" t="n">
        <v>14.664151</v>
      </c>
      <c r="Q575" s="3" t="n">
        <v>14.245576</v>
      </c>
      <c r="R575" s="3" t="n">
        <v>15.580846</v>
      </c>
      <c r="S575" s="3" t="n">
        <v>15.748217</v>
      </c>
      <c r="T575" s="3" t="n">
        <v>15.649402</v>
      </c>
      <c r="U575" s="3" t="n">
        <v>16.16243</v>
      </c>
      <c r="V575" s="3" t="n">
        <v>15.074846</v>
      </c>
      <c r="W575" s="3" t="n">
        <v>14.303279</v>
      </c>
      <c r="X575" s="3" t="n">
        <v>14.502703</v>
      </c>
      <c r="Y575" s="3" t="n">
        <v>15.540706</v>
      </c>
      <c r="Z575" s="3" t="n">
        <v>15.421337</v>
      </c>
      <c r="AA575" s="3" t="n">
        <v>13.309086</v>
      </c>
      <c r="AB575" s="3" t="n">
        <v>14.165769</v>
      </c>
      <c r="AC575" s="3" t="n">
        <v>15.968953</v>
      </c>
      <c r="AD575" s="3" t="n">
        <v>16.625315</v>
      </c>
      <c r="AE575" s="3" t="n">
        <v>15.552482</v>
      </c>
      <c r="AF575" s="3" t="n">
        <v>14.249033</v>
      </c>
      <c r="AG575" s="3" t="n">
        <v>14.988463</v>
      </c>
      <c r="AH575" s="3" t="n">
        <v>15.200168</v>
      </c>
      <c r="AI575" s="3" t="n">
        <v>15.345196</v>
      </c>
      <c r="AJ575" s="3" t="n">
        <v>15.628949</v>
      </c>
      <c r="AK575" s="3" t="n">
        <v>15.917528</v>
      </c>
      <c r="AL575" s="3" t="n">
        <v>16.243142</v>
      </c>
      <c r="AM575" s="3" t="n"/>
      <c r="AN575" s="3" t="n"/>
      <c r="AO575" s="3" t="n"/>
      <c r="AP575" s="3" t="n"/>
      <c r="AQ575" s="3" t="n"/>
      <c r="AR575" s="3" t="n"/>
      <c r="AS575" s="3" t="n"/>
      <c r="AT575" s="3" t="n"/>
      <c r="AU575" s="3" t="n"/>
    </row>
    <row r="576">
      <c r="A576" s="3" t="n">
        <v>2031</v>
      </c>
      <c r="B576" s="3" t="inlineStr">
        <is>
          <t>CMR</t>
        </is>
      </c>
      <c r="C576" s="3" t="inlineStr">
        <is>
          <t>IMF.RES:WEO</t>
        </is>
      </c>
      <c r="D576" s="3" t="inlineStr">
        <is>
          <t>CMR.GGX_NGDP.A</t>
        </is>
      </c>
      <c r="E576" s="3" t="inlineStr">
        <is>
          <t>Cameroon</t>
        </is>
      </c>
      <c r="F576" s="3" t="inlineStr">
        <is>
          <t>Expenditure, General government, Percent of GDP</t>
        </is>
      </c>
      <c r="G576" s="3" t="n">
        <v>14.413303</v>
      </c>
      <c r="H576" s="3" t="n">
        <v>14.384889</v>
      </c>
      <c r="I576" s="3" t="n">
        <v>14.0499</v>
      </c>
      <c r="J576" s="3" t="n">
        <v>10.632601</v>
      </c>
      <c r="K576" s="3" t="n">
        <v>10.713649</v>
      </c>
      <c r="L576" s="3" t="n">
        <v>11.4237</v>
      </c>
      <c r="M576" s="3" t="n">
        <v>12.014579</v>
      </c>
      <c r="N576" s="3" t="n">
        <v>13.535856</v>
      </c>
      <c r="O576" s="3" t="n">
        <v>15.934609</v>
      </c>
      <c r="P576" s="3" t="n">
        <v>14.714195</v>
      </c>
      <c r="Q576" s="3" t="n">
        <v>14.816823</v>
      </c>
      <c r="R576" s="3" t="n">
        <v>17.126035</v>
      </c>
      <c r="S576" s="3" t="n">
        <v>16.964599</v>
      </c>
      <c r="T576" s="3" t="n">
        <v>19.192225</v>
      </c>
      <c r="U576" s="3" t="n">
        <v>19.524875</v>
      </c>
      <c r="V576" s="3" t="n">
        <v>17.932653</v>
      </c>
      <c r="W576" s="3" t="n">
        <v>20.089067</v>
      </c>
      <c r="X576" s="3" t="n">
        <v>18.184898</v>
      </c>
      <c r="Y576" s="3" t="n">
        <v>17.836909</v>
      </c>
      <c r="Z576" s="3" t="n">
        <v>19.06705</v>
      </c>
      <c r="AA576" s="3" t="n">
        <v>16.82754</v>
      </c>
      <c r="AB576" s="3" t="n">
        <v>17.04686</v>
      </c>
      <c r="AC576" s="3" t="n">
        <v>17.080654</v>
      </c>
      <c r="AD576" s="3" t="n">
        <v>17.265245</v>
      </c>
      <c r="AE576" s="3" t="n">
        <v>17.061666</v>
      </c>
      <c r="AF576" s="3" t="n">
        <v>16.258703</v>
      </c>
      <c r="AG576" s="3" t="n">
        <v>16.657315</v>
      </c>
      <c r="AH576" s="3" t="n">
        <v>16.557397</v>
      </c>
      <c r="AI576" s="3" t="n">
        <v>16.629484</v>
      </c>
      <c r="AJ576" s="3" t="n">
        <v>16.864537</v>
      </c>
      <c r="AK576" s="3" t="n">
        <v>17.144875</v>
      </c>
      <c r="AL576" s="3" t="n">
        <v>17.445589</v>
      </c>
      <c r="AM576" s="3" t="n"/>
      <c r="AN576" s="3" t="n"/>
      <c r="AO576" s="3" t="n"/>
      <c r="AP576" s="3" t="n"/>
      <c r="AQ576" s="3" t="n"/>
      <c r="AR576" s="3" t="n"/>
      <c r="AS576" s="3" t="n"/>
      <c r="AT576" s="3" t="n"/>
      <c r="AU576" s="3" t="n"/>
    </row>
    <row r="577">
      <c r="A577" s="3" t="n">
        <v>2031</v>
      </c>
      <c r="B577" s="3" t="inlineStr">
        <is>
          <t>CMR</t>
        </is>
      </c>
      <c r="C577" s="3" t="inlineStr">
        <is>
          <t>IMF.RES:WEO</t>
        </is>
      </c>
      <c r="D577" s="3" t="inlineStr">
        <is>
          <t>CMR.LP.A</t>
        </is>
      </c>
      <c r="E577" s="3" t="inlineStr">
        <is>
          <t>Cameroon</t>
        </is>
      </c>
      <c r="F577" s="3" t="inlineStr">
        <is>
          <t>Population, Persons for countries / Index for country groups</t>
        </is>
      </c>
      <c r="G577" s="3" t="n">
        <v>14.912631</v>
      </c>
      <c r="H577" s="3" t="n">
        <v>15.309491</v>
      </c>
      <c r="I577" s="3" t="n">
        <v>15.725528</v>
      </c>
      <c r="J577" s="3" t="n">
        <v>16.16034</v>
      </c>
      <c r="K577" s="3" t="n">
        <v>16.610488</v>
      </c>
      <c r="L577" s="3" t="n">
        <v>17.074594</v>
      </c>
      <c r="M577" s="3" t="n">
        <v>17.550407</v>
      </c>
      <c r="N577" s="3" t="n">
        <v>18.049896</v>
      </c>
      <c r="O577" s="3" t="n">
        <v>18.574057</v>
      </c>
      <c r="P577" s="3" t="n">
        <v>19.113974</v>
      </c>
      <c r="Q577" s="3" t="n">
        <v>19.668066</v>
      </c>
      <c r="R577" s="3" t="n">
        <v>20.232304</v>
      </c>
      <c r="S577" s="3" t="n">
        <v>20.809529</v>
      </c>
      <c r="T577" s="3" t="n">
        <v>21.402376</v>
      </c>
      <c r="U577" s="3" t="n">
        <v>22.059893</v>
      </c>
      <c r="V577" s="3" t="n">
        <v>22.763415</v>
      </c>
      <c r="W577" s="3" t="n">
        <v>23.454162</v>
      </c>
      <c r="X577" s="3" t="n">
        <v>24.128601</v>
      </c>
      <c r="Y577" s="3" t="n">
        <v>24.806383</v>
      </c>
      <c r="Z577" s="3" t="n">
        <v>25.506095</v>
      </c>
      <c r="AA577" s="3" t="n">
        <v>26.210558</v>
      </c>
      <c r="AB577" s="3" t="n">
        <v>26.915759</v>
      </c>
      <c r="AC577" s="3" t="n">
        <v>27.632772</v>
      </c>
      <c r="AD577" s="3" t="n">
        <v>28.372687</v>
      </c>
      <c r="AE577" s="3" t="n">
        <v>29.123744</v>
      </c>
      <c r="AF577" s="3" t="n">
        <v>29.879337</v>
      </c>
      <c r="AG577" s="3" t="n">
        <v>30.64557</v>
      </c>
      <c r="AH577" s="3" t="n">
        <v>31.422259</v>
      </c>
      <c r="AI577" s="3" t="n">
        <v>32.209206</v>
      </c>
      <c r="AJ577" s="3" t="n">
        <v>33.006198</v>
      </c>
      <c r="AK577" s="3" t="n">
        <v>33.813009</v>
      </c>
      <c r="AL577" s="3" t="n">
        <v>34.629399</v>
      </c>
      <c r="AM577" s="3" t="n"/>
      <c r="AN577" s="3" t="n"/>
      <c r="AO577" s="3" t="n"/>
      <c r="AP577" s="3" t="n"/>
      <c r="AQ577" s="3" t="n"/>
      <c r="AR577" s="3" t="n"/>
      <c r="AS577" s="3" t="n"/>
      <c r="AT577" s="3" t="n"/>
      <c r="AU577" s="3" t="n"/>
    </row>
    <row r="578">
      <c r="A578" s="3" t="n">
        <v>2031</v>
      </c>
      <c r="B578" s="3" t="inlineStr">
        <is>
          <t>CMR</t>
        </is>
      </c>
      <c r="C578" s="3" t="inlineStr">
        <is>
          <t>IMF.RES:WEO</t>
        </is>
      </c>
      <c r="D578" s="3" t="inlineStr">
        <is>
          <t>CMR.NGDP.A</t>
        </is>
      </c>
      <c r="E578" s="3" t="inlineStr">
        <is>
          <t>Cameroon</t>
        </is>
      </c>
      <c r="F578" s="3" t="inlineStr">
        <is>
          <t>Gross domestic product (GDP), Current prices, Domestic currency</t>
        </is>
      </c>
      <c r="G578" s="3" t="n">
        <v>7504.468905</v>
      </c>
      <c r="H578" s="3" t="n">
        <v>8022.3074</v>
      </c>
      <c r="I578" s="3" t="n">
        <v>8614.011492</v>
      </c>
      <c r="J578" s="3" t="n">
        <v>9261.144581</v>
      </c>
      <c r="K578" s="3" t="n">
        <v>9927.778711999999</v>
      </c>
      <c r="L578" s="3" t="n">
        <v>10286.732737</v>
      </c>
      <c r="M578" s="3" t="n">
        <v>10924.18781</v>
      </c>
      <c r="N578" s="3" t="n">
        <v>11452.86747</v>
      </c>
      <c r="O578" s="3" t="n">
        <v>12360.954483</v>
      </c>
      <c r="P578" s="3" t="n">
        <v>13136.692225</v>
      </c>
      <c r="Q578" s="3" t="n">
        <v>13610.554063</v>
      </c>
      <c r="R578" s="3" t="n">
        <v>14434.774484</v>
      </c>
      <c r="S578" s="3" t="n">
        <v>15395.858195</v>
      </c>
      <c r="T578" s="3" t="n">
        <v>16658.553319</v>
      </c>
      <c r="U578" s="3" t="n">
        <v>17966.123162</v>
      </c>
      <c r="V578" s="3" t="n">
        <v>19043.066557</v>
      </c>
      <c r="W578" s="3" t="n">
        <v>20038.566</v>
      </c>
      <c r="X578" s="3" t="n">
        <v>20960.865</v>
      </c>
      <c r="Y578" s="3" t="n">
        <v>22203.329</v>
      </c>
      <c r="Z578" s="3" t="n">
        <v>23243.662</v>
      </c>
      <c r="AA578" s="3" t="n">
        <v>23468.507</v>
      </c>
      <c r="AB578" s="3" t="n">
        <v>24960.496</v>
      </c>
      <c r="AC578" s="3" t="n">
        <v>27662.02</v>
      </c>
      <c r="AD578" s="3" t="n">
        <v>29609.383</v>
      </c>
      <c r="AE578" s="3" t="n">
        <v>32316.227</v>
      </c>
      <c r="AF578" s="3" t="n">
        <v>34432.622379</v>
      </c>
      <c r="AG578" s="3" t="n">
        <v>36232.382665</v>
      </c>
      <c r="AH578" s="3" t="n">
        <v>38247.992553</v>
      </c>
      <c r="AI578" s="3" t="n">
        <v>41301.29434</v>
      </c>
      <c r="AJ578" s="3" t="n">
        <v>44432.671049</v>
      </c>
      <c r="AK578" s="3" t="n">
        <v>48007.882597</v>
      </c>
      <c r="AL578" s="3" t="n">
        <v>51667.820797</v>
      </c>
      <c r="AM578" s="3" t="n"/>
      <c r="AN578" s="3" t="n"/>
      <c r="AO578" s="3" t="n"/>
      <c r="AP578" s="3" t="n"/>
      <c r="AQ578" s="3" t="n"/>
      <c r="AR578" s="3" t="n"/>
      <c r="AS578" s="3" t="n"/>
      <c r="AT578" s="3" t="n"/>
      <c r="AU578" s="3" t="n"/>
    </row>
    <row r="579">
      <c r="A579" s="3" t="n">
        <v>2031</v>
      </c>
      <c r="B579" s="3" t="inlineStr">
        <is>
          <t>CMR</t>
        </is>
      </c>
      <c r="C579" s="3" t="inlineStr">
        <is>
          <t>IMF.RES:WEO</t>
        </is>
      </c>
      <c r="D579" s="3" t="inlineStr">
        <is>
          <t>CMR.NGDP_D.A</t>
        </is>
      </c>
      <c r="E579" s="3" t="inlineStr">
        <is>
          <t>Cameroon</t>
        </is>
      </c>
      <c r="F579" s="3" t="inlineStr">
        <is>
          <t>Gross domestic product (GDP), Price deflator, Index</t>
        </is>
      </c>
      <c r="G579" s="3" t="n">
        <v>73.447692</v>
      </c>
      <c r="H579" s="3" t="n">
        <v>75.26137900000001</v>
      </c>
      <c r="I579" s="3" t="n">
        <v>77.349501</v>
      </c>
      <c r="J579" s="3" t="n">
        <v>78.86006999999999</v>
      </c>
      <c r="K579" s="3" t="n">
        <v>78.97007000000001</v>
      </c>
      <c r="L579" s="3" t="n">
        <v>80.04180599999999</v>
      </c>
      <c r="M579" s="3" t="n">
        <v>81.882508</v>
      </c>
      <c r="N579" s="3" t="n">
        <v>82.284312</v>
      </c>
      <c r="O579" s="3" t="n">
        <v>86.349599</v>
      </c>
      <c r="P579" s="3" t="n">
        <v>89.46122</v>
      </c>
      <c r="Q579" s="3" t="n">
        <v>90.07688</v>
      </c>
      <c r="R579" s="3" t="n">
        <v>92.40900999999999</v>
      </c>
      <c r="S579" s="3" t="n">
        <v>94.203857</v>
      </c>
      <c r="T579" s="3" t="n">
        <v>97.080333</v>
      </c>
      <c r="U579" s="3" t="n">
        <v>99.03573799999999</v>
      </c>
      <c r="V579" s="3" t="n">
        <v>99.34254199999999</v>
      </c>
      <c r="W579" s="3" t="n">
        <v>100</v>
      </c>
      <c r="X579" s="3" t="n">
        <v>101.025141</v>
      </c>
      <c r="Y579" s="3" t="n">
        <v>102.94158</v>
      </c>
      <c r="Z579" s="3" t="n">
        <v>104.145784</v>
      </c>
      <c r="AA579" s="3" t="n">
        <v>104.880585</v>
      </c>
      <c r="AB579" s="3" t="n">
        <v>107.94417</v>
      </c>
      <c r="AC579" s="3" t="n">
        <v>115.317859</v>
      </c>
      <c r="AD579" s="3" t="n">
        <v>119.438049</v>
      </c>
      <c r="AE579" s="3" t="n">
        <v>125.918686</v>
      </c>
      <c r="AF579" s="3" t="n">
        <v>130.165673</v>
      </c>
      <c r="AG579" s="3" t="n">
        <v>132.536664</v>
      </c>
      <c r="AH579" s="3" t="n">
        <v>134.829831</v>
      </c>
      <c r="AI579" s="3" t="n">
        <v>139.69345</v>
      </c>
      <c r="AJ579" s="3" t="n">
        <v>144.08802</v>
      </c>
      <c r="AK579" s="3" t="n">
        <v>149.085617</v>
      </c>
      <c r="AL579" s="3" t="n">
        <v>153.427396</v>
      </c>
      <c r="AM579" s="3" t="n"/>
      <c r="AN579" s="3" t="n"/>
      <c r="AO579" s="3" t="n"/>
      <c r="AP579" s="3" t="n"/>
      <c r="AQ579" s="3" t="n"/>
      <c r="AR579" s="3" t="n"/>
      <c r="AS579" s="3" t="n"/>
      <c r="AT579" s="3" t="n"/>
      <c r="AU579" s="3" t="n"/>
    </row>
    <row r="580">
      <c r="A580" s="3" t="n">
        <v>2031</v>
      </c>
      <c r="B580" s="3" t="inlineStr">
        <is>
          <t>CMR</t>
        </is>
      </c>
      <c r="C580" s="3" t="inlineStr">
        <is>
          <t>IMF.RES:WEO</t>
        </is>
      </c>
      <c r="D580" s="3" t="inlineStr">
        <is>
          <t>CMR.NGDP_R.A</t>
        </is>
      </c>
      <c r="E580" s="3" t="inlineStr">
        <is>
          <t>Cameroon</t>
        </is>
      </c>
      <c r="F580" s="3" t="inlineStr">
        <is>
          <t>Gross domestic product (GDP), Constant prices, Domestic currency</t>
        </is>
      </c>
      <c r="G580" s="3" t="n">
        <v>10217.433253</v>
      </c>
      <c r="H580" s="3" t="n">
        <v>10659.261754</v>
      </c>
      <c r="I580" s="3" t="n">
        <v>11136.479763</v>
      </c>
      <c r="J580" s="3" t="n">
        <v>11743.76912</v>
      </c>
      <c r="K580" s="3" t="n">
        <v>12571.571295</v>
      </c>
      <c r="L580" s="3" t="n">
        <v>12851.699873</v>
      </c>
      <c r="M580" s="3" t="n">
        <v>13341.296082</v>
      </c>
      <c r="N580" s="3" t="n">
        <v>13918.652545</v>
      </c>
      <c r="O580" s="3" t="n">
        <v>14315.010936</v>
      </c>
      <c r="P580" s="3" t="n">
        <v>14684.23111</v>
      </c>
      <c r="Q580" s="3" t="n">
        <v>15109.9306</v>
      </c>
      <c r="R580" s="3" t="n">
        <v>15620.52708</v>
      </c>
      <c r="S580" s="3" t="n">
        <v>16343.129339</v>
      </c>
      <c r="T580" s="3" t="n">
        <v>17159.555131</v>
      </c>
      <c r="U580" s="3" t="n">
        <v>18141.050478</v>
      </c>
      <c r="V580" s="3" t="n">
        <v>19169.095281</v>
      </c>
      <c r="W580" s="3" t="n">
        <v>20038.566</v>
      </c>
      <c r="X580" s="3" t="n">
        <v>20748.167</v>
      </c>
      <c r="Y580" s="3" t="n">
        <v>21568.8637</v>
      </c>
      <c r="Z580" s="3" t="n">
        <v>22318.389793</v>
      </c>
      <c r="AA580" s="3" t="n">
        <v>22376.407505</v>
      </c>
      <c r="AB580" s="3" t="n">
        <v>23123.523859</v>
      </c>
      <c r="AC580" s="3" t="n">
        <v>23987.628883</v>
      </c>
      <c r="AD580" s="3" t="n">
        <v>24790.578235</v>
      </c>
      <c r="AE580" s="3" t="n">
        <v>25664.361764</v>
      </c>
      <c r="AF580" s="3" t="n">
        <v>26452.920704</v>
      </c>
      <c r="AG580" s="3" t="n">
        <v>27337.62987</v>
      </c>
      <c r="AH580" s="3" t="n">
        <v>28367.604004</v>
      </c>
      <c r="AI580" s="3" t="n">
        <v>29565.662755</v>
      </c>
      <c r="AJ580" s="3" t="n">
        <v>30837.172337</v>
      </c>
      <c r="AK580" s="3" t="n">
        <v>32201.552069</v>
      </c>
      <c r="AL580" s="3" t="n">
        <v>33675.746437</v>
      </c>
      <c r="AM580" s="3" t="n"/>
      <c r="AN580" s="3" t="n"/>
      <c r="AO580" s="3" t="n"/>
      <c r="AP580" s="3" t="n"/>
      <c r="AQ580" s="3" t="n"/>
      <c r="AR580" s="3" t="n"/>
      <c r="AS580" s="3" t="n"/>
      <c r="AT580" s="3" t="n"/>
      <c r="AU580" s="3" t="n"/>
    </row>
    <row r="581">
      <c r="A581" s="3" t="n">
        <v>2031</v>
      </c>
      <c r="B581" s="3" t="inlineStr">
        <is>
          <t>CMR</t>
        </is>
      </c>
      <c r="C581" s="3" t="inlineStr">
        <is>
          <t>IMF.RES:WEO</t>
        </is>
      </c>
      <c r="D581" s="3" t="inlineStr">
        <is>
          <t>CMR.NGDP_RPCH.A</t>
        </is>
      </c>
      <c r="E581" s="3" t="inlineStr">
        <is>
          <t>Cameroon</t>
        </is>
      </c>
      <c r="F581" s="3" t="inlineStr">
        <is>
          <t>Gross domestic product (GDP), Constant prices, Percent change</t>
        </is>
      </c>
      <c r="G581" s="3" t="n">
        <v>3.832418</v>
      </c>
      <c r="H581" s="3" t="n">
        <v>4.324261</v>
      </c>
      <c r="I581" s="3" t="n">
        <v>4.477027</v>
      </c>
      <c r="J581" s="3" t="n">
        <v>5.453154</v>
      </c>
      <c r="K581" s="3" t="n">
        <v>7.048863</v>
      </c>
      <c r="L581" s="3" t="n">
        <v>2.22827</v>
      </c>
      <c r="M581" s="3" t="n">
        <v>3.809583</v>
      </c>
      <c r="N581" s="3" t="n">
        <v>4.327589</v>
      </c>
      <c r="O581" s="3" t="n">
        <v>2.847678</v>
      </c>
      <c r="P581" s="3" t="n">
        <v>2.579252</v>
      </c>
      <c r="Q581" s="3" t="n">
        <v>2.899025</v>
      </c>
      <c r="R581" s="3" t="n">
        <v>3.379211</v>
      </c>
      <c r="S581" s="3" t="n">
        <v>4.625979</v>
      </c>
      <c r="T581" s="3" t="n">
        <v>4.995529</v>
      </c>
      <c r="U581" s="3" t="n">
        <v>5.719818</v>
      </c>
      <c r="V581" s="3" t="n">
        <v>5.666953</v>
      </c>
      <c r="W581" s="3" t="n">
        <v>4.535794</v>
      </c>
      <c r="X581" s="3" t="n">
        <v>3.541177</v>
      </c>
      <c r="Y581" s="3" t="n">
        <v>3.955514</v>
      </c>
      <c r="Z581" s="3" t="n">
        <v>3.475037</v>
      </c>
      <c r="AA581" s="3" t="n">
        <v>0.259955</v>
      </c>
      <c r="AB581" s="3" t="n">
        <v>3.338857</v>
      </c>
      <c r="AC581" s="3" t="n">
        <v>3.736909</v>
      </c>
      <c r="AD581" s="3" t="n">
        <v>3.347348</v>
      </c>
      <c r="AE581" s="3" t="n">
        <v>3.52466</v>
      </c>
      <c r="AF581" s="3" t="n">
        <v>3.072583</v>
      </c>
      <c r="AG581" s="3" t="n">
        <v>3.344467</v>
      </c>
      <c r="AH581" s="3" t="n">
        <v>3.767606</v>
      </c>
      <c r="AI581" s="3" t="n">
        <v>4.223334</v>
      </c>
      <c r="AJ581" s="3" t="n">
        <v>4.300629</v>
      </c>
      <c r="AK581" s="3" t="n">
        <v>4.424464</v>
      </c>
      <c r="AL581" s="3" t="n">
        <v>4.578023</v>
      </c>
      <c r="AM581" s="3" t="n"/>
      <c r="AN581" s="3" t="n"/>
      <c r="AO581" s="3" t="n"/>
      <c r="AP581" s="3" t="n"/>
      <c r="AQ581" s="3" t="n"/>
      <c r="AR581" s="3" t="n"/>
      <c r="AS581" s="3" t="n"/>
      <c r="AT581" s="3" t="n"/>
      <c r="AU581" s="3" t="n"/>
    </row>
    <row r="582">
      <c r="A582" s="3" t="n">
        <v>2031</v>
      </c>
      <c r="B582" s="3" t="inlineStr">
        <is>
          <t>CMR</t>
        </is>
      </c>
      <c r="C582" s="3" t="inlineStr">
        <is>
          <t>IMF.RES:WEO</t>
        </is>
      </c>
      <c r="D582" s="3" t="inlineStr">
        <is>
          <t>CMR.NGDPD.A</t>
        </is>
      </c>
      <c r="E582" s="3" t="inlineStr">
        <is>
          <t>Cameroon</t>
        </is>
      </c>
      <c r="F582" s="3" t="inlineStr">
        <is>
          <t>Gross domestic product (GDP), Current prices, US dollar</t>
        </is>
      </c>
      <c r="G582" s="3" t="n">
        <v>10.245133</v>
      </c>
      <c r="H582" s="3" t="n">
        <v>10.949604</v>
      </c>
      <c r="I582" s="3" t="n">
        <v>12.368642</v>
      </c>
      <c r="J582" s="3" t="n">
        <v>15.944363</v>
      </c>
      <c r="K582" s="3" t="n">
        <v>18.802612</v>
      </c>
      <c r="L582" s="3" t="n">
        <v>19.534172</v>
      </c>
      <c r="M582" s="3" t="n">
        <v>20.911621</v>
      </c>
      <c r="N582" s="3" t="n">
        <v>23.931071</v>
      </c>
      <c r="O582" s="3" t="n">
        <v>27.712106</v>
      </c>
      <c r="P582" s="3" t="n">
        <v>27.90264</v>
      </c>
      <c r="Q582" s="3" t="n">
        <v>27.529968</v>
      </c>
      <c r="R582" s="3" t="n">
        <v>30.62552</v>
      </c>
      <c r="S582" s="3" t="n">
        <v>30.174158</v>
      </c>
      <c r="T582" s="3" t="n">
        <v>33.729113</v>
      </c>
      <c r="U582" s="3" t="n">
        <v>36.395922</v>
      </c>
      <c r="V582" s="3" t="n">
        <v>32.213494</v>
      </c>
      <c r="W582" s="3" t="n">
        <v>33.805006</v>
      </c>
      <c r="X582" s="3" t="n">
        <v>36.085808</v>
      </c>
      <c r="Y582" s="3" t="n">
        <v>39.991969</v>
      </c>
      <c r="Z582" s="3" t="n">
        <v>39.67266</v>
      </c>
      <c r="AA582" s="3" t="n">
        <v>40.832221</v>
      </c>
      <c r="AB582" s="3" t="n">
        <v>45.035591</v>
      </c>
      <c r="AC582" s="3" t="n">
        <v>44.4425</v>
      </c>
      <c r="AD582" s="3" t="n">
        <v>48.821693</v>
      </c>
      <c r="AE582" s="3" t="n">
        <v>53.308252</v>
      </c>
      <c r="AF582" s="3" t="n">
        <v>59.281666</v>
      </c>
      <c r="AG582" s="3" t="n">
        <v>65.135228</v>
      </c>
      <c r="AH582" s="3" t="n">
        <v>68.600425</v>
      </c>
      <c r="AI582" s="3" t="n">
        <v>73.876469</v>
      </c>
      <c r="AJ582" s="3" t="n">
        <v>79.4355</v>
      </c>
      <c r="AK582" s="3" t="n">
        <v>85.81373499999999</v>
      </c>
      <c r="AL582" s="3" t="n">
        <v>92.35584799999999</v>
      </c>
      <c r="AM582" s="3" t="n"/>
      <c r="AN582" s="3" t="n"/>
      <c r="AO582" s="3" t="n"/>
      <c r="AP582" s="3" t="n"/>
      <c r="AQ582" s="3" t="n"/>
      <c r="AR582" s="3" t="n"/>
      <c r="AS582" s="3" t="n"/>
      <c r="AT582" s="3" t="n"/>
      <c r="AU582" s="3" t="n"/>
    </row>
    <row r="583">
      <c r="A583" s="3" t="n">
        <v>2031</v>
      </c>
      <c r="B583" s="3" t="inlineStr">
        <is>
          <t>CMR</t>
        </is>
      </c>
      <c r="C583" s="3" t="inlineStr">
        <is>
          <t>IMF.RES:WEO</t>
        </is>
      </c>
      <c r="D583" s="3" t="inlineStr">
        <is>
          <t>CMR.NGDPPC.A</t>
        </is>
      </c>
      <c r="E583" s="3" t="inlineStr">
        <is>
          <t>Cameroon</t>
        </is>
      </c>
      <c r="F583" s="3" t="inlineStr">
        <is>
          <t>Gross domestic product (GDP), Current prices, Per capita, Domestic currency</t>
        </is>
      </c>
      <c r="G583" s="3" t="n">
        <v>503229.034833</v>
      </c>
      <c r="H583" s="3" t="n">
        <v>524008.777431</v>
      </c>
      <c r="I583" s="3" t="n">
        <v>547772.49872</v>
      </c>
      <c r="J583" s="3" t="n">
        <v>573078.572679</v>
      </c>
      <c r="K583" s="3" t="n">
        <v>597681.357173</v>
      </c>
      <c r="L583" s="3" t="n">
        <v>602458.409066</v>
      </c>
      <c r="M583" s="3" t="n">
        <v>622446.426498</v>
      </c>
      <c r="N583" s="3" t="n">
        <v>634511.549006</v>
      </c>
      <c r="O583" s="3" t="n">
        <v>665495.686567</v>
      </c>
      <c r="P583" s="3" t="n">
        <v>687282.119811</v>
      </c>
      <c r="Q583" s="3" t="n">
        <v>692012.832545</v>
      </c>
      <c r="R583" s="3" t="n">
        <v>713451.85603</v>
      </c>
      <c r="S583" s="3" t="n">
        <v>739846.547955</v>
      </c>
      <c r="T583" s="3" t="n">
        <v>778350.652233</v>
      </c>
      <c r="U583" s="3" t="n">
        <v>814424.764544</v>
      </c>
      <c r="V583" s="3" t="n">
        <v>836564.591711</v>
      </c>
      <c r="W583" s="3" t="n">
        <v>854371.451309</v>
      </c>
      <c r="X583" s="3" t="n">
        <v>868714.477064</v>
      </c>
      <c r="Y583" s="3" t="n">
        <v>895065.153191</v>
      </c>
      <c r="Z583" s="3" t="n">
        <v>911298.338691</v>
      </c>
      <c r="AA583" s="3" t="n">
        <v>895383.722849</v>
      </c>
      <c r="AB583" s="3" t="n">
        <v>927356.2177339999</v>
      </c>
      <c r="AC583" s="3" t="n">
        <v>1001058.47146</v>
      </c>
      <c r="AD583" s="3" t="n">
        <v>1043587.553058</v>
      </c>
      <c r="AE583" s="3" t="n">
        <v>1109617.896477</v>
      </c>
      <c r="AF583" s="3" t="n">
        <v>1152389.103509</v>
      </c>
      <c r="AG583" s="3" t="n">
        <v>1182304.087158</v>
      </c>
      <c r="AH583" s="3" t="n">
        <v>1217226.068967</v>
      </c>
      <c r="AI583" s="3" t="n">
        <v>1282282.306966</v>
      </c>
      <c r="AJ583" s="3" t="n">
        <v>1346191.740553</v>
      </c>
      <c r="AK583" s="3" t="n">
        <v>1419805.078872</v>
      </c>
      <c r="AL583" s="3" t="n">
        <v>1492021.873042</v>
      </c>
      <c r="AM583" s="3" t="n"/>
      <c r="AN583" s="3" t="n"/>
      <c r="AO583" s="3" t="n"/>
      <c r="AP583" s="3" t="n"/>
      <c r="AQ583" s="3" t="n"/>
      <c r="AR583" s="3" t="n"/>
      <c r="AS583" s="3" t="n"/>
      <c r="AT583" s="3" t="n"/>
      <c r="AU583" s="3" t="n"/>
    </row>
    <row r="584">
      <c r="A584" s="3" t="n">
        <v>2031</v>
      </c>
      <c r="B584" s="3" t="inlineStr">
        <is>
          <t>CMR</t>
        </is>
      </c>
      <c r="C584" s="3" t="inlineStr">
        <is>
          <t>IMF.RES:WEO</t>
        </is>
      </c>
      <c r="D584" s="3" t="inlineStr">
        <is>
          <t>CMR.NGDPRPC.A</t>
        </is>
      </c>
      <c r="E584" s="3" t="inlineStr">
        <is>
          <t>Cameroon</t>
        </is>
      </c>
      <c r="F584" s="3" t="inlineStr">
        <is>
          <t>Gross domestic product (GDP), Constant prices, Per capita, Domestic currency</t>
        </is>
      </c>
      <c r="G584" s="3" t="n">
        <v>685152.958796</v>
      </c>
      <c r="H584" s="3" t="n">
        <v>696251.89382</v>
      </c>
      <c r="I584" s="3" t="n">
        <v>708178.45459</v>
      </c>
      <c r="J584" s="3" t="n">
        <v>726703.096581</v>
      </c>
      <c r="K584" s="3" t="n">
        <v>756845.414396</v>
      </c>
      <c r="L584" s="3" t="n">
        <v>752679.675601</v>
      </c>
      <c r="M584" s="3" t="n">
        <v>760170.203552</v>
      </c>
      <c r="N584" s="3" t="n">
        <v>771120.927504</v>
      </c>
      <c r="O584" s="3" t="n">
        <v>770699.224257</v>
      </c>
      <c r="P584" s="3" t="n">
        <v>768245.865236</v>
      </c>
      <c r="Q584" s="3" t="n">
        <v>768246.893212</v>
      </c>
      <c r="R584" s="3" t="n">
        <v>772058.756453</v>
      </c>
      <c r="S584" s="3" t="n">
        <v>785367.5755480001</v>
      </c>
      <c r="T584" s="3" t="n">
        <v>801759.352827</v>
      </c>
      <c r="U584" s="3" t="n">
        <v>822354.418422</v>
      </c>
      <c r="V584" s="3" t="n">
        <v>842101.051281</v>
      </c>
      <c r="W584" s="3" t="n">
        <v>854371.451309</v>
      </c>
      <c r="X584" s="3" t="n">
        <v>859899.2954459999</v>
      </c>
      <c r="Y584" s="3" t="n">
        <v>869488.457883</v>
      </c>
      <c r="Z584" s="3" t="n">
        <v>875021.82492</v>
      </c>
      <c r="AA584" s="3" t="n">
        <v>853717.326605</v>
      </c>
      <c r="AB584" s="3" t="n">
        <v>859107.2720080001</v>
      </c>
      <c r="AC584" s="3" t="n">
        <v>868086.24619</v>
      </c>
      <c r="AD584" s="3" t="n">
        <v>873747.989939</v>
      </c>
      <c r="AE584" s="3" t="n">
        <v>881217.820238</v>
      </c>
      <c r="AF584" s="3" t="n">
        <v>885324.888716</v>
      </c>
      <c r="AG584" s="3" t="n">
        <v>892058.1300680001</v>
      </c>
      <c r="AH584" s="3" t="n">
        <v>902786.9125569999</v>
      </c>
      <c r="AI584" s="3" t="n">
        <v>917925.862848</v>
      </c>
      <c r="AJ584" s="3" t="n">
        <v>934284.294</v>
      </c>
      <c r="AK584" s="3" t="n">
        <v>952342.0884670001</v>
      </c>
      <c r="AL584" s="3" t="n">
        <v>972461.185706</v>
      </c>
      <c r="AM584" s="3" t="n"/>
      <c r="AN584" s="3" t="n"/>
      <c r="AO584" s="3" t="n"/>
      <c r="AP584" s="3" t="n"/>
      <c r="AQ584" s="3" t="n"/>
      <c r="AR584" s="3" t="n"/>
      <c r="AS584" s="3" t="n"/>
      <c r="AT584" s="3" t="n"/>
      <c r="AU584" s="3" t="n"/>
    </row>
    <row r="585">
      <c r="A585" s="3" t="n">
        <v>2031</v>
      </c>
      <c r="B585" s="3" t="inlineStr">
        <is>
          <t>CMR</t>
        </is>
      </c>
      <c r="C585" s="3" t="inlineStr">
        <is>
          <t>IMF.RES:WEO</t>
        </is>
      </c>
      <c r="D585" s="3" t="inlineStr">
        <is>
          <t>CMR.PCPI.A</t>
        </is>
      </c>
      <c r="E585" s="3" t="inlineStr">
        <is>
          <t>Cameroon</t>
        </is>
      </c>
      <c r="F585" s="3" t="inlineStr">
        <is>
          <t>All Items, Consumer price index (CPI), Period average</t>
        </is>
      </c>
      <c r="G585" s="3" t="n">
        <v>167.408333</v>
      </c>
      <c r="H585" s="3" t="n">
        <v>174.858333</v>
      </c>
      <c r="I585" s="3" t="n">
        <v>179.783333</v>
      </c>
      <c r="J585" s="3" t="n">
        <v>180.916667</v>
      </c>
      <c r="K585" s="3" t="n">
        <v>181.369136</v>
      </c>
      <c r="L585" s="3" t="n">
        <v>184.983333</v>
      </c>
      <c r="M585" s="3" t="n">
        <v>194.058333</v>
      </c>
      <c r="N585" s="3" t="n">
        <v>196.241667</v>
      </c>
      <c r="O585" s="3" t="n">
        <v>206.716667</v>
      </c>
      <c r="P585" s="3" t="n">
        <v>213</v>
      </c>
      <c r="Q585" s="3" t="n">
        <v>215.725</v>
      </c>
      <c r="R585" s="3" t="n">
        <v>222.1</v>
      </c>
      <c r="S585" s="3" t="n">
        <v>227.395873</v>
      </c>
      <c r="T585" s="3" t="n">
        <v>232.058277</v>
      </c>
      <c r="U585" s="3" t="n">
        <v>236.362723</v>
      </c>
      <c r="V585" s="3" t="n">
        <v>242.693555</v>
      </c>
      <c r="W585" s="3" t="n">
        <v>244.811775</v>
      </c>
      <c r="X585" s="3" t="n">
        <v>246.380344</v>
      </c>
      <c r="Y585" s="3" t="n">
        <v>249.001319</v>
      </c>
      <c r="Z585" s="3" t="n">
        <v>255.117611</v>
      </c>
      <c r="AA585" s="3" t="n">
        <v>261.369337</v>
      </c>
      <c r="AB585" s="3" t="n">
        <v>267.281397</v>
      </c>
      <c r="AC585" s="3" t="n">
        <v>283.992434</v>
      </c>
      <c r="AD585" s="3" t="n">
        <v>304.968741</v>
      </c>
      <c r="AE585" s="3" t="n">
        <v>318.717868</v>
      </c>
      <c r="AF585" s="3" t="n">
        <v>329.597047</v>
      </c>
      <c r="AG585" s="3" t="n">
        <v>341.158856</v>
      </c>
      <c r="AH585" s="3" t="n">
        <v>352.035712</v>
      </c>
      <c r="AI585" s="3" t="n">
        <v>362.51418</v>
      </c>
      <c r="AJ585" s="3" t="n">
        <v>373.056188</v>
      </c>
      <c r="AK585" s="3" t="n">
        <v>383.726143</v>
      </c>
      <c r="AL585" s="3" t="n">
        <v>394.57599</v>
      </c>
      <c r="AM585" s="3" t="n"/>
      <c r="AN585" s="3" t="n"/>
      <c r="AO585" s="3" t="n"/>
      <c r="AP585" s="3" t="n"/>
      <c r="AQ585" s="3" t="n"/>
      <c r="AR585" s="3" t="n"/>
      <c r="AS585" s="3" t="n"/>
      <c r="AT585" s="3" t="n"/>
      <c r="AU585" s="3" t="n"/>
    </row>
    <row r="586">
      <c r="A586" s="3" t="n">
        <v>2031</v>
      </c>
      <c r="B586" s="3" t="inlineStr">
        <is>
          <t>CMR</t>
        </is>
      </c>
      <c r="C586" s="3" t="inlineStr">
        <is>
          <t>IMF.RES:WEO</t>
        </is>
      </c>
      <c r="D586" s="3" t="inlineStr">
        <is>
          <t>CMR.PCPIPCH.A</t>
        </is>
      </c>
      <c r="E586" s="3" t="inlineStr">
        <is>
          <t>Cameroon</t>
        </is>
      </c>
      <c r="F586" s="3" t="inlineStr">
        <is>
          <t>All Items, Consumer price index (CPI), Period average, percent change</t>
        </is>
      </c>
      <c r="G586" s="3" t="n">
        <v>1.244834</v>
      </c>
      <c r="H586" s="3" t="n">
        <v>4.450197</v>
      </c>
      <c r="I586" s="3" t="n">
        <v>2.816566</v>
      </c>
      <c r="J586" s="3" t="n">
        <v>0.6303879999999999</v>
      </c>
      <c r="K586" s="3" t="n">
        <v>0.250098</v>
      </c>
      <c r="L586" s="3" t="n">
        <v>1.99273</v>
      </c>
      <c r="M586" s="3" t="n">
        <v>4.905847</v>
      </c>
      <c r="N586" s="3" t="n">
        <v>1.125091</v>
      </c>
      <c r="O586" s="3" t="n">
        <v>5.337806</v>
      </c>
      <c r="P586" s="3" t="n">
        <v>3.039587</v>
      </c>
      <c r="Q586" s="3" t="n">
        <v>1.279343</v>
      </c>
      <c r="R586" s="3" t="n">
        <v>2.955151</v>
      </c>
      <c r="S586" s="3" t="n">
        <v>2.384454</v>
      </c>
      <c r="T586" s="3" t="n">
        <v>2.050347</v>
      </c>
      <c r="U586" s="3" t="n">
        <v>1.854899</v>
      </c>
      <c r="V586" s="3" t="n">
        <v>2.678439</v>
      </c>
      <c r="W586" s="3" t="n">
        <v>0.872796</v>
      </c>
      <c r="X586" s="3" t="n">
        <v>0.640724</v>
      </c>
      <c r="Y586" s="3" t="n">
        <v>1.063792</v>
      </c>
      <c r="Z586" s="3" t="n">
        <v>2.456329</v>
      </c>
      <c r="AA586" s="3" t="n">
        <v>2.450527</v>
      </c>
      <c r="AB586" s="3" t="n">
        <v>2.261956</v>
      </c>
      <c r="AC586" s="3" t="n">
        <v>6.252226</v>
      </c>
      <c r="AD586" s="3" t="n">
        <v>7.386221</v>
      </c>
      <c r="AE586" s="3" t="n">
        <v>4.508372</v>
      </c>
      <c r="AF586" s="3" t="n">
        <v>3.41342</v>
      </c>
      <c r="AG586" s="3" t="n">
        <v>3.507862</v>
      </c>
      <c r="AH586" s="3" t="n">
        <v>3.188209</v>
      </c>
      <c r="AI586" s="3" t="n">
        <v>2.976536</v>
      </c>
      <c r="AJ586" s="3" t="n">
        <v>2.908026</v>
      </c>
      <c r="AK586" s="3" t="n">
        <v>2.860147</v>
      </c>
      <c r="AL586" s="3" t="n">
        <v>2.827497</v>
      </c>
      <c r="AM586" s="3" t="n"/>
      <c r="AN586" s="3" t="n"/>
      <c r="AO586" s="3" t="n"/>
      <c r="AP586" s="3" t="n"/>
      <c r="AQ586" s="3" t="n"/>
      <c r="AR586" s="3" t="n"/>
      <c r="AS586" s="3" t="n"/>
      <c r="AT586" s="3" t="n"/>
      <c r="AU586" s="3" t="n"/>
    </row>
    <row r="587">
      <c r="A587" s="3" t="n">
        <v>2031</v>
      </c>
      <c r="B587" s="3" t="inlineStr">
        <is>
          <t>CMR</t>
        </is>
      </c>
      <c r="C587" s="3" t="inlineStr">
        <is>
          <t>IMF.RES:WEO</t>
        </is>
      </c>
      <c r="D587" s="3" t="inlineStr">
        <is>
          <t>CMR.PPPPC.A</t>
        </is>
      </c>
      <c r="E587" s="3" t="inlineStr">
        <is>
          <t>Cameroon</t>
        </is>
      </c>
      <c r="F587" s="3" t="inlineStr">
        <is>
          <t>Gross domestic product (GDP), Per capita, purchasing power parity (PPP) international dollar, ICP benchmarks 2017-2021</t>
        </is>
      </c>
      <c r="G587" s="3" t="n">
        <v>2182.994664</v>
      </c>
      <c r="H587" s="3" t="n">
        <v>2268.306436</v>
      </c>
      <c r="I587" s="3" t="n">
        <v>2343.015881</v>
      </c>
      <c r="J587" s="3" t="n">
        <v>2451.771018</v>
      </c>
      <c r="K587" s="3" t="n">
        <v>2622.125671</v>
      </c>
      <c r="L587" s="3" t="n">
        <v>2689.465868</v>
      </c>
      <c r="M587" s="3" t="n">
        <v>2799.996293</v>
      </c>
      <c r="N587" s="3" t="n">
        <v>2917.284244</v>
      </c>
      <c r="O587" s="3" t="n">
        <v>2971.857026</v>
      </c>
      <c r="P587" s="3" t="n">
        <v>2980.667087</v>
      </c>
      <c r="Q587" s="3" t="n">
        <v>3016.897394</v>
      </c>
      <c r="R587" s="3" t="n">
        <v>3094.421477</v>
      </c>
      <c r="S587" s="3" t="n">
        <v>3206.372614</v>
      </c>
      <c r="T587" s="3" t="n">
        <v>3329.00596</v>
      </c>
      <c r="U587" s="3" t="n">
        <v>3473.99046</v>
      </c>
      <c r="V587" s="3" t="n">
        <v>3590.42366</v>
      </c>
      <c r="W587" s="3" t="n">
        <v>3677.354521</v>
      </c>
      <c r="X587" s="3" t="n">
        <v>3767.430729</v>
      </c>
      <c r="Y587" s="3" t="n">
        <v>4010.763601</v>
      </c>
      <c r="Z587" s="3" t="n">
        <v>4241.111749</v>
      </c>
      <c r="AA587" s="3" t="n">
        <v>4365.447041</v>
      </c>
      <c r="AB587" s="3" t="n">
        <v>4793.555425</v>
      </c>
      <c r="AC587" s="3" t="n">
        <v>5188.156173</v>
      </c>
      <c r="AD587" s="3" t="n">
        <v>5415.209352</v>
      </c>
      <c r="AE587" s="3" t="n">
        <v>5597.089268</v>
      </c>
      <c r="AF587" s="3" t="n">
        <v>5782.691833</v>
      </c>
      <c r="AG587" s="3" t="n">
        <v>5993.596907</v>
      </c>
      <c r="AH587" s="3" t="n">
        <v>6198.878325</v>
      </c>
      <c r="AI587" s="3" t="n">
        <v>6406.282139</v>
      </c>
      <c r="AJ587" s="3" t="n">
        <v>6636.389673</v>
      </c>
      <c r="AK587" s="3" t="n">
        <v>6888.959837</v>
      </c>
      <c r="AL587" s="3" t="n">
        <v>7161.489283</v>
      </c>
      <c r="AM587" s="3" t="n"/>
      <c r="AN587" s="3" t="n"/>
      <c r="AO587" s="3" t="n"/>
      <c r="AP587" s="3" t="n"/>
      <c r="AQ587" s="3" t="n"/>
      <c r="AR587" s="3" t="n"/>
      <c r="AS587" s="3" t="n"/>
      <c r="AT587" s="3" t="n"/>
      <c r="AU587" s="3" t="n"/>
    </row>
    <row r="588">
      <c r="A588" s="3" t="n">
        <v>2025</v>
      </c>
      <c r="B588" s="3" t="inlineStr">
        <is>
          <t>CMR</t>
        </is>
      </c>
      <c r="C588" s="3" t="inlineStr">
        <is>
          <t>IMF.STA:ER</t>
        </is>
      </c>
      <c r="D588" s="3" t="inlineStr">
        <is>
          <t>CMR.XDC_USD.PA_RT.A</t>
        </is>
      </c>
      <c r="E588" s="3" t="inlineStr">
        <is>
          <t>Cameroon</t>
        </is>
      </c>
      <c r="F588" s="3" t="inlineStr">
        <is>
          <t>Domestic currency per US Dollar</t>
        </is>
      </c>
      <c r="G588" s="3" t="n">
        <v>710.207977031367</v>
      </c>
      <c r="H588" s="3" t="n">
        <v>732.397693260228</v>
      </c>
      <c r="I588" s="3" t="n">
        <v>693.713226496374</v>
      </c>
      <c r="J588" s="3" t="n">
        <v>579.897426172466</v>
      </c>
      <c r="K588" s="3" t="n">
        <v>527.338032291576</v>
      </c>
      <c r="L588" s="3" t="n">
        <v>527.258362649626</v>
      </c>
      <c r="M588" s="3" t="n">
        <v>522.425624895176</v>
      </c>
      <c r="N588" s="3" t="n">
        <v>478.633718476363</v>
      </c>
      <c r="O588" s="3" t="n">
        <v>446.000041432788</v>
      </c>
      <c r="P588" s="3" t="n">
        <v>470.293423341398</v>
      </c>
      <c r="Q588" s="3" t="n">
        <v>494.794262222947</v>
      </c>
      <c r="R588" s="3" t="n">
        <v>471.248625718937</v>
      </c>
      <c r="S588" s="3" t="n">
        <v>510.556338454251</v>
      </c>
      <c r="T588" s="3" t="n">
        <v>493.899623852237</v>
      </c>
      <c r="U588" s="3" t="n">
        <v>493.757329875312</v>
      </c>
      <c r="V588" s="3" t="n">
        <v>591.21169798261</v>
      </c>
      <c r="W588" s="3" t="n">
        <v>592.605615063022</v>
      </c>
      <c r="X588" s="3" t="n">
        <v>580.656749587858</v>
      </c>
      <c r="Y588" s="3" t="n">
        <v>555.446458398226</v>
      </c>
      <c r="Z588" s="3" t="n">
        <v>585.911013180369</v>
      </c>
      <c r="AA588" s="3" t="n">
        <v>575.586004510945</v>
      </c>
      <c r="AB588" s="3" t="n">
        <v>554.530675033104</v>
      </c>
      <c r="AC588" s="3" t="n">
        <v>623.759700911182</v>
      </c>
      <c r="AD588" s="3" t="n">
        <v>606.569750165917</v>
      </c>
      <c r="AE588" s="3" t="n">
        <v>606.345297609062</v>
      </c>
      <c r="AF588" s="3" t="n">
        <v>581.928481040339</v>
      </c>
      <c r="AG588" s="3" t="n"/>
      <c r="AH588" s="3" t="n"/>
      <c r="AI588" s="3" t="n"/>
      <c r="AJ588" s="3" t="n"/>
      <c r="AK588" s="3" t="n"/>
      <c r="AL588" s="3" t="n"/>
      <c r="AM588" s="3" t="n"/>
      <c r="AN588" s="3" t="n"/>
      <c r="AO588" s="3" t="n"/>
      <c r="AP588" s="3" t="n"/>
      <c r="AQ588" s="3" t="n"/>
      <c r="AR588" s="3" t="n"/>
      <c r="AS588" s="3" t="n"/>
      <c r="AT588" s="3" t="n"/>
      <c r="AU588" s="3" t="n"/>
    </row>
    <row r="589">
      <c r="A589" s="3" t="n">
        <v>2031</v>
      </c>
      <c r="B589" s="3" t="inlineStr">
        <is>
          <t>COD</t>
        </is>
      </c>
      <c r="C589" s="3" t="inlineStr">
        <is>
          <t>IMF.RES:WEO</t>
        </is>
      </c>
      <c r="D589" s="3" t="inlineStr">
        <is>
          <t>COD.BCA.A</t>
        </is>
      </c>
      <c r="E589" s="3" t="inlineStr">
        <is>
          <t>Congo, Democratic Republic of the</t>
        </is>
      </c>
      <c r="F589" s="3" t="inlineStr">
        <is>
          <t>Current account balance (credit less debit), US dollar</t>
        </is>
      </c>
      <c r="G589" s="3" t="n">
        <v>0.195876</v>
      </c>
      <c r="H589" s="3" t="n">
        <v>0.275966</v>
      </c>
      <c r="I589" s="3" t="n">
        <v>0.418307</v>
      </c>
      <c r="J589" s="3" t="n">
        <v>0.479974</v>
      </c>
      <c r="K589" s="3" t="n">
        <v>0.209785</v>
      </c>
      <c r="L589" s="3" t="n">
        <v>0.126168</v>
      </c>
      <c r="M589" s="3" t="n">
        <v>0.05149</v>
      </c>
      <c r="N589" s="3" t="n">
        <v>0.526237</v>
      </c>
      <c r="O589" s="3" t="n">
        <v>-0.140979</v>
      </c>
      <c r="P589" s="3" t="n">
        <v>-1.101703</v>
      </c>
      <c r="Q589" s="3" t="n">
        <v>-2.171255</v>
      </c>
      <c r="R589" s="3" t="n">
        <v>-1.281134</v>
      </c>
      <c r="S589" s="3" t="n">
        <v>-1.262494</v>
      </c>
      <c r="T589" s="3" t="n">
        <v>-3.109513</v>
      </c>
      <c r="U589" s="3" t="n">
        <v>-1.722817</v>
      </c>
      <c r="V589" s="3" t="n">
        <v>-1.481624</v>
      </c>
      <c r="W589" s="3" t="n">
        <v>-1.474428</v>
      </c>
      <c r="X589" s="3" t="n">
        <v>-1.241424</v>
      </c>
      <c r="Y589" s="3" t="n">
        <v>-1.672322</v>
      </c>
      <c r="Z589" s="3" t="n">
        <v>-1.620271</v>
      </c>
      <c r="AA589" s="3" t="n">
        <v>-1.052132</v>
      </c>
      <c r="AB589" s="3" t="n">
        <v>-0.587407</v>
      </c>
      <c r="AC589" s="3" t="n">
        <v>-2.5819</v>
      </c>
      <c r="AD589" s="3" t="n">
        <v>-3.6776</v>
      </c>
      <c r="AE589" s="3" t="n">
        <v>-3.187</v>
      </c>
      <c r="AF589" s="3" t="n">
        <v>-3.469698</v>
      </c>
      <c r="AG589" s="3" t="n">
        <v>-2.44023</v>
      </c>
      <c r="AH589" s="3" t="n">
        <v>-2.1284</v>
      </c>
      <c r="AI589" s="3" t="n">
        <v>-1.942795</v>
      </c>
      <c r="AJ589" s="3" t="n">
        <v>-1.821165</v>
      </c>
      <c r="AK589" s="3" t="n">
        <v>-2.065239</v>
      </c>
      <c r="AL589" s="3" t="n">
        <v>-2.930079</v>
      </c>
      <c r="AM589" s="3" t="n"/>
      <c r="AN589" s="3" t="n"/>
      <c r="AO589" s="3" t="n"/>
      <c r="AP589" s="3" t="n"/>
      <c r="AQ589" s="3" t="n"/>
      <c r="AR589" s="3" t="n"/>
      <c r="AS589" s="3" t="n"/>
      <c r="AT589" s="3" t="n"/>
      <c r="AU589" s="3" t="n"/>
    </row>
    <row r="590">
      <c r="A590" s="3" t="n">
        <v>2031</v>
      </c>
      <c r="B590" s="3" t="inlineStr">
        <is>
          <t>COD</t>
        </is>
      </c>
      <c r="C590" s="3" t="inlineStr">
        <is>
          <t>IMF.RES:WEO</t>
        </is>
      </c>
      <c r="D590" s="3" t="inlineStr">
        <is>
          <t>COD.BCA_NGDPD.A</t>
        </is>
      </c>
      <c r="E590" s="3" t="inlineStr">
        <is>
          <t>Congo, Democratic Republic of the</t>
        </is>
      </c>
      <c r="F590" s="3" t="inlineStr">
        <is>
          <t>Current account balance (credit less debit), Percent of GDP</t>
        </is>
      </c>
      <c r="G590" s="3" t="n">
        <v>1.026793</v>
      </c>
      <c r="H590" s="3" t="n">
        <v>3.808347</v>
      </c>
      <c r="I590" s="3" t="n">
        <v>4.797115</v>
      </c>
      <c r="J590" s="3" t="n">
        <v>5.320305</v>
      </c>
      <c r="K590" s="3" t="n">
        <v>2.041723</v>
      </c>
      <c r="L590" s="3" t="n">
        <v>0.9919</v>
      </c>
      <c r="M590" s="3" t="n">
        <v>0.334289</v>
      </c>
      <c r="N590" s="3" t="n">
        <v>2.829566</v>
      </c>
      <c r="O590" s="3" t="n">
        <v>-0.6220020000000001</v>
      </c>
      <c r="P590" s="3" t="n">
        <v>-5.914724</v>
      </c>
      <c r="Q590" s="3" t="n">
        <v>-9.719063999999999</v>
      </c>
      <c r="R590" s="3" t="n">
        <v>-4.851673</v>
      </c>
      <c r="S590" s="3" t="n">
        <v>-4.197965</v>
      </c>
      <c r="T590" s="3" t="n">
        <v>-8.907771</v>
      </c>
      <c r="U590" s="3" t="n">
        <v>-4.491732</v>
      </c>
      <c r="V590" s="3" t="n">
        <v>-3.689852</v>
      </c>
      <c r="W590" s="3" t="n">
        <v>-3.871361</v>
      </c>
      <c r="X590" s="3" t="n">
        <v>-3.310524</v>
      </c>
      <c r="Y590" s="3" t="n">
        <v>-3.584041</v>
      </c>
      <c r="Z590" s="3" t="n">
        <v>-3.458856</v>
      </c>
      <c r="AA590" s="3" t="n">
        <v>-2.253828</v>
      </c>
      <c r="AB590" s="3" t="n">
        <v>-0.994452</v>
      </c>
      <c r="AC590" s="3" t="n">
        <v>-3.666308</v>
      </c>
      <c r="AD590" s="3" t="n">
        <v>-5.265475</v>
      </c>
      <c r="AE590" s="3" t="n">
        <v>-4.153472</v>
      </c>
      <c r="AF590" s="3" t="n">
        <v>-3.737561</v>
      </c>
      <c r="AG590" s="3" t="n">
        <v>-1.977396</v>
      </c>
      <c r="AH590" s="3" t="n">
        <v>-1.605671</v>
      </c>
      <c r="AI590" s="3" t="n">
        <v>-1.364786</v>
      </c>
      <c r="AJ590" s="3" t="n">
        <v>-1.1937</v>
      </c>
      <c r="AK590" s="3" t="n">
        <v>-1.262153</v>
      </c>
      <c r="AL590" s="3" t="n">
        <v>-1.670377</v>
      </c>
      <c r="AM590" s="3" t="n"/>
      <c r="AN590" s="3" t="n"/>
      <c r="AO590" s="3" t="n"/>
      <c r="AP590" s="3" t="n"/>
      <c r="AQ590" s="3" t="n"/>
      <c r="AR590" s="3" t="n"/>
      <c r="AS590" s="3" t="n"/>
      <c r="AT590" s="3" t="n"/>
      <c r="AU590" s="3" t="n"/>
    </row>
    <row r="591">
      <c r="A591" s="3" t="n">
        <v>2031</v>
      </c>
      <c r="B591" s="3" t="inlineStr">
        <is>
          <t>COD</t>
        </is>
      </c>
      <c r="C591" s="3" t="inlineStr">
        <is>
          <t>IMF.RES:WEO</t>
        </is>
      </c>
      <c r="D591" s="3" t="inlineStr">
        <is>
          <t>COD.GGR_NGDP.A</t>
        </is>
      </c>
      <c r="E591" s="3" t="inlineStr">
        <is>
          <t>Congo, Democratic Republic of the</t>
        </is>
      </c>
      <c r="F591" s="3" t="inlineStr">
        <is>
          <t>Revenue, General government, Percent of GDP</t>
        </is>
      </c>
      <c r="G591" s="3" t="n">
        <v>0.636877</v>
      </c>
      <c r="H591" s="3" t="n">
        <v>3.029522</v>
      </c>
      <c r="I591" s="3" t="n">
        <v>5.062263</v>
      </c>
      <c r="J591" s="3" t="n">
        <v>4.944074</v>
      </c>
      <c r="K591" s="3" t="n">
        <v>7.017375</v>
      </c>
      <c r="L591" s="3" t="n">
        <v>8.886480000000001</v>
      </c>
      <c r="M591" s="3" t="n">
        <v>9.439214</v>
      </c>
      <c r="N591" s="3" t="n">
        <v>9.191204000000001</v>
      </c>
      <c r="O591" s="3" t="n">
        <v>9.654505</v>
      </c>
      <c r="P591" s="3" t="n">
        <v>13.30038</v>
      </c>
      <c r="Q591" s="3" t="n">
        <v>14.402878</v>
      </c>
      <c r="R591" s="3" t="n">
        <v>12.748623</v>
      </c>
      <c r="S591" s="3" t="n">
        <v>15.11833</v>
      </c>
      <c r="T591" s="3" t="n">
        <v>15.221017</v>
      </c>
      <c r="U591" s="3" t="n">
        <v>17.415414</v>
      </c>
      <c r="V591" s="3" t="n">
        <v>14.691513</v>
      </c>
      <c r="W591" s="3" t="n">
        <v>13.398731</v>
      </c>
      <c r="X591" s="3" t="n">
        <v>11.152937</v>
      </c>
      <c r="Y591" s="3" t="n">
        <v>10.872542</v>
      </c>
      <c r="Z591" s="3" t="n">
        <v>11.742263</v>
      </c>
      <c r="AA591" s="3" t="n">
        <v>9.959073999999999</v>
      </c>
      <c r="AB591" s="3" t="n">
        <v>11.878542</v>
      </c>
      <c r="AC591" s="3" t="n">
        <v>16.230455</v>
      </c>
      <c r="AD591" s="3" t="n">
        <v>14.30444</v>
      </c>
      <c r="AE591" s="3" t="n">
        <v>14.804146</v>
      </c>
      <c r="AF591" s="3" t="n">
        <v>14.43387</v>
      </c>
      <c r="AG591" s="3" t="n">
        <v>14.590453</v>
      </c>
      <c r="AH591" s="3" t="n">
        <v>14.999921</v>
      </c>
      <c r="AI591" s="3" t="n">
        <v>15.200447</v>
      </c>
      <c r="AJ591" s="3" t="n">
        <v>15.064217</v>
      </c>
      <c r="AK591" s="3" t="n">
        <v>14.965204</v>
      </c>
      <c r="AL591" s="3" t="n">
        <v>14.87308</v>
      </c>
      <c r="AM591" s="3" t="n"/>
      <c r="AN591" s="3" t="n"/>
      <c r="AO591" s="3" t="n"/>
      <c r="AP591" s="3" t="n"/>
      <c r="AQ591" s="3" t="n"/>
      <c r="AR591" s="3" t="n"/>
      <c r="AS591" s="3" t="n"/>
      <c r="AT591" s="3" t="n"/>
      <c r="AU591" s="3" t="n"/>
    </row>
    <row r="592">
      <c r="A592" s="3" t="n">
        <v>2031</v>
      </c>
      <c r="B592" s="3" t="inlineStr">
        <is>
          <t>COD</t>
        </is>
      </c>
      <c r="C592" s="3" t="inlineStr">
        <is>
          <t>IMF.RES:WEO</t>
        </is>
      </c>
      <c r="D592" s="3" t="inlineStr">
        <is>
          <t>COD.GGX_NGDP.A</t>
        </is>
      </c>
      <c r="E592" s="3" t="inlineStr">
        <is>
          <t>Congo, Democratic Republic of the</t>
        </is>
      </c>
      <c r="F592" s="3" t="inlineStr">
        <is>
          <t>Expenditure, General government, Percent of GDP</t>
        </is>
      </c>
      <c r="G592" s="3" t="n">
        <v>2.489422</v>
      </c>
      <c r="H592" s="3" t="n">
        <v>4.156432</v>
      </c>
      <c r="I592" s="3" t="n">
        <v>4.168489</v>
      </c>
      <c r="J592" s="3" t="n">
        <v>8.866898000000001</v>
      </c>
      <c r="K592" s="3" t="n">
        <v>7.184364</v>
      </c>
      <c r="L592" s="3" t="n">
        <v>7.504028</v>
      </c>
      <c r="M592" s="3" t="n">
        <v>7.347038</v>
      </c>
      <c r="N592" s="3" t="n">
        <v>7.983438</v>
      </c>
      <c r="O592" s="3" t="n">
        <v>9.936199999999999</v>
      </c>
      <c r="P592" s="3" t="n">
        <v>12.264283</v>
      </c>
      <c r="Q592" s="3" t="n">
        <v>15.20568</v>
      </c>
      <c r="R592" s="3" t="n">
        <v>13.454498</v>
      </c>
      <c r="S592" s="3" t="n">
        <v>13.192507</v>
      </c>
      <c r="T592" s="3" t="n">
        <v>11.724497</v>
      </c>
      <c r="U592" s="3" t="n">
        <v>13.543982</v>
      </c>
      <c r="V592" s="3" t="n">
        <v>15.890746</v>
      </c>
      <c r="W592" s="3" t="n">
        <v>14.307468</v>
      </c>
      <c r="X592" s="3" t="n">
        <v>11.167321</v>
      </c>
      <c r="Y592" s="3" t="n">
        <v>12.221278</v>
      </c>
      <c r="Z592" s="3" t="n">
        <v>15.154278</v>
      </c>
      <c r="AA592" s="3" t="n">
        <v>13.44785</v>
      </c>
      <c r="AB592" s="3" t="n">
        <v>13.457481</v>
      </c>
      <c r="AC592" s="3" t="n">
        <v>17.098272</v>
      </c>
      <c r="AD592" s="3" t="n">
        <v>15.898576</v>
      </c>
      <c r="AE592" s="3" t="n">
        <v>16.464813</v>
      </c>
      <c r="AF592" s="3" t="n">
        <v>17.186297</v>
      </c>
      <c r="AG592" s="3" t="n">
        <v>18.045684</v>
      </c>
      <c r="AH592" s="3" t="n">
        <v>17.387573</v>
      </c>
      <c r="AI592" s="3" t="n">
        <v>16.697475</v>
      </c>
      <c r="AJ592" s="3" t="n">
        <v>16.521393</v>
      </c>
      <c r="AK592" s="3" t="n">
        <v>16.23869</v>
      </c>
      <c r="AL592" s="3" t="n">
        <v>16.02401</v>
      </c>
      <c r="AM592" s="3" t="n"/>
      <c r="AN592" s="3" t="n"/>
      <c r="AO592" s="3" t="n"/>
      <c r="AP592" s="3" t="n"/>
      <c r="AQ592" s="3" t="n"/>
      <c r="AR592" s="3" t="n"/>
      <c r="AS592" s="3" t="n"/>
      <c r="AT592" s="3" t="n"/>
      <c r="AU592" s="3" t="n"/>
    </row>
    <row r="593">
      <c r="A593" s="3" t="n">
        <v>2031</v>
      </c>
      <c r="B593" s="3" t="inlineStr">
        <is>
          <t>COD</t>
        </is>
      </c>
      <c r="C593" s="3" t="inlineStr">
        <is>
          <t>IMF.RES:WEO</t>
        </is>
      </c>
      <c r="D593" s="3" t="inlineStr">
        <is>
          <t>COD.LP.A</t>
        </is>
      </c>
      <c r="E593" s="3" t="inlineStr">
        <is>
          <t>Congo, Democratic Republic of the</t>
        </is>
      </c>
      <c r="F593" s="3" t="inlineStr">
        <is>
          <t>Population, Persons for countries / Index for country groups</t>
        </is>
      </c>
      <c r="G593" s="3" t="n">
        <v>48.048664</v>
      </c>
      <c r="H593" s="3" t="n">
        <v>49.449015</v>
      </c>
      <c r="I593" s="3" t="n">
        <v>50.971407</v>
      </c>
      <c r="J593" s="3" t="n">
        <v>52.602208</v>
      </c>
      <c r="K593" s="3" t="n">
        <v>54.314855</v>
      </c>
      <c r="L593" s="3" t="n">
        <v>56.089536</v>
      </c>
      <c r="M593" s="3" t="n">
        <v>57.92684</v>
      </c>
      <c r="N593" s="3" t="n">
        <v>59.834875</v>
      </c>
      <c r="O593" s="3" t="n">
        <v>61.809278</v>
      </c>
      <c r="P593" s="3" t="n">
        <v>63.845097</v>
      </c>
      <c r="Q593" s="3" t="n">
        <v>65.938712</v>
      </c>
      <c r="R593" s="3" t="n">
        <v>68.08737600000001</v>
      </c>
      <c r="S593" s="3" t="n">
        <v>70.29116</v>
      </c>
      <c r="T593" s="3" t="n">
        <v>72.55286099999999</v>
      </c>
      <c r="U593" s="3" t="n">
        <v>74.87703</v>
      </c>
      <c r="V593" s="3" t="n">
        <v>77.266814</v>
      </c>
      <c r="W593" s="3" t="n">
        <v>79.800555</v>
      </c>
      <c r="X593" s="3" t="n">
        <v>82.417383</v>
      </c>
      <c r="Y593" s="3" t="n">
        <v>85.120023</v>
      </c>
      <c r="Z593" s="3" t="n">
        <v>87.911287</v>
      </c>
      <c r="AA593" s="3" t="n">
        <v>90.794083</v>
      </c>
      <c r="AB593" s="3" t="n">
        <v>93.750709</v>
      </c>
      <c r="AC593" s="3" t="n">
        <v>96.80070000000001</v>
      </c>
      <c r="AD593" s="3" t="n">
        <v>99.94782600000001</v>
      </c>
      <c r="AE593" s="3" t="n">
        <v>103.196651</v>
      </c>
      <c r="AF593" s="3" t="n">
        <v>106.552267</v>
      </c>
      <c r="AG593" s="3" t="n">
        <v>110.020021</v>
      </c>
      <c r="AH593" s="3" t="n">
        <v>113.605318</v>
      </c>
      <c r="AI593" s="3" t="n">
        <v>117.313809</v>
      </c>
      <c r="AJ593" s="3" t="n">
        <v>121.141908</v>
      </c>
      <c r="AK593" s="3" t="n">
        <v>125.093298</v>
      </c>
      <c r="AL593" s="3" t="n">
        <v>129.171758</v>
      </c>
      <c r="AM593" s="3" t="n"/>
      <c r="AN593" s="3" t="n"/>
      <c r="AO593" s="3" t="n"/>
      <c r="AP593" s="3" t="n"/>
      <c r="AQ593" s="3" t="n"/>
      <c r="AR593" s="3" t="n"/>
      <c r="AS593" s="3" t="n"/>
      <c r="AT593" s="3" t="n"/>
      <c r="AU593" s="3" t="n"/>
    </row>
    <row r="594">
      <c r="A594" s="3" t="n">
        <v>2031</v>
      </c>
      <c r="B594" s="3" t="inlineStr">
        <is>
          <t>COD</t>
        </is>
      </c>
      <c r="C594" s="3" t="inlineStr">
        <is>
          <t>IMF.RES:WEO</t>
        </is>
      </c>
      <c r="D594" s="3" t="inlineStr">
        <is>
          <t>COD.NGDP.A</t>
        </is>
      </c>
      <c r="E594" s="3" t="inlineStr">
        <is>
          <t>Congo, Democratic Republic of the</t>
        </is>
      </c>
      <c r="F594" s="3" t="inlineStr">
        <is>
          <t>Gross domestic product (GDP), Current prices, Domestic currency</t>
        </is>
      </c>
      <c r="G594" s="3" t="n">
        <v>1317.075195</v>
      </c>
      <c r="H594" s="3" t="n">
        <v>2231.454684</v>
      </c>
      <c r="I594" s="3" t="n">
        <v>3025.871419</v>
      </c>
      <c r="J594" s="3" t="n">
        <v>3623.250487</v>
      </c>
      <c r="K594" s="3" t="n">
        <v>4113.633071</v>
      </c>
      <c r="L594" s="3" t="n">
        <v>5975.85135</v>
      </c>
      <c r="M594" s="3" t="n">
        <v>7250.850181</v>
      </c>
      <c r="N594" s="3" t="n">
        <v>9587.237805999999</v>
      </c>
      <c r="O594" s="3" t="n">
        <v>12832.332629</v>
      </c>
      <c r="P594" s="3" t="n">
        <v>15208.344979</v>
      </c>
      <c r="Q594" s="3" t="n">
        <v>20261.584237</v>
      </c>
      <c r="R594" s="3" t="n">
        <v>24267.563467</v>
      </c>
      <c r="S594" s="3" t="n">
        <v>27619.663649</v>
      </c>
      <c r="T594" s="3" t="n">
        <v>32084.748006</v>
      </c>
      <c r="U594" s="3" t="n">
        <v>35485.185639</v>
      </c>
      <c r="V594" s="3" t="n">
        <v>37185.001181</v>
      </c>
      <c r="W594" s="3" t="n">
        <v>38997.912945</v>
      </c>
      <c r="X594" s="3" t="n">
        <v>54970.619703</v>
      </c>
      <c r="Y594" s="3" t="n">
        <v>75706.87211700001</v>
      </c>
      <c r="Z594" s="3" t="n">
        <v>77190.80671</v>
      </c>
      <c r="AA594" s="3" t="n">
        <v>86432.57701199999</v>
      </c>
      <c r="AB594" s="3" t="n">
        <v>117555.719709</v>
      </c>
      <c r="AC594" s="3" t="n">
        <v>141337.648707</v>
      </c>
      <c r="AD594" s="3" t="n">
        <v>170711.30007</v>
      </c>
      <c r="AE594" s="3" t="n">
        <v>216584.520888</v>
      </c>
      <c r="AF594" s="3" t="n">
        <v>248489.372782</v>
      </c>
      <c r="AG594" s="3" t="n">
        <v>277472.463681</v>
      </c>
      <c r="AH594" s="3" t="n">
        <v>310902.727451</v>
      </c>
      <c r="AI594" s="3" t="n">
        <v>350089.998549</v>
      </c>
      <c r="AJ594" s="3" t="n">
        <v>393436.288531</v>
      </c>
      <c r="AK594" s="3" t="n">
        <v>442468.295044</v>
      </c>
      <c r="AL594" s="3" t="n">
        <v>497383.903249</v>
      </c>
      <c r="AM594" s="3" t="n"/>
      <c r="AN594" s="3" t="n"/>
      <c r="AO594" s="3" t="n"/>
      <c r="AP594" s="3" t="n"/>
      <c r="AQ594" s="3" t="n"/>
      <c r="AR594" s="3" t="n"/>
      <c r="AS594" s="3" t="n"/>
      <c r="AT594" s="3" t="n"/>
      <c r="AU594" s="3" t="n"/>
    </row>
    <row r="595">
      <c r="A595" s="3" t="n">
        <v>2031</v>
      </c>
      <c r="B595" s="3" t="inlineStr">
        <is>
          <t>COD</t>
        </is>
      </c>
      <c r="C595" s="3" t="inlineStr">
        <is>
          <t>IMF.RES:WEO</t>
        </is>
      </c>
      <c r="D595" s="3" t="inlineStr">
        <is>
          <t>COD.NGDP_D.A</t>
        </is>
      </c>
      <c r="E595" s="3" t="inlineStr">
        <is>
          <t>Congo, Democratic Republic of the</t>
        </is>
      </c>
      <c r="F595" s="3" t="inlineStr">
        <is>
          <t>Gross domestic product (GDP), Price deflator, Index</t>
        </is>
      </c>
      <c r="G595" s="3" t="n">
        <v>28.001023</v>
      </c>
      <c r="H595" s="3" t="n">
        <v>48.458446</v>
      </c>
      <c r="I595" s="3" t="n">
        <v>63.828547</v>
      </c>
      <c r="J595" s="3" t="n">
        <v>71.675893</v>
      </c>
      <c r="K595" s="3" t="n">
        <v>75.586208</v>
      </c>
      <c r="L595" s="3" t="n">
        <v>100</v>
      </c>
      <c r="M595" s="3" t="n">
        <v>115.43818</v>
      </c>
      <c r="N595" s="3" t="n">
        <v>140.638595</v>
      </c>
      <c r="O595" s="3" t="n">
        <v>175.269108</v>
      </c>
      <c r="P595" s="3" t="n">
        <v>206.553608</v>
      </c>
      <c r="Q595" s="3" t="n">
        <v>255.171542</v>
      </c>
      <c r="R595" s="3" t="n">
        <v>284.053219</v>
      </c>
      <c r="S595" s="3" t="n">
        <v>297.500623</v>
      </c>
      <c r="T595" s="3" t="n">
        <v>315.253957</v>
      </c>
      <c r="U595" s="3" t="n">
        <v>324.937665</v>
      </c>
      <c r="V595" s="3" t="n">
        <v>320.142635</v>
      </c>
      <c r="W595" s="3" t="n">
        <v>334.43371</v>
      </c>
      <c r="X595" s="3" t="n">
        <v>452.23052</v>
      </c>
      <c r="Y595" s="3" t="n">
        <v>587.171619</v>
      </c>
      <c r="Z595" s="3" t="n">
        <v>595.374188</v>
      </c>
      <c r="AA595" s="3" t="n">
        <v>661.526479</v>
      </c>
      <c r="AB595" s="3" t="n">
        <v>845.37824</v>
      </c>
      <c r="AC595" s="3" t="n">
        <v>929.823721</v>
      </c>
      <c r="AD595" s="3" t="n">
        <v>1034.763882</v>
      </c>
      <c r="AE595" s="3" t="n">
        <v>1237.766024</v>
      </c>
      <c r="AF595" s="3" t="n">
        <v>1342.939175</v>
      </c>
      <c r="AG595" s="3" t="n">
        <v>1416.019632</v>
      </c>
      <c r="AH595" s="3" t="n">
        <v>1505.833396</v>
      </c>
      <c r="AI595" s="3" t="n">
        <v>1608.806089</v>
      </c>
      <c r="AJ595" s="3" t="n">
        <v>1714.648939</v>
      </c>
      <c r="AK595" s="3" t="n">
        <v>1829.287744</v>
      </c>
      <c r="AL595" s="3" t="n">
        <v>1950.960664</v>
      </c>
      <c r="AM595" s="3" t="n"/>
      <c r="AN595" s="3" t="n"/>
      <c r="AO595" s="3" t="n"/>
      <c r="AP595" s="3" t="n"/>
      <c r="AQ595" s="3" t="n"/>
      <c r="AR595" s="3" t="n"/>
      <c r="AS595" s="3" t="n"/>
      <c r="AT595" s="3" t="n"/>
      <c r="AU595" s="3" t="n"/>
    </row>
    <row r="596">
      <c r="A596" s="3" t="n">
        <v>2031</v>
      </c>
      <c r="B596" s="3" t="inlineStr">
        <is>
          <t>COD</t>
        </is>
      </c>
      <c r="C596" s="3" t="inlineStr">
        <is>
          <t>IMF.RES:WEO</t>
        </is>
      </c>
      <c r="D596" s="3" t="inlineStr">
        <is>
          <t>COD.NGDP_R.A</t>
        </is>
      </c>
      <c r="E596" s="3" t="inlineStr">
        <is>
          <t>Congo, Democratic Republic of the</t>
        </is>
      </c>
      <c r="F596" s="3" t="inlineStr">
        <is>
          <t>Gross domestic product (GDP), Constant prices, Domestic currency</t>
        </is>
      </c>
      <c r="G596" s="3" t="n">
        <v>4703.668052</v>
      </c>
      <c r="H596" s="3" t="n">
        <v>4604.882884</v>
      </c>
      <c r="I596" s="3" t="n">
        <v>4740.624018</v>
      </c>
      <c r="J596" s="3" t="n">
        <v>5055.047603</v>
      </c>
      <c r="K596" s="3" t="n">
        <v>5442.306426</v>
      </c>
      <c r="L596" s="3" t="n">
        <v>5975.85135</v>
      </c>
      <c r="M596" s="3" t="n">
        <v>6281.154268</v>
      </c>
      <c r="N596" s="3" t="n">
        <v>6816.932314</v>
      </c>
      <c r="O596" s="3" t="n">
        <v>7321.502787</v>
      </c>
      <c r="P596" s="3" t="n">
        <v>7362.904535</v>
      </c>
      <c r="Q596" s="3" t="n">
        <v>7940.377714</v>
      </c>
      <c r="R596" s="3" t="n">
        <v>8543.315780999999</v>
      </c>
      <c r="S596" s="3" t="n">
        <v>9283.901107</v>
      </c>
      <c r="T596" s="3" t="n">
        <v>10177.429128</v>
      </c>
      <c r="U596" s="3" t="n">
        <v>10920.613246</v>
      </c>
      <c r="V596" s="3" t="n">
        <v>11615.135589</v>
      </c>
      <c r="W596" s="3" t="n">
        <v>11660.879803</v>
      </c>
      <c r="X596" s="3" t="n">
        <v>12155.442258</v>
      </c>
      <c r="Y596" s="3" t="n">
        <v>12893.482873</v>
      </c>
      <c r="Z596" s="3" t="n">
        <v>12965.091252</v>
      </c>
      <c r="AA596" s="3" t="n">
        <v>13065.626199</v>
      </c>
      <c r="AB596" s="3" t="n">
        <v>13905.695014</v>
      </c>
      <c r="AC596" s="3" t="n">
        <v>15200.477839</v>
      </c>
      <c r="AD596" s="3" t="n">
        <v>16497.60907</v>
      </c>
      <c r="AE596" s="3" t="n">
        <v>17498.017934</v>
      </c>
      <c r="AF596" s="3" t="n">
        <v>18503.397431</v>
      </c>
      <c r="AG596" s="3" t="n">
        <v>19595.24129</v>
      </c>
      <c r="AH596" s="3" t="n">
        <v>20646.555478</v>
      </c>
      <c r="AI596" s="3" t="n">
        <v>21760.857381</v>
      </c>
      <c r="AJ596" s="3" t="n">
        <v>22945.588435</v>
      </c>
      <c r="AK596" s="3" t="n">
        <v>24188.009597</v>
      </c>
      <c r="AL596" s="3" t="n">
        <v>25494.307115</v>
      </c>
      <c r="AM596" s="3" t="n"/>
      <c r="AN596" s="3" t="n"/>
      <c r="AO596" s="3" t="n"/>
      <c r="AP596" s="3" t="n"/>
      <c r="AQ596" s="3" t="n"/>
      <c r="AR596" s="3" t="n"/>
      <c r="AS596" s="3" t="n"/>
      <c r="AT596" s="3" t="n"/>
      <c r="AU596" s="3" t="n"/>
    </row>
    <row r="597">
      <c r="A597" s="3" t="n">
        <v>2031</v>
      </c>
      <c r="B597" s="3" t="inlineStr">
        <is>
          <t>COD</t>
        </is>
      </c>
      <c r="C597" s="3" t="inlineStr">
        <is>
          <t>IMF.RES:WEO</t>
        </is>
      </c>
      <c r="D597" s="3" t="inlineStr">
        <is>
          <t>COD.NGDP_RPCH.A</t>
        </is>
      </c>
      <c r="E597" s="3" t="inlineStr">
        <is>
          <t>Congo, Democratic Republic of the</t>
        </is>
      </c>
      <c r="F597" s="3" t="inlineStr">
        <is>
          <t>Gross domestic product (GDP), Constant prices, Percent change</t>
        </is>
      </c>
      <c r="G597" s="3" t="n">
        <v>-8.135897999999999</v>
      </c>
      <c r="H597" s="3" t="n">
        <v>-2.100173</v>
      </c>
      <c r="I597" s="3" t="n">
        <v>2.947765</v>
      </c>
      <c r="J597" s="3" t="n">
        <v>6.632536</v>
      </c>
      <c r="K597" s="3" t="n">
        <v>7.660834</v>
      </c>
      <c r="L597" s="3" t="n">
        <v>9.803654999999999</v>
      </c>
      <c r="M597" s="3" t="n">
        <v>5.108944</v>
      </c>
      <c r="N597" s="3" t="n">
        <v>8.52993</v>
      </c>
      <c r="O597" s="3" t="n">
        <v>7.401723</v>
      </c>
      <c r="P597" s="3" t="n">
        <v>0.565482</v>
      </c>
      <c r="Q597" s="3" t="n">
        <v>7.843008</v>
      </c>
      <c r="R597" s="3" t="n">
        <v>7.593317</v>
      </c>
      <c r="S597" s="3" t="n">
        <v>8.668594000000001</v>
      </c>
      <c r="T597" s="3" t="n">
        <v>9.624489000000001</v>
      </c>
      <c r="U597" s="3" t="n">
        <v>7.302278</v>
      </c>
      <c r="V597" s="3" t="n">
        <v>6.359738</v>
      </c>
      <c r="W597" s="3" t="n">
        <v>0.393833</v>
      </c>
      <c r="X597" s="3" t="n">
        <v>4.24121</v>
      </c>
      <c r="Y597" s="3" t="n">
        <v>6.071689</v>
      </c>
      <c r="Z597" s="3" t="n">
        <v>0.555384</v>
      </c>
      <c r="AA597" s="3" t="n">
        <v>0.775428</v>
      </c>
      <c r="AB597" s="3" t="n">
        <v>6.42961</v>
      </c>
      <c r="AC597" s="3" t="n">
        <v>9.311169</v>
      </c>
      <c r="AD597" s="3" t="n">
        <v>8.53349</v>
      </c>
      <c r="AE597" s="3" t="n">
        <v>6.063963</v>
      </c>
      <c r="AF597" s="3" t="n">
        <v>5.745676</v>
      </c>
      <c r="AG597" s="3" t="n">
        <v>5.900775</v>
      </c>
      <c r="AH597" s="3" t="n">
        <v>5.365151</v>
      </c>
      <c r="AI597" s="3" t="n">
        <v>5.397035</v>
      </c>
      <c r="AJ597" s="3" t="n">
        <v>5.444322</v>
      </c>
      <c r="AK597" s="3" t="n">
        <v>5.414641</v>
      </c>
      <c r="AL597" s="3" t="n">
        <v>5.400599</v>
      </c>
      <c r="AM597" s="3" t="n"/>
      <c r="AN597" s="3" t="n"/>
      <c r="AO597" s="3" t="n"/>
      <c r="AP597" s="3" t="n"/>
      <c r="AQ597" s="3" t="n"/>
      <c r="AR597" s="3" t="n"/>
      <c r="AS597" s="3" t="n"/>
      <c r="AT597" s="3" t="n"/>
      <c r="AU597" s="3" t="n"/>
    </row>
    <row r="598">
      <c r="A598" s="3" t="n">
        <v>2031</v>
      </c>
      <c r="B598" s="3" t="inlineStr">
        <is>
          <t>COD</t>
        </is>
      </c>
      <c r="C598" s="3" t="inlineStr">
        <is>
          <t>IMF.RES:WEO</t>
        </is>
      </c>
      <c r="D598" s="3" t="inlineStr">
        <is>
          <t>COD.NGDPD.A</t>
        </is>
      </c>
      <c r="E598" s="3" t="inlineStr">
        <is>
          <t>Congo, Democratic Republic of the</t>
        </is>
      </c>
      <c r="F598" s="3" t="inlineStr">
        <is>
          <t>Gross domestic product (GDP), Current prices, US dollar</t>
        </is>
      </c>
      <c r="G598" s="3" t="n">
        <v>19.076527</v>
      </c>
      <c r="H598" s="3" t="n">
        <v>7.246341</v>
      </c>
      <c r="I598" s="3" t="n">
        <v>8.719970999999999</v>
      </c>
      <c r="J598" s="3" t="n">
        <v>9.021554999999999</v>
      </c>
      <c r="K598" s="3" t="n">
        <v>10.27488</v>
      </c>
      <c r="L598" s="3" t="n">
        <v>12.719786</v>
      </c>
      <c r="M598" s="3" t="n">
        <v>15.402805</v>
      </c>
      <c r="N598" s="3" t="n">
        <v>18.597816</v>
      </c>
      <c r="O598" s="3" t="n">
        <v>22.665392</v>
      </c>
      <c r="P598" s="3" t="n">
        <v>18.626456</v>
      </c>
      <c r="Q598" s="3" t="n">
        <v>22.34017</v>
      </c>
      <c r="R598" s="3" t="n">
        <v>26.406019</v>
      </c>
      <c r="S598" s="3" t="n">
        <v>30.073961</v>
      </c>
      <c r="T598" s="3" t="n">
        <v>34.907869</v>
      </c>
      <c r="U598" s="3" t="n">
        <v>38.355296</v>
      </c>
      <c r="V598" s="3" t="n">
        <v>40.15401</v>
      </c>
      <c r="W598" s="3" t="n">
        <v>38.085512</v>
      </c>
      <c r="X598" s="3" t="n">
        <v>37.499326</v>
      </c>
      <c r="Y598" s="3" t="n">
        <v>46.660224</v>
      </c>
      <c r="Z598" s="3" t="n">
        <v>46.844122</v>
      </c>
      <c r="AA598" s="3" t="n">
        <v>46.681985</v>
      </c>
      <c r="AB598" s="3" t="n">
        <v>59.068399</v>
      </c>
      <c r="AC598" s="3" t="n">
        <v>70.422346</v>
      </c>
      <c r="AD598" s="3" t="n">
        <v>69.843655</v>
      </c>
      <c r="AE598" s="3" t="n">
        <v>76.730994</v>
      </c>
      <c r="AF598" s="3" t="n">
        <v>92.833225</v>
      </c>
      <c r="AG598" s="3" t="n">
        <v>123.406264</v>
      </c>
      <c r="AH598" s="3" t="n">
        <v>132.555186</v>
      </c>
      <c r="AI598" s="3" t="n">
        <v>142.35166</v>
      </c>
      <c r="AJ598" s="3" t="n">
        <v>152.56468</v>
      </c>
      <c r="AK598" s="3" t="n">
        <v>163.628333</v>
      </c>
      <c r="AL598" s="3" t="n">
        <v>175.414237</v>
      </c>
      <c r="AM598" s="3" t="n"/>
      <c r="AN598" s="3" t="n"/>
      <c r="AO598" s="3" t="n"/>
      <c r="AP598" s="3" t="n"/>
      <c r="AQ598" s="3" t="n"/>
      <c r="AR598" s="3" t="n"/>
      <c r="AS598" s="3" t="n"/>
      <c r="AT598" s="3" t="n"/>
      <c r="AU598" s="3" t="n"/>
    </row>
    <row r="599">
      <c r="A599" s="3" t="n">
        <v>2031</v>
      </c>
      <c r="B599" s="3" t="inlineStr">
        <is>
          <t>COD</t>
        </is>
      </c>
      <c r="C599" s="3" t="inlineStr">
        <is>
          <t>IMF.RES:WEO</t>
        </is>
      </c>
      <c r="D599" s="3" t="inlineStr">
        <is>
          <t>COD.NGDPPC.A</t>
        </is>
      </c>
      <c r="E599" s="3" t="inlineStr">
        <is>
          <t>Congo, Democratic Republic of the</t>
        </is>
      </c>
      <c r="F599" s="3" t="inlineStr">
        <is>
          <t>Gross domestic product (GDP), Current prices, Per capita, Domestic currency</t>
        </is>
      </c>
      <c r="G599" s="3" t="n">
        <v>27411.276098</v>
      </c>
      <c r="H599" s="3" t="n">
        <v>45126.37278</v>
      </c>
      <c r="I599" s="3" t="n">
        <v>59364.094444</v>
      </c>
      <c r="J599" s="3" t="n">
        <v>68880.197705</v>
      </c>
      <c r="K599" s="3" t="n">
        <v>75736.795593</v>
      </c>
      <c r="L599" s="3" t="n">
        <v>106541.286944</v>
      </c>
      <c r="M599" s="3" t="n">
        <v>125172.548354</v>
      </c>
      <c r="N599" s="3" t="n">
        <v>160228.258284</v>
      </c>
      <c r="O599" s="3" t="n">
        <v>207611.75416</v>
      </c>
      <c r="P599" s="3" t="n">
        <v>238206.936689</v>
      </c>
      <c r="Q599" s="3" t="n">
        <v>307279.041745</v>
      </c>
      <c r="R599" s="3" t="n">
        <v>356417.957228</v>
      </c>
      <c r="S599" s="3" t="n">
        <v>392932.249934</v>
      </c>
      <c r="T599" s="3" t="n">
        <v>442225.8139</v>
      </c>
      <c r="U599" s="3" t="n">
        <v>473912.836004</v>
      </c>
      <c r="V599" s="3" t="n">
        <v>481254.4902</v>
      </c>
      <c r="W599" s="3" t="n">
        <v>488692.250134</v>
      </c>
      <c r="X599" s="3" t="n">
        <v>666978.463305</v>
      </c>
      <c r="Y599" s="3" t="n">
        <v>889413.204154</v>
      </c>
      <c r="Z599" s="3" t="n">
        <v>878053.423284</v>
      </c>
      <c r="AA599" s="3" t="n">
        <v>951962.66026</v>
      </c>
      <c r="AB599" s="3" t="n">
        <v>1253918.195177</v>
      </c>
      <c r="AC599" s="3" t="n">
        <v>1460089.117636</v>
      </c>
      <c r="AD599" s="3" t="n">
        <v>1708004.128962</v>
      </c>
      <c r="AE599" s="3" t="n">
        <v>2098755.332663</v>
      </c>
      <c r="AF599" s="3" t="n">
        <v>2332089.023905</v>
      </c>
      <c r="AG599" s="3" t="n">
        <v>2522017.909433</v>
      </c>
      <c r="AH599" s="3" t="n">
        <v>2736691.669456</v>
      </c>
      <c r="AI599" s="3" t="n">
        <v>2984218.150041</v>
      </c>
      <c r="AJ599" s="3" t="n">
        <v>3247730.669649</v>
      </c>
      <c r="AK599" s="3" t="n">
        <v>3537106.320955</v>
      </c>
      <c r="AL599" s="3" t="n">
        <v>3850562.312022</v>
      </c>
      <c r="AM599" s="3" t="n"/>
      <c r="AN599" s="3" t="n"/>
      <c r="AO599" s="3" t="n"/>
      <c r="AP599" s="3" t="n"/>
      <c r="AQ599" s="3" t="n"/>
      <c r="AR599" s="3" t="n"/>
      <c r="AS599" s="3" t="n"/>
      <c r="AT599" s="3" t="n"/>
      <c r="AU599" s="3" t="n"/>
    </row>
    <row r="600">
      <c r="A600" s="3" t="n">
        <v>2031</v>
      </c>
      <c r="B600" s="3" t="inlineStr">
        <is>
          <t>COD</t>
        </is>
      </c>
      <c r="C600" s="3" t="inlineStr">
        <is>
          <t>IMF.RES:WEO</t>
        </is>
      </c>
      <c r="D600" s="3" t="inlineStr">
        <is>
          <t>COD.NGDPRPC.A</t>
        </is>
      </c>
      <c r="E600" s="3" t="inlineStr">
        <is>
          <t>Congo, Democratic Republic of the</t>
        </is>
      </c>
      <c r="F600" s="3" t="inlineStr">
        <is>
          <t>Gross domestic product (GDP), Constant prices, Per capita, Domestic currency</t>
        </is>
      </c>
      <c r="G600" s="3" t="n">
        <v>97893.836375</v>
      </c>
      <c r="H600" s="3" t="n">
        <v>93123.85462100001</v>
      </c>
      <c r="I600" s="3" t="n">
        <v>93005.555417</v>
      </c>
      <c r="J600" s="3" t="n">
        <v>96099.53260200001</v>
      </c>
      <c r="K600" s="3" t="n">
        <v>100199.225895</v>
      </c>
      <c r="L600" s="3" t="n">
        <v>106541.286944</v>
      </c>
      <c r="M600" s="3" t="n">
        <v>108432.537806</v>
      </c>
      <c r="N600" s="3" t="n">
        <v>113929.080898</v>
      </c>
      <c r="O600" s="3" t="n">
        <v>118453.135579</v>
      </c>
      <c r="P600" s="3" t="n">
        <v>115324.510119</v>
      </c>
      <c r="Q600" s="3" t="n">
        <v>120420.576514</v>
      </c>
      <c r="R600" s="3" t="n">
        <v>125475.767803</v>
      </c>
      <c r="S600" s="3" t="n">
        <v>132077.790533</v>
      </c>
      <c r="T600" s="3" t="n">
        <v>140276.055114</v>
      </c>
      <c r="U600" s="3" t="n">
        <v>145847.307866</v>
      </c>
      <c r="V600" s="3" t="n">
        <v>150325.022966</v>
      </c>
      <c r="W600" s="3" t="n">
        <v>146125.296432</v>
      </c>
      <c r="X600" s="3" t="n">
        <v>147486.388944</v>
      </c>
      <c r="Y600" s="3" t="n">
        <v>151474.14751</v>
      </c>
      <c r="Z600" s="3" t="n">
        <v>147479.256169</v>
      </c>
      <c r="AA600" s="3" t="n">
        <v>143903.938814</v>
      </c>
      <c r="AB600" s="3" t="n">
        <v>148326.291893</v>
      </c>
      <c r="AC600" s="3" t="n">
        <v>157028.594142</v>
      </c>
      <c r="AD600" s="3" t="n">
        <v>165062.209696</v>
      </c>
      <c r="AE600" s="3" t="n">
        <v>169559.94038</v>
      </c>
      <c r="AF600" s="3" t="n">
        <v>173655.595695</v>
      </c>
      <c r="AG600" s="3" t="n">
        <v>178106.140042</v>
      </c>
      <c r="AH600" s="3" t="n">
        <v>181739.339638</v>
      </c>
      <c r="AI600" s="3" t="n">
        <v>185492.718519</v>
      </c>
      <c r="AJ600" s="3" t="n">
        <v>189410.823212</v>
      </c>
      <c r="AK600" s="3" t="n">
        <v>193359.756157</v>
      </c>
      <c r="AL600" s="3" t="n">
        <v>197367.501253</v>
      </c>
      <c r="AM600" s="3" t="n"/>
      <c r="AN600" s="3" t="n"/>
      <c r="AO600" s="3" t="n"/>
      <c r="AP600" s="3" t="n"/>
      <c r="AQ600" s="3" t="n"/>
      <c r="AR600" s="3" t="n"/>
      <c r="AS600" s="3" t="n"/>
      <c r="AT600" s="3" t="n"/>
      <c r="AU600" s="3" t="n"/>
    </row>
    <row r="601">
      <c r="A601" s="3" t="n">
        <v>2031</v>
      </c>
      <c r="B601" s="3" t="inlineStr">
        <is>
          <t>COD</t>
        </is>
      </c>
      <c r="C601" s="3" t="inlineStr">
        <is>
          <t>IMF.RES:WEO</t>
        </is>
      </c>
      <c r="D601" s="3" t="inlineStr">
        <is>
          <t>COD.PCPI.A</t>
        </is>
      </c>
      <c r="E601" s="3" t="inlineStr">
        <is>
          <t>Congo, Democratic Republic of the</t>
        </is>
      </c>
      <c r="F601" s="3" t="inlineStr">
        <is>
          <t>All Items, Consumer price index (CPI), Period average</t>
        </is>
      </c>
      <c r="G601" s="3" t="n">
        <v>100</v>
      </c>
      <c r="H601" s="3" t="n">
        <v>457.28</v>
      </c>
      <c r="I601" s="3" t="n">
        <v>573.046977</v>
      </c>
      <c r="J601" s="3" t="n">
        <v>646.49271</v>
      </c>
      <c r="K601" s="3" t="n">
        <v>672.3561099999999</v>
      </c>
      <c r="L601" s="3" t="n">
        <v>817.214981</v>
      </c>
      <c r="M601" s="3" t="n">
        <v>922.186194</v>
      </c>
      <c r="N601" s="3" t="n">
        <v>1075.929322</v>
      </c>
      <c r="O601" s="3" t="n">
        <v>1269.232746</v>
      </c>
      <c r="P601" s="3" t="n">
        <v>1854.361078</v>
      </c>
      <c r="Q601" s="3" t="n">
        <v>2289.414484</v>
      </c>
      <c r="R601" s="3" t="n">
        <v>2631.675145</v>
      </c>
      <c r="S601" s="3" t="n">
        <v>2654.217555</v>
      </c>
      <c r="T601" s="3" t="n">
        <v>2677.467856</v>
      </c>
      <c r="U601" s="3" t="n">
        <v>2710.667182</v>
      </c>
      <c r="V601" s="3" t="n">
        <v>2730.675516</v>
      </c>
      <c r="W601" s="3" t="n">
        <v>2817.87346</v>
      </c>
      <c r="X601" s="3" t="n">
        <v>3824.80606</v>
      </c>
      <c r="Y601" s="3" t="n">
        <v>4944.168803</v>
      </c>
      <c r="Z601" s="3" t="n">
        <v>5176.789456</v>
      </c>
      <c r="AA601" s="3" t="n">
        <v>5764.772349</v>
      </c>
      <c r="AB601" s="3" t="n">
        <v>6282.976434</v>
      </c>
      <c r="AC601" s="3" t="n">
        <v>6865.176697</v>
      </c>
      <c r="AD601" s="3" t="n">
        <v>8230.966813999999</v>
      </c>
      <c r="AE601" s="3" t="n">
        <v>9683.940538000001</v>
      </c>
      <c r="AF601" s="3" t="n">
        <v>10401.888296</v>
      </c>
      <c r="AG601" s="3" t="n">
        <v>10740.098573</v>
      </c>
      <c r="AH601" s="3" t="n">
        <v>11425.482697</v>
      </c>
      <c r="AI601" s="3" t="n">
        <v>12225.365593</v>
      </c>
      <c r="AJ601" s="3" t="n">
        <v>13075.28646</v>
      </c>
      <c r="AK601" s="3" t="n">
        <v>13984.294652</v>
      </c>
      <c r="AL601" s="3" t="n">
        <v>14956.498086</v>
      </c>
      <c r="AM601" s="3" t="n"/>
      <c r="AN601" s="3" t="n"/>
      <c r="AO601" s="3" t="n"/>
      <c r="AP601" s="3" t="n"/>
      <c r="AQ601" s="3" t="n"/>
      <c r="AR601" s="3" t="n"/>
      <c r="AS601" s="3" t="n"/>
      <c r="AT601" s="3" t="n"/>
      <c r="AU601" s="3" t="n"/>
    </row>
    <row r="602">
      <c r="A602" s="3" t="n">
        <v>2031</v>
      </c>
      <c r="B602" s="3" t="inlineStr">
        <is>
          <t>COD</t>
        </is>
      </c>
      <c r="C602" s="3" t="inlineStr">
        <is>
          <t>IMF.RES:WEO</t>
        </is>
      </c>
      <c r="D602" s="3" t="inlineStr">
        <is>
          <t>COD.PCPIPCH.A</t>
        </is>
      </c>
      <c r="E602" s="3" t="inlineStr">
        <is>
          <t>Congo, Democratic Republic of the</t>
        </is>
      </c>
      <c r="F602" s="3" t="inlineStr">
        <is>
          <t>All Items, Consumer price index (CPI), Period average, percent change</t>
        </is>
      </c>
      <c r="G602" s="3" t="n">
        <v>550</v>
      </c>
      <c r="H602" s="3" t="n">
        <v>357.28</v>
      </c>
      <c r="I602" s="3" t="n">
        <v>25.316431</v>
      </c>
      <c r="J602" s="3" t="n">
        <v>12.816704</v>
      </c>
      <c r="K602" s="3" t="n">
        <v>4.000571</v>
      </c>
      <c r="L602" s="3" t="n">
        <v>21.544962</v>
      </c>
      <c r="M602" s="3" t="n">
        <v>12.844994</v>
      </c>
      <c r="N602" s="3" t="n">
        <v>16.671593</v>
      </c>
      <c r="O602" s="3" t="n">
        <v>17.966182</v>
      </c>
      <c r="P602" s="3" t="n">
        <v>46.100948</v>
      </c>
      <c r="Q602" s="3" t="n">
        <v>23.461095</v>
      </c>
      <c r="R602" s="3" t="n">
        <v>14.949703</v>
      </c>
      <c r="S602" s="3" t="n">
        <v>0.85658</v>
      </c>
      <c r="T602" s="3" t="n">
        <v>0.875976</v>
      </c>
      <c r="U602" s="3" t="n">
        <v>1.239952</v>
      </c>
      <c r="V602" s="3" t="n">
        <v>0.738133</v>
      </c>
      <c r="W602" s="3" t="n">
        <v>3.193274</v>
      </c>
      <c r="X602" s="3" t="n">
        <v>35.733776</v>
      </c>
      <c r="Y602" s="3" t="n">
        <v>29.265869</v>
      </c>
      <c r="Z602" s="3" t="n">
        <v>4.70495</v>
      </c>
      <c r="AA602" s="3" t="n">
        <v>11.358061</v>
      </c>
      <c r="AB602" s="3" t="n">
        <v>8.989151</v>
      </c>
      <c r="AC602" s="3" t="n">
        <v>9.266313</v>
      </c>
      <c r="AD602" s="3" t="n">
        <v>19.894464</v>
      </c>
      <c r="AE602" s="3" t="n">
        <v>17.652528</v>
      </c>
      <c r="AF602" s="3" t="n">
        <v>7.413798</v>
      </c>
      <c r="AG602" s="3" t="n">
        <v>3.251432</v>
      </c>
      <c r="AH602" s="3" t="n">
        <v>6.381544</v>
      </c>
      <c r="AI602" s="3" t="n">
        <v>7.000867</v>
      </c>
      <c r="AJ602" s="3" t="n">
        <v>6.95211</v>
      </c>
      <c r="AK602" s="3" t="n">
        <v>6.952109</v>
      </c>
      <c r="AL602" s="3" t="n">
        <v>6.952109</v>
      </c>
      <c r="AM602" s="3" t="n"/>
      <c r="AN602" s="3" t="n"/>
      <c r="AO602" s="3" t="n"/>
      <c r="AP602" s="3" t="n"/>
      <c r="AQ602" s="3" t="n"/>
      <c r="AR602" s="3" t="n"/>
      <c r="AS602" s="3" t="n"/>
      <c r="AT602" s="3" t="n"/>
      <c r="AU602" s="3" t="n"/>
    </row>
    <row r="603">
      <c r="A603" s="3" t="n">
        <v>2031</v>
      </c>
      <c r="B603" s="3" t="inlineStr">
        <is>
          <t>COD</t>
        </is>
      </c>
      <c r="C603" s="3" t="inlineStr">
        <is>
          <t>IMF.RES:WEO</t>
        </is>
      </c>
      <c r="D603" s="3" t="inlineStr">
        <is>
          <t>COD.PPPPC.A</t>
        </is>
      </c>
      <c r="E603" s="3" t="inlineStr">
        <is>
          <t>Congo, Democratic Republic of the</t>
        </is>
      </c>
      <c r="F603" s="3" t="inlineStr">
        <is>
          <t>Gross domestic product (GDP), Per capita, purchasing power parity (PPP) international dollar, ICP benchmarks 2017-2021</t>
        </is>
      </c>
      <c r="G603" s="3" t="n">
        <v>505.198017</v>
      </c>
      <c r="H603" s="3" t="n">
        <v>491.40258</v>
      </c>
      <c r="I603" s="3" t="n">
        <v>498.405201</v>
      </c>
      <c r="J603" s="3" t="n">
        <v>525.152363</v>
      </c>
      <c r="K603" s="3" t="n">
        <v>562.278965</v>
      </c>
      <c r="L603" s="3" t="n">
        <v>616.616212</v>
      </c>
      <c r="M603" s="3" t="n">
        <v>646.915249</v>
      </c>
      <c r="N603" s="3" t="n">
        <v>698.123091</v>
      </c>
      <c r="O603" s="3" t="n">
        <v>739.827898</v>
      </c>
      <c r="P603" s="3" t="n">
        <v>724.72962</v>
      </c>
      <c r="Q603" s="3" t="n">
        <v>765.952048</v>
      </c>
      <c r="R603" s="3" t="n">
        <v>814.57322</v>
      </c>
      <c r="S603" s="3" t="n">
        <v>873.397553</v>
      </c>
      <c r="T603" s="3" t="n">
        <v>943.3986149999999</v>
      </c>
      <c r="U603" s="3" t="n">
        <v>997.950869</v>
      </c>
      <c r="V603" s="3" t="n">
        <v>1038.135204</v>
      </c>
      <c r="W603" s="3" t="n">
        <v>1018.721167</v>
      </c>
      <c r="X603" s="3" t="n">
        <v>1046.624212</v>
      </c>
      <c r="Y603" s="3" t="n">
        <v>1109.584111</v>
      </c>
      <c r="Z603" s="3" t="n">
        <v>1116.676766</v>
      </c>
      <c r="AA603" s="3" t="n">
        <v>1151.097633</v>
      </c>
      <c r="AB603" s="3" t="n">
        <v>1483.135823</v>
      </c>
      <c r="AC603" s="3" t="n">
        <v>1681.827056</v>
      </c>
      <c r="AD603" s="3" t="n">
        <v>1833.281446</v>
      </c>
      <c r="AE603" s="3" t="n">
        <v>1929.98816</v>
      </c>
      <c r="AF603" s="3" t="n">
        <v>2032.677989</v>
      </c>
      <c r="AG603" s="3" t="n">
        <v>2144.498242</v>
      </c>
      <c r="AH603" s="3" t="n">
        <v>2236.295706</v>
      </c>
      <c r="AI603" s="3" t="n">
        <v>2319.945317</v>
      </c>
      <c r="AJ603" s="3" t="n">
        <v>2411.071277</v>
      </c>
      <c r="AK603" s="3" t="n">
        <v>2506.56627</v>
      </c>
      <c r="AL603" s="3" t="n">
        <v>2604.708577</v>
      </c>
      <c r="AM603" s="3" t="n"/>
      <c r="AN603" s="3" t="n"/>
      <c r="AO603" s="3" t="n"/>
      <c r="AP603" s="3" t="n"/>
      <c r="AQ603" s="3" t="n"/>
      <c r="AR603" s="3" t="n"/>
      <c r="AS603" s="3" t="n"/>
      <c r="AT603" s="3" t="n"/>
      <c r="AU603" s="3" t="n"/>
    </row>
    <row r="604">
      <c r="A604" s="3" t="n">
        <v>2025</v>
      </c>
      <c r="B604" s="3" t="inlineStr">
        <is>
          <t>COD</t>
        </is>
      </c>
      <c r="C604" s="3" t="inlineStr">
        <is>
          <t>IMF.STA:ER</t>
        </is>
      </c>
      <c r="D604" s="3" t="inlineStr">
        <is>
          <t>COD.XDC_USD.PA_RT.A</t>
        </is>
      </c>
      <c r="E604" s="3" t="inlineStr">
        <is>
          <t>Congo, Democratic Republic of the</t>
        </is>
      </c>
      <c r="F604" s="3" t="inlineStr">
        <is>
          <t>Domestic currency per US Dollar</t>
        </is>
      </c>
      <c r="G604" s="3" t="n">
        <v>21.8183333273501</v>
      </c>
      <c r="H604" s="3" t="n">
        <v>206.617499943339</v>
      </c>
      <c r="I604" s="3" t="n">
        <v>346.484999904984</v>
      </c>
      <c r="J604" s="3" t="n">
        <v>405.178183230669</v>
      </c>
      <c r="K604" s="3" t="n">
        <v>399.475791666666</v>
      </c>
      <c r="L604" s="3" t="n">
        <v>473.908008333333</v>
      </c>
      <c r="M604" s="3" t="n">
        <v>468.278825</v>
      </c>
      <c r="N604" s="3" t="n">
        <v>516.749891666666</v>
      </c>
      <c r="O604" s="3" t="n">
        <v>559.292508333333</v>
      </c>
      <c r="P604" s="3" t="n">
        <v>809.785833333333</v>
      </c>
      <c r="Q604" s="3" t="n">
        <v>905.913458333333</v>
      </c>
      <c r="R604" s="3" t="n">
        <v>919.4913</v>
      </c>
      <c r="S604" s="3" t="n">
        <v>919.7550166666661</v>
      </c>
      <c r="T604" s="3" t="n">
        <v>919.565907354881</v>
      </c>
      <c r="U604" s="3" t="n">
        <v>925.226282531997</v>
      </c>
      <c r="V604" s="3" t="n">
        <v>925.984961280393</v>
      </c>
      <c r="W604" s="3" t="n">
        <v>1010.30275716865</v>
      </c>
      <c r="X604" s="3" t="n">
        <v>1464.41793163742</v>
      </c>
      <c r="Y604" s="3" t="n">
        <v>1622.52350162291</v>
      </c>
      <c r="Z604" s="3" t="n">
        <v>1647.76012727638</v>
      </c>
      <c r="AA604" s="3" t="n">
        <v>1851.12216183261</v>
      </c>
      <c r="AB604" s="3" t="n">
        <v>1989.39147122827</v>
      </c>
      <c r="AC604" s="3" t="n">
        <v>2006.70821944055</v>
      </c>
      <c r="AD604" s="3" t="n">
        <v>2340.03570436145</v>
      </c>
      <c r="AE604" s="3" t="n"/>
      <c r="AF604" s="3" t="n">
        <v>2693.24060103248</v>
      </c>
      <c r="AG604" s="3" t="n"/>
      <c r="AH604" s="3" t="n"/>
      <c r="AI604" s="3" t="n"/>
      <c r="AJ604" s="3" t="n"/>
      <c r="AK604" s="3" t="n"/>
      <c r="AL604" s="3" t="n"/>
      <c r="AM604" s="3" t="n"/>
      <c r="AN604" s="3" t="n"/>
      <c r="AO604" s="3" t="n"/>
      <c r="AP604" s="3" t="n"/>
      <c r="AQ604" s="3" t="n"/>
      <c r="AR604" s="3" t="n"/>
      <c r="AS604" s="3" t="n"/>
      <c r="AT604" s="3" t="n"/>
      <c r="AU604" s="3" t="n"/>
    </row>
    <row r="605">
      <c r="A605" s="3" t="n">
        <v>2031</v>
      </c>
      <c r="B605" s="3" t="inlineStr">
        <is>
          <t>COG</t>
        </is>
      </c>
      <c r="C605" s="3" t="inlineStr">
        <is>
          <t>IMF.RES:WEO</t>
        </is>
      </c>
      <c r="D605" s="3" t="inlineStr">
        <is>
          <t>COG.BCA.A</t>
        </is>
      </c>
      <c r="E605" s="3" t="inlineStr">
        <is>
          <t>Congo, Republic of</t>
        </is>
      </c>
      <c r="F605" s="3" t="inlineStr">
        <is>
          <t>Current account balance (credit less debit), US dollar</t>
        </is>
      </c>
      <c r="G605" s="3" t="n">
        <v>0.633404</v>
      </c>
      <c r="H605" s="3" t="n">
        <v>-0.036855</v>
      </c>
      <c r="I605" s="3" t="n">
        <v>0.192196</v>
      </c>
      <c r="J605" s="3" t="n">
        <v>0.528604</v>
      </c>
      <c r="K605" s="3" t="n">
        <v>0.673361</v>
      </c>
      <c r="L605" s="3" t="n">
        <v>0.403657</v>
      </c>
      <c r="M605" s="3" t="n">
        <v>1.119654</v>
      </c>
      <c r="N605" s="3" t="n">
        <v>-2.108117</v>
      </c>
      <c r="O605" s="3" t="n">
        <v>0.869183</v>
      </c>
      <c r="P605" s="3" t="n">
        <v>-1.369793</v>
      </c>
      <c r="Q605" s="3" t="n">
        <v>0.901945</v>
      </c>
      <c r="R605" s="3" t="n">
        <v>2.062174</v>
      </c>
      <c r="S605" s="3" t="n">
        <v>2.415466</v>
      </c>
      <c r="T605" s="3" t="n">
        <v>1.934247</v>
      </c>
      <c r="U605" s="3" t="n">
        <v>0.186719</v>
      </c>
      <c r="V605" s="3" t="n">
        <v>-4.636003</v>
      </c>
      <c r="W605" s="3" t="n">
        <v>-4.94523</v>
      </c>
      <c r="X605" s="3" t="n">
        <v>-0.761172</v>
      </c>
      <c r="Y605" s="3" t="n">
        <v>2.732764</v>
      </c>
      <c r="Z605" s="3" t="n">
        <v>1.632443</v>
      </c>
      <c r="AA605" s="3" t="n">
        <v>1.442715</v>
      </c>
      <c r="AB605" s="3" t="n">
        <v>1.716809</v>
      </c>
      <c r="AC605" s="3" t="n">
        <v>2.378829</v>
      </c>
      <c r="AD605" s="3" t="n">
        <v>-0.70388</v>
      </c>
      <c r="AE605" s="3" t="n">
        <v>-0.444941</v>
      </c>
      <c r="AF605" s="3" t="n">
        <v>-0.918055</v>
      </c>
      <c r="AG605" s="3" t="n">
        <v>-1.027109</v>
      </c>
      <c r="AH605" s="3" t="n">
        <v>-1.046555</v>
      </c>
      <c r="AI605" s="3" t="n">
        <v>-1.143138</v>
      </c>
      <c r="AJ605" s="3" t="n">
        <v>-1.136362</v>
      </c>
      <c r="AK605" s="3" t="n">
        <v>-1.122025</v>
      </c>
      <c r="AL605" s="3" t="n">
        <v>-0.996512</v>
      </c>
      <c r="AM605" s="3" t="n"/>
      <c r="AN605" s="3" t="n"/>
      <c r="AO605" s="3" t="n"/>
      <c r="AP605" s="3" t="n"/>
      <c r="AQ605" s="3" t="n"/>
      <c r="AR605" s="3" t="n"/>
      <c r="AS605" s="3" t="n"/>
      <c r="AT605" s="3" t="n"/>
      <c r="AU605" s="3" t="n"/>
    </row>
    <row r="606">
      <c r="A606" s="3" t="n">
        <v>2031</v>
      </c>
      <c r="B606" s="3" t="inlineStr">
        <is>
          <t>COG</t>
        </is>
      </c>
      <c r="C606" s="3" t="inlineStr">
        <is>
          <t>IMF.RES:WEO</t>
        </is>
      </c>
      <c r="D606" s="3" t="inlineStr">
        <is>
          <t>COG.BCA_NGDPD.A</t>
        </is>
      </c>
      <c r="E606" s="3" t="inlineStr">
        <is>
          <t>Congo, Republic of</t>
        </is>
      </c>
      <c r="F606" s="3" t="inlineStr">
        <is>
          <t>Current account balance (credit less debit), Percent of GDP</t>
        </is>
      </c>
      <c r="G606" s="3" t="n">
        <v>17.477691</v>
      </c>
      <c r="H606" s="3" t="n">
        <v>-1.213168</v>
      </c>
      <c r="I606" s="3" t="n">
        <v>5.771916</v>
      </c>
      <c r="J606" s="3" t="n">
        <v>13.683151</v>
      </c>
      <c r="K606" s="3" t="n">
        <v>13.201461</v>
      </c>
      <c r="L606" s="3" t="n">
        <v>6.066671</v>
      </c>
      <c r="M606" s="3" t="n">
        <v>13.86958</v>
      </c>
      <c r="N606" s="3" t="n">
        <v>-24.000226</v>
      </c>
      <c r="O606" s="3" t="n">
        <v>7.461704</v>
      </c>
      <c r="P606" s="3" t="n">
        <v>-14.103051</v>
      </c>
      <c r="Q606" s="3" t="n">
        <v>6.854135</v>
      </c>
      <c r="R606" s="3" t="n">
        <v>13.174616</v>
      </c>
      <c r="S606" s="3" t="n">
        <v>13.643528</v>
      </c>
      <c r="T606" s="3" t="n">
        <v>10.77036</v>
      </c>
      <c r="U606" s="3" t="n">
        <v>1.042101</v>
      </c>
      <c r="V606" s="3" t="n">
        <v>-38.98598</v>
      </c>
      <c r="W606" s="3" t="n">
        <v>-45.251547</v>
      </c>
      <c r="X606" s="3" t="n">
        <v>-6.434089</v>
      </c>
      <c r="Y606" s="3" t="n">
        <v>18.488856</v>
      </c>
      <c r="Z606" s="3" t="n">
        <v>11.679305</v>
      </c>
      <c r="AA606" s="3" t="n">
        <v>12.561427</v>
      </c>
      <c r="AB606" s="3" t="n">
        <v>12.824195</v>
      </c>
      <c r="AC606" s="3" t="n">
        <v>17.031254</v>
      </c>
      <c r="AD606" s="3" t="n">
        <v>-4.967828</v>
      </c>
      <c r="AE606" s="3" t="n">
        <v>-3.011564</v>
      </c>
      <c r="AF606" s="3" t="n">
        <v>-5.887997</v>
      </c>
      <c r="AG606" s="3" t="n">
        <v>-6.031709</v>
      </c>
      <c r="AH606" s="3" t="n">
        <v>-5.827915</v>
      </c>
      <c r="AI606" s="3" t="n">
        <v>-5.979177</v>
      </c>
      <c r="AJ606" s="3" t="n">
        <v>-5.568968</v>
      </c>
      <c r="AK606" s="3" t="n">
        <v>-5.165648</v>
      </c>
      <c r="AL606" s="3" t="n">
        <v>-4.29277</v>
      </c>
      <c r="AM606" s="3" t="n"/>
      <c r="AN606" s="3" t="n"/>
      <c r="AO606" s="3" t="n"/>
      <c r="AP606" s="3" t="n"/>
      <c r="AQ606" s="3" t="n"/>
      <c r="AR606" s="3" t="n"/>
      <c r="AS606" s="3" t="n"/>
      <c r="AT606" s="3" t="n"/>
      <c r="AU606" s="3" t="n"/>
    </row>
    <row r="607">
      <c r="A607" s="3" t="n">
        <v>2031</v>
      </c>
      <c r="B607" s="3" t="inlineStr">
        <is>
          <t>COG</t>
        </is>
      </c>
      <c r="C607" s="3" t="inlineStr">
        <is>
          <t>IMF.RES:WEO</t>
        </is>
      </c>
      <c r="D607" s="3" t="inlineStr">
        <is>
          <t>COG.GGR_NGDP.A</t>
        </is>
      </c>
      <c r="E607" s="3" t="inlineStr">
        <is>
          <t>Congo, Republic of</t>
        </is>
      </c>
      <c r="F607" s="3" t="inlineStr">
        <is>
          <t>Revenue, General government, Percent of GDP</t>
        </is>
      </c>
      <c r="G607" s="3" t="n">
        <v>23.691686</v>
      </c>
      <c r="H607" s="3" t="n">
        <v>28.37254</v>
      </c>
      <c r="I607" s="3" t="n">
        <v>24.793134</v>
      </c>
      <c r="J607" s="3" t="n">
        <v>27.37853</v>
      </c>
      <c r="K607" s="3" t="n">
        <v>27.714706</v>
      </c>
      <c r="L607" s="3" t="n">
        <v>35.527793</v>
      </c>
      <c r="M607" s="3" t="n">
        <v>42.587711</v>
      </c>
      <c r="N607" s="3" t="n">
        <v>37.568099</v>
      </c>
      <c r="O607" s="3" t="n">
        <v>48.062639</v>
      </c>
      <c r="P607" s="3" t="n">
        <v>29.189108</v>
      </c>
      <c r="Q607" s="3" t="n">
        <v>38.514454</v>
      </c>
      <c r="R607" s="3" t="n">
        <v>43.937864</v>
      </c>
      <c r="S607" s="3" t="n">
        <v>37.892738</v>
      </c>
      <c r="T607" s="3" t="n">
        <v>39.542358</v>
      </c>
      <c r="U607" s="3" t="n">
        <v>37.830126</v>
      </c>
      <c r="V607" s="3" t="n">
        <v>23.483035</v>
      </c>
      <c r="W607" s="3" t="n">
        <v>24.264365</v>
      </c>
      <c r="X607" s="3" t="n">
        <v>21.028693</v>
      </c>
      <c r="Y607" s="3" t="n">
        <v>23.008464</v>
      </c>
      <c r="Z607" s="3" t="n">
        <v>24.456595</v>
      </c>
      <c r="AA607" s="3" t="n">
        <v>20.003586</v>
      </c>
      <c r="AB607" s="3" t="n">
        <v>22.564512</v>
      </c>
      <c r="AC607" s="3" t="n">
        <v>31.780569</v>
      </c>
      <c r="AD607" s="3" t="n">
        <v>26.480325</v>
      </c>
      <c r="AE607" s="3" t="n">
        <v>25.266727</v>
      </c>
      <c r="AF607" s="3" t="n">
        <v>24.203785</v>
      </c>
      <c r="AG607" s="3" t="n">
        <v>25.150902</v>
      </c>
      <c r="AH607" s="3" t="n">
        <v>25.106473</v>
      </c>
      <c r="AI607" s="3" t="n">
        <v>24.835039</v>
      </c>
      <c r="AJ607" s="3" t="n">
        <v>24.5238</v>
      </c>
      <c r="AK607" s="3" t="n">
        <v>24.30877</v>
      </c>
      <c r="AL607" s="3" t="n">
        <v>24.04079</v>
      </c>
      <c r="AM607" s="3" t="n"/>
      <c r="AN607" s="3" t="n"/>
      <c r="AO607" s="3" t="n"/>
      <c r="AP607" s="3" t="n"/>
      <c r="AQ607" s="3" t="n"/>
      <c r="AR607" s="3" t="n"/>
      <c r="AS607" s="3" t="n"/>
      <c r="AT607" s="3" t="n"/>
      <c r="AU607" s="3" t="n"/>
    </row>
    <row r="608">
      <c r="A608" s="3" t="n">
        <v>2031</v>
      </c>
      <c r="B608" s="3" t="inlineStr">
        <is>
          <t>COG</t>
        </is>
      </c>
      <c r="C608" s="3" t="inlineStr">
        <is>
          <t>IMF.RES:WEO</t>
        </is>
      </c>
      <c r="D608" s="3" t="inlineStr">
        <is>
          <t>COG.GGX_NGDP.A</t>
        </is>
      </c>
      <c r="E608" s="3" t="inlineStr">
        <is>
          <t>Congo, Republic of</t>
        </is>
      </c>
      <c r="F608" s="3" t="inlineStr">
        <is>
          <t>Expenditure, General government, Percent of GDP</t>
        </is>
      </c>
      <c r="G608" s="3" t="n">
        <v>22.644822</v>
      </c>
      <c r="H608" s="3" t="n">
        <v>29.078399</v>
      </c>
      <c r="I608" s="3" t="n">
        <v>32.135115</v>
      </c>
      <c r="J608" s="3" t="n">
        <v>27.012947</v>
      </c>
      <c r="K608" s="3" t="n">
        <v>24.389164</v>
      </c>
      <c r="L608" s="3" t="n">
        <v>22.125</v>
      </c>
      <c r="M608" s="3" t="n">
        <v>26.630432</v>
      </c>
      <c r="N608" s="3" t="n">
        <v>28.581668</v>
      </c>
      <c r="O608" s="3" t="n">
        <v>24.165874</v>
      </c>
      <c r="P608" s="3" t="n">
        <v>24.433129</v>
      </c>
      <c r="Q608" s="3" t="n">
        <v>22.997346</v>
      </c>
      <c r="R608" s="3" t="n">
        <v>27.872769</v>
      </c>
      <c r="S608" s="3" t="n">
        <v>30.656742</v>
      </c>
      <c r="T608" s="3" t="n">
        <v>42.391632</v>
      </c>
      <c r="U608" s="3" t="n">
        <v>48.562333</v>
      </c>
      <c r="V608" s="3" t="n">
        <v>41.288182</v>
      </c>
      <c r="W608" s="3" t="n">
        <v>38.806618</v>
      </c>
      <c r="X608" s="3" t="n">
        <v>26.599689</v>
      </c>
      <c r="Y608" s="3" t="n">
        <v>17.78659</v>
      </c>
      <c r="Z608" s="3" t="n">
        <v>20.152763</v>
      </c>
      <c r="AA608" s="3" t="n">
        <v>21.108471</v>
      </c>
      <c r="AB608" s="3" t="n">
        <v>20.935117</v>
      </c>
      <c r="AC608" s="3" t="n">
        <v>22.836447</v>
      </c>
      <c r="AD608" s="3" t="n">
        <v>20.674984</v>
      </c>
      <c r="AE608" s="3" t="n">
        <v>21.651324</v>
      </c>
      <c r="AF608" s="3" t="n">
        <v>23.924274</v>
      </c>
      <c r="AG608" s="3" t="n">
        <v>24.749989</v>
      </c>
      <c r="AH608" s="3" t="n">
        <v>22.168767</v>
      </c>
      <c r="AI608" s="3" t="n">
        <v>20.940598</v>
      </c>
      <c r="AJ608" s="3" t="n">
        <v>20.06965</v>
      </c>
      <c r="AK608" s="3" t="n">
        <v>19.595986</v>
      </c>
      <c r="AL608" s="3" t="n">
        <v>19.392546</v>
      </c>
      <c r="AM608" s="3" t="n"/>
      <c r="AN608" s="3" t="n"/>
      <c r="AO608" s="3" t="n"/>
      <c r="AP608" s="3" t="n"/>
      <c r="AQ608" s="3" t="n"/>
      <c r="AR608" s="3" t="n"/>
      <c r="AS608" s="3" t="n"/>
      <c r="AT608" s="3" t="n"/>
      <c r="AU608" s="3" t="n"/>
    </row>
    <row r="609">
      <c r="A609" s="3" t="n">
        <v>2031</v>
      </c>
      <c r="B609" s="3" t="inlineStr">
        <is>
          <t>COG</t>
        </is>
      </c>
      <c r="C609" s="3" t="inlineStr">
        <is>
          <t>IMF.RES:WEO</t>
        </is>
      </c>
      <c r="D609" s="3" t="inlineStr">
        <is>
          <t>COG.LP.A</t>
        </is>
      </c>
      <c r="E609" s="3" t="inlineStr">
        <is>
          <t>Congo, Republic of</t>
        </is>
      </c>
      <c r="F609" s="3" t="inlineStr">
        <is>
          <t>Population, Persons for countries / Index for country groups</t>
        </is>
      </c>
      <c r="G609" s="3" t="n">
        <v>3.13403</v>
      </c>
      <c r="H609" s="3" t="n">
        <v>3.254101</v>
      </c>
      <c r="I609" s="3" t="n">
        <v>3.331158</v>
      </c>
      <c r="J609" s="3" t="n">
        <v>3.424653</v>
      </c>
      <c r="K609" s="3" t="n">
        <v>3.543012</v>
      </c>
      <c r="L609" s="3" t="n">
        <v>3.672839</v>
      </c>
      <c r="M609" s="3" t="n">
        <v>3.813323</v>
      </c>
      <c r="N609" s="3" t="n">
        <v>3.956329</v>
      </c>
      <c r="O609" s="3" t="n">
        <v>4.089602</v>
      </c>
      <c r="P609" s="3" t="n">
        <v>4.25723</v>
      </c>
      <c r="Q609" s="3" t="n">
        <v>4.437884</v>
      </c>
      <c r="R609" s="3" t="n">
        <v>4.584216</v>
      </c>
      <c r="S609" s="3" t="n">
        <v>4.713257</v>
      </c>
      <c r="T609" s="3" t="n">
        <v>4.828066</v>
      </c>
      <c r="U609" s="3" t="n">
        <v>4.944861</v>
      </c>
      <c r="V609" s="3" t="n">
        <v>5.064386</v>
      </c>
      <c r="W609" s="3" t="n">
        <v>5.186824</v>
      </c>
      <c r="X609" s="3" t="n">
        <v>5.31234</v>
      </c>
      <c r="Y609" s="3" t="n">
        <v>5.441062</v>
      </c>
      <c r="Z609" s="3" t="n">
        <v>5.570733</v>
      </c>
      <c r="AA609" s="3" t="n">
        <v>5.702174</v>
      </c>
      <c r="AB609" s="3" t="n">
        <v>5.835806</v>
      </c>
      <c r="AC609" s="3" t="n">
        <v>5.970424</v>
      </c>
      <c r="AD609" s="3" t="n">
        <v>6.137596</v>
      </c>
      <c r="AE609" s="3" t="n">
        <v>6.309449</v>
      </c>
      <c r="AF609" s="3" t="n">
        <v>6.486113</v>
      </c>
      <c r="AG609" s="3" t="n">
        <v>6.667724</v>
      </c>
      <c r="AH609" s="3" t="n">
        <v>6.854421</v>
      </c>
      <c r="AI609" s="3" t="n">
        <v>7.046344</v>
      </c>
      <c r="AJ609" s="3" t="n">
        <v>7.243642</v>
      </c>
      <c r="AK609" s="3" t="n">
        <v>7.446464</v>
      </c>
      <c r="AL609" s="3" t="n">
        <v>7.654965</v>
      </c>
      <c r="AM609" s="3" t="n"/>
      <c r="AN609" s="3" t="n"/>
      <c r="AO609" s="3" t="n"/>
      <c r="AP609" s="3" t="n"/>
      <c r="AQ609" s="3" t="n"/>
      <c r="AR609" s="3" t="n"/>
      <c r="AS609" s="3" t="n"/>
      <c r="AT609" s="3" t="n"/>
      <c r="AU609" s="3" t="n"/>
    </row>
    <row r="610">
      <c r="A610" s="3" t="n">
        <v>2031</v>
      </c>
      <c r="B610" s="3" t="inlineStr">
        <is>
          <t>COG</t>
        </is>
      </c>
      <c r="C610" s="3" t="inlineStr">
        <is>
          <t>IMF.RES:WEO</t>
        </is>
      </c>
      <c r="D610" s="3" t="inlineStr">
        <is>
          <t>COG.NGDP.A</t>
        </is>
      </c>
      <c r="E610" s="3" t="inlineStr">
        <is>
          <t>Congo, Republic of</t>
        </is>
      </c>
      <c r="F610" s="3" t="inlineStr">
        <is>
          <t>Gross domestic product (GDP), Current prices, Domestic currency</t>
        </is>
      </c>
      <c r="G610" s="3" t="n">
        <v>2580.266484</v>
      </c>
      <c r="H610" s="3" t="n">
        <v>2226.897305</v>
      </c>
      <c r="I610" s="3" t="n">
        <v>2320.858299</v>
      </c>
      <c r="J610" s="3" t="n">
        <v>2240.80697</v>
      </c>
      <c r="K610" s="3" t="n">
        <v>2690.990116</v>
      </c>
      <c r="L610" s="3" t="n">
        <v>3506.269</v>
      </c>
      <c r="M610" s="3" t="n">
        <v>4217.179</v>
      </c>
      <c r="N610" s="3" t="n">
        <v>4203.698</v>
      </c>
      <c r="O610" s="3" t="n">
        <v>5195.837</v>
      </c>
      <c r="P610" s="3" t="n">
        <v>4572.804993</v>
      </c>
      <c r="Q610" s="3" t="n">
        <v>6505.75132</v>
      </c>
      <c r="R610" s="3" t="n">
        <v>7377.5776</v>
      </c>
      <c r="S610" s="3" t="n">
        <v>9033.227999999999</v>
      </c>
      <c r="T610" s="3" t="n">
        <v>8869.805401</v>
      </c>
      <c r="U610" s="3" t="n">
        <v>8844.629467000001</v>
      </c>
      <c r="V610" s="3" t="n">
        <v>7029.660317</v>
      </c>
      <c r="W610" s="3" t="n">
        <v>6477.966442</v>
      </c>
      <c r="X610" s="3" t="n">
        <v>6871.766653</v>
      </c>
      <c r="Y610" s="3" t="n">
        <v>8206.110586000001</v>
      </c>
      <c r="Z610" s="3" t="n">
        <v>8189.065738</v>
      </c>
      <c r="AA610" s="3" t="n">
        <v>6601.216384</v>
      </c>
      <c r="AB610" s="3" t="n">
        <v>7419.748378</v>
      </c>
      <c r="AC610" s="3" t="n">
        <v>8693.646648</v>
      </c>
      <c r="AD610" s="3" t="n">
        <v>8593.070655</v>
      </c>
      <c r="AE610" s="3" t="n">
        <v>8956.457619999999</v>
      </c>
      <c r="AF610" s="3" t="n">
        <v>9056.301045</v>
      </c>
      <c r="AG610" s="3" t="n">
        <v>9475.313819000001</v>
      </c>
      <c r="AH610" s="3" t="n">
        <v>10006.501668</v>
      </c>
      <c r="AI610" s="3" t="n">
        <v>10682.245241</v>
      </c>
      <c r="AJ610" s="3" t="n">
        <v>11407.947627</v>
      </c>
      <c r="AK610" s="3" t="n">
        <v>12169.128139</v>
      </c>
      <c r="AL610" s="3" t="n">
        <v>12985.690703</v>
      </c>
      <c r="AM610" s="3" t="n"/>
      <c r="AN610" s="3" t="n"/>
      <c r="AO610" s="3" t="n"/>
      <c r="AP610" s="3" t="n"/>
      <c r="AQ610" s="3" t="n"/>
      <c r="AR610" s="3" t="n"/>
      <c r="AS610" s="3" t="n"/>
      <c r="AT610" s="3" t="n"/>
      <c r="AU610" s="3" t="n"/>
    </row>
    <row r="611">
      <c r="A611" s="3" t="n">
        <v>2031</v>
      </c>
      <c r="B611" s="3" t="inlineStr">
        <is>
          <t>COG</t>
        </is>
      </c>
      <c r="C611" s="3" t="inlineStr">
        <is>
          <t>IMF.RES:WEO</t>
        </is>
      </c>
      <c r="D611" s="3" t="inlineStr">
        <is>
          <t>COG.NGDP_D.A</t>
        </is>
      </c>
      <c r="E611" s="3" t="inlineStr">
        <is>
          <t>Congo, Republic of</t>
        </is>
      </c>
      <c r="F611" s="3" t="inlineStr">
        <is>
          <t>Gross domestic product (GDP), Price deflator, Index</t>
        </is>
      </c>
      <c r="G611" s="3" t="n">
        <v>77.447774</v>
      </c>
      <c r="H611" s="3" t="n">
        <v>70.22802299999999</v>
      </c>
      <c r="I611" s="3" t="n">
        <v>72.47718999999999</v>
      </c>
      <c r="J611" s="3" t="n">
        <v>69.657836</v>
      </c>
      <c r="K611" s="3" t="n">
        <v>83.817508</v>
      </c>
      <c r="L611" s="3" t="n">
        <v>100</v>
      </c>
      <c r="M611" s="3" t="n">
        <v>111.380302</v>
      </c>
      <c r="N611" s="3" t="n">
        <v>118.887465</v>
      </c>
      <c r="O611" s="3" t="n">
        <v>138.229508</v>
      </c>
      <c r="P611" s="3" t="n">
        <v>108.972934</v>
      </c>
      <c r="Q611" s="3" t="n">
        <v>141.030224</v>
      </c>
      <c r="R611" s="3" t="n">
        <v>156.477707</v>
      </c>
      <c r="S611" s="3" t="n">
        <v>174.259984</v>
      </c>
      <c r="T611" s="3" t="n">
        <v>172.335174</v>
      </c>
      <c r="U611" s="3" t="n">
        <v>161.030142</v>
      </c>
      <c r="V611" s="3" t="n">
        <v>132.697353</v>
      </c>
      <c r="W611" s="3" t="n">
        <v>128.710299</v>
      </c>
      <c r="X611" s="3" t="n">
        <v>144.626199</v>
      </c>
      <c r="Y611" s="3" t="n">
        <v>176.783026</v>
      </c>
      <c r="Z611" s="3" t="n">
        <v>174.454134</v>
      </c>
      <c r="AA611" s="3" t="n">
        <v>150.031332</v>
      </c>
      <c r="AB611" s="3" t="n">
        <v>166.871264</v>
      </c>
      <c r="AC611" s="3" t="n">
        <v>192.067044</v>
      </c>
      <c r="AD611" s="3" t="n">
        <v>186.164651</v>
      </c>
      <c r="AE611" s="3" t="n">
        <v>190.023711</v>
      </c>
      <c r="AF611" s="3" t="n">
        <v>187.698546</v>
      </c>
      <c r="AG611" s="3" t="n">
        <v>190.966016</v>
      </c>
      <c r="AH611" s="3" t="n">
        <v>195.333258</v>
      </c>
      <c r="AI611" s="3" t="n">
        <v>201.005922</v>
      </c>
      <c r="AJ611" s="3" t="n">
        <v>207.023243</v>
      </c>
      <c r="AK611" s="3" t="n">
        <v>213.198545</v>
      </c>
      <c r="AL611" s="3" t="n">
        <v>219.646201</v>
      </c>
      <c r="AM611" s="3" t="n"/>
      <c r="AN611" s="3" t="n"/>
      <c r="AO611" s="3" t="n"/>
      <c r="AP611" s="3" t="n"/>
      <c r="AQ611" s="3" t="n"/>
      <c r="AR611" s="3" t="n"/>
      <c r="AS611" s="3" t="n"/>
      <c r="AT611" s="3" t="n"/>
      <c r="AU611" s="3" t="n"/>
    </row>
    <row r="612">
      <c r="A612" s="3" t="n">
        <v>2031</v>
      </c>
      <c r="B612" s="3" t="inlineStr">
        <is>
          <t>COG</t>
        </is>
      </c>
      <c r="C612" s="3" t="inlineStr">
        <is>
          <t>IMF.RES:WEO</t>
        </is>
      </c>
      <c r="D612" s="3" t="inlineStr">
        <is>
          <t>COG.NGDP_R.A</t>
        </is>
      </c>
      <c r="E612" s="3" t="inlineStr">
        <is>
          <t>Congo, Republic of</t>
        </is>
      </c>
      <c r="F612" s="3" t="inlineStr">
        <is>
          <t>Gross domestic product (GDP), Constant prices, Domestic currency</t>
        </is>
      </c>
      <c r="G612" s="3" t="n">
        <v>3331.621245</v>
      </c>
      <c r="H612" s="3" t="n">
        <v>3170.952566</v>
      </c>
      <c r="I612" s="3" t="n">
        <v>3202.191323</v>
      </c>
      <c r="J612" s="3" t="n">
        <v>3216.877076</v>
      </c>
      <c r="K612" s="3" t="n">
        <v>3210.534621</v>
      </c>
      <c r="L612" s="3" t="n">
        <v>3506.269</v>
      </c>
      <c r="M612" s="3" t="n">
        <v>3786.288</v>
      </c>
      <c r="N612" s="3" t="n">
        <v>3535.863108</v>
      </c>
      <c r="O612" s="3" t="n">
        <v>3758.847929</v>
      </c>
      <c r="P612" s="3" t="n">
        <v>4196.275921</v>
      </c>
      <c r="Q612" s="3" t="n">
        <v>4613.019221</v>
      </c>
      <c r="R612" s="3" t="n">
        <v>4714.778705</v>
      </c>
      <c r="S612" s="3" t="n">
        <v>5183.764963</v>
      </c>
      <c r="T612" s="3" t="n">
        <v>5146.834035</v>
      </c>
      <c r="U612" s="3" t="n">
        <v>5492.530373</v>
      </c>
      <c r="V612" s="3" t="n">
        <v>5297.513591</v>
      </c>
      <c r="W612" s="3" t="n">
        <v>5032.982203</v>
      </c>
      <c r="X612" s="3" t="n">
        <v>4751.398238</v>
      </c>
      <c r="Y612" s="3" t="n">
        <v>4641.910922</v>
      </c>
      <c r="Z612" s="3" t="n">
        <v>4694.108146</v>
      </c>
      <c r="AA612" s="3" t="n">
        <v>4399.891869</v>
      </c>
      <c r="AB612" s="3" t="n">
        <v>4446.390705</v>
      </c>
      <c r="AC612" s="3" t="n">
        <v>4526.360404</v>
      </c>
      <c r="AD612" s="3" t="n">
        <v>4615.844411</v>
      </c>
      <c r="AE612" s="3" t="n">
        <v>4713.336873</v>
      </c>
      <c r="AF612" s="3" t="n">
        <v>4824.918069</v>
      </c>
      <c r="AG612" s="3" t="n">
        <v>4961.780132</v>
      </c>
      <c r="AH612" s="3" t="n">
        <v>5122.784397</v>
      </c>
      <c r="AI612" s="3" t="n">
        <v>5314.393302</v>
      </c>
      <c r="AJ612" s="3" t="n">
        <v>5510.467077</v>
      </c>
      <c r="AK612" s="3" t="n">
        <v>5707.885183</v>
      </c>
      <c r="AL612" s="3" t="n">
        <v>5912.094388</v>
      </c>
      <c r="AM612" s="3" t="n"/>
      <c r="AN612" s="3" t="n"/>
      <c r="AO612" s="3" t="n"/>
      <c r="AP612" s="3" t="n"/>
      <c r="AQ612" s="3" t="n"/>
      <c r="AR612" s="3" t="n"/>
      <c r="AS612" s="3" t="n"/>
      <c r="AT612" s="3" t="n"/>
      <c r="AU612" s="3" t="n"/>
    </row>
    <row r="613">
      <c r="A613" s="3" t="n">
        <v>2031</v>
      </c>
      <c r="B613" s="3" t="inlineStr">
        <is>
          <t>COG</t>
        </is>
      </c>
      <c r="C613" s="3" t="inlineStr">
        <is>
          <t>IMF.RES:WEO</t>
        </is>
      </c>
      <c r="D613" s="3" t="inlineStr">
        <is>
          <t>COG.NGDP_RPCH.A</t>
        </is>
      </c>
      <c r="E613" s="3" t="inlineStr">
        <is>
          <t>Congo, Republic of</t>
        </is>
      </c>
      <c r="F613" s="3" t="inlineStr">
        <is>
          <t>Gross domestic product (GDP), Constant prices, Percent change</t>
        </is>
      </c>
      <c r="G613" s="3" t="n">
        <v>11.752389</v>
      </c>
      <c r="H613" s="3" t="n">
        <v>-4.822537</v>
      </c>
      <c r="I613" s="3" t="n">
        <v>0.985154</v>
      </c>
      <c r="J613" s="3" t="n">
        <v>0.458616</v>
      </c>
      <c r="K613" s="3" t="n">
        <v>-0.197162</v>
      </c>
      <c r="L613" s="3" t="n">
        <v>9.211375</v>
      </c>
      <c r="M613" s="3" t="n">
        <v>7.986238</v>
      </c>
      <c r="N613" s="3" t="n">
        <v>-6.613995</v>
      </c>
      <c r="O613" s="3" t="n">
        <v>6.306376</v>
      </c>
      <c r="P613" s="3" t="n">
        <v>11.637289</v>
      </c>
      <c r="Q613" s="3" t="n">
        <v>9.931265</v>
      </c>
      <c r="R613" s="3" t="n">
        <v>2.205919</v>
      </c>
      <c r="S613" s="3" t="n">
        <v>9.947153</v>
      </c>
      <c r="T613" s="3" t="n">
        <v>-0.712434</v>
      </c>
      <c r="U613" s="3" t="n">
        <v>6.716679</v>
      </c>
      <c r="V613" s="3" t="n">
        <v>-3.550582</v>
      </c>
      <c r="W613" s="3" t="n">
        <v>-4.993501</v>
      </c>
      <c r="X613" s="3" t="n">
        <v>-5.594774</v>
      </c>
      <c r="Y613" s="3" t="n">
        <v>-2.304318</v>
      </c>
      <c r="Z613" s="3" t="n">
        <v>1.124477</v>
      </c>
      <c r="AA613" s="3" t="n">
        <v>-6.267778</v>
      </c>
      <c r="AB613" s="3" t="n">
        <v>1.056818</v>
      </c>
      <c r="AC613" s="3" t="n">
        <v>1.798531</v>
      </c>
      <c r="AD613" s="3" t="n">
        <v>1.976953</v>
      </c>
      <c r="AE613" s="3" t="n">
        <v>2.112126</v>
      </c>
      <c r="AF613" s="3" t="n">
        <v>2.36735</v>
      </c>
      <c r="AG613" s="3" t="n">
        <v>2.836568</v>
      </c>
      <c r="AH613" s="3" t="n">
        <v>3.244889</v>
      </c>
      <c r="AI613" s="3" t="n">
        <v>3.740327</v>
      </c>
      <c r="AJ613" s="3" t="n">
        <v>3.689486</v>
      </c>
      <c r="AK613" s="3" t="n">
        <v>3.582602</v>
      </c>
      <c r="AL613" s="3" t="n">
        <v>3.577668</v>
      </c>
      <c r="AM613" s="3" t="n"/>
      <c r="AN613" s="3" t="n"/>
      <c r="AO613" s="3" t="n"/>
      <c r="AP613" s="3" t="n"/>
      <c r="AQ613" s="3" t="n"/>
      <c r="AR613" s="3" t="n"/>
      <c r="AS613" s="3" t="n"/>
      <c r="AT613" s="3" t="n"/>
      <c r="AU613" s="3" t="n"/>
    </row>
    <row r="614">
      <c r="A614" s="3" t="n">
        <v>2031</v>
      </c>
      <c r="B614" s="3" t="inlineStr">
        <is>
          <t>COG</t>
        </is>
      </c>
      <c r="C614" s="3" t="inlineStr">
        <is>
          <t>IMF.RES:WEO</t>
        </is>
      </c>
      <c r="D614" s="3" t="inlineStr">
        <is>
          <t>COG.NGDPD.A</t>
        </is>
      </c>
      <c r="E614" s="3" t="inlineStr">
        <is>
          <t>Congo, Republic of</t>
        </is>
      </c>
      <c r="F614" s="3" t="inlineStr">
        <is>
          <t>Gross domestic product (GDP), Current prices, US dollar</t>
        </is>
      </c>
      <c r="G614" s="3" t="n">
        <v>3.624072</v>
      </c>
      <c r="H614" s="3" t="n">
        <v>3.037893</v>
      </c>
      <c r="I614" s="3" t="n">
        <v>3.329839</v>
      </c>
      <c r="J614" s="3" t="n">
        <v>3.863176</v>
      </c>
      <c r="K614" s="3" t="n">
        <v>5.100654</v>
      </c>
      <c r="L614" s="3" t="n">
        <v>6.653677</v>
      </c>
      <c r="M614" s="3" t="n">
        <v>8.072732999999999</v>
      </c>
      <c r="N614" s="3" t="n">
        <v>8.783739000000001</v>
      </c>
      <c r="O614" s="3" t="n">
        <v>11.648581</v>
      </c>
      <c r="P614" s="3" t="n">
        <v>9.712744000000001</v>
      </c>
      <c r="Q614" s="3" t="n">
        <v>13.159136</v>
      </c>
      <c r="R614" s="3" t="n">
        <v>15.652628</v>
      </c>
      <c r="S614" s="3" t="n">
        <v>17.704115</v>
      </c>
      <c r="T614" s="3" t="n">
        <v>17.958982</v>
      </c>
      <c r="U614" s="3" t="n">
        <v>17.917524</v>
      </c>
      <c r="V614" s="3" t="n">
        <v>11.891463</v>
      </c>
      <c r="W614" s="3" t="n">
        <v>10.928312</v>
      </c>
      <c r="X614" s="3" t="n">
        <v>11.830297</v>
      </c>
      <c r="Y614" s="3" t="n">
        <v>14.7806</v>
      </c>
      <c r="Z614" s="3" t="n">
        <v>13.97723</v>
      </c>
      <c r="AA614" s="3" t="n">
        <v>11.485278</v>
      </c>
      <c r="AB614" s="3" t="n">
        <v>13.387264</v>
      </c>
      <c r="AC614" s="3" t="n">
        <v>13.967432</v>
      </c>
      <c r="AD614" s="3" t="n">
        <v>14.16876</v>
      </c>
      <c r="AE614" s="3" t="n">
        <v>14.774407</v>
      </c>
      <c r="AF614" s="3" t="n">
        <v>15.591976</v>
      </c>
      <c r="AG614" s="3" t="n">
        <v>17.028493</v>
      </c>
      <c r="AH614" s="3" t="n">
        <v>17.957615</v>
      </c>
      <c r="AI614" s="3" t="n">
        <v>19.118656</v>
      </c>
      <c r="AJ614" s="3" t="n">
        <v>20.405248</v>
      </c>
      <c r="AK614" s="3" t="n">
        <v>21.7209</v>
      </c>
      <c r="AL614" s="3" t="n">
        <v>23.213733</v>
      </c>
      <c r="AM614" s="3" t="n"/>
      <c r="AN614" s="3" t="n"/>
      <c r="AO614" s="3" t="n"/>
      <c r="AP614" s="3" t="n"/>
      <c r="AQ614" s="3" t="n"/>
      <c r="AR614" s="3" t="n"/>
      <c r="AS614" s="3" t="n"/>
      <c r="AT614" s="3" t="n"/>
      <c r="AU614" s="3" t="n"/>
    </row>
    <row r="615">
      <c r="A615" s="3" t="n">
        <v>2031</v>
      </c>
      <c r="B615" s="3" t="inlineStr">
        <is>
          <t>COG</t>
        </is>
      </c>
      <c r="C615" s="3" t="inlineStr">
        <is>
          <t>IMF.RES:WEO</t>
        </is>
      </c>
      <c r="D615" s="3" t="inlineStr">
        <is>
          <t>COG.NGDPPC.A</t>
        </is>
      </c>
      <c r="E615" s="3" t="inlineStr">
        <is>
          <t>Congo, Republic of</t>
        </is>
      </c>
      <c r="F615" s="3" t="inlineStr">
        <is>
          <t>Gross domestic product (GDP), Current prices, Per capita, Domestic currency</t>
        </is>
      </c>
      <c r="G615" s="3" t="n">
        <v>823306.249169</v>
      </c>
      <c r="H615" s="3" t="n">
        <v>684335.644597</v>
      </c>
      <c r="I615" s="3" t="n">
        <v>696712.163922</v>
      </c>
      <c r="J615" s="3" t="n">
        <v>654316.501487</v>
      </c>
      <c r="K615" s="3" t="n">
        <v>759520.463424</v>
      </c>
      <c r="L615" s="3" t="n">
        <v>954648.161817</v>
      </c>
      <c r="M615" s="3" t="n">
        <v>1105906.580691</v>
      </c>
      <c r="N615" s="3" t="n">
        <v>1062524.88102</v>
      </c>
      <c r="O615" s="3" t="n">
        <v>1270499.427573</v>
      </c>
      <c r="P615" s="3" t="n">
        <v>1074126.836758</v>
      </c>
      <c r="Q615" s="3" t="n">
        <v>1465957.947526</v>
      </c>
      <c r="R615" s="3" t="n">
        <v>1609343.364274</v>
      </c>
      <c r="S615" s="3" t="n">
        <v>1916557.488802</v>
      </c>
      <c r="T615" s="3" t="n">
        <v>1837134.248118</v>
      </c>
      <c r="U615" s="3" t="n">
        <v>1788650.776508</v>
      </c>
      <c r="V615" s="3" t="n">
        <v>1388057.766003</v>
      </c>
      <c r="W615" s="3" t="n">
        <v>1248927.367043</v>
      </c>
      <c r="X615" s="3" t="n">
        <v>1293547.975655</v>
      </c>
      <c r="Y615" s="3" t="n">
        <v>1508181.78255</v>
      </c>
      <c r="Z615" s="3" t="n">
        <v>1470015.837817</v>
      </c>
      <c r="AA615" s="3" t="n">
        <v>1157666.59943</v>
      </c>
      <c r="AB615" s="3" t="n">
        <v>1271417.928944</v>
      </c>
      <c r="AC615" s="3" t="n">
        <v>1456118.80297</v>
      </c>
      <c r="AD615" s="3" t="n">
        <v>1400071.108394</v>
      </c>
      <c r="AE615" s="3" t="n">
        <v>1419530.968534</v>
      </c>
      <c r="AF615" s="3" t="n">
        <v>1396260.114906</v>
      </c>
      <c r="AG615" s="3" t="n">
        <v>1421071.630485</v>
      </c>
      <c r="AH615" s="3" t="n">
        <v>1459861.059835</v>
      </c>
      <c r="AI615" s="3" t="n">
        <v>1515998.186811</v>
      </c>
      <c r="AJ615" s="3" t="n">
        <v>1574891.147026</v>
      </c>
      <c r="AK615" s="3" t="n">
        <v>1634215.677551</v>
      </c>
      <c r="AL615" s="3" t="n">
        <v>1696374.940094</v>
      </c>
      <c r="AM615" s="3" t="n"/>
      <c r="AN615" s="3" t="n"/>
      <c r="AO615" s="3" t="n"/>
      <c r="AP615" s="3" t="n"/>
      <c r="AQ615" s="3" t="n"/>
      <c r="AR615" s="3" t="n"/>
      <c r="AS615" s="3" t="n"/>
      <c r="AT615" s="3" t="n"/>
      <c r="AU615" s="3" t="n"/>
    </row>
    <row r="616">
      <c r="A616" s="3" t="n">
        <v>2031</v>
      </c>
      <c r="B616" s="3" t="inlineStr">
        <is>
          <t>COG</t>
        </is>
      </c>
      <c r="C616" s="3" t="inlineStr">
        <is>
          <t>IMF.RES:WEO</t>
        </is>
      </c>
      <c r="D616" s="3" t="inlineStr">
        <is>
          <t>COG.NGDPRPC.A</t>
        </is>
      </c>
      <c r="E616" s="3" t="inlineStr">
        <is>
          <t>Congo, Republic of</t>
        </is>
      </c>
      <c r="F616" s="3" t="inlineStr">
        <is>
          <t>Gross domestic product (GDP), Constant prices, Per capita, Domestic currency</t>
        </is>
      </c>
      <c r="G616" s="3" t="n">
        <v>1063047.017667</v>
      </c>
      <c r="H616" s="3" t="n">
        <v>974448.108888</v>
      </c>
      <c r="I616" s="3" t="n">
        <v>961284.731205</v>
      </c>
      <c r="J616" s="3" t="n">
        <v>939329.349968</v>
      </c>
      <c r="K616" s="3" t="n">
        <v>906159.6802140001</v>
      </c>
      <c r="L616" s="3" t="n">
        <v>954648.161817</v>
      </c>
      <c r="M616" s="3" t="n">
        <v>992910.382887</v>
      </c>
      <c r="N616" s="3" t="n">
        <v>893723.223816</v>
      </c>
      <c r="O616" s="3" t="n">
        <v>919123.163896</v>
      </c>
      <c r="P616" s="3" t="n">
        <v>985682.220753</v>
      </c>
      <c r="Q616" s="3" t="n">
        <v>1039463.676979</v>
      </c>
      <c r="R616" s="3" t="n">
        <v>1028480.923421</v>
      </c>
      <c r="S616" s="3" t="n">
        <v>1099826.502749</v>
      </c>
      <c r="T616" s="3" t="n">
        <v>1066023.959788</v>
      </c>
      <c r="U616" s="3" t="n">
        <v>1110755.26155</v>
      </c>
      <c r="V616" s="3" t="n">
        <v>1046032.745428</v>
      </c>
      <c r="W616" s="3" t="n">
        <v>970339.884926</v>
      </c>
      <c r="X616" s="3" t="n">
        <v>894407.782194</v>
      </c>
      <c r="Y616" s="3" t="n">
        <v>853125.901204</v>
      </c>
      <c r="Z616" s="3" t="n">
        <v>842637.431456</v>
      </c>
      <c r="AA616" s="3" t="n">
        <v>771616.55693</v>
      </c>
      <c r="AB616" s="3" t="n">
        <v>761915.441488</v>
      </c>
      <c r="AC616" s="3" t="n">
        <v>758130.478495</v>
      </c>
      <c r="AD616" s="3" t="n">
        <v>752060.661359</v>
      </c>
      <c r="AE616" s="3" t="n">
        <v>747028.33871</v>
      </c>
      <c r="AF616" s="3" t="n">
        <v>743884.354527</v>
      </c>
      <c r="AG616" s="3" t="n">
        <v>744148.9661899999</v>
      </c>
      <c r="AH616" s="3" t="n">
        <v>747369.431128</v>
      </c>
      <c r="AI616" s="3" t="n">
        <v>754205.7336480001</v>
      </c>
      <c r="AJ616" s="3" t="n">
        <v>760731.561768</v>
      </c>
      <c r="AK616" s="3" t="n">
        <v>766522.904875</v>
      </c>
      <c r="AL616" s="3" t="n">
        <v>772321.549366</v>
      </c>
      <c r="AM616" s="3" t="n"/>
      <c r="AN616" s="3" t="n"/>
      <c r="AO616" s="3" t="n"/>
      <c r="AP616" s="3" t="n"/>
      <c r="AQ616" s="3" t="n"/>
      <c r="AR616" s="3" t="n"/>
      <c r="AS616" s="3" t="n"/>
      <c r="AT616" s="3" t="n"/>
      <c r="AU616" s="3" t="n"/>
    </row>
    <row r="617">
      <c r="A617" s="3" t="n">
        <v>2031</v>
      </c>
      <c r="B617" s="3" t="inlineStr">
        <is>
          <t>COG</t>
        </is>
      </c>
      <c r="C617" s="3" t="inlineStr">
        <is>
          <t>IMF.RES:WEO</t>
        </is>
      </c>
      <c r="D617" s="3" t="inlineStr">
        <is>
          <t>COG.PCPI.A</t>
        </is>
      </c>
      <c r="E617" s="3" t="inlineStr">
        <is>
          <t>Congo, Republic of</t>
        </is>
      </c>
      <c r="F617" s="3" t="inlineStr">
        <is>
          <t>All Items, Consumer price index (CPI), Period average</t>
        </is>
      </c>
      <c r="G617" s="3" t="n">
        <v>61.251096</v>
      </c>
      <c r="H617" s="3" t="n">
        <v>61.768066</v>
      </c>
      <c r="I617" s="3" t="n">
        <v>63.611748</v>
      </c>
      <c r="J617" s="3" t="n">
        <v>64.686798</v>
      </c>
      <c r="K617" s="3" t="n">
        <v>67.061061</v>
      </c>
      <c r="L617" s="3" t="n">
        <v>68.714826</v>
      </c>
      <c r="M617" s="3" t="n">
        <v>71.91539400000001</v>
      </c>
      <c r="N617" s="3" t="n">
        <v>73.781299</v>
      </c>
      <c r="O617" s="3" t="n">
        <v>78.223296</v>
      </c>
      <c r="P617" s="3" t="n">
        <v>81.617589</v>
      </c>
      <c r="Q617" s="3" t="n">
        <v>81.936634</v>
      </c>
      <c r="R617" s="3" t="n">
        <v>83.379313</v>
      </c>
      <c r="S617" s="3" t="n">
        <v>87.555832</v>
      </c>
      <c r="T617" s="3" t="n">
        <v>91.61057599999999</v>
      </c>
      <c r="U617" s="3" t="n">
        <v>92.446382</v>
      </c>
      <c r="V617" s="3" t="n">
        <v>95.375455</v>
      </c>
      <c r="W617" s="3" t="n">
        <v>98.418481</v>
      </c>
      <c r="X617" s="3" t="n">
        <v>98.860365</v>
      </c>
      <c r="Y617" s="3" t="n">
        <v>100</v>
      </c>
      <c r="Z617" s="3" t="n">
        <v>100.4</v>
      </c>
      <c r="AA617" s="3" t="n">
        <v>101.778742</v>
      </c>
      <c r="AB617" s="3" t="n">
        <v>103.782791</v>
      </c>
      <c r="AC617" s="3" t="n">
        <v>106.922958</v>
      </c>
      <c r="AD617" s="3" t="n">
        <v>111.531672</v>
      </c>
      <c r="AE617" s="3" t="n">
        <v>114.958601</v>
      </c>
      <c r="AF617" s="3" t="n">
        <v>117.98163</v>
      </c>
      <c r="AG617" s="3" t="n">
        <v>121.285116</v>
      </c>
      <c r="AH617" s="3" t="n">
        <v>124.92367</v>
      </c>
      <c r="AI617" s="3" t="n">
        <v>128.67138</v>
      </c>
      <c r="AJ617" s="3" t="n">
        <v>132.531521</v>
      </c>
      <c r="AK617" s="3" t="n">
        <v>136.507467</v>
      </c>
      <c r="AL617" s="3" t="n">
        <v>140.602691</v>
      </c>
      <c r="AM617" s="3" t="n"/>
      <c r="AN617" s="3" t="n"/>
      <c r="AO617" s="3" t="n"/>
      <c r="AP617" s="3" t="n"/>
      <c r="AQ617" s="3" t="n"/>
      <c r="AR617" s="3" t="n"/>
      <c r="AS617" s="3" t="n"/>
      <c r="AT617" s="3" t="n"/>
      <c r="AU617" s="3" t="n"/>
    </row>
    <row r="618">
      <c r="A618" s="3" t="n">
        <v>2031</v>
      </c>
      <c r="B618" s="3" t="inlineStr">
        <is>
          <t>COG</t>
        </is>
      </c>
      <c r="C618" s="3" t="inlineStr">
        <is>
          <t>IMF.RES:WEO</t>
        </is>
      </c>
      <c r="D618" s="3" t="inlineStr">
        <is>
          <t>COG.PCPIPCH.A</t>
        </is>
      </c>
      <c r="E618" s="3" t="inlineStr">
        <is>
          <t>Congo, Republic of</t>
        </is>
      </c>
      <c r="F618" s="3" t="inlineStr">
        <is>
          <t>All Items, Consumer price index (CPI), Period average, percent change</t>
        </is>
      </c>
      <c r="G618" s="3" t="n">
        <v>0.5</v>
      </c>
      <c r="H618" s="3" t="n">
        <v>0.844017</v>
      </c>
      <c r="I618" s="3" t="n">
        <v>2.984847</v>
      </c>
      <c r="J618" s="3" t="n">
        <v>1.690018</v>
      </c>
      <c r="K618" s="3" t="n">
        <v>3.670399</v>
      </c>
      <c r="L618" s="3" t="n">
        <v>2.466058</v>
      </c>
      <c r="M618" s="3" t="n">
        <v>4.657755</v>
      </c>
      <c r="N618" s="3" t="n">
        <v>2.594584</v>
      </c>
      <c r="O618" s="3" t="n">
        <v>6.020491</v>
      </c>
      <c r="P618" s="3" t="n">
        <v>4.339236</v>
      </c>
      <c r="Q618" s="3" t="n">
        <v>0.390902</v>
      </c>
      <c r="R618" s="3" t="n">
        <v>1.760726</v>
      </c>
      <c r="S618" s="3" t="n">
        <v>5.009058</v>
      </c>
      <c r="T618" s="3" t="n">
        <v>4.631039</v>
      </c>
      <c r="U618" s="3" t="n">
        <v>0.912346</v>
      </c>
      <c r="V618" s="3" t="n">
        <v>3.168402</v>
      </c>
      <c r="W618" s="3" t="n">
        <v>3.190575</v>
      </c>
      <c r="X618" s="3" t="n">
        <v>0.448985</v>
      </c>
      <c r="Y618" s="3" t="n">
        <v>1.152772</v>
      </c>
      <c r="Z618" s="3" t="n">
        <v>0.4</v>
      </c>
      <c r="AA618" s="3" t="n">
        <v>1.373249</v>
      </c>
      <c r="AB618" s="3" t="n">
        <v>1.969025</v>
      </c>
      <c r="AC618" s="3" t="n">
        <v>3.025711</v>
      </c>
      <c r="AD618" s="3" t="n">
        <v>4.310313</v>
      </c>
      <c r="AE618" s="3" t="n">
        <v>3.072606</v>
      </c>
      <c r="AF618" s="3" t="n">
        <v>2.629668</v>
      </c>
      <c r="AG618" s="3" t="n">
        <v>2.8</v>
      </c>
      <c r="AH618" s="3" t="n">
        <v>3</v>
      </c>
      <c r="AI618" s="3" t="n">
        <v>3</v>
      </c>
      <c r="AJ618" s="3" t="n">
        <v>3</v>
      </c>
      <c r="AK618" s="3" t="n">
        <v>3</v>
      </c>
      <c r="AL618" s="3" t="n">
        <v>3</v>
      </c>
      <c r="AM618" s="3" t="n"/>
      <c r="AN618" s="3" t="n"/>
      <c r="AO618" s="3" t="n"/>
      <c r="AP618" s="3" t="n"/>
      <c r="AQ618" s="3" t="n"/>
      <c r="AR618" s="3" t="n"/>
      <c r="AS618" s="3" t="n"/>
      <c r="AT618" s="3" t="n"/>
      <c r="AU618" s="3" t="n"/>
    </row>
    <row r="619">
      <c r="A619" s="3" t="n">
        <v>2031</v>
      </c>
      <c r="B619" s="3" t="inlineStr">
        <is>
          <t>COG</t>
        </is>
      </c>
      <c r="C619" s="3" t="inlineStr">
        <is>
          <t>IMF.RES:WEO</t>
        </is>
      </c>
      <c r="D619" s="3" t="inlineStr">
        <is>
          <t>COG.PPPPC.A</t>
        </is>
      </c>
      <c r="E619" s="3" t="inlineStr">
        <is>
          <t>Congo, Republic of</t>
        </is>
      </c>
      <c r="F619" s="3" t="inlineStr">
        <is>
          <t>Gross domestic product (GDP), Per capita, purchasing power parity (PPP) international dollar, ICP benchmarks 2017-2021</t>
        </is>
      </c>
      <c r="G619" s="3" t="n">
        <v>3869.642389</v>
      </c>
      <c r="H619" s="3" t="n">
        <v>3626.997652</v>
      </c>
      <c r="I619" s="3" t="n">
        <v>3633.605619</v>
      </c>
      <c r="J619" s="3" t="n">
        <v>3620.712242</v>
      </c>
      <c r="K619" s="3" t="n">
        <v>3586.776159</v>
      </c>
      <c r="L619" s="3" t="n">
        <v>3897.197456</v>
      </c>
      <c r="M619" s="3" t="n">
        <v>4178.398797</v>
      </c>
      <c r="N619" s="3" t="n">
        <v>3862.891606</v>
      </c>
      <c r="O619" s="3" t="n">
        <v>4049.206481</v>
      </c>
      <c r="P619" s="3" t="n">
        <v>4369.214691</v>
      </c>
      <c r="Q619" s="3" t="n">
        <v>4663.610451</v>
      </c>
      <c r="R619" s="3" t="n">
        <v>4709.540935</v>
      </c>
      <c r="S619" s="3" t="n">
        <v>5130.01253</v>
      </c>
      <c r="T619" s="3" t="n">
        <v>5056.974057</v>
      </c>
      <c r="U619" s="3" t="n">
        <v>5360.943031</v>
      </c>
      <c r="V619" s="3" t="n">
        <v>5095.420024</v>
      </c>
      <c r="W619" s="3" t="n">
        <v>4771.6203</v>
      </c>
      <c r="X619" s="3" t="n">
        <v>4476.993602</v>
      </c>
      <c r="Y619" s="3" t="n">
        <v>5636.425589</v>
      </c>
      <c r="Z619" s="3" t="n">
        <v>5766.754924</v>
      </c>
      <c r="AA619" s="3" t="n">
        <v>4813.315627</v>
      </c>
      <c r="AB619" s="3" t="n">
        <v>5707.174444</v>
      </c>
      <c r="AC619" s="3" t="n">
        <v>6082.724346</v>
      </c>
      <c r="AD619" s="3" t="n">
        <v>6257.285164</v>
      </c>
      <c r="AE619" s="3" t="n">
        <v>6369.715769</v>
      </c>
      <c r="AF619" s="3" t="n">
        <v>6522.841324</v>
      </c>
      <c r="AG619" s="3" t="n">
        <v>6712.097749</v>
      </c>
      <c r="AH619" s="3" t="n">
        <v>6889.174756</v>
      </c>
      <c r="AI619" s="3" t="n">
        <v>7066.303696</v>
      </c>
      <c r="AJ619" s="3" t="n">
        <v>7254.179197</v>
      </c>
      <c r="AK619" s="3" t="n">
        <v>7443.716515</v>
      </c>
      <c r="AL619" s="3" t="n">
        <v>7635.425373</v>
      </c>
      <c r="AM619" s="3" t="n"/>
      <c r="AN619" s="3" t="n"/>
      <c r="AO619" s="3" t="n"/>
      <c r="AP619" s="3" t="n"/>
      <c r="AQ619" s="3" t="n"/>
      <c r="AR619" s="3" t="n"/>
      <c r="AS619" s="3" t="n"/>
      <c r="AT619" s="3" t="n"/>
      <c r="AU619" s="3" t="n"/>
    </row>
    <row r="620">
      <c r="A620" s="3" t="n">
        <v>2025</v>
      </c>
      <c r="B620" s="3" t="inlineStr">
        <is>
          <t>COG</t>
        </is>
      </c>
      <c r="C620" s="3" t="inlineStr">
        <is>
          <t>IMF.STA:ER</t>
        </is>
      </c>
      <c r="D620" s="3" t="inlineStr">
        <is>
          <t>COG.XDC_USD.PA_RT.A</t>
        </is>
      </c>
      <c r="E620" s="3" t="inlineStr">
        <is>
          <t>Congo, Republic of</t>
        </is>
      </c>
      <c r="F620" s="3" t="inlineStr">
        <is>
          <t>Domestic currency per US Dollar</t>
        </is>
      </c>
      <c r="G620" s="3" t="n">
        <v>710.207977031367</v>
      </c>
      <c r="H620" s="3" t="n">
        <v>732.397693260228</v>
      </c>
      <c r="I620" s="3" t="n">
        <v>693.713226496374</v>
      </c>
      <c r="J620" s="3" t="n">
        <v>579.897426172466</v>
      </c>
      <c r="K620" s="3" t="n">
        <v>527.338032291576</v>
      </c>
      <c r="L620" s="3" t="n">
        <v>527.258362649626</v>
      </c>
      <c r="M620" s="3" t="n">
        <v>522.425624895176</v>
      </c>
      <c r="N620" s="3" t="n">
        <v>478.633718476363</v>
      </c>
      <c r="O620" s="3" t="n">
        <v>446.000041432788</v>
      </c>
      <c r="P620" s="3" t="n">
        <v>470.293423341398</v>
      </c>
      <c r="Q620" s="3" t="n">
        <v>494.794262222947</v>
      </c>
      <c r="R620" s="3" t="n">
        <v>471.248625718937</v>
      </c>
      <c r="S620" s="3" t="n">
        <v>510.556338454251</v>
      </c>
      <c r="T620" s="3" t="n">
        <v>493.899623852237</v>
      </c>
      <c r="U620" s="3" t="n">
        <v>493.757329875312</v>
      </c>
      <c r="V620" s="3" t="n">
        <v>591.21169798261</v>
      </c>
      <c r="W620" s="3" t="n">
        <v>592.605615063022</v>
      </c>
      <c r="X620" s="3" t="n">
        <v>580.656749587858</v>
      </c>
      <c r="Y620" s="3" t="n">
        <v>555.446458398226</v>
      </c>
      <c r="Z620" s="3" t="n">
        <v>585.911013180369</v>
      </c>
      <c r="AA620" s="3" t="n">
        <v>575.586004510945</v>
      </c>
      <c r="AB620" s="3" t="n">
        <v>554.530675033104</v>
      </c>
      <c r="AC620" s="3" t="n">
        <v>623.759700911182</v>
      </c>
      <c r="AD620" s="3" t="n">
        <v>606.569750165917</v>
      </c>
      <c r="AE620" s="3" t="n">
        <v>606.345297609062</v>
      </c>
      <c r="AF620" s="3" t="n">
        <v>581.928481040339</v>
      </c>
      <c r="AG620" s="3" t="n"/>
      <c r="AH620" s="3" t="n"/>
      <c r="AI620" s="3" t="n"/>
      <c r="AJ620" s="3" t="n"/>
      <c r="AK620" s="3" t="n"/>
      <c r="AL620" s="3" t="n"/>
      <c r="AM620" s="3" t="n"/>
      <c r="AN620" s="3" t="n"/>
      <c r="AO620" s="3" t="n"/>
      <c r="AP620" s="3" t="n"/>
      <c r="AQ620" s="3" t="n"/>
      <c r="AR620" s="3" t="n"/>
      <c r="AS620" s="3" t="n"/>
      <c r="AT620" s="3" t="n"/>
      <c r="AU620" s="3" t="n"/>
    </row>
    <row r="621">
      <c r="A621" s="3" t="n">
        <v>2031</v>
      </c>
      <c r="B621" s="3" t="inlineStr">
        <is>
          <t>COL</t>
        </is>
      </c>
      <c r="C621" s="3" t="inlineStr">
        <is>
          <t>IMF.RES:WEO</t>
        </is>
      </c>
      <c r="D621" s="3" t="inlineStr">
        <is>
          <t>COL.BCA.A</t>
        </is>
      </c>
      <c r="E621" s="3" t="inlineStr">
        <is>
          <t>Colombia</t>
        </is>
      </c>
      <c r="F621" s="3" t="inlineStr">
        <is>
          <t>Current account balance (credit less debit), US dollar</t>
        </is>
      </c>
      <c r="G621" s="3" t="n">
        <v>0.84541</v>
      </c>
      <c r="H621" s="3" t="n">
        <v>-1.04032</v>
      </c>
      <c r="I621" s="3" t="n">
        <v>-1.28922</v>
      </c>
      <c r="J621" s="3" t="n">
        <v>-0.91201</v>
      </c>
      <c r="K621" s="3" t="n">
        <v>-0.77458</v>
      </c>
      <c r="L621" s="3" t="n">
        <v>-1.94776</v>
      </c>
      <c r="M621" s="3" t="n">
        <v>-2.99103</v>
      </c>
      <c r="N621" s="3" t="n">
        <v>-6.14964</v>
      </c>
      <c r="O621" s="3" t="n">
        <v>-6.4973</v>
      </c>
      <c r="P621" s="3" t="n">
        <v>-4.43301</v>
      </c>
      <c r="Q621" s="3" t="n">
        <v>-8.58301</v>
      </c>
      <c r="R621" s="3" t="n">
        <v>-9.73451</v>
      </c>
      <c r="S621" s="3" t="n">
        <v>-11.64001</v>
      </c>
      <c r="T621" s="3" t="n">
        <v>-12.36512</v>
      </c>
      <c r="U621" s="3" t="n">
        <v>-19.81852</v>
      </c>
      <c r="V621" s="3" t="n">
        <v>-18.70221</v>
      </c>
      <c r="W621" s="3" t="n">
        <v>-12.58658</v>
      </c>
      <c r="X621" s="3" t="n">
        <v>-9.92435</v>
      </c>
      <c r="Y621" s="3" t="n">
        <v>-14.04099</v>
      </c>
      <c r="Z621" s="3" t="n">
        <v>-14.80866</v>
      </c>
      <c r="AA621" s="3" t="n">
        <v>-9.26681</v>
      </c>
      <c r="AB621" s="3" t="n">
        <v>-17.94942</v>
      </c>
      <c r="AC621" s="3" t="n">
        <v>-20.87808</v>
      </c>
      <c r="AD621" s="3" t="n">
        <v>-8.31996</v>
      </c>
      <c r="AE621" s="3" t="n">
        <v>-7.01237</v>
      </c>
      <c r="AF621" s="3" t="n">
        <v>-10.88288</v>
      </c>
      <c r="AG621" s="3" t="n">
        <v>-13.720866</v>
      </c>
      <c r="AH621" s="3" t="n">
        <v>-14.241223</v>
      </c>
      <c r="AI621" s="3" t="n">
        <v>-15.980707</v>
      </c>
      <c r="AJ621" s="3" t="n">
        <v>-18.310072</v>
      </c>
      <c r="AK621" s="3" t="n">
        <v>-20.212533</v>
      </c>
      <c r="AL621" s="3" t="n">
        <v>-21.107309</v>
      </c>
      <c r="AM621" s="3" t="n"/>
      <c r="AN621" s="3" t="n"/>
      <c r="AO621" s="3" t="n"/>
      <c r="AP621" s="3" t="n"/>
      <c r="AQ621" s="3" t="n"/>
      <c r="AR621" s="3" t="n"/>
      <c r="AS621" s="3" t="n"/>
      <c r="AT621" s="3" t="n"/>
      <c r="AU621" s="3" t="n"/>
    </row>
    <row r="622">
      <c r="A622" s="3" t="n">
        <v>2031</v>
      </c>
      <c r="B622" s="3" t="inlineStr">
        <is>
          <t>COL</t>
        </is>
      </c>
      <c r="C622" s="3" t="inlineStr">
        <is>
          <t>IMF.RES:WEO</t>
        </is>
      </c>
      <c r="D622" s="3" t="inlineStr">
        <is>
          <t>COL.BCA_NGDPD.A</t>
        </is>
      </c>
      <c r="E622" s="3" t="inlineStr">
        <is>
          <t>Colombia</t>
        </is>
      </c>
      <c r="F622" s="3" t="inlineStr">
        <is>
          <t>Current account balance (credit less debit), Percent of GDP</t>
        </is>
      </c>
      <c r="G622" s="3" t="n">
        <v>0.851625</v>
      </c>
      <c r="H622" s="3" t="n">
        <v>-1.065838</v>
      </c>
      <c r="I622" s="3" t="n">
        <v>-1.32428</v>
      </c>
      <c r="J622" s="3" t="n">
        <v>-0.969485</v>
      </c>
      <c r="K622" s="3" t="n">
        <v>-0.665547</v>
      </c>
      <c r="L622" s="3" t="n">
        <v>-1.337742</v>
      </c>
      <c r="M622" s="3" t="n">
        <v>-1.848678</v>
      </c>
      <c r="N622" s="3" t="n">
        <v>-2.981939</v>
      </c>
      <c r="O622" s="3" t="n">
        <v>-2.679259</v>
      </c>
      <c r="P622" s="3" t="n">
        <v>-1.906928</v>
      </c>
      <c r="Q622" s="3" t="n">
        <v>-2.995825</v>
      </c>
      <c r="R622" s="3" t="n">
        <v>-2.906113</v>
      </c>
      <c r="S622" s="3" t="n">
        <v>-3.140078</v>
      </c>
      <c r="T622" s="3" t="n">
        <v>-3.236149</v>
      </c>
      <c r="U622" s="3" t="n">
        <v>-5.198425</v>
      </c>
      <c r="V622" s="3" t="n">
        <v>-6.372295</v>
      </c>
      <c r="W622" s="3" t="n">
        <v>-4.45196</v>
      </c>
      <c r="X622" s="3" t="n">
        <v>-3.182006</v>
      </c>
      <c r="Y622" s="3" t="n">
        <v>-4.202324</v>
      </c>
      <c r="Z622" s="3" t="n">
        <v>-4.583944</v>
      </c>
      <c r="AA622" s="3" t="n">
        <v>-3.42773</v>
      </c>
      <c r="AB622" s="3" t="n">
        <v>-5.63517</v>
      </c>
      <c r="AC622" s="3" t="n">
        <v>-6.040543</v>
      </c>
      <c r="AD622" s="3" t="n">
        <v>-2.267628</v>
      </c>
      <c r="AE622" s="3" t="n">
        <v>-1.667611</v>
      </c>
      <c r="AF622" s="3" t="n">
        <v>-2.379238</v>
      </c>
      <c r="AG622" s="3" t="n">
        <v>-2.543115</v>
      </c>
      <c r="AH622" s="3" t="n">
        <v>-2.568837</v>
      </c>
      <c r="AI622" s="3" t="n">
        <v>-2.763688</v>
      </c>
      <c r="AJ622" s="3" t="n">
        <v>-3.02942</v>
      </c>
      <c r="AK622" s="3" t="n">
        <v>-3.197491</v>
      </c>
      <c r="AL622" s="3" t="n">
        <v>-3.192572</v>
      </c>
      <c r="AM622" s="3" t="n"/>
      <c r="AN622" s="3" t="n"/>
      <c r="AO622" s="3" t="n"/>
      <c r="AP622" s="3" t="n"/>
      <c r="AQ622" s="3" t="n"/>
      <c r="AR622" s="3" t="n"/>
      <c r="AS622" s="3" t="n"/>
      <c r="AT622" s="3" t="n"/>
      <c r="AU622" s="3" t="n"/>
    </row>
    <row r="623">
      <c r="A623" s="3" t="n">
        <v>2031</v>
      </c>
      <c r="B623" s="3" t="inlineStr">
        <is>
          <t>COL</t>
        </is>
      </c>
      <c r="C623" s="3" t="inlineStr">
        <is>
          <t>IMF.RES:WEO</t>
        </is>
      </c>
      <c r="D623" s="3" t="inlineStr">
        <is>
          <t>COL.GGR_NGDP.A</t>
        </is>
      </c>
      <c r="E623" s="3" t="inlineStr">
        <is>
          <t>Colombia</t>
        </is>
      </c>
      <c r="F623" s="3" t="inlineStr">
        <is>
          <t>Revenue, General government, Percent of GDP</t>
        </is>
      </c>
      <c r="G623" s="3" t="n">
        <v>23.642232</v>
      </c>
      <c r="H623" s="3" t="n">
        <v>24.798005</v>
      </c>
      <c r="I623" s="3" t="n">
        <v>24.621741</v>
      </c>
      <c r="J623" s="3" t="n">
        <v>25.311846</v>
      </c>
      <c r="K623" s="3" t="n">
        <v>25.32034</v>
      </c>
      <c r="L623" s="3" t="n">
        <v>25.86856</v>
      </c>
      <c r="M623" s="3" t="n">
        <v>27.448513</v>
      </c>
      <c r="N623" s="3" t="n">
        <v>27.342456</v>
      </c>
      <c r="O623" s="3" t="n">
        <v>28.47067</v>
      </c>
      <c r="P623" s="3" t="n">
        <v>28.24017</v>
      </c>
      <c r="Q623" s="3" t="n">
        <v>27.047403</v>
      </c>
      <c r="R623" s="3" t="n">
        <v>28.240342</v>
      </c>
      <c r="S623" s="3" t="n">
        <v>29.247337</v>
      </c>
      <c r="T623" s="3" t="n">
        <v>28.977619</v>
      </c>
      <c r="U623" s="3" t="n">
        <v>29.517127</v>
      </c>
      <c r="V623" s="3" t="n">
        <v>27.757128</v>
      </c>
      <c r="W623" s="3" t="n">
        <v>27.719668</v>
      </c>
      <c r="X623" s="3" t="n">
        <v>26.824972</v>
      </c>
      <c r="Y623" s="3" t="n">
        <v>29.990242</v>
      </c>
      <c r="Z623" s="3" t="n">
        <v>29.397056</v>
      </c>
      <c r="AA623" s="3" t="n">
        <v>26.588116</v>
      </c>
      <c r="AB623" s="3" t="n">
        <v>27.198069</v>
      </c>
      <c r="AC623" s="3" t="n">
        <v>27.727356</v>
      </c>
      <c r="AD623" s="3" t="n">
        <v>32.170877</v>
      </c>
      <c r="AE623" s="3" t="n">
        <v>28.326883</v>
      </c>
      <c r="AF623" s="3" t="n">
        <v>27.427114</v>
      </c>
      <c r="AG623" s="3" t="n">
        <v>27.850833</v>
      </c>
      <c r="AH623" s="3" t="n">
        <v>28.271377</v>
      </c>
      <c r="AI623" s="3" t="n">
        <v>29.16447</v>
      </c>
      <c r="AJ623" s="3" t="n">
        <v>29.284567</v>
      </c>
      <c r="AK623" s="3" t="n">
        <v>29.473355</v>
      </c>
      <c r="AL623" s="3" t="n">
        <v>29.517786</v>
      </c>
      <c r="AM623" s="3" t="n"/>
      <c r="AN623" s="3" t="n"/>
      <c r="AO623" s="3" t="n"/>
      <c r="AP623" s="3" t="n"/>
      <c r="AQ623" s="3" t="n"/>
      <c r="AR623" s="3" t="n"/>
      <c r="AS623" s="3" t="n"/>
      <c r="AT623" s="3" t="n"/>
      <c r="AU623" s="3" t="n"/>
    </row>
    <row r="624">
      <c r="A624" s="3" t="n">
        <v>2031</v>
      </c>
      <c r="B624" s="3" t="inlineStr">
        <is>
          <t>COL</t>
        </is>
      </c>
      <c r="C624" s="3" t="inlineStr">
        <is>
          <t>IMF.RES:WEO</t>
        </is>
      </c>
      <c r="D624" s="3" t="inlineStr">
        <is>
          <t>COL.GGX_NGDP.A</t>
        </is>
      </c>
      <c r="E624" s="3" t="inlineStr">
        <is>
          <t>Colombia</t>
        </is>
      </c>
      <c r="F624" s="3" t="inlineStr">
        <is>
          <t>Expenditure, General government, Percent of GDP</t>
        </is>
      </c>
      <c r="G624" s="3" t="n">
        <v>26.579008</v>
      </c>
      <c r="H624" s="3" t="n">
        <v>27.506675</v>
      </c>
      <c r="I624" s="3" t="n">
        <v>28.073943</v>
      </c>
      <c r="J624" s="3" t="n">
        <v>28.014212</v>
      </c>
      <c r="K624" s="3" t="n">
        <v>26.631437</v>
      </c>
      <c r="L624" s="3" t="n">
        <v>25.889331</v>
      </c>
      <c r="M624" s="3" t="n">
        <v>28.441164</v>
      </c>
      <c r="N624" s="3" t="n">
        <v>28.162233</v>
      </c>
      <c r="O624" s="3" t="n">
        <v>28.428852</v>
      </c>
      <c r="P624" s="3" t="n">
        <v>30.914217</v>
      </c>
      <c r="Q624" s="3" t="n">
        <v>30.35017</v>
      </c>
      <c r="R624" s="3" t="n">
        <v>30.233317</v>
      </c>
      <c r="S624" s="3" t="n">
        <v>29.092554</v>
      </c>
      <c r="T624" s="3" t="n">
        <v>29.998362</v>
      </c>
      <c r="U624" s="3" t="n">
        <v>31.261204</v>
      </c>
      <c r="V624" s="3" t="n">
        <v>31.277351</v>
      </c>
      <c r="W624" s="3" t="n">
        <v>29.993623</v>
      </c>
      <c r="X624" s="3" t="n">
        <v>29.320491</v>
      </c>
      <c r="Y624" s="3" t="n">
        <v>34.657894</v>
      </c>
      <c r="Z624" s="3" t="n">
        <v>32.878831</v>
      </c>
      <c r="AA624" s="3" t="n">
        <v>33.713055</v>
      </c>
      <c r="AB624" s="3" t="n">
        <v>34.47441</v>
      </c>
      <c r="AC624" s="3" t="n">
        <v>34.085284</v>
      </c>
      <c r="AD624" s="3" t="n">
        <v>35.091226</v>
      </c>
      <c r="AE624" s="3" t="n">
        <v>34.36437</v>
      </c>
      <c r="AF624" s="3" t="n">
        <v>33.174244</v>
      </c>
      <c r="AG624" s="3" t="n">
        <v>33.001296</v>
      </c>
      <c r="AH624" s="3" t="n">
        <v>32.594224</v>
      </c>
      <c r="AI624" s="3" t="n">
        <v>31.905713</v>
      </c>
      <c r="AJ624" s="3" t="n">
        <v>31.793491</v>
      </c>
      <c r="AK624" s="3" t="n">
        <v>31.862387</v>
      </c>
      <c r="AL624" s="3" t="n">
        <v>31.930147</v>
      </c>
      <c r="AM624" s="3" t="n"/>
      <c r="AN624" s="3" t="n"/>
      <c r="AO624" s="3" t="n"/>
      <c r="AP624" s="3" t="n"/>
      <c r="AQ624" s="3" t="n"/>
      <c r="AR624" s="3" t="n"/>
      <c r="AS624" s="3" t="n"/>
      <c r="AT624" s="3" t="n"/>
      <c r="AU624" s="3" t="n"/>
    </row>
    <row r="625">
      <c r="A625" s="3" t="n">
        <v>2031</v>
      </c>
      <c r="B625" s="3" t="inlineStr">
        <is>
          <t>COL</t>
        </is>
      </c>
      <c r="C625" s="3" t="inlineStr">
        <is>
          <t>IMF.RES:WEO</t>
        </is>
      </c>
      <c r="D625" s="3" t="inlineStr">
        <is>
          <t>COL.LP.A</t>
        </is>
      </c>
      <c r="E625" s="3" t="inlineStr">
        <is>
          <t>Colombia</t>
        </is>
      </c>
      <c r="F625" s="3" t="inlineStr">
        <is>
          <t>Population, Persons for countries / Index for country groups</t>
        </is>
      </c>
      <c r="G625" s="3" t="n">
        <v>39.152578</v>
      </c>
      <c r="H625" s="3" t="n">
        <v>39.655879</v>
      </c>
      <c r="I625" s="3" t="n">
        <v>40.156266</v>
      </c>
      <c r="J625" s="3" t="n">
        <v>40.661511</v>
      </c>
      <c r="K625" s="3" t="n">
        <v>41.165784</v>
      </c>
      <c r="L625" s="3" t="n">
        <v>41.672</v>
      </c>
      <c r="M625" s="3" t="n">
        <v>42.17</v>
      </c>
      <c r="N625" s="3" t="n">
        <v>42.659</v>
      </c>
      <c r="O625" s="3" t="n">
        <v>43.134</v>
      </c>
      <c r="P625" s="3" t="n">
        <v>43.609</v>
      </c>
      <c r="Q625" s="3" t="n">
        <v>44.086</v>
      </c>
      <c r="R625" s="3" t="n">
        <v>44.553</v>
      </c>
      <c r="S625" s="3" t="n">
        <v>45.002</v>
      </c>
      <c r="T625" s="3" t="n">
        <v>45.435</v>
      </c>
      <c r="U625" s="3" t="n">
        <v>45.866</v>
      </c>
      <c r="V625" s="3" t="n">
        <v>46.314</v>
      </c>
      <c r="W625" s="3" t="n">
        <v>46.83</v>
      </c>
      <c r="X625" s="3" t="n">
        <v>47.419</v>
      </c>
      <c r="Y625" s="3" t="n">
        <v>48.258</v>
      </c>
      <c r="Z625" s="3" t="n">
        <v>49.396</v>
      </c>
      <c r="AA625" s="3" t="n">
        <v>50.408</v>
      </c>
      <c r="AB625" s="3" t="n">
        <v>51.117</v>
      </c>
      <c r="AC625" s="3" t="n">
        <v>51.683</v>
      </c>
      <c r="AD625" s="3" t="n">
        <v>52.216</v>
      </c>
      <c r="AE625" s="3" t="n">
        <v>52.696</v>
      </c>
      <c r="AF625" s="3" t="n">
        <v>53.048</v>
      </c>
      <c r="AG625" s="3" t="n">
        <v>53.399171</v>
      </c>
      <c r="AH625" s="3" t="n">
        <v>53.712233</v>
      </c>
      <c r="AI625" s="3" t="n">
        <v>54.001502</v>
      </c>
      <c r="AJ625" s="3" t="n">
        <v>54.269406</v>
      </c>
      <c r="AK625" s="3" t="n">
        <v>54.518223</v>
      </c>
      <c r="AL625" s="3" t="n">
        <v>54.747818</v>
      </c>
      <c r="AM625" s="3" t="n"/>
      <c r="AN625" s="3" t="n"/>
      <c r="AO625" s="3" t="n"/>
      <c r="AP625" s="3" t="n"/>
      <c r="AQ625" s="3" t="n"/>
      <c r="AR625" s="3" t="n"/>
      <c r="AS625" s="3" t="n"/>
      <c r="AT625" s="3" t="n"/>
      <c r="AU625" s="3" t="n"/>
    </row>
    <row r="626">
      <c r="A626" s="3" t="n">
        <v>2031</v>
      </c>
      <c r="B626" s="3" t="inlineStr">
        <is>
          <t>COL</t>
        </is>
      </c>
      <c r="C626" s="3" t="inlineStr">
        <is>
          <t>IMF.RES:WEO</t>
        </is>
      </c>
      <c r="D626" s="3" t="inlineStr">
        <is>
          <t>COL.NGDP.A</t>
        </is>
      </c>
      <c r="E626" s="3" t="inlineStr">
        <is>
          <t>Colombia</t>
        </is>
      </c>
      <c r="F626" s="3" t="inlineStr">
        <is>
          <t>Gross domestic product (GDP), Current prices, Domestic currency</t>
        </is>
      </c>
      <c r="G626" s="3" t="n">
        <v>207268</v>
      </c>
      <c r="H626" s="3" t="n">
        <v>224483</v>
      </c>
      <c r="I626" s="3" t="n">
        <v>243837</v>
      </c>
      <c r="J626" s="3" t="n">
        <v>270695</v>
      </c>
      <c r="K626" s="3" t="n">
        <v>305896</v>
      </c>
      <c r="L626" s="3" t="n">
        <v>337958</v>
      </c>
      <c r="M626" s="3" t="n">
        <v>381604</v>
      </c>
      <c r="N626" s="3" t="n">
        <v>428506</v>
      </c>
      <c r="O626" s="3" t="n">
        <v>476553</v>
      </c>
      <c r="P626" s="3" t="n">
        <v>501574</v>
      </c>
      <c r="Q626" s="3" t="n">
        <v>544061</v>
      </c>
      <c r="R626" s="3" t="n">
        <v>619024</v>
      </c>
      <c r="S626" s="3" t="n">
        <v>666508</v>
      </c>
      <c r="T626" s="3" t="n">
        <v>714093</v>
      </c>
      <c r="U626" s="3" t="n">
        <v>762903</v>
      </c>
      <c r="V626" s="3" t="n">
        <v>804692</v>
      </c>
      <c r="W626" s="3" t="n">
        <v>863783</v>
      </c>
      <c r="X626" s="3" t="n">
        <v>920471</v>
      </c>
      <c r="Y626" s="3" t="n">
        <v>987791</v>
      </c>
      <c r="Z626" s="3" t="n">
        <v>1060069</v>
      </c>
      <c r="AA626" s="3" t="n">
        <v>998471</v>
      </c>
      <c r="AB626" s="3" t="n">
        <v>1192635</v>
      </c>
      <c r="AC626" s="3" t="n">
        <v>1471079</v>
      </c>
      <c r="AD626" s="3" t="n">
        <v>1587199</v>
      </c>
      <c r="AE626" s="3" t="n">
        <v>1713316</v>
      </c>
      <c r="AF626" s="3" t="n">
        <v>1853946</v>
      </c>
      <c r="AG626" s="3" t="n">
        <v>2017936.108844</v>
      </c>
      <c r="AH626" s="3" t="n">
        <v>2172822.317301</v>
      </c>
      <c r="AI626" s="3" t="n">
        <v>2305561.770923</v>
      </c>
      <c r="AJ626" s="3" t="n">
        <v>2439796.188349</v>
      </c>
      <c r="AK626" s="3" t="n">
        <v>2582348.600042</v>
      </c>
      <c r="AL626" s="3" t="n">
        <v>2733230.064045</v>
      </c>
      <c r="AM626" s="3" t="n"/>
      <c r="AN626" s="3" t="n"/>
      <c r="AO626" s="3" t="n"/>
      <c r="AP626" s="3" t="n"/>
      <c r="AQ626" s="3" t="n"/>
      <c r="AR626" s="3" t="n"/>
      <c r="AS626" s="3" t="n"/>
      <c r="AT626" s="3" t="n"/>
      <c r="AU626" s="3" t="n"/>
    </row>
    <row r="627">
      <c r="A627" s="3" t="n">
        <v>2031</v>
      </c>
      <c r="B627" s="3" t="inlineStr">
        <is>
          <t>COL</t>
        </is>
      </c>
      <c r="C627" s="3" t="inlineStr">
        <is>
          <t>IMF.RES:WEO</t>
        </is>
      </c>
      <c r="D627" s="3" t="inlineStr">
        <is>
          <t>COL.NGDP_D.A</t>
        </is>
      </c>
      <c r="E627" s="3" t="inlineStr">
        <is>
          <t>Colombia</t>
        </is>
      </c>
      <c r="F627" s="3" t="inlineStr">
        <is>
          <t>Gross domestic product (GDP), Price deflator, Index</t>
        </is>
      </c>
      <c r="G627" s="3" t="n">
        <v>47.969931</v>
      </c>
      <c r="H627" s="3" t="n">
        <v>51.096786</v>
      </c>
      <c r="I627" s="3" t="n">
        <v>54.146293</v>
      </c>
      <c r="J627" s="3" t="n">
        <v>57.843902</v>
      </c>
      <c r="K627" s="3" t="n">
        <v>62.05643</v>
      </c>
      <c r="L627" s="3" t="n">
        <v>65.641777</v>
      </c>
      <c r="M627" s="3" t="n">
        <v>69.45389400000001</v>
      </c>
      <c r="N627" s="3" t="n">
        <v>73.066909</v>
      </c>
      <c r="O627" s="3" t="n">
        <v>78.67637000000001</v>
      </c>
      <c r="P627" s="3" t="n">
        <v>81.874127</v>
      </c>
      <c r="Q627" s="3" t="n">
        <v>84.989346</v>
      </c>
      <c r="R627" s="3" t="n">
        <v>90.41770200000001</v>
      </c>
      <c r="S627" s="3" t="n">
        <v>93.687651</v>
      </c>
      <c r="T627" s="3" t="n">
        <v>95.474765</v>
      </c>
      <c r="U627" s="3" t="n">
        <v>97.609105</v>
      </c>
      <c r="V627" s="3" t="n">
        <v>100</v>
      </c>
      <c r="W627" s="3" t="n">
        <v>105.148456</v>
      </c>
      <c r="X627" s="3" t="n">
        <v>110.546239</v>
      </c>
      <c r="Y627" s="3" t="n">
        <v>115.665174</v>
      </c>
      <c r="Z627" s="3" t="n">
        <v>120.295067</v>
      </c>
      <c r="AA627" s="3" t="n">
        <v>122.077393</v>
      </c>
      <c r="AB627" s="3" t="n">
        <v>131.60212</v>
      </c>
      <c r="AC627" s="3" t="n">
        <v>151.243658</v>
      </c>
      <c r="AD627" s="3" t="n">
        <v>161.819719</v>
      </c>
      <c r="AE627" s="3" t="n">
        <v>172.107806</v>
      </c>
      <c r="AF627" s="3" t="n">
        <v>181.441001</v>
      </c>
      <c r="AG627" s="3" t="n">
        <v>192.971557</v>
      </c>
      <c r="AH627" s="3" t="n">
        <v>202.631457</v>
      </c>
      <c r="AI627" s="3" t="n">
        <v>209.520927</v>
      </c>
      <c r="AJ627" s="3" t="n">
        <v>215.806555</v>
      </c>
      <c r="AK627" s="3" t="n">
        <v>222.280751</v>
      </c>
      <c r="AL627" s="3" t="n">
        <v>228.949174</v>
      </c>
      <c r="AM627" s="3" t="n"/>
      <c r="AN627" s="3" t="n"/>
      <c r="AO627" s="3" t="n"/>
      <c r="AP627" s="3" t="n"/>
      <c r="AQ627" s="3" t="n"/>
      <c r="AR627" s="3" t="n"/>
      <c r="AS627" s="3" t="n"/>
      <c r="AT627" s="3" t="n"/>
      <c r="AU627" s="3" t="n"/>
    </row>
    <row r="628">
      <c r="A628" s="3" t="n">
        <v>2031</v>
      </c>
      <c r="B628" s="3" t="inlineStr">
        <is>
          <t>COL</t>
        </is>
      </c>
      <c r="C628" s="3" t="inlineStr">
        <is>
          <t>IMF.RES:WEO</t>
        </is>
      </c>
      <c r="D628" s="3" t="inlineStr">
        <is>
          <t>COL.NGDP_R.A</t>
        </is>
      </c>
      <c r="E628" s="3" t="inlineStr">
        <is>
          <t>Colombia</t>
        </is>
      </c>
      <c r="F628" s="3" t="inlineStr">
        <is>
          <t>Gross domestic product (GDP), Constant prices, Domestic currency</t>
        </is>
      </c>
      <c r="G628" s="3" t="n">
        <v>432079</v>
      </c>
      <c r="H628" s="3" t="n">
        <v>439329</v>
      </c>
      <c r="I628" s="3" t="n">
        <v>450330</v>
      </c>
      <c r="J628" s="3" t="n">
        <v>467975</v>
      </c>
      <c r="K628" s="3" t="n">
        <v>492932</v>
      </c>
      <c r="L628" s="3" t="n">
        <v>514852</v>
      </c>
      <c r="M628" s="3" t="n">
        <v>549435</v>
      </c>
      <c r="N628" s="3" t="n">
        <v>586457</v>
      </c>
      <c r="O628" s="3" t="n">
        <v>605713</v>
      </c>
      <c r="P628" s="3" t="n">
        <v>612616</v>
      </c>
      <c r="Q628" s="3" t="n">
        <v>640152</v>
      </c>
      <c r="R628" s="3" t="n">
        <v>684627</v>
      </c>
      <c r="S628" s="3" t="n">
        <v>711415</v>
      </c>
      <c r="T628" s="3" t="n">
        <v>747939</v>
      </c>
      <c r="U628" s="3" t="n">
        <v>781590</v>
      </c>
      <c r="V628" s="3" t="n">
        <v>804692</v>
      </c>
      <c r="W628" s="3" t="n">
        <v>821489</v>
      </c>
      <c r="X628" s="3" t="n">
        <v>832657</v>
      </c>
      <c r="Y628" s="3" t="n">
        <v>854009</v>
      </c>
      <c r="Z628" s="3" t="n">
        <v>881224</v>
      </c>
      <c r="AA628" s="3" t="n">
        <v>817900</v>
      </c>
      <c r="AB628" s="3" t="n">
        <v>906243</v>
      </c>
      <c r="AC628" s="3" t="n">
        <v>972655</v>
      </c>
      <c r="AD628" s="3" t="n">
        <v>980844</v>
      </c>
      <c r="AE628" s="3" t="n">
        <v>995490</v>
      </c>
      <c r="AF628" s="3" t="n">
        <v>1021790</v>
      </c>
      <c r="AG628" s="3" t="n">
        <v>1045716.860092</v>
      </c>
      <c r="AH628" s="3" t="n">
        <v>1072302.566259</v>
      </c>
      <c r="AI628" s="3" t="n">
        <v>1100396.893495</v>
      </c>
      <c r="AJ628" s="3" t="n">
        <v>1130547.768377</v>
      </c>
      <c r="AK628" s="3" t="n">
        <v>1161750.886784</v>
      </c>
      <c r="AL628" s="3" t="n">
        <v>1193815.211259</v>
      </c>
      <c r="AM628" s="3" t="n"/>
      <c r="AN628" s="3" t="n"/>
      <c r="AO628" s="3" t="n"/>
      <c r="AP628" s="3" t="n"/>
      <c r="AQ628" s="3" t="n"/>
      <c r="AR628" s="3" t="n"/>
      <c r="AS628" s="3" t="n"/>
      <c r="AT628" s="3" t="n"/>
      <c r="AU628" s="3" t="n"/>
    </row>
    <row r="629">
      <c r="A629" s="3" t="n">
        <v>2031</v>
      </c>
      <c r="B629" s="3" t="inlineStr">
        <is>
          <t>COL</t>
        </is>
      </c>
      <c r="C629" s="3" t="inlineStr">
        <is>
          <t>IMF.RES:WEO</t>
        </is>
      </c>
      <c r="D629" s="3" t="inlineStr">
        <is>
          <t>COL.NGDP_RPCH.A</t>
        </is>
      </c>
      <c r="E629" s="3" t="inlineStr">
        <is>
          <t>Colombia</t>
        </is>
      </c>
      <c r="F629" s="3" t="inlineStr">
        <is>
          <t>Gross domestic product (GDP), Constant prices, Percent change</t>
        </is>
      </c>
      <c r="G629" s="3" t="n">
        <v>2.924861</v>
      </c>
      <c r="H629" s="3" t="n">
        <v>1.677934</v>
      </c>
      <c r="I629" s="3" t="n">
        <v>2.504046</v>
      </c>
      <c r="J629" s="3" t="n">
        <v>3.918238</v>
      </c>
      <c r="K629" s="3" t="n">
        <v>5.332977</v>
      </c>
      <c r="L629" s="3" t="n">
        <v>4.446861</v>
      </c>
      <c r="M629" s="3" t="n">
        <v>6.717076</v>
      </c>
      <c r="N629" s="3" t="n">
        <v>6.738195</v>
      </c>
      <c r="O629" s="3" t="n">
        <v>3.283446</v>
      </c>
      <c r="P629" s="3" t="n">
        <v>1.139649</v>
      </c>
      <c r="Q629" s="3" t="n">
        <v>4.494822</v>
      </c>
      <c r="R629" s="3" t="n">
        <v>6.947569</v>
      </c>
      <c r="S629" s="3" t="n">
        <v>3.912788</v>
      </c>
      <c r="T629" s="3" t="n">
        <v>5.133994</v>
      </c>
      <c r="U629" s="3" t="n">
        <v>4.499164</v>
      </c>
      <c r="V629" s="3" t="n">
        <v>2.95577</v>
      </c>
      <c r="W629" s="3" t="n">
        <v>2.087383</v>
      </c>
      <c r="X629" s="3" t="n">
        <v>1.359483</v>
      </c>
      <c r="Y629" s="3" t="n">
        <v>2.564321</v>
      </c>
      <c r="Z629" s="3" t="n">
        <v>3.186735</v>
      </c>
      <c r="AA629" s="3" t="n">
        <v>-7.185914</v>
      </c>
      <c r="AB629" s="3" t="n">
        <v>10.801198</v>
      </c>
      <c r="AC629" s="3" t="n">
        <v>7.328277</v>
      </c>
      <c r="AD629" s="3" t="n">
        <v>0.8419219999999999</v>
      </c>
      <c r="AE629" s="3" t="n">
        <v>1.493204</v>
      </c>
      <c r="AF629" s="3" t="n">
        <v>2.641915</v>
      </c>
      <c r="AG629" s="3" t="n">
        <v>2.341661</v>
      </c>
      <c r="AH629" s="3" t="n">
        <v>2.542343</v>
      </c>
      <c r="AI629" s="3" t="n">
        <v>2.62</v>
      </c>
      <c r="AJ629" s="3" t="n">
        <v>2.74</v>
      </c>
      <c r="AK629" s="3" t="n">
        <v>2.76</v>
      </c>
      <c r="AL629" s="3" t="n">
        <v>2.76</v>
      </c>
      <c r="AM629" s="3" t="n"/>
      <c r="AN629" s="3" t="n"/>
      <c r="AO629" s="3" t="n"/>
      <c r="AP629" s="3" t="n"/>
      <c r="AQ629" s="3" t="n"/>
      <c r="AR629" s="3" t="n"/>
      <c r="AS629" s="3" t="n"/>
      <c r="AT629" s="3" t="n"/>
      <c r="AU629" s="3" t="n"/>
    </row>
    <row r="630">
      <c r="A630" s="3" t="n">
        <v>2031</v>
      </c>
      <c r="B630" s="3" t="inlineStr">
        <is>
          <t>COL</t>
        </is>
      </c>
      <c r="C630" s="3" t="inlineStr">
        <is>
          <t>IMF.RES:WEO</t>
        </is>
      </c>
      <c r="D630" s="3" t="inlineStr">
        <is>
          <t>COL.NGDPD.A</t>
        </is>
      </c>
      <c r="E630" s="3" t="inlineStr">
        <is>
          <t>Colombia</t>
        </is>
      </c>
      <c r="F630" s="3" t="inlineStr">
        <is>
          <t>Gross domestic product (GDP), Current prices, US dollar</t>
        </is>
      </c>
      <c r="G630" s="3" t="n">
        <v>99.270166</v>
      </c>
      <c r="H630" s="3" t="n">
        <v>97.60583099999999</v>
      </c>
      <c r="I630" s="3" t="n">
        <v>97.352524</v>
      </c>
      <c r="J630" s="3" t="n">
        <v>94.071563</v>
      </c>
      <c r="K630" s="3" t="n">
        <v>116.38247</v>
      </c>
      <c r="L630" s="3" t="n">
        <v>145.60053</v>
      </c>
      <c r="M630" s="3" t="n">
        <v>161.792932</v>
      </c>
      <c r="N630" s="3" t="n">
        <v>206.229553</v>
      </c>
      <c r="O630" s="3" t="n">
        <v>242.503642</v>
      </c>
      <c r="P630" s="3" t="n">
        <v>232.468663</v>
      </c>
      <c r="Q630" s="3" t="n">
        <v>286.499061</v>
      </c>
      <c r="R630" s="3" t="n">
        <v>334.966676</v>
      </c>
      <c r="S630" s="3" t="n">
        <v>370.691699</v>
      </c>
      <c r="T630" s="3" t="n">
        <v>382.093697</v>
      </c>
      <c r="U630" s="3" t="n">
        <v>381.240864</v>
      </c>
      <c r="V630" s="3" t="n">
        <v>293.492549</v>
      </c>
      <c r="W630" s="3" t="n">
        <v>282.719965</v>
      </c>
      <c r="X630" s="3" t="n">
        <v>311.889709</v>
      </c>
      <c r="Y630" s="3" t="n">
        <v>334.124435</v>
      </c>
      <c r="Z630" s="3" t="n">
        <v>323.055028</v>
      </c>
      <c r="AA630" s="3" t="n">
        <v>270.348343</v>
      </c>
      <c r="AB630" s="3" t="n">
        <v>318.5249</v>
      </c>
      <c r="AC630" s="3" t="n">
        <v>345.632493</v>
      </c>
      <c r="AD630" s="3" t="n">
        <v>366.901413</v>
      </c>
      <c r="AE630" s="3" t="n">
        <v>420.504033</v>
      </c>
      <c r="AF630" s="3" t="n">
        <v>457.410281</v>
      </c>
      <c r="AG630" s="3" t="n">
        <v>539.5299680000001</v>
      </c>
      <c r="AH630" s="3" t="n">
        <v>554.383974</v>
      </c>
      <c r="AI630" s="3" t="n">
        <v>578.238478</v>
      </c>
      <c r="AJ630" s="3" t="n">
        <v>604.408533</v>
      </c>
      <c r="AK630" s="3" t="n">
        <v>632.137267</v>
      </c>
      <c r="AL630" s="3" t="n">
        <v>661.1381260000001</v>
      </c>
      <c r="AM630" s="3" t="n"/>
      <c r="AN630" s="3" t="n"/>
      <c r="AO630" s="3" t="n"/>
      <c r="AP630" s="3" t="n"/>
      <c r="AQ630" s="3" t="n"/>
      <c r="AR630" s="3" t="n"/>
      <c r="AS630" s="3" t="n"/>
      <c r="AT630" s="3" t="n"/>
      <c r="AU630" s="3" t="n"/>
    </row>
    <row r="631">
      <c r="A631" s="3" t="n">
        <v>2031</v>
      </c>
      <c r="B631" s="3" t="inlineStr">
        <is>
          <t>COL</t>
        </is>
      </c>
      <c r="C631" s="3" t="inlineStr">
        <is>
          <t>IMF.RES:WEO</t>
        </is>
      </c>
      <c r="D631" s="3" t="inlineStr">
        <is>
          <t>COL.NGDPPC.A</t>
        </is>
      </c>
      <c r="E631" s="3" t="inlineStr">
        <is>
          <t>Colombia</t>
        </is>
      </c>
      <c r="F631" s="3" t="inlineStr">
        <is>
          <t>Gross domestic product (GDP), Current prices, Per capita, Domestic currency</t>
        </is>
      </c>
      <c r="G631" s="3" t="n">
        <v>5293853.209898</v>
      </c>
      <c r="H631" s="3" t="n">
        <v>5660774.74185</v>
      </c>
      <c r="I631" s="3" t="n">
        <v>6072203.043815</v>
      </c>
      <c r="J631" s="3" t="n">
        <v>6657278.493218</v>
      </c>
      <c r="K631" s="3" t="n">
        <v>7430831.450251</v>
      </c>
      <c r="L631" s="3" t="n">
        <v>8109953.925897</v>
      </c>
      <c r="M631" s="3" t="n">
        <v>9049181.882855</v>
      </c>
      <c r="N631" s="3" t="n">
        <v>10044914.320542</v>
      </c>
      <c r="O631" s="3" t="n">
        <v>11048198.636806</v>
      </c>
      <c r="P631" s="3" t="n">
        <v>11501616.638767</v>
      </c>
      <c r="Q631" s="3" t="n">
        <v>12340901.873611</v>
      </c>
      <c r="R631" s="3" t="n">
        <v>13894103.65183</v>
      </c>
      <c r="S631" s="3" t="n">
        <v>14810630.638638</v>
      </c>
      <c r="T631" s="3" t="n">
        <v>15716804.225817</v>
      </c>
      <c r="U631" s="3" t="n">
        <v>16633301.356124</v>
      </c>
      <c r="V631" s="3" t="n">
        <v>17374703.113529</v>
      </c>
      <c r="W631" s="3" t="n">
        <v>18445077.941491</v>
      </c>
      <c r="X631" s="3" t="n">
        <v>19411438.452941</v>
      </c>
      <c r="Y631" s="3" t="n">
        <v>20468958.51465</v>
      </c>
      <c r="Z631" s="3" t="n">
        <v>21460624.342052</v>
      </c>
      <c r="AA631" s="3" t="n">
        <v>19807788.446278</v>
      </c>
      <c r="AB631" s="3" t="n">
        <v>23331474.851811</v>
      </c>
      <c r="AC631" s="3" t="n">
        <v>28463498.635915</v>
      </c>
      <c r="AD631" s="3" t="n">
        <v>30396794.086104</v>
      </c>
      <c r="AE631" s="3" t="n">
        <v>32513207.833612</v>
      </c>
      <c r="AF631" s="3" t="n">
        <v>34948461.770472</v>
      </c>
      <c r="AG631" s="3" t="n">
        <v>37789652.368265</v>
      </c>
      <c r="AH631" s="3" t="n">
        <v>40453025.241024</v>
      </c>
      <c r="AI631" s="3" t="n">
        <v>42694400.813565</v>
      </c>
      <c r="AJ631" s="3" t="n">
        <v>44957119.82455</v>
      </c>
      <c r="AK631" s="3" t="n">
        <v>47366705.258204</v>
      </c>
      <c r="AL631" s="3" t="n">
        <v>49923999.967365</v>
      </c>
      <c r="AM631" s="3" t="n"/>
      <c r="AN631" s="3" t="n"/>
      <c r="AO631" s="3" t="n"/>
      <c r="AP631" s="3" t="n"/>
      <c r="AQ631" s="3" t="n"/>
      <c r="AR631" s="3" t="n"/>
      <c r="AS631" s="3" t="n"/>
      <c r="AT631" s="3" t="n"/>
      <c r="AU631" s="3" t="n"/>
    </row>
    <row r="632">
      <c r="A632" s="3" t="n">
        <v>2031</v>
      </c>
      <c r="B632" s="3" t="inlineStr">
        <is>
          <t>COL</t>
        </is>
      </c>
      <c r="C632" s="3" t="inlineStr">
        <is>
          <t>IMF.RES:WEO</t>
        </is>
      </c>
      <c r="D632" s="3" t="inlineStr">
        <is>
          <t>COL.NGDPRPC.A</t>
        </is>
      </c>
      <c r="E632" s="3" t="inlineStr">
        <is>
          <t>Colombia</t>
        </is>
      </c>
      <c r="F632" s="3" t="inlineStr">
        <is>
          <t>Gross domestic product (GDP), Constant prices, Per capita, Domestic currency</t>
        </is>
      </c>
      <c r="G632" s="3" t="n">
        <v>11035773.979001</v>
      </c>
      <c r="H632" s="3" t="n">
        <v>11078533.815756</v>
      </c>
      <c r="I632" s="3" t="n">
        <v>11214439.140578</v>
      </c>
      <c r="J632" s="3" t="n">
        <v>11509041.182378</v>
      </c>
      <c r="K632" s="3" t="n">
        <v>11974313.519743</v>
      </c>
      <c r="L632" s="3" t="n">
        <v>12354866.577078</v>
      </c>
      <c r="M632" s="3" t="n">
        <v>13029049.087029</v>
      </c>
      <c r="N632" s="3" t="n">
        <v>13747556.201505</v>
      </c>
      <c r="O632" s="3" t="n">
        <v>14042588.213474</v>
      </c>
      <c r="P632" s="3" t="n">
        <v>14047925.886858</v>
      </c>
      <c r="Q632" s="3" t="n">
        <v>14520528.058794</v>
      </c>
      <c r="R632" s="3" t="n">
        <v>15366574.641438</v>
      </c>
      <c r="S632" s="3" t="n">
        <v>15808519.62135</v>
      </c>
      <c r="T632" s="3" t="n">
        <v>16461736.546715</v>
      </c>
      <c r="U632" s="3" t="n">
        <v>17040727.336153</v>
      </c>
      <c r="V632" s="3" t="n">
        <v>17374703.113529</v>
      </c>
      <c r="W632" s="3" t="n">
        <v>17541938.928038</v>
      </c>
      <c r="X632" s="3" t="n">
        <v>17559564.731437</v>
      </c>
      <c r="Y632" s="3" t="n">
        <v>17696734.220233</v>
      </c>
      <c r="Z632" s="3" t="n">
        <v>17839987.043485</v>
      </c>
      <c r="AA632" s="3" t="n">
        <v>16225599.111252</v>
      </c>
      <c r="AB632" s="3" t="n">
        <v>17728798.638418</v>
      </c>
      <c r="AC632" s="3" t="n">
        <v>18819631.213358</v>
      </c>
      <c r="AD632" s="3" t="n">
        <v>18784357.285123</v>
      </c>
      <c r="AE632" s="3" t="n">
        <v>18891187.186883</v>
      </c>
      <c r="AF632" s="3" t="n">
        <v>19261612.124868</v>
      </c>
      <c r="AG632" s="3" t="n">
        <v>19583016.749309</v>
      </c>
      <c r="AH632" s="3" t="n">
        <v>19963842.61773</v>
      </c>
      <c r="AI632" s="3" t="n">
        <v>20377153.463154</v>
      </c>
      <c r="AJ632" s="3" t="n">
        <v>20832138.247037</v>
      </c>
      <c r="AK632" s="3" t="n">
        <v>21309404.871538</v>
      </c>
      <c r="AL632" s="3" t="n">
        <v>21805713.083561</v>
      </c>
      <c r="AM632" s="3" t="n"/>
      <c r="AN632" s="3" t="n"/>
      <c r="AO632" s="3" t="n"/>
      <c r="AP632" s="3" t="n"/>
      <c r="AQ632" s="3" t="n"/>
      <c r="AR632" s="3" t="n"/>
      <c r="AS632" s="3" t="n"/>
      <c r="AT632" s="3" t="n"/>
      <c r="AU632" s="3" t="n"/>
    </row>
    <row r="633">
      <c r="A633" s="3" t="n">
        <v>2031</v>
      </c>
      <c r="B633" s="3" t="inlineStr">
        <is>
          <t>COL</t>
        </is>
      </c>
      <c r="C633" s="3" t="inlineStr">
        <is>
          <t>IMF.RES:WEO</t>
        </is>
      </c>
      <c r="D633" s="3" t="inlineStr">
        <is>
          <t>COL.PCPI.A</t>
        </is>
      </c>
      <c r="E633" s="3" t="inlineStr">
        <is>
          <t>Colombia</t>
        </is>
      </c>
      <c r="F633" s="3" t="inlineStr">
        <is>
          <t>All Items, Consumer price index (CPI), Period average</t>
        </is>
      </c>
      <c r="G633" s="3" t="n">
        <v>42.365833</v>
      </c>
      <c r="H633" s="3" t="n">
        <v>45.7375</v>
      </c>
      <c r="I633" s="3" t="n">
        <v>48.641667</v>
      </c>
      <c r="J633" s="3" t="n">
        <v>52.105</v>
      </c>
      <c r="K633" s="3" t="n">
        <v>55.1825</v>
      </c>
      <c r="L633" s="3" t="n">
        <v>57.968333</v>
      </c>
      <c r="M633" s="3" t="n">
        <v>60.4625</v>
      </c>
      <c r="N633" s="3" t="n">
        <v>63.814167</v>
      </c>
      <c r="O633" s="3" t="n">
        <v>68.281667</v>
      </c>
      <c r="P633" s="3" t="n">
        <v>71.145</v>
      </c>
      <c r="Q633" s="3" t="n">
        <v>72.75833299999999</v>
      </c>
      <c r="R633" s="3" t="n">
        <v>75.24333300000001</v>
      </c>
      <c r="S633" s="3" t="n">
        <v>77.63166699999999</v>
      </c>
      <c r="T633" s="3" t="n">
        <v>79.201667</v>
      </c>
      <c r="U633" s="3" t="n">
        <v>81.5025</v>
      </c>
      <c r="V633" s="3" t="n">
        <v>85.56999999999999</v>
      </c>
      <c r="W633" s="3" t="n">
        <v>91.994167</v>
      </c>
      <c r="X633" s="3" t="n">
        <v>95.95999999999999</v>
      </c>
      <c r="Y633" s="3" t="n">
        <v>99.07083299999999</v>
      </c>
      <c r="Z633" s="3" t="n">
        <v>102.560833</v>
      </c>
      <c r="AA633" s="3" t="n">
        <v>105.15</v>
      </c>
      <c r="AB633" s="3" t="n">
        <v>108.835833</v>
      </c>
      <c r="AC633" s="3" t="n">
        <v>119.915833</v>
      </c>
      <c r="AD633" s="3" t="n">
        <v>133.9825</v>
      </c>
      <c r="AE633" s="3" t="n">
        <v>142.8275</v>
      </c>
      <c r="AF633" s="3" t="n">
        <v>150.1725</v>
      </c>
      <c r="AG633" s="3" t="n">
        <v>159.044252</v>
      </c>
      <c r="AH633" s="3" t="n">
        <v>167.310826</v>
      </c>
      <c r="AI633" s="3" t="n">
        <v>172.963092</v>
      </c>
      <c r="AJ633" s="3" t="n">
        <v>178.18226</v>
      </c>
      <c r="AK633" s="3" t="n">
        <v>183.505576</v>
      </c>
      <c r="AL633" s="3" t="n">
        <v>188.987931</v>
      </c>
      <c r="AM633" s="3" t="n"/>
      <c r="AN633" s="3" t="n"/>
      <c r="AO633" s="3" t="n"/>
      <c r="AP633" s="3" t="n"/>
      <c r="AQ633" s="3" t="n"/>
      <c r="AR633" s="3" t="n"/>
      <c r="AS633" s="3" t="n"/>
      <c r="AT633" s="3" t="n"/>
      <c r="AU633" s="3" t="n"/>
    </row>
    <row r="634">
      <c r="A634" s="3" t="n">
        <v>2031</v>
      </c>
      <c r="B634" s="3" t="inlineStr">
        <is>
          <t>COL</t>
        </is>
      </c>
      <c r="C634" s="3" t="inlineStr">
        <is>
          <t>IMF.RES:WEO</t>
        </is>
      </c>
      <c r="D634" s="3" t="inlineStr">
        <is>
          <t>COL.PCPIPCH.A</t>
        </is>
      </c>
      <c r="E634" s="3" t="inlineStr">
        <is>
          <t>Colombia</t>
        </is>
      </c>
      <c r="F634" s="3" t="inlineStr">
        <is>
          <t>All Items, Consumer price index (CPI), Period average, percent change</t>
        </is>
      </c>
      <c r="G634" s="3" t="n">
        <v>9.218441</v>
      </c>
      <c r="H634" s="3" t="n">
        <v>7.958457</v>
      </c>
      <c r="I634" s="3" t="n">
        <v>6.34964</v>
      </c>
      <c r="J634" s="3" t="n">
        <v>7.120096</v>
      </c>
      <c r="K634" s="3" t="n">
        <v>5.906343</v>
      </c>
      <c r="L634" s="3" t="n">
        <v>5.0484</v>
      </c>
      <c r="M634" s="3" t="n">
        <v>4.302636</v>
      </c>
      <c r="N634" s="3" t="n">
        <v>5.543381</v>
      </c>
      <c r="O634" s="3" t="n">
        <v>7.000797</v>
      </c>
      <c r="P634" s="3" t="n">
        <v>4.193415</v>
      </c>
      <c r="Q634" s="3" t="n">
        <v>2.267669</v>
      </c>
      <c r="R634" s="3" t="n">
        <v>3.415416</v>
      </c>
      <c r="S634" s="3" t="n">
        <v>3.174146</v>
      </c>
      <c r="T634" s="3" t="n">
        <v>2.022371</v>
      </c>
      <c r="U634" s="3" t="n">
        <v>2.905031</v>
      </c>
      <c r="V634" s="3" t="n">
        <v>4.990644</v>
      </c>
      <c r="W634" s="3" t="n">
        <v>7.507499</v>
      </c>
      <c r="X634" s="3" t="n">
        <v>4.310962</v>
      </c>
      <c r="Y634" s="3" t="n">
        <v>3.241802</v>
      </c>
      <c r="Z634" s="3" t="n">
        <v>3.522732</v>
      </c>
      <c r="AA634" s="3" t="n">
        <v>2.524518</v>
      </c>
      <c r="AB634" s="3" t="n">
        <v>3.50531</v>
      </c>
      <c r="AC634" s="3" t="n">
        <v>10.180471</v>
      </c>
      <c r="AD634" s="3" t="n">
        <v>11.73045</v>
      </c>
      <c r="AE634" s="3" t="n">
        <v>6.601608</v>
      </c>
      <c r="AF634" s="3" t="n">
        <v>5.142567</v>
      </c>
      <c r="AG634" s="3" t="n">
        <v>5.907707</v>
      </c>
      <c r="AH634" s="3" t="n">
        <v>5.197657</v>
      </c>
      <c r="AI634" s="3" t="n">
        <v>3.378302</v>
      </c>
      <c r="AJ634" s="3" t="n">
        <v>3.017504</v>
      </c>
      <c r="AK634" s="3" t="n">
        <v>2.987568</v>
      </c>
      <c r="AL634" s="3" t="n">
        <v>2.987568</v>
      </c>
      <c r="AM634" s="3" t="n"/>
      <c r="AN634" s="3" t="n"/>
      <c r="AO634" s="3" t="n"/>
      <c r="AP634" s="3" t="n"/>
      <c r="AQ634" s="3" t="n"/>
      <c r="AR634" s="3" t="n"/>
      <c r="AS634" s="3" t="n"/>
      <c r="AT634" s="3" t="n"/>
      <c r="AU634" s="3" t="n"/>
    </row>
    <row r="635">
      <c r="A635" s="3" t="n">
        <v>2031</v>
      </c>
      <c r="B635" s="3" t="inlineStr">
        <is>
          <t>COL</t>
        </is>
      </c>
      <c r="C635" s="3" t="inlineStr">
        <is>
          <t>IMF.RES:WEO</t>
        </is>
      </c>
      <c r="D635" s="3" t="inlineStr">
        <is>
          <t>COL.PPPPC.A</t>
        </is>
      </c>
      <c r="E635" s="3" t="inlineStr">
        <is>
          <t>Colombia</t>
        </is>
      </c>
      <c r="F635" s="3" t="inlineStr">
        <is>
          <t>Gross domestic product (GDP), Per capita, purchasing power parity (PPP) international dollar, ICP benchmarks 2017-2021</t>
        </is>
      </c>
      <c r="G635" s="3" t="n">
        <v>6680.526942</v>
      </c>
      <c r="H635" s="3" t="n">
        <v>6857.414623</v>
      </c>
      <c r="I635" s="3" t="n">
        <v>7049.41157</v>
      </c>
      <c r="J635" s="3" t="n">
        <v>7377.425396</v>
      </c>
      <c r="K635" s="3" t="n">
        <v>7882.059872</v>
      </c>
      <c r="L635" s="3" t="n">
        <v>8387.580354</v>
      </c>
      <c r="M635" s="3" t="n">
        <v>9118.053168</v>
      </c>
      <c r="N635" s="3" t="n">
        <v>9881.538033999999</v>
      </c>
      <c r="O635" s="3" t="n">
        <v>10288.046935</v>
      </c>
      <c r="P635" s="3" t="n">
        <v>10355.432303</v>
      </c>
      <c r="Q635" s="3" t="n">
        <v>10833.90252</v>
      </c>
      <c r="R635" s="3" t="n">
        <v>11701.700265</v>
      </c>
      <c r="S635" s="3" t="n">
        <v>12262.386823</v>
      </c>
      <c r="T635" s="3" t="n">
        <v>12986.40584</v>
      </c>
      <c r="U635" s="3" t="n">
        <v>13677.304154</v>
      </c>
      <c r="V635" s="3" t="n">
        <v>14074.781649</v>
      </c>
      <c r="W635" s="3" t="n">
        <v>14345.284095</v>
      </c>
      <c r="X635" s="3" t="n">
        <v>14616.8643</v>
      </c>
      <c r="Y635" s="3" t="n">
        <v>15481.447348</v>
      </c>
      <c r="Z635" s="3" t="n">
        <v>16349.326375</v>
      </c>
      <c r="AA635" s="3" t="n">
        <v>15587.556475</v>
      </c>
      <c r="AB635" s="3" t="n">
        <v>17724.717451</v>
      </c>
      <c r="AC635" s="3" t="n">
        <v>20153.520877</v>
      </c>
      <c r="AD635" s="3" t="n">
        <v>20860.036162</v>
      </c>
      <c r="AE635" s="3" t="n">
        <v>21499.475713</v>
      </c>
      <c r="AF635" s="3" t="n">
        <v>22542.893741</v>
      </c>
      <c r="AG635" s="3" t="n">
        <v>23575.647358</v>
      </c>
      <c r="AH635" s="3" t="n">
        <v>24561.882544</v>
      </c>
      <c r="AI635" s="3" t="n">
        <v>25481.889421</v>
      </c>
      <c r="AJ635" s="3" t="n">
        <v>26514.066133</v>
      </c>
      <c r="AK635" s="3" t="n">
        <v>27619.871321</v>
      </c>
      <c r="AL635" s="3" t="n">
        <v>28773.389126</v>
      </c>
      <c r="AM635" s="3" t="n"/>
      <c r="AN635" s="3" t="n"/>
      <c r="AO635" s="3" t="n"/>
      <c r="AP635" s="3" t="n"/>
      <c r="AQ635" s="3" t="n"/>
      <c r="AR635" s="3" t="n"/>
      <c r="AS635" s="3" t="n"/>
      <c r="AT635" s="3" t="n"/>
      <c r="AU635" s="3" t="n"/>
    </row>
    <row r="636">
      <c r="A636" s="3" t="n">
        <v>2025</v>
      </c>
      <c r="B636" s="3" t="inlineStr">
        <is>
          <t>COL</t>
        </is>
      </c>
      <c r="C636" s="3" t="inlineStr">
        <is>
          <t>IMF.STA:ER</t>
        </is>
      </c>
      <c r="D636" s="3" t="inlineStr">
        <is>
          <t>COL.XDC_USD.PA_RT.A</t>
        </is>
      </c>
      <c r="E636" s="3" t="inlineStr">
        <is>
          <t>Colombia</t>
        </is>
      </c>
      <c r="F636" s="3" t="inlineStr">
        <is>
          <t>Domestic currency per US Dollar</t>
        </is>
      </c>
      <c r="G636" s="3" t="n">
        <v>2087.91833333333</v>
      </c>
      <c r="H636" s="3" t="n">
        <v>2299.89333333333</v>
      </c>
      <c r="I636" s="3" t="n">
        <v>2504.68083333333</v>
      </c>
      <c r="J636" s="3" t="n">
        <v>2877.54333333333</v>
      </c>
      <c r="K636" s="3" t="n">
        <v>2628.36833333333</v>
      </c>
      <c r="L636" s="3" t="n">
        <v>2321.13166666666</v>
      </c>
      <c r="M636" s="3" t="n">
        <v>2358.59460526315</v>
      </c>
      <c r="N636" s="3" t="n">
        <v>2077.81095833333</v>
      </c>
      <c r="O636" s="3" t="n">
        <v>1965.1375</v>
      </c>
      <c r="P636" s="3" t="n">
        <v>2157.59833333333</v>
      </c>
      <c r="Q636" s="3" t="n">
        <v>1898.9975</v>
      </c>
      <c r="R636" s="3" t="n">
        <v>1848.01666666666</v>
      </c>
      <c r="S636" s="3" t="n">
        <v>1798.01166666666</v>
      </c>
      <c r="T636" s="3" t="n">
        <v>1868.895</v>
      </c>
      <c r="U636" s="3" t="n">
        <v>2001.105</v>
      </c>
      <c r="V636" s="3" t="n">
        <v>2741.78166666666</v>
      </c>
      <c r="W636" s="3" t="n">
        <v>3055.255</v>
      </c>
      <c r="X636" s="3" t="n">
        <v>2951.48691120161</v>
      </c>
      <c r="Y636" s="3" t="n">
        <v>2955.70396997842</v>
      </c>
      <c r="Z636" s="3" t="n">
        <v>3281.62219381787</v>
      </c>
      <c r="AA636" s="3" t="n">
        <v>3693.27583333333</v>
      </c>
      <c r="AB636" s="3" t="n">
        <v>3744.24416666666</v>
      </c>
      <c r="AC636" s="3" t="n">
        <v>4256.19416666666</v>
      </c>
      <c r="AD636" s="3" t="n">
        <v>4325.955</v>
      </c>
      <c r="AE636" s="3" t="n">
        <v>4074.43416666666</v>
      </c>
      <c r="AF636" s="3" t="n">
        <v>4053.13583333333</v>
      </c>
      <c r="AG636" s="3" t="n"/>
      <c r="AH636" s="3" t="n"/>
      <c r="AI636" s="3" t="n"/>
      <c r="AJ636" s="3" t="n"/>
      <c r="AK636" s="3" t="n"/>
      <c r="AL636" s="3" t="n"/>
      <c r="AM636" s="3" t="n"/>
      <c r="AN636" s="3" t="n"/>
      <c r="AO636" s="3" t="n"/>
      <c r="AP636" s="3" t="n"/>
      <c r="AQ636" s="3" t="n"/>
      <c r="AR636" s="3" t="n"/>
      <c r="AS636" s="3" t="n"/>
      <c r="AT636" s="3" t="n"/>
      <c r="AU636" s="3" t="n"/>
    </row>
    <row r="637">
      <c r="A637" s="3" t="n">
        <v>2031</v>
      </c>
      <c r="B637" s="3" t="inlineStr">
        <is>
          <t>COM</t>
        </is>
      </c>
      <c r="C637" s="3" t="inlineStr">
        <is>
          <t>IMF.RES:WEO</t>
        </is>
      </c>
      <c r="D637" s="3" t="inlineStr">
        <is>
          <t>COM.BCA.A</t>
        </is>
      </c>
      <c r="E637" s="3" t="inlineStr">
        <is>
          <t>Comoros, Union of the</t>
        </is>
      </c>
      <c r="F637" s="3" t="inlineStr">
        <is>
          <t>Current account balance (credit less debit), US dollar</t>
        </is>
      </c>
      <c r="G637" s="3" t="n">
        <v>-0.00047</v>
      </c>
      <c r="H637" s="3" t="n">
        <v>0.006884</v>
      </c>
      <c r="I637" s="3" t="n">
        <v>0.001653</v>
      </c>
      <c r="J637" s="3" t="n">
        <v>-0.005063</v>
      </c>
      <c r="K637" s="3" t="n">
        <v>-0.015172</v>
      </c>
      <c r="L637" s="3" t="n">
        <v>-0.022128</v>
      </c>
      <c r="M637" s="3" t="n">
        <v>-0.022367</v>
      </c>
      <c r="N637" s="3" t="n">
        <v>-0.023052</v>
      </c>
      <c r="O637" s="3" t="n">
        <v>-0.055472</v>
      </c>
      <c r="P637" s="3" t="n">
        <v>-0.036986</v>
      </c>
      <c r="Q637" s="3" t="n">
        <v>-0.002322</v>
      </c>
      <c r="R637" s="3" t="n">
        <v>-0.036956</v>
      </c>
      <c r="S637" s="3" t="n">
        <v>-0.032995</v>
      </c>
      <c r="T637" s="3" t="n">
        <v>-0.045145</v>
      </c>
      <c r="U637" s="3" t="n">
        <v>-0.043442</v>
      </c>
      <c r="V637" s="3" t="n">
        <v>-0.002469</v>
      </c>
      <c r="W637" s="3" t="n">
        <v>-0.044255</v>
      </c>
      <c r="X637" s="3" t="n">
        <v>-0.02421</v>
      </c>
      <c r="Y637" s="3" t="n">
        <v>-0.035118</v>
      </c>
      <c r="Z637" s="3" t="n">
        <v>-0.041049</v>
      </c>
      <c r="AA637" s="3" t="n">
        <v>-0.022031</v>
      </c>
      <c r="AB637" s="3" t="n">
        <v>-0.004079</v>
      </c>
      <c r="AC637" s="3" t="n">
        <v>-0.005252</v>
      </c>
      <c r="AD637" s="3" t="n">
        <v>-0.01998</v>
      </c>
      <c r="AE637" s="3" t="n">
        <v>-0.032952</v>
      </c>
      <c r="AF637" s="3" t="n">
        <v>-0.046945</v>
      </c>
      <c r="AG637" s="3" t="n">
        <v>-0.075756</v>
      </c>
      <c r="AH637" s="3" t="n">
        <v>-0.08487</v>
      </c>
      <c r="AI637" s="3" t="n">
        <v>-0.063474</v>
      </c>
      <c r="AJ637" s="3" t="n">
        <v>-0.073392</v>
      </c>
      <c r="AK637" s="3" t="n">
        <v>-0.074145</v>
      </c>
      <c r="AL637" s="3" t="n">
        <v>-0.07335800000000001</v>
      </c>
      <c r="AM637" s="3" t="n"/>
      <c r="AN637" s="3" t="n"/>
      <c r="AO637" s="3" t="n"/>
      <c r="AP637" s="3" t="n"/>
      <c r="AQ637" s="3" t="n"/>
      <c r="AR637" s="3" t="n"/>
      <c r="AS637" s="3" t="n"/>
      <c r="AT637" s="3" t="n"/>
      <c r="AU637" s="3" t="n"/>
    </row>
    <row r="638">
      <c r="A638" s="3" t="n">
        <v>2031</v>
      </c>
      <c r="B638" s="3" t="inlineStr">
        <is>
          <t>COM</t>
        </is>
      </c>
      <c r="C638" s="3" t="inlineStr">
        <is>
          <t>IMF.RES:WEO</t>
        </is>
      </c>
      <c r="D638" s="3" t="inlineStr">
        <is>
          <t>COM.BCA_NGDPD.A</t>
        </is>
      </c>
      <c r="E638" s="3" t="inlineStr">
        <is>
          <t>Comoros, Union of the</t>
        </is>
      </c>
      <c r="F638" s="3" t="inlineStr">
        <is>
          <t>Current account balance (credit less debit), Percent of GDP</t>
        </is>
      </c>
      <c r="G638" s="3" t="n">
        <v>-0.138463</v>
      </c>
      <c r="H638" s="3" t="n">
        <v>1.846759</v>
      </c>
      <c r="I638" s="3" t="n">
        <v>0.386951</v>
      </c>
      <c r="J638" s="3" t="n">
        <v>-0.926048</v>
      </c>
      <c r="K638" s="3" t="n">
        <v>-2.437639</v>
      </c>
      <c r="L638" s="3" t="n">
        <v>-3.374598</v>
      </c>
      <c r="M638" s="3" t="n">
        <v>-3.248473</v>
      </c>
      <c r="N638" s="3" t="n">
        <v>-2.896844</v>
      </c>
      <c r="O638" s="3" t="n">
        <v>-6.058788</v>
      </c>
      <c r="P638" s="3" t="n">
        <v>-4.08979</v>
      </c>
      <c r="Q638" s="3" t="n">
        <v>-0.255482</v>
      </c>
      <c r="R638" s="3" t="n">
        <v>-3.612812</v>
      </c>
      <c r="S638" s="3" t="n">
        <v>-3.246002</v>
      </c>
      <c r="T638" s="3" t="n">
        <v>-4.044356</v>
      </c>
      <c r="U638" s="3" t="n">
        <v>-3.777926</v>
      </c>
      <c r="V638" s="3" t="n">
        <v>-0.25558</v>
      </c>
      <c r="W638" s="3" t="n">
        <v>-4.370619</v>
      </c>
      <c r="X638" s="3" t="n">
        <v>-2.247821</v>
      </c>
      <c r="Y638" s="3" t="n">
        <v>-2.978485</v>
      </c>
      <c r="Z638" s="3" t="n">
        <v>-3.455155</v>
      </c>
      <c r="AA638" s="3" t="n">
        <v>-1.809079</v>
      </c>
      <c r="AB638" s="3" t="n">
        <v>-0.320369</v>
      </c>
      <c r="AC638" s="3" t="n">
        <v>-0.429182</v>
      </c>
      <c r="AD638" s="3" t="n">
        <v>-1.503873</v>
      </c>
      <c r="AE638" s="3" t="n">
        <v>-2.285141</v>
      </c>
      <c r="AF638" s="3" t="n">
        <v>-2.917108</v>
      </c>
      <c r="AG638" s="3" t="n">
        <v>-4.176834</v>
      </c>
      <c r="AH638" s="3" t="n">
        <v>-4.396468</v>
      </c>
      <c r="AI638" s="3" t="n">
        <v>-3.099427</v>
      </c>
      <c r="AJ638" s="3" t="n">
        <v>-3.377871</v>
      </c>
      <c r="AK638" s="3" t="n">
        <v>-3.202197</v>
      </c>
      <c r="AL638" s="3" t="n">
        <v>-2.981604</v>
      </c>
      <c r="AM638" s="3" t="n"/>
      <c r="AN638" s="3" t="n"/>
      <c r="AO638" s="3" t="n"/>
      <c r="AP638" s="3" t="n"/>
      <c r="AQ638" s="3" t="n"/>
      <c r="AR638" s="3" t="n"/>
      <c r="AS638" s="3" t="n"/>
      <c r="AT638" s="3" t="n"/>
      <c r="AU638" s="3" t="n"/>
    </row>
    <row r="639">
      <c r="A639" s="3" t="n">
        <v>2031</v>
      </c>
      <c r="B639" s="3" t="inlineStr">
        <is>
          <t>COM</t>
        </is>
      </c>
      <c r="C639" s="3" t="inlineStr">
        <is>
          <t>IMF.RES:WEO</t>
        </is>
      </c>
      <c r="D639" s="3" t="inlineStr">
        <is>
          <t>COM.GGR_NGDP.A</t>
        </is>
      </c>
      <c r="E639" s="3" t="inlineStr">
        <is>
          <t>Comoros, Union of the</t>
        </is>
      </c>
      <c r="F639" s="3" t="inlineStr">
        <is>
          <t>Revenue, General government, Percent of GDP</t>
        </is>
      </c>
      <c r="G639" s="3" t="n">
        <v>8.602334000000001</v>
      </c>
      <c r="H639" s="3" t="n">
        <v>10.859677</v>
      </c>
      <c r="I639" s="3" t="n">
        <v>12.111033</v>
      </c>
      <c r="J639" s="3" t="n">
        <v>10.714489</v>
      </c>
      <c r="K639" s="3" t="n">
        <v>10.733595</v>
      </c>
      <c r="L639" s="3" t="n">
        <v>11.395782</v>
      </c>
      <c r="M639" s="3" t="n">
        <v>10.947864</v>
      </c>
      <c r="N639" s="3" t="n">
        <v>11.884416</v>
      </c>
      <c r="O639" s="3" t="n">
        <v>13.664492</v>
      </c>
      <c r="P639" s="3" t="n">
        <v>14.021637</v>
      </c>
      <c r="Q639" s="3" t="n">
        <v>17.471202</v>
      </c>
      <c r="R639" s="3" t="n">
        <v>14.078388</v>
      </c>
      <c r="S639" s="3" t="n">
        <v>16.82151</v>
      </c>
      <c r="T639" s="3" t="n">
        <v>25.315182</v>
      </c>
      <c r="U639" s="3" t="n">
        <v>14.199788</v>
      </c>
      <c r="V639" s="3" t="n">
        <v>21.65714</v>
      </c>
      <c r="W639" s="3" t="n">
        <v>13.385546</v>
      </c>
      <c r="X639" s="3" t="n">
        <v>18.751722</v>
      </c>
      <c r="Y639" s="3" t="n">
        <v>17.82059</v>
      </c>
      <c r="Z639" s="3" t="n">
        <v>15.844201</v>
      </c>
      <c r="AA639" s="3" t="n">
        <v>18.250767</v>
      </c>
      <c r="AB639" s="3" t="n">
        <v>17.137846</v>
      </c>
      <c r="AC639" s="3" t="n">
        <v>14.502346</v>
      </c>
      <c r="AD639" s="3" t="n">
        <v>16.512396</v>
      </c>
      <c r="AE639" s="3" t="n">
        <v>16.462941</v>
      </c>
      <c r="AF639" s="3" t="n">
        <v>17.206756</v>
      </c>
      <c r="AG639" s="3" t="n">
        <v>17.643981</v>
      </c>
      <c r="AH639" s="3" t="n">
        <v>16.962006</v>
      </c>
      <c r="AI639" s="3" t="n">
        <v>16.826476</v>
      </c>
      <c r="AJ639" s="3" t="n">
        <v>17.844958</v>
      </c>
      <c r="AK639" s="3" t="n">
        <v>17.951296</v>
      </c>
      <c r="AL639" s="3" t="n">
        <v>17.807751</v>
      </c>
      <c r="AM639" s="3" t="n"/>
      <c r="AN639" s="3" t="n"/>
      <c r="AO639" s="3" t="n"/>
      <c r="AP639" s="3" t="n"/>
      <c r="AQ639" s="3" t="n"/>
      <c r="AR639" s="3" t="n"/>
      <c r="AS639" s="3" t="n"/>
      <c r="AT639" s="3" t="n"/>
      <c r="AU639" s="3" t="n"/>
    </row>
    <row r="640">
      <c r="A640" s="3" t="n">
        <v>2031</v>
      </c>
      <c r="B640" s="3" t="inlineStr">
        <is>
          <t>COM</t>
        </is>
      </c>
      <c r="C640" s="3" t="inlineStr">
        <is>
          <t>IMF.RES:WEO</t>
        </is>
      </c>
      <c r="D640" s="3" t="inlineStr">
        <is>
          <t>COM.GGX_NGDP.A</t>
        </is>
      </c>
      <c r="E640" s="3" t="inlineStr">
        <is>
          <t>Comoros, Union of the</t>
        </is>
      </c>
      <c r="F640" s="3" t="inlineStr">
        <is>
          <t>Expenditure, General government, Percent of GDP</t>
        </is>
      </c>
      <c r="G640" s="3" t="n">
        <v>9.740396</v>
      </c>
      <c r="H640" s="3" t="n">
        <v>12.987845</v>
      </c>
      <c r="I640" s="3" t="n">
        <v>14.256623</v>
      </c>
      <c r="J640" s="3" t="n">
        <v>12.759886</v>
      </c>
      <c r="K640" s="3" t="n">
        <v>11.713494</v>
      </c>
      <c r="L640" s="3" t="n">
        <v>12.809566</v>
      </c>
      <c r="M640" s="3" t="n">
        <v>12.454657</v>
      </c>
      <c r="N640" s="3" t="n">
        <v>13.063775</v>
      </c>
      <c r="O640" s="3" t="n">
        <v>15.128949</v>
      </c>
      <c r="P640" s="3" t="n">
        <v>13.661999</v>
      </c>
      <c r="Q640" s="3" t="n">
        <v>13.267162</v>
      </c>
      <c r="R640" s="3" t="n">
        <v>13.217161</v>
      </c>
      <c r="S640" s="3" t="n">
        <v>14.859932</v>
      </c>
      <c r="T640" s="3" t="n">
        <v>14.82664</v>
      </c>
      <c r="U640" s="3" t="n">
        <v>14.527812</v>
      </c>
      <c r="V640" s="3" t="n">
        <v>19.058948</v>
      </c>
      <c r="W640" s="3" t="n">
        <v>18.905931</v>
      </c>
      <c r="X640" s="3" t="n">
        <v>18.849483</v>
      </c>
      <c r="Y640" s="3" t="n">
        <v>19.16754</v>
      </c>
      <c r="Z640" s="3" t="n">
        <v>20.139326</v>
      </c>
      <c r="AA640" s="3" t="n">
        <v>18.767064</v>
      </c>
      <c r="AB640" s="3" t="n">
        <v>19.954376</v>
      </c>
      <c r="AC640" s="3" t="n">
        <v>18.434058</v>
      </c>
      <c r="AD640" s="3" t="n">
        <v>17.851764</v>
      </c>
      <c r="AE640" s="3" t="n">
        <v>19.13753</v>
      </c>
      <c r="AF640" s="3" t="n">
        <v>19.543415</v>
      </c>
      <c r="AG640" s="3" t="n">
        <v>18.753828</v>
      </c>
      <c r="AH640" s="3" t="n">
        <v>18.642916</v>
      </c>
      <c r="AI640" s="3" t="n">
        <v>18.744483</v>
      </c>
      <c r="AJ640" s="3" t="n">
        <v>18.979415</v>
      </c>
      <c r="AK640" s="3" t="n">
        <v>19.118616</v>
      </c>
      <c r="AL640" s="3" t="n">
        <v>19.19845</v>
      </c>
      <c r="AM640" s="3" t="n"/>
      <c r="AN640" s="3" t="n"/>
      <c r="AO640" s="3" t="n"/>
      <c r="AP640" s="3" t="n"/>
      <c r="AQ640" s="3" t="n"/>
      <c r="AR640" s="3" t="n"/>
      <c r="AS640" s="3" t="n"/>
      <c r="AT640" s="3" t="n"/>
      <c r="AU640" s="3" t="n"/>
    </row>
    <row r="641">
      <c r="A641" s="3" t="n">
        <v>2031</v>
      </c>
      <c r="B641" s="3" t="inlineStr">
        <is>
          <t>COM</t>
        </is>
      </c>
      <c r="C641" s="3" t="inlineStr">
        <is>
          <t>IMF.RES:WEO</t>
        </is>
      </c>
      <c r="D641" s="3" t="inlineStr">
        <is>
          <t>COM.LP.A</t>
        </is>
      </c>
      <c r="E641" s="3" t="inlineStr">
        <is>
          <t>Comoros, Union of the</t>
        </is>
      </c>
      <c r="F641" s="3" t="inlineStr">
        <is>
          <t>Population, Persons for countries / Index for country groups</t>
        </is>
      </c>
      <c r="G641" s="3" t="n">
        <v>0.536758</v>
      </c>
      <c r="H641" s="3" t="n">
        <v>0.547741</v>
      </c>
      <c r="I641" s="3" t="n">
        <v>0.559047</v>
      </c>
      <c r="J641" s="3" t="n">
        <v>0.57013</v>
      </c>
      <c r="K641" s="3" t="n">
        <v>0.5811539999999999</v>
      </c>
      <c r="L641" s="3" t="n">
        <v>0.592683</v>
      </c>
      <c r="M641" s="3" t="n">
        <v>0.604658</v>
      </c>
      <c r="N641" s="3" t="n">
        <v>0.6169</v>
      </c>
      <c r="O641" s="3" t="n">
        <v>0.62947</v>
      </c>
      <c r="P641" s="3" t="n">
        <v>0.642493</v>
      </c>
      <c r="Q641" s="3" t="n">
        <v>0.6560240000000001</v>
      </c>
      <c r="R641" s="3" t="n">
        <v>0.670071</v>
      </c>
      <c r="S641" s="3" t="n">
        <v>0.684553</v>
      </c>
      <c r="T641" s="3" t="n">
        <v>0.699393</v>
      </c>
      <c r="U641" s="3" t="n">
        <v>0.714612</v>
      </c>
      <c r="V641" s="3" t="n">
        <v>0.730216</v>
      </c>
      <c r="W641" s="3" t="n">
        <v>0.746232</v>
      </c>
      <c r="X641" s="3" t="n">
        <v>0.761664</v>
      </c>
      <c r="Y641" s="3" t="n">
        <v>0.7763139999999999</v>
      </c>
      <c r="Z641" s="3" t="n">
        <v>0.790986</v>
      </c>
      <c r="AA641" s="3" t="n">
        <v>0.806166</v>
      </c>
      <c r="AB641" s="3" t="n">
        <v>0.821626</v>
      </c>
      <c r="AC641" s="3" t="n">
        <v>0.850694</v>
      </c>
      <c r="AD641" s="3" t="n">
        <v>0.8700369999999999</v>
      </c>
      <c r="AE641" s="3" t="n">
        <v>0.889676</v>
      </c>
      <c r="AF641" s="3" t="n">
        <v>0.909529</v>
      </c>
      <c r="AG641" s="3" t="n">
        <v>0.92965</v>
      </c>
      <c r="AH641" s="3" t="n">
        <v>0.949953</v>
      </c>
      <c r="AI641" s="3" t="n">
        <v>0.9704159999999999</v>
      </c>
      <c r="AJ641" s="3" t="n">
        <v>0.991083</v>
      </c>
      <c r="AK641" s="3" t="n">
        <v>1.011846</v>
      </c>
      <c r="AL641" s="3" t="n">
        <v>1.032741</v>
      </c>
      <c r="AM641" s="3" t="n"/>
      <c r="AN641" s="3" t="n"/>
      <c r="AO641" s="3" t="n"/>
      <c r="AP641" s="3" t="n"/>
      <c r="AQ641" s="3" t="n"/>
      <c r="AR641" s="3" t="n"/>
      <c r="AS641" s="3" t="n"/>
      <c r="AT641" s="3" t="n"/>
      <c r="AU641" s="3" t="n"/>
    </row>
    <row r="642">
      <c r="A642" s="3" t="n">
        <v>2031</v>
      </c>
      <c r="B642" s="3" t="inlineStr">
        <is>
          <t>COM</t>
        </is>
      </c>
      <c r="C642" s="3" t="inlineStr">
        <is>
          <t>IMF.RES:WEO</t>
        </is>
      </c>
      <c r="D642" s="3" t="inlineStr">
        <is>
          <t>COM.NGDP.A</t>
        </is>
      </c>
      <c r="E642" s="3" t="inlineStr">
        <is>
          <t>Comoros, Union of the</t>
        </is>
      </c>
      <c r="F642" s="3" t="inlineStr">
        <is>
          <t>Gross domestic product (GDP), Current prices, Domestic currency</t>
        </is>
      </c>
      <c r="G642" s="3" t="n">
        <v>180.839141</v>
      </c>
      <c r="H642" s="3" t="n">
        <v>204.749035</v>
      </c>
      <c r="I642" s="3" t="n">
        <v>222.348586</v>
      </c>
      <c r="J642" s="3" t="n">
        <v>237.828749</v>
      </c>
      <c r="K642" s="3" t="n">
        <v>246.271513</v>
      </c>
      <c r="L642" s="3" t="n">
        <v>259.163531</v>
      </c>
      <c r="M642" s="3" t="n">
        <v>269.766881</v>
      </c>
      <c r="N642" s="3" t="n">
        <v>285.627</v>
      </c>
      <c r="O642" s="3" t="n">
        <v>306.288</v>
      </c>
      <c r="P642" s="3" t="n">
        <v>319.332</v>
      </c>
      <c r="Q642" s="3" t="n">
        <v>336.947266</v>
      </c>
      <c r="R642" s="3" t="n">
        <v>361.596425</v>
      </c>
      <c r="S642" s="3" t="n">
        <v>388.983776</v>
      </c>
      <c r="T642" s="3" t="n">
        <v>413.47663</v>
      </c>
      <c r="U642" s="3" t="n">
        <v>425.712987</v>
      </c>
      <c r="V642" s="3" t="n">
        <v>428.346</v>
      </c>
      <c r="W642" s="3" t="n">
        <v>450.159</v>
      </c>
      <c r="X642" s="3" t="n">
        <v>469.217</v>
      </c>
      <c r="Y642" s="3" t="n">
        <v>490.958</v>
      </c>
      <c r="Z642" s="3" t="n">
        <v>522.044801</v>
      </c>
      <c r="AA642" s="3" t="n">
        <v>524.94678</v>
      </c>
      <c r="AB642" s="3" t="n">
        <v>529.1953559999999</v>
      </c>
      <c r="AC642" s="3" t="n">
        <v>571.272872</v>
      </c>
      <c r="AD642" s="3" t="n">
        <v>604.306391</v>
      </c>
      <c r="AE642" s="3" t="n">
        <v>655.628734</v>
      </c>
      <c r="AF642" s="3" t="n">
        <v>701.050036</v>
      </c>
      <c r="AG642" s="3" t="n">
        <v>756.683815</v>
      </c>
      <c r="AH642" s="3" t="n">
        <v>807.226538</v>
      </c>
      <c r="AI642" s="3" t="n">
        <v>858.681251</v>
      </c>
      <c r="AJ642" s="3" t="n">
        <v>911.495355</v>
      </c>
      <c r="AK642" s="3" t="n">
        <v>971.5138899999999</v>
      </c>
      <c r="AL642" s="3" t="n">
        <v>1032.490135</v>
      </c>
      <c r="AM642" s="3" t="n"/>
      <c r="AN642" s="3" t="n"/>
      <c r="AO642" s="3" t="n"/>
      <c r="AP642" s="3" t="n"/>
      <c r="AQ642" s="3" t="n"/>
      <c r="AR642" s="3" t="n"/>
      <c r="AS642" s="3" t="n"/>
      <c r="AT642" s="3" t="n"/>
      <c r="AU642" s="3" t="n"/>
    </row>
    <row r="643">
      <c r="A643" s="3" t="n">
        <v>2031</v>
      </c>
      <c r="B643" s="3" t="inlineStr">
        <is>
          <t>COM</t>
        </is>
      </c>
      <c r="C643" s="3" t="inlineStr">
        <is>
          <t>IMF.RES:WEO</t>
        </is>
      </c>
      <c r="D643" s="3" t="inlineStr">
        <is>
          <t>COM.NGDP_D.A</t>
        </is>
      </c>
      <c r="E643" s="3" t="inlineStr">
        <is>
          <t>Comoros, Union of the</t>
        </is>
      </c>
      <c r="F643" s="3" t="inlineStr">
        <is>
          <t>Gross domestic product (GDP), Price deflator, Index</t>
        </is>
      </c>
      <c r="G643" s="3" t="n">
        <v>76.778355</v>
      </c>
      <c r="H643" s="3" t="n">
        <v>82.46058499999999</v>
      </c>
      <c r="I643" s="3" t="n">
        <v>85.61248000000001</v>
      </c>
      <c r="J643" s="3" t="n">
        <v>89.835196</v>
      </c>
      <c r="K643" s="3" t="n">
        <v>90.226929</v>
      </c>
      <c r="L643" s="3" t="n">
        <v>89.859351</v>
      </c>
      <c r="M643" s="3" t="n">
        <v>95.206334</v>
      </c>
      <c r="N643" s="3" t="n">
        <v>100</v>
      </c>
      <c r="O643" s="3" t="n">
        <v>103.14429</v>
      </c>
      <c r="P643" s="3" t="n">
        <v>104.161335</v>
      </c>
      <c r="Q643" s="3" t="n">
        <v>105.90628</v>
      </c>
      <c r="R643" s="3" t="n">
        <v>109.131897</v>
      </c>
      <c r="S643" s="3" t="n">
        <v>113.792157</v>
      </c>
      <c r="T643" s="3" t="n">
        <v>115.785937</v>
      </c>
      <c r="U643" s="3" t="n">
        <v>116.752903</v>
      </c>
      <c r="V643" s="3" t="n">
        <v>116.142452</v>
      </c>
      <c r="W643" s="3" t="n">
        <v>118.13428</v>
      </c>
      <c r="X643" s="3" t="n">
        <v>118.609763</v>
      </c>
      <c r="Y643" s="3" t="n">
        <v>119.743891</v>
      </c>
      <c r="Z643" s="3" t="n">
        <v>125.122776</v>
      </c>
      <c r="AA643" s="3" t="n">
        <v>126.064846</v>
      </c>
      <c r="AB643" s="3" t="n">
        <v>124.593113</v>
      </c>
      <c r="AC643" s="3" t="n">
        <v>131.087594</v>
      </c>
      <c r="AD643" s="3" t="n">
        <v>134.634887</v>
      </c>
      <c r="AE643" s="3" t="n">
        <v>141.349853</v>
      </c>
      <c r="AF643" s="3" t="n">
        <v>145.642303</v>
      </c>
      <c r="AG643" s="3" t="n">
        <v>151.033661</v>
      </c>
      <c r="AH643" s="3" t="n">
        <v>154.750655</v>
      </c>
      <c r="AI643" s="3" t="n">
        <v>158.518398</v>
      </c>
      <c r="AJ643" s="3" t="n">
        <v>162.388214</v>
      </c>
      <c r="AK643" s="3" t="n">
        <v>167.008292</v>
      </c>
      <c r="AL643" s="3" t="n">
        <v>171.254276</v>
      </c>
      <c r="AM643" s="3" t="n"/>
      <c r="AN643" s="3" t="n"/>
      <c r="AO643" s="3" t="n"/>
      <c r="AP643" s="3" t="n"/>
      <c r="AQ643" s="3" t="n"/>
      <c r="AR643" s="3" t="n"/>
      <c r="AS643" s="3" t="n"/>
      <c r="AT643" s="3" t="n"/>
      <c r="AU643" s="3" t="n"/>
    </row>
    <row r="644">
      <c r="A644" s="3" t="n">
        <v>2031</v>
      </c>
      <c r="B644" s="3" t="inlineStr">
        <is>
          <t>COM</t>
        </is>
      </c>
      <c r="C644" s="3" t="inlineStr">
        <is>
          <t>IMF.RES:WEO</t>
        </is>
      </c>
      <c r="D644" s="3" t="inlineStr">
        <is>
          <t>COM.NGDP_R.A</t>
        </is>
      </c>
      <c r="E644" s="3" t="inlineStr">
        <is>
          <t>Comoros, Union of the</t>
        </is>
      </c>
      <c r="F644" s="3" t="inlineStr">
        <is>
          <t>Gross domestic product (GDP), Constant prices, Domestic currency</t>
        </is>
      </c>
      <c r="G644" s="3" t="n">
        <v>235.534014</v>
      </c>
      <c r="H644" s="3" t="n">
        <v>248.299275</v>
      </c>
      <c r="I644" s="3" t="n">
        <v>259.715157</v>
      </c>
      <c r="J644" s="3" t="n">
        <v>264.738943</v>
      </c>
      <c r="K644" s="3" t="n">
        <v>272.946796</v>
      </c>
      <c r="L644" s="3" t="n">
        <v>288.410196</v>
      </c>
      <c r="M644" s="3" t="n">
        <v>283.34972</v>
      </c>
      <c r="N644" s="3" t="n">
        <v>285.627</v>
      </c>
      <c r="O644" s="3" t="n">
        <v>296.951</v>
      </c>
      <c r="P644" s="3" t="n">
        <v>306.574412</v>
      </c>
      <c r="Q644" s="3" t="n">
        <v>318.156078</v>
      </c>
      <c r="R644" s="3" t="n">
        <v>331.338897</v>
      </c>
      <c r="S644" s="3" t="n">
        <v>341.837071</v>
      </c>
      <c r="T644" s="3" t="n">
        <v>357.10436</v>
      </c>
      <c r="U644" s="3" t="n">
        <v>364.627326</v>
      </c>
      <c r="V644" s="3" t="n">
        <v>368.81088</v>
      </c>
      <c r="W644" s="3" t="n">
        <v>381.057049</v>
      </c>
      <c r="X644" s="3" t="n">
        <v>395.597282</v>
      </c>
      <c r="Y644" s="3" t="n">
        <v>410.00672</v>
      </c>
      <c r="Z644" s="3" t="n">
        <v>417.226037</v>
      </c>
      <c r="AA644" s="3" t="n">
        <v>416.410123</v>
      </c>
      <c r="AB644" s="3" t="n">
        <v>424.73885</v>
      </c>
      <c r="AC644" s="3" t="n">
        <v>435.794764</v>
      </c>
      <c r="AD644" s="3" t="n">
        <v>448.848293</v>
      </c>
      <c r="AE644" s="3" t="n">
        <v>463.834039</v>
      </c>
      <c r="AF644" s="3" t="n">
        <v>481.350555</v>
      </c>
      <c r="AG644" s="3" t="n">
        <v>501.003426</v>
      </c>
      <c r="AH644" s="3" t="n">
        <v>521.63045</v>
      </c>
      <c r="AI644" s="3" t="n">
        <v>541.691856</v>
      </c>
      <c r="AJ644" s="3" t="n">
        <v>561.306348</v>
      </c>
      <c r="AK644" s="3" t="n">
        <v>581.715961</v>
      </c>
      <c r="AL644" s="3" t="n">
        <v>602.898892</v>
      </c>
      <c r="AM644" s="3" t="n"/>
      <c r="AN644" s="3" t="n"/>
      <c r="AO644" s="3" t="n"/>
      <c r="AP644" s="3" t="n"/>
      <c r="AQ644" s="3" t="n"/>
      <c r="AR644" s="3" t="n"/>
      <c r="AS644" s="3" t="n"/>
      <c r="AT644" s="3" t="n"/>
      <c r="AU644" s="3" t="n"/>
    </row>
    <row r="645">
      <c r="A645" s="3" t="n">
        <v>2031</v>
      </c>
      <c r="B645" s="3" t="inlineStr">
        <is>
          <t>COM</t>
        </is>
      </c>
      <c r="C645" s="3" t="inlineStr">
        <is>
          <t>IMF.RES:WEO</t>
        </is>
      </c>
      <c r="D645" s="3" t="inlineStr">
        <is>
          <t>COM.NGDP_RPCH.A</t>
        </is>
      </c>
      <c r="E645" s="3" t="inlineStr">
        <is>
          <t>Comoros, Union of the</t>
        </is>
      </c>
      <c r="F645" s="3" t="inlineStr">
        <is>
          <t>Gross domestic product (GDP), Constant prices, Percent change</t>
        </is>
      </c>
      <c r="G645" s="3" t="n">
        <v>-1.006955</v>
      </c>
      <c r="H645" s="3" t="n">
        <v>5.41971</v>
      </c>
      <c r="I645" s="3" t="n">
        <v>4.59763</v>
      </c>
      <c r="J645" s="3" t="n">
        <v>1.934345</v>
      </c>
      <c r="K645" s="3" t="n">
        <v>3.100357</v>
      </c>
      <c r="L645" s="3" t="n">
        <v>5.665353</v>
      </c>
      <c r="M645" s="3" t="n">
        <v>-1.754611</v>
      </c>
      <c r="N645" s="3" t="n">
        <v>0.8037</v>
      </c>
      <c r="O645" s="3" t="n">
        <v>3.964611</v>
      </c>
      <c r="P645" s="3" t="n">
        <v>3.240741</v>
      </c>
      <c r="Q645" s="3" t="n">
        <v>3.777767</v>
      </c>
      <c r="R645" s="3" t="n">
        <v>4.143507</v>
      </c>
      <c r="S645" s="3" t="n">
        <v>3.16841</v>
      </c>
      <c r="T645" s="3" t="n">
        <v>4.466247</v>
      </c>
      <c r="U645" s="3" t="n">
        <v>2.106658</v>
      </c>
      <c r="V645" s="3" t="n">
        <v>1.147351</v>
      </c>
      <c r="W645" s="3" t="n">
        <v>3.320447</v>
      </c>
      <c r="X645" s="3" t="n">
        <v>3.815763</v>
      </c>
      <c r="Y645" s="3" t="n">
        <v>3.642451</v>
      </c>
      <c r="Z645" s="3" t="n">
        <v>1.76078</v>
      </c>
      <c r="AA645" s="3" t="n">
        <v>-0.195557</v>
      </c>
      <c r="AB645" s="3" t="n">
        <v>2.000126</v>
      </c>
      <c r="AC645" s="3" t="n">
        <v>2.602991</v>
      </c>
      <c r="AD645" s="3" t="n">
        <v>2.995339</v>
      </c>
      <c r="AE645" s="3" t="n">
        <v>3.338711</v>
      </c>
      <c r="AF645" s="3" t="n">
        <v>3.776462</v>
      </c>
      <c r="AG645" s="3" t="n">
        <v>4.08286</v>
      </c>
      <c r="AH645" s="3" t="n">
        <v>4.117142</v>
      </c>
      <c r="AI645" s="3" t="n">
        <v>3.845904</v>
      </c>
      <c r="AJ645" s="3" t="n">
        <v>3.620969</v>
      </c>
      <c r="AK645" s="3" t="n">
        <v>3.636092</v>
      </c>
      <c r="AL645" s="3" t="n">
        <v>3.641456</v>
      </c>
      <c r="AM645" s="3" t="n"/>
      <c r="AN645" s="3" t="n"/>
      <c r="AO645" s="3" t="n"/>
      <c r="AP645" s="3" t="n"/>
      <c r="AQ645" s="3" t="n"/>
      <c r="AR645" s="3" t="n"/>
      <c r="AS645" s="3" t="n"/>
      <c r="AT645" s="3" t="n"/>
      <c r="AU645" s="3" t="n"/>
    </row>
    <row r="646">
      <c r="A646" s="3" t="n">
        <v>2031</v>
      </c>
      <c r="B646" s="3" t="inlineStr">
        <is>
          <t>COM</t>
        </is>
      </c>
      <c r="C646" s="3" t="inlineStr">
        <is>
          <t>IMF.RES:WEO</t>
        </is>
      </c>
      <c r="D646" s="3" t="inlineStr">
        <is>
          <t>COM.NGDPD.A</t>
        </is>
      </c>
      <c r="E646" s="3" t="inlineStr">
        <is>
          <t>Comoros, Union of the</t>
        </is>
      </c>
      <c r="F646" s="3" t="inlineStr">
        <is>
          <t>Gross domestic product (GDP), Current prices, US dollar</t>
        </is>
      </c>
      <c r="G646" s="3" t="n">
        <v>0.339655</v>
      </c>
      <c r="H646" s="3" t="n">
        <v>0.372749</v>
      </c>
      <c r="I646" s="3" t="n">
        <v>0.427057</v>
      </c>
      <c r="J646" s="3" t="n">
        <v>0.546693</v>
      </c>
      <c r="K646" s="3" t="n">
        <v>0.6223959999999999</v>
      </c>
      <c r="L646" s="3" t="n">
        <v>0.655736</v>
      </c>
      <c r="M646" s="3" t="n">
        <v>0.688535</v>
      </c>
      <c r="N646" s="3" t="n">
        <v>0.795767</v>
      </c>
      <c r="O646" s="3" t="n">
        <v>0.915559</v>
      </c>
      <c r="P646" s="3" t="n">
        <v>0.904358</v>
      </c>
      <c r="Q646" s="3" t="n">
        <v>0.908721</v>
      </c>
      <c r="R646" s="3" t="n">
        <v>1.022907</v>
      </c>
      <c r="S646" s="3" t="n">
        <v>1.016486</v>
      </c>
      <c r="T646" s="3" t="n">
        <v>1.116239</v>
      </c>
      <c r="U646" s="3" t="n">
        <v>1.149884</v>
      </c>
      <c r="V646" s="3" t="n">
        <v>0.966127</v>
      </c>
      <c r="W646" s="3" t="n">
        <v>1.012556</v>
      </c>
      <c r="X646" s="3" t="n">
        <v>1.07706</v>
      </c>
      <c r="Y646" s="3" t="n">
        <v>1.179065</v>
      </c>
      <c r="Z646" s="3" t="n">
        <v>1.188046</v>
      </c>
      <c r="AA646" s="3" t="n">
        <v>1.217788</v>
      </c>
      <c r="AB646" s="3" t="n">
        <v>1.273085</v>
      </c>
      <c r="AC646" s="3" t="n">
        <v>1.223762</v>
      </c>
      <c r="AD646" s="3" t="n">
        <v>1.328555</v>
      </c>
      <c r="AE646" s="3" t="n">
        <v>1.442017</v>
      </c>
      <c r="AF646" s="3" t="n">
        <v>1.609304</v>
      </c>
      <c r="AG646" s="3" t="n">
        <v>1.813728</v>
      </c>
      <c r="AH646" s="3" t="n">
        <v>1.930422</v>
      </c>
      <c r="AI646" s="3" t="n">
        <v>2.047921</v>
      </c>
      <c r="AJ646" s="3" t="n">
        <v>2.172728</v>
      </c>
      <c r="AK646" s="3" t="n">
        <v>2.315432</v>
      </c>
      <c r="AL646" s="3" t="n">
        <v>2.460353</v>
      </c>
      <c r="AM646" s="3" t="n"/>
      <c r="AN646" s="3" t="n"/>
      <c r="AO646" s="3" t="n"/>
      <c r="AP646" s="3" t="n"/>
      <c r="AQ646" s="3" t="n"/>
      <c r="AR646" s="3" t="n"/>
      <c r="AS646" s="3" t="n"/>
      <c r="AT646" s="3" t="n"/>
      <c r="AU646" s="3" t="n"/>
    </row>
    <row r="647">
      <c r="A647" s="3" t="n">
        <v>2031</v>
      </c>
      <c r="B647" s="3" t="inlineStr">
        <is>
          <t>COM</t>
        </is>
      </c>
      <c r="C647" s="3" t="inlineStr">
        <is>
          <t>IMF.RES:WEO</t>
        </is>
      </c>
      <c r="D647" s="3" t="inlineStr">
        <is>
          <t>COM.NGDPPC.A</t>
        </is>
      </c>
      <c r="E647" s="3" t="inlineStr">
        <is>
          <t>Comoros, Union of the</t>
        </is>
      </c>
      <c r="F647" s="3" t="inlineStr">
        <is>
          <t>Gross domestic product (GDP), Current prices, Per capita, Domestic currency</t>
        </is>
      </c>
      <c r="G647" s="3" t="n">
        <v>336910.320384</v>
      </c>
      <c r="H647" s="3" t="n">
        <v>373806.296897</v>
      </c>
      <c r="I647" s="3" t="n">
        <v>397727.894557</v>
      </c>
      <c r="J647" s="3" t="n">
        <v>417148.280278</v>
      </c>
      <c r="K647" s="3" t="n">
        <v>423763.278989</v>
      </c>
      <c r="L647" s="3" t="n">
        <v>437271.747288</v>
      </c>
      <c r="M647" s="3" t="n">
        <v>446148.243203</v>
      </c>
      <c r="N647" s="3" t="n">
        <v>463004.103586</v>
      </c>
      <c r="O647" s="3" t="n">
        <v>486581.160803</v>
      </c>
      <c r="P647" s="3" t="n">
        <v>497020.200998</v>
      </c>
      <c r="Q647" s="3" t="n">
        <v>513620.333297</v>
      </c>
      <c r="R647" s="3" t="n">
        <v>539639.373594</v>
      </c>
      <c r="S647" s="3" t="n">
        <v>568230.743902</v>
      </c>
      <c r="T647" s="3" t="n">
        <v>591193.971407</v>
      </c>
      <c r="U647" s="3" t="n">
        <v>595726.053805</v>
      </c>
      <c r="V647" s="3" t="n">
        <v>586602.17429</v>
      </c>
      <c r="W647" s="3" t="n">
        <v>603242.691281</v>
      </c>
      <c r="X647" s="3" t="n">
        <v>616041.981766</v>
      </c>
      <c r="Y647" s="3" t="n">
        <v>632422.339686</v>
      </c>
      <c r="Z647" s="3" t="n">
        <v>659992.466896</v>
      </c>
      <c r="AA647" s="3" t="n">
        <v>651164.62418</v>
      </c>
      <c r="AB647" s="3" t="n">
        <v>644083.412381</v>
      </c>
      <c r="AC647" s="3" t="n">
        <v>671537.440782</v>
      </c>
      <c r="AD647" s="3" t="n">
        <v>694575.508131</v>
      </c>
      <c r="AE647" s="3" t="n">
        <v>736929.774058</v>
      </c>
      <c r="AF647" s="3" t="n">
        <v>770783.598943</v>
      </c>
      <c r="AG647" s="3" t="n">
        <v>813944.834443</v>
      </c>
      <c r="AH647" s="3" t="n">
        <v>849754.1852609999</v>
      </c>
      <c r="AI647" s="3" t="n">
        <v>884858.91737</v>
      </c>
      <c r="AJ647" s="3" t="n">
        <v>919696.286572</v>
      </c>
      <c r="AK647" s="3" t="n">
        <v>960140.071187</v>
      </c>
      <c r="AL647" s="3" t="n">
        <v>999757.087769</v>
      </c>
      <c r="AM647" s="3" t="n"/>
      <c r="AN647" s="3" t="n"/>
      <c r="AO647" s="3" t="n"/>
      <c r="AP647" s="3" t="n"/>
      <c r="AQ647" s="3" t="n"/>
      <c r="AR647" s="3" t="n"/>
      <c r="AS647" s="3" t="n"/>
      <c r="AT647" s="3" t="n"/>
      <c r="AU647" s="3" t="n"/>
    </row>
    <row r="648">
      <c r="A648" s="3" t="n">
        <v>2031</v>
      </c>
      <c r="B648" s="3" t="inlineStr">
        <is>
          <t>COM</t>
        </is>
      </c>
      <c r="C648" s="3" t="inlineStr">
        <is>
          <t>IMF.RES:WEO</t>
        </is>
      </c>
      <c r="D648" s="3" t="inlineStr">
        <is>
          <t>COM.NGDPRPC.A</t>
        </is>
      </c>
      <c r="E648" s="3" t="inlineStr">
        <is>
          <t>Comoros, Union of the</t>
        </is>
      </c>
      <c r="F648" s="3" t="inlineStr">
        <is>
          <t>Gross domestic product (GDP), Constant prices, Per capita, Domestic currency</t>
        </is>
      </c>
      <c r="G648" s="3" t="n">
        <v>438808.98544</v>
      </c>
      <c r="H648" s="3" t="n">
        <v>453315.115536</v>
      </c>
      <c r="I648" s="3" t="n">
        <v>464567.661158</v>
      </c>
      <c r="J648" s="3" t="n">
        <v>464348.382441</v>
      </c>
      <c r="K648" s="3" t="n">
        <v>469663.860202</v>
      </c>
      <c r="L648" s="3" t="n">
        <v>486617.965772</v>
      </c>
      <c r="M648" s="3" t="n">
        <v>468611.932733</v>
      </c>
      <c r="N648" s="3" t="n">
        <v>463004.103586</v>
      </c>
      <c r="O648" s="3" t="n">
        <v>471748.035449</v>
      </c>
      <c r="P648" s="3" t="n">
        <v>477163.816628</v>
      </c>
      <c r="Q648" s="3" t="n">
        <v>484976.27861</v>
      </c>
      <c r="R648" s="3" t="n">
        <v>494483.635044</v>
      </c>
      <c r="S648" s="3" t="n">
        <v>499358.443546</v>
      </c>
      <c r="T648" s="3" t="n">
        <v>510592.206625</v>
      </c>
      <c r="U648" s="3" t="n">
        <v>510245.176432</v>
      </c>
      <c r="V648" s="3" t="n">
        <v>505071.284336</v>
      </c>
      <c r="W648" s="3" t="n">
        <v>510641.527836</v>
      </c>
      <c r="X648" s="3" t="n">
        <v>519385.558452</v>
      </c>
      <c r="Y648" s="3" t="n">
        <v>528145.806726</v>
      </c>
      <c r="Z648" s="3" t="n">
        <v>527475.8807560001</v>
      </c>
      <c r="AA648" s="3" t="n">
        <v>516531.487254</v>
      </c>
      <c r="AB648" s="3" t="n">
        <v>516949.449387</v>
      </c>
      <c r="AC648" s="3" t="n">
        <v>512281.460117</v>
      </c>
      <c r="AD648" s="3" t="n">
        <v>515895.637985</v>
      </c>
      <c r="AE648" s="3" t="n">
        <v>521351.637468</v>
      </c>
      <c r="AF648" s="3" t="n">
        <v>529230.5741119999</v>
      </c>
      <c r="AG648" s="3" t="n">
        <v>538916.179686</v>
      </c>
      <c r="AH648" s="3" t="n">
        <v>549111.850295</v>
      </c>
      <c r="AI648" s="3" t="n">
        <v>558205.8169410001</v>
      </c>
      <c r="AJ648" s="3" t="n">
        <v>566356.54895</v>
      </c>
      <c r="AK648" s="3" t="n">
        <v>574905.629063</v>
      </c>
      <c r="AL648" s="3" t="n">
        <v>583785.181126</v>
      </c>
      <c r="AM648" s="3" t="n"/>
      <c r="AN648" s="3" t="n"/>
      <c r="AO648" s="3" t="n"/>
      <c r="AP648" s="3" t="n"/>
      <c r="AQ648" s="3" t="n"/>
      <c r="AR648" s="3" t="n"/>
      <c r="AS648" s="3" t="n"/>
      <c r="AT648" s="3" t="n"/>
      <c r="AU648" s="3" t="n"/>
    </row>
    <row r="649">
      <c r="A649" s="3" t="n">
        <v>2031</v>
      </c>
      <c r="B649" s="3" t="inlineStr">
        <is>
          <t>COM</t>
        </is>
      </c>
      <c r="C649" s="3" t="inlineStr">
        <is>
          <t>IMF.RES:WEO</t>
        </is>
      </c>
      <c r="D649" s="3" t="inlineStr">
        <is>
          <t>COM.PCPI.A</t>
        </is>
      </c>
      <c r="E649" s="3" t="inlineStr">
        <is>
          <t>Comoros, Union of the</t>
        </is>
      </c>
      <c r="F649" s="3" t="inlineStr">
        <is>
          <t>All Items, Consumer price index (CPI), Period average</t>
        </is>
      </c>
      <c r="G649" s="3" t="n">
        <v>100</v>
      </c>
      <c r="H649" s="3" t="n">
        <v>105.571294</v>
      </c>
      <c r="I649" s="3" t="n">
        <v>109.348442</v>
      </c>
      <c r="J649" s="3" t="n">
        <v>113.408876</v>
      </c>
      <c r="K649" s="3" t="n">
        <v>118.508026</v>
      </c>
      <c r="L649" s="3" t="n">
        <v>122.071242</v>
      </c>
      <c r="M649" s="3" t="n">
        <v>126.208754</v>
      </c>
      <c r="N649" s="3" t="n">
        <v>131.870262</v>
      </c>
      <c r="O649" s="3" t="n">
        <v>138.221448</v>
      </c>
      <c r="P649" s="3" t="n">
        <v>144.840409</v>
      </c>
      <c r="Q649" s="3" t="n">
        <v>150.487472</v>
      </c>
      <c r="R649" s="3" t="n">
        <v>153.845524</v>
      </c>
      <c r="S649" s="3" t="n">
        <v>162.937112</v>
      </c>
      <c r="T649" s="3" t="n">
        <v>163.614443</v>
      </c>
      <c r="U649" s="3" t="n">
        <v>163.601197</v>
      </c>
      <c r="V649" s="3" t="n">
        <v>165.140951</v>
      </c>
      <c r="W649" s="3" t="n">
        <v>166.465829</v>
      </c>
      <c r="X649" s="3" t="n">
        <v>166.618466</v>
      </c>
      <c r="Y649" s="3" t="n">
        <v>169.454518</v>
      </c>
      <c r="Z649" s="3" t="n">
        <v>175.726431</v>
      </c>
      <c r="AA649" s="3" t="n">
        <v>177.13242</v>
      </c>
      <c r="AB649" s="3" t="n">
        <v>177.105515</v>
      </c>
      <c r="AC649" s="3" t="n">
        <v>199.143874</v>
      </c>
      <c r="AD649" s="3" t="n">
        <v>216.035587</v>
      </c>
      <c r="AE649" s="3" t="n">
        <v>226.940312</v>
      </c>
      <c r="AF649" s="3" t="n">
        <v>234.264218</v>
      </c>
      <c r="AG649" s="3" t="n">
        <v>243.002858</v>
      </c>
      <c r="AH649" s="3" t="n">
        <v>249.088715</v>
      </c>
      <c r="AI649" s="3" t="n">
        <v>255.32699</v>
      </c>
      <c r="AJ649" s="3" t="n">
        <v>261.721498</v>
      </c>
      <c r="AK649" s="3" t="n">
        <v>268.276153</v>
      </c>
      <c r="AL649" s="3" t="n">
        <v>274.994965</v>
      </c>
      <c r="AM649" s="3" t="n"/>
      <c r="AN649" s="3" t="n"/>
      <c r="AO649" s="3" t="n"/>
      <c r="AP649" s="3" t="n"/>
      <c r="AQ649" s="3" t="n"/>
      <c r="AR649" s="3" t="n"/>
      <c r="AS649" s="3" t="n"/>
      <c r="AT649" s="3" t="n"/>
      <c r="AU649" s="3" t="n"/>
    </row>
    <row r="650">
      <c r="A650" s="3" t="n">
        <v>2031</v>
      </c>
      <c r="B650" s="3" t="inlineStr">
        <is>
          <t>COM</t>
        </is>
      </c>
      <c r="C650" s="3" t="inlineStr">
        <is>
          <t>IMF.RES:WEO</t>
        </is>
      </c>
      <c r="D650" s="3" t="inlineStr">
        <is>
          <t>COM.PCPIPCH.A</t>
        </is>
      </c>
      <c r="E650" s="3" t="inlineStr">
        <is>
          <t>Comoros, Union of the</t>
        </is>
      </c>
      <c r="F650" s="3" t="inlineStr">
        <is>
          <t>All Items, Consumer price index (CPI), Period average, percent change</t>
        </is>
      </c>
      <c r="G650" s="3" t="n">
        <v>5.9</v>
      </c>
      <c r="H650" s="3" t="n">
        <v>5.571294</v>
      </c>
      <c r="I650" s="3" t="n">
        <v>3.577818</v>
      </c>
      <c r="J650" s="3" t="n">
        <v>3.713299</v>
      </c>
      <c r="K650" s="3" t="n">
        <v>4.496253</v>
      </c>
      <c r="L650" s="3" t="n">
        <v>3.006729</v>
      </c>
      <c r="M650" s="3" t="n">
        <v>3.389424</v>
      </c>
      <c r="N650" s="3" t="n">
        <v>4.485828</v>
      </c>
      <c r="O650" s="3" t="n">
        <v>4.816238</v>
      </c>
      <c r="P650" s="3" t="n">
        <v>4.788664</v>
      </c>
      <c r="Q650" s="3" t="n">
        <v>3.898817</v>
      </c>
      <c r="R650" s="3" t="n">
        <v>2.23145</v>
      </c>
      <c r="S650" s="3" t="n">
        <v>5.909556</v>
      </c>
      <c r="T650" s="3" t="n">
        <v>0.415701</v>
      </c>
      <c r="U650" s="3" t="n">
        <v>-0.008096000000000001</v>
      </c>
      <c r="V650" s="3" t="n">
        <v>0.941163</v>
      </c>
      <c r="W650" s="3" t="n">
        <v>0.802271</v>
      </c>
      <c r="X650" s="3" t="n">
        <v>0.091693</v>
      </c>
      <c r="Y650" s="3" t="n">
        <v>1.702123</v>
      </c>
      <c r="Z650" s="3" t="n">
        <v>3.701237</v>
      </c>
      <c r="AA650" s="3" t="n">
        <v>0.800101</v>
      </c>
      <c r="AB650" s="3" t="n">
        <v>-0.015189</v>
      </c>
      <c r="AC650" s="3" t="n">
        <v>12.443632</v>
      </c>
      <c r="AD650" s="3" t="n">
        <v>8.482165999999999</v>
      </c>
      <c r="AE650" s="3" t="n">
        <v>5.047652</v>
      </c>
      <c r="AF650" s="3" t="n">
        <v>3.227239</v>
      </c>
      <c r="AG650" s="3" t="n">
        <v>3.73025</v>
      </c>
      <c r="AH650" s="3" t="n">
        <v>2.504439</v>
      </c>
      <c r="AI650" s="3" t="n">
        <v>2.504439</v>
      </c>
      <c r="AJ650" s="3" t="n">
        <v>2.504439</v>
      </c>
      <c r="AK650" s="3" t="n">
        <v>2.504439</v>
      </c>
      <c r="AL650" s="3" t="n">
        <v>2.504439</v>
      </c>
      <c r="AM650" s="3" t="n"/>
      <c r="AN650" s="3" t="n"/>
      <c r="AO650" s="3" t="n"/>
      <c r="AP650" s="3" t="n"/>
      <c r="AQ650" s="3" t="n"/>
      <c r="AR650" s="3" t="n"/>
      <c r="AS650" s="3" t="n"/>
      <c r="AT650" s="3" t="n"/>
      <c r="AU650" s="3" t="n"/>
    </row>
    <row r="651">
      <c r="A651" s="3" t="n">
        <v>2031</v>
      </c>
      <c r="B651" s="3" t="inlineStr">
        <is>
          <t>COM</t>
        </is>
      </c>
      <c r="C651" s="3" t="inlineStr">
        <is>
          <t>IMF.RES:WEO</t>
        </is>
      </c>
      <c r="D651" s="3" t="inlineStr">
        <is>
          <t>COM.PPPPC.A</t>
        </is>
      </c>
      <c r="E651" s="3" t="inlineStr">
        <is>
          <t>Comoros, Union of the</t>
        </is>
      </c>
      <c r="F651" s="3" t="inlineStr">
        <is>
          <t>Gross domestic product (GDP), Per capita, purchasing power parity (PPP) international dollar, ICP benchmarks 2017-2021</t>
        </is>
      </c>
      <c r="G651" s="3" t="n">
        <v>2043.198469</v>
      </c>
      <c r="H651" s="3" t="n">
        <v>2158.26835</v>
      </c>
      <c r="I651" s="3" t="n">
        <v>2246.215416</v>
      </c>
      <c r="J651" s="3" t="n">
        <v>2289.479395</v>
      </c>
      <c r="K651" s="3" t="n">
        <v>2377.953554</v>
      </c>
      <c r="L651" s="3" t="n">
        <v>2541.053991</v>
      </c>
      <c r="M651" s="3" t="n">
        <v>2522.492381</v>
      </c>
      <c r="N651" s="3" t="n">
        <v>2559.829283</v>
      </c>
      <c r="O651" s="3" t="n">
        <v>2658.416332</v>
      </c>
      <c r="P651" s="3" t="n">
        <v>2705.519386</v>
      </c>
      <c r="Q651" s="3" t="n">
        <v>2783.23662</v>
      </c>
      <c r="R651" s="3" t="n">
        <v>2896.349342</v>
      </c>
      <c r="S651" s="3" t="n">
        <v>2979.362362</v>
      </c>
      <c r="T651" s="3" t="n">
        <v>3098.236925</v>
      </c>
      <c r="U651" s="3" t="n">
        <v>3150.056947</v>
      </c>
      <c r="V651" s="3" t="n">
        <v>3147.053102</v>
      </c>
      <c r="W651" s="3" t="n">
        <v>3211.994623</v>
      </c>
      <c r="X651" s="3" t="n">
        <v>3325.503877</v>
      </c>
      <c r="Y651" s="3" t="n">
        <v>3256.076401</v>
      </c>
      <c r="Z651" s="3" t="n">
        <v>3274.703257</v>
      </c>
      <c r="AA651" s="3" t="n">
        <v>3228.772983</v>
      </c>
      <c r="AB651" s="3" t="n">
        <v>3363.697562</v>
      </c>
      <c r="AC651" s="3" t="n">
        <v>3570.40358</v>
      </c>
      <c r="AD651" s="3" t="n">
        <v>3728.631142</v>
      </c>
      <c r="AE651" s="3" t="n">
        <v>3861.608215</v>
      </c>
      <c r="AF651" s="3" t="n">
        <v>4031.167152</v>
      </c>
      <c r="AG651" s="3" t="n">
        <v>4222.543222</v>
      </c>
      <c r="AH651" s="3" t="n">
        <v>4396.905977</v>
      </c>
      <c r="AI651" s="3" t="n">
        <v>4543.089768</v>
      </c>
      <c r="AJ651" s="3" t="n">
        <v>4691.38703</v>
      </c>
      <c r="AK651" s="3" t="n">
        <v>4849.709677</v>
      </c>
      <c r="AL651" s="3" t="n">
        <v>5013.518734</v>
      </c>
      <c r="AM651" s="3" t="n"/>
      <c r="AN651" s="3" t="n"/>
      <c r="AO651" s="3" t="n"/>
      <c r="AP651" s="3" t="n"/>
      <c r="AQ651" s="3" t="n"/>
      <c r="AR651" s="3" t="n"/>
      <c r="AS651" s="3" t="n"/>
      <c r="AT651" s="3" t="n"/>
      <c r="AU651" s="3" t="n"/>
    </row>
    <row r="652">
      <c r="A652" s="3" t="n">
        <v>2025</v>
      </c>
      <c r="B652" s="3" t="inlineStr">
        <is>
          <t>COM</t>
        </is>
      </c>
      <c r="C652" s="3" t="inlineStr">
        <is>
          <t>IMF.STA:ER</t>
        </is>
      </c>
      <c r="D652" s="3" t="inlineStr">
        <is>
          <t>COM.XDC_USD.PA_RT.A</t>
        </is>
      </c>
      <c r="E652" s="3" t="inlineStr">
        <is>
          <t>Comoros, Union of the</t>
        </is>
      </c>
      <c r="F652" s="3" t="inlineStr">
        <is>
          <t>Domestic currency per US Dollar</t>
        </is>
      </c>
      <c r="G652" s="3" t="n">
        <v>532.655982773529</v>
      </c>
      <c r="H652" s="3" t="n">
        <v>549.298269945143</v>
      </c>
      <c r="I652" s="3" t="n">
        <v>520.284919872278</v>
      </c>
      <c r="J652" s="3" t="n">
        <v>434.923069629333</v>
      </c>
      <c r="K652" s="3" t="n">
        <v>395.503524218688</v>
      </c>
      <c r="L652" s="3" t="n">
        <v>395.443771987232</v>
      </c>
      <c r="M652" s="3" t="n">
        <v>391.819218671385</v>
      </c>
      <c r="N652" s="3" t="n">
        <v>358.975288857269</v>
      </c>
      <c r="O652" s="3" t="n">
        <v>334.500031074591</v>
      </c>
      <c r="P652" s="3" t="n">
        <v>352.720067506048</v>
      </c>
      <c r="Q652" s="3" t="n">
        <v>371.095696667202</v>
      </c>
      <c r="R652" s="3" t="n">
        <v>353.4364692892</v>
      </c>
      <c r="S652" s="3" t="n">
        <v>382.917253840688</v>
      </c>
      <c r="T652" s="3" t="n">
        <v>370.424717889175</v>
      </c>
      <c r="U652" s="3" t="n">
        <v>370.317997406489</v>
      </c>
      <c r="V652" s="3" t="n">
        <v>443.408773486957</v>
      </c>
      <c r="W652" s="3" t="n">
        <v>444.454211297254</v>
      </c>
      <c r="X652" s="3" t="n">
        <v>435.492562190889</v>
      </c>
      <c r="Y652" s="3" t="n">
        <v>416.584843798676</v>
      </c>
      <c r="Z652" s="3" t="n">
        <v>439.463110317874</v>
      </c>
      <c r="AA652" s="3" t="n">
        <v>430.720912236792</v>
      </c>
      <c r="AB652" s="3" t="n">
        <v>415.955849148122</v>
      </c>
      <c r="AC652" s="3" t="n">
        <v>467.184261187175</v>
      </c>
      <c r="AD652" s="3" t="n">
        <v>454.991236691822</v>
      </c>
      <c r="AE652" s="3" t="n">
        <v>454.523861252</v>
      </c>
      <c r="AF652" s="3" t="n">
        <v>435.376187289972</v>
      </c>
      <c r="AG652" s="3" t="n"/>
      <c r="AH652" s="3" t="n"/>
      <c r="AI652" s="3" t="n"/>
      <c r="AJ652" s="3" t="n"/>
      <c r="AK652" s="3" t="n"/>
      <c r="AL652" s="3" t="n"/>
      <c r="AM652" s="3" t="n"/>
      <c r="AN652" s="3" t="n"/>
      <c r="AO652" s="3" t="n"/>
      <c r="AP652" s="3" t="n"/>
      <c r="AQ652" s="3" t="n"/>
      <c r="AR652" s="3" t="n"/>
      <c r="AS652" s="3" t="n"/>
      <c r="AT652" s="3" t="n"/>
      <c r="AU652" s="3" t="n"/>
    </row>
    <row r="653">
      <c r="A653" s="3" t="n">
        <v>2031</v>
      </c>
      <c r="B653" s="3" t="inlineStr">
        <is>
          <t>CPV</t>
        </is>
      </c>
      <c r="C653" s="3" t="inlineStr">
        <is>
          <t>IMF.RES:WEO</t>
        </is>
      </c>
      <c r="D653" s="3" t="inlineStr">
        <is>
          <t>CPV.BCA.A</t>
        </is>
      </c>
      <c r="E653" s="3" t="inlineStr">
        <is>
          <t>Cabo Verde</t>
        </is>
      </c>
      <c r="F653" s="3" t="inlineStr">
        <is>
          <t>Current account balance (credit less debit), US dollar</t>
        </is>
      </c>
      <c r="G653" s="3" t="n">
        <v>-0.060493</v>
      </c>
      <c r="H653" s="3" t="n">
        <v>-0.059779</v>
      </c>
      <c r="I653" s="3" t="n">
        <v>-0.069122</v>
      </c>
      <c r="J653" s="3" t="n">
        <v>-0.09067</v>
      </c>
      <c r="K653" s="3" t="n">
        <v>-0.132522</v>
      </c>
      <c r="L653" s="3" t="n">
        <v>-0.034024</v>
      </c>
      <c r="M653" s="3" t="n">
        <v>-0.059807</v>
      </c>
      <c r="N653" s="3" t="n">
        <v>-0.195828</v>
      </c>
      <c r="O653" s="3" t="n">
        <v>-0.245199</v>
      </c>
      <c r="P653" s="3" t="n">
        <v>-0.248362</v>
      </c>
      <c r="Q653" s="3" t="n">
        <v>-0.206777</v>
      </c>
      <c r="R653" s="3" t="n">
        <v>-0.303907</v>
      </c>
      <c r="S653" s="3" t="n">
        <v>-0.219349</v>
      </c>
      <c r="T653" s="3" t="n">
        <v>-0.09012100000000001</v>
      </c>
      <c r="U653" s="3" t="n">
        <v>-0.168917</v>
      </c>
      <c r="V653" s="3" t="n">
        <v>-0.050773</v>
      </c>
      <c r="W653" s="3" t="n">
        <v>-0.063653</v>
      </c>
      <c r="X653" s="3" t="n">
        <v>-0.138816</v>
      </c>
      <c r="Y653" s="3" t="n">
        <v>-0.105251</v>
      </c>
      <c r="Z653" s="3" t="n">
        <v>0.00452</v>
      </c>
      <c r="AA653" s="3" t="n">
        <v>-0.280828</v>
      </c>
      <c r="AB653" s="3" t="n">
        <v>-0.248904</v>
      </c>
      <c r="AC653" s="3" t="n">
        <v>-0.079744</v>
      </c>
      <c r="AD653" s="3" t="n">
        <v>-0.068768</v>
      </c>
      <c r="AE653" s="3" t="n">
        <v>0.107272</v>
      </c>
      <c r="AF653" s="3" t="n">
        <v>0.112068</v>
      </c>
      <c r="AG653" s="3" t="n">
        <v>-0.014412</v>
      </c>
      <c r="AH653" s="3" t="n">
        <v>-0.045644</v>
      </c>
      <c r="AI653" s="3" t="n">
        <v>-0.07244399999999999</v>
      </c>
      <c r="AJ653" s="3" t="n">
        <v>-0.088335</v>
      </c>
      <c r="AK653" s="3" t="n">
        <v>-0.103045</v>
      </c>
      <c r="AL653" s="3" t="n">
        <v>-0.113061</v>
      </c>
      <c r="AM653" s="3" t="n"/>
      <c r="AN653" s="3" t="n"/>
      <c r="AO653" s="3" t="n"/>
      <c r="AP653" s="3" t="n"/>
      <c r="AQ653" s="3" t="n"/>
      <c r="AR653" s="3" t="n"/>
      <c r="AS653" s="3" t="n"/>
      <c r="AT653" s="3" t="n"/>
      <c r="AU653" s="3" t="n"/>
    </row>
    <row r="654">
      <c r="A654" s="3" t="n">
        <v>2031</v>
      </c>
      <c r="B654" s="3" t="inlineStr">
        <is>
          <t>CPV</t>
        </is>
      </c>
      <c r="C654" s="3" t="inlineStr">
        <is>
          <t>IMF.RES:WEO</t>
        </is>
      </c>
      <c r="D654" s="3" t="inlineStr">
        <is>
          <t>CPV.BCA_NGDPD.A</t>
        </is>
      </c>
      <c r="E654" s="3" t="inlineStr">
        <is>
          <t>Cabo Verde</t>
        </is>
      </c>
      <c r="F654" s="3" t="inlineStr">
        <is>
          <t>Current account balance (credit less debit), Percent of GDP</t>
        </is>
      </c>
      <c r="G654" s="3" t="n">
        <v>-8.651831</v>
      </c>
      <c r="H654" s="3" t="n">
        <v>-7.553361</v>
      </c>
      <c r="I654" s="3" t="n">
        <v>-7.975447</v>
      </c>
      <c r="J654" s="3" t="n">
        <v>-8.206496</v>
      </c>
      <c r="K654" s="3" t="n">
        <v>-10.492538</v>
      </c>
      <c r="L654" s="3" t="n">
        <v>-2.438556</v>
      </c>
      <c r="M654" s="3" t="n">
        <v>-4.119597</v>
      </c>
      <c r="N654" s="3" t="n">
        <v>-11.87108</v>
      </c>
      <c r="O654" s="3" t="n">
        <v>-12.512599</v>
      </c>
      <c r="P654" s="3" t="n">
        <v>-13.408079</v>
      </c>
      <c r="Q654" s="3" t="n">
        <v>-11.331763</v>
      </c>
      <c r="R654" s="3" t="n">
        <v>-14.847764</v>
      </c>
      <c r="S654" s="3" t="n">
        <v>-11.465758</v>
      </c>
      <c r="T654" s="3" t="n">
        <v>-4.441832</v>
      </c>
      <c r="U654" s="3" t="n">
        <v>-8.272401</v>
      </c>
      <c r="V654" s="3" t="n">
        <v>-2.901529</v>
      </c>
      <c r="W654" s="3" t="n">
        <v>-3.441106</v>
      </c>
      <c r="X654" s="3" t="n">
        <v>-6.952106</v>
      </c>
      <c r="Y654" s="3" t="n">
        <v>-4.773059</v>
      </c>
      <c r="Z654" s="3" t="n">
        <v>0.200842</v>
      </c>
      <c r="AA654" s="3" t="n">
        <v>-15.350376</v>
      </c>
      <c r="AB654" s="3" t="n">
        <v>-12.124042</v>
      </c>
      <c r="AC654" s="3" t="n">
        <v>-3.540968</v>
      </c>
      <c r="AD654" s="3" t="n">
        <v>-2.749628</v>
      </c>
      <c r="AE654" s="3" t="n">
        <v>3.935275</v>
      </c>
      <c r="AF654" s="3" t="n">
        <v>3.63704</v>
      </c>
      <c r="AG654" s="3" t="n">
        <v>-0.417955</v>
      </c>
      <c r="AH654" s="3" t="n">
        <v>-1.234126</v>
      </c>
      <c r="AI654" s="3" t="n">
        <v>-1.828003</v>
      </c>
      <c r="AJ654" s="3" t="n">
        <v>-2.076941</v>
      </c>
      <c r="AK654" s="3" t="n">
        <v>-2.257066</v>
      </c>
      <c r="AL654" s="3" t="n">
        <v>-2.306641</v>
      </c>
      <c r="AM654" s="3" t="n"/>
      <c r="AN654" s="3" t="n"/>
      <c r="AO654" s="3" t="n"/>
      <c r="AP654" s="3" t="n"/>
      <c r="AQ654" s="3" t="n"/>
      <c r="AR654" s="3" t="n"/>
      <c r="AS654" s="3" t="n"/>
      <c r="AT654" s="3" t="n"/>
      <c r="AU654" s="3" t="n"/>
    </row>
    <row r="655">
      <c r="A655" s="3" t="n">
        <v>2031</v>
      </c>
      <c r="B655" s="3" t="inlineStr">
        <is>
          <t>CPV</t>
        </is>
      </c>
      <c r="C655" s="3" t="inlineStr">
        <is>
          <t>IMF.RES:WEO</t>
        </is>
      </c>
      <c r="D655" s="3" t="inlineStr">
        <is>
          <t>CPV.GGR_NGDP.A</t>
        </is>
      </c>
      <c r="E655" s="3" t="inlineStr">
        <is>
          <t>Cabo Verde</t>
        </is>
      </c>
      <c r="F655" s="3" t="inlineStr">
        <is>
          <t>Revenue, General government, Percent of GDP</t>
        </is>
      </c>
      <c r="G655" s="3" t="n">
        <v>21.15746</v>
      </c>
      <c r="H655" s="3" t="n">
        <v>19.126895</v>
      </c>
      <c r="I655" s="3" t="n">
        <v>22.391566</v>
      </c>
      <c r="J655" s="3" t="n">
        <v>19.781442</v>
      </c>
      <c r="K655" s="3" t="n">
        <v>23.294155</v>
      </c>
      <c r="L655" s="3" t="n">
        <v>21.532399</v>
      </c>
      <c r="M655" s="3" t="n">
        <v>24.084457</v>
      </c>
      <c r="N655" s="3" t="n">
        <v>26.196923</v>
      </c>
      <c r="O655" s="3" t="n">
        <v>26.185586</v>
      </c>
      <c r="P655" s="3" t="n">
        <v>25.309379</v>
      </c>
      <c r="Q655" s="3" t="n">
        <v>26.111167</v>
      </c>
      <c r="R655" s="3" t="n">
        <v>23.366588</v>
      </c>
      <c r="S655" s="3" t="n">
        <v>22.21708</v>
      </c>
      <c r="T655" s="3" t="n">
        <v>22.377102</v>
      </c>
      <c r="U655" s="3" t="n">
        <v>20.835432</v>
      </c>
      <c r="V655" s="3" t="n">
        <v>24.539941</v>
      </c>
      <c r="W655" s="3" t="n">
        <v>23.91918</v>
      </c>
      <c r="X655" s="3" t="n">
        <v>25.348607</v>
      </c>
      <c r="Y655" s="3" t="n">
        <v>25.175097</v>
      </c>
      <c r="Z655" s="3" t="n">
        <v>25.889392</v>
      </c>
      <c r="AA655" s="3" t="n">
        <v>25.247816</v>
      </c>
      <c r="AB655" s="3" t="n">
        <v>23.281109</v>
      </c>
      <c r="AC655" s="3" t="n">
        <v>22.348632</v>
      </c>
      <c r="AD655" s="3" t="n">
        <v>25.423917</v>
      </c>
      <c r="AE655" s="3" t="n">
        <v>25.028821</v>
      </c>
      <c r="AF655" s="3" t="n">
        <v>28.102741</v>
      </c>
      <c r="AG655" s="3" t="n">
        <v>26.58381</v>
      </c>
      <c r="AH655" s="3" t="n">
        <v>26.785595</v>
      </c>
      <c r="AI655" s="3" t="n">
        <v>26.883562</v>
      </c>
      <c r="AJ655" s="3" t="n">
        <v>27.058999</v>
      </c>
      <c r="AK655" s="3" t="n">
        <v>27.248765</v>
      </c>
      <c r="AL655" s="3" t="n">
        <v>27.181892</v>
      </c>
      <c r="AM655" s="3" t="n"/>
      <c r="AN655" s="3" t="n"/>
      <c r="AO655" s="3" t="n"/>
      <c r="AP655" s="3" t="n"/>
      <c r="AQ655" s="3" t="n"/>
      <c r="AR655" s="3" t="n"/>
      <c r="AS655" s="3" t="n"/>
      <c r="AT655" s="3" t="n"/>
      <c r="AU655" s="3" t="n"/>
    </row>
    <row r="656">
      <c r="A656" s="3" t="n">
        <v>2031</v>
      </c>
      <c r="B656" s="3" t="inlineStr">
        <is>
          <t>CPV</t>
        </is>
      </c>
      <c r="C656" s="3" t="inlineStr">
        <is>
          <t>IMF.RES:WEO</t>
        </is>
      </c>
      <c r="D656" s="3" t="inlineStr">
        <is>
          <t>CPV.GGX_NGDP.A</t>
        </is>
      </c>
      <c r="E656" s="3" t="inlineStr">
        <is>
          <t>Cabo Verde</t>
        </is>
      </c>
      <c r="F656" s="3" t="inlineStr">
        <is>
          <t>Expenditure, General government, Percent of GDP</t>
        </is>
      </c>
      <c r="G656" s="3" t="n">
        <v>36.689269</v>
      </c>
      <c r="H656" s="3" t="n">
        <v>24.155704</v>
      </c>
      <c r="I656" s="3" t="n">
        <v>28.530538</v>
      </c>
      <c r="J656" s="3" t="n">
        <v>23.408103</v>
      </c>
      <c r="K656" s="3" t="n">
        <v>26.273152</v>
      </c>
      <c r="L656" s="3" t="n">
        <v>26.225235</v>
      </c>
      <c r="M656" s="3" t="n">
        <v>28.400434</v>
      </c>
      <c r="N656" s="3" t="n">
        <v>27.060416</v>
      </c>
      <c r="O656" s="3" t="n">
        <v>27.60061</v>
      </c>
      <c r="P656" s="3" t="n">
        <v>30.62889</v>
      </c>
      <c r="Q656" s="3" t="n">
        <v>35.707845</v>
      </c>
      <c r="R656" s="3" t="n">
        <v>30.342126</v>
      </c>
      <c r="S656" s="3" t="n">
        <v>31.580967</v>
      </c>
      <c r="T656" s="3" t="n">
        <v>30.866843</v>
      </c>
      <c r="U656" s="3" t="n">
        <v>27.768934</v>
      </c>
      <c r="V656" s="3" t="n">
        <v>28.696939</v>
      </c>
      <c r="W656" s="3" t="n">
        <v>26.647612</v>
      </c>
      <c r="X656" s="3" t="n">
        <v>27.983184</v>
      </c>
      <c r="Y656" s="3" t="n">
        <v>27.538935</v>
      </c>
      <c r="Z656" s="3" t="n">
        <v>27.506609</v>
      </c>
      <c r="AA656" s="3" t="n">
        <v>34.541094</v>
      </c>
      <c r="AB656" s="3" t="n">
        <v>30.793301</v>
      </c>
      <c r="AC656" s="3" t="n">
        <v>26.599526</v>
      </c>
      <c r="AD656" s="3" t="n">
        <v>25.701451</v>
      </c>
      <c r="AE656" s="3" t="n">
        <v>26.09496</v>
      </c>
      <c r="AF656" s="3" t="n">
        <v>27.045688</v>
      </c>
      <c r="AG656" s="3" t="n">
        <v>27.458824</v>
      </c>
      <c r="AH656" s="3" t="n">
        <v>26.829438</v>
      </c>
      <c r="AI656" s="3" t="n">
        <v>26.833503</v>
      </c>
      <c r="AJ656" s="3" t="n">
        <v>26.947744</v>
      </c>
      <c r="AK656" s="3" t="n">
        <v>27.086911</v>
      </c>
      <c r="AL656" s="3" t="n">
        <v>26.987995</v>
      </c>
      <c r="AM656" s="3" t="n"/>
      <c r="AN656" s="3" t="n"/>
      <c r="AO656" s="3" t="n"/>
      <c r="AP656" s="3" t="n"/>
      <c r="AQ656" s="3" t="n"/>
      <c r="AR656" s="3" t="n"/>
      <c r="AS656" s="3" t="n"/>
      <c r="AT656" s="3" t="n"/>
      <c r="AU656" s="3" t="n"/>
    </row>
    <row r="657">
      <c r="A657" s="3" t="n">
        <v>2031</v>
      </c>
      <c r="B657" s="3" t="inlineStr">
        <is>
          <t>CPV</t>
        </is>
      </c>
      <c r="C657" s="3" t="inlineStr">
        <is>
          <t>IMF.RES:WEO</t>
        </is>
      </c>
      <c r="D657" s="3" t="inlineStr">
        <is>
          <t>CPV.LP.A</t>
        </is>
      </c>
      <c r="E657" s="3" t="inlineStr">
        <is>
          <t>Cabo Verde</t>
        </is>
      </c>
      <c r="F657" s="3" t="inlineStr">
        <is>
          <t>Population, Persons for countries / Index for country groups</t>
        </is>
      </c>
      <c r="G657" s="3" t="n">
        <v>0.41384</v>
      </c>
      <c r="H657" s="3" t="n">
        <v>0.422055</v>
      </c>
      <c r="I657" s="3" t="n">
        <v>0.430035</v>
      </c>
      <c r="J657" s="3" t="n">
        <v>0.437684</v>
      </c>
      <c r="K657" s="3" t="n">
        <v>0.444834</v>
      </c>
      <c r="L657" s="3" t="n">
        <v>0.4514</v>
      </c>
      <c r="M657" s="3" t="n">
        <v>0.457324</v>
      </c>
      <c r="N657" s="3" t="n">
        <v>0.462691</v>
      </c>
      <c r="O657" s="3" t="n">
        <v>0.467718</v>
      </c>
      <c r="P657" s="3" t="n">
        <v>0.472703</v>
      </c>
      <c r="Q657" s="3" t="n">
        <v>0.477859</v>
      </c>
      <c r="R657" s="3" t="n">
        <v>0.480577</v>
      </c>
      <c r="S657" s="3" t="n">
        <v>0.483285</v>
      </c>
      <c r="T657" s="3" t="n">
        <v>0.485996</v>
      </c>
      <c r="U657" s="3" t="n">
        <v>0.488719</v>
      </c>
      <c r="V657" s="3" t="n">
        <v>0.491436</v>
      </c>
      <c r="W657" s="3" t="n">
        <v>0.493465</v>
      </c>
      <c r="X657" s="3" t="n">
        <v>0.495522</v>
      </c>
      <c r="Y657" s="3" t="n">
        <v>0.497558</v>
      </c>
      <c r="Z657" s="3" t="n">
        <v>0.499609</v>
      </c>
      <c r="AA657" s="3" t="n">
        <v>0.501657</v>
      </c>
      <c r="AB657" s="3" t="n">
        <v>0.504125</v>
      </c>
      <c r="AC657" s="3" t="n">
        <v>0.506595</v>
      </c>
      <c r="AD657" s="3" t="n">
        <v>0.509078</v>
      </c>
      <c r="AE657" s="3" t="n">
        <v>0.511534</v>
      </c>
      <c r="AF657" s="3" t="n">
        <v>0.513997</v>
      </c>
      <c r="AG657" s="3" t="n">
        <v>0.516943</v>
      </c>
      <c r="AH657" s="3" t="n">
        <v>0.519864</v>
      </c>
      <c r="AI657" s="3" t="n">
        <v>0.522803</v>
      </c>
      <c r="AJ657" s="3" t="n">
        <v>0.5257039999999999</v>
      </c>
      <c r="AK657" s="3" t="n">
        <v>0.528657</v>
      </c>
      <c r="AL657" s="3" t="n">
        <v>0.531765</v>
      </c>
      <c r="AM657" s="3" t="n"/>
      <c r="AN657" s="3" t="n"/>
      <c r="AO657" s="3" t="n"/>
      <c r="AP657" s="3" t="n"/>
      <c r="AQ657" s="3" t="n"/>
      <c r="AR657" s="3" t="n"/>
      <c r="AS657" s="3" t="n"/>
      <c r="AT657" s="3" t="n"/>
      <c r="AU657" s="3" t="n"/>
    </row>
    <row r="658">
      <c r="A658" s="3" t="n">
        <v>2031</v>
      </c>
      <c r="B658" s="3" t="inlineStr">
        <is>
          <t>CPV</t>
        </is>
      </c>
      <c r="C658" s="3" t="inlineStr">
        <is>
          <t>IMF.RES:WEO</t>
        </is>
      </c>
      <c r="D658" s="3" t="inlineStr">
        <is>
          <t>CPV.NGDP.A</t>
        </is>
      </c>
      <c r="E658" s="3" t="inlineStr">
        <is>
          <t>Cabo Verde</t>
        </is>
      </c>
      <c r="F658" s="3" t="inlineStr">
        <is>
          <t>Gross domestic product (GDP), Current prices, Domestic currency</t>
        </is>
      </c>
      <c r="G658" s="3" t="n">
        <v>81.019983</v>
      </c>
      <c r="H658" s="3" t="n">
        <v>97.51352799999999</v>
      </c>
      <c r="I658" s="3" t="n">
        <v>101.624169</v>
      </c>
      <c r="J658" s="3" t="n">
        <v>108.041165</v>
      </c>
      <c r="K658" s="3" t="n">
        <v>112.08963</v>
      </c>
      <c r="L658" s="3" t="n">
        <v>123.68552</v>
      </c>
      <c r="M658" s="3" t="n">
        <v>127.647608</v>
      </c>
      <c r="N658" s="3" t="n">
        <v>132.984301</v>
      </c>
      <c r="O658" s="3" t="n">
        <v>147.629989</v>
      </c>
      <c r="P658" s="3" t="n">
        <v>148.252372</v>
      </c>
      <c r="Q658" s="3" t="n">
        <v>151.96291</v>
      </c>
      <c r="R658" s="3" t="n">
        <v>162.265346</v>
      </c>
      <c r="S658" s="3" t="n">
        <v>165.135169</v>
      </c>
      <c r="T658" s="3" t="n">
        <v>168.546702</v>
      </c>
      <c r="U658" s="3" t="n">
        <v>169.550647</v>
      </c>
      <c r="V658" s="3" t="n">
        <v>173.910814</v>
      </c>
      <c r="W658" s="3" t="n">
        <v>184.402075</v>
      </c>
      <c r="X658" s="3" t="n">
        <v>195.295176</v>
      </c>
      <c r="Y658" s="3" t="n">
        <v>205.986237</v>
      </c>
      <c r="Z658" s="3" t="n">
        <v>221.670396</v>
      </c>
      <c r="AA658" s="3" t="n">
        <v>176.753023</v>
      </c>
      <c r="AB658" s="3" t="n">
        <v>191.268854</v>
      </c>
      <c r="AC658" s="3" t="n">
        <v>235.62766</v>
      </c>
      <c r="AD658" s="3" t="n">
        <v>254.972754</v>
      </c>
      <c r="AE658" s="3" t="n">
        <v>277.779691</v>
      </c>
      <c r="AF658" s="3" t="n">
        <v>300.847733</v>
      </c>
      <c r="AG658" s="3" t="n">
        <v>322.427763</v>
      </c>
      <c r="AH658" s="3" t="n">
        <v>346.634427</v>
      </c>
      <c r="AI658" s="3" t="n">
        <v>372.429797</v>
      </c>
      <c r="AJ658" s="3" t="n">
        <v>399.908825</v>
      </c>
      <c r="AK658" s="3" t="n">
        <v>429.273593</v>
      </c>
      <c r="AL658" s="3" t="n">
        <v>460.87371</v>
      </c>
      <c r="AM658" s="3" t="n"/>
      <c r="AN658" s="3" t="n"/>
      <c r="AO658" s="3" t="n"/>
      <c r="AP658" s="3" t="n"/>
      <c r="AQ658" s="3" t="n"/>
      <c r="AR658" s="3" t="n"/>
      <c r="AS658" s="3" t="n"/>
      <c r="AT658" s="3" t="n"/>
      <c r="AU658" s="3" t="n"/>
    </row>
    <row r="659">
      <c r="A659" s="3" t="n">
        <v>2031</v>
      </c>
      <c r="B659" s="3" t="inlineStr">
        <is>
          <t>CPV</t>
        </is>
      </c>
      <c r="C659" s="3" t="inlineStr">
        <is>
          <t>IMF.RES:WEO</t>
        </is>
      </c>
      <c r="D659" s="3" t="inlineStr">
        <is>
          <t>CPV.NGDP_D.A</t>
        </is>
      </c>
      <c r="E659" s="3" t="inlineStr">
        <is>
          <t>Cabo Verde</t>
        </is>
      </c>
      <c r="F659" s="3" t="inlineStr">
        <is>
          <t>Gross domestic product (GDP), Price deflator, Index</t>
        </is>
      </c>
      <c r="G659" s="3" t="n">
        <v>90.117158</v>
      </c>
      <c r="H659" s="3" t="n">
        <v>102.190585</v>
      </c>
      <c r="I659" s="3" t="n">
        <v>101.138068</v>
      </c>
      <c r="J659" s="3" t="n">
        <v>100.020614</v>
      </c>
      <c r="K659" s="3" t="n">
        <v>98.89621699999999</v>
      </c>
      <c r="L659" s="3" t="n">
        <v>103.134875</v>
      </c>
      <c r="M659" s="3" t="n">
        <v>97.544313</v>
      </c>
      <c r="N659" s="3" t="n">
        <v>88.21393</v>
      </c>
      <c r="O659" s="3" t="n">
        <v>91.489087</v>
      </c>
      <c r="P659" s="3" t="n">
        <v>93.277294</v>
      </c>
      <c r="Q659" s="3" t="n">
        <v>93.887715</v>
      </c>
      <c r="R659" s="3" t="n">
        <v>96.466849</v>
      </c>
      <c r="S659" s="3" t="n">
        <v>97.12051599999999</v>
      </c>
      <c r="T659" s="3" t="n">
        <v>98.50425</v>
      </c>
      <c r="U659" s="3" t="n">
        <v>98.40543099999999</v>
      </c>
      <c r="V659" s="3" t="n">
        <v>100</v>
      </c>
      <c r="W659" s="3" t="n">
        <v>101.679925</v>
      </c>
      <c r="X659" s="3" t="n">
        <v>102.998626</v>
      </c>
      <c r="Y659" s="3" t="n">
        <v>104.753899</v>
      </c>
      <c r="Z659" s="3" t="n">
        <v>105.406581</v>
      </c>
      <c r="AA659" s="3" t="n">
        <v>106.128159</v>
      </c>
      <c r="AB659" s="3" t="n">
        <v>107.29715</v>
      </c>
      <c r="AC659" s="3" t="n">
        <v>114.103212</v>
      </c>
      <c r="AD659" s="3" t="n">
        <v>117.82184</v>
      </c>
      <c r="AE659" s="3" t="n">
        <v>119.690581</v>
      </c>
      <c r="AF659" s="3" t="n">
        <v>122.856985</v>
      </c>
      <c r="AG659" s="3" t="n">
        <v>125.654357</v>
      </c>
      <c r="AH659" s="3" t="n">
        <v>128.609926</v>
      </c>
      <c r="AI659" s="3" t="n">
        <v>131.597471</v>
      </c>
      <c r="AJ659" s="3" t="n">
        <v>134.499753</v>
      </c>
      <c r="AK659" s="3" t="n">
        <v>137.413071</v>
      </c>
      <c r="AL659" s="3" t="n">
        <v>140.418017</v>
      </c>
      <c r="AM659" s="3" t="n"/>
      <c r="AN659" s="3" t="n"/>
      <c r="AO659" s="3" t="n"/>
      <c r="AP659" s="3" t="n"/>
      <c r="AQ659" s="3" t="n"/>
      <c r="AR659" s="3" t="n"/>
      <c r="AS659" s="3" t="n"/>
      <c r="AT659" s="3" t="n"/>
      <c r="AU659" s="3" t="n"/>
    </row>
    <row r="660">
      <c r="A660" s="3" t="n">
        <v>2031</v>
      </c>
      <c r="B660" s="3" t="inlineStr">
        <is>
          <t>CPV</t>
        </is>
      </c>
      <c r="C660" s="3" t="inlineStr">
        <is>
          <t>IMF.RES:WEO</t>
        </is>
      </c>
      <c r="D660" s="3" t="inlineStr">
        <is>
          <t>CPV.NGDP_R.A</t>
        </is>
      </c>
      <c r="E660" s="3" t="inlineStr">
        <is>
          <t>Cabo Verde</t>
        </is>
      </c>
      <c r="F660" s="3" t="inlineStr">
        <is>
          <t>Gross domestic product (GDP), Constant prices, Domestic currency</t>
        </is>
      </c>
      <c r="G660" s="3" t="n">
        <v>89.905168</v>
      </c>
      <c r="H660" s="3" t="n">
        <v>95.42320100000001</v>
      </c>
      <c r="I660" s="3" t="n">
        <v>100.480631</v>
      </c>
      <c r="J660" s="3" t="n">
        <v>108.018898</v>
      </c>
      <c r="K660" s="3" t="n">
        <v>113.340665</v>
      </c>
      <c r="L660" s="3" t="n">
        <v>119.92599</v>
      </c>
      <c r="M660" s="3" t="n">
        <v>130.861148</v>
      </c>
      <c r="N660" s="3" t="n">
        <v>150.752043</v>
      </c>
      <c r="O660" s="3" t="n">
        <v>161.363496</v>
      </c>
      <c r="P660" s="3" t="n">
        <v>158.937256</v>
      </c>
      <c r="Q660" s="3" t="n">
        <v>161.85601</v>
      </c>
      <c r="R660" s="3" t="n">
        <v>168.208402</v>
      </c>
      <c r="S660" s="3" t="n">
        <v>170.03119</v>
      </c>
      <c r="T660" s="3" t="n">
        <v>171.10602</v>
      </c>
      <c r="U660" s="3" t="n">
        <v>172.298059</v>
      </c>
      <c r="V660" s="3" t="n">
        <v>173.910814</v>
      </c>
      <c r="W660" s="3" t="n">
        <v>181.35544</v>
      </c>
      <c r="X660" s="3" t="n">
        <v>189.609497</v>
      </c>
      <c r="Y660" s="3" t="n">
        <v>196.638254</v>
      </c>
      <c r="Z660" s="3" t="n">
        <v>210.300338</v>
      </c>
      <c r="AA660" s="3" t="n">
        <v>166.546773</v>
      </c>
      <c r="AB660" s="3" t="n">
        <v>178.26089</v>
      </c>
      <c r="AC660" s="3" t="n">
        <v>206.503967</v>
      </c>
      <c r="AD660" s="3" t="n">
        <v>216.40534</v>
      </c>
      <c r="AE660" s="3" t="n">
        <v>232.081495</v>
      </c>
      <c r="AF660" s="3" t="n">
        <v>244.876376</v>
      </c>
      <c r="AG660" s="3" t="n">
        <v>256.598952</v>
      </c>
      <c r="AH660" s="3" t="n">
        <v>269.523853</v>
      </c>
      <c r="AI660" s="3" t="n">
        <v>283.006803</v>
      </c>
      <c r="AJ660" s="3" t="n">
        <v>297.330527</v>
      </c>
      <c r="AK660" s="3" t="n">
        <v>312.396478</v>
      </c>
      <c r="AL660" s="3" t="n">
        <v>328.215509</v>
      </c>
      <c r="AM660" s="3" t="n"/>
      <c r="AN660" s="3" t="n"/>
      <c r="AO660" s="3" t="n"/>
      <c r="AP660" s="3" t="n"/>
      <c r="AQ660" s="3" t="n"/>
      <c r="AR660" s="3" t="n"/>
      <c r="AS660" s="3" t="n"/>
      <c r="AT660" s="3" t="n"/>
      <c r="AU660" s="3" t="n"/>
    </row>
    <row r="661">
      <c r="A661" s="3" t="n">
        <v>2031</v>
      </c>
      <c r="B661" s="3" t="inlineStr">
        <is>
          <t>CPV</t>
        </is>
      </c>
      <c r="C661" s="3" t="inlineStr">
        <is>
          <t>IMF.RES:WEO</t>
        </is>
      </c>
      <c r="D661" s="3" t="inlineStr">
        <is>
          <t>CPV.NGDP_RPCH.A</t>
        </is>
      </c>
      <c r="E661" s="3" t="inlineStr">
        <is>
          <t>Cabo Verde</t>
        </is>
      </c>
      <c r="F661" s="3" t="inlineStr">
        <is>
          <t>Gross domestic product (GDP), Constant prices, Percent change</t>
        </is>
      </c>
      <c r="G661" s="3" t="n">
        <v>7.266952</v>
      </c>
      <c r="H661" s="3" t="n">
        <v>6.137615</v>
      </c>
      <c r="I661" s="3" t="n">
        <v>5.3</v>
      </c>
      <c r="J661" s="3" t="n">
        <v>7.502209</v>
      </c>
      <c r="K661" s="3" t="n">
        <v>4.926699</v>
      </c>
      <c r="L661" s="3" t="n">
        <v>5.810205</v>
      </c>
      <c r="M661" s="3" t="n">
        <v>9.118256000000001</v>
      </c>
      <c r="N661" s="3" t="n">
        <v>15.2</v>
      </c>
      <c r="O661" s="3" t="n">
        <v>7.039011</v>
      </c>
      <c r="P661" s="3" t="n">
        <v>-1.503587</v>
      </c>
      <c r="Q661" s="3" t="n">
        <v>1.836419</v>
      </c>
      <c r="R661" s="3" t="n">
        <v>3.924718</v>
      </c>
      <c r="S661" s="3" t="n">
        <v>1.083649</v>
      </c>
      <c r="T661" s="3" t="n">
        <v>0.6321369999999999</v>
      </c>
      <c r="U661" s="3" t="n">
        <v>0.696667</v>
      </c>
      <c r="V661" s="3" t="n">
        <v>0.9360270000000001</v>
      </c>
      <c r="W661" s="3" t="n">
        <v>4.280715</v>
      </c>
      <c r="X661" s="3" t="n">
        <v>4.551315</v>
      </c>
      <c r="Y661" s="3" t="n">
        <v>3.706965</v>
      </c>
      <c r="Z661" s="3" t="n">
        <v>6.947826</v>
      </c>
      <c r="AA661" s="3" t="n">
        <v>-20.805276</v>
      </c>
      <c r="AB661" s="3" t="n">
        <v>7.03353</v>
      </c>
      <c r="AC661" s="3" t="n">
        <v>15.843676</v>
      </c>
      <c r="AD661" s="3" t="n">
        <v>4.794761</v>
      </c>
      <c r="AE661" s="3" t="n">
        <v>7.243885</v>
      </c>
      <c r="AF661" s="3" t="n">
        <v>5.513098</v>
      </c>
      <c r="AG661" s="3" t="n">
        <v>4.78714</v>
      </c>
      <c r="AH661" s="3" t="n">
        <v>5.037005</v>
      </c>
      <c r="AI661" s="3" t="n">
        <v>5.002507</v>
      </c>
      <c r="AJ661" s="3" t="n">
        <v>5.061265</v>
      </c>
      <c r="AK661" s="3" t="n">
        <v>5.067072</v>
      </c>
      <c r="AL661" s="3" t="n">
        <v>5.063767</v>
      </c>
      <c r="AM661" s="3" t="n"/>
      <c r="AN661" s="3" t="n"/>
      <c r="AO661" s="3" t="n"/>
      <c r="AP661" s="3" t="n"/>
      <c r="AQ661" s="3" t="n"/>
      <c r="AR661" s="3" t="n"/>
      <c r="AS661" s="3" t="n"/>
      <c r="AT661" s="3" t="n"/>
      <c r="AU661" s="3" t="n"/>
    </row>
    <row r="662">
      <c r="A662" s="3" t="n">
        <v>2031</v>
      </c>
      <c r="B662" s="3" t="inlineStr">
        <is>
          <t>CPV</t>
        </is>
      </c>
      <c r="C662" s="3" t="inlineStr">
        <is>
          <t>IMF.RES:WEO</t>
        </is>
      </c>
      <c r="D662" s="3" t="inlineStr">
        <is>
          <t>CPV.NGDPD.A</t>
        </is>
      </c>
      <c r="E662" s="3" t="inlineStr">
        <is>
          <t>Cabo Verde</t>
        </is>
      </c>
      <c r="F662" s="3" t="inlineStr">
        <is>
          <t>Gross domestic product (GDP), Current prices, US dollar</t>
        </is>
      </c>
      <c r="G662" s="3" t="n">
        <v>0.699192</v>
      </c>
      <c r="H662" s="3" t="n">
        <v>0.79142</v>
      </c>
      <c r="I662" s="3" t="n">
        <v>0.866688</v>
      </c>
      <c r="J662" s="3" t="n">
        <v>1.104857</v>
      </c>
      <c r="K662" s="3" t="n">
        <v>1.263011</v>
      </c>
      <c r="L662" s="3" t="n">
        <v>1.395272</v>
      </c>
      <c r="M662" s="3" t="n">
        <v>1.451761</v>
      </c>
      <c r="N662" s="3" t="n">
        <v>1.649622</v>
      </c>
      <c r="O662" s="3" t="n">
        <v>1.959621</v>
      </c>
      <c r="P662" s="3" t="n">
        <v>1.852335</v>
      </c>
      <c r="Q662" s="3" t="n">
        <v>1.824751</v>
      </c>
      <c r="R662" s="3" t="n">
        <v>2.046818</v>
      </c>
      <c r="S662" s="3" t="n">
        <v>1.913081</v>
      </c>
      <c r="T662" s="3" t="n">
        <v>2.028911</v>
      </c>
      <c r="U662" s="3" t="n">
        <v>2.04193</v>
      </c>
      <c r="V662" s="3" t="n">
        <v>1.749858</v>
      </c>
      <c r="W662" s="3" t="n">
        <v>1.84979</v>
      </c>
      <c r="X662" s="3" t="n">
        <v>1.996742</v>
      </c>
      <c r="Y662" s="3" t="n">
        <v>2.2051</v>
      </c>
      <c r="Z662" s="3" t="n">
        <v>2.250571</v>
      </c>
      <c r="AA662" s="3" t="n">
        <v>1.829456</v>
      </c>
      <c r="AB662" s="3" t="n">
        <v>2.052979</v>
      </c>
      <c r="AC662" s="3" t="n">
        <v>2.252053</v>
      </c>
      <c r="AD662" s="3" t="n">
        <v>2.501007</v>
      </c>
      <c r="AE662" s="3" t="n">
        <v>2.725913</v>
      </c>
      <c r="AF662" s="3" t="n">
        <v>3.081305</v>
      </c>
      <c r="AG662" s="3" t="n">
        <v>3.448174</v>
      </c>
      <c r="AH662" s="3" t="n">
        <v>3.698516</v>
      </c>
      <c r="AI662" s="3" t="n">
        <v>3.963005</v>
      </c>
      <c r="AJ662" s="3" t="n">
        <v>4.253152</v>
      </c>
      <c r="AK662" s="3" t="n">
        <v>4.565455</v>
      </c>
      <c r="AL662" s="3" t="n">
        <v>4.901532</v>
      </c>
      <c r="AM662" s="3" t="n"/>
      <c r="AN662" s="3" t="n"/>
      <c r="AO662" s="3" t="n"/>
      <c r="AP662" s="3" t="n"/>
      <c r="AQ662" s="3" t="n"/>
      <c r="AR662" s="3" t="n"/>
      <c r="AS662" s="3" t="n"/>
      <c r="AT662" s="3" t="n"/>
      <c r="AU662" s="3" t="n"/>
    </row>
    <row r="663">
      <c r="A663" s="3" t="n">
        <v>2031</v>
      </c>
      <c r="B663" s="3" t="inlineStr">
        <is>
          <t>CPV</t>
        </is>
      </c>
      <c r="C663" s="3" t="inlineStr">
        <is>
          <t>IMF.RES:WEO</t>
        </is>
      </c>
      <c r="D663" s="3" t="inlineStr">
        <is>
          <t>CPV.NGDPPC.A</t>
        </is>
      </c>
      <c r="E663" s="3" t="inlineStr">
        <is>
          <t>Cabo Verde</t>
        </is>
      </c>
      <c r="F663" s="3" t="inlineStr">
        <is>
          <t>Gross domestic product (GDP), Current prices, Per capita, Domestic currency</t>
        </is>
      </c>
      <c r="G663" s="3" t="n">
        <v>195776.272315</v>
      </c>
      <c r="H663" s="3" t="n">
        <v>231044.592014</v>
      </c>
      <c r="I663" s="3" t="n">
        <v>236315.80436</v>
      </c>
      <c r="J663" s="3" t="n">
        <v>246847.477283</v>
      </c>
      <c r="K663" s="3" t="n">
        <v>251980.843762</v>
      </c>
      <c r="L663" s="3" t="n">
        <v>274004.283598</v>
      </c>
      <c r="M663" s="3" t="n">
        <v>279118.594278</v>
      </c>
      <c r="N663" s="3" t="n">
        <v>287414.656053</v>
      </c>
      <c r="O663" s="3" t="n">
        <v>315638.589776</v>
      </c>
      <c r="P663" s="3" t="n">
        <v>313627.130467</v>
      </c>
      <c r="Q663" s="3" t="n">
        <v>318007.843318</v>
      </c>
      <c r="R663" s="3" t="n">
        <v>337646.924426</v>
      </c>
      <c r="S663" s="3" t="n">
        <v>341693.139659</v>
      </c>
      <c r="T663" s="3" t="n">
        <v>346806.767957</v>
      </c>
      <c r="U663" s="3" t="n">
        <v>346928.699314</v>
      </c>
      <c r="V663" s="3" t="n">
        <v>353882.934909</v>
      </c>
      <c r="W663" s="3" t="n">
        <v>373688.255499</v>
      </c>
      <c r="X663" s="3" t="n">
        <v>394120.09154</v>
      </c>
      <c r="Y663" s="3" t="n">
        <v>413994.422761</v>
      </c>
      <c r="Z663" s="3" t="n">
        <v>443687.755551</v>
      </c>
      <c r="AA663" s="3" t="n">
        <v>352338.396454</v>
      </c>
      <c r="AB663" s="3" t="n">
        <v>379407.595338</v>
      </c>
      <c r="AC663" s="3" t="n">
        <v>465120.382159</v>
      </c>
      <c r="AD663" s="3" t="n">
        <v>500852.038391</v>
      </c>
      <c r="AE663" s="3" t="n">
        <v>543032.702627</v>
      </c>
      <c r="AF663" s="3" t="n">
        <v>585310.288851</v>
      </c>
      <c r="AG663" s="3" t="n">
        <v>623720.146085</v>
      </c>
      <c r="AH663" s="3" t="n">
        <v>666779.056202</v>
      </c>
      <c r="AI663" s="3" t="n">
        <v>712371.1925529999</v>
      </c>
      <c r="AJ663" s="3" t="n">
        <v>760711.017217</v>
      </c>
      <c r="AK663" s="3" t="n">
        <v>812007.7726500001</v>
      </c>
      <c r="AL663" s="3" t="n">
        <v>866686.80672</v>
      </c>
      <c r="AM663" s="3" t="n"/>
      <c r="AN663" s="3" t="n"/>
      <c r="AO663" s="3" t="n"/>
      <c r="AP663" s="3" t="n"/>
      <c r="AQ663" s="3" t="n"/>
      <c r="AR663" s="3" t="n"/>
      <c r="AS663" s="3" t="n"/>
      <c r="AT663" s="3" t="n"/>
      <c r="AU663" s="3" t="n"/>
    </row>
    <row r="664">
      <c r="A664" s="3" t="n">
        <v>2031</v>
      </c>
      <c r="B664" s="3" t="inlineStr">
        <is>
          <t>CPV</t>
        </is>
      </c>
      <c r="C664" s="3" t="inlineStr">
        <is>
          <t>IMF.RES:WEO</t>
        </is>
      </c>
      <c r="D664" s="3" t="inlineStr">
        <is>
          <t>CPV.NGDPRPC.A</t>
        </is>
      </c>
      <c r="E664" s="3" t="inlineStr">
        <is>
          <t>Cabo Verde</t>
        </is>
      </c>
      <c r="F664" s="3" t="inlineStr">
        <is>
          <t>Gross domestic product (GDP), Constant prices, Per capita, Domestic currency</t>
        </is>
      </c>
      <c r="G664" s="3" t="n">
        <v>217246.38896</v>
      </c>
      <c r="H664" s="3" t="n">
        <v>226091.858092</v>
      </c>
      <c r="I664" s="3" t="n">
        <v>233656.632239</v>
      </c>
      <c r="J664" s="3" t="n">
        <v>246796.603499</v>
      </c>
      <c r="K664" s="3" t="n">
        <v>254793.207066</v>
      </c>
      <c r="L664" s="3" t="n">
        <v>265675.682922</v>
      </c>
      <c r="M664" s="3" t="n">
        <v>286145.429114</v>
      </c>
      <c r="N664" s="3" t="n">
        <v>325815.499432</v>
      </c>
      <c r="O664" s="3" t="n">
        <v>345001.355177</v>
      </c>
      <c r="P664" s="3" t="n">
        <v>336230.946876</v>
      </c>
      <c r="Q664" s="3" t="n">
        <v>338710.811985</v>
      </c>
      <c r="R664" s="3" t="n">
        <v>350013.425939</v>
      </c>
      <c r="S664" s="3" t="n">
        <v>351823.851428</v>
      </c>
      <c r="T664" s="3" t="n">
        <v>352072.896861</v>
      </c>
      <c r="U664" s="3" t="n">
        <v>352550.358181</v>
      </c>
      <c r="V664" s="3" t="n">
        <v>353882.934909</v>
      </c>
      <c r="W664" s="3" t="n">
        <v>367514.291794</v>
      </c>
      <c r="X664" s="3" t="n">
        <v>382645.971418</v>
      </c>
      <c r="Y664" s="3" t="n">
        <v>395206.697399</v>
      </c>
      <c r="Z664" s="3" t="n">
        <v>420929.843771</v>
      </c>
      <c r="AA664" s="3" t="n">
        <v>331993.319498</v>
      </c>
      <c r="AB664" s="3" t="n">
        <v>353604.542667</v>
      </c>
      <c r="AC664" s="3" t="n">
        <v>407631.278335</v>
      </c>
      <c r="AD664" s="3" t="n">
        <v>425092.696778</v>
      </c>
      <c r="AE664" s="3" t="n">
        <v>453697.104603</v>
      </c>
      <c r="AF664" s="3" t="n">
        <v>476415.96279</v>
      </c>
      <c r="AG664" s="3" t="n">
        <v>496377.649972</v>
      </c>
      <c r="AH664" s="3" t="n">
        <v>518450.695927</v>
      </c>
      <c r="AI664" s="3" t="n">
        <v>541325.897796</v>
      </c>
      <c r="AJ664" s="3" t="n">
        <v>565585.436909</v>
      </c>
      <c r="AK664" s="3" t="n">
        <v>590924.698517</v>
      </c>
      <c r="AL664" s="3" t="n">
        <v>617219.088539</v>
      </c>
      <c r="AM664" s="3" t="n"/>
      <c r="AN664" s="3" t="n"/>
      <c r="AO664" s="3" t="n"/>
      <c r="AP664" s="3" t="n"/>
      <c r="AQ664" s="3" t="n"/>
      <c r="AR664" s="3" t="n"/>
      <c r="AS664" s="3" t="n"/>
      <c r="AT664" s="3" t="n"/>
      <c r="AU664" s="3" t="n"/>
    </row>
    <row r="665">
      <c r="A665" s="3" t="n">
        <v>2031</v>
      </c>
      <c r="B665" s="3" t="inlineStr">
        <is>
          <t>CPV</t>
        </is>
      </c>
      <c r="C665" s="3" t="inlineStr">
        <is>
          <t>IMF.RES:WEO</t>
        </is>
      </c>
      <c r="D665" s="3" t="inlineStr">
        <is>
          <t>CPV.PCPI.A</t>
        </is>
      </c>
      <c r="E665" s="3" t="inlineStr">
        <is>
          <t>Cabo Verde</t>
        </is>
      </c>
      <c r="F665" s="3" t="inlineStr">
        <is>
          <t>All Items, Consumer price index (CPI), Period average</t>
        </is>
      </c>
      <c r="G665" s="3" t="n">
        <v>72.078727</v>
      </c>
      <c r="H665" s="3" t="n">
        <v>74.726888</v>
      </c>
      <c r="I665" s="3" t="n">
        <v>76.160327</v>
      </c>
      <c r="J665" s="3" t="n">
        <v>77.065359</v>
      </c>
      <c r="K665" s="3" t="n">
        <v>75.608075</v>
      </c>
      <c r="L665" s="3" t="n">
        <v>75.93597800000001</v>
      </c>
      <c r="M665" s="3" t="n">
        <v>79.61314299999999</v>
      </c>
      <c r="N665" s="3" t="n">
        <v>83.11627799999999</v>
      </c>
      <c r="O665" s="3" t="n">
        <v>88.746696</v>
      </c>
      <c r="P665" s="3" t="n">
        <v>89.63835899999999</v>
      </c>
      <c r="Q665" s="3" t="n">
        <v>91.497421</v>
      </c>
      <c r="R665" s="3" t="n">
        <v>95.58992600000001</v>
      </c>
      <c r="S665" s="3" t="n">
        <v>98.020732</v>
      </c>
      <c r="T665" s="3" t="n">
        <v>99.496593</v>
      </c>
      <c r="U665" s="3" t="n">
        <v>99.259449</v>
      </c>
      <c r="V665" s="3" t="n">
        <v>99.401051</v>
      </c>
      <c r="W665" s="3" t="n">
        <v>97.97363799999999</v>
      </c>
      <c r="X665" s="3" t="n">
        <v>98.740696</v>
      </c>
      <c r="Y665" s="3" t="n">
        <v>100</v>
      </c>
      <c r="Z665" s="3" t="n">
        <v>101.106273</v>
      </c>
      <c r="AA665" s="3" t="n">
        <v>101.718258</v>
      </c>
      <c r="AB665" s="3" t="n">
        <v>103.613719</v>
      </c>
      <c r="AC665" s="3" t="n">
        <v>111.830643</v>
      </c>
      <c r="AD665" s="3" t="n">
        <v>115.987442</v>
      </c>
      <c r="AE665" s="3" t="n">
        <v>117.210898</v>
      </c>
      <c r="AF665" s="3" t="n">
        <v>119.958333</v>
      </c>
      <c r="AG665" s="3" t="n">
        <v>122.597416</v>
      </c>
      <c r="AH665" s="3" t="n">
        <v>125.171962</v>
      </c>
      <c r="AI665" s="3" t="n">
        <v>127.675401</v>
      </c>
      <c r="AJ665" s="3" t="n">
        <v>130.228909</v>
      </c>
      <c r="AK665" s="3" t="n">
        <v>132.833487</v>
      </c>
      <c r="AL665" s="3" t="n">
        <v>135.490157</v>
      </c>
      <c r="AM665" s="3" t="n"/>
      <c r="AN665" s="3" t="n"/>
      <c r="AO665" s="3" t="n"/>
      <c r="AP665" s="3" t="n"/>
      <c r="AQ665" s="3" t="n"/>
      <c r="AR665" s="3" t="n"/>
      <c r="AS665" s="3" t="n"/>
      <c r="AT665" s="3" t="n"/>
      <c r="AU665" s="3" t="n"/>
    </row>
    <row r="666">
      <c r="A666" s="3" t="n">
        <v>2031</v>
      </c>
      <c r="B666" s="3" t="inlineStr">
        <is>
          <t>CPV</t>
        </is>
      </c>
      <c r="C666" s="3" t="inlineStr">
        <is>
          <t>IMF.RES:WEO</t>
        </is>
      </c>
      <c r="D666" s="3" t="inlineStr">
        <is>
          <t>CPV.PCPIPCH.A</t>
        </is>
      </c>
      <c r="E666" s="3" t="inlineStr">
        <is>
          <t>Cabo Verde</t>
        </is>
      </c>
      <c r="F666" s="3" t="inlineStr">
        <is>
          <t>All Items, Consumer price index (CPI), Period average, percent change</t>
        </is>
      </c>
      <c r="G666" s="3" t="n">
        <v>-2.403009</v>
      </c>
      <c r="H666" s="3" t="n">
        <v>3.673985</v>
      </c>
      <c r="I666" s="3" t="n">
        <v>1.918236</v>
      </c>
      <c r="J666" s="3" t="n">
        <v>1.188325</v>
      </c>
      <c r="K666" s="3" t="n">
        <v>-1.890972</v>
      </c>
      <c r="L666" s="3" t="n">
        <v>0.433688</v>
      </c>
      <c r="M666" s="3" t="n">
        <v>4.842454</v>
      </c>
      <c r="N666" s="3" t="n">
        <v>4.400197</v>
      </c>
      <c r="O666" s="3" t="n">
        <v>6.774147</v>
      </c>
      <c r="P666" s="3" t="n">
        <v>1.004728</v>
      </c>
      <c r="Q666" s="3" t="n">
        <v>2.073958</v>
      </c>
      <c r="R666" s="3" t="n">
        <v>4.472809</v>
      </c>
      <c r="S666" s="3" t="n">
        <v>2.542952</v>
      </c>
      <c r="T666" s="3" t="n">
        <v>1.505662</v>
      </c>
      <c r="U666" s="3" t="n">
        <v>-0.238344</v>
      </c>
      <c r="V666" s="3" t="n">
        <v>0.142659</v>
      </c>
      <c r="W666" s="3" t="n">
        <v>-1.436014</v>
      </c>
      <c r="X666" s="3" t="n">
        <v>0.782923</v>
      </c>
      <c r="Y666" s="3" t="n">
        <v>1.275365</v>
      </c>
      <c r="Z666" s="3" t="n">
        <v>1.106273</v>
      </c>
      <c r="AA666" s="3" t="n">
        <v>0.60529</v>
      </c>
      <c r="AB666" s="3" t="n">
        <v>1.863442</v>
      </c>
      <c r="AC666" s="3" t="n">
        <v>7.930344</v>
      </c>
      <c r="AD666" s="3" t="n">
        <v>3.717048</v>
      </c>
      <c r="AE666" s="3" t="n">
        <v>1.054817</v>
      </c>
      <c r="AF666" s="3" t="n">
        <v>2.34401</v>
      </c>
      <c r="AG666" s="3" t="n">
        <v>2.2</v>
      </c>
      <c r="AH666" s="3" t="n">
        <v>2.1</v>
      </c>
      <c r="AI666" s="3" t="n">
        <v>2</v>
      </c>
      <c r="AJ666" s="3" t="n">
        <v>2</v>
      </c>
      <c r="AK666" s="3" t="n">
        <v>2</v>
      </c>
      <c r="AL666" s="3" t="n">
        <v>2</v>
      </c>
      <c r="AM666" s="3" t="n"/>
      <c r="AN666" s="3" t="n"/>
      <c r="AO666" s="3" t="n"/>
      <c r="AP666" s="3" t="n"/>
      <c r="AQ666" s="3" t="n"/>
      <c r="AR666" s="3" t="n"/>
      <c r="AS666" s="3" t="n"/>
      <c r="AT666" s="3" t="n"/>
      <c r="AU666" s="3" t="n"/>
    </row>
    <row r="667">
      <c r="A667" s="3" t="n">
        <v>2031</v>
      </c>
      <c r="B667" s="3" t="inlineStr">
        <is>
          <t>CPV</t>
        </is>
      </c>
      <c r="C667" s="3" t="inlineStr">
        <is>
          <t>IMF.RES:WEO</t>
        </is>
      </c>
      <c r="D667" s="3" t="inlineStr">
        <is>
          <t>CPV.PPPPC.A</t>
        </is>
      </c>
      <c r="E667" s="3" t="inlineStr">
        <is>
          <t>Cabo Verde</t>
        </is>
      </c>
      <c r="F667" s="3" t="inlineStr">
        <is>
          <t>Gross domestic product (GDP), Per capita, purchasing power parity (PPP) international dollar, ICP benchmarks 2017-2021</t>
        </is>
      </c>
      <c r="G667" s="3" t="n">
        <v>3391.371197</v>
      </c>
      <c r="H667" s="3" t="n">
        <v>3608.925218</v>
      </c>
      <c r="I667" s="3" t="n">
        <v>3787.63621</v>
      </c>
      <c r="J667" s="3" t="n">
        <v>4079.619878</v>
      </c>
      <c r="K667" s="3" t="n">
        <v>4325.056529</v>
      </c>
      <c r="L667" s="3" t="n">
        <v>4651.202823</v>
      </c>
      <c r="M667" s="3" t="n">
        <v>5164.057285</v>
      </c>
      <c r="N667" s="3" t="n">
        <v>6039.286344</v>
      </c>
      <c r="O667" s="3" t="n">
        <v>6518.10595</v>
      </c>
      <c r="P667" s="3" t="n">
        <v>6391.584701</v>
      </c>
      <c r="Q667" s="3" t="n">
        <v>6516.980352</v>
      </c>
      <c r="R667" s="3" t="n">
        <v>6873.3972</v>
      </c>
      <c r="S667" s="3" t="n">
        <v>7037.589425</v>
      </c>
      <c r="T667" s="3" t="n">
        <v>7162.436028</v>
      </c>
      <c r="U667" s="3" t="n">
        <v>7297.067707</v>
      </c>
      <c r="V667" s="3" t="n">
        <v>7392.625951</v>
      </c>
      <c r="W667" s="3" t="n">
        <v>7750.337763</v>
      </c>
      <c r="X667" s="3" t="n">
        <v>8213.957519</v>
      </c>
      <c r="Y667" s="3" t="n">
        <v>8168.714736</v>
      </c>
      <c r="Z667" s="3" t="n">
        <v>8890.248654999999</v>
      </c>
      <c r="AA667" s="3" t="n">
        <v>7047.729873</v>
      </c>
      <c r="AB667" s="3" t="n">
        <v>7876.348428</v>
      </c>
      <c r="AC667" s="3" t="n">
        <v>9725.554959999999</v>
      </c>
      <c r="AD667" s="3" t="n">
        <v>10517.425186</v>
      </c>
      <c r="AE667" s="3" t="n">
        <v>11503.809902</v>
      </c>
      <c r="AF667" s="3" t="n">
        <v>12422.540065</v>
      </c>
      <c r="AG667" s="3" t="n">
        <v>13313.839611</v>
      </c>
      <c r="AH667" s="3" t="n">
        <v>14211.242336</v>
      </c>
      <c r="AI667" s="3" t="n">
        <v>15081.82809</v>
      </c>
      <c r="AJ667" s="3" t="n">
        <v>16037.910125</v>
      </c>
      <c r="AK667" s="3" t="n">
        <v>17064.341863</v>
      </c>
      <c r="AL667" s="3" t="n">
        <v>18145.425029</v>
      </c>
      <c r="AM667" s="3" t="n"/>
      <c r="AN667" s="3" t="n"/>
      <c r="AO667" s="3" t="n"/>
      <c r="AP667" s="3" t="n"/>
      <c r="AQ667" s="3" t="n"/>
      <c r="AR667" s="3" t="n"/>
      <c r="AS667" s="3" t="n"/>
      <c r="AT667" s="3" t="n"/>
      <c r="AU667" s="3" t="n"/>
    </row>
    <row r="668">
      <c r="A668" s="3" t="n">
        <v>2025</v>
      </c>
      <c r="B668" s="3" t="inlineStr">
        <is>
          <t>CPV</t>
        </is>
      </c>
      <c r="C668" s="3" t="inlineStr">
        <is>
          <t>IMF.STA:ER</t>
        </is>
      </c>
      <c r="D668" s="3" t="inlineStr">
        <is>
          <t>CPV.XDC_USD.PA_RT.A</t>
        </is>
      </c>
      <c r="E668" s="3" t="inlineStr">
        <is>
          <t>Cabo Verde</t>
        </is>
      </c>
      <c r="F668" s="3" t="inlineStr">
        <is>
          <t>Domestic currency per US Dollar</t>
        </is>
      </c>
      <c r="G668" s="3" t="n">
        <v>115.876551583333</v>
      </c>
      <c r="H668" s="3" t="n">
        <v>123.213333333333</v>
      </c>
      <c r="I668" s="3" t="n">
        <v>117.255833333333</v>
      </c>
      <c r="J668" s="3" t="n">
        <v>97.78749999999999</v>
      </c>
      <c r="K668" s="3" t="n">
        <v>88.7479249022727</v>
      </c>
      <c r="L668" s="3" t="n">
        <v>88.6461685261408</v>
      </c>
      <c r="M668" s="3" t="n">
        <v>87.9260649113313</v>
      </c>
      <c r="N668" s="3" t="n">
        <v>80.6150271575265</v>
      </c>
      <c r="O668" s="3" t="n">
        <v>75.3360038388543</v>
      </c>
      <c r="P668" s="3" t="n">
        <v>80.03541772778451</v>
      </c>
      <c r="Q668" s="3" t="n">
        <v>83.27868937590181</v>
      </c>
      <c r="R668" s="3" t="n">
        <v>79.27688147611831</v>
      </c>
      <c r="S668" s="3" t="n">
        <v>86.3189541847042</v>
      </c>
      <c r="T668" s="3" t="n">
        <v>83.07250000000001</v>
      </c>
      <c r="U668" s="3" t="n">
        <v>83.03449999999989</v>
      </c>
      <c r="V668" s="3" t="n">
        <v>99.3856935425685</v>
      </c>
      <c r="W668" s="3" t="n">
        <v>99.6881136363636</v>
      </c>
      <c r="X668" s="3" t="n">
        <v>97.8069377715121</v>
      </c>
      <c r="Y668" s="3" t="n">
        <v>93.4135789085279</v>
      </c>
      <c r="Z668" s="3" t="n">
        <v>98.4951785878975</v>
      </c>
      <c r="AA668" s="3" t="n">
        <v>96.7957427869884</v>
      </c>
      <c r="AB668" s="3" t="n">
        <v>93.2180924116109</v>
      </c>
      <c r="AC668" s="3" t="n">
        <v>104.863065846367</v>
      </c>
      <c r="AD668" s="3" t="n">
        <v>101.804812544701</v>
      </c>
      <c r="AE668" s="3" t="n">
        <v>101.922010798199</v>
      </c>
      <c r="AF668" s="3" t="n">
        <v>97.86315170101641</v>
      </c>
      <c r="AG668" s="3" t="n"/>
      <c r="AH668" s="3" t="n"/>
      <c r="AI668" s="3" t="n"/>
      <c r="AJ668" s="3" t="n"/>
      <c r="AK668" s="3" t="n"/>
      <c r="AL668" s="3" t="n"/>
      <c r="AM668" s="3" t="n"/>
      <c r="AN668" s="3" t="n"/>
      <c r="AO668" s="3" t="n"/>
      <c r="AP668" s="3" t="n"/>
      <c r="AQ668" s="3" t="n"/>
      <c r="AR668" s="3" t="n"/>
      <c r="AS668" s="3" t="n"/>
      <c r="AT668" s="3" t="n"/>
      <c r="AU668" s="3" t="n"/>
    </row>
    <row r="669">
      <c r="A669" s="3" t="n">
        <v>2031</v>
      </c>
      <c r="B669" s="3" t="inlineStr">
        <is>
          <t>CRI</t>
        </is>
      </c>
      <c r="C669" s="3" t="inlineStr">
        <is>
          <t>IMF.RES:WEO</t>
        </is>
      </c>
      <c r="D669" s="3" t="inlineStr">
        <is>
          <t>CRI.BCA.A</t>
        </is>
      </c>
      <c r="E669" s="3" t="inlineStr">
        <is>
          <t>Costa Rica</t>
        </is>
      </c>
      <c r="F669" s="3" t="inlineStr">
        <is>
          <t>Current account balance (credit less debit), US dollar</t>
        </is>
      </c>
      <c r="G669" s="3" t="n">
        <v>-0.684555</v>
      </c>
      <c r="H669" s="3" t="n">
        <v>-0.514265</v>
      </c>
      <c r="I669" s="3" t="n">
        <v>-0.860075</v>
      </c>
      <c r="J669" s="3" t="n">
        <v>-0.899692</v>
      </c>
      <c r="K669" s="3" t="n">
        <v>-0.67504</v>
      </c>
      <c r="L669" s="3" t="n">
        <v>-0.860047</v>
      </c>
      <c r="M669" s="3" t="n">
        <v>-0.938716</v>
      </c>
      <c r="N669" s="3" t="n">
        <v>-1.498809</v>
      </c>
      <c r="O669" s="3" t="n">
        <v>-2.580547</v>
      </c>
      <c r="P669" s="3" t="n">
        <v>-0.560581</v>
      </c>
      <c r="Q669" s="3" t="n">
        <v>-1.213874</v>
      </c>
      <c r="R669" s="3" t="n">
        <v>-2.265058</v>
      </c>
      <c r="S669" s="3" t="n">
        <v>-2.41109</v>
      </c>
      <c r="T669" s="3" t="n">
        <v>-2.431169</v>
      </c>
      <c r="U669" s="3" t="n">
        <v>-2.453096</v>
      </c>
      <c r="V669" s="3" t="n">
        <v>-1.921263</v>
      </c>
      <c r="W669" s="3" t="n">
        <v>-1.257276</v>
      </c>
      <c r="X669" s="3" t="n">
        <v>-2.188724</v>
      </c>
      <c r="Y669" s="3" t="n">
        <v>-1.867319</v>
      </c>
      <c r="Z669" s="3" t="n">
        <v>-0.766617</v>
      </c>
      <c r="AA669" s="3" t="n">
        <v>-0.652121</v>
      </c>
      <c r="AB669" s="3" t="n">
        <v>-2.0627</v>
      </c>
      <c r="AC669" s="3" t="n">
        <v>-2.272166</v>
      </c>
      <c r="AD669" s="3" t="n">
        <v>-1.107902</v>
      </c>
      <c r="AE669" s="3" t="n">
        <v>-0.90245</v>
      </c>
      <c r="AF669" s="3" t="n">
        <v>-0.748</v>
      </c>
      <c r="AG669" s="3" t="n">
        <v>-1.647829</v>
      </c>
      <c r="AH669" s="3" t="n">
        <v>-1.902635</v>
      </c>
      <c r="AI669" s="3" t="n">
        <v>-1.712621</v>
      </c>
      <c r="AJ669" s="3" t="n">
        <v>-1.699586</v>
      </c>
      <c r="AK669" s="3" t="n">
        <v>-1.805542</v>
      </c>
      <c r="AL669" s="3" t="n">
        <v>-1.900926</v>
      </c>
      <c r="AM669" s="3" t="n"/>
      <c r="AN669" s="3" t="n"/>
      <c r="AO669" s="3" t="n"/>
      <c r="AP669" s="3" t="n"/>
      <c r="AQ669" s="3" t="n"/>
      <c r="AR669" s="3" t="n"/>
      <c r="AS669" s="3" t="n"/>
      <c r="AT669" s="3" t="n"/>
      <c r="AU669" s="3" t="n"/>
    </row>
    <row r="670">
      <c r="A670" s="3" t="n">
        <v>2031</v>
      </c>
      <c r="B670" s="3" t="inlineStr">
        <is>
          <t>CRI</t>
        </is>
      </c>
      <c r="C670" s="3" t="inlineStr">
        <is>
          <t>IMF.RES:WEO</t>
        </is>
      </c>
      <c r="D670" s="3" t="inlineStr">
        <is>
          <t>CRI.BCA_NGDPD.A</t>
        </is>
      </c>
      <c r="E670" s="3" t="inlineStr">
        <is>
          <t>Costa Rica</t>
        </is>
      </c>
      <c r="F670" s="3" t="inlineStr">
        <is>
          <t>Current account balance (credit less debit), Percent of GDP</t>
        </is>
      </c>
      <c r="G670" s="3" t="n">
        <v>-4.558692</v>
      </c>
      <c r="H670" s="3" t="n">
        <v>-3.218302</v>
      </c>
      <c r="I670" s="3" t="n">
        <v>-5.186239</v>
      </c>
      <c r="J670" s="3" t="n">
        <v>-5.207581</v>
      </c>
      <c r="K670" s="3" t="n">
        <v>-3.62631</v>
      </c>
      <c r="L670" s="3" t="n">
        <v>-4.289695</v>
      </c>
      <c r="M670" s="3" t="n">
        <v>-4.132302</v>
      </c>
      <c r="N670" s="3" t="n">
        <v>-5.574978</v>
      </c>
      <c r="O670" s="3" t="n">
        <v>-8.377926</v>
      </c>
      <c r="P670" s="3" t="n">
        <v>-1.823279</v>
      </c>
      <c r="Q670" s="3" t="n">
        <v>-3.223616</v>
      </c>
      <c r="R670" s="3" t="n">
        <v>-5.296874</v>
      </c>
      <c r="S670" s="3" t="n">
        <v>-5.104838</v>
      </c>
      <c r="T670" s="3" t="n">
        <v>-4.771761</v>
      </c>
      <c r="U670" s="3" t="n">
        <v>-4.715922</v>
      </c>
      <c r="V670" s="3" t="n">
        <v>-3.403986</v>
      </c>
      <c r="W670" s="3" t="n">
        <v>-2.136505</v>
      </c>
      <c r="X670" s="3" t="n">
        <v>-3.616707</v>
      </c>
      <c r="Y670" s="3" t="n">
        <v>-2.98439</v>
      </c>
      <c r="Z670" s="3" t="n">
        <v>-1.184002</v>
      </c>
      <c r="AA670" s="3" t="n">
        <v>-1.038535</v>
      </c>
      <c r="AB670" s="3" t="n">
        <v>-3.145217</v>
      </c>
      <c r="AC670" s="3" t="n">
        <v>-3.200566</v>
      </c>
      <c r="AD670" s="3" t="n">
        <v>-1.265823</v>
      </c>
      <c r="AE670" s="3" t="n">
        <v>-0.9329539999999999</v>
      </c>
      <c r="AF670" s="3" t="n">
        <v>-0.726903</v>
      </c>
      <c r="AG670" s="3" t="n">
        <v>-1.498966</v>
      </c>
      <c r="AH670" s="3" t="n">
        <v>-1.637318</v>
      </c>
      <c r="AI670" s="3" t="n">
        <v>-1.395199</v>
      </c>
      <c r="AJ670" s="3" t="n">
        <v>-1.312125</v>
      </c>
      <c r="AK670" s="3" t="n">
        <v>-1.320439</v>
      </c>
      <c r="AL670" s="3" t="n">
        <v>-1.314413</v>
      </c>
      <c r="AM670" s="3" t="n"/>
      <c r="AN670" s="3" t="n"/>
      <c r="AO670" s="3" t="n"/>
      <c r="AP670" s="3" t="n"/>
      <c r="AQ670" s="3" t="n"/>
      <c r="AR670" s="3" t="n"/>
      <c r="AS670" s="3" t="n"/>
      <c r="AT670" s="3" t="n"/>
      <c r="AU670" s="3" t="n"/>
    </row>
    <row r="671">
      <c r="A671" s="3" t="n">
        <v>2031</v>
      </c>
      <c r="B671" s="3" t="inlineStr">
        <is>
          <t>CRI</t>
        </is>
      </c>
      <c r="C671" s="3" t="inlineStr">
        <is>
          <t>IMF.RES:WEO</t>
        </is>
      </c>
      <c r="D671" s="3" t="inlineStr">
        <is>
          <t>CRI.GGR_NGDP.A</t>
        </is>
      </c>
      <c r="E671" s="3" t="inlineStr">
        <is>
          <t>Costa Rica</t>
        </is>
      </c>
      <c r="F671" s="3" t="inlineStr">
        <is>
          <t>Revenue, General government, Percent of GDP</t>
        </is>
      </c>
      <c r="G671" s="3" t="n">
        <v>13.186322</v>
      </c>
      <c r="H671" s="3" t="n">
        <v>13.809511</v>
      </c>
      <c r="I671" s="3" t="n">
        <v>13.558239</v>
      </c>
      <c r="J671" s="3" t="n">
        <v>14.134989</v>
      </c>
      <c r="K671" s="3" t="n">
        <v>13.590994</v>
      </c>
      <c r="L671" s="3" t="n">
        <v>13.797447</v>
      </c>
      <c r="M671" s="3" t="n">
        <v>14.107531</v>
      </c>
      <c r="N671" s="3" t="n">
        <v>15.153666</v>
      </c>
      <c r="O671" s="3" t="n">
        <v>15.362049</v>
      </c>
      <c r="P671" s="3" t="n">
        <v>13.407727</v>
      </c>
      <c r="Q671" s="3" t="n">
        <v>13.08599</v>
      </c>
      <c r="R671" s="3" t="n">
        <v>13.27015</v>
      </c>
      <c r="S671" s="3" t="n">
        <v>13.127903</v>
      </c>
      <c r="T671" s="3" t="n">
        <v>13.273182</v>
      </c>
      <c r="U671" s="3" t="n">
        <v>12.946496</v>
      </c>
      <c r="V671" s="3" t="n">
        <v>13.236866</v>
      </c>
      <c r="W671" s="3" t="n">
        <v>13.661789</v>
      </c>
      <c r="X671" s="3" t="n">
        <v>13.277753</v>
      </c>
      <c r="Y671" s="3" t="n">
        <v>13.203671</v>
      </c>
      <c r="Z671" s="3" t="n">
        <v>14.92441</v>
      </c>
      <c r="AA671" s="3" t="n">
        <v>13.821369</v>
      </c>
      <c r="AB671" s="3" t="n">
        <v>15.537182</v>
      </c>
      <c r="AC671" s="3" t="n">
        <v>15.977332</v>
      </c>
      <c r="AD671" s="3" t="n">
        <v>15.085135</v>
      </c>
      <c r="AE671" s="3" t="n">
        <v>14.873914</v>
      </c>
      <c r="AF671" s="3" t="n">
        <v>14.418502</v>
      </c>
      <c r="AG671" s="3" t="n">
        <v>14.226671</v>
      </c>
      <c r="AH671" s="3" t="n">
        <v>14.115056</v>
      </c>
      <c r="AI671" s="3" t="n">
        <v>13.960335</v>
      </c>
      <c r="AJ671" s="3" t="n">
        <v>13.802148</v>
      </c>
      <c r="AK671" s="3" t="n">
        <v>13.64538</v>
      </c>
      <c r="AL671" s="3" t="n">
        <v>13.44767</v>
      </c>
      <c r="AM671" s="3" t="n"/>
      <c r="AN671" s="3" t="n"/>
      <c r="AO671" s="3" t="n"/>
      <c r="AP671" s="3" t="n"/>
      <c r="AQ671" s="3" t="n"/>
      <c r="AR671" s="3" t="n"/>
      <c r="AS671" s="3" t="n"/>
      <c r="AT671" s="3" t="n"/>
      <c r="AU671" s="3" t="n"/>
    </row>
    <row r="672">
      <c r="A672" s="3" t="n">
        <v>2031</v>
      </c>
      <c r="B672" s="3" t="inlineStr">
        <is>
          <t>CRI</t>
        </is>
      </c>
      <c r="C672" s="3" t="inlineStr">
        <is>
          <t>IMF.RES:WEO</t>
        </is>
      </c>
      <c r="D672" s="3" t="inlineStr">
        <is>
          <t>CRI.GGX_NGDP.A</t>
        </is>
      </c>
      <c r="E672" s="3" t="inlineStr">
        <is>
          <t>Costa Rica</t>
        </is>
      </c>
      <c r="F672" s="3" t="inlineStr">
        <is>
          <t>Expenditure, General government, Percent of GDP</t>
        </is>
      </c>
      <c r="G672" s="3" t="n">
        <v>16.87007</v>
      </c>
      <c r="H672" s="3" t="n">
        <v>17.280035</v>
      </c>
      <c r="I672" s="3" t="n">
        <v>18.550665</v>
      </c>
      <c r="J672" s="3" t="n">
        <v>17.567166</v>
      </c>
      <c r="K672" s="3" t="n">
        <v>17.006226</v>
      </c>
      <c r="L672" s="3" t="n">
        <v>15.888618</v>
      </c>
      <c r="M672" s="3" t="n">
        <v>15.150322</v>
      </c>
      <c r="N672" s="3" t="n">
        <v>14.595432</v>
      </c>
      <c r="O672" s="3" t="n">
        <v>15.179906</v>
      </c>
      <c r="P672" s="3" t="n">
        <v>16.658996</v>
      </c>
      <c r="Q672" s="3" t="n">
        <v>18.042295</v>
      </c>
      <c r="R672" s="3" t="n">
        <v>17.17984</v>
      </c>
      <c r="S672" s="3" t="n">
        <v>17.343179</v>
      </c>
      <c r="T672" s="3" t="n">
        <v>18.519442</v>
      </c>
      <c r="U672" s="3" t="n">
        <v>18.400082</v>
      </c>
      <c r="V672" s="3" t="n">
        <v>18.759066</v>
      </c>
      <c r="W672" s="3" t="n">
        <v>18.755841</v>
      </c>
      <c r="X672" s="3" t="n">
        <v>19.156754</v>
      </c>
      <c r="Y672" s="3" t="n">
        <v>18.850606</v>
      </c>
      <c r="Z672" s="3" t="n">
        <v>21.573969</v>
      </c>
      <c r="AA672" s="3" t="n">
        <v>22.146141</v>
      </c>
      <c r="AB672" s="3" t="n">
        <v>20.574104</v>
      </c>
      <c r="AC672" s="3" t="n">
        <v>18.713123</v>
      </c>
      <c r="AD672" s="3" t="n">
        <v>18.298954</v>
      </c>
      <c r="AE672" s="3" t="n">
        <v>18.603339</v>
      </c>
      <c r="AF672" s="3" t="n">
        <v>17.768793</v>
      </c>
      <c r="AG672" s="3" t="n">
        <v>17.868287</v>
      </c>
      <c r="AH672" s="3" t="n">
        <v>17.616521</v>
      </c>
      <c r="AI672" s="3" t="n">
        <v>17.12167</v>
      </c>
      <c r="AJ672" s="3" t="n">
        <v>16.627638</v>
      </c>
      <c r="AK672" s="3" t="n">
        <v>16.12682</v>
      </c>
      <c r="AL672" s="3" t="n">
        <v>15.642653</v>
      </c>
      <c r="AM672" s="3" t="n"/>
      <c r="AN672" s="3" t="n"/>
      <c r="AO672" s="3" t="n"/>
      <c r="AP672" s="3" t="n"/>
      <c r="AQ672" s="3" t="n"/>
      <c r="AR672" s="3" t="n"/>
      <c r="AS672" s="3" t="n"/>
      <c r="AT672" s="3" t="n"/>
      <c r="AU672" s="3" t="n"/>
    </row>
    <row r="673">
      <c r="A673" s="3" t="n">
        <v>2031</v>
      </c>
      <c r="B673" s="3" t="inlineStr">
        <is>
          <t>CRI</t>
        </is>
      </c>
      <c r="C673" s="3" t="inlineStr">
        <is>
          <t>IMF.RES:WEO</t>
        </is>
      </c>
      <c r="D673" s="3" t="inlineStr">
        <is>
          <t>CRI.LP.A</t>
        </is>
      </c>
      <c r="E673" s="3" t="inlineStr">
        <is>
          <t>Costa Rica</t>
        </is>
      </c>
      <c r="F673" s="3" t="inlineStr">
        <is>
          <t>Population, Persons for countries / Index for country groups</t>
        </is>
      </c>
      <c r="G673" s="3" t="n">
        <v>3.810187</v>
      </c>
      <c r="H673" s="3" t="n">
        <v>3.953393</v>
      </c>
      <c r="I673" s="3" t="n">
        <v>4.022431</v>
      </c>
      <c r="J673" s="3" t="n">
        <v>4.086405</v>
      </c>
      <c r="K673" s="3" t="n">
        <v>4.151823</v>
      </c>
      <c r="L673" s="3" t="n">
        <v>4.215248</v>
      </c>
      <c r="M673" s="3" t="n">
        <v>4.278656</v>
      </c>
      <c r="N673" s="3" t="n">
        <v>4.34039</v>
      </c>
      <c r="O673" s="3" t="n">
        <v>4.40409</v>
      </c>
      <c r="P673" s="3" t="n">
        <v>4.469337</v>
      </c>
      <c r="Q673" s="3" t="n">
        <v>4.553913</v>
      </c>
      <c r="R673" s="3" t="n">
        <v>4.612678</v>
      </c>
      <c r="S673" s="3" t="n">
        <v>4.672935</v>
      </c>
      <c r="T673" s="3" t="n">
        <v>4.733053</v>
      </c>
      <c r="U673" s="3" t="n">
        <v>4.792617</v>
      </c>
      <c r="V673" s="3" t="n">
        <v>4.850933</v>
      </c>
      <c r="W673" s="3" t="n">
        <v>4.909297</v>
      </c>
      <c r="X673" s="3" t="n">
        <v>4.966414</v>
      </c>
      <c r="Y673" s="3" t="n">
        <v>5.022311</v>
      </c>
      <c r="Z673" s="3" t="n">
        <v>5.075372</v>
      </c>
      <c r="AA673" s="3" t="n">
        <v>5.128407</v>
      </c>
      <c r="AB673" s="3" t="n">
        <v>5.18004</v>
      </c>
      <c r="AC673" s="3" t="n">
        <v>5.229297</v>
      </c>
      <c r="AD673" s="3" t="n">
        <v>5.27811</v>
      </c>
      <c r="AE673" s="3" t="n">
        <v>5.325109</v>
      </c>
      <c r="AF673" s="3" t="n">
        <v>5.370133</v>
      </c>
      <c r="AG673" s="3" t="n">
        <v>5.415538</v>
      </c>
      <c r="AH673" s="3" t="n">
        <v>5.461326</v>
      </c>
      <c r="AI673" s="3" t="n">
        <v>5.507502</v>
      </c>
      <c r="AJ673" s="3" t="n">
        <v>5.554068</v>
      </c>
      <c r="AK673" s="3" t="n">
        <v>5.601028</v>
      </c>
      <c r="AL673" s="3" t="n">
        <v>5.648385</v>
      </c>
      <c r="AM673" s="3" t="n"/>
      <c r="AN673" s="3" t="n"/>
      <c r="AO673" s="3" t="n"/>
      <c r="AP673" s="3" t="n"/>
      <c r="AQ673" s="3" t="n"/>
      <c r="AR673" s="3" t="n"/>
      <c r="AS673" s="3" t="n"/>
      <c r="AT673" s="3" t="n"/>
      <c r="AU673" s="3" t="n"/>
    </row>
    <row r="674">
      <c r="A674" s="3" t="n">
        <v>2031</v>
      </c>
      <c r="B674" s="3" t="inlineStr">
        <is>
          <t>CRI</t>
        </is>
      </c>
      <c r="C674" s="3" t="inlineStr">
        <is>
          <t>IMF.RES:WEO</t>
        </is>
      </c>
      <c r="D674" s="3" t="inlineStr">
        <is>
          <t>CRI.NGDP.A</t>
        </is>
      </c>
      <c r="E674" s="3" t="inlineStr">
        <is>
          <t>Costa Rica</t>
        </is>
      </c>
      <c r="F674" s="3" t="inlineStr">
        <is>
          <t>Gross domestic product (GDP), Current prices, Domestic currency</t>
        </is>
      </c>
      <c r="G674" s="3" t="n">
        <v>4627.0506</v>
      </c>
      <c r="H674" s="3" t="n">
        <v>5254.0845</v>
      </c>
      <c r="I674" s="3" t="n">
        <v>5965.3913</v>
      </c>
      <c r="J674" s="3" t="n">
        <v>6885.56</v>
      </c>
      <c r="K674" s="3" t="n">
        <v>8150.1378</v>
      </c>
      <c r="L674" s="3" t="n">
        <v>9577.022199999999</v>
      </c>
      <c r="M674" s="3" t="n">
        <v>11613.3199</v>
      </c>
      <c r="N674" s="3" t="n">
        <v>13889.0528</v>
      </c>
      <c r="O674" s="3" t="n">
        <v>16208.9747</v>
      </c>
      <c r="P674" s="3" t="n">
        <v>17626.1478</v>
      </c>
      <c r="Q674" s="3" t="n">
        <v>19802.0106</v>
      </c>
      <c r="R674" s="3" t="n">
        <v>21623.5245</v>
      </c>
      <c r="S674" s="3" t="n">
        <v>23752.8686</v>
      </c>
      <c r="T674" s="3" t="n">
        <v>25462.9547</v>
      </c>
      <c r="U674" s="3" t="n">
        <v>28001.3276</v>
      </c>
      <c r="V674" s="3" t="n">
        <v>30171.9189</v>
      </c>
      <c r="W674" s="3" t="n">
        <v>32056.2883</v>
      </c>
      <c r="X674" s="3" t="n">
        <v>34343.6475</v>
      </c>
      <c r="Y674" s="3" t="n">
        <v>36099.8804</v>
      </c>
      <c r="Z674" s="3" t="n">
        <v>38029.3834</v>
      </c>
      <c r="AA674" s="3" t="n">
        <v>36735.6292</v>
      </c>
      <c r="AB674" s="3" t="n">
        <v>40716.611</v>
      </c>
      <c r="AC674" s="3" t="n">
        <v>45947.4367</v>
      </c>
      <c r="AD674" s="3" t="n">
        <v>47611.3182</v>
      </c>
      <c r="AE674" s="3" t="n">
        <v>49819.1734</v>
      </c>
      <c r="AF674" s="3" t="n">
        <v>51812.3018</v>
      </c>
      <c r="AG674" s="3" t="n">
        <v>54230.046417</v>
      </c>
      <c r="AH674" s="3" t="n">
        <v>57194.354909</v>
      </c>
      <c r="AI674" s="3" t="n">
        <v>60487.321174</v>
      </c>
      <c r="AJ674" s="3" t="n">
        <v>64122.070823</v>
      </c>
      <c r="AK674" s="3" t="n">
        <v>68136.31811599999</v>
      </c>
      <c r="AL674" s="3" t="n">
        <v>72605.908872</v>
      </c>
      <c r="AM674" s="3" t="n"/>
      <c r="AN674" s="3" t="n"/>
      <c r="AO674" s="3" t="n"/>
      <c r="AP674" s="3" t="n"/>
      <c r="AQ674" s="3" t="n"/>
      <c r="AR674" s="3" t="n"/>
      <c r="AS674" s="3" t="n"/>
      <c r="AT674" s="3" t="n"/>
      <c r="AU674" s="3" t="n"/>
    </row>
    <row r="675">
      <c r="A675" s="3" t="n">
        <v>2031</v>
      </c>
      <c r="B675" s="3" t="inlineStr">
        <is>
          <t>CRI</t>
        </is>
      </c>
      <c r="C675" s="3" t="inlineStr">
        <is>
          <t>IMF.RES:WEO</t>
        </is>
      </c>
      <c r="D675" s="3" t="inlineStr">
        <is>
          <t>CRI.NGDP_D.A</t>
        </is>
      </c>
      <c r="E675" s="3" t="inlineStr">
        <is>
          <t>Costa Rica</t>
        </is>
      </c>
      <c r="F675" s="3" t="inlineStr">
        <is>
          <t>Gross domestic product (GDP), Price deflator, Index</t>
        </is>
      </c>
      <c r="G675" s="3" t="n">
        <v>23.433403</v>
      </c>
      <c r="H675" s="3" t="n">
        <v>25.711349</v>
      </c>
      <c r="I675" s="3" t="n">
        <v>28.227689</v>
      </c>
      <c r="J675" s="3" t="n">
        <v>31.23344</v>
      </c>
      <c r="K675" s="3" t="n">
        <v>35.403214</v>
      </c>
      <c r="L675" s="3" t="n">
        <v>40.010349</v>
      </c>
      <c r="M675" s="3" t="n">
        <v>45.205417</v>
      </c>
      <c r="N675" s="3" t="n">
        <v>49.959574</v>
      </c>
      <c r="O675" s="3" t="n">
        <v>55.666849</v>
      </c>
      <c r="P675" s="3" t="n">
        <v>61.067275</v>
      </c>
      <c r="Q675" s="3" t="n">
        <v>65.115329</v>
      </c>
      <c r="R675" s="3" t="n">
        <v>68.106223</v>
      </c>
      <c r="S675" s="3" t="n">
        <v>71.330122</v>
      </c>
      <c r="T675" s="3" t="n">
        <v>74.604325</v>
      </c>
      <c r="U675" s="3" t="n">
        <v>79.234956</v>
      </c>
      <c r="V675" s="3" t="n">
        <v>82.36887</v>
      </c>
      <c r="W675" s="3" t="n">
        <v>83.982282</v>
      </c>
      <c r="X675" s="3" t="n">
        <v>86.38323800000001</v>
      </c>
      <c r="Y675" s="3" t="n">
        <v>88.282059</v>
      </c>
      <c r="Z675" s="3" t="n">
        <v>90.548469</v>
      </c>
      <c r="AA675" s="3" t="n">
        <v>91.247107</v>
      </c>
      <c r="AB675" s="3" t="n">
        <v>93.45510299999999</v>
      </c>
      <c r="AC675" s="3" t="n">
        <v>100</v>
      </c>
      <c r="AD675" s="3" t="n">
        <v>98.88292300000001</v>
      </c>
      <c r="AE675" s="3" t="n">
        <v>99.409553</v>
      </c>
      <c r="AF675" s="3" t="n">
        <v>98.877511</v>
      </c>
      <c r="AG675" s="3" t="n">
        <v>99.933545</v>
      </c>
      <c r="AH675" s="3" t="n">
        <v>101.766535</v>
      </c>
      <c r="AI675" s="3" t="n">
        <v>103.929906</v>
      </c>
      <c r="AJ675" s="3" t="n">
        <v>106.439154</v>
      </c>
      <c r="AK675" s="3" t="n">
        <v>109.320111</v>
      </c>
      <c r="AL675" s="3" t="n">
        <v>112.595463</v>
      </c>
      <c r="AM675" s="3" t="n"/>
      <c r="AN675" s="3" t="n"/>
      <c r="AO675" s="3" t="n"/>
      <c r="AP675" s="3" t="n"/>
      <c r="AQ675" s="3" t="n"/>
      <c r="AR675" s="3" t="n"/>
      <c r="AS675" s="3" t="n"/>
      <c r="AT675" s="3" t="n"/>
      <c r="AU675" s="3" t="n"/>
    </row>
    <row r="676">
      <c r="A676" s="3" t="n">
        <v>2031</v>
      </c>
      <c r="B676" s="3" t="inlineStr">
        <is>
          <t>CRI</t>
        </is>
      </c>
      <c r="C676" s="3" t="inlineStr">
        <is>
          <t>IMF.RES:WEO</t>
        </is>
      </c>
      <c r="D676" s="3" t="inlineStr">
        <is>
          <t>CRI.NGDP_R.A</t>
        </is>
      </c>
      <c r="E676" s="3" t="inlineStr">
        <is>
          <t>Costa Rica</t>
        </is>
      </c>
      <c r="F676" s="3" t="inlineStr">
        <is>
          <t>Gross domestic product (GDP), Constant prices, Domestic currency</t>
        </is>
      </c>
      <c r="G676" s="3" t="n">
        <v>19745.5344</v>
      </c>
      <c r="H676" s="3" t="n">
        <v>20434.8846</v>
      </c>
      <c r="I676" s="3" t="n">
        <v>21133.1194</v>
      </c>
      <c r="J676" s="3" t="n">
        <v>22045.4741</v>
      </c>
      <c r="K676" s="3" t="n">
        <v>23020.898</v>
      </c>
      <c r="L676" s="3" t="n">
        <v>23936.3624</v>
      </c>
      <c r="M676" s="3" t="n">
        <v>25690.1068</v>
      </c>
      <c r="N676" s="3" t="n">
        <v>27800.5829</v>
      </c>
      <c r="O676" s="3" t="n">
        <v>29117.8232</v>
      </c>
      <c r="P676" s="3" t="n">
        <v>28863.4917</v>
      </c>
      <c r="Q676" s="3" t="n">
        <v>30410.6741</v>
      </c>
      <c r="R676" s="3" t="n">
        <v>31749.7046</v>
      </c>
      <c r="S676" s="3" t="n">
        <v>33299.9132</v>
      </c>
      <c r="T676" s="3" t="n">
        <v>34130.6682</v>
      </c>
      <c r="U676" s="3" t="n">
        <v>35339.6138</v>
      </c>
      <c r="V676" s="3" t="n">
        <v>36630.2452</v>
      </c>
      <c r="W676" s="3" t="n">
        <v>38170.2991</v>
      </c>
      <c r="X676" s="3" t="n">
        <v>39757.3052</v>
      </c>
      <c r="Y676" s="3" t="n">
        <v>40891.5254</v>
      </c>
      <c r="Z676" s="3" t="n">
        <v>41998.9249</v>
      </c>
      <c r="AA676" s="3" t="n">
        <v>40259.5002</v>
      </c>
      <c r="AB676" s="3" t="n">
        <v>43568.0981</v>
      </c>
      <c r="AC676" s="3" t="n">
        <v>45947.4367</v>
      </c>
      <c r="AD676" s="3" t="n">
        <v>48149.1814</v>
      </c>
      <c r="AE676" s="3" t="n">
        <v>50115.0762</v>
      </c>
      <c r="AF676" s="3" t="n">
        <v>52400.4918</v>
      </c>
      <c r="AG676" s="3" t="n">
        <v>54266.108856</v>
      </c>
      <c r="AH676" s="3" t="n">
        <v>56201.535269</v>
      </c>
      <c r="AI676" s="3" t="n">
        <v>58200.111491</v>
      </c>
      <c r="AJ676" s="3" t="n">
        <v>60242.935404</v>
      </c>
      <c r="AK676" s="3" t="n">
        <v>62327.340969</v>
      </c>
      <c r="AL676" s="3" t="n">
        <v>64483.866967</v>
      </c>
      <c r="AM676" s="3" t="n"/>
      <c r="AN676" s="3" t="n"/>
      <c r="AO676" s="3" t="n"/>
      <c r="AP676" s="3" t="n"/>
      <c r="AQ676" s="3" t="n"/>
      <c r="AR676" s="3" t="n"/>
      <c r="AS676" s="3" t="n"/>
      <c r="AT676" s="3" t="n"/>
      <c r="AU676" s="3" t="n"/>
    </row>
    <row r="677">
      <c r="A677" s="3" t="n">
        <v>2031</v>
      </c>
      <c r="B677" s="3" t="inlineStr">
        <is>
          <t>CRI</t>
        </is>
      </c>
      <c r="C677" s="3" t="inlineStr">
        <is>
          <t>IMF.RES:WEO</t>
        </is>
      </c>
      <c r="D677" s="3" t="inlineStr">
        <is>
          <t>CRI.NGDP_RPCH.A</t>
        </is>
      </c>
      <c r="E677" s="3" t="inlineStr">
        <is>
          <t>Costa Rica</t>
        </is>
      </c>
      <c r="F677" s="3" t="inlineStr">
        <is>
          <t>Gross domestic product (GDP), Constant prices, Percent change</t>
        </is>
      </c>
      <c r="G677" s="3" t="n">
        <v>3.802073</v>
      </c>
      <c r="H677" s="3" t="n">
        <v>3.49117</v>
      </c>
      <c r="I677" s="3" t="n">
        <v>3.416877</v>
      </c>
      <c r="J677" s="3" t="n">
        <v>4.31718</v>
      </c>
      <c r="K677" s="3" t="n">
        <v>4.424599</v>
      </c>
      <c r="L677" s="3" t="n">
        <v>3.976667</v>
      </c>
      <c r="M677" s="3" t="n">
        <v>7.326696</v>
      </c>
      <c r="N677" s="3" t="n">
        <v>8.215132000000001</v>
      </c>
      <c r="O677" s="3" t="n">
        <v>4.738175</v>
      </c>
      <c r="P677" s="3" t="n">
        <v>-0.873456</v>
      </c>
      <c r="Q677" s="3" t="n">
        <v>5.360344</v>
      </c>
      <c r="R677" s="3" t="n">
        <v>4.40316</v>
      </c>
      <c r="S677" s="3" t="n">
        <v>4.882592</v>
      </c>
      <c r="T677" s="3" t="n">
        <v>2.494766</v>
      </c>
      <c r="U677" s="3" t="n">
        <v>3.542109</v>
      </c>
      <c r="V677" s="3" t="n">
        <v>3.652081</v>
      </c>
      <c r="W677" s="3" t="n">
        <v>4.204323</v>
      </c>
      <c r="X677" s="3" t="n">
        <v>4.157699</v>
      </c>
      <c r="Y677" s="3" t="n">
        <v>2.85286</v>
      </c>
      <c r="Z677" s="3" t="n">
        <v>2.708139</v>
      </c>
      <c r="AA677" s="3" t="n">
        <v>-4.141593</v>
      </c>
      <c r="AB677" s="3" t="n">
        <v>8.218178999999999</v>
      </c>
      <c r="AC677" s="3" t="n">
        <v>5.461195</v>
      </c>
      <c r="AD677" s="3" t="n">
        <v>4.791877</v>
      </c>
      <c r="AE677" s="3" t="n">
        <v>4.082925</v>
      </c>
      <c r="AF677" s="3" t="n">
        <v>4.560335</v>
      </c>
      <c r="AG677" s="3" t="n">
        <v>3.560304</v>
      </c>
      <c r="AH677" s="3" t="n">
        <v>3.566547</v>
      </c>
      <c r="AI677" s="3" t="n">
        <v>3.556088</v>
      </c>
      <c r="AJ677" s="3" t="n">
        <v>3.51</v>
      </c>
      <c r="AK677" s="3" t="n">
        <v>3.46</v>
      </c>
      <c r="AL677" s="3" t="n">
        <v>3.46</v>
      </c>
      <c r="AM677" s="3" t="n"/>
      <c r="AN677" s="3" t="n"/>
      <c r="AO677" s="3" t="n"/>
      <c r="AP677" s="3" t="n"/>
      <c r="AQ677" s="3" t="n"/>
      <c r="AR677" s="3" t="n"/>
      <c r="AS677" s="3" t="n"/>
      <c r="AT677" s="3" t="n"/>
      <c r="AU677" s="3" t="n"/>
    </row>
    <row r="678">
      <c r="A678" s="3" t="n">
        <v>2031</v>
      </c>
      <c r="B678" s="3" t="inlineStr">
        <is>
          <t>CRI</t>
        </is>
      </c>
      <c r="C678" s="3" t="inlineStr">
        <is>
          <t>IMF.RES:WEO</t>
        </is>
      </c>
      <c r="D678" s="3" t="inlineStr">
        <is>
          <t>CRI.NGDPD.A</t>
        </is>
      </c>
      <c r="E678" s="3" t="inlineStr">
        <is>
          <t>Costa Rica</t>
        </is>
      </c>
      <c r="F678" s="3" t="inlineStr">
        <is>
          <t>Gross domestic product (GDP), Current prices, US dollar</t>
        </is>
      </c>
      <c r="G678" s="3" t="n">
        <v>15.016481</v>
      </c>
      <c r="H678" s="3" t="n">
        <v>15.979391</v>
      </c>
      <c r="I678" s="3" t="n">
        <v>16.583797</v>
      </c>
      <c r="J678" s="3" t="n">
        <v>17.276579</v>
      </c>
      <c r="K678" s="3" t="n">
        <v>18.615074</v>
      </c>
      <c r="L678" s="3" t="n">
        <v>20.049141</v>
      </c>
      <c r="M678" s="3" t="n">
        <v>22.716543</v>
      </c>
      <c r="N678" s="3" t="n">
        <v>26.884569</v>
      </c>
      <c r="O678" s="3" t="n">
        <v>30.801746</v>
      </c>
      <c r="P678" s="3" t="n">
        <v>30.745757</v>
      </c>
      <c r="Q678" s="3" t="n">
        <v>37.655666</v>
      </c>
      <c r="R678" s="3" t="n">
        <v>42.762157</v>
      </c>
      <c r="S678" s="3" t="n">
        <v>47.231465</v>
      </c>
      <c r="T678" s="3" t="n">
        <v>50.949085</v>
      </c>
      <c r="U678" s="3" t="n">
        <v>52.017328</v>
      </c>
      <c r="V678" s="3" t="n">
        <v>56.441561</v>
      </c>
      <c r="W678" s="3" t="n">
        <v>58.847341</v>
      </c>
      <c r="X678" s="3" t="n">
        <v>60.517041</v>
      </c>
      <c r="Y678" s="3" t="n">
        <v>62.569528</v>
      </c>
      <c r="Z678" s="3" t="n">
        <v>64.74799400000001</v>
      </c>
      <c r="AA678" s="3" t="n">
        <v>62.792459</v>
      </c>
      <c r="AB678" s="3" t="n">
        <v>65.58213000000001</v>
      </c>
      <c r="AC678" s="3" t="n">
        <v>70.992631</v>
      </c>
      <c r="AD678" s="3" t="n">
        <v>87.524224</v>
      </c>
      <c r="AE678" s="3" t="n">
        <v>96.730389</v>
      </c>
      <c r="AF678" s="3" t="n">
        <v>102.902315</v>
      </c>
      <c r="AG678" s="3" t="n">
        <v>109.931051</v>
      </c>
      <c r="AH678" s="3" t="n">
        <v>116.204374</v>
      </c>
      <c r="AI678" s="3" t="n">
        <v>122.751063</v>
      </c>
      <c r="AJ678" s="3" t="n">
        <v>129.529221</v>
      </c>
      <c r="AK678" s="3" t="n">
        <v>136.73805</v>
      </c>
      <c r="AL678" s="3" t="n">
        <v>144.621654</v>
      </c>
      <c r="AM678" s="3" t="n"/>
      <c r="AN678" s="3" t="n"/>
      <c r="AO678" s="3" t="n"/>
      <c r="AP678" s="3" t="n"/>
      <c r="AQ678" s="3" t="n"/>
      <c r="AR678" s="3" t="n"/>
      <c r="AS678" s="3" t="n"/>
      <c r="AT678" s="3" t="n"/>
      <c r="AU678" s="3" t="n"/>
    </row>
    <row r="679">
      <c r="A679" s="3" t="n">
        <v>2031</v>
      </c>
      <c r="B679" s="3" t="inlineStr">
        <is>
          <t>CRI</t>
        </is>
      </c>
      <c r="C679" s="3" t="inlineStr">
        <is>
          <t>IMF.RES:WEO</t>
        </is>
      </c>
      <c r="D679" s="3" t="inlineStr">
        <is>
          <t>CRI.NGDPPC.A</t>
        </is>
      </c>
      <c r="E679" s="3" t="inlineStr">
        <is>
          <t>Costa Rica</t>
        </is>
      </c>
      <c r="F679" s="3" t="inlineStr">
        <is>
          <t>Gross domestic product (GDP), Current prices, Per capita, Domestic currency</t>
        </is>
      </c>
      <c r="G679" s="3" t="n">
        <v>1214389.37249</v>
      </c>
      <c r="H679" s="3" t="n">
        <v>1329006.37503</v>
      </c>
      <c r="I679" s="3" t="n">
        <v>1483031.355914</v>
      </c>
      <c r="J679" s="3" t="n">
        <v>1684992.065153</v>
      </c>
      <c r="K679" s="3" t="n">
        <v>1963026.313983</v>
      </c>
      <c r="L679" s="3" t="n">
        <v>2271994.957355</v>
      </c>
      <c r="M679" s="3" t="n">
        <v>2714244.823608</v>
      </c>
      <c r="N679" s="3" t="n">
        <v>3199955.027083</v>
      </c>
      <c r="O679" s="3" t="n">
        <v>3680436.753109</v>
      </c>
      <c r="P679" s="3" t="n">
        <v>3943794.750765</v>
      </c>
      <c r="Q679" s="3" t="n">
        <v>4348350.66019</v>
      </c>
      <c r="R679" s="3" t="n">
        <v>4687846.084205</v>
      </c>
      <c r="S679" s="3" t="n">
        <v>5083072.758341</v>
      </c>
      <c r="T679" s="3" t="n">
        <v>5379816.093333</v>
      </c>
      <c r="U679" s="3" t="n">
        <v>5842596.560501</v>
      </c>
      <c r="V679" s="3" t="n">
        <v>6219817.692803</v>
      </c>
      <c r="W679" s="3" t="n">
        <v>6529710.526782</v>
      </c>
      <c r="X679" s="3" t="n">
        <v>6915180.148091</v>
      </c>
      <c r="Y679" s="3" t="n">
        <v>7187902.222702</v>
      </c>
      <c r="Z679" s="3" t="n">
        <v>7492925.326459</v>
      </c>
      <c r="AA679" s="3" t="n">
        <v>7163165.715982</v>
      </c>
      <c r="AB679" s="3" t="n">
        <v>7860288.916688</v>
      </c>
      <c r="AC679" s="3" t="n">
        <v>8786541.804758999</v>
      </c>
      <c r="AD679" s="3" t="n">
        <v>9020524.051223001</v>
      </c>
      <c r="AE679" s="3" t="n">
        <v>9355521.811853999</v>
      </c>
      <c r="AF679" s="3" t="n">
        <v>9648234.373338999</v>
      </c>
      <c r="AG679" s="3" t="n">
        <v>10013788.034526</v>
      </c>
      <c r="AH679" s="3" t="n">
        <v>10472612.73386</v>
      </c>
      <c r="AI679" s="3" t="n">
        <v>10982714.377001</v>
      </c>
      <c r="AJ679" s="3" t="n">
        <v>11545063.80656</v>
      </c>
      <c r="AK679" s="3" t="n">
        <v>12164966.572398</v>
      </c>
      <c r="AL679" s="3" t="n">
        <v>12854277.882432</v>
      </c>
      <c r="AM679" s="3" t="n"/>
      <c r="AN679" s="3" t="n"/>
      <c r="AO679" s="3" t="n"/>
      <c r="AP679" s="3" t="n"/>
      <c r="AQ679" s="3" t="n"/>
      <c r="AR679" s="3" t="n"/>
      <c r="AS679" s="3" t="n"/>
      <c r="AT679" s="3" t="n"/>
      <c r="AU679" s="3" t="n"/>
    </row>
    <row r="680">
      <c r="A680" s="3" t="n">
        <v>2031</v>
      </c>
      <c r="B680" s="3" t="inlineStr">
        <is>
          <t>CRI</t>
        </is>
      </c>
      <c r="C680" s="3" t="inlineStr">
        <is>
          <t>IMF.RES:WEO</t>
        </is>
      </c>
      <c r="D680" s="3" t="inlineStr">
        <is>
          <t>CRI.NGDPRPC.A</t>
        </is>
      </c>
      <c r="E680" s="3" t="inlineStr">
        <is>
          <t>Costa Rica</t>
        </is>
      </c>
      <c r="F680" s="3" t="inlineStr">
        <is>
          <t>Gross domestic product (GDP), Constant prices, Per capita, Domestic currency</t>
        </is>
      </c>
      <c r="G680" s="3" t="n">
        <v>5182300.606243</v>
      </c>
      <c r="H680" s="3" t="n">
        <v>5168948.445045</v>
      </c>
      <c r="I680" s="3" t="n">
        <v>5253817.753493</v>
      </c>
      <c r="J680" s="3" t="n">
        <v>5394833.380441</v>
      </c>
      <c r="K680" s="3" t="n">
        <v>5544768.647411</v>
      </c>
      <c r="L680" s="3" t="n">
        <v>5678518.179713</v>
      </c>
      <c r="M680" s="3" t="n">
        <v>6004246.847608</v>
      </c>
      <c r="N680" s="3" t="n">
        <v>6405088.690187</v>
      </c>
      <c r="O680" s="3" t="n">
        <v>6611541.362688</v>
      </c>
      <c r="P680" s="3" t="n">
        <v>6458114.861332</v>
      </c>
      <c r="Q680" s="3" t="n">
        <v>6677921.624765</v>
      </c>
      <c r="R680" s="3" t="n">
        <v>6883139.165578</v>
      </c>
      <c r="S680" s="3" t="n">
        <v>7126123.774459</v>
      </c>
      <c r="T680" s="3" t="n">
        <v>7211131.631106</v>
      </c>
      <c r="U680" s="3" t="n">
        <v>7373761.308279</v>
      </c>
      <c r="V680" s="3" t="n">
        <v>7551175.248143</v>
      </c>
      <c r="W680" s="3" t="n">
        <v>7775104.887726</v>
      </c>
      <c r="X680" s="3" t="n">
        <v>8005233.796458</v>
      </c>
      <c r="Y680" s="3" t="n">
        <v>8141973.963779</v>
      </c>
      <c r="Z680" s="3" t="n">
        <v>8275043.661824</v>
      </c>
      <c r="AA680" s="3" t="n">
        <v>7850293.512196</v>
      </c>
      <c r="AB680" s="3" t="n">
        <v>8410764.801044</v>
      </c>
      <c r="AC680" s="3" t="n">
        <v>8786541.804758999</v>
      </c>
      <c r="AD680" s="3" t="n">
        <v>9122428.558708001</v>
      </c>
      <c r="AE680" s="3" t="n">
        <v>9411089.275356</v>
      </c>
      <c r="AF680" s="3" t="n">
        <v>9757764.249042001</v>
      </c>
      <c r="AG680" s="3" t="n">
        <v>10020447.103501</v>
      </c>
      <c r="AH680" s="3" t="n">
        <v>10290821.792845</v>
      </c>
      <c r="AI680" s="3" t="n">
        <v>10567424.524884</v>
      </c>
      <c r="AJ680" s="3" t="n">
        <v>10846632.434164</v>
      </c>
      <c r="AK680" s="3" t="n">
        <v>11127839.607452</v>
      </c>
      <c r="AL680" s="3" t="n">
        <v>11416337.290009</v>
      </c>
      <c r="AM680" s="3" t="n"/>
      <c r="AN680" s="3" t="n"/>
      <c r="AO680" s="3" t="n"/>
      <c r="AP680" s="3" t="n"/>
      <c r="AQ680" s="3" t="n"/>
      <c r="AR680" s="3" t="n"/>
      <c r="AS680" s="3" t="n"/>
      <c r="AT680" s="3" t="n"/>
      <c r="AU680" s="3" t="n"/>
    </row>
    <row r="681">
      <c r="A681" s="3" t="n">
        <v>2031</v>
      </c>
      <c r="B681" s="3" t="inlineStr">
        <is>
          <t>CRI</t>
        </is>
      </c>
      <c r="C681" s="3" t="inlineStr">
        <is>
          <t>IMF.RES:WEO</t>
        </is>
      </c>
      <c r="D681" s="3" t="inlineStr">
        <is>
          <t>CRI.PCPI.A</t>
        </is>
      </c>
      <c r="E681" s="3" t="inlineStr">
        <is>
          <t>Costa Rica</t>
        </is>
      </c>
      <c r="F681" s="3" t="inlineStr">
        <is>
          <t>All Items, Consumer price index (CPI), Period average</t>
        </is>
      </c>
      <c r="G681" s="3" t="n">
        <v>28.584293</v>
      </c>
      <c r="H681" s="3" t="n">
        <v>31.801732</v>
      </c>
      <c r="I681" s="3" t="n">
        <v>34.716988</v>
      </c>
      <c r="J681" s="3" t="n">
        <v>37.996937</v>
      </c>
      <c r="K681" s="3" t="n">
        <v>42.676309</v>
      </c>
      <c r="L681" s="3" t="n">
        <v>48.564682</v>
      </c>
      <c r="M681" s="3" t="n">
        <v>54.135424</v>
      </c>
      <c r="N681" s="3" t="n">
        <v>59.200893</v>
      </c>
      <c r="O681" s="3" t="n">
        <v>67.148408</v>
      </c>
      <c r="P681" s="3" t="n">
        <v>72.414691</v>
      </c>
      <c r="Q681" s="3" t="n">
        <v>76.51528399999999</v>
      </c>
      <c r="R681" s="3" t="n">
        <v>80.24781400000001</v>
      </c>
      <c r="S681" s="3" t="n">
        <v>83.85539799999999</v>
      </c>
      <c r="T681" s="3" t="n">
        <v>88.242035</v>
      </c>
      <c r="U681" s="3" t="n">
        <v>92.22999799999999</v>
      </c>
      <c r="V681" s="3" t="n">
        <v>92.96955</v>
      </c>
      <c r="W681" s="3" t="n">
        <v>92.953307</v>
      </c>
      <c r="X681" s="3" t="n">
        <v>94.464471</v>
      </c>
      <c r="Y681" s="3" t="n">
        <v>96.562713</v>
      </c>
      <c r="Z681" s="3" t="n">
        <v>98.58685800000001</v>
      </c>
      <c r="AA681" s="3" t="n">
        <v>99.301457</v>
      </c>
      <c r="AB681" s="3" t="n">
        <v>101.01597</v>
      </c>
      <c r="AC681" s="3" t="n">
        <v>109.374665</v>
      </c>
      <c r="AD681" s="3" t="n">
        <v>109.949086</v>
      </c>
      <c r="AE681" s="3" t="n">
        <v>109.495793</v>
      </c>
      <c r="AF681" s="3" t="n">
        <v>109.414553</v>
      </c>
      <c r="AG681" s="3" t="n">
        <v>108.933145</v>
      </c>
      <c r="AH681" s="3" t="n">
        <v>111.163248</v>
      </c>
      <c r="AI681" s="3" t="n">
        <v>113.720002</v>
      </c>
      <c r="AJ681" s="3" t="n">
        <v>116.563002</v>
      </c>
      <c r="AK681" s="3" t="n">
        <v>120.059893</v>
      </c>
      <c r="AL681" s="3" t="n">
        <v>123.661689</v>
      </c>
      <c r="AM681" s="3" t="n"/>
      <c r="AN681" s="3" t="n"/>
      <c r="AO681" s="3" t="n"/>
      <c r="AP681" s="3" t="n"/>
      <c r="AQ681" s="3" t="n"/>
      <c r="AR681" s="3" t="n"/>
      <c r="AS681" s="3" t="n"/>
      <c r="AT681" s="3" t="n"/>
      <c r="AU681" s="3" t="n"/>
    </row>
    <row r="682">
      <c r="A682" s="3" t="n">
        <v>2031</v>
      </c>
      <c r="B682" s="3" t="inlineStr">
        <is>
          <t>CRI</t>
        </is>
      </c>
      <c r="C682" s="3" t="inlineStr">
        <is>
          <t>IMF.RES:WEO</t>
        </is>
      </c>
      <c r="D682" s="3" t="inlineStr">
        <is>
          <t>CRI.PCPIPCH.A</t>
        </is>
      </c>
      <c r="E682" s="3" t="inlineStr">
        <is>
          <t>Costa Rica</t>
        </is>
      </c>
      <c r="F682" s="3" t="inlineStr">
        <is>
          <t>All Items, Consumer price index (CPI), Period average, percent change</t>
        </is>
      </c>
      <c r="G682" s="3" t="n">
        <v>10.961226</v>
      </c>
      <c r="H682" s="3" t="n">
        <v>11.255966</v>
      </c>
      <c r="I682" s="3" t="n">
        <v>9.166971999999999</v>
      </c>
      <c r="J682" s="3" t="n">
        <v>9.447678</v>
      </c>
      <c r="K682" s="3" t="n">
        <v>12.315131</v>
      </c>
      <c r="L682" s="3" t="n">
        <v>13.797755</v>
      </c>
      <c r="M682" s="3" t="n">
        <v>11.470769</v>
      </c>
      <c r="N682" s="3" t="n">
        <v>9.357030999999999</v>
      </c>
      <c r="O682" s="3" t="n">
        <v>13.424655</v>
      </c>
      <c r="P682" s="3" t="n">
        <v>7.842751</v>
      </c>
      <c r="Q682" s="3" t="n">
        <v>5.662654</v>
      </c>
      <c r="R682" s="3" t="n">
        <v>4.87815</v>
      </c>
      <c r="S682" s="3" t="n">
        <v>4.495554</v>
      </c>
      <c r="T682" s="3" t="n">
        <v>5.231192</v>
      </c>
      <c r="U682" s="3" t="n">
        <v>4.519347</v>
      </c>
      <c r="V682" s="3" t="n">
        <v>0.801856</v>
      </c>
      <c r="W682" s="3" t="n">
        <v>-0.017472</v>
      </c>
      <c r="X682" s="3" t="n">
        <v>1.625724</v>
      </c>
      <c r="Y682" s="3" t="n">
        <v>2.221197</v>
      </c>
      <c r="Z682" s="3" t="n">
        <v>2.096198</v>
      </c>
      <c r="AA682" s="3" t="n">
        <v>0.724841</v>
      </c>
      <c r="AB682" s="3" t="n">
        <v>1.726574</v>
      </c>
      <c r="AC682" s="3" t="n">
        <v>8.274627000000001</v>
      </c>
      <c r="AD682" s="3" t="n">
        <v>0.525186</v>
      </c>
      <c r="AE682" s="3" t="n">
        <v>-0.412276</v>
      </c>
      <c r="AF682" s="3" t="n">
        <v>-0.074195</v>
      </c>
      <c r="AG682" s="3" t="n">
        <v>-0.439985</v>
      </c>
      <c r="AH682" s="3" t="n">
        <v>2.047222</v>
      </c>
      <c r="AI682" s="3" t="n">
        <v>2.3</v>
      </c>
      <c r="AJ682" s="3" t="n">
        <v>2.5</v>
      </c>
      <c r="AK682" s="3" t="n">
        <v>3</v>
      </c>
      <c r="AL682" s="3" t="n">
        <v>3</v>
      </c>
      <c r="AM682" s="3" t="n"/>
      <c r="AN682" s="3" t="n"/>
      <c r="AO682" s="3" t="n"/>
      <c r="AP682" s="3" t="n"/>
      <c r="AQ682" s="3" t="n"/>
      <c r="AR682" s="3" t="n"/>
      <c r="AS682" s="3" t="n"/>
      <c r="AT682" s="3" t="n"/>
      <c r="AU682" s="3" t="n"/>
    </row>
    <row r="683">
      <c r="A683" s="3" t="n">
        <v>2031</v>
      </c>
      <c r="B683" s="3" t="inlineStr">
        <is>
          <t>CRI</t>
        </is>
      </c>
      <c r="C683" s="3" t="inlineStr">
        <is>
          <t>IMF.RES:WEO</t>
        </is>
      </c>
      <c r="D683" s="3" t="inlineStr">
        <is>
          <t>CRI.PPPPC.A</t>
        </is>
      </c>
      <c r="E683" s="3" t="inlineStr">
        <is>
          <t>Costa Rica</t>
        </is>
      </c>
      <c r="F683" s="3" t="inlineStr">
        <is>
          <t>Gross domestic product (GDP), Per capita, purchasing power parity (PPP) international dollar, ICP benchmarks 2017-2021</t>
        </is>
      </c>
      <c r="G683" s="3" t="n">
        <v>9547.188405000001</v>
      </c>
      <c r="H683" s="3" t="n">
        <v>9737.002721000001</v>
      </c>
      <c r="I683" s="3" t="n">
        <v>10050.676198</v>
      </c>
      <c r="J683" s="3" t="n">
        <v>10524.190182</v>
      </c>
      <c r="K683" s="3" t="n">
        <v>11107.53023</v>
      </c>
      <c r="L683" s="3" t="n">
        <v>11732.17747</v>
      </c>
      <c r="M683" s="3" t="n">
        <v>12787.713803</v>
      </c>
      <c r="N683" s="3" t="n">
        <v>14011.000862</v>
      </c>
      <c r="O683" s="3" t="n">
        <v>14741.221255</v>
      </c>
      <c r="P683" s="3" t="n">
        <v>14487.944069</v>
      </c>
      <c r="Q683" s="3" t="n">
        <v>15163.127967</v>
      </c>
      <c r="R683" s="3" t="n">
        <v>15951.569462</v>
      </c>
      <c r="S683" s="3" t="n">
        <v>16822.174748</v>
      </c>
      <c r="T683" s="3" t="n">
        <v>17312.576937</v>
      </c>
      <c r="U683" s="3" t="n">
        <v>18011.356478</v>
      </c>
      <c r="V683" s="3" t="n">
        <v>18615.889502</v>
      </c>
      <c r="W683" s="3" t="n">
        <v>19350.080874</v>
      </c>
      <c r="X683" s="3" t="n">
        <v>20279.603435</v>
      </c>
      <c r="Y683" s="3" t="n">
        <v>21272.155829</v>
      </c>
      <c r="Z683" s="3" t="n">
        <v>23110.805156</v>
      </c>
      <c r="AA683" s="3" t="n">
        <v>21837.312733</v>
      </c>
      <c r="AB683" s="3" t="n">
        <v>23808.999515</v>
      </c>
      <c r="AC683" s="3" t="n">
        <v>26641.792693</v>
      </c>
      <c r="AD683" s="3" t="n">
        <v>28683.677569</v>
      </c>
      <c r="AE683" s="3" t="n">
        <v>30325.931901</v>
      </c>
      <c r="AF683" s="3" t="n">
        <v>32335.009746</v>
      </c>
      <c r="AG683" s="3" t="n">
        <v>34156.768429</v>
      </c>
      <c r="AH683" s="3" t="n">
        <v>35848.683755</v>
      </c>
      <c r="AI683" s="3" t="n">
        <v>37416.478371</v>
      </c>
      <c r="AJ683" s="3" t="n">
        <v>39087.964357</v>
      </c>
      <c r="AK683" s="3" t="n">
        <v>40838.222542</v>
      </c>
      <c r="AL683" s="3" t="n">
        <v>42653.351449</v>
      </c>
      <c r="AM683" s="3" t="n"/>
      <c r="AN683" s="3" t="n"/>
      <c r="AO683" s="3" t="n"/>
      <c r="AP683" s="3" t="n"/>
      <c r="AQ683" s="3" t="n"/>
      <c r="AR683" s="3" t="n"/>
      <c r="AS683" s="3" t="n"/>
      <c r="AT683" s="3" t="n"/>
      <c r="AU683" s="3" t="n"/>
    </row>
    <row r="684">
      <c r="A684" s="3" t="n">
        <v>2025</v>
      </c>
      <c r="B684" s="3" t="inlineStr">
        <is>
          <t>CRI</t>
        </is>
      </c>
      <c r="C684" s="3" t="inlineStr">
        <is>
          <t>IMF.STA:ER</t>
        </is>
      </c>
      <c r="D684" s="3" t="inlineStr">
        <is>
          <t>CRI.XDC_USD.PA_RT.A</t>
        </is>
      </c>
      <c r="E684" s="3" t="inlineStr">
        <is>
          <t>Costa Rica</t>
        </is>
      </c>
      <c r="F684" s="3" t="inlineStr">
        <is>
          <t>Domestic currency per US Dollar</t>
        </is>
      </c>
      <c r="G684" s="3" t="n">
        <v>308.186666666666</v>
      </c>
      <c r="H684" s="3" t="n">
        <v>328.870833333333</v>
      </c>
      <c r="I684" s="3" t="n">
        <v>359.81752688172</v>
      </c>
      <c r="J684" s="3" t="n">
        <v>398.662222222222</v>
      </c>
      <c r="K684" s="3" t="n">
        <v>437.935</v>
      </c>
      <c r="L684" s="3" t="n">
        <v>477.786741487455</v>
      </c>
      <c r="M684" s="3" t="n">
        <v>511.301817940348</v>
      </c>
      <c r="N684" s="3" t="n">
        <v>516.617390232975</v>
      </c>
      <c r="O684" s="3" t="n">
        <v>526.23551344086</v>
      </c>
      <c r="P684" s="3" t="n">
        <v>573.28795673323</v>
      </c>
      <c r="Q684" s="3" t="n">
        <v>525.829200716845</v>
      </c>
      <c r="R684" s="3" t="n">
        <v>505.664239919355</v>
      </c>
      <c r="S684" s="3" t="n">
        <v>502.901461981566</v>
      </c>
      <c r="T684" s="3" t="n">
        <v>499.766832565284</v>
      </c>
      <c r="U684" s="3" t="n">
        <v>538.3172002790581</v>
      </c>
      <c r="V684" s="3" t="n">
        <v>534.565769969278</v>
      </c>
      <c r="W684" s="3" t="n">
        <v>544.73936722902</v>
      </c>
      <c r="X684" s="3" t="n">
        <v>567.51309030978</v>
      </c>
      <c r="Y684" s="3" t="n">
        <v>576.97250124808</v>
      </c>
      <c r="Z684" s="3" t="n">
        <v>587.294595686123</v>
      </c>
      <c r="AA684" s="3" t="n">
        <v>584.900854962303</v>
      </c>
      <c r="AB684" s="3" t="n">
        <v>620.784720014081</v>
      </c>
      <c r="AC684" s="3" t="n">
        <v>647.135817631362</v>
      </c>
      <c r="AD684" s="3" t="n">
        <v>544.050775505632</v>
      </c>
      <c r="AE684" s="3" t="n">
        <v>515.109771921403</v>
      </c>
      <c r="AF684" s="3" t="n">
        <v>503.496832373272</v>
      </c>
      <c r="AG684" s="3" t="n"/>
      <c r="AH684" s="3" t="n"/>
      <c r="AI684" s="3" t="n"/>
      <c r="AJ684" s="3" t="n"/>
      <c r="AK684" s="3" t="n"/>
      <c r="AL684" s="3" t="n"/>
      <c r="AM684" s="3" t="n"/>
      <c r="AN684" s="3" t="n"/>
      <c r="AO684" s="3" t="n"/>
      <c r="AP684" s="3" t="n"/>
      <c r="AQ684" s="3" t="n"/>
      <c r="AR684" s="3" t="n"/>
      <c r="AS684" s="3" t="n"/>
      <c r="AT684" s="3" t="n"/>
      <c r="AU684" s="3" t="n"/>
    </row>
    <row r="685">
      <c r="A685" s="3" t="inlineStr">
        <is>
          <t>INDICATOR</t>
        </is>
      </c>
      <c r="B685" s="3" t="inlineStr">
        <is>
          <t>CSK</t>
        </is>
      </c>
      <c r="C685" s="3" t="inlineStr">
        <is>
          <t>IMF.STA:ER</t>
        </is>
      </c>
      <c r="D685" s="3" t="inlineStr">
        <is>
          <t>CSK.XDC_USD.PA_RT.A</t>
        </is>
      </c>
      <c r="E685" s="3" t="inlineStr">
        <is>
          <t>Czechoslovakia</t>
        </is>
      </c>
      <c r="F685" s="3" t="inlineStr">
        <is>
          <t>Domestic currency per US Dollar</t>
        </is>
      </c>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c r="AF685" s="3" t="n"/>
      <c r="AG685" s="3" t="n"/>
      <c r="AH685" s="3" t="n"/>
      <c r="AI685" s="3" t="n"/>
      <c r="AJ685" s="3" t="n"/>
      <c r="AK685" s="3" t="n"/>
      <c r="AL685" s="3" t="n"/>
      <c r="AM685" s="3" t="n"/>
      <c r="AN685" s="3" t="n"/>
      <c r="AO685" s="3" t="n"/>
      <c r="AP685" s="3" t="n"/>
      <c r="AQ685" s="3" t="n"/>
      <c r="AR685" s="3" t="n"/>
      <c r="AS685" s="3" t="n"/>
      <c r="AT685" s="3" t="n"/>
      <c r="AU685" s="3" t="n"/>
    </row>
    <row r="686">
      <c r="A686" s="3" t="n">
        <v>2025</v>
      </c>
      <c r="B686" s="3" t="inlineStr">
        <is>
          <t>CUW</t>
        </is>
      </c>
      <c r="C686" s="3" t="inlineStr">
        <is>
          <t>IMF.STA:ER</t>
        </is>
      </c>
      <c r="D686" s="3" t="inlineStr">
        <is>
          <t>CUW.XDC_USD.PA_RT.A</t>
        </is>
      </c>
      <c r="E686" s="3" t="inlineStr">
        <is>
          <t>Curaçao, Kingdom of the Netherlands</t>
        </is>
      </c>
      <c r="F686" s="3" t="inlineStr">
        <is>
          <t>Domestic currency per US Dollar</t>
        </is>
      </c>
      <c r="G686" s="3" t="n"/>
      <c r="H686" s="3" t="n"/>
      <c r="I686" s="3" t="n"/>
      <c r="J686" s="3" t="n"/>
      <c r="K686" s="3" t="n"/>
      <c r="L686" s="3" t="n"/>
      <c r="M686" s="3" t="n"/>
      <c r="N686" s="3" t="n"/>
      <c r="O686" s="3" t="n"/>
      <c r="P686" s="3" t="n"/>
      <c r="Q686" s="3" t="n"/>
      <c r="R686" s="3" t="n">
        <v>1.79</v>
      </c>
      <c r="S686" s="3" t="n">
        <v>1.79</v>
      </c>
      <c r="T686" s="3" t="n">
        <v>1.79</v>
      </c>
      <c r="U686" s="3" t="n">
        <v>1.79</v>
      </c>
      <c r="V686" s="3" t="n">
        <v>1.79</v>
      </c>
      <c r="W686" s="3" t="n">
        <v>1.79</v>
      </c>
      <c r="X686" s="3" t="n">
        <v>1.79</v>
      </c>
      <c r="Y686" s="3" t="n">
        <v>1.79</v>
      </c>
      <c r="Z686" s="3" t="n">
        <v>1.79</v>
      </c>
      <c r="AA686" s="3" t="n">
        <v>1.79</v>
      </c>
      <c r="AB686" s="3" t="n">
        <v>1.79</v>
      </c>
      <c r="AC686" s="3" t="n">
        <v>1.79</v>
      </c>
      <c r="AD686" s="3" t="n">
        <v>1.79</v>
      </c>
      <c r="AE686" s="3" t="n">
        <v>1.79</v>
      </c>
      <c r="AF686" s="3" t="n">
        <v>1.79</v>
      </c>
      <c r="AG686" s="3" t="n"/>
      <c r="AH686" s="3" t="n"/>
      <c r="AI686" s="3" t="n"/>
      <c r="AJ686" s="3" t="n"/>
      <c r="AK686" s="3" t="n"/>
      <c r="AL686" s="3" t="n"/>
      <c r="AM686" s="3" t="n"/>
      <c r="AN686" s="3" t="n"/>
      <c r="AO686" s="3" t="n"/>
      <c r="AP686" s="3" t="n"/>
      <c r="AQ686" s="3" t="n"/>
      <c r="AR686" s="3" t="n"/>
      <c r="AS686" s="3" t="n"/>
      <c r="AT686" s="3" t="n"/>
      <c r="AU686" s="3" t="n"/>
    </row>
    <row r="687">
      <c r="A687" s="3" t="n">
        <v>2025</v>
      </c>
      <c r="B687" s="3" t="inlineStr">
        <is>
          <t>CWX</t>
        </is>
      </c>
      <c r="C687" s="3" t="inlineStr">
        <is>
          <t>IMF.STA:ER</t>
        </is>
      </c>
      <c r="D687" s="3" t="inlineStr">
        <is>
          <t>CWX.XDC_USD.PA_RT.A</t>
        </is>
      </c>
      <c r="E687" s="3" t="inlineStr">
        <is>
          <t>Curaçao and Sint Maarten</t>
        </is>
      </c>
      <c r="F687" s="3" t="inlineStr">
        <is>
          <t>Domestic currency per US Dollar</t>
        </is>
      </c>
      <c r="G687" s="3" t="n"/>
      <c r="H687" s="3" t="n"/>
      <c r="I687" s="3" t="n"/>
      <c r="J687" s="3" t="n"/>
      <c r="K687" s="3" t="n"/>
      <c r="L687" s="3" t="n"/>
      <c r="M687" s="3" t="n"/>
      <c r="N687" s="3" t="n"/>
      <c r="O687" s="3" t="n"/>
      <c r="P687" s="3" t="n"/>
      <c r="Q687" s="3" t="n">
        <v>1.79</v>
      </c>
      <c r="R687" s="3" t="n">
        <v>1.79</v>
      </c>
      <c r="S687" s="3" t="n">
        <v>1.79</v>
      </c>
      <c r="T687" s="3" t="n">
        <v>1.79</v>
      </c>
      <c r="U687" s="3" t="n">
        <v>1.79</v>
      </c>
      <c r="V687" s="3" t="n">
        <v>1.79</v>
      </c>
      <c r="W687" s="3" t="n">
        <v>1.79</v>
      </c>
      <c r="X687" s="3" t="n">
        <v>1.79</v>
      </c>
      <c r="Y687" s="3" t="n">
        <v>1.79</v>
      </c>
      <c r="Z687" s="3" t="n">
        <v>1.79</v>
      </c>
      <c r="AA687" s="3" t="n">
        <v>1.79</v>
      </c>
      <c r="AB687" s="3" t="n">
        <v>1.79</v>
      </c>
      <c r="AC687" s="3" t="n">
        <v>1.79</v>
      </c>
      <c r="AD687" s="3" t="n">
        <v>1.79</v>
      </c>
      <c r="AE687" s="3" t="n">
        <v>1.79</v>
      </c>
      <c r="AF687" s="3" t="n">
        <v>1.79</v>
      </c>
      <c r="AG687" s="3" t="n"/>
      <c r="AH687" s="3" t="n"/>
      <c r="AI687" s="3" t="n"/>
      <c r="AJ687" s="3" t="n"/>
      <c r="AK687" s="3" t="n"/>
      <c r="AL687" s="3" t="n"/>
      <c r="AM687" s="3" t="n"/>
      <c r="AN687" s="3" t="n"/>
      <c r="AO687" s="3" t="n"/>
      <c r="AP687" s="3" t="n"/>
      <c r="AQ687" s="3" t="n"/>
      <c r="AR687" s="3" t="n"/>
      <c r="AS687" s="3" t="n"/>
      <c r="AT687" s="3" t="n"/>
      <c r="AU687" s="3" t="n"/>
    </row>
    <row r="688">
      <c r="A688" s="3" t="n">
        <v>2025</v>
      </c>
      <c r="B688" s="3" t="inlineStr">
        <is>
          <t>CYM</t>
        </is>
      </c>
      <c r="C688" s="3" t="inlineStr">
        <is>
          <t>IMF.STA:ER</t>
        </is>
      </c>
      <c r="D688" s="3" t="inlineStr">
        <is>
          <t>CYM.XDC_USD.PA_RT.A</t>
        </is>
      </c>
      <c r="E688" s="3" t="inlineStr">
        <is>
          <t>Cayman Islands</t>
        </is>
      </c>
      <c r="F688" s="3" t="inlineStr">
        <is>
          <t>Domestic currency per US Dollar</t>
        </is>
      </c>
      <c r="G688" s="3" t="n">
        <v>0.83333</v>
      </c>
      <c r="H688" s="3" t="n">
        <v>0.83333</v>
      </c>
      <c r="I688" s="3" t="n">
        <v>0.83333</v>
      </c>
      <c r="J688" s="3" t="n">
        <v>0.83333</v>
      </c>
      <c r="K688" s="3" t="n">
        <v>0.83333</v>
      </c>
      <c r="L688" s="3" t="n">
        <v>0.83333</v>
      </c>
      <c r="M688" s="3" t="n">
        <v>0.83333</v>
      </c>
      <c r="N688" s="3" t="n">
        <v>0.83333</v>
      </c>
      <c r="O688" s="3" t="n">
        <v>0.83333</v>
      </c>
      <c r="P688" s="3" t="n">
        <v>0.83333</v>
      </c>
      <c r="Q688" s="3" t="n">
        <v>0.83333</v>
      </c>
      <c r="R688" s="3" t="n">
        <v>0.83333</v>
      </c>
      <c r="S688" s="3" t="n">
        <v>0.83333</v>
      </c>
      <c r="T688" s="3" t="n">
        <v>0.83333</v>
      </c>
      <c r="U688" s="3" t="n">
        <v>0.83333</v>
      </c>
      <c r="V688" s="3" t="n">
        <v>0.83333</v>
      </c>
      <c r="W688" s="3" t="n">
        <v>0.83333</v>
      </c>
      <c r="X688" s="3" t="n">
        <v>0.83333</v>
      </c>
      <c r="Y688" s="3" t="n">
        <v>0.83333</v>
      </c>
      <c r="Z688" s="3" t="n">
        <v>0.83333</v>
      </c>
      <c r="AA688" s="3" t="n">
        <v>0.83333</v>
      </c>
      <c r="AB688" s="3" t="n">
        <v>0.83333</v>
      </c>
      <c r="AC688" s="3" t="n">
        <v>0.83333</v>
      </c>
      <c r="AD688" s="3" t="n">
        <v>0.83333</v>
      </c>
      <c r="AE688" s="3" t="n">
        <v>0.83333</v>
      </c>
      <c r="AF688" s="3" t="n">
        <v>0.83333</v>
      </c>
      <c r="AG688" s="3" t="n"/>
      <c r="AH688" s="3" t="n"/>
      <c r="AI688" s="3" t="n"/>
      <c r="AJ688" s="3" t="n"/>
      <c r="AK688" s="3" t="n"/>
      <c r="AL688" s="3" t="n"/>
      <c r="AM688" s="3" t="n"/>
      <c r="AN688" s="3" t="n"/>
      <c r="AO688" s="3" t="n"/>
      <c r="AP688" s="3" t="n"/>
      <c r="AQ688" s="3" t="n"/>
      <c r="AR688" s="3" t="n"/>
      <c r="AS688" s="3" t="n"/>
      <c r="AT688" s="3" t="n"/>
      <c r="AU688" s="3" t="n"/>
    </row>
    <row r="689">
      <c r="A689" s="3" t="n">
        <v>2031</v>
      </c>
      <c r="B689" s="3" t="inlineStr">
        <is>
          <t>CYP</t>
        </is>
      </c>
      <c r="C689" s="3" t="inlineStr">
        <is>
          <t>IMF.RES:WEO</t>
        </is>
      </c>
      <c r="D689" s="3" t="inlineStr">
        <is>
          <t>CYP.BCA.A</t>
        </is>
      </c>
      <c r="E689" s="3" t="inlineStr">
        <is>
          <t>Cyprus</t>
        </is>
      </c>
      <c r="F689" s="3" t="inlineStr">
        <is>
          <t>Current account balance (credit less debit), US dollar</t>
        </is>
      </c>
      <c r="G689" s="3" t="n">
        <v>-0.48933</v>
      </c>
      <c r="H689" s="3" t="n">
        <v>-0.315705</v>
      </c>
      <c r="I689" s="3" t="n">
        <v>-0.393385</v>
      </c>
      <c r="J689" s="3" t="n">
        <v>-0.297218</v>
      </c>
      <c r="K689" s="3" t="n">
        <v>-0.7879890000000001</v>
      </c>
      <c r="L689" s="3" t="n">
        <v>-0.994646</v>
      </c>
      <c r="M689" s="3" t="n">
        <v>-1.284027</v>
      </c>
      <c r="N689" s="3" t="n">
        <v>-2.564805</v>
      </c>
      <c r="O689" s="3" t="n">
        <v>-4.120787</v>
      </c>
      <c r="P689" s="3" t="n">
        <v>-1.740244</v>
      </c>
      <c r="Q689" s="3" t="n">
        <v>-2.742604</v>
      </c>
      <c r="R689" s="3" t="n">
        <v>-0.60931</v>
      </c>
      <c r="S689" s="3" t="n">
        <v>-0.937611</v>
      </c>
      <c r="T689" s="3" t="n">
        <v>-0.362763</v>
      </c>
      <c r="U689" s="3" t="n">
        <v>-0.9294559999999999</v>
      </c>
      <c r="V689" s="3" t="n">
        <v>-0.053611</v>
      </c>
      <c r="W689" s="3" t="n">
        <v>-0.831378</v>
      </c>
      <c r="X689" s="3" t="n">
        <v>-1.150596</v>
      </c>
      <c r="Y689" s="3" t="n">
        <v>-1.000023</v>
      </c>
      <c r="Z689" s="3" t="n">
        <v>-1.444354</v>
      </c>
      <c r="AA689" s="3" t="n">
        <v>-2.476265</v>
      </c>
      <c r="AB689" s="3" t="n">
        <v>-1.666894</v>
      </c>
      <c r="AC689" s="3" t="n">
        <v>-2.146383</v>
      </c>
      <c r="AD689" s="3" t="n">
        <v>-3.416866</v>
      </c>
      <c r="AE689" s="3" t="n">
        <v>-3.086615</v>
      </c>
      <c r="AF689" s="3" t="n">
        <v>-3.303304</v>
      </c>
      <c r="AG689" s="3" t="n">
        <v>-4.214564</v>
      </c>
      <c r="AH689" s="3" t="n">
        <v>-4.890176</v>
      </c>
      <c r="AI689" s="3" t="n">
        <v>-5.437776</v>
      </c>
      <c r="AJ689" s="3" t="n">
        <v>-5.762767</v>
      </c>
      <c r="AK689" s="3" t="n">
        <v>-5.915603</v>
      </c>
      <c r="AL689" s="3" t="n">
        <v>-6.104766</v>
      </c>
      <c r="AM689" s="3" t="n"/>
      <c r="AN689" s="3" t="n"/>
      <c r="AO689" s="3" t="n"/>
      <c r="AP689" s="3" t="n"/>
      <c r="AQ689" s="3" t="n"/>
      <c r="AR689" s="3" t="n"/>
      <c r="AS689" s="3" t="n"/>
      <c r="AT689" s="3" t="n"/>
      <c r="AU689" s="3" t="n"/>
    </row>
    <row r="690">
      <c r="A690" s="3" t="n">
        <v>2031</v>
      </c>
      <c r="B690" s="3" t="inlineStr">
        <is>
          <t>CYP</t>
        </is>
      </c>
      <c r="C690" s="3" t="inlineStr">
        <is>
          <t>IMF.RES:WEO</t>
        </is>
      </c>
      <c r="D690" s="3" t="inlineStr">
        <is>
          <t>CYP.BCA_NGDPD.A</t>
        </is>
      </c>
      <c r="E690" s="3" t="inlineStr">
        <is>
          <t>Cyprus</t>
        </is>
      </c>
      <c r="F690" s="3" t="inlineStr">
        <is>
          <t>Current account balance (credit less debit), Percent of GDP</t>
        </is>
      </c>
      <c r="G690" s="3" t="n">
        <v>-4.899227</v>
      </c>
      <c r="H690" s="3" t="n">
        <v>-3.036509</v>
      </c>
      <c r="I690" s="3" t="n">
        <v>-3.444236</v>
      </c>
      <c r="J690" s="3" t="n">
        <v>-2.042417</v>
      </c>
      <c r="K690" s="3" t="n">
        <v>-4.54759</v>
      </c>
      <c r="L690" s="3" t="n">
        <v>-5.315248</v>
      </c>
      <c r="M690" s="3" t="n">
        <v>-6.287478</v>
      </c>
      <c r="N690" s="3" t="n">
        <v>-10.650144</v>
      </c>
      <c r="O690" s="3" t="n">
        <v>-14.740649</v>
      </c>
      <c r="P690" s="3" t="n">
        <v>-6.688143</v>
      </c>
      <c r="Q690" s="3" t="n">
        <v>-10.621611</v>
      </c>
      <c r="R690" s="3" t="n">
        <v>-2.204713</v>
      </c>
      <c r="S690" s="3" t="n">
        <v>-3.740969</v>
      </c>
      <c r="T690" s="3" t="n">
        <v>-1.514029</v>
      </c>
      <c r="U690" s="3" t="n">
        <v>-4.000774</v>
      </c>
      <c r="V690" s="3" t="n">
        <v>-0.269251</v>
      </c>
      <c r="W690" s="3" t="n">
        <v>-3.951321</v>
      </c>
      <c r="X690" s="3" t="n">
        <v>-5.016018</v>
      </c>
      <c r="Y690" s="3" t="n">
        <v>-3.88122</v>
      </c>
      <c r="Z690" s="3" t="n">
        <v>-5.512861</v>
      </c>
      <c r="AA690" s="3" t="n">
        <v>-9.697518000000001</v>
      </c>
      <c r="AB690" s="3" t="n">
        <v>-5.484559</v>
      </c>
      <c r="AC690" s="3" t="n">
        <v>-6.870003</v>
      </c>
      <c r="AD690" s="3" t="n">
        <v>-9.738686</v>
      </c>
      <c r="AE690" s="3" t="n">
        <v>-8.204033000000001</v>
      </c>
      <c r="AF690" s="3" t="n">
        <v>-8.053025</v>
      </c>
      <c r="AG690" s="3" t="n">
        <v>-9.330261</v>
      </c>
      <c r="AH690" s="3" t="n">
        <v>-10.325678</v>
      </c>
      <c r="AI690" s="3" t="n">
        <v>-10.915663</v>
      </c>
      <c r="AJ690" s="3" t="n">
        <v>-10.981148</v>
      </c>
      <c r="AK690" s="3" t="n">
        <v>-10.712075</v>
      </c>
      <c r="AL690" s="3" t="n">
        <v>-10.50779</v>
      </c>
      <c r="AM690" s="3" t="n"/>
      <c r="AN690" s="3" t="n"/>
      <c r="AO690" s="3" t="n"/>
      <c r="AP690" s="3" t="n"/>
      <c r="AQ690" s="3" t="n"/>
      <c r="AR690" s="3" t="n"/>
      <c r="AS690" s="3" t="n"/>
      <c r="AT690" s="3" t="n"/>
      <c r="AU690" s="3" t="n"/>
    </row>
    <row r="691">
      <c r="A691" s="3" t="n">
        <v>2031</v>
      </c>
      <c r="B691" s="3" t="inlineStr">
        <is>
          <t>CYP</t>
        </is>
      </c>
      <c r="C691" s="3" t="inlineStr">
        <is>
          <t>IMF.RES:WEO</t>
        </is>
      </c>
      <c r="D691" s="3" t="inlineStr">
        <is>
          <t>CYP.GGR_NGDP.A</t>
        </is>
      </c>
      <c r="E691" s="3" t="inlineStr">
        <is>
          <t>Cyprus</t>
        </is>
      </c>
      <c r="F691" s="3" t="inlineStr">
        <is>
          <t>Revenue, General government, Percent of GDP</t>
        </is>
      </c>
      <c r="G691" s="3" t="n">
        <v>32.730533</v>
      </c>
      <c r="H691" s="3" t="n">
        <v>33.608072</v>
      </c>
      <c r="I691" s="3" t="n">
        <v>33.291235</v>
      </c>
      <c r="J691" s="3" t="n">
        <v>34.478759</v>
      </c>
      <c r="K691" s="3" t="n">
        <v>34.926099</v>
      </c>
      <c r="L691" s="3" t="n">
        <v>37.464496</v>
      </c>
      <c r="M691" s="3" t="n">
        <v>38.085625</v>
      </c>
      <c r="N691" s="3" t="n">
        <v>40.792051</v>
      </c>
      <c r="O691" s="3" t="n">
        <v>39.084142</v>
      </c>
      <c r="P691" s="3" t="n">
        <v>36.455444</v>
      </c>
      <c r="Q691" s="3" t="n">
        <v>37.011782</v>
      </c>
      <c r="R691" s="3" t="n">
        <v>36.424935</v>
      </c>
      <c r="S691" s="3" t="n">
        <v>36.342932</v>
      </c>
      <c r="T691" s="3" t="n">
        <v>36.938205</v>
      </c>
      <c r="U691" s="3" t="n">
        <v>43.263093</v>
      </c>
      <c r="V691" s="3" t="n">
        <v>42.246669</v>
      </c>
      <c r="W691" s="3" t="n">
        <v>40.082151</v>
      </c>
      <c r="X691" s="3" t="n">
        <v>40.563892</v>
      </c>
      <c r="Y691" s="3" t="n">
        <v>40.889957</v>
      </c>
      <c r="Z691" s="3" t="n">
        <v>41.284988</v>
      </c>
      <c r="AA691" s="3" t="n">
        <v>40.362921</v>
      </c>
      <c r="AB691" s="3" t="n">
        <v>41.134208</v>
      </c>
      <c r="AC691" s="3" t="n">
        <v>40.434331</v>
      </c>
      <c r="AD691" s="3" t="n">
        <v>42.348586</v>
      </c>
      <c r="AE691" s="3" t="n">
        <v>42.421506</v>
      </c>
      <c r="AF691" s="3" t="n">
        <v>43.391617</v>
      </c>
      <c r="AG691" s="3" t="n">
        <v>42.760569</v>
      </c>
      <c r="AH691" s="3" t="n">
        <v>41.709046</v>
      </c>
      <c r="AI691" s="3" t="n">
        <v>41.596086</v>
      </c>
      <c r="AJ691" s="3" t="n">
        <v>41.364516</v>
      </c>
      <c r="AK691" s="3" t="n">
        <v>41.173423</v>
      </c>
      <c r="AL691" s="3" t="n">
        <v>40.989373</v>
      </c>
      <c r="AM691" s="3" t="n"/>
      <c r="AN691" s="3" t="n"/>
      <c r="AO691" s="3" t="n"/>
      <c r="AP691" s="3" t="n"/>
      <c r="AQ691" s="3" t="n"/>
      <c r="AR691" s="3" t="n"/>
      <c r="AS691" s="3" t="n"/>
      <c r="AT691" s="3" t="n"/>
      <c r="AU691" s="3" t="n"/>
    </row>
    <row r="692">
      <c r="A692" s="3" t="n">
        <v>2031</v>
      </c>
      <c r="B692" s="3" t="inlineStr">
        <is>
          <t>CYP</t>
        </is>
      </c>
      <c r="C692" s="3" t="inlineStr">
        <is>
          <t>IMF.RES:WEO</t>
        </is>
      </c>
      <c r="D692" s="3" t="inlineStr">
        <is>
          <t>CYP.GGX_NGDP.A</t>
        </is>
      </c>
      <c r="E692" s="3" t="inlineStr">
        <is>
          <t>Cyprus</t>
        </is>
      </c>
      <c r="F692" s="3" t="inlineStr">
        <is>
          <t>Expenditure, General government, Percent of GDP</t>
        </is>
      </c>
      <c r="G692" s="3" t="n">
        <v>34.970269</v>
      </c>
      <c r="H692" s="3" t="n">
        <v>35.715474</v>
      </c>
      <c r="I692" s="3" t="n">
        <v>37.421908</v>
      </c>
      <c r="J692" s="3" t="n">
        <v>40.385978</v>
      </c>
      <c r="K692" s="3" t="n">
        <v>38.637741</v>
      </c>
      <c r="L692" s="3" t="n">
        <v>39.688847</v>
      </c>
      <c r="M692" s="3" t="n">
        <v>39.126875</v>
      </c>
      <c r="N692" s="3" t="n">
        <v>37.563887</v>
      </c>
      <c r="O692" s="3" t="n">
        <v>38.218259</v>
      </c>
      <c r="P692" s="3" t="n">
        <v>41.888795</v>
      </c>
      <c r="Q692" s="3" t="n">
        <v>41.695999</v>
      </c>
      <c r="R692" s="3" t="n">
        <v>42.075022</v>
      </c>
      <c r="S692" s="3" t="n">
        <v>41.893472</v>
      </c>
      <c r="T692" s="3" t="n">
        <v>42.097736</v>
      </c>
      <c r="U692" s="3" t="n">
        <v>52.059167</v>
      </c>
      <c r="V692" s="3" t="n">
        <v>43.012389</v>
      </c>
      <c r="W692" s="3" t="n">
        <v>39.630898</v>
      </c>
      <c r="X692" s="3" t="n">
        <v>38.435143</v>
      </c>
      <c r="Y692" s="3" t="n">
        <v>44.253432</v>
      </c>
      <c r="Z692" s="3" t="n">
        <v>40.253835</v>
      </c>
      <c r="AA692" s="3" t="n">
        <v>45.937696</v>
      </c>
      <c r="AB692" s="3" t="n">
        <v>42.72107</v>
      </c>
      <c r="AC692" s="3" t="n">
        <v>37.748941</v>
      </c>
      <c r="AD692" s="3" t="n">
        <v>40.641695</v>
      </c>
      <c r="AE692" s="3" t="n">
        <v>38.282892</v>
      </c>
      <c r="AF692" s="3" t="n">
        <v>40.405545</v>
      </c>
      <c r="AG692" s="3" t="n">
        <v>40.122745</v>
      </c>
      <c r="AH692" s="3" t="n">
        <v>39.208855</v>
      </c>
      <c r="AI692" s="3" t="n">
        <v>39.190358</v>
      </c>
      <c r="AJ692" s="3" t="n">
        <v>39.154077</v>
      </c>
      <c r="AK692" s="3" t="n">
        <v>39.362519</v>
      </c>
      <c r="AL692" s="3" t="n">
        <v>39.378089</v>
      </c>
      <c r="AM692" s="3" t="n"/>
      <c r="AN692" s="3" t="n"/>
      <c r="AO692" s="3" t="n"/>
      <c r="AP692" s="3" t="n"/>
      <c r="AQ692" s="3" t="n"/>
      <c r="AR692" s="3" t="n"/>
      <c r="AS692" s="3" t="n"/>
      <c r="AT692" s="3" t="n"/>
      <c r="AU692" s="3" t="n"/>
    </row>
    <row r="693">
      <c r="A693" s="3" t="n">
        <v>2027</v>
      </c>
      <c r="B693" s="3" t="inlineStr">
        <is>
          <t>CYP</t>
        </is>
      </c>
      <c r="C693" s="3" t="inlineStr">
        <is>
          <t>IMF.RES:WEO</t>
        </is>
      </c>
      <c r="D693" s="3" t="inlineStr">
        <is>
          <t>CYP.LE.A</t>
        </is>
      </c>
      <c r="E693" s="3" t="inlineStr">
        <is>
          <t>Cyprus</t>
        </is>
      </c>
      <c r="F693" s="3" t="inlineStr">
        <is>
          <t>Employed persons, Persons for countries / Index for country groups</t>
        </is>
      </c>
      <c r="G693" s="3" t="n">
        <v>0.309535</v>
      </c>
      <c r="H693" s="3" t="n">
        <v>0.318577</v>
      </c>
      <c r="I693" s="3" t="n">
        <v>0.32508</v>
      </c>
      <c r="J693" s="3" t="n">
        <v>0.336949</v>
      </c>
      <c r="K693" s="3" t="n">
        <v>0.340951</v>
      </c>
      <c r="L693" s="3" t="n">
        <v>0.348031</v>
      </c>
      <c r="M693" s="3" t="n">
        <v>0.357282</v>
      </c>
      <c r="N693" s="3" t="n">
        <v>0.377948</v>
      </c>
      <c r="O693" s="3" t="n">
        <v>0.382852</v>
      </c>
      <c r="P693" s="3" t="n">
        <v>0.382919</v>
      </c>
      <c r="Q693" s="3" t="n">
        <v>0.395223</v>
      </c>
      <c r="R693" s="3" t="n">
        <v>0.398214</v>
      </c>
      <c r="S693" s="3" t="n">
        <v>0.385227</v>
      </c>
      <c r="T693" s="3" t="n">
        <v>0.365078</v>
      </c>
      <c r="U693" s="3" t="n">
        <v>0.362742</v>
      </c>
      <c r="V693" s="3" t="n">
        <v>0.358202</v>
      </c>
      <c r="W693" s="3" t="n">
        <v>0.36306</v>
      </c>
      <c r="X693" s="3" t="n">
        <v>0.379622</v>
      </c>
      <c r="Y693" s="3" t="n">
        <v>0.400878</v>
      </c>
      <c r="Z693" s="3" t="n">
        <v>0.424649</v>
      </c>
      <c r="AA693" s="3" t="n">
        <v>0.429685</v>
      </c>
      <c r="AB693" s="3" t="n">
        <v>0.444778</v>
      </c>
      <c r="AC693" s="3" t="n">
        <v>0.466878</v>
      </c>
      <c r="AD693" s="3" t="n">
        <v>0.479924</v>
      </c>
      <c r="AE693" s="3" t="n">
        <v>0.486977</v>
      </c>
      <c r="AF693" s="3" t="n">
        <v>0.504644</v>
      </c>
      <c r="AG693" s="3" t="n">
        <v>0.508176</v>
      </c>
      <c r="AH693" s="3" t="n">
        <v>0.5122409999999999</v>
      </c>
      <c r="AI693" s="3" t="n"/>
      <c r="AJ693" s="3" t="n"/>
      <c r="AK693" s="3" t="n"/>
      <c r="AL693" s="3" t="n"/>
      <c r="AM693" s="3" t="n"/>
      <c r="AN693" s="3" t="n"/>
      <c r="AO693" s="3" t="n"/>
      <c r="AP693" s="3" t="n"/>
      <c r="AQ693" s="3" t="n"/>
      <c r="AR693" s="3" t="n"/>
      <c r="AS693" s="3" t="n"/>
      <c r="AT693" s="3" t="n"/>
      <c r="AU693" s="3" t="n"/>
    </row>
    <row r="694">
      <c r="A694" s="3" t="n">
        <v>2031</v>
      </c>
      <c r="B694" s="3" t="inlineStr">
        <is>
          <t>CYP</t>
        </is>
      </c>
      <c r="C694" s="3" t="inlineStr">
        <is>
          <t>IMF.RES:WEO</t>
        </is>
      </c>
      <c r="D694" s="3" t="inlineStr">
        <is>
          <t>CYP.LP.A</t>
        </is>
      </c>
      <c r="E694" s="3" t="inlineStr">
        <is>
          <t>Cyprus</t>
        </is>
      </c>
      <c r="F694" s="3" t="inlineStr">
        <is>
          <t>Population, Persons for countries / Index for country groups</t>
        </is>
      </c>
      <c r="G694" s="3" t="n">
        <v>0.690497</v>
      </c>
      <c r="H694" s="3" t="n">
        <v>0.697549</v>
      </c>
      <c r="I694" s="3" t="n">
        <v>0.705539</v>
      </c>
      <c r="J694" s="3" t="n">
        <v>0.71372</v>
      </c>
      <c r="K694" s="3" t="n">
        <v>0.722893</v>
      </c>
      <c r="L694" s="3" t="n">
        <v>0.733067</v>
      </c>
      <c r="M694" s="3" t="n">
        <v>0.744013</v>
      </c>
      <c r="N694" s="3" t="n">
        <v>0.757916</v>
      </c>
      <c r="O694" s="3" t="n">
        <v>0.7763330000000001</v>
      </c>
      <c r="P694" s="3" t="n">
        <v>0.79693</v>
      </c>
      <c r="Q694" s="3" t="n">
        <v>0.81914</v>
      </c>
      <c r="R694" s="3" t="n">
        <v>0.839751</v>
      </c>
      <c r="S694" s="3" t="n">
        <v>0.862011</v>
      </c>
      <c r="T694" s="3" t="n">
        <v>0.862854</v>
      </c>
      <c r="U694" s="3" t="n">
        <v>0.860032</v>
      </c>
      <c r="V694" s="3" t="n">
        <v>0.860846</v>
      </c>
      <c r="W694" s="3" t="n">
        <v>0.863764</v>
      </c>
      <c r="X694" s="3" t="n">
        <v>0.869878</v>
      </c>
      <c r="Y694" s="3" t="n">
        <v>0.878601</v>
      </c>
      <c r="Z694" s="3" t="n">
        <v>0.890194</v>
      </c>
      <c r="AA694" s="3" t="n">
        <v>0.902429</v>
      </c>
      <c r="AB694" s="3" t="n">
        <v>0.914476</v>
      </c>
      <c r="AC694" s="3" t="n">
        <v>0.929764</v>
      </c>
      <c r="AD694" s="3" t="n">
        <v>0.949084</v>
      </c>
      <c r="AE694" s="3" t="n">
        <v>0.966365</v>
      </c>
      <c r="AF694" s="3" t="n">
        <v>0.982966</v>
      </c>
      <c r="AG694" s="3" t="n">
        <v>0.994762</v>
      </c>
      <c r="AH694" s="3" t="n">
        <v>1.005704</v>
      </c>
      <c r="AI694" s="3" t="n">
        <v>1.008531</v>
      </c>
      <c r="AJ694" s="3" t="n">
        <v>1.011236</v>
      </c>
      <c r="AK694" s="3" t="n">
        <v>1.01374</v>
      </c>
      <c r="AL694" s="3" t="n">
        <v>1.016041</v>
      </c>
      <c r="AM694" s="3" t="n"/>
      <c r="AN694" s="3" t="n"/>
      <c r="AO694" s="3" t="n"/>
      <c r="AP694" s="3" t="n"/>
      <c r="AQ694" s="3" t="n"/>
      <c r="AR694" s="3" t="n"/>
      <c r="AS694" s="3" t="n"/>
      <c r="AT694" s="3" t="n"/>
      <c r="AU694" s="3" t="n"/>
    </row>
    <row r="695">
      <c r="A695" s="3" t="n">
        <v>2031</v>
      </c>
      <c r="B695" s="3" t="inlineStr">
        <is>
          <t>CYP</t>
        </is>
      </c>
      <c r="C695" s="3" t="inlineStr">
        <is>
          <t>IMF.RES:WEO</t>
        </is>
      </c>
      <c r="D695" s="3" t="inlineStr">
        <is>
          <t>CYP.NGDP.A</t>
        </is>
      </c>
      <c r="E695" s="3" t="inlineStr">
        <is>
          <t>Cyprus</t>
        </is>
      </c>
      <c r="F695" s="3" t="inlineStr">
        <is>
          <t>Gross domestic product (GDP), Current prices, Domestic currency</t>
        </is>
      </c>
      <c r="G695" s="3" t="n">
        <v>10.595</v>
      </c>
      <c r="H695" s="3" t="n">
        <v>11.4169</v>
      </c>
      <c r="I695" s="3" t="n">
        <v>11.877</v>
      </c>
      <c r="J695" s="3" t="n">
        <v>12.8453</v>
      </c>
      <c r="K695" s="3" t="n">
        <v>13.8564</v>
      </c>
      <c r="L695" s="3" t="n">
        <v>14.8223</v>
      </c>
      <c r="M695" s="3" t="n">
        <v>16</v>
      </c>
      <c r="N695" s="3" t="n">
        <v>17.5115</v>
      </c>
      <c r="O695" s="3" t="n">
        <v>19.0095</v>
      </c>
      <c r="P695" s="3" t="n">
        <v>18.6754</v>
      </c>
      <c r="Q695" s="3" t="n">
        <v>19.4611</v>
      </c>
      <c r="R695" s="3" t="n">
        <v>19.8581</v>
      </c>
      <c r="S695" s="3" t="n">
        <v>19.4954</v>
      </c>
      <c r="T695" s="3" t="n">
        <v>18.0404</v>
      </c>
      <c r="U695" s="3" t="n">
        <v>17.4828</v>
      </c>
      <c r="V695" s="3" t="n">
        <v>17.9439</v>
      </c>
      <c r="W695" s="3" t="n">
        <v>19.0137</v>
      </c>
      <c r="X695" s="3" t="n">
        <v>20.3124</v>
      </c>
      <c r="Y695" s="3" t="n">
        <v>21.8078</v>
      </c>
      <c r="Z695" s="3" t="n">
        <v>23.401</v>
      </c>
      <c r="AA695" s="3" t="n">
        <v>22.374</v>
      </c>
      <c r="AB695" s="3" t="n">
        <v>25.6796</v>
      </c>
      <c r="AC695" s="3" t="n">
        <v>29.6456</v>
      </c>
      <c r="AD695" s="3" t="n">
        <v>32.4391</v>
      </c>
      <c r="AE695" s="3" t="n">
        <v>34.7701</v>
      </c>
      <c r="AF695" s="3" t="n">
        <v>36.3215</v>
      </c>
      <c r="AG695" s="3" t="n">
        <v>38.317831</v>
      </c>
      <c r="AH695" s="3" t="n">
        <v>40.231308</v>
      </c>
      <c r="AI695" s="3" t="n">
        <v>42.432734</v>
      </c>
      <c r="AJ695" s="3" t="n">
        <v>44.727393</v>
      </c>
      <c r="AK695" s="3" t="n">
        <v>47.094491</v>
      </c>
      <c r="AL695" s="3" t="n">
        <v>49.574735</v>
      </c>
      <c r="AM695" s="3" t="n"/>
      <c r="AN695" s="3" t="n"/>
      <c r="AO695" s="3" t="n"/>
      <c r="AP695" s="3" t="n"/>
      <c r="AQ695" s="3" t="n"/>
      <c r="AR695" s="3" t="n"/>
      <c r="AS695" s="3" t="n"/>
      <c r="AT695" s="3" t="n"/>
      <c r="AU695" s="3" t="n"/>
    </row>
    <row r="696">
      <c r="A696" s="3" t="n">
        <v>2031</v>
      </c>
      <c r="B696" s="3" t="inlineStr">
        <is>
          <t>CYP</t>
        </is>
      </c>
      <c r="C696" s="3" t="inlineStr">
        <is>
          <t>IMF.RES:WEO</t>
        </is>
      </c>
      <c r="D696" s="3" t="inlineStr">
        <is>
          <t>CYP.NGDP_D.A</t>
        </is>
      </c>
      <c r="E696" s="3" t="inlineStr">
        <is>
          <t>Cyprus</t>
        </is>
      </c>
      <c r="F696" s="3" t="inlineStr">
        <is>
          <t>Gross domestic product (GDP), Price deflator, Index</t>
        </is>
      </c>
      <c r="G696" s="3" t="n">
        <v>74.47997599999999</v>
      </c>
      <c r="H696" s="3" t="n">
        <v>77.20590199999999</v>
      </c>
      <c r="I696" s="3" t="n">
        <v>77.434119</v>
      </c>
      <c r="J696" s="3" t="n">
        <v>81.606165</v>
      </c>
      <c r="K696" s="3" t="n">
        <v>83.817151</v>
      </c>
      <c r="L696" s="3" t="n">
        <v>85.508994</v>
      </c>
      <c r="M696" s="3" t="n">
        <v>88.148928</v>
      </c>
      <c r="N696" s="3" t="n">
        <v>91.796189</v>
      </c>
      <c r="O696" s="3" t="n">
        <v>96.142078</v>
      </c>
      <c r="P696" s="3" t="n">
        <v>96.395132</v>
      </c>
      <c r="Q696" s="3" t="n">
        <v>98.208527</v>
      </c>
      <c r="R696" s="3" t="n">
        <v>99.79546499999999</v>
      </c>
      <c r="S696" s="3" t="n">
        <v>101.472479</v>
      </c>
      <c r="T696" s="3" t="n">
        <v>100.519301</v>
      </c>
      <c r="U696" s="3" t="n">
        <v>99.174623</v>
      </c>
      <c r="V696" s="3" t="n">
        <v>98.42628999999999</v>
      </c>
      <c r="W696" s="3" t="n">
        <v>97.859955</v>
      </c>
      <c r="X696" s="3" t="n">
        <v>98.860152</v>
      </c>
      <c r="Y696" s="3" t="n">
        <v>99.873142</v>
      </c>
      <c r="Z696" s="3" t="n">
        <v>101.221527</v>
      </c>
      <c r="AA696" s="3" t="n">
        <v>100</v>
      </c>
      <c r="AB696" s="3" t="n">
        <v>103.03327</v>
      </c>
      <c r="AC696" s="3" t="n">
        <v>109.854666</v>
      </c>
      <c r="AD696" s="3" t="n">
        <v>116.008468</v>
      </c>
      <c r="AE696" s="3" t="n">
        <v>119.63041</v>
      </c>
      <c r="AF696" s="3" t="n">
        <v>120.431773</v>
      </c>
      <c r="AG696" s="3" t="n">
        <v>123.406394</v>
      </c>
      <c r="AH696" s="3" t="n">
        <v>125.813367</v>
      </c>
      <c r="AI696" s="3" t="n">
        <v>128.820321</v>
      </c>
      <c r="AJ696" s="3" t="n">
        <v>131.830697</v>
      </c>
      <c r="AK696" s="3" t="n">
        <v>134.77471</v>
      </c>
      <c r="AL696" s="3" t="n">
        <v>137.740054</v>
      </c>
      <c r="AM696" s="3" t="n"/>
      <c r="AN696" s="3" t="n"/>
      <c r="AO696" s="3" t="n"/>
      <c r="AP696" s="3" t="n"/>
      <c r="AQ696" s="3" t="n"/>
      <c r="AR696" s="3" t="n"/>
      <c r="AS696" s="3" t="n"/>
      <c r="AT696" s="3" t="n"/>
      <c r="AU696" s="3" t="n"/>
    </row>
    <row r="697">
      <c r="A697" s="3" t="n">
        <v>2031</v>
      </c>
      <c r="B697" s="3" t="inlineStr">
        <is>
          <t>CYP</t>
        </is>
      </c>
      <c r="C697" s="3" t="inlineStr">
        <is>
          <t>IMF.RES:WEO</t>
        </is>
      </c>
      <c r="D697" s="3" t="inlineStr">
        <is>
          <t>CYP.NGDP_R.A</t>
        </is>
      </c>
      <c r="E697" s="3" t="inlineStr">
        <is>
          <t>Cyprus</t>
        </is>
      </c>
      <c r="F697" s="3" t="inlineStr">
        <is>
          <t>Gross domestic product (GDP), Constant prices, Domestic currency</t>
        </is>
      </c>
      <c r="G697" s="3" t="n">
        <v>14.2253</v>
      </c>
      <c r="H697" s="3" t="n">
        <v>14.7876</v>
      </c>
      <c r="I697" s="3" t="n">
        <v>15.3382</v>
      </c>
      <c r="J697" s="3" t="n">
        <v>15.7406</v>
      </c>
      <c r="K697" s="3" t="n">
        <v>16.5317</v>
      </c>
      <c r="L697" s="3" t="n">
        <v>17.3342</v>
      </c>
      <c r="M697" s="3" t="n">
        <v>18.1511</v>
      </c>
      <c r="N697" s="3" t="n">
        <v>19.0765</v>
      </c>
      <c r="O697" s="3" t="n">
        <v>19.7723</v>
      </c>
      <c r="P697" s="3" t="n">
        <v>19.3738</v>
      </c>
      <c r="Q697" s="3" t="n">
        <v>19.8161</v>
      </c>
      <c r="R697" s="3" t="n">
        <v>19.8988</v>
      </c>
      <c r="S697" s="3" t="n">
        <v>19.2125</v>
      </c>
      <c r="T697" s="3" t="n">
        <v>17.9472</v>
      </c>
      <c r="U697" s="3" t="n">
        <v>17.6283</v>
      </c>
      <c r="V697" s="3" t="n">
        <v>18.2308</v>
      </c>
      <c r="W697" s="3" t="n">
        <v>19.4295</v>
      </c>
      <c r="X697" s="3" t="n">
        <v>20.5466</v>
      </c>
      <c r="Y697" s="3" t="n">
        <v>21.8355</v>
      </c>
      <c r="Z697" s="3" t="n">
        <v>23.1186</v>
      </c>
      <c r="AA697" s="3" t="n">
        <v>22.374</v>
      </c>
      <c r="AB697" s="3" t="n">
        <v>24.9236</v>
      </c>
      <c r="AC697" s="3" t="n">
        <v>26.9862</v>
      </c>
      <c r="AD697" s="3" t="n">
        <v>27.9627</v>
      </c>
      <c r="AE697" s="3" t="n">
        <v>29.0646</v>
      </c>
      <c r="AF697" s="3" t="n">
        <v>30.1594</v>
      </c>
      <c r="AG697" s="3" t="n">
        <v>31.050118</v>
      </c>
      <c r="AH697" s="3" t="n">
        <v>31.976974</v>
      </c>
      <c r="AI697" s="3" t="n">
        <v>32.939472</v>
      </c>
      <c r="AJ697" s="3" t="n">
        <v>33.927905</v>
      </c>
      <c r="AK697" s="3" t="n">
        <v>34.943121</v>
      </c>
      <c r="AL697" s="3" t="n">
        <v>35.991517</v>
      </c>
      <c r="AM697" s="3" t="n"/>
      <c r="AN697" s="3" t="n"/>
      <c r="AO697" s="3" t="n"/>
      <c r="AP697" s="3" t="n"/>
      <c r="AQ697" s="3" t="n"/>
      <c r="AR697" s="3" t="n"/>
      <c r="AS697" s="3" t="n"/>
      <c r="AT697" s="3" t="n"/>
      <c r="AU697" s="3" t="n"/>
    </row>
    <row r="698">
      <c r="A698" s="3" t="n">
        <v>2031</v>
      </c>
      <c r="B698" s="3" t="inlineStr">
        <is>
          <t>CYP</t>
        </is>
      </c>
      <c r="C698" s="3" t="inlineStr">
        <is>
          <t>IMF.RES:WEO</t>
        </is>
      </c>
      <c r="D698" s="3" t="inlineStr">
        <is>
          <t>CYP.NGDP_RPCH.A</t>
        </is>
      </c>
      <c r="E698" s="3" t="inlineStr">
        <is>
          <t>Cyprus</t>
        </is>
      </c>
      <c r="F698" s="3" t="inlineStr">
        <is>
          <t>Gross domestic product (GDP), Constant prices, Percent change</t>
        </is>
      </c>
      <c r="G698" s="3" t="n">
        <v>5.963634</v>
      </c>
      <c r="H698" s="3" t="n">
        <v>3.952816</v>
      </c>
      <c r="I698" s="3" t="n">
        <v>3.72339</v>
      </c>
      <c r="J698" s="3" t="n">
        <v>2.623515</v>
      </c>
      <c r="K698" s="3" t="n">
        <v>5.025857</v>
      </c>
      <c r="L698" s="3" t="n">
        <v>4.85431</v>
      </c>
      <c r="M698" s="3" t="n">
        <v>4.712649</v>
      </c>
      <c r="N698" s="3" t="n">
        <v>5.098314</v>
      </c>
      <c r="O698" s="3" t="n">
        <v>3.64742</v>
      </c>
      <c r="P698" s="3" t="n">
        <v>-2.015446</v>
      </c>
      <c r="Q698" s="3" t="n">
        <v>2.28298</v>
      </c>
      <c r="R698" s="3" t="n">
        <v>0.417337</v>
      </c>
      <c r="S698" s="3" t="n">
        <v>-3.448952</v>
      </c>
      <c r="T698" s="3" t="n">
        <v>-6.585817</v>
      </c>
      <c r="U698" s="3" t="n">
        <v>-1.776879</v>
      </c>
      <c r="V698" s="3" t="n">
        <v>3.4178</v>
      </c>
      <c r="W698" s="3" t="n">
        <v>6.575137</v>
      </c>
      <c r="X698" s="3" t="n">
        <v>5.749505</v>
      </c>
      <c r="Y698" s="3" t="n">
        <v>6.273057</v>
      </c>
      <c r="Z698" s="3" t="n">
        <v>5.876211</v>
      </c>
      <c r="AA698" s="3" t="n">
        <v>-3.220783</v>
      </c>
      <c r="AB698" s="3" t="n">
        <v>11.39537</v>
      </c>
      <c r="AC698" s="3" t="n">
        <v>8.275691</v>
      </c>
      <c r="AD698" s="3" t="n">
        <v>3.618516</v>
      </c>
      <c r="AE698" s="3" t="n">
        <v>3.940607</v>
      </c>
      <c r="AF698" s="3" t="n">
        <v>3.766782</v>
      </c>
      <c r="AG698" s="3" t="n">
        <v>2.953367</v>
      </c>
      <c r="AH698" s="3" t="n">
        <v>2.985034</v>
      </c>
      <c r="AI698" s="3" t="n">
        <v>3.009971</v>
      </c>
      <c r="AJ698" s="3" t="n">
        <v>3.000754</v>
      </c>
      <c r="AK698" s="3" t="n">
        <v>2.992277</v>
      </c>
      <c r="AL698" s="3" t="n">
        <v>3.000293</v>
      </c>
      <c r="AM698" s="3" t="n"/>
      <c r="AN698" s="3" t="n"/>
      <c r="AO698" s="3" t="n"/>
      <c r="AP698" s="3" t="n"/>
      <c r="AQ698" s="3" t="n"/>
      <c r="AR698" s="3" t="n"/>
      <c r="AS698" s="3" t="n"/>
      <c r="AT698" s="3" t="n"/>
      <c r="AU698" s="3" t="n"/>
    </row>
    <row r="699">
      <c r="A699" s="3" t="n">
        <v>2031</v>
      </c>
      <c r="B699" s="3" t="inlineStr">
        <is>
          <t>CYP</t>
        </is>
      </c>
      <c r="C699" s="3" t="inlineStr">
        <is>
          <t>IMF.RES:WEO</t>
        </is>
      </c>
      <c r="D699" s="3" t="inlineStr">
        <is>
          <t>CYP.NGDPD.A</t>
        </is>
      </c>
      <c r="E699" s="3" t="inlineStr">
        <is>
          <t>Cyprus</t>
        </is>
      </c>
      <c r="F699" s="3" t="inlineStr">
        <is>
          <t>Gross domestic product (GDP), Current prices, US dollar</t>
        </is>
      </c>
      <c r="G699" s="3" t="n">
        <v>9.987912</v>
      </c>
      <c r="H699" s="3" t="n">
        <v>10.396985</v>
      </c>
      <c r="I699" s="3" t="n">
        <v>11.421544</v>
      </c>
      <c r="J699" s="3" t="n">
        <v>14.552277</v>
      </c>
      <c r="K699" s="3" t="n">
        <v>17.327613</v>
      </c>
      <c r="L699" s="3" t="n">
        <v>18.71306</v>
      </c>
      <c r="M699" s="3" t="n">
        <v>20.421964</v>
      </c>
      <c r="N699" s="3" t="n">
        <v>24.082346</v>
      </c>
      <c r="O699" s="3" t="n">
        <v>27.955263</v>
      </c>
      <c r="P699" s="3" t="n">
        <v>26.019836</v>
      </c>
      <c r="Q699" s="3" t="n">
        <v>25.820976</v>
      </c>
      <c r="R699" s="3" t="n">
        <v>27.636722</v>
      </c>
      <c r="S699" s="3" t="n">
        <v>25.06333</v>
      </c>
      <c r="T699" s="3" t="n">
        <v>23.96013</v>
      </c>
      <c r="U699" s="3" t="n">
        <v>23.231899</v>
      </c>
      <c r="V699" s="3" t="n">
        <v>19.911004</v>
      </c>
      <c r="W699" s="3" t="n">
        <v>21.040516</v>
      </c>
      <c r="X699" s="3" t="n">
        <v>22.938438</v>
      </c>
      <c r="Y699" s="3" t="n">
        <v>25.765699</v>
      </c>
      <c r="Z699" s="3" t="n">
        <v>26.199714</v>
      </c>
      <c r="AA699" s="3" t="n">
        <v>25.53504</v>
      </c>
      <c r="AB699" s="3" t="n">
        <v>30.39249</v>
      </c>
      <c r="AC699" s="3" t="n">
        <v>31.242818</v>
      </c>
      <c r="AD699" s="3" t="n">
        <v>35.085498</v>
      </c>
      <c r="AE699" s="3" t="n">
        <v>37.623146</v>
      </c>
      <c r="AF699" s="3" t="n">
        <v>41.019413</v>
      </c>
      <c r="AG699" s="3" t="n">
        <v>45.170917</v>
      </c>
      <c r="AH699" s="3" t="n">
        <v>47.35937</v>
      </c>
      <c r="AI699" s="3" t="n">
        <v>49.816269</v>
      </c>
      <c r="AJ699" s="3" t="n">
        <v>52.478731</v>
      </c>
      <c r="AK699" s="3" t="n">
        <v>55.223688</v>
      </c>
      <c r="AL699" s="3" t="n">
        <v>58.097521</v>
      </c>
      <c r="AM699" s="3" t="n"/>
      <c r="AN699" s="3" t="n"/>
      <c r="AO699" s="3" t="n"/>
      <c r="AP699" s="3" t="n"/>
      <c r="AQ699" s="3" t="n"/>
      <c r="AR699" s="3" t="n"/>
      <c r="AS699" s="3" t="n"/>
      <c r="AT699" s="3" t="n"/>
      <c r="AU699" s="3" t="n"/>
    </row>
    <row r="700">
      <c r="A700" s="3" t="n">
        <v>2031</v>
      </c>
      <c r="B700" s="3" t="inlineStr">
        <is>
          <t>CYP</t>
        </is>
      </c>
      <c r="C700" s="3" t="inlineStr">
        <is>
          <t>IMF.RES:WEO</t>
        </is>
      </c>
      <c r="D700" s="3" t="inlineStr">
        <is>
          <t>CYP.NGDPPC.A</t>
        </is>
      </c>
      <c r="E700" s="3" t="inlineStr">
        <is>
          <t>Cyprus</t>
        </is>
      </c>
      <c r="F700" s="3" t="inlineStr">
        <is>
          <t>Gross domestic product (GDP), Current prices, Per capita, Domestic currency</t>
        </is>
      </c>
      <c r="G700" s="3" t="n">
        <v>15344.020322</v>
      </c>
      <c r="H700" s="3" t="n">
        <v>16367.165604</v>
      </c>
      <c r="I700" s="3" t="n">
        <v>16833.938308</v>
      </c>
      <c r="J700" s="3" t="n">
        <v>17997.674158</v>
      </c>
      <c r="K700" s="3" t="n">
        <v>19167.981984</v>
      </c>
      <c r="L700" s="3" t="n">
        <v>20219.570653</v>
      </c>
      <c r="M700" s="3" t="n">
        <v>21505.000585</v>
      </c>
      <c r="N700" s="3" t="n">
        <v>23104.803171</v>
      </c>
      <c r="O700" s="3" t="n">
        <v>24486.270711</v>
      </c>
      <c r="P700" s="3" t="n">
        <v>23434.178661</v>
      </c>
      <c r="Q700" s="3" t="n">
        <v>23757.965671</v>
      </c>
      <c r="R700" s="3" t="n">
        <v>23647.605064</v>
      </c>
      <c r="S700" s="3" t="n">
        <v>22616.184712</v>
      </c>
      <c r="T700" s="3" t="n">
        <v>20907.824499</v>
      </c>
      <c r="U700" s="3" t="n">
        <v>20328.080816</v>
      </c>
      <c r="V700" s="3" t="n">
        <v>20844.494834</v>
      </c>
      <c r="W700" s="3" t="n">
        <v>22012.609926</v>
      </c>
      <c r="X700" s="3" t="n">
        <v>23350.860695</v>
      </c>
      <c r="Y700" s="3" t="n">
        <v>24821.050739</v>
      </c>
      <c r="Z700" s="3" t="n">
        <v>26287.528337</v>
      </c>
      <c r="AA700" s="3" t="n">
        <v>24793.086215</v>
      </c>
      <c r="AB700" s="3" t="n">
        <v>28081.218096</v>
      </c>
      <c r="AC700" s="3" t="n">
        <v>31885.080515</v>
      </c>
      <c r="AD700" s="3" t="n">
        <v>34179.377168</v>
      </c>
      <c r="AE700" s="3" t="n">
        <v>35980.2973</v>
      </c>
      <c r="AF700" s="3" t="n">
        <v>36950.922005</v>
      </c>
      <c r="AG700" s="3" t="n">
        <v>38519.596311</v>
      </c>
      <c r="AH700" s="3" t="n">
        <v>40003.125625</v>
      </c>
      <c r="AI700" s="3" t="n">
        <v>42073.790244</v>
      </c>
      <c r="AJ700" s="3" t="n">
        <v>44230.434691</v>
      </c>
      <c r="AK700" s="3" t="n">
        <v>46456.182791</v>
      </c>
      <c r="AL700" s="3" t="n">
        <v>48792.057126</v>
      </c>
      <c r="AM700" s="3" t="n"/>
      <c r="AN700" s="3" t="n"/>
      <c r="AO700" s="3" t="n"/>
      <c r="AP700" s="3" t="n"/>
      <c r="AQ700" s="3" t="n"/>
      <c r="AR700" s="3" t="n"/>
      <c r="AS700" s="3" t="n"/>
      <c r="AT700" s="3" t="n"/>
      <c r="AU700" s="3" t="n"/>
    </row>
    <row r="701">
      <c r="A701" s="3" t="n">
        <v>2031</v>
      </c>
      <c r="B701" s="3" t="inlineStr">
        <is>
          <t>CYP</t>
        </is>
      </c>
      <c r="C701" s="3" t="inlineStr">
        <is>
          <t>IMF.RES:WEO</t>
        </is>
      </c>
      <c r="D701" s="3" t="inlineStr">
        <is>
          <t>CYP.NGDPRPC.A</t>
        </is>
      </c>
      <c r="E701" s="3" t="inlineStr">
        <is>
          <t>Cyprus</t>
        </is>
      </c>
      <c r="F701" s="3" t="inlineStr">
        <is>
          <t>Gross domestic product (GDP), Constant prices, Per capita, Domestic currency</t>
        </is>
      </c>
      <c r="G701" s="3" t="n">
        <v>20601.537733</v>
      </c>
      <c r="H701" s="3" t="n">
        <v>21199.37094</v>
      </c>
      <c r="I701" s="3" t="n">
        <v>21739.691215</v>
      </c>
      <c r="J701" s="3" t="n">
        <v>22054.307011</v>
      </c>
      <c r="K701" s="3" t="n">
        <v>22868.80631</v>
      </c>
      <c r="L701" s="3" t="n">
        <v>23646.1333</v>
      </c>
      <c r="M701" s="3" t="n">
        <v>24396.213507</v>
      </c>
      <c r="N701" s="3" t="n">
        <v>25169.675795</v>
      </c>
      <c r="O701" s="3" t="n">
        <v>25468.838759</v>
      </c>
      <c r="P701" s="3" t="n">
        <v>24310.541704</v>
      </c>
      <c r="Q701" s="3" t="n">
        <v>24191.347022</v>
      </c>
      <c r="R701" s="3" t="n">
        <v>23696.071812</v>
      </c>
      <c r="S701" s="3" t="n">
        <v>22287.998645</v>
      </c>
      <c r="T701" s="3" t="n">
        <v>20799.81086</v>
      </c>
      <c r="U701" s="3" t="n">
        <v>20497.260567</v>
      </c>
      <c r="V701" s="3" t="n">
        <v>21177.771634</v>
      </c>
      <c r="W701" s="3" t="n">
        <v>22493.991414</v>
      </c>
      <c r="X701" s="3" t="n">
        <v>23620.093852</v>
      </c>
      <c r="Y701" s="3" t="n">
        <v>24852.578133</v>
      </c>
      <c r="Z701" s="3" t="n">
        <v>25970.294116</v>
      </c>
      <c r="AA701" s="3" t="n">
        <v>24793.086215</v>
      </c>
      <c r="AB701" s="3" t="n">
        <v>27254.515154</v>
      </c>
      <c r="AC701" s="3" t="n">
        <v>29024.784784</v>
      </c>
      <c r="AD701" s="3" t="n">
        <v>29462.829423</v>
      </c>
      <c r="AE701" s="3" t="n">
        <v>30076.213439</v>
      </c>
      <c r="AF701" s="3" t="n">
        <v>30682.037832</v>
      </c>
      <c r="AG701" s="3" t="n">
        <v>31213.614683</v>
      </c>
      <c r="AH701" s="3" t="n">
        <v>31795.608452</v>
      </c>
      <c r="AI701" s="3" t="n">
        <v>32660.833165</v>
      </c>
      <c r="AJ701" s="3" t="n">
        <v>33550.937565</v>
      </c>
      <c r="AK701" s="3" t="n">
        <v>34469.510458</v>
      </c>
      <c r="AL701" s="3" t="n">
        <v>35423.288828</v>
      </c>
      <c r="AM701" s="3" t="n"/>
      <c r="AN701" s="3" t="n"/>
      <c r="AO701" s="3" t="n"/>
      <c r="AP701" s="3" t="n"/>
      <c r="AQ701" s="3" t="n"/>
      <c r="AR701" s="3" t="n"/>
      <c r="AS701" s="3" t="n"/>
      <c r="AT701" s="3" t="n"/>
      <c r="AU701" s="3" t="n"/>
    </row>
    <row r="702">
      <c r="A702" s="3" t="n">
        <v>2031</v>
      </c>
      <c r="B702" s="3" t="inlineStr">
        <is>
          <t>CYP</t>
        </is>
      </c>
      <c r="C702" s="3" t="inlineStr">
        <is>
          <t>IMF.RES:WEO</t>
        </is>
      </c>
      <c r="D702" s="3" t="inlineStr">
        <is>
          <t>CYP.PCPI.A</t>
        </is>
      </c>
      <c r="E702" s="3" t="inlineStr">
        <is>
          <t>Cyprus</t>
        </is>
      </c>
      <c r="F702" s="3" t="inlineStr">
        <is>
          <t>All Items, Consumer price index (CPI), Period average</t>
        </is>
      </c>
      <c r="G702" s="3" t="n">
        <v>63.450833</v>
      </c>
      <c r="H702" s="3" t="n">
        <v>64.71250000000001</v>
      </c>
      <c r="I702" s="3" t="n">
        <v>66.515833</v>
      </c>
      <c r="J702" s="3" t="n">
        <v>69.159167</v>
      </c>
      <c r="K702" s="3" t="n">
        <v>70.468333</v>
      </c>
      <c r="L702" s="3" t="n">
        <v>71.89833299999999</v>
      </c>
      <c r="M702" s="3" t="n">
        <v>73.514167</v>
      </c>
      <c r="N702" s="3" t="n">
        <v>75.104167</v>
      </c>
      <c r="O702" s="3" t="n">
        <v>78.395</v>
      </c>
      <c r="P702" s="3" t="n">
        <v>78.53</v>
      </c>
      <c r="Q702" s="3" t="n">
        <v>80.541667</v>
      </c>
      <c r="R702" s="3" t="n">
        <v>83.348333</v>
      </c>
      <c r="S702" s="3" t="n">
        <v>85.933333</v>
      </c>
      <c r="T702" s="3" t="n">
        <v>86.25916700000001</v>
      </c>
      <c r="U702" s="3" t="n">
        <v>86.035833</v>
      </c>
      <c r="V702" s="3" t="n">
        <v>84.7025</v>
      </c>
      <c r="W702" s="3" t="n">
        <v>83.670833</v>
      </c>
      <c r="X702" s="3" t="n">
        <v>84.233333</v>
      </c>
      <c r="Y702" s="3" t="n">
        <v>84.901667</v>
      </c>
      <c r="Z702" s="3" t="n">
        <v>85.36666700000001</v>
      </c>
      <c r="AA702" s="3" t="n">
        <v>84.42</v>
      </c>
      <c r="AB702" s="3" t="n">
        <v>86.330833</v>
      </c>
      <c r="AC702" s="3" t="n">
        <v>93.32250000000001</v>
      </c>
      <c r="AD702" s="3" t="n">
        <v>96.985</v>
      </c>
      <c r="AE702" s="3" t="n">
        <v>99.175</v>
      </c>
      <c r="AF702" s="3" t="n">
        <v>100</v>
      </c>
      <c r="AG702" s="3" t="n">
        <v>102.591345</v>
      </c>
      <c r="AH702" s="3" t="n">
        <v>104.256555</v>
      </c>
      <c r="AI702" s="3" t="n">
        <v>106.341686</v>
      </c>
      <c r="AJ702" s="3" t="n">
        <v>108.46852</v>
      </c>
      <c r="AK702" s="3" t="n">
        <v>110.63789</v>
      </c>
      <c r="AL702" s="3" t="n">
        <v>112.850648</v>
      </c>
      <c r="AM702" s="3" t="n"/>
      <c r="AN702" s="3" t="n"/>
      <c r="AO702" s="3" t="n"/>
      <c r="AP702" s="3" t="n"/>
      <c r="AQ702" s="3" t="n"/>
      <c r="AR702" s="3" t="n"/>
      <c r="AS702" s="3" t="n"/>
      <c r="AT702" s="3" t="n"/>
      <c r="AU702" s="3" t="n"/>
    </row>
    <row r="703">
      <c r="A703" s="3" t="n">
        <v>2031</v>
      </c>
      <c r="B703" s="3" t="inlineStr">
        <is>
          <t>CYP</t>
        </is>
      </c>
      <c r="C703" s="3" t="inlineStr">
        <is>
          <t>IMF.RES:WEO</t>
        </is>
      </c>
      <c r="D703" s="3" t="inlineStr">
        <is>
          <t>CYP.PCPIPCH.A</t>
        </is>
      </c>
      <c r="E703" s="3" t="inlineStr">
        <is>
          <t>Cyprus</t>
        </is>
      </c>
      <c r="F703" s="3" t="inlineStr">
        <is>
          <t>All Items, Consumer price index (CPI), Period average, percent change</t>
        </is>
      </c>
      <c r="G703" s="3" t="n">
        <v>4.85719</v>
      </c>
      <c r="H703" s="3" t="n">
        <v>1.988416</v>
      </c>
      <c r="I703" s="3" t="n">
        <v>2.786685</v>
      </c>
      <c r="J703" s="3" t="n">
        <v>3.973991</v>
      </c>
      <c r="K703" s="3" t="n">
        <v>1.892976</v>
      </c>
      <c r="L703" s="3" t="n">
        <v>2.02928</v>
      </c>
      <c r="M703" s="3" t="n">
        <v>2.247386</v>
      </c>
      <c r="N703" s="3" t="n">
        <v>2.162848</v>
      </c>
      <c r="O703" s="3" t="n">
        <v>4.381692</v>
      </c>
      <c r="P703" s="3" t="n">
        <v>0.172205</v>
      </c>
      <c r="Q703" s="3" t="n">
        <v>2.561654</v>
      </c>
      <c r="R703" s="3" t="n">
        <v>3.484739</v>
      </c>
      <c r="S703" s="3" t="n">
        <v>3.101442</v>
      </c>
      <c r="T703" s="3" t="n">
        <v>0.37917</v>
      </c>
      <c r="U703" s="3" t="n">
        <v>-0.25891</v>
      </c>
      <c r="V703" s="3" t="n">
        <v>-1.549742</v>
      </c>
      <c r="W703" s="3" t="n">
        <v>-1.217988</v>
      </c>
      <c r="X703" s="3" t="n">
        <v>0.672277</v>
      </c>
      <c r="Y703" s="3" t="n">
        <v>0.793431</v>
      </c>
      <c r="Z703" s="3" t="n">
        <v>0.547692</v>
      </c>
      <c r="AA703" s="3" t="n">
        <v>-1.108942</v>
      </c>
      <c r="AB703" s="3" t="n">
        <v>2.263484</v>
      </c>
      <c r="AC703" s="3" t="n">
        <v>8.09869</v>
      </c>
      <c r="AD703" s="3" t="n">
        <v>3.924563</v>
      </c>
      <c r="AE703" s="3" t="n">
        <v>2.258081</v>
      </c>
      <c r="AF703" s="3" t="n">
        <v>0.831863</v>
      </c>
      <c r="AG703" s="3" t="n">
        <v>2.591345</v>
      </c>
      <c r="AH703" s="3" t="n">
        <v>1.623148</v>
      </c>
      <c r="AI703" s="3" t="n">
        <v>2</v>
      </c>
      <c r="AJ703" s="3" t="n">
        <v>2</v>
      </c>
      <c r="AK703" s="3" t="n">
        <v>2</v>
      </c>
      <c r="AL703" s="3" t="n">
        <v>2</v>
      </c>
      <c r="AM703" s="3" t="n"/>
      <c r="AN703" s="3" t="n"/>
      <c r="AO703" s="3" t="n"/>
      <c r="AP703" s="3" t="n"/>
      <c r="AQ703" s="3" t="n"/>
      <c r="AR703" s="3" t="n"/>
      <c r="AS703" s="3" t="n"/>
      <c r="AT703" s="3" t="n"/>
      <c r="AU703" s="3" t="n"/>
    </row>
    <row r="704">
      <c r="A704" s="3" t="n">
        <v>2031</v>
      </c>
      <c r="B704" s="3" t="inlineStr">
        <is>
          <t>CYP</t>
        </is>
      </c>
      <c r="C704" s="3" t="inlineStr">
        <is>
          <t>IMF.RES:WEO</t>
        </is>
      </c>
      <c r="D704" s="3" t="inlineStr">
        <is>
          <t>CYP.PPPPC.A</t>
        </is>
      </c>
      <c r="E704" s="3" t="inlineStr">
        <is>
          <t>Cyprus</t>
        </is>
      </c>
      <c r="F704" s="3" t="inlineStr">
        <is>
          <t>Gross domestic product (GDP), Per capita, purchasing power parity (PPP) international dollar, ICP benchmarks 2017-2021</t>
        </is>
      </c>
      <c r="G704" s="3" t="n">
        <v>24075.967521</v>
      </c>
      <c r="H704" s="3" t="n">
        <v>25332.455229</v>
      </c>
      <c r="I704" s="3" t="n">
        <v>26381.826987</v>
      </c>
      <c r="J704" s="3" t="n">
        <v>27291.995211</v>
      </c>
      <c r="K704" s="3" t="n">
        <v>29060.88185</v>
      </c>
      <c r="L704" s="3" t="n">
        <v>30990.954733</v>
      </c>
      <c r="M704" s="3" t="n">
        <v>32960.061516</v>
      </c>
      <c r="N704" s="3" t="n">
        <v>34926.321907</v>
      </c>
      <c r="O704" s="3" t="n">
        <v>36022.272581</v>
      </c>
      <c r="P704" s="3" t="n">
        <v>34596.076666</v>
      </c>
      <c r="Q704" s="3" t="n">
        <v>34844.862314</v>
      </c>
      <c r="R704" s="3" t="n">
        <v>34835.692253</v>
      </c>
      <c r="S704" s="3" t="n">
        <v>33375.752809</v>
      </c>
      <c r="T704" s="3" t="n">
        <v>31677.353996</v>
      </c>
      <c r="U704" s="3" t="n">
        <v>31760.28475</v>
      </c>
      <c r="V704" s="3" t="n">
        <v>33119.267482</v>
      </c>
      <c r="W704" s="3" t="n">
        <v>35511.929673</v>
      </c>
      <c r="X704" s="3" t="n">
        <v>37957.558999</v>
      </c>
      <c r="Y704" s="3" t="n">
        <v>40528.044514</v>
      </c>
      <c r="Z704" s="3" t="n">
        <v>44699.240827</v>
      </c>
      <c r="AA704" s="3" t="n">
        <v>42854.035032</v>
      </c>
      <c r="AB704" s="3" t="n">
        <v>49160.33837</v>
      </c>
      <c r="AC704" s="3" t="n">
        <v>56077.057674</v>
      </c>
      <c r="AD704" s="3" t="n">
        <v>59029.561591</v>
      </c>
      <c r="AE704" s="3" t="n">
        <v>61754.436848</v>
      </c>
      <c r="AF704" s="3" t="n">
        <v>64785.471132</v>
      </c>
      <c r="AG704" s="3" t="n">
        <v>67796.064748</v>
      </c>
      <c r="AH704" s="3" t="n">
        <v>70576.650352</v>
      </c>
      <c r="AI704" s="3" t="n">
        <v>73687.14993699999</v>
      </c>
      <c r="AJ704" s="3" t="n">
        <v>77041.288296</v>
      </c>
      <c r="AK704" s="3" t="n">
        <v>80604.972656</v>
      </c>
      <c r="AL704" s="3" t="n">
        <v>84330.756328</v>
      </c>
      <c r="AM704" s="3" t="n"/>
      <c r="AN704" s="3" t="n"/>
      <c r="AO704" s="3" t="n"/>
      <c r="AP704" s="3" t="n"/>
      <c r="AQ704" s="3" t="n"/>
      <c r="AR704" s="3" t="n"/>
      <c r="AS704" s="3" t="n"/>
      <c r="AT704" s="3" t="n"/>
      <c r="AU704" s="3" t="n"/>
    </row>
    <row r="705">
      <c r="A705" s="3" t="n">
        <v>2007</v>
      </c>
      <c r="B705" s="3" t="inlineStr">
        <is>
          <t>CYP</t>
        </is>
      </c>
      <c r="C705" s="3" t="inlineStr">
        <is>
          <t>IMF.STA:ER</t>
        </is>
      </c>
      <c r="D705" s="3" t="inlineStr">
        <is>
          <t>CYP.XDC_USD.PA_RT.A</t>
        </is>
      </c>
      <c r="E705" s="3" t="inlineStr">
        <is>
          <t>Cyprus</t>
        </is>
      </c>
      <c r="F705" s="3" t="inlineStr">
        <is>
          <t>Domestic currency per US Dollar</t>
        </is>
      </c>
      <c r="G705" s="3" t="n">
        <v>0.622409116666667</v>
      </c>
      <c r="H705" s="3" t="n">
        <v>0.643107026158333</v>
      </c>
      <c r="I705" s="3" t="n">
        <v>0.610659989666667</v>
      </c>
      <c r="J705" s="3" t="n">
        <v>0.517443261666667</v>
      </c>
      <c r="K705" s="3" t="n">
        <v>0.46860055225</v>
      </c>
      <c r="L705" s="3" t="n">
        <v>0.464070507161667</v>
      </c>
      <c r="M705" s="3" t="n">
        <v>0.458915946916667</v>
      </c>
      <c r="N705" s="3" t="n">
        <v>0.426125</v>
      </c>
      <c r="O705" s="3" t="n"/>
      <c r="P705" s="3" t="n"/>
      <c r="Q705" s="3" t="n"/>
      <c r="R705" s="3" t="n"/>
      <c r="S705" s="3" t="n"/>
      <c r="T705" s="3" t="n"/>
      <c r="U705" s="3" t="n"/>
      <c r="V705" s="3" t="n"/>
      <c r="W705" s="3" t="n"/>
      <c r="X705" s="3" t="n"/>
      <c r="Y705" s="3" t="n"/>
      <c r="Z705" s="3" t="n"/>
      <c r="AA705" s="3" t="n"/>
      <c r="AB705" s="3" t="n"/>
      <c r="AC705" s="3" t="n"/>
      <c r="AD705" s="3" t="n"/>
      <c r="AE705" s="3" t="n"/>
      <c r="AF705" s="3" t="n"/>
      <c r="AG705" s="3" t="n"/>
      <c r="AH705" s="3" t="n"/>
      <c r="AI705" s="3" t="n"/>
      <c r="AJ705" s="3" t="n"/>
      <c r="AK705" s="3" t="n"/>
      <c r="AL705" s="3" t="n"/>
      <c r="AM705" s="3" t="n"/>
      <c r="AN705" s="3" t="n"/>
      <c r="AO705" s="3" t="n"/>
      <c r="AP705" s="3" t="n"/>
      <c r="AQ705" s="3" t="n"/>
      <c r="AR705" s="3" t="n"/>
      <c r="AS705" s="3" t="n"/>
      <c r="AT705" s="3" t="n"/>
      <c r="AU705" s="3" t="n"/>
    </row>
    <row r="706">
      <c r="A706" s="3" t="n">
        <v>2031</v>
      </c>
      <c r="B706" s="3" t="inlineStr">
        <is>
          <t>CZE</t>
        </is>
      </c>
      <c r="C706" s="3" t="inlineStr">
        <is>
          <t>IMF.RES:WEO</t>
        </is>
      </c>
      <c r="D706" s="3" t="inlineStr">
        <is>
          <t>CZE.BCA.A</t>
        </is>
      </c>
      <c r="E706" s="3" t="inlineStr">
        <is>
          <t>Czech Republic</t>
        </is>
      </c>
      <c r="F706" s="3" t="inlineStr">
        <is>
          <t>Current account balance (credit less debit), US dollar</t>
        </is>
      </c>
      <c r="G706" s="3" t="n">
        <v>-2.717078</v>
      </c>
      <c r="H706" s="3" t="n">
        <v>-3.272668</v>
      </c>
      <c r="I706" s="3" t="n">
        <v>-4.165023</v>
      </c>
      <c r="J706" s="3" t="n">
        <v>-5.695803</v>
      </c>
      <c r="K706" s="3" t="n">
        <v>-4.451989</v>
      </c>
      <c r="L706" s="3" t="n">
        <v>-2.869049</v>
      </c>
      <c r="M706" s="3" t="n">
        <v>-3.833887</v>
      </c>
      <c r="N706" s="3" t="n">
        <v>-8.718491999999999</v>
      </c>
      <c r="O706" s="3" t="n">
        <v>-4.413963</v>
      </c>
      <c r="P706" s="3" t="n">
        <v>-4.682117</v>
      </c>
      <c r="Q706" s="3" t="n">
        <v>-7.423507</v>
      </c>
      <c r="R706" s="3" t="n">
        <v>-4.792009</v>
      </c>
      <c r="S706" s="3" t="n">
        <v>-3.233968</v>
      </c>
      <c r="T706" s="3" t="n">
        <v>-1.113048</v>
      </c>
      <c r="U706" s="3" t="n">
        <v>0.379718</v>
      </c>
      <c r="V706" s="3" t="n">
        <v>0.843376</v>
      </c>
      <c r="W706" s="3" t="n">
        <v>3.485077</v>
      </c>
      <c r="X706" s="3" t="n">
        <v>3.415078</v>
      </c>
      <c r="Y706" s="3" t="n">
        <v>0.987993</v>
      </c>
      <c r="Z706" s="3" t="n">
        <v>0.853122</v>
      </c>
      <c r="AA706" s="3" t="n">
        <v>4.417057</v>
      </c>
      <c r="AB706" s="3" t="n">
        <v>-5.98284</v>
      </c>
      <c r="AC706" s="3" t="n">
        <v>-14.141071</v>
      </c>
      <c r="AD706" s="3" t="n">
        <v>-0.382105</v>
      </c>
      <c r="AE706" s="3" t="n">
        <v>6.052031</v>
      </c>
      <c r="AF706" s="3" t="n">
        <v>2.643139</v>
      </c>
      <c r="AG706" s="3" t="n">
        <v>-6.593028</v>
      </c>
      <c r="AH706" s="3" t="n">
        <v>-5.975832</v>
      </c>
      <c r="AI706" s="3" t="n">
        <v>-4.563734</v>
      </c>
      <c r="AJ706" s="3" t="n">
        <v>-3.788729</v>
      </c>
      <c r="AK706" s="3" t="n">
        <v>-3.510708</v>
      </c>
      <c r="AL706" s="3" t="n">
        <v>-2.844445</v>
      </c>
      <c r="AM706" s="3" t="n"/>
      <c r="AN706" s="3" t="n"/>
      <c r="AO706" s="3" t="n"/>
      <c r="AP706" s="3" t="n"/>
      <c r="AQ706" s="3" t="n"/>
      <c r="AR706" s="3" t="n"/>
      <c r="AS706" s="3" t="n"/>
      <c r="AT706" s="3" t="n"/>
      <c r="AU706" s="3" t="n"/>
    </row>
    <row r="707">
      <c r="A707" s="3" t="n">
        <v>2031</v>
      </c>
      <c r="B707" s="3" t="inlineStr">
        <is>
          <t>CZE</t>
        </is>
      </c>
      <c r="C707" s="3" t="inlineStr">
        <is>
          <t>IMF.RES:WEO</t>
        </is>
      </c>
      <c r="D707" s="3" t="inlineStr">
        <is>
          <t>CZE.BCA_NGDPD.A</t>
        </is>
      </c>
      <c r="E707" s="3" t="inlineStr">
        <is>
          <t>Czech Republic</t>
        </is>
      </c>
      <c r="F707" s="3" t="inlineStr">
        <is>
          <t>Current account balance (credit less debit), Percent of GDP</t>
        </is>
      </c>
      <c r="G707" s="3" t="n">
        <v>-4.370338</v>
      </c>
      <c r="H707" s="3" t="n">
        <v>-4.803143</v>
      </c>
      <c r="I707" s="3" t="n">
        <v>-5.042659</v>
      </c>
      <c r="J707" s="3" t="n">
        <v>-5.669108</v>
      </c>
      <c r="K707" s="3" t="n">
        <v>-3.705417</v>
      </c>
      <c r="L707" s="3" t="n">
        <v>-2.090167</v>
      </c>
      <c r="M707" s="3" t="n">
        <v>-2.453904</v>
      </c>
      <c r="N707" s="3" t="n">
        <v>-4.59243</v>
      </c>
      <c r="O707" s="3" t="n">
        <v>-1.863847</v>
      </c>
      <c r="P707" s="3" t="n">
        <v>-2.260851</v>
      </c>
      <c r="Q707" s="3" t="n">
        <v>-3.51544</v>
      </c>
      <c r="R707" s="3" t="n">
        <v>-2.070614</v>
      </c>
      <c r="S707" s="3" t="n">
        <v>-1.537326</v>
      </c>
      <c r="T707" s="3" t="n">
        <v>-0.522498</v>
      </c>
      <c r="U707" s="3" t="n">
        <v>0.180037</v>
      </c>
      <c r="V707" s="3" t="n">
        <v>0.445977</v>
      </c>
      <c r="W707" s="3" t="n">
        <v>1.758713</v>
      </c>
      <c r="X707" s="3" t="n">
        <v>1.541353</v>
      </c>
      <c r="Y707" s="3" t="n">
        <v>0.392072</v>
      </c>
      <c r="Z707" s="3" t="n">
        <v>0.33222</v>
      </c>
      <c r="AA707" s="3" t="n">
        <v>1.759015</v>
      </c>
      <c r="AB707" s="3" t="n">
        <v>-2.056152</v>
      </c>
      <c r="AC707" s="3" t="n">
        <v>-4.685092</v>
      </c>
      <c r="AD707" s="3" t="n">
        <v>-0.110736</v>
      </c>
      <c r="AE707" s="3" t="n">
        <v>1.743686</v>
      </c>
      <c r="AF707" s="3" t="n">
        <v>0.679435</v>
      </c>
      <c r="AG707" s="3" t="n">
        <v>-1.524058</v>
      </c>
      <c r="AH707" s="3" t="n">
        <v>-1.324725</v>
      </c>
      <c r="AI707" s="3" t="n">
        <v>-0.971889</v>
      </c>
      <c r="AJ707" s="3" t="n">
        <v>-0.776473</v>
      </c>
      <c r="AK707" s="3" t="n">
        <v>-0.692742</v>
      </c>
      <c r="AL707" s="3" t="n">
        <v>-0.540476</v>
      </c>
      <c r="AM707" s="3" t="n"/>
      <c r="AN707" s="3" t="n"/>
      <c r="AO707" s="3" t="n"/>
      <c r="AP707" s="3" t="n"/>
      <c r="AQ707" s="3" t="n"/>
      <c r="AR707" s="3" t="n"/>
      <c r="AS707" s="3" t="n"/>
      <c r="AT707" s="3" t="n"/>
      <c r="AU707" s="3" t="n"/>
    </row>
    <row r="708">
      <c r="A708" s="3" t="n">
        <v>2031</v>
      </c>
      <c r="B708" s="3" t="inlineStr">
        <is>
          <t>CZE</t>
        </is>
      </c>
      <c r="C708" s="3" t="inlineStr">
        <is>
          <t>IMF.RES:WEO</t>
        </is>
      </c>
      <c r="D708" s="3" t="inlineStr">
        <is>
          <t>CZE.GGR_NGDP.A</t>
        </is>
      </c>
      <c r="E708" s="3" t="inlineStr">
        <is>
          <t>Czech Republic</t>
        </is>
      </c>
      <c r="F708" s="3" t="inlineStr">
        <is>
          <t>Revenue, General government, Percent of GDP</t>
        </is>
      </c>
      <c r="G708" s="3" t="n">
        <v>37.046214</v>
      </c>
      <c r="H708" s="3" t="n">
        <v>37.344602</v>
      </c>
      <c r="I708" s="3" t="n">
        <v>38.090625</v>
      </c>
      <c r="J708" s="3" t="n">
        <v>42.075542</v>
      </c>
      <c r="K708" s="3" t="n">
        <v>39.801579</v>
      </c>
      <c r="L708" s="3" t="n">
        <v>39.271362</v>
      </c>
      <c r="M708" s="3" t="n">
        <v>39.282068</v>
      </c>
      <c r="N708" s="3" t="n">
        <v>39.791409</v>
      </c>
      <c r="O708" s="3" t="n">
        <v>38.923346</v>
      </c>
      <c r="P708" s="3" t="n">
        <v>39.000103</v>
      </c>
      <c r="Q708" s="3" t="n">
        <v>39.052213</v>
      </c>
      <c r="R708" s="3" t="n">
        <v>40.127486</v>
      </c>
      <c r="S708" s="3" t="n">
        <v>40.450604</v>
      </c>
      <c r="T708" s="3" t="n">
        <v>41.083629</v>
      </c>
      <c r="U708" s="3" t="n">
        <v>40.214861</v>
      </c>
      <c r="V708" s="3" t="n">
        <v>41.031271</v>
      </c>
      <c r="W708" s="3" t="n">
        <v>40.059322</v>
      </c>
      <c r="X708" s="3" t="n">
        <v>39.927682</v>
      </c>
      <c r="Y708" s="3" t="n">
        <v>40.996878</v>
      </c>
      <c r="Z708" s="3" t="n">
        <v>40.655243</v>
      </c>
      <c r="AA708" s="3" t="n">
        <v>40.602932</v>
      </c>
      <c r="AB708" s="3" t="n">
        <v>40.073291</v>
      </c>
      <c r="AC708" s="3" t="n">
        <v>39.920172</v>
      </c>
      <c r="AD708" s="3" t="n">
        <v>39.954528</v>
      </c>
      <c r="AE708" s="3" t="n">
        <v>40.829319</v>
      </c>
      <c r="AF708" s="3" t="n">
        <v>41.448884</v>
      </c>
      <c r="AG708" s="3" t="n">
        <v>41.066807</v>
      </c>
      <c r="AH708" s="3" t="n">
        <v>40.60612</v>
      </c>
      <c r="AI708" s="3" t="n">
        <v>40.930095</v>
      </c>
      <c r="AJ708" s="3" t="n">
        <v>40.964488</v>
      </c>
      <c r="AK708" s="3" t="n">
        <v>40.936272</v>
      </c>
      <c r="AL708" s="3" t="n">
        <v>40.9711</v>
      </c>
      <c r="AM708" s="3" t="n"/>
      <c r="AN708" s="3" t="n"/>
      <c r="AO708" s="3" t="n"/>
      <c r="AP708" s="3" t="n"/>
      <c r="AQ708" s="3" t="n"/>
      <c r="AR708" s="3" t="n"/>
      <c r="AS708" s="3" t="n"/>
      <c r="AT708" s="3" t="n"/>
      <c r="AU708" s="3" t="n"/>
    </row>
    <row r="709">
      <c r="A709" s="3" t="n">
        <v>2031</v>
      </c>
      <c r="B709" s="3" t="inlineStr">
        <is>
          <t>CZE</t>
        </is>
      </c>
      <c r="C709" s="3" t="inlineStr">
        <is>
          <t>IMF.RES:WEO</t>
        </is>
      </c>
      <c r="D709" s="3" t="inlineStr">
        <is>
          <t>CZE.GGX_NGDP.A</t>
        </is>
      </c>
      <c r="E709" s="3" t="inlineStr">
        <is>
          <t>Czech Republic</t>
        </is>
      </c>
      <c r="F709" s="3" t="inlineStr">
        <is>
          <t>Expenditure, General government, Percent of GDP</t>
        </is>
      </c>
      <c r="G709" s="3" t="n">
        <v>40.593157</v>
      </c>
      <c r="H709" s="3" t="n">
        <v>43.101837</v>
      </c>
      <c r="I709" s="3" t="n">
        <v>44.435537</v>
      </c>
      <c r="J709" s="3" t="n">
        <v>48.950355</v>
      </c>
      <c r="K709" s="3" t="n">
        <v>42.206578</v>
      </c>
      <c r="L709" s="3" t="n">
        <v>42.332521</v>
      </c>
      <c r="M709" s="3" t="n">
        <v>41.46789</v>
      </c>
      <c r="N709" s="3" t="n">
        <v>40.469306</v>
      </c>
      <c r="O709" s="3" t="n">
        <v>40.9222</v>
      </c>
      <c r="P709" s="3" t="n">
        <v>44.456362</v>
      </c>
      <c r="Q709" s="3" t="n">
        <v>43.196373</v>
      </c>
      <c r="R709" s="3" t="n">
        <v>42.839314</v>
      </c>
      <c r="S709" s="3" t="n">
        <v>44.368109</v>
      </c>
      <c r="T709" s="3" t="n">
        <v>42.382138</v>
      </c>
      <c r="U709" s="3" t="n">
        <v>42.308333</v>
      </c>
      <c r="V709" s="3" t="n">
        <v>41.697011</v>
      </c>
      <c r="W709" s="3" t="n">
        <v>39.374441</v>
      </c>
      <c r="X709" s="3" t="n">
        <v>38.467381</v>
      </c>
      <c r="Y709" s="3" t="n">
        <v>40.115377</v>
      </c>
      <c r="Z709" s="3" t="n">
        <v>40.372489</v>
      </c>
      <c r="AA709" s="3" t="n">
        <v>46.252675</v>
      </c>
      <c r="AB709" s="3" t="n">
        <v>45.024466</v>
      </c>
      <c r="AC709" s="3" t="n">
        <v>42.988951</v>
      </c>
      <c r="AD709" s="3" t="n">
        <v>43.689239</v>
      </c>
      <c r="AE709" s="3" t="n">
        <v>42.858157</v>
      </c>
      <c r="AF709" s="3" t="n">
        <v>43.474619</v>
      </c>
      <c r="AG709" s="3" t="n">
        <v>43.336832</v>
      </c>
      <c r="AH709" s="3" t="n">
        <v>43.061684</v>
      </c>
      <c r="AI709" s="3" t="n">
        <v>43.593335</v>
      </c>
      <c r="AJ709" s="3" t="n">
        <v>43.841733</v>
      </c>
      <c r="AK709" s="3" t="n">
        <v>43.999573</v>
      </c>
      <c r="AL709" s="3" t="n">
        <v>44.034686</v>
      </c>
      <c r="AM709" s="3" t="n"/>
      <c r="AN709" s="3" t="n"/>
      <c r="AO709" s="3" t="n"/>
      <c r="AP709" s="3" t="n"/>
      <c r="AQ709" s="3" t="n"/>
      <c r="AR709" s="3" t="n"/>
      <c r="AS709" s="3" t="n"/>
      <c r="AT709" s="3" t="n"/>
      <c r="AU709" s="3" t="n"/>
    </row>
    <row r="710">
      <c r="A710" s="3" t="n">
        <v>2027</v>
      </c>
      <c r="B710" s="3" t="inlineStr">
        <is>
          <t>CZE</t>
        </is>
      </c>
      <c r="C710" s="3" t="inlineStr">
        <is>
          <t>IMF.RES:WEO</t>
        </is>
      </c>
      <c r="D710" s="3" t="inlineStr">
        <is>
          <t>CZE.LE.A</t>
        </is>
      </c>
      <c r="E710" s="3" t="inlineStr">
        <is>
          <t>Czech Republic</t>
        </is>
      </c>
      <c r="F710" s="3" t="inlineStr">
        <is>
          <t>Employed persons, Persons for countries / Index for country groups</t>
        </is>
      </c>
      <c r="G710" s="3" t="n">
        <v>4.731725</v>
      </c>
      <c r="H710" s="3" t="n">
        <v>4.727725</v>
      </c>
      <c r="I710" s="3" t="n">
        <v>4.764775</v>
      </c>
      <c r="J710" s="3" t="n">
        <v>4.73315</v>
      </c>
      <c r="K710" s="3" t="n">
        <v>4.7066</v>
      </c>
      <c r="L710" s="3" t="n">
        <v>4.764</v>
      </c>
      <c r="M710" s="3" t="n">
        <v>4.82965</v>
      </c>
      <c r="N710" s="3" t="n">
        <v>4.92255</v>
      </c>
      <c r="O710" s="3" t="n">
        <v>5.00305</v>
      </c>
      <c r="P710" s="3" t="n">
        <v>4.93145</v>
      </c>
      <c r="Q710" s="3" t="n">
        <v>4.88355</v>
      </c>
      <c r="R710" s="3" t="n">
        <v>4.87255</v>
      </c>
      <c r="S710" s="3" t="n">
        <v>4.8903</v>
      </c>
      <c r="T710" s="3" t="n">
        <v>4.93775</v>
      </c>
      <c r="U710" s="3" t="n">
        <v>4.97405</v>
      </c>
      <c r="V710" s="3" t="n">
        <v>5.042875</v>
      </c>
      <c r="W710" s="3" t="n">
        <v>5.138675</v>
      </c>
      <c r="X710" s="3" t="n">
        <v>5.2211</v>
      </c>
      <c r="Y710" s="3" t="n">
        <v>5.1134</v>
      </c>
      <c r="Z710" s="3" t="n">
        <v>5.116325</v>
      </c>
      <c r="AA710" s="3" t="n">
        <v>5.0457</v>
      </c>
      <c r="AB710" s="3" t="n">
        <v>5.063125</v>
      </c>
      <c r="AC710" s="3" t="n">
        <v>4.984725</v>
      </c>
      <c r="AD710" s="3" t="n">
        <v>5.061125</v>
      </c>
      <c r="AE710" s="3" t="n">
        <v>5.192875</v>
      </c>
      <c r="AF710" s="3" t="n">
        <v>5.221034</v>
      </c>
      <c r="AG710" s="3" t="n">
        <v>5.234086</v>
      </c>
      <c r="AH710" s="3" t="n">
        <v>5.236965</v>
      </c>
      <c r="AI710" s="3" t="n"/>
      <c r="AJ710" s="3" t="n"/>
      <c r="AK710" s="3" t="n"/>
      <c r="AL710" s="3" t="n"/>
      <c r="AM710" s="3" t="n"/>
      <c r="AN710" s="3" t="n"/>
      <c r="AO710" s="3" t="n"/>
      <c r="AP710" s="3" t="n"/>
      <c r="AQ710" s="3" t="n"/>
      <c r="AR710" s="3" t="n"/>
      <c r="AS710" s="3" t="n"/>
      <c r="AT710" s="3" t="n"/>
      <c r="AU710" s="3" t="n"/>
    </row>
    <row r="711">
      <c r="A711" s="3" t="n">
        <v>2031</v>
      </c>
      <c r="B711" s="3" t="inlineStr">
        <is>
          <t>CZE</t>
        </is>
      </c>
      <c r="C711" s="3" t="inlineStr">
        <is>
          <t>IMF.RES:WEO</t>
        </is>
      </c>
      <c r="D711" s="3" t="inlineStr">
        <is>
          <t>CZE.LP.A</t>
        </is>
      </c>
      <c r="E711" s="3" t="inlineStr">
        <is>
          <t>Czech Republic</t>
        </is>
      </c>
      <c r="F711" s="3" t="inlineStr">
        <is>
          <t>Population, Persons for countries / Index for country groups</t>
        </is>
      </c>
      <c r="G711" s="3" t="n">
        <v>10.278098</v>
      </c>
      <c r="H711" s="3" t="n">
        <v>10.232027</v>
      </c>
      <c r="I711" s="3" t="n">
        <v>10.201182</v>
      </c>
      <c r="J711" s="3" t="n">
        <v>10.192649</v>
      </c>
      <c r="K711" s="3" t="n">
        <v>10.195347</v>
      </c>
      <c r="L711" s="3" t="n">
        <v>10.198855</v>
      </c>
      <c r="M711" s="3" t="n">
        <v>10.223577</v>
      </c>
      <c r="N711" s="3" t="n">
        <v>10.254233</v>
      </c>
      <c r="O711" s="3" t="n">
        <v>10.343422</v>
      </c>
      <c r="P711" s="3" t="n">
        <v>10.425783</v>
      </c>
      <c r="Q711" s="3" t="n">
        <v>10.462088</v>
      </c>
      <c r="R711" s="3" t="n">
        <v>10.486731</v>
      </c>
      <c r="S711" s="3" t="n">
        <v>10.505445</v>
      </c>
      <c r="T711" s="3" t="n">
        <v>10.516125</v>
      </c>
      <c r="U711" s="3" t="n">
        <v>10.512419</v>
      </c>
      <c r="V711" s="3" t="n">
        <v>10.538275</v>
      </c>
      <c r="W711" s="3" t="n">
        <v>10.57882</v>
      </c>
      <c r="X711" s="3" t="n">
        <v>10.610055</v>
      </c>
      <c r="Y711" s="3" t="n">
        <v>10.6498</v>
      </c>
      <c r="Z711" s="3" t="n">
        <v>10.693939</v>
      </c>
      <c r="AA711" s="3" t="n">
        <v>10.701777</v>
      </c>
      <c r="AB711" s="3" t="n">
        <v>10.516707</v>
      </c>
      <c r="AC711" s="3" t="n">
        <v>10.827529</v>
      </c>
      <c r="AD711" s="3" t="n">
        <v>10.85062</v>
      </c>
      <c r="AE711" s="3" t="n">
        <v>10.935312</v>
      </c>
      <c r="AF711" s="3" t="n">
        <v>10.903521</v>
      </c>
      <c r="AG711" s="3" t="n">
        <v>10.870587</v>
      </c>
      <c r="AH711" s="3" t="n">
        <v>10.83706</v>
      </c>
      <c r="AI711" s="3" t="n">
        <v>10.802218</v>
      </c>
      <c r="AJ711" s="3" t="n">
        <v>10.770026</v>
      </c>
      <c r="AK711" s="3" t="n">
        <v>10.73793</v>
      </c>
      <c r="AL711" s="3" t="n">
        <v>10.70593</v>
      </c>
      <c r="AM711" s="3" t="n"/>
      <c r="AN711" s="3" t="n"/>
      <c r="AO711" s="3" t="n"/>
      <c r="AP711" s="3" t="n"/>
      <c r="AQ711" s="3" t="n"/>
      <c r="AR711" s="3" t="n"/>
      <c r="AS711" s="3" t="n"/>
      <c r="AT711" s="3" t="n"/>
      <c r="AU711" s="3" t="n"/>
    </row>
    <row r="712">
      <c r="A712" s="3" t="n">
        <v>2031</v>
      </c>
      <c r="B712" s="3" t="inlineStr">
        <is>
          <t>CZE</t>
        </is>
      </c>
      <c r="C712" s="3" t="inlineStr">
        <is>
          <t>IMF.RES:WEO</t>
        </is>
      </c>
      <c r="D712" s="3" t="inlineStr">
        <is>
          <t>CZE.NGDP.A</t>
        </is>
      </c>
      <c r="E712" s="3" t="inlineStr">
        <is>
          <t>Czech Republic</t>
        </is>
      </c>
      <c r="F712" s="3" t="inlineStr">
        <is>
          <t>Gross domestic product (GDP), Current prices, Domestic currency</t>
        </is>
      </c>
      <c r="G712" s="3" t="n">
        <v>2399.7</v>
      </c>
      <c r="H712" s="3" t="n">
        <v>2591.574</v>
      </c>
      <c r="I712" s="3" t="n">
        <v>2704.466</v>
      </c>
      <c r="J712" s="3" t="n">
        <v>2833.197</v>
      </c>
      <c r="K712" s="3" t="n">
        <v>3087.777</v>
      </c>
      <c r="L712" s="3" t="n">
        <v>3288.493</v>
      </c>
      <c r="M712" s="3" t="n">
        <v>3530.252</v>
      </c>
      <c r="N712" s="3" t="n">
        <v>3856.629</v>
      </c>
      <c r="O712" s="3" t="n">
        <v>4037.564</v>
      </c>
      <c r="P712" s="3" t="n">
        <v>3945.505</v>
      </c>
      <c r="Q712" s="3" t="n">
        <v>4032.952</v>
      </c>
      <c r="R712" s="3" t="n">
        <v>4095.355</v>
      </c>
      <c r="S712" s="3" t="n">
        <v>4118.386</v>
      </c>
      <c r="T712" s="3" t="n">
        <v>4169.011</v>
      </c>
      <c r="U712" s="3" t="n">
        <v>4377.991</v>
      </c>
      <c r="V712" s="3" t="n">
        <v>4651.813</v>
      </c>
      <c r="W712" s="3" t="n">
        <v>4843.03</v>
      </c>
      <c r="X712" s="3" t="n">
        <v>5179.344</v>
      </c>
      <c r="Y712" s="3" t="n">
        <v>5475.773</v>
      </c>
      <c r="Z712" s="3" t="n">
        <v>5888.869</v>
      </c>
      <c r="AA712" s="3" t="n">
        <v>5828.318</v>
      </c>
      <c r="AB712" s="3" t="n">
        <v>6307.755</v>
      </c>
      <c r="AC712" s="3" t="n">
        <v>7049.872</v>
      </c>
      <c r="AD712" s="3" t="n">
        <v>7659.655</v>
      </c>
      <c r="AE712" s="3" t="n">
        <v>8058.158</v>
      </c>
      <c r="AF712" s="3" t="n">
        <v>8512.534078999999</v>
      </c>
      <c r="AG712" s="3" t="n">
        <v>8896.894657999999</v>
      </c>
      <c r="AH712" s="3" t="n">
        <v>9296.920558</v>
      </c>
      <c r="AI712" s="3" t="n">
        <v>9703.88127</v>
      </c>
      <c r="AJ712" s="3" t="n">
        <v>10088.795872</v>
      </c>
      <c r="AK712" s="3" t="n">
        <v>10480.03956</v>
      </c>
      <c r="AL712" s="3" t="n">
        <v>10885.117057</v>
      </c>
      <c r="AM712" s="3" t="n"/>
      <c r="AN712" s="3" t="n"/>
      <c r="AO712" s="3" t="n"/>
      <c r="AP712" s="3" t="n"/>
      <c r="AQ712" s="3" t="n"/>
      <c r="AR712" s="3" t="n"/>
      <c r="AS712" s="3" t="n"/>
      <c r="AT712" s="3" t="n"/>
      <c r="AU712" s="3" t="n"/>
    </row>
    <row r="713">
      <c r="A713" s="3" t="n">
        <v>2031</v>
      </c>
      <c r="B713" s="3" t="inlineStr">
        <is>
          <t>CZE</t>
        </is>
      </c>
      <c r="C713" s="3" t="inlineStr">
        <is>
          <t>IMF.RES:WEO</t>
        </is>
      </c>
      <c r="D713" s="3" t="inlineStr">
        <is>
          <t>CZE.NGDP_D.A</t>
        </is>
      </c>
      <c r="E713" s="3" t="inlineStr">
        <is>
          <t>Czech Republic</t>
        </is>
      </c>
      <c r="F713" s="3" t="inlineStr">
        <is>
          <t>Gross domestic product (GDP), Price deflator, Index</t>
        </is>
      </c>
      <c r="G713" s="3" t="n">
        <v>65.854994</v>
      </c>
      <c r="H713" s="3" t="n">
        <v>69.10466</v>
      </c>
      <c r="I713" s="3" t="n">
        <v>71.039781</v>
      </c>
      <c r="J713" s="3" t="n">
        <v>72.043205</v>
      </c>
      <c r="K713" s="3" t="n">
        <v>74.966077</v>
      </c>
      <c r="L713" s="3" t="n">
        <v>75.054388</v>
      </c>
      <c r="M713" s="3" t="n">
        <v>75.56719</v>
      </c>
      <c r="N713" s="3" t="n">
        <v>78.25803999999999</v>
      </c>
      <c r="O713" s="3" t="n">
        <v>79.843807</v>
      </c>
      <c r="P713" s="3" t="n">
        <v>81.95582400000001</v>
      </c>
      <c r="Q713" s="3" t="n">
        <v>81.55823599999999</v>
      </c>
      <c r="R713" s="3" t="n">
        <v>81.377883</v>
      </c>
      <c r="S713" s="3" t="n">
        <v>82.47110600000001</v>
      </c>
      <c r="T713" s="3" t="n">
        <v>83.51979799999999</v>
      </c>
      <c r="U713" s="3" t="n">
        <v>85.78044199999999</v>
      </c>
      <c r="V713" s="3" t="n">
        <v>86.839433</v>
      </c>
      <c r="W713" s="3" t="n">
        <v>88.134412</v>
      </c>
      <c r="X713" s="3" t="n">
        <v>89.618261</v>
      </c>
      <c r="Y713" s="3" t="n">
        <v>92.139545</v>
      </c>
      <c r="Z713" s="3" t="n">
        <v>95.678918</v>
      </c>
      <c r="AA713" s="3" t="n">
        <v>100</v>
      </c>
      <c r="AB713" s="3" t="n">
        <v>104.034426</v>
      </c>
      <c r="AC713" s="3" t="n">
        <v>113.055356</v>
      </c>
      <c r="AD713" s="3" t="n">
        <v>122.775732</v>
      </c>
      <c r="AE713" s="3" t="n">
        <v>127.56703</v>
      </c>
      <c r="AF713" s="3" t="n">
        <v>131.411551</v>
      </c>
      <c r="AG713" s="3" t="n">
        <v>134.344119</v>
      </c>
      <c r="AH713" s="3" t="n">
        <v>137.342566</v>
      </c>
      <c r="AI713" s="3" t="n">
        <v>140.419039</v>
      </c>
      <c r="AJ713" s="3" t="n">
        <v>143.281311</v>
      </c>
      <c r="AK713" s="3" t="n">
        <v>146.19547</v>
      </c>
      <c r="AL713" s="3" t="n">
        <v>149.149355</v>
      </c>
      <c r="AM713" s="3" t="n"/>
      <c r="AN713" s="3" t="n"/>
      <c r="AO713" s="3" t="n"/>
      <c r="AP713" s="3" t="n"/>
      <c r="AQ713" s="3" t="n"/>
      <c r="AR713" s="3" t="n"/>
      <c r="AS713" s="3" t="n"/>
      <c r="AT713" s="3" t="n"/>
      <c r="AU713" s="3" t="n"/>
    </row>
    <row r="714">
      <c r="A714" s="3" t="n">
        <v>2031</v>
      </c>
      <c r="B714" s="3" t="inlineStr">
        <is>
          <t>CZE</t>
        </is>
      </c>
      <c r="C714" s="3" t="inlineStr">
        <is>
          <t>IMF.RES:WEO</t>
        </is>
      </c>
      <c r="D714" s="3" t="inlineStr">
        <is>
          <t>CZE.NGDP_R.A</t>
        </is>
      </c>
      <c r="E714" s="3" t="inlineStr">
        <is>
          <t>Czech Republic</t>
        </is>
      </c>
      <c r="F714" s="3" t="inlineStr">
        <is>
          <t>Gross domestic product (GDP), Constant prices, Domestic currency</t>
        </is>
      </c>
      <c r="G714" s="3" t="n">
        <v>3643.915</v>
      </c>
      <c r="H714" s="3" t="n">
        <v>3750.216</v>
      </c>
      <c r="I714" s="3" t="n">
        <v>3806.974</v>
      </c>
      <c r="J714" s="3" t="n">
        <v>3932.636</v>
      </c>
      <c r="K714" s="3" t="n">
        <v>4118.899</v>
      </c>
      <c r="L714" s="3" t="n">
        <v>4381.48</v>
      </c>
      <c r="M714" s="3" t="n">
        <v>4671.673</v>
      </c>
      <c r="N714" s="3" t="n">
        <v>4928.093</v>
      </c>
      <c r="O714" s="3" t="n">
        <v>5056.828</v>
      </c>
      <c r="P714" s="3" t="n">
        <v>4814.185</v>
      </c>
      <c r="Q714" s="3" t="n">
        <v>4944.874</v>
      </c>
      <c r="R714" s="3" t="n">
        <v>5032.516</v>
      </c>
      <c r="S714" s="3" t="n">
        <v>4993.732</v>
      </c>
      <c r="T714" s="3" t="n">
        <v>4991.644</v>
      </c>
      <c r="U714" s="3" t="n">
        <v>5103.717</v>
      </c>
      <c r="V714" s="3" t="n">
        <v>5356.798</v>
      </c>
      <c r="W714" s="3" t="n">
        <v>5495.05</v>
      </c>
      <c r="X714" s="3" t="n">
        <v>5779.34</v>
      </c>
      <c r="Y714" s="3" t="n">
        <v>5942.913</v>
      </c>
      <c r="Z714" s="3" t="n">
        <v>6154.824</v>
      </c>
      <c r="AA714" s="3" t="n">
        <v>5828.318</v>
      </c>
      <c r="AB714" s="3" t="n">
        <v>6063.142</v>
      </c>
      <c r="AC714" s="3" t="n">
        <v>6235.77</v>
      </c>
      <c r="AD714" s="3" t="n">
        <v>6238.737</v>
      </c>
      <c r="AE714" s="3" t="n">
        <v>6316.803</v>
      </c>
      <c r="AF714" s="3" t="n">
        <v>6477.767</v>
      </c>
      <c r="AG714" s="3" t="n">
        <v>6622.466766</v>
      </c>
      <c r="AH714" s="3" t="n">
        <v>6769.147278</v>
      </c>
      <c r="AI714" s="3" t="n">
        <v>6910.659206</v>
      </c>
      <c r="AJ714" s="3" t="n">
        <v>7041.250414</v>
      </c>
      <c r="AK714" s="3" t="n">
        <v>7168.511843</v>
      </c>
      <c r="AL714" s="3" t="n">
        <v>7298.132148</v>
      </c>
      <c r="AM714" s="3" t="n"/>
      <c r="AN714" s="3" t="n"/>
      <c r="AO714" s="3" t="n"/>
      <c r="AP714" s="3" t="n"/>
      <c r="AQ714" s="3" t="n"/>
      <c r="AR714" s="3" t="n"/>
      <c r="AS714" s="3" t="n"/>
      <c r="AT714" s="3" t="n"/>
      <c r="AU714" s="3" t="n"/>
    </row>
    <row r="715">
      <c r="A715" s="3" t="n">
        <v>2031</v>
      </c>
      <c r="B715" s="3" t="inlineStr">
        <is>
          <t>CZE</t>
        </is>
      </c>
      <c r="C715" s="3" t="inlineStr">
        <is>
          <t>IMF.RES:WEO</t>
        </is>
      </c>
      <c r="D715" s="3" t="inlineStr">
        <is>
          <t>CZE.NGDP_RPCH.A</t>
        </is>
      </c>
      <c r="E715" s="3" t="inlineStr">
        <is>
          <t>Czech Republic</t>
        </is>
      </c>
      <c r="F715" s="3" t="inlineStr">
        <is>
          <t>Gross domestic product (GDP), Constant prices, Percent change</t>
        </is>
      </c>
      <c r="G715" s="3" t="n">
        <v>4.01067</v>
      </c>
      <c r="H715" s="3" t="n">
        <v>2.91722</v>
      </c>
      <c r="I715" s="3" t="n">
        <v>1.513459</v>
      </c>
      <c r="J715" s="3" t="n">
        <v>3.300837</v>
      </c>
      <c r="K715" s="3" t="n">
        <v>4.73634</v>
      </c>
      <c r="L715" s="3" t="n">
        <v>6.375029</v>
      </c>
      <c r="M715" s="3" t="n">
        <v>6.623173</v>
      </c>
      <c r="N715" s="3" t="n">
        <v>5.488826</v>
      </c>
      <c r="O715" s="3" t="n">
        <v>2.612268</v>
      </c>
      <c r="P715" s="3" t="n">
        <v>-4.798324</v>
      </c>
      <c r="Q715" s="3" t="n">
        <v>2.714665</v>
      </c>
      <c r="R715" s="3" t="n">
        <v>1.772381</v>
      </c>
      <c r="S715" s="3" t="n">
        <v>-0.770668</v>
      </c>
      <c r="T715" s="3" t="n">
        <v>-0.041812</v>
      </c>
      <c r="U715" s="3" t="n">
        <v>2.245212</v>
      </c>
      <c r="V715" s="3" t="n">
        <v>4.958758</v>
      </c>
      <c r="W715" s="3" t="n">
        <v>2.58087</v>
      </c>
      <c r="X715" s="3" t="n">
        <v>5.173565</v>
      </c>
      <c r="Y715" s="3" t="n">
        <v>2.830306</v>
      </c>
      <c r="Z715" s="3" t="n">
        <v>3.565777</v>
      </c>
      <c r="AA715" s="3" t="n">
        <v>-5.30488</v>
      </c>
      <c r="AB715" s="3" t="n">
        <v>4.029018</v>
      </c>
      <c r="AC715" s="3" t="n">
        <v>2.847171</v>
      </c>
      <c r="AD715" s="3" t="n">
        <v>0.04758</v>
      </c>
      <c r="AE715" s="3" t="n">
        <v>1.251311</v>
      </c>
      <c r="AF715" s="3" t="n">
        <v>2.548188</v>
      </c>
      <c r="AG715" s="3" t="n">
        <v>2.233791</v>
      </c>
      <c r="AH715" s="3" t="n">
        <v>2.214892</v>
      </c>
      <c r="AI715" s="3" t="n">
        <v>2.090543</v>
      </c>
      <c r="AJ715" s="3" t="n">
        <v>1.889707</v>
      </c>
      <c r="AK715" s="3" t="n">
        <v>1.80737</v>
      </c>
      <c r="AL715" s="3" t="n">
        <v>1.80819</v>
      </c>
      <c r="AM715" s="3" t="n"/>
      <c r="AN715" s="3" t="n"/>
      <c r="AO715" s="3" t="n"/>
      <c r="AP715" s="3" t="n"/>
      <c r="AQ715" s="3" t="n"/>
      <c r="AR715" s="3" t="n"/>
      <c r="AS715" s="3" t="n"/>
      <c r="AT715" s="3" t="n"/>
      <c r="AU715" s="3" t="n"/>
    </row>
    <row r="716">
      <c r="A716" s="3" t="n">
        <v>2031</v>
      </c>
      <c r="B716" s="3" t="inlineStr">
        <is>
          <t>CZE</t>
        </is>
      </c>
      <c r="C716" s="3" t="inlineStr">
        <is>
          <t>IMF.RES:WEO</t>
        </is>
      </c>
      <c r="D716" s="3" t="inlineStr">
        <is>
          <t>CZE.NGDPD.A</t>
        </is>
      </c>
      <c r="E716" s="3" t="inlineStr">
        <is>
          <t>Czech Republic</t>
        </is>
      </c>
      <c r="F716" s="3" t="inlineStr">
        <is>
          <t>Gross domestic product (GDP), Current prices, US dollar</t>
        </is>
      </c>
      <c r="G716" s="3" t="n">
        <v>62.1709</v>
      </c>
      <c r="H716" s="3" t="n">
        <v>68.13597</v>
      </c>
      <c r="I716" s="3" t="n">
        <v>82.59577</v>
      </c>
      <c r="J716" s="3" t="n">
        <v>100.470891</v>
      </c>
      <c r="K716" s="3" t="n">
        <v>120.148134</v>
      </c>
      <c r="L716" s="3" t="n">
        <v>137.26409</v>
      </c>
      <c r="M716" s="3" t="n">
        <v>156.236203</v>
      </c>
      <c r="N716" s="3" t="n">
        <v>189.844845</v>
      </c>
      <c r="O716" s="3" t="n">
        <v>236.820051</v>
      </c>
      <c r="P716" s="3" t="n">
        <v>207.095322</v>
      </c>
      <c r="Q716" s="3" t="n">
        <v>211.168667</v>
      </c>
      <c r="R716" s="3" t="n">
        <v>231.429379</v>
      </c>
      <c r="S716" s="3" t="n">
        <v>210.363223</v>
      </c>
      <c r="T716" s="3" t="n">
        <v>213.024361</v>
      </c>
      <c r="U716" s="3" t="n">
        <v>210.911285</v>
      </c>
      <c r="V716" s="3" t="n">
        <v>189.107699</v>
      </c>
      <c r="W716" s="3" t="n">
        <v>198.160659</v>
      </c>
      <c r="X716" s="3" t="n">
        <v>221.563576</v>
      </c>
      <c r="Y716" s="3" t="n">
        <v>251.992361</v>
      </c>
      <c r="Z716" s="3" t="n">
        <v>256.794209</v>
      </c>
      <c r="AA716" s="3" t="n">
        <v>251.109661</v>
      </c>
      <c r="AB716" s="3" t="n">
        <v>290.972714</v>
      </c>
      <c r="AC716" s="3" t="n">
        <v>301.831228</v>
      </c>
      <c r="AD716" s="3" t="n">
        <v>345.059296</v>
      </c>
      <c r="AE716" s="3" t="n">
        <v>347.082562</v>
      </c>
      <c r="AF716" s="3" t="n">
        <v>389.019929</v>
      </c>
      <c r="AG716" s="3" t="n">
        <v>432.597021</v>
      </c>
      <c r="AH716" s="3" t="n">
        <v>451.099822</v>
      </c>
      <c r="AI716" s="3" t="n">
        <v>469.573549</v>
      </c>
      <c r="AJ716" s="3" t="n">
        <v>487.940926</v>
      </c>
      <c r="AK716" s="3" t="n">
        <v>506.783978</v>
      </c>
      <c r="AL716" s="3" t="n">
        <v>526.2856389999999</v>
      </c>
      <c r="AM716" s="3" t="n"/>
      <c r="AN716" s="3" t="n"/>
      <c r="AO716" s="3" t="n"/>
      <c r="AP716" s="3" t="n"/>
      <c r="AQ716" s="3" t="n"/>
      <c r="AR716" s="3" t="n"/>
      <c r="AS716" s="3" t="n"/>
      <c r="AT716" s="3" t="n"/>
      <c r="AU716" s="3" t="n"/>
    </row>
    <row r="717">
      <c r="A717" s="3" t="n">
        <v>2031</v>
      </c>
      <c r="B717" s="3" t="inlineStr">
        <is>
          <t>CZE</t>
        </is>
      </c>
      <c r="C717" s="3" t="inlineStr">
        <is>
          <t>IMF.RES:WEO</t>
        </is>
      </c>
      <c r="D717" s="3" t="inlineStr">
        <is>
          <t>CZE.NGDPPC.A</t>
        </is>
      </c>
      <c r="E717" s="3" t="inlineStr">
        <is>
          <t>Czech Republic</t>
        </is>
      </c>
      <c r="F717" s="3" t="inlineStr">
        <is>
          <t>Gross domestic product (GDP), Current prices, Per capita, Domestic currency</t>
        </is>
      </c>
      <c r="G717" s="3" t="n">
        <v>233477.049937</v>
      </c>
      <c r="H717" s="3" t="n">
        <v>253280.606081</v>
      </c>
      <c r="I717" s="3" t="n">
        <v>265113.003572</v>
      </c>
      <c r="J717" s="3" t="n">
        <v>277964.737136</v>
      </c>
      <c r="K717" s="3" t="n">
        <v>302861.393536</v>
      </c>
      <c r="L717" s="3" t="n">
        <v>322437.469696</v>
      </c>
      <c r="M717" s="3" t="n">
        <v>345304.974961</v>
      </c>
      <c r="N717" s="3" t="n">
        <v>376101.167196</v>
      </c>
      <c r="O717" s="3" t="n">
        <v>390350.89161</v>
      </c>
      <c r="P717" s="3" t="n">
        <v>378437.283799</v>
      </c>
      <c r="Q717" s="3" t="n">
        <v>385482.515536</v>
      </c>
      <c r="R717" s="3" t="n">
        <v>390527.324483</v>
      </c>
      <c r="S717" s="3" t="n">
        <v>392023.945678</v>
      </c>
      <c r="T717" s="3" t="n">
        <v>396439.848328</v>
      </c>
      <c r="U717" s="3" t="n">
        <v>416458.952026</v>
      </c>
      <c r="V717" s="3" t="n">
        <v>441420.725878</v>
      </c>
      <c r="W717" s="3" t="n">
        <v>457804.367595</v>
      </c>
      <c r="X717" s="3" t="n">
        <v>488154.302687</v>
      </c>
      <c r="Y717" s="3" t="n">
        <v>514166.744915</v>
      </c>
      <c r="Z717" s="3" t="n">
        <v>550673.517027</v>
      </c>
      <c r="AA717" s="3" t="n">
        <v>544612.170483</v>
      </c>
      <c r="AB717" s="3" t="n">
        <v>599784.229037</v>
      </c>
      <c r="AC717" s="3" t="n">
        <v>651106.268106</v>
      </c>
      <c r="AD717" s="3" t="n">
        <v>705918.647967</v>
      </c>
      <c r="AE717" s="3" t="n">
        <v>736893.29244</v>
      </c>
      <c r="AF717" s="3" t="n">
        <v>780714.253037</v>
      </c>
      <c r="AG717" s="3" t="n">
        <v>818437.404365</v>
      </c>
      <c r="AH717" s="3" t="n">
        <v>857882.206032</v>
      </c>
      <c r="AI717" s="3" t="n">
        <v>898323.014538</v>
      </c>
      <c r="AJ717" s="3" t="n">
        <v>936747.560838</v>
      </c>
      <c r="AK717" s="3" t="n">
        <v>975983.199592</v>
      </c>
      <c r="AL717" s="3" t="n">
        <v>1016737.185489</v>
      </c>
      <c r="AM717" s="3" t="n"/>
      <c r="AN717" s="3" t="n"/>
      <c r="AO717" s="3" t="n"/>
      <c r="AP717" s="3" t="n"/>
      <c r="AQ717" s="3" t="n"/>
      <c r="AR717" s="3" t="n"/>
      <c r="AS717" s="3" t="n"/>
      <c r="AT717" s="3" t="n"/>
      <c r="AU717" s="3" t="n"/>
    </row>
    <row r="718">
      <c r="A718" s="3" t="n">
        <v>2031</v>
      </c>
      <c r="B718" s="3" t="inlineStr">
        <is>
          <t>CZE</t>
        </is>
      </c>
      <c r="C718" s="3" t="inlineStr">
        <is>
          <t>IMF.RES:WEO</t>
        </is>
      </c>
      <c r="D718" s="3" t="inlineStr">
        <is>
          <t>CZE.NGDPRPC.A</t>
        </is>
      </c>
      <c r="E718" s="3" t="inlineStr">
        <is>
          <t>Czech Republic</t>
        </is>
      </c>
      <c r="F718" s="3" t="inlineStr">
        <is>
          <t>Gross domestic product (GDP), Constant prices, Per capita, Domestic currency</t>
        </is>
      </c>
      <c r="G718" s="3" t="n">
        <v>354532.035013</v>
      </c>
      <c r="H718" s="3" t="n">
        <v>366517.406571</v>
      </c>
      <c r="I718" s="3" t="n">
        <v>373189.499021</v>
      </c>
      <c r="J718" s="3" t="n">
        <v>385830.611846</v>
      </c>
      <c r="K718" s="3" t="n">
        <v>403997.921797</v>
      </c>
      <c r="L718" s="3" t="n">
        <v>429605.088022</v>
      </c>
      <c r="M718" s="3" t="n">
        <v>456950.928232</v>
      </c>
      <c r="N718" s="3" t="n">
        <v>480591.088578</v>
      </c>
      <c r="O718" s="3" t="n">
        <v>488893.134206</v>
      </c>
      <c r="P718" s="3" t="n">
        <v>461757.644486</v>
      </c>
      <c r="Q718" s="3" t="n">
        <v>472646.951545</v>
      </c>
      <c r="R718" s="3" t="n">
        <v>479893.686603</v>
      </c>
      <c r="S718" s="3" t="n">
        <v>475347.022425</v>
      </c>
      <c r="T718" s="3" t="n">
        <v>474665.715746</v>
      </c>
      <c r="U718" s="3" t="n">
        <v>485494.061833</v>
      </c>
      <c r="V718" s="3" t="n">
        <v>508318.296875</v>
      </c>
      <c r="W718" s="3" t="n">
        <v>519438.841005</v>
      </c>
      <c r="X718" s="3" t="n">
        <v>544704.056671</v>
      </c>
      <c r="Y718" s="3" t="n">
        <v>558030.479446</v>
      </c>
      <c r="Z718" s="3" t="n">
        <v>575543.211907</v>
      </c>
      <c r="AA718" s="3" t="n">
        <v>544612.170483</v>
      </c>
      <c r="AB718" s="3" t="n">
        <v>576524.761981</v>
      </c>
      <c r="AC718" s="3" t="n">
        <v>575918.1065230001</v>
      </c>
      <c r="AD718" s="3" t="n">
        <v>574965.946646</v>
      </c>
      <c r="AE718" s="3" t="n">
        <v>577651.835614</v>
      </c>
      <c r="AF718" s="3" t="n">
        <v>594098.652413</v>
      </c>
      <c r="AG718" s="3" t="n">
        <v>609209.698341</v>
      </c>
      <c r="AH718" s="3" t="n">
        <v>624629.5171769999</v>
      </c>
      <c r="AI718" s="3" t="n">
        <v>639744.452581</v>
      </c>
      <c r="AJ718" s="3" t="n">
        <v>653782.099878</v>
      </c>
      <c r="AK718" s="3" t="n">
        <v>667587.854489</v>
      </c>
      <c r="AL718" s="3" t="n">
        <v>681690.633259</v>
      </c>
      <c r="AM718" s="3" t="n"/>
      <c r="AN718" s="3" t="n"/>
      <c r="AO718" s="3" t="n"/>
      <c r="AP718" s="3" t="n"/>
      <c r="AQ718" s="3" t="n"/>
      <c r="AR718" s="3" t="n"/>
      <c r="AS718" s="3" t="n"/>
      <c r="AT718" s="3" t="n"/>
      <c r="AU718" s="3" t="n"/>
    </row>
    <row r="719">
      <c r="A719" s="3" t="n">
        <v>2031</v>
      </c>
      <c r="B719" s="3" t="inlineStr">
        <is>
          <t>CZE</t>
        </is>
      </c>
      <c r="C719" s="3" t="inlineStr">
        <is>
          <t>IMF.RES:WEO</t>
        </is>
      </c>
      <c r="D719" s="3" t="inlineStr">
        <is>
          <t>CZE.PCPI.A</t>
        </is>
      </c>
      <c r="E719" s="3" t="inlineStr">
        <is>
          <t>Czech Republic</t>
        </is>
      </c>
      <c r="F719" s="3" t="inlineStr">
        <is>
          <t>All Items, Consumer price index (CPI), Period average</t>
        </is>
      </c>
      <c r="G719" s="3" t="n">
        <v>46.658333</v>
      </c>
      <c r="H719" s="3" t="n">
        <v>48.825</v>
      </c>
      <c r="I719" s="3" t="n">
        <v>49.775</v>
      </c>
      <c r="J719" s="3" t="n">
        <v>49.825</v>
      </c>
      <c r="K719" s="3" t="n">
        <v>51.191667</v>
      </c>
      <c r="L719" s="3" t="n">
        <v>52.141667</v>
      </c>
      <c r="M719" s="3" t="n">
        <v>53.45</v>
      </c>
      <c r="N719" s="3" t="n">
        <v>55</v>
      </c>
      <c r="O719" s="3" t="n">
        <v>58.491667</v>
      </c>
      <c r="P719" s="3" t="n">
        <v>59.083333</v>
      </c>
      <c r="Q719" s="3" t="n">
        <v>59.95</v>
      </c>
      <c r="R719" s="3" t="n">
        <v>61.108333</v>
      </c>
      <c r="S719" s="3" t="n">
        <v>63.116667</v>
      </c>
      <c r="T719" s="3" t="n">
        <v>64.016667</v>
      </c>
      <c r="U719" s="3" t="n">
        <v>64.24166700000001</v>
      </c>
      <c r="V719" s="3" t="n">
        <v>64.458333</v>
      </c>
      <c r="W719" s="3" t="n">
        <v>64.875</v>
      </c>
      <c r="X719" s="3" t="n">
        <v>66.458333</v>
      </c>
      <c r="Y719" s="3" t="n">
        <v>67.891667</v>
      </c>
      <c r="Z719" s="3" t="n">
        <v>69.825</v>
      </c>
      <c r="AA719" s="3" t="n">
        <v>72.033333</v>
      </c>
      <c r="AB719" s="3" t="n">
        <v>74.808333</v>
      </c>
      <c r="AC719" s="3" t="n">
        <v>86.083333</v>
      </c>
      <c r="AD719" s="3" t="n">
        <v>95.291667</v>
      </c>
      <c r="AE719" s="3" t="n">
        <v>97.59999999999999</v>
      </c>
      <c r="AF719" s="3" t="n">
        <v>100.000775</v>
      </c>
      <c r="AG719" s="3" t="n">
        <v>102.439109</v>
      </c>
      <c r="AH719" s="3" t="n">
        <v>104.717062</v>
      </c>
      <c r="AI719" s="3" t="n">
        <v>107.301568</v>
      </c>
      <c r="AJ719" s="3" t="n">
        <v>109.447599</v>
      </c>
      <c r="AK719" s="3" t="n">
        <v>111.636551</v>
      </c>
      <c r="AL719" s="3" t="n">
        <v>113.869282</v>
      </c>
      <c r="AM719" s="3" t="n"/>
      <c r="AN719" s="3" t="n"/>
      <c r="AO719" s="3" t="n"/>
      <c r="AP719" s="3" t="n"/>
      <c r="AQ719" s="3" t="n"/>
      <c r="AR719" s="3" t="n"/>
      <c r="AS719" s="3" t="n"/>
      <c r="AT719" s="3" t="n"/>
      <c r="AU719" s="3" t="n"/>
    </row>
    <row r="720">
      <c r="A720" s="3" t="n">
        <v>2031</v>
      </c>
      <c r="B720" s="3" t="inlineStr">
        <is>
          <t>CZE</t>
        </is>
      </c>
      <c r="C720" s="3" t="inlineStr">
        <is>
          <t>IMF.RES:WEO</t>
        </is>
      </c>
      <c r="D720" s="3" t="inlineStr">
        <is>
          <t>CZE.PCPIPCH.A</t>
        </is>
      </c>
      <c r="E720" s="3" t="inlineStr">
        <is>
          <t>Czech Republic</t>
        </is>
      </c>
      <c r="F720" s="3" t="inlineStr">
        <is>
          <t>All Items, Consumer price index (CPI), Period average, percent change</t>
        </is>
      </c>
      <c r="G720" s="3" t="n">
        <v>3.781279</v>
      </c>
      <c r="H720" s="3" t="n">
        <v>4.643686</v>
      </c>
      <c r="I720" s="3" t="n">
        <v>1.945725</v>
      </c>
      <c r="J720" s="3" t="n">
        <v>0.100452</v>
      </c>
      <c r="K720" s="3" t="n">
        <v>2.742934</v>
      </c>
      <c r="L720" s="3" t="n">
        <v>1.855771</v>
      </c>
      <c r="M720" s="3" t="n">
        <v>2.50919</v>
      </c>
      <c r="N720" s="3" t="n">
        <v>2.899906</v>
      </c>
      <c r="O720" s="3" t="n">
        <v>6.348485</v>
      </c>
      <c r="P720" s="3" t="n">
        <v>1.01154</v>
      </c>
      <c r="Q720" s="3" t="n">
        <v>1.466855</v>
      </c>
      <c r="R720" s="3" t="n">
        <v>1.932166</v>
      </c>
      <c r="S720" s="3" t="n">
        <v>3.286513</v>
      </c>
      <c r="T720" s="3" t="n">
        <v>1.425931</v>
      </c>
      <c r="U720" s="3" t="n">
        <v>0.351471</v>
      </c>
      <c r="V720" s="3" t="n">
        <v>0.337268</v>
      </c>
      <c r="W720" s="3" t="n">
        <v>0.646412</v>
      </c>
      <c r="X720" s="3" t="n">
        <v>2.440591</v>
      </c>
      <c r="Y720" s="3" t="n">
        <v>2.15674</v>
      </c>
      <c r="Z720" s="3" t="n">
        <v>2.847674</v>
      </c>
      <c r="AA720" s="3" t="n">
        <v>3.162669</v>
      </c>
      <c r="AB720" s="3" t="n">
        <v>3.852383</v>
      </c>
      <c r="AC720" s="3" t="n">
        <v>15.07185</v>
      </c>
      <c r="AD720" s="3" t="n">
        <v>10.696999</v>
      </c>
      <c r="AE720" s="3" t="n">
        <v>2.422387</v>
      </c>
      <c r="AF720" s="3" t="n">
        <v>2.459811</v>
      </c>
      <c r="AG720" s="3" t="n">
        <v>2.438315</v>
      </c>
      <c r="AH720" s="3" t="n">
        <v>2.223713</v>
      </c>
      <c r="AI720" s="3" t="n">
        <v>2.468085</v>
      </c>
      <c r="AJ720" s="3" t="n">
        <v>2</v>
      </c>
      <c r="AK720" s="3" t="n">
        <v>2</v>
      </c>
      <c r="AL720" s="3" t="n">
        <v>2</v>
      </c>
      <c r="AM720" s="3" t="n"/>
      <c r="AN720" s="3" t="n"/>
      <c r="AO720" s="3" t="n"/>
      <c r="AP720" s="3" t="n"/>
      <c r="AQ720" s="3" t="n"/>
      <c r="AR720" s="3" t="n"/>
      <c r="AS720" s="3" t="n"/>
      <c r="AT720" s="3" t="n"/>
      <c r="AU720" s="3" t="n"/>
    </row>
    <row r="721">
      <c r="A721" s="3" t="n">
        <v>2031</v>
      </c>
      <c r="B721" s="3" t="inlineStr">
        <is>
          <t>CZE</t>
        </is>
      </c>
      <c r="C721" s="3" t="inlineStr">
        <is>
          <t>IMF.RES:WEO</t>
        </is>
      </c>
      <c r="D721" s="3" t="inlineStr">
        <is>
          <t>CZE.PPPPC.A</t>
        </is>
      </c>
      <c r="E721" s="3" t="inlineStr">
        <is>
          <t>Czech Republic</t>
        </is>
      </c>
      <c r="F721" s="3" t="inlineStr">
        <is>
          <t>Gross domestic product (GDP), Per capita, purchasing power parity (PPP) international dollar, ICP benchmarks 2017-2021</t>
        </is>
      </c>
      <c r="G721" s="3" t="n">
        <v>18596.17161</v>
      </c>
      <c r="H721" s="3" t="n">
        <v>19657.707364</v>
      </c>
      <c r="I721" s="3" t="n">
        <v>20326.605696</v>
      </c>
      <c r="J721" s="3" t="n">
        <v>21430.016387</v>
      </c>
      <c r="K721" s="3" t="n">
        <v>23042.435193</v>
      </c>
      <c r="L721" s="3" t="n">
        <v>25271.335271</v>
      </c>
      <c r="M721" s="3" t="n">
        <v>27708.888368</v>
      </c>
      <c r="N721" s="3" t="n">
        <v>29931.942037</v>
      </c>
      <c r="O721" s="3" t="n">
        <v>31035.579114</v>
      </c>
      <c r="P721" s="3" t="n">
        <v>29493.767997</v>
      </c>
      <c r="Q721" s="3" t="n">
        <v>30556.211933</v>
      </c>
      <c r="R721" s="3" t="n">
        <v>31664.823777</v>
      </c>
      <c r="S721" s="3" t="n">
        <v>31948.812931</v>
      </c>
      <c r="T721" s="3" t="n">
        <v>32446.01224</v>
      </c>
      <c r="U721" s="3" t="n">
        <v>33764.198034</v>
      </c>
      <c r="V721" s="3" t="n">
        <v>35679.614649</v>
      </c>
      <c r="W721" s="3" t="n">
        <v>36806.635369</v>
      </c>
      <c r="X721" s="3" t="n">
        <v>39288.117281</v>
      </c>
      <c r="Y721" s="3" t="n">
        <v>41560.48942</v>
      </c>
      <c r="Z721" s="3" t="n">
        <v>45519.879016</v>
      </c>
      <c r="AA721" s="3" t="n">
        <v>44823.059736</v>
      </c>
      <c r="AB721" s="3" t="n">
        <v>49943.716596</v>
      </c>
      <c r="AC721" s="3" t="n">
        <v>53439.628748</v>
      </c>
      <c r="AD721" s="3" t="n">
        <v>55325.292592</v>
      </c>
      <c r="AE721" s="3" t="n">
        <v>56963.629708</v>
      </c>
      <c r="AF721" s="3" t="n">
        <v>60247.423233</v>
      </c>
      <c r="AG721" s="3" t="n">
        <v>63549.731326</v>
      </c>
      <c r="AH721" s="3" t="n">
        <v>66589.06161800001</v>
      </c>
      <c r="AI721" s="3" t="n">
        <v>69319.834655</v>
      </c>
      <c r="AJ721" s="3" t="n">
        <v>72100.518987</v>
      </c>
      <c r="AK721" s="3" t="n">
        <v>74975.891044</v>
      </c>
      <c r="AL721" s="3" t="n">
        <v>77941.88972799999</v>
      </c>
      <c r="AM721" s="3" t="n"/>
      <c r="AN721" s="3" t="n"/>
      <c r="AO721" s="3" t="n"/>
      <c r="AP721" s="3" t="n"/>
      <c r="AQ721" s="3" t="n"/>
      <c r="AR721" s="3" t="n"/>
      <c r="AS721" s="3" t="n"/>
      <c r="AT721" s="3" t="n"/>
      <c r="AU721" s="3" t="n"/>
    </row>
    <row r="722">
      <c r="A722" s="3" t="n">
        <v>2025</v>
      </c>
      <c r="B722" s="3" t="inlineStr">
        <is>
          <t>CZE</t>
        </is>
      </c>
      <c r="C722" s="3" t="inlineStr">
        <is>
          <t>IMF.STA:ER</t>
        </is>
      </c>
      <c r="D722" s="3" t="inlineStr">
        <is>
          <t>CZE.XDC_USD.PA_RT.A</t>
        </is>
      </c>
      <c r="E722" s="3" t="inlineStr">
        <is>
          <t>Czech Republic</t>
        </is>
      </c>
      <c r="F722" s="3" t="inlineStr">
        <is>
          <t>Domestic currency per US Dollar</t>
        </is>
      </c>
      <c r="G722" s="3" t="n">
        <v>38.5984166666666</v>
      </c>
      <c r="H722" s="3" t="n">
        <v>38.0353283333333</v>
      </c>
      <c r="I722" s="3" t="n">
        <v>32.7385183333333</v>
      </c>
      <c r="J722" s="3" t="n">
        <v>28.209</v>
      </c>
      <c r="K722" s="3" t="n">
        <v>25.69975</v>
      </c>
      <c r="L722" s="3" t="n">
        <v>23.9574166666666</v>
      </c>
      <c r="M722" s="3" t="n">
        <v>22.5955833333333</v>
      </c>
      <c r="N722" s="3" t="n">
        <v>20.2936666666666</v>
      </c>
      <c r="O722" s="3" t="n">
        <v>17.0716666666666</v>
      </c>
      <c r="P722" s="3" t="n">
        <v>19.063</v>
      </c>
      <c r="Q722" s="3" t="n">
        <v>19.09825</v>
      </c>
      <c r="R722" s="3" t="n">
        <v>17.6959166666666</v>
      </c>
      <c r="S722" s="3" t="n">
        <v>19.5775</v>
      </c>
      <c r="T722" s="3" t="n">
        <v>19.5705833333333</v>
      </c>
      <c r="U722" s="3" t="n">
        <v>20.7575</v>
      </c>
      <c r="V722" s="3" t="n">
        <v>24.59875</v>
      </c>
      <c r="W722" s="3" t="n">
        <v>24.4399166666666</v>
      </c>
      <c r="X722" s="3" t="n">
        <v>23.3763333333333</v>
      </c>
      <c r="Y722" s="3" t="n">
        <v>21.7299166666666</v>
      </c>
      <c r="Z722" s="3" t="n">
        <v>22.93225</v>
      </c>
      <c r="AA722" s="3" t="n">
        <v>23.21025</v>
      </c>
      <c r="AB722" s="3" t="n">
        <v>21.6781666666666</v>
      </c>
      <c r="AC722" s="3" t="n">
        <v>23.357</v>
      </c>
      <c r="AD722" s="3" t="n">
        <v>22.1980833333333</v>
      </c>
      <c r="AE722" s="3" t="n">
        <v>23.2168333333333</v>
      </c>
      <c r="AF722" s="3" t="n">
        <v>21.882</v>
      </c>
      <c r="AG722" s="3" t="n"/>
      <c r="AH722" s="3" t="n"/>
      <c r="AI722" s="3" t="n"/>
      <c r="AJ722" s="3" t="n"/>
      <c r="AK722" s="3" t="n"/>
      <c r="AL722" s="3" t="n"/>
      <c r="AM722" s="3" t="n"/>
      <c r="AN722" s="3" t="n"/>
      <c r="AO722" s="3" t="n"/>
      <c r="AP722" s="3" t="n"/>
      <c r="AQ722" s="3" t="n"/>
      <c r="AR722" s="3" t="n"/>
      <c r="AS722" s="3" t="n"/>
      <c r="AT722" s="3" t="n"/>
      <c r="AU722" s="3" t="n"/>
    </row>
    <row r="723">
      <c r="A723" s="3" t="n">
        <v>2031</v>
      </c>
      <c r="B723" s="3" t="inlineStr">
        <is>
          <t>DEU</t>
        </is>
      </c>
      <c r="C723" s="3" t="inlineStr">
        <is>
          <t>IMF.RES:WEO</t>
        </is>
      </c>
      <c r="D723" s="3" t="inlineStr">
        <is>
          <t>DEU.BCA.A</t>
        </is>
      </c>
      <c r="E723" s="3" t="inlineStr">
        <is>
          <t>Germany</t>
        </is>
      </c>
      <c r="F723" s="3" t="inlineStr">
        <is>
          <t>Current account balance (credit less debit), US dollar</t>
        </is>
      </c>
      <c r="G723" s="3" t="n">
        <v>-29.992692</v>
      </c>
      <c r="H723" s="3" t="n">
        <v>-3.411037</v>
      </c>
      <c r="I723" s="3" t="n">
        <v>41.056137</v>
      </c>
      <c r="J723" s="3" t="n">
        <v>37.996783</v>
      </c>
      <c r="K723" s="3" t="n">
        <v>128.708168</v>
      </c>
      <c r="L723" s="3" t="n">
        <v>134.648475</v>
      </c>
      <c r="M723" s="3" t="n">
        <v>176.990941</v>
      </c>
      <c r="N723" s="3" t="n">
        <v>232.471246</v>
      </c>
      <c r="O723" s="3" t="n">
        <v>213.276679</v>
      </c>
      <c r="P723" s="3" t="n">
        <v>201.727684</v>
      </c>
      <c r="Q723" s="3" t="n">
        <v>199.297892</v>
      </c>
      <c r="R723" s="3" t="n">
        <v>240.525493</v>
      </c>
      <c r="S723" s="3" t="n">
        <v>258.762577</v>
      </c>
      <c r="T723" s="3" t="n">
        <v>255.462061</v>
      </c>
      <c r="U723" s="3" t="n">
        <v>286.93975</v>
      </c>
      <c r="V723" s="3" t="n">
        <v>277.503798</v>
      </c>
      <c r="W723" s="3" t="n">
        <v>315.00583</v>
      </c>
      <c r="X723" s="3" t="n">
        <v>303.471089</v>
      </c>
      <c r="Y723" s="3" t="n">
        <v>341.671501</v>
      </c>
      <c r="Z723" s="3" t="n">
        <v>311.781861</v>
      </c>
      <c r="AA723" s="3" t="n">
        <v>248.834448</v>
      </c>
      <c r="AB723" s="3" t="n">
        <v>301.096835</v>
      </c>
      <c r="AC723" s="3" t="n">
        <v>160.227972</v>
      </c>
      <c r="AD723" s="3" t="n">
        <v>251.784065</v>
      </c>
      <c r="AE723" s="3" t="n">
        <v>272.103139</v>
      </c>
      <c r="AF723" s="3" t="n">
        <v>222.917301</v>
      </c>
      <c r="AG723" s="3" t="n">
        <v>211.747461</v>
      </c>
      <c r="AH723" s="3" t="n">
        <v>216.661209</v>
      </c>
      <c r="AI723" s="3" t="n">
        <v>223.310354</v>
      </c>
      <c r="AJ723" s="3" t="n">
        <v>230.579713</v>
      </c>
      <c r="AK723" s="3" t="n">
        <v>237.520764</v>
      </c>
      <c r="AL723" s="3" t="n">
        <v>243.613302</v>
      </c>
      <c r="AM723" s="3" t="n"/>
      <c r="AN723" s="3" t="n"/>
      <c r="AO723" s="3" t="n"/>
      <c r="AP723" s="3" t="n"/>
      <c r="AQ723" s="3" t="n"/>
      <c r="AR723" s="3" t="n"/>
      <c r="AS723" s="3" t="n"/>
      <c r="AT723" s="3" t="n"/>
      <c r="AU723" s="3" t="n"/>
    </row>
    <row r="724">
      <c r="A724" s="3" t="n">
        <v>2031</v>
      </c>
      <c r="B724" s="3" t="inlineStr">
        <is>
          <t>DEU</t>
        </is>
      </c>
      <c r="C724" s="3" t="inlineStr">
        <is>
          <t>IMF.RES:WEO</t>
        </is>
      </c>
      <c r="D724" s="3" t="inlineStr">
        <is>
          <t>DEU.BCA_NGDPD.A</t>
        </is>
      </c>
      <c r="E724" s="3" t="inlineStr">
        <is>
          <t>Germany</t>
        </is>
      </c>
      <c r="F724" s="3" t="inlineStr">
        <is>
          <t>Current account balance (credit less debit), Percent of GDP</t>
        </is>
      </c>
      <c r="G724" s="3" t="n">
        <v>-1.524135</v>
      </c>
      <c r="H724" s="3" t="n">
        <v>-0.173467</v>
      </c>
      <c r="I724" s="3" t="n">
        <v>1.954249</v>
      </c>
      <c r="J724" s="3" t="n">
        <v>1.499431</v>
      </c>
      <c r="K724" s="3" t="n">
        <v>4.514455</v>
      </c>
      <c r="L724" s="3" t="n">
        <v>4.651082</v>
      </c>
      <c r="M724" s="3" t="n">
        <v>5.809705</v>
      </c>
      <c r="N724" s="3" t="n">
        <v>6.671644</v>
      </c>
      <c r="O724" s="3" t="n">
        <v>5.601076</v>
      </c>
      <c r="P724" s="3" t="n">
        <v>5.8055</v>
      </c>
      <c r="Q724" s="3" t="n">
        <v>5.743578</v>
      </c>
      <c r="R724" s="3" t="n">
        <v>6.291698</v>
      </c>
      <c r="S724" s="3" t="n">
        <v>7.190325</v>
      </c>
      <c r="T724" s="3" t="n">
        <v>6.710185</v>
      </c>
      <c r="U724" s="3" t="n">
        <v>7.235187</v>
      </c>
      <c r="V724" s="3" t="n">
        <v>8.101245</v>
      </c>
      <c r="W724" s="3" t="n">
        <v>8.90901</v>
      </c>
      <c r="X724" s="3" t="n">
        <v>8.062412999999999</v>
      </c>
      <c r="Y724" s="3" t="n">
        <v>8.421212000000001</v>
      </c>
      <c r="Z724" s="3" t="n">
        <v>7.87262</v>
      </c>
      <c r="AA724" s="3" t="n">
        <v>6.318411</v>
      </c>
      <c r="AB724" s="3" t="n">
        <v>6.908826</v>
      </c>
      <c r="AC724" s="3" t="n">
        <v>3.811026</v>
      </c>
      <c r="AD724" s="3" t="n">
        <v>5.517317</v>
      </c>
      <c r="AE724" s="3" t="n">
        <v>5.808979</v>
      </c>
      <c r="AF724" s="3" t="n">
        <v>4.415901</v>
      </c>
      <c r="AG724" s="3" t="n">
        <v>3.883238</v>
      </c>
      <c r="AH724" s="3" t="n">
        <v>3.840043</v>
      </c>
      <c r="AI724" s="3" t="n">
        <v>3.837684</v>
      </c>
      <c r="AJ724" s="3" t="n">
        <v>3.840991</v>
      </c>
      <c r="AK724" s="3" t="n">
        <v>3.844434</v>
      </c>
      <c r="AL724" s="3" t="n">
        <v>3.835245</v>
      </c>
      <c r="AM724" s="3" t="n"/>
      <c r="AN724" s="3" t="n"/>
      <c r="AO724" s="3" t="n"/>
      <c r="AP724" s="3" t="n"/>
      <c r="AQ724" s="3" t="n"/>
      <c r="AR724" s="3" t="n"/>
      <c r="AS724" s="3" t="n"/>
      <c r="AT724" s="3" t="n"/>
      <c r="AU724" s="3" t="n"/>
    </row>
    <row r="725">
      <c r="A725" s="3" t="n">
        <v>2031</v>
      </c>
      <c r="B725" s="3" t="inlineStr">
        <is>
          <t>DEU</t>
        </is>
      </c>
      <c r="C725" s="3" t="inlineStr">
        <is>
          <t>IMF.RES:WEO</t>
        </is>
      </c>
      <c r="D725" s="3" t="inlineStr">
        <is>
          <t>DEU.GGR_NGDP.A</t>
        </is>
      </c>
      <c r="E725" s="3" t="inlineStr">
        <is>
          <t>Germany</t>
        </is>
      </c>
      <c r="F725" s="3" t="inlineStr">
        <is>
          <t>Revenue, General government, Percent of GDP</t>
        </is>
      </c>
      <c r="G725" s="3" t="n">
        <v>46.342421</v>
      </c>
      <c r="H725" s="3" t="n">
        <v>44.528064</v>
      </c>
      <c r="I725" s="3" t="n">
        <v>44.157851</v>
      </c>
      <c r="J725" s="3" t="n">
        <v>44.684244</v>
      </c>
      <c r="K725" s="3" t="n">
        <v>43.550701</v>
      </c>
      <c r="L725" s="3" t="n">
        <v>43.496266</v>
      </c>
      <c r="M725" s="3" t="n">
        <v>43.553652</v>
      </c>
      <c r="N725" s="3" t="n">
        <v>43.694724</v>
      </c>
      <c r="O725" s="3" t="n">
        <v>44.161736</v>
      </c>
      <c r="P725" s="3" t="n">
        <v>45.133342</v>
      </c>
      <c r="Q725" s="3" t="n">
        <v>43.70835</v>
      </c>
      <c r="R725" s="3" t="n">
        <v>44.449545</v>
      </c>
      <c r="S725" s="3" t="n">
        <v>45.046798</v>
      </c>
      <c r="T725" s="3" t="n">
        <v>45.285926</v>
      </c>
      <c r="U725" s="3" t="n">
        <v>45.239657</v>
      </c>
      <c r="V725" s="3" t="n">
        <v>45.40066</v>
      </c>
      <c r="W725" s="3" t="n">
        <v>45.865311</v>
      </c>
      <c r="X725" s="3" t="n">
        <v>45.876764</v>
      </c>
      <c r="Y725" s="3" t="n">
        <v>46.534101</v>
      </c>
      <c r="Z725" s="3" t="n">
        <v>46.859847</v>
      </c>
      <c r="AA725" s="3" t="n">
        <v>46.733812</v>
      </c>
      <c r="AB725" s="3" t="n">
        <v>47.502105</v>
      </c>
      <c r="AC725" s="3" t="n">
        <v>46.700623</v>
      </c>
      <c r="AD725" s="3" t="n">
        <v>45.651635</v>
      </c>
      <c r="AE725" s="3" t="n">
        <v>46.764519</v>
      </c>
      <c r="AF725" s="3" t="n">
        <v>47.880024</v>
      </c>
      <c r="AG725" s="3" t="n">
        <v>47.890849</v>
      </c>
      <c r="AH725" s="3" t="n">
        <v>47.844172</v>
      </c>
      <c r="AI725" s="3" t="n">
        <v>47.791902</v>
      </c>
      <c r="AJ725" s="3" t="n">
        <v>48.023408</v>
      </c>
      <c r="AK725" s="3" t="n">
        <v>47.979558</v>
      </c>
      <c r="AL725" s="3" t="n">
        <v>47.982491</v>
      </c>
      <c r="AM725" s="3" t="n"/>
      <c r="AN725" s="3" t="n"/>
      <c r="AO725" s="3" t="n"/>
      <c r="AP725" s="3" t="n"/>
      <c r="AQ725" s="3" t="n"/>
      <c r="AR725" s="3" t="n"/>
      <c r="AS725" s="3" t="n"/>
      <c r="AT725" s="3" t="n"/>
      <c r="AU725" s="3" t="n"/>
    </row>
    <row r="726">
      <c r="A726" s="3" t="n">
        <v>2031</v>
      </c>
      <c r="B726" s="3" t="inlineStr">
        <is>
          <t>DEU</t>
        </is>
      </c>
      <c r="C726" s="3" t="inlineStr">
        <is>
          <t>IMF.RES:WEO</t>
        </is>
      </c>
      <c r="D726" s="3" t="inlineStr">
        <is>
          <t>DEU.GGX_NGDP.A</t>
        </is>
      </c>
      <c r="E726" s="3" t="inlineStr">
        <is>
          <t>Germany</t>
        </is>
      </c>
      <c r="F726" s="3" t="inlineStr">
        <is>
          <t>Expenditure, General government, Percent of GDP</t>
        </is>
      </c>
      <c r="G726" s="3" t="n">
        <v>48.056732</v>
      </c>
      <c r="H726" s="3" t="n">
        <v>47.652685</v>
      </c>
      <c r="I726" s="3" t="n">
        <v>48.244009</v>
      </c>
      <c r="J726" s="3" t="n">
        <v>48.513752</v>
      </c>
      <c r="K726" s="3" t="n">
        <v>46.971706</v>
      </c>
      <c r="L726" s="3" t="n">
        <v>46.867107</v>
      </c>
      <c r="M726" s="3" t="n">
        <v>45.308839</v>
      </c>
      <c r="N726" s="3" t="n">
        <v>43.539859</v>
      </c>
      <c r="O726" s="3" t="n">
        <v>44.424705</v>
      </c>
      <c r="P726" s="3" t="n">
        <v>48.309282</v>
      </c>
      <c r="Q726" s="3" t="n">
        <v>48.129326</v>
      </c>
      <c r="R726" s="3" t="n">
        <v>45.289544</v>
      </c>
      <c r="S726" s="3" t="n">
        <v>45.101133</v>
      </c>
      <c r="T726" s="3" t="n">
        <v>45.163406</v>
      </c>
      <c r="U726" s="3" t="n">
        <v>44.508137</v>
      </c>
      <c r="V726" s="3" t="n">
        <v>44.485897</v>
      </c>
      <c r="W726" s="3" t="n">
        <v>44.731207</v>
      </c>
      <c r="X726" s="3" t="n">
        <v>44.539544</v>
      </c>
      <c r="Y726" s="3" t="n">
        <v>44.650979</v>
      </c>
      <c r="Z726" s="3" t="n">
        <v>45.532584</v>
      </c>
      <c r="AA726" s="3" t="n">
        <v>51.113507</v>
      </c>
      <c r="AB726" s="3" t="n">
        <v>50.669384</v>
      </c>
      <c r="AC726" s="3" t="n">
        <v>48.609136</v>
      </c>
      <c r="AD726" s="3" t="n">
        <v>48.146095</v>
      </c>
      <c r="AE726" s="3" t="n">
        <v>49.427855</v>
      </c>
      <c r="AF726" s="3" t="n">
        <v>50.545559</v>
      </c>
      <c r="AG726" s="3" t="n">
        <v>51.668369</v>
      </c>
      <c r="AH726" s="3" t="n">
        <v>52.073115</v>
      </c>
      <c r="AI726" s="3" t="n">
        <v>51.853197</v>
      </c>
      <c r="AJ726" s="3" t="n">
        <v>51.921688</v>
      </c>
      <c r="AK726" s="3" t="n">
        <v>51.81318</v>
      </c>
      <c r="AL726" s="3" t="n">
        <v>51.642439</v>
      </c>
      <c r="AM726" s="3" t="n"/>
      <c r="AN726" s="3" t="n"/>
      <c r="AO726" s="3" t="n"/>
      <c r="AP726" s="3" t="n"/>
      <c r="AQ726" s="3" t="n"/>
      <c r="AR726" s="3" t="n"/>
      <c r="AS726" s="3" t="n"/>
      <c r="AT726" s="3" t="n"/>
      <c r="AU726" s="3" t="n"/>
    </row>
    <row r="727">
      <c r="A727" s="3" t="n">
        <v>2027</v>
      </c>
      <c r="B727" s="3" t="inlineStr">
        <is>
          <t>DEU</t>
        </is>
      </c>
      <c r="C727" s="3" t="inlineStr">
        <is>
          <t>IMF.RES:WEO</t>
        </is>
      </c>
      <c r="D727" s="3" t="inlineStr">
        <is>
          <t>DEU.LE.A</t>
        </is>
      </c>
      <c r="E727" s="3" t="inlineStr">
        <is>
          <t>Germany</t>
        </is>
      </c>
      <c r="F727" s="3" t="inlineStr">
        <is>
          <t>Employed persons, Persons for countries / Index for country groups</t>
        </is>
      </c>
      <c r="G727" s="3" t="n">
        <v>36.065</v>
      </c>
      <c r="H727" s="3" t="n">
        <v>36.185833</v>
      </c>
      <c r="I727" s="3" t="n">
        <v>35.8725</v>
      </c>
      <c r="J727" s="3" t="n">
        <v>35.505833</v>
      </c>
      <c r="K727" s="3" t="n">
        <v>35.428333</v>
      </c>
      <c r="L727" s="3" t="n">
        <v>35.668333</v>
      </c>
      <c r="M727" s="3" t="n">
        <v>36.379167</v>
      </c>
      <c r="N727" s="3" t="n">
        <v>37.165</v>
      </c>
      <c r="O727" s="3" t="n">
        <v>37.660833</v>
      </c>
      <c r="P727" s="3" t="n">
        <v>37.801667</v>
      </c>
      <c r="Q727" s="3" t="n">
        <v>37.459167</v>
      </c>
      <c r="R727" s="3" t="n">
        <v>38.151667</v>
      </c>
      <c r="S727" s="3" t="n">
        <v>38.491667</v>
      </c>
      <c r="T727" s="3" t="n">
        <v>38.816667</v>
      </c>
      <c r="U727" s="3" t="n">
        <v>39.105833</v>
      </c>
      <c r="V727" s="3" t="n">
        <v>39.368333</v>
      </c>
      <c r="W727" s="3" t="n">
        <v>40.268333</v>
      </c>
      <c r="X727" s="3" t="n">
        <v>40.623333</v>
      </c>
      <c r="Y727" s="3" t="n">
        <v>40.805833</v>
      </c>
      <c r="Z727" s="3" t="n">
        <v>41.12</v>
      </c>
      <c r="AA727" s="3" t="n">
        <v>40.28</v>
      </c>
      <c r="AB727" s="3" t="n">
        <v>40.709167</v>
      </c>
      <c r="AC727" s="3" t="n">
        <v>41.746667</v>
      </c>
      <c r="AD727" s="3" t="n">
        <v>42.2825</v>
      </c>
      <c r="AE727" s="3" t="n">
        <v>42.48</v>
      </c>
      <c r="AF727" s="3" t="n">
        <v>42.459167</v>
      </c>
      <c r="AG727" s="3" t="n">
        <v>42.340332</v>
      </c>
      <c r="AH727" s="3" t="n">
        <v>42.430352</v>
      </c>
      <c r="AI727" s="3" t="n"/>
      <c r="AJ727" s="3" t="n"/>
      <c r="AK727" s="3" t="n"/>
      <c r="AL727" s="3" t="n"/>
      <c r="AM727" s="3" t="n"/>
      <c r="AN727" s="3" t="n"/>
      <c r="AO727" s="3" t="n"/>
      <c r="AP727" s="3" t="n"/>
      <c r="AQ727" s="3" t="n"/>
      <c r="AR727" s="3" t="n"/>
      <c r="AS727" s="3" t="n"/>
      <c r="AT727" s="3" t="n"/>
      <c r="AU727" s="3" t="n"/>
    </row>
    <row r="728">
      <c r="A728" s="3" t="n">
        <v>2031</v>
      </c>
      <c r="B728" s="3" t="inlineStr">
        <is>
          <t>DEU</t>
        </is>
      </c>
      <c r="C728" s="3" t="inlineStr">
        <is>
          <t>IMF.RES:WEO</t>
        </is>
      </c>
      <c r="D728" s="3" t="inlineStr">
        <is>
          <t>DEU.LP.A</t>
        </is>
      </c>
      <c r="E728" s="3" t="inlineStr">
        <is>
          <t>Germany</t>
        </is>
      </c>
      <c r="F728" s="3" t="inlineStr">
        <is>
          <t>Population, Persons for countries / Index for country groups</t>
        </is>
      </c>
      <c r="G728" s="3" t="n">
        <v>81.45675</v>
      </c>
      <c r="H728" s="3" t="n">
        <v>81.5175</v>
      </c>
      <c r="I728" s="3" t="n">
        <v>81.57850000000001</v>
      </c>
      <c r="J728" s="3" t="n">
        <v>81.54875</v>
      </c>
      <c r="K728" s="3" t="n">
        <v>81.45675</v>
      </c>
      <c r="L728" s="3" t="n">
        <v>81.33750000000001</v>
      </c>
      <c r="M728" s="3" t="n">
        <v>81.17375</v>
      </c>
      <c r="N728" s="3" t="n">
        <v>80.99325</v>
      </c>
      <c r="O728" s="3" t="n">
        <v>80.7645</v>
      </c>
      <c r="P728" s="3" t="n">
        <v>80.48350000000001</v>
      </c>
      <c r="Q728" s="3" t="n">
        <v>80.285</v>
      </c>
      <c r="R728" s="3" t="n">
        <v>80.276</v>
      </c>
      <c r="S728" s="3" t="n">
        <v>80.38575</v>
      </c>
      <c r="T728" s="3" t="n">
        <v>80.51775000000001</v>
      </c>
      <c r="U728" s="3" t="n">
        <v>80.7585</v>
      </c>
      <c r="V728" s="3" t="n">
        <v>81.34650000000001</v>
      </c>
      <c r="W728" s="3" t="n">
        <v>81.86725</v>
      </c>
      <c r="X728" s="3" t="n">
        <v>82.038</v>
      </c>
      <c r="Y728" s="3" t="n">
        <v>82.15675</v>
      </c>
      <c r="Z728" s="3" t="n">
        <v>82.20274999999999</v>
      </c>
      <c r="AA728" s="3" t="n">
        <v>82.126</v>
      </c>
      <c r="AB728" s="3" t="n">
        <v>81.99475</v>
      </c>
      <c r="AC728" s="3" t="n">
        <v>82.529</v>
      </c>
      <c r="AD728" s="3" t="n">
        <v>83.2865</v>
      </c>
      <c r="AE728" s="3" t="n">
        <v>83.51649999999999</v>
      </c>
      <c r="AF728" s="3" t="n">
        <v>83.5235</v>
      </c>
      <c r="AG728" s="3" t="n">
        <v>83.501017</v>
      </c>
      <c r="AH728" s="3" t="n">
        <v>83.44766199999999</v>
      </c>
      <c r="AI728" s="3" t="n">
        <v>83.359302</v>
      </c>
      <c r="AJ728" s="3" t="n">
        <v>83.275324</v>
      </c>
      <c r="AK728" s="3" t="n">
        <v>83.194121</v>
      </c>
      <c r="AL728" s="3" t="n">
        <v>83.11268200000001</v>
      </c>
      <c r="AM728" s="3" t="n"/>
      <c r="AN728" s="3" t="n"/>
      <c r="AO728" s="3" t="n"/>
      <c r="AP728" s="3" t="n"/>
      <c r="AQ728" s="3" t="n"/>
      <c r="AR728" s="3" t="n"/>
      <c r="AS728" s="3" t="n"/>
      <c r="AT728" s="3" t="n"/>
      <c r="AU728" s="3" t="n"/>
    </row>
    <row r="729">
      <c r="A729" s="3" t="n">
        <v>2031</v>
      </c>
      <c r="B729" s="3" t="inlineStr">
        <is>
          <t>DEU</t>
        </is>
      </c>
      <c r="C729" s="3" t="inlineStr">
        <is>
          <t>IMF.RES:WEO</t>
        </is>
      </c>
      <c r="D729" s="3" t="inlineStr">
        <is>
          <t>DEU.NGDP.A</t>
        </is>
      </c>
      <c r="E729" s="3" t="inlineStr">
        <is>
          <t>Germany</t>
        </is>
      </c>
      <c r="F729" s="3" t="inlineStr">
        <is>
          <t>Gross domestic product (GDP), Current prices, Domestic currency</t>
        </is>
      </c>
      <c r="G729" s="3" t="n">
        <v>2129.66</v>
      </c>
      <c r="H729" s="3" t="n">
        <v>2195.53</v>
      </c>
      <c r="I729" s="3" t="n">
        <v>2223.36</v>
      </c>
      <c r="J729" s="3" t="n">
        <v>2240.81</v>
      </c>
      <c r="K729" s="3" t="n">
        <v>2293.04</v>
      </c>
      <c r="L729" s="3" t="n">
        <v>2325.71</v>
      </c>
      <c r="M729" s="3" t="n">
        <v>2426.18</v>
      </c>
      <c r="N729" s="3" t="n">
        <v>2542.22</v>
      </c>
      <c r="O729" s="3" t="n">
        <v>2589.28</v>
      </c>
      <c r="P729" s="3" t="n">
        <v>2493.97</v>
      </c>
      <c r="Q729" s="3" t="n">
        <v>2615.26</v>
      </c>
      <c r="R729" s="3" t="n">
        <v>2746.91</v>
      </c>
      <c r="S729" s="3" t="n">
        <v>2799.28</v>
      </c>
      <c r="T729" s="3" t="n">
        <v>2866.48</v>
      </c>
      <c r="U729" s="3" t="n">
        <v>2984.47</v>
      </c>
      <c r="V729" s="3" t="n">
        <v>3087.03</v>
      </c>
      <c r="W729" s="3" t="n">
        <v>3195.21</v>
      </c>
      <c r="X729" s="3" t="n">
        <v>3333.11</v>
      </c>
      <c r="Y729" s="3" t="n">
        <v>3434.03</v>
      </c>
      <c r="Z729" s="3" t="n">
        <v>3537.28</v>
      </c>
      <c r="AA729" s="3" t="n">
        <v>3450.72</v>
      </c>
      <c r="AB729" s="3" t="n">
        <v>3682.34</v>
      </c>
      <c r="AC729" s="3" t="n">
        <v>3989.39</v>
      </c>
      <c r="AD729" s="3" t="n">
        <v>4219.31</v>
      </c>
      <c r="AE729" s="3" t="n">
        <v>4328.97</v>
      </c>
      <c r="AF729" s="3" t="n">
        <v>4469.91</v>
      </c>
      <c r="AG729" s="3" t="n">
        <v>4624.127209</v>
      </c>
      <c r="AH729" s="3" t="n">
        <v>4795.694746</v>
      </c>
      <c r="AI729" s="3" t="n">
        <v>4959.316792</v>
      </c>
      <c r="AJ729" s="3" t="n">
        <v>5119.060408</v>
      </c>
      <c r="AK729" s="3" t="n">
        <v>5269.259365</v>
      </c>
      <c r="AL729" s="3" t="n">
        <v>5418.259308</v>
      </c>
      <c r="AM729" s="3" t="n"/>
      <c r="AN729" s="3" t="n"/>
      <c r="AO729" s="3" t="n"/>
      <c r="AP729" s="3" t="n"/>
      <c r="AQ729" s="3" t="n"/>
      <c r="AR729" s="3" t="n"/>
      <c r="AS729" s="3" t="n"/>
      <c r="AT729" s="3" t="n"/>
      <c r="AU729" s="3" t="n"/>
    </row>
    <row r="730">
      <c r="A730" s="3" t="n">
        <v>2031</v>
      </c>
      <c r="B730" s="3" t="inlineStr">
        <is>
          <t>DEU</t>
        </is>
      </c>
      <c r="C730" s="3" t="inlineStr">
        <is>
          <t>IMF.RES:WEO</t>
        </is>
      </c>
      <c r="D730" s="3" t="inlineStr">
        <is>
          <t>DEU.NGDP_D.A</t>
        </is>
      </c>
      <c r="E730" s="3" t="inlineStr">
        <is>
          <t>Germany</t>
        </is>
      </c>
      <c r="F730" s="3" t="inlineStr">
        <is>
          <t>Gross domestic product (GDP), Price deflator, Index</t>
        </is>
      </c>
      <c r="G730" s="3" t="n">
        <v>75.35365299999999</v>
      </c>
      <c r="H730" s="3" t="n">
        <v>76.431128</v>
      </c>
      <c r="I730" s="3" t="n">
        <v>77.58171299999999</v>
      </c>
      <c r="J730" s="3" t="n">
        <v>78.60726</v>
      </c>
      <c r="K730" s="3" t="n">
        <v>79.51287499999999</v>
      </c>
      <c r="L730" s="3" t="n">
        <v>79.935315</v>
      </c>
      <c r="M730" s="3" t="n">
        <v>80.291889</v>
      </c>
      <c r="N730" s="3" t="n">
        <v>81.76733400000001</v>
      </c>
      <c r="O730" s="3" t="n">
        <v>82.54763699999999</v>
      </c>
      <c r="P730" s="3" t="n">
        <v>84.181516</v>
      </c>
      <c r="Q730" s="3" t="n">
        <v>84.762979</v>
      </c>
      <c r="R730" s="3" t="n">
        <v>85.805543</v>
      </c>
      <c r="S730" s="3" t="n">
        <v>87.035793</v>
      </c>
      <c r="T730" s="3" t="n">
        <v>88.774919</v>
      </c>
      <c r="U730" s="3" t="n">
        <v>90.459592</v>
      </c>
      <c r="V730" s="3" t="n">
        <v>92.03750599999999</v>
      </c>
      <c r="W730" s="3" t="n">
        <v>93.196382</v>
      </c>
      <c r="X730" s="3" t="n">
        <v>94.565433</v>
      </c>
      <c r="Y730" s="3" t="n">
        <v>96.337036</v>
      </c>
      <c r="Z730" s="3" t="n">
        <v>98.277433</v>
      </c>
      <c r="AA730" s="3" t="n">
        <v>100</v>
      </c>
      <c r="AB730" s="3" t="n">
        <v>102.694291</v>
      </c>
      <c r="AC730" s="3" t="n">
        <v>109.282787</v>
      </c>
      <c r="AD730" s="3" t="n">
        <v>116.597719</v>
      </c>
      <c r="AE730" s="3" t="n">
        <v>120.224454</v>
      </c>
      <c r="AF730" s="3" t="n">
        <v>123.841834</v>
      </c>
      <c r="AG730" s="3" t="n">
        <v>127.109568</v>
      </c>
      <c r="AH730" s="3" t="n">
        <v>130.284629</v>
      </c>
      <c r="AI730" s="3" t="n">
        <v>133.137075</v>
      </c>
      <c r="AJ730" s="3" t="n">
        <v>136.140178</v>
      </c>
      <c r="AK730" s="3" t="n">
        <v>139.222746</v>
      </c>
      <c r="AL730" s="3" t="n">
        <v>142.273173</v>
      </c>
      <c r="AM730" s="3" t="n"/>
      <c r="AN730" s="3" t="n"/>
      <c r="AO730" s="3" t="n"/>
      <c r="AP730" s="3" t="n"/>
      <c r="AQ730" s="3" t="n"/>
      <c r="AR730" s="3" t="n"/>
      <c r="AS730" s="3" t="n"/>
      <c r="AT730" s="3" t="n"/>
      <c r="AU730" s="3" t="n"/>
    </row>
    <row r="731">
      <c r="A731" s="3" t="n">
        <v>2031</v>
      </c>
      <c r="B731" s="3" t="inlineStr">
        <is>
          <t>DEU</t>
        </is>
      </c>
      <c r="C731" s="3" t="inlineStr">
        <is>
          <t>IMF.RES:WEO</t>
        </is>
      </c>
      <c r="D731" s="3" t="inlineStr">
        <is>
          <t>DEU.NGDP_R.A</t>
        </is>
      </c>
      <c r="E731" s="3" t="inlineStr">
        <is>
          <t>Germany</t>
        </is>
      </c>
      <c r="F731" s="3" t="inlineStr">
        <is>
          <t>Gross domestic product (GDP), Constant prices, Domestic currency</t>
        </is>
      </c>
      <c r="G731" s="3" t="n">
        <v>2826.22</v>
      </c>
      <c r="H731" s="3" t="n">
        <v>2872.56</v>
      </c>
      <c r="I731" s="3" t="n">
        <v>2865.83</v>
      </c>
      <c r="J731" s="3" t="n">
        <v>2850.64</v>
      </c>
      <c r="K731" s="3" t="n">
        <v>2883.86</v>
      </c>
      <c r="L731" s="3" t="n">
        <v>2909.49</v>
      </c>
      <c r="M731" s="3" t="n">
        <v>3021.7</v>
      </c>
      <c r="N731" s="3" t="n">
        <v>3109.09</v>
      </c>
      <c r="O731" s="3" t="n">
        <v>3136.71</v>
      </c>
      <c r="P731" s="3" t="n">
        <v>2962.61</v>
      </c>
      <c r="Q731" s="3" t="n">
        <v>3085.38</v>
      </c>
      <c r="R731" s="3" t="n">
        <v>3201.32</v>
      </c>
      <c r="S731" s="3" t="n">
        <v>3216.24</v>
      </c>
      <c r="T731" s="3" t="n">
        <v>3228.93</v>
      </c>
      <c r="U731" s="3" t="n">
        <v>3299.23</v>
      </c>
      <c r="V731" s="3" t="n">
        <v>3354.1</v>
      </c>
      <c r="W731" s="3" t="n">
        <v>3428.47</v>
      </c>
      <c r="X731" s="3" t="n">
        <v>3524.66</v>
      </c>
      <c r="Y731" s="3" t="n">
        <v>3564.6</v>
      </c>
      <c r="Z731" s="3" t="n">
        <v>3599.28</v>
      </c>
      <c r="AA731" s="3" t="n">
        <v>3450.72</v>
      </c>
      <c r="AB731" s="3" t="n">
        <v>3585.73</v>
      </c>
      <c r="AC731" s="3" t="n">
        <v>3650.52</v>
      </c>
      <c r="AD731" s="3" t="n">
        <v>3618.69</v>
      </c>
      <c r="AE731" s="3" t="n">
        <v>3600.74</v>
      </c>
      <c r="AF731" s="3" t="n">
        <v>3609.37</v>
      </c>
      <c r="AG731" s="3" t="n">
        <v>3637.906477</v>
      </c>
      <c r="AH731" s="3" t="n">
        <v>3680.93673</v>
      </c>
      <c r="AI731" s="3" t="n">
        <v>3724.970506</v>
      </c>
      <c r="AJ731" s="3" t="n">
        <v>3760.139343</v>
      </c>
      <c r="AK731" s="3" t="n">
        <v>3784.769036</v>
      </c>
      <c r="AL731" s="3" t="n">
        <v>3808.349251</v>
      </c>
      <c r="AM731" s="3" t="n"/>
      <c r="AN731" s="3" t="n"/>
      <c r="AO731" s="3" t="n"/>
      <c r="AP731" s="3" t="n"/>
      <c r="AQ731" s="3" t="n"/>
      <c r="AR731" s="3" t="n"/>
      <c r="AS731" s="3" t="n"/>
      <c r="AT731" s="3" t="n"/>
      <c r="AU731" s="3" t="n"/>
    </row>
    <row r="732">
      <c r="A732" s="3" t="n">
        <v>2031</v>
      </c>
      <c r="B732" s="3" t="inlineStr">
        <is>
          <t>DEU</t>
        </is>
      </c>
      <c r="C732" s="3" t="inlineStr">
        <is>
          <t>IMF.RES:WEO</t>
        </is>
      </c>
      <c r="D732" s="3" t="inlineStr">
        <is>
          <t>DEU.NGDP_RPCH.A</t>
        </is>
      </c>
      <c r="E732" s="3" t="inlineStr">
        <is>
          <t>Germany</t>
        </is>
      </c>
      <c r="F732" s="3" t="inlineStr">
        <is>
          <t>Gross domestic product (GDP), Constant prices, Percent change</t>
        </is>
      </c>
      <c r="G732" s="3" t="n">
        <v>2.879005</v>
      </c>
      <c r="H732" s="3" t="n">
        <v>1.639646</v>
      </c>
      <c r="I732" s="3" t="n">
        <v>-0.234286</v>
      </c>
      <c r="J732" s="3" t="n">
        <v>-0.530038</v>
      </c>
      <c r="K732" s="3" t="n">
        <v>1.165352</v>
      </c>
      <c r="L732" s="3" t="n">
        <v>0.8887389999999999</v>
      </c>
      <c r="M732" s="3" t="n">
        <v>3.85669</v>
      </c>
      <c r="N732" s="3" t="n">
        <v>2.892081</v>
      </c>
      <c r="O732" s="3" t="n">
        <v>0.888363</v>
      </c>
      <c r="P732" s="3" t="n">
        <v>-5.550402</v>
      </c>
      <c r="Q732" s="3" t="n">
        <v>4.143981</v>
      </c>
      <c r="R732" s="3" t="n">
        <v>3.757722</v>
      </c>
      <c r="S732" s="3" t="n">
        <v>0.466058</v>
      </c>
      <c r="T732" s="3" t="n">
        <v>0.39456</v>
      </c>
      <c r="U732" s="3" t="n">
        <v>2.177192</v>
      </c>
      <c r="V732" s="3" t="n">
        <v>1.663115</v>
      </c>
      <c r="W732" s="3" t="n">
        <v>2.217286</v>
      </c>
      <c r="X732" s="3" t="n">
        <v>2.805625</v>
      </c>
      <c r="Y732" s="3" t="n">
        <v>1.133159</v>
      </c>
      <c r="Z732" s="3" t="n">
        <v>0.9729</v>
      </c>
      <c r="AA732" s="3" t="n">
        <v>-4.127492</v>
      </c>
      <c r="AB732" s="3" t="n">
        <v>3.912517</v>
      </c>
      <c r="AC732" s="3" t="n">
        <v>1.806885</v>
      </c>
      <c r="AD732" s="3" t="n">
        <v>-0.871931</v>
      </c>
      <c r="AE732" s="3" t="n">
        <v>-0.496036</v>
      </c>
      <c r="AF732" s="3" t="n">
        <v>0.239673</v>
      </c>
      <c r="AG732" s="3" t="n">
        <v>0.790622</v>
      </c>
      <c r="AH732" s="3" t="n">
        <v>1.18283</v>
      </c>
      <c r="AI732" s="3" t="n">
        <v>1.196265</v>
      </c>
      <c r="AJ732" s="3" t="n">
        <v>0.944137</v>
      </c>
      <c r="AK732" s="3" t="n">
        <v>0.655021</v>
      </c>
      <c r="AL732" s="3" t="n">
        <v>0.6230290000000001</v>
      </c>
      <c r="AM732" s="3" t="n"/>
      <c r="AN732" s="3" t="n"/>
      <c r="AO732" s="3" t="n"/>
      <c r="AP732" s="3" t="n"/>
      <c r="AQ732" s="3" t="n"/>
      <c r="AR732" s="3" t="n"/>
      <c r="AS732" s="3" t="n"/>
      <c r="AT732" s="3" t="n"/>
      <c r="AU732" s="3" t="n"/>
    </row>
    <row r="733">
      <c r="A733" s="3" t="n">
        <v>2031</v>
      </c>
      <c r="B733" s="3" t="inlineStr">
        <is>
          <t>DEU</t>
        </is>
      </c>
      <c r="C733" s="3" t="inlineStr">
        <is>
          <t>IMF.RES:WEO</t>
        </is>
      </c>
      <c r="D733" s="3" t="inlineStr">
        <is>
          <t>DEU.NGDPD.A</t>
        </is>
      </c>
      <c r="E733" s="3" t="inlineStr">
        <is>
          <t>Germany</t>
        </is>
      </c>
      <c r="F733" s="3" t="inlineStr">
        <is>
          <t>Gross domestic product (GDP), Current prices, US dollar</t>
        </is>
      </c>
      <c r="G733" s="3" t="n">
        <v>1967.849707</v>
      </c>
      <c r="H733" s="3" t="n">
        <v>1966.394906</v>
      </c>
      <c r="I733" s="3" t="n">
        <v>2100.865233</v>
      </c>
      <c r="J733" s="3" t="n">
        <v>2534.080838</v>
      </c>
      <c r="K733" s="3" t="n">
        <v>2851.023085</v>
      </c>
      <c r="L733" s="3" t="n">
        <v>2894.992477</v>
      </c>
      <c r="M733" s="3" t="n">
        <v>3046.470161</v>
      </c>
      <c r="N733" s="3" t="n">
        <v>3484.467356</v>
      </c>
      <c r="O733" s="3" t="n">
        <v>3807.780504</v>
      </c>
      <c r="P733" s="3" t="n">
        <v>3474.768431</v>
      </c>
      <c r="Q733" s="3" t="n">
        <v>3469.925473</v>
      </c>
      <c r="R733" s="3" t="n">
        <v>3822.902959</v>
      </c>
      <c r="S733" s="3" t="n">
        <v>3598.760694</v>
      </c>
      <c r="T733" s="3" t="n">
        <v>3807.07928</v>
      </c>
      <c r="U733" s="3" t="n">
        <v>3965.892569</v>
      </c>
      <c r="V733" s="3" t="n">
        <v>3425.446363</v>
      </c>
      <c r="W733" s="3" t="n">
        <v>3535.811938</v>
      </c>
      <c r="X733" s="3" t="n">
        <v>3764.022892</v>
      </c>
      <c r="Y733" s="3" t="n">
        <v>4057.272245</v>
      </c>
      <c r="Z733" s="3" t="n">
        <v>3960.331824</v>
      </c>
      <c r="AA733" s="3" t="n">
        <v>3938.244138</v>
      </c>
      <c r="AB733" s="3" t="n">
        <v>4358.147323</v>
      </c>
      <c r="AC733" s="3" t="n">
        <v>4204.326662</v>
      </c>
      <c r="AD733" s="3" t="n">
        <v>4563.523393</v>
      </c>
      <c r="AE733" s="3" t="n">
        <v>4684.181804</v>
      </c>
      <c r="AF733" s="3" t="n">
        <v>5048.059311</v>
      </c>
      <c r="AG733" s="3" t="n">
        <v>5452.857982</v>
      </c>
      <c r="AH733" s="3" t="n">
        <v>5642.155683</v>
      </c>
      <c r="AI733" s="3" t="n">
        <v>5818.883887</v>
      </c>
      <c r="AJ733" s="3" t="n">
        <v>6003.131201</v>
      </c>
      <c r="AK733" s="3" t="n">
        <v>6178.302958</v>
      </c>
      <c r="AL733" s="3" t="n">
        <v>6351.961697</v>
      </c>
      <c r="AM733" s="3" t="n"/>
      <c r="AN733" s="3" t="n"/>
      <c r="AO733" s="3" t="n"/>
      <c r="AP733" s="3" t="n"/>
      <c r="AQ733" s="3" t="n"/>
      <c r="AR733" s="3" t="n"/>
      <c r="AS733" s="3" t="n"/>
      <c r="AT733" s="3" t="n"/>
      <c r="AU733" s="3" t="n"/>
    </row>
    <row r="734">
      <c r="A734" s="3" t="n">
        <v>2031</v>
      </c>
      <c r="B734" s="3" t="inlineStr">
        <is>
          <t>DEU</t>
        </is>
      </c>
      <c r="C734" s="3" t="inlineStr">
        <is>
          <t>IMF.RES:WEO</t>
        </is>
      </c>
      <c r="D734" s="3" t="inlineStr">
        <is>
          <t>DEU.NGDPPC.A</t>
        </is>
      </c>
      <c r="E734" s="3" t="inlineStr">
        <is>
          <t>Germany</t>
        </is>
      </c>
      <c r="F734" s="3" t="inlineStr">
        <is>
          <t>Gross domestic product (GDP), Current prices, Per capita, Domestic currency</t>
        </is>
      </c>
      <c r="G734" s="3" t="n">
        <v>26144.671866</v>
      </c>
      <c r="H734" s="3" t="n">
        <v>26933.235195</v>
      </c>
      <c r="I734" s="3" t="n">
        <v>27254.239781</v>
      </c>
      <c r="J734" s="3" t="n">
        <v>27478.164901</v>
      </c>
      <c r="K734" s="3" t="n">
        <v>28150.398831</v>
      </c>
      <c r="L734" s="3" t="n">
        <v>28593.33026</v>
      </c>
      <c r="M734" s="3" t="n">
        <v>29888.726343</v>
      </c>
      <c r="N734" s="3" t="n">
        <v>31388.047769</v>
      </c>
      <c r="O734" s="3" t="n">
        <v>32059.630159</v>
      </c>
      <c r="P734" s="3" t="n">
        <v>30987.345232</v>
      </c>
      <c r="Q734" s="3" t="n">
        <v>32574.702622</v>
      </c>
      <c r="R734" s="3" t="n">
        <v>34218.32179</v>
      </c>
      <c r="S734" s="3" t="n">
        <v>34823.087425</v>
      </c>
      <c r="T734" s="3" t="n">
        <v>35600.597384</v>
      </c>
      <c r="U734" s="3" t="n">
        <v>36955.490753</v>
      </c>
      <c r="V734" s="3" t="n">
        <v>37949.143479</v>
      </c>
      <c r="W734" s="3" t="n">
        <v>39029.160012</v>
      </c>
      <c r="X734" s="3" t="n">
        <v>40628.854921</v>
      </c>
      <c r="Y734" s="3" t="n">
        <v>41798.513208</v>
      </c>
      <c r="Z734" s="3" t="n">
        <v>43031.163799</v>
      </c>
      <c r="AA734" s="3" t="n">
        <v>42017.387916</v>
      </c>
      <c r="AB734" s="3" t="n">
        <v>44909.460667</v>
      </c>
      <c r="AC734" s="3" t="n">
        <v>48339.250445</v>
      </c>
      <c r="AD734" s="3" t="n">
        <v>50660.191027</v>
      </c>
      <c r="AE734" s="3" t="n">
        <v>51833.709507</v>
      </c>
      <c r="AF734" s="3" t="n">
        <v>53516.794675</v>
      </c>
      <c r="AG734" s="3" t="n">
        <v>55378.094812</v>
      </c>
      <c r="AH734" s="3" t="n">
        <v>57469.492025</v>
      </c>
      <c r="AI734" s="3" t="n">
        <v>59493.261976</v>
      </c>
      <c r="AJ734" s="3" t="n">
        <v>61471.515956</v>
      </c>
      <c r="AK734" s="3" t="n">
        <v>63336.919745</v>
      </c>
      <c r="AL734" s="3" t="n">
        <v>65191.727394</v>
      </c>
      <c r="AM734" s="3" t="n"/>
      <c r="AN734" s="3" t="n"/>
      <c r="AO734" s="3" t="n"/>
      <c r="AP734" s="3" t="n"/>
      <c r="AQ734" s="3" t="n"/>
      <c r="AR734" s="3" t="n"/>
      <c r="AS734" s="3" t="n"/>
      <c r="AT734" s="3" t="n"/>
      <c r="AU734" s="3" t="n"/>
    </row>
    <row r="735">
      <c r="A735" s="3" t="n">
        <v>2031</v>
      </c>
      <c r="B735" s="3" t="inlineStr">
        <is>
          <t>DEU</t>
        </is>
      </c>
      <c r="C735" s="3" t="inlineStr">
        <is>
          <t>IMF.RES:WEO</t>
        </is>
      </c>
      <c r="D735" s="3" t="inlineStr">
        <is>
          <t>DEU.NGDPRPC.A</t>
        </is>
      </c>
      <c r="E735" s="3" t="inlineStr">
        <is>
          <t>Germany</t>
        </is>
      </c>
      <c r="F735" s="3" t="inlineStr">
        <is>
          <t>Gross domestic product (GDP), Constant prices, Per capita, Domestic currency</t>
        </is>
      </c>
      <c r="G735" s="3" t="n">
        <v>34695.958285</v>
      </c>
      <c r="H735" s="3" t="n">
        <v>35238.568406</v>
      </c>
      <c r="I735" s="3" t="n">
        <v>35129.721679</v>
      </c>
      <c r="J735" s="3" t="n">
        <v>34956.26849</v>
      </c>
      <c r="K735" s="3" t="n">
        <v>35403.573062</v>
      </c>
      <c r="L735" s="3" t="n">
        <v>35770.585523</v>
      </c>
      <c r="M735" s="3" t="n">
        <v>37225.08816</v>
      </c>
      <c r="N735" s="3" t="n">
        <v>38387.026079</v>
      </c>
      <c r="O735" s="3" t="n">
        <v>38837.731924</v>
      </c>
      <c r="P735" s="3" t="n">
        <v>36810.153634</v>
      </c>
      <c r="Q735" s="3" t="n">
        <v>38430.341907</v>
      </c>
      <c r="R735" s="3" t="n">
        <v>39878.917734</v>
      </c>
      <c r="S735" s="3" t="n">
        <v>40010.076413</v>
      </c>
      <c r="T735" s="3" t="n">
        <v>40102.089291</v>
      </c>
      <c r="U735" s="3" t="n">
        <v>40853.037142</v>
      </c>
      <c r="V735" s="3" t="n">
        <v>41232.259532</v>
      </c>
      <c r="W735" s="3" t="n">
        <v>41878.406811</v>
      </c>
      <c r="X735" s="3" t="n">
        <v>42963.748507</v>
      </c>
      <c r="Y735" s="3" t="n">
        <v>43387.792239</v>
      </c>
      <c r="Z735" s="3" t="n">
        <v>43785.396474</v>
      </c>
      <c r="AA735" s="3" t="n">
        <v>42017.387916</v>
      </c>
      <c r="AB735" s="3" t="n">
        <v>43731.214498</v>
      </c>
      <c r="AC735" s="3" t="n">
        <v>44233.17864</v>
      </c>
      <c r="AD735" s="3" t="n">
        <v>43448.698168</v>
      </c>
      <c r="AE735" s="3" t="n">
        <v>43114.115175</v>
      </c>
      <c r="AF735" s="3" t="n">
        <v>43213.826049</v>
      </c>
      <c r="AG735" s="3" t="n">
        <v>43567.211864</v>
      </c>
      <c r="AH735" s="3" t="n">
        <v>44110.723321</v>
      </c>
      <c r="AI735" s="3" t="n">
        <v>44685.720927</v>
      </c>
      <c r="AJ735" s="3" t="n">
        <v>45153.10373</v>
      </c>
      <c r="AK735" s="3" t="n">
        <v>45493.227052</v>
      </c>
      <c r="AL735" s="3" t="n">
        <v>45821.517964</v>
      </c>
      <c r="AM735" s="3" t="n"/>
      <c r="AN735" s="3" t="n"/>
      <c r="AO735" s="3" t="n"/>
      <c r="AP735" s="3" t="n"/>
      <c r="AQ735" s="3" t="n"/>
      <c r="AR735" s="3" t="n"/>
      <c r="AS735" s="3" t="n"/>
      <c r="AT735" s="3" t="n"/>
      <c r="AU735" s="3" t="n"/>
    </row>
    <row r="736">
      <c r="A736" s="3" t="n">
        <v>2031</v>
      </c>
      <c r="B736" s="3" t="inlineStr">
        <is>
          <t>DEU</t>
        </is>
      </c>
      <c r="C736" s="3" t="inlineStr">
        <is>
          <t>IMF.RES:WEO</t>
        </is>
      </c>
      <c r="D736" s="3" t="inlineStr">
        <is>
          <t>DEU.PCPI.A</t>
        </is>
      </c>
      <c r="E736" s="3" t="inlineStr">
        <is>
          <t>Germany</t>
        </is>
      </c>
      <c r="F736" s="3" t="inlineStr">
        <is>
          <t>All Items, Consumer price index (CPI), Period average</t>
        </is>
      </c>
      <c r="G736" s="3" t="n">
        <v>59.833333</v>
      </c>
      <c r="H736" s="3" t="n">
        <v>60.958333</v>
      </c>
      <c r="I736" s="3" t="n">
        <v>61.791667</v>
      </c>
      <c r="J736" s="3" t="n">
        <v>62.45</v>
      </c>
      <c r="K736" s="3" t="n">
        <v>63.55</v>
      </c>
      <c r="L736" s="3" t="n">
        <v>64.791667</v>
      </c>
      <c r="M736" s="3" t="n">
        <v>65.933333</v>
      </c>
      <c r="N736" s="3" t="n">
        <v>67.441667</v>
      </c>
      <c r="O736" s="3" t="n">
        <v>69.3</v>
      </c>
      <c r="P736" s="3" t="n">
        <v>69.458333</v>
      </c>
      <c r="Q736" s="3" t="n">
        <v>70.266667</v>
      </c>
      <c r="R736" s="3" t="n">
        <v>72.00833299999999</v>
      </c>
      <c r="S736" s="3" t="n">
        <v>73.52500000000001</v>
      </c>
      <c r="T736" s="3" t="n">
        <v>74.708333</v>
      </c>
      <c r="U736" s="3" t="n">
        <v>75.291667</v>
      </c>
      <c r="V736" s="3" t="n">
        <v>75.816667</v>
      </c>
      <c r="W736" s="3" t="n">
        <v>76.075</v>
      </c>
      <c r="X736" s="3" t="n">
        <v>77.391667</v>
      </c>
      <c r="Y736" s="3" t="n">
        <v>78.84999999999999</v>
      </c>
      <c r="Z736" s="3" t="n">
        <v>79.95</v>
      </c>
      <c r="AA736" s="3" t="n">
        <v>80.24166700000001</v>
      </c>
      <c r="AB736" s="3" t="n">
        <v>82.825</v>
      </c>
      <c r="AC736" s="3" t="n">
        <v>90.00833299999999</v>
      </c>
      <c r="AD736" s="3" t="n">
        <v>95.408333</v>
      </c>
      <c r="AE736" s="3" t="n">
        <v>97.77500000000001</v>
      </c>
      <c r="AF736" s="3" t="n">
        <v>100.025</v>
      </c>
      <c r="AG736" s="3" t="n">
        <v>102.677057</v>
      </c>
      <c r="AH736" s="3" t="n">
        <v>105.033711</v>
      </c>
      <c r="AI736" s="3" t="n">
        <v>107.098076</v>
      </c>
      <c r="AJ736" s="3" t="n">
        <v>109.407976</v>
      </c>
      <c r="AK736" s="3" t="n">
        <v>111.800214</v>
      </c>
      <c r="AL736" s="3" t="n">
        <v>114.144121</v>
      </c>
      <c r="AM736" s="3" t="n"/>
      <c r="AN736" s="3" t="n"/>
      <c r="AO736" s="3" t="n"/>
      <c r="AP736" s="3" t="n"/>
      <c r="AQ736" s="3" t="n"/>
      <c r="AR736" s="3" t="n"/>
      <c r="AS736" s="3" t="n"/>
      <c r="AT736" s="3" t="n"/>
      <c r="AU736" s="3" t="n"/>
    </row>
    <row r="737">
      <c r="A737" s="3" t="n">
        <v>2031</v>
      </c>
      <c r="B737" s="3" t="inlineStr">
        <is>
          <t>DEU</t>
        </is>
      </c>
      <c r="C737" s="3" t="inlineStr">
        <is>
          <t>IMF.RES:WEO</t>
        </is>
      </c>
      <c r="D737" s="3" t="inlineStr">
        <is>
          <t>DEU.PCPIPCH.A</t>
        </is>
      </c>
      <c r="E737" s="3" t="inlineStr">
        <is>
          <t>Germany</t>
        </is>
      </c>
      <c r="F737" s="3" t="inlineStr">
        <is>
          <t>All Items, Consumer price index (CPI), Period average, percent change</t>
        </is>
      </c>
      <c r="G737" s="3" t="n">
        <v>1.398108</v>
      </c>
      <c r="H737" s="3" t="n">
        <v>1.880223</v>
      </c>
      <c r="I737" s="3" t="n">
        <v>1.367054</v>
      </c>
      <c r="J737" s="3" t="n">
        <v>1.065408</v>
      </c>
      <c r="K737" s="3" t="n">
        <v>1.761409</v>
      </c>
      <c r="L737" s="3" t="n">
        <v>1.953842</v>
      </c>
      <c r="M737" s="3" t="n">
        <v>1.762058</v>
      </c>
      <c r="N737" s="3" t="n">
        <v>2.287664</v>
      </c>
      <c r="O737" s="3" t="n">
        <v>2.755468</v>
      </c>
      <c r="P737" s="3" t="n">
        <v>0.228475</v>
      </c>
      <c r="Q737" s="3" t="n">
        <v>1.163767</v>
      </c>
      <c r="R737" s="3" t="n">
        <v>2.478653</v>
      </c>
      <c r="S737" s="3" t="n">
        <v>2.106238</v>
      </c>
      <c r="T737" s="3" t="n">
        <v>1.60943</v>
      </c>
      <c r="U737" s="3" t="n">
        <v>0.780814</v>
      </c>
      <c r="V737" s="3" t="n">
        <v>0.697288</v>
      </c>
      <c r="W737" s="3" t="n">
        <v>0.340734</v>
      </c>
      <c r="X737" s="3" t="n">
        <v>1.730748</v>
      </c>
      <c r="Y737" s="3" t="n">
        <v>1.884354</v>
      </c>
      <c r="Z737" s="3" t="n">
        <v>1.395054</v>
      </c>
      <c r="AA737" s="3" t="n">
        <v>0.364811</v>
      </c>
      <c r="AB737" s="3" t="n">
        <v>3.219441</v>
      </c>
      <c r="AC737" s="3" t="n">
        <v>8.672905</v>
      </c>
      <c r="AD737" s="3" t="n">
        <v>5.999444</v>
      </c>
      <c r="AE737" s="3" t="n">
        <v>2.480566</v>
      </c>
      <c r="AF737" s="3" t="n">
        <v>2.301202</v>
      </c>
      <c r="AG737" s="3" t="n">
        <v>2.651394</v>
      </c>
      <c r="AH737" s="3" t="n">
        <v>2.29521</v>
      </c>
      <c r="AI737" s="3" t="n">
        <v>1.965431</v>
      </c>
      <c r="AJ737" s="3" t="n">
        <v>2.156808</v>
      </c>
      <c r="AK737" s="3" t="n">
        <v>2.186529</v>
      </c>
      <c r="AL737" s="3" t="n">
        <v>2.096514</v>
      </c>
      <c r="AM737" s="3" t="n"/>
      <c r="AN737" s="3" t="n"/>
      <c r="AO737" s="3" t="n"/>
      <c r="AP737" s="3" t="n"/>
      <c r="AQ737" s="3" t="n"/>
      <c r="AR737" s="3" t="n"/>
      <c r="AS737" s="3" t="n"/>
      <c r="AT737" s="3" t="n"/>
      <c r="AU737" s="3" t="n"/>
    </row>
    <row r="738">
      <c r="A738" s="3" t="n">
        <v>2031</v>
      </c>
      <c r="B738" s="3" t="inlineStr">
        <is>
          <t>DEU</t>
        </is>
      </c>
      <c r="C738" s="3" t="inlineStr">
        <is>
          <t>IMF.RES:WEO</t>
        </is>
      </c>
      <c r="D738" s="3" t="inlineStr">
        <is>
          <t>DEU.PPPPC.A</t>
        </is>
      </c>
      <c r="E738" s="3" t="inlineStr">
        <is>
          <t>Germany</t>
        </is>
      </c>
      <c r="F738" s="3" t="inlineStr">
        <is>
          <t>Gross domestic product (GDP), Per capita, purchasing power parity (PPP) international dollar, ICP benchmarks 2017-2021</t>
        </is>
      </c>
      <c r="G738" s="3" t="n">
        <v>32036.804084</v>
      </c>
      <c r="H738" s="3" t="n">
        <v>33270.456048</v>
      </c>
      <c r="I738" s="3" t="n">
        <v>33683.126274</v>
      </c>
      <c r="J738" s="3" t="n">
        <v>34178.509891</v>
      </c>
      <c r="K738" s="3" t="n">
        <v>35546.641576</v>
      </c>
      <c r="L738" s="3" t="n">
        <v>37041.371533</v>
      </c>
      <c r="M738" s="3" t="n">
        <v>39736.307767</v>
      </c>
      <c r="N738" s="3" t="n">
        <v>42086.798081</v>
      </c>
      <c r="O738" s="3" t="n">
        <v>43401.2274</v>
      </c>
      <c r="P738" s="3" t="n">
        <v>41389.104722</v>
      </c>
      <c r="Q738" s="3" t="n">
        <v>43736.007701</v>
      </c>
      <c r="R738" s="3" t="n">
        <v>46320.969342</v>
      </c>
      <c r="S738" s="3" t="n">
        <v>47338.617022</v>
      </c>
      <c r="T738" s="3" t="n">
        <v>48255.042162</v>
      </c>
      <c r="U738" s="3" t="n">
        <v>50014.865126</v>
      </c>
      <c r="V738" s="3" t="n">
        <v>50947.606321</v>
      </c>
      <c r="W738" s="3" t="n">
        <v>52237.704694</v>
      </c>
      <c r="X738" s="3" t="n">
        <v>54551.288143</v>
      </c>
      <c r="Y738" s="3" t="n">
        <v>56834.111145</v>
      </c>
      <c r="Z738" s="3" t="n">
        <v>59953.265139</v>
      </c>
      <c r="AA738" s="3" t="n">
        <v>59444.319833</v>
      </c>
      <c r="AB738" s="3" t="n">
        <v>63974.512114</v>
      </c>
      <c r="AC738" s="3" t="n">
        <v>69311.197208</v>
      </c>
      <c r="AD738" s="3" t="n">
        <v>70601.010274</v>
      </c>
      <c r="AE738" s="3" t="n">
        <v>71796.541749</v>
      </c>
      <c r="AF738" s="3" t="n">
        <v>74003.997632</v>
      </c>
      <c r="AG738" s="3" t="n">
        <v>76746.61498</v>
      </c>
      <c r="AH738" s="3" t="n">
        <v>79410.35223800001</v>
      </c>
      <c r="AI738" s="3" t="n">
        <v>81765.91665100001</v>
      </c>
      <c r="AJ738" s="3" t="n">
        <v>84090.226979</v>
      </c>
      <c r="AK738" s="3" t="n">
        <v>86280.47053000001</v>
      </c>
      <c r="AL738" s="3" t="n">
        <v>88471.955848</v>
      </c>
      <c r="AM738" s="3" t="n"/>
      <c r="AN738" s="3" t="n"/>
      <c r="AO738" s="3" t="n"/>
      <c r="AP738" s="3" t="n"/>
      <c r="AQ738" s="3" t="n"/>
      <c r="AR738" s="3" t="n"/>
      <c r="AS738" s="3" t="n"/>
      <c r="AT738" s="3" t="n"/>
      <c r="AU738" s="3" t="n"/>
    </row>
    <row r="739">
      <c r="A739" s="3" t="inlineStr">
        <is>
          <t>INDICATOR</t>
        </is>
      </c>
      <c r="B739" s="3" t="inlineStr">
        <is>
          <t>DEU</t>
        </is>
      </c>
      <c r="C739" s="3" t="inlineStr">
        <is>
          <t>IMF.STA:ER</t>
        </is>
      </c>
      <c r="D739" s="3" t="inlineStr">
        <is>
          <t>DEU.XDC_USD.PA_RT.A</t>
        </is>
      </c>
      <c r="E739" s="3" t="inlineStr">
        <is>
          <t>Germany</t>
        </is>
      </c>
      <c r="F739" s="3" t="inlineStr">
        <is>
          <t>Domestic currency per US Dollar</t>
        </is>
      </c>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c r="AF739" s="3" t="n"/>
      <c r="AG739" s="3" t="n"/>
      <c r="AH739" s="3" t="n"/>
      <c r="AI739" s="3" t="n"/>
      <c r="AJ739" s="3" t="n"/>
      <c r="AK739" s="3" t="n"/>
      <c r="AL739" s="3" t="n"/>
      <c r="AM739" s="3" t="n"/>
      <c r="AN739" s="3" t="n"/>
      <c r="AO739" s="3" t="n"/>
      <c r="AP739" s="3" t="n"/>
      <c r="AQ739" s="3" t="n"/>
      <c r="AR739" s="3" t="n"/>
      <c r="AS739" s="3" t="n"/>
      <c r="AT739" s="3" t="n"/>
      <c r="AU739" s="3" t="n"/>
    </row>
    <row r="740">
      <c r="A740" s="3" t="n">
        <v>2031</v>
      </c>
      <c r="B740" s="3" t="inlineStr">
        <is>
          <t>DJI</t>
        </is>
      </c>
      <c r="C740" s="3" t="inlineStr">
        <is>
          <t>IMF.RES:WEO</t>
        </is>
      </c>
      <c r="D740" s="3" t="inlineStr">
        <is>
          <t>DJI.BCA.A</t>
        </is>
      </c>
      <c r="E740" s="3" t="inlineStr">
        <is>
          <t>Djibouti</t>
        </is>
      </c>
      <c r="F740" s="3" t="inlineStr">
        <is>
          <t>Current account balance (credit less debit), US dollar</t>
        </is>
      </c>
      <c r="G740" s="3" t="n">
        <v>0.153305</v>
      </c>
      <c r="H740" s="3" t="n">
        <v>0.350599</v>
      </c>
      <c r="I740" s="3" t="n">
        <v>0.431313</v>
      </c>
      <c r="J740" s="3" t="n">
        <v>0.422852</v>
      </c>
      <c r="K740" s="3" t="n">
        <v>0.284228</v>
      </c>
      <c r="L740" s="3" t="n">
        <v>0.303559</v>
      </c>
      <c r="M740" s="3" t="n">
        <v>0.051488</v>
      </c>
      <c r="N740" s="3" t="n">
        <v>-0.306694</v>
      </c>
      <c r="O740" s="3" t="n">
        <v>-0.46048</v>
      </c>
      <c r="P740" s="3" t="n">
        <v>0.26619</v>
      </c>
      <c r="Q740" s="3" t="n">
        <v>0.7640670000000001</v>
      </c>
      <c r="R740" s="3" t="n">
        <v>-0.031533</v>
      </c>
      <c r="S740" s="3" t="n">
        <v>-0.443661</v>
      </c>
      <c r="T740" s="3" t="n">
        <v>-0.62869</v>
      </c>
      <c r="U740" s="3" t="n">
        <v>0.530582</v>
      </c>
      <c r="V740" s="3" t="n">
        <v>0.714225</v>
      </c>
      <c r="W740" s="3" t="n">
        <v>-0.026059</v>
      </c>
      <c r="X740" s="3" t="n">
        <v>-0.132469</v>
      </c>
      <c r="Y740" s="3" t="n">
        <v>0.428623</v>
      </c>
      <c r="Z740" s="3" t="n">
        <v>0.56397</v>
      </c>
      <c r="AA740" s="3" t="n">
        <v>0.366363</v>
      </c>
      <c r="AB740" s="3" t="n">
        <v>-0.2241</v>
      </c>
      <c r="AC740" s="3" t="n">
        <v>0.67517</v>
      </c>
      <c r="AD740" s="3" t="n">
        <v>0.707909</v>
      </c>
      <c r="AE740" s="3" t="n">
        <v>0.604231</v>
      </c>
      <c r="AF740" s="3" t="n">
        <v>0.444946</v>
      </c>
      <c r="AG740" s="3" t="n">
        <v>0.477435</v>
      </c>
      <c r="AH740" s="3" t="n">
        <v>0.453106</v>
      </c>
      <c r="AI740" s="3" t="n">
        <v>0.468347</v>
      </c>
      <c r="AJ740" s="3" t="n">
        <v>0.490055</v>
      </c>
      <c r="AK740" s="3" t="n">
        <v>0.511952</v>
      </c>
      <c r="AL740" s="3" t="n">
        <v>0.539212</v>
      </c>
      <c r="AM740" s="3" t="n"/>
      <c r="AN740" s="3" t="n"/>
      <c r="AO740" s="3" t="n"/>
      <c r="AP740" s="3" t="n"/>
      <c r="AQ740" s="3" t="n"/>
      <c r="AR740" s="3" t="n"/>
      <c r="AS740" s="3" t="n"/>
      <c r="AT740" s="3" t="n"/>
      <c r="AU740" s="3" t="n"/>
    </row>
    <row r="741">
      <c r="A741" s="3" t="n">
        <v>2031</v>
      </c>
      <c r="B741" s="3" t="inlineStr">
        <is>
          <t>DJI</t>
        </is>
      </c>
      <c r="C741" s="3" t="inlineStr">
        <is>
          <t>IMF.RES:WEO</t>
        </is>
      </c>
      <c r="D741" s="3" t="inlineStr">
        <is>
          <t>DJI.BCA_NGDPD.A</t>
        </is>
      </c>
      <c r="E741" s="3" t="inlineStr">
        <is>
          <t>Djibouti</t>
        </is>
      </c>
      <c r="F741" s="3" t="inlineStr">
        <is>
          <t>Current account balance (credit less debit), Percent of GDP</t>
        </is>
      </c>
      <c r="G741" s="3" t="n">
        <v>19.632303</v>
      </c>
      <c r="H741" s="3" t="n">
        <v>43.218975</v>
      </c>
      <c r="I741" s="3" t="n">
        <v>51.502937</v>
      </c>
      <c r="J741" s="3" t="n">
        <v>47.967599</v>
      </c>
      <c r="K741" s="3" t="n">
        <v>30.37166</v>
      </c>
      <c r="L741" s="3" t="n">
        <v>30.487637</v>
      </c>
      <c r="M741" s="3" t="n">
        <v>4.766626</v>
      </c>
      <c r="N741" s="3" t="n">
        <v>-25.755276</v>
      </c>
      <c r="O741" s="3" t="n">
        <v>-33.328695</v>
      </c>
      <c r="P741" s="3" t="n">
        <v>18.66964</v>
      </c>
      <c r="Q741" s="3" t="n">
        <v>49.498572</v>
      </c>
      <c r="R741" s="3" t="n">
        <v>-1.811997</v>
      </c>
      <c r="S741" s="3" t="n">
        <v>-23.332621</v>
      </c>
      <c r="T741" s="3" t="n">
        <v>-30.75121</v>
      </c>
      <c r="U741" s="3" t="n">
        <v>23.893217</v>
      </c>
      <c r="V741" s="3" t="n">
        <v>29.459951</v>
      </c>
      <c r="W741" s="3" t="n">
        <v>-1.000348</v>
      </c>
      <c r="X741" s="3" t="n">
        <v>-4.795109</v>
      </c>
      <c r="Y741" s="3" t="n">
        <v>14.71178</v>
      </c>
      <c r="Z741" s="3" t="n">
        <v>18.258232</v>
      </c>
      <c r="AA741" s="3" t="n">
        <v>11.652278</v>
      </c>
      <c r="AB741" s="3" t="n">
        <v>-6.605173</v>
      </c>
      <c r="AC741" s="3" t="n">
        <v>18.950452</v>
      </c>
      <c r="AD741" s="3" t="n">
        <v>18.158752</v>
      </c>
      <c r="AE741" s="3" t="n">
        <v>14.552258</v>
      </c>
      <c r="AF741" s="3" t="n">
        <v>10.163858</v>
      </c>
      <c r="AG741" s="3" t="n">
        <v>10.104651</v>
      </c>
      <c r="AH741" s="3" t="n">
        <v>8.948446000000001</v>
      </c>
      <c r="AI741" s="3" t="n">
        <v>8.685031</v>
      </c>
      <c r="AJ741" s="3" t="n">
        <v>8.530075</v>
      </c>
      <c r="AK741" s="3" t="n">
        <v>8.364336</v>
      </c>
      <c r="AL741" s="3" t="n">
        <v>8.269382999999999</v>
      </c>
      <c r="AM741" s="3" t="n"/>
      <c r="AN741" s="3" t="n"/>
      <c r="AO741" s="3" t="n"/>
      <c r="AP741" s="3" t="n"/>
      <c r="AQ741" s="3" t="n"/>
      <c r="AR741" s="3" t="n"/>
      <c r="AS741" s="3" t="n"/>
      <c r="AT741" s="3" t="n"/>
      <c r="AU741" s="3" t="n"/>
    </row>
    <row r="742">
      <c r="A742" s="3" t="n">
        <v>2031</v>
      </c>
      <c r="B742" s="3" t="inlineStr">
        <is>
          <t>DJI</t>
        </is>
      </c>
      <c r="C742" s="3" t="inlineStr">
        <is>
          <t>IMF.RES:WEO</t>
        </is>
      </c>
      <c r="D742" s="3" t="inlineStr">
        <is>
          <t>DJI.GGR_NGDP.A</t>
        </is>
      </c>
      <c r="E742" s="3" t="inlineStr">
        <is>
          <t>Djibouti</t>
        </is>
      </c>
      <c r="F742" s="3" t="inlineStr">
        <is>
          <t>Revenue, General government, Percent of GDP</t>
        </is>
      </c>
      <c r="G742" s="3" t="n">
        <v>19.231309</v>
      </c>
      <c r="H742" s="3" t="n">
        <v>17.351743</v>
      </c>
      <c r="I742" s="3" t="n">
        <v>18.828504</v>
      </c>
      <c r="J742" s="3" t="n">
        <v>21.71096</v>
      </c>
      <c r="K742" s="3" t="n">
        <v>23.027089</v>
      </c>
      <c r="L742" s="3" t="n">
        <v>25.03377</v>
      </c>
      <c r="M742" s="3" t="n">
        <v>24.11117</v>
      </c>
      <c r="N742" s="3" t="n">
        <v>24.689556</v>
      </c>
      <c r="O742" s="3" t="n">
        <v>29.449037</v>
      </c>
      <c r="P742" s="3" t="n">
        <v>27.121158</v>
      </c>
      <c r="Q742" s="3" t="n">
        <v>25.58496</v>
      </c>
      <c r="R742" s="3" t="n">
        <v>24.09332</v>
      </c>
      <c r="S742" s="3" t="n">
        <v>24.434765</v>
      </c>
      <c r="T742" s="3" t="n">
        <v>26.476578</v>
      </c>
      <c r="U742" s="3" t="n">
        <v>22.067431</v>
      </c>
      <c r="V742" s="3" t="n">
        <v>26.419624</v>
      </c>
      <c r="W742" s="3" t="n">
        <v>25.114955</v>
      </c>
      <c r="X742" s="3" t="n">
        <v>23.654053</v>
      </c>
      <c r="Y742" s="3" t="n">
        <v>23.935165</v>
      </c>
      <c r="Z742" s="3" t="n">
        <v>23.929337</v>
      </c>
      <c r="AA742" s="3" t="n">
        <v>23.218123</v>
      </c>
      <c r="AB742" s="3" t="n">
        <v>20.069945</v>
      </c>
      <c r="AC742" s="3" t="n">
        <v>19.479553</v>
      </c>
      <c r="AD742" s="3" t="n">
        <v>18.141237</v>
      </c>
      <c r="AE742" s="3" t="n">
        <v>18.627115</v>
      </c>
      <c r="AF742" s="3" t="n">
        <v>18.845858</v>
      </c>
      <c r="AG742" s="3" t="n">
        <v>19.075897</v>
      </c>
      <c r="AH742" s="3" t="n">
        <v>18.816035</v>
      </c>
      <c r="AI742" s="3" t="n">
        <v>18.594767</v>
      </c>
      <c r="AJ742" s="3" t="n">
        <v>18.385893</v>
      </c>
      <c r="AK742" s="3" t="n">
        <v>18.189755</v>
      </c>
      <c r="AL742" s="3" t="n">
        <v>18.005772</v>
      </c>
      <c r="AM742" s="3" t="n"/>
      <c r="AN742" s="3" t="n"/>
      <c r="AO742" s="3" t="n"/>
      <c r="AP742" s="3" t="n"/>
      <c r="AQ742" s="3" t="n"/>
      <c r="AR742" s="3" t="n"/>
      <c r="AS742" s="3" t="n"/>
      <c r="AT742" s="3" t="n"/>
      <c r="AU742" s="3" t="n"/>
    </row>
    <row r="743">
      <c r="A743" s="3" t="n">
        <v>2031</v>
      </c>
      <c r="B743" s="3" t="inlineStr">
        <is>
          <t>DJI</t>
        </is>
      </c>
      <c r="C743" s="3" t="inlineStr">
        <is>
          <t>IMF.RES:WEO</t>
        </is>
      </c>
      <c r="D743" s="3" t="inlineStr">
        <is>
          <t>DJI.GGX_NGDP.A</t>
        </is>
      </c>
      <c r="E743" s="3" t="inlineStr">
        <is>
          <t>Djibouti</t>
        </is>
      </c>
      <c r="F743" s="3" t="inlineStr">
        <is>
          <t>Expenditure, General government, Percent of GDP</t>
        </is>
      </c>
      <c r="G743" s="3" t="n">
        <v>23.205544</v>
      </c>
      <c r="H743" s="3" t="n">
        <v>20.9578</v>
      </c>
      <c r="I743" s="3" t="n">
        <v>23.393356</v>
      </c>
      <c r="J743" s="3" t="n">
        <v>25.845195</v>
      </c>
      <c r="K743" s="3" t="n">
        <v>26.695622</v>
      </c>
      <c r="L743" s="3" t="n">
        <v>26.212049</v>
      </c>
      <c r="M743" s="3" t="n">
        <v>23.849866</v>
      </c>
      <c r="N743" s="3" t="n">
        <v>26.57084</v>
      </c>
      <c r="O743" s="3" t="n">
        <v>28.82626</v>
      </c>
      <c r="P743" s="3" t="n">
        <v>31.004066</v>
      </c>
      <c r="Q743" s="3" t="n">
        <v>26.629605</v>
      </c>
      <c r="R743" s="3" t="n">
        <v>25.278005</v>
      </c>
      <c r="S743" s="3" t="n">
        <v>26.476667</v>
      </c>
      <c r="T743" s="3" t="n">
        <v>26.813647</v>
      </c>
      <c r="U743" s="3" t="n">
        <v>28.985454</v>
      </c>
      <c r="V743" s="3" t="n">
        <v>41.963158</v>
      </c>
      <c r="W743" s="3" t="n">
        <v>25.873127</v>
      </c>
      <c r="X743" s="3" t="n">
        <v>23.865472</v>
      </c>
      <c r="Y743" s="3" t="n">
        <v>25.918151</v>
      </c>
      <c r="Z743" s="3" t="n">
        <v>24.911205</v>
      </c>
      <c r="AA743" s="3" t="n">
        <v>25.795349</v>
      </c>
      <c r="AB743" s="3" t="n">
        <v>23.124817</v>
      </c>
      <c r="AC743" s="3" t="n">
        <v>20.963158</v>
      </c>
      <c r="AD743" s="3" t="n">
        <v>21.615075</v>
      </c>
      <c r="AE743" s="3" t="n">
        <v>21.313206</v>
      </c>
      <c r="AF743" s="3" t="n">
        <v>19.543348</v>
      </c>
      <c r="AG743" s="3" t="n">
        <v>19.535605</v>
      </c>
      <c r="AH743" s="3" t="n">
        <v>19.102354</v>
      </c>
      <c r="AI743" s="3" t="n">
        <v>18.644062</v>
      </c>
      <c r="AJ743" s="3" t="n">
        <v>18.337105</v>
      </c>
      <c r="AK743" s="3" t="n">
        <v>18.150643</v>
      </c>
      <c r="AL743" s="3" t="n">
        <v>17.980819</v>
      </c>
      <c r="AM743" s="3" t="n"/>
      <c r="AN743" s="3" t="n"/>
      <c r="AO743" s="3" t="n"/>
      <c r="AP743" s="3" t="n"/>
      <c r="AQ743" s="3" t="n"/>
      <c r="AR743" s="3" t="n"/>
      <c r="AS743" s="3" t="n"/>
      <c r="AT743" s="3" t="n"/>
      <c r="AU743" s="3" t="n"/>
    </row>
    <row r="744">
      <c r="A744" s="3" t="n">
        <v>2031</v>
      </c>
      <c r="B744" s="3" t="inlineStr">
        <is>
          <t>DJI</t>
        </is>
      </c>
      <c r="C744" s="3" t="inlineStr">
        <is>
          <t>IMF.RES:WEO</t>
        </is>
      </c>
      <c r="D744" s="3" t="inlineStr">
        <is>
          <t>DJI.LP.A</t>
        </is>
      </c>
      <c r="E744" s="3" t="inlineStr">
        <is>
          <t>Djibouti</t>
        </is>
      </c>
      <c r="F744" s="3" t="inlineStr">
        <is>
          <t>Population, Persons for countries / Index for country groups</t>
        </is>
      </c>
      <c r="G744" s="3" t="n">
        <v>0.717577</v>
      </c>
      <c r="H744" s="3" t="n">
        <v>0.733019</v>
      </c>
      <c r="I744" s="3" t="n">
        <v>0.746947</v>
      </c>
      <c r="J744" s="3" t="n">
        <v>0.759639</v>
      </c>
      <c r="K744" s="3" t="n">
        <v>0.771599</v>
      </c>
      <c r="L744" s="3" t="n">
        <v>0.7832480000000001</v>
      </c>
      <c r="M744" s="3" t="n">
        <v>0.794554</v>
      </c>
      <c r="N744" s="3" t="n">
        <v>0.8054559999999999</v>
      </c>
      <c r="O744" s="3" t="n">
        <v>0.816361</v>
      </c>
      <c r="P744" s="3" t="n">
        <v>0.82782</v>
      </c>
      <c r="Q744" s="3" t="n">
        <v>0.840194</v>
      </c>
      <c r="R744" s="3" t="n">
        <v>0.853671</v>
      </c>
      <c r="S744" s="3" t="n">
        <v>0.868136</v>
      </c>
      <c r="T744" s="3" t="n">
        <v>0.883296</v>
      </c>
      <c r="U744" s="3" t="n">
        <v>0.898707</v>
      </c>
      <c r="V744" s="3" t="n">
        <v>0.913998</v>
      </c>
      <c r="W744" s="3" t="n">
        <v>0.929117</v>
      </c>
      <c r="X744" s="3" t="n">
        <v>0.9441000000000001</v>
      </c>
      <c r="Y744" s="3" t="n">
        <v>0.958923</v>
      </c>
      <c r="Z744" s="3" t="n">
        <v>0.973557</v>
      </c>
      <c r="AA744" s="3" t="n">
        <v>0.988002</v>
      </c>
      <c r="AB744" s="3" t="n">
        <v>1.002197</v>
      </c>
      <c r="AC744" s="3" t="n">
        <v>1.016098</v>
      </c>
      <c r="AD744" s="3" t="n">
        <v>1.029701</v>
      </c>
      <c r="AE744" s="3" t="n">
        <v>1.043016</v>
      </c>
      <c r="AF744" s="3" t="n">
        <v>1.056058</v>
      </c>
      <c r="AG744" s="3" t="n">
        <v>1.068802</v>
      </c>
      <c r="AH744" s="3" t="n">
        <v>1.081237</v>
      </c>
      <c r="AI744" s="3" t="n">
        <v>1.093376</v>
      </c>
      <c r="AJ744" s="3" t="n">
        <v>1.105651</v>
      </c>
      <c r="AK744" s="3" t="n">
        <v>1.116713</v>
      </c>
      <c r="AL744" s="3" t="n">
        <v>1.127939</v>
      </c>
      <c r="AM744" s="3" t="n"/>
      <c r="AN744" s="3" t="n"/>
      <c r="AO744" s="3" t="n"/>
      <c r="AP744" s="3" t="n"/>
      <c r="AQ744" s="3" t="n"/>
      <c r="AR744" s="3" t="n"/>
      <c r="AS744" s="3" t="n"/>
      <c r="AT744" s="3" t="n"/>
      <c r="AU744" s="3" t="n"/>
    </row>
    <row r="745">
      <c r="A745" s="3" t="n">
        <v>2031</v>
      </c>
      <c r="B745" s="3" t="inlineStr">
        <is>
          <t>DJI</t>
        </is>
      </c>
      <c r="C745" s="3" t="inlineStr">
        <is>
          <t>IMF.RES:WEO</t>
        </is>
      </c>
      <c r="D745" s="3" t="inlineStr">
        <is>
          <t>DJI.NGDP.A</t>
        </is>
      </c>
      <c r="E745" s="3" t="inlineStr">
        <is>
          <t>Djibouti</t>
        </is>
      </c>
      <c r="F745" s="3" t="inlineStr">
        <is>
          <t>Gross domestic product (GDP), Current prices, Domestic currency</t>
        </is>
      </c>
      <c r="G745" s="3" t="n">
        <v>138.778905</v>
      </c>
      <c r="H745" s="3" t="n">
        <v>144.169954</v>
      </c>
      <c r="I745" s="3" t="n">
        <v>148.832857</v>
      </c>
      <c r="J745" s="3" t="n">
        <v>156.667419</v>
      </c>
      <c r="K745" s="3" t="n">
        <v>166.317159</v>
      </c>
      <c r="L745" s="3" t="n">
        <v>176.952972</v>
      </c>
      <c r="M745" s="3" t="n">
        <v>191.971728</v>
      </c>
      <c r="N745" s="3" t="n">
        <v>211.630496</v>
      </c>
      <c r="O745" s="3" t="n">
        <v>245.545279</v>
      </c>
      <c r="P745" s="3" t="n">
        <v>253.392571</v>
      </c>
      <c r="Q745" s="3" t="n">
        <v>274.332649</v>
      </c>
      <c r="R745" s="3" t="n">
        <v>309.280742</v>
      </c>
      <c r="S745" s="3" t="n">
        <v>337.929998</v>
      </c>
      <c r="T745" s="3" t="n">
        <v>363.34</v>
      </c>
      <c r="U745" s="3" t="n">
        <v>394.654</v>
      </c>
      <c r="V745" s="3" t="n">
        <v>430.865333</v>
      </c>
      <c r="W745" s="3" t="n">
        <v>462.955248</v>
      </c>
      <c r="X745" s="3" t="n">
        <v>490.968717</v>
      </c>
      <c r="Y745" s="3" t="n">
        <v>517.783853</v>
      </c>
      <c r="Z745" s="3" t="n">
        <v>548.953769</v>
      </c>
      <c r="AA745" s="3" t="n">
        <v>558.779029</v>
      </c>
      <c r="AB745" s="3" t="n">
        <v>602.971267</v>
      </c>
      <c r="AC745" s="3" t="n">
        <v>633.1870280000001</v>
      </c>
      <c r="AD745" s="3" t="n">
        <v>692.835901</v>
      </c>
      <c r="AE745" s="3" t="n">
        <v>737.923529</v>
      </c>
      <c r="AF745" s="3" t="n">
        <v>778.0140699999999</v>
      </c>
      <c r="AG745" s="3" t="n">
        <v>839.714146</v>
      </c>
      <c r="AH745" s="3" t="n">
        <v>899.892677</v>
      </c>
      <c r="AI745" s="3" t="n">
        <v>958.374639</v>
      </c>
      <c r="AJ745" s="3" t="n">
        <v>1021.011053</v>
      </c>
      <c r="AK745" s="3" t="n">
        <v>1087.769638</v>
      </c>
      <c r="AL745" s="3" t="n">
        <v>1158.84452</v>
      </c>
      <c r="AM745" s="3" t="n"/>
      <c r="AN745" s="3" t="n"/>
      <c r="AO745" s="3" t="n"/>
      <c r="AP745" s="3" t="n"/>
      <c r="AQ745" s="3" t="n"/>
      <c r="AR745" s="3" t="n"/>
      <c r="AS745" s="3" t="n"/>
      <c r="AT745" s="3" t="n"/>
      <c r="AU745" s="3" t="n"/>
    </row>
    <row r="746">
      <c r="A746" s="3" t="n">
        <v>2031</v>
      </c>
      <c r="B746" s="3" t="inlineStr">
        <is>
          <t>DJI</t>
        </is>
      </c>
      <c r="C746" s="3" t="inlineStr">
        <is>
          <t>IMF.RES:WEO</t>
        </is>
      </c>
      <c r="D746" s="3" t="inlineStr">
        <is>
          <t>DJI.NGDP_D.A</t>
        </is>
      </c>
      <c r="E746" s="3" t="inlineStr">
        <is>
          <t>Djibouti</t>
        </is>
      </c>
      <c r="F746" s="3" t="inlineStr">
        <is>
          <t>Gross domestic product (GDP), Price deflator, Index</t>
        </is>
      </c>
      <c r="G746" s="3" t="n">
        <v>63.903433</v>
      </c>
      <c r="H746" s="3" t="n">
        <v>65.21651799999999</v>
      </c>
      <c r="I746" s="3" t="n">
        <v>65.21651799999999</v>
      </c>
      <c r="J746" s="3" t="n">
        <v>66.529602</v>
      </c>
      <c r="K746" s="3" t="n">
        <v>68.718076</v>
      </c>
      <c r="L746" s="3" t="n">
        <v>70.906549</v>
      </c>
      <c r="M746" s="3" t="n">
        <v>73.38390200000001</v>
      </c>
      <c r="N746" s="3" t="n">
        <v>77.03427600000001</v>
      </c>
      <c r="O746" s="3" t="n">
        <v>84.475087</v>
      </c>
      <c r="P746" s="3" t="n">
        <v>85.78817100000001</v>
      </c>
      <c r="Q746" s="3" t="n">
        <v>89.178945</v>
      </c>
      <c r="R746" s="3" t="n">
        <v>93.706069</v>
      </c>
      <c r="S746" s="3" t="n">
        <v>97.657477</v>
      </c>
      <c r="T746" s="3" t="n">
        <v>100</v>
      </c>
      <c r="U746" s="3" t="n">
        <v>101.329739</v>
      </c>
      <c r="V746" s="3" t="n">
        <v>103.092216</v>
      </c>
      <c r="W746" s="3" t="n">
        <v>103.404361</v>
      </c>
      <c r="X746" s="3" t="n">
        <v>103.985733</v>
      </c>
      <c r="Y746" s="3" t="n">
        <v>104.6679</v>
      </c>
      <c r="Z746" s="3" t="n">
        <v>105.138743</v>
      </c>
      <c r="AA746" s="3" t="n">
        <v>105.749304</v>
      </c>
      <c r="AB746" s="3" t="n">
        <v>109.295874</v>
      </c>
      <c r="AC746" s="3" t="n">
        <v>109.13438</v>
      </c>
      <c r="AD746" s="3" t="n">
        <v>111.804396</v>
      </c>
      <c r="AE746" s="3" t="n">
        <v>111.310285</v>
      </c>
      <c r="AF746" s="3" t="n">
        <v>110.71476</v>
      </c>
      <c r="AG746" s="3" t="n">
        <v>112.731082</v>
      </c>
      <c r="AH746" s="3" t="n">
        <v>113.971708</v>
      </c>
      <c r="AI746" s="3" t="n">
        <v>115.050681</v>
      </c>
      <c r="AJ746" s="3" t="n">
        <v>116.180132</v>
      </c>
      <c r="AK746" s="3" t="n">
        <v>117.323739</v>
      </c>
      <c r="AL746" s="3" t="n">
        <v>118.473624</v>
      </c>
      <c r="AM746" s="3" t="n"/>
      <c r="AN746" s="3" t="n"/>
      <c r="AO746" s="3" t="n"/>
      <c r="AP746" s="3" t="n"/>
      <c r="AQ746" s="3" t="n"/>
      <c r="AR746" s="3" t="n"/>
      <c r="AS746" s="3" t="n"/>
      <c r="AT746" s="3" t="n"/>
      <c r="AU746" s="3" t="n"/>
    </row>
    <row r="747">
      <c r="A747" s="3" t="n">
        <v>2031</v>
      </c>
      <c r="B747" s="3" t="inlineStr">
        <is>
          <t>DJI</t>
        </is>
      </c>
      <c r="C747" s="3" t="inlineStr">
        <is>
          <t>IMF.RES:WEO</t>
        </is>
      </c>
      <c r="D747" s="3" t="inlineStr">
        <is>
          <t>DJI.NGDP_R.A</t>
        </is>
      </c>
      <c r="E747" s="3" t="inlineStr">
        <is>
          <t>Djibouti</t>
        </is>
      </c>
      <c r="F747" s="3" t="inlineStr">
        <is>
          <t>Gross domestic product (GDP), Constant prices, Domestic currency</t>
        </is>
      </c>
      <c r="G747" s="3" t="n">
        <v>217.169716</v>
      </c>
      <c r="H747" s="3" t="n">
        <v>221.063558</v>
      </c>
      <c r="I747" s="3" t="n">
        <v>228.213438</v>
      </c>
      <c r="J747" s="3" t="n">
        <v>235.485279</v>
      </c>
      <c r="K747" s="3" t="n">
        <v>242.028255</v>
      </c>
      <c r="L747" s="3" t="n">
        <v>249.558008</v>
      </c>
      <c r="M747" s="3" t="n">
        <v>261.599239</v>
      </c>
      <c r="N747" s="3" t="n">
        <v>274.72251</v>
      </c>
      <c r="O747" s="3" t="n">
        <v>290.671829</v>
      </c>
      <c r="P747" s="3" t="n">
        <v>295.370059</v>
      </c>
      <c r="Q747" s="3" t="n">
        <v>307.620426</v>
      </c>
      <c r="R747" s="3" t="n">
        <v>330.054121</v>
      </c>
      <c r="S747" s="3" t="n">
        <v>346.03597</v>
      </c>
      <c r="T747" s="3" t="n">
        <v>363.34</v>
      </c>
      <c r="U747" s="3" t="n">
        <v>389.475</v>
      </c>
      <c r="V747" s="3" t="n">
        <v>417.941672</v>
      </c>
      <c r="W747" s="3" t="n">
        <v>447.713464</v>
      </c>
      <c r="X747" s="3" t="n">
        <v>472.150075</v>
      </c>
      <c r="Y747" s="3" t="n">
        <v>494.692121</v>
      </c>
      <c r="Z747" s="3" t="n">
        <v>522.123199</v>
      </c>
      <c r="AA747" s="3" t="n">
        <v>528.399721</v>
      </c>
      <c r="AB747" s="3" t="n">
        <v>551.687125</v>
      </c>
      <c r="AC747" s="3" t="n">
        <v>580.190245</v>
      </c>
      <c r="AD747" s="3" t="n">
        <v>619.68574</v>
      </c>
      <c r="AE747" s="3" t="n">
        <v>662.942808</v>
      </c>
      <c r="AF747" s="3" t="n">
        <v>702.719377</v>
      </c>
      <c r="AG747" s="3" t="n">
        <v>744.882539</v>
      </c>
      <c r="AH747" s="3" t="n">
        <v>789.5754920000001</v>
      </c>
      <c r="AI747" s="3" t="n">
        <v>833.002144</v>
      </c>
      <c r="AJ747" s="3" t="n">
        <v>878.817262</v>
      </c>
      <c r="AK747" s="3" t="n">
        <v>927.152211</v>
      </c>
      <c r="AL747" s="3" t="n">
        <v>978.145582</v>
      </c>
      <c r="AM747" s="3" t="n"/>
      <c r="AN747" s="3" t="n"/>
      <c r="AO747" s="3" t="n"/>
      <c r="AP747" s="3" t="n"/>
      <c r="AQ747" s="3" t="n"/>
      <c r="AR747" s="3" t="n"/>
      <c r="AS747" s="3" t="n"/>
      <c r="AT747" s="3" t="n"/>
      <c r="AU747" s="3" t="n"/>
    </row>
    <row r="748">
      <c r="A748" s="3" t="n">
        <v>2031</v>
      </c>
      <c r="B748" s="3" t="inlineStr">
        <is>
          <t>DJI</t>
        </is>
      </c>
      <c r="C748" s="3" t="inlineStr">
        <is>
          <t>IMF.RES:WEO</t>
        </is>
      </c>
      <c r="D748" s="3" t="inlineStr">
        <is>
          <t>DJI.NGDP_RPCH.A</t>
        </is>
      </c>
      <c r="E748" s="3" t="inlineStr">
        <is>
          <t>Djibouti</t>
        </is>
      </c>
      <c r="F748" s="3" t="inlineStr">
        <is>
          <t>Gross domestic product (GDP), Constant prices, Percent change</t>
        </is>
      </c>
      <c r="G748" s="3" t="n">
        <v>0.713333</v>
      </c>
      <c r="H748" s="3" t="n">
        <v>1.792995</v>
      </c>
      <c r="I748" s="3" t="n">
        <v>3.23431</v>
      </c>
      <c r="J748" s="3" t="n">
        <v>3.186421</v>
      </c>
      <c r="K748" s="3" t="n">
        <v>2.778507</v>
      </c>
      <c r="L748" s="3" t="n">
        <v>3.111105</v>
      </c>
      <c r="M748" s="3" t="n">
        <v>4.825023</v>
      </c>
      <c r="N748" s="3" t="n">
        <v>5.016556</v>
      </c>
      <c r="O748" s="3" t="n">
        <v>5.805611</v>
      </c>
      <c r="P748" s="3" t="n">
        <v>1.616335</v>
      </c>
      <c r="Q748" s="3" t="n">
        <v>4.147464</v>
      </c>
      <c r="R748" s="3" t="n">
        <v>7.292655</v>
      </c>
      <c r="S748" s="3" t="n">
        <v>4.84219</v>
      </c>
      <c r="T748" s="3" t="n">
        <v>5.000645</v>
      </c>
      <c r="U748" s="3" t="n">
        <v>7.192987</v>
      </c>
      <c r="V748" s="3" t="n">
        <v>7.308986</v>
      </c>
      <c r="W748" s="3" t="n">
        <v>7.123432</v>
      </c>
      <c r="X748" s="3" t="n">
        <v>5.458092</v>
      </c>
      <c r="Y748" s="3" t="n">
        <v>4.774339</v>
      </c>
      <c r="Z748" s="3" t="n">
        <v>5.545081</v>
      </c>
      <c r="AA748" s="3" t="n">
        <v>1.202115</v>
      </c>
      <c r="AB748" s="3" t="n">
        <v>4.407157</v>
      </c>
      <c r="AC748" s="3" t="n">
        <v>5.166537</v>
      </c>
      <c r="AD748" s="3" t="n">
        <v>6.807335</v>
      </c>
      <c r="AE748" s="3" t="n">
        <v>6.980485</v>
      </c>
      <c r="AF748" s="3" t="n">
        <v>6</v>
      </c>
      <c r="AG748" s="3" t="n">
        <v>6</v>
      </c>
      <c r="AH748" s="3" t="n">
        <v>6</v>
      </c>
      <c r="AI748" s="3" t="n">
        <v>5.5</v>
      </c>
      <c r="AJ748" s="3" t="n">
        <v>5.5</v>
      </c>
      <c r="AK748" s="3" t="n">
        <v>5.5</v>
      </c>
      <c r="AL748" s="3" t="n">
        <v>5.5</v>
      </c>
      <c r="AM748" s="3" t="n"/>
      <c r="AN748" s="3" t="n"/>
      <c r="AO748" s="3" t="n"/>
      <c r="AP748" s="3" t="n"/>
      <c r="AQ748" s="3" t="n"/>
      <c r="AR748" s="3" t="n"/>
      <c r="AS748" s="3" t="n"/>
      <c r="AT748" s="3" t="n"/>
      <c r="AU748" s="3" t="n"/>
    </row>
    <row r="749">
      <c r="A749" s="3" t="n">
        <v>2031</v>
      </c>
      <c r="B749" s="3" t="inlineStr">
        <is>
          <t>DJI</t>
        </is>
      </c>
      <c r="C749" s="3" t="inlineStr">
        <is>
          <t>IMF.RES:WEO</t>
        </is>
      </c>
      <c r="D749" s="3" t="inlineStr">
        <is>
          <t>DJI.NGDPD.A</t>
        </is>
      </c>
      <c r="E749" s="3" t="inlineStr">
        <is>
          <t>Djibouti</t>
        </is>
      </c>
      <c r="F749" s="3" t="inlineStr">
        <is>
          <t>Gross domestic product (GDP), Current prices, US dollar</t>
        </is>
      </c>
      <c r="G749" s="3" t="n">
        <v>0.780881</v>
      </c>
      <c r="H749" s="3" t="n">
        <v>0.811215</v>
      </c>
      <c r="I749" s="3" t="n">
        <v>0.837452</v>
      </c>
      <c r="J749" s="3" t="n">
        <v>0.881536</v>
      </c>
      <c r="K749" s="3" t="n">
        <v>0.935833</v>
      </c>
      <c r="L749" s="3" t="n">
        <v>0.995678</v>
      </c>
      <c r="M749" s="3" t="n">
        <v>1.080186</v>
      </c>
      <c r="N749" s="3" t="n">
        <v>1.190802</v>
      </c>
      <c r="O749" s="3" t="n">
        <v>1.381633</v>
      </c>
      <c r="P749" s="3" t="n">
        <v>1.425789</v>
      </c>
      <c r="Q749" s="3" t="n">
        <v>1.543614</v>
      </c>
      <c r="R749" s="3" t="n">
        <v>1.74026</v>
      </c>
      <c r="S749" s="3" t="n">
        <v>1.901464</v>
      </c>
      <c r="T749" s="3" t="n">
        <v>2.04444</v>
      </c>
      <c r="U749" s="3" t="n">
        <v>2.220638</v>
      </c>
      <c r="V749" s="3" t="n">
        <v>2.424392</v>
      </c>
      <c r="W749" s="3" t="n">
        <v>2.604955</v>
      </c>
      <c r="X749" s="3" t="n">
        <v>2.762581</v>
      </c>
      <c r="Y749" s="3" t="n">
        <v>2.913465</v>
      </c>
      <c r="Z749" s="3" t="n">
        <v>3.088851</v>
      </c>
      <c r="AA749" s="3" t="n">
        <v>3.144136</v>
      </c>
      <c r="AB749" s="3" t="n">
        <v>3.392797</v>
      </c>
      <c r="AC749" s="3" t="n">
        <v>3.562815</v>
      </c>
      <c r="AD749" s="3" t="n">
        <v>3.898447</v>
      </c>
      <c r="AE749" s="3" t="n">
        <v>4.152146</v>
      </c>
      <c r="AF749" s="3" t="n">
        <v>4.377727</v>
      </c>
      <c r="AG749" s="3" t="n">
        <v>4.724901</v>
      </c>
      <c r="AH749" s="3" t="n">
        <v>5.063513</v>
      </c>
      <c r="AI749" s="3" t="n">
        <v>5.39258</v>
      </c>
      <c r="AJ749" s="3" t="n">
        <v>5.745022</v>
      </c>
      <c r="AK749" s="3" t="n">
        <v>6.120659</v>
      </c>
      <c r="AL749" s="3" t="n">
        <v>6.520583</v>
      </c>
      <c r="AM749" s="3" t="n"/>
      <c r="AN749" s="3" t="n"/>
      <c r="AO749" s="3" t="n"/>
      <c r="AP749" s="3" t="n"/>
      <c r="AQ749" s="3" t="n"/>
      <c r="AR749" s="3" t="n"/>
      <c r="AS749" s="3" t="n"/>
      <c r="AT749" s="3" t="n"/>
      <c r="AU749" s="3" t="n"/>
    </row>
    <row r="750">
      <c r="A750" s="3" t="n">
        <v>2031</v>
      </c>
      <c r="B750" s="3" t="inlineStr">
        <is>
          <t>DJI</t>
        </is>
      </c>
      <c r="C750" s="3" t="inlineStr">
        <is>
          <t>IMF.RES:WEO</t>
        </is>
      </c>
      <c r="D750" s="3" t="inlineStr">
        <is>
          <t>DJI.NGDPPC.A</t>
        </is>
      </c>
      <c r="E750" s="3" t="inlineStr">
        <is>
          <t>Djibouti</t>
        </is>
      </c>
      <c r="F750" s="3" t="inlineStr">
        <is>
          <t>Gross domestic product (GDP), Current prices, Per capita, Domestic currency</t>
        </is>
      </c>
      <c r="G750" s="3" t="n">
        <v>193399.320965</v>
      </c>
      <c r="H750" s="3" t="n">
        <v>196679.696393</v>
      </c>
      <c r="I750" s="3" t="n">
        <v>199254.909792</v>
      </c>
      <c r="J750" s="3" t="n">
        <v>206239.304068</v>
      </c>
      <c r="K750" s="3" t="n">
        <v>215548.697283</v>
      </c>
      <c r="L750" s="3" t="n">
        <v>225922.02193</v>
      </c>
      <c r="M750" s="3" t="n">
        <v>241609.41594</v>
      </c>
      <c r="N750" s="3" t="n">
        <v>262746.191051</v>
      </c>
      <c r="O750" s="3" t="n">
        <v>300780.266856</v>
      </c>
      <c r="P750" s="3" t="n">
        <v>306096.217566</v>
      </c>
      <c r="Q750" s="3" t="n">
        <v>326511.078983</v>
      </c>
      <c r="R750" s="3" t="n">
        <v>362295.008037</v>
      </c>
      <c r="S750" s="3" t="n">
        <v>389259.284344</v>
      </c>
      <c r="T750" s="3" t="n">
        <v>411345.687063</v>
      </c>
      <c r="U750" s="3" t="n">
        <v>439135.335543</v>
      </c>
      <c r="V750" s="3" t="n">
        <v>471407.303437</v>
      </c>
      <c r="W750" s="3" t="n">
        <v>498274.434991</v>
      </c>
      <c r="X750" s="3" t="n">
        <v>520038.891346</v>
      </c>
      <c r="Y750" s="3" t="n">
        <v>539963.951768</v>
      </c>
      <c r="Z750" s="3" t="n">
        <v>563864.0250500001</v>
      </c>
      <c r="AA750" s="3" t="n">
        <v>565564.674004</v>
      </c>
      <c r="AB750" s="3" t="n">
        <v>601649.4434859999</v>
      </c>
      <c r="AC750" s="3" t="n">
        <v>623155.471657</v>
      </c>
      <c r="AD750" s="3" t="n">
        <v>672851.537138</v>
      </c>
      <c r="AE750" s="3" t="n">
        <v>707490.133024</v>
      </c>
      <c r="AF750" s="3" t="n">
        <v>736715.284524</v>
      </c>
      <c r="AG750" s="3" t="n">
        <v>785659.220631</v>
      </c>
      <c r="AH750" s="3" t="n">
        <v>832280.690965</v>
      </c>
      <c r="AI750" s="3" t="n">
        <v>876527.963863</v>
      </c>
      <c r="AJ750" s="3" t="n">
        <v>923447.625294</v>
      </c>
      <c r="AK750" s="3" t="n">
        <v>974081.646445</v>
      </c>
      <c r="AL750" s="3" t="n">
        <v>1027399.992609</v>
      </c>
      <c r="AM750" s="3" t="n"/>
      <c r="AN750" s="3" t="n"/>
      <c r="AO750" s="3" t="n"/>
      <c r="AP750" s="3" t="n"/>
      <c r="AQ750" s="3" t="n"/>
      <c r="AR750" s="3" t="n"/>
      <c r="AS750" s="3" t="n"/>
      <c r="AT750" s="3" t="n"/>
      <c r="AU750" s="3" t="n"/>
    </row>
    <row r="751">
      <c r="A751" s="3" t="n">
        <v>2031</v>
      </c>
      <c r="B751" s="3" t="inlineStr">
        <is>
          <t>DJI</t>
        </is>
      </c>
      <c r="C751" s="3" t="inlineStr">
        <is>
          <t>IMF.RES:WEO</t>
        </is>
      </c>
      <c r="D751" s="3" t="inlineStr">
        <is>
          <t>DJI.NGDPRPC.A</t>
        </is>
      </c>
      <c r="E751" s="3" t="inlineStr">
        <is>
          <t>Djibouti</t>
        </is>
      </c>
      <c r="F751" s="3" t="inlineStr">
        <is>
          <t>Gross domestic product (GDP), Constant prices, Per capita, Domestic currency</t>
        </is>
      </c>
      <c r="G751" s="3" t="n">
        <v>302643.08327</v>
      </c>
      <c r="H751" s="3" t="n">
        <v>301579.574749</v>
      </c>
      <c r="I751" s="3" t="n">
        <v>305528.288196</v>
      </c>
      <c r="J751" s="3" t="n">
        <v>309996.299986</v>
      </c>
      <c r="K751" s="3" t="n">
        <v>313671.032668</v>
      </c>
      <c r="L751" s="3" t="n">
        <v>318619.399903</v>
      </c>
      <c r="M751" s="3" t="n">
        <v>329240.352014</v>
      </c>
      <c r="N751" s="3" t="n">
        <v>341076.992433</v>
      </c>
      <c r="O751" s="3" t="n">
        <v>356057.956491</v>
      </c>
      <c r="P751" s="3" t="n">
        <v>356804.690882</v>
      </c>
      <c r="Q751" s="3" t="n">
        <v>366130.23418</v>
      </c>
      <c r="R751" s="3" t="n">
        <v>386629.182852</v>
      </c>
      <c r="S751" s="3" t="n">
        <v>398596.499186</v>
      </c>
      <c r="T751" s="3" t="n">
        <v>411345.687063</v>
      </c>
      <c r="U751" s="3" t="n">
        <v>433372.611986</v>
      </c>
      <c r="V751" s="3" t="n">
        <v>457267.599878</v>
      </c>
      <c r="W751" s="3" t="n">
        <v>481869.844213</v>
      </c>
      <c r="X751" s="3" t="n">
        <v>500105.99998</v>
      </c>
      <c r="Y751" s="3" t="n">
        <v>515883.049418</v>
      </c>
      <c r="Z751" s="3" t="n">
        <v>536304.704608</v>
      </c>
      <c r="AA751" s="3" t="n">
        <v>534816.44924</v>
      </c>
      <c r="AB751" s="3" t="n">
        <v>550477.725539</v>
      </c>
      <c r="AC751" s="3" t="n">
        <v>570998.313841</v>
      </c>
      <c r="AD751" s="3" t="n">
        <v>601811.341345</v>
      </c>
      <c r="AE751" s="3" t="n">
        <v>635601.762705</v>
      </c>
      <c r="AF751" s="3" t="n">
        <v>665417.407583</v>
      </c>
      <c r="AG751" s="3" t="n">
        <v>696932.209347</v>
      </c>
      <c r="AH751" s="3" t="n">
        <v>730252.009103</v>
      </c>
      <c r="AI751" s="3" t="n">
        <v>761862.473297</v>
      </c>
      <c r="AJ751" s="3" t="n">
        <v>794841.261622</v>
      </c>
      <c r="AK751" s="3" t="n">
        <v>830251.11276</v>
      </c>
      <c r="AL751" s="3" t="n">
        <v>867197.235385</v>
      </c>
      <c r="AM751" s="3" t="n"/>
      <c r="AN751" s="3" t="n"/>
      <c r="AO751" s="3" t="n"/>
      <c r="AP751" s="3" t="n"/>
      <c r="AQ751" s="3" t="n"/>
      <c r="AR751" s="3" t="n"/>
      <c r="AS751" s="3" t="n"/>
      <c r="AT751" s="3" t="n"/>
      <c r="AU751" s="3" t="n"/>
    </row>
    <row r="752">
      <c r="A752" s="3" t="n">
        <v>2031</v>
      </c>
      <c r="B752" s="3" t="inlineStr">
        <is>
          <t>DJI</t>
        </is>
      </c>
      <c r="C752" s="3" t="inlineStr">
        <is>
          <t>IMF.RES:WEO</t>
        </is>
      </c>
      <c r="D752" s="3" t="inlineStr">
        <is>
          <t>DJI.PCPI.A</t>
        </is>
      </c>
      <c r="E752" s="3" t="inlineStr">
        <is>
          <t>Djibouti</t>
        </is>
      </c>
      <c r="F752" s="3" t="inlineStr">
        <is>
          <t>All Items, Consumer price index (CPI), Period average</t>
        </is>
      </c>
      <c r="G752" s="3" t="n">
        <v>54.152915</v>
      </c>
      <c r="H752" s="3" t="n">
        <v>55.176814</v>
      </c>
      <c r="I752" s="3" t="n">
        <v>55.951632</v>
      </c>
      <c r="J752" s="3" t="n">
        <v>56.841372</v>
      </c>
      <c r="K752" s="3" t="n">
        <v>58.227752</v>
      </c>
      <c r="L752" s="3" t="n">
        <v>60.138439</v>
      </c>
      <c r="M752" s="3" t="n">
        <v>62.251744</v>
      </c>
      <c r="N752" s="3" t="n">
        <v>65.922354</v>
      </c>
      <c r="O752" s="3" t="n">
        <v>71.67719700000001</v>
      </c>
      <c r="P752" s="3" t="n">
        <v>75.655873</v>
      </c>
      <c r="Q752" s="3" t="n">
        <v>77.53618400000001</v>
      </c>
      <c r="R752" s="3" t="n">
        <v>81.600706</v>
      </c>
      <c r="S752" s="3" t="n">
        <v>85.04499300000001</v>
      </c>
      <c r="T752" s="3" t="n">
        <v>85.94875</v>
      </c>
      <c r="U752" s="3" t="n">
        <v>87.10206599999999</v>
      </c>
      <c r="V752" s="3" t="n">
        <v>86.647248</v>
      </c>
      <c r="W752" s="3" t="n">
        <v>88.728973</v>
      </c>
      <c r="X752" s="3" t="n">
        <v>89.241193</v>
      </c>
      <c r="Y752" s="3" t="n">
        <v>89.365092</v>
      </c>
      <c r="Z752" s="3" t="n">
        <v>92.329897</v>
      </c>
      <c r="AA752" s="3" t="n">
        <v>93.97245100000001</v>
      </c>
      <c r="AB752" s="3" t="n">
        <v>95.082142</v>
      </c>
      <c r="AC752" s="3" t="n">
        <v>100</v>
      </c>
      <c r="AD752" s="3" t="n">
        <v>101.446681</v>
      </c>
      <c r="AE752" s="3" t="n">
        <v>103.591667</v>
      </c>
      <c r="AF752" s="3" t="n">
        <v>103.263333</v>
      </c>
      <c r="AG752" s="3" t="n">
        <v>104.763333</v>
      </c>
      <c r="AH752" s="3" t="n">
        <v>106.063333</v>
      </c>
      <c r="AI752" s="3" t="n">
        <v>107.063333</v>
      </c>
      <c r="AJ752" s="3" t="n">
        <v>108.063333</v>
      </c>
      <c r="AK752" s="3" t="n">
        <v>109.063333</v>
      </c>
      <c r="AL752" s="3" t="n">
        <v>110.063333</v>
      </c>
      <c r="AM752" s="3" t="n"/>
      <c r="AN752" s="3" t="n"/>
      <c r="AO752" s="3" t="n"/>
      <c r="AP752" s="3" t="n"/>
      <c r="AQ752" s="3" t="n"/>
      <c r="AR752" s="3" t="n"/>
      <c r="AS752" s="3" t="n"/>
      <c r="AT752" s="3" t="n"/>
      <c r="AU752" s="3" t="n"/>
    </row>
    <row r="753">
      <c r="A753" s="3" t="n">
        <v>2031</v>
      </c>
      <c r="B753" s="3" t="inlineStr">
        <is>
          <t>DJI</t>
        </is>
      </c>
      <c r="C753" s="3" t="inlineStr">
        <is>
          <t>IMF.RES:WEO</t>
        </is>
      </c>
      <c r="D753" s="3" t="inlineStr">
        <is>
          <t>DJI.PCPIPCH.A</t>
        </is>
      </c>
      <c r="E753" s="3" t="inlineStr">
        <is>
          <t>Djibouti</t>
        </is>
      </c>
      <c r="F753" s="3" t="inlineStr">
        <is>
          <t>All Items, Consumer price index (CPI), Period average, percent change</t>
        </is>
      </c>
      <c r="G753" s="3" t="n">
        <v>1.184027</v>
      </c>
      <c r="H753" s="3" t="n">
        <v>1.890756</v>
      </c>
      <c r="I753" s="3" t="n">
        <v>1.404246</v>
      </c>
      <c r="J753" s="3" t="n">
        <v>1.590195</v>
      </c>
      <c r="K753" s="3" t="n">
        <v>2.439033</v>
      </c>
      <c r="L753" s="3" t="n">
        <v>3.281403</v>
      </c>
      <c r="M753" s="3" t="n">
        <v>3.514067</v>
      </c>
      <c r="N753" s="3" t="n">
        <v>5.896398</v>
      </c>
      <c r="O753" s="3" t="n">
        <v>8.729729000000001</v>
      </c>
      <c r="P753" s="3" t="n">
        <v>5.550825</v>
      </c>
      <c r="Q753" s="3" t="n">
        <v>2.485347</v>
      </c>
      <c r="R753" s="3" t="n">
        <v>5.242097</v>
      </c>
      <c r="S753" s="3" t="n">
        <v>4.220903</v>
      </c>
      <c r="T753" s="3" t="n">
        <v>1.062681</v>
      </c>
      <c r="U753" s="3" t="n">
        <v>1.341865</v>
      </c>
      <c r="V753" s="3" t="n">
        <v>-0.522167</v>
      </c>
      <c r="W753" s="3" t="n">
        <v>2.402529</v>
      </c>
      <c r="X753" s="3" t="n">
        <v>0.577286</v>
      </c>
      <c r="Y753" s="3" t="n">
        <v>0.138836</v>
      </c>
      <c r="Z753" s="3" t="n">
        <v>3.317632</v>
      </c>
      <c r="AA753" s="3" t="n">
        <v>1.779005</v>
      </c>
      <c r="AB753" s="3" t="n">
        <v>1.180868</v>
      </c>
      <c r="AC753" s="3" t="n">
        <v>5.172221</v>
      </c>
      <c r="AD753" s="3" t="n">
        <v>1.446681</v>
      </c>
      <c r="AE753" s="3" t="n">
        <v>2.114397</v>
      </c>
      <c r="AF753" s="3" t="n">
        <v>-0.31695</v>
      </c>
      <c r="AG753" s="3" t="n">
        <v>1.452597</v>
      </c>
      <c r="AH753" s="3" t="n">
        <v>1.240892</v>
      </c>
      <c r="AI753" s="3" t="n">
        <v>0.942833</v>
      </c>
      <c r="AJ753" s="3" t="n">
        <v>0.9340270000000001</v>
      </c>
      <c r="AK753" s="3" t="n">
        <v>0.925383</v>
      </c>
      <c r="AL753" s="3" t="n">
        <v>0.916898</v>
      </c>
      <c r="AM753" s="3" t="n"/>
      <c r="AN753" s="3" t="n"/>
      <c r="AO753" s="3" t="n"/>
      <c r="AP753" s="3" t="n"/>
      <c r="AQ753" s="3" t="n"/>
      <c r="AR753" s="3" t="n"/>
      <c r="AS753" s="3" t="n"/>
      <c r="AT753" s="3" t="n"/>
      <c r="AU753" s="3" t="n"/>
    </row>
    <row r="754">
      <c r="A754" s="3" t="n">
        <v>2031</v>
      </c>
      <c r="B754" s="3" t="inlineStr">
        <is>
          <t>DJI</t>
        </is>
      </c>
      <c r="C754" s="3" t="inlineStr">
        <is>
          <t>IMF.RES:WEO</t>
        </is>
      </c>
      <c r="D754" s="3" t="inlineStr">
        <is>
          <t>DJI.PPPPC.A</t>
        </is>
      </c>
      <c r="E754" s="3" t="inlineStr">
        <is>
          <t>Djibouti</t>
        </is>
      </c>
      <c r="F754" s="3" t="inlineStr">
        <is>
          <t>Gross domestic product (GDP), Per capita, purchasing power parity (PPP) international dollar, ICP benchmarks 2017-2021</t>
        </is>
      </c>
      <c r="G754" s="3" t="n">
        <v>2299.566104</v>
      </c>
      <c r="H754" s="3" t="n">
        <v>2343.08082</v>
      </c>
      <c r="I754" s="3" t="n">
        <v>2410.64888</v>
      </c>
      <c r="J754" s="3" t="n">
        <v>2494.189322</v>
      </c>
      <c r="K754" s="3" t="n">
        <v>2591.616529</v>
      </c>
      <c r="L754" s="3" t="n">
        <v>2715.051503</v>
      </c>
      <c r="M754" s="3" t="n">
        <v>2892.075859</v>
      </c>
      <c r="N754" s="3" t="n">
        <v>3077.221021</v>
      </c>
      <c r="O754" s="3" t="n">
        <v>3274.264007</v>
      </c>
      <c r="P754" s="3" t="n">
        <v>3301.366993</v>
      </c>
      <c r="Q754" s="3" t="n">
        <v>3428.825074</v>
      </c>
      <c r="R754" s="3" t="n">
        <v>3695.50466</v>
      </c>
      <c r="S754" s="3" t="n">
        <v>3880.829049</v>
      </c>
      <c r="T754" s="3" t="n">
        <v>4073.122718</v>
      </c>
      <c r="U754" s="3" t="n">
        <v>4365.973163</v>
      </c>
      <c r="V754" s="3" t="n">
        <v>4649.453694</v>
      </c>
      <c r="W754" s="3" t="n">
        <v>4946.164208</v>
      </c>
      <c r="X754" s="3" t="n">
        <v>5225.282278</v>
      </c>
      <c r="Y754" s="3" t="n">
        <v>5681.889932</v>
      </c>
      <c r="Z754" s="3" t="n">
        <v>6036.474066</v>
      </c>
      <c r="AA754" s="3" t="n">
        <v>6182.554411</v>
      </c>
      <c r="AB754" s="3" t="n">
        <v>6668.109421</v>
      </c>
      <c r="AC754" s="3" t="n">
        <v>7408.62479</v>
      </c>
      <c r="AD754" s="3" t="n">
        <v>8097.333725</v>
      </c>
      <c r="AE754" s="3" t="n">
        <v>8764.288495999999</v>
      </c>
      <c r="AF754" s="3" t="n">
        <v>9435.700398000001</v>
      </c>
      <c r="AG754" s="3" t="n">
        <v>10165.705443</v>
      </c>
      <c r="AH754" s="3" t="n">
        <v>10885.62144</v>
      </c>
      <c r="AI754" s="3" t="n">
        <v>11543.237911</v>
      </c>
      <c r="AJ754" s="3" t="n">
        <v>12257.046796</v>
      </c>
      <c r="AK754" s="3" t="n">
        <v>13038.35346</v>
      </c>
      <c r="AL754" s="3" t="n">
        <v>13864.415471</v>
      </c>
      <c r="AM754" s="3" t="n"/>
      <c r="AN754" s="3" t="n"/>
      <c r="AO754" s="3" t="n"/>
      <c r="AP754" s="3" t="n"/>
      <c r="AQ754" s="3" t="n"/>
      <c r="AR754" s="3" t="n"/>
      <c r="AS754" s="3" t="n"/>
      <c r="AT754" s="3" t="n"/>
      <c r="AU754" s="3" t="n"/>
    </row>
    <row r="755">
      <c r="A755" s="3" t="n">
        <v>2025</v>
      </c>
      <c r="B755" s="3" t="inlineStr">
        <is>
          <t>DJI</t>
        </is>
      </c>
      <c r="C755" s="3" t="inlineStr">
        <is>
          <t>IMF.STA:ER</t>
        </is>
      </c>
      <c r="D755" s="3" t="inlineStr">
        <is>
          <t>DJI.XDC_USD.PA_RT.A</t>
        </is>
      </c>
      <c r="E755" s="3" t="inlineStr">
        <is>
          <t>Djibouti</t>
        </is>
      </c>
      <c r="F755" s="3" t="inlineStr">
        <is>
          <t>Domestic currency per US Dollar</t>
        </is>
      </c>
      <c r="G755" s="3" t="n">
        <v>177.721</v>
      </c>
      <c r="H755" s="3" t="n">
        <v>177.721</v>
      </c>
      <c r="I755" s="3" t="n">
        <v>177.721</v>
      </c>
      <c r="J755" s="3" t="n">
        <v>177.721</v>
      </c>
      <c r="K755" s="3" t="n">
        <v>177.721</v>
      </c>
      <c r="L755" s="3" t="n">
        <v>177.721</v>
      </c>
      <c r="M755" s="3" t="n">
        <v>177.721</v>
      </c>
      <c r="N755" s="3" t="n">
        <v>177.721</v>
      </c>
      <c r="O755" s="3" t="n">
        <v>177.721</v>
      </c>
      <c r="P755" s="3" t="n">
        <v>177.721</v>
      </c>
      <c r="Q755" s="3" t="n">
        <v>177.721</v>
      </c>
      <c r="R755" s="3" t="n">
        <v>177.721</v>
      </c>
      <c r="S755" s="3" t="n">
        <v>177.721</v>
      </c>
      <c r="T755" s="3" t="n">
        <v>177.721</v>
      </c>
      <c r="U755" s="3" t="n">
        <v>177.721</v>
      </c>
      <c r="V755" s="3" t="n">
        <v>177.721</v>
      </c>
      <c r="W755" s="3" t="n">
        <v>177.721</v>
      </c>
      <c r="X755" s="3" t="n">
        <v>177.721</v>
      </c>
      <c r="Y755" s="3" t="n">
        <v>177.721</v>
      </c>
      <c r="Z755" s="3" t="n">
        <v>177.721</v>
      </c>
      <c r="AA755" s="3" t="n">
        <v>177.721</v>
      </c>
      <c r="AB755" s="3" t="n">
        <v>177.721</v>
      </c>
      <c r="AC755" s="3" t="n">
        <v>177.721</v>
      </c>
      <c r="AD755" s="3" t="n">
        <v>177.721</v>
      </c>
      <c r="AE755" s="3" t="n">
        <v>177.721</v>
      </c>
      <c r="AF755" s="3" t="n">
        <v>177.721</v>
      </c>
      <c r="AG755" s="3" t="n"/>
      <c r="AH755" s="3" t="n"/>
      <c r="AI755" s="3" t="n"/>
      <c r="AJ755" s="3" t="n"/>
      <c r="AK755" s="3" t="n"/>
      <c r="AL755" s="3" t="n"/>
      <c r="AM755" s="3" t="n"/>
      <c r="AN755" s="3" t="n"/>
      <c r="AO755" s="3" t="n"/>
      <c r="AP755" s="3" t="n"/>
      <c r="AQ755" s="3" t="n"/>
      <c r="AR755" s="3" t="n"/>
      <c r="AS755" s="3" t="n"/>
      <c r="AT755" s="3" t="n"/>
      <c r="AU755" s="3" t="n"/>
    </row>
    <row r="756">
      <c r="A756" s="3" t="n">
        <v>2031</v>
      </c>
      <c r="B756" s="3" t="inlineStr">
        <is>
          <t>DMA</t>
        </is>
      </c>
      <c r="C756" s="3" t="inlineStr">
        <is>
          <t>IMF.RES:WEO</t>
        </is>
      </c>
      <c r="D756" s="3" t="inlineStr">
        <is>
          <t>DMA.BCA.A</t>
        </is>
      </c>
      <c r="E756" s="3" t="inlineStr">
        <is>
          <t>Dominica</t>
        </is>
      </c>
      <c r="F756" s="3" t="inlineStr">
        <is>
          <t>Current account balance (credit less debit), US dollar</t>
        </is>
      </c>
      <c r="G756" s="3" t="n">
        <v>-0.059819</v>
      </c>
      <c r="H756" s="3" t="n">
        <v>-0.052138</v>
      </c>
      <c r="I756" s="3" t="n">
        <v>-0.047355</v>
      </c>
      <c r="J756" s="3" t="n">
        <v>-0.053176</v>
      </c>
      <c r="K756" s="3" t="n">
        <v>-0.058856</v>
      </c>
      <c r="L756" s="3" t="n">
        <v>-0.076081</v>
      </c>
      <c r="M756" s="3" t="n">
        <v>-0.049852</v>
      </c>
      <c r="N756" s="3" t="n">
        <v>-0.08695</v>
      </c>
      <c r="O756" s="3" t="n">
        <v>-0.129885</v>
      </c>
      <c r="P756" s="3" t="n">
        <v>-0.111079</v>
      </c>
      <c r="Q756" s="3" t="n">
        <v>-0.07860399999999999</v>
      </c>
      <c r="R756" s="3" t="n">
        <v>-0.038368</v>
      </c>
      <c r="S756" s="3" t="n">
        <v>-0.08423700000000001</v>
      </c>
      <c r="T756" s="3" t="n">
        <v>-0.0494</v>
      </c>
      <c r="U756" s="3" t="n">
        <v>-0.035552</v>
      </c>
      <c r="V756" s="3" t="n">
        <v>-0.038296</v>
      </c>
      <c r="W756" s="3" t="n">
        <v>-0.051793</v>
      </c>
      <c r="X756" s="3" t="n">
        <v>-0.057522</v>
      </c>
      <c r="Y756" s="3" t="n">
        <v>-0.258815</v>
      </c>
      <c r="Z756" s="3" t="n">
        <v>-0.233193</v>
      </c>
      <c r="AA756" s="3" t="n">
        <v>-0.186382</v>
      </c>
      <c r="AB756" s="3" t="n">
        <v>-0.186104</v>
      </c>
      <c r="AC756" s="3" t="n">
        <v>-0.165496</v>
      </c>
      <c r="AD756" s="3" t="n">
        <v>-0.266185</v>
      </c>
      <c r="AE756" s="3" t="n">
        <v>-0.260422</v>
      </c>
      <c r="AF756" s="3" t="n">
        <v>-0.282625</v>
      </c>
      <c r="AG756" s="3" t="n">
        <v>-0.262692</v>
      </c>
      <c r="AH756" s="3" t="n">
        <v>-0.2111</v>
      </c>
      <c r="AI756" s="3" t="n">
        <v>-0.181314</v>
      </c>
      <c r="AJ756" s="3" t="n">
        <v>-0.167115</v>
      </c>
      <c r="AK756" s="3" t="n">
        <v>-0.160757</v>
      </c>
      <c r="AL756" s="3" t="n">
        <v>-0.163799</v>
      </c>
      <c r="AM756" s="3" t="n"/>
      <c r="AN756" s="3" t="n"/>
      <c r="AO756" s="3" t="n"/>
      <c r="AP756" s="3" t="n"/>
      <c r="AQ756" s="3" t="n"/>
      <c r="AR756" s="3" t="n"/>
      <c r="AS756" s="3" t="n"/>
      <c r="AT756" s="3" t="n"/>
      <c r="AU756" s="3" t="n"/>
    </row>
    <row r="757">
      <c r="A757" s="3" t="n">
        <v>2031</v>
      </c>
      <c r="B757" s="3" t="inlineStr">
        <is>
          <t>DMA</t>
        </is>
      </c>
      <c r="C757" s="3" t="inlineStr">
        <is>
          <t>IMF.RES:WEO</t>
        </is>
      </c>
      <c r="D757" s="3" t="inlineStr">
        <is>
          <t>DMA.BCA_NGDPD.A</t>
        </is>
      </c>
      <c r="E757" s="3" t="inlineStr">
        <is>
          <t>Dominica</t>
        </is>
      </c>
      <c r="F757" s="3" t="inlineStr">
        <is>
          <t>Current account balance (credit less debit), Percent of GDP</t>
        </is>
      </c>
      <c r="G757" s="3" t="n">
        <v>-17.938255</v>
      </c>
      <c r="H757" s="3" t="n">
        <v>-15.325492</v>
      </c>
      <c r="I757" s="3" t="n">
        <v>-14.21233</v>
      </c>
      <c r="J757" s="3" t="n">
        <v>-15.489294</v>
      </c>
      <c r="K757" s="3" t="n">
        <v>-16.02847</v>
      </c>
      <c r="L757" s="3" t="n">
        <v>-20.886765</v>
      </c>
      <c r="M757" s="3" t="n">
        <v>-12.774268</v>
      </c>
      <c r="N757" s="3" t="n">
        <v>-20.634666</v>
      </c>
      <c r="O757" s="3" t="n">
        <v>-28.347464</v>
      </c>
      <c r="P757" s="3" t="n">
        <v>-22.71211</v>
      </c>
      <c r="Q757" s="3" t="n">
        <v>-15.917289</v>
      </c>
      <c r="R757" s="3" t="n">
        <v>-7.657807</v>
      </c>
      <c r="S757" s="3" t="n">
        <v>-17.33291</v>
      </c>
      <c r="T757" s="3" t="n">
        <v>-9.913779999999999</v>
      </c>
      <c r="U757" s="3" t="n">
        <v>-6.83126</v>
      </c>
      <c r="V757" s="3" t="n">
        <v>-7.082241</v>
      </c>
      <c r="W757" s="3" t="n">
        <v>-8.988187999999999</v>
      </c>
      <c r="X757" s="3" t="n">
        <v>-11.029047</v>
      </c>
      <c r="Y757" s="3" t="n">
        <v>-46.6526</v>
      </c>
      <c r="Z757" s="3" t="n">
        <v>-38.132212</v>
      </c>
      <c r="AA757" s="3" t="n">
        <v>-36.964701</v>
      </c>
      <c r="AB757" s="3" t="n">
        <v>-33.516094</v>
      </c>
      <c r="AC757" s="3" t="n">
        <v>-27.257478</v>
      </c>
      <c r="AD757" s="3" t="n">
        <v>-40.373231</v>
      </c>
      <c r="AE757" s="3" t="n">
        <v>-37.803629</v>
      </c>
      <c r="AF757" s="3" t="n">
        <v>-37.972045</v>
      </c>
      <c r="AG757" s="3" t="n">
        <v>-33.223871</v>
      </c>
      <c r="AH757" s="3" t="n">
        <v>-25.377944</v>
      </c>
      <c r="AI757" s="3" t="n">
        <v>-20.760648</v>
      </c>
      <c r="AJ757" s="3" t="n">
        <v>-18.279588</v>
      </c>
      <c r="AK757" s="3" t="n">
        <v>-16.862833</v>
      </c>
      <c r="AL757" s="3" t="n">
        <v>-16.482464</v>
      </c>
      <c r="AM757" s="3" t="n"/>
      <c r="AN757" s="3" t="n"/>
      <c r="AO757" s="3" t="n"/>
      <c r="AP757" s="3" t="n"/>
      <c r="AQ757" s="3" t="n"/>
      <c r="AR757" s="3" t="n"/>
      <c r="AS757" s="3" t="n"/>
      <c r="AT757" s="3" t="n"/>
      <c r="AU757" s="3" t="n"/>
    </row>
    <row r="758">
      <c r="A758" s="3" t="n">
        <v>2031</v>
      </c>
      <c r="B758" s="3" t="inlineStr">
        <is>
          <t>DMA</t>
        </is>
      </c>
      <c r="C758" s="3" t="inlineStr">
        <is>
          <t>IMF.RES:WEO</t>
        </is>
      </c>
      <c r="D758" s="3" t="inlineStr">
        <is>
          <t>DMA.GGR_NGDP.A</t>
        </is>
      </c>
      <c r="E758" s="3" t="inlineStr">
        <is>
          <t>Dominica</t>
        </is>
      </c>
      <c r="F758" s="3" t="inlineStr">
        <is>
          <t>Revenue, General government, Percent of GDP</t>
        </is>
      </c>
      <c r="G758" s="3" t="n">
        <v>29.856572</v>
      </c>
      <c r="H758" s="3" t="n">
        <v>23.076444</v>
      </c>
      <c r="I758" s="3" t="n">
        <v>24.540434</v>
      </c>
      <c r="J758" s="3" t="n">
        <v>30.956145</v>
      </c>
      <c r="K758" s="3" t="n">
        <v>29.57578</v>
      </c>
      <c r="L758" s="3" t="n">
        <v>31.904409</v>
      </c>
      <c r="M758" s="3" t="n">
        <v>32.619027</v>
      </c>
      <c r="N758" s="3" t="n">
        <v>35.862205</v>
      </c>
      <c r="O758" s="3" t="n">
        <v>35.440647</v>
      </c>
      <c r="P758" s="3" t="n">
        <v>35.599391</v>
      </c>
      <c r="Q758" s="3" t="n">
        <v>36.044597</v>
      </c>
      <c r="R758" s="3" t="n">
        <v>30.815213</v>
      </c>
      <c r="S758" s="3" t="n">
        <v>30.757984</v>
      </c>
      <c r="T758" s="3" t="n">
        <v>30.559301</v>
      </c>
      <c r="U758" s="3" t="n">
        <v>27.162736</v>
      </c>
      <c r="V758" s="3" t="n">
        <v>43.772499</v>
      </c>
      <c r="W758" s="3" t="n">
        <v>59.628121</v>
      </c>
      <c r="X758" s="3" t="n">
        <v>50.713663</v>
      </c>
      <c r="Y758" s="3" t="n">
        <v>46.246532</v>
      </c>
      <c r="Z758" s="3" t="n">
        <v>39.561846</v>
      </c>
      <c r="AA758" s="3" t="n">
        <v>59.229712</v>
      </c>
      <c r="AB758" s="3" t="n">
        <v>58.771623</v>
      </c>
      <c r="AC758" s="3" t="n">
        <v>62.514421</v>
      </c>
      <c r="AD758" s="3" t="n">
        <v>60.306075</v>
      </c>
      <c r="AE758" s="3" t="n">
        <v>60.647853</v>
      </c>
      <c r="AF758" s="3" t="n">
        <v>54.061626</v>
      </c>
      <c r="AG758" s="3" t="n">
        <v>46.551548</v>
      </c>
      <c r="AH758" s="3" t="n">
        <v>41.546787</v>
      </c>
      <c r="AI758" s="3" t="n">
        <v>41.357026</v>
      </c>
      <c r="AJ758" s="3" t="n">
        <v>41.164489</v>
      </c>
      <c r="AK758" s="3" t="n">
        <v>41.094497</v>
      </c>
      <c r="AL758" s="3" t="n">
        <v>41.246397</v>
      </c>
      <c r="AM758" s="3" t="n"/>
      <c r="AN758" s="3" t="n"/>
      <c r="AO758" s="3" t="n"/>
      <c r="AP758" s="3" t="n"/>
      <c r="AQ758" s="3" t="n"/>
      <c r="AR758" s="3" t="n"/>
      <c r="AS758" s="3" t="n"/>
      <c r="AT758" s="3" t="n"/>
      <c r="AU758" s="3" t="n"/>
    </row>
    <row r="759">
      <c r="A759" s="3" t="n">
        <v>2031</v>
      </c>
      <c r="B759" s="3" t="inlineStr">
        <is>
          <t>DMA</t>
        </is>
      </c>
      <c r="C759" s="3" t="inlineStr">
        <is>
          <t>IMF.RES:WEO</t>
        </is>
      </c>
      <c r="D759" s="3" t="inlineStr">
        <is>
          <t>DMA.GGX_NGDP.A</t>
        </is>
      </c>
      <c r="E759" s="3" t="inlineStr">
        <is>
          <t>Dominica</t>
        </is>
      </c>
      <c r="F759" s="3" t="inlineStr">
        <is>
          <t>Expenditure, General government, Percent of GDP</t>
        </is>
      </c>
      <c r="G759" s="3" t="n">
        <v>38.517944</v>
      </c>
      <c r="H759" s="3" t="n">
        <v>29.620102</v>
      </c>
      <c r="I759" s="3" t="n">
        <v>28.611395</v>
      </c>
      <c r="J759" s="3" t="n">
        <v>30.106568</v>
      </c>
      <c r="K759" s="3" t="n">
        <v>30.249187</v>
      </c>
      <c r="L759" s="3" t="n">
        <v>30.95729</v>
      </c>
      <c r="M759" s="3" t="n">
        <v>29.691175</v>
      </c>
      <c r="N759" s="3" t="n">
        <v>34.063967</v>
      </c>
      <c r="O759" s="3" t="n">
        <v>34.740568</v>
      </c>
      <c r="P759" s="3" t="n">
        <v>35.90871</v>
      </c>
      <c r="Q759" s="3" t="n">
        <v>39.427255</v>
      </c>
      <c r="R759" s="3" t="n">
        <v>35.216958</v>
      </c>
      <c r="S759" s="3" t="n">
        <v>36.172049</v>
      </c>
      <c r="T759" s="3" t="n">
        <v>33.442045</v>
      </c>
      <c r="U759" s="3" t="n">
        <v>32.707343</v>
      </c>
      <c r="V759" s="3" t="n">
        <v>32.393103</v>
      </c>
      <c r="W759" s="3" t="n">
        <v>48.034866</v>
      </c>
      <c r="X759" s="3" t="n">
        <v>53.979797</v>
      </c>
      <c r="Y759" s="3" t="n">
        <v>63.43155</v>
      </c>
      <c r="Z759" s="3" t="n">
        <v>48.280941</v>
      </c>
      <c r="AA759" s="3" t="n">
        <v>66.759817</v>
      </c>
      <c r="AB759" s="3" t="n">
        <v>66.99408200000001</v>
      </c>
      <c r="AC759" s="3" t="n">
        <v>69.693473</v>
      </c>
      <c r="AD759" s="3" t="n">
        <v>64.830797</v>
      </c>
      <c r="AE759" s="3" t="n">
        <v>67.40152</v>
      </c>
      <c r="AF759" s="3" t="n">
        <v>55.410574</v>
      </c>
      <c r="AG759" s="3" t="n">
        <v>47.584894</v>
      </c>
      <c r="AH759" s="3" t="n">
        <v>42.540033</v>
      </c>
      <c r="AI759" s="3" t="n">
        <v>42.219253</v>
      </c>
      <c r="AJ759" s="3" t="n">
        <v>41.712344</v>
      </c>
      <c r="AK759" s="3" t="n">
        <v>41.143243</v>
      </c>
      <c r="AL759" s="3" t="n">
        <v>41.25347</v>
      </c>
      <c r="AM759" s="3" t="n"/>
      <c r="AN759" s="3" t="n"/>
      <c r="AO759" s="3" t="n"/>
      <c r="AP759" s="3" t="n"/>
      <c r="AQ759" s="3" t="n"/>
      <c r="AR759" s="3" t="n"/>
      <c r="AS759" s="3" t="n"/>
      <c r="AT759" s="3" t="n"/>
      <c r="AU759" s="3" t="n"/>
    </row>
    <row r="760">
      <c r="A760" s="3" t="n">
        <v>2031</v>
      </c>
      <c r="B760" s="3" t="inlineStr">
        <is>
          <t>DMA</t>
        </is>
      </c>
      <c r="C760" s="3" t="inlineStr">
        <is>
          <t>IMF.RES:WEO</t>
        </is>
      </c>
      <c r="D760" s="3" t="inlineStr">
        <is>
          <t>DMA.LP.A</t>
        </is>
      </c>
      <c r="E760" s="3" t="inlineStr">
        <is>
          <t>Dominica</t>
        </is>
      </c>
      <c r="F760" s="3" t="inlineStr">
        <is>
          <t>Population, Persons for countries / Index for country groups</t>
        </is>
      </c>
      <c r="G760" s="3" t="n">
        <v>0.07123599999999999</v>
      </c>
      <c r="H760" s="3" t="n">
        <v>0.071242</v>
      </c>
      <c r="I760" s="3" t="n">
        <v>0.07119200000000001</v>
      </c>
      <c r="J760" s="3" t="n">
        <v>0.071141</v>
      </c>
      <c r="K760" s="3" t="n">
        <v>0.071091</v>
      </c>
      <c r="L760" s="3" t="n">
        <v>0.07104000000000001</v>
      </c>
      <c r="M760" s="3" t="n">
        <v>0.07099</v>
      </c>
      <c r="N760" s="3" t="n">
        <v>0.07094</v>
      </c>
      <c r="O760" s="3" t="n">
        <v>0.07088999999999999</v>
      </c>
      <c r="P760" s="3" t="n">
        <v>0.070839</v>
      </c>
      <c r="Q760" s="3" t="n">
        <v>0.070739</v>
      </c>
      <c r="R760" s="3" t="n">
        <v>0.06997299999999999</v>
      </c>
      <c r="S760" s="3" t="n">
        <v>0.069479</v>
      </c>
      <c r="T760" s="3" t="n">
        <v>0.069658</v>
      </c>
      <c r="U760" s="3" t="n">
        <v>0.070437</v>
      </c>
      <c r="V760" s="3" t="n">
        <v>0.071185</v>
      </c>
      <c r="W760" s="3" t="n">
        <v>0.07123400000000001</v>
      </c>
      <c r="X760" s="3" t="n">
        <v>0.06947200000000001</v>
      </c>
      <c r="Y760" s="3" t="n">
        <v>0.069511</v>
      </c>
      <c r="Z760" s="3" t="n">
        <v>0.072231</v>
      </c>
      <c r="AA760" s="3" t="n">
        <v>0.07337</v>
      </c>
      <c r="AB760" s="3" t="n">
        <v>0.073737</v>
      </c>
      <c r="AC760" s="3" t="n">
        <v>0.07410600000000001</v>
      </c>
      <c r="AD760" s="3" t="n">
        <v>0.074477</v>
      </c>
      <c r="AE760" s="3" t="n">
        <v>0.074849</v>
      </c>
      <c r="AF760" s="3" t="n">
        <v>0.075223</v>
      </c>
      <c r="AG760" s="3" t="n">
        <v>0.075599</v>
      </c>
      <c r="AH760" s="3" t="n">
        <v>0.075977</v>
      </c>
      <c r="AI760" s="3" t="n">
        <v>0.07635699999999999</v>
      </c>
      <c r="AJ760" s="3" t="n">
        <v>0.076739</v>
      </c>
      <c r="AK760" s="3" t="n">
        <v>0.077123</v>
      </c>
      <c r="AL760" s="3" t="n">
        <v>0.07750899999999999</v>
      </c>
      <c r="AM760" s="3" t="n"/>
      <c r="AN760" s="3" t="n"/>
      <c r="AO760" s="3" t="n"/>
      <c r="AP760" s="3" t="n"/>
      <c r="AQ760" s="3" t="n"/>
      <c r="AR760" s="3" t="n"/>
      <c r="AS760" s="3" t="n"/>
      <c r="AT760" s="3" t="n"/>
      <c r="AU760" s="3" t="n"/>
    </row>
    <row r="761">
      <c r="A761" s="3" t="n">
        <v>2031</v>
      </c>
      <c r="B761" s="3" t="inlineStr">
        <is>
          <t>DMA</t>
        </is>
      </c>
      <c r="C761" s="3" t="inlineStr">
        <is>
          <t>IMF.RES:WEO</t>
        </is>
      </c>
      <c r="D761" s="3" t="inlineStr">
        <is>
          <t>DMA.NGDP.A</t>
        </is>
      </c>
      <c r="E761" s="3" t="inlineStr">
        <is>
          <t>Dominica</t>
        </is>
      </c>
      <c r="F761" s="3" t="inlineStr">
        <is>
          <t>Gross domestic product (GDP), Current prices, Domestic currency</t>
        </is>
      </c>
      <c r="G761" s="3" t="n">
        <v>0.900366</v>
      </c>
      <c r="H761" s="3" t="n">
        <v>0.918554</v>
      </c>
      <c r="I761" s="3" t="n">
        <v>0.899627</v>
      </c>
      <c r="J761" s="3" t="n">
        <v>0.926939</v>
      </c>
      <c r="K761" s="3" t="n">
        <v>0.991438</v>
      </c>
      <c r="L761" s="3" t="n">
        <v>0.9834889999999999</v>
      </c>
      <c r="M761" s="3" t="n">
        <v>1.053675</v>
      </c>
      <c r="N761" s="3" t="n">
        <v>1.137715</v>
      </c>
      <c r="O761" s="3" t="n">
        <v>1.237114</v>
      </c>
      <c r="P761" s="3" t="n">
        <v>1.320501</v>
      </c>
      <c r="Q761" s="3" t="n">
        <v>1.33333</v>
      </c>
      <c r="R761" s="3" t="n">
        <v>1.35277</v>
      </c>
      <c r="S761" s="3" t="n">
        <v>1.31219</v>
      </c>
      <c r="T761" s="3" t="n">
        <v>1.3454</v>
      </c>
      <c r="U761" s="3" t="n">
        <v>1.40516</v>
      </c>
      <c r="V761" s="3" t="n">
        <v>1.45999</v>
      </c>
      <c r="W761" s="3" t="n">
        <v>1.55582</v>
      </c>
      <c r="X761" s="3" t="n">
        <v>1.40819</v>
      </c>
      <c r="Y761" s="3" t="n">
        <v>1.49788</v>
      </c>
      <c r="Z761" s="3" t="n">
        <v>1.65115</v>
      </c>
      <c r="AA761" s="3" t="n">
        <v>1.36138</v>
      </c>
      <c r="AB761" s="3" t="n">
        <v>1.49922</v>
      </c>
      <c r="AC761" s="3" t="n">
        <v>1.63933</v>
      </c>
      <c r="AD761" s="3" t="n">
        <v>1.78014</v>
      </c>
      <c r="AE761" s="3" t="n">
        <v>1.85998</v>
      </c>
      <c r="AF761" s="3" t="n">
        <v>2.0096</v>
      </c>
      <c r="AG761" s="3" t="n">
        <v>2.134817</v>
      </c>
      <c r="AH761" s="3" t="n">
        <v>2.245923</v>
      </c>
      <c r="AI761" s="3" t="n">
        <v>2.358059</v>
      </c>
      <c r="AJ761" s="3" t="n">
        <v>2.468389</v>
      </c>
      <c r="AK761" s="3" t="n">
        <v>2.573965</v>
      </c>
      <c r="AL761" s="3" t="n">
        <v>2.683204</v>
      </c>
      <c r="AM761" s="3" t="n"/>
      <c r="AN761" s="3" t="n"/>
      <c r="AO761" s="3" t="n"/>
      <c r="AP761" s="3" t="n"/>
      <c r="AQ761" s="3" t="n"/>
      <c r="AR761" s="3" t="n"/>
      <c r="AS761" s="3" t="n"/>
      <c r="AT761" s="3" t="n"/>
      <c r="AU761" s="3" t="n"/>
    </row>
    <row r="762">
      <c r="A762" s="3" t="n">
        <v>2031</v>
      </c>
      <c r="B762" s="3" t="inlineStr">
        <is>
          <t>DMA</t>
        </is>
      </c>
      <c r="C762" s="3" t="inlineStr">
        <is>
          <t>IMF.RES:WEO</t>
        </is>
      </c>
      <c r="D762" s="3" t="inlineStr">
        <is>
          <t>DMA.NGDP_D.A</t>
        </is>
      </c>
      <c r="E762" s="3" t="inlineStr">
        <is>
          <t>Dominica</t>
        </is>
      </c>
      <c r="F762" s="3" t="inlineStr">
        <is>
          <t>Gross domestic product (GDP), Price deflator, Index</t>
        </is>
      </c>
      <c r="G762" s="3" t="n">
        <v>95.806539</v>
      </c>
      <c r="H762" s="3" t="n">
        <v>97.803287</v>
      </c>
      <c r="I762" s="3" t="n">
        <v>98.57667499999999</v>
      </c>
      <c r="J762" s="3" t="n">
        <v>95.501766</v>
      </c>
      <c r="K762" s="3" t="n">
        <v>99.12308299999999</v>
      </c>
      <c r="L762" s="3" t="n">
        <v>97.687302</v>
      </c>
      <c r="M762" s="3" t="n">
        <v>100</v>
      </c>
      <c r="N762" s="3" t="n">
        <v>101.525169</v>
      </c>
      <c r="O762" s="3" t="n">
        <v>103.056713</v>
      </c>
      <c r="P762" s="3" t="n">
        <v>111.305215</v>
      </c>
      <c r="Q762" s="3" t="n">
        <v>111.63552</v>
      </c>
      <c r="R762" s="3" t="n">
        <v>113.516938</v>
      </c>
      <c r="S762" s="3" t="n">
        <v>111.290254</v>
      </c>
      <c r="T762" s="3" t="n">
        <v>115.259406</v>
      </c>
      <c r="U762" s="3" t="n">
        <v>114.916133</v>
      </c>
      <c r="V762" s="3" t="n">
        <v>122.753222</v>
      </c>
      <c r="W762" s="3" t="n">
        <v>127.292512</v>
      </c>
      <c r="X762" s="3" t="n">
        <v>123.380412</v>
      </c>
      <c r="Y762" s="3" t="n">
        <v>126.742425</v>
      </c>
      <c r="Z762" s="3" t="n">
        <v>132.424651</v>
      </c>
      <c r="AA762" s="3" t="n">
        <v>130.924583</v>
      </c>
      <c r="AB762" s="3" t="n">
        <v>134.885018</v>
      </c>
      <c r="AC762" s="3" t="n">
        <v>139.69102</v>
      </c>
      <c r="AD762" s="3" t="n">
        <v>144.863448</v>
      </c>
      <c r="AE762" s="3" t="n">
        <v>146.186917</v>
      </c>
      <c r="AF762" s="3" t="n">
        <v>151.084177</v>
      </c>
      <c r="AG762" s="3" t="n">
        <v>155.6167</v>
      </c>
      <c r="AH762" s="3" t="n">
        <v>159.195893</v>
      </c>
      <c r="AI762" s="3" t="n">
        <v>162.698197</v>
      </c>
      <c r="AJ762" s="3" t="n">
        <v>166.277554</v>
      </c>
      <c r="AK762" s="3" t="n">
        <v>169.769277</v>
      </c>
      <c r="AL762" s="3" t="n">
        <v>173.504202</v>
      </c>
      <c r="AM762" s="3" t="n"/>
      <c r="AN762" s="3" t="n"/>
      <c r="AO762" s="3" t="n"/>
      <c r="AP762" s="3" t="n"/>
      <c r="AQ762" s="3" t="n"/>
      <c r="AR762" s="3" t="n"/>
      <c r="AS762" s="3" t="n"/>
      <c r="AT762" s="3" t="n"/>
      <c r="AU762" s="3" t="n"/>
    </row>
    <row r="763">
      <c r="A763" s="3" t="n">
        <v>2031</v>
      </c>
      <c r="B763" s="3" t="inlineStr">
        <is>
          <t>DMA</t>
        </is>
      </c>
      <c r="C763" s="3" t="inlineStr">
        <is>
          <t>IMF.RES:WEO</t>
        </is>
      </c>
      <c r="D763" s="3" t="inlineStr">
        <is>
          <t>DMA.NGDP_R.A</t>
        </is>
      </c>
      <c r="E763" s="3" t="inlineStr">
        <is>
          <t>Dominica</t>
        </is>
      </c>
      <c r="F763" s="3" t="inlineStr">
        <is>
          <t>Gross domestic product (GDP), Constant prices, Domestic currency</t>
        </is>
      </c>
      <c r="G763" s="3" t="n">
        <v>0.939775</v>
      </c>
      <c r="H763" s="3" t="n">
        <v>0.939185</v>
      </c>
      <c r="I763" s="3" t="n">
        <v>0.912617</v>
      </c>
      <c r="J763" s="3" t="n">
        <v>0.970599</v>
      </c>
      <c r="K763" s="3" t="n">
        <v>1.000209</v>
      </c>
      <c r="L763" s="3" t="n">
        <v>1.006772</v>
      </c>
      <c r="M763" s="3" t="n">
        <v>1.053675</v>
      </c>
      <c r="N763" s="3" t="n">
        <v>1.120623</v>
      </c>
      <c r="O763" s="3" t="n">
        <v>1.20042</v>
      </c>
      <c r="P763" s="3" t="n">
        <v>1.186378</v>
      </c>
      <c r="Q763" s="3" t="n">
        <v>1.19436</v>
      </c>
      <c r="R763" s="3" t="n">
        <v>1.19169</v>
      </c>
      <c r="S763" s="3" t="n">
        <v>1.17907</v>
      </c>
      <c r="T763" s="3" t="n">
        <v>1.16728</v>
      </c>
      <c r="U763" s="3" t="n">
        <v>1.22277</v>
      </c>
      <c r="V763" s="3" t="n">
        <v>1.18937</v>
      </c>
      <c r="W763" s="3" t="n">
        <v>1.22224</v>
      </c>
      <c r="X763" s="3" t="n">
        <v>1.14134</v>
      </c>
      <c r="Y763" s="3" t="n">
        <v>1.18183</v>
      </c>
      <c r="Z763" s="3" t="n">
        <v>1.24686</v>
      </c>
      <c r="AA763" s="3" t="n">
        <v>1.03982</v>
      </c>
      <c r="AB763" s="3" t="n">
        <v>1.11148</v>
      </c>
      <c r="AC763" s="3" t="n">
        <v>1.17354</v>
      </c>
      <c r="AD763" s="3" t="n">
        <v>1.22884</v>
      </c>
      <c r="AE763" s="3" t="n">
        <v>1.27233</v>
      </c>
      <c r="AF763" s="3" t="n">
        <v>1.330119</v>
      </c>
      <c r="AG763" s="3" t="n">
        <v>1.371843</v>
      </c>
      <c r="AH763" s="3" t="n">
        <v>1.410792</v>
      </c>
      <c r="AI763" s="3" t="n">
        <v>1.449346</v>
      </c>
      <c r="AJ763" s="3" t="n">
        <v>1.484499</v>
      </c>
      <c r="AK763" s="3" t="n">
        <v>1.516155</v>
      </c>
      <c r="AL763" s="3" t="n">
        <v>1.546478</v>
      </c>
      <c r="AM763" s="3" t="n"/>
      <c r="AN763" s="3" t="n"/>
      <c r="AO763" s="3" t="n"/>
      <c r="AP763" s="3" t="n"/>
      <c r="AQ763" s="3" t="n"/>
      <c r="AR763" s="3" t="n"/>
      <c r="AS763" s="3" t="n"/>
      <c r="AT763" s="3" t="n"/>
      <c r="AU763" s="3" t="n"/>
    </row>
    <row r="764">
      <c r="A764" s="3" t="n">
        <v>2031</v>
      </c>
      <c r="B764" s="3" t="inlineStr">
        <is>
          <t>DMA</t>
        </is>
      </c>
      <c r="C764" s="3" t="inlineStr">
        <is>
          <t>IMF.RES:WEO</t>
        </is>
      </c>
      <c r="D764" s="3" t="inlineStr">
        <is>
          <t>DMA.NGDP_RPCH.A</t>
        </is>
      </c>
      <c r="E764" s="3" t="inlineStr">
        <is>
          <t>Dominica</t>
        </is>
      </c>
      <c r="F764" s="3" t="inlineStr">
        <is>
          <t>Gross domestic product (GDP), Constant prices, Percent change</t>
        </is>
      </c>
      <c r="G764" s="3" t="n">
        <v>2.339507</v>
      </c>
      <c r="H764" s="3" t="n">
        <v>-0.062802</v>
      </c>
      <c r="I764" s="3" t="n">
        <v>-2.828879</v>
      </c>
      <c r="J764" s="3" t="n">
        <v>6.353392</v>
      </c>
      <c r="K764" s="3" t="n">
        <v>3.050695</v>
      </c>
      <c r="L764" s="3" t="n">
        <v>0.656233</v>
      </c>
      <c r="M764" s="3" t="n">
        <v>4.658759</v>
      </c>
      <c r="N764" s="3" t="n">
        <v>6.353759</v>
      </c>
      <c r="O764" s="3" t="n">
        <v>7.120742</v>
      </c>
      <c r="P764" s="3" t="n">
        <v>-1.169757</v>
      </c>
      <c r="Q764" s="3" t="n">
        <v>0.6727959999999999</v>
      </c>
      <c r="R764" s="3" t="n">
        <v>-0.223551</v>
      </c>
      <c r="S764" s="3" t="n">
        <v>-1.059</v>
      </c>
      <c r="T764" s="3" t="n">
        <v>-0.999941</v>
      </c>
      <c r="U764" s="3" t="n">
        <v>4.753787</v>
      </c>
      <c r="V764" s="3" t="n">
        <v>-2.731503</v>
      </c>
      <c r="W764" s="3" t="n">
        <v>2.763648</v>
      </c>
      <c r="X764" s="3" t="n">
        <v>-6.618995</v>
      </c>
      <c r="Y764" s="3" t="n">
        <v>3.547584</v>
      </c>
      <c r="Z764" s="3" t="n">
        <v>5.502483</v>
      </c>
      <c r="AA764" s="3" t="n">
        <v>-16.604912</v>
      </c>
      <c r="AB764" s="3" t="n">
        <v>6.891577</v>
      </c>
      <c r="AC764" s="3" t="n">
        <v>5.583546</v>
      </c>
      <c r="AD764" s="3" t="n">
        <v>4.712238</v>
      </c>
      <c r="AE764" s="3" t="n">
        <v>3.53911</v>
      </c>
      <c r="AF764" s="3" t="n">
        <v>4.542006</v>
      </c>
      <c r="AG764" s="3" t="n">
        <v>3.136824</v>
      </c>
      <c r="AH764" s="3" t="n">
        <v>2.83921</v>
      </c>
      <c r="AI764" s="3" t="n">
        <v>2.732734</v>
      </c>
      <c r="AJ764" s="3" t="n">
        <v>2.425481</v>
      </c>
      <c r="AK764" s="3" t="n">
        <v>2.132403</v>
      </c>
      <c r="AL764" s="3" t="n">
        <v>2.000001</v>
      </c>
      <c r="AM764" s="3" t="n"/>
      <c r="AN764" s="3" t="n"/>
      <c r="AO764" s="3" t="n"/>
      <c r="AP764" s="3" t="n"/>
      <c r="AQ764" s="3" t="n"/>
      <c r="AR764" s="3" t="n"/>
      <c r="AS764" s="3" t="n"/>
      <c r="AT764" s="3" t="n"/>
      <c r="AU764" s="3" t="n"/>
    </row>
    <row r="765">
      <c r="A765" s="3" t="n">
        <v>2031</v>
      </c>
      <c r="B765" s="3" t="inlineStr">
        <is>
          <t>DMA</t>
        </is>
      </c>
      <c r="C765" s="3" t="inlineStr">
        <is>
          <t>IMF.RES:WEO</t>
        </is>
      </c>
      <c r="D765" s="3" t="inlineStr">
        <is>
          <t>DMA.NGDPD.A</t>
        </is>
      </c>
      <c r="E765" s="3" t="inlineStr">
        <is>
          <t>Dominica</t>
        </is>
      </c>
      <c r="F765" s="3" t="inlineStr">
        <is>
          <t>Gross domestic product (GDP), Current prices, US dollar</t>
        </is>
      </c>
      <c r="G765" s="3" t="n">
        <v>0.333469</v>
      </c>
      <c r="H765" s="3" t="n">
        <v>0.340205</v>
      </c>
      <c r="I765" s="3" t="n">
        <v>0.333195</v>
      </c>
      <c r="J765" s="3" t="n">
        <v>0.343311</v>
      </c>
      <c r="K765" s="3" t="n">
        <v>0.367199</v>
      </c>
      <c r="L765" s="3" t="n">
        <v>0.364255</v>
      </c>
      <c r="M765" s="3" t="n">
        <v>0.39025</v>
      </c>
      <c r="N765" s="3" t="n">
        <v>0.421376</v>
      </c>
      <c r="O765" s="3" t="n">
        <v>0.45819</v>
      </c>
      <c r="P765" s="3" t="n">
        <v>0.489074</v>
      </c>
      <c r="Q765" s="3" t="n">
        <v>0.493826</v>
      </c>
      <c r="R765" s="3" t="n">
        <v>0.501026</v>
      </c>
      <c r="S765" s="3" t="n">
        <v>0.485996</v>
      </c>
      <c r="T765" s="3" t="n">
        <v>0.498296</v>
      </c>
      <c r="U765" s="3" t="n">
        <v>0.5204299999999999</v>
      </c>
      <c r="V765" s="3" t="n">
        <v>0.540737</v>
      </c>
      <c r="W765" s="3" t="n">
        <v>0.57623</v>
      </c>
      <c r="X765" s="3" t="n">
        <v>0.521552</v>
      </c>
      <c r="Y765" s="3" t="n">
        <v>0.55477</v>
      </c>
      <c r="Z765" s="3" t="n">
        <v>0.611537</v>
      </c>
      <c r="AA765" s="3" t="n">
        <v>0.504215</v>
      </c>
      <c r="AB765" s="3" t="n">
        <v>0.555267</v>
      </c>
      <c r="AC765" s="3" t="n">
        <v>0.607159</v>
      </c>
      <c r="AD765" s="3" t="n">
        <v>0.659311</v>
      </c>
      <c r="AE765" s="3" t="n">
        <v>0.688881</v>
      </c>
      <c r="AF765" s="3" t="n">
        <v>0.744296</v>
      </c>
      <c r="AG765" s="3" t="n">
        <v>0.790673</v>
      </c>
      <c r="AH765" s="3" t="n">
        <v>0.831823</v>
      </c>
      <c r="AI765" s="3" t="n">
        <v>0.873355</v>
      </c>
      <c r="AJ765" s="3" t="n">
        <v>0.914218</v>
      </c>
      <c r="AK765" s="3" t="n">
        <v>0.9533199999999999</v>
      </c>
      <c r="AL765" s="3" t="n">
        <v>0.993779</v>
      </c>
      <c r="AM765" s="3" t="n"/>
      <c r="AN765" s="3" t="n"/>
      <c r="AO765" s="3" t="n"/>
      <c r="AP765" s="3" t="n"/>
      <c r="AQ765" s="3" t="n"/>
      <c r="AR765" s="3" t="n"/>
      <c r="AS765" s="3" t="n"/>
      <c r="AT765" s="3" t="n"/>
      <c r="AU765" s="3" t="n"/>
    </row>
    <row r="766">
      <c r="A766" s="3" t="n">
        <v>2031</v>
      </c>
      <c r="B766" s="3" t="inlineStr">
        <is>
          <t>DMA</t>
        </is>
      </c>
      <c r="C766" s="3" t="inlineStr">
        <is>
          <t>IMF.RES:WEO</t>
        </is>
      </c>
      <c r="D766" s="3" t="inlineStr">
        <is>
          <t>DMA.NGDPPC.A</t>
        </is>
      </c>
      <c r="E766" s="3" t="inlineStr">
        <is>
          <t>Dominica</t>
        </is>
      </c>
      <c r="F766" s="3" t="inlineStr">
        <is>
          <t>Gross domestic product (GDP), Current prices, Per capita, Domestic currency</t>
        </is>
      </c>
      <c r="G766" s="3" t="n">
        <v>12639.181929</v>
      </c>
      <c r="H766" s="3" t="n">
        <v>12893.429438</v>
      </c>
      <c r="I766" s="3" t="n">
        <v>12636.712265</v>
      </c>
      <c r="J766" s="3" t="n">
        <v>13029.579368</v>
      </c>
      <c r="K766" s="3" t="n">
        <v>13946.089192</v>
      </c>
      <c r="L766" s="3" t="n">
        <v>13844.081461</v>
      </c>
      <c r="M766" s="3" t="n">
        <v>14842.577702</v>
      </c>
      <c r="N766" s="3" t="n">
        <v>16037.756553</v>
      </c>
      <c r="O766" s="3" t="n">
        <v>17451.287525</v>
      </c>
      <c r="P766" s="3" t="n">
        <v>18640.788642</v>
      </c>
      <c r="Q766" s="3" t="n">
        <v>18848.584232</v>
      </c>
      <c r="R766" s="3" t="n">
        <v>19332.742629</v>
      </c>
      <c r="S766" s="3" t="n">
        <v>18886.138258</v>
      </c>
      <c r="T766" s="3" t="n">
        <v>19314.364466</v>
      </c>
      <c r="U766" s="3" t="n">
        <v>19949.17444</v>
      </c>
      <c r="V766" s="3" t="n">
        <v>20509.798413</v>
      </c>
      <c r="W766" s="3" t="n">
        <v>21840.974815</v>
      </c>
      <c r="X766" s="3" t="n">
        <v>20269.892906</v>
      </c>
      <c r="Y766" s="3" t="n">
        <v>21548.819611</v>
      </c>
      <c r="Z766" s="3" t="n">
        <v>22859.298639</v>
      </c>
      <c r="AA766" s="3" t="n">
        <v>18554.99523</v>
      </c>
      <c r="AB766" s="3" t="n">
        <v>20331.990724</v>
      </c>
      <c r="AC766" s="3" t="n">
        <v>22121.420668</v>
      </c>
      <c r="AD766" s="3" t="n">
        <v>23901.875747</v>
      </c>
      <c r="AE766" s="3" t="n">
        <v>24849.764192</v>
      </c>
      <c r="AF766" s="3" t="n">
        <v>26715.230714</v>
      </c>
      <c r="AG766" s="3" t="n">
        <v>28238.68702</v>
      </c>
      <c r="AH766" s="3" t="n">
        <v>29560.569646</v>
      </c>
      <c r="AI766" s="3" t="n">
        <v>30882.027843</v>
      </c>
      <c r="AJ766" s="3" t="n">
        <v>32166.027704</v>
      </c>
      <c r="AK766" s="3" t="n">
        <v>33374.799995</v>
      </c>
      <c r="AL766" s="3" t="n">
        <v>34617.964365</v>
      </c>
      <c r="AM766" s="3" t="n"/>
      <c r="AN766" s="3" t="n"/>
      <c r="AO766" s="3" t="n"/>
      <c r="AP766" s="3" t="n"/>
      <c r="AQ766" s="3" t="n"/>
      <c r="AR766" s="3" t="n"/>
      <c r="AS766" s="3" t="n"/>
      <c r="AT766" s="3" t="n"/>
      <c r="AU766" s="3" t="n"/>
    </row>
    <row r="767">
      <c r="A767" s="3" t="n">
        <v>2031</v>
      </c>
      <c r="B767" s="3" t="inlineStr">
        <is>
          <t>DMA</t>
        </is>
      </c>
      <c r="C767" s="3" t="inlineStr">
        <is>
          <t>IMF.RES:WEO</t>
        </is>
      </c>
      <c r="D767" s="3" t="inlineStr">
        <is>
          <t>DMA.NGDPRPC.A</t>
        </is>
      </c>
      <c r="E767" s="3" t="inlineStr">
        <is>
          <t>Dominica</t>
        </is>
      </c>
      <c r="F767" s="3" t="inlineStr">
        <is>
          <t>Gross domestic product (GDP), Constant prices, Per capita, Domestic currency</t>
        </is>
      </c>
      <c r="G767" s="3" t="n">
        <v>13192.400047</v>
      </c>
      <c r="H767" s="3" t="n">
        <v>13183.022655</v>
      </c>
      <c r="I767" s="3" t="n">
        <v>12819.170744</v>
      </c>
      <c r="J767" s="3" t="n">
        <v>13643.286367</v>
      </c>
      <c r="K767" s="3" t="n">
        <v>14069.466748</v>
      </c>
      <c r="L767" s="3" t="n">
        <v>14171.833122</v>
      </c>
      <c r="M767" s="3" t="n">
        <v>14842.577702</v>
      </c>
      <c r="N767" s="3" t="n">
        <v>15796.828235</v>
      </c>
      <c r="O767" s="3" t="n">
        <v>16933.673682</v>
      </c>
      <c r="P767" s="3" t="n">
        <v>16747.453002</v>
      </c>
      <c r="Q767" s="3" t="n">
        <v>16884.038508</v>
      </c>
      <c r="R767" s="3" t="n">
        <v>17030.711846</v>
      </c>
      <c r="S767" s="3" t="n">
        <v>16970.163647</v>
      </c>
      <c r="T767" s="3" t="n">
        <v>16757.299951</v>
      </c>
      <c r="U767" s="3" t="n">
        <v>17359.768304</v>
      </c>
      <c r="V767" s="3" t="n">
        <v>16708.154808</v>
      </c>
      <c r="W767" s="3" t="n">
        <v>17158.098661</v>
      </c>
      <c r="X767" s="3" t="n">
        <v>16428.777061</v>
      </c>
      <c r="Y767" s="3" t="n">
        <v>17002.057228</v>
      </c>
      <c r="Z767" s="3" t="n">
        <v>17262.117373</v>
      </c>
      <c r="AA767" s="3" t="n">
        <v>14172.277498</v>
      </c>
      <c r="AB767" s="3" t="n">
        <v>15073.572291</v>
      </c>
      <c r="AC767" s="3" t="n">
        <v>15835.964699</v>
      </c>
      <c r="AD767" s="3" t="n">
        <v>16499.590478</v>
      </c>
      <c r="AE767" s="3" t="n">
        <v>16998.623896</v>
      </c>
      <c r="AF767" s="3" t="n">
        <v>17682.348484</v>
      </c>
      <c r="AG767" s="3" t="n">
        <v>18146.308814</v>
      </c>
      <c r="AH767" s="3" t="n">
        <v>18568.676047</v>
      </c>
      <c r="AI767" s="3" t="n">
        <v>18981.173959</v>
      </c>
      <c r="AJ767" s="3" t="n">
        <v>19344.780359</v>
      </c>
      <c r="AK767" s="3" t="n">
        <v>19658.916277</v>
      </c>
      <c r="AL767" s="3" t="n">
        <v>19952.233934</v>
      </c>
      <c r="AM767" s="3" t="n"/>
      <c r="AN767" s="3" t="n"/>
      <c r="AO767" s="3" t="n"/>
      <c r="AP767" s="3" t="n"/>
      <c r="AQ767" s="3" t="n"/>
      <c r="AR767" s="3" t="n"/>
      <c r="AS767" s="3" t="n"/>
      <c r="AT767" s="3" t="n"/>
      <c r="AU767" s="3" t="n"/>
    </row>
    <row r="768">
      <c r="A768" s="3" t="n">
        <v>2031</v>
      </c>
      <c r="B768" s="3" t="inlineStr">
        <is>
          <t>DMA</t>
        </is>
      </c>
      <c r="C768" s="3" t="inlineStr">
        <is>
          <t>IMF.RES:WEO</t>
        </is>
      </c>
      <c r="D768" s="3" t="inlineStr">
        <is>
          <t>DMA.PCPI.A</t>
        </is>
      </c>
      <c r="E768" s="3" t="inlineStr">
        <is>
          <t>Dominica</t>
        </is>
      </c>
      <c r="F768" s="3" t="inlineStr">
        <is>
          <t>All Items, Consumer price index (CPI), Period average</t>
        </is>
      </c>
      <c r="G768" s="3" t="n">
        <v>80.278648</v>
      </c>
      <c r="H768" s="3" t="n">
        <v>81.527394</v>
      </c>
      <c r="I768" s="3" t="n">
        <v>81.66603499999999</v>
      </c>
      <c r="J768" s="3" t="n">
        <v>82.852943</v>
      </c>
      <c r="K768" s="3" t="n">
        <v>84.836534</v>
      </c>
      <c r="L768" s="3" t="n">
        <v>86.2634</v>
      </c>
      <c r="M768" s="3" t="n">
        <v>88.500056</v>
      </c>
      <c r="N768" s="3" t="n">
        <v>91.365543</v>
      </c>
      <c r="O768" s="3" t="n">
        <v>97.17632</v>
      </c>
      <c r="P768" s="3" t="n">
        <v>97.182406</v>
      </c>
      <c r="Q768" s="3" t="n">
        <v>99.913111</v>
      </c>
      <c r="R768" s="3" t="n">
        <v>100.975</v>
      </c>
      <c r="S768" s="3" t="n">
        <v>102.345</v>
      </c>
      <c r="T768" s="3" t="n">
        <v>102.2975</v>
      </c>
      <c r="U768" s="3" t="n">
        <v>103.123333</v>
      </c>
      <c r="V768" s="3" t="n">
        <v>102.245</v>
      </c>
      <c r="W768" s="3" t="n">
        <v>102.39</v>
      </c>
      <c r="X768" s="3" t="n">
        <v>102.693333</v>
      </c>
      <c r="Y768" s="3" t="n">
        <v>103.709167</v>
      </c>
      <c r="Z768" s="3" t="n">
        <v>105.27</v>
      </c>
      <c r="AA768" s="3" t="n">
        <v>104.504167</v>
      </c>
      <c r="AB768" s="3" t="n">
        <v>106.145963</v>
      </c>
      <c r="AC768" s="3" t="n">
        <v>114.327056</v>
      </c>
      <c r="AD768" s="3" t="n">
        <v>119.137581</v>
      </c>
      <c r="AE768" s="3" t="n">
        <v>122.807814</v>
      </c>
      <c r="AF768" s="3" t="n">
        <v>125.632394</v>
      </c>
      <c r="AG768" s="3" t="n">
        <v>129.401366</v>
      </c>
      <c r="AH768" s="3" t="n">
        <v>132.377597</v>
      </c>
      <c r="AI768" s="3" t="n">
        <v>135.289904</v>
      </c>
      <c r="AJ768" s="3" t="n">
        <v>138.266282</v>
      </c>
      <c r="AK768" s="3" t="n">
        <v>141.30814</v>
      </c>
      <c r="AL768" s="3" t="n">
        <v>144.416919</v>
      </c>
      <c r="AM768" s="3" t="n"/>
      <c r="AN768" s="3" t="n"/>
      <c r="AO768" s="3" t="n"/>
      <c r="AP768" s="3" t="n"/>
      <c r="AQ768" s="3" t="n"/>
      <c r="AR768" s="3" t="n"/>
      <c r="AS768" s="3" t="n"/>
      <c r="AT768" s="3" t="n"/>
      <c r="AU768" s="3" t="n"/>
    </row>
    <row r="769">
      <c r="A769" s="3" t="n">
        <v>2031</v>
      </c>
      <c r="B769" s="3" t="inlineStr">
        <is>
          <t>DMA</t>
        </is>
      </c>
      <c r="C769" s="3" t="inlineStr">
        <is>
          <t>IMF.RES:WEO</t>
        </is>
      </c>
      <c r="D769" s="3" t="inlineStr">
        <is>
          <t>DMA.PCPIPCH.A</t>
        </is>
      </c>
      <c r="E769" s="3" t="inlineStr">
        <is>
          <t>Dominica</t>
        </is>
      </c>
      <c r="F769" s="3" t="inlineStr">
        <is>
          <t>All Items, Consumer price index (CPI), Period average, percent change</t>
        </is>
      </c>
      <c r="G769" s="3" t="n">
        <v>0.847801</v>
      </c>
      <c r="H769" s="3" t="n">
        <v>1.555514</v>
      </c>
      <c r="I769" s="3" t="n">
        <v>0.170055</v>
      </c>
      <c r="J769" s="3" t="n">
        <v>1.453368</v>
      </c>
      <c r="K769" s="3" t="n">
        <v>2.39411</v>
      </c>
      <c r="L769" s="3" t="n">
        <v>1.681901</v>
      </c>
      <c r="M769" s="3" t="n">
        <v>2.592821</v>
      </c>
      <c r="N769" s="3" t="n">
        <v>3.237836</v>
      </c>
      <c r="O769" s="3" t="n">
        <v>6.359922</v>
      </c>
      <c r="P769" s="3" t="n">
        <v>0.006264</v>
      </c>
      <c r="Q769" s="3" t="n">
        <v>2.809875</v>
      </c>
      <c r="R769" s="3" t="n">
        <v>1.062813</v>
      </c>
      <c r="S769" s="3" t="n">
        <v>1.356771</v>
      </c>
      <c r="T769" s="3" t="n">
        <v>-0.046412</v>
      </c>
      <c r="U769" s="3" t="n">
        <v>0.8072859999999999</v>
      </c>
      <c r="V769" s="3" t="n">
        <v>-0.851731</v>
      </c>
      <c r="W769" s="3" t="n">
        <v>0.141816</v>
      </c>
      <c r="X769" s="3" t="n">
        <v>0.296253</v>
      </c>
      <c r="Y769" s="3" t="n">
        <v>0.989191</v>
      </c>
      <c r="Z769" s="3" t="n">
        <v>1.50501</v>
      </c>
      <c r="AA769" s="3" t="n">
        <v>-0.727494</v>
      </c>
      <c r="AB769" s="3" t="n">
        <v>1.571035</v>
      </c>
      <c r="AC769" s="3" t="n">
        <v>7.707399</v>
      </c>
      <c r="AD769" s="3" t="n">
        <v>4.207687</v>
      </c>
      <c r="AE769" s="3" t="n">
        <v>3.080668</v>
      </c>
      <c r="AF769" s="3" t="n">
        <v>2.3</v>
      </c>
      <c r="AG769" s="3" t="n">
        <v>3</v>
      </c>
      <c r="AH769" s="3" t="n">
        <v>2.3</v>
      </c>
      <c r="AI769" s="3" t="n">
        <v>2.2</v>
      </c>
      <c r="AJ769" s="3" t="n">
        <v>2.2</v>
      </c>
      <c r="AK769" s="3" t="n">
        <v>2.2</v>
      </c>
      <c r="AL769" s="3" t="n">
        <v>2.2</v>
      </c>
      <c r="AM769" s="3" t="n"/>
      <c r="AN769" s="3" t="n"/>
      <c r="AO769" s="3" t="n"/>
      <c r="AP769" s="3" t="n"/>
      <c r="AQ769" s="3" t="n"/>
      <c r="AR769" s="3" t="n"/>
      <c r="AS769" s="3" t="n"/>
      <c r="AT769" s="3" t="n"/>
      <c r="AU769" s="3" t="n"/>
    </row>
    <row r="770">
      <c r="A770" s="3" t="n">
        <v>2031</v>
      </c>
      <c r="B770" s="3" t="inlineStr">
        <is>
          <t>DMA</t>
        </is>
      </c>
      <c r="C770" s="3" t="inlineStr">
        <is>
          <t>IMF.RES:WEO</t>
        </is>
      </c>
      <c r="D770" s="3" t="inlineStr">
        <is>
          <t>DMA.PPPPC.A</t>
        </is>
      </c>
      <c r="E770" s="3" t="inlineStr">
        <is>
          <t>Dominica</t>
        </is>
      </c>
      <c r="F770" s="3" t="inlineStr">
        <is>
          <t>Gross domestic product (GDP), Per capita, purchasing power parity (PPP) international dollar, ICP benchmarks 2017-2021</t>
        </is>
      </c>
      <c r="G770" s="3" t="n">
        <v>6767.526355</v>
      </c>
      <c r="H770" s="3" t="n">
        <v>6914.986566</v>
      </c>
      <c r="I770" s="3" t="n">
        <v>6828.628109</v>
      </c>
      <c r="J770" s="3" t="n">
        <v>7411.103832</v>
      </c>
      <c r="K770" s="3" t="n">
        <v>7848.107851</v>
      </c>
      <c r="L770" s="3" t="n">
        <v>8153.102167</v>
      </c>
      <c r="M770" s="3" t="n">
        <v>8802.315925999999</v>
      </c>
      <c r="N770" s="3" t="n">
        <v>9622.040032999999</v>
      </c>
      <c r="O770" s="3" t="n">
        <v>10513.206221</v>
      </c>
      <c r="P770" s="3" t="n">
        <v>10461.718137</v>
      </c>
      <c r="Q770" s="3" t="n">
        <v>10675.225753</v>
      </c>
      <c r="R770" s="3" t="n">
        <v>10990.132322</v>
      </c>
      <c r="S770" s="3" t="n">
        <v>11154.961109</v>
      </c>
      <c r="T770" s="3" t="n">
        <v>11202.516395</v>
      </c>
      <c r="U770" s="3" t="n">
        <v>11807.4067</v>
      </c>
      <c r="V770" s="3" t="n">
        <v>11469.671642</v>
      </c>
      <c r="W770" s="3" t="n">
        <v>11890.467775</v>
      </c>
      <c r="X770" s="3" t="n">
        <v>11588.94564</v>
      </c>
      <c r="Y770" s="3" t="n">
        <v>13051.491109</v>
      </c>
      <c r="Z770" s="3" t="n">
        <v>14290.878578</v>
      </c>
      <c r="AA770" s="3" t="n">
        <v>12505.035853</v>
      </c>
      <c r="AB770" s="3" t="n">
        <v>14212.229462</v>
      </c>
      <c r="AC770" s="3" t="n">
        <v>15993.015379</v>
      </c>
      <c r="AD770" s="3" t="n">
        <v>17279.767356</v>
      </c>
      <c r="AE770" s="3" t="n">
        <v>18244.349873</v>
      </c>
      <c r="AF770" s="3" t="n">
        <v>19516.547159</v>
      </c>
      <c r="AG770" s="3" t="n">
        <v>20602.424816</v>
      </c>
      <c r="AH770" s="3" t="n">
        <v>21544.898942</v>
      </c>
      <c r="AI770" s="3" t="n">
        <v>22385.00466</v>
      </c>
      <c r="AJ770" s="3" t="n">
        <v>23219.469786</v>
      </c>
      <c r="AK770" s="3" t="n">
        <v>24030.118488</v>
      </c>
      <c r="AL770" s="3" t="n">
        <v>24828.944799</v>
      </c>
      <c r="AM770" s="3" t="n"/>
      <c r="AN770" s="3" t="n"/>
      <c r="AO770" s="3" t="n"/>
      <c r="AP770" s="3" t="n"/>
      <c r="AQ770" s="3" t="n"/>
      <c r="AR770" s="3" t="n"/>
      <c r="AS770" s="3" t="n"/>
      <c r="AT770" s="3" t="n"/>
      <c r="AU770" s="3" t="n"/>
    </row>
    <row r="771">
      <c r="A771" s="3" t="n">
        <v>2025</v>
      </c>
      <c r="B771" s="3" t="inlineStr">
        <is>
          <t>DMA</t>
        </is>
      </c>
      <c r="C771" s="3" t="inlineStr">
        <is>
          <t>IMF.STA:ER</t>
        </is>
      </c>
      <c r="D771" s="3" t="inlineStr">
        <is>
          <t>DMA.XDC_USD.PA_RT.A</t>
        </is>
      </c>
      <c r="E771" s="3" t="inlineStr">
        <is>
          <t>Dominica</t>
        </is>
      </c>
      <c r="F771" s="3" t="inlineStr">
        <is>
          <t>Domestic currency per US Dollar</t>
        </is>
      </c>
      <c r="G771" s="3" t="n">
        <v>2.7</v>
      </c>
      <c r="H771" s="3" t="n">
        <v>2.7</v>
      </c>
      <c r="I771" s="3" t="n">
        <v>2.7</v>
      </c>
      <c r="J771" s="3" t="n">
        <v>2.7</v>
      </c>
      <c r="K771" s="3" t="n">
        <v>2.7</v>
      </c>
      <c r="L771" s="3" t="n">
        <v>2.7</v>
      </c>
      <c r="M771" s="3" t="n">
        <v>2.7</v>
      </c>
      <c r="N771" s="3" t="n">
        <v>2.7</v>
      </c>
      <c r="O771" s="3" t="n">
        <v>2.7</v>
      </c>
      <c r="P771" s="3" t="n">
        <v>2.7</v>
      </c>
      <c r="Q771" s="3" t="n">
        <v>2.7</v>
      </c>
      <c r="R771" s="3" t="n">
        <v>2.7</v>
      </c>
      <c r="S771" s="3" t="n">
        <v>2.7</v>
      </c>
      <c r="T771" s="3" t="n">
        <v>2.7</v>
      </c>
      <c r="U771" s="3" t="n">
        <v>2.7</v>
      </c>
      <c r="V771" s="3" t="n">
        <v>2.7</v>
      </c>
      <c r="W771" s="3" t="n">
        <v>2.7</v>
      </c>
      <c r="X771" s="3" t="n">
        <v>2.7</v>
      </c>
      <c r="Y771" s="3" t="n">
        <v>2.7</v>
      </c>
      <c r="Z771" s="3" t="n">
        <v>2.7</v>
      </c>
      <c r="AA771" s="3" t="n">
        <v>2.7</v>
      </c>
      <c r="AB771" s="3" t="n">
        <v>2.7</v>
      </c>
      <c r="AC771" s="3" t="n">
        <v>2.7</v>
      </c>
      <c r="AD771" s="3" t="n">
        <v>2.7</v>
      </c>
      <c r="AE771" s="3" t="n">
        <v>2.7</v>
      </c>
      <c r="AF771" s="3" t="n">
        <v>2.7</v>
      </c>
      <c r="AG771" s="3" t="n"/>
      <c r="AH771" s="3" t="n"/>
      <c r="AI771" s="3" t="n"/>
      <c r="AJ771" s="3" t="n"/>
      <c r="AK771" s="3" t="n"/>
      <c r="AL771" s="3" t="n"/>
      <c r="AM771" s="3" t="n"/>
      <c r="AN771" s="3" t="n"/>
      <c r="AO771" s="3" t="n"/>
      <c r="AP771" s="3" t="n"/>
      <c r="AQ771" s="3" t="n"/>
      <c r="AR771" s="3" t="n"/>
      <c r="AS771" s="3" t="n"/>
      <c r="AT771" s="3" t="n"/>
      <c r="AU771" s="3" t="n"/>
    </row>
    <row r="772">
      <c r="A772" s="3" t="n">
        <v>2031</v>
      </c>
      <c r="B772" s="3" t="inlineStr">
        <is>
          <t>DNK</t>
        </is>
      </c>
      <c r="C772" s="3" t="inlineStr">
        <is>
          <t>IMF.RES:WEO</t>
        </is>
      </c>
      <c r="D772" s="3" t="inlineStr">
        <is>
          <t>DNK.BCA.A</t>
        </is>
      </c>
      <c r="E772" s="3" t="inlineStr">
        <is>
          <t>Denmark</t>
        </is>
      </c>
      <c r="F772" s="3" t="inlineStr">
        <is>
          <t>Current account balance (credit less debit), US dollar</t>
        </is>
      </c>
      <c r="G772" s="3" t="n">
        <v>3.265314</v>
      </c>
      <c r="H772" s="3" t="n">
        <v>6.007941</v>
      </c>
      <c r="I772" s="3" t="n">
        <v>5.358269</v>
      </c>
      <c r="J772" s="3" t="n">
        <v>8.573892000000001</v>
      </c>
      <c r="K772" s="3" t="n">
        <v>10.167822</v>
      </c>
      <c r="L772" s="3" t="n">
        <v>10.745034</v>
      </c>
      <c r="M772" s="3" t="n">
        <v>9.011434</v>
      </c>
      <c r="N772" s="3" t="n">
        <v>4.135973</v>
      </c>
      <c r="O772" s="3" t="n">
        <v>10.170983</v>
      </c>
      <c r="P772" s="3" t="n">
        <v>11.569771</v>
      </c>
      <c r="Q772" s="3" t="n">
        <v>20.678067</v>
      </c>
      <c r="R772" s="3" t="n">
        <v>21.84919</v>
      </c>
      <c r="S772" s="3" t="n">
        <v>19.817779</v>
      </c>
      <c r="T772" s="3" t="n">
        <v>25.391931</v>
      </c>
      <c r="U772" s="3" t="n">
        <v>29.643472</v>
      </c>
      <c r="V772" s="3" t="n">
        <v>24.010588</v>
      </c>
      <c r="W772" s="3" t="n">
        <v>22.126446</v>
      </c>
      <c r="X772" s="3" t="n">
        <v>24.283748</v>
      </c>
      <c r="Y772" s="3" t="n">
        <v>22.409112</v>
      </c>
      <c r="Z772" s="3" t="n">
        <v>25.719225</v>
      </c>
      <c r="AA772" s="3" t="n">
        <v>25.699647</v>
      </c>
      <c r="AB772" s="3" t="n">
        <v>34.715934</v>
      </c>
      <c r="AC772" s="3" t="n">
        <v>44.664954</v>
      </c>
      <c r="AD772" s="3" t="n">
        <v>44.531821</v>
      </c>
      <c r="AE772" s="3" t="n">
        <v>51.763284</v>
      </c>
      <c r="AF772" s="3" t="n">
        <v>57.745107</v>
      </c>
      <c r="AG772" s="3" t="n">
        <v>61.801384</v>
      </c>
      <c r="AH772" s="3" t="n">
        <v>60.240771</v>
      </c>
      <c r="AI772" s="3" t="n">
        <v>61.933701</v>
      </c>
      <c r="AJ772" s="3" t="n">
        <v>63.636015</v>
      </c>
      <c r="AK772" s="3" t="n">
        <v>66.110626</v>
      </c>
      <c r="AL772" s="3" t="n">
        <v>68.34252499999999</v>
      </c>
      <c r="AM772" s="3" t="n"/>
      <c r="AN772" s="3" t="n"/>
      <c r="AO772" s="3" t="n"/>
      <c r="AP772" s="3" t="n"/>
      <c r="AQ772" s="3" t="n"/>
      <c r="AR772" s="3" t="n"/>
      <c r="AS772" s="3" t="n"/>
      <c r="AT772" s="3" t="n"/>
      <c r="AU772" s="3" t="n"/>
    </row>
    <row r="773">
      <c r="A773" s="3" t="n">
        <v>2031</v>
      </c>
      <c r="B773" s="3" t="inlineStr">
        <is>
          <t>DNK</t>
        </is>
      </c>
      <c r="C773" s="3" t="inlineStr">
        <is>
          <t>IMF.RES:WEO</t>
        </is>
      </c>
      <c r="D773" s="3" t="inlineStr">
        <is>
          <t>DNK.BCA_NGDPD.A</t>
        </is>
      </c>
      <c r="E773" s="3" t="inlineStr">
        <is>
          <t>Denmark</t>
        </is>
      </c>
      <c r="F773" s="3" t="inlineStr">
        <is>
          <t>Current account balance (credit less debit), Percent of GDP</t>
        </is>
      </c>
      <c r="G773" s="3" t="n">
        <v>1.990523</v>
      </c>
      <c r="H773" s="3" t="n">
        <v>3.643798</v>
      </c>
      <c r="I773" s="3" t="n">
        <v>2.996996</v>
      </c>
      <c r="J773" s="3" t="n">
        <v>3.925379</v>
      </c>
      <c r="K773" s="3" t="n">
        <v>4.035043</v>
      </c>
      <c r="L773" s="3" t="n">
        <v>4.05244</v>
      </c>
      <c r="M773" s="3" t="n">
        <v>3.179899</v>
      </c>
      <c r="N773" s="3" t="n">
        <v>1.291632</v>
      </c>
      <c r="O773" s="3" t="n">
        <v>2.865248</v>
      </c>
      <c r="P773" s="3" t="n">
        <v>3.586177</v>
      </c>
      <c r="Q773" s="3" t="n">
        <v>6.414874</v>
      </c>
      <c r="R773" s="3" t="n">
        <v>6.345684</v>
      </c>
      <c r="S773" s="3" t="n">
        <v>6.06433</v>
      </c>
      <c r="T773" s="3" t="n">
        <v>7.367857</v>
      </c>
      <c r="U773" s="3" t="n">
        <v>8.401565</v>
      </c>
      <c r="V773" s="3" t="n">
        <v>7.956877</v>
      </c>
      <c r="W773" s="3" t="n">
        <v>7.087676</v>
      </c>
      <c r="X773" s="3" t="n">
        <v>7.322972</v>
      </c>
      <c r="Y773" s="3" t="n">
        <v>6.307214</v>
      </c>
      <c r="Z773" s="3" t="n">
        <v>7.446182</v>
      </c>
      <c r="AA773" s="3" t="n">
        <v>7.226499</v>
      </c>
      <c r="AB773" s="3" t="n">
        <v>8.548405000000001</v>
      </c>
      <c r="AC773" s="3" t="n">
        <v>11.163039</v>
      </c>
      <c r="AD773" s="3" t="n">
        <v>11.004971</v>
      </c>
      <c r="AE773" s="3" t="n">
        <v>12.193231</v>
      </c>
      <c r="AF773" s="3" t="n">
        <v>12.506566</v>
      </c>
      <c r="AG773" s="3" t="n">
        <v>12.267726</v>
      </c>
      <c r="AH773" s="3" t="n">
        <v>11.469457</v>
      </c>
      <c r="AI773" s="3" t="n">
        <v>11.333128</v>
      </c>
      <c r="AJ773" s="3" t="n">
        <v>11.215071</v>
      </c>
      <c r="AK773" s="3" t="n">
        <v>11.220044</v>
      </c>
      <c r="AL773" s="3" t="n">
        <v>11.169433</v>
      </c>
      <c r="AM773" s="3" t="n"/>
      <c r="AN773" s="3" t="n"/>
      <c r="AO773" s="3" t="n"/>
      <c r="AP773" s="3" t="n"/>
      <c r="AQ773" s="3" t="n"/>
      <c r="AR773" s="3" t="n"/>
      <c r="AS773" s="3" t="n"/>
      <c r="AT773" s="3" t="n"/>
      <c r="AU773" s="3" t="n"/>
    </row>
    <row r="774">
      <c r="A774" s="3" t="n">
        <v>2031</v>
      </c>
      <c r="B774" s="3" t="inlineStr">
        <is>
          <t>DNK</t>
        </is>
      </c>
      <c r="C774" s="3" t="inlineStr">
        <is>
          <t>IMF.RES:WEO</t>
        </is>
      </c>
      <c r="D774" s="3" t="inlineStr">
        <is>
          <t>DNK.GGR_NGDP.A</t>
        </is>
      </c>
      <c r="E774" s="3" t="inlineStr">
        <is>
          <t>Denmark</t>
        </is>
      </c>
      <c r="F774" s="3" t="inlineStr">
        <is>
          <t>Revenue, General government, Percent of GDP</t>
        </is>
      </c>
      <c r="G774" s="3" t="n">
        <v>54.660957</v>
      </c>
      <c r="H774" s="3" t="n">
        <v>54.122236</v>
      </c>
      <c r="I774" s="3" t="n">
        <v>53.349463</v>
      </c>
      <c r="J774" s="3" t="n">
        <v>53.640681</v>
      </c>
      <c r="K774" s="3" t="n">
        <v>55.024528</v>
      </c>
      <c r="L774" s="3" t="n">
        <v>56.256702</v>
      </c>
      <c r="M774" s="3" t="n">
        <v>54.997264</v>
      </c>
      <c r="N774" s="3" t="n">
        <v>54.762888</v>
      </c>
      <c r="O774" s="3" t="n">
        <v>53.745246</v>
      </c>
      <c r="P774" s="3" t="n">
        <v>53.582707</v>
      </c>
      <c r="Q774" s="3" t="n">
        <v>53.994658</v>
      </c>
      <c r="R774" s="3" t="n">
        <v>54.524617</v>
      </c>
      <c r="S774" s="3" t="n">
        <v>54.703165</v>
      </c>
      <c r="T774" s="3" t="n">
        <v>54.636446</v>
      </c>
      <c r="U774" s="3" t="n">
        <v>56.529742</v>
      </c>
      <c r="V774" s="3" t="n">
        <v>53.523091</v>
      </c>
      <c r="W774" s="3" t="n">
        <v>52.654054</v>
      </c>
      <c r="X774" s="3" t="n">
        <v>52.290361</v>
      </c>
      <c r="Y774" s="3" t="n">
        <v>51.564758</v>
      </c>
      <c r="Z774" s="3" t="n">
        <v>54.090293</v>
      </c>
      <c r="AA774" s="3" t="n">
        <v>53.702156</v>
      </c>
      <c r="AB774" s="3" t="n">
        <v>53.783751</v>
      </c>
      <c r="AC774" s="3" t="n">
        <v>48.478352</v>
      </c>
      <c r="AD774" s="3" t="n">
        <v>50.828302</v>
      </c>
      <c r="AE774" s="3" t="n">
        <v>51.788151</v>
      </c>
      <c r="AF774" s="3" t="n">
        <v>50.499908</v>
      </c>
      <c r="AG774" s="3" t="n">
        <v>49.052006</v>
      </c>
      <c r="AH774" s="3" t="n">
        <v>49.579456</v>
      </c>
      <c r="AI774" s="3" t="n">
        <v>49.877668</v>
      </c>
      <c r="AJ774" s="3" t="n">
        <v>49.874246</v>
      </c>
      <c r="AK774" s="3" t="n">
        <v>50.077668</v>
      </c>
      <c r="AL774" s="3" t="n">
        <v>50.181089</v>
      </c>
      <c r="AM774" s="3" t="n"/>
      <c r="AN774" s="3" t="n"/>
      <c r="AO774" s="3" t="n"/>
      <c r="AP774" s="3" t="n"/>
      <c r="AQ774" s="3" t="n"/>
      <c r="AR774" s="3" t="n"/>
      <c r="AS774" s="3" t="n"/>
      <c r="AT774" s="3" t="n"/>
      <c r="AU774" s="3" t="n"/>
    </row>
    <row r="775">
      <c r="A775" s="3" t="n">
        <v>2031</v>
      </c>
      <c r="B775" s="3" t="inlineStr">
        <is>
          <t>DNK</t>
        </is>
      </c>
      <c r="C775" s="3" t="inlineStr">
        <is>
          <t>IMF.RES:WEO</t>
        </is>
      </c>
      <c r="D775" s="3" t="inlineStr">
        <is>
          <t>DNK.GGX_NGDP.A</t>
        </is>
      </c>
      <c r="E775" s="3" t="inlineStr">
        <is>
          <t>Denmark</t>
        </is>
      </c>
      <c r="F775" s="3" t="inlineStr">
        <is>
          <t>Expenditure, General government, Percent of GDP</t>
        </is>
      </c>
      <c r="G775" s="3" t="n">
        <v>52.86923</v>
      </c>
      <c r="H775" s="3" t="n">
        <v>52.997099</v>
      </c>
      <c r="I775" s="3" t="n">
        <v>53.097812</v>
      </c>
      <c r="J775" s="3" t="n">
        <v>53.501337</v>
      </c>
      <c r="K775" s="3" t="n">
        <v>52.789741</v>
      </c>
      <c r="L775" s="3" t="n">
        <v>51.05501</v>
      </c>
      <c r="M775" s="3" t="n">
        <v>49.710843</v>
      </c>
      <c r="N775" s="3" t="n">
        <v>49.455065</v>
      </c>
      <c r="O775" s="3" t="n">
        <v>50.282834</v>
      </c>
      <c r="P775" s="3" t="n">
        <v>56.328887</v>
      </c>
      <c r="Q775" s="3" t="n">
        <v>56.515211</v>
      </c>
      <c r="R775" s="3" t="n">
        <v>56.290126</v>
      </c>
      <c r="S775" s="3" t="n">
        <v>57.905647</v>
      </c>
      <c r="T775" s="3" t="n">
        <v>55.580154</v>
      </c>
      <c r="U775" s="3" t="n">
        <v>55.101699</v>
      </c>
      <c r="V775" s="3" t="n">
        <v>54.418123</v>
      </c>
      <c r="W775" s="3" t="n">
        <v>52.351654</v>
      </c>
      <c r="X775" s="3" t="n">
        <v>50.601369</v>
      </c>
      <c r="Y775" s="3" t="n">
        <v>50.754343</v>
      </c>
      <c r="Z775" s="3" t="n">
        <v>49.80737</v>
      </c>
      <c r="AA775" s="3" t="n">
        <v>53.339609</v>
      </c>
      <c r="AB775" s="3" t="n">
        <v>49.705631</v>
      </c>
      <c r="AC775" s="3" t="n">
        <v>45.089027</v>
      </c>
      <c r="AD775" s="3" t="n">
        <v>47.39816</v>
      </c>
      <c r="AE775" s="3" t="n">
        <v>47.329441</v>
      </c>
      <c r="AF775" s="3" t="n">
        <v>47.648375</v>
      </c>
      <c r="AG775" s="3" t="n">
        <v>48.890221</v>
      </c>
      <c r="AH775" s="3" t="n">
        <v>49.954699</v>
      </c>
      <c r="AI775" s="3" t="n">
        <v>50.158606</v>
      </c>
      <c r="AJ775" s="3" t="n">
        <v>50.389421</v>
      </c>
      <c r="AK775" s="3" t="n">
        <v>50.61745</v>
      </c>
      <c r="AL775" s="3" t="n">
        <v>50.688586</v>
      </c>
      <c r="AM775" s="3" t="n"/>
      <c r="AN775" s="3" t="n"/>
      <c r="AO775" s="3" t="n"/>
      <c r="AP775" s="3" t="n"/>
      <c r="AQ775" s="3" t="n"/>
      <c r="AR775" s="3" t="n"/>
      <c r="AS775" s="3" t="n"/>
      <c r="AT775" s="3" t="n"/>
      <c r="AU775" s="3" t="n"/>
    </row>
    <row r="776">
      <c r="A776" s="3" t="n">
        <v>2027</v>
      </c>
      <c r="B776" s="3" t="inlineStr">
        <is>
          <t>DNK</t>
        </is>
      </c>
      <c r="C776" s="3" t="inlineStr">
        <is>
          <t>IMF.RES:WEO</t>
        </is>
      </c>
      <c r="D776" s="3" t="inlineStr">
        <is>
          <t>DNK.LE.A</t>
        </is>
      </c>
      <c r="E776" s="3" t="inlineStr">
        <is>
          <t>Denmark</t>
        </is>
      </c>
      <c r="F776" s="3" t="inlineStr">
        <is>
          <t>Employed persons, Persons for countries / Index for country groups</t>
        </is>
      </c>
      <c r="G776" s="3" t="n">
        <v>2.75525</v>
      </c>
      <c r="H776" s="3" t="n">
        <v>2.78275</v>
      </c>
      <c r="I776" s="3" t="n">
        <v>2.78425</v>
      </c>
      <c r="J776" s="3" t="n">
        <v>2.75875</v>
      </c>
      <c r="K776" s="3" t="n">
        <v>2.744</v>
      </c>
      <c r="L776" s="3" t="n">
        <v>2.78325</v>
      </c>
      <c r="M776" s="3" t="n">
        <v>2.846</v>
      </c>
      <c r="N776" s="3" t="n">
        <v>2.9125</v>
      </c>
      <c r="O776" s="3" t="n">
        <v>2.9485</v>
      </c>
      <c r="P776" s="3" t="n">
        <v>2.85625</v>
      </c>
      <c r="Q776" s="3" t="n">
        <v>2.79</v>
      </c>
      <c r="R776" s="3" t="n">
        <v>2.78675</v>
      </c>
      <c r="S776" s="3" t="n">
        <v>2.767</v>
      </c>
      <c r="T776" s="3" t="n">
        <v>2.76825</v>
      </c>
      <c r="U776" s="3" t="n">
        <v>2.78625</v>
      </c>
      <c r="V776" s="3" t="n">
        <v>2.827</v>
      </c>
      <c r="W776" s="3" t="n">
        <v>2.8735</v>
      </c>
      <c r="X776" s="3" t="n">
        <v>2.9165</v>
      </c>
      <c r="Y776" s="3" t="n">
        <v>2.962</v>
      </c>
      <c r="Z776" s="3" t="n">
        <v>3.004</v>
      </c>
      <c r="AA776" s="3" t="n">
        <v>2.97075</v>
      </c>
      <c r="AB776" s="3" t="n">
        <v>3.038</v>
      </c>
      <c r="AC776" s="3" t="n">
        <v>3.16125</v>
      </c>
      <c r="AD776" s="3" t="n">
        <v>3.196</v>
      </c>
      <c r="AE776" s="3" t="n">
        <v>3.2175</v>
      </c>
      <c r="AF776" s="3" t="n">
        <v>3.2545</v>
      </c>
      <c r="AG776" s="3" t="n">
        <v>3.259865</v>
      </c>
      <c r="AH776" s="3" t="n">
        <v>3.271542</v>
      </c>
      <c r="AI776" s="3" t="n"/>
      <c r="AJ776" s="3" t="n"/>
      <c r="AK776" s="3" t="n"/>
      <c r="AL776" s="3" t="n"/>
      <c r="AM776" s="3" t="n"/>
      <c r="AN776" s="3" t="n"/>
      <c r="AO776" s="3" t="n"/>
      <c r="AP776" s="3" t="n"/>
      <c r="AQ776" s="3" t="n"/>
      <c r="AR776" s="3" t="n"/>
      <c r="AS776" s="3" t="n"/>
      <c r="AT776" s="3" t="n"/>
      <c r="AU776" s="3" t="n"/>
    </row>
    <row r="777">
      <c r="A777" s="3" t="n">
        <v>2031</v>
      </c>
      <c r="B777" s="3" t="inlineStr">
        <is>
          <t>DNK</t>
        </is>
      </c>
      <c r="C777" s="3" t="inlineStr">
        <is>
          <t>IMF.RES:WEO</t>
        </is>
      </c>
      <c r="D777" s="3" t="inlineStr">
        <is>
          <t>DNK.LP.A</t>
        </is>
      </c>
      <c r="E777" s="3" t="inlineStr">
        <is>
          <t>Denmark</t>
        </is>
      </c>
      <c r="F777" s="3" t="inlineStr">
        <is>
          <t>Population, Persons for countries / Index for country groups</t>
        </is>
      </c>
      <c r="G777" s="3" t="n">
        <v>5.33002</v>
      </c>
      <c r="H777" s="3" t="n">
        <v>5.349212</v>
      </c>
      <c r="I777" s="3" t="n">
        <v>5.368354</v>
      </c>
      <c r="J777" s="3" t="n">
        <v>5.383507</v>
      </c>
      <c r="K777" s="3" t="n">
        <v>5.39764</v>
      </c>
      <c r="L777" s="3" t="n">
        <v>5.411405</v>
      </c>
      <c r="M777" s="3" t="n">
        <v>5.427459</v>
      </c>
      <c r="N777" s="3" t="n">
        <v>5.447084</v>
      </c>
      <c r="O777" s="3" t="n">
        <v>5.475791</v>
      </c>
      <c r="P777" s="3" t="n">
        <v>5.511451</v>
      </c>
      <c r="Q777" s="3" t="n">
        <v>5.534738</v>
      </c>
      <c r="R777" s="3" t="n">
        <v>5.560628</v>
      </c>
      <c r="S777" s="3" t="n">
        <v>5.580516</v>
      </c>
      <c r="T777" s="3" t="n">
        <v>5.602628</v>
      </c>
      <c r="U777" s="3" t="n">
        <v>5.627235</v>
      </c>
      <c r="V777" s="3" t="n">
        <v>5.659715</v>
      </c>
      <c r="W777" s="3" t="n">
        <v>5.707251</v>
      </c>
      <c r="X777" s="3" t="n">
        <v>5.748769</v>
      </c>
      <c r="Y777" s="3" t="n">
        <v>5.78119</v>
      </c>
      <c r="Z777" s="3" t="n">
        <v>5.806081</v>
      </c>
      <c r="AA777" s="3" t="n">
        <v>5.822763</v>
      </c>
      <c r="AB777" s="3" t="n">
        <v>5.840045</v>
      </c>
      <c r="AC777" s="3" t="n">
        <v>5.87342</v>
      </c>
      <c r="AD777" s="3" t="n">
        <v>5.932654</v>
      </c>
      <c r="AE777" s="3" t="n">
        <v>5.961249</v>
      </c>
      <c r="AF777" s="3" t="n">
        <v>5.992734</v>
      </c>
      <c r="AG777" s="3" t="n">
        <v>6.037152</v>
      </c>
      <c r="AH777" s="3" t="n">
        <v>6.084294</v>
      </c>
      <c r="AI777" s="3" t="n">
        <v>6.140767</v>
      </c>
      <c r="AJ777" s="3" t="n">
        <v>6.174873</v>
      </c>
      <c r="AK777" s="3" t="n">
        <v>6.217369</v>
      </c>
      <c r="AL777" s="3" t="n">
        <v>6.260157</v>
      </c>
      <c r="AM777" s="3" t="n"/>
      <c r="AN777" s="3" t="n"/>
      <c r="AO777" s="3" t="n"/>
      <c r="AP777" s="3" t="n"/>
      <c r="AQ777" s="3" t="n"/>
      <c r="AR777" s="3" t="n"/>
      <c r="AS777" s="3" t="n"/>
      <c r="AT777" s="3" t="n"/>
      <c r="AU777" s="3" t="n"/>
    </row>
    <row r="778">
      <c r="A778" s="3" t="n">
        <v>2031</v>
      </c>
      <c r="B778" s="3" t="inlineStr">
        <is>
          <t>DNK</t>
        </is>
      </c>
      <c r="C778" s="3" t="inlineStr">
        <is>
          <t>IMF.RES:WEO</t>
        </is>
      </c>
      <c r="D778" s="3" t="inlineStr">
        <is>
          <t>DNK.NGDP.A</t>
        </is>
      </c>
      <c r="E778" s="3" t="inlineStr">
        <is>
          <t>Denmark</t>
        </is>
      </c>
      <c r="F778" s="3" t="inlineStr">
        <is>
          <t>Gross domestic product (GDP), Current prices, Domestic currency</t>
        </is>
      </c>
      <c r="G778" s="3" t="n">
        <v>1325.983</v>
      </c>
      <c r="H778" s="3" t="n">
        <v>1372.277</v>
      </c>
      <c r="I778" s="3" t="n">
        <v>1411.48</v>
      </c>
      <c r="J778" s="3" t="n">
        <v>1438.893</v>
      </c>
      <c r="K778" s="3" t="n">
        <v>1509.674</v>
      </c>
      <c r="L778" s="3" t="n">
        <v>1590.079</v>
      </c>
      <c r="M778" s="3" t="n">
        <v>1685.242</v>
      </c>
      <c r="N778" s="3" t="n">
        <v>1743.144</v>
      </c>
      <c r="O778" s="3" t="n">
        <v>1809.721</v>
      </c>
      <c r="P778" s="3" t="n">
        <v>1729.53</v>
      </c>
      <c r="Q778" s="3" t="n">
        <v>1812.896</v>
      </c>
      <c r="R778" s="3" t="n">
        <v>1848.532</v>
      </c>
      <c r="S778" s="3" t="n">
        <v>1892.938</v>
      </c>
      <c r="T778" s="3" t="n">
        <v>1935.556</v>
      </c>
      <c r="U778" s="3" t="n">
        <v>1980.262</v>
      </c>
      <c r="V778" s="3" t="n">
        <v>2030.206</v>
      </c>
      <c r="W778" s="3" t="n">
        <v>2101.521</v>
      </c>
      <c r="X778" s="3" t="n">
        <v>2189.589</v>
      </c>
      <c r="Y778" s="3" t="n">
        <v>2243.542</v>
      </c>
      <c r="Z778" s="3" t="n">
        <v>2303.637</v>
      </c>
      <c r="AA778" s="3" t="n">
        <v>2326.59</v>
      </c>
      <c r="AB778" s="3" t="n">
        <v>2553.26</v>
      </c>
      <c r="AC778" s="3" t="n">
        <v>2831.272</v>
      </c>
      <c r="AD778" s="3" t="n">
        <v>2787.931</v>
      </c>
      <c r="AE778" s="3" t="n">
        <v>2926.878</v>
      </c>
      <c r="AF778" s="3" t="n">
        <v>3057.418</v>
      </c>
      <c r="AG778" s="3" t="n">
        <v>3183.783859</v>
      </c>
      <c r="AH778" s="3" t="n">
        <v>3301.952264</v>
      </c>
      <c r="AI778" s="3" t="n">
        <v>3418.938435</v>
      </c>
      <c r="AJ778" s="3" t="n">
        <v>3532.734081</v>
      </c>
      <c r="AK778" s="3" t="n">
        <v>3650.827415</v>
      </c>
      <c r="AL778" s="3" t="n">
        <v>3772.961869</v>
      </c>
      <c r="AM778" s="3" t="n"/>
      <c r="AN778" s="3" t="n"/>
      <c r="AO778" s="3" t="n"/>
      <c r="AP778" s="3" t="n"/>
      <c r="AQ778" s="3" t="n"/>
      <c r="AR778" s="3" t="n"/>
      <c r="AS778" s="3" t="n"/>
      <c r="AT778" s="3" t="n"/>
      <c r="AU778" s="3" t="n"/>
    </row>
    <row r="779">
      <c r="A779" s="3" t="n">
        <v>2031</v>
      </c>
      <c r="B779" s="3" t="inlineStr">
        <is>
          <t>DNK</t>
        </is>
      </c>
      <c r="C779" s="3" t="inlineStr">
        <is>
          <t>IMF.RES:WEO</t>
        </is>
      </c>
      <c r="D779" s="3" t="inlineStr">
        <is>
          <t>DNK.NGDP_D.A</t>
        </is>
      </c>
      <c r="E779" s="3" t="inlineStr">
        <is>
          <t>Denmark</t>
        </is>
      </c>
      <c r="F779" s="3" t="inlineStr">
        <is>
          <t>Gross domestic product (GDP), Price deflator, Index</t>
        </is>
      </c>
      <c r="G779" s="3" t="n">
        <v>70.666329</v>
      </c>
      <c r="H779" s="3" t="n">
        <v>72.44243299999999</v>
      </c>
      <c r="I779" s="3" t="n">
        <v>74.175206</v>
      </c>
      <c r="J779" s="3" t="n">
        <v>75.283472</v>
      </c>
      <c r="K779" s="3" t="n">
        <v>76.85166</v>
      </c>
      <c r="L779" s="3" t="n">
        <v>79.080867</v>
      </c>
      <c r="M779" s="3" t="n">
        <v>80.73015599999999</v>
      </c>
      <c r="N779" s="3" t="n">
        <v>82.687918</v>
      </c>
      <c r="O779" s="3" t="n">
        <v>86.20592600000001</v>
      </c>
      <c r="P779" s="3" t="n">
        <v>86.701925</v>
      </c>
      <c r="Q779" s="3" t="n">
        <v>89.463877</v>
      </c>
      <c r="R779" s="3" t="n">
        <v>90.040526</v>
      </c>
      <c r="S779" s="3" t="n">
        <v>92.207998</v>
      </c>
      <c r="T779" s="3" t="n">
        <v>92.988518</v>
      </c>
      <c r="U779" s="3" t="n">
        <v>93.935866</v>
      </c>
      <c r="V779" s="3" t="n">
        <v>94.322895</v>
      </c>
      <c r="W779" s="3" t="n">
        <v>94.722843</v>
      </c>
      <c r="X779" s="3" t="n">
        <v>95.765789</v>
      </c>
      <c r="Y779" s="3" t="n">
        <v>96.334836</v>
      </c>
      <c r="Z779" s="3" t="n">
        <v>97.24911299999999</v>
      </c>
      <c r="AA779" s="3" t="n">
        <v>99.99957000000001</v>
      </c>
      <c r="AB779" s="3" t="n">
        <v>103.045444</v>
      </c>
      <c r="AC779" s="3" t="n">
        <v>113.760527</v>
      </c>
      <c r="AD779" s="3" t="n">
        <v>111.343544</v>
      </c>
      <c r="AE779" s="3" t="n">
        <v>112.963257</v>
      </c>
      <c r="AF779" s="3" t="n">
        <v>114.699055</v>
      </c>
      <c r="AG779" s="3" t="n">
        <v>117.097716</v>
      </c>
      <c r="AH779" s="3" t="n">
        <v>119.590233</v>
      </c>
      <c r="AI779" s="3" t="n">
        <v>121.937216</v>
      </c>
      <c r="AJ779" s="3" t="n">
        <v>124.084856</v>
      </c>
      <c r="AK779" s="3" t="n">
        <v>126.287969</v>
      </c>
      <c r="AL779" s="3" t="n">
        <v>128.647408</v>
      </c>
      <c r="AM779" s="3" t="n"/>
      <c r="AN779" s="3" t="n"/>
      <c r="AO779" s="3" t="n"/>
      <c r="AP779" s="3" t="n"/>
      <c r="AQ779" s="3" t="n"/>
      <c r="AR779" s="3" t="n"/>
      <c r="AS779" s="3" t="n"/>
      <c r="AT779" s="3" t="n"/>
      <c r="AU779" s="3" t="n"/>
    </row>
    <row r="780">
      <c r="A780" s="3" t="n">
        <v>2031</v>
      </c>
      <c r="B780" s="3" t="inlineStr">
        <is>
          <t>DNK</t>
        </is>
      </c>
      <c r="C780" s="3" t="inlineStr">
        <is>
          <t>IMF.RES:WEO</t>
        </is>
      </c>
      <c r="D780" s="3" t="inlineStr">
        <is>
          <t>DNK.NGDP_R.A</t>
        </is>
      </c>
      <c r="E780" s="3" t="inlineStr">
        <is>
          <t>Denmark</t>
        </is>
      </c>
      <c r="F780" s="3" t="inlineStr">
        <is>
          <t>Gross domestic product (GDP), Constant prices, Domestic currency</t>
        </is>
      </c>
      <c r="G780" s="3" t="n">
        <v>1876.4</v>
      </c>
      <c r="H780" s="3" t="n">
        <v>1894.3</v>
      </c>
      <c r="I780" s="3" t="n">
        <v>1902.9</v>
      </c>
      <c r="J780" s="3" t="n">
        <v>1911.3</v>
      </c>
      <c r="K780" s="3" t="n">
        <v>1964.4</v>
      </c>
      <c r="L780" s="3" t="n">
        <v>2010.7</v>
      </c>
      <c r="M780" s="3" t="n">
        <v>2087.5</v>
      </c>
      <c r="N780" s="3" t="n">
        <v>2108.1</v>
      </c>
      <c r="O780" s="3" t="n">
        <v>2099.3</v>
      </c>
      <c r="P780" s="3" t="n">
        <v>1994.8</v>
      </c>
      <c r="Q780" s="3" t="n">
        <v>2026.4</v>
      </c>
      <c r="R780" s="3" t="n">
        <v>2053</v>
      </c>
      <c r="S780" s="3" t="n">
        <v>2052.9</v>
      </c>
      <c r="T780" s="3" t="n">
        <v>2081.5</v>
      </c>
      <c r="U780" s="3" t="n">
        <v>2108.1</v>
      </c>
      <c r="V780" s="3" t="n">
        <v>2152.4</v>
      </c>
      <c r="W780" s="3" t="n">
        <v>2218.6</v>
      </c>
      <c r="X780" s="3" t="n">
        <v>2286.4</v>
      </c>
      <c r="Y780" s="3" t="n">
        <v>2328.9</v>
      </c>
      <c r="Z780" s="3" t="n">
        <v>2368.8</v>
      </c>
      <c r="AA780" s="3" t="n">
        <v>2326.6</v>
      </c>
      <c r="AB780" s="3" t="n">
        <v>2477.8</v>
      </c>
      <c r="AC780" s="3" t="n">
        <v>2488.8</v>
      </c>
      <c r="AD780" s="3" t="n">
        <v>2503.9</v>
      </c>
      <c r="AE780" s="3" t="n">
        <v>2591</v>
      </c>
      <c r="AF780" s="3" t="n">
        <v>2665.6</v>
      </c>
      <c r="AG780" s="3" t="n">
        <v>2718.912</v>
      </c>
      <c r="AH780" s="3" t="n">
        <v>2761.055136</v>
      </c>
      <c r="AI780" s="3" t="n">
        <v>2803.851491</v>
      </c>
      <c r="AJ780" s="3" t="n">
        <v>2847.030804</v>
      </c>
      <c r="AK780" s="3" t="n">
        <v>2890.875078</v>
      </c>
      <c r="AL780" s="3" t="n">
        <v>2932.792767</v>
      </c>
      <c r="AM780" s="3" t="n"/>
      <c r="AN780" s="3" t="n"/>
      <c r="AO780" s="3" t="n"/>
      <c r="AP780" s="3" t="n"/>
      <c r="AQ780" s="3" t="n"/>
      <c r="AR780" s="3" t="n"/>
      <c r="AS780" s="3" t="n"/>
      <c r="AT780" s="3" t="n"/>
      <c r="AU780" s="3" t="n"/>
    </row>
    <row r="781">
      <c r="A781" s="3" t="n">
        <v>2031</v>
      </c>
      <c r="B781" s="3" t="inlineStr">
        <is>
          <t>DNK</t>
        </is>
      </c>
      <c r="C781" s="3" t="inlineStr">
        <is>
          <t>IMF.RES:WEO</t>
        </is>
      </c>
      <c r="D781" s="3" t="inlineStr">
        <is>
          <t>DNK.NGDP_RPCH.A</t>
        </is>
      </c>
      <c r="E781" s="3" t="inlineStr">
        <is>
          <t>Denmark</t>
        </is>
      </c>
      <c r="F781" s="3" t="inlineStr">
        <is>
          <t>Gross domestic product (GDP), Constant prices, Percent change</t>
        </is>
      </c>
      <c r="G781" s="3" t="n">
        <v>3.720082</v>
      </c>
      <c r="H781" s="3" t="n">
        <v>0.953954</v>
      </c>
      <c r="I781" s="3" t="n">
        <v>0.453994</v>
      </c>
      <c r="J781" s="3" t="n">
        <v>0.441431</v>
      </c>
      <c r="K781" s="3" t="n">
        <v>2.778214</v>
      </c>
      <c r="L781" s="3" t="n">
        <v>2.356954</v>
      </c>
      <c r="M781" s="3" t="n">
        <v>3.819565</v>
      </c>
      <c r="N781" s="3" t="n">
        <v>0.986826</v>
      </c>
      <c r="O781" s="3" t="n">
        <v>-0.417438</v>
      </c>
      <c r="P781" s="3" t="n">
        <v>-4.97785</v>
      </c>
      <c r="Q781" s="3" t="n">
        <v>1.584119</v>
      </c>
      <c r="R781" s="3" t="n">
        <v>1.312673</v>
      </c>
      <c r="S781" s="3" t="n">
        <v>-0.004871</v>
      </c>
      <c r="T781" s="3" t="n">
        <v>1.393151</v>
      </c>
      <c r="U781" s="3" t="n">
        <v>1.277925</v>
      </c>
      <c r="V781" s="3" t="n">
        <v>2.101418</v>
      </c>
      <c r="W781" s="3" t="n">
        <v>3.075636</v>
      </c>
      <c r="X781" s="3" t="n">
        <v>3.055981</v>
      </c>
      <c r="Y781" s="3" t="n">
        <v>1.858817</v>
      </c>
      <c r="Z781" s="3" t="n">
        <v>1.713255</v>
      </c>
      <c r="AA781" s="3" t="n">
        <v>-1.781493</v>
      </c>
      <c r="AB781" s="3" t="n">
        <v>6.498754</v>
      </c>
      <c r="AC781" s="3" t="n">
        <v>0.443942</v>
      </c>
      <c r="AD781" s="3" t="n">
        <v>0.606718</v>
      </c>
      <c r="AE781" s="3" t="n">
        <v>3.478573</v>
      </c>
      <c r="AF781" s="3" t="n">
        <v>2.879197</v>
      </c>
      <c r="AG781" s="3" t="n">
        <v>2</v>
      </c>
      <c r="AH781" s="3" t="n">
        <v>1.55</v>
      </c>
      <c r="AI781" s="3" t="n">
        <v>1.55</v>
      </c>
      <c r="AJ781" s="3" t="n">
        <v>1.54</v>
      </c>
      <c r="AK781" s="3" t="n">
        <v>1.54</v>
      </c>
      <c r="AL781" s="3" t="n">
        <v>1.45</v>
      </c>
      <c r="AM781" s="3" t="n"/>
      <c r="AN781" s="3" t="n"/>
      <c r="AO781" s="3" t="n"/>
      <c r="AP781" s="3" t="n"/>
      <c r="AQ781" s="3" t="n"/>
      <c r="AR781" s="3" t="n"/>
      <c r="AS781" s="3" t="n"/>
      <c r="AT781" s="3" t="n"/>
      <c r="AU781" s="3" t="n"/>
    </row>
    <row r="782">
      <c r="A782" s="3" t="n">
        <v>2031</v>
      </c>
      <c r="B782" s="3" t="inlineStr">
        <is>
          <t>DNK</t>
        </is>
      </c>
      <c r="C782" s="3" t="inlineStr">
        <is>
          <t>IMF.RES:WEO</t>
        </is>
      </c>
      <c r="D782" s="3" t="inlineStr">
        <is>
          <t>DNK.NGDPD.A</t>
        </is>
      </c>
      <c r="E782" s="3" t="inlineStr">
        <is>
          <t>Denmark</t>
        </is>
      </c>
      <c r="F782" s="3" t="inlineStr">
        <is>
          <t>Gross domestic product (GDP), Current prices, US dollar</t>
        </is>
      </c>
      <c r="G782" s="3" t="n">
        <v>164.042973</v>
      </c>
      <c r="H782" s="3" t="n">
        <v>164.881304</v>
      </c>
      <c r="I782" s="3" t="n">
        <v>178.78798</v>
      </c>
      <c r="J782" s="3" t="n">
        <v>218.422033</v>
      </c>
      <c r="K782" s="3" t="n">
        <v>251.987935</v>
      </c>
      <c r="L782" s="3" t="n">
        <v>265.149719</v>
      </c>
      <c r="M782" s="3" t="n">
        <v>283.387392</v>
      </c>
      <c r="N782" s="3" t="n">
        <v>320.213041</v>
      </c>
      <c r="O782" s="3" t="n">
        <v>354.977355</v>
      </c>
      <c r="P782" s="3" t="n">
        <v>322.621342</v>
      </c>
      <c r="Q782" s="3" t="n">
        <v>322.34563</v>
      </c>
      <c r="R782" s="3" t="n">
        <v>344.315761</v>
      </c>
      <c r="S782" s="3" t="n">
        <v>326.792576</v>
      </c>
      <c r="T782" s="3" t="n">
        <v>344.631158</v>
      </c>
      <c r="U782" s="3" t="n">
        <v>352.832741</v>
      </c>
      <c r="V782" s="3" t="n">
        <v>301.758935</v>
      </c>
      <c r="W782" s="3" t="n">
        <v>312.18196</v>
      </c>
      <c r="X782" s="3" t="n">
        <v>331.61053</v>
      </c>
      <c r="Y782" s="3" t="n">
        <v>355.29334</v>
      </c>
      <c r="Z782" s="3" t="n">
        <v>345.40152</v>
      </c>
      <c r="AA782" s="3" t="n">
        <v>355.630674</v>
      </c>
      <c r="AB782" s="3" t="n">
        <v>406.11008</v>
      </c>
      <c r="AC782" s="3" t="n">
        <v>400.114646</v>
      </c>
      <c r="AD782" s="3" t="n">
        <v>404.651865</v>
      </c>
      <c r="AE782" s="3" t="n">
        <v>424.52475</v>
      </c>
      <c r="AF782" s="3" t="n">
        <v>461.718327</v>
      </c>
      <c r="AG782" s="3" t="n">
        <v>503.772102</v>
      </c>
      <c r="AH782" s="3" t="n">
        <v>525.227747</v>
      </c>
      <c r="AI782" s="3" t="n">
        <v>546.483717</v>
      </c>
      <c r="AJ782" s="3" t="n">
        <v>567.415163</v>
      </c>
      <c r="AK782" s="3" t="n">
        <v>589.218957</v>
      </c>
      <c r="AL782" s="3" t="n">
        <v>611.871005</v>
      </c>
      <c r="AM782" s="3" t="n"/>
      <c r="AN782" s="3" t="n"/>
      <c r="AO782" s="3" t="n"/>
      <c r="AP782" s="3" t="n"/>
      <c r="AQ782" s="3" t="n"/>
      <c r="AR782" s="3" t="n"/>
      <c r="AS782" s="3" t="n"/>
      <c r="AT782" s="3" t="n"/>
      <c r="AU782" s="3" t="n"/>
    </row>
    <row r="783">
      <c r="A783" s="3" t="n">
        <v>2031</v>
      </c>
      <c r="B783" s="3" t="inlineStr">
        <is>
          <t>DNK</t>
        </is>
      </c>
      <c r="C783" s="3" t="inlineStr">
        <is>
          <t>IMF.RES:WEO</t>
        </is>
      </c>
      <c r="D783" s="3" t="inlineStr">
        <is>
          <t>DNK.NGDPPC.A</t>
        </is>
      </c>
      <c r="E783" s="3" t="inlineStr">
        <is>
          <t>Denmark</t>
        </is>
      </c>
      <c r="F783" s="3" t="inlineStr">
        <is>
          <t>Gross domestic product (GDP), Current prices, Per capita, Domestic currency</t>
        </is>
      </c>
      <c r="G783" s="3" t="n">
        <v>248776.364817</v>
      </c>
      <c r="H783" s="3" t="n">
        <v>256538.159265</v>
      </c>
      <c r="I783" s="3" t="n">
        <v>262926.029096</v>
      </c>
      <c r="J783" s="3" t="n">
        <v>267278.002982</v>
      </c>
      <c r="K783" s="3" t="n">
        <v>279691.494801</v>
      </c>
      <c r="L783" s="3" t="n">
        <v>293838.476329</v>
      </c>
      <c r="M783" s="3" t="n">
        <v>310502.94438</v>
      </c>
      <c r="N783" s="3" t="n">
        <v>320014.158034</v>
      </c>
      <c r="O783" s="3" t="n">
        <v>330494.900189</v>
      </c>
      <c r="P783" s="3" t="n">
        <v>313806.654545</v>
      </c>
      <c r="Q783" s="3" t="n">
        <v>327548.657226</v>
      </c>
      <c r="R783" s="3" t="n">
        <v>332432.236071</v>
      </c>
      <c r="S783" s="3" t="n">
        <v>339204.833388</v>
      </c>
      <c r="T783" s="3" t="n">
        <v>345472.874515</v>
      </c>
      <c r="U783" s="3" t="n">
        <v>351906.753494</v>
      </c>
      <c r="V783" s="3" t="n">
        <v>358711.701914</v>
      </c>
      <c r="W783" s="3" t="n">
        <v>368219.480797</v>
      </c>
      <c r="X783" s="3" t="n">
        <v>380879.628317</v>
      </c>
      <c r="Y783" s="3" t="n">
        <v>388076.157331</v>
      </c>
      <c r="Z783" s="3" t="n">
        <v>396762.807822</v>
      </c>
      <c r="AA783" s="3" t="n">
        <v>399568.040121</v>
      </c>
      <c r="AB783" s="3" t="n">
        <v>437198.685969</v>
      </c>
      <c r="AC783" s="3" t="n">
        <v>482048.278516</v>
      </c>
      <c r="AD783" s="3" t="n">
        <v>469929.81556</v>
      </c>
      <c r="AE783" s="3" t="n">
        <v>490984.020295</v>
      </c>
      <c r="AF783" s="3" t="n">
        <v>510187.503734</v>
      </c>
      <c r="AG783" s="3" t="n">
        <v>527365.216612</v>
      </c>
      <c r="AH783" s="3" t="n">
        <v>542700.98227</v>
      </c>
      <c r="AI783" s="3" t="n">
        <v>556760.790589</v>
      </c>
      <c r="AJ783" s="3" t="n">
        <v>572114.4068230001</v>
      </c>
      <c r="AK783" s="3" t="n">
        <v>587198.113646</v>
      </c>
      <c r="AL783" s="3" t="n">
        <v>602694.429439</v>
      </c>
      <c r="AM783" s="3" t="n"/>
      <c r="AN783" s="3" t="n"/>
      <c r="AO783" s="3" t="n"/>
      <c r="AP783" s="3" t="n"/>
      <c r="AQ783" s="3" t="n"/>
      <c r="AR783" s="3" t="n"/>
      <c r="AS783" s="3" t="n"/>
      <c r="AT783" s="3" t="n"/>
      <c r="AU783" s="3" t="n"/>
    </row>
    <row r="784">
      <c r="A784" s="3" t="n">
        <v>2031</v>
      </c>
      <c r="B784" s="3" t="inlineStr">
        <is>
          <t>DNK</t>
        </is>
      </c>
      <c r="C784" s="3" t="inlineStr">
        <is>
          <t>IMF.RES:WEO</t>
        </is>
      </c>
      <c r="D784" s="3" t="inlineStr">
        <is>
          <t>DNK.NGDPRPC.A</t>
        </is>
      </c>
      <c r="E784" s="3" t="inlineStr">
        <is>
          <t>Denmark</t>
        </is>
      </c>
      <c r="F784" s="3" t="inlineStr">
        <is>
          <t>Gross domestic product (GDP), Constant prices, Per capita, Domestic currency</t>
        </is>
      </c>
      <c r="G784" s="3" t="n">
        <v>352043.707153</v>
      </c>
      <c r="H784" s="3" t="n">
        <v>354126.925611</v>
      </c>
      <c r="I784" s="3" t="n">
        <v>354466.192058</v>
      </c>
      <c r="J784" s="3" t="n">
        <v>355028.794427</v>
      </c>
      <c r="K784" s="3" t="n">
        <v>363936.831652</v>
      </c>
      <c r="L784" s="3" t="n">
        <v>371567.088399</v>
      </c>
      <c r="M784" s="3" t="n">
        <v>384618.290069</v>
      </c>
      <c r="N784" s="3" t="n">
        <v>387014.409912</v>
      </c>
      <c r="O784" s="3" t="n">
        <v>383378.401404</v>
      </c>
      <c r="P784" s="3" t="n">
        <v>361937.355517</v>
      </c>
      <c r="Q784" s="3" t="n">
        <v>366123.924927</v>
      </c>
      <c r="R784" s="3" t="n">
        <v>369202.902981</v>
      </c>
      <c r="S784" s="3" t="n">
        <v>367869.207794</v>
      </c>
      <c r="T784" s="3" t="n">
        <v>371522.078567</v>
      </c>
      <c r="U784" s="3" t="n">
        <v>374624.482539</v>
      </c>
      <c r="V784" s="3" t="n">
        <v>380301.834986</v>
      </c>
      <c r="W784" s="3" t="n">
        <v>388733.560168</v>
      </c>
      <c r="X784" s="3" t="n">
        <v>397719.929258</v>
      </c>
      <c r="Y784" s="3" t="n">
        <v>402840.937592</v>
      </c>
      <c r="Z784" s="3" t="n">
        <v>407986.040842</v>
      </c>
      <c r="AA784" s="3" t="n">
        <v>399569.757519</v>
      </c>
      <c r="AB784" s="3" t="n">
        <v>424277.552656</v>
      </c>
      <c r="AC784" s="3" t="n">
        <v>423739.490791</v>
      </c>
      <c r="AD784" s="3" t="n">
        <v>422053.940783</v>
      </c>
      <c r="AE784" s="3" t="n">
        <v>434640.458736</v>
      </c>
      <c r="AF784" s="3" t="n">
        <v>444805.325916</v>
      </c>
      <c r="AG784" s="3" t="n">
        <v>450363.366138</v>
      </c>
      <c r="AH784" s="3" t="n">
        <v>453800.423075</v>
      </c>
      <c r="AI784" s="3" t="n">
        <v>456596.280508</v>
      </c>
      <c r="AJ784" s="3" t="n">
        <v>461067.066459</v>
      </c>
      <c r="AK784" s="3" t="n">
        <v>464967.581251</v>
      </c>
      <c r="AL784" s="3" t="n">
        <v>468485.482865</v>
      </c>
      <c r="AM784" s="3" t="n"/>
      <c r="AN784" s="3" t="n"/>
      <c r="AO784" s="3" t="n"/>
      <c r="AP784" s="3" t="n"/>
      <c r="AQ784" s="3" t="n"/>
      <c r="AR784" s="3" t="n"/>
      <c r="AS784" s="3" t="n"/>
      <c r="AT784" s="3" t="n"/>
      <c r="AU784" s="3" t="n"/>
    </row>
    <row r="785">
      <c r="A785" s="3" t="n">
        <v>2031</v>
      </c>
      <c r="B785" s="3" t="inlineStr">
        <is>
          <t>DNK</t>
        </is>
      </c>
      <c r="C785" s="3" t="inlineStr">
        <is>
          <t>IMF.RES:WEO</t>
        </is>
      </c>
      <c r="D785" s="3" t="inlineStr">
        <is>
          <t>DNK.PCPI.A</t>
        </is>
      </c>
      <c r="E785" s="3" t="inlineStr">
        <is>
          <t>Denmark</t>
        </is>
      </c>
      <c r="F785" s="3" t="inlineStr">
        <is>
          <t>All Items, Consumer price index (CPI), Period average</t>
        </is>
      </c>
      <c r="G785" s="3" t="n">
        <v>63.883333</v>
      </c>
      <c r="H785" s="3" t="n">
        <v>65.333333</v>
      </c>
      <c r="I785" s="3" t="n">
        <v>66.90000000000001</v>
      </c>
      <c r="J785" s="3" t="n">
        <v>68.216667</v>
      </c>
      <c r="K785" s="3" t="n">
        <v>68.833333</v>
      </c>
      <c r="L785" s="3" t="n">
        <v>70.00833299999999</v>
      </c>
      <c r="M785" s="3" t="n">
        <v>71.333333</v>
      </c>
      <c r="N785" s="3" t="n">
        <v>72.52500000000001</v>
      </c>
      <c r="O785" s="3" t="n">
        <v>75.125</v>
      </c>
      <c r="P785" s="3" t="n">
        <v>75.916667</v>
      </c>
      <c r="Q785" s="3" t="n">
        <v>77.591667</v>
      </c>
      <c r="R785" s="3" t="n">
        <v>79.658333</v>
      </c>
      <c r="S785" s="3" t="n">
        <v>81.52500000000001</v>
      </c>
      <c r="T785" s="3" t="n">
        <v>81.941667</v>
      </c>
      <c r="U785" s="3" t="n">
        <v>82.22499999999999</v>
      </c>
      <c r="V785" s="3" t="n">
        <v>82.425</v>
      </c>
      <c r="W785" s="3" t="n">
        <v>82.458333</v>
      </c>
      <c r="X785" s="3" t="n">
        <v>83.325</v>
      </c>
      <c r="Y785" s="3" t="n">
        <v>83.90000000000001</v>
      </c>
      <c r="Z785" s="3" t="n">
        <v>84.5</v>
      </c>
      <c r="AA785" s="3" t="n">
        <v>84.791667</v>
      </c>
      <c r="AB785" s="3" t="n">
        <v>86.433333</v>
      </c>
      <c r="AC785" s="3" t="n">
        <v>93.825</v>
      </c>
      <c r="AD785" s="3" t="n">
        <v>96.97499999999999</v>
      </c>
      <c r="AE785" s="3" t="n">
        <v>98.208333</v>
      </c>
      <c r="AF785" s="3" t="n">
        <v>100</v>
      </c>
      <c r="AG785" s="3" t="n">
        <v>102</v>
      </c>
      <c r="AH785" s="3" t="n">
        <v>104.244</v>
      </c>
      <c r="AI785" s="3" t="n">
        <v>106.56097</v>
      </c>
      <c r="AJ785" s="3" t="n">
        <v>108.692189</v>
      </c>
      <c r="AK785" s="3" t="n">
        <v>110.866033</v>
      </c>
      <c r="AL785" s="3" t="n">
        <v>113.083354</v>
      </c>
      <c r="AM785" s="3" t="n"/>
      <c r="AN785" s="3" t="n"/>
      <c r="AO785" s="3" t="n"/>
      <c r="AP785" s="3" t="n"/>
      <c r="AQ785" s="3" t="n"/>
      <c r="AR785" s="3" t="n"/>
      <c r="AS785" s="3" t="n"/>
      <c r="AT785" s="3" t="n"/>
      <c r="AU785" s="3" t="n"/>
    </row>
    <row r="786">
      <c r="A786" s="3" t="n">
        <v>2031</v>
      </c>
      <c r="B786" s="3" t="inlineStr">
        <is>
          <t>DNK</t>
        </is>
      </c>
      <c r="C786" s="3" t="inlineStr">
        <is>
          <t>IMF.RES:WEO</t>
        </is>
      </c>
      <c r="D786" s="3" t="inlineStr">
        <is>
          <t>DNK.PCPIPCH.A</t>
        </is>
      </c>
      <c r="E786" s="3" t="inlineStr">
        <is>
          <t>Denmark</t>
        </is>
      </c>
      <c r="F786" s="3" t="inlineStr">
        <is>
          <t>All Items, Consumer price index (CPI), Period average, percent change</t>
        </is>
      </c>
      <c r="G786" s="3" t="n">
        <v>2.761394</v>
      </c>
      <c r="H786" s="3" t="n">
        <v>2.269763</v>
      </c>
      <c r="I786" s="3" t="n">
        <v>2.397959</v>
      </c>
      <c r="J786" s="3" t="n">
        <v>1.968112</v>
      </c>
      <c r="K786" s="3" t="n">
        <v>0.903982</v>
      </c>
      <c r="L786" s="3" t="n">
        <v>1.707022</v>
      </c>
      <c r="M786" s="3" t="n">
        <v>1.892632</v>
      </c>
      <c r="N786" s="3" t="n">
        <v>1.670561</v>
      </c>
      <c r="O786" s="3" t="n">
        <v>3.584971</v>
      </c>
      <c r="P786" s="3" t="n">
        <v>1.053799</v>
      </c>
      <c r="Q786" s="3" t="n">
        <v>2.206367</v>
      </c>
      <c r="R786" s="3" t="n">
        <v>2.663516</v>
      </c>
      <c r="S786" s="3" t="n">
        <v>2.343341</v>
      </c>
      <c r="T786" s="3" t="n">
        <v>0.511091</v>
      </c>
      <c r="U786" s="3" t="n">
        <v>0.345774</v>
      </c>
      <c r="V786" s="3" t="n">
        <v>0.243235</v>
      </c>
      <c r="W786" s="3" t="n">
        <v>0.040441</v>
      </c>
      <c r="X786" s="3" t="n">
        <v>1.051036</v>
      </c>
      <c r="Y786" s="3" t="n">
        <v>0.690069</v>
      </c>
      <c r="Z786" s="3" t="n">
        <v>0.715137</v>
      </c>
      <c r="AA786" s="3" t="n">
        <v>0.345168</v>
      </c>
      <c r="AB786" s="3" t="n">
        <v>1.936118</v>
      </c>
      <c r="AC786" s="3" t="n">
        <v>8.551869999999999</v>
      </c>
      <c r="AD786" s="3" t="n">
        <v>3.357314</v>
      </c>
      <c r="AE786" s="3" t="n">
        <v>1.271805</v>
      </c>
      <c r="AF786" s="3" t="n">
        <v>1.824353</v>
      </c>
      <c r="AG786" s="3" t="n">
        <v>2</v>
      </c>
      <c r="AH786" s="3" t="n">
        <v>2.2</v>
      </c>
      <c r="AI786" s="3" t="n">
        <v>2.222641</v>
      </c>
      <c r="AJ786" s="3" t="n">
        <v>2</v>
      </c>
      <c r="AK786" s="3" t="n">
        <v>2</v>
      </c>
      <c r="AL786" s="3" t="n">
        <v>2</v>
      </c>
      <c r="AM786" s="3" t="n"/>
      <c r="AN786" s="3" t="n"/>
      <c r="AO786" s="3" t="n"/>
      <c r="AP786" s="3" t="n"/>
      <c r="AQ786" s="3" t="n"/>
      <c r="AR786" s="3" t="n"/>
      <c r="AS786" s="3" t="n"/>
      <c r="AT786" s="3" t="n"/>
      <c r="AU786" s="3" t="n"/>
    </row>
    <row r="787">
      <c r="A787" s="3" t="n">
        <v>2031</v>
      </c>
      <c r="B787" s="3" t="inlineStr">
        <is>
          <t>DNK</t>
        </is>
      </c>
      <c r="C787" s="3" t="inlineStr">
        <is>
          <t>IMF.RES:WEO</t>
        </is>
      </c>
      <c r="D787" s="3" t="inlineStr">
        <is>
          <t>DNK.PPPPC.A</t>
        </is>
      </c>
      <c r="E787" s="3" t="inlineStr">
        <is>
          <t>Denmark</t>
        </is>
      </c>
      <c r="F787" s="3" t="inlineStr">
        <is>
          <t>Gross domestic product (GDP), Per capita, purchasing power parity (PPP) international dollar, ICP benchmarks 2017-2021</t>
        </is>
      </c>
      <c r="G787" s="3" t="n">
        <v>35678.909959</v>
      </c>
      <c r="H787" s="3" t="n">
        <v>36698.14734</v>
      </c>
      <c r="I787" s="3" t="n">
        <v>37304.154205</v>
      </c>
      <c r="J787" s="3" t="n">
        <v>38100.996057</v>
      </c>
      <c r="K787" s="3" t="n">
        <v>40107.185228</v>
      </c>
      <c r="L787" s="3" t="n">
        <v>42232.125809</v>
      </c>
      <c r="M787" s="3" t="n">
        <v>45063.653829</v>
      </c>
      <c r="N787" s="3" t="n">
        <v>46572.896395</v>
      </c>
      <c r="O787" s="3" t="n">
        <v>47024.099499</v>
      </c>
      <c r="P787" s="3" t="n">
        <v>44667.999725</v>
      </c>
      <c r="Q787" s="3" t="n">
        <v>45733.842527</v>
      </c>
      <c r="R787" s="3" t="n">
        <v>47069.986775</v>
      </c>
      <c r="S787" s="3" t="n">
        <v>47773.198151</v>
      </c>
      <c r="T787" s="3" t="n">
        <v>49068.752989</v>
      </c>
      <c r="U787" s="3" t="n">
        <v>50340.27721</v>
      </c>
      <c r="V787" s="3" t="n">
        <v>51577.437795</v>
      </c>
      <c r="W787" s="3" t="n">
        <v>53221.935453</v>
      </c>
      <c r="X787" s="3" t="n">
        <v>55427.449068</v>
      </c>
      <c r="Y787" s="3" t="n">
        <v>57356.837215</v>
      </c>
      <c r="Z787" s="3" t="n">
        <v>60682.019783</v>
      </c>
      <c r="AA787" s="3" t="n">
        <v>62775.249405</v>
      </c>
      <c r="AB787" s="3" t="n">
        <v>70151.526145</v>
      </c>
      <c r="AC787" s="3" t="n">
        <v>75045.700556</v>
      </c>
      <c r="AD787" s="3" t="n">
        <v>77512.85468</v>
      </c>
      <c r="AE787" s="3" t="n">
        <v>81806.125365</v>
      </c>
      <c r="AF787" s="3" t="n">
        <v>86094.23362299999</v>
      </c>
      <c r="AG787" s="3" t="n">
        <v>89667.31034900001</v>
      </c>
      <c r="AH787" s="3" t="n">
        <v>92335.66134999999</v>
      </c>
      <c r="AI787" s="3" t="n">
        <v>94429.46625100001</v>
      </c>
      <c r="AJ787" s="3" t="n">
        <v>97049.576222</v>
      </c>
      <c r="AK787" s="3" t="n">
        <v>99668.990332</v>
      </c>
      <c r="AL787" s="3" t="n">
        <v>102236.016276</v>
      </c>
      <c r="AM787" s="3" t="n"/>
      <c r="AN787" s="3" t="n"/>
      <c r="AO787" s="3" t="n"/>
      <c r="AP787" s="3" t="n"/>
      <c r="AQ787" s="3" t="n"/>
      <c r="AR787" s="3" t="n"/>
      <c r="AS787" s="3" t="n"/>
      <c r="AT787" s="3" t="n"/>
      <c r="AU787" s="3" t="n"/>
    </row>
    <row r="788">
      <c r="A788" s="3" t="n">
        <v>2025</v>
      </c>
      <c r="B788" s="3" t="inlineStr">
        <is>
          <t>DNK</t>
        </is>
      </c>
      <c r="C788" s="3" t="inlineStr">
        <is>
          <t>IMF.STA:ER</t>
        </is>
      </c>
      <c r="D788" s="3" t="inlineStr">
        <is>
          <t>DNK.XDC_USD.PA_RT.A</t>
        </is>
      </c>
      <c r="E788" s="3" t="inlineStr">
        <is>
          <t>Denmark</t>
        </is>
      </c>
      <c r="F788" s="3" t="inlineStr">
        <is>
          <t>Domestic currency per US Dollar</t>
        </is>
      </c>
      <c r="G788" s="3" t="n">
        <v>8.08314416666666</v>
      </c>
      <c r="H788" s="3" t="n">
        <v>8.32281749999999</v>
      </c>
      <c r="I788" s="3" t="n">
        <v>7.89471416666666</v>
      </c>
      <c r="J788" s="3" t="n">
        <v>6.58767333333333</v>
      </c>
      <c r="K788" s="3" t="n">
        <v>5.99105666666666</v>
      </c>
      <c r="L788" s="3" t="n">
        <v>5.99691</v>
      </c>
      <c r="M788" s="3" t="n">
        <v>5.94677833333333</v>
      </c>
      <c r="N788" s="3" t="n">
        <v>5.44370083333333</v>
      </c>
      <c r="O788" s="3" t="n">
        <v>5.09813083333333</v>
      </c>
      <c r="P788" s="3" t="n">
        <v>5.36086666666666</v>
      </c>
      <c r="Q788" s="3" t="n">
        <v>5.624075</v>
      </c>
      <c r="R788" s="3" t="n">
        <v>5.36871153508772</v>
      </c>
      <c r="S788" s="3" t="n">
        <v>5.79247553703915</v>
      </c>
      <c r="T788" s="3" t="n">
        <v>5.61631168617622</v>
      </c>
      <c r="U788" s="3" t="n">
        <v>5.61246666666666</v>
      </c>
      <c r="V788" s="3" t="n">
        <v>6.72790683129629</v>
      </c>
      <c r="W788" s="3" t="n">
        <v>6.73171825724637</v>
      </c>
      <c r="X788" s="3" t="n">
        <v>6.60289346561403</v>
      </c>
      <c r="Y788" s="3" t="n">
        <v>6.31461878666666</v>
      </c>
      <c r="Z788" s="3" t="n">
        <v>6.669446615</v>
      </c>
      <c r="AA788" s="3" t="n">
        <v>6.54215220416666</v>
      </c>
      <c r="AB788" s="3" t="n">
        <v>6.2871130825</v>
      </c>
      <c r="AC788" s="3" t="n">
        <v>7.0761518625</v>
      </c>
      <c r="AD788" s="3" t="n">
        <v>6.88970258583333</v>
      </c>
      <c r="AE788" s="3" t="n">
        <v>6.89448141666666</v>
      </c>
      <c r="AF788" s="3" t="n">
        <v>6.62182508333333</v>
      </c>
      <c r="AG788" s="3" t="n"/>
      <c r="AH788" s="3" t="n"/>
      <c r="AI788" s="3" t="n"/>
      <c r="AJ788" s="3" t="n"/>
      <c r="AK788" s="3" t="n"/>
      <c r="AL788" s="3" t="n"/>
      <c r="AM788" s="3" t="n"/>
      <c r="AN788" s="3" t="n"/>
      <c r="AO788" s="3" t="n"/>
      <c r="AP788" s="3" t="n"/>
      <c r="AQ788" s="3" t="n"/>
      <c r="AR788" s="3" t="n"/>
      <c r="AS788" s="3" t="n"/>
      <c r="AT788" s="3" t="n"/>
      <c r="AU788" s="3" t="n"/>
    </row>
    <row r="789">
      <c r="A789" s="3" t="n">
        <v>2031</v>
      </c>
      <c r="B789" s="3" t="inlineStr">
        <is>
          <t>DOM</t>
        </is>
      </c>
      <c r="C789" s="3" t="inlineStr">
        <is>
          <t>IMF.RES:WEO</t>
        </is>
      </c>
      <c r="D789" s="3" t="inlineStr">
        <is>
          <t>DOM.BCA.A</t>
        </is>
      </c>
      <c r="E789" s="3" t="inlineStr">
        <is>
          <t>Dominican Republic</t>
        </is>
      </c>
      <c r="F789" s="3" t="inlineStr">
        <is>
          <t>Current account balance (credit less debit), US dollar</t>
        </is>
      </c>
      <c r="G789" s="3" t="n">
        <v>-1.0265</v>
      </c>
      <c r="H789" s="3" t="n">
        <v>-0.7408</v>
      </c>
      <c r="I789" s="3" t="n">
        <v>-0.7979000000000001</v>
      </c>
      <c r="J789" s="3" t="n">
        <v>1.03618</v>
      </c>
      <c r="K789" s="3" t="n">
        <v>1.04148</v>
      </c>
      <c r="L789" s="3" t="n">
        <v>-0.47291</v>
      </c>
      <c r="M789" s="3" t="n">
        <v>-1.28741</v>
      </c>
      <c r="N789" s="3" t="n">
        <v>-2.1663</v>
      </c>
      <c r="O789" s="3" t="n">
        <v>-4.5197</v>
      </c>
      <c r="P789" s="3" t="n">
        <v>-2.3029</v>
      </c>
      <c r="Q789" s="3" t="n">
        <v>-4.0235</v>
      </c>
      <c r="R789" s="3" t="n">
        <v>-4.3587</v>
      </c>
      <c r="S789" s="3" t="n">
        <v>-3.97057</v>
      </c>
      <c r="T789" s="3" t="n">
        <v>-2.5679</v>
      </c>
      <c r="U789" s="3" t="n">
        <v>-2.1702</v>
      </c>
      <c r="V789" s="3" t="n">
        <v>-1.2803</v>
      </c>
      <c r="W789" s="3" t="n">
        <v>-0.8147</v>
      </c>
      <c r="X789" s="3" t="n">
        <v>-0.1331</v>
      </c>
      <c r="Y789" s="3" t="n">
        <v>-1.3215</v>
      </c>
      <c r="Z789" s="3" t="n">
        <v>-1.1879</v>
      </c>
      <c r="AA789" s="3" t="n">
        <v>-1.3292</v>
      </c>
      <c r="AB789" s="3" t="n">
        <v>-2.6853</v>
      </c>
      <c r="AC789" s="3" t="n">
        <v>-6.5489</v>
      </c>
      <c r="AD789" s="3" t="n">
        <v>-4.4184</v>
      </c>
      <c r="AE789" s="3" t="n">
        <v>-4.1672</v>
      </c>
      <c r="AF789" s="3" t="n">
        <v>-1.519842</v>
      </c>
      <c r="AG789" s="3" t="n">
        <v>-2.09521</v>
      </c>
      <c r="AH789" s="3" t="n">
        <v>-1.809079</v>
      </c>
      <c r="AI789" s="3" t="n">
        <v>-2.011292</v>
      </c>
      <c r="AJ789" s="3" t="n">
        <v>-2.33652</v>
      </c>
      <c r="AK789" s="3" t="n">
        <v>-2.699521</v>
      </c>
      <c r="AL789" s="3" t="n">
        <v>-3.171079</v>
      </c>
      <c r="AM789" s="3" t="n"/>
      <c r="AN789" s="3" t="n"/>
      <c r="AO789" s="3" t="n"/>
      <c r="AP789" s="3" t="n"/>
      <c r="AQ789" s="3" t="n"/>
      <c r="AR789" s="3" t="n"/>
      <c r="AS789" s="3" t="n"/>
      <c r="AT789" s="3" t="n"/>
      <c r="AU789" s="3" t="n"/>
    </row>
    <row r="790">
      <c r="A790" s="3" t="n">
        <v>2031</v>
      </c>
      <c r="B790" s="3" t="inlineStr">
        <is>
          <t>DOM</t>
        </is>
      </c>
      <c r="C790" s="3" t="inlineStr">
        <is>
          <t>IMF.RES:WEO</t>
        </is>
      </c>
      <c r="D790" s="3" t="inlineStr">
        <is>
          <t>DOM.BCA_NGDPD.A</t>
        </is>
      </c>
      <c r="E790" s="3" t="inlineStr">
        <is>
          <t>Dominican Republic</t>
        </is>
      </c>
      <c r="F790" s="3" t="inlineStr">
        <is>
          <t>Current account balance (credit less debit), Percent of GDP</t>
        </is>
      </c>
      <c r="G790" s="3" t="n">
        <v>-4.223275</v>
      </c>
      <c r="H790" s="3" t="n">
        <v>-2.893544</v>
      </c>
      <c r="I790" s="3" t="n">
        <v>-2.928174</v>
      </c>
      <c r="J790" s="3" t="n">
        <v>4.815465</v>
      </c>
      <c r="K790" s="3" t="n">
        <v>4.627577</v>
      </c>
      <c r="L790" s="3" t="n">
        <v>-1.315557</v>
      </c>
      <c r="M790" s="3" t="n">
        <v>-3.388122</v>
      </c>
      <c r="N790" s="3" t="n">
        <v>-4.915886</v>
      </c>
      <c r="O790" s="3" t="n">
        <v>-9.381945</v>
      </c>
      <c r="P790" s="3" t="n">
        <v>-4.769742</v>
      </c>
      <c r="Q790" s="3" t="n">
        <v>-7.46998</v>
      </c>
      <c r="R790" s="3" t="n">
        <v>-7.514205</v>
      </c>
      <c r="S790" s="3" t="n">
        <v>-6.549209</v>
      </c>
      <c r="T790" s="3" t="n">
        <v>-4.100021</v>
      </c>
      <c r="U790" s="3" t="n">
        <v>-3.234382</v>
      </c>
      <c r="V790" s="3" t="n">
        <v>-1.801825</v>
      </c>
      <c r="W790" s="3" t="n">
        <v>-1.077286</v>
      </c>
      <c r="X790" s="3" t="n">
        <v>-0.168156</v>
      </c>
      <c r="Y790" s="3" t="n">
        <v>-1.553456</v>
      </c>
      <c r="Z790" s="3" t="n">
        <v>-1.33118</v>
      </c>
      <c r="AA790" s="3" t="n">
        <v>-1.690566</v>
      </c>
      <c r="AB790" s="3" t="n">
        <v>-2.82465</v>
      </c>
      <c r="AC790" s="3" t="n">
        <v>-5.754078</v>
      </c>
      <c r="AD790" s="3" t="n">
        <v>-3.657803</v>
      </c>
      <c r="AE790" s="3" t="n">
        <v>-3.344114</v>
      </c>
      <c r="AF790" s="3" t="n">
        <v>-1.188351</v>
      </c>
      <c r="AG790" s="3" t="n">
        <v>-1.538926</v>
      </c>
      <c r="AH790" s="3" t="n">
        <v>-1.254184</v>
      </c>
      <c r="AI790" s="3" t="n">
        <v>-1.302557</v>
      </c>
      <c r="AJ790" s="3" t="n">
        <v>-1.411833</v>
      </c>
      <c r="AK790" s="3" t="n">
        <v>-1.521418</v>
      </c>
      <c r="AL790" s="3" t="n">
        <v>-1.664835</v>
      </c>
      <c r="AM790" s="3" t="n"/>
      <c r="AN790" s="3" t="n"/>
      <c r="AO790" s="3" t="n"/>
      <c r="AP790" s="3" t="n"/>
      <c r="AQ790" s="3" t="n"/>
      <c r="AR790" s="3" t="n"/>
      <c r="AS790" s="3" t="n"/>
      <c r="AT790" s="3" t="n"/>
      <c r="AU790" s="3" t="n"/>
    </row>
    <row r="791">
      <c r="A791" s="3" t="n">
        <v>2031</v>
      </c>
      <c r="B791" s="3" t="inlineStr">
        <is>
          <t>DOM</t>
        </is>
      </c>
      <c r="C791" s="3" t="inlineStr">
        <is>
          <t>IMF.RES:WEO</t>
        </is>
      </c>
      <c r="D791" s="3" t="inlineStr">
        <is>
          <t>DOM.GGR_NGDP.A</t>
        </is>
      </c>
      <c r="E791" s="3" t="inlineStr">
        <is>
          <t>Dominican Republic</t>
        </is>
      </c>
      <c r="F791" s="3" t="inlineStr">
        <is>
          <t>Revenue, General government, Percent of GDP</t>
        </is>
      </c>
      <c r="G791" s="3" t="n">
        <v>13.234</v>
      </c>
      <c r="H791" s="3" t="n">
        <v>14.163088</v>
      </c>
      <c r="I791" s="3" t="n">
        <v>14.197845</v>
      </c>
      <c r="J791" s="3" t="n">
        <v>12.981799</v>
      </c>
      <c r="K791" s="3" t="n">
        <v>13.734046</v>
      </c>
      <c r="L791" s="3" t="n">
        <v>14.786366</v>
      </c>
      <c r="M791" s="3" t="n">
        <v>15.263034</v>
      </c>
      <c r="N791" s="3" t="n">
        <v>16.601994</v>
      </c>
      <c r="O791" s="3" t="n">
        <v>15.061363</v>
      </c>
      <c r="P791" s="3" t="n">
        <v>13.260497</v>
      </c>
      <c r="Q791" s="3" t="n">
        <v>13.092343</v>
      </c>
      <c r="R791" s="3" t="n">
        <v>12.919603</v>
      </c>
      <c r="S791" s="3" t="n">
        <v>13.559286</v>
      </c>
      <c r="T791" s="3" t="n">
        <v>14.101803</v>
      </c>
      <c r="U791" s="3" t="n">
        <v>14.282322</v>
      </c>
      <c r="V791" s="3" t="n">
        <v>16.694624</v>
      </c>
      <c r="W791" s="3" t="n">
        <v>13.899067</v>
      </c>
      <c r="X791" s="3" t="n">
        <v>14.140597</v>
      </c>
      <c r="Y791" s="3" t="n">
        <v>14.284863</v>
      </c>
      <c r="Z791" s="3" t="n">
        <v>14.363007</v>
      </c>
      <c r="AA791" s="3" t="n">
        <v>14.240513</v>
      </c>
      <c r="AB791" s="3" t="n">
        <v>15.49867</v>
      </c>
      <c r="AC791" s="3" t="n">
        <v>15.273368</v>
      </c>
      <c r="AD791" s="3" t="n">
        <v>15.845492</v>
      </c>
      <c r="AE791" s="3" t="n">
        <v>16.378372</v>
      </c>
      <c r="AF791" s="3" t="n">
        <v>15.757443</v>
      </c>
      <c r="AG791" s="3" t="n">
        <v>15.933968</v>
      </c>
      <c r="AH791" s="3" t="n">
        <v>15.817513</v>
      </c>
      <c r="AI791" s="3" t="n">
        <v>15.823098</v>
      </c>
      <c r="AJ791" s="3" t="n">
        <v>15.823098</v>
      </c>
      <c r="AK791" s="3" t="n">
        <v>15.823098</v>
      </c>
      <c r="AL791" s="3" t="n">
        <v>15.823098</v>
      </c>
      <c r="AM791" s="3" t="n"/>
      <c r="AN791" s="3" t="n"/>
      <c r="AO791" s="3" t="n"/>
      <c r="AP791" s="3" t="n"/>
      <c r="AQ791" s="3" t="n"/>
      <c r="AR791" s="3" t="n"/>
      <c r="AS791" s="3" t="n"/>
      <c r="AT791" s="3" t="n"/>
      <c r="AU791" s="3" t="n"/>
    </row>
    <row r="792">
      <c r="A792" s="3" t="n">
        <v>2031</v>
      </c>
      <c r="B792" s="3" t="inlineStr">
        <is>
          <t>DOM</t>
        </is>
      </c>
      <c r="C792" s="3" t="inlineStr">
        <is>
          <t>IMF.RES:WEO</t>
        </is>
      </c>
      <c r="D792" s="3" t="inlineStr">
        <is>
          <t>DOM.GGX_NGDP.A</t>
        </is>
      </c>
      <c r="E792" s="3" t="inlineStr">
        <is>
          <t>Dominican Republic</t>
        </is>
      </c>
      <c r="F792" s="3" t="inlineStr">
        <is>
          <t>Expenditure, General government, Percent of GDP</t>
        </is>
      </c>
      <c r="G792" s="3" t="n">
        <v>14.092677</v>
      </c>
      <c r="H792" s="3" t="n">
        <v>14.891559</v>
      </c>
      <c r="I792" s="3" t="n">
        <v>16.475056</v>
      </c>
      <c r="J792" s="3" t="n">
        <v>17.223986</v>
      </c>
      <c r="K792" s="3" t="n">
        <v>17.332647</v>
      </c>
      <c r="L792" s="3" t="n">
        <v>15.50065</v>
      </c>
      <c r="M792" s="3" t="n">
        <v>16.950063</v>
      </c>
      <c r="N792" s="3" t="n">
        <v>16.320732</v>
      </c>
      <c r="O792" s="3" t="n">
        <v>18.491742</v>
      </c>
      <c r="P792" s="3" t="n">
        <v>16.156462</v>
      </c>
      <c r="Q792" s="3" t="n">
        <v>16.067127</v>
      </c>
      <c r="R792" s="3" t="n">
        <v>15.987674</v>
      </c>
      <c r="S792" s="3" t="n">
        <v>19.824113</v>
      </c>
      <c r="T792" s="3" t="n">
        <v>18.514685</v>
      </c>
      <c r="U792" s="3" t="n">
        <v>17.041858</v>
      </c>
      <c r="V792" s="3" t="n">
        <v>16.727707</v>
      </c>
      <c r="W792" s="3" t="n">
        <v>17.008531</v>
      </c>
      <c r="X792" s="3" t="n">
        <v>17.264341</v>
      </c>
      <c r="Y792" s="3" t="n">
        <v>16.459505</v>
      </c>
      <c r="Z792" s="3" t="n">
        <v>17.82029</v>
      </c>
      <c r="AA792" s="3" t="n">
        <v>22.17663</v>
      </c>
      <c r="AB792" s="3" t="n">
        <v>18.419161</v>
      </c>
      <c r="AC792" s="3" t="n">
        <v>18.522357</v>
      </c>
      <c r="AD792" s="3" t="n">
        <v>19.125983</v>
      </c>
      <c r="AE792" s="3" t="n">
        <v>19.465416</v>
      </c>
      <c r="AF792" s="3" t="n">
        <v>19.316142</v>
      </c>
      <c r="AG792" s="3" t="n">
        <v>19.419396</v>
      </c>
      <c r="AH792" s="3" t="n">
        <v>19.040228</v>
      </c>
      <c r="AI792" s="3" t="n">
        <v>18.719652</v>
      </c>
      <c r="AJ792" s="3" t="n">
        <v>18.447306</v>
      </c>
      <c r="AK792" s="3" t="n">
        <v>18.08498</v>
      </c>
      <c r="AL792" s="3" t="n">
        <v>17.825516</v>
      </c>
      <c r="AM792" s="3" t="n"/>
      <c r="AN792" s="3" t="n"/>
      <c r="AO792" s="3" t="n"/>
      <c r="AP792" s="3" t="n"/>
      <c r="AQ792" s="3" t="n"/>
      <c r="AR792" s="3" t="n"/>
      <c r="AS792" s="3" t="n"/>
      <c r="AT792" s="3" t="n"/>
      <c r="AU792" s="3" t="n"/>
    </row>
    <row r="793">
      <c r="A793" s="3" t="n">
        <v>2031</v>
      </c>
      <c r="B793" s="3" t="inlineStr">
        <is>
          <t>DOM</t>
        </is>
      </c>
      <c r="C793" s="3" t="inlineStr">
        <is>
          <t>IMF.RES:WEO</t>
        </is>
      </c>
      <c r="D793" s="3" t="inlineStr">
        <is>
          <t>DOM.LP.A</t>
        </is>
      </c>
      <c r="E793" s="3" t="inlineStr">
        <is>
          <t>Dominican Republic</t>
        </is>
      </c>
      <c r="F793" s="3" t="inlineStr">
        <is>
          <t>Population, Persons for countries / Index for country groups</t>
        </is>
      </c>
      <c r="G793" s="3" t="n">
        <v>8.397802</v>
      </c>
      <c r="H793" s="3" t="n">
        <v>8.512995999999999</v>
      </c>
      <c r="I793" s="3" t="n">
        <v>8.627509</v>
      </c>
      <c r="J793" s="3" t="n">
        <v>8.745084</v>
      </c>
      <c r="K793" s="3" t="n">
        <v>8.857647999999999</v>
      </c>
      <c r="L793" s="3" t="n">
        <v>8.968144000000001</v>
      </c>
      <c r="M793" s="3" t="n">
        <v>9.071458</v>
      </c>
      <c r="N793" s="3" t="n">
        <v>9.174058</v>
      </c>
      <c r="O793" s="3" t="n">
        <v>9.279602000000001</v>
      </c>
      <c r="P793" s="3" t="n">
        <v>9.380152000000001</v>
      </c>
      <c r="Q793" s="3" t="n">
        <v>9.478612</v>
      </c>
      <c r="R793" s="3" t="n">
        <v>9.580139000000001</v>
      </c>
      <c r="S793" s="3" t="n">
        <v>9.680963</v>
      </c>
      <c r="T793" s="3" t="n">
        <v>9.78468</v>
      </c>
      <c r="U793" s="3" t="n">
        <v>9.883486</v>
      </c>
      <c r="V793" s="3" t="n">
        <v>9.980243</v>
      </c>
      <c r="W793" s="3" t="n">
        <v>10.075045</v>
      </c>
      <c r="X793" s="3" t="n">
        <v>10.169172</v>
      </c>
      <c r="Y793" s="3" t="n">
        <v>10.266149</v>
      </c>
      <c r="Z793" s="3" t="n">
        <v>10.35832</v>
      </c>
      <c r="AA793" s="3" t="n">
        <v>10.448499</v>
      </c>
      <c r="AB793" s="3" t="n">
        <v>10.535535</v>
      </c>
      <c r="AC793" s="3" t="n">
        <v>10.621938</v>
      </c>
      <c r="AD793" s="3" t="n">
        <v>10.70905</v>
      </c>
      <c r="AE793" s="3" t="n">
        <v>10.796876</v>
      </c>
      <c r="AF793" s="3" t="n">
        <v>10.885422</v>
      </c>
      <c r="AG793" s="3" t="n">
        <v>10.974694</v>
      </c>
      <c r="AH793" s="3" t="n">
        <v>11.064699</v>
      </c>
      <c r="AI793" s="3" t="n">
        <v>11.155442</v>
      </c>
      <c r="AJ793" s="3" t="n">
        <v>11.246929</v>
      </c>
      <c r="AK793" s="3" t="n">
        <v>11.339166</v>
      </c>
      <c r="AL793" s="3" t="n">
        <v>11.432159</v>
      </c>
      <c r="AM793" s="3" t="n"/>
      <c r="AN793" s="3" t="n"/>
      <c r="AO793" s="3" t="n"/>
      <c r="AP793" s="3" t="n"/>
      <c r="AQ793" s="3" t="n"/>
      <c r="AR793" s="3" t="n"/>
      <c r="AS793" s="3" t="n"/>
      <c r="AT793" s="3" t="n"/>
      <c r="AU793" s="3" t="n"/>
    </row>
    <row r="794">
      <c r="A794" s="3" t="n">
        <v>2031</v>
      </c>
      <c r="B794" s="3" t="inlineStr">
        <is>
          <t>DOM</t>
        </is>
      </c>
      <c r="C794" s="3" t="inlineStr">
        <is>
          <t>IMF.RES:WEO</t>
        </is>
      </c>
      <c r="D794" s="3" t="inlineStr">
        <is>
          <t>DOM.NGDP.A</t>
        </is>
      </c>
      <c r="E794" s="3" t="inlineStr">
        <is>
          <t>Dominican Republic</t>
        </is>
      </c>
      <c r="F794" s="3" t="inlineStr">
        <is>
          <t>Gross domestic product (GDP), Current prices, Domestic currency</t>
        </is>
      </c>
      <c r="G794" s="3" t="n">
        <v>393.302968</v>
      </c>
      <c r="H794" s="3" t="n">
        <v>427.319066</v>
      </c>
      <c r="I794" s="3" t="n">
        <v>477.43019</v>
      </c>
      <c r="J794" s="3" t="n">
        <v>628.61104</v>
      </c>
      <c r="K794" s="3" t="n">
        <v>935.984735</v>
      </c>
      <c r="L794" s="3" t="n">
        <v>1083.445001</v>
      </c>
      <c r="M794" s="3" t="n">
        <v>1261.399668</v>
      </c>
      <c r="N794" s="3" t="n">
        <v>1458.416518</v>
      </c>
      <c r="O794" s="3" t="n">
        <v>1660.56647</v>
      </c>
      <c r="P794" s="3" t="n">
        <v>1734.699405</v>
      </c>
      <c r="Q794" s="3" t="n">
        <v>1981.024295</v>
      </c>
      <c r="R794" s="3" t="n">
        <v>2207.10934</v>
      </c>
      <c r="S794" s="3" t="n">
        <v>2381.301739</v>
      </c>
      <c r="T794" s="3" t="n">
        <v>2614.472581</v>
      </c>
      <c r="U794" s="3" t="n">
        <v>2918.452119</v>
      </c>
      <c r="V794" s="3" t="n">
        <v>3196.734133</v>
      </c>
      <c r="W794" s="3" t="n">
        <v>3480.302453</v>
      </c>
      <c r="X794" s="3" t="n">
        <v>3758.554747</v>
      </c>
      <c r="Y794" s="3" t="n">
        <v>4208.088589</v>
      </c>
      <c r="Z794" s="3" t="n">
        <v>4572.738118</v>
      </c>
      <c r="AA794" s="3" t="n">
        <v>4439.813977</v>
      </c>
      <c r="AB794" s="3" t="n">
        <v>5427.464119</v>
      </c>
      <c r="AC794" s="3" t="n">
        <v>6257.295203</v>
      </c>
      <c r="AD794" s="3" t="n">
        <v>6764.533296</v>
      </c>
      <c r="AE794" s="3" t="n">
        <v>7402.888491</v>
      </c>
      <c r="AF794" s="3" t="n">
        <v>7897.551289</v>
      </c>
      <c r="AG794" s="3" t="n">
        <v>8606.669228000001</v>
      </c>
      <c r="AH794" s="3" t="n">
        <v>9395.963476999999</v>
      </c>
      <c r="AI794" s="3" t="n">
        <v>10231.448261</v>
      </c>
      <c r="AJ794" s="3" t="n">
        <v>11154.522314</v>
      </c>
      <c r="AK794" s="3" t="n">
        <v>12177.694208</v>
      </c>
      <c r="AL794" s="3" t="n">
        <v>13302.919903</v>
      </c>
      <c r="AM794" s="3" t="n"/>
      <c r="AN794" s="3" t="n"/>
      <c r="AO794" s="3" t="n"/>
      <c r="AP794" s="3" t="n"/>
      <c r="AQ794" s="3" t="n"/>
      <c r="AR794" s="3" t="n"/>
      <c r="AS794" s="3" t="n"/>
      <c r="AT794" s="3" t="n"/>
      <c r="AU794" s="3" t="n"/>
    </row>
    <row r="795">
      <c r="A795" s="3" t="n">
        <v>2031</v>
      </c>
      <c r="B795" s="3" t="inlineStr">
        <is>
          <t>DOM</t>
        </is>
      </c>
      <c r="C795" s="3" t="inlineStr">
        <is>
          <t>IMF.RES:WEO</t>
        </is>
      </c>
      <c r="D795" s="3" t="inlineStr">
        <is>
          <t>DOM.NGDP_D.A</t>
        </is>
      </c>
      <c r="E795" s="3" t="inlineStr">
        <is>
          <t>Dominican Republic</t>
        </is>
      </c>
      <c r="F795" s="3" t="inlineStr">
        <is>
          <t>Gross domestic product (GDP), Price deflator, Index</t>
        </is>
      </c>
      <c r="G795" s="3" t="n">
        <v>22.261524</v>
      </c>
      <c r="H795" s="3" t="n">
        <v>23.604015</v>
      </c>
      <c r="I795" s="3" t="n">
        <v>25.239648</v>
      </c>
      <c r="J795" s="3" t="n">
        <v>33.686469</v>
      </c>
      <c r="K795" s="3" t="n">
        <v>48.894048</v>
      </c>
      <c r="L795" s="3" t="n">
        <v>51.719057</v>
      </c>
      <c r="M795" s="3" t="n">
        <v>55.155437</v>
      </c>
      <c r="N795" s="3" t="n">
        <v>59.366096</v>
      </c>
      <c r="O795" s="3" t="n">
        <v>65.455637</v>
      </c>
      <c r="P795" s="3" t="n">
        <v>67.69846099999999</v>
      </c>
      <c r="Q795" s="3" t="n">
        <v>71.319862</v>
      </c>
      <c r="R795" s="3" t="n">
        <v>77.001409</v>
      </c>
      <c r="S795" s="3" t="n">
        <v>80.83490500000001</v>
      </c>
      <c r="T795" s="3" t="n">
        <v>84.576427</v>
      </c>
      <c r="U795" s="3" t="n">
        <v>88.14198399999999</v>
      </c>
      <c r="V795" s="3" t="n">
        <v>90.240786</v>
      </c>
      <c r="W795" s="3" t="n">
        <v>92.059493</v>
      </c>
      <c r="X795" s="3" t="n">
        <v>95.65670299999999</v>
      </c>
      <c r="Y795" s="3" t="n">
        <v>100</v>
      </c>
      <c r="Z795" s="3" t="n">
        <v>103.595451</v>
      </c>
      <c r="AA795" s="3" t="n">
        <v>109.246244</v>
      </c>
      <c r="AB795" s="3" t="n">
        <v>117.134952</v>
      </c>
      <c r="AC795" s="3" t="n">
        <v>128.322786</v>
      </c>
      <c r="AD795" s="3" t="n">
        <v>135.749053</v>
      </c>
      <c r="AE795" s="3" t="n">
        <v>141.547468</v>
      </c>
      <c r="AF795" s="3" t="n">
        <v>147.874979</v>
      </c>
      <c r="AG795" s="3" t="n">
        <v>155.373244</v>
      </c>
      <c r="AH795" s="3" t="n">
        <v>162.478621</v>
      </c>
      <c r="AI795" s="3" t="n">
        <v>169.013911</v>
      </c>
      <c r="AJ795" s="3" t="n">
        <v>175.728189</v>
      </c>
      <c r="AK795" s="3" t="n">
        <v>182.794563</v>
      </c>
      <c r="AL795" s="3" t="n">
        <v>190.169125</v>
      </c>
      <c r="AM795" s="3" t="n"/>
      <c r="AN795" s="3" t="n"/>
      <c r="AO795" s="3" t="n"/>
      <c r="AP795" s="3" t="n"/>
      <c r="AQ795" s="3" t="n"/>
      <c r="AR795" s="3" t="n"/>
      <c r="AS795" s="3" t="n"/>
      <c r="AT795" s="3" t="n"/>
      <c r="AU795" s="3" t="n"/>
    </row>
    <row r="796">
      <c r="A796" s="3" t="n">
        <v>2031</v>
      </c>
      <c r="B796" s="3" t="inlineStr">
        <is>
          <t>DOM</t>
        </is>
      </c>
      <c r="C796" s="3" t="inlineStr">
        <is>
          <t>IMF.RES:WEO</t>
        </is>
      </c>
      <c r="D796" s="3" t="inlineStr">
        <is>
          <t>DOM.NGDP_R.A</t>
        </is>
      </c>
      <c r="E796" s="3" t="inlineStr">
        <is>
          <t>Dominican Republic</t>
        </is>
      </c>
      <c r="F796" s="3" t="inlineStr">
        <is>
          <t>Gross domestic product (GDP), Constant prices, Domestic currency</t>
        </is>
      </c>
      <c r="G796" s="3" t="n">
        <v>1766.738715</v>
      </c>
      <c r="H796" s="3" t="n">
        <v>1810.366035</v>
      </c>
      <c r="I796" s="3" t="n">
        <v>1891.588173</v>
      </c>
      <c r="J796" s="3" t="n">
        <v>1866.063887</v>
      </c>
      <c r="K796" s="3" t="n">
        <v>1914.312214</v>
      </c>
      <c r="L796" s="3" t="n">
        <v>2094.866108</v>
      </c>
      <c r="M796" s="3" t="n">
        <v>2286.990605</v>
      </c>
      <c r="N796" s="3" t="n">
        <v>2456.648848</v>
      </c>
      <c r="O796" s="3" t="n">
        <v>2536.934263</v>
      </c>
      <c r="P796" s="3" t="n">
        <v>2562.391204</v>
      </c>
      <c r="Q796" s="3" t="n">
        <v>2777.661415</v>
      </c>
      <c r="R796" s="3" t="n">
        <v>2866.32332</v>
      </c>
      <c r="S796" s="3" t="n">
        <v>2945.883025</v>
      </c>
      <c r="T796" s="3" t="n">
        <v>3091.254487</v>
      </c>
      <c r="U796" s="3" t="n">
        <v>3311.080589</v>
      </c>
      <c r="V796" s="3" t="n">
        <v>3542.449342</v>
      </c>
      <c r="W796" s="3" t="n">
        <v>3780.492755</v>
      </c>
      <c r="X796" s="3" t="n">
        <v>3929.212114</v>
      </c>
      <c r="Y796" s="3" t="n">
        <v>4208.088589</v>
      </c>
      <c r="Z796" s="3" t="n">
        <v>4414.033712</v>
      </c>
      <c r="AA796" s="3" t="n">
        <v>4064.042668</v>
      </c>
      <c r="AB796" s="3" t="n">
        <v>4633.513758</v>
      </c>
      <c r="AC796" s="3" t="n">
        <v>4876.215194</v>
      </c>
      <c r="AD796" s="3" t="n">
        <v>4983.116386</v>
      </c>
      <c r="AE796" s="3" t="n">
        <v>5229.968841</v>
      </c>
      <c r="AF796" s="3" t="n">
        <v>5340.694783</v>
      </c>
      <c r="AG796" s="3" t="n">
        <v>5539.350931</v>
      </c>
      <c r="AH796" s="3" t="n">
        <v>5782.89219</v>
      </c>
      <c r="AI796" s="3" t="n">
        <v>6053.6131</v>
      </c>
      <c r="AJ796" s="3" t="n">
        <v>6347.599882</v>
      </c>
      <c r="AK796" s="3" t="n">
        <v>6661.956482</v>
      </c>
      <c r="AL796" s="3" t="n">
        <v>6995.310058</v>
      </c>
      <c r="AM796" s="3" t="n"/>
      <c r="AN796" s="3" t="n"/>
      <c r="AO796" s="3" t="n"/>
      <c r="AP796" s="3" t="n"/>
      <c r="AQ796" s="3" t="n"/>
      <c r="AR796" s="3" t="n"/>
      <c r="AS796" s="3" t="n"/>
      <c r="AT796" s="3" t="n"/>
      <c r="AU796" s="3" t="n"/>
    </row>
    <row r="797">
      <c r="A797" s="3" t="n">
        <v>2031</v>
      </c>
      <c r="B797" s="3" t="inlineStr">
        <is>
          <t>DOM</t>
        </is>
      </c>
      <c r="C797" s="3" t="inlineStr">
        <is>
          <t>IMF.RES:WEO</t>
        </is>
      </c>
      <c r="D797" s="3" t="inlineStr">
        <is>
          <t>DOM.NGDP_RPCH.A</t>
        </is>
      </c>
      <c r="E797" s="3" t="inlineStr">
        <is>
          <t>Dominican Republic</t>
        </is>
      </c>
      <c r="F797" s="3" t="inlineStr">
        <is>
          <t>Gross domestic product (GDP), Constant prices, Percent change</t>
        </is>
      </c>
      <c r="G797" s="3" t="n">
        <v>4.651726</v>
      </c>
      <c r="H797" s="3" t="n">
        <v>2.46937</v>
      </c>
      <c r="I797" s="3" t="n">
        <v>4.486504</v>
      </c>
      <c r="J797" s="3" t="n">
        <v>-1.349357</v>
      </c>
      <c r="K797" s="3" t="n">
        <v>2.585567</v>
      </c>
      <c r="L797" s="3" t="n">
        <v>9.431789</v>
      </c>
      <c r="M797" s="3" t="n">
        <v>9.171207000000001</v>
      </c>
      <c r="N797" s="3" t="n">
        <v>7.418406</v>
      </c>
      <c r="O797" s="3" t="n">
        <v>3.268087</v>
      </c>
      <c r="P797" s="3" t="n">
        <v>1.003453</v>
      </c>
      <c r="Q797" s="3" t="n">
        <v>8.401145</v>
      </c>
      <c r="R797" s="3" t="n">
        <v>3.191962</v>
      </c>
      <c r="S797" s="3" t="n">
        <v>2.775671</v>
      </c>
      <c r="T797" s="3" t="n">
        <v>4.934733</v>
      </c>
      <c r="U797" s="3" t="n">
        <v>7.111226</v>
      </c>
      <c r="V797" s="3" t="n">
        <v>6.987711</v>
      </c>
      <c r="W797" s="3" t="n">
        <v>6.719741</v>
      </c>
      <c r="X797" s="3" t="n">
        <v>3.933862</v>
      </c>
      <c r="Y797" s="3" t="n">
        <v>7.097516</v>
      </c>
      <c r="Z797" s="3" t="n">
        <v>4.89403</v>
      </c>
      <c r="AA797" s="3" t="n">
        <v>-7.929052</v>
      </c>
      <c r="AB797" s="3" t="n">
        <v>14.012429</v>
      </c>
      <c r="AC797" s="3" t="n">
        <v>5.237957</v>
      </c>
      <c r="AD797" s="3" t="n">
        <v>2.192298</v>
      </c>
      <c r="AE797" s="3" t="n">
        <v>4.953777</v>
      </c>
      <c r="AF797" s="3" t="n">
        <v>2.117143</v>
      </c>
      <c r="AG797" s="3" t="n">
        <v>3.719669</v>
      </c>
      <c r="AH797" s="3" t="n">
        <v>4.396567</v>
      </c>
      <c r="AI797" s="3" t="n">
        <v>4.68141</v>
      </c>
      <c r="AJ797" s="3" t="n">
        <v>4.856385</v>
      </c>
      <c r="AK797" s="3" t="n">
        <v>4.952369</v>
      </c>
      <c r="AL797" s="3" t="n">
        <v>5.003839</v>
      </c>
      <c r="AM797" s="3" t="n"/>
      <c r="AN797" s="3" t="n"/>
      <c r="AO797" s="3" t="n"/>
      <c r="AP797" s="3" t="n"/>
      <c r="AQ797" s="3" t="n"/>
      <c r="AR797" s="3" t="n"/>
      <c r="AS797" s="3" t="n"/>
      <c r="AT797" s="3" t="n"/>
      <c r="AU797" s="3" t="n"/>
    </row>
    <row r="798">
      <c r="A798" s="3" t="n">
        <v>2031</v>
      </c>
      <c r="B798" s="3" t="inlineStr">
        <is>
          <t>DOM</t>
        </is>
      </c>
      <c r="C798" s="3" t="inlineStr">
        <is>
          <t>IMF.RES:WEO</t>
        </is>
      </c>
      <c r="D798" s="3" t="inlineStr">
        <is>
          <t>DOM.NGDPD.A</t>
        </is>
      </c>
      <c r="E798" s="3" t="inlineStr">
        <is>
          <t>Dominican Republic</t>
        </is>
      </c>
      <c r="F798" s="3" t="inlineStr">
        <is>
          <t>Gross domestic product (GDP), Current prices, US dollar</t>
        </is>
      </c>
      <c r="G798" s="3" t="n">
        <v>24.305781</v>
      </c>
      <c r="H798" s="3" t="n">
        <v>25.601824</v>
      </c>
      <c r="I798" s="3" t="n">
        <v>27.249064</v>
      </c>
      <c r="J798" s="3" t="n">
        <v>21.517754</v>
      </c>
      <c r="K798" s="3" t="n">
        <v>22.505947</v>
      </c>
      <c r="L798" s="3" t="n">
        <v>35.947514</v>
      </c>
      <c r="M798" s="3" t="n">
        <v>37.99775</v>
      </c>
      <c r="N798" s="3" t="n">
        <v>44.06734</v>
      </c>
      <c r="O798" s="3" t="n">
        <v>48.174447</v>
      </c>
      <c r="P798" s="3" t="n">
        <v>48.281433</v>
      </c>
      <c r="Q798" s="3" t="n">
        <v>53.86226</v>
      </c>
      <c r="R798" s="3" t="n">
        <v>58.006139</v>
      </c>
      <c r="S798" s="3" t="n">
        <v>60.62671</v>
      </c>
      <c r="T798" s="3" t="n">
        <v>62.631393</v>
      </c>
      <c r="U798" s="3" t="n">
        <v>67.09783</v>
      </c>
      <c r="V798" s="3" t="n">
        <v>71.055725</v>
      </c>
      <c r="W798" s="3" t="n">
        <v>75.625227</v>
      </c>
      <c r="X798" s="3" t="n">
        <v>79.15289</v>
      </c>
      <c r="Y798" s="3" t="n">
        <v>85.068403</v>
      </c>
      <c r="Z798" s="3" t="n">
        <v>89.236586</v>
      </c>
      <c r="AA798" s="3" t="n">
        <v>78.62455199999999</v>
      </c>
      <c r="AB798" s="3" t="n">
        <v>95.06665099999999</v>
      </c>
      <c r="AC798" s="3" t="n">
        <v>113.81319</v>
      </c>
      <c r="AD798" s="3" t="n">
        <v>120.793836</v>
      </c>
      <c r="AE798" s="3" t="n">
        <v>124.612989</v>
      </c>
      <c r="AF798" s="3" t="n">
        <v>127.895053</v>
      </c>
      <c r="AG798" s="3" t="n">
        <v>136.14753</v>
      </c>
      <c r="AH798" s="3" t="n">
        <v>144.243479</v>
      </c>
      <c r="AI798" s="3" t="n">
        <v>154.410983</v>
      </c>
      <c r="AJ798" s="3" t="n">
        <v>165.495475</v>
      </c>
      <c r="AK798" s="3" t="n">
        <v>177.434562</v>
      </c>
      <c r="AL798" s="3" t="n">
        <v>190.474071</v>
      </c>
      <c r="AM798" s="3" t="n"/>
      <c r="AN798" s="3" t="n"/>
      <c r="AO798" s="3" t="n"/>
      <c r="AP798" s="3" t="n"/>
      <c r="AQ798" s="3" t="n"/>
      <c r="AR798" s="3" t="n"/>
      <c r="AS798" s="3" t="n"/>
      <c r="AT798" s="3" t="n"/>
      <c r="AU798" s="3" t="n"/>
    </row>
    <row r="799">
      <c r="A799" s="3" t="n">
        <v>2031</v>
      </c>
      <c r="B799" s="3" t="inlineStr">
        <is>
          <t>DOM</t>
        </is>
      </c>
      <c r="C799" s="3" t="inlineStr">
        <is>
          <t>IMF.RES:WEO</t>
        </is>
      </c>
      <c r="D799" s="3" t="inlineStr">
        <is>
          <t>DOM.NGDPPC.A</t>
        </is>
      </c>
      <c r="E799" s="3" t="inlineStr">
        <is>
          <t>Dominican Republic</t>
        </is>
      </c>
      <c r="F799" s="3" t="inlineStr">
        <is>
          <t>Gross domestic product (GDP), Current prices, Per capita, Domestic currency</t>
        </is>
      </c>
      <c r="G799" s="3" t="n">
        <v>46834.036859</v>
      </c>
      <c r="H799" s="3" t="n">
        <v>50196.084474</v>
      </c>
      <c r="I799" s="3" t="n">
        <v>55338.12712</v>
      </c>
      <c r="J799" s="3" t="n">
        <v>71881.646846</v>
      </c>
      <c r="K799" s="3" t="n">
        <v>105669.669256</v>
      </c>
      <c r="L799" s="3" t="n">
        <v>120810.39297</v>
      </c>
      <c r="M799" s="3" t="n">
        <v>139051.480767</v>
      </c>
      <c r="N799" s="3" t="n">
        <v>158971.80049</v>
      </c>
      <c r="O799" s="3" t="n">
        <v>178948.027104</v>
      </c>
      <c r="P799" s="3" t="n">
        <v>184932.973936</v>
      </c>
      <c r="Q799" s="3" t="n">
        <v>208999.407869</v>
      </c>
      <c r="R799" s="3" t="n">
        <v>230383.853503</v>
      </c>
      <c r="S799" s="3" t="n">
        <v>245977.775055</v>
      </c>
      <c r="T799" s="3" t="n">
        <v>267200.621874</v>
      </c>
      <c r="U799" s="3" t="n">
        <v>295285.703713</v>
      </c>
      <c r="V799" s="3" t="n">
        <v>320306.242385</v>
      </c>
      <c r="W799" s="3" t="n">
        <v>345437.906482</v>
      </c>
      <c r="X799" s="3" t="n">
        <v>369602.82969</v>
      </c>
      <c r="Y799" s="3" t="n">
        <v>409899.426627</v>
      </c>
      <c r="Z799" s="3" t="n">
        <v>441455.575591</v>
      </c>
      <c r="AA799" s="3" t="n">
        <v>424923.615969</v>
      </c>
      <c r="AB799" s="3" t="n">
        <v>515157.903131</v>
      </c>
      <c r="AC799" s="3" t="n">
        <v>589091.6707209999</v>
      </c>
      <c r="AD799" s="3" t="n">
        <v>631665.138238</v>
      </c>
      <c r="AE799" s="3" t="n">
        <v>685650.9936629999</v>
      </c>
      <c r="AF799" s="3" t="n">
        <v>725516.325141</v>
      </c>
      <c r="AG799" s="3" t="n">
        <v>784228.603824</v>
      </c>
      <c r="AH799" s="3" t="n">
        <v>849183.834726</v>
      </c>
      <c r="AI799" s="3" t="n">
        <v>917171.0601229999</v>
      </c>
      <c r="AJ799" s="3" t="n">
        <v>991783.865999</v>
      </c>
      <c r="AK799" s="3" t="n">
        <v>1073949.744155</v>
      </c>
      <c r="AL799" s="3" t="n">
        <v>1163640.163828</v>
      </c>
      <c r="AM799" s="3" t="n"/>
      <c r="AN799" s="3" t="n"/>
      <c r="AO799" s="3" t="n"/>
      <c r="AP799" s="3" t="n"/>
      <c r="AQ799" s="3" t="n"/>
      <c r="AR799" s="3" t="n"/>
      <c r="AS799" s="3" t="n"/>
      <c r="AT799" s="3" t="n"/>
      <c r="AU799" s="3" t="n"/>
    </row>
    <row r="800">
      <c r="A800" s="3" t="n">
        <v>2031</v>
      </c>
      <c r="B800" s="3" t="inlineStr">
        <is>
          <t>DOM</t>
        </is>
      </c>
      <c r="C800" s="3" t="inlineStr">
        <is>
          <t>IMF.RES:WEO</t>
        </is>
      </c>
      <c r="D800" s="3" t="inlineStr">
        <is>
          <t>DOM.NGDPRPC.A</t>
        </is>
      </c>
      <c r="E800" s="3" t="inlineStr">
        <is>
          <t>Dominican Republic</t>
        </is>
      </c>
      <c r="F800" s="3" t="inlineStr">
        <is>
          <t>Gross domestic product (GDP), Constant prices, Per capita, Domestic currency</t>
        </is>
      </c>
      <c r="G800" s="3" t="n">
        <v>210381.087191</v>
      </c>
      <c r="H800" s="3" t="n">
        <v>212659.096143</v>
      </c>
      <c r="I800" s="3" t="n">
        <v>219250.791097</v>
      </c>
      <c r="J800" s="3" t="n">
        <v>213384.329698</v>
      </c>
      <c r="K800" s="3" t="n">
        <v>216119.698313</v>
      </c>
      <c r="L800" s="3" t="n">
        <v>233589.704675</v>
      </c>
      <c r="M800" s="3" t="n">
        <v>252108.382724</v>
      </c>
      <c r="N800" s="3" t="n">
        <v>267782.136157</v>
      </c>
      <c r="O800" s="3" t="n">
        <v>273388.262031</v>
      </c>
      <c r="P800" s="3" t="n">
        <v>273171.607909</v>
      </c>
      <c r="Q800" s="3" t="n">
        <v>293045.164782</v>
      </c>
      <c r="R800" s="3" t="n">
        <v>299194.335267</v>
      </c>
      <c r="S800" s="3" t="n">
        <v>304296.486345</v>
      </c>
      <c r="T800" s="3" t="n">
        <v>315928.010652</v>
      </c>
      <c r="U800" s="3" t="n">
        <v>335011.410881</v>
      </c>
      <c r="V800" s="3" t="n">
        <v>354946.201433</v>
      </c>
      <c r="W800" s="3" t="n">
        <v>375233.33697</v>
      </c>
      <c r="X800" s="3" t="n">
        <v>386384.664798</v>
      </c>
      <c r="Y800" s="3" t="n">
        <v>409899.426627</v>
      </c>
      <c r="Z800" s="3" t="n">
        <v>426134.132913</v>
      </c>
      <c r="AA800" s="3" t="n">
        <v>388959.473333</v>
      </c>
      <c r="AB800" s="3" t="n">
        <v>439798.62036</v>
      </c>
      <c r="AC800" s="3" t="n">
        <v>459070.199258</v>
      </c>
      <c r="AD800" s="3" t="n">
        <v>465318.265588</v>
      </c>
      <c r="AE800" s="3" t="n">
        <v>484396.50778</v>
      </c>
      <c r="AF800" s="3" t="n">
        <v>490628.184708</v>
      </c>
      <c r="AG800" s="3" t="n">
        <v>504738.515193</v>
      </c>
      <c r="AH800" s="3" t="n">
        <v>522643.428542</v>
      </c>
      <c r="AI800" s="3" t="n">
        <v>542660.100748</v>
      </c>
      <c r="AJ800" s="3" t="n">
        <v>564385.185984</v>
      </c>
      <c r="AK800" s="3" t="n">
        <v>587517.335971</v>
      </c>
      <c r="AL800" s="3" t="n">
        <v>611897.523327</v>
      </c>
      <c r="AM800" s="3" t="n"/>
      <c r="AN800" s="3" t="n"/>
      <c r="AO800" s="3" t="n"/>
      <c r="AP800" s="3" t="n"/>
      <c r="AQ800" s="3" t="n"/>
      <c r="AR800" s="3" t="n"/>
      <c r="AS800" s="3" t="n"/>
      <c r="AT800" s="3" t="n"/>
      <c r="AU800" s="3" t="n"/>
    </row>
    <row r="801">
      <c r="A801" s="3" t="n">
        <v>2031</v>
      </c>
      <c r="B801" s="3" t="inlineStr">
        <is>
          <t>DOM</t>
        </is>
      </c>
      <c r="C801" s="3" t="inlineStr">
        <is>
          <t>IMF.RES:WEO</t>
        </is>
      </c>
      <c r="D801" s="3" t="inlineStr">
        <is>
          <t>DOM.PCPI.A</t>
        </is>
      </c>
      <c r="E801" s="3" t="inlineStr">
        <is>
          <t>Dominican Republic</t>
        </is>
      </c>
      <c r="F801" s="3" t="inlineStr">
        <is>
          <t>All Items, Consumer price index (CPI), Period average</t>
        </is>
      </c>
      <c r="G801" s="3" t="n">
        <v>22.816909</v>
      </c>
      <c r="H801" s="3" t="n">
        <v>24.84394</v>
      </c>
      <c r="I801" s="3" t="n">
        <v>26.141631</v>
      </c>
      <c r="J801" s="3" t="n">
        <v>33.317433</v>
      </c>
      <c r="K801" s="3" t="n">
        <v>50.462871</v>
      </c>
      <c r="L801" s="3" t="n">
        <v>52.577367</v>
      </c>
      <c r="M801" s="3" t="n">
        <v>56.558949</v>
      </c>
      <c r="N801" s="3" t="n">
        <v>60.033755</v>
      </c>
      <c r="O801" s="3" t="n">
        <v>66.42404399999999</v>
      </c>
      <c r="P801" s="3" t="n">
        <v>67.381979</v>
      </c>
      <c r="Q801" s="3" t="n">
        <v>71.64721299999999</v>
      </c>
      <c r="R801" s="3" t="n">
        <v>77.70815</v>
      </c>
      <c r="S801" s="3" t="n">
        <v>80.579075</v>
      </c>
      <c r="T801" s="3" t="n">
        <v>84.471811</v>
      </c>
      <c r="U801" s="3" t="n">
        <v>87.004818</v>
      </c>
      <c r="V801" s="3" t="n">
        <v>87.732828</v>
      </c>
      <c r="W801" s="3" t="n">
        <v>89.14898100000001</v>
      </c>
      <c r="X801" s="3" t="n">
        <v>92.07267299999999</v>
      </c>
      <c r="Y801" s="3" t="n">
        <v>95.35454300000001</v>
      </c>
      <c r="Z801" s="3" t="n">
        <v>97.081036</v>
      </c>
      <c r="AA801" s="3" t="n">
        <v>100.7517</v>
      </c>
      <c r="AB801" s="3" t="n">
        <v>109.05625</v>
      </c>
      <c r="AC801" s="3" t="n">
        <v>118.665829</v>
      </c>
      <c r="AD801" s="3" t="n">
        <v>124.345075</v>
      </c>
      <c r="AE801" s="3" t="n">
        <v>128.450773</v>
      </c>
      <c r="AF801" s="3" t="n">
        <v>133.425873</v>
      </c>
      <c r="AG801" s="3" t="n">
        <v>140.19147</v>
      </c>
      <c r="AH801" s="3" t="n">
        <v>146.462377</v>
      </c>
      <c r="AI801" s="3" t="n">
        <v>152.353455</v>
      </c>
      <c r="AJ801" s="3" t="n">
        <v>158.405876</v>
      </c>
      <c r="AK801" s="3" t="n">
        <v>164.775686</v>
      </c>
      <c r="AL801" s="3" t="n">
        <v>171.423304</v>
      </c>
      <c r="AM801" s="3" t="n"/>
      <c r="AN801" s="3" t="n"/>
      <c r="AO801" s="3" t="n"/>
      <c r="AP801" s="3" t="n"/>
      <c r="AQ801" s="3" t="n"/>
      <c r="AR801" s="3" t="n"/>
      <c r="AS801" s="3" t="n"/>
      <c r="AT801" s="3" t="n"/>
      <c r="AU801" s="3" t="n"/>
    </row>
    <row r="802">
      <c r="A802" s="3" t="n">
        <v>2031</v>
      </c>
      <c r="B802" s="3" t="inlineStr">
        <is>
          <t>DOM</t>
        </is>
      </c>
      <c r="C802" s="3" t="inlineStr">
        <is>
          <t>IMF.RES:WEO</t>
        </is>
      </c>
      <c r="D802" s="3" t="inlineStr">
        <is>
          <t>DOM.PCPIPCH.A</t>
        </is>
      </c>
      <c r="E802" s="3" t="inlineStr">
        <is>
          <t>Dominican Republic</t>
        </is>
      </c>
      <c r="F802" s="3" t="inlineStr">
        <is>
          <t>All Items, Consumer price index (CPI), Period average, percent change</t>
        </is>
      </c>
      <c r="G802" s="3" t="n">
        <v>7.723313</v>
      </c>
      <c r="H802" s="3" t="n">
        <v>8.883900000000001</v>
      </c>
      <c r="I802" s="3" t="n">
        <v>5.223368</v>
      </c>
      <c r="J802" s="3" t="n">
        <v>27.449713</v>
      </c>
      <c r="K802" s="3" t="n">
        <v>51.46086</v>
      </c>
      <c r="L802" s="3" t="n">
        <v>4.190203</v>
      </c>
      <c r="M802" s="3" t="n">
        <v>7.572805</v>
      </c>
      <c r="N802" s="3" t="n">
        <v>6.14369</v>
      </c>
      <c r="O802" s="3" t="n">
        <v>10.644493</v>
      </c>
      <c r="P802" s="3" t="n">
        <v>1.442151</v>
      </c>
      <c r="Q802" s="3" t="n">
        <v>6.329932</v>
      </c>
      <c r="R802" s="3" t="n">
        <v>8.459417999999999</v>
      </c>
      <c r="S802" s="3" t="n">
        <v>3.694497</v>
      </c>
      <c r="T802" s="3" t="n">
        <v>4.830951</v>
      </c>
      <c r="U802" s="3" t="n">
        <v>2.998642</v>
      </c>
      <c r="V802" s="3" t="n">
        <v>0.836746</v>
      </c>
      <c r="W802" s="3" t="n">
        <v>1.614166</v>
      </c>
      <c r="X802" s="3" t="n">
        <v>3.279557</v>
      </c>
      <c r="Y802" s="3" t="n">
        <v>3.564434</v>
      </c>
      <c r="Z802" s="3" t="n">
        <v>1.810604</v>
      </c>
      <c r="AA802" s="3" t="n">
        <v>3.781032</v>
      </c>
      <c r="AB802" s="3" t="n">
        <v>8.24259</v>
      </c>
      <c r="AC802" s="3" t="n">
        <v>8.811579999999999</v>
      </c>
      <c r="AD802" s="3" t="n">
        <v>4.785915</v>
      </c>
      <c r="AE802" s="3" t="n">
        <v>3.301858</v>
      </c>
      <c r="AF802" s="3" t="n">
        <v>3.873157</v>
      </c>
      <c r="AG802" s="3" t="n">
        <v>5.070679</v>
      </c>
      <c r="AH802" s="3" t="n">
        <v>4.473102</v>
      </c>
      <c r="AI802" s="3" t="n">
        <v>4.022246</v>
      </c>
      <c r="AJ802" s="3" t="n">
        <v>3.972618</v>
      </c>
      <c r="AK802" s="3" t="n">
        <v>4.021195</v>
      </c>
      <c r="AL802" s="3" t="n">
        <v>4.034344</v>
      </c>
      <c r="AM802" s="3" t="n"/>
      <c r="AN802" s="3" t="n"/>
      <c r="AO802" s="3" t="n"/>
      <c r="AP802" s="3" t="n"/>
      <c r="AQ802" s="3" t="n"/>
      <c r="AR802" s="3" t="n"/>
      <c r="AS802" s="3" t="n"/>
      <c r="AT802" s="3" t="n"/>
      <c r="AU802" s="3" t="n"/>
    </row>
    <row r="803">
      <c r="A803" s="3" t="n">
        <v>2031</v>
      </c>
      <c r="B803" s="3" t="inlineStr">
        <is>
          <t>DOM</t>
        </is>
      </c>
      <c r="C803" s="3" t="inlineStr">
        <is>
          <t>IMF.RES:WEO</t>
        </is>
      </c>
      <c r="D803" s="3" t="inlineStr">
        <is>
          <t>DOM.PPPPC.A</t>
        </is>
      </c>
      <c r="E803" s="3" t="inlineStr">
        <is>
          <t>Dominican Republic</t>
        </is>
      </c>
      <c r="F803" s="3" t="inlineStr">
        <is>
          <t>Gross domestic product (GDP), Per capita, purchasing power parity (PPP) international dollar, ICP benchmarks 2017-2021</t>
        </is>
      </c>
      <c r="G803" s="3" t="n">
        <v>6996.916907</v>
      </c>
      <c r="H803" s="3" t="n">
        <v>7231.929502</v>
      </c>
      <c r="I803" s="3" t="n">
        <v>7571.964625</v>
      </c>
      <c r="J803" s="3" t="n">
        <v>7514.849787</v>
      </c>
      <c r="K803" s="3" t="n">
        <v>7815.83812</v>
      </c>
      <c r="L803" s="3" t="n">
        <v>8712.532885000001</v>
      </c>
      <c r="M803" s="3" t="n">
        <v>9693.235966</v>
      </c>
      <c r="N803" s="3" t="n">
        <v>10574.814143</v>
      </c>
      <c r="O803" s="3" t="n">
        <v>11004.18135</v>
      </c>
      <c r="P803" s="3" t="n">
        <v>11063.274399</v>
      </c>
      <c r="Q803" s="3" t="n">
        <v>12012.383033</v>
      </c>
      <c r="R803" s="3" t="n">
        <v>12517.493228</v>
      </c>
      <c r="S803" s="3" t="n">
        <v>12967.995341</v>
      </c>
      <c r="T803" s="3" t="n">
        <v>13692.840694</v>
      </c>
      <c r="U803" s="3" t="n">
        <v>14772.842781</v>
      </c>
      <c r="V803" s="3" t="n">
        <v>15797.155937</v>
      </c>
      <c r="W803" s="3" t="n">
        <v>16858.738453</v>
      </c>
      <c r="X803" s="3" t="n">
        <v>17670.646901</v>
      </c>
      <c r="Y803" s="3" t="n">
        <v>18899.131505</v>
      </c>
      <c r="Z803" s="3" t="n">
        <v>20789.082067</v>
      </c>
      <c r="AA803" s="3" t="n">
        <v>20016.182476</v>
      </c>
      <c r="AB803" s="3" t="n">
        <v>23284.163714</v>
      </c>
      <c r="AC803" s="3" t="n">
        <v>26033.088221</v>
      </c>
      <c r="AD803" s="3" t="n">
        <v>27363.748213</v>
      </c>
      <c r="AE803" s="3" t="n">
        <v>29192.84286</v>
      </c>
      <c r="AF803" s="3" t="n">
        <v>30407.190294</v>
      </c>
      <c r="AG803" s="3" t="n">
        <v>32177.866481</v>
      </c>
      <c r="AH803" s="3" t="n">
        <v>34050.992496</v>
      </c>
      <c r="AI803" s="3" t="n">
        <v>35935.423695</v>
      </c>
      <c r="AJ803" s="3" t="n">
        <v>38038.6294</v>
      </c>
      <c r="AK803" s="3" t="n">
        <v>40325.316435</v>
      </c>
      <c r="AL803" s="3" t="n">
        <v>42756.897939</v>
      </c>
      <c r="AM803" s="3" t="n"/>
      <c r="AN803" s="3" t="n"/>
      <c r="AO803" s="3" t="n"/>
      <c r="AP803" s="3" t="n"/>
      <c r="AQ803" s="3" t="n"/>
      <c r="AR803" s="3" t="n"/>
      <c r="AS803" s="3" t="n"/>
      <c r="AT803" s="3" t="n"/>
      <c r="AU803" s="3" t="n"/>
    </row>
    <row r="804">
      <c r="A804" s="3" t="n">
        <v>2025</v>
      </c>
      <c r="B804" s="3" t="inlineStr">
        <is>
          <t>DOM</t>
        </is>
      </c>
      <c r="C804" s="3" t="inlineStr">
        <is>
          <t>IMF.STA:ER</t>
        </is>
      </c>
      <c r="D804" s="3" t="inlineStr">
        <is>
          <t>DOM.XDC_USD.PA_RT.A</t>
        </is>
      </c>
      <c r="E804" s="3" t="inlineStr">
        <is>
          <t>Dominican Republic</t>
        </is>
      </c>
      <c r="F804" s="3" t="inlineStr">
        <is>
          <t>Domestic currency per US Dollar</t>
        </is>
      </c>
      <c r="G804" s="3" t="n">
        <v>16.1814576782866</v>
      </c>
      <c r="H804" s="3" t="n">
        <v>16.690961523126</v>
      </c>
      <c r="I804" s="3" t="n">
        <v>17.5930436887673</v>
      </c>
      <c r="J804" s="3" t="n">
        <v>29.3699996161352</v>
      </c>
      <c r="K804" s="3" t="n">
        <v>41.9303145729387</v>
      </c>
      <c r="L804" s="3" t="n">
        <v>30.2828081770081</v>
      </c>
      <c r="M804" s="3" t="n">
        <v>33.300035201723</v>
      </c>
      <c r="N804" s="3" t="n">
        <v>33.1718705755495</v>
      </c>
      <c r="O804" s="3" t="n">
        <v>34.5293609573505</v>
      </c>
      <c r="P804" s="3" t="n">
        <v>35.97186554526</v>
      </c>
      <c r="Q804" s="3" t="n">
        <v>36.8212918670814</v>
      </c>
      <c r="R804" s="3" t="n">
        <v>38.0875848668099</v>
      </c>
      <c r="S804" s="3" t="n">
        <v>39.3203008432257</v>
      </c>
      <c r="T804" s="3" t="n">
        <v>41.7945034252297</v>
      </c>
      <c r="U804" s="3" t="n">
        <v>43.5496726190476</v>
      </c>
      <c r="V804" s="3" t="n">
        <v>45.045499074074</v>
      </c>
      <c r="W804" s="3" t="n">
        <v>46.0644439393939</v>
      </c>
      <c r="X804" s="3" t="n">
        <v>47.5343581962482</v>
      </c>
      <c r="Y804" s="3" t="n">
        <v>49.5099928571428</v>
      </c>
      <c r="Z804" s="3" t="n">
        <v>51.2948583333333</v>
      </c>
      <c r="AA804" s="3" t="n">
        <v>56.5245333333333</v>
      </c>
      <c r="AB804" s="3" t="n">
        <v>57.2211166666666</v>
      </c>
      <c r="AC804" s="3" t="n">
        <v>55.1409916666666</v>
      </c>
      <c r="AD804" s="3" t="n">
        <v>56.1576</v>
      </c>
      <c r="AE804" s="3" t="n">
        <v>59.5651333333333</v>
      </c>
      <c r="AF804" s="3" t="n">
        <v>61.9865666666666</v>
      </c>
      <c r="AG804" s="3" t="n"/>
      <c r="AH804" s="3" t="n"/>
      <c r="AI804" s="3" t="n"/>
      <c r="AJ804" s="3" t="n"/>
      <c r="AK804" s="3" t="n"/>
      <c r="AL804" s="3" t="n"/>
      <c r="AM804" s="3" t="n"/>
      <c r="AN804" s="3" t="n"/>
      <c r="AO804" s="3" t="n"/>
      <c r="AP804" s="3" t="n"/>
      <c r="AQ804" s="3" t="n"/>
      <c r="AR804" s="3" t="n"/>
      <c r="AS804" s="3" t="n"/>
      <c r="AT804" s="3" t="n"/>
      <c r="AU804" s="3" t="n"/>
    </row>
    <row r="805">
      <c r="A805" s="3" t="n">
        <v>2031</v>
      </c>
      <c r="B805" s="3" t="inlineStr">
        <is>
          <t>DZA</t>
        </is>
      </c>
      <c r="C805" s="3" t="inlineStr">
        <is>
          <t>IMF.RES:WEO</t>
        </is>
      </c>
      <c r="D805" s="3" t="inlineStr">
        <is>
          <t>DZA.BCA.A</t>
        </is>
      </c>
      <c r="E805" s="3" t="inlineStr">
        <is>
          <t>Algeria</t>
        </is>
      </c>
      <c r="F805" s="3" t="inlineStr">
        <is>
          <t>Current account balance (credit less debit), US dollar</t>
        </is>
      </c>
      <c r="G805" s="3" t="n">
        <v>9.142315999999999</v>
      </c>
      <c r="H805" s="3" t="n">
        <v>7.0598</v>
      </c>
      <c r="I805" s="3" t="n">
        <v>4.35916</v>
      </c>
      <c r="J805" s="3" t="n">
        <v>8.808</v>
      </c>
      <c r="K805" s="3" t="n">
        <v>11.116178</v>
      </c>
      <c r="L805" s="3" t="n">
        <v>21.183</v>
      </c>
      <c r="M805" s="3" t="n">
        <v>28.95</v>
      </c>
      <c r="N805" s="3" t="n">
        <v>30.6</v>
      </c>
      <c r="O805" s="3" t="n">
        <v>34.449452</v>
      </c>
      <c r="P805" s="3" t="n">
        <v>0.410588</v>
      </c>
      <c r="Q805" s="3" t="n">
        <v>12.156623</v>
      </c>
      <c r="R805" s="3" t="n">
        <v>19.801839</v>
      </c>
      <c r="S805" s="3" t="n">
        <v>12.289887</v>
      </c>
      <c r="T805" s="3" t="n">
        <v>0.83496</v>
      </c>
      <c r="U805" s="3" t="n">
        <v>-9.435627</v>
      </c>
      <c r="V805" s="3" t="n">
        <v>-27.289577</v>
      </c>
      <c r="W805" s="3" t="n">
        <v>-26.473435</v>
      </c>
      <c r="X805" s="3" t="n">
        <v>-22.330869</v>
      </c>
      <c r="Y805" s="3" t="n">
        <v>-16.883755</v>
      </c>
      <c r="Z805" s="3" t="n">
        <v>-16.910938</v>
      </c>
      <c r="AA805" s="3" t="n">
        <v>-18.681438</v>
      </c>
      <c r="AB805" s="3" t="n">
        <v>-4.511992</v>
      </c>
      <c r="AC805" s="3" t="n">
        <v>19.063897</v>
      </c>
      <c r="AD805" s="3" t="n">
        <v>5.978147</v>
      </c>
      <c r="AE805" s="3" t="n">
        <v>-2.888305</v>
      </c>
      <c r="AF805" s="3" t="n">
        <v>-22.049289</v>
      </c>
      <c r="AG805" s="3" t="n">
        <v>-3.755283</v>
      </c>
      <c r="AH805" s="3" t="n">
        <v>-8.031113</v>
      </c>
      <c r="AI805" s="3" t="n">
        <v>-9.161906</v>
      </c>
      <c r="AJ805" s="3" t="n">
        <v>-7.887333</v>
      </c>
      <c r="AK805" s="3" t="n">
        <v>-6.517538</v>
      </c>
      <c r="AL805" s="3" t="n">
        <v>-4.86726</v>
      </c>
      <c r="AM805" s="3" t="n"/>
      <c r="AN805" s="3" t="n"/>
      <c r="AO805" s="3" t="n"/>
      <c r="AP805" s="3" t="n"/>
      <c r="AQ805" s="3" t="n"/>
      <c r="AR805" s="3" t="n"/>
      <c r="AS805" s="3" t="n"/>
      <c r="AT805" s="3" t="n"/>
      <c r="AU805" s="3" t="n"/>
    </row>
    <row r="806">
      <c r="A806" s="3" t="n">
        <v>2031</v>
      </c>
      <c r="B806" s="3" t="inlineStr">
        <is>
          <t>DZA</t>
        </is>
      </c>
      <c r="C806" s="3" t="inlineStr">
        <is>
          <t>IMF.RES:WEO</t>
        </is>
      </c>
      <c r="D806" s="3" t="inlineStr">
        <is>
          <t>DZA.BCA_NGDPD.A</t>
        </is>
      </c>
      <c r="E806" s="3" t="inlineStr">
        <is>
          <t>Algeria</t>
        </is>
      </c>
      <c r="F806" s="3" t="inlineStr">
        <is>
          <t>Current account balance (credit less debit), Percent of GDP</t>
        </is>
      </c>
      <c r="G806" s="3" t="n">
        <v>15.386388</v>
      </c>
      <c r="H806" s="3" t="n">
        <v>11.882501</v>
      </c>
      <c r="I806" s="3" t="n">
        <v>7.08621</v>
      </c>
      <c r="J806" s="3" t="n">
        <v>11.986566</v>
      </c>
      <c r="K806" s="3" t="n">
        <v>12.094158</v>
      </c>
      <c r="L806" s="3" t="n">
        <v>19.788575</v>
      </c>
      <c r="M806" s="3" t="n">
        <v>23.520473</v>
      </c>
      <c r="N806" s="3" t="n">
        <v>21.476286</v>
      </c>
      <c r="O806" s="3" t="n">
        <v>19.097858</v>
      </c>
      <c r="P806" s="3" t="n">
        <v>0.273148</v>
      </c>
      <c r="Q806" s="3" t="n">
        <v>6.837821</v>
      </c>
      <c r="R806" s="3" t="n">
        <v>9.069602</v>
      </c>
      <c r="S806" s="3" t="n">
        <v>5.410621</v>
      </c>
      <c r="T806" s="3" t="n">
        <v>0.363498</v>
      </c>
      <c r="U806" s="3" t="n">
        <v>-3.948909</v>
      </c>
      <c r="V806" s="3" t="n">
        <v>-14.554918</v>
      </c>
      <c r="W806" s="3" t="n">
        <v>-14.645316</v>
      </c>
      <c r="X806" s="3" t="n">
        <v>-11.752861</v>
      </c>
      <c r="Y806" s="3" t="n">
        <v>-8.680294999999999</v>
      </c>
      <c r="Z806" s="3" t="n">
        <v>-8.745793000000001</v>
      </c>
      <c r="AA806" s="3" t="n">
        <v>-11.337623</v>
      </c>
      <c r="AB806" s="3" t="n">
        <v>-2.427758</v>
      </c>
      <c r="AC806" s="3" t="n">
        <v>8.446221</v>
      </c>
      <c r="AD806" s="3" t="n">
        <v>2.409696</v>
      </c>
      <c r="AE806" s="3" t="n">
        <v>-1.073161</v>
      </c>
      <c r="AF806" s="3" t="n">
        <v>-7.716996</v>
      </c>
      <c r="AG806" s="3" t="n">
        <v>-1.183985</v>
      </c>
      <c r="AH806" s="3" t="n">
        <v>-2.516327</v>
      </c>
      <c r="AI806" s="3" t="n">
        <v>-2.867763</v>
      </c>
      <c r="AJ806" s="3" t="n">
        <v>-2.442222</v>
      </c>
      <c r="AK806" s="3" t="n">
        <v>-2.00284</v>
      </c>
      <c r="AL806" s="3" t="n">
        <v>-1.485529</v>
      </c>
      <c r="AM806" s="3" t="n"/>
      <c r="AN806" s="3" t="n"/>
      <c r="AO806" s="3" t="n"/>
      <c r="AP806" s="3" t="n"/>
      <c r="AQ806" s="3" t="n"/>
      <c r="AR806" s="3" t="n"/>
      <c r="AS806" s="3" t="n"/>
      <c r="AT806" s="3" t="n"/>
      <c r="AU806" s="3" t="n"/>
    </row>
    <row r="807">
      <c r="A807" s="3" t="n">
        <v>2031</v>
      </c>
      <c r="B807" s="3" t="inlineStr">
        <is>
          <t>DZA</t>
        </is>
      </c>
      <c r="C807" s="3" t="inlineStr">
        <is>
          <t>IMF.RES:WEO</t>
        </is>
      </c>
      <c r="D807" s="3" t="inlineStr">
        <is>
          <t>DZA.GGR_NGDP.A</t>
        </is>
      </c>
      <c r="E807" s="3" t="inlineStr">
        <is>
          <t>Algeria</t>
        </is>
      </c>
      <c r="F807" s="3" t="inlineStr">
        <is>
          <t>Revenue, General government, Percent of GDP</t>
        </is>
      </c>
      <c r="G807" s="3" t="n">
        <v>35.264771</v>
      </c>
      <c r="H807" s="3" t="n">
        <v>32.241297</v>
      </c>
      <c r="I807" s="3" t="n">
        <v>32.7086</v>
      </c>
      <c r="J807" s="3" t="n">
        <v>34.24271</v>
      </c>
      <c r="K807" s="3" t="n">
        <v>33.444757</v>
      </c>
      <c r="L807" s="3" t="n">
        <v>39.274636</v>
      </c>
      <c r="M807" s="3" t="n">
        <v>40.707285</v>
      </c>
      <c r="N807" s="3" t="n">
        <v>37.735814</v>
      </c>
      <c r="O807" s="3" t="n">
        <v>45.091759</v>
      </c>
      <c r="P807" s="3" t="n">
        <v>33.584508</v>
      </c>
      <c r="Q807" s="3" t="n">
        <v>33.742328</v>
      </c>
      <c r="R807" s="3" t="n">
        <v>36.662248</v>
      </c>
      <c r="S807" s="3" t="n">
        <v>35.994818</v>
      </c>
      <c r="T807" s="3" t="n">
        <v>32.678046</v>
      </c>
      <c r="U807" s="3" t="n">
        <v>29.802317</v>
      </c>
      <c r="V807" s="3" t="n">
        <v>27.039193</v>
      </c>
      <c r="W807" s="3" t="n">
        <v>25.332319</v>
      </c>
      <c r="X807" s="3" t="n">
        <v>28.701517</v>
      </c>
      <c r="Y807" s="3" t="n">
        <v>30.095784</v>
      </c>
      <c r="Z807" s="3" t="n">
        <v>28.590507</v>
      </c>
      <c r="AA807" s="3" t="n">
        <v>26.987405</v>
      </c>
      <c r="AB807" s="3" t="n">
        <v>26.2294</v>
      </c>
      <c r="AC807" s="3" t="n">
        <v>29.726213</v>
      </c>
      <c r="AD807" s="3" t="n">
        <v>31.876134</v>
      </c>
      <c r="AE807" s="3" t="n">
        <v>22.994829</v>
      </c>
      <c r="AF807" s="3" t="n">
        <v>26.007045</v>
      </c>
      <c r="AG807" s="3" t="n">
        <v>23.562967</v>
      </c>
      <c r="AH807" s="3" t="n">
        <v>22.918982</v>
      </c>
      <c r="AI807" s="3" t="n">
        <v>22.271181</v>
      </c>
      <c r="AJ807" s="3" t="n">
        <v>22.600611</v>
      </c>
      <c r="AK807" s="3" t="n">
        <v>22.786361</v>
      </c>
      <c r="AL807" s="3" t="n">
        <v>22.90576</v>
      </c>
      <c r="AM807" s="3" t="n"/>
      <c r="AN807" s="3" t="n"/>
      <c r="AO807" s="3" t="n"/>
      <c r="AP807" s="3" t="n"/>
      <c r="AQ807" s="3" t="n"/>
      <c r="AR807" s="3" t="n"/>
      <c r="AS807" s="3" t="n"/>
      <c r="AT807" s="3" t="n"/>
      <c r="AU807" s="3" t="n"/>
    </row>
    <row r="808">
      <c r="A808" s="3" t="n">
        <v>2031</v>
      </c>
      <c r="B808" s="3" t="inlineStr">
        <is>
          <t>DZA</t>
        </is>
      </c>
      <c r="C808" s="3" t="inlineStr">
        <is>
          <t>IMF.RES:WEO</t>
        </is>
      </c>
      <c r="D808" s="3" t="inlineStr">
        <is>
          <t>DZA.GGX_NGDP.A</t>
        </is>
      </c>
      <c r="E808" s="3" t="inlineStr">
        <is>
          <t>Algeria</t>
        </is>
      </c>
      <c r="F808" s="3" t="inlineStr">
        <is>
          <t>Expenditure, General government, Percent of GDP</t>
        </is>
      </c>
      <c r="G808" s="3" t="n">
        <v>26.352174</v>
      </c>
      <c r="H808" s="3" t="n">
        <v>29.089436</v>
      </c>
      <c r="I808" s="3" t="n">
        <v>32.493676</v>
      </c>
      <c r="J808" s="3" t="n">
        <v>27.025555</v>
      </c>
      <c r="K808" s="3" t="n">
        <v>27.081577</v>
      </c>
      <c r="L808" s="3" t="n">
        <v>27.843311</v>
      </c>
      <c r="M808" s="3" t="n">
        <v>27.838404</v>
      </c>
      <c r="N808" s="3" t="n">
        <v>33.108109</v>
      </c>
      <c r="O808" s="3" t="n">
        <v>37.306139</v>
      </c>
      <c r="P808" s="3" t="n">
        <v>40.113953</v>
      </c>
      <c r="Q808" s="3" t="n">
        <v>35.08954</v>
      </c>
      <c r="R808" s="3" t="n">
        <v>37.720524</v>
      </c>
      <c r="S808" s="3" t="n">
        <v>40.031246</v>
      </c>
      <c r="T808" s="3" t="n">
        <v>33.466339</v>
      </c>
      <c r="U808" s="3" t="n">
        <v>36.947278</v>
      </c>
      <c r="V808" s="3" t="n">
        <v>40.917802</v>
      </c>
      <c r="W808" s="3" t="n">
        <v>37.179327</v>
      </c>
      <c r="X808" s="3" t="n">
        <v>36.248542</v>
      </c>
      <c r="Y808" s="3" t="n">
        <v>36.249785</v>
      </c>
      <c r="Z808" s="3" t="n">
        <v>37.099053</v>
      </c>
      <c r="AA808" s="3" t="n">
        <v>37.5056</v>
      </c>
      <c r="AB808" s="3" t="n">
        <v>32.546062</v>
      </c>
      <c r="AC808" s="3" t="n">
        <v>32.687967</v>
      </c>
      <c r="AD808" s="3" t="n">
        <v>37.391859</v>
      </c>
      <c r="AE808" s="3" t="n">
        <v>36.786101</v>
      </c>
      <c r="AF808" s="3" t="n">
        <v>36.160605</v>
      </c>
      <c r="AG808" s="3" t="n">
        <v>33.805157</v>
      </c>
      <c r="AH808" s="3" t="n">
        <v>32.607784</v>
      </c>
      <c r="AI808" s="3" t="n">
        <v>31.780584</v>
      </c>
      <c r="AJ808" s="3" t="n">
        <v>31.429328</v>
      </c>
      <c r="AK808" s="3" t="n">
        <v>31.407674</v>
      </c>
      <c r="AL808" s="3" t="n">
        <v>31.506332</v>
      </c>
      <c r="AM808" s="3" t="n"/>
      <c r="AN808" s="3" t="n"/>
      <c r="AO808" s="3" t="n"/>
      <c r="AP808" s="3" t="n"/>
      <c r="AQ808" s="3" t="n"/>
      <c r="AR808" s="3" t="n"/>
      <c r="AS808" s="3" t="n"/>
      <c r="AT808" s="3" t="n"/>
      <c r="AU808" s="3" t="n"/>
    </row>
    <row r="809">
      <c r="A809" s="3" t="n">
        <v>2031</v>
      </c>
      <c r="B809" s="3" t="inlineStr">
        <is>
          <t>DZA</t>
        </is>
      </c>
      <c r="C809" s="3" t="inlineStr">
        <is>
          <t>IMF.RES:WEO</t>
        </is>
      </c>
      <c r="D809" s="3" t="inlineStr">
        <is>
          <t>DZA.LP.A</t>
        </is>
      </c>
      <c r="E809" s="3" t="inlineStr">
        <is>
          <t>Algeria</t>
        </is>
      </c>
      <c r="F809" s="3" t="inlineStr">
        <is>
          <t>Population, Persons for countries / Index for country groups</t>
        </is>
      </c>
      <c r="G809" s="3" t="n">
        <v>30.506</v>
      </c>
      <c r="H809" s="3" t="n">
        <v>30.954</v>
      </c>
      <c r="I809" s="3" t="n">
        <v>31.414</v>
      </c>
      <c r="J809" s="3" t="n">
        <v>31.885</v>
      </c>
      <c r="K809" s="3" t="n">
        <v>32.366</v>
      </c>
      <c r="L809" s="3" t="n">
        <v>32.855</v>
      </c>
      <c r="M809" s="3" t="n">
        <v>33.351</v>
      </c>
      <c r="N809" s="3" t="n">
        <v>33.858</v>
      </c>
      <c r="O809" s="3" t="n">
        <v>34.591</v>
      </c>
      <c r="P809" s="3" t="n">
        <v>35.268</v>
      </c>
      <c r="Q809" s="3" t="n">
        <v>35.978</v>
      </c>
      <c r="R809" s="3" t="n">
        <v>36.717</v>
      </c>
      <c r="S809" s="3" t="n">
        <v>37.495</v>
      </c>
      <c r="T809" s="3" t="n">
        <v>38.297</v>
      </c>
      <c r="U809" s="3" t="n">
        <v>39.114</v>
      </c>
      <c r="V809" s="3" t="n">
        <v>39.963</v>
      </c>
      <c r="W809" s="3" t="n">
        <v>40.836</v>
      </c>
      <c r="X809" s="3" t="n">
        <v>41.721</v>
      </c>
      <c r="Y809" s="3" t="n">
        <v>42.578</v>
      </c>
      <c r="Z809" s="3" t="n">
        <v>43.424</v>
      </c>
      <c r="AA809" s="3" t="n">
        <v>43.851</v>
      </c>
      <c r="AB809" s="3" t="n">
        <v>44.576734</v>
      </c>
      <c r="AC809" s="3" t="n">
        <v>45.290853</v>
      </c>
      <c r="AD809" s="3" t="n">
        <v>45.973386</v>
      </c>
      <c r="AE809" s="3" t="n">
        <v>46.626209</v>
      </c>
      <c r="AF809" s="3" t="n">
        <v>47.251466</v>
      </c>
      <c r="AG809" s="3" t="n">
        <v>47.850615</v>
      </c>
      <c r="AH809" s="3" t="n">
        <v>48.424822</v>
      </c>
      <c r="AI809" s="3" t="n">
        <v>49.00592</v>
      </c>
      <c r="AJ809" s="3" t="n">
        <v>49.593991</v>
      </c>
      <c r="AK809" s="3" t="n">
        <v>50.189119</v>
      </c>
      <c r="AL809" s="3" t="n">
        <v>50.791388</v>
      </c>
      <c r="AM809" s="3" t="n"/>
      <c r="AN809" s="3" t="n"/>
      <c r="AO809" s="3" t="n"/>
      <c r="AP809" s="3" t="n"/>
      <c r="AQ809" s="3" t="n"/>
      <c r="AR809" s="3" t="n"/>
      <c r="AS809" s="3" t="n"/>
      <c r="AT809" s="3" t="n"/>
      <c r="AU809" s="3" t="n"/>
    </row>
    <row r="810">
      <c r="A810" s="3" t="n">
        <v>2031</v>
      </c>
      <c r="B810" s="3" t="inlineStr">
        <is>
          <t>DZA</t>
        </is>
      </c>
      <c r="C810" s="3" t="inlineStr">
        <is>
          <t>IMF.RES:WEO</t>
        </is>
      </c>
      <c r="D810" s="3" t="inlineStr">
        <is>
          <t>DZA.NGDP.A</t>
        </is>
      </c>
      <c r="E810" s="3" t="inlineStr">
        <is>
          <t>Algeria</t>
        </is>
      </c>
      <c r="F810" s="3" t="inlineStr">
        <is>
          <t>Gross domestic product (GDP), Current prices, Domestic currency</t>
        </is>
      </c>
      <c r="G810" s="3" t="n">
        <v>4475.171504</v>
      </c>
      <c r="H810" s="3" t="n">
        <v>4587.607</v>
      </c>
      <c r="I810" s="3" t="n">
        <v>4901.72</v>
      </c>
      <c r="J810" s="3" t="n">
        <v>5687.158</v>
      </c>
      <c r="K810" s="3" t="n">
        <v>6623.355</v>
      </c>
      <c r="L810" s="3" t="n">
        <v>7843.981</v>
      </c>
      <c r="M810" s="3" t="n">
        <v>8941.655000000001</v>
      </c>
      <c r="N810" s="3" t="n">
        <v>9872.971</v>
      </c>
      <c r="O810" s="3" t="n">
        <v>11649.694</v>
      </c>
      <c r="P810" s="3" t="n">
        <v>10920.163</v>
      </c>
      <c r="Q810" s="3" t="n">
        <v>13224.716</v>
      </c>
      <c r="R810" s="3" t="n">
        <v>15924.67</v>
      </c>
      <c r="S810" s="3" t="n">
        <v>17611.81</v>
      </c>
      <c r="T810" s="3" t="n">
        <v>18231.035</v>
      </c>
      <c r="U810" s="3" t="n">
        <v>19253.765</v>
      </c>
      <c r="V810" s="3" t="n">
        <v>18879.025</v>
      </c>
      <c r="W810" s="3" t="n">
        <v>19783.349</v>
      </c>
      <c r="X810" s="3" t="n">
        <v>21071.656</v>
      </c>
      <c r="Y810" s="3" t="n">
        <v>22683.845</v>
      </c>
      <c r="Z810" s="3" t="n">
        <v>23090.099</v>
      </c>
      <c r="AA810" s="3" t="n">
        <v>20902.124</v>
      </c>
      <c r="AB810" s="3" t="n">
        <v>25153.206</v>
      </c>
      <c r="AC810" s="3" t="n">
        <v>32039.527</v>
      </c>
      <c r="AD810" s="3" t="n">
        <v>33678.708</v>
      </c>
      <c r="AE810" s="3" t="n">
        <v>36103.525</v>
      </c>
      <c r="AF810" s="3" t="n">
        <v>37553.604007</v>
      </c>
      <c r="AG810" s="3" t="n">
        <v>41539.327559</v>
      </c>
      <c r="AH810" s="3" t="n">
        <v>43313.82385</v>
      </c>
      <c r="AI810" s="3" t="n">
        <v>45524.982085</v>
      </c>
      <c r="AJ810" s="3" t="n">
        <v>48321.622781</v>
      </c>
      <c r="AK810" s="3" t="n">
        <v>51123.794853</v>
      </c>
      <c r="AL810" s="3" t="n">
        <v>54047.869818</v>
      </c>
      <c r="AM810" s="3" t="n"/>
      <c r="AN810" s="3" t="n"/>
      <c r="AO810" s="3" t="n"/>
      <c r="AP810" s="3" t="n"/>
      <c r="AQ810" s="3" t="n"/>
      <c r="AR810" s="3" t="n"/>
      <c r="AS810" s="3" t="n"/>
      <c r="AT810" s="3" t="n"/>
      <c r="AU810" s="3" t="n"/>
    </row>
    <row r="811">
      <c r="A811" s="3" t="n">
        <v>2031</v>
      </c>
      <c r="B811" s="3" t="inlineStr">
        <is>
          <t>DZA</t>
        </is>
      </c>
      <c r="C811" s="3" t="inlineStr">
        <is>
          <t>IMF.RES:WEO</t>
        </is>
      </c>
      <c r="D811" s="3" t="inlineStr">
        <is>
          <t>DZA.NGDP_D.A</t>
        </is>
      </c>
      <c r="E811" s="3" t="inlineStr">
        <is>
          <t>Algeria</t>
        </is>
      </c>
      <c r="F811" s="3" t="inlineStr">
        <is>
          <t>Gross domestic product (GDP), Price deflator, Index</t>
        </is>
      </c>
      <c r="G811" s="3" t="n">
        <v>100.475622</v>
      </c>
      <c r="H811" s="3" t="n">
        <v>100</v>
      </c>
      <c r="I811" s="3" t="n">
        <v>101.372856</v>
      </c>
      <c r="J811" s="3" t="n">
        <v>110.438085</v>
      </c>
      <c r="K811" s="3" t="n">
        <v>123.079385</v>
      </c>
      <c r="L811" s="3" t="n">
        <v>138.293958</v>
      </c>
      <c r="M811" s="3" t="n">
        <v>153.203684</v>
      </c>
      <c r="N811" s="3" t="n">
        <v>164.074275</v>
      </c>
      <c r="O811" s="3" t="n">
        <v>188.878831</v>
      </c>
      <c r="P811" s="3" t="n">
        <v>174.951382</v>
      </c>
      <c r="Q811" s="3" t="n">
        <v>202.168425</v>
      </c>
      <c r="R811" s="3" t="n">
        <v>236.352494</v>
      </c>
      <c r="S811" s="3" t="n">
        <v>255.266476</v>
      </c>
      <c r="T811" s="3" t="n">
        <v>257.545375</v>
      </c>
      <c r="U811" s="3" t="n">
        <v>261.280722</v>
      </c>
      <c r="V811" s="3" t="n">
        <v>248.251319</v>
      </c>
      <c r="W811" s="3" t="n">
        <v>250.378059</v>
      </c>
      <c r="X811" s="3" t="n">
        <v>262.741746</v>
      </c>
      <c r="Y811" s="3" t="n">
        <v>278.93893</v>
      </c>
      <c r="Z811" s="3" t="n">
        <v>281.40194</v>
      </c>
      <c r="AA811" s="3" t="n">
        <v>268.144015</v>
      </c>
      <c r="AB811" s="3" t="n">
        <v>310.866327</v>
      </c>
      <c r="AC811" s="3" t="n">
        <v>382.214074</v>
      </c>
      <c r="AD811" s="3" t="n">
        <v>385.944869</v>
      </c>
      <c r="AE811" s="3" t="n">
        <v>398.970421</v>
      </c>
      <c r="AF811" s="3" t="n">
        <v>399.716406</v>
      </c>
      <c r="AG811" s="3" t="n">
        <v>426.047345</v>
      </c>
      <c r="AH811" s="3" t="n">
        <v>431.840317</v>
      </c>
      <c r="AI811" s="3" t="n">
        <v>442.065342</v>
      </c>
      <c r="AJ811" s="3" t="n">
        <v>456.861616</v>
      </c>
      <c r="AK811" s="3" t="n">
        <v>470.949314</v>
      </c>
      <c r="AL811" s="3" t="n">
        <v>485.139972</v>
      </c>
      <c r="AM811" s="3" t="n"/>
      <c r="AN811" s="3" t="n"/>
      <c r="AO811" s="3" t="n"/>
      <c r="AP811" s="3" t="n"/>
      <c r="AQ811" s="3" t="n"/>
      <c r="AR811" s="3" t="n"/>
      <c r="AS811" s="3" t="n"/>
      <c r="AT811" s="3" t="n"/>
      <c r="AU811" s="3" t="n"/>
    </row>
    <row r="812">
      <c r="A812" s="3" t="n">
        <v>2031</v>
      </c>
      <c r="B812" s="3" t="inlineStr">
        <is>
          <t>DZA</t>
        </is>
      </c>
      <c r="C812" s="3" t="inlineStr">
        <is>
          <t>IMF.RES:WEO</t>
        </is>
      </c>
      <c r="D812" s="3" t="inlineStr">
        <is>
          <t>DZA.NGDP_R.A</t>
        </is>
      </c>
      <c r="E812" s="3" t="inlineStr">
        <is>
          <t>Algeria</t>
        </is>
      </c>
      <c r="F812" s="3" t="inlineStr">
        <is>
          <t>Gross domestic product (GDP), Constant prices, Domestic currency</t>
        </is>
      </c>
      <c r="G812" s="3" t="n">
        <v>4453.987379</v>
      </c>
      <c r="H812" s="3" t="n">
        <v>4587.607</v>
      </c>
      <c r="I812" s="3" t="n">
        <v>4835.337778</v>
      </c>
      <c r="J812" s="3" t="n">
        <v>5149.634734</v>
      </c>
      <c r="K812" s="3" t="n">
        <v>5381.368297</v>
      </c>
      <c r="L812" s="3" t="n">
        <v>5671.962185</v>
      </c>
      <c r="M812" s="3" t="n">
        <v>5836.449088</v>
      </c>
      <c r="N812" s="3" t="n">
        <v>6017.37901</v>
      </c>
      <c r="O812" s="3" t="n">
        <v>6167.813485</v>
      </c>
      <c r="P812" s="3" t="n">
        <v>6241.827247</v>
      </c>
      <c r="Q812" s="3" t="n">
        <v>6541.434955</v>
      </c>
      <c r="R812" s="3" t="n">
        <v>6737.678003</v>
      </c>
      <c r="S812" s="3" t="n">
        <v>6899.382275</v>
      </c>
      <c r="T812" s="3" t="n">
        <v>7078.766214</v>
      </c>
      <c r="U812" s="3" t="n">
        <v>7368.995629</v>
      </c>
      <c r="V812" s="3" t="n">
        <v>7604.803489</v>
      </c>
      <c r="W812" s="3" t="n">
        <v>7901.390825</v>
      </c>
      <c r="X812" s="3" t="n">
        <v>8019.911688</v>
      </c>
      <c r="Y812" s="3" t="n">
        <v>8132.190451</v>
      </c>
      <c r="Z812" s="3" t="n">
        <v>8205.380166000001</v>
      </c>
      <c r="AA812" s="3" t="n">
        <v>7795.111157</v>
      </c>
      <c r="AB812" s="3" t="n">
        <v>8091.325381</v>
      </c>
      <c r="AC812" s="3" t="n">
        <v>8382.613095000001</v>
      </c>
      <c r="AD812" s="3" t="n">
        <v>8726.300232</v>
      </c>
      <c r="AE812" s="3" t="n">
        <v>9049.173339999999</v>
      </c>
      <c r="AF812" s="3" t="n">
        <v>9395.061964</v>
      </c>
      <c r="AG812" s="3" t="n">
        <v>9749.932263000001</v>
      </c>
      <c r="AH812" s="3" t="n">
        <v>10030.055587</v>
      </c>
      <c r="AI812" s="3" t="n">
        <v>10298.247276</v>
      </c>
      <c r="AJ812" s="3" t="n">
        <v>10576.86203</v>
      </c>
      <c r="AK812" s="3" t="n">
        <v>10855.477072</v>
      </c>
      <c r="AL812" s="3" t="n">
        <v>11140.675472</v>
      </c>
      <c r="AM812" s="3" t="n"/>
      <c r="AN812" s="3" t="n"/>
      <c r="AO812" s="3" t="n"/>
      <c r="AP812" s="3" t="n"/>
      <c r="AQ812" s="3" t="n"/>
      <c r="AR812" s="3" t="n"/>
      <c r="AS812" s="3" t="n"/>
      <c r="AT812" s="3" t="n"/>
      <c r="AU812" s="3" t="n"/>
    </row>
    <row r="813">
      <c r="A813" s="3" t="n">
        <v>2031</v>
      </c>
      <c r="B813" s="3" t="inlineStr">
        <is>
          <t>DZA</t>
        </is>
      </c>
      <c r="C813" s="3" t="inlineStr">
        <is>
          <t>IMF.RES:WEO</t>
        </is>
      </c>
      <c r="D813" s="3" t="inlineStr">
        <is>
          <t>DZA.NGDP_RPCH.A</t>
        </is>
      </c>
      <c r="E813" s="3" t="inlineStr">
        <is>
          <t>Algeria</t>
        </is>
      </c>
      <c r="F813" s="3" t="inlineStr">
        <is>
          <t>Gross domestic product (GDP), Constant prices, Percent change</t>
        </is>
      </c>
      <c r="G813" s="3" t="n">
        <v>3.8</v>
      </c>
      <c r="H813" s="3" t="n">
        <v>3</v>
      </c>
      <c r="I813" s="3" t="n">
        <v>5.4</v>
      </c>
      <c r="J813" s="3" t="n">
        <v>6.5</v>
      </c>
      <c r="K813" s="3" t="n">
        <v>4.5</v>
      </c>
      <c r="L813" s="3" t="n">
        <v>5.4</v>
      </c>
      <c r="M813" s="3" t="n">
        <v>2.9</v>
      </c>
      <c r="N813" s="3" t="n">
        <v>3.1</v>
      </c>
      <c r="O813" s="3" t="n">
        <v>2.5</v>
      </c>
      <c r="P813" s="3" t="n">
        <v>1.2</v>
      </c>
      <c r="Q813" s="3" t="n">
        <v>4.8</v>
      </c>
      <c r="R813" s="3" t="n">
        <v>3</v>
      </c>
      <c r="S813" s="3" t="n">
        <v>2.4</v>
      </c>
      <c r="T813" s="3" t="n">
        <v>2.6</v>
      </c>
      <c r="U813" s="3" t="n">
        <v>4.1</v>
      </c>
      <c r="V813" s="3" t="n">
        <v>3.2</v>
      </c>
      <c r="W813" s="3" t="n">
        <v>3.9</v>
      </c>
      <c r="X813" s="3" t="n">
        <v>1.5</v>
      </c>
      <c r="Y813" s="3" t="n">
        <v>1.4</v>
      </c>
      <c r="Z813" s="3" t="n">
        <v>0.9</v>
      </c>
      <c r="AA813" s="3" t="n">
        <v>-5</v>
      </c>
      <c r="AB813" s="3" t="n">
        <v>3.8</v>
      </c>
      <c r="AC813" s="3" t="n">
        <v>3.6</v>
      </c>
      <c r="AD813" s="3" t="n">
        <v>4.1</v>
      </c>
      <c r="AE813" s="3" t="n">
        <v>3.7</v>
      </c>
      <c r="AF813" s="3" t="n">
        <v>3.822323</v>
      </c>
      <c r="AG813" s="3" t="n">
        <v>3.7772</v>
      </c>
      <c r="AH813" s="3" t="n">
        <v>2.87308</v>
      </c>
      <c r="AI813" s="3" t="n">
        <v>2.67388</v>
      </c>
      <c r="AJ813" s="3" t="n">
        <v>2.705458</v>
      </c>
      <c r="AK813" s="3" t="n">
        <v>2.634194</v>
      </c>
      <c r="AL813" s="3" t="n">
        <v>2.62723</v>
      </c>
      <c r="AM813" s="3" t="n"/>
      <c r="AN813" s="3" t="n"/>
      <c r="AO813" s="3" t="n"/>
      <c r="AP813" s="3" t="n"/>
      <c r="AQ813" s="3" t="n"/>
      <c r="AR813" s="3" t="n"/>
      <c r="AS813" s="3" t="n"/>
      <c r="AT813" s="3" t="n"/>
      <c r="AU813" s="3" t="n"/>
    </row>
    <row r="814">
      <c r="A814" s="3" t="n">
        <v>2031</v>
      </c>
      <c r="B814" s="3" t="inlineStr">
        <is>
          <t>DZA</t>
        </is>
      </c>
      <c r="C814" s="3" t="inlineStr">
        <is>
          <t>IMF.RES:WEO</t>
        </is>
      </c>
      <c r="D814" s="3" t="inlineStr">
        <is>
          <t>DZA.NGDPD.A</t>
        </is>
      </c>
      <c r="E814" s="3" t="inlineStr">
        <is>
          <t>Algeria</t>
        </is>
      </c>
      <c r="F814" s="3" t="inlineStr">
        <is>
          <t>Gross domestic product (GDP), Current prices, US dollar</t>
        </is>
      </c>
      <c r="G814" s="3" t="n">
        <v>59.418209</v>
      </c>
      <c r="H814" s="3" t="n">
        <v>59.413417</v>
      </c>
      <c r="I814" s="3" t="n">
        <v>61.516103</v>
      </c>
      <c r="J814" s="3" t="n">
        <v>73.482264</v>
      </c>
      <c r="K814" s="3" t="n">
        <v>91.913617</v>
      </c>
      <c r="L814" s="3" t="n">
        <v>107.046618</v>
      </c>
      <c r="M814" s="3" t="n">
        <v>123.084259</v>
      </c>
      <c r="N814" s="3" t="n">
        <v>142.48274</v>
      </c>
      <c r="O814" s="3" t="n">
        <v>180.383848</v>
      </c>
      <c r="P814" s="3" t="n">
        <v>150.317293</v>
      </c>
      <c r="Q814" s="3" t="n">
        <v>177.785053</v>
      </c>
      <c r="R814" s="3" t="n">
        <v>218.331946</v>
      </c>
      <c r="S814" s="3" t="n">
        <v>227.143747</v>
      </c>
      <c r="T814" s="3" t="n">
        <v>229.70143</v>
      </c>
      <c r="U814" s="3" t="n">
        <v>238.942665</v>
      </c>
      <c r="V814" s="3" t="n">
        <v>187.493855</v>
      </c>
      <c r="W814" s="3" t="n">
        <v>180.76384</v>
      </c>
      <c r="X814" s="3" t="n">
        <v>190.003689</v>
      </c>
      <c r="Y814" s="3" t="n">
        <v>194.506703</v>
      </c>
      <c r="Z814" s="3" t="n">
        <v>193.360831</v>
      </c>
      <c r="AA814" s="3" t="n">
        <v>164.773853</v>
      </c>
      <c r="AB814" s="3" t="n">
        <v>185.850125</v>
      </c>
      <c r="AC814" s="3" t="n">
        <v>225.709179</v>
      </c>
      <c r="AD814" s="3" t="n">
        <v>248.087232</v>
      </c>
      <c r="AE814" s="3" t="n">
        <v>269.139949</v>
      </c>
      <c r="AF814" s="3" t="n">
        <v>285.723736</v>
      </c>
      <c r="AG814" s="3" t="n">
        <v>317.173262</v>
      </c>
      <c r="AH814" s="3" t="n">
        <v>319.160121</v>
      </c>
      <c r="AI814" s="3" t="n">
        <v>319.479194</v>
      </c>
      <c r="AJ814" s="3" t="n">
        <v>322.957227</v>
      </c>
      <c r="AK814" s="3" t="n">
        <v>325.414785</v>
      </c>
      <c r="AL814" s="3" t="n">
        <v>327.644952</v>
      </c>
      <c r="AM814" s="3" t="n"/>
      <c r="AN814" s="3" t="n"/>
      <c r="AO814" s="3" t="n"/>
      <c r="AP814" s="3" t="n"/>
      <c r="AQ814" s="3" t="n"/>
      <c r="AR814" s="3" t="n"/>
      <c r="AS814" s="3" t="n"/>
      <c r="AT814" s="3" t="n"/>
      <c r="AU814" s="3" t="n"/>
    </row>
    <row r="815">
      <c r="A815" s="3" t="n">
        <v>2031</v>
      </c>
      <c r="B815" s="3" t="inlineStr">
        <is>
          <t>DZA</t>
        </is>
      </c>
      <c r="C815" s="3" t="inlineStr">
        <is>
          <t>IMF.RES:WEO</t>
        </is>
      </c>
      <c r="D815" s="3" t="inlineStr">
        <is>
          <t>DZA.NGDPPC.A</t>
        </is>
      </c>
      <c r="E815" s="3" t="inlineStr">
        <is>
          <t>Algeria</t>
        </is>
      </c>
      <c r="F815" s="3" t="inlineStr">
        <is>
          <t>Gross domestic product (GDP), Current prices, Per capita, Domestic currency</t>
        </is>
      </c>
      <c r="G815" s="3" t="n">
        <v>146698.075919</v>
      </c>
      <c r="H815" s="3" t="n">
        <v>148207.243006</v>
      </c>
      <c r="I815" s="3" t="n">
        <v>156036.162221</v>
      </c>
      <c r="J815" s="3" t="n">
        <v>178364.685589</v>
      </c>
      <c r="K815" s="3" t="n">
        <v>204639.281963</v>
      </c>
      <c r="L815" s="3" t="n">
        <v>238745.426876</v>
      </c>
      <c r="M815" s="3" t="n">
        <v>268107.552997</v>
      </c>
      <c r="N815" s="3" t="n">
        <v>291599.356134</v>
      </c>
      <c r="O815" s="3" t="n">
        <v>336783.961146</v>
      </c>
      <c r="P815" s="3" t="n">
        <v>309633.747306</v>
      </c>
      <c r="Q815" s="3" t="n">
        <v>367577.853132</v>
      </c>
      <c r="R815" s="3" t="n">
        <v>433713.811041</v>
      </c>
      <c r="S815" s="3" t="n">
        <v>469710.894786</v>
      </c>
      <c r="T815" s="3" t="n">
        <v>476043.423767</v>
      </c>
      <c r="U815" s="3" t="n">
        <v>492247.405021</v>
      </c>
      <c r="V815" s="3" t="n">
        <v>472412.606661</v>
      </c>
      <c r="W815" s="3" t="n">
        <v>484458.541483</v>
      </c>
      <c r="X815" s="3" t="n">
        <v>505061.144268</v>
      </c>
      <c r="Y815" s="3" t="n">
        <v>532759.758561</v>
      </c>
      <c r="Z815" s="3" t="n">
        <v>531735.883382</v>
      </c>
      <c r="AA815" s="3" t="n">
        <v>476662.42503</v>
      </c>
      <c r="AB815" s="3" t="n">
        <v>564267.583439</v>
      </c>
      <c r="AC815" s="3" t="n">
        <v>707417.163614</v>
      </c>
      <c r="AD815" s="3" t="n">
        <v>732569.65762</v>
      </c>
      <c r="AE815" s="3" t="n">
        <v>774318.266521</v>
      </c>
      <c r="AF815" s="3" t="n">
        <v>794760.610802</v>
      </c>
      <c r="AG815" s="3" t="n">
        <v>868104.367849</v>
      </c>
      <c r="AH815" s="3" t="n">
        <v>894454.99358</v>
      </c>
      <c r="AI815" s="3" t="n">
        <v>928969.035001</v>
      </c>
      <c r="AJ815" s="3" t="n">
        <v>974344.308709</v>
      </c>
      <c r="AK815" s="3" t="n">
        <v>1018623.08171</v>
      </c>
      <c r="AL815" s="3" t="n">
        <v>1064114.837458</v>
      </c>
      <c r="AM815" s="3" t="n"/>
      <c r="AN815" s="3" t="n"/>
      <c r="AO815" s="3" t="n"/>
      <c r="AP815" s="3" t="n"/>
      <c r="AQ815" s="3" t="n"/>
      <c r="AR815" s="3" t="n"/>
      <c r="AS815" s="3" t="n"/>
      <c r="AT815" s="3" t="n"/>
      <c r="AU815" s="3" t="n"/>
    </row>
    <row r="816">
      <c r="A816" s="3" t="n">
        <v>2031</v>
      </c>
      <c r="B816" s="3" t="inlineStr">
        <is>
          <t>DZA</t>
        </is>
      </c>
      <c r="C816" s="3" t="inlineStr">
        <is>
          <t>IMF.RES:WEO</t>
        </is>
      </c>
      <c r="D816" s="3" t="inlineStr">
        <is>
          <t>DZA.NGDPRPC.A</t>
        </is>
      </c>
      <c r="E816" s="3" t="inlineStr">
        <is>
          <t>Algeria</t>
        </is>
      </c>
      <c r="F816" s="3" t="inlineStr">
        <is>
          <t>Gross domestic product (GDP), Constant prices, Per capita, Domestic currency</t>
        </is>
      </c>
      <c r="G816" s="3" t="n">
        <v>146003.65104</v>
      </c>
      <c r="H816" s="3" t="n">
        <v>148207.243006</v>
      </c>
      <c r="I816" s="3" t="n">
        <v>153923.020882</v>
      </c>
      <c r="J816" s="3" t="n">
        <v>161506.499406</v>
      </c>
      <c r="K816" s="3" t="n">
        <v>166266.090854</v>
      </c>
      <c r="L816" s="3" t="n">
        <v>172636.194935</v>
      </c>
      <c r="M816" s="3" t="n">
        <v>175000.722256</v>
      </c>
      <c r="N816" s="3" t="n">
        <v>177723.994615</v>
      </c>
      <c r="O816" s="3" t="n">
        <v>178306.885748</v>
      </c>
      <c r="P816" s="3" t="n">
        <v>176982.739218</v>
      </c>
      <c r="Q816" s="3" t="n">
        <v>181817.637294</v>
      </c>
      <c r="R816" s="3" t="n">
        <v>183502.955122</v>
      </c>
      <c r="S816" s="3" t="n">
        <v>184008.061749</v>
      </c>
      <c r="T816" s="3" t="n">
        <v>184838.661369</v>
      </c>
      <c r="U816" s="3" t="n">
        <v>188397.904312</v>
      </c>
      <c r="V816" s="3" t="n">
        <v>190296.111137</v>
      </c>
      <c r="W816" s="3" t="n">
        <v>193490.812652</v>
      </c>
      <c r="X816" s="3" t="n">
        <v>192227.216218</v>
      </c>
      <c r="Y816" s="3" t="n">
        <v>190995.125452</v>
      </c>
      <c r="Z816" s="3" t="n">
        <v>188959.565345</v>
      </c>
      <c r="AA816" s="3" t="n">
        <v>177763.589365</v>
      </c>
      <c r="AB816" s="3" t="n">
        <v>181514.540122</v>
      </c>
      <c r="AC816" s="3" t="n">
        <v>185084.017605</v>
      </c>
      <c r="AD816" s="3" t="n">
        <v>189811.995553</v>
      </c>
      <c r="AE816" s="3" t="n">
        <v>194079.115943</v>
      </c>
      <c r="AF816" s="3" t="n">
        <v>198831.121067</v>
      </c>
      <c r="AG816" s="3" t="n">
        <v>203757.722643</v>
      </c>
      <c r="AH816" s="3" t="n">
        <v>207126.328465</v>
      </c>
      <c r="AI816" s="3" t="n">
        <v>210142.923637</v>
      </c>
      <c r="AJ816" s="3" t="n">
        <v>213269.023884</v>
      </c>
      <c r="AK816" s="3" t="n">
        <v>216291.445903</v>
      </c>
      <c r="AL816" s="3" t="n">
        <v>219341.818822</v>
      </c>
      <c r="AM816" s="3" t="n"/>
      <c r="AN816" s="3" t="n"/>
      <c r="AO816" s="3" t="n"/>
      <c r="AP816" s="3" t="n"/>
      <c r="AQ816" s="3" t="n"/>
      <c r="AR816" s="3" t="n"/>
      <c r="AS816" s="3" t="n"/>
      <c r="AT816" s="3" t="n"/>
      <c r="AU816" s="3" t="n"/>
    </row>
    <row r="817">
      <c r="A817" s="3" t="n">
        <v>2031</v>
      </c>
      <c r="B817" s="3" t="inlineStr">
        <is>
          <t>DZA</t>
        </is>
      </c>
      <c r="C817" s="3" t="inlineStr">
        <is>
          <t>IMF.RES:WEO</t>
        </is>
      </c>
      <c r="D817" s="3" t="inlineStr">
        <is>
          <t>DZA.PCPI.A</t>
        </is>
      </c>
      <c r="E817" s="3" t="inlineStr">
        <is>
          <t>Algeria</t>
        </is>
      </c>
      <c r="F817" s="3" t="inlineStr">
        <is>
          <t>All Items, Consumer price index (CPI), Period average</t>
        </is>
      </c>
      <c r="G817" s="3" t="n">
        <v>95.96929</v>
      </c>
      <c r="H817" s="3" t="n">
        <v>100</v>
      </c>
      <c r="I817" s="3" t="n">
        <v>101.4325</v>
      </c>
      <c r="J817" s="3" t="n">
        <v>105.755</v>
      </c>
      <c r="K817" s="3" t="n">
        <v>109.951667</v>
      </c>
      <c r="L817" s="3" t="n">
        <v>111.471667</v>
      </c>
      <c r="M817" s="3" t="n">
        <v>114.048333</v>
      </c>
      <c r="N817" s="3" t="n">
        <v>118.244167</v>
      </c>
      <c r="O817" s="3" t="n">
        <v>123.985</v>
      </c>
      <c r="P817" s="3" t="n">
        <v>131.1025</v>
      </c>
      <c r="Q817" s="3" t="n">
        <v>136.229933</v>
      </c>
      <c r="R817" s="3" t="n">
        <v>142.36039</v>
      </c>
      <c r="S817" s="3" t="n">
        <v>155.053249</v>
      </c>
      <c r="T817" s="3" t="n">
        <v>160.1</v>
      </c>
      <c r="U817" s="3" t="n">
        <v>164.77</v>
      </c>
      <c r="V817" s="3" t="n">
        <v>172.653333</v>
      </c>
      <c r="W817" s="3" t="n">
        <v>183.699167</v>
      </c>
      <c r="X817" s="3" t="n">
        <v>193.97</v>
      </c>
      <c r="Y817" s="3" t="n">
        <v>202.2525</v>
      </c>
      <c r="Z817" s="3" t="n">
        <v>206.2</v>
      </c>
      <c r="AA817" s="3" t="n">
        <v>211.18</v>
      </c>
      <c r="AB817" s="3" t="n">
        <v>226.44</v>
      </c>
      <c r="AC817" s="3" t="n">
        <v>247.425</v>
      </c>
      <c r="AD817" s="3" t="n">
        <v>270.485833</v>
      </c>
      <c r="AE817" s="3" t="n">
        <v>281.43</v>
      </c>
      <c r="AF817" s="3" t="n">
        <v>285.340805</v>
      </c>
      <c r="AG817" s="3" t="n">
        <v>293.686993</v>
      </c>
      <c r="AH817" s="3" t="n">
        <v>302.545505</v>
      </c>
      <c r="AI817" s="3" t="n">
        <v>311.48596</v>
      </c>
      <c r="AJ817" s="3" t="n">
        <v>321.871309</v>
      </c>
      <c r="AK817" s="3" t="n">
        <v>332.528224</v>
      </c>
      <c r="AL817" s="3" t="n">
        <v>343.343429</v>
      </c>
      <c r="AM817" s="3" t="n"/>
      <c r="AN817" s="3" t="n"/>
      <c r="AO817" s="3" t="n"/>
      <c r="AP817" s="3" t="n"/>
      <c r="AQ817" s="3" t="n"/>
      <c r="AR817" s="3" t="n"/>
      <c r="AS817" s="3" t="n"/>
      <c r="AT817" s="3" t="n"/>
      <c r="AU817" s="3" t="n"/>
    </row>
    <row r="818">
      <c r="A818" s="3" t="n">
        <v>2031</v>
      </c>
      <c r="B818" s="3" t="inlineStr">
        <is>
          <t>DZA</t>
        </is>
      </c>
      <c r="C818" s="3" t="inlineStr">
        <is>
          <t>IMF.RES:WEO</t>
        </is>
      </c>
      <c r="D818" s="3" t="inlineStr">
        <is>
          <t>DZA.PCPIPCH.A</t>
        </is>
      </c>
      <c r="E818" s="3" t="inlineStr">
        <is>
          <t>Algeria</t>
        </is>
      </c>
      <c r="F818" s="3" t="inlineStr">
        <is>
          <t>All Items, Consumer price index (CPI), Period average, percent change</t>
        </is>
      </c>
      <c r="G818" s="3" t="n">
        <v>0.3</v>
      </c>
      <c r="H818" s="3" t="n">
        <v>4.2</v>
      </c>
      <c r="I818" s="3" t="n">
        <v>1.4325</v>
      </c>
      <c r="J818" s="3" t="n">
        <v>4.261455</v>
      </c>
      <c r="K818" s="3" t="n">
        <v>3.968291</v>
      </c>
      <c r="L818" s="3" t="n">
        <v>1.382426</v>
      </c>
      <c r="M818" s="3" t="n">
        <v>2.311499</v>
      </c>
      <c r="N818" s="3" t="n">
        <v>3.678996</v>
      </c>
      <c r="O818" s="3" t="n">
        <v>4.855067</v>
      </c>
      <c r="P818" s="3" t="n">
        <v>5.740614</v>
      </c>
      <c r="Q818" s="3" t="n">
        <v>3.911011</v>
      </c>
      <c r="R818" s="3" t="n">
        <v>4.500081</v>
      </c>
      <c r="S818" s="3" t="n">
        <v>8.916005</v>
      </c>
      <c r="T818" s="3" t="n">
        <v>3.25485</v>
      </c>
      <c r="U818" s="3" t="n">
        <v>2.916927</v>
      </c>
      <c r="V818" s="3" t="n">
        <v>4.784447</v>
      </c>
      <c r="W818" s="3" t="n">
        <v>6.397695</v>
      </c>
      <c r="X818" s="3" t="n">
        <v>5.591116</v>
      </c>
      <c r="Y818" s="3" t="n">
        <v>4.26999</v>
      </c>
      <c r="Z818" s="3" t="n">
        <v>1.951768</v>
      </c>
      <c r="AA818" s="3" t="n">
        <v>2.415131</v>
      </c>
      <c r="AB818" s="3" t="n">
        <v>7.226063</v>
      </c>
      <c r="AC818" s="3" t="n">
        <v>9.267355999999999</v>
      </c>
      <c r="AD818" s="3" t="n">
        <v>9.320333</v>
      </c>
      <c r="AE818" s="3" t="n">
        <v>4.046115</v>
      </c>
      <c r="AF818" s="3" t="n">
        <v>1.389619</v>
      </c>
      <c r="AG818" s="3" t="n">
        <v>2.924989</v>
      </c>
      <c r="AH818" s="3" t="n">
        <v>3.016311</v>
      </c>
      <c r="AI818" s="3" t="n">
        <v>2.955078</v>
      </c>
      <c r="AJ818" s="3" t="n">
        <v>3.33413</v>
      </c>
      <c r="AK818" s="3" t="n">
        <v>3.310924</v>
      </c>
      <c r="AL818" s="3" t="n">
        <v>3.252417</v>
      </c>
      <c r="AM818" s="3" t="n"/>
      <c r="AN818" s="3" t="n"/>
      <c r="AO818" s="3" t="n"/>
      <c r="AP818" s="3" t="n"/>
      <c r="AQ818" s="3" t="n"/>
      <c r="AR818" s="3" t="n"/>
      <c r="AS818" s="3" t="n"/>
      <c r="AT818" s="3" t="n"/>
      <c r="AU818" s="3" t="n"/>
    </row>
    <row r="819">
      <c r="A819" s="3" t="n">
        <v>2031</v>
      </c>
      <c r="B819" s="3" t="inlineStr">
        <is>
          <t>DZA</t>
        </is>
      </c>
      <c r="C819" s="3" t="inlineStr">
        <is>
          <t>IMF.RES:WEO</t>
        </is>
      </c>
      <c r="D819" s="3" t="inlineStr">
        <is>
          <t>DZA.PPPPC.A</t>
        </is>
      </c>
      <c r="E819" s="3" t="inlineStr">
        <is>
          <t>Algeria</t>
        </is>
      </c>
      <c r="F819" s="3" t="inlineStr">
        <is>
          <t>Gross domestic product (GDP), Per capita, purchasing power parity (PPP) international dollar, ICP benchmarks 2017-2021</t>
        </is>
      </c>
      <c r="G819" s="3" t="n">
        <v>7447.538298</v>
      </c>
      <c r="H819" s="3" t="n">
        <v>7730.163087</v>
      </c>
      <c r="I819" s="3" t="n">
        <v>8153.047889</v>
      </c>
      <c r="J819" s="3" t="n">
        <v>8723.621072</v>
      </c>
      <c r="K819" s="3" t="n">
        <v>9222.186421</v>
      </c>
      <c r="L819" s="3" t="n">
        <v>9875.784298</v>
      </c>
      <c r="M819" s="3" t="n">
        <v>10319.777827</v>
      </c>
      <c r="N819" s="3" t="n">
        <v>10764.310469</v>
      </c>
      <c r="O819" s="3" t="n">
        <v>11007.659763</v>
      </c>
      <c r="P819" s="3" t="n">
        <v>10993.299134</v>
      </c>
      <c r="Q819" s="3" t="n">
        <v>11430.879052</v>
      </c>
      <c r="R819" s="3" t="n">
        <v>11774.868583</v>
      </c>
      <c r="S819" s="3" t="n">
        <v>12027.123392</v>
      </c>
      <c r="T819" s="3" t="n">
        <v>12287.039235</v>
      </c>
      <c r="U819" s="3" t="n">
        <v>12741.763836</v>
      </c>
      <c r="V819" s="3" t="n">
        <v>12989.585514</v>
      </c>
      <c r="W819" s="3" t="n">
        <v>13333.157641</v>
      </c>
      <c r="X819" s="3" t="n">
        <v>13483.307894</v>
      </c>
      <c r="Y819" s="3" t="n">
        <v>13703.602755</v>
      </c>
      <c r="Z819" s="3" t="n">
        <v>13851.117445</v>
      </c>
      <c r="AA819" s="3" t="n">
        <v>12731.75393</v>
      </c>
      <c r="AB819" s="3" t="n">
        <v>14556.823067</v>
      </c>
      <c r="AC819" s="3" t="n">
        <v>15898.784</v>
      </c>
      <c r="AD819" s="3" t="n">
        <v>16908.206458</v>
      </c>
      <c r="AE819" s="3" t="n">
        <v>17717.506201</v>
      </c>
      <c r="AF819" s="3" t="n">
        <v>18666.227826</v>
      </c>
      <c r="AG819" s="3" t="n">
        <v>19676.746002</v>
      </c>
      <c r="AH819" s="3" t="n">
        <v>20441.275419</v>
      </c>
      <c r="AI819" s="3" t="n">
        <v>21079.390576</v>
      </c>
      <c r="AJ819" s="3" t="n">
        <v>21773.359217</v>
      </c>
      <c r="AK819" s="3" t="n">
        <v>22487.689913</v>
      </c>
      <c r="AL819" s="3" t="n">
        <v>23216.531429</v>
      </c>
      <c r="AM819" s="3" t="n"/>
      <c r="AN819" s="3" t="n"/>
      <c r="AO819" s="3" t="n"/>
      <c r="AP819" s="3" t="n"/>
      <c r="AQ819" s="3" t="n"/>
      <c r="AR819" s="3" t="n"/>
      <c r="AS819" s="3" t="n"/>
      <c r="AT819" s="3" t="n"/>
      <c r="AU819" s="3" t="n"/>
    </row>
    <row r="820">
      <c r="A820" s="3" t="n">
        <v>2025</v>
      </c>
      <c r="B820" s="3" t="inlineStr">
        <is>
          <t>DZA</t>
        </is>
      </c>
      <c r="C820" s="3" t="inlineStr">
        <is>
          <t>IMF.STA:ER</t>
        </is>
      </c>
      <c r="D820" s="3" t="inlineStr">
        <is>
          <t>DZA.XDC_USD.PA_RT.A</t>
        </is>
      </c>
      <c r="E820" s="3" t="inlineStr">
        <is>
          <t>Algeria</t>
        </is>
      </c>
      <c r="F820" s="3" t="inlineStr">
        <is>
          <t>Domestic currency per US Dollar</t>
        </is>
      </c>
      <c r="G820" s="3" t="n">
        <v>75.2597916666666</v>
      </c>
      <c r="H820" s="3" t="n">
        <v>77.2150208333333</v>
      </c>
      <c r="I820" s="3" t="n">
        <v>79.6819</v>
      </c>
      <c r="J820" s="3" t="n">
        <v>77.3949749999999</v>
      </c>
      <c r="K820" s="3" t="n">
        <v>72.06065</v>
      </c>
      <c r="L820" s="3" t="n">
        <v>73.2763083333333</v>
      </c>
      <c r="M820" s="3" t="n">
        <v>72.6466166666666</v>
      </c>
      <c r="N820" s="3" t="n">
        <v>69.2924</v>
      </c>
      <c r="O820" s="3" t="n">
        <v>64.58279999999991</v>
      </c>
      <c r="P820" s="3" t="n">
        <v>72.6474166666666</v>
      </c>
      <c r="Q820" s="3" t="n">
        <v>74.3859833333333</v>
      </c>
      <c r="R820" s="3" t="n">
        <v>72.9378833333333</v>
      </c>
      <c r="S820" s="3" t="n">
        <v>77.5359666666666</v>
      </c>
      <c r="T820" s="3" t="n">
        <v>79.36839999999999</v>
      </c>
      <c r="U820" s="3" t="n">
        <v>80.5790166666666</v>
      </c>
      <c r="V820" s="3" t="n">
        <v>100.691433333333</v>
      </c>
      <c r="W820" s="3" t="n">
        <v>109.443066666666</v>
      </c>
      <c r="X820" s="3" t="n">
        <v>110.973016666666</v>
      </c>
      <c r="Y820" s="3" t="n">
        <v>116.593791666666</v>
      </c>
      <c r="Z820" s="3" t="n">
        <v>119.353558333333</v>
      </c>
      <c r="AA820" s="3" t="n">
        <v>126.7768</v>
      </c>
      <c r="AB820" s="3" t="n">
        <v>135.064058333333</v>
      </c>
      <c r="AC820" s="3" t="n">
        <v>141.994975</v>
      </c>
      <c r="AD820" s="3" t="n">
        <v>135.842933333333</v>
      </c>
      <c r="AE820" s="3" t="n">
        <v>134.053241666666</v>
      </c>
      <c r="AF820" s="3" t="n">
        <v>131.605925</v>
      </c>
      <c r="AG820" s="3" t="n"/>
      <c r="AH820" s="3" t="n"/>
      <c r="AI820" s="3" t="n"/>
      <c r="AJ820" s="3" t="n"/>
      <c r="AK820" s="3" t="n"/>
      <c r="AL820" s="3" t="n"/>
      <c r="AM820" s="3" t="n"/>
      <c r="AN820" s="3" t="n"/>
      <c r="AO820" s="3" t="n"/>
      <c r="AP820" s="3" t="n"/>
      <c r="AQ820" s="3" t="n"/>
      <c r="AR820" s="3" t="n"/>
      <c r="AS820" s="3" t="n"/>
      <c r="AT820" s="3" t="n"/>
      <c r="AU820" s="3" t="n"/>
    </row>
    <row r="821">
      <c r="A821" s="3" t="n">
        <v>2031</v>
      </c>
      <c r="B821" s="3" t="inlineStr">
        <is>
          <t>ECU</t>
        </is>
      </c>
      <c r="C821" s="3" t="inlineStr">
        <is>
          <t>IMF.RES:WEO</t>
        </is>
      </c>
      <c r="D821" s="3" t="inlineStr">
        <is>
          <t>ECU.BCA.A</t>
        </is>
      </c>
      <c r="E821" s="3" t="inlineStr">
        <is>
          <t>Ecuador</t>
        </is>
      </c>
      <c r="F821" s="3" t="inlineStr">
        <is>
          <t>Current account balance (credit less debit), US dollar</t>
        </is>
      </c>
      <c r="G821" s="3" t="n">
        <v>1.112625</v>
      </c>
      <c r="H821" s="3" t="n">
        <v>-0.551176</v>
      </c>
      <c r="I821" s="3" t="n">
        <v>-1.219025</v>
      </c>
      <c r="J821" s="3" t="n">
        <v>-0.386818</v>
      </c>
      <c r="K821" s="3" t="n">
        <v>-0.479423</v>
      </c>
      <c r="L821" s="3" t="n">
        <v>0.473925</v>
      </c>
      <c r="M821" s="3" t="n">
        <v>1.739927</v>
      </c>
      <c r="N821" s="3" t="n">
        <v>1.886489</v>
      </c>
      <c r="O821" s="3" t="n">
        <v>1.769408</v>
      </c>
      <c r="P821" s="3" t="n">
        <v>0.313049</v>
      </c>
      <c r="Q821" s="3" t="n">
        <v>-1.582287</v>
      </c>
      <c r="R821" s="3" t="n">
        <v>-0.400136</v>
      </c>
      <c r="S821" s="3" t="n">
        <v>-0.146438</v>
      </c>
      <c r="T821" s="3" t="n">
        <v>-0.932906</v>
      </c>
      <c r="U821" s="3" t="n">
        <v>-0.6687419999999999</v>
      </c>
      <c r="V821" s="3" t="n">
        <v>-2.221087</v>
      </c>
      <c r="W821" s="3" t="n">
        <v>0.891305</v>
      </c>
      <c r="X821" s="3" t="n">
        <v>-0.404543</v>
      </c>
      <c r="Y821" s="3" t="n">
        <v>-1.64783</v>
      </c>
      <c r="Z821" s="3" t="n">
        <v>-0.5449310000000001</v>
      </c>
      <c r="AA821" s="3" t="n">
        <v>2.00679</v>
      </c>
      <c r="AB821" s="3" t="n">
        <v>3.042753</v>
      </c>
      <c r="AC821" s="3" t="n">
        <v>2.268743</v>
      </c>
      <c r="AD821" s="3" t="n">
        <v>2.404555</v>
      </c>
      <c r="AE821" s="3" t="n">
        <v>7.044733</v>
      </c>
      <c r="AF821" s="3" t="n">
        <v>7.592495</v>
      </c>
      <c r="AG821" s="3" t="n">
        <v>7.202588</v>
      </c>
      <c r="AH821" s="3" t="n">
        <v>6.564934</v>
      </c>
      <c r="AI821" s="3" t="n">
        <v>6.56401</v>
      </c>
      <c r="AJ821" s="3" t="n">
        <v>6.334348</v>
      </c>
      <c r="AK821" s="3" t="n">
        <v>5.895238</v>
      </c>
      <c r="AL821" s="3" t="n">
        <v>5.267673</v>
      </c>
      <c r="AM821" s="3" t="n"/>
      <c r="AN821" s="3" t="n"/>
      <c r="AO821" s="3" t="n"/>
      <c r="AP821" s="3" t="n"/>
      <c r="AQ821" s="3" t="n"/>
      <c r="AR821" s="3" t="n"/>
      <c r="AS821" s="3" t="n"/>
      <c r="AT821" s="3" t="n"/>
      <c r="AU821" s="3" t="n"/>
    </row>
    <row r="822">
      <c r="A822" s="3" t="n">
        <v>2031</v>
      </c>
      <c r="B822" s="3" t="inlineStr">
        <is>
          <t>ECU</t>
        </is>
      </c>
      <c r="C822" s="3" t="inlineStr">
        <is>
          <t>IMF.RES:WEO</t>
        </is>
      </c>
      <c r="D822" s="3" t="inlineStr">
        <is>
          <t>ECU.BCA_NGDPD.A</t>
        </is>
      </c>
      <c r="E822" s="3" t="inlineStr">
        <is>
          <t>Ecuador</t>
        </is>
      </c>
      <c r="F822" s="3" t="inlineStr">
        <is>
          <t>Current account balance (credit less debit), Percent of GDP</t>
        </is>
      </c>
      <c r="G822" s="3" t="n">
        <v>6.346728</v>
      </c>
      <c r="H822" s="3" t="n">
        <v>-2.383251</v>
      </c>
      <c r="I822" s="3" t="n">
        <v>-4.505862</v>
      </c>
      <c r="J822" s="3" t="n">
        <v>-1.249204</v>
      </c>
      <c r="K822" s="3" t="n">
        <v>-1.362192</v>
      </c>
      <c r="L822" s="3" t="n">
        <v>1.176611</v>
      </c>
      <c r="M822" s="3" t="n">
        <v>3.80805</v>
      </c>
      <c r="N822" s="3" t="n">
        <v>3.784427</v>
      </c>
      <c r="O822" s="3" t="n">
        <v>2.894053</v>
      </c>
      <c r="P822" s="3" t="n">
        <v>0.5209240000000001</v>
      </c>
      <c r="Q822" s="3" t="n">
        <v>-2.321726</v>
      </c>
      <c r="R822" s="3" t="n">
        <v>-0.506587</v>
      </c>
      <c r="S822" s="3" t="n">
        <v>-0.16691</v>
      </c>
      <c r="T822" s="3" t="n">
        <v>-0.966038</v>
      </c>
      <c r="U822" s="3" t="n">
        <v>-0.651048</v>
      </c>
      <c r="V822" s="3" t="n">
        <v>-2.284844</v>
      </c>
      <c r="W822" s="3" t="n">
        <v>0.912554</v>
      </c>
      <c r="X822" s="3" t="n">
        <v>-0.387243</v>
      </c>
      <c r="Y822" s="3" t="n">
        <v>-1.533165</v>
      </c>
      <c r="Z822" s="3" t="n">
        <v>-0.5064610000000001</v>
      </c>
      <c r="AA822" s="3" t="n">
        <v>2.09334</v>
      </c>
      <c r="AB822" s="3" t="n">
        <v>2.838943</v>
      </c>
      <c r="AC822" s="3" t="n">
        <v>1.953571</v>
      </c>
      <c r="AD822" s="3" t="n">
        <v>1.990644</v>
      </c>
      <c r="AE822" s="3" t="n">
        <v>5.690305</v>
      </c>
      <c r="AF822" s="3" t="n">
        <v>5.826014</v>
      </c>
      <c r="AG822" s="3" t="n">
        <v>5.211928</v>
      </c>
      <c r="AH822" s="3" t="n">
        <v>4.554723</v>
      </c>
      <c r="AI822" s="3" t="n">
        <v>4.37204</v>
      </c>
      <c r="AJ822" s="3" t="n">
        <v>4.043354</v>
      </c>
      <c r="AK822" s="3" t="n">
        <v>3.598659</v>
      </c>
      <c r="AL822" s="3" t="n">
        <v>3.075088</v>
      </c>
      <c r="AM822" s="3" t="n"/>
      <c r="AN822" s="3" t="n"/>
      <c r="AO822" s="3" t="n"/>
      <c r="AP822" s="3" t="n"/>
      <c r="AQ822" s="3" t="n"/>
      <c r="AR822" s="3" t="n"/>
      <c r="AS822" s="3" t="n"/>
      <c r="AT822" s="3" t="n"/>
      <c r="AU822" s="3" t="n"/>
    </row>
    <row r="823">
      <c r="A823" s="3" t="n">
        <v>2025</v>
      </c>
      <c r="B823" s="3" t="inlineStr">
        <is>
          <t>ECU</t>
        </is>
      </c>
      <c r="C823" s="3" t="inlineStr">
        <is>
          <t>IMF.RES:WEO</t>
        </is>
      </c>
      <c r="D823" s="3" t="inlineStr">
        <is>
          <t>ECU.GGR_NGDP.A</t>
        </is>
      </c>
      <c r="E823" s="3" t="inlineStr">
        <is>
          <t>Ecuador</t>
        </is>
      </c>
      <c r="F823" s="3" t="inlineStr">
        <is>
          <t>Revenue, General government, Percent of GDP</t>
        </is>
      </c>
      <c r="G823" s="3" t="n">
        <v>23.93914</v>
      </c>
      <c r="H823" s="3" t="n">
        <v>21.423413</v>
      </c>
      <c r="I823" s="3" t="n">
        <v>23.511607</v>
      </c>
      <c r="J823" s="3" t="n">
        <v>22.316152</v>
      </c>
      <c r="K823" s="3" t="n">
        <v>23.231962</v>
      </c>
      <c r="L823" s="3" t="n">
        <v>22.70607</v>
      </c>
      <c r="M823" s="3" t="n">
        <v>24.649881</v>
      </c>
      <c r="N823" s="3" t="n">
        <v>27.343914</v>
      </c>
      <c r="O823" s="3" t="n">
        <v>36.160579</v>
      </c>
      <c r="P823" s="3" t="n">
        <v>30.582278</v>
      </c>
      <c r="Q823" s="3" t="n">
        <v>34.010198</v>
      </c>
      <c r="R823" s="3" t="n">
        <v>39.487399</v>
      </c>
      <c r="S823" s="3" t="n">
        <v>40.333819</v>
      </c>
      <c r="T823" s="3" t="n">
        <v>38.565054</v>
      </c>
      <c r="U823" s="3" t="n">
        <v>37.827218</v>
      </c>
      <c r="V823" s="3" t="n">
        <v>37.221684</v>
      </c>
      <c r="W823" s="3" t="n">
        <v>33.83565</v>
      </c>
      <c r="X823" s="3" t="n">
        <v>34.713775</v>
      </c>
      <c r="Y823" s="3" t="n">
        <v>38.121949</v>
      </c>
      <c r="Z823" s="3" t="n">
        <v>36.285548</v>
      </c>
      <c r="AA823" s="3" t="n">
        <v>32.824707</v>
      </c>
      <c r="AB823" s="3" t="n">
        <v>35.868237</v>
      </c>
      <c r="AC823" s="3" t="n">
        <v>38.896373</v>
      </c>
      <c r="AD823" s="3" t="n">
        <v>36.077928</v>
      </c>
      <c r="AE823" s="3" t="n">
        <v>37.056119</v>
      </c>
      <c r="AF823" s="3" t="n">
        <v>35.505033</v>
      </c>
      <c r="AG823" s="3" t="n"/>
      <c r="AH823" s="3" t="n"/>
      <c r="AI823" s="3" t="n"/>
      <c r="AJ823" s="3" t="n"/>
      <c r="AK823" s="3" t="n"/>
      <c r="AL823" s="3" t="n"/>
      <c r="AM823" s="3" t="n"/>
      <c r="AN823" s="3" t="n"/>
      <c r="AO823" s="3" t="n"/>
      <c r="AP823" s="3" t="n"/>
      <c r="AQ823" s="3" t="n"/>
      <c r="AR823" s="3" t="n"/>
      <c r="AS823" s="3" t="n"/>
      <c r="AT823" s="3" t="n"/>
      <c r="AU823" s="3" t="n"/>
    </row>
    <row r="824">
      <c r="A824" s="3" t="n">
        <v>2025</v>
      </c>
      <c r="B824" s="3" t="inlineStr">
        <is>
          <t>ECU</t>
        </is>
      </c>
      <c r="C824" s="3" t="inlineStr">
        <is>
          <t>IMF.RES:WEO</t>
        </is>
      </c>
      <c r="D824" s="3" t="inlineStr">
        <is>
          <t>ECU.GGX_NGDP.A</t>
        </is>
      </c>
      <c r="E824" s="3" t="inlineStr">
        <is>
          <t>Ecuador</t>
        </is>
      </c>
      <c r="F824" s="3" t="inlineStr">
        <is>
          <t>Expenditure, General government, Percent of GDP</t>
        </is>
      </c>
      <c r="G824" s="3" t="n">
        <v>24.259463</v>
      </c>
      <c r="H824" s="3" t="n">
        <v>21.390702</v>
      </c>
      <c r="I824" s="3" t="n">
        <v>22.773504</v>
      </c>
      <c r="J824" s="3" t="n">
        <v>21.270841</v>
      </c>
      <c r="K824" s="3" t="n">
        <v>21.290385</v>
      </c>
      <c r="L824" s="3" t="n">
        <v>22.045183</v>
      </c>
      <c r="M824" s="3" t="n">
        <v>21.728611</v>
      </c>
      <c r="N824" s="3" t="n">
        <v>24.685589</v>
      </c>
      <c r="O824" s="3" t="n">
        <v>35.592519</v>
      </c>
      <c r="P824" s="3" t="n">
        <v>34.296314</v>
      </c>
      <c r="Q824" s="3" t="n">
        <v>35.395571</v>
      </c>
      <c r="R824" s="3" t="n">
        <v>39.614593</v>
      </c>
      <c r="S824" s="3" t="n">
        <v>43.168691</v>
      </c>
      <c r="T824" s="3" t="n">
        <v>46.730265</v>
      </c>
      <c r="U824" s="3" t="n">
        <v>45.933535</v>
      </c>
      <c r="V824" s="3" t="n">
        <v>44.088057</v>
      </c>
      <c r="W824" s="3" t="n">
        <v>44.128135</v>
      </c>
      <c r="X824" s="3" t="n">
        <v>40.485949</v>
      </c>
      <c r="Y824" s="3" t="n">
        <v>40.924675</v>
      </c>
      <c r="Z824" s="3" t="n">
        <v>39.753153</v>
      </c>
      <c r="AA824" s="3" t="n">
        <v>40.200416</v>
      </c>
      <c r="AB824" s="3" t="n">
        <v>37.457024</v>
      </c>
      <c r="AC824" s="3" t="n">
        <v>38.852724</v>
      </c>
      <c r="AD824" s="3" t="n">
        <v>39.569365</v>
      </c>
      <c r="AE824" s="3" t="n">
        <v>38.34066</v>
      </c>
      <c r="AF824" s="3" t="n">
        <v>38.386462</v>
      </c>
      <c r="AG824" s="3" t="n"/>
      <c r="AH824" s="3" t="n"/>
      <c r="AI824" s="3" t="n"/>
      <c r="AJ824" s="3" t="n"/>
      <c r="AK824" s="3" t="n"/>
      <c r="AL824" s="3" t="n"/>
      <c r="AM824" s="3" t="n"/>
      <c r="AN824" s="3" t="n"/>
      <c r="AO824" s="3" t="n"/>
      <c r="AP824" s="3" t="n"/>
      <c r="AQ824" s="3" t="n"/>
      <c r="AR824" s="3" t="n"/>
      <c r="AS824" s="3" t="n"/>
      <c r="AT824" s="3" t="n"/>
      <c r="AU824" s="3" t="n"/>
    </row>
    <row r="825">
      <c r="A825" s="3" t="n">
        <v>2031</v>
      </c>
      <c r="B825" s="3" t="inlineStr">
        <is>
          <t>ECU</t>
        </is>
      </c>
      <c r="C825" s="3" t="inlineStr">
        <is>
          <t>IMF.RES:WEO</t>
        </is>
      </c>
      <c r="D825" s="3" t="inlineStr">
        <is>
          <t>ECU.LP.A</t>
        </is>
      </c>
      <c r="E825" s="3" t="inlineStr">
        <is>
          <t>Ecuador</t>
        </is>
      </c>
      <c r="F825" s="3" t="inlineStr">
        <is>
          <t>Population, Persons for countries / Index for country groups</t>
        </is>
      </c>
      <c r="G825" s="3" t="n">
        <v>12.480574</v>
      </c>
      <c r="H825" s="3" t="n">
        <v>12.681367</v>
      </c>
      <c r="I825" s="3" t="n">
        <v>12.900668</v>
      </c>
      <c r="J825" s="3" t="n">
        <v>13.131753</v>
      </c>
      <c r="K825" s="3" t="n">
        <v>13.366595</v>
      </c>
      <c r="L825" s="3" t="n">
        <v>13.604351</v>
      </c>
      <c r="M825" s="3" t="n">
        <v>13.852369</v>
      </c>
      <c r="N825" s="3" t="n">
        <v>14.106786</v>
      </c>
      <c r="O825" s="3" t="n">
        <v>14.35909</v>
      </c>
      <c r="P825" s="3" t="n">
        <v>14.616393</v>
      </c>
      <c r="Q825" s="3" t="n">
        <v>14.883661</v>
      </c>
      <c r="R825" s="3" t="n">
        <v>15.160587</v>
      </c>
      <c r="S825" s="3" t="n">
        <v>15.44055</v>
      </c>
      <c r="T825" s="3" t="n">
        <v>15.717514</v>
      </c>
      <c r="U825" s="3" t="n">
        <v>15.994366</v>
      </c>
      <c r="V825" s="3" t="n">
        <v>16.269171</v>
      </c>
      <c r="W825" s="3" t="n">
        <v>16.532265</v>
      </c>
      <c r="X825" s="3" t="n">
        <v>16.792803</v>
      </c>
      <c r="Y825" s="3" t="n">
        <v>17.077883</v>
      </c>
      <c r="Z825" s="3" t="n">
        <v>17.35688</v>
      </c>
      <c r="AA825" s="3" t="n">
        <v>17.526455</v>
      </c>
      <c r="AB825" s="3" t="n">
        <v>17.614396</v>
      </c>
      <c r="AC825" s="3" t="n">
        <v>17.715301</v>
      </c>
      <c r="AD825" s="3" t="n">
        <v>17.834831</v>
      </c>
      <c r="AE825" s="3" t="n">
        <v>17.966573</v>
      </c>
      <c r="AF825" s="3" t="n">
        <v>18.10366</v>
      </c>
      <c r="AG825" s="3" t="n">
        <v>18.243816</v>
      </c>
      <c r="AH825" s="3" t="n">
        <v>18.385975</v>
      </c>
      <c r="AI825" s="3" t="n">
        <v>18.529121</v>
      </c>
      <c r="AJ825" s="3" t="n">
        <v>18.672456</v>
      </c>
      <c r="AK825" s="3" t="n">
        <v>18.815497</v>
      </c>
      <c r="AL825" s="3" t="n">
        <v>18.957924</v>
      </c>
      <c r="AM825" s="3" t="n"/>
      <c r="AN825" s="3" t="n"/>
      <c r="AO825" s="3" t="n"/>
      <c r="AP825" s="3" t="n"/>
      <c r="AQ825" s="3" t="n"/>
      <c r="AR825" s="3" t="n"/>
      <c r="AS825" s="3" t="n"/>
      <c r="AT825" s="3" t="n"/>
      <c r="AU825" s="3" t="n"/>
    </row>
    <row r="826">
      <c r="A826" s="3" t="n">
        <v>2031</v>
      </c>
      <c r="B826" s="3" t="inlineStr">
        <is>
          <t>ECU</t>
        </is>
      </c>
      <c r="C826" s="3" t="inlineStr">
        <is>
          <t>IMF.RES:WEO</t>
        </is>
      </c>
      <c r="D826" s="3" t="inlineStr">
        <is>
          <t>ECU.NGDP.A</t>
        </is>
      </c>
      <c r="E826" s="3" t="inlineStr">
        <is>
          <t>Ecuador</t>
        </is>
      </c>
      <c r="F826" s="3" t="inlineStr">
        <is>
          <t>Gross domestic product (GDP), Current prices, Domestic currency</t>
        </is>
      </c>
      <c r="G826" s="3" t="n">
        <v>17.530685</v>
      </c>
      <c r="H826" s="3" t="n">
        <v>23.127055</v>
      </c>
      <c r="I826" s="3" t="n">
        <v>27.054197</v>
      </c>
      <c r="J826" s="3" t="n">
        <v>30.965208</v>
      </c>
      <c r="K826" s="3" t="n">
        <v>35.194947</v>
      </c>
      <c r="L826" s="3" t="n">
        <v>40.278849</v>
      </c>
      <c r="M826" s="3" t="n">
        <v>45.690762</v>
      </c>
      <c r="N826" s="3" t="n">
        <v>49.848725</v>
      </c>
      <c r="O826" s="3" t="n">
        <v>61.139438</v>
      </c>
      <c r="P826" s="3" t="n">
        <v>60.094978</v>
      </c>
      <c r="Q826" s="3" t="n">
        <v>68.151329</v>
      </c>
      <c r="R826" s="3" t="n">
        <v>78.986648</v>
      </c>
      <c r="S826" s="3" t="n">
        <v>87.73504800000001</v>
      </c>
      <c r="T826" s="3" t="n">
        <v>96.570334</v>
      </c>
      <c r="U826" s="3" t="n">
        <v>102.717794</v>
      </c>
      <c r="V826" s="3" t="n">
        <v>97.209558</v>
      </c>
      <c r="W826" s="3" t="n">
        <v>97.67143299999999</v>
      </c>
      <c r="X826" s="3" t="n">
        <v>104.467486</v>
      </c>
      <c r="Y826" s="3" t="n">
        <v>107.478962</v>
      </c>
      <c r="Z826" s="3" t="n">
        <v>107.595829</v>
      </c>
      <c r="AA826" s="3" t="n">
        <v>95.86547400000001</v>
      </c>
      <c r="AB826" s="3" t="n">
        <v>107.179075</v>
      </c>
      <c r="AC826" s="3" t="n">
        <v>116.133122</v>
      </c>
      <c r="AD826" s="3" t="n">
        <v>120.792801</v>
      </c>
      <c r="AE826" s="3" t="n">
        <v>123.802374</v>
      </c>
      <c r="AF826" s="3" t="n">
        <v>130.32056</v>
      </c>
      <c r="AG826" s="3" t="n">
        <v>138.194326</v>
      </c>
      <c r="AH826" s="3" t="n">
        <v>144.134668</v>
      </c>
      <c r="AI826" s="3" t="n">
        <v>150.136098</v>
      </c>
      <c r="AJ826" s="3" t="n">
        <v>156.660719</v>
      </c>
      <c r="AK826" s="3" t="n">
        <v>163.817641</v>
      </c>
      <c r="AL826" s="3" t="n">
        <v>171.301521</v>
      </c>
      <c r="AM826" s="3" t="n"/>
      <c r="AN826" s="3" t="n"/>
      <c r="AO826" s="3" t="n"/>
      <c r="AP826" s="3" t="n"/>
      <c r="AQ826" s="3" t="n"/>
      <c r="AR826" s="3" t="n"/>
      <c r="AS826" s="3" t="n"/>
      <c r="AT826" s="3" t="n"/>
      <c r="AU826" s="3" t="n"/>
    </row>
    <row r="827">
      <c r="A827" s="3" t="n">
        <v>2031</v>
      </c>
      <c r="B827" s="3" t="inlineStr">
        <is>
          <t>ECU</t>
        </is>
      </c>
      <c r="C827" s="3" t="inlineStr">
        <is>
          <t>IMF.RES:WEO</t>
        </is>
      </c>
      <c r="D827" s="3" t="inlineStr">
        <is>
          <t>ECU.NGDP_D.A</t>
        </is>
      </c>
      <c r="E827" s="3" t="inlineStr">
        <is>
          <t>Ecuador</t>
        </is>
      </c>
      <c r="F827" s="3" t="inlineStr">
        <is>
          <t>Gross domestic product (GDP), Price deflator, Index</t>
        </is>
      </c>
      <c r="G827" s="3" t="n">
        <v>33.610704</v>
      </c>
      <c r="H827" s="3" t="n">
        <v>42.550552</v>
      </c>
      <c r="I827" s="3" t="n">
        <v>47.438148</v>
      </c>
      <c r="J827" s="3" t="n">
        <v>52.77365</v>
      </c>
      <c r="K827" s="3" t="n">
        <v>56.146213</v>
      </c>
      <c r="L827" s="3" t="n">
        <v>60.965237</v>
      </c>
      <c r="M827" s="3" t="n">
        <v>66.279325</v>
      </c>
      <c r="N827" s="3" t="n">
        <v>70.96091300000001</v>
      </c>
      <c r="O827" s="3" t="n">
        <v>81.671835</v>
      </c>
      <c r="P827" s="3" t="n">
        <v>79.410239</v>
      </c>
      <c r="Q827" s="3" t="n">
        <v>86.568054</v>
      </c>
      <c r="R827" s="3" t="n">
        <v>92.487155</v>
      </c>
      <c r="S827" s="3" t="n">
        <v>97.11450600000001</v>
      </c>
      <c r="T827" s="3" t="n">
        <v>99.704421</v>
      </c>
      <c r="U827" s="3" t="n">
        <v>101.751313</v>
      </c>
      <c r="V827" s="3" t="n">
        <v>96.179785</v>
      </c>
      <c r="W827" s="3" t="n">
        <v>97.306189</v>
      </c>
      <c r="X827" s="3" t="n">
        <v>98.213114</v>
      </c>
      <c r="Y827" s="3" t="n">
        <v>100.000002</v>
      </c>
      <c r="Z827" s="3" t="n">
        <v>99.943425</v>
      </c>
      <c r="AA827" s="3" t="n">
        <v>98.11850200000001</v>
      </c>
      <c r="AB827" s="3" t="n">
        <v>100.252329</v>
      </c>
      <c r="AC827" s="3" t="n">
        <v>102.606323</v>
      </c>
      <c r="AD827" s="3" t="n">
        <v>104.802398</v>
      </c>
      <c r="AE827" s="3" t="n">
        <v>109.543185</v>
      </c>
      <c r="AF827" s="3" t="n">
        <v>111.168543</v>
      </c>
      <c r="AG827" s="3" t="n">
        <v>114.998706</v>
      </c>
      <c r="AH827" s="3" t="n">
        <v>117.016561</v>
      </c>
      <c r="AI827" s="3" t="n">
        <v>118.800056</v>
      </c>
      <c r="AJ827" s="3" t="n">
        <v>120.586452</v>
      </c>
      <c r="AK827" s="3" t="n">
        <v>122.42267</v>
      </c>
      <c r="AL827" s="3" t="n">
        <v>124.286848</v>
      </c>
      <c r="AM827" s="3" t="n"/>
      <c r="AN827" s="3" t="n"/>
      <c r="AO827" s="3" t="n"/>
      <c r="AP827" s="3" t="n"/>
      <c r="AQ827" s="3" t="n"/>
      <c r="AR827" s="3" t="n"/>
      <c r="AS827" s="3" t="n"/>
      <c r="AT827" s="3" t="n"/>
      <c r="AU827" s="3" t="n"/>
    </row>
    <row r="828">
      <c r="A828" s="3" t="n">
        <v>2031</v>
      </c>
      <c r="B828" s="3" t="inlineStr">
        <is>
          <t>ECU</t>
        </is>
      </c>
      <c r="C828" s="3" t="inlineStr">
        <is>
          <t>IMF.RES:WEO</t>
        </is>
      </c>
      <c r="D828" s="3" t="inlineStr">
        <is>
          <t>ECU.NGDP_R.A</t>
        </is>
      </c>
      <c r="E828" s="3" t="inlineStr">
        <is>
          <t>Ecuador</t>
        </is>
      </c>
      <c r="F828" s="3" t="inlineStr">
        <is>
          <t>Gross domestic product (GDP), Constant prices, Domestic currency</t>
        </is>
      </c>
      <c r="G828" s="3" t="n">
        <v>52.158041</v>
      </c>
      <c r="H828" s="3" t="n">
        <v>54.35195</v>
      </c>
      <c r="I828" s="3" t="n">
        <v>57.030466</v>
      </c>
      <c r="J828" s="3" t="n">
        <v>58.67551</v>
      </c>
      <c r="K828" s="3" t="n">
        <v>62.684454</v>
      </c>
      <c r="L828" s="3" t="n">
        <v>66.068551</v>
      </c>
      <c r="M828" s="3" t="n">
        <v>68.936674</v>
      </c>
      <c r="N828" s="3" t="n">
        <v>70.24814499999999</v>
      </c>
      <c r="O828" s="3" t="n">
        <v>74.85988</v>
      </c>
      <c r="P828" s="3" t="n">
        <v>75.67661099999999</v>
      </c>
      <c r="Q828" s="3" t="n">
        <v>78.72572599999999</v>
      </c>
      <c r="R828" s="3" t="n">
        <v>85.40282999999999</v>
      </c>
      <c r="S828" s="3" t="n">
        <v>90.341857</v>
      </c>
      <c r="T828" s="3" t="n">
        <v>96.856622</v>
      </c>
      <c r="U828" s="3" t="n">
        <v>100.949846</v>
      </c>
      <c r="V828" s="3" t="n">
        <v>101.070675</v>
      </c>
      <c r="W828" s="3" t="n">
        <v>100.375355</v>
      </c>
      <c r="X828" s="3" t="n">
        <v>106.368164</v>
      </c>
      <c r="Y828" s="3" t="n">
        <v>107.47896</v>
      </c>
      <c r="Z828" s="3" t="n">
        <v>107.656736</v>
      </c>
      <c r="AA828" s="3" t="n">
        <v>97.703768</v>
      </c>
      <c r="AB828" s="3" t="n">
        <v>106.909312</v>
      </c>
      <c r="AC828" s="3" t="n">
        <v>113.183202</v>
      </c>
      <c r="AD828" s="3" t="n">
        <v>115.257669</v>
      </c>
      <c r="AE828" s="3" t="n">
        <v>113.016957</v>
      </c>
      <c r="AF828" s="3" t="n">
        <v>117.22791</v>
      </c>
      <c r="AG828" s="3" t="n">
        <v>120.170331</v>
      </c>
      <c r="AH828" s="3" t="n">
        <v>123.174589</v>
      </c>
      <c r="AI828" s="3" t="n">
        <v>126.377128</v>
      </c>
      <c r="AJ828" s="3" t="n">
        <v>129.915688</v>
      </c>
      <c r="AK828" s="3" t="n">
        <v>133.813158</v>
      </c>
      <c r="AL828" s="3" t="n">
        <v>137.827553</v>
      </c>
      <c r="AM828" s="3" t="n"/>
      <c r="AN828" s="3" t="n"/>
      <c r="AO828" s="3" t="n"/>
      <c r="AP828" s="3" t="n"/>
      <c r="AQ828" s="3" t="n"/>
      <c r="AR828" s="3" t="n"/>
      <c r="AS828" s="3" t="n"/>
      <c r="AT828" s="3" t="n"/>
      <c r="AU828" s="3" t="n"/>
    </row>
    <row r="829">
      <c r="A829" s="3" t="n">
        <v>2031</v>
      </c>
      <c r="B829" s="3" t="inlineStr">
        <is>
          <t>ECU</t>
        </is>
      </c>
      <c r="C829" s="3" t="inlineStr">
        <is>
          <t>IMF.RES:WEO</t>
        </is>
      </c>
      <c r="D829" s="3" t="inlineStr">
        <is>
          <t>ECU.NGDP_RPCH.A</t>
        </is>
      </c>
      <c r="E829" s="3" t="inlineStr">
        <is>
          <t>Ecuador</t>
        </is>
      </c>
      <c r="F829" s="3" t="inlineStr">
        <is>
          <t>Gross domestic product (GDP), Constant prices, Percent change</t>
        </is>
      </c>
      <c r="G829" s="3" t="n">
        <v>1.091802</v>
      </c>
      <c r="H829" s="3" t="n">
        <v>4.206272</v>
      </c>
      <c r="I829" s="3" t="n">
        <v>4.928095</v>
      </c>
      <c r="J829" s="3" t="n">
        <v>2.8845</v>
      </c>
      <c r="K829" s="3" t="n">
        <v>6.832397</v>
      </c>
      <c r="L829" s="3" t="n">
        <v>5.398622</v>
      </c>
      <c r="M829" s="3" t="n">
        <v>4.341132</v>
      </c>
      <c r="N829" s="3" t="n">
        <v>1.902429</v>
      </c>
      <c r="O829" s="3" t="n">
        <v>6.564921</v>
      </c>
      <c r="P829" s="3" t="n">
        <v>1.091013</v>
      </c>
      <c r="Q829" s="3" t="n">
        <v>4.029138</v>
      </c>
      <c r="R829" s="3" t="n">
        <v>8.481477</v>
      </c>
      <c r="S829" s="3" t="n">
        <v>5.783212</v>
      </c>
      <c r="T829" s="3" t="n">
        <v>7.211237</v>
      </c>
      <c r="U829" s="3" t="n">
        <v>4.226065</v>
      </c>
      <c r="V829" s="3" t="n">
        <v>0.119692</v>
      </c>
      <c r="W829" s="3" t="n">
        <v>-0.687954</v>
      </c>
      <c r="X829" s="3" t="n">
        <v>5.970399</v>
      </c>
      <c r="Y829" s="3" t="n">
        <v>1.044294</v>
      </c>
      <c r="Z829" s="3" t="n">
        <v>0.165405</v>
      </c>
      <c r="AA829" s="3" t="n">
        <v>-9.245094999999999</v>
      </c>
      <c r="AB829" s="3" t="n">
        <v>9.421893000000001</v>
      </c>
      <c r="AC829" s="3" t="n">
        <v>5.868422</v>
      </c>
      <c r="AD829" s="3" t="n">
        <v>1.83284</v>
      </c>
      <c r="AE829" s="3" t="n">
        <v>-1.944089</v>
      </c>
      <c r="AF829" s="3" t="n">
        <v>3.725948</v>
      </c>
      <c r="AG829" s="3" t="n">
        <v>2.51</v>
      </c>
      <c r="AH829" s="3" t="n">
        <v>2.5</v>
      </c>
      <c r="AI829" s="3" t="n">
        <v>2.6</v>
      </c>
      <c r="AJ829" s="3" t="n">
        <v>2.8</v>
      </c>
      <c r="AK829" s="3" t="n">
        <v>3</v>
      </c>
      <c r="AL829" s="3" t="n">
        <v>3</v>
      </c>
      <c r="AM829" s="3" t="n"/>
      <c r="AN829" s="3" t="n"/>
      <c r="AO829" s="3" t="n"/>
      <c r="AP829" s="3" t="n"/>
      <c r="AQ829" s="3" t="n"/>
      <c r="AR829" s="3" t="n"/>
      <c r="AS829" s="3" t="n"/>
      <c r="AT829" s="3" t="n"/>
      <c r="AU829" s="3" t="n"/>
    </row>
    <row r="830">
      <c r="A830" s="3" t="n">
        <v>2031</v>
      </c>
      <c r="B830" s="3" t="inlineStr">
        <is>
          <t>ECU</t>
        </is>
      </c>
      <c r="C830" s="3" t="inlineStr">
        <is>
          <t>IMF.RES:WEO</t>
        </is>
      </c>
      <c r="D830" s="3" t="inlineStr">
        <is>
          <t>ECU.NGDPD.A</t>
        </is>
      </c>
      <c r="E830" s="3" t="inlineStr">
        <is>
          <t>Ecuador</t>
        </is>
      </c>
      <c r="F830" s="3" t="inlineStr">
        <is>
          <t>Gross domestic product (GDP), Current prices, US dollar</t>
        </is>
      </c>
      <c r="G830" s="3" t="n">
        <v>17.530685</v>
      </c>
      <c r="H830" s="3" t="n">
        <v>23.127055</v>
      </c>
      <c r="I830" s="3" t="n">
        <v>27.054197</v>
      </c>
      <c r="J830" s="3" t="n">
        <v>30.965208</v>
      </c>
      <c r="K830" s="3" t="n">
        <v>35.194947</v>
      </c>
      <c r="L830" s="3" t="n">
        <v>40.278849</v>
      </c>
      <c r="M830" s="3" t="n">
        <v>45.690762</v>
      </c>
      <c r="N830" s="3" t="n">
        <v>49.848725</v>
      </c>
      <c r="O830" s="3" t="n">
        <v>61.139438</v>
      </c>
      <c r="P830" s="3" t="n">
        <v>60.094978</v>
      </c>
      <c r="Q830" s="3" t="n">
        <v>68.151329</v>
      </c>
      <c r="R830" s="3" t="n">
        <v>78.986648</v>
      </c>
      <c r="S830" s="3" t="n">
        <v>87.73504800000001</v>
      </c>
      <c r="T830" s="3" t="n">
        <v>96.570334</v>
      </c>
      <c r="U830" s="3" t="n">
        <v>102.717794</v>
      </c>
      <c r="V830" s="3" t="n">
        <v>97.209558</v>
      </c>
      <c r="W830" s="3" t="n">
        <v>97.67143299999999</v>
      </c>
      <c r="X830" s="3" t="n">
        <v>104.467486</v>
      </c>
      <c r="Y830" s="3" t="n">
        <v>107.478962</v>
      </c>
      <c r="Z830" s="3" t="n">
        <v>107.595829</v>
      </c>
      <c r="AA830" s="3" t="n">
        <v>95.86547400000001</v>
      </c>
      <c r="AB830" s="3" t="n">
        <v>107.179075</v>
      </c>
      <c r="AC830" s="3" t="n">
        <v>116.133122</v>
      </c>
      <c r="AD830" s="3" t="n">
        <v>120.792801</v>
      </c>
      <c r="AE830" s="3" t="n">
        <v>123.802374</v>
      </c>
      <c r="AF830" s="3" t="n">
        <v>130.32056</v>
      </c>
      <c r="AG830" s="3" t="n">
        <v>138.194326</v>
      </c>
      <c r="AH830" s="3" t="n">
        <v>144.134668</v>
      </c>
      <c r="AI830" s="3" t="n">
        <v>150.136098</v>
      </c>
      <c r="AJ830" s="3" t="n">
        <v>156.660719</v>
      </c>
      <c r="AK830" s="3" t="n">
        <v>163.817641</v>
      </c>
      <c r="AL830" s="3" t="n">
        <v>171.301521</v>
      </c>
      <c r="AM830" s="3" t="n"/>
      <c r="AN830" s="3" t="n"/>
      <c r="AO830" s="3" t="n"/>
      <c r="AP830" s="3" t="n"/>
      <c r="AQ830" s="3" t="n"/>
      <c r="AR830" s="3" t="n"/>
      <c r="AS830" s="3" t="n"/>
      <c r="AT830" s="3" t="n"/>
      <c r="AU830" s="3" t="n"/>
    </row>
    <row r="831">
      <c r="A831" s="3" t="n">
        <v>2031</v>
      </c>
      <c r="B831" s="3" t="inlineStr">
        <is>
          <t>ECU</t>
        </is>
      </c>
      <c r="C831" s="3" t="inlineStr">
        <is>
          <t>IMF.RES:WEO</t>
        </is>
      </c>
      <c r="D831" s="3" t="inlineStr">
        <is>
          <t>ECU.NGDPPC.A</t>
        </is>
      </c>
      <c r="E831" s="3" t="inlineStr">
        <is>
          <t>Ecuador</t>
        </is>
      </c>
      <c r="F831" s="3" t="inlineStr">
        <is>
          <t>Gross domestic product (GDP), Current prices, Per capita, Domestic currency</t>
        </is>
      </c>
      <c r="G831" s="3" t="n">
        <v>1404.637719</v>
      </c>
      <c r="H831" s="3" t="n">
        <v>1823.703628</v>
      </c>
      <c r="I831" s="3" t="n">
        <v>2097.115979</v>
      </c>
      <c r="J831" s="3" t="n">
        <v>2358.040697</v>
      </c>
      <c r="K831" s="3" t="n">
        <v>2633.052546</v>
      </c>
      <c r="L831" s="3" t="n">
        <v>2960.732857</v>
      </c>
      <c r="M831" s="3" t="n">
        <v>3298.407803</v>
      </c>
      <c r="N831" s="3" t="n">
        <v>3533.669895</v>
      </c>
      <c r="O831" s="3" t="n">
        <v>4257.890855</v>
      </c>
      <c r="P831" s="3" t="n">
        <v>4111.477982</v>
      </c>
      <c r="Q831" s="3" t="n">
        <v>4578.935855</v>
      </c>
      <c r="R831" s="3" t="n">
        <v>5209.999323</v>
      </c>
      <c r="S831" s="3" t="n">
        <v>5682.119355</v>
      </c>
      <c r="T831" s="3" t="n">
        <v>6144.122665</v>
      </c>
      <c r="U831" s="3" t="n">
        <v>6422.123515</v>
      </c>
      <c r="V831" s="3" t="n">
        <v>5975.077525</v>
      </c>
      <c r="W831" s="3" t="n">
        <v>5907.928103</v>
      </c>
      <c r="X831" s="3" t="n">
        <v>6220.967756</v>
      </c>
      <c r="Y831" s="3" t="n">
        <v>6293.459324</v>
      </c>
      <c r="Z831" s="3" t="n">
        <v>6199.030529</v>
      </c>
      <c r="AA831" s="3" t="n">
        <v>5469.758374</v>
      </c>
      <c r="AB831" s="3" t="n">
        <v>6084.743127</v>
      </c>
      <c r="AC831" s="3" t="n">
        <v>6555.526322</v>
      </c>
      <c r="AD831" s="3" t="n">
        <v>6772.8593</v>
      </c>
      <c r="AE831" s="3" t="n">
        <v>6890.706091</v>
      </c>
      <c r="AF831" s="3" t="n">
        <v>7198.575316</v>
      </c>
      <c r="AG831" s="3" t="n">
        <v>7574.858547</v>
      </c>
      <c r="AH831" s="3" t="n">
        <v>7839.381286</v>
      </c>
      <c r="AI831" s="3" t="n">
        <v>8102.710235</v>
      </c>
      <c r="AJ831" s="3" t="n">
        <v>8389.936422000001</v>
      </c>
      <c r="AK831" s="3" t="n">
        <v>8706.527436</v>
      </c>
      <c r="AL831" s="3" t="n">
        <v>9035.87974</v>
      </c>
      <c r="AM831" s="3" t="n"/>
      <c r="AN831" s="3" t="n"/>
      <c r="AO831" s="3" t="n"/>
      <c r="AP831" s="3" t="n"/>
      <c r="AQ831" s="3" t="n"/>
      <c r="AR831" s="3" t="n"/>
      <c r="AS831" s="3" t="n"/>
      <c r="AT831" s="3" t="n"/>
      <c r="AU831" s="3" t="n"/>
    </row>
    <row r="832">
      <c r="A832" s="3" t="n">
        <v>2031</v>
      </c>
      <c r="B832" s="3" t="inlineStr">
        <is>
          <t>ECU</t>
        </is>
      </c>
      <c r="C832" s="3" t="inlineStr">
        <is>
          <t>IMF.RES:WEO</t>
        </is>
      </c>
      <c r="D832" s="3" t="inlineStr">
        <is>
          <t>ECU.NGDPRPC.A</t>
        </is>
      </c>
      <c r="E832" s="3" t="inlineStr">
        <is>
          <t>Ecuador</t>
        </is>
      </c>
      <c r="F832" s="3" t="inlineStr">
        <is>
          <t>Gross domestic product (GDP), Constant prices, Per capita, Domestic currency</t>
        </is>
      </c>
      <c r="G832" s="3" t="n">
        <v>4179.137995</v>
      </c>
      <c r="H832" s="3" t="n">
        <v>4285.969328</v>
      </c>
      <c r="I832" s="3" t="n">
        <v>4420.737438</v>
      </c>
      <c r="J832" s="3" t="n">
        <v>4468.216087</v>
      </c>
      <c r="K832" s="3" t="n">
        <v>4689.635169</v>
      </c>
      <c r="L832" s="3" t="n">
        <v>4856.427991</v>
      </c>
      <c r="M832" s="3" t="n">
        <v>4976.525965</v>
      </c>
      <c r="N832" s="3" t="n">
        <v>4979.74131</v>
      </c>
      <c r="O832" s="3" t="n">
        <v>5213.413942</v>
      </c>
      <c r="P832" s="3" t="n">
        <v>5177.516163</v>
      </c>
      <c r="Q832" s="3" t="n">
        <v>5289.406014</v>
      </c>
      <c r="R832" s="3" t="n">
        <v>5633.213938</v>
      </c>
      <c r="S832" s="3" t="n">
        <v>5850.94812</v>
      </c>
      <c r="T832" s="3" t="n">
        <v>6162.33725</v>
      </c>
      <c r="U832" s="3" t="n">
        <v>6311.587843</v>
      </c>
      <c r="V832" s="3" t="n">
        <v>6212.404738</v>
      </c>
      <c r="W832" s="3" t="n">
        <v>6071.482341</v>
      </c>
      <c r="X832" s="3" t="n">
        <v>6334.151839</v>
      </c>
      <c r="Y832" s="3" t="n">
        <v>6293.459207</v>
      </c>
      <c r="Z832" s="3" t="n">
        <v>6202.539627</v>
      </c>
      <c r="AA832" s="3" t="n">
        <v>5574.645186</v>
      </c>
      <c r="AB832" s="3" t="n">
        <v>6069.428211</v>
      </c>
      <c r="AC832" s="3" t="n">
        <v>6389.008124</v>
      </c>
      <c r="AD832" s="3" t="n">
        <v>6462.50413</v>
      </c>
      <c r="AE832" s="3" t="n">
        <v>6290.401458</v>
      </c>
      <c r="AF832" s="3" t="n">
        <v>6475.370726</v>
      </c>
      <c r="AG832" s="3" t="n">
        <v>6586.907615</v>
      </c>
      <c r="AH832" s="3" t="n">
        <v>6699.377586</v>
      </c>
      <c r="AI832" s="3" t="n">
        <v>6820.459973</v>
      </c>
      <c r="AJ832" s="3" t="n">
        <v>6957.611131</v>
      </c>
      <c r="AK832" s="3" t="n">
        <v>7111.858822</v>
      </c>
      <c r="AL832" s="3" t="n">
        <v>7270.18175</v>
      </c>
      <c r="AM832" s="3" t="n"/>
      <c r="AN832" s="3" t="n"/>
      <c r="AO832" s="3" t="n"/>
      <c r="AP832" s="3" t="n"/>
      <c r="AQ832" s="3" t="n"/>
      <c r="AR832" s="3" t="n"/>
      <c r="AS832" s="3" t="n"/>
      <c r="AT832" s="3" t="n"/>
      <c r="AU832" s="3" t="n"/>
    </row>
    <row r="833">
      <c r="A833" s="3" t="n">
        <v>2031</v>
      </c>
      <c r="B833" s="3" t="inlineStr">
        <is>
          <t>ECU</t>
        </is>
      </c>
      <c r="C833" s="3" t="inlineStr">
        <is>
          <t>IMF.RES:WEO</t>
        </is>
      </c>
      <c r="D833" s="3" t="inlineStr">
        <is>
          <t>ECU.PCPI.A</t>
        </is>
      </c>
      <c r="E833" s="3" t="inlineStr">
        <is>
          <t>Ecuador</t>
        </is>
      </c>
      <c r="F833" s="3" t="inlineStr">
        <is>
          <t>All Items, Consumer price index (CPI), Period average</t>
        </is>
      </c>
      <c r="G833" s="3" t="n">
        <v>38.833333</v>
      </c>
      <c r="H833" s="3" t="n">
        <v>53.463333</v>
      </c>
      <c r="I833" s="3" t="n">
        <v>60.138333</v>
      </c>
      <c r="J833" s="3" t="n">
        <v>64.906667</v>
      </c>
      <c r="K833" s="3" t="n">
        <v>66.685833</v>
      </c>
      <c r="L833" s="3" t="n">
        <v>68.13283300000001</v>
      </c>
      <c r="M833" s="3" t="n">
        <v>70.38025</v>
      </c>
      <c r="N833" s="3" t="n">
        <v>71.982167</v>
      </c>
      <c r="O833" s="3" t="n">
        <v>78.02891700000001</v>
      </c>
      <c r="P833" s="3" t="n">
        <v>82.05525</v>
      </c>
      <c r="Q833" s="3" t="n">
        <v>84.971583</v>
      </c>
      <c r="R833" s="3" t="n">
        <v>88.77375000000001</v>
      </c>
      <c r="S833" s="3" t="n">
        <v>93.30275</v>
      </c>
      <c r="T833" s="3" t="n">
        <v>95.84225000000001</v>
      </c>
      <c r="U833" s="3" t="n">
        <v>99.282417</v>
      </c>
      <c r="V833" s="3" t="n">
        <v>103.220333</v>
      </c>
      <c r="W833" s="3" t="n">
        <v>105.004333</v>
      </c>
      <c r="X833" s="3" t="n">
        <v>105.44225</v>
      </c>
      <c r="Y833" s="3" t="n">
        <v>105.206167</v>
      </c>
      <c r="Z833" s="3" t="n">
        <v>105.486167</v>
      </c>
      <c r="AA833" s="3" t="n">
        <v>105.12875</v>
      </c>
      <c r="AB833" s="3" t="n">
        <v>105.26875</v>
      </c>
      <c r="AC833" s="3" t="n">
        <v>108.917417</v>
      </c>
      <c r="AD833" s="3" t="n">
        <v>111.3305</v>
      </c>
      <c r="AE833" s="3" t="n">
        <v>113.052833</v>
      </c>
      <c r="AF833" s="3" t="n">
        <v>113.85675</v>
      </c>
      <c r="AG833" s="3" t="n">
        <v>117.138285</v>
      </c>
      <c r="AH833" s="3" t="n">
        <v>119.023844</v>
      </c>
      <c r="AI833" s="3" t="n">
        <v>120.809201</v>
      </c>
      <c r="AJ833" s="3" t="n">
        <v>122.621339</v>
      </c>
      <c r="AK833" s="3" t="n">
        <v>124.460659</v>
      </c>
      <c r="AL833" s="3" t="n">
        <v>126.327569</v>
      </c>
      <c r="AM833" s="3" t="n"/>
      <c r="AN833" s="3" t="n"/>
      <c r="AO833" s="3" t="n"/>
      <c r="AP833" s="3" t="n"/>
      <c r="AQ833" s="3" t="n"/>
      <c r="AR833" s="3" t="n"/>
      <c r="AS833" s="3" t="n"/>
      <c r="AT833" s="3" t="n"/>
      <c r="AU833" s="3" t="n"/>
    </row>
    <row r="834">
      <c r="A834" s="3" t="n">
        <v>2031</v>
      </c>
      <c r="B834" s="3" t="inlineStr">
        <is>
          <t>ECU</t>
        </is>
      </c>
      <c r="C834" s="3" t="inlineStr">
        <is>
          <t>IMF.RES:WEO</t>
        </is>
      </c>
      <c r="D834" s="3" t="inlineStr">
        <is>
          <t>ECU.PCPIPCH.A</t>
        </is>
      </c>
      <c r="E834" s="3" t="inlineStr">
        <is>
          <t>Ecuador</t>
        </is>
      </c>
      <c r="F834" s="3" t="inlineStr">
        <is>
          <t>All Items, Consumer price index (CPI), Period average, percent change</t>
        </is>
      </c>
      <c r="G834" s="3" t="n">
        <v>96.09999999999999</v>
      </c>
      <c r="H834" s="3" t="n">
        <v>37.67382</v>
      </c>
      <c r="I834" s="3" t="n">
        <v>12.485192</v>
      </c>
      <c r="J834" s="3" t="n">
        <v>7.928942</v>
      </c>
      <c r="K834" s="3" t="n">
        <v>2.741115</v>
      </c>
      <c r="L834" s="3" t="n">
        <v>2.169876</v>
      </c>
      <c r="M834" s="3" t="n">
        <v>3.298581</v>
      </c>
      <c r="N834" s="3" t="n">
        <v>2.276088</v>
      </c>
      <c r="O834" s="3" t="n">
        <v>8.400345</v>
      </c>
      <c r="P834" s="3" t="n">
        <v>5.160053</v>
      </c>
      <c r="Q834" s="3" t="n">
        <v>3.554109</v>
      </c>
      <c r="R834" s="3" t="n">
        <v>4.474633</v>
      </c>
      <c r="S834" s="3" t="n">
        <v>5.101733</v>
      </c>
      <c r="T834" s="3" t="n">
        <v>2.721785</v>
      </c>
      <c r="U834" s="3" t="n">
        <v>3.589405</v>
      </c>
      <c r="V834" s="3" t="n">
        <v>3.966379</v>
      </c>
      <c r="W834" s="3" t="n">
        <v>1.728342</v>
      </c>
      <c r="X834" s="3" t="n">
        <v>0.417046</v>
      </c>
      <c r="Y834" s="3" t="n">
        <v>-0.223898</v>
      </c>
      <c r="Z834" s="3" t="n">
        <v>0.266144</v>
      </c>
      <c r="AA834" s="3" t="n">
        <v>-0.338828</v>
      </c>
      <c r="AB834" s="3" t="n">
        <v>0.13317</v>
      </c>
      <c r="AC834" s="3" t="n">
        <v>3.466049</v>
      </c>
      <c r="AD834" s="3" t="n">
        <v>2.215516</v>
      </c>
      <c r="AE834" s="3" t="n">
        <v>1.547045</v>
      </c>
      <c r="AF834" s="3" t="n">
        <v>0.711098</v>
      </c>
      <c r="AG834" s="3" t="n">
        <v>2.882161</v>
      </c>
      <c r="AH834" s="3" t="n">
        <v>1.609686</v>
      </c>
      <c r="AI834" s="3" t="n">
        <v>1.5</v>
      </c>
      <c r="AJ834" s="3" t="n">
        <v>1.5</v>
      </c>
      <c r="AK834" s="3" t="n">
        <v>1.5</v>
      </c>
      <c r="AL834" s="3" t="n">
        <v>1.5</v>
      </c>
      <c r="AM834" s="3" t="n"/>
      <c r="AN834" s="3" t="n"/>
      <c r="AO834" s="3" t="n"/>
      <c r="AP834" s="3" t="n"/>
      <c r="AQ834" s="3" t="n"/>
      <c r="AR834" s="3" t="n"/>
      <c r="AS834" s="3" t="n"/>
      <c r="AT834" s="3" t="n"/>
      <c r="AU834" s="3" t="n"/>
    </row>
    <row r="835">
      <c r="A835" s="3" t="n">
        <v>2031</v>
      </c>
      <c r="B835" s="3" t="inlineStr">
        <is>
          <t>ECU</t>
        </is>
      </c>
      <c r="C835" s="3" t="inlineStr">
        <is>
          <t>IMF.RES:WEO</t>
        </is>
      </c>
      <c r="D835" s="3" t="inlineStr">
        <is>
          <t>ECU.PPPPC.A</t>
        </is>
      </c>
      <c r="E835" s="3" t="inlineStr">
        <is>
          <t>Ecuador</t>
        </is>
      </c>
      <c r="F835" s="3" t="inlineStr">
        <is>
          <t>Gross domestic product (GDP), Per capita, purchasing power parity (PPP) international dollar, ICP benchmarks 2017-2021</t>
        </is>
      </c>
      <c r="G835" s="3" t="n">
        <v>5647.367084</v>
      </c>
      <c r="H835" s="3" t="n">
        <v>5922.138558</v>
      </c>
      <c r="I835" s="3" t="n">
        <v>6203.28042</v>
      </c>
      <c r="J835" s="3" t="n">
        <v>6393.684971</v>
      </c>
      <c r="K835" s="3" t="n">
        <v>6890.957102</v>
      </c>
      <c r="L835" s="3" t="n">
        <v>7359.816249</v>
      </c>
      <c r="M835" s="3" t="n">
        <v>7774.403158</v>
      </c>
      <c r="N835" s="3" t="n">
        <v>7990.191885</v>
      </c>
      <c r="O835" s="3" t="n">
        <v>8526.275648999999</v>
      </c>
      <c r="P835" s="3" t="n">
        <v>8519.789676</v>
      </c>
      <c r="Q835" s="3" t="n">
        <v>8809.693555</v>
      </c>
      <c r="R835" s="3" t="n">
        <v>9575.898383</v>
      </c>
      <c r="S835" s="3" t="n">
        <v>10131.212871</v>
      </c>
      <c r="T835" s="3" t="n">
        <v>10852.009627</v>
      </c>
      <c r="U835" s="3" t="n">
        <v>11308.432033</v>
      </c>
      <c r="V835" s="3" t="n">
        <v>11234.025355</v>
      </c>
      <c r="W835" s="3" t="n">
        <v>11083.519222</v>
      </c>
      <c r="X835" s="3" t="n">
        <v>11770.104599</v>
      </c>
      <c r="Y835" s="3" t="n">
        <v>12166.663974</v>
      </c>
      <c r="Z835" s="3" t="n">
        <v>12530.831488</v>
      </c>
      <c r="AA835" s="3" t="n">
        <v>11539.698529</v>
      </c>
      <c r="AB835" s="3" t="n">
        <v>13559.634369</v>
      </c>
      <c r="AC835" s="3" t="n">
        <v>15288.801699</v>
      </c>
      <c r="AD835" s="3" t="n">
        <v>16036.874745</v>
      </c>
      <c r="AE835" s="3" t="n">
        <v>15997.317633</v>
      </c>
      <c r="AF835" s="3" t="n">
        <v>16934.869527</v>
      </c>
      <c r="AG835" s="3" t="n">
        <v>17720.084573</v>
      </c>
      <c r="AH835" s="3" t="n">
        <v>18418.410804</v>
      </c>
      <c r="AI835" s="3" t="n">
        <v>19059.081261</v>
      </c>
      <c r="AJ835" s="3" t="n">
        <v>19788.042055</v>
      </c>
      <c r="AK835" s="3" t="n">
        <v>20598.4074</v>
      </c>
      <c r="AL835" s="3" t="n">
        <v>21437.107233</v>
      </c>
      <c r="AM835" s="3" t="n"/>
      <c r="AN835" s="3" t="n"/>
      <c r="AO835" s="3" t="n"/>
      <c r="AP835" s="3" t="n"/>
      <c r="AQ835" s="3" t="n"/>
      <c r="AR835" s="3" t="n"/>
      <c r="AS835" s="3" t="n"/>
      <c r="AT835" s="3" t="n"/>
      <c r="AU835" s="3" t="n"/>
    </row>
    <row r="836">
      <c r="A836" s="3" t="n">
        <v>2025</v>
      </c>
      <c r="B836" s="3" t="inlineStr">
        <is>
          <t>ECU</t>
        </is>
      </c>
      <c r="C836" s="3" t="inlineStr">
        <is>
          <t>IMF.STA:ER</t>
        </is>
      </c>
      <c r="D836" s="3" t="inlineStr">
        <is>
          <t>ECU.XDC_USD.PA_RT.A</t>
        </is>
      </c>
      <c r="E836" s="3" t="inlineStr">
        <is>
          <t>Ecuador</t>
        </is>
      </c>
      <c r="F836" s="3" t="inlineStr">
        <is>
          <t>Domestic currency per US Dollar</t>
        </is>
      </c>
      <c r="G836" s="3" t="n">
        <v>1</v>
      </c>
      <c r="H836" s="3" t="n">
        <v>1</v>
      </c>
      <c r="I836" s="3" t="n">
        <v>1</v>
      </c>
      <c r="J836" s="3" t="n">
        <v>1</v>
      </c>
      <c r="K836" s="3" t="n">
        <v>1</v>
      </c>
      <c r="L836" s="3" t="n">
        <v>1</v>
      </c>
      <c r="M836" s="3" t="n">
        <v>1</v>
      </c>
      <c r="N836" s="3" t="n">
        <v>1</v>
      </c>
      <c r="O836" s="3" t="n">
        <v>1</v>
      </c>
      <c r="P836" s="3" t="n">
        <v>1</v>
      </c>
      <c r="Q836" s="3" t="n">
        <v>1</v>
      </c>
      <c r="R836" s="3" t="n">
        <v>1</v>
      </c>
      <c r="S836" s="3" t="n">
        <v>1</v>
      </c>
      <c r="T836" s="3" t="n">
        <v>1</v>
      </c>
      <c r="U836" s="3" t="n">
        <v>1</v>
      </c>
      <c r="V836" s="3" t="n">
        <v>1</v>
      </c>
      <c r="W836" s="3" t="n">
        <v>1</v>
      </c>
      <c r="X836" s="3" t="n">
        <v>1</v>
      </c>
      <c r="Y836" s="3" t="n">
        <v>1</v>
      </c>
      <c r="Z836" s="3" t="n">
        <v>1</v>
      </c>
      <c r="AA836" s="3" t="n">
        <v>1</v>
      </c>
      <c r="AB836" s="3" t="n">
        <v>1</v>
      </c>
      <c r="AC836" s="3" t="n">
        <v>1</v>
      </c>
      <c r="AD836" s="3" t="n">
        <v>1</v>
      </c>
      <c r="AE836" s="3" t="n">
        <v>1</v>
      </c>
      <c r="AF836" s="3" t="n">
        <v>1</v>
      </c>
      <c r="AG836" s="3" t="n"/>
      <c r="AH836" s="3" t="n"/>
      <c r="AI836" s="3" t="n"/>
      <c r="AJ836" s="3" t="n"/>
      <c r="AK836" s="3" t="n"/>
      <c r="AL836" s="3" t="n"/>
      <c r="AM836" s="3" t="n"/>
      <c r="AN836" s="3" t="n"/>
      <c r="AO836" s="3" t="n"/>
      <c r="AP836" s="3" t="n"/>
      <c r="AQ836" s="3" t="n"/>
      <c r="AR836" s="3" t="n"/>
      <c r="AS836" s="3" t="n"/>
      <c r="AT836" s="3" t="n"/>
      <c r="AU836" s="3" t="n"/>
    </row>
    <row r="837">
      <c r="A837" s="3" t="n">
        <v>2031</v>
      </c>
      <c r="B837" s="3" t="inlineStr">
        <is>
          <t>EGY</t>
        </is>
      </c>
      <c r="C837" s="3" t="inlineStr">
        <is>
          <t>IMF.RES:WEO</t>
        </is>
      </c>
      <c r="D837" s="3" t="inlineStr">
        <is>
          <t>EGY.BCA.A</t>
        </is>
      </c>
      <c r="E837" s="3" t="inlineStr">
        <is>
          <t>Egypt, Arab Republic of</t>
        </is>
      </c>
      <c r="F837" s="3" t="inlineStr">
        <is>
          <t>Current account balance (credit less debit), US dollar</t>
        </is>
      </c>
      <c r="G837" s="3" t="n">
        <v>-1.1631</v>
      </c>
      <c r="H837" s="3" t="n">
        <v>-0.0334</v>
      </c>
      <c r="I837" s="3" t="n">
        <v>0.6142</v>
      </c>
      <c r="J837" s="3" t="n">
        <v>1.943</v>
      </c>
      <c r="K837" s="3" t="n">
        <v>3.4181</v>
      </c>
      <c r="L837" s="3" t="n">
        <v>2.9106</v>
      </c>
      <c r="M837" s="3" t="n">
        <v>1.7519</v>
      </c>
      <c r="N837" s="3" t="n">
        <v>2.269</v>
      </c>
      <c r="O837" s="3" t="n">
        <v>0.8883</v>
      </c>
      <c r="P837" s="3" t="n">
        <v>-4.4243</v>
      </c>
      <c r="Q837" s="3" t="n">
        <v>-4.3176</v>
      </c>
      <c r="R837" s="3" t="n">
        <v>-6.0878</v>
      </c>
      <c r="S837" s="3" t="n">
        <v>-10.1463</v>
      </c>
      <c r="T837" s="3" t="n">
        <v>-6.3904</v>
      </c>
      <c r="U837" s="3" t="n">
        <v>-2.7464</v>
      </c>
      <c r="V837" s="3" t="n">
        <v>-12.1426</v>
      </c>
      <c r="W837" s="3" t="n">
        <v>-19.8311</v>
      </c>
      <c r="X837" s="3" t="n">
        <v>-14.394</v>
      </c>
      <c r="Y837" s="3" t="n">
        <v>-5.9623</v>
      </c>
      <c r="Z837" s="3" t="n">
        <v>-10.8939</v>
      </c>
      <c r="AA837" s="3" t="n">
        <v>-11.1667</v>
      </c>
      <c r="AB837" s="3" t="n">
        <v>-18.4364</v>
      </c>
      <c r="AC837" s="3" t="n">
        <v>-16.5513</v>
      </c>
      <c r="AD837" s="3" t="n">
        <v>-4.7105</v>
      </c>
      <c r="AE837" s="3" t="n">
        <v>-20.8066</v>
      </c>
      <c r="AF837" s="3" t="n">
        <v>-15.4246</v>
      </c>
      <c r="AG837" s="3" t="n">
        <v>-17.834583</v>
      </c>
      <c r="AH837" s="3" t="n">
        <v>-20.950561</v>
      </c>
      <c r="AI837" s="3" t="n">
        <v>-19.674211</v>
      </c>
      <c r="AJ837" s="3" t="n">
        <v>-19.613478</v>
      </c>
      <c r="AK837" s="3" t="n">
        <v>-19.398187</v>
      </c>
      <c r="AL837" s="3" t="n">
        <v>-17.756772</v>
      </c>
      <c r="AM837" s="3" t="n"/>
      <c r="AN837" s="3" t="n"/>
      <c r="AO837" s="3" t="n"/>
      <c r="AP837" s="3" t="n"/>
      <c r="AQ837" s="3" t="n"/>
      <c r="AR837" s="3" t="n"/>
      <c r="AS837" s="3" t="n"/>
      <c r="AT837" s="3" t="n"/>
      <c r="AU837" s="3" t="n"/>
    </row>
    <row r="838">
      <c r="A838" s="3" t="n">
        <v>2031</v>
      </c>
      <c r="B838" s="3" t="inlineStr">
        <is>
          <t>EGY</t>
        </is>
      </c>
      <c r="C838" s="3" t="inlineStr">
        <is>
          <t>IMF.RES:WEO</t>
        </is>
      </c>
      <c r="D838" s="3" t="inlineStr">
        <is>
          <t>EGY.BCA_NGDPD.A</t>
        </is>
      </c>
      <c r="E838" s="3" t="inlineStr">
        <is>
          <t>Egypt, Arab Republic of</t>
        </is>
      </c>
      <c r="F838" s="3" t="inlineStr">
        <is>
          <t>Current account balance (credit less debit), Percent of GDP</t>
        </is>
      </c>
      <c r="G838" s="3" t="n">
        <v>-1.110336</v>
      </c>
      <c r="H838" s="3" t="n">
        <v>-0.032658</v>
      </c>
      <c r="I838" s="3" t="n">
        <v>0.680467</v>
      </c>
      <c r="J838" s="3" t="n">
        <v>2.281494</v>
      </c>
      <c r="K838" s="3" t="n">
        <v>4.125406</v>
      </c>
      <c r="L838" s="3" t="n">
        <v>3.092196</v>
      </c>
      <c r="M838" s="3" t="n">
        <v>1.5517</v>
      </c>
      <c r="N838" s="3" t="n">
        <v>1.655536</v>
      </c>
      <c r="O838" s="3" t="n">
        <v>0.520092</v>
      </c>
      <c r="P838" s="3" t="n">
        <v>-2.230932</v>
      </c>
      <c r="Q838" s="3" t="n">
        <v>-1.877021</v>
      </c>
      <c r="R838" s="3" t="n">
        <v>-2.457472</v>
      </c>
      <c r="S838" s="3" t="n">
        <v>-3.445471</v>
      </c>
      <c r="T838" s="3" t="n">
        <v>-2.107693</v>
      </c>
      <c r="U838" s="3" t="n">
        <v>-0.853889</v>
      </c>
      <c r="V838" s="3" t="n">
        <v>-3.46813</v>
      </c>
      <c r="W838" s="3" t="n">
        <v>-5.642765</v>
      </c>
      <c r="X838" s="3" t="n">
        <v>-5.831646</v>
      </c>
      <c r="Y838" s="3" t="n">
        <v>-2.265688</v>
      </c>
      <c r="Z838" s="3" t="n">
        <v>-3.426893</v>
      </c>
      <c r="AA838" s="3" t="n">
        <v>-2.919206</v>
      </c>
      <c r="AB838" s="3" t="n">
        <v>-4.355395</v>
      </c>
      <c r="AC838" s="3" t="n">
        <v>-3.48279</v>
      </c>
      <c r="AD838" s="3" t="n">
        <v>-1.196082</v>
      </c>
      <c r="AE838" s="3" t="n">
        <v>-5.43104</v>
      </c>
      <c r="AF838" s="3" t="n">
        <v>-4.230086</v>
      </c>
      <c r="AG838" s="3" t="n">
        <v>-4.151002</v>
      </c>
      <c r="AH838" s="3" t="n">
        <v>-4.583618</v>
      </c>
      <c r="AI838" s="3" t="n">
        <v>-3.869298</v>
      </c>
      <c r="AJ838" s="3" t="n">
        <v>-3.501898</v>
      </c>
      <c r="AK838" s="3" t="n">
        <v>-3.17492</v>
      </c>
      <c r="AL838" s="3" t="n">
        <v>-2.667806</v>
      </c>
      <c r="AM838" s="3" t="n"/>
      <c r="AN838" s="3" t="n"/>
      <c r="AO838" s="3" t="n"/>
      <c r="AP838" s="3" t="n"/>
      <c r="AQ838" s="3" t="n"/>
      <c r="AR838" s="3" t="n"/>
      <c r="AS838" s="3" t="n"/>
      <c r="AT838" s="3" t="n"/>
      <c r="AU838" s="3" t="n"/>
    </row>
    <row r="839">
      <c r="A839" s="3" t="n">
        <v>2031</v>
      </c>
      <c r="B839" s="3" t="inlineStr">
        <is>
          <t>EGY</t>
        </is>
      </c>
      <c r="C839" s="3" t="inlineStr">
        <is>
          <t>IMF.RES:WEO</t>
        </is>
      </c>
      <c r="D839" s="3" t="inlineStr">
        <is>
          <t>EGY.GGR_NGDP.A</t>
        </is>
      </c>
      <c r="E839" s="3" t="inlineStr">
        <is>
          <t>Egypt, Arab Republic of</t>
        </is>
      </c>
      <c r="F839" s="3" t="inlineStr">
        <is>
          <t>Revenue, General government, Percent of GDP</t>
        </is>
      </c>
      <c r="G839" s="3" t="n">
        <v>27.312705</v>
      </c>
      <c r="H839" s="3" t="n">
        <v>26.792212</v>
      </c>
      <c r="I839" s="3" t="n">
        <v>24.155848</v>
      </c>
      <c r="J839" s="3" t="n">
        <v>24.908987</v>
      </c>
      <c r="K839" s="3" t="n">
        <v>24.356082</v>
      </c>
      <c r="L839" s="3" t="n">
        <v>23.622641</v>
      </c>
      <c r="M839" s="3" t="n">
        <v>27.18588</v>
      </c>
      <c r="N839" s="3" t="n">
        <v>26.362052</v>
      </c>
      <c r="O839" s="3" t="n">
        <v>26.639245</v>
      </c>
      <c r="P839" s="3" t="n">
        <v>26.330697</v>
      </c>
      <c r="Q839" s="3" t="n">
        <v>23.91089</v>
      </c>
      <c r="R839" s="3" t="n">
        <v>20.948459</v>
      </c>
      <c r="S839" s="3" t="n">
        <v>19.719869</v>
      </c>
      <c r="T839" s="3" t="n">
        <v>20.607031</v>
      </c>
      <c r="U839" s="3" t="n">
        <v>23.168913</v>
      </c>
      <c r="V839" s="3" t="n">
        <v>20.894943</v>
      </c>
      <c r="W839" s="3" t="n">
        <v>19.172042</v>
      </c>
      <c r="X839" s="3" t="n">
        <v>20.654553</v>
      </c>
      <c r="Y839" s="3" t="n">
        <v>19.656097</v>
      </c>
      <c r="Z839" s="3" t="n">
        <v>19.302209</v>
      </c>
      <c r="AA839" s="3" t="n">
        <v>18.226764</v>
      </c>
      <c r="AB839" s="3" t="n">
        <v>18.587899</v>
      </c>
      <c r="AC839" s="3" t="n">
        <v>19.197767</v>
      </c>
      <c r="AD839" s="3" t="n">
        <v>16.973229</v>
      </c>
      <c r="AE839" s="3" t="n">
        <v>15.816462</v>
      </c>
      <c r="AF839" s="3" t="n">
        <v>16.11493</v>
      </c>
      <c r="AG839" s="3" t="n">
        <v>16.634529</v>
      </c>
      <c r="AH839" s="3" t="n">
        <v>17.83149</v>
      </c>
      <c r="AI839" s="3" t="n">
        <v>17.795389</v>
      </c>
      <c r="AJ839" s="3" t="n">
        <v>17.482459</v>
      </c>
      <c r="AK839" s="3" t="n">
        <v>17.372305</v>
      </c>
      <c r="AL839" s="3" t="n">
        <v>17.196918</v>
      </c>
      <c r="AM839" s="3" t="n"/>
      <c r="AN839" s="3" t="n"/>
      <c r="AO839" s="3" t="n"/>
      <c r="AP839" s="3" t="n"/>
      <c r="AQ839" s="3" t="n"/>
      <c r="AR839" s="3" t="n"/>
      <c r="AS839" s="3" t="n"/>
      <c r="AT839" s="3" t="n"/>
      <c r="AU839" s="3" t="n"/>
    </row>
    <row r="840">
      <c r="A840" s="3" t="n">
        <v>2031</v>
      </c>
      <c r="B840" s="3" t="inlineStr">
        <is>
          <t>EGY</t>
        </is>
      </c>
      <c r="C840" s="3" t="inlineStr">
        <is>
          <t>IMF.RES:WEO</t>
        </is>
      </c>
      <c r="D840" s="3" t="inlineStr">
        <is>
          <t>EGY.GGX_NGDP.A</t>
        </is>
      </c>
      <c r="E840" s="3" t="inlineStr">
        <is>
          <t>Egypt, Arab Republic of</t>
        </is>
      </c>
      <c r="F840" s="3" t="inlineStr">
        <is>
          <t>Expenditure, General government, Percent of GDP</t>
        </is>
      </c>
      <c r="G840" s="3" t="n">
        <v>25.992427</v>
      </c>
      <c r="H840" s="3" t="n">
        <v>27.862037</v>
      </c>
      <c r="I840" s="3" t="n">
        <v>30.923636</v>
      </c>
      <c r="J840" s="3" t="n">
        <v>30.638058</v>
      </c>
      <c r="K840" s="3" t="n">
        <v>30.118282</v>
      </c>
      <c r="L840" s="3" t="n">
        <v>30.309935</v>
      </c>
      <c r="M840" s="3" t="n">
        <v>34.54044</v>
      </c>
      <c r="N840" s="3" t="n">
        <v>31.260864</v>
      </c>
      <c r="O840" s="3" t="n">
        <v>32.688557</v>
      </c>
      <c r="P840" s="3" t="n">
        <v>32.526137</v>
      </c>
      <c r="Q840" s="3" t="n">
        <v>31.35771</v>
      </c>
      <c r="R840" s="3" t="n">
        <v>30.548505</v>
      </c>
      <c r="S840" s="3" t="n">
        <v>29.190952</v>
      </c>
      <c r="T840" s="3" t="n">
        <v>32.886357</v>
      </c>
      <c r="U840" s="3" t="n">
        <v>33.891576</v>
      </c>
      <c r="V840" s="3" t="n">
        <v>31.265425</v>
      </c>
      <c r="W840" s="3" t="n">
        <v>30.96819</v>
      </c>
      <c r="X840" s="3" t="n">
        <v>30.552934</v>
      </c>
      <c r="Y840" s="3" t="n">
        <v>28.63083</v>
      </c>
      <c r="Z840" s="3" t="n">
        <v>26.897552</v>
      </c>
      <c r="AA840" s="3" t="n">
        <v>25.695391</v>
      </c>
      <c r="AB840" s="3" t="n">
        <v>25.543198</v>
      </c>
      <c r="AC840" s="3" t="n">
        <v>24.942402</v>
      </c>
      <c r="AD840" s="3" t="n">
        <v>22.741386</v>
      </c>
      <c r="AE840" s="3" t="n">
        <v>22.934067</v>
      </c>
      <c r="AF840" s="3" t="n">
        <v>22.669883</v>
      </c>
      <c r="AG840" s="3" t="n">
        <v>28.763981</v>
      </c>
      <c r="AH840" s="3" t="n">
        <v>26.701172</v>
      </c>
      <c r="AI840" s="3" t="n">
        <v>24.752726</v>
      </c>
      <c r="AJ840" s="3" t="n">
        <v>21.866943</v>
      </c>
      <c r="AK840" s="3" t="n">
        <v>20.933395</v>
      </c>
      <c r="AL840" s="3" t="n">
        <v>20.273759</v>
      </c>
      <c r="AM840" s="3" t="n"/>
      <c r="AN840" s="3" t="n"/>
      <c r="AO840" s="3" t="n"/>
      <c r="AP840" s="3" t="n"/>
      <c r="AQ840" s="3" t="n"/>
      <c r="AR840" s="3" t="n"/>
      <c r="AS840" s="3" t="n"/>
      <c r="AT840" s="3" t="n"/>
      <c r="AU840" s="3" t="n"/>
    </row>
    <row r="841">
      <c r="A841" s="3" t="n">
        <v>2031</v>
      </c>
      <c r="B841" s="3" t="inlineStr">
        <is>
          <t>EGY</t>
        </is>
      </c>
      <c r="C841" s="3" t="inlineStr">
        <is>
          <t>IMF.RES:WEO</t>
        </is>
      </c>
      <c r="D841" s="3" t="inlineStr">
        <is>
          <t>EGY.LP.A</t>
        </is>
      </c>
      <c r="E841" s="3" t="inlineStr">
        <is>
          <t>Egypt, Arab Republic of</t>
        </is>
      </c>
      <c r="F841" s="3" t="inlineStr">
        <is>
          <t>Population, Persons for countries / Index for country groups</t>
        </is>
      </c>
      <c r="G841" s="3" t="n">
        <v>64</v>
      </c>
      <c r="H841" s="3" t="n">
        <v>65.3</v>
      </c>
      <c r="I841" s="3" t="n">
        <v>66.59999999999999</v>
      </c>
      <c r="J841" s="3" t="n">
        <v>68</v>
      </c>
      <c r="K841" s="3" t="n">
        <v>69.3</v>
      </c>
      <c r="L841" s="3" t="n">
        <v>70.7</v>
      </c>
      <c r="M841" s="3" t="n">
        <v>72.2</v>
      </c>
      <c r="N841" s="3" t="n">
        <v>73.59999999999999</v>
      </c>
      <c r="O841" s="3" t="n">
        <v>75.2</v>
      </c>
      <c r="P841" s="3" t="n">
        <v>76.90000000000001</v>
      </c>
      <c r="Q841" s="3" t="n">
        <v>78.7</v>
      </c>
      <c r="R841" s="3" t="n">
        <v>80.5</v>
      </c>
      <c r="S841" s="3" t="n">
        <v>82.5</v>
      </c>
      <c r="T841" s="3" t="n">
        <v>84.59999999999999</v>
      </c>
      <c r="U841" s="3" t="n">
        <v>86.8</v>
      </c>
      <c r="V841" s="3" t="n">
        <v>89</v>
      </c>
      <c r="W841" s="3" t="n">
        <v>91</v>
      </c>
      <c r="X841" s="3" t="n">
        <v>95.2</v>
      </c>
      <c r="Y841" s="3" t="n">
        <v>97.09999999999999</v>
      </c>
      <c r="Z841" s="3" t="n">
        <v>98.90000000000001</v>
      </c>
      <c r="AA841" s="3" t="n">
        <v>100.6</v>
      </c>
      <c r="AB841" s="3" t="n">
        <v>102.1</v>
      </c>
      <c r="AC841" s="3" t="n">
        <v>103.6</v>
      </c>
      <c r="AD841" s="3" t="n">
        <v>105.2</v>
      </c>
      <c r="AE841" s="3" t="n">
        <v>106.6</v>
      </c>
      <c r="AF841" s="3" t="n">
        <v>107.9</v>
      </c>
      <c r="AG841" s="3" t="n">
        <v>110.058</v>
      </c>
      <c r="AH841" s="3" t="n">
        <v>112.25916</v>
      </c>
      <c r="AI841" s="3" t="n">
        <v>114.504343</v>
      </c>
      <c r="AJ841" s="3" t="n">
        <v>116.79443</v>
      </c>
      <c r="AK841" s="3" t="n">
        <v>120.298263</v>
      </c>
      <c r="AL841" s="3" t="n">
        <v>125.110193</v>
      </c>
      <c r="AM841" s="3" t="n"/>
      <c r="AN841" s="3" t="n"/>
      <c r="AO841" s="3" t="n"/>
      <c r="AP841" s="3" t="n"/>
      <c r="AQ841" s="3" t="n"/>
      <c r="AR841" s="3" t="n"/>
      <c r="AS841" s="3" t="n"/>
      <c r="AT841" s="3" t="n"/>
      <c r="AU841" s="3" t="n"/>
    </row>
    <row r="842">
      <c r="A842" s="3" t="n">
        <v>2031</v>
      </c>
      <c r="B842" s="3" t="inlineStr">
        <is>
          <t>EGY</t>
        </is>
      </c>
      <c r="C842" s="3" t="inlineStr">
        <is>
          <t>IMF.RES:WEO</t>
        </is>
      </c>
      <c r="D842" s="3" t="inlineStr">
        <is>
          <t>EGY.NGDP.A</t>
        </is>
      </c>
      <c r="E842" s="3" t="inlineStr">
        <is>
          <t>Egypt, Arab Republic of</t>
        </is>
      </c>
      <c r="F842" s="3" t="inlineStr">
        <is>
          <t>Gross domestic product (GDP), Current prices, Domestic currency</t>
        </is>
      </c>
      <c r="G842" s="3" t="n">
        <v>357.606893</v>
      </c>
      <c r="H842" s="3" t="n">
        <v>377.164341</v>
      </c>
      <c r="I842" s="3" t="n">
        <v>398.404151</v>
      </c>
      <c r="J842" s="3" t="n">
        <v>438.991114</v>
      </c>
      <c r="K842" s="3" t="n">
        <v>510.281168</v>
      </c>
      <c r="L842" s="3" t="n">
        <v>566.219676</v>
      </c>
      <c r="M842" s="3" t="n">
        <v>649.4965529999999</v>
      </c>
      <c r="N842" s="3" t="n">
        <v>783.1391180000001</v>
      </c>
      <c r="O842" s="3" t="n">
        <v>941.596509</v>
      </c>
      <c r="P842" s="3" t="n">
        <v>1095.847997</v>
      </c>
      <c r="Q842" s="3" t="n">
        <v>1268.710606</v>
      </c>
      <c r="R842" s="3" t="n">
        <v>1441.678362</v>
      </c>
      <c r="S842" s="3" t="n">
        <v>1769.1</v>
      </c>
      <c r="T842" s="3" t="n">
        <v>1958.5</v>
      </c>
      <c r="U842" s="3" t="n">
        <v>2242</v>
      </c>
      <c r="V842" s="3" t="n">
        <v>2576.7</v>
      </c>
      <c r="W842" s="3" t="n">
        <v>2863.9</v>
      </c>
      <c r="X842" s="3" t="n">
        <v>3655.9</v>
      </c>
      <c r="Y842" s="3" t="n">
        <v>4666.2</v>
      </c>
      <c r="Z842" s="3" t="n">
        <v>5596</v>
      </c>
      <c r="AA842" s="3" t="n">
        <v>6152.6</v>
      </c>
      <c r="AB842" s="3" t="n">
        <v>6663.1</v>
      </c>
      <c r="AC842" s="3" t="n">
        <v>7842.5</v>
      </c>
      <c r="AD842" s="3" t="n">
        <v>10155.5</v>
      </c>
      <c r="AE842" s="3" t="n">
        <v>13902.57</v>
      </c>
      <c r="AF842" s="3" t="n">
        <v>18136.3</v>
      </c>
      <c r="AG842" s="3" t="n">
        <v>21282.837794</v>
      </c>
      <c r="AH842" s="3" t="n">
        <v>24832.633296</v>
      </c>
      <c r="AI842" s="3" t="n">
        <v>28382.772973</v>
      </c>
      <c r="AJ842" s="3" t="n">
        <v>31810.495731</v>
      </c>
      <c r="AK842" s="3" t="n">
        <v>35221.975951</v>
      </c>
      <c r="AL842" s="3" t="n">
        <v>38906.90358</v>
      </c>
      <c r="AM842" s="3" t="n"/>
      <c r="AN842" s="3" t="n"/>
      <c r="AO842" s="3" t="n"/>
      <c r="AP842" s="3" t="n"/>
      <c r="AQ842" s="3" t="n"/>
      <c r="AR842" s="3" t="n"/>
      <c r="AS842" s="3" t="n"/>
      <c r="AT842" s="3" t="n"/>
      <c r="AU842" s="3" t="n"/>
    </row>
    <row r="843">
      <c r="A843" s="3" t="n">
        <v>2031</v>
      </c>
      <c r="B843" s="3" t="inlineStr">
        <is>
          <t>EGY</t>
        </is>
      </c>
      <c r="C843" s="3" t="inlineStr">
        <is>
          <t>IMF.RES:WEO</t>
        </is>
      </c>
      <c r="D843" s="3" t="inlineStr">
        <is>
          <t>EGY.NGDP_D.A</t>
        </is>
      </c>
      <c r="E843" s="3" t="inlineStr">
        <is>
          <t>Egypt, Arab Republic of</t>
        </is>
      </c>
      <c r="F843" s="3" t="inlineStr">
        <is>
          <t>Gross domestic product (GDP), Price deflator, Index</t>
        </is>
      </c>
      <c r="G843" s="3" t="n">
        <v>11.737171</v>
      </c>
      <c r="H843" s="3" t="n">
        <v>11.957676</v>
      </c>
      <c r="I843" s="3" t="n">
        <v>12.241124</v>
      </c>
      <c r="J843" s="3" t="n">
        <v>13.070765</v>
      </c>
      <c r="K843" s="3" t="n">
        <v>14.596112</v>
      </c>
      <c r="L843" s="3" t="n">
        <v>15.502929</v>
      </c>
      <c r="M843" s="3" t="n">
        <v>16.643941</v>
      </c>
      <c r="N843" s="3" t="n">
        <v>18.740368</v>
      </c>
      <c r="O843" s="3" t="n">
        <v>21.02744</v>
      </c>
      <c r="P843" s="3" t="n">
        <v>23.379473</v>
      </c>
      <c r="Q843" s="3" t="n">
        <v>25.742405</v>
      </c>
      <c r="R843" s="3" t="n">
        <v>28.744735</v>
      </c>
      <c r="S843" s="3" t="n">
        <v>34.504846</v>
      </c>
      <c r="T843" s="3" t="n">
        <v>36.977947</v>
      </c>
      <c r="U843" s="3" t="n">
        <v>41.125541</v>
      </c>
      <c r="V843" s="3" t="n">
        <v>45.290282</v>
      </c>
      <c r="W843" s="3" t="n">
        <v>48.244668</v>
      </c>
      <c r="X843" s="3" t="n">
        <v>59.110091</v>
      </c>
      <c r="Y843" s="3" t="n">
        <v>71.629007</v>
      </c>
      <c r="Z843" s="3" t="n">
        <v>81.38571</v>
      </c>
      <c r="AA843" s="3" t="n">
        <v>86.391081</v>
      </c>
      <c r="AB843" s="3" t="n">
        <v>90.612506</v>
      </c>
      <c r="AC843" s="3" t="n">
        <v>100</v>
      </c>
      <c r="AD843" s="3" t="n">
        <v>124.800305</v>
      </c>
      <c r="AE843" s="3" t="n">
        <v>166.845522</v>
      </c>
      <c r="AF843" s="3" t="n">
        <v>208.49677</v>
      </c>
      <c r="AG843" s="3" t="n">
        <v>234.718325</v>
      </c>
      <c r="AH843" s="3" t="n">
        <v>261.250959</v>
      </c>
      <c r="AI843" s="3" t="n">
        <v>282.938552</v>
      </c>
      <c r="AJ843" s="3" t="n">
        <v>301.35762</v>
      </c>
      <c r="AK843" s="3" t="n">
        <v>318.26631</v>
      </c>
      <c r="AL843" s="3" t="n">
        <v>335.497292</v>
      </c>
      <c r="AM843" s="3" t="n"/>
      <c r="AN843" s="3" t="n"/>
      <c r="AO843" s="3" t="n"/>
      <c r="AP843" s="3" t="n"/>
      <c r="AQ843" s="3" t="n"/>
      <c r="AR843" s="3" t="n"/>
      <c r="AS843" s="3" t="n"/>
      <c r="AT843" s="3" t="n"/>
      <c r="AU843" s="3" t="n"/>
    </row>
    <row r="844">
      <c r="A844" s="3" t="n">
        <v>2031</v>
      </c>
      <c r="B844" s="3" t="inlineStr">
        <is>
          <t>EGY</t>
        </is>
      </c>
      <c r="C844" s="3" t="inlineStr">
        <is>
          <t>IMF.RES:WEO</t>
        </is>
      </c>
      <c r="D844" s="3" t="inlineStr">
        <is>
          <t>EGY.NGDP_R.A</t>
        </is>
      </c>
      <c r="E844" s="3" t="inlineStr">
        <is>
          <t>Egypt, Arab Republic of</t>
        </is>
      </c>
      <c r="F844" s="3" t="inlineStr">
        <is>
          <t>Gross domestic product (GDP), Constant prices, Domestic currency</t>
        </is>
      </c>
      <c r="G844" s="3" t="n">
        <v>3046.789427</v>
      </c>
      <c r="H844" s="3" t="n">
        <v>3154.160926</v>
      </c>
      <c r="I844" s="3" t="n">
        <v>3254.637008</v>
      </c>
      <c r="J844" s="3" t="n">
        <v>3358.572368</v>
      </c>
      <c r="K844" s="3" t="n">
        <v>3496.007555</v>
      </c>
      <c r="L844" s="3" t="n">
        <v>3652.340079</v>
      </c>
      <c r="M844" s="3" t="n">
        <v>3902.300324</v>
      </c>
      <c r="N844" s="3" t="n">
        <v>4178.888637</v>
      </c>
      <c r="O844" s="3" t="n">
        <v>4477.941758</v>
      </c>
      <c r="P844" s="3" t="n">
        <v>4687.222835</v>
      </c>
      <c r="Q844" s="3" t="n">
        <v>4928.485203</v>
      </c>
      <c r="R844" s="3" t="n">
        <v>5015.45187</v>
      </c>
      <c r="S844" s="3" t="n">
        <v>5127.105849</v>
      </c>
      <c r="T844" s="3" t="n">
        <v>5296.4</v>
      </c>
      <c r="U844" s="3" t="n">
        <v>5451.6</v>
      </c>
      <c r="V844" s="3" t="n">
        <v>5689.3</v>
      </c>
      <c r="W844" s="3" t="n">
        <v>5936.2</v>
      </c>
      <c r="X844" s="3" t="n">
        <v>6184.9</v>
      </c>
      <c r="Y844" s="3" t="n">
        <v>6514.4</v>
      </c>
      <c r="Z844" s="3" t="n">
        <v>6875.9</v>
      </c>
      <c r="AA844" s="3" t="n">
        <v>7121.8</v>
      </c>
      <c r="AB844" s="3" t="n">
        <v>7353.4</v>
      </c>
      <c r="AC844" s="3" t="n">
        <v>7842.5</v>
      </c>
      <c r="AD844" s="3" t="n">
        <v>8137.4</v>
      </c>
      <c r="AE844" s="3" t="n">
        <v>8332.6</v>
      </c>
      <c r="AF844" s="3" t="n">
        <v>8698.6</v>
      </c>
      <c r="AG844" s="3" t="n">
        <v>9067.395044999999</v>
      </c>
      <c r="AH844" s="3" t="n">
        <v>9505.279302000001</v>
      </c>
      <c r="AI844" s="3" t="n">
        <v>10031.426538</v>
      </c>
      <c r="AJ844" s="3" t="n">
        <v>10555.729674</v>
      </c>
      <c r="AK844" s="3" t="n">
        <v>11066.825114</v>
      </c>
      <c r="AL844" s="3" t="n">
        <v>11596.786183</v>
      </c>
      <c r="AM844" s="3" t="n"/>
      <c r="AN844" s="3" t="n"/>
      <c r="AO844" s="3" t="n"/>
      <c r="AP844" s="3" t="n"/>
      <c r="AQ844" s="3" t="n"/>
      <c r="AR844" s="3" t="n"/>
      <c r="AS844" s="3" t="n"/>
      <c r="AT844" s="3" t="n"/>
      <c r="AU844" s="3" t="n"/>
    </row>
    <row r="845">
      <c r="A845" s="3" t="n">
        <v>2031</v>
      </c>
      <c r="B845" s="3" t="inlineStr">
        <is>
          <t>EGY</t>
        </is>
      </c>
      <c r="C845" s="3" t="inlineStr">
        <is>
          <t>IMF.RES:WEO</t>
        </is>
      </c>
      <c r="D845" s="3" t="inlineStr">
        <is>
          <t>EGY.NGDP_RPCH.A</t>
        </is>
      </c>
      <c r="E845" s="3" t="inlineStr">
        <is>
          <t>Egypt, Arab Republic of</t>
        </is>
      </c>
      <c r="F845" s="3" t="inlineStr">
        <is>
          <t>Gross domestic product (GDP), Constant prices, Percent change</t>
        </is>
      </c>
      <c r="G845" s="3" t="n">
        <v>5.383305</v>
      </c>
      <c r="H845" s="3" t="n">
        <v>3.524087</v>
      </c>
      <c r="I845" s="3" t="n">
        <v>3.185509</v>
      </c>
      <c r="J845" s="3" t="n">
        <v>3.193455</v>
      </c>
      <c r="K845" s="3" t="n">
        <v>4.092072</v>
      </c>
      <c r="L845" s="3" t="n">
        <v>4.471744</v>
      </c>
      <c r="M845" s="3" t="n">
        <v>6.843838</v>
      </c>
      <c r="N845" s="3" t="n">
        <v>7.087827</v>
      </c>
      <c r="O845" s="3" t="n">
        <v>7.156284</v>
      </c>
      <c r="P845" s="3" t="n">
        <v>4.6736</v>
      </c>
      <c r="Q845" s="3" t="n">
        <v>5.147235</v>
      </c>
      <c r="R845" s="3" t="n">
        <v>1.764572</v>
      </c>
      <c r="S845" s="3" t="n">
        <v>2.2262</v>
      </c>
      <c r="T845" s="3" t="n">
        <v>3.301944</v>
      </c>
      <c r="U845" s="3" t="n">
        <v>2.930292</v>
      </c>
      <c r="V845" s="3" t="n">
        <v>4.360188</v>
      </c>
      <c r="W845" s="3" t="n">
        <v>4.339725</v>
      </c>
      <c r="X845" s="3" t="n">
        <v>4.189549</v>
      </c>
      <c r="Y845" s="3" t="n">
        <v>5.327491</v>
      </c>
      <c r="Z845" s="3" t="n">
        <v>5.549245</v>
      </c>
      <c r="AA845" s="3" t="n">
        <v>3.576259</v>
      </c>
      <c r="AB845" s="3" t="n">
        <v>3.251987</v>
      </c>
      <c r="AC845" s="3" t="n">
        <v>6.651345</v>
      </c>
      <c r="AD845" s="3" t="n">
        <v>3.760281</v>
      </c>
      <c r="AE845" s="3" t="n">
        <v>2.398801</v>
      </c>
      <c r="AF845" s="3" t="n">
        <v>4.392387</v>
      </c>
      <c r="AG845" s="3" t="n">
        <v>4.239706</v>
      </c>
      <c r="AH845" s="3" t="n">
        <v>4.829218</v>
      </c>
      <c r="AI845" s="3" t="n">
        <v>5.535316</v>
      </c>
      <c r="AJ845" s="3" t="n">
        <v>5.226606</v>
      </c>
      <c r="AK845" s="3" t="n">
        <v>4.841877</v>
      </c>
      <c r="AL845" s="3" t="n">
        <v>4.788736</v>
      </c>
      <c r="AM845" s="3" t="n"/>
      <c r="AN845" s="3" t="n"/>
      <c r="AO845" s="3" t="n"/>
      <c r="AP845" s="3" t="n"/>
      <c r="AQ845" s="3" t="n"/>
      <c r="AR845" s="3" t="n"/>
      <c r="AS845" s="3" t="n"/>
      <c r="AT845" s="3" t="n"/>
      <c r="AU845" s="3" t="n"/>
    </row>
    <row r="846">
      <c r="A846" s="3" t="n">
        <v>2031</v>
      </c>
      <c r="B846" s="3" t="inlineStr">
        <is>
          <t>EGY</t>
        </is>
      </c>
      <c r="C846" s="3" t="inlineStr">
        <is>
          <t>IMF.RES:WEO</t>
        </is>
      </c>
      <c r="D846" s="3" t="inlineStr">
        <is>
          <t>EGY.NGDPD.A</t>
        </is>
      </c>
      <c r="E846" s="3" t="inlineStr">
        <is>
          <t>Egypt, Arab Republic of</t>
        </is>
      </c>
      <c r="F846" s="3" t="inlineStr">
        <is>
          <t>Gross domestic product (GDP), Current prices, US dollar</t>
        </is>
      </c>
      <c r="G846" s="3" t="n">
        <v>104.75212</v>
      </c>
      <c r="H846" s="3" t="n">
        <v>102.272825</v>
      </c>
      <c r="I846" s="3" t="n">
        <v>90.261486</v>
      </c>
      <c r="J846" s="3" t="n">
        <v>85.1635</v>
      </c>
      <c r="K846" s="3" t="n">
        <v>82.85487500000001</v>
      </c>
      <c r="L846" s="3" t="n">
        <v>94.127278</v>
      </c>
      <c r="M846" s="3" t="n">
        <v>112.901947</v>
      </c>
      <c r="N846" s="3" t="n">
        <v>137.055278</v>
      </c>
      <c r="O846" s="3" t="n">
        <v>170.796635</v>
      </c>
      <c r="P846" s="3" t="n">
        <v>198.316208</v>
      </c>
      <c r="Q846" s="3" t="n">
        <v>230.024066</v>
      </c>
      <c r="R846" s="3" t="n">
        <v>247.72608</v>
      </c>
      <c r="S846" s="3" t="n">
        <v>294.482245</v>
      </c>
      <c r="T846" s="3" t="n">
        <v>303.194014</v>
      </c>
      <c r="U846" s="3" t="n">
        <v>321.634375</v>
      </c>
      <c r="V846" s="3" t="n">
        <v>350.119483</v>
      </c>
      <c r="W846" s="3" t="n">
        <v>351.442966</v>
      </c>
      <c r="X846" s="3" t="n">
        <v>246.8257</v>
      </c>
      <c r="Y846" s="3" t="n">
        <v>263.156312</v>
      </c>
      <c r="Z846" s="3" t="n">
        <v>317.894338</v>
      </c>
      <c r="AA846" s="3" t="n">
        <v>382.525258</v>
      </c>
      <c r="AB846" s="3" t="n">
        <v>423.300334</v>
      </c>
      <c r="AC846" s="3" t="n">
        <v>475.231026</v>
      </c>
      <c r="AD846" s="3" t="n">
        <v>393.827559</v>
      </c>
      <c r="AE846" s="3" t="n">
        <v>383.105243</v>
      </c>
      <c r="AF846" s="3" t="n">
        <v>364.640362</v>
      </c>
      <c r="AG846" s="3" t="n">
        <v>429.645296</v>
      </c>
      <c r="AH846" s="3" t="n">
        <v>457.074772</v>
      </c>
      <c r="AI846" s="3" t="n">
        <v>508.469781</v>
      </c>
      <c r="AJ846" s="3" t="n">
        <v>560.081367</v>
      </c>
      <c r="AK846" s="3" t="n">
        <v>610.981924</v>
      </c>
      <c r="AL846" s="3" t="n">
        <v>665.59464</v>
      </c>
      <c r="AM846" s="3" t="n"/>
      <c r="AN846" s="3" t="n"/>
      <c r="AO846" s="3" t="n"/>
      <c r="AP846" s="3" t="n"/>
      <c r="AQ846" s="3" t="n"/>
      <c r="AR846" s="3" t="n"/>
      <c r="AS846" s="3" t="n"/>
      <c r="AT846" s="3" t="n"/>
      <c r="AU846" s="3" t="n"/>
    </row>
    <row r="847">
      <c r="A847" s="3" t="n">
        <v>2031</v>
      </c>
      <c r="B847" s="3" t="inlineStr">
        <is>
          <t>EGY</t>
        </is>
      </c>
      <c r="C847" s="3" t="inlineStr">
        <is>
          <t>IMF.RES:WEO</t>
        </is>
      </c>
      <c r="D847" s="3" t="inlineStr">
        <is>
          <t>EGY.NGDPPC.A</t>
        </is>
      </c>
      <c r="E847" s="3" t="inlineStr">
        <is>
          <t>Egypt, Arab Republic of</t>
        </is>
      </c>
      <c r="F847" s="3" t="inlineStr">
        <is>
          <t>Gross domestic product (GDP), Current prices, Per capita, Domestic currency</t>
        </is>
      </c>
      <c r="G847" s="3" t="n">
        <v>5587.607704</v>
      </c>
      <c r="H847" s="3" t="n">
        <v>5775.870467</v>
      </c>
      <c r="I847" s="3" t="n">
        <v>5982.04431</v>
      </c>
      <c r="J847" s="3" t="n">
        <v>6455.751675</v>
      </c>
      <c r="K847" s="3" t="n">
        <v>7363.364616</v>
      </c>
      <c r="L847" s="3" t="n">
        <v>8008.76487</v>
      </c>
      <c r="M847" s="3" t="n">
        <v>8995.797140000001</v>
      </c>
      <c r="N847" s="3" t="n">
        <v>10640.477143</v>
      </c>
      <c r="O847" s="3" t="n">
        <v>12521.230173</v>
      </c>
      <c r="P847" s="3" t="n">
        <v>14250.299057</v>
      </c>
      <c r="Q847" s="3" t="n">
        <v>16120.84633</v>
      </c>
      <c r="R847" s="3" t="n">
        <v>17909.04798</v>
      </c>
      <c r="S847" s="3" t="n">
        <v>21443.636364</v>
      </c>
      <c r="T847" s="3" t="n">
        <v>23150.118203</v>
      </c>
      <c r="U847" s="3" t="n">
        <v>25829.493088</v>
      </c>
      <c r="V847" s="3" t="n">
        <v>28951.685393</v>
      </c>
      <c r="W847" s="3" t="n">
        <v>31471.428571</v>
      </c>
      <c r="X847" s="3" t="n">
        <v>38402.310924</v>
      </c>
      <c r="Y847" s="3" t="n">
        <v>48055.61277</v>
      </c>
      <c r="Z847" s="3" t="n">
        <v>56582.406471</v>
      </c>
      <c r="AA847" s="3" t="n">
        <v>61159.045726</v>
      </c>
      <c r="AB847" s="3" t="n">
        <v>65260.528893</v>
      </c>
      <c r="AC847" s="3" t="n">
        <v>75699.80695</v>
      </c>
      <c r="AD847" s="3" t="n">
        <v>96535.171103</v>
      </c>
      <c r="AE847" s="3" t="n">
        <v>130418.105066</v>
      </c>
      <c r="AF847" s="3" t="n">
        <v>168084.337349</v>
      </c>
      <c r="AG847" s="3" t="n">
        <v>193378.380433</v>
      </c>
      <c r="AH847" s="3" t="n">
        <v>221208.080445</v>
      </c>
      <c r="AI847" s="3" t="n">
        <v>247875.077747</v>
      </c>
      <c r="AJ847" s="3" t="n">
        <v>272363.123083</v>
      </c>
      <c r="AK847" s="3" t="n">
        <v>292788.732626</v>
      </c>
      <c r="AL847" s="3" t="n">
        <v>310981.083927</v>
      </c>
      <c r="AM847" s="3" t="n"/>
      <c r="AN847" s="3" t="n"/>
      <c r="AO847" s="3" t="n"/>
      <c r="AP847" s="3" t="n"/>
      <c r="AQ847" s="3" t="n"/>
      <c r="AR847" s="3" t="n"/>
      <c r="AS847" s="3" t="n"/>
      <c r="AT847" s="3" t="n"/>
      <c r="AU847" s="3" t="n"/>
    </row>
    <row r="848">
      <c r="A848" s="3" t="n">
        <v>2031</v>
      </c>
      <c r="B848" s="3" t="inlineStr">
        <is>
          <t>EGY</t>
        </is>
      </c>
      <c r="C848" s="3" t="inlineStr">
        <is>
          <t>IMF.RES:WEO</t>
        </is>
      </c>
      <c r="D848" s="3" t="inlineStr">
        <is>
          <t>EGY.NGDPRPC.A</t>
        </is>
      </c>
      <c r="E848" s="3" t="inlineStr">
        <is>
          <t>Egypt, Arab Republic of</t>
        </is>
      </c>
      <c r="F848" s="3" t="inlineStr">
        <is>
          <t>Gross domestic product (GDP), Constant prices, Per capita, Domestic currency</t>
        </is>
      </c>
      <c r="G848" s="3" t="n">
        <v>47606.084798</v>
      </c>
      <c r="H848" s="3" t="n">
        <v>48302.617557</v>
      </c>
      <c r="I848" s="3" t="n">
        <v>48868.42355</v>
      </c>
      <c r="J848" s="3" t="n">
        <v>49390.77012</v>
      </c>
      <c r="K848" s="3" t="n">
        <v>50447.43946</v>
      </c>
      <c r="L848" s="3" t="n">
        <v>51659.689945</v>
      </c>
      <c r="M848" s="3" t="n">
        <v>54048.480948</v>
      </c>
      <c r="N848" s="3" t="n">
        <v>56778.378222</v>
      </c>
      <c r="O848" s="3" t="n">
        <v>59547.097844</v>
      </c>
      <c r="P848" s="3" t="n">
        <v>60952.182509</v>
      </c>
      <c r="Q848" s="3" t="n">
        <v>62623.700159</v>
      </c>
      <c r="R848" s="3" t="n">
        <v>62303.749937</v>
      </c>
      <c r="S848" s="3" t="n">
        <v>62146.737568</v>
      </c>
      <c r="T848" s="3" t="n">
        <v>62605.200946</v>
      </c>
      <c r="U848" s="3" t="n">
        <v>62806.451613</v>
      </c>
      <c r="V848" s="3" t="n">
        <v>63924.719101</v>
      </c>
      <c r="W848" s="3" t="n">
        <v>65232.967033</v>
      </c>
      <c r="X848" s="3" t="n">
        <v>64967.436975</v>
      </c>
      <c r="Y848" s="3" t="n">
        <v>67089.598352</v>
      </c>
      <c r="Z848" s="3" t="n">
        <v>69523.761375</v>
      </c>
      <c r="AA848" s="3" t="n">
        <v>70793.240557</v>
      </c>
      <c r="AB848" s="3" t="n">
        <v>72021.547502</v>
      </c>
      <c r="AC848" s="3" t="n">
        <v>75699.80695</v>
      </c>
      <c r="AD848" s="3" t="n">
        <v>77351.711027</v>
      </c>
      <c r="AE848" s="3" t="n">
        <v>78166.979362</v>
      </c>
      <c r="AF848" s="3" t="n">
        <v>80617.238184</v>
      </c>
      <c r="AG848" s="3" t="n">
        <v>82387.42340299999</v>
      </c>
      <c r="AH848" s="3" t="n">
        <v>84672.63876</v>
      </c>
      <c r="AI848" s="3" t="n">
        <v>87607.38901</v>
      </c>
      <c r="AJ848" s="3" t="n">
        <v>90378.70785999999</v>
      </c>
      <c r="AK848" s="3" t="n">
        <v>91994.887049</v>
      </c>
      <c r="AL848" s="3" t="n">
        <v>92692.57651699999</v>
      </c>
      <c r="AM848" s="3" t="n"/>
      <c r="AN848" s="3" t="n"/>
      <c r="AO848" s="3" t="n"/>
      <c r="AP848" s="3" t="n"/>
      <c r="AQ848" s="3" t="n"/>
      <c r="AR848" s="3" t="n"/>
      <c r="AS848" s="3" t="n"/>
      <c r="AT848" s="3" t="n"/>
      <c r="AU848" s="3" t="n"/>
    </row>
    <row r="849">
      <c r="A849" s="3" t="n">
        <v>2031</v>
      </c>
      <c r="B849" s="3" t="inlineStr">
        <is>
          <t>EGY</t>
        </is>
      </c>
      <c r="C849" s="3" t="inlineStr">
        <is>
          <t>IMF.RES:WEO</t>
        </is>
      </c>
      <c r="D849" s="3" t="inlineStr">
        <is>
          <t>EGY.PCPI.A</t>
        </is>
      </c>
      <c r="E849" s="3" t="inlineStr">
        <is>
          <t>Egypt, Arab Republic of</t>
        </is>
      </c>
      <c r="F849" s="3" t="inlineStr">
        <is>
          <t>All Items, Consumer price index (CPI), Period average</t>
        </is>
      </c>
      <c r="G849" s="3" t="n">
        <v>15.858333</v>
      </c>
      <c r="H849" s="3" t="n">
        <v>16.241667</v>
      </c>
      <c r="I849" s="3" t="n">
        <v>16.608333</v>
      </c>
      <c r="J849" s="3" t="n">
        <v>17.175</v>
      </c>
      <c r="K849" s="3" t="n">
        <v>18.575</v>
      </c>
      <c r="L849" s="3" t="n">
        <v>20.191667</v>
      </c>
      <c r="M849" s="3" t="n">
        <v>21.058333</v>
      </c>
      <c r="N849" s="3" t="n">
        <v>23.35</v>
      </c>
      <c r="O849" s="3" t="n">
        <v>26.091667</v>
      </c>
      <c r="P849" s="3" t="n">
        <v>30.308333</v>
      </c>
      <c r="Q849" s="3" t="n">
        <v>33.841667</v>
      </c>
      <c r="R849" s="3" t="n">
        <v>37.583333</v>
      </c>
      <c r="S849" s="3" t="n">
        <v>40.85</v>
      </c>
      <c r="T849" s="3" t="n">
        <v>43.675</v>
      </c>
      <c r="U849" s="3" t="n">
        <v>48.083333</v>
      </c>
      <c r="V849" s="3" t="n">
        <v>53.366667</v>
      </c>
      <c r="W849" s="3" t="n">
        <v>58.816667</v>
      </c>
      <c r="X849" s="3" t="n">
        <v>72.658333</v>
      </c>
      <c r="Y849" s="3" t="n">
        <v>87.808333</v>
      </c>
      <c r="Z849" s="3" t="n">
        <v>99.99166700000001</v>
      </c>
      <c r="AA849" s="3" t="n">
        <v>105.691667</v>
      </c>
      <c r="AB849" s="3" t="n">
        <v>110.4475</v>
      </c>
      <c r="AC849" s="3" t="n">
        <v>119.835833</v>
      </c>
      <c r="AD849" s="3" t="n">
        <v>149.066667</v>
      </c>
      <c r="AE849" s="3" t="n">
        <v>198.708333</v>
      </c>
      <c r="AF849" s="3" t="n">
        <v>239.283333</v>
      </c>
      <c r="AG849" s="3" t="n">
        <v>270.775776</v>
      </c>
      <c r="AH849" s="3" t="n">
        <v>300.853403</v>
      </c>
      <c r="AI849" s="3" t="n">
        <v>325.280517</v>
      </c>
      <c r="AJ849" s="3" t="n">
        <v>345.458927</v>
      </c>
      <c r="AK849" s="3" t="n">
        <v>363.984449</v>
      </c>
      <c r="AL849" s="3" t="n">
        <v>383.36323</v>
      </c>
      <c r="AM849" s="3" t="n"/>
      <c r="AN849" s="3" t="n"/>
      <c r="AO849" s="3" t="n"/>
      <c r="AP849" s="3" t="n"/>
      <c r="AQ849" s="3" t="n"/>
      <c r="AR849" s="3" t="n"/>
      <c r="AS849" s="3" t="n"/>
      <c r="AT849" s="3" t="n"/>
      <c r="AU849" s="3" t="n"/>
    </row>
    <row r="850">
      <c r="A850" s="3" t="n">
        <v>2031</v>
      </c>
      <c r="B850" s="3" t="inlineStr">
        <is>
          <t>EGY</t>
        </is>
      </c>
      <c r="C850" s="3" t="inlineStr">
        <is>
          <t>IMF.RES:WEO</t>
        </is>
      </c>
      <c r="D850" s="3" t="inlineStr">
        <is>
          <t>EGY.PCPIPCH.A</t>
        </is>
      </c>
      <c r="E850" s="3" t="inlineStr">
        <is>
          <t>Egypt, Arab Republic of</t>
        </is>
      </c>
      <c r="F850" s="3" t="inlineStr">
        <is>
          <t>All Items, Consumer price index (CPI), Period average, percent change</t>
        </is>
      </c>
      <c r="G850" s="3" t="n">
        <v>2.849176</v>
      </c>
      <c r="H850" s="3" t="n">
        <v>2.417236</v>
      </c>
      <c r="I850" s="3" t="n">
        <v>2.257568</v>
      </c>
      <c r="J850" s="3" t="n">
        <v>3.411942</v>
      </c>
      <c r="K850" s="3" t="n">
        <v>8.151382999999999</v>
      </c>
      <c r="L850" s="3" t="n">
        <v>8.703454000000001</v>
      </c>
      <c r="M850" s="3" t="n">
        <v>4.2922</v>
      </c>
      <c r="N850" s="3" t="n">
        <v>10.882469</v>
      </c>
      <c r="O850" s="3" t="n">
        <v>11.741613</v>
      </c>
      <c r="P850" s="3" t="n">
        <v>16.160971</v>
      </c>
      <c r="Q850" s="3" t="n">
        <v>11.65796</v>
      </c>
      <c r="R850" s="3" t="n">
        <v>11.05639</v>
      </c>
      <c r="S850" s="3" t="n">
        <v>8.691796</v>
      </c>
      <c r="T850" s="3" t="n">
        <v>6.915545</v>
      </c>
      <c r="U850" s="3" t="n">
        <v>10.093494</v>
      </c>
      <c r="V850" s="3" t="n">
        <v>10.987868</v>
      </c>
      <c r="W850" s="3" t="n">
        <v>10.212367</v>
      </c>
      <c r="X850" s="3" t="n">
        <v>23.533579</v>
      </c>
      <c r="Y850" s="3" t="n">
        <v>20.851015</v>
      </c>
      <c r="Z850" s="3" t="n">
        <v>13.874917</v>
      </c>
      <c r="AA850" s="3" t="n">
        <v>5.700475</v>
      </c>
      <c r="AB850" s="3" t="n">
        <v>4.499724</v>
      </c>
      <c r="AC850" s="3" t="n">
        <v>8.500268</v>
      </c>
      <c r="AD850" s="3" t="n">
        <v>24.392398</v>
      </c>
      <c r="AE850" s="3" t="n">
        <v>33.301655</v>
      </c>
      <c r="AF850" s="3" t="n">
        <v>20.419375</v>
      </c>
      <c r="AG850" s="3" t="n">
        <v>13.161152</v>
      </c>
      <c r="AH850" s="3" t="n">
        <v>11.107946</v>
      </c>
      <c r="AI850" s="3" t="n">
        <v>8.119274000000001</v>
      </c>
      <c r="AJ850" s="3" t="n">
        <v>6.203387</v>
      </c>
      <c r="AK850" s="3" t="n">
        <v>5.362583</v>
      </c>
      <c r="AL850" s="3" t="n">
        <v>5.324068</v>
      </c>
      <c r="AM850" s="3" t="n"/>
      <c r="AN850" s="3" t="n"/>
      <c r="AO850" s="3" t="n"/>
      <c r="AP850" s="3" t="n"/>
      <c r="AQ850" s="3" t="n"/>
      <c r="AR850" s="3" t="n"/>
      <c r="AS850" s="3" t="n"/>
      <c r="AT850" s="3" t="n"/>
      <c r="AU850" s="3" t="n"/>
    </row>
    <row r="851">
      <c r="A851" s="3" t="n">
        <v>2031</v>
      </c>
      <c r="B851" s="3" t="inlineStr">
        <is>
          <t>EGY</t>
        </is>
      </c>
      <c r="C851" s="3" t="inlineStr">
        <is>
          <t>IMF.RES:WEO</t>
        </is>
      </c>
      <c r="D851" s="3" t="inlineStr">
        <is>
          <t>EGY.PPPPC.A</t>
        </is>
      </c>
      <c r="E851" s="3" t="inlineStr">
        <is>
          <t>Egypt, Arab Republic of</t>
        </is>
      </c>
      <c r="F851" s="3" t="inlineStr">
        <is>
          <t>Gross domestic product (GDP), Per capita, purchasing power parity (PPP) international dollar, ICP benchmarks 2017-2021</t>
        </is>
      </c>
      <c r="G851" s="3" t="n">
        <v>6457.273169</v>
      </c>
      <c r="H851" s="3" t="n">
        <v>6699.271188</v>
      </c>
      <c r="I851" s="3" t="n">
        <v>6883.073524</v>
      </c>
      <c r="J851" s="3" t="n">
        <v>7093.984758</v>
      </c>
      <c r="K851" s="3" t="n">
        <v>7440.583642</v>
      </c>
      <c r="L851" s="3" t="n">
        <v>7858.310777</v>
      </c>
      <c r="M851" s="3" t="n">
        <v>8475.233324000001</v>
      </c>
      <c r="N851" s="3" t="n">
        <v>9144.517535999999</v>
      </c>
      <c r="O851" s="3" t="n">
        <v>9775.188638</v>
      </c>
      <c r="P851" s="3" t="n">
        <v>10067.556099</v>
      </c>
      <c r="Q851" s="3" t="n">
        <v>10469.356984</v>
      </c>
      <c r="R851" s="3" t="n">
        <v>10630.773308</v>
      </c>
      <c r="S851" s="3" t="n">
        <v>10801.421537</v>
      </c>
      <c r="T851" s="3" t="n">
        <v>11066.301762</v>
      </c>
      <c r="U851" s="3" t="n">
        <v>11295.238507</v>
      </c>
      <c r="V851" s="3" t="n">
        <v>11603.042227</v>
      </c>
      <c r="W851" s="3" t="n">
        <v>11953.014926</v>
      </c>
      <c r="X851" s="3" t="n">
        <v>12117.554265</v>
      </c>
      <c r="Y851" s="3" t="n">
        <v>13418.953605</v>
      </c>
      <c r="Z851" s="3" t="n">
        <v>14532.979314</v>
      </c>
      <c r="AA851" s="3" t="n">
        <v>16551.424025</v>
      </c>
      <c r="AB851" s="3" t="n">
        <v>16930.47025</v>
      </c>
      <c r="AC851" s="3" t="n">
        <v>19060.801189</v>
      </c>
      <c r="AD851" s="3" t="n">
        <v>20197.387626</v>
      </c>
      <c r="AE851" s="3" t="n">
        <v>20916.957138</v>
      </c>
      <c r="AF851" s="3" t="n">
        <v>22184.59504</v>
      </c>
      <c r="AG851" s="3" t="n">
        <v>23321.233168</v>
      </c>
      <c r="AH851" s="3" t="n">
        <v>24494.420319</v>
      </c>
      <c r="AI851" s="3" t="n">
        <v>25759.38004</v>
      </c>
      <c r="AJ851" s="3" t="n">
        <v>27046.75537</v>
      </c>
      <c r="AK851" s="3" t="n">
        <v>28036.292308</v>
      </c>
      <c r="AL851" s="3" t="n">
        <v>28758.897876</v>
      </c>
      <c r="AM851" s="3" t="n"/>
      <c r="AN851" s="3" t="n"/>
      <c r="AO851" s="3" t="n"/>
      <c r="AP851" s="3" t="n"/>
      <c r="AQ851" s="3" t="n"/>
      <c r="AR851" s="3" t="n"/>
      <c r="AS851" s="3" t="n"/>
      <c r="AT851" s="3" t="n"/>
      <c r="AU851" s="3" t="n"/>
    </row>
    <row r="852">
      <c r="A852" s="3" t="n">
        <v>2025</v>
      </c>
      <c r="B852" s="3" t="inlineStr">
        <is>
          <t>EGY</t>
        </is>
      </c>
      <c r="C852" s="3" t="inlineStr">
        <is>
          <t>IMF.STA:ER</t>
        </is>
      </c>
      <c r="D852" s="3" t="inlineStr">
        <is>
          <t>EGY.XDC_USD.PA_RT.A</t>
        </is>
      </c>
      <c r="E852" s="3" t="inlineStr">
        <is>
          <t>Egypt, Arab Republic of</t>
        </is>
      </c>
      <c r="F852" s="3" t="inlineStr">
        <is>
          <t>Domestic currency per US Dollar</t>
        </is>
      </c>
      <c r="G852" s="3" t="n">
        <v>3.47205</v>
      </c>
      <c r="H852" s="3" t="n">
        <v>3.973</v>
      </c>
      <c r="I852" s="3" t="n">
        <v>4.49966666666666</v>
      </c>
      <c r="J852" s="3" t="n">
        <v>5.850875</v>
      </c>
      <c r="K852" s="3" t="n">
        <v>6.19624166666666</v>
      </c>
      <c r="L852" s="3" t="n">
        <v>5.77883333333333</v>
      </c>
      <c r="M852" s="3" t="n">
        <v>5.73316666666666</v>
      </c>
      <c r="N852" s="3" t="n">
        <v>5.63543333333333</v>
      </c>
      <c r="O852" s="3" t="n">
        <v>5.43249999999999</v>
      </c>
      <c r="P852" s="3" t="n">
        <v>5.54455330862977</v>
      </c>
      <c r="Q852" s="3" t="n">
        <v>5.6219429176105</v>
      </c>
      <c r="R852" s="3" t="n">
        <v>5.93282765151515</v>
      </c>
      <c r="S852" s="3" t="n">
        <v>6.05605833333333</v>
      </c>
      <c r="T852" s="3" t="n">
        <v>6.87032499999999</v>
      </c>
      <c r="U852" s="3" t="n">
        <v>7.07760856060606</v>
      </c>
      <c r="V852" s="3" t="n">
        <v>7.69125833333333</v>
      </c>
      <c r="W852" s="3" t="n">
        <v>10.0254007885464</v>
      </c>
      <c r="X852" s="3" t="n">
        <v>17.7825335150635</v>
      </c>
      <c r="Y852" s="3" t="n">
        <v>17.7672904218106</v>
      </c>
      <c r="Z852" s="3" t="n">
        <v>16.7705818428763</v>
      </c>
      <c r="AA852" s="3" t="n">
        <v>15.7591729166666</v>
      </c>
      <c r="AB852" s="3" t="n">
        <v>15.6445272777113</v>
      </c>
      <c r="AC852" s="3" t="n">
        <v>19.1604397412204</v>
      </c>
      <c r="AD852" s="3" t="n">
        <v>30.626413698031</v>
      </c>
      <c r="AE852" s="3" t="n">
        <v>45.29926</v>
      </c>
      <c r="AF852" s="3" t="n">
        <v>49.2277558333333</v>
      </c>
      <c r="AG852" s="3" t="n"/>
      <c r="AH852" s="3" t="n"/>
      <c r="AI852" s="3" t="n"/>
      <c r="AJ852" s="3" t="n"/>
      <c r="AK852" s="3" t="n"/>
      <c r="AL852" s="3" t="n"/>
      <c r="AM852" s="3" t="n"/>
      <c r="AN852" s="3" t="n"/>
      <c r="AO852" s="3" t="n"/>
      <c r="AP852" s="3" t="n"/>
      <c r="AQ852" s="3" t="n"/>
      <c r="AR852" s="3" t="n"/>
      <c r="AS852" s="3" t="n"/>
      <c r="AT852" s="3" t="n"/>
      <c r="AU852" s="3" t="n"/>
    </row>
    <row r="853">
      <c r="A853" s="3" t="n">
        <v>2019</v>
      </c>
      <c r="B853" s="3" t="inlineStr">
        <is>
          <t>ERI</t>
        </is>
      </c>
      <c r="C853" s="3" t="inlineStr">
        <is>
          <t>IMF.RES:WEO</t>
        </is>
      </c>
      <c r="D853" s="3" t="inlineStr">
        <is>
          <t>ERI.BCA.A</t>
        </is>
      </c>
      <c r="E853" s="3" t="inlineStr">
        <is>
          <t>Eritrea, The State of</t>
        </is>
      </c>
      <c r="F853" s="3" t="inlineStr">
        <is>
          <t>Current account balance (credit less debit), US dollar</t>
        </is>
      </c>
      <c r="G853" s="3" t="n">
        <v>-0.115228</v>
      </c>
      <c r="H853" s="3" t="n">
        <v>-0.144257</v>
      </c>
      <c r="I853" s="3" t="n">
        <v>-0.000393</v>
      </c>
      <c r="J853" s="3" t="n">
        <v>-0.015816</v>
      </c>
      <c r="K853" s="3" t="n">
        <v>-0.007458</v>
      </c>
      <c r="L853" s="3" t="n">
        <v>0.003674</v>
      </c>
      <c r="M853" s="3" t="n">
        <v>-0.043406</v>
      </c>
      <c r="N853" s="3" t="n">
        <v>-0.08055</v>
      </c>
      <c r="O853" s="3" t="n">
        <v>-0.070511</v>
      </c>
      <c r="P853" s="3" t="n">
        <v>-0.146765</v>
      </c>
      <c r="Q853" s="3" t="n">
        <v>-0.181521</v>
      </c>
      <c r="R853" s="3" t="n">
        <v>0.264239</v>
      </c>
      <c r="S853" s="3" t="n">
        <v>0.280531</v>
      </c>
      <c r="T853" s="3" t="n">
        <v>0.044609</v>
      </c>
      <c r="U853" s="3" t="n">
        <v>0.460659</v>
      </c>
      <c r="V853" s="3" t="n">
        <v>0.451535</v>
      </c>
      <c r="W853" s="3" t="n">
        <v>0.297331</v>
      </c>
      <c r="X853" s="3" t="n">
        <v>0.471347</v>
      </c>
      <c r="Y853" s="3" t="n">
        <v>0.311163</v>
      </c>
      <c r="Z853" s="3" t="n">
        <v>0.2574</v>
      </c>
      <c r="AA853" s="3" t="n"/>
      <c r="AB853" s="3" t="n"/>
      <c r="AC853" s="3" t="n"/>
      <c r="AD853" s="3" t="n"/>
      <c r="AE853" s="3" t="n"/>
      <c r="AF853" s="3" t="n"/>
      <c r="AG853" s="3" t="n"/>
      <c r="AH853" s="3" t="n"/>
      <c r="AI853" s="3" t="n"/>
      <c r="AJ853" s="3" t="n"/>
      <c r="AK853" s="3" t="n"/>
      <c r="AL853" s="3" t="n"/>
      <c r="AM853" s="3" t="n"/>
      <c r="AN853" s="3" t="n"/>
      <c r="AO853" s="3" t="n"/>
      <c r="AP853" s="3" t="n"/>
      <c r="AQ853" s="3" t="n"/>
      <c r="AR853" s="3" t="n"/>
      <c r="AS853" s="3" t="n"/>
      <c r="AT853" s="3" t="n"/>
      <c r="AU853" s="3" t="n"/>
    </row>
    <row r="854">
      <c r="A854" s="3" t="n">
        <v>2019</v>
      </c>
      <c r="B854" s="3" t="inlineStr">
        <is>
          <t>ERI</t>
        </is>
      </c>
      <c r="C854" s="3" t="inlineStr">
        <is>
          <t>IMF.RES:WEO</t>
        </is>
      </c>
      <c r="D854" s="3" t="inlineStr">
        <is>
          <t>ERI.BCA_NGDPD.A</t>
        </is>
      </c>
      <c r="E854" s="3" t="inlineStr">
        <is>
          <t>Eritrea, The State of</t>
        </is>
      </c>
      <c r="F854" s="3" t="inlineStr">
        <is>
          <t>Current account balance (credit less debit), Percent of GDP</t>
        </is>
      </c>
      <c r="G854" s="3" t="n">
        <v>-21.078515</v>
      </c>
      <c r="H854" s="3" t="n">
        <v>-24.775294</v>
      </c>
      <c r="I854" s="3" t="n">
        <v>-0.069637</v>
      </c>
      <c r="J854" s="3" t="n">
        <v>-2.348328</v>
      </c>
      <c r="K854" s="3" t="n">
        <v>-0.868949</v>
      </c>
      <c r="L854" s="3" t="n">
        <v>0.432142</v>
      </c>
      <c r="M854" s="3" t="n">
        <v>-4.630849</v>
      </c>
      <c r="N854" s="3" t="n">
        <v>-7.897166</v>
      </c>
      <c r="O854" s="3" t="n">
        <v>-7.641879</v>
      </c>
      <c r="P854" s="3" t="n">
        <v>-11.318565</v>
      </c>
      <c r="Q854" s="3" t="n">
        <v>-11.419894</v>
      </c>
      <c r="R854" s="3" t="n">
        <v>12.796081</v>
      </c>
      <c r="S854" s="3" t="n">
        <v>12.441143</v>
      </c>
      <c r="T854" s="3" t="n">
        <v>2.278346</v>
      </c>
      <c r="U854" s="3" t="n">
        <v>17.688832</v>
      </c>
      <c r="V854" s="3" t="n">
        <v>22.392312</v>
      </c>
      <c r="W854" s="3" t="n">
        <v>13.433444</v>
      </c>
      <c r="X854" s="3" t="n">
        <v>24.756077</v>
      </c>
      <c r="Y854" s="3" t="n">
        <v>15.51424</v>
      </c>
      <c r="Z854" s="3" t="n">
        <v>12.987841</v>
      </c>
      <c r="AA854" s="3" t="n"/>
      <c r="AB854" s="3" t="n"/>
      <c r="AC854" s="3" t="n"/>
      <c r="AD854" s="3" t="n"/>
      <c r="AE854" s="3" t="n"/>
      <c r="AF854" s="3" t="n"/>
      <c r="AG854" s="3" t="n"/>
      <c r="AH854" s="3" t="n"/>
      <c r="AI854" s="3" t="n"/>
      <c r="AJ854" s="3" t="n"/>
      <c r="AK854" s="3" t="n"/>
      <c r="AL854" s="3" t="n"/>
      <c r="AM854" s="3" t="n"/>
      <c r="AN854" s="3" t="n"/>
      <c r="AO854" s="3" t="n"/>
      <c r="AP854" s="3" t="n"/>
      <c r="AQ854" s="3" t="n"/>
      <c r="AR854" s="3" t="n"/>
      <c r="AS854" s="3" t="n"/>
      <c r="AT854" s="3" t="n"/>
      <c r="AU854" s="3" t="n"/>
    </row>
    <row r="855">
      <c r="A855" s="3" t="n">
        <v>2019</v>
      </c>
      <c r="B855" s="3" t="inlineStr">
        <is>
          <t>ERI</t>
        </is>
      </c>
      <c r="C855" s="3" t="inlineStr">
        <is>
          <t>IMF.RES:WEO</t>
        </is>
      </c>
      <c r="D855" s="3" t="inlineStr">
        <is>
          <t>ERI.GGR_NGDP.A</t>
        </is>
      </c>
      <c r="E855" s="3" t="inlineStr">
        <is>
          <t>Eritrea, The State of</t>
        </is>
      </c>
      <c r="F855" s="3" t="inlineStr">
        <is>
          <t>Revenue, General government, Percent of GDP</t>
        </is>
      </c>
      <c r="G855" s="3" t="n">
        <v>59.341585</v>
      </c>
      <c r="H855" s="3" t="n">
        <v>49.915298</v>
      </c>
      <c r="I855" s="3" t="n">
        <v>46.782016</v>
      </c>
      <c r="J855" s="3" t="n">
        <v>64.379278</v>
      </c>
      <c r="K855" s="3" t="n">
        <v>49.401975</v>
      </c>
      <c r="L855" s="3" t="n">
        <v>45.598998</v>
      </c>
      <c r="M855" s="3" t="n">
        <v>34.992765</v>
      </c>
      <c r="N855" s="3" t="n">
        <v>31.376414</v>
      </c>
      <c r="O855" s="3" t="n">
        <v>31.416502</v>
      </c>
      <c r="P855" s="3" t="n">
        <v>22.77997</v>
      </c>
      <c r="Q855" s="3" t="n">
        <v>25.927781</v>
      </c>
      <c r="R855" s="3" t="n">
        <v>26.748588</v>
      </c>
      <c r="S855" s="3" t="n">
        <v>28.107512</v>
      </c>
      <c r="T855" s="3" t="n">
        <v>25.104648</v>
      </c>
      <c r="U855" s="3" t="n">
        <v>21.476666</v>
      </c>
      <c r="V855" s="3" t="n">
        <v>28.315257</v>
      </c>
      <c r="W855" s="3" t="n">
        <v>29.500339</v>
      </c>
      <c r="X855" s="3" t="n">
        <v>36.754998</v>
      </c>
      <c r="Y855" s="3" t="n">
        <v>31.581054</v>
      </c>
      <c r="Z855" s="3" t="n">
        <v>33.973467</v>
      </c>
      <c r="AA855" s="3" t="n"/>
      <c r="AB855" s="3" t="n"/>
      <c r="AC855" s="3" t="n"/>
      <c r="AD855" s="3" t="n"/>
      <c r="AE855" s="3" t="n"/>
      <c r="AF855" s="3" t="n"/>
      <c r="AG855" s="3" t="n"/>
      <c r="AH855" s="3" t="n"/>
      <c r="AI855" s="3" t="n"/>
      <c r="AJ855" s="3" t="n"/>
      <c r="AK855" s="3" t="n"/>
      <c r="AL855" s="3" t="n"/>
      <c r="AM855" s="3" t="n"/>
      <c r="AN855" s="3" t="n"/>
      <c r="AO855" s="3" t="n"/>
      <c r="AP855" s="3" t="n"/>
      <c r="AQ855" s="3" t="n"/>
      <c r="AR855" s="3" t="n"/>
      <c r="AS855" s="3" t="n"/>
      <c r="AT855" s="3" t="n"/>
      <c r="AU855" s="3" t="n"/>
    </row>
    <row r="856">
      <c r="A856" s="3" t="n">
        <v>2019</v>
      </c>
      <c r="B856" s="3" t="inlineStr">
        <is>
          <t>ERI</t>
        </is>
      </c>
      <c r="C856" s="3" t="inlineStr">
        <is>
          <t>IMF.RES:WEO</t>
        </is>
      </c>
      <c r="D856" s="3" t="inlineStr">
        <is>
          <t>ERI.GGX_NGDP.A</t>
        </is>
      </c>
      <c r="E856" s="3" t="inlineStr">
        <is>
          <t>Eritrea, The State of</t>
        </is>
      </c>
      <c r="F856" s="3" t="inlineStr">
        <is>
          <t>Expenditure, General government, Percent of GDP</t>
        </is>
      </c>
      <c r="G856" s="3" t="n">
        <v>84.74919300000001</v>
      </c>
      <c r="H856" s="3" t="n">
        <v>59.531693</v>
      </c>
      <c r="I856" s="3" t="n">
        <v>60.069632</v>
      </c>
      <c r="J856" s="3" t="n">
        <v>58.144696</v>
      </c>
      <c r="K856" s="3" t="n">
        <v>57.052987</v>
      </c>
      <c r="L856" s="3" t="n">
        <v>76.570166</v>
      </c>
      <c r="M856" s="3" t="n">
        <v>50.472618</v>
      </c>
      <c r="N856" s="3" t="n">
        <v>51.198359</v>
      </c>
      <c r="O856" s="3" t="n">
        <v>69.392397</v>
      </c>
      <c r="P856" s="3" t="n">
        <v>44.935719</v>
      </c>
      <c r="Q856" s="3" t="n">
        <v>42.444245</v>
      </c>
      <c r="R856" s="3" t="n">
        <v>32.25056</v>
      </c>
      <c r="S856" s="3" t="n">
        <v>33.322085</v>
      </c>
      <c r="T856" s="3" t="n">
        <v>32.728717</v>
      </c>
      <c r="U856" s="3" t="n">
        <v>21.598363</v>
      </c>
      <c r="V856" s="3" t="n">
        <v>31.081126</v>
      </c>
      <c r="W856" s="3" t="n">
        <v>30.935544</v>
      </c>
      <c r="X856" s="3" t="n">
        <v>42.491497</v>
      </c>
      <c r="Y856" s="3" t="n">
        <v>26.357308</v>
      </c>
      <c r="Z856" s="3" t="n">
        <v>31.256087</v>
      </c>
      <c r="AA856" s="3" t="n"/>
      <c r="AB856" s="3" t="n"/>
      <c r="AC856" s="3" t="n"/>
      <c r="AD856" s="3" t="n"/>
      <c r="AE856" s="3" t="n"/>
      <c r="AF856" s="3" t="n"/>
      <c r="AG856" s="3" t="n"/>
      <c r="AH856" s="3" t="n"/>
      <c r="AI856" s="3" t="n"/>
      <c r="AJ856" s="3" t="n"/>
      <c r="AK856" s="3" t="n"/>
      <c r="AL856" s="3" t="n"/>
      <c r="AM856" s="3" t="n"/>
      <c r="AN856" s="3" t="n"/>
      <c r="AO856" s="3" t="n"/>
      <c r="AP856" s="3" t="n"/>
      <c r="AQ856" s="3" t="n"/>
      <c r="AR856" s="3" t="n"/>
      <c r="AS856" s="3" t="n"/>
      <c r="AT856" s="3" t="n"/>
      <c r="AU856" s="3" t="n"/>
    </row>
    <row r="857">
      <c r="A857" s="3" t="n">
        <v>2019</v>
      </c>
      <c r="B857" s="3" t="inlineStr">
        <is>
          <t>ERI</t>
        </is>
      </c>
      <c r="C857" s="3" t="inlineStr">
        <is>
          <t>IMF.RES:WEO</t>
        </is>
      </c>
      <c r="D857" s="3" t="inlineStr">
        <is>
          <t>ERI.LP.A</t>
        </is>
      </c>
      <c r="E857" s="3" t="inlineStr">
        <is>
          <t>Eritrea, The State of</t>
        </is>
      </c>
      <c r="F857" s="3" t="inlineStr">
        <is>
          <t>Population, Persons for countries / Index for country groups</t>
        </is>
      </c>
      <c r="G857" s="3" t="n">
        <v>2.292</v>
      </c>
      <c r="H857" s="3" t="n">
        <v>2.375</v>
      </c>
      <c r="I857" s="3" t="n">
        <v>2.481</v>
      </c>
      <c r="J857" s="3" t="n">
        <v>2.601</v>
      </c>
      <c r="K857" s="3" t="n">
        <v>2.72</v>
      </c>
      <c r="L857" s="3" t="n">
        <v>2.827</v>
      </c>
      <c r="M857" s="3" t="n">
        <v>2.918</v>
      </c>
      <c r="N857" s="3" t="n">
        <v>2.997</v>
      </c>
      <c r="O857" s="3" t="n">
        <v>3.063</v>
      </c>
      <c r="P857" s="3" t="n">
        <v>3.12</v>
      </c>
      <c r="Q857" s="3" t="n">
        <v>3.17</v>
      </c>
      <c r="R857" s="3" t="n">
        <v>3.214</v>
      </c>
      <c r="S857" s="3" t="n">
        <v>3.25</v>
      </c>
      <c r="T857" s="3" t="n">
        <v>3.281</v>
      </c>
      <c r="U857" s="3" t="n">
        <v>3.311</v>
      </c>
      <c r="V857" s="3" t="n">
        <v>3.343</v>
      </c>
      <c r="W857" s="3" t="n">
        <v>3.377</v>
      </c>
      <c r="X857" s="3" t="n">
        <v>3.413</v>
      </c>
      <c r="Y857" s="3" t="n">
        <v>3.453</v>
      </c>
      <c r="Z857" s="3" t="n">
        <v>3.497</v>
      </c>
      <c r="AA857" s="3" t="n"/>
      <c r="AB857" s="3" t="n"/>
      <c r="AC857" s="3" t="n"/>
      <c r="AD857" s="3" t="n"/>
      <c r="AE857" s="3" t="n"/>
      <c r="AF857" s="3" t="n"/>
      <c r="AG857" s="3" t="n"/>
      <c r="AH857" s="3" t="n"/>
      <c r="AI857" s="3" t="n"/>
      <c r="AJ857" s="3" t="n"/>
      <c r="AK857" s="3" t="n"/>
      <c r="AL857" s="3" t="n"/>
      <c r="AM857" s="3" t="n"/>
      <c r="AN857" s="3" t="n"/>
      <c r="AO857" s="3" t="n"/>
      <c r="AP857" s="3" t="n"/>
      <c r="AQ857" s="3" t="n"/>
      <c r="AR857" s="3" t="n"/>
      <c r="AS857" s="3" t="n"/>
      <c r="AT857" s="3" t="n"/>
      <c r="AU857" s="3" t="n"/>
    </row>
    <row r="858">
      <c r="A858" s="3" t="n">
        <v>2019</v>
      </c>
      <c r="B858" s="3" t="inlineStr">
        <is>
          <t>ERI</t>
        </is>
      </c>
      <c r="C858" s="3" t="inlineStr">
        <is>
          <t>IMF.RES:WEO</t>
        </is>
      </c>
      <c r="D858" s="3" t="inlineStr">
        <is>
          <t>ERI.NGDP.A</t>
        </is>
      </c>
      <c r="E858" s="3" t="inlineStr">
        <is>
          <t>Eritrea, The State of</t>
        </is>
      </c>
      <c r="F858" s="3" t="inlineStr">
        <is>
          <t>Gross domestic product (GDP), Current prices, Domestic currency</t>
        </is>
      </c>
      <c r="G858" s="3" t="n">
        <v>5.261606</v>
      </c>
      <c r="H858" s="3" t="n">
        <v>6.585047</v>
      </c>
      <c r="I858" s="3" t="n">
        <v>7.878313</v>
      </c>
      <c r="J858" s="3" t="n">
        <v>9.346553999999999</v>
      </c>
      <c r="K858" s="3" t="n">
        <v>11.833769</v>
      </c>
      <c r="L858" s="3" t="n">
        <v>13.063819</v>
      </c>
      <c r="M858" s="3" t="n">
        <v>14.411267</v>
      </c>
      <c r="N858" s="3" t="n">
        <v>15.6822</v>
      </c>
      <c r="O858" s="3" t="n">
        <v>14.1864</v>
      </c>
      <c r="P858" s="3" t="n">
        <v>19.9364</v>
      </c>
      <c r="Q858" s="3" t="n">
        <v>24.4388</v>
      </c>
      <c r="R858" s="3" t="n">
        <v>31.7494</v>
      </c>
      <c r="S858" s="3" t="n">
        <v>34.6685</v>
      </c>
      <c r="T858" s="3" t="n">
        <v>30.1035</v>
      </c>
      <c r="U858" s="3" t="n">
        <v>40.0401</v>
      </c>
      <c r="V858" s="3" t="n">
        <v>30.9529</v>
      </c>
      <c r="W858" s="3" t="n">
        <v>33.366495</v>
      </c>
      <c r="X858" s="3" t="n">
        <v>28.7023</v>
      </c>
      <c r="Y858" s="3" t="n">
        <v>30.2353</v>
      </c>
      <c r="Z858" s="3" t="n">
        <v>29.876495</v>
      </c>
      <c r="AA858" s="3" t="n"/>
      <c r="AB858" s="3" t="n"/>
      <c r="AC858" s="3" t="n"/>
      <c r="AD858" s="3" t="n"/>
      <c r="AE858" s="3" t="n"/>
      <c r="AF858" s="3" t="n"/>
      <c r="AG858" s="3" t="n"/>
      <c r="AH858" s="3" t="n"/>
      <c r="AI858" s="3" t="n"/>
      <c r="AJ858" s="3" t="n"/>
      <c r="AK858" s="3" t="n"/>
      <c r="AL858" s="3" t="n"/>
      <c r="AM858" s="3" t="n"/>
      <c r="AN858" s="3" t="n"/>
      <c r="AO858" s="3" t="n"/>
      <c r="AP858" s="3" t="n"/>
      <c r="AQ858" s="3" t="n"/>
      <c r="AR858" s="3" t="n"/>
      <c r="AS858" s="3" t="n"/>
      <c r="AT858" s="3" t="n"/>
      <c r="AU858" s="3" t="n"/>
    </row>
    <row r="859">
      <c r="A859" s="3" t="n">
        <v>2019</v>
      </c>
      <c r="B859" s="3" t="inlineStr">
        <is>
          <t>ERI</t>
        </is>
      </c>
      <c r="C859" s="3" t="inlineStr">
        <is>
          <t>IMF.RES:WEO</t>
        </is>
      </c>
      <c r="D859" s="3" t="inlineStr">
        <is>
          <t>ERI.NGDP_D.A</t>
        </is>
      </c>
      <c r="E859" s="3" t="inlineStr">
        <is>
          <t>Eritrea, The State of</t>
        </is>
      </c>
      <c r="F859" s="3" t="inlineStr">
        <is>
          <t>Gross domestic product (GDP), Price deflator, Index</t>
        </is>
      </c>
      <c r="G859" s="3" t="n">
        <v>23.790105</v>
      </c>
      <c r="H859" s="3" t="n">
        <v>27.377003</v>
      </c>
      <c r="I859" s="3" t="n">
        <v>31.798024</v>
      </c>
      <c r="J859" s="3" t="n">
        <v>38.753156</v>
      </c>
      <c r="K859" s="3" t="n">
        <v>48.363662</v>
      </c>
      <c r="L859" s="3" t="n">
        <v>52.050758</v>
      </c>
      <c r="M859" s="3" t="n">
        <v>57.981422</v>
      </c>
      <c r="N859" s="3" t="n">
        <v>62.20723</v>
      </c>
      <c r="O859" s="3" t="n">
        <v>69.849645</v>
      </c>
      <c r="P859" s="3" t="n">
        <v>87.503637</v>
      </c>
      <c r="Q859" s="3" t="n">
        <v>96.76394999999999</v>
      </c>
      <c r="R859" s="3" t="n">
        <v>100</v>
      </c>
      <c r="S859" s="3" t="n">
        <v>107.172888</v>
      </c>
      <c r="T859" s="3" t="n">
        <v>103.927735</v>
      </c>
      <c r="U859" s="3" t="n">
        <v>105.573719</v>
      </c>
      <c r="V859" s="3" t="n">
        <v>102.815451</v>
      </c>
      <c r="W859" s="3" t="n">
        <v>103.204708</v>
      </c>
      <c r="X859" s="3" t="n">
        <v>98.658422</v>
      </c>
      <c r="Y859" s="3" t="n">
        <v>91.945323</v>
      </c>
      <c r="Z859" s="3" t="n">
        <v>87.497862</v>
      </c>
      <c r="AA859" s="3" t="n"/>
      <c r="AB859" s="3" t="n"/>
      <c r="AC859" s="3" t="n"/>
      <c r="AD859" s="3" t="n"/>
      <c r="AE859" s="3" t="n"/>
      <c r="AF859" s="3" t="n"/>
      <c r="AG859" s="3" t="n"/>
      <c r="AH859" s="3" t="n"/>
      <c r="AI859" s="3" t="n"/>
      <c r="AJ859" s="3" t="n"/>
      <c r="AK859" s="3" t="n"/>
      <c r="AL859" s="3" t="n"/>
      <c r="AM859" s="3" t="n"/>
      <c r="AN859" s="3" t="n"/>
      <c r="AO859" s="3" t="n"/>
      <c r="AP859" s="3" t="n"/>
      <c r="AQ859" s="3" t="n"/>
      <c r="AR859" s="3" t="n"/>
      <c r="AS859" s="3" t="n"/>
      <c r="AT859" s="3" t="n"/>
      <c r="AU859" s="3" t="n"/>
    </row>
    <row r="860">
      <c r="A860" s="3" t="n">
        <v>2019</v>
      </c>
      <c r="B860" s="3" t="inlineStr">
        <is>
          <t>ERI</t>
        </is>
      </c>
      <c r="C860" s="3" t="inlineStr">
        <is>
          <t>IMF.RES:WEO</t>
        </is>
      </c>
      <c r="D860" s="3" t="inlineStr">
        <is>
          <t>ERI.NGDP_R.A</t>
        </is>
      </c>
      <c r="E860" s="3" t="inlineStr">
        <is>
          <t>Eritrea, The State of</t>
        </is>
      </c>
      <c r="F860" s="3" t="inlineStr">
        <is>
          <t>Gross domestic product (GDP), Constant prices, Domestic currency</t>
        </is>
      </c>
      <c r="G860" s="3" t="n">
        <v>22.116784</v>
      </c>
      <c r="H860" s="3" t="n">
        <v>24.053205</v>
      </c>
      <c r="I860" s="3" t="n">
        <v>24.776107</v>
      </c>
      <c r="J860" s="3" t="n">
        <v>24.118174</v>
      </c>
      <c r="K860" s="3" t="n">
        <v>24.468306</v>
      </c>
      <c r="L860" s="3" t="n">
        <v>25.09823</v>
      </c>
      <c r="M860" s="3" t="n">
        <v>24.854974</v>
      </c>
      <c r="N860" s="3" t="n">
        <v>25.20961</v>
      </c>
      <c r="O860" s="3" t="n">
        <v>20.30991</v>
      </c>
      <c r="P860" s="3" t="n">
        <v>22.78351</v>
      </c>
      <c r="Q860" s="3" t="n">
        <v>25.2561</v>
      </c>
      <c r="R860" s="3" t="n">
        <v>31.7494</v>
      </c>
      <c r="S860" s="3" t="n">
        <v>32.3482</v>
      </c>
      <c r="T860" s="3" t="n">
        <v>28.9658</v>
      </c>
      <c r="U860" s="3" t="n">
        <v>37.9262</v>
      </c>
      <c r="V860" s="3" t="n">
        <v>30.1053</v>
      </c>
      <c r="W860" s="3" t="n">
        <v>32.3304</v>
      </c>
      <c r="X860" s="3" t="n">
        <v>29.0926</v>
      </c>
      <c r="Y860" s="3" t="n">
        <v>32.884</v>
      </c>
      <c r="Z860" s="3" t="n">
        <v>34.1454</v>
      </c>
      <c r="AA860" s="3" t="n"/>
      <c r="AB860" s="3" t="n"/>
      <c r="AC860" s="3" t="n"/>
      <c r="AD860" s="3" t="n"/>
      <c r="AE860" s="3" t="n"/>
      <c r="AF860" s="3" t="n"/>
      <c r="AG860" s="3" t="n"/>
      <c r="AH860" s="3" t="n"/>
      <c r="AI860" s="3" t="n"/>
      <c r="AJ860" s="3" t="n"/>
      <c r="AK860" s="3" t="n"/>
      <c r="AL860" s="3" t="n"/>
      <c r="AM860" s="3" t="n"/>
      <c r="AN860" s="3" t="n"/>
      <c r="AO860" s="3" t="n"/>
      <c r="AP860" s="3" t="n"/>
      <c r="AQ860" s="3" t="n"/>
      <c r="AR860" s="3" t="n"/>
      <c r="AS860" s="3" t="n"/>
      <c r="AT860" s="3" t="n"/>
      <c r="AU860" s="3" t="n"/>
    </row>
    <row r="861">
      <c r="A861" s="3" t="n">
        <v>2019</v>
      </c>
      <c r="B861" s="3" t="inlineStr">
        <is>
          <t>ERI</t>
        </is>
      </c>
      <c r="C861" s="3" t="inlineStr">
        <is>
          <t>IMF.RES:WEO</t>
        </is>
      </c>
      <c r="D861" s="3" t="inlineStr">
        <is>
          <t>ERI.NGDP_RPCH.A</t>
        </is>
      </c>
      <c r="E861" s="3" t="inlineStr">
        <is>
          <t>Eritrea, The State of</t>
        </is>
      </c>
      <c r="F861" s="3" t="inlineStr">
        <is>
          <t>Gross domestic product (GDP), Constant prices, Percent change</t>
        </is>
      </c>
      <c r="G861" s="3" t="n">
        <v>-12.35462</v>
      </c>
      <c r="H861" s="3" t="n">
        <v>8.755436</v>
      </c>
      <c r="I861" s="3" t="n">
        <v>3.005429</v>
      </c>
      <c r="J861" s="3" t="n">
        <v>-2.655515</v>
      </c>
      <c r="K861" s="3" t="n">
        <v>1.451734</v>
      </c>
      <c r="L861" s="3" t="n">
        <v>2.57445</v>
      </c>
      <c r="M861" s="3" t="n">
        <v>-0.969216</v>
      </c>
      <c r="N861" s="3" t="n">
        <v>1.426822</v>
      </c>
      <c r="O861" s="3" t="n">
        <v>-19.435842</v>
      </c>
      <c r="P861" s="3" t="n">
        <v>12.179276</v>
      </c>
      <c r="Q861" s="3" t="n">
        <v>10.852542</v>
      </c>
      <c r="R861" s="3" t="n">
        <v>25.709829</v>
      </c>
      <c r="S861" s="3" t="n">
        <v>1.88602</v>
      </c>
      <c r="T861" s="3" t="n">
        <v>-10.456223</v>
      </c>
      <c r="U861" s="3" t="n">
        <v>30.934412</v>
      </c>
      <c r="V861" s="3" t="n">
        <v>-20.621365</v>
      </c>
      <c r="W861" s="3" t="n">
        <v>7.391057</v>
      </c>
      <c r="X861" s="3" t="n">
        <v>-10.014723</v>
      </c>
      <c r="Y861" s="3" t="n">
        <v>13.03218</v>
      </c>
      <c r="Z861" s="3" t="n">
        <v>3.835908</v>
      </c>
      <c r="AA861" s="3" t="n"/>
      <c r="AB861" s="3" t="n"/>
      <c r="AC861" s="3" t="n"/>
      <c r="AD861" s="3" t="n"/>
      <c r="AE861" s="3" t="n"/>
      <c r="AF861" s="3" t="n"/>
      <c r="AG861" s="3" t="n"/>
      <c r="AH861" s="3" t="n"/>
      <c r="AI861" s="3" t="n"/>
      <c r="AJ861" s="3" t="n"/>
      <c r="AK861" s="3" t="n"/>
      <c r="AL861" s="3" t="n"/>
      <c r="AM861" s="3" t="n"/>
      <c r="AN861" s="3" t="n"/>
      <c r="AO861" s="3" t="n"/>
      <c r="AP861" s="3" t="n"/>
      <c r="AQ861" s="3" t="n"/>
      <c r="AR861" s="3" t="n"/>
      <c r="AS861" s="3" t="n"/>
      <c r="AT861" s="3" t="n"/>
      <c r="AU861" s="3" t="n"/>
    </row>
    <row r="862">
      <c r="A862" s="3" t="n">
        <v>2019</v>
      </c>
      <c r="B862" s="3" t="inlineStr">
        <is>
          <t>ERI</t>
        </is>
      </c>
      <c r="C862" s="3" t="inlineStr">
        <is>
          <t>IMF.RES:WEO</t>
        </is>
      </c>
      <c r="D862" s="3" t="inlineStr">
        <is>
          <t>ERI.NGDPD.A</t>
        </is>
      </c>
      <c r="E862" s="3" t="inlineStr">
        <is>
          <t>Eritrea, The State of</t>
        </is>
      </c>
      <c r="F862" s="3" t="inlineStr">
        <is>
          <t>Gross domestic product (GDP), Current prices, US dollar</t>
        </is>
      </c>
      <c r="G862" s="3" t="n">
        <v>0.54666</v>
      </c>
      <c r="H862" s="3" t="n">
        <v>0.58226</v>
      </c>
      <c r="I862" s="3" t="n">
        <v>0.564422</v>
      </c>
      <c r="J862" s="3" t="n">
        <v>0.673485</v>
      </c>
      <c r="K862" s="3" t="n">
        <v>0.858297</v>
      </c>
      <c r="L862" s="3" t="n">
        <v>0.850071</v>
      </c>
      <c r="M862" s="3" t="n">
        <v>0.937318</v>
      </c>
      <c r="N862" s="3" t="n">
        <v>1.01998</v>
      </c>
      <c r="O862" s="3" t="n">
        <v>0.922693</v>
      </c>
      <c r="P862" s="3" t="n">
        <v>1.296676</v>
      </c>
      <c r="Q862" s="3" t="n">
        <v>1.589515</v>
      </c>
      <c r="R862" s="3" t="n">
        <v>2.065002</v>
      </c>
      <c r="S862" s="3" t="n">
        <v>2.254862</v>
      </c>
      <c r="T862" s="3" t="n">
        <v>1.957951</v>
      </c>
      <c r="U862" s="3" t="n">
        <v>2.604234</v>
      </c>
      <c r="V862" s="3" t="n">
        <v>2.016476</v>
      </c>
      <c r="W862" s="3" t="n">
        <v>2.213366</v>
      </c>
      <c r="X862" s="3" t="n">
        <v>1.903967</v>
      </c>
      <c r="Y862" s="3" t="n">
        <v>2.005658</v>
      </c>
      <c r="Z862" s="3" t="n">
        <v>1.981857</v>
      </c>
      <c r="AA862" s="3" t="n"/>
      <c r="AB862" s="3" t="n"/>
      <c r="AC862" s="3" t="n"/>
      <c r="AD862" s="3" t="n"/>
      <c r="AE862" s="3" t="n"/>
      <c r="AF862" s="3" t="n"/>
      <c r="AG862" s="3" t="n"/>
      <c r="AH862" s="3" t="n"/>
      <c r="AI862" s="3" t="n"/>
      <c r="AJ862" s="3" t="n"/>
      <c r="AK862" s="3" t="n"/>
      <c r="AL862" s="3" t="n"/>
      <c r="AM862" s="3" t="n"/>
      <c r="AN862" s="3" t="n"/>
      <c r="AO862" s="3" t="n"/>
      <c r="AP862" s="3" t="n"/>
      <c r="AQ862" s="3" t="n"/>
      <c r="AR862" s="3" t="n"/>
      <c r="AS862" s="3" t="n"/>
      <c r="AT862" s="3" t="n"/>
      <c r="AU862" s="3" t="n"/>
    </row>
    <row r="863">
      <c r="A863" s="3" t="n">
        <v>2019</v>
      </c>
      <c r="B863" s="3" t="inlineStr">
        <is>
          <t>ERI</t>
        </is>
      </c>
      <c r="C863" s="3" t="inlineStr">
        <is>
          <t>IMF.RES:WEO</t>
        </is>
      </c>
      <c r="D863" s="3" t="inlineStr">
        <is>
          <t>ERI.NGDPPC.A</t>
        </is>
      </c>
      <c r="E863" s="3" t="inlineStr">
        <is>
          <t>Eritrea, The State of</t>
        </is>
      </c>
      <c r="F863" s="3" t="inlineStr">
        <is>
          <t>Gross domestic product (GDP), Current prices, Per capita, Domestic currency</t>
        </is>
      </c>
      <c r="G863" s="3" t="n">
        <v>2295.639711</v>
      </c>
      <c r="H863" s="3" t="n">
        <v>2772.651275</v>
      </c>
      <c r="I863" s="3" t="n">
        <v>3175.458537</v>
      </c>
      <c r="J863" s="3" t="n">
        <v>3593.446182</v>
      </c>
      <c r="K863" s="3" t="n">
        <v>4350.650266</v>
      </c>
      <c r="L863" s="3" t="n">
        <v>4621.089079</v>
      </c>
      <c r="M863" s="3" t="n">
        <v>4938.748246</v>
      </c>
      <c r="N863" s="3" t="n">
        <v>5232.632633</v>
      </c>
      <c r="O863" s="3" t="n">
        <v>4631.537708</v>
      </c>
      <c r="P863" s="3" t="n">
        <v>6389.871795</v>
      </c>
      <c r="Q863" s="3" t="n">
        <v>7709.400631</v>
      </c>
      <c r="R863" s="3" t="n">
        <v>9878.469197</v>
      </c>
      <c r="S863" s="3" t="n">
        <v>10667.230769</v>
      </c>
      <c r="T863" s="3" t="n">
        <v>9175.099055000001</v>
      </c>
      <c r="U863" s="3" t="n">
        <v>12093.053458</v>
      </c>
      <c r="V863" s="3" t="n">
        <v>9259.018845000001</v>
      </c>
      <c r="W863" s="3" t="n">
        <v>9880.51377</v>
      </c>
      <c r="X863" s="3" t="n">
        <v>8409.698213</v>
      </c>
      <c r="Y863" s="3" t="n">
        <v>8756.240949999999</v>
      </c>
      <c r="Z863" s="3" t="n">
        <v>8543.464398</v>
      </c>
      <c r="AA863" s="3" t="n"/>
      <c r="AB863" s="3" t="n"/>
      <c r="AC863" s="3" t="n"/>
      <c r="AD863" s="3" t="n"/>
      <c r="AE863" s="3" t="n"/>
      <c r="AF863" s="3" t="n"/>
      <c r="AG863" s="3" t="n"/>
      <c r="AH863" s="3" t="n"/>
      <c r="AI863" s="3" t="n"/>
      <c r="AJ863" s="3" t="n"/>
      <c r="AK863" s="3" t="n"/>
      <c r="AL863" s="3" t="n"/>
      <c r="AM863" s="3" t="n"/>
      <c r="AN863" s="3" t="n"/>
      <c r="AO863" s="3" t="n"/>
      <c r="AP863" s="3" t="n"/>
      <c r="AQ863" s="3" t="n"/>
      <c r="AR863" s="3" t="n"/>
      <c r="AS863" s="3" t="n"/>
      <c r="AT863" s="3" t="n"/>
      <c r="AU863" s="3" t="n"/>
    </row>
    <row r="864">
      <c r="A864" s="3" t="n">
        <v>2019</v>
      </c>
      <c r="B864" s="3" t="inlineStr">
        <is>
          <t>ERI</t>
        </is>
      </c>
      <c r="C864" s="3" t="inlineStr">
        <is>
          <t>IMF.RES:WEO</t>
        </is>
      </c>
      <c r="D864" s="3" t="inlineStr">
        <is>
          <t>ERI.NGDPRPC.A</t>
        </is>
      </c>
      <c r="E864" s="3" t="inlineStr">
        <is>
          <t>Eritrea, The State of</t>
        </is>
      </c>
      <c r="F864" s="3" t="inlineStr">
        <is>
          <t>Gross domestic product (GDP), Constant prices, Per capita, Domestic currency</t>
        </is>
      </c>
      <c r="G864" s="3" t="n">
        <v>9649.556893000001</v>
      </c>
      <c r="H864" s="3" t="n">
        <v>10127.66542</v>
      </c>
      <c r="I864" s="3" t="n">
        <v>9986.339096</v>
      </c>
      <c r="J864" s="3" t="n">
        <v>9272.654349</v>
      </c>
      <c r="K864" s="3" t="n">
        <v>8995.700655000001</v>
      </c>
      <c r="L864" s="3" t="n">
        <v>8878.043856</v>
      </c>
      <c r="M864" s="3" t="n">
        <v>8517.811455999999</v>
      </c>
      <c r="N864" s="3" t="n">
        <v>8411.614948</v>
      </c>
      <c r="O864" s="3" t="n">
        <v>6630.72478</v>
      </c>
      <c r="P864" s="3" t="n">
        <v>7302.407051</v>
      </c>
      <c r="Q864" s="3" t="n">
        <v>7967.223975</v>
      </c>
      <c r="R864" s="3" t="n">
        <v>9878.469197</v>
      </c>
      <c r="S864" s="3" t="n">
        <v>9953.292308</v>
      </c>
      <c r="T864" s="3" t="n">
        <v>8828.345017</v>
      </c>
      <c r="U864" s="3" t="n">
        <v>11454.605859</v>
      </c>
      <c r="V864" s="3" t="n">
        <v>9005.474125000001</v>
      </c>
      <c r="W864" s="3" t="n">
        <v>9573.704470999999</v>
      </c>
      <c r="X864" s="3" t="n">
        <v>8524.055084</v>
      </c>
      <c r="Y864" s="3" t="n">
        <v>9523.313061000001</v>
      </c>
      <c r="Z864" s="3" t="n">
        <v>9764.197883999999</v>
      </c>
      <c r="AA864" s="3" t="n"/>
      <c r="AB864" s="3" t="n"/>
      <c r="AC864" s="3" t="n"/>
      <c r="AD864" s="3" t="n"/>
      <c r="AE864" s="3" t="n"/>
      <c r="AF864" s="3" t="n"/>
      <c r="AG864" s="3" t="n"/>
      <c r="AH864" s="3" t="n"/>
      <c r="AI864" s="3" t="n"/>
      <c r="AJ864" s="3" t="n"/>
      <c r="AK864" s="3" t="n"/>
      <c r="AL864" s="3" t="n"/>
      <c r="AM864" s="3" t="n"/>
      <c r="AN864" s="3" t="n"/>
      <c r="AO864" s="3" t="n"/>
      <c r="AP864" s="3" t="n"/>
      <c r="AQ864" s="3" t="n"/>
      <c r="AR864" s="3" t="n"/>
      <c r="AS864" s="3" t="n"/>
      <c r="AT864" s="3" t="n"/>
      <c r="AU864" s="3" t="n"/>
    </row>
    <row r="865">
      <c r="A865" s="3" t="n">
        <v>2019</v>
      </c>
      <c r="B865" s="3" t="inlineStr">
        <is>
          <t>ERI</t>
        </is>
      </c>
      <c r="C865" s="3" t="inlineStr">
        <is>
          <t>IMF.RES:WEO</t>
        </is>
      </c>
      <c r="D865" s="3" t="inlineStr">
        <is>
          <t>ERI.PCPI.A</t>
        </is>
      </c>
      <c r="E865" s="3" t="inlineStr">
        <is>
          <t>Eritrea, The State of</t>
        </is>
      </c>
      <c r="F865" s="3" t="inlineStr">
        <is>
          <t>All Items, Consumer price index (CPI), Period average</t>
        </is>
      </c>
      <c r="G865" s="3" t="n">
        <v>43.230351</v>
      </c>
      <c r="H865" s="3" t="n">
        <v>49.552757</v>
      </c>
      <c r="I865" s="3" t="n">
        <v>57.915695</v>
      </c>
      <c r="J865" s="3" t="n">
        <v>71.04459300000001</v>
      </c>
      <c r="K865" s="3" t="n">
        <v>88.88430700000001</v>
      </c>
      <c r="L865" s="3" t="n">
        <v>100</v>
      </c>
      <c r="M865" s="3" t="n">
        <v>107.707078</v>
      </c>
      <c r="N865" s="3" t="n">
        <v>117.840724</v>
      </c>
      <c r="O865" s="3" t="n">
        <v>143.963853</v>
      </c>
      <c r="P865" s="3" t="n">
        <v>192.698099</v>
      </c>
      <c r="Q865" s="3" t="n">
        <v>212.54014</v>
      </c>
      <c r="R865" s="3" t="n">
        <v>225.051402</v>
      </c>
      <c r="S865" s="3" t="n">
        <v>238.632793</v>
      </c>
      <c r="T865" s="3" t="n">
        <v>253.603709</v>
      </c>
      <c r="U865" s="3" t="n">
        <v>274.805</v>
      </c>
      <c r="V865" s="3" t="n">
        <v>353.078333</v>
      </c>
      <c r="W865" s="3" t="n">
        <v>333.386667</v>
      </c>
      <c r="X865" s="3" t="n">
        <v>289.0275</v>
      </c>
      <c r="Y865" s="3" t="n">
        <v>247.405436</v>
      </c>
      <c r="Z865" s="3" t="n">
        <v>250.621707</v>
      </c>
      <c r="AA865" s="3" t="n"/>
      <c r="AB865" s="3" t="n"/>
      <c r="AC865" s="3" t="n"/>
      <c r="AD865" s="3" t="n"/>
      <c r="AE865" s="3" t="n"/>
      <c r="AF865" s="3" t="n"/>
      <c r="AG865" s="3" t="n"/>
      <c r="AH865" s="3" t="n"/>
      <c r="AI865" s="3" t="n"/>
      <c r="AJ865" s="3" t="n"/>
      <c r="AK865" s="3" t="n"/>
      <c r="AL865" s="3" t="n"/>
      <c r="AM865" s="3" t="n"/>
      <c r="AN865" s="3" t="n"/>
      <c r="AO865" s="3" t="n"/>
      <c r="AP865" s="3" t="n"/>
      <c r="AQ865" s="3" t="n"/>
      <c r="AR865" s="3" t="n"/>
      <c r="AS865" s="3" t="n"/>
      <c r="AT865" s="3" t="n"/>
      <c r="AU865" s="3" t="n"/>
    </row>
    <row r="866">
      <c r="A866" s="3" t="n">
        <v>2019</v>
      </c>
      <c r="B866" s="3" t="inlineStr">
        <is>
          <t>ERI</t>
        </is>
      </c>
      <c r="C866" s="3" t="inlineStr">
        <is>
          <t>IMF.RES:WEO</t>
        </is>
      </c>
      <c r="D866" s="3" t="inlineStr">
        <is>
          <t>ERI.PCPIPCH.A</t>
        </is>
      </c>
      <c r="E866" s="3" t="inlineStr">
        <is>
          <t>Eritrea, The State of</t>
        </is>
      </c>
      <c r="F866" s="3" t="inlineStr">
        <is>
          <t>All Items, Consumer price index (CPI), Period average, percent change</t>
        </is>
      </c>
      <c r="G866" s="3" t="n">
        <v>19.946789</v>
      </c>
      <c r="H866" s="3" t="n">
        <v>14.624923</v>
      </c>
      <c r="I866" s="3" t="n">
        <v>16.876837</v>
      </c>
      <c r="J866" s="3" t="n">
        <v>22.668981</v>
      </c>
      <c r="K866" s="3" t="n">
        <v>25.110588</v>
      </c>
      <c r="L866" s="3" t="n">
        <v>12.505799</v>
      </c>
      <c r="M866" s="3" t="n">
        <v>7.707078</v>
      </c>
      <c r="N866" s="3" t="n">
        <v>9.408524</v>
      </c>
      <c r="O866" s="3" t="n">
        <v>22.168168</v>
      </c>
      <c r="P866" s="3" t="n">
        <v>33.851723</v>
      </c>
      <c r="Q866" s="3" t="n">
        <v>10.296957</v>
      </c>
      <c r="R866" s="3" t="n">
        <v>5.886541</v>
      </c>
      <c r="S866" s="3" t="n">
        <v>6.034795</v>
      </c>
      <c r="T866" s="3" t="n">
        <v>6.27362</v>
      </c>
      <c r="U866" s="3" t="n">
        <v>8.360008000000001</v>
      </c>
      <c r="V866" s="3" t="n">
        <v>28.483228</v>
      </c>
      <c r="W866" s="3" t="n">
        <v>-5.577138</v>
      </c>
      <c r="X866" s="3" t="n">
        <v>-13.305621</v>
      </c>
      <c r="Y866" s="3" t="n">
        <v>-14.400728</v>
      </c>
      <c r="Z866" s="3" t="n">
        <v>1.3</v>
      </c>
      <c r="AA866" s="3" t="n"/>
      <c r="AB866" s="3" t="n"/>
      <c r="AC866" s="3" t="n"/>
      <c r="AD866" s="3" t="n"/>
      <c r="AE866" s="3" t="n"/>
      <c r="AF866" s="3" t="n"/>
      <c r="AG866" s="3" t="n"/>
      <c r="AH866" s="3" t="n"/>
      <c r="AI866" s="3" t="n"/>
      <c r="AJ866" s="3" t="n"/>
      <c r="AK866" s="3" t="n"/>
      <c r="AL866" s="3" t="n"/>
      <c r="AM866" s="3" t="n"/>
      <c r="AN866" s="3" t="n"/>
      <c r="AO866" s="3" t="n"/>
      <c r="AP866" s="3" t="n"/>
      <c r="AQ866" s="3" t="n"/>
      <c r="AR866" s="3" t="n"/>
      <c r="AS866" s="3" t="n"/>
      <c r="AT866" s="3" t="n"/>
      <c r="AU866" s="3" t="n"/>
    </row>
    <row r="867">
      <c r="A867" s="3" t="n">
        <v>2019</v>
      </c>
      <c r="B867" s="3" t="inlineStr">
        <is>
          <t>ERI</t>
        </is>
      </c>
      <c r="C867" s="3" t="inlineStr">
        <is>
          <t>IMF.RES:WEO</t>
        </is>
      </c>
      <c r="D867" s="3" t="inlineStr">
        <is>
          <t>ERI.PPPPC.A</t>
        </is>
      </c>
      <c r="E867" s="3" t="inlineStr">
        <is>
          <t>Eritrea, The State of</t>
        </is>
      </c>
      <c r="F867" s="3" t="inlineStr">
        <is>
          <t>Gross domestic product (GDP), Per capita, purchasing power parity (PPP) international dollar, ICP benchmarks 2017-2021</t>
        </is>
      </c>
      <c r="G867" s="3" t="n">
        <v>1283.818739</v>
      </c>
      <c r="H867" s="3" t="n">
        <v>1377.767334</v>
      </c>
      <c r="I867" s="3" t="n">
        <v>1379.653523</v>
      </c>
      <c r="J867" s="3" t="n">
        <v>1306.345851</v>
      </c>
      <c r="K867" s="3" t="n">
        <v>1301.405136</v>
      </c>
      <c r="L867" s="3" t="n">
        <v>1324.659739</v>
      </c>
      <c r="M867" s="3" t="n">
        <v>1310.104201</v>
      </c>
      <c r="N867" s="3" t="n">
        <v>1328.822104</v>
      </c>
      <c r="O867" s="3" t="n">
        <v>1067.665465</v>
      </c>
      <c r="P867" s="3" t="n">
        <v>1183.070107</v>
      </c>
      <c r="Q867" s="3" t="n">
        <v>1306.465532</v>
      </c>
      <c r="R867" s="3" t="n">
        <v>1653.293531</v>
      </c>
      <c r="S867" s="3" t="n">
        <v>1696.832543</v>
      </c>
      <c r="T867" s="3" t="n">
        <v>1530.668124</v>
      </c>
      <c r="U867" s="3" t="n">
        <v>2020.602771</v>
      </c>
      <c r="V867" s="3" t="n">
        <v>1603.316541</v>
      </c>
      <c r="W867" s="3" t="n">
        <v>1720.679532</v>
      </c>
      <c r="X867" s="3" t="n">
        <v>1559.463208</v>
      </c>
      <c r="Y867" s="3" t="n">
        <v>1765.071739</v>
      </c>
      <c r="Z867" s="3" t="n">
        <v>1821.279007</v>
      </c>
      <c r="AA867" s="3" t="n"/>
      <c r="AB867" s="3" t="n"/>
      <c r="AC867" s="3" t="n"/>
      <c r="AD867" s="3" t="n"/>
      <c r="AE867" s="3" t="n"/>
      <c r="AF867" s="3" t="n"/>
      <c r="AG867" s="3" t="n"/>
      <c r="AH867" s="3" t="n"/>
      <c r="AI867" s="3" t="n"/>
      <c r="AJ867" s="3" t="n"/>
      <c r="AK867" s="3" t="n"/>
      <c r="AL867" s="3" t="n"/>
      <c r="AM867" s="3" t="n"/>
      <c r="AN867" s="3" t="n"/>
      <c r="AO867" s="3" t="n"/>
      <c r="AP867" s="3" t="n"/>
      <c r="AQ867" s="3" t="n"/>
      <c r="AR867" s="3" t="n"/>
      <c r="AS867" s="3" t="n"/>
      <c r="AT867" s="3" t="n"/>
      <c r="AU867" s="3" t="n"/>
    </row>
    <row r="868">
      <c r="A868" s="3" t="n">
        <v>2025</v>
      </c>
      <c r="B868" s="3" t="inlineStr">
        <is>
          <t>ERI</t>
        </is>
      </c>
      <c r="C868" s="3" t="inlineStr">
        <is>
          <t>IMF.STA:ER</t>
        </is>
      </c>
      <c r="D868" s="3" t="inlineStr">
        <is>
          <t>ERI.XDC_USD.PA_RT.A</t>
        </is>
      </c>
      <c r="E868" s="3" t="inlineStr">
        <is>
          <t>Eritrea, The State of</t>
        </is>
      </c>
      <c r="F868" s="3" t="inlineStr">
        <is>
          <t>Domestic currency per US Dollar</t>
        </is>
      </c>
      <c r="G868" s="3" t="n">
        <v>9.625</v>
      </c>
      <c r="H868" s="3" t="n">
        <v>11.3094520833333</v>
      </c>
      <c r="I868" s="3" t="n">
        <v>13.9581941666667</v>
      </c>
      <c r="J868" s="3" t="n">
        <v>13.8778905833333</v>
      </c>
      <c r="K868" s="3" t="n">
        <v>13.7875</v>
      </c>
      <c r="L868" s="3" t="n">
        <v>15.3679166666667</v>
      </c>
      <c r="M868" s="3" t="n">
        <v>15.375</v>
      </c>
      <c r="N868" s="3" t="n">
        <v>15.375</v>
      </c>
      <c r="O868" s="3" t="n">
        <v>15.375</v>
      </c>
      <c r="P868" s="3" t="n">
        <v>15.375</v>
      </c>
      <c r="Q868" s="3" t="n">
        <v>15.375</v>
      </c>
      <c r="R868" s="3" t="n">
        <v>15.375</v>
      </c>
      <c r="S868" s="3" t="n">
        <v>15.375</v>
      </c>
      <c r="T868" s="3" t="n">
        <v>15.375</v>
      </c>
      <c r="U868" s="3" t="n">
        <v>15.375</v>
      </c>
      <c r="V868" s="3" t="n">
        <v>15.375</v>
      </c>
      <c r="W868" s="3" t="n">
        <v>15.35</v>
      </c>
      <c r="X868" s="3" t="n">
        <v>15.075</v>
      </c>
      <c r="Y868" s="3" t="n">
        <v>15.075</v>
      </c>
      <c r="Z868" s="3" t="n">
        <v>15.075</v>
      </c>
      <c r="AA868" s="3" t="n">
        <v>15.075</v>
      </c>
      <c r="AB868" s="3" t="n">
        <v>15.075</v>
      </c>
      <c r="AC868" s="3" t="n">
        <v>15.075</v>
      </c>
      <c r="AD868" s="3" t="n">
        <v>15.075</v>
      </c>
      <c r="AE868" s="3" t="n">
        <v>15.075</v>
      </c>
      <c r="AF868" s="3" t="n">
        <v>15.075</v>
      </c>
      <c r="AG868" s="3" t="n"/>
      <c r="AH868" s="3" t="n"/>
      <c r="AI868" s="3" t="n"/>
      <c r="AJ868" s="3" t="n"/>
      <c r="AK868" s="3" t="n"/>
      <c r="AL868" s="3" t="n"/>
      <c r="AM868" s="3" t="n"/>
      <c r="AN868" s="3" t="n"/>
      <c r="AO868" s="3" t="n"/>
      <c r="AP868" s="3" t="n"/>
      <c r="AQ868" s="3" t="n"/>
      <c r="AR868" s="3" t="n"/>
      <c r="AS868" s="3" t="n"/>
      <c r="AT868" s="3" t="n"/>
      <c r="AU868" s="3" t="n"/>
    </row>
    <row r="869">
      <c r="A869" s="3" t="n">
        <v>2031</v>
      </c>
      <c r="B869" s="3" t="inlineStr">
        <is>
          <t>ESP</t>
        </is>
      </c>
      <c r="C869" s="3" t="inlineStr">
        <is>
          <t>IMF.RES:WEO</t>
        </is>
      </c>
      <c r="D869" s="3" t="inlineStr">
        <is>
          <t>ESP.BCA.A</t>
        </is>
      </c>
      <c r="E869" s="3" t="inlineStr">
        <is>
          <t>Spain</t>
        </is>
      </c>
      <c r="F869" s="3" t="inlineStr">
        <is>
          <t>Current account balance (credit less debit), US dollar</t>
        </is>
      </c>
      <c r="G869" s="3" t="n">
        <v>-25.346809</v>
      </c>
      <c r="H869" s="3" t="n">
        <v>-27.092978</v>
      </c>
      <c r="I869" s="3" t="n">
        <v>-25.935768</v>
      </c>
      <c r="J869" s="3" t="n">
        <v>-34.688526</v>
      </c>
      <c r="K869" s="3" t="n">
        <v>-57.932077</v>
      </c>
      <c r="L869" s="3" t="n">
        <v>-83.12378099999999</v>
      </c>
      <c r="M869" s="3" t="n">
        <v>-111.000817</v>
      </c>
      <c r="N869" s="3" t="n">
        <v>-138.104274</v>
      </c>
      <c r="O869" s="3" t="n">
        <v>-143.819714</v>
      </c>
      <c r="P869" s="3" t="n">
        <v>-59.447956</v>
      </c>
      <c r="Q869" s="3" t="n">
        <v>-50.852242</v>
      </c>
      <c r="R869" s="3" t="n">
        <v>-38.871861</v>
      </c>
      <c r="S869" s="3" t="n">
        <v>2.074962</v>
      </c>
      <c r="T869" s="3" t="n">
        <v>28.347765</v>
      </c>
      <c r="U869" s="3" t="n">
        <v>24.574297</v>
      </c>
      <c r="V869" s="3" t="n">
        <v>24.681394</v>
      </c>
      <c r="W869" s="3" t="n">
        <v>39.102735</v>
      </c>
      <c r="X869" s="3" t="n">
        <v>36.90947</v>
      </c>
      <c r="Y869" s="3" t="n">
        <v>26.88835</v>
      </c>
      <c r="Z869" s="3" t="n">
        <v>29.879833</v>
      </c>
      <c r="AA869" s="3" t="n">
        <v>10.166539</v>
      </c>
      <c r="AB869" s="3" t="n">
        <v>11.302679</v>
      </c>
      <c r="AC869" s="3" t="n">
        <v>6.076655</v>
      </c>
      <c r="AD869" s="3" t="n">
        <v>44.258274</v>
      </c>
      <c r="AE869" s="3" t="n">
        <v>54.834198</v>
      </c>
      <c r="AF869" s="3" t="n">
        <v>55.035032</v>
      </c>
      <c r="AG869" s="3" t="n">
        <v>46.230723</v>
      </c>
      <c r="AH869" s="3" t="n">
        <v>42.603503</v>
      </c>
      <c r="AI869" s="3" t="n">
        <v>38.48762</v>
      </c>
      <c r="AJ869" s="3" t="n">
        <v>35.686939</v>
      </c>
      <c r="AK869" s="3" t="n">
        <v>38.207352</v>
      </c>
      <c r="AL869" s="3" t="n">
        <v>37.761944</v>
      </c>
      <c r="AM869" s="3" t="n"/>
      <c r="AN869" s="3" t="n"/>
      <c r="AO869" s="3" t="n"/>
      <c r="AP869" s="3" t="n"/>
      <c r="AQ869" s="3" t="n"/>
      <c r="AR869" s="3" t="n"/>
      <c r="AS869" s="3" t="n"/>
      <c r="AT869" s="3" t="n"/>
      <c r="AU869" s="3" t="n"/>
    </row>
    <row r="870">
      <c r="A870" s="3" t="n">
        <v>2031</v>
      </c>
      <c r="B870" s="3" t="inlineStr">
        <is>
          <t>ESP</t>
        </is>
      </c>
      <c r="C870" s="3" t="inlineStr">
        <is>
          <t>IMF.RES:WEO</t>
        </is>
      </c>
      <c r="D870" s="3" t="inlineStr">
        <is>
          <t>ESP.BCA_NGDPD.A</t>
        </is>
      </c>
      <c r="E870" s="3" t="inlineStr">
        <is>
          <t>Spain</t>
        </is>
      </c>
      <c r="F870" s="3" t="inlineStr">
        <is>
          <t>Current account balance (credit less debit), Percent of GDP</t>
        </is>
      </c>
      <c r="G870" s="3" t="n">
        <v>-4.235996</v>
      </c>
      <c r="H870" s="3" t="n">
        <v>-4.315522</v>
      </c>
      <c r="I870" s="3" t="n">
        <v>-3.660983</v>
      </c>
      <c r="J870" s="3" t="n">
        <v>-3.821434</v>
      </c>
      <c r="K870" s="3" t="n">
        <v>-5.417535</v>
      </c>
      <c r="L870" s="3" t="n">
        <v>-7.194959</v>
      </c>
      <c r="M870" s="3" t="n">
        <v>-8.79623</v>
      </c>
      <c r="N870" s="3" t="n">
        <v>-9.350827000000001</v>
      </c>
      <c r="O870" s="3" t="n">
        <v>-8.791278999999999</v>
      </c>
      <c r="P870" s="3" t="n">
        <v>-3.976552</v>
      </c>
      <c r="Q870" s="3" t="n">
        <v>-3.558202</v>
      </c>
      <c r="R870" s="3" t="n">
        <v>-2.613574</v>
      </c>
      <c r="S870" s="3" t="n">
        <v>0.155797</v>
      </c>
      <c r="T870" s="3" t="n">
        <v>2.081018</v>
      </c>
      <c r="U870" s="3" t="n">
        <v>1.779972</v>
      </c>
      <c r="V870" s="3" t="n">
        <v>2.046063</v>
      </c>
      <c r="W870" s="3" t="n">
        <v>3.146664</v>
      </c>
      <c r="X870" s="3" t="n">
        <v>2.793447</v>
      </c>
      <c r="Y870" s="3" t="n">
        <v>1.877295</v>
      </c>
      <c r="Z870" s="3" t="n">
        <v>2.128722</v>
      </c>
      <c r="AA870" s="3" t="n">
        <v>0.788867</v>
      </c>
      <c r="AB870" s="3" t="n">
        <v>0.772983</v>
      </c>
      <c r="AC870" s="3" t="n">
        <v>0.419082</v>
      </c>
      <c r="AD870" s="3" t="n">
        <v>2.732078</v>
      </c>
      <c r="AE870" s="3" t="n">
        <v>3.178514</v>
      </c>
      <c r="AF870" s="3" t="n">
        <v>2.890759</v>
      </c>
      <c r="AG870" s="3" t="n">
        <v>2.210704</v>
      </c>
      <c r="AH870" s="3" t="n">
        <v>1.948461</v>
      </c>
      <c r="AI870" s="3" t="n">
        <v>1.684543</v>
      </c>
      <c r="AJ870" s="3" t="n">
        <v>1.502227</v>
      </c>
      <c r="AK870" s="3" t="n">
        <v>1.545478</v>
      </c>
      <c r="AL870" s="3" t="n">
        <v>1.467941</v>
      </c>
      <c r="AM870" s="3" t="n"/>
      <c r="AN870" s="3" t="n"/>
      <c r="AO870" s="3" t="n"/>
      <c r="AP870" s="3" t="n"/>
      <c r="AQ870" s="3" t="n"/>
      <c r="AR870" s="3" t="n"/>
      <c r="AS870" s="3" t="n"/>
      <c r="AT870" s="3" t="n"/>
      <c r="AU870" s="3" t="n"/>
    </row>
    <row r="871">
      <c r="A871" s="3" t="n">
        <v>2031</v>
      </c>
      <c r="B871" s="3" t="inlineStr">
        <is>
          <t>ESP</t>
        </is>
      </c>
      <c r="C871" s="3" t="inlineStr">
        <is>
          <t>IMF.RES:WEO</t>
        </is>
      </c>
      <c r="D871" s="3" t="inlineStr">
        <is>
          <t>ESP.GGR_NGDP.A</t>
        </is>
      </c>
      <c r="E871" s="3" t="inlineStr">
        <is>
          <t>Spain</t>
        </is>
      </c>
      <c r="F871" s="3" t="inlineStr">
        <is>
          <t>Revenue, General government, Percent of GDP</t>
        </is>
      </c>
      <c r="G871" s="3" t="n">
        <v>37.962441</v>
      </c>
      <c r="H871" s="3" t="n">
        <v>37.960192</v>
      </c>
      <c r="I871" s="3" t="n">
        <v>38.31081</v>
      </c>
      <c r="J871" s="3" t="n">
        <v>37.980373</v>
      </c>
      <c r="K871" s="3" t="n">
        <v>38.694438</v>
      </c>
      <c r="L871" s="3" t="n">
        <v>39.679913</v>
      </c>
      <c r="M871" s="3" t="n">
        <v>40.513306</v>
      </c>
      <c r="N871" s="3" t="n">
        <v>41.064888</v>
      </c>
      <c r="O871" s="3" t="n">
        <v>36.774562</v>
      </c>
      <c r="P871" s="3" t="n">
        <v>34.835273</v>
      </c>
      <c r="Q871" s="3" t="n">
        <v>36.357408</v>
      </c>
      <c r="R871" s="3" t="n">
        <v>36.247181</v>
      </c>
      <c r="S871" s="3" t="n">
        <v>37.741852</v>
      </c>
      <c r="T871" s="3" t="n">
        <v>38.670719</v>
      </c>
      <c r="U871" s="3" t="n">
        <v>38.983242</v>
      </c>
      <c r="V871" s="3" t="n">
        <v>38.417937</v>
      </c>
      <c r="W871" s="3" t="n">
        <v>37.874221</v>
      </c>
      <c r="X871" s="3" t="n">
        <v>37.951102</v>
      </c>
      <c r="Y871" s="3" t="n">
        <v>38.946577</v>
      </c>
      <c r="Z871" s="3" t="n">
        <v>38.967225</v>
      </c>
      <c r="AA871" s="3" t="n">
        <v>41.406855</v>
      </c>
      <c r="AB871" s="3" t="n">
        <v>42.83441</v>
      </c>
      <c r="AC871" s="3" t="n">
        <v>41.720142</v>
      </c>
      <c r="AD871" s="3" t="n">
        <v>42.076005</v>
      </c>
      <c r="AE871" s="3" t="n">
        <v>42.258127</v>
      </c>
      <c r="AF871" s="3" t="n">
        <v>42.201476</v>
      </c>
      <c r="AG871" s="3" t="n">
        <v>43.227661</v>
      </c>
      <c r="AH871" s="3" t="n">
        <v>43.150024</v>
      </c>
      <c r="AI871" s="3" t="n">
        <v>42.821557</v>
      </c>
      <c r="AJ871" s="3" t="n">
        <v>43.10845</v>
      </c>
      <c r="AK871" s="3" t="n">
        <v>43.267279</v>
      </c>
      <c r="AL871" s="3" t="n">
        <v>43.365549</v>
      </c>
      <c r="AM871" s="3" t="n"/>
      <c r="AN871" s="3" t="n"/>
      <c r="AO871" s="3" t="n"/>
      <c r="AP871" s="3" t="n"/>
      <c r="AQ871" s="3" t="n"/>
      <c r="AR871" s="3" t="n"/>
      <c r="AS871" s="3" t="n"/>
      <c r="AT871" s="3" t="n"/>
      <c r="AU871" s="3" t="n"/>
    </row>
    <row r="872">
      <c r="A872" s="3" t="n">
        <v>2031</v>
      </c>
      <c r="B872" s="3" t="inlineStr">
        <is>
          <t>ESP</t>
        </is>
      </c>
      <c r="C872" s="3" t="inlineStr">
        <is>
          <t>IMF.RES:WEO</t>
        </is>
      </c>
      <c r="D872" s="3" t="inlineStr">
        <is>
          <t>ESP.GGX_NGDP.A</t>
        </is>
      </c>
      <c r="E872" s="3" t="inlineStr">
        <is>
          <t>Spain</t>
        </is>
      </c>
      <c r="F872" s="3" t="inlineStr">
        <is>
          <t>Expenditure, General government, Percent of GDP</t>
        </is>
      </c>
      <c r="G872" s="3" t="n">
        <v>39.123707</v>
      </c>
      <c r="H872" s="3" t="n">
        <v>38.41514</v>
      </c>
      <c r="I872" s="3" t="n">
        <v>38.627452</v>
      </c>
      <c r="J872" s="3" t="n">
        <v>38.355241</v>
      </c>
      <c r="K872" s="3" t="n">
        <v>38.789548</v>
      </c>
      <c r="L872" s="3" t="n">
        <v>38.449363</v>
      </c>
      <c r="M872" s="3" t="n">
        <v>38.391663</v>
      </c>
      <c r="N872" s="3" t="n">
        <v>39.182175</v>
      </c>
      <c r="O872" s="3" t="n">
        <v>41.334931</v>
      </c>
      <c r="P872" s="3" t="n">
        <v>46.072657</v>
      </c>
      <c r="Q872" s="3" t="n">
        <v>45.844803</v>
      </c>
      <c r="R872" s="3" t="n">
        <v>45.941854</v>
      </c>
      <c r="S872" s="3" t="n">
        <v>49.238391</v>
      </c>
      <c r="T872" s="3" t="n">
        <v>46.162344</v>
      </c>
      <c r="U872" s="3" t="n">
        <v>45.056398</v>
      </c>
      <c r="V872" s="3" t="n">
        <v>43.682804</v>
      </c>
      <c r="W872" s="3" t="n">
        <v>42.139083</v>
      </c>
      <c r="X872" s="3" t="n">
        <v>41.047449</v>
      </c>
      <c r="Y872" s="3" t="n">
        <v>41.522228</v>
      </c>
      <c r="Z872" s="3" t="n">
        <v>42.007482</v>
      </c>
      <c r="AA872" s="3" t="n">
        <v>51.431438</v>
      </c>
      <c r="AB872" s="3" t="n">
        <v>49.492745</v>
      </c>
      <c r="AC872" s="3" t="n">
        <v>46.306718</v>
      </c>
      <c r="AD872" s="3" t="n">
        <v>45.416124</v>
      </c>
      <c r="AE872" s="3" t="n">
        <v>45.47371</v>
      </c>
      <c r="AF872" s="3" t="n">
        <v>44.697289</v>
      </c>
      <c r="AG872" s="3" t="n">
        <v>45.294937</v>
      </c>
      <c r="AH872" s="3" t="n">
        <v>45.414426</v>
      </c>
      <c r="AI872" s="3" t="n">
        <v>44.992548</v>
      </c>
      <c r="AJ872" s="3" t="n">
        <v>45.266879</v>
      </c>
      <c r="AK872" s="3" t="n">
        <v>45.422071</v>
      </c>
      <c r="AL872" s="3" t="n">
        <v>45.518859</v>
      </c>
      <c r="AM872" s="3" t="n"/>
      <c r="AN872" s="3" t="n"/>
      <c r="AO872" s="3" t="n"/>
      <c r="AP872" s="3" t="n"/>
      <c r="AQ872" s="3" t="n"/>
      <c r="AR872" s="3" t="n"/>
      <c r="AS872" s="3" t="n"/>
      <c r="AT872" s="3" t="n"/>
      <c r="AU872" s="3" t="n"/>
    </row>
    <row r="873">
      <c r="A873" s="3" t="n">
        <v>2027</v>
      </c>
      <c r="B873" s="3" t="inlineStr">
        <is>
          <t>ESP</t>
        </is>
      </c>
      <c r="C873" s="3" t="inlineStr">
        <is>
          <t>IMF.RES:WEO</t>
        </is>
      </c>
      <c r="D873" s="3" t="inlineStr">
        <is>
          <t>ESP.LE.A</t>
        </is>
      </c>
      <c r="E873" s="3" t="inlineStr">
        <is>
          <t>Spain</t>
        </is>
      </c>
      <c r="F873" s="3" t="inlineStr">
        <is>
          <t>Employed persons, Persons for countries / Index for country groups</t>
        </is>
      </c>
      <c r="G873" s="3" t="n">
        <v>15.645149</v>
      </c>
      <c r="H873" s="3" t="n">
        <v>16.291275</v>
      </c>
      <c r="I873" s="3" t="n">
        <v>16.7901</v>
      </c>
      <c r="J873" s="3" t="n">
        <v>17.4756</v>
      </c>
      <c r="K873" s="3" t="n">
        <v>18.14225</v>
      </c>
      <c r="L873" s="3" t="n">
        <v>19.207</v>
      </c>
      <c r="M873" s="3" t="n">
        <v>19.9391</v>
      </c>
      <c r="N873" s="3" t="n">
        <v>20.579925</v>
      </c>
      <c r="O873" s="3" t="n">
        <v>20.46965</v>
      </c>
      <c r="P873" s="3" t="n">
        <v>19.10685</v>
      </c>
      <c r="Q873" s="3" t="n">
        <v>18.724475</v>
      </c>
      <c r="R873" s="3" t="n">
        <v>18.421425</v>
      </c>
      <c r="S873" s="3" t="n">
        <v>17.632675</v>
      </c>
      <c r="T873" s="3" t="n">
        <v>17.139</v>
      </c>
      <c r="U873" s="3" t="n">
        <v>17.344175</v>
      </c>
      <c r="V873" s="3" t="n">
        <v>17.86605</v>
      </c>
      <c r="W873" s="3" t="n">
        <v>18.34155</v>
      </c>
      <c r="X873" s="3" t="n">
        <v>18.8248</v>
      </c>
      <c r="Y873" s="3" t="n">
        <v>19.327725</v>
      </c>
      <c r="Z873" s="3" t="n">
        <v>19.7793</v>
      </c>
      <c r="AA873" s="3" t="n">
        <v>19.202425</v>
      </c>
      <c r="AB873" s="3" t="n">
        <v>19.83345</v>
      </c>
      <c r="AC873" s="3" t="n">
        <v>20.5475</v>
      </c>
      <c r="AD873" s="3" t="n">
        <v>21.1822</v>
      </c>
      <c r="AE873" s="3" t="n">
        <v>21.6539</v>
      </c>
      <c r="AF873" s="3" t="n">
        <v>22.221125</v>
      </c>
      <c r="AG873" s="3" t="n">
        <v>22.564625</v>
      </c>
      <c r="AH873" s="3" t="n">
        <v>22.69762</v>
      </c>
      <c r="AI873" s="3" t="n"/>
      <c r="AJ873" s="3" t="n"/>
      <c r="AK873" s="3" t="n"/>
      <c r="AL873" s="3" t="n"/>
      <c r="AM873" s="3" t="n"/>
      <c r="AN873" s="3" t="n"/>
      <c r="AO873" s="3" t="n"/>
      <c r="AP873" s="3" t="n"/>
      <c r="AQ873" s="3" t="n"/>
      <c r="AR873" s="3" t="n"/>
      <c r="AS873" s="3" t="n"/>
      <c r="AT873" s="3" t="n"/>
      <c r="AU873" s="3" t="n"/>
    </row>
    <row r="874">
      <c r="A874" s="3" t="n">
        <v>2031</v>
      </c>
      <c r="B874" s="3" t="inlineStr">
        <is>
          <t>ESP</t>
        </is>
      </c>
      <c r="C874" s="3" t="inlineStr">
        <is>
          <t>IMF.RES:WEO</t>
        </is>
      </c>
      <c r="D874" s="3" t="inlineStr">
        <is>
          <t>ESP.LP.A</t>
        </is>
      </c>
      <c r="E874" s="3" t="inlineStr">
        <is>
          <t>Spain</t>
        </is>
      </c>
      <c r="F874" s="3" t="inlineStr">
        <is>
          <t>Population, Persons for countries / Index for country groups</t>
        </is>
      </c>
      <c r="G874" s="3" t="n">
        <v>40.665545</v>
      </c>
      <c r="H874" s="3" t="n">
        <v>41.035271</v>
      </c>
      <c r="I874" s="3" t="n">
        <v>41.827836</v>
      </c>
      <c r="J874" s="3" t="n">
        <v>42.547454</v>
      </c>
      <c r="K874" s="3" t="n">
        <v>43.296335</v>
      </c>
      <c r="L874" s="3" t="n">
        <v>44.009969</v>
      </c>
      <c r="M874" s="3" t="n">
        <v>44.784659</v>
      </c>
      <c r="N874" s="3" t="n">
        <v>45.668938</v>
      </c>
      <c r="O874" s="3" t="n">
        <v>46.239271</v>
      </c>
      <c r="P874" s="3" t="n">
        <v>46.486621</v>
      </c>
      <c r="Q874" s="3" t="n">
        <v>46.667175</v>
      </c>
      <c r="R874" s="3" t="n">
        <v>46.818216</v>
      </c>
      <c r="S874" s="3" t="n">
        <v>46.71265</v>
      </c>
      <c r="T874" s="3" t="n">
        <v>46.495744</v>
      </c>
      <c r="U874" s="3" t="n">
        <v>46.425722</v>
      </c>
      <c r="V874" s="3" t="n">
        <v>46.418884</v>
      </c>
      <c r="W874" s="3" t="n">
        <v>46.497393</v>
      </c>
      <c r="X874" s="3" t="n">
        <v>46.64507</v>
      </c>
      <c r="Y874" s="3" t="n">
        <v>46.918951</v>
      </c>
      <c r="Z874" s="3" t="n">
        <v>47.31805</v>
      </c>
      <c r="AA874" s="3" t="n">
        <v>47.400798</v>
      </c>
      <c r="AB874" s="3" t="n">
        <v>47.486727</v>
      </c>
      <c r="AC874" s="3" t="n">
        <v>48.085361</v>
      </c>
      <c r="AD874" s="3" t="n">
        <v>48.628256</v>
      </c>
      <c r="AE874" s="3" t="n">
        <v>49.077984</v>
      </c>
      <c r="AF874" s="3" t="n">
        <v>49.720741</v>
      </c>
      <c r="AG874" s="3" t="n">
        <v>50.314289</v>
      </c>
      <c r="AH874" s="3" t="n">
        <v>50.840166</v>
      </c>
      <c r="AI874" s="3" t="n">
        <v>51.293861</v>
      </c>
      <c r="AJ874" s="3" t="n">
        <v>51.679084</v>
      </c>
      <c r="AK874" s="3" t="n">
        <v>52.00422</v>
      </c>
      <c r="AL874" s="3" t="n">
        <v>52.279644</v>
      </c>
      <c r="AM874" s="3" t="n"/>
      <c r="AN874" s="3" t="n"/>
      <c r="AO874" s="3" t="n"/>
      <c r="AP874" s="3" t="n"/>
      <c r="AQ874" s="3" t="n"/>
      <c r="AR874" s="3" t="n"/>
      <c r="AS874" s="3" t="n"/>
      <c r="AT874" s="3" t="n"/>
      <c r="AU874" s="3" t="n"/>
    </row>
    <row r="875">
      <c r="A875" s="3" t="n">
        <v>2031</v>
      </c>
      <c r="B875" s="3" t="inlineStr">
        <is>
          <t>ESP</t>
        </is>
      </c>
      <c r="C875" s="3" t="inlineStr">
        <is>
          <t>IMF.RES:WEO</t>
        </is>
      </c>
      <c r="D875" s="3" t="inlineStr">
        <is>
          <t>ESP.NGDP.A</t>
        </is>
      </c>
      <c r="E875" s="3" t="inlineStr">
        <is>
          <t>Spain</t>
        </is>
      </c>
      <c r="F875" s="3" t="inlineStr">
        <is>
          <t>Gross domestic product (GDP), Current prices, Domestic currency</t>
        </is>
      </c>
      <c r="G875" s="3" t="n">
        <v>647.569</v>
      </c>
      <c r="H875" s="3" t="n">
        <v>700.958</v>
      </c>
      <c r="I875" s="3" t="n">
        <v>749.744</v>
      </c>
      <c r="J875" s="3" t="n">
        <v>802.683</v>
      </c>
      <c r="K875" s="3" t="n">
        <v>860.059</v>
      </c>
      <c r="L875" s="3" t="n">
        <v>928.122</v>
      </c>
      <c r="M875" s="3" t="n">
        <v>1004.976</v>
      </c>
      <c r="N875" s="3" t="n">
        <v>1077.541</v>
      </c>
      <c r="O875" s="3" t="n">
        <v>1112.432</v>
      </c>
      <c r="P875" s="3" t="n">
        <v>1072.99</v>
      </c>
      <c r="Q875" s="3" t="n">
        <v>1077.145</v>
      </c>
      <c r="R875" s="3" t="n">
        <v>1068.69</v>
      </c>
      <c r="S875" s="3" t="n">
        <v>1035.964</v>
      </c>
      <c r="T875" s="3" t="n">
        <v>1025.652</v>
      </c>
      <c r="U875" s="3" t="n">
        <v>1038.949</v>
      </c>
      <c r="V875" s="3" t="n">
        <v>1087.112</v>
      </c>
      <c r="W875" s="3" t="n">
        <v>1122.967</v>
      </c>
      <c r="X875" s="3" t="n">
        <v>1170.024</v>
      </c>
      <c r="Y875" s="3" t="n">
        <v>1212.276</v>
      </c>
      <c r="Z875" s="3" t="n">
        <v>1253.71</v>
      </c>
      <c r="AA875" s="3" t="n">
        <v>1129.214</v>
      </c>
      <c r="AB875" s="3" t="n">
        <v>1235.474</v>
      </c>
      <c r="AC875" s="3" t="n">
        <v>1375.863</v>
      </c>
      <c r="AD875" s="3" t="n">
        <v>1497.761</v>
      </c>
      <c r="AE875" s="3" t="n">
        <v>1594.33</v>
      </c>
      <c r="AF875" s="3" t="n">
        <v>1685.783</v>
      </c>
      <c r="AG875" s="3" t="n">
        <v>1773.395936</v>
      </c>
      <c r="AH875" s="3" t="n">
        <v>1858.489403</v>
      </c>
      <c r="AI875" s="3" t="n">
        <v>1947.247801</v>
      </c>
      <c r="AJ875" s="3" t="n">
        <v>2025.751186</v>
      </c>
      <c r="AK875" s="3" t="n">
        <v>2108.455856</v>
      </c>
      <c r="AL875" s="3" t="n">
        <v>2194.308666</v>
      </c>
      <c r="AM875" s="3" t="n"/>
      <c r="AN875" s="3" t="n"/>
      <c r="AO875" s="3" t="n"/>
      <c r="AP875" s="3" t="n"/>
      <c r="AQ875" s="3" t="n"/>
      <c r="AR875" s="3" t="n"/>
      <c r="AS875" s="3" t="n"/>
      <c r="AT875" s="3" t="n"/>
      <c r="AU875" s="3" t="n"/>
    </row>
    <row r="876">
      <c r="A876" s="3" t="n">
        <v>2031</v>
      </c>
      <c r="B876" s="3" t="inlineStr">
        <is>
          <t>ESP</t>
        </is>
      </c>
      <c r="C876" s="3" t="inlineStr">
        <is>
          <t>IMF.RES:WEO</t>
        </is>
      </c>
      <c r="D876" s="3" t="inlineStr">
        <is>
          <t>ESP.NGDP_D.A</t>
        </is>
      </c>
      <c r="E876" s="3" t="inlineStr">
        <is>
          <t>Spain</t>
        </is>
      </c>
      <c r="F876" s="3" t="inlineStr">
        <is>
          <t>Gross domestic product (GDP), Price deflator, Index</t>
        </is>
      </c>
      <c r="G876" s="3" t="n">
        <v>69.641684</v>
      </c>
      <c r="H876" s="3" t="n">
        <v>72.540346</v>
      </c>
      <c r="I876" s="3" t="n">
        <v>75.508436</v>
      </c>
      <c r="J876" s="3" t="n">
        <v>78.53180500000001</v>
      </c>
      <c r="K876" s="3" t="n">
        <v>81.60368699999999</v>
      </c>
      <c r="L876" s="3" t="n">
        <v>85.04162700000001</v>
      </c>
      <c r="M876" s="3" t="n">
        <v>88.50494999999999</v>
      </c>
      <c r="N876" s="3" t="n">
        <v>91.65679900000001</v>
      </c>
      <c r="O876" s="3" t="n">
        <v>93.904239</v>
      </c>
      <c r="P876" s="3" t="n">
        <v>94.121396</v>
      </c>
      <c r="Q876" s="3" t="n">
        <v>94.39703900000001</v>
      </c>
      <c r="R876" s="3" t="n">
        <v>94.259264</v>
      </c>
      <c r="S876" s="3" t="n">
        <v>94.067944</v>
      </c>
      <c r="T876" s="3" t="n">
        <v>94.480169</v>
      </c>
      <c r="U876" s="3" t="n">
        <v>94.271664</v>
      </c>
      <c r="V876" s="3" t="n">
        <v>94.792494</v>
      </c>
      <c r="W876" s="3" t="n">
        <v>95.14526499999999</v>
      </c>
      <c r="X876" s="3" t="n">
        <v>96.34211500000001</v>
      </c>
      <c r="Y876" s="3" t="n">
        <v>97.486031</v>
      </c>
      <c r="Z876" s="3" t="n">
        <v>98.878793</v>
      </c>
      <c r="AA876" s="3" t="n">
        <v>100.000001</v>
      </c>
      <c r="AB876" s="3" t="n">
        <v>102.556106</v>
      </c>
      <c r="AC876" s="3" t="n">
        <v>107.369907</v>
      </c>
      <c r="AD876" s="3" t="n">
        <v>114.07534</v>
      </c>
      <c r="AE876" s="3" t="n">
        <v>117.374901</v>
      </c>
      <c r="AF876" s="3" t="n">
        <v>120.76756</v>
      </c>
      <c r="AG876" s="3" t="n">
        <v>124.443576</v>
      </c>
      <c r="AH876" s="3" t="n">
        <v>128.084379</v>
      </c>
      <c r="AI876" s="3" t="n">
        <v>131.79598</v>
      </c>
      <c r="AJ876" s="3" t="n">
        <v>134.81442</v>
      </c>
      <c r="AK876" s="3" t="n">
        <v>137.969673</v>
      </c>
      <c r="AL876" s="3" t="n">
        <v>141.187866</v>
      </c>
      <c r="AM876" s="3" t="n"/>
      <c r="AN876" s="3" t="n"/>
      <c r="AO876" s="3" t="n"/>
      <c r="AP876" s="3" t="n"/>
      <c r="AQ876" s="3" t="n"/>
      <c r="AR876" s="3" t="n"/>
      <c r="AS876" s="3" t="n"/>
      <c r="AT876" s="3" t="n"/>
      <c r="AU876" s="3" t="n"/>
    </row>
    <row r="877">
      <c r="A877" s="3" t="n">
        <v>2031</v>
      </c>
      <c r="B877" s="3" t="inlineStr">
        <is>
          <t>ESP</t>
        </is>
      </c>
      <c r="C877" s="3" t="inlineStr">
        <is>
          <t>IMF.RES:WEO</t>
        </is>
      </c>
      <c r="D877" s="3" t="inlineStr">
        <is>
          <t>ESP.NGDP_R.A</t>
        </is>
      </c>
      <c r="E877" s="3" t="inlineStr">
        <is>
          <t>Spain</t>
        </is>
      </c>
      <c r="F877" s="3" t="inlineStr">
        <is>
          <t>Gross domestic product (GDP), Constant prices, Domestic currency</t>
        </is>
      </c>
      <c r="G877" s="3" t="n">
        <v>929.85833</v>
      </c>
      <c r="H877" s="3" t="n">
        <v>966.30088</v>
      </c>
      <c r="I877" s="3" t="n">
        <v>992.92747</v>
      </c>
      <c r="J877" s="3" t="n">
        <v>1022.112</v>
      </c>
      <c r="K877" s="3" t="n">
        <v>1053.94625</v>
      </c>
      <c r="L877" s="3" t="n">
        <v>1091.37376</v>
      </c>
      <c r="M877" s="3" t="n">
        <v>1135.50259</v>
      </c>
      <c r="N877" s="3" t="n">
        <v>1175.62582</v>
      </c>
      <c r="O877" s="3" t="n">
        <v>1184.64514</v>
      </c>
      <c r="P877" s="3" t="n">
        <v>1140.00647</v>
      </c>
      <c r="Q877" s="3" t="n">
        <v>1141.07922</v>
      </c>
      <c r="R877" s="3" t="n">
        <v>1133.77715</v>
      </c>
      <c r="S877" s="3" t="n">
        <v>1101.29334</v>
      </c>
      <c r="T877" s="3" t="n">
        <v>1085.57384</v>
      </c>
      <c r="U877" s="3" t="n">
        <v>1102.07984</v>
      </c>
      <c r="V877" s="3" t="n">
        <v>1146.83342</v>
      </c>
      <c r="W877" s="3" t="n">
        <v>1180.26577</v>
      </c>
      <c r="X877" s="3" t="n">
        <v>1214.44708</v>
      </c>
      <c r="Y877" s="3" t="n">
        <v>1243.53816</v>
      </c>
      <c r="Z877" s="3" t="n">
        <v>1267.92608</v>
      </c>
      <c r="AA877" s="3" t="n">
        <v>1129.21399</v>
      </c>
      <c r="AB877" s="3" t="n">
        <v>1204.68107</v>
      </c>
      <c r="AC877" s="3" t="n">
        <v>1281.42329</v>
      </c>
      <c r="AD877" s="3" t="n">
        <v>1312.95773</v>
      </c>
      <c r="AE877" s="3" t="n">
        <v>1358.32277</v>
      </c>
      <c r="AF877" s="3" t="n">
        <v>1395.89059</v>
      </c>
      <c r="AG877" s="3" t="n">
        <v>1425.060253</v>
      </c>
      <c r="AH877" s="3" t="n">
        <v>1450.988335</v>
      </c>
      <c r="AI877" s="3" t="n">
        <v>1477.471313</v>
      </c>
      <c r="AJ877" s="3" t="n">
        <v>1502.622039</v>
      </c>
      <c r="AK877" s="3" t="n">
        <v>1528.202405</v>
      </c>
      <c r="AL877" s="3" t="n">
        <v>1554.176522</v>
      </c>
      <c r="AM877" s="3" t="n"/>
      <c r="AN877" s="3" t="n"/>
      <c r="AO877" s="3" t="n"/>
      <c r="AP877" s="3" t="n"/>
      <c r="AQ877" s="3" t="n"/>
      <c r="AR877" s="3" t="n"/>
      <c r="AS877" s="3" t="n"/>
      <c r="AT877" s="3" t="n"/>
      <c r="AU877" s="3" t="n"/>
    </row>
    <row r="878">
      <c r="A878" s="3" t="n">
        <v>2031</v>
      </c>
      <c r="B878" s="3" t="inlineStr">
        <is>
          <t>ESP</t>
        </is>
      </c>
      <c r="C878" s="3" t="inlineStr">
        <is>
          <t>IMF.RES:WEO</t>
        </is>
      </c>
      <c r="D878" s="3" t="inlineStr">
        <is>
          <t>ESP.NGDP_RPCH.A</t>
        </is>
      </c>
      <c r="E878" s="3" t="inlineStr">
        <is>
          <t>Spain</t>
        </is>
      </c>
      <c r="F878" s="3" t="inlineStr">
        <is>
          <t>Gross domestic product (GDP), Constant prices, Percent change</t>
        </is>
      </c>
      <c r="G878" s="3" t="n">
        <v>5.052919</v>
      </c>
      <c r="H878" s="3" t="n">
        <v>3.919151</v>
      </c>
      <c r="I878" s="3" t="n">
        <v>2.755518</v>
      </c>
      <c r="J878" s="3" t="n">
        <v>2.939241</v>
      </c>
      <c r="K878" s="3" t="n">
        <v>3.114556</v>
      </c>
      <c r="L878" s="3" t="n">
        <v>3.551178</v>
      </c>
      <c r="M878" s="3" t="n">
        <v>4.04342</v>
      </c>
      <c r="N878" s="3" t="n">
        <v>3.533522</v>
      </c>
      <c r="O878" s="3" t="n">
        <v>0.767193</v>
      </c>
      <c r="P878" s="3" t="n">
        <v>-3.768105</v>
      </c>
      <c r="Q878" s="3" t="n">
        <v>0.0941</v>
      </c>
      <c r="R878" s="3" t="n">
        <v>-0.639927</v>
      </c>
      <c r="S878" s="3" t="n">
        <v>-2.865097</v>
      </c>
      <c r="T878" s="3" t="n">
        <v>-1.427367</v>
      </c>
      <c r="U878" s="3" t="n">
        <v>1.520486</v>
      </c>
      <c r="V878" s="3" t="n">
        <v>4.060829</v>
      </c>
      <c r="W878" s="3" t="n">
        <v>2.915188</v>
      </c>
      <c r="X878" s="3" t="n">
        <v>2.896069</v>
      </c>
      <c r="Y878" s="3" t="n">
        <v>2.395418</v>
      </c>
      <c r="Z878" s="3" t="n">
        <v>1.961172</v>
      </c>
      <c r="AA878" s="3" t="n">
        <v>-10.940077</v>
      </c>
      <c r="AB878" s="3" t="n">
        <v>6.683151</v>
      </c>
      <c r="AC878" s="3" t="n">
        <v>6.370335</v>
      </c>
      <c r="AD878" s="3" t="n">
        <v>2.460892</v>
      </c>
      <c r="AE878" s="3" t="n">
        <v>3.455179</v>
      </c>
      <c r="AF878" s="3" t="n">
        <v>2.765751</v>
      </c>
      <c r="AG878" s="3" t="n">
        <v>2.089681</v>
      </c>
      <c r="AH878" s="3" t="n">
        <v>1.819438</v>
      </c>
      <c r="AI878" s="3" t="n">
        <v>1.825168</v>
      </c>
      <c r="AJ878" s="3" t="n">
        <v>1.702282</v>
      </c>
      <c r="AK878" s="3" t="n">
        <v>1.702382</v>
      </c>
      <c r="AL878" s="3" t="n">
        <v>1.699652</v>
      </c>
      <c r="AM878" s="3" t="n"/>
      <c r="AN878" s="3" t="n"/>
      <c r="AO878" s="3" t="n"/>
      <c r="AP878" s="3" t="n"/>
      <c r="AQ878" s="3" t="n"/>
      <c r="AR878" s="3" t="n"/>
      <c r="AS878" s="3" t="n"/>
      <c r="AT878" s="3" t="n"/>
      <c r="AU878" s="3" t="n"/>
    </row>
    <row r="879">
      <c r="A879" s="3" t="n">
        <v>2031</v>
      </c>
      <c r="B879" s="3" t="inlineStr">
        <is>
          <t>ESP</t>
        </is>
      </c>
      <c r="C879" s="3" t="inlineStr">
        <is>
          <t>IMF.RES:WEO</t>
        </is>
      </c>
      <c r="D879" s="3" t="inlineStr">
        <is>
          <t>ESP.NGDPD.A</t>
        </is>
      </c>
      <c r="E879" s="3" t="inlineStr">
        <is>
          <t>Spain</t>
        </is>
      </c>
      <c r="F879" s="3" t="inlineStr">
        <is>
          <t>Gross domestic product (GDP), Current prices, US dollar</t>
        </is>
      </c>
      <c r="G879" s="3" t="n">
        <v>598.3670949999999</v>
      </c>
      <c r="H879" s="3" t="n">
        <v>627.802964</v>
      </c>
      <c r="I879" s="3" t="n">
        <v>708.437277</v>
      </c>
      <c r="J879" s="3" t="n">
        <v>907.735867</v>
      </c>
      <c r="K879" s="3" t="n">
        <v>1069.343781</v>
      </c>
      <c r="L879" s="3" t="n">
        <v>1155.305781</v>
      </c>
      <c r="M879" s="3" t="n">
        <v>1261.913542</v>
      </c>
      <c r="N879" s="3" t="n">
        <v>1476.920345</v>
      </c>
      <c r="O879" s="3" t="n">
        <v>1635.936199</v>
      </c>
      <c r="P879" s="3" t="n">
        <v>1494.962561</v>
      </c>
      <c r="Q879" s="3" t="n">
        <v>1429.15537</v>
      </c>
      <c r="R879" s="3" t="n">
        <v>1487.306888</v>
      </c>
      <c r="S879" s="3" t="n">
        <v>1331.83766</v>
      </c>
      <c r="T879" s="3" t="n">
        <v>1362.206775</v>
      </c>
      <c r="U879" s="3" t="n">
        <v>1380.60028</v>
      </c>
      <c r="V879" s="3" t="n">
        <v>1206.286899</v>
      </c>
      <c r="W879" s="3" t="n">
        <v>1242.672665</v>
      </c>
      <c r="X879" s="3" t="n">
        <v>1321.287662</v>
      </c>
      <c r="Y879" s="3" t="n">
        <v>1432.292021</v>
      </c>
      <c r="Z879" s="3" t="n">
        <v>1403.651283</v>
      </c>
      <c r="AA879" s="3" t="n">
        <v>1288.751454</v>
      </c>
      <c r="AB879" s="3" t="n">
        <v>1462.216337</v>
      </c>
      <c r="AC879" s="3" t="n">
        <v>1449.990473</v>
      </c>
      <c r="AD879" s="3" t="n">
        <v>1619.949082</v>
      </c>
      <c r="AE879" s="3" t="n">
        <v>1725.152074</v>
      </c>
      <c r="AF879" s="3" t="n">
        <v>1903.826379</v>
      </c>
      <c r="AG879" s="3" t="n">
        <v>2091.221921</v>
      </c>
      <c r="AH879" s="3" t="n">
        <v>2186.520849</v>
      </c>
      <c r="AI879" s="3" t="n">
        <v>2284.751978</v>
      </c>
      <c r="AJ879" s="3" t="n">
        <v>2375.602002</v>
      </c>
      <c r="AK879" s="3" t="n">
        <v>2472.203046</v>
      </c>
      <c r="AL879" s="3" t="n">
        <v>2572.443253</v>
      </c>
      <c r="AM879" s="3" t="n"/>
      <c r="AN879" s="3" t="n"/>
      <c r="AO879" s="3" t="n"/>
      <c r="AP879" s="3" t="n"/>
      <c r="AQ879" s="3" t="n"/>
      <c r="AR879" s="3" t="n"/>
      <c r="AS879" s="3" t="n"/>
      <c r="AT879" s="3" t="n"/>
      <c r="AU879" s="3" t="n"/>
    </row>
    <row r="880">
      <c r="A880" s="3" t="n">
        <v>2031</v>
      </c>
      <c r="B880" s="3" t="inlineStr">
        <is>
          <t>ESP</t>
        </is>
      </c>
      <c r="C880" s="3" t="inlineStr">
        <is>
          <t>IMF.RES:WEO</t>
        </is>
      </c>
      <c r="D880" s="3" t="inlineStr">
        <is>
          <t>ESP.NGDPPC.A</t>
        </is>
      </c>
      <c r="E880" s="3" t="inlineStr">
        <is>
          <t>Spain</t>
        </is>
      </c>
      <c r="F880" s="3" t="inlineStr">
        <is>
          <t>Gross domestic product (GDP), Current prices, Per capita, Domestic currency</t>
        </is>
      </c>
      <c r="G880" s="3" t="n">
        <v>15924.267091</v>
      </c>
      <c r="H880" s="3" t="n">
        <v>17081.841619</v>
      </c>
      <c r="I880" s="3" t="n">
        <v>17924.522799</v>
      </c>
      <c r="J880" s="3" t="n">
        <v>18865.594167</v>
      </c>
      <c r="K880" s="3" t="n">
        <v>19864.475827</v>
      </c>
      <c r="L880" s="3" t="n">
        <v>21088.903744</v>
      </c>
      <c r="M880" s="3" t="n">
        <v>22440.18426</v>
      </c>
      <c r="N880" s="3" t="n">
        <v>23594.61479</v>
      </c>
      <c r="O880" s="3" t="n">
        <v>24058.164758</v>
      </c>
      <c r="P880" s="3" t="n">
        <v>23081.694839</v>
      </c>
      <c r="Q880" s="3" t="n">
        <v>23081.427149</v>
      </c>
      <c r="R880" s="3" t="n">
        <v>22826.371684</v>
      </c>
      <c r="S880" s="3" t="n">
        <v>22177.375936</v>
      </c>
      <c r="T880" s="3" t="n">
        <v>22059.051254</v>
      </c>
      <c r="U880" s="3" t="n">
        <v>22378.736512</v>
      </c>
      <c r="V880" s="3" t="n">
        <v>23419.606555</v>
      </c>
      <c r="W880" s="3" t="n">
        <v>24151.181981</v>
      </c>
      <c r="X880" s="3" t="n">
        <v>25083.551166</v>
      </c>
      <c r="Y880" s="3" t="n">
        <v>25837.662057</v>
      </c>
      <c r="Z880" s="3" t="n">
        <v>26495.38601</v>
      </c>
      <c r="AA880" s="3" t="n">
        <v>23822.679103</v>
      </c>
      <c r="AB880" s="3" t="n">
        <v>26017.248988</v>
      </c>
      <c r="AC880" s="3" t="n">
        <v>28612.928579</v>
      </c>
      <c r="AD880" s="3" t="n">
        <v>30800.220349</v>
      </c>
      <c r="AE880" s="3" t="n">
        <v>32485.645702</v>
      </c>
      <c r="AF880" s="3" t="n">
        <v>33905.025463</v>
      </c>
      <c r="AG880" s="3" t="n">
        <v>35246.367907</v>
      </c>
      <c r="AH880" s="3" t="n">
        <v>36555.533702</v>
      </c>
      <c r="AI880" s="3" t="n">
        <v>37962.589414</v>
      </c>
      <c r="AJ880" s="3" t="n">
        <v>39198.666351</v>
      </c>
      <c r="AK880" s="3" t="n">
        <v>40543.937718</v>
      </c>
      <c r="AL880" s="3" t="n">
        <v>41972.524665</v>
      </c>
      <c r="AM880" s="3" t="n"/>
      <c r="AN880" s="3" t="n"/>
      <c r="AO880" s="3" t="n"/>
      <c r="AP880" s="3" t="n"/>
      <c r="AQ880" s="3" t="n"/>
      <c r="AR880" s="3" t="n"/>
      <c r="AS880" s="3" t="n"/>
      <c r="AT880" s="3" t="n"/>
      <c r="AU880" s="3" t="n"/>
    </row>
    <row r="881">
      <c r="A881" s="3" t="n">
        <v>2031</v>
      </c>
      <c r="B881" s="3" t="inlineStr">
        <is>
          <t>ESP</t>
        </is>
      </c>
      <c r="C881" s="3" t="inlineStr">
        <is>
          <t>IMF.RES:WEO</t>
        </is>
      </c>
      <c r="D881" s="3" t="inlineStr">
        <is>
          <t>ESP.NGDPRPC.A</t>
        </is>
      </c>
      <c r="E881" s="3" t="inlineStr">
        <is>
          <t>Spain</t>
        </is>
      </c>
      <c r="F881" s="3" t="inlineStr">
        <is>
          <t>Gross domestic product (GDP), Constant prices, Per capita, Domestic currency</t>
        </is>
      </c>
      <c r="G881" s="3" t="n">
        <v>22865.99946</v>
      </c>
      <c r="H881" s="3" t="n">
        <v>23548.0565</v>
      </c>
      <c r="I881" s="3" t="n">
        <v>23738.437485</v>
      </c>
      <c r="J881" s="3" t="n">
        <v>24022.871028</v>
      </c>
      <c r="K881" s="3" t="n">
        <v>24342.620455</v>
      </c>
      <c r="L881" s="3" t="n">
        <v>24798.330578</v>
      </c>
      <c r="M881" s="3" t="n">
        <v>25354.72225</v>
      </c>
      <c r="N881" s="3" t="n">
        <v>25742.350742</v>
      </c>
      <c r="O881" s="3" t="n">
        <v>25619.892234</v>
      </c>
      <c r="P881" s="3" t="n">
        <v>24523.324033</v>
      </c>
      <c r="Q881" s="3" t="n">
        <v>24451.431225</v>
      </c>
      <c r="R881" s="3" t="n">
        <v>24216.58164</v>
      </c>
      <c r="S881" s="3" t="n">
        <v>23575.912306</v>
      </c>
      <c r="T881" s="3" t="n">
        <v>23347.810931</v>
      </c>
      <c r="U881" s="3" t="n">
        <v>23738.561136</v>
      </c>
      <c r="V881" s="3" t="n">
        <v>24706.18251</v>
      </c>
      <c r="W881" s="3" t="n">
        <v>25383.482683</v>
      </c>
      <c r="X881" s="3" t="n">
        <v>26035.91505</v>
      </c>
      <c r="Y881" s="3" t="n">
        <v>26503.963398</v>
      </c>
      <c r="Z881" s="3" t="n">
        <v>26795.822736</v>
      </c>
      <c r="AA881" s="3" t="n">
        <v>23822.678892</v>
      </c>
      <c r="AB881" s="3" t="n">
        <v>25368.795579</v>
      </c>
      <c r="AC881" s="3" t="n">
        <v>26648.927311</v>
      </c>
      <c r="AD881" s="3" t="n">
        <v>26999.893436</v>
      </c>
      <c r="AE881" s="3" t="n">
        <v>27676.824908</v>
      </c>
      <c r="AF881" s="3" t="n">
        <v>28074.613398</v>
      </c>
      <c r="AG881" s="3" t="n">
        <v>28323.171909</v>
      </c>
      <c r="AH881" s="3" t="n">
        <v>28540.196627</v>
      </c>
      <c r="AI881" s="3" t="n">
        <v>28804.057098</v>
      </c>
      <c r="AJ881" s="3" t="n">
        <v>29076.018979</v>
      </c>
      <c r="AK881" s="3" t="n">
        <v>29386.12301</v>
      </c>
      <c r="AL881" s="3" t="n">
        <v>29728.13871</v>
      </c>
      <c r="AM881" s="3" t="n"/>
      <c r="AN881" s="3" t="n"/>
      <c r="AO881" s="3" t="n"/>
      <c r="AP881" s="3" t="n"/>
      <c r="AQ881" s="3" t="n"/>
      <c r="AR881" s="3" t="n"/>
      <c r="AS881" s="3" t="n"/>
      <c r="AT881" s="3" t="n"/>
      <c r="AU881" s="3" t="n"/>
    </row>
    <row r="882">
      <c r="A882" s="3" t="n">
        <v>2031</v>
      </c>
      <c r="B882" s="3" t="inlineStr">
        <is>
          <t>ESP</t>
        </is>
      </c>
      <c r="C882" s="3" t="inlineStr">
        <is>
          <t>IMF.RES:WEO</t>
        </is>
      </c>
      <c r="D882" s="3" t="inlineStr">
        <is>
          <t>ESP.PCPI.A</t>
        </is>
      </c>
      <c r="E882" s="3" t="inlineStr">
        <is>
          <t>Spain</t>
        </is>
      </c>
      <c r="F882" s="3" t="inlineStr">
        <is>
          <t>All Items, Consumer price index (CPI), Period average</t>
        </is>
      </c>
      <c r="G882" s="3" t="n">
        <v>56.230833</v>
      </c>
      <c r="H882" s="3" t="n">
        <v>57.821667</v>
      </c>
      <c r="I882" s="3" t="n">
        <v>59.898333</v>
      </c>
      <c r="J882" s="3" t="n">
        <v>61.756667</v>
      </c>
      <c r="K882" s="3" t="n">
        <v>63.640833</v>
      </c>
      <c r="L882" s="3" t="n">
        <v>65.791667</v>
      </c>
      <c r="M882" s="3" t="n">
        <v>68.138333</v>
      </c>
      <c r="N882" s="3" t="n">
        <v>70.075</v>
      </c>
      <c r="O882" s="3" t="n">
        <v>72.969167</v>
      </c>
      <c r="P882" s="3" t="n">
        <v>72.794167</v>
      </c>
      <c r="Q882" s="3" t="n">
        <v>74.281667</v>
      </c>
      <c r="R882" s="3" t="n">
        <v>76.549167</v>
      </c>
      <c r="S882" s="3" t="n">
        <v>78.41249999999999</v>
      </c>
      <c r="T882" s="3" t="n">
        <v>79.611667</v>
      </c>
      <c r="U882" s="3" t="n">
        <v>79.46083299999999</v>
      </c>
      <c r="V882" s="3" t="n">
        <v>78.95916699999999</v>
      </c>
      <c r="W882" s="3" t="n">
        <v>78.69499999999999</v>
      </c>
      <c r="X882" s="3" t="n">
        <v>80.296667</v>
      </c>
      <c r="Y882" s="3" t="n">
        <v>81.690833</v>
      </c>
      <c r="Z882" s="3" t="n">
        <v>82.326667</v>
      </c>
      <c r="AA882" s="3" t="n">
        <v>82.0475</v>
      </c>
      <c r="AB882" s="3" t="n">
        <v>84.516667</v>
      </c>
      <c r="AC882" s="3" t="n">
        <v>91.55</v>
      </c>
      <c r="AD882" s="3" t="n">
        <v>94.66416700000001</v>
      </c>
      <c r="AE882" s="3" t="n">
        <v>97.379167</v>
      </c>
      <c r="AF882" s="3" t="n">
        <v>100</v>
      </c>
      <c r="AG882" s="3" t="n">
        <v>103.042728</v>
      </c>
      <c r="AH882" s="3" t="n">
        <v>105.370537</v>
      </c>
      <c r="AI882" s="3" t="n">
        <v>108.0048</v>
      </c>
      <c r="AJ882" s="3" t="n">
        <v>110.164896</v>
      </c>
      <c r="AK882" s="3" t="n">
        <v>112.368194</v>
      </c>
      <c r="AL882" s="3" t="n">
        <v>114.615558</v>
      </c>
      <c r="AM882" s="3" t="n"/>
      <c r="AN882" s="3" t="n"/>
      <c r="AO882" s="3" t="n"/>
      <c r="AP882" s="3" t="n"/>
      <c r="AQ882" s="3" t="n"/>
      <c r="AR882" s="3" t="n"/>
      <c r="AS882" s="3" t="n"/>
      <c r="AT882" s="3" t="n"/>
      <c r="AU882" s="3" t="n"/>
    </row>
    <row r="883">
      <c r="A883" s="3" t="n">
        <v>2031</v>
      </c>
      <c r="B883" s="3" t="inlineStr">
        <is>
          <t>ESP</t>
        </is>
      </c>
      <c r="C883" s="3" t="inlineStr">
        <is>
          <t>IMF.RES:WEO</t>
        </is>
      </c>
      <c r="D883" s="3" t="inlineStr">
        <is>
          <t>ESP.PCPIPCH.A</t>
        </is>
      </c>
      <c r="E883" s="3" t="inlineStr">
        <is>
          <t>Spain</t>
        </is>
      </c>
      <c r="F883" s="3" t="inlineStr">
        <is>
          <t>All Items, Consumer price index (CPI), Period average, percent change</t>
        </is>
      </c>
      <c r="G883" s="3" t="n">
        <v>3.484043</v>
      </c>
      <c r="H883" s="3" t="n">
        <v>2.829112</v>
      </c>
      <c r="I883" s="3" t="n">
        <v>3.591503</v>
      </c>
      <c r="J883" s="3" t="n">
        <v>3.102479</v>
      </c>
      <c r="K883" s="3" t="n">
        <v>3.050953</v>
      </c>
      <c r="L883" s="3" t="n">
        <v>3.379644</v>
      </c>
      <c r="M883" s="3" t="n">
        <v>3.566814</v>
      </c>
      <c r="N883" s="3" t="n">
        <v>2.842257</v>
      </c>
      <c r="O883" s="3" t="n">
        <v>4.130099</v>
      </c>
      <c r="P883" s="3" t="n">
        <v>-0.239827</v>
      </c>
      <c r="Q883" s="3" t="n">
        <v>2.043433</v>
      </c>
      <c r="R883" s="3" t="n">
        <v>3.05257</v>
      </c>
      <c r="S883" s="3" t="n">
        <v>2.434165</v>
      </c>
      <c r="T883" s="3" t="n">
        <v>1.529305</v>
      </c>
      <c r="U883" s="3" t="n">
        <v>-0.189461</v>
      </c>
      <c r="V883" s="3" t="n">
        <v>-0.631338</v>
      </c>
      <c r="W883" s="3" t="n">
        <v>-0.334561</v>
      </c>
      <c r="X883" s="3" t="n">
        <v>2.035284</v>
      </c>
      <c r="Y883" s="3" t="n">
        <v>1.73627</v>
      </c>
      <c r="Z883" s="3" t="n">
        <v>0.7783409999999999</v>
      </c>
      <c r="AA883" s="3" t="n">
        <v>-0.339096</v>
      </c>
      <c r="AB883" s="3" t="n">
        <v>3.009436</v>
      </c>
      <c r="AC883" s="3" t="n">
        <v>8.32183</v>
      </c>
      <c r="AD883" s="3" t="n">
        <v>3.401602</v>
      </c>
      <c r="AE883" s="3" t="n">
        <v>2.868033</v>
      </c>
      <c r="AF883" s="3" t="n">
        <v>2.69137</v>
      </c>
      <c r="AG883" s="3" t="n">
        <v>3.042728</v>
      </c>
      <c r="AH883" s="3" t="n">
        <v>2.259072</v>
      </c>
      <c r="AI883" s="3" t="n">
        <v>2.5</v>
      </c>
      <c r="AJ883" s="3" t="n">
        <v>2</v>
      </c>
      <c r="AK883" s="3" t="n">
        <v>2</v>
      </c>
      <c r="AL883" s="3" t="n">
        <v>2</v>
      </c>
      <c r="AM883" s="3" t="n"/>
      <c r="AN883" s="3" t="n"/>
      <c r="AO883" s="3" t="n"/>
      <c r="AP883" s="3" t="n"/>
      <c r="AQ883" s="3" t="n"/>
      <c r="AR883" s="3" t="n"/>
      <c r="AS883" s="3" t="n"/>
      <c r="AT883" s="3" t="n"/>
      <c r="AU883" s="3" t="n"/>
    </row>
    <row r="884">
      <c r="A884" s="3" t="n">
        <v>2031</v>
      </c>
      <c r="B884" s="3" t="inlineStr">
        <is>
          <t>ESP</t>
        </is>
      </c>
      <c r="C884" s="3" t="inlineStr">
        <is>
          <t>IMF.RES:WEO</t>
        </is>
      </c>
      <c r="D884" s="3" t="inlineStr">
        <is>
          <t>ESP.PPPPC.A</t>
        </is>
      </c>
      <c r="E884" s="3" t="inlineStr">
        <is>
          <t>Spain</t>
        </is>
      </c>
      <c r="F884" s="3" t="inlineStr">
        <is>
          <t>Gross domestic product (GDP), Per capita, purchasing power parity (PPP) international dollar, ICP benchmarks 2017-2021</t>
        </is>
      </c>
      <c r="G884" s="3" t="n">
        <v>25395.401593</v>
      </c>
      <c r="H884" s="3" t="n">
        <v>26741.770924</v>
      </c>
      <c r="I884" s="3" t="n">
        <v>27376.908939</v>
      </c>
      <c r="J884" s="3" t="n">
        <v>28251.893829</v>
      </c>
      <c r="K884" s="3" t="n">
        <v>29397.70352</v>
      </c>
      <c r="L884" s="3" t="n">
        <v>30887.165325</v>
      </c>
      <c r="M884" s="3" t="n">
        <v>32554.065341</v>
      </c>
      <c r="N884" s="3" t="n">
        <v>33947.220367</v>
      </c>
      <c r="O884" s="3" t="n">
        <v>34436.58273</v>
      </c>
      <c r="P884" s="3" t="n">
        <v>33165.941979</v>
      </c>
      <c r="Q884" s="3" t="n">
        <v>33470.621117</v>
      </c>
      <c r="R884" s="3" t="n">
        <v>33833.093764</v>
      </c>
      <c r="S884" s="3" t="n">
        <v>33551.295216</v>
      </c>
      <c r="T884" s="3" t="n">
        <v>33792.199869</v>
      </c>
      <c r="U884" s="3" t="n">
        <v>34956.16192</v>
      </c>
      <c r="V884" s="3" t="n">
        <v>36718.665807</v>
      </c>
      <c r="W884" s="3" t="n">
        <v>38083.753062</v>
      </c>
      <c r="X884" s="3" t="n">
        <v>39762.189252</v>
      </c>
      <c r="Y884" s="3" t="n">
        <v>40895.468961</v>
      </c>
      <c r="Z884" s="3" t="n">
        <v>43857.043937</v>
      </c>
      <c r="AA884" s="3" t="n">
        <v>39293.538325</v>
      </c>
      <c r="AB884" s="3" t="n">
        <v>44025.218101</v>
      </c>
      <c r="AC884" s="3" t="n">
        <v>49536.031029</v>
      </c>
      <c r="AD884" s="3" t="n">
        <v>52045.408388</v>
      </c>
      <c r="AE884" s="3" t="n">
        <v>54674.71627</v>
      </c>
      <c r="AF884" s="3" t="n">
        <v>57033.821101</v>
      </c>
      <c r="AG884" s="3" t="n">
        <v>59187.169798</v>
      </c>
      <c r="AH884" s="3" t="n">
        <v>60950.339255</v>
      </c>
      <c r="AI884" s="3" t="n">
        <v>62523.521025</v>
      </c>
      <c r="AJ884" s="3" t="n">
        <v>64236.087882</v>
      </c>
      <c r="AK884" s="3" t="n">
        <v>66114.12825199999</v>
      </c>
      <c r="AL884" s="3" t="n">
        <v>68091.060474</v>
      </c>
      <c r="AM884" s="3" t="n"/>
      <c r="AN884" s="3" t="n"/>
      <c r="AO884" s="3" t="n"/>
      <c r="AP884" s="3" t="n"/>
      <c r="AQ884" s="3" t="n"/>
      <c r="AR884" s="3" t="n"/>
      <c r="AS884" s="3" t="n"/>
      <c r="AT884" s="3" t="n"/>
      <c r="AU884" s="3" t="n"/>
    </row>
    <row r="885">
      <c r="A885" s="3" t="inlineStr">
        <is>
          <t>INDICATOR</t>
        </is>
      </c>
      <c r="B885" s="3" t="inlineStr">
        <is>
          <t>ESP</t>
        </is>
      </c>
      <c r="C885" s="3" t="inlineStr">
        <is>
          <t>IMF.STA:ER</t>
        </is>
      </c>
      <c r="D885" s="3" t="inlineStr">
        <is>
          <t>ESP.XDC_USD.PA_RT.A</t>
        </is>
      </c>
      <c r="E885" s="3" t="inlineStr">
        <is>
          <t>Spain</t>
        </is>
      </c>
      <c r="F885" s="3" t="inlineStr">
        <is>
          <t>Domestic currency per US Dollar</t>
        </is>
      </c>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c r="AD885" s="3" t="n"/>
      <c r="AE885" s="3" t="n"/>
      <c r="AF885" s="3" t="n"/>
      <c r="AG885" s="3" t="n"/>
      <c r="AH885" s="3" t="n"/>
      <c r="AI885" s="3" t="n"/>
      <c r="AJ885" s="3" t="n"/>
      <c r="AK885" s="3" t="n"/>
      <c r="AL885" s="3" t="n"/>
      <c r="AM885" s="3" t="n"/>
      <c r="AN885" s="3" t="n"/>
      <c r="AO885" s="3" t="n"/>
      <c r="AP885" s="3" t="n"/>
      <c r="AQ885" s="3" t="n"/>
      <c r="AR885" s="3" t="n"/>
      <c r="AS885" s="3" t="n"/>
      <c r="AT885" s="3" t="n"/>
      <c r="AU885" s="3" t="n"/>
    </row>
    <row r="886">
      <c r="A886" s="3" t="n">
        <v>2031</v>
      </c>
      <c r="B886" s="3" t="inlineStr">
        <is>
          <t>EST</t>
        </is>
      </c>
      <c r="C886" s="3" t="inlineStr">
        <is>
          <t>IMF.RES:WEO</t>
        </is>
      </c>
      <c r="D886" s="3" t="inlineStr">
        <is>
          <t>EST.BCA.A</t>
        </is>
      </c>
      <c r="E886" s="3" t="inlineStr">
        <is>
          <t>Estonia, Republic of</t>
        </is>
      </c>
      <c r="F886" s="3" t="inlineStr">
        <is>
          <t>Current account balance (credit less debit), US dollar</t>
        </is>
      </c>
      <c r="G886" s="3" t="n">
        <v>-0.30874</v>
      </c>
      <c r="H886" s="3" t="n">
        <v>-0.445117</v>
      </c>
      <c r="I886" s="3" t="n">
        <v>-0.817953</v>
      </c>
      <c r="J886" s="3" t="n">
        <v>-1.273026</v>
      </c>
      <c r="K886" s="3" t="n">
        <v>-1.449549</v>
      </c>
      <c r="L886" s="3" t="n">
        <v>-1.225877</v>
      </c>
      <c r="M886" s="3" t="n">
        <v>-2.544638</v>
      </c>
      <c r="N886" s="3" t="n">
        <v>-3.339944</v>
      </c>
      <c r="O886" s="3" t="n">
        <v>-2.11513</v>
      </c>
      <c r="P886" s="3" t="n">
        <v>0.502214</v>
      </c>
      <c r="Q886" s="3" t="n">
        <v>0.348993</v>
      </c>
      <c r="R886" s="3" t="n">
        <v>0.305341</v>
      </c>
      <c r="S886" s="3" t="n">
        <v>-0.436976</v>
      </c>
      <c r="T886" s="3" t="n">
        <v>-0.035594</v>
      </c>
      <c r="U886" s="3" t="n">
        <v>0.157867</v>
      </c>
      <c r="V886" s="3" t="n">
        <v>0.343984</v>
      </c>
      <c r="W886" s="3" t="n">
        <v>0.240132</v>
      </c>
      <c r="X886" s="3" t="n">
        <v>0.46278</v>
      </c>
      <c r="Y886" s="3" t="n">
        <v>0.172734</v>
      </c>
      <c r="Z886" s="3" t="n">
        <v>0.641082</v>
      </c>
      <c r="AA886" s="3" t="n">
        <v>-0.803234</v>
      </c>
      <c r="AB886" s="3" t="n">
        <v>-1.362239</v>
      </c>
      <c r="AC886" s="3" t="n">
        <v>-1.189616</v>
      </c>
      <c r="AD886" s="3" t="n">
        <v>-0.517212</v>
      </c>
      <c r="AE886" s="3" t="n">
        <v>-0.5372400000000001</v>
      </c>
      <c r="AF886" s="3" t="n">
        <v>-0.085039</v>
      </c>
      <c r="AG886" s="3" t="n">
        <v>-0.551458</v>
      </c>
      <c r="AH886" s="3" t="n">
        <v>-1.06316</v>
      </c>
      <c r="AI886" s="3" t="n">
        <v>-1.097525</v>
      </c>
      <c r="AJ886" s="3" t="n">
        <v>-0.954782</v>
      </c>
      <c r="AK886" s="3" t="n">
        <v>-0.899258</v>
      </c>
      <c r="AL886" s="3" t="n">
        <v>-0.905142</v>
      </c>
      <c r="AM886" s="3" t="n"/>
      <c r="AN886" s="3" t="n"/>
      <c r="AO886" s="3" t="n"/>
      <c r="AP886" s="3" t="n"/>
      <c r="AQ886" s="3" t="n"/>
      <c r="AR886" s="3" t="n"/>
      <c r="AS886" s="3" t="n"/>
      <c r="AT886" s="3" t="n"/>
      <c r="AU886" s="3" t="n"/>
    </row>
    <row r="887">
      <c r="A887" s="3" t="n">
        <v>2031</v>
      </c>
      <c r="B887" s="3" t="inlineStr">
        <is>
          <t>EST</t>
        </is>
      </c>
      <c r="C887" s="3" t="inlineStr">
        <is>
          <t>IMF.RES:WEO</t>
        </is>
      </c>
      <c r="D887" s="3" t="inlineStr">
        <is>
          <t>EST.BCA_NGDPD.A</t>
        </is>
      </c>
      <c r="E887" s="3" t="inlineStr">
        <is>
          <t>Estonia, Republic of</t>
        </is>
      </c>
      <c r="F887" s="3" t="inlineStr">
        <is>
          <t>Current account balance (credit less debit), Percent of GDP</t>
        </is>
      </c>
      <c r="G887" s="3" t="n">
        <v>-5.410231</v>
      </c>
      <c r="H887" s="3" t="n">
        <v>-7.105292</v>
      </c>
      <c r="I887" s="3" t="n">
        <v>-11.063457</v>
      </c>
      <c r="J887" s="3" t="n">
        <v>-12.866537</v>
      </c>
      <c r="K887" s="3" t="n">
        <v>-11.919686</v>
      </c>
      <c r="L887" s="3" t="n">
        <v>-8.676606</v>
      </c>
      <c r="M887" s="3" t="n">
        <v>-14.925032</v>
      </c>
      <c r="N887" s="3" t="n">
        <v>-14.859019</v>
      </c>
      <c r="O887" s="3" t="n">
        <v>-8.656399</v>
      </c>
      <c r="P887" s="3" t="n">
        <v>2.550143</v>
      </c>
      <c r="Q887" s="3" t="n">
        <v>1.783369</v>
      </c>
      <c r="R887" s="3" t="n">
        <v>1.310488</v>
      </c>
      <c r="S887" s="3" t="n">
        <v>-1.879296</v>
      </c>
      <c r="T887" s="3" t="n">
        <v>-0.139851</v>
      </c>
      <c r="U887" s="3" t="n">
        <v>0.583337</v>
      </c>
      <c r="V887" s="3" t="n">
        <v>1.475425</v>
      </c>
      <c r="W887" s="3" t="n">
        <v>0.9779640000000001</v>
      </c>
      <c r="X887" s="3" t="n">
        <v>1.685301</v>
      </c>
      <c r="Y887" s="3" t="n">
        <v>0.552982</v>
      </c>
      <c r="Z887" s="3" t="n">
        <v>2.011094</v>
      </c>
      <c r="AA887" s="3" t="n">
        <v>-2.526268</v>
      </c>
      <c r="AB887" s="3" t="n">
        <v>-3.659392</v>
      </c>
      <c r="AC887" s="3" t="n">
        <v>-3.109562</v>
      </c>
      <c r="AD887" s="3" t="n">
        <v>-1.246825</v>
      </c>
      <c r="AE887" s="3" t="n">
        <v>-1.245993</v>
      </c>
      <c r="AF887" s="3" t="n">
        <v>-0.180919</v>
      </c>
      <c r="AG887" s="3" t="n">
        <v>-1.068007</v>
      </c>
      <c r="AH887" s="3" t="n">
        <v>-1.961559</v>
      </c>
      <c r="AI887" s="3" t="n">
        <v>-1.923392</v>
      </c>
      <c r="AJ887" s="3" t="n">
        <v>-1.596569</v>
      </c>
      <c r="AK887" s="3" t="n">
        <v>-1.440325</v>
      </c>
      <c r="AL887" s="3" t="n">
        <v>-1.389285</v>
      </c>
      <c r="AM887" s="3" t="n"/>
      <c r="AN887" s="3" t="n"/>
      <c r="AO887" s="3" t="n"/>
      <c r="AP887" s="3" t="n"/>
      <c r="AQ887" s="3" t="n"/>
      <c r="AR887" s="3" t="n"/>
      <c r="AS887" s="3" t="n"/>
      <c r="AT887" s="3" t="n"/>
      <c r="AU887" s="3" t="n"/>
    </row>
    <row r="888">
      <c r="A888" s="3" t="n">
        <v>2031</v>
      </c>
      <c r="B888" s="3" t="inlineStr">
        <is>
          <t>EST</t>
        </is>
      </c>
      <c r="C888" s="3" t="inlineStr">
        <is>
          <t>IMF.RES:WEO</t>
        </is>
      </c>
      <c r="D888" s="3" t="inlineStr">
        <is>
          <t>EST.GGR_NGDP.A</t>
        </is>
      </c>
      <c r="E888" s="3" t="inlineStr">
        <is>
          <t>Estonia, Republic of</t>
        </is>
      </c>
      <c r="F888" s="3" t="inlineStr">
        <is>
          <t>Revenue, General government, Percent of GDP</t>
        </is>
      </c>
      <c r="G888" s="3" t="n">
        <v>36.254079</v>
      </c>
      <c r="H888" s="3" t="n">
        <v>35.683522</v>
      </c>
      <c r="I888" s="3" t="n">
        <v>36.158623</v>
      </c>
      <c r="J888" s="3" t="n">
        <v>36.713904</v>
      </c>
      <c r="K888" s="3" t="n">
        <v>36.367014</v>
      </c>
      <c r="L888" s="3" t="n">
        <v>34.777287</v>
      </c>
      <c r="M888" s="3" t="n">
        <v>36.200829</v>
      </c>
      <c r="N888" s="3" t="n">
        <v>36.347117</v>
      </c>
      <c r="O888" s="3" t="n">
        <v>36.62764</v>
      </c>
      <c r="P888" s="3" t="n">
        <v>42.668749</v>
      </c>
      <c r="Q888" s="3" t="n">
        <v>39.608737</v>
      </c>
      <c r="R888" s="3" t="n">
        <v>37.707589</v>
      </c>
      <c r="S888" s="3" t="n">
        <v>38.535763</v>
      </c>
      <c r="T888" s="3" t="n">
        <v>37.642374</v>
      </c>
      <c r="U888" s="3" t="n">
        <v>37.968829</v>
      </c>
      <c r="V888" s="3" t="n">
        <v>39.013895</v>
      </c>
      <c r="W888" s="3" t="n">
        <v>38.285701</v>
      </c>
      <c r="X888" s="3" t="n">
        <v>37.791435</v>
      </c>
      <c r="Y888" s="3" t="n">
        <v>37.67544</v>
      </c>
      <c r="Z888" s="3" t="n">
        <v>39.011056</v>
      </c>
      <c r="AA888" s="3" t="n">
        <v>39.315022</v>
      </c>
      <c r="AB888" s="3" t="n">
        <v>39.528005</v>
      </c>
      <c r="AC888" s="3" t="n">
        <v>39.042946</v>
      </c>
      <c r="AD888" s="3" t="n">
        <v>40.426019</v>
      </c>
      <c r="AE888" s="3" t="n">
        <v>42.075542</v>
      </c>
      <c r="AF888" s="3" t="n">
        <v>43.917211</v>
      </c>
      <c r="AG888" s="3" t="n">
        <v>42.811153</v>
      </c>
      <c r="AH888" s="3" t="n">
        <v>42.051762</v>
      </c>
      <c r="AI888" s="3" t="n">
        <v>42.006363</v>
      </c>
      <c r="AJ888" s="3" t="n">
        <v>42.23756</v>
      </c>
      <c r="AK888" s="3" t="n">
        <v>41.990525</v>
      </c>
      <c r="AL888" s="3" t="n">
        <v>41.889487</v>
      </c>
      <c r="AM888" s="3" t="n"/>
      <c r="AN888" s="3" t="n"/>
      <c r="AO888" s="3" t="n"/>
      <c r="AP888" s="3" t="n"/>
      <c r="AQ888" s="3" t="n"/>
      <c r="AR888" s="3" t="n"/>
      <c r="AS888" s="3" t="n"/>
      <c r="AT888" s="3" t="n"/>
      <c r="AU888" s="3" t="n"/>
    </row>
    <row r="889">
      <c r="A889" s="3" t="n">
        <v>2031</v>
      </c>
      <c r="B889" s="3" t="inlineStr">
        <is>
          <t>EST</t>
        </is>
      </c>
      <c r="C889" s="3" t="inlineStr">
        <is>
          <t>IMF.RES:WEO</t>
        </is>
      </c>
      <c r="D889" s="3" t="inlineStr">
        <is>
          <t>EST.GGX_NGDP.A</t>
        </is>
      </c>
      <c r="E889" s="3" t="inlineStr">
        <is>
          <t>Estonia, Republic of</t>
        </is>
      </c>
      <c r="F889" s="3" t="inlineStr">
        <is>
          <t>Expenditure, General government, Percent of GDP</t>
        </is>
      </c>
      <c r="G889" s="3" t="n">
        <v>36.366347</v>
      </c>
      <c r="H889" s="3" t="n">
        <v>35.284412</v>
      </c>
      <c r="I889" s="3" t="n">
        <v>35.865178</v>
      </c>
      <c r="J889" s="3" t="n">
        <v>35.048567</v>
      </c>
      <c r="K889" s="3" t="n">
        <v>34.081079</v>
      </c>
      <c r="L889" s="3" t="n">
        <v>33.712193</v>
      </c>
      <c r="M889" s="3" t="n">
        <v>33.494558</v>
      </c>
      <c r="N889" s="3" t="n">
        <v>33.843713</v>
      </c>
      <c r="O889" s="3" t="n">
        <v>39.549501</v>
      </c>
      <c r="P889" s="3" t="n">
        <v>46.097163</v>
      </c>
      <c r="Q889" s="3" t="n">
        <v>40.696633</v>
      </c>
      <c r="R889" s="3" t="n">
        <v>37.621865</v>
      </c>
      <c r="S889" s="3" t="n">
        <v>39.391681</v>
      </c>
      <c r="T889" s="3" t="n">
        <v>38.306695</v>
      </c>
      <c r="U889" s="3" t="n">
        <v>37.553559</v>
      </c>
      <c r="V889" s="3" t="n">
        <v>39.256309</v>
      </c>
      <c r="W889" s="3" t="n">
        <v>38.904032</v>
      </c>
      <c r="X889" s="3" t="n">
        <v>38.857335</v>
      </c>
      <c r="Y889" s="3" t="n">
        <v>38.821823</v>
      </c>
      <c r="Z889" s="3" t="n">
        <v>39.120457</v>
      </c>
      <c r="AA889" s="3" t="n">
        <v>44.739132</v>
      </c>
      <c r="AB889" s="3" t="n">
        <v>42.097318</v>
      </c>
      <c r="AC889" s="3" t="n">
        <v>40.121837</v>
      </c>
      <c r="AD889" s="3" t="n">
        <v>43.492601</v>
      </c>
      <c r="AE889" s="3" t="n">
        <v>43.616013</v>
      </c>
      <c r="AF889" s="3" t="n">
        <v>45.248614</v>
      </c>
      <c r="AG889" s="3" t="n">
        <v>47.281504</v>
      </c>
      <c r="AH889" s="3" t="n">
        <v>46.599147</v>
      </c>
      <c r="AI889" s="3" t="n">
        <v>46.233194</v>
      </c>
      <c r="AJ889" s="3" t="n">
        <v>45.835317</v>
      </c>
      <c r="AK889" s="3" t="n">
        <v>45.605887</v>
      </c>
      <c r="AL889" s="3" t="n">
        <v>45.472509</v>
      </c>
      <c r="AM889" s="3" t="n"/>
      <c r="AN889" s="3" t="n"/>
      <c r="AO889" s="3" t="n"/>
      <c r="AP889" s="3" t="n"/>
      <c r="AQ889" s="3" t="n"/>
      <c r="AR889" s="3" t="n"/>
      <c r="AS889" s="3" t="n"/>
      <c r="AT889" s="3" t="n"/>
      <c r="AU889" s="3" t="n"/>
    </row>
    <row r="890">
      <c r="A890" s="3" t="n">
        <v>2027</v>
      </c>
      <c r="B890" s="3" t="inlineStr">
        <is>
          <t>EST</t>
        </is>
      </c>
      <c r="C890" s="3" t="inlineStr">
        <is>
          <t>IMF.RES:WEO</t>
        </is>
      </c>
      <c r="D890" s="3" t="inlineStr">
        <is>
          <t>EST.LE.A</t>
        </is>
      </c>
      <c r="E890" s="3" t="inlineStr">
        <is>
          <t>Estonia, Republic of</t>
        </is>
      </c>
      <c r="F890" s="3" t="inlineStr">
        <is>
          <t>Employed persons, Persons for countries / Index for country groups</t>
        </is>
      </c>
      <c r="G890" s="3" t="n">
        <v>0.585275</v>
      </c>
      <c r="H890" s="3" t="n">
        <v>0.58965</v>
      </c>
      <c r="I890" s="3" t="n">
        <v>0.589875</v>
      </c>
      <c r="J890" s="3" t="n">
        <v>0.60295</v>
      </c>
      <c r="K890" s="3" t="n">
        <v>0.6019</v>
      </c>
      <c r="L890" s="3" t="n">
        <v>0.61555</v>
      </c>
      <c r="M890" s="3" t="n">
        <v>0.6516999999999999</v>
      </c>
      <c r="N890" s="3" t="n">
        <v>0.6576</v>
      </c>
      <c r="O890" s="3" t="n">
        <v>0.656</v>
      </c>
      <c r="P890" s="3" t="n">
        <v>0.593875</v>
      </c>
      <c r="Q890" s="3" t="n">
        <v>0.567975</v>
      </c>
      <c r="R890" s="3" t="n">
        <v>0.603225</v>
      </c>
      <c r="S890" s="3" t="n">
        <v>0.6149250000000001</v>
      </c>
      <c r="T890" s="3" t="n">
        <v>0.62135</v>
      </c>
      <c r="U890" s="3" t="n">
        <v>0.624825</v>
      </c>
      <c r="V890" s="3" t="n">
        <v>0.6409</v>
      </c>
      <c r="W890" s="3" t="n">
        <v>0.644625</v>
      </c>
      <c r="X890" s="3" t="n">
        <v>0.658575</v>
      </c>
      <c r="Y890" s="3" t="n">
        <v>0.66475</v>
      </c>
      <c r="Z890" s="3" t="n">
        <v>0.6713249999999999</v>
      </c>
      <c r="AA890" s="3" t="n">
        <v>0.6566</v>
      </c>
      <c r="AB890" s="3" t="n">
        <v>0.6542249999999999</v>
      </c>
      <c r="AC890" s="3" t="n">
        <v>0.6809500000000001</v>
      </c>
      <c r="AD890" s="3" t="n">
        <v>0.7</v>
      </c>
      <c r="AE890" s="3" t="n">
        <v>0.703825</v>
      </c>
      <c r="AF890" s="3" t="n">
        <v>0.698775</v>
      </c>
      <c r="AG890" s="3" t="n">
        <v>0.695578</v>
      </c>
      <c r="AH890" s="3" t="n">
        <v>0.6956329999999999</v>
      </c>
      <c r="AI890" s="3" t="n"/>
      <c r="AJ890" s="3" t="n"/>
      <c r="AK890" s="3" t="n"/>
      <c r="AL890" s="3" t="n"/>
      <c r="AM890" s="3" t="n"/>
      <c r="AN890" s="3" t="n"/>
      <c r="AO890" s="3" t="n"/>
      <c r="AP890" s="3" t="n"/>
      <c r="AQ890" s="3" t="n"/>
      <c r="AR890" s="3" t="n"/>
      <c r="AS890" s="3" t="n"/>
      <c r="AT890" s="3" t="n"/>
      <c r="AU890" s="3" t="n"/>
    </row>
    <row r="891">
      <c r="A891" s="3" t="n">
        <v>2031</v>
      </c>
      <c r="B891" s="3" t="inlineStr">
        <is>
          <t>EST</t>
        </is>
      </c>
      <c r="C891" s="3" t="inlineStr">
        <is>
          <t>IMF.RES:WEO</t>
        </is>
      </c>
      <c r="D891" s="3" t="inlineStr">
        <is>
          <t>EST.LP.A</t>
        </is>
      </c>
      <c r="E891" s="3" t="inlineStr">
        <is>
          <t>Estonia, Republic of</t>
        </is>
      </c>
      <c r="F891" s="3" t="inlineStr">
        <is>
          <t>Population, Persons for countries / Index for country groups</t>
        </is>
      </c>
      <c r="G891" s="3" t="n">
        <v>1.396985</v>
      </c>
      <c r="H891" s="3" t="n">
        <v>1.388115</v>
      </c>
      <c r="I891" s="3" t="n">
        <v>1.37935</v>
      </c>
      <c r="J891" s="3" t="n">
        <v>1.37072</v>
      </c>
      <c r="K891" s="3" t="n">
        <v>1.36255</v>
      </c>
      <c r="L891" s="3" t="n">
        <v>1.354775</v>
      </c>
      <c r="M891" s="3" t="n">
        <v>1.34681</v>
      </c>
      <c r="N891" s="3" t="n">
        <v>1.34068</v>
      </c>
      <c r="O891" s="3" t="n">
        <v>1.33709</v>
      </c>
      <c r="P891" s="3" t="n">
        <v>1.334515</v>
      </c>
      <c r="Q891" s="3" t="n">
        <v>1.331475</v>
      </c>
      <c r="R891" s="3" t="n">
        <v>1.327439</v>
      </c>
      <c r="S891" s="3" t="n">
        <v>1.322696</v>
      </c>
      <c r="T891" s="3" t="n">
        <v>1.317997</v>
      </c>
      <c r="U891" s="3" t="n">
        <v>1.315345</v>
      </c>
      <c r="V891" s="3" t="n">
        <v>1.315407</v>
      </c>
      <c r="W891" s="3" t="n">
        <v>1.31579</v>
      </c>
      <c r="X891" s="3" t="n">
        <v>1.317384</v>
      </c>
      <c r="Y891" s="3" t="n">
        <v>1.321977</v>
      </c>
      <c r="Z891" s="3" t="n">
        <v>1.326898</v>
      </c>
      <c r="AA891" s="3" t="n">
        <v>1.329522</v>
      </c>
      <c r="AB891" s="3" t="n">
        <v>1.330932</v>
      </c>
      <c r="AC891" s="3" t="n">
        <v>1.34884</v>
      </c>
      <c r="AD891" s="3" t="n">
        <v>1.370286</v>
      </c>
      <c r="AE891" s="3" t="n">
        <v>1.372341</v>
      </c>
      <c r="AF891" s="3" t="n">
        <v>1.369373</v>
      </c>
      <c r="AG891" s="3" t="n">
        <v>1.368959</v>
      </c>
      <c r="AH891" s="3" t="n">
        <v>1.367162</v>
      </c>
      <c r="AI891" s="3" t="n">
        <v>1.365159</v>
      </c>
      <c r="AJ891" s="3" t="n">
        <v>1.362979</v>
      </c>
      <c r="AK891" s="3" t="n">
        <v>1.360824</v>
      </c>
      <c r="AL891" s="3" t="n">
        <v>1.360824</v>
      </c>
      <c r="AM891" s="3" t="n"/>
      <c r="AN891" s="3" t="n"/>
      <c r="AO891" s="3" t="n"/>
      <c r="AP891" s="3" t="n"/>
      <c r="AQ891" s="3" t="n"/>
      <c r="AR891" s="3" t="n"/>
      <c r="AS891" s="3" t="n"/>
      <c r="AT891" s="3" t="n"/>
      <c r="AU891" s="3" t="n"/>
    </row>
    <row r="892">
      <c r="A892" s="3" t="n">
        <v>2031</v>
      </c>
      <c r="B892" s="3" t="inlineStr">
        <is>
          <t>EST</t>
        </is>
      </c>
      <c r="C892" s="3" t="inlineStr">
        <is>
          <t>IMF.RES:WEO</t>
        </is>
      </c>
      <c r="D892" s="3" t="inlineStr">
        <is>
          <t>EST.NGDP.A</t>
        </is>
      </c>
      <c r="E892" s="3" t="inlineStr">
        <is>
          <t>Estonia, Republic of</t>
        </is>
      </c>
      <c r="F892" s="3" t="inlineStr">
        <is>
          <t>Gross domestic product (GDP), Current prices, Domestic currency</t>
        </is>
      </c>
      <c r="G892" s="3" t="n">
        <v>6.17164</v>
      </c>
      <c r="H892" s="3" t="n">
        <v>6.98212</v>
      </c>
      <c r="I892" s="3" t="n">
        <v>7.82486</v>
      </c>
      <c r="J892" s="3" t="n">
        <v>8.74672</v>
      </c>
      <c r="K892" s="3" t="n">
        <v>9.77962</v>
      </c>
      <c r="L892" s="3" t="n">
        <v>11.34545</v>
      </c>
      <c r="M892" s="3" t="n">
        <v>13.57116</v>
      </c>
      <c r="N892" s="3" t="n">
        <v>16.40216</v>
      </c>
      <c r="O892" s="3" t="n">
        <v>16.61892</v>
      </c>
      <c r="P892" s="3" t="n">
        <v>14.13254</v>
      </c>
      <c r="Q892" s="3" t="n">
        <v>14.74176</v>
      </c>
      <c r="R892" s="3" t="n">
        <v>16.74186</v>
      </c>
      <c r="S892" s="3" t="n">
        <v>18.08656</v>
      </c>
      <c r="T892" s="3" t="n">
        <v>19.16323</v>
      </c>
      <c r="U892" s="3" t="n">
        <v>20.36558</v>
      </c>
      <c r="V892" s="3" t="n">
        <v>21.01089</v>
      </c>
      <c r="W892" s="3" t="n">
        <v>22.18896</v>
      </c>
      <c r="X892" s="3" t="n">
        <v>24.31613</v>
      </c>
      <c r="Y892" s="3" t="n">
        <v>26.43848</v>
      </c>
      <c r="Z892" s="3" t="n">
        <v>28.47206</v>
      </c>
      <c r="AA892" s="3" t="n">
        <v>27.85928</v>
      </c>
      <c r="AB892" s="3" t="n">
        <v>31.45331</v>
      </c>
      <c r="AC892" s="3" t="n">
        <v>36.30093</v>
      </c>
      <c r="AD892" s="3" t="n">
        <v>38.35342</v>
      </c>
      <c r="AE892" s="3" t="n">
        <v>39.84775</v>
      </c>
      <c r="AF892" s="3" t="n">
        <v>41.62083</v>
      </c>
      <c r="AG892" s="3" t="n">
        <v>43.786897</v>
      </c>
      <c r="AH892" s="3" t="n">
        <v>46.068448</v>
      </c>
      <c r="AI892" s="3" t="n">
        <v>48.63276</v>
      </c>
      <c r="AJ892" s="3" t="n">
        <v>50.968151</v>
      </c>
      <c r="AK892" s="3" t="n">
        <v>53.211547</v>
      </c>
      <c r="AL892" s="3" t="n">
        <v>55.527426</v>
      </c>
      <c r="AM892" s="3" t="n"/>
      <c r="AN892" s="3" t="n"/>
      <c r="AO892" s="3" t="n"/>
      <c r="AP892" s="3" t="n"/>
      <c r="AQ892" s="3" t="n"/>
      <c r="AR892" s="3" t="n"/>
      <c r="AS892" s="3" t="n"/>
      <c r="AT892" s="3" t="n"/>
      <c r="AU892" s="3" t="n"/>
    </row>
    <row r="893">
      <c r="A893" s="3" t="n">
        <v>2031</v>
      </c>
      <c r="B893" s="3" t="inlineStr">
        <is>
          <t>EST</t>
        </is>
      </c>
      <c r="C893" s="3" t="inlineStr">
        <is>
          <t>IMF.RES:WEO</t>
        </is>
      </c>
      <c r="D893" s="3" t="inlineStr">
        <is>
          <t>EST.NGDP_D.A</t>
        </is>
      </c>
      <c r="E893" s="3" t="inlineStr">
        <is>
          <t>Estonia, Republic of</t>
        </is>
      </c>
      <c r="F893" s="3" t="inlineStr">
        <is>
          <t>Gross domestic product (GDP), Price deflator, Index</t>
        </is>
      </c>
      <c r="G893" s="3" t="n">
        <v>42.025886</v>
      </c>
      <c r="H893" s="3" t="n">
        <v>44.904154</v>
      </c>
      <c r="I893" s="3" t="n">
        <v>47.061335</v>
      </c>
      <c r="J893" s="3" t="n">
        <v>48.891726</v>
      </c>
      <c r="K893" s="3" t="n">
        <v>51.184459</v>
      </c>
      <c r="L893" s="3" t="n">
        <v>54.216588</v>
      </c>
      <c r="M893" s="3" t="n">
        <v>59.084448</v>
      </c>
      <c r="N893" s="3" t="n">
        <v>66.383871</v>
      </c>
      <c r="O893" s="3" t="n">
        <v>70.894688</v>
      </c>
      <c r="P893" s="3" t="n">
        <v>70.61990400000001</v>
      </c>
      <c r="Q893" s="3" t="n">
        <v>71.90271199999999</v>
      </c>
      <c r="R893" s="3" t="n">
        <v>75.88553899999999</v>
      </c>
      <c r="S893" s="3" t="n">
        <v>79.076954</v>
      </c>
      <c r="T893" s="3" t="n">
        <v>82.338032</v>
      </c>
      <c r="U893" s="3" t="n">
        <v>84.690061</v>
      </c>
      <c r="V893" s="3" t="n">
        <v>85.79652</v>
      </c>
      <c r="W893" s="3" t="n">
        <v>87.88866</v>
      </c>
      <c r="X893" s="3" t="n">
        <v>91.176723</v>
      </c>
      <c r="Y893" s="3" t="n">
        <v>95.597939</v>
      </c>
      <c r="Z893" s="3" t="n">
        <v>99.252263</v>
      </c>
      <c r="AA893" s="3" t="n">
        <v>99.99996400000001</v>
      </c>
      <c r="AB893" s="3" t="n">
        <v>104.291483</v>
      </c>
      <c r="AC893" s="3" t="n">
        <v>121.859202</v>
      </c>
      <c r="AD893" s="3" t="n">
        <v>132.382085</v>
      </c>
      <c r="AE893" s="3" t="n">
        <v>137.663941</v>
      </c>
      <c r="AF893" s="3" t="n">
        <v>142.954202</v>
      </c>
      <c r="AG893" s="3" t="n">
        <v>148.274827</v>
      </c>
      <c r="AH893" s="3" t="n">
        <v>153.042156</v>
      </c>
      <c r="AI893" s="3" t="n">
        <v>157.878137</v>
      </c>
      <c r="AJ893" s="3" t="n">
        <v>162.098768</v>
      </c>
      <c r="AK893" s="3" t="n">
        <v>166.402235</v>
      </c>
      <c r="AL893" s="3" t="n">
        <v>170.797414</v>
      </c>
      <c r="AM893" s="3" t="n"/>
      <c r="AN893" s="3" t="n"/>
      <c r="AO893" s="3" t="n"/>
      <c r="AP893" s="3" t="n"/>
      <c r="AQ893" s="3" t="n"/>
      <c r="AR893" s="3" t="n"/>
      <c r="AS893" s="3" t="n"/>
      <c r="AT893" s="3" t="n"/>
      <c r="AU893" s="3" t="n"/>
    </row>
    <row r="894">
      <c r="A894" s="3" t="n">
        <v>2031</v>
      </c>
      <c r="B894" s="3" t="inlineStr">
        <is>
          <t>EST</t>
        </is>
      </c>
      <c r="C894" s="3" t="inlineStr">
        <is>
          <t>IMF.RES:WEO</t>
        </is>
      </c>
      <c r="D894" s="3" t="inlineStr">
        <is>
          <t>EST.NGDP_R.A</t>
        </is>
      </c>
      <c r="E894" s="3" t="inlineStr">
        <is>
          <t>Estonia, Republic of</t>
        </is>
      </c>
      <c r="F894" s="3" t="inlineStr">
        <is>
          <t>Gross domestic product (GDP), Constant prices, Domestic currency</t>
        </is>
      </c>
      <c r="G894" s="3" t="n">
        <v>14.68533</v>
      </c>
      <c r="H894" s="3" t="n">
        <v>15.54894</v>
      </c>
      <c r="I894" s="3" t="n">
        <v>16.62694</v>
      </c>
      <c r="J894" s="3" t="n">
        <v>17.88998</v>
      </c>
      <c r="K894" s="3" t="n">
        <v>19.10662</v>
      </c>
      <c r="L894" s="3" t="n">
        <v>20.92616</v>
      </c>
      <c r="M894" s="3" t="n">
        <v>22.96909</v>
      </c>
      <c r="N894" s="3" t="n">
        <v>24.70805</v>
      </c>
      <c r="O894" s="3" t="n">
        <v>23.4417</v>
      </c>
      <c r="P894" s="3" t="n">
        <v>20.01212</v>
      </c>
      <c r="Q894" s="3" t="n">
        <v>20.50237</v>
      </c>
      <c r="R894" s="3" t="n">
        <v>22.06199</v>
      </c>
      <c r="S894" s="3" t="n">
        <v>22.8721</v>
      </c>
      <c r="T894" s="3" t="n">
        <v>23.27385</v>
      </c>
      <c r="U894" s="3" t="n">
        <v>24.04719</v>
      </c>
      <c r="V894" s="3" t="n">
        <v>24.48921</v>
      </c>
      <c r="W894" s="3" t="n">
        <v>25.24667</v>
      </c>
      <c r="X894" s="3" t="n">
        <v>26.66923</v>
      </c>
      <c r="Y894" s="3" t="n">
        <v>27.65591</v>
      </c>
      <c r="Z894" s="3" t="n">
        <v>28.68656</v>
      </c>
      <c r="AA894" s="3" t="n">
        <v>27.85929</v>
      </c>
      <c r="AB894" s="3" t="n">
        <v>30.15904</v>
      </c>
      <c r="AC894" s="3" t="n">
        <v>29.78924</v>
      </c>
      <c r="AD894" s="3" t="n">
        <v>28.97176</v>
      </c>
      <c r="AE894" s="3" t="n">
        <v>28.94567</v>
      </c>
      <c r="AF894" s="3" t="n">
        <v>29.1148</v>
      </c>
      <c r="AG894" s="3" t="n">
        <v>29.530904</v>
      </c>
      <c r="AH894" s="3" t="n">
        <v>30.101802</v>
      </c>
      <c r="AI894" s="3" t="n">
        <v>30.803987</v>
      </c>
      <c r="AJ894" s="3" t="n">
        <v>31.442651</v>
      </c>
      <c r="AK894" s="3" t="n">
        <v>31.977664</v>
      </c>
      <c r="AL894" s="3" t="n">
        <v>32.510695</v>
      </c>
      <c r="AM894" s="3" t="n"/>
      <c r="AN894" s="3" t="n"/>
      <c r="AO894" s="3" t="n"/>
      <c r="AP894" s="3" t="n"/>
      <c r="AQ894" s="3" t="n"/>
      <c r="AR894" s="3" t="n"/>
      <c r="AS894" s="3" t="n"/>
      <c r="AT894" s="3" t="n"/>
      <c r="AU894" s="3" t="n"/>
    </row>
    <row r="895">
      <c r="A895" s="3" t="n">
        <v>2031</v>
      </c>
      <c r="B895" s="3" t="inlineStr">
        <is>
          <t>EST</t>
        </is>
      </c>
      <c r="C895" s="3" t="inlineStr">
        <is>
          <t>IMF.RES:WEO</t>
        </is>
      </c>
      <c r="D895" s="3" t="inlineStr">
        <is>
          <t>EST.NGDP_RPCH.A</t>
        </is>
      </c>
      <c r="E895" s="3" t="inlineStr">
        <is>
          <t>Estonia, Republic of</t>
        </is>
      </c>
      <c r="F895" s="3" t="inlineStr">
        <is>
          <t>Gross domestic product (GDP), Constant prices, Percent change</t>
        </is>
      </c>
      <c r="G895" s="3" t="n">
        <v>10.087656</v>
      </c>
      <c r="H895" s="3" t="n">
        <v>5.880767</v>
      </c>
      <c r="I895" s="3" t="n">
        <v>6.932948</v>
      </c>
      <c r="J895" s="3" t="n">
        <v>7.596347</v>
      </c>
      <c r="K895" s="3" t="n">
        <v>6.800678</v>
      </c>
      <c r="L895" s="3" t="n">
        <v>9.523087</v>
      </c>
      <c r="M895" s="3" t="n">
        <v>9.762565</v>
      </c>
      <c r="N895" s="3" t="n">
        <v>7.57087</v>
      </c>
      <c r="O895" s="3" t="n">
        <v>-5.125253</v>
      </c>
      <c r="P895" s="3" t="n">
        <v>-14.630253</v>
      </c>
      <c r="Q895" s="3" t="n">
        <v>2.449765</v>
      </c>
      <c r="R895" s="3" t="n">
        <v>7.607023</v>
      </c>
      <c r="S895" s="3" t="n">
        <v>3.671972</v>
      </c>
      <c r="T895" s="3" t="n">
        <v>1.756507</v>
      </c>
      <c r="U895" s="3" t="n">
        <v>3.322785</v>
      </c>
      <c r="V895" s="3" t="n">
        <v>1.838136</v>
      </c>
      <c r="W895" s="3" t="n">
        <v>3.093036</v>
      </c>
      <c r="X895" s="3" t="n">
        <v>5.634644</v>
      </c>
      <c r="Y895" s="3" t="n">
        <v>3.699694</v>
      </c>
      <c r="Z895" s="3" t="n">
        <v>3.72669</v>
      </c>
      <c r="AA895" s="3" t="n">
        <v>-2.883824</v>
      </c>
      <c r="AB895" s="3" t="n">
        <v>8.254877</v>
      </c>
      <c r="AC895" s="3" t="n">
        <v>-1.226166</v>
      </c>
      <c r="AD895" s="3" t="n">
        <v>-2.744212</v>
      </c>
      <c r="AE895" s="3" t="n">
        <v>-0.09005299999999999</v>
      </c>
      <c r="AF895" s="3" t="n">
        <v>0.584302</v>
      </c>
      <c r="AG895" s="3" t="n">
        <v>1.429183</v>
      </c>
      <c r="AH895" s="3" t="n">
        <v>1.933224</v>
      </c>
      <c r="AI895" s="3" t="n">
        <v>2.332698</v>
      </c>
      <c r="AJ895" s="3" t="n">
        <v>2.073319</v>
      </c>
      <c r="AK895" s="3" t="n">
        <v>1.70155</v>
      </c>
      <c r="AL895" s="3" t="n">
        <v>1.666885</v>
      </c>
      <c r="AM895" s="3" t="n"/>
      <c r="AN895" s="3" t="n"/>
      <c r="AO895" s="3" t="n"/>
      <c r="AP895" s="3" t="n"/>
      <c r="AQ895" s="3" t="n"/>
      <c r="AR895" s="3" t="n"/>
      <c r="AS895" s="3" t="n"/>
      <c r="AT895" s="3" t="n"/>
      <c r="AU895" s="3" t="n"/>
    </row>
    <row r="896">
      <c r="A896" s="3" t="n">
        <v>2031</v>
      </c>
      <c r="B896" s="3" t="inlineStr">
        <is>
          <t>EST</t>
        </is>
      </c>
      <c r="C896" s="3" t="inlineStr">
        <is>
          <t>IMF.RES:WEO</t>
        </is>
      </c>
      <c r="D896" s="3" t="inlineStr">
        <is>
          <t>EST.NGDPD.A</t>
        </is>
      </c>
      <c r="E896" s="3" t="inlineStr">
        <is>
          <t>Estonia, Republic of</t>
        </is>
      </c>
      <c r="F896" s="3" t="inlineStr">
        <is>
          <t>Gross domestic product (GDP), Current prices, US dollar</t>
        </is>
      </c>
      <c r="G896" s="3" t="n">
        <v>5.706588</v>
      </c>
      <c r="H896" s="3" t="n">
        <v>6.26459</v>
      </c>
      <c r="I896" s="3" t="n">
        <v>7.393287</v>
      </c>
      <c r="J896" s="3" t="n">
        <v>9.894080000000001</v>
      </c>
      <c r="K896" s="3" t="n">
        <v>12.160967</v>
      </c>
      <c r="L896" s="3" t="n">
        <v>14.128532</v>
      </c>
      <c r="M896" s="3" t="n">
        <v>17.049462</v>
      </c>
      <c r="N896" s="3" t="n">
        <v>22.477552</v>
      </c>
      <c r="O896" s="3" t="n">
        <v>24.434292</v>
      </c>
      <c r="P896" s="3" t="n">
        <v>19.693572</v>
      </c>
      <c r="Q896" s="3" t="n">
        <v>19.569317</v>
      </c>
      <c r="R896" s="3" t="n">
        <v>23.299819</v>
      </c>
      <c r="S896" s="3" t="n">
        <v>23.252122</v>
      </c>
      <c r="T896" s="3" t="n">
        <v>25.451402</v>
      </c>
      <c r="U896" s="3" t="n">
        <v>27.062662</v>
      </c>
      <c r="V896" s="3" t="n">
        <v>23.314214</v>
      </c>
      <c r="W896" s="3" t="n">
        <v>24.554251</v>
      </c>
      <c r="X896" s="3" t="n">
        <v>27.459781</v>
      </c>
      <c r="Y896" s="3" t="n">
        <v>31.236801</v>
      </c>
      <c r="Z896" s="3" t="n">
        <v>31.877263</v>
      </c>
      <c r="AA896" s="3" t="n">
        <v>31.795291</v>
      </c>
      <c r="AB896" s="3" t="n">
        <v>37.225829</v>
      </c>
      <c r="AC896" s="3" t="n">
        <v>38.256718</v>
      </c>
      <c r="AD896" s="3" t="n">
        <v>41.482311</v>
      </c>
      <c r="AE896" s="3" t="n">
        <v>43.11744</v>
      </c>
      <c r="AF896" s="3" t="n">
        <v>47.004172</v>
      </c>
      <c r="AG896" s="3" t="n">
        <v>51.634334</v>
      </c>
      <c r="AH896" s="3" t="n">
        <v>54.199729</v>
      </c>
      <c r="AI896" s="3" t="n">
        <v>57.06197</v>
      </c>
      <c r="AJ896" s="3" t="n">
        <v>59.802139</v>
      </c>
      <c r="AK896" s="3" t="n">
        <v>62.434369</v>
      </c>
      <c r="AL896" s="3" t="n">
        <v>65.151644</v>
      </c>
      <c r="AM896" s="3" t="n"/>
      <c r="AN896" s="3" t="n"/>
      <c r="AO896" s="3" t="n"/>
      <c r="AP896" s="3" t="n"/>
      <c r="AQ896" s="3" t="n"/>
      <c r="AR896" s="3" t="n"/>
      <c r="AS896" s="3" t="n"/>
      <c r="AT896" s="3" t="n"/>
      <c r="AU896" s="3" t="n"/>
    </row>
    <row r="897">
      <c r="A897" s="3" t="n">
        <v>2031</v>
      </c>
      <c r="B897" s="3" t="inlineStr">
        <is>
          <t>EST</t>
        </is>
      </c>
      <c r="C897" s="3" t="inlineStr">
        <is>
          <t>IMF.RES:WEO</t>
        </is>
      </c>
      <c r="D897" s="3" t="inlineStr">
        <is>
          <t>EST.NGDPPC.A</t>
        </is>
      </c>
      <c r="E897" s="3" t="inlineStr">
        <is>
          <t>Estonia, Republic of</t>
        </is>
      </c>
      <c r="F897" s="3" t="inlineStr">
        <is>
          <t>Gross domestic product (GDP), Current prices, Per capita, Domestic currency</t>
        </is>
      </c>
      <c r="G897" s="3" t="n">
        <v>4417.828395</v>
      </c>
      <c r="H897" s="3" t="n">
        <v>5029.929076</v>
      </c>
      <c r="I897" s="3" t="n">
        <v>5672.860405</v>
      </c>
      <c r="J897" s="3" t="n">
        <v>6381.113575</v>
      </c>
      <c r="K897" s="3" t="n">
        <v>7177.43936</v>
      </c>
      <c r="L897" s="3" t="n">
        <v>8374.416416</v>
      </c>
      <c r="M897" s="3" t="n">
        <v>10076.521558</v>
      </c>
      <c r="N897" s="3" t="n">
        <v>12234.209506</v>
      </c>
      <c r="O897" s="3" t="n">
        <v>12429.170811</v>
      </c>
      <c r="P897" s="3" t="n">
        <v>10590.019595</v>
      </c>
      <c r="Q897" s="3" t="n">
        <v>11071.751253</v>
      </c>
      <c r="R897" s="3" t="n">
        <v>12612.154913</v>
      </c>
      <c r="S897" s="3" t="n">
        <v>13674.016431</v>
      </c>
      <c r="T897" s="3" t="n">
        <v>14539.666835</v>
      </c>
      <c r="U897" s="3" t="n">
        <v>15483.076867</v>
      </c>
      <c r="V897" s="3" t="n">
        <v>15972.919408</v>
      </c>
      <c r="W897" s="3" t="n">
        <v>16863.609263</v>
      </c>
      <c r="X897" s="3" t="n">
        <v>18457.89079</v>
      </c>
      <c r="Y897" s="3" t="n">
        <v>19999.205735</v>
      </c>
      <c r="Z897" s="3" t="n">
        <v>21457.610155</v>
      </c>
      <c r="AA897" s="3" t="n">
        <v>20954.358032</v>
      </c>
      <c r="AB897" s="3" t="n">
        <v>23632.544713</v>
      </c>
      <c r="AC897" s="3" t="n">
        <v>26912.702767</v>
      </c>
      <c r="AD897" s="3" t="n">
        <v>27989.36426</v>
      </c>
      <c r="AE897" s="3" t="n">
        <v>29036.332806</v>
      </c>
      <c r="AF897" s="3" t="n">
        <v>30394.073594</v>
      </c>
      <c r="AG897" s="3" t="n">
        <v>31985.550258</v>
      </c>
      <c r="AH897" s="3" t="n">
        <v>33696.397841</v>
      </c>
      <c r="AI897" s="3" t="n">
        <v>35624.254065</v>
      </c>
      <c r="AJ897" s="3" t="n">
        <v>37394.662789</v>
      </c>
      <c r="AK897" s="3" t="n">
        <v>39102.447808</v>
      </c>
      <c r="AL897" s="3" t="n">
        <v>40804.268891</v>
      </c>
      <c r="AM897" s="3" t="n"/>
      <c r="AN897" s="3" t="n"/>
      <c r="AO897" s="3" t="n"/>
      <c r="AP897" s="3" t="n"/>
      <c r="AQ897" s="3" t="n"/>
      <c r="AR897" s="3" t="n"/>
      <c r="AS897" s="3" t="n"/>
      <c r="AT897" s="3" t="n"/>
      <c r="AU897" s="3" t="n"/>
    </row>
    <row r="898">
      <c r="A898" s="3" t="n">
        <v>2031</v>
      </c>
      <c r="B898" s="3" t="inlineStr">
        <is>
          <t>EST</t>
        </is>
      </c>
      <c r="C898" s="3" t="inlineStr">
        <is>
          <t>IMF.RES:WEO</t>
        </is>
      </c>
      <c r="D898" s="3" t="inlineStr">
        <is>
          <t>EST.NGDPRPC.A</t>
        </is>
      </c>
      <c r="E898" s="3" t="inlineStr">
        <is>
          <t>Estonia, Republic of</t>
        </is>
      </c>
      <c r="F898" s="3" t="inlineStr">
        <is>
          <t>Gross domestic product (GDP), Constant prices, Per capita, Domestic currency</t>
        </is>
      </c>
      <c r="G898" s="3" t="n">
        <v>10512.160116</v>
      </c>
      <c r="H898" s="3" t="n">
        <v>11201.478264</v>
      </c>
      <c r="I898" s="3" t="n">
        <v>12054.184942</v>
      </c>
      <c r="J898" s="3" t="n">
        <v>13051.520369</v>
      </c>
      <c r="K898" s="3" t="n">
        <v>14022.692745</v>
      </c>
      <c r="L898" s="3" t="n">
        <v>15446.225388</v>
      </c>
      <c r="M898" s="3" t="n">
        <v>17054.43975</v>
      </c>
      <c r="N898" s="3" t="n">
        <v>18429.491005</v>
      </c>
      <c r="O898" s="3" t="n">
        <v>17531.878931</v>
      </c>
      <c r="P898" s="3" t="n">
        <v>14995.799972</v>
      </c>
      <c r="Q898" s="3" t="n">
        <v>15398.238795</v>
      </c>
      <c r="R898" s="3" t="n">
        <v>16619.971471</v>
      </c>
      <c r="S898" s="3" t="n">
        <v>17292.037359</v>
      </c>
      <c r="T898" s="3" t="n">
        <v>17658.50668</v>
      </c>
      <c r="U898" s="3" t="n">
        <v>18282.047023</v>
      </c>
      <c r="V898" s="3" t="n">
        <v>18617.211251</v>
      </c>
      <c r="W898" s="3" t="n">
        <v>19187.468816</v>
      </c>
      <c r="X898" s="3" t="n">
        <v>20244.082211</v>
      </c>
      <c r="Y898" s="3" t="n">
        <v>20920.122256</v>
      </c>
      <c r="Z898" s="3" t="n">
        <v>21619.265384</v>
      </c>
      <c r="AA898" s="3" t="n">
        <v>20954.365554</v>
      </c>
      <c r="AB898" s="3" t="n">
        <v>22660.090824</v>
      </c>
      <c r="AC898" s="3" t="n">
        <v>22085.080514</v>
      </c>
      <c r="AD898" s="3" t="n">
        <v>21142.864024</v>
      </c>
      <c r="AE898" s="3" t="n">
        <v>21092.184814</v>
      </c>
      <c r="AF898" s="3" t="n">
        <v>21261.406221</v>
      </c>
      <c r="AG898" s="3" t="n">
        <v>21571.800779</v>
      </c>
      <c r="AH898" s="3" t="n">
        <v>22017.722889</v>
      </c>
      <c r="AI898" s="3" t="n">
        <v>22564.399819</v>
      </c>
      <c r="AJ898" s="3" t="n">
        <v>23069.060387</v>
      </c>
      <c r="AK898" s="3" t="n">
        <v>23498.751635</v>
      </c>
      <c r="AL898" s="3" t="n">
        <v>23890.448837</v>
      </c>
      <c r="AM898" s="3" t="n"/>
      <c r="AN898" s="3" t="n"/>
      <c r="AO898" s="3" t="n"/>
      <c r="AP898" s="3" t="n"/>
      <c r="AQ898" s="3" t="n"/>
      <c r="AR898" s="3" t="n"/>
      <c r="AS898" s="3" t="n"/>
      <c r="AT898" s="3" t="n"/>
      <c r="AU898" s="3" t="n"/>
    </row>
    <row r="899">
      <c r="A899" s="3" t="n">
        <v>2031</v>
      </c>
      <c r="B899" s="3" t="inlineStr">
        <is>
          <t>EST</t>
        </is>
      </c>
      <c r="C899" s="3" t="inlineStr">
        <is>
          <t>IMF.RES:WEO</t>
        </is>
      </c>
      <c r="D899" s="3" t="inlineStr">
        <is>
          <t>EST.PCPI.A</t>
        </is>
      </c>
      <c r="E899" s="3" t="inlineStr">
        <is>
          <t>Estonia, Republic of</t>
        </is>
      </c>
      <c r="F899" s="3" t="inlineStr">
        <is>
          <t>All Items, Consumer price index (CPI), Period average</t>
        </is>
      </c>
      <c r="G899" s="3" t="n">
        <v>35.820833</v>
      </c>
      <c r="H899" s="3" t="n">
        <v>37.833333</v>
      </c>
      <c r="I899" s="3" t="n">
        <v>39.1925</v>
      </c>
      <c r="J899" s="3" t="n">
        <v>39.734167</v>
      </c>
      <c r="K899" s="3" t="n">
        <v>40.944167</v>
      </c>
      <c r="L899" s="3" t="n">
        <v>42.628333</v>
      </c>
      <c r="M899" s="3" t="n">
        <v>44.5175</v>
      </c>
      <c r="N899" s="3" t="n">
        <v>47.518333</v>
      </c>
      <c r="O899" s="3" t="n">
        <v>52.56</v>
      </c>
      <c r="P899" s="3" t="n">
        <v>52.665</v>
      </c>
      <c r="Q899" s="3" t="n">
        <v>54.1075</v>
      </c>
      <c r="R899" s="3" t="n">
        <v>56.855833</v>
      </c>
      <c r="S899" s="3" t="n">
        <v>59.253333</v>
      </c>
      <c r="T899" s="3" t="n">
        <v>61.178333</v>
      </c>
      <c r="U899" s="3" t="n">
        <v>61.469167</v>
      </c>
      <c r="V899" s="3" t="n">
        <v>61.5125</v>
      </c>
      <c r="W899" s="3" t="n">
        <v>62.0025</v>
      </c>
      <c r="X899" s="3" t="n">
        <v>64.266667</v>
      </c>
      <c r="Y899" s="3" t="n">
        <v>66.45999999999999</v>
      </c>
      <c r="Z899" s="3" t="n">
        <v>67.9675</v>
      </c>
      <c r="AA899" s="3" t="n">
        <v>67.53749999999999</v>
      </c>
      <c r="AB899" s="3" t="n">
        <v>70.566667</v>
      </c>
      <c r="AC899" s="3" t="n">
        <v>84.29000000000001</v>
      </c>
      <c r="AD899" s="3" t="n">
        <v>91.97416699999999</v>
      </c>
      <c r="AE899" s="3" t="n">
        <v>95.405</v>
      </c>
      <c r="AF899" s="3" t="n">
        <v>100</v>
      </c>
      <c r="AG899" s="3" t="n">
        <v>103.799627</v>
      </c>
      <c r="AH899" s="3" t="n">
        <v>106.9504</v>
      </c>
      <c r="AI899" s="3" t="n">
        <v>109.944901</v>
      </c>
      <c r="AJ899" s="3" t="n">
        <v>112.527227</v>
      </c>
      <c r="AK899" s="3" t="n">
        <v>115.170205</v>
      </c>
      <c r="AL899" s="3" t="n">
        <v>117.875261</v>
      </c>
      <c r="AM899" s="3" t="n"/>
      <c r="AN899" s="3" t="n"/>
      <c r="AO899" s="3" t="n"/>
      <c r="AP899" s="3" t="n"/>
      <c r="AQ899" s="3" t="n"/>
      <c r="AR899" s="3" t="n"/>
      <c r="AS899" s="3" t="n"/>
      <c r="AT899" s="3" t="n"/>
      <c r="AU899" s="3" t="n"/>
    </row>
    <row r="900">
      <c r="A900" s="3" t="n">
        <v>2031</v>
      </c>
      <c r="B900" s="3" t="inlineStr">
        <is>
          <t>EST</t>
        </is>
      </c>
      <c r="C900" s="3" t="inlineStr">
        <is>
          <t>IMF.RES:WEO</t>
        </is>
      </c>
      <c r="D900" s="3" t="inlineStr">
        <is>
          <t>EST.PCPIPCH.A</t>
        </is>
      </c>
      <c r="E900" s="3" t="inlineStr">
        <is>
          <t>Estonia, Republic of</t>
        </is>
      </c>
      <c r="F900" s="3" t="inlineStr">
        <is>
          <t>All Items, Consumer price index (CPI), Period average, percent change</t>
        </is>
      </c>
      <c r="G900" s="3" t="n">
        <v>3.936456</v>
      </c>
      <c r="H900" s="3" t="n">
        <v>5.618239</v>
      </c>
      <c r="I900" s="3" t="n">
        <v>3.592511</v>
      </c>
      <c r="J900" s="3" t="n">
        <v>1.382067</v>
      </c>
      <c r="K900" s="3" t="n">
        <v>3.045238</v>
      </c>
      <c r="L900" s="3" t="n">
        <v>4.113325</v>
      </c>
      <c r="M900" s="3" t="n">
        <v>4.431716</v>
      </c>
      <c r="N900" s="3" t="n">
        <v>6.740795</v>
      </c>
      <c r="O900" s="3" t="n">
        <v>10.60994</v>
      </c>
      <c r="P900" s="3" t="n">
        <v>0.199772</v>
      </c>
      <c r="Q900" s="3" t="n">
        <v>2.739011</v>
      </c>
      <c r="R900" s="3" t="n">
        <v>5.079394</v>
      </c>
      <c r="S900" s="3" t="n">
        <v>4.216806</v>
      </c>
      <c r="T900" s="3" t="n">
        <v>3.248762</v>
      </c>
      <c r="U900" s="3" t="n">
        <v>0.475386</v>
      </c>
      <c r="V900" s="3" t="n">
        <v>0.070496</v>
      </c>
      <c r="W900" s="3" t="n">
        <v>0.796586</v>
      </c>
      <c r="X900" s="3" t="n">
        <v>3.651734</v>
      </c>
      <c r="Y900" s="3" t="n">
        <v>3.412863</v>
      </c>
      <c r="Z900" s="3" t="n">
        <v>2.268282</v>
      </c>
      <c r="AA900" s="3" t="n">
        <v>-0.632655</v>
      </c>
      <c r="AB900" s="3" t="n">
        <v>4.485163</v>
      </c>
      <c r="AC900" s="3" t="n">
        <v>19.447331</v>
      </c>
      <c r="AD900" s="3" t="n">
        <v>9.116344</v>
      </c>
      <c r="AE900" s="3" t="n">
        <v>3.730214</v>
      </c>
      <c r="AF900" s="3" t="n">
        <v>4.816309</v>
      </c>
      <c r="AG900" s="3" t="n">
        <v>3.799627</v>
      </c>
      <c r="AH900" s="3" t="n">
        <v>3.035438</v>
      </c>
      <c r="AI900" s="3" t="n">
        <v>2.799897</v>
      </c>
      <c r="AJ900" s="3" t="n">
        <v>2.348746</v>
      </c>
      <c r="AK900" s="3" t="n">
        <v>2.348746</v>
      </c>
      <c r="AL900" s="3" t="n">
        <v>2.348746</v>
      </c>
      <c r="AM900" s="3" t="n"/>
      <c r="AN900" s="3" t="n"/>
      <c r="AO900" s="3" t="n"/>
      <c r="AP900" s="3" t="n"/>
      <c r="AQ900" s="3" t="n"/>
      <c r="AR900" s="3" t="n"/>
      <c r="AS900" s="3" t="n"/>
      <c r="AT900" s="3" t="n"/>
      <c r="AU900" s="3" t="n"/>
    </row>
    <row r="901">
      <c r="A901" s="3" t="n">
        <v>2031</v>
      </c>
      <c r="B901" s="3" t="inlineStr">
        <is>
          <t>EST</t>
        </is>
      </c>
      <c r="C901" s="3" t="inlineStr">
        <is>
          <t>IMF.RES:WEO</t>
        </is>
      </c>
      <c r="D901" s="3" t="inlineStr">
        <is>
          <t>EST.PPPPC.A</t>
        </is>
      </c>
      <c r="E901" s="3" t="inlineStr">
        <is>
          <t>Estonia, Republic of</t>
        </is>
      </c>
      <c r="F901" s="3" t="inlineStr">
        <is>
          <t>Gross domestic product (GDP), Per capita, purchasing power parity (PPP) international dollar, ICP benchmarks 2017-2021</t>
        </is>
      </c>
      <c r="G901" s="3" t="n">
        <v>13030.59836</v>
      </c>
      <c r="H901" s="3" t="n">
        <v>14197.697901</v>
      </c>
      <c r="I901" s="3" t="n">
        <v>15515.923437</v>
      </c>
      <c r="J901" s="3" t="n">
        <v>17131.336935</v>
      </c>
      <c r="K901" s="3" t="n">
        <v>18901.009119</v>
      </c>
      <c r="L901" s="3" t="n">
        <v>21472.64137</v>
      </c>
      <c r="M901" s="3" t="n">
        <v>24439.444258</v>
      </c>
      <c r="N901" s="3" t="n">
        <v>27125.443809</v>
      </c>
      <c r="O901" s="3" t="n">
        <v>26301.39042</v>
      </c>
      <c r="P901" s="3" t="n">
        <v>22635.502194</v>
      </c>
      <c r="Q901" s="3" t="n">
        <v>23525.455044</v>
      </c>
      <c r="R901" s="3" t="n">
        <v>25915.920719</v>
      </c>
      <c r="S901" s="3" t="n">
        <v>27465.938516</v>
      </c>
      <c r="T901" s="3" t="n">
        <v>28525.401567</v>
      </c>
      <c r="U901" s="3" t="n">
        <v>30047.038117</v>
      </c>
      <c r="V901" s="3" t="n">
        <v>30881.854281</v>
      </c>
      <c r="W901" s="3" t="n">
        <v>32130.221147</v>
      </c>
      <c r="X901" s="3" t="n">
        <v>34506.668365</v>
      </c>
      <c r="Y901" s="3" t="n">
        <v>37121.031978</v>
      </c>
      <c r="Z901" s="3" t="n">
        <v>40586.343628</v>
      </c>
      <c r="AA901" s="3" t="n">
        <v>40672.084376</v>
      </c>
      <c r="AB901" s="3" t="n">
        <v>45059.34511</v>
      </c>
      <c r="AC901" s="3" t="n">
        <v>47039.427056</v>
      </c>
      <c r="AD901" s="3" t="n">
        <v>46698.803066</v>
      </c>
      <c r="AE901" s="3" t="n">
        <v>47743.406392</v>
      </c>
      <c r="AF901" s="3" t="n">
        <v>49491.684045</v>
      </c>
      <c r="AG901" s="3" t="n">
        <v>51652.773736</v>
      </c>
      <c r="AH901" s="3" t="n">
        <v>53878.206429</v>
      </c>
      <c r="AI901" s="3" t="n">
        <v>56122.254996</v>
      </c>
      <c r="AJ901" s="3" t="n">
        <v>58397.681862</v>
      </c>
      <c r="AK901" s="3" t="n">
        <v>60578.475082</v>
      </c>
      <c r="AL901" s="3" t="n">
        <v>62700.102447</v>
      </c>
      <c r="AM901" s="3" t="n"/>
      <c r="AN901" s="3" t="n"/>
      <c r="AO901" s="3" t="n"/>
      <c r="AP901" s="3" t="n"/>
      <c r="AQ901" s="3" t="n"/>
      <c r="AR901" s="3" t="n"/>
      <c r="AS901" s="3" t="n"/>
      <c r="AT901" s="3" t="n"/>
      <c r="AU901" s="3" t="n"/>
    </row>
    <row r="902">
      <c r="A902" s="3" t="n">
        <v>2010</v>
      </c>
      <c r="B902" s="3" t="inlineStr">
        <is>
          <t>EST</t>
        </is>
      </c>
      <c r="C902" s="3" t="inlineStr">
        <is>
          <t>IMF.STA:ER</t>
        </is>
      </c>
      <c r="D902" s="3" t="inlineStr">
        <is>
          <t>EST.XDC_USD.PA_RT.A</t>
        </is>
      </c>
      <c r="E902" s="3" t="inlineStr">
        <is>
          <t>Estonia, Republic of</t>
        </is>
      </c>
      <c r="F902" s="3" t="inlineStr">
        <is>
          <t>Domestic currency per US Dollar</t>
        </is>
      </c>
      <c r="G902" s="3" t="n">
        <v>16.9686366666667</v>
      </c>
      <c r="H902" s="3" t="n">
        <v>17.4780715333333</v>
      </c>
      <c r="I902" s="3" t="n">
        <v>16.6117916666667</v>
      </c>
      <c r="J902" s="3" t="n">
        <v>13.8564114045105</v>
      </c>
      <c r="K902" s="3" t="n">
        <v>12.5955635879843</v>
      </c>
      <c r="L902" s="3" t="n">
        <v>12.5837865859395</v>
      </c>
      <c r="M902" s="3" t="n">
        <v>12.4654837577722</v>
      </c>
      <c r="N902" s="3" t="n">
        <v>11.4338529961624</v>
      </c>
      <c r="O902" s="3" t="n">
        <v>10.6944430938413</v>
      </c>
      <c r="P902" s="3" t="n">
        <v>11.2574308850767</v>
      </c>
      <c r="Q902" s="3" t="n">
        <v>11.8068482348947</v>
      </c>
      <c r="R902" s="3" t="n"/>
      <c r="S902" s="3" t="n"/>
      <c r="T902" s="3" t="n"/>
      <c r="U902" s="3" t="n"/>
      <c r="V902" s="3" t="n"/>
      <c r="W902" s="3" t="n"/>
      <c r="X902" s="3" t="n"/>
      <c r="Y902" s="3" t="n"/>
      <c r="Z902" s="3" t="n"/>
      <c r="AA902" s="3" t="n"/>
      <c r="AB902" s="3" t="n"/>
      <c r="AC902" s="3" t="n"/>
      <c r="AD902" s="3" t="n"/>
      <c r="AE902" s="3" t="n"/>
      <c r="AF902" s="3" t="n"/>
      <c r="AG902" s="3" t="n"/>
      <c r="AH902" s="3" t="n"/>
      <c r="AI902" s="3" t="n"/>
      <c r="AJ902" s="3" t="n"/>
      <c r="AK902" s="3" t="n"/>
      <c r="AL902" s="3" t="n"/>
      <c r="AM902" s="3" t="n"/>
      <c r="AN902" s="3" t="n"/>
      <c r="AO902" s="3" t="n"/>
      <c r="AP902" s="3" t="n"/>
      <c r="AQ902" s="3" t="n"/>
      <c r="AR902" s="3" t="n"/>
      <c r="AS902" s="3" t="n"/>
      <c r="AT902" s="3" t="n"/>
      <c r="AU902" s="3" t="n"/>
    </row>
    <row r="903">
      <c r="A903" s="3" t="n">
        <v>2031</v>
      </c>
      <c r="B903" s="3" t="inlineStr">
        <is>
          <t>ETH</t>
        </is>
      </c>
      <c r="C903" s="3" t="inlineStr">
        <is>
          <t>IMF.RES:WEO</t>
        </is>
      </c>
      <c r="D903" s="3" t="inlineStr">
        <is>
          <t>ETH.BCA.A</t>
        </is>
      </c>
      <c r="E903" s="3" t="inlineStr">
        <is>
          <t>Ethiopia, The Federal Democratic Republic of</t>
        </is>
      </c>
      <c r="F903" s="3" t="inlineStr">
        <is>
          <t>Current account balance (credit less debit), US dollar</t>
        </is>
      </c>
      <c r="G903" s="3" t="n">
        <v>-0.201943</v>
      </c>
      <c r="H903" s="3" t="n">
        <v>-0.109522</v>
      </c>
      <c r="I903" s="3" t="n">
        <v>-0.313978</v>
      </c>
      <c r="J903" s="3" t="n">
        <v>-0.104269</v>
      </c>
      <c r="K903" s="3" t="n">
        <v>-0.382352</v>
      </c>
      <c r="L903" s="3" t="n">
        <v>-0.9133790000000001</v>
      </c>
      <c r="M903" s="3" t="n">
        <v>-1.792729</v>
      </c>
      <c r="N903" s="3" t="n">
        <v>-1.18984</v>
      </c>
      <c r="O903" s="3" t="n">
        <v>-1.481302</v>
      </c>
      <c r="P903" s="3" t="n">
        <v>-2.340724</v>
      </c>
      <c r="Q903" s="3" t="n">
        <v>-1.202089</v>
      </c>
      <c r="R903" s="3" t="n">
        <v>-0.205433</v>
      </c>
      <c r="S903" s="3" t="n">
        <v>-2.769375</v>
      </c>
      <c r="T903" s="3" t="n">
        <v>-2.764181</v>
      </c>
      <c r="U903" s="3" t="n">
        <v>-4.287717</v>
      </c>
      <c r="V903" s="3" t="n">
        <v>-7.239274</v>
      </c>
      <c r="W903" s="3" t="n">
        <v>-7.866716</v>
      </c>
      <c r="X903" s="3" t="n">
        <v>-6.498564</v>
      </c>
      <c r="Y903" s="3" t="n">
        <v>-5.233323</v>
      </c>
      <c r="Z903" s="3" t="n">
        <v>-4.934249</v>
      </c>
      <c r="AA903" s="3" t="n">
        <v>-4.443665</v>
      </c>
      <c r="AB903" s="3" t="n">
        <v>-3.168813</v>
      </c>
      <c r="AC903" s="3" t="n">
        <v>-5.133679</v>
      </c>
      <c r="AD903" s="3" t="n">
        <v>-4.670728</v>
      </c>
      <c r="AE903" s="3" t="n">
        <v>-6.014158</v>
      </c>
      <c r="AF903" s="3" t="n">
        <v>-1.029542</v>
      </c>
      <c r="AG903" s="3" t="n">
        <v>-2.889576</v>
      </c>
      <c r="AH903" s="3" t="n">
        <v>-2.626884</v>
      </c>
      <c r="AI903" s="3" t="n">
        <v>-3.428773</v>
      </c>
      <c r="AJ903" s="3" t="n">
        <v>-4.042103</v>
      </c>
      <c r="AK903" s="3" t="n">
        <v>-4.508092</v>
      </c>
      <c r="AL903" s="3" t="n">
        <v>-6.301185</v>
      </c>
      <c r="AM903" s="3" t="n"/>
      <c r="AN903" s="3" t="n"/>
      <c r="AO903" s="3" t="n"/>
      <c r="AP903" s="3" t="n"/>
      <c r="AQ903" s="3" t="n"/>
      <c r="AR903" s="3" t="n"/>
      <c r="AS903" s="3" t="n"/>
      <c r="AT903" s="3" t="n"/>
      <c r="AU903" s="3" t="n"/>
    </row>
    <row r="904">
      <c r="A904" s="3" t="n">
        <v>2031</v>
      </c>
      <c r="B904" s="3" t="inlineStr">
        <is>
          <t>ETH</t>
        </is>
      </c>
      <c r="C904" s="3" t="inlineStr">
        <is>
          <t>IMF.RES:WEO</t>
        </is>
      </c>
      <c r="D904" s="3" t="inlineStr">
        <is>
          <t>ETH.BCA_NGDPD.A</t>
        </is>
      </c>
      <c r="E904" s="3" t="inlineStr">
        <is>
          <t>Ethiopia, The Federal Democratic Republic of</t>
        </is>
      </c>
      <c r="F904" s="3" t="inlineStr">
        <is>
          <t>Current account balance (credit less debit), Percent of GDP</t>
        </is>
      </c>
      <c r="G904" s="3" t="n">
        <v>-2.472541</v>
      </c>
      <c r="H904" s="3" t="n">
        <v>-1.35159</v>
      </c>
      <c r="I904" s="3" t="n">
        <v>-4.011022</v>
      </c>
      <c r="J904" s="3" t="n">
        <v>-1.211876</v>
      </c>
      <c r="K904" s="3" t="n">
        <v>-3.7775</v>
      </c>
      <c r="L904" s="3" t="n">
        <v>-7.37384</v>
      </c>
      <c r="M904" s="3" t="n">
        <v>-11.709524</v>
      </c>
      <c r="N904" s="3" t="n">
        <v>-6.155802</v>
      </c>
      <c r="O904" s="3" t="n">
        <v>-5.642958</v>
      </c>
      <c r="P904" s="3" t="n">
        <v>-8.163933</v>
      </c>
      <c r="Q904" s="3" t="n">
        <v>-4.47089</v>
      </c>
      <c r="R904" s="3" t="n">
        <v>-0.673997</v>
      </c>
      <c r="S904" s="3" t="n">
        <v>-6.559175</v>
      </c>
      <c r="T904" s="3" t="n">
        <v>-5.938843</v>
      </c>
      <c r="U904" s="3" t="n">
        <v>-7.915957</v>
      </c>
      <c r="V904" s="3" t="n">
        <v>-11.476234</v>
      </c>
      <c r="W904" s="3" t="n">
        <v>-10.907822</v>
      </c>
      <c r="X904" s="3" t="n">
        <v>-8.45721</v>
      </c>
      <c r="Y904" s="3" t="n">
        <v>-6.524795</v>
      </c>
      <c r="Z904" s="3" t="n">
        <v>-5.328109</v>
      </c>
      <c r="AA904" s="3" t="n">
        <v>-4.599557</v>
      </c>
      <c r="AB904" s="3" t="n">
        <v>-3.1924</v>
      </c>
      <c r="AC904" s="3" t="n">
        <v>-4.315535</v>
      </c>
      <c r="AD904" s="3" t="n">
        <v>-2.923565</v>
      </c>
      <c r="AE904" s="3" t="n">
        <v>-4.233161</v>
      </c>
      <c r="AF904" s="3" t="n">
        <v>-0.943593</v>
      </c>
      <c r="AG904" s="3" t="n">
        <v>-2.377731</v>
      </c>
      <c r="AH904" s="3" t="n">
        <v>-1.864198</v>
      </c>
      <c r="AI904" s="3" t="n">
        <v>-2.130899</v>
      </c>
      <c r="AJ904" s="3" t="n">
        <v>-2.185123</v>
      </c>
      <c r="AK904" s="3" t="n">
        <v>-2.130611</v>
      </c>
      <c r="AL904" s="3" t="n">
        <v>-2.597863</v>
      </c>
      <c r="AM904" s="3" t="n"/>
      <c r="AN904" s="3" t="n"/>
      <c r="AO904" s="3" t="n"/>
      <c r="AP904" s="3" t="n"/>
      <c r="AQ904" s="3" t="n"/>
      <c r="AR904" s="3" t="n"/>
      <c r="AS904" s="3" t="n"/>
      <c r="AT904" s="3" t="n"/>
      <c r="AU904" s="3" t="n"/>
    </row>
    <row r="905">
      <c r="A905" s="3" t="n">
        <v>2031</v>
      </c>
      <c r="B905" s="3" t="inlineStr">
        <is>
          <t>ETH</t>
        </is>
      </c>
      <c r="C905" s="3" t="inlineStr">
        <is>
          <t>IMF.RES:WEO</t>
        </is>
      </c>
      <c r="D905" s="3" t="inlineStr">
        <is>
          <t>ETH.GGR_NGDP.A</t>
        </is>
      </c>
      <c r="E905" s="3" t="inlineStr">
        <is>
          <t>Ethiopia, The Federal Democratic Republic of</t>
        </is>
      </c>
      <c r="F905" s="3" t="inlineStr">
        <is>
          <t>Revenue, General government, Percent of GDP</t>
        </is>
      </c>
      <c r="G905" s="3" t="n">
        <v>16.717931</v>
      </c>
      <c r="H905" s="3" t="n">
        <v>18.677667</v>
      </c>
      <c r="I905" s="3" t="n">
        <v>19.105315</v>
      </c>
      <c r="J905" s="3" t="n">
        <v>21.449478</v>
      </c>
      <c r="K905" s="3" t="n">
        <v>20.497795</v>
      </c>
      <c r="L905" s="3" t="n">
        <v>18.76774</v>
      </c>
      <c r="M905" s="3" t="n">
        <v>18.279095</v>
      </c>
      <c r="N905" s="3" t="n">
        <v>16.953989</v>
      </c>
      <c r="O905" s="3" t="n">
        <v>15.873681</v>
      </c>
      <c r="P905" s="3" t="n">
        <v>16.180658</v>
      </c>
      <c r="Q905" s="3" t="n">
        <v>17.162484</v>
      </c>
      <c r="R905" s="3" t="n">
        <v>16.621002</v>
      </c>
      <c r="S905" s="3" t="n">
        <v>15.476302</v>
      </c>
      <c r="T905" s="3" t="n">
        <v>15.825258</v>
      </c>
      <c r="U905" s="3" t="n">
        <v>14.901416</v>
      </c>
      <c r="V905" s="3" t="n">
        <v>15.378668</v>
      </c>
      <c r="W905" s="3" t="n">
        <v>15.612514</v>
      </c>
      <c r="X905" s="3" t="n">
        <v>14.74335</v>
      </c>
      <c r="Y905" s="3" t="n">
        <v>13.07029</v>
      </c>
      <c r="Z905" s="3" t="n">
        <v>12.819356</v>
      </c>
      <c r="AA905" s="3" t="n">
        <v>11.704948</v>
      </c>
      <c r="AB905" s="3" t="n">
        <v>11.031685</v>
      </c>
      <c r="AC905" s="3" t="n">
        <v>8.53881</v>
      </c>
      <c r="AD905" s="3" t="n">
        <v>8.221246000000001</v>
      </c>
      <c r="AE905" s="3" t="n">
        <v>7.549078</v>
      </c>
      <c r="AF905" s="3" t="n">
        <v>10.858702</v>
      </c>
      <c r="AG905" s="3" t="n">
        <v>11.310213</v>
      </c>
      <c r="AH905" s="3" t="n">
        <v>11.457471</v>
      </c>
      <c r="AI905" s="3" t="n">
        <v>11.774686</v>
      </c>
      <c r="AJ905" s="3" t="n">
        <v>12.090117</v>
      </c>
      <c r="AK905" s="3" t="n">
        <v>12.268069</v>
      </c>
      <c r="AL905" s="3" t="n">
        <v>12.218417</v>
      </c>
      <c r="AM905" s="3" t="n"/>
      <c r="AN905" s="3" t="n"/>
      <c r="AO905" s="3" t="n"/>
      <c r="AP905" s="3" t="n"/>
      <c r="AQ905" s="3" t="n"/>
      <c r="AR905" s="3" t="n"/>
      <c r="AS905" s="3" t="n"/>
      <c r="AT905" s="3" t="n"/>
      <c r="AU905" s="3" t="n"/>
    </row>
    <row r="906">
      <c r="A906" s="3" t="n">
        <v>2031</v>
      </c>
      <c r="B906" s="3" t="inlineStr">
        <is>
          <t>ETH</t>
        </is>
      </c>
      <c r="C906" s="3" t="inlineStr">
        <is>
          <t>IMF.RES:WEO</t>
        </is>
      </c>
      <c r="D906" s="3" t="inlineStr">
        <is>
          <t>ETH.GGX_NGDP.A</t>
        </is>
      </c>
      <c r="E906" s="3" t="inlineStr">
        <is>
          <t>Ethiopia, The Federal Democratic Republic of</t>
        </is>
      </c>
      <c r="F906" s="3" t="inlineStr">
        <is>
          <t>Expenditure, General government, Percent of GDP</t>
        </is>
      </c>
      <c r="G906" s="3" t="n">
        <v>25.598295</v>
      </c>
      <c r="H906" s="3" t="n">
        <v>22.438067</v>
      </c>
      <c r="I906" s="3" t="n">
        <v>24.869546</v>
      </c>
      <c r="J906" s="3" t="n">
        <v>27.041481</v>
      </c>
      <c r="K906" s="3" t="n">
        <v>23.149074</v>
      </c>
      <c r="L906" s="3" t="n">
        <v>22.890029</v>
      </c>
      <c r="M906" s="3" t="n">
        <v>22.067016</v>
      </c>
      <c r="N906" s="3" t="n">
        <v>20.521424</v>
      </c>
      <c r="O906" s="3" t="n">
        <v>18.756031</v>
      </c>
      <c r="P906" s="3" t="n">
        <v>17.112775</v>
      </c>
      <c r="Q906" s="3" t="n">
        <v>18.483236</v>
      </c>
      <c r="R906" s="3" t="n">
        <v>18.22813</v>
      </c>
      <c r="S906" s="3" t="n">
        <v>16.648241</v>
      </c>
      <c r="T906" s="3" t="n">
        <v>17.755789</v>
      </c>
      <c r="U906" s="3" t="n">
        <v>17.483707</v>
      </c>
      <c r="V906" s="3" t="n">
        <v>17.325735</v>
      </c>
      <c r="W906" s="3" t="n">
        <v>17.912969</v>
      </c>
      <c r="X906" s="3" t="n">
        <v>17.98672</v>
      </c>
      <c r="Y906" s="3" t="n">
        <v>16.099359</v>
      </c>
      <c r="Z906" s="3" t="n">
        <v>15.352769</v>
      </c>
      <c r="AA906" s="3" t="n">
        <v>14.469255</v>
      </c>
      <c r="AB906" s="3" t="n">
        <v>13.79874</v>
      </c>
      <c r="AC906" s="3" t="n">
        <v>12.697538</v>
      </c>
      <c r="AD906" s="3" t="n">
        <v>10.82046</v>
      </c>
      <c r="AE906" s="3" t="n">
        <v>9.537865</v>
      </c>
      <c r="AF906" s="3" t="n">
        <v>12.046368</v>
      </c>
      <c r="AG906" s="3" t="n">
        <v>13.066793</v>
      </c>
      <c r="AH906" s="3" t="n">
        <v>12.483105</v>
      </c>
      <c r="AI906" s="3" t="n">
        <v>13.461536</v>
      </c>
      <c r="AJ906" s="3" t="n">
        <v>13.582508</v>
      </c>
      <c r="AK906" s="3" t="n">
        <v>13.754262</v>
      </c>
      <c r="AL906" s="3" t="n">
        <v>13.743451</v>
      </c>
      <c r="AM906" s="3" t="n"/>
      <c r="AN906" s="3" t="n"/>
      <c r="AO906" s="3" t="n"/>
      <c r="AP906" s="3" t="n"/>
      <c r="AQ906" s="3" t="n"/>
      <c r="AR906" s="3" t="n"/>
      <c r="AS906" s="3" t="n"/>
      <c r="AT906" s="3" t="n"/>
      <c r="AU906" s="3" t="n"/>
    </row>
    <row r="907">
      <c r="A907" s="3" t="n">
        <v>2031</v>
      </c>
      <c r="B907" s="3" t="inlineStr">
        <is>
          <t>ETH</t>
        </is>
      </c>
      <c r="C907" s="3" t="inlineStr">
        <is>
          <t>IMF.RES:WEO</t>
        </is>
      </c>
      <c r="D907" s="3" t="inlineStr">
        <is>
          <t>ETH.LP.A</t>
        </is>
      </c>
      <c r="E907" s="3" t="inlineStr">
        <is>
          <t>Ethiopia, The Federal Democratic Republic of</t>
        </is>
      </c>
      <c r="F907" s="3" t="inlineStr">
        <is>
          <t>Population, Persons for countries / Index for country groups</t>
        </is>
      </c>
      <c r="G907" s="3" t="n">
        <v>60.029963</v>
      </c>
      <c r="H907" s="3" t="n">
        <v>61.590742</v>
      </c>
      <c r="I907" s="3" t="n">
        <v>63.192101</v>
      </c>
      <c r="J907" s="3" t="n">
        <v>64.83509599999999</v>
      </c>
      <c r="K907" s="3" t="n">
        <v>66.520809</v>
      </c>
      <c r="L907" s="3" t="n">
        <v>68.25035</v>
      </c>
      <c r="M907" s="3" t="n">
        <v>70.02485900000001</v>
      </c>
      <c r="N907" s="3" t="n">
        <v>72.421002</v>
      </c>
      <c r="O907" s="3" t="n">
        <v>74.879446</v>
      </c>
      <c r="P907" s="3" t="n">
        <v>76.826311</v>
      </c>
      <c r="Q907" s="3" t="n">
        <v>78.823795</v>
      </c>
      <c r="R907" s="3" t="n">
        <v>80.7</v>
      </c>
      <c r="S907" s="3" t="n">
        <v>82.7</v>
      </c>
      <c r="T907" s="3" t="n">
        <v>84.8</v>
      </c>
      <c r="U907" s="3" t="n">
        <v>87</v>
      </c>
      <c r="V907" s="3" t="n">
        <v>89.09999999999999</v>
      </c>
      <c r="W907" s="3" t="n">
        <v>91.2</v>
      </c>
      <c r="X907" s="3" t="n">
        <v>93.40000000000001</v>
      </c>
      <c r="Y907" s="3" t="n">
        <v>95.5</v>
      </c>
      <c r="Z907" s="3" t="n">
        <v>97.59999999999999</v>
      </c>
      <c r="AA907" s="3" t="n">
        <v>99.7</v>
      </c>
      <c r="AB907" s="3" t="n">
        <v>101.9</v>
      </c>
      <c r="AC907" s="3" t="n">
        <v>104.082</v>
      </c>
      <c r="AD907" s="3" t="n">
        <v>105.70725</v>
      </c>
      <c r="AE907" s="3" t="n">
        <v>108.4</v>
      </c>
      <c r="AF907" s="3" t="n">
        <v>110.6</v>
      </c>
      <c r="AG907" s="3" t="n">
        <v>112.3696</v>
      </c>
      <c r="AH907" s="3" t="n">
        <v>114.167514</v>
      </c>
      <c r="AI907" s="3" t="n">
        <v>115.994194</v>
      </c>
      <c r="AJ907" s="3" t="n">
        <v>117.850101</v>
      </c>
      <c r="AK907" s="3" t="n">
        <v>119.735703</v>
      </c>
      <c r="AL907" s="3" t="n">
        <v>121.651474</v>
      </c>
      <c r="AM907" s="3" t="n"/>
      <c r="AN907" s="3" t="n"/>
      <c r="AO907" s="3" t="n"/>
      <c r="AP907" s="3" t="n"/>
      <c r="AQ907" s="3" t="n"/>
      <c r="AR907" s="3" t="n"/>
      <c r="AS907" s="3" t="n"/>
      <c r="AT907" s="3" t="n"/>
      <c r="AU907" s="3" t="n"/>
    </row>
    <row r="908">
      <c r="A908" s="3" t="n">
        <v>2031</v>
      </c>
      <c r="B908" s="3" t="inlineStr">
        <is>
          <t>ETH</t>
        </is>
      </c>
      <c r="C908" s="3" t="inlineStr">
        <is>
          <t>IMF.RES:WEO</t>
        </is>
      </c>
      <c r="D908" s="3" t="inlineStr">
        <is>
          <t>ETH.NGDP.A</t>
        </is>
      </c>
      <c r="E908" s="3" t="inlineStr">
        <is>
          <t>Ethiopia, The Federal Democratic Republic of</t>
        </is>
      </c>
      <c r="F908" s="3" t="inlineStr">
        <is>
          <t>Gross domestic product (GDP), Current prices, Domestic currency</t>
        </is>
      </c>
      <c r="G908" s="3" t="n">
        <v>67.128253</v>
      </c>
      <c r="H908" s="3" t="n">
        <v>68.55408199999999</v>
      </c>
      <c r="I908" s="3" t="n">
        <v>67.067297</v>
      </c>
      <c r="J908" s="3" t="n">
        <v>73.99247800000001</v>
      </c>
      <c r="K908" s="3" t="n">
        <v>87.416388</v>
      </c>
      <c r="L908" s="3" t="n">
        <v>107.349078</v>
      </c>
      <c r="M908" s="3" t="n">
        <v>132.669332</v>
      </c>
      <c r="N908" s="3" t="n">
        <v>173.297109</v>
      </c>
      <c r="O908" s="3" t="n">
        <v>250.132699</v>
      </c>
      <c r="P908" s="3" t="n">
        <v>337.608983</v>
      </c>
      <c r="Q908" s="3" t="n">
        <v>385.943204</v>
      </c>
      <c r="R908" s="3" t="n">
        <v>515.078542</v>
      </c>
      <c r="S908" s="3" t="n">
        <v>747.326498</v>
      </c>
      <c r="T908" s="3" t="n">
        <v>866.921082</v>
      </c>
      <c r="U908" s="3" t="n">
        <v>1060.825383</v>
      </c>
      <c r="V908" s="3" t="n">
        <v>1297.96144</v>
      </c>
      <c r="W908" s="3" t="n">
        <v>1568.097451</v>
      </c>
      <c r="X908" s="3" t="n">
        <v>1832.785962</v>
      </c>
      <c r="Y908" s="3" t="n">
        <v>2200.120588</v>
      </c>
      <c r="Z908" s="3" t="n">
        <v>2690.751351</v>
      </c>
      <c r="AA908" s="3" t="n">
        <v>3374.34917</v>
      </c>
      <c r="AB908" s="3" t="n">
        <v>4341.024223</v>
      </c>
      <c r="AC908" s="3" t="n">
        <v>6157.015233</v>
      </c>
      <c r="AD908" s="3" t="n">
        <v>8723.116784</v>
      </c>
      <c r="AE908" s="3" t="n">
        <v>11752.138062</v>
      </c>
      <c r="AF908" s="3" t="n">
        <v>15094.419031</v>
      </c>
      <c r="AG908" s="3" t="n">
        <v>19396.544228</v>
      </c>
      <c r="AH908" s="3" t="n">
        <v>23948.143402</v>
      </c>
      <c r="AI908" s="3" t="n">
        <v>28650.809756</v>
      </c>
      <c r="AJ908" s="3" t="n">
        <v>34077.394536</v>
      </c>
      <c r="AK908" s="3" t="n">
        <v>39952.25769</v>
      </c>
      <c r="AL908" s="3" t="n">
        <v>46808.827036</v>
      </c>
      <c r="AM908" s="3" t="n"/>
      <c r="AN908" s="3" t="n"/>
      <c r="AO908" s="3" t="n"/>
      <c r="AP908" s="3" t="n"/>
      <c r="AQ908" s="3" t="n"/>
      <c r="AR908" s="3" t="n"/>
      <c r="AS908" s="3" t="n"/>
      <c r="AT908" s="3" t="n"/>
      <c r="AU908" s="3" t="n"/>
    </row>
    <row r="909">
      <c r="A909" s="3" t="n">
        <v>2031</v>
      </c>
      <c r="B909" s="3" t="inlineStr">
        <is>
          <t>ETH</t>
        </is>
      </c>
      <c r="C909" s="3" t="inlineStr">
        <is>
          <t>IMF.RES:WEO</t>
        </is>
      </c>
      <c r="D909" s="3" t="inlineStr">
        <is>
          <t>ETH.NGDP_D.A</t>
        </is>
      </c>
      <c r="E909" s="3" t="inlineStr">
        <is>
          <t>Ethiopia, The Federal Democratic Republic of</t>
        </is>
      </c>
      <c r="F909" s="3" t="inlineStr">
        <is>
          <t>Gross domestic product (GDP), Price deflator, Index</t>
        </is>
      </c>
      <c r="G909" s="3" t="n">
        <v>18.367081</v>
      </c>
      <c r="H909" s="3" t="n">
        <v>17.464809</v>
      </c>
      <c r="I909" s="3" t="n">
        <v>16.816965</v>
      </c>
      <c r="J909" s="3" t="n">
        <v>18.951417</v>
      </c>
      <c r="K909" s="3" t="n">
        <v>20.044434</v>
      </c>
      <c r="L909" s="3" t="n">
        <v>21.860539</v>
      </c>
      <c r="M909" s="3" t="n">
        <v>24.230268</v>
      </c>
      <c r="N909" s="3" t="n">
        <v>28.309825</v>
      </c>
      <c r="O909" s="3" t="n">
        <v>36.746126</v>
      </c>
      <c r="P909" s="3" t="n">
        <v>45.088148</v>
      </c>
      <c r="Q909" s="3" t="n">
        <v>46.6033</v>
      </c>
      <c r="R909" s="3" t="n">
        <v>55.831789</v>
      </c>
      <c r="S909" s="3" t="n">
        <v>74.522758</v>
      </c>
      <c r="T909" s="3" t="n">
        <v>78.66117199999999</v>
      </c>
      <c r="U909" s="3" t="n">
        <v>87.26683800000001</v>
      </c>
      <c r="V909" s="3" t="n">
        <v>96.71593900000001</v>
      </c>
      <c r="W909" s="3" t="n">
        <v>108.18961</v>
      </c>
      <c r="X909" s="3" t="n">
        <v>114.737255</v>
      </c>
      <c r="Y909" s="3" t="n">
        <v>127.882937</v>
      </c>
      <c r="Z909" s="3" t="n">
        <v>143.43845</v>
      </c>
      <c r="AA909" s="3" t="n">
        <v>169.60628</v>
      </c>
      <c r="AB909" s="3" t="n">
        <v>205.330609</v>
      </c>
      <c r="AC909" s="3" t="n">
        <v>273.807845</v>
      </c>
      <c r="AD909" s="3" t="n">
        <v>361.966856</v>
      </c>
      <c r="AE909" s="3" t="n">
        <v>451.319142</v>
      </c>
      <c r="AF909" s="3" t="n">
        <v>531.072445</v>
      </c>
      <c r="AG909" s="3" t="n">
        <v>624.920065</v>
      </c>
      <c r="AH909" s="3" t="n">
        <v>714.988609</v>
      </c>
      <c r="AI909" s="3" t="n">
        <v>790.320668</v>
      </c>
      <c r="AJ909" s="3" t="n">
        <v>866.6632059999999</v>
      </c>
      <c r="AK909" s="3" t="n">
        <v>940.825063</v>
      </c>
      <c r="AL909" s="3" t="n">
        <v>1023.720939</v>
      </c>
      <c r="AM909" s="3" t="n"/>
      <c r="AN909" s="3" t="n"/>
      <c r="AO909" s="3" t="n"/>
      <c r="AP909" s="3" t="n"/>
      <c r="AQ909" s="3" t="n"/>
      <c r="AR909" s="3" t="n"/>
      <c r="AS909" s="3" t="n"/>
      <c r="AT909" s="3" t="n"/>
      <c r="AU909" s="3" t="n"/>
    </row>
    <row r="910">
      <c r="A910" s="3" t="n">
        <v>2031</v>
      </c>
      <c r="B910" s="3" t="inlineStr">
        <is>
          <t>ETH</t>
        </is>
      </c>
      <c r="C910" s="3" t="inlineStr">
        <is>
          <t>IMF.RES:WEO</t>
        </is>
      </c>
      <c r="D910" s="3" t="inlineStr">
        <is>
          <t>ETH.NGDP_R.A</t>
        </is>
      </c>
      <c r="E910" s="3" t="inlineStr">
        <is>
          <t>Ethiopia, The Federal Democratic Republic of</t>
        </is>
      </c>
      <c r="F910" s="3" t="inlineStr">
        <is>
          <t>Gross domestic product (GDP), Constant prices, Domestic currency</t>
        </is>
      </c>
      <c r="G910" s="3" t="n">
        <v>365.481341</v>
      </c>
      <c r="H910" s="3" t="n">
        <v>392.52696</v>
      </c>
      <c r="I910" s="3" t="n">
        <v>398.807391</v>
      </c>
      <c r="J910" s="3" t="n">
        <v>390.432436</v>
      </c>
      <c r="K910" s="3" t="n">
        <v>436.113031</v>
      </c>
      <c r="L910" s="3" t="n">
        <v>491.063273</v>
      </c>
      <c r="M910" s="3" t="n">
        <v>547.5355499999999</v>
      </c>
      <c r="N910" s="3" t="n">
        <v>612.1447439999999</v>
      </c>
      <c r="O910" s="3" t="n">
        <v>680.704956</v>
      </c>
      <c r="P910" s="3" t="n">
        <v>748.775451</v>
      </c>
      <c r="Q910" s="3" t="n">
        <v>828.145649</v>
      </c>
      <c r="R910" s="3" t="n">
        <v>922.554253</v>
      </c>
      <c r="S910" s="3" t="n">
        <v>1002.816473</v>
      </c>
      <c r="T910" s="3" t="n">
        <v>1102.095304</v>
      </c>
      <c r="U910" s="3" t="n">
        <v>1215.61112</v>
      </c>
      <c r="V910" s="3" t="n">
        <v>1342.034677</v>
      </c>
      <c r="W910" s="3" t="n">
        <v>1449.397451</v>
      </c>
      <c r="X910" s="3" t="n">
        <v>1597.376507</v>
      </c>
      <c r="Y910" s="3" t="n">
        <v>1720.417622</v>
      </c>
      <c r="Z910" s="3" t="n">
        <v>1875.892652</v>
      </c>
      <c r="AA910" s="3" t="n">
        <v>1989.519005</v>
      </c>
      <c r="AB910" s="3" t="n">
        <v>2114.163223</v>
      </c>
      <c r="AC910" s="3" t="n">
        <v>2248.662827</v>
      </c>
      <c r="AD910" s="3" t="n">
        <v>2409.921418</v>
      </c>
      <c r="AE910" s="3" t="n">
        <v>2603.952941</v>
      </c>
      <c r="AF910" s="3" t="n">
        <v>2842.252345</v>
      </c>
      <c r="AG910" s="3" t="n">
        <v>3103.844047</v>
      </c>
      <c r="AH910" s="3" t="n">
        <v>3349.444045</v>
      </c>
      <c r="AI910" s="3" t="n">
        <v>3625.213272</v>
      </c>
      <c r="AJ910" s="3" t="n">
        <v>3932.022761</v>
      </c>
      <c r="AK910" s="3" t="n">
        <v>4246.512903</v>
      </c>
      <c r="AL910" s="3" t="n">
        <v>4572.420593</v>
      </c>
      <c r="AM910" s="3" t="n"/>
      <c r="AN910" s="3" t="n"/>
      <c r="AO910" s="3" t="n"/>
      <c r="AP910" s="3" t="n"/>
      <c r="AQ910" s="3" t="n"/>
      <c r="AR910" s="3" t="n"/>
      <c r="AS910" s="3" t="n"/>
      <c r="AT910" s="3" t="n"/>
      <c r="AU910" s="3" t="n"/>
    </row>
    <row r="911">
      <c r="A911" s="3" t="n">
        <v>2031</v>
      </c>
      <c r="B911" s="3" t="inlineStr">
        <is>
          <t>ETH</t>
        </is>
      </c>
      <c r="C911" s="3" t="inlineStr">
        <is>
          <t>IMF.RES:WEO</t>
        </is>
      </c>
      <c r="D911" s="3" t="inlineStr">
        <is>
          <t>ETH.NGDP_RPCH.A</t>
        </is>
      </c>
      <c r="E911" s="3" t="inlineStr">
        <is>
          <t>Ethiopia, The Federal Democratic Republic of</t>
        </is>
      </c>
      <c r="F911" s="3" t="inlineStr">
        <is>
          <t>Gross domestic product (GDP), Constant prices, Percent change</t>
        </is>
      </c>
      <c r="G911" s="3" t="n">
        <v>9.837629</v>
      </c>
      <c r="H911" s="3" t="n">
        <v>7.4</v>
      </c>
      <c r="I911" s="3" t="n">
        <v>1.6</v>
      </c>
      <c r="J911" s="3" t="n">
        <v>-2.1</v>
      </c>
      <c r="K911" s="3" t="n">
        <v>11.7</v>
      </c>
      <c r="L911" s="3" t="n">
        <v>12.6</v>
      </c>
      <c r="M911" s="3" t="n">
        <v>11.5</v>
      </c>
      <c r="N911" s="3" t="n">
        <v>11.8</v>
      </c>
      <c r="O911" s="3" t="n">
        <v>11.2</v>
      </c>
      <c r="P911" s="3" t="n">
        <v>10</v>
      </c>
      <c r="Q911" s="3" t="n">
        <v>10.6</v>
      </c>
      <c r="R911" s="3" t="n">
        <v>11.4</v>
      </c>
      <c r="S911" s="3" t="n">
        <v>8.699999999999999</v>
      </c>
      <c r="T911" s="3" t="n">
        <v>9.9</v>
      </c>
      <c r="U911" s="3" t="n">
        <v>10.3</v>
      </c>
      <c r="V911" s="3" t="n">
        <v>10.4</v>
      </c>
      <c r="W911" s="3" t="n">
        <v>8</v>
      </c>
      <c r="X911" s="3" t="n">
        <v>10.209695</v>
      </c>
      <c r="Y911" s="3" t="n">
        <v>7.7027</v>
      </c>
      <c r="Z911" s="3" t="n">
        <v>9.037051999999999</v>
      </c>
      <c r="AA911" s="3" t="n">
        <v>6.057188</v>
      </c>
      <c r="AB911" s="3" t="n">
        <v>6.265043</v>
      </c>
      <c r="AC911" s="3" t="n">
        <v>6.361836</v>
      </c>
      <c r="AD911" s="3" t="n">
        <v>7.17131</v>
      </c>
      <c r="AE911" s="3" t="n">
        <v>8.051363</v>
      </c>
      <c r="AF911" s="3" t="n">
        <v>9.151448</v>
      </c>
      <c r="AG911" s="3" t="n">
        <v>9.203676</v>
      </c>
      <c r="AH911" s="3" t="n">
        <v>7.912769</v>
      </c>
      <c r="AI911" s="3" t="n">
        <v>8.233283999999999</v>
      </c>
      <c r="AJ911" s="3" t="n">
        <v>8.463212</v>
      </c>
      <c r="AK911" s="3" t="n">
        <v>7.998177</v>
      </c>
      <c r="AL911" s="3" t="n">
        <v>7.674713</v>
      </c>
      <c r="AM911" s="3" t="n"/>
      <c r="AN911" s="3" t="n"/>
      <c r="AO911" s="3" t="n"/>
      <c r="AP911" s="3" t="n"/>
      <c r="AQ911" s="3" t="n"/>
      <c r="AR911" s="3" t="n"/>
      <c r="AS911" s="3" t="n"/>
      <c r="AT911" s="3" t="n"/>
      <c r="AU911" s="3" t="n"/>
    </row>
    <row r="912">
      <c r="A912" s="3" t="n">
        <v>2031</v>
      </c>
      <c r="B912" s="3" t="inlineStr">
        <is>
          <t>ETH</t>
        </is>
      </c>
      <c r="C912" s="3" t="inlineStr">
        <is>
          <t>IMF.RES:WEO</t>
        </is>
      </c>
      <c r="D912" s="3" t="inlineStr">
        <is>
          <t>ETH.NGDPD.A</t>
        </is>
      </c>
      <c r="E912" s="3" t="inlineStr">
        <is>
          <t>Ethiopia, The Federal Democratic Republic of</t>
        </is>
      </c>
      <c r="F912" s="3" t="inlineStr">
        <is>
          <t>Gross domestic product (GDP), Current prices, US dollar</t>
        </is>
      </c>
      <c r="G912" s="3" t="n">
        <v>8.167439</v>
      </c>
      <c r="H912" s="3" t="n">
        <v>8.103172000000001</v>
      </c>
      <c r="I912" s="3" t="n">
        <v>7.827876</v>
      </c>
      <c r="J912" s="3" t="n">
        <v>8.603895</v>
      </c>
      <c r="K912" s="3" t="n">
        <v>10.121822</v>
      </c>
      <c r="L912" s="3" t="n">
        <v>12.386746</v>
      </c>
      <c r="M912" s="3" t="n">
        <v>15.310006</v>
      </c>
      <c r="N912" s="3" t="n">
        <v>19.328759</v>
      </c>
      <c r="O912" s="3" t="n">
        <v>26.250456</v>
      </c>
      <c r="P912" s="3" t="n">
        <v>28.671527</v>
      </c>
      <c r="Q912" s="3" t="n">
        <v>26.887013</v>
      </c>
      <c r="R912" s="3" t="n">
        <v>30.479871</v>
      </c>
      <c r="S912" s="3" t="n">
        <v>42.221399</v>
      </c>
      <c r="T912" s="3" t="n">
        <v>46.544105</v>
      </c>
      <c r="U912" s="3" t="n">
        <v>54.165491</v>
      </c>
      <c r="V912" s="3" t="n">
        <v>63.080574</v>
      </c>
      <c r="W912" s="3" t="n">
        <v>72.11995</v>
      </c>
      <c r="X912" s="3" t="n">
        <v>76.84051100000001</v>
      </c>
      <c r="Y912" s="3" t="n">
        <v>80.206695</v>
      </c>
      <c r="Z912" s="3" t="n">
        <v>92.607874</v>
      </c>
      <c r="AA912" s="3" t="n">
        <v>96.61072299999999</v>
      </c>
      <c r="AB912" s="3" t="n">
        <v>99.261127</v>
      </c>
      <c r="AC912" s="3" t="n">
        <v>118.958133</v>
      </c>
      <c r="AD912" s="3" t="n">
        <v>159.761424</v>
      </c>
      <c r="AE912" s="3" t="n">
        <v>142.072517</v>
      </c>
      <c r="AF912" s="3" t="n">
        <v>109.10864</v>
      </c>
      <c r="AG912" s="3" t="n">
        <v>121.526581</v>
      </c>
      <c r="AH912" s="3" t="n">
        <v>140.912313</v>
      </c>
      <c r="AI912" s="3" t="n">
        <v>160.90737</v>
      </c>
      <c r="AJ912" s="3" t="n">
        <v>184.982885</v>
      </c>
      <c r="AK912" s="3" t="n">
        <v>211.586813</v>
      </c>
      <c r="AL912" s="3" t="n">
        <v>242.552598</v>
      </c>
      <c r="AM912" s="3" t="n"/>
      <c r="AN912" s="3" t="n"/>
      <c r="AO912" s="3" t="n"/>
      <c r="AP912" s="3" t="n"/>
      <c r="AQ912" s="3" t="n"/>
      <c r="AR912" s="3" t="n"/>
      <c r="AS912" s="3" t="n"/>
      <c r="AT912" s="3" t="n"/>
      <c r="AU912" s="3" t="n"/>
    </row>
    <row r="913">
      <c r="A913" s="3" t="n">
        <v>2031</v>
      </c>
      <c r="B913" s="3" t="inlineStr">
        <is>
          <t>ETH</t>
        </is>
      </c>
      <c r="C913" s="3" t="inlineStr">
        <is>
          <t>IMF.RES:WEO</t>
        </is>
      </c>
      <c r="D913" s="3" t="inlineStr">
        <is>
          <t>ETH.NGDPPC.A</t>
        </is>
      </c>
      <c r="E913" s="3" t="inlineStr">
        <is>
          <t>Ethiopia, The Federal Democratic Republic of</t>
        </is>
      </c>
      <c r="F913" s="3" t="inlineStr">
        <is>
          <t>Gross domestic product (GDP), Current prices, Per capita, Domestic currency</t>
        </is>
      </c>
      <c r="G913" s="3" t="n">
        <v>1118.245784</v>
      </c>
      <c r="H913" s="3" t="n">
        <v>1113.058221</v>
      </c>
      <c r="I913" s="3" t="n">
        <v>1061.324057</v>
      </c>
      <c r="J913" s="3" t="n">
        <v>1141.241126</v>
      </c>
      <c r="K913" s="3" t="n">
        <v>1314.120947</v>
      </c>
      <c r="L913" s="3" t="n">
        <v>1572.872205</v>
      </c>
      <c r="M913" s="3" t="n">
        <v>1894.603348</v>
      </c>
      <c r="N913" s="3" t="n">
        <v>2392.91232</v>
      </c>
      <c r="O913" s="3" t="n">
        <v>3340.472099</v>
      </c>
      <c r="P913" s="3" t="n">
        <v>4394.444798</v>
      </c>
      <c r="Q913" s="3" t="n">
        <v>4896.277865</v>
      </c>
      <c r="R913" s="3" t="n">
        <v>6382.63373</v>
      </c>
      <c r="S913" s="3" t="n">
        <v>9036.596106000001</v>
      </c>
      <c r="T913" s="3" t="n">
        <v>10223.125967</v>
      </c>
      <c r="U913" s="3" t="n">
        <v>12193.395207</v>
      </c>
      <c r="V913" s="3" t="n">
        <v>14567.468462</v>
      </c>
      <c r="W913" s="3" t="n">
        <v>17194.050998</v>
      </c>
      <c r="X913" s="3" t="n">
        <v>19622.976039</v>
      </c>
      <c r="Y913" s="3" t="n">
        <v>23037.911916</v>
      </c>
      <c r="Z913" s="3" t="n">
        <v>27569.173678</v>
      </c>
      <c r="AA913" s="3" t="n">
        <v>33845.02678</v>
      </c>
      <c r="AB913" s="3" t="n">
        <v>42600.826524</v>
      </c>
      <c r="AC913" s="3" t="n">
        <v>59155.427771</v>
      </c>
      <c r="AD913" s="3" t="n">
        <v>82521.461713</v>
      </c>
      <c r="AE913" s="3" t="n">
        <v>108414.557771</v>
      </c>
      <c r="AF913" s="3" t="n">
        <v>136477.568088</v>
      </c>
      <c r="AG913" s="3" t="n">
        <v>172613.805048</v>
      </c>
      <c r="AH913" s="3" t="n">
        <v>209763.203622</v>
      </c>
      <c r="AI913" s="3" t="n">
        <v>247002.102546</v>
      </c>
      <c r="AJ913" s="3" t="n">
        <v>289158.806575</v>
      </c>
      <c r="AK913" s="3" t="n">
        <v>333670.382724</v>
      </c>
      <c r="AL913" s="3" t="n">
        <v>384778.133661</v>
      </c>
      <c r="AM913" s="3" t="n"/>
      <c r="AN913" s="3" t="n"/>
      <c r="AO913" s="3" t="n"/>
      <c r="AP913" s="3" t="n"/>
      <c r="AQ913" s="3" t="n"/>
      <c r="AR913" s="3" t="n"/>
      <c r="AS913" s="3" t="n"/>
      <c r="AT913" s="3" t="n"/>
      <c r="AU913" s="3" t="n"/>
    </row>
    <row r="914">
      <c r="A914" s="3" t="n">
        <v>2031</v>
      </c>
      <c r="B914" s="3" t="inlineStr">
        <is>
          <t>ETH</t>
        </is>
      </c>
      <c r="C914" s="3" t="inlineStr">
        <is>
          <t>IMF.RES:WEO</t>
        </is>
      </c>
      <c r="D914" s="3" t="inlineStr">
        <is>
          <t>ETH.NGDPRPC.A</t>
        </is>
      </c>
      <c r="E914" s="3" t="inlineStr">
        <is>
          <t>Ethiopia, The Federal Democratic Republic of</t>
        </is>
      </c>
      <c r="F914" s="3" t="inlineStr">
        <is>
          <t>Gross domestic product (GDP), Constant prices, Per capita, Domestic currency</t>
        </is>
      </c>
      <c r="G914" s="3" t="n">
        <v>6088.315267</v>
      </c>
      <c r="H914" s="3" t="n">
        <v>6373.148729</v>
      </c>
      <c r="I914" s="3" t="n">
        <v>6311.03227</v>
      </c>
      <c r="J914" s="3" t="n">
        <v>6021.930402</v>
      </c>
      <c r="K914" s="3" t="n">
        <v>6556.039239</v>
      </c>
      <c r="L914" s="3" t="n">
        <v>7195.029418</v>
      </c>
      <c r="M914" s="3" t="n">
        <v>7819.15965</v>
      </c>
      <c r="N914" s="3" t="n">
        <v>8452.585924999999</v>
      </c>
      <c r="O914" s="3" t="n">
        <v>9090.678363999999</v>
      </c>
      <c r="P914" s="3" t="n">
        <v>9746.341326</v>
      </c>
      <c r="Q914" s="3" t="n">
        <v>10506.289968</v>
      </c>
      <c r="R914" s="3" t="n">
        <v>11431.899048</v>
      </c>
      <c r="S914" s="3" t="n">
        <v>12125.954936</v>
      </c>
      <c r="T914" s="3" t="n">
        <v>12996.406887</v>
      </c>
      <c r="U914" s="3" t="n">
        <v>13972.541613</v>
      </c>
      <c r="V914" s="3" t="n">
        <v>15062.117585</v>
      </c>
      <c r="W914" s="3" t="n">
        <v>15892.51591</v>
      </c>
      <c r="X914" s="3" t="n">
        <v>17102.532195</v>
      </c>
      <c r="Y914" s="3" t="n">
        <v>18014.844209</v>
      </c>
      <c r="Z914" s="3" t="n">
        <v>19220.211598</v>
      </c>
      <c r="AA914" s="3" t="n">
        <v>19955.055216</v>
      </c>
      <c r="AB914" s="3" t="n">
        <v>20747.43104</v>
      </c>
      <c r="AC914" s="3" t="n">
        <v>21604.723456</v>
      </c>
      <c r="AD914" s="3" t="n">
        <v>22798.071257</v>
      </c>
      <c r="AE914" s="3" t="n">
        <v>24021.706098</v>
      </c>
      <c r="AF914" s="3" t="n">
        <v>25698.484132</v>
      </c>
      <c r="AG914" s="3" t="n">
        <v>27621.74153</v>
      </c>
      <c r="AH914" s="3" t="n">
        <v>29337.978377</v>
      </c>
      <c r="AI914" s="3" t="n">
        <v>31253.402888</v>
      </c>
      <c r="AJ914" s="3" t="n">
        <v>33364.610895</v>
      </c>
      <c r="AK914" s="3" t="n">
        <v>35465.720028</v>
      </c>
      <c r="AL914" s="3" t="n">
        <v>37586.23263</v>
      </c>
      <c r="AM914" s="3" t="n"/>
      <c r="AN914" s="3" t="n"/>
      <c r="AO914" s="3" t="n"/>
      <c r="AP914" s="3" t="n"/>
      <c r="AQ914" s="3" t="n"/>
      <c r="AR914" s="3" t="n"/>
      <c r="AS914" s="3" t="n"/>
      <c r="AT914" s="3" t="n"/>
      <c r="AU914" s="3" t="n"/>
    </row>
    <row r="915">
      <c r="A915" s="3" t="n">
        <v>2031</v>
      </c>
      <c r="B915" s="3" t="inlineStr">
        <is>
          <t>ETH</t>
        </is>
      </c>
      <c r="C915" s="3" t="inlineStr">
        <is>
          <t>IMF.RES:WEO</t>
        </is>
      </c>
      <c r="D915" s="3" t="inlineStr">
        <is>
          <t>ETH.PCPI.A</t>
        </is>
      </c>
      <c r="E915" s="3" t="inlineStr">
        <is>
          <t>Ethiopia, The Federal Democratic Republic of</t>
        </is>
      </c>
      <c r="F915" s="3" t="inlineStr">
        <is>
          <t>All Items, Consumer price index (CPI), Period average</t>
        </is>
      </c>
      <c r="G915" s="3" t="n">
        <v>15.619631</v>
      </c>
      <c r="H915" s="3" t="n">
        <v>14.33291</v>
      </c>
      <c r="I915" s="3" t="n">
        <v>14.569937</v>
      </c>
      <c r="J915" s="3" t="n">
        <v>17.157891</v>
      </c>
      <c r="K915" s="3" t="n">
        <v>17.710552</v>
      </c>
      <c r="L915" s="3" t="n">
        <v>19.774868</v>
      </c>
      <c r="M915" s="3" t="n">
        <v>22.45594</v>
      </c>
      <c r="N915" s="3" t="n">
        <v>26.328408</v>
      </c>
      <c r="O915" s="3" t="n">
        <v>38.010644</v>
      </c>
      <c r="P915" s="3" t="n">
        <v>41.233681</v>
      </c>
      <c r="Q915" s="3" t="n">
        <v>44.587622</v>
      </c>
      <c r="R915" s="3" t="n">
        <v>59.405197</v>
      </c>
      <c r="S915" s="3" t="n">
        <v>73.74098499999999</v>
      </c>
      <c r="T915" s="3" t="n">
        <v>79.69285499999999</v>
      </c>
      <c r="U915" s="3" t="n">
        <v>85.593521</v>
      </c>
      <c r="V915" s="3" t="n">
        <v>93.783879</v>
      </c>
      <c r="W915" s="3" t="n">
        <v>100</v>
      </c>
      <c r="X915" s="3" t="n">
        <v>110.687115</v>
      </c>
      <c r="Y915" s="3" t="n">
        <v>125.998503</v>
      </c>
      <c r="Z915" s="3" t="n">
        <v>145.918403</v>
      </c>
      <c r="AA915" s="3" t="n">
        <v>175.618113</v>
      </c>
      <c r="AB915" s="3" t="n">
        <v>222.673236</v>
      </c>
      <c r="AC915" s="3" t="n">
        <v>298.243431</v>
      </c>
      <c r="AD915" s="3" t="n">
        <v>388.368591</v>
      </c>
      <c r="AE915" s="3" t="n">
        <v>470.098909</v>
      </c>
      <c r="AF915" s="3" t="n">
        <v>532.213541</v>
      </c>
      <c r="AG915" s="3" t="n">
        <v>594.891705</v>
      </c>
      <c r="AH915" s="3" t="n">
        <v>658.570468</v>
      </c>
      <c r="AI915" s="3" t="n">
        <v>712.933772</v>
      </c>
      <c r="AJ915" s="3" t="n">
        <v>766.131798</v>
      </c>
      <c r="AK915" s="3" t="n">
        <v>823.29938</v>
      </c>
      <c r="AL915" s="3" t="n">
        <v>884.732719</v>
      </c>
      <c r="AM915" s="3" t="n"/>
      <c r="AN915" s="3" t="n"/>
      <c r="AO915" s="3" t="n"/>
      <c r="AP915" s="3" t="n"/>
      <c r="AQ915" s="3" t="n"/>
      <c r="AR915" s="3" t="n"/>
      <c r="AS915" s="3" t="n"/>
      <c r="AT915" s="3" t="n"/>
      <c r="AU915" s="3" t="n"/>
    </row>
    <row r="916">
      <c r="A916" s="3" t="n">
        <v>2031</v>
      </c>
      <c r="B916" s="3" t="inlineStr">
        <is>
          <t>ETH</t>
        </is>
      </c>
      <c r="C916" s="3" t="inlineStr">
        <is>
          <t>IMF.RES:WEO</t>
        </is>
      </c>
      <c r="D916" s="3" t="inlineStr">
        <is>
          <t>ETH.PCPIPCH.A</t>
        </is>
      </c>
      <c r="E916" s="3" t="inlineStr">
        <is>
          <t>Ethiopia, The Federal Democratic Republic of</t>
        </is>
      </c>
      <c r="F916" s="3" t="inlineStr">
        <is>
          <t>All Items, Consumer price index (CPI), Period average, percent change</t>
        </is>
      </c>
      <c r="G916" s="3" t="n">
        <v>0.662458</v>
      </c>
      <c r="H916" s="3" t="n">
        <v>-8.237845</v>
      </c>
      <c r="I916" s="3" t="n">
        <v>1.653729</v>
      </c>
      <c r="J916" s="3" t="n">
        <v>17.762284</v>
      </c>
      <c r="K916" s="3" t="n">
        <v>3.221032</v>
      </c>
      <c r="L916" s="3" t="n">
        <v>11.655855</v>
      </c>
      <c r="M916" s="3" t="n">
        <v>13.557975</v>
      </c>
      <c r="N916" s="3" t="n">
        <v>17.244739</v>
      </c>
      <c r="O916" s="3" t="n">
        <v>44.37122</v>
      </c>
      <c r="P916" s="3" t="n">
        <v>8.479302000000001</v>
      </c>
      <c r="Q916" s="3" t="n">
        <v>8.133983000000001</v>
      </c>
      <c r="R916" s="3" t="n">
        <v>33.232486</v>
      </c>
      <c r="S916" s="3" t="n">
        <v>24.132211</v>
      </c>
      <c r="T916" s="3" t="n">
        <v>8.071319000000001</v>
      </c>
      <c r="U916" s="3" t="n">
        <v>7.40426</v>
      </c>
      <c r="V916" s="3" t="n">
        <v>9.568899999999999</v>
      </c>
      <c r="W916" s="3" t="n">
        <v>6.628133</v>
      </c>
      <c r="X916" s="3" t="n">
        <v>10.687115</v>
      </c>
      <c r="Y916" s="3" t="n">
        <v>13.833036</v>
      </c>
      <c r="Z916" s="3" t="n">
        <v>15.809632</v>
      </c>
      <c r="AA916" s="3" t="n">
        <v>20.353642</v>
      </c>
      <c r="AB916" s="3" t="n">
        <v>26.794003</v>
      </c>
      <c r="AC916" s="3" t="n">
        <v>33.937709</v>
      </c>
      <c r="AD916" s="3" t="n">
        <v>30.218657</v>
      </c>
      <c r="AE916" s="3" t="n">
        <v>21.044523</v>
      </c>
      <c r="AF916" s="3" t="n">
        <v>13.213099</v>
      </c>
      <c r="AG916" s="3" t="n">
        <v>11.776883</v>
      </c>
      <c r="AH916" s="3" t="n">
        <v>10.704261</v>
      </c>
      <c r="AI916" s="3" t="n">
        <v>8.254744000000001</v>
      </c>
      <c r="AJ916" s="3" t="n">
        <v>7.461847</v>
      </c>
      <c r="AK916" s="3" t="n">
        <v>7.461847</v>
      </c>
      <c r="AL916" s="3" t="n">
        <v>7.461847</v>
      </c>
      <c r="AM916" s="3" t="n"/>
      <c r="AN916" s="3" t="n"/>
      <c r="AO916" s="3" t="n"/>
      <c r="AP916" s="3" t="n"/>
      <c r="AQ916" s="3" t="n"/>
      <c r="AR916" s="3" t="n"/>
      <c r="AS916" s="3" t="n"/>
      <c r="AT916" s="3" t="n"/>
      <c r="AU916" s="3" t="n"/>
    </row>
    <row r="917">
      <c r="A917" s="3" t="n">
        <v>2031</v>
      </c>
      <c r="B917" s="3" t="inlineStr">
        <is>
          <t>ETH</t>
        </is>
      </c>
      <c r="C917" s="3" t="inlineStr">
        <is>
          <t>IMF.RES:WEO</t>
        </is>
      </c>
      <c r="D917" s="3" t="inlineStr">
        <is>
          <t>ETH.PPPPC.A</t>
        </is>
      </c>
      <c r="E917" s="3" t="inlineStr">
        <is>
          <t>Ethiopia, The Federal Democratic Republic of</t>
        </is>
      </c>
      <c r="F917" s="3" t="inlineStr">
        <is>
          <t>Gross domestic product (GDP), Per capita, purchasing power parity (PPP) international dollar, ICP benchmarks 2017-2021</t>
        </is>
      </c>
      <c r="G917" s="3" t="n">
        <v>609.383786</v>
      </c>
      <c r="H917" s="3" t="n">
        <v>652.255897</v>
      </c>
      <c r="I917" s="3" t="n">
        <v>655.936123</v>
      </c>
      <c r="J917" s="3" t="n">
        <v>638.2447529999999</v>
      </c>
      <c r="K917" s="3" t="n">
        <v>713.536983</v>
      </c>
      <c r="L917" s="3" t="n">
        <v>807.638562</v>
      </c>
      <c r="M917" s="3" t="n">
        <v>904.764016</v>
      </c>
      <c r="N917" s="3" t="n">
        <v>1004.55675</v>
      </c>
      <c r="O917" s="3" t="n">
        <v>1101.204323</v>
      </c>
      <c r="P917" s="3" t="n">
        <v>1187.909847</v>
      </c>
      <c r="Q917" s="3" t="n">
        <v>1296.097686</v>
      </c>
      <c r="R917" s="3" t="n">
        <v>1439.382173</v>
      </c>
      <c r="S917" s="3" t="n">
        <v>1555.197675</v>
      </c>
      <c r="T917" s="3" t="n">
        <v>1695.205929</v>
      </c>
      <c r="U917" s="3" t="n">
        <v>1854.272801</v>
      </c>
      <c r="V917" s="3" t="n">
        <v>2017.419185</v>
      </c>
      <c r="W917" s="3" t="n">
        <v>2148.869554</v>
      </c>
      <c r="X917" s="3" t="n">
        <v>2353.893038</v>
      </c>
      <c r="Y917" s="3" t="n">
        <v>2471.907624</v>
      </c>
      <c r="Z917" s="3" t="n">
        <v>2659.167031</v>
      </c>
      <c r="AA917" s="3" t="n">
        <v>2870.371653</v>
      </c>
      <c r="AB917" s="3" t="n">
        <v>3102.503645</v>
      </c>
      <c r="AC917" s="3" t="n">
        <v>3460.481164</v>
      </c>
      <c r="AD917" s="3" t="n">
        <v>3786.733841</v>
      </c>
      <c r="AE917" s="3" t="n">
        <v>4089.0312</v>
      </c>
      <c r="AF917" s="3" t="n">
        <v>4498.549406</v>
      </c>
      <c r="AG917" s="3" t="n">
        <v>4973.739618</v>
      </c>
      <c r="AH917" s="3" t="n">
        <v>5398.780295</v>
      </c>
      <c r="AI917" s="3" t="n">
        <v>5845.657662</v>
      </c>
      <c r="AJ917" s="3" t="n">
        <v>6351.503004</v>
      </c>
      <c r="AK917" s="3" t="n">
        <v>6875.544046</v>
      </c>
      <c r="AL917" s="3" t="n">
        <v>7418.181932</v>
      </c>
      <c r="AM917" s="3" t="n"/>
      <c r="AN917" s="3" t="n"/>
      <c r="AO917" s="3" t="n"/>
      <c r="AP917" s="3" t="n"/>
      <c r="AQ917" s="3" t="n"/>
      <c r="AR917" s="3" t="n"/>
      <c r="AS917" s="3" t="n"/>
      <c r="AT917" s="3" t="n"/>
      <c r="AU917" s="3" t="n"/>
    </row>
    <row r="918">
      <c r="A918" s="3" t="n">
        <v>2025</v>
      </c>
      <c r="B918" s="3" t="inlineStr">
        <is>
          <t>ETH</t>
        </is>
      </c>
      <c r="C918" s="3" t="inlineStr">
        <is>
          <t>IMF.STA:ER</t>
        </is>
      </c>
      <c r="D918" s="3" t="inlineStr">
        <is>
          <t>ETH.XDC_USD.PA_RT.A</t>
        </is>
      </c>
      <c r="E918" s="3" t="inlineStr">
        <is>
          <t>Ethiopia, The Federal Democratic Republic of</t>
        </is>
      </c>
      <c r="F918" s="3" t="inlineStr">
        <is>
          <t>Domestic currency per US Dollar</t>
        </is>
      </c>
      <c r="G918" s="3" t="n">
        <v>8.21725833333333</v>
      </c>
      <c r="H918" s="3" t="n">
        <v>8.457491666666661</v>
      </c>
      <c r="I918" s="3" t="n">
        <v>8.56774999999999</v>
      </c>
      <c r="J918" s="3" t="n">
        <v>8.59968333333333</v>
      </c>
      <c r="K918" s="3" t="n">
        <v>8.635583333333329</v>
      </c>
      <c r="L918" s="3" t="n">
        <v>8.66644166666666</v>
      </c>
      <c r="M918" s="3" t="n">
        <v>8.69861583333333</v>
      </c>
      <c r="N918" s="3" t="n">
        <v>8.965949999999999</v>
      </c>
      <c r="O918" s="3" t="n">
        <v>9.59974166666666</v>
      </c>
      <c r="P918" s="3" t="n">
        <v>11.7775996725</v>
      </c>
      <c r="Q918" s="3" t="n">
        <v>14.4095898080065</v>
      </c>
      <c r="R918" s="3" t="n">
        <v>16.8992257595275</v>
      </c>
      <c r="S918" s="3" t="n">
        <v>17.7047613782674</v>
      </c>
      <c r="T918" s="3" t="n">
        <v>18.6266289575478</v>
      </c>
      <c r="U918" s="3" t="n">
        <v>19.5857899076949</v>
      </c>
      <c r="V918" s="3" t="n">
        <v>20.57684875</v>
      </c>
      <c r="W918" s="3" t="n">
        <v>21.7315472222222</v>
      </c>
      <c r="X918" s="3" t="n">
        <v>23.8661044574125</v>
      </c>
      <c r="Y918" s="3" t="n">
        <v>27.4293865941666</v>
      </c>
      <c r="Z918" s="3" t="n">
        <v>29.06975</v>
      </c>
      <c r="AA918" s="3" t="n">
        <v>34.9271654040404</v>
      </c>
      <c r="AB918" s="3" t="n">
        <v>43.73377831884</v>
      </c>
      <c r="AC918" s="3" t="n">
        <v>51.7562150334169</v>
      </c>
      <c r="AD918" s="3" t="n">
        <v>54.6009480676569</v>
      </c>
      <c r="AE918" s="3" t="n">
        <v>82.6013363504764</v>
      </c>
      <c r="AF918" s="3" t="n">
        <v>82.6013363504764</v>
      </c>
      <c r="AG918" s="3" t="n"/>
      <c r="AH918" s="3" t="n"/>
      <c r="AI918" s="3" t="n"/>
      <c r="AJ918" s="3" t="n"/>
      <c r="AK918" s="3" t="n"/>
      <c r="AL918" s="3" t="n"/>
      <c r="AM918" s="3" t="n"/>
      <c r="AN918" s="3" t="n"/>
      <c r="AO918" s="3" t="n"/>
      <c r="AP918" s="3" t="n"/>
      <c r="AQ918" s="3" t="n"/>
      <c r="AR918" s="3" t="n"/>
      <c r="AS918" s="3" t="n"/>
      <c r="AT918" s="3" t="n"/>
      <c r="AU918" s="3" t="n"/>
    </row>
    <row r="919">
      <c r="A919" s="3" t="n">
        <v>2031</v>
      </c>
      <c r="B919" s="3" t="inlineStr">
        <is>
          <t>FIN</t>
        </is>
      </c>
      <c r="C919" s="3" t="inlineStr">
        <is>
          <t>IMF.RES:WEO</t>
        </is>
      </c>
      <c r="D919" s="3" t="inlineStr">
        <is>
          <t>FIN.BCA.A</t>
        </is>
      </c>
      <c r="E919" s="3" t="inlineStr">
        <is>
          <t>Finland</t>
        </is>
      </c>
      <c r="F919" s="3" t="inlineStr">
        <is>
          <t>Current account balance (credit less debit), US dollar</t>
        </is>
      </c>
      <c r="G919" s="3" t="n">
        <v>9.023985</v>
      </c>
      <c r="H919" s="3" t="n">
        <v>9.941556</v>
      </c>
      <c r="I919" s="3" t="n">
        <v>10.969409</v>
      </c>
      <c r="J919" s="3" t="n">
        <v>7.403853</v>
      </c>
      <c r="K919" s="3" t="n">
        <v>11.060732</v>
      </c>
      <c r="L919" s="3" t="n">
        <v>5.897758</v>
      </c>
      <c r="M919" s="3" t="n">
        <v>8.533502</v>
      </c>
      <c r="N919" s="3" t="n">
        <v>10.32914</v>
      </c>
      <c r="O919" s="3" t="n">
        <v>7.264736</v>
      </c>
      <c r="P919" s="3" t="n">
        <v>5.053383</v>
      </c>
      <c r="Q919" s="3" t="n">
        <v>3.39926</v>
      </c>
      <c r="R919" s="3" t="n">
        <v>-4.268376</v>
      </c>
      <c r="S919" s="3" t="n">
        <v>-5.745356</v>
      </c>
      <c r="T919" s="3" t="n">
        <v>-5.088094</v>
      </c>
      <c r="U919" s="3" t="n">
        <v>-3.711459</v>
      </c>
      <c r="V919" s="3" t="n">
        <v>-2.117165</v>
      </c>
      <c r="W919" s="3" t="n">
        <v>-4.70636</v>
      </c>
      <c r="X919" s="3" t="n">
        <v>-1.662304</v>
      </c>
      <c r="Y919" s="3" t="n">
        <v>-4.414047</v>
      </c>
      <c r="Z919" s="3" t="n">
        <v>-0.368348</v>
      </c>
      <c r="AA919" s="3" t="n">
        <v>1.143564</v>
      </c>
      <c r="AB919" s="3" t="n">
        <v>0.971675</v>
      </c>
      <c r="AC919" s="3" t="n">
        <v>-6.77643</v>
      </c>
      <c r="AD919" s="3" t="n">
        <v>-2.707196</v>
      </c>
      <c r="AE919" s="3" t="n">
        <v>-1.319025</v>
      </c>
      <c r="AF919" s="3" t="n">
        <v>3.978674</v>
      </c>
      <c r="AG919" s="3" t="n">
        <v>0.483881</v>
      </c>
      <c r="AH919" s="3" t="n">
        <v>1.344753</v>
      </c>
      <c r="AI919" s="3" t="n">
        <v>1.916874</v>
      </c>
      <c r="AJ919" s="3" t="n">
        <v>2.94741</v>
      </c>
      <c r="AK919" s="3" t="n">
        <v>3.976846</v>
      </c>
      <c r="AL919" s="3" t="n">
        <v>4.603096</v>
      </c>
      <c r="AM919" s="3" t="n"/>
      <c r="AN919" s="3" t="n"/>
      <c r="AO919" s="3" t="n"/>
      <c r="AP919" s="3" t="n"/>
      <c r="AQ919" s="3" t="n"/>
      <c r="AR919" s="3" t="n"/>
      <c r="AS919" s="3" t="n"/>
      <c r="AT919" s="3" t="n"/>
      <c r="AU919" s="3" t="n"/>
    </row>
    <row r="920">
      <c r="A920" s="3" t="n">
        <v>2031</v>
      </c>
      <c r="B920" s="3" t="inlineStr">
        <is>
          <t>FIN</t>
        </is>
      </c>
      <c r="C920" s="3" t="inlineStr">
        <is>
          <t>IMF.RES:WEO</t>
        </is>
      </c>
      <c r="D920" s="3" t="inlineStr">
        <is>
          <t>FIN.BCA_NGDPD.A</t>
        </is>
      </c>
      <c r="E920" s="3" t="inlineStr">
        <is>
          <t>Finland</t>
        </is>
      </c>
      <c r="F920" s="3" t="inlineStr">
        <is>
          <t>Current account balance (credit less debit), Percent of GDP</t>
        </is>
      </c>
      <c r="G920" s="3" t="n">
        <v>7.160559</v>
      </c>
      <c r="H920" s="3" t="n">
        <v>7.675658</v>
      </c>
      <c r="I920" s="3" t="n">
        <v>7.820668</v>
      </c>
      <c r="J920" s="3" t="n">
        <v>4.315357</v>
      </c>
      <c r="K920" s="3" t="n">
        <v>5.604097</v>
      </c>
      <c r="L920" s="3" t="n">
        <v>2.87734</v>
      </c>
      <c r="M920" s="3" t="n">
        <v>3.931483</v>
      </c>
      <c r="N920" s="3" t="n">
        <v>4.028675</v>
      </c>
      <c r="O920" s="3" t="n">
        <v>2.543075</v>
      </c>
      <c r="P920" s="3" t="n">
        <v>1.995763</v>
      </c>
      <c r="Q920" s="3" t="n">
        <v>1.361701</v>
      </c>
      <c r="R920" s="3" t="n">
        <v>-1.551694</v>
      </c>
      <c r="S920" s="3" t="n">
        <v>-2.230285</v>
      </c>
      <c r="T920" s="3" t="n">
        <v>-1.882583</v>
      </c>
      <c r="U920" s="3" t="n">
        <v>-1.35678</v>
      </c>
      <c r="V920" s="3" t="n">
        <v>-0.907741</v>
      </c>
      <c r="W920" s="3" t="n">
        <v>-1.971565</v>
      </c>
      <c r="X920" s="3" t="n">
        <v>-0.655078</v>
      </c>
      <c r="Y920" s="3" t="n">
        <v>-1.611005</v>
      </c>
      <c r="Z920" s="3" t="n">
        <v>-0.137935</v>
      </c>
      <c r="AA920" s="3" t="n">
        <v>0.423881</v>
      </c>
      <c r="AB920" s="3" t="n">
        <v>0.330032</v>
      </c>
      <c r="AC920" s="3" t="n">
        <v>-2.416067</v>
      </c>
      <c r="AD920" s="3" t="n">
        <v>-0.916833</v>
      </c>
      <c r="AE920" s="3" t="n">
        <v>-0.441678</v>
      </c>
      <c r="AF920" s="3" t="n">
        <v>1.255658</v>
      </c>
      <c r="AG920" s="3" t="n">
        <v>0.143301</v>
      </c>
      <c r="AH920" s="3" t="n">
        <v>0.38388</v>
      </c>
      <c r="AI920" s="3" t="n">
        <v>0.529996</v>
      </c>
      <c r="AJ920" s="3" t="n">
        <v>0.786424</v>
      </c>
      <c r="AK920" s="3" t="n">
        <v>1.023365</v>
      </c>
      <c r="AL920" s="3" t="n">
        <v>1.143861</v>
      </c>
      <c r="AM920" s="3" t="n"/>
      <c r="AN920" s="3" t="n"/>
      <c r="AO920" s="3" t="n"/>
      <c r="AP920" s="3" t="n"/>
      <c r="AQ920" s="3" t="n"/>
      <c r="AR920" s="3" t="n"/>
      <c r="AS920" s="3" t="n"/>
      <c r="AT920" s="3" t="n"/>
      <c r="AU920" s="3" t="n"/>
    </row>
    <row r="921">
      <c r="A921" s="3" t="n">
        <v>2031</v>
      </c>
      <c r="B921" s="3" t="inlineStr">
        <is>
          <t>FIN</t>
        </is>
      </c>
      <c r="C921" s="3" t="inlineStr">
        <is>
          <t>IMF.RES:WEO</t>
        </is>
      </c>
      <c r="D921" s="3" t="inlineStr">
        <is>
          <t>FIN.GGR_NGDP.A</t>
        </is>
      </c>
      <c r="E921" s="3" t="inlineStr">
        <is>
          <t>Finland</t>
        </is>
      </c>
      <c r="F921" s="3" t="inlineStr">
        <is>
          <t>Revenue, General government, Percent of GDP</t>
        </is>
      </c>
      <c r="G921" s="3" t="n">
        <v>53.658</v>
      </c>
      <c r="H921" s="3" t="n">
        <v>51.121268</v>
      </c>
      <c r="I921" s="3" t="n">
        <v>51.430881</v>
      </c>
      <c r="J921" s="3" t="n">
        <v>50.62486</v>
      </c>
      <c r="K921" s="3" t="n">
        <v>50.348051</v>
      </c>
      <c r="L921" s="3" t="n">
        <v>51.780574</v>
      </c>
      <c r="M921" s="3" t="n">
        <v>52.196852</v>
      </c>
      <c r="N921" s="3" t="n">
        <v>51.795957</v>
      </c>
      <c r="O921" s="3" t="n">
        <v>52.054795</v>
      </c>
      <c r="P921" s="3" t="n">
        <v>51.60756</v>
      </c>
      <c r="Q921" s="3" t="n">
        <v>51.443286</v>
      </c>
      <c r="R921" s="3" t="n">
        <v>52.819306</v>
      </c>
      <c r="S921" s="3" t="n">
        <v>53.542305</v>
      </c>
      <c r="T921" s="3" t="n">
        <v>54.584588</v>
      </c>
      <c r="U921" s="3" t="n">
        <v>54.630201</v>
      </c>
      <c r="V921" s="3" t="n">
        <v>53.316492</v>
      </c>
      <c r="W921" s="3" t="n">
        <v>53.402374</v>
      </c>
      <c r="X921" s="3" t="n">
        <v>52.220234</v>
      </c>
      <c r="Y921" s="3" t="n">
        <v>51.794054</v>
      </c>
      <c r="Z921" s="3" t="n">
        <v>51.666541</v>
      </c>
      <c r="AA921" s="3" t="n">
        <v>50.918621</v>
      </c>
      <c r="AB921" s="3" t="n">
        <v>52.461369</v>
      </c>
      <c r="AC921" s="3" t="n">
        <v>52.457587</v>
      </c>
      <c r="AD921" s="3" t="n">
        <v>53.056537</v>
      </c>
      <c r="AE921" s="3" t="n">
        <v>53.352078</v>
      </c>
      <c r="AF921" s="3" t="n">
        <v>53.685183</v>
      </c>
      <c r="AG921" s="3" t="n">
        <v>53.863251</v>
      </c>
      <c r="AH921" s="3" t="n">
        <v>53.746036</v>
      </c>
      <c r="AI921" s="3" t="n">
        <v>53.532988</v>
      </c>
      <c r="AJ921" s="3" t="n">
        <v>53.743414</v>
      </c>
      <c r="AK921" s="3" t="n">
        <v>53.743414</v>
      </c>
      <c r="AL921" s="3" t="n">
        <v>53.743414</v>
      </c>
      <c r="AM921" s="3" t="n"/>
      <c r="AN921" s="3" t="n"/>
      <c r="AO921" s="3" t="n"/>
      <c r="AP921" s="3" t="n"/>
      <c r="AQ921" s="3" t="n"/>
      <c r="AR921" s="3" t="n"/>
      <c r="AS921" s="3" t="n"/>
      <c r="AT921" s="3" t="n"/>
      <c r="AU921" s="3" t="n"/>
    </row>
    <row r="922">
      <c r="A922" s="3" t="n">
        <v>2031</v>
      </c>
      <c r="B922" s="3" t="inlineStr">
        <is>
          <t>FIN</t>
        </is>
      </c>
      <c r="C922" s="3" t="inlineStr">
        <is>
          <t>IMF.RES:WEO</t>
        </is>
      </c>
      <c r="D922" s="3" t="inlineStr">
        <is>
          <t>FIN.GGX_NGDP.A</t>
        </is>
      </c>
      <c r="E922" s="3" t="inlineStr">
        <is>
          <t>Finland</t>
        </is>
      </c>
      <c r="F922" s="3" t="inlineStr">
        <is>
          <t>Expenditure, General government, Percent of GDP</t>
        </is>
      </c>
      <c r="G922" s="3" t="n">
        <v>46.92857</v>
      </c>
      <c r="H922" s="3" t="n">
        <v>46.229592</v>
      </c>
      <c r="I922" s="3" t="n">
        <v>47.456211</v>
      </c>
      <c r="J922" s="3" t="n">
        <v>48.284931</v>
      </c>
      <c r="K922" s="3" t="n">
        <v>48.190449</v>
      </c>
      <c r="L922" s="3" t="n">
        <v>49.191697</v>
      </c>
      <c r="M922" s="3" t="n">
        <v>48.271733</v>
      </c>
      <c r="N922" s="3" t="n">
        <v>46.680459</v>
      </c>
      <c r="O922" s="3" t="n">
        <v>47.874679</v>
      </c>
      <c r="P922" s="3" t="n">
        <v>54.091397</v>
      </c>
      <c r="Q922" s="3" t="n">
        <v>54.017869</v>
      </c>
      <c r="R922" s="3" t="n">
        <v>53.832182</v>
      </c>
      <c r="S922" s="3" t="n">
        <v>55.697232</v>
      </c>
      <c r="T922" s="3" t="n">
        <v>57.106493</v>
      </c>
      <c r="U922" s="3" t="n">
        <v>57.625027</v>
      </c>
      <c r="V922" s="3" t="n">
        <v>55.74332</v>
      </c>
      <c r="W922" s="3" t="n">
        <v>55.103678</v>
      </c>
      <c r="X922" s="3" t="n">
        <v>52.849501</v>
      </c>
      <c r="Y922" s="3" t="n">
        <v>52.665962</v>
      </c>
      <c r="Z922" s="3" t="n">
        <v>52.599385</v>
      </c>
      <c r="AA922" s="3" t="n">
        <v>56.452766</v>
      </c>
      <c r="AB922" s="3" t="n">
        <v>55.153881</v>
      </c>
      <c r="AC922" s="3" t="n">
        <v>52.63682</v>
      </c>
      <c r="AD922" s="3" t="n">
        <v>55.950624</v>
      </c>
      <c r="AE922" s="3" t="n">
        <v>57.756175</v>
      </c>
      <c r="AF922" s="3" t="n">
        <v>57.56454</v>
      </c>
      <c r="AG922" s="3" t="n">
        <v>58.651574</v>
      </c>
      <c r="AH922" s="3" t="n">
        <v>57.995656</v>
      </c>
      <c r="AI922" s="3" t="n">
        <v>57.583468</v>
      </c>
      <c r="AJ922" s="3" t="n">
        <v>57.571039</v>
      </c>
      <c r="AK922" s="3" t="n">
        <v>57.421219</v>
      </c>
      <c r="AL922" s="3" t="n">
        <v>57.453833</v>
      </c>
      <c r="AM922" s="3" t="n"/>
      <c r="AN922" s="3" t="n"/>
      <c r="AO922" s="3" t="n"/>
      <c r="AP922" s="3" t="n"/>
      <c r="AQ922" s="3" t="n"/>
      <c r="AR922" s="3" t="n"/>
      <c r="AS922" s="3" t="n"/>
      <c r="AT922" s="3" t="n"/>
      <c r="AU922" s="3" t="n"/>
    </row>
    <row r="923">
      <c r="A923" s="3" t="n">
        <v>2027</v>
      </c>
      <c r="B923" s="3" t="inlineStr">
        <is>
          <t>FIN</t>
        </is>
      </c>
      <c r="C923" s="3" t="inlineStr">
        <is>
          <t>IMF.RES:WEO</t>
        </is>
      </c>
      <c r="D923" s="3" t="inlineStr">
        <is>
          <t>FIN.LE.A</t>
        </is>
      </c>
      <c r="E923" s="3" t="inlineStr">
        <is>
          <t>Finland</t>
        </is>
      </c>
      <c r="F923" s="3" t="inlineStr">
        <is>
          <t>Employed persons, Persons for countries / Index for country groups</t>
        </is>
      </c>
      <c r="G923" s="3" t="n">
        <v>2.309667</v>
      </c>
      <c r="H923" s="3" t="n">
        <v>2.341167</v>
      </c>
      <c r="I923" s="3" t="n">
        <v>2.346083</v>
      </c>
      <c r="J923" s="3" t="n">
        <v>2.33875</v>
      </c>
      <c r="K923" s="3" t="n">
        <v>2.338833</v>
      </c>
      <c r="L923" s="3" t="n">
        <v>2.3745</v>
      </c>
      <c r="M923" s="3" t="n">
        <v>2.416667</v>
      </c>
      <c r="N923" s="3" t="n">
        <v>2.4645</v>
      </c>
      <c r="O923" s="3" t="n">
        <v>2.503</v>
      </c>
      <c r="P923" s="3" t="n">
        <v>2.428083</v>
      </c>
      <c r="Q923" s="3" t="n">
        <v>2.41175</v>
      </c>
      <c r="R923" s="3" t="n">
        <v>2.439167</v>
      </c>
      <c r="S923" s="3" t="n">
        <v>2.449917</v>
      </c>
      <c r="T923" s="3" t="n">
        <v>2.426917</v>
      </c>
      <c r="U923" s="3" t="n">
        <v>2.41825</v>
      </c>
      <c r="V923" s="3" t="n">
        <v>2.40125</v>
      </c>
      <c r="W923" s="3" t="n">
        <v>2.414833</v>
      </c>
      <c r="X923" s="3" t="n">
        <v>2.438333</v>
      </c>
      <c r="Y923" s="3" t="n">
        <v>2.507</v>
      </c>
      <c r="Z923" s="3" t="n">
        <v>2.53325</v>
      </c>
      <c r="AA923" s="3" t="n">
        <v>2.494167</v>
      </c>
      <c r="AB923" s="3" t="n">
        <v>2.552917</v>
      </c>
      <c r="AC923" s="3" t="n">
        <v>2.618333</v>
      </c>
      <c r="AD923" s="3" t="n">
        <v>2.6255</v>
      </c>
      <c r="AE923" s="3" t="n">
        <v>2.601833</v>
      </c>
      <c r="AF923" s="3" t="n">
        <v>2.588583</v>
      </c>
      <c r="AG923" s="3" t="n">
        <v>2.598938</v>
      </c>
      <c r="AH923" s="3" t="n">
        <v>2.619729</v>
      </c>
      <c r="AI923" s="3" t="n"/>
      <c r="AJ923" s="3" t="n"/>
      <c r="AK923" s="3" t="n"/>
      <c r="AL923" s="3" t="n"/>
      <c r="AM923" s="3" t="n"/>
      <c r="AN923" s="3" t="n"/>
      <c r="AO923" s="3" t="n"/>
      <c r="AP923" s="3" t="n"/>
      <c r="AQ923" s="3" t="n"/>
      <c r="AR923" s="3" t="n"/>
      <c r="AS923" s="3" t="n"/>
      <c r="AT923" s="3" t="n"/>
      <c r="AU923" s="3" t="n"/>
    </row>
    <row r="924">
      <c r="A924" s="3" t="n">
        <v>2031</v>
      </c>
      <c r="B924" s="3" t="inlineStr">
        <is>
          <t>FIN</t>
        </is>
      </c>
      <c r="C924" s="3" t="inlineStr">
        <is>
          <t>IMF.RES:WEO</t>
        </is>
      </c>
      <c r="D924" s="3" t="inlineStr">
        <is>
          <t>FIN.LP.A</t>
        </is>
      </c>
      <c r="E924" s="3" t="inlineStr">
        <is>
          <t>Finland</t>
        </is>
      </c>
      <c r="F924" s="3" t="inlineStr">
        <is>
          <t>Population, Persons for countries / Index for country groups</t>
        </is>
      </c>
      <c r="G924" s="3" t="n">
        <v>5.171302</v>
      </c>
      <c r="H924" s="3" t="n">
        <v>5.181115</v>
      </c>
      <c r="I924" s="3" t="n">
        <v>5.194901</v>
      </c>
      <c r="J924" s="3" t="n">
        <v>5.206295</v>
      </c>
      <c r="K924" s="3" t="n">
        <v>5.219732</v>
      </c>
      <c r="L924" s="3" t="n">
        <v>5.236611</v>
      </c>
      <c r="M924" s="3" t="n">
        <v>5.25558</v>
      </c>
      <c r="N924" s="3" t="n">
        <v>5.276955</v>
      </c>
      <c r="O924" s="3" t="n">
        <v>5.300484</v>
      </c>
      <c r="P924" s="3" t="n">
        <v>5.326314</v>
      </c>
      <c r="Q924" s="3" t="n">
        <v>5.351427</v>
      </c>
      <c r="R924" s="3" t="n">
        <v>5.375276</v>
      </c>
      <c r="S924" s="3" t="n">
        <v>5.401267</v>
      </c>
      <c r="T924" s="3" t="n">
        <v>5.426674</v>
      </c>
      <c r="U924" s="3" t="n">
        <v>5.45127</v>
      </c>
      <c r="V924" s="3" t="n">
        <v>5.471753</v>
      </c>
      <c r="W924" s="3" t="n">
        <v>5.487308</v>
      </c>
      <c r="X924" s="3" t="n">
        <v>5.503297</v>
      </c>
      <c r="Y924" s="3" t="n">
        <v>5.51313</v>
      </c>
      <c r="Z924" s="3" t="n">
        <v>5.517919</v>
      </c>
      <c r="AA924" s="3" t="n">
        <v>5.525292</v>
      </c>
      <c r="AB924" s="3" t="n">
        <v>5.533793</v>
      </c>
      <c r="AC924" s="3" t="n">
        <v>5.548241</v>
      </c>
      <c r="AD924" s="3" t="n">
        <v>5.56397</v>
      </c>
      <c r="AE924" s="3" t="n">
        <v>5.603851</v>
      </c>
      <c r="AF924" s="3" t="n">
        <v>5.611675</v>
      </c>
      <c r="AG924" s="3" t="n">
        <v>5.615676</v>
      </c>
      <c r="AH924" s="3" t="n">
        <v>5.615734</v>
      </c>
      <c r="AI924" s="3" t="n">
        <v>5.611875</v>
      </c>
      <c r="AJ924" s="3" t="n">
        <v>5.607634</v>
      </c>
      <c r="AK924" s="3" t="n">
        <v>5.602784</v>
      </c>
      <c r="AL924" s="3" t="n">
        <v>5.59739</v>
      </c>
      <c r="AM924" s="3" t="n"/>
      <c r="AN924" s="3" t="n"/>
      <c r="AO924" s="3" t="n"/>
      <c r="AP924" s="3" t="n"/>
      <c r="AQ924" s="3" t="n"/>
      <c r="AR924" s="3" t="n"/>
      <c r="AS924" s="3" t="n"/>
      <c r="AT924" s="3" t="n"/>
      <c r="AU924" s="3" t="n"/>
    </row>
    <row r="925">
      <c r="A925" s="3" t="n">
        <v>2031</v>
      </c>
      <c r="B925" s="3" t="inlineStr">
        <is>
          <t>FIN</t>
        </is>
      </c>
      <c r="C925" s="3" t="inlineStr">
        <is>
          <t>IMF.RES:WEO</t>
        </is>
      </c>
      <c r="D925" s="3" t="inlineStr">
        <is>
          <t>FIN.NGDP.A</t>
        </is>
      </c>
      <c r="E925" s="3" t="inlineStr">
        <is>
          <t>Finland</t>
        </is>
      </c>
      <c r="F925" s="3" t="inlineStr">
        <is>
          <t>Gross domestic product (GDP), Current prices, Domestic currency</t>
        </is>
      </c>
      <c r="G925" s="3" t="n">
        <v>136.386</v>
      </c>
      <c r="H925" s="3" t="n">
        <v>144.613</v>
      </c>
      <c r="I925" s="3" t="n">
        <v>148.44</v>
      </c>
      <c r="J925" s="3" t="n">
        <v>151.714</v>
      </c>
      <c r="K925" s="3" t="n">
        <v>158.741</v>
      </c>
      <c r="L925" s="3" t="n">
        <v>164.666</v>
      </c>
      <c r="M925" s="3" t="n">
        <v>172.861</v>
      </c>
      <c r="N925" s="3" t="n">
        <v>187.059</v>
      </c>
      <c r="O925" s="3" t="n">
        <v>194.253</v>
      </c>
      <c r="P925" s="3" t="n">
        <v>181.735</v>
      </c>
      <c r="Q925" s="3" t="n">
        <v>188.147</v>
      </c>
      <c r="R925" s="3" t="n">
        <v>197.655</v>
      </c>
      <c r="S925" s="3" t="n">
        <v>200.378</v>
      </c>
      <c r="T925" s="3" t="n">
        <v>203.497</v>
      </c>
      <c r="U925" s="3" t="n">
        <v>205.855</v>
      </c>
      <c r="V925" s="3" t="n">
        <v>210.192</v>
      </c>
      <c r="W925" s="3" t="n">
        <v>215.717</v>
      </c>
      <c r="X925" s="3" t="n">
        <v>224.706</v>
      </c>
      <c r="Y925" s="3" t="n">
        <v>231.905</v>
      </c>
      <c r="Z925" s="3" t="n">
        <v>238.518</v>
      </c>
      <c r="AA925" s="3" t="n">
        <v>236.387</v>
      </c>
      <c r="AB925" s="3" t="n">
        <v>248.764</v>
      </c>
      <c r="AC925" s="3" t="n">
        <v>266.135</v>
      </c>
      <c r="AD925" s="3" t="n">
        <v>273.005</v>
      </c>
      <c r="AE925" s="3" t="n">
        <v>275.993</v>
      </c>
      <c r="AF925" s="3" t="n">
        <v>280.57</v>
      </c>
      <c r="AG925" s="3" t="n">
        <v>286.349618</v>
      </c>
      <c r="AH925" s="3" t="n">
        <v>297.751229</v>
      </c>
      <c r="AI925" s="3" t="n">
        <v>308.250243</v>
      </c>
      <c r="AJ925" s="3" t="n">
        <v>319.59222</v>
      </c>
      <c r="AK925" s="3" t="n">
        <v>331.427418</v>
      </c>
      <c r="AL925" s="3" t="n">
        <v>343.26428</v>
      </c>
      <c r="AM925" s="3" t="n"/>
      <c r="AN925" s="3" t="n"/>
      <c r="AO925" s="3" t="n"/>
      <c r="AP925" s="3" t="n"/>
      <c r="AQ925" s="3" t="n"/>
      <c r="AR925" s="3" t="n"/>
      <c r="AS925" s="3" t="n"/>
      <c r="AT925" s="3" t="n"/>
      <c r="AU925" s="3" t="n"/>
    </row>
    <row r="926">
      <c r="A926" s="3" t="n">
        <v>2031</v>
      </c>
      <c r="B926" s="3" t="inlineStr">
        <is>
          <t>FIN</t>
        </is>
      </c>
      <c r="C926" s="3" t="inlineStr">
        <is>
          <t>IMF.RES:WEO</t>
        </is>
      </c>
      <c r="D926" s="3" t="inlineStr">
        <is>
          <t>FIN.NGDP_D.A</t>
        </is>
      </c>
      <c r="E926" s="3" t="inlineStr">
        <is>
          <t>Finland</t>
        </is>
      </c>
      <c r="F926" s="3" t="inlineStr">
        <is>
          <t>Gross domestic product (GDP), Price deflator, Index</t>
        </is>
      </c>
      <c r="G926" s="3" t="n">
        <v>77.18942800000001</v>
      </c>
      <c r="H926" s="3" t="n">
        <v>79.74028800000001</v>
      </c>
      <c r="I926" s="3" t="n">
        <v>80.492368</v>
      </c>
      <c r="J926" s="3" t="n">
        <v>80.64531599999999</v>
      </c>
      <c r="K926" s="3" t="n">
        <v>81.131044</v>
      </c>
      <c r="L926" s="3" t="n">
        <v>81.884681</v>
      </c>
      <c r="M926" s="3" t="n">
        <v>82.638232</v>
      </c>
      <c r="N926" s="3" t="n">
        <v>84.914114</v>
      </c>
      <c r="O926" s="3" t="n">
        <v>87.493863</v>
      </c>
      <c r="P926" s="3" t="n">
        <v>89.046935</v>
      </c>
      <c r="Q926" s="3" t="n">
        <v>89.358074</v>
      </c>
      <c r="R926" s="3" t="n">
        <v>91.68309499999999</v>
      </c>
      <c r="S926" s="3" t="n">
        <v>94.383917</v>
      </c>
      <c r="T926" s="3" t="n">
        <v>96.801461</v>
      </c>
      <c r="U926" s="3" t="n">
        <v>98.39352599999999</v>
      </c>
      <c r="V926" s="3" t="n">
        <v>100</v>
      </c>
      <c r="W926" s="3" t="n">
        <v>100.055195</v>
      </c>
      <c r="X926" s="3" t="n">
        <v>100.891703</v>
      </c>
      <c r="Y926" s="3" t="n">
        <v>102.89648</v>
      </c>
      <c r="Z926" s="3" t="n">
        <v>104.421261</v>
      </c>
      <c r="AA926" s="3" t="n">
        <v>106.132116</v>
      </c>
      <c r="AB926" s="3" t="n">
        <v>108.777822</v>
      </c>
      <c r="AC926" s="3" t="n">
        <v>115.492438</v>
      </c>
      <c r="AD926" s="3" t="n">
        <v>120.02119</v>
      </c>
      <c r="AE926" s="3" t="n">
        <v>120.882023</v>
      </c>
      <c r="AF926" s="3" t="n">
        <v>122.673931</v>
      </c>
      <c r="AG926" s="3" t="n">
        <v>123.904025</v>
      </c>
      <c r="AH926" s="3" t="n">
        <v>126.925958</v>
      </c>
      <c r="AI926" s="3" t="n">
        <v>129.612323</v>
      </c>
      <c r="AJ926" s="3" t="n">
        <v>132.530448</v>
      </c>
      <c r="AK926" s="3" t="n">
        <v>135.823881</v>
      </c>
      <c r="AL926" s="3" t="n">
        <v>139.044041</v>
      </c>
      <c r="AM926" s="3" t="n"/>
      <c r="AN926" s="3" t="n"/>
      <c r="AO926" s="3" t="n"/>
      <c r="AP926" s="3" t="n"/>
      <c r="AQ926" s="3" t="n"/>
      <c r="AR926" s="3" t="n"/>
      <c r="AS926" s="3" t="n"/>
      <c r="AT926" s="3" t="n"/>
      <c r="AU926" s="3" t="n"/>
    </row>
    <row r="927">
      <c r="A927" s="3" t="n">
        <v>2031</v>
      </c>
      <c r="B927" s="3" t="inlineStr">
        <is>
          <t>FIN</t>
        </is>
      </c>
      <c r="C927" s="3" t="inlineStr">
        <is>
          <t>IMF.RES:WEO</t>
        </is>
      </c>
      <c r="D927" s="3" t="inlineStr">
        <is>
          <t>FIN.NGDP_R.A</t>
        </is>
      </c>
      <c r="E927" s="3" t="inlineStr">
        <is>
          <t>Finland</t>
        </is>
      </c>
      <c r="F927" s="3" t="inlineStr">
        <is>
          <t>Gross domestic product (GDP), Constant prices, Domestic currency</t>
        </is>
      </c>
      <c r="G927" s="3" t="n">
        <v>176.69</v>
      </c>
      <c r="H927" s="3" t="n">
        <v>181.355</v>
      </c>
      <c r="I927" s="3" t="n">
        <v>184.415</v>
      </c>
      <c r="J927" s="3" t="n">
        <v>188.125</v>
      </c>
      <c r="K927" s="3" t="n">
        <v>195.66</v>
      </c>
      <c r="L927" s="3" t="n">
        <v>201.095</v>
      </c>
      <c r="M927" s="3" t="n">
        <v>209.178</v>
      </c>
      <c r="N927" s="3" t="n">
        <v>220.292</v>
      </c>
      <c r="O927" s="3" t="n">
        <v>222.019</v>
      </c>
      <c r="P927" s="3" t="n">
        <v>204.089</v>
      </c>
      <c r="Q927" s="3" t="n">
        <v>210.554</v>
      </c>
      <c r="R927" s="3" t="n">
        <v>215.585</v>
      </c>
      <c r="S927" s="3" t="n">
        <v>212.301</v>
      </c>
      <c r="T927" s="3" t="n">
        <v>210.221</v>
      </c>
      <c r="U927" s="3" t="n">
        <v>209.216</v>
      </c>
      <c r="V927" s="3" t="n">
        <v>210.192</v>
      </c>
      <c r="W927" s="3" t="n">
        <v>215.598</v>
      </c>
      <c r="X927" s="3" t="n">
        <v>222.72</v>
      </c>
      <c r="Y927" s="3" t="n">
        <v>225.377</v>
      </c>
      <c r="Z927" s="3" t="n">
        <v>228.419</v>
      </c>
      <c r="AA927" s="3" t="n">
        <v>222.729</v>
      </c>
      <c r="AB927" s="3" t="n">
        <v>228.69</v>
      </c>
      <c r="AC927" s="3" t="n">
        <v>230.435</v>
      </c>
      <c r="AD927" s="3" t="n">
        <v>227.464</v>
      </c>
      <c r="AE927" s="3" t="n">
        <v>228.316</v>
      </c>
      <c r="AF927" s="3" t="n">
        <v>228.712</v>
      </c>
      <c r="AG927" s="3" t="n">
        <v>231.105986</v>
      </c>
      <c r="AH927" s="3" t="n">
        <v>234.586551</v>
      </c>
      <c r="AI927" s="3" t="n">
        <v>237.824796</v>
      </c>
      <c r="AJ927" s="3" t="n">
        <v>241.146261</v>
      </c>
      <c r="AK927" s="3" t="n">
        <v>244.012625</v>
      </c>
      <c r="AL927" s="3" t="n">
        <v>246.874499</v>
      </c>
      <c r="AM927" s="3" t="n"/>
      <c r="AN927" s="3" t="n"/>
      <c r="AO927" s="3" t="n"/>
      <c r="AP927" s="3" t="n"/>
      <c r="AQ927" s="3" t="n"/>
      <c r="AR927" s="3" t="n"/>
      <c r="AS927" s="3" t="n"/>
      <c r="AT927" s="3" t="n"/>
      <c r="AU927" s="3" t="n"/>
    </row>
    <row r="928">
      <c r="A928" s="3" t="n">
        <v>2031</v>
      </c>
      <c r="B928" s="3" t="inlineStr">
        <is>
          <t>FIN</t>
        </is>
      </c>
      <c r="C928" s="3" t="inlineStr">
        <is>
          <t>IMF.RES:WEO</t>
        </is>
      </c>
      <c r="D928" s="3" t="inlineStr">
        <is>
          <t>FIN.NGDP_RPCH.A</t>
        </is>
      </c>
      <c r="E928" s="3" t="inlineStr">
        <is>
          <t>Finland</t>
        </is>
      </c>
      <c r="F928" s="3" t="inlineStr">
        <is>
          <t>Gross domestic product (GDP), Constant prices, Percent change</t>
        </is>
      </c>
      <c r="G928" s="3" t="n">
        <v>5.753635</v>
      </c>
      <c r="H928" s="3" t="n">
        <v>2.640217</v>
      </c>
      <c r="I928" s="3" t="n">
        <v>1.687298</v>
      </c>
      <c r="J928" s="3" t="n">
        <v>2.011767</v>
      </c>
      <c r="K928" s="3" t="n">
        <v>4.005316</v>
      </c>
      <c r="L928" s="3" t="n">
        <v>2.777778</v>
      </c>
      <c r="M928" s="3" t="n">
        <v>4.019493</v>
      </c>
      <c r="N928" s="3" t="n">
        <v>5.313178</v>
      </c>
      <c r="O928" s="3" t="n">
        <v>0.783959</v>
      </c>
      <c r="P928" s="3" t="n">
        <v>-8.075885</v>
      </c>
      <c r="Q928" s="3" t="n">
        <v>3.167736</v>
      </c>
      <c r="R928" s="3" t="n">
        <v>2.389411</v>
      </c>
      <c r="S928" s="3" t="n">
        <v>-1.523297</v>
      </c>
      <c r="T928" s="3" t="n">
        <v>-0.979741</v>
      </c>
      <c r="U928" s="3" t="n">
        <v>-0.478068</v>
      </c>
      <c r="V928" s="3" t="n">
        <v>0.466504</v>
      </c>
      <c r="W928" s="3" t="n">
        <v>2.571934</v>
      </c>
      <c r="X928" s="3" t="n">
        <v>3.30337</v>
      </c>
      <c r="Y928" s="3" t="n">
        <v>1.192978</v>
      </c>
      <c r="Z928" s="3" t="n">
        <v>1.349738</v>
      </c>
      <c r="AA928" s="3" t="n">
        <v>-2.491036</v>
      </c>
      <c r="AB928" s="3" t="n">
        <v>2.676347</v>
      </c>
      <c r="AC928" s="3" t="n">
        <v>0.763042</v>
      </c>
      <c r="AD928" s="3" t="n">
        <v>-1.289301</v>
      </c>
      <c r="AE928" s="3" t="n">
        <v>0.374565</v>
      </c>
      <c r="AF928" s="3" t="n">
        <v>0.173444</v>
      </c>
      <c r="AG928" s="3" t="n">
        <v>1.046725</v>
      </c>
      <c r="AH928" s="3" t="n">
        <v>1.506047</v>
      </c>
      <c r="AI928" s="3" t="n">
        <v>1.380405</v>
      </c>
      <c r="AJ928" s="3" t="n">
        <v>1.396602</v>
      </c>
      <c r="AK928" s="3" t="n">
        <v>1.188641</v>
      </c>
      <c r="AL928" s="3" t="n">
        <v>1.172838</v>
      </c>
      <c r="AM928" s="3" t="n"/>
      <c r="AN928" s="3" t="n"/>
      <c r="AO928" s="3" t="n"/>
      <c r="AP928" s="3" t="n"/>
      <c r="AQ928" s="3" t="n"/>
      <c r="AR928" s="3" t="n"/>
      <c r="AS928" s="3" t="n"/>
      <c r="AT928" s="3" t="n"/>
      <c r="AU928" s="3" t="n"/>
    </row>
    <row r="929">
      <c r="A929" s="3" t="n">
        <v>2031</v>
      </c>
      <c r="B929" s="3" t="inlineStr">
        <is>
          <t>FIN</t>
        </is>
      </c>
      <c r="C929" s="3" t="inlineStr">
        <is>
          <t>IMF.RES:WEO</t>
        </is>
      </c>
      <c r="D929" s="3" t="inlineStr">
        <is>
          <t>FIN.NGDPD.A</t>
        </is>
      </c>
      <c r="E929" s="3" t="inlineStr">
        <is>
          <t>Finland</t>
        </is>
      </c>
      <c r="F929" s="3" t="inlineStr">
        <is>
          <t>Gross domestic product (GDP), Current prices, US dollar</t>
        </is>
      </c>
      <c r="G929" s="3" t="n">
        <v>126.023473</v>
      </c>
      <c r="H929" s="3" t="n">
        <v>129.520556</v>
      </c>
      <c r="I929" s="3" t="n">
        <v>140.261782</v>
      </c>
      <c r="J929" s="3" t="n">
        <v>171.569897</v>
      </c>
      <c r="K929" s="3" t="n">
        <v>197.36867</v>
      </c>
      <c r="L929" s="3" t="n">
        <v>204.972602</v>
      </c>
      <c r="M929" s="3" t="n">
        <v>217.055568</v>
      </c>
      <c r="N929" s="3" t="n">
        <v>256.390469</v>
      </c>
      <c r="O929" s="3" t="n">
        <v>285.667362</v>
      </c>
      <c r="P929" s="3" t="n">
        <v>253.205548</v>
      </c>
      <c r="Q929" s="3" t="n">
        <v>249.633332</v>
      </c>
      <c r="R929" s="3" t="n">
        <v>275.078501</v>
      </c>
      <c r="S929" s="3" t="n">
        <v>257.60641</v>
      </c>
      <c r="T929" s="3" t="n">
        <v>270.271975</v>
      </c>
      <c r="U929" s="3" t="n">
        <v>273.54901</v>
      </c>
      <c r="V929" s="3" t="n">
        <v>233.234346</v>
      </c>
      <c r="W929" s="3" t="n">
        <v>238.711929</v>
      </c>
      <c r="X929" s="3" t="n">
        <v>253.75656</v>
      </c>
      <c r="Y929" s="3" t="n">
        <v>273.993448</v>
      </c>
      <c r="Z929" s="3" t="n">
        <v>267.04429</v>
      </c>
      <c r="AA929" s="3" t="n">
        <v>269.784195</v>
      </c>
      <c r="AB929" s="3" t="n">
        <v>294.41881</v>
      </c>
      <c r="AC929" s="3" t="n">
        <v>280.473575</v>
      </c>
      <c r="AD929" s="3" t="n">
        <v>295.276883</v>
      </c>
      <c r="AE929" s="3" t="n">
        <v>298.639489</v>
      </c>
      <c r="AF929" s="3" t="n">
        <v>316.859624</v>
      </c>
      <c r="AG929" s="3" t="n">
        <v>337.668869</v>
      </c>
      <c r="AH929" s="3" t="n">
        <v>350.305613</v>
      </c>
      <c r="AI929" s="3" t="n">
        <v>361.677314</v>
      </c>
      <c r="AJ929" s="3" t="n">
        <v>374.786362</v>
      </c>
      <c r="AK929" s="3" t="n">
        <v>388.604708</v>
      </c>
      <c r="AL929" s="3" t="n">
        <v>402.417351</v>
      </c>
      <c r="AM929" s="3" t="n"/>
      <c r="AN929" s="3" t="n"/>
      <c r="AO929" s="3" t="n"/>
      <c r="AP929" s="3" t="n"/>
      <c r="AQ929" s="3" t="n"/>
      <c r="AR929" s="3" t="n"/>
      <c r="AS929" s="3" t="n"/>
      <c r="AT929" s="3" t="n"/>
      <c r="AU929" s="3" t="n"/>
    </row>
    <row r="930">
      <c r="A930" s="3" t="n">
        <v>2031</v>
      </c>
      <c r="B930" s="3" t="inlineStr">
        <is>
          <t>FIN</t>
        </is>
      </c>
      <c r="C930" s="3" t="inlineStr">
        <is>
          <t>IMF.RES:WEO</t>
        </is>
      </c>
      <c r="D930" s="3" t="inlineStr">
        <is>
          <t>FIN.NGDPPC.A</t>
        </is>
      </c>
      <c r="E930" s="3" t="inlineStr">
        <is>
          <t>Finland</t>
        </is>
      </c>
      <c r="F930" s="3" t="inlineStr">
        <is>
          <t>Gross domestic product (GDP), Current prices, Per capita, Domestic currency</t>
        </is>
      </c>
      <c r="G930" s="3" t="n">
        <v>26373.628924</v>
      </c>
      <c r="H930" s="3" t="n">
        <v>27911.559577</v>
      </c>
      <c r="I930" s="3" t="n">
        <v>28574.173021</v>
      </c>
      <c r="J930" s="3" t="n">
        <v>29140.492423</v>
      </c>
      <c r="K930" s="3" t="n">
        <v>30411.714624</v>
      </c>
      <c r="L930" s="3" t="n">
        <v>31445.146489</v>
      </c>
      <c r="M930" s="3" t="n">
        <v>32890.946385</v>
      </c>
      <c r="N930" s="3" t="n">
        <v>35448.284096</v>
      </c>
      <c r="O930" s="3" t="n">
        <v>36648.162696</v>
      </c>
      <c r="P930" s="3" t="n">
        <v>34120.218973</v>
      </c>
      <c r="Q930" s="3" t="n">
        <v>35158.285818</v>
      </c>
      <c r="R930" s="3" t="n">
        <v>36771.135101</v>
      </c>
      <c r="S930" s="3" t="n">
        <v>37098.332669</v>
      </c>
      <c r="T930" s="3" t="n">
        <v>37499.3965</v>
      </c>
      <c r="U930" s="3" t="n">
        <v>37762.759871</v>
      </c>
      <c r="V930" s="3" t="n">
        <v>38414.014668</v>
      </c>
      <c r="W930" s="3" t="n">
        <v>39311.990506</v>
      </c>
      <c r="X930" s="3" t="n">
        <v>40831.159939</v>
      </c>
      <c r="Y930" s="3" t="n">
        <v>42064.126912</v>
      </c>
      <c r="Z930" s="3" t="n">
        <v>43226.078527</v>
      </c>
      <c r="AA930" s="3" t="n">
        <v>42782.71628</v>
      </c>
      <c r="AB930" s="3" t="n">
        <v>44953.614998</v>
      </c>
      <c r="AC930" s="3" t="n">
        <v>47967.45491</v>
      </c>
      <c r="AD930" s="3" t="n">
        <v>49066.583752</v>
      </c>
      <c r="AE930" s="3" t="n">
        <v>49250.595706</v>
      </c>
      <c r="AF930" s="3" t="n">
        <v>49997.550475</v>
      </c>
      <c r="AG930" s="3" t="n">
        <v>50991.117904</v>
      </c>
      <c r="AH930" s="3" t="n">
        <v>53020.891294</v>
      </c>
      <c r="AI930" s="3" t="n">
        <v>54928.210134</v>
      </c>
      <c r="AJ930" s="3" t="n">
        <v>56992.350379</v>
      </c>
      <c r="AK930" s="3" t="n">
        <v>59154.054661</v>
      </c>
      <c r="AL930" s="3" t="n">
        <v>61325.773928</v>
      </c>
      <c r="AM930" s="3" t="n"/>
      <c r="AN930" s="3" t="n"/>
      <c r="AO930" s="3" t="n"/>
      <c r="AP930" s="3" t="n"/>
      <c r="AQ930" s="3" t="n"/>
      <c r="AR930" s="3" t="n"/>
      <c r="AS930" s="3" t="n"/>
      <c r="AT930" s="3" t="n"/>
      <c r="AU930" s="3" t="n"/>
    </row>
    <row r="931">
      <c r="A931" s="3" t="n">
        <v>2031</v>
      </c>
      <c r="B931" s="3" t="inlineStr">
        <is>
          <t>FIN</t>
        </is>
      </c>
      <c r="C931" s="3" t="inlineStr">
        <is>
          <t>IMF.RES:WEO</t>
        </is>
      </c>
      <c r="D931" s="3" t="inlineStr">
        <is>
          <t>FIN.NGDPRPC.A</t>
        </is>
      </c>
      <c r="E931" s="3" t="inlineStr">
        <is>
          <t>Finland</t>
        </is>
      </c>
      <c r="F931" s="3" t="inlineStr">
        <is>
          <t>Gross domestic product (GDP), Constant prices, Per capita, Domestic currency</t>
        </is>
      </c>
      <c r="G931" s="3" t="n">
        <v>34167.410838</v>
      </c>
      <c r="H931" s="3" t="n">
        <v>35003.083313</v>
      </c>
      <c r="I931" s="3" t="n">
        <v>35499.232805</v>
      </c>
      <c r="J931" s="3" t="n">
        <v>36134.141458</v>
      </c>
      <c r="K931" s="3" t="n">
        <v>37484.683122</v>
      </c>
      <c r="L931" s="3" t="n">
        <v>38401.744945</v>
      </c>
      <c r="M931" s="3" t="n">
        <v>39801.125661</v>
      </c>
      <c r="N931" s="3" t="n">
        <v>41746.044831</v>
      </c>
      <c r="O931" s="3" t="n">
        <v>41886.552247</v>
      </c>
      <c r="P931" s="3" t="n">
        <v>38317.117616</v>
      </c>
      <c r="Q931" s="3" t="n">
        <v>39345.393294</v>
      </c>
      <c r="R931" s="3" t="n">
        <v>40106.777773</v>
      </c>
      <c r="S931" s="3" t="n">
        <v>39305.7777</v>
      </c>
      <c r="T931" s="3" t="n">
        <v>38738.461164</v>
      </c>
      <c r="U931" s="3" t="n">
        <v>38379.313444</v>
      </c>
      <c r="V931" s="3" t="n">
        <v>38414.014668</v>
      </c>
      <c r="W931" s="3" t="n">
        <v>39290.304098</v>
      </c>
      <c r="X931" s="3" t="n">
        <v>40470.285358</v>
      </c>
      <c r="Y931" s="3" t="n">
        <v>40880.044548</v>
      </c>
      <c r="Z931" s="3" t="n">
        <v>41395.859562</v>
      </c>
      <c r="AA931" s="3" t="n">
        <v>40310.810723</v>
      </c>
      <c r="AB931" s="3" t="n">
        <v>41326.08502</v>
      </c>
      <c r="AC931" s="3" t="n">
        <v>41532.983156</v>
      </c>
      <c r="AD931" s="3" t="n">
        <v>40881.600728</v>
      </c>
      <c r="AE931" s="3" t="n">
        <v>40742.696406</v>
      </c>
      <c r="AF931" s="3" t="n">
        <v>40756.459223</v>
      </c>
      <c r="AG931" s="3" t="n">
        <v>41153.721963</v>
      </c>
      <c r="AH931" s="3" t="n">
        <v>41773.087192</v>
      </c>
      <c r="AI931" s="3" t="n">
        <v>42378.848596</v>
      </c>
      <c r="AJ931" s="3" t="n">
        <v>43003.212719</v>
      </c>
      <c r="AK931" s="3" t="n">
        <v>43552.027903</v>
      </c>
      <c r="AL931" s="3" t="n">
        <v>44105.28744</v>
      </c>
      <c r="AM931" s="3" t="n"/>
      <c r="AN931" s="3" t="n"/>
      <c r="AO931" s="3" t="n"/>
      <c r="AP931" s="3" t="n"/>
      <c r="AQ931" s="3" t="n"/>
      <c r="AR931" s="3" t="n"/>
      <c r="AS931" s="3" t="n"/>
      <c r="AT931" s="3" t="n"/>
      <c r="AU931" s="3" t="n"/>
    </row>
    <row r="932">
      <c r="A932" s="3" t="n">
        <v>2031</v>
      </c>
      <c r="B932" s="3" t="inlineStr">
        <is>
          <t>FIN</t>
        </is>
      </c>
      <c r="C932" s="3" t="inlineStr">
        <is>
          <t>IMF.RES:WEO</t>
        </is>
      </c>
      <c r="D932" s="3" t="inlineStr">
        <is>
          <t>FIN.PCPI.A</t>
        </is>
      </c>
      <c r="E932" s="3" t="inlineStr">
        <is>
          <t>Finland</t>
        </is>
      </c>
      <c r="F932" s="3" t="inlineStr">
        <is>
          <t>All Items, Consumer price index (CPI), Period average</t>
        </is>
      </c>
      <c r="G932" s="3" t="n">
        <v>62.935</v>
      </c>
      <c r="H932" s="3" t="n">
        <v>64.61499999999999</v>
      </c>
      <c r="I932" s="3" t="n">
        <v>65.91</v>
      </c>
      <c r="J932" s="3" t="n">
        <v>66.76083300000001</v>
      </c>
      <c r="K932" s="3" t="n">
        <v>66.86</v>
      </c>
      <c r="L932" s="3" t="n">
        <v>67.375833</v>
      </c>
      <c r="M932" s="3" t="n">
        <v>68.236667</v>
      </c>
      <c r="N932" s="3" t="n">
        <v>69.3175</v>
      </c>
      <c r="O932" s="3" t="n">
        <v>72.030833</v>
      </c>
      <c r="P932" s="3" t="n">
        <v>73.206667</v>
      </c>
      <c r="Q932" s="3" t="n">
        <v>74.4425</v>
      </c>
      <c r="R932" s="3" t="n">
        <v>76.916667</v>
      </c>
      <c r="S932" s="3" t="n">
        <v>79.348333</v>
      </c>
      <c r="T932" s="3" t="n">
        <v>81.108333</v>
      </c>
      <c r="U932" s="3" t="n">
        <v>82.08750000000001</v>
      </c>
      <c r="V932" s="3" t="n">
        <v>81.95999999999999</v>
      </c>
      <c r="W932" s="3" t="n">
        <v>82.279167</v>
      </c>
      <c r="X932" s="3" t="n">
        <v>82.97</v>
      </c>
      <c r="Y932" s="3" t="n">
        <v>83.939167</v>
      </c>
      <c r="Z932" s="3" t="n">
        <v>84.8925</v>
      </c>
      <c r="AA932" s="3" t="n">
        <v>85.216667</v>
      </c>
      <c r="AB932" s="3" t="n">
        <v>86.98</v>
      </c>
      <c r="AC932" s="3" t="n">
        <v>93.2175</v>
      </c>
      <c r="AD932" s="3" t="n">
        <v>97.263333</v>
      </c>
      <c r="AE932" s="3" t="n">
        <v>98.21250000000001</v>
      </c>
      <c r="AF932" s="3" t="n">
        <v>100</v>
      </c>
      <c r="AG932" s="3" t="n">
        <v>102.505601</v>
      </c>
      <c r="AH932" s="3" t="n">
        <v>104.765213</v>
      </c>
      <c r="AI932" s="3" t="n">
        <v>106.860517</v>
      </c>
      <c r="AJ932" s="3" t="n">
        <v>108.997728</v>
      </c>
      <c r="AK932" s="3" t="n">
        <v>111.177682</v>
      </c>
      <c r="AL932" s="3" t="n">
        <v>113.401236</v>
      </c>
      <c r="AM932" s="3" t="n"/>
      <c r="AN932" s="3" t="n"/>
      <c r="AO932" s="3" t="n"/>
      <c r="AP932" s="3" t="n"/>
      <c r="AQ932" s="3" t="n"/>
      <c r="AR932" s="3" t="n"/>
      <c r="AS932" s="3" t="n"/>
      <c r="AT932" s="3" t="n"/>
      <c r="AU932" s="3" t="n"/>
    </row>
    <row r="933">
      <c r="A933" s="3" t="n">
        <v>2031</v>
      </c>
      <c r="B933" s="3" t="inlineStr">
        <is>
          <t>FIN</t>
        </is>
      </c>
      <c r="C933" s="3" t="inlineStr">
        <is>
          <t>IMF.RES:WEO</t>
        </is>
      </c>
      <c r="D933" s="3" t="inlineStr">
        <is>
          <t>FIN.PCPIPCH.A</t>
        </is>
      </c>
      <c r="E933" s="3" t="inlineStr">
        <is>
          <t>Finland</t>
        </is>
      </c>
      <c r="F933" s="3" t="inlineStr">
        <is>
          <t>All Items, Consumer price index (CPI), Period average, percent change</t>
        </is>
      </c>
      <c r="G933" s="3" t="n">
        <v>2.952724</v>
      </c>
      <c r="H933" s="3" t="n">
        <v>2.669421</v>
      </c>
      <c r="I933" s="3" t="n">
        <v>2.004179</v>
      </c>
      <c r="J933" s="3" t="n">
        <v>1.290902</v>
      </c>
      <c r="K933" s="3" t="n">
        <v>0.14854</v>
      </c>
      <c r="L933" s="3" t="n">
        <v>0.771513</v>
      </c>
      <c r="M933" s="3" t="n">
        <v>1.277659</v>
      </c>
      <c r="N933" s="3" t="n">
        <v>1.583948</v>
      </c>
      <c r="O933" s="3" t="n">
        <v>3.914355</v>
      </c>
      <c r="P933" s="3" t="n">
        <v>1.632403</v>
      </c>
      <c r="Q933" s="3" t="n">
        <v>1.688143</v>
      </c>
      <c r="R933" s="3" t="n">
        <v>3.323594</v>
      </c>
      <c r="S933" s="3" t="n">
        <v>3.16143</v>
      </c>
      <c r="T933" s="3" t="n">
        <v>2.218068</v>
      </c>
      <c r="U933" s="3" t="n">
        <v>1.207233</v>
      </c>
      <c r="V933" s="3" t="n">
        <v>-0.155322</v>
      </c>
      <c r="W933" s="3" t="n">
        <v>0.389418</v>
      </c>
      <c r="X933" s="3" t="n">
        <v>0.839621</v>
      </c>
      <c r="Y933" s="3" t="n">
        <v>1.168093</v>
      </c>
      <c r="Z933" s="3" t="n">
        <v>1.135743</v>
      </c>
      <c r="AA933" s="3" t="n">
        <v>0.381855</v>
      </c>
      <c r="AB933" s="3" t="n">
        <v>2.069235</v>
      </c>
      <c r="AC933" s="3" t="n">
        <v>7.171189</v>
      </c>
      <c r="AD933" s="3" t="n">
        <v>4.340208</v>
      </c>
      <c r="AE933" s="3" t="n">
        <v>0.975873</v>
      </c>
      <c r="AF933" s="3" t="n">
        <v>1.820033</v>
      </c>
      <c r="AG933" s="3" t="n">
        <v>2.505601</v>
      </c>
      <c r="AH933" s="3" t="n">
        <v>2.20438</v>
      </c>
      <c r="AI933" s="3" t="n">
        <v>2</v>
      </c>
      <c r="AJ933" s="3" t="n">
        <v>2</v>
      </c>
      <c r="AK933" s="3" t="n">
        <v>2</v>
      </c>
      <c r="AL933" s="3" t="n">
        <v>2</v>
      </c>
      <c r="AM933" s="3" t="n"/>
      <c r="AN933" s="3" t="n"/>
      <c r="AO933" s="3" t="n"/>
      <c r="AP933" s="3" t="n"/>
      <c r="AQ933" s="3" t="n"/>
      <c r="AR933" s="3" t="n"/>
      <c r="AS933" s="3" t="n"/>
      <c r="AT933" s="3" t="n"/>
      <c r="AU933" s="3" t="n"/>
    </row>
    <row r="934">
      <c r="A934" s="3" t="n">
        <v>2031</v>
      </c>
      <c r="B934" s="3" t="inlineStr">
        <is>
          <t>FIN</t>
        </is>
      </c>
      <c r="C934" s="3" t="inlineStr">
        <is>
          <t>IMF.RES:WEO</t>
        </is>
      </c>
      <c r="D934" s="3" t="inlineStr">
        <is>
          <t>FIN.PPPPC.A</t>
        </is>
      </c>
      <c r="E934" s="3" t="inlineStr">
        <is>
          <t>Finland</t>
        </is>
      </c>
      <c r="F934" s="3" t="inlineStr">
        <is>
          <t>Gross domestic product (GDP), Per capita, purchasing power parity (PPP) international dollar, ICP benchmarks 2017-2021</t>
        </is>
      </c>
      <c r="G934" s="3" t="n">
        <v>29026.441609</v>
      </c>
      <c r="H934" s="3" t="n">
        <v>30405.925651</v>
      </c>
      <c r="I934" s="3" t="n">
        <v>31316.129616</v>
      </c>
      <c r="J934" s="3" t="n">
        <v>32505.528288</v>
      </c>
      <c r="K934" s="3" t="n">
        <v>34627.150483</v>
      </c>
      <c r="L934" s="3" t="n">
        <v>36586.713439</v>
      </c>
      <c r="M934" s="3" t="n">
        <v>39089.360095</v>
      </c>
      <c r="N934" s="3" t="n">
        <v>42110.285312</v>
      </c>
      <c r="O934" s="3" t="n">
        <v>43065.966323</v>
      </c>
      <c r="P934" s="3" t="n">
        <v>39638.997706</v>
      </c>
      <c r="Q934" s="3" t="n">
        <v>41197.438118</v>
      </c>
      <c r="R934" s="3" t="n">
        <v>42861.116252</v>
      </c>
      <c r="S934" s="3" t="n">
        <v>42787.213979</v>
      </c>
      <c r="T934" s="3" t="n">
        <v>42887.377924</v>
      </c>
      <c r="U934" s="3" t="n">
        <v>43229.815778</v>
      </c>
      <c r="V934" s="3" t="n">
        <v>43670.461102</v>
      </c>
      <c r="W934" s="3" t="n">
        <v>45091.092197</v>
      </c>
      <c r="X934" s="3" t="n">
        <v>47277.068698</v>
      </c>
      <c r="Y934" s="3" t="n">
        <v>49270.068762</v>
      </c>
      <c r="Z934" s="3" t="n">
        <v>52311.043068</v>
      </c>
      <c r="AA934" s="3" t="n">
        <v>53337.577311</v>
      </c>
      <c r="AB934" s="3" t="n">
        <v>57425.707435</v>
      </c>
      <c r="AC934" s="3" t="n">
        <v>61818.010282</v>
      </c>
      <c r="AD934" s="3" t="n">
        <v>63099.902033</v>
      </c>
      <c r="AE934" s="3" t="n">
        <v>64446.666962</v>
      </c>
      <c r="AF934" s="3" t="n">
        <v>66297.255988</v>
      </c>
      <c r="AG934" s="3" t="n">
        <v>68861.301422</v>
      </c>
      <c r="AH934" s="3" t="n">
        <v>71432.551163</v>
      </c>
      <c r="AI934" s="3" t="n">
        <v>73657.901096</v>
      </c>
      <c r="AJ934" s="3" t="n">
        <v>76072.11034699999</v>
      </c>
      <c r="AK934" s="3" t="n">
        <v>78458.64210899999</v>
      </c>
      <c r="AL934" s="3" t="n">
        <v>80889.743481</v>
      </c>
      <c r="AM934" s="3" t="n"/>
      <c r="AN934" s="3" t="n"/>
      <c r="AO934" s="3" t="n"/>
      <c r="AP934" s="3" t="n"/>
      <c r="AQ934" s="3" t="n"/>
      <c r="AR934" s="3" t="n"/>
      <c r="AS934" s="3" t="n"/>
      <c r="AT934" s="3" t="n"/>
      <c r="AU934" s="3" t="n"/>
    </row>
    <row r="935">
      <c r="A935" s="3" t="inlineStr">
        <is>
          <t>INDICATOR</t>
        </is>
      </c>
      <c r="B935" s="3" t="inlineStr">
        <is>
          <t>FIN</t>
        </is>
      </c>
      <c r="C935" s="3" t="inlineStr">
        <is>
          <t>IMF.STA:ER</t>
        </is>
      </c>
      <c r="D935" s="3" t="inlineStr">
        <is>
          <t>FIN.XDC_USD.PA_RT.A</t>
        </is>
      </c>
      <c r="E935" s="3" t="inlineStr">
        <is>
          <t>Finland</t>
        </is>
      </c>
      <c r="F935" s="3" t="inlineStr">
        <is>
          <t>Domestic currency per US Dollar</t>
        </is>
      </c>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c r="AD935" s="3" t="n"/>
      <c r="AE935" s="3" t="n"/>
      <c r="AF935" s="3" t="n"/>
      <c r="AG935" s="3" t="n"/>
      <c r="AH935" s="3" t="n"/>
      <c r="AI935" s="3" t="n"/>
      <c r="AJ935" s="3" t="n"/>
      <c r="AK935" s="3" t="n"/>
      <c r="AL935" s="3" t="n"/>
      <c r="AM935" s="3" t="n"/>
      <c r="AN935" s="3" t="n"/>
      <c r="AO935" s="3" t="n"/>
      <c r="AP935" s="3" t="n"/>
      <c r="AQ935" s="3" t="n"/>
      <c r="AR935" s="3" t="n"/>
      <c r="AS935" s="3" t="n"/>
      <c r="AT935" s="3" t="n"/>
      <c r="AU935" s="3" t="n"/>
    </row>
    <row r="936">
      <c r="A936" s="3" t="n">
        <v>2031</v>
      </c>
      <c r="B936" s="3" t="inlineStr">
        <is>
          <t>FJI</t>
        </is>
      </c>
      <c r="C936" s="3" t="inlineStr">
        <is>
          <t>IMF.RES:WEO</t>
        </is>
      </c>
      <c r="D936" s="3" t="inlineStr">
        <is>
          <t>FJI.BCA.A</t>
        </is>
      </c>
      <c r="E936" s="3" t="inlineStr">
        <is>
          <t>Fiji, Republic of</t>
        </is>
      </c>
      <c r="F936" s="3" t="inlineStr">
        <is>
          <t>Current account balance (credit less debit), US dollar</t>
        </is>
      </c>
      <c r="G936" s="3" t="n">
        <v>-0.06976599999999999</v>
      </c>
      <c r="H936" s="3" t="n">
        <v>-0.079522</v>
      </c>
      <c r="I936" s="3" t="n">
        <v>0.014961</v>
      </c>
      <c r="J936" s="3" t="n">
        <v>-0.102291</v>
      </c>
      <c r="K936" s="3" t="n">
        <v>-0.3269</v>
      </c>
      <c r="L936" s="3" t="n">
        <v>-0.182869</v>
      </c>
      <c r="M936" s="3" t="n">
        <v>-0.469586</v>
      </c>
      <c r="N936" s="3" t="n">
        <v>-0.353554</v>
      </c>
      <c r="O936" s="3" t="n">
        <v>-0.5099590000000001</v>
      </c>
      <c r="P936" s="3" t="n">
        <v>-0.06424199999999999</v>
      </c>
      <c r="Q936" s="3" t="n">
        <v>-0.130788</v>
      </c>
      <c r="R936" s="3" t="n">
        <v>-0.19122</v>
      </c>
      <c r="S936" s="3" t="n">
        <v>-0.042957</v>
      </c>
      <c r="T936" s="3" t="n">
        <v>-0.4008</v>
      </c>
      <c r="U936" s="3" t="n">
        <v>-0.269644</v>
      </c>
      <c r="V936" s="3" t="n">
        <v>-0.152509</v>
      </c>
      <c r="W936" s="3" t="n">
        <v>-0.174441</v>
      </c>
      <c r="X936" s="3" t="n">
        <v>-0.355844</v>
      </c>
      <c r="Y936" s="3" t="n">
        <v>-0.470055</v>
      </c>
      <c r="Z936" s="3" t="n">
        <v>-0.6294689999999999</v>
      </c>
      <c r="AA936" s="3" t="n">
        <v>-0.505969</v>
      </c>
      <c r="AB936" s="3" t="n">
        <v>-0.269775</v>
      </c>
      <c r="AC936" s="3" t="n">
        <v>-0.763971</v>
      </c>
      <c r="AD936" s="3" t="n">
        <v>-0.362735</v>
      </c>
      <c r="AE936" s="3" t="n">
        <v>-0.466076</v>
      </c>
      <c r="AF936" s="3" t="n">
        <v>-0.572689</v>
      </c>
      <c r="AG936" s="3" t="n">
        <v>-0.794944</v>
      </c>
      <c r="AH936" s="3" t="n">
        <v>-0.723244</v>
      </c>
      <c r="AI936" s="3" t="n">
        <v>-0.677397</v>
      </c>
      <c r="AJ936" s="3" t="n">
        <v>-0.5968909999999999</v>
      </c>
      <c r="AK936" s="3" t="n">
        <v>-0.592494</v>
      </c>
      <c r="AL936" s="3" t="n">
        <v>-0.560326</v>
      </c>
      <c r="AM936" s="3" t="n"/>
      <c r="AN936" s="3" t="n"/>
      <c r="AO936" s="3" t="n"/>
      <c r="AP936" s="3" t="n"/>
      <c r="AQ936" s="3" t="n"/>
      <c r="AR936" s="3" t="n"/>
      <c r="AS936" s="3" t="n"/>
      <c r="AT936" s="3" t="n"/>
      <c r="AU936" s="3" t="n"/>
    </row>
    <row r="937">
      <c r="A937" s="3" t="n">
        <v>2031</v>
      </c>
      <c r="B937" s="3" t="inlineStr">
        <is>
          <t>FJI</t>
        </is>
      </c>
      <c r="C937" s="3" t="inlineStr">
        <is>
          <t>IMF.RES:WEO</t>
        </is>
      </c>
      <c r="D937" s="3" t="inlineStr">
        <is>
          <t>FJI.BCA_NGDPD.A</t>
        </is>
      </c>
      <c r="E937" s="3" t="inlineStr">
        <is>
          <t>Fiji, Republic of</t>
        </is>
      </c>
      <c r="F937" s="3" t="inlineStr">
        <is>
          <t>Current account balance (credit less debit), Percent of GDP</t>
        </is>
      </c>
      <c r="G937" s="3" t="n">
        <v>-3.824221</v>
      </c>
      <c r="H937" s="3" t="n">
        <v>-4.421986</v>
      </c>
      <c r="I937" s="3" t="n">
        <v>0.749474</v>
      </c>
      <c r="J937" s="3" t="n">
        <v>-4.07726</v>
      </c>
      <c r="K937" s="3" t="n">
        <v>-11.064677</v>
      </c>
      <c r="L937" s="3" t="n">
        <v>-5.614656</v>
      </c>
      <c r="M937" s="3" t="n">
        <v>-13.971731</v>
      </c>
      <c r="N937" s="3" t="n">
        <v>-9.585796999999999</v>
      </c>
      <c r="O937" s="3" t="n">
        <v>-13.364586</v>
      </c>
      <c r="P937" s="3" t="n">
        <v>-2.068406</v>
      </c>
      <c r="Q937" s="3" t="n">
        <v>-3.84484</v>
      </c>
      <c r="R937" s="3" t="n">
        <v>-4.670593</v>
      </c>
      <c r="S937" s="3" t="n">
        <v>-0.998366</v>
      </c>
      <c r="T937" s="3" t="n">
        <v>-8.830429000000001</v>
      </c>
      <c r="U937" s="3" t="n">
        <v>-5.551546</v>
      </c>
      <c r="V937" s="3" t="n">
        <v>-3.257019</v>
      </c>
      <c r="W937" s="3" t="n">
        <v>-3.538204</v>
      </c>
      <c r="X937" s="3" t="n">
        <v>-6.646981</v>
      </c>
      <c r="Y937" s="3" t="n">
        <v>-8.421771</v>
      </c>
      <c r="Z937" s="3" t="n">
        <v>-11.776993</v>
      </c>
      <c r="AA937" s="3" t="n">
        <v>-11.967827</v>
      </c>
      <c r="AB937" s="3" t="n">
        <v>-6.486686</v>
      </c>
      <c r="AC937" s="3" t="n">
        <v>-15.347368</v>
      </c>
      <c r="AD937" s="3" t="n">
        <v>-6.62328</v>
      </c>
      <c r="AE937" s="3" t="n">
        <v>-7.809418</v>
      </c>
      <c r="AF937" s="3" t="n">
        <v>-9.479778</v>
      </c>
      <c r="AG937" s="3" t="n">
        <v>-12.515715</v>
      </c>
      <c r="AH937" s="3" t="n">
        <v>-10.853845</v>
      </c>
      <c r="AI937" s="3" t="n">
        <v>-9.659229</v>
      </c>
      <c r="AJ937" s="3" t="n">
        <v>-8.074204999999999</v>
      </c>
      <c r="AK937" s="3" t="n">
        <v>-7.591918</v>
      </c>
      <c r="AL937" s="3" t="n">
        <v>-6.625295</v>
      </c>
      <c r="AM937" s="3" t="n"/>
      <c r="AN937" s="3" t="n"/>
      <c r="AO937" s="3" t="n"/>
      <c r="AP937" s="3" t="n"/>
      <c r="AQ937" s="3" t="n"/>
      <c r="AR937" s="3" t="n"/>
      <c r="AS937" s="3" t="n"/>
      <c r="AT937" s="3" t="n"/>
      <c r="AU937" s="3" t="n"/>
    </row>
    <row r="938">
      <c r="A938" s="3" t="n">
        <v>2031</v>
      </c>
      <c r="B938" s="3" t="inlineStr">
        <is>
          <t>FJI</t>
        </is>
      </c>
      <c r="C938" s="3" t="inlineStr">
        <is>
          <t>IMF.RES:WEO</t>
        </is>
      </c>
      <c r="D938" s="3" t="inlineStr">
        <is>
          <t>FJI.GGR_NGDP.A</t>
        </is>
      </c>
      <c r="E938" s="3" t="inlineStr">
        <is>
          <t>Fiji, Republic of</t>
        </is>
      </c>
      <c r="F938" s="3" t="inlineStr">
        <is>
          <t>Revenue, General government, Percent of GDP</t>
        </is>
      </c>
      <c r="G938" s="3" t="n">
        <v>22.843813</v>
      </c>
      <c r="H938" s="3" t="n">
        <v>22.487823</v>
      </c>
      <c r="I938" s="3" t="n">
        <v>24.439283</v>
      </c>
      <c r="J938" s="3" t="n">
        <v>23.279137</v>
      </c>
      <c r="K938" s="3" t="n">
        <v>23.712784</v>
      </c>
      <c r="L938" s="3" t="n">
        <v>22.855957</v>
      </c>
      <c r="M938" s="3" t="n">
        <v>24.63863</v>
      </c>
      <c r="N938" s="3" t="n">
        <v>23.864511</v>
      </c>
      <c r="O938" s="3" t="n">
        <v>24.393257</v>
      </c>
      <c r="P938" s="3" t="n">
        <v>23.430687</v>
      </c>
      <c r="Q938" s="3" t="n">
        <v>24.252917</v>
      </c>
      <c r="R938" s="3" t="n">
        <v>25.784444</v>
      </c>
      <c r="S938" s="3" t="n">
        <v>25.33385</v>
      </c>
      <c r="T938" s="3" t="n">
        <v>25.830256</v>
      </c>
      <c r="U938" s="3" t="n">
        <v>26.70523</v>
      </c>
      <c r="V938" s="3" t="n">
        <v>26.736985</v>
      </c>
      <c r="W938" s="3" t="n">
        <v>26.383084</v>
      </c>
      <c r="X938" s="3" t="n">
        <v>25.844858</v>
      </c>
      <c r="Y938" s="3" t="n">
        <v>27.671467</v>
      </c>
      <c r="Z938" s="3" t="n">
        <v>27.068376</v>
      </c>
      <c r="AA938" s="3" t="n">
        <v>24.351312</v>
      </c>
      <c r="AB938" s="3" t="n">
        <v>21.535078</v>
      </c>
      <c r="AC938" s="3" t="n">
        <v>21.636939</v>
      </c>
      <c r="AD938" s="3" t="n">
        <v>23.048104</v>
      </c>
      <c r="AE938" s="3" t="n">
        <v>27.376095</v>
      </c>
      <c r="AF938" s="3" t="n">
        <v>29.062707</v>
      </c>
      <c r="AG938" s="3" t="n">
        <v>28.222102</v>
      </c>
      <c r="AH938" s="3" t="n">
        <v>27.842072</v>
      </c>
      <c r="AI938" s="3" t="n">
        <v>27.951233</v>
      </c>
      <c r="AJ938" s="3" t="n">
        <v>28.022301</v>
      </c>
      <c r="AK938" s="3" t="n">
        <v>28.016805</v>
      </c>
      <c r="AL938" s="3" t="n">
        <v>28.011268</v>
      </c>
      <c r="AM938" s="3" t="n"/>
      <c r="AN938" s="3" t="n"/>
      <c r="AO938" s="3" t="n"/>
      <c r="AP938" s="3" t="n"/>
      <c r="AQ938" s="3" t="n"/>
      <c r="AR938" s="3" t="n"/>
      <c r="AS938" s="3" t="n"/>
      <c r="AT938" s="3" t="n"/>
      <c r="AU938" s="3" t="n"/>
    </row>
    <row r="939">
      <c r="A939" s="3" t="n">
        <v>2031</v>
      </c>
      <c r="B939" s="3" t="inlineStr">
        <is>
          <t>FJI</t>
        </is>
      </c>
      <c r="C939" s="3" t="inlineStr">
        <is>
          <t>IMF.RES:WEO</t>
        </is>
      </c>
      <c r="D939" s="3" t="inlineStr">
        <is>
          <t>FJI.GGX_NGDP.A</t>
        </is>
      </c>
      <c r="E939" s="3" t="inlineStr">
        <is>
          <t>Fiji, Republic of</t>
        </is>
      </c>
      <c r="F939" s="3" t="inlineStr">
        <is>
          <t>Expenditure, General government, Percent of GDP</t>
        </is>
      </c>
      <c r="G939" s="3" t="n">
        <v>24.17334</v>
      </c>
      <c r="H939" s="3" t="n">
        <v>26.989238</v>
      </c>
      <c r="I939" s="3" t="n">
        <v>28.119551</v>
      </c>
      <c r="J939" s="3" t="n">
        <v>26.736653</v>
      </c>
      <c r="K939" s="3" t="n">
        <v>24.694355</v>
      </c>
      <c r="L939" s="3" t="n">
        <v>24.034599</v>
      </c>
      <c r="M939" s="3" t="n">
        <v>25.396043</v>
      </c>
      <c r="N939" s="3" t="n">
        <v>23.507089</v>
      </c>
      <c r="O939" s="3" t="n">
        <v>22.834529</v>
      </c>
      <c r="P939" s="3" t="n">
        <v>26.195025</v>
      </c>
      <c r="Q939" s="3" t="n">
        <v>25.547916</v>
      </c>
      <c r="R939" s="3" t="n">
        <v>26.503921</v>
      </c>
      <c r="S939" s="3" t="n">
        <v>26.016713</v>
      </c>
      <c r="T939" s="3" t="n">
        <v>25.90904</v>
      </c>
      <c r="U939" s="3" t="n">
        <v>30.189084</v>
      </c>
      <c r="V939" s="3" t="n">
        <v>30.64388</v>
      </c>
      <c r="W939" s="3" t="n">
        <v>32.081746</v>
      </c>
      <c r="X939" s="3" t="n">
        <v>28.129737</v>
      </c>
      <c r="Y939" s="3" t="n">
        <v>32.493703</v>
      </c>
      <c r="Z939" s="3" t="n">
        <v>30.720367</v>
      </c>
      <c r="AA939" s="3" t="n">
        <v>32.694499</v>
      </c>
      <c r="AB939" s="3" t="n">
        <v>35.757485</v>
      </c>
      <c r="AC939" s="3" t="n">
        <v>33.911615</v>
      </c>
      <c r="AD939" s="3" t="n">
        <v>30.201401</v>
      </c>
      <c r="AE939" s="3" t="n">
        <v>30.811335</v>
      </c>
      <c r="AF939" s="3" t="n">
        <v>31.524556</v>
      </c>
      <c r="AG939" s="3" t="n">
        <v>34.595918</v>
      </c>
      <c r="AH939" s="3" t="n">
        <v>32.902711</v>
      </c>
      <c r="AI939" s="3" t="n">
        <v>31.799243</v>
      </c>
      <c r="AJ939" s="3" t="n">
        <v>30.749789</v>
      </c>
      <c r="AK939" s="3" t="n">
        <v>30.282949</v>
      </c>
      <c r="AL939" s="3" t="n">
        <v>29.769415</v>
      </c>
      <c r="AM939" s="3" t="n"/>
      <c r="AN939" s="3" t="n"/>
      <c r="AO939" s="3" t="n"/>
      <c r="AP939" s="3" t="n"/>
      <c r="AQ939" s="3" t="n"/>
      <c r="AR939" s="3" t="n"/>
      <c r="AS939" s="3" t="n"/>
      <c r="AT939" s="3" t="n"/>
      <c r="AU939" s="3" t="n"/>
    </row>
    <row r="940">
      <c r="A940" s="3" t="n">
        <v>2031</v>
      </c>
      <c r="B940" s="3" t="inlineStr">
        <is>
          <t>FJI</t>
        </is>
      </c>
      <c r="C940" s="3" t="inlineStr">
        <is>
          <t>IMF.RES:WEO</t>
        </is>
      </c>
      <c r="D940" s="3" t="inlineStr">
        <is>
          <t>FJI.LP.A</t>
        </is>
      </c>
      <c r="E940" s="3" t="inlineStr">
        <is>
          <t>Fiji, Republic of</t>
        </is>
      </c>
      <c r="F940" s="3" t="inlineStr">
        <is>
          <t>Population, Persons for countries / Index for country groups</t>
        </is>
      </c>
      <c r="G940" s="3" t="n">
        <v>0.802024</v>
      </c>
      <c r="H940" s="3" t="n">
        <v>0.804814</v>
      </c>
      <c r="I940" s="3" t="n">
        <v>0.810384</v>
      </c>
      <c r="J940" s="3" t="n">
        <v>0.816416</v>
      </c>
      <c r="K940" s="3" t="n">
        <v>0.821433</v>
      </c>
      <c r="L940" s="3" t="n">
        <v>0.826643</v>
      </c>
      <c r="M940" s="3" t="n">
        <v>0.829685</v>
      </c>
      <c r="N940" s="3" t="n">
        <v>0.837271</v>
      </c>
      <c r="O940" s="3" t="n">
        <v>0.8379450000000001</v>
      </c>
      <c r="P940" s="3" t="n">
        <v>0.843418</v>
      </c>
      <c r="Q940" s="3" t="n">
        <v>0.848081</v>
      </c>
      <c r="R940" s="3" t="n">
        <v>0.852495</v>
      </c>
      <c r="S940" s="3" t="n">
        <v>0.856757</v>
      </c>
      <c r="T940" s="3" t="n">
        <v>0.860053</v>
      </c>
      <c r="U940" s="3" t="n">
        <v>0.863892</v>
      </c>
      <c r="V940" s="3" t="n">
        <v>0.867587</v>
      </c>
      <c r="W940" s="3" t="n">
        <v>0.8713340000000001</v>
      </c>
      <c r="X940" s="3" t="n">
        <v>0.884887</v>
      </c>
      <c r="Y940" s="3" t="n">
        <v>0.890196</v>
      </c>
      <c r="Z940" s="3" t="n">
        <v>0.895537</v>
      </c>
      <c r="AA940" s="3" t="n">
        <v>0.900911</v>
      </c>
      <c r="AB940" s="3" t="n">
        <v>0.906316</v>
      </c>
      <c r="AC940" s="3" t="n">
        <v>0.911754</v>
      </c>
      <c r="AD940" s="3" t="n">
        <v>0.917225</v>
      </c>
      <c r="AE940" s="3" t="n">
        <v>0.922728</v>
      </c>
      <c r="AF940" s="3" t="n">
        <v>0.928264</v>
      </c>
      <c r="AG940" s="3" t="n">
        <v>0.9338340000000001</v>
      </c>
      <c r="AH940" s="3" t="n">
        <v>0.939437</v>
      </c>
      <c r="AI940" s="3" t="n">
        <v>0.945074</v>
      </c>
      <c r="AJ940" s="3" t="n">
        <v>0.950744</v>
      </c>
      <c r="AK940" s="3" t="n">
        <v>0.956448</v>
      </c>
      <c r="AL940" s="3" t="n">
        <v>0.962187</v>
      </c>
      <c r="AM940" s="3" t="n"/>
      <c r="AN940" s="3" t="n"/>
      <c r="AO940" s="3" t="n"/>
      <c r="AP940" s="3" t="n"/>
      <c r="AQ940" s="3" t="n"/>
      <c r="AR940" s="3" t="n"/>
      <c r="AS940" s="3" t="n"/>
      <c r="AT940" s="3" t="n"/>
      <c r="AU940" s="3" t="n"/>
    </row>
    <row r="941">
      <c r="A941" s="3" t="n">
        <v>2031</v>
      </c>
      <c r="B941" s="3" t="inlineStr">
        <is>
          <t>FJI</t>
        </is>
      </c>
      <c r="C941" s="3" t="inlineStr">
        <is>
          <t>IMF.RES:WEO</t>
        </is>
      </c>
      <c r="D941" s="3" t="inlineStr">
        <is>
          <t>FJI.NGDP.A</t>
        </is>
      </c>
      <c r="E941" s="3" t="inlineStr">
        <is>
          <t>Fiji, Republic of</t>
        </is>
      </c>
      <c r="F941" s="3" t="inlineStr">
        <is>
          <t>Gross domestic product (GDP), Current prices, Domestic currency</t>
        </is>
      </c>
      <c r="G941" s="3" t="n">
        <v>3.883289</v>
      </c>
      <c r="H941" s="3" t="n">
        <v>4.094085</v>
      </c>
      <c r="I941" s="3" t="n">
        <v>4.365327</v>
      </c>
      <c r="J941" s="3" t="n">
        <v>4.756136</v>
      </c>
      <c r="K941" s="3" t="n">
        <v>5.12035</v>
      </c>
      <c r="L941" s="3" t="n">
        <v>5.507729</v>
      </c>
      <c r="M941" s="3" t="n">
        <v>5.818728</v>
      </c>
      <c r="N941" s="3" t="n">
        <v>5.939715</v>
      </c>
      <c r="O941" s="3" t="n">
        <v>6.082433</v>
      </c>
      <c r="P941" s="3" t="n">
        <v>6.081544</v>
      </c>
      <c r="Q941" s="3" t="n">
        <v>6.526071</v>
      </c>
      <c r="R941" s="3" t="n">
        <v>7.332088</v>
      </c>
      <c r="S941" s="3" t="n">
        <v>7.701487</v>
      </c>
      <c r="T941" s="3" t="n">
        <v>8.35819</v>
      </c>
      <c r="U941" s="3" t="n">
        <v>9.167032000000001</v>
      </c>
      <c r="V941" s="3" t="n">
        <v>9.82211</v>
      </c>
      <c r="W941" s="3" t="n">
        <v>10.327299</v>
      </c>
      <c r="X941" s="3" t="n">
        <v>11.064952</v>
      </c>
      <c r="Y941" s="3" t="n">
        <v>11.650556</v>
      </c>
      <c r="Z941" s="3" t="n">
        <v>11.5471</v>
      </c>
      <c r="AA941" s="3" t="n">
        <v>9.1691</v>
      </c>
      <c r="AB941" s="3" t="n">
        <v>8.611499999999999</v>
      </c>
      <c r="AC941" s="3" t="n">
        <v>10.9583</v>
      </c>
      <c r="AD941" s="3" t="n">
        <v>12.3232</v>
      </c>
      <c r="AE941" s="3" t="n">
        <v>13.5375</v>
      </c>
      <c r="AF941" s="3" t="n">
        <v>13.773851</v>
      </c>
      <c r="AG941" s="3" t="n">
        <v>14.418904</v>
      </c>
      <c r="AH941" s="3" t="n">
        <v>15.254005</v>
      </c>
      <c r="AI941" s="3" t="n">
        <v>16.097989</v>
      </c>
      <c r="AJ941" s="3" t="n">
        <v>17.013169</v>
      </c>
      <c r="AK941" s="3" t="n">
        <v>18.008629</v>
      </c>
      <c r="AL941" s="3" t="n">
        <v>19.083402</v>
      </c>
      <c r="AM941" s="3" t="n"/>
      <c r="AN941" s="3" t="n"/>
      <c r="AO941" s="3" t="n"/>
      <c r="AP941" s="3" t="n"/>
      <c r="AQ941" s="3" t="n"/>
      <c r="AR941" s="3" t="n"/>
      <c r="AS941" s="3" t="n"/>
      <c r="AT941" s="3" t="n"/>
      <c r="AU941" s="3" t="n"/>
    </row>
    <row r="942">
      <c r="A942" s="3" t="n">
        <v>2031</v>
      </c>
      <c r="B942" s="3" t="inlineStr">
        <is>
          <t>FJI</t>
        </is>
      </c>
      <c r="C942" s="3" t="inlineStr">
        <is>
          <t>IMF.RES:WEO</t>
        </is>
      </c>
      <c r="D942" s="3" t="inlineStr">
        <is>
          <t>FJI.NGDP_D.A</t>
        </is>
      </c>
      <c r="E942" s="3" t="inlineStr">
        <is>
          <t>Fiji, Republic of</t>
        </is>
      </c>
      <c r="F942" s="3" t="inlineStr">
        <is>
          <t>Gross domestic product (GDP), Price deflator, Index</t>
        </is>
      </c>
      <c r="G942" s="3" t="n">
        <v>55.737856</v>
      </c>
      <c r="H942" s="3" t="n">
        <v>57.667778</v>
      </c>
      <c r="I942" s="3" t="n">
        <v>59.581781</v>
      </c>
      <c r="J942" s="3" t="n">
        <v>64.40067500000001</v>
      </c>
      <c r="K942" s="3" t="n">
        <v>65.78021</v>
      </c>
      <c r="L942" s="3" t="n">
        <v>71.68874099999999</v>
      </c>
      <c r="M942" s="3" t="n">
        <v>74.32454799999999</v>
      </c>
      <c r="N942" s="3" t="n">
        <v>76.558983</v>
      </c>
      <c r="O942" s="3" t="n">
        <v>77.622308</v>
      </c>
      <c r="P942" s="3" t="n">
        <v>78.712943</v>
      </c>
      <c r="Q942" s="3" t="n">
        <v>82.006226</v>
      </c>
      <c r="R942" s="3" t="n">
        <v>89.71235799999999</v>
      </c>
      <c r="S942" s="3" t="n">
        <v>92.920772</v>
      </c>
      <c r="T942" s="3" t="n">
        <v>96.285709</v>
      </c>
      <c r="U942" s="3" t="n">
        <v>100</v>
      </c>
      <c r="V942" s="3" t="n">
        <v>102.530899</v>
      </c>
      <c r="W942" s="3" t="n">
        <v>105.230872</v>
      </c>
      <c r="X942" s="3" t="n">
        <v>107.018173</v>
      </c>
      <c r="Y942" s="3" t="n">
        <v>108.543951</v>
      </c>
      <c r="Z942" s="3" t="n">
        <v>99.999134</v>
      </c>
      <c r="AA942" s="3" t="n">
        <v>95.85093000000001</v>
      </c>
      <c r="AB942" s="3" t="n">
        <v>94.120926</v>
      </c>
      <c r="AC942" s="3" t="n">
        <v>101.725706</v>
      </c>
      <c r="AD942" s="3" t="n">
        <v>104.519817</v>
      </c>
      <c r="AE942" s="3" t="n">
        <v>110.889491</v>
      </c>
      <c r="AF942" s="3" t="n">
        <v>109.337039</v>
      </c>
      <c r="AG942" s="3" t="n">
        <v>111.742453</v>
      </c>
      <c r="AH942" s="3" t="n">
        <v>115.094727</v>
      </c>
      <c r="AI942" s="3" t="n">
        <v>117.972095</v>
      </c>
      <c r="AJ942" s="3" t="n">
        <v>120.921398</v>
      </c>
      <c r="AK942" s="3" t="n">
        <v>123.944432</v>
      </c>
      <c r="AL942" s="3" t="n">
        <v>127.043043</v>
      </c>
      <c r="AM942" s="3" t="n"/>
      <c r="AN942" s="3" t="n"/>
      <c r="AO942" s="3" t="n"/>
      <c r="AP942" s="3" t="n"/>
      <c r="AQ942" s="3" t="n"/>
      <c r="AR942" s="3" t="n"/>
      <c r="AS942" s="3" t="n"/>
      <c r="AT942" s="3" t="n"/>
      <c r="AU942" s="3" t="n"/>
    </row>
    <row r="943">
      <c r="A943" s="3" t="n">
        <v>2031</v>
      </c>
      <c r="B943" s="3" t="inlineStr">
        <is>
          <t>FJI</t>
        </is>
      </c>
      <c r="C943" s="3" t="inlineStr">
        <is>
          <t>IMF.RES:WEO</t>
        </is>
      </c>
      <c r="D943" s="3" t="inlineStr">
        <is>
          <t>FJI.NGDP_R.A</t>
        </is>
      </c>
      <c r="E943" s="3" t="inlineStr">
        <is>
          <t>Fiji, Republic of</t>
        </is>
      </c>
      <c r="F943" s="3" t="inlineStr">
        <is>
          <t>Gross domestic product (GDP), Constant prices, Domestic currency</t>
        </is>
      </c>
      <c r="G943" s="3" t="n">
        <v>6.967058</v>
      </c>
      <c r="H943" s="3" t="n">
        <v>7.099432</v>
      </c>
      <c r="I943" s="3" t="n">
        <v>7.326614</v>
      </c>
      <c r="J943" s="3" t="n">
        <v>7.385227</v>
      </c>
      <c r="K943" s="3" t="n">
        <v>7.784029</v>
      </c>
      <c r="L943" s="3" t="n">
        <v>7.682836</v>
      </c>
      <c r="M943" s="3" t="n">
        <v>7.82881</v>
      </c>
      <c r="N943" s="3" t="n">
        <v>7.758351</v>
      </c>
      <c r="O943" s="3" t="n">
        <v>7.835935</v>
      </c>
      <c r="P943" s="3" t="n">
        <v>7.726231</v>
      </c>
      <c r="Q943" s="3" t="n">
        <v>7.958018</v>
      </c>
      <c r="R943" s="3" t="n">
        <v>8.172885000000001</v>
      </c>
      <c r="S943" s="3" t="n">
        <v>8.28823</v>
      </c>
      <c r="T943" s="3" t="n">
        <v>8.680612999999999</v>
      </c>
      <c r="U943" s="3" t="n">
        <v>9.167032000000001</v>
      </c>
      <c r="V943" s="3" t="n">
        <v>9.579658999999999</v>
      </c>
      <c r="W943" s="3" t="n">
        <v>9.813943999999999</v>
      </c>
      <c r="X943" s="3" t="n">
        <v>10.33932</v>
      </c>
      <c r="Y943" s="3" t="n">
        <v>10.733491</v>
      </c>
      <c r="Z943" s="3" t="n">
        <v>11.5472</v>
      </c>
      <c r="AA943" s="3" t="n">
        <v>9.566000000000001</v>
      </c>
      <c r="AB943" s="3" t="n">
        <v>9.1494</v>
      </c>
      <c r="AC943" s="3" t="n">
        <v>10.7724</v>
      </c>
      <c r="AD943" s="3" t="n">
        <v>11.7903</v>
      </c>
      <c r="AE943" s="3" t="n">
        <v>12.2081</v>
      </c>
      <c r="AF943" s="3" t="n">
        <v>12.597607</v>
      </c>
      <c r="AG943" s="3" t="n">
        <v>12.903694</v>
      </c>
      <c r="AH943" s="3" t="n">
        <v>13.253435</v>
      </c>
      <c r="AI943" s="3" t="n">
        <v>13.645591</v>
      </c>
      <c r="AJ943" s="3" t="n">
        <v>14.06961</v>
      </c>
      <c r="AK943" s="3" t="n">
        <v>14.529599</v>
      </c>
      <c r="AL943" s="3" t="n">
        <v>15.021209</v>
      </c>
      <c r="AM943" s="3" t="n"/>
      <c r="AN943" s="3" t="n"/>
      <c r="AO943" s="3" t="n"/>
      <c r="AP943" s="3" t="n"/>
      <c r="AQ943" s="3" t="n"/>
      <c r="AR943" s="3" t="n"/>
      <c r="AS943" s="3" t="n"/>
      <c r="AT943" s="3" t="n"/>
      <c r="AU943" s="3" t="n"/>
    </row>
    <row r="944">
      <c r="A944" s="3" t="n">
        <v>2031</v>
      </c>
      <c r="B944" s="3" t="inlineStr">
        <is>
          <t>FJI</t>
        </is>
      </c>
      <c r="C944" s="3" t="inlineStr">
        <is>
          <t>IMF.RES:WEO</t>
        </is>
      </c>
      <c r="D944" s="3" t="inlineStr">
        <is>
          <t>FJI.NGDP_RPCH.A</t>
        </is>
      </c>
      <c r="E944" s="3" t="inlineStr">
        <is>
          <t>Fiji, Republic of</t>
        </is>
      </c>
      <c r="F944" s="3" t="inlineStr">
        <is>
          <t>Gross domestic product (GDP), Constant prices, Percent change</t>
        </is>
      </c>
      <c r="G944" s="3" t="n">
        <v>-1.7</v>
      </c>
      <c r="H944" s="3" t="n">
        <v>1.9</v>
      </c>
      <c r="I944" s="3" t="n">
        <v>3.2</v>
      </c>
      <c r="J944" s="3" t="n">
        <v>0.8</v>
      </c>
      <c r="K944" s="3" t="n">
        <v>5.4</v>
      </c>
      <c r="L944" s="3" t="n">
        <v>-1.3</v>
      </c>
      <c r="M944" s="3" t="n">
        <v>1.9</v>
      </c>
      <c r="N944" s="3" t="n">
        <v>-0.9</v>
      </c>
      <c r="O944" s="3" t="n">
        <v>1</v>
      </c>
      <c r="P944" s="3" t="n">
        <v>-1.4</v>
      </c>
      <c r="Q944" s="3" t="n">
        <v>3</v>
      </c>
      <c r="R944" s="3" t="n">
        <v>2.7</v>
      </c>
      <c r="S944" s="3" t="n">
        <v>1.411314</v>
      </c>
      <c r="T944" s="3" t="n">
        <v>4.73422</v>
      </c>
      <c r="U944" s="3" t="n">
        <v>5.603515</v>
      </c>
      <c r="V944" s="3" t="n">
        <v>4.501199</v>
      </c>
      <c r="W944" s="3" t="n">
        <v>2.445652</v>
      </c>
      <c r="X944" s="3" t="n">
        <v>5.353365</v>
      </c>
      <c r="Y944" s="3" t="n">
        <v>3.812351</v>
      </c>
      <c r="Z944" s="3" t="n">
        <v>7.581025</v>
      </c>
      <c r="AA944" s="3" t="n">
        <v>-17.157406</v>
      </c>
      <c r="AB944" s="3" t="n">
        <v>-4.355007</v>
      </c>
      <c r="AC944" s="3" t="n">
        <v>17.738868</v>
      </c>
      <c r="AD944" s="3" t="n">
        <v>9.449147999999999</v>
      </c>
      <c r="AE944" s="3" t="n">
        <v>3.543591</v>
      </c>
      <c r="AF944" s="3" t="n">
        <v>3.190563</v>
      </c>
      <c r="AG944" s="3" t="n">
        <v>2.429719</v>
      </c>
      <c r="AH944" s="3" t="n">
        <v>2.710398</v>
      </c>
      <c r="AI944" s="3" t="n">
        <v>2.9589</v>
      </c>
      <c r="AJ944" s="3" t="n">
        <v>3.107373</v>
      </c>
      <c r="AK944" s="3" t="n">
        <v>3.269377</v>
      </c>
      <c r="AL944" s="3" t="n">
        <v>3.38351</v>
      </c>
      <c r="AM944" s="3" t="n"/>
      <c r="AN944" s="3" t="n"/>
      <c r="AO944" s="3" t="n"/>
      <c r="AP944" s="3" t="n"/>
      <c r="AQ944" s="3" t="n"/>
      <c r="AR944" s="3" t="n"/>
      <c r="AS944" s="3" t="n"/>
      <c r="AT944" s="3" t="n"/>
      <c r="AU944" s="3" t="n"/>
    </row>
    <row r="945">
      <c r="A945" s="3" t="n">
        <v>2031</v>
      </c>
      <c r="B945" s="3" t="inlineStr">
        <is>
          <t>FJI</t>
        </is>
      </c>
      <c r="C945" s="3" t="inlineStr">
        <is>
          <t>IMF.RES:WEO</t>
        </is>
      </c>
      <c r="D945" s="3" t="inlineStr">
        <is>
          <t>FJI.NGDPD.A</t>
        </is>
      </c>
      <c r="E945" s="3" t="inlineStr">
        <is>
          <t>Fiji, Republic of</t>
        </is>
      </c>
      <c r="F945" s="3" t="inlineStr">
        <is>
          <t>Gross domestic product (GDP), Current prices, US dollar</t>
        </is>
      </c>
      <c r="G945" s="3" t="n">
        <v>1.824318</v>
      </c>
      <c r="H945" s="3" t="n">
        <v>1.798331</v>
      </c>
      <c r="I945" s="3" t="n">
        <v>1.996232</v>
      </c>
      <c r="J945" s="3" t="n">
        <v>2.508817</v>
      </c>
      <c r="K945" s="3" t="n">
        <v>2.954443</v>
      </c>
      <c r="L945" s="3" t="n">
        <v>3.256995</v>
      </c>
      <c r="M945" s="3" t="n">
        <v>3.360969</v>
      </c>
      <c r="N945" s="3" t="n">
        <v>3.688316</v>
      </c>
      <c r="O945" s="3" t="n">
        <v>3.815748</v>
      </c>
      <c r="P945" s="3" t="n">
        <v>3.105847</v>
      </c>
      <c r="Q945" s="3" t="n">
        <v>3.401637</v>
      </c>
      <c r="R945" s="3" t="n">
        <v>4.094117</v>
      </c>
      <c r="S945" s="3" t="n">
        <v>4.302764</v>
      </c>
      <c r="T945" s="3" t="n">
        <v>4.538852</v>
      </c>
      <c r="U945" s="3" t="n">
        <v>4.857104</v>
      </c>
      <c r="V945" s="3" t="n">
        <v>4.68248</v>
      </c>
      <c r="W945" s="3" t="n">
        <v>4.930214</v>
      </c>
      <c r="X945" s="3" t="n">
        <v>5.353468</v>
      </c>
      <c r="Y945" s="3" t="n">
        <v>5.581426</v>
      </c>
      <c r="Z945" s="3" t="n">
        <v>5.344907</v>
      </c>
      <c r="AA945" s="3" t="n">
        <v>4.227746</v>
      </c>
      <c r="AB945" s="3" t="n">
        <v>4.158908</v>
      </c>
      <c r="AC945" s="3" t="n">
        <v>4.977862</v>
      </c>
      <c r="AD945" s="3" t="n">
        <v>5.476674</v>
      </c>
      <c r="AE945" s="3" t="n">
        <v>5.968126</v>
      </c>
      <c r="AF945" s="3" t="n">
        <v>6.041163</v>
      </c>
      <c r="AG945" s="3" t="n">
        <v>6.351566</v>
      </c>
      <c r="AH945" s="3" t="n">
        <v>6.663483</v>
      </c>
      <c r="AI945" s="3" t="n">
        <v>7.012953</v>
      </c>
      <c r="AJ945" s="3" t="n">
        <v>7.39257</v>
      </c>
      <c r="AK945" s="3" t="n">
        <v>7.804278</v>
      </c>
      <c r="AL945" s="3" t="n">
        <v>8.457380000000001</v>
      </c>
      <c r="AM945" s="3" t="n"/>
      <c r="AN945" s="3" t="n"/>
      <c r="AO945" s="3" t="n"/>
      <c r="AP945" s="3" t="n"/>
      <c r="AQ945" s="3" t="n"/>
      <c r="AR945" s="3" t="n"/>
      <c r="AS945" s="3" t="n"/>
      <c r="AT945" s="3" t="n"/>
      <c r="AU945" s="3" t="n"/>
    </row>
    <row r="946">
      <c r="A946" s="3" t="n">
        <v>2031</v>
      </c>
      <c r="B946" s="3" t="inlineStr">
        <is>
          <t>FJI</t>
        </is>
      </c>
      <c r="C946" s="3" t="inlineStr">
        <is>
          <t>IMF.RES:WEO</t>
        </is>
      </c>
      <c r="D946" s="3" t="inlineStr">
        <is>
          <t>FJI.NGDPPC.A</t>
        </is>
      </c>
      <c r="E946" s="3" t="inlineStr">
        <is>
          <t>Fiji, Republic of</t>
        </is>
      </c>
      <c r="F946" s="3" t="inlineStr">
        <is>
          <t>Gross domestic product (GDP), Current prices, Per capita, Domestic currency</t>
        </is>
      </c>
      <c r="G946" s="3" t="n">
        <v>4841.862029</v>
      </c>
      <c r="H946" s="3" t="n">
        <v>5086.994464</v>
      </c>
      <c r="I946" s="3" t="n">
        <v>5386.737878</v>
      </c>
      <c r="J946" s="3" t="n">
        <v>5825.628098</v>
      </c>
      <c r="K946" s="3" t="n">
        <v>6233.438207</v>
      </c>
      <c r="L946" s="3" t="n">
        <v>6662.762299</v>
      </c>
      <c r="M946" s="3" t="n">
        <v>7013.181377</v>
      </c>
      <c r="N946" s="3" t="n">
        <v>7094.136392</v>
      </c>
      <c r="O946" s="3" t="n">
        <v>7258.746978</v>
      </c>
      <c r="P946" s="3" t="n">
        <v>7210.597336</v>
      </c>
      <c r="Q946" s="3" t="n">
        <v>7695.102897</v>
      </c>
      <c r="R946" s="3" t="n">
        <v>8600.739846</v>
      </c>
      <c r="S946" s="3" t="n">
        <v>8989.110022000001</v>
      </c>
      <c r="T946" s="3" t="n">
        <v>9718.226365</v>
      </c>
      <c r="U946" s="3" t="n">
        <v>10611.317667</v>
      </c>
      <c r="V946" s="3" t="n">
        <v>11321.182012</v>
      </c>
      <c r="W946" s="3" t="n">
        <v>11852.284863</v>
      </c>
      <c r="X946" s="3" t="n">
        <v>12504.366764</v>
      </c>
      <c r="Y946" s="3" t="n">
        <v>13087.624951</v>
      </c>
      <c r="Z946" s="3" t="n">
        <v>12894.044081</v>
      </c>
      <c r="AA946" s="3" t="n">
        <v>10177.590017</v>
      </c>
      <c r="AB946" s="3" t="n">
        <v>9501.650861</v>
      </c>
      <c r="AC946" s="3" t="n">
        <v>12018.920631</v>
      </c>
      <c r="AD946" s="3" t="n">
        <v>13435.313284</v>
      </c>
      <c r="AE946" s="3" t="n">
        <v>14671.171361</v>
      </c>
      <c r="AF946" s="3" t="n">
        <v>14838.284876</v>
      </c>
      <c r="AG946" s="3" t="n">
        <v>15440.544179</v>
      </c>
      <c r="AH946" s="3" t="n">
        <v>16237.391313</v>
      </c>
      <c r="AI946" s="3" t="n">
        <v>17033.583946</v>
      </c>
      <c r="AJ946" s="3" t="n">
        <v>17894.585429</v>
      </c>
      <c r="AK946" s="3" t="n">
        <v>18828.645713</v>
      </c>
      <c r="AL946" s="3" t="n">
        <v>19833.357637</v>
      </c>
      <c r="AM946" s="3" t="n"/>
      <c r="AN946" s="3" t="n"/>
      <c r="AO946" s="3" t="n"/>
      <c r="AP946" s="3" t="n"/>
      <c r="AQ946" s="3" t="n"/>
      <c r="AR946" s="3" t="n"/>
      <c r="AS946" s="3" t="n"/>
      <c r="AT946" s="3" t="n"/>
      <c r="AU946" s="3" t="n"/>
    </row>
    <row r="947">
      <c r="A947" s="3" t="n">
        <v>2031</v>
      </c>
      <c r="B947" s="3" t="inlineStr">
        <is>
          <t>FJI</t>
        </is>
      </c>
      <c r="C947" s="3" t="inlineStr">
        <is>
          <t>IMF.RES:WEO</t>
        </is>
      </c>
      <c r="D947" s="3" t="inlineStr">
        <is>
          <t>FJI.NGDPRPC.A</t>
        </is>
      </c>
      <c r="E947" s="3" t="inlineStr">
        <is>
          <t>Fiji, Republic of</t>
        </is>
      </c>
      <c r="F947" s="3" t="inlineStr">
        <is>
          <t>Gross domestic product (GDP), Constant prices, Per capita, Domestic currency</t>
        </is>
      </c>
      <c r="G947" s="3" t="n">
        <v>8686.846638000001</v>
      </c>
      <c r="H947" s="3" t="n">
        <v>8821.207641000001</v>
      </c>
      <c r="I947" s="3" t="n">
        <v>9040.914505999999</v>
      </c>
      <c r="J947" s="3" t="n">
        <v>9045.911493</v>
      </c>
      <c r="K947" s="3" t="n">
        <v>9476.160398</v>
      </c>
      <c r="L947" s="3" t="n">
        <v>9294.014997</v>
      </c>
      <c r="M947" s="3" t="n">
        <v>9435.888306000001</v>
      </c>
      <c r="N947" s="3" t="n">
        <v>9266.2364</v>
      </c>
      <c r="O947" s="3" t="n">
        <v>9351.367053</v>
      </c>
      <c r="P947" s="3" t="n">
        <v>9160.624791</v>
      </c>
      <c r="Q947" s="3" t="n">
        <v>9383.559337999999</v>
      </c>
      <c r="R947" s="3" t="n">
        <v>9587.017969</v>
      </c>
      <c r="S947" s="3" t="n">
        <v>9673.951125</v>
      </c>
      <c r="T947" s="3" t="n">
        <v>10093.114036</v>
      </c>
      <c r="U947" s="3" t="n">
        <v>10611.317667</v>
      </c>
      <c r="V947" s="3" t="n">
        <v>11041.727055</v>
      </c>
      <c r="W947" s="3" t="n">
        <v>11263.125242</v>
      </c>
      <c r="X947" s="3" t="n">
        <v>11684.339588</v>
      </c>
      <c r="Y947" s="3" t="n">
        <v>12057.442964</v>
      </c>
      <c r="Z947" s="3" t="n">
        <v>12894.155745</v>
      </c>
      <c r="AA947" s="3" t="n">
        <v>10618.144213</v>
      </c>
      <c r="AB947" s="3" t="n">
        <v>10095.152341</v>
      </c>
      <c r="AC947" s="3" t="n">
        <v>11815.027934</v>
      </c>
      <c r="AD947" s="3" t="n">
        <v>12854.32146</v>
      </c>
      <c r="AE947" s="3" t="n">
        <v>13230.443368</v>
      </c>
      <c r="AF947" s="3" t="n">
        <v>13571.142109</v>
      </c>
      <c r="AG947" s="3" t="n">
        <v>13817.974917</v>
      </c>
      <c r="AH947" s="3" t="n">
        <v>14107.849891</v>
      </c>
      <c r="AI947" s="3" t="n">
        <v>14438.655111</v>
      </c>
      <c r="AJ947" s="3" t="n">
        <v>14798.526808</v>
      </c>
      <c r="AK947" s="3" t="n">
        <v>15191.199265</v>
      </c>
      <c r="AL947" s="3" t="n">
        <v>15611.525926</v>
      </c>
      <c r="AM947" s="3" t="n"/>
      <c r="AN947" s="3" t="n"/>
      <c r="AO947" s="3" t="n"/>
      <c r="AP947" s="3" t="n"/>
      <c r="AQ947" s="3" t="n"/>
      <c r="AR947" s="3" t="n"/>
      <c r="AS947" s="3" t="n"/>
      <c r="AT947" s="3" t="n"/>
      <c r="AU947" s="3" t="n"/>
    </row>
    <row r="948">
      <c r="A948" s="3" t="n">
        <v>2031</v>
      </c>
      <c r="B948" s="3" t="inlineStr">
        <is>
          <t>FJI</t>
        </is>
      </c>
      <c r="C948" s="3" t="inlineStr">
        <is>
          <t>IMF.RES:WEO</t>
        </is>
      </c>
      <c r="D948" s="3" t="inlineStr">
        <is>
          <t>FJI.PCPI.A</t>
        </is>
      </c>
      <c r="E948" s="3" t="inlineStr">
        <is>
          <t>Fiji, Republic of</t>
        </is>
      </c>
      <c r="F948" s="3" t="inlineStr">
        <is>
          <t>All Items, Consumer price index (CPI), Period average</t>
        </is>
      </c>
      <c r="G948" s="3" t="n">
        <v>65.09697300000001</v>
      </c>
      <c r="H948" s="3" t="n">
        <v>67.872848</v>
      </c>
      <c r="I948" s="3" t="n">
        <v>68.362708</v>
      </c>
      <c r="J948" s="3" t="n">
        <v>71.24744</v>
      </c>
      <c r="K948" s="3" t="n">
        <v>73.261309</v>
      </c>
      <c r="L948" s="3" t="n">
        <v>74.948605</v>
      </c>
      <c r="M948" s="3" t="n">
        <v>76.809882</v>
      </c>
      <c r="N948" s="3" t="n">
        <v>80.50551900000001</v>
      </c>
      <c r="O948" s="3" t="n">
        <v>86.725595</v>
      </c>
      <c r="P948" s="3" t="n">
        <v>89.895768</v>
      </c>
      <c r="Q948" s="3" t="n">
        <v>93.211932</v>
      </c>
      <c r="R948" s="3" t="n">
        <v>100</v>
      </c>
      <c r="S948" s="3" t="n">
        <v>103.415952</v>
      </c>
      <c r="T948" s="3" t="n">
        <v>106.42402</v>
      </c>
      <c r="U948" s="3" t="n">
        <v>106.979115</v>
      </c>
      <c r="V948" s="3" t="n">
        <v>108.449089</v>
      </c>
      <c r="W948" s="3" t="n">
        <v>112.643139</v>
      </c>
      <c r="X948" s="3" t="n">
        <v>116.415728</v>
      </c>
      <c r="Y948" s="3" t="n">
        <v>121.164873</v>
      </c>
      <c r="Z948" s="3" t="n">
        <v>123.344134</v>
      </c>
      <c r="AA948" s="3" t="n">
        <v>121.247109</v>
      </c>
      <c r="AB948" s="3" t="n">
        <v>123.107705</v>
      </c>
      <c r="AC948" s="3" t="n">
        <v>130.591206</v>
      </c>
      <c r="AD948" s="3" t="n">
        <v>134.47687</v>
      </c>
      <c r="AE948" s="3" t="n">
        <v>139.709153</v>
      </c>
      <c r="AF948" s="3" t="n">
        <v>137.753225</v>
      </c>
      <c r="AG948" s="3" t="n">
        <v>140.783796</v>
      </c>
      <c r="AH948" s="3" t="n">
        <v>145.00731</v>
      </c>
      <c r="AI948" s="3" t="n">
        <v>148.632492</v>
      </c>
      <c r="AJ948" s="3" t="n">
        <v>152.348305</v>
      </c>
      <c r="AK948" s="3" t="n">
        <v>156.157012</v>
      </c>
      <c r="AL948" s="3" t="n">
        <v>160.060938</v>
      </c>
      <c r="AM948" s="3" t="n"/>
      <c r="AN948" s="3" t="n"/>
      <c r="AO948" s="3" t="n"/>
      <c r="AP948" s="3" t="n"/>
      <c r="AQ948" s="3" t="n"/>
      <c r="AR948" s="3" t="n"/>
      <c r="AS948" s="3" t="n"/>
      <c r="AT948" s="3" t="n"/>
      <c r="AU948" s="3" t="n"/>
    </row>
    <row r="949">
      <c r="A949" s="3" t="n">
        <v>2031</v>
      </c>
      <c r="B949" s="3" t="inlineStr">
        <is>
          <t>FJI</t>
        </is>
      </c>
      <c r="C949" s="3" t="inlineStr">
        <is>
          <t>IMF.RES:WEO</t>
        </is>
      </c>
      <c r="D949" s="3" t="inlineStr">
        <is>
          <t>FJI.PCPIPCH.A</t>
        </is>
      </c>
      <c r="E949" s="3" t="inlineStr">
        <is>
          <t>Fiji, Republic of</t>
        </is>
      </c>
      <c r="F949" s="3" t="inlineStr">
        <is>
          <t>All Items, Consumer price index (CPI), Period average, percent change</t>
        </is>
      </c>
      <c r="G949" s="3" t="n">
        <v>1.098901</v>
      </c>
      <c r="H949" s="3" t="n">
        <v>4.264214</v>
      </c>
      <c r="I949" s="3" t="n">
        <v>0.721732</v>
      </c>
      <c r="J949" s="3" t="n">
        <v>4.219745</v>
      </c>
      <c r="K949" s="3" t="n">
        <v>2.826585</v>
      </c>
      <c r="L949" s="3" t="n">
        <v>2.30312</v>
      </c>
      <c r="M949" s="3" t="n">
        <v>2.483404</v>
      </c>
      <c r="N949" s="3" t="n">
        <v>4.811408</v>
      </c>
      <c r="O949" s="3" t="n">
        <v>7.726272</v>
      </c>
      <c r="P949" s="3" t="n">
        <v>3.655406</v>
      </c>
      <c r="Q949" s="3" t="n">
        <v>3.6889</v>
      </c>
      <c r="R949" s="3" t="n">
        <v>7.282402</v>
      </c>
      <c r="S949" s="3" t="n">
        <v>3.415952</v>
      </c>
      <c r="T949" s="3" t="n">
        <v>2.908708</v>
      </c>
      <c r="U949" s="3" t="n">
        <v>0.5215880000000001</v>
      </c>
      <c r="V949" s="3" t="n">
        <v>1.374075</v>
      </c>
      <c r="W949" s="3" t="n">
        <v>3.867299</v>
      </c>
      <c r="X949" s="3" t="n">
        <v>3.349151</v>
      </c>
      <c r="Y949" s="3" t="n">
        <v>4.07947</v>
      </c>
      <c r="Z949" s="3" t="n">
        <v>1.798592</v>
      </c>
      <c r="AA949" s="3" t="n">
        <v>-1.700142</v>
      </c>
      <c r="AB949" s="3" t="n">
        <v>1.534549</v>
      </c>
      <c r="AC949" s="3" t="n">
        <v>6.078824</v>
      </c>
      <c r="AD949" s="3" t="n">
        <v>2.975441</v>
      </c>
      <c r="AE949" s="3" t="n">
        <v>3.890842</v>
      </c>
      <c r="AF949" s="3" t="n">
        <v>-1.4</v>
      </c>
      <c r="AG949" s="3" t="n">
        <v>2.2</v>
      </c>
      <c r="AH949" s="3" t="n">
        <v>3</v>
      </c>
      <c r="AI949" s="3" t="n">
        <v>2.5</v>
      </c>
      <c r="AJ949" s="3" t="n">
        <v>2.5</v>
      </c>
      <c r="AK949" s="3" t="n">
        <v>2.5</v>
      </c>
      <c r="AL949" s="3" t="n">
        <v>2.5</v>
      </c>
      <c r="AM949" s="3" t="n"/>
      <c r="AN949" s="3" t="n"/>
      <c r="AO949" s="3" t="n"/>
      <c r="AP949" s="3" t="n"/>
      <c r="AQ949" s="3" t="n"/>
      <c r="AR949" s="3" t="n"/>
      <c r="AS949" s="3" t="n"/>
      <c r="AT949" s="3" t="n"/>
      <c r="AU949" s="3" t="n"/>
    </row>
    <row r="950">
      <c r="A950" s="3" t="n">
        <v>2031</v>
      </c>
      <c r="B950" s="3" t="inlineStr">
        <is>
          <t>FJI</t>
        </is>
      </c>
      <c r="C950" s="3" t="inlineStr">
        <is>
          <t>IMF.RES:WEO</t>
        </is>
      </c>
      <c r="D950" s="3" t="inlineStr">
        <is>
          <t>FJI.PPPPC.A</t>
        </is>
      </c>
      <c r="E950" s="3" t="inlineStr">
        <is>
          <t>Fiji, Republic of</t>
        </is>
      </c>
      <c r="F950" s="3" t="inlineStr">
        <is>
          <t>Gross domestic product (GDP), Per capita, purchasing power parity (PPP) international dollar, ICP benchmarks 2017-2021</t>
        </is>
      </c>
      <c r="G950" s="3" t="n">
        <v>7196.353133</v>
      </c>
      <c r="H950" s="3" t="n">
        <v>7472.201179</v>
      </c>
      <c r="I950" s="3" t="n">
        <v>7777.32165</v>
      </c>
      <c r="J950" s="3" t="n">
        <v>7935.246206</v>
      </c>
      <c r="K950" s="3" t="n">
        <v>8536.186543</v>
      </c>
      <c r="L950" s="3" t="n">
        <v>8634.643125000001</v>
      </c>
      <c r="M950" s="3" t="n">
        <v>9036.798134000001</v>
      </c>
      <c r="N950" s="3" t="n">
        <v>9114.750982</v>
      </c>
      <c r="O950" s="3" t="n">
        <v>9375.690656000001</v>
      </c>
      <c r="P950" s="3" t="n">
        <v>9241.096627999999</v>
      </c>
      <c r="Q950" s="3" t="n">
        <v>9581.036783</v>
      </c>
      <c r="R950" s="3" t="n">
        <v>9990.743997</v>
      </c>
      <c r="S950" s="3" t="n">
        <v>10269.045732</v>
      </c>
      <c r="T950" s="3" t="n">
        <v>10896.346212</v>
      </c>
      <c r="U950" s="3" t="n">
        <v>11655.316814</v>
      </c>
      <c r="V950" s="3" t="n">
        <v>12240.627184</v>
      </c>
      <c r="W950" s="3" t="n">
        <v>12604.710102</v>
      </c>
      <c r="X950" s="3" t="n">
        <v>13310.275016</v>
      </c>
      <c r="Y950" s="3" t="n">
        <v>13626.824222</v>
      </c>
      <c r="Z950" s="3" t="n">
        <v>13258.685237</v>
      </c>
      <c r="AA950" s="3" t="n">
        <v>10883.442599</v>
      </c>
      <c r="AB950" s="3" t="n">
        <v>10440.818969</v>
      </c>
      <c r="AC950" s="3" t="n">
        <v>13088.692018</v>
      </c>
      <c r="AD950" s="3" t="n">
        <v>14766.9073</v>
      </c>
      <c r="AE950" s="3" t="n">
        <v>15576.313923</v>
      </c>
      <c r="AF950" s="3" t="n">
        <v>16430.663606</v>
      </c>
      <c r="AG950" s="3" t="n">
        <v>17208.780953</v>
      </c>
      <c r="AH950" s="3" t="n">
        <v>17955.603968</v>
      </c>
      <c r="AI950" s="3" t="n">
        <v>18678.264818</v>
      </c>
      <c r="AJ950" s="3" t="n">
        <v>19484.202966</v>
      </c>
      <c r="AK950" s="3" t="n">
        <v>20368.735359</v>
      </c>
      <c r="AL950" s="3" t="n">
        <v>21310.211275</v>
      </c>
      <c r="AM950" s="3" t="n"/>
      <c r="AN950" s="3" t="n"/>
      <c r="AO950" s="3" t="n"/>
      <c r="AP950" s="3" t="n"/>
      <c r="AQ950" s="3" t="n"/>
      <c r="AR950" s="3" t="n"/>
      <c r="AS950" s="3" t="n"/>
      <c r="AT950" s="3" t="n"/>
      <c r="AU950" s="3" t="n"/>
    </row>
    <row r="951">
      <c r="A951" s="3" t="n">
        <v>2025</v>
      </c>
      <c r="B951" s="3" t="inlineStr">
        <is>
          <t>FJI</t>
        </is>
      </c>
      <c r="C951" s="3" t="inlineStr">
        <is>
          <t>IMF.STA:ER</t>
        </is>
      </c>
      <c r="D951" s="3" t="inlineStr">
        <is>
          <t>FJI.XDC_USD.PA_RT.A</t>
        </is>
      </c>
      <c r="E951" s="3" t="inlineStr">
        <is>
          <t>Fiji, Republic of</t>
        </is>
      </c>
      <c r="F951" s="3" t="inlineStr">
        <is>
          <t>Domestic currency per US Dollar</t>
        </is>
      </c>
      <c r="G951" s="3" t="n">
        <v>2.128625</v>
      </c>
      <c r="H951" s="3" t="n">
        <v>2.27660294602613</v>
      </c>
      <c r="I951" s="3" t="n">
        <v>2.1867833500115</v>
      </c>
      <c r="J951" s="3" t="n">
        <v>1.89576838179996</v>
      </c>
      <c r="K951" s="3" t="n">
        <v>1.73310167837132</v>
      </c>
      <c r="L951" s="3" t="n">
        <v>1.69104621571551</v>
      </c>
      <c r="M951" s="3" t="n">
        <v>1.73126493278744</v>
      </c>
      <c r="N951" s="3" t="n">
        <v>1.61041379610359</v>
      </c>
      <c r="O951" s="3" t="n">
        <v>1.59403441077343</v>
      </c>
      <c r="P951" s="3" t="n">
        <v>1.95809503538886</v>
      </c>
      <c r="Q951" s="3" t="n">
        <v>1.91850867822547</v>
      </c>
      <c r="R951" s="3" t="n">
        <v>1.79088383126012</v>
      </c>
      <c r="S951" s="3" t="n">
        <v>1.78989281741094</v>
      </c>
      <c r="T951" s="3" t="n">
        <v>1.84147661706532</v>
      </c>
      <c r="U951" s="3" t="n">
        <v>1.88734535831921</v>
      </c>
      <c r="V951" s="3" t="n">
        <v>2.09762981633101</v>
      </c>
      <c r="W951" s="3" t="n">
        <v>2.09469593918508</v>
      </c>
      <c r="X951" s="3" t="n">
        <v>2.06687530381454</v>
      </c>
      <c r="Y951" s="3" t="n">
        <v>2.08737978924996</v>
      </c>
      <c r="Z951" s="3" t="n">
        <v>2.16039311531463</v>
      </c>
      <c r="AA951" s="3" t="n">
        <v>2.16880492424242</v>
      </c>
      <c r="AB951" s="3" t="n">
        <v>2.07063333333333</v>
      </c>
      <c r="AC951" s="3" t="n">
        <v>2.2014069869585</v>
      </c>
      <c r="AD951" s="3" t="n">
        <v>2.250125</v>
      </c>
      <c r="AE951" s="3" t="n">
        <v>2.2683</v>
      </c>
      <c r="AF951" s="3" t="n">
        <v>2.29903333333333</v>
      </c>
      <c r="AG951" s="3" t="n"/>
      <c r="AH951" s="3" t="n"/>
      <c r="AI951" s="3" t="n"/>
      <c r="AJ951" s="3" t="n"/>
      <c r="AK951" s="3" t="n"/>
      <c r="AL951" s="3" t="n"/>
      <c r="AM951" s="3" t="n"/>
      <c r="AN951" s="3" t="n"/>
      <c r="AO951" s="3" t="n"/>
      <c r="AP951" s="3" t="n"/>
      <c r="AQ951" s="3" t="n"/>
      <c r="AR951" s="3" t="n"/>
      <c r="AS951" s="3" t="n"/>
      <c r="AT951" s="3" t="n"/>
      <c r="AU951" s="3" t="n"/>
    </row>
    <row r="952">
      <c r="A952" s="3" t="n">
        <v>2031</v>
      </c>
      <c r="B952" s="3" t="inlineStr">
        <is>
          <t>FRA</t>
        </is>
      </c>
      <c r="C952" s="3" t="inlineStr">
        <is>
          <t>IMF.RES:WEO</t>
        </is>
      </c>
      <c r="D952" s="3" t="inlineStr">
        <is>
          <t>FRA.BCA.A</t>
        </is>
      </c>
      <c r="E952" s="3" t="inlineStr">
        <is>
          <t>France</t>
        </is>
      </c>
      <c r="F952" s="3" t="inlineStr">
        <is>
          <t>Current account balance (credit less debit), US dollar</t>
        </is>
      </c>
      <c r="G952" s="3" t="n">
        <v>15.020879</v>
      </c>
      <c r="H952" s="3" t="n">
        <v>21.695878</v>
      </c>
      <c r="I952" s="3" t="n">
        <v>17.224684</v>
      </c>
      <c r="J952" s="3" t="n">
        <v>15.412725</v>
      </c>
      <c r="K952" s="3" t="n">
        <v>11.288263</v>
      </c>
      <c r="L952" s="3" t="n">
        <v>2.282923</v>
      </c>
      <c r="M952" s="3" t="n">
        <v>5.876514</v>
      </c>
      <c r="N952" s="3" t="n">
        <v>-2.712496</v>
      </c>
      <c r="O952" s="3" t="n">
        <v>-20.404496</v>
      </c>
      <c r="P952" s="3" t="n">
        <v>-14.846663</v>
      </c>
      <c r="Q952" s="3" t="n">
        <v>-16.653986</v>
      </c>
      <c r="R952" s="3" t="n">
        <v>-24.620747</v>
      </c>
      <c r="S952" s="3" t="n">
        <v>-57.232441</v>
      </c>
      <c r="T952" s="3" t="n">
        <v>-17.159535</v>
      </c>
      <c r="U952" s="3" t="n">
        <v>-26.14366</v>
      </c>
      <c r="V952" s="3" t="n">
        <v>-7.939368</v>
      </c>
      <c r="W952" s="3" t="n">
        <v>-13.040147</v>
      </c>
      <c r="X952" s="3" t="n">
        <v>-14.151039</v>
      </c>
      <c r="Y952" s="3" t="n">
        <v>-19.422515</v>
      </c>
      <c r="Z952" s="3" t="n">
        <v>16.269999</v>
      </c>
      <c r="AA952" s="3" t="n">
        <v>-54.317028</v>
      </c>
      <c r="AB952" s="3" t="n">
        <v>8.216042</v>
      </c>
      <c r="AC952" s="3" t="n">
        <v>-39.692172</v>
      </c>
      <c r="AD952" s="3" t="n">
        <v>-31.797385</v>
      </c>
      <c r="AE952" s="3" t="n">
        <v>2.883675</v>
      </c>
      <c r="AF952" s="3" t="n">
        <v>-14.820362</v>
      </c>
      <c r="AG952" s="3" t="n">
        <v>-12.044888</v>
      </c>
      <c r="AH952" s="3" t="n">
        <v>-7.477502</v>
      </c>
      <c r="AI952" s="3" t="n">
        <v>8.388235</v>
      </c>
      <c r="AJ952" s="3" t="n">
        <v>13.660044</v>
      </c>
      <c r="AK952" s="3" t="n">
        <v>20.434051</v>
      </c>
      <c r="AL952" s="3" t="n">
        <v>17.479955</v>
      </c>
      <c r="AM952" s="3" t="n"/>
      <c r="AN952" s="3" t="n"/>
      <c r="AO952" s="3" t="n"/>
      <c r="AP952" s="3" t="n"/>
      <c r="AQ952" s="3" t="n"/>
      <c r="AR952" s="3" t="n"/>
      <c r="AS952" s="3" t="n"/>
      <c r="AT952" s="3" t="n"/>
      <c r="AU952" s="3" t="n"/>
    </row>
    <row r="953">
      <c r="A953" s="3" t="n">
        <v>2031</v>
      </c>
      <c r="B953" s="3" t="inlineStr">
        <is>
          <t>FRA</t>
        </is>
      </c>
      <c r="C953" s="3" t="inlineStr">
        <is>
          <t>IMF.RES:WEO</t>
        </is>
      </c>
      <c r="D953" s="3" t="inlineStr">
        <is>
          <t>FRA.BCA_NGDPD.A</t>
        </is>
      </c>
      <c r="E953" s="3" t="inlineStr">
        <is>
          <t>France</t>
        </is>
      </c>
      <c r="F953" s="3" t="inlineStr">
        <is>
          <t>Current account balance (credit less debit), Percent of GDP</t>
        </is>
      </c>
      <c r="G953" s="3" t="n">
        <v>1.103211</v>
      </c>
      <c r="H953" s="3" t="n">
        <v>1.583195</v>
      </c>
      <c r="I953" s="3" t="n">
        <v>1.154955</v>
      </c>
      <c r="J953" s="3" t="n">
        <v>0.840097</v>
      </c>
      <c r="K953" s="3" t="n">
        <v>0.535284</v>
      </c>
      <c r="L953" s="3" t="n">
        <v>0.104083</v>
      </c>
      <c r="M953" s="3" t="n">
        <v>0.253518</v>
      </c>
      <c r="N953" s="3" t="n">
        <v>-0.102122</v>
      </c>
      <c r="O953" s="3" t="n">
        <v>-0.697236</v>
      </c>
      <c r="P953" s="3" t="n">
        <v>-0.550459</v>
      </c>
      <c r="Q953" s="3" t="n">
        <v>-0.628834</v>
      </c>
      <c r="R953" s="3" t="n">
        <v>-0.857895</v>
      </c>
      <c r="S953" s="3" t="n">
        <v>-2.131795</v>
      </c>
      <c r="T953" s="3" t="n">
        <v>-0.609333</v>
      </c>
      <c r="U953" s="3" t="n">
        <v>-0.913484</v>
      </c>
      <c r="V953" s="3" t="n">
        <v>-0.32502</v>
      </c>
      <c r="W953" s="3" t="n">
        <v>-0.528</v>
      </c>
      <c r="X953" s="3" t="n">
        <v>-0.546804</v>
      </c>
      <c r="Y953" s="3" t="n">
        <v>-0.697939</v>
      </c>
      <c r="Z953" s="3" t="n">
        <v>0.597482</v>
      </c>
      <c r="AA953" s="3" t="n">
        <v>-2.052948</v>
      </c>
      <c r="AB953" s="3" t="n">
        <v>0.276783</v>
      </c>
      <c r="AC953" s="3" t="n">
        <v>-1.419105</v>
      </c>
      <c r="AD953" s="3" t="n">
        <v>-1.038759</v>
      </c>
      <c r="AE953" s="3" t="n">
        <v>0.091225</v>
      </c>
      <c r="AF953" s="3" t="n">
        <v>-0.439914</v>
      </c>
      <c r="AG953" s="3" t="n">
        <v>-0.334944</v>
      </c>
      <c r="AH953" s="3" t="n">
        <v>-0.203632</v>
      </c>
      <c r="AI953" s="3" t="n">
        <v>0.222163</v>
      </c>
      <c r="AJ953" s="3" t="n">
        <v>0.351282</v>
      </c>
      <c r="AK953" s="3" t="n">
        <v>0.5103259999999999</v>
      </c>
      <c r="AL953" s="3" t="n">
        <v>0.424594</v>
      </c>
      <c r="AM953" s="3" t="n"/>
      <c r="AN953" s="3" t="n"/>
      <c r="AO953" s="3" t="n"/>
      <c r="AP953" s="3" t="n"/>
      <c r="AQ953" s="3" t="n"/>
      <c r="AR953" s="3" t="n"/>
      <c r="AS953" s="3" t="n"/>
      <c r="AT953" s="3" t="n"/>
      <c r="AU953" s="3" t="n"/>
    </row>
    <row r="954">
      <c r="A954" s="3" t="n">
        <v>2031</v>
      </c>
      <c r="B954" s="3" t="inlineStr">
        <is>
          <t>FRA</t>
        </is>
      </c>
      <c r="C954" s="3" t="inlineStr">
        <is>
          <t>IMF.RES:WEO</t>
        </is>
      </c>
      <c r="D954" s="3" t="inlineStr">
        <is>
          <t>FRA.GGR_NGDP.A</t>
        </is>
      </c>
      <c r="E954" s="3" t="inlineStr">
        <is>
          <t>France</t>
        </is>
      </c>
      <c r="F954" s="3" t="inlineStr">
        <is>
          <t>Revenue, General government, Percent of GDP</t>
        </is>
      </c>
      <c r="G954" s="3" t="n">
        <v>51.306262</v>
      </c>
      <c r="H954" s="3" t="n">
        <v>51.405392</v>
      </c>
      <c r="I954" s="3" t="n">
        <v>50.748988</v>
      </c>
      <c r="J954" s="3" t="n">
        <v>50.2658</v>
      </c>
      <c r="K954" s="3" t="n">
        <v>50.44529</v>
      </c>
      <c r="L954" s="3" t="n">
        <v>50.755774</v>
      </c>
      <c r="M954" s="3" t="n">
        <v>51.092496</v>
      </c>
      <c r="N954" s="3" t="n">
        <v>50.640593</v>
      </c>
      <c r="O954" s="3" t="n">
        <v>50.780422</v>
      </c>
      <c r="P954" s="3" t="n">
        <v>50.612308</v>
      </c>
      <c r="Q954" s="3" t="n">
        <v>50.559288</v>
      </c>
      <c r="R954" s="3" t="n">
        <v>51.709325</v>
      </c>
      <c r="S954" s="3" t="n">
        <v>52.721005</v>
      </c>
      <c r="T954" s="3" t="n">
        <v>53.653639</v>
      </c>
      <c r="U954" s="3" t="n">
        <v>53.820283</v>
      </c>
      <c r="V954" s="3" t="n">
        <v>53.707901</v>
      </c>
      <c r="W954" s="3" t="n">
        <v>53.61649</v>
      </c>
      <c r="X954" s="3" t="n">
        <v>54.30018</v>
      </c>
      <c r="Y954" s="3" t="n">
        <v>54.047559</v>
      </c>
      <c r="Z954" s="3" t="n">
        <v>52.953108</v>
      </c>
      <c r="AA954" s="3" t="n">
        <v>52.766478</v>
      </c>
      <c r="AB954" s="3" t="n">
        <v>52.87962</v>
      </c>
      <c r="AC954" s="3" t="n">
        <v>53.691451</v>
      </c>
      <c r="AD954" s="3" t="n">
        <v>51.393733</v>
      </c>
      <c r="AE954" s="3" t="n">
        <v>51.470075</v>
      </c>
      <c r="AF954" s="3" t="n">
        <v>52.350151</v>
      </c>
      <c r="AG954" s="3" t="n">
        <v>52.422866</v>
      </c>
      <c r="AH954" s="3" t="n">
        <v>52.61334</v>
      </c>
      <c r="AI954" s="3" t="n">
        <v>52.802658</v>
      </c>
      <c r="AJ954" s="3" t="n">
        <v>52.967551</v>
      </c>
      <c r="AK954" s="3" t="n">
        <v>53.077867</v>
      </c>
      <c r="AL954" s="3" t="n">
        <v>53.18885</v>
      </c>
      <c r="AM954" s="3" t="n"/>
      <c r="AN954" s="3" t="n"/>
      <c r="AO954" s="3" t="n"/>
      <c r="AP954" s="3" t="n"/>
      <c r="AQ954" s="3" t="n"/>
      <c r="AR954" s="3" t="n"/>
      <c r="AS954" s="3" t="n"/>
      <c r="AT954" s="3" t="n"/>
      <c r="AU954" s="3" t="n"/>
    </row>
    <row r="955">
      <c r="A955" s="3" t="n">
        <v>2031</v>
      </c>
      <c r="B955" s="3" t="inlineStr">
        <is>
          <t>FRA</t>
        </is>
      </c>
      <c r="C955" s="3" t="inlineStr">
        <is>
          <t>IMF.RES:WEO</t>
        </is>
      </c>
      <c r="D955" s="3" t="inlineStr">
        <is>
          <t>FRA.GGX_NGDP.A</t>
        </is>
      </c>
      <c r="E955" s="3" t="inlineStr">
        <is>
          <t>France</t>
        </is>
      </c>
      <c r="F955" s="3" t="inlineStr">
        <is>
          <t>Expenditure, General government, Percent of GDP</t>
        </is>
      </c>
      <c r="G955" s="3" t="n">
        <v>52.622399</v>
      </c>
      <c r="H955" s="3" t="n">
        <v>52.821078</v>
      </c>
      <c r="I955" s="3" t="n">
        <v>53.924084</v>
      </c>
      <c r="J955" s="3" t="n">
        <v>54.360657</v>
      </c>
      <c r="K955" s="3" t="n">
        <v>54.000099</v>
      </c>
      <c r="L955" s="3" t="n">
        <v>54.260724</v>
      </c>
      <c r="M955" s="3" t="n">
        <v>53.748034</v>
      </c>
      <c r="N955" s="3" t="n">
        <v>53.630882</v>
      </c>
      <c r="O955" s="3" t="n">
        <v>54.281407</v>
      </c>
      <c r="P955" s="3" t="n">
        <v>57.995495</v>
      </c>
      <c r="Q955" s="3" t="n">
        <v>57.718272</v>
      </c>
      <c r="R955" s="3" t="n">
        <v>57.008711</v>
      </c>
      <c r="S955" s="3" t="n">
        <v>57.889553</v>
      </c>
      <c r="T955" s="3" t="n">
        <v>58.589329</v>
      </c>
      <c r="U955" s="3" t="n">
        <v>58.391639</v>
      </c>
      <c r="V955" s="3" t="n">
        <v>57.595114</v>
      </c>
      <c r="W955" s="3" t="n">
        <v>57.379205</v>
      </c>
      <c r="X955" s="3" t="n">
        <v>57.665094</v>
      </c>
      <c r="Y955" s="3" t="n">
        <v>56.369231</v>
      </c>
      <c r="Z955" s="3" t="n">
        <v>55.344796</v>
      </c>
      <c r="AA955" s="3" t="n">
        <v>61.696709</v>
      </c>
      <c r="AB955" s="3" t="n">
        <v>59.463291</v>
      </c>
      <c r="AC955" s="3" t="n">
        <v>58.428853</v>
      </c>
      <c r="AD955" s="3" t="n">
        <v>56.833339</v>
      </c>
      <c r="AE955" s="3" t="n">
        <v>57.258108</v>
      </c>
      <c r="AF955" s="3" t="n">
        <v>57.462733</v>
      </c>
      <c r="AG955" s="3" t="n">
        <v>57.363517</v>
      </c>
      <c r="AH955" s="3" t="n">
        <v>57.402481</v>
      </c>
      <c r="AI955" s="3" t="n">
        <v>57.062822</v>
      </c>
      <c r="AJ955" s="3" t="n">
        <v>56.776146</v>
      </c>
      <c r="AK955" s="3" t="n">
        <v>56.43391</v>
      </c>
      <c r="AL955" s="3" t="n">
        <v>56.083398</v>
      </c>
      <c r="AM955" s="3" t="n"/>
      <c r="AN955" s="3" t="n"/>
      <c r="AO955" s="3" t="n"/>
      <c r="AP955" s="3" t="n"/>
      <c r="AQ955" s="3" t="n"/>
      <c r="AR955" s="3" t="n"/>
      <c r="AS955" s="3" t="n"/>
      <c r="AT955" s="3" t="n"/>
      <c r="AU955" s="3" t="n"/>
    </row>
    <row r="956">
      <c r="A956" s="3" t="n">
        <v>2027</v>
      </c>
      <c r="B956" s="3" t="inlineStr">
        <is>
          <t>FRA</t>
        </is>
      </c>
      <c r="C956" s="3" t="inlineStr">
        <is>
          <t>IMF.RES:WEO</t>
        </is>
      </c>
      <c r="D956" s="3" t="inlineStr">
        <is>
          <t>FRA.LE.A</t>
        </is>
      </c>
      <c r="E956" s="3" t="inlineStr">
        <is>
          <t>France</t>
        </is>
      </c>
      <c r="F956" s="3" t="inlineStr">
        <is>
          <t>Employed persons, Persons for countries / Index for country groups</t>
        </is>
      </c>
      <c r="G956" s="3" t="n">
        <v>24.67813</v>
      </c>
      <c r="H956" s="3" t="n">
        <v>25.172347</v>
      </c>
      <c r="I956" s="3" t="n">
        <v>25.435274</v>
      </c>
      <c r="J956" s="3" t="n">
        <v>25.36084</v>
      </c>
      <c r="K956" s="3" t="n">
        <v>25.509866</v>
      </c>
      <c r="L956" s="3" t="n">
        <v>25.702384</v>
      </c>
      <c r="M956" s="3" t="n">
        <v>25.828162</v>
      </c>
      <c r="N956" s="3" t="n">
        <v>26.317457</v>
      </c>
      <c r="O956" s="3" t="n">
        <v>26.675315</v>
      </c>
      <c r="P956" s="3" t="n">
        <v>26.415993</v>
      </c>
      <c r="Q956" s="3" t="n">
        <v>26.476538</v>
      </c>
      <c r="R956" s="3" t="n">
        <v>26.526924</v>
      </c>
      <c r="S956" s="3" t="n">
        <v>26.470939</v>
      </c>
      <c r="T956" s="3" t="n">
        <v>26.557296</v>
      </c>
      <c r="U956" s="3" t="n">
        <v>26.55729</v>
      </c>
      <c r="V956" s="3" t="n">
        <v>26.672341</v>
      </c>
      <c r="W956" s="3" t="n">
        <v>26.815243</v>
      </c>
      <c r="X956" s="3" t="n">
        <v>27.052293</v>
      </c>
      <c r="Y956" s="3" t="n">
        <v>27.257219</v>
      </c>
      <c r="Z956" s="3" t="n">
        <v>27.4725</v>
      </c>
      <c r="AA956" s="3" t="n">
        <v>27.417719</v>
      </c>
      <c r="AB956" s="3" t="n">
        <v>28.058795</v>
      </c>
      <c r="AC956" s="3" t="n">
        <v>28.588615</v>
      </c>
      <c r="AD956" s="3" t="n">
        <v>28.87351</v>
      </c>
      <c r="AE956" s="3" t="n">
        <v>29.099949</v>
      </c>
      <c r="AF956" s="3" t="n">
        <v>29.276348</v>
      </c>
      <c r="AG956" s="3" t="n">
        <v>29.187764</v>
      </c>
      <c r="AH956" s="3" t="n">
        <v>29.19554</v>
      </c>
      <c r="AI956" s="3" t="n"/>
      <c r="AJ956" s="3" t="n"/>
      <c r="AK956" s="3" t="n"/>
      <c r="AL956" s="3" t="n"/>
      <c r="AM956" s="3" t="n"/>
      <c r="AN956" s="3" t="n"/>
      <c r="AO956" s="3" t="n"/>
      <c r="AP956" s="3" t="n"/>
      <c r="AQ956" s="3" t="n"/>
      <c r="AR956" s="3" t="n"/>
      <c r="AS956" s="3" t="n"/>
      <c r="AT956" s="3" t="n"/>
      <c r="AU956" s="3" t="n"/>
    </row>
    <row r="957">
      <c r="A957" s="3" t="n">
        <v>2031</v>
      </c>
      <c r="B957" s="3" t="inlineStr">
        <is>
          <t>FRA</t>
        </is>
      </c>
      <c r="C957" s="3" t="inlineStr">
        <is>
          <t>IMF.RES:WEO</t>
        </is>
      </c>
      <c r="D957" s="3" t="inlineStr">
        <is>
          <t>FRA.LP.A</t>
        </is>
      </c>
      <c r="E957" s="3" t="inlineStr">
        <is>
          <t>France</t>
        </is>
      </c>
      <c r="F957" s="3" t="inlineStr">
        <is>
          <t>Population, Persons for countries / Index for country groups</t>
        </is>
      </c>
      <c r="G957" s="3" t="n">
        <v>60.50815</v>
      </c>
      <c r="H957" s="3" t="n">
        <v>60.94141</v>
      </c>
      <c r="I957" s="3" t="n">
        <v>61.38507</v>
      </c>
      <c r="J957" s="3" t="n">
        <v>61.82403</v>
      </c>
      <c r="K957" s="3" t="n">
        <v>62.251062</v>
      </c>
      <c r="L957" s="3" t="n">
        <v>62.730537</v>
      </c>
      <c r="M957" s="3" t="n">
        <v>63.186117</v>
      </c>
      <c r="N957" s="3" t="n">
        <v>63.60069</v>
      </c>
      <c r="O957" s="3" t="n">
        <v>63.961859</v>
      </c>
      <c r="P957" s="3" t="n">
        <v>64.3045</v>
      </c>
      <c r="Q957" s="3" t="n">
        <v>64.612939</v>
      </c>
      <c r="R957" s="3" t="n">
        <v>64.93340000000001</v>
      </c>
      <c r="S957" s="3" t="n">
        <v>65.241241</v>
      </c>
      <c r="T957" s="3" t="n">
        <v>65.564756</v>
      </c>
      <c r="U957" s="3" t="n">
        <v>66.13087299999999</v>
      </c>
      <c r="V957" s="3" t="n">
        <v>66.42246900000001</v>
      </c>
      <c r="W957" s="3" t="n">
        <v>66.602645</v>
      </c>
      <c r="X957" s="3" t="n">
        <v>66.77448200000001</v>
      </c>
      <c r="Y957" s="3" t="n">
        <v>66.992159</v>
      </c>
      <c r="Z957" s="3" t="n">
        <v>67.257982</v>
      </c>
      <c r="AA957" s="3" t="n">
        <v>67.44185</v>
      </c>
      <c r="AB957" s="3" t="n">
        <v>67.697091</v>
      </c>
      <c r="AC957" s="3" t="n">
        <v>68.06020700000001</v>
      </c>
      <c r="AD957" s="3" t="n">
        <v>68.404843</v>
      </c>
      <c r="AE957" s="3" t="n">
        <v>68.63837700000001</v>
      </c>
      <c r="AF957" s="3" t="n">
        <v>68.851996</v>
      </c>
      <c r="AG957" s="3" t="n">
        <v>69.045017</v>
      </c>
      <c r="AH957" s="3" t="n">
        <v>69.238579</v>
      </c>
      <c r="AI957" s="3" t="n">
        <v>69.43268399999999</v>
      </c>
      <c r="AJ957" s="3" t="n">
        <v>69.62733299999999</v>
      </c>
      <c r="AK957" s="3" t="n">
        <v>69.82252699999999</v>
      </c>
      <c r="AL957" s="3" t="n">
        <v>70.018269</v>
      </c>
      <c r="AM957" s="3" t="n"/>
      <c r="AN957" s="3" t="n"/>
      <c r="AO957" s="3" t="n"/>
      <c r="AP957" s="3" t="n"/>
      <c r="AQ957" s="3" t="n"/>
      <c r="AR957" s="3" t="n"/>
      <c r="AS957" s="3" t="n"/>
      <c r="AT957" s="3" t="n"/>
      <c r="AU957" s="3" t="n"/>
    </row>
    <row r="958">
      <c r="A958" s="3" t="n">
        <v>2031</v>
      </c>
      <c r="B958" s="3" t="inlineStr">
        <is>
          <t>FRA</t>
        </is>
      </c>
      <c r="C958" s="3" t="inlineStr">
        <is>
          <t>IMF.RES:WEO</t>
        </is>
      </c>
      <c r="D958" s="3" t="inlineStr">
        <is>
          <t>FRA.NGDP.A</t>
        </is>
      </c>
      <c r="E958" s="3" t="inlineStr">
        <is>
          <t>France</t>
        </is>
      </c>
      <c r="F958" s="3" t="inlineStr">
        <is>
          <t>Gross domestic product (GDP), Current prices, Domestic currency</t>
        </is>
      </c>
      <c r="G958" s="3" t="n">
        <v>1473.517</v>
      </c>
      <c r="H958" s="3" t="n">
        <v>1530.071</v>
      </c>
      <c r="I958" s="3" t="n">
        <v>1578.33</v>
      </c>
      <c r="J958" s="3" t="n">
        <v>1622.313</v>
      </c>
      <c r="K958" s="3" t="n">
        <v>1696.108</v>
      </c>
      <c r="L958" s="3" t="n">
        <v>1762.048</v>
      </c>
      <c r="M958" s="3" t="n">
        <v>1846.021</v>
      </c>
      <c r="N958" s="3" t="n">
        <v>1937.876</v>
      </c>
      <c r="O958" s="3" t="n">
        <v>1990</v>
      </c>
      <c r="P958" s="3" t="n">
        <v>1935.84</v>
      </c>
      <c r="Q958" s="3" t="n">
        <v>1996.075</v>
      </c>
      <c r="R958" s="3" t="n">
        <v>2062.141</v>
      </c>
      <c r="S958" s="3" t="n">
        <v>2088.287</v>
      </c>
      <c r="T958" s="3" t="n">
        <v>2120.352</v>
      </c>
      <c r="U958" s="3" t="n">
        <v>2153.733</v>
      </c>
      <c r="V958" s="3" t="n">
        <v>2201.402</v>
      </c>
      <c r="W958" s="3" t="n">
        <v>2231.819</v>
      </c>
      <c r="X958" s="3" t="n">
        <v>2291.681</v>
      </c>
      <c r="Y958" s="3" t="n">
        <v>2355.363</v>
      </c>
      <c r="Z958" s="3" t="n">
        <v>2432.207</v>
      </c>
      <c r="AA958" s="3" t="n">
        <v>2318.276</v>
      </c>
      <c r="AB958" s="3" t="n">
        <v>2508.102</v>
      </c>
      <c r="AC958" s="3" t="n">
        <v>2653.997</v>
      </c>
      <c r="AD958" s="3" t="n">
        <v>2830.205</v>
      </c>
      <c r="AE958" s="3" t="n">
        <v>2921.333</v>
      </c>
      <c r="AF958" s="3" t="n">
        <v>2983.085</v>
      </c>
      <c r="AG958" s="3" t="n">
        <v>3049.556189</v>
      </c>
      <c r="AH958" s="3" t="n">
        <v>3121.172212</v>
      </c>
      <c r="AI958" s="3" t="n">
        <v>3217.958752</v>
      </c>
      <c r="AJ958" s="3" t="n">
        <v>3315.953207</v>
      </c>
      <c r="AK958" s="3" t="n">
        <v>3414.972485</v>
      </c>
      <c r="AL958" s="3" t="n">
        <v>3511.709561</v>
      </c>
      <c r="AM958" s="3" t="n"/>
      <c r="AN958" s="3" t="n"/>
      <c r="AO958" s="3" t="n"/>
      <c r="AP958" s="3" t="n"/>
      <c r="AQ958" s="3" t="n"/>
      <c r="AR958" s="3" t="n"/>
      <c r="AS958" s="3" t="n"/>
      <c r="AT958" s="3" t="n"/>
      <c r="AU958" s="3" t="n"/>
    </row>
    <row r="959">
      <c r="A959" s="3" t="n">
        <v>2031</v>
      </c>
      <c r="B959" s="3" t="inlineStr">
        <is>
          <t>FRA</t>
        </is>
      </c>
      <c r="C959" s="3" t="inlineStr">
        <is>
          <t>IMF.RES:WEO</t>
        </is>
      </c>
      <c r="D959" s="3" t="inlineStr">
        <is>
          <t>FRA.NGDP_D.A</t>
        </is>
      </c>
      <c r="E959" s="3" t="inlineStr">
        <is>
          <t>France</t>
        </is>
      </c>
      <c r="F959" s="3" t="inlineStr">
        <is>
          <t>Gross domestic product (GDP), Price deflator, Index</t>
        </is>
      </c>
      <c r="G959" s="3" t="n">
        <v>75.639062</v>
      </c>
      <c r="H959" s="3" t="n">
        <v>77.12152500000001</v>
      </c>
      <c r="I959" s="3" t="n">
        <v>78.67022299999999</v>
      </c>
      <c r="J959" s="3" t="n">
        <v>80.0697</v>
      </c>
      <c r="K959" s="3" t="n">
        <v>81.65058500000001</v>
      </c>
      <c r="L959" s="3" t="n">
        <v>83.17451800000001</v>
      </c>
      <c r="M959" s="3" t="n">
        <v>84.65726100000001</v>
      </c>
      <c r="N959" s="3" t="n">
        <v>86.715716</v>
      </c>
      <c r="O959" s="3" t="n">
        <v>88.814941</v>
      </c>
      <c r="P959" s="3" t="n">
        <v>88.82298</v>
      </c>
      <c r="Q959" s="3" t="n">
        <v>89.93338199999999</v>
      </c>
      <c r="R959" s="3" t="n">
        <v>90.658385</v>
      </c>
      <c r="S959" s="3" t="n">
        <v>91.59800300000001</v>
      </c>
      <c r="T959" s="3" t="n">
        <v>92.150795</v>
      </c>
      <c r="U959" s="3" t="n">
        <v>92.67553100000001</v>
      </c>
      <c r="V959" s="3" t="n">
        <v>93.79050700000001</v>
      </c>
      <c r="W959" s="3" t="n">
        <v>94.392815</v>
      </c>
      <c r="X959" s="3" t="n">
        <v>94.773577</v>
      </c>
      <c r="Y959" s="3" t="n">
        <v>95.88296</v>
      </c>
      <c r="Z959" s="3" t="n">
        <v>96.980889</v>
      </c>
      <c r="AA959" s="3" t="n">
        <v>100.044406</v>
      </c>
      <c r="AB959" s="3" t="n">
        <v>101.349371</v>
      </c>
      <c r="AC959" s="3" t="n">
        <v>104.326611</v>
      </c>
      <c r="AD959" s="3" t="n">
        <v>109.479461</v>
      </c>
      <c r="AE959" s="3" t="n">
        <v>111.767411</v>
      </c>
      <c r="AF959" s="3" t="n">
        <v>113.080454</v>
      </c>
      <c r="AG959" s="3" t="n">
        <v>114.61662</v>
      </c>
      <c r="AH959" s="3" t="n">
        <v>116.289465</v>
      </c>
      <c r="AI959" s="3" t="n">
        <v>118.45426</v>
      </c>
      <c r="AJ959" s="3" t="n">
        <v>120.661422</v>
      </c>
      <c r="AK959" s="3" t="n">
        <v>122.905247</v>
      </c>
      <c r="AL959" s="3" t="n">
        <v>125.064171</v>
      </c>
      <c r="AM959" s="3" t="n"/>
      <c r="AN959" s="3" t="n"/>
      <c r="AO959" s="3" t="n"/>
      <c r="AP959" s="3" t="n"/>
      <c r="AQ959" s="3" t="n"/>
      <c r="AR959" s="3" t="n"/>
      <c r="AS959" s="3" t="n"/>
      <c r="AT959" s="3" t="n"/>
      <c r="AU959" s="3" t="n"/>
    </row>
    <row r="960">
      <c r="A960" s="3" t="n">
        <v>2031</v>
      </c>
      <c r="B960" s="3" t="inlineStr">
        <is>
          <t>FRA</t>
        </is>
      </c>
      <c r="C960" s="3" t="inlineStr">
        <is>
          <t>IMF.RES:WEO</t>
        </is>
      </c>
      <c r="D960" s="3" t="inlineStr">
        <is>
          <t>FRA.NGDP_R.A</t>
        </is>
      </c>
      <c r="E960" s="3" t="inlineStr">
        <is>
          <t>France</t>
        </is>
      </c>
      <c r="F960" s="3" t="inlineStr">
        <is>
          <t>Gross domestic product (GDP), Constant prices, Domestic currency</t>
        </is>
      </c>
      <c r="G960" s="3" t="n">
        <v>1948.09</v>
      </c>
      <c r="H960" s="3" t="n">
        <v>1983.974</v>
      </c>
      <c r="I960" s="3" t="n">
        <v>2006.261</v>
      </c>
      <c r="J960" s="3" t="n">
        <v>2026.126</v>
      </c>
      <c r="K960" s="3" t="n">
        <v>2077.276</v>
      </c>
      <c r="L960" s="3" t="n">
        <v>2118.495</v>
      </c>
      <c r="M960" s="3" t="n">
        <v>2180.582</v>
      </c>
      <c r="N960" s="3" t="n">
        <v>2234.746</v>
      </c>
      <c r="O960" s="3" t="n">
        <v>2240.614</v>
      </c>
      <c r="P960" s="3" t="n">
        <v>2179.436</v>
      </c>
      <c r="Q960" s="3" t="n">
        <v>2219.504</v>
      </c>
      <c r="R960" s="3" t="n">
        <v>2274.628</v>
      </c>
      <c r="S960" s="3" t="n">
        <v>2279.839</v>
      </c>
      <c r="T960" s="3" t="n">
        <v>2300.959</v>
      </c>
      <c r="U960" s="3" t="n">
        <v>2323.95</v>
      </c>
      <c r="V960" s="3" t="n">
        <v>2347.148</v>
      </c>
      <c r="W960" s="3" t="n">
        <v>2364.395</v>
      </c>
      <c r="X960" s="3" t="n">
        <v>2418.059</v>
      </c>
      <c r="Y960" s="3" t="n">
        <v>2456.498</v>
      </c>
      <c r="Z960" s="3" t="n">
        <v>2507.924</v>
      </c>
      <c r="AA960" s="3" t="n">
        <v>2317.247</v>
      </c>
      <c r="AB960" s="3" t="n">
        <v>2474.709</v>
      </c>
      <c r="AC960" s="3" t="n">
        <v>2543.931</v>
      </c>
      <c r="AD960" s="3" t="n">
        <v>2585.147</v>
      </c>
      <c r="AE960" s="3" t="n">
        <v>2613.761</v>
      </c>
      <c r="AF960" s="3" t="n">
        <v>2638.02</v>
      </c>
      <c r="AG960" s="3" t="n">
        <v>2660.65792</v>
      </c>
      <c r="AH960" s="3" t="n">
        <v>2683.968161</v>
      </c>
      <c r="AI960" s="3" t="n">
        <v>2716.625599</v>
      </c>
      <c r="AJ960" s="3" t="n">
        <v>2748.146968</v>
      </c>
      <c r="AK960" s="3" t="n">
        <v>2778.540845</v>
      </c>
      <c r="AL960" s="3" t="n">
        <v>2807.926153</v>
      </c>
      <c r="AM960" s="3" t="n"/>
      <c r="AN960" s="3" t="n"/>
      <c r="AO960" s="3" t="n"/>
      <c r="AP960" s="3" t="n"/>
      <c r="AQ960" s="3" t="n"/>
      <c r="AR960" s="3" t="n"/>
      <c r="AS960" s="3" t="n"/>
      <c r="AT960" s="3" t="n"/>
      <c r="AU960" s="3" t="n"/>
    </row>
    <row r="961">
      <c r="A961" s="3" t="n">
        <v>2031</v>
      </c>
      <c r="B961" s="3" t="inlineStr">
        <is>
          <t>FRA</t>
        </is>
      </c>
      <c r="C961" s="3" t="inlineStr">
        <is>
          <t>IMF.RES:WEO</t>
        </is>
      </c>
      <c r="D961" s="3" t="inlineStr">
        <is>
          <t>FRA.NGDP_RPCH.A</t>
        </is>
      </c>
      <c r="E961" s="3" t="inlineStr">
        <is>
          <t>France</t>
        </is>
      </c>
      <c r="F961" s="3" t="inlineStr">
        <is>
          <t>Gross domestic product (GDP), Constant prices, Percent change</t>
        </is>
      </c>
      <c r="G961" s="3" t="n">
        <v>4.366754</v>
      </c>
      <c r="H961" s="3" t="n">
        <v>1.842009</v>
      </c>
      <c r="I961" s="3" t="n">
        <v>1.123351</v>
      </c>
      <c r="J961" s="3" t="n">
        <v>0.99015</v>
      </c>
      <c r="K961" s="3" t="n">
        <v>2.524522</v>
      </c>
      <c r="L961" s="3" t="n">
        <v>1.984281</v>
      </c>
      <c r="M961" s="3" t="n">
        <v>2.930713</v>
      </c>
      <c r="N961" s="3" t="n">
        <v>2.483924</v>
      </c>
      <c r="O961" s="3" t="n">
        <v>0.26258</v>
      </c>
      <c r="P961" s="3" t="n">
        <v>-2.730412</v>
      </c>
      <c r="Q961" s="3" t="n">
        <v>1.838457</v>
      </c>
      <c r="R961" s="3" t="n">
        <v>2.483618</v>
      </c>
      <c r="S961" s="3" t="n">
        <v>0.229092</v>
      </c>
      <c r="T961" s="3" t="n">
        <v>0.926381</v>
      </c>
      <c r="U961" s="3" t="n">
        <v>0.999192</v>
      </c>
      <c r="V961" s="3" t="n">
        <v>0.998214</v>
      </c>
      <c r="W961" s="3" t="n">
        <v>0.734807</v>
      </c>
      <c r="X961" s="3" t="n">
        <v>2.269672</v>
      </c>
      <c r="Y961" s="3" t="n">
        <v>1.589663</v>
      </c>
      <c r="Z961" s="3" t="n">
        <v>2.093468</v>
      </c>
      <c r="AA961" s="3" t="n">
        <v>-7.602982</v>
      </c>
      <c r="AB961" s="3" t="n">
        <v>6.795219</v>
      </c>
      <c r="AC961" s="3" t="n">
        <v>2.797177</v>
      </c>
      <c r="AD961" s="3" t="n">
        <v>1.62017</v>
      </c>
      <c r="AE961" s="3" t="n">
        <v>1.106862</v>
      </c>
      <c r="AF961" s="3" t="n">
        <v>0.928126</v>
      </c>
      <c r="AG961" s="3" t="n">
        <v>0.858141</v>
      </c>
      <c r="AH961" s="3" t="n">
        <v>0.876108</v>
      </c>
      <c r="AI961" s="3" t="n">
        <v>1.21676</v>
      </c>
      <c r="AJ961" s="3" t="n">
        <v>1.160313</v>
      </c>
      <c r="AK961" s="3" t="n">
        <v>1.105977</v>
      </c>
      <c r="AL961" s="3" t="n">
        <v>1.057581</v>
      </c>
      <c r="AM961" s="3" t="n"/>
      <c r="AN961" s="3" t="n"/>
      <c r="AO961" s="3" t="n"/>
      <c r="AP961" s="3" t="n"/>
      <c r="AQ961" s="3" t="n"/>
      <c r="AR961" s="3" t="n"/>
      <c r="AS961" s="3" t="n"/>
      <c r="AT961" s="3" t="n"/>
      <c r="AU961" s="3" t="n"/>
    </row>
    <row r="962">
      <c r="A962" s="3" t="n">
        <v>2031</v>
      </c>
      <c r="B962" s="3" t="inlineStr">
        <is>
          <t>FRA</t>
        </is>
      </c>
      <c r="C962" s="3" t="inlineStr">
        <is>
          <t>IMF.RES:WEO</t>
        </is>
      </c>
      <c r="D962" s="3" t="inlineStr">
        <is>
          <t>FRA.NGDPD.A</t>
        </is>
      </c>
      <c r="E962" s="3" t="inlineStr">
        <is>
          <t>France</t>
        </is>
      </c>
      <c r="F962" s="3" t="inlineStr">
        <is>
          <t>Gross domestic product (GDP), Current prices, US dollar</t>
        </is>
      </c>
      <c r="G962" s="3" t="n">
        <v>1361.560059</v>
      </c>
      <c r="H962" s="3" t="n">
        <v>1370.386112</v>
      </c>
      <c r="I962" s="3" t="n">
        <v>1491.372798</v>
      </c>
      <c r="J962" s="3" t="n">
        <v>1834.63671</v>
      </c>
      <c r="K962" s="3" t="n">
        <v>2108.835024</v>
      </c>
      <c r="L962" s="3" t="n">
        <v>2193.35846</v>
      </c>
      <c r="M962" s="3" t="n">
        <v>2317.984606</v>
      </c>
      <c r="N962" s="3" t="n">
        <v>2656.129549</v>
      </c>
      <c r="O962" s="3" t="n">
        <v>2926.48273</v>
      </c>
      <c r="P962" s="3" t="n">
        <v>2697.143798</v>
      </c>
      <c r="Q962" s="3" t="n">
        <v>2648.391169</v>
      </c>
      <c r="R962" s="3" t="n">
        <v>2869.902884</v>
      </c>
      <c r="S962" s="3" t="n">
        <v>2684.706487</v>
      </c>
      <c r="T962" s="3" t="n">
        <v>2816.118782</v>
      </c>
      <c r="U962" s="3" t="n">
        <v>2861.973382</v>
      </c>
      <c r="V962" s="3" t="n">
        <v>2442.731193</v>
      </c>
      <c r="W962" s="3" t="n">
        <v>2469.725703</v>
      </c>
      <c r="X962" s="3" t="n">
        <v>2587.955316</v>
      </c>
      <c r="Y962" s="3" t="n">
        <v>2782.837927</v>
      </c>
      <c r="Z962" s="3" t="n">
        <v>2723.094237</v>
      </c>
      <c r="AA962" s="3" t="n">
        <v>2645.806344</v>
      </c>
      <c r="AB962" s="3" t="n">
        <v>2968.405421</v>
      </c>
      <c r="AC962" s="3" t="n">
        <v>2796.986594</v>
      </c>
      <c r="AD962" s="3" t="n">
        <v>3061.094521</v>
      </c>
      <c r="AE962" s="3" t="n">
        <v>3161.041745</v>
      </c>
      <c r="AF962" s="3" t="n">
        <v>3368.924656</v>
      </c>
      <c r="AG962" s="3" t="n">
        <v>3596.094151</v>
      </c>
      <c r="AH962" s="3" t="n">
        <v>3672.072655</v>
      </c>
      <c r="AI962" s="3" t="n">
        <v>3775.707242</v>
      </c>
      <c r="AJ962" s="3" t="n">
        <v>3888.624195</v>
      </c>
      <c r="AK962" s="3" t="n">
        <v>4004.117684</v>
      </c>
      <c r="AL962" s="3" t="n">
        <v>4116.865465</v>
      </c>
      <c r="AM962" s="3" t="n"/>
      <c r="AN962" s="3" t="n"/>
      <c r="AO962" s="3" t="n"/>
      <c r="AP962" s="3" t="n"/>
      <c r="AQ962" s="3" t="n"/>
      <c r="AR962" s="3" t="n"/>
      <c r="AS962" s="3" t="n"/>
      <c r="AT962" s="3" t="n"/>
      <c r="AU962" s="3" t="n"/>
    </row>
    <row r="963">
      <c r="A963" s="3" t="n">
        <v>2031</v>
      </c>
      <c r="B963" s="3" t="inlineStr">
        <is>
          <t>FRA</t>
        </is>
      </c>
      <c r="C963" s="3" t="inlineStr">
        <is>
          <t>IMF.RES:WEO</t>
        </is>
      </c>
      <c r="D963" s="3" t="inlineStr">
        <is>
          <t>FRA.NGDPPC.A</t>
        </is>
      </c>
      <c r="E963" s="3" t="inlineStr">
        <is>
          <t>France</t>
        </is>
      </c>
      <c r="F963" s="3" t="inlineStr">
        <is>
          <t>Gross domestic product (GDP), Current prices, Per capita, Domestic currency</t>
        </is>
      </c>
      <c r="G963" s="3" t="n">
        <v>24352.372366</v>
      </c>
      <c r="H963" s="3" t="n">
        <v>25107.246452</v>
      </c>
      <c r="I963" s="3" t="n">
        <v>25711.952434</v>
      </c>
      <c r="J963" s="3" t="n">
        <v>26240.816071</v>
      </c>
      <c r="K963" s="3" t="n">
        <v>27246.250032</v>
      </c>
      <c r="L963" s="3" t="n">
        <v>28089.158554</v>
      </c>
      <c r="M963" s="3" t="n">
        <v>29215.610765</v>
      </c>
      <c r="N963" s="3" t="n">
        <v>30469.417863</v>
      </c>
      <c r="O963" s="3" t="n">
        <v>31112.291467</v>
      </c>
      <c r="P963" s="3" t="n">
        <v>30104.26953</v>
      </c>
      <c r="Q963" s="3" t="n">
        <v>30892.806161</v>
      </c>
      <c r="R963" s="3" t="n">
        <v>31757.78567</v>
      </c>
      <c r="S963" s="3" t="n">
        <v>32008.695236</v>
      </c>
      <c r="T963" s="3" t="n">
        <v>32339.813787</v>
      </c>
      <c r="U963" s="3" t="n">
        <v>32567.738823</v>
      </c>
      <c r="V963" s="3" t="n">
        <v>33142.429559</v>
      </c>
      <c r="W963" s="3" t="n">
        <v>33509.464977</v>
      </c>
      <c r="X963" s="3" t="n">
        <v>34319.712132</v>
      </c>
      <c r="Y963" s="3" t="n">
        <v>35158.786269</v>
      </c>
      <c r="Z963" s="3" t="n">
        <v>36162.354678</v>
      </c>
      <c r="AA963" s="3" t="n">
        <v>34374.442575</v>
      </c>
      <c r="AB963" s="3" t="n">
        <v>37048.888851</v>
      </c>
      <c r="AC963" s="3" t="n">
        <v>38994.841729</v>
      </c>
      <c r="AD963" s="3" t="n">
        <v>41374.336609</v>
      </c>
      <c r="AE963" s="3" t="n">
        <v>42561.219068</v>
      </c>
      <c r="AF963" s="3" t="n">
        <v>43326.049691</v>
      </c>
      <c r="AG963" s="3" t="n">
        <v>44167.650641</v>
      </c>
      <c r="AH963" s="3" t="n">
        <v>45078.513337</v>
      </c>
      <c r="AI963" s="3" t="n">
        <v>46346.454898</v>
      </c>
      <c r="AJ963" s="3" t="n">
        <v>47624.303187</v>
      </c>
      <c r="AK963" s="3" t="n">
        <v>48909.322147</v>
      </c>
      <c r="AL963" s="3" t="n">
        <v>50154.189778</v>
      </c>
      <c r="AM963" s="3" t="n"/>
      <c r="AN963" s="3" t="n"/>
      <c r="AO963" s="3" t="n"/>
      <c r="AP963" s="3" t="n"/>
      <c r="AQ963" s="3" t="n"/>
      <c r="AR963" s="3" t="n"/>
      <c r="AS963" s="3" t="n"/>
      <c r="AT963" s="3" t="n"/>
      <c r="AU963" s="3" t="n"/>
    </row>
    <row r="964">
      <c r="A964" s="3" t="n">
        <v>2031</v>
      </c>
      <c r="B964" s="3" t="inlineStr">
        <is>
          <t>FRA</t>
        </is>
      </c>
      <c r="C964" s="3" t="inlineStr">
        <is>
          <t>IMF.RES:WEO</t>
        </is>
      </c>
      <c r="D964" s="3" t="inlineStr">
        <is>
          <t>FRA.NGDPRPC.A</t>
        </is>
      </c>
      <c r="E964" s="3" t="inlineStr">
        <is>
          <t>France</t>
        </is>
      </c>
      <c r="F964" s="3" t="inlineStr">
        <is>
          <t>Gross domestic product (GDP), Constant prices, Per capita, Domestic currency</t>
        </is>
      </c>
      <c r="G964" s="3" t="n">
        <v>32195.497631</v>
      </c>
      <c r="H964" s="3" t="n">
        <v>32555.433161</v>
      </c>
      <c r="I964" s="3" t="n">
        <v>32683.207822</v>
      </c>
      <c r="J964" s="3" t="n">
        <v>32772.467275</v>
      </c>
      <c r="K964" s="3" t="n">
        <v>33369.326294</v>
      </c>
      <c r="L964" s="3" t="n">
        <v>33771.351264</v>
      </c>
      <c r="M964" s="3" t="n">
        <v>34510.460581</v>
      </c>
      <c r="N964" s="3" t="n">
        <v>35137.134519</v>
      </c>
      <c r="O964" s="3" t="n">
        <v>35030.470268</v>
      </c>
      <c r="P964" s="3" t="n">
        <v>33892.433655</v>
      </c>
      <c r="Q964" s="3" t="n">
        <v>34350.766802</v>
      </c>
      <c r="R964" s="3" t="n">
        <v>35030.169374</v>
      </c>
      <c r="S964" s="3" t="n">
        <v>34944.752201</v>
      </c>
      <c r="T964" s="3" t="n">
        <v>35094.449219</v>
      </c>
      <c r="U964" s="3" t="n">
        <v>35141.680346</v>
      </c>
      <c r="V964" s="3" t="n">
        <v>35336.656938</v>
      </c>
      <c r="W964" s="3" t="n">
        <v>35500.016553</v>
      </c>
      <c r="X964" s="3" t="n">
        <v>36212.321348</v>
      </c>
      <c r="Y964" s="3" t="n">
        <v>36668.440556</v>
      </c>
      <c r="Z964" s="3" t="n">
        <v>37288.124404</v>
      </c>
      <c r="AA964" s="3" t="n">
        <v>34359.184987</v>
      </c>
      <c r="AB964" s="3" t="n">
        <v>36555.618025</v>
      </c>
      <c r="AC964" s="3" t="n">
        <v>37377.655933</v>
      </c>
      <c r="AD964" s="3" t="n">
        <v>37791.870964</v>
      </c>
      <c r="AE964" s="3" t="n">
        <v>38080.169058</v>
      </c>
      <c r="AF964" s="3" t="n">
        <v>38314.357655</v>
      </c>
      <c r="AG964" s="3" t="n">
        <v>38535.118614</v>
      </c>
      <c r="AH964" s="3" t="n">
        <v>38764.056036</v>
      </c>
      <c r="AI964" s="3" t="n">
        <v>39126.034697</v>
      </c>
      <c r="AJ964" s="3" t="n">
        <v>39469.370113</v>
      </c>
      <c r="AK964" s="3" t="n">
        <v>39794.332127</v>
      </c>
      <c r="AL964" s="3" t="n">
        <v>40102.764403</v>
      </c>
      <c r="AM964" s="3" t="n"/>
      <c r="AN964" s="3" t="n"/>
      <c r="AO964" s="3" t="n"/>
      <c r="AP964" s="3" t="n"/>
      <c r="AQ964" s="3" t="n"/>
      <c r="AR964" s="3" t="n"/>
      <c r="AS964" s="3" t="n"/>
      <c r="AT964" s="3" t="n"/>
      <c r="AU964" s="3" t="n"/>
    </row>
    <row r="965">
      <c r="A965" s="3" t="n">
        <v>2031</v>
      </c>
      <c r="B965" s="3" t="inlineStr">
        <is>
          <t>FRA</t>
        </is>
      </c>
      <c r="C965" s="3" t="inlineStr">
        <is>
          <t>IMF.RES:WEO</t>
        </is>
      </c>
      <c r="D965" s="3" t="inlineStr">
        <is>
          <t>FRA.PCPI.A</t>
        </is>
      </c>
      <c r="E965" s="3" t="inlineStr">
        <is>
          <t>France</t>
        </is>
      </c>
      <c r="F965" s="3" t="inlineStr">
        <is>
          <t>All Items, Consumer price index (CPI), Period average</t>
        </is>
      </c>
      <c r="G965" s="3" t="n">
        <v>62.868333</v>
      </c>
      <c r="H965" s="3" t="n">
        <v>63.989167</v>
      </c>
      <c r="I965" s="3" t="n">
        <v>65.230833</v>
      </c>
      <c r="J965" s="3" t="n">
        <v>66.645</v>
      </c>
      <c r="K965" s="3" t="n">
        <v>68.204167</v>
      </c>
      <c r="L965" s="3" t="n">
        <v>69.488333</v>
      </c>
      <c r="M965" s="3" t="n">
        <v>70.80333299999999</v>
      </c>
      <c r="N965" s="3" t="n">
        <v>71.940833</v>
      </c>
      <c r="O965" s="3" t="n">
        <v>74.21333300000001</v>
      </c>
      <c r="P965" s="3" t="n">
        <v>74.291667</v>
      </c>
      <c r="Q965" s="3" t="n">
        <v>75.580833</v>
      </c>
      <c r="R965" s="3" t="n">
        <v>77.310833</v>
      </c>
      <c r="S965" s="3" t="n">
        <v>79.02500000000001</v>
      </c>
      <c r="T965" s="3" t="n">
        <v>79.8075</v>
      </c>
      <c r="U965" s="3" t="n">
        <v>80.295</v>
      </c>
      <c r="V965" s="3" t="n">
        <v>80.3625</v>
      </c>
      <c r="W965" s="3" t="n">
        <v>80.6125</v>
      </c>
      <c r="X965" s="3" t="n">
        <v>81.546667</v>
      </c>
      <c r="Y965" s="3" t="n">
        <v>83.261667</v>
      </c>
      <c r="Z965" s="3" t="n">
        <v>84.3425</v>
      </c>
      <c r="AA965" s="3" t="n">
        <v>84.785833</v>
      </c>
      <c r="AB965" s="3" t="n">
        <v>86.53916700000001</v>
      </c>
      <c r="AC965" s="3" t="n">
        <v>91.64749999999999</v>
      </c>
      <c r="AD965" s="3" t="n">
        <v>96.83583299999999</v>
      </c>
      <c r="AE965" s="3" t="n">
        <v>99.079167</v>
      </c>
      <c r="AF965" s="3" t="n">
        <v>99.996667</v>
      </c>
      <c r="AG965" s="3" t="n">
        <v>101.840491</v>
      </c>
      <c r="AH965" s="3" t="n">
        <v>103.593285</v>
      </c>
      <c r="AI965" s="3" t="n">
        <v>105.515223</v>
      </c>
      <c r="AJ965" s="3" t="n">
        <v>107.489618</v>
      </c>
      <c r="AK965" s="3" t="n">
        <v>109.543141</v>
      </c>
      <c r="AL965" s="3" t="n">
        <v>111.529731</v>
      </c>
      <c r="AM965" s="3" t="n"/>
      <c r="AN965" s="3" t="n"/>
      <c r="AO965" s="3" t="n"/>
      <c r="AP965" s="3" t="n"/>
      <c r="AQ965" s="3" t="n"/>
      <c r="AR965" s="3" t="n"/>
      <c r="AS965" s="3" t="n"/>
      <c r="AT965" s="3" t="n"/>
      <c r="AU965" s="3" t="n"/>
    </row>
    <row r="966">
      <c r="A966" s="3" t="n">
        <v>2031</v>
      </c>
      <c r="B966" s="3" t="inlineStr">
        <is>
          <t>FRA</t>
        </is>
      </c>
      <c r="C966" s="3" t="inlineStr">
        <is>
          <t>IMF.RES:WEO</t>
        </is>
      </c>
      <c r="D966" s="3" t="inlineStr">
        <is>
          <t>FRA.PCPIPCH.A</t>
        </is>
      </c>
      <c r="E966" s="3" t="inlineStr">
        <is>
          <t>France</t>
        </is>
      </c>
      <c r="F966" s="3" t="inlineStr">
        <is>
          <t>All Items, Consumer price index (CPI), Period average, percent change</t>
        </is>
      </c>
      <c r="G966" s="3" t="n">
        <v>1.817936</v>
      </c>
      <c r="H966" s="3" t="n">
        <v>1.782827</v>
      </c>
      <c r="I966" s="3" t="n">
        <v>1.940433</v>
      </c>
      <c r="J966" s="3" t="n">
        <v>2.167942</v>
      </c>
      <c r="K966" s="3" t="n">
        <v>2.33951</v>
      </c>
      <c r="L966" s="3" t="n">
        <v>1.882827</v>
      </c>
      <c r="M966" s="3" t="n">
        <v>1.892404</v>
      </c>
      <c r="N966" s="3" t="n">
        <v>1.606563</v>
      </c>
      <c r="O966" s="3" t="n">
        <v>3.158846</v>
      </c>
      <c r="P966" s="3" t="n">
        <v>0.105552</v>
      </c>
      <c r="Q966" s="3" t="n">
        <v>1.735278</v>
      </c>
      <c r="R966" s="3" t="n">
        <v>2.28894</v>
      </c>
      <c r="S966" s="3" t="n">
        <v>2.21724</v>
      </c>
      <c r="T966" s="3" t="n">
        <v>0.990193</v>
      </c>
      <c r="U966" s="3" t="n">
        <v>0.610845</v>
      </c>
      <c r="V966" s="3" t="n">
        <v>0.084065</v>
      </c>
      <c r="W966" s="3" t="n">
        <v>0.31109</v>
      </c>
      <c r="X966" s="3" t="n">
        <v>1.158836</v>
      </c>
      <c r="Y966" s="3" t="n">
        <v>2.10309</v>
      </c>
      <c r="Z966" s="3" t="n">
        <v>1.298116</v>
      </c>
      <c r="AA966" s="3" t="n">
        <v>0.525635</v>
      </c>
      <c r="AB966" s="3" t="n">
        <v>2.067956</v>
      </c>
      <c r="AC966" s="3" t="n">
        <v>5.902915</v>
      </c>
      <c r="AD966" s="3" t="n">
        <v>5.661184</v>
      </c>
      <c r="AE966" s="3" t="n">
        <v>2.316636</v>
      </c>
      <c r="AF966" s="3" t="n">
        <v>0.926027</v>
      </c>
      <c r="AG966" s="3" t="n">
        <v>1.843886</v>
      </c>
      <c r="AH966" s="3" t="n">
        <v>1.721117</v>
      </c>
      <c r="AI966" s="3" t="n">
        <v>1.855273</v>
      </c>
      <c r="AJ966" s="3" t="n">
        <v>1.871195</v>
      </c>
      <c r="AK966" s="3" t="n">
        <v>1.910438</v>
      </c>
      <c r="AL966" s="3" t="n">
        <v>1.813523</v>
      </c>
      <c r="AM966" s="3" t="n"/>
      <c r="AN966" s="3" t="n"/>
      <c r="AO966" s="3" t="n"/>
      <c r="AP966" s="3" t="n"/>
      <c r="AQ966" s="3" t="n"/>
      <c r="AR966" s="3" t="n"/>
      <c r="AS966" s="3" t="n"/>
      <c r="AT966" s="3" t="n"/>
      <c r="AU966" s="3" t="n"/>
    </row>
    <row r="967">
      <c r="A967" s="3" t="n">
        <v>2031</v>
      </c>
      <c r="B967" s="3" t="inlineStr">
        <is>
          <t>FRA</t>
        </is>
      </c>
      <c r="C967" s="3" t="inlineStr">
        <is>
          <t>IMF.RES:WEO</t>
        </is>
      </c>
      <c r="D967" s="3" t="inlineStr">
        <is>
          <t>FRA.PPPPC.A</t>
        </is>
      </c>
      <c r="E967" s="3" t="inlineStr">
        <is>
          <t>France</t>
        </is>
      </c>
      <c r="F967" s="3" t="inlineStr">
        <is>
          <t>Gross domestic product (GDP), Per capita, purchasing power parity (PPP) international dollar, ICP benchmarks 2017-2021</t>
        </is>
      </c>
      <c r="G967" s="3" t="n">
        <v>28813.62755</v>
      </c>
      <c r="H967" s="3" t="n">
        <v>29791.781428</v>
      </c>
      <c r="I967" s="3" t="n">
        <v>30373.501256</v>
      </c>
      <c r="J967" s="3" t="n">
        <v>31057.728857</v>
      </c>
      <c r="K967" s="3" t="n">
        <v>32473.673242</v>
      </c>
      <c r="L967" s="3" t="n">
        <v>33895.492253</v>
      </c>
      <c r="M967" s="3" t="n">
        <v>35705.492575</v>
      </c>
      <c r="N967" s="3" t="n">
        <v>37338.791488</v>
      </c>
      <c r="O967" s="3" t="n">
        <v>37942.558906</v>
      </c>
      <c r="P967" s="3" t="n">
        <v>36936.322581</v>
      </c>
      <c r="Q967" s="3" t="n">
        <v>37890.804182</v>
      </c>
      <c r="R967" s="3" t="n">
        <v>39437.466735</v>
      </c>
      <c r="S967" s="3" t="n">
        <v>40073.811215</v>
      </c>
      <c r="T967" s="3" t="n">
        <v>40930.460249</v>
      </c>
      <c r="U967" s="3" t="n">
        <v>41699.396984</v>
      </c>
      <c r="V967" s="3" t="n">
        <v>42319.897506</v>
      </c>
      <c r="W967" s="3" t="n">
        <v>42919.532983</v>
      </c>
      <c r="X967" s="3" t="n">
        <v>44564.773921</v>
      </c>
      <c r="Y967" s="3" t="n">
        <v>46496.122728</v>
      </c>
      <c r="Z967" s="3" t="n">
        <v>51224.780411</v>
      </c>
      <c r="AA967" s="3" t="n">
        <v>49598.674585</v>
      </c>
      <c r="AB967" s="3" t="n">
        <v>54017.119676</v>
      </c>
      <c r="AC967" s="3" t="n">
        <v>59160.135689</v>
      </c>
      <c r="AD967" s="3" t="n">
        <v>62028.944144</v>
      </c>
      <c r="AE967" s="3" t="n">
        <v>64053.780094</v>
      </c>
      <c r="AF967" s="3" t="n">
        <v>66275.934253</v>
      </c>
      <c r="AG967" s="3" t="n">
        <v>68567.451847</v>
      </c>
      <c r="AH967" s="3" t="n">
        <v>70489.430871</v>
      </c>
      <c r="AI967" s="3" t="n">
        <v>72315.471967</v>
      </c>
      <c r="AJ967" s="3" t="n">
        <v>74247.179527</v>
      </c>
      <c r="AK967" s="3" t="n">
        <v>76234.021265</v>
      </c>
      <c r="AL967" s="3" t="n">
        <v>78211.806155</v>
      </c>
      <c r="AM967" s="3" t="n"/>
      <c r="AN967" s="3" t="n"/>
      <c r="AO967" s="3" t="n"/>
      <c r="AP967" s="3" t="n"/>
      <c r="AQ967" s="3" t="n"/>
      <c r="AR967" s="3" t="n"/>
      <c r="AS967" s="3" t="n"/>
      <c r="AT967" s="3" t="n"/>
      <c r="AU967" s="3" t="n"/>
    </row>
    <row r="968">
      <c r="A968" s="3" t="inlineStr">
        <is>
          <t>INDICATOR</t>
        </is>
      </c>
      <c r="B968" s="3" t="inlineStr">
        <is>
          <t>FRA</t>
        </is>
      </c>
      <c r="C968" s="3" t="inlineStr">
        <is>
          <t>IMF.STA:ER</t>
        </is>
      </c>
      <c r="D968" s="3" t="inlineStr">
        <is>
          <t>FRA.XDC_USD.PA_RT.A</t>
        </is>
      </c>
      <c r="E968" s="3" t="inlineStr">
        <is>
          <t>France</t>
        </is>
      </c>
      <c r="F968" s="3" t="inlineStr">
        <is>
          <t>Domestic currency per US Dollar</t>
        </is>
      </c>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c r="AD968" s="3" t="n"/>
      <c r="AE968" s="3" t="n"/>
      <c r="AF968" s="3" t="n"/>
      <c r="AG968" s="3" t="n"/>
      <c r="AH968" s="3" t="n"/>
      <c r="AI968" s="3" t="n"/>
      <c r="AJ968" s="3" t="n"/>
      <c r="AK968" s="3" t="n"/>
      <c r="AL968" s="3" t="n"/>
      <c r="AM968" s="3" t="n"/>
      <c r="AN968" s="3" t="n"/>
      <c r="AO968" s="3" t="n"/>
      <c r="AP968" s="3" t="n"/>
      <c r="AQ968" s="3" t="n"/>
      <c r="AR968" s="3" t="n"/>
      <c r="AS968" s="3" t="n"/>
      <c r="AT968" s="3" t="n"/>
      <c r="AU968" s="3" t="n"/>
    </row>
    <row r="969">
      <c r="A969" s="3" t="n">
        <v>2025</v>
      </c>
      <c r="B969" s="3" t="inlineStr">
        <is>
          <t>FRO</t>
        </is>
      </c>
      <c r="C969" s="3" t="inlineStr">
        <is>
          <t>IMF.STA:ER</t>
        </is>
      </c>
      <c r="D969" s="3" t="inlineStr">
        <is>
          <t>FRO.XDC_USD.PA_RT.A</t>
        </is>
      </c>
      <c r="E969" s="3" t="inlineStr">
        <is>
          <t>Faroe Islands</t>
        </is>
      </c>
      <c r="F969" s="3" t="inlineStr">
        <is>
          <t>Domestic currency per US Dollar</t>
        </is>
      </c>
      <c r="G969" s="3" t="n">
        <v>8.08314416666666</v>
      </c>
      <c r="H969" s="3" t="n">
        <v>8.32281749999999</v>
      </c>
      <c r="I969" s="3" t="n">
        <v>7.89471416666666</v>
      </c>
      <c r="J969" s="3" t="n">
        <v>6.58767333333333</v>
      </c>
      <c r="K969" s="3" t="n">
        <v>5.99105666666666</v>
      </c>
      <c r="L969" s="3" t="n">
        <v>5.99691</v>
      </c>
      <c r="M969" s="3" t="n">
        <v>5.94677833333333</v>
      </c>
      <c r="N969" s="3" t="n">
        <v>5.44370083333333</v>
      </c>
      <c r="O969" s="3" t="n">
        <v>5.09813083333333</v>
      </c>
      <c r="P969" s="3" t="n">
        <v>5.36086666666666</v>
      </c>
      <c r="Q969" s="3" t="n">
        <v>5.624075</v>
      </c>
      <c r="R969" s="3" t="n">
        <v>5.36871153508772</v>
      </c>
      <c r="S969" s="3" t="n">
        <v>5.79247553703915</v>
      </c>
      <c r="T969" s="3" t="n">
        <v>5.61631168617622</v>
      </c>
      <c r="U969" s="3" t="n">
        <v>5.61246666666666</v>
      </c>
      <c r="V969" s="3" t="n">
        <v>6.72790683129629</v>
      </c>
      <c r="W969" s="3" t="n">
        <v>6.73171825724637</v>
      </c>
      <c r="X969" s="3" t="n">
        <v>6.60215225850877</v>
      </c>
      <c r="Y969" s="3" t="n">
        <v>6.31461878666666</v>
      </c>
      <c r="Z969" s="3" t="n">
        <v>6.669446615</v>
      </c>
      <c r="AA969" s="3" t="n">
        <v>6.54215220416666</v>
      </c>
      <c r="AB969" s="3" t="n">
        <v>6.2871130825</v>
      </c>
      <c r="AC969" s="3" t="n">
        <v>7.0761518625</v>
      </c>
      <c r="AD969" s="3" t="n">
        <v>6.88970258583333</v>
      </c>
      <c r="AE969" s="3" t="n">
        <v>6.89448141666666</v>
      </c>
      <c r="AF969" s="3" t="n">
        <v>6.89448141666666</v>
      </c>
      <c r="AG969" s="3" t="n"/>
      <c r="AH969" s="3" t="n"/>
      <c r="AI969" s="3" t="n"/>
      <c r="AJ969" s="3" t="n"/>
      <c r="AK969" s="3" t="n"/>
      <c r="AL969" s="3" t="n"/>
      <c r="AM969" s="3" t="n"/>
      <c r="AN969" s="3" t="n"/>
      <c r="AO969" s="3" t="n"/>
      <c r="AP969" s="3" t="n"/>
      <c r="AQ969" s="3" t="n"/>
      <c r="AR969" s="3" t="n"/>
      <c r="AS969" s="3" t="n"/>
      <c r="AT969" s="3" t="n"/>
      <c r="AU969" s="3" t="n"/>
    </row>
    <row r="970">
      <c r="A970" s="3" t="n">
        <v>2031</v>
      </c>
      <c r="B970" s="3" t="inlineStr">
        <is>
          <t>FSM</t>
        </is>
      </c>
      <c r="C970" s="3" t="inlineStr">
        <is>
          <t>IMF.RES:WEO</t>
        </is>
      </c>
      <c r="D970" s="3" t="inlineStr">
        <is>
          <t>FSM.BCA.A</t>
        </is>
      </c>
      <c r="E970" s="3" t="inlineStr">
        <is>
          <t>Micronesia, Federated States of</t>
        </is>
      </c>
      <c r="F970" s="3" t="inlineStr">
        <is>
          <t>Current account balance (credit less debit), US dollar</t>
        </is>
      </c>
      <c r="G970" s="3" t="n">
        <v>-0.034246</v>
      </c>
      <c r="H970" s="3" t="n">
        <v>-0.042115</v>
      </c>
      <c r="I970" s="3" t="n">
        <v>-0.02438</v>
      </c>
      <c r="J970" s="3" t="n">
        <v>-0.014704</v>
      </c>
      <c r="K970" s="3" t="n">
        <v>-0.044359</v>
      </c>
      <c r="L970" s="3" t="n">
        <v>-0.025277</v>
      </c>
      <c r="M970" s="3" t="n">
        <v>-0.039278</v>
      </c>
      <c r="N970" s="3" t="n">
        <v>-0.027442</v>
      </c>
      <c r="O970" s="3" t="n">
        <v>-0.049784</v>
      </c>
      <c r="P970" s="3" t="n">
        <v>-0.059266</v>
      </c>
      <c r="Q970" s="3" t="n">
        <v>-0.052089</v>
      </c>
      <c r="R970" s="3" t="n">
        <v>-0.05997</v>
      </c>
      <c r="S970" s="3" t="n">
        <v>-0.044379</v>
      </c>
      <c r="T970" s="3" t="n">
        <v>-0.031534</v>
      </c>
      <c r="U970" s="3" t="n">
        <v>0.032516</v>
      </c>
      <c r="V970" s="3" t="n">
        <v>0.031804</v>
      </c>
      <c r="W970" s="3" t="n">
        <v>0.044379</v>
      </c>
      <c r="X970" s="3" t="n">
        <v>0.069813</v>
      </c>
      <c r="Y970" s="3" t="n">
        <v>0.103833</v>
      </c>
      <c r="Z970" s="3" t="n">
        <v>0.076572</v>
      </c>
      <c r="AA970" s="3" t="n">
        <v>0.027351</v>
      </c>
      <c r="AB970" s="3" t="n">
        <v>0.038897</v>
      </c>
      <c r="AC970" s="3" t="n">
        <v>0.06862</v>
      </c>
      <c r="AD970" s="3" t="n">
        <v>0.024352</v>
      </c>
      <c r="AE970" s="3" t="n">
        <v>0.016645</v>
      </c>
      <c r="AF970" s="3" t="n">
        <v>0.018881</v>
      </c>
      <c r="AG970" s="3" t="n">
        <v>0.005723</v>
      </c>
      <c r="AH970" s="3" t="n">
        <v>-0.002185</v>
      </c>
      <c r="AI970" s="3" t="n">
        <v>-0.004173</v>
      </c>
      <c r="AJ970" s="3" t="n">
        <v>-0.006661</v>
      </c>
      <c r="AK970" s="3" t="n">
        <v>-0.006561</v>
      </c>
      <c r="AL970" s="3" t="n">
        <v>-0.005907</v>
      </c>
      <c r="AM970" s="3" t="n"/>
      <c r="AN970" s="3" t="n"/>
      <c r="AO970" s="3" t="n"/>
      <c r="AP970" s="3" t="n"/>
      <c r="AQ970" s="3" t="n"/>
      <c r="AR970" s="3" t="n"/>
      <c r="AS970" s="3" t="n"/>
      <c r="AT970" s="3" t="n"/>
      <c r="AU970" s="3" t="n"/>
    </row>
    <row r="971">
      <c r="A971" s="3" t="n">
        <v>2031</v>
      </c>
      <c r="B971" s="3" t="inlineStr">
        <is>
          <t>FSM</t>
        </is>
      </c>
      <c r="C971" s="3" t="inlineStr">
        <is>
          <t>IMF.RES:WEO</t>
        </is>
      </c>
      <c r="D971" s="3" t="inlineStr">
        <is>
          <t>FSM.BCA_NGDPD.A</t>
        </is>
      </c>
      <c r="E971" s="3" t="inlineStr">
        <is>
          <t>Micronesia, Federated States of</t>
        </is>
      </c>
      <c r="F971" s="3" t="inlineStr">
        <is>
          <t>Current account balance (credit less debit), Percent of GDP</t>
        </is>
      </c>
      <c r="G971" s="3" t="n">
        <v>-14.707786</v>
      </c>
      <c r="H971" s="3" t="n">
        <v>-17.533665</v>
      </c>
      <c r="I971" s="3" t="n">
        <v>-10.15451</v>
      </c>
      <c r="J971" s="3" t="n">
        <v>-6.052345</v>
      </c>
      <c r="K971" s="3" t="n">
        <v>-18.763686</v>
      </c>
      <c r="L971" s="3" t="n">
        <v>-10.230641</v>
      </c>
      <c r="M971" s="3" t="n">
        <v>-15.739402</v>
      </c>
      <c r="N971" s="3" t="n">
        <v>-10.847442</v>
      </c>
      <c r="O971" s="3" t="n">
        <v>-19.074064</v>
      </c>
      <c r="P971" s="3" t="n">
        <v>-21.403898</v>
      </c>
      <c r="Q971" s="3" t="n">
        <v>-17.863381</v>
      </c>
      <c r="R971" s="3" t="n">
        <v>-19.447282</v>
      </c>
      <c r="S971" s="3" t="n">
        <v>-13.703333</v>
      </c>
      <c r="T971" s="3" t="n">
        <v>-10.049734</v>
      </c>
      <c r="U971" s="3" t="n">
        <v>10.281966</v>
      </c>
      <c r="V971" s="3" t="n">
        <v>10.182293</v>
      </c>
      <c r="W971" s="3" t="n">
        <v>13.567255</v>
      </c>
      <c r="X971" s="3" t="n">
        <v>19.356573</v>
      </c>
      <c r="Y971" s="3" t="n">
        <v>26.322469</v>
      </c>
      <c r="Z971" s="3" t="n">
        <v>19.407429</v>
      </c>
      <c r="AA971" s="3" t="n">
        <v>7.334753</v>
      </c>
      <c r="AB971" s="3" t="n">
        <v>9.932909</v>
      </c>
      <c r="AC971" s="3" t="n">
        <v>16.525596</v>
      </c>
      <c r="AD971" s="3" t="n">
        <v>5.496913</v>
      </c>
      <c r="AE971" s="3" t="n">
        <v>3.45964</v>
      </c>
      <c r="AF971" s="3" t="n">
        <v>3.762767</v>
      </c>
      <c r="AG971" s="3" t="n">
        <v>1.097939</v>
      </c>
      <c r="AH971" s="3" t="n">
        <v>-0.398531</v>
      </c>
      <c r="AI971" s="3" t="n">
        <v>-0.7379829999999999</v>
      </c>
      <c r="AJ971" s="3" t="n">
        <v>-1.143133</v>
      </c>
      <c r="AK971" s="3" t="n">
        <v>-1.096479</v>
      </c>
      <c r="AL971" s="3" t="n">
        <v>-0.961468</v>
      </c>
      <c r="AM971" s="3" t="n"/>
      <c r="AN971" s="3" t="n"/>
      <c r="AO971" s="3" t="n"/>
      <c r="AP971" s="3" t="n"/>
      <c r="AQ971" s="3" t="n"/>
      <c r="AR971" s="3" t="n"/>
      <c r="AS971" s="3" t="n"/>
      <c r="AT971" s="3" t="n"/>
      <c r="AU971" s="3" t="n"/>
    </row>
    <row r="972">
      <c r="A972" s="3" t="n">
        <v>2031</v>
      </c>
      <c r="B972" s="3" t="inlineStr">
        <is>
          <t>FSM</t>
        </is>
      </c>
      <c r="C972" s="3" t="inlineStr">
        <is>
          <t>IMF.RES:WEO</t>
        </is>
      </c>
      <c r="D972" s="3" t="inlineStr">
        <is>
          <t>FSM.GGR_NGDP.A</t>
        </is>
      </c>
      <c r="E972" s="3" t="inlineStr">
        <is>
          <t>Micronesia, Federated States of</t>
        </is>
      </c>
      <c r="F972" s="3" t="inlineStr">
        <is>
          <t>Revenue, General government, Percent of GDP</t>
        </is>
      </c>
      <c r="G972" s="3" t="n">
        <v>63.919913</v>
      </c>
      <c r="H972" s="3" t="n">
        <v>58.723973</v>
      </c>
      <c r="I972" s="3" t="n">
        <v>66.75728100000001</v>
      </c>
      <c r="J972" s="3" t="n">
        <v>70.146348</v>
      </c>
      <c r="K972" s="3" t="n">
        <v>56.359004</v>
      </c>
      <c r="L972" s="3" t="n">
        <v>54.581198</v>
      </c>
      <c r="M972" s="3" t="n">
        <v>55.72632</v>
      </c>
      <c r="N972" s="3" t="n">
        <v>56.592943</v>
      </c>
      <c r="O972" s="3" t="n">
        <v>58.248095</v>
      </c>
      <c r="P972" s="3" t="n">
        <v>66.22712799999999</v>
      </c>
      <c r="Q972" s="3" t="n">
        <v>68.91118899999999</v>
      </c>
      <c r="R972" s="3" t="n">
        <v>65.3232</v>
      </c>
      <c r="S972" s="3" t="n">
        <v>66.712475</v>
      </c>
      <c r="T972" s="3" t="n">
        <v>63.097006</v>
      </c>
      <c r="U972" s="3" t="n">
        <v>65.99151500000001</v>
      </c>
      <c r="V972" s="3" t="n">
        <v>66.913053</v>
      </c>
      <c r="W972" s="3" t="n">
        <v>70.023201</v>
      </c>
      <c r="X972" s="3" t="n">
        <v>79.49100900000001</v>
      </c>
      <c r="Y972" s="3" t="n">
        <v>81.21925299999999</v>
      </c>
      <c r="Z972" s="3" t="n">
        <v>76.80733499999999</v>
      </c>
      <c r="AA972" s="3" t="n">
        <v>67.00634100000001</v>
      </c>
      <c r="AB972" s="3" t="n">
        <v>70.97386</v>
      </c>
      <c r="AC972" s="3" t="n">
        <v>76.11653699999999</v>
      </c>
      <c r="AD972" s="3" t="n">
        <v>61.34915</v>
      </c>
      <c r="AE972" s="3" t="n">
        <v>61.482098</v>
      </c>
      <c r="AF972" s="3" t="n">
        <v>60.627361</v>
      </c>
      <c r="AG972" s="3" t="n">
        <v>62.369329</v>
      </c>
      <c r="AH972" s="3" t="n">
        <v>66.644071</v>
      </c>
      <c r="AI972" s="3" t="n">
        <v>69.275024</v>
      </c>
      <c r="AJ972" s="3" t="n">
        <v>69.16611399999999</v>
      </c>
      <c r="AK972" s="3" t="n">
        <v>64.795891</v>
      </c>
      <c r="AL972" s="3" t="n">
        <v>62.214988</v>
      </c>
      <c r="AM972" s="3" t="n"/>
      <c r="AN972" s="3" t="n"/>
      <c r="AO972" s="3" t="n"/>
      <c r="AP972" s="3" t="n"/>
      <c r="AQ972" s="3" t="n"/>
      <c r="AR972" s="3" t="n"/>
      <c r="AS972" s="3" t="n"/>
      <c r="AT972" s="3" t="n"/>
      <c r="AU972" s="3" t="n"/>
    </row>
    <row r="973">
      <c r="A973" s="3" t="n">
        <v>2031</v>
      </c>
      <c r="B973" s="3" t="inlineStr">
        <is>
          <t>FSM</t>
        </is>
      </c>
      <c r="C973" s="3" t="inlineStr">
        <is>
          <t>IMF.RES:WEO</t>
        </is>
      </c>
      <c r="D973" s="3" t="inlineStr">
        <is>
          <t>FSM.GGX_NGDP.A</t>
        </is>
      </c>
      <c r="E973" s="3" t="inlineStr">
        <is>
          <t>Micronesia, Federated States of</t>
        </is>
      </c>
      <c r="F973" s="3" t="inlineStr">
        <is>
          <t>Expenditure, General government, Percent of GDP</t>
        </is>
      </c>
      <c r="G973" s="3" t="n">
        <v>67.404667</v>
      </c>
      <c r="H973" s="3" t="n">
        <v>64.187029</v>
      </c>
      <c r="I973" s="3" t="n">
        <v>59.552581</v>
      </c>
      <c r="J973" s="3" t="n">
        <v>67.528762</v>
      </c>
      <c r="K973" s="3" t="n">
        <v>71.911355</v>
      </c>
      <c r="L973" s="3" t="n">
        <v>60.212639</v>
      </c>
      <c r="M973" s="3" t="n">
        <v>61.171267</v>
      </c>
      <c r="N973" s="3" t="n">
        <v>60.141269</v>
      </c>
      <c r="O973" s="3" t="n">
        <v>59.801543</v>
      </c>
      <c r="P973" s="3" t="n">
        <v>64.422906</v>
      </c>
      <c r="Q973" s="3" t="n">
        <v>68.515282</v>
      </c>
      <c r="R973" s="3" t="n">
        <v>65.931422</v>
      </c>
      <c r="S973" s="3" t="n">
        <v>65.86798400000001</v>
      </c>
      <c r="T973" s="3" t="n">
        <v>60.290868</v>
      </c>
      <c r="U973" s="3" t="n">
        <v>54.987485</v>
      </c>
      <c r="V973" s="3" t="n">
        <v>56.52009</v>
      </c>
      <c r="W973" s="3" t="n">
        <v>62.882669</v>
      </c>
      <c r="X973" s="3" t="n">
        <v>65.163859</v>
      </c>
      <c r="Y973" s="3" t="n">
        <v>56.832257</v>
      </c>
      <c r="Z973" s="3" t="n">
        <v>57.469195</v>
      </c>
      <c r="AA973" s="3" t="n">
        <v>60.805732</v>
      </c>
      <c r="AB973" s="3" t="n">
        <v>66.73716</v>
      </c>
      <c r="AC973" s="3" t="n">
        <v>59.364896</v>
      </c>
      <c r="AD973" s="3" t="n">
        <v>63.171772</v>
      </c>
      <c r="AE973" s="3" t="n">
        <v>59.78065</v>
      </c>
      <c r="AF973" s="3" t="n">
        <v>60.228762</v>
      </c>
      <c r="AG973" s="3" t="n">
        <v>61.978005</v>
      </c>
      <c r="AH973" s="3" t="n">
        <v>66.902179</v>
      </c>
      <c r="AI973" s="3" t="n">
        <v>69.919667</v>
      </c>
      <c r="AJ973" s="3" t="n">
        <v>70.01491900000001</v>
      </c>
      <c r="AK973" s="3" t="n">
        <v>65.72755600000001</v>
      </c>
      <c r="AL973" s="3" t="n">
        <v>63.40882</v>
      </c>
      <c r="AM973" s="3" t="n"/>
      <c r="AN973" s="3" t="n"/>
      <c r="AO973" s="3" t="n"/>
      <c r="AP973" s="3" t="n"/>
      <c r="AQ973" s="3" t="n"/>
      <c r="AR973" s="3" t="n"/>
      <c r="AS973" s="3" t="n"/>
      <c r="AT973" s="3" t="n"/>
      <c r="AU973" s="3" t="n"/>
    </row>
    <row r="974">
      <c r="A974" s="3" t="n">
        <v>2031</v>
      </c>
      <c r="B974" s="3" t="inlineStr">
        <is>
          <t>FSM</t>
        </is>
      </c>
      <c r="C974" s="3" t="inlineStr">
        <is>
          <t>IMF.RES:WEO</t>
        </is>
      </c>
      <c r="D974" s="3" t="inlineStr">
        <is>
          <t>FSM.LP.A</t>
        </is>
      </c>
      <c r="E974" s="3" t="inlineStr">
        <is>
          <t>Micronesia, Federated States of</t>
        </is>
      </c>
      <c r="F974" s="3" t="inlineStr">
        <is>
          <t>Population, Persons for countries / Index for country groups</t>
        </is>
      </c>
      <c r="G974" s="3" t="n">
        <v>0.107008</v>
      </c>
      <c r="H974" s="3" t="n">
        <v>0.106718</v>
      </c>
      <c r="I974" s="3" t="n">
        <v>0.106427</v>
      </c>
      <c r="J974" s="3" t="n">
        <v>0.106137</v>
      </c>
      <c r="K974" s="3" t="n">
        <v>0.105846</v>
      </c>
      <c r="L974" s="3" t="n">
        <v>0.105556</v>
      </c>
      <c r="M974" s="3" t="n">
        <v>0.105013</v>
      </c>
      <c r="N974" s="3" t="n">
        <v>0.104471</v>
      </c>
      <c r="O974" s="3" t="n">
        <v>0.103928</v>
      </c>
      <c r="P974" s="3" t="n">
        <v>0.103386</v>
      </c>
      <c r="Q974" s="3" t="n">
        <v>0.102843</v>
      </c>
      <c r="R974" s="3" t="n">
        <v>0.10364</v>
      </c>
      <c r="S974" s="3" t="n">
        <v>0.103879</v>
      </c>
      <c r="T974" s="3" t="n">
        <v>0.10383</v>
      </c>
      <c r="U974" s="3" t="n">
        <v>0.103494</v>
      </c>
      <c r="V974" s="3" t="n">
        <v>0.102871</v>
      </c>
      <c r="W974" s="3" t="n">
        <v>0.10196</v>
      </c>
      <c r="X974" s="3" t="n">
        <v>0.101202</v>
      </c>
      <c r="Y974" s="3" t="n">
        <v>0.099594</v>
      </c>
      <c r="Z974" s="3" t="n">
        <v>0.09836399999999999</v>
      </c>
      <c r="AA974" s="3" t="n">
        <v>0.097165</v>
      </c>
      <c r="AB974" s="3" t="n">
        <v>0.095967</v>
      </c>
      <c r="AC974" s="3" t="n">
        <v>0.09476800000000001</v>
      </c>
      <c r="AD974" s="3" t="n">
        <v>0.094654</v>
      </c>
      <c r="AE974" s="3" t="n">
        <v>0.094541</v>
      </c>
      <c r="AF974" s="3" t="n">
        <v>0.094541</v>
      </c>
      <c r="AG974" s="3" t="n">
        <v>0.094541</v>
      </c>
      <c r="AH974" s="3" t="n">
        <v>0.094541</v>
      </c>
      <c r="AI974" s="3" t="n">
        <v>0.094541</v>
      </c>
      <c r="AJ974" s="3" t="n">
        <v>0.094541</v>
      </c>
      <c r="AK974" s="3" t="n">
        <v>0.094541</v>
      </c>
      <c r="AL974" s="3" t="n">
        <v>0.094541</v>
      </c>
      <c r="AM974" s="3" t="n"/>
      <c r="AN974" s="3" t="n"/>
      <c r="AO974" s="3" t="n"/>
      <c r="AP974" s="3" t="n"/>
      <c r="AQ974" s="3" t="n"/>
      <c r="AR974" s="3" t="n"/>
      <c r="AS974" s="3" t="n"/>
      <c r="AT974" s="3" t="n"/>
      <c r="AU974" s="3" t="n"/>
    </row>
    <row r="975">
      <c r="A975" s="3" t="n">
        <v>2031</v>
      </c>
      <c r="B975" s="3" t="inlineStr">
        <is>
          <t>FSM</t>
        </is>
      </c>
      <c r="C975" s="3" t="inlineStr">
        <is>
          <t>IMF.RES:WEO</t>
        </is>
      </c>
      <c r="D975" s="3" t="inlineStr">
        <is>
          <t>FSM.NGDP.A</t>
        </is>
      </c>
      <c r="E975" s="3" t="inlineStr">
        <is>
          <t>Micronesia, Federated States of</t>
        </is>
      </c>
      <c r="F975" s="3" t="inlineStr">
        <is>
          <t>Gross domestic product (GDP), Current prices, Domestic currency</t>
        </is>
      </c>
      <c r="G975" s="3" t="n">
        <v>0.232845</v>
      </c>
      <c r="H975" s="3" t="n">
        <v>0.240197</v>
      </c>
      <c r="I975" s="3" t="n">
        <v>0.240092</v>
      </c>
      <c r="J975" s="3" t="n">
        <v>0.242943</v>
      </c>
      <c r="K975" s="3" t="n">
        <v>0.236407</v>
      </c>
      <c r="L975" s="3" t="n">
        <v>0.247074</v>
      </c>
      <c r="M975" s="3" t="n">
        <v>0.249555</v>
      </c>
      <c r="N975" s="3" t="n">
        <v>0.252981</v>
      </c>
      <c r="O975" s="3" t="n">
        <v>0.261005</v>
      </c>
      <c r="P975" s="3" t="n">
        <v>0.276895</v>
      </c>
      <c r="Q975" s="3" t="n">
        <v>0.291598</v>
      </c>
      <c r="R975" s="3" t="n">
        <v>0.308372</v>
      </c>
      <c r="S975" s="3" t="n">
        <v>0.323857</v>
      </c>
      <c r="T975" s="3" t="n">
        <v>0.313781</v>
      </c>
      <c r="U975" s="3" t="n">
        <v>0.316239</v>
      </c>
      <c r="V975" s="3" t="n">
        <v>0.312346</v>
      </c>
      <c r="W975" s="3" t="n">
        <v>0.327103</v>
      </c>
      <c r="X975" s="3" t="n">
        <v>0.360671</v>
      </c>
      <c r="Y975" s="3" t="n">
        <v>0.394464</v>
      </c>
      <c r="Z975" s="3" t="n">
        <v>0.394548</v>
      </c>
      <c r="AA975" s="3" t="n">
        <v>0.372903</v>
      </c>
      <c r="AB975" s="3" t="n">
        <v>0.391602</v>
      </c>
      <c r="AC975" s="3" t="n">
        <v>0.415233</v>
      </c>
      <c r="AD975" s="3" t="n">
        <v>0.443003</v>
      </c>
      <c r="AE975" s="3" t="n">
        <v>0.481121</v>
      </c>
      <c r="AF975" s="3" t="n">
        <v>0.501798</v>
      </c>
      <c r="AG975" s="3" t="n">
        <v>0.52128</v>
      </c>
      <c r="AH975" s="3" t="n">
        <v>0.54821</v>
      </c>
      <c r="AI975" s="3" t="n">
        <v>0.565402</v>
      </c>
      <c r="AJ975" s="3" t="n">
        <v>0.582739</v>
      </c>
      <c r="AK975" s="3" t="n">
        <v>0.598328</v>
      </c>
      <c r="AL975" s="3" t="n">
        <v>0.614334</v>
      </c>
      <c r="AM975" s="3" t="n"/>
      <c r="AN975" s="3" t="n"/>
      <c r="AO975" s="3" t="n"/>
      <c r="AP975" s="3" t="n"/>
      <c r="AQ975" s="3" t="n"/>
      <c r="AR975" s="3" t="n"/>
      <c r="AS975" s="3" t="n"/>
      <c r="AT975" s="3" t="n"/>
      <c r="AU975" s="3" t="n"/>
    </row>
    <row r="976">
      <c r="A976" s="3" t="n">
        <v>2031</v>
      </c>
      <c r="B976" s="3" t="inlineStr">
        <is>
          <t>FSM</t>
        </is>
      </c>
      <c r="C976" s="3" t="inlineStr">
        <is>
          <t>IMF.RES:WEO</t>
        </is>
      </c>
      <c r="D976" s="3" t="inlineStr">
        <is>
          <t>FSM.NGDP_D.A</t>
        </is>
      </c>
      <c r="E976" s="3" t="inlineStr">
        <is>
          <t>Micronesia, Federated States of</t>
        </is>
      </c>
      <c r="F976" s="3" t="inlineStr">
        <is>
          <t>Gross domestic product (GDP), Price deflator, Index</t>
        </is>
      </c>
      <c r="G976" s="3" t="n">
        <v>99.080935</v>
      </c>
      <c r="H976" s="3" t="n">
        <v>100.112671</v>
      </c>
      <c r="I976" s="3" t="n">
        <v>99.810147</v>
      </c>
      <c r="J976" s="3" t="n">
        <v>99.45256500000001</v>
      </c>
      <c r="K976" s="3" t="n">
        <v>100</v>
      </c>
      <c r="L976" s="3" t="n">
        <v>102.085121</v>
      </c>
      <c r="M976" s="3" t="n">
        <v>103.389867</v>
      </c>
      <c r="N976" s="3" t="n">
        <v>106.651682</v>
      </c>
      <c r="O976" s="3" t="n">
        <v>112.972504</v>
      </c>
      <c r="P976" s="3" t="n">
        <v>118.58332</v>
      </c>
      <c r="Q976" s="3" t="n">
        <v>122.378752</v>
      </c>
      <c r="R976" s="3" t="n">
        <v>124.710612</v>
      </c>
      <c r="S976" s="3" t="n">
        <v>133.197765</v>
      </c>
      <c r="T976" s="3" t="n">
        <v>133.957441</v>
      </c>
      <c r="U976" s="3" t="n">
        <v>138.592097</v>
      </c>
      <c r="V976" s="3" t="n">
        <v>130.979797</v>
      </c>
      <c r="W976" s="3" t="n">
        <v>135.829952</v>
      </c>
      <c r="X976" s="3" t="n">
        <v>146.464002</v>
      </c>
      <c r="Y976" s="3" t="n">
        <v>159.400506</v>
      </c>
      <c r="Z976" s="3" t="n">
        <v>154.247445</v>
      </c>
      <c r="AA976" s="3" t="n">
        <v>148.724441</v>
      </c>
      <c r="AB976" s="3" t="n">
        <v>151.486611</v>
      </c>
      <c r="AC976" s="3" t="n">
        <v>165.790932</v>
      </c>
      <c r="AD976" s="3" t="n">
        <v>174.8894</v>
      </c>
      <c r="AE976" s="3" t="n">
        <v>185.676921</v>
      </c>
      <c r="AF976" s="3" t="n">
        <v>191.620274</v>
      </c>
      <c r="AG976" s="3" t="n">
        <v>197.743332</v>
      </c>
      <c r="AH976" s="3" t="n">
        <v>205.716137</v>
      </c>
      <c r="AI976" s="3" t="n">
        <v>209.160374</v>
      </c>
      <c r="AJ976" s="3" t="n">
        <v>213.343582</v>
      </c>
      <c r="AK976" s="3" t="n">
        <v>217.610453</v>
      </c>
      <c r="AL976" s="3" t="n">
        <v>221.962662</v>
      </c>
      <c r="AM976" s="3" t="n"/>
      <c r="AN976" s="3" t="n"/>
      <c r="AO976" s="3" t="n"/>
      <c r="AP976" s="3" t="n"/>
      <c r="AQ976" s="3" t="n"/>
      <c r="AR976" s="3" t="n"/>
      <c r="AS976" s="3" t="n"/>
      <c r="AT976" s="3" t="n"/>
      <c r="AU976" s="3" t="n"/>
    </row>
    <row r="977">
      <c r="A977" s="3" t="n">
        <v>2031</v>
      </c>
      <c r="B977" s="3" t="inlineStr">
        <is>
          <t>FSM</t>
        </is>
      </c>
      <c r="C977" s="3" t="inlineStr">
        <is>
          <t>IMF.RES:WEO</t>
        </is>
      </c>
      <c r="D977" s="3" t="inlineStr">
        <is>
          <t>FSM.NGDP_R.A</t>
        </is>
      </c>
      <c r="E977" s="3" t="inlineStr">
        <is>
          <t>Micronesia, Federated States of</t>
        </is>
      </c>
      <c r="F977" s="3" t="inlineStr">
        <is>
          <t>Gross domestic product (GDP), Constant prices, Domestic currency</t>
        </is>
      </c>
      <c r="G977" s="3" t="n">
        <v>0.235005</v>
      </c>
      <c r="H977" s="3" t="n">
        <v>0.239926</v>
      </c>
      <c r="I977" s="3" t="n">
        <v>0.240549</v>
      </c>
      <c r="J977" s="3" t="n">
        <v>0.244281</v>
      </c>
      <c r="K977" s="3" t="n">
        <v>0.236407</v>
      </c>
      <c r="L977" s="3" t="n">
        <v>0.242028</v>
      </c>
      <c r="M977" s="3" t="n">
        <v>0.241373</v>
      </c>
      <c r="N977" s="3" t="n">
        <v>0.237203</v>
      </c>
      <c r="O977" s="3" t="n">
        <v>0.231034</v>
      </c>
      <c r="P977" s="3" t="n">
        <v>0.233503</v>
      </c>
      <c r="Q977" s="3" t="n">
        <v>0.238275</v>
      </c>
      <c r="R977" s="3" t="n">
        <v>0.24727</v>
      </c>
      <c r="S977" s="3" t="n">
        <v>0.24314</v>
      </c>
      <c r="T977" s="3" t="n">
        <v>0.234239</v>
      </c>
      <c r="U977" s="3" t="n">
        <v>0.22818</v>
      </c>
      <c r="V977" s="3" t="n">
        <v>0.238469</v>
      </c>
      <c r="W977" s="3" t="n">
        <v>0.240818</v>
      </c>
      <c r="X977" s="3" t="n">
        <v>0.246252</v>
      </c>
      <c r="Y977" s="3" t="n">
        <v>0.247467</v>
      </c>
      <c r="Z977" s="3" t="n">
        <v>0.255789</v>
      </c>
      <c r="AA977" s="3" t="n">
        <v>0.250734</v>
      </c>
      <c r="AB977" s="3" t="n">
        <v>0.258506</v>
      </c>
      <c r="AC977" s="3" t="n">
        <v>0.250456</v>
      </c>
      <c r="AD977" s="3" t="n">
        <v>0.253305</v>
      </c>
      <c r="AE977" s="3" t="n">
        <v>0.259117</v>
      </c>
      <c r="AF977" s="3" t="n">
        <v>0.261871</v>
      </c>
      <c r="AG977" s="3" t="n">
        <v>0.263614</v>
      </c>
      <c r="AH977" s="3" t="n">
        <v>0.266489</v>
      </c>
      <c r="AI977" s="3" t="n">
        <v>0.27032</v>
      </c>
      <c r="AJ977" s="3" t="n">
        <v>0.273146</v>
      </c>
      <c r="AK977" s="3" t="n">
        <v>0.274954</v>
      </c>
      <c r="AL977" s="3" t="n">
        <v>0.276774</v>
      </c>
      <c r="AM977" s="3" t="n"/>
      <c r="AN977" s="3" t="n"/>
      <c r="AO977" s="3" t="n"/>
      <c r="AP977" s="3" t="n"/>
      <c r="AQ977" s="3" t="n"/>
      <c r="AR977" s="3" t="n"/>
      <c r="AS977" s="3" t="n"/>
      <c r="AT977" s="3" t="n"/>
      <c r="AU977" s="3" t="n"/>
    </row>
    <row r="978">
      <c r="A978" s="3" t="n">
        <v>2031</v>
      </c>
      <c r="B978" s="3" t="inlineStr">
        <is>
          <t>FSM</t>
        </is>
      </c>
      <c r="C978" s="3" t="inlineStr">
        <is>
          <t>IMF.RES:WEO</t>
        </is>
      </c>
      <c r="D978" s="3" t="inlineStr">
        <is>
          <t>FSM.NGDP_RPCH.A</t>
        </is>
      </c>
      <c r="E978" s="3" t="inlineStr">
        <is>
          <t>Micronesia, Federated States of</t>
        </is>
      </c>
      <c r="F978" s="3" t="inlineStr">
        <is>
          <t>Gross domestic product (GDP), Constant prices, Percent change</t>
        </is>
      </c>
      <c r="G978" s="3" t="n">
        <v>4.305536</v>
      </c>
      <c r="H978" s="3" t="n">
        <v>2.094243</v>
      </c>
      <c r="I978" s="3" t="n">
        <v>0.259548</v>
      </c>
      <c r="J978" s="3" t="n">
        <v>1.551376</v>
      </c>
      <c r="K978" s="3" t="n">
        <v>-3.223213</v>
      </c>
      <c r="L978" s="3" t="n">
        <v>2.377559</v>
      </c>
      <c r="M978" s="3" t="n">
        <v>-0.270577</v>
      </c>
      <c r="N978" s="3" t="n">
        <v>-1.727668</v>
      </c>
      <c r="O978" s="3" t="n">
        <v>-2.600667</v>
      </c>
      <c r="P978" s="3" t="n">
        <v>1.068509</v>
      </c>
      <c r="Q978" s="3" t="n">
        <v>2.044035</v>
      </c>
      <c r="R978" s="3" t="n">
        <v>3.774757</v>
      </c>
      <c r="S978" s="3" t="n">
        <v>-1.670251</v>
      </c>
      <c r="T978" s="3" t="n">
        <v>-3.660693</v>
      </c>
      <c r="U978" s="3" t="n">
        <v>-2.586859</v>
      </c>
      <c r="V978" s="3" t="n">
        <v>4.509349</v>
      </c>
      <c r="W978" s="3" t="n">
        <v>0.985032</v>
      </c>
      <c r="X978" s="3" t="n">
        <v>2.256451</v>
      </c>
      <c r="Y978" s="3" t="n">
        <v>0.493566</v>
      </c>
      <c r="Z978" s="3" t="n">
        <v>3.362567</v>
      </c>
      <c r="AA978" s="3" t="n">
        <v>-1.976128</v>
      </c>
      <c r="AB978" s="3" t="n">
        <v>3.099705</v>
      </c>
      <c r="AC978" s="3" t="n">
        <v>-3.114134</v>
      </c>
      <c r="AD978" s="3" t="n">
        <v>1.13756</v>
      </c>
      <c r="AE978" s="3" t="n">
        <v>2.294706</v>
      </c>
      <c r="AF978" s="3" t="n">
        <v>1.062599</v>
      </c>
      <c r="AG978" s="3" t="n">
        <v>0.665801</v>
      </c>
      <c r="AH978" s="3" t="n">
        <v>1.090334</v>
      </c>
      <c r="AI978" s="3" t="n">
        <v>1.437699</v>
      </c>
      <c r="AJ978" s="3" t="n">
        <v>1.045377</v>
      </c>
      <c r="AK978" s="3" t="n">
        <v>0.66182</v>
      </c>
      <c r="AL978" s="3" t="n">
        <v>0.661995</v>
      </c>
      <c r="AM978" s="3" t="n"/>
      <c r="AN978" s="3" t="n"/>
      <c r="AO978" s="3" t="n"/>
      <c r="AP978" s="3" t="n"/>
      <c r="AQ978" s="3" t="n"/>
      <c r="AR978" s="3" t="n"/>
      <c r="AS978" s="3" t="n"/>
      <c r="AT978" s="3" t="n"/>
      <c r="AU978" s="3" t="n"/>
    </row>
    <row r="979">
      <c r="A979" s="3" t="n">
        <v>2031</v>
      </c>
      <c r="B979" s="3" t="inlineStr">
        <is>
          <t>FSM</t>
        </is>
      </c>
      <c r="C979" s="3" t="inlineStr">
        <is>
          <t>IMF.RES:WEO</t>
        </is>
      </c>
      <c r="D979" s="3" t="inlineStr">
        <is>
          <t>FSM.NGDPD.A</t>
        </is>
      </c>
      <c r="E979" s="3" t="inlineStr">
        <is>
          <t>Micronesia, Federated States of</t>
        </is>
      </c>
      <c r="F979" s="3" t="inlineStr">
        <is>
          <t>Gross domestic product (GDP), Current prices, US dollar</t>
        </is>
      </c>
      <c r="G979" s="3" t="n">
        <v>0.232845</v>
      </c>
      <c r="H979" s="3" t="n">
        <v>0.240197</v>
      </c>
      <c r="I979" s="3" t="n">
        <v>0.240092</v>
      </c>
      <c r="J979" s="3" t="n">
        <v>0.242943</v>
      </c>
      <c r="K979" s="3" t="n">
        <v>0.236407</v>
      </c>
      <c r="L979" s="3" t="n">
        <v>0.247074</v>
      </c>
      <c r="M979" s="3" t="n">
        <v>0.249555</v>
      </c>
      <c r="N979" s="3" t="n">
        <v>0.252981</v>
      </c>
      <c r="O979" s="3" t="n">
        <v>0.261005</v>
      </c>
      <c r="P979" s="3" t="n">
        <v>0.276895</v>
      </c>
      <c r="Q979" s="3" t="n">
        <v>0.291598</v>
      </c>
      <c r="R979" s="3" t="n">
        <v>0.308372</v>
      </c>
      <c r="S979" s="3" t="n">
        <v>0.323857</v>
      </c>
      <c r="T979" s="3" t="n">
        <v>0.313781</v>
      </c>
      <c r="U979" s="3" t="n">
        <v>0.316239</v>
      </c>
      <c r="V979" s="3" t="n">
        <v>0.312346</v>
      </c>
      <c r="W979" s="3" t="n">
        <v>0.327103</v>
      </c>
      <c r="X979" s="3" t="n">
        <v>0.360671</v>
      </c>
      <c r="Y979" s="3" t="n">
        <v>0.394464</v>
      </c>
      <c r="Z979" s="3" t="n">
        <v>0.394548</v>
      </c>
      <c r="AA979" s="3" t="n">
        <v>0.372903</v>
      </c>
      <c r="AB979" s="3" t="n">
        <v>0.391602</v>
      </c>
      <c r="AC979" s="3" t="n">
        <v>0.415233</v>
      </c>
      <c r="AD979" s="3" t="n">
        <v>0.443003</v>
      </c>
      <c r="AE979" s="3" t="n">
        <v>0.481121</v>
      </c>
      <c r="AF979" s="3" t="n">
        <v>0.501798</v>
      </c>
      <c r="AG979" s="3" t="n">
        <v>0.52128</v>
      </c>
      <c r="AH979" s="3" t="n">
        <v>0.54821</v>
      </c>
      <c r="AI979" s="3" t="n">
        <v>0.565402</v>
      </c>
      <c r="AJ979" s="3" t="n">
        <v>0.582739</v>
      </c>
      <c r="AK979" s="3" t="n">
        <v>0.598328</v>
      </c>
      <c r="AL979" s="3" t="n">
        <v>0.614334</v>
      </c>
      <c r="AM979" s="3" t="n"/>
      <c r="AN979" s="3" t="n"/>
      <c r="AO979" s="3" t="n"/>
      <c r="AP979" s="3" t="n"/>
      <c r="AQ979" s="3" t="n"/>
      <c r="AR979" s="3" t="n"/>
      <c r="AS979" s="3" t="n"/>
      <c r="AT979" s="3" t="n"/>
      <c r="AU979" s="3" t="n"/>
    </row>
    <row r="980">
      <c r="A980" s="3" t="n">
        <v>2031</v>
      </c>
      <c r="B980" s="3" t="inlineStr">
        <is>
          <t>FSM</t>
        </is>
      </c>
      <c r="C980" s="3" t="inlineStr">
        <is>
          <t>IMF.RES:WEO</t>
        </is>
      </c>
      <c r="D980" s="3" t="inlineStr">
        <is>
          <t>FSM.NGDPPC.A</t>
        </is>
      </c>
      <c r="E980" s="3" t="inlineStr">
        <is>
          <t>Micronesia, Federated States of</t>
        </is>
      </c>
      <c r="F980" s="3" t="inlineStr">
        <is>
          <t>Gross domestic product (GDP), Current prices, Per capita, Domestic currency</t>
        </is>
      </c>
      <c r="G980" s="3" t="n">
        <v>2175.95659</v>
      </c>
      <c r="H980" s="3" t="n">
        <v>2250.769573</v>
      </c>
      <c r="I980" s="3" t="n">
        <v>2255.933257</v>
      </c>
      <c r="J980" s="3" t="n">
        <v>2288.971645</v>
      </c>
      <c r="K980" s="3" t="n">
        <v>2233.499886</v>
      </c>
      <c r="L980" s="3" t="n">
        <v>2340.705287</v>
      </c>
      <c r="M980" s="3" t="n">
        <v>2376.420936</v>
      </c>
      <c r="N980" s="3" t="n">
        <v>2421.551777</v>
      </c>
      <c r="O980" s="3" t="n">
        <v>2511.400007</v>
      </c>
      <c r="P980" s="3" t="n">
        <v>2678.277266</v>
      </c>
      <c r="Q980" s="3" t="n">
        <v>2835.374762</v>
      </c>
      <c r="R980" s="3" t="n">
        <v>2975.425043</v>
      </c>
      <c r="S980" s="3" t="n">
        <v>3117.643881</v>
      </c>
      <c r="T980" s="3" t="n">
        <v>3022.055067</v>
      </c>
      <c r="U980" s="3" t="n">
        <v>3055.618166</v>
      </c>
      <c r="V980" s="3" t="n">
        <v>3036.298629</v>
      </c>
      <c r="W980" s="3" t="n">
        <v>3208.161347</v>
      </c>
      <c r="X980" s="3" t="n">
        <v>3563.882994</v>
      </c>
      <c r="Y980" s="3" t="n">
        <v>3960.729066</v>
      </c>
      <c r="Z980" s="3" t="n">
        <v>4011.106065</v>
      </c>
      <c r="AA980" s="3" t="n">
        <v>3837.824096</v>
      </c>
      <c r="AB980" s="3" t="n">
        <v>4080.610911</v>
      </c>
      <c r="AC980" s="3" t="n">
        <v>4381.579416</v>
      </c>
      <c r="AD980" s="3" t="n">
        <v>4680.231544</v>
      </c>
      <c r="AE980" s="3" t="n">
        <v>5089.046271</v>
      </c>
      <c r="AF980" s="3" t="n">
        <v>5307.749207</v>
      </c>
      <c r="AG980" s="3" t="n">
        <v>5513.821978</v>
      </c>
      <c r="AH980" s="3" t="n">
        <v>5798.676574</v>
      </c>
      <c r="AI980" s="3" t="n">
        <v>5980.525198</v>
      </c>
      <c r="AJ980" s="3" t="n">
        <v>6163.905145</v>
      </c>
      <c r="AK980" s="3" t="n">
        <v>6328.793072</v>
      </c>
      <c r="AL980" s="3" t="n">
        <v>6498.10315</v>
      </c>
      <c r="AM980" s="3" t="n"/>
      <c r="AN980" s="3" t="n"/>
      <c r="AO980" s="3" t="n"/>
      <c r="AP980" s="3" t="n"/>
      <c r="AQ980" s="3" t="n"/>
      <c r="AR980" s="3" t="n"/>
      <c r="AS980" s="3" t="n"/>
      <c r="AT980" s="3" t="n"/>
      <c r="AU980" s="3" t="n"/>
    </row>
    <row r="981">
      <c r="A981" s="3" t="n">
        <v>2031</v>
      </c>
      <c r="B981" s="3" t="inlineStr">
        <is>
          <t>FSM</t>
        </is>
      </c>
      <c r="C981" s="3" t="inlineStr">
        <is>
          <t>IMF.RES:WEO</t>
        </is>
      </c>
      <c r="D981" s="3" t="inlineStr">
        <is>
          <t>FSM.NGDPRPC.A</t>
        </is>
      </c>
      <c r="E981" s="3" t="inlineStr">
        <is>
          <t>Micronesia, Federated States of</t>
        </is>
      </c>
      <c r="F981" s="3" t="inlineStr">
        <is>
          <t>Gross domestic product (GDP), Constant prices, Per capita, Domestic currency</t>
        </is>
      </c>
      <c r="G981" s="3" t="n">
        <v>2196.140549</v>
      </c>
      <c r="H981" s="3" t="n">
        <v>2248.236464</v>
      </c>
      <c r="I981" s="3" t="n">
        <v>2260.224369</v>
      </c>
      <c r="J981" s="3" t="n">
        <v>2301.571252</v>
      </c>
      <c r="K981" s="3" t="n">
        <v>2233.499886</v>
      </c>
      <c r="L981" s="3" t="n">
        <v>2292.895631</v>
      </c>
      <c r="M981" s="3" t="n">
        <v>2298.504693</v>
      </c>
      <c r="N981" s="3" t="n">
        <v>2270.523756</v>
      </c>
      <c r="O981" s="3" t="n">
        <v>2223.018794</v>
      </c>
      <c r="P981" s="3" t="n">
        <v>2258.561555</v>
      </c>
      <c r="Q981" s="3" t="n">
        <v>2316.884845</v>
      </c>
      <c r="R981" s="3" t="n">
        <v>2385.863553</v>
      </c>
      <c r="S981" s="3" t="n">
        <v>2340.612766</v>
      </c>
      <c r="T981" s="3" t="n">
        <v>2255.98149</v>
      </c>
      <c r="U981" s="3" t="n">
        <v>2204.756433</v>
      </c>
      <c r="V981" s="3" t="n">
        <v>2318.142717</v>
      </c>
      <c r="W981" s="3" t="n">
        <v>2361.895372</v>
      </c>
      <c r="X981" s="3" t="n">
        <v>2433.282551</v>
      </c>
      <c r="Y981" s="3" t="n">
        <v>2484.765679</v>
      </c>
      <c r="Z981" s="3" t="n">
        <v>2600.435992</v>
      </c>
      <c r="AA981" s="3" t="n">
        <v>2580.49321</v>
      </c>
      <c r="AB981" s="3" t="n">
        <v>2693.710608</v>
      </c>
      <c r="AC981" s="3" t="n">
        <v>2642.834179</v>
      </c>
      <c r="AD981" s="3" t="n">
        <v>2676.109324</v>
      </c>
      <c r="AE981" s="3" t="n">
        <v>2740.807121</v>
      </c>
      <c r="AF981" s="3" t="n">
        <v>2769.930913</v>
      </c>
      <c r="AG981" s="3" t="n">
        <v>2788.373147</v>
      </c>
      <c r="AH981" s="3" t="n">
        <v>2818.775739</v>
      </c>
      <c r="AI981" s="3" t="n">
        <v>2859.301252</v>
      </c>
      <c r="AJ981" s="3" t="n">
        <v>2889.191742</v>
      </c>
      <c r="AK981" s="3" t="n">
        <v>2908.312985</v>
      </c>
      <c r="AL981" s="3" t="n">
        <v>2927.565871</v>
      </c>
      <c r="AM981" s="3" t="n"/>
      <c r="AN981" s="3" t="n"/>
      <c r="AO981" s="3" t="n"/>
      <c r="AP981" s="3" t="n"/>
      <c r="AQ981" s="3" t="n"/>
      <c r="AR981" s="3" t="n"/>
      <c r="AS981" s="3" t="n"/>
      <c r="AT981" s="3" t="n"/>
      <c r="AU981" s="3" t="n"/>
    </row>
    <row r="982">
      <c r="A982" s="3" t="n">
        <v>2031</v>
      </c>
      <c r="B982" s="3" t="inlineStr">
        <is>
          <t>FSM</t>
        </is>
      </c>
      <c r="C982" s="3" t="inlineStr">
        <is>
          <t>IMF.RES:WEO</t>
        </is>
      </c>
      <c r="D982" s="3" t="inlineStr">
        <is>
          <t>FSM.PCPI.A</t>
        </is>
      </c>
      <c r="E982" s="3" t="inlineStr">
        <is>
          <t>Micronesia, Federated States of</t>
        </is>
      </c>
      <c r="F982" s="3" t="inlineStr">
        <is>
          <t>All Items, Consumer price index (CPI), Period average</t>
        </is>
      </c>
      <c r="G982" s="3" t="n">
        <v>82.04522900000001</v>
      </c>
      <c r="H982" s="3" t="n">
        <v>83.125809</v>
      </c>
      <c r="I982" s="3" t="n">
        <v>82.993298</v>
      </c>
      <c r="J982" s="3" t="n">
        <v>82.790301</v>
      </c>
      <c r="K982" s="3" t="n">
        <v>84.235395</v>
      </c>
      <c r="L982" s="3" t="n">
        <v>87.677679</v>
      </c>
      <c r="M982" s="3" t="n">
        <v>91.531898</v>
      </c>
      <c r="N982" s="3" t="n">
        <v>94.86308699999999</v>
      </c>
      <c r="O982" s="3" t="n">
        <v>101.097743</v>
      </c>
      <c r="P982" s="3" t="n">
        <v>109.34147</v>
      </c>
      <c r="Q982" s="3" t="n">
        <v>113.297064</v>
      </c>
      <c r="R982" s="3" t="n">
        <v>117.660028</v>
      </c>
      <c r="S982" s="3" t="n">
        <v>125.074997</v>
      </c>
      <c r="T982" s="3" t="n">
        <v>127.749299</v>
      </c>
      <c r="U982" s="3" t="n">
        <v>128.673658</v>
      </c>
      <c r="V982" s="3" t="n">
        <v>128.716886</v>
      </c>
      <c r="W982" s="3" t="n">
        <v>127.53747</v>
      </c>
      <c r="X982" s="3" t="n">
        <v>127.662201</v>
      </c>
      <c r="Y982" s="3" t="n">
        <v>128.990179</v>
      </c>
      <c r="Z982" s="3" t="n">
        <v>131.839945</v>
      </c>
      <c r="AA982" s="3" t="n">
        <v>133.110979</v>
      </c>
      <c r="AB982" s="3" t="n">
        <v>135.469484</v>
      </c>
      <c r="AC982" s="3" t="n">
        <v>142.243301</v>
      </c>
      <c r="AD982" s="3" t="n">
        <v>151.085884</v>
      </c>
      <c r="AE982" s="3" t="n">
        <v>159.304841</v>
      </c>
      <c r="AF982" s="3" t="n">
        <v>164.404047</v>
      </c>
      <c r="AG982" s="3" t="n">
        <v>169.657435</v>
      </c>
      <c r="AH982" s="3" t="n">
        <v>176.497846</v>
      </c>
      <c r="AI982" s="3" t="n">
        <v>179.452891</v>
      </c>
      <c r="AJ982" s="3" t="n">
        <v>183.041948</v>
      </c>
      <c r="AK982" s="3" t="n">
        <v>186.702787</v>
      </c>
      <c r="AL982" s="3" t="n">
        <v>190.436843</v>
      </c>
      <c r="AM982" s="3" t="n"/>
      <c r="AN982" s="3" t="n"/>
      <c r="AO982" s="3" t="n"/>
      <c r="AP982" s="3" t="n"/>
      <c r="AQ982" s="3" t="n"/>
      <c r="AR982" s="3" t="n"/>
      <c r="AS982" s="3" t="n"/>
      <c r="AT982" s="3" t="n"/>
      <c r="AU982" s="3" t="n"/>
    </row>
    <row r="983">
      <c r="A983" s="3" t="n">
        <v>2031</v>
      </c>
      <c r="B983" s="3" t="inlineStr">
        <is>
          <t>FSM</t>
        </is>
      </c>
      <c r="C983" s="3" t="inlineStr">
        <is>
          <t>IMF.RES:WEO</t>
        </is>
      </c>
      <c r="D983" s="3" t="inlineStr">
        <is>
          <t>FSM.PCPIPCH.A</t>
        </is>
      </c>
      <c r="E983" s="3" t="inlineStr">
        <is>
          <t>Micronesia, Federated States of</t>
        </is>
      </c>
      <c r="F983" s="3" t="inlineStr">
        <is>
          <t>All Items, Consumer price index (CPI), Period average, percent change</t>
        </is>
      </c>
      <c r="G983" s="3" t="n">
        <v>1.839291</v>
      </c>
      <c r="H983" s="3" t="n">
        <v>1.317054</v>
      </c>
      <c r="I983" s="3" t="n">
        <v>-0.159409</v>
      </c>
      <c r="J983" s="3" t="n">
        <v>-0.244594</v>
      </c>
      <c r="K983" s="3" t="n">
        <v>1.745486</v>
      </c>
      <c r="L983" s="3" t="n">
        <v>4.086506</v>
      </c>
      <c r="M983" s="3" t="n">
        <v>4.395896</v>
      </c>
      <c r="N983" s="3" t="n">
        <v>3.639374</v>
      </c>
      <c r="O983" s="3" t="n">
        <v>6.572268</v>
      </c>
      <c r="P983" s="3" t="n">
        <v>8.154215000000001</v>
      </c>
      <c r="Q983" s="3" t="n">
        <v>3.617652</v>
      </c>
      <c r="R983" s="3" t="n">
        <v>3.850906</v>
      </c>
      <c r="S983" s="3" t="n">
        <v>6.302029</v>
      </c>
      <c r="T983" s="3" t="n">
        <v>2.138158</v>
      </c>
      <c r="U983" s="3" t="n">
        <v>0.723573</v>
      </c>
      <c r="V983" s="3" t="n">
        <v>0.033595</v>
      </c>
      <c r="W983" s="3" t="n">
        <v>-0.916287</v>
      </c>
      <c r="X983" s="3" t="n">
        <v>0.097799</v>
      </c>
      <c r="Y983" s="3" t="n">
        <v>1.040228</v>
      </c>
      <c r="Z983" s="3" t="n">
        <v>2.209289</v>
      </c>
      <c r="AA983" s="3" t="n">
        <v>0.964074</v>
      </c>
      <c r="AB983" s="3" t="n">
        <v>1.771834</v>
      </c>
      <c r="AC983" s="3" t="n">
        <v>5.000252</v>
      </c>
      <c r="AD983" s="3" t="n">
        <v>6.21652</v>
      </c>
      <c r="AE983" s="3" t="n">
        <v>5.439924</v>
      </c>
      <c r="AF983" s="3" t="n">
        <v>3.200911</v>
      </c>
      <c r="AG983" s="3" t="n">
        <v>3.195413</v>
      </c>
      <c r="AH983" s="3" t="n">
        <v>4.031896</v>
      </c>
      <c r="AI983" s="3" t="n">
        <v>1.674267</v>
      </c>
      <c r="AJ983" s="3" t="n">
        <v>2</v>
      </c>
      <c r="AK983" s="3" t="n">
        <v>2</v>
      </c>
      <c r="AL983" s="3" t="n">
        <v>2</v>
      </c>
      <c r="AM983" s="3" t="n"/>
      <c r="AN983" s="3" t="n"/>
      <c r="AO983" s="3" t="n"/>
      <c r="AP983" s="3" t="n"/>
      <c r="AQ983" s="3" t="n"/>
      <c r="AR983" s="3" t="n"/>
      <c r="AS983" s="3" t="n"/>
      <c r="AT983" s="3" t="n"/>
      <c r="AU983" s="3" t="n"/>
    </row>
    <row r="984">
      <c r="A984" s="3" t="n">
        <v>2031</v>
      </c>
      <c r="B984" s="3" t="inlineStr">
        <is>
          <t>FSM</t>
        </is>
      </c>
      <c r="C984" s="3" t="inlineStr">
        <is>
          <t>IMF.RES:WEO</t>
        </is>
      </c>
      <c r="D984" s="3" t="inlineStr">
        <is>
          <t>FSM.PPPPC.A</t>
        </is>
      </c>
      <c r="E984" s="3" t="inlineStr">
        <is>
          <t>Micronesia, Federated States of</t>
        </is>
      </c>
      <c r="F984" s="3" t="inlineStr">
        <is>
          <t>Gross domestic product (GDP), Per capita, purchasing power parity (PPP) international dollar, ICP benchmarks 2017-2021</t>
        </is>
      </c>
      <c r="G984" s="3" t="n">
        <v>2181.012631</v>
      </c>
      <c r="H984" s="3" t="n">
        <v>2283.022734</v>
      </c>
      <c r="I984" s="3" t="n">
        <v>2330.864293</v>
      </c>
      <c r="J984" s="3" t="n">
        <v>2420.361488</v>
      </c>
      <c r="K984" s="3" t="n">
        <v>2411.932593</v>
      </c>
      <c r="L984" s="3" t="n">
        <v>2553.71865</v>
      </c>
      <c r="M984" s="3" t="n">
        <v>2638.912085</v>
      </c>
      <c r="N984" s="3" t="n">
        <v>2677.412091</v>
      </c>
      <c r="O984" s="3" t="n">
        <v>2671.892851</v>
      </c>
      <c r="P984" s="3" t="n">
        <v>2731.354592</v>
      </c>
      <c r="Q984" s="3" t="n">
        <v>2835.940334</v>
      </c>
      <c r="R984" s="3" t="n">
        <v>2980.626991</v>
      </c>
      <c r="S984" s="3" t="n">
        <v>2978.540475</v>
      </c>
      <c r="T984" s="3" t="n">
        <v>2919.705065</v>
      </c>
      <c r="U984" s="3" t="n">
        <v>2903.107535</v>
      </c>
      <c r="V984" s="3" t="n">
        <v>3080.73662</v>
      </c>
      <c r="W984" s="3" t="n">
        <v>3168.708883</v>
      </c>
      <c r="X984" s="3" t="n">
        <v>3322.944883</v>
      </c>
      <c r="Y984" s="3" t="n">
        <v>3470.983584</v>
      </c>
      <c r="Z984" s="3" t="n">
        <v>3692.524576</v>
      </c>
      <c r="AA984" s="3" t="n">
        <v>3713.476847</v>
      </c>
      <c r="AB984" s="3" t="n">
        <v>4053.290374</v>
      </c>
      <c r="AC984" s="3" t="n">
        <v>4259.577288</v>
      </c>
      <c r="AD984" s="3" t="n">
        <v>4472.798518</v>
      </c>
      <c r="AE984" s="3" t="n">
        <v>4694.656911</v>
      </c>
      <c r="AF984" s="3" t="n">
        <v>4879.133882</v>
      </c>
      <c r="AG984" s="3" t="n">
        <v>5052.329778</v>
      </c>
      <c r="AH984" s="3" t="n">
        <v>5219.570943</v>
      </c>
      <c r="AI984" s="3" t="n">
        <v>5381.517937</v>
      </c>
      <c r="AJ984" s="3" t="n">
        <v>5534.464656</v>
      </c>
      <c r="AK984" s="3" t="n">
        <v>5673.463165</v>
      </c>
      <c r="AL984" s="3" t="n">
        <v>5814.122374</v>
      </c>
      <c r="AM984" s="3" t="n"/>
      <c r="AN984" s="3" t="n"/>
      <c r="AO984" s="3" t="n"/>
      <c r="AP984" s="3" t="n"/>
      <c r="AQ984" s="3" t="n"/>
      <c r="AR984" s="3" t="n"/>
      <c r="AS984" s="3" t="n"/>
      <c r="AT984" s="3" t="n"/>
      <c r="AU984" s="3" t="n"/>
    </row>
    <row r="985">
      <c r="A985" s="3" t="n">
        <v>2025</v>
      </c>
      <c r="B985" s="3" t="inlineStr">
        <is>
          <t>FSM</t>
        </is>
      </c>
      <c r="C985" s="3" t="inlineStr">
        <is>
          <t>IMF.STA:ER</t>
        </is>
      </c>
      <c r="D985" s="3" t="inlineStr">
        <is>
          <t>FSM.XDC_USD.PA_RT.A</t>
        </is>
      </c>
      <c r="E985" s="3" t="inlineStr">
        <is>
          <t>Micronesia, Federated States of</t>
        </is>
      </c>
      <c r="F985" s="3" t="inlineStr">
        <is>
          <t>Domestic currency per US Dollar</t>
        </is>
      </c>
      <c r="G985" s="3" t="n">
        <v>1</v>
      </c>
      <c r="H985" s="3" t="n">
        <v>1</v>
      </c>
      <c r="I985" s="3" t="n">
        <v>1</v>
      </c>
      <c r="J985" s="3" t="n">
        <v>1</v>
      </c>
      <c r="K985" s="3" t="n">
        <v>1</v>
      </c>
      <c r="L985" s="3" t="n">
        <v>1</v>
      </c>
      <c r="M985" s="3" t="n">
        <v>1</v>
      </c>
      <c r="N985" s="3" t="n">
        <v>1</v>
      </c>
      <c r="O985" s="3" t="n">
        <v>1</v>
      </c>
      <c r="P985" s="3" t="n">
        <v>1</v>
      </c>
      <c r="Q985" s="3" t="n">
        <v>1</v>
      </c>
      <c r="R985" s="3" t="n">
        <v>1</v>
      </c>
      <c r="S985" s="3" t="n">
        <v>1</v>
      </c>
      <c r="T985" s="3" t="n">
        <v>1</v>
      </c>
      <c r="U985" s="3" t="n">
        <v>1</v>
      </c>
      <c r="V985" s="3" t="n">
        <v>1</v>
      </c>
      <c r="W985" s="3" t="n">
        <v>1</v>
      </c>
      <c r="X985" s="3" t="n">
        <v>1</v>
      </c>
      <c r="Y985" s="3" t="n">
        <v>1</v>
      </c>
      <c r="Z985" s="3" t="n">
        <v>1</v>
      </c>
      <c r="AA985" s="3" t="n">
        <v>1</v>
      </c>
      <c r="AB985" s="3" t="n">
        <v>1</v>
      </c>
      <c r="AC985" s="3" t="n">
        <v>1</v>
      </c>
      <c r="AD985" s="3" t="n">
        <v>1</v>
      </c>
      <c r="AE985" s="3" t="n">
        <v>1</v>
      </c>
      <c r="AF985" s="3" t="n">
        <v>1</v>
      </c>
      <c r="AG985" s="3" t="n"/>
      <c r="AH985" s="3" t="n"/>
      <c r="AI985" s="3" t="n"/>
      <c r="AJ985" s="3" t="n"/>
      <c r="AK985" s="3" t="n"/>
      <c r="AL985" s="3" t="n"/>
      <c r="AM985" s="3" t="n"/>
      <c r="AN985" s="3" t="n"/>
      <c r="AO985" s="3" t="n"/>
      <c r="AP985" s="3" t="n"/>
      <c r="AQ985" s="3" t="n"/>
      <c r="AR985" s="3" t="n"/>
      <c r="AS985" s="3" t="n"/>
      <c r="AT985" s="3" t="n"/>
      <c r="AU985" s="3" t="n"/>
    </row>
    <row r="986">
      <c r="A986" s="3" t="n">
        <v>2031</v>
      </c>
      <c r="B986" s="3" t="inlineStr">
        <is>
          <t>G00</t>
        </is>
      </c>
      <c r="C986" s="3" t="inlineStr">
        <is>
          <t>IMF.RES:WEO</t>
        </is>
      </c>
      <c r="D986" s="3" t="inlineStr">
        <is>
          <t>G001.BCA.A</t>
        </is>
      </c>
      <c r="E986" s="3" t="inlineStr">
        <is>
          <t>World</t>
        </is>
      </c>
      <c r="F986" s="3" t="inlineStr">
        <is>
          <t>Current account balance (credit less debit), US dollar</t>
        </is>
      </c>
      <c r="G986" s="3" t="n">
        <v>-152.65841</v>
      </c>
      <c r="H986" s="3" t="n">
        <v>-184.460233</v>
      </c>
      <c r="I986" s="3" t="n">
        <v>-143.843074</v>
      </c>
      <c r="J986" s="3" t="n">
        <v>-82.17115099999999</v>
      </c>
      <c r="K986" s="3" t="n">
        <v>17.795935</v>
      </c>
      <c r="L986" s="3" t="n">
        <v>51.421425</v>
      </c>
      <c r="M986" s="3" t="n">
        <v>174.409819</v>
      </c>
      <c r="N986" s="3" t="n">
        <v>204.879301</v>
      </c>
      <c r="O986" s="3" t="n">
        <v>91.326131</v>
      </c>
      <c r="P986" s="3" t="n">
        <v>173.06007</v>
      </c>
      <c r="Q986" s="3" t="n">
        <v>310.55877</v>
      </c>
      <c r="R986" s="3" t="n">
        <v>330.627645</v>
      </c>
      <c r="S986" s="3" t="n">
        <v>352.081538</v>
      </c>
      <c r="T986" s="3" t="n">
        <v>420.833552</v>
      </c>
      <c r="U986" s="3" t="n">
        <v>412.847974</v>
      </c>
      <c r="V986" s="3" t="n">
        <v>184.539787</v>
      </c>
      <c r="W986" s="3" t="n">
        <v>281.958869</v>
      </c>
      <c r="X986" s="3" t="n">
        <v>462.22781</v>
      </c>
      <c r="Y986" s="3" t="n">
        <v>367.363416</v>
      </c>
      <c r="Z986" s="3" t="n">
        <v>393.261947</v>
      </c>
      <c r="AA986" s="3" t="n">
        <v>288.887035</v>
      </c>
      <c r="AB986" s="3" t="n">
        <v>805.095293</v>
      </c>
      <c r="AC986" s="3" t="n">
        <v>403.531996</v>
      </c>
      <c r="AD986" s="3" t="n">
        <v>272.407991</v>
      </c>
      <c r="AE986" s="3" t="n">
        <v>468.02304</v>
      </c>
      <c r="AF986" s="3" t="n">
        <v>650.836284</v>
      </c>
      <c r="AG986" s="3" t="n">
        <v>442.907037</v>
      </c>
      <c r="AH986" s="3" t="n">
        <v>407.45469</v>
      </c>
      <c r="AI986" s="3" t="n">
        <v>421.905367</v>
      </c>
      <c r="AJ986" s="3" t="n">
        <v>428.550776</v>
      </c>
      <c r="AK986" s="3" t="n">
        <v>479.596434</v>
      </c>
      <c r="AL986" s="3" t="n">
        <v>445.774194</v>
      </c>
      <c r="AM986" s="3" t="n"/>
      <c r="AN986" s="3" t="n"/>
      <c r="AO986" s="3" t="n"/>
      <c r="AP986" s="3" t="n"/>
      <c r="AQ986" s="3" t="n"/>
      <c r="AR986" s="3" t="n"/>
      <c r="AS986" s="3" t="n"/>
      <c r="AT986" s="3" t="n"/>
      <c r="AU986" s="3" t="n"/>
    </row>
    <row r="987">
      <c r="A987" s="3" t="n">
        <v>2031</v>
      </c>
      <c r="B987" s="3" t="inlineStr">
        <is>
          <t>G00</t>
        </is>
      </c>
      <c r="C987" s="3" t="inlineStr">
        <is>
          <t>IMF.RES:WEO</t>
        </is>
      </c>
      <c r="D987" s="3" t="inlineStr">
        <is>
          <t>G001.NGDP_RPCH.A</t>
        </is>
      </c>
      <c r="E987" s="3" t="inlineStr">
        <is>
          <t>World</t>
        </is>
      </c>
      <c r="F987" s="3" t="inlineStr">
        <is>
          <t>Gross domestic product (GDP), Constant prices, Percent change</t>
        </is>
      </c>
      <c r="G987" s="3" t="n">
        <v>4.797814</v>
      </c>
      <c r="H987" s="3" t="n">
        <v>2.480328</v>
      </c>
      <c r="I987" s="3" t="n">
        <v>2.832609</v>
      </c>
      <c r="J987" s="3" t="n">
        <v>3.798842</v>
      </c>
      <c r="K987" s="3" t="n">
        <v>5.263439</v>
      </c>
      <c r="L987" s="3" t="n">
        <v>4.712692</v>
      </c>
      <c r="M987" s="3" t="n">
        <v>5.286045</v>
      </c>
      <c r="N987" s="3" t="n">
        <v>5.364044</v>
      </c>
      <c r="O987" s="3" t="n">
        <v>2.930436</v>
      </c>
      <c r="P987" s="3" t="n">
        <v>-0.357571</v>
      </c>
      <c r="Q987" s="3" t="n">
        <v>5.252209</v>
      </c>
      <c r="R987" s="3" t="n">
        <v>4.100359</v>
      </c>
      <c r="S987" s="3" t="n">
        <v>3.387123</v>
      </c>
      <c r="T987" s="3" t="n">
        <v>3.380306</v>
      </c>
      <c r="U987" s="3" t="n">
        <v>3.559024</v>
      </c>
      <c r="V987" s="3" t="n">
        <v>3.447288</v>
      </c>
      <c r="W987" s="3" t="n">
        <v>3.22461</v>
      </c>
      <c r="X987" s="3" t="n">
        <v>3.842261</v>
      </c>
      <c r="Y987" s="3" t="n">
        <v>3.642673</v>
      </c>
      <c r="Z987" s="3" t="n">
        <v>2.956766</v>
      </c>
      <c r="AA987" s="3" t="n">
        <v>-2.706997</v>
      </c>
      <c r="AB987" s="3" t="n">
        <v>6.653434</v>
      </c>
      <c r="AC987" s="3" t="n">
        <v>3.773925</v>
      </c>
      <c r="AD987" s="3" t="n">
        <v>3.327812</v>
      </c>
      <c r="AE987" s="3" t="n">
        <v>3.416268</v>
      </c>
      <c r="AF987" s="3" t="n">
        <v>3.441279</v>
      </c>
      <c r="AG987" s="3" t="n">
        <v>3.055974</v>
      </c>
      <c r="AH987" s="3" t="n">
        <v>3.223795</v>
      </c>
      <c r="AI987" s="3" t="n">
        <v>3.239925</v>
      </c>
      <c r="AJ987" s="3" t="n">
        <v>3.160741</v>
      </c>
      <c r="AK987" s="3" t="n">
        <v>3.074051</v>
      </c>
      <c r="AL987" s="3" t="n">
        <v>3.071355</v>
      </c>
      <c r="AM987" s="3" t="n"/>
      <c r="AN987" s="3" t="n"/>
      <c r="AO987" s="3" t="n"/>
      <c r="AP987" s="3" t="n"/>
      <c r="AQ987" s="3" t="n"/>
      <c r="AR987" s="3" t="n"/>
      <c r="AS987" s="3" t="n"/>
      <c r="AT987" s="3" t="n"/>
      <c r="AU987" s="3" t="n"/>
    </row>
    <row r="988">
      <c r="A988" s="3" t="n">
        <v>2031</v>
      </c>
      <c r="B988" s="3" t="inlineStr">
        <is>
          <t>G00</t>
        </is>
      </c>
      <c r="C988" s="3" t="inlineStr">
        <is>
          <t>IMF.RES:WEO</t>
        </is>
      </c>
      <c r="D988" s="3" t="inlineStr">
        <is>
          <t>G001.NGDP_RPCHMK.A</t>
        </is>
      </c>
      <c r="E988" s="3" t="inlineStr">
        <is>
          <t>World</t>
        </is>
      </c>
      <c r="F988" s="3" t="inlineStr">
        <is>
          <t>Gross domestic product (GDP), Constant prices, Percent</t>
        </is>
      </c>
      <c r="G988" s="3" t="n">
        <v>4.305239</v>
      </c>
      <c r="H988" s="3" t="n">
        <v>1.698831</v>
      </c>
      <c r="I988" s="3" t="n">
        <v>1.9202</v>
      </c>
      <c r="J988" s="3" t="n">
        <v>2.775926</v>
      </c>
      <c r="K988" s="3" t="n">
        <v>4.022254</v>
      </c>
      <c r="L988" s="3" t="n">
        <v>3.577134</v>
      </c>
      <c r="M988" s="3" t="n">
        <v>3.960292</v>
      </c>
      <c r="N988" s="3" t="n">
        <v>3.864351</v>
      </c>
      <c r="O988" s="3" t="n">
        <v>1.600682</v>
      </c>
      <c r="P988" s="3" t="n">
        <v>-2.025203</v>
      </c>
      <c r="Q988" s="3" t="n">
        <v>4.185673</v>
      </c>
      <c r="R988" s="3" t="n">
        <v>3.052485</v>
      </c>
      <c r="S988" s="3" t="n">
        <v>2.517593</v>
      </c>
      <c r="T988" s="3" t="n">
        <v>2.673493</v>
      </c>
      <c r="U988" s="3" t="n">
        <v>2.961331</v>
      </c>
      <c r="V988" s="3" t="n">
        <v>2.915485</v>
      </c>
      <c r="W988" s="3" t="n">
        <v>2.626149</v>
      </c>
      <c r="X988" s="3" t="n">
        <v>3.370711</v>
      </c>
      <c r="Y988" s="3" t="n">
        <v>3.214509</v>
      </c>
      <c r="Z988" s="3" t="n">
        <v>2.608481</v>
      </c>
      <c r="AA988" s="3" t="n">
        <v>-3.023226</v>
      </c>
      <c r="AB988" s="3" t="n">
        <v>6.501523</v>
      </c>
      <c r="AC988" s="3" t="n">
        <v>3.382652</v>
      </c>
      <c r="AD988" s="3" t="n">
        <v>2.825699</v>
      </c>
      <c r="AE988" s="3" t="n">
        <v>2.870107</v>
      </c>
      <c r="AF988" s="3" t="n">
        <v>2.863247</v>
      </c>
      <c r="AG988" s="3" t="n">
        <v>2.564463</v>
      </c>
      <c r="AH988" s="3" t="n">
        <v>2.639663</v>
      </c>
      <c r="AI988" s="3" t="n">
        <v>2.647165</v>
      </c>
      <c r="AJ988" s="3" t="n">
        <v>2.529722</v>
      </c>
      <c r="AK988" s="3" t="n">
        <v>2.438041</v>
      </c>
      <c r="AL988" s="3" t="n">
        <v>2.430466</v>
      </c>
      <c r="AM988" s="3" t="n"/>
      <c r="AN988" s="3" t="n"/>
      <c r="AO988" s="3" t="n"/>
      <c r="AP988" s="3" t="n"/>
      <c r="AQ988" s="3" t="n"/>
      <c r="AR988" s="3" t="n"/>
      <c r="AS988" s="3" t="n"/>
      <c r="AT988" s="3" t="n"/>
      <c r="AU988" s="3" t="n"/>
    </row>
    <row r="989">
      <c r="A989" s="3" t="n">
        <v>2031</v>
      </c>
      <c r="B989" s="3" t="inlineStr">
        <is>
          <t>G00</t>
        </is>
      </c>
      <c r="C989" s="3" t="inlineStr">
        <is>
          <t>IMF.RES:WEO</t>
        </is>
      </c>
      <c r="D989" s="3" t="inlineStr">
        <is>
          <t>G001.NGDPD.A</t>
        </is>
      </c>
      <c r="E989" s="3" t="inlineStr">
        <is>
          <t>World</t>
        </is>
      </c>
      <c r="F989" s="3" t="inlineStr">
        <is>
          <t>Gross domestic product (GDP), Current prices, US dollar</t>
        </is>
      </c>
      <c r="G989" s="3" t="n">
        <v>34340.672559</v>
      </c>
      <c r="H989" s="3" t="n">
        <v>34087.122041</v>
      </c>
      <c r="I989" s="3" t="n">
        <v>35167.22296</v>
      </c>
      <c r="J989" s="3" t="n">
        <v>39475.246834</v>
      </c>
      <c r="K989" s="3" t="n">
        <v>44430.306504</v>
      </c>
      <c r="L989" s="3" t="n">
        <v>48151.445981</v>
      </c>
      <c r="M989" s="3" t="n">
        <v>52185.442013</v>
      </c>
      <c r="N989" s="3" t="n">
        <v>58933.941462</v>
      </c>
      <c r="O989" s="3" t="n">
        <v>64727.534763</v>
      </c>
      <c r="P989" s="3" t="n">
        <v>61316.294515</v>
      </c>
      <c r="Q989" s="3" t="n">
        <v>67114.720047</v>
      </c>
      <c r="R989" s="3" t="n">
        <v>74540.15401699999</v>
      </c>
      <c r="S989" s="3" t="n">
        <v>75990.87809499999</v>
      </c>
      <c r="T989" s="3" t="n">
        <v>78261.729892</v>
      </c>
      <c r="U989" s="3" t="n">
        <v>80461.021406</v>
      </c>
      <c r="V989" s="3" t="n">
        <v>75935.10905899999</v>
      </c>
      <c r="W989" s="3" t="n">
        <v>77184.80243500001</v>
      </c>
      <c r="X989" s="3" t="n">
        <v>82081.813133</v>
      </c>
      <c r="Y989" s="3" t="n">
        <v>87167.920895</v>
      </c>
      <c r="Z989" s="3" t="n">
        <v>88478.298581</v>
      </c>
      <c r="AA989" s="3" t="n">
        <v>86191.637166</v>
      </c>
      <c r="AB989" s="3" t="n">
        <v>98435.19048799999</v>
      </c>
      <c r="AC989" s="3" t="n">
        <v>102670.35816</v>
      </c>
      <c r="AD989" s="3" t="n">
        <v>107245.572249</v>
      </c>
      <c r="AE989" s="3" t="n">
        <v>111598.55414</v>
      </c>
      <c r="AF989" s="3" t="n">
        <v>118175.485039</v>
      </c>
      <c r="AG989" s="3" t="n">
        <v>126295.331061</v>
      </c>
      <c r="AH989" s="3" t="n">
        <v>131890.664724</v>
      </c>
      <c r="AI989" s="3" t="n">
        <v>138128.890054</v>
      </c>
      <c r="AJ989" s="3" t="n">
        <v>144669.071717</v>
      </c>
      <c r="AK989" s="3" t="n">
        <v>151388.840263</v>
      </c>
      <c r="AL989" s="3" t="n">
        <v>158391.655093</v>
      </c>
      <c r="AM989" s="3" t="n"/>
      <c r="AN989" s="3" t="n"/>
      <c r="AO989" s="3" t="n"/>
      <c r="AP989" s="3" t="n"/>
      <c r="AQ989" s="3" t="n"/>
      <c r="AR989" s="3" t="n"/>
      <c r="AS989" s="3" t="n"/>
      <c r="AT989" s="3" t="n"/>
      <c r="AU989" s="3" t="n"/>
    </row>
    <row r="990">
      <c r="A990" s="3" t="n">
        <v>2031</v>
      </c>
      <c r="B990" s="3" t="inlineStr">
        <is>
          <t>G00</t>
        </is>
      </c>
      <c r="C990" s="3" t="inlineStr">
        <is>
          <t>IMF.RES:WEO</t>
        </is>
      </c>
      <c r="D990" s="3" t="inlineStr">
        <is>
          <t>G001.PCPIPCH.A</t>
        </is>
      </c>
      <c r="E990" s="3" t="inlineStr">
        <is>
          <t>World</t>
        </is>
      </c>
      <c r="F990" s="3" t="inlineStr">
        <is>
          <t>All Items, Consumer price index (CPI), Period average, percent change</t>
        </is>
      </c>
      <c r="G990" s="3" t="n">
        <v>4.963142</v>
      </c>
      <c r="H990" s="3" t="n">
        <v>4.686158</v>
      </c>
      <c r="I990" s="3" t="n">
        <v>3.751645</v>
      </c>
      <c r="J990" s="3" t="n">
        <v>3.900565</v>
      </c>
      <c r="K990" s="3" t="n">
        <v>3.773577</v>
      </c>
      <c r="L990" s="3" t="n">
        <v>3.986288</v>
      </c>
      <c r="M990" s="3" t="n">
        <v>3.924177</v>
      </c>
      <c r="N990" s="3" t="n">
        <v>4.18905</v>
      </c>
      <c r="O990" s="3" t="n">
        <v>6.256572</v>
      </c>
      <c r="P990" s="3" t="n">
        <v>2.641172</v>
      </c>
      <c r="Q990" s="3" t="n">
        <v>3.626575</v>
      </c>
      <c r="R990" s="3" t="n">
        <v>4.949552</v>
      </c>
      <c r="S990" s="3" t="n">
        <v>4.007413</v>
      </c>
      <c r="T990" s="3" t="n">
        <v>3.550649</v>
      </c>
      <c r="U990" s="3" t="n">
        <v>3.170929</v>
      </c>
      <c r="V990" s="3" t="n">
        <v>2.720364</v>
      </c>
      <c r="W990" s="3" t="n">
        <v>2.72158</v>
      </c>
      <c r="X990" s="3" t="n">
        <v>3.265317</v>
      </c>
      <c r="Y990" s="3" t="n">
        <v>3.643548</v>
      </c>
      <c r="Z990" s="3" t="n">
        <v>3.558459</v>
      </c>
      <c r="AA990" s="3" t="n">
        <v>3.317146</v>
      </c>
      <c r="AB990" s="3" t="n">
        <v>4.706378</v>
      </c>
      <c r="AC990" s="3" t="n">
        <v>8.673640000000001</v>
      </c>
      <c r="AD990" s="3" t="n">
        <v>6.749274</v>
      </c>
      <c r="AE990" s="3" t="n">
        <v>5.792186</v>
      </c>
      <c r="AF990" s="3" t="n">
        <v>4.133379</v>
      </c>
      <c r="AG990" s="3" t="n">
        <v>4.423129</v>
      </c>
      <c r="AH990" s="3" t="n">
        <v>3.655658</v>
      </c>
      <c r="AI990" s="3" t="n">
        <v>3.364423</v>
      </c>
      <c r="AJ990" s="3" t="n">
        <v>3.215783</v>
      </c>
      <c r="AK990" s="3" t="n">
        <v>3.201812</v>
      </c>
      <c r="AL990" s="3" t="n">
        <v>3.201116</v>
      </c>
      <c r="AM990" s="3" t="n"/>
      <c r="AN990" s="3" t="n"/>
      <c r="AO990" s="3" t="n"/>
      <c r="AP990" s="3" t="n"/>
      <c r="AQ990" s="3" t="n"/>
      <c r="AR990" s="3" t="n"/>
      <c r="AS990" s="3" t="n"/>
      <c r="AT990" s="3" t="n"/>
      <c r="AU990" s="3" t="n"/>
    </row>
    <row r="991">
      <c r="A991" s="3" t="n">
        <v>2031</v>
      </c>
      <c r="B991" s="3" t="inlineStr">
        <is>
          <t>G11</t>
        </is>
      </c>
      <c r="C991" s="3" t="inlineStr">
        <is>
          <t>IMF.RES:WEO</t>
        </is>
      </c>
      <c r="D991" s="3" t="inlineStr">
        <is>
          <t>G110.BCA.A</t>
        </is>
      </c>
      <c r="E991" s="3" t="inlineStr">
        <is>
          <t>Advanced Economies</t>
        </is>
      </c>
      <c r="F991" s="3" t="inlineStr">
        <is>
          <t>Current account balance (credit less debit), US dollar</t>
        </is>
      </c>
      <c r="G991" s="3" t="n">
        <v>-242.472547</v>
      </c>
      <c r="H991" s="3" t="n">
        <v>-235.35762</v>
      </c>
      <c r="I991" s="3" t="n">
        <v>-233.279687</v>
      </c>
      <c r="J991" s="3" t="n">
        <v>-239.88758</v>
      </c>
      <c r="K991" s="3" t="n">
        <v>-217.770387</v>
      </c>
      <c r="L991" s="3" t="n">
        <v>-403.468538</v>
      </c>
      <c r="M991" s="3" t="n">
        <v>-472.149185</v>
      </c>
      <c r="N991" s="3" t="n">
        <v>-430.908559</v>
      </c>
      <c r="O991" s="3" t="n">
        <v>-608.66034</v>
      </c>
      <c r="P991" s="3" t="n">
        <v>-89.651444</v>
      </c>
      <c r="Q991" s="3" t="n">
        <v>16.472617</v>
      </c>
      <c r="R991" s="3" t="n">
        <v>-38.467031</v>
      </c>
      <c r="S991" s="3" t="n">
        <v>9.585160999999999</v>
      </c>
      <c r="T991" s="3" t="n">
        <v>235.011668</v>
      </c>
      <c r="U991" s="3" t="n">
        <v>248.923084</v>
      </c>
      <c r="V991" s="3" t="n">
        <v>265.46695</v>
      </c>
      <c r="W991" s="3" t="n">
        <v>391.060581</v>
      </c>
      <c r="X991" s="3" t="n">
        <v>483.856195</v>
      </c>
      <c r="Y991" s="3" t="n">
        <v>413.088485</v>
      </c>
      <c r="Z991" s="3" t="n">
        <v>380.310772</v>
      </c>
      <c r="AA991" s="3" t="n">
        <v>136.502311</v>
      </c>
      <c r="AB991" s="3" t="n">
        <v>429.727426</v>
      </c>
      <c r="AC991" s="3" t="n">
        <v>-278.920072</v>
      </c>
      <c r="AD991" s="3" t="n">
        <v>-16.154195</v>
      </c>
      <c r="AE991" s="3" t="n">
        <v>47.057282</v>
      </c>
      <c r="AF991" s="3" t="n">
        <v>49.824669</v>
      </c>
      <c r="AG991" s="3" t="n">
        <v>-86.921471</v>
      </c>
      <c r="AH991" s="3" t="n">
        <v>-50.321091</v>
      </c>
      <c r="AI991" s="3" t="n">
        <v>5.839518</v>
      </c>
      <c r="AJ991" s="3" t="n">
        <v>17.5896</v>
      </c>
      <c r="AK991" s="3" t="n">
        <v>85.63505000000001</v>
      </c>
      <c r="AL991" s="3" t="n">
        <v>68.076735</v>
      </c>
      <c r="AM991" s="3" t="n"/>
      <c r="AN991" s="3" t="n"/>
      <c r="AO991" s="3" t="n"/>
      <c r="AP991" s="3" t="n"/>
      <c r="AQ991" s="3" t="n"/>
      <c r="AR991" s="3" t="n"/>
      <c r="AS991" s="3" t="n"/>
      <c r="AT991" s="3" t="n"/>
      <c r="AU991" s="3" t="n"/>
    </row>
    <row r="992">
      <c r="A992" s="3" t="n">
        <v>2031</v>
      </c>
      <c r="B992" s="3" t="inlineStr">
        <is>
          <t>G11</t>
        </is>
      </c>
      <c r="C992" s="3" t="inlineStr">
        <is>
          <t>IMF.RES:WEO</t>
        </is>
      </c>
      <c r="D992" s="3" t="inlineStr">
        <is>
          <t>G110.BCA_NGDPD.A</t>
        </is>
      </c>
      <c r="E992" s="3" t="inlineStr">
        <is>
          <t>Advanced Economies</t>
        </is>
      </c>
      <c r="F992" s="3" t="inlineStr">
        <is>
          <t>Current account balance (credit less debit), Percent of GDP</t>
        </is>
      </c>
      <c r="G992" s="3" t="n">
        <v>-0.898387</v>
      </c>
      <c r="H992" s="3" t="n">
        <v>-0.881695</v>
      </c>
      <c r="I992" s="3" t="n">
        <v>-0.837445</v>
      </c>
      <c r="J992" s="3" t="n">
        <v>-0.767757</v>
      </c>
      <c r="K992" s="3" t="n">
        <v>-0.628212</v>
      </c>
      <c r="L992" s="3" t="n">
        <v>-1.105715</v>
      </c>
      <c r="M992" s="3" t="n">
        <v>-1.229993</v>
      </c>
      <c r="N992" s="3" t="n">
        <v>-1.027194</v>
      </c>
      <c r="O992" s="3" t="n">
        <v>-1.372843</v>
      </c>
      <c r="P992" s="3" t="n">
        <v>-0.214324</v>
      </c>
      <c r="Q992" s="3" t="n">
        <v>0.037703</v>
      </c>
      <c r="R992" s="3" t="n">
        <v>-0.08197400000000001</v>
      </c>
      <c r="S992" s="3" t="n">
        <v>0.020501</v>
      </c>
      <c r="T992" s="3" t="n">
        <v>0.49766</v>
      </c>
      <c r="U992" s="3" t="n">
        <v>0.5144840000000001</v>
      </c>
      <c r="V992" s="3" t="n">
        <v>0.579736</v>
      </c>
      <c r="W992" s="3" t="n">
        <v>0.831166</v>
      </c>
      <c r="X992" s="3" t="n">
        <v>0.984905</v>
      </c>
      <c r="Y992" s="3" t="n">
        <v>0.794307</v>
      </c>
      <c r="Z992" s="3" t="n">
        <v>0.723593</v>
      </c>
      <c r="AA992" s="3" t="n">
        <v>0.263892</v>
      </c>
      <c r="AB992" s="3" t="n">
        <v>0.7424770000000001</v>
      </c>
      <c r="AC992" s="3" t="n">
        <v>-0.470793</v>
      </c>
      <c r="AD992" s="3" t="n">
        <v>-0.025788</v>
      </c>
      <c r="AE992" s="3" t="n">
        <v>0.07211099999999999</v>
      </c>
      <c r="AF992" s="3" t="n">
        <v>0.071938</v>
      </c>
      <c r="AG992" s="3" t="n">
        <v>-0.117964</v>
      </c>
      <c r="AH992" s="3" t="n">
        <v>-0.065605</v>
      </c>
      <c r="AI992" s="3" t="n">
        <v>0.007334</v>
      </c>
      <c r="AJ992" s="3" t="n">
        <v>0.021309</v>
      </c>
      <c r="AK992" s="3" t="n">
        <v>0.10009</v>
      </c>
      <c r="AL992" s="3" t="n">
        <v>0.07681</v>
      </c>
      <c r="AM992" s="3" t="n"/>
      <c r="AN992" s="3" t="n"/>
      <c r="AO992" s="3" t="n"/>
      <c r="AP992" s="3" t="n"/>
      <c r="AQ992" s="3" t="n"/>
      <c r="AR992" s="3" t="n"/>
      <c r="AS992" s="3" t="n"/>
      <c r="AT992" s="3" t="n"/>
      <c r="AU992" s="3" t="n"/>
    </row>
    <row r="993">
      <c r="A993" s="3" t="n">
        <v>2031</v>
      </c>
      <c r="B993" s="3" t="inlineStr">
        <is>
          <t>G11</t>
        </is>
      </c>
      <c r="C993" s="3" t="inlineStr">
        <is>
          <t>IMF.RES:WEO</t>
        </is>
      </c>
      <c r="D993" s="3" t="inlineStr">
        <is>
          <t>G110.GGR_NGDP.A</t>
        </is>
      </c>
      <c r="E993" s="3" t="inlineStr">
        <is>
          <t>Advanced Economies</t>
        </is>
      </c>
      <c r="F993" s="3" t="inlineStr">
        <is>
          <t>Revenue, General government, Percent of GDP</t>
        </is>
      </c>
      <c r="G993" s="3" t="n"/>
      <c r="H993" s="3" t="n">
        <v>35.296488</v>
      </c>
      <c r="I993" s="3" t="n">
        <v>34.16052</v>
      </c>
      <c r="J993" s="3" t="n">
        <v>34.410448</v>
      </c>
      <c r="K993" s="3" t="n">
        <v>34.766915</v>
      </c>
      <c r="L993" s="3" t="n">
        <v>35.46537</v>
      </c>
      <c r="M993" s="3" t="n">
        <v>36.119207</v>
      </c>
      <c r="N993" s="3" t="n">
        <v>36.523653</v>
      </c>
      <c r="O993" s="3" t="n">
        <v>36.13539</v>
      </c>
      <c r="P993" s="3" t="n">
        <v>34.764159</v>
      </c>
      <c r="Q993" s="3" t="n">
        <v>34.526155</v>
      </c>
      <c r="R993" s="3" t="n">
        <v>35.124298</v>
      </c>
      <c r="S993" s="3" t="n">
        <v>35.202654</v>
      </c>
      <c r="T993" s="3" t="n">
        <v>36.410867</v>
      </c>
      <c r="U993" s="3" t="n">
        <v>36.417806</v>
      </c>
      <c r="V993" s="3" t="n">
        <v>35.993081</v>
      </c>
      <c r="W993" s="3" t="n">
        <v>35.799001</v>
      </c>
      <c r="X993" s="3" t="n">
        <v>35.655989</v>
      </c>
      <c r="Y993" s="3" t="n">
        <v>35.737329</v>
      </c>
      <c r="Z993" s="3" t="n">
        <v>35.478001</v>
      </c>
      <c r="AA993" s="3" t="n">
        <v>35.836936</v>
      </c>
      <c r="AB993" s="3" t="n">
        <v>36.74886</v>
      </c>
      <c r="AC993" s="3" t="n">
        <v>37.159822</v>
      </c>
      <c r="AD993" s="3" t="n">
        <v>35.353309</v>
      </c>
      <c r="AE993" s="3" t="n">
        <v>35.587204</v>
      </c>
      <c r="AF993" s="3" t="n">
        <v>36.340311</v>
      </c>
      <c r="AG993" s="3" t="n">
        <v>36.357518</v>
      </c>
      <c r="AH993" s="3" t="n">
        <v>36.361821</v>
      </c>
      <c r="AI993" s="3" t="n">
        <v>36.273105</v>
      </c>
      <c r="AJ993" s="3" t="n">
        <v>36.327733</v>
      </c>
      <c r="AK993" s="3" t="n">
        <v>36.451127</v>
      </c>
      <c r="AL993" s="3" t="n">
        <v>36.509615</v>
      </c>
      <c r="AM993" s="3" t="n"/>
      <c r="AN993" s="3" t="n"/>
      <c r="AO993" s="3" t="n"/>
      <c r="AP993" s="3" t="n"/>
      <c r="AQ993" s="3" t="n"/>
      <c r="AR993" s="3" t="n"/>
      <c r="AS993" s="3" t="n"/>
      <c r="AT993" s="3" t="n"/>
      <c r="AU993" s="3" t="n"/>
    </row>
    <row r="994">
      <c r="A994" s="3" t="n">
        <v>2031</v>
      </c>
      <c r="B994" s="3" t="inlineStr">
        <is>
          <t>G11</t>
        </is>
      </c>
      <c r="C994" s="3" t="inlineStr">
        <is>
          <t>IMF.RES:WEO</t>
        </is>
      </c>
      <c r="D994" s="3" t="inlineStr">
        <is>
          <t>G110.GGX_NGDP.A</t>
        </is>
      </c>
      <c r="E994" s="3" t="inlineStr">
        <is>
          <t>Advanced Economies</t>
        </is>
      </c>
      <c r="F994" s="3" t="inlineStr">
        <is>
          <t>Expenditure, General government, Percent of GDP</t>
        </is>
      </c>
      <c r="G994" s="3" t="n"/>
      <c r="H994" s="3" t="n">
        <v>36.954721</v>
      </c>
      <c r="I994" s="3" t="n">
        <v>37.630479</v>
      </c>
      <c r="J994" s="3" t="n">
        <v>38.363297</v>
      </c>
      <c r="K994" s="3" t="n">
        <v>37.99708</v>
      </c>
      <c r="L994" s="3" t="n">
        <v>37.866606</v>
      </c>
      <c r="M994" s="3" t="n">
        <v>37.491923</v>
      </c>
      <c r="N994" s="3" t="n">
        <v>37.773158</v>
      </c>
      <c r="O994" s="3" t="n">
        <v>39.618237</v>
      </c>
      <c r="P994" s="3" t="n">
        <v>43.359377</v>
      </c>
      <c r="Q994" s="3" t="n">
        <v>42.131962</v>
      </c>
      <c r="R994" s="3" t="n">
        <v>41.328739</v>
      </c>
      <c r="S994" s="3" t="n">
        <v>40.703465</v>
      </c>
      <c r="T994" s="3" t="n">
        <v>40.104748</v>
      </c>
      <c r="U994" s="3" t="n">
        <v>39.493232</v>
      </c>
      <c r="V994" s="3" t="n">
        <v>38.566503</v>
      </c>
      <c r="W994" s="3" t="n">
        <v>38.435262</v>
      </c>
      <c r="X994" s="3" t="n">
        <v>38.1042</v>
      </c>
      <c r="Y994" s="3" t="n">
        <v>38.157662</v>
      </c>
      <c r="Z994" s="3" t="n">
        <v>38.445623</v>
      </c>
      <c r="AA994" s="3" t="n">
        <v>46.075542</v>
      </c>
      <c r="AB994" s="3" t="n">
        <v>44.013429</v>
      </c>
      <c r="AC994" s="3" t="n">
        <v>40.062465</v>
      </c>
      <c r="AD994" s="3" t="n">
        <v>40.266119</v>
      </c>
      <c r="AE994" s="3" t="n">
        <v>40.478601</v>
      </c>
      <c r="AF994" s="3" t="n">
        <v>40.701131</v>
      </c>
      <c r="AG994" s="3" t="n">
        <v>41.119193</v>
      </c>
      <c r="AH994" s="3" t="n">
        <v>41.025745</v>
      </c>
      <c r="AI994" s="3" t="n">
        <v>40.971498</v>
      </c>
      <c r="AJ994" s="3" t="n">
        <v>40.900831</v>
      </c>
      <c r="AK994" s="3" t="n">
        <v>41.009205</v>
      </c>
      <c r="AL994" s="3" t="n">
        <v>41.021096</v>
      </c>
      <c r="AM994" s="3" t="n"/>
      <c r="AN994" s="3" t="n"/>
      <c r="AO994" s="3" t="n"/>
      <c r="AP994" s="3" t="n"/>
      <c r="AQ994" s="3" t="n"/>
      <c r="AR994" s="3" t="n"/>
      <c r="AS994" s="3" t="n"/>
      <c r="AT994" s="3" t="n"/>
      <c r="AU994" s="3" t="n"/>
    </row>
    <row r="995">
      <c r="A995" s="3" t="n">
        <v>2027</v>
      </c>
      <c r="B995" s="3" t="inlineStr">
        <is>
          <t>G11</t>
        </is>
      </c>
      <c r="C995" s="3" t="inlineStr">
        <is>
          <t>IMF.RES:WEO</t>
        </is>
      </c>
      <c r="D995" s="3" t="inlineStr">
        <is>
          <t>G110.LE.A</t>
        </is>
      </c>
      <c r="E995" s="3" t="inlineStr">
        <is>
          <t>Advanced Economies</t>
        </is>
      </c>
      <c r="F995" s="3" t="inlineStr">
        <is>
          <t>Employed persons, Persons for countries / Index for country groups</t>
        </is>
      </c>
      <c r="G995" s="3" t="n">
        <v>96.14267100000001</v>
      </c>
      <c r="H995" s="3" t="n">
        <v>96.777013</v>
      </c>
      <c r="I995" s="3" t="n">
        <v>97.097381</v>
      </c>
      <c r="J995" s="3" t="n">
        <v>97.65977700000001</v>
      </c>
      <c r="K995" s="3" t="n">
        <v>98.604164</v>
      </c>
      <c r="L995" s="3" t="n">
        <v>100</v>
      </c>
      <c r="M995" s="3" t="n">
        <v>101.706012</v>
      </c>
      <c r="N995" s="3" t="n">
        <v>103.297761</v>
      </c>
      <c r="O995" s="3" t="n">
        <v>103.860651</v>
      </c>
      <c r="P995" s="3" t="n">
        <v>101.596206</v>
      </c>
      <c r="Q995" s="3" t="n">
        <v>101.272273</v>
      </c>
      <c r="R995" s="3" t="n">
        <v>101.844097</v>
      </c>
      <c r="S995" s="3" t="n">
        <v>102.46765</v>
      </c>
      <c r="T995" s="3" t="n">
        <v>102.999582</v>
      </c>
      <c r="U995" s="3" t="n">
        <v>104.224258</v>
      </c>
      <c r="V995" s="3" t="n">
        <v>105.580103</v>
      </c>
      <c r="W995" s="3" t="n">
        <v>107.137922</v>
      </c>
      <c r="X995" s="3" t="n">
        <v>108.589932</v>
      </c>
      <c r="Y995" s="3" t="n">
        <v>110.180367</v>
      </c>
      <c r="Z995" s="3" t="n">
        <v>111.505884</v>
      </c>
      <c r="AA995" s="3" t="n">
        <v>108.294565</v>
      </c>
      <c r="AB995" s="3" t="n">
        <v>110.24973</v>
      </c>
      <c r="AC995" s="3" t="n">
        <v>113.179883</v>
      </c>
      <c r="AD995" s="3" t="n">
        <v>114.961102</v>
      </c>
      <c r="AE995" s="3" t="n">
        <v>115.722829</v>
      </c>
      <c r="AF995" s="3" t="n">
        <v>116.744768</v>
      </c>
      <c r="AG995" s="3" t="n">
        <v>117.053322</v>
      </c>
      <c r="AH995" s="3" t="n">
        <v>117.563978</v>
      </c>
      <c r="AI995" s="3" t="n"/>
      <c r="AJ995" s="3" t="n"/>
      <c r="AK995" s="3" t="n"/>
      <c r="AL995" s="3" t="n"/>
      <c r="AM995" s="3" t="n"/>
      <c r="AN995" s="3" t="n"/>
      <c r="AO995" s="3" t="n"/>
      <c r="AP995" s="3" t="n"/>
      <c r="AQ995" s="3" t="n"/>
      <c r="AR995" s="3" t="n"/>
      <c r="AS995" s="3" t="n"/>
      <c r="AT995" s="3" t="n"/>
      <c r="AU995" s="3" t="n"/>
    </row>
    <row r="996">
      <c r="A996" s="3" t="n">
        <v>2031</v>
      </c>
      <c r="B996" s="3" t="inlineStr">
        <is>
          <t>G11</t>
        </is>
      </c>
      <c r="C996" s="3" t="inlineStr">
        <is>
          <t>IMF.RES:WEO</t>
        </is>
      </c>
      <c r="D996" s="3" t="inlineStr">
        <is>
          <t>G110.NGDP_D.A</t>
        </is>
      </c>
      <c r="E996" s="3" t="inlineStr">
        <is>
          <t>Advanced Economies</t>
        </is>
      </c>
      <c r="F996" s="3" t="inlineStr">
        <is>
          <t>Gross domestic product (GDP), Price deflator, Index</t>
        </is>
      </c>
      <c r="G996" s="3" t="n">
        <v>91.197237</v>
      </c>
      <c r="H996" s="3" t="n">
        <v>92.977052</v>
      </c>
      <c r="I996" s="3" t="n">
        <v>94.427359</v>
      </c>
      <c r="J996" s="3" t="n">
        <v>95.995679</v>
      </c>
      <c r="K996" s="3" t="n">
        <v>97.934802</v>
      </c>
      <c r="L996" s="3" t="n">
        <v>100</v>
      </c>
      <c r="M996" s="3" t="n">
        <v>102.139481</v>
      </c>
      <c r="N996" s="3" t="n">
        <v>104.455872</v>
      </c>
      <c r="O996" s="3" t="n">
        <v>106.516242</v>
      </c>
      <c r="P996" s="3" t="n">
        <v>107.321217</v>
      </c>
      <c r="Q996" s="3" t="n">
        <v>108.315213</v>
      </c>
      <c r="R996" s="3" t="n">
        <v>109.843602</v>
      </c>
      <c r="S996" s="3" t="n">
        <v>111.226015</v>
      </c>
      <c r="T996" s="3" t="n">
        <v>112.694222</v>
      </c>
      <c r="U996" s="3" t="n">
        <v>114.273317</v>
      </c>
      <c r="V996" s="3" t="n">
        <v>115.683095</v>
      </c>
      <c r="W996" s="3" t="n">
        <v>116.80125</v>
      </c>
      <c r="X996" s="3" t="n">
        <v>118.481038</v>
      </c>
      <c r="Y996" s="3" t="n">
        <v>120.493556</v>
      </c>
      <c r="Z996" s="3" t="n">
        <v>122.323652</v>
      </c>
      <c r="AA996" s="3" t="n">
        <v>124.344671</v>
      </c>
      <c r="AB996" s="3" t="n">
        <v>128.471084</v>
      </c>
      <c r="AC996" s="3" t="n">
        <v>135.922843</v>
      </c>
      <c r="AD996" s="3" t="n">
        <v>141.724932</v>
      </c>
      <c r="AE996" s="3" t="n">
        <v>145.867008</v>
      </c>
      <c r="AF996" s="3" t="n">
        <v>149.789898</v>
      </c>
      <c r="AG996" s="3" t="n">
        <v>153.597498</v>
      </c>
      <c r="AH996" s="3" t="n">
        <v>157.005721</v>
      </c>
      <c r="AI996" s="3" t="n">
        <v>160.045534</v>
      </c>
      <c r="AJ996" s="3" t="n">
        <v>163.125434</v>
      </c>
      <c r="AK996" s="3" t="n">
        <v>166.309355</v>
      </c>
      <c r="AL996" s="3" t="n">
        <v>169.485496</v>
      </c>
      <c r="AM996" s="3" t="n"/>
      <c r="AN996" s="3" t="n"/>
      <c r="AO996" s="3" t="n"/>
      <c r="AP996" s="3" t="n"/>
      <c r="AQ996" s="3" t="n"/>
      <c r="AR996" s="3" t="n"/>
      <c r="AS996" s="3" t="n"/>
      <c r="AT996" s="3" t="n"/>
      <c r="AU996" s="3" t="n"/>
    </row>
    <row r="997">
      <c r="A997" s="3" t="n">
        <v>2031</v>
      </c>
      <c r="B997" s="3" t="inlineStr">
        <is>
          <t>G11</t>
        </is>
      </c>
      <c r="C997" s="3" t="inlineStr">
        <is>
          <t>IMF.RES:WEO</t>
        </is>
      </c>
      <c r="D997" s="3" t="inlineStr">
        <is>
          <t>G110.NGDP_RPCH.A</t>
        </is>
      </c>
      <c r="E997" s="3" t="inlineStr">
        <is>
          <t>Advanced Economies</t>
        </is>
      </c>
      <c r="F997" s="3" t="inlineStr">
        <is>
          <t>Gross domestic product (GDP), Constant prices, Percent change</t>
        </is>
      </c>
      <c r="G997" s="3" t="n">
        <v>4.189203</v>
      </c>
      <c r="H997" s="3" t="n">
        <v>1.558365</v>
      </c>
      <c r="I997" s="3" t="n">
        <v>1.651177</v>
      </c>
      <c r="J997" s="3" t="n">
        <v>2.016451</v>
      </c>
      <c r="K997" s="3" t="n">
        <v>3.24329</v>
      </c>
      <c r="L997" s="3" t="n">
        <v>2.853887</v>
      </c>
      <c r="M997" s="3" t="n">
        <v>3.103504</v>
      </c>
      <c r="N997" s="3" t="n">
        <v>2.812144</v>
      </c>
      <c r="O997" s="3" t="n">
        <v>0.346489</v>
      </c>
      <c r="P997" s="3" t="n">
        <v>-3.383962</v>
      </c>
      <c r="Q997" s="3" t="n">
        <v>3.111661</v>
      </c>
      <c r="R997" s="3" t="n">
        <v>1.720728</v>
      </c>
      <c r="S997" s="3" t="n">
        <v>1.18288</v>
      </c>
      <c r="T997" s="3" t="n">
        <v>1.483868</v>
      </c>
      <c r="U997" s="3" t="n">
        <v>2.16202</v>
      </c>
      <c r="V997" s="3" t="n">
        <v>2.412306</v>
      </c>
      <c r="W997" s="3" t="n">
        <v>1.839677</v>
      </c>
      <c r="X997" s="3" t="n">
        <v>2.609463</v>
      </c>
      <c r="Y997" s="3" t="n">
        <v>2.312148</v>
      </c>
      <c r="Z997" s="3" t="n">
        <v>1.859168</v>
      </c>
      <c r="AA997" s="3" t="n">
        <v>-3.9269</v>
      </c>
      <c r="AB997" s="3" t="n">
        <v>6.11634</v>
      </c>
      <c r="AC997" s="3" t="n">
        <v>3.055151</v>
      </c>
      <c r="AD997" s="3" t="n">
        <v>1.701534</v>
      </c>
      <c r="AE997" s="3" t="n">
        <v>1.839137</v>
      </c>
      <c r="AF997" s="3" t="n">
        <v>1.935418</v>
      </c>
      <c r="AG997" s="3" t="n">
        <v>1.777186</v>
      </c>
      <c r="AH997" s="3" t="n">
        <v>1.700323</v>
      </c>
      <c r="AI997" s="3" t="n">
        <v>1.746554</v>
      </c>
      <c r="AJ997" s="3" t="n">
        <v>1.612808</v>
      </c>
      <c r="AK997" s="3" t="n">
        <v>1.537462</v>
      </c>
      <c r="AL997" s="3" t="n">
        <v>1.513328</v>
      </c>
      <c r="AM997" s="3" t="n"/>
      <c r="AN997" s="3" t="n"/>
      <c r="AO997" s="3" t="n"/>
      <c r="AP997" s="3" t="n"/>
      <c r="AQ997" s="3" t="n"/>
      <c r="AR997" s="3" t="n"/>
      <c r="AS997" s="3" t="n"/>
      <c r="AT997" s="3" t="n"/>
      <c r="AU997" s="3" t="n"/>
    </row>
    <row r="998">
      <c r="A998" s="3" t="n">
        <v>2031</v>
      </c>
      <c r="B998" s="3" t="inlineStr">
        <is>
          <t>G11</t>
        </is>
      </c>
      <c r="C998" s="3" t="inlineStr">
        <is>
          <t>IMF.RES:WEO</t>
        </is>
      </c>
      <c r="D998" s="3" t="inlineStr">
        <is>
          <t>G110.NGDPD.A</t>
        </is>
      </c>
      <c r="E998" s="3" t="inlineStr">
        <is>
          <t>Advanced Economies</t>
        </is>
      </c>
      <c r="F998" s="3" t="inlineStr">
        <is>
          <t>Gross domestic product (GDP), Current prices, US dollar</t>
        </is>
      </c>
      <c r="G998" s="3" t="n">
        <v>27056.629025</v>
      </c>
      <c r="H998" s="3" t="n">
        <v>26775.63143</v>
      </c>
      <c r="I998" s="3" t="n">
        <v>27934.489891</v>
      </c>
      <c r="J998" s="3" t="n">
        <v>31328.260291</v>
      </c>
      <c r="K998" s="3" t="n">
        <v>34753.79795</v>
      </c>
      <c r="L998" s="3" t="n">
        <v>36582.232486</v>
      </c>
      <c r="M998" s="3" t="n">
        <v>38483.345945</v>
      </c>
      <c r="N998" s="3" t="n">
        <v>42050.778699</v>
      </c>
      <c r="O998" s="3" t="n">
        <v>44441.423604</v>
      </c>
      <c r="P998" s="3" t="n">
        <v>41936.807827</v>
      </c>
      <c r="Q998" s="3" t="n">
        <v>43799.461996</v>
      </c>
      <c r="R998" s="3" t="n">
        <v>47038.039746</v>
      </c>
      <c r="S998" s="3" t="n">
        <v>46867.397332</v>
      </c>
      <c r="T998" s="3" t="n">
        <v>47336.912881</v>
      </c>
      <c r="U998" s="3" t="n">
        <v>48490.42167</v>
      </c>
      <c r="V998" s="3" t="n">
        <v>45898.597545</v>
      </c>
      <c r="W998" s="3" t="n">
        <v>47158.323486</v>
      </c>
      <c r="X998" s="3" t="n">
        <v>49233.645349</v>
      </c>
      <c r="Y998" s="3" t="n">
        <v>52110.327738</v>
      </c>
      <c r="Z998" s="3" t="n">
        <v>52663.787382</v>
      </c>
      <c r="AA998" s="3" t="n">
        <v>51829.642778</v>
      </c>
      <c r="AB998" s="3" t="n">
        <v>57983.98371</v>
      </c>
      <c r="AC998" s="3" t="n">
        <v>59358.620853</v>
      </c>
      <c r="AD998" s="3" t="n">
        <v>62760.184338</v>
      </c>
      <c r="AE998" s="3" t="n">
        <v>65382.171695</v>
      </c>
      <c r="AF998" s="3" t="n">
        <v>69386.689411</v>
      </c>
      <c r="AG998" s="3" t="n">
        <v>73813.720842</v>
      </c>
      <c r="AH998" s="3" t="n">
        <v>76836.113568</v>
      </c>
      <c r="AI998" s="3" t="n">
        <v>79759.916711</v>
      </c>
      <c r="AJ998" s="3" t="n">
        <v>82685.470266</v>
      </c>
      <c r="AK998" s="3" t="n">
        <v>85703.600802</v>
      </c>
      <c r="AL998" s="3" t="n">
        <v>88779.579346</v>
      </c>
      <c r="AM998" s="3" t="n"/>
      <c r="AN998" s="3" t="n"/>
      <c r="AO998" s="3" t="n"/>
      <c r="AP998" s="3" t="n"/>
      <c r="AQ998" s="3" t="n"/>
      <c r="AR998" s="3" t="n"/>
      <c r="AS998" s="3" t="n"/>
      <c r="AT998" s="3" t="n"/>
      <c r="AU998" s="3" t="n"/>
    </row>
    <row r="999">
      <c r="A999" s="3" t="n">
        <v>2031</v>
      </c>
      <c r="B999" s="3" t="inlineStr">
        <is>
          <t>G11</t>
        </is>
      </c>
      <c r="C999" s="3" t="inlineStr">
        <is>
          <t>IMF.RES:WEO</t>
        </is>
      </c>
      <c r="D999" s="3" t="inlineStr">
        <is>
          <t>G110.PCPIPCH.A</t>
        </is>
      </c>
      <c r="E999" s="3" t="inlineStr">
        <is>
          <t>Advanced Economies</t>
        </is>
      </c>
      <c r="F999" s="3" t="inlineStr">
        <is>
          <t>All Items, Consumer price index (CPI), Period average, percent change</t>
        </is>
      </c>
      <c r="G999" s="3" t="n">
        <v>2.266771</v>
      </c>
      <c r="H999" s="3" t="n">
        <v>2.189986</v>
      </c>
      <c r="I999" s="3" t="n">
        <v>1.583916</v>
      </c>
      <c r="J999" s="3" t="n">
        <v>1.853587</v>
      </c>
      <c r="K999" s="3" t="n">
        <v>2.036888</v>
      </c>
      <c r="L999" s="3" t="n">
        <v>2.339954</v>
      </c>
      <c r="M999" s="3" t="n">
        <v>2.370395</v>
      </c>
      <c r="N999" s="3" t="n">
        <v>2.207378</v>
      </c>
      <c r="O999" s="3" t="n">
        <v>3.470253</v>
      </c>
      <c r="P999" s="3" t="n">
        <v>0.193009</v>
      </c>
      <c r="Q999" s="3" t="n">
        <v>1.557044</v>
      </c>
      <c r="R999" s="3" t="n">
        <v>2.704886</v>
      </c>
      <c r="S999" s="3" t="n">
        <v>1.999586</v>
      </c>
      <c r="T999" s="3" t="n">
        <v>1.378204</v>
      </c>
      <c r="U999" s="3" t="n">
        <v>1.346708</v>
      </c>
      <c r="V999" s="3" t="n">
        <v>0.306259</v>
      </c>
      <c r="W999" s="3" t="n">
        <v>0.736822</v>
      </c>
      <c r="X999" s="3" t="n">
        <v>1.705758</v>
      </c>
      <c r="Y999" s="3" t="n">
        <v>1.954838</v>
      </c>
      <c r="Z999" s="3" t="n">
        <v>1.404396</v>
      </c>
      <c r="AA999" s="3" t="n">
        <v>0.678752</v>
      </c>
      <c r="AB999" s="3" t="n">
        <v>3.090117</v>
      </c>
      <c r="AC999" s="3" t="n">
        <v>7.311754</v>
      </c>
      <c r="AD999" s="3" t="n">
        <v>4.633463</v>
      </c>
      <c r="AE999" s="3" t="n">
        <v>2.619744</v>
      </c>
      <c r="AF999" s="3" t="n">
        <v>2.495655</v>
      </c>
      <c r="AG999" s="3" t="n">
        <v>2.806722</v>
      </c>
      <c r="AH999" s="3" t="n">
        <v>2.176986</v>
      </c>
      <c r="AI999" s="3" t="n">
        <v>2.112436</v>
      </c>
      <c r="AJ999" s="3" t="n">
        <v>2.072679</v>
      </c>
      <c r="AK999" s="3" t="n">
        <v>2.071258</v>
      </c>
      <c r="AL999" s="3" t="n">
        <v>2.052755</v>
      </c>
      <c r="AM999" s="3" t="n"/>
      <c r="AN999" s="3" t="n"/>
      <c r="AO999" s="3" t="n"/>
      <c r="AP999" s="3" t="n"/>
      <c r="AQ999" s="3" t="n"/>
      <c r="AR999" s="3" t="n"/>
      <c r="AS999" s="3" t="n"/>
      <c r="AT999" s="3" t="n"/>
      <c r="AU999" s="3" t="n"/>
    </row>
    <row r="1000">
      <c r="A1000" s="3" t="n">
        <v>2031</v>
      </c>
      <c r="B1000" s="3" t="inlineStr">
        <is>
          <t>G11</t>
        </is>
      </c>
      <c r="C1000" s="3" t="inlineStr">
        <is>
          <t>IMF.RES:WEO</t>
        </is>
      </c>
      <c r="D1000" s="3" t="inlineStr">
        <is>
          <t>G110.PPPPC.A</t>
        </is>
      </c>
      <c r="E1000" s="3" t="inlineStr">
        <is>
          <t>Advanced Economies</t>
        </is>
      </c>
      <c r="F1000" s="3" t="inlineStr">
        <is>
          <t>Gross domestic product (GDP), Per capita, purchasing power parity (PPP) international dollar, ICP benchmarks 2017-2021</t>
        </is>
      </c>
      <c r="G1000" s="3" t="n">
        <v>29854.554956</v>
      </c>
      <c r="H1000" s="3" t="n">
        <v>30820.255263</v>
      </c>
      <c r="I1000" s="3" t="n">
        <v>31607.337437</v>
      </c>
      <c r="J1000" s="3" t="n">
        <v>32679.646832</v>
      </c>
      <c r="K1000" s="3" t="n">
        <v>34433.115802</v>
      </c>
      <c r="L1000" s="3" t="n">
        <v>36297.986009</v>
      </c>
      <c r="M1000" s="3" t="n">
        <v>38330.677804</v>
      </c>
      <c r="N1000" s="3" t="n">
        <v>40201.82401</v>
      </c>
      <c r="O1000" s="3" t="n">
        <v>40844.565271</v>
      </c>
      <c r="P1000" s="3" t="n">
        <v>39468.287352</v>
      </c>
      <c r="Q1000" s="3" t="n">
        <v>40966.900991</v>
      </c>
      <c r="R1000" s="3" t="n">
        <v>42296.96102</v>
      </c>
      <c r="S1000" s="3" t="n">
        <v>43385.949585</v>
      </c>
      <c r="T1000" s="3" t="n">
        <v>44586.005669</v>
      </c>
      <c r="U1000" s="3" t="n">
        <v>46117.979206</v>
      </c>
      <c r="V1000" s="3" t="n">
        <v>47418.727842</v>
      </c>
      <c r="W1000" s="3" t="n">
        <v>48505.066234</v>
      </c>
      <c r="X1000" s="3" t="n">
        <v>50456.49884</v>
      </c>
      <c r="Y1000" s="3" t="n">
        <v>52547.506538</v>
      </c>
      <c r="Z1000" s="3" t="n">
        <v>55012.389726</v>
      </c>
      <c r="AA1000" s="3" t="n">
        <v>54127.487509</v>
      </c>
      <c r="AB1000" s="3" t="n">
        <v>59864.658937</v>
      </c>
      <c r="AC1000" s="3" t="n">
        <v>65755.51623199999</v>
      </c>
      <c r="AD1000" s="3" t="n">
        <v>68791.383099</v>
      </c>
      <c r="AE1000" s="3" t="n">
        <v>71336.423412</v>
      </c>
      <c r="AF1000" s="3" t="n">
        <v>74516.332331</v>
      </c>
      <c r="AG1000" s="3" t="n">
        <v>77843.065264</v>
      </c>
      <c r="AH1000" s="3" t="n">
        <v>80762.892956</v>
      </c>
      <c r="AI1000" s="3" t="n">
        <v>83374.31078099999</v>
      </c>
      <c r="AJ1000" s="3" t="n">
        <v>86066.494704</v>
      </c>
      <c r="AK1000" s="3" t="n">
        <v>88828.442753</v>
      </c>
      <c r="AL1000" s="3" t="n">
        <v>91639.498683</v>
      </c>
      <c r="AM1000" s="3" t="n"/>
      <c r="AN1000" s="3" t="n"/>
      <c r="AO1000" s="3" t="n"/>
      <c r="AP1000" s="3" t="n"/>
      <c r="AQ1000" s="3" t="n"/>
      <c r="AR1000" s="3" t="n"/>
      <c r="AS1000" s="3" t="n"/>
      <c r="AT1000" s="3" t="n"/>
      <c r="AU1000" s="3" t="n"/>
    </row>
    <row r="1001">
      <c r="A1001" s="3" t="n">
        <v>2031</v>
      </c>
      <c r="B1001" s="3" t="inlineStr">
        <is>
          <t>G11</t>
        </is>
      </c>
      <c r="C1001" s="3" t="inlineStr">
        <is>
          <t>IMF.RES:WEO</t>
        </is>
      </c>
      <c r="D1001" s="3" t="inlineStr">
        <is>
          <t>G119.BCA.A</t>
        </is>
      </c>
      <c r="E1001" s="3" t="inlineStr">
        <is>
          <t>G7</t>
        </is>
      </c>
      <c r="F1001" s="3" t="inlineStr">
        <is>
          <t>Current account balance (credit less debit), US dollar</t>
        </is>
      </c>
      <c r="G1001" s="3" t="n">
        <v>-301.456709</v>
      </c>
      <c r="H1001" s="3" t="n">
        <v>-300.965575</v>
      </c>
      <c r="I1001" s="3" t="n">
        <v>-317.504557</v>
      </c>
      <c r="J1001" s="3" t="n">
        <v>-368.55894</v>
      </c>
      <c r="K1001" s="3" t="n">
        <v>-354.715053</v>
      </c>
      <c r="L1001" s="3" t="n">
        <v>-486.864046</v>
      </c>
      <c r="M1001" s="3" t="n">
        <v>-553.54521</v>
      </c>
      <c r="N1001" s="3" t="n">
        <v>-428.100674</v>
      </c>
      <c r="O1001" s="3" t="n">
        <v>-538.943026</v>
      </c>
      <c r="P1001" s="3" t="n">
        <v>-202.335037</v>
      </c>
      <c r="Q1001" s="3" t="n">
        <v>-223.943274</v>
      </c>
      <c r="R1001" s="3" t="n">
        <v>-265.047276</v>
      </c>
      <c r="S1001" s="3" t="n">
        <v>-310.587818</v>
      </c>
      <c r="T1001" s="3" t="n">
        <v>-217.451608</v>
      </c>
      <c r="U1001" s="3" t="n">
        <v>-224.900614</v>
      </c>
      <c r="V1001" s="3" t="n">
        <v>-174.81265</v>
      </c>
      <c r="W1001" s="3" t="n">
        <v>-39.73928</v>
      </c>
      <c r="X1001" s="3" t="n">
        <v>35.773821</v>
      </c>
      <c r="Y1001" s="3" t="n">
        <v>-35.38601</v>
      </c>
      <c r="Z1001" s="3" t="n">
        <v>20.798059</v>
      </c>
      <c r="AA1001" s="3" t="n">
        <v>-284.915981</v>
      </c>
      <c r="AB1001" s="3" t="n">
        <v>-333.899875</v>
      </c>
      <c r="AC1001" s="3" t="n">
        <v>-892.443409</v>
      </c>
      <c r="AD1001" s="3" t="n">
        <v>-683.966141</v>
      </c>
      <c r="AE1001" s="3" t="n">
        <v>-816.434353</v>
      </c>
      <c r="AF1001" s="3" t="n">
        <v>-809.729055</v>
      </c>
      <c r="AG1001" s="3" t="n">
        <v>-966.241395</v>
      </c>
      <c r="AH1001" s="3" t="n">
        <v>-960.112211</v>
      </c>
      <c r="AI1001" s="3" t="n">
        <v>-936.041952</v>
      </c>
      <c r="AJ1001" s="3" t="n">
        <v>-960.848061</v>
      </c>
      <c r="AK1001" s="3" t="n">
        <v>-930.813341</v>
      </c>
      <c r="AL1001" s="3" t="n">
        <v>-972.341998</v>
      </c>
      <c r="AM1001" s="3" t="n"/>
      <c r="AN1001" s="3" t="n"/>
      <c r="AO1001" s="3" t="n"/>
      <c r="AP1001" s="3" t="n"/>
      <c r="AQ1001" s="3" t="n"/>
      <c r="AR1001" s="3" t="n"/>
      <c r="AS1001" s="3" t="n"/>
      <c r="AT1001" s="3" t="n"/>
      <c r="AU1001" s="3" t="n"/>
    </row>
    <row r="1002">
      <c r="A1002" s="3" t="n">
        <v>2031</v>
      </c>
      <c r="B1002" s="3" t="inlineStr">
        <is>
          <t>G11</t>
        </is>
      </c>
      <c r="C1002" s="3" t="inlineStr">
        <is>
          <t>IMF.RES:WEO</t>
        </is>
      </c>
      <c r="D1002" s="3" t="inlineStr">
        <is>
          <t>G119.BCA_NGDPD.A</t>
        </is>
      </c>
      <c r="E1002" s="3" t="inlineStr">
        <is>
          <t>G7</t>
        </is>
      </c>
      <c r="F1002" s="3" t="inlineStr">
        <is>
          <t>Current account balance (credit less debit), Percent of GDP</t>
        </is>
      </c>
      <c r="G1002" s="3" t="n">
        <v>-1.358384</v>
      </c>
      <c r="H1002" s="3" t="n">
        <v>-1.372698</v>
      </c>
      <c r="I1002" s="3" t="n">
        <v>-1.404786</v>
      </c>
      <c r="J1002" s="3" t="n">
        <v>-1.477793</v>
      </c>
      <c r="K1002" s="3" t="n">
        <v>-1.295154</v>
      </c>
      <c r="L1002" s="3" t="n">
        <v>-1.702504</v>
      </c>
      <c r="M1002" s="3" t="n">
        <v>-1.855696</v>
      </c>
      <c r="N1002" s="3" t="n">
        <v>-1.336266</v>
      </c>
      <c r="O1002" s="3" t="n">
        <v>-1.603481</v>
      </c>
      <c r="P1002" s="3" t="n">
        <v>-0.632132</v>
      </c>
      <c r="Q1002" s="3" t="n">
        <v>-0.673674</v>
      </c>
      <c r="R1002" s="3" t="n">
        <v>-0.749815</v>
      </c>
      <c r="S1002" s="3" t="n">
        <v>-0.874426</v>
      </c>
      <c r="T1002" s="3" t="n">
        <v>-0.611253</v>
      </c>
      <c r="U1002" s="3" t="n">
        <v>-0.616364</v>
      </c>
      <c r="V1002" s="3" t="n">
        <v>-0.49881</v>
      </c>
      <c r="W1002" s="3" t="n">
        <v>-0.110227</v>
      </c>
      <c r="X1002" s="3" t="n">
        <v>0.095849</v>
      </c>
      <c r="Y1002" s="3" t="n">
        <v>-0.089864</v>
      </c>
      <c r="Z1002" s="3" t="n">
        <v>0.051852</v>
      </c>
      <c r="AA1002" s="3" t="n">
        <v>-0.722475</v>
      </c>
      <c r="AB1002" s="3" t="n">
        <v>-0.7644840000000001</v>
      </c>
      <c r="AC1002" s="3" t="n">
        <v>-1.983074</v>
      </c>
      <c r="AD1002" s="3" t="n">
        <v>-1.432174</v>
      </c>
      <c r="AE1002" s="3" t="n">
        <v>-1.64334</v>
      </c>
      <c r="AF1002" s="3" t="n">
        <v>-1.542569</v>
      </c>
      <c r="AG1002" s="3" t="n">
        <v>-1.746564</v>
      </c>
      <c r="AH1002" s="3" t="n">
        <v>-1.66749</v>
      </c>
      <c r="AI1002" s="3" t="n">
        <v>-1.567216</v>
      </c>
      <c r="AJ1002" s="3" t="n">
        <v>-1.552982</v>
      </c>
      <c r="AK1002" s="3" t="n">
        <v>-1.452928</v>
      </c>
      <c r="AL1002" s="3" t="n">
        <v>-1.466609</v>
      </c>
      <c r="AM1002" s="3" t="n"/>
      <c r="AN1002" s="3" t="n"/>
      <c r="AO1002" s="3" t="n"/>
      <c r="AP1002" s="3" t="n"/>
      <c r="AQ1002" s="3" t="n"/>
      <c r="AR1002" s="3" t="n"/>
      <c r="AS1002" s="3" t="n"/>
      <c r="AT1002" s="3" t="n"/>
      <c r="AU1002" s="3" t="n"/>
    </row>
    <row r="1003">
      <c r="A1003" s="3" t="n">
        <v>2031</v>
      </c>
      <c r="B1003" s="3" t="inlineStr">
        <is>
          <t>G11</t>
        </is>
      </c>
      <c r="C1003" s="3" t="inlineStr">
        <is>
          <t>IMF.RES:WEO</t>
        </is>
      </c>
      <c r="D1003" s="3" t="inlineStr">
        <is>
          <t>G119.GGR_NGDP.A</t>
        </is>
      </c>
      <c r="E1003" s="3" t="inlineStr">
        <is>
          <t>G7</t>
        </is>
      </c>
      <c r="F1003" s="3" t="inlineStr">
        <is>
          <t>Revenue, General government, Percent of GDP</t>
        </is>
      </c>
      <c r="G1003" s="3" t="n"/>
      <c r="H1003" s="3" t="n">
        <v>34.944088</v>
      </c>
      <c r="I1003" s="3" t="n">
        <v>33.603062</v>
      </c>
      <c r="J1003" s="3" t="n">
        <v>33.699202</v>
      </c>
      <c r="K1003" s="3" t="n">
        <v>34.069164</v>
      </c>
      <c r="L1003" s="3" t="n">
        <v>34.863057</v>
      </c>
      <c r="M1003" s="3" t="n">
        <v>35.626129</v>
      </c>
      <c r="N1003" s="3" t="n">
        <v>36.02905</v>
      </c>
      <c r="O1003" s="3" t="n">
        <v>35.596263</v>
      </c>
      <c r="P1003" s="3" t="n">
        <v>34.194359</v>
      </c>
      <c r="Q1003" s="3" t="n">
        <v>34.039271</v>
      </c>
      <c r="R1003" s="3" t="n">
        <v>34.692341</v>
      </c>
      <c r="S1003" s="3" t="n">
        <v>34.736186</v>
      </c>
      <c r="T1003" s="3" t="n">
        <v>36.230804</v>
      </c>
      <c r="U1003" s="3" t="n">
        <v>36.392387</v>
      </c>
      <c r="V1003" s="3" t="n">
        <v>36.167814</v>
      </c>
      <c r="W1003" s="3" t="n">
        <v>35.852674</v>
      </c>
      <c r="X1003" s="3" t="n">
        <v>35.656854</v>
      </c>
      <c r="Y1003" s="3" t="n">
        <v>35.672514</v>
      </c>
      <c r="Z1003" s="3" t="n">
        <v>35.412898</v>
      </c>
      <c r="AA1003" s="3" t="n">
        <v>35.885993</v>
      </c>
      <c r="AB1003" s="3" t="n">
        <v>36.830802</v>
      </c>
      <c r="AC1003" s="3" t="n">
        <v>37.344713</v>
      </c>
      <c r="AD1003" s="3" t="n">
        <v>35.060972</v>
      </c>
      <c r="AE1003" s="3" t="n">
        <v>35.29468</v>
      </c>
      <c r="AF1003" s="3" t="n">
        <v>36.201007</v>
      </c>
      <c r="AG1003" s="3" t="n">
        <v>36.104353</v>
      </c>
      <c r="AH1003" s="3" t="n">
        <v>36.195182</v>
      </c>
      <c r="AI1003" s="3" t="n">
        <v>36.103652</v>
      </c>
      <c r="AJ1003" s="3" t="n">
        <v>36.155159</v>
      </c>
      <c r="AK1003" s="3" t="n">
        <v>36.319699</v>
      </c>
      <c r="AL1003" s="3" t="n">
        <v>36.399288</v>
      </c>
      <c r="AM1003" s="3" t="n"/>
      <c r="AN1003" s="3" t="n"/>
      <c r="AO1003" s="3" t="n"/>
      <c r="AP1003" s="3" t="n"/>
      <c r="AQ1003" s="3" t="n"/>
      <c r="AR1003" s="3" t="n"/>
      <c r="AS1003" s="3" t="n"/>
      <c r="AT1003" s="3" t="n"/>
      <c r="AU1003" s="3" t="n"/>
    </row>
    <row r="1004">
      <c r="A1004" s="3" t="n">
        <v>2031</v>
      </c>
      <c r="B1004" s="3" t="inlineStr">
        <is>
          <t>G11</t>
        </is>
      </c>
      <c r="C1004" s="3" t="inlineStr">
        <is>
          <t>IMF.RES:WEO</t>
        </is>
      </c>
      <c r="D1004" s="3" t="inlineStr">
        <is>
          <t>G119.GGX_NGDP.A</t>
        </is>
      </c>
      <c r="E1004" s="3" t="inlineStr">
        <is>
          <t>G7</t>
        </is>
      </c>
      <c r="F1004" s="3" t="inlineStr">
        <is>
          <t>Expenditure, General government, Percent of GDP</t>
        </is>
      </c>
      <c r="G1004" s="3" t="n"/>
      <c r="H1004" s="3" t="n">
        <v>36.938775</v>
      </c>
      <c r="I1004" s="3" t="n">
        <v>37.721793</v>
      </c>
      <c r="J1004" s="3" t="n">
        <v>38.401453</v>
      </c>
      <c r="K1004" s="3" t="n">
        <v>38.020587</v>
      </c>
      <c r="L1004" s="3" t="n">
        <v>38.107425</v>
      </c>
      <c r="M1004" s="3" t="n">
        <v>37.8273</v>
      </c>
      <c r="N1004" s="3" t="n">
        <v>38.252467</v>
      </c>
      <c r="O1004" s="3" t="n">
        <v>40.085342</v>
      </c>
      <c r="P1004" s="3" t="n">
        <v>44.001286</v>
      </c>
      <c r="Q1004" s="3" t="n">
        <v>42.824472</v>
      </c>
      <c r="R1004" s="3" t="n">
        <v>42.063221</v>
      </c>
      <c r="S1004" s="3" t="n">
        <v>41.227742</v>
      </c>
      <c r="T1004" s="3" t="n">
        <v>40.569971</v>
      </c>
      <c r="U1004" s="3" t="n">
        <v>39.998551</v>
      </c>
      <c r="V1004" s="3" t="n">
        <v>39.17632</v>
      </c>
      <c r="W1004" s="3" t="n">
        <v>39.170581</v>
      </c>
      <c r="X1004" s="3" t="n">
        <v>39.003153</v>
      </c>
      <c r="Y1004" s="3" t="n">
        <v>39.026434</v>
      </c>
      <c r="Z1004" s="3" t="n">
        <v>39.204668</v>
      </c>
      <c r="AA1004" s="3" t="n">
        <v>47.574141</v>
      </c>
      <c r="AB1004" s="3" t="n">
        <v>45.712659</v>
      </c>
      <c r="AC1004" s="3" t="n">
        <v>41.065196</v>
      </c>
      <c r="AD1004" s="3" t="n">
        <v>41.247897</v>
      </c>
      <c r="AE1004" s="3" t="n">
        <v>41.397034</v>
      </c>
      <c r="AF1004" s="3" t="n">
        <v>41.513609</v>
      </c>
      <c r="AG1004" s="3" t="n">
        <v>41.91284</v>
      </c>
      <c r="AH1004" s="3" t="n">
        <v>41.911418</v>
      </c>
      <c r="AI1004" s="3" t="n">
        <v>41.884254</v>
      </c>
      <c r="AJ1004" s="3" t="n">
        <v>41.780332</v>
      </c>
      <c r="AK1004" s="3" t="n">
        <v>41.914533</v>
      </c>
      <c r="AL1004" s="3" t="n">
        <v>41.922821</v>
      </c>
      <c r="AM1004" s="3" t="n"/>
      <c r="AN1004" s="3" t="n"/>
      <c r="AO1004" s="3" t="n"/>
      <c r="AP1004" s="3" t="n"/>
      <c r="AQ1004" s="3" t="n"/>
      <c r="AR1004" s="3" t="n"/>
      <c r="AS1004" s="3" t="n"/>
      <c r="AT1004" s="3" t="n"/>
      <c r="AU1004" s="3" t="n"/>
    </row>
    <row r="1005">
      <c r="A1005" s="3" t="n">
        <v>2027</v>
      </c>
      <c r="B1005" s="3" t="inlineStr">
        <is>
          <t>G11</t>
        </is>
      </c>
      <c r="C1005" s="3" t="inlineStr">
        <is>
          <t>IMF.RES:WEO</t>
        </is>
      </c>
      <c r="D1005" s="3" t="inlineStr">
        <is>
          <t>G119.LE.A</t>
        </is>
      </c>
      <c r="E1005" s="3" t="inlineStr">
        <is>
          <t>G7</t>
        </is>
      </c>
      <c r="F1005" s="3" t="inlineStr">
        <is>
          <t>Employed persons, Persons for countries / Index for country groups</t>
        </is>
      </c>
      <c r="G1005" s="3" t="n">
        <v>97.555724</v>
      </c>
      <c r="H1005" s="3" t="n">
        <v>97.896817</v>
      </c>
      <c r="I1005" s="3" t="n">
        <v>97.767742</v>
      </c>
      <c r="J1005" s="3" t="n">
        <v>98.16519700000001</v>
      </c>
      <c r="K1005" s="3" t="n">
        <v>98.87952799999999</v>
      </c>
      <c r="L1005" s="3" t="n">
        <v>100</v>
      </c>
      <c r="M1005" s="3" t="n">
        <v>101.441484</v>
      </c>
      <c r="N1005" s="3" t="n">
        <v>102.653401</v>
      </c>
      <c r="O1005" s="3" t="n">
        <v>102.868953</v>
      </c>
      <c r="P1005" s="3" t="n">
        <v>100.549985</v>
      </c>
      <c r="Q1005" s="3" t="n">
        <v>100.207408</v>
      </c>
      <c r="R1005" s="3" t="n">
        <v>100.802824</v>
      </c>
      <c r="S1005" s="3" t="n">
        <v>101.766679</v>
      </c>
      <c r="T1005" s="3" t="n">
        <v>102.50674</v>
      </c>
      <c r="U1005" s="3" t="n">
        <v>103.697923</v>
      </c>
      <c r="V1005" s="3" t="n">
        <v>104.917039</v>
      </c>
      <c r="W1005" s="3" t="n">
        <v>106.480435</v>
      </c>
      <c r="X1005" s="3" t="n">
        <v>107.745245</v>
      </c>
      <c r="Y1005" s="3" t="n">
        <v>109.284078</v>
      </c>
      <c r="Z1005" s="3" t="n">
        <v>110.450973</v>
      </c>
      <c r="AA1005" s="3" t="n">
        <v>106.549258</v>
      </c>
      <c r="AB1005" s="3" t="n">
        <v>108.663349</v>
      </c>
      <c r="AC1005" s="3" t="n">
        <v>111.41706</v>
      </c>
      <c r="AD1005" s="3" t="n">
        <v>113.008783</v>
      </c>
      <c r="AE1005" s="3" t="n">
        <v>113.563314</v>
      </c>
      <c r="AF1005" s="3" t="n">
        <v>114.532742</v>
      </c>
      <c r="AG1005" s="3" t="n">
        <v>114.587164</v>
      </c>
      <c r="AH1005" s="3" t="n">
        <v>114.93346</v>
      </c>
      <c r="AI1005" s="3" t="n"/>
      <c r="AJ1005" s="3" t="n"/>
      <c r="AK1005" s="3" t="n"/>
      <c r="AL1005" s="3" t="n"/>
      <c r="AM1005" s="3" t="n"/>
      <c r="AN1005" s="3" t="n"/>
      <c r="AO1005" s="3" t="n"/>
      <c r="AP1005" s="3" t="n"/>
      <c r="AQ1005" s="3" t="n"/>
      <c r="AR1005" s="3" t="n"/>
      <c r="AS1005" s="3" t="n"/>
      <c r="AT1005" s="3" t="n"/>
      <c r="AU1005" s="3" t="n"/>
    </row>
    <row r="1006">
      <c r="A1006" s="3" t="n">
        <v>2031</v>
      </c>
      <c r="B1006" s="3" t="inlineStr">
        <is>
          <t>G11</t>
        </is>
      </c>
      <c r="C1006" s="3" t="inlineStr">
        <is>
          <t>IMF.RES:WEO</t>
        </is>
      </c>
      <c r="D1006" s="3" t="inlineStr">
        <is>
          <t>G119.NGDP_D.A</t>
        </is>
      </c>
      <c r="E1006" s="3" t="inlineStr">
        <is>
          <t>G7</t>
        </is>
      </c>
      <c r="F1006" s="3" t="inlineStr">
        <is>
          <t>Gross domestic product (GDP), Price deflator, Index</t>
        </is>
      </c>
      <c r="G1006" s="3" t="n">
        <v>92.032585</v>
      </c>
      <c r="H1006" s="3" t="n">
        <v>93.541524</v>
      </c>
      <c r="I1006" s="3" t="n">
        <v>94.77094099999999</v>
      </c>
      <c r="J1006" s="3" t="n">
        <v>96.20291400000001</v>
      </c>
      <c r="K1006" s="3" t="n">
        <v>98.036717</v>
      </c>
      <c r="L1006" s="3" t="n">
        <v>100</v>
      </c>
      <c r="M1006" s="3" t="n">
        <v>102.022023</v>
      </c>
      <c r="N1006" s="3" t="n">
        <v>104.075594</v>
      </c>
      <c r="O1006" s="3" t="n">
        <v>105.82738</v>
      </c>
      <c r="P1006" s="3" t="n">
        <v>106.49584</v>
      </c>
      <c r="Q1006" s="3" t="n">
        <v>107.300554</v>
      </c>
      <c r="R1006" s="3" t="n">
        <v>108.831134</v>
      </c>
      <c r="S1006" s="3" t="n">
        <v>110.26594</v>
      </c>
      <c r="T1006" s="3" t="n">
        <v>111.79422</v>
      </c>
      <c r="U1006" s="3" t="n">
        <v>113.596107</v>
      </c>
      <c r="V1006" s="3" t="n">
        <v>114.832204</v>
      </c>
      <c r="W1006" s="3" t="n">
        <v>115.958631</v>
      </c>
      <c r="X1006" s="3" t="n">
        <v>117.534183</v>
      </c>
      <c r="Y1006" s="3" t="n">
        <v>119.546989</v>
      </c>
      <c r="Z1006" s="3" t="n">
        <v>121.412767</v>
      </c>
      <c r="AA1006" s="3" t="n">
        <v>123.581222</v>
      </c>
      <c r="AB1006" s="3" t="n">
        <v>127.511579</v>
      </c>
      <c r="AC1006" s="3" t="n">
        <v>134.668661</v>
      </c>
      <c r="AD1006" s="3" t="n">
        <v>140.713782</v>
      </c>
      <c r="AE1006" s="3" t="n">
        <v>144.500385</v>
      </c>
      <c r="AF1006" s="3" t="n">
        <v>148.541731</v>
      </c>
      <c r="AG1006" s="3" t="n">
        <v>152.30154</v>
      </c>
      <c r="AH1006" s="3" t="n">
        <v>155.716537</v>
      </c>
      <c r="AI1006" s="3" t="n">
        <v>158.610517</v>
      </c>
      <c r="AJ1006" s="3" t="n">
        <v>161.621304</v>
      </c>
      <c r="AK1006" s="3" t="n">
        <v>164.758748</v>
      </c>
      <c r="AL1006" s="3" t="n">
        <v>167.862177</v>
      </c>
      <c r="AM1006" s="3" t="n"/>
      <c r="AN1006" s="3" t="n"/>
      <c r="AO1006" s="3" t="n"/>
      <c r="AP1006" s="3" t="n"/>
      <c r="AQ1006" s="3" t="n"/>
      <c r="AR1006" s="3" t="n"/>
      <c r="AS1006" s="3" t="n"/>
      <c r="AT1006" s="3" t="n"/>
      <c r="AU1006" s="3" t="n"/>
    </row>
    <row r="1007">
      <c r="A1007" s="3" t="n">
        <v>2031</v>
      </c>
      <c r="B1007" s="3" t="inlineStr">
        <is>
          <t>G11</t>
        </is>
      </c>
      <c r="C1007" s="3" t="inlineStr">
        <is>
          <t>IMF.RES:WEO</t>
        </is>
      </c>
      <c r="D1007" s="3" t="inlineStr">
        <is>
          <t>G119.NGDP_RPCH.A</t>
        </is>
      </c>
      <c r="E1007" s="3" t="inlineStr">
        <is>
          <t>G7</t>
        </is>
      </c>
      <c r="F1007" s="3" t="inlineStr">
        <is>
          <t>Gross domestic product (GDP), Constant prices, Percent change</t>
        </is>
      </c>
      <c r="G1007" s="3" t="n">
        <v>3.854698</v>
      </c>
      <c r="H1007" s="3" t="n">
        <v>1.235276</v>
      </c>
      <c r="I1007" s="3" t="n">
        <v>1.132034</v>
      </c>
      <c r="J1007" s="3" t="n">
        <v>1.845871</v>
      </c>
      <c r="K1007" s="3" t="n">
        <v>2.859822</v>
      </c>
      <c r="L1007" s="3" t="n">
        <v>2.573312</v>
      </c>
      <c r="M1007" s="3" t="n">
        <v>2.60913</v>
      </c>
      <c r="N1007" s="3" t="n">
        <v>2.132488</v>
      </c>
      <c r="O1007" s="3" t="n">
        <v>-0.029401</v>
      </c>
      <c r="P1007" s="3" t="n">
        <v>-3.751792</v>
      </c>
      <c r="Q1007" s="3" t="n">
        <v>2.893053</v>
      </c>
      <c r="R1007" s="3" t="n">
        <v>1.595844</v>
      </c>
      <c r="S1007" s="3" t="n">
        <v>1.381924</v>
      </c>
      <c r="T1007" s="3" t="n">
        <v>1.534382</v>
      </c>
      <c r="U1007" s="3" t="n">
        <v>2.045313</v>
      </c>
      <c r="V1007" s="3" t="n">
        <v>2.203197</v>
      </c>
      <c r="W1007" s="3" t="n">
        <v>1.589022</v>
      </c>
      <c r="X1007" s="3" t="n">
        <v>2.384839</v>
      </c>
      <c r="Y1007" s="3" t="n">
        <v>2.124488</v>
      </c>
      <c r="Z1007" s="3" t="n">
        <v>1.7239</v>
      </c>
      <c r="AA1007" s="3" t="n">
        <v>-4.178809</v>
      </c>
      <c r="AB1007" s="3" t="n">
        <v>5.983134</v>
      </c>
      <c r="AC1007" s="3" t="n">
        <v>2.775559</v>
      </c>
      <c r="AD1007" s="3" t="n">
        <v>1.778758</v>
      </c>
      <c r="AE1007" s="3" t="n">
        <v>1.666633</v>
      </c>
      <c r="AF1007" s="3" t="n">
        <v>1.545611</v>
      </c>
      <c r="AG1007" s="3" t="n">
        <v>1.601219</v>
      </c>
      <c r="AH1007" s="3" t="n">
        <v>1.57438</v>
      </c>
      <c r="AI1007" s="3" t="n">
        <v>1.639405</v>
      </c>
      <c r="AJ1007" s="3" t="n">
        <v>1.491546</v>
      </c>
      <c r="AK1007" s="3" t="n">
        <v>1.383213</v>
      </c>
      <c r="AL1007" s="3" t="n">
        <v>1.37257</v>
      </c>
      <c r="AM1007" s="3" t="n"/>
      <c r="AN1007" s="3" t="n"/>
      <c r="AO1007" s="3" t="n"/>
      <c r="AP1007" s="3" t="n"/>
      <c r="AQ1007" s="3" t="n"/>
      <c r="AR1007" s="3" t="n"/>
      <c r="AS1007" s="3" t="n"/>
      <c r="AT1007" s="3" t="n"/>
      <c r="AU1007" s="3" t="n"/>
    </row>
    <row r="1008">
      <c r="A1008" s="3" t="n">
        <v>2031</v>
      </c>
      <c r="B1008" s="3" t="inlineStr">
        <is>
          <t>G11</t>
        </is>
      </c>
      <c r="C1008" s="3" t="inlineStr">
        <is>
          <t>IMF.RES:WEO</t>
        </is>
      </c>
      <c r="D1008" s="3" t="inlineStr">
        <is>
          <t>G119.NGDPD.A</t>
        </is>
      </c>
      <c r="E1008" s="3" t="inlineStr">
        <is>
          <t>G7</t>
        </is>
      </c>
      <c r="F1008" s="3" t="inlineStr">
        <is>
          <t>Gross domestic product (GDP), Current prices, US dollar</t>
        </is>
      </c>
      <c r="G1008" s="3" t="n">
        <v>22192.306694</v>
      </c>
      <c r="H1008" s="3" t="n">
        <v>21925.112628</v>
      </c>
      <c r="I1008" s="3" t="n">
        <v>22601.636285</v>
      </c>
      <c r="J1008" s="3" t="n">
        <v>24939.819519</v>
      </c>
      <c r="K1008" s="3" t="n">
        <v>27387.870345</v>
      </c>
      <c r="L1008" s="3" t="n">
        <v>28596.9467</v>
      </c>
      <c r="M1008" s="3" t="n">
        <v>29829.524958</v>
      </c>
      <c r="N1008" s="3" t="n">
        <v>32037.0887</v>
      </c>
      <c r="O1008" s="3" t="n">
        <v>33610.818994</v>
      </c>
      <c r="P1008" s="3" t="n">
        <v>32008.376041</v>
      </c>
      <c r="Q1008" s="3" t="n">
        <v>33242.093964</v>
      </c>
      <c r="R1008" s="3" t="n">
        <v>35348.356124</v>
      </c>
      <c r="S1008" s="3" t="n">
        <v>35519.04083</v>
      </c>
      <c r="T1008" s="3" t="n">
        <v>35574.750627</v>
      </c>
      <c r="U1008" s="3" t="n">
        <v>36488.290646</v>
      </c>
      <c r="V1008" s="3" t="n">
        <v>35045.969129</v>
      </c>
      <c r="W1008" s="3" t="n">
        <v>36052.233302</v>
      </c>
      <c r="X1008" s="3" t="n">
        <v>37322.970939</v>
      </c>
      <c r="Y1008" s="3" t="n">
        <v>39377.35998</v>
      </c>
      <c r="Z1008" s="3" t="n">
        <v>40110.101641</v>
      </c>
      <c r="AA1008" s="3" t="n">
        <v>39436.110838</v>
      </c>
      <c r="AB1008" s="3" t="n">
        <v>43676.50284</v>
      </c>
      <c r="AC1008" s="3" t="n">
        <v>45003.031233</v>
      </c>
      <c r="AD1008" s="3" t="n">
        <v>47757.187012</v>
      </c>
      <c r="AE1008" s="3" t="n">
        <v>49681.405746</v>
      </c>
      <c r="AF1008" s="3" t="n">
        <v>52492.254386</v>
      </c>
      <c r="AG1008" s="3" t="n">
        <v>55322.424012</v>
      </c>
      <c r="AH1008" s="3" t="n">
        <v>57578.274111</v>
      </c>
      <c r="AI1008" s="3" t="n">
        <v>59726.42357</v>
      </c>
      <c r="AJ1008" s="3" t="n">
        <v>61871.166921</v>
      </c>
      <c r="AK1008" s="3" t="n">
        <v>64064.653452</v>
      </c>
      <c r="AL1008" s="3" t="n">
        <v>66298.671795</v>
      </c>
      <c r="AM1008" s="3" t="n"/>
      <c r="AN1008" s="3" t="n"/>
      <c r="AO1008" s="3" t="n"/>
      <c r="AP1008" s="3" t="n"/>
      <c r="AQ1008" s="3" t="n"/>
      <c r="AR1008" s="3" t="n"/>
      <c r="AS1008" s="3" t="n"/>
      <c r="AT1008" s="3" t="n"/>
      <c r="AU1008" s="3" t="n"/>
    </row>
    <row r="1009">
      <c r="A1009" s="3" t="n">
        <v>2031</v>
      </c>
      <c r="B1009" s="3" t="inlineStr">
        <is>
          <t>G11</t>
        </is>
      </c>
      <c r="C1009" s="3" t="inlineStr">
        <is>
          <t>IMF.RES:WEO</t>
        </is>
      </c>
      <c r="D1009" s="3" t="inlineStr">
        <is>
          <t>G119.PCPIPCH.A</t>
        </is>
      </c>
      <c r="E1009" s="3" t="inlineStr">
        <is>
          <t>G7</t>
        </is>
      </c>
      <c r="F1009" s="3" t="inlineStr">
        <is>
          <t>All Items, Consumer price index (CPI), Period average, percent change</t>
        </is>
      </c>
      <c r="G1009" s="3" t="n">
        <v>2.12041</v>
      </c>
      <c r="H1009" s="3" t="n">
        <v>1.929115</v>
      </c>
      <c r="I1009" s="3" t="n">
        <v>1.309022</v>
      </c>
      <c r="J1009" s="3" t="n">
        <v>1.75826</v>
      </c>
      <c r="K1009" s="3" t="n">
        <v>1.981175</v>
      </c>
      <c r="L1009" s="3" t="n">
        <v>2.32659</v>
      </c>
      <c r="M1009" s="3" t="n">
        <v>2.331952</v>
      </c>
      <c r="N1009" s="3" t="n">
        <v>2.164817</v>
      </c>
      <c r="O1009" s="3" t="n">
        <v>3.197515</v>
      </c>
      <c r="P1009" s="3" t="n">
        <v>-0.07130599999999999</v>
      </c>
      <c r="Q1009" s="3" t="n">
        <v>1.386473</v>
      </c>
      <c r="R1009" s="3" t="n">
        <v>2.598262</v>
      </c>
      <c r="S1009" s="3" t="n">
        <v>1.911072</v>
      </c>
      <c r="T1009" s="3" t="n">
        <v>1.332095</v>
      </c>
      <c r="U1009" s="3" t="n">
        <v>1.511901</v>
      </c>
      <c r="V1009" s="3" t="n">
        <v>0.316073</v>
      </c>
      <c r="W1009" s="3" t="n">
        <v>0.778141</v>
      </c>
      <c r="X1009" s="3" t="n">
        <v>1.759022</v>
      </c>
      <c r="Y1009" s="3" t="n">
        <v>2.080492</v>
      </c>
      <c r="Z1009" s="3" t="n">
        <v>1.483883</v>
      </c>
      <c r="AA1009" s="3" t="n">
        <v>0.789257</v>
      </c>
      <c r="AB1009" s="3" t="n">
        <v>3.319312</v>
      </c>
      <c r="AC1009" s="3" t="n">
        <v>7.313103</v>
      </c>
      <c r="AD1009" s="3" t="n">
        <v>4.691443</v>
      </c>
      <c r="AE1009" s="3" t="n">
        <v>2.650684</v>
      </c>
      <c r="AF1009" s="3" t="n">
        <v>2.549248</v>
      </c>
      <c r="AG1009" s="3" t="n">
        <v>2.877683</v>
      </c>
      <c r="AH1009" s="3" t="n">
        <v>2.180327</v>
      </c>
      <c r="AI1009" s="3" t="n">
        <v>2.097507</v>
      </c>
      <c r="AJ1009" s="3" t="n">
        <v>2.104465</v>
      </c>
      <c r="AK1009" s="3" t="n">
        <v>2.109179</v>
      </c>
      <c r="AL1009" s="3" t="n">
        <v>2.087971</v>
      </c>
      <c r="AM1009" s="3" t="n"/>
      <c r="AN1009" s="3" t="n"/>
      <c r="AO1009" s="3" t="n"/>
      <c r="AP1009" s="3" t="n"/>
      <c r="AQ1009" s="3" t="n"/>
      <c r="AR1009" s="3" t="n"/>
      <c r="AS1009" s="3" t="n"/>
      <c r="AT1009" s="3" t="n"/>
      <c r="AU1009" s="3" t="n"/>
    </row>
    <row r="1010">
      <c r="A1010" s="3" t="n">
        <v>2031</v>
      </c>
      <c r="B1010" s="3" t="inlineStr">
        <is>
          <t>G11</t>
        </is>
      </c>
      <c r="C1010" s="3" t="inlineStr">
        <is>
          <t>IMF.RES:WEO</t>
        </is>
      </c>
      <c r="D1010" s="3" t="inlineStr">
        <is>
          <t>G119.PPPPC.A</t>
        </is>
      </c>
      <c r="E1010" s="3" t="inlineStr">
        <is>
          <t>G7</t>
        </is>
      </c>
      <c r="F1010" s="3" t="inlineStr">
        <is>
          <t>Gross domestic product (GDP), Per capita, purchasing power parity (PPP) international dollar, ICP benchmarks 2017-2021</t>
        </is>
      </c>
      <c r="G1010" s="3" t="n">
        <v>32088.818524</v>
      </c>
      <c r="H1010" s="3" t="n">
        <v>33011.756788</v>
      </c>
      <c r="I1010" s="3" t="n">
        <v>33700.195621</v>
      </c>
      <c r="J1010" s="3" t="n">
        <v>34791.805744</v>
      </c>
      <c r="K1010" s="3" t="n">
        <v>36533.153481</v>
      </c>
      <c r="L1010" s="3" t="n">
        <v>38412.973523</v>
      </c>
      <c r="M1010" s="3" t="n">
        <v>40399.393083</v>
      </c>
      <c r="N1010" s="3" t="n">
        <v>42130.157301</v>
      </c>
      <c r="O1010" s="3" t="n">
        <v>42679.056115</v>
      </c>
      <c r="P1010" s="3" t="n">
        <v>41107.623766</v>
      </c>
      <c r="Q1010" s="3" t="n">
        <v>42595.981503</v>
      </c>
      <c r="R1010" s="3" t="n">
        <v>43932.722576</v>
      </c>
      <c r="S1010" s="3" t="n">
        <v>45158.727601</v>
      </c>
      <c r="T1010" s="3" t="n">
        <v>46417.097847</v>
      </c>
      <c r="U1010" s="3" t="n">
        <v>47945.401319</v>
      </c>
      <c r="V1010" s="3" t="n">
        <v>49208.390493</v>
      </c>
      <c r="W1010" s="3" t="n">
        <v>50215.654126</v>
      </c>
      <c r="X1010" s="3" t="n">
        <v>52134.866851</v>
      </c>
      <c r="Y1010" s="3" t="n">
        <v>54217.511131</v>
      </c>
      <c r="Z1010" s="3" t="n">
        <v>56629.02686</v>
      </c>
      <c r="AA1010" s="3" t="n">
        <v>55560.361089</v>
      </c>
      <c r="AB1010" s="3" t="n">
        <v>61100.982673</v>
      </c>
      <c r="AC1010" s="3" t="n">
        <v>66963.065777</v>
      </c>
      <c r="AD1010" s="3" t="n">
        <v>70197.197313</v>
      </c>
      <c r="AE1010" s="3" t="n">
        <v>72679.060568</v>
      </c>
      <c r="AF1010" s="3" t="n">
        <v>75683.056484</v>
      </c>
      <c r="AG1010" s="3" t="n">
        <v>79005.78916299999</v>
      </c>
      <c r="AH1010" s="3" t="n">
        <v>81949.57505299999</v>
      </c>
      <c r="AI1010" s="3" t="n">
        <v>84585.72425100001</v>
      </c>
      <c r="AJ1010" s="3" t="n">
        <v>87274.950188</v>
      </c>
      <c r="AK1010" s="3" t="n">
        <v>89997.47625199999</v>
      </c>
      <c r="AL1010" s="3" t="n">
        <v>92773.979335</v>
      </c>
      <c r="AM1010" s="3" t="n"/>
      <c r="AN1010" s="3" t="n"/>
      <c r="AO1010" s="3" t="n"/>
      <c r="AP1010" s="3" t="n"/>
      <c r="AQ1010" s="3" t="n"/>
      <c r="AR1010" s="3" t="n"/>
      <c r="AS1010" s="3" t="n"/>
      <c r="AT1010" s="3" t="n"/>
      <c r="AU1010" s="3" t="n"/>
    </row>
    <row r="1011">
      <c r="A1011" s="3" t="inlineStr">
        <is>
          <t>INDICATOR</t>
        </is>
      </c>
      <c r="B1011" s="3" t="inlineStr">
        <is>
          <t>G12</t>
        </is>
      </c>
      <c r="C1011" s="3" t="inlineStr">
        <is>
          <t>IMF.STA:ER</t>
        </is>
      </c>
      <c r="D1011" s="3" t="inlineStr">
        <is>
          <t>G129.XDC_USD.PA_RT.A</t>
        </is>
      </c>
      <c r="E1011" s="3" t="inlineStr">
        <is>
          <t>Benelux</t>
        </is>
      </c>
      <c r="F1011" s="3" t="inlineStr">
        <is>
          <t>Domestic currency per US Dollar</t>
        </is>
      </c>
      <c r="G1011" s="3" t="n"/>
      <c r="H1011" s="3" t="n"/>
      <c r="I1011" s="3" t="n"/>
      <c r="J1011" s="3" t="n"/>
      <c r="K1011" s="3" t="n"/>
      <c r="L1011" s="3" t="n"/>
      <c r="M1011" s="3" t="n"/>
      <c r="N1011" s="3" t="n"/>
      <c r="O1011" s="3" t="n"/>
      <c r="P1011" s="3" t="n"/>
      <c r="Q1011" s="3" t="n"/>
      <c r="R1011" s="3" t="n"/>
      <c r="S1011" s="3" t="n"/>
      <c r="T1011" s="3" t="n"/>
      <c r="U1011" s="3" t="n"/>
      <c r="V1011" s="3" t="n"/>
      <c r="W1011" s="3" t="n"/>
      <c r="X1011" s="3" t="n"/>
      <c r="Y1011" s="3" t="n"/>
      <c r="Z1011" s="3" t="n"/>
      <c r="AA1011" s="3" t="n"/>
      <c r="AB1011" s="3" t="n"/>
      <c r="AC1011" s="3" t="n"/>
      <c r="AD1011" s="3" t="n"/>
      <c r="AE1011" s="3" t="n"/>
      <c r="AF1011" s="3" t="n"/>
      <c r="AG1011" s="3" t="n"/>
      <c r="AH1011" s="3" t="n"/>
      <c r="AI1011" s="3" t="n"/>
      <c r="AJ1011" s="3" t="n"/>
      <c r="AK1011" s="3" t="n"/>
      <c r="AL1011" s="3" t="n"/>
      <c r="AM1011" s="3" t="n"/>
      <c r="AN1011" s="3" t="n"/>
      <c r="AO1011" s="3" t="n"/>
      <c r="AP1011" s="3" t="n"/>
      <c r="AQ1011" s="3" t="n"/>
      <c r="AR1011" s="3" t="n"/>
      <c r="AS1011" s="3" t="n"/>
      <c r="AT1011" s="3" t="n"/>
      <c r="AU1011" s="3" t="n"/>
    </row>
    <row r="1012">
      <c r="A1012" s="3" t="n">
        <v>2031</v>
      </c>
      <c r="B1012" s="3" t="inlineStr">
        <is>
          <t>G16</t>
        </is>
      </c>
      <c r="C1012" s="3" t="inlineStr">
        <is>
          <t>IMF.RES:WEO</t>
        </is>
      </c>
      <c r="D1012" s="3" t="inlineStr">
        <is>
          <t>G163.BCA.A</t>
        </is>
      </c>
      <c r="E1012" s="3" t="inlineStr">
        <is>
          <t>Euro Area (EA)</t>
        </is>
      </c>
      <c r="F1012" s="3" t="inlineStr">
        <is>
          <t>Current account balance (credit less debit), US dollar</t>
        </is>
      </c>
      <c r="G1012" s="3" t="n">
        <v>-94.21314</v>
      </c>
      <c r="H1012" s="3" t="n">
        <v>-23.630451</v>
      </c>
      <c r="I1012" s="3" t="n">
        <v>43.447703</v>
      </c>
      <c r="J1012" s="3" t="n">
        <v>21.655167</v>
      </c>
      <c r="K1012" s="3" t="n">
        <v>71.649822</v>
      </c>
      <c r="L1012" s="3" t="n">
        <v>11.1557</v>
      </c>
      <c r="M1012" s="3" t="n">
        <v>-18.444468</v>
      </c>
      <c r="N1012" s="3" t="n">
        <v>5.189241</v>
      </c>
      <c r="O1012" s="3" t="n">
        <v>-259.933431</v>
      </c>
      <c r="P1012" s="3" t="n">
        <v>-39.175908</v>
      </c>
      <c r="Q1012" s="3" t="n">
        <v>-40.813677</v>
      </c>
      <c r="R1012" s="3" t="n">
        <v>-47.924936</v>
      </c>
      <c r="S1012" s="3" t="n">
        <v>124.329309</v>
      </c>
      <c r="T1012" s="3" t="n">
        <v>253.259864</v>
      </c>
      <c r="U1012" s="3" t="n">
        <v>317.657302</v>
      </c>
      <c r="V1012" s="3" t="n">
        <v>338.89286</v>
      </c>
      <c r="W1012" s="3" t="n">
        <v>403.62154</v>
      </c>
      <c r="X1012" s="3" t="n">
        <v>430.59317</v>
      </c>
      <c r="Y1012" s="3" t="n">
        <v>410.008944</v>
      </c>
      <c r="Z1012" s="3" t="n">
        <v>324.662165</v>
      </c>
      <c r="AA1012" s="3" t="n">
        <v>244.955608</v>
      </c>
      <c r="AB1012" s="3" t="n">
        <v>408.575868</v>
      </c>
      <c r="AC1012" s="3" t="n">
        <v>-30.81115</v>
      </c>
      <c r="AD1012" s="3" t="n">
        <v>264.668155</v>
      </c>
      <c r="AE1012" s="3" t="n">
        <v>443.029934</v>
      </c>
      <c r="AF1012" s="3" t="n">
        <v>288.200299</v>
      </c>
      <c r="AG1012" s="3" t="n">
        <v>254.721292</v>
      </c>
      <c r="AH1012" s="3" t="n">
        <v>292.121489</v>
      </c>
      <c r="AI1012" s="3" t="n">
        <v>346.39619</v>
      </c>
      <c r="AJ1012" s="3" t="n">
        <v>386.126503</v>
      </c>
      <c r="AK1012" s="3" t="n">
        <v>420.224915</v>
      </c>
      <c r="AL1012" s="3" t="n">
        <v>432.687681</v>
      </c>
      <c r="AM1012" s="3" t="n"/>
      <c r="AN1012" s="3" t="n"/>
      <c r="AO1012" s="3" t="n"/>
      <c r="AP1012" s="3" t="n"/>
      <c r="AQ1012" s="3" t="n"/>
      <c r="AR1012" s="3" t="n"/>
      <c r="AS1012" s="3" t="n"/>
      <c r="AT1012" s="3" t="n"/>
      <c r="AU1012" s="3" t="n"/>
    </row>
    <row r="1013">
      <c r="A1013" s="3" t="n">
        <v>2031</v>
      </c>
      <c r="B1013" s="3" t="inlineStr">
        <is>
          <t>G16</t>
        </is>
      </c>
      <c r="C1013" s="3" t="inlineStr">
        <is>
          <t>IMF.RES:WEO</t>
        </is>
      </c>
      <c r="D1013" s="3" t="inlineStr">
        <is>
          <t>G163.BCA_NGDPD.A</t>
        </is>
      </c>
      <c r="E1013" s="3" t="inlineStr">
        <is>
          <t>Euro Area (EA)</t>
        </is>
      </c>
      <c r="F1013" s="3" t="inlineStr">
        <is>
          <t>Current account balance (credit less debit), Percent of GDP</t>
        </is>
      </c>
      <c r="G1013" s="3" t="n">
        <v>-1.441128</v>
      </c>
      <c r="H1013" s="3" t="n">
        <v>-0.356042</v>
      </c>
      <c r="I1013" s="3" t="n">
        <v>0.599806</v>
      </c>
      <c r="J1013" s="3" t="n">
        <v>0.242565</v>
      </c>
      <c r="K1013" s="3" t="n">
        <v>0.69978</v>
      </c>
      <c r="L1013" s="3" t="n">
        <v>0.104895</v>
      </c>
      <c r="M1013" s="3" t="n">
        <v>-0.163054</v>
      </c>
      <c r="N1013" s="3" t="n">
        <v>0.039798</v>
      </c>
      <c r="O1013" s="3" t="n">
        <v>-1.811521</v>
      </c>
      <c r="P1013" s="3" t="n">
        <v>-0.298531</v>
      </c>
      <c r="Q1013" s="3" t="n">
        <v>-0.317669</v>
      </c>
      <c r="R1013" s="3" t="n">
        <v>-0.345663</v>
      </c>
      <c r="S1013" s="3" t="n">
        <v>0.967718</v>
      </c>
      <c r="T1013" s="3" t="n">
        <v>1.888159</v>
      </c>
      <c r="U1013" s="3" t="n">
        <v>2.311573</v>
      </c>
      <c r="V1013" s="3" t="n">
        <v>2.852317</v>
      </c>
      <c r="W1013" s="3" t="n">
        <v>3.315468</v>
      </c>
      <c r="X1013" s="3" t="n">
        <v>3.338644</v>
      </c>
      <c r="Y1013" s="3" t="n">
        <v>2.940145</v>
      </c>
      <c r="Z1013" s="3" t="n">
        <v>2.376605</v>
      </c>
      <c r="AA1013" s="3" t="n">
        <v>1.837971</v>
      </c>
      <c r="AB1013" s="3" t="n">
        <v>2.720394</v>
      </c>
      <c r="AC1013" s="3" t="n">
        <v>-0.211182</v>
      </c>
      <c r="AD1013" s="3" t="n">
        <v>1.658063</v>
      </c>
      <c r="AE1013" s="3" t="n">
        <v>2.669194</v>
      </c>
      <c r="AF1013" s="3" t="n">
        <v>1.6013</v>
      </c>
      <c r="AG1013" s="3" t="n">
        <v>1.30977</v>
      </c>
      <c r="AH1013" s="3" t="n">
        <v>1.454489</v>
      </c>
      <c r="AI1013" s="3" t="n">
        <v>1.668919</v>
      </c>
      <c r="AJ1013" s="3" t="n">
        <v>1.801234</v>
      </c>
      <c r="AK1013" s="3" t="n">
        <v>1.899526</v>
      </c>
      <c r="AL1013" s="3" t="n">
        <v>1.896593</v>
      </c>
      <c r="AM1013" s="3" t="n"/>
      <c r="AN1013" s="3" t="n"/>
      <c r="AO1013" s="3" t="n"/>
      <c r="AP1013" s="3" t="n"/>
      <c r="AQ1013" s="3" t="n"/>
      <c r="AR1013" s="3" t="n"/>
      <c r="AS1013" s="3" t="n"/>
      <c r="AT1013" s="3" t="n"/>
      <c r="AU1013" s="3" t="n"/>
    </row>
    <row r="1014">
      <c r="A1014" s="3" t="n">
        <v>2031</v>
      </c>
      <c r="B1014" s="3" t="inlineStr">
        <is>
          <t>G16</t>
        </is>
      </c>
      <c r="C1014" s="3" t="inlineStr">
        <is>
          <t>IMF.RES:WEO</t>
        </is>
      </c>
      <c r="D1014" s="3" t="inlineStr">
        <is>
          <t>G163.GGR_NGDP.A</t>
        </is>
      </c>
      <c r="E1014" s="3" t="inlineStr">
        <is>
          <t>Euro Area (EA)</t>
        </is>
      </c>
      <c r="F1014" s="3" t="inlineStr">
        <is>
          <t>Revenue, General government, Percent of GDP</t>
        </is>
      </c>
      <c r="G1014" s="3" t="n">
        <v>45.924661</v>
      </c>
      <c r="H1014" s="3" t="n">
        <v>45.237894</v>
      </c>
      <c r="I1014" s="3" t="n">
        <v>44.814051</v>
      </c>
      <c r="J1014" s="3" t="n">
        <v>44.73926</v>
      </c>
      <c r="K1014" s="3" t="n">
        <v>44.416131</v>
      </c>
      <c r="L1014" s="3" t="n">
        <v>44.566439</v>
      </c>
      <c r="M1014" s="3" t="n">
        <v>44.943846</v>
      </c>
      <c r="N1014" s="3" t="n">
        <v>45.095088</v>
      </c>
      <c r="O1014" s="3" t="n">
        <v>44.849947</v>
      </c>
      <c r="P1014" s="3" t="n">
        <v>44.842468</v>
      </c>
      <c r="Q1014" s="3" t="n">
        <v>44.661188</v>
      </c>
      <c r="R1014" s="3" t="n">
        <v>45.26533</v>
      </c>
      <c r="S1014" s="3" t="n">
        <v>46.372753</v>
      </c>
      <c r="T1014" s="3" t="n">
        <v>47.037764</v>
      </c>
      <c r="U1014" s="3" t="n">
        <v>46.98266</v>
      </c>
      <c r="V1014" s="3" t="n">
        <v>46.559233</v>
      </c>
      <c r="W1014" s="3" t="n">
        <v>46.388326</v>
      </c>
      <c r="X1014" s="3" t="n">
        <v>46.339591</v>
      </c>
      <c r="Y1014" s="3" t="n">
        <v>46.525667</v>
      </c>
      <c r="Z1014" s="3" t="n">
        <v>46.400351</v>
      </c>
      <c r="AA1014" s="3" t="n">
        <v>46.492407</v>
      </c>
      <c r="AB1014" s="3" t="n">
        <v>46.841324</v>
      </c>
      <c r="AC1014" s="3" t="n">
        <v>46.439839</v>
      </c>
      <c r="AD1014" s="3" t="n">
        <v>45.775935</v>
      </c>
      <c r="AE1014" s="3" t="n">
        <v>46.343086</v>
      </c>
      <c r="AF1014" s="3" t="n">
        <v>46.799912</v>
      </c>
      <c r="AG1014" s="3" t="n">
        <v>46.89421</v>
      </c>
      <c r="AH1014" s="3" t="n">
        <v>46.856374</v>
      </c>
      <c r="AI1014" s="3" t="n">
        <v>46.817665</v>
      </c>
      <c r="AJ1014" s="3" t="n">
        <v>46.97441</v>
      </c>
      <c r="AK1014" s="3" t="n">
        <v>47.010434</v>
      </c>
      <c r="AL1014" s="3" t="n">
        <v>47.041143</v>
      </c>
      <c r="AM1014" s="3" t="n"/>
      <c r="AN1014" s="3" t="n"/>
      <c r="AO1014" s="3" t="n"/>
      <c r="AP1014" s="3" t="n"/>
      <c r="AQ1014" s="3" t="n"/>
      <c r="AR1014" s="3" t="n"/>
      <c r="AS1014" s="3" t="n"/>
      <c r="AT1014" s="3" t="n"/>
      <c r="AU1014" s="3" t="n"/>
    </row>
    <row r="1015">
      <c r="A1015" s="3" t="n">
        <v>2031</v>
      </c>
      <c r="B1015" s="3" t="inlineStr">
        <is>
          <t>G16</t>
        </is>
      </c>
      <c r="C1015" s="3" t="inlineStr">
        <is>
          <t>IMF.RES:WEO</t>
        </is>
      </c>
      <c r="D1015" s="3" t="inlineStr">
        <is>
          <t>G163.GGX_NGDP.A</t>
        </is>
      </c>
      <c r="E1015" s="3" t="inlineStr">
        <is>
          <t>Euro Area (EA)</t>
        </is>
      </c>
      <c r="F1015" s="3" t="inlineStr">
        <is>
          <t>Expenditure, General government, Percent of GDP</t>
        </is>
      </c>
      <c r="G1015" s="3" t="n">
        <v>47.260504</v>
      </c>
      <c r="H1015" s="3" t="n">
        <v>47.24663</v>
      </c>
      <c r="I1015" s="3" t="n">
        <v>47.579773</v>
      </c>
      <c r="J1015" s="3" t="n">
        <v>47.889789</v>
      </c>
      <c r="K1015" s="3" t="n">
        <v>47.297951</v>
      </c>
      <c r="L1015" s="3" t="n">
        <v>47.209537</v>
      </c>
      <c r="M1015" s="3" t="n">
        <v>46.516509</v>
      </c>
      <c r="N1015" s="3" t="n">
        <v>45.830792</v>
      </c>
      <c r="O1015" s="3" t="n">
        <v>47.088267</v>
      </c>
      <c r="P1015" s="3" t="n">
        <v>51.075002</v>
      </c>
      <c r="Q1015" s="3" t="n">
        <v>50.970172</v>
      </c>
      <c r="R1015" s="3" t="n">
        <v>49.495756</v>
      </c>
      <c r="S1015" s="3" t="n">
        <v>50.159688</v>
      </c>
      <c r="T1015" s="3" t="n">
        <v>50.073731</v>
      </c>
      <c r="U1015" s="3" t="n">
        <v>49.527957</v>
      </c>
      <c r="V1015" s="3" t="n">
        <v>48.523124</v>
      </c>
      <c r="W1015" s="3" t="n">
        <v>47.852772</v>
      </c>
      <c r="X1015" s="3" t="n">
        <v>47.334128</v>
      </c>
      <c r="Y1015" s="3" t="n">
        <v>46.973486</v>
      </c>
      <c r="Z1015" s="3" t="n">
        <v>46.941704</v>
      </c>
      <c r="AA1015" s="3" t="n">
        <v>53.48395</v>
      </c>
      <c r="AB1015" s="3" t="n">
        <v>51.934303</v>
      </c>
      <c r="AC1015" s="3" t="n">
        <v>49.813212</v>
      </c>
      <c r="AD1015" s="3" t="n">
        <v>49.290426</v>
      </c>
      <c r="AE1015" s="3" t="n">
        <v>49.40021</v>
      </c>
      <c r="AF1015" s="3" t="n">
        <v>49.806068</v>
      </c>
      <c r="AG1015" s="3" t="n">
        <v>50.211648</v>
      </c>
      <c r="AH1015" s="3" t="n">
        <v>50.207575</v>
      </c>
      <c r="AI1015" s="3" t="n">
        <v>50.001452</v>
      </c>
      <c r="AJ1015" s="3" t="n">
        <v>50.084301</v>
      </c>
      <c r="AK1015" s="3" t="n">
        <v>50.047687</v>
      </c>
      <c r="AL1015" s="3" t="n">
        <v>50.001342</v>
      </c>
      <c r="AM1015" s="3" t="n"/>
      <c r="AN1015" s="3" t="n"/>
      <c r="AO1015" s="3" t="n"/>
      <c r="AP1015" s="3" t="n"/>
      <c r="AQ1015" s="3" t="n"/>
      <c r="AR1015" s="3" t="n"/>
      <c r="AS1015" s="3" t="n"/>
      <c r="AT1015" s="3" t="n"/>
      <c r="AU1015" s="3" t="n"/>
    </row>
    <row r="1016">
      <c r="A1016" s="3" t="n">
        <v>2027</v>
      </c>
      <c r="B1016" s="3" t="inlineStr">
        <is>
          <t>G16</t>
        </is>
      </c>
      <c r="C1016" s="3" t="inlineStr">
        <is>
          <t>IMF.RES:WEO</t>
        </is>
      </c>
      <c r="D1016" s="3" t="inlineStr">
        <is>
          <t>G163.LE.A</t>
        </is>
      </c>
      <c r="E1016" s="3" t="inlineStr">
        <is>
          <t>Euro Area (EA)</t>
        </is>
      </c>
      <c r="F1016" s="3" t="inlineStr">
        <is>
          <t>Employed persons, Persons for countries / Index for country groups</t>
        </is>
      </c>
      <c r="G1016" s="3" t="n">
        <v>95.24045</v>
      </c>
      <c r="H1016" s="3" t="n">
        <v>96.630796</v>
      </c>
      <c r="I1016" s="3" t="n">
        <v>97.409111</v>
      </c>
      <c r="J1016" s="3" t="n">
        <v>97.796324</v>
      </c>
      <c r="K1016" s="3" t="n">
        <v>98.562117</v>
      </c>
      <c r="L1016" s="3" t="n">
        <v>100</v>
      </c>
      <c r="M1016" s="3" t="n">
        <v>101.906486</v>
      </c>
      <c r="N1016" s="3" t="n">
        <v>103.997981</v>
      </c>
      <c r="O1016" s="3" t="n">
        <v>105.11314</v>
      </c>
      <c r="P1016" s="3" t="n">
        <v>103.028834</v>
      </c>
      <c r="Q1016" s="3" t="n">
        <v>101.862681</v>
      </c>
      <c r="R1016" s="3" t="n">
        <v>101.918692</v>
      </c>
      <c r="S1016" s="3" t="n">
        <v>101.046469</v>
      </c>
      <c r="T1016" s="3" t="n">
        <v>100.34871</v>
      </c>
      <c r="U1016" s="3" t="n">
        <v>100.890464</v>
      </c>
      <c r="V1016" s="3" t="n">
        <v>102.056356</v>
      </c>
      <c r="W1016" s="3" t="n">
        <v>103.694044</v>
      </c>
      <c r="X1016" s="3" t="n">
        <v>105.267862</v>
      </c>
      <c r="Y1016" s="3" t="n">
        <v>106.668718</v>
      </c>
      <c r="Z1016" s="3" t="n">
        <v>108.047782</v>
      </c>
      <c r="AA1016" s="3" t="n">
        <v>106.174346</v>
      </c>
      <c r="AB1016" s="3" t="n">
        <v>107.780567</v>
      </c>
      <c r="AC1016" s="3" t="n">
        <v>110.793063</v>
      </c>
      <c r="AD1016" s="3" t="n">
        <v>112.597115</v>
      </c>
      <c r="AE1016" s="3" t="n">
        <v>113.738855</v>
      </c>
      <c r="AF1016" s="3" t="n">
        <v>114.613144</v>
      </c>
      <c r="AG1016" s="3" t="n">
        <v>114.839279</v>
      </c>
      <c r="AH1016" s="3" t="n">
        <v>115.077619</v>
      </c>
      <c r="AI1016" s="3" t="n"/>
      <c r="AJ1016" s="3" t="n"/>
      <c r="AK1016" s="3" t="n"/>
      <c r="AL1016" s="3" t="n"/>
      <c r="AM1016" s="3" t="n"/>
      <c r="AN1016" s="3" t="n"/>
      <c r="AO1016" s="3" t="n"/>
      <c r="AP1016" s="3" t="n"/>
      <c r="AQ1016" s="3" t="n"/>
      <c r="AR1016" s="3" t="n"/>
      <c r="AS1016" s="3" t="n"/>
      <c r="AT1016" s="3" t="n"/>
      <c r="AU1016" s="3" t="n"/>
    </row>
    <row r="1017">
      <c r="A1017" s="3" t="n">
        <v>2031</v>
      </c>
      <c r="B1017" s="3" t="inlineStr">
        <is>
          <t>G16</t>
        </is>
      </c>
      <c r="C1017" s="3" t="inlineStr">
        <is>
          <t>IMF.RES:WEO</t>
        </is>
      </c>
      <c r="D1017" s="3" t="inlineStr">
        <is>
          <t>G163.NGDP_D.A</t>
        </is>
      </c>
      <c r="E1017" s="3" t="inlineStr">
        <is>
          <t>Euro Area (EA)</t>
        </is>
      </c>
      <c r="F1017" s="3" t="inlineStr">
        <is>
          <t>Gross domestic product (GDP), Price deflator, Index</t>
        </is>
      </c>
      <c r="G1017" s="3" t="n">
        <v>72.2747</v>
      </c>
      <c r="H1017" s="3" t="n">
        <v>74.098546</v>
      </c>
      <c r="I1017" s="3" t="n">
        <v>75.953399</v>
      </c>
      <c r="J1017" s="3" t="n">
        <v>77.648566</v>
      </c>
      <c r="K1017" s="3" t="n">
        <v>79.17267200000001</v>
      </c>
      <c r="L1017" s="3" t="n">
        <v>80.715243</v>
      </c>
      <c r="M1017" s="3" t="n">
        <v>82.369437</v>
      </c>
      <c r="N1017" s="3" t="n">
        <v>84.44167</v>
      </c>
      <c r="O1017" s="3" t="n">
        <v>86.239075</v>
      </c>
      <c r="P1017" s="3" t="n">
        <v>87.127115</v>
      </c>
      <c r="Q1017" s="3" t="n">
        <v>87.756761</v>
      </c>
      <c r="R1017" s="3" t="n">
        <v>88.75330099999999</v>
      </c>
      <c r="S1017" s="3" t="n">
        <v>89.88235299999999</v>
      </c>
      <c r="T1017" s="3" t="n">
        <v>90.99745299999999</v>
      </c>
      <c r="U1017" s="3" t="n">
        <v>91.85741</v>
      </c>
      <c r="V1017" s="3" t="n">
        <v>93.13823499999999</v>
      </c>
      <c r="W1017" s="3" t="n">
        <v>93.99459400000001</v>
      </c>
      <c r="X1017" s="3" t="n">
        <v>95.086569</v>
      </c>
      <c r="Y1017" s="3" t="n">
        <v>96.549598</v>
      </c>
      <c r="Z1017" s="3" t="n">
        <v>98.20644799999999</v>
      </c>
      <c r="AA1017" s="3" t="n">
        <v>100</v>
      </c>
      <c r="AB1017" s="3" t="n">
        <v>102.118396</v>
      </c>
      <c r="AC1017" s="3" t="n">
        <v>107.49113</v>
      </c>
      <c r="AD1017" s="3" t="n">
        <v>114.087391</v>
      </c>
      <c r="AE1017" s="3" t="n">
        <v>117.493578</v>
      </c>
      <c r="AF1017" s="3" t="n">
        <v>120.381983</v>
      </c>
      <c r="AG1017" s="3" t="n">
        <v>123.238504</v>
      </c>
      <c r="AH1017" s="3" t="n">
        <v>126.03781</v>
      </c>
      <c r="AI1017" s="3" t="n">
        <v>128.847969</v>
      </c>
      <c r="AJ1017" s="3" t="n">
        <v>131.518624</v>
      </c>
      <c r="AK1017" s="3" t="n">
        <v>134.238754</v>
      </c>
      <c r="AL1017" s="3" t="n">
        <v>136.955605</v>
      </c>
      <c r="AM1017" s="3" t="n"/>
      <c r="AN1017" s="3" t="n"/>
      <c r="AO1017" s="3" t="n"/>
      <c r="AP1017" s="3" t="n"/>
      <c r="AQ1017" s="3" t="n"/>
      <c r="AR1017" s="3" t="n"/>
      <c r="AS1017" s="3" t="n"/>
      <c r="AT1017" s="3" t="n"/>
      <c r="AU1017" s="3" t="n"/>
    </row>
    <row r="1018">
      <c r="A1018" s="3" t="n">
        <v>2031</v>
      </c>
      <c r="B1018" s="3" t="inlineStr">
        <is>
          <t>G16</t>
        </is>
      </c>
      <c r="C1018" s="3" t="inlineStr">
        <is>
          <t>IMF.RES:WEO</t>
        </is>
      </c>
      <c r="D1018" s="3" t="inlineStr">
        <is>
          <t>G163.NGDP_RPCH.A</t>
        </is>
      </c>
      <c r="E1018" s="3" t="inlineStr">
        <is>
          <t>Euro Area (EA)</t>
        </is>
      </c>
      <c r="F1018" s="3" t="inlineStr">
        <is>
          <t>Gross domestic product (GDP), Constant prices, Percent change</t>
        </is>
      </c>
      <c r="G1018" s="3" t="n">
        <v>3.858228</v>
      </c>
      <c r="H1018" s="3" t="n">
        <v>2.161804</v>
      </c>
      <c r="I1018" s="3" t="n">
        <v>0.923115</v>
      </c>
      <c r="J1018" s="3" t="n">
        <v>0.731254</v>
      </c>
      <c r="K1018" s="3" t="n">
        <v>2.306881</v>
      </c>
      <c r="L1018" s="3" t="n">
        <v>1.766895</v>
      </c>
      <c r="M1018" s="3" t="n">
        <v>3.323388</v>
      </c>
      <c r="N1018" s="3" t="n">
        <v>3.007588</v>
      </c>
      <c r="O1018" s="3" t="n">
        <v>0.428756</v>
      </c>
      <c r="P1018" s="3" t="n">
        <v>-4.452534</v>
      </c>
      <c r="Q1018" s="3" t="n">
        <v>2.071357</v>
      </c>
      <c r="R1018" s="3" t="n">
        <v>1.725513</v>
      </c>
      <c r="S1018" s="3" t="n">
        <v>-0.946767</v>
      </c>
      <c r="T1018" s="3" t="n">
        <v>-0.181225</v>
      </c>
      <c r="U1018" s="3" t="n">
        <v>1.43963</v>
      </c>
      <c r="V1018" s="3" t="n">
        <v>2.116761</v>
      </c>
      <c r="W1018" s="3" t="n">
        <v>1.806748</v>
      </c>
      <c r="X1018" s="3" t="n">
        <v>2.621503</v>
      </c>
      <c r="Y1018" s="3" t="n">
        <v>1.781492</v>
      </c>
      <c r="Z1018" s="3" t="n">
        <v>1.631503</v>
      </c>
      <c r="AA1018" s="3" t="n">
        <v>-6.009644</v>
      </c>
      <c r="AB1018" s="3" t="n">
        <v>6.415062</v>
      </c>
      <c r="AC1018" s="3" t="n">
        <v>3.640754</v>
      </c>
      <c r="AD1018" s="3" t="n">
        <v>0.441889</v>
      </c>
      <c r="AE1018" s="3" t="n">
        <v>0.921892</v>
      </c>
      <c r="AF1018" s="3" t="n">
        <v>1.401599</v>
      </c>
      <c r="AG1018" s="3" t="n">
        <v>1.086909</v>
      </c>
      <c r="AH1018" s="3" t="n">
        <v>1.211367</v>
      </c>
      <c r="AI1018" s="3" t="n">
        <v>1.363994</v>
      </c>
      <c r="AJ1018" s="3" t="n">
        <v>1.237689</v>
      </c>
      <c r="AK1018" s="3" t="n">
        <v>1.124031</v>
      </c>
      <c r="AL1018" s="3" t="n">
        <v>1.095916</v>
      </c>
      <c r="AM1018" s="3" t="n"/>
      <c r="AN1018" s="3" t="n"/>
      <c r="AO1018" s="3" t="n"/>
      <c r="AP1018" s="3" t="n"/>
      <c r="AQ1018" s="3" t="n"/>
      <c r="AR1018" s="3" t="n"/>
      <c r="AS1018" s="3" t="n"/>
      <c r="AT1018" s="3" t="n"/>
      <c r="AU1018" s="3" t="n"/>
    </row>
    <row r="1019">
      <c r="A1019" s="3" t="n">
        <v>2031</v>
      </c>
      <c r="B1019" s="3" t="inlineStr">
        <is>
          <t>G16</t>
        </is>
      </c>
      <c r="C1019" s="3" t="inlineStr">
        <is>
          <t>IMF.RES:WEO</t>
        </is>
      </c>
      <c r="D1019" s="3" t="inlineStr">
        <is>
          <t>G163.NGDPD.A</t>
        </is>
      </c>
      <c r="E1019" s="3" t="inlineStr">
        <is>
          <t>Euro Area (EA)</t>
        </is>
      </c>
      <c r="F1019" s="3" t="inlineStr">
        <is>
          <t>Gross domestic product (GDP), Current prices, US dollar</t>
        </is>
      </c>
      <c r="G1019" s="3" t="n">
        <v>6537.459868</v>
      </c>
      <c r="H1019" s="3" t="n">
        <v>6636.982666</v>
      </c>
      <c r="I1019" s="3" t="n">
        <v>7243.624032</v>
      </c>
      <c r="J1019" s="3" t="n">
        <v>8927.572639</v>
      </c>
      <c r="K1019" s="3" t="n">
        <v>10238.911095</v>
      </c>
      <c r="L1019" s="3" t="n">
        <v>10635.142879</v>
      </c>
      <c r="M1019" s="3" t="n">
        <v>11311.87352</v>
      </c>
      <c r="N1019" s="3" t="n">
        <v>13038.986304</v>
      </c>
      <c r="O1019" s="3" t="n">
        <v>14348.906738</v>
      </c>
      <c r="P1019" s="3" t="n">
        <v>13122.874682</v>
      </c>
      <c r="Q1019" s="3" t="n">
        <v>12847.858865</v>
      </c>
      <c r="R1019" s="3" t="n">
        <v>13864.625432</v>
      </c>
      <c r="S1019" s="3" t="n">
        <v>12847.673641</v>
      </c>
      <c r="T1019" s="3" t="n">
        <v>13413.061428</v>
      </c>
      <c r="U1019" s="3" t="n">
        <v>13742.04133</v>
      </c>
      <c r="V1019" s="3" t="n">
        <v>11881.319771</v>
      </c>
      <c r="W1019" s="3" t="n">
        <v>12173.894974</v>
      </c>
      <c r="X1019" s="3" t="n">
        <v>12897.248818</v>
      </c>
      <c r="Y1019" s="3" t="n">
        <v>13945.196542</v>
      </c>
      <c r="Z1019" s="3" t="n">
        <v>13660.75165</v>
      </c>
      <c r="AA1019" s="3" t="n">
        <v>13327.499121</v>
      </c>
      <c r="AB1019" s="3" t="n">
        <v>15018.99439</v>
      </c>
      <c r="AC1019" s="3" t="n">
        <v>14589.889499</v>
      </c>
      <c r="AD1019" s="3" t="n">
        <v>15962.495226</v>
      </c>
      <c r="AE1019" s="3" t="n">
        <v>16597.893232</v>
      </c>
      <c r="AF1019" s="3" t="n">
        <v>17997.891686</v>
      </c>
      <c r="AG1019" s="3" t="n">
        <v>19447.788468</v>
      </c>
      <c r="AH1019" s="3" t="n">
        <v>20084.131936</v>
      </c>
      <c r="AI1019" s="3" t="n">
        <v>20755.720522</v>
      </c>
      <c r="AJ1019" s="3" t="n">
        <v>21436.775288</v>
      </c>
      <c r="AK1019" s="3" t="n">
        <v>22122.618429</v>
      </c>
      <c r="AL1019" s="3" t="n">
        <v>22813.950712</v>
      </c>
      <c r="AM1019" s="3" t="n"/>
      <c r="AN1019" s="3" t="n"/>
      <c r="AO1019" s="3" t="n"/>
      <c r="AP1019" s="3" t="n"/>
      <c r="AQ1019" s="3" t="n"/>
      <c r="AR1019" s="3" t="n"/>
      <c r="AS1019" s="3" t="n"/>
      <c r="AT1019" s="3" t="n"/>
      <c r="AU1019" s="3" t="n"/>
    </row>
    <row r="1020">
      <c r="A1020" s="3" t="n">
        <v>2031</v>
      </c>
      <c r="B1020" s="3" t="inlineStr">
        <is>
          <t>G16</t>
        </is>
      </c>
      <c r="C1020" s="3" t="inlineStr">
        <is>
          <t>IMF.RES:WEO</t>
        </is>
      </c>
      <c r="D1020" s="3" t="inlineStr">
        <is>
          <t>G163.PCPIPCH.A</t>
        </is>
      </c>
      <c r="E1020" s="3" t="inlineStr">
        <is>
          <t>Euro Area (EA)</t>
        </is>
      </c>
      <c r="F1020" s="3" t="inlineStr">
        <is>
          <t>All Items, Consumer price index (CPI), Period average, percent change</t>
        </is>
      </c>
      <c r="G1020" s="3" t="n">
        <v>2.107553</v>
      </c>
      <c r="H1020" s="3" t="n">
        <v>2.340576</v>
      </c>
      <c r="I1020" s="3" t="n">
        <v>2.252581</v>
      </c>
      <c r="J1020" s="3" t="n">
        <v>2.078924</v>
      </c>
      <c r="K1020" s="3" t="n">
        <v>2.146206</v>
      </c>
      <c r="L1020" s="3" t="n">
        <v>2.178691</v>
      </c>
      <c r="M1020" s="3" t="n">
        <v>2.182854</v>
      </c>
      <c r="N1020" s="3" t="n">
        <v>2.133746</v>
      </c>
      <c r="O1020" s="3" t="n">
        <v>3.275011</v>
      </c>
      <c r="P1020" s="3" t="n">
        <v>0.288821</v>
      </c>
      <c r="Q1020" s="3" t="n">
        <v>1.622571</v>
      </c>
      <c r="R1020" s="3" t="n">
        <v>2.712946</v>
      </c>
      <c r="S1020" s="3" t="n">
        <v>2.496607</v>
      </c>
      <c r="T1020" s="3" t="n">
        <v>1.351396</v>
      </c>
      <c r="U1020" s="3" t="n">
        <v>0.432942</v>
      </c>
      <c r="V1020" s="3" t="n">
        <v>0.193501</v>
      </c>
      <c r="W1020" s="3" t="n">
        <v>0.233898</v>
      </c>
      <c r="X1020" s="3" t="n">
        <v>1.538198</v>
      </c>
      <c r="Y1020" s="3" t="n">
        <v>1.755255</v>
      </c>
      <c r="Z1020" s="3" t="n">
        <v>1.196606</v>
      </c>
      <c r="AA1020" s="3" t="n">
        <v>0.251848</v>
      </c>
      <c r="AB1020" s="3" t="n">
        <v>2.5867</v>
      </c>
      <c r="AC1020" s="3" t="n">
        <v>8.384682</v>
      </c>
      <c r="AD1020" s="3" t="n">
        <v>5.420647</v>
      </c>
      <c r="AE1020" s="3" t="n">
        <v>2.366225</v>
      </c>
      <c r="AF1020" s="3" t="n">
        <v>2.129398</v>
      </c>
      <c r="AG1020" s="3" t="n">
        <v>2.635318</v>
      </c>
      <c r="AH1020" s="3" t="n">
        <v>2.241252</v>
      </c>
      <c r="AI1020" s="3" t="n">
        <v>2.149254</v>
      </c>
      <c r="AJ1020" s="3" t="n">
        <v>2.046938</v>
      </c>
      <c r="AK1020" s="3" t="n">
        <v>2.046954</v>
      </c>
      <c r="AL1020" s="3" t="n">
        <v>2.001731</v>
      </c>
      <c r="AM1020" s="3" t="n"/>
      <c r="AN1020" s="3" t="n"/>
      <c r="AO1020" s="3" t="n"/>
      <c r="AP1020" s="3" t="n"/>
      <c r="AQ1020" s="3" t="n"/>
      <c r="AR1020" s="3" t="n"/>
      <c r="AS1020" s="3" t="n"/>
      <c r="AT1020" s="3" t="n"/>
      <c r="AU1020" s="3" t="n"/>
    </row>
    <row r="1021">
      <c r="A1021" s="3" t="n">
        <v>2025</v>
      </c>
      <c r="B1021" s="3" t="inlineStr">
        <is>
          <t>G16</t>
        </is>
      </c>
      <c r="C1021" s="3" t="inlineStr">
        <is>
          <t>IMF.STA:ER</t>
        </is>
      </c>
      <c r="D1021" s="3" t="inlineStr">
        <is>
          <t>G163.XDC_USD.PA_RT.A</t>
        </is>
      </c>
      <c r="E1021" s="3" t="inlineStr">
        <is>
          <t>Euro Area (EA)</t>
        </is>
      </c>
      <c r="F1021" s="3" t="inlineStr">
        <is>
          <t>Domestic currency per US Dollar</t>
        </is>
      </c>
      <c r="G1021" s="3" t="n">
        <v>1.08270508132602</v>
      </c>
      <c r="H1021" s="3" t="n">
        <v>1.11653308564462</v>
      </c>
      <c r="I1021" s="3" t="n">
        <v>1.05755899623964</v>
      </c>
      <c r="J1021" s="3" t="n">
        <v>0.88404792718493</v>
      </c>
      <c r="K1021" s="3" t="n">
        <v>0.803921647747617</v>
      </c>
      <c r="L1021" s="3" t="n">
        <v>0.8038001921614421</v>
      </c>
      <c r="M1021" s="3" t="n">
        <v>0.7964327309491021</v>
      </c>
      <c r="N1021" s="3" t="n">
        <v>0.729672399984083</v>
      </c>
      <c r="O1021" s="3" t="n">
        <v>0.679922680042728</v>
      </c>
      <c r="P1021" s="3" t="n">
        <v>0.716957702016135</v>
      </c>
      <c r="Q1021" s="3" t="n">
        <v>0.754308990105961</v>
      </c>
      <c r="R1021" s="3" t="n">
        <v>0.718413898653317</v>
      </c>
      <c r="S1021" s="3" t="n">
        <v>0.7783381204168121</v>
      </c>
      <c r="T1021" s="3" t="n">
        <v>0.752945122701996</v>
      </c>
      <c r="U1021" s="3" t="n">
        <v>0.752728196932602</v>
      </c>
      <c r="V1021" s="3" t="n">
        <v>0.901296423367095</v>
      </c>
      <c r="W1021" s="3" t="n">
        <v>0.903421436257263</v>
      </c>
      <c r="X1021" s="3" t="n">
        <v>0.8852055082693721</v>
      </c>
      <c r="Y1021" s="3" t="n">
        <v>0.8467726671081101</v>
      </c>
      <c r="Z1021" s="3" t="n">
        <v>0.893276257067408</v>
      </c>
      <c r="AA1021" s="3" t="n">
        <v>0.875506396987998</v>
      </c>
      <c r="AB1021" s="3" t="n">
        <v>0.84549413889045</v>
      </c>
      <c r="AC1021" s="3" t="n">
        <v>0.94962375315694</v>
      </c>
      <c r="AD1021" s="3" t="n">
        <v>0.924839558470697</v>
      </c>
      <c r="AE1021" s="3" t="n">
        <v>0.923889546117606</v>
      </c>
      <c r="AF1021" s="3" t="n">
        <v>0.88496895841236</v>
      </c>
      <c r="AG1021" s="3" t="n"/>
      <c r="AH1021" s="3" t="n"/>
      <c r="AI1021" s="3" t="n"/>
      <c r="AJ1021" s="3" t="n"/>
      <c r="AK1021" s="3" t="n"/>
      <c r="AL1021" s="3" t="n"/>
      <c r="AM1021" s="3" t="n"/>
      <c r="AN1021" s="3" t="n"/>
      <c r="AO1021" s="3" t="n"/>
      <c r="AP1021" s="3" t="n"/>
      <c r="AQ1021" s="3" t="n"/>
      <c r="AR1021" s="3" t="n"/>
      <c r="AS1021" s="3" t="n"/>
      <c r="AT1021" s="3" t="n"/>
      <c r="AU1021" s="3" t="n"/>
    </row>
    <row r="1022">
      <c r="A1022" s="3" t="n">
        <v>2031</v>
      </c>
      <c r="B1022" s="3" t="inlineStr">
        <is>
          <t>G20</t>
        </is>
      </c>
      <c r="C1022" s="3" t="inlineStr">
        <is>
          <t>IMF.RES:WEO</t>
        </is>
      </c>
      <c r="D1022" s="3" t="inlineStr">
        <is>
          <t>G200.BCA.A</t>
        </is>
      </c>
      <c r="E1022" s="3" t="inlineStr">
        <is>
          <t>Emerging Market and Developing Economies</t>
        </is>
      </c>
      <c r="F1022" s="3" t="inlineStr">
        <is>
          <t>Current account balance (credit less debit), US dollar</t>
        </is>
      </c>
      <c r="G1022" s="3" t="n">
        <v>89.814137</v>
      </c>
      <c r="H1022" s="3" t="n">
        <v>50.897387</v>
      </c>
      <c r="I1022" s="3" t="n">
        <v>89.43661299999999</v>
      </c>
      <c r="J1022" s="3" t="n">
        <v>157.716429</v>
      </c>
      <c r="K1022" s="3" t="n">
        <v>235.566322</v>
      </c>
      <c r="L1022" s="3" t="n">
        <v>454.889963</v>
      </c>
      <c r="M1022" s="3" t="n">
        <v>646.559004</v>
      </c>
      <c r="N1022" s="3" t="n">
        <v>635.78786</v>
      </c>
      <c r="O1022" s="3" t="n">
        <v>699.9864710000001</v>
      </c>
      <c r="P1022" s="3" t="n">
        <v>262.711514</v>
      </c>
      <c r="Q1022" s="3" t="n">
        <v>294.086154</v>
      </c>
      <c r="R1022" s="3" t="n">
        <v>369.094675</v>
      </c>
      <c r="S1022" s="3" t="n">
        <v>342.496377</v>
      </c>
      <c r="T1022" s="3" t="n">
        <v>185.821885</v>
      </c>
      <c r="U1022" s="3" t="n">
        <v>163.924889</v>
      </c>
      <c r="V1022" s="3" t="n">
        <v>-80.92716299999999</v>
      </c>
      <c r="W1022" s="3" t="n">
        <v>-109.101712</v>
      </c>
      <c r="X1022" s="3" t="n">
        <v>-21.628386</v>
      </c>
      <c r="Y1022" s="3" t="n">
        <v>-45.725069</v>
      </c>
      <c r="Z1022" s="3" t="n">
        <v>12.951175</v>
      </c>
      <c r="AA1022" s="3" t="n">
        <v>152.384724</v>
      </c>
      <c r="AB1022" s="3" t="n">
        <v>375.367867</v>
      </c>
      <c r="AC1022" s="3" t="n">
        <v>682.4520680000001</v>
      </c>
      <c r="AD1022" s="3" t="n">
        <v>288.562186</v>
      </c>
      <c r="AE1022" s="3" t="n">
        <v>420.965759</v>
      </c>
      <c r="AF1022" s="3" t="n">
        <v>601.011615</v>
      </c>
      <c r="AG1022" s="3" t="n">
        <v>529.8285080000001</v>
      </c>
      <c r="AH1022" s="3" t="n">
        <v>457.775781</v>
      </c>
      <c r="AI1022" s="3" t="n">
        <v>416.065849</v>
      </c>
      <c r="AJ1022" s="3" t="n">
        <v>410.961176</v>
      </c>
      <c r="AK1022" s="3" t="n">
        <v>393.961384</v>
      </c>
      <c r="AL1022" s="3" t="n">
        <v>377.697459</v>
      </c>
      <c r="AM1022" s="3" t="n"/>
      <c r="AN1022" s="3" t="n"/>
      <c r="AO1022" s="3" t="n"/>
      <c r="AP1022" s="3" t="n"/>
      <c r="AQ1022" s="3" t="n"/>
      <c r="AR1022" s="3" t="n"/>
      <c r="AS1022" s="3" t="n"/>
      <c r="AT1022" s="3" t="n"/>
      <c r="AU1022" s="3" t="n"/>
    </row>
    <row r="1023">
      <c r="A1023" s="3" t="n">
        <v>2031</v>
      </c>
      <c r="B1023" s="3" t="inlineStr">
        <is>
          <t>G20</t>
        </is>
      </c>
      <c r="C1023" s="3" t="inlineStr">
        <is>
          <t>IMF.RES:WEO</t>
        </is>
      </c>
      <c r="D1023" s="3" t="inlineStr">
        <is>
          <t>G200.BCA_NGDPD.A</t>
        </is>
      </c>
      <c r="E1023" s="3" t="inlineStr">
        <is>
          <t>Emerging Market and Developing Economies</t>
        </is>
      </c>
      <c r="F1023" s="3" t="inlineStr">
        <is>
          <t>Current account balance (credit less debit), Percent of GDP</t>
        </is>
      </c>
      <c r="G1023" s="3" t="n">
        <v>1.242459</v>
      </c>
      <c r="H1023" s="3" t="n">
        <v>0.698691</v>
      </c>
      <c r="I1023" s="3" t="n">
        <v>1.239872</v>
      </c>
      <c r="J1023" s="3" t="n">
        <v>1.940513</v>
      </c>
      <c r="K1023" s="3" t="n">
        <v>2.440373</v>
      </c>
      <c r="L1023" s="3" t="n">
        <v>3.942192</v>
      </c>
      <c r="M1023" s="3" t="n">
        <v>4.730722</v>
      </c>
      <c r="N1023" s="3" t="n">
        <v>3.772358</v>
      </c>
      <c r="O1023" s="3" t="n">
        <v>3.456883</v>
      </c>
      <c r="P1023" s="3" t="n">
        <v>1.358295</v>
      </c>
      <c r="Q1023" s="3" t="n">
        <v>1.263923</v>
      </c>
      <c r="R1023" s="3" t="n">
        <v>1.345042</v>
      </c>
      <c r="S1023" s="3" t="n">
        <v>1.176375</v>
      </c>
      <c r="T1023" s="3" t="n">
        <v>0.600957</v>
      </c>
      <c r="U1023" s="3" t="n">
        <v>0.512736</v>
      </c>
      <c r="V1023" s="3" t="n">
        <v>-0.269429</v>
      </c>
      <c r="W1023" s="3" t="n">
        <v>-0.363352</v>
      </c>
      <c r="X1023" s="3" t="n">
        <v>-0.065844</v>
      </c>
      <c r="Y1023" s="3" t="n">
        <v>-0.130428</v>
      </c>
      <c r="Z1023" s="3" t="n">
        <v>0.036162</v>
      </c>
      <c r="AA1023" s="3" t="n">
        <v>0.443469</v>
      </c>
      <c r="AB1023" s="3" t="n">
        <v>0.927952</v>
      </c>
      <c r="AC1023" s="3" t="n">
        <v>1.575675</v>
      </c>
      <c r="AD1023" s="3" t="n">
        <v>0.648667</v>
      </c>
      <c r="AE1023" s="3" t="n">
        <v>0.9108579999999999</v>
      </c>
      <c r="AF1023" s="3" t="n">
        <v>1.231864</v>
      </c>
      <c r="AG1023" s="3" t="n">
        <v>1.009551</v>
      </c>
      <c r="AH1023" s="3" t="n">
        <v>0.831495</v>
      </c>
      <c r="AI1023" s="3" t="n">
        <v>0.71282</v>
      </c>
      <c r="AJ1023" s="3" t="n">
        <v>0.663016</v>
      </c>
      <c r="AK1023" s="3" t="n">
        <v>0.599772</v>
      </c>
      <c r="AL1023" s="3" t="n">
        <v>0.542575</v>
      </c>
      <c r="AM1023" s="3" t="n"/>
      <c r="AN1023" s="3" t="n"/>
      <c r="AO1023" s="3" t="n"/>
      <c r="AP1023" s="3" t="n"/>
      <c r="AQ1023" s="3" t="n"/>
      <c r="AR1023" s="3" t="n"/>
      <c r="AS1023" s="3" t="n"/>
      <c r="AT1023" s="3" t="n"/>
      <c r="AU1023" s="3" t="n"/>
    </row>
    <row r="1024">
      <c r="A1024" s="3" t="n">
        <v>2031</v>
      </c>
      <c r="B1024" s="3" t="inlineStr">
        <is>
          <t>G20</t>
        </is>
      </c>
      <c r="C1024" s="3" t="inlineStr">
        <is>
          <t>IMF.RES:WEO</t>
        </is>
      </c>
      <c r="D1024" s="3" t="inlineStr">
        <is>
          <t>G200.GGR_NGDP.A</t>
        </is>
      </c>
      <c r="E1024" s="3" t="inlineStr">
        <is>
          <t>Emerging Market and Developing Economies</t>
        </is>
      </c>
      <c r="F1024" s="3" t="inlineStr">
        <is>
          <t>Revenue, General government, Percent of GDP</t>
        </is>
      </c>
      <c r="G1024" s="3" t="n">
        <v>21.360188</v>
      </c>
      <c r="H1024" s="3" t="n">
        <v>22.332893</v>
      </c>
      <c r="I1024" s="3" t="n">
        <v>22.570522</v>
      </c>
      <c r="J1024" s="3" t="n">
        <v>23.015062</v>
      </c>
      <c r="K1024" s="3" t="n">
        <v>23.999946</v>
      </c>
      <c r="L1024" s="3" t="n">
        <v>25.722625</v>
      </c>
      <c r="M1024" s="3" t="n">
        <v>26.376872</v>
      </c>
      <c r="N1024" s="3" t="n">
        <v>26.399889</v>
      </c>
      <c r="O1024" s="3" t="n">
        <v>28.39373</v>
      </c>
      <c r="P1024" s="3" t="n">
        <v>25.688457</v>
      </c>
      <c r="Q1024" s="3" t="n">
        <v>26.212748</v>
      </c>
      <c r="R1024" s="3" t="n">
        <v>27.710814</v>
      </c>
      <c r="S1024" s="3" t="n">
        <v>28.191421</v>
      </c>
      <c r="T1024" s="3" t="n">
        <v>27.659707</v>
      </c>
      <c r="U1024" s="3" t="n">
        <v>27.065774</v>
      </c>
      <c r="V1024" s="3" t="n">
        <v>26.223122</v>
      </c>
      <c r="W1024" s="3" t="n">
        <v>25.891594</v>
      </c>
      <c r="X1024" s="3" t="n">
        <v>26.218483</v>
      </c>
      <c r="Y1024" s="3" t="n">
        <v>26.707692</v>
      </c>
      <c r="Z1024" s="3" t="n">
        <v>26.219186</v>
      </c>
      <c r="AA1024" s="3" t="n">
        <v>24.416517</v>
      </c>
      <c r="AB1024" s="3" t="n">
        <v>25.397419</v>
      </c>
      <c r="AC1024" s="3" t="n">
        <v>25.627416</v>
      </c>
      <c r="AD1024" s="3" t="n">
        <v>25.877632</v>
      </c>
      <c r="AE1024" s="3" t="n">
        <v>26.034904</v>
      </c>
      <c r="AF1024" s="3" t="n">
        <v>25.680345</v>
      </c>
      <c r="AG1024" s="3" t="n">
        <v>25.69104</v>
      </c>
      <c r="AH1024" s="3" t="n">
        <v>25.687121</v>
      </c>
      <c r="AI1024" s="3" t="n">
        <v>25.668845</v>
      </c>
      <c r="AJ1024" s="3" t="n">
        <v>25.670569</v>
      </c>
      <c r="AK1024" s="3" t="n">
        <v>25.674398</v>
      </c>
      <c r="AL1024" s="3" t="n">
        <v>25.62753</v>
      </c>
      <c r="AM1024" s="3" t="n"/>
      <c r="AN1024" s="3" t="n"/>
      <c r="AO1024" s="3" t="n"/>
      <c r="AP1024" s="3" t="n"/>
      <c r="AQ1024" s="3" t="n"/>
      <c r="AR1024" s="3" t="n"/>
      <c r="AS1024" s="3" t="n"/>
      <c r="AT1024" s="3" t="n"/>
      <c r="AU1024" s="3" t="n"/>
    </row>
    <row r="1025">
      <c r="A1025" s="3" t="n">
        <v>2031</v>
      </c>
      <c r="B1025" s="3" t="inlineStr">
        <is>
          <t>G20</t>
        </is>
      </c>
      <c r="C1025" s="3" t="inlineStr">
        <is>
          <t>IMF.RES:WEO</t>
        </is>
      </c>
      <c r="D1025" s="3" t="inlineStr">
        <is>
          <t>G200.GGX_NGDP.A</t>
        </is>
      </c>
      <c r="E1025" s="3" t="inlineStr">
        <is>
          <t>Emerging Market and Developing Economies</t>
        </is>
      </c>
      <c r="F1025" s="3" t="inlineStr">
        <is>
          <t>Expenditure, General government, Percent of GDP</t>
        </is>
      </c>
      <c r="G1025" s="3" t="n">
        <v>22.61132</v>
      </c>
      <c r="H1025" s="3" t="n">
        <v>25.1588</v>
      </c>
      <c r="I1025" s="3" t="n">
        <v>25.89292</v>
      </c>
      <c r="J1025" s="3" t="n">
        <v>25.646728</v>
      </c>
      <c r="K1025" s="3" t="n">
        <v>25.052465</v>
      </c>
      <c r="L1025" s="3" t="n">
        <v>25.197699</v>
      </c>
      <c r="M1025" s="3" t="n">
        <v>25.418831</v>
      </c>
      <c r="N1025" s="3" t="n">
        <v>25.761445</v>
      </c>
      <c r="O1025" s="3" t="n">
        <v>27.717201</v>
      </c>
      <c r="P1025" s="3" t="n">
        <v>29.422583</v>
      </c>
      <c r="Q1025" s="3" t="n">
        <v>28.439366</v>
      </c>
      <c r="R1025" s="3" t="n">
        <v>28.612694</v>
      </c>
      <c r="S1025" s="3" t="n">
        <v>29.097014</v>
      </c>
      <c r="T1025" s="3" t="n">
        <v>29.291165</v>
      </c>
      <c r="U1025" s="3" t="n">
        <v>29.378627</v>
      </c>
      <c r="V1025" s="3" t="n">
        <v>30.179327</v>
      </c>
      <c r="W1025" s="3" t="n">
        <v>30.184522</v>
      </c>
      <c r="X1025" s="3" t="n">
        <v>29.966773</v>
      </c>
      <c r="Y1025" s="3" t="n">
        <v>30.129179</v>
      </c>
      <c r="Z1025" s="3" t="n">
        <v>30.558309</v>
      </c>
      <c r="AA1025" s="3" t="n">
        <v>32.81759</v>
      </c>
      <c r="AB1025" s="3" t="n">
        <v>30.337803</v>
      </c>
      <c r="AC1025" s="3" t="n">
        <v>30.425958</v>
      </c>
      <c r="AD1025" s="3" t="n">
        <v>31.066061</v>
      </c>
      <c r="AE1025" s="3" t="n">
        <v>31.402018</v>
      </c>
      <c r="AF1025" s="3" t="n">
        <v>31.579228</v>
      </c>
      <c r="AG1025" s="3" t="n">
        <v>31.512068</v>
      </c>
      <c r="AH1025" s="3" t="n">
        <v>31.441913</v>
      </c>
      <c r="AI1025" s="3" t="n">
        <v>31.22045</v>
      </c>
      <c r="AJ1025" s="3" t="n">
        <v>30.987436</v>
      </c>
      <c r="AK1025" s="3" t="n">
        <v>30.914853</v>
      </c>
      <c r="AL1025" s="3" t="n">
        <v>30.862402</v>
      </c>
      <c r="AM1025" s="3" t="n"/>
      <c r="AN1025" s="3" t="n"/>
      <c r="AO1025" s="3" t="n"/>
      <c r="AP1025" s="3" t="n"/>
      <c r="AQ1025" s="3" t="n"/>
      <c r="AR1025" s="3" t="n"/>
      <c r="AS1025" s="3" t="n"/>
      <c r="AT1025" s="3" t="n"/>
      <c r="AU1025" s="3" t="n"/>
    </row>
    <row r="1026">
      <c r="A1026" s="3" t="n">
        <v>2031</v>
      </c>
      <c r="B1026" s="3" t="inlineStr">
        <is>
          <t>G20</t>
        </is>
      </c>
      <c r="C1026" s="3" t="inlineStr">
        <is>
          <t>IMF.RES:WEO</t>
        </is>
      </c>
      <c r="D1026" s="3" t="inlineStr">
        <is>
          <t>G200.NGDP_RPCH.A</t>
        </is>
      </c>
      <c r="E1026" s="3" t="inlineStr">
        <is>
          <t>Emerging Market and Developing Economies</t>
        </is>
      </c>
      <c r="F1026" s="3" t="inlineStr">
        <is>
          <t>Gross domestic product (GDP), Constant prices, Percent change</t>
        </is>
      </c>
      <c r="G1026" s="3" t="n">
        <v>5.657049</v>
      </c>
      <c r="H1026" s="3" t="n">
        <v>3.745341</v>
      </c>
      <c r="I1026" s="3" t="n">
        <v>4.414147</v>
      </c>
      <c r="J1026" s="3" t="n">
        <v>6.095828</v>
      </c>
      <c r="K1026" s="3" t="n">
        <v>7.760751</v>
      </c>
      <c r="L1026" s="3" t="n">
        <v>6.924701</v>
      </c>
      <c r="M1026" s="3" t="n">
        <v>7.772842</v>
      </c>
      <c r="N1026" s="3" t="n">
        <v>8.131602000000001</v>
      </c>
      <c r="O1026" s="3" t="n">
        <v>5.595543</v>
      </c>
      <c r="P1026" s="3" t="n">
        <v>2.592149</v>
      </c>
      <c r="Q1026" s="3" t="n">
        <v>7.258672</v>
      </c>
      <c r="R1026" s="3" t="n">
        <v>6.245221</v>
      </c>
      <c r="S1026" s="3" t="n">
        <v>5.297828</v>
      </c>
      <c r="T1026" s="3" t="n">
        <v>4.970605</v>
      </c>
      <c r="U1026" s="3" t="n">
        <v>4.703183</v>
      </c>
      <c r="V1026" s="3" t="n">
        <v>4.280121</v>
      </c>
      <c r="W1026" s="3" t="n">
        <v>4.314112</v>
      </c>
      <c r="X1026" s="3" t="n">
        <v>4.792706</v>
      </c>
      <c r="Y1026" s="3" t="n">
        <v>4.637692</v>
      </c>
      <c r="Z1026" s="3" t="n">
        <v>3.766044</v>
      </c>
      <c r="AA1026" s="3" t="n">
        <v>-1.823651</v>
      </c>
      <c r="AB1026" s="3" t="n">
        <v>7.034571</v>
      </c>
      <c r="AC1026" s="3" t="n">
        <v>4.278694</v>
      </c>
      <c r="AD1026" s="3" t="n">
        <v>4.439993</v>
      </c>
      <c r="AE1026" s="3" t="n">
        <v>4.46802</v>
      </c>
      <c r="AF1026" s="3" t="n">
        <v>4.421791</v>
      </c>
      <c r="AG1026" s="3" t="n">
        <v>3.872822</v>
      </c>
      <c r="AH1026" s="3" t="n">
        <v>4.174046</v>
      </c>
      <c r="AI1026" s="3" t="n">
        <v>4.150108</v>
      </c>
      <c r="AJ1026" s="3" t="n">
        <v>4.082004</v>
      </c>
      <c r="AK1026" s="3" t="n">
        <v>3.967369</v>
      </c>
      <c r="AL1026" s="3" t="n">
        <v>3.95603</v>
      </c>
      <c r="AM1026" s="3" t="n"/>
      <c r="AN1026" s="3" t="n"/>
      <c r="AO1026" s="3" t="n"/>
      <c r="AP1026" s="3" t="n"/>
      <c r="AQ1026" s="3" t="n"/>
      <c r="AR1026" s="3" t="n"/>
      <c r="AS1026" s="3" t="n"/>
      <c r="AT1026" s="3" t="n"/>
      <c r="AU1026" s="3" t="n"/>
    </row>
    <row r="1027">
      <c r="A1027" s="3" t="n">
        <v>2031</v>
      </c>
      <c r="B1027" s="3" t="inlineStr">
        <is>
          <t>G20</t>
        </is>
      </c>
      <c r="C1027" s="3" t="inlineStr">
        <is>
          <t>IMF.RES:WEO</t>
        </is>
      </c>
      <c r="D1027" s="3" t="inlineStr">
        <is>
          <t>G200.NGDPD.A</t>
        </is>
      </c>
      <c r="E1027" s="3" t="inlineStr">
        <is>
          <t>Emerging Market and Developing Economies</t>
        </is>
      </c>
      <c r="F1027" s="3" t="inlineStr">
        <is>
          <t>Gross domestic product (GDP), Current prices, US dollar</t>
        </is>
      </c>
      <c r="G1027" s="3" t="n">
        <v>7284.043535</v>
      </c>
      <c r="H1027" s="3" t="n">
        <v>7311.490611</v>
      </c>
      <c r="I1027" s="3" t="n">
        <v>7232.733069</v>
      </c>
      <c r="J1027" s="3" t="n">
        <v>8146.986543</v>
      </c>
      <c r="K1027" s="3" t="n">
        <v>9676.508554</v>
      </c>
      <c r="L1027" s="3" t="n">
        <v>11569.213495</v>
      </c>
      <c r="M1027" s="3" t="n">
        <v>13702.096068</v>
      </c>
      <c r="N1027" s="3" t="n">
        <v>16883.162763</v>
      </c>
      <c r="O1027" s="3" t="n">
        <v>20286.111159</v>
      </c>
      <c r="P1027" s="3" t="n">
        <v>19379.486688</v>
      </c>
      <c r="Q1027" s="3" t="n">
        <v>23315.258051</v>
      </c>
      <c r="R1027" s="3" t="n">
        <v>27502.11427</v>
      </c>
      <c r="S1027" s="3" t="n">
        <v>29123.480762</v>
      </c>
      <c r="T1027" s="3" t="n">
        <v>30924.817011</v>
      </c>
      <c r="U1027" s="3" t="n">
        <v>31970.599736</v>
      </c>
      <c r="V1027" s="3" t="n">
        <v>30036.511514</v>
      </c>
      <c r="W1027" s="3" t="n">
        <v>30026.478949</v>
      </c>
      <c r="X1027" s="3" t="n">
        <v>32848.167784</v>
      </c>
      <c r="Y1027" s="3" t="n">
        <v>35057.593157</v>
      </c>
      <c r="Z1027" s="3" t="n">
        <v>35814.511199</v>
      </c>
      <c r="AA1027" s="3" t="n">
        <v>34361.994388</v>
      </c>
      <c r="AB1027" s="3" t="n">
        <v>40451.206779</v>
      </c>
      <c r="AC1027" s="3" t="n">
        <v>43311.737308</v>
      </c>
      <c r="AD1027" s="3" t="n">
        <v>44485.387911</v>
      </c>
      <c r="AE1027" s="3" t="n">
        <v>46216.382445</v>
      </c>
      <c r="AF1027" s="3" t="n">
        <v>48788.795628</v>
      </c>
      <c r="AG1027" s="3" t="n">
        <v>52481.61022</v>
      </c>
      <c r="AH1027" s="3" t="n">
        <v>55054.551156</v>
      </c>
      <c r="AI1027" s="3" t="n">
        <v>58368.973343</v>
      </c>
      <c r="AJ1027" s="3" t="n">
        <v>61983.601451</v>
      </c>
      <c r="AK1027" s="3" t="n">
        <v>65685.239461</v>
      </c>
      <c r="AL1027" s="3" t="n">
        <v>69612.075747</v>
      </c>
      <c r="AM1027" s="3" t="n"/>
      <c r="AN1027" s="3" t="n"/>
      <c r="AO1027" s="3" t="n"/>
      <c r="AP1027" s="3" t="n"/>
      <c r="AQ1027" s="3" t="n"/>
      <c r="AR1027" s="3" t="n"/>
      <c r="AS1027" s="3" t="n"/>
      <c r="AT1027" s="3" t="n"/>
      <c r="AU1027" s="3" t="n"/>
    </row>
    <row r="1028">
      <c r="A1028" s="3" t="n">
        <v>2031</v>
      </c>
      <c r="B1028" s="3" t="inlineStr">
        <is>
          <t>G20</t>
        </is>
      </c>
      <c r="C1028" s="3" t="inlineStr">
        <is>
          <t>IMF.RES:WEO</t>
        </is>
      </c>
      <c r="D1028" s="3" t="inlineStr">
        <is>
          <t>G200.PCPIPCH.A</t>
        </is>
      </c>
      <c r="E1028" s="3" t="inlineStr">
        <is>
          <t>Emerging Market and Developing Economies</t>
        </is>
      </c>
      <c r="F1028" s="3" t="inlineStr">
        <is>
          <t>All Items, Consumer price index (CPI), Period average, percent change</t>
        </is>
      </c>
      <c r="G1028" s="3" t="n">
        <v>9.091405</v>
      </c>
      <c r="H1028" s="3" t="n">
        <v>8.408995000000001</v>
      </c>
      <c r="I1028" s="3" t="n">
        <v>6.869188</v>
      </c>
      <c r="J1028" s="3" t="n">
        <v>6.719419</v>
      </c>
      <c r="K1028" s="3" t="n">
        <v>6.064785</v>
      </c>
      <c r="L1028" s="3" t="n">
        <v>6.066022</v>
      </c>
      <c r="M1028" s="3" t="n">
        <v>5.799966</v>
      </c>
      <c r="N1028" s="3" t="n">
        <v>6.472828</v>
      </c>
      <c r="O1028" s="3" t="n">
        <v>9.330479</v>
      </c>
      <c r="P1028" s="3" t="n">
        <v>5.176198</v>
      </c>
      <c r="Q1028" s="3" t="n">
        <v>5.677252</v>
      </c>
      <c r="R1028" s="3" t="n">
        <v>7.092371</v>
      </c>
      <c r="S1028" s="3" t="n">
        <v>5.842718</v>
      </c>
      <c r="T1028" s="3" t="n">
        <v>5.469619</v>
      </c>
      <c r="U1028" s="3" t="n">
        <v>4.732488</v>
      </c>
      <c r="V1028" s="3" t="n">
        <v>4.75617</v>
      </c>
      <c r="W1028" s="3" t="n">
        <v>4.347662</v>
      </c>
      <c r="X1028" s="3" t="n">
        <v>4.492156</v>
      </c>
      <c r="Y1028" s="3" t="n">
        <v>4.931199</v>
      </c>
      <c r="Z1028" s="3" t="n">
        <v>5.18196</v>
      </c>
      <c r="AA1028" s="3" t="n">
        <v>5.276186</v>
      </c>
      <c r="AB1028" s="3" t="n">
        <v>5.879082</v>
      </c>
      <c r="AC1028" s="3" t="n">
        <v>9.66133</v>
      </c>
      <c r="AD1028" s="3" t="n">
        <v>8.230638000000001</v>
      </c>
      <c r="AE1028" s="3" t="n">
        <v>7.967457</v>
      </c>
      <c r="AF1028" s="3" t="n">
        <v>5.217392</v>
      </c>
      <c r="AG1028" s="3" t="n">
        <v>5.472051</v>
      </c>
      <c r="AH1028" s="3" t="n">
        <v>4.590915</v>
      </c>
      <c r="AI1028" s="3" t="n">
        <v>4.136703</v>
      </c>
      <c r="AJ1028" s="3" t="n">
        <v>3.903618</v>
      </c>
      <c r="AK1028" s="3" t="n">
        <v>3.86621</v>
      </c>
      <c r="AL1028" s="3" t="n">
        <v>3.860286</v>
      </c>
      <c r="AM1028" s="3" t="n"/>
      <c r="AN1028" s="3" t="n"/>
      <c r="AO1028" s="3" t="n"/>
      <c r="AP1028" s="3" t="n"/>
      <c r="AQ1028" s="3" t="n"/>
      <c r="AR1028" s="3" t="n"/>
      <c r="AS1028" s="3" t="n"/>
      <c r="AT1028" s="3" t="n"/>
      <c r="AU1028" s="3" t="n"/>
    </row>
    <row r="1029">
      <c r="A1029" s="3" t="n">
        <v>2031</v>
      </c>
      <c r="B1029" s="3" t="inlineStr">
        <is>
          <t>G20</t>
        </is>
      </c>
      <c r="C1029" s="3" t="inlineStr">
        <is>
          <t>IMF.RES:WEO</t>
        </is>
      </c>
      <c r="D1029" s="3" t="inlineStr">
        <is>
          <t>G200.PPPPC.A</t>
        </is>
      </c>
      <c r="E1029" s="3" t="inlineStr">
        <is>
          <t>Emerging Market and Developing Economies</t>
        </is>
      </c>
      <c r="F1029" s="3" t="inlineStr">
        <is>
          <t>Gross domestic product (GDP), Per capita, purchasing power parity (PPP) international dollar, ICP benchmarks 2017-2021</t>
        </is>
      </c>
      <c r="G1029" s="3" t="n">
        <v>4151.639358</v>
      </c>
      <c r="H1029" s="3" t="n">
        <v>4335.722139</v>
      </c>
      <c r="I1029" s="3" t="n">
        <v>4514.270035</v>
      </c>
      <c r="J1029" s="3" t="n">
        <v>4811.722157</v>
      </c>
      <c r="K1029" s="3" t="n">
        <v>5243.356235</v>
      </c>
      <c r="L1029" s="3" t="n">
        <v>5698.372256</v>
      </c>
      <c r="M1029" s="3" t="n">
        <v>6239.231282</v>
      </c>
      <c r="N1029" s="3" t="n">
        <v>6827.324283</v>
      </c>
      <c r="O1029" s="3" t="n">
        <v>7242.547914</v>
      </c>
      <c r="P1029" s="3" t="n">
        <v>7347.552984</v>
      </c>
      <c r="Q1029" s="3" t="n">
        <v>7862.550317</v>
      </c>
      <c r="R1029" s="3" t="n">
        <v>8399.940054999999</v>
      </c>
      <c r="S1029" s="3" t="n">
        <v>8850.130424999999</v>
      </c>
      <c r="T1029" s="3" t="n">
        <v>9309.123380000001</v>
      </c>
      <c r="U1029" s="3" t="n">
        <v>9754.548951000001</v>
      </c>
      <c r="V1029" s="3" t="n">
        <v>10118.56685</v>
      </c>
      <c r="W1029" s="3" t="n">
        <v>10498.257409</v>
      </c>
      <c r="X1029" s="3" t="n">
        <v>11042.737164</v>
      </c>
      <c r="Y1029" s="3" t="n">
        <v>11764.431717</v>
      </c>
      <c r="Z1029" s="3" t="n">
        <v>12393.19409</v>
      </c>
      <c r="AA1029" s="3" t="n">
        <v>12327.281893</v>
      </c>
      <c r="AB1029" s="3" t="n">
        <v>13794.017994</v>
      </c>
      <c r="AC1029" s="3" t="n">
        <v>15247.908311</v>
      </c>
      <c r="AD1029" s="3" t="n">
        <v>16345.617517</v>
      </c>
      <c r="AE1029" s="3" t="n">
        <v>17317.386728</v>
      </c>
      <c r="AF1029" s="3" t="n">
        <v>18413.227078</v>
      </c>
      <c r="AG1029" s="3" t="n">
        <v>19587.863816</v>
      </c>
      <c r="AH1029" s="3" t="n">
        <v>20646.764808</v>
      </c>
      <c r="AI1029" s="3" t="n">
        <v>21642.279466</v>
      </c>
      <c r="AJ1029" s="3" t="n">
        <v>22706.214337</v>
      </c>
      <c r="AK1029" s="3" t="n">
        <v>23809.590168</v>
      </c>
      <c r="AL1029" s="3" t="n">
        <v>24952.876892</v>
      </c>
      <c r="AM1029" s="3" t="n"/>
      <c r="AN1029" s="3" t="n"/>
      <c r="AO1029" s="3" t="n"/>
      <c r="AP1029" s="3" t="n"/>
      <c r="AQ1029" s="3" t="n"/>
      <c r="AR1029" s="3" t="n"/>
      <c r="AS1029" s="3" t="n"/>
      <c r="AT1029" s="3" t="n"/>
      <c r="AU1029" s="3" t="n"/>
    </row>
    <row r="1030">
      <c r="A1030" s="3" t="n">
        <v>2031</v>
      </c>
      <c r="B1030" s="3" t="inlineStr">
        <is>
          <t>G20</t>
        </is>
      </c>
      <c r="C1030" s="3" t="inlineStr">
        <is>
          <t>IMF.RES:WEO</t>
        </is>
      </c>
      <c r="D1030" s="3" t="inlineStr">
        <is>
          <t>G205.BCA.A</t>
        </is>
      </c>
      <c r="E1030" s="3" t="inlineStr">
        <is>
          <t>Latin America and the Caribbean (LAC)</t>
        </is>
      </c>
      <c r="F1030" s="3" t="inlineStr">
        <is>
          <t>Current account balance (credit less debit), US dollar</t>
        </is>
      </c>
      <c r="G1030" s="3" t="n">
        <v>-49.404667</v>
      </c>
      <c r="H1030" s="3" t="n">
        <v>-53.911658</v>
      </c>
      <c r="I1030" s="3" t="n">
        <v>-16.098647</v>
      </c>
      <c r="J1030" s="3" t="n">
        <v>11.833289</v>
      </c>
      <c r="K1030" s="3" t="n">
        <v>22.896073</v>
      </c>
      <c r="L1030" s="3" t="n">
        <v>35.161014</v>
      </c>
      <c r="M1030" s="3" t="n">
        <v>50.14967</v>
      </c>
      <c r="N1030" s="3" t="n">
        <v>7.564237</v>
      </c>
      <c r="O1030" s="3" t="n">
        <v>-43.101672</v>
      </c>
      <c r="P1030" s="3" t="n">
        <v>-35.239211</v>
      </c>
      <c r="Q1030" s="3" t="n">
        <v>-107.145509</v>
      </c>
      <c r="R1030" s="3" t="n">
        <v>-124.76491</v>
      </c>
      <c r="S1030" s="3" t="n">
        <v>-158.439558</v>
      </c>
      <c r="T1030" s="3" t="n">
        <v>-181.033167</v>
      </c>
      <c r="U1030" s="3" t="n">
        <v>-197.822283</v>
      </c>
      <c r="V1030" s="3" t="n">
        <v>-180.814032</v>
      </c>
      <c r="W1030" s="3" t="n">
        <v>-108.884828</v>
      </c>
      <c r="X1030" s="3" t="n">
        <v>-98.471608</v>
      </c>
      <c r="Y1030" s="3" t="n">
        <v>-145.396053</v>
      </c>
      <c r="Z1030" s="3" t="n">
        <v>-107.354753</v>
      </c>
      <c r="AA1030" s="3" t="n">
        <v>-9.058730000000001</v>
      </c>
      <c r="AB1030" s="3" t="n">
        <v>-91.135991</v>
      </c>
      <c r="AC1030" s="3" t="n">
        <v>-129.412991</v>
      </c>
      <c r="AD1030" s="3" t="n">
        <v>-76.868892</v>
      </c>
      <c r="AE1030" s="3" t="n">
        <v>-74.191917</v>
      </c>
      <c r="AF1030" s="3" t="n">
        <v>-81.70247000000001</v>
      </c>
      <c r="AG1030" s="3" t="n">
        <v>-75.603025</v>
      </c>
      <c r="AH1030" s="3" t="n">
        <v>-89.214755</v>
      </c>
      <c r="AI1030" s="3" t="n">
        <v>-85.69128000000001</v>
      </c>
      <c r="AJ1030" s="3" t="n">
        <v>-91.623726</v>
      </c>
      <c r="AK1030" s="3" t="n">
        <v>-106.87128</v>
      </c>
      <c r="AL1030" s="3" t="n">
        <v>-114.183269</v>
      </c>
      <c r="AM1030" s="3" t="n"/>
      <c r="AN1030" s="3" t="n"/>
      <c r="AO1030" s="3" t="n"/>
      <c r="AP1030" s="3" t="n"/>
      <c r="AQ1030" s="3" t="n"/>
      <c r="AR1030" s="3" t="n"/>
      <c r="AS1030" s="3" t="n"/>
      <c r="AT1030" s="3" t="n"/>
      <c r="AU1030" s="3" t="n"/>
    </row>
    <row r="1031">
      <c r="A1031" s="3" t="n">
        <v>2031</v>
      </c>
      <c r="B1031" s="3" t="inlineStr">
        <is>
          <t>G20</t>
        </is>
      </c>
      <c r="C1031" s="3" t="inlineStr">
        <is>
          <t>IMF.RES:WEO</t>
        </is>
      </c>
      <c r="D1031" s="3" t="inlineStr">
        <is>
          <t>G205.BCA_NGDPD.A</t>
        </is>
      </c>
      <c r="E1031" s="3" t="inlineStr">
        <is>
          <t>Latin America and the Caribbean (LAC)</t>
        </is>
      </c>
      <c r="F1031" s="3" t="inlineStr">
        <is>
          <t>Current account balance (credit less debit), Percent of GDP</t>
        </is>
      </c>
      <c r="G1031" s="3" t="n">
        <v>-2.212461</v>
      </c>
      <c r="H1031" s="3" t="n">
        <v>-2.469866</v>
      </c>
      <c r="I1031" s="3" t="n">
        <v>-0.828852</v>
      </c>
      <c r="J1031" s="3" t="n">
        <v>0.59897</v>
      </c>
      <c r="K1031" s="3" t="n">
        <v>1.011536</v>
      </c>
      <c r="L1031" s="3" t="n">
        <v>1.280552</v>
      </c>
      <c r="M1031" s="3" t="n">
        <v>1.556035</v>
      </c>
      <c r="N1031" s="3" t="n">
        <v>0.197972</v>
      </c>
      <c r="O1031" s="3" t="n">
        <v>-0.970317</v>
      </c>
      <c r="P1031" s="3" t="n">
        <v>-0.8590410000000001</v>
      </c>
      <c r="Q1031" s="3" t="n">
        <v>-2.096185</v>
      </c>
      <c r="R1031" s="3" t="n">
        <v>-2.114575</v>
      </c>
      <c r="S1031" s="3" t="n">
        <v>-2.619277</v>
      </c>
      <c r="T1031" s="3" t="n">
        <v>-2.957938</v>
      </c>
      <c r="U1031" s="3" t="n">
        <v>-3.260435</v>
      </c>
      <c r="V1031" s="3" t="n">
        <v>-3.517699</v>
      </c>
      <c r="W1031" s="3" t="n">
        <v>-2.198919</v>
      </c>
      <c r="X1031" s="3" t="n">
        <v>-1.787692</v>
      </c>
      <c r="Y1031" s="3" t="n">
        <v>-2.707718</v>
      </c>
      <c r="Z1031" s="3" t="n">
        <v>-2.043155</v>
      </c>
      <c r="AA1031" s="3" t="n">
        <v>-0.205474</v>
      </c>
      <c r="AB1031" s="3" t="n">
        <v>-1.774106</v>
      </c>
      <c r="AC1031" s="3" t="n">
        <v>-2.203482</v>
      </c>
      <c r="AD1031" s="3" t="n">
        <v>-1.162084</v>
      </c>
      <c r="AE1031" s="3" t="n">
        <v>-1.094083</v>
      </c>
      <c r="AF1031" s="3" t="n">
        <v>-1.155232</v>
      </c>
      <c r="AG1031" s="3" t="n">
        <v>-0.944068</v>
      </c>
      <c r="AH1031" s="3" t="n">
        <v>-1.063493</v>
      </c>
      <c r="AI1031" s="3" t="n">
        <v>-0.9746359999999999</v>
      </c>
      <c r="AJ1031" s="3" t="n">
        <v>-0.990415</v>
      </c>
      <c r="AK1031" s="3" t="n">
        <v>-1.098933</v>
      </c>
      <c r="AL1031" s="3" t="n">
        <v>-1.116476</v>
      </c>
      <c r="AM1031" s="3" t="n"/>
      <c r="AN1031" s="3" t="n"/>
      <c r="AO1031" s="3" t="n"/>
      <c r="AP1031" s="3" t="n"/>
      <c r="AQ1031" s="3" t="n"/>
      <c r="AR1031" s="3" t="n"/>
      <c r="AS1031" s="3" t="n"/>
      <c r="AT1031" s="3" t="n"/>
      <c r="AU1031" s="3" t="n"/>
    </row>
    <row r="1032">
      <c r="A1032" s="3" t="n">
        <v>2031</v>
      </c>
      <c r="B1032" s="3" t="inlineStr">
        <is>
          <t>G20</t>
        </is>
      </c>
      <c r="C1032" s="3" t="inlineStr">
        <is>
          <t>IMF.RES:WEO</t>
        </is>
      </c>
      <c r="D1032" s="3" t="inlineStr">
        <is>
          <t>G205.GGR_NGDP.A</t>
        </is>
      </c>
      <c r="E1032" s="3" t="inlineStr">
        <is>
          <t>Latin America and the Caribbean (LAC)</t>
        </is>
      </c>
      <c r="F1032" s="3" t="inlineStr">
        <is>
          <t>Revenue, General government, Percent of GDP</t>
        </is>
      </c>
      <c r="G1032" s="3" t="n"/>
      <c r="H1032" s="3" t="n">
        <v>23.748525</v>
      </c>
      <c r="I1032" s="3" t="n">
        <v>24.833039</v>
      </c>
      <c r="J1032" s="3" t="n">
        <v>25.072468</v>
      </c>
      <c r="K1032" s="3" t="n">
        <v>26.040927</v>
      </c>
      <c r="L1032" s="3" t="n">
        <v>27.806187</v>
      </c>
      <c r="M1032" s="3" t="n">
        <v>28.462901</v>
      </c>
      <c r="N1032" s="3" t="n">
        <v>29.165472</v>
      </c>
      <c r="O1032" s="3" t="n">
        <v>30.836188</v>
      </c>
      <c r="P1032" s="3" t="n">
        <v>29.048873</v>
      </c>
      <c r="Q1032" s="3" t="n">
        <v>29.475954</v>
      </c>
      <c r="R1032" s="3" t="n">
        <v>30.593802</v>
      </c>
      <c r="S1032" s="3" t="n">
        <v>30.533348</v>
      </c>
      <c r="T1032" s="3" t="n">
        <v>30.00934</v>
      </c>
      <c r="U1032" s="3" t="n">
        <v>29.190864</v>
      </c>
      <c r="V1032" s="3" t="n">
        <v>29.245824</v>
      </c>
      <c r="W1032" s="3" t="n">
        <v>29.378987</v>
      </c>
      <c r="X1032" s="3" t="n">
        <v>29.051393</v>
      </c>
      <c r="Y1032" s="3" t="n">
        <v>28.953752</v>
      </c>
      <c r="Z1032" s="3" t="n">
        <v>29.250635</v>
      </c>
      <c r="AA1032" s="3" t="n">
        <v>27.267049</v>
      </c>
      <c r="AB1032" s="3" t="n">
        <v>28.708392</v>
      </c>
      <c r="AC1032" s="3" t="n">
        <v>30.114197</v>
      </c>
      <c r="AD1032" s="3" t="n">
        <v>29.211771</v>
      </c>
      <c r="AE1032" s="3" t="n">
        <v>29.464259</v>
      </c>
      <c r="AF1032" s="3" t="n">
        <v>29.316846</v>
      </c>
      <c r="AG1032" s="3" t="n">
        <v>29.897775</v>
      </c>
      <c r="AH1032" s="3" t="n">
        <v>29.798883</v>
      </c>
      <c r="AI1032" s="3" t="n">
        <v>29.904818</v>
      </c>
      <c r="AJ1032" s="3" t="n">
        <v>29.983473</v>
      </c>
      <c r="AK1032" s="3" t="n">
        <v>30.037848</v>
      </c>
      <c r="AL1032" s="3" t="n">
        <v>30.072794</v>
      </c>
      <c r="AM1032" s="3" t="n"/>
      <c r="AN1032" s="3" t="n"/>
      <c r="AO1032" s="3" t="n"/>
      <c r="AP1032" s="3" t="n"/>
      <c r="AQ1032" s="3" t="n"/>
      <c r="AR1032" s="3" t="n"/>
      <c r="AS1032" s="3" t="n"/>
      <c r="AT1032" s="3" t="n"/>
      <c r="AU1032" s="3" t="n"/>
    </row>
    <row r="1033">
      <c r="A1033" s="3" t="n">
        <v>2031</v>
      </c>
      <c r="B1033" s="3" t="inlineStr">
        <is>
          <t>G20</t>
        </is>
      </c>
      <c r="C1033" s="3" t="inlineStr">
        <is>
          <t>IMF.RES:WEO</t>
        </is>
      </c>
      <c r="D1033" s="3" t="inlineStr">
        <is>
          <t>G205.GGX_NGDP.A</t>
        </is>
      </c>
      <c r="E1033" s="3" t="inlineStr">
        <is>
          <t>Latin America and the Caribbean (LAC)</t>
        </is>
      </c>
      <c r="F1033" s="3" t="inlineStr">
        <is>
          <t>Expenditure, General government, Percent of GDP</t>
        </is>
      </c>
      <c r="G1033" s="3" t="n"/>
      <c r="H1033" s="3" t="n">
        <v>26.903333</v>
      </c>
      <c r="I1033" s="3" t="n">
        <v>27.528938</v>
      </c>
      <c r="J1033" s="3" t="n">
        <v>27.773577</v>
      </c>
      <c r="K1033" s="3" t="n">
        <v>27.155675</v>
      </c>
      <c r="L1033" s="3" t="n">
        <v>28.827346</v>
      </c>
      <c r="M1033" s="3" t="n">
        <v>30.16253</v>
      </c>
      <c r="N1033" s="3" t="n">
        <v>30.23179</v>
      </c>
      <c r="O1033" s="3" t="n">
        <v>31.941927</v>
      </c>
      <c r="P1033" s="3" t="n">
        <v>33.009935</v>
      </c>
      <c r="Q1033" s="3" t="n">
        <v>32.595456</v>
      </c>
      <c r="R1033" s="3" t="n">
        <v>33.277376</v>
      </c>
      <c r="S1033" s="3" t="n">
        <v>33.267989</v>
      </c>
      <c r="T1033" s="3" t="n">
        <v>33.342093</v>
      </c>
      <c r="U1033" s="3" t="n">
        <v>34.023439</v>
      </c>
      <c r="V1033" s="3" t="n">
        <v>35.125242</v>
      </c>
      <c r="W1033" s="3" t="n">
        <v>34.693045</v>
      </c>
      <c r="X1033" s="3" t="n">
        <v>34.143165</v>
      </c>
      <c r="Y1033" s="3" t="n">
        <v>33.903246</v>
      </c>
      <c r="Z1033" s="3" t="n">
        <v>32.9432</v>
      </c>
      <c r="AA1033" s="3" t="n">
        <v>35.364292</v>
      </c>
      <c r="AB1033" s="3" t="n">
        <v>32.564007</v>
      </c>
      <c r="AC1033" s="3" t="n">
        <v>33.685469</v>
      </c>
      <c r="AD1033" s="3" t="n">
        <v>34.294372</v>
      </c>
      <c r="AE1033" s="3" t="n">
        <v>34.106198</v>
      </c>
      <c r="AF1033" s="3" t="n">
        <v>34.403425</v>
      </c>
      <c r="AG1033" s="3" t="n">
        <v>34.562761</v>
      </c>
      <c r="AH1033" s="3" t="n">
        <v>33.834331</v>
      </c>
      <c r="AI1033" s="3" t="n">
        <v>33.380507</v>
      </c>
      <c r="AJ1033" s="3" t="n">
        <v>33.32087</v>
      </c>
      <c r="AK1033" s="3" t="n">
        <v>33.317055</v>
      </c>
      <c r="AL1033" s="3" t="n">
        <v>33.320896</v>
      </c>
      <c r="AM1033" s="3" t="n"/>
      <c r="AN1033" s="3" t="n"/>
      <c r="AO1033" s="3" t="n"/>
      <c r="AP1033" s="3" t="n"/>
      <c r="AQ1033" s="3" t="n"/>
      <c r="AR1033" s="3" t="n"/>
      <c r="AS1033" s="3" t="n"/>
      <c r="AT1033" s="3" t="n"/>
      <c r="AU1033" s="3" t="n"/>
    </row>
    <row r="1034">
      <c r="A1034" s="3" t="n">
        <v>2031</v>
      </c>
      <c r="B1034" s="3" t="inlineStr">
        <is>
          <t>G20</t>
        </is>
      </c>
      <c r="C1034" s="3" t="inlineStr">
        <is>
          <t>IMF.RES:WEO</t>
        </is>
      </c>
      <c r="D1034" s="3" t="inlineStr">
        <is>
          <t>G205.NGDP_RPCH.A</t>
        </is>
      </c>
      <c r="E1034" s="3" t="inlineStr">
        <is>
          <t>Latin America and the Caribbean (LAC)</t>
        </is>
      </c>
      <c r="F1034" s="3" t="inlineStr">
        <is>
          <t>Gross domestic product (GDP), Constant prices, Percent change</t>
        </is>
      </c>
      <c r="G1034" s="3" t="n">
        <v>3.653548</v>
      </c>
      <c r="H1034" s="3" t="n">
        <v>0.5085730000000001</v>
      </c>
      <c r="I1034" s="3" t="n">
        <v>0.155574</v>
      </c>
      <c r="J1034" s="3" t="n">
        <v>2.050728</v>
      </c>
      <c r="K1034" s="3" t="n">
        <v>5.993451</v>
      </c>
      <c r="L1034" s="3" t="n">
        <v>4.398942</v>
      </c>
      <c r="M1034" s="3" t="n">
        <v>5.59537</v>
      </c>
      <c r="N1034" s="3" t="n">
        <v>5.541836</v>
      </c>
      <c r="O1034" s="3" t="n">
        <v>3.864264</v>
      </c>
      <c r="P1034" s="3" t="n">
        <v>-2.323625</v>
      </c>
      <c r="Q1034" s="3" t="n">
        <v>6.082172</v>
      </c>
      <c r="R1034" s="3" t="n">
        <v>4.605981</v>
      </c>
      <c r="S1034" s="3" t="n">
        <v>2.968345</v>
      </c>
      <c r="T1034" s="3" t="n">
        <v>2.81767</v>
      </c>
      <c r="U1034" s="3" t="n">
        <v>1.30229</v>
      </c>
      <c r="V1034" s="3" t="n">
        <v>0.371537</v>
      </c>
      <c r="W1034" s="3" t="n">
        <v>-0.750129</v>
      </c>
      <c r="X1034" s="3" t="n">
        <v>1.386302</v>
      </c>
      <c r="Y1034" s="3" t="n">
        <v>1.133106</v>
      </c>
      <c r="Z1034" s="3" t="n">
        <v>0.161517</v>
      </c>
      <c r="AA1034" s="3" t="n">
        <v>-6.925652</v>
      </c>
      <c r="AB1034" s="3" t="n">
        <v>7.496058</v>
      </c>
      <c r="AC1034" s="3" t="n">
        <v>4.304263</v>
      </c>
      <c r="AD1034" s="3" t="n">
        <v>2.325561</v>
      </c>
      <c r="AE1034" s="3" t="n">
        <v>2.355179</v>
      </c>
      <c r="AF1034" s="3" t="n">
        <v>2.37377</v>
      </c>
      <c r="AG1034" s="3" t="n">
        <v>2.343981</v>
      </c>
      <c r="AH1034" s="3" t="n">
        <v>2.696173</v>
      </c>
      <c r="AI1034" s="3" t="n">
        <v>2.866716</v>
      </c>
      <c r="AJ1034" s="3" t="n">
        <v>2.859333</v>
      </c>
      <c r="AK1034" s="3" t="n">
        <v>2.744734</v>
      </c>
      <c r="AL1034" s="3" t="n">
        <v>2.627681</v>
      </c>
      <c r="AM1034" s="3" t="n"/>
      <c r="AN1034" s="3" t="n"/>
      <c r="AO1034" s="3" t="n"/>
      <c r="AP1034" s="3" t="n"/>
      <c r="AQ1034" s="3" t="n"/>
      <c r="AR1034" s="3" t="n"/>
      <c r="AS1034" s="3" t="n"/>
      <c r="AT1034" s="3" t="n"/>
      <c r="AU1034" s="3" t="n"/>
    </row>
    <row r="1035">
      <c r="A1035" s="3" t="n">
        <v>2031</v>
      </c>
      <c r="B1035" s="3" t="inlineStr">
        <is>
          <t>G20</t>
        </is>
      </c>
      <c r="C1035" s="3" t="inlineStr">
        <is>
          <t>IMF.RES:WEO</t>
        </is>
      </c>
      <c r="D1035" s="3" t="inlineStr">
        <is>
          <t>G205.NGDPD.A</t>
        </is>
      </c>
      <c r="E1035" s="3" t="inlineStr">
        <is>
          <t>Latin America and the Caribbean (LAC)</t>
        </is>
      </c>
      <c r="F1035" s="3" t="inlineStr">
        <is>
          <t>Gross domestic product (GDP), Current prices, US dollar</t>
        </is>
      </c>
      <c r="G1035" s="3" t="n">
        <v>2260.196601</v>
      </c>
      <c r="H1035" s="3" t="n">
        <v>2207.918821</v>
      </c>
      <c r="I1035" s="3" t="n">
        <v>1959.570764</v>
      </c>
      <c r="J1035" s="3" t="n">
        <v>1991.296859</v>
      </c>
      <c r="K1035" s="3" t="n">
        <v>2281.157155</v>
      </c>
      <c r="L1035" s="3" t="n">
        <v>2767.749495</v>
      </c>
      <c r="M1035" s="3" t="n">
        <v>3247.64686</v>
      </c>
      <c r="N1035" s="3" t="n">
        <v>3850.136026</v>
      </c>
      <c r="O1035" s="3" t="n">
        <v>4479.063703</v>
      </c>
      <c r="P1035" s="3" t="n">
        <v>4140.368659</v>
      </c>
      <c r="Q1035" s="3" t="n">
        <v>5158.98833</v>
      </c>
      <c r="R1035" s="3" t="n">
        <v>5956.206198</v>
      </c>
      <c r="S1035" s="3" t="n">
        <v>6052.72405</v>
      </c>
      <c r="T1035" s="3" t="n">
        <v>6124.078182</v>
      </c>
      <c r="U1035" s="3" t="n">
        <v>6067.357921</v>
      </c>
      <c r="V1035" s="3" t="n">
        <v>5140.121997</v>
      </c>
      <c r="W1035" s="3" t="n">
        <v>4951.743643</v>
      </c>
      <c r="X1035" s="3" t="n">
        <v>5508.308022</v>
      </c>
      <c r="Y1035" s="3" t="n">
        <v>5369.688894</v>
      </c>
      <c r="Z1035" s="3" t="n">
        <v>5254.361447</v>
      </c>
      <c r="AA1035" s="3" t="n">
        <v>4408.696934</v>
      </c>
      <c r="AB1035" s="3" t="n">
        <v>5137.00848</v>
      </c>
      <c r="AC1035" s="3" t="n">
        <v>5873.112273</v>
      </c>
      <c r="AD1035" s="3" t="n">
        <v>6614.7442</v>
      </c>
      <c r="AE1035" s="3" t="n">
        <v>6781.193804</v>
      </c>
      <c r="AF1035" s="3" t="n">
        <v>7072.388889</v>
      </c>
      <c r="AG1035" s="3" t="n">
        <v>8008.219369</v>
      </c>
      <c r="AH1035" s="3" t="n">
        <v>8388.843304</v>
      </c>
      <c r="AI1035" s="3" t="n">
        <v>8792.133376</v>
      </c>
      <c r="AJ1035" s="3" t="n">
        <v>9251.045781999999</v>
      </c>
      <c r="AK1035" s="3" t="n">
        <v>9725.004384</v>
      </c>
      <c r="AL1035" s="3" t="n">
        <v>10227.110803</v>
      </c>
      <c r="AM1035" s="3" t="n"/>
      <c r="AN1035" s="3" t="n"/>
      <c r="AO1035" s="3" t="n"/>
      <c r="AP1035" s="3" t="n"/>
      <c r="AQ1035" s="3" t="n"/>
      <c r="AR1035" s="3" t="n"/>
      <c r="AS1035" s="3" t="n"/>
      <c r="AT1035" s="3" t="n"/>
      <c r="AU1035" s="3" t="n"/>
    </row>
    <row r="1036">
      <c r="A1036" s="3" t="n">
        <v>2031</v>
      </c>
      <c r="B1036" s="3" t="inlineStr">
        <is>
          <t>G20</t>
        </is>
      </c>
      <c r="C1036" s="3" t="inlineStr">
        <is>
          <t>IMF.RES:WEO</t>
        </is>
      </c>
      <c r="D1036" s="3" t="inlineStr">
        <is>
          <t>G205.PCPIPCH.A</t>
        </is>
      </c>
      <c r="E1036" s="3" t="inlineStr">
        <is>
          <t>Latin America and the Caribbean (LAC)</t>
        </is>
      </c>
      <c r="F1036" s="3" t="inlineStr">
        <is>
          <t>All Items, Consumer price index (CPI), Period average, percent change</t>
        </is>
      </c>
      <c r="G1036" s="3" t="n">
        <v>8.897679</v>
      </c>
      <c r="H1036" s="3" t="n">
        <v>6.915736</v>
      </c>
      <c r="I1036" s="3" t="n">
        <v>6.366626</v>
      </c>
      <c r="J1036" s="3" t="n">
        <v>8.980582999999999</v>
      </c>
      <c r="K1036" s="3" t="n">
        <v>6.051114</v>
      </c>
      <c r="L1036" s="3" t="n">
        <v>5.360779</v>
      </c>
      <c r="M1036" s="3" t="n">
        <v>4.196747</v>
      </c>
      <c r="N1036" s="3" t="n">
        <v>4.234039</v>
      </c>
      <c r="O1036" s="3" t="n">
        <v>6.482539</v>
      </c>
      <c r="P1036" s="3" t="n">
        <v>4.551791</v>
      </c>
      <c r="Q1036" s="3" t="n">
        <v>4.195807</v>
      </c>
      <c r="R1036" s="3" t="n">
        <v>5.129408</v>
      </c>
      <c r="S1036" s="3" t="n">
        <v>4.571313</v>
      </c>
      <c r="T1036" s="3" t="n">
        <v>4.531963</v>
      </c>
      <c r="U1036" s="3" t="n">
        <v>4.837514</v>
      </c>
      <c r="V1036" s="3" t="n">
        <v>5.314059</v>
      </c>
      <c r="W1036" s="3" t="n">
        <v>5.427013</v>
      </c>
      <c r="X1036" s="3" t="n">
        <v>6.276968</v>
      </c>
      <c r="Y1036" s="3" t="n">
        <v>6.646024</v>
      </c>
      <c r="Z1036" s="3" t="n">
        <v>7.624203</v>
      </c>
      <c r="AA1036" s="3" t="n">
        <v>6.453219</v>
      </c>
      <c r="AB1036" s="3" t="n">
        <v>9.897638000000001</v>
      </c>
      <c r="AC1036" s="3" t="n">
        <v>14.22026</v>
      </c>
      <c r="AD1036" s="3" t="n">
        <v>14.755394</v>
      </c>
      <c r="AE1036" s="3" t="n">
        <v>16.628743</v>
      </c>
      <c r="AF1036" s="3" t="n">
        <v>7.580844</v>
      </c>
      <c r="AG1036" s="3" t="n">
        <v>6.67426</v>
      </c>
      <c r="AH1036" s="3" t="n">
        <v>4.902919</v>
      </c>
      <c r="AI1036" s="3" t="n">
        <v>3.749513</v>
      </c>
      <c r="AJ1036" s="3" t="n">
        <v>3.500338</v>
      </c>
      <c r="AK1036" s="3" t="n">
        <v>3.504497</v>
      </c>
      <c r="AL1036" s="3" t="n">
        <v>3.496883</v>
      </c>
      <c r="AM1036" s="3" t="n"/>
      <c r="AN1036" s="3" t="n"/>
      <c r="AO1036" s="3" t="n"/>
      <c r="AP1036" s="3" t="n"/>
      <c r="AQ1036" s="3" t="n"/>
      <c r="AR1036" s="3" t="n"/>
      <c r="AS1036" s="3" t="n"/>
      <c r="AT1036" s="3" t="n"/>
      <c r="AU1036" s="3" t="n"/>
    </row>
    <row r="1037">
      <c r="A1037" s="3" t="n">
        <v>2031</v>
      </c>
      <c r="B1037" s="3" t="inlineStr">
        <is>
          <t>G20</t>
        </is>
      </c>
      <c r="C1037" s="3" t="inlineStr">
        <is>
          <t>IMF.RES:WEO</t>
        </is>
      </c>
      <c r="D1037" s="3" t="inlineStr">
        <is>
          <t>G205.PPPPC.A</t>
        </is>
      </c>
      <c r="E1037" s="3" t="inlineStr">
        <is>
          <t>Latin America and the Caribbean (LAC)</t>
        </is>
      </c>
      <c r="F1037" s="3" t="inlineStr">
        <is>
          <t>Gross domestic product (GDP), Per capita, purchasing power parity (PPP) international dollar, ICP benchmarks 2017-2021</t>
        </is>
      </c>
      <c r="G1037" s="3" t="n">
        <v>9308.592358</v>
      </c>
      <c r="H1037" s="3" t="n">
        <v>9431.728230999999</v>
      </c>
      <c r="I1037" s="3" t="n">
        <v>9445.343498</v>
      </c>
      <c r="J1037" s="3" t="n">
        <v>9693.158181999999</v>
      </c>
      <c r="K1037" s="3" t="n">
        <v>10409.337958</v>
      </c>
      <c r="L1037" s="3" t="n">
        <v>11064.55485</v>
      </c>
      <c r="M1037" s="3" t="n">
        <v>11894.885285</v>
      </c>
      <c r="N1037" s="3" t="n">
        <v>12731.514299</v>
      </c>
      <c r="O1037" s="3" t="n">
        <v>13311.352523</v>
      </c>
      <c r="P1037" s="3" t="n">
        <v>12914.134502</v>
      </c>
      <c r="Q1037" s="3" t="n">
        <v>13692.821278</v>
      </c>
      <c r="R1037" s="3" t="n">
        <v>14453.538656</v>
      </c>
      <c r="S1037" s="3" t="n">
        <v>14988.840039</v>
      </c>
      <c r="T1037" s="3" t="n">
        <v>15501.854527</v>
      </c>
      <c r="U1037" s="3" t="n">
        <v>15799.688722</v>
      </c>
      <c r="V1037" s="3" t="n">
        <v>15820.553435</v>
      </c>
      <c r="W1037" s="3" t="n">
        <v>15660.864645</v>
      </c>
      <c r="X1037" s="3" t="n">
        <v>15992.109077</v>
      </c>
      <c r="Y1037" s="3" t="n">
        <v>16560.392229</v>
      </c>
      <c r="Z1037" s="3" t="n">
        <v>16814.315326</v>
      </c>
      <c r="AA1037" s="3" t="n">
        <v>16040.957997</v>
      </c>
      <c r="AB1037" s="3" t="n">
        <v>18030.659674</v>
      </c>
      <c r="AC1037" s="3" t="n">
        <v>20010.106886</v>
      </c>
      <c r="AD1037" s="3" t="n">
        <v>21071.898518</v>
      </c>
      <c r="AE1037" s="3" t="n">
        <v>21931.817371</v>
      </c>
      <c r="AF1037" s="3" t="n">
        <v>22923.949908</v>
      </c>
      <c r="AG1037" s="3" t="n">
        <v>23958.143673</v>
      </c>
      <c r="AH1037" s="3" t="n">
        <v>24968.461578</v>
      </c>
      <c r="AI1037" s="3" t="n">
        <v>25926.998155</v>
      </c>
      <c r="AJ1037" s="3" t="n">
        <v>26963.608254</v>
      </c>
      <c r="AK1037" s="3" t="n">
        <v>28041.024606</v>
      </c>
      <c r="AL1037" s="3" t="n">
        <v>29127.531567</v>
      </c>
      <c r="AM1037" s="3" t="n"/>
      <c r="AN1037" s="3" t="n"/>
      <c r="AO1037" s="3" t="n"/>
      <c r="AP1037" s="3" t="n"/>
      <c r="AQ1037" s="3" t="n"/>
      <c r="AR1037" s="3" t="n"/>
      <c r="AS1037" s="3" t="n"/>
      <c r="AT1037" s="3" t="n"/>
      <c r="AU1037" s="3" t="n"/>
    </row>
    <row r="1038">
      <c r="A1038" s="3" t="n">
        <v>2025</v>
      </c>
      <c r="B1038" s="3" t="inlineStr">
        <is>
          <t>G30</t>
        </is>
      </c>
      <c r="C1038" s="3" t="inlineStr">
        <is>
          <t>IMF.STA:ER</t>
        </is>
      </c>
      <c r="D1038" s="3" t="inlineStr">
        <is>
          <t>G309.XDC_USD.PA_RT.A</t>
        </is>
      </c>
      <c r="E1038" s="3" t="inlineStr">
        <is>
          <t>Eastern Caribbean Currency Union (ECCU)</t>
        </is>
      </c>
      <c r="F1038" s="3" t="inlineStr">
        <is>
          <t>Domestic currency per US Dollar</t>
        </is>
      </c>
      <c r="G1038" s="3" t="n">
        <v>2.7</v>
      </c>
      <c r="H1038" s="3" t="n">
        <v>2.7</v>
      </c>
      <c r="I1038" s="3" t="n">
        <v>2.7</v>
      </c>
      <c r="J1038" s="3" t="n">
        <v>2.7</v>
      </c>
      <c r="K1038" s="3" t="n">
        <v>2.7</v>
      </c>
      <c r="L1038" s="3" t="n">
        <v>2.7</v>
      </c>
      <c r="M1038" s="3" t="n">
        <v>2.7</v>
      </c>
      <c r="N1038" s="3" t="n">
        <v>2.7</v>
      </c>
      <c r="O1038" s="3" t="n">
        <v>2.7</v>
      </c>
      <c r="P1038" s="3" t="n">
        <v>2.7</v>
      </c>
      <c r="Q1038" s="3" t="n">
        <v>2.7</v>
      </c>
      <c r="R1038" s="3" t="n">
        <v>2.7</v>
      </c>
      <c r="S1038" s="3" t="n">
        <v>2.7</v>
      </c>
      <c r="T1038" s="3" t="n">
        <v>2.7</v>
      </c>
      <c r="U1038" s="3" t="n">
        <v>2.7</v>
      </c>
      <c r="V1038" s="3" t="n">
        <v>2.7</v>
      </c>
      <c r="W1038" s="3" t="n">
        <v>2.7</v>
      </c>
      <c r="X1038" s="3" t="n">
        <v>2.7</v>
      </c>
      <c r="Y1038" s="3" t="n">
        <v>2.7</v>
      </c>
      <c r="Z1038" s="3" t="n">
        <v>2.7</v>
      </c>
      <c r="AA1038" s="3" t="n">
        <v>2.7</v>
      </c>
      <c r="AB1038" s="3" t="n">
        <v>2.7</v>
      </c>
      <c r="AC1038" s="3" t="n">
        <v>2.7</v>
      </c>
      <c r="AD1038" s="3" t="n">
        <v>2.7</v>
      </c>
      <c r="AE1038" s="3" t="n">
        <v>2.7</v>
      </c>
      <c r="AF1038" s="3" t="n">
        <v>2.7</v>
      </c>
      <c r="AG1038" s="3" t="n"/>
      <c r="AH1038" s="3" t="n"/>
      <c r="AI1038" s="3" t="n"/>
      <c r="AJ1038" s="3" t="n"/>
      <c r="AK1038" s="3" t="n"/>
      <c r="AL1038" s="3" t="n"/>
      <c r="AM1038" s="3" t="n"/>
      <c r="AN1038" s="3" t="n"/>
      <c r="AO1038" s="3" t="n"/>
      <c r="AP1038" s="3" t="n"/>
      <c r="AQ1038" s="3" t="n"/>
      <c r="AR1038" s="3" t="n"/>
      <c r="AS1038" s="3" t="n"/>
      <c r="AT1038" s="3" t="n"/>
      <c r="AU1038" s="3" t="n"/>
    </row>
    <row r="1039">
      <c r="A1039" s="3" t="n">
        <v>2031</v>
      </c>
      <c r="B1039" s="3" t="inlineStr">
        <is>
          <t>G40</t>
        </is>
      </c>
      <c r="C1039" s="3" t="inlineStr">
        <is>
          <t>IMF.RES:WEO</t>
        </is>
      </c>
      <c r="D1039" s="3" t="inlineStr">
        <is>
          <t>G400.BCA.A</t>
        </is>
      </c>
      <c r="E1039" s="3" t="inlineStr">
        <is>
          <t>Middle East and Central Asia</t>
        </is>
      </c>
      <c r="F1039" s="3" t="inlineStr">
        <is>
          <t>Current account balance (credit less debit), US dollar</t>
        </is>
      </c>
      <c r="G1039" s="3" t="n">
        <v>70.830939</v>
      </c>
      <c r="H1039" s="3" t="n">
        <v>42.845376</v>
      </c>
      <c r="I1039" s="3" t="n">
        <v>30.932793</v>
      </c>
      <c r="J1039" s="3" t="n">
        <v>55.588719</v>
      </c>
      <c r="K1039" s="3" t="n">
        <v>100.402157</v>
      </c>
      <c r="L1039" s="3" t="n">
        <v>216.390154</v>
      </c>
      <c r="M1039" s="3" t="n">
        <v>279.082103</v>
      </c>
      <c r="N1039" s="3" t="n">
        <v>266.299418</v>
      </c>
      <c r="O1039" s="3" t="n">
        <v>361.452661</v>
      </c>
      <c r="P1039" s="3" t="n">
        <v>55.361615</v>
      </c>
      <c r="Q1039" s="3" t="n">
        <v>201.379869</v>
      </c>
      <c r="R1039" s="3" t="n">
        <v>444.161695</v>
      </c>
      <c r="S1039" s="3" t="n">
        <v>431.04586</v>
      </c>
      <c r="T1039" s="3" t="n">
        <v>358.445323</v>
      </c>
      <c r="U1039" s="3" t="n">
        <v>206.185599</v>
      </c>
      <c r="V1039" s="3" t="n">
        <v>-138.693887</v>
      </c>
      <c r="W1039" s="3" t="n">
        <v>-147.448129</v>
      </c>
      <c r="X1039" s="3" t="n">
        <v>-34.869547</v>
      </c>
      <c r="Y1039" s="3" t="n">
        <v>118.823033</v>
      </c>
      <c r="Z1039" s="3" t="n">
        <v>24.940206</v>
      </c>
      <c r="AA1039" s="3" t="n">
        <v>-118.725317</v>
      </c>
      <c r="AB1039" s="3" t="n">
        <v>124.59984</v>
      </c>
      <c r="AC1039" s="3" t="n">
        <v>389.764203</v>
      </c>
      <c r="AD1039" s="3" t="n">
        <v>182.562086</v>
      </c>
      <c r="AE1039" s="3" t="n">
        <v>101.634544</v>
      </c>
      <c r="AF1039" s="3" t="n">
        <v>35.409529</v>
      </c>
      <c r="AG1039" s="3" t="n">
        <v>60.240673</v>
      </c>
      <c r="AH1039" s="3" t="n">
        <v>22.947155</v>
      </c>
      <c r="AI1039" s="3" t="n">
        <v>-5.928353</v>
      </c>
      <c r="AJ1039" s="3" t="n">
        <v>-9.124146</v>
      </c>
      <c r="AK1039" s="3" t="n">
        <v>-12.012127</v>
      </c>
      <c r="AL1039" s="3" t="n">
        <v>-15.548117</v>
      </c>
      <c r="AM1039" s="3" t="n"/>
      <c r="AN1039" s="3" t="n"/>
      <c r="AO1039" s="3" t="n"/>
      <c r="AP1039" s="3" t="n"/>
      <c r="AQ1039" s="3" t="n"/>
      <c r="AR1039" s="3" t="n"/>
      <c r="AS1039" s="3" t="n"/>
      <c r="AT1039" s="3" t="n"/>
      <c r="AU1039" s="3" t="n"/>
    </row>
    <row r="1040">
      <c r="A1040" s="3" t="n">
        <v>2031</v>
      </c>
      <c r="B1040" s="3" t="inlineStr">
        <is>
          <t>G40</t>
        </is>
      </c>
      <c r="C1040" s="3" t="inlineStr">
        <is>
          <t>IMF.RES:WEO</t>
        </is>
      </c>
      <c r="D1040" s="3" t="inlineStr">
        <is>
          <t>G400.BCA_NGDPD.A</t>
        </is>
      </c>
      <c r="E1040" s="3" t="inlineStr">
        <is>
          <t>Middle East and Central Asia</t>
        </is>
      </c>
      <c r="F1040" s="3" t="inlineStr">
        <is>
          <t>Current account balance (credit less debit), Percent of GDP</t>
        </is>
      </c>
      <c r="G1040" s="3" t="n">
        <v>5.379187</v>
      </c>
      <c r="H1040" s="3" t="n">
        <v>3.333321</v>
      </c>
      <c r="I1040" s="3" t="n">
        <v>2.928137</v>
      </c>
      <c r="J1040" s="3" t="n">
        <v>4.634725</v>
      </c>
      <c r="K1040" s="3" t="n">
        <v>6.981011</v>
      </c>
      <c r="L1040" s="3" t="n">
        <v>12.384577</v>
      </c>
      <c r="M1040" s="3" t="n">
        <v>13.404493</v>
      </c>
      <c r="N1040" s="3" t="n">
        <v>10.662742</v>
      </c>
      <c r="O1040" s="3" t="n">
        <v>11.723465</v>
      </c>
      <c r="P1040" s="3" t="n">
        <v>1.997259</v>
      </c>
      <c r="Q1040" s="3" t="n">
        <v>6.170729</v>
      </c>
      <c r="R1040" s="3" t="n">
        <v>11.512717</v>
      </c>
      <c r="S1040" s="3" t="n">
        <v>10.921082</v>
      </c>
      <c r="T1040" s="3" t="n">
        <v>8.742077</v>
      </c>
      <c r="U1040" s="3" t="n">
        <v>4.879864</v>
      </c>
      <c r="V1040" s="3" t="n">
        <v>-3.667647</v>
      </c>
      <c r="W1040" s="3" t="n">
        <v>-3.978346</v>
      </c>
      <c r="X1040" s="3" t="n">
        <v>-0.913778</v>
      </c>
      <c r="Y1040" s="3" t="n">
        <v>2.977795</v>
      </c>
      <c r="Z1040" s="3" t="n">
        <v>0.635686</v>
      </c>
      <c r="AA1040" s="3" t="n">
        <v>-3.401713</v>
      </c>
      <c r="AB1040" s="3" t="n">
        <v>2.991132</v>
      </c>
      <c r="AC1040" s="3" t="n">
        <v>7.770581</v>
      </c>
      <c r="AD1040" s="3" t="n">
        <v>3.679797</v>
      </c>
      <c r="AE1040" s="3" t="n">
        <v>1.967779</v>
      </c>
      <c r="AF1040" s="3" t="n">
        <v>0.670647</v>
      </c>
      <c r="AG1040" s="3" t="n">
        <v>1.063506</v>
      </c>
      <c r="AH1040" s="3" t="n">
        <v>0.386254</v>
      </c>
      <c r="AI1040" s="3" t="n">
        <v>-0.094525</v>
      </c>
      <c r="AJ1040" s="3" t="n">
        <v>-0.137236</v>
      </c>
      <c r="AK1040" s="3" t="n">
        <v>-0.170709</v>
      </c>
      <c r="AL1040" s="3" t="n">
        <v>-0.208688</v>
      </c>
      <c r="AM1040" s="3" t="n"/>
      <c r="AN1040" s="3" t="n"/>
      <c r="AO1040" s="3" t="n"/>
      <c r="AP1040" s="3" t="n"/>
      <c r="AQ1040" s="3" t="n"/>
      <c r="AR1040" s="3" t="n"/>
      <c r="AS1040" s="3" t="n"/>
      <c r="AT1040" s="3" t="n"/>
      <c r="AU1040" s="3" t="n"/>
    </row>
    <row r="1041">
      <c r="A1041" s="3" t="n">
        <v>2031</v>
      </c>
      <c r="B1041" s="3" t="inlineStr">
        <is>
          <t>G40</t>
        </is>
      </c>
      <c r="C1041" s="3" t="inlineStr">
        <is>
          <t>IMF.RES:WEO</t>
        </is>
      </c>
      <c r="D1041" s="3" t="inlineStr">
        <is>
          <t>G400.GGR_NGDP.A</t>
        </is>
      </c>
      <c r="E1041" s="3" t="inlineStr">
        <is>
          <t>Middle East and Central Asia</t>
        </is>
      </c>
      <c r="F1041" s="3" t="inlineStr">
        <is>
          <t>Revenue, General government, Percent of GDP</t>
        </is>
      </c>
      <c r="G1041" s="3" t="n">
        <v>26.707403</v>
      </c>
      <c r="H1041" s="3" t="n">
        <v>24.086465</v>
      </c>
      <c r="I1041" s="3" t="n">
        <v>24.808833</v>
      </c>
      <c r="J1041" s="3" t="n">
        <v>25.973835</v>
      </c>
      <c r="K1041" s="3" t="n">
        <v>28.480112</v>
      </c>
      <c r="L1041" s="3" t="n">
        <v>32.309294</v>
      </c>
      <c r="M1041" s="3" t="n">
        <v>32.915228</v>
      </c>
      <c r="N1041" s="3" t="n">
        <v>30.95553</v>
      </c>
      <c r="O1041" s="3" t="n">
        <v>35.692342</v>
      </c>
      <c r="P1041" s="3" t="n">
        <v>28.047724</v>
      </c>
      <c r="Q1041" s="3" t="n">
        <v>29.266133</v>
      </c>
      <c r="R1041" s="3" t="n">
        <v>31.036198</v>
      </c>
      <c r="S1041" s="3" t="n">
        <v>33.157586</v>
      </c>
      <c r="T1041" s="3" t="n">
        <v>31.786183</v>
      </c>
      <c r="U1041" s="3" t="n">
        <v>29.344908</v>
      </c>
      <c r="V1041" s="3" t="n">
        <v>23.733033</v>
      </c>
      <c r="W1041" s="3" t="n">
        <v>22.132546</v>
      </c>
      <c r="X1041" s="3" t="n">
        <v>23.578235</v>
      </c>
      <c r="Y1041" s="3" t="n">
        <v>26.608064</v>
      </c>
      <c r="Z1041" s="3" t="n">
        <v>26.442519</v>
      </c>
      <c r="AA1041" s="3" t="n">
        <v>24.204922</v>
      </c>
      <c r="AB1041" s="3" t="n">
        <v>24.868307</v>
      </c>
      <c r="AC1041" s="3" t="n">
        <v>27.645427</v>
      </c>
      <c r="AD1041" s="3" t="n">
        <v>26.422673</v>
      </c>
      <c r="AE1041" s="3" t="n">
        <v>25.600682</v>
      </c>
      <c r="AF1041" s="3" t="n">
        <v>24.651638</v>
      </c>
      <c r="AG1041" s="3" t="n">
        <v>24.76551</v>
      </c>
      <c r="AH1041" s="3" t="n">
        <v>24.932672</v>
      </c>
      <c r="AI1041" s="3" t="n">
        <v>24.591768</v>
      </c>
      <c r="AJ1041" s="3" t="n">
        <v>24.56645</v>
      </c>
      <c r="AK1041" s="3" t="n">
        <v>24.518952</v>
      </c>
      <c r="AL1041" s="3" t="n">
        <v>24.38965</v>
      </c>
      <c r="AM1041" s="3" t="n"/>
      <c r="AN1041" s="3" t="n"/>
      <c r="AO1041" s="3" t="n"/>
      <c r="AP1041" s="3" t="n"/>
      <c r="AQ1041" s="3" t="n"/>
      <c r="AR1041" s="3" t="n"/>
      <c r="AS1041" s="3" t="n"/>
      <c r="AT1041" s="3" t="n"/>
      <c r="AU1041" s="3" t="n"/>
    </row>
    <row r="1042">
      <c r="A1042" s="3" t="n">
        <v>2031</v>
      </c>
      <c r="B1042" s="3" t="inlineStr">
        <is>
          <t>G40</t>
        </is>
      </c>
      <c r="C1042" s="3" t="inlineStr">
        <is>
          <t>IMF.RES:WEO</t>
        </is>
      </c>
      <c r="D1042" s="3" t="inlineStr">
        <is>
          <t>G400.GGX_NGDP.A</t>
        </is>
      </c>
      <c r="E1042" s="3" t="inlineStr">
        <is>
          <t>Middle East and Central Asia</t>
        </is>
      </c>
      <c r="F1042" s="3" t="inlineStr">
        <is>
          <t>Expenditure, General government, Percent of GDP</t>
        </is>
      </c>
      <c r="G1042" s="3" t="n">
        <v>21.615343</v>
      </c>
      <c r="H1042" s="3" t="n">
        <v>23.622565</v>
      </c>
      <c r="I1042" s="3" t="n">
        <v>26.385333</v>
      </c>
      <c r="J1042" s="3" t="n">
        <v>24.932771</v>
      </c>
      <c r="K1042" s="3" t="n">
        <v>25.676103</v>
      </c>
      <c r="L1042" s="3" t="n">
        <v>24.54738</v>
      </c>
      <c r="M1042" s="3" t="n">
        <v>24.444037</v>
      </c>
      <c r="N1042" s="3" t="n">
        <v>24.519437</v>
      </c>
      <c r="O1042" s="3" t="n">
        <v>27.017653</v>
      </c>
      <c r="P1042" s="3" t="n">
        <v>30.612384</v>
      </c>
      <c r="Q1042" s="3" t="n">
        <v>28.244923</v>
      </c>
      <c r="R1042" s="3" t="n">
        <v>27.513096</v>
      </c>
      <c r="S1042" s="3" t="n">
        <v>28.547588</v>
      </c>
      <c r="T1042" s="3" t="n">
        <v>29.608214</v>
      </c>
      <c r="U1042" s="3" t="n">
        <v>30.603194</v>
      </c>
      <c r="V1042" s="3" t="n">
        <v>30.302553</v>
      </c>
      <c r="W1042" s="3" t="n">
        <v>29.41533</v>
      </c>
      <c r="X1042" s="3" t="n">
        <v>28.041662</v>
      </c>
      <c r="Y1042" s="3" t="n">
        <v>28.104895</v>
      </c>
      <c r="Z1042" s="3" t="n">
        <v>28.878069</v>
      </c>
      <c r="AA1042" s="3" t="n">
        <v>31.68669</v>
      </c>
      <c r="AB1042" s="3" t="n">
        <v>27.05737</v>
      </c>
      <c r="AC1042" s="3" t="n">
        <v>25.422491</v>
      </c>
      <c r="AD1042" s="3" t="n">
        <v>27.059814</v>
      </c>
      <c r="AE1042" s="3" t="n">
        <v>27.612827</v>
      </c>
      <c r="AF1042" s="3" t="n">
        <v>27.671142</v>
      </c>
      <c r="AG1042" s="3" t="n">
        <v>27.405826</v>
      </c>
      <c r="AH1042" s="3" t="n">
        <v>27.214966</v>
      </c>
      <c r="AI1042" s="3" t="n">
        <v>26.719431</v>
      </c>
      <c r="AJ1042" s="3" t="n">
        <v>26.246602</v>
      </c>
      <c r="AK1042" s="3" t="n">
        <v>26.056315</v>
      </c>
      <c r="AL1042" s="3" t="n">
        <v>25.948853</v>
      </c>
      <c r="AM1042" s="3" t="n"/>
      <c r="AN1042" s="3" t="n"/>
      <c r="AO1042" s="3" t="n"/>
      <c r="AP1042" s="3" t="n"/>
      <c r="AQ1042" s="3" t="n"/>
      <c r="AR1042" s="3" t="n"/>
      <c r="AS1042" s="3" t="n"/>
      <c r="AT1042" s="3" t="n"/>
      <c r="AU1042" s="3" t="n"/>
    </row>
    <row r="1043">
      <c r="A1043" s="3" t="n">
        <v>2031</v>
      </c>
      <c r="B1043" s="3" t="inlineStr">
        <is>
          <t>G40</t>
        </is>
      </c>
      <c r="C1043" s="3" t="inlineStr">
        <is>
          <t>IMF.RES:WEO</t>
        </is>
      </c>
      <c r="D1043" s="3" t="inlineStr">
        <is>
          <t>G400.NGDP_RPCH.A</t>
        </is>
      </c>
      <c r="E1043" s="3" t="inlineStr">
        <is>
          <t>Middle East and Central Asia</t>
        </is>
      </c>
      <c r="F1043" s="3" t="inlineStr">
        <is>
          <t>Gross domestic product (GDP), Constant prices, Percent change</t>
        </is>
      </c>
      <c r="G1043" s="3" t="n">
        <v>5.410731</v>
      </c>
      <c r="H1043" s="3" t="n">
        <v>3.319005</v>
      </c>
      <c r="I1043" s="3" t="n">
        <v>3.260248</v>
      </c>
      <c r="J1043" s="3" t="n">
        <v>6.057341</v>
      </c>
      <c r="K1043" s="3" t="n">
        <v>8.372686</v>
      </c>
      <c r="L1043" s="3" t="n">
        <v>5.891797</v>
      </c>
      <c r="M1043" s="3" t="n">
        <v>6.394483</v>
      </c>
      <c r="N1043" s="3" t="n">
        <v>6.052215</v>
      </c>
      <c r="O1043" s="3" t="n">
        <v>4.836957</v>
      </c>
      <c r="P1043" s="3" t="n">
        <v>1.607634</v>
      </c>
      <c r="Q1043" s="3" t="n">
        <v>5.307583</v>
      </c>
      <c r="R1043" s="3" t="n">
        <v>5.30928</v>
      </c>
      <c r="S1043" s="3" t="n">
        <v>4.714821</v>
      </c>
      <c r="T1043" s="3" t="n">
        <v>3.031316</v>
      </c>
      <c r="U1043" s="3" t="n">
        <v>3.524995</v>
      </c>
      <c r="V1043" s="3" t="n">
        <v>3.1143</v>
      </c>
      <c r="W1043" s="3" t="n">
        <v>4.147682</v>
      </c>
      <c r="X1043" s="3" t="n">
        <v>2.634224</v>
      </c>
      <c r="Y1043" s="3" t="n">
        <v>2.548693</v>
      </c>
      <c r="Z1043" s="3" t="n">
        <v>2.119381</v>
      </c>
      <c r="AA1043" s="3" t="n">
        <v>-2.230044</v>
      </c>
      <c r="AB1043" s="3" t="n">
        <v>4.688653</v>
      </c>
      <c r="AC1043" s="3" t="n">
        <v>6.366591</v>
      </c>
      <c r="AD1043" s="3" t="n">
        <v>2.575207</v>
      </c>
      <c r="AE1043" s="3" t="n">
        <v>2.817389</v>
      </c>
      <c r="AF1043" s="3" t="n">
        <v>3.610459</v>
      </c>
      <c r="AG1043" s="3" t="n">
        <v>1.904764</v>
      </c>
      <c r="AH1043" s="3" t="n">
        <v>4.584682</v>
      </c>
      <c r="AI1043" s="3" t="n">
        <v>3.963224</v>
      </c>
      <c r="AJ1043" s="3" t="n">
        <v>3.959571</v>
      </c>
      <c r="AK1043" s="3" t="n">
        <v>3.815992</v>
      </c>
      <c r="AL1043" s="3" t="n">
        <v>3.775237</v>
      </c>
      <c r="AM1043" s="3" t="n"/>
      <c r="AN1043" s="3" t="n"/>
      <c r="AO1043" s="3" t="n"/>
      <c r="AP1043" s="3" t="n"/>
      <c r="AQ1043" s="3" t="n"/>
      <c r="AR1043" s="3" t="n"/>
      <c r="AS1043" s="3" t="n"/>
      <c r="AT1043" s="3" t="n"/>
      <c r="AU1043" s="3" t="n"/>
    </row>
    <row r="1044">
      <c r="A1044" s="3" t="n">
        <v>2031</v>
      </c>
      <c r="B1044" s="3" t="inlineStr">
        <is>
          <t>G40</t>
        </is>
      </c>
      <c r="C1044" s="3" t="inlineStr">
        <is>
          <t>IMF.RES:WEO</t>
        </is>
      </c>
      <c r="D1044" s="3" t="inlineStr">
        <is>
          <t>G400.NGDPD.A</t>
        </is>
      </c>
      <c r="E1044" s="3" t="inlineStr">
        <is>
          <t>Middle East and Central Asia</t>
        </is>
      </c>
      <c r="F1044" s="3" t="inlineStr">
        <is>
          <t>Gross domestic product (GDP), Current prices, US dollar</t>
        </is>
      </c>
      <c r="G1044" s="3" t="n">
        <v>1342.743236</v>
      </c>
      <c r="H1044" s="3" t="n">
        <v>1285.365885</v>
      </c>
      <c r="I1044" s="3" t="n">
        <v>1056.398285</v>
      </c>
      <c r="J1044" s="3" t="n">
        <v>1199.396376</v>
      </c>
      <c r="K1044" s="3" t="n">
        <v>1438.218033</v>
      </c>
      <c r="L1044" s="3" t="n">
        <v>1747.255081</v>
      </c>
      <c r="M1044" s="3" t="n">
        <v>2082.004099</v>
      </c>
      <c r="N1044" s="3" t="n">
        <v>2497.475888</v>
      </c>
      <c r="O1044" s="3" t="n">
        <v>3083.15566</v>
      </c>
      <c r="P1044" s="3" t="n">
        <v>2771.878939</v>
      </c>
      <c r="Q1044" s="3" t="n">
        <v>3263.469714</v>
      </c>
      <c r="R1044" s="3" t="n">
        <v>3863.031631</v>
      </c>
      <c r="S1044" s="3" t="n">
        <v>3952.098304</v>
      </c>
      <c r="T1044" s="3" t="n">
        <v>4100.230908</v>
      </c>
      <c r="U1044" s="3" t="n">
        <v>4225.232521</v>
      </c>
      <c r="V1044" s="3" t="n">
        <v>3781.549465</v>
      </c>
      <c r="W1044" s="3" t="n">
        <v>3706.267318</v>
      </c>
      <c r="X1044" s="3" t="n">
        <v>3815.975469</v>
      </c>
      <c r="Y1044" s="3" t="n">
        <v>3990.302772</v>
      </c>
      <c r="Z1044" s="3" t="n">
        <v>3923.3555</v>
      </c>
      <c r="AA1044" s="3" t="n">
        <v>3490.163039</v>
      </c>
      <c r="AB1044" s="3" t="n">
        <v>4165.641452</v>
      </c>
      <c r="AC1044" s="3" t="n">
        <v>5015.895279</v>
      </c>
      <c r="AD1044" s="3" t="n">
        <v>4961.199332</v>
      </c>
      <c r="AE1044" s="3" t="n">
        <v>5164.935766</v>
      </c>
      <c r="AF1044" s="3" t="n">
        <v>5279.904695</v>
      </c>
      <c r="AG1044" s="3" t="n">
        <v>5664.347463</v>
      </c>
      <c r="AH1044" s="3" t="n">
        <v>5940.952423</v>
      </c>
      <c r="AI1044" s="3" t="n">
        <v>6271.724077</v>
      </c>
      <c r="AJ1044" s="3" t="n">
        <v>6648.504213</v>
      </c>
      <c r="AK1044" s="3" t="n">
        <v>7036.603918</v>
      </c>
      <c r="AL1044" s="3" t="n">
        <v>7450.417263</v>
      </c>
      <c r="AM1044" s="3" t="n"/>
      <c r="AN1044" s="3" t="n"/>
      <c r="AO1044" s="3" t="n"/>
      <c r="AP1044" s="3" t="n"/>
      <c r="AQ1044" s="3" t="n"/>
      <c r="AR1044" s="3" t="n"/>
      <c r="AS1044" s="3" t="n"/>
      <c r="AT1044" s="3" t="n"/>
      <c r="AU1044" s="3" t="n"/>
    </row>
    <row r="1045">
      <c r="A1045" s="3" t="n">
        <v>2031</v>
      </c>
      <c r="B1045" s="3" t="inlineStr">
        <is>
          <t>G40</t>
        </is>
      </c>
      <c r="C1045" s="3" t="inlineStr">
        <is>
          <t>IMF.RES:WEO</t>
        </is>
      </c>
      <c r="D1045" s="3" t="inlineStr">
        <is>
          <t>G400.PCPIPCH.A</t>
        </is>
      </c>
      <c r="E1045" s="3" t="inlineStr">
        <is>
          <t>Middle East and Central Asia</t>
        </is>
      </c>
      <c r="F1045" s="3" t="inlineStr">
        <is>
          <t>All Items, Consumer price index (CPI), Period average, percent change</t>
        </is>
      </c>
      <c r="G1045" s="3" t="n">
        <v>3.808041</v>
      </c>
      <c r="H1045" s="3" t="n">
        <v>3.825498</v>
      </c>
      <c r="I1045" s="3" t="n">
        <v>4.952522</v>
      </c>
      <c r="J1045" s="3" t="n">
        <v>5.177764</v>
      </c>
      <c r="K1045" s="3" t="n">
        <v>6.057795</v>
      </c>
      <c r="L1045" s="3" t="n">
        <v>6.839037</v>
      </c>
      <c r="M1045" s="3" t="n">
        <v>7.720733</v>
      </c>
      <c r="N1045" s="3" t="n">
        <v>10.08633</v>
      </c>
      <c r="O1045" s="3" t="n">
        <v>12.386312</v>
      </c>
      <c r="P1045" s="3" t="n">
        <v>7.23726</v>
      </c>
      <c r="Q1045" s="3" t="n">
        <v>6.803693</v>
      </c>
      <c r="R1045" s="3" t="n">
        <v>9.782166</v>
      </c>
      <c r="S1045" s="3" t="n">
        <v>9.349239000000001</v>
      </c>
      <c r="T1045" s="3" t="n">
        <v>8.61223</v>
      </c>
      <c r="U1045" s="3" t="n">
        <v>6.50738</v>
      </c>
      <c r="V1045" s="3" t="n">
        <v>5.357051</v>
      </c>
      <c r="W1045" s="3" t="n">
        <v>5.398582</v>
      </c>
      <c r="X1045" s="3" t="n">
        <v>6.822625</v>
      </c>
      <c r="Y1045" s="3" t="n">
        <v>9.505526</v>
      </c>
      <c r="Z1045" s="3" t="n">
        <v>7.42945</v>
      </c>
      <c r="AA1045" s="3" t="n">
        <v>10.388426</v>
      </c>
      <c r="AB1045" s="3" t="n">
        <v>11.939675</v>
      </c>
      <c r="AC1045" s="3" t="n">
        <v>13.269034</v>
      </c>
      <c r="AD1045" s="3" t="n">
        <v>15.465028</v>
      </c>
      <c r="AE1045" s="3" t="n">
        <v>13.891073</v>
      </c>
      <c r="AF1045" s="3" t="n">
        <v>11.232449</v>
      </c>
      <c r="AG1045" s="3" t="n">
        <v>11.942605</v>
      </c>
      <c r="AH1045" s="3" t="n">
        <v>9.095609</v>
      </c>
      <c r="AI1045" s="3" t="n">
        <v>7.62642</v>
      </c>
      <c r="AJ1045" s="3" t="n">
        <v>6.698269</v>
      </c>
      <c r="AK1045" s="3" t="n">
        <v>6.104584</v>
      </c>
      <c r="AL1045" s="3" t="n">
        <v>6.022266</v>
      </c>
      <c r="AM1045" s="3" t="n"/>
      <c r="AN1045" s="3" t="n"/>
      <c r="AO1045" s="3" t="n"/>
      <c r="AP1045" s="3" t="n"/>
      <c r="AQ1045" s="3" t="n"/>
      <c r="AR1045" s="3" t="n"/>
      <c r="AS1045" s="3" t="n"/>
      <c r="AT1045" s="3" t="n"/>
      <c r="AU1045" s="3" t="n"/>
    </row>
    <row r="1046">
      <c r="A1046" s="3" t="n">
        <v>2031</v>
      </c>
      <c r="B1046" s="3" t="inlineStr">
        <is>
          <t>G40</t>
        </is>
      </c>
      <c r="C1046" s="3" t="inlineStr">
        <is>
          <t>IMF.RES:WEO</t>
        </is>
      </c>
      <c r="D1046" s="3" t="inlineStr">
        <is>
          <t>G400.PPPPC.A</t>
        </is>
      </c>
      <c r="E1046" s="3" t="inlineStr">
        <is>
          <t>Middle East and Central Asia</t>
        </is>
      </c>
      <c r="F1046" s="3" t="inlineStr">
        <is>
          <t>Gross domestic product (GDP), Per capita, purchasing power parity (PPP) international dollar, ICP benchmarks 2017-2021</t>
        </is>
      </c>
      <c r="G1046" s="3" t="n">
        <v>6692.017371</v>
      </c>
      <c r="H1046" s="3" t="n">
        <v>6935.034524</v>
      </c>
      <c r="I1046" s="3" t="n">
        <v>6922.316402</v>
      </c>
      <c r="J1046" s="3" t="n">
        <v>7221.820553</v>
      </c>
      <c r="K1046" s="3" t="n">
        <v>7831.300388</v>
      </c>
      <c r="L1046" s="3" t="n">
        <v>8371.498857</v>
      </c>
      <c r="M1046" s="3" t="n">
        <v>8970.476172000001</v>
      </c>
      <c r="N1046" s="3" t="n">
        <v>9554.351221000001</v>
      </c>
      <c r="O1046" s="3" t="n">
        <v>9976.323202</v>
      </c>
      <c r="P1046" s="3" t="n">
        <v>9964.186996</v>
      </c>
      <c r="Q1046" s="3" t="n">
        <v>10384.313771</v>
      </c>
      <c r="R1046" s="3" t="n">
        <v>11104.939929</v>
      </c>
      <c r="S1046" s="3" t="n">
        <v>11285.141101</v>
      </c>
      <c r="T1046" s="3" t="n">
        <v>11520.9793</v>
      </c>
      <c r="U1046" s="3" t="n">
        <v>11637.048369</v>
      </c>
      <c r="V1046" s="3" t="n">
        <v>11816.58828</v>
      </c>
      <c r="W1046" s="3" t="n">
        <v>12134.689576</v>
      </c>
      <c r="X1046" s="3" t="n">
        <v>12369.375087</v>
      </c>
      <c r="Y1046" s="3" t="n">
        <v>13043.360572</v>
      </c>
      <c r="Z1046" s="3" t="n">
        <v>13152.03463</v>
      </c>
      <c r="AA1046" s="3" t="n">
        <v>12497.875952</v>
      </c>
      <c r="AB1046" s="3" t="n">
        <v>13755.128671</v>
      </c>
      <c r="AC1046" s="3" t="n">
        <v>15354.135395</v>
      </c>
      <c r="AD1046" s="3" t="n">
        <v>16006.958762</v>
      </c>
      <c r="AE1046" s="3" t="n">
        <v>16531.645071</v>
      </c>
      <c r="AF1046" s="3" t="n">
        <v>17308.375745</v>
      </c>
      <c r="AG1046" s="3" t="n">
        <v>18587.410651</v>
      </c>
      <c r="AH1046" s="3" t="n">
        <v>19518.244338</v>
      </c>
      <c r="AI1046" s="3" t="n">
        <v>20266.056987</v>
      </c>
      <c r="AJ1046" s="3" t="n">
        <v>21071.850545</v>
      </c>
      <c r="AK1046" s="3" t="n">
        <v>21866.947434</v>
      </c>
      <c r="AL1046" s="3" t="n">
        <v>22645.378812</v>
      </c>
      <c r="AM1046" s="3" t="n"/>
      <c r="AN1046" s="3" t="n"/>
      <c r="AO1046" s="3" t="n"/>
      <c r="AP1046" s="3" t="n"/>
      <c r="AQ1046" s="3" t="n"/>
      <c r="AR1046" s="3" t="n"/>
      <c r="AS1046" s="3" t="n"/>
      <c r="AT1046" s="3" t="n"/>
      <c r="AU1046" s="3" t="n"/>
    </row>
    <row r="1047">
      <c r="A1047" s="3" t="n">
        <v>2031</v>
      </c>
      <c r="B1047" s="3" t="inlineStr">
        <is>
          <t>G50</t>
        </is>
      </c>
      <c r="C1047" s="3" t="inlineStr">
        <is>
          <t>IMF.RES:WEO</t>
        </is>
      </c>
      <c r="D1047" s="3" t="inlineStr">
        <is>
          <t>G505.BCA.A</t>
        </is>
      </c>
      <c r="E1047" s="3" t="inlineStr">
        <is>
          <t>Emerging and Developing Asia</t>
        </is>
      </c>
      <c r="F1047" s="3" t="inlineStr">
        <is>
          <t>Current account balance (credit less debit), US dollar</t>
        </is>
      </c>
      <c r="G1047" s="3" t="n">
        <v>43.246889</v>
      </c>
      <c r="H1047" s="3" t="n">
        <v>39.521062</v>
      </c>
      <c r="I1047" s="3" t="n">
        <v>61.729405</v>
      </c>
      <c r="J1047" s="3" t="n">
        <v>83.732136</v>
      </c>
      <c r="K1047" s="3" t="n">
        <v>91.42896</v>
      </c>
      <c r="L1047" s="3" t="n">
        <v>141.562598</v>
      </c>
      <c r="M1047" s="3" t="n">
        <v>271.965835</v>
      </c>
      <c r="N1047" s="3" t="n">
        <v>395.597145</v>
      </c>
      <c r="O1047" s="3" t="n">
        <v>424.229333</v>
      </c>
      <c r="P1047" s="3" t="n">
        <v>273.075261</v>
      </c>
      <c r="Q1047" s="3" t="n">
        <v>239.981257</v>
      </c>
      <c r="R1047" s="3" t="n">
        <v>97.755047</v>
      </c>
      <c r="S1047" s="3" t="n">
        <v>121.97293</v>
      </c>
      <c r="T1047" s="3" t="n">
        <v>100.979406</v>
      </c>
      <c r="U1047" s="3" t="n">
        <v>227.973769</v>
      </c>
      <c r="V1047" s="3" t="n">
        <v>292.862712</v>
      </c>
      <c r="W1047" s="3" t="n">
        <v>208.602318</v>
      </c>
      <c r="X1047" s="3" t="n">
        <v>165.648888</v>
      </c>
      <c r="Y1047" s="3" t="n">
        <v>-51.920123</v>
      </c>
      <c r="Z1047" s="3" t="n">
        <v>94.27093600000001</v>
      </c>
      <c r="AA1047" s="3" t="n">
        <v>323.403813</v>
      </c>
      <c r="AB1047" s="3" t="n">
        <v>287.948039</v>
      </c>
      <c r="AC1047" s="3" t="n">
        <v>336.389882</v>
      </c>
      <c r="AD1047" s="3" t="n">
        <v>253.417125</v>
      </c>
      <c r="AE1047" s="3" t="n">
        <v>422.725462</v>
      </c>
      <c r="AF1047" s="3" t="n">
        <v>741.381888</v>
      </c>
      <c r="AG1047" s="3" t="n">
        <v>638.8555229999999</v>
      </c>
      <c r="AH1047" s="3" t="n">
        <v>637.720738</v>
      </c>
      <c r="AI1047" s="3" t="n">
        <v>615.286985</v>
      </c>
      <c r="AJ1047" s="3" t="n">
        <v>621.758516</v>
      </c>
      <c r="AK1047" s="3" t="n">
        <v>623.142109</v>
      </c>
      <c r="AL1047" s="3" t="n">
        <v>619.211281</v>
      </c>
      <c r="AM1047" s="3" t="n"/>
      <c r="AN1047" s="3" t="n"/>
      <c r="AO1047" s="3" t="n"/>
      <c r="AP1047" s="3" t="n"/>
      <c r="AQ1047" s="3" t="n"/>
      <c r="AR1047" s="3" t="n"/>
      <c r="AS1047" s="3" t="n"/>
      <c r="AT1047" s="3" t="n"/>
      <c r="AU1047" s="3" t="n"/>
    </row>
    <row r="1048">
      <c r="A1048" s="3" t="n">
        <v>2031</v>
      </c>
      <c r="B1048" s="3" t="inlineStr">
        <is>
          <t>G50</t>
        </is>
      </c>
      <c r="C1048" s="3" t="inlineStr">
        <is>
          <t>IMF.RES:WEO</t>
        </is>
      </c>
      <c r="D1048" s="3" t="inlineStr">
        <is>
          <t>G505.BCA_NGDPD.A</t>
        </is>
      </c>
      <c r="E1048" s="3" t="inlineStr">
        <is>
          <t>Emerging and Developing Asia</t>
        </is>
      </c>
      <c r="F1048" s="3" t="inlineStr">
        <is>
          <t>Current account balance (credit less debit), Percent of GDP</t>
        </is>
      </c>
      <c r="G1048" s="3" t="n">
        <v>1.848405</v>
      </c>
      <c r="H1048" s="3" t="n">
        <v>1.598922</v>
      </c>
      <c r="I1048" s="3" t="n">
        <v>2.277356</v>
      </c>
      <c r="J1048" s="3" t="n">
        <v>2.708013</v>
      </c>
      <c r="K1048" s="3" t="n">
        <v>2.548318</v>
      </c>
      <c r="L1048" s="3" t="n">
        <v>3.413827</v>
      </c>
      <c r="M1048" s="3" t="n">
        <v>5.518058</v>
      </c>
      <c r="N1048" s="3" t="n">
        <v>6.343874</v>
      </c>
      <c r="O1048" s="3" t="n">
        <v>5.647148</v>
      </c>
      <c r="P1048" s="3" t="n">
        <v>3.341794</v>
      </c>
      <c r="Q1048" s="3" t="n">
        <v>2.4383</v>
      </c>
      <c r="R1048" s="3" t="n">
        <v>0.828057</v>
      </c>
      <c r="S1048" s="3" t="n">
        <v>0.938095</v>
      </c>
      <c r="T1048" s="3" t="n">
        <v>0.709495</v>
      </c>
      <c r="U1048" s="3" t="n">
        <v>1.482354</v>
      </c>
      <c r="V1048" s="3" t="n">
        <v>1.830581</v>
      </c>
      <c r="W1048" s="3" t="n">
        <v>1.265917</v>
      </c>
      <c r="X1048" s="3" t="n">
        <v>0.9142940000000001</v>
      </c>
      <c r="Y1048" s="3" t="n">
        <v>-0.260129</v>
      </c>
      <c r="Z1048" s="3" t="n">
        <v>0.453559</v>
      </c>
      <c r="AA1048" s="3" t="n">
        <v>1.53886</v>
      </c>
      <c r="AB1048" s="3" t="n">
        <v>1.159831</v>
      </c>
      <c r="AC1048" s="3" t="n">
        <v>1.32375</v>
      </c>
      <c r="AD1048" s="3" t="n">
        <v>0.981644</v>
      </c>
      <c r="AE1048" s="3" t="n">
        <v>1.577326</v>
      </c>
      <c r="AF1048" s="3" t="n">
        <v>2.659226</v>
      </c>
      <c r="AG1048" s="3" t="n">
        <v>2.157453</v>
      </c>
      <c r="AH1048" s="3" t="n">
        <v>2.031076</v>
      </c>
      <c r="AI1048" s="3" t="n">
        <v>1.834279</v>
      </c>
      <c r="AJ1048" s="3" t="n">
        <v>1.733815</v>
      </c>
      <c r="AK1048" s="3" t="n">
        <v>1.63056</v>
      </c>
      <c r="AL1048" s="3" t="n">
        <v>1.520765</v>
      </c>
      <c r="AM1048" s="3" t="n"/>
      <c r="AN1048" s="3" t="n"/>
      <c r="AO1048" s="3" t="n"/>
      <c r="AP1048" s="3" t="n"/>
      <c r="AQ1048" s="3" t="n"/>
      <c r="AR1048" s="3" t="n"/>
      <c r="AS1048" s="3" t="n"/>
      <c r="AT1048" s="3" t="n"/>
      <c r="AU1048" s="3" t="n"/>
    </row>
    <row r="1049">
      <c r="A1049" s="3" t="n">
        <v>2031</v>
      </c>
      <c r="B1049" s="3" t="inlineStr">
        <is>
          <t>G50</t>
        </is>
      </c>
      <c r="C1049" s="3" t="inlineStr">
        <is>
          <t>IMF.RES:WEO</t>
        </is>
      </c>
      <c r="D1049" s="3" t="inlineStr">
        <is>
          <t>G505.GGR_NGDP.A</t>
        </is>
      </c>
      <c r="E1049" s="3" t="inlineStr">
        <is>
          <t>Emerging and Developing Asia</t>
        </is>
      </c>
      <c r="F1049" s="3" t="inlineStr">
        <is>
          <t>Revenue, General government, Percent of GDP</t>
        </is>
      </c>
      <c r="G1049" s="3" t="n">
        <v>14.862068</v>
      </c>
      <c r="H1049" s="3" t="n">
        <v>15.995294</v>
      </c>
      <c r="I1049" s="3" t="n">
        <v>16.408502</v>
      </c>
      <c r="J1049" s="3" t="n">
        <v>16.806495</v>
      </c>
      <c r="K1049" s="3" t="n">
        <v>17.219869</v>
      </c>
      <c r="L1049" s="3" t="n">
        <v>17.627509</v>
      </c>
      <c r="M1049" s="3" t="n">
        <v>18.168159</v>
      </c>
      <c r="N1049" s="3" t="n">
        <v>18.951631</v>
      </c>
      <c r="O1049" s="3" t="n">
        <v>21.23105</v>
      </c>
      <c r="P1049" s="3" t="n">
        <v>21.510191</v>
      </c>
      <c r="Q1049" s="3" t="n">
        <v>22.039541</v>
      </c>
      <c r="R1049" s="3" t="n">
        <v>23.800092</v>
      </c>
      <c r="S1049" s="3" t="n">
        <v>24.694122</v>
      </c>
      <c r="T1049" s="3" t="n">
        <v>24.738834</v>
      </c>
      <c r="U1049" s="3" t="n">
        <v>24.994767</v>
      </c>
      <c r="V1049" s="3" t="n">
        <v>25.596802</v>
      </c>
      <c r="W1049" s="3" t="n">
        <v>25.326556</v>
      </c>
      <c r="X1049" s="3" t="n">
        <v>25.469284</v>
      </c>
      <c r="Y1049" s="3" t="n">
        <v>25.557953</v>
      </c>
      <c r="Z1049" s="3" t="n">
        <v>24.793278</v>
      </c>
      <c r="AA1049" s="3" t="n">
        <v>22.956084</v>
      </c>
      <c r="AB1049" s="3" t="n">
        <v>23.983529</v>
      </c>
      <c r="AC1049" s="3" t="n">
        <v>23.436446</v>
      </c>
      <c r="AD1049" s="3" t="n">
        <v>23.962907</v>
      </c>
      <c r="AE1049" s="3" t="n">
        <v>23.855665</v>
      </c>
      <c r="AF1049" s="3" t="n">
        <v>23.15326</v>
      </c>
      <c r="AG1049" s="3" t="n">
        <v>22.932252</v>
      </c>
      <c r="AH1049" s="3" t="n">
        <v>23.091484</v>
      </c>
      <c r="AI1049" s="3" t="n">
        <v>23.214152</v>
      </c>
      <c r="AJ1049" s="3" t="n">
        <v>23.281005</v>
      </c>
      <c r="AK1049" s="3" t="n">
        <v>23.33876</v>
      </c>
      <c r="AL1049" s="3" t="n">
        <v>23.339082</v>
      </c>
      <c r="AM1049" s="3" t="n"/>
      <c r="AN1049" s="3" t="n"/>
      <c r="AO1049" s="3" t="n"/>
      <c r="AP1049" s="3" t="n"/>
      <c r="AQ1049" s="3" t="n"/>
      <c r="AR1049" s="3" t="n"/>
      <c r="AS1049" s="3" t="n"/>
      <c r="AT1049" s="3" t="n"/>
      <c r="AU1049" s="3" t="n"/>
    </row>
    <row r="1050">
      <c r="A1050" s="3" t="n">
        <v>2031</v>
      </c>
      <c r="B1050" s="3" t="inlineStr">
        <is>
          <t>G50</t>
        </is>
      </c>
      <c r="C1050" s="3" t="inlineStr">
        <is>
          <t>IMF.RES:WEO</t>
        </is>
      </c>
      <c r="D1050" s="3" t="inlineStr">
        <is>
          <t>G505.GGX_NGDP.A</t>
        </is>
      </c>
      <c r="E1050" s="3" t="inlineStr">
        <is>
          <t>Emerging and Developing Asia</t>
        </is>
      </c>
      <c r="F1050" s="3" t="inlineStr">
        <is>
          <t>Expenditure, General government, Percent of GDP</t>
        </is>
      </c>
      <c r="G1050" s="3" t="n">
        <v>18.805614</v>
      </c>
      <c r="H1050" s="3" t="n">
        <v>20.300648</v>
      </c>
      <c r="I1050" s="3" t="n">
        <v>20.906117</v>
      </c>
      <c r="J1050" s="3" t="n">
        <v>20.755895</v>
      </c>
      <c r="K1050" s="3" t="n">
        <v>20.129995</v>
      </c>
      <c r="L1050" s="3" t="n">
        <v>19.805022</v>
      </c>
      <c r="M1050" s="3" t="n">
        <v>19.773256</v>
      </c>
      <c r="N1050" s="3" t="n">
        <v>19.886734</v>
      </c>
      <c r="O1050" s="3" t="n">
        <v>22.652074</v>
      </c>
      <c r="P1050" s="3" t="n">
        <v>24.728591</v>
      </c>
      <c r="Q1050" s="3" t="n">
        <v>24.124833</v>
      </c>
      <c r="R1050" s="3" t="n">
        <v>25.338029</v>
      </c>
      <c r="S1050" s="3" t="n">
        <v>26.286705</v>
      </c>
      <c r="T1050" s="3" t="n">
        <v>26.528822</v>
      </c>
      <c r="U1050" s="3" t="n">
        <v>26.691631</v>
      </c>
      <c r="V1050" s="3" t="n">
        <v>28.702264</v>
      </c>
      <c r="W1050" s="3" t="n">
        <v>29.004983</v>
      </c>
      <c r="X1050" s="3" t="n">
        <v>29.050497</v>
      </c>
      <c r="Y1050" s="3" t="n">
        <v>29.678191</v>
      </c>
      <c r="Z1050" s="3" t="n">
        <v>30.389315</v>
      </c>
      <c r="AA1050" s="3" t="n">
        <v>32.318639</v>
      </c>
      <c r="AB1050" s="3" t="n">
        <v>30.212833</v>
      </c>
      <c r="AC1050" s="3" t="n">
        <v>30.399442</v>
      </c>
      <c r="AD1050" s="3" t="n">
        <v>30.304691</v>
      </c>
      <c r="AE1050" s="3" t="n">
        <v>30.400722</v>
      </c>
      <c r="AF1050" s="3" t="n">
        <v>30.186241</v>
      </c>
      <c r="AG1050" s="3" t="n">
        <v>30.201794</v>
      </c>
      <c r="AH1050" s="3" t="n">
        <v>30.453327</v>
      </c>
      <c r="AI1050" s="3" t="n">
        <v>30.436078</v>
      </c>
      <c r="AJ1050" s="3" t="n">
        <v>30.333316</v>
      </c>
      <c r="AK1050" s="3" t="n">
        <v>30.308385</v>
      </c>
      <c r="AL1050" s="3" t="n">
        <v>30.286099</v>
      </c>
      <c r="AM1050" s="3" t="n"/>
      <c r="AN1050" s="3" t="n"/>
      <c r="AO1050" s="3" t="n"/>
      <c r="AP1050" s="3" t="n"/>
      <c r="AQ1050" s="3" t="n"/>
      <c r="AR1050" s="3" t="n"/>
      <c r="AS1050" s="3" t="n"/>
      <c r="AT1050" s="3" t="n"/>
      <c r="AU1050" s="3" t="n"/>
    </row>
    <row r="1051">
      <c r="A1051" s="3" t="n">
        <v>2031</v>
      </c>
      <c r="B1051" s="3" t="inlineStr">
        <is>
          <t>G50</t>
        </is>
      </c>
      <c r="C1051" s="3" t="inlineStr">
        <is>
          <t>IMF.RES:WEO</t>
        </is>
      </c>
      <c r="D1051" s="3" t="inlineStr">
        <is>
          <t>G505.NGDP_RPCH.A</t>
        </is>
      </c>
      <c r="E1051" s="3" t="inlineStr">
        <is>
          <t>Emerging and Developing Asia</t>
        </is>
      </c>
      <c r="F1051" s="3" t="inlineStr">
        <is>
          <t>Gross domestic product (GDP), Constant prices, Percent change</t>
        </is>
      </c>
      <c r="G1051" s="3" t="n">
        <v>6.455111</v>
      </c>
      <c r="H1051" s="3" t="n">
        <v>5.972369</v>
      </c>
      <c r="I1051" s="3" t="n">
        <v>6.603804</v>
      </c>
      <c r="J1051" s="3" t="n">
        <v>8.278292</v>
      </c>
      <c r="K1051" s="3" t="n">
        <v>8.398827000000001</v>
      </c>
      <c r="L1051" s="3" t="n">
        <v>8.940666</v>
      </c>
      <c r="M1051" s="3" t="n">
        <v>9.707948999999999</v>
      </c>
      <c r="N1051" s="3" t="n">
        <v>10.601601</v>
      </c>
      <c r="O1051" s="3" t="n">
        <v>7.078539</v>
      </c>
      <c r="P1051" s="3" t="n">
        <v>7.425554</v>
      </c>
      <c r="Q1051" s="3" t="n">
        <v>9.171206</v>
      </c>
      <c r="R1051" s="3" t="n">
        <v>7.492672</v>
      </c>
      <c r="S1051" s="3" t="n">
        <v>6.980218</v>
      </c>
      <c r="T1051" s="3" t="n">
        <v>6.8605</v>
      </c>
      <c r="U1051" s="3" t="n">
        <v>6.904427</v>
      </c>
      <c r="V1051" s="3" t="n">
        <v>6.799476</v>
      </c>
      <c r="W1051" s="3" t="n">
        <v>6.767462</v>
      </c>
      <c r="X1051" s="3" t="n">
        <v>6.60021</v>
      </c>
      <c r="Y1051" s="3" t="n">
        <v>6.423177</v>
      </c>
      <c r="Z1051" s="3" t="n">
        <v>5.379237</v>
      </c>
      <c r="AA1051" s="3" t="n">
        <v>-0.471859</v>
      </c>
      <c r="AB1051" s="3" t="n">
        <v>7.75557</v>
      </c>
      <c r="AC1051" s="3" t="n">
        <v>4.665057</v>
      </c>
      <c r="AD1051" s="3" t="n">
        <v>5.580363</v>
      </c>
      <c r="AE1051" s="3" t="n">
        <v>5.449411</v>
      </c>
      <c r="AF1051" s="3" t="n">
        <v>5.535063</v>
      </c>
      <c r="AG1051" s="3" t="n">
        <v>4.930313</v>
      </c>
      <c r="AH1051" s="3" t="n">
        <v>4.774667</v>
      </c>
      <c r="AI1051" s="3" t="n">
        <v>4.772992</v>
      </c>
      <c r="AJ1051" s="3" t="n">
        <v>4.624309</v>
      </c>
      <c r="AK1051" s="3" t="n">
        <v>4.462609</v>
      </c>
      <c r="AL1051" s="3" t="n">
        <v>4.463158</v>
      </c>
      <c r="AM1051" s="3" t="n"/>
      <c r="AN1051" s="3" t="n"/>
      <c r="AO1051" s="3" t="n"/>
      <c r="AP1051" s="3" t="n"/>
      <c r="AQ1051" s="3" t="n"/>
      <c r="AR1051" s="3" t="n"/>
      <c r="AS1051" s="3" t="n"/>
      <c r="AT1051" s="3" t="n"/>
      <c r="AU1051" s="3" t="n"/>
    </row>
    <row r="1052">
      <c r="A1052" s="3" t="n">
        <v>2031</v>
      </c>
      <c r="B1052" s="3" t="inlineStr">
        <is>
          <t>G50</t>
        </is>
      </c>
      <c r="C1052" s="3" t="inlineStr">
        <is>
          <t>IMF.RES:WEO</t>
        </is>
      </c>
      <c r="D1052" s="3" t="inlineStr">
        <is>
          <t>G505.NGDPD.A</t>
        </is>
      </c>
      <c r="E1052" s="3" t="inlineStr">
        <is>
          <t>Emerging and Developing Asia</t>
        </is>
      </c>
      <c r="F1052" s="3" t="inlineStr">
        <is>
          <t>Gross domestic product (GDP), Current prices, US dollar</t>
        </is>
      </c>
      <c r="G1052" s="3" t="n">
        <v>2339.702392</v>
      </c>
      <c r="H1052" s="3" t="n">
        <v>2471.732232</v>
      </c>
      <c r="I1052" s="3" t="n">
        <v>2710.5739</v>
      </c>
      <c r="J1052" s="3" t="n">
        <v>3092.014097</v>
      </c>
      <c r="K1052" s="3" t="n">
        <v>3587.847902</v>
      </c>
      <c r="L1052" s="3" t="n">
        <v>4146.772596</v>
      </c>
      <c r="M1052" s="3" t="n">
        <v>4928.681092</v>
      </c>
      <c r="N1052" s="3" t="n">
        <v>6235.916922</v>
      </c>
      <c r="O1052" s="3" t="n">
        <v>7512.275598</v>
      </c>
      <c r="P1052" s="3" t="n">
        <v>8171.517503</v>
      </c>
      <c r="Q1052" s="3" t="n">
        <v>9842.153319999999</v>
      </c>
      <c r="R1052" s="3" t="n">
        <v>11805.349792</v>
      </c>
      <c r="S1052" s="3" t="n">
        <v>13002.194913</v>
      </c>
      <c r="T1052" s="3" t="n">
        <v>14232.579164</v>
      </c>
      <c r="U1052" s="3" t="n">
        <v>15379.175767</v>
      </c>
      <c r="V1052" s="3" t="n">
        <v>15998.351623</v>
      </c>
      <c r="W1052" s="3" t="n">
        <v>16478.351585</v>
      </c>
      <c r="X1052" s="3" t="n">
        <v>18117.681454</v>
      </c>
      <c r="Y1052" s="3" t="n">
        <v>19959.343986</v>
      </c>
      <c r="Z1052" s="3" t="n">
        <v>20784.699579</v>
      </c>
      <c r="AA1052" s="3" t="n">
        <v>21015.807125</v>
      </c>
      <c r="AB1052" s="3" t="n">
        <v>24826.719267</v>
      </c>
      <c r="AC1052" s="3" t="n">
        <v>25411.880272</v>
      </c>
      <c r="AD1052" s="3" t="n">
        <v>25815.592662</v>
      </c>
      <c r="AE1052" s="3" t="n">
        <v>26800.138923</v>
      </c>
      <c r="AF1052" s="3" t="n">
        <v>27879.611791</v>
      </c>
      <c r="AG1052" s="3" t="n">
        <v>29611.56275</v>
      </c>
      <c r="AH1052" s="3" t="n">
        <v>31398.175452</v>
      </c>
      <c r="AI1052" s="3" t="n">
        <v>33543.81365</v>
      </c>
      <c r="AJ1052" s="3" t="n">
        <v>35860.726459</v>
      </c>
      <c r="AK1052" s="3" t="n">
        <v>38216.438958</v>
      </c>
      <c r="AL1052" s="3" t="n">
        <v>40717.09072</v>
      </c>
      <c r="AM1052" s="3" t="n"/>
      <c r="AN1052" s="3" t="n"/>
      <c r="AO1052" s="3" t="n"/>
      <c r="AP1052" s="3" t="n"/>
      <c r="AQ1052" s="3" t="n"/>
      <c r="AR1052" s="3" t="n"/>
      <c r="AS1052" s="3" t="n"/>
      <c r="AT1052" s="3" t="n"/>
      <c r="AU1052" s="3" t="n"/>
    </row>
    <row r="1053">
      <c r="A1053" s="3" t="n">
        <v>2031</v>
      </c>
      <c r="B1053" s="3" t="inlineStr">
        <is>
          <t>G50</t>
        </is>
      </c>
      <c r="C1053" s="3" t="inlineStr">
        <is>
          <t>IMF.RES:WEO</t>
        </is>
      </c>
      <c r="D1053" s="3" t="inlineStr">
        <is>
          <t>G505.PCPIPCH.A</t>
        </is>
      </c>
      <c r="E1053" s="3" t="inlineStr">
        <is>
          <t>Emerging and Developing Asia</t>
        </is>
      </c>
      <c r="F1053" s="3" t="inlineStr">
        <is>
          <t>All Items, Consumer price index (CPI), Period average, percent change</t>
        </is>
      </c>
      <c r="G1053" s="3" t="n">
        <v>2.063685</v>
      </c>
      <c r="H1053" s="3" t="n">
        <v>2.998386</v>
      </c>
      <c r="I1053" s="3" t="n">
        <v>2.643103</v>
      </c>
      <c r="J1053" s="3" t="n">
        <v>2.980948</v>
      </c>
      <c r="K1053" s="3" t="n">
        <v>4.302044</v>
      </c>
      <c r="L1053" s="3" t="n">
        <v>3.804765</v>
      </c>
      <c r="M1053" s="3" t="n">
        <v>4.563488</v>
      </c>
      <c r="N1053" s="3" t="n">
        <v>5.339559</v>
      </c>
      <c r="O1053" s="3" t="n">
        <v>7.764568</v>
      </c>
      <c r="P1053" s="3" t="n">
        <v>2.809665</v>
      </c>
      <c r="Q1053" s="3" t="n">
        <v>5.078656</v>
      </c>
      <c r="R1053" s="3" t="n">
        <v>6.2589</v>
      </c>
      <c r="S1053" s="3" t="n">
        <v>4.61997</v>
      </c>
      <c r="T1053" s="3" t="n">
        <v>4.663416</v>
      </c>
      <c r="U1053" s="3" t="n">
        <v>3.461888</v>
      </c>
      <c r="V1053" s="3" t="n">
        <v>2.640825</v>
      </c>
      <c r="W1053" s="3" t="n">
        <v>2.749468</v>
      </c>
      <c r="X1053" s="3" t="n">
        <v>2.43129</v>
      </c>
      <c r="Y1053" s="3" t="n">
        <v>2.656893</v>
      </c>
      <c r="Z1053" s="3" t="n">
        <v>3.292845</v>
      </c>
      <c r="AA1053" s="3" t="n">
        <v>3.159145</v>
      </c>
      <c r="AB1053" s="3" t="n">
        <v>2.273252</v>
      </c>
      <c r="AC1053" s="3" t="n">
        <v>3.869947</v>
      </c>
      <c r="AD1053" s="3" t="n">
        <v>2.349654</v>
      </c>
      <c r="AE1053" s="3" t="n">
        <v>1.929814</v>
      </c>
      <c r="AF1053" s="3" t="n">
        <v>1.132103</v>
      </c>
      <c r="AG1053" s="3" t="n">
        <v>2.614811</v>
      </c>
      <c r="AH1053" s="3" t="n">
        <v>2.495725</v>
      </c>
      <c r="AI1053" s="3" t="n">
        <v>2.598043</v>
      </c>
      <c r="AJ1053" s="3" t="n">
        <v>2.666556</v>
      </c>
      <c r="AK1053" s="3" t="n">
        <v>2.736425</v>
      </c>
      <c r="AL1053" s="3" t="n">
        <v>2.753894</v>
      </c>
      <c r="AM1053" s="3" t="n"/>
      <c r="AN1053" s="3" t="n"/>
      <c r="AO1053" s="3" t="n"/>
      <c r="AP1053" s="3" t="n"/>
      <c r="AQ1053" s="3" t="n"/>
      <c r="AR1053" s="3" t="n"/>
      <c r="AS1053" s="3" t="n"/>
      <c r="AT1053" s="3" t="n"/>
      <c r="AU1053" s="3" t="n"/>
    </row>
    <row r="1054">
      <c r="A1054" s="3" t="n">
        <v>2031</v>
      </c>
      <c r="B1054" s="3" t="inlineStr">
        <is>
          <t>G50</t>
        </is>
      </c>
      <c r="C1054" s="3" t="inlineStr">
        <is>
          <t>IMF.RES:WEO</t>
        </is>
      </c>
      <c r="D1054" s="3" t="inlineStr">
        <is>
          <t>G505.PPPPC.A</t>
        </is>
      </c>
      <c r="E1054" s="3" t="inlineStr">
        <is>
          <t>Emerging and Developing Asia</t>
        </is>
      </c>
      <c r="F1054" s="3" t="inlineStr">
        <is>
          <t>Gross domestic product (GDP), Per capita, purchasing power parity (PPP) international dollar, ICP benchmarks 2017-2021</t>
        </is>
      </c>
      <c r="G1054" s="3" t="n">
        <v>2588.813491</v>
      </c>
      <c r="H1054" s="3" t="n">
        <v>2767.185332</v>
      </c>
      <c r="I1054" s="3" t="n">
        <v>2956.539232</v>
      </c>
      <c r="J1054" s="3" t="n">
        <v>3224.465987</v>
      </c>
      <c r="K1054" s="3" t="n">
        <v>3546.291047</v>
      </c>
      <c r="L1054" s="3" t="n">
        <v>3936.980522</v>
      </c>
      <c r="M1054" s="3" t="n">
        <v>4401.19571</v>
      </c>
      <c r="N1054" s="3" t="n">
        <v>4942.342955</v>
      </c>
      <c r="O1054" s="3" t="n">
        <v>5335.308622</v>
      </c>
      <c r="P1054" s="3" t="n">
        <v>5704.008447</v>
      </c>
      <c r="Q1054" s="3" t="n">
        <v>6237.416905</v>
      </c>
      <c r="R1054" s="3" t="n">
        <v>6767.560211</v>
      </c>
      <c r="S1054" s="3" t="n">
        <v>7294.202305</v>
      </c>
      <c r="T1054" s="3" t="n">
        <v>7845.628317</v>
      </c>
      <c r="U1054" s="3" t="n">
        <v>8445.505332999999</v>
      </c>
      <c r="V1054" s="3" t="n">
        <v>9019.891261999999</v>
      </c>
      <c r="W1054" s="3" t="n">
        <v>9625.475925000001</v>
      </c>
      <c r="X1054" s="3" t="n">
        <v>10348.993201</v>
      </c>
      <c r="Y1054" s="3" t="n">
        <v>11212.258433</v>
      </c>
      <c r="Z1054" s="3" t="n">
        <v>12029.413323</v>
      </c>
      <c r="AA1054" s="3" t="n">
        <v>12189.239116</v>
      </c>
      <c r="AB1054" s="3" t="n">
        <v>13666.484266</v>
      </c>
      <c r="AC1054" s="3" t="n">
        <v>15238.21038</v>
      </c>
      <c r="AD1054" s="3" t="n">
        <v>16599.930286</v>
      </c>
      <c r="AE1054" s="3" t="n">
        <v>17845.482056</v>
      </c>
      <c r="AF1054" s="3" t="n">
        <v>19273.968777</v>
      </c>
      <c r="AG1054" s="3" t="n">
        <v>20706.322173</v>
      </c>
      <c r="AH1054" s="3" t="n">
        <v>22070.675058</v>
      </c>
      <c r="AI1054" s="3" t="n">
        <v>23402.036795</v>
      </c>
      <c r="AJ1054" s="3" t="n">
        <v>24816.337956</v>
      </c>
      <c r="AK1054" s="3" t="n">
        <v>26295.428053</v>
      </c>
      <c r="AL1054" s="3" t="n">
        <v>27860.129144</v>
      </c>
      <c r="AM1054" s="3" t="n"/>
      <c r="AN1054" s="3" t="n"/>
      <c r="AO1054" s="3" t="n"/>
      <c r="AP1054" s="3" t="n"/>
      <c r="AQ1054" s="3" t="n"/>
      <c r="AR1054" s="3" t="n"/>
      <c r="AS1054" s="3" t="n"/>
      <c r="AT1054" s="3" t="n"/>
      <c r="AU1054" s="3" t="n"/>
    </row>
    <row r="1055">
      <c r="A1055" s="3" t="n">
        <v>2031</v>
      </c>
      <c r="B1055" s="3" t="inlineStr">
        <is>
          <t>G51</t>
        </is>
      </c>
      <c r="C1055" s="3" t="inlineStr">
        <is>
          <t>IMF.RES:WEO</t>
        </is>
      </c>
      <c r="D1055" s="3" t="inlineStr">
        <is>
          <t>G510.BCA.A</t>
        </is>
      </c>
      <c r="E1055" s="3" t="inlineStr">
        <is>
          <t>ASEAN-5</t>
        </is>
      </c>
      <c r="F1055" s="3" t="inlineStr">
        <is>
          <t>Current account balance (credit less debit), US dollar</t>
        </is>
      </c>
      <c r="G1055" s="3" t="n">
        <v>34.200163</v>
      </c>
      <c r="H1055" s="3" t="n">
        <v>30.497616</v>
      </c>
      <c r="I1055" s="3" t="n">
        <v>33.150925</v>
      </c>
      <c r="J1055" s="3" t="n">
        <v>50.275077</v>
      </c>
      <c r="K1055" s="3" t="n">
        <v>46.93608</v>
      </c>
      <c r="L1055" s="3" t="n">
        <v>46.365394</v>
      </c>
      <c r="M1055" s="3" t="n">
        <v>84.969284</v>
      </c>
      <c r="N1055" s="3" t="n">
        <v>109.292065</v>
      </c>
      <c r="O1055" s="3" t="n">
        <v>69.829123</v>
      </c>
      <c r="P1055" s="3" t="n">
        <v>104.50834</v>
      </c>
      <c r="Q1055" s="3" t="n">
        <v>104.674746</v>
      </c>
      <c r="R1055" s="3" t="n">
        <v>111.282028</v>
      </c>
      <c r="S1055" s="3" t="n">
        <v>45.941088</v>
      </c>
      <c r="T1055" s="3" t="n">
        <v>33.014117</v>
      </c>
      <c r="U1055" s="3" t="n">
        <v>65.728054</v>
      </c>
      <c r="V1055" s="3" t="n">
        <v>84.075751</v>
      </c>
      <c r="W1055" s="3" t="n">
        <v>90.31723599999999</v>
      </c>
      <c r="X1055" s="3" t="n">
        <v>98.26545</v>
      </c>
      <c r="Y1055" s="3" t="n">
        <v>56.224917</v>
      </c>
      <c r="Z1055" s="3" t="n">
        <v>76.024563</v>
      </c>
      <c r="AA1055" s="3" t="n">
        <v>104.093352</v>
      </c>
      <c r="AB1055" s="3" t="n">
        <v>86.179524</v>
      </c>
      <c r="AC1055" s="3" t="n">
        <v>88.271163</v>
      </c>
      <c r="AD1055" s="3" t="n">
        <v>82.2379</v>
      </c>
      <c r="AE1055" s="3" t="n">
        <v>89.067927</v>
      </c>
      <c r="AF1055" s="3" t="n">
        <v>108.325733</v>
      </c>
      <c r="AG1055" s="3" t="n">
        <v>81.97989099999999</v>
      </c>
      <c r="AH1055" s="3" t="n">
        <v>97.145577</v>
      </c>
      <c r="AI1055" s="3" t="n">
        <v>109.397996</v>
      </c>
      <c r="AJ1055" s="3" t="n">
        <v>115.370827</v>
      </c>
      <c r="AK1055" s="3" t="n">
        <v>119.634857</v>
      </c>
      <c r="AL1055" s="3" t="n">
        <v>126.746601</v>
      </c>
      <c r="AM1055" s="3" t="n"/>
      <c r="AN1055" s="3" t="n"/>
      <c r="AO1055" s="3" t="n"/>
      <c r="AP1055" s="3" t="n"/>
      <c r="AQ1055" s="3" t="n"/>
      <c r="AR1055" s="3" t="n"/>
      <c r="AS1055" s="3" t="n"/>
      <c r="AT1055" s="3" t="n"/>
      <c r="AU1055" s="3" t="n"/>
    </row>
    <row r="1056">
      <c r="A1056" s="3" t="n">
        <v>2031</v>
      </c>
      <c r="B1056" s="3" t="inlineStr">
        <is>
          <t>G51</t>
        </is>
      </c>
      <c r="C1056" s="3" t="inlineStr">
        <is>
          <t>IMF.RES:WEO</t>
        </is>
      </c>
      <c r="D1056" s="3" t="inlineStr">
        <is>
          <t>G510.BCA_NGDPD.A</t>
        </is>
      </c>
      <c r="E1056" s="3" t="inlineStr">
        <is>
          <t>ASEAN-5</t>
        </is>
      </c>
      <c r="F1056" s="3" t="inlineStr">
        <is>
          <t>Current account balance (credit less debit), Percent of GDP</t>
        </is>
      </c>
      <c r="G1056" s="3" t="n">
        <v>5.818661</v>
      </c>
      <c r="H1056" s="3" t="n">
        <v>5.401894</v>
      </c>
      <c r="I1056" s="3" t="n">
        <v>5.230614</v>
      </c>
      <c r="J1056" s="3" t="n">
        <v>7.057767</v>
      </c>
      <c r="K1056" s="3" t="n">
        <v>5.880654</v>
      </c>
      <c r="L1056" s="3" t="n">
        <v>5.234235</v>
      </c>
      <c r="M1056" s="3" t="n">
        <v>7.978584</v>
      </c>
      <c r="N1056" s="3" t="n">
        <v>8.587488</v>
      </c>
      <c r="O1056" s="3" t="n">
        <v>4.762447</v>
      </c>
      <c r="P1056" s="3" t="n">
        <v>7.245365</v>
      </c>
      <c r="Q1056" s="3" t="n">
        <v>5.805535</v>
      </c>
      <c r="R1056" s="3" t="n">
        <v>5.351267</v>
      </c>
      <c r="S1056" s="3" t="n">
        <v>2.096473</v>
      </c>
      <c r="T1056" s="3" t="n">
        <v>1.465857</v>
      </c>
      <c r="U1056" s="3" t="n">
        <v>2.916879</v>
      </c>
      <c r="V1056" s="3" t="n">
        <v>3.860316</v>
      </c>
      <c r="W1056" s="3" t="n">
        <v>3.951083</v>
      </c>
      <c r="X1056" s="3" t="n">
        <v>3.987462</v>
      </c>
      <c r="Y1056" s="3" t="n">
        <v>2.135696</v>
      </c>
      <c r="Z1056" s="3" t="n">
        <v>2.732824</v>
      </c>
      <c r="AA1056" s="3" t="n">
        <v>3.988612</v>
      </c>
      <c r="AB1056" s="3" t="n">
        <v>2.970128</v>
      </c>
      <c r="AC1056" s="3" t="n">
        <v>2.810083</v>
      </c>
      <c r="AD1056" s="3" t="n">
        <v>2.541056</v>
      </c>
      <c r="AE1056" s="3" t="n">
        <v>2.633269</v>
      </c>
      <c r="AF1056" s="3" t="n">
        <v>3.0209</v>
      </c>
      <c r="AG1056" s="3" t="n">
        <v>2.152783</v>
      </c>
      <c r="AH1056" s="3" t="n">
        <v>2.401914</v>
      </c>
      <c r="AI1056" s="3" t="n">
        <v>2.539255</v>
      </c>
      <c r="AJ1056" s="3" t="n">
        <v>2.510291</v>
      </c>
      <c r="AK1056" s="3" t="n">
        <v>2.43894</v>
      </c>
      <c r="AL1056" s="3" t="n">
        <v>2.419818</v>
      </c>
      <c r="AM1056" s="3" t="n"/>
      <c r="AN1056" s="3" t="n"/>
      <c r="AO1056" s="3" t="n"/>
      <c r="AP1056" s="3" t="n"/>
      <c r="AQ1056" s="3" t="n"/>
      <c r="AR1056" s="3" t="n"/>
      <c r="AS1056" s="3" t="n"/>
      <c r="AT1056" s="3" t="n"/>
      <c r="AU1056" s="3" t="n"/>
    </row>
    <row r="1057">
      <c r="A1057" s="3" t="n">
        <v>2031</v>
      </c>
      <c r="B1057" s="3" t="inlineStr">
        <is>
          <t>G51</t>
        </is>
      </c>
      <c r="C1057" s="3" t="inlineStr">
        <is>
          <t>IMF.RES:WEO</t>
        </is>
      </c>
      <c r="D1057" s="3" t="inlineStr">
        <is>
          <t>G510.GGR_NGDP.A</t>
        </is>
      </c>
      <c r="E1057" s="3" t="inlineStr">
        <is>
          <t>ASEAN-5</t>
        </is>
      </c>
      <c r="F1057" s="3" t="inlineStr">
        <is>
          <t>Revenue, General government, Percent of GDP</t>
        </is>
      </c>
      <c r="G1057" s="3" t="n">
        <v>17.169304</v>
      </c>
      <c r="H1057" s="3" t="n">
        <v>19.355921</v>
      </c>
      <c r="I1057" s="3" t="n">
        <v>18.416806</v>
      </c>
      <c r="J1057" s="3" t="n">
        <v>18.704663</v>
      </c>
      <c r="K1057" s="3" t="n">
        <v>18.690542</v>
      </c>
      <c r="L1057" s="3" t="n">
        <v>18.804994</v>
      </c>
      <c r="M1057" s="3" t="n">
        <v>19.165604</v>
      </c>
      <c r="N1057" s="3" t="n">
        <v>18.933319</v>
      </c>
      <c r="O1057" s="3" t="n">
        <v>19.798999</v>
      </c>
      <c r="P1057" s="3" t="n">
        <v>17.786218</v>
      </c>
      <c r="Q1057" s="3" t="n">
        <v>17.669733</v>
      </c>
      <c r="R1057" s="3" t="n">
        <v>18.767946</v>
      </c>
      <c r="S1057" s="3" t="n">
        <v>19.182774</v>
      </c>
      <c r="T1057" s="3" t="n">
        <v>19.051318</v>
      </c>
      <c r="U1057" s="3" t="n">
        <v>18.769657</v>
      </c>
      <c r="V1057" s="3" t="n">
        <v>18.042498</v>
      </c>
      <c r="W1057" s="3" t="n">
        <v>17.58653</v>
      </c>
      <c r="X1057" s="3" t="n">
        <v>17.406452</v>
      </c>
      <c r="Y1057" s="3" t="n">
        <v>17.83339</v>
      </c>
      <c r="Z1057" s="3" t="n">
        <v>17.815243</v>
      </c>
      <c r="AA1057" s="3" t="n">
        <v>16.69195</v>
      </c>
      <c r="AB1057" s="3" t="n">
        <v>16.820875</v>
      </c>
      <c r="AC1057" s="3" t="n">
        <v>17.302777</v>
      </c>
      <c r="AD1057" s="3" t="n">
        <v>17.850431</v>
      </c>
      <c r="AE1057" s="3" t="n">
        <v>17.869215</v>
      </c>
      <c r="AF1057" s="3" t="n">
        <v>17.426209</v>
      </c>
      <c r="AG1057" s="3" t="n">
        <v>17.497334</v>
      </c>
      <c r="AH1057" s="3" t="n">
        <v>17.415943</v>
      </c>
      <c r="AI1057" s="3" t="n">
        <v>17.41508</v>
      </c>
      <c r="AJ1057" s="3" t="n">
        <v>17.431474</v>
      </c>
      <c r="AK1057" s="3" t="n">
        <v>17.451931</v>
      </c>
      <c r="AL1057" s="3" t="n">
        <v>17.457346</v>
      </c>
      <c r="AM1057" s="3" t="n"/>
      <c r="AN1057" s="3" t="n"/>
      <c r="AO1057" s="3" t="n"/>
      <c r="AP1057" s="3" t="n"/>
      <c r="AQ1057" s="3" t="n"/>
      <c r="AR1057" s="3" t="n"/>
      <c r="AS1057" s="3" t="n"/>
      <c r="AT1057" s="3" t="n"/>
      <c r="AU1057" s="3" t="n"/>
    </row>
    <row r="1058">
      <c r="A1058" s="3" t="n">
        <v>2031</v>
      </c>
      <c r="B1058" s="3" t="inlineStr">
        <is>
          <t>G51</t>
        </is>
      </c>
      <c r="C1058" s="3" t="inlineStr">
        <is>
          <t>IMF.RES:WEO</t>
        </is>
      </c>
      <c r="D1058" s="3" t="inlineStr">
        <is>
          <t>G510.GGX_NGDP.A</t>
        </is>
      </c>
      <c r="E1058" s="3" t="inlineStr">
        <is>
          <t>ASEAN-5</t>
        </is>
      </c>
      <c r="F1058" s="3" t="inlineStr">
        <is>
          <t>Expenditure, General government, Percent of GDP</t>
        </is>
      </c>
      <c r="G1058" s="3" t="n">
        <v>18.87216</v>
      </c>
      <c r="H1058" s="3" t="n">
        <v>21.361558</v>
      </c>
      <c r="I1058" s="3" t="n">
        <v>20.81444</v>
      </c>
      <c r="J1058" s="3" t="n">
        <v>19.785113</v>
      </c>
      <c r="K1058" s="3" t="n">
        <v>19.152509</v>
      </c>
      <c r="L1058" s="3" t="n">
        <v>18.487874</v>
      </c>
      <c r="M1058" s="3" t="n">
        <v>18.726824</v>
      </c>
      <c r="N1058" s="3" t="n">
        <v>18.653221</v>
      </c>
      <c r="O1058" s="3" t="n">
        <v>19.711007</v>
      </c>
      <c r="P1058" s="3" t="n">
        <v>20.054741</v>
      </c>
      <c r="Q1058" s="3" t="n">
        <v>18.492775</v>
      </c>
      <c r="R1058" s="3" t="n">
        <v>18.531272</v>
      </c>
      <c r="S1058" s="3" t="n">
        <v>19.480998</v>
      </c>
      <c r="T1058" s="3" t="n">
        <v>19.370528</v>
      </c>
      <c r="U1058" s="3" t="n">
        <v>19.181193</v>
      </c>
      <c r="V1058" s="3" t="n">
        <v>19.010304</v>
      </c>
      <c r="W1058" s="3" t="n">
        <v>18.539394</v>
      </c>
      <c r="X1058" s="3" t="n">
        <v>18.104859</v>
      </c>
      <c r="Y1058" s="3" t="n">
        <v>18.488392</v>
      </c>
      <c r="Z1058" s="3" t="n">
        <v>18.531615</v>
      </c>
      <c r="AA1058" s="3" t="n">
        <v>22.316282</v>
      </c>
      <c r="AB1058" s="3" t="n">
        <v>21.199917</v>
      </c>
      <c r="AC1058" s="3" t="n">
        <v>20.099192</v>
      </c>
      <c r="AD1058" s="3" t="n">
        <v>19.394361</v>
      </c>
      <c r="AE1058" s="3" t="n">
        <v>19.398306</v>
      </c>
      <c r="AF1058" s="3" t="n">
        <v>19.191231</v>
      </c>
      <c r="AG1058" s="3" t="n">
        <v>19.388002</v>
      </c>
      <c r="AH1058" s="3" t="n">
        <v>19.19413</v>
      </c>
      <c r="AI1058" s="3" t="n">
        <v>19.212027</v>
      </c>
      <c r="AJ1058" s="3" t="n">
        <v>19.264774</v>
      </c>
      <c r="AK1058" s="3" t="n">
        <v>19.265356</v>
      </c>
      <c r="AL1058" s="3" t="n">
        <v>19.262394</v>
      </c>
      <c r="AM1058" s="3" t="n"/>
      <c r="AN1058" s="3" t="n"/>
      <c r="AO1058" s="3" t="n"/>
      <c r="AP1058" s="3" t="n"/>
      <c r="AQ1058" s="3" t="n"/>
      <c r="AR1058" s="3" t="n"/>
      <c r="AS1058" s="3" t="n"/>
      <c r="AT1058" s="3" t="n"/>
      <c r="AU1058" s="3" t="n"/>
    </row>
    <row r="1059">
      <c r="A1059" s="3" t="n">
        <v>2031</v>
      </c>
      <c r="B1059" s="3" t="inlineStr">
        <is>
          <t>G51</t>
        </is>
      </c>
      <c r="C1059" s="3" t="inlineStr">
        <is>
          <t>IMF.RES:WEO</t>
        </is>
      </c>
      <c r="D1059" s="3" t="inlineStr">
        <is>
          <t>G510.NGDP_RPCH.A</t>
        </is>
      </c>
      <c r="E1059" s="3" t="inlineStr">
        <is>
          <t>ASEAN-5</t>
        </is>
      </c>
      <c r="F1059" s="3" t="inlineStr">
        <is>
          <t>Gross domestic product (GDP), Constant prices, Percent change</t>
        </is>
      </c>
      <c r="G1059" s="3" t="n">
        <v>5.627597</v>
      </c>
      <c r="H1059" s="3" t="n">
        <v>2.726822</v>
      </c>
      <c r="I1059" s="3" t="n">
        <v>4.869466</v>
      </c>
      <c r="J1059" s="3" t="n">
        <v>5.5162</v>
      </c>
      <c r="K1059" s="3" t="n">
        <v>6.158427</v>
      </c>
      <c r="L1059" s="3" t="n">
        <v>5.281725</v>
      </c>
      <c r="M1059" s="3" t="n">
        <v>5.660766</v>
      </c>
      <c r="N1059" s="3" t="n">
        <v>6.379123</v>
      </c>
      <c r="O1059" s="3" t="n">
        <v>4.937847</v>
      </c>
      <c r="P1059" s="3" t="n">
        <v>1.911316</v>
      </c>
      <c r="Q1059" s="3" t="n">
        <v>7.615791</v>
      </c>
      <c r="R1059" s="3" t="n">
        <v>4.640826</v>
      </c>
      <c r="S1059" s="3" t="n">
        <v>6.182564</v>
      </c>
      <c r="T1059" s="3" t="n">
        <v>4.918696</v>
      </c>
      <c r="U1059" s="3" t="n">
        <v>4.392192</v>
      </c>
      <c r="V1059" s="3" t="n">
        <v>4.566004</v>
      </c>
      <c r="W1059" s="3" t="n">
        <v>4.816579</v>
      </c>
      <c r="X1059" s="3" t="n">
        <v>5.177509</v>
      </c>
      <c r="Y1059" s="3" t="n">
        <v>4.927771</v>
      </c>
      <c r="Z1059" s="3" t="n">
        <v>4.196043</v>
      </c>
      <c r="AA1059" s="3" t="n">
        <v>-4.407179</v>
      </c>
      <c r="AB1059" s="3" t="n">
        <v>4.116829</v>
      </c>
      <c r="AC1059" s="3" t="n">
        <v>5.516489</v>
      </c>
      <c r="AD1059" s="3" t="n">
        <v>4.075569</v>
      </c>
      <c r="AE1059" s="3" t="n">
        <v>4.791883</v>
      </c>
      <c r="AF1059" s="3" t="n">
        <v>4.548358</v>
      </c>
      <c r="AG1059" s="3" t="n">
        <v>4.083646</v>
      </c>
      <c r="AH1059" s="3" t="n">
        <v>4.354918</v>
      </c>
      <c r="AI1059" s="3" t="n">
        <v>4.477804</v>
      </c>
      <c r="AJ1059" s="3" t="n">
        <v>4.521053</v>
      </c>
      <c r="AK1059" s="3" t="n">
        <v>4.555444</v>
      </c>
      <c r="AL1059" s="3" t="n">
        <v>4.57408</v>
      </c>
      <c r="AM1059" s="3" t="n"/>
      <c r="AN1059" s="3" t="n"/>
      <c r="AO1059" s="3" t="n"/>
      <c r="AP1059" s="3" t="n"/>
      <c r="AQ1059" s="3" t="n"/>
      <c r="AR1059" s="3" t="n"/>
      <c r="AS1059" s="3" t="n"/>
      <c r="AT1059" s="3" t="n"/>
      <c r="AU1059" s="3" t="n"/>
    </row>
    <row r="1060">
      <c r="A1060" s="3" t="n">
        <v>2031</v>
      </c>
      <c r="B1060" s="3" t="inlineStr">
        <is>
          <t>G51</t>
        </is>
      </c>
      <c r="C1060" s="3" t="inlineStr">
        <is>
          <t>IMF.RES:WEO</t>
        </is>
      </c>
      <c r="D1060" s="3" t="inlineStr">
        <is>
          <t>G510.NGDPD.A</t>
        </is>
      </c>
      <c r="E1060" s="3" t="inlineStr">
        <is>
          <t>ASEAN-5</t>
        </is>
      </c>
      <c r="F1060" s="3" t="inlineStr">
        <is>
          <t>Gross domestic product (GDP), Current prices, US dollar</t>
        </is>
      </c>
      <c r="G1060" s="3" t="n">
        <v>587.766916</v>
      </c>
      <c r="H1060" s="3" t="n">
        <v>564.5726110000001</v>
      </c>
      <c r="I1060" s="3" t="n">
        <v>633.786521</v>
      </c>
      <c r="J1060" s="3" t="n">
        <v>712.336898</v>
      </c>
      <c r="K1060" s="3" t="n">
        <v>798.143908</v>
      </c>
      <c r="L1060" s="3" t="n">
        <v>885.810324</v>
      </c>
      <c r="M1060" s="3" t="n">
        <v>1064.966903</v>
      </c>
      <c r="N1060" s="3" t="n">
        <v>1272.689517</v>
      </c>
      <c r="O1060" s="3" t="n">
        <v>1466.244473</v>
      </c>
      <c r="P1060" s="3" t="n">
        <v>1442.416579</v>
      </c>
      <c r="Q1060" s="3" t="n">
        <v>1803.016321</v>
      </c>
      <c r="R1060" s="3" t="n">
        <v>2079.545468</v>
      </c>
      <c r="S1060" s="3" t="n">
        <v>2191.351431</v>
      </c>
      <c r="T1060" s="3" t="n">
        <v>2252.206025</v>
      </c>
      <c r="U1060" s="3" t="n">
        <v>2253.369162</v>
      </c>
      <c r="V1060" s="3" t="n">
        <v>2177.950146</v>
      </c>
      <c r="W1060" s="3" t="n">
        <v>2285.885799</v>
      </c>
      <c r="X1060" s="3" t="n">
        <v>2464.360578</v>
      </c>
      <c r="Y1060" s="3" t="n">
        <v>2632.627488</v>
      </c>
      <c r="Z1060" s="3" t="n">
        <v>2781.904936</v>
      </c>
      <c r="AA1060" s="3" t="n">
        <v>2609.763709</v>
      </c>
      <c r="AB1060" s="3" t="n">
        <v>2901.542342</v>
      </c>
      <c r="AC1060" s="3" t="n">
        <v>3141.229333</v>
      </c>
      <c r="AD1060" s="3" t="n">
        <v>3236.366903</v>
      </c>
      <c r="AE1060" s="3" t="n">
        <v>3382.408781</v>
      </c>
      <c r="AF1060" s="3" t="n">
        <v>3585.876604</v>
      </c>
      <c r="AG1060" s="3" t="n">
        <v>3808.089295</v>
      </c>
      <c r="AH1060" s="3" t="n">
        <v>4044.507489</v>
      </c>
      <c r="AI1060" s="3" t="n">
        <v>4308.271857</v>
      </c>
      <c r="AJ1060" s="3" t="n">
        <v>4595.913824</v>
      </c>
      <c r="AK1060" s="3" t="n">
        <v>4905.197859</v>
      </c>
      <c r="AL1060" s="3" t="n">
        <v>5237.856785</v>
      </c>
      <c r="AM1060" s="3" t="n"/>
      <c r="AN1060" s="3" t="n"/>
      <c r="AO1060" s="3" t="n"/>
      <c r="AP1060" s="3" t="n"/>
      <c r="AQ1060" s="3" t="n"/>
      <c r="AR1060" s="3" t="n"/>
      <c r="AS1060" s="3" t="n"/>
      <c r="AT1060" s="3" t="n"/>
      <c r="AU1060" s="3" t="n"/>
    </row>
    <row r="1061">
      <c r="A1061" s="3" t="n">
        <v>2031</v>
      </c>
      <c r="B1061" s="3" t="inlineStr">
        <is>
          <t>G51</t>
        </is>
      </c>
      <c r="C1061" s="3" t="inlineStr">
        <is>
          <t>IMF.RES:WEO</t>
        </is>
      </c>
      <c r="D1061" s="3" t="inlineStr">
        <is>
          <t>G510.PCPIPCH.A</t>
        </is>
      </c>
      <c r="E1061" s="3" t="inlineStr">
        <is>
          <t>ASEAN-5</t>
        </is>
      </c>
      <c r="F1061" s="3" t="inlineStr">
        <is>
          <t>All Items, Consumer price index (CPI), Period average, percent change</t>
        </is>
      </c>
      <c r="G1061" s="3" t="n">
        <v>3.09208</v>
      </c>
      <c r="H1061" s="3" t="n">
        <v>6.223536</v>
      </c>
      <c r="I1061" s="3" t="n">
        <v>5.781889</v>
      </c>
      <c r="J1061" s="3" t="n">
        <v>3.767317</v>
      </c>
      <c r="K1061" s="3" t="n">
        <v>4.133546</v>
      </c>
      <c r="L1061" s="3" t="n">
        <v>6.730928</v>
      </c>
      <c r="M1061" s="3" t="n">
        <v>7.85685</v>
      </c>
      <c r="N1061" s="3" t="n">
        <v>3.976088</v>
      </c>
      <c r="O1061" s="3" t="n">
        <v>7.791924</v>
      </c>
      <c r="P1061" s="3" t="n">
        <v>2.572114</v>
      </c>
      <c r="Q1061" s="3" t="n">
        <v>3.905969</v>
      </c>
      <c r="R1061" s="3" t="n">
        <v>4.649469</v>
      </c>
      <c r="S1061" s="3" t="n">
        <v>3.416823</v>
      </c>
      <c r="T1061" s="3" t="n">
        <v>4.124277</v>
      </c>
      <c r="U1061" s="3" t="n">
        <v>4.219848</v>
      </c>
      <c r="V1061" s="3" t="n">
        <v>3.006636</v>
      </c>
      <c r="W1061" s="3" t="n">
        <v>2.022397</v>
      </c>
      <c r="X1061" s="3" t="n">
        <v>2.785353</v>
      </c>
      <c r="Y1061" s="3" t="n">
        <v>2.566978</v>
      </c>
      <c r="Z1061" s="3" t="n">
        <v>1.871573</v>
      </c>
      <c r="AA1061" s="3" t="n">
        <v>0.915474</v>
      </c>
      <c r="AB1061" s="3" t="n">
        <v>1.997804</v>
      </c>
      <c r="AC1061" s="3" t="n">
        <v>4.796395</v>
      </c>
      <c r="AD1061" s="3" t="n">
        <v>3.505748</v>
      </c>
      <c r="AE1061" s="3" t="n">
        <v>2.032495</v>
      </c>
      <c r="AF1061" s="3" t="n">
        <v>1.359731</v>
      </c>
      <c r="AG1061" s="3" t="n">
        <v>2.598071</v>
      </c>
      <c r="AH1061" s="3" t="n">
        <v>2.267814</v>
      </c>
      <c r="AI1061" s="3" t="n">
        <v>2.257711</v>
      </c>
      <c r="AJ1061" s="3" t="n">
        <v>2.289498</v>
      </c>
      <c r="AK1061" s="3" t="n">
        <v>2.310515</v>
      </c>
      <c r="AL1061" s="3" t="n">
        <v>2.361304</v>
      </c>
      <c r="AM1061" s="3" t="n"/>
      <c r="AN1061" s="3" t="n"/>
      <c r="AO1061" s="3" t="n"/>
      <c r="AP1061" s="3" t="n"/>
      <c r="AQ1061" s="3" t="n"/>
      <c r="AR1061" s="3" t="n"/>
      <c r="AS1061" s="3" t="n"/>
      <c r="AT1061" s="3" t="n"/>
      <c r="AU1061" s="3" t="n"/>
    </row>
    <row r="1062">
      <c r="A1062" s="3" t="n">
        <v>2031</v>
      </c>
      <c r="B1062" s="3" t="inlineStr">
        <is>
          <t>G51</t>
        </is>
      </c>
      <c r="C1062" s="3" t="inlineStr">
        <is>
          <t>IMF.RES:WEO</t>
        </is>
      </c>
      <c r="D1062" s="3" t="inlineStr">
        <is>
          <t>G510.PPPPC.A</t>
        </is>
      </c>
      <c r="E1062" s="3" t="inlineStr">
        <is>
          <t>ASEAN-5</t>
        </is>
      </c>
      <c r="F1062" s="3" t="inlineStr">
        <is>
          <t>Gross domestic product (GDP), Per capita, purchasing power parity (PPP) international dollar, ICP benchmarks 2017-2021</t>
        </is>
      </c>
      <c r="G1062" s="3" t="n">
        <v>5371.546241</v>
      </c>
      <c r="H1062" s="3" t="n">
        <v>5552.120904</v>
      </c>
      <c r="I1062" s="3" t="n">
        <v>5822.112057</v>
      </c>
      <c r="J1062" s="3" t="n">
        <v>6171.181256</v>
      </c>
      <c r="K1062" s="3" t="n">
        <v>6625.971086</v>
      </c>
      <c r="L1062" s="3" t="n">
        <v>7087.73806</v>
      </c>
      <c r="M1062" s="3" t="n">
        <v>7609.413683</v>
      </c>
      <c r="N1062" s="3" t="n">
        <v>8197.483215</v>
      </c>
      <c r="O1062" s="3" t="n">
        <v>8636.175337999999</v>
      </c>
      <c r="P1062" s="3" t="n">
        <v>8725.27846</v>
      </c>
      <c r="Q1062" s="3" t="n">
        <v>9368.992856999999</v>
      </c>
      <c r="R1062" s="3" t="n">
        <v>9844.623455999999</v>
      </c>
      <c r="S1062" s="3" t="n">
        <v>10504.267498</v>
      </c>
      <c r="T1062" s="3" t="n">
        <v>11054.796455</v>
      </c>
      <c r="U1062" s="3" t="n">
        <v>11588.852659</v>
      </c>
      <c r="V1062" s="3" t="n">
        <v>12086.553265</v>
      </c>
      <c r="W1062" s="3" t="n">
        <v>12628.162505</v>
      </c>
      <c r="X1062" s="3" t="n">
        <v>13370.949664</v>
      </c>
      <c r="Y1062" s="3" t="n">
        <v>14258.502846</v>
      </c>
      <c r="Z1062" s="3" t="n">
        <v>14985.539311</v>
      </c>
      <c r="AA1062" s="3" t="n">
        <v>14372.888938</v>
      </c>
      <c r="AB1062" s="3" t="n">
        <v>15709.366525</v>
      </c>
      <c r="AC1062" s="3" t="n">
        <v>17599.718882</v>
      </c>
      <c r="AD1062" s="3" t="n">
        <v>18816.914211</v>
      </c>
      <c r="AE1062" s="3" t="n">
        <v>20032.094924</v>
      </c>
      <c r="AF1062" s="3" t="n">
        <v>21348.72258</v>
      </c>
      <c r="AG1062" s="3" t="n">
        <v>22661.047324</v>
      </c>
      <c r="AH1062" s="3" t="n">
        <v>23965.245536</v>
      </c>
      <c r="AI1062" s="3" t="n">
        <v>25242.275476</v>
      </c>
      <c r="AJ1062" s="3" t="n">
        <v>26641.084795</v>
      </c>
      <c r="AK1062" s="3" t="n">
        <v>28149.611361</v>
      </c>
      <c r="AL1062" s="3" t="n">
        <v>29746.08932</v>
      </c>
      <c r="AM1062" s="3" t="n"/>
      <c r="AN1062" s="3" t="n"/>
      <c r="AO1062" s="3" t="n"/>
      <c r="AP1062" s="3" t="n"/>
      <c r="AQ1062" s="3" t="n"/>
      <c r="AR1062" s="3" t="n"/>
      <c r="AS1062" s="3" t="n"/>
      <c r="AT1062" s="3" t="n"/>
      <c r="AU1062" s="3" t="n"/>
    </row>
    <row r="1063">
      <c r="A1063" s="3" t="n">
        <v>2031</v>
      </c>
      <c r="B1063" s="3" t="inlineStr">
        <is>
          <t>G60</t>
        </is>
      </c>
      <c r="C1063" s="3" t="inlineStr">
        <is>
          <t>IMF.RES:WEO</t>
        </is>
      </c>
      <c r="D1063" s="3" t="inlineStr">
        <is>
          <t>G603.BCA.A</t>
        </is>
      </c>
      <c r="E1063" s="3" t="inlineStr">
        <is>
          <t>Sub-Saharan Africa (SSA)</t>
        </is>
      </c>
      <c r="F1063" s="3" t="inlineStr">
        <is>
          <t>Current account balance (credit less debit), US dollar</t>
        </is>
      </c>
      <c r="G1063" s="3" t="n">
        <v>5.053861</v>
      </c>
      <c r="H1063" s="3" t="n">
        <v>-2.526521</v>
      </c>
      <c r="I1063" s="3" t="n">
        <v>-2.7523</v>
      </c>
      <c r="J1063" s="3" t="n">
        <v>-2.13851</v>
      </c>
      <c r="K1063" s="3" t="n">
        <v>6.851959</v>
      </c>
      <c r="L1063" s="3" t="n">
        <v>28.124797</v>
      </c>
      <c r="M1063" s="3" t="n">
        <v>30.855597</v>
      </c>
      <c r="N1063" s="3" t="n">
        <v>14.685128</v>
      </c>
      <c r="O1063" s="3" t="n">
        <v>3.488869</v>
      </c>
      <c r="P1063" s="3" t="n">
        <v>-25.9756</v>
      </c>
      <c r="Q1063" s="3" t="n">
        <v>-10.818371</v>
      </c>
      <c r="R1063" s="3" t="n">
        <v>-9.950388</v>
      </c>
      <c r="S1063" s="3" t="n">
        <v>-28.673764</v>
      </c>
      <c r="T1063" s="3" t="n">
        <v>-38.027323</v>
      </c>
      <c r="U1063" s="3" t="n">
        <v>-64.849068</v>
      </c>
      <c r="V1063" s="3" t="n">
        <v>-90.8291</v>
      </c>
      <c r="W1063" s="3" t="n">
        <v>-52.685827</v>
      </c>
      <c r="X1063" s="3" t="n">
        <v>-31.19762</v>
      </c>
      <c r="Y1063" s="3" t="n">
        <v>-34.665326</v>
      </c>
      <c r="Z1063" s="3" t="n">
        <v>-51.251241</v>
      </c>
      <c r="AA1063" s="3" t="n">
        <v>-44.485522</v>
      </c>
      <c r="AB1063" s="3" t="n">
        <v>-15.446021</v>
      </c>
      <c r="AC1063" s="3" t="n">
        <v>-43.394175</v>
      </c>
      <c r="AD1063" s="3" t="n">
        <v>-50.292717</v>
      </c>
      <c r="AE1063" s="3" t="n">
        <v>-24.46107</v>
      </c>
      <c r="AF1063" s="3" t="n">
        <v>-18.722531</v>
      </c>
      <c r="AG1063" s="3" t="n">
        <v>-15.373766</v>
      </c>
      <c r="AH1063" s="3" t="n">
        <v>-27.863707</v>
      </c>
      <c r="AI1063" s="3" t="n">
        <v>-31.94762</v>
      </c>
      <c r="AJ1063" s="3" t="n">
        <v>-30.282187</v>
      </c>
      <c r="AK1063" s="3" t="n">
        <v>-31.085442</v>
      </c>
      <c r="AL1063" s="3" t="n">
        <v>-30.877334</v>
      </c>
      <c r="AM1063" s="3" t="n"/>
      <c r="AN1063" s="3" t="n"/>
      <c r="AO1063" s="3" t="n"/>
      <c r="AP1063" s="3" t="n"/>
      <c r="AQ1063" s="3" t="n"/>
      <c r="AR1063" s="3" t="n"/>
      <c r="AS1063" s="3" t="n"/>
      <c r="AT1063" s="3" t="n"/>
      <c r="AU1063" s="3" t="n"/>
    </row>
    <row r="1064">
      <c r="A1064" s="3" t="n">
        <v>2031</v>
      </c>
      <c r="B1064" s="3" t="inlineStr">
        <is>
          <t>G60</t>
        </is>
      </c>
      <c r="C1064" s="3" t="inlineStr">
        <is>
          <t>IMF.RES:WEO</t>
        </is>
      </c>
      <c r="D1064" s="3" t="inlineStr">
        <is>
          <t>G603.BCA_NGDPD.A</t>
        </is>
      </c>
      <c r="E1064" s="3" t="inlineStr">
        <is>
          <t>Sub-Saharan Africa (SSA)</t>
        </is>
      </c>
      <c r="F1064" s="3" t="inlineStr">
        <is>
          <t>Current account balance (credit less debit), Percent of GDP</t>
        </is>
      </c>
      <c r="G1064" s="3" t="n">
        <v>1.097194</v>
      </c>
      <c r="H1064" s="3" t="n">
        <v>-0.569791</v>
      </c>
      <c r="I1064" s="3" t="n">
        <v>-0.568378</v>
      </c>
      <c r="J1064" s="3" t="n">
        <v>-0.3564</v>
      </c>
      <c r="K1064" s="3" t="n">
        <v>0.929781</v>
      </c>
      <c r="L1064" s="3" t="n">
        <v>3.222909</v>
      </c>
      <c r="M1064" s="3" t="n">
        <v>3.049142</v>
      </c>
      <c r="N1064" s="3" t="n">
        <v>1.237996</v>
      </c>
      <c r="O1064" s="3" t="n">
        <v>0.254244</v>
      </c>
      <c r="P1064" s="3" t="n">
        <v>-1.979487</v>
      </c>
      <c r="Q1064" s="3" t="n">
        <v>-0.694531</v>
      </c>
      <c r="R1064" s="3" t="n">
        <v>-0.558391</v>
      </c>
      <c r="S1064" s="3" t="n">
        <v>-1.521105</v>
      </c>
      <c r="T1064" s="3" t="n">
        <v>-1.906626</v>
      </c>
      <c r="U1064" s="3" t="n">
        <v>-3.091408</v>
      </c>
      <c r="V1064" s="3" t="n">
        <v>-4.872366</v>
      </c>
      <c r="W1064" s="3" t="n">
        <v>-3.081128</v>
      </c>
      <c r="X1064" s="3" t="n">
        <v>-1.725759</v>
      </c>
      <c r="Y1064" s="3" t="n">
        <v>-1.765667</v>
      </c>
      <c r="Z1064" s="3" t="n">
        <v>-2.540191</v>
      </c>
      <c r="AA1064" s="3" t="n">
        <v>-2.381716</v>
      </c>
      <c r="AB1064" s="3" t="n">
        <v>-0.739397</v>
      </c>
      <c r="AC1064" s="3" t="n">
        <v>-1.946054</v>
      </c>
      <c r="AD1064" s="3" t="n">
        <v>-2.400049</v>
      </c>
      <c r="AE1064" s="3" t="n">
        <v>-1.266337</v>
      </c>
      <c r="AF1064" s="3" t="n">
        <v>-0.878504</v>
      </c>
      <c r="AG1064" s="3" t="n">
        <v>-0.630765</v>
      </c>
      <c r="AH1064" s="3" t="n">
        <v>-1.084875</v>
      </c>
      <c r="AI1064" s="3" t="n">
        <v>-1.172697</v>
      </c>
      <c r="AJ1064" s="3" t="n">
        <v>-1.038575</v>
      </c>
      <c r="AK1064" s="3" t="n">
        <v>-0.994553</v>
      </c>
      <c r="AL1064" s="3" t="n">
        <v>-0.9216760000000001</v>
      </c>
      <c r="AM1064" s="3" t="n"/>
      <c r="AN1064" s="3" t="n"/>
      <c r="AO1064" s="3" t="n"/>
      <c r="AP1064" s="3" t="n"/>
      <c r="AQ1064" s="3" t="n"/>
      <c r="AR1064" s="3" t="n"/>
      <c r="AS1064" s="3" t="n"/>
      <c r="AT1064" s="3" t="n"/>
      <c r="AU1064" s="3" t="n"/>
    </row>
    <row r="1065">
      <c r="A1065" s="3" t="n">
        <v>2031</v>
      </c>
      <c r="B1065" s="3" t="inlineStr">
        <is>
          <t>G60</t>
        </is>
      </c>
      <c r="C1065" s="3" t="inlineStr">
        <is>
          <t>IMF.RES:WEO</t>
        </is>
      </c>
      <c r="D1065" s="3" t="inlineStr">
        <is>
          <t>G603.GGR_NGDP.A</t>
        </is>
      </c>
      <c r="E1065" s="3" t="inlineStr">
        <is>
          <t>Sub-Saharan Africa (SSA)</t>
        </is>
      </c>
      <c r="F1065" s="3" t="inlineStr">
        <is>
          <t>Revenue, General government, Percent of GDP</t>
        </is>
      </c>
      <c r="G1065" s="3" t="n">
        <v>18.966065</v>
      </c>
      <c r="H1065" s="3" t="n">
        <v>19.069265</v>
      </c>
      <c r="I1065" s="3" t="n">
        <v>17.156784</v>
      </c>
      <c r="J1065" s="3" t="n">
        <v>17.852738</v>
      </c>
      <c r="K1065" s="3" t="n">
        <v>18.96061</v>
      </c>
      <c r="L1065" s="3" t="n">
        <v>20.065196</v>
      </c>
      <c r="M1065" s="3" t="n">
        <v>21.093214</v>
      </c>
      <c r="N1065" s="3" t="n">
        <v>19.593402</v>
      </c>
      <c r="O1065" s="3" t="n">
        <v>20.373643</v>
      </c>
      <c r="P1065" s="3" t="n">
        <v>16.511357</v>
      </c>
      <c r="Q1065" s="3" t="n">
        <v>17.519289</v>
      </c>
      <c r="R1065" s="3" t="n">
        <v>19.516526</v>
      </c>
      <c r="S1065" s="3" t="n">
        <v>18.559</v>
      </c>
      <c r="T1065" s="3" t="n">
        <v>17.030398</v>
      </c>
      <c r="U1065" s="3" t="n">
        <v>16.231098</v>
      </c>
      <c r="V1065" s="3" t="n">
        <v>14.55477</v>
      </c>
      <c r="W1065" s="3" t="n">
        <v>13.99716</v>
      </c>
      <c r="X1065" s="3" t="n">
        <v>14.994105</v>
      </c>
      <c r="Y1065" s="3" t="n">
        <v>15.49721</v>
      </c>
      <c r="Z1065" s="3" t="n">
        <v>15.005104</v>
      </c>
      <c r="AA1065" s="3" t="n">
        <v>14.083426</v>
      </c>
      <c r="AB1065" s="3" t="n">
        <v>15.475656</v>
      </c>
      <c r="AC1065" s="3" t="n">
        <v>16.342683</v>
      </c>
      <c r="AD1065" s="3" t="n">
        <v>16.386281</v>
      </c>
      <c r="AE1065" s="3" t="n">
        <v>18.073078</v>
      </c>
      <c r="AF1065" s="3" t="n">
        <v>18.377542</v>
      </c>
      <c r="AG1065" s="3" t="n">
        <v>18.448603</v>
      </c>
      <c r="AH1065" s="3" t="n">
        <v>18.458727</v>
      </c>
      <c r="AI1065" s="3" t="n">
        <v>18.50918</v>
      </c>
      <c r="AJ1065" s="3" t="n">
        <v>18.517021</v>
      </c>
      <c r="AK1065" s="3" t="n">
        <v>18.548064</v>
      </c>
      <c r="AL1065" s="3" t="n">
        <v>18.488419</v>
      </c>
      <c r="AM1065" s="3" t="n"/>
      <c r="AN1065" s="3" t="n"/>
      <c r="AO1065" s="3" t="n"/>
      <c r="AP1065" s="3" t="n"/>
      <c r="AQ1065" s="3" t="n"/>
      <c r="AR1065" s="3" t="n"/>
      <c r="AS1065" s="3" t="n"/>
      <c r="AT1065" s="3" t="n"/>
      <c r="AU1065" s="3" t="n"/>
    </row>
    <row r="1066">
      <c r="A1066" s="3" t="n">
        <v>2031</v>
      </c>
      <c r="B1066" s="3" t="inlineStr">
        <is>
          <t>G60</t>
        </is>
      </c>
      <c r="C1066" s="3" t="inlineStr">
        <is>
          <t>IMF.RES:WEO</t>
        </is>
      </c>
      <c r="D1066" s="3" t="inlineStr">
        <is>
          <t>G603.GGX_NGDP.A</t>
        </is>
      </c>
      <c r="E1066" s="3" t="inlineStr">
        <is>
          <t>Sub-Saharan Africa (SSA)</t>
        </is>
      </c>
      <c r="F1066" s="3" t="inlineStr">
        <is>
          <t>Expenditure, General government, Percent of GDP</t>
        </is>
      </c>
      <c r="G1066" s="3" t="n">
        <v>19.179359</v>
      </c>
      <c r="H1066" s="3" t="n">
        <v>20.51509</v>
      </c>
      <c r="I1066" s="3" t="n">
        <v>17.979516</v>
      </c>
      <c r="J1066" s="3" t="n">
        <v>19.381749</v>
      </c>
      <c r="K1066" s="3" t="n">
        <v>18.551631</v>
      </c>
      <c r="L1066" s="3" t="n">
        <v>18.800324</v>
      </c>
      <c r="M1066" s="3" t="n">
        <v>17.469327</v>
      </c>
      <c r="N1066" s="3" t="n">
        <v>19.155004</v>
      </c>
      <c r="O1066" s="3" t="n">
        <v>19.344815</v>
      </c>
      <c r="P1066" s="3" t="n">
        <v>20.288587</v>
      </c>
      <c r="Q1066" s="3" t="n">
        <v>20.425955</v>
      </c>
      <c r="R1066" s="3" t="n">
        <v>20.487569</v>
      </c>
      <c r="S1066" s="3" t="n">
        <v>20.023342</v>
      </c>
      <c r="T1066" s="3" t="n">
        <v>19.667759</v>
      </c>
      <c r="U1066" s="3" t="n">
        <v>19.229224</v>
      </c>
      <c r="V1066" s="3" t="n">
        <v>18.195202</v>
      </c>
      <c r="W1066" s="3" t="n">
        <v>17.845272</v>
      </c>
      <c r="X1066" s="3" t="n">
        <v>18.985111</v>
      </c>
      <c r="Y1066" s="3" t="n">
        <v>18.628585</v>
      </c>
      <c r="Z1066" s="3" t="n">
        <v>18.729098</v>
      </c>
      <c r="AA1066" s="3" t="n">
        <v>20.01414</v>
      </c>
      <c r="AB1066" s="3" t="n">
        <v>20.079643</v>
      </c>
      <c r="AC1066" s="3" t="n">
        <v>20.337813</v>
      </c>
      <c r="AD1066" s="3" t="n">
        <v>20.367018</v>
      </c>
      <c r="AE1066" s="3" t="n">
        <v>21.778983</v>
      </c>
      <c r="AF1066" s="3" t="n">
        <v>22.164576</v>
      </c>
      <c r="AG1066" s="3" t="n">
        <v>22.481232</v>
      </c>
      <c r="AH1066" s="3" t="n">
        <v>21.938389</v>
      </c>
      <c r="AI1066" s="3" t="n">
        <v>21.819054</v>
      </c>
      <c r="AJ1066" s="3" t="n">
        <v>21.711894</v>
      </c>
      <c r="AK1066" s="3" t="n">
        <v>21.665938</v>
      </c>
      <c r="AL1066" s="3" t="n">
        <v>21.600116</v>
      </c>
      <c r="AM1066" s="3" t="n"/>
      <c r="AN1066" s="3" t="n"/>
      <c r="AO1066" s="3" t="n"/>
      <c r="AP1066" s="3" t="n"/>
      <c r="AQ1066" s="3" t="n"/>
      <c r="AR1066" s="3" t="n"/>
      <c r="AS1066" s="3" t="n"/>
      <c r="AT1066" s="3" t="n"/>
      <c r="AU1066" s="3" t="n"/>
    </row>
    <row r="1067">
      <c r="A1067" s="3" t="n">
        <v>2031</v>
      </c>
      <c r="B1067" s="3" t="inlineStr">
        <is>
          <t>G60</t>
        </is>
      </c>
      <c r="C1067" s="3" t="inlineStr">
        <is>
          <t>IMF.RES:WEO</t>
        </is>
      </c>
      <c r="D1067" s="3" t="inlineStr">
        <is>
          <t>G603.NGDP_RPCH.A</t>
        </is>
      </c>
      <c r="E1067" s="3" t="inlineStr">
        <is>
          <t>Sub-Saharan Africa (SSA)</t>
        </is>
      </c>
      <c r="F1067" s="3" t="inlineStr">
        <is>
          <t>Gross domestic product (GDP), Constant prices, Percent change</t>
        </is>
      </c>
      <c r="G1067" s="3" t="n">
        <v>3.884033</v>
      </c>
      <c r="H1067" s="3" t="n">
        <v>4.743602</v>
      </c>
      <c r="I1067" s="3" t="n">
        <v>6.817713</v>
      </c>
      <c r="J1067" s="3" t="n">
        <v>4.977686</v>
      </c>
      <c r="K1067" s="3" t="n">
        <v>7.11895</v>
      </c>
      <c r="L1067" s="3" t="n">
        <v>6.358474</v>
      </c>
      <c r="M1067" s="3" t="n">
        <v>6.021799</v>
      </c>
      <c r="N1067" s="3" t="n">
        <v>6.632867</v>
      </c>
      <c r="O1067" s="3" t="n">
        <v>5.652051</v>
      </c>
      <c r="P1067" s="3" t="n">
        <v>4.068712</v>
      </c>
      <c r="Q1067" s="3" t="n">
        <v>7.46889</v>
      </c>
      <c r="R1067" s="3" t="n">
        <v>5.072264</v>
      </c>
      <c r="S1067" s="3" t="n">
        <v>4.962037</v>
      </c>
      <c r="T1067" s="3" t="n">
        <v>4.897352</v>
      </c>
      <c r="U1067" s="3" t="n">
        <v>5.033694</v>
      </c>
      <c r="V1067" s="3" t="n">
        <v>3.167214</v>
      </c>
      <c r="W1067" s="3" t="n">
        <v>1.22939</v>
      </c>
      <c r="X1067" s="3" t="n">
        <v>2.781991</v>
      </c>
      <c r="Y1067" s="3" t="n">
        <v>3.192112</v>
      </c>
      <c r="Z1067" s="3" t="n">
        <v>3.000358</v>
      </c>
      <c r="AA1067" s="3" t="n">
        <v>-3.100099</v>
      </c>
      <c r="AB1067" s="3" t="n">
        <v>3.932406</v>
      </c>
      <c r="AC1067" s="3" t="n">
        <v>4.436618</v>
      </c>
      <c r="AD1067" s="3" t="n">
        <v>3.761556</v>
      </c>
      <c r="AE1067" s="3" t="n">
        <v>4.175309</v>
      </c>
      <c r="AF1067" s="3" t="n">
        <v>4.494251</v>
      </c>
      <c r="AG1067" s="3" t="n">
        <v>4.319698</v>
      </c>
      <c r="AH1067" s="3" t="n">
        <v>4.444665</v>
      </c>
      <c r="AI1067" s="3" t="n">
        <v>4.539686</v>
      </c>
      <c r="AJ1067" s="3" t="n">
        <v>4.672879</v>
      </c>
      <c r="AK1067" s="3" t="n">
        <v>4.71861</v>
      </c>
      <c r="AL1067" s="3" t="n">
        <v>4.698502</v>
      </c>
      <c r="AM1067" s="3" t="n"/>
      <c r="AN1067" s="3" t="n"/>
      <c r="AO1067" s="3" t="n"/>
      <c r="AP1067" s="3" t="n"/>
      <c r="AQ1067" s="3" t="n"/>
      <c r="AR1067" s="3" t="n"/>
      <c r="AS1067" s="3" t="n"/>
      <c r="AT1067" s="3" t="n"/>
      <c r="AU1067" s="3" t="n"/>
    </row>
    <row r="1068">
      <c r="A1068" s="3" t="n">
        <v>2031</v>
      </c>
      <c r="B1068" s="3" t="inlineStr">
        <is>
          <t>G60</t>
        </is>
      </c>
      <c r="C1068" s="3" t="inlineStr">
        <is>
          <t>IMF.RES:WEO</t>
        </is>
      </c>
      <c r="D1068" s="3" t="inlineStr">
        <is>
          <t>G603.NGDPD.A</t>
        </is>
      </c>
      <c r="E1068" s="3" t="inlineStr">
        <is>
          <t>Sub-Saharan Africa (SSA)</t>
        </is>
      </c>
      <c r="F1068" s="3" t="inlineStr">
        <is>
          <t>Gross domestic product (GDP), Current prices, US dollar</t>
        </is>
      </c>
      <c r="G1068" s="3" t="n">
        <v>461.775633</v>
      </c>
      <c r="H1068" s="3" t="n">
        <v>445.085727</v>
      </c>
      <c r="I1068" s="3" t="n">
        <v>486.307689</v>
      </c>
      <c r="J1068" s="3" t="n">
        <v>603.764038</v>
      </c>
      <c r="K1068" s="3" t="n">
        <v>742.8782670000001</v>
      </c>
      <c r="L1068" s="3" t="n">
        <v>880.843982</v>
      </c>
      <c r="M1068" s="3" t="n">
        <v>1022.039671</v>
      </c>
      <c r="N1068" s="3" t="n">
        <v>1186.201355</v>
      </c>
      <c r="O1068" s="3" t="n">
        <v>1372.250937</v>
      </c>
      <c r="P1068" s="3" t="n">
        <v>1312.239144</v>
      </c>
      <c r="Q1068" s="3" t="n">
        <v>1557.652123</v>
      </c>
      <c r="R1068" s="3" t="n">
        <v>1781.974352</v>
      </c>
      <c r="S1068" s="3" t="n">
        <v>1885.061764</v>
      </c>
      <c r="T1068" s="3" t="n">
        <v>1994.482237</v>
      </c>
      <c r="U1068" s="3" t="n">
        <v>2097.719236</v>
      </c>
      <c r="V1068" s="3" t="n">
        <v>1864.168141</v>
      </c>
      <c r="W1068" s="3" t="n">
        <v>1709.952343</v>
      </c>
      <c r="X1068" s="3" t="n">
        <v>1807.761964</v>
      </c>
      <c r="Y1068" s="3" t="n">
        <v>1963.298704</v>
      </c>
      <c r="Z1068" s="3" t="n">
        <v>2017.6138</v>
      </c>
      <c r="AA1068" s="3" t="n">
        <v>1867.792733</v>
      </c>
      <c r="AB1068" s="3" t="n">
        <v>2089.00285</v>
      </c>
      <c r="AC1068" s="3" t="n">
        <v>2229.854667</v>
      </c>
      <c r="AD1068" s="3" t="n">
        <v>2095.48693</v>
      </c>
      <c r="AE1068" s="3" t="n">
        <v>1931.640621</v>
      </c>
      <c r="AF1068" s="3" t="n">
        <v>2131.18363</v>
      </c>
      <c r="AG1068" s="3" t="n">
        <v>2437.319592</v>
      </c>
      <c r="AH1068" s="3" t="n">
        <v>2568.378459</v>
      </c>
      <c r="AI1068" s="3" t="n">
        <v>2724.285404</v>
      </c>
      <c r="AJ1068" s="3" t="n">
        <v>2915.744631</v>
      </c>
      <c r="AK1068" s="3" t="n">
        <v>3125.56888</v>
      </c>
      <c r="AL1068" s="3" t="n">
        <v>3350.130581</v>
      </c>
      <c r="AM1068" s="3" t="n"/>
      <c r="AN1068" s="3" t="n"/>
      <c r="AO1068" s="3" t="n"/>
      <c r="AP1068" s="3" t="n"/>
      <c r="AQ1068" s="3" t="n"/>
      <c r="AR1068" s="3" t="n"/>
      <c r="AS1068" s="3" t="n"/>
      <c r="AT1068" s="3" t="n"/>
      <c r="AU1068" s="3" t="n"/>
    </row>
    <row r="1069">
      <c r="A1069" s="3" t="n">
        <v>2031</v>
      </c>
      <c r="B1069" s="3" t="inlineStr">
        <is>
          <t>G60</t>
        </is>
      </c>
      <c r="C1069" s="3" t="inlineStr">
        <is>
          <t>IMF.RES:WEO</t>
        </is>
      </c>
      <c r="D1069" s="3" t="inlineStr">
        <is>
          <t>G603.PCPIPCH.A</t>
        </is>
      </c>
      <c r="E1069" s="3" t="inlineStr">
        <is>
          <t>Sub-Saharan Africa (SSA)</t>
        </is>
      </c>
      <c r="F1069" s="3" t="inlineStr">
        <is>
          <t>All Items, Consumer price index (CPI), Period average, percent change</t>
        </is>
      </c>
      <c r="G1069" s="3" t="n">
        <v>17.400699</v>
      </c>
      <c r="H1069" s="3" t="n">
        <v>16.90048</v>
      </c>
      <c r="I1069" s="3" t="n">
        <v>12.512504</v>
      </c>
      <c r="J1069" s="3" t="n">
        <v>12.378754</v>
      </c>
      <c r="K1069" s="3" t="n">
        <v>9.020692</v>
      </c>
      <c r="L1069" s="3" t="n">
        <v>10.873757</v>
      </c>
      <c r="M1069" s="3" t="n">
        <v>7.371267</v>
      </c>
      <c r="N1069" s="3" t="n">
        <v>6.772468</v>
      </c>
      <c r="O1069" s="3" t="n">
        <v>12.077653</v>
      </c>
      <c r="P1069" s="3" t="n">
        <v>9.924194</v>
      </c>
      <c r="Q1069" s="3" t="n">
        <v>8.426214</v>
      </c>
      <c r="R1069" s="3" t="n">
        <v>9.563197000000001</v>
      </c>
      <c r="S1069" s="3" t="n">
        <v>9.219885</v>
      </c>
      <c r="T1069" s="3" t="n">
        <v>6.623202</v>
      </c>
      <c r="U1069" s="3" t="n">
        <v>6.340905</v>
      </c>
      <c r="V1069" s="3" t="n">
        <v>6.78258</v>
      </c>
      <c r="W1069" s="3" t="n">
        <v>10.601653</v>
      </c>
      <c r="X1069" s="3" t="n">
        <v>11.142816</v>
      </c>
      <c r="Y1069" s="3" t="n">
        <v>8.711359</v>
      </c>
      <c r="Z1069" s="3" t="n">
        <v>9.604191</v>
      </c>
      <c r="AA1069" s="3" t="n">
        <v>12.362461</v>
      </c>
      <c r="AB1069" s="3" t="n">
        <v>12.328556</v>
      </c>
      <c r="AC1069" s="3" t="n">
        <v>16.083184</v>
      </c>
      <c r="AD1069" s="3" t="n">
        <v>19.399389</v>
      </c>
      <c r="AE1069" s="3" t="n">
        <v>20.72274</v>
      </c>
      <c r="AF1069" s="3" t="n">
        <v>12.481951</v>
      </c>
      <c r="AG1069" s="3" t="n">
        <v>8.754365999999999</v>
      </c>
      <c r="AH1069" s="3" t="n">
        <v>8.789778</v>
      </c>
      <c r="AI1069" s="3" t="n">
        <v>7.467579</v>
      </c>
      <c r="AJ1069" s="3" t="n">
        <v>6.582061</v>
      </c>
      <c r="AK1069" s="3" t="n">
        <v>6.535155</v>
      </c>
      <c r="AL1069" s="3" t="n">
        <v>6.494848</v>
      </c>
      <c r="AM1069" s="3" t="n"/>
      <c r="AN1069" s="3" t="n"/>
      <c r="AO1069" s="3" t="n"/>
      <c r="AP1069" s="3" t="n"/>
      <c r="AQ1069" s="3" t="n"/>
      <c r="AR1069" s="3" t="n"/>
      <c r="AS1069" s="3" t="n"/>
      <c r="AT1069" s="3" t="n"/>
      <c r="AU1069" s="3" t="n"/>
    </row>
    <row r="1070">
      <c r="A1070" s="3" t="n">
        <v>2031</v>
      </c>
      <c r="B1070" s="3" t="inlineStr">
        <is>
          <t>G60</t>
        </is>
      </c>
      <c r="C1070" s="3" t="inlineStr">
        <is>
          <t>IMF.RES:WEO</t>
        </is>
      </c>
      <c r="D1070" s="3" t="inlineStr">
        <is>
          <t>G603.PPPPC.A</t>
        </is>
      </c>
      <c r="E1070" s="3" t="inlineStr">
        <is>
          <t>Sub-Saharan Africa (SSA)</t>
        </is>
      </c>
      <c r="F1070" s="3" t="inlineStr">
        <is>
          <t>Gross domestic product (GDP), Per capita, purchasing power parity (PPP) international dollar, ICP benchmarks 2017-2021</t>
        </is>
      </c>
      <c r="G1070" s="3" t="n">
        <v>2257.981146</v>
      </c>
      <c r="H1070" s="3" t="n">
        <v>2349.450998</v>
      </c>
      <c r="I1070" s="3" t="n">
        <v>2470.721555</v>
      </c>
      <c r="J1070" s="3" t="n">
        <v>2568.335568</v>
      </c>
      <c r="K1070" s="3" t="n">
        <v>2743.072824</v>
      </c>
      <c r="L1070" s="3" t="n">
        <v>2925.249859</v>
      </c>
      <c r="M1070" s="3" t="n">
        <v>3107.998336</v>
      </c>
      <c r="N1070" s="3" t="n">
        <v>3305.375477</v>
      </c>
      <c r="O1070" s="3" t="n">
        <v>3453.098216</v>
      </c>
      <c r="P1070" s="3" t="n">
        <v>3509.264732</v>
      </c>
      <c r="Q1070" s="3" t="n">
        <v>3708.768121</v>
      </c>
      <c r="R1070" s="3" t="n">
        <v>3837.073786</v>
      </c>
      <c r="S1070" s="3" t="n">
        <v>3981.438729</v>
      </c>
      <c r="T1070" s="3" t="n">
        <v>4128.787138</v>
      </c>
      <c r="U1070" s="3" t="n">
        <v>4291.902401</v>
      </c>
      <c r="V1070" s="3" t="n">
        <v>4350.897005</v>
      </c>
      <c r="W1070" s="3" t="n">
        <v>4327.434454</v>
      </c>
      <c r="X1070" s="3" t="n">
        <v>4408.680177</v>
      </c>
      <c r="Y1070" s="3" t="n">
        <v>4497.178358</v>
      </c>
      <c r="Z1070" s="3" t="n">
        <v>4707.196551</v>
      </c>
      <c r="AA1070" s="3" t="n">
        <v>4643.665362</v>
      </c>
      <c r="AB1070" s="3" t="n">
        <v>4988.190109</v>
      </c>
      <c r="AC1070" s="3" t="n">
        <v>5444.825955</v>
      </c>
      <c r="AD1070" s="3" t="n">
        <v>5717.22926</v>
      </c>
      <c r="AE1070" s="3" t="n">
        <v>5948.361345</v>
      </c>
      <c r="AF1070" s="3" t="n">
        <v>6232.69144</v>
      </c>
      <c r="AG1070" s="3" t="n">
        <v>6524.581458</v>
      </c>
      <c r="AH1070" s="3" t="n">
        <v>6791.829559</v>
      </c>
      <c r="AI1070" s="3" t="n">
        <v>7040.078075</v>
      </c>
      <c r="AJ1070" s="3" t="n">
        <v>7319.553459</v>
      </c>
      <c r="AK1070" s="3" t="n">
        <v>7618.147355</v>
      </c>
      <c r="AL1070" s="3" t="n">
        <v>7924.185544</v>
      </c>
      <c r="AM1070" s="3" t="n"/>
      <c r="AN1070" s="3" t="n"/>
      <c r="AO1070" s="3" t="n"/>
      <c r="AP1070" s="3" t="n"/>
      <c r="AQ1070" s="3" t="n"/>
      <c r="AR1070" s="3" t="n"/>
      <c r="AS1070" s="3" t="n"/>
      <c r="AT1070" s="3" t="n"/>
      <c r="AU1070" s="3" t="n"/>
    </row>
    <row r="1071">
      <c r="A1071" s="3" t="n">
        <v>2025</v>
      </c>
      <c r="B1071" s="3" t="inlineStr">
        <is>
          <t>G75</t>
        </is>
      </c>
      <c r="C1071" s="3" t="inlineStr">
        <is>
          <t>IMF.STA:ER</t>
        </is>
      </c>
      <c r="D1071" s="3" t="inlineStr">
        <is>
          <t>G758.XDC_USD.PA_RT.A</t>
        </is>
      </c>
      <c r="E1071" s="3" t="inlineStr">
        <is>
          <t>Central African Economic and Monetary Community (CEMAC)</t>
        </is>
      </c>
      <c r="F1071" s="3" t="inlineStr">
        <is>
          <t>Domestic currency per US Dollar</t>
        </is>
      </c>
      <c r="G1071" s="3" t="n">
        <v>710.207977031367</v>
      </c>
      <c r="H1071" s="3" t="n">
        <v>732.397693260228</v>
      </c>
      <c r="I1071" s="3" t="n">
        <v>693.713226496374</v>
      </c>
      <c r="J1071" s="3" t="n">
        <v>579.897426172466</v>
      </c>
      <c r="K1071" s="3" t="n">
        <v>527.338032291576</v>
      </c>
      <c r="L1071" s="3" t="n">
        <v>527.258362649626</v>
      </c>
      <c r="M1071" s="3" t="n">
        <v>522.425624895176</v>
      </c>
      <c r="N1071" s="3" t="n">
        <v>478.633718476363</v>
      </c>
      <c r="O1071" s="3" t="n">
        <v>446.000041432788</v>
      </c>
      <c r="P1071" s="3" t="n">
        <v>470.293423341398</v>
      </c>
      <c r="Q1071" s="3" t="n">
        <v>494.794262222947</v>
      </c>
      <c r="R1071" s="3" t="n">
        <v>471.248625718937</v>
      </c>
      <c r="S1071" s="3" t="n">
        <v>510.556338454251</v>
      </c>
      <c r="T1071" s="3" t="n">
        <v>493.899623852237</v>
      </c>
      <c r="U1071" s="3" t="n">
        <v>493.757329875312</v>
      </c>
      <c r="V1071" s="3" t="n">
        <v>591.21169798261</v>
      </c>
      <c r="W1071" s="3" t="n">
        <v>592.605615063022</v>
      </c>
      <c r="X1071" s="3" t="n">
        <v>580.656749587858</v>
      </c>
      <c r="Y1071" s="3" t="n">
        <v>555.446458398226</v>
      </c>
      <c r="Z1071" s="3" t="n">
        <v>585.911013180369</v>
      </c>
      <c r="AA1071" s="3" t="n">
        <v>575.586004510945</v>
      </c>
      <c r="AB1071" s="3" t="n">
        <v>554.530675033104</v>
      </c>
      <c r="AC1071" s="3" t="n">
        <v>623.759700911182</v>
      </c>
      <c r="AD1071" s="3" t="n">
        <v>606.569750165917</v>
      </c>
      <c r="AE1071" s="3" t="n">
        <v>606.345297609062</v>
      </c>
      <c r="AF1071" s="3" t="n">
        <v>581.928481040339</v>
      </c>
      <c r="AG1071" s="3" t="n"/>
      <c r="AH1071" s="3" t="n"/>
      <c r="AI1071" s="3" t="n"/>
      <c r="AJ1071" s="3" t="n"/>
      <c r="AK1071" s="3" t="n"/>
      <c r="AL1071" s="3" t="n"/>
      <c r="AM1071" s="3" t="n"/>
      <c r="AN1071" s="3" t="n"/>
      <c r="AO1071" s="3" t="n"/>
      <c r="AP1071" s="3" t="n"/>
      <c r="AQ1071" s="3" t="n"/>
      <c r="AR1071" s="3" t="n"/>
      <c r="AS1071" s="3" t="n"/>
      <c r="AT1071" s="3" t="n"/>
      <c r="AU1071" s="3" t="n"/>
    </row>
    <row r="1072">
      <c r="A1072" s="3" t="n">
        <v>2025</v>
      </c>
      <c r="B1072" s="3" t="inlineStr">
        <is>
          <t>G75</t>
        </is>
      </c>
      <c r="C1072" s="3" t="inlineStr">
        <is>
          <t>IMF.STA:ER</t>
        </is>
      </c>
      <c r="D1072" s="3" t="inlineStr">
        <is>
          <t>G759.XDC_USD.PA_RT.A</t>
        </is>
      </c>
      <c r="E1072" s="3" t="inlineStr">
        <is>
          <t>West African Economic and Monetary Union (WAEMU)</t>
        </is>
      </c>
      <c r="F1072" s="3" t="inlineStr">
        <is>
          <t>Domestic currency per US Dollar</t>
        </is>
      </c>
      <c r="G1072" s="3" t="n">
        <v>710.207977031367</v>
      </c>
      <c r="H1072" s="3" t="n">
        <v>732.397693260228</v>
      </c>
      <c r="I1072" s="3" t="n">
        <v>693.713226496374</v>
      </c>
      <c r="J1072" s="3" t="n">
        <v>579.897426172466</v>
      </c>
      <c r="K1072" s="3" t="n">
        <v>527.338032291576</v>
      </c>
      <c r="L1072" s="3" t="n">
        <v>527.258362649626</v>
      </c>
      <c r="M1072" s="3" t="n">
        <v>522.425624895176</v>
      </c>
      <c r="N1072" s="3" t="n">
        <v>478.633718476363</v>
      </c>
      <c r="O1072" s="3" t="n">
        <v>446.000041432788</v>
      </c>
      <c r="P1072" s="3" t="n">
        <v>470.293423341398</v>
      </c>
      <c r="Q1072" s="3" t="n">
        <v>494.794262222947</v>
      </c>
      <c r="R1072" s="3" t="n">
        <v>471.248625718937</v>
      </c>
      <c r="S1072" s="3" t="n">
        <v>510.556338454251</v>
      </c>
      <c r="T1072" s="3" t="n">
        <v>493.899623852237</v>
      </c>
      <c r="U1072" s="3" t="n">
        <v>493.757329875312</v>
      </c>
      <c r="V1072" s="3" t="n">
        <v>591.21169798261</v>
      </c>
      <c r="W1072" s="3" t="n">
        <v>592.605615063022</v>
      </c>
      <c r="X1072" s="3" t="n">
        <v>580.656749587858</v>
      </c>
      <c r="Y1072" s="3" t="n">
        <v>555.446458398226</v>
      </c>
      <c r="Z1072" s="3" t="n">
        <v>585.911013180369</v>
      </c>
      <c r="AA1072" s="3" t="n">
        <v>575.586004510945</v>
      </c>
      <c r="AB1072" s="3" t="n">
        <v>554.530675033104</v>
      </c>
      <c r="AC1072" s="3" t="n">
        <v>623.759700911182</v>
      </c>
      <c r="AD1072" s="3" t="n">
        <v>606.569750165917</v>
      </c>
      <c r="AE1072" s="3" t="n">
        <v>606.345297609062</v>
      </c>
      <c r="AF1072" s="3" t="n">
        <v>581.928481040339</v>
      </c>
      <c r="AG1072" s="3" t="n"/>
      <c r="AH1072" s="3" t="n"/>
      <c r="AI1072" s="3" t="n"/>
      <c r="AJ1072" s="3" t="n"/>
      <c r="AK1072" s="3" t="n"/>
      <c r="AL1072" s="3" t="n"/>
      <c r="AM1072" s="3" t="n"/>
      <c r="AN1072" s="3" t="n"/>
      <c r="AO1072" s="3" t="n"/>
      <c r="AP1072" s="3" t="n"/>
      <c r="AQ1072" s="3" t="n"/>
      <c r="AR1072" s="3" t="n"/>
      <c r="AS1072" s="3" t="n"/>
      <c r="AT1072" s="3" t="n"/>
      <c r="AU1072" s="3" t="n"/>
    </row>
    <row r="1073">
      <c r="A1073" s="3" t="n">
        <v>2031</v>
      </c>
      <c r="B1073" s="3" t="inlineStr">
        <is>
          <t>G90</t>
        </is>
      </c>
      <c r="C1073" s="3" t="inlineStr">
        <is>
          <t>IMF.RES:WEO</t>
        </is>
      </c>
      <c r="D1073" s="3" t="inlineStr">
        <is>
          <t>G903.BCA.A</t>
        </is>
      </c>
      <c r="E1073" s="3" t="inlineStr">
        <is>
          <t>Emerging and Developing Europe</t>
        </is>
      </c>
      <c r="F1073" s="3" t="inlineStr">
        <is>
          <t>Current account balance (credit less debit), US dollar</t>
        </is>
      </c>
      <c r="G1073" s="3" t="n">
        <v>20.087116</v>
      </c>
      <c r="H1073" s="3" t="n">
        <v>24.969128</v>
      </c>
      <c r="I1073" s="3" t="n">
        <v>15.625362</v>
      </c>
      <c r="J1073" s="3" t="n">
        <v>8.700796</v>
      </c>
      <c r="K1073" s="3" t="n">
        <v>13.987174</v>
      </c>
      <c r="L1073" s="3" t="n">
        <v>33.651399</v>
      </c>
      <c r="M1073" s="3" t="n">
        <v>14.505799</v>
      </c>
      <c r="N1073" s="3" t="n">
        <v>-48.358067</v>
      </c>
      <c r="O1073" s="3" t="n">
        <v>-46.082719</v>
      </c>
      <c r="P1073" s="3" t="n">
        <v>-4.510551</v>
      </c>
      <c r="Q1073" s="3" t="n">
        <v>-29.311093</v>
      </c>
      <c r="R1073" s="3" t="n">
        <v>-38.106769</v>
      </c>
      <c r="S1073" s="3" t="n">
        <v>-23.409092</v>
      </c>
      <c r="T1073" s="3" t="n">
        <v>-54.542354</v>
      </c>
      <c r="U1073" s="3" t="n">
        <v>-7.563129</v>
      </c>
      <c r="V1073" s="3" t="n">
        <v>36.547144</v>
      </c>
      <c r="W1073" s="3" t="n">
        <v>-8.685245</v>
      </c>
      <c r="X1073" s="3" t="n">
        <v>-22.738499</v>
      </c>
      <c r="Y1073" s="3" t="n">
        <v>67.43340000000001</v>
      </c>
      <c r="Z1073" s="3" t="n">
        <v>52.346028</v>
      </c>
      <c r="AA1073" s="3" t="n">
        <v>1.25048</v>
      </c>
      <c r="AB1073" s="3" t="n">
        <v>69.401999</v>
      </c>
      <c r="AC1073" s="3" t="n">
        <v>129.105148</v>
      </c>
      <c r="AD1073" s="3" t="n">
        <v>-20.255415</v>
      </c>
      <c r="AE1073" s="3" t="n">
        <v>-4.74126</v>
      </c>
      <c r="AF1073" s="3" t="n">
        <v>-75.35480200000001</v>
      </c>
      <c r="AG1073" s="3" t="n">
        <v>-78.290898</v>
      </c>
      <c r="AH1073" s="3" t="n">
        <v>-85.81365</v>
      </c>
      <c r="AI1073" s="3" t="n">
        <v>-75.65388400000001</v>
      </c>
      <c r="AJ1073" s="3" t="n">
        <v>-79.767281</v>
      </c>
      <c r="AK1073" s="3" t="n">
        <v>-79.211877</v>
      </c>
      <c r="AL1073" s="3" t="n">
        <v>-80.905101</v>
      </c>
      <c r="AM1073" s="3" t="n"/>
      <c r="AN1073" s="3" t="n"/>
      <c r="AO1073" s="3" t="n"/>
      <c r="AP1073" s="3" t="n"/>
      <c r="AQ1073" s="3" t="n"/>
      <c r="AR1073" s="3" t="n"/>
      <c r="AS1073" s="3" t="n"/>
      <c r="AT1073" s="3" t="n"/>
      <c r="AU1073" s="3" t="n"/>
    </row>
    <row r="1074">
      <c r="A1074" s="3" t="n">
        <v>2031</v>
      </c>
      <c r="B1074" s="3" t="inlineStr">
        <is>
          <t>G90</t>
        </is>
      </c>
      <c r="C1074" s="3" t="inlineStr">
        <is>
          <t>IMF.RES:WEO</t>
        </is>
      </c>
      <c r="D1074" s="3" t="inlineStr">
        <is>
          <t>G903.BCA_NGDPD.A</t>
        </is>
      </c>
      <c r="E1074" s="3" t="inlineStr">
        <is>
          <t>Emerging and Developing Europe</t>
        </is>
      </c>
      <c r="F1074" s="3" t="inlineStr">
        <is>
          <t>Current account balance (credit less debit), Percent of GDP</t>
        </is>
      </c>
      <c r="G1074" s="3" t="n">
        <v>2.286105</v>
      </c>
      <c r="H1074" s="3" t="n">
        <v>2.770076</v>
      </c>
      <c r="I1074" s="3" t="n">
        <v>1.532075</v>
      </c>
      <c r="J1074" s="3" t="n">
        <v>0.690257</v>
      </c>
      <c r="K1074" s="3" t="n">
        <v>0.860004</v>
      </c>
      <c r="L1074" s="3" t="n">
        <v>1.660492</v>
      </c>
      <c r="M1074" s="3" t="n">
        <v>0.598986</v>
      </c>
      <c r="N1074" s="3" t="n">
        <v>-1.553207</v>
      </c>
      <c r="O1074" s="3" t="n">
        <v>-1.200269</v>
      </c>
      <c r="P1074" s="3" t="n">
        <v>-0.151184</v>
      </c>
      <c r="Q1074" s="3" t="n">
        <v>-0.839139</v>
      </c>
      <c r="R1074" s="3" t="n">
        <v>-0.930443</v>
      </c>
      <c r="S1074" s="3" t="n">
        <v>-0.553223</v>
      </c>
      <c r="T1074" s="3" t="n">
        <v>-1.219247</v>
      </c>
      <c r="U1074" s="3" t="n">
        <v>-0.180027</v>
      </c>
      <c r="V1074" s="3" t="n">
        <v>1.123725</v>
      </c>
      <c r="W1074" s="3" t="n">
        <v>-0.273107</v>
      </c>
      <c r="X1074" s="3" t="n">
        <v>-0.631899</v>
      </c>
      <c r="Y1074" s="3" t="n">
        <v>1.786335</v>
      </c>
      <c r="Z1074" s="3" t="n">
        <v>1.36514</v>
      </c>
      <c r="AA1074" s="3" t="n">
        <v>0.034934</v>
      </c>
      <c r="AB1074" s="3" t="n">
        <v>1.63961</v>
      </c>
      <c r="AC1074" s="3" t="n">
        <v>2.700383</v>
      </c>
      <c r="AD1074" s="3" t="n">
        <v>-0.405241</v>
      </c>
      <c r="AE1074" s="3" t="n">
        <v>-0.085606</v>
      </c>
      <c r="AF1074" s="3" t="n">
        <v>-1.172708</v>
      </c>
      <c r="AG1074" s="3" t="n">
        <v>-1.158122</v>
      </c>
      <c r="AH1074" s="3" t="n">
        <v>-1.269771</v>
      </c>
      <c r="AI1074" s="3" t="n">
        <v>-1.075085</v>
      </c>
      <c r="AJ1074" s="3" t="n">
        <v>-1.091569</v>
      </c>
      <c r="AK1074" s="3" t="n">
        <v>-1.044788</v>
      </c>
      <c r="AL1074" s="3" t="n">
        <v>-1.028368</v>
      </c>
      <c r="AM1074" s="3" t="n"/>
      <c r="AN1074" s="3" t="n"/>
      <c r="AO1074" s="3" t="n"/>
      <c r="AP1074" s="3" t="n"/>
      <c r="AQ1074" s="3" t="n"/>
      <c r="AR1074" s="3" t="n"/>
      <c r="AS1074" s="3" t="n"/>
      <c r="AT1074" s="3" t="n"/>
      <c r="AU1074" s="3" t="n"/>
    </row>
    <row r="1075">
      <c r="A1075" s="3" t="n">
        <v>2031</v>
      </c>
      <c r="B1075" s="3" t="inlineStr">
        <is>
          <t>G90</t>
        </is>
      </c>
      <c r="C1075" s="3" t="inlineStr">
        <is>
          <t>IMF.RES:WEO</t>
        </is>
      </c>
      <c r="D1075" s="3" t="inlineStr">
        <is>
          <t>G903.GGR_NGDP.A</t>
        </is>
      </c>
      <c r="E1075" s="3" t="inlineStr">
        <is>
          <t>Emerging and Developing Europe</t>
        </is>
      </c>
      <c r="F1075" s="3" t="inlineStr">
        <is>
          <t>Revenue, General government, Percent of GDP</t>
        </is>
      </c>
      <c r="G1075" s="3" t="n">
        <v>34.392318</v>
      </c>
      <c r="H1075" s="3" t="n">
        <v>35.298229</v>
      </c>
      <c r="I1075" s="3" t="n">
        <v>34.767694</v>
      </c>
      <c r="J1075" s="3" t="n">
        <v>34.617533</v>
      </c>
      <c r="K1075" s="3" t="n">
        <v>34.389016</v>
      </c>
      <c r="L1075" s="3" t="n">
        <v>36.224817</v>
      </c>
      <c r="M1075" s="3" t="n">
        <v>36.897505</v>
      </c>
      <c r="N1075" s="3" t="n">
        <v>36.832099</v>
      </c>
      <c r="O1075" s="3" t="n">
        <v>36.582145</v>
      </c>
      <c r="P1075" s="3" t="n">
        <v>34.304034</v>
      </c>
      <c r="Q1075" s="3" t="n">
        <v>34.172008</v>
      </c>
      <c r="R1075" s="3" t="n">
        <v>35.227048</v>
      </c>
      <c r="S1075" s="3" t="n">
        <v>35.233579</v>
      </c>
      <c r="T1075" s="3" t="n">
        <v>34.694277</v>
      </c>
      <c r="U1075" s="3" t="n">
        <v>34.703076</v>
      </c>
      <c r="V1075" s="3" t="n">
        <v>34.104953</v>
      </c>
      <c r="W1075" s="3" t="n">
        <v>34.15361</v>
      </c>
      <c r="X1075" s="3" t="n">
        <v>34.085556</v>
      </c>
      <c r="Y1075" s="3" t="n">
        <v>35.526895</v>
      </c>
      <c r="Z1075" s="3" t="n">
        <v>35.46145</v>
      </c>
      <c r="AA1075" s="3" t="n">
        <v>35.082819</v>
      </c>
      <c r="AB1075" s="3" t="n">
        <v>35.092681</v>
      </c>
      <c r="AC1075" s="3" t="n">
        <v>33.974036</v>
      </c>
      <c r="AD1075" s="3" t="n">
        <v>34.792347</v>
      </c>
      <c r="AE1075" s="3" t="n">
        <v>35.561462</v>
      </c>
      <c r="AF1075" s="3" t="n">
        <v>35.910143</v>
      </c>
      <c r="AG1075" s="3" t="n">
        <v>36.178262</v>
      </c>
      <c r="AH1075" s="3" t="n">
        <v>36.052127</v>
      </c>
      <c r="AI1075" s="3" t="n">
        <v>35.808401</v>
      </c>
      <c r="AJ1075" s="3" t="n">
        <v>35.795099</v>
      </c>
      <c r="AK1075" s="3" t="n">
        <v>35.860099</v>
      </c>
      <c r="AL1075" s="3" t="n">
        <v>35.904266</v>
      </c>
      <c r="AM1075" s="3" t="n"/>
      <c r="AN1075" s="3" t="n"/>
      <c r="AO1075" s="3" t="n"/>
      <c r="AP1075" s="3" t="n"/>
      <c r="AQ1075" s="3" t="n"/>
      <c r="AR1075" s="3" t="n"/>
      <c r="AS1075" s="3" t="n"/>
      <c r="AT1075" s="3" t="n"/>
      <c r="AU1075" s="3" t="n"/>
    </row>
    <row r="1076">
      <c r="A1076" s="3" t="n">
        <v>2031</v>
      </c>
      <c r="B1076" s="3" t="inlineStr">
        <is>
          <t>G90</t>
        </is>
      </c>
      <c r="C1076" s="3" t="inlineStr">
        <is>
          <t>IMF.RES:WEO</t>
        </is>
      </c>
      <c r="D1076" s="3" t="inlineStr">
        <is>
          <t>G903.GGX_NGDP.A</t>
        </is>
      </c>
      <c r="E1076" s="3" t="inlineStr">
        <is>
          <t>Emerging and Developing Europe</t>
        </is>
      </c>
      <c r="F1076" s="3" t="inlineStr">
        <is>
          <t>Expenditure, General government, Percent of GDP</t>
        </is>
      </c>
      <c r="G1076" s="3" t="n">
        <v>37.219875</v>
      </c>
      <c r="H1076" s="3" t="n">
        <v>38.476368</v>
      </c>
      <c r="I1076" s="3" t="n">
        <v>39.103692</v>
      </c>
      <c r="J1076" s="3" t="n">
        <v>37.861281</v>
      </c>
      <c r="K1076" s="3" t="n">
        <v>35.318487</v>
      </c>
      <c r="L1076" s="3" t="n">
        <v>34.607755</v>
      </c>
      <c r="M1076" s="3" t="n">
        <v>34.732089</v>
      </c>
      <c r="N1076" s="3" t="n">
        <v>35.501084</v>
      </c>
      <c r="O1076" s="3" t="n">
        <v>36.255683</v>
      </c>
      <c r="P1076" s="3" t="n">
        <v>40.202031</v>
      </c>
      <c r="Q1076" s="3" t="n">
        <v>38.208931</v>
      </c>
      <c r="R1076" s="3" t="n">
        <v>35.842569</v>
      </c>
      <c r="S1076" s="3" t="n">
        <v>36.310787</v>
      </c>
      <c r="T1076" s="3" t="n">
        <v>36.535229</v>
      </c>
      <c r="U1076" s="3" t="n">
        <v>36.346356</v>
      </c>
      <c r="V1076" s="3" t="n">
        <v>36.355715</v>
      </c>
      <c r="W1076" s="3" t="n">
        <v>36.803143</v>
      </c>
      <c r="X1076" s="3" t="n">
        <v>35.739954</v>
      </c>
      <c r="Y1076" s="3" t="n">
        <v>35.266895</v>
      </c>
      <c r="Z1076" s="3" t="n">
        <v>36.145485</v>
      </c>
      <c r="AA1076" s="3" t="n">
        <v>40.397362</v>
      </c>
      <c r="AB1076" s="3" t="n">
        <v>36.665161</v>
      </c>
      <c r="AC1076" s="3" t="n">
        <v>36.520243</v>
      </c>
      <c r="AD1076" s="3" t="n">
        <v>39.18868</v>
      </c>
      <c r="AE1076" s="3" t="n">
        <v>39.826036</v>
      </c>
      <c r="AF1076" s="3" t="n">
        <v>40.84957</v>
      </c>
      <c r="AG1076" s="3" t="n">
        <v>40.334862</v>
      </c>
      <c r="AH1076" s="3" t="n">
        <v>40.393611</v>
      </c>
      <c r="AI1076" s="3" t="n">
        <v>39.912815</v>
      </c>
      <c r="AJ1076" s="3" t="n">
        <v>39.258798</v>
      </c>
      <c r="AK1076" s="3" t="n">
        <v>39.213991</v>
      </c>
      <c r="AL1076" s="3" t="n">
        <v>39.247752</v>
      </c>
      <c r="AM1076" s="3" t="n"/>
      <c r="AN1076" s="3" t="n"/>
      <c r="AO1076" s="3" t="n"/>
      <c r="AP1076" s="3" t="n"/>
      <c r="AQ1076" s="3" t="n"/>
      <c r="AR1076" s="3" t="n"/>
      <c r="AS1076" s="3" t="n"/>
      <c r="AT1076" s="3" t="n"/>
      <c r="AU1076" s="3" t="n"/>
    </row>
    <row r="1077">
      <c r="A1077" s="3" t="n">
        <v>2031</v>
      </c>
      <c r="B1077" s="3" t="inlineStr">
        <is>
          <t>G90</t>
        </is>
      </c>
      <c r="C1077" s="3" t="inlineStr">
        <is>
          <t>IMF.RES:WEO</t>
        </is>
      </c>
      <c r="D1077" s="3" t="inlineStr">
        <is>
          <t>G903.NGDP_RPCH.A</t>
        </is>
      </c>
      <c r="E1077" s="3" t="inlineStr">
        <is>
          <t>Emerging and Developing Europe</t>
        </is>
      </c>
      <c r="F1077" s="3" t="inlineStr">
        <is>
          <t>Gross domestic product (GDP), Constant prices, Percent change</t>
        </is>
      </c>
      <c r="G1077" s="3" t="n">
        <v>7.501227</v>
      </c>
      <c r="H1077" s="3" t="n">
        <v>2.898319</v>
      </c>
      <c r="I1077" s="3" t="n">
        <v>4.777187</v>
      </c>
      <c r="J1077" s="3" t="n">
        <v>6.240967</v>
      </c>
      <c r="K1077" s="3" t="n">
        <v>7.971633</v>
      </c>
      <c r="L1077" s="3" t="n">
        <v>6.139982</v>
      </c>
      <c r="M1077" s="3" t="n">
        <v>7.42777</v>
      </c>
      <c r="N1077" s="3" t="n">
        <v>7.231386</v>
      </c>
      <c r="O1077" s="3" t="n">
        <v>4.305582</v>
      </c>
      <c r="P1077" s="3" t="n">
        <v>-5.965834</v>
      </c>
      <c r="Q1077" s="3" t="n">
        <v>4.536737</v>
      </c>
      <c r="R1077" s="3" t="n">
        <v>5.612792</v>
      </c>
      <c r="S1077" s="3" t="n">
        <v>3.138222</v>
      </c>
      <c r="T1077" s="3" t="n">
        <v>2.935224</v>
      </c>
      <c r="U1077" s="3" t="n">
        <v>1.674592</v>
      </c>
      <c r="V1077" s="3" t="n">
        <v>0.8263509999999999</v>
      </c>
      <c r="W1077" s="3" t="n">
        <v>1.720026</v>
      </c>
      <c r="X1077" s="3" t="n">
        <v>4.287855</v>
      </c>
      <c r="Y1077" s="3" t="n">
        <v>3.730637</v>
      </c>
      <c r="Z1077" s="3" t="n">
        <v>2.605784</v>
      </c>
      <c r="AA1077" s="3" t="n">
        <v>-1.723915</v>
      </c>
      <c r="AB1077" s="3" t="n">
        <v>7.193275</v>
      </c>
      <c r="AC1077" s="3" t="n">
        <v>0.456981</v>
      </c>
      <c r="AD1077" s="3" t="n">
        <v>3.596167</v>
      </c>
      <c r="AE1077" s="3" t="n">
        <v>3.817989</v>
      </c>
      <c r="AF1077" s="3" t="n">
        <v>1.991181</v>
      </c>
      <c r="AG1077" s="3" t="n">
        <v>2.0175</v>
      </c>
      <c r="AH1077" s="3" t="n">
        <v>2.116926</v>
      </c>
      <c r="AI1077" s="3" t="n">
        <v>2.270907</v>
      </c>
      <c r="AJ1077" s="3" t="n">
        <v>2.319616</v>
      </c>
      <c r="AK1077" s="3" t="n">
        <v>2.337643</v>
      </c>
      <c r="AL1077" s="3" t="n">
        <v>2.344635</v>
      </c>
      <c r="AM1077" s="3" t="n"/>
      <c r="AN1077" s="3" t="n"/>
      <c r="AO1077" s="3" t="n"/>
      <c r="AP1077" s="3" t="n"/>
      <c r="AQ1077" s="3" t="n"/>
      <c r="AR1077" s="3" t="n"/>
      <c r="AS1077" s="3" t="n"/>
      <c r="AT1077" s="3" t="n"/>
      <c r="AU1077" s="3" t="n"/>
    </row>
    <row r="1078">
      <c r="A1078" s="3" t="n">
        <v>2031</v>
      </c>
      <c r="B1078" s="3" t="inlineStr">
        <is>
          <t>G90</t>
        </is>
      </c>
      <c r="C1078" s="3" t="inlineStr">
        <is>
          <t>IMF.RES:WEO</t>
        </is>
      </c>
      <c r="D1078" s="3" t="inlineStr">
        <is>
          <t>G903.NGDPD.A</t>
        </is>
      </c>
      <c r="E1078" s="3" t="inlineStr">
        <is>
          <t>Emerging and Developing Europe</t>
        </is>
      </c>
      <c r="F1078" s="3" t="inlineStr">
        <is>
          <t>Gross domestic product (GDP), Current prices, US dollar</t>
        </is>
      </c>
      <c r="G1078" s="3" t="n">
        <v>879.625672</v>
      </c>
      <c r="H1078" s="3" t="n">
        <v>901.3879460000001</v>
      </c>
      <c r="I1078" s="3" t="n">
        <v>1019.88243</v>
      </c>
      <c r="J1078" s="3" t="n">
        <v>1260.515174</v>
      </c>
      <c r="K1078" s="3" t="n">
        <v>1626.407196</v>
      </c>
      <c r="L1078" s="3" t="n">
        <v>2026.592341</v>
      </c>
      <c r="M1078" s="3" t="n">
        <v>2421.724345</v>
      </c>
      <c r="N1078" s="3" t="n">
        <v>3113.432572</v>
      </c>
      <c r="O1078" s="3" t="n">
        <v>3839.36526</v>
      </c>
      <c r="P1078" s="3" t="n">
        <v>2983.482445</v>
      </c>
      <c r="Q1078" s="3" t="n">
        <v>3492.994565</v>
      </c>
      <c r="R1078" s="3" t="n">
        <v>4095.552297</v>
      </c>
      <c r="S1078" s="3" t="n">
        <v>4231.401731</v>
      </c>
      <c r="T1078" s="3" t="n">
        <v>4473.446519</v>
      </c>
      <c r="U1078" s="3" t="n">
        <v>4201.114291</v>
      </c>
      <c r="V1078" s="3" t="n">
        <v>3252.320287</v>
      </c>
      <c r="W1078" s="3" t="n">
        <v>3180.16406</v>
      </c>
      <c r="X1078" s="3" t="n">
        <v>3598.440876</v>
      </c>
      <c r="Y1078" s="3" t="n">
        <v>3774.9588</v>
      </c>
      <c r="Z1078" s="3" t="n">
        <v>3834.480873</v>
      </c>
      <c r="AA1078" s="3" t="n">
        <v>3579.534558</v>
      </c>
      <c r="AB1078" s="3" t="n">
        <v>4232.83473</v>
      </c>
      <c r="AC1078" s="3" t="n">
        <v>4780.994817</v>
      </c>
      <c r="AD1078" s="3" t="n">
        <v>4998.364787</v>
      </c>
      <c r="AE1078" s="3" t="n">
        <v>5538.473331</v>
      </c>
      <c r="AF1078" s="3" t="n">
        <v>6425.706625</v>
      </c>
      <c r="AG1078" s="3" t="n">
        <v>6760.161045</v>
      </c>
      <c r="AH1078" s="3" t="n">
        <v>6758.201518</v>
      </c>
      <c r="AI1078" s="3" t="n">
        <v>7037.016836</v>
      </c>
      <c r="AJ1078" s="3" t="n">
        <v>7307.580366</v>
      </c>
      <c r="AK1078" s="3" t="n">
        <v>7581.623321</v>
      </c>
      <c r="AL1078" s="3" t="n">
        <v>7867.326381</v>
      </c>
      <c r="AM1078" s="3" t="n"/>
      <c r="AN1078" s="3" t="n"/>
      <c r="AO1078" s="3" t="n"/>
      <c r="AP1078" s="3" t="n"/>
      <c r="AQ1078" s="3" t="n"/>
      <c r="AR1078" s="3" t="n"/>
      <c r="AS1078" s="3" t="n"/>
      <c r="AT1078" s="3" t="n"/>
      <c r="AU1078" s="3" t="n"/>
    </row>
    <row r="1079">
      <c r="A1079" s="3" t="n">
        <v>2031</v>
      </c>
      <c r="B1079" s="3" t="inlineStr">
        <is>
          <t>G90</t>
        </is>
      </c>
      <c r="C1079" s="3" t="inlineStr">
        <is>
          <t>IMF.RES:WEO</t>
        </is>
      </c>
      <c r="D1079" s="3" t="inlineStr">
        <is>
          <t>G903.PCPIPCH.A</t>
        </is>
      </c>
      <c r="E1079" s="3" t="inlineStr">
        <is>
          <t>Emerging and Developing Europe</t>
        </is>
      </c>
      <c r="F1079" s="3" t="inlineStr">
        <is>
          <t>All Items, Consumer price index (CPI), Period average, percent change</t>
        </is>
      </c>
      <c r="G1079" s="3" t="n">
        <v>29.110315</v>
      </c>
      <c r="H1079" s="3" t="n">
        <v>25.157894</v>
      </c>
      <c r="I1079" s="3" t="n">
        <v>17.588435</v>
      </c>
      <c r="J1079" s="3" t="n">
        <v>12.939146</v>
      </c>
      <c r="K1079" s="3" t="n">
        <v>9.237690000000001</v>
      </c>
      <c r="L1079" s="3" t="n">
        <v>9.840403999999999</v>
      </c>
      <c r="M1079" s="3" t="n">
        <v>8.065712</v>
      </c>
      <c r="N1079" s="3" t="n">
        <v>8.092515000000001</v>
      </c>
      <c r="O1079" s="3" t="n">
        <v>12.31522</v>
      </c>
      <c r="P1079" s="3" t="n">
        <v>8.987622999999999</v>
      </c>
      <c r="Q1079" s="3" t="n">
        <v>6.669433</v>
      </c>
      <c r="R1079" s="3" t="n">
        <v>7.976467</v>
      </c>
      <c r="S1079" s="3" t="n">
        <v>6.230322</v>
      </c>
      <c r="T1079" s="3" t="n">
        <v>5.557516</v>
      </c>
      <c r="U1079" s="3" t="n">
        <v>6.71443</v>
      </c>
      <c r="V1079" s="3" t="n">
        <v>11.047014</v>
      </c>
      <c r="W1079" s="3" t="n">
        <v>5.760188</v>
      </c>
      <c r="X1079" s="3" t="n">
        <v>5.704371</v>
      </c>
      <c r="Y1079" s="3" t="n">
        <v>6.349161</v>
      </c>
      <c r="Z1079" s="3" t="n">
        <v>6.583094</v>
      </c>
      <c r="AA1079" s="3" t="n">
        <v>5.226256</v>
      </c>
      <c r="AB1079" s="3" t="n">
        <v>9.157804</v>
      </c>
      <c r="AC1079" s="3" t="n">
        <v>25.665022</v>
      </c>
      <c r="AD1079" s="3" t="n">
        <v>17.409218</v>
      </c>
      <c r="AE1079" s="3" t="n">
        <v>17.159762</v>
      </c>
      <c r="AF1079" s="3" t="n">
        <v>13.466793</v>
      </c>
      <c r="AG1079" s="3" t="n">
        <v>10.501945</v>
      </c>
      <c r="AH1079" s="3" t="n">
        <v>8.205938</v>
      </c>
      <c r="AI1079" s="3" t="n">
        <v>7.118042</v>
      </c>
      <c r="AJ1079" s="3" t="n">
        <v>6.438496</v>
      </c>
      <c r="AK1079" s="3" t="n">
        <v>6.432809</v>
      </c>
      <c r="AL1079" s="3" t="n">
        <v>6.460016</v>
      </c>
      <c r="AM1079" s="3" t="n"/>
      <c r="AN1079" s="3" t="n"/>
      <c r="AO1079" s="3" t="n"/>
      <c r="AP1079" s="3" t="n"/>
      <c r="AQ1079" s="3" t="n"/>
      <c r="AR1079" s="3" t="n"/>
      <c r="AS1079" s="3" t="n"/>
      <c r="AT1079" s="3" t="n"/>
      <c r="AU1079" s="3" t="n"/>
    </row>
    <row r="1080">
      <c r="A1080" s="3" t="n">
        <v>2031</v>
      </c>
      <c r="B1080" s="3" t="inlineStr">
        <is>
          <t>G90</t>
        </is>
      </c>
      <c r="C1080" s="3" t="inlineStr">
        <is>
          <t>IMF.RES:WEO</t>
        </is>
      </c>
      <c r="D1080" s="3" t="inlineStr">
        <is>
          <t>G903.PPPPC.A</t>
        </is>
      </c>
      <c r="E1080" s="3" t="inlineStr">
        <is>
          <t>Emerging and Developing Europe</t>
        </is>
      </c>
      <c r="F1080" s="3" t="inlineStr">
        <is>
          <t>Gross domestic product (GDP), Per capita, purchasing power parity (PPP) international dollar, ICP benchmarks 2017-2021</t>
        </is>
      </c>
      <c r="G1080" s="3" t="n">
        <v>9708.054287999999</v>
      </c>
      <c r="H1080" s="3" t="n">
        <v>10202.590806</v>
      </c>
      <c r="I1080" s="3" t="n">
        <v>10866.70311</v>
      </c>
      <c r="J1080" s="3" t="n">
        <v>11771.280081</v>
      </c>
      <c r="K1080" s="3" t="n">
        <v>13058.01755</v>
      </c>
      <c r="L1080" s="3" t="n">
        <v>14304.28439</v>
      </c>
      <c r="M1080" s="3" t="n">
        <v>15846.739637</v>
      </c>
      <c r="N1080" s="3" t="n">
        <v>17443.479304</v>
      </c>
      <c r="O1080" s="3" t="n">
        <v>18535.372215</v>
      </c>
      <c r="P1080" s="3" t="n">
        <v>17471.108222</v>
      </c>
      <c r="Q1080" s="3" t="n">
        <v>18439.424006</v>
      </c>
      <c r="R1080" s="3" t="n">
        <v>19815.065943</v>
      </c>
      <c r="S1080" s="3" t="n">
        <v>20762.836292</v>
      </c>
      <c r="T1080" s="3" t="n">
        <v>21661.318343</v>
      </c>
      <c r="U1080" s="3" t="n">
        <v>22461.452889</v>
      </c>
      <c r="V1080" s="3" t="n">
        <v>22750.460186</v>
      </c>
      <c r="W1080" s="3" t="n">
        <v>23284.03001</v>
      </c>
      <c r="X1080" s="3" t="n">
        <v>24633.705669</v>
      </c>
      <c r="Y1080" s="3" t="n">
        <v>26426.610872</v>
      </c>
      <c r="Z1080" s="3" t="n">
        <v>28549.4789</v>
      </c>
      <c r="AA1080" s="3" t="n">
        <v>29146.923871</v>
      </c>
      <c r="AB1080" s="3" t="n">
        <v>33993.952938</v>
      </c>
      <c r="AC1080" s="3" t="n">
        <v>37022.235455</v>
      </c>
      <c r="AD1080" s="3" t="n">
        <v>39847.623469</v>
      </c>
      <c r="AE1080" s="3" t="n">
        <v>42577.153272</v>
      </c>
      <c r="AF1080" s="3" t="n">
        <v>44844.29975</v>
      </c>
      <c r="AG1080" s="3" t="n">
        <v>47225.495063</v>
      </c>
      <c r="AH1080" s="3" t="n">
        <v>49269.047654</v>
      </c>
      <c r="AI1080" s="3" t="n">
        <v>51172.239139</v>
      </c>
      <c r="AJ1080" s="3" t="n">
        <v>53307.854371</v>
      </c>
      <c r="AK1080" s="3" t="n">
        <v>55624.971999</v>
      </c>
      <c r="AL1080" s="3" t="n">
        <v>58035.0568</v>
      </c>
      <c r="AM1080" s="3" t="n"/>
      <c r="AN1080" s="3" t="n"/>
      <c r="AO1080" s="3" t="n"/>
      <c r="AP1080" s="3" t="n"/>
      <c r="AQ1080" s="3" t="n"/>
      <c r="AR1080" s="3" t="n"/>
      <c r="AS1080" s="3" t="n"/>
      <c r="AT1080" s="3" t="n"/>
      <c r="AU1080" s="3" t="n"/>
    </row>
    <row r="1081">
      <c r="A1081" s="3" t="n">
        <v>2031</v>
      </c>
      <c r="B1081" s="3" t="inlineStr">
        <is>
          <t>G99</t>
        </is>
      </c>
      <c r="C1081" s="3" t="inlineStr">
        <is>
          <t>IMF.RES:WEO</t>
        </is>
      </c>
      <c r="D1081" s="3" t="inlineStr">
        <is>
          <t>G998.BCA.A</t>
        </is>
      </c>
      <c r="E1081" s="3" t="inlineStr">
        <is>
          <t>European Union (EU)</t>
        </is>
      </c>
      <c r="F1081" s="3" t="inlineStr">
        <is>
          <t>Current account balance (credit less debit), US dollar</t>
        </is>
      </c>
      <c r="G1081" s="3" t="n">
        <v>-45.237664</v>
      </c>
      <c r="H1081" s="3" t="n">
        <v>-2.270002</v>
      </c>
      <c r="I1081" s="3" t="n">
        <v>41.034023</v>
      </c>
      <c r="J1081" s="3" t="n">
        <v>35.36286</v>
      </c>
      <c r="K1081" s="3" t="n">
        <v>112.000058</v>
      </c>
      <c r="L1081" s="3" t="n">
        <v>49.014769</v>
      </c>
      <c r="M1081" s="3" t="n">
        <v>45.275818</v>
      </c>
      <c r="N1081" s="3" t="n">
        <v>-10.377507</v>
      </c>
      <c r="O1081" s="3" t="n">
        <v>-126.72534</v>
      </c>
      <c r="P1081" s="3" t="n">
        <v>64.837226</v>
      </c>
      <c r="Q1081" s="3" t="n">
        <v>85.232209</v>
      </c>
      <c r="R1081" s="3" t="n">
        <v>130.108593</v>
      </c>
      <c r="S1081" s="3" t="n">
        <v>265.431459</v>
      </c>
      <c r="T1081" s="3" t="n">
        <v>420.930718</v>
      </c>
      <c r="U1081" s="3" t="n">
        <v>459.065792</v>
      </c>
      <c r="V1081" s="3" t="n">
        <v>419.159989</v>
      </c>
      <c r="W1081" s="3" t="n">
        <v>487.952428</v>
      </c>
      <c r="X1081" s="3" t="n">
        <v>493.304855</v>
      </c>
      <c r="Y1081" s="3" t="n">
        <v>512.32139</v>
      </c>
      <c r="Z1081" s="3" t="n">
        <v>460.546207</v>
      </c>
      <c r="AA1081" s="3" t="n">
        <v>376.084674</v>
      </c>
      <c r="AB1081" s="3" t="n">
        <v>569.499804</v>
      </c>
      <c r="AC1081" s="3" t="n">
        <v>125.92728</v>
      </c>
      <c r="AD1081" s="3" t="n">
        <v>478.457153</v>
      </c>
      <c r="AE1081" s="3" t="n">
        <v>629.706575</v>
      </c>
      <c r="AF1081" s="3" t="n">
        <v>504.311015</v>
      </c>
      <c r="AG1081" s="3" t="n">
        <v>459.666491</v>
      </c>
      <c r="AH1081" s="3" t="n">
        <v>495.449724</v>
      </c>
      <c r="AI1081" s="3" t="n">
        <v>553.656953</v>
      </c>
      <c r="AJ1081" s="3" t="n">
        <v>597.343083</v>
      </c>
      <c r="AK1081" s="3" t="n">
        <v>640.422769</v>
      </c>
      <c r="AL1081" s="3" t="n">
        <v>660.7744290000001</v>
      </c>
      <c r="AM1081" s="3" t="n"/>
      <c r="AN1081" s="3" t="n"/>
      <c r="AO1081" s="3" t="n"/>
      <c r="AP1081" s="3" t="n"/>
      <c r="AQ1081" s="3" t="n"/>
      <c r="AR1081" s="3" t="n"/>
      <c r="AS1081" s="3" t="n"/>
      <c r="AT1081" s="3" t="n"/>
      <c r="AU1081" s="3" t="n"/>
    </row>
    <row r="1082">
      <c r="A1082" s="3" t="n">
        <v>2031</v>
      </c>
      <c r="B1082" s="3" t="inlineStr">
        <is>
          <t>G99</t>
        </is>
      </c>
      <c r="C1082" s="3" t="inlineStr">
        <is>
          <t>IMF.RES:WEO</t>
        </is>
      </c>
      <c r="D1082" s="3" t="inlineStr">
        <is>
          <t>G998.BCA_NGDPD.A</t>
        </is>
      </c>
      <c r="E1082" s="3" t="inlineStr">
        <is>
          <t>European Union (EU)</t>
        </is>
      </c>
      <c r="F1082" s="3" t="inlineStr">
        <is>
          <t>Current account balance (credit less debit), Percent of GDP</t>
        </is>
      </c>
      <c r="G1082" s="3" t="n">
        <v>-0.6210560000000001</v>
      </c>
      <c r="H1082" s="3" t="n">
        <v>-0.030684</v>
      </c>
      <c r="I1082" s="3" t="n">
        <v>0.507527</v>
      </c>
      <c r="J1082" s="3" t="n">
        <v>0.35569</v>
      </c>
      <c r="K1082" s="3" t="n">
        <v>0.97982</v>
      </c>
      <c r="L1082" s="3" t="n">
        <v>0.410263</v>
      </c>
      <c r="M1082" s="3" t="n">
        <v>0.35493</v>
      </c>
      <c r="N1082" s="3" t="n">
        <v>-0.070203</v>
      </c>
      <c r="O1082" s="3" t="n">
        <v>-0.774527</v>
      </c>
      <c r="P1082" s="3" t="n">
        <v>0.437153</v>
      </c>
      <c r="Q1082" s="3" t="n">
        <v>0.581684</v>
      </c>
      <c r="R1082" s="3" t="n">
        <v>0.819693</v>
      </c>
      <c r="S1082" s="3" t="n">
        <v>1.800742</v>
      </c>
      <c r="T1082" s="3" t="n">
        <v>2.733529</v>
      </c>
      <c r="U1082" s="3" t="n">
        <v>2.911435</v>
      </c>
      <c r="V1082" s="3" t="n">
        <v>3.069156</v>
      </c>
      <c r="W1082" s="3" t="n">
        <v>3.489242</v>
      </c>
      <c r="X1082" s="3" t="n">
        <v>3.318023</v>
      </c>
      <c r="Y1082" s="3" t="n">
        <v>3.182324</v>
      </c>
      <c r="Z1082" s="3" t="n">
        <v>2.912922</v>
      </c>
      <c r="AA1082" s="3" t="n">
        <v>2.427311</v>
      </c>
      <c r="AB1082" s="3" t="n">
        <v>3.25326</v>
      </c>
      <c r="AC1082" s="3" t="n">
        <v>0.73917</v>
      </c>
      <c r="AD1082" s="3" t="n">
        <v>2.562805</v>
      </c>
      <c r="AE1082" s="3" t="n">
        <v>3.229424</v>
      </c>
      <c r="AF1082" s="3" t="n">
        <v>2.375288</v>
      </c>
      <c r="AG1082" s="3" t="n">
        <v>1.995545</v>
      </c>
      <c r="AH1082" s="3" t="n">
        <v>2.078287</v>
      </c>
      <c r="AI1082" s="3" t="n">
        <v>2.241187</v>
      </c>
      <c r="AJ1082" s="3" t="n">
        <v>2.335398</v>
      </c>
      <c r="AK1082" s="3" t="n">
        <v>2.419954</v>
      </c>
      <c r="AL1082" s="3" t="n">
        <v>2.414978</v>
      </c>
      <c r="AM1082" s="3" t="n"/>
      <c r="AN1082" s="3" t="n"/>
      <c r="AO1082" s="3" t="n"/>
      <c r="AP1082" s="3" t="n"/>
      <c r="AQ1082" s="3" t="n"/>
      <c r="AR1082" s="3" t="n"/>
      <c r="AS1082" s="3" t="n"/>
      <c r="AT1082" s="3" t="n"/>
      <c r="AU1082" s="3" t="n"/>
    </row>
    <row r="1083">
      <c r="A1083" s="3" t="n">
        <v>2031</v>
      </c>
      <c r="B1083" s="3" t="inlineStr">
        <is>
          <t>G99</t>
        </is>
      </c>
      <c r="C1083" s="3" t="inlineStr">
        <is>
          <t>IMF.RES:WEO</t>
        </is>
      </c>
      <c r="D1083" s="3" t="inlineStr">
        <is>
          <t>G998.GGR_NGDP.A</t>
        </is>
      </c>
      <c r="E1083" s="3" t="inlineStr">
        <is>
          <t>European Union (EU)</t>
        </is>
      </c>
      <c r="F1083" s="3" t="inlineStr">
        <is>
          <t>Revenue, General government, Percent of GDP</t>
        </is>
      </c>
      <c r="G1083" s="3" t="n">
        <v>46.128703</v>
      </c>
      <c r="H1083" s="3" t="n">
        <v>45.379347</v>
      </c>
      <c r="I1083" s="3" t="n">
        <v>44.916326</v>
      </c>
      <c r="J1083" s="3" t="n">
        <v>44.905619</v>
      </c>
      <c r="K1083" s="3" t="n">
        <v>44.597929</v>
      </c>
      <c r="L1083" s="3" t="n">
        <v>44.797129</v>
      </c>
      <c r="M1083" s="3" t="n">
        <v>45.079077</v>
      </c>
      <c r="N1083" s="3" t="n">
        <v>45.169895</v>
      </c>
      <c r="O1083" s="3" t="n">
        <v>44.821414</v>
      </c>
      <c r="P1083" s="3" t="n">
        <v>44.740248</v>
      </c>
      <c r="Q1083" s="3" t="n">
        <v>44.595278</v>
      </c>
      <c r="R1083" s="3" t="n">
        <v>45.124648</v>
      </c>
      <c r="S1083" s="3" t="n">
        <v>46.155449</v>
      </c>
      <c r="T1083" s="3" t="n">
        <v>46.771796</v>
      </c>
      <c r="U1083" s="3" t="n">
        <v>46.713067</v>
      </c>
      <c r="V1083" s="3" t="n">
        <v>46.297622</v>
      </c>
      <c r="W1083" s="3" t="n">
        <v>46.083565</v>
      </c>
      <c r="X1083" s="3" t="n">
        <v>46.01172</v>
      </c>
      <c r="Y1083" s="3" t="n">
        <v>46.184968</v>
      </c>
      <c r="Z1083" s="3" t="n">
        <v>46.047852</v>
      </c>
      <c r="AA1083" s="3" t="n">
        <v>46.107357</v>
      </c>
      <c r="AB1083" s="3" t="n">
        <v>46.451334</v>
      </c>
      <c r="AC1083" s="3" t="n">
        <v>45.904955</v>
      </c>
      <c r="AD1083" s="3" t="n">
        <v>45.360221</v>
      </c>
      <c r="AE1083" s="3" t="n">
        <v>45.900667</v>
      </c>
      <c r="AF1083" s="3" t="n">
        <v>46.295923</v>
      </c>
      <c r="AG1083" s="3" t="n">
        <v>46.374341</v>
      </c>
      <c r="AH1083" s="3" t="n">
        <v>46.297896</v>
      </c>
      <c r="AI1083" s="3" t="n">
        <v>46.254235</v>
      </c>
      <c r="AJ1083" s="3" t="n">
        <v>46.38934</v>
      </c>
      <c r="AK1083" s="3" t="n">
        <v>46.434553</v>
      </c>
      <c r="AL1083" s="3" t="n">
        <v>46.448453</v>
      </c>
      <c r="AM1083" s="3" t="n"/>
      <c r="AN1083" s="3" t="n"/>
      <c r="AO1083" s="3" t="n"/>
      <c r="AP1083" s="3" t="n"/>
      <c r="AQ1083" s="3" t="n"/>
      <c r="AR1083" s="3" t="n"/>
      <c r="AS1083" s="3" t="n"/>
      <c r="AT1083" s="3" t="n"/>
      <c r="AU1083" s="3" t="n"/>
    </row>
    <row r="1084">
      <c r="A1084" s="3" t="n">
        <v>2031</v>
      </c>
      <c r="B1084" s="3" t="inlineStr">
        <is>
          <t>G99</t>
        </is>
      </c>
      <c r="C1084" s="3" t="inlineStr">
        <is>
          <t>IMF.RES:WEO</t>
        </is>
      </c>
      <c r="D1084" s="3" t="inlineStr">
        <is>
          <t>G998.GGX_NGDP.A</t>
        </is>
      </c>
      <c r="E1084" s="3" t="inlineStr">
        <is>
          <t>European Union (EU)</t>
        </is>
      </c>
      <c r="F1084" s="3" t="inlineStr">
        <is>
          <t>Expenditure, General government, Percent of GDP</t>
        </is>
      </c>
      <c r="G1084" s="3" t="n">
        <v>47.339272</v>
      </c>
      <c r="H1084" s="3" t="n">
        <v>47.332189</v>
      </c>
      <c r="I1084" s="3" t="n">
        <v>47.707052</v>
      </c>
      <c r="J1084" s="3" t="n">
        <v>48.049672</v>
      </c>
      <c r="K1084" s="3" t="n">
        <v>47.343629</v>
      </c>
      <c r="L1084" s="3" t="n">
        <v>47.181111</v>
      </c>
      <c r="M1084" s="3" t="n">
        <v>46.502172</v>
      </c>
      <c r="N1084" s="3" t="n">
        <v>45.739083</v>
      </c>
      <c r="O1084" s="3" t="n">
        <v>46.893262</v>
      </c>
      <c r="P1084" s="3" t="n">
        <v>50.75376</v>
      </c>
      <c r="Q1084" s="3" t="n">
        <v>50.601054</v>
      </c>
      <c r="R1084" s="3" t="n">
        <v>49.174285</v>
      </c>
      <c r="S1084" s="3" t="n">
        <v>49.805066</v>
      </c>
      <c r="T1084" s="3" t="n">
        <v>49.713176</v>
      </c>
      <c r="U1084" s="3" t="n">
        <v>49.168189</v>
      </c>
      <c r="V1084" s="3" t="n">
        <v>48.172303</v>
      </c>
      <c r="W1084" s="3" t="n">
        <v>47.440527</v>
      </c>
      <c r="X1084" s="3" t="n">
        <v>46.885579</v>
      </c>
      <c r="Y1084" s="3" t="n">
        <v>46.58921</v>
      </c>
      <c r="Z1084" s="3" t="n">
        <v>46.524334</v>
      </c>
      <c r="AA1084" s="3" t="n">
        <v>52.816296</v>
      </c>
      <c r="AB1084" s="3" t="n">
        <v>51.064127</v>
      </c>
      <c r="AC1084" s="3" t="n">
        <v>49.038677</v>
      </c>
      <c r="AD1084" s="3" t="n">
        <v>48.788431</v>
      </c>
      <c r="AE1084" s="3" t="n">
        <v>49.019649</v>
      </c>
      <c r="AF1084" s="3" t="n">
        <v>49.414265</v>
      </c>
      <c r="AG1084" s="3" t="n">
        <v>49.821374</v>
      </c>
      <c r="AH1084" s="3" t="n">
        <v>49.746427</v>
      </c>
      <c r="AI1084" s="3" t="n">
        <v>49.513139</v>
      </c>
      <c r="AJ1084" s="3" t="n">
        <v>49.556017</v>
      </c>
      <c r="AK1084" s="3" t="n">
        <v>49.521024</v>
      </c>
      <c r="AL1084" s="3" t="n">
        <v>49.456599</v>
      </c>
      <c r="AM1084" s="3" t="n"/>
      <c r="AN1084" s="3" t="n"/>
      <c r="AO1084" s="3" t="n"/>
      <c r="AP1084" s="3" t="n"/>
      <c r="AQ1084" s="3" t="n"/>
      <c r="AR1084" s="3" t="n"/>
      <c r="AS1084" s="3" t="n"/>
      <c r="AT1084" s="3" t="n"/>
      <c r="AU1084" s="3" t="n"/>
    </row>
    <row r="1085">
      <c r="A1085" s="3" t="n">
        <v>2031</v>
      </c>
      <c r="B1085" s="3" t="inlineStr">
        <is>
          <t>G99</t>
        </is>
      </c>
      <c r="C1085" s="3" t="inlineStr">
        <is>
          <t>IMF.RES:WEO</t>
        </is>
      </c>
      <c r="D1085" s="3" t="inlineStr">
        <is>
          <t>G998.NGDP_RPCH.A</t>
        </is>
      </c>
      <c r="E1085" s="3" t="inlineStr">
        <is>
          <t>European Union (EU)</t>
        </is>
      </c>
      <c r="F1085" s="3" t="inlineStr">
        <is>
          <t>Gross domestic product (GDP), Constant prices, Percent change</t>
        </is>
      </c>
      <c r="G1085" s="3" t="n">
        <v>3.957253</v>
      </c>
      <c r="H1085" s="3" t="n">
        <v>2.252858</v>
      </c>
      <c r="I1085" s="3" t="n">
        <v>1.263712</v>
      </c>
      <c r="J1085" s="3" t="n">
        <v>1.149406</v>
      </c>
      <c r="K1085" s="3" t="n">
        <v>2.757482</v>
      </c>
      <c r="L1085" s="3" t="n">
        <v>2.171535</v>
      </c>
      <c r="M1085" s="3" t="n">
        <v>3.789378</v>
      </c>
      <c r="N1085" s="3" t="n">
        <v>3.337146</v>
      </c>
      <c r="O1085" s="3" t="n">
        <v>0.8784690000000001</v>
      </c>
      <c r="P1085" s="3" t="n">
        <v>-4.181531</v>
      </c>
      <c r="Q1085" s="3" t="n">
        <v>2.033987</v>
      </c>
      <c r="R1085" s="3" t="n">
        <v>2.010474</v>
      </c>
      <c r="S1085" s="3" t="n">
        <v>-0.71578</v>
      </c>
      <c r="T1085" s="3" t="n">
        <v>-0.023945</v>
      </c>
      <c r="U1085" s="3" t="n">
        <v>1.74109</v>
      </c>
      <c r="V1085" s="3" t="n">
        <v>2.535907</v>
      </c>
      <c r="W1085" s="3" t="n">
        <v>1.970452</v>
      </c>
      <c r="X1085" s="3" t="n">
        <v>3.041226</v>
      </c>
      <c r="Y1085" s="3" t="n">
        <v>2.263416</v>
      </c>
      <c r="Z1085" s="3" t="n">
        <v>2.043242</v>
      </c>
      <c r="AA1085" s="3" t="n">
        <v>-5.517376</v>
      </c>
      <c r="AB1085" s="3" t="n">
        <v>6.442297</v>
      </c>
      <c r="AC1085" s="3" t="n">
        <v>3.744351</v>
      </c>
      <c r="AD1085" s="3" t="n">
        <v>0.590581</v>
      </c>
      <c r="AE1085" s="3" t="n">
        <v>1.189602</v>
      </c>
      <c r="AF1085" s="3" t="n">
        <v>1.615486</v>
      </c>
      <c r="AG1085" s="3" t="n">
        <v>1.338865</v>
      </c>
      <c r="AH1085" s="3" t="n">
        <v>1.413505</v>
      </c>
      <c r="AI1085" s="3" t="n">
        <v>1.573483</v>
      </c>
      <c r="AJ1085" s="3" t="n">
        <v>1.466194</v>
      </c>
      <c r="AK1085" s="3" t="n">
        <v>1.38109</v>
      </c>
      <c r="AL1085" s="3" t="n">
        <v>1.356594</v>
      </c>
      <c r="AM1085" s="3" t="n"/>
      <c r="AN1085" s="3" t="n"/>
      <c r="AO1085" s="3" t="n"/>
      <c r="AP1085" s="3" t="n"/>
      <c r="AQ1085" s="3" t="n"/>
      <c r="AR1085" s="3" t="n"/>
      <c r="AS1085" s="3" t="n"/>
      <c r="AT1085" s="3" t="n"/>
      <c r="AU1085" s="3" t="n"/>
    </row>
    <row r="1086">
      <c r="A1086" s="3" t="n">
        <v>2031</v>
      </c>
      <c r="B1086" s="3" t="inlineStr">
        <is>
          <t>G99</t>
        </is>
      </c>
      <c r="C1086" s="3" t="inlineStr">
        <is>
          <t>IMF.RES:WEO</t>
        </is>
      </c>
      <c r="D1086" s="3" t="inlineStr">
        <is>
          <t>G998.NGDPD.A</t>
        </is>
      </c>
      <c r="E1086" s="3" t="inlineStr">
        <is>
          <t>European Union (EU)</t>
        </is>
      </c>
      <c r="F1086" s="3" t="inlineStr">
        <is>
          <t>Gross domestic product (GDP), Current prices, US dollar</t>
        </is>
      </c>
      <c r="G1086" s="3" t="n">
        <v>7283.994614</v>
      </c>
      <c r="H1086" s="3" t="n">
        <v>7397.945602</v>
      </c>
      <c r="I1086" s="3" t="n">
        <v>8085.091441</v>
      </c>
      <c r="J1086" s="3" t="n">
        <v>9942.03665</v>
      </c>
      <c r="K1086" s="3" t="n">
        <v>11430.67616</v>
      </c>
      <c r="L1086" s="3" t="n">
        <v>11947.17112</v>
      </c>
      <c r="M1086" s="3" t="n">
        <v>12756.272592</v>
      </c>
      <c r="N1086" s="3" t="n">
        <v>14782.048963</v>
      </c>
      <c r="O1086" s="3" t="n">
        <v>16361.632408</v>
      </c>
      <c r="P1086" s="3" t="n">
        <v>14831.716066</v>
      </c>
      <c r="Q1086" s="3" t="n">
        <v>14652.671301</v>
      </c>
      <c r="R1086" s="3" t="n">
        <v>15872.834928</v>
      </c>
      <c r="S1086" s="3" t="n">
        <v>14740.114804</v>
      </c>
      <c r="T1086" s="3" t="n">
        <v>15398.800812</v>
      </c>
      <c r="U1086" s="3" t="n">
        <v>15767.683065</v>
      </c>
      <c r="V1086" s="3" t="n">
        <v>13657.174862</v>
      </c>
      <c r="W1086" s="3" t="n">
        <v>13984.48275</v>
      </c>
      <c r="X1086" s="3" t="n">
        <v>14867.431854</v>
      </c>
      <c r="Y1086" s="3" t="n">
        <v>16098.971652</v>
      </c>
      <c r="Z1086" s="3" t="n">
        <v>15810.455942</v>
      </c>
      <c r="AA1086" s="3" t="n">
        <v>15493.881288</v>
      </c>
      <c r="AB1086" s="3" t="n">
        <v>17505.513423</v>
      </c>
      <c r="AC1086" s="3" t="n">
        <v>17036.312212</v>
      </c>
      <c r="AD1086" s="3" t="n">
        <v>18669.274662</v>
      </c>
      <c r="AE1086" s="3" t="n">
        <v>19499.034573</v>
      </c>
      <c r="AF1086" s="3" t="n">
        <v>21231.5735</v>
      </c>
      <c r="AG1086" s="3" t="n">
        <v>23034.636905</v>
      </c>
      <c r="AH1086" s="3" t="n">
        <v>23839.332374</v>
      </c>
      <c r="AI1086" s="3" t="n">
        <v>24703.736682</v>
      </c>
      <c r="AJ1086" s="3" t="n">
        <v>25577.787044</v>
      </c>
      <c r="AK1086" s="3" t="n">
        <v>26464.252809</v>
      </c>
      <c r="AL1086" s="3" t="n">
        <v>27361.513755</v>
      </c>
      <c r="AM1086" s="3" t="n"/>
      <c r="AN1086" s="3" t="n"/>
      <c r="AO1086" s="3" t="n"/>
      <c r="AP1086" s="3" t="n"/>
      <c r="AQ1086" s="3" t="n"/>
      <c r="AR1086" s="3" t="n"/>
      <c r="AS1086" s="3" t="n"/>
      <c r="AT1086" s="3" t="n"/>
      <c r="AU1086" s="3" t="n"/>
    </row>
    <row r="1087">
      <c r="A1087" s="3" t="n">
        <v>2031</v>
      </c>
      <c r="B1087" s="3" t="inlineStr">
        <is>
          <t>G99</t>
        </is>
      </c>
      <c r="C1087" s="3" t="inlineStr">
        <is>
          <t>IMF.RES:WEO</t>
        </is>
      </c>
      <c r="D1087" s="3" t="inlineStr">
        <is>
          <t>G998.PCPIPCH.A</t>
        </is>
      </c>
      <c r="E1087" s="3" t="inlineStr">
        <is>
          <t>European Union (EU)</t>
        </is>
      </c>
      <c r="F1087" s="3" t="inlineStr">
        <is>
          <t>All Items, Consumer price index (CPI), Period average, percent change</t>
        </is>
      </c>
      <c r="G1087" s="3" t="n">
        <v>3.614982</v>
      </c>
      <c r="H1087" s="3" t="n">
        <v>3.397671</v>
      </c>
      <c r="I1087" s="3" t="n">
        <v>2.78439</v>
      </c>
      <c r="J1087" s="3" t="n">
        <v>2.386113</v>
      </c>
      <c r="K1087" s="3" t="n">
        <v>2.521479</v>
      </c>
      <c r="L1087" s="3" t="n">
        <v>2.370954</v>
      </c>
      <c r="M1087" s="3" t="n">
        <v>2.334435</v>
      </c>
      <c r="N1087" s="3" t="n">
        <v>2.401097</v>
      </c>
      <c r="O1087" s="3" t="n">
        <v>3.726486</v>
      </c>
      <c r="P1087" s="3" t="n">
        <v>0.7684029999999999</v>
      </c>
      <c r="Q1087" s="3" t="n">
        <v>1.801982</v>
      </c>
      <c r="R1087" s="3" t="n">
        <v>2.850284</v>
      </c>
      <c r="S1087" s="3" t="n">
        <v>2.602568</v>
      </c>
      <c r="T1087" s="3" t="n">
        <v>1.389446</v>
      </c>
      <c r="U1087" s="3" t="n">
        <v>0.392813</v>
      </c>
      <c r="V1087" s="3" t="n">
        <v>0.116495</v>
      </c>
      <c r="W1087" s="3" t="n">
        <v>0.14488</v>
      </c>
      <c r="X1087" s="3" t="n">
        <v>1.598055</v>
      </c>
      <c r="Y1087" s="3" t="n">
        <v>1.843206</v>
      </c>
      <c r="Z1087" s="3" t="n">
        <v>1.458615</v>
      </c>
      <c r="AA1087" s="3" t="n">
        <v>0.677359</v>
      </c>
      <c r="AB1087" s="3" t="n">
        <v>2.892498</v>
      </c>
      <c r="AC1087" s="3" t="n">
        <v>9.334934000000001</v>
      </c>
      <c r="AD1087" s="3" t="n">
        <v>6.272905</v>
      </c>
      <c r="AE1087" s="3" t="n">
        <v>2.543185</v>
      </c>
      <c r="AF1087" s="3" t="n">
        <v>2.4641</v>
      </c>
      <c r="AG1087" s="3" t="n">
        <v>2.821629</v>
      </c>
      <c r="AH1087" s="3" t="n">
        <v>2.375496</v>
      </c>
      <c r="AI1087" s="3" t="n">
        <v>2.37853</v>
      </c>
      <c r="AJ1087" s="3" t="n">
        <v>2.135891</v>
      </c>
      <c r="AK1087" s="3" t="n">
        <v>2.115323</v>
      </c>
      <c r="AL1087" s="3" t="n">
        <v>2.072415</v>
      </c>
      <c r="AM1087" s="3" t="n"/>
      <c r="AN1087" s="3" t="n"/>
      <c r="AO1087" s="3" t="n"/>
      <c r="AP1087" s="3" t="n"/>
      <c r="AQ1087" s="3" t="n"/>
      <c r="AR1087" s="3" t="n"/>
      <c r="AS1087" s="3" t="n"/>
      <c r="AT1087" s="3" t="n"/>
      <c r="AU1087" s="3" t="n"/>
    </row>
    <row r="1088">
      <c r="A1088" s="3" t="n">
        <v>2031</v>
      </c>
      <c r="B1088" s="3" t="inlineStr">
        <is>
          <t>G99</t>
        </is>
      </c>
      <c r="C1088" s="3" t="inlineStr">
        <is>
          <t>IMF.RES:WEO</t>
        </is>
      </c>
      <c r="D1088" s="3" t="inlineStr">
        <is>
          <t>G998.PPPPC.A</t>
        </is>
      </c>
      <c r="E1088" s="3" t="inlineStr">
        <is>
          <t>European Union (EU)</t>
        </is>
      </c>
      <c r="F1088" s="3" t="inlineStr">
        <is>
          <t>Gross domestic product (GDP), Per capita, purchasing power parity (PPP) international dollar, ICP benchmarks 2017-2021</t>
        </is>
      </c>
      <c r="G1088" s="3" t="n">
        <v>25387.312358</v>
      </c>
      <c r="H1088" s="3" t="n">
        <v>26490.21348</v>
      </c>
      <c r="I1088" s="3" t="n">
        <v>27170.237919</v>
      </c>
      <c r="J1088" s="3" t="n">
        <v>27930.431642</v>
      </c>
      <c r="K1088" s="3" t="n">
        <v>29353.484297</v>
      </c>
      <c r="L1088" s="3" t="n">
        <v>30810.031571</v>
      </c>
      <c r="M1088" s="3" t="n">
        <v>32843.156091</v>
      </c>
      <c r="N1088" s="3" t="n">
        <v>34725.963773</v>
      </c>
      <c r="O1088" s="3" t="n">
        <v>35602.260836</v>
      </c>
      <c r="P1088" s="3" t="n">
        <v>34228.794287</v>
      </c>
      <c r="Q1088" s="3" t="n">
        <v>35288.405548</v>
      </c>
      <c r="R1088" s="3" t="n">
        <v>36653.222867</v>
      </c>
      <c r="S1088" s="3" t="n">
        <v>37011.49314</v>
      </c>
      <c r="T1088" s="3" t="n">
        <v>37592.978424</v>
      </c>
      <c r="U1088" s="3" t="n">
        <v>38839.006951</v>
      </c>
      <c r="V1088" s="3" t="n">
        <v>40072.578303</v>
      </c>
      <c r="W1088" s="3" t="n">
        <v>41170.76522</v>
      </c>
      <c r="X1088" s="3" t="n">
        <v>43115.068998</v>
      </c>
      <c r="Y1088" s="3" t="n">
        <v>45122.412608</v>
      </c>
      <c r="Z1088" s="3" t="n">
        <v>48667.036446</v>
      </c>
      <c r="AA1088" s="3" t="n">
        <v>47608.253438</v>
      </c>
      <c r="AB1088" s="3" t="n">
        <v>52682.042682</v>
      </c>
      <c r="AC1088" s="3" t="n">
        <v>58374.037079</v>
      </c>
      <c r="AD1088" s="3" t="n">
        <v>60559.114494</v>
      </c>
      <c r="AE1088" s="3" t="n">
        <v>62609.302565</v>
      </c>
      <c r="AF1088" s="3" t="n">
        <v>65273.956548</v>
      </c>
      <c r="AG1088" s="3" t="n">
        <v>67957.41564599999</v>
      </c>
      <c r="AH1088" s="3" t="n">
        <v>70334.96210800001</v>
      </c>
      <c r="AI1088" s="3" t="n">
        <v>72539.490336</v>
      </c>
      <c r="AJ1088" s="3" t="n">
        <v>74852.669173</v>
      </c>
      <c r="AK1088" s="3" t="n">
        <v>77230.776766</v>
      </c>
      <c r="AL1088" s="3" t="n">
        <v>79652.101343</v>
      </c>
      <c r="AM1088" s="3" t="n"/>
      <c r="AN1088" s="3" t="n"/>
      <c r="AO1088" s="3" t="n"/>
      <c r="AP1088" s="3" t="n"/>
      <c r="AQ1088" s="3" t="n"/>
      <c r="AR1088" s="3" t="n"/>
      <c r="AS1088" s="3" t="n"/>
      <c r="AT1088" s="3" t="n"/>
      <c r="AU1088" s="3" t="n"/>
    </row>
    <row r="1089">
      <c r="A1089" s="3" t="n">
        <v>2031</v>
      </c>
      <c r="B1089" s="3" t="inlineStr">
        <is>
          <t>GAB</t>
        </is>
      </c>
      <c r="C1089" s="3" t="inlineStr">
        <is>
          <t>IMF.RES:WEO</t>
        </is>
      </c>
      <c r="D1089" s="3" t="inlineStr">
        <is>
          <t>GAB.BCA.A</t>
        </is>
      </c>
      <c r="E1089" s="3" t="inlineStr">
        <is>
          <t>Gabon</t>
        </is>
      </c>
      <c r="F1089" s="3" t="inlineStr">
        <is>
          <t>Current account balance (credit less debit), US dollar</t>
        </is>
      </c>
      <c r="G1089" s="3" t="n">
        <v>1.001002</v>
      </c>
      <c r="H1089" s="3" t="n">
        <v>0.517391</v>
      </c>
      <c r="I1089" s="3" t="n">
        <v>0.338031</v>
      </c>
      <c r="J1089" s="3" t="n">
        <v>0.765899</v>
      </c>
      <c r="K1089" s="3" t="n">
        <v>0.924484</v>
      </c>
      <c r="L1089" s="3" t="n">
        <v>1.982977</v>
      </c>
      <c r="M1089" s="3" t="n">
        <v>1.484493</v>
      </c>
      <c r="N1089" s="3" t="n">
        <v>2.748132</v>
      </c>
      <c r="O1089" s="3" t="n">
        <v>3.829611</v>
      </c>
      <c r="P1089" s="3" t="n">
        <v>0.80408</v>
      </c>
      <c r="Q1089" s="3" t="n">
        <v>2.453166</v>
      </c>
      <c r="R1089" s="3" t="n">
        <v>2.604456</v>
      </c>
      <c r="S1089" s="3" t="n">
        <v>1.977649</v>
      </c>
      <c r="T1089" s="3" t="n">
        <v>1.462634</v>
      </c>
      <c r="U1089" s="3" t="n">
        <v>1.112072</v>
      </c>
      <c r="V1089" s="3" t="n">
        <v>0.140996</v>
      </c>
      <c r="W1089" s="3" t="n">
        <v>-0.759039</v>
      </c>
      <c r="X1089" s="3" t="n">
        <v>-0.105332</v>
      </c>
      <c r="Y1089" s="3" t="n">
        <v>1.202336</v>
      </c>
      <c r="Z1089" s="3" t="n">
        <v>0.776188</v>
      </c>
      <c r="AA1089" s="3" t="n">
        <v>-0.076185</v>
      </c>
      <c r="AB1089" s="3" t="n">
        <v>0.634091</v>
      </c>
      <c r="AC1089" s="3" t="n">
        <v>1.81206</v>
      </c>
      <c r="AD1089" s="3" t="n">
        <v>0.602745</v>
      </c>
      <c r="AE1089" s="3" t="n">
        <v>0.358207</v>
      </c>
      <c r="AF1089" s="3" t="n">
        <v>-0.6796180000000001</v>
      </c>
      <c r="AG1089" s="3" t="n">
        <v>-0.997961</v>
      </c>
      <c r="AH1089" s="3" t="n">
        <v>-1.320456</v>
      </c>
      <c r="AI1089" s="3" t="n">
        <v>-1.551257</v>
      </c>
      <c r="AJ1089" s="3" t="n">
        <v>-1.448346</v>
      </c>
      <c r="AK1089" s="3" t="n">
        <v>-1.65318</v>
      </c>
      <c r="AL1089" s="3" t="n">
        <v>-1.900733</v>
      </c>
      <c r="AM1089" s="3" t="n"/>
      <c r="AN1089" s="3" t="n"/>
      <c r="AO1089" s="3" t="n"/>
      <c r="AP1089" s="3" t="n"/>
      <c r="AQ1089" s="3" t="n"/>
      <c r="AR1089" s="3" t="n"/>
      <c r="AS1089" s="3" t="n"/>
      <c r="AT1089" s="3" t="n"/>
      <c r="AU1089" s="3" t="n"/>
    </row>
    <row r="1090">
      <c r="A1090" s="3" t="n">
        <v>2031</v>
      </c>
      <c r="B1090" s="3" t="inlineStr">
        <is>
          <t>GAB</t>
        </is>
      </c>
      <c r="C1090" s="3" t="inlineStr">
        <is>
          <t>IMF.RES:WEO</t>
        </is>
      </c>
      <c r="D1090" s="3" t="inlineStr">
        <is>
          <t>GAB.BCA_NGDPD.A</t>
        </is>
      </c>
      <c r="E1090" s="3" t="inlineStr">
        <is>
          <t>Gabon</t>
        </is>
      </c>
      <c r="F1090" s="3" t="inlineStr">
        <is>
          <t>Current account balance (credit less debit), Percent of GDP</t>
        </is>
      </c>
      <c r="G1090" s="3" t="n">
        <v>18.548633</v>
      </c>
      <c r="H1090" s="3" t="n">
        <v>10.299814</v>
      </c>
      <c r="I1090" s="3" t="n">
        <v>6.340053</v>
      </c>
      <c r="J1090" s="3" t="n">
        <v>11.764475</v>
      </c>
      <c r="K1090" s="3" t="n">
        <v>11.903188</v>
      </c>
      <c r="L1090" s="3" t="n">
        <v>20.944262</v>
      </c>
      <c r="M1090" s="3" t="n">
        <v>14.605963</v>
      </c>
      <c r="N1090" s="3" t="n">
        <v>22.061165</v>
      </c>
      <c r="O1090" s="3" t="n">
        <v>24.596651</v>
      </c>
      <c r="P1090" s="3" t="n">
        <v>6.597361</v>
      </c>
      <c r="Q1090" s="3" t="n">
        <v>17.05443</v>
      </c>
      <c r="R1090" s="3" t="n">
        <v>14.304613</v>
      </c>
      <c r="S1090" s="3" t="n">
        <v>11.510446</v>
      </c>
      <c r="T1090" s="3" t="n">
        <v>8.31232</v>
      </c>
      <c r="U1090" s="3" t="n">
        <v>6.107391</v>
      </c>
      <c r="V1090" s="3" t="n">
        <v>0.980189</v>
      </c>
      <c r="W1090" s="3" t="n">
        <v>-5.41398</v>
      </c>
      <c r="X1090" s="3" t="n">
        <v>-0.705769</v>
      </c>
      <c r="Y1090" s="3" t="n">
        <v>7.144025</v>
      </c>
      <c r="Z1090" s="3" t="n">
        <v>4.599598</v>
      </c>
      <c r="AA1090" s="3" t="n">
        <v>-0.495853</v>
      </c>
      <c r="AB1090" s="3" t="n">
        <v>3.259245</v>
      </c>
      <c r="AC1090" s="3" t="n">
        <v>8.845976</v>
      </c>
      <c r="AD1090" s="3" t="n">
        <v>3.004909</v>
      </c>
      <c r="AE1090" s="3" t="n">
        <v>1.713894</v>
      </c>
      <c r="AF1090" s="3" t="n">
        <v>-3.142817</v>
      </c>
      <c r="AG1090" s="3" t="n">
        <v>-4.271494</v>
      </c>
      <c r="AH1090" s="3" t="n">
        <v>-5.459911</v>
      </c>
      <c r="AI1090" s="3" t="n">
        <v>-6.148298</v>
      </c>
      <c r="AJ1090" s="3" t="n">
        <v>-5.482865</v>
      </c>
      <c r="AK1090" s="3" t="n">
        <v>-5.981206</v>
      </c>
      <c r="AL1090" s="3" t="n">
        <v>-6.57555</v>
      </c>
      <c r="AM1090" s="3" t="n"/>
      <c r="AN1090" s="3" t="n"/>
      <c r="AO1090" s="3" t="n"/>
      <c r="AP1090" s="3" t="n"/>
      <c r="AQ1090" s="3" t="n"/>
      <c r="AR1090" s="3" t="n"/>
      <c r="AS1090" s="3" t="n"/>
      <c r="AT1090" s="3" t="n"/>
      <c r="AU1090" s="3" t="n"/>
    </row>
    <row r="1091">
      <c r="A1091" s="3" t="n">
        <v>2031</v>
      </c>
      <c r="B1091" s="3" t="inlineStr">
        <is>
          <t>GAB</t>
        </is>
      </c>
      <c r="C1091" s="3" t="inlineStr">
        <is>
          <t>IMF.RES:WEO</t>
        </is>
      </c>
      <c r="D1091" s="3" t="inlineStr">
        <is>
          <t>GAB.GGR_NGDP.A</t>
        </is>
      </c>
      <c r="E1091" s="3" t="inlineStr">
        <is>
          <t>Gabon</t>
        </is>
      </c>
      <c r="F1091" s="3" t="inlineStr">
        <is>
          <t>Revenue, General government, Percent of GDP</t>
        </is>
      </c>
      <c r="G1091" s="3" t="n">
        <v>31.429222</v>
      </c>
      <c r="H1091" s="3" t="n">
        <v>31.900545</v>
      </c>
      <c r="I1091" s="3" t="n">
        <v>29.446611</v>
      </c>
      <c r="J1091" s="3" t="n">
        <v>29.002107</v>
      </c>
      <c r="K1091" s="3" t="n">
        <v>27.866675</v>
      </c>
      <c r="L1091" s="3" t="n">
        <v>28.74492</v>
      </c>
      <c r="M1091" s="3" t="n">
        <v>29.80672</v>
      </c>
      <c r="N1091" s="3" t="n">
        <v>27.450761</v>
      </c>
      <c r="O1091" s="3" t="n">
        <v>29.923437</v>
      </c>
      <c r="P1091" s="3" t="n">
        <v>29.368334</v>
      </c>
      <c r="Q1091" s="3" t="n">
        <v>25.788273</v>
      </c>
      <c r="R1091" s="3" t="n">
        <v>23.483414</v>
      </c>
      <c r="S1091" s="3" t="n">
        <v>30.153759</v>
      </c>
      <c r="T1091" s="3" t="n">
        <v>31.605458</v>
      </c>
      <c r="U1091" s="3" t="n">
        <v>29.73511</v>
      </c>
      <c r="V1091" s="3" t="n">
        <v>21.13614</v>
      </c>
      <c r="W1091" s="3" t="n">
        <v>17.137665</v>
      </c>
      <c r="X1091" s="3" t="n">
        <v>16.414487</v>
      </c>
      <c r="Y1091" s="3" t="n">
        <v>16.918171</v>
      </c>
      <c r="Z1091" s="3" t="n">
        <v>19.534258</v>
      </c>
      <c r="AA1091" s="3" t="n">
        <v>17.585635</v>
      </c>
      <c r="AB1091" s="3" t="n">
        <v>15.327378</v>
      </c>
      <c r="AC1091" s="3" t="n">
        <v>18.763661</v>
      </c>
      <c r="AD1091" s="3" t="n">
        <v>23.257528</v>
      </c>
      <c r="AE1091" s="3" t="n">
        <v>21.471981</v>
      </c>
      <c r="AF1091" s="3" t="n">
        <v>20.16573</v>
      </c>
      <c r="AG1091" s="3" t="n">
        <v>19.582768</v>
      </c>
      <c r="AH1091" s="3" t="n">
        <v>19.317713</v>
      </c>
      <c r="AI1091" s="3" t="n">
        <v>19.219747</v>
      </c>
      <c r="AJ1091" s="3" t="n">
        <v>19.203454</v>
      </c>
      <c r="AK1091" s="3" t="n">
        <v>19.192779</v>
      </c>
      <c r="AL1091" s="3" t="n">
        <v>19.13756</v>
      </c>
      <c r="AM1091" s="3" t="n"/>
      <c r="AN1091" s="3" t="n"/>
      <c r="AO1091" s="3" t="n"/>
      <c r="AP1091" s="3" t="n"/>
      <c r="AQ1091" s="3" t="n"/>
      <c r="AR1091" s="3" t="n"/>
      <c r="AS1091" s="3" t="n"/>
      <c r="AT1091" s="3" t="n"/>
      <c r="AU1091" s="3" t="n"/>
    </row>
    <row r="1092">
      <c r="A1092" s="3" t="n">
        <v>2031</v>
      </c>
      <c r="B1092" s="3" t="inlineStr">
        <is>
          <t>GAB</t>
        </is>
      </c>
      <c r="C1092" s="3" t="inlineStr">
        <is>
          <t>IMF.RES:WEO</t>
        </is>
      </c>
      <c r="D1092" s="3" t="inlineStr">
        <is>
          <t>GAB.GGX_NGDP.A</t>
        </is>
      </c>
      <c r="E1092" s="3" t="inlineStr">
        <is>
          <t>Gabon</t>
        </is>
      </c>
      <c r="F1092" s="3" t="inlineStr">
        <is>
          <t>Expenditure, General government, Percent of GDP</t>
        </is>
      </c>
      <c r="G1092" s="3" t="n">
        <v>20.297272</v>
      </c>
      <c r="H1092" s="3" t="n">
        <v>27.833093</v>
      </c>
      <c r="I1092" s="3" t="n">
        <v>25.722348</v>
      </c>
      <c r="J1092" s="3" t="n">
        <v>21.249731</v>
      </c>
      <c r="K1092" s="3" t="n">
        <v>20.874029</v>
      </c>
      <c r="L1092" s="3" t="n">
        <v>20.767639</v>
      </c>
      <c r="M1092" s="3" t="n">
        <v>21.134834</v>
      </c>
      <c r="N1092" s="3" t="n">
        <v>19.388374</v>
      </c>
      <c r="O1092" s="3" t="n">
        <v>18.929101</v>
      </c>
      <c r="P1092" s="3" t="n">
        <v>22.598283</v>
      </c>
      <c r="Q1092" s="3" t="n">
        <v>23.09072</v>
      </c>
      <c r="R1092" s="3" t="n">
        <v>22.073604</v>
      </c>
      <c r="S1092" s="3" t="n">
        <v>23.94958</v>
      </c>
      <c r="T1092" s="3" t="n">
        <v>34.674569</v>
      </c>
      <c r="U1092" s="3" t="n">
        <v>23.755484</v>
      </c>
      <c r="V1092" s="3" t="n">
        <v>22.253334</v>
      </c>
      <c r="W1092" s="3" t="n">
        <v>21.847735</v>
      </c>
      <c r="X1092" s="3" t="n">
        <v>18.113732</v>
      </c>
      <c r="Y1092" s="3" t="n">
        <v>17.130167</v>
      </c>
      <c r="Z1092" s="3" t="n">
        <v>17.40729</v>
      </c>
      <c r="AA1092" s="3" t="n">
        <v>19.775598</v>
      </c>
      <c r="AB1092" s="3" t="n">
        <v>17.253909</v>
      </c>
      <c r="AC1092" s="3" t="n">
        <v>19.653194</v>
      </c>
      <c r="AD1092" s="3" t="n">
        <v>21.464429</v>
      </c>
      <c r="AE1092" s="3" t="n">
        <v>24.771113</v>
      </c>
      <c r="AF1092" s="3" t="n">
        <v>28.63806</v>
      </c>
      <c r="AG1092" s="3" t="n">
        <v>29.553214</v>
      </c>
      <c r="AH1092" s="3" t="n">
        <v>30.468563</v>
      </c>
      <c r="AI1092" s="3" t="n">
        <v>31.175117</v>
      </c>
      <c r="AJ1092" s="3" t="n">
        <v>29.677542</v>
      </c>
      <c r="AK1092" s="3" t="n">
        <v>30.320015</v>
      </c>
      <c r="AL1092" s="3" t="n">
        <v>30.950852</v>
      </c>
      <c r="AM1092" s="3" t="n"/>
      <c r="AN1092" s="3" t="n"/>
      <c r="AO1092" s="3" t="n"/>
      <c r="AP1092" s="3" t="n"/>
      <c r="AQ1092" s="3" t="n"/>
      <c r="AR1092" s="3" t="n"/>
      <c r="AS1092" s="3" t="n"/>
      <c r="AT1092" s="3" t="n"/>
      <c r="AU1092" s="3" t="n"/>
    </row>
    <row r="1093">
      <c r="A1093" s="3" t="n">
        <v>2031</v>
      </c>
      <c r="B1093" s="3" t="inlineStr">
        <is>
          <t>GAB</t>
        </is>
      </c>
      <c r="C1093" s="3" t="inlineStr">
        <is>
          <t>IMF.RES:WEO</t>
        </is>
      </c>
      <c r="D1093" s="3" t="inlineStr">
        <is>
          <t>GAB.LP.A</t>
        </is>
      </c>
      <c r="E1093" s="3" t="inlineStr">
        <is>
          <t>Gabon</t>
        </is>
      </c>
      <c r="F1093" s="3" t="inlineStr">
        <is>
          <t>Population, Persons for countries / Index for country groups</t>
        </is>
      </c>
      <c r="G1093" s="3" t="n">
        <v>1.205327</v>
      </c>
      <c r="H1093" s="3" t="n">
        <v>1.235461</v>
      </c>
      <c r="I1093" s="3" t="n">
        <v>1.266347</v>
      </c>
      <c r="J1093" s="3" t="n">
        <v>1.298006</v>
      </c>
      <c r="K1093" s="3" t="n">
        <v>1.330456</v>
      </c>
      <c r="L1093" s="3" t="n">
        <v>1.363717</v>
      </c>
      <c r="M1093" s="3" t="n">
        <v>1.39781</v>
      </c>
      <c r="N1093" s="3" t="n">
        <v>1.439745</v>
      </c>
      <c r="O1093" s="3" t="n">
        <v>1.494455</v>
      </c>
      <c r="P1093" s="3" t="n">
        <v>1.551244</v>
      </c>
      <c r="Q1093" s="3" t="n">
        <v>1.610191</v>
      </c>
      <c r="R1093" s="3" t="n">
        <v>1.671379</v>
      </c>
      <c r="S1093" s="3" t="n">
        <v>1.734891</v>
      </c>
      <c r="T1093" s="3" t="n">
        <v>1.802728</v>
      </c>
      <c r="U1093" s="3" t="n">
        <v>1.868167</v>
      </c>
      <c r="V1093" s="3" t="n">
        <v>1.930003</v>
      </c>
      <c r="W1093" s="3" t="n">
        <v>1.979604</v>
      </c>
      <c r="X1093" s="3" t="n">
        <v>2.024937</v>
      </c>
      <c r="Y1093" s="3" t="n">
        <v>2.052793</v>
      </c>
      <c r="Z1093" s="3" t="n">
        <v>2.080441</v>
      </c>
      <c r="AA1093" s="3" t="n">
        <v>2.107762</v>
      </c>
      <c r="AB1093" s="3" t="n">
        <v>2.13469</v>
      </c>
      <c r="AC1093" s="3" t="n">
        <v>2.161219</v>
      </c>
      <c r="AD1093" s="3" t="n">
        <v>2.20928</v>
      </c>
      <c r="AE1093" s="3" t="n">
        <v>2.257541</v>
      </c>
      <c r="AF1093" s="3" t="n">
        <v>2.306261</v>
      </c>
      <c r="AG1093" s="3" t="n">
        <v>2.355747</v>
      </c>
      <c r="AH1093" s="3" t="n">
        <v>2.406417</v>
      </c>
      <c r="AI1093" s="3" t="n">
        <v>2.458698</v>
      </c>
      <c r="AJ1093" s="3" t="n">
        <v>2.511864</v>
      </c>
      <c r="AK1093" s="3" t="n">
        <v>2.566069</v>
      </c>
      <c r="AL1093" s="3" t="n">
        <v>2.621442</v>
      </c>
      <c r="AM1093" s="3" t="n"/>
      <c r="AN1093" s="3" t="n"/>
      <c r="AO1093" s="3" t="n"/>
      <c r="AP1093" s="3" t="n"/>
      <c r="AQ1093" s="3" t="n"/>
      <c r="AR1093" s="3" t="n"/>
      <c r="AS1093" s="3" t="n"/>
      <c r="AT1093" s="3" t="n"/>
      <c r="AU1093" s="3" t="n"/>
    </row>
    <row r="1094">
      <c r="A1094" s="3" t="n">
        <v>2031</v>
      </c>
      <c r="B1094" s="3" t="inlineStr">
        <is>
          <t>GAB</t>
        </is>
      </c>
      <c r="C1094" s="3" t="inlineStr">
        <is>
          <t>IMF.RES:WEO</t>
        </is>
      </c>
      <c r="D1094" s="3" t="inlineStr">
        <is>
          <t>GAB.NGDP.A</t>
        </is>
      </c>
      <c r="E1094" s="3" t="inlineStr">
        <is>
          <t>Gabon</t>
        </is>
      </c>
      <c r="F1094" s="3" t="inlineStr">
        <is>
          <t>Gross domestic product (GDP), Current prices, Domestic currency</t>
        </is>
      </c>
      <c r="G1094" s="3" t="n">
        <v>3842.277679</v>
      </c>
      <c r="H1094" s="3" t="n">
        <v>3679.028</v>
      </c>
      <c r="I1094" s="3" t="n">
        <v>3701.273</v>
      </c>
      <c r="J1094" s="3" t="n">
        <v>3776.236</v>
      </c>
      <c r="K1094" s="3" t="n">
        <v>4097.532</v>
      </c>
      <c r="L1094" s="3" t="n">
        <v>4989.26</v>
      </c>
      <c r="M1094" s="3" t="n">
        <v>5309.448</v>
      </c>
      <c r="N1094" s="3" t="n">
        <v>5961.579</v>
      </c>
      <c r="O1094" s="3" t="n">
        <v>6944.822</v>
      </c>
      <c r="P1094" s="3" t="n">
        <v>5738.118531</v>
      </c>
      <c r="Q1094" s="3" t="n">
        <v>7111.476557</v>
      </c>
      <c r="R1094" s="3" t="n">
        <v>8581.582503</v>
      </c>
      <c r="S1094" s="3" t="n">
        <v>8766.489229999999</v>
      </c>
      <c r="T1094" s="3" t="n">
        <v>8690.517448000001</v>
      </c>
      <c r="U1094" s="3" t="n">
        <v>8988.325164</v>
      </c>
      <c r="V1094" s="3" t="n">
        <v>8503.444928000001</v>
      </c>
      <c r="W1094" s="3" t="n">
        <v>8310.617851000001</v>
      </c>
      <c r="X1094" s="3" t="n">
        <v>8669.067777</v>
      </c>
      <c r="Y1094" s="3" t="n">
        <v>9343.896706</v>
      </c>
      <c r="Z1094" s="3" t="n">
        <v>9886.9</v>
      </c>
      <c r="AA1094" s="3" t="n">
        <v>8830.776421</v>
      </c>
      <c r="AB1094" s="3" t="n">
        <v>10782.812985</v>
      </c>
      <c r="AC1094" s="3" t="n">
        <v>12750.057285</v>
      </c>
      <c r="AD1094" s="3" t="n">
        <v>12165.193292</v>
      </c>
      <c r="AE1094" s="3" t="n">
        <v>12670</v>
      </c>
      <c r="AF1094" s="3" t="n">
        <v>12560.166902</v>
      </c>
      <c r="AG1094" s="3" t="n">
        <v>13000.23777</v>
      </c>
      <c r="AH1094" s="3" t="n">
        <v>13476.339666</v>
      </c>
      <c r="AI1094" s="3" t="n">
        <v>14097.241573</v>
      </c>
      <c r="AJ1094" s="3" t="n">
        <v>14768.292863</v>
      </c>
      <c r="AK1094" s="3" t="n">
        <v>15461.495195</v>
      </c>
      <c r="AL1094" s="3" t="n">
        <v>16179.57993</v>
      </c>
      <c r="AM1094" s="3" t="n"/>
      <c r="AN1094" s="3" t="n"/>
      <c r="AO1094" s="3" t="n"/>
      <c r="AP1094" s="3" t="n"/>
      <c r="AQ1094" s="3" t="n"/>
      <c r="AR1094" s="3" t="n"/>
      <c r="AS1094" s="3" t="n"/>
      <c r="AT1094" s="3" t="n"/>
      <c r="AU1094" s="3" t="n"/>
    </row>
    <row r="1095">
      <c r="A1095" s="3" t="n">
        <v>2031</v>
      </c>
      <c r="B1095" s="3" t="inlineStr">
        <is>
          <t>GAB</t>
        </is>
      </c>
      <c r="C1095" s="3" t="inlineStr">
        <is>
          <t>IMF.RES:WEO</t>
        </is>
      </c>
      <c r="D1095" s="3" t="inlineStr">
        <is>
          <t>GAB.NGDP_D.A</t>
        </is>
      </c>
      <c r="E1095" s="3" t="inlineStr">
        <is>
          <t>Gabon</t>
        </is>
      </c>
      <c r="F1095" s="3" t="inlineStr">
        <is>
          <t>Gross domestic product (GDP), Price deflator, Index</t>
        </is>
      </c>
      <c r="G1095" s="3" t="n">
        <v>106.68234</v>
      </c>
      <c r="H1095" s="3" t="n">
        <v>100</v>
      </c>
      <c r="I1095" s="3" t="n">
        <v>100.855808</v>
      </c>
      <c r="J1095" s="3" t="n">
        <v>100.636827</v>
      </c>
      <c r="K1095" s="3" t="n">
        <v>108.451563</v>
      </c>
      <c r="L1095" s="3" t="n">
        <v>127.097365</v>
      </c>
      <c r="M1095" s="3" t="n">
        <v>140.353525</v>
      </c>
      <c r="N1095" s="3" t="n">
        <v>147.992692</v>
      </c>
      <c r="O1095" s="3" t="n">
        <v>177.788455</v>
      </c>
      <c r="P1095" s="3" t="n">
        <v>148.674591</v>
      </c>
      <c r="Q1095" s="3" t="n">
        <v>171.60295</v>
      </c>
      <c r="R1095" s="3" t="n">
        <v>193.364311</v>
      </c>
      <c r="S1095" s="3" t="n">
        <v>187.675721</v>
      </c>
      <c r="T1095" s="3" t="n">
        <v>176.321639</v>
      </c>
      <c r="U1095" s="3" t="n">
        <v>174.619004</v>
      </c>
      <c r="V1095" s="3" t="n">
        <v>159.030453</v>
      </c>
      <c r="W1095" s="3" t="n">
        <v>152.240207</v>
      </c>
      <c r="X1095" s="3" t="n">
        <v>158.059497</v>
      </c>
      <c r="Y1095" s="3" t="n">
        <v>168.829145</v>
      </c>
      <c r="Z1095" s="3" t="n">
        <v>172.021207</v>
      </c>
      <c r="AA1095" s="3" t="n">
        <v>156.522322</v>
      </c>
      <c r="AB1095" s="3" t="n">
        <v>188.356473</v>
      </c>
      <c r="AC1095" s="3" t="n">
        <v>216.154766</v>
      </c>
      <c r="AD1095" s="3" t="n">
        <v>201.315491</v>
      </c>
      <c r="AE1095" s="3" t="n">
        <v>202.800365</v>
      </c>
      <c r="AF1095" s="3" t="n">
        <v>196.11509</v>
      </c>
      <c r="AG1095" s="3" t="n">
        <v>197.717358</v>
      </c>
      <c r="AH1095" s="3" t="n">
        <v>199.358548</v>
      </c>
      <c r="AI1095" s="3" t="n">
        <v>202.768759</v>
      </c>
      <c r="AJ1095" s="3" t="n">
        <v>206.536797</v>
      </c>
      <c r="AK1095" s="3" t="n">
        <v>210.250058</v>
      </c>
      <c r="AL1095" s="3" t="n">
        <v>213.875899</v>
      </c>
      <c r="AM1095" s="3" t="n"/>
      <c r="AN1095" s="3" t="n"/>
      <c r="AO1095" s="3" t="n"/>
      <c r="AP1095" s="3" t="n"/>
      <c r="AQ1095" s="3" t="n"/>
      <c r="AR1095" s="3" t="n"/>
      <c r="AS1095" s="3" t="n"/>
      <c r="AT1095" s="3" t="n"/>
      <c r="AU1095" s="3" t="n"/>
    </row>
    <row r="1096">
      <c r="A1096" s="3" t="n">
        <v>2031</v>
      </c>
      <c r="B1096" s="3" t="inlineStr">
        <is>
          <t>GAB</t>
        </is>
      </c>
      <c r="C1096" s="3" t="inlineStr">
        <is>
          <t>IMF.RES:WEO</t>
        </is>
      </c>
      <c r="D1096" s="3" t="inlineStr">
        <is>
          <t>GAB.NGDP_R.A</t>
        </is>
      </c>
      <c r="E1096" s="3" t="inlineStr">
        <is>
          <t>Gabon</t>
        </is>
      </c>
      <c r="F1096" s="3" t="inlineStr">
        <is>
          <t>Gross domestic product (GDP), Constant prices, Domestic currency</t>
        </is>
      </c>
      <c r="G1096" s="3" t="n">
        <v>3601.606124</v>
      </c>
      <c r="H1096" s="3" t="n">
        <v>3679.028</v>
      </c>
      <c r="I1096" s="3" t="n">
        <v>3669.866</v>
      </c>
      <c r="J1096" s="3" t="n">
        <v>3752.340074</v>
      </c>
      <c r="K1096" s="3" t="n">
        <v>3778.21386</v>
      </c>
      <c r="L1096" s="3" t="n">
        <v>3925.541662</v>
      </c>
      <c r="M1096" s="3" t="n">
        <v>3782.910344</v>
      </c>
      <c r="N1096" s="3" t="n">
        <v>4028.292816</v>
      </c>
      <c r="O1096" s="3" t="n">
        <v>3906.227759</v>
      </c>
      <c r="P1096" s="3" t="n">
        <v>3859.515272</v>
      </c>
      <c r="Q1096" s="3" t="n">
        <v>4144.145857</v>
      </c>
      <c r="R1096" s="3" t="n">
        <v>4438.038459</v>
      </c>
      <c r="S1096" s="3" t="n">
        <v>4671.083272</v>
      </c>
      <c r="T1096" s="3" t="n">
        <v>4928.786666</v>
      </c>
      <c r="U1096" s="3" t="n">
        <v>5147.392293</v>
      </c>
      <c r="V1096" s="3" t="n">
        <v>5347.054461</v>
      </c>
      <c r="W1096" s="3" t="n">
        <v>5458.885015</v>
      </c>
      <c r="X1096" s="3" t="n">
        <v>5484.68643</v>
      </c>
      <c r="Y1096" s="3" t="n">
        <v>5534.528239</v>
      </c>
      <c r="Z1096" s="3" t="n">
        <v>5747.489034</v>
      </c>
      <c r="AA1096" s="3" t="n">
        <v>5641.863919</v>
      </c>
      <c r="AB1096" s="3" t="n">
        <v>5724.684073</v>
      </c>
      <c r="AC1096" s="3" t="n">
        <v>5898.577906</v>
      </c>
      <c r="AD1096" s="3" t="n">
        <v>6042.850086</v>
      </c>
      <c r="AE1096" s="3" t="n">
        <v>6247.523271</v>
      </c>
      <c r="AF1096" s="3" t="n">
        <v>6404.487732</v>
      </c>
      <c r="AG1096" s="3" t="n">
        <v>6575.162601</v>
      </c>
      <c r="AH1096" s="3" t="n">
        <v>6759.850423</v>
      </c>
      <c r="AI1096" s="3" t="n">
        <v>6952.373568</v>
      </c>
      <c r="AJ1096" s="3" t="n">
        <v>7150.44151</v>
      </c>
      <c r="AK1096" s="3" t="n">
        <v>7353.860149</v>
      </c>
      <c r="AL1096" s="3" t="n">
        <v>7564.938373</v>
      </c>
      <c r="AM1096" s="3" t="n"/>
      <c r="AN1096" s="3" t="n"/>
      <c r="AO1096" s="3" t="n"/>
      <c r="AP1096" s="3" t="n"/>
      <c r="AQ1096" s="3" t="n"/>
      <c r="AR1096" s="3" t="n"/>
      <c r="AS1096" s="3" t="n"/>
      <c r="AT1096" s="3" t="n"/>
      <c r="AU1096" s="3" t="n"/>
    </row>
    <row r="1097">
      <c r="A1097" s="3" t="n">
        <v>2031</v>
      </c>
      <c r="B1097" s="3" t="inlineStr">
        <is>
          <t>GAB</t>
        </is>
      </c>
      <c r="C1097" s="3" t="inlineStr">
        <is>
          <t>IMF.RES:WEO</t>
        </is>
      </c>
      <c r="D1097" s="3" t="inlineStr">
        <is>
          <t>GAB.NGDP_RPCH.A</t>
        </is>
      </c>
      <c r="E1097" s="3" t="inlineStr">
        <is>
          <t>Gabon</t>
        </is>
      </c>
      <c r="F1097" s="3" t="inlineStr">
        <is>
          <t>Gross domestic product (GDP), Constant prices, Percent change</t>
        </is>
      </c>
      <c r="G1097" s="3" t="n">
        <v>-1.883185</v>
      </c>
      <c r="H1097" s="3" t="n">
        <v>2.149649</v>
      </c>
      <c r="I1097" s="3" t="n">
        <v>-0.249033</v>
      </c>
      <c r="J1097" s="3" t="n">
        <v>2.247332</v>
      </c>
      <c r="K1097" s="3" t="n">
        <v>0.689537</v>
      </c>
      <c r="L1097" s="3" t="n">
        <v>3.899403</v>
      </c>
      <c r="M1097" s="3" t="n">
        <v>-3.633418</v>
      </c>
      <c r="N1097" s="3" t="n">
        <v>6.486606</v>
      </c>
      <c r="O1097" s="3" t="n">
        <v>-3.030193</v>
      </c>
      <c r="P1097" s="3" t="n">
        <v>-1.195846</v>
      </c>
      <c r="Q1097" s="3" t="n">
        <v>7.374775</v>
      </c>
      <c r="R1097" s="3" t="n">
        <v>7.091753</v>
      </c>
      <c r="S1097" s="3" t="n">
        <v>5.251077</v>
      </c>
      <c r="T1097" s="3" t="n">
        <v>5.516994</v>
      </c>
      <c r="U1097" s="3" t="n">
        <v>4.435283</v>
      </c>
      <c r="V1097" s="3" t="n">
        <v>3.878899</v>
      </c>
      <c r="W1097" s="3" t="n">
        <v>2.091442</v>
      </c>
      <c r="X1097" s="3" t="n">
        <v>0.47265</v>
      </c>
      <c r="Y1097" s="3" t="n">
        <v>0.908745</v>
      </c>
      <c r="Z1097" s="3" t="n">
        <v>3.847858</v>
      </c>
      <c r="AA1097" s="3" t="n">
        <v>-1.837761</v>
      </c>
      <c r="AB1097" s="3" t="n">
        <v>1.467957</v>
      </c>
      <c r="AC1097" s="3" t="n">
        <v>3.037614</v>
      </c>
      <c r="AD1097" s="3" t="n">
        <v>2.445881</v>
      </c>
      <c r="AE1097" s="3" t="n">
        <v>3.387031</v>
      </c>
      <c r="AF1097" s="3" t="n">
        <v>2.512427</v>
      </c>
      <c r="AG1097" s="3" t="n">
        <v>2.664926</v>
      </c>
      <c r="AH1097" s="3" t="n">
        <v>2.808871</v>
      </c>
      <c r="AI1097" s="3" t="n">
        <v>2.848039</v>
      </c>
      <c r="AJ1097" s="3" t="n">
        <v>2.848925</v>
      </c>
      <c r="AK1097" s="3" t="n">
        <v>2.84484</v>
      </c>
      <c r="AL1097" s="3" t="n">
        <v>2.870305</v>
      </c>
      <c r="AM1097" s="3" t="n"/>
      <c r="AN1097" s="3" t="n"/>
      <c r="AO1097" s="3" t="n"/>
      <c r="AP1097" s="3" t="n"/>
      <c r="AQ1097" s="3" t="n"/>
      <c r="AR1097" s="3" t="n"/>
      <c r="AS1097" s="3" t="n"/>
      <c r="AT1097" s="3" t="n"/>
      <c r="AU1097" s="3" t="n"/>
    </row>
    <row r="1098">
      <c r="A1098" s="3" t="n">
        <v>2031</v>
      </c>
      <c r="B1098" s="3" t="inlineStr">
        <is>
          <t>GAB</t>
        </is>
      </c>
      <c r="C1098" s="3" t="inlineStr">
        <is>
          <t>IMF.RES:WEO</t>
        </is>
      </c>
      <c r="D1098" s="3" t="inlineStr">
        <is>
          <t>GAB.NGDPD.A</t>
        </is>
      </c>
      <c r="E1098" s="3" t="inlineStr">
        <is>
          <t>Gabon</t>
        </is>
      </c>
      <c r="F1098" s="3" t="inlineStr">
        <is>
          <t>Gross domestic product (GDP), Current prices, US dollar</t>
        </is>
      </c>
      <c r="G1098" s="3" t="n">
        <v>5.396637</v>
      </c>
      <c r="H1098" s="3" t="n">
        <v>5.0233</v>
      </c>
      <c r="I1098" s="3" t="n">
        <v>5.331681</v>
      </c>
      <c r="J1098" s="3" t="n">
        <v>6.510273</v>
      </c>
      <c r="K1098" s="3" t="n">
        <v>7.766692</v>
      </c>
      <c r="L1098" s="3" t="n">
        <v>9.467878000000001</v>
      </c>
      <c r="M1098" s="3" t="n">
        <v>10.163608</v>
      </c>
      <c r="N1098" s="3" t="n">
        <v>12.456878</v>
      </c>
      <c r="O1098" s="3" t="n">
        <v>15.569642</v>
      </c>
      <c r="P1098" s="3" t="n">
        <v>12.187897</v>
      </c>
      <c r="Q1098" s="3" t="n">
        <v>14.384332</v>
      </c>
      <c r="R1098" s="3" t="n">
        <v>18.207103</v>
      </c>
      <c r="S1098" s="3" t="n">
        <v>17.181337</v>
      </c>
      <c r="T1098" s="3" t="n">
        <v>17.595972</v>
      </c>
      <c r="U1098" s="3" t="n">
        <v>18.208624</v>
      </c>
      <c r="V1098" s="3" t="n">
        <v>14.384536</v>
      </c>
      <c r="W1098" s="3" t="n">
        <v>14.01999</v>
      </c>
      <c r="X1098" s="3" t="n">
        <v>14.924495</v>
      </c>
      <c r="Y1098" s="3" t="n">
        <v>16.829946</v>
      </c>
      <c r="Z1098" s="3" t="n">
        <v>16.875121</v>
      </c>
      <c r="AA1098" s="3" t="n">
        <v>15.364429</v>
      </c>
      <c r="AB1098" s="3" t="n">
        <v>19.455156</v>
      </c>
      <c r="AC1098" s="3" t="n">
        <v>20.484564</v>
      </c>
      <c r="AD1098" s="3" t="n">
        <v>20.058686</v>
      </c>
      <c r="AE1098" s="3" t="n">
        <v>20.900198</v>
      </c>
      <c r="AF1098" s="3" t="n">
        <v>21.624482</v>
      </c>
      <c r="AG1098" s="3" t="n">
        <v>23.363286</v>
      </c>
      <c r="AH1098" s="3" t="n">
        <v>24.184568</v>
      </c>
      <c r="AI1098" s="3" t="n">
        <v>25.23068</v>
      </c>
      <c r="AJ1098" s="3" t="n">
        <v>26.415854</v>
      </c>
      <c r="AK1098" s="3" t="n">
        <v>27.639579</v>
      </c>
      <c r="AL1098" s="3" t="n">
        <v>28.906071</v>
      </c>
      <c r="AM1098" s="3" t="n"/>
      <c r="AN1098" s="3" t="n"/>
      <c r="AO1098" s="3" t="n"/>
      <c r="AP1098" s="3" t="n"/>
      <c r="AQ1098" s="3" t="n"/>
      <c r="AR1098" s="3" t="n"/>
      <c r="AS1098" s="3" t="n"/>
      <c r="AT1098" s="3" t="n"/>
      <c r="AU1098" s="3" t="n"/>
    </row>
    <row r="1099">
      <c r="A1099" s="3" t="n">
        <v>2031</v>
      </c>
      <c r="B1099" s="3" t="inlineStr">
        <is>
          <t>GAB</t>
        </is>
      </c>
      <c r="C1099" s="3" t="inlineStr">
        <is>
          <t>IMF.RES:WEO</t>
        </is>
      </c>
      <c r="D1099" s="3" t="inlineStr">
        <is>
          <t>GAB.NGDPPC.A</t>
        </is>
      </c>
      <c r="E1099" s="3" t="inlineStr">
        <is>
          <t>Gabon</t>
        </is>
      </c>
      <c r="F1099" s="3" t="inlineStr">
        <is>
          <t>Gross domestic product (GDP), Current prices, Per capita, Domestic currency</t>
        </is>
      </c>
      <c r="G1099" s="3" t="n">
        <v>3187746.188578</v>
      </c>
      <c r="H1099" s="3" t="n">
        <v>2977859.580794</v>
      </c>
      <c r="I1099" s="3" t="n">
        <v>2922795.133875</v>
      </c>
      <c r="J1099" s="3" t="n">
        <v>2909259.889289</v>
      </c>
      <c r="K1099" s="3" t="n">
        <v>3079795.496628</v>
      </c>
      <c r="L1099" s="3" t="n">
        <v>3658573.604557</v>
      </c>
      <c r="M1099" s="3" t="n">
        <v>3798404.105202</v>
      </c>
      <c r="N1099" s="3" t="n">
        <v>4140720.091219</v>
      </c>
      <c r="O1099" s="3" t="n">
        <v>4647060.597258</v>
      </c>
      <c r="P1099" s="3" t="n">
        <v>3699042.986836</v>
      </c>
      <c r="Q1099" s="3" t="n">
        <v>4416541.263298</v>
      </c>
      <c r="R1099" s="3" t="n">
        <v>5134433.558507</v>
      </c>
      <c r="S1099" s="3" t="n">
        <v>5053048.960041</v>
      </c>
      <c r="T1099" s="3" t="n">
        <v>4820759.120355</v>
      </c>
      <c r="U1099" s="3" t="n">
        <v>4811307.039075</v>
      </c>
      <c r="V1099" s="3" t="n">
        <v>4405922.35532</v>
      </c>
      <c r="W1099" s="3" t="n">
        <v>4198120.431433</v>
      </c>
      <c r="X1099" s="3" t="n">
        <v>4281153.506498</v>
      </c>
      <c r="Y1099" s="3" t="n">
        <v>4551797.180986</v>
      </c>
      <c r="Z1099" s="3" t="n">
        <v>4752308.983864</v>
      </c>
      <c r="AA1099" s="3" t="n">
        <v>4189646.863065</v>
      </c>
      <c r="AB1099" s="3" t="n">
        <v>5051230.995975</v>
      </c>
      <c r="AC1099" s="3" t="n">
        <v>5899474.159839</v>
      </c>
      <c r="AD1099" s="3" t="n">
        <v>5506407.463353</v>
      </c>
      <c r="AE1099" s="3" t="n">
        <v>5612302.099508</v>
      </c>
      <c r="AF1099" s="3" t="n">
        <v>5446117.139586</v>
      </c>
      <c r="AG1099" s="3" t="n">
        <v>5518519.220898</v>
      </c>
      <c r="AH1099" s="3" t="n">
        <v>5600169.096762</v>
      </c>
      <c r="AI1099" s="3" t="n">
        <v>5733620.201769</v>
      </c>
      <c r="AJ1099" s="3" t="n">
        <v>5879415.610844</v>
      </c>
      <c r="AK1099" s="3" t="n">
        <v>6025363.344659</v>
      </c>
      <c r="AL1099" s="3" t="n">
        <v>6172015.783491</v>
      </c>
      <c r="AM1099" s="3" t="n"/>
      <c r="AN1099" s="3" t="n"/>
      <c r="AO1099" s="3" t="n"/>
      <c r="AP1099" s="3" t="n"/>
      <c r="AQ1099" s="3" t="n"/>
      <c r="AR1099" s="3" t="n"/>
      <c r="AS1099" s="3" t="n"/>
      <c r="AT1099" s="3" t="n"/>
      <c r="AU1099" s="3" t="n"/>
    </row>
    <row r="1100">
      <c r="A1100" s="3" t="n">
        <v>2031</v>
      </c>
      <c r="B1100" s="3" t="inlineStr">
        <is>
          <t>GAB</t>
        </is>
      </c>
      <c r="C1100" s="3" t="inlineStr">
        <is>
          <t>IMF.RES:WEO</t>
        </is>
      </c>
      <c r="D1100" s="3" t="inlineStr">
        <is>
          <t>GAB.NGDPRPC.A</t>
        </is>
      </c>
      <c r="E1100" s="3" t="inlineStr">
        <is>
          <t>Gabon</t>
        </is>
      </c>
      <c r="F1100" s="3" t="inlineStr">
        <is>
          <t>Gross domestic product (GDP), Constant prices, Per capita, Domestic currency</t>
        </is>
      </c>
      <c r="G1100" s="3" t="n">
        <v>2988073.000441</v>
      </c>
      <c r="H1100" s="3" t="n">
        <v>2977859.580794</v>
      </c>
      <c r="I1100" s="3" t="n">
        <v>2897993.87583</v>
      </c>
      <c r="J1100" s="3" t="n">
        <v>2890850.166329</v>
      </c>
      <c r="K1100" s="3" t="n">
        <v>2839788.934577</v>
      </c>
      <c r="L1100" s="3" t="n">
        <v>2878559.768148</v>
      </c>
      <c r="M1100" s="3" t="n">
        <v>2706311.876658</v>
      </c>
      <c r="N1100" s="3" t="n">
        <v>2797921.993149</v>
      </c>
      <c r="O1100" s="3" t="n">
        <v>2613814.594639</v>
      </c>
      <c r="P1100" s="3" t="n">
        <v>2488012.895433</v>
      </c>
      <c r="Q1100" s="3" t="n">
        <v>2573697.744913</v>
      </c>
      <c r="R1100" s="3" t="n">
        <v>2655316.031537</v>
      </c>
      <c r="S1100" s="3" t="n">
        <v>2692436.145266</v>
      </c>
      <c r="T1100" s="3" t="n">
        <v>2734071.177902</v>
      </c>
      <c r="U1100" s="3" t="n">
        <v>2755316.960355</v>
      </c>
      <c r="V1100" s="3" t="n">
        <v>2770489.723405</v>
      </c>
      <c r="W1100" s="3" t="n">
        <v>2757563.532101</v>
      </c>
      <c r="X1100" s="3" t="n">
        <v>2708570.880475</v>
      </c>
      <c r="Y1100" s="3" t="n">
        <v>2696096.803017</v>
      </c>
      <c r="Z1100" s="3" t="n">
        <v>2762629.71931</v>
      </c>
      <c r="AA1100" s="3" t="n">
        <v>2676708.857798</v>
      </c>
      <c r="AB1100" s="3" t="n">
        <v>2681740.068279</v>
      </c>
      <c r="AC1100" s="3" t="n">
        <v>2729282.47761</v>
      </c>
      <c r="AD1100" s="3" t="n">
        <v>2735212.997539</v>
      </c>
      <c r="AE1100" s="3" t="n">
        <v>2767402.365316</v>
      </c>
      <c r="AF1100" s="3" t="n">
        <v>2777000.551033</v>
      </c>
      <c r="AG1100" s="3" t="n">
        <v>2791115.196288</v>
      </c>
      <c r="AH1100" s="3" t="n">
        <v>2809094.039976</v>
      </c>
      <c r="AI1100" s="3" t="n">
        <v>2827664.49977</v>
      </c>
      <c r="AJ1100" s="3" t="n">
        <v>2846667.372324</v>
      </c>
      <c r="AK1100" s="3" t="n">
        <v>2865808.178737</v>
      </c>
      <c r="AL1100" s="3" t="n">
        <v>2885793.033105</v>
      </c>
      <c r="AM1100" s="3" t="n"/>
      <c r="AN1100" s="3" t="n"/>
      <c r="AO1100" s="3" t="n"/>
      <c r="AP1100" s="3" t="n"/>
      <c r="AQ1100" s="3" t="n"/>
      <c r="AR1100" s="3" t="n"/>
      <c r="AS1100" s="3" t="n"/>
      <c r="AT1100" s="3" t="n"/>
      <c r="AU1100" s="3" t="n"/>
    </row>
    <row r="1101">
      <c r="A1101" s="3" t="n">
        <v>2031</v>
      </c>
      <c r="B1101" s="3" t="inlineStr">
        <is>
          <t>GAB</t>
        </is>
      </c>
      <c r="C1101" s="3" t="inlineStr">
        <is>
          <t>IMF.RES:WEO</t>
        </is>
      </c>
      <c r="D1101" s="3" t="inlineStr">
        <is>
          <t>GAB.PCPI.A</t>
        </is>
      </c>
      <c r="E1101" s="3" t="inlineStr">
        <is>
          <t>Gabon</t>
        </is>
      </c>
      <c r="F1101" s="3" t="inlineStr">
        <is>
          <t>All Items, Consumer price index (CPI), Period average</t>
        </is>
      </c>
      <c r="G1101" s="3" t="n">
        <v>94.240351</v>
      </c>
      <c r="H1101" s="3" t="n">
        <v>96.25312099999999</v>
      </c>
      <c r="I1101" s="3" t="n">
        <v>96.41118400000001</v>
      </c>
      <c r="J1101" s="3" t="n">
        <v>98.440769</v>
      </c>
      <c r="K1101" s="3" t="n">
        <v>98.84265000000001</v>
      </c>
      <c r="L1101" s="3" t="n">
        <v>100</v>
      </c>
      <c r="M1101" s="3" t="n">
        <v>98.593813</v>
      </c>
      <c r="N1101" s="3" t="n">
        <v>103.551627</v>
      </c>
      <c r="O1101" s="3" t="n">
        <v>109.002003</v>
      </c>
      <c r="P1101" s="3" t="n">
        <v>111.056649</v>
      </c>
      <c r="Q1101" s="3" t="n">
        <v>112.66372</v>
      </c>
      <c r="R1101" s="3" t="n">
        <v>114.085978</v>
      </c>
      <c r="S1101" s="3" t="n">
        <v>117.147449</v>
      </c>
      <c r="T1101" s="3" t="n">
        <v>117.709924</v>
      </c>
      <c r="U1101" s="3" t="n">
        <v>123.021294</v>
      </c>
      <c r="V1101" s="3" t="n">
        <v>122.845082</v>
      </c>
      <c r="W1101" s="3" t="n">
        <v>125.408049</v>
      </c>
      <c r="X1101" s="3" t="n">
        <v>128.734431</v>
      </c>
      <c r="Y1101" s="3" t="n">
        <v>134.884242</v>
      </c>
      <c r="Z1101" s="3" t="n">
        <v>137.611323</v>
      </c>
      <c r="AA1101" s="3" t="n">
        <v>139.954234</v>
      </c>
      <c r="AB1101" s="3" t="n">
        <v>141.461943</v>
      </c>
      <c r="AC1101" s="3" t="n">
        <v>147.474669</v>
      </c>
      <c r="AD1101" s="3" t="n">
        <v>152.834243</v>
      </c>
      <c r="AE1101" s="3" t="n">
        <v>154.613295</v>
      </c>
      <c r="AF1101" s="3" t="n">
        <v>157.681927</v>
      </c>
      <c r="AG1101" s="3" t="n">
        <v>161.559496</v>
      </c>
      <c r="AH1101" s="3" t="n">
        <v>165.463148</v>
      </c>
      <c r="AI1101" s="3" t="n">
        <v>169.221505</v>
      </c>
      <c r="AJ1101" s="3" t="n">
        <v>173.065808</v>
      </c>
      <c r="AK1101" s="3" t="n">
        <v>177.002221</v>
      </c>
      <c r="AL1101" s="3" t="n">
        <v>181.037558</v>
      </c>
      <c r="AM1101" s="3" t="n"/>
      <c r="AN1101" s="3" t="n"/>
      <c r="AO1101" s="3" t="n"/>
      <c r="AP1101" s="3" t="n"/>
      <c r="AQ1101" s="3" t="n"/>
      <c r="AR1101" s="3" t="n"/>
      <c r="AS1101" s="3" t="n"/>
      <c r="AT1101" s="3" t="n"/>
      <c r="AU1101" s="3" t="n"/>
    </row>
    <row r="1102">
      <c r="A1102" s="3" t="n">
        <v>2031</v>
      </c>
      <c r="B1102" s="3" t="inlineStr">
        <is>
          <t>GAB</t>
        </is>
      </c>
      <c r="C1102" s="3" t="inlineStr">
        <is>
          <t>IMF.RES:WEO</t>
        </is>
      </c>
      <c r="D1102" s="3" t="inlineStr">
        <is>
          <t>GAB.PCPIPCH.A</t>
        </is>
      </c>
      <c r="E1102" s="3" t="inlineStr">
        <is>
          <t>Gabon</t>
        </is>
      </c>
      <c r="F1102" s="3" t="inlineStr">
        <is>
          <t>All Items, Consumer price index (CPI), Period average, percent change</t>
        </is>
      </c>
      <c r="G1102" s="3" t="n">
        <v>0.503569</v>
      </c>
      <c r="H1102" s="3" t="n">
        <v>2.135784</v>
      </c>
      <c r="I1102" s="3" t="n">
        <v>0.164215</v>
      </c>
      <c r="J1102" s="3" t="n">
        <v>2.105135</v>
      </c>
      <c r="K1102" s="3" t="n">
        <v>0.408247</v>
      </c>
      <c r="L1102" s="3" t="n">
        <v>1.170901</v>
      </c>
      <c r="M1102" s="3" t="n">
        <v>-1.406187</v>
      </c>
      <c r="N1102" s="3" t="n">
        <v>5.028525</v>
      </c>
      <c r="O1102" s="3" t="n">
        <v>5.263438</v>
      </c>
      <c r="P1102" s="3" t="n">
        <v>1.884962</v>
      </c>
      <c r="Q1102" s="3" t="n">
        <v>1.447073</v>
      </c>
      <c r="R1102" s="3" t="n">
        <v>1.262392</v>
      </c>
      <c r="S1102" s="3" t="n">
        <v>2.683477</v>
      </c>
      <c r="T1102" s="3" t="n">
        <v>0.480143</v>
      </c>
      <c r="U1102" s="3" t="n">
        <v>4.512253</v>
      </c>
      <c r="V1102" s="3" t="n">
        <v>-0.143237</v>
      </c>
      <c r="W1102" s="3" t="n">
        <v>2.086341</v>
      </c>
      <c r="X1102" s="3" t="n">
        <v>2.652447</v>
      </c>
      <c r="Y1102" s="3" t="n">
        <v>4.777129</v>
      </c>
      <c r="Z1102" s="3" t="n">
        <v>2.021793</v>
      </c>
      <c r="AA1102" s="3" t="n">
        <v>1.702557</v>
      </c>
      <c r="AB1102" s="3" t="n">
        <v>1.077287</v>
      </c>
      <c r="AC1102" s="3" t="n">
        <v>4.250419</v>
      </c>
      <c r="AD1102" s="3" t="n">
        <v>3.634234</v>
      </c>
      <c r="AE1102" s="3" t="n">
        <v>1.16404</v>
      </c>
      <c r="AF1102" s="3" t="n">
        <v>1.984715</v>
      </c>
      <c r="AG1102" s="3" t="n">
        <v>2.459108</v>
      </c>
      <c r="AH1102" s="3" t="n">
        <v>2.416232</v>
      </c>
      <c r="AI1102" s="3" t="n">
        <v>2.271416</v>
      </c>
      <c r="AJ1102" s="3" t="n">
        <v>2.271758</v>
      </c>
      <c r="AK1102" s="3" t="n">
        <v>2.274518</v>
      </c>
      <c r="AL1102" s="3" t="n">
        <v>2.279823</v>
      </c>
      <c r="AM1102" s="3" t="n"/>
      <c r="AN1102" s="3" t="n"/>
      <c r="AO1102" s="3" t="n"/>
      <c r="AP1102" s="3" t="n"/>
      <c r="AQ1102" s="3" t="n"/>
      <c r="AR1102" s="3" t="n"/>
      <c r="AS1102" s="3" t="n"/>
      <c r="AT1102" s="3" t="n"/>
      <c r="AU1102" s="3" t="n"/>
    </row>
    <row r="1103">
      <c r="A1103" s="3" t="n">
        <v>2031</v>
      </c>
      <c r="B1103" s="3" t="inlineStr">
        <is>
          <t>GAB</t>
        </is>
      </c>
      <c r="C1103" s="3" t="inlineStr">
        <is>
          <t>IMF.RES:WEO</t>
        </is>
      </c>
      <c r="D1103" s="3" t="inlineStr">
        <is>
          <t>GAB.PPPPC.A</t>
        </is>
      </c>
      <c r="E1103" s="3" t="inlineStr">
        <is>
          <t>Gabon</t>
        </is>
      </c>
      <c r="F1103" s="3" t="inlineStr">
        <is>
          <t>Gross domestic product (GDP), Per capita, purchasing power parity (PPP) international dollar, ICP benchmarks 2017-2021</t>
        </is>
      </c>
      <c r="G1103" s="3" t="n">
        <v>12644.67464</v>
      </c>
      <c r="H1103" s="3" t="n">
        <v>12885.191267</v>
      </c>
      <c r="I1103" s="3" t="n">
        <v>12734.482618</v>
      </c>
      <c r="J1103" s="3" t="n">
        <v>12953.877864</v>
      </c>
      <c r="K1103" s="3" t="n">
        <v>13067.234958</v>
      </c>
      <c r="L1103" s="3" t="n">
        <v>13660.997703</v>
      </c>
      <c r="M1103" s="3" t="n">
        <v>13239.627809</v>
      </c>
      <c r="N1103" s="3" t="n">
        <v>14058.635721</v>
      </c>
      <c r="O1103" s="3" t="n">
        <v>13386.563048</v>
      </c>
      <c r="P1103" s="3" t="n">
        <v>12820.860847</v>
      </c>
      <c r="Q1103" s="3" t="n">
        <v>13423.587198</v>
      </c>
      <c r="R1103" s="3" t="n">
        <v>14135.027259</v>
      </c>
      <c r="S1103" s="3" t="n">
        <v>14599.492344</v>
      </c>
      <c r="T1103" s="3" t="n">
        <v>15077.581117</v>
      </c>
      <c r="U1103" s="3" t="n">
        <v>15459.394358</v>
      </c>
      <c r="V1103" s="3" t="n">
        <v>15688.786402</v>
      </c>
      <c r="W1103" s="3" t="n">
        <v>15763.970695</v>
      </c>
      <c r="X1103" s="3" t="n">
        <v>15761.197345</v>
      </c>
      <c r="Y1103" s="3" t="n">
        <v>16586.907811</v>
      </c>
      <c r="Z1103" s="3" t="n">
        <v>17385.296059</v>
      </c>
      <c r="AA1103" s="3" t="n">
        <v>15952.327012</v>
      </c>
      <c r="AB1103" s="3" t="n">
        <v>20623.789318</v>
      </c>
      <c r="AC1103" s="3" t="n">
        <v>22482.265741</v>
      </c>
      <c r="AD1103" s="3" t="n">
        <v>23364.776849</v>
      </c>
      <c r="AE1103" s="3" t="n">
        <v>24226.612612</v>
      </c>
      <c r="AF1103" s="3" t="n">
        <v>25000.273847</v>
      </c>
      <c r="AG1103" s="3" t="n">
        <v>25847.203481</v>
      </c>
      <c r="AH1103" s="3" t="n">
        <v>26584.932389</v>
      </c>
      <c r="AI1103" s="3" t="n">
        <v>27199.928296</v>
      </c>
      <c r="AJ1103" s="3" t="n">
        <v>27869.615623</v>
      </c>
      <c r="AK1103" s="3" t="n">
        <v>28572.564179</v>
      </c>
      <c r="AL1103" s="3" t="n">
        <v>29291.234478</v>
      </c>
      <c r="AM1103" s="3" t="n"/>
      <c r="AN1103" s="3" t="n"/>
      <c r="AO1103" s="3" t="n"/>
      <c r="AP1103" s="3" t="n"/>
      <c r="AQ1103" s="3" t="n"/>
      <c r="AR1103" s="3" t="n"/>
      <c r="AS1103" s="3" t="n"/>
      <c r="AT1103" s="3" t="n"/>
      <c r="AU1103" s="3" t="n"/>
    </row>
    <row r="1104">
      <c r="A1104" s="3" t="n">
        <v>2025</v>
      </c>
      <c r="B1104" s="3" t="inlineStr">
        <is>
          <t>GAB</t>
        </is>
      </c>
      <c r="C1104" s="3" t="inlineStr">
        <is>
          <t>IMF.STA:ER</t>
        </is>
      </c>
      <c r="D1104" s="3" t="inlineStr">
        <is>
          <t>GAB.XDC_USD.PA_RT.A</t>
        </is>
      </c>
      <c r="E1104" s="3" t="inlineStr">
        <is>
          <t>Gabon</t>
        </is>
      </c>
      <c r="F1104" s="3" t="inlineStr">
        <is>
          <t>Domestic currency per US Dollar</t>
        </is>
      </c>
      <c r="G1104" s="3" t="n">
        <v>710.207977031367</v>
      </c>
      <c r="H1104" s="3" t="n">
        <v>732.397693260228</v>
      </c>
      <c r="I1104" s="3" t="n">
        <v>693.713226496374</v>
      </c>
      <c r="J1104" s="3" t="n">
        <v>579.897426172466</v>
      </c>
      <c r="K1104" s="3" t="n">
        <v>527.338032291576</v>
      </c>
      <c r="L1104" s="3" t="n">
        <v>527.258362649626</v>
      </c>
      <c r="M1104" s="3" t="n">
        <v>522.425624895176</v>
      </c>
      <c r="N1104" s="3" t="n">
        <v>478.633718476363</v>
      </c>
      <c r="O1104" s="3" t="n">
        <v>446.000041432788</v>
      </c>
      <c r="P1104" s="3" t="n">
        <v>470.293423341398</v>
      </c>
      <c r="Q1104" s="3" t="n">
        <v>494.794262222947</v>
      </c>
      <c r="R1104" s="3" t="n">
        <v>471.248625718937</v>
      </c>
      <c r="S1104" s="3" t="n">
        <v>510.556338454251</v>
      </c>
      <c r="T1104" s="3" t="n">
        <v>493.899623852237</v>
      </c>
      <c r="U1104" s="3" t="n">
        <v>493.757329875312</v>
      </c>
      <c r="V1104" s="3" t="n">
        <v>591.21169798261</v>
      </c>
      <c r="W1104" s="3" t="n">
        <v>592.605615063022</v>
      </c>
      <c r="X1104" s="3" t="n">
        <v>580.656749587858</v>
      </c>
      <c r="Y1104" s="3" t="n">
        <v>555.446458398226</v>
      </c>
      <c r="Z1104" s="3" t="n">
        <v>585.911013180369</v>
      </c>
      <c r="AA1104" s="3" t="n">
        <v>575.586004510945</v>
      </c>
      <c r="AB1104" s="3" t="n">
        <v>554.530675033104</v>
      </c>
      <c r="AC1104" s="3" t="n">
        <v>623.759700911182</v>
      </c>
      <c r="AD1104" s="3" t="n">
        <v>606.569750165917</v>
      </c>
      <c r="AE1104" s="3" t="n">
        <v>606.345297609062</v>
      </c>
      <c r="AF1104" s="3" t="n">
        <v>581.928481040339</v>
      </c>
      <c r="AG1104" s="3" t="n"/>
      <c r="AH1104" s="3" t="n"/>
      <c r="AI1104" s="3" t="n"/>
      <c r="AJ1104" s="3" t="n"/>
      <c r="AK1104" s="3" t="n"/>
      <c r="AL1104" s="3" t="n"/>
      <c r="AM1104" s="3" t="n"/>
      <c r="AN1104" s="3" t="n"/>
      <c r="AO1104" s="3" t="n"/>
      <c r="AP1104" s="3" t="n"/>
      <c r="AQ1104" s="3" t="n"/>
      <c r="AR1104" s="3" t="n"/>
      <c r="AS1104" s="3" t="n"/>
      <c r="AT1104" s="3" t="n"/>
      <c r="AU1104" s="3" t="n"/>
    </row>
    <row r="1105">
      <c r="A1105" s="3" t="n">
        <v>2031</v>
      </c>
      <c r="B1105" s="3" t="inlineStr">
        <is>
          <t>GBR</t>
        </is>
      </c>
      <c r="C1105" s="3" t="inlineStr">
        <is>
          <t>IMF.RES:WEO</t>
        </is>
      </c>
      <c r="D1105" s="3" t="inlineStr">
        <is>
          <t>GBR.BCA.A</t>
        </is>
      </c>
      <c r="E1105" s="3" t="inlineStr">
        <is>
          <t>United Kingdom</t>
        </is>
      </c>
      <c r="F1105" s="3" t="inlineStr">
        <is>
          <t>Current account balance (credit less debit), US dollar</t>
        </is>
      </c>
      <c r="G1105" s="3" t="n">
        <v>-31.019465</v>
      </c>
      <c r="H1105" s="3" t="n">
        <v>-29.510979</v>
      </c>
      <c r="I1105" s="3" t="n">
        <v>-35.666223</v>
      </c>
      <c r="J1105" s="3" t="n">
        <v>-37.720851</v>
      </c>
      <c r="K1105" s="3" t="n">
        <v>-56.255712</v>
      </c>
      <c r="L1105" s="3" t="n">
        <v>-50.853446</v>
      </c>
      <c r="M1105" s="3" t="n">
        <v>-84.536568</v>
      </c>
      <c r="N1105" s="3" t="n">
        <v>-115.316287</v>
      </c>
      <c r="O1105" s="3" t="n">
        <v>-114.330585</v>
      </c>
      <c r="P1105" s="3" t="n">
        <v>-74.443704</v>
      </c>
      <c r="Q1105" s="3" t="n">
        <v>-68.83518599999999</v>
      </c>
      <c r="R1105" s="3" t="n">
        <v>-43.642925</v>
      </c>
      <c r="S1105" s="3" t="n">
        <v>-84.774981</v>
      </c>
      <c r="T1105" s="3" t="n">
        <v>-126.347536</v>
      </c>
      <c r="U1105" s="3" t="n">
        <v>-148.659886</v>
      </c>
      <c r="V1105" s="3" t="n">
        <v>-140.90139</v>
      </c>
      <c r="W1105" s="3" t="n">
        <v>-142.501074</v>
      </c>
      <c r="X1105" s="3" t="n">
        <v>-91.29200299999999</v>
      </c>
      <c r="Y1105" s="3" t="n">
        <v>-107.987865</v>
      </c>
      <c r="Z1105" s="3" t="n">
        <v>-71.34471000000001</v>
      </c>
      <c r="AA1105" s="3" t="n">
        <v>-74.15554899999999</v>
      </c>
      <c r="AB1105" s="3" t="n">
        <v>-24.157708</v>
      </c>
      <c r="AC1105" s="3" t="n">
        <v>-61.170099</v>
      </c>
      <c r="AD1105" s="3" t="n">
        <v>-122.173856</v>
      </c>
      <c r="AE1105" s="3" t="n">
        <v>-110.056657</v>
      </c>
      <c r="AF1105" s="3" t="n">
        <v>-125.150236</v>
      </c>
      <c r="AG1105" s="3" t="n">
        <v>-144.174696</v>
      </c>
      <c r="AH1105" s="3" t="n">
        <v>-140.395518</v>
      </c>
      <c r="AI1105" s="3" t="n">
        <v>-134.097457</v>
      </c>
      <c r="AJ1105" s="3" t="n">
        <v>-125.624331</v>
      </c>
      <c r="AK1105" s="3" t="n">
        <v>-111.559</v>
      </c>
      <c r="AL1105" s="3" t="n">
        <v>-119.823562</v>
      </c>
      <c r="AM1105" s="3" t="n"/>
      <c r="AN1105" s="3" t="n"/>
      <c r="AO1105" s="3" t="n"/>
      <c r="AP1105" s="3" t="n"/>
      <c r="AQ1105" s="3" t="n"/>
      <c r="AR1105" s="3" t="n"/>
      <c r="AS1105" s="3" t="n"/>
      <c r="AT1105" s="3" t="n"/>
      <c r="AU1105" s="3" t="n"/>
    </row>
    <row r="1106">
      <c r="A1106" s="3" t="n">
        <v>2031</v>
      </c>
      <c r="B1106" s="3" t="inlineStr">
        <is>
          <t>GBR</t>
        </is>
      </c>
      <c r="C1106" s="3" t="inlineStr">
        <is>
          <t>IMF.RES:WEO</t>
        </is>
      </c>
      <c r="D1106" s="3" t="inlineStr">
        <is>
          <t>GBR.BCA_NGDPD.A</t>
        </is>
      </c>
      <c r="E1106" s="3" t="inlineStr">
        <is>
          <t>United Kingdom</t>
        </is>
      </c>
      <c r="F1106" s="3" t="inlineStr">
        <is>
          <t>Current account balance (credit less debit), Percent of GDP</t>
        </is>
      </c>
      <c r="G1106" s="3" t="n">
        <v>-1.852169</v>
      </c>
      <c r="H1106" s="3" t="n">
        <v>-1.781421</v>
      </c>
      <c r="I1106" s="3" t="n">
        <v>-1.98879</v>
      </c>
      <c r="J1106" s="3" t="n">
        <v>-1.828354</v>
      </c>
      <c r="K1106" s="3" t="n">
        <v>-2.314219</v>
      </c>
      <c r="L1106" s="3" t="n">
        <v>-1.990951</v>
      </c>
      <c r="M1106" s="3" t="n">
        <v>-3.104095</v>
      </c>
      <c r="N1106" s="3" t="n">
        <v>-3.712826</v>
      </c>
      <c r="O1106" s="3" t="n">
        <v>-3.84124</v>
      </c>
      <c r="P1106" s="3" t="n">
        <v>-3.053408</v>
      </c>
      <c r="Q1106" s="3" t="n">
        <v>-2.754297</v>
      </c>
      <c r="R1106" s="3" t="n">
        <v>-1.630593</v>
      </c>
      <c r="S1106" s="3" t="n">
        <v>-3.116498</v>
      </c>
      <c r="T1106" s="3" t="n">
        <v>-4.514463</v>
      </c>
      <c r="U1106" s="3" t="n">
        <v>-4.815724</v>
      </c>
      <c r="V1106" s="3" t="n">
        <v>-4.782429</v>
      </c>
      <c r="W1106" s="3" t="n">
        <v>-5.24508</v>
      </c>
      <c r="X1106" s="3" t="n">
        <v>-3.379471</v>
      </c>
      <c r="Y1106" s="3" t="n">
        <v>-3.722763</v>
      </c>
      <c r="Z1106" s="3" t="n">
        <v>-2.479493</v>
      </c>
      <c r="AA1106" s="3" t="n">
        <v>-2.720358</v>
      </c>
      <c r="AB1106" s="3" t="n">
        <v>-0.756032</v>
      </c>
      <c r="AC1106" s="3" t="n">
        <v>-1.915846</v>
      </c>
      <c r="AD1106" s="3" t="n">
        <v>-3.570172</v>
      </c>
      <c r="AE1106" s="3" t="n">
        <v>-2.978243</v>
      </c>
      <c r="AF1106" s="3" t="n">
        <v>-3.126394</v>
      </c>
      <c r="AG1106" s="3" t="n">
        <v>-3.380578</v>
      </c>
      <c r="AH1106" s="3" t="n">
        <v>-3.143599</v>
      </c>
      <c r="AI1106" s="3" t="n">
        <v>-2.868366</v>
      </c>
      <c r="AJ1106" s="3" t="n">
        <v>-2.564574</v>
      </c>
      <c r="AK1106" s="3" t="n">
        <v>-2.166853</v>
      </c>
      <c r="AL1106" s="3" t="n">
        <v>-2.217659</v>
      </c>
      <c r="AM1106" s="3" t="n"/>
      <c r="AN1106" s="3" t="n"/>
      <c r="AO1106" s="3" t="n"/>
      <c r="AP1106" s="3" t="n"/>
      <c r="AQ1106" s="3" t="n"/>
      <c r="AR1106" s="3" t="n"/>
      <c r="AS1106" s="3" t="n"/>
      <c r="AT1106" s="3" t="n"/>
      <c r="AU1106" s="3" t="n"/>
    </row>
    <row r="1107">
      <c r="A1107" s="3" t="n">
        <v>2031</v>
      </c>
      <c r="B1107" s="3" t="inlineStr">
        <is>
          <t>GBR</t>
        </is>
      </c>
      <c r="C1107" s="3" t="inlineStr">
        <is>
          <t>IMF.RES:WEO</t>
        </is>
      </c>
      <c r="D1107" s="3" t="inlineStr">
        <is>
          <t>GBR.GGR_NGDP.A</t>
        </is>
      </c>
      <c r="E1107" s="3" t="inlineStr">
        <is>
          <t>United Kingdom</t>
        </is>
      </c>
      <c r="F1107" s="3" t="inlineStr">
        <is>
          <t>Revenue, General government, Percent of GDP</t>
        </is>
      </c>
      <c r="G1107" s="3" t="n">
        <v>35.153006</v>
      </c>
      <c r="H1107" s="3" t="n">
        <v>34.817156</v>
      </c>
      <c r="I1107" s="3" t="n">
        <v>33.855887</v>
      </c>
      <c r="J1107" s="3" t="n">
        <v>33.812461</v>
      </c>
      <c r="K1107" s="3" t="n">
        <v>34.715475</v>
      </c>
      <c r="L1107" s="3" t="n">
        <v>35.122134</v>
      </c>
      <c r="M1107" s="3" t="n">
        <v>35.448758</v>
      </c>
      <c r="N1107" s="3" t="n">
        <v>35.751539</v>
      </c>
      <c r="O1107" s="3" t="n">
        <v>35.566406</v>
      </c>
      <c r="P1107" s="3" t="n">
        <v>34.205675</v>
      </c>
      <c r="Q1107" s="3" t="n">
        <v>35.2282</v>
      </c>
      <c r="R1107" s="3" t="n">
        <v>35.885553</v>
      </c>
      <c r="S1107" s="3" t="n">
        <v>35.375685</v>
      </c>
      <c r="T1107" s="3" t="n">
        <v>36.291329</v>
      </c>
      <c r="U1107" s="3" t="n">
        <v>35.358382</v>
      </c>
      <c r="V1107" s="3" t="n">
        <v>35.55152</v>
      </c>
      <c r="W1107" s="3" t="n">
        <v>36.018965</v>
      </c>
      <c r="X1107" s="3" t="n">
        <v>36.355331</v>
      </c>
      <c r="Y1107" s="3" t="n">
        <v>36.230929</v>
      </c>
      <c r="Z1107" s="3" t="n">
        <v>35.944697</v>
      </c>
      <c r="AA1107" s="3" t="n">
        <v>36.390018</v>
      </c>
      <c r="AB1107" s="3" t="n">
        <v>37.366553</v>
      </c>
      <c r="AC1107" s="3" t="n">
        <v>38.646327</v>
      </c>
      <c r="AD1107" s="3" t="n">
        <v>38.149253</v>
      </c>
      <c r="AE1107" s="3" t="n">
        <v>37.626338</v>
      </c>
      <c r="AF1107" s="3" t="n">
        <v>38.26698</v>
      </c>
      <c r="AG1107" s="3" t="n">
        <v>39.951268</v>
      </c>
      <c r="AH1107" s="3" t="n">
        <v>40.936338</v>
      </c>
      <c r="AI1107" s="3" t="n">
        <v>41.219152</v>
      </c>
      <c r="AJ1107" s="3" t="n">
        <v>41.594966</v>
      </c>
      <c r="AK1107" s="3" t="n">
        <v>41.908782</v>
      </c>
      <c r="AL1107" s="3" t="n">
        <v>42.11175</v>
      </c>
      <c r="AM1107" s="3" t="n"/>
      <c r="AN1107" s="3" t="n"/>
      <c r="AO1107" s="3" t="n"/>
      <c r="AP1107" s="3" t="n"/>
      <c r="AQ1107" s="3" t="n"/>
      <c r="AR1107" s="3" t="n"/>
      <c r="AS1107" s="3" t="n"/>
      <c r="AT1107" s="3" t="n"/>
      <c r="AU1107" s="3" t="n"/>
    </row>
    <row r="1108">
      <c r="A1108" s="3" t="n">
        <v>2031</v>
      </c>
      <c r="B1108" s="3" t="inlineStr">
        <is>
          <t>GBR</t>
        </is>
      </c>
      <c r="C1108" s="3" t="inlineStr">
        <is>
          <t>IMF.RES:WEO</t>
        </is>
      </c>
      <c r="D1108" s="3" t="inlineStr">
        <is>
          <t>GBR.GGX_NGDP.A</t>
        </is>
      </c>
      <c r="E1108" s="3" t="inlineStr">
        <is>
          <t>United Kingdom</t>
        </is>
      </c>
      <c r="F1108" s="3" t="inlineStr">
        <is>
          <t>Expenditure, General government, Percent of GDP</t>
        </is>
      </c>
      <c r="G1108" s="3" t="n">
        <v>33.757227</v>
      </c>
      <c r="H1108" s="3" t="n">
        <v>34.477924</v>
      </c>
      <c r="I1108" s="3" t="n">
        <v>35.801652</v>
      </c>
      <c r="J1108" s="3" t="n">
        <v>37.005961</v>
      </c>
      <c r="K1108" s="3" t="n">
        <v>37.858618</v>
      </c>
      <c r="L1108" s="3" t="n">
        <v>38.253011</v>
      </c>
      <c r="M1108" s="3" t="n">
        <v>38.186566</v>
      </c>
      <c r="N1108" s="3" t="n">
        <v>38.38312</v>
      </c>
      <c r="O1108" s="3" t="n">
        <v>40.614037</v>
      </c>
      <c r="P1108" s="3" t="n">
        <v>44.177683</v>
      </c>
      <c r="Q1108" s="3" t="n">
        <v>44.475656</v>
      </c>
      <c r="R1108" s="3" t="n">
        <v>43.310468</v>
      </c>
      <c r="S1108" s="3" t="n">
        <v>43.334758</v>
      </c>
      <c r="T1108" s="3" t="n">
        <v>41.585582</v>
      </c>
      <c r="U1108" s="3" t="n">
        <v>40.82571</v>
      </c>
      <c r="V1108" s="3" t="n">
        <v>40.086493</v>
      </c>
      <c r="W1108" s="3" t="n">
        <v>39.299316</v>
      </c>
      <c r="X1108" s="3" t="n">
        <v>38.838473</v>
      </c>
      <c r="Y1108" s="3" t="n">
        <v>38.463058</v>
      </c>
      <c r="Z1108" s="3" t="n">
        <v>38.324987</v>
      </c>
      <c r="AA1108" s="3" t="n">
        <v>49.302873</v>
      </c>
      <c r="AB1108" s="3" t="n">
        <v>44.904015</v>
      </c>
      <c r="AC1108" s="3" t="n">
        <v>43.245605</v>
      </c>
      <c r="AD1108" s="3" t="n">
        <v>44.19544</v>
      </c>
      <c r="AE1108" s="3" t="n">
        <v>43.682178</v>
      </c>
      <c r="AF1108" s="3" t="n">
        <v>43.644035</v>
      </c>
      <c r="AG1108" s="3" t="n">
        <v>43.855949</v>
      </c>
      <c r="AH1108" s="3" t="n">
        <v>44.057425</v>
      </c>
      <c r="AI1108" s="3" t="n">
        <v>43.843233</v>
      </c>
      <c r="AJ1108" s="3" t="n">
        <v>43.560639</v>
      </c>
      <c r="AK1108" s="3" t="n">
        <v>43.610709</v>
      </c>
      <c r="AL1108" s="3" t="n">
        <v>43.716316</v>
      </c>
      <c r="AM1108" s="3" t="n"/>
      <c r="AN1108" s="3" t="n"/>
      <c r="AO1108" s="3" t="n"/>
      <c r="AP1108" s="3" t="n"/>
      <c r="AQ1108" s="3" t="n"/>
      <c r="AR1108" s="3" t="n"/>
      <c r="AS1108" s="3" t="n"/>
      <c r="AT1108" s="3" t="n"/>
      <c r="AU1108" s="3" t="n"/>
    </row>
    <row r="1109">
      <c r="A1109" s="3" t="n">
        <v>2027</v>
      </c>
      <c r="B1109" s="3" t="inlineStr">
        <is>
          <t>GBR</t>
        </is>
      </c>
      <c r="C1109" s="3" t="inlineStr">
        <is>
          <t>IMF.RES:WEO</t>
        </is>
      </c>
      <c r="D1109" s="3" t="inlineStr">
        <is>
          <t>GBR.LE.A</t>
        </is>
      </c>
      <c r="E1109" s="3" t="inlineStr">
        <is>
          <t>United Kingdom</t>
        </is>
      </c>
      <c r="F1109" s="3" t="inlineStr">
        <is>
          <t>Employed persons, Persons for countries / Index for country groups</t>
        </is>
      </c>
      <c r="G1109" s="3" t="n">
        <v>27.4835</v>
      </c>
      <c r="H1109" s="3" t="n">
        <v>27.712</v>
      </c>
      <c r="I1109" s="3" t="n">
        <v>27.94375</v>
      </c>
      <c r="J1109" s="3" t="n">
        <v>28.22125</v>
      </c>
      <c r="K1109" s="3" t="n">
        <v>28.53</v>
      </c>
      <c r="L1109" s="3" t="n">
        <v>28.84975</v>
      </c>
      <c r="M1109" s="3" t="n">
        <v>29.13775</v>
      </c>
      <c r="N1109" s="3" t="n">
        <v>29.378</v>
      </c>
      <c r="O1109" s="3" t="n">
        <v>29.6285</v>
      </c>
      <c r="P1109" s="3" t="n">
        <v>29.156</v>
      </c>
      <c r="Q1109" s="3" t="n">
        <v>29.2285</v>
      </c>
      <c r="R1109" s="3" t="n">
        <v>29.381</v>
      </c>
      <c r="S1109" s="3" t="n">
        <v>29.723</v>
      </c>
      <c r="T1109" s="3" t="n">
        <v>30.09675</v>
      </c>
      <c r="U1109" s="3" t="n">
        <v>30.81825</v>
      </c>
      <c r="V1109" s="3" t="n">
        <v>31.34575</v>
      </c>
      <c r="W1109" s="3" t="n">
        <v>31.81025</v>
      </c>
      <c r="X1109" s="3" t="n">
        <v>32.12775</v>
      </c>
      <c r="Y1109" s="3" t="n">
        <v>32.50675</v>
      </c>
      <c r="Z1109" s="3" t="n">
        <v>32.923</v>
      </c>
      <c r="AA1109" s="3" t="n">
        <v>32.55875</v>
      </c>
      <c r="AB1109" s="3" t="n">
        <v>32.555</v>
      </c>
      <c r="AC1109" s="3" t="n">
        <v>32.95725</v>
      </c>
      <c r="AD1109" s="3" t="n">
        <v>33.351</v>
      </c>
      <c r="AE1109" s="3" t="n">
        <v>33.6155</v>
      </c>
      <c r="AF1109" s="3" t="n">
        <v>34.15625</v>
      </c>
      <c r="AG1109" s="3" t="n">
        <v>34.47285</v>
      </c>
      <c r="AH1109" s="3" t="n">
        <v>34.811434</v>
      </c>
      <c r="AI1109" s="3" t="n"/>
      <c r="AJ1109" s="3" t="n"/>
      <c r="AK1109" s="3" t="n"/>
      <c r="AL1109" s="3" t="n"/>
      <c r="AM1109" s="3" t="n"/>
      <c r="AN1109" s="3" t="n"/>
      <c r="AO1109" s="3" t="n"/>
      <c r="AP1109" s="3" t="n"/>
      <c r="AQ1109" s="3" t="n"/>
      <c r="AR1109" s="3" t="n"/>
      <c r="AS1109" s="3" t="n"/>
      <c r="AT1109" s="3" t="n"/>
      <c r="AU1109" s="3" t="n"/>
    </row>
    <row r="1110">
      <c r="A1110" s="3" t="n">
        <v>2031</v>
      </c>
      <c r="B1110" s="3" t="inlineStr">
        <is>
          <t>GBR</t>
        </is>
      </c>
      <c r="C1110" s="3" t="inlineStr">
        <is>
          <t>IMF.RES:WEO</t>
        </is>
      </c>
      <c r="D1110" s="3" t="inlineStr">
        <is>
          <t>GBR.LP.A</t>
        </is>
      </c>
      <c r="E1110" s="3" t="inlineStr">
        <is>
          <t>United Kingdom</t>
        </is>
      </c>
      <c r="F1110" s="3" t="inlineStr">
        <is>
          <t>Population, Persons for countries / Index for country groups</t>
        </is>
      </c>
      <c r="G1110" s="3" t="n">
        <v>58.886</v>
      </c>
      <c r="H1110" s="3" t="n">
        <v>59.113</v>
      </c>
      <c r="I1110" s="3" t="n">
        <v>59.366</v>
      </c>
      <c r="J1110" s="3" t="n">
        <v>59.637</v>
      </c>
      <c r="K1110" s="3" t="n">
        <v>59.95</v>
      </c>
      <c r="L1110" s="3" t="n">
        <v>60.413</v>
      </c>
      <c r="M1110" s="3" t="n">
        <v>60.827</v>
      </c>
      <c r="N1110" s="3" t="n">
        <v>61.319</v>
      </c>
      <c r="O1110" s="3" t="n">
        <v>61.824</v>
      </c>
      <c r="P1110" s="3" t="n">
        <v>62.261</v>
      </c>
      <c r="Q1110" s="3" t="n">
        <v>62.76</v>
      </c>
      <c r="R1110" s="3" t="n">
        <v>63.285</v>
      </c>
      <c r="S1110" s="3" t="n">
        <v>63.711</v>
      </c>
      <c r="T1110" s="3" t="n">
        <v>64.13800000000001</v>
      </c>
      <c r="U1110" s="3" t="n">
        <v>64.619</v>
      </c>
      <c r="V1110" s="3" t="n">
        <v>65.087</v>
      </c>
      <c r="W1110" s="3" t="n">
        <v>65.60599999999999</v>
      </c>
      <c r="X1110" s="3" t="n">
        <v>65.964</v>
      </c>
      <c r="Y1110" s="3" t="n">
        <v>66.28700000000001</v>
      </c>
      <c r="Z1110" s="3" t="n">
        <v>66.628</v>
      </c>
      <c r="AA1110" s="3" t="n">
        <v>66.73999999999999</v>
      </c>
      <c r="AB1110" s="3" t="n">
        <v>66.97799999999999</v>
      </c>
      <c r="AC1110" s="3" t="n">
        <v>67.636</v>
      </c>
      <c r="AD1110" s="3" t="n">
        <v>68.526</v>
      </c>
      <c r="AE1110" s="3" t="n">
        <v>69.28100000000001</v>
      </c>
      <c r="AF1110" s="3" t="n">
        <v>69.48699999999999</v>
      </c>
      <c r="AG1110" s="3" t="n">
        <v>69.850426</v>
      </c>
      <c r="AH1110" s="3" t="n">
        <v>70.106549</v>
      </c>
      <c r="AI1110" s="3" t="n">
        <v>70.387142</v>
      </c>
      <c r="AJ1110" s="3" t="n">
        <v>70.696611</v>
      </c>
      <c r="AK1110" s="3" t="n">
        <v>71.011585</v>
      </c>
      <c r="AL1110" s="3" t="n">
        <v>71.31865999999999</v>
      </c>
      <c r="AM1110" s="3" t="n"/>
      <c r="AN1110" s="3" t="n"/>
      <c r="AO1110" s="3" t="n"/>
      <c r="AP1110" s="3" t="n"/>
      <c r="AQ1110" s="3" t="n"/>
      <c r="AR1110" s="3" t="n"/>
      <c r="AS1110" s="3" t="n"/>
      <c r="AT1110" s="3" t="n"/>
      <c r="AU1110" s="3" t="n"/>
    </row>
    <row r="1111">
      <c r="A1111" s="3" t="n">
        <v>2031</v>
      </c>
      <c r="B1111" s="3" t="inlineStr">
        <is>
          <t>GBR</t>
        </is>
      </c>
      <c r="C1111" s="3" t="inlineStr">
        <is>
          <t>IMF.RES:WEO</t>
        </is>
      </c>
      <c r="D1111" s="3" t="inlineStr">
        <is>
          <t>GBR.NGDP.A</t>
        </is>
      </c>
      <c r="E1111" s="3" t="inlineStr">
        <is>
          <t>United Kingdom</t>
        </is>
      </c>
      <c r="F1111" s="3" t="inlineStr">
        <is>
          <t>Gross domestic product (GDP), Current prices, Domestic currency</t>
        </is>
      </c>
      <c r="G1111" s="3" t="n">
        <v>1104.759</v>
      </c>
      <c r="H1111" s="3" t="n">
        <v>1150.542</v>
      </c>
      <c r="I1111" s="3" t="n">
        <v>1194.646</v>
      </c>
      <c r="J1111" s="3" t="n">
        <v>1262.502</v>
      </c>
      <c r="K1111" s="3" t="n">
        <v>1327.143</v>
      </c>
      <c r="L1111" s="3" t="n">
        <v>1403.249</v>
      </c>
      <c r="M1111" s="3" t="n">
        <v>1478.08</v>
      </c>
      <c r="N1111" s="3" t="n">
        <v>1551.729</v>
      </c>
      <c r="O1111" s="3" t="n">
        <v>1602.217</v>
      </c>
      <c r="P1111" s="3" t="n">
        <v>1559.405</v>
      </c>
      <c r="Q1111" s="3" t="n">
        <v>1615.839</v>
      </c>
      <c r="R1111" s="3" t="n">
        <v>1669.945</v>
      </c>
      <c r="S1111" s="3" t="n">
        <v>1721.708</v>
      </c>
      <c r="T1111" s="3" t="n">
        <v>1789.072</v>
      </c>
      <c r="U1111" s="3" t="n">
        <v>1875.066</v>
      </c>
      <c r="V1111" s="3" t="n">
        <v>1928.016</v>
      </c>
      <c r="W1111" s="3" t="n">
        <v>2004.755</v>
      </c>
      <c r="X1111" s="3" t="n">
        <v>2097.222</v>
      </c>
      <c r="Y1111" s="3" t="n">
        <v>2171.559</v>
      </c>
      <c r="Z1111" s="3" t="n">
        <v>2252.961</v>
      </c>
      <c r="AA1111" s="3" t="n">
        <v>2124.72</v>
      </c>
      <c r="AB1111" s="3" t="n">
        <v>2322.652</v>
      </c>
      <c r="AC1111" s="3" t="n">
        <v>2580.949</v>
      </c>
      <c r="AD1111" s="3" t="n">
        <v>2752.164</v>
      </c>
      <c r="AE1111" s="3" t="n">
        <v>2890.664</v>
      </c>
      <c r="AF1111" s="3" t="n">
        <v>3037.611</v>
      </c>
      <c r="AG1111" s="3" t="n">
        <v>3137.174477</v>
      </c>
      <c r="AH1111" s="3" t="n">
        <v>3245.141242</v>
      </c>
      <c r="AI1111" s="3" t="n">
        <v>3364.043816</v>
      </c>
      <c r="AJ1111" s="3" t="n">
        <v>3478.241027</v>
      </c>
      <c r="AK1111" s="3" t="n">
        <v>3595.406064</v>
      </c>
      <c r="AL1111" s="3" t="n">
        <v>3710.076224</v>
      </c>
      <c r="AM1111" s="3" t="n"/>
      <c r="AN1111" s="3" t="n"/>
      <c r="AO1111" s="3" t="n"/>
      <c r="AP1111" s="3" t="n"/>
      <c r="AQ1111" s="3" t="n"/>
      <c r="AR1111" s="3" t="n"/>
      <c r="AS1111" s="3" t="n"/>
      <c r="AT1111" s="3" t="n"/>
      <c r="AU1111" s="3" t="n"/>
    </row>
    <row r="1112">
      <c r="A1112" s="3" t="n">
        <v>2031</v>
      </c>
      <c r="B1112" s="3" t="inlineStr">
        <is>
          <t>GBR</t>
        </is>
      </c>
      <c r="C1112" s="3" t="inlineStr">
        <is>
          <t>IMF.RES:WEO</t>
        </is>
      </c>
      <c r="D1112" s="3" t="inlineStr">
        <is>
          <t>GBR.NGDP_D.A</t>
        </is>
      </c>
      <c r="E1112" s="3" t="inlineStr">
        <is>
          <t>United Kingdom</t>
        </is>
      </c>
      <c r="F1112" s="3" t="inlineStr">
        <is>
          <t>Gross domestic product (GDP), Price deflator, Index</t>
        </is>
      </c>
      <c r="G1112" s="3" t="n">
        <v>56.946135</v>
      </c>
      <c r="H1112" s="3" t="n">
        <v>57.921167</v>
      </c>
      <c r="I1112" s="3" t="n">
        <v>59.130909</v>
      </c>
      <c r="J1112" s="3" t="n">
        <v>60.541027</v>
      </c>
      <c r="K1112" s="3" t="n">
        <v>62.194124</v>
      </c>
      <c r="L1112" s="3" t="n">
        <v>63.975361</v>
      </c>
      <c r="M1112" s="3" t="n">
        <v>65.94293999999999</v>
      </c>
      <c r="N1112" s="3" t="n">
        <v>67.257454</v>
      </c>
      <c r="O1112" s="3" t="n">
        <v>69.480115</v>
      </c>
      <c r="P1112" s="3" t="n">
        <v>70.874894</v>
      </c>
      <c r="Q1112" s="3" t="n">
        <v>71.81637499999999</v>
      </c>
      <c r="R1112" s="3" t="n">
        <v>73.59451900000001</v>
      </c>
      <c r="S1112" s="3" t="n">
        <v>74.733592</v>
      </c>
      <c r="T1112" s="3" t="n">
        <v>76.34566100000001</v>
      </c>
      <c r="U1112" s="3" t="n">
        <v>77.564149</v>
      </c>
      <c r="V1112" s="3" t="n">
        <v>78.083187</v>
      </c>
      <c r="W1112" s="3" t="n">
        <v>79.438238</v>
      </c>
      <c r="X1112" s="3" t="n">
        <v>80.663595</v>
      </c>
      <c r="Y1112" s="3" t="n">
        <v>82.246832</v>
      </c>
      <c r="Z1112" s="3" t="n">
        <v>84.271199</v>
      </c>
      <c r="AA1112" s="3" t="n">
        <v>88.35189699999999</v>
      </c>
      <c r="AB1112" s="3" t="n">
        <v>88.98074800000001</v>
      </c>
      <c r="AC1112" s="3" t="n">
        <v>94.033646</v>
      </c>
      <c r="AD1112" s="3" t="n">
        <v>100</v>
      </c>
      <c r="AE1112" s="3" t="n">
        <v>103.901821</v>
      </c>
      <c r="AF1112" s="3" t="n">
        <v>107.757627</v>
      </c>
      <c r="AG1112" s="3" t="n">
        <v>110.409865</v>
      </c>
      <c r="AH1112" s="3" t="n">
        <v>112.747557</v>
      </c>
      <c r="AI1112" s="3" t="n">
        <v>115.000476</v>
      </c>
      <c r="AJ1112" s="3" t="n">
        <v>117.014601</v>
      </c>
      <c r="AK1112" s="3" t="n">
        <v>119.12313</v>
      </c>
      <c r="AL1112" s="3" t="n">
        <v>121.212074</v>
      </c>
      <c r="AM1112" s="3" t="n"/>
      <c r="AN1112" s="3" t="n"/>
      <c r="AO1112" s="3" t="n"/>
      <c r="AP1112" s="3" t="n"/>
      <c r="AQ1112" s="3" t="n"/>
      <c r="AR1112" s="3" t="n"/>
      <c r="AS1112" s="3" t="n"/>
      <c r="AT1112" s="3" t="n"/>
      <c r="AU1112" s="3" t="n"/>
    </row>
    <row r="1113">
      <c r="A1113" s="3" t="n">
        <v>2031</v>
      </c>
      <c r="B1113" s="3" t="inlineStr">
        <is>
          <t>GBR</t>
        </is>
      </c>
      <c r="C1113" s="3" t="inlineStr">
        <is>
          <t>IMF.RES:WEO</t>
        </is>
      </c>
      <c r="D1113" s="3" t="inlineStr">
        <is>
          <t>GBR.NGDP_R.A</t>
        </is>
      </c>
      <c r="E1113" s="3" t="inlineStr">
        <is>
          <t>United Kingdom</t>
        </is>
      </c>
      <c r="F1113" s="3" t="inlineStr">
        <is>
          <t>Gross domestic product (GDP), Constant prices, Domestic currency</t>
        </is>
      </c>
      <c r="G1113" s="3" t="n">
        <v>1940.007</v>
      </c>
      <c r="H1113" s="3" t="n">
        <v>1986.393</v>
      </c>
      <c r="I1113" s="3" t="n">
        <v>2020.341</v>
      </c>
      <c r="J1113" s="3" t="n">
        <v>2085.366</v>
      </c>
      <c r="K1113" s="3" t="n">
        <v>2133.872</v>
      </c>
      <c r="L1113" s="3" t="n">
        <v>2193.421</v>
      </c>
      <c r="M1113" s="3" t="n">
        <v>2241.453</v>
      </c>
      <c r="N1113" s="3" t="n">
        <v>2307.148</v>
      </c>
      <c r="O1113" s="3" t="n">
        <v>2306.008</v>
      </c>
      <c r="P1113" s="3" t="n">
        <v>2200.222</v>
      </c>
      <c r="Q1113" s="3" t="n">
        <v>2249.959</v>
      </c>
      <c r="R1113" s="3" t="n">
        <v>2269.116</v>
      </c>
      <c r="S1113" s="3" t="n">
        <v>2303.794</v>
      </c>
      <c r="T1113" s="3" t="n">
        <v>2343.384</v>
      </c>
      <c r="U1113" s="3" t="n">
        <v>2417.439</v>
      </c>
      <c r="V1113" s="3" t="n">
        <v>2469.182</v>
      </c>
      <c r="W1113" s="3" t="n">
        <v>2523.665</v>
      </c>
      <c r="X1113" s="3" t="n">
        <v>2599.961</v>
      </c>
      <c r="Y1113" s="3" t="n">
        <v>2640.295</v>
      </c>
      <c r="Z1113" s="3" t="n">
        <v>2673.465</v>
      </c>
      <c r="AA1113" s="3" t="n">
        <v>2404.838</v>
      </c>
      <c r="AB1113" s="3" t="n">
        <v>2610.286</v>
      </c>
      <c r="AC1113" s="3" t="n">
        <v>2744.708</v>
      </c>
      <c r="AD1113" s="3" t="n">
        <v>2752.164</v>
      </c>
      <c r="AE1113" s="3" t="n">
        <v>2782.111</v>
      </c>
      <c r="AF1113" s="3" t="n">
        <v>2818.929</v>
      </c>
      <c r="AG1113" s="3" t="n">
        <v>2841.389653</v>
      </c>
      <c r="AH1113" s="3" t="n">
        <v>2878.236412</v>
      </c>
      <c r="AI1113" s="3" t="n">
        <v>2925.243372</v>
      </c>
      <c r="AJ1113" s="3" t="n">
        <v>2972.484629</v>
      </c>
      <c r="AK1113" s="3" t="n">
        <v>3018.226667</v>
      </c>
      <c r="AL1113" s="3" t="n">
        <v>3060.814087</v>
      </c>
      <c r="AM1113" s="3" t="n"/>
      <c r="AN1113" s="3" t="n"/>
      <c r="AO1113" s="3" t="n"/>
      <c r="AP1113" s="3" t="n"/>
      <c r="AQ1113" s="3" t="n"/>
      <c r="AR1113" s="3" t="n"/>
      <c r="AS1113" s="3" t="n"/>
      <c r="AT1113" s="3" t="n"/>
      <c r="AU1113" s="3" t="n"/>
    </row>
    <row r="1114">
      <c r="A1114" s="3" t="n">
        <v>2031</v>
      </c>
      <c r="B1114" s="3" t="inlineStr">
        <is>
          <t>GBR</t>
        </is>
      </c>
      <c r="C1114" s="3" t="inlineStr">
        <is>
          <t>IMF.RES:WEO</t>
        </is>
      </c>
      <c r="D1114" s="3" t="inlineStr">
        <is>
          <t>GBR.NGDP_RPCH.A</t>
        </is>
      </c>
      <c r="E1114" s="3" t="inlineStr">
        <is>
          <t>United Kingdom</t>
        </is>
      </c>
      <c r="F1114" s="3" t="inlineStr">
        <is>
          <t>Gross domestic product (GDP), Constant prices, Percent change</t>
        </is>
      </c>
      <c r="G1114" s="3" t="n">
        <v>4.524381</v>
      </c>
      <c r="H1114" s="3" t="n">
        <v>2.391022</v>
      </c>
      <c r="I1114" s="3" t="n">
        <v>1.709027</v>
      </c>
      <c r="J1114" s="3" t="n">
        <v>3.218516</v>
      </c>
      <c r="K1114" s="3" t="n">
        <v>2.326019</v>
      </c>
      <c r="L1114" s="3" t="n">
        <v>2.790655</v>
      </c>
      <c r="M1114" s="3" t="n">
        <v>2.189821</v>
      </c>
      <c r="N1114" s="3" t="n">
        <v>2.930911</v>
      </c>
      <c r="O1114" s="3" t="n">
        <v>-0.049412</v>
      </c>
      <c r="P1114" s="3" t="n">
        <v>-4.587408</v>
      </c>
      <c r="Q1114" s="3" t="n">
        <v>2.260545</v>
      </c>
      <c r="R1114" s="3" t="n">
        <v>0.851438</v>
      </c>
      <c r="S1114" s="3" t="n">
        <v>1.52826</v>
      </c>
      <c r="T1114" s="3" t="n">
        <v>1.71847</v>
      </c>
      <c r="U1114" s="3" t="n">
        <v>3.160173</v>
      </c>
      <c r="V1114" s="3" t="n">
        <v>2.140406</v>
      </c>
      <c r="W1114" s="3" t="n">
        <v>2.20652</v>
      </c>
      <c r="X1114" s="3" t="n">
        <v>3.023222</v>
      </c>
      <c r="Y1114" s="3" t="n">
        <v>1.551331</v>
      </c>
      <c r="Z1114" s="3" t="n">
        <v>1.256299</v>
      </c>
      <c r="AA1114" s="3" t="n">
        <v>-10.047897</v>
      </c>
      <c r="AB1114" s="3" t="n">
        <v>8.543112000000001</v>
      </c>
      <c r="AC1114" s="3" t="n">
        <v>5.149704</v>
      </c>
      <c r="AD1114" s="3" t="n">
        <v>0.27165</v>
      </c>
      <c r="AE1114" s="3" t="n">
        <v>1.088126</v>
      </c>
      <c r="AF1114" s="3" t="n">
        <v>1.323384</v>
      </c>
      <c r="AG1114" s="3" t="n">
        <v>0.79678</v>
      </c>
      <c r="AH1114" s="3" t="n">
        <v>1.296787</v>
      </c>
      <c r="AI1114" s="3" t="n">
        <v>1.633186</v>
      </c>
      <c r="AJ1114" s="3" t="n">
        <v>1.614951</v>
      </c>
      <c r="AK1114" s="3" t="n">
        <v>1.538849</v>
      </c>
      <c r="AL1114" s="3" t="n">
        <v>1.411008</v>
      </c>
      <c r="AM1114" s="3" t="n"/>
      <c r="AN1114" s="3" t="n"/>
      <c r="AO1114" s="3" t="n"/>
      <c r="AP1114" s="3" t="n"/>
      <c r="AQ1114" s="3" t="n"/>
      <c r="AR1114" s="3" t="n"/>
      <c r="AS1114" s="3" t="n"/>
      <c r="AT1114" s="3" t="n"/>
      <c r="AU1114" s="3" t="n"/>
    </row>
    <row r="1115">
      <c r="A1115" s="3" t="n">
        <v>2031</v>
      </c>
      <c r="B1115" s="3" t="inlineStr">
        <is>
          <t>GBR</t>
        </is>
      </c>
      <c r="C1115" s="3" t="inlineStr">
        <is>
          <t>IMF.RES:WEO</t>
        </is>
      </c>
      <c r="D1115" s="3" t="inlineStr">
        <is>
          <t>GBR.NGDPD.A</t>
        </is>
      </c>
      <c r="E1115" s="3" t="inlineStr">
        <is>
          <t>United Kingdom</t>
        </is>
      </c>
      <c r="F1115" s="3" t="inlineStr">
        <is>
          <t>Gross domestic product (GDP), Current prices, US dollar</t>
        </is>
      </c>
      <c r="G1115" s="3" t="n">
        <v>1674.764574</v>
      </c>
      <c r="H1115" s="3" t="n">
        <v>1656.597415</v>
      </c>
      <c r="I1115" s="3" t="n">
        <v>1793.362984</v>
      </c>
      <c r="J1115" s="3" t="n">
        <v>2063.104855</v>
      </c>
      <c r="K1115" s="3" t="n">
        <v>2430.872087</v>
      </c>
      <c r="L1115" s="3" t="n">
        <v>2554.228887</v>
      </c>
      <c r="M1115" s="3" t="n">
        <v>2723.389008</v>
      </c>
      <c r="N1115" s="3" t="n">
        <v>3105.889768</v>
      </c>
      <c r="O1115" s="3" t="n">
        <v>2976.397862</v>
      </c>
      <c r="P1115" s="3" t="n">
        <v>2438.052794</v>
      </c>
      <c r="Q1115" s="3" t="n">
        <v>2499.192869</v>
      </c>
      <c r="R1115" s="3" t="n">
        <v>2676.50693</v>
      </c>
      <c r="S1115" s="3" t="n">
        <v>2720.19985</v>
      </c>
      <c r="T1115" s="3" t="n">
        <v>2798.727687</v>
      </c>
      <c r="U1115" s="3" t="n">
        <v>3086.968676</v>
      </c>
      <c r="V1115" s="3" t="n">
        <v>2946.230556</v>
      </c>
      <c r="W1115" s="3" t="n">
        <v>2716.85235</v>
      </c>
      <c r="X1115" s="3" t="n">
        <v>2701.369987</v>
      </c>
      <c r="Y1115" s="3" t="n">
        <v>2900.744907</v>
      </c>
      <c r="Z1115" s="3" t="n">
        <v>2877.391603</v>
      </c>
      <c r="AA1115" s="3" t="n">
        <v>2725.947732</v>
      </c>
      <c r="AB1115" s="3" t="n">
        <v>3195.327417</v>
      </c>
      <c r="AC1115" s="3" t="n">
        <v>3192.851047</v>
      </c>
      <c r="AD1115" s="3" t="n">
        <v>3422.071589</v>
      </c>
      <c r="AE1115" s="3" t="n">
        <v>3695.355096</v>
      </c>
      <c r="AF1115" s="3" t="n">
        <v>4003.021956</v>
      </c>
      <c r="AG1115" s="3" t="n">
        <v>4264.794421</v>
      </c>
      <c r="AH1115" s="3" t="n">
        <v>4466.075931</v>
      </c>
      <c r="AI1115" s="3" t="n">
        <v>4675.047652</v>
      </c>
      <c r="AJ1115" s="3" t="n">
        <v>4898.448027</v>
      </c>
      <c r="AK1115" s="3" t="n">
        <v>5148.434112</v>
      </c>
      <c r="AL1115" s="3" t="n">
        <v>5403.155421</v>
      </c>
      <c r="AM1115" s="3" t="n"/>
      <c r="AN1115" s="3" t="n"/>
      <c r="AO1115" s="3" t="n"/>
      <c r="AP1115" s="3" t="n"/>
      <c r="AQ1115" s="3" t="n"/>
      <c r="AR1115" s="3" t="n"/>
      <c r="AS1115" s="3" t="n"/>
      <c r="AT1115" s="3" t="n"/>
      <c r="AU1115" s="3" t="n"/>
    </row>
    <row r="1116">
      <c r="A1116" s="3" t="n">
        <v>2031</v>
      </c>
      <c r="B1116" s="3" t="inlineStr">
        <is>
          <t>GBR</t>
        </is>
      </c>
      <c r="C1116" s="3" t="inlineStr">
        <is>
          <t>IMF.RES:WEO</t>
        </is>
      </c>
      <c r="D1116" s="3" t="inlineStr">
        <is>
          <t>GBR.NGDPPC.A</t>
        </is>
      </c>
      <c r="E1116" s="3" t="inlineStr">
        <is>
          <t>United Kingdom</t>
        </is>
      </c>
      <c r="F1116" s="3" t="inlineStr">
        <is>
          <t>Gross domestic product (GDP), Current prices, Per capita, Domestic currency</t>
        </is>
      </c>
      <c r="G1116" s="3" t="n">
        <v>18760.97884</v>
      </c>
      <c r="H1116" s="3" t="n">
        <v>19463.434439</v>
      </c>
      <c r="I1116" s="3" t="n">
        <v>20123.403969</v>
      </c>
      <c r="J1116" s="3" t="n">
        <v>21169.777152</v>
      </c>
      <c r="K1116" s="3" t="n">
        <v>22137.497915</v>
      </c>
      <c r="L1116" s="3" t="n">
        <v>23227.60002</v>
      </c>
      <c r="M1116" s="3" t="n">
        <v>24299.735315</v>
      </c>
      <c r="N1116" s="3" t="n">
        <v>25305.843213</v>
      </c>
      <c r="O1116" s="3" t="n">
        <v>25915.777045</v>
      </c>
      <c r="P1116" s="3" t="n">
        <v>25046.256886</v>
      </c>
      <c r="Q1116" s="3" t="n">
        <v>25746.319312</v>
      </c>
      <c r="R1116" s="3" t="n">
        <v>26387.690606</v>
      </c>
      <c r="S1116" s="3" t="n">
        <v>27023.71647</v>
      </c>
      <c r="T1116" s="3" t="n">
        <v>27894.10334</v>
      </c>
      <c r="U1116" s="3" t="n">
        <v>29017.254987</v>
      </c>
      <c r="V1116" s="3" t="n">
        <v>29622.136525</v>
      </c>
      <c r="W1116" s="3" t="n">
        <v>30557.494741</v>
      </c>
      <c r="X1116" s="3" t="n">
        <v>31793.432782</v>
      </c>
      <c r="Y1116" s="3" t="n">
        <v>32759.952932</v>
      </c>
      <c r="Z1116" s="3" t="n">
        <v>33814.027136</v>
      </c>
      <c r="AA1116" s="3" t="n">
        <v>31835.780641</v>
      </c>
      <c r="AB1116" s="3" t="n">
        <v>34677.834513</v>
      </c>
      <c r="AC1116" s="3" t="n">
        <v>38159.397362</v>
      </c>
      <c r="AD1116" s="3" t="n">
        <v>40162.332545</v>
      </c>
      <c r="AE1116" s="3" t="n">
        <v>41723.762648</v>
      </c>
      <c r="AF1116" s="3" t="n">
        <v>43714.809964</v>
      </c>
      <c r="AG1116" s="3" t="n">
        <v>44912.746523</v>
      </c>
      <c r="AH1116" s="3" t="n">
        <v>46288.70324</v>
      </c>
      <c r="AI1116" s="3" t="n">
        <v>47793.442384</v>
      </c>
      <c r="AJ1116" s="3" t="n">
        <v>49199.544042</v>
      </c>
      <c r="AK1116" s="3" t="n">
        <v>50631.260577</v>
      </c>
      <c r="AL1116" s="3" t="n">
        <v>52021.115143</v>
      </c>
      <c r="AM1116" s="3" t="n"/>
      <c r="AN1116" s="3" t="n"/>
      <c r="AO1116" s="3" t="n"/>
      <c r="AP1116" s="3" t="n"/>
      <c r="AQ1116" s="3" t="n"/>
      <c r="AR1116" s="3" t="n"/>
      <c r="AS1116" s="3" t="n"/>
      <c r="AT1116" s="3" t="n"/>
      <c r="AU1116" s="3" t="n"/>
    </row>
    <row r="1117">
      <c r="A1117" s="3" t="n">
        <v>2031</v>
      </c>
      <c r="B1117" s="3" t="inlineStr">
        <is>
          <t>GBR</t>
        </is>
      </c>
      <c r="C1117" s="3" t="inlineStr">
        <is>
          <t>IMF.RES:WEO</t>
        </is>
      </c>
      <c r="D1117" s="3" t="inlineStr">
        <is>
          <t>GBR.NGDPRPC.A</t>
        </is>
      </c>
      <c r="E1117" s="3" t="inlineStr">
        <is>
          <t>United Kingdom</t>
        </is>
      </c>
      <c r="F1117" s="3" t="inlineStr">
        <is>
          <t>Gross domestic product (GDP), Constant prices, Per capita, Domestic currency</t>
        </is>
      </c>
      <c r="G1117" s="3" t="n">
        <v>32945.131271</v>
      </c>
      <c r="H1117" s="3" t="n">
        <v>33603.319067</v>
      </c>
      <c r="I1117" s="3" t="n">
        <v>34031.954317</v>
      </c>
      <c r="J1117" s="3" t="n">
        <v>34967.654309</v>
      </c>
      <c r="K1117" s="3" t="n">
        <v>35594.195163</v>
      </c>
      <c r="L1117" s="3" t="n">
        <v>36307.102776</v>
      </c>
      <c r="M1117" s="3" t="n">
        <v>36849.639141</v>
      </c>
      <c r="N1117" s="3" t="n">
        <v>37625.336356</v>
      </c>
      <c r="O1117" s="3" t="n">
        <v>37299.560041</v>
      </c>
      <c r="P1117" s="3" t="n">
        <v>35338.68714</v>
      </c>
      <c r="Q1117" s="3" t="n">
        <v>35850.207138</v>
      </c>
      <c r="R1117" s="3" t="n">
        <v>35855.510785</v>
      </c>
      <c r="S1117" s="3" t="n">
        <v>36160.066551</v>
      </c>
      <c r="T1117" s="3" t="n">
        <v>36536.592971</v>
      </c>
      <c r="U1117" s="3" t="n">
        <v>37410.653213</v>
      </c>
      <c r="V1117" s="3" t="n">
        <v>37936.638653</v>
      </c>
      <c r="W1117" s="3" t="n">
        <v>38466.984727</v>
      </c>
      <c r="X1117" s="3" t="n">
        <v>39414.847493</v>
      </c>
      <c r="Y1117" s="3" t="n">
        <v>39831.264049</v>
      </c>
      <c r="Z1117" s="3" t="n">
        <v>40125.247644</v>
      </c>
      <c r="AA1117" s="3" t="n">
        <v>36032.933773</v>
      </c>
      <c r="AB1117" s="3" t="n">
        <v>38972.289408</v>
      </c>
      <c r="AC1117" s="3" t="n">
        <v>40580.57839</v>
      </c>
      <c r="AD1117" s="3" t="n">
        <v>40162.332545</v>
      </c>
      <c r="AE1117" s="3" t="n">
        <v>40156.911707</v>
      </c>
      <c r="AF1117" s="3" t="n">
        <v>40567.717703</v>
      </c>
      <c r="AG1117" s="3" t="n">
        <v>40678.200769</v>
      </c>
      <c r="AH1117" s="3" t="n">
        <v>41055.171782</v>
      </c>
      <c r="AI1117" s="3" t="n">
        <v>41559.342923</v>
      </c>
      <c r="AJ1117" s="3" t="n">
        <v>42045.645283</v>
      </c>
      <c r="AK1117" s="3" t="n">
        <v>42503.299522</v>
      </c>
      <c r="AL1117" s="3" t="n">
        <v>42917.436857</v>
      </c>
      <c r="AM1117" s="3" t="n"/>
      <c r="AN1117" s="3" t="n"/>
      <c r="AO1117" s="3" t="n"/>
      <c r="AP1117" s="3" t="n"/>
      <c r="AQ1117" s="3" t="n"/>
      <c r="AR1117" s="3" t="n"/>
      <c r="AS1117" s="3" t="n"/>
      <c r="AT1117" s="3" t="n"/>
      <c r="AU1117" s="3" t="n"/>
    </row>
    <row r="1118">
      <c r="A1118" s="3" t="n">
        <v>2031</v>
      </c>
      <c r="B1118" s="3" t="inlineStr">
        <is>
          <t>GBR</t>
        </is>
      </c>
      <c r="C1118" s="3" t="inlineStr">
        <is>
          <t>IMF.RES:WEO</t>
        </is>
      </c>
      <c r="D1118" s="3" t="inlineStr">
        <is>
          <t>GBR.PCPI.A</t>
        </is>
      </c>
      <c r="E1118" s="3" t="inlineStr">
        <is>
          <t>United Kingdom</t>
        </is>
      </c>
      <c r="F1118" s="3" t="inlineStr">
        <is>
          <t>All Items, Consumer price index (CPI), Period average</t>
        </is>
      </c>
      <c r="G1118" s="3" t="n">
        <v>72.685417</v>
      </c>
      <c r="H1118" s="3" t="n">
        <v>73.58199999999999</v>
      </c>
      <c r="I1118" s="3" t="n">
        <v>74.50833299999999</v>
      </c>
      <c r="J1118" s="3" t="n">
        <v>75.52283300000001</v>
      </c>
      <c r="K1118" s="3" t="n">
        <v>76.53749999999999</v>
      </c>
      <c r="L1118" s="3" t="n">
        <v>78.111833</v>
      </c>
      <c r="M1118" s="3" t="n">
        <v>79.93083300000001</v>
      </c>
      <c r="N1118" s="3" t="n">
        <v>81.78749999999999</v>
      </c>
      <c r="O1118" s="3" t="n">
        <v>84.733417</v>
      </c>
      <c r="P1118" s="3" t="n">
        <v>86.568167</v>
      </c>
      <c r="Q1118" s="3" t="n">
        <v>89.423333</v>
      </c>
      <c r="R1118" s="3" t="n">
        <v>93.414917</v>
      </c>
      <c r="S1118" s="3" t="n">
        <v>96.056917</v>
      </c>
      <c r="T1118" s="3" t="n">
        <v>98.520583</v>
      </c>
      <c r="U1118" s="3" t="n">
        <v>99.95999999999999</v>
      </c>
      <c r="V1118" s="3" t="n">
        <v>100.000083</v>
      </c>
      <c r="W1118" s="3" t="n">
        <v>100.65975</v>
      </c>
      <c r="X1118" s="3" t="n">
        <v>103.360583</v>
      </c>
      <c r="Y1118" s="3" t="n">
        <v>105.921917</v>
      </c>
      <c r="Z1118" s="3" t="n">
        <v>107.819</v>
      </c>
      <c r="AA1118" s="3" t="n">
        <v>108.736167</v>
      </c>
      <c r="AB1118" s="3" t="n">
        <v>111.5505</v>
      </c>
      <c r="AC1118" s="3" t="n">
        <v>121.6645</v>
      </c>
      <c r="AD1118" s="3" t="n">
        <v>130.55</v>
      </c>
      <c r="AE1118" s="3" t="n">
        <v>133.853167</v>
      </c>
      <c r="AF1118" s="3" t="n">
        <v>138.368083</v>
      </c>
      <c r="AG1118" s="3" t="n">
        <v>142.799956</v>
      </c>
      <c r="AH1118" s="3" t="n">
        <v>146.252828</v>
      </c>
      <c r="AI1118" s="3" t="n">
        <v>149.177884</v>
      </c>
      <c r="AJ1118" s="3" t="n">
        <v>152.161442</v>
      </c>
      <c r="AK1118" s="3" t="n">
        <v>155.204671</v>
      </c>
      <c r="AL1118" s="3" t="n">
        <v>158.308764</v>
      </c>
      <c r="AM1118" s="3" t="n"/>
      <c r="AN1118" s="3" t="n"/>
      <c r="AO1118" s="3" t="n"/>
      <c r="AP1118" s="3" t="n"/>
      <c r="AQ1118" s="3" t="n"/>
      <c r="AR1118" s="3" t="n"/>
      <c r="AS1118" s="3" t="n"/>
      <c r="AT1118" s="3" t="n"/>
      <c r="AU1118" s="3" t="n"/>
    </row>
    <row r="1119">
      <c r="A1119" s="3" t="n">
        <v>2031</v>
      </c>
      <c r="B1119" s="3" t="inlineStr">
        <is>
          <t>GBR</t>
        </is>
      </c>
      <c r="C1119" s="3" t="inlineStr">
        <is>
          <t>IMF.RES:WEO</t>
        </is>
      </c>
      <c r="D1119" s="3" t="inlineStr">
        <is>
          <t>GBR.PCPIPCH.A</t>
        </is>
      </c>
      <c r="E1119" s="3" t="inlineStr">
        <is>
          <t>United Kingdom</t>
        </is>
      </c>
      <c r="F1119" s="3" t="inlineStr">
        <is>
          <t>All Items, Consumer price index (CPI), Period average, percent change</t>
        </is>
      </c>
      <c r="G1119" s="3" t="n">
        <v>0.7964560000000001</v>
      </c>
      <c r="H1119" s="3" t="n">
        <v>1.233512</v>
      </c>
      <c r="I1119" s="3" t="n">
        <v>1.258913</v>
      </c>
      <c r="J1119" s="3" t="n">
        <v>1.361593</v>
      </c>
      <c r="K1119" s="3" t="n">
        <v>1.343523</v>
      </c>
      <c r="L1119" s="3" t="n">
        <v>2.056944</v>
      </c>
      <c r="M1119" s="3" t="n">
        <v>2.328712</v>
      </c>
      <c r="N1119" s="3" t="n">
        <v>2.322842</v>
      </c>
      <c r="O1119" s="3" t="n">
        <v>3.601916</v>
      </c>
      <c r="P1119" s="3" t="n">
        <v>2.16532</v>
      </c>
      <c r="Q1119" s="3" t="n">
        <v>3.298172</v>
      </c>
      <c r="R1119" s="3" t="n">
        <v>4.463693</v>
      </c>
      <c r="S1119" s="3" t="n">
        <v>2.828242</v>
      </c>
      <c r="T1119" s="3" t="n">
        <v>2.564799</v>
      </c>
      <c r="U1119" s="3" t="n">
        <v>1.461031</v>
      </c>
      <c r="V1119" s="3" t="n">
        <v>0.040099</v>
      </c>
      <c r="W1119" s="3" t="n">
        <v>0.659666</v>
      </c>
      <c r="X1119" s="3" t="n">
        <v>2.683131</v>
      </c>
      <c r="Y1119" s="3" t="n">
        <v>2.478056</v>
      </c>
      <c r="Z1119" s="3" t="n">
        <v>1.791021</v>
      </c>
      <c r="AA1119" s="3" t="n">
        <v>0.850654</v>
      </c>
      <c r="AB1119" s="3" t="n">
        <v>2.588222</v>
      </c>
      <c r="AC1119" s="3" t="n">
        <v>9.066746</v>
      </c>
      <c r="AD1119" s="3" t="n">
        <v>7.303281</v>
      </c>
      <c r="AE1119" s="3" t="n">
        <v>2.530193</v>
      </c>
      <c r="AF1119" s="3" t="n">
        <v>3.373037</v>
      </c>
      <c r="AG1119" s="3" t="n">
        <v>3.202959</v>
      </c>
      <c r="AH1119" s="3" t="n">
        <v>2.417978</v>
      </c>
      <c r="AI1119" s="3" t="n">
        <v>2</v>
      </c>
      <c r="AJ1119" s="3" t="n">
        <v>2</v>
      </c>
      <c r="AK1119" s="3" t="n">
        <v>2</v>
      </c>
      <c r="AL1119" s="3" t="n">
        <v>2</v>
      </c>
      <c r="AM1119" s="3" t="n"/>
      <c r="AN1119" s="3" t="n"/>
      <c r="AO1119" s="3" t="n"/>
      <c r="AP1119" s="3" t="n"/>
      <c r="AQ1119" s="3" t="n"/>
      <c r="AR1119" s="3" t="n"/>
      <c r="AS1119" s="3" t="n"/>
      <c r="AT1119" s="3" t="n"/>
      <c r="AU1119" s="3" t="n"/>
    </row>
    <row r="1120">
      <c r="A1120" s="3" t="n">
        <v>2031</v>
      </c>
      <c r="B1120" s="3" t="inlineStr">
        <is>
          <t>GBR</t>
        </is>
      </c>
      <c r="C1120" s="3" t="inlineStr">
        <is>
          <t>IMF.RES:WEO</t>
        </is>
      </c>
      <c r="D1120" s="3" t="inlineStr">
        <is>
          <t>GBR.PPPPC.A</t>
        </is>
      </c>
      <c r="E1120" s="3" t="inlineStr">
        <is>
          <t>United Kingdom</t>
        </is>
      </c>
      <c r="F1120" s="3" t="inlineStr">
        <is>
          <t>Gross domestic product (GDP), Per capita, purchasing power parity (PPP) international dollar, ICP benchmarks 2017-2021</t>
        </is>
      </c>
      <c r="G1120" s="3" t="n">
        <v>28229.210537</v>
      </c>
      <c r="H1120" s="3" t="n">
        <v>29441.4954</v>
      </c>
      <c r="I1120" s="3" t="n">
        <v>30280.411026</v>
      </c>
      <c r="J1120" s="3" t="n">
        <v>31727.200285</v>
      </c>
      <c r="K1120" s="3" t="n">
        <v>33164.072022</v>
      </c>
      <c r="L1120" s="3" t="n">
        <v>34889.102404</v>
      </c>
      <c r="M1120" s="3" t="n">
        <v>36502.466162</v>
      </c>
      <c r="N1120" s="3" t="n">
        <v>38280.6234</v>
      </c>
      <c r="O1120" s="3" t="n">
        <v>38680.230478</v>
      </c>
      <c r="P1120" s="3" t="n">
        <v>36872.790462</v>
      </c>
      <c r="Q1120" s="3" t="n">
        <v>37861.145573</v>
      </c>
      <c r="R1120" s="3" t="n">
        <v>38648.031751</v>
      </c>
      <c r="S1120" s="3" t="n">
        <v>39702.019501</v>
      </c>
      <c r="T1120" s="3" t="n">
        <v>40798.194008</v>
      </c>
      <c r="U1120" s="3" t="n">
        <v>42501.7915</v>
      </c>
      <c r="V1120" s="3" t="n">
        <v>43499.342184</v>
      </c>
      <c r="W1120" s="3" t="n">
        <v>44526.573082</v>
      </c>
      <c r="X1120" s="3" t="n">
        <v>46440.820812</v>
      </c>
      <c r="Y1120" s="3" t="n">
        <v>47635.985275</v>
      </c>
      <c r="Z1120" s="3" t="n">
        <v>50493.94128</v>
      </c>
      <c r="AA1120" s="3" t="n">
        <v>48719.868148</v>
      </c>
      <c r="AB1120" s="3" t="n">
        <v>53772.777164</v>
      </c>
      <c r="AC1120" s="3" t="n">
        <v>59974.217149</v>
      </c>
      <c r="AD1120" s="3" t="n">
        <v>61552.284881</v>
      </c>
      <c r="AE1120" s="3" t="n">
        <v>63071.833778</v>
      </c>
      <c r="AF1120" s="3" t="n">
        <v>65524.564109</v>
      </c>
      <c r="AG1120" s="3" t="n">
        <v>67585.30860400001</v>
      </c>
      <c r="AH1120" s="3" t="n">
        <v>69709.492447</v>
      </c>
      <c r="AI1120" s="3" t="n">
        <v>71723.804378</v>
      </c>
      <c r="AJ1120" s="3" t="n">
        <v>73853.323273</v>
      </c>
      <c r="AK1120" s="3" t="n">
        <v>76029.04053499999</v>
      </c>
      <c r="AL1120" s="3" t="n">
        <v>78155.768321</v>
      </c>
      <c r="AM1120" s="3" t="n"/>
      <c r="AN1120" s="3" t="n"/>
      <c r="AO1120" s="3" t="n"/>
      <c r="AP1120" s="3" t="n"/>
      <c r="AQ1120" s="3" t="n"/>
      <c r="AR1120" s="3" t="n"/>
      <c r="AS1120" s="3" t="n"/>
      <c r="AT1120" s="3" t="n"/>
      <c r="AU1120" s="3" t="n"/>
    </row>
    <row r="1121">
      <c r="A1121" s="3" t="n">
        <v>2025</v>
      </c>
      <c r="B1121" s="3" t="inlineStr">
        <is>
          <t>GBR</t>
        </is>
      </c>
      <c r="C1121" s="3" t="inlineStr">
        <is>
          <t>IMF.STA:ER</t>
        </is>
      </c>
      <c r="D1121" s="3" t="inlineStr">
        <is>
          <t>GBR.XDC_USD.PA_RT.A</t>
        </is>
      </c>
      <c r="E1121" s="3" t="inlineStr">
        <is>
          <t>United Kingdom</t>
        </is>
      </c>
      <c r="F1121" s="3" t="inlineStr">
        <is>
          <t>Domestic currency per US Dollar</t>
        </is>
      </c>
      <c r="G1121" s="3" t="n">
        <v>0.660930833333333</v>
      </c>
      <c r="H1121" s="3" t="n">
        <v>0.694654999999999</v>
      </c>
      <c r="I1121" s="3" t="n">
        <v>0.6672233333333329</v>
      </c>
      <c r="J1121" s="3" t="n">
        <v>0.6124725</v>
      </c>
      <c r="K1121" s="3" t="n">
        <v>0.54618</v>
      </c>
      <c r="L1121" s="3" t="n">
        <v>0.549998333333333</v>
      </c>
      <c r="M1121" s="3" t="n">
        <v>0.543486666666666</v>
      </c>
      <c r="N1121" s="3" t="n">
        <v>0.499771666666666</v>
      </c>
      <c r="O1121" s="3" t="n">
        <v>0.54396625</v>
      </c>
      <c r="P1121" s="3" t="n">
        <v>0.641919263495996</v>
      </c>
      <c r="Q1121" s="3" t="n">
        <v>0.647179345560164</v>
      </c>
      <c r="R1121" s="3" t="n">
        <v>0.6241408357404939</v>
      </c>
      <c r="S1121" s="3" t="n">
        <v>0.633046988857327</v>
      </c>
      <c r="T1121" s="3" t="n">
        <v>0.6396605776134759</v>
      </c>
      <c r="U1121" s="3" t="n">
        <v>0.607729626878255</v>
      </c>
      <c r="V1121" s="3" t="n">
        <v>0.654545478931426</v>
      </c>
      <c r="W1121" s="3" t="n">
        <v>0.740634463697084</v>
      </c>
      <c r="X1121" s="3" t="n">
        <v>0.776976682344122</v>
      </c>
      <c r="Y1121" s="3" t="n">
        <v>0.749531540259846</v>
      </c>
      <c r="Z1121" s="3" t="n">
        <v>0.783445110011929</v>
      </c>
      <c r="AA1121" s="3" t="n">
        <v>0.779999576697153</v>
      </c>
      <c r="AB1121" s="3" t="n">
        <v>0.7270649446883219</v>
      </c>
      <c r="AC1121" s="3" t="n">
        <v>0.811301715827773</v>
      </c>
      <c r="AD1121" s="3" t="n">
        <v>0.804538906734352</v>
      </c>
      <c r="AE1121" s="3" t="n">
        <v>0.782414580986261</v>
      </c>
      <c r="AF1121" s="3" t="n">
        <v>0.759473957338607</v>
      </c>
      <c r="AG1121" s="3" t="n"/>
      <c r="AH1121" s="3" t="n"/>
      <c r="AI1121" s="3" t="n"/>
      <c r="AJ1121" s="3" t="n"/>
      <c r="AK1121" s="3" t="n"/>
      <c r="AL1121" s="3" t="n"/>
      <c r="AM1121" s="3" t="n"/>
      <c r="AN1121" s="3" t="n"/>
      <c r="AO1121" s="3" t="n"/>
      <c r="AP1121" s="3" t="n"/>
      <c r="AQ1121" s="3" t="n"/>
      <c r="AR1121" s="3" t="n"/>
      <c r="AS1121" s="3" t="n"/>
      <c r="AT1121" s="3" t="n"/>
      <c r="AU1121" s="3" t="n"/>
    </row>
    <row r="1122">
      <c r="A1122" s="3" t="n">
        <v>2031</v>
      </c>
      <c r="B1122" s="3" t="inlineStr">
        <is>
          <t>GEO</t>
        </is>
      </c>
      <c r="C1122" s="3" t="inlineStr">
        <is>
          <t>IMF.RES:WEO</t>
        </is>
      </c>
      <c r="D1122" s="3" t="inlineStr">
        <is>
          <t>GEO.BCA.A</t>
        </is>
      </c>
      <c r="E1122" s="3" t="inlineStr">
        <is>
          <t>Georgia</t>
        </is>
      </c>
      <c r="F1122" s="3" t="inlineStr">
        <is>
          <t>Current account balance (credit less debit), US dollar</t>
        </is>
      </c>
      <c r="G1122" s="3" t="n">
        <v>-0.1759</v>
      </c>
      <c r="H1122" s="3" t="n">
        <v>-0.197095</v>
      </c>
      <c r="I1122" s="3" t="n">
        <v>-0.216913</v>
      </c>
      <c r="J1122" s="3" t="n">
        <v>-0.382209</v>
      </c>
      <c r="K1122" s="3" t="n">
        <v>-0.356204</v>
      </c>
      <c r="L1122" s="3" t="n">
        <v>-0.695658</v>
      </c>
      <c r="M1122" s="3" t="n">
        <v>-1.191303</v>
      </c>
      <c r="N1122" s="3" t="n">
        <v>-1.992056</v>
      </c>
      <c r="O1122" s="3" t="n">
        <v>-2.811211</v>
      </c>
      <c r="P1122" s="3" t="n">
        <v>-1.141146</v>
      </c>
      <c r="Q1122" s="3" t="n">
        <v>-1.198804</v>
      </c>
      <c r="R1122" s="3" t="n">
        <v>-1.84308</v>
      </c>
      <c r="S1122" s="3" t="n">
        <v>-1.882741</v>
      </c>
      <c r="T1122" s="3" t="n">
        <v>-0.955493</v>
      </c>
      <c r="U1122" s="3" t="n">
        <v>-1.784183</v>
      </c>
      <c r="V1122" s="3" t="n">
        <v>-1.767022</v>
      </c>
      <c r="W1122" s="3" t="n">
        <v>-1.885854</v>
      </c>
      <c r="X1122" s="3" t="n">
        <v>-1.308248</v>
      </c>
      <c r="Y1122" s="3" t="n">
        <v>-1.192211</v>
      </c>
      <c r="Z1122" s="3" t="n">
        <v>-1.057198</v>
      </c>
      <c r="AA1122" s="3" t="n">
        <v>-1.988916</v>
      </c>
      <c r="AB1122" s="3" t="n">
        <v>-1.939316</v>
      </c>
      <c r="AC1122" s="3" t="n">
        <v>-1.105406</v>
      </c>
      <c r="AD1122" s="3" t="n">
        <v>-1.701779</v>
      </c>
      <c r="AE1122" s="3" t="n">
        <v>-1.812769</v>
      </c>
      <c r="AF1122" s="3" t="n">
        <v>-0.994962</v>
      </c>
      <c r="AG1122" s="3" t="n">
        <v>-2.139083</v>
      </c>
      <c r="AH1122" s="3" t="n">
        <v>-2.093836</v>
      </c>
      <c r="AI1122" s="3" t="n">
        <v>-2.375408</v>
      </c>
      <c r="AJ1122" s="3" t="n">
        <v>-2.654992</v>
      </c>
      <c r="AK1122" s="3" t="n">
        <v>-2.978368</v>
      </c>
      <c r="AL1122" s="3" t="n">
        <v>-3.349293</v>
      </c>
      <c r="AM1122" s="3" t="n"/>
      <c r="AN1122" s="3" t="n"/>
      <c r="AO1122" s="3" t="n"/>
      <c r="AP1122" s="3" t="n"/>
      <c r="AQ1122" s="3" t="n"/>
      <c r="AR1122" s="3" t="n"/>
      <c r="AS1122" s="3" t="n"/>
      <c r="AT1122" s="3" t="n"/>
      <c r="AU1122" s="3" t="n"/>
    </row>
    <row r="1123">
      <c r="A1123" s="3" t="n">
        <v>2031</v>
      </c>
      <c r="B1123" s="3" t="inlineStr">
        <is>
          <t>GEO</t>
        </is>
      </c>
      <c r="C1123" s="3" t="inlineStr">
        <is>
          <t>IMF.RES:WEO</t>
        </is>
      </c>
      <c r="D1123" s="3" t="inlineStr">
        <is>
          <t>GEO.BCA_NGDPD.A</t>
        </is>
      </c>
      <c r="E1123" s="3" t="inlineStr">
        <is>
          <t>Georgia</t>
        </is>
      </c>
      <c r="F1123" s="3" t="inlineStr">
        <is>
          <t>Current account balance (credit less debit), Percent of GDP</t>
        </is>
      </c>
      <c r="G1123" s="3" t="n">
        <v>-5.594723</v>
      </c>
      <c r="H1123" s="3" t="n">
        <v>-5.953128</v>
      </c>
      <c r="I1123" s="3" t="n">
        <v>-6.209684</v>
      </c>
      <c r="J1123" s="3" t="n">
        <v>-9.31592</v>
      </c>
      <c r="K1123" s="3" t="n">
        <v>-6.7604</v>
      </c>
      <c r="L1123" s="3" t="n">
        <v>-10.555536</v>
      </c>
      <c r="M1123" s="3" t="n">
        <v>-14.930149</v>
      </c>
      <c r="N1123" s="3" t="n">
        <v>-19.048333</v>
      </c>
      <c r="O1123" s="3" t="n">
        <v>-21.364276</v>
      </c>
      <c r="P1123" s="3" t="n">
        <v>-10.309824</v>
      </c>
      <c r="Q1123" s="3" t="n">
        <v>-9.648296999999999</v>
      </c>
      <c r="R1123" s="3" t="n">
        <v>-11.909688</v>
      </c>
      <c r="S1123" s="3" t="n">
        <v>-11.144183</v>
      </c>
      <c r="T1123" s="3" t="n">
        <v>-5.454996</v>
      </c>
      <c r="U1123" s="3" t="n">
        <v>-9.930752</v>
      </c>
      <c r="V1123" s="3" t="n">
        <v>-11.607301</v>
      </c>
      <c r="W1123" s="3" t="n">
        <v>-12.210512</v>
      </c>
      <c r="X1123" s="3" t="n">
        <v>-7.94215</v>
      </c>
      <c r="Y1123" s="3" t="n">
        <v>-6.658522</v>
      </c>
      <c r="Z1123" s="3" t="n">
        <v>-5.991517</v>
      </c>
      <c r="AA1123" s="3" t="n">
        <v>-12.42027</v>
      </c>
      <c r="AB1123" s="3" t="n">
        <v>-10.288874</v>
      </c>
      <c r="AC1123" s="3" t="n">
        <v>-4.424299</v>
      </c>
      <c r="AD1123" s="3" t="n">
        <v>-5.529156</v>
      </c>
      <c r="AE1123" s="3" t="n">
        <v>-5.30189</v>
      </c>
      <c r="AF1123" s="3" t="n">
        <v>-2.603494</v>
      </c>
      <c r="AG1123" s="3" t="n">
        <v>-5.007699</v>
      </c>
      <c r="AH1123" s="3" t="n">
        <v>-4.48362</v>
      </c>
      <c r="AI1123" s="3" t="n">
        <v>-4.645074</v>
      </c>
      <c r="AJ1123" s="3" t="n">
        <v>-4.735706</v>
      </c>
      <c r="AK1123" s="3" t="n">
        <v>-4.842768</v>
      </c>
      <c r="AL1123" s="3" t="n">
        <v>-4.965672</v>
      </c>
      <c r="AM1123" s="3" t="n"/>
      <c r="AN1123" s="3" t="n"/>
      <c r="AO1123" s="3" t="n"/>
      <c r="AP1123" s="3" t="n"/>
      <c r="AQ1123" s="3" t="n"/>
      <c r="AR1123" s="3" t="n"/>
      <c r="AS1123" s="3" t="n"/>
      <c r="AT1123" s="3" t="n"/>
      <c r="AU1123" s="3" t="n"/>
    </row>
    <row r="1124">
      <c r="A1124" s="3" t="n">
        <v>2031</v>
      </c>
      <c r="B1124" s="3" t="inlineStr">
        <is>
          <t>GEO</t>
        </is>
      </c>
      <c r="C1124" s="3" t="inlineStr">
        <is>
          <t>IMF.RES:WEO</t>
        </is>
      </c>
      <c r="D1124" s="3" t="inlineStr">
        <is>
          <t>GEO.GGR_NGDP.A</t>
        </is>
      </c>
      <c r="E1124" s="3" t="inlineStr">
        <is>
          <t>Georgia</t>
        </is>
      </c>
      <c r="F1124" s="3" t="inlineStr">
        <is>
          <t>Revenue, General government, Percent of GDP</t>
        </is>
      </c>
      <c r="G1124" s="3" t="n">
        <v>14.996551</v>
      </c>
      <c r="H1124" s="3" t="n">
        <v>16.114713</v>
      </c>
      <c r="I1124" s="3" t="n">
        <v>15.798479</v>
      </c>
      <c r="J1124" s="3" t="n">
        <v>15.535382</v>
      </c>
      <c r="K1124" s="3" t="n">
        <v>22.444274</v>
      </c>
      <c r="L1124" s="3" t="n">
        <v>23.752582</v>
      </c>
      <c r="M1124" s="3" t="n">
        <v>25.940757</v>
      </c>
      <c r="N1124" s="3" t="n">
        <v>28.459771</v>
      </c>
      <c r="O1124" s="3" t="n">
        <v>29.851865</v>
      </c>
      <c r="P1124" s="3" t="n">
        <v>28.470545</v>
      </c>
      <c r="Q1124" s="3" t="n">
        <v>26.486037</v>
      </c>
      <c r="R1124" s="3" t="n">
        <v>26.324002</v>
      </c>
      <c r="S1124" s="3" t="n">
        <v>27.023857</v>
      </c>
      <c r="T1124" s="3" t="n">
        <v>25.349162</v>
      </c>
      <c r="U1124" s="3" t="n">
        <v>25.735944</v>
      </c>
      <c r="V1124" s="3" t="n">
        <v>25.829024</v>
      </c>
      <c r="W1124" s="3" t="n">
        <v>26.325791</v>
      </c>
      <c r="X1124" s="3" t="n">
        <v>26.758029</v>
      </c>
      <c r="Y1124" s="3" t="n">
        <v>25.919858</v>
      </c>
      <c r="Z1124" s="3" t="n">
        <v>26.846484</v>
      </c>
      <c r="AA1124" s="3" t="n">
        <v>24.949141</v>
      </c>
      <c r="AB1124" s="3" t="n">
        <v>25.216678</v>
      </c>
      <c r="AC1124" s="3" t="n">
        <v>26.308748</v>
      </c>
      <c r="AD1124" s="3" t="n">
        <v>27.354474</v>
      </c>
      <c r="AE1124" s="3" t="n">
        <v>27.62265</v>
      </c>
      <c r="AF1124" s="3" t="n">
        <v>26.918722</v>
      </c>
      <c r="AG1124" s="3" t="n">
        <v>26.57055</v>
      </c>
      <c r="AH1124" s="3" t="n">
        <v>26.23894</v>
      </c>
      <c r="AI1124" s="3" t="n">
        <v>26.114486</v>
      </c>
      <c r="AJ1124" s="3" t="n">
        <v>25.997371</v>
      </c>
      <c r="AK1124" s="3" t="n">
        <v>25.950008</v>
      </c>
      <c r="AL1124" s="3" t="n">
        <v>25.906551</v>
      </c>
      <c r="AM1124" s="3" t="n"/>
      <c r="AN1124" s="3" t="n"/>
      <c r="AO1124" s="3" t="n"/>
      <c r="AP1124" s="3" t="n"/>
      <c r="AQ1124" s="3" t="n"/>
      <c r="AR1124" s="3" t="n"/>
      <c r="AS1124" s="3" t="n"/>
      <c r="AT1124" s="3" t="n"/>
      <c r="AU1124" s="3" t="n"/>
    </row>
    <row r="1125">
      <c r="A1125" s="3" t="n">
        <v>2031</v>
      </c>
      <c r="B1125" s="3" t="inlineStr">
        <is>
          <t>GEO</t>
        </is>
      </c>
      <c r="C1125" s="3" t="inlineStr">
        <is>
          <t>IMF.RES:WEO</t>
        </is>
      </c>
      <c r="D1125" s="3" t="inlineStr">
        <is>
          <t>GEO.GGX_NGDP.A</t>
        </is>
      </c>
      <c r="E1125" s="3" t="inlineStr">
        <is>
          <t>Georgia</t>
        </is>
      </c>
      <c r="F1125" s="3" t="inlineStr">
        <is>
          <t>Expenditure, General government, Percent of GDP</t>
        </is>
      </c>
      <c r="G1125" s="3" t="n">
        <v>16.917225</v>
      </c>
      <c r="H1125" s="3" t="n">
        <v>16.821955</v>
      </c>
      <c r="I1125" s="3" t="n">
        <v>15.984808</v>
      </c>
      <c r="J1125" s="3" t="n">
        <v>16.083065</v>
      </c>
      <c r="K1125" s="3" t="n">
        <v>18.852533</v>
      </c>
      <c r="L1125" s="3" t="n">
        <v>21.608013</v>
      </c>
      <c r="M1125" s="3" t="n">
        <v>22.656991</v>
      </c>
      <c r="N1125" s="3" t="n">
        <v>27.650599</v>
      </c>
      <c r="O1125" s="3" t="n">
        <v>31.773795</v>
      </c>
      <c r="P1125" s="3" t="n">
        <v>34.835057</v>
      </c>
      <c r="Q1125" s="3" t="n">
        <v>30.962608</v>
      </c>
      <c r="R1125" s="3" t="n">
        <v>27.131761</v>
      </c>
      <c r="S1125" s="3" t="n">
        <v>27.733533</v>
      </c>
      <c r="T1125" s="3" t="n">
        <v>26.597365</v>
      </c>
      <c r="U1125" s="3" t="n">
        <v>27.514678</v>
      </c>
      <c r="V1125" s="3" t="n">
        <v>26.992203</v>
      </c>
      <c r="W1125" s="3" t="n">
        <v>27.815553</v>
      </c>
      <c r="X1125" s="3" t="n">
        <v>27.209636</v>
      </c>
      <c r="Y1125" s="3" t="n">
        <v>26.722419</v>
      </c>
      <c r="Z1125" s="3" t="n">
        <v>28.671356</v>
      </c>
      <c r="AA1125" s="3" t="n">
        <v>34.106726</v>
      </c>
      <c r="AB1125" s="3" t="n">
        <v>31.188835</v>
      </c>
      <c r="AC1125" s="3" t="n">
        <v>28.507019</v>
      </c>
      <c r="AD1125" s="3" t="n">
        <v>29.683049</v>
      </c>
      <c r="AE1125" s="3" t="n">
        <v>29.88983</v>
      </c>
      <c r="AF1125" s="3" t="n">
        <v>28.374189</v>
      </c>
      <c r="AG1125" s="3" t="n">
        <v>28.89746</v>
      </c>
      <c r="AH1125" s="3" t="n">
        <v>28.559679</v>
      </c>
      <c r="AI1125" s="3" t="n">
        <v>28.433553</v>
      </c>
      <c r="AJ1125" s="3" t="n">
        <v>28.214903</v>
      </c>
      <c r="AK1125" s="3" t="n">
        <v>28.163015</v>
      </c>
      <c r="AL1125" s="3" t="n">
        <v>28.118512</v>
      </c>
      <c r="AM1125" s="3" t="n"/>
      <c r="AN1125" s="3" t="n"/>
      <c r="AO1125" s="3" t="n"/>
      <c r="AP1125" s="3" t="n"/>
      <c r="AQ1125" s="3" t="n"/>
      <c r="AR1125" s="3" t="n"/>
      <c r="AS1125" s="3" t="n"/>
      <c r="AT1125" s="3" t="n"/>
      <c r="AU1125" s="3" t="n"/>
    </row>
    <row r="1126">
      <c r="A1126" s="3" t="n">
        <v>2031</v>
      </c>
      <c r="B1126" s="3" t="inlineStr">
        <is>
          <t>GEO</t>
        </is>
      </c>
      <c r="C1126" s="3" t="inlineStr">
        <is>
          <t>IMF.RES:WEO</t>
        </is>
      </c>
      <c r="D1126" s="3" t="inlineStr">
        <is>
          <t>GEO.LP.A</t>
        </is>
      </c>
      <c r="E1126" s="3" t="inlineStr">
        <is>
          <t>Georgia</t>
        </is>
      </c>
      <c r="F1126" s="3" t="inlineStr">
        <is>
          <t>Population, Persons for countries / Index for country groups</t>
        </is>
      </c>
      <c r="G1126" s="3" t="n">
        <v>4.1168</v>
      </c>
      <c r="H1126" s="3" t="n">
        <v>4.0375</v>
      </c>
      <c r="I1126" s="3" t="n">
        <v>3.9913</v>
      </c>
      <c r="J1126" s="3" t="n">
        <v>3.9658</v>
      </c>
      <c r="K1126" s="3" t="n">
        <v>3.9377</v>
      </c>
      <c r="L1126" s="3" t="n">
        <v>3.917</v>
      </c>
      <c r="M1126" s="3" t="n">
        <v>3.888</v>
      </c>
      <c r="N1126" s="3" t="n">
        <v>3.8727</v>
      </c>
      <c r="O1126" s="3" t="n">
        <v>3.8476</v>
      </c>
      <c r="P1126" s="3" t="n">
        <v>3.829</v>
      </c>
      <c r="Q1126" s="3" t="n">
        <v>3.7998</v>
      </c>
      <c r="R1126" s="3" t="n">
        <v>3.7736</v>
      </c>
      <c r="S1126" s="3" t="n">
        <v>3.7393</v>
      </c>
      <c r="T1126" s="3" t="n">
        <v>3.7184</v>
      </c>
      <c r="U1126" s="3" t="n">
        <v>3.7169</v>
      </c>
      <c r="V1126" s="3" t="n">
        <v>3.7219</v>
      </c>
      <c r="W1126" s="3" t="n">
        <v>3.7286</v>
      </c>
      <c r="X1126" s="3" t="n">
        <v>3.7264</v>
      </c>
      <c r="Y1126" s="3" t="n">
        <v>3.7296</v>
      </c>
      <c r="Z1126" s="3" t="n">
        <v>3.7235</v>
      </c>
      <c r="AA1126" s="3" t="n">
        <v>3.7169</v>
      </c>
      <c r="AB1126" s="3" t="n">
        <v>3.7286</v>
      </c>
      <c r="AC1126" s="3" t="n">
        <v>3.6886</v>
      </c>
      <c r="AD1126" s="3" t="n">
        <v>3.7364</v>
      </c>
      <c r="AE1126" s="3" t="n">
        <v>3.6946</v>
      </c>
      <c r="AF1126" s="3" t="n">
        <v>3.693803</v>
      </c>
      <c r="AG1126" s="3" t="n">
        <v>3.690673</v>
      </c>
      <c r="AH1126" s="3" t="n">
        <v>3.687546</v>
      </c>
      <c r="AI1126" s="3" t="n">
        <v>3.684421</v>
      </c>
      <c r="AJ1126" s="3" t="n">
        <v>3.681299</v>
      </c>
      <c r="AK1126" s="3" t="n">
        <v>3.678153</v>
      </c>
      <c r="AL1126" s="3" t="n">
        <v>3.675036</v>
      </c>
      <c r="AM1126" s="3" t="n"/>
      <c r="AN1126" s="3" t="n"/>
      <c r="AO1126" s="3" t="n"/>
      <c r="AP1126" s="3" t="n"/>
      <c r="AQ1126" s="3" t="n"/>
      <c r="AR1126" s="3" t="n"/>
      <c r="AS1126" s="3" t="n"/>
      <c r="AT1126" s="3" t="n"/>
      <c r="AU1126" s="3" t="n"/>
    </row>
    <row r="1127">
      <c r="A1127" s="3" t="n">
        <v>2031</v>
      </c>
      <c r="B1127" s="3" t="inlineStr">
        <is>
          <t>GEO</t>
        </is>
      </c>
      <c r="C1127" s="3" t="inlineStr">
        <is>
          <t>IMF.RES:WEO</t>
        </is>
      </c>
      <c r="D1127" s="3" t="inlineStr">
        <is>
          <t>GEO.NGDP.A</t>
        </is>
      </c>
      <c r="E1127" s="3" t="inlineStr">
        <is>
          <t>Georgia</t>
        </is>
      </c>
      <c r="F1127" s="3" t="inlineStr">
        <is>
          <t>Gross domestic product (GDP), Current prices, Domestic currency</t>
        </is>
      </c>
      <c r="G1127" s="3" t="n">
        <v>6.2126</v>
      </c>
      <c r="H1127" s="3" t="n">
        <v>6.8613</v>
      </c>
      <c r="I1127" s="3" t="n">
        <v>7.6654</v>
      </c>
      <c r="J1127" s="3" t="n">
        <v>8.804500000000001</v>
      </c>
      <c r="K1127" s="3" t="n">
        <v>10.1002</v>
      </c>
      <c r="L1127" s="3" t="n">
        <v>11.9474</v>
      </c>
      <c r="M1127" s="3" t="n">
        <v>14.177</v>
      </c>
      <c r="N1127" s="3" t="n">
        <v>17.4708</v>
      </c>
      <c r="O1127" s="3" t="n">
        <v>19.6105</v>
      </c>
      <c r="P1127" s="3" t="n">
        <v>18.4909</v>
      </c>
      <c r="Q1127" s="3" t="n">
        <v>22.148651</v>
      </c>
      <c r="R1127" s="3" t="n">
        <v>26.099375</v>
      </c>
      <c r="S1127" s="3" t="n">
        <v>27.896855</v>
      </c>
      <c r="T1127" s="3" t="n">
        <v>29.137727</v>
      </c>
      <c r="U1127" s="3" t="n">
        <v>31.722399</v>
      </c>
      <c r="V1127" s="3" t="n">
        <v>34.548162</v>
      </c>
      <c r="W1127" s="3" t="n">
        <v>36.553297</v>
      </c>
      <c r="X1127" s="3" t="n">
        <v>41.339767</v>
      </c>
      <c r="Y1127" s="3" t="n">
        <v>45.374358</v>
      </c>
      <c r="Z1127" s="3" t="n">
        <v>49.726284</v>
      </c>
      <c r="AA1127" s="3" t="n">
        <v>49.788538</v>
      </c>
      <c r="AB1127" s="3" t="n">
        <v>60.72414</v>
      </c>
      <c r="AC1127" s="3" t="n">
        <v>72.86005900000001</v>
      </c>
      <c r="AD1127" s="3" t="n">
        <v>80.882762</v>
      </c>
      <c r="AE1127" s="3" t="n">
        <v>93.02227499999999</v>
      </c>
      <c r="AF1127" s="3" t="n">
        <v>104.818127</v>
      </c>
      <c r="AG1127" s="3" t="n">
        <v>114.824999</v>
      </c>
      <c r="AH1127" s="3" t="n">
        <v>124.887233</v>
      </c>
      <c r="AI1127" s="3" t="n">
        <v>135.830594</v>
      </c>
      <c r="AJ1127" s="3" t="n">
        <v>147.723185</v>
      </c>
      <c r="AK1127" s="3" t="n">
        <v>160.670295</v>
      </c>
      <c r="AL1127" s="3" t="n">
        <v>174.738482</v>
      </c>
      <c r="AM1127" s="3" t="n"/>
      <c r="AN1127" s="3" t="n"/>
      <c r="AO1127" s="3" t="n"/>
      <c r="AP1127" s="3" t="n"/>
      <c r="AQ1127" s="3" t="n"/>
      <c r="AR1127" s="3" t="n"/>
      <c r="AS1127" s="3" t="n"/>
      <c r="AT1127" s="3" t="n"/>
      <c r="AU1127" s="3" t="n"/>
    </row>
    <row r="1128">
      <c r="A1128" s="3" t="n">
        <v>2031</v>
      </c>
      <c r="B1128" s="3" t="inlineStr">
        <is>
          <t>GEO</t>
        </is>
      </c>
      <c r="C1128" s="3" t="inlineStr">
        <is>
          <t>IMF.RES:WEO</t>
        </is>
      </c>
      <c r="D1128" s="3" t="inlineStr">
        <is>
          <t>GEO.NGDP_D.A</t>
        </is>
      </c>
      <c r="E1128" s="3" t="inlineStr">
        <is>
          <t>Georgia</t>
        </is>
      </c>
      <c r="F1128" s="3" t="inlineStr">
        <is>
          <t>Gross domestic product (GDP), Price deflator, Index</t>
        </is>
      </c>
      <c r="G1128" s="3" t="n">
        <v>36.62376</v>
      </c>
      <c r="H1128" s="3" t="n">
        <v>38.60677</v>
      </c>
      <c r="I1128" s="3" t="n">
        <v>40.887747</v>
      </c>
      <c r="J1128" s="3" t="n">
        <v>42.222796</v>
      </c>
      <c r="K1128" s="3" t="n">
        <v>45.78301</v>
      </c>
      <c r="L1128" s="3" t="n">
        <v>49.417792</v>
      </c>
      <c r="M1128" s="3" t="n">
        <v>53.591557</v>
      </c>
      <c r="N1128" s="3" t="n">
        <v>58.66356</v>
      </c>
      <c r="O1128" s="3" t="n">
        <v>64.293115</v>
      </c>
      <c r="P1128" s="3" t="n">
        <v>62.91942</v>
      </c>
      <c r="Q1128" s="3" t="n">
        <v>70.473257</v>
      </c>
      <c r="R1128" s="3" t="n">
        <v>76.928613</v>
      </c>
      <c r="S1128" s="3" t="n">
        <v>77.150943</v>
      </c>
      <c r="T1128" s="3" t="n">
        <v>76.647909</v>
      </c>
      <c r="U1128" s="3" t="n">
        <v>80.16764499999999</v>
      </c>
      <c r="V1128" s="3" t="n">
        <v>84.47810800000001</v>
      </c>
      <c r="W1128" s="3" t="n">
        <v>86.400369</v>
      </c>
      <c r="X1128" s="3" t="n">
        <v>92.918448</v>
      </c>
      <c r="Y1128" s="3" t="n">
        <v>96.157647</v>
      </c>
      <c r="Z1128" s="3" t="n">
        <v>99.99999800000001</v>
      </c>
      <c r="AA1128" s="3" t="n">
        <v>106.847224</v>
      </c>
      <c r="AB1128" s="3" t="n">
        <v>117.778854</v>
      </c>
      <c r="AC1128" s="3" t="n">
        <v>127.359347</v>
      </c>
      <c r="AD1128" s="3" t="n">
        <v>131.114506</v>
      </c>
      <c r="AE1128" s="3" t="n">
        <v>137.484928</v>
      </c>
      <c r="AF1128" s="3" t="n">
        <v>144.162125</v>
      </c>
      <c r="AG1128" s="3" t="n">
        <v>149.96717</v>
      </c>
      <c r="AH1128" s="3" t="n">
        <v>155.313484</v>
      </c>
      <c r="AI1128" s="3" t="n">
        <v>160.890094</v>
      </c>
      <c r="AJ1128" s="3" t="n">
        <v>166.65762</v>
      </c>
      <c r="AK1128" s="3" t="n">
        <v>172.632598</v>
      </c>
      <c r="AL1128" s="3" t="n">
        <v>178.818338</v>
      </c>
      <c r="AM1128" s="3" t="n"/>
      <c r="AN1128" s="3" t="n"/>
      <c r="AO1128" s="3" t="n"/>
      <c r="AP1128" s="3" t="n"/>
      <c r="AQ1128" s="3" t="n"/>
      <c r="AR1128" s="3" t="n"/>
      <c r="AS1128" s="3" t="n"/>
      <c r="AT1128" s="3" t="n"/>
      <c r="AU1128" s="3" t="n"/>
    </row>
    <row r="1129">
      <c r="A1129" s="3" t="n">
        <v>2031</v>
      </c>
      <c r="B1129" s="3" t="inlineStr">
        <is>
          <t>GEO</t>
        </is>
      </c>
      <c r="C1129" s="3" t="inlineStr">
        <is>
          <t>IMF.RES:WEO</t>
        </is>
      </c>
      <c r="D1129" s="3" t="inlineStr">
        <is>
          <t>GEO.NGDP_R.A</t>
        </is>
      </c>
      <c r="E1129" s="3" t="inlineStr">
        <is>
          <t>Georgia</t>
        </is>
      </c>
      <c r="F1129" s="3" t="inlineStr">
        <is>
          <t>Gross domestic product (GDP), Constant prices, Domestic currency</t>
        </is>
      </c>
      <c r="G1129" s="3" t="n">
        <v>16.963305</v>
      </c>
      <c r="H1129" s="3" t="n">
        <v>17.772271</v>
      </c>
      <c r="I1129" s="3" t="n">
        <v>18.747426</v>
      </c>
      <c r="J1129" s="3" t="n">
        <v>20.85248</v>
      </c>
      <c r="K1129" s="3" t="n">
        <v>22.061022</v>
      </c>
      <c r="L1129" s="3" t="n">
        <v>24.176313</v>
      </c>
      <c r="M1129" s="3" t="n">
        <v>26.453794</v>
      </c>
      <c r="N1129" s="3" t="n">
        <v>29.78135</v>
      </c>
      <c r="O1129" s="3" t="n">
        <v>30.501711</v>
      </c>
      <c r="P1129" s="3" t="n">
        <v>29.388224</v>
      </c>
      <c r="Q1129" s="3" t="n">
        <v>31.428448</v>
      </c>
      <c r="R1129" s="3" t="n">
        <v>33.926746</v>
      </c>
      <c r="S1129" s="3" t="n">
        <v>36.1588</v>
      </c>
      <c r="T1129" s="3" t="n">
        <v>38.015032</v>
      </c>
      <c r="U1129" s="3" t="n">
        <v>39.570077</v>
      </c>
      <c r="V1129" s="3" t="n">
        <v>40.895994</v>
      </c>
      <c r="W1129" s="3" t="n">
        <v>42.306876</v>
      </c>
      <c r="X1129" s="3" t="n">
        <v>44.490376</v>
      </c>
      <c r="Y1129" s="3" t="n">
        <v>47.187467</v>
      </c>
      <c r="Z1129" s="3" t="n">
        <v>49.726285</v>
      </c>
      <c r="AA1129" s="3" t="n">
        <v>46.597877</v>
      </c>
      <c r="AB1129" s="3" t="n">
        <v>51.557761</v>
      </c>
      <c r="AC1129" s="3" t="n">
        <v>57.208254</v>
      </c>
      <c r="AD1129" s="3" t="n">
        <v>61.688645</v>
      </c>
      <c r="AE1129" s="3" t="n">
        <v>67.65998</v>
      </c>
      <c r="AF1129" s="3" t="n">
        <v>72.708506</v>
      </c>
      <c r="AG1129" s="3" t="n">
        <v>76.566757</v>
      </c>
      <c r="AH1129" s="3" t="n">
        <v>80.409781</v>
      </c>
      <c r="AI1129" s="3" t="n">
        <v>84.42446</v>
      </c>
      <c r="AJ1129" s="3" t="n">
        <v>88.638722</v>
      </c>
      <c r="AK1129" s="3" t="n">
        <v>93.07065799999999</v>
      </c>
      <c r="AL1129" s="3" t="n">
        <v>97.718435</v>
      </c>
      <c r="AM1129" s="3" t="n"/>
      <c r="AN1129" s="3" t="n"/>
      <c r="AO1129" s="3" t="n"/>
      <c r="AP1129" s="3" t="n"/>
      <c r="AQ1129" s="3" t="n"/>
      <c r="AR1129" s="3" t="n"/>
      <c r="AS1129" s="3" t="n"/>
      <c r="AT1129" s="3" t="n"/>
      <c r="AU1129" s="3" t="n"/>
    </row>
    <row r="1130">
      <c r="A1130" s="3" t="n">
        <v>2031</v>
      </c>
      <c r="B1130" s="3" t="inlineStr">
        <is>
          <t>GEO</t>
        </is>
      </c>
      <c r="C1130" s="3" t="inlineStr">
        <is>
          <t>IMF.RES:WEO</t>
        </is>
      </c>
      <c r="D1130" s="3" t="inlineStr">
        <is>
          <t>GEO.NGDP_RPCH.A</t>
        </is>
      </c>
      <c r="E1130" s="3" t="inlineStr">
        <is>
          <t>Georgia</t>
        </is>
      </c>
      <c r="F1130" s="3" t="inlineStr">
        <is>
          <t>Gross domestic product (GDP), Constant prices, Percent change</t>
        </is>
      </c>
      <c r="G1130" s="3" t="n">
        <v>1.864612</v>
      </c>
      <c r="H1130" s="3" t="n">
        <v>4.768922</v>
      </c>
      <c r="I1130" s="3" t="n">
        <v>5.486941</v>
      </c>
      <c r="J1130" s="3" t="n">
        <v>11.228499</v>
      </c>
      <c r="K1130" s="3" t="n">
        <v>5.795675</v>
      </c>
      <c r="L1130" s="3" t="n">
        <v>9.588364</v>
      </c>
      <c r="M1130" s="3" t="n">
        <v>9.420299</v>
      </c>
      <c r="N1130" s="3" t="n">
        <v>12.578748</v>
      </c>
      <c r="O1130" s="3" t="n">
        <v>2.418833</v>
      </c>
      <c r="P1130" s="3" t="n">
        <v>-3.650572</v>
      </c>
      <c r="Q1130" s="3" t="n">
        <v>6.942318</v>
      </c>
      <c r="R1130" s="3" t="n">
        <v>7.949161</v>
      </c>
      <c r="S1130" s="3" t="n">
        <v>6.579039</v>
      </c>
      <c r="T1130" s="3" t="n">
        <v>5.133555</v>
      </c>
      <c r="U1130" s="3" t="n">
        <v>4.090606</v>
      </c>
      <c r="V1130" s="3" t="n">
        <v>3.350807</v>
      </c>
      <c r="W1130" s="3" t="n">
        <v>3.449927</v>
      </c>
      <c r="X1130" s="3" t="n">
        <v>5.1611</v>
      </c>
      <c r="Y1130" s="3" t="n">
        <v>6.06219</v>
      </c>
      <c r="Z1130" s="3" t="n">
        <v>5.38028</v>
      </c>
      <c r="AA1130" s="3" t="n">
        <v>-6.291256</v>
      </c>
      <c r="AB1130" s="3" t="n">
        <v>10.644013</v>
      </c>
      <c r="AC1130" s="3" t="n">
        <v>10.959539</v>
      </c>
      <c r="AD1130" s="3" t="n">
        <v>7.831721</v>
      </c>
      <c r="AE1130" s="3" t="n">
        <v>9.679796</v>
      </c>
      <c r="AF1130" s="3" t="n">
        <v>7.461613</v>
      </c>
      <c r="AG1130" s="3" t="n">
        <v>5.306465</v>
      </c>
      <c r="AH1130" s="3" t="n">
        <v>5.019181</v>
      </c>
      <c r="AI1130" s="3" t="n">
        <v>4.992774</v>
      </c>
      <c r="AJ1130" s="3" t="n">
        <v>4.991754</v>
      </c>
      <c r="AK1130" s="3" t="n">
        <v>5</v>
      </c>
      <c r="AL1130" s="3" t="n">
        <v>4.993815</v>
      </c>
      <c r="AM1130" s="3" t="n"/>
      <c r="AN1130" s="3" t="n"/>
      <c r="AO1130" s="3" t="n"/>
      <c r="AP1130" s="3" t="n"/>
      <c r="AQ1130" s="3" t="n"/>
      <c r="AR1130" s="3" t="n"/>
      <c r="AS1130" s="3" t="n"/>
      <c r="AT1130" s="3" t="n"/>
      <c r="AU1130" s="3" t="n"/>
    </row>
    <row r="1131">
      <c r="A1131" s="3" t="n">
        <v>2031</v>
      </c>
      <c r="B1131" s="3" t="inlineStr">
        <is>
          <t>GEO</t>
        </is>
      </c>
      <c r="C1131" s="3" t="inlineStr">
        <is>
          <t>IMF.RES:WEO</t>
        </is>
      </c>
      <c r="D1131" s="3" t="inlineStr">
        <is>
          <t>GEO.NGDPD.A</t>
        </is>
      </c>
      <c r="E1131" s="3" t="inlineStr">
        <is>
          <t>Georgia</t>
        </is>
      </c>
      <c r="F1131" s="3" t="inlineStr">
        <is>
          <t>Gross domestic product (GDP), Current prices, US dollar</t>
        </is>
      </c>
      <c r="G1131" s="3" t="n">
        <v>3.144028</v>
      </c>
      <c r="H1131" s="3" t="n">
        <v>3.310772</v>
      </c>
      <c r="I1131" s="3" t="n">
        <v>3.493138</v>
      </c>
      <c r="J1131" s="3" t="n">
        <v>4.102749</v>
      </c>
      <c r="K1131" s="3" t="n">
        <v>5.268982</v>
      </c>
      <c r="L1131" s="3" t="n">
        <v>6.590457</v>
      </c>
      <c r="M1131" s="3" t="n">
        <v>7.979175</v>
      </c>
      <c r="N1131" s="3" t="n">
        <v>10.457904</v>
      </c>
      <c r="O1131" s="3" t="n">
        <v>13.158466</v>
      </c>
      <c r="P1131" s="3" t="n">
        <v>11.068529</v>
      </c>
      <c r="Q1131" s="3" t="n">
        <v>12.42503</v>
      </c>
      <c r="R1131" s="3" t="n">
        <v>15.475467</v>
      </c>
      <c r="S1131" s="3" t="n">
        <v>16.894386</v>
      </c>
      <c r="T1131" s="3" t="n">
        <v>17.515916</v>
      </c>
      <c r="U1131" s="3" t="n">
        <v>17.966244</v>
      </c>
      <c r="V1131" s="3" t="n">
        <v>15.223367</v>
      </c>
      <c r="W1131" s="3" t="n">
        <v>15.444511</v>
      </c>
      <c r="X1131" s="3" t="n">
        <v>16.472214</v>
      </c>
      <c r="Y1131" s="3" t="n">
        <v>17.905041</v>
      </c>
      <c r="Z1131" s="3" t="n">
        <v>17.644905</v>
      </c>
      <c r="AA1131" s="3" t="n">
        <v>16.013467</v>
      </c>
      <c r="AB1131" s="3" t="n">
        <v>18.848673</v>
      </c>
      <c r="AC1131" s="3" t="n">
        <v>24.984875</v>
      </c>
      <c r="AD1131" s="3" t="n">
        <v>30.778283</v>
      </c>
      <c r="AE1131" s="3" t="n">
        <v>34.190986</v>
      </c>
      <c r="AF1131" s="3" t="n">
        <v>38.216435</v>
      </c>
      <c r="AG1131" s="3" t="n">
        <v>42.715885</v>
      </c>
      <c r="AH1131" s="3" t="n">
        <v>46.699675</v>
      </c>
      <c r="AI1131" s="3" t="n">
        <v>51.138226</v>
      </c>
      <c r="AJ1131" s="3" t="n">
        <v>56.063272</v>
      </c>
      <c r="AK1131" s="3" t="n">
        <v>61.501359</v>
      </c>
      <c r="AL1131" s="3" t="n">
        <v>67.448939</v>
      </c>
      <c r="AM1131" s="3" t="n"/>
      <c r="AN1131" s="3" t="n"/>
      <c r="AO1131" s="3" t="n"/>
      <c r="AP1131" s="3" t="n"/>
      <c r="AQ1131" s="3" t="n"/>
      <c r="AR1131" s="3" t="n"/>
      <c r="AS1131" s="3" t="n"/>
      <c r="AT1131" s="3" t="n"/>
      <c r="AU1131" s="3" t="n"/>
    </row>
    <row r="1132">
      <c r="A1132" s="3" t="n">
        <v>2031</v>
      </c>
      <c r="B1132" s="3" t="inlineStr">
        <is>
          <t>GEO</t>
        </is>
      </c>
      <c r="C1132" s="3" t="inlineStr">
        <is>
          <t>IMF.RES:WEO</t>
        </is>
      </c>
      <c r="D1132" s="3" t="inlineStr">
        <is>
          <t>GEO.NGDPPC.A</t>
        </is>
      </c>
      <c r="E1132" s="3" t="inlineStr">
        <is>
          <t>Georgia</t>
        </is>
      </c>
      <c r="F1132" s="3" t="inlineStr">
        <is>
          <t>Gross domestic product (GDP), Current prices, Per capita, Domestic currency</t>
        </is>
      </c>
      <c r="G1132" s="3" t="n">
        <v>1509.084726</v>
      </c>
      <c r="H1132" s="3" t="n">
        <v>1699.393189</v>
      </c>
      <c r="I1132" s="3" t="n">
        <v>1920.527147</v>
      </c>
      <c r="J1132" s="3" t="n">
        <v>2220.106914</v>
      </c>
      <c r="K1132" s="3" t="n">
        <v>2564.999873</v>
      </c>
      <c r="L1132" s="3" t="n">
        <v>3050.140414</v>
      </c>
      <c r="M1132" s="3" t="n">
        <v>3646.347737</v>
      </c>
      <c r="N1132" s="3" t="n">
        <v>4511.271206</v>
      </c>
      <c r="O1132" s="3" t="n">
        <v>5096.813598</v>
      </c>
      <c r="P1132" s="3" t="n">
        <v>4829.172108</v>
      </c>
      <c r="Q1132" s="3" t="n">
        <v>5828.899153</v>
      </c>
      <c r="R1132" s="3" t="n">
        <v>6916.30671</v>
      </c>
      <c r="S1132" s="3" t="n">
        <v>7460.44848</v>
      </c>
      <c r="T1132" s="3" t="n">
        <v>7836.092674</v>
      </c>
      <c r="U1132" s="3" t="n">
        <v>8534.638811999999</v>
      </c>
      <c r="V1132" s="3" t="n">
        <v>9282.399312</v>
      </c>
      <c r="W1132" s="3" t="n">
        <v>9803.491123</v>
      </c>
      <c r="X1132" s="3" t="n">
        <v>11093.754562</v>
      </c>
      <c r="Y1132" s="3" t="n">
        <v>12166.011905</v>
      </c>
      <c r="Z1132" s="3" t="n">
        <v>13354.715724</v>
      </c>
      <c r="AA1132" s="3" t="n">
        <v>13395.17824</v>
      </c>
      <c r="AB1132" s="3" t="n">
        <v>16286.043019</v>
      </c>
      <c r="AC1132" s="3" t="n">
        <v>19752.767717</v>
      </c>
      <c r="AD1132" s="3" t="n">
        <v>21647.243871</v>
      </c>
      <c r="AE1132" s="3" t="n">
        <v>25177.901532</v>
      </c>
      <c r="AF1132" s="3" t="n">
        <v>28376.748183</v>
      </c>
      <c r="AG1132" s="3" t="n">
        <v>31112.209889</v>
      </c>
      <c r="AH1132" s="3" t="n">
        <v>33867.304538</v>
      </c>
      <c r="AI1132" s="3" t="n">
        <v>36866.199604</v>
      </c>
      <c r="AJ1132" s="3" t="n">
        <v>40128.009057</v>
      </c>
      <c r="AK1132" s="3" t="n">
        <v>43682.335724</v>
      </c>
      <c r="AL1132" s="3" t="n">
        <v>47547.424652</v>
      </c>
      <c r="AM1132" s="3" t="n"/>
      <c r="AN1132" s="3" t="n"/>
      <c r="AO1132" s="3" t="n"/>
      <c r="AP1132" s="3" t="n"/>
      <c r="AQ1132" s="3" t="n"/>
      <c r="AR1132" s="3" t="n"/>
      <c r="AS1132" s="3" t="n"/>
      <c r="AT1132" s="3" t="n"/>
      <c r="AU1132" s="3" t="n"/>
    </row>
    <row r="1133">
      <c r="A1133" s="3" t="n">
        <v>2031</v>
      </c>
      <c r="B1133" s="3" t="inlineStr">
        <is>
          <t>GEO</t>
        </is>
      </c>
      <c r="C1133" s="3" t="inlineStr">
        <is>
          <t>IMF.RES:WEO</t>
        </is>
      </c>
      <c r="D1133" s="3" t="inlineStr">
        <is>
          <t>GEO.NGDPRPC.A</t>
        </is>
      </c>
      <c r="E1133" s="3" t="inlineStr">
        <is>
          <t>Georgia</t>
        </is>
      </c>
      <c r="F1133" s="3" t="inlineStr">
        <is>
          <t>Gross domestic product (GDP), Constant prices, Per capita, Domestic currency</t>
        </is>
      </c>
      <c r="G1133" s="3" t="n">
        <v>4120.507367</v>
      </c>
      <c r="H1133" s="3" t="n">
        <v>4401.800989</v>
      </c>
      <c r="I1133" s="3" t="n">
        <v>4697.072511</v>
      </c>
      <c r="J1133" s="3" t="n">
        <v>5258.076555</v>
      </c>
      <c r="K1133" s="3" t="n">
        <v>5602.514666</v>
      </c>
      <c r="L1133" s="3" t="n">
        <v>6172.15037</v>
      </c>
      <c r="M1133" s="3" t="n">
        <v>6803.959362</v>
      </c>
      <c r="N1133" s="3" t="n">
        <v>7690.074109</v>
      </c>
      <c r="O1133" s="3" t="n">
        <v>7927.464133</v>
      </c>
      <c r="P1133" s="3" t="n">
        <v>7675.169496</v>
      </c>
      <c r="Q1133" s="3" t="n">
        <v>8271.079530999999</v>
      </c>
      <c r="R1133" s="3" t="n">
        <v>8990.551728</v>
      </c>
      <c r="S1133" s="3" t="n">
        <v>9669.938224</v>
      </c>
      <c r="T1133" s="3" t="n">
        <v>10223.491824</v>
      </c>
      <c r="U1133" s="3" t="n">
        <v>10645.989131</v>
      </c>
      <c r="V1133" s="3" t="n">
        <v>10987.934657</v>
      </c>
      <c r="W1133" s="3" t="n">
        <v>11346.584777</v>
      </c>
      <c r="X1133" s="3" t="n">
        <v>11939.23787</v>
      </c>
      <c r="Y1133" s="3" t="n">
        <v>12652.152242</v>
      </c>
      <c r="Z1133" s="3" t="n">
        <v>13354.715993</v>
      </c>
      <c r="AA1133" s="3" t="n">
        <v>12536.75832</v>
      </c>
      <c r="AB1133" s="3" t="n">
        <v>13827.646033</v>
      </c>
      <c r="AC1133" s="3" t="n">
        <v>15509.476224</v>
      </c>
      <c r="AD1133" s="3" t="n">
        <v>16510.182261</v>
      </c>
      <c r="AE1133" s="3" t="n">
        <v>18313.208466</v>
      </c>
      <c r="AF1133" s="3" t="n">
        <v>19683.91364</v>
      </c>
      <c r="AG1133" s="3" t="n">
        <v>20746.013939</v>
      </c>
      <c r="AH1133" s="3" t="n">
        <v>21805.772272</v>
      </c>
      <c r="AI1133" s="3" t="n">
        <v>22913.902666</v>
      </c>
      <c r="AJ1133" s="3" t="n">
        <v>24078.112392</v>
      </c>
      <c r="AK1133" s="3" t="n">
        <v>25303.642662</v>
      </c>
      <c r="AL1133" s="3" t="n">
        <v>26589.792233</v>
      </c>
      <c r="AM1133" s="3" t="n"/>
      <c r="AN1133" s="3" t="n"/>
      <c r="AO1133" s="3" t="n"/>
      <c r="AP1133" s="3" t="n"/>
      <c r="AQ1133" s="3" t="n"/>
      <c r="AR1133" s="3" t="n"/>
      <c r="AS1133" s="3" t="n"/>
      <c r="AT1133" s="3" t="n"/>
      <c r="AU1133" s="3" t="n"/>
    </row>
    <row r="1134">
      <c r="A1134" s="3" t="n">
        <v>2031</v>
      </c>
      <c r="B1134" s="3" t="inlineStr">
        <is>
          <t>GEO</t>
        </is>
      </c>
      <c r="C1134" s="3" t="inlineStr">
        <is>
          <t>IMF.RES:WEO</t>
        </is>
      </c>
      <c r="D1134" s="3" t="inlineStr">
        <is>
          <t>GEO.PCPI.A</t>
        </is>
      </c>
      <c r="E1134" s="3" t="inlineStr">
        <is>
          <t>Georgia</t>
        </is>
      </c>
      <c r="F1134" s="3" t="inlineStr">
        <is>
          <t>All Items, Consumer price index (CPI), Period average</t>
        </is>
      </c>
      <c r="G1134" s="3" t="n">
        <v>52.818367</v>
      </c>
      <c r="H1134" s="3" t="n">
        <v>55.294325</v>
      </c>
      <c r="I1134" s="3" t="n">
        <v>58.379408</v>
      </c>
      <c r="J1134" s="3" t="n">
        <v>61.172992</v>
      </c>
      <c r="K1134" s="3" t="n">
        <v>64.633183</v>
      </c>
      <c r="L1134" s="3" t="n">
        <v>69.963517</v>
      </c>
      <c r="M1134" s="3" t="n">
        <v>76.37285</v>
      </c>
      <c r="N1134" s="3" t="n">
        <v>83.433442</v>
      </c>
      <c r="O1134" s="3" t="n">
        <v>91.776358</v>
      </c>
      <c r="P1134" s="3" t="n">
        <v>93.361808</v>
      </c>
      <c r="Q1134" s="3" t="n">
        <v>100</v>
      </c>
      <c r="R1134" s="3" t="n">
        <v>108.542933</v>
      </c>
      <c r="S1134" s="3" t="n">
        <v>107.518658</v>
      </c>
      <c r="T1134" s="3" t="n">
        <v>106.9681</v>
      </c>
      <c r="U1134" s="3" t="n">
        <v>110.25075</v>
      </c>
      <c r="V1134" s="3" t="n">
        <v>114.664725</v>
      </c>
      <c r="W1134" s="3" t="n">
        <v>117.112733</v>
      </c>
      <c r="X1134" s="3" t="n">
        <v>124.180858</v>
      </c>
      <c r="Y1134" s="3" t="n">
        <v>127.428492</v>
      </c>
      <c r="Z1134" s="3" t="n">
        <v>133.612467</v>
      </c>
      <c r="AA1134" s="3" t="n">
        <v>140.563608</v>
      </c>
      <c r="AB1134" s="3" t="n">
        <v>154.011208</v>
      </c>
      <c r="AC1134" s="3" t="n">
        <v>172.335717</v>
      </c>
      <c r="AD1134" s="3" t="n">
        <v>176.623017</v>
      </c>
      <c r="AE1134" s="3" t="n">
        <v>178.583033</v>
      </c>
      <c r="AF1134" s="3" t="n">
        <v>185.492792</v>
      </c>
      <c r="AG1134" s="3" t="n">
        <v>193.614218</v>
      </c>
      <c r="AH1134" s="3" t="n">
        <v>199.514853</v>
      </c>
      <c r="AI1134" s="3" t="n">
        <v>205.500299</v>
      </c>
      <c r="AJ1134" s="3" t="n">
        <v>211.665308</v>
      </c>
      <c r="AK1134" s="3" t="n">
        <v>218.015267</v>
      </c>
      <c r="AL1134" s="3" t="n">
        <v>224.555725</v>
      </c>
      <c r="AM1134" s="3" t="n"/>
      <c r="AN1134" s="3" t="n"/>
      <c r="AO1134" s="3" t="n"/>
      <c r="AP1134" s="3" t="n"/>
      <c r="AQ1134" s="3" t="n"/>
      <c r="AR1134" s="3" t="n"/>
      <c r="AS1134" s="3" t="n"/>
      <c r="AT1134" s="3" t="n"/>
      <c r="AU1134" s="3" t="n"/>
    </row>
    <row r="1135">
      <c r="A1135" s="3" t="n">
        <v>2031</v>
      </c>
      <c r="B1135" s="3" t="inlineStr">
        <is>
          <t>GEO</t>
        </is>
      </c>
      <c r="C1135" s="3" t="inlineStr">
        <is>
          <t>IMF.RES:WEO</t>
        </is>
      </c>
      <c r="D1135" s="3" t="inlineStr">
        <is>
          <t>GEO.PCPIPCH.A</t>
        </is>
      </c>
      <c r="E1135" s="3" t="inlineStr">
        <is>
          <t>Georgia</t>
        </is>
      </c>
      <c r="F1135" s="3" t="inlineStr">
        <is>
          <t>All Items, Consumer price index (CPI), Period average, percent change</t>
        </is>
      </c>
      <c r="G1135" s="3" t="n">
        <v>4.024356</v>
      </c>
      <c r="H1135" s="3" t="n">
        <v>4.687684</v>
      </c>
      <c r="I1135" s="3" t="n">
        <v>5.579385</v>
      </c>
      <c r="J1135" s="3" t="n">
        <v>4.78522</v>
      </c>
      <c r="K1135" s="3" t="n">
        <v>5.656404</v>
      </c>
      <c r="L1135" s="3" t="n">
        <v>8.247054</v>
      </c>
      <c r="M1135" s="3" t="n">
        <v>9.160964999999999</v>
      </c>
      <c r="N1135" s="3" t="n">
        <v>9.244897</v>
      </c>
      <c r="O1135" s="3" t="n">
        <v>9.999487999999999</v>
      </c>
      <c r="P1135" s="3" t="n">
        <v>1.727515</v>
      </c>
      <c r="Q1135" s="3" t="n">
        <v>7.110179</v>
      </c>
      <c r="R1135" s="3" t="n">
        <v>8.542933</v>
      </c>
      <c r="S1135" s="3" t="n">
        <v>-0.943659</v>
      </c>
      <c r="T1135" s="3" t="n">
        <v>-0.512058</v>
      </c>
      <c r="U1135" s="3" t="n">
        <v>3.068812</v>
      </c>
      <c r="V1135" s="3" t="n">
        <v>4.003578</v>
      </c>
      <c r="W1135" s="3" t="n">
        <v>2.134927</v>
      </c>
      <c r="X1135" s="3" t="n">
        <v>6.035317</v>
      </c>
      <c r="Y1135" s="3" t="n">
        <v>2.615245</v>
      </c>
      <c r="Z1135" s="3" t="n">
        <v>4.852898</v>
      </c>
      <c r="AA1135" s="3" t="n">
        <v>5.202465</v>
      </c>
      <c r="AB1135" s="3" t="n">
        <v>9.566914000000001</v>
      </c>
      <c r="AC1135" s="3" t="n">
        <v>11.898165</v>
      </c>
      <c r="AD1135" s="3" t="n">
        <v>2.487761</v>
      </c>
      <c r="AE1135" s="3" t="n">
        <v>1.109718</v>
      </c>
      <c r="AF1135" s="3" t="n">
        <v>3.869213</v>
      </c>
      <c r="AG1135" s="3" t="n">
        <v>4.378297</v>
      </c>
      <c r="AH1135" s="3" t="n">
        <v>3.047625</v>
      </c>
      <c r="AI1135" s="3" t="n">
        <v>3</v>
      </c>
      <c r="AJ1135" s="3" t="n">
        <v>3</v>
      </c>
      <c r="AK1135" s="3" t="n">
        <v>3</v>
      </c>
      <c r="AL1135" s="3" t="n">
        <v>3</v>
      </c>
      <c r="AM1135" s="3" t="n"/>
      <c r="AN1135" s="3" t="n"/>
      <c r="AO1135" s="3" t="n"/>
      <c r="AP1135" s="3" t="n"/>
      <c r="AQ1135" s="3" t="n"/>
      <c r="AR1135" s="3" t="n"/>
      <c r="AS1135" s="3" t="n"/>
      <c r="AT1135" s="3" t="n"/>
      <c r="AU1135" s="3" t="n"/>
    </row>
    <row r="1136">
      <c r="A1136" s="3" t="n">
        <v>2031</v>
      </c>
      <c r="B1136" s="3" t="inlineStr">
        <is>
          <t>GEO</t>
        </is>
      </c>
      <c r="C1136" s="3" t="inlineStr">
        <is>
          <t>IMF.RES:WEO</t>
        </is>
      </c>
      <c r="D1136" s="3" t="inlineStr">
        <is>
          <t>GEO.PPPPC.A</t>
        </is>
      </c>
      <c r="E1136" s="3" t="inlineStr">
        <is>
          <t>Georgia</t>
        </is>
      </c>
      <c r="F1136" s="3" t="inlineStr">
        <is>
          <t>Gross domestic product (GDP), Per capita, purchasing power parity (PPP) international dollar, ICP benchmarks 2017-2021</t>
        </is>
      </c>
      <c r="G1136" s="3" t="n">
        <v>3444.660966</v>
      </c>
      <c r="H1136" s="3" t="n">
        <v>3762.672259</v>
      </c>
      <c r="I1136" s="3" t="n">
        <v>4077.466856</v>
      </c>
      <c r="J1136" s="3" t="n">
        <v>4654.579511</v>
      </c>
      <c r="K1136" s="3" t="n">
        <v>5092.839302</v>
      </c>
      <c r="L1136" s="3" t="n">
        <v>5786.593814</v>
      </c>
      <c r="M1136" s="3" t="n">
        <v>6575.654363</v>
      </c>
      <c r="N1136" s="3" t="n">
        <v>7633.389693</v>
      </c>
      <c r="O1136" s="3" t="n">
        <v>8020.619767</v>
      </c>
      <c r="P1136" s="3" t="n">
        <v>7813.252649</v>
      </c>
      <c r="Q1136" s="3" t="n">
        <v>8522.216763</v>
      </c>
      <c r="R1136" s="3" t="n">
        <v>9454.664231999999</v>
      </c>
      <c r="S1136" s="3" t="n">
        <v>10358.464341</v>
      </c>
      <c r="T1136" s="3" t="n">
        <v>11137.826395</v>
      </c>
      <c r="U1136" s="3" t="n">
        <v>11800.115604</v>
      </c>
      <c r="V1136" s="3" t="n">
        <v>12292.160098</v>
      </c>
      <c r="W1136" s="3" t="n">
        <v>12813.996098</v>
      </c>
      <c r="X1136" s="3" t="n">
        <v>13724.765722</v>
      </c>
      <c r="Y1136" s="3" t="n">
        <v>15009.73551</v>
      </c>
      <c r="Z1136" s="3" t="n">
        <v>16755.190672</v>
      </c>
      <c r="AA1136" s="3" t="n">
        <v>16817.37785</v>
      </c>
      <c r="AB1136" s="3" t="n">
        <v>18814.285011</v>
      </c>
      <c r="AC1136" s="3" t="n">
        <v>22603.53704</v>
      </c>
      <c r="AD1136" s="3" t="n">
        <v>24952.268556</v>
      </c>
      <c r="AE1136" s="3" t="n">
        <v>28364.328642</v>
      </c>
      <c r="AF1136" s="3" t="n">
        <v>31352.193674</v>
      </c>
      <c r="AG1136" s="3" t="n">
        <v>33990.546581</v>
      </c>
      <c r="AH1136" s="3" t="n">
        <v>36511.395838</v>
      </c>
      <c r="AI1136" s="3" t="n">
        <v>38996.589423</v>
      </c>
      <c r="AJ1136" s="3" t="n">
        <v>41706.560458</v>
      </c>
      <c r="AK1136" s="3" t="n">
        <v>44634.721295</v>
      </c>
      <c r="AL1136" s="3" t="n">
        <v>47750.191871</v>
      </c>
      <c r="AM1136" s="3" t="n"/>
      <c r="AN1136" s="3" t="n"/>
      <c r="AO1136" s="3" t="n"/>
      <c r="AP1136" s="3" t="n"/>
      <c r="AQ1136" s="3" t="n"/>
      <c r="AR1136" s="3" t="n"/>
      <c r="AS1136" s="3" t="n"/>
      <c r="AT1136" s="3" t="n"/>
      <c r="AU1136" s="3" t="n"/>
    </row>
    <row r="1137">
      <c r="A1137" s="3" t="n">
        <v>2025</v>
      </c>
      <c r="B1137" s="3" t="inlineStr">
        <is>
          <t>GEO</t>
        </is>
      </c>
      <c r="C1137" s="3" t="inlineStr">
        <is>
          <t>IMF.STA:ER</t>
        </is>
      </c>
      <c r="D1137" s="3" t="inlineStr">
        <is>
          <t>GEO.XDC_USD.PA_RT.A</t>
        </is>
      </c>
      <c r="E1137" s="3" t="inlineStr">
        <is>
          <t>Georgia</t>
        </is>
      </c>
      <c r="F1137" s="3" t="inlineStr">
        <is>
          <t>Domestic currency per US Dollar</t>
        </is>
      </c>
      <c r="G1137" s="3" t="n">
        <v>1.97616666666666</v>
      </c>
      <c r="H1137" s="3" t="n">
        <v>2.07301666666666</v>
      </c>
      <c r="I1137" s="3" t="n">
        <v>2.195675</v>
      </c>
      <c r="J1137" s="3" t="n">
        <v>2.14565</v>
      </c>
      <c r="K1137" s="3" t="n">
        <v>1.91665</v>
      </c>
      <c r="L1137" s="3" t="n">
        <v>1.812675</v>
      </c>
      <c r="M1137" s="3" t="n">
        <v>1.78043333333333</v>
      </c>
      <c r="N1137" s="3" t="n">
        <v>1.67049166666666</v>
      </c>
      <c r="O1137" s="3" t="n">
        <v>1.49079166666666</v>
      </c>
      <c r="P1137" s="3" t="n">
        <v>1.67048709677419</v>
      </c>
      <c r="Q1137" s="3" t="n">
        <v>1.78234166666666</v>
      </c>
      <c r="R1137" s="3" t="n">
        <v>1.68649543010752</v>
      </c>
      <c r="S1137" s="3" t="n">
        <v>1.65125833333333</v>
      </c>
      <c r="T1137" s="3" t="n">
        <v>1.66335</v>
      </c>
      <c r="U1137" s="3" t="n">
        <v>1.76566666666666</v>
      </c>
      <c r="V1137" s="3" t="n">
        <v>2.26934166666666</v>
      </c>
      <c r="W1137" s="3" t="n">
        <v>2.366725</v>
      </c>
      <c r="X1137" s="3" t="n">
        <v>2.50954166666666</v>
      </c>
      <c r="Y1137" s="3" t="n">
        <v>2.53411083333333</v>
      </c>
      <c r="Z1137" s="3" t="n">
        <v>2.818145</v>
      </c>
      <c r="AA1137" s="3" t="n">
        <v>3.10901666666666</v>
      </c>
      <c r="AB1137" s="3" t="n">
        <v>3.22155833333333</v>
      </c>
      <c r="AC1137" s="3" t="n">
        <v>2.9162</v>
      </c>
      <c r="AD1137" s="3" t="n">
        <v>2.62795833333333</v>
      </c>
      <c r="AE1137" s="3" t="n">
        <v>2.72061666666666</v>
      </c>
      <c r="AF1137" s="3" t="n">
        <v>2.74264166666666</v>
      </c>
      <c r="AG1137" s="3" t="n"/>
      <c r="AH1137" s="3" t="n"/>
      <c r="AI1137" s="3" t="n"/>
      <c r="AJ1137" s="3" t="n"/>
      <c r="AK1137" s="3" t="n"/>
      <c r="AL1137" s="3" t="n"/>
      <c r="AM1137" s="3" t="n"/>
      <c r="AN1137" s="3" t="n"/>
      <c r="AO1137" s="3" t="n"/>
      <c r="AP1137" s="3" t="n"/>
      <c r="AQ1137" s="3" t="n"/>
      <c r="AR1137" s="3" t="n"/>
      <c r="AS1137" s="3" t="n"/>
      <c r="AT1137" s="3" t="n"/>
      <c r="AU1137" s="3" t="n"/>
    </row>
    <row r="1138">
      <c r="A1138" s="3" t="n">
        <v>2025</v>
      </c>
      <c r="B1138" s="3" t="inlineStr">
        <is>
          <t>GGY</t>
        </is>
      </c>
      <c r="C1138" s="3" t="inlineStr">
        <is>
          <t>IMF.STA:ER</t>
        </is>
      </c>
      <c r="D1138" s="3" t="inlineStr">
        <is>
          <t>GGY.XDC_USD.PA_RT.A</t>
        </is>
      </c>
      <c r="E1138" s="3" t="inlineStr">
        <is>
          <t>Guernsey</t>
        </is>
      </c>
      <c r="F1138" s="3" t="inlineStr">
        <is>
          <t>Domestic currency per US Dollar</t>
        </is>
      </c>
      <c r="G1138" s="3" t="n">
        <v>0.660930833333333</v>
      </c>
      <c r="H1138" s="3" t="n">
        <v>0.694655</v>
      </c>
      <c r="I1138" s="3" t="n">
        <v>0.6672233333333329</v>
      </c>
      <c r="J1138" s="3" t="n">
        <v>0.6124725</v>
      </c>
      <c r="K1138" s="3" t="n">
        <v>0.54618</v>
      </c>
      <c r="L1138" s="3" t="n">
        <v>0.549998333333333</v>
      </c>
      <c r="M1138" s="3" t="n">
        <v>0.543486666666667</v>
      </c>
      <c r="N1138" s="3" t="n">
        <v>0.499771666666667</v>
      </c>
      <c r="O1138" s="3" t="n">
        <v>0.54396625</v>
      </c>
      <c r="P1138" s="3" t="n">
        <v>0.641919263495996</v>
      </c>
      <c r="Q1138" s="3" t="n">
        <v>0.647179345560165</v>
      </c>
      <c r="R1138" s="3" t="n">
        <v>0.6241408357404949</v>
      </c>
      <c r="S1138" s="3" t="n">
        <v>0.633046988857327</v>
      </c>
      <c r="T1138" s="3" t="n">
        <v>0.6396605776134771</v>
      </c>
      <c r="U1138" s="3" t="n">
        <v>0.607729626878255</v>
      </c>
      <c r="V1138" s="3" t="n">
        <v>0.654545478931426</v>
      </c>
      <c r="W1138" s="3" t="n">
        <v>0.740634463697084</v>
      </c>
      <c r="X1138" s="3" t="n">
        <v>0.776976682344123</v>
      </c>
      <c r="Y1138" s="3" t="n">
        <v>0.749531540259847</v>
      </c>
      <c r="Z1138" s="3" t="n">
        <v>0.783445110011929</v>
      </c>
      <c r="AA1138" s="3" t="n">
        <v>0.779999576697153</v>
      </c>
      <c r="AB1138" s="3" t="n">
        <v>0.7270649446883219</v>
      </c>
      <c r="AC1138" s="3" t="n">
        <v>0.811301715827773</v>
      </c>
      <c r="AD1138" s="3" t="n">
        <v>0.804538906734353</v>
      </c>
      <c r="AE1138" s="3" t="n">
        <v>0.782414580986261</v>
      </c>
      <c r="AF1138" s="3" t="n">
        <v>0.759473957338607</v>
      </c>
      <c r="AG1138" s="3" t="n"/>
      <c r="AH1138" s="3" t="n"/>
      <c r="AI1138" s="3" t="n"/>
      <c r="AJ1138" s="3" t="n"/>
      <c r="AK1138" s="3" t="n"/>
      <c r="AL1138" s="3" t="n"/>
      <c r="AM1138" s="3" t="n"/>
      <c r="AN1138" s="3" t="n"/>
      <c r="AO1138" s="3" t="n"/>
      <c r="AP1138" s="3" t="n"/>
      <c r="AQ1138" s="3" t="n"/>
      <c r="AR1138" s="3" t="n"/>
      <c r="AS1138" s="3" t="n"/>
      <c r="AT1138" s="3" t="n"/>
      <c r="AU1138" s="3" t="n"/>
    </row>
    <row r="1139">
      <c r="A1139" s="3" t="n">
        <v>2031</v>
      </c>
      <c r="B1139" s="3" t="inlineStr">
        <is>
          <t>GHA</t>
        </is>
      </c>
      <c r="C1139" s="3" t="inlineStr">
        <is>
          <t>IMF.RES:WEO</t>
        </is>
      </c>
      <c r="D1139" s="3" t="inlineStr">
        <is>
          <t>GHA.BCA.A</t>
        </is>
      </c>
      <c r="E1139" s="3" t="inlineStr">
        <is>
          <t>Ghana</t>
        </is>
      </c>
      <c r="F1139" s="3" t="inlineStr">
        <is>
          <t>Current account balance (credit less debit), US dollar</t>
        </is>
      </c>
      <c r="G1139" s="3" t="n">
        <v>-0.386484</v>
      </c>
      <c r="H1139" s="3" t="n">
        <v>-0.42747</v>
      </c>
      <c r="I1139" s="3" t="n">
        <v>-0.105209</v>
      </c>
      <c r="J1139" s="3" t="n">
        <v>0.10165</v>
      </c>
      <c r="K1139" s="3" t="n">
        <v>-0.590177</v>
      </c>
      <c r="L1139" s="3" t="n">
        <v>-1.104596</v>
      </c>
      <c r="M1139" s="3" t="n">
        <v>-1.040291</v>
      </c>
      <c r="N1139" s="3" t="n">
        <v>-2.156168</v>
      </c>
      <c r="O1139" s="3" t="n">
        <v>-3.405539</v>
      </c>
      <c r="P1139" s="3" t="n">
        <v>-1.39843</v>
      </c>
      <c r="Q1139" s="3" t="n">
        <v>-2.769665</v>
      </c>
      <c r="R1139" s="3" t="n">
        <v>-3.541289</v>
      </c>
      <c r="S1139" s="3" t="n">
        <v>-4.910619</v>
      </c>
      <c r="T1139" s="3" t="n">
        <v>-5.703919</v>
      </c>
      <c r="U1139" s="3" t="n">
        <v>-3.694367</v>
      </c>
      <c r="V1139" s="3" t="n">
        <v>-2.823574</v>
      </c>
      <c r="W1139" s="3" t="n">
        <v>-2.840623</v>
      </c>
      <c r="X1139" s="3" t="n">
        <v>-2.002455</v>
      </c>
      <c r="Y1139" s="3" t="n">
        <v>-2.042794</v>
      </c>
      <c r="Z1139" s="3" t="n">
        <v>-1.525557</v>
      </c>
      <c r="AA1139" s="3" t="n">
        <v>-1.773794</v>
      </c>
      <c r="AB1139" s="3" t="n">
        <v>-2.242886</v>
      </c>
      <c r="AC1139" s="3" t="n">
        <v>-1.701333</v>
      </c>
      <c r="AD1139" s="3" t="n">
        <v>-0.656178</v>
      </c>
      <c r="AE1139" s="3" t="n">
        <v>1.470701</v>
      </c>
      <c r="AF1139" s="3" t="n">
        <v>9.076768</v>
      </c>
      <c r="AG1139" s="3" t="n">
        <v>11.911974</v>
      </c>
      <c r="AH1139" s="3" t="n">
        <v>11.468097</v>
      </c>
      <c r="AI1139" s="3" t="n">
        <v>10.239227</v>
      </c>
      <c r="AJ1139" s="3" t="n">
        <v>10.062262</v>
      </c>
      <c r="AK1139" s="3" t="n">
        <v>8.822319</v>
      </c>
      <c r="AL1139" s="3" t="n">
        <v>7.476008</v>
      </c>
      <c r="AM1139" s="3" t="n"/>
      <c r="AN1139" s="3" t="n"/>
      <c r="AO1139" s="3" t="n"/>
      <c r="AP1139" s="3" t="n"/>
      <c r="AQ1139" s="3" t="n"/>
      <c r="AR1139" s="3" t="n"/>
      <c r="AS1139" s="3" t="n"/>
      <c r="AT1139" s="3" t="n"/>
      <c r="AU1139" s="3" t="n"/>
    </row>
    <row r="1140">
      <c r="A1140" s="3" t="n">
        <v>2031</v>
      </c>
      <c r="B1140" s="3" t="inlineStr">
        <is>
          <t>GHA</t>
        </is>
      </c>
      <c r="C1140" s="3" t="inlineStr">
        <is>
          <t>IMF.RES:WEO</t>
        </is>
      </c>
      <c r="D1140" s="3" t="inlineStr">
        <is>
          <t>GHA.BCA_NGDPD.A</t>
        </is>
      </c>
      <c r="E1140" s="3" t="inlineStr">
        <is>
          <t>Ghana</t>
        </is>
      </c>
      <c r="F1140" s="3" t="inlineStr">
        <is>
          <t>Current account balance (credit less debit), Percent of GDP</t>
        </is>
      </c>
      <c r="G1140" s="3" t="n">
        <v>-3.129579</v>
      </c>
      <c r="H1140" s="3" t="n">
        <v>-3.259942</v>
      </c>
      <c r="I1140" s="3" t="n">
        <v>-0.690825</v>
      </c>
      <c r="J1140" s="3" t="n">
        <v>0.540976</v>
      </c>
      <c r="K1140" s="3" t="n">
        <v>-2.712968</v>
      </c>
      <c r="L1140" s="3" t="n">
        <v>-4.18176</v>
      </c>
      <c r="M1140" s="3" t="n">
        <v>-3.359795</v>
      </c>
      <c r="N1140" s="3" t="n">
        <v>-5.900129</v>
      </c>
      <c r="O1140" s="3" t="n">
        <v>-8.241196</v>
      </c>
      <c r="P1140" s="3" t="n">
        <v>-3.766603</v>
      </c>
      <c r="Q1140" s="3" t="n">
        <v>-6.094301</v>
      </c>
      <c r="R1140" s="3" t="n">
        <v>-6.603753</v>
      </c>
      <c r="S1140" s="3" t="n">
        <v>-8.800412</v>
      </c>
      <c r="T1140" s="3" t="n">
        <v>-9.076066000000001</v>
      </c>
      <c r="U1140" s="3" t="n">
        <v>-6.756529</v>
      </c>
      <c r="V1140" s="3" t="n">
        <v>-5.711488</v>
      </c>
      <c r="W1140" s="3" t="n">
        <v>-5.059515</v>
      </c>
      <c r="X1140" s="3" t="n">
        <v>-3.316122</v>
      </c>
      <c r="Y1140" s="3" t="n">
        <v>-3.037191</v>
      </c>
      <c r="Z1140" s="3" t="n">
        <v>-2.231892</v>
      </c>
      <c r="AA1140" s="3" t="n">
        <v>-2.533693</v>
      </c>
      <c r="AB1140" s="3" t="n">
        <v>-2.820736</v>
      </c>
      <c r="AC1140" s="3" t="n">
        <v>-2.301618</v>
      </c>
      <c r="AD1140" s="3" t="n">
        <v>-0.814651</v>
      </c>
      <c r="AE1140" s="3" t="n">
        <v>1.76579</v>
      </c>
      <c r="AF1140" s="3" t="n">
        <v>7.912964</v>
      </c>
      <c r="AG1140" s="3" t="n">
        <v>10.06985</v>
      </c>
      <c r="AH1140" s="3" t="n">
        <v>9.48075</v>
      </c>
      <c r="AI1140" s="3" t="n">
        <v>8.172138</v>
      </c>
      <c r="AJ1140" s="3" t="n">
        <v>7.554468</v>
      </c>
      <c r="AK1140" s="3" t="n">
        <v>6.210088</v>
      </c>
      <c r="AL1140" s="3" t="n">
        <v>4.932691</v>
      </c>
      <c r="AM1140" s="3" t="n"/>
      <c r="AN1140" s="3" t="n"/>
      <c r="AO1140" s="3" t="n"/>
      <c r="AP1140" s="3" t="n"/>
      <c r="AQ1140" s="3" t="n"/>
      <c r="AR1140" s="3" t="n"/>
      <c r="AS1140" s="3" t="n"/>
      <c r="AT1140" s="3" t="n"/>
      <c r="AU1140" s="3" t="n"/>
    </row>
    <row r="1141">
      <c r="A1141" s="3" t="n">
        <v>2031</v>
      </c>
      <c r="B1141" s="3" t="inlineStr">
        <is>
          <t>GHA</t>
        </is>
      </c>
      <c r="C1141" s="3" t="inlineStr">
        <is>
          <t>IMF.RES:WEO</t>
        </is>
      </c>
      <c r="D1141" s="3" t="inlineStr">
        <is>
          <t>GHA.GGR_NGDP.A</t>
        </is>
      </c>
      <c r="E1141" s="3" t="inlineStr">
        <is>
          <t>Ghana</t>
        </is>
      </c>
      <c r="F1141" s="3" t="inlineStr">
        <is>
          <t>Revenue, General government, Percent of GDP</t>
        </is>
      </c>
      <c r="G1141" s="3" t="n">
        <v>8.0022</v>
      </c>
      <c r="H1141" s="3" t="n">
        <v>10.147713</v>
      </c>
      <c r="I1141" s="3" t="n">
        <v>7.928101</v>
      </c>
      <c r="J1141" s="3" t="n">
        <v>10.129998</v>
      </c>
      <c r="K1141" s="3" t="n">
        <v>11.721747</v>
      </c>
      <c r="L1141" s="3" t="n">
        <v>11.010566</v>
      </c>
      <c r="M1141" s="3" t="n">
        <v>11.264639</v>
      </c>
      <c r="N1141" s="3" t="n">
        <v>11.886881</v>
      </c>
      <c r="O1141" s="3" t="n">
        <v>11.073712</v>
      </c>
      <c r="P1141" s="3" t="n">
        <v>11.521893</v>
      </c>
      <c r="Q1141" s="3" t="n">
        <v>11.839856</v>
      </c>
      <c r="R1141" s="3" t="n">
        <v>14.033462</v>
      </c>
      <c r="S1141" s="3" t="n">
        <v>13.695696</v>
      </c>
      <c r="T1141" s="3" t="n">
        <v>12.447523</v>
      </c>
      <c r="U1141" s="3" t="n">
        <v>13.154357</v>
      </c>
      <c r="V1141" s="3" t="n">
        <v>14.615973</v>
      </c>
      <c r="W1141" s="3" t="n">
        <v>13.144771</v>
      </c>
      <c r="X1141" s="3" t="n">
        <v>13.615885</v>
      </c>
      <c r="Y1141" s="3" t="n">
        <v>14.104</v>
      </c>
      <c r="Z1141" s="3" t="n">
        <v>14.971382</v>
      </c>
      <c r="AA1141" s="3" t="n">
        <v>14.067996</v>
      </c>
      <c r="AB1141" s="3" t="n">
        <v>15.182431</v>
      </c>
      <c r="AC1141" s="3" t="n">
        <v>15.73263</v>
      </c>
      <c r="AD1141" s="3" t="n">
        <v>15.170119</v>
      </c>
      <c r="AE1141" s="3" t="n">
        <v>15.775568</v>
      </c>
      <c r="AF1141" s="3" t="n">
        <v>15.681012</v>
      </c>
      <c r="AG1141" s="3" t="n">
        <v>16.79031</v>
      </c>
      <c r="AH1141" s="3" t="n">
        <v>16.798294</v>
      </c>
      <c r="AI1141" s="3" t="n">
        <v>17.000239</v>
      </c>
      <c r="AJ1141" s="3" t="n">
        <v>17</v>
      </c>
      <c r="AK1141" s="3" t="n">
        <v>17</v>
      </c>
      <c r="AL1141" s="3" t="n">
        <v>17</v>
      </c>
      <c r="AM1141" s="3" t="n"/>
      <c r="AN1141" s="3" t="n"/>
      <c r="AO1141" s="3" t="n"/>
      <c r="AP1141" s="3" t="n"/>
      <c r="AQ1141" s="3" t="n"/>
      <c r="AR1141" s="3" t="n"/>
      <c r="AS1141" s="3" t="n"/>
      <c r="AT1141" s="3" t="n"/>
      <c r="AU1141" s="3" t="n"/>
    </row>
    <row r="1142">
      <c r="A1142" s="3" t="n">
        <v>2031</v>
      </c>
      <c r="B1142" s="3" t="inlineStr">
        <is>
          <t>GHA</t>
        </is>
      </c>
      <c r="C1142" s="3" t="inlineStr">
        <is>
          <t>IMF.RES:WEO</t>
        </is>
      </c>
      <c r="D1142" s="3" t="inlineStr">
        <is>
          <t>GHA.GGX_NGDP.A</t>
        </is>
      </c>
      <c r="E1142" s="3" t="inlineStr">
        <is>
          <t>Ghana</t>
        </is>
      </c>
      <c r="F1142" s="3" t="inlineStr">
        <is>
          <t>Expenditure, General government, Percent of GDP</t>
        </is>
      </c>
      <c r="G1142" s="3" t="n">
        <v>11.98255</v>
      </c>
      <c r="H1142" s="3" t="n">
        <v>13.784351</v>
      </c>
      <c r="I1142" s="3" t="n">
        <v>10.653811</v>
      </c>
      <c r="J1142" s="3" t="n">
        <v>12.123634</v>
      </c>
      <c r="K1142" s="3" t="n">
        <v>13.746125</v>
      </c>
      <c r="L1142" s="3" t="n">
        <v>12.88434</v>
      </c>
      <c r="M1142" s="3" t="n">
        <v>14.372424</v>
      </c>
      <c r="N1142" s="3" t="n">
        <v>16.801786</v>
      </c>
      <c r="O1142" s="3" t="n">
        <v>16.630617</v>
      </c>
      <c r="P1142" s="3" t="n">
        <v>16.567688</v>
      </c>
      <c r="Q1142" s="3" t="n">
        <v>18.968329</v>
      </c>
      <c r="R1142" s="3" t="n">
        <v>19.49873</v>
      </c>
      <c r="S1142" s="3" t="n">
        <v>22.052713</v>
      </c>
      <c r="T1142" s="3" t="n">
        <v>21.564448</v>
      </c>
      <c r="U1142" s="3" t="n">
        <v>20.966361</v>
      </c>
      <c r="V1142" s="3" t="n">
        <v>18.623361</v>
      </c>
      <c r="W1142" s="3" t="n">
        <v>19.890578</v>
      </c>
      <c r="X1142" s="3" t="n">
        <v>17.582196</v>
      </c>
      <c r="Y1142" s="3" t="n">
        <v>20.895244</v>
      </c>
      <c r="Z1142" s="3" t="n">
        <v>22.490581</v>
      </c>
      <c r="AA1142" s="3" t="n">
        <v>31.510896</v>
      </c>
      <c r="AB1142" s="3" t="n">
        <v>27.214253</v>
      </c>
      <c r="AC1142" s="3" t="n">
        <v>27.492522</v>
      </c>
      <c r="AD1142" s="3" t="n">
        <v>18.536385</v>
      </c>
      <c r="AE1142" s="3" t="n">
        <v>22.000963</v>
      </c>
      <c r="AF1142" s="3" t="n">
        <v>17.026548</v>
      </c>
      <c r="AG1142" s="3" t="n">
        <v>19.046163</v>
      </c>
      <c r="AH1142" s="3" t="n">
        <v>18.63026</v>
      </c>
      <c r="AI1142" s="3" t="n">
        <v>18.669319</v>
      </c>
      <c r="AJ1142" s="3" t="n">
        <v>18.826222</v>
      </c>
      <c r="AK1142" s="3" t="n">
        <v>19.229713</v>
      </c>
      <c r="AL1142" s="3" t="n">
        <v>19.174054</v>
      </c>
      <c r="AM1142" s="3" t="n"/>
      <c r="AN1142" s="3" t="n"/>
      <c r="AO1142" s="3" t="n"/>
      <c r="AP1142" s="3" t="n"/>
      <c r="AQ1142" s="3" t="n"/>
      <c r="AR1142" s="3" t="n"/>
      <c r="AS1142" s="3" t="n"/>
      <c r="AT1142" s="3" t="n"/>
      <c r="AU1142" s="3" t="n"/>
    </row>
    <row r="1143">
      <c r="A1143" s="3" t="n">
        <v>2031</v>
      </c>
      <c r="B1143" s="3" t="inlineStr">
        <is>
          <t>GHA</t>
        </is>
      </c>
      <c r="C1143" s="3" t="inlineStr">
        <is>
          <t>IMF.RES:WEO</t>
        </is>
      </c>
      <c r="D1143" s="3" t="inlineStr">
        <is>
          <t>GHA.LP.A</t>
        </is>
      </c>
      <c r="E1143" s="3" t="inlineStr">
        <is>
          <t>Ghana</t>
        </is>
      </c>
      <c r="F1143" s="3" t="inlineStr">
        <is>
          <t>Population, Persons for countries / Index for country groups</t>
        </is>
      </c>
      <c r="G1143" s="3" t="n">
        <v>19.637087</v>
      </c>
      <c r="H1143" s="3" t="n">
        <v>20.167069</v>
      </c>
      <c r="I1143" s="3" t="n">
        <v>20.729388</v>
      </c>
      <c r="J1143" s="3" t="n">
        <v>21.296705</v>
      </c>
      <c r="K1143" s="3" t="n">
        <v>21.868298</v>
      </c>
      <c r="L1143" s="3" t="n">
        <v>22.449438</v>
      </c>
      <c r="M1143" s="3" t="n">
        <v>23.040702</v>
      </c>
      <c r="N1143" s="3" t="n">
        <v>23.642279</v>
      </c>
      <c r="O1143" s="3" t="n">
        <v>24.249946</v>
      </c>
      <c r="P1143" s="3" t="n">
        <v>24.862665</v>
      </c>
      <c r="Q1143" s="3" t="n">
        <v>25.474995</v>
      </c>
      <c r="R1143" s="3" t="n">
        <v>26.095088</v>
      </c>
      <c r="S1143" s="3" t="n">
        <v>26.734269</v>
      </c>
      <c r="T1143" s="3" t="n">
        <v>27.386193</v>
      </c>
      <c r="U1143" s="3" t="n">
        <v>28.041593</v>
      </c>
      <c r="V1143" s="3" t="n">
        <v>28.696068</v>
      </c>
      <c r="W1143" s="3" t="n">
        <v>29.356742</v>
      </c>
      <c r="X1143" s="3" t="n">
        <v>30.008354</v>
      </c>
      <c r="Y1143" s="3" t="n">
        <v>30.637585</v>
      </c>
      <c r="Z1143" s="3" t="n">
        <v>31.258945</v>
      </c>
      <c r="AA1143" s="3" t="n">
        <v>31.887809</v>
      </c>
      <c r="AB1143" s="3" t="n">
        <v>32.518665</v>
      </c>
      <c r="AC1143" s="3" t="n">
        <v>33.149152</v>
      </c>
      <c r="AD1143" s="3" t="n">
        <v>33.787914</v>
      </c>
      <c r="AE1143" s="3" t="n">
        <v>34.427414</v>
      </c>
      <c r="AF1143" s="3" t="n">
        <v>35.064273</v>
      </c>
      <c r="AG1143" s="3" t="n">
        <v>35.697557</v>
      </c>
      <c r="AH1143" s="3" t="n">
        <v>36.328263</v>
      </c>
      <c r="AI1143" s="3" t="n">
        <v>36.959314</v>
      </c>
      <c r="AJ1143" s="3" t="n">
        <v>37.58971</v>
      </c>
      <c r="AK1143" s="3" t="n">
        <v>38.222089</v>
      </c>
      <c r="AL1143" s="3" t="n">
        <v>38.856803</v>
      </c>
      <c r="AM1143" s="3" t="n"/>
      <c r="AN1143" s="3" t="n"/>
      <c r="AO1143" s="3" t="n"/>
      <c r="AP1143" s="3" t="n"/>
      <c r="AQ1143" s="3" t="n"/>
      <c r="AR1143" s="3" t="n"/>
      <c r="AS1143" s="3" t="n"/>
      <c r="AT1143" s="3" t="n"/>
      <c r="AU1143" s="3" t="n"/>
    </row>
    <row r="1144">
      <c r="A1144" s="3" t="n">
        <v>2031</v>
      </c>
      <c r="B1144" s="3" t="inlineStr">
        <is>
          <t>GHA</t>
        </is>
      </c>
      <c r="C1144" s="3" t="inlineStr">
        <is>
          <t>IMF.RES:WEO</t>
        </is>
      </c>
      <c r="D1144" s="3" t="inlineStr">
        <is>
          <t>GHA.NGDP.A</t>
        </is>
      </c>
      <c r="E1144" s="3" t="inlineStr">
        <is>
          <t>Ghana</t>
        </is>
      </c>
      <c r="F1144" s="3" t="inlineStr">
        <is>
          <t>Gross domestic product (GDP), Current prices, Domestic currency</t>
        </is>
      </c>
      <c r="G1144" s="3" t="n">
        <v>6.729418</v>
      </c>
      <c r="H1144" s="3" t="n">
        <v>9.392773</v>
      </c>
      <c r="I1144" s="3" t="n">
        <v>12.068042</v>
      </c>
      <c r="J1144" s="3" t="n">
        <v>16.286563</v>
      </c>
      <c r="K1144" s="3" t="n">
        <v>19.567542</v>
      </c>
      <c r="L1144" s="3" t="n">
        <v>23.910758</v>
      </c>
      <c r="M1144" s="3" t="n">
        <v>28.3344</v>
      </c>
      <c r="N1144" s="3" t="n">
        <v>34.0877</v>
      </c>
      <c r="O1144" s="3" t="n">
        <v>43.4654</v>
      </c>
      <c r="P1144" s="3" t="n">
        <v>52.218</v>
      </c>
      <c r="Q1144" s="3" t="n">
        <v>64.98260000000001</v>
      </c>
      <c r="R1144" s="3" t="n">
        <v>81.5256</v>
      </c>
      <c r="S1144" s="3" t="n">
        <v>101.7485</v>
      </c>
      <c r="T1144" s="3" t="n">
        <v>124.4776</v>
      </c>
      <c r="U1144" s="3" t="n">
        <v>158.6838</v>
      </c>
      <c r="V1144" s="3" t="n">
        <v>183.5254</v>
      </c>
      <c r="W1144" s="3" t="n">
        <v>219.5946</v>
      </c>
      <c r="X1144" s="3" t="n">
        <v>262.7981</v>
      </c>
      <c r="Y1144" s="3" t="n">
        <v>308.5873</v>
      </c>
      <c r="Z1144" s="3" t="n">
        <v>356.5443</v>
      </c>
      <c r="AA1144" s="3" t="n">
        <v>391.9408</v>
      </c>
      <c r="AB1144" s="3" t="n">
        <v>461.695</v>
      </c>
      <c r="AC1144" s="3" t="n">
        <v>614.3362</v>
      </c>
      <c r="AD1144" s="3" t="n">
        <v>887.7481</v>
      </c>
      <c r="AE1144" s="3" t="n">
        <v>1182.799278</v>
      </c>
      <c r="AF1144" s="3" t="n">
        <v>1434.114746</v>
      </c>
      <c r="AG1144" s="3" t="n">
        <v>1596.137054</v>
      </c>
      <c r="AH1144" s="3" t="n">
        <v>1804.707544</v>
      </c>
      <c r="AI1144" s="3" t="n">
        <v>2046.560092</v>
      </c>
      <c r="AJ1144" s="3" t="n">
        <v>2321.368398</v>
      </c>
      <c r="AK1144" s="3" t="n">
        <v>2628.736159</v>
      </c>
      <c r="AL1144" s="3" t="n">
        <v>2977.538893</v>
      </c>
      <c r="AM1144" s="3" t="n"/>
      <c r="AN1144" s="3" t="n"/>
      <c r="AO1144" s="3" t="n"/>
      <c r="AP1144" s="3" t="n"/>
      <c r="AQ1144" s="3" t="n"/>
      <c r="AR1144" s="3" t="n"/>
      <c r="AS1144" s="3" t="n"/>
      <c r="AT1144" s="3" t="n"/>
      <c r="AU1144" s="3" t="n"/>
    </row>
    <row r="1145">
      <c r="A1145" s="3" t="n">
        <v>2031</v>
      </c>
      <c r="B1145" s="3" t="inlineStr">
        <is>
          <t>GHA</t>
        </is>
      </c>
      <c r="C1145" s="3" t="inlineStr">
        <is>
          <t>IMF.RES:WEO</t>
        </is>
      </c>
      <c r="D1145" s="3" t="inlineStr">
        <is>
          <t>GHA.NGDP_D.A</t>
        </is>
      </c>
      <c r="E1145" s="3" t="inlineStr">
        <is>
          <t>Ghana</t>
        </is>
      </c>
      <c r="F1145" s="3" t="inlineStr">
        <is>
          <t>Gross domestic product (GDP), Price deflator, Index</t>
        </is>
      </c>
      <c r="G1145" s="3" t="n">
        <v>12.520854</v>
      </c>
      <c r="H1145" s="3" t="n">
        <v>16.832043</v>
      </c>
      <c r="I1145" s="3" t="n">
        <v>20.671667</v>
      </c>
      <c r="J1145" s="3" t="n">
        <v>26.540858</v>
      </c>
      <c r="K1145" s="3" t="n">
        <v>30.252779</v>
      </c>
      <c r="L1145" s="3" t="n">
        <v>34.799591</v>
      </c>
      <c r="M1145" s="3" t="n">
        <v>38.970931</v>
      </c>
      <c r="N1145" s="3" t="n">
        <v>45.048732</v>
      </c>
      <c r="O1145" s="3" t="n">
        <v>52.69747</v>
      </c>
      <c r="P1145" s="3" t="n">
        <v>59.906042</v>
      </c>
      <c r="Q1145" s="3" t="n">
        <v>69.169646</v>
      </c>
      <c r="R1145" s="3" t="n">
        <v>76.15165399999999</v>
      </c>
      <c r="S1145" s="3" t="n">
        <v>87.658984</v>
      </c>
      <c r="T1145" s="3" t="n">
        <v>100.000017</v>
      </c>
      <c r="U1145" s="3" t="n">
        <v>123.939807</v>
      </c>
      <c r="V1145" s="3" t="n">
        <v>140.365497</v>
      </c>
      <c r="W1145" s="3" t="n">
        <v>162.471342</v>
      </c>
      <c r="X1145" s="3" t="n">
        <v>179.818995</v>
      </c>
      <c r="Y1145" s="3" t="n">
        <v>198.822972</v>
      </c>
      <c r="Z1145" s="3" t="n">
        <v>215.685375</v>
      </c>
      <c r="AA1145" s="3" t="n">
        <v>235.885568</v>
      </c>
      <c r="AB1145" s="3" t="n">
        <v>264.442106</v>
      </c>
      <c r="AC1145" s="3" t="n">
        <v>338.930738</v>
      </c>
      <c r="AD1145" s="3" t="n">
        <v>474.919534</v>
      </c>
      <c r="AE1145" s="3" t="n">
        <v>597.806808</v>
      </c>
      <c r="AF1145" s="3" t="n">
        <v>684.092203</v>
      </c>
      <c r="AG1145" s="3" t="n">
        <v>726.850563</v>
      </c>
      <c r="AH1145" s="3" t="n">
        <v>783.231331</v>
      </c>
      <c r="AI1145" s="3" t="n">
        <v>845.906351</v>
      </c>
      <c r="AJ1145" s="3" t="n">
        <v>913.802945</v>
      </c>
      <c r="AK1145" s="3" t="n">
        <v>985.521686</v>
      </c>
      <c r="AL1145" s="3" t="n">
        <v>1063.132342</v>
      </c>
      <c r="AM1145" s="3" t="n"/>
      <c r="AN1145" s="3" t="n"/>
      <c r="AO1145" s="3" t="n"/>
      <c r="AP1145" s="3" t="n"/>
      <c r="AQ1145" s="3" t="n"/>
      <c r="AR1145" s="3" t="n"/>
      <c r="AS1145" s="3" t="n"/>
      <c r="AT1145" s="3" t="n"/>
      <c r="AU1145" s="3" t="n"/>
    </row>
    <row r="1146">
      <c r="A1146" s="3" t="n">
        <v>2031</v>
      </c>
      <c r="B1146" s="3" t="inlineStr">
        <is>
          <t>GHA</t>
        </is>
      </c>
      <c r="C1146" s="3" t="inlineStr">
        <is>
          <t>IMF.RES:WEO</t>
        </is>
      </c>
      <c r="D1146" s="3" t="inlineStr">
        <is>
          <t>GHA.NGDP_R.A</t>
        </is>
      </c>
      <c r="E1146" s="3" t="inlineStr">
        <is>
          <t>Ghana</t>
        </is>
      </c>
      <c r="F1146" s="3" t="inlineStr">
        <is>
          <t>Gross domestic product (GDP), Constant prices, Domestic currency</t>
        </is>
      </c>
      <c r="G1146" s="3" t="n">
        <v>53.745684</v>
      </c>
      <c r="H1146" s="3" t="n">
        <v>55.802931</v>
      </c>
      <c r="I1146" s="3" t="n">
        <v>58.379626</v>
      </c>
      <c r="J1146" s="3" t="n">
        <v>61.364119</v>
      </c>
      <c r="K1146" s="3" t="n">
        <v>64.68014599999999</v>
      </c>
      <c r="L1146" s="3" t="n">
        <v>68.709883</v>
      </c>
      <c r="M1146" s="3" t="n">
        <v>72.70650000000001</v>
      </c>
      <c r="N1146" s="3" t="n">
        <v>75.66849999999999</v>
      </c>
      <c r="O1146" s="3" t="n">
        <v>82.48099999999999</v>
      </c>
      <c r="P1146" s="3" t="n">
        <v>87.1665</v>
      </c>
      <c r="Q1146" s="3" t="n">
        <v>93.94670000000001</v>
      </c>
      <c r="R1146" s="3" t="n">
        <v>107.0569</v>
      </c>
      <c r="S1146" s="3" t="n">
        <v>116.0731</v>
      </c>
      <c r="T1146" s="3" t="n">
        <v>124.477579</v>
      </c>
      <c r="U1146" s="3" t="n">
        <v>128.032957</v>
      </c>
      <c r="V1146" s="3" t="n">
        <v>130.748228</v>
      </c>
      <c r="W1146" s="3" t="n">
        <v>135.158975</v>
      </c>
      <c r="X1146" s="3" t="n">
        <v>146.145906</v>
      </c>
      <c r="Y1146" s="3" t="n">
        <v>155.207066</v>
      </c>
      <c r="Z1146" s="3" t="n">
        <v>165.307592</v>
      </c>
      <c r="AA1146" s="3" t="n">
        <v>166.157177</v>
      </c>
      <c r="AB1146" s="3" t="n">
        <v>174.59209</v>
      </c>
      <c r="AC1146" s="3" t="n">
        <v>181.257151</v>
      </c>
      <c r="AD1146" s="3" t="n">
        <v>186.926002</v>
      </c>
      <c r="AE1146" s="3" t="n">
        <v>197.856442</v>
      </c>
      <c r="AF1146" s="3" t="n">
        <v>209.637639</v>
      </c>
      <c r="AG1146" s="3" t="n">
        <v>219.596315</v>
      </c>
      <c r="AH1146" s="3" t="n">
        <v>230.418201</v>
      </c>
      <c r="AI1146" s="3" t="n">
        <v>241.936958</v>
      </c>
      <c r="AJ1146" s="3" t="n">
        <v>254.033806</v>
      </c>
      <c r="AK1146" s="3" t="n">
        <v>266.735496</v>
      </c>
      <c r="AL1146" s="3" t="n">
        <v>280.072271</v>
      </c>
      <c r="AM1146" s="3" t="n"/>
      <c r="AN1146" s="3" t="n"/>
      <c r="AO1146" s="3" t="n"/>
      <c r="AP1146" s="3" t="n"/>
      <c r="AQ1146" s="3" t="n"/>
      <c r="AR1146" s="3" t="n"/>
      <c r="AS1146" s="3" t="n"/>
      <c r="AT1146" s="3" t="n"/>
      <c r="AU1146" s="3" t="n"/>
    </row>
    <row r="1147">
      <c r="A1147" s="3" t="n">
        <v>2031</v>
      </c>
      <c r="B1147" s="3" t="inlineStr">
        <is>
          <t>GHA</t>
        </is>
      </c>
      <c r="C1147" s="3" t="inlineStr">
        <is>
          <t>IMF.RES:WEO</t>
        </is>
      </c>
      <c r="D1147" s="3" t="inlineStr">
        <is>
          <t>GHA.NGDP_RPCH.A</t>
        </is>
      </c>
      <c r="E1147" s="3" t="inlineStr">
        <is>
          <t>Ghana</t>
        </is>
      </c>
      <c r="F1147" s="3" t="inlineStr">
        <is>
          <t>Gross domestic product (GDP), Constant prices, Percent change</t>
        </is>
      </c>
      <c r="G1147" s="3" t="n">
        <v>3.59611</v>
      </c>
      <c r="H1147" s="3" t="n">
        <v>3.827744</v>
      </c>
      <c r="I1147" s="3" t="n">
        <v>4.61749</v>
      </c>
      <c r="J1147" s="3" t="n">
        <v>5.112216</v>
      </c>
      <c r="K1147" s="3" t="n">
        <v>5.403853</v>
      </c>
      <c r="L1147" s="3" t="n">
        <v>6.230255</v>
      </c>
      <c r="M1147" s="3" t="n">
        <v>5.816655</v>
      </c>
      <c r="N1147" s="3" t="n">
        <v>4.073914</v>
      </c>
      <c r="O1147" s="3" t="n">
        <v>9.003086</v>
      </c>
      <c r="P1147" s="3" t="n">
        <v>5.680702</v>
      </c>
      <c r="Q1147" s="3" t="n">
        <v>7.778447</v>
      </c>
      <c r="R1147" s="3" t="n">
        <v>13.954934</v>
      </c>
      <c r="S1147" s="3" t="n">
        <v>8.421877</v>
      </c>
      <c r="T1147" s="3" t="n">
        <v>7.240677</v>
      </c>
      <c r="U1147" s="3" t="n">
        <v>2.85624</v>
      </c>
      <c r="V1147" s="3" t="n">
        <v>2.120759</v>
      </c>
      <c r="W1147" s="3" t="n">
        <v>3.373466</v>
      </c>
      <c r="X1147" s="3" t="n">
        <v>8.128895</v>
      </c>
      <c r="Y1147" s="3" t="n">
        <v>6.200078</v>
      </c>
      <c r="Z1147" s="3" t="n">
        <v>6.507775</v>
      </c>
      <c r="AA1147" s="3" t="n">
        <v>0.513942</v>
      </c>
      <c r="AB1147" s="3" t="n">
        <v>5.076466</v>
      </c>
      <c r="AC1147" s="3" t="n">
        <v>3.817505</v>
      </c>
      <c r="AD1147" s="3" t="n">
        <v>3.127519</v>
      </c>
      <c r="AE1147" s="3" t="n">
        <v>5.847469</v>
      </c>
      <c r="AF1147" s="3" t="n">
        <v>5.954417</v>
      </c>
      <c r="AG1147" s="3" t="n">
        <v>4.750424</v>
      </c>
      <c r="AH1147" s="3" t="n">
        <v>4.928082</v>
      </c>
      <c r="AI1147" s="3" t="n">
        <v>4.999065</v>
      </c>
      <c r="AJ1147" s="3" t="n">
        <v>5</v>
      </c>
      <c r="AK1147" s="3" t="n">
        <v>5</v>
      </c>
      <c r="AL1147" s="3" t="n">
        <v>5</v>
      </c>
      <c r="AM1147" s="3" t="n"/>
      <c r="AN1147" s="3" t="n"/>
      <c r="AO1147" s="3" t="n"/>
      <c r="AP1147" s="3" t="n"/>
      <c r="AQ1147" s="3" t="n"/>
      <c r="AR1147" s="3" t="n"/>
      <c r="AS1147" s="3" t="n"/>
      <c r="AT1147" s="3" t="n"/>
      <c r="AU1147" s="3" t="n"/>
    </row>
    <row r="1148">
      <c r="A1148" s="3" t="n">
        <v>2031</v>
      </c>
      <c r="B1148" s="3" t="inlineStr">
        <is>
          <t>GHA</t>
        </is>
      </c>
      <c r="C1148" s="3" t="inlineStr">
        <is>
          <t>IMF.RES:WEO</t>
        </is>
      </c>
      <c r="D1148" s="3" t="inlineStr">
        <is>
          <t>GHA.NGDPD.A</t>
        </is>
      </c>
      <c r="E1148" s="3" t="inlineStr">
        <is>
          <t>Ghana</t>
        </is>
      </c>
      <c r="F1148" s="3" t="inlineStr">
        <is>
          <t>Gross domestic product (GDP), Current prices, US dollar</t>
        </is>
      </c>
      <c r="G1148" s="3" t="n">
        <v>12.349388</v>
      </c>
      <c r="H1148" s="3" t="n">
        <v>13.11281</v>
      </c>
      <c r="I1148" s="3" t="n">
        <v>15.229406</v>
      </c>
      <c r="J1148" s="3" t="n">
        <v>18.790071</v>
      </c>
      <c r="K1148" s="3" t="n">
        <v>21.753923</v>
      </c>
      <c r="L1148" s="3" t="n">
        <v>26.414613</v>
      </c>
      <c r="M1148" s="3" t="n">
        <v>30.962943</v>
      </c>
      <c r="N1148" s="3" t="n">
        <v>36.54443</v>
      </c>
      <c r="O1148" s="3" t="n">
        <v>41.323364</v>
      </c>
      <c r="P1148" s="3" t="n">
        <v>37.127089</v>
      </c>
      <c r="Q1148" s="3" t="n">
        <v>45.446802</v>
      </c>
      <c r="R1148" s="3" t="n">
        <v>53.625399</v>
      </c>
      <c r="S1148" s="3" t="n">
        <v>55.79988</v>
      </c>
      <c r="T1148" s="3" t="n">
        <v>62.845725</v>
      </c>
      <c r="U1148" s="3" t="n">
        <v>54.678474</v>
      </c>
      <c r="V1148" s="3" t="n">
        <v>49.436748</v>
      </c>
      <c r="W1148" s="3" t="n">
        <v>56.144178</v>
      </c>
      <c r="X1148" s="3" t="n">
        <v>60.385444</v>
      </c>
      <c r="Y1148" s="3" t="n">
        <v>67.259328</v>
      </c>
      <c r="Z1148" s="3" t="n">
        <v>68.352639</v>
      </c>
      <c r="AA1148" s="3" t="n">
        <v>70.008251</v>
      </c>
      <c r="AB1148" s="3" t="n">
        <v>79.514216</v>
      </c>
      <c r="AC1148" s="3" t="n">
        <v>73.91899600000001</v>
      </c>
      <c r="AD1148" s="3" t="n">
        <v>80.54714199999999</v>
      </c>
      <c r="AE1148" s="3" t="n">
        <v>83.288583</v>
      </c>
      <c r="AF1148" s="3" t="n">
        <v>114.707551</v>
      </c>
      <c r="AG1148" s="3" t="n">
        <v>118.293458</v>
      </c>
      <c r="AH1148" s="3" t="n">
        <v>120.96192</v>
      </c>
      <c r="AI1148" s="3" t="n">
        <v>125.294339</v>
      </c>
      <c r="AJ1148" s="3" t="n">
        <v>133.196174</v>
      </c>
      <c r="AK1148" s="3" t="n">
        <v>142.064319</v>
      </c>
      <c r="AL1148" s="3" t="n">
        <v>151.560416</v>
      </c>
      <c r="AM1148" s="3" t="n"/>
      <c r="AN1148" s="3" t="n"/>
      <c r="AO1148" s="3" t="n"/>
      <c r="AP1148" s="3" t="n"/>
      <c r="AQ1148" s="3" t="n"/>
      <c r="AR1148" s="3" t="n"/>
      <c r="AS1148" s="3" t="n"/>
      <c r="AT1148" s="3" t="n"/>
      <c r="AU1148" s="3" t="n"/>
    </row>
    <row r="1149">
      <c r="A1149" s="3" t="n">
        <v>2031</v>
      </c>
      <c r="B1149" s="3" t="inlineStr">
        <is>
          <t>GHA</t>
        </is>
      </c>
      <c r="C1149" s="3" t="inlineStr">
        <is>
          <t>IMF.RES:WEO</t>
        </is>
      </c>
      <c r="D1149" s="3" t="inlineStr">
        <is>
          <t>GHA.NGDPPC.A</t>
        </is>
      </c>
      <c r="E1149" s="3" t="inlineStr">
        <is>
          <t>Ghana</t>
        </is>
      </c>
      <c r="F1149" s="3" t="inlineStr">
        <is>
          <t>Gross domestic product (GDP), Current prices, Per capita, Domestic currency</t>
        </is>
      </c>
      <c r="G1149" s="3" t="n">
        <v>342.689239</v>
      </c>
      <c r="H1149" s="3" t="n">
        <v>465.748069</v>
      </c>
      <c r="I1149" s="3" t="n">
        <v>582.170672</v>
      </c>
      <c r="J1149" s="3" t="n">
        <v>764.745692</v>
      </c>
      <c r="K1149" s="3" t="n">
        <v>894.79034</v>
      </c>
      <c r="L1149" s="3" t="n">
        <v>1065.093855</v>
      </c>
      <c r="M1149" s="3" t="n">
        <v>1229.754198</v>
      </c>
      <c r="N1149" s="3" t="n">
        <v>1441.811088</v>
      </c>
      <c r="O1149" s="3" t="n">
        <v>1792.39162</v>
      </c>
      <c r="P1149" s="3" t="n">
        <v>2100.257597</v>
      </c>
      <c r="Q1149" s="3" t="n">
        <v>2550.838627</v>
      </c>
      <c r="R1149" s="3" t="n">
        <v>3124.174174</v>
      </c>
      <c r="S1149" s="3" t="n">
        <v>3805.92048</v>
      </c>
      <c r="T1149" s="3" t="n">
        <v>4545.268569</v>
      </c>
      <c r="U1149" s="3" t="n">
        <v>5658.872619</v>
      </c>
      <c r="V1149" s="3" t="n">
        <v>6395.489556</v>
      </c>
      <c r="W1149" s="3" t="n">
        <v>7480.210295</v>
      </c>
      <c r="X1149" s="3" t="n">
        <v>8757.497995</v>
      </c>
      <c r="Y1149" s="3" t="n">
        <v>10072.181115</v>
      </c>
      <c r="Z1149" s="3" t="n">
        <v>11406.152703</v>
      </c>
      <c r="AA1149" s="3" t="n">
        <v>12291.242713</v>
      </c>
      <c r="AB1149" s="3" t="n">
        <v>14197.846068</v>
      </c>
      <c r="AC1149" s="3" t="n">
        <v>18532.48614</v>
      </c>
      <c r="AD1149" s="3" t="n">
        <v>26274.131632</v>
      </c>
      <c r="AE1149" s="3" t="n">
        <v>34356.321243</v>
      </c>
      <c r="AF1149" s="3" t="n">
        <v>40899.600743</v>
      </c>
      <c r="AG1149" s="3" t="n">
        <v>44712.781164</v>
      </c>
      <c r="AH1149" s="3" t="n">
        <v>49677.782386</v>
      </c>
      <c r="AI1149" s="3" t="n">
        <v>55373.324635</v>
      </c>
      <c r="AJ1149" s="3" t="n">
        <v>61755.421847</v>
      </c>
      <c r="AK1149" s="3" t="n">
        <v>68775.313633</v>
      </c>
      <c r="AL1149" s="3" t="n">
        <v>76628.50936500001</v>
      </c>
      <c r="AM1149" s="3" t="n"/>
      <c r="AN1149" s="3" t="n"/>
      <c r="AO1149" s="3" t="n"/>
      <c r="AP1149" s="3" t="n"/>
      <c r="AQ1149" s="3" t="n"/>
      <c r="AR1149" s="3" t="n"/>
      <c r="AS1149" s="3" t="n"/>
      <c r="AT1149" s="3" t="n"/>
      <c r="AU1149" s="3" t="n"/>
    </row>
    <row r="1150">
      <c r="A1150" s="3" t="n">
        <v>2031</v>
      </c>
      <c r="B1150" s="3" t="inlineStr">
        <is>
          <t>GHA</t>
        </is>
      </c>
      <c r="C1150" s="3" t="inlineStr">
        <is>
          <t>IMF.RES:WEO</t>
        </is>
      </c>
      <c r="D1150" s="3" t="inlineStr">
        <is>
          <t>GHA.NGDPRPC.A</t>
        </is>
      </c>
      <c r="E1150" s="3" t="inlineStr">
        <is>
          <t>Ghana</t>
        </is>
      </c>
      <c r="F1150" s="3" t="inlineStr">
        <is>
          <t>Gross domestic product (GDP), Constant prices, Per capita, Domestic currency</t>
        </is>
      </c>
      <c r="G1150" s="3" t="n">
        <v>2736.947904</v>
      </c>
      <c r="H1150" s="3" t="n">
        <v>2767.032371</v>
      </c>
      <c r="I1150" s="3" t="n">
        <v>2816.273496</v>
      </c>
      <c r="J1150" s="3" t="n">
        <v>2881.390276</v>
      </c>
      <c r="K1150" s="3" t="n">
        <v>2957.712838</v>
      </c>
      <c r="L1150" s="3" t="n">
        <v>3060.650492</v>
      </c>
      <c r="M1150" s="3" t="n">
        <v>3155.567916</v>
      </c>
      <c r="N1150" s="3" t="n">
        <v>3200.558626</v>
      </c>
      <c r="O1150" s="3" t="n">
        <v>3401.285925</v>
      </c>
      <c r="P1150" s="3" t="n">
        <v>3505.919488</v>
      </c>
      <c r="Q1150" s="3" t="n">
        <v>3687.8006</v>
      </c>
      <c r="R1150" s="3" t="n">
        <v>4102.569035</v>
      </c>
      <c r="S1150" s="3" t="n">
        <v>4341.734654</v>
      </c>
      <c r="T1150" s="3" t="n">
        <v>4545.267795</v>
      </c>
      <c r="U1150" s="3" t="n">
        <v>4565.823337</v>
      </c>
      <c r="V1150" s="3" t="n">
        <v>4556.311707</v>
      </c>
      <c r="W1150" s="3" t="n">
        <v>4604.018295</v>
      </c>
      <c r="X1150" s="3" t="n">
        <v>4870.174019</v>
      </c>
      <c r="Y1150" s="3" t="n">
        <v>5065.904125</v>
      </c>
      <c r="Z1150" s="3" t="n">
        <v>5288.329212</v>
      </c>
      <c r="AA1150" s="3" t="n">
        <v>5210.68025</v>
      </c>
      <c r="AB1150" s="3" t="n">
        <v>5368.980858</v>
      </c>
      <c r="AC1150" s="3" t="n">
        <v>5467.927234</v>
      </c>
      <c r="AD1150" s="3" t="n">
        <v>5532.333318</v>
      </c>
      <c r="AE1150" s="3" t="n">
        <v>5747.060886</v>
      </c>
      <c r="AF1150" s="3" t="n">
        <v>5978.667871</v>
      </c>
      <c r="AG1150" s="3" t="n">
        <v>6151.578253</v>
      </c>
      <c r="AH1150" s="3" t="n">
        <v>6342.670478</v>
      </c>
      <c r="AI1150" s="3" t="n">
        <v>6546.034861</v>
      </c>
      <c r="AJ1150" s="3" t="n">
        <v>6758.067721</v>
      </c>
      <c r="AK1150" s="3" t="n">
        <v>6978.569279</v>
      </c>
      <c r="AL1150" s="3" t="n">
        <v>7207.805307</v>
      </c>
      <c r="AM1150" s="3" t="n"/>
      <c r="AN1150" s="3" t="n"/>
      <c r="AO1150" s="3" t="n"/>
      <c r="AP1150" s="3" t="n"/>
      <c r="AQ1150" s="3" t="n"/>
      <c r="AR1150" s="3" t="n"/>
      <c r="AS1150" s="3" t="n"/>
      <c r="AT1150" s="3" t="n"/>
      <c r="AU1150" s="3" t="n"/>
    </row>
    <row r="1151">
      <c r="A1151" s="3" t="n">
        <v>2031</v>
      </c>
      <c r="B1151" s="3" t="inlineStr">
        <is>
          <t>GHA</t>
        </is>
      </c>
      <c r="C1151" s="3" t="inlineStr">
        <is>
          <t>IMF.RES:WEO</t>
        </is>
      </c>
      <c r="D1151" s="3" t="inlineStr">
        <is>
          <t>GHA.PCPI.A</t>
        </is>
      </c>
      <c r="E1151" s="3" t="inlineStr">
        <is>
          <t>Ghana</t>
        </is>
      </c>
      <c r="F1151" s="3" t="inlineStr">
        <is>
          <t>All Items, Consumer price index (CPI), Period average</t>
        </is>
      </c>
      <c r="G1151" s="3" t="n">
        <v>19.886149</v>
      </c>
      <c r="H1151" s="3" t="n">
        <v>26.435021</v>
      </c>
      <c r="I1151" s="3" t="n">
        <v>30.359524</v>
      </c>
      <c r="J1151" s="3" t="n">
        <v>38.442927</v>
      </c>
      <c r="K1151" s="3" t="n">
        <v>43.312249</v>
      </c>
      <c r="L1151" s="3" t="n">
        <v>49.850377</v>
      </c>
      <c r="M1151" s="3" t="n">
        <v>55.674204</v>
      </c>
      <c r="N1151" s="3" t="n">
        <v>61.647414</v>
      </c>
      <c r="O1151" s="3" t="n">
        <v>71.82208300000001</v>
      </c>
      <c r="P1151" s="3" t="n">
        <v>81.258892</v>
      </c>
      <c r="Q1151" s="3" t="n">
        <v>86.701931</v>
      </c>
      <c r="R1151" s="3" t="n">
        <v>93.357145</v>
      </c>
      <c r="S1151" s="3" t="n">
        <v>99.95935</v>
      </c>
      <c r="T1151" s="3" t="n">
        <v>111.6208</v>
      </c>
      <c r="U1151" s="3" t="n">
        <v>128.906875</v>
      </c>
      <c r="V1151" s="3" t="n">
        <v>151.018533</v>
      </c>
      <c r="W1151" s="3" t="n">
        <v>177.378267</v>
      </c>
      <c r="X1151" s="3" t="n">
        <v>199.323367</v>
      </c>
      <c r="Y1151" s="3" t="n">
        <v>218.930992</v>
      </c>
      <c r="Z1151" s="3" t="n">
        <v>234.710892</v>
      </c>
      <c r="AA1151" s="3" t="n">
        <v>257.990113</v>
      </c>
      <c r="AB1151" s="3" t="n">
        <v>283.726397</v>
      </c>
      <c r="AC1151" s="3" t="n">
        <v>374.294981</v>
      </c>
      <c r="AD1151" s="3" t="n">
        <v>521.056047</v>
      </c>
      <c r="AE1151" s="3" t="n">
        <v>640.246796</v>
      </c>
      <c r="AF1151" s="3" t="n">
        <v>731.131482</v>
      </c>
      <c r="AG1151" s="3" t="n">
        <v>773.396721</v>
      </c>
      <c r="AH1151" s="3" t="n">
        <v>833.454604</v>
      </c>
      <c r="AI1151" s="3" t="n">
        <v>900.130972</v>
      </c>
      <c r="AJ1151" s="3" t="n">
        <v>972.14145</v>
      </c>
      <c r="AK1151" s="3" t="n">
        <v>1049.912766</v>
      </c>
      <c r="AL1151" s="3" t="n">
        <v>1133.905787</v>
      </c>
      <c r="AM1151" s="3" t="n"/>
      <c r="AN1151" s="3" t="n"/>
      <c r="AO1151" s="3" t="n"/>
      <c r="AP1151" s="3" t="n"/>
      <c r="AQ1151" s="3" t="n"/>
      <c r="AR1151" s="3" t="n"/>
      <c r="AS1151" s="3" t="n"/>
      <c r="AT1151" s="3" t="n"/>
      <c r="AU1151" s="3" t="n"/>
    </row>
    <row r="1152">
      <c r="A1152" s="3" t="n">
        <v>2031</v>
      </c>
      <c r="B1152" s="3" t="inlineStr">
        <is>
          <t>GHA</t>
        </is>
      </c>
      <c r="C1152" s="3" t="inlineStr">
        <is>
          <t>IMF.RES:WEO</t>
        </is>
      </c>
      <c r="D1152" s="3" t="inlineStr">
        <is>
          <t>GHA.PCPIPCH.A</t>
        </is>
      </c>
      <c r="E1152" s="3" t="inlineStr">
        <is>
          <t>Ghana</t>
        </is>
      </c>
      <c r="F1152" s="3" t="inlineStr">
        <is>
          <t>All Items, Consumer price index (CPI), Period average, percent change</t>
        </is>
      </c>
      <c r="G1152" s="3" t="n">
        <v>25.112816</v>
      </c>
      <c r="H1152" s="3" t="n">
        <v>32.931825</v>
      </c>
      <c r="I1152" s="3" t="n">
        <v>14.845847</v>
      </c>
      <c r="J1152" s="3" t="n">
        <v>26.625592</v>
      </c>
      <c r="K1152" s="3" t="n">
        <v>12.666368</v>
      </c>
      <c r="L1152" s="3" t="n">
        <v>15.095332</v>
      </c>
      <c r="M1152" s="3" t="n">
        <v>11.682614</v>
      </c>
      <c r="N1152" s="3" t="n">
        <v>10.728863</v>
      </c>
      <c r="O1152" s="3" t="n">
        <v>16.504616</v>
      </c>
      <c r="P1152" s="3" t="n">
        <v>13.139147</v>
      </c>
      <c r="Q1152" s="3" t="n">
        <v>6.698393</v>
      </c>
      <c r="R1152" s="3" t="n">
        <v>7.67597</v>
      </c>
      <c r="S1152" s="3" t="n">
        <v>7.071986</v>
      </c>
      <c r="T1152" s="3" t="n">
        <v>11.666192</v>
      </c>
      <c r="U1152" s="3" t="n">
        <v>15.486428</v>
      </c>
      <c r="V1152" s="3" t="n">
        <v>17.153203</v>
      </c>
      <c r="W1152" s="3" t="n">
        <v>17.454635</v>
      </c>
      <c r="X1152" s="3" t="n">
        <v>12.371922</v>
      </c>
      <c r="Y1152" s="3" t="n">
        <v>9.837092999999999</v>
      </c>
      <c r="Z1152" s="3" t="n">
        <v>7.207705</v>
      </c>
      <c r="AA1152" s="3" t="n">
        <v>9.918253</v>
      </c>
      <c r="AB1152" s="3" t="n">
        <v>9.975686</v>
      </c>
      <c r="AC1152" s="3" t="n">
        <v>31.921099</v>
      </c>
      <c r="AD1152" s="3" t="n">
        <v>39.210001</v>
      </c>
      <c r="AE1152" s="3" t="n">
        <v>22.874842</v>
      </c>
      <c r="AF1152" s="3" t="n">
        <v>14.195258</v>
      </c>
      <c r="AG1152" s="3" t="n">
        <v>5.780799</v>
      </c>
      <c r="AH1152" s="3" t="n">
        <v>7.765469</v>
      </c>
      <c r="AI1152" s="3" t="n">
        <v>8</v>
      </c>
      <c r="AJ1152" s="3" t="n">
        <v>8</v>
      </c>
      <c r="AK1152" s="3" t="n">
        <v>8</v>
      </c>
      <c r="AL1152" s="3" t="n">
        <v>8</v>
      </c>
      <c r="AM1152" s="3" t="n"/>
      <c r="AN1152" s="3" t="n"/>
      <c r="AO1152" s="3" t="n"/>
      <c r="AP1152" s="3" t="n"/>
      <c r="AQ1152" s="3" t="n"/>
      <c r="AR1152" s="3" t="n"/>
      <c r="AS1152" s="3" t="n"/>
      <c r="AT1152" s="3" t="n"/>
      <c r="AU1152" s="3" t="n"/>
    </row>
    <row r="1153">
      <c r="A1153" s="3" t="n">
        <v>2031</v>
      </c>
      <c r="B1153" s="3" t="inlineStr">
        <is>
          <t>GHA</t>
        </is>
      </c>
      <c r="C1153" s="3" t="inlineStr">
        <is>
          <t>IMF.RES:WEO</t>
        </is>
      </c>
      <c r="D1153" s="3" t="inlineStr">
        <is>
          <t>GHA.PPPPC.A</t>
        </is>
      </c>
      <c r="E1153" s="3" t="inlineStr">
        <is>
          <t>Ghana</t>
        </is>
      </c>
      <c r="F1153" s="3" t="inlineStr">
        <is>
          <t>Gross domestic product (GDP), Per capita, purchasing power parity (PPP) international dollar, ICP benchmarks 2017-2021</t>
        </is>
      </c>
      <c r="G1153" s="3" t="n">
        <v>2113.29918</v>
      </c>
      <c r="H1153" s="3" t="n">
        <v>2184.635027</v>
      </c>
      <c r="I1153" s="3" t="n">
        <v>2258.066188</v>
      </c>
      <c r="J1153" s="3" t="n">
        <v>2355.886153</v>
      </c>
      <c r="K1153" s="3" t="n">
        <v>2483.314028</v>
      </c>
      <c r="L1153" s="3" t="n">
        <v>2650.323599</v>
      </c>
      <c r="M1153" s="3" t="n">
        <v>2816.783466</v>
      </c>
      <c r="N1153" s="3" t="n">
        <v>2934.346262</v>
      </c>
      <c r="O1153" s="3" t="n">
        <v>3178.450476</v>
      </c>
      <c r="P1153" s="3" t="n">
        <v>3296.434844</v>
      </c>
      <c r="Q1153" s="3" t="n">
        <v>3509.590735</v>
      </c>
      <c r="R1153" s="3" t="n">
        <v>3984.871567</v>
      </c>
      <c r="S1153" s="3" t="n">
        <v>4295.696781</v>
      </c>
      <c r="T1153" s="3" t="n">
        <v>4573.612127</v>
      </c>
      <c r="U1153" s="3" t="n">
        <v>4674.315386</v>
      </c>
      <c r="V1153" s="3" t="n">
        <v>4707.867508</v>
      </c>
      <c r="W1153" s="3" t="n">
        <v>4802.364617</v>
      </c>
      <c r="X1153" s="3" t="n">
        <v>5170.963583</v>
      </c>
      <c r="Y1153" s="3" t="n">
        <v>5536.496327</v>
      </c>
      <c r="Z1153" s="3" t="n">
        <v>6002.551026</v>
      </c>
      <c r="AA1153" s="3" t="n">
        <v>6047.302147</v>
      </c>
      <c r="AB1153" s="3" t="n">
        <v>6607.50389</v>
      </c>
      <c r="AC1153" s="3" t="n">
        <v>7207.889259</v>
      </c>
      <c r="AD1153" s="3" t="n">
        <v>7562.625824</v>
      </c>
      <c r="AE1153" s="3" t="n">
        <v>8051.188127</v>
      </c>
      <c r="AF1153" s="3" t="n">
        <v>8613.249293999999</v>
      </c>
      <c r="AG1153" s="3" t="n">
        <v>9116.248240999999</v>
      </c>
      <c r="AH1153" s="3" t="n">
        <v>9605.837159999999</v>
      </c>
      <c r="AI1153" s="3" t="n">
        <v>10076.552752</v>
      </c>
      <c r="AJ1153" s="3" t="n">
        <v>10587.918362</v>
      </c>
      <c r="AK1153" s="3" t="n">
        <v>11134.283695</v>
      </c>
      <c r="AL1153" s="3" t="n">
        <v>11707.639232</v>
      </c>
      <c r="AM1153" s="3" t="n"/>
      <c r="AN1153" s="3" t="n"/>
      <c r="AO1153" s="3" t="n"/>
      <c r="AP1153" s="3" t="n"/>
      <c r="AQ1153" s="3" t="n"/>
      <c r="AR1153" s="3" t="n"/>
      <c r="AS1153" s="3" t="n"/>
      <c r="AT1153" s="3" t="n"/>
      <c r="AU1153" s="3" t="n"/>
    </row>
    <row r="1154">
      <c r="A1154" s="3" t="n">
        <v>2025</v>
      </c>
      <c r="B1154" s="3" t="inlineStr">
        <is>
          <t>GHA</t>
        </is>
      </c>
      <c r="C1154" s="3" t="inlineStr">
        <is>
          <t>IMF.STA:ER</t>
        </is>
      </c>
      <c r="D1154" s="3" t="inlineStr">
        <is>
          <t>GHA.XDC_USD.PA_RT.A</t>
        </is>
      </c>
      <c r="E1154" s="3" t="inlineStr">
        <is>
          <t>Ghana</t>
        </is>
      </c>
      <c r="F1154" s="3" t="inlineStr">
        <is>
          <t>Domestic currency per US Dollar</t>
        </is>
      </c>
      <c r="G1154" s="3" t="n">
        <v>0.544919175868766</v>
      </c>
      <c r="H1154" s="3" t="n">
        <v>0.716305157808995</v>
      </c>
      <c r="I1154" s="3" t="n">
        <v>0.792417084313167</v>
      </c>
      <c r="J1154" s="3" t="n">
        <v>0.866764326525345</v>
      </c>
      <c r="K1154" s="3" t="n">
        <v>0.899494854007062</v>
      </c>
      <c r="L1154" s="3" t="n">
        <v>0.905209485833333</v>
      </c>
      <c r="M1154" s="3" t="n">
        <v>0.915106799166666</v>
      </c>
      <c r="N1154" s="3" t="n">
        <v>0.932619195</v>
      </c>
      <c r="O1154" s="3" t="n">
        <v>1.052275</v>
      </c>
      <c r="P1154" s="3" t="n">
        <v>1.40496666666666</v>
      </c>
      <c r="Q1154" s="3" t="n">
        <v>1.42998333333333</v>
      </c>
      <c r="R1154" s="3" t="n">
        <v>1.520625</v>
      </c>
      <c r="S1154" s="3" t="n">
        <v>1.82486666666666</v>
      </c>
      <c r="T1154" s="3" t="n">
        <v>1.98135</v>
      </c>
      <c r="U1154" s="3" t="n">
        <v>2.896575</v>
      </c>
      <c r="V1154" s="3" t="n">
        <v>3.71464166666666</v>
      </c>
      <c r="W1154" s="3" t="n">
        <v>3.90981666666666</v>
      </c>
      <c r="X1154" s="3" t="n">
        <v>4.35053333333333</v>
      </c>
      <c r="Y1154" s="3" t="n">
        <v>4.585325</v>
      </c>
      <c r="Z1154" s="3" t="n">
        <v>5.21736666666666</v>
      </c>
      <c r="AA1154" s="3" t="n">
        <v>5.59570833333333</v>
      </c>
      <c r="AB1154" s="3" t="n">
        <v>5.8057</v>
      </c>
      <c r="AC1154" s="3" t="n">
        <v>8.272399999999999</v>
      </c>
      <c r="AD1154" s="3" t="n">
        <v>11.0204083333333</v>
      </c>
      <c r="AE1154" s="3" t="n">
        <v>14.1819416666666</v>
      </c>
      <c r="AF1154" s="3" t="n">
        <v>12.556825</v>
      </c>
      <c r="AG1154" s="3" t="n"/>
      <c r="AH1154" s="3" t="n"/>
      <c r="AI1154" s="3" t="n"/>
      <c r="AJ1154" s="3" t="n"/>
      <c r="AK1154" s="3" t="n"/>
      <c r="AL1154" s="3" t="n"/>
      <c r="AM1154" s="3" t="n"/>
      <c r="AN1154" s="3" t="n"/>
      <c r="AO1154" s="3" t="n"/>
      <c r="AP1154" s="3" t="n"/>
      <c r="AQ1154" s="3" t="n"/>
      <c r="AR1154" s="3" t="n"/>
      <c r="AS1154" s="3" t="n"/>
      <c r="AT1154" s="3" t="n"/>
      <c r="AU1154" s="3" t="n"/>
    </row>
    <row r="1155">
      <c r="A1155" s="3" t="n">
        <v>2025</v>
      </c>
      <c r="B1155" s="3" t="inlineStr">
        <is>
          <t>GIB</t>
        </is>
      </c>
      <c r="C1155" s="3" t="inlineStr">
        <is>
          <t>IMF.STA:ER</t>
        </is>
      </c>
      <c r="D1155" s="3" t="inlineStr">
        <is>
          <t>GIB.XDC_USD.PA_RT.A</t>
        </is>
      </c>
      <c r="E1155" s="3" t="inlineStr">
        <is>
          <t>Gibraltar</t>
        </is>
      </c>
      <c r="F1155" s="3" t="inlineStr">
        <is>
          <t>Domestic currency per US Dollar</t>
        </is>
      </c>
      <c r="G1155" s="3" t="n">
        <v>0.660930833333333</v>
      </c>
      <c r="H1155" s="3" t="n">
        <v>0.694655</v>
      </c>
      <c r="I1155" s="3" t="n">
        <v>0.6672233333333329</v>
      </c>
      <c r="J1155" s="3" t="n">
        <v>0.6124725</v>
      </c>
      <c r="K1155" s="3" t="n">
        <v>0.54618</v>
      </c>
      <c r="L1155" s="3" t="n">
        <v>0.549998333333333</v>
      </c>
      <c r="M1155" s="3" t="n">
        <v>0.543486666666667</v>
      </c>
      <c r="N1155" s="3" t="n">
        <v>0.499771666666667</v>
      </c>
      <c r="O1155" s="3" t="n">
        <v>0.54396625</v>
      </c>
      <c r="P1155" s="3" t="n">
        <v>0.641919263495996</v>
      </c>
      <c r="Q1155" s="3" t="n">
        <v>0.647179345560165</v>
      </c>
      <c r="R1155" s="3" t="n">
        <v>0.6241408357404949</v>
      </c>
      <c r="S1155" s="3" t="n">
        <v>0.633046988857327</v>
      </c>
      <c r="T1155" s="3" t="n">
        <v>0.6396605776134771</v>
      </c>
      <c r="U1155" s="3" t="n">
        <v>0.607729626878255</v>
      </c>
      <c r="V1155" s="3" t="n">
        <v>0.654545478931426</v>
      </c>
      <c r="W1155" s="3" t="n">
        <v>0.740634463697084</v>
      </c>
      <c r="X1155" s="3" t="n">
        <v>0.776976682344123</v>
      </c>
      <c r="Y1155" s="3" t="n">
        <v>0.749531540259847</v>
      </c>
      <c r="Z1155" s="3" t="n">
        <v>0.783445110011929</v>
      </c>
      <c r="AA1155" s="3" t="n">
        <v>0.779999576697153</v>
      </c>
      <c r="AB1155" s="3" t="n">
        <v>0.7270649446883219</v>
      </c>
      <c r="AC1155" s="3" t="n">
        <v>0.811301715827773</v>
      </c>
      <c r="AD1155" s="3" t="n">
        <v>0.804538906734353</v>
      </c>
      <c r="AE1155" s="3" t="n">
        <v>0.782414580986261</v>
      </c>
      <c r="AF1155" s="3" t="n">
        <v>0.759473957338607</v>
      </c>
      <c r="AG1155" s="3" t="n"/>
      <c r="AH1155" s="3" t="n"/>
      <c r="AI1155" s="3" t="n"/>
      <c r="AJ1155" s="3" t="n"/>
      <c r="AK1155" s="3" t="n"/>
      <c r="AL1155" s="3" t="n"/>
      <c r="AM1155" s="3" t="n"/>
      <c r="AN1155" s="3" t="n"/>
      <c r="AO1155" s="3" t="n"/>
      <c r="AP1155" s="3" t="n"/>
      <c r="AQ1155" s="3" t="n"/>
      <c r="AR1155" s="3" t="n"/>
      <c r="AS1155" s="3" t="n"/>
      <c r="AT1155" s="3" t="n"/>
      <c r="AU1155" s="3" t="n"/>
    </row>
    <row r="1156">
      <c r="A1156" s="3" t="n">
        <v>2031</v>
      </c>
      <c r="B1156" s="3" t="inlineStr">
        <is>
          <t>GIN</t>
        </is>
      </c>
      <c r="C1156" s="3" t="inlineStr">
        <is>
          <t>IMF.RES:WEO</t>
        </is>
      </c>
      <c r="D1156" s="3" t="inlineStr">
        <is>
          <t>GIN.BCA.A</t>
        </is>
      </c>
      <c r="E1156" s="3" t="inlineStr">
        <is>
          <t>Guinea</t>
        </is>
      </c>
      <c r="F1156" s="3" t="inlineStr">
        <is>
          <t>Current account balance (credit less debit), US dollar</t>
        </is>
      </c>
      <c r="G1156" s="3" t="n">
        <v>-0.122995</v>
      </c>
      <c r="H1156" s="3" t="n">
        <v>0.012422</v>
      </c>
      <c r="I1156" s="3" t="n">
        <v>-0.00031</v>
      </c>
      <c r="J1156" s="3" t="n">
        <v>-0.002334</v>
      </c>
      <c r="K1156" s="3" t="n">
        <v>-0.091698</v>
      </c>
      <c r="L1156" s="3" t="n">
        <v>-0.03741</v>
      </c>
      <c r="M1156" s="3" t="n">
        <v>-0.130573</v>
      </c>
      <c r="N1156" s="3" t="n">
        <v>-0.460988</v>
      </c>
      <c r="O1156" s="3" t="n">
        <v>-0.45854</v>
      </c>
      <c r="P1156" s="3" t="n">
        <v>-0.380875</v>
      </c>
      <c r="Q1156" s="3" t="n">
        <v>-0.438716</v>
      </c>
      <c r="R1156" s="3" t="n">
        <v>-1.107358</v>
      </c>
      <c r="S1156" s="3" t="n">
        <v>-1.455587</v>
      </c>
      <c r="T1156" s="3" t="n">
        <v>-1.048048</v>
      </c>
      <c r="U1156" s="3" t="n">
        <v>-1.263208</v>
      </c>
      <c r="V1156" s="3" t="n">
        <v>-1.102497</v>
      </c>
      <c r="W1156" s="3" t="n">
        <v>-2.637625</v>
      </c>
      <c r="X1156" s="3" t="n">
        <v>-0.696445</v>
      </c>
      <c r="Y1156" s="3" t="n">
        <v>-2.193119</v>
      </c>
      <c r="Z1156" s="3" t="n">
        <v>-2.084808</v>
      </c>
      <c r="AA1156" s="3" t="n">
        <v>-2.263712</v>
      </c>
      <c r="AB1156" s="3" t="n">
        <v>0.675501</v>
      </c>
      <c r="AC1156" s="3" t="n">
        <v>-1.113412</v>
      </c>
      <c r="AD1156" s="3" t="n">
        <v>-2.148021</v>
      </c>
      <c r="AE1156" s="3" t="n">
        <v>-3.555348</v>
      </c>
      <c r="AF1156" s="3" t="n">
        <v>-6.07159</v>
      </c>
      <c r="AG1156" s="3" t="n">
        <v>-1.081592</v>
      </c>
      <c r="AH1156" s="3" t="n">
        <v>0.026433</v>
      </c>
      <c r="AI1156" s="3" t="n">
        <v>0.062885</v>
      </c>
      <c r="AJ1156" s="3" t="n">
        <v>-0.344118</v>
      </c>
      <c r="AK1156" s="3" t="n">
        <v>-0.955767</v>
      </c>
      <c r="AL1156" s="3" t="n">
        <v>-0.677219</v>
      </c>
      <c r="AM1156" s="3" t="n"/>
      <c r="AN1156" s="3" t="n"/>
      <c r="AO1156" s="3" t="n"/>
      <c r="AP1156" s="3" t="n"/>
      <c r="AQ1156" s="3" t="n"/>
      <c r="AR1156" s="3" t="n"/>
      <c r="AS1156" s="3" t="n"/>
      <c r="AT1156" s="3" t="n"/>
      <c r="AU1156" s="3" t="n"/>
    </row>
    <row r="1157">
      <c r="A1157" s="3" t="n">
        <v>2031</v>
      </c>
      <c r="B1157" s="3" t="inlineStr">
        <is>
          <t>GIN</t>
        </is>
      </c>
      <c r="C1157" s="3" t="inlineStr">
        <is>
          <t>IMF.RES:WEO</t>
        </is>
      </c>
      <c r="D1157" s="3" t="inlineStr">
        <is>
          <t>GIN.BCA_NGDPD.A</t>
        </is>
      </c>
      <c r="E1157" s="3" t="inlineStr">
        <is>
          <t>Guinea</t>
        </is>
      </c>
      <c r="F1157" s="3" t="inlineStr">
        <is>
          <t>Current account balance (credit less debit), Percent of GDP</t>
        </is>
      </c>
      <c r="G1157" s="3" t="n">
        <v>-3.045304</v>
      </c>
      <c r="H1157" s="3" t="n">
        <v>0.326372</v>
      </c>
      <c r="I1157" s="3" t="n">
        <v>-0.007709</v>
      </c>
      <c r="J1157" s="3" t="n">
        <v>-0.049038</v>
      </c>
      <c r="K1157" s="3" t="n">
        <v>-1.829598</v>
      </c>
      <c r="L1157" s="3" t="n">
        <v>-0.830156</v>
      </c>
      <c r="M1157" s="3" t="n">
        <v>-3.124907</v>
      </c>
      <c r="N1157" s="3" t="n">
        <v>-7.298004</v>
      </c>
      <c r="O1157" s="3" t="n">
        <v>-6.582158</v>
      </c>
      <c r="P1157" s="3" t="n">
        <v>-5.640121</v>
      </c>
      <c r="Q1157" s="3" t="n">
        <v>-6.397269</v>
      </c>
      <c r="R1157" s="3" t="n">
        <v>-16.343707</v>
      </c>
      <c r="S1157" s="3" t="n">
        <v>-19.704267</v>
      </c>
      <c r="T1157" s="3" t="n">
        <v>-12.512769</v>
      </c>
      <c r="U1157" s="3" t="n">
        <v>-14.392558</v>
      </c>
      <c r="V1157" s="3" t="n">
        <v>-12.542607</v>
      </c>
      <c r="W1157" s="3" t="n">
        <v>-30.655519</v>
      </c>
      <c r="X1157" s="3" t="n">
        <v>-6.745444</v>
      </c>
      <c r="Y1157" s="3" t="n">
        <v>-18.496365</v>
      </c>
      <c r="Z1157" s="3" t="n">
        <v>-15.508381</v>
      </c>
      <c r="AA1157" s="3" t="n">
        <v>-16.067596</v>
      </c>
      <c r="AB1157" s="3" t="n">
        <v>4.139003</v>
      </c>
      <c r="AC1157" s="3" t="n">
        <v>-5.683722</v>
      </c>
      <c r="AD1157" s="3" t="n">
        <v>-9.724242</v>
      </c>
      <c r="AE1157" s="3" t="n">
        <v>-14.671747</v>
      </c>
      <c r="AF1157" s="3" t="n">
        <v>-22.309673</v>
      </c>
      <c r="AG1157" s="3" t="n">
        <v>-3.613724</v>
      </c>
      <c r="AH1157" s="3" t="n">
        <v>0.080349</v>
      </c>
      <c r="AI1157" s="3" t="n">
        <v>0.173515</v>
      </c>
      <c r="AJ1157" s="3" t="n">
        <v>-0.858104</v>
      </c>
      <c r="AK1157" s="3" t="n">
        <v>-2.178294</v>
      </c>
      <c r="AL1157" s="3" t="n">
        <v>-1.42471</v>
      </c>
      <c r="AM1157" s="3" t="n"/>
      <c r="AN1157" s="3" t="n"/>
      <c r="AO1157" s="3" t="n"/>
      <c r="AP1157" s="3" t="n"/>
      <c r="AQ1157" s="3" t="n"/>
      <c r="AR1157" s="3" t="n"/>
      <c r="AS1157" s="3" t="n"/>
      <c r="AT1157" s="3" t="n"/>
      <c r="AU1157" s="3" t="n"/>
    </row>
    <row r="1158">
      <c r="A1158" s="3" t="n">
        <v>2031</v>
      </c>
      <c r="B1158" s="3" t="inlineStr">
        <is>
          <t>GIN</t>
        </is>
      </c>
      <c r="C1158" s="3" t="inlineStr">
        <is>
          <t>IMF.RES:WEO</t>
        </is>
      </c>
      <c r="D1158" s="3" t="inlineStr">
        <is>
          <t>GIN.GGR_NGDP.A</t>
        </is>
      </c>
      <c r="E1158" s="3" t="inlineStr">
        <is>
          <t>Guinea</t>
        </is>
      </c>
      <c r="F1158" s="3" t="inlineStr">
        <is>
          <t>Revenue, General government, Percent of GDP</t>
        </is>
      </c>
      <c r="G1158" s="3" t="n">
        <v>10.202254</v>
      </c>
      <c r="H1158" s="3" t="n">
        <v>11.69449</v>
      </c>
      <c r="I1158" s="3" t="n">
        <v>11.033888</v>
      </c>
      <c r="J1158" s="3" t="n">
        <v>10.085056</v>
      </c>
      <c r="K1158" s="3" t="n">
        <v>9.135166999999999</v>
      </c>
      <c r="L1158" s="3" t="n">
        <v>9.934309000000001</v>
      </c>
      <c r="M1158" s="3" t="n">
        <v>11.0353</v>
      </c>
      <c r="N1158" s="3" t="n">
        <v>9.937010000000001</v>
      </c>
      <c r="O1158" s="3" t="n">
        <v>10.459306</v>
      </c>
      <c r="P1158" s="3" t="n">
        <v>11.357262</v>
      </c>
      <c r="Q1158" s="3" t="n">
        <v>10.849415</v>
      </c>
      <c r="R1158" s="3" t="n">
        <v>15.105764</v>
      </c>
      <c r="S1158" s="3" t="n">
        <v>43.272784</v>
      </c>
      <c r="T1158" s="3" t="n">
        <v>14.765355</v>
      </c>
      <c r="U1158" s="3" t="n">
        <v>17.049808</v>
      </c>
      <c r="V1158" s="3" t="n">
        <v>15.150966</v>
      </c>
      <c r="W1158" s="3" t="n">
        <v>15.988838</v>
      </c>
      <c r="X1158" s="3" t="n">
        <v>15.284352</v>
      </c>
      <c r="Y1158" s="3" t="n">
        <v>14.942081</v>
      </c>
      <c r="Z1158" s="3" t="n">
        <v>14.714512</v>
      </c>
      <c r="AA1158" s="3" t="n">
        <v>13.995003</v>
      </c>
      <c r="AB1158" s="3" t="n">
        <v>13.395774</v>
      </c>
      <c r="AC1158" s="3" t="n">
        <v>13.812646</v>
      </c>
      <c r="AD1158" s="3" t="n">
        <v>14.420166</v>
      </c>
      <c r="AE1158" s="3" t="n">
        <v>15.570548</v>
      </c>
      <c r="AF1158" s="3" t="n">
        <v>18.150579</v>
      </c>
      <c r="AG1158" s="3" t="n">
        <v>17.810818</v>
      </c>
      <c r="AH1158" s="3" t="n">
        <v>17.884098</v>
      </c>
      <c r="AI1158" s="3" t="n">
        <v>18.224459</v>
      </c>
      <c r="AJ1158" s="3" t="n">
        <v>18.215386</v>
      </c>
      <c r="AK1158" s="3" t="n">
        <v>18.152137</v>
      </c>
      <c r="AL1158" s="3" t="n">
        <v>18.136755</v>
      </c>
      <c r="AM1158" s="3" t="n"/>
      <c r="AN1158" s="3" t="n"/>
      <c r="AO1158" s="3" t="n"/>
      <c r="AP1158" s="3" t="n"/>
      <c r="AQ1158" s="3" t="n"/>
      <c r="AR1158" s="3" t="n"/>
      <c r="AS1158" s="3" t="n"/>
      <c r="AT1158" s="3" t="n"/>
      <c r="AU1158" s="3" t="n"/>
    </row>
    <row r="1159">
      <c r="A1159" s="3" t="n">
        <v>2031</v>
      </c>
      <c r="B1159" s="3" t="inlineStr">
        <is>
          <t>GIN</t>
        </is>
      </c>
      <c r="C1159" s="3" t="inlineStr">
        <is>
          <t>IMF.RES:WEO</t>
        </is>
      </c>
      <c r="D1159" s="3" t="inlineStr">
        <is>
          <t>GIN.GGX_NGDP.A</t>
        </is>
      </c>
      <c r="E1159" s="3" t="inlineStr">
        <is>
          <t>Guinea</t>
        </is>
      </c>
      <c r="F1159" s="3" t="inlineStr">
        <is>
          <t>Expenditure, General government, Percent of GDP</t>
        </is>
      </c>
      <c r="G1159" s="3" t="n">
        <v>12.623127</v>
      </c>
      <c r="H1159" s="3" t="n">
        <v>14.924542</v>
      </c>
      <c r="I1159" s="3" t="n">
        <v>14.40723</v>
      </c>
      <c r="J1159" s="3" t="n">
        <v>14.739921</v>
      </c>
      <c r="K1159" s="3" t="n">
        <v>12.980826</v>
      </c>
      <c r="L1159" s="3" t="n">
        <v>10.989685</v>
      </c>
      <c r="M1159" s="3" t="n">
        <v>13.164212</v>
      </c>
      <c r="N1159" s="3" t="n">
        <v>8.656333</v>
      </c>
      <c r="O1159" s="3" t="n">
        <v>10.07452</v>
      </c>
      <c r="P1159" s="3" t="n">
        <v>16.225316</v>
      </c>
      <c r="Q1159" s="3" t="n">
        <v>20.509919</v>
      </c>
      <c r="R1159" s="3" t="n">
        <v>16.02674</v>
      </c>
      <c r="S1159" s="3" t="n">
        <v>19.555407</v>
      </c>
      <c r="T1159" s="3" t="n">
        <v>18.622654</v>
      </c>
      <c r="U1159" s="3" t="n">
        <v>20.063629</v>
      </c>
      <c r="V1159" s="3" t="n">
        <v>21.681626</v>
      </c>
      <c r="W1159" s="3" t="n">
        <v>16.072626</v>
      </c>
      <c r="X1159" s="3" t="n">
        <v>17.269124</v>
      </c>
      <c r="Y1159" s="3" t="n">
        <v>15.915777</v>
      </c>
      <c r="Z1159" s="3" t="n">
        <v>14.883656</v>
      </c>
      <c r="AA1159" s="3" t="n">
        <v>17.076458</v>
      </c>
      <c r="AB1159" s="3" t="n">
        <v>15.100757</v>
      </c>
      <c r="AC1159" s="3" t="n">
        <v>15.693651</v>
      </c>
      <c r="AD1159" s="3" t="n">
        <v>18.278649</v>
      </c>
      <c r="AE1159" s="3" t="n">
        <v>20.560494</v>
      </c>
      <c r="AF1159" s="3" t="n">
        <v>25.150579</v>
      </c>
      <c r="AG1159" s="3" t="n">
        <v>22.772281</v>
      </c>
      <c r="AH1159" s="3" t="n">
        <v>22.05717</v>
      </c>
      <c r="AI1159" s="3" t="n">
        <v>21.724459</v>
      </c>
      <c r="AJ1159" s="3" t="n">
        <v>21.215386</v>
      </c>
      <c r="AK1159" s="3" t="n">
        <v>20.852137</v>
      </c>
      <c r="AL1159" s="3" t="n">
        <v>20.636755</v>
      </c>
      <c r="AM1159" s="3" t="n"/>
      <c r="AN1159" s="3" t="n"/>
      <c r="AO1159" s="3" t="n"/>
      <c r="AP1159" s="3" t="n"/>
      <c r="AQ1159" s="3" t="n"/>
      <c r="AR1159" s="3" t="n"/>
      <c r="AS1159" s="3" t="n"/>
      <c r="AT1159" s="3" t="n"/>
      <c r="AU1159" s="3" t="n"/>
    </row>
    <row r="1160">
      <c r="A1160" s="3" t="n">
        <v>2031</v>
      </c>
      <c r="B1160" s="3" t="inlineStr">
        <is>
          <t>GIN</t>
        </is>
      </c>
      <c r="C1160" s="3" t="inlineStr">
        <is>
          <t>IMF.RES:WEO</t>
        </is>
      </c>
      <c r="D1160" s="3" t="inlineStr">
        <is>
          <t>GIN.LP.A</t>
        </is>
      </c>
      <c r="E1160" s="3" t="inlineStr">
        <is>
          <t>Guinea</t>
        </is>
      </c>
      <c r="F1160" s="3" t="inlineStr">
        <is>
          <t>Population, Persons for countries / Index for country groups</t>
        </is>
      </c>
      <c r="G1160" s="3" t="n">
        <v>8.746128000000001</v>
      </c>
      <c r="H1160" s="3" t="n">
        <v>8.895353</v>
      </c>
      <c r="I1160" s="3" t="n">
        <v>9.045748</v>
      </c>
      <c r="J1160" s="3" t="n">
        <v>9.204580999999999</v>
      </c>
      <c r="K1160" s="3" t="n">
        <v>9.379621</v>
      </c>
      <c r="L1160" s="3" t="n">
        <v>9.576331</v>
      </c>
      <c r="M1160" s="3" t="n">
        <v>9.798963000000001</v>
      </c>
      <c r="N1160" s="3" t="n">
        <v>10.046967</v>
      </c>
      <c r="O1160" s="3" t="n">
        <v>10.314678</v>
      </c>
      <c r="P1160" s="3" t="n">
        <v>10.593248</v>
      </c>
      <c r="Q1160" s="3" t="n">
        <v>10.876033</v>
      </c>
      <c r="R1160" s="3" t="n">
        <v>11.16153</v>
      </c>
      <c r="S1160" s="3" t="n">
        <v>11.451273</v>
      </c>
      <c r="T1160" s="3" t="n">
        <v>11.745189</v>
      </c>
      <c r="U1160" s="3" t="n">
        <v>12.044</v>
      </c>
      <c r="V1160" s="3" t="n">
        <v>12.3451</v>
      </c>
      <c r="W1160" s="3" t="n">
        <v>12.653728</v>
      </c>
      <c r="X1160" s="3" t="n">
        <v>12.970071</v>
      </c>
      <c r="Y1160" s="3" t="n">
        <v>13.294322</v>
      </c>
      <c r="Z1160" s="3" t="n">
        <v>13.626681</v>
      </c>
      <c r="AA1160" s="3" t="n">
        <v>13.967348</v>
      </c>
      <c r="AB1160" s="3" t="n">
        <v>14.316531</v>
      </c>
      <c r="AC1160" s="3" t="n">
        <v>14.674444</v>
      </c>
      <c r="AD1160" s="3" t="n">
        <v>15.041306</v>
      </c>
      <c r="AE1160" s="3" t="n">
        <v>15.417338</v>
      </c>
      <c r="AF1160" s="3" t="n">
        <v>15.802772</v>
      </c>
      <c r="AG1160" s="3" t="n">
        <v>16.197841</v>
      </c>
      <c r="AH1160" s="3" t="n">
        <v>16.602787</v>
      </c>
      <c r="AI1160" s="3" t="n">
        <v>17.017857</v>
      </c>
      <c r="AJ1160" s="3" t="n">
        <v>17.443303</v>
      </c>
      <c r="AK1160" s="3" t="n">
        <v>17.879386</v>
      </c>
      <c r="AL1160" s="3" t="n">
        <v>18.32637</v>
      </c>
      <c r="AM1160" s="3" t="n"/>
      <c r="AN1160" s="3" t="n"/>
      <c r="AO1160" s="3" t="n"/>
      <c r="AP1160" s="3" t="n"/>
      <c r="AQ1160" s="3" t="n"/>
      <c r="AR1160" s="3" t="n"/>
      <c r="AS1160" s="3" t="n"/>
      <c r="AT1160" s="3" t="n"/>
      <c r="AU1160" s="3" t="n"/>
    </row>
    <row r="1161">
      <c r="A1161" s="3" t="n">
        <v>2031</v>
      </c>
      <c r="B1161" s="3" t="inlineStr">
        <is>
          <t>GIN</t>
        </is>
      </c>
      <c r="C1161" s="3" t="inlineStr">
        <is>
          <t>IMF.RES:WEO</t>
        </is>
      </c>
      <c r="D1161" s="3" t="inlineStr">
        <is>
          <t>GIN.NGDP.A</t>
        </is>
      </c>
      <c r="E1161" s="3" t="inlineStr">
        <is>
          <t>Guinea</t>
        </is>
      </c>
      <c r="F1161" s="3" t="inlineStr">
        <is>
          <t>Gross domestic product (GDP), Current prices, Domestic currency</t>
        </is>
      </c>
      <c r="G1161" s="3" t="n">
        <v>7055.303947</v>
      </c>
      <c r="H1161" s="3" t="n">
        <v>7424.090911</v>
      </c>
      <c r="I1161" s="3" t="n">
        <v>7947.460555</v>
      </c>
      <c r="J1161" s="3" t="n">
        <v>9446.370375</v>
      </c>
      <c r="K1161" s="3" t="n">
        <v>11246.356641</v>
      </c>
      <c r="L1161" s="3" t="n">
        <v>16422.581475</v>
      </c>
      <c r="M1161" s="3" t="n">
        <v>21728</v>
      </c>
      <c r="N1161" s="3" t="n">
        <v>26369</v>
      </c>
      <c r="O1161" s="3" t="n">
        <v>32046</v>
      </c>
      <c r="P1161" s="3" t="n">
        <v>32248</v>
      </c>
      <c r="Q1161" s="3" t="n">
        <v>39243.5</v>
      </c>
      <c r="R1161" s="3" t="n">
        <v>45176</v>
      </c>
      <c r="S1161" s="3" t="n">
        <v>51605.010067</v>
      </c>
      <c r="T1161" s="3" t="n">
        <v>57864.62732</v>
      </c>
      <c r="U1161" s="3" t="n">
        <v>61573.256815</v>
      </c>
      <c r="V1161" s="3" t="n">
        <v>65829.149255</v>
      </c>
      <c r="W1161" s="3" t="n">
        <v>77087.903007</v>
      </c>
      <c r="X1161" s="3" t="n">
        <v>93833.929751</v>
      </c>
      <c r="Y1161" s="3" t="n">
        <v>106845.291576</v>
      </c>
      <c r="Z1161" s="3" t="n">
        <v>123457.57124</v>
      </c>
      <c r="AA1161" s="3" t="n">
        <v>134759.569776</v>
      </c>
      <c r="AB1161" s="3" t="n">
        <v>159336</v>
      </c>
      <c r="AC1161" s="3" t="n">
        <v>170313</v>
      </c>
      <c r="AD1161" s="3" t="n">
        <v>191158.499982</v>
      </c>
      <c r="AE1161" s="3" t="n">
        <v>208853.050299</v>
      </c>
      <c r="AF1161" s="3" t="n">
        <v>233871.053661</v>
      </c>
      <c r="AG1161" s="3" t="n">
        <v>265905.962626</v>
      </c>
      <c r="AH1161" s="3" t="n">
        <v>302688.583117</v>
      </c>
      <c r="AI1161" s="3" t="n">
        <v>343282.440212</v>
      </c>
      <c r="AJ1161" s="3" t="n">
        <v>390357.992721</v>
      </c>
      <c r="AK1161" s="3" t="n">
        <v>437471.881387</v>
      </c>
      <c r="AL1161" s="3" t="n">
        <v>484024.424616</v>
      </c>
      <c r="AM1161" s="3" t="n"/>
      <c r="AN1161" s="3" t="n"/>
      <c r="AO1161" s="3" t="n"/>
      <c r="AP1161" s="3" t="n"/>
      <c r="AQ1161" s="3" t="n"/>
      <c r="AR1161" s="3" t="n"/>
      <c r="AS1161" s="3" t="n"/>
      <c r="AT1161" s="3" t="n"/>
      <c r="AU1161" s="3" t="n"/>
    </row>
    <row r="1162">
      <c r="A1162" s="3" t="n">
        <v>2031</v>
      </c>
      <c r="B1162" s="3" t="inlineStr">
        <is>
          <t>GIN</t>
        </is>
      </c>
      <c r="C1162" s="3" t="inlineStr">
        <is>
          <t>IMF.RES:WEO</t>
        </is>
      </c>
      <c r="D1162" s="3" t="inlineStr">
        <is>
          <t>GIN.NGDP_D.A</t>
        </is>
      </c>
      <c r="E1162" s="3" t="inlineStr">
        <is>
          <t>Guinea</t>
        </is>
      </c>
      <c r="F1162" s="3" t="inlineStr">
        <is>
          <t>Gross domestic product (GDP), Price deflator, Index</t>
        </is>
      </c>
      <c r="G1162" s="3" t="n">
        <v>24.402303</v>
      </c>
      <c r="H1162" s="3" t="n">
        <v>24.771602</v>
      </c>
      <c r="I1162" s="3" t="n">
        <v>25.215616</v>
      </c>
      <c r="J1162" s="3" t="n">
        <v>29.601733</v>
      </c>
      <c r="K1162" s="3" t="n">
        <v>34.436429</v>
      </c>
      <c r="L1162" s="3" t="n">
        <v>48.822719</v>
      </c>
      <c r="M1162" s="3" t="n">
        <v>63.021725</v>
      </c>
      <c r="N1162" s="3" t="n">
        <v>71.807091</v>
      </c>
      <c r="O1162" s="3" t="n">
        <v>83.795727</v>
      </c>
      <c r="P1162" s="3" t="n">
        <v>85.640685</v>
      </c>
      <c r="Q1162" s="3" t="n">
        <v>100</v>
      </c>
      <c r="R1162" s="3" t="n">
        <v>108.998084</v>
      </c>
      <c r="S1162" s="3" t="n">
        <v>117.558055</v>
      </c>
      <c r="T1162" s="3" t="n">
        <v>126.814007</v>
      </c>
      <c r="U1162" s="3" t="n">
        <v>130.131344</v>
      </c>
      <c r="V1162" s="3" t="n">
        <v>133.99921</v>
      </c>
      <c r="W1162" s="3" t="n">
        <v>141.595563</v>
      </c>
      <c r="X1162" s="3" t="n">
        <v>156.259994</v>
      </c>
      <c r="Y1162" s="3" t="n">
        <v>167.290438</v>
      </c>
      <c r="Z1162" s="3" t="n">
        <v>183.020603</v>
      </c>
      <c r="AA1162" s="3" t="n">
        <v>190.799204</v>
      </c>
      <c r="AB1162" s="3" t="n">
        <v>213.667328</v>
      </c>
      <c r="AC1162" s="3" t="n">
        <v>219.662342</v>
      </c>
      <c r="AD1162" s="3" t="n">
        <v>232.063048</v>
      </c>
      <c r="AE1162" s="3" t="n">
        <v>239.027291</v>
      </c>
      <c r="AF1162" s="3" t="n">
        <v>250.882987</v>
      </c>
      <c r="AG1162" s="3" t="n">
        <v>262.472977</v>
      </c>
      <c r="AH1162" s="3" t="n">
        <v>273.279235</v>
      </c>
      <c r="AI1162" s="3" t="n">
        <v>282.17127</v>
      </c>
      <c r="AJ1162" s="3" t="n">
        <v>291.099781</v>
      </c>
      <c r="AK1162" s="3" t="n">
        <v>300.635344</v>
      </c>
      <c r="AL1162" s="3" t="n">
        <v>310.156005</v>
      </c>
      <c r="AM1162" s="3" t="n"/>
      <c r="AN1162" s="3" t="n"/>
      <c r="AO1162" s="3" t="n"/>
      <c r="AP1162" s="3" t="n"/>
      <c r="AQ1162" s="3" t="n"/>
      <c r="AR1162" s="3" t="n"/>
      <c r="AS1162" s="3" t="n"/>
      <c r="AT1162" s="3" t="n"/>
      <c r="AU1162" s="3" t="n"/>
    </row>
    <row r="1163">
      <c r="A1163" s="3" t="n">
        <v>2031</v>
      </c>
      <c r="B1163" s="3" t="inlineStr">
        <is>
          <t>GIN</t>
        </is>
      </c>
      <c r="C1163" s="3" t="inlineStr">
        <is>
          <t>IMF.RES:WEO</t>
        </is>
      </c>
      <c r="D1163" s="3" t="inlineStr">
        <is>
          <t>GIN.NGDP_R.A</t>
        </is>
      </c>
      <c r="E1163" s="3" t="inlineStr">
        <is>
          <t>Guinea</t>
        </is>
      </c>
      <c r="F1163" s="3" t="inlineStr">
        <is>
          <t>Gross domestic product (GDP), Constant prices, Domestic currency</t>
        </is>
      </c>
      <c r="G1163" s="3" t="n">
        <v>28912.45085</v>
      </c>
      <c r="H1163" s="3" t="n">
        <v>29970.168476</v>
      </c>
      <c r="I1163" s="3" t="n">
        <v>31518.010634</v>
      </c>
      <c r="J1163" s="3" t="n">
        <v>31911.544912</v>
      </c>
      <c r="K1163" s="3" t="n">
        <v>32658.312499</v>
      </c>
      <c r="L1163" s="3" t="n">
        <v>33637.171138</v>
      </c>
      <c r="M1163" s="3" t="n">
        <v>34477</v>
      </c>
      <c r="N1163" s="3" t="n">
        <v>36722</v>
      </c>
      <c r="O1163" s="3" t="n">
        <v>38243</v>
      </c>
      <c r="P1163" s="3" t="n">
        <v>37655</v>
      </c>
      <c r="Q1163" s="3" t="n">
        <v>39243.5</v>
      </c>
      <c r="R1163" s="3" t="n">
        <v>41446.6</v>
      </c>
      <c r="S1163" s="3" t="n">
        <v>43897.468512</v>
      </c>
      <c r="T1163" s="3" t="n">
        <v>45629.523818</v>
      </c>
      <c r="U1163" s="3" t="n">
        <v>47316.238259</v>
      </c>
      <c r="V1163" s="3" t="n">
        <v>49126.52047</v>
      </c>
      <c r="W1163" s="3" t="n">
        <v>54442.315275</v>
      </c>
      <c r="X1163" s="3" t="n">
        <v>60049.874018</v>
      </c>
      <c r="Y1163" s="3" t="n">
        <v>63868.140409</v>
      </c>
      <c r="Z1163" s="3" t="n">
        <v>67455.55922900001</v>
      </c>
      <c r="AA1163" s="3" t="n">
        <v>70629</v>
      </c>
      <c r="AB1163" s="3" t="n">
        <v>74572</v>
      </c>
      <c r="AC1163" s="3" t="n">
        <v>77534</v>
      </c>
      <c r="AD1163" s="3" t="n">
        <v>82373.519608</v>
      </c>
      <c r="AE1163" s="3" t="n">
        <v>87376.236164</v>
      </c>
      <c r="AF1163" s="3" t="n">
        <v>93219.17628</v>
      </c>
      <c r="AG1163" s="3" t="n">
        <v>101307.93867</v>
      </c>
      <c r="AH1163" s="3" t="n">
        <v>110761.647473</v>
      </c>
      <c r="AI1163" s="3" t="n">
        <v>121657.474403</v>
      </c>
      <c r="AJ1163" s="3" t="n">
        <v>134097.659213</v>
      </c>
      <c r="AK1163" s="3" t="n">
        <v>145515.784974</v>
      </c>
      <c r="AL1163" s="3" t="n">
        <v>156058.375928</v>
      </c>
      <c r="AM1163" s="3" t="n"/>
      <c r="AN1163" s="3" t="n"/>
      <c r="AO1163" s="3" t="n"/>
      <c r="AP1163" s="3" t="n"/>
      <c r="AQ1163" s="3" t="n"/>
      <c r="AR1163" s="3" t="n"/>
      <c r="AS1163" s="3" t="n"/>
      <c r="AT1163" s="3" t="n"/>
      <c r="AU1163" s="3" t="n"/>
    </row>
    <row r="1164">
      <c r="A1164" s="3" t="n">
        <v>2031</v>
      </c>
      <c r="B1164" s="3" t="inlineStr">
        <is>
          <t>GIN</t>
        </is>
      </c>
      <c r="C1164" s="3" t="inlineStr">
        <is>
          <t>IMF.RES:WEO</t>
        </is>
      </c>
      <c r="D1164" s="3" t="inlineStr">
        <is>
          <t>GIN.NGDP_RPCH.A</t>
        </is>
      </c>
      <c r="E1164" s="3" t="inlineStr">
        <is>
          <t>Guinea</t>
        </is>
      </c>
      <c r="F1164" s="3" t="inlineStr">
        <is>
          <t>Gross domestic product (GDP), Constant prices, Percent change</t>
        </is>
      </c>
      <c r="G1164" s="3" t="n">
        <v>2.503061</v>
      </c>
      <c r="H1164" s="3" t="n">
        <v>3.658346</v>
      </c>
      <c r="I1164" s="3" t="n">
        <v>5.164609</v>
      </c>
      <c r="J1164" s="3" t="n">
        <v>1.248601</v>
      </c>
      <c r="K1164" s="3" t="n">
        <v>2.340117</v>
      </c>
      <c r="L1164" s="3" t="n">
        <v>2.997273</v>
      </c>
      <c r="M1164" s="3" t="n">
        <v>2.496729</v>
      </c>
      <c r="N1164" s="3" t="n">
        <v>6.511587</v>
      </c>
      <c r="O1164" s="3" t="n">
        <v>4.141931</v>
      </c>
      <c r="P1164" s="3" t="n">
        <v>-1.537536</v>
      </c>
      <c r="Q1164" s="3" t="n">
        <v>4.218563</v>
      </c>
      <c r="R1164" s="3" t="n">
        <v>5.613923</v>
      </c>
      <c r="S1164" s="3" t="n">
        <v>5.913316</v>
      </c>
      <c r="T1164" s="3" t="n">
        <v>3.945684</v>
      </c>
      <c r="U1164" s="3" t="n">
        <v>3.696542</v>
      </c>
      <c r="V1164" s="3" t="n">
        <v>3.825922</v>
      </c>
      <c r="W1164" s="3" t="n">
        <v>10.820621</v>
      </c>
      <c r="X1164" s="3" t="n">
        <v>10.3</v>
      </c>
      <c r="Y1164" s="3" t="n">
        <v>6.358492</v>
      </c>
      <c r="Z1164" s="3" t="n">
        <v>5.616914</v>
      </c>
      <c r="AA1164" s="3" t="n">
        <v>4.704491</v>
      </c>
      <c r="AB1164" s="3" t="n">
        <v>5.582693</v>
      </c>
      <c r="AC1164" s="3" t="n">
        <v>3.972</v>
      </c>
      <c r="AD1164" s="3" t="n">
        <v>6.241803</v>
      </c>
      <c r="AE1164" s="3" t="n">
        <v>6.07321</v>
      </c>
      <c r="AF1164" s="3" t="n">
        <v>6.687104</v>
      </c>
      <c r="AG1164" s="3" t="n">
        <v>8.677144</v>
      </c>
      <c r="AH1164" s="3" t="n">
        <v>9.331656000000001</v>
      </c>
      <c r="AI1164" s="3" t="n">
        <v>9.837184000000001</v>
      </c>
      <c r="AJ1164" s="3" t="n">
        <v>10.225582</v>
      </c>
      <c r="AK1164" s="3" t="n">
        <v>8.514784000000001</v>
      </c>
      <c r="AL1164" s="3" t="n">
        <v>7.244981</v>
      </c>
      <c r="AM1164" s="3" t="n"/>
      <c r="AN1164" s="3" t="n"/>
      <c r="AO1164" s="3" t="n"/>
      <c r="AP1164" s="3" t="n"/>
      <c r="AQ1164" s="3" t="n"/>
      <c r="AR1164" s="3" t="n"/>
      <c r="AS1164" s="3" t="n"/>
      <c r="AT1164" s="3" t="n"/>
      <c r="AU1164" s="3" t="n"/>
    </row>
    <row r="1165">
      <c r="A1165" s="3" t="n">
        <v>2031</v>
      </c>
      <c r="B1165" s="3" t="inlineStr">
        <is>
          <t>GIN</t>
        </is>
      </c>
      <c r="C1165" s="3" t="inlineStr">
        <is>
          <t>IMF.RES:WEO</t>
        </is>
      </c>
      <c r="D1165" s="3" t="inlineStr">
        <is>
          <t>GIN.NGDPD.A</t>
        </is>
      </c>
      <c r="E1165" s="3" t="inlineStr">
        <is>
          <t>Guinea</t>
        </is>
      </c>
      <c r="F1165" s="3" t="inlineStr">
        <is>
          <t>Gross domestic product (GDP), Current prices, US dollar</t>
        </is>
      </c>
      <c r="G1165" s="3" t="n">
        <v>4.038826</v>
      </c>
      <c r="H1165" s="3" t="n">
        <v>3.806136</v>
      </c>
      <c r="I1165" s="3" t="n">
        <v>4.022312</v>
      </c>
      <c r="J1165" s="3" t="n">
        <v>4.759042</v>
      </c>
      <c r="K1165" s="3" t="n">
        <v>5.011899</v>
      </c>
      <c r="L1165" s="3" t="n">
        <v>4.506334</v>
      </c>
      <c r="M1165" s="3" t="n">
        <v>4.178462</v>
      </c>
      <c r="N1165" s="3" t="n">
        <v>6.316635</v>
      </c>
      <c r="O1165" s="3" t="n">
        <v>6.966402</v>
      </c>
      <c r="P1165" s="3" t="n">
        <v>6.752961</v>
      </c>
      <c r="Q1165" s="3" t="n">
        <v>6.85787</v>
      </c>
      <c r="R1165" s="3" t="n">
        <v>6.775441</v>
      </c>
      <c r="S1165" s="3" t="n">
        <v>7.387166</v>
      </c>
      <c r="T1165" s="3" t="n">
        <v>8.375825000000001</v>
      </c>
      <c r="U1165" s="3" t="n">
        <v>8.776814999999999</v>
      </c>
      <c r="V1165" s="3" t="n">
        <v>8.790018</v>
      </c>
      <c r="W1165" s="3" t="n">
        <v>8.604077999999999</v>
      </c>
      <c r="X1165" s="3" t="n">
        <v>10.324675</v>
      </c>
      <c r="Y1165" s="3" t="n">
        <v>11.857027</v>
      </c>
      <c r="Z1165" s="3" t="n">
        <v>13.443106</v>
      </c>
      <c r="AA1165" s="3" t="n">
        <v>14.088676</v>
      </c>
      <c r="AB1165" s="3" t="n">
        <v>16.320368</v>
      </c>
      <c r="AC1165" s="3" t="n">
        <v>19.589491</v>
      </c>
      <c r="AD1165" s="3" t="n">
        <v>22.089338</v>
      </c>
      <c r="AE1165" s="3" t="n">
        <v>24.232615</v>
      </c>
      <c r="AF1165" s="3" t="n">
        <v>27.215055</v>
      </c>
      <c r="AG1165" s="3" t="n">
        <v>29.930108</v>
      </c>
      <c r="AH1165" s="3" t="n">
        <v>32.897522</v>
      </c>
      <c r="AI1165" s="3" t="n">
        <v>36.241648</v>
      </c>
      <c r="AJ1165" s="3" t="n">
        <v>40.102077</v>
      </c>
      <c r="AK1165" s="3" t="n">
        <v>43.876866</v>
      </c>
      <c r="AL1165" s="3" t="n">
        <v>47.533779</v>
      </c>
      <c r="AM1165" s="3" t="n"/>
      <c r="AN1165" s="3" t="n"/>
      <c r="AO1165" s="3" t="n"/>
      <c r="AP1165" s="3" t="n"/>
      <c r="AQ1165" s="3" t="n"/>
      <c r="AR1165" s="3" t="n"/>
      <c r="AS1165" s="3" t="n"/>
      <c r="AT1165" s="3" t="n"/>
      <c r="AU1165" s="3" t="n"/>
    </row>
    <row r="1166">
      <c r="A1166" s="3" t="n">
        <v>2031</v>
      </c>
      <c r="B1166" s="3" t="inlineStr">
        <is>
          <t>GIN</t>
        </is>
      </c>
      <c r="C1166" s="3" t="inlineStr">
        <is>
          <t>IMF.RES:WEO</t>
        </is>
      </c>
      <c r="D1166" s="3" t="inlineStr">
        <is>
          <t>GIN.NGDPPC.A</t>
        </is>
      </c>
      <c r="E1166" s="3" t="inlineStr">
        <is>
          <t>Guinea</t>
        </is>
      </c>
      <c r="F1166" s="3" t="inlineStr">
        <is>
          <t>Gross domestic product (GDP), Current prices, Per capita, Domestic currency</t>
        </is>
      </c>
      <c r="G1166" s="3" t="n">
        <v>806677.417324</v>
      </c>
      <c r="H1166" s="3" t="n">
        <v>834603.293546</v>
      </c>
      <c r="I1166" s="3" t="n">
        <v>878585.226437</v>
      </c>
      <c r="J1166" s="3" t="n">
        <v>1026268.373816</v>
      </c>
      <c r="K1166" s="3" t="n">
        <v>1199020.369945</v>
      </c>
      <c r="L1166" s="3" t="n">
        <v>1714913.725883</v>
      </c>
      <c r="M1166" s="3" t="n">
        <v>2217377.491884</v>
      </c>
      <c r="N1166" s="3" t="n">
        <v>2624573.167206</v>
      </c>
      <c r="O1166" s="3" t="n">
        <v>3106834.745593</v>
      </c>
      <c r="P1166" s="3" t="n">
        <v>3044203.250976</v>
      </c>
      <c r="Q1166" s="3" t="n">
        <v>3608254.958403</v>
      </c>
      <c r="R1166" s="3" t="n">
        <v>4047473.778236</v>
      </c>
      <c r="S1166" s="3" t="n">
        <v>4506486.75195</v>
      </c>
      <c r="T1166" s="3" t="n">
        <v>4926666.341437</v>
      </c>
      <c r="U1166" s="3" t="n">
        <v>5112359.416732</v>
      </c>
      <c r="V1166" s="3" t="n">
        <v>5332411.179766</v>
      </c>
      <c r="W1166" s="3" t="n">
        <v>6092110.250292</v>
      </c>
      <c r="X1166" s="3" t="n">
        <v>7234650.605363</v>
      </c>
      <c r="Y1166" s="3" t="n">
        <v>8036911.391317</v>
      </c>
      <c r="Z1166" s="3" t="n">
        <v>9059988.681383001</v>
      </c>
      <c r="AA1166" s="3" t="n">
        <v>9648186.206894999</v>
      </c>
      <c r="AB1166" s="3" t="n">
        <v>11129511.582303</v>
      </c>
      <c r="AC1166" s="3" t="n">
        <v>11606095.210469</v>
      </c>
      <c r="AD1166" s="3" t="n">
        <v>12708903.398254</v>
      </c>
      <c r="AE1166" s="3" t="n">
        <v>13546634.7633</v>
      </c>
      <c r="AF1166" s="3" t="n">
        <v>14799369.250136</v>
      </c>
      <c r="AG1166" s="3" t="n">
        <v>16416136.115813</v>
      </c>
      <c r="AH1166" s="3" t="n">
        <v>18231191.105195</v>
      </c>
      <c r="AI1166" s="3" t="n">
        <v>20171896.27738</v>
      </c>
      <c r="AJ1166" s="3" t="n">
        <v>22378673.929814</v>
      </c>
      <c r="AK1166" s="3" t="n">
        <v>24467948.10763</v>
      </c>
      <c r="AL1166" s="3" t="n">
        <v>26411363.281409</v>
      </c>
      <c r="AM1166" s="3" t="n"/>
      <c r="AN1166" s="3" t="n"/>
      <c r="AO1166" s="3" t="n"/>
      <c r="AP1166" s="3" t="n"/>
      <c r="AQ1166" s="3" t="n"/>
      <c r="AR1166" s="3" t="n"/>
      <c r="AS1166" s="3" t="n"/>
      <c r="AT1166" s="3" t="n"/>
      <c r="AU1166" s="3" t="n"/>
    </row>
    <row r="1167">
      <c r="A1167" s="3" t="n">
        <v>2031</v>
      </c>
      <c r="B1167" s="3" t="inlineStr">
        <is>
          <t>GIN</t>
        </is>
      </c>
      <c r="C1167" s="3" t="inlineStr">
        <is>
          <t>IMF.RES:WEO</t>
        </is>
      </c>
      <c r="D1167" s="3" t="inlineStr">
        <is>
          <t>GIN.NGDPRPC.A</t>
        </is>
      </c>
      <c r="E1167" s="3" t="inlineStr">
        <is>
          <t>Guinea</t>
        </is>
      </c>
      <c r="F1167" s="3" t="inlineStr">
        <is>
          <t>Gross domestic product (GDP), Constant prices, Per capita, Domestic currency</t>
        </is>
      </c>
      <c r="G1167" s="3" t="n">
        <v>3305742.935664</v>
      </c>
      <c r="H1167" s="3" t="n">
        <v>3369193.833646</v>
      </c>
      <c r="I1167" s="3" t="n">
        <v>3484290.147566</v>
      </c>
      <c r="J1167" s="3" t="n">
        <v>3466919.886059</v>
      </c>
      <c r="K1167" s="3" t="n">
        <v>3481837.112475</v>
      </c>
      <c r="L1167" s="3" t="n">
        <v>3512532.214938</v>
      </c>
      <c r="M1167" s="3" t="n">
        <v>3518433.532201</v>
      </c>
      <c r="N1167" s="3" t="n">
        <v>3655033.404609</v>
      </c>
      <c r="O1167" s="3" t="n">
        <v>3707629.069953</v>
      </c>
      <c r="P1167" s="3" t="n">
        <v>3554622.718169</v>
      </c>
      <c r="Q1167" s="3" t="n">
        <v>3608254.958403</v>
      </c>
      <c r="R1167" s="3" t="n">
        <v>3713343.959117</v>
      </c>
      <c r="S1167" s="3" t="n">
        <v>3833413.849436</v>
      </c>
      <c r="T1167" s="3" t="n">
        <v>3884954.41135</v>
      </c>
      <c r="U1167" s="3" t="n">
        <v>3928614.933453</v>
      </c>
      <c r="V1167" s="3" t="n">
        <v>3979434.793552</v>
      </c>
      <c r="W1167" s="3" t="n">
        <v>4302472.554071</v>
      </c>
      <c r="X1167" s="3" t="n">
        <v>4629880.242326</v>
      </c>
      <c r="Y1167" s="3" t="n">
        <v>4804166.637835</v>
      </c>
      <c r="Z1167" s="3" t="n">
        <v>4950256.164709</v>
      </c>
      <c r="AA1167" s="3" t="n">
        <v>5056722.463129</v>
      </c>
      <c r="AB1167" s="3" t="n">
        <v>5208803.645852</v>
      </c>
      <c r="AC1167" s="3" t="n">
        <v>5283607.158869</v>
      </c>
      <c r="AD1167" s="3" t="n">
        <v>5476487.330507</v>
      </c>
      <c r="AE1167" s="3" t="n">
        <v>5667400.866808</v>
      </c>
      <c r="AF1167" s="3" t="n">
        <v>5898913.052171</v>
      </c>
      <c r="AG1167" s="3" t="n">
        <v>6254409.996656</v>
      </c>
      <c r="AH1167" s="3" t="n">
        <v>6671268.34258</v>
      </c>
      <c r="AI1167" s="3" t="n">
        <v>7148812.952709</v>
      </c>
      <c r="AJ1167" s="3" t="n">
        <v>7687629.935175</v>
      </c>
      <c r="AK1167" s="3" t="n">
        <v>8138746.344773</v>
      </c>
      <c r="AL1167" s="3" t="n">
        <v>8515509.239014</v>
      </c>
      <c r="AM1167" s="3" t="n"/>
      <c r="AN1167" s="3" t="n"/>
      <c r="AO1167" s="3" t="n"/>
      <c r="AP1167" s="3" t="n"/>
      <c r="AQ1167" s="3" t="n"/>
      <c r="AR1167" s="3" t="n"/>
      <c r="AS1167" s="3" t="n"/>
      <c r="AT1167" s="3" t="n"/>
      <c r="AU1167" s="3" t="n"/>
    </row>
    <row r="1168">
      <c r="A1168" s="3" t="n">
        <v>2031</v>
      </c>
      <c r="B1168" s="3" t="inlineStr">
        <is>
          <t>GIN</t>
        </is>
      </c>
      <c r="C1168" s="3" t="inlineStr">
        <is>
          <t>IMF.RES:WEO</t>
        </is>
      </c>
      <c r="D1168" s="3" t="inlineStr">
        <is>
          <t>GIN.PCPI.A</t>
        </is>
      </c>
      <c r="E1168" s="3" t="inlineStr">
        <is>
          <t>Guinea</t>
        </is>
      </c>
      <c r="F1168" s="3" t="inlineStr">
        <is>
          <t>All Items, Consumer price index (CPI), Period average</t>
        </is>
      </c>
      <c r="G1168" s="3" t="n">
        <v>8.640615</v>
      </c>
      <c r="H1168" s="3" t="n">
        <v>9.105251000000001</v>
      </c>
      <c r="I1168" s="3" t="n">
        <v>9.374794</v>
      </c>
      <c r="J1168" s="3" t="n">
        <v>10.409442</v>
      </c>
      <c r="K1168" s="3" t="n">
        <v>12.227228</v>
      </c>
      <c r="L1168" s="3" t="n">
        <v>16.061433</v>
      </c>
      <c r="M1168" s="3" t="n">
        <v>21.635112</v>
      </c>
      <c r="N1168" s="3" t="n">
        <v>26.581045</v>
      </c>
      <c r="O1168" s="3" t="n">
        <v>31.463067</v>
      </c>
      <c r="P1168" s="3" t="n">
        <v>32.936011</v>
      </c>
      <c r="Q1168" s="3" t="n">
        <v>38.029873</v>
      </c>
      <c r="R1168" s="3" t="n">
        <v>46.149669</v>
      </c>
      <c r="S1168" s="3" t="n">
        <v>53.176852</v>
      </c>
      <c r="T1168" s="3" t="n">
        <v>59.498237</v>
      </c>
      <c r="U1168" s="3" t="n">
        <v>65.276842</v>
      </c>
      <c r="V1168" s="3" t="n">
        <v>70.597325</v>
      </c>
      <c r="W1168" s="3" t="n">
        <v>76.367923</v>
      </c>
      <c r="X1168" s="3" t="n">
        <v>83.17571</v>
      </c>
      <c r="Y1168" s="3" t="n">
        <v>91.348557</v>
      </c>
      <c r="Z1168" s="3" t="n">
        <v>99.99990200000001</v>
      </c>
      <c r="AA1168" s="3" t="n">
        <v>110.602165</v>
      </c>
      <c r="AB1168" s="3" t="n">
        <v>124.534248</v>
      </c>
      <c r="AC1168" s="3" t="n">
        <v>137.608746</v>
      </c>
      <c r="AD1168" s="3" t="n">
        <v>145.084773</v>
      </c>
      <c r="AE1168" s="3" t="n">
        <v>151.550221</v>
      </c>
      <c r="AF1168" s="3" t="n">
        <v>156.322163</v>
      </c>
      <c r="AG1168" s="3" t="n">
        <v>162.782711</v>
      </c>
      <c r="AH1168" s="3" t="n">
        <v>171.961825</v>
      </c>
      <c r="AI1168" s="3" t="n">
        <v>179.847752</v>
      </c>
      <c r="AJ1168" s="3" t="n">
        <v>187.063904</v>
      </c>
      <c r="AK1168" s="3" t="n">
        <v>194.5448</v>
      </c>
      <c r="AL1168" s="3" t="n">
        <v>202.326592</v>
      </c>
      <c r="AM1168" s="3" t="n"/>
      <c r="AN1168" s="3" t="n"/>
      <c r="AO1168" s="3" t="n"/>
      <c r="AP1168" s="3" t="n"/>
      <c r="AQ1168" s="3" t="n"/>
      <c r="AR1168" s="3" t="n"/>
      <c r="AS1168" s="3" t="n"/>
      <c r="AT1168" s="3" t="n"/>
      <c r="AU1168" s="3" t="n"/>
    </row>
    <row r="1169">
      <c r="A1169" s="3" t="n">
        <v>2031</v>
      </c>
      <c r="B1169" s="3" t="inlineStr">
        <is>
          <t>GIN</t>
        </is>
      </c>
      <c r="C1169" s="3" t="inlineStr">
        <is>
          <t>IMF.RES:WEO</t>
        </is>
      </c>
      <c r="D1169" s="3" t="inlineStr">
        <is>
          <t>GIN.PCPIPCH.A</t>
        </is>
      </c>
      <c r="E1169" s="3" t="inlineStr">
        <is>
          <t>Guinea</t>
        </is>
      </c>
      <c r="F1169" s="3" t="inlineStr">
        <is>
          <t>All Items, Consumer price index (CPI), Period average, percent change</t>
        </is>
      </c>
      <c r="G1169" s="3" t="n">
        <v>6.766417</v>
      </c>
      <c r="H1169" s="3" t="n">
        <v>5.377349</v>
      </c>
      <c r="I1169" s="3" t="n">
        <v>2.960299</v>
      </c>
      <c r="J1169" s="3" t="n">
        <v>11.036482</v>
      </c>
      <c r="K1169" s="3" t="n">
        <v>17.462861</v>
      </c>
      <c r="L1169" s="3" t="n">
        <v>31.357924</v>
      </c>
      <c r="M1169" s="3" t="n">
        <v>34.702254</v>
      </c>
      <c r="N1169" s="3" t="n">
        <v>22.860678</v>
      </c>
      <c r="O1169" s="3" t="n">
        <v>18.366555</v>
      </c>
      <c r="P1169" s="3" t="n">
        <v>4.681502</v>
      </c>
      <c r="Q1169" s="3" t="n">
        <v>15.465933</v>
      </c>
      <c r="R1169" s="3" t="n">
        <v>21.3511</v>
      </c>
      <c r="S1169" s="3" t="n">
        <v>15.22694</v>
      </c>
      <c r="T1169" s="3" t="n">
        <v>11.887476</v>
      </c>
      <c r="U1169" s="3" t="n">
        <v>9.712229000000001</v>
      </c>
      <c r="V1169" s="3" t="n">
        <v>8.150644</v>
      </c>
      <c r="W1169" s="3" t="n">
        <v>8.173961</v>
      </c>
      <c r="X1169" s="3" t="n">
        <v>8.91446</v>
      </c>
      <c r="Y1169" s="3" t="n">
        <v>9.826002000000001</v>
      </c>
      <c r="Z1169" s="3" t="n">
        <v>9.470696999999999</v>
      </c>
      <c r="AA1169" s="3" t="n">
        <v>10.602273</v>
      </c>
      <c r="AB1169" s="3" t="n">
        <v>12.596574</v>
      </c>
      <c r="AC1169" s="3" t="n">
        <v>10.498717</v>
      </c>
      <c r="AD1169" s="3" t="n">
        <v>5.432813</v>
      </c>
      <c r="AE1169" s="3" t="n">
        <v>4.456325</v>
      </c>
      <c r="AF1169" s="3" t="n">
        <v>3.148753</v>
      </c>
      <c r="AG1169" s="3" t="n">
        <v>4.132842</v>
      </c>
      <c r="AH1169" s="3" t="n">
        <v>5.638875</v>
      </c>
      <c r="AI1169" s="3" t="n">
        <v>4.585859</v>
      </c>
      <c r="AJ1169" s="3" t="n">
        <v>4.012367</v>
      </c>
      <c r="AK1169" s="3" t="n">
        <v>3.999113</v>
      </c>
      <c r="AL1169" s="3" t="n">
        <v>4</v>
      </c>
      <c r="AM1169" s="3" t="n"/>
      <c r="AN1169" s="3" t="n"/>
      <c r="AO1169" s="3" t="n"/>
      <c r="AP1169" s="3" t="n"/>
      <c r="AQ1169" s="3" t="n"/>
      <c r="AR1169" s="3" t="n"/>
      <c r="AS1169" s="3" t="n"/>
      <c r="AT1169" s="3" t="n"/>
      <c r="AU1169" s="3" t="n"/>
    </row>
    <row r="1170">
      <c r="A1170" s="3" t="n">
        <v>2031</v>
      </c>
      <c r="B1170" s="3" t="inlineStr">
        <is>
          <t>GIN</t>
        </is>
      </c>
      <c r="C1170" s="3" t="inlineStr">
        <is>
          <t>IMF.RES:WEO</t>
        </is>
      </c>
      <c r="D1170" s="3" t="inlineStr">
        <is>
          <t>GIN.PPPPC.A</t>
        </is>
      </c>
      <c r="E1170" s="3" t="inlineStr">
        <is>
          <t>Guinea</t>
        </is>
      </c>
      <c r="F1170" s="3" t="inlineStr">
        <is>
          <t>Gross domestic product (GDP), Per capita, purchasing power parity (PPP) international dollar, ICP benchmarks 2017-2021</t>
        </is>
      </c>
      <c r="G1170" s="3" t="n">
        <v>1332.37597</v>
      </c>
      <c r="H1170" s="3" t="n">
        <v>1388.525657</v>
      </c>
      <c r="I1170" s="3" t="n">
        <v>1458.274937</v>
      </c>
      <c r="J1170" s="3" t="n">
        <v>1479.650955</v>
      </c>
      <c r="K1170" s="3" t="n">
        <v>1525.974741</v>
      </c>
      <c r="L1170" s="3" t="n">
        <v>1587.701081</v>
      </c>
      <c r="M1170" s="3" t="n">
        <v>1639.413629</v>
      </c>
      <c r="N1170" s="3" t="n">
        <v>1749.202879</v>
      </c>
      <c r="O1170" s="3" t="n">
        <v>1808.555518</v>
      </c>
      <c r="P1170" s="3" t="n">
        <v>1744.613903</v>
      </c>
      <c r="Q1170" s="3" t="n">
        <v>1792.460197</v>
      </c>
      <c r="R1170" s="3" t="n">
        <v>1882.724911</v>
      </c>
      <c r="S1170" s="3" t="n">
        <v>1979.790825</v>
      </c>
      <c r="T1170" s="3" t="n">
        <v>2040.558459</v>
      </c>
      <c r="U1170" s="3" t="n">
        <v>2099.431121</v>
      </c>
      <c r="V1170" s="3" t="n">
        <v>2146.324864</v>
      </c>
      <c r="W1170" s="3" t="n">
        <v>2342.607113</v>
      </c>
      <c r="X1170" s="3" t="n">
        <v>2566.019879</v>
      </c>
      <c r="Y1170" s="3" t="n">
        <v>2718.324</v>
      </c>
      <c r="Z1170" s="3" t="n">
        <v>2970.821492</v>
      </c>
      <c r="AA1170" s="3" t="n">
        <v>3189.645224</v>
      </c>
      <c r="AB1170" s="3" t="n">
        <v>3580.52792</v>
      </c>
      <c r="AC1170" s="3" t="n">
        <v>3890.266967</v>
      </c>
      <c r="AD1170" s="3" t="n">
        <v>4181.478509</v>
      </c>
      <c r="AE1170" s="3" t="n">
        <v>4434.673136</v>
      </c>
      <c r="AF1170" s="3" t="n">
        <v>4746.768924</v>
      </c>
      <c r="AG1170" s="3" t="n">
        <v>5177.01524</v>
      </c>
      <c r="AH1170" s="3" t="n">
        <v>5643.32403</v>
      </c>
      <c r="AI1170" s="3" t="n">
        <v>6146.54562</v>
      </c>
      <c r="AJ1170" s="3" t="n">
        <v>6727.349956</v>
      </c>
      <c r="AK1170" s="3" t="n">
        <v>7252.987151</v>
      </c>
      <c r="AL1170" s="3" t="n">
        <v>7725.745809</v>
      </c>
      <c r="AM1170" s="3" t="n"/>
      <c r="AN1170" s="3" t="n"/>
      <c r="AO1170" s="3" t="n"/>
      <c r="AP1170" s="3" t="n"/>
      <c r="AQ1170" s="3" t="n"/>
      <c r="AR1170" s="3" t="n"/>
      <c r="AS1170" s="3" t="n"/>
      <c r="AT1170" s="3" t="n"/>
      <c r="AU1170" s="3" t="n"/>
    </row>
    <row r="1171">
      <c r="A1171" s="3" t="n">
        <v>2025</v>
      </c>
      <c r="B1171" s="3" t="inlineStr">
        <is>
          <t>GIN</t>
        </is>
      </c>
      <c r="C1171" s="3" t="inlineStr">
        <is>
          <t>IMF.STA:ER</t>
        </is>
      </c>
      <c r="D1171" s="3" t="inlineStr">
        <is>
          <t>GIN.XDC_USD.PA_RT.A</t>
        </is>
      </c>
      <c r="E1171" s="3" t="inlineStr">
        <is>
          <t>Guinea</t>
        </is>
      </c>
      <c r="F1171" s="3" t="inlineStr">
        <is>
          <t>Domestic currency per US Dollar</t>
        </is>
      </c>
      <c r="G1171" s="3" t="n">
        <v>1746.86991666667</v>
      </c>
      <c r="H1171" s="3" t="n">
        <v>1950.55833333333</v>
      </c>
      <c r="I1171" s="3" t="n">
        <v>1975.84375</v>
      </c>
      <c r="J1171" s="3" t="n">
        <v>1984.93125</v>
      </c>
      <c r="K1171" s="3" t="n">
        <v>2243.93125</v>
      </c>
      <c r="L1171" s="3" t="n">
        <v>3644.33333333333</v>
      </c>
      <c r="M1171" s="3" t="n">
        <v>5148.75</v>
      </c>
      <c r="N1171" s="3" t="n">
        <v>4197.75200416667</v>
      </c>
      <c r="O1171" s="3" t="n">
        <v>4601.69100416667</v>
      </c>
      <c r="P1171" s="3" t="n">
        <v>4801.0832375</v>
      </c>
      <c r="Q1171" s="3" t="n">
        <v>5726.07102083333</v>
      </c>
      <c r="R1171" s="3" t="n">
        <v>6658.03125833333</v>
      </c>
      <c r="S1171" s="3" t="n">
        <v>6985.82902633333</v>
      </c>
      <c r="T1171" s="3" t="n">
        <v>6907.8780695</v>
      </c>
      <c r="U1171" s="3" t="n">
        <v>7014.11877725</v>
      </c>
      <c r="V1171" s="3" t="n">
        <v>7485.51674166667</v>
      </c>
      <c r="W1171" s="3" t="n">
        <v>8967.927079583331</v>
      </c>
      <c r="X1171" s="3" t="n">
        <v>9088.319496231659</v>
      </c>
      <c r="Y1171" s="3" t="n">
        <v>9011.134177251941</v>
      </c>
      <c r="Z1171" s="3" t="n">
        <v>9183.87586390984</v>
      </c>
      <c r="AA1171" s="3" t="n">
        <v>9565.08218343833</v>
      </c>
      <c r="AB1171" s="3" t="n">
        <v>9565.08218343833</v>
      </c>
      <c r="AC1171" s="3" t="n">
        <v>9565.08218343833</v>
      </c>
      <c r="AD1171" s="3" t="n">
        <v>9565.08218343833</v>
      </c>
      <c r="AE1171" s="3" t="n">
        <v>9565.08218343833</v>
      </c>
      <c r="AF1171" s="3" t="n">
        <v>9565.08218343833</v>
      </c>
      <c r="AG1171" s="3" t="n"/>
      <c r="AH1171" s="3" t="n"/>
      <c r="AI1171" s="3" t="n"/>
      <c r="AJ1171" s="3" t="n"/>
      <c r="AK1171" s="3" t="n"/>
      <c r="AL1171" s="3" t="n"/>
      <c r="AM1171" s="3" t="n"/>
      <c r="AN1171" s="3" t="n"/>
      <c r="AO1171" s="3" t="n"/>
      <c r="AP1171" s="3" t="n"/>
      <c r="AQ1171" s="3" t="n"/>
      <c r="AR1171" s="3" t="n"/>
      <c r="AS1171" s="3" t="n"/>
      <c r="AT1171" s="3" t="n"/>
      <c r="AU1171" s="3" t="n"/>
    </row>
    <row r="1172">
      <c r="A1172" s="3" t="inlineStr">
        <is>
          <t>INDICATOR</t>
        </is>
      </c>
      <c r="B1172" s="3" t="inlineStr">
        <is>
          <t>GLP</t>
        </is>
      </c>
      <c r="C1172" s="3" t="inlineStr">
        <is>
          <t>IMF.STA:ER</t>
        </is>
      </c>
      <c r="D1172" s="3" t="inlineStr">
        <is>
          <t>GLP.XDC_USD.PA_RT.A</t>
        </is>
      </c>
      <c r="E1172" s="3" t="inlineStr">
        <is>
          <t>Guadeloupe</t>
        </is>
      </c>
      <c r="F1172" s="3" t="inlineStr">
        <is>
          <t>Domestic currency per US Dollar</t>
        </is>
      </c>
      <c r="G1172" s="3" t="n"/>
      <c r="H1172" s="3" t="n"/>
      <c r="I1172" s="3" t="n"/>
      <c r="J1172" s="3" t="n"/>
      <c r="K1172" s="3" t="n"/>
      <c r="L1172" s="3" t="n"/>
      <c r="M1172" s="3" t="n"/>
      <c r="N1172" s="3" t="n"/>
      <c r="O1172" s="3" t="n"/>
      <c r="P1172" s="3" t="n"/>
      <c r="Q1172" s="3" t="n"/>
      <c r="R1172" s="3" t="n"/>
      <c r="S1172" s="3" t="n"/>
      <c r="T1172" s="3" t="n"/>
      <c r="U1172" s="3" t="n"/>
      <c r="V1172" s="3" t="n"/>
      <c r="W1172" s="3" t="n"/>
      <c r="X1172" s="3" t="n"/>
      <c r="Y1172" s="3" t="n"/>
      <c r="Z1172" s="3" t="n"/>
      <c r="AA1172" s="3" t="n"/>
      <c r="AB1172" s="3" t="n"/>
      <c r="AC1172" s="3" t="n"/>
      <c r="AD1172" s="3" t="n"/>
      <c r="AE1172" s="3" t="n"/>
      <c r="AF1172" s="3" t="n"/>
      <c r="AG1172" s="3" t="n"/>
      <c r="AH1172" s="3" t="n"/>
      <c r="AI1172" s="3" t="n"/>
      <c r="AJ1172" s="3" t="n"/>
      <c r="AK1172" s="3" t="n"/>
      <c r="AL1172" s="3" t="n"/>
      <c r="AM1172" s="3" t="n"/>
      <c r="AN1172" s="3" t="n"/>
      <c r="AO1172" s="3" t="n"/>
      <c r="AP1172" s="3" t="n"/>
      <c r="AQ1172" s="3" t="n"/>
      <c r="AR1172" s="3" t="n"/>
      <c r="AS1172" s="3" t="n"/>
      <c r="AT1172" s="3" t="n"/>
      <c r="AU1172" s="3" t="n"/>
    </row>
    <row r="1173">
      <c r="A1173" s="3" t="n">
        <v>2031</v>
      </c>
      <c r="B1173" s="3" t="inlineStr">
        <is>
          <t>GMB</t>
        </is>
      </c>
      <c r="C1173" s="3" t="inlineStr">
        <is>
          <t>IMF.RES:WEO</t>
        </is>
      </c>
      <c r="D1173" s="3" t="inlineStr">
        <is>
          <t>GMB.BCA.A</t>
        </is>
      </c>
      <c r="E1173" s="3" t="inlineStr">
        <is>
          <t>Gambia, The</t>
        </is>
      </c>
      <c r="F1173" s="3" t="inlineStr">
        <is>
          <t>Current account balance (credit less debit), US dollar</t>
        </is>
      </c>
      <c r="G1173" s="3" t="n">
        <v>-0.03468</v>
      </c>
      <c r="H1173" s="3" t="n">
        <v>-0.033048</v>
      </c>
      <c r="I1173" s="3" t="n">
        <v>-0.032666</v>
      </c>
      <c r="J1173" s="3" t="n">
        <v>-0.038989</v>
      </c>
      <c r="K1173" s="3" t="n">
        <v>-0.026166</v>
      </c>
      <c r="L1173" s="3" t="n">
        <v>-0.064571</v>
      </c>
      <c r="M1173" s="3" t="n">
        <v>-0.045285</v>
      </c>
      <c r="N1173" s="3" t="n">
        <v>-0.06628199999999999</v>
      </c>
      <c r="O1173" s="3" t="n">
        <v>-0.118109</v>
      </c>
      <c r="P1173" s="3" t="n">
        <v>-0.11286</v>
      </c>
      <c r="Q1173" s="3" t="n">
        <v>-0.155082</v>
      </c>
      <c r="R1173" s="3" t="n">
        <v>-0.104837</v>
      </c>
      <c r="S1173" s="3" t="n">
        <v>-0.063359</v>
      </c>
      <c r="T1173" s="3" t="n">
        <v>-0.092692</v>
      </c>
      <c r="U1173" s="3" t="n">
        <v>-0.090226</v>
      </c>
      <c r="V1173" s="3" t="n">
        <v>-0.133962</v>
      </c>
      <c r="W1173" s="3" t="n">
        <v>-0.135543</v>
      </c>
      <c r="X1173" s="3" t="n">
        <v>-0.11047</v>
      </c>
      <c r="Y1173" s="3" t="n">
        <v>-0.15777</v>
      </c>
      <c r="Z1173" s="3" t="n">
        <v>-0.111048</v>
      </c>
      <c r="AA1173" s="3" t="n">
        <v>-0.104704</v>
      </c>
      <c r="AB1173" s="3" t="n">
        <v>-0.08557099999999999</v>
      </c>
      <c r="AC1173" s="3" t="n">
        <v>-0.09024500000000001</v>
      </c>
      <c r="AD1173" s="3" t="n">
        <v>-0.12653</v>
      </c>
      <c r="AE1173" s="3" t="n">
        <v>-0.157141</v>
      </c>
      <c r="AF1173" s="3" t="n">
        <v>-0.127825</v>
      </c>
      <c r="AG1173" s="3" t="n">
        <v>-0.141547</v>
      </c>
      <c r="AH1173" s="3" t="n">
        <v>-0.124187</v>
      </c>
      <c r="AI1173" s="3" t="n">
        <v>-0.114177</v>
      </c>
      <c r="AJ1173" s="3" t="n">
        <v>-0.103986</v>
      </c>
      <c r="AK1173" s="3" t="n">
        <v>-0.100585</v>
      </c>
      <c r="AL1173" s="3" t="n">
        <v>-0.09576900000000001</v>
      </c>
      <c r="AM1173" s="3" t="n"/>
      <c r="AN1173" s="3" t="n"/>
      <c r="AO1173" s="3" t="n"/>
      <c r="AP1173" s="3" t="n"/>
      <c r="AQ1173" s="3" t="n"/>
      <c r="AR1173" s="3" t="n"/>
      <c r="AS1173" s="3" t="n"/>
      <c r="AT1173" s="3" t="n"/>
      <c r="AU1173" s="3" t="n"/>
    </row>
    <row r="1174">
      <c r="A1174" s="3" t="n">
        <v>2031</v>
      </c>
      <c r="B1174" s="3" t="inlineStr">
        <is>
          <t>GMB</t>
        </is>
      </c>
      <c r="C1174" s="3" t="inlineStr">
        <is>
          <t>IMF.RES:WEO</t>
        </is>
      </c>
      <c r="D1174" s="3" t="inlineStr">
        <is>
          <t>GMB.BCA_NGDPD.A</t>
        </is>
      </c>
      <c r="E1174" s="3" t="inlineStr">
        <is>
          <t>Gambia, The</t>
        </is>
      </c>
      <c r="F1174" s="3" t="inlineStr">
        <is>
          <t>Current account balance (credit less debit), Percent of GDP</t>
        </is>
      </c>
      <c r="G1174" s="3" t="n">
        <v>-3.434987</v>
      </c>
      <c r="H1174" s="3" t="n">
        <v>-3.296738</v>
      </c>
      <c r="I1174" s="3" t="n">
        <v>-3.683212</v>
      </c>
      <c r="J1174" s="3" t="n">
        <v>-4.625704</v>
      </c>
      <c r="K1174" s="3" t="n">
        <v>-2.72021</v>
      </c>
      <c r="L1174" s="3" t="n">
        <v>-6.283065</v>
      </c>
      <c r="M1174" s="3" t="n">
        <v>-4.296032</v>
      </c>
      <c r="N1174" s="3" t="n">
        <v>-5.179509</v>
      </c>
      <c r="O1174" s="3" t="n">
        <v>-7.562541</v>
      </c>
      <c r="P1174" s="3" t="n">
        <v>-7.782691</v>
      </c>
      <c r="Q1174" s="3" t="n">
        <v>-10.048784</v>
      </c>
      <c r="R1174" s="3" t="n">
        <v>-7.436869</v>
      </c>
      <c r="S1174" s="3" t="n">
        <v>-4.477688</v>
      </c>
      <c r="T1174" s="3" t="n">
        <v>-6.738247</v>
      </c>
      <c r="U1174" s="3" t="n">
        <v>-7.338667</v>
      </c>
      <c r="V1174" s="3" t="n">
        <v>-9.888047</v>
      </c>
      <c r="W1174" s="3" t="n">
        <v>-9.220561</v>
      </c>
      <c r="X1174" s="3" t="n">
        <v>-7.374269</v>
      </c>
      <c r="Y1174" s="3" t="n">
        <v>-9.491225999999999</v>
      </c>
      <c r="Z1174" s="3" t="n">
        <v>-6.148704</v>
      </c>
      <c r="AA1174" s="3" t="n">
        <v>-5.786611</v>
      </c>
      <c r="AB1174" s="3" t="n">
        <v>-4.184582</v>
      </c>
      <c r="AC1174" s="3" t="n">
        <v>-4.226307</v>
      </c>
      <c r="AD1174" s="3" t="n">
        <v>-5.427151</v>
      </c>
      <c r="AE1174" s="3" t="n">
        <v>-6.540692</v>
      </c>
      <c r="AF1174" s="3" t="n">
        <v>-4.946661</v>
      </c>
      <c r="AG1174" s="3" t="n">
        <v>-5.069135</v>
      </c>
      <c r="AH1174" s="3" t="n">
        <v>-4.110115</v>
      </c>
      <c r="AI1174" s="3" t="n">
        <v>-3.48854</v>
      </c>
      <c r="AJ1174" s="3" t="n">
        <v>-2.957255</v>
      </c>
      <c r="AK1174" s="3" t="n">
        <v>-2.651544</v>
      </c>
      <c r="AL1174" s="3" t="n">
        <v>-2.332618</v>
      </c>
      <c r="AM1174" s="3" t="n"/>
      <c r="AN1174" s="3" t="n"/>
      <c r="AO1174" s="3" t="n"/>
      <c r="AP1174" s="3" t="n"/>
      <c r="AQ1174" s="3" t="n"/>
      <c r="AR1174" s="3" t="n"/>
      <c r="AS1174" s="3" t="n"/>
      <c r="AT1174" s="3" t="n"/>
      <c r="AU1174" s="3" t="n"/>
    </row>
    <row r="1175">
      <c r="A1175" s="3" t="n">
        <v>2031</v>
      </c>
      <c r="B1175" s="3" t="inlineStr">
        <is>
          <t>GMB</t>
        </is>
      </c>
      <c r="C1175" s="3" t="inlineStr">
        <is>
          <t>IMF.RES:WEO</t>
        </is>
      </c>
      <c r="D1175" s="3" t="inlineStr">
        <is>
          <t>GMB.GGR_NGDP.A</t>
        </is>
      </c>
      <c r="E1175" s="3" t="inlineStr">
        <is>
          <t>Gambia, The</t>
        </is>
      </c>
      <c r="F1175" s="3" t="inlineStr">
        <is>
          <t>Revenue, General government, Percent of GDP</t>
        </is>
      </c>
      <c r="G1175" s="3" t="n">
        <v>9.447169000000001</v>
      </c>
      <c r="H1175" s="3" t="n">
        <v>7.158574</v>
      </c>
      <c r="I1175" s="3" t="n">
        <v>8.653991</v>
      </c>
      <c r="J1175" s="3" t="n">
        <v>7.569832</v>
      </c>
      <c r="K1175" s="3" t="n">
        <v>10.610562</v>
      </c>
      <c r="L1175" s="3" t="n">
        <v>9.614405</v>
      </c>
      <c r="M1175" s="3" t="n">
        <v>10.827504</v>
      </c>
      <c r="N1175" s="3" t="n">
        <v>11.469229</v>
      </c>
      <c r="O1175" s="3" t="n">
        <v>11.096676</v>
      </c>
      <c r="P1175" s="3" t="n">
        <v>12.705557</v>
      </c>
      <c r="Q1175" s="3" t="n">
        <v>11.626953</v>
      </c>
      <c r="R1175" s="3" t="n">
        <v>13.516378</v>
      </c>
      <c r="S1175" s="3" t="n">
        <v>16.271469</v>
      </c>
      <c r="T1175" s="3" t="n">
        <v>12.072702</v>
      </c>
      <c r="U1175" s="3" t="n">
        <v>15.045655</v>
      </c>
      <c r="V1175" s="3" t="n">
        <v>14.202979</v>
      </c>
      <c r="W1175" s="3" t="n">
        <v>13.148444</v>
      </c>
      <c r="X1175" s="3" t="n">
        <v>19.273232</v>
      </c>
      <c r="Y1175" s="3" t="n">
        <v>15.085012</v>
      </c>
      <c r="Z1175" s="3" t="n">
        <v>21.188702</v>
      </c>
      <c r="AA1175" s="3" t="n">
        <v>22.978973</v>
      </c>
      <c r="AB1175" s="3" t="n">
        <v>16.730421</v>
      </c>
      <c r="AC1175" s="3" t="n">
        <v>18.919041</v>
      </c>
      <c r="AD1175" s="3" t="n">
        <v>20.388912</v>
      </c>
      <c r="AE1175" s="3" t="n">
        <v>21.328008</v>
      </c>
      <c r="AF1175" s="3" t="n">
        <v>24.189037</v>
      </c>
      <c r="AG1175" s="3" t="n">
        <v>24.482537</v>
      </c>
      <c r="AH1175" s="3" t="n">
        <v>23.621302</v>
      </c>
      <c r="AI1175" s="3" t="n">
        <v>22.89448</v>
      </c>
      <c r="AJ1175" s="3" t="n">
        <v>22.733367</v>
      </c>
      <c r="AK1175" s="3" t="n">
        <v>22.598804</v>
      </c>
      <c r="AL1175" s="3" t="n">
        <v>22.17435</v>
      </c>
      <c r="AM1175" s="3" t="n"/>
      <c r="AN1175" s="3" t="n"/>
      <c r="AO1175" s="3" t="n"/>
      <c r="AP1175" s="3" t="n"/>
      <c r="AQ1175" s="3" t="n"/>
      <c r="AR1175" s="3" t="n"/>
      <c r="AS1175" s="3" t="n"/>
      <c r="AT1175" s="3" t="n"/>
      <c r="AU1175" s="3" t="n"/>
    </row>
    <row r="1176">
      <c r="A1176" s="3" t="n">
        <v>2031</v>
      </c>
      <c r="B1176" s="3" t="inlineStr">
        <is>
          <t>GMB</t>
        </is>
      </c>
      <c r="C1176" s="3" t="inlineStr">
        <is>
          <t>IMF.RES:WEO</t>
        </is>
      </c>
      <c r="D1176" s="3" t="inlineStr">
        <is>
          <t>GMB.GGX_NGDP.A</t>
        </is>
      </c>
      <c r="E1176" s="3" t="inlineStr">
        <is>
          <t>Gambia, The</t>
        </is>
      </c>
      <c r="F1176" s="3" t="inlineStr">
        <is>
          <t>Expenditure, General government, Percent of GDP</t>
        </is>
      </c>
      <c r="G1176" s="3" t="n">
        <v>9.537946</v>
      </c>
      <c r="H1176" s="3" t="n">
        <v>9.681435</v>
      </c>
      <c r="I1176" s="3" t="n">
        <v>8.594607999999999</v>
      </c>
      <c r="J1176" s="3" t="n">
        <v>9.302034000000001</v>
      </c>
      <c r="K1176" s="3" t="n">
        <v>12.376584</v>
      </c>
      <c r="L1176" s="3" t="n">
        <v>12.946781</v>
      </c>
      <c r="M1176" s="3" t="n">
        <v>14.021226</v>
      </c>
      <c r="N1176" s="3" t="n">
        <v>11.194421</v>
      </c>
      <c r="O1176" s="3" t="n">
        <v>11.551075</v>
      </c>
      <c r="P1176" s="3" t="n">
        <v>14.353101</v>
      </c>
      <c r="Q1176" s="3" t="n">
        <v>14.55482</v>
      </c>
      <c r="R1176" s="3" t="n">
        <v>16.544266</v>
      </c>
      <c r="S1176" s="3" t="n">
        <v>19.119165</v>
      </c>
      <c r="T1176" s="3" t="n">
        <v>17.179142</v>
      </c>
      <c r="U1176" s="3" t="n">
        <v>18.982429</v>
      </c>
      <c r="V1176" s="3" t="n">
        <v>19.578302</v>
      </c>
      <c r="W1176" s="3" t="n">
        <v>19.372454</v>
      </c>
      <c r="X1176" s="3" t="n">
        <v>23.62194</v>
      </c>
      <c r="Y1176" s="3" t="n">
        <v>19.00762</v>
      </c>
      <c r="Z1176" s="3" t="n">
        <v>23.93508</v>
      </c>
      <c r="AA1176" s="3" t="n">
        <v>25.347837</v>
      </c>
      <c r="AB1176" s="3" t="n">
        <v>21.496452</v>
      </c>
      <c r="AC1176" s="3" t="n">
        <v>24.635067</v>
      </c>
      <c r="AD1176" s="3" t="n">
        <v>23.94524</v>
      </c>
      <c r="AE1176" s="3" t="n">
        <v>25.33246</v>
      </c>
      <c r="AF1176" s="3" t="n">
        <v>27.137719</v>
      </c>
      <c r="AG1176" s="3" t="n">
        <v>25.474363</v>
      </c>
      <c r="AH1176" s="3" t="n">
        <v>24.04837</v>
      </c>
      <c r="AI1176" s="3" t="n">
        <v>23.502754</v>
      </c>
      <c r="AJ1176" s="3" t="n">
        <v>23.275936</v>
      </c>
      <c r="AK1176" s="3" t="n">
        <v>23.063773</v>
      </c>
      <c r="AL1176" s="3" t="n">
        <v>22.672635</v>
      </c>
      <c r="AM1176" s="3" t="n"/>
      <c r="AN1176" s="3" t="n"/>
      <c r="AO1176" s="3" t="n"/>
      <c r="AP1176" s="3" t="n"/>
      <c r="AQ1176" s="3" t="n"/>
      <c r="AR1176" s="3" t="n"/>
      <c r="AS1176" s="3" t="n"/>
      <c r="AT1176" s="3" t="n"/>
      <c r="AU1176" s="3" t="n"/>
    </row>
    <row r="1177">
      <c r="A1177" s="3" t="n">
        <v>2031</v>
      </c>
      <c r="B1177" s="3" t="inlineStr">
        <is>
          <t>GMB</t>
        </is>
      </c>
      <c r="C1177" s="3" t="inlineStr">
        <is>
          <t>IMF.RES:WEO</t>
        </is>
      </c>
      <c r="D1177" s="3" t="inlineStr">
        <is>
          <t>GMB.LP.A</t>
        </is>
      </c>
      <c r="E1177" s="3" t="inlineStr">
        <is>
          <t>Gambia, The</t>
        </is>
      </c>
      <c r="F1177" s="3" t="inlineStr">
        <is>
          <t>Population, Persons for countries / Index for country groups</t>
        </is>
      </c>
      <c r="G1177" s="3" t="n">
        <v>1.455084</v>
      </c>
      <c r="H1177" s="3" t="n">
        <v>1.495011</v>
      </c>
      <c r="I1177" s="3" t="n">
        <v>1.535691</v>
      </c>
      <c r="J1177" s="3" t="n">
        <v>1.577611</v>
      </c>
      <c r="K1177" s="3" t="n">
        <v>1.621312</v>
      </c>
      <c r="L1177" s="3" t="n">
        <v>1.667037</v>
      </c>
      <c r="M1177" s="3" t="n">
        <v>1.715275</v>
      </c>
      <c r="N1177" s="3" t="n">
        <v>1.765774</v>
      </c>
      <c r="O1177" s="3" t="n">
        <v>1.817852</v>
      </c>
      <c r="P1177" s="3" t="n">
        <v>1.871422</v>
      </c>
      <c r="Q1177" s="3" t="n">
        <v>1.92663</v>
      </c>
      <c r="R1177" s="3" t="n">
        <v>1.983784</v>
      </c>
      <c r="S1177" s="3" t="n">
        <v>2.043094</v>
      </c>
      <c r="T1177" s="3" t="n">
        <v>2.10382</v>
      </c>
      <c r="U1177" s="3" t="n">
        <v>2.164528</v>
      </c>
      <c r="V1177" s="3" t="n">
        <v>2.224529</v>
      </c>
      <c r="W1177" s="3" t="n">
        <v>2.283769</v>
      </c>
      <c r="X1177" s="3" t="n">
        <v>2.342189</v>
      </c>
      <c r="Y1177" s="3" t="n">
        <v>2.399632</v>
      </c>
      <c r="Z1177" s="3" t="n">
        <v>2.461012</v>
      </c>
      <c r="AA1177" s="3" t="n">
        <v>2.523098</v>
      </c>
      <c r="AB1177" s="3" t="n">
        <v>2.586455</v>
      </c>
      <c r="AC1177" s="3" t="n">
        <v>2.651908</v>
      </c>
      <c r="AD1177" s="3" t="n">
        <v>2.718776</v>
      </c>
      <c r="AE1177" s="3" t="n">
        <v>2.787318</v>
      </c>
      <c r="AF1177" s="3" t="n">
        <v>2.85768</v>
      </c>
      <c r="AG1177" s="3" t="n">
        <v>2.92976</v>
      </c>
      <c r="AH1177" s="3" t="n">
        <v>3.003665</v>
      </c>
      <c r="AI1177" s="3" t="n">
        <v>3.07945</v>
      </c>
      <c r="AJ1177" s="3" t="n">
        <v>3.157134</v>
      </c>
      <c r="AK1177" s="3" t="n">
        <v>3.236782</v>
      </c>
      <c r="AL1177" s="3" t="n">
        <v>3.318441</v>
      </c>
      <c r="AM1177" s="3" t="n"/>
      <c r="AN1177" s="3" t="n"/>
      <c r="AO1177" s="3" t="n"/>
      <c r="AP1177" s="3" t="n"/>
      <c r="AQ1177" s="3" t="n"/>
      <c r="AR1177" s="3" t="n"/>
      <c r="AS1177" s="3" t="n"/>
      <c r="AT1177" s="3" t="n"/>
      <c r="AU1177" s="3" t="n"/>
    </row>
    <row r="1178">
      <c r="A1178" s="3" t="n">
        <v>2031</v>
      </c>
      <c r="B1178" s="3" t="inlineStr">
        <is>
          <t>GMB</t>
        </is>
      </c>
      <c r="C1178" s="3" t="inlineStr">
        <is>
          <t>IMF.RES:WEO</t>
        </is>
      </c>
      <c r="D1178" s="3" t="inlineStr">
        <is>
          <t>GMB.NGDP.A</t>
        </is>
      </c>
      <c r="E1178" s="3" t="inlineStr">
        <is>
          <t>Gambia, The</t>
        </is>
      </c>
      <c r="F1178" s="3" t="inlineStr">
        <is>
          <t>Gross domestic product (GDP), Current prices, Domestic currency</t>
        </is>
      </c>
      <c r="G1178" s="3" t="n">
        <v>12.910674</v>
      </c>
      <c r="H1178" s="3" t="n">
        <v>15.725743</v>
      </c>
      <c r="I1178" s="3" t="n">
        <v>17.664799</v>
      </c>
      <c r="J1178" s="3" t="n">
        <v>24.04747</v>
      </c>
      <c r="K1178" s="3" t="n">
        <v>28.885956</v>
      </c>
      <c r="L1178" s="3" t="n">
        <v>29.367003</v>
      </c>
      <c r="M1178" s="3" t="n">
        <v>29.584431</v>
      </c>
      <c r="N1178" s="3" t="n">
        <v>31.830608</v>
      </c>
      <c r="O1178" s="3" t="n">
        <v>34.659279</v>
      </c>
      <c r="P1178" s="3" t="n">
        <v>38.63812</v>
      </c>
      <c r="Q1178" s="3" t="n">
        <v>43.230706</v>
      </c>
      <c r="R1178" s="3" t="n">
        <v>41.531716</v>
      </c>
      <c r="S1178" s="3" t="n">
        <v>45.389297</v>
      </c>
      <c r="T1178" s="3" t="n">
        <v>49.463597</v>
      </c>
      <c r="U1178" s="3" t="n">
        <v>51.309079</v>
      </c>
      <c r="V1178" s="3" t="n">
        <v>58.581062</v>
      </c>
      <c r="W1178" s="3" t="n">
        <v>64.389939</v>
      </c>
      <c r="X1178" s="3" t="n">
        <v>70.142188</v>
      </c>
      <c r="Y1178" s="3" t="n">
        <v>80.44580000000001</v>
      </c>
      <c r="Z1178" s="3" t="n">
        <v>90.793764</v>
      </c>
      <c r="AA1178" s="3" t="n">
        <v>93.329809</v>
      </c>
      <c r="AB1178" s="3" t="n">
        <v>105.487038</v>
      </c>
      <c r="AC1178" s="3" t="n">
        <v>121.093207</v>
      </c>
      <c r="AD1178" s="3" t="n">
        <v>145.854002</v>
      </c>
      <c r="AE1178" s="3" t="n">
        <v>162.875099</v>
      </c>
      <c r="AF1178" s="3" t="n">
        <v>185.445875</v>
      </c>
      <c r="AG1178" s="3" t="n">
        <v>205.533446</v>
      </c>
      <c r="AH1178" s="3" t="n">
        <v>227.116263</v>
      </c>
      <c r="AI1178" s="3" t="n">
        <v>251.593903</v>
      </c>
      <c r="AJ1178" s="3" t="n">
        <v>276.802154</v>
      </c>
      <c r="AK1178" s="3" t="n">
        <v>304.536126</v>
      </c>
      <c r="AL1178" s="3" t="n">
        <v>335.048881</v>
      </c>
      <c r="AM1178" s="3" t="n"/>
      <c r="AN1178" s="3" t="n"/>
      <c r="AO1178" s="3" t="n"/>
      <c r="AP1178" s="3" t="n"/>
      <c r="AQ1178" s="3" t="n"/>
      <c r="AR1178" s="3" t="n"/>
      <c r="AS1178" s="3" t="n"/>
      <c r="AT1178" s="3" t="n"/>
      <c r="AU1178" s="3" t="n"/>
    </row>
    <row r="1179">
      <c r="A1179" s="3" t="n">
        <v>2031</v>
      </c>
      <c r="B1179" s="3" t="inlineStr">
        <is>
          <t>GMB</t>
        </is>
      </c>
      <c r="C1179" s="3" t="inlineStr">
        <is>
          <t>IMF.RES:WEO</t>
        </is>
      </c>
      <c r="D1179" s="3" t="inlineStr">
        <is>
          <t>GMB.NGDP_D.A</t>
        </is>
      </c>
      <c r="E1179" s="3" t="inlineStr">
        <is>
          <t>Gambia, The</t>
        </is>
      </c>
      <c r="F1179" s="3" t="inlineStr">
        <is>
          <t>Gross domestic product (GDP), Price deflator, Index</t>
        </is>
      </c>
      <c r="G1179" s="3" t="n">
        <v>36.500167</v>
      </c>
      <c r="H1179" s="3" t="n">
        <v>42.04015</v>
      </c>
      <c r="I1179" s="3" t="n">
        <v>48.808687</v>
      </c>
      <c r="J1179" s="3" t="n">
        <v>62.170514</v>
      </c>
      <c r="K1179" s="3" t="n">
        <v>69.764268</v>
      </c>
      <c r="L1179" s="3" t="n">
        <v>72.634235</v>
      </c>
      <c r="M1179" s="3" t="n">
        <v>73.58080699999999</v>
      </c>
      <c r="N1179" s="3" t="n">
        <v>76.82927100000001</v>
      </c>
      <c r="O1179" s="3" t="n">
        <v>78.73144499999999</v>
      </c>
      <c r="P1179" s="3" t="n">
        <v>82.284835</v>
      </c>
      <c r="Q1179" s="3" t="n">
        <v>86.929264</v>
      </c>
      <c r="R1179" s="3" t="n">
        <v>90.90377700000001</v>
      </c>
      <c r="S1179" s="3" t="n">
        <v>94.399173</v>
      </c>
      <c r="T1179" s="3" t="n">
        <v>100</v>
      </c>
      <c r="U1179" s="3" t="n">
        <v>105.211723</v>
      </c>
      <c r="V1179" s="3" t="n">
        <v>115.438684</v>
      </c>
      <c r="W1179" s="3" t="n">
        <v>124.466708</v>
      </c>
      <c r="X1179" s="3" t="n">
        <v>129.347942</v>
      </c>
      <c r="Y1179" s="3" t="n">
        <v>138.339906</v>
      </c>
      <c r="Z1179" s="3" t="n">
        <v>146.989202</v>
      </c>
      <c r="AA1179" s="3" t="n">
        <v>150.206441</v>
      </c>
      <c r="AB1179" s="3" t="n">
        <v>161.294865</v>
      </c>
      <c r="AC1179" s="3" t="n">
        <v>175.516356</v>
      </c>
      <c r="AD1179" s="3" t="n">
        <v>199.595768</v>
      </c>
      <c r="AE1179" s="3" t="n">
        <v>211.166122</v>
      </c>
      <c r="AF1179" s="3" t="n">
        <v>226.810452</v>
      </c>
      <c r="AG1179" s="3" t="n">
        <v>239.15211</v>
      </c>
      <c r="AH1179" s="3" t="n">
        <v>251.623754</v>
      </c>
      <c r="AI1179" s="3" t="n">
        <v>265.420154</v>
      </c>
      <c r="AJ1179" s="3" t="n">
        <v>278.056872</v>
      </c>
      <c r="AK1179" s="3" t="n">
        <v>291.295226</v>
      </c>
      <c r="AL1179" s="3" t="n">
        <v>305.163863</v>
      </c>
      <c r="AM1179" s="3" t="n"/>
      <c r="AN1179" s="3" t="n"/>
      <c r="AO1179" s="3" t="n"/>
      <c r="AP1179" s="3" t="n"/>
      <c r="AQ1179" s="3" t="n"/>
      <c r="AR1179" s="3" t="n"/>
      <c r="AS1179" s="3" t="n"/>
      <c r="AT1179" s="3" t="n"/>
      <c r="AU1179" s="3" t="n"/>
    </row>
    <row r="1180">
      <c r="A1180" s="3" t="n">
        <v>2031</v>
      </c>
      <c r="B1180" s="3" t="inlineStr">
        <is>
          <t>GMB</t>
        </is>
      </c>
      <c r="C1180" s="3" t="inlineStr">
        <is>
          <t>IMF.RES:WEO</t>
        </is>
      </c>
      <c r="D1180" s="3" t="inlineStr">
        <is>
          <t>GMB.NGDP_R.A</t>
        </is>
      </c>
      <c r="E1180" s="3" t="inlineStr">
        <is>
          <t>Gambia, The</t>
        </is>
      </c>
      <c r="F1180" s="3" t="inlineStr">
        <is>
          <t>Gross domestic product (GDP), Constant prices, Domestic currency</t>
        </is>
      </c>
      <c r="G1180" s="3" t="n">
        <v>35.371547</v>
      </c>
      <c r="H1180" s="3" t="n">
        <v>37.406486</v>
      </c>
      <c r="I1180" s="3" t="n">
        <v>36.191917</v>
      </c>
      <c r="J1180" s="3" t="n">
        <v>38.679864</v>
      </c>
      <c r="K1180" s="3" t="n">
        <v>41.405088</v>
      </c>
      <c r="L1180" s="3" t="n">
        <v>40.431352</v>
      </c>
      <c r="M1180" s="3" t="n">
        <v>40.206723</v>
      </c>
      <c r="N1180" s="3" t="n">
        <v>41.430314</v>
      </c>
      <c r="O1180" s="3" t="n">
        <v>44.022155</v>
      </c>
      <c r="P1180" s="3" t="n">
        <v>46.956551</v>
      </c>
      <c r="Q1180" s="3" t="n">
        <v>49.730901</v>
      </c>
      <c r="R1180" s="3" t="n">
        <v>45.687558</v>
      </c>
      <c r="S1180" s="3" t="n">
        <v>48.082303</v>
      </c>
      <c r="T1180" s="3" t="n">
        <v>49.463597</v>
      </c>
      <c r="U1180" s="3" t="n">
        <v>48.767455</v>
      </c>
      <c r="V1180" s="3" t="n">
        <v>50.746474</v>
      </c>
      <c r="W1180" s="3" t="n">
        <v>51.73266</v>
      </c>
      <c r="X1180" s="3" t="n">
        <v>54.227526</v>
      </c>
      <c r="Y1180" s="3" t="n">
        <v>58.150828</v>
      </c>
      <c r="Z1180" s="3" t="n">
        <v>61.769003</v>
      </c>
      <c r="AA1180" s="3" t="n">
        <v>62.134359</v>
      </c>
      <c r="AB1180" s="3" t="n">
        <v>65.400121</v>
      </c>
      <c r="AC1180" s="3" t="n">
        <v>68.992549</v>
      </c>
      <c r="AD1180" s="3" t="n">
        <v>73.074697</v>
      </c>
      <c r="AE1180" s="3" t="n">
        <v>77.131264</v>
      </c>
      <c r="AF1180" s="3" t="n">
        <v>81.762491</v>
      </c>
      <c r="AG1180" s="3" t="n">
        <v>85.94256</v>
      </c>
      <c r="AH1180" s="3" t="n">
        <v>90.26026400000001</v>
      </c>
      <c r="AI1180" s="3" t="n">
        <v>94.790806</v>
      </c>
      <c r="AJ1180" s="3" t="n">
        <v>99.548755</v>
      </c>
      <c r="AK1180" s="3" t="n">
        <v>104.545526</v>
      </c>
      <c r="AL1180" s="3" t="n">
        <v>109.793105</v>
      </c>
      <c r="AM1180" s="3" t="n"/>
      <c r="AN1180" s="3" t="n"/>
      <c r="AO1180" s="3" t="n"/>
      <c r="AP1180" s="3" t="n"/>
      <c r="AQ1180" s="3" t="n"/>
      <c r="AR1180" s="3" t="n"/>
      <c r="AS1180" s="3" t="n"/>
      <c r="AT1180" s="3" t="n"/>
      <c r="AU1180" s="3" t="n"/>
    </row>
    <row r="1181">
      <c r="A1181" s="3" t="n">
        <v>2031</v>
      </c>
      <c r="B1181" s="3" t="inlineStr">
        <is>
          <t>GMB</t>
        </is>
      </c>
      <c r="C1181" s="3" t="inlineStr">
        <is>
          <t>IMF.RES:WEO</t>
        </is>
      </c>
      <c r="D1181" s="3" t="inlineStr">
        <is>
          <t>GMB.NGDP_RPCH.A</t>
        </is>
      </c>
      <c r="E1181" s="3" t="inlineStr">
        <is>
          <t>Gambia, The</t>
        </is>
      </c>
      <c r="F1181" s="3" t="inlineStr">
        <is>
          <t>Gross domestic product (GDP), Constant prices, Percent change</t>
        </is>
      </c>
      <c r="G1181" s="3" t="n">
        <v>5.524896</v>
      </c>
      <c r="H1181" s="3" t="n">
        <v>5.753038</v>
      </c>
      <c r="I1181" s="3" t="n">
        <v>-3.246948</v>
      </c>
      <c r="J1181" s="3" t="n">
        <v>6.874318</v>
      </c>
      <c r="K1181" s="3" t="n">
        <v>7.045586</v>
      </c>
      <c r="L1181" s="3" t="n">
        <v>-2.351729</v>
      </c>
      <c r="M1181" s="3" t="n">
        <v>-0.555581</v>
      </c>
      <c r="N1181" s="3" t="n">
        <v>3.043249</v>
      </c>
      <c r="O1181" s="3" t="n">
        <v>6.255906</v>
      </c>
      <c r="P1181" s="3" t="n">
        <v>6.665724</v>
      </c>
      <c r="Q1181" s="3" t="n">
        <v>5.908336</v>
      </c>
      <c r="R1181" s="3" t="n">
        <v>-8.130444000000001</v>
      </c>
      <c r="S1181" s="3" t="n">
        <v>5.241569</v>
      </c>
      <c r="T1181" s="3" t="n">
        <v>2.872769</v>
      </c>
      <c r="U1181" s="3" t="n">
        <v>-1.407383</v>
      </c>
      <c r="V1181" s="3" t="n">
        <v>4.058074</v>
      </c>
      <c r="W1181" s="3" t="n">
        <v>1.94336</v>
      </c>
      <c r="X1181" s="3" t="n">
        <v>4.822611</v>
      </c>
      <c r="Y1181" s="3" t="n">
        <v>7.23489</v>
      </c>
      <c r="Z1181" s="3" t="n">
        <v>6.222053</v>
      </c>
      <c r="AA1181" s="3" t="n">
        <v>0.591487</v>
      </c>
      <c r="AB1181" s="3" t="n">
        <v>5.255969</v>
      </c>
      <c r="AC1181" s="3" t="n">
        <v>5.492998</v>
      </c>
      <c r="AD1181" s="3" t="n">
        <v>5.916796</v>
      </c>
      <c r="AE1181" s="3" t="n">
        <v>5.551261</v>
      </c>
      <c r="AF1181" s="3" t="n">
        <v>6.004345</v>
      </c>
      <c r="AG1181" s="3" t="n">
        <v>5.112454</v>
      </c>
      <c r="AH1181" s="3" t="n">
        <v>5.023941</v>
      </c>
      <c r="AI1181" s="3" t="n">
        <v>5.019421</v>
      </c>
      <c r="AJ1181" s="3" t="n">
        <v>5.019421</v>
      </c>
      <c r="AK1181" s="3" t="n">
        <v>5.019421</v>
      </c>
      <c r="AL1181" s="3" t="n">
        <v>5.019421</v>
      </c>
      <c r="AM1181" s="3" t="n"/>
      <c r="AN1181" s="3" t="n"/>
      <c r="AO1181" s="3" t="n"/>
      <c r="AP1181" s="3" t="n"/>
      <c r="AQ1181" s="3" t="n"/>
      <c r="AR1181" s="3" t="n"/>
      <c r="AS1181" s="3" t="n"/>
      <c r="AT1181" s="3" t="n"/>
      <c r="AU1181" s="3" t="n"/>
    </row>
    <row r="1182">
      <c r="A1182" s="3" t="n">
        <v>2031</v>
      </c>
      <c r="B1182" s="3" t="inlineStr">
        <is>
          <t>GMB</t>
        </is>
      </c>
      <c r="C1182" s="3" t="inlineStr">
        <is>
          <t>IMF.RES:WEO</t>
        </is>
      </c>
      <c r="D1182" s="3" t="inlineStr">
        <is>
          <t>GMB.NGDPD.A</t>
        </is>
      </c>
      <c r="E1182" s="3" t="inlineStr">
        <is>
          <t>Gambia, The</t>
        </is>
      </c>
      <c r="F1182" s="3" t="inlineStr">
        <is>
          <t>Gross domestic product (GDP), Current prices, US dollar</t>
        </is>
      </c>
      <c r="G1182" s="3" t="n">
        <v>1.009622</v>
      </c>
      <c r="H1182" s="3" t="n">
        <v>1.00246</v>
      </c>
      <c r="I1182" s="3" t="n">
        <v>0.886884</v>
      </c>
      <c r="J1182" s="3" t="n">
        <v>0.842869</v>
      </c>
      <c r="K1182" s="3" t="n">
        <v>0.961901</v>
      </c>
      <c r="L1182" s="3" t="n">
        <v>1.027701</v>
      </c>
      <c r="M1182" s="3" t="n">
        <v>1.054112</v>
      </c>
      <c r="N1182" s="3" t="n">
        <v>1.279703</v>
      </c>
      <c r="O1182" s="3" t="n">
        <v>1.561767</v>
      </c>
      <c r="P1182" s="3" t="n">
        <v>1.450142</v>
      </c>
      <c r="Q1182" s="3" t="n">
        <v>1.543295</v>
      </c>
      <c r="R1182" s="3" t="n">
        <v>1.409694</v>
      </c>
      <c r="S1182" s="3" t="n">
        <v>1.415005</v>
      </c>
      <c r="T1182" s="3" t="n">
        <v>1.375609</v>
      </c>
      <c r="U1182" s="3" t="n">
        <v>1.229462</v>
      </c>
      <c r="V1182" s="3" t="n">
        <v>1.354789</v>
      </c>
      <c r="W1182" s="3" t="n">
        <v>1.470006</v>
      </c>
      <c r="X1182" s="3" t="n">
        <v>1.498044</v>
      </c>
      <c r="Y1182" s="3" t="n">
        <v>1.662275</v>
      </c>
      <c r="Z1182" s="3" t="n">
        <v>1.806032</v>
      </c>
      <c r="AA1182" s="3" t="n">
        <v>1.809419</v>
      </c>
      <c r="AB1182" s="3" t="n">
        <v>2.044917</v>
      </c>
      <c r="AC1182" s="3" t="n">
        <v>2.135306</v>
      </c>
      <c r="AD1182" s="3" t="n">
        <v>2.331426</v>
      </c>
      <c r="AE1182" s="3" t="n">
        <v>2.402509</v>
      </c>
      <c r="AF1182" s="3" t="n">
        <v>2.584071</v>
      </c>
      <c r="AG1182" s="3" t="n">
        <v>2.79233</v>
      </c>
      <c r="AH1182" s="3" t="n">
        <v>3.021489</v>
      </c>
      <c r="AI1182" s="3" t="n">
        <v>3.272924</v>
      </c>
      <c r="AJ1182" s="3" t="n">
        <v>3.516306</v>
      </c>
      <c r="AK1182" s="3" t="n">
        <v>3.793431</v>
      </c>
      <c r="AL1182" s="3" t="n">
        <v>4.105632</v>
      </c>
      <c r="AM1182" s="3" t="n"/>
      <c r="AN1182" s="3" t="n"/>
      <c r="AO1182" s="3" t="n"/>
      <c r="AP1182" s="3" t="n"/>
      <c r="AQ1182" s="3" t="n"/>
      <c r="AR1182" s="3" t="n"/>
      <c r="AS1182" s="3" t="n"/>
      <c r="AT1182" s="3" t="n"/>
      <c r="AU1182" s="3" t="n"/>
    </row>
    <row r="1183">
      <c r="A1183" s="3" t="n">
        <v>2031</v>
      </c>
      <c r="B1183" s="3" t="inlineStr">
        <is>
          <t>GMB</t>
        </is>
      </c>
      <c r="C1183" s="3" t="inlineStr">
        <is>
          <t>IMF.RES:WEO</t>
        </is>
      </c>
      <c r="D1183" s="3" t="inlineStr">
        <is>
          <t>GMB.NGDPPC.A</t>
        </is>
      </c>
      <c r="E1183" s="3" t="inlineStr">
        <is>
          <t>Gambia, The</t>
        </is>
      </c>
      <c r="F1183" s="3" t="inlineStr">
        <is>
          <t>Gross domestic product (GDP), Current prices, Per capita, Domestic currency</t>
        </is>
      </c>
      <c r="G1183" s="3" t="n">
        <v>8872.803008000001</v>
      </c>
      <c r="H1183" s="3" t="n">
        <v>10518.813981</v>
      </c>
      <c r="I1183" s="3" t="n">
        <v>11502.834525</v>
      </c>
      <c r="J1183" s="3" t="n">
        <v>15242.965628</v>
      </c>
      <c r="K1183" s="3" t="n">
        <v>17816.408211</v>
      </c>
      <c r="L1183" s="3" t="n">
        <v>17616.287446</v>
      </c>
      <c r="M1183" s="3" t="n">
        <v>17247.631523</v>
      </c>
      <c r="N1183" s="3" t="n">
        <v>18026.433754</v>
      </c>
      <c r="O1183" s="3" t="n">
        <v>19066.061969</v>
      </c>
      <c r="P1183" s="3" t="n">
        <v>20646.396411</v>
      </c>
      <c r="Q1183" s="3" t="n">
        <v>22438.509985</v>
      </c>
      <c r="R1183" s="3" t="n">
        <v>20935.603907</v>
      </c>
      <c r="S1183" s="3" t="n">
        <v>22215.961001</v>
      </c>
      <c r="T1183" s="3" t="n">
        <v>23511.32539</v>
      </c>
      <c r="U1183" s="3" t="n">
        <v>23704.511718</v>
      </c>
      <c r="V1183" s="3" t="n">
        <v>26334.141565</v>
      </c>
      <c r="W1183" s="3" t="n">
        <v>28194.593792</v>
      </c>
      <c r="X1183" s="3" t="n">
        <v>29947.279338</v>
      </c>
      <c r="Y1183" s="3" t="n">
        <v>33524.22369</v>
      </c>
      <c r="Z1183" s="3" t="n">
        <v>36892.86376</v>
      </c>
      <c r="AA1183" s="3" t="n">
        <v>36990.157276</v>
      </c>
      <c r="AB1183" s="3" t="n">
        <v>40784.402316</v>
      </c>
      <c r="AC1183" s="3" t="n">
        <v>45662.673033</v>
      </c>
      <c r="AD1183" s="3" t="n">
        <v>53646.94133</v>
      </c>
      <c r="AE1183" s="3" t="n">
        <v>58434.353551</v>
      </c>
      <c r="AF1183" s="3" t="n">
        <v>64893.855504</v>
      </c>
      <c r="AG1183" s="3" t="n">
        <v>70153.690243</v>
      </c>
      <c r="AH1183" s="3" t="n">
        <v>75613.04345</v>
      </c>
      <c r="AI1183" s="3" t="n">
        <v>81700.912549</v>
      </c>
      <c r="AJ1183" s="3" t="n">
        <v>87675.124769</v>
      </c>
      <c r="AK1183" s="3" t="n">
        <v>94086.081783</v>
      </c>
      <c r="AL1183" s="3" t="n">
        <v>100965.754706</v>
      </c>
      <c r="AM1183" s="3" t="n"/>
      <c r="AN1183" s="3" t="n"/>
      <c r="AO1183" s="3" t="n"/>
      <c r="AP1183" s="3" t="n"/>
      <c r="AQ1183" s="3" t="n"/>
      <c r="AR1183" s="3" t="n"/>
      <c r="AS1183" s="3" t="n"/>
      <c r="AT1183" s="3" t="n"/>
      <c r="AU1183" s="3" t="n"/>
    </row>
    <row r="1184">
      <c r="A1184" s="3" t="n">
        <v>2031</v>
      </c>
      <c r="B1184" s="3" t="inlineStr">
        <is>
          <t>GMB</t>
        </is>
      </c>
      <c r="C1184" s="3" t="inlineStr">
        <is>
          <t>IMF.RES:WEO</t>
        </is>
      </c>
      <c r="D1184" s="3" t="inlineStr">
        <is>
          <t>GMB.NGDPRPC.A</t>
        </is>
      </c>
      <c r="E1184" s="3" t="inlineStr">
        <is>
          <t>Gambia, The</t>
        </is>
      </c>
      <c r="F1184" s="3" t="inlineStr">
        <is>
          <t>Gross domestic product (GDP), Constant prices, Per capita, Domestic currency</t>
        </is>
      </c>
      <c r="G1184" s="3" t="n">
        <v>24308.938324</v>
      </c>
      <c r="H1184" s="3" t="n">
        <v>25020.876588</v>
      </c>
      <c r="I1184" s="3" t="n">
        <v>23567.186802</v>
      </c>
      <c r="J1184" s="3" t="n">
        <v>24517.998592</v>
      </c>
      <c r="K1184" s="3" t="n">
        <v>25538.013377</v>
      </c>
      <c r="L1184" s="3" t="n">
        <v>24253.422023</v>
      </c>
      <c r="M1184" s="3" t="n">
        <v>23440.394705</v>
      </c>
      <c r="N1184" s="3" t="n">
        <v>23462.976514</v>
      </c>
      <c r="O1184" s="3" t="n">
        <v>24216.57826</v>
      </c>
      <c r="P1184" s="3" t="n">
        <v>25091.374737</v>
      </c>
      <c r="Q1184" s="3" t="n">
        <v>25812.377789</v>
      </c>
      <c r="R1184" s="3" t="n">
        <v>23030.510474</v>
      </c>
      <c r="S1184" s="3" t="n">
        <v>23534.063149</v>
      </c>
      <c r="T1184" s="3" t="n">
        <v>23511.32539</v>
      </c>
      <c r="U1184" s="3" t="n">
        <v>22530.295089</v>
      </c>
      <c r="V1184" s="3" t="n">
        <v>22812.233013</v>
      </c>
      <c r="W1184" s="3" t="n">
        <v>22652.317474</v>
      </c>
      <c r="X1184" s="3" t="n">
        <v>23152.49773</v>
      </c>
      <c r="Y1184" s="3" t="n">
        <v>24233.227239</v>
      </c>
      <c r="Z1184" s="3" t="n">
        <v>25099.02988</v>
      </c>
      <c r="AA1184" s="3" t="n">
        <v>24626.212377</v>
      </c>
      <c r="AB1184" s="3" t="n">
        <v>25285.61724</v>
      </c>
      <c r="AC1184" s="3" t="n">
        <v>26016.192506</v>
      </c>
      <c r="AD1184" s="3" t="n">
        <v>26877.795019</v>
      </c>
      <c r="AE1184" s="3" t="n">
        <v>27672.219845</v>
      </c>
      <c r="AF1184" s="3" t="n">
        <v>28611.492506</v>
      </c>
      <c r="AG1184" s="3" t="n">
        <v>29334.338816</v>
      </c>
      <c r="AH1184" s="3" t="n">
        <v>30050.041912</v>
      </c>
      <c r="AI1184" s="3" t="n">
        <v>30781.729032</v>
      </c>
      <c r="AJ1184" s="3" t="n">
        <v>31531.364174</v>
      </c>
      <c r="AK1184" s="3" t="n">
        <v>32299.218545</v>
      </c>
      <c r="AL1184" s="3" t="n">
        <v>33085.750675</v>
      </c>
      <c r="AM1184" s="3" t="n"/>
      <c r="AN1184" s="3" t="n"/>
      <c r="AO1184" s="3" t="n"/>
      <c r="AP1184" s="3" t="n"/>
      <c r="AQ1184" s="3" t="n"/>
      <c r="AR1184" s="3" t="n"/>
      <c r="AS1184" s="3" t="n"/>
      <c r="AT1184" s="3" t="n"/>
      <c r="AU1184" s="3" t="n"/>
    </row>
    <row r="1185">
      <c r="A1185" s="3" t="n">
        <v>2031</v>
      </c>
      <c r="B1185" s="3" t="inlineStr">
        <is>
          <t>GMB</t>
        </is>
      </c>
      <c r="C1185" s="3" t="inlineStr">
        <is>
          <t>IMF.RES:WEO</t>
        </is>
      </c>
      <c r="D1185" s="3" t="inlineStr">
        <is>
          <t>GMB.PCPI.A</t>
        </is>
      </c>
      <c r="E1185" s="3" t="inlineStr">
        <is>
          <t>Gambia, The</t>
        </is>
      </c>
      <c r="F1185" s="3" t="inlineStr">
        <is>
          <t>All Items, Consumer price index (CPI), Period average</t>
        </is>
      </c>
      <c r="G1185" s="3" t="n">
        <v>151.569787</v>
      </c>
      <c r="H1185" s="3" t="n">
        <v>158.37866</v>
      </c>
      <c r="I1185" s="3" t="n">
        <v>172.014587</v>
      </c>
      <c r="J1185" s="3" t="n">
        <v>201.311543</v>
      </c>
      <c r="K1185" s="3" t="n">
        <v>230.073502</v>
      </c>
      <c r="L1185" s="3" t="n">
        <v>241.483674</v>
      </c>
      <c r="M1185" s="3" t="n">
        <v>246.448066</v>
      </c>
      <c r="N1185" s="3" t="n">
        <v>259.681612</v>
      </c>
      <c r="O1185" s="3" t="n">
        <v>271.240261</v>
      </c>
      <c r="P1185" s="3" t="n">
        <v>283.59317</v>
      </c>
      <c r="Q1185" s="3" t="n">
        <v>297.912757</v>
      </c>
      <c r="R1185" s="3" t="n">
        <v>312.201312</v>
      </c>
      <c r="S1185" s="3" t="n">
        <v>326.702935</v>
      </c>
      <c r="T1185" s="3" t="n">
        <v>343.826769</v>
      </c>
      <c r="U1185" s="3" t="n">
        <v>365.358343</v>
      </c>
      <c r="V1185" s="3" t="n">
        <v>390.232501</v>
      </c>
      <c r="W1185" s="3" t="n">
        <v>418.425068</v>
      </c>
      <c r="X1185" s="3" t="n">
        <v>452.105836</v>
      </c>
      <c r="Y1185" s="3" t="n">
        <v>481.587499</v>
      </c>
      <c r="Z1185" s="3" t="n">
        <v>515.855963</v>
      </c>
      <c r="AA1185" s="3" t="n">
        <v>546.4526</v>
      </c>
      <c r="AB1185" s="3" t="n">
        <v>586.728127</v>
      </c>
      <c r="AC1185" s="3" t="n">
        <v>654.279673</v>
      </c>
      <c r="AD1185" s="3" t="n">
        <v>765.28551</v>
      </c>
      <c r="AE1185" s="3" t="n">
        <v>853.780471</v>
      </c>
      <c r="AF1185" s="3" t="n">
        <v>920.827049</v>
      </c>
      <c r="AG1185" s="3" t="n">
        <v>974.250408</v>
      </c>
      <c r="AH1185" s="3" t="n">
        <v>1022.962929</v>
      </c>
      <c r="AI1185" s="3" t="n">
        <v>1074.111075</v>
      </c>
      <c r="AJ1185" s="3" t="n">
        <v>1127.816629</v>
      </c>
      <c r="AK1185" s="3" t="n">
        <v>1184.20746</v>
      </c>
      <c r="AL1185" s="3" t="n">
        <v>1243.417833</v>
      </c>
      <c r="AM1185" s="3" t="n"/>
      <c r="AN1185" s="3" t="n"/>
      <c r="AO1185" s="3" t="n"/>
      <c r="AP1185" s="3" t="n"/>
      <c r="AQ1185" s="3" t="n"/>
      <c r="AR1185" s="3" t="n"/>
      <c r="AS1185" s="3" t="n"/>
      <c r="AT1185" s="3" t="n"/>
      <c r="AU1185" s="3" t="n"/>
    </row>
    <row r="1186">
      <c r="A1186" s="3" t="n">
        <v>2031</v>
      </c>
      <c r="B1186" s="3" t="inlineStr">
        <is>
          <t>GMB</t>
        </is>
      </c>
      <c r="C1186" s="3" t="inlineStr">
        <is>
          <t>IMF.RES:WEO</t>
        </is>
      </c>
      <c r="D1186" s="3" t="inlineStr">
        <is>
          <t>GMB.PCPIPCH.A</t>
        </is>
      </c>
      <c r="E1186" s="3" t="inlineStr">
        <is>
          <t>Gambia, The</t>
        </is>
      </c>
      <c r="F1186" s="3" t="inlineStr">
        <is>
          <t>All Items, Consumer price index (CPI), Period average, percent change</t>
        </is>
      </c>
      <c r="G1186" s="3" t="n">
        <v>0.850872</v>
      </c>
      <c r="H1186" s="3" t="n">
        <v>4.492237</v>
      </c>
      <c r="I1186" s="3" t="n">
        <v>8.6097</v>
      </c>
      <c r="J1186" s="3" t="n">
        <v>17.031669</v>
      </c>
      <c r="K1186" s="3" t="n">
        <v>14.287287</v>
      </c>
      <c r="L1186" s="3" t="n">
        <v>4.959359</v>
      </c>
      <c r="M1186" s="3" t="n">
        <v>2.055788</v>
      </c>
      <c r="N1186" s="3" t="n">
        <v>5.36971</v>
      </c>
      <c r="O1186" s="3" t="n">
        <v>4.451085</v>
      </c>
      <c r="P1186" s="3" t="n">
        <v>4.554231</v>
      </c>
      <c r="Q1186" s="3" t="n">
        <v>5.049341</v>
      </c>
      <c r="R1186" s="3" t="n">
        <v>4.796221</v>
      </c>
      <c r="S1186" s="3" t="n">
        <v>4.644959</v>
      </c>
      <c r="T1186" s="3" t="n">
        <v>5.241408</v>
      </c>
      <c r="U1186" s="3" t="n">
        <v>6.262332</v>
      </c>
      <c r="V1186" s="3" t="n">
        <v>6.808154</v>
      </c>
      <c r="W1186" s="3" t="n">
        <v>7.224556</v>
      </c>
      <c r="X1186" s="3" t="n">
        <v>8.049415</v>
      </c>
      <c r="Y1186" s="3" t="n">
        <v>6.520965</v>
      </c>
      <c r="Z1186" s="3" t="n">
        <v>7.11573</v>
      </c>
      <c r="AA1186" s="3" t="n">
        <v>5.931236</v>
      </c>
      <c r="AB1186" s="3" t="n">
        <v>7.370361</v>
      </c>
      <c r="AC1186" s="3" t="n">
        <v>11.513262</v>
      </c>
      <c r="AD1186" s="3" t="n">
        <v>16.966114</v>
      </c>
      <c r="AE1186" s="3" t="n">
        <v>11.563653</v>
      </c>
      <c r="AF1186" s="3" t="n">
        <v>7.852906</v>
      </c>
      <c r="AG1186" s="3" t="n">
        <v>5.801671</v>
      </c>
      <c r="AH1186" s="3" t="n">
        <v>5</v>
      </c>
      <c r="AI1186" s="3" t="n">
        <v>5</v>
      </c>
      <c r="AJ1186" s="3" t="n">
        <v>5</v>
      </c>
      <c r="AK1186" s="3" t="n">
        <v>5</v>
      </c>
      <c r="AL1186" s="3" t="n">
        <v>5</v>
      </c>
      <c r="AM1186" s="3" t="n"/>
      <c r="AN1186" s="3" t="n"/>
      <c r="AO1186" s="3" t="n"/>
      <c r="AP1186" s="3" t="n"/>
      <c r="AQ1186" s="3" t="n"/>
      <c r="AR1186" s="3" t="n"/>
      <c r="AS1186" s="3" t="n"/>
      <c r="AT1186" s="3" t="n"/>
      <c r="AU1186" s="3" t="n"/>
    </row>
    <row r="1187">
      <c r="A1187" s="3" t="n">
        <v>2031</v>
      </c>
      <c r="B1187" s="3" t="inlineStr">
        <is>
          <t>GMB</t>
        </is>
      </c>
      <c r="C1187" s="3" t="inlineStr">
        <is>
          <t>IMF.RES:WEO</t>
        </is>
      </c>
      <c r="D1187" s="3" t="inlineStr">
        <is>
          <t>GMB.PPPPC.A</t>
        </is>
      </c>
      <c r="E1187" s="3" t="inlineStr">
        <is>
          <t>Gambia, The</t>
        </is>
      </c>
      <c r="F1187" s="3" t="inlineStr">
        <is>
          <t>Gross domestic product (GDP), Per capita, purchasing power parity (PPP) international dollar, ICP benchmarks 2017-2021</t>
        </is>
      </c>
      <c r="G1187" s="3" t="n">
        <v>1556.836794</v>
      </c>
      <c r="H1187" s="3" t="n">
        <v>1638.512712</v>
      </c>
      <c r="I1187" s="3" t="n">
        <v>1567.300332</v>
      </c>
      <c r="J1187" s="3" t="n">
        <v>1662.722872</v>
      </c>
      <c r="K1187" s="3" t="n">
        <v>1778.465265</v>
      </c>
      <c r="L1187" s="3" t="n">
        <v>1741.970639</v>
      </c>
      <c r="M1187" s="3" t="n">
        <v>1735.495505</v>
      </c>
      <c r="N1187" s="3" t="n">
        <v>1784.231989</v>
      </c>
      <c r="O1187" s="3" t="n">
        <v>1877.014932</v>
      </c>
      <c r="P1187" s="3" t="n">
        <v>1956.814492</v>
      </c>
      <c r="Q1187" s="3" t="n">
        <v>2037.509765</v>
      </c>
      <c r="R1187" s="3" t="n">
        <v>1855.430267</v>
      </c>
      <c r="S1187" s="3" t="n">
        <v>1931.300695</v>
      </c>
      <c r="T1187" s="3" t="n">
        <v>1962.273816</v>
      </c>
      <c r="U1187" s="3" t="n">
        <v>1913.147392</v>
      </c>
      <c r="V1187" s="3" t="n">
        <v>1955.0652</v>
      </c>
      <c r="W1187" s="3" t="n">
        <v>1959.807301</v>
      </c>
      <c r="X1187" s="3" t="n">
        <v>2038.9543</v>
      </c>
      <c r="Y1187" s="3" t="n">
        <v>2277.442363</v>
      </c>
      <c r="Z1187" s="3" t="n">
        <v>2417.622145</v>
      </c>
      <c r="AA1187" s="3" t="n">
        <v>2523.416188</v>
      </c>
      <c r="AB1187" s="3" t="n">
        <v>2766.578083</v>
      </c>
      <c r="AC1187" s="3" t="n">
        <v>3048.968358</v>
      </c>
      <c r="AD1187" s="3" t="n">
        <v>3266.492862</v>
      </c>
      <c r="AE1187" s="3" t="n">
        <v>3446.529312</v>
      </c>
      <c r="AF1187" s="3" t="n">
        <v>3664.602749</v>
      </c>
      <c r="AG1187" s="3" t="n">
        <v>3864.823759</v>
      </c>
      <c r="AH1187" s="3" t="n">
        <v>4046.0566</v>
      </c>
      <c r="AI1187" s="3" t="n">
        <v>4212.602493</v>
      </c>
      <c r="AJ1187" s="3" t="n">
        <v>4391.921871</v>
      </c>
      <c r="AK1187" s="3" t="n">
        <v>4581.542336</v>
      </c>
      <c r="AL1187" s="3" t="n">
        <v>4777.834228</v>
      </c>
      <c r="AM1187" s="3" t="n"/>
      <c r="AN1187" s="3" t="n"/>
      <c r="AO1187" s="3" t="n"/>
      <c r="AP1187" s="3" t="n"/>
      <c r="AQ1187" s="3" t="n"/>
      <c r="AR1187" s="3" t="n"/>
      <c r="AS1187" s="3" t="n"/>
      <c r="AT1187" s="3" t="n"/>
      <c r="AU1187" s="3" t="n"/>
    </row>
    <row r="1188">
      <c r="A1188" s="3" t="n">
        <v>2025</v>
      </c>
      <c r="B1188" s="3" t="inlineStr">
        <is>
          <t>GMB</t>
        </is>
      </c>
      <c r="C1188" s="3" t="inlineStr">
        <is>
          <t>IMF.STA:ER</t>
        </is>
      </c>
      <c r="D1188" s="3" t="inlineStr">
        <is>
          <t>GMB.XDC_USD.PA_RT.A</t>
        </is>
      </c>
      <c r="E1188" s="3" t="inlineStr">
        <is>
          <t>Gambia, The</t>
        </is>
      </c>
      <c r="F1188" s="3" t="inlineStr">
        <is>
          <t>Domestic currency per US Dollar</t>
        </is>
      </c>
      <c r="G1188" s="3" t="n">
        <v>12.7876250950943</v>
      </c>
      <c r="H1188" s="3" t="n">
        <v>15.6871583333333</v>
      </c>
      <c r="I1188" s="3" t="n">
        <v>19.917825</v>
      </c>
      <c r="J1188" s="3" t="n">
        <v>28.5305083333333</v>
      </c>
      <c r="K1188" s="3" t="n">
        <v>30.0300833333333</v>
      </c>
      <c r="L1188" s="3" t="n">
        <v>28.5754333333333</v>
      </c>
      <c r="M1188" s="3" t="n">
        <v>28.065725</v>
      </c>
      <c r="N1188" s="3" t="n">
        <v>24.8734333333333</v>
      </c>
      <c r="O1188" s="3" t="n">
        <v>22.19235</v>
      </c>
      <c r="P1188" s="3" t="n">
        <v>26.6443612042312</v>
      </c>
      <c r="Q1188" s="3" t="n">
        <v>28.0119536626841</v>
      </c>
      <c r="R1188" s="3" t="n">
        <v>29.4615200601576</v>
      </c>
      <c r="S1188" s="3" t="n">
        <v>32.0771338886216</v>
      </c>
      <c r="T1188" s="3" t="n">
        <v>35.957586834165</v>
      </c>
      <c r="U1188" s="3" t="n">
        <v>41.7329616505126</v>
      </c>
      <c r="V1188" s="3" t="n">
        <v>42.5062080923725</v>
      </c>
      <c r="W1188" s="3" t="n">
        <v>43.3725276731818</v>
      </c>
      <c r="X1188" s="3" t="n">
        <v>46.6089094621101</v>
      </c>
      <c r="Y1188" s="3" t="n">
        <v>48.1517806379073</v>
      </c>
      <c r="Z1188" s="3" t="n">
        <v>50.0624613684222</v>
      </c>
      <c r="AA1188" s="3" t="n">
        <v>51.5016603661723</v>
      </c>
      <c r="AB1188" s="3" t="n">
        <v>51.4844438783832</v>
      </c>
      <c r="AC1188" s="3" t="n">
        <v>54.9234673586679</v>
      </c>
      <c r="AD1188" s="3" t="n">
        <v>61.0963330077956</v>
      </c>
      <c r="AE1188" s="3" t="n">
        <v>67.66123825894191</v>
      </c>
      <c r="AF1188" s="3" t="n">
        <v>71.2893818242692</v>
      </c>
      <c r="AG1188" s="3" t="n"/>
      <c r="AH1188" s="3" t="n"/>
      <c r="AI1188" s="3" t="n"/>
      <c r="AJ1188" s="3" t="n"/>
      <c r="AK1188" s="3" t="n"/>
      <c r="AL1188" s="3" t="n"/>
      <c r="AM1188" s="3" t="n"/>
      <c r="AN1188" s="3" t="n"/>
      <c r="AO1188" s="3" t="n"/>
      <c r="AP1188" s="3" t="n"/>
      <c r="AQ1188" s="3" t="n"/>
      <c r="AR1188" s="3" t="n"/>
      <c r="AS1188" s="3" t="n"/>
      <c r="AT1188" s="3" t="n"/>
      <c r="AU1188" s="3" t="n"/>
    </row>
    <row r="1189">
      <c r="A1189" s="3" t="n">
        <v>2031</v>
      </c>
      <c r="B1189" s="3" t="inlineStr">
        <is>
          <t>GNB</t>
        </is>
      </c>
      <c r="C1189" s="3" t="inlineStr">
        <is>
          <t>IMF.RES:WEO</t>
        </is>
      </c>
      <c r="D1189" s="3" t="inlineStr">
        <is>
          <t>GNB.BCA.A</t>
        </is>
      </c>
      <c r="E1189" s="3" t="inlineStr">
        <is>
          <t>Guinea-Bissau</t>
        </is>
      </c>
      <c r="F1189" s="3" t="inlineStr">
        <is>
          <t>Current account balance (credit less debit), US dollar</t>
        </is>
      </c>
      <c r="G1189" s="3" t="n">
        <v>0.010671</v>
      </c>
      <c r="H1189" s="3" t="n">
        <v>-0.015989</v>
      </c>
      <c r="I1189" s="3" t="n">
        <v>-0.015299</v>
      </c>
      <c r="J1189" s="3" t="n">
        <v>-0.013962</v>
      </c>
      <c r="K1189" s="3" t="n">
        <v>-0.009157999999999999</v>
      </c>
      <c r="L1189" s="3" t="n">
        <v>-0.010465</v>
      </c>
      <c r="M1189" s="3" t="n">
        <v>-0.039488</v>
      </c>
      <c r="N1189" s="3" t="n">
        <v>-0.030674</v>
      </c>
      <c r="O1189" s="3" t="n">
        <v>-0.028803</v>
      </c>
      <c r="P1189" s="3" t="n">
        <v>-0.047954</v>
      </c>
      <c r="Q1189" s="3" t="n">
        <v>-0.070837</v>
      </c>
      <c r="R1189" s="3" t="n">
        <v>-0.013977</v>
      </c>
      <c r="S1189" s="3" t="n">
        <v>-0.083217</v>
      </c>
      <c r="T1189" s="3" t="n">
        <v>-0.048217</v>
      </c>
      <c r="U1189" s="3" t="n">
        <v>0.005614</v>
      </c>
      <c r="V1189" s="3" t="n">
        <v>0.021017</v>
      </c>
      <c r="W1189" s="3" t="n">
        <v>0.016908</v>
      </c>
      <c r="X1189" s="3" t="n">
        <v>0.003866</v>
      </c>
      <c r="Y1189" s="3" t="n">
        <v>-0.054171</v>
      </c>
      <c r="Z1189" s="3" t="n">
        <v>-0.12701</v>
      </c>
      <c r="AA1189" s="3" t="n">
        <v>-0.038943</v>
      </c>
      <c r="AB1189" s="3" t="n">
        <v>-0.014094</v>
      </c>
      <c r="AC1189" s="3" t="n">
        <v>-0.148461</v>
      </c>
      <c r="AD1189" s="3" t="n">
        <v>-0.172258</v>
      </c>
      <c r="AE1189" s="3" t="n">
        <v>-0.162044</v>
      </c>
      <c r="AF1189" s="3" t="n">
        <v>-0.163205</v>
      </c>
      <c r="AG1189" s="3" t="n">
        <v>-0.188572</v>
      </c>
      <c r="AH1189" s="3" t="n">
        <v>-0.164175</v>
      </c>
      <c r="AI1189" s="3" t="n">
        <v>-0.158822</v>
      </c>
      <c r="AJ1189" s="3" t="n">
        <v>-0.16381</v>
      </c>
      <c r="AK1189" s="3" t="n">
        <v>-0.165423</v>
      </c>
      <c r="AL1189" s="3" t="n">
        <v>-0.167697</v>
      </c>
      <c r="AM1189" s="3" t="n"/>
      <c r="AN1189" s="3" t="n"/>
      <c r="AO1189" s="3" t="n"/>
      <c r="AP1189" s="3" t="n"/>
      <c r="AQ1189" s="3" t="n"/>
      <c r="AR1189" s="3" t="n"/>
      <c r="AS1189" s="3" t="n"/>
      <c r="AT1189" s="3" t="n"/>
      <c r="AU1189" s="3" t="n"/>
    </row>
    <row r="1190">
      <c r="A1190" s="3" t="n">
        <v>2031</v>
      </c>
      <c r="B1190" s="3" t="inlineStr">
        <is>
          <t>GNB</t>
        </is>
      </c>
      <c r="C1190" s="3" t="inlineStr">
        <is>
          <t>IMF.RES:WEO</t>
        </is>
      </c>
      <c r="D1190" s="3" t="inlineStr">
        <is>
          <t>GNB.BCA_NGDPD.A</t>
        </is>
      </c>
      <c r="E1190" s="3" t="inlineStr">
        <is>
          <t>Guinea-Bissau</t>
        </is>
      </c>
      <c r="F1190" s="3" t="inlineStr">
        <is>
          <t>Current account balance (credit less debit), Percent of GDP</t>
        </is>
      </c>
      <c r="G1190" s="3" t="n">
        <v>2.725432</v>
      </c>
      <c r="H1190" s="3" t="n">
        <v>-3.874956</v>
      </c>
      <c r="I1190" s="3" t="n">
        <v>-3.279822</v>
      </c>
      <c r="J1190" s="3" t="n">
        <v>-2.522569</v>
      </c>
      <c r="K1190" s="3" t="n">
        <v>-1.57386</v>
      </c>
      <c r="L1190" s="3" t="n">
        <v>-1.6349</v>
      </c>
      <c r="M1190" s="3" t="n">
        <v>-6.220337</v>
      </c>
      <c r="N1190" s="3" t="n">
        <v>-4.072259</v>
      </c>
      <c r="O1190" s="3" t="n">
        <v>-3.02377</v>
      </c>
      <c r="P1190" s="3" t="n">
        <v>-5.39292</v>
      </c>
      <c r="Q1190" s="3" t="n">
        <v>-7.528839</v>
      </c>
      <c r="R1190" s="3" t="n">
        <v>-1.208215</v>
      </c>
      <c r="S1190" s="3" t="n">
        <v>-7.924812</v>
      </c>
      <c r="T1190" s="3" t="n">
        <v>-4.345033</v>
      </c>
      <c r="U1190" s="3" t="n">
        <v>0.49442</v>
      </c>
      <c r="V1190" s="3" t="n">
        <v>1.823601</v>
      </c>
      <c r="W1190" s="3" t="n">
        <v>1.358339</v>
      </c>
      <c r="X1190" s="3" t="n">
        <v>0.26311</v>
      </c>
      <c r="Y1190" s="3" t="n">
        <v>-3.484047</v>
      </c>
      <c r="Z1190" s="3" t="n">
        <v>-8.543994</v>
      </c>
      <c r="AA1190" s="3" t="n">
        <v>-2.557562</v>
      </c>
      <c r="AB1190" s="3" t="n">
        <v>-0.818336</v>
      </c>
      <c r="AC1190" s="3" t="n">
        <v>-8.625416</v>
      </c>
      <c r="AD1190" s="3" t="n">
        <v>-8.590968999999999</v>
      </c>
      <c r="AE1190" s="3" t="n">
        <v>-7.411581</v>
      </c>
      <c r="AF1190" s="3" t="n">
        <v>-6.162954</v>
      </c>
      <c r="AG1190" s="3" t="n">
        <v>-6.318016</v>
      </c>
      <c r="AH1190" s="3" t="n">
        <v>-5.10775</v>
      </c>
      <c r="AI1190" s="3" t="n">
        <v>-4.61211</v>
      </c>
      <c r="AJ1190" s="3" t="n">
        <v>-4.43047</v>
      </c>
      <c r="AK1190" s="3" t="n">
        <v>-4.165482</v>
      </c>
      <c r="AL1190" s="3" t="n">
        <v>-3.962309</v>
      </c>
      <c r="AM1190" s="3" t="n"/>
      <c r="AN1190" s="3" t="n"/>
      <c r="AO1190" s="3" t="n"/>
      <c r="AP1190" s="3" t="n"/>
      <c r="AQ1190" s="3" t="n"/>
      <c r="AR1190" s="3" t="n"/>
      <c r="AS1190" s="3" t="n"/>
      <c r="AT1190" s="3" t="n"/>
      <c r="AU1190" s="3" t="n"/>
    </row>
    <row r="1191">
      <c r="A1191" s="3" t="n">
        <v>2031</v>
      </c>
      <c r="B1191" s="3" t="inlineStr">
        <is>
          <t>GNB</t>
        </is>
      </c>
      <c r="C1191" s="3" t="inlineStr">
        <is>
          <t>IMF.RES:WEO</t>
        </is>
      </c>
      <c r="D1191" s="3" t="inlineStr">
        <is>
          <t>GNB.GGR_NGDP.A</t>
        </is>
      </c>
      <c r="E1191" s="3" t="inlineStr">
        <is>
          <t>Guinea-Bissau</t>
        </is>
      </c>
      <c r="F1191" s="3" t="inlineStr">
        <is>
          <t>Revenue, General government, Percent of GDP</t>
        </is>
      </c>
      <c r="G1191" s="3" t="n">
        <v>20.713534</v>
      </c>
      <c r="H1191" s="3" t="n">
        <v>17.248865</v>
      </c>
      <c r="I1191" s="3" t="n">
        <v>10.351073</v>
      </c>
      <c r="J1191" s="3" t="n">
        <v>11.404871</v>
      </c>
      <c r="K1191" s="3" t="n">
        <v>17.053052</v>
      </c>
      <c r="L1191" s="3" t="n">
        <v>15.206354</v>
      </c>
      <c r="M1191" s="3" t="n">
        <v>15.232989</v>
      </c>
      <c r="N1191" s="3" t="n">
        <v>14.914915</v>
      </c>
      <c r="O1191" s="3" t="n">
        <v>21.019867</v>
      </c>
      <c r="P1191" s="3" t="n">
        <v>23.28666</v>
      </c>
      <c r="Q1191" s="3" t="n">
        <v>18.323522</v>
      </c>
      <c r="R1191" s="3" t="n">
        <v>15.959715</v>
      </c>
      <c r="S1191" s="3" t="n">
        <v>10.851094</v>
      </c>
      <c r="T1191" s="3" t="n">
        <v>10.742848</v>
      </c>
      <c r="U1191" s="3" t="n">
        <v>20.523236</v>
      </c>
      <c r="V1191" s="3" t="n">
        <v>18.341746</v>
      </c>
      <c r="W1191" s="3" t="n">
        <v>15.174568</v>
      </c>
      <c r="X1191" s="3" t="n">
        <v>16.787504</v>
      </c>
      <c r="Y1191" s="3" t="n">
        <v>14.712174</v>
      </c>
      <c r="Z1191" s="3" t="n">
        <v>14.935341</v>
      </c>
      <c r="AA1191" s="3" t="n">
        <v>15.396775</v>
      </c>
      <c r="AB1191" s="3" t="n">
        <v>19.122374</v>
      </c>
      <c r="AC1191" s="3" t="n">
        <v>15.219102</v>
      </c>
      <c r="AD1191" s="3" t="n">
        <v>13.739328</v>
      </c>
      <c r="AE1191" s="3" t="n">
        <v>13.103266</v>
      </c>
      <c r="AF1191" s="3" t="n">
        <v>13.177814</v>
      </c>
      <c r="AG1191" s="3" t="n">
        <v>13.73465</v>
      </c>
      <c r="AH1191" s="3" t="n">
        <v>14.677138</v>
      </c>
      <c r="AI1191" s="3" t="n">
        <v>15.069936</v>
      </c>
      <c r="AJ1191" s="3" t="n">
        <v>15.166383</v>
      </c>
      <c r="AK1191" s="3" t="n">
        <v>15.217103</v>
      </c>
      <c r="AL1191" s="3" t="n">
        <v>15.309895</v>
      </c>
      <c r="AM1191" s="3" t="n"/>
      <c r="AN1191" s="3" t="n"/>
      <c r="AO1191" s="3" t="n"/>
      <c r="AP1191" s="3" t="n"/>
      <c r="AQ1191" s="3" t="n"/>
      <c r="AR1191" s="3" t="n"/>
      <c r="AS1191" s="3" t="n"/>
      <c r="AT1191" s="3" t="n"/>
      <c r="AU1191" s="3" t="n"/>
    </row>
    <row r="1192">
      <c r="A1192" s="3" t="n">
        <v>2031</v>
      </c>
      <c r="B1192" s="3" t="inlineStr">
        <is>
          <t>GNB</t>
        </is>
      </c>
      <c r="C1192" s="3" t="inlineStr">
        <is>
          <t>IMF.RES:WEO</t>
        </is>
      </c>
      <c r="D1192" s="3" t="inlineStr">
        <is>
          <t>GNB.GGX_NGDP.A</t>
        </is>
      </c>
      <c r="E1192" s="3" t="inlineStr">
        <is>
          <t>Guinea-Bissau</t>
        </is>
      </c>
      <c r="F1192" s="3" t="inlineStr">
        <is>
          <t>Expenditure, General government, Percent of GDP</t>
        </is>
      </c>
      <c r="G1192" s="3" t="n">
        <v>23.514364</v>
      </c>
      <c r="H1192" s="3" t="n">
        <v>19.074527</v>
      </c>
      <c r="I1192" s="3" t="n">
        <v>14.054738</v>
      </c>
      <c r="J1192" s="3" t="n">
        <v>17.032424</v>
      </c>
      <c r="K1192" s="3" t="n">
        <v>22.972568</v>
      </c>
      <c r="L1192" s="3" t="n">
        <v>20.166624</v>
      </c>
      <c r="M1192" s="3" t="n">
        <v>19.80746</v>
      </c>
      <c r="N1192" s="3" t="n">
        <v>23.689373</v>
      </c>
      <c r="O1192" s="3" t="n">
        <v>21.754677</v>
      </c>
      <c r="P1192" s="3" t="n">
        <v>20.607308</v>
      </c>
      <c r="Q1192" s="3" t="n">
        <v>18.548598</v>
      </c>
      <c r="R1192" s="3" t="n">
        <v>17.313391</v>
      </c>
      <c r="S1192" s="3" t="n">
        <v>12.973927</v>
      </c>
      <c r="T1192" s="3" t="n">
        <v>12.41569</v>
      </c>
      <c r="U1192" s="3" t="n">
        <v>22.959052</v>
      </c>
      <c r="V1192" s="3" t="n">
        <v>21.503209</v>
      </c>
      <c r="W1192" s="3" t="n">
        <v>20.515569</v>
      </c>
      <c r="X1192" s="3" t="n">
        <v>18.108159</v>
      </c>
      <c r="Y1192" s="3" t="n">
        <v>19.476297</v>
      </c>
      <c r="Z1192" s="3" t="n">
        <v>18.796799</v>
      </c>
      <c r="AA1192" s="3" t="n">
        <v>25.034355</v>
      </c>
      <c r="AB1192" s="3" t="n">
        <v>25.003971</v>
      </c>
      <c r="AC1192" s="3" t="n">
        <v>21.275492</v>
      </c>
      <c r="AD1192" s="3" t="n">
        <v>21.891432</v>
      </c>
      <c r="AE1192" s="3" t="n">
        <v>20.358747</v>
      </c>
      <c r="AF1192" s="3" t="n">
        <v>19.871422</v>
      </c>
      <c r="AG1192" s="3" t="n">
        <v>17.719788</v>
      </c>
      <c r="AH1192" s="3" t="n">
        <v>18.225356</v>
      </c>
      <c r="AI1192" s="3" t="n">
        <v>18.070484</v>
      </c>
      <c r="AJ1192" s="3" t="n">
        <v>18.138292</v>
      </c>
      <c r="AK1192" s="3" t="n">
        <v>18.239642</v>
      </c>
      <c r="AL1192" s="3" t="n">
        <v>18.29112</v>
      </c>
      <c r="AM1192" s="3" t="n"/>
      <c r="AN1192" s="3" t="n"/>
      <c r="AO1192" s="3" t="n"/>
      <c r="AP1192" s="3" t="n"/>
      <c r="AQ1192" s="3" t="n"/>
      <c r="AR1192" s="3" t="n"/>
      <c r="AS1192" s="3" t="n"/>
      <c r="AT1192" s="3" t="n"/>
      <c r="AU1192" s="3" t="n"/>
    </row>
    <row r="1193">
      <c r="A1193" s="3" t="n">
        <v>2031</v>
      </c>
      <c r="B1193" s="3" t="inlineStr">
        <is>
          <t>GNB</t>
        </is>
      </c>
      <c r="C1193" s="3" t="inlineStr">
        <is>
          <t>IMF.RES:WEO</t>
        </is>
      </c>
      <c r="D1193" s="3" t="inlineStr">
        <is>
          <t>GNB.LP.A</t>
        </is>
      </c>
      <c r="E1193" s="3" t="inlineStr">
        <is>
          <t>Guinea-Bissau</t>
        </is>
      </c>
      <c r="F1193" s="3" t="inlineStr">
        <is>
          <t>Population, Persons for countries / Index for country groups</t>
        </is>
      </c>
      <c r="G1193" s="3" t="n">
        <v>1.193861</v>
      </c>
      <c r="H1193" s="3" t="n">
        <v>1.219446</v>
      </c>
      <c r="I1193" s="3" t="n">
        <v>1.245512</v>
      </c>
      <c r="J1193" s="3" t="n">
        <v>1.272149</v>
      </c>
      <c r="K1193" s="3" t="n">
        <v>1.299466</v>
      </c>
      <c r="L1193" s="3" t="n">
        <v>1.327572</v>
      </c>
      <c r="M1193" s="3" t="n">
        <v>1.35645</v>
      </c>
      <c r="N1193" s="3" t="n">
        <v>1.386162</v>
      </c>
      <c r="O1193" s="3" t="n">
        <v>1.416975</v>
      </c>
      <c r="P1193" s="3" t="n">
        <v>1.449229</v>
      </c>
      <c r="Q1193" s="3" t="n">
        <v>1.460215</v>
      </c>
      <c r="R1193" s="3" t="n">
        <v>1.49234</v>
      </c>
      <c r="S1193" s="3" t="n">
        <v>1.525171</v>
      </c>
      <c r="T1193" s="3" t="n">
        <v>1.558725</v>
      </c>
      <c r="U1193" s="3" t="n">
        <v>1.593017</v>
      </c>
      <c r="V1193" s="3" t="n">
        <v>1.628063</v>
      </c>
      <c r="W1193" s="3" t="n">
        <v>1.663881</v>
      </c>
      <c r="X1193" s="3" t="n">
        <v>1.700486</v>
      </c>
      <c r="Y1193" s="3" t="n">
        <v>1.737897</v>
      </c>
      <c r="Z1193" s="3" t="n">
        <v>1.77613</v>
      </c>
      <c r="AA1193" s="3" t="n">
        <v>1.815205</v>
      </c>
      <c r="AB1193" s="3" t="n">
        <v>1.85514</v>
      </c>
      <c r="AC1193" s="3" t="n">
        <v>1.896385</v>
      </c>
      <c r="AD1193" s="3" t="n">
        <v>1.936752</v>
      </c>
      <c r="AE1193" s="3" t="n">
        <v>1.977997</v>
      </c>
      <c r="AF1193" s="3" t="n">
        <v>2.019242</v>
      </c>
      <c r="AG1193" s="3" t="n">
        <v>2.060486</v>
      </c>
      <c r="AH1193" s="3" t="n">
        <v>2.102609</v>
      </c>
      <c r="AI1193" s="3" t="n">
        <v>2.144731</v>
      </c>
      <c r="AJ1193" s="3" t="n">
        <v>2.186854</v>
      </c>
      <c r="AK1193" s="3" t="n">
        <v>2.229854</v>
      </c>
      <c r="AL1193" s="3" t="n">
        <v>2.272853</v>
      </c>
      <c r="AM1193" s="3" t="n"/>
      <c r="AN1193" s="3" t="n"/>
      <c r="AO1193" s="3" t="n"/>
      <c r="AP1193" s="3" t="n"/>
      <c r="AQ1193" s="3" t="n"/>
      <c r="AR1193" s="3" t="n"/>
      <c r="AS1193" s="3" t="n"/>
      <c r="AT1193" s="3" t="n"/>
      <c r="AU1193" s="3" t="n"/>
    </row>
    <row r="1194">
      <c r="A1194" s="3" t="n">
        <v>2031</v>
      </c>
      <c r="B1194" s="3" t="inlineStr">
        <is>
          <t>GNB</t>
        </is>
      </c>
      <c r="C1194" s="3" t="inlineStr">
        <is>
          <t>IMF.RES:WEO</t>
        </is>
      </c>
      <c r="D1194" s="3" t="inlineStr">
        <is>
          <t>GNB.NGDP.A</t>
        </is>
      </c>
      <c r="E1194" s="3" t="inlineStr">
        <is>
          <t>Guinea-Bissau</t>
        </is>
      </c>
      <c r="F1194" s="3" t="inlineStr">
        <is>
          <t>Gross domestic product (GDP), Current prices, Domestic currency</t>
        </is>
      </c>
      <c r="G1194" s="3" t="n">
        <v>277.936765</v>
      </c>
      <c r="H1194" s="3" t="n">
        <v>302.19525</v>
      </c>
      <c r="I1194" s="3" t="n">
        <v>323.807097</v>
      </c>
      <c r="J1194" s="3" t="n">
        <v>321.039798</v>
      </c>
      <c r="K1194" s="3" t="n">
        <v>307.000298</v>
      </c>
      <c r="L1194" s="3" t="n">
        <v>337.327268</v>
      </c>
      <c r="M1194" s="3" t="n">
        <v>331.626332</v>
      </c>
      <c r="N1194" s="3" t="n">
        <v>360.489206</v>
      </c>
      <c r="O1194" s="3" t="n">
        <v>424.889764</v>
      </c>
      <c r="P1194" s="3" t="n">
        <v>418.640077</v>
      </c>
      <c r="Q1194" s="3" t="n">
        <v>465.16229</v>
      </c>
      <c r="R1194" s="3" t="n">
        <v>545.269683</v>
      </c>
      <c r="S1194" s="3" t="n">
        <v>535.783626</v>
      </c>
      <c r="T1194" s="3" t="n">
        <v>548.07193</v>
      </c>
      <c r="U1194" s="3" t="n">
        <v>560.538365</v>
      </c>
      <c r="V1194" s="3" t="n">
        <v>681.303</v>
      </c>
      <c r="W1194" s="3" t="n">
        <v>737.838</v>
      </c>
      <c r="X1194" s="3" t="n">
        <v>853.553</v>
      </c>
      <c r="Y1194" s="3" t="n">
        <v>863.2380000000001</v>
      </c>
      <c r="Z1194" s="3" t="n">
        <v>870.94258</v>
      </c>
      <c r="AA1194" s="3" t="n">
        <v>875.166652</v>
      </c>
      <c r="AB1194" s="3" t="n">
        <v>954.521512</v>
      </c>
      <c r="AC1194" s="3" t="n">
        <v>1071.314856</v>
      </c>
      <c r="AD1194" s="3" t="n">
        <v>1216.058063</v>
      </c>
      <c r="AE1194" s="3" t="n">
        <v>1325.406004</v>
      </c>
      <c r="AF1194" s="3" t="n">
        <v>1538.133668</v>
      </c>
      <c r="AG1194" s="3" t="n">
        <v>1660.261</v>
      </c>
      <c r="AH1194" s="3" t="n">
        <v>1792.086</v>
      </c>
      <c r="AI1194" s="3" t="n">
        <v>1925.166306</v>
      </c>
      <c r="AJ1194" s="3" t="n">
        <v>2068.129156</v>
      </c>
      <c r="AK1194" s="3" t="n">
        <v>2221.708427</v>
      </c>
      <c r="AL1194" s="3" t="n">
        <v>2368.119013</v>
      </c>
      <c r="AM1194" s="3" t="n"/>
      <c r="AN1194" s="3" t="n"/>
      <c r="AO1194" s="3" t="n"/>
      <c r="AP1194" s="3" t="n"/>
      <c r="AQ1194" s="3" t="n"/>
      <c r="AR1194" s="3" t="n"/>
      <c r="AS1194" s="3" t="n"/>
      <c r="AT1194" s="3" t="n"/>
      <c r="AU1194" s="3" t="n"/>
    </row>
    <row r="1195">
      <c r="A1195" s="3" t="n">
        <v>2031</v>
      </c>
      <c r="B1195" s="3" t="inlineStr">
        <is>
          <t>GNB</t>
        </is>
      </c>
      <c r="C1195" s="3" t="inlineStr">
        <is>
          <t>IMF.RES:WEO</t>
        </is>
      </c>
      <c r="D1195" s="3" t="inlineStr">
        <is>
          <t>GNB.NGDP_D.A</t>
        </is>
      </c>
      <c r="E1195" s="3" t="inlineStr">
        <is>
          <t>Guinea-Bissau</t>
        </is>
      </c>
      <c r="F1195" s="3" t="inlineStr">
        <is>
          <t>Gross domestic product (GDP), Price deflator, Index</t>
        </is>
      </c>
      <c r="G1195" s="3" t="n">
        <v>66.668319</v>
      </c>
      <c r="H1195" s="3" t="n">
        <v>69.176406</v>
      </c>
      <c r="I1195" s="3" t="n">
        <v>71.510683</v>
      </c>
      <c r="J1195" s="3" t="n">
        <v>71.10284799999999</v>
      </c>
      <c r="K1195" s="3" t="n">
        <v>67.20584599999999</v>
      </c>
      <c r="L1195" s="3" t="n">
        <v>69.298913</v>
      </c>
      <c r="M1195" s="3" t="n">
        <v>66.35829200000001</v>
      </c>
      <c r="N1195" s="3" t="n">
        <v>70.333331</v>
      </c>
      <c r="O1195" s="3" t="n">
        <v>79.30978500000001</v>
      </c>
      <c r="P1195" s="3" t="n">
        <v>76.276021</v>
      </c>
      <c r="Q1195" s="3" t="n">
        <v>80.253828</v>
      </c>
      <c r="R1195" s="3" t="n">
        <v>87.037621</v>
      </c>
      <c r="S1195" s="3" t="n">
        <v>87.013801</v>
      </c>
      <c r="T1195" s="3" t="n">
        <v>86.202719</v>
      </c>
      <c r="U1195" s="3" t="n">
        <v>87.32124899999999</v>
      </c>
      <c r="V1195" s="3" t="n">
        <v>100</v>
      </c>
      <c r="W1195" s="3" t="n">
        <v>102.840728</v>
      </c>
      <c r="X1195" s="3" t="n">
        <v>113.532177</v>
      </c>
      <c r="Y1195" s="3" t="n">
        <v>110.657991</v>
      </c>
      <c r="Z1195" s="3" t="n">
        <v>106.83793</v>
      </c>
      <c r="AA1195" s="3" t="n">
        <v>105.769551</v>
      </c>
      <c r="AB1195" s="3" t="n">
        <v>108.625329</v>
      </c>
      <c r="AC1195" s="3" t="n">
        <v>116.554978</v>
      </c>
      <c r="AD1195" s="3" t="n">
        <v>125.762821</v>
      </c>
      <c r="AE1195" s="3" t="n">
        <v>130.793334</v>
      </c>
      <c r="AF1195" s="3" t="n">
        <v>143.872667</v>
      </c>
      <c r="AG1195" s="3" t="n">
        <v>148.042052</v>
      </c>
      <c r="AH1195" s="3" t="n">
        <v>152.332331</v>
      </c>
      <c r="AI1195" s="3" t="n">
        <v>156.597636</v>
      </c>
      <c r="AJ1195" s="3" t="n">
        <v>160.98237</v>
      </c>
      <c r="AK1195" s="3" t="n">
        <v>165.960077</v>
      </c>
      <c r="AL1195" s="3" t="n">
        <v>169.750878</v>
      </c>
      <c r="AM1195" s="3" t="n"/>
      <c r="AN1195" s="3" t="n"/>
      <c r="AO1195" s="3" t="n"/>
      <c r="AP1195" s="3" t="n"/>
      <c r="AQ1195" s="3" t="n"/>
      <c r="AR1195" s="3" t="n"/>
      <c r="AS1195" s="3" t="n"/>
      <c r="AT1195" s="3" t="n"/>
      <c r="AU1195" s="3" t="n"/>
    </row>
    <row r="1196">
      <c r="A1196" s="3" t="n">
        <v>2031</v>
      </c>
      <c r="B1196" s="3" t="inlineStr">
        <is>
          <t>GNB</t>
        </is>
      </c>
      <c r="C1196" s="3" t="inlineStr">
        <is>
          <t>IMF.RES:WEO</t>
        </is>
      </c>
      <c r="D1196" s="3" t="inlineStr">
        <is>
          <t>GNB.NGDP_R.A</t>
        </is>
      </c>
      <c r="E1196" s="3" t="inlineStr">
        <is>
          <t>Guinea-Bissau</t>
        </is>
      </c>
      <c r="F1196" s="3" t="inlineStr">
        <is>
          <t>Gross domestic product (GDP), Constant prices, Domestic currency</t>
        </is>
      </c>
      <c r="G1196" s="3" t="n">
        <v>416.894818</v>
      </c>
      <c r="H1196" s="3" t="n">
        <v>436.847286</v>
      </c>
      <c r="I1196" s="3" t="n">
        <v>452.809406</v>
      </c>
      <c r="J1196" s="3" t="n">
        <v>451.514684</v>
      </c>
      <c r="K1196" s="3" t="n">
        <v>456.805946</v>
      </c>
      <c r="L1196" s="3" t="n">
        <v>486.77137</v>
      </c>
      <c r="M1196" s="3" t="n">
        <v>499.751153</v>
      </c>
      <c r="N1196" s="3" t="n">
        <v>512.543915</v>
      </c>
      <c r="O1196" s="3" t="n">
        <v>535.7343499999999</v>
      </c>
      <c r="P1196" s="3" t="n">
        <v>548.848865</v>
      </c>
      <c r="Q1196" s="3" t="n">
        <v>579.613836</v>
      </c>
      <c r="R1196" s="3" t="n">
        <v>626.475857</v>
      </c>
      <c r="S1196" s="3" t="n">
        <v>615.745571</v>
      </c>
      <c r="T1196" s="3" t="n">
        <v>635.794247</v>
      </c>
      <c r="U1196" s="3" t="n">
        <v>641.926646</v>
      </c>
      <c r="V1196" s="3" t="n">
        <v>681.303</v>
      </c>
      <c r="W1196" s="3" t="n">
        <v>717.457</v>
      </c>
      <c r="X1196" s="3" t="n">
        <v>751.815936</v>
      </c>
      <c r="Y1196" s="3" t="n">
        <v>780.09549</v>
      </c>
      <c r="Z1196" s="3" t="n">
        <v>815.199787</v>
      </c>
      <c r="AA1196" s="3" t="n">
        <v>827.427784</v>
      </c>
      <c r="AB1196" s="3" t="n">
        <v>878.728306</v>
      </c>
      <c r="AC1196" s="3" t="n">
        <v>919.149809</v>
      </c>
      <c r="AD1196" s="3" t="n">
        <v>966.945599</v>
      </c>
      <c r="AE1196" s="3" t="n">
        <v>1013.358987</v>
      </c>
      <c r="AF1196" s="3" t="n">
        <v>1069.093732</v>
      </c>
      <c r="AG1196" s="3" t="n">
        <v>1121.479324</v>
      </c>
      <c r="AH1196" s="3" t="n">
        <v>1176.431811</v>
      </c>
      <c r="AI1196" s="3" t="n">
        <v>1229.371243</v>
      </c>
      <c r="AJ1196" s="3" t="n">
        <v>1284.692949</v>
      </c>
      <c r="AK1196" s="3" t="n">
        <v>1338.700531</v>
      </c>
      <c r="AL1196" s="3" t="n">
        <v>1395.055531</v>
      </c>
      <c r="AM1196" s="3" t="n"/>
      <c r="AN1196" s="3" t="n"/>
      <c r="AO1196" s="3" t="n"/>
      <c r="AP1196" s="3" t="n"/>
      <c r="AQ1196" s="3" t="n"/>
      <c r="AR1196" s="3" t="n"/>
      <c r="AS1196" s="3" t="n"/>
      <c r="AT1196" s="3" t="n"/>
      <c r="AU1196" s="3" t="n"/>
    </row>
    <row r="1197">
      <c r="A1197" s="3" t="n">
        <v>2031</v>
      </c>
      <c r="B1197" s="3" t="inlineStr">
        <is>
          <t>GNB</t>
        </is>
      </c>
      <c r="C1197" s="3" t="inlineStr">
        <is>
          <t>IMF.RES:WEO</t>
        </is>
      </c>
      <c r="D1197" s="3" t="inlineStr">
        <is>
          <t>GNB.NGDP_RPCH.A</t>
        </is>
      </c>
      <c r="E1197" s="3" t="inlineStr">
        <is>
          <t>Guinea-Bissau</t>
        </is>
      </c>
      <c r="F1197" s="3" t="inlineStr">
        <is>
          <t>Gross domestic product (GDP), Constant prices, Percent change</t>
        </is>
      </c>
      <c r="G1197" s="3" t="n">
        <v>1.100278</v>
      </c>
      <c r="H1197" s="3" t="n">
        <v>4.785972</v>
      </c>
      <c r="I1197" s="3" t="n">
        <v>3.653936</v>
      </c>
      <c r="J1197" s="3" t="n">
        <v>-0.285931</v>
      </c>
      <c r="K1197" s="3" t="n">
        <v>1.171892</v>
      </c>
      <c r="L1197" s="3" t="n">
        <v>6.559771</v>
      </c>
      <c r="M1197" s="3" t="n">
        <v>2.666505</v>
      </c>
      <c r="N1197" s="3" t="n">
        <v>2.559826</v>
      </c>
      <c r="O1197" s="3" t="n">
        <v>4.524575</v>
      </c>
      <c r="P1197" s="3" t="n">
        <v>2.447951</v>
      </c>
      <c r="Q1197" s="3" t="n">
        <v>5.605363</v>
      </c>
      <c r="R1197" s="3" t="n">
        <v>8.085042</v>
      </c>
      <c r="S1197" s="3" t="n">
        <v>-1.712801</v>
      </c>
      <c r="T1197" s="3" t="n">
        <v>3.256</v>
      </c>
      <c r="U1197" s="3" t="n">
        <v>0.964526</v>
      </c>
      <c r="V1197" s="3" t="n">
        <v>6.134089</v>
      </c>
      <c r="W1197" s="3" t="n">
        <v>5.306596</v>
      </c>
      <c r="X1197" s="3" t="n">
        <v>4.788989</v>
      </c>
      <c r="Y1197" s="3" t="n">
        <v>3.7615</v>
      </c>
      <c r="Z1197" s="3" t="n">
        <v>4.5</v>
      </c>
      <c r="AA1197" s="3" t="n">
        <v>1.5</v>
      </c>
      <c r="AB1197" s="3" t="n">
        <v>6.2</v>
      </c>
      <c r="AC1197" s="3" t="n">
        <v>4.6</v>
      </c>
      <c r="AD1197" s="3" t="n">
        <v>5.2</v>
      </c>
      <c r="AE1197" s="3" t="n">
        <v>4.8</v>
      </c>
      <c r="AF1197" s="3" t="n">
        <v>5.5</v>
      </c>
      <c r="AG1197" s="3" t="n">
        <v>4.9</v>
      </c>
      <c r="AH1197" s="3" t="n">
        <v>4.9</v>
      </c>
      <c r="AI1197" s="3" t="n">
        <v>4.5</v>
      </c>
      <c r="AJ1197" s="3" t="n">
        <v>4.5</v>
      </c>
      <c r="AK1197" s="3" t="n">
        <v>4.203929</v>
      </c>
      <c r="AL1197" s="3" t="n">
        <v>4.209679</v>
      </c>
      <c r="AM1197" s="3" t="n"/>
      <c r="AN1197" s="3" t="n"/>
      <c r="AO1197" s="3" t="n"/>
      <c r="AP1197" s="3" t="n"/>
      <c r="AQ1197" s="3" t="n"/>
      <c r="AR1197" s="3" t="n"/>
      <c r="AS1197" s="3" t="n"/>
      <c r="AT1197" s="3" t="n"/>
      <c r="AU1197" s="3" t="n"/>
    </row>
    <row r="1198">
      <c r="A1198" s="3" t="n">
        <v>2031</v>
      </c>
      <c r="B1198" s="3" t="inlineStr">
        <is>
          <t>GNB</t>
        </is>
      </c>
      <c r="C1198" s="3" t="inlineStr">
        <is>
          <t>IMF.RES:WEO</t>
        </is>
      </c>
      <c r="D1198" s="3" t="inlineStr">
        <is>
          <t>GNB.NGDPD.A</t>
        </is>
      </c>
      <c r="E1198" s="3" t="inlineStr">
        <is>
          <t>Guinea-Bissau</t>
        </is>
      </c>
      <c r="F1198" s="3" t="inlineStr">
        <is>
          <t>Gross domestic product (GDP), Current prices, US dollar</t>
        </is>
      </c>
      <c r="G1198" s="3" t="n">
        <v>0.391518</v>
      </c>
      <c r="H1198" s="3" t="n">
        <v>0.412614</v>
      </c>
      <c r="I1198" s="3" t="n">
        <v>0.466444</v>
      </c>
      <c r="J1198" s="3" t="n">
        <v>0.553476</v>
      </c>
      <c r="K1198" s="3" t="n">
        <v>0.581906</v>
      </c>
      <c r="L1198" s="3" t="n">
        <v>0.64013</v>
      </c>
      <c r="M1198" s="3" t="n">
        <v>0.634816</v>
      </c>
      <c r="N1198" s="3" t="n">
        <v>0.753252</v>
      </c>
      <c r="O1198" s="3" t="n">
        <v>0.952563</v>
      </c>
      <c r="P1198" s="3" t="n">
        <v>0.889201</v>
      </c>
      <c r="Q1198" s="3" t="n">
        <v>0.94088</v>
      </c>
      <c r="R1198" s="3" t="n">
        <v>1.156871</v>
      </c>
      <c r="S1198" s="3" t="n">
        <v>1.050076</v>
      </c>
      <c r="T1198" s="3" t="n">
        <v>1.109699</v>
      </c>
      <c r="U1198" s="3" t="n">
        <v>1.135543</v>
      </c>
      <c r="V1198" s="3" t="n">
        <v>1.152501</v>
      </c>
      <c r="W1198" s="3" t="n">
        <v>1.244731</v>
      </c>
      <c r="X1198" s="3" t="n">
        <v>1.46946</v>
      </c>
      <c r="Y1198" s="3" t="n">
        <v>1.554838</v>
      </c>
      <c r="Z1198" s="3" t="n">
        <v>1.486539</v>
      </c>
      <c r="AA1198" s="3" t="n">
        <v>1.522679</v>
      </c>
      <c r="AB1198" s="3" t="n">
        <v>1.722219</v>
      </c>
      <c r="AC1198" s="3" t="n">
        <v>1.721201</v>
      </c>
      <c r="AD1198" s="3" t="n">
        <v>2.005108</v>
      </c>
      <c r="AE1198" s="3" t="n">
        <v>2.186365</v>
      </c>
      <c r="AF1198" s="3" t="n">
        <v>2.648161</v>
      </c>
      <c r="AG1198" s="3" t="n">
        <v>2.984664</v>
      </c>
      <c r="AH1198" s="3" t="n">
        <v>3.21423</v>
      </c>
      <c r="AI1198" s="3" t="n">
        <v>3.443584</v>
      </c>
      <c r="AJ1198" s="3" t="n">
        <v>3.697344</v>
      </c>
      <c r="AK1198" s="3" t="n">
        <v>3.971287</v>
      </c>
      <c r="AL1198" s="3" t="n">
        <v>4.232298</v>
      </c>
      <c r="AM1198" s="3" t="n"/>
      <c r="AN1198" s="3" t="n"/>
      <c r="AO1198" s="3" t="n"/>
      <c r="AP1198" s="3" t="n"/>
      <c r="AQ1198" s="3" t="n"/>
      <c r="AR1198" s="3" t="n"/>
      <c r="AS1198" s="3" t="n"/>
      <c r="AT1198" s="3" t="n"/>
      <c r="AU1198" s="3" t="n"/>
    </row>
    <row r="1199">
      <c r="A1199" s="3" t="n">
        <v>2031</v>
      </c>
      <c r="B1199" s="3" t="inlineStr">
        <is>
          <t>GNB</t>
        </is>
      </c>
      <c r="C1199" s="3" t="inlineStr">
        <is>
          <t>IMF.RES:WEO</t>
        </is>
      </c>
      <c r="D1199" s="3" t="inlineStr">
        <is>
          <t>GNB.NGDPPC.A</t>
        </is>
      </c>
      <c r="E1199" s="3" t="inlineStr">
        <is>
          <t>Guinea-Bissau</t>
        </is>
      </c>
      <c r="F1199" s="3" t="inlineStr">
        <is>
          <t>Gross domestic product (GDP), Current prices, Per capita, Domestic currency</t>
        </is>
      </c>
      <c r="G1199" s="3" t="n">
        <v>232804.951808</v>
      </c>
      <c r="H1199" s="3" t="n">
        <v>247813.511604</v>
      </c>
      <c r="I1199" s="3" t="n">
        <v>259979.023711</v>
      </c>
      <c r="J1199" s="3" t="n">
        <v>252360.310714</v>
      </c>
      <c r="K1199" s="3" t="n">
        <v>236251.07732</v>
      </c>
      <c r="L1199" s="3" t="n">
        <v>254093.443371</v>
      </c>
      <c r="M1199" s="3" t="n">
        <v>244481.143542</v>
      </c>
      <c r="N1199" s="3" t="n">
        <v>260062.768826</v>
      </c>
      <c r="O1199" s="3" t="n">
        <v>299856.913878</v>
      </c>
      <c r="P1199" s="3" t="n">
        <v>288870.894385</v>
      </c>
      <c r="Q1199" s="3" t="n">
        <v>318557.39731</v>
      </c>
      <c r="R1199" s="3" t="n">
        <v>365379.056859</v>
      </c>
      <c r="S1199" s="3" t="n">
        <v>351294.087478</v>
      </c>
      <c r="T1199" s="3" t="n">
        <v>351615.544728</v>
      </c>
      <c r="U1199" s="3" t="n">
        <v>351872.197898</v>
      </c>
      <c r="V1199" s="3" t="n">
        <v>418474.517108</v>
      </c>
      <c r="W1199" s="3" t="n">
        <v>443444.056322</v>
      </c>
      <c r="X1199" s="3" t="n">
        <v>501946.484752</v>
      </c>
      <c r="Y1199" s="3" t="n">
        <v>496714.202694</v>
      </c>
      <c r="Z1199" s="3" t="n">
        <v>490359.57047</v>
      </c>
      <c r="AA1199" s="3" t="n">
        <v>482130.933842</v>
      </c>
      <c r="AB1199" s="3" t="n">
        <v>514528.056886</v>
      </c>
      <c r="AC1199" s="3" t="n">
        <v>564924.856714</v>
      </c>
      <c r="AD1199" s="3" t="n">
        <v>627885.280977</v>
      </c>
      <c r="AE1199" s="3" t="n">
        <v>670074.893102</v>
      </c>
      <c r="AF1199" s="3" t="n">
        <v>761738.284617</v>
      </c>
      <c r="AG1199" s="3" t="n">
        <v>805761.657631</v>
      </c>
      <c r="AH1199" s="3" t="n">
        <v>852315.442429</v>
      </c>
      <c r="AI1199" s="3" t="n">
        <v>897625.898401</v>
      </c>
      <c r="AJ1199" s="3" t="n">
        <v>945709.916763</v>
      </c>
      <c r="AK1199" s="3" t="n">
        <v>996347.237809</v>
      </c>
      <c r="AL1199" s="3" t="n">
        <v>1041914.505523</v>
      </c>
      <c r="AM1199" s="3" t="n"/>
      <c r="AN1199" s="3" t="n"/>
      <c r="AO1199" s="3" t="n"/>
      <c r="AP1199" s="3" t="n"/>
      <c r="AQ1199" s="3" t="n"/>
      <c r="AR1199" s="3" t="n"/>
      <c r="AS1199" s="3" t="n"/>
      <c r="AT1199" s="3" t="n"/>
      <c r="AU1199" s="3" t="n"/>
    </row>
    <row r="1200">
      <c r="A1200" s="3" t="n">
        <v>2031</v>
      </c>
      <c r="B1200" s="3" t="inlineStr">
        <is>
          <t>GNB</t>
        </is>
      </c>
      <c r="C1200" s="3" t="inlineStr">
        <is>
          <t>IMF.RES:WEO</t>
        </is>
      </c>
      <c r="D1200" s="3" t="inlineStr">
        <is>
          <t>GNB.NGDPRPC.A</t>
        </is>
      </c>
      <c r="E1200" s="3" t="inlineStr">
        <is>
          <t>Guinea-Bissau</t>
        </is>
      </c>
      <c r="F1200" s="3" t="inlineStr">
        <is>
          <t>Gross domestic product (GDP), Constant prices, Per capita, Domestic currency</t>
        </is>
      </c>
      <c r="G1200" s="3" t="n">
        <v>349198.775411</v>
      </c>
      <c r="H1200" s="3" t="n">
        <v>358234.154188</v>
      </c>
      <c r="I1200" s="3" t="n">
        <v>363552.708563</v>
      </c>
      <c r="J1200" s="3" t="n">
        <v>354922.930667</v>
      </c>
      <c r="K1200" s="3" t="n">
        <v>351533.524223</v>
      </c>
      <c r="L1200" s="3" t="n">
        <v>366662.957277</v>
      </c>
      <c r="M1200" s="3" t="n">
        <v>368425.911116</v>
      </c>
      <c r="N1200" s="3" t="n">
        <v>369757.505929</v>
      </c>
      <c r="O1200" s="3" t="n">
        <v>378083.123023</v>
      </c>
      <c r="P1200" s="3" t="n">
        <v>378717.831714</v>
      </c>
      <c r="Q1200" s="3" t="n">
        <v>396937.325173</v>
      </c>
      <c r="R1200" s="3" t="n">
        <v>419794.39662</v>
      </c>
      <c r="S1200" s="3" t="n">
        <v>403722.26354</v>
      </c>
      <c r="T1200" s="3" t="n">
        <v>407893.797014</v>
      </c>
      <c r="U1200" s="3" t="n">
        <v>402962.854899</v>
      </c>
      <c r="V1200" s="3" t="n">
        <v>418474.517108</v>
      </c>
      <c r="W1200" s="3" t="n">
        <v>431194.980899</v>
      </c>
      <c r="X1200" s="3" t="n">
        <v>442118.258695</v>
      </c>
      <c r="Y1200" s="3" t="n">
        <v>448873.322699</v>
      </c>
      <c r="Z1200" s="3" t="n">
        <v>458975.168514</v>
      </c>
      <c r="AA1200" s="3" t="n">
        <v>455831.502976</v>
      </c>
      <c r="AB1200" s="3" t="n">
        <v>473672.266302</v>
      </c>
      <c r="AC1200" s="3" t="n">
        <v>484685.310887</v>
      </c>
      <c r="AD1200" s="3" t="n">
        <v>499261.447477</v>
      </c>
      <c r="AE1200" s="3" t="n">
        <v>512315.783177</v>
      </c>
      <c r="AF1200" s="3" t="n">
        <v>529453.09123</v>
      </c>
      <c r="AG1200" s="3" t="n">
        <v>544278.90524</v>
      </c>
      <c r="AH1200" s="3" t="n">
        <v>559510.536774</v>
      </c>
      <c r="AI1200" s="3" t="n">
        <v>573205.266851</v>
      </c>
      <c r="AJ1200" s="3" t="n">
        <v>587461.79271</v>
      </c>
      <c r="AK1200" s="3" t="n">
        <v>600353.5656110001</v>
      </c>
      <c r="AL1200" s="3" t="n">
        <v>613790.348471</v>
      </c>
      <c r="AM1200" s="3" t="n"/>
      <c r="AN1200" s="3" t="n"/>
      <c r="AO1200" s="3" t="n"/>
      <c r="AP1200" s="3" t="n"/>
      <c r="AQ1200" s="3" t="n"/>
      <c r="AR1200" s="3" t="n"/>
      <c r="AS1200" s="3" t="n"/>
      <c r="AT1200" s="3" t="n"/>
      <c r="AU1200" s="3" t="n"/>
    </row>
    <row r="1201">
      <c r="A1201" s="3" t="n">
        <v>2031</v>
      </c>
      <c r="B1201" s="3" t="inlineStr">
        <is>
          <t>GNB</t>
        </is>
      </c>
      <c r="C1201" s="3" t="inlineStr">
        <is>
          <t>IMF.RES:WEO</t>
        </is>
      </c>
      <c r="D1201" s="3" t="inlineStr">
        <is>
          <t>GNB.PCPI.A</t>
        </is>
      </c>
      <c r="E1201" s="3" t="inlineStr">
        <is>
          <t>Guinea-Bissau</t>
        </is>
      </c>
      <c r="F1201" s="3" t="inlineStr">
        <is>
          <t>All Items, Consumer price index (CPI), Period average</t>
        </is>
      </c>
      <c r="G1201" s="3" t="n">
        <v>58.6435</v>
      </c>
      <c r="H1201" s="3" t="n">
        <v>60.550624</v>
      </c>
      <c r="I1201" s="3" t="n">
        <v>62.549894</v>
      </c>
      <c r="J1201" s="3" t="n">
        <v>60.376624</v>
      </c>
      <c r="K1201" s="3" t="n">
        <v>60.872192</v>
      </c>
      <c r="L1201" s="3" t="n">
        <v>62.916407</v>
      </c>
      <c r="M1201" s="3" t="n">
        <v>64.14500099999999</v>
      </c>
      <c r="N1201" s="3" t="n">
        <v>67.113243</v>
      </c>
      <c r="O1201" s="3" t="n">
        <v>74.123457</v>
      </c>
      <c r="P1201" s="3" t="n">
        <v>72.910349</v>
      </c>
      <c r="Q1201" s="3" t="n">
        <v>73.690866</v>
      </c>
      <c r="R1201" s="3" t="n">
        <v>77.41611399999999</v>
      </c>
      <c r="S1201" s="3" t="n">
        <v>79.011428</v>
      </c>
      <c r="T1201" s="3" t="n">
        <v>79.627123</v>
      </c>
      <c r="U1201" s="3" t="n">
        <v>78.805588</v>
      </c>
      <c r="V1201" s="3" t="n">
        <v>79.973033</v>
      </c>
      <c r="W1201" s="3" t="n">
        <v>82.13817299999999</v>
      </c>
      <c r="X1201" s="3" t="n">
        <v>81.985798</v>
      </c>
      <c r="Y1201" s="3" t="n">
        <v>82.29843</v>
      </c>
      <c r="Z1201" s="3" t="n">
        <v>82.53355999999999</v>
      </c>
      <c r="AA1201" s="3" t="n">
        <v>83.741398</v>
      </c>
      <c r="AB1201" s="3" t="n">
        <v>86.465721</v>
      </c>
      <c r="AC1201" s="3" t="n">
        <v>93.329877</v>
      </c>
      <c r="AD1201" s="3" t="n">
        <v>100.016</v>
      </c>
      <c r="AE1201" s="3" t="n">
        <v>103.720296</v>
      </c>
      <c r="AF1201" s="3" t="n">
        <v>104.616667</v>
      </c>
      <c r="AG1201" s="3" t="n">
        <v>107.232083</v>
      </c>
      <c r="AH1201" s="3" t="n">
        <v>109.483957</v>
      </c>
      <c r="AI1201" s="3" t="n">
        <v>111.78312</v>
      </c>
      <c r="AJ1201" s="3" t="n">
        <v>114.130566</v>
      </c>
      <c r="AK1201" s="3" t="n">
        <v>116.527308</v>
      </c>
      <c r="AL1201" s="3" t="n">
        <v>118.974381</v>
      </c>
      <c r="AM1201" s="3" t="n"/>
      <c r="AN1201" s="3" t="n"/>
      <c r="AO1201" s="3" t="n"/>
      <c r="AP1201" s="3" t="n"/>
      <c r="AQ1201" s="3" t="n"/>
      <c r="AR1201" s="3" t="n"/>
      <c r="AS1201" s="3" t="n"/>
      <c r="AT1201" s="3" t="n"/>
      <c r="AU1201" s="3" t="n"/>
    </row>
    <row r="1202">
      <c r="A1202" s="3" t="n">
        <v>2031</v>
      </c>
      <c r="B1202" s="3" t="inlineStr">
        <is>
          <t>GNB</t>
        </is>
      </c>
      <c r="C1202" s="3" t="inlineStr">
        <is>
          <t>IMF.RES:WEO</t>
        </is>
      </c>
      <c r="D1202" s="3" t="inlineStr">
        <is>
          <t>GNB.PCPIPCH.A</t>
        </is>
      </c>
      <c r="E1202" s="3" t="inlineStr">
        <is>
          <t>Guinea-Bissau</t>
        </is>
      </c>
      <c r="F1202" s="3" t="inlineStr">
        <is>
          <t>All Items, Consumer price index (CPI), Period average, percent change</t>
        </is>
      </c>
      <c r="G1202" s="3" t="n">
        <v>8.609546999999999</v>
      </c>
      <c r="H1202" s="3" t="n">
        <v>3.252063</v>
      </c>
      <c r="I1202" s="3" t="n">
        <v>3.301816</v>
      </c>
      <c r="J1202" s="3" t="n">
        <v>-3.474457</v>
      </c>
      <c r="K1202" s="3" t="n">
        <v>0.820793</v>
      </c>
      <c r="L1202" s="3" t="n">
        <v>3.358209</v>
      </c>
      <c r="M1202" s="3" t="n">
        <v>1.95274</v>
      </c>
      <c r="N1202" s="3" t="n">
        <v>4.627394</v>
      </c>
      <c r="O1202" s="3" t="n">
        <v>10.44535</v>
      </c>
      <c r="P1202" s="3" t="n">
        <v>-1.636604</v>
      </c>
      <c r="Q1202" s="3" t="n">
        <v>1.070516</v>
      </c>
      <c r="R1202" s="3" t="n">
        <v>5.055236</v>
      </c>
      <c r="S1202" s="3" t="n">
        <v>2.060701</v>
      </c>
      <c r="T1202" s="3" t="n">
        <v>0.7792480000000001</v>
      </c>
      <c r="U1202" s="3" t="n">
        <v>-1.031728</v>
      </c>
      <c r="V1202" s="3" t="n">
        <v>1.481423</v>
      </c>
      <c r="W1202" s="3" t="n">
        <v>2.707338</v>
      </c>
      <c r="X1202" s="3" t="n">
        <v>-0.185511</v>
      </c>
      <c r="Y1202" s="3" t="n">
        <v>0.381325</v>
      </c>
      <c r="Z1202" s="3" t="n">
        <v>0.285705</v>
      </c>
      <c r="AA1202" s="3" t="n">
        <v>1.46345</v>
      </c>
      <c r="AB1202" s="3" t="n">
        <v>3.253257</v>
      </c>
      <c r="AC1202" s="3" t="n">
        <v>7.938586</v>
      </c>
      <c r="AD1202" s="3" t="n">
        <v>7.163969</v>
      </c>
      <c r="AE1202" s="3" t="n">
        <v>3.703704</v>
      </c>
      <c r="AF1202" s="3" t="n">
        <v>0.864219</v>
      </c>
      <c r="AG1202" s="3" t="n">
        <v>2.5</v>
      </c>
      <c r="AH1202" s="3" t="n">
        <v>2.1</v>
      </c>
      <c r="AI1202" s="3" t="n">
        <v>2.1</v>
      </c>
      <c r="AJ1202" s="3" t="n">
        <v>2.1</v>
      </c>
      <c r="AK1202" s="3" t="n">
        <v>2.1</v>
      </c>
      <c r="AL1202" s="3" t="n">
        <v>2.1</v>
      </c>
      <c r="AM1202" s="3" t="n"/>
      <c r="AN1202" s="3" t="n"/>
      <c r="AO1202" s="3" t="n"/>
      <c r="AP1202" s="3" t="n"/>
      <c r="AQ1202" s="3" t="n"/>
      <c r="AR1202" s="3" t="n"/>
      <c r="AS1202" s="3" t="n"/>
      <c r="AT1202" s="3" t="n"/>
      <c r="AU1202" s="3" t="n"/>
    </row>
    <row r="1203">
      <c r="A1203" s="3" t="n">
        <v>2031</v>
      </c>
      <c r="B1203" s="3" t="inlineStr">
        <is>
          <t>GNB</t>
        </is>
      </c>
      <c r="C1203" s="3" t="inlineStr">
        <is>
          <t>IMF.RES:WEO</t>
        </is>
      </c>
      <c r="D1203" s="3" t="inlineStr">
        <is>
          <t>GNB.PPPPC.A</t>
        </is>
      </c>
      <c r="E1203" s="3" t="inlineStr">
        <is>
          <t>Guinea-Bissau</t>
        </is>
      </c>
      <c r="F1203" s="3" t="inlineStr">
        <is>
          <t>Gross domestic product (GDP), Per capita, purchasing power parity (PPP) international dollar, ICP benchmarks 2017-2021</t>
        </is>
      </c>
      <c r="G1203" s="3" t="n">
        <v>1319.931095</v>
      </c>
      <c r="H1203" s="3" t="n">
        <v>1384.572611</v>
      </c>
      <c r="I1203" s="3" t="n">
        <v>1426.964992</v>
      </c>
      <c r="J1203" s="3" t="n">
        <v>1420.595278</v>
      </c>
      <c r="K1203" s="3" t="n">
        <v>1444.862362</v>
      </c>
      <c r="L1203" s="3" t="n">
        <v>1554.305187</v>
      </c>
      <c r="M1203" s="3" t="n">
        <v>1609.941856</v>
      </c>
      <c r="N1203" s="3" t="n">
        <v>1659.535958</v>
      </c>
      <c r="O1203" s="3" t="n">
        <v>1729.592101</v>
      </c>
      <c r="P1203" s="3" t="n">
        <v>1743.180689</v>
      </c>
      <c r="Q1203" s="3" t="n">
        <v>1849.247658</v>
      </c>
      <c r="R1203" s="3" t="n">
        <v>1996.085604</v>
      </c>
      <c r="S1203" s="3" t="n">
        <v>1955.40686</v>
      </c>
      <c r="T1203" s="3" t="n">
        <v>2009.23646</v>
      </c>
      <c r="U1203" s="3" t="n">
        <v>2019.519344</v>
      </c>
      <c r="V1203" s="3" t="n">
        <v>2116.72245</v>
      </c>
      <c r="W1203" s="3" t="n">
        <v>2201.789931</v>
      </c>
      <c r="X1203" s="3" t="n">
        <v>2297.997464</v>
      </c>
      <c r="Y1203" s="3" t="n">
        <v>2276.17865</v>
      </c>
      <c r="Z1203" s="3" t="n">
        <v>2318.514574</v>
      </c>
      <c r="AA1203" s="3" t="n">
        <v>2314.152606</v>
      </c>
      <c r="AB1203" s="3" t="n">
        <v>2525.71099</v>
      </c>
      <c r="AC1203" s="3" t="n">
        <v>2768.250339</v>
      </c>
      <c r="AD1203" s="3" t="n">
        <v>2957.007537</v>
      </c>
      <c r="AE1203" s="3" t="n">
        <v>3109.653766</v>
      </c>
      <c r="AF1203" s="3" t="n">
        <v>3304.838202</v>
      </c>
      <c r="AG1203" s="3" t="n">
        <v>3494.710598</v>
      </c>
      <c r="AH1203" s="3" t="n">
        <v>3671.397986</v>
      </c>
      <c r="AI1203" s="3" t="n">
        <v>3822.997076</v>
      </c>
      <c r="AJ1203" s="3" t="n">
        <v>3987.748823</v>
      </c>
      <c r="AK1203" s="3" t="n">
        <v>4150.14344</v>
      </c>
      <c r="AL1203" s="3" t="n">
        <v>4319.629156</v>
      </c>
      <c r="AM1203" s="3" t="n"/>
      <c r="AN1203" s="3" t="n"/>
      <c r="AO1203" s="3" t="n"/>
      <c r="AP1203" s="3" t="n"/>
      <c r="AQ1203" s="3" t="n"/>
      <c r="AR1203" s="3" t="n"/>
      <c r="AS1203" s="3" t="n"/>
      <c r="AT1203" s="3" t="n"/>
      <c r="AU1203" s="3" t="n"/>
    </row>
    <row r="1204">
      <c r="A1204" s="3" t="n">
        <v>2025</v>
      </c>
      <c r="B1204" s="3" t="inlineStr">
        <is>
          <t>GNB</t>
        </is>
      </c>
      <c r="C1204" s="3" t="inlineStr">
        <is>
          <t>IMF.STA:ER</t>
        </is>
      </c>
      <c r="D1204" s="3" t="inlineStr">
        <is>
          <t>GNB.XDC_USD.PA_RT.A</t>
        </is>
      </c>
      <c r="E1204" s="3" t="inlineStr">
        <is>
          <t>Guinea-Bissau</t>
        </is>
      </c>
      <c r="F1204" s="3" t="inlineStr">
        <is>
          <t>Domestic currency per US Dollar</t>
        </is>
      </c>
      <c r="G1204" s="3" t="n">
        <v>710.207977031367</v>
      </c>
      <c r="H1204" s="3" t="n">
        <v>732.397693260228</v>
      </c>
      <c r="I1204" s="3" t="n">
        <v>693.713226496374</v>
      </c>
      <c r="J1204" s="3" t="n">
        <v>579.897426172466</v>
      </c>
      <c r="K1204" s="3" t="n">
        <v>527.338032291576</v>
      </c>
      <c r="L1204" s="3" t="n">
        <v>527.258362649626</v>
      </c>
      <c r="M1204" s="3" t="n">
        <v>522.425624895176</v>
      </c>
      <c r="N1204" s="3" t="n">
        <v>478.633718476363</v>
      </c>
      <c r="O1204" s="3" t="n">
        <v>446.000041432788</v>
      </c>
      <c r="P1204" s="3" t="n">
        <v>470.293423341398</v>
      </c>
      <c r="Q1204" s="3" t="n">
        <v>494.794262222947</v>
      </c>
      <c r="R1204" s="3" t="n">
        <v>471.248625718937</v>
      </c>
      <c r="S1204" s="3" t="n">
        <v>510.556338454251</v>
      </c>
      <c r="T1204" s="3" t="n">
        <v>493.899623852237</v>
      </c>
      <c r="U1204" s="3" t="n">
        <v>493.757329875312</v>
      </c>
      <c r="V1204" s="3" t="n">
        <v>591.21169798261</v>
      </c>
      <c r="W1204" s="3" t="n">
        <v>592.605615063022</v>
      </c>
      <c r="X1204" s="3" t="n">
        <v>580.656749587858</v>
      </c>
      <c r="Y1204" s="3" t="n">
        <v>555.446458398226</v>
      </c>
      <c r="Z1204" s="3" t="n">
        <v>585.911013180369</v>
      </c>
      <c r="AA1204" s="3" t="n">
        <v>575.586004510945</v>
      </c>
      <c r="AB1204" s="3" t="n">
        <v>554.530675033104</v>
      </c>
      <c r="AC1204" s="3" t="n">
        <v>623.759700911182</v>
      </c>
      <c r="AD1204" s="3" t="n">
        <v>606.569750165917</v>
      </c>
      <c r="AE1204" s="3" t="n">
        <v>606.345297609062</v>
      </c>
      <c r="AF1204" s="3" t="n">
        <v>581.928481040339</v>
      </c>
      <c r="AG1204" s="3" t="n"/>
      <c r="AH1204" s="3" t="n"/>
      <c r="AI1204" s="3" t="n"/>
      <c r="AJ1204" s="3" t="n"/>
      <c r="AK1204" s="3" t="n"/>
      <c r="AL1204" s="3" t="n"/>
      <c r="AM1204" s="3" t="n"/>
      <c r="AN1204" s="3" t="n"/>
      <c r="AO1204" s="3" t="n"/>
      <c r="AP1204" s="3" t="n"/>
      <c r="AQ1204" s="3" t="n"/>
      <c r="AR1204" s="3" t="n"/>
      <c r="AS1204" s="3" t="n"/>
      <c r="AT1204" s="3" t="n"/>
      <c r="AU1204" s="3" t="n"/>
    </row>
    <row r="1205">
      <c r="A1205" s="3" t="n">
        <v>2031</v>
      </c>
      <c r="B1205" s="3" t="inlineStr">
        <is>
          <t>GNQ</t>
        </is>
      </c>
      <c r="C1205" s="3" t="inlineStr">
        <is>
          <t>IMF.RES:WEO</t>
        </is>
      </c>
      <c r="D1205" s="3" t="inlineStr">
        <is>
          <t>GNQ.BCA.A</t>
        </is>
      </c>
      <c r="E1205" s="3" t="inlineStr">
        <is>
          <t>Equatorial Guinea, Republic of</t>
        </is>
      </c>
      <c r="F1205" s="3" t="inlineStr">
        <is>
          <t>Current account balance (credit less debit), US dollar</t>
        </is>
      </c>
      <c r="G1205" s="3" t="n"/>
      <c r="H1205" s="3" t="n"/>
      <c r="I1205" s="3" t="n"/>
      <c r="J1205" s="3" t="n"/>
      <c r="K1205" s="3" t="n"/>
      <c r="L1205" s="3" t="n"/>
      <c r="M1205" s="3" t="n"/>
      <c r="N1205" s="3" t="n">
        <v>2.180948</v>
      </c>
      <c r="O1205" s="3" t="n">
        <v>1.556456</v>
      </c>
      <c r="P1205" s="3" t="n">
        <v>-1.466768</v>
      </c>
      <c r="Q1205" s="3" t="n">
        <v>-3.305473</v>
      </c>
      <c r="R1205" s="3" t="n">
        <v>-1.211716</v>
      </c>
      <c r="S1205" s="3" t="n">
        <v>-0.252089</v>
      </c>
      <c r="T1205" s="3" t="n">
        <v>-0.526133</v>
      </c>
      <c r="U1205" s="3" t="n">
        <v>-0.925468</v>
      </c>
      <c r="V1205" s="3" t="n">
        <v>-2.16729</v>
      </c>
      <c r="W1205" s="3" t="n">
        <v>-2.919774</v>
      </c>
      <c r="X1205" s="3" t="n">
        <v>-0.955816</v>
      </c>
      <c r="Y1205" s="3" t="n">
        <v>-0.36112</v>
      </c>
      <c r="Z1205" s="3" t="n">
        <v>-0.857048</v>
      </c>
      <c r="AA1205" s="3" t="n">
        <v>-0.082882</v>
      </c>
      <c r="AB1205" s="3" t="n">
        <v>0.695187</v>
      </c>
      <c r="AC1205" s="3" t="n">
        <v>0.901317</v>
      </c>
      <c r="AD1205" s="3" t="n">
        <v>0.111867</v>
      </c>
      <c r="AE1205" s="3" t="n">
        <v>-0.082068</v>
      </c>
      <c r="AF1205" s="3" t="n">
        <v>-0.368553</v>
      </c>
      <c r="AG1205" s="3" t="n">
        <v>-0.225716</v>
      </c>
      <c r="AH1205" s="3" t="n">
        <v>-0.322922</v>
      </c>
      <c r="AI1205" s="3" t="n">
        <v>-0.422232</v>
      </c>
      <c r="AJ1205" s="3" t="n">
        <v>-0.429151</v>
      </c>
      <c r="AK1205" s="3" t="n">
        <v>-0.459493</v>
      </c>
      <c r="AL1205" s="3" t="n">
        <v>-0.520578</v>
      </c>
      <c r="AM1205" s="3" t="n"/>
      <c r="AN1205" s="3" t="n"/>
      <c r="AO1205" s="3" t="n"/>
      <c r="AP1205" s="3" t="n"/>
      <c r="AQ1205" s="3" t="n"/>
      <c r="AR1205" s="3" t="n"/>
      <c r="AS1205" s="3" t="n"/>
      <c r="AT1205" s="3" t="n"/>
      <c r="AU1205" s="3" t="n"/>
    </row>
    <row r="1206">
      <c r="A1206" s="3" t="n">
        <v>2031</v>
      </c>
      <c r="B1206" s="3" t="inlineStr">
        <is>
          <t>GNQ</t>
        </is>
      </c>
      <c r="C1206" s="3" t="inlineStr">
        <is>
          <t>IMF.RES:WEO</t>
        </is>
      </c>
      <c r="D1206" s="3" t="inlineStr">
        <is>
          <t>GNQ.BCA_NGDPD.A</t>
        </is>
      </c>
      <c r="E1206" s="3" t="inlineStr">
        <is>
          <t>Equatorial Guinea, Republic of</t>
        </is>
      </c>
      <c r="F1206" s="3" t="inlineStr">
        <is>
          <t>Current account balance (credit less debit), Percent of GDP</t>
        </is>
      </c>
      <c r="G1206" s="3" t="n"/>
      <c r="H1206" s="3" t="n"/>
      <c r="I1206" s="3" t="n"/>
      <c r="J1206" s="3" t="n"/>
      <c r="K1206" s="3" t="n"/>
      <c r="L1206" s="3" t="n"/>
      <c r="M1206" s="3" t="n"/>
      <c r="N1206" s="3" t="n">
        <v>16.660471</v>
      </c>
      <c r="O1206" s="3" t="n">
        <v>7.84992</v>
      </c>
      <c r="P1206" s="3" t="n">
        <v>-9.731809</v>
      </c>
      <c r="Q1206" s="3" t="n">
        <v>-20.244487</v>
      </c>
      <c r="R1206" s="3" t="n">
        <v>-5.674532</v>
      </c>
      <c r="S1206" s="3" t="n">
        <v>-1.125269</v>
      </c>
      <c r="T1206" s="3" t="n">
        <v>-2.397052</v>
      </c>
      <c r="U1206" s="3" t="n">
        <v>-4.25091</v>
      </c>
      <c r="V1206" s="3" t="n">
        <v>-16.435256</v>
      </c>
      <c r="W1206" s="3" t="n">
        <v>-25.981933</v>
      </c>
      <c r="X1206" s="3" t="n">
        <v>-7.836737</v>
      </c>
      <c r="Y1206" s="3" t="n">
        <v>-2.713304</v>
      </c>
      <c r="Z1206" s="3" t="n">
        <v>-7.541376</v>
      </c>
      <c r="AA1206" s="3" t="n">
        <v>-0.836502</v>
      </c>
      <c r="AB1206" s="3" t="n">
        <v>5.687858</v>
      </c>
      <c r="AC1206" s="3" t="n">
        <v>6.570779</v>
      </c>
      <c r="AD1206" s="3" t="n">
        <v>0.9065839999999999</v>
      </c>
      <c r="AE1206" s="3" t="n">
        <v>-0.642738</v>
      </c>
      <c r="AF1206" s="3" t="n">
        <v>-2.952306</v>
      </c>
      <c r="AG1206" s="3" t="n">
        <v>-1.644975</v>
      </c>
      <c r="AH1206" s="3" t="n">
        <v>-2.391227</v>
      </c>
      <c r="AI1206" s="3" t="n">
        <v>-3.09897</v>
      </c>
      <c r="AJ1206" s="3" t="n">
        <v>-3.023832</v>
      </c>
      <c r="AK1206" s="3" t="n">
        <v>-3.066942</v>
      </c>
      <c r="AL1206" s="3" t="n">
        <v>-3.310011</v>
      </c>
      <c r="AM1206" s="3" t="n"/>
      <c r="AN1206" s="3" t="n"/>
      <c r="AO1206" s="3" t="n"/>
      <c r="AP1206" s="3" t="n"/>
      <c r="AQ1206" s="3" t="n"/>
      <c r="AR1206" s="3" t="n"/>
      <c r="AS1206" s="3" t="n"/>
      <c r="AT1206" s="3" t="n"/>
      <c r="AU1206" s="3" t="n"/>
    </row>
    <row r="1207">
      <c r="A1207" s="3" t="n">
        <v>2031</v>
      </c>
      <c r="B1207" s="3" t="inlineStr">
        <is>
          <t>GNQ</t>
        </is>
      </c>
      <c r="C1207" s="3" t="inlineStr">
        <is>
          <t>IMF.RES:WEO</t>
        </is>
      </c>
      <c r="D1207" s="3" t="inlineStr">
        <is>
          <t>GNQ.GGR_NGDP.A</t>
        </is>
      </c>
      <c r="E1207" s="3" t="inlineStr">
        <is>
          <t>Equatorial Guinea, Republic of</t>
        </is>
      </c>
      <c r="F1207" s="3" t="inlineStr">
        <is>
          <t>Revenue, General government, Percent of GDP</t>
        </is>
      </c>
      <c r="G1207" s="3" t="n">
        <v>19.978007</v>
      </c>
      <c r="H1207" s="3" t="n">
        <v>28.385416</v>
      </c>
      <c r="I1207" s="3" t="n">
        <v>28.848653</v>
      </c>
      <c r="J1207" s="3" t="n">
        <v>21.762163</v>
      </c>
      <c r="K1207" s="3" t="n">
        <v>24.705384</v>
      </c>
      <c r="L1207" s="3" t="n">
        <v>32.668754</v>
      </c>
      <c r="M1207" s="3" t="n">
        <v>39.887595</v>
      </c>
      <c r="N1207" s="3" t="n">
        <v>36.848916</v>
      </c>
      <c r="O1207" s="3" t="n">
        <v>34.506435</v>
      </c>
      <c r="P1207" s="3" t="n">
        <v>33.37252</v>
      </c>
      <c r="Q1207" s="3" t="n">
        <v>26.645854</v>
      </c>
      <c r="R1207" s="3" t="n">
        <v>28.327077</v>
      </c>
      <c r="S1207" s="3" t="n">
        <v>27.960911</v>
      </c>
      <c r="T1207" s="3" t="n">
        <v>24.870313</v>
      </c>
      <c r="U1207" s="3" t="n">
        <v>24.056933</v>
      </c>
      <c r="V1207" s="3" t="n">
        <v>26.473692</v>
      </c>
      <c r="W1207" s="3" t="n">
        <v>16.901557</v>
      </c>
      <c r="X1207" s="3" t="n">
        <v>17.479566</v>
      </c>
      <c r="Y1207" s="3" t="n">
        <v>19.575915</v>
      </c>
      <c r="Z1207" s="3" t="n">
        <v>18.622917</v>
      </c>
      <c r="AA1207" s="3" t="n">
        <v>14.394563</v>
      </c>
      <c r="AB1207" s="3" t="n">
        <v>15.367393</v>
      </c>
      <c r="AC1207" s="3" t="n">
        <v>26.468775</v>
      </c>
      <c r="AD1207" s="3" t="n">
        <v>21.628706</v>
      </c>
      <c r="AE1207" s="3" t="n">
        <v>17.913527</v>
      </c>
      <c r="AF1207" s="3" t="n">
        <v>18.131622</v>
      </c>
      <c r="AG1207" s="3" t="n">
        <v>17.542429</v>
      </c>
      <c r="AH1207" s="3" t="n">
        <v>15.666852</v>
      </c>
      <c r="AI1207" s="3" t="n">
        <v>15.294377</v>
      </c>
      <c r="AJ1207" s="3" t="n">
        <v>15.275943</v>
      </c>
      <c r="AK1207" s="3" t="n">
        <v>15.563706</v>
      </c>
      <c r="AL1207" s="3" t="n">
        <v>15.520069</v>
      </c>
      <c r="AM1207" s="3" t="n"/>
      <c r="AN1207" s="3" t="n"/>
      <c r="AO1207" s="3" t="n"/>
      <c r="AP1207" s="3" t="n"/>
      <c r="AQ1207" s="3" t="n"/>
      <c r="AR1207" s="3" t="n"/>
      <c r="AS1207" s="3" t="n"/>
      <c r="AT1207" s="3" t="n"/>
      <c r="AU1207" s="3" t="n"/>
    </row>
    <row r="1208">
      <c r="A1208" s="3" t="n">
        <v>2031</v>
      </c>
      <c r="B1208" s="3" t="inlineStr">
        <is>
          <t>GNQ</t>
        </is>
      </c>
      <c r="C1208" s="3" t="inlineStr">
        <is>
          <t>IMF.RES:WEO</t>
        </is>
      </c>
      <c r="D1208" s="3" t="inlineStr">
        <is>
          <t>GNQ.GGX_NGDP.A</t>
        </is>
      </c>
      <c r="E1208" s="3" t="inlineStr">
        <is>
          <t>Equatorial Guinea, Republic of</t>
        </is>
      </c>
      <c r="F1208" s="3" t="inlineStr">
        <is>
          <t>Expenditure, General government, Percent of GDP</t>
        </is>
      </c>
      <c r="G1208" s="3" t="n">
        <v>22.645322</v>
      </c>
      <c r="H1208" s="3" t="n">
        <v>13.47649</v>
      </c>
      <c r="I1208" s="3" t="n">
        <v>11.254526</v>
      </c>
      <c r="J1208" s="3" t="n">
        <v>11.768959</v>
      </c>
      <c r="K1208" s="3" t="n">
        <v>15.487843</v>
      </c>
      <c r="L1208" s="3" t="n">
        <v>14.121829</v>
      </c>
      <c r="M1208" s="3" t="n">
        <v>18.092939</v>
      </c>
      <c r="N1208" s="3" t="n">
        <v>19.688943</v>
      </c>
      <c r="O1208" s="3" t="n">
        <v>19.892692</v>
      </c>
      <c r="P1208" s="3" t="n">
        <v>39.847157</v>
      </c>
      <c r="Q1208" s="3" t="n">
        <v>31.178907</v>
      </c>
      <c r="R1208" s="3" t="n">
        <v>27.492528</v>
      </c>
      <c r="S1208" s="3" t="n">
        <v>35.199634</v>
      </c>
      <c r="T1208" s="3" t="n">
        <v>29.273597</v>
      </c>
      <c r="U1208" s="3" t="n">
        <v>31.597902</v>
      </c>
      <c r="V1208" s="3" t="n">
        <v>41.570783</v>
      </c>
      <c r="W1208" s="3" t="n">
        <v>27.818494</v>
      </c>
      <c r="X1208" s="3" t="n">
        <v>20.069604</v>
      </c>
      <c r="Y1208" s="3" t="n">
        <v>19.053448</v>
      </c>
      <c r="Z1208" s="3" t="n">
        <v>16.799364</v>
      </c>
      <c r="AA1208" s="3" t="n">
        <v>16.165602</v>
      </c>
      <c r="AB1208" s="3" t="n">
        <v>12.714874</v>
      </c>
      <c r="AC1208" s="3" t="n">
        <v>14.785888</v>
      </c>
      <c r="AD1208" s="3" t="n">
        <v>19.242154</v>
      </c>
      <c r="AE1208" s="3" t="n">
        <v>18.467888</v>
      </c>
      <c r="AF1208" s="3" t="n">
        <v>20.678307</v>
      </c>
      <c r="AG1208" s="3" t="n">
        <v>19.20043</v>
      </c>
      <c r="AH1208" s="3" t="n">
        <v>19.327928</v>
      </c>
      <c r="AI1208" s="3" t="n">
        <v>19.201238</v>
      </c>
      <c r="AJ1208" s="3" t="n">
        <v>18.825755</v>
      </c>
      <c r="AK1208" s="3" t="n">
        <v>18.083962</v>
      </c>
      <c r="AL1208" s="3" t="n">
        <v>17.754555</v>
      </c>
      <c r="AM1208" s="3" t="n"/>
      <c r="AN1208" s="3" t="n"/>
      <c r="AO1208" s="3" t="n"/>
      <c r="AP1208" s="3" t="n"/>
      <c r="AQ1208" s="3" t="n"/>
      <c r="AR1208" s="3" t="n"/>
      <c r="AS1208" s="3" t="n"/>
      <c r="AT1208" s="3" t="n"/>
      <c r="AU1208" s="3" t="n"/>
    </row>
    <row r="1209">
      <c r="A1209" s="3" t="n">
        <v>2031</v>
      </c>
      <c r="B1209" s="3" t="inlineStr">
        <is>
          <t>GNQ</t>
        </is>
      </c>
      <c r="C1209" s="3" t="inlineStr">
        <is>
          <t>IMF.RES:WEO</t>
        </is>
      </c>
      <c r="D1209" s="3" t="inlineStr">
        <is>
          <t>GNQ.LP.A</t>
        </is>
      </c>
      <c r="E1209" s="3" t="inlineStr">
        <is>
          <t>Equatorial Guinea, Republic of</t>
        </is>
      </c>
      <c r="F1209" s="3" t="inlineStr">
        <is>
          <t>Population, Persons for countries / Index for country groups</t>
        </is>
      </c>
      <c r="G1209" s="3" t="n">
        <v>0.614323</v>
      </c>
      <c r="H1209" s="3" t="n">
        <v>0.6397620000000001</v>
      </c>
      <c r="I1209" s="3" t="n">
        <v>0.666407</v>
      </c>
      <c r="J1209" s="3" t="n">
        <v>0.694611</v>
      </c>
      <c r="K1209" s="3" t="n">
        <v>0.724817</v>
      </c>
      <c r="L1209" s="3" t="n">
        <v>0.757317</v>
      </c>
      <c r="M1209" s="3" t="n">
        <v>0.7922169999999999</v>
      </c>
      <c r="N1209" s="3" t="n">
        <v>0.829327</v>
      </c>
      <c r="O1209" s="3" t="n">
        <v>0.868418</v>
      </c>
      <c r="P1209" s="3" t="n">
        <v>0.909111</v>
      </c>
      <c r="Q1209" s="3" t="n">
        <v>0.9511039999999999</v>
      </c>
      <c r="R1209" s="3" t="n">
        <v>0.99429</v>
      </c>
      <c r="S1209" s="3" t="n">
        <v>1.038593</v>
      </c>
      <c r="T1209" s="3" t="n">
        <v>1.083746</v>
      </c>
      <c r="U1209" s="3" t="n">
        <v>1.129424</v>
      </c>
      <c r="V1209" s="3" t="n">
        <v>1.175389</v>
      </c>
      <c r="W1209" s="3" t="n">
        <v>1.22149</v>
      </c>
      <c r="X1209" s="3" t="n">
        <v>1.267689</v>
      </c>
      <c r="Y1209" s="3" t="n">
        <v>1.313894</v>
      </c>
      <c r="Z1209" s="3" t="n">
        <v>1.360104</v>
      </c>
      <c r="AA1209" s="3" t="n">
        <v>1.40628</v>
      </c>
      <c r="AB1209" s="3" t="n">
        <v>1.45235</v>
      </c>
      <c r="AC1209" s="3" t="n">
        <v>1.498287</v>
      </c>
      <c r="AD1209" s="3" t="n">
        <v>1.544203</v>
      </c>
      <c r="AE1209" s="3" t="n">
        <v>1.590279</v>
      </c>
      <c r="AF1209" s="3" t="n">
        <v>1.636622</v>
      </c>
      <c r="AG1209" s="3" t="n">
        <v>1.683298</v>
      </c>
      <c r="AH1209" s="3" t="n">
        <v>1.73026</v>
      </c>
      <c r="AI1209" s="3" t="n">
        <v>1.777358</v>
      </c>
      <c r="AJ1209" s="3" t="n">
        <v>1.824393</v>
      </c>
      <c r="AK1209" s="3" t="n">
        <v>1.87122</v>
      </c>
      <c r="AL1209" s="3" t="n">
        <v>1.917787</v>
      </c>
      <c r="AM1209" s="3" t="n"/>
      <c r="AN1209" s="3" t="n"/>
      <c r="AO1209" s="3" t="n"/>
      <c r="AP1209" s="3" t="n"/>
      <c r="AQ1209" s="3" t="n"/>
      <c r="AR1209" s="3" t="n"/>
      <c r="AS1209" s="3" t="n"/>
      <c r="AT1209" s="3" t="n"/>
      <c r="AU1209" s="3" t="n"/>
    </row>
    <row r="1210">
      <c r="A1210" s="3" t="n">
        <v>2031</v>
      </c>
      <c r="B1210" s="3" t="inlineStr">
        <is>
          <t>GNQ</t>
        </is>
      </c>
      <c r="C1210" s="3" t="inlineStr">
        <is>
          <t>IMF.RES:WEO</t>
        </is>
      </c>
      <c r="D1210" s="3" t="inlineStr">
        <is>
          <t>GNQ.NGDP.A</t>
        </is>
      </c>
      <c r="E1210" s="3" t="inlineStr">
        <is>
          <t>Equatorial Guinea, Republic of</t>
        </is>
      </c>
      <c r="F1210" s="3" t="inlineStr">
        <is>
          <t>Gross domestic product (GDP), Current prices, Domestic currency</t>
        </is>
      </c>
      <c r="G1210" s="3" t="n">
        <v>822.849863</v>
      </c>
      <c r="H1210" s="3" t="n">
        <v>1225.981676</v>
      </c>
      <c r="I1210" s="3" t="n">
        <v>1436.746482</v>
      </c>
      <c r="J1210" s="3" t="n">
        <v>2165.05135</v>
      </c>
      <c r="K1210" s="3" t="n">
        <v>3130.997668</v>
      </c>
      <c r="L1210" s="3" t="n">
        <v>4316.629317</v>
      </c>
      <c r="M1210" s="3" t="n">
        <v>5274.146</v>
      </c>
      <c r="N1210" s="3" t="n">
        <v>6264.841</v>
      </c>
      <c r="O1210" s="3" t="n">
        <v>8844.107</v>
      </c>
      <c r="P1210" s="3" t="n">
        <v>7095.919</v>
      </c>
      <c r="Q1210" s="3" t="n">
        <v>8072.293</v>
      </c>
      <c r="R1210" s="3" t="n">
        <v>10064.619</v>
      </c>
      <c r="S1210" s="3" t="n">
        <v>11430.511</v>
      </c>
      <c r="T1210" s="3" t="n">
        <v>10840.521</v>
      </c>
      <c r="U1210" s="3" t="n">
        <v>10746.852</v>
      </c>
      <c r="V1210" s="3" t="n">
        <v>7795.419585</v>
      </c>
      <c r="W1210" s="3" t="n">
        <v>6661.367</v>
      </c>
      <c r="X1210" s="3" t="n">
        <v>7084.543</v>
      </c>
      <c r="Y1210" s="3" t="n">
        <v>7389.222723</v>
      </c>
      <c r="Z1210" s="3" t="n">
        <v>6658.371</v>
      </c>
      <c r="AA1210" s="3" t="n">
        <v>5694.742</v>
      </c>
      <c r="AB1210" s="3" t="n">
        <v>6774.079</v>
      </c>
      <c r="AC1210" s="3" t="n">
        <v>8537.800377</v>
      </c>
      <c r="AD1210" s="3" t="n">
        <v>7483.584973</v>
      </c>
      <c r="AE1210" s="3" t="n">
        <v>7740.469816</v>
      </c>
      <c r="AF1210" s="3" t="n">
        <v>7250.840993</v>
      </c>
      <c r="AG1210" s="3" t="n">
        <v>7632.793131</v>
      </c>
      <c r="AH1210" s="3" t="n">
        <v>7529.361451</v>
      </c>
      <c r="AI1210" s="3" t="n">
        <v>7617.133255</v>
      </c>
      <c r="AJ1210" s="3" t="n">
        <v>7938.531905</v>
      </c>
      <c r="AK1210" s="3" t="n">
        <v>8381.649314</v>
      </c>
      <c r="AL1210" s="3" t="n">
        <v>8800.022139999999</v>
      </c>
      <c r="AM1210" s="3" t="n"/>
      <c r="AN1210" s="3" t="n"/>
      <c r="AO1210" s="3" t="n"/>
      <c r="AP1210" s="3" t="n"/>
      <c r="AQ1210" s="3" t="n"/>
      <c r="AR1210" s="3" t="n"/>
      <c r="AS1210" s="3" t="n"/>
      <c r="AT1210" s="3" t="n"/>
      <c r="AU1210" s="3" t="n"/>
    </row>
    <row r="1211">
      <c r="A1211" s="3" t="n">
        <v>2031</v>
      </c>
      <c r="B1211" s="3" t="inlineStr">
        <is>
          <t>GNQ</t>
        </is>
      </c>
      <c r="C1211" s="3" t="inlineStr">
        <is>
          <t>IMF.RES:WEO</t>
        </is>
      </c>
      <c r="D1211" s="3" t="inlineStr">
        <is>
          <t>GNQ.NGDP_D.A</t>
        </is>
      </c>
      <c r="E1211" s="3" t="inlineStr">
        <is>
          <t>Equatorial Guinea, Republic of</t>
        </is>
      </c>
      <c r="F1211" s="3" t="inlineStr">
        <is>
          <t>Gross domestic product (GDP), Price deflator, Index</t>
        </is>
      </c>
      <c r="G1211" s="3" t="n">
        <v>51.36482</v>
      </c>
      <c r="H1211" s="3" t="n">
        <v>47.824049</v>
      </c>
      <c r="I1211" s="3" t="n">
        <v>46.852731</v>
      </c>
      <c r="J1211" s="3" t="n">
        <v>61.685999</v>
      </c>
      <c r="K1211" s="3" t="n">
        <v>68.41522999999999</v>
      </c>
      <c r="L1211" s="3" t="n">
        <v>87.16595599999999</v>
      </c>
      <c r="M1211" s="3" t="n">
        <v>100</v>
      </c>
      <c r="N1211" s="3" t="n">
        <v>103.037659</v>
      </c>
      <c r="O1211" s="3" t="n">
        <v>123.480365</v>
      </c>
      <c r="P1211" s="3" t="n">
        <v>97.759119</v>
      </c>
      <c r="Q1211" s="3" t="n">
        <v>122.107509</v>
      </c>
      <c r="R1211" s="3" t="n">
        <v>142.920868</v>
      </c>
      <c r="S1211" s="3" t="n">
        <v>149.859403</v>
      </c>
      <c r="T1211" s="3" t="n">
        <v>148.251871</v>
      </c>
      <c r="U1211" s="3" t="n">
        <v>146.363383</v>
      </c>
      <c r="V1211" s="3" t="n">
        <v>116.808586</v>
      </c>
      <c r="W1211" s="3" t="n">
        <v>109.466689</v>
      </c>
      <c r="X1211" s="3" t="n">
        <v>123.415336</v>
      </c>
      <c r="Y1211" s="3" t="n">
        <v>137.284805</v>
      </c>
      <c r="Z1211" s="3" t="n">
        <v>130.880929</v>
      </c>
      <c r="AA1211" s="3" t="n">
        <v>117.572242</v>
      </c>
      <c r="AB1211" s="3" t="n">
        <v>138.663092</v>
      </c>
      <c r="AC1211" s="3" t="n">
        <v>169.308204</v>
      </c>
      <c r="AD1211" s="3" t="n">
        <v>156.360325</v>
      </c>
      <c r="AE1211" s="3" t="n">
        <v>160.313876</v>
      </c>
      <c r="AF1211" s="3" t="n">
        <v>160.370067</v>
      </c>
      <c r="AG1211" s="3" t="n">
        <v>173.477642</v>
      </c>
      <c r="AH1211" s="3" t="n">
        <v>173.447111</v>
      </c>
      <c r="AI1211" s="3" t="n">
        <v>173.551296</v>
      </c>
      <c r="AJ1211" s="3" t="n">
        <v>177.162434</v>
      </c>
      <c r="AK1211" s="3" t="n">
        <v>182.679525</v>
      </c>
      <c r="AL1211" s="3" t="n">
        <v>187.051554</v>
      </c>
      <c r="AM1211" s="3" t="n"/>
      <c r="AN1211" s="3" t="n"/>
      <c r="AO1211" s="3" t="n"/>
      <c r="AP1211" s="3" t="n"/>
      <c r="AQ1211" s="3" t="n"/>
      <c r="AR1211" s="3" t="n"/>
      <c r="AS1211" s="3" t="n"/>
      <c r="AT1211" s="3" t="n"/>
      <c r="AU1211" s="3" t="n"/>
    </row>
    <row r="1212">
      <c r="A1212" s="3" t="n">
        <v>2031</v>
      </c>
      <c r="B1212" s="3" t="inlineStr">
        <is>
          <t>GNQ</t>
        </is>
      </c>
      <c r="C1212" s="3" t="inlineStr">
        <is>
          <t>IMF.RES:WEO</t>
        </is>
      </c>
      <c r="D1212" s="3" t="inlineStr">
        <is>
          <t>GNQ.NGDP_R.A</t>
        </is>
      </c>
      <c r="E1212" s="3" t="inlineStr">
        <is>
          <t>Equatorial Guinea, Republic of</t>
        </is>
      </c>
      <c r="F1212" s="3" t="inlineStr">
        <is>
          <t>Gross domestic product (GDP), Constant prices, Domestic currency</t>
        </is>
      </c>
      <c r="G1212" s="3" t="n">
        <v>1601.97166</v>
      </c>
      <c r="H1212" s="3" t="n">
        <v>2563.525467</v>
      </c>
      <c r="I1212" s="3" t="n">
        <v>3066.515994</v>
      </c>
      <c r="J1212" s="3" t="n">
        <v>3509.793753</v>
      </c>
      <c r="K1212" s="3" t="n">
        <v>4576.462941</v>
      </c>
      <c r="L1212" s="3" t="n">
        <v>4952.196399</v>
      </c>
      <c r="M1212" s="3" t="n">
        <v>5274.146</v>
      </c>
      <c r="N1212" s="3" t="n">
        <v>6080.146857</v>
      </c>
      <c r="O1212" s="3" t="n">
        <v>7162.359</v>
      </c>
      <c r="P1212" s="3" t="n">
        <v>7258.575</v>
      </c>
      <c r="Q1212" s="3" t="n">
        <v>6610.808</v>
      </c>
      <c r="R1212" s="3" t="n">
        <v>7042.092</v>
      </c>
      <c r="S1212" s="3" t="n">
        <v>7627.49</v>
      </c>
      <c r="T1212" s="3" t="n">
        <v>7312.232179</v>
      </c>
      <c r="U1212" s="3" t="n">
        <v>7342.582399</v>
      </c>
      <c r="V1212" s="3" t="n">
        <v>6673.670018</v>
      </c>
      <c r="W1212" s="3" t="n">
        <v>6085.291408</v>
      </c>
      <c r="X1212" s="3" t="n">
        <v>5740.407338</v>
      </c>
      <c r="Y1212" s="3" t="n">
        <v>5382.403907</v>
      </c>
      <c r="Z1212" s="3" t="n">
        <v>5087.350032</v>
      </c>
      <c r="AA1212" s="3" t="n">
        <v>4843.610949</v>
      </c>
      <c r="AB1212" s="3" t="n">
        <v>4885.279079</v>
      </c>
      <c r="AC1212" s="3" t="n">
        <v>5042.756456</v>
      </c>
      <c r="AD1212" s="3" t="n">
        <v>4786.115012</v>
      </c>
      <c r="AE1212" s="3" t="n">
        <v>4828.321807</v>
      </c>
      <c r="AF1212" s="3" t="n">
        <v>4521.318176</v>
      </c>
      <c r="AG1212" s="3" t="n">
        <v>4399.87138</v>
      </c>
      <c r="AH1212" s="3" t="n">
        <v>4341.012882</v>
      </c>
      <c r="AI1212" s="3" t="n">
        <v>4388.980915</v>
      </c>
      <c r="AJ1212" s="3" t="n">
        <v>4480.934104</v>
      </c>
      <c r="AK1212" s="3" t="n">
        <v>4588.171183</v>
      </c>
      <c r="AL1212" s="3" t="n">
        <v>4704.597188</v>
      </c>
      <c r="AM1212" s="3" t="n"/>
      <c r="AN1212" s="3" t="n"/>
      <c r="AO1212" s="3" t="n"/>
      <c r="AP1212" s="3" t="n"/>
      <c r="AQ1212" s="3" t="n"/>
      <c r="AR1212" s="3" t="n"/>
      <c r="AS1212" s="3" t="n"/>
      <c r="AT1212" s="3" t="n"/>
      <c r="AU1212" s="3" t="n"/>
    </row>
    <row r="1213">
      <c r="A1213" s="3" t="n">
        <v>2031</v>
      </c>
      <c r="B1213" s="3" t="inlineStr">
        <is>
          <t>GNQ</t>
        </is>
      </c>
      <c r="C1213" s="3" t="inlineStr">
        <is>
          <t>IMF.RES:WEO</t>
        </is>
      </c>
      <c r="D1213" s="3" t="inlineStr">
        <is>
          <t>GNQ.NGDP_RPCH.A</t>
        </is>
      </c>
      <c r="E1213" s="3" t="inlineStr">
        <is>
          <t>Equatorial Guinea, Republic of</t>
        </is>
      </c>
      <c r="F1213" s="3" t="inlineStr">
        <is>
          <t>Gross domestic product (GDP), Constant prices, Percent change</t>
        </is>
      </c>
      <c r="G1213" s="3" t="n">
        <v>110.505216</v>
      </c>
      <c r="H1213" s="3" t="n">
        <v>60.023147</v>
      </c>
      <c r="I1213" s="3" t="n">
        <v>19.621047</v>
      </c>
      <c r="J1213" s="3" t="n">
        <v>14.45542</v>
      </c>
      <c r="K1213" s="3" t="n">
        <v>30.391221</v>
      </c>
      <c r="L1213" s="3" t="n">
        <v>8.210127999999999</v>
      </c>
      <c r="M1213" s="3" t="n">
        <v>6.501148</v>
      </c>
      <c r="N1213" s="3" t="n">
        <v>15.282111</v>
      </c>
      <c r="O1213" s="3" t="n">
        <v>17.799112</v>
      </c>
      <c r="P1213" s="3" t="n">
        <v>1.343356</v>
      </c>
      <c r="Q1213" s="3" t="n">
        <v>-8.924162000000001</v>
      </c>
      <c r="R1213" s="3" t="n">
        <v>6.523923</v>
      </c>
      <c r="S1213" s="3" t="n">
        <v>8.312842</v>
      </c>
      <c r="T1213" s="3" t="n">
        <v>-4.133179</v>
      </c>
      <c r="U1213" s="3" t="n">
        <v>0.415061</v>
      </c>
      <c r="V1213" s="3" t="n">
        <v>-9.110042999999999</v>
      </c>
      <c r="W1213" s="3" t="n">
        <v>-8.816417</v>
      </c>
      <c r="X1213" s="3" t="n">
        <v>-5.667503</v>
      </c>
      <c r="Y1213" s="3" t="n">
        <v>-6.236551</v>
      </c>
      <c r="Z1213" s="3" t="n">
        <v>-5.481823</v>
      </c>
      <c r="AA1213" s="3" t="n">
        <v>-4.791081</v>
      </c>
      <c r="AB1213" s="3" t="n">
        <v>0.86027</v>
      </c>
      <c r="AC1213" s="3" t="n">
        <v>3.223508</v>
      </c>
      <c r="AD1213" s="3" t="n">
        <v>-5.089309</v>
      </c>
      <c r="AE1213" s="3" t="n">
        <v>0.8818589999999999</v>
      </c>
      <c r="AF1213" s="3" t="n">
        <v>-6.358392</v>
      </c>
      <c r="AG1213" s="3" t="n">
        <v>-2.686093</v>
      </c>
      <c r="AH1213" s="3" t="n">
        <v>-1.337732</v>
      </c>
      <c r="AI1213" s="3" t="n">
        <v>1.104996</v>
      </c>
      <c r="AJ1213" s="3" t="n">
        <v>2.095092</v>
      </c>
      <c r="AK1213" s="3" t="n">
        <v>2.393186</v>
      </c>
      <c r="AL1213" s="3" t="n">
        <v>2.537525</v>
      </c>
      <c r="AM1213" s="3" t="n"/>
      <c r="AN1213" s="3" t="n"/>
      <c r="AO1213" s="3" t="n"/>
      <c r="AP1213" s="3" t="n"/>
      <c r="AQ1213" s="3" t="n"/>
      <c r="AR1213" s="3" t="n"/>
      <c r="AS1213" s="3" t="n"/>
      <c r="AT1213" s="3" t="n"/>
      <c r="AU1213" s="3" t="n"/>
    </row>
    <row r="1214">
      <c r="A1214" s="3" t="n">
        <v>2031</v>
      </c>
      <c r="B1214" s="3" t="inlineStr">
        <is>
          <t>GNQ</t>
        </is>
      </c>
      <c r="C1214" s="3" t="inlineStr">
        <is>
          <t>IMF.RES:WEO</t>
        </is>
      </c>
      <c r="D1214" s="3" t="inlineStr">
        <is>
          <t>GNQ.NGDPD.A</t>
        </is>
      </c>
      <c r="E1214" s="3" t="inlineStr">
        <is>
          <t>Equatorial Guinea, Republic of</t>
        </is>
      </c>
      <c r="F1214" s="3" t="inlineStr">
        <is>
          <t>Gross domestic product (GDP), Current prices, US dollar</t>
        </is>
      </c>
      <c r="G1214" s="3" t="n">
        <v>1.158604</v>
      </c>
      <c r="H1214" s="3" t="n">
        <v>1.67394</v>
      </c>
      <c r="I1214" s="3" t="n">
        <v>2.069632</v>
      </c>
      <c r="J1214" s="3" t="n">
        <v>3.732573</v>
      </c>
      <c r="K1214" s="3" t="n">
        <v>5.934669</v>
      </c>
      <c r="L1214" s="3" t="n">
        <v>8.191459</v>
      </c>
      <c r="M1214" s="3" t="n">
        <v>10.096031</v>
      </c>
      <c r="N1214" s="3" t="n">
        <v>13.090552</v>
      </c>
      <c r="O1214" s="3" t="n">
        <v>19.827662</v>
      </c>
      <c r="P1214" s="3" t="n">
        <v>15.071897</v>
      </c>
      <c r="Q1214" s="3" t="n">
        <v>16.327768</v>
      </c>
      <c r="R1214" s="3" t="n">
        <v>21.353586</v>
      </c>
      <c r="S1214" s="3" t="n">
        <v>22.402521</v>
      </c>
      <c r="T1214" s="3" t="n">
        <v>21.949154</v>
      </c>
      <c r="U1214" s="3" t="n">
        <v>21.771063</v>
      </c>
      <c r="V1214" s="3" t="n">
        <v>13.186831</v>
      </c>
      <c r="W1214" s="3" t="n">
        <v>11.237708</v>
      </c>
      <c r="X1214" s="3" t="n">
        <v>12.196608</v>
      </c>
      <c r="Y1214" s="3" t="n">
        <v>13.309246</v>
      </c>
      <c r="Z1214" s="3" t="n">
        <v>11.364616</v>
      </c>
      <c r="AA1214" s="3" t="n">
        <v>9.908128</v>
      </c>
      <c r="AB1214" s="3" t="n">
        <v>12.222299</v>
      </c>
      <c r="AC1214" s="3" t="n">
        <v>13.717046</v>
      </c>
      <c r="AD1214" s="3" t="n">
        <v>12.339375</v>
      </c>
      <c r="AE1214" s="3" t="n">
        <v>12.768536</v>
      </c>
      <c r="AF1214" s="3" t="n">
        <v>12.483567</v>
      </c>
      <c r="AG1214" s="3" t="n">
        <v>13.72153</v>
      </c>
      <c r="AH1214" s="3" t="n">
        <v>13.504432</v>
      </c>
      <c r="AI1214" s="3" t="n">
        <v>13.624922</v>
      </c>
      <c r="AJ1214" s="3" t="n">
        <v>14.192288</v>
      </c>
      <c r="AK1214" s="3" t="n">
        <v>14.982136</v>
      </c>
      <c r="AL1214" s="3" t="n">
        <v>15.727384</v>
      </c>
      <c r="AM1214" s="3" t="n"/>
      <c r="AN1214" s="3" t="n"/>
      <c r="AO1214" s="3" t="n"/>
      <c r="AP1214" s="3" t="n"/>
      <c r="AQ1214" s="3" t="n"/>
      <c r="AR1214" s="3" t="n"/>
      <c r="AS1214" s="3" t="n"/>
      <c r="AT1214" s="3" t="n"/>
      <c r="AU1214" s="3" t="n"/>
    </row>
    <row r="1215">
      <c r="A1215" s="3" t="n">
        <v>2031</v>
      </c>
      <c r="B1215" s="3" t="inlineStr">
        <is>
          <t>GNQ</t>
        </is>
      </c>
      <c r="C1215" s="3" t="inlineStr">
        <is>
          <t>IMF.RES:WEO</t>
        </is>
      </c>
      <c r="D1215" s="3" t="inlineStr">
        <is>
          <t>GNQ.NGDPPC.A</t>
        </is>
      </c>
      <c r="E1215" s="3" t="inlineStr">
        <is>
          <t>Equatorial Guinea, Republic of</t>
        </is>
      </c>
      <c r="F1215" s="3" t="inlineStr">
        <is>
          <t>Gross domestic product (GDP), Current prices, Per capita, Domestic currency</t>
        </is>
      </c>
      <c r="G1215" s="3" t="n">
        <v>1339441.731249</v>
      </c>
      <c r="H1215" s="3" t="n">
        <v>1916308.995575</v>
      </c>
      <c r="I1215" s="3" t="n">
        <v>2155959.468502</v>
      </c>
      <c r="J1215" s="3" t="n">
        <v>3116926.380014</v>
      </c>
      <c r="K1215" s="3" t="n">
        <v>4319707.826521</v>
      </c>
      <c r="L1215" s="3" t="n">
        <v>5699897.555054</v>
      </c>
      <c r="M1215" s="3" t="n">
        <v>6657451.178149</v>
      </c>
      <c r="N1215" s="3" t="n">
        <v>7554126.418168</v>
      </c>
      <c r="O1215" s="3" t="n">
        <v>10184159.010983</v>
      </c>
      <c r="P1215" s="3" t="n">
        <v>7805338.402021</v>
      </c>
      <c r="Q1215" s="3" t="n">
        <v>8487287.404952999</v>
      </c>
      <c r="R1215" s="3" t="n">
        <v>10122418.006819</v>
      </c>
      <c r="S1215" s="3" t="n">
        <v>11005765.492354</v>
      </c>
      <c r="T1215" s="3" t="n">
        <v>10002824.462559</v>
      </c>
      <c r="U1215" s="3" t="n">
        <v>9515338.792163</v>
      </c>
      <c r="V1215" s="3" t="n">
        <v>6632203.963727</v>
      </c>
      <c r="W1215" s="3" t="n">
        <v>5453476.491826</v>
      </c>
      <c r="X1215" s="3" t="n">
        <v>5588549.715269</v>
      </c>
      <c r="Y1215" s="3" t="n">
        <v>5623910.850186</v>
      </c>
      <c r="Z1215" s="3" t="n">
        <v>4895486.668667</v>
      </c>
      <c r="AA1215" s="3" t="n">
        <v>4049507.921609</v>
      </c>
      <c r="AB1215" s="3" t="n">
        <v>4664219.368609</v>
      </c>
      <c r="AC1215" s="3" t="n">
        <v>5698374.461506</v>
      </c>
      <c r="AD1215" s="3" t="n">
        <v>4846244.291199</v>
      </c>
      <c r="AE1215" s="3" t="n">
        <v>4867365.925002</v>
      </c>
      <c r="AF1215" s="3" t="n">
        <v>4430369.989268</v>
      </c>
      <c r="AG1215" s="3" t="n">
        <v>4534427.730929</v>
      </c>
      <c r="AH1215" s="3" t="n">
        <v>4351578.058326</v>
      </c>
      <c r="AI1215" s="3" t="n">
        <v>4285649.404685</v>
      </c>
      <c r="AJ1215" s="3" t="n">
        <v>4351327.759462</v>
      </c>
      <c r="AK1215" s="3" t="n">
        <v>4479243.121381</v>
      </c>
      <c r="AL1215" s="3" t="n">
        <v>4588633.742847</v>
      </c>
      <c r="AM1215" s="3" t="n"/>
      <c r="AN1215" s="3" t="n"/>
      <c r="AO1215" s="3" t="n"/>
      <c r="AP1215" s="3" t="n"/>
      <c r="AQ1215" s="3" t="n"/>
      <c r="AR1215" s="3" t="n"/>
      <c r="AS1215" s="3" t="n"/>
      <c r="AT1215" s="3" t="n"/>
      <c r="AU1215" s="3" t="n"/>
    </row>
    <row r="1216">
      <c r="A1216" s="3" t="n">
        <v>2031</v>
      </c>
      <c r="B1216" s="3" t="inlineStr">
        <is>
          <t>GNQ</t>
        </is>
      </c>
      <c r="C1216" s="3" t="inlineStr">
        <is>
          <t>IMF.RES:WEO</t>
        </is>
      </c>
      <c r="D1216" s="3" t="inlineStr">
        <is>
          <t>GNQ.NGDPRPC.A</t>
        </is>
      </c>
      <c r="E1216" s="3" t="inlineStr">
        <is>
          <t>Equatorial Guinea, Republic of</t>
        </is>
      </c>
      <c r="F1216" s="3" t="inlineStr">
        <is>
          <t>Gross domestic product (GDP), Constant prices, Per capita, Domestic currency</t>
        </is>
      </c>
      <c r="G1216" s="3" t="n">
        <v>2607702.559715</v>
      </c>
      <c r="H1216" s="3" t="n">
        <v>4006998.645085</v>
      </c>
      <c r="I1216" s="3" t="n">
        <v>4601566.30112</v>
      </c>
      <c r="J1216" s="3" t="n">
        <v>5052891.118236</v>
      </c>
      <c r="K1216" s="3" t="n">
        <v>6313956.40654</v>
      </c>
      <c r="L1216" s="3" t="n">
        <v>6539132.753031</v>
      </c>
      <c r="M1216" s="3" t="n">
        <v>6657451.178149</v>
      </c>
      <c r="N1216" s="3" t="n">
        <v>7331422.776915</v>
      </c>
      <c r="O1216" s="3" t="n">
        <v>8247593.900633</v>
      </c>
      <c r="P1216" s="3" t="n">
        <v>7984256.047941</v>
      </c>
      <c r="Q1216" s="3" t="n">
        <v>6950667.855461</v>
      </c>
      <c r="R1216" s="3" t="n">
        <v>7082533.264943</v>
      </c>
      <c r="S1216" s="3" t="n">
        <v>7344060.66669</v>
      </c>
      <c r="T1216" s="3" t="n">
        <v>6747182.622886</v>
      </c>
      <c r="U1216" s="3" t="n">
        <v>6501174.403031</v>
      </c>
      <c r="V1216" s="3" t="n">
        <v>5677839.436652</v>
      </c>
      <c r="W1216" s="3" t="n">
        <v>4981859.375071</v>
      </c>
      <c r="X1216" s="3" t="n">
        <v>4528245.758725</v>
      </c>
      <c r="Y1216" s="3" t="n">
        <v>4096528.264348</v>
      </c>
      <c r="Z1216" s="3" t="n">
        <v>3740412.521112</v>
      </c>
      <c r="AA1216" s="3" t="n">
        <v>3444272.086104</v>
      </c>
      <c r="AB1216" s="3" t="n">
        <v>3363706.461241</v>
      </c>
      <c r="AC1216" s="3" t="n">
        <v>3365681.245601</v>
      </c>
      <c r="AD1216" s="3" t="n">
        <v>3099407.922599</v>
      </c>
      <c r="AE1216" s="3" t="n">
        <v>3036147.623471</v>
      </c>
      <c r="AF1216" s="3" t="n">
        <v>2762591.591757</v>
      </c>
      <c r="AG1216" s="3" t="n">
        <v>2613839.842822</v>
      </c>
      <c r="AH1216" s="3" t="n">
        <v>2508878.943916</v>
      </c>
      <c r="AI1216" s="3" t="n">
        <v>2469384.847966</v>
      </c>
      <c r="AJ1216" s="3" t="n">
        <v>2456123.271813</v>
      </c>
      <c r="AK1216" s="3" t="n">
        <v>2451967.798216</v>
      </c>
      <c r="AL1216" s="3" t="n">
        <v>2453138.533336</v>
      </c>
      <c r="AM1216" s="3" t="n"/>
      <c r="AN1216" s="3" t="n"/>
      <c r="AO1216" s="3" t="n"/>
      <c r="AP1216" s="3" t="n"/>
      <c r="AQ1216" s="3" t="n"/>
      <c r="AR1216" s="3" t="n"/>
      <c r="AS1216" s="3" t="n"/>
      <c r="AT1216" s="3" t="n"/>
      <c r="AU1216" s="3" t="n"/>
    </row>
    <row r="1217">
      <c r="A1217" s="3" t="n">
        <v>2031</v>
      </c>
      <c r="B1217" s="3" t="inlineStr">
        <is>
          <t>GNQ</t>
        </is>
      </c>
      <c r="C1217" s="3" t="inlineStr">
        <is>
          <t>IMF.RES:WEO</t>
        </is>
      </c>
      <c r="D1217" s="3" t="inlineStr">
        <is>
          <t>GNQ.PCPI.A</t>
        </is>
      </c>
      <c r="E1217" s="3" t="inlineStr">
        <is>
          <t>Equatorial Guinea, Republic of</t>
        </is>
      </c>
      <c r="F1217" s="3" t="inlineStr">
        <is>
          <t>All Items, Consumer price index (CPI), Period average</t>
        </is>
      </c>
      <c r="G1217" s="3" t="n">
        <v>64.3627</v>
      </c>
      <c r="H1217" s="3" t="n">
        <v>69.987667</v>
      </c>
      <c r="I1217" s="3" t="n">
        <v>75.294225</v>
      </c>
      <c r="J1217" s="3" t="n">
        <v>80.808408</v>
      </c>
      <c r="K1217" s="3" t="n">
        <v>84.23245199999999</v>
      </c>
      <c r="L1217" s="3" t="n">
        <v>88.980642</v>
      </c>
      <c r="M1217" s="3" t="n">
        <v>92.95404600000001</v>
      </c>
      <c r="N1217" s="3" t="n">
        <v>95.554721</v>
      </c>
      <c r="O1217" s="3" t="n">
        <v>100</v>
      </c>
      <c r="P1217" s="3" t="n">
        <v>105.710367</v>
      </c>
      <c r="Q1217" s="3" t="n">
        <v>111.362136</v>
      </c>
      <c r="R1217" s="3" t="n">
        <v>116.706483</v>
      </c>
      <c r="S1217" s="3" t="n">
        <v>120.723725</v>
      </c>
      <c r="T1217" s="3" t="n">
        <v>124.561363</v>
      </c>
      <c r="U1217" s="3" t="n">
        <v>129.912881</v>
      </c>
      <c r="V1217" s="3" t="n">
        <v>132.114487</v>
      </c>
      <c r="W1217" s="3" t="n">
        <v>133.961236</v>
      </c>
      <c r="X1217" s="3" t="n">
        <v>134.96005</v>
      </c>
      <c r="Y1217" s="3" t="n">
        <v>136.776366</v>
      </c>
      <c r="Z1217" s="3" t="n">
        <v>138.478485</v>
      </c>
      <c r="AA1217" s="3" t="n">
        <v>145.07774</v>
      </c>
      <c r="AB1217" s="3" t="n">
        <v>144.941871</v>
      </c>
      <c r="AC1217" s="3" t="n">
        <v>151.998747</v>
      </c>
      <c r="AD1217" s="3" t="n">
        <v>155.650331</v>
      </c>
      <c r="AE1217" s="3" t="n">
        <v>160.972417</v>
      </c>
      <c r="AF1217" s="3" t="n">
        <v>165.403806</v>
      </c>
      <c r="AG1217" s="3" t="n">
        <v>170.628823</v>
      </c>
      <c r="AH1217" s="3" t="n">
        <v>175.533988</v>
      </c>
      <c r="AI1217" s="3" t="n">
        <v>180.056032</v>
      </c>
      <c r="AJ1217" s="3" t="n">
        <v>184.557433</v>
      </c>
      <c r="AK1217" s="3" t="n">
        <v>189.171369</v>
      </c>
      <c r="AL1217" s="3" t="n">
        <v>193.900653</v>
      </c>
      <c r="AM1217" s="3" t="n"/>
      <c r="AN1217" s="3" t="n"/>
      <c r="AO1217" s="3" t="n"/>
      <c r="AP1217" s="3" t="n"/>
      <c r="AQ1217" s="3" t="n"/>
      <c r="AR1217" s="3" t="n"/>
      <c r="AS1217" s="3" t="n"/>
      <c r="AT1217" s="3" t="n"/>
      <c r="AU1217" s="3" t="n"/>
    </row>
    <row r="1218">
      <c r="A1218" s="3" t="n">
        <v>2031</v>
      </c>
      <c r="B1218" s="3" t="inlineStr">
        <is>
          <t>GNQ</t>
        </is>
      </c>
      <c r="C1218" s="3" t="inlineStr">
        <is>
          <t>IMF.RES:WEO</t>
        </is>
      </c>
      <c r="D1218" s="3" t="inlineStr">
        <is>
          <t>GNQ.PCPIPCH.A</t>
        </is>
      </c>
      <c r="E1218" s="3" t="inlineStr">
        <is>
          <t>Equatorial Guinea, Republic of</t>
        </is>
      </c>
      <c r="F1218" s="3" t="inlineStr">
        <is>
          <t>All Items, Consumer price index (CPI), Period average, percent change</t>
        </is>
      </c>
      <c r="G1218" s="3" t="n">
        <v>4.836215</v>
      </c>
      <c r="H1218" s="3" t="n">
        <v>8.739482000000001</v>
      </c>
      <c r="I1218" s="3" t="n">
        <v>7.582133</v>
      </c>
      <c r="J1218" s="3" t="n">
        <v>7.323514</v>
      </c>
      <c r="K1218" s="3" t="n">
        <v>4.237238</v>
      </c>
      <c r="L1218" s="3" t="n">
        <v>5.637008</v>
      </c>
      <c r="M1218" s="3" t="n">
        <v>4.465469</v>
      </c>
      <c r="N1218" s="3" t="n">
        <v>2.797808</v>
      </c>
      <c r="O1218" s="3" t="n">
        <v>4.652076</v>
      </c>
      <c r="P1218" s="3" t="n">
        <v>5.710367</v>
      </c>
      <c r="Q1218" s="3" t="n">
        <v>5.346465</v>
      </c>
      <c r="R1218" s="3" t="n">
        <v>4.799071</v>
      </c>
      <c r="S1218" s="3" t="n">
        <v>3.442175</v>
      </c>
      <c r="T1218" s="3" t="n">
        <v>3.17886</v>
      </c>
      <c r="U1218" s="3" t="n">
        <v>4.296291</v>
      </c>
      <c r="V1218" s="3" t="n">
        <v>1.694679</v>
      </c>
      <c r="W1218" s="3" t="n">
        <v>1.39784</v>
      </c>
      <c r="X1218" s="3" t="n">
        <v>0.745599</v>
      </c>
      <c r="Y1218" s="3" t="n">
        <v>1.345818</v>
      </c>
      <c r="Z1218" s="3" t="n">
        <v>1.244454</v>
      </c>
      <c r="AA1218" s="3" t="n">
        <v>4.765545</v>
      </c>
      <c r="AB1218" s="3" t="n">
        <v>-0.093653</v>
      </c>
      <c r="AC1218" s="3" t="n">
        <v>4.868763</v>
      </c>
      <c r="AD1218" s="3" t="n">
        <v>2.402378</v>
      </c>
      <c r="AE1218" s="3" t="n">
        <v>3.419258</v>
      </c>
      <c r="AF1218" s="3" t="n">
        <v>2.752887</v>
      </c>
      <c r="AG1218" s="3" t="n">
        <v>3.158946</v>
      </c>
      <c r="AH1218" s="3" t="n">
        <v>2.874757</v>
      </c>
      <c r="AI1218" s="3" t="n">
        <v>2.576165</v>
      </c>
      <c r="AJ1218" s="3" t="n">
        <v>2.5</v>
      </c>
      <c r="AK1218" s="3" t="n">
        <v>2.5</v>
      </c>
      <c r="AL1218" s="3" t="n">
        <v>2.5</v>
      </c>
      <c r="AM1218" s="3" t="n"/>
      <c r="AN1218" s="3" t="n"/>
      <c r="AO1218" s="3" t="n"/>
      <c r="AP1218" s="3" t="n"/>
      <c r="AQ1218" s="3" t="n"/>
      <c r="AR1218" s="3" t="n"/>
      <c r="AS1218" s="3" t="n"/>
      <c r="AT1218" s="3" t="n"/>
      <c r="AU1218" s="3" t="n"/>
    </row>
    <row r="1219">
      <c r="A1219" s="3" t="n">
        <v>2031</v>
      </c>
      <c r="B1219" s="3" t="inlineStr">
        <is>
          <t>GNQ</t>
        </is>
      </c>
      <c r="C1219" s="3" t="inlineStr">
        <is>
          <t>IMF.RES:WEO</t>
        </is>
      </c>
      <c r="D1219" s="3" t="inlineStr">
        <is>
          <t>GNQ.PPPPC.A</t>
        </is>
      </c>
      <c r="E1219" s="3" t="inlineStr">
        <is>
          <t>Equatorial Guinea, Republic of</t>
        </is>
      </c>
      <c r="F1219" s="3" t="inlineStr">
        <is>
          <t>Gross domestic product (GDP), Per capita, purchasing power parity (PPP) international dollar, ICP benchmarks 2017-2021</t>
        </is>
      </c>
      <c r="G1219" s="3" t="n">
        <v>9515.062787999999</v>
      </c>
      <c r="H1219" s="3" t="n">
        <v>14950.062204</v>
      </c>
      <c r="I1219" s="3" t="n">
        <v>17435.18962</v>
      </c>
      <c r="J1219" s="3" t="n">
        <v>19523.213555</v>
      </c>
      <c r="K1219" s="3" t="n">
        <v>25051.651764</v>
      </c>
      <c r="L1219" s="3" t="n">
        <v>26758.666742</v>
      </c>
      <c r="M1219" s="3" t="n">
        <v>28082.972375</v>
      </c>
      <c r="N1219" s="3" t="n">
        <v>31763.839271</v>
      </c>
      <c r="O1219" s="3" t="n">
        <v>36421.575432</v>
      </c>
      <c r="P1219" s="3" t="n">
        <v>35476.124063</v>
      </c>
      <c r="Q1219" s="3" t="n">
        <v>31258.974888</v>
      </c>
      <c r="R1219" s="3" t="n">
        <v>32509.194233</v>
      </c>
      <c r="S1219" s="3" t="n">
        <v>34337.268759</v>
      </c>
      <c r="T1219" s="3" t="n">
        <v>32083.480212</v>
      </c>
      <c r="U1219" s="3" t="n">
        <v>31452.11657</v>
      </c>
      <c r="V1219" s="3" t="n">
        <v>27723.819534</v>
      </c>
      <c r="W1219" s="3" t="n">
        <v>24556.626551</v>
      </c>
      <c r="X1219" s="3" t="n">
        <v>22720.40875</v>
      </c>
      <c r="Y1219" s="3" t="n">
        <v>23009.456186</v>
      </c>
      <c r="Z1219" s="3" t="n">
        <v>20201.903691</v>
      </c>
      <c r="AA1219" s="3" t="n">
        <v>16693.917664</v>
      </c>
      <c r="AB1219" s="3" t="n">
        <v>20370.659952</v>
      </c>
      <c r="AC1219" s="3" t="n">
        <v>21832.315552</v>
      </c>
      <c r="AD1219" s="3" t="n">
        <v>20848.962681</v>
      </c>
      <c r="AE1219" s="3" t="n">
        <v>20930.446749</v>
      </c>
      <c r="AF1219" s="3" t="n">
        <v>19584.870882</v>
      </c>
      <c r="AG1219" s="3" t="n">
        <v>19061.189601</v>
      </c>
      <c r="AH1219" s="3" t="n">
        <v>18697.529005</v>
      </c>
      <c r="AI1219" s="3" t="n">
        <v>18705.265884</v>
      </c>
      <c r="AJ1219" s="3" t="n">
        <v>18935.624924</v>
      </c>
      <c r="AK1219" s="3" t="n">
        <v>19250.946564</v>
      </c>
      <c r="AL1219" s="3" t="n">
        <v>19607.841888</v>
      </c>
      <c r="AM1219" s="3" t="n"/>
      <c r="AN1219" s="3" t="n"/>
      <c r="AO1219" s="3" t="n"/>
      <c r="AP1219" s="3" t="n"/>
      <c r="AQ1219" s="3" t="n"/>
      <c r="AR1219" s="3" t="n"/>
      <c r="AS1219" s="3" t="n"/>
      <c r="AT1219" s="3" t="n"/>
      <c r="AU1219" s="3" t="n"/>
    </row>
    <row r="1220">
      <c r="A1220" s="3" t="n">
        <v>2025</v>
      </c>
      <c r="B1220" s="3" t="inlineStr">
        <is>
          <t>GNQ</t>
        </is>
      </c>
      <c r="C1220" s="3" t="inlineStr">
        <is>
          <t>IMF.STA:ER</t>
        </is>
      </c>
      <c r="D1220" s="3" t="inlineStr">
        <is>
          <t>GNQ.XDC_USD.PA_RT.A</t>
        </is>
      </c>
      <c r="E1220" s="3" t="inlineStr">
        <is>
          <t>Equatorial Guinea, Republic of</t>
        </is>
      </c>
      <c r="F1220" s="3" t="inlineStr">
        <is>
          <t>Domestic currency per US Dollar</t>
        </is>
      </c>
      <c r="G1220" s="3" t="n">
        <v>710.207977031367</v>
      </c>
      <c r="H1220" s="3" t="n">
        <v>732.397693260228</v>
      </c>
      <c r="I1220" s="3" t="n">
        <v>693.713226496374</v>
      </c>
      <c r="J1220" s="3" t="n">
        <v>579.897426172466</v>
      </c>
      <c r="K1220" s="3" t="n">
        <v>527.338032291576</v>
      </c>
      <c r="L1220" s="3" t="n">
        <v>527.258362649626</v>
      </c>
      <c r="M1220" s="3" t="n">
        <v>522.425624895176</v>
      </c>
      <c r="N1220" s="3" t="n">
        <v>478.633718476363</v>
      </c>
      <c r="O1220" s="3" t="n">
        <v>446.000041432788</v>
      </c>
      <c r="P1220" s="3" t="n">
        <v>470.293423341398</v>
      </c>
      <c r="Q1220" s="3" t="n">
        <v>494.794262222947</v>
      </c>
      <c r="R1220" s="3" t="n">
        <v>471.248625718937</v>
      </c>
      <c r="S1220" s="3" t="n">
        <v>510.556338454251</v>
      </c>
      <c r="T1220" s="3" t="n">
        <v>493.899623852237</v>
      </c>
      <c r="U1220" s="3" t="n">
        <v>493.757329875312</v>
      </c>
      <c r="V1220" s="3" t="n">
        <v>591.21169798261</v>
      </c>
      <c r="W1220" s="3" t="n">
        <v>592.605615063022</v>
      </c>
      <c r="X1220" s="3" t="n">
        <v>580.656749587858</v>
      </c>
      <c r="Y1220" s="3" t="n">
        <v>555.446458398226</v>
      </c>
      <c r="Z1220" s="3" t="n">
        <v>585.911013180369</v>
      </c>
      <c r="AA1220" s="3" t="n">
        <v>575.586004510945</v>
      </c>
      <c r="AB1220" s="3" t="n">
        <v>554.530675033104</v>
      </c>
      <c r="AC1220" s="3" t="n">
        <v>623.759700911182</v>
      </c>
      <c r="AD1220" s="3" t="n">
        <v>606.569750165917</v>
      </c>
      <c r="AE1220" s="3" t="n">
        <v>606.345297609062</v>
      </c>
      <c r="AF1220" s="3" t="n">
        <v>581.928481040339</v>
      </c>
      <c r="AG1220" s="3" t="n"/>
      <c r="AH1220" s="3" t="n"/>
      <c r="AI1220" s="3" t="n"/>
      <c r="AJ1220" s="3" t="n"/>
      <c r="AK1220" s="3" t="n"/>
      <c r="AL1220" s="3" t="n"/>
      <c r="AM1220" s="3" t="n"/>
      <c r="AN1220" s="3" t="n"/>
      <c r="AO1220" s="3" t="n"/>
      <c r="AP1220" s="3" t="n"/>
      <c r="AQ1220" s="3" t="n"/>
      <c r="AR1220" s="3" t="n"/>
      <c r="AS1220" s="3" t="n"/>
      <c r="AT1220" s="3" t="n"/>
      <c r="AU1220" s="3" t="n"/>
    </row>
    <row r="1221">
      <c r="A1221" s="3" t="n">
        <v>2031</v>
      </c>
      <c r="B1221" s="3" t="inlineStr">
        <is>
          <t>GRC</t>
        </is>
      </c>
      <c r="C1221" s="3" t="inlineStr">
        <is>
          <t>IMF.RES:WEO</t>
        </is>
      </c>
      <c r="D1221" s="3" t="inlineStr">
        <is>
          <t>GRC.BCA.A</t>
        </is>
      </c>
      <c r="E1221" s="3" t="inlineStr">
        <is>
          <t>Greece</t>
        </is>
      </c>
      <c r="F1221" s="3" t="inlineStr">
        <is>
          <t>Current account balance (credit less debit), US dollar</t>
        </is>
      </c>
      <c r="G1221" s="3" t="n">
        <v>-7.835952</v>
      </c>
      <c r="H1221" s="3" t="n">
        <v>-9.387527</v>
      </c>
      <c r="I1221" s="3" t="n">
        <v>-9.659238999999999</v>
      </c>
      <c r="J1221" s="3" t="n">
        <v>-12.738164</v>
      </c>
      <c r="K1221" s="3" t="n">
        <v>-13.324779</v>
      </c>
      <c r="L1221" s="3" t="n">
        <v>-18.220276</v>
      </c>
      <c r="M1221" s="3" t="n">
        <v>-29.709863</v>
      </c>
      <c r="N1221" s="3" t="n">
        <v>-44.399244</v>
      </c>
      <c r="O1221" s="3" t="n">
        <v>-51.534582</v>
      </c>
      <c r="P1221" s="3" t="n">
        <v>-35.972478</v>
      </c>
      <c r="Q1221" s="3" t="n">
        <v>-29.860975</v>
      </c>
      <c r="R1221" s="3" t="n">
        <v>-28.715812</v>
      </c>
      <c r="S1221" s="3" t="n">
        <v>-5.933096</v>
      </c>
      <c r="T1221" s="3" t="n">
        <v>-5.000957</v>
      </c>
      <c r="U1221" s="3" t="n">
        <v>-3.519375</v>
      </c>
      <c r="V1221" s="3" t="n">
        <v>-2.908793</v>
      </c>
      <c r="W1221" s="3" t="n">
        <v>-4.561341</v>
      </c>
      <c r="X1221" s="3" t="n">
        <v>-5.013024</v>
      </c>
      <c r="Y1221" s="3" t="n">
        <v>-7.520454</v>
      </c>
      <c r="Z1221" s="3" t="n">
        <v>-4.330031</v>
      </c>
      <c r="AA1221" s="3" t="n">
        <v>-13.728996</v>
      </c>
      <c r="AB1221" s="3" t="n">
        <v>-15.685974</v>
      </c>
      <c r="AC1221" s="3" t="n">
        <v>-23.446256</v>
      </c>
      <c r="AD1221" s="3" t="n">
        <v>-16.528151</v>
      </c>
      <c r="AE1221" s="3" t="n">
        <v>-18.333859</v>
      </c>
      <c r="AF1221" s="3" t="n">
        <v>-15.938298</v>
      </c>
      <c r="AG1221" s="3" t="n">
        <v>-19.665464</v>
      </c>
      <c r="AH1221" s="3" t="n">
        <v>-18.301834</v>
      </c>
      <c r="AI1221" s="3" t="n">
        <v>-16.580829</v>
      </c>
      <c r="AJ1221" s="3" t="n">
        <v>-15.555352</v>
      </c>
      <c r="AK1221" s="3" t="n">
        <v>-15.107716</v>
      </c>
      <c r="AL1221" s="3" t="n">
        <v>-14.81244</v>
      </c>
      <c r="AM1221" s="3" t="n"/>
      <c r="AN1221" s="3" t="n"/>
      <c r="AO1221" s="3" t="n"/>
      <c r="AP1221" s="3" t="n"/>
      <c r="AQ1221" s="3" t="n"/>
      <c r="AR1221" s="3" t="n"/>
      <c r="AS1221" s="3" t="n"/>
      <c r="AT1221" s="3" t="n"/>
      <c r="AU1221" s="3" t="n"/>
    </row>
    <row r="1222">
      <c r="A1222" s="3" t="n">
        <v>2031</v>
      </c>
      <c r="B1222" s="3" t="inlineStr">
        <is>
          <t>GRC</t>
        </is>
      </c>
      <c r="C1222" s="3" t="inlineStr">
        <is>
          <t>IMF.RES:WEO</t>
        </is>
      </c>
      <c r="D1222" s="3" t="inlineStr">
        <is>
          <t>GRC.BCA_NGDPD.A</t>
        </is>
      </c>
      <c r="E1222" s="3" t="inlineStr">
        <is>
          <t>Greece</t>
        </is>
      </c>
      <c r="F1222" s="3" t="inlineStr">
        <is>
          <t>Current account balance (credit less debit), Percent of GDP</t>
        </is>
      </c>
      <c r="G1222" s="3" t="n">
        <v>-6.148829</v>
      </c>
      <c r="H1222" s="3" t="n">
        <v>-7.108997</v>
      </c>
      <c r="I1222" s="3" t="n">
        <v>-6.433159</v>
      </c>
      <c r="J1222" s="3" t="n">
        <v>-6.469975</v>
      </c>
      <c r="K1222" s="3" t="n">
        <v>-5.673186</v>
      </c>
      <c r="L1222" s="3" t="n">
        <v>-7.515077</v>
      </c>
      <c r="M1222" s="3" t="n">
        <v>-11.040959</v>
      </c>
      <c r="N1222" s="3" t="n">
        <v>-14.128005</v>
      </c>
      <c r="O1222" s="3" t="n">
        <v>-14.678749</v>
      </c>
      <c r="P1222" s="3" t="n">
        <v>-11.018476</v>
      </c>
      <c r="Q1222" s="3" t="n">
        <v>-10.065732</v>
      </c>
      <c r="R1222" s="3" t="n">
        <v>-10.140543</v>
      </c>
      <c r="S1222" s="3" t="n">
        <v>-2.482546</v>
      </c>
      <c r="T1222" s="3" t="n">
        <v>-2.114036</v>
      </c>
      <c r="U1222" s="3" t="n">
        <v>-1.504188</v>
      </c>
      <c r="V1222" s="3" t="n">
        <v>-1.494854</v>
      </c>
      <c r="W1222" s="3" t="n">
        <v>-2.362851</v>
      </c>
      <c r="X1222" s="3" t="n">
        <v>-2.502628</v>
      </c>
      <c r="Y1222" s="3" t="n">
        <v>-3.524184</v>
      </c>
      <c r="Z1222" s="3" t="n">
        <v>-2.088488</v>
      </c>
      <c r="AA1222" s="3" t="n">
        <v>-7.18007</v>
      </c>
      <c r="AB1222" s="3" t="n">
        <v>-7.180613</v>
      </c>
      <c r="AC1222" s="3" t="n">
        <v>-10.74719</v>
      </c>
      <c r="AD1222" s="3" t="n">
        <v>-6.801255</v>
      </c>
      <c r="AE1222" s="3" t="n">
        <v>-7.157155</v>
      </c>
      <c r="AF1222" s="3" t="n">
        <v>-5.682581</v>
      </c>
      <c r="AG1222" s="3" t="n">
        <v>-6.394141</v>
      </c>
      <c r="AH1222" s="3" t="n">
        <v>-5.71529</v>
      </c>
      <c r="AI1222" s="3" t="n">
        <v>-4.989955</v>
      </c>
      <c r="AJ1222" s="3" t="n">
        <v>-4.51536</v>
      </c>
      <c r="AK1222" s="3" t="n">
        <v>-4.228676</v>
      </c>
      <c r="AL1222" s="3" t="n">
        <v>-3.997413</v>
      </c>
      <c r="AM1222" s="3" t="n"/>
      <c r="AN1222" s="3" t="n"/>
      <c r="AO1222" s="3" t="n"/>
      <c r="AP1222" s="3" t="n"/>
      <c r="AQ1222" s="3" t="n"/>
      <c r="AR1222" s="3" t="n"/>
      <c r="AS1222" s="3" t="n"/>
      <c r="AT1222" s="3" t="n"/>
      <c r="AU1222" s="3" t="n"/>
    </row>
    <row r="1223">
      <c r="A1223" s="3" t="n">
        <v>2031</v>
      </c>
      <c r="B1223" s="3" t="inlineStr">
        <is>
          <t>GRC</t>
        </is>
      </c>
      <c r="C1223" s="3" t="inlineStr">
        <is>
          <t>IMF.RES:WEO</t>
        </is>
      </c>
      <c r="D1223" s="3" t="inlineStr">
        <is>
          <t>GRC.GGR_NGDP.A</t>
        </is>
      </c>
      <c r="E1223" s="3" t="inlineStr">
        <is>
          <t>Greece</t>
        </is>
      </c>
      <c r="F1223" s="3" t="inlineStr">
        <is>
          <t>Revenue, General government, Percent of GDP</t>
        </is>
      </c>
      <c r="G1223" s="3" t="n">
        <v>43.944971</v>
      </c>
      <c r="H1223" s="3" t="n">
        <v>41.826874</v>
      </c>
      <c r="I1223" s="3" t="n">
        <v>40.913819</v>
      </c>
      <c r="J1223" s="3" t="n">
        <v>39.832047</v>
      </c>
      <c r="K1223" s="3" t="n">
        <v>39.774448</v>
      </c>
      <c r="L1223" s="3" t="n">
        <v>40.27706</v>
      </c>
      <c r="M1223" s="3" t="n">
        <v>39.82195</v>
      </c>
      <c r="N1223" s="3" t="n">
        <v>40.962951</v>
      </c>
      <c r="O1223" s="3" t="n">
        <v>41.223882</v>
      </c>
      <c r="P1223" s="3" t="n">
        <v>39.402089</v>
      </c>
      <c r="Q1223" s="3" t="n">
        <v>41.659194</v>
      </c>
      <c r="R1223" s="3" t="n">
        <v>44.575501</v>
      </c>
      <c r="S1223" s="3" t="n">
        <v>47.934042</v>
      </c>
      <c r="T1223" s="3" t="n">
        <v>48.922908</v>
      </c>
      <c r="U1223" s="3" t="n">
        <v>47.208128</v>
      </c>
      <c r="V1223" s="3" t="n">
        <v>48.823326</v>
      </c>
      <c r="W1223" s="3" t="n">
        <v>50.572606</v>
      </c>
      <c r="X1223" s="3" t="n">
        <v>49.590565</v>
      </c>
      <c r="Y1223" s="3" t="n">
        <v>49.348423</v>
      </c>
      <c r="Z1223" s="3" t="n">
        <v>47.513462</v>
      </c>
      <c r="AA1223" s="3" t="n">
        <v>48.925179</v>
      </c>
      <c r="AB1223" s="3" t="n">
        <v>48.962858</v>
      </c>
      <c r="AC1223" s="3" t="n">
        <v>50.519133</v>
      </c>
      <c r="AD1223" s="3" t="n">
        <v>48.174298</v>
      </c>
      <c r="AE1223" s="3" t="n">
        <v>49.477477</v>
      </c>
      <c r="AF1223" s="3" t="n">
        <v>50.918235</v>
      </c>
      <c r="AG1223" s="3" t="n">
        <v>50.928604</v>
      </c>
      <c r="AH1223" s="3" t="n">
        <v>49.702806</v>
      </c>
      <c r="AI1223" s="3" t="n">
        <v>49.389405</v>
      </c>
      <c r="AJ1223" s="3" t="n">
        <v>49.276571</v>
      </c>
      <c r="AK1223" s="3" t="n">
        <v>49.158701</v>
      </c>
      <c r="AL1223" s="3" t="n">
        <v>49.038779</v>
      </c>
      <c r="AM1223" s="3" t="n"/>
      <c r="AN1223" s="3" t="n"/>
      <c r="AO1223" s="3" t="n"/>
      <c r="AP1223" s="3" t="n"/>
      <c r="AQ1223" s="3" t="n"/>
      <c r="AR1223" s="3" t="n"/>
      <c r="AS1223" s="3" t="n"/>
      <c r="AT1223" s="3" t="n"/>
      <c r="AU1223" s="3" t="n"/>
    </row>
    <row r="1224">
      <c r="A1224" s="3" t="n">
        <v>2031</v>
      </c>
      <c r="B1224" s="3" t="inlineStr">
        <is>
          <t>GRC</t>
        </is>
      </c>
      <c r="C1224" s="3" t="inlineStr">
        <is>
          <t>IMF.RES:WEO</t>
        </is>
      </c>
      <c r="D1224" s="3" t="inlineStr">
        <is>
          <t>GRC.GGX_NGDP.A</t>
        </is>
      </c>
      <c r="E1224" s="3" t="inlineStr">
        <is>
          <t>Greece</t>
        </is>
      </c>
      <c r="F1224" s="3" t="inlineStr">
        <is>
          <t>Expenditure, General government, Percent of GDP</t>
        </is>
      </c>
      <c r="G1224" s="3" t="n">
        <v>48.159828</v>
      </c>
      <c r="H1224" s="3" t="n">
        <v>47.469219</v>
      </c>
      <c r="I1224" s="3" t="n">
        <v>47.110709</v>
      </c>
      <c r="J1224" s="3" t="n">
        <v>47.878757</v>
      </c>
      <c r="K1224" s="3" t="n">
        <v>48.827137</v>
      </c>
      <c r="L1224" s="3" t="n">
        <v>46.60698</v>
      </c>
      <c r="M1224" s="3" t="n">
        <v>45.866778</v>
      </c>
      <c r="N1224" s="3" t="n">
        <v>47.769828</v>
      </c>
      <c r="O1224" s="3" t="n">
        <v>51.538649</v>
      </c>
      <c r="P1224" s="3" t="n">
        <v>54.825698</v>
      </c>
      <c r="Q1224" s="3" t="n">
        <v>53.083651</v>
      </c>
      <c r="R1224" s="3" t="n">
        <v>55.075071</v>
      </c>
      <c r="S1224" s="3" t="n">
        <v>54.871134</v>
      </c>
      <c r="T1224" s="3" t="n">
        <v>52.981828</v>
      </c>
      <c r="U1224" s="3" t="n">
        <v>51.500581</v>
      </c>
      <c r="V1224" s="3" t="n">
        <v>51.854184</v>
      </c>
      <c r="W1224" s="3" t="n">
        <v>50.292487</v>
      </c>
      <c r="X1224" s="3" t="n">
        <v>48.536033</v>
      </c>
      <c r="Y1224" s="3" t="n">
        <v>48.569975</v>
      </c>
      <c r="Z1224" s="3" t="n">
        <v>47.599339</v>
      </c>
      <c r="AA1224" s="3" t="n">
        <v>59.292305</v>
      </c>
      <c r="AB1224" s="3" t="n">
        <v>56.718546</v>
      </c>
      <c r="AC1224" s="3" t="n">
        <v>53.091005</v>
      </c>
      <c r="AD1224" s="3" t="n">
        <v>49.614084</v>
      </c>
      <c r="AE1224" s="3" t="n">
        <v>48.248682</v>
      </c>
      <c r="AF1224" s="3" t="n">
        <v>49.659516</v>
      </c>
      <c r="AG1224" s="3" t="n">
        <v>50.330792</v>
      </c>
      <c r="AH1224" s="3" t="n">
        <v>49.878381</v>
      </c>
      <c r="AI1224" s="3" t="n">
        <v>49.593834</v>
      </c>
      <c r="AJ1224" s="3" t="n">
        <v>49.749059</v>
      </c>
      <c r="AK1224" s="3" t="n">
        <v>49.744949</v>
      </c>
      <c r="AL1224" s="3" t="n">
        <v>49.735096</v>
      </c>
      <c r="AM1224" s="3" t="n"/>
      <c r="AN1224" s="3" t="n"/>
      <c r="AO1224" s="3" t="n"/>
      <c r="AP1224" s="3" t="n"/>
      <c r="AQ1224" s="3" t="n"/>
      <c r="AR1224" s="3" t="n"/>
      <c r="AS1224" s="3" t="n"/>
      <c r="AT1224" s="3" t="n"/>
      <c r="AU1224" s="3" t="n"/>
    </row>
    <row r="1225">
      <c r="A1225" s="3" t="n">
        <v>2027</v>
      </c>
      <c r="B1225" s="3" t="inlineStr">
        <is>
          <t>GRC</t>
        </is>
      </c>
      <c r="C1225" s="3" t="inlineStr">
        <is>
          <t>IMF.RES:WEO</t>
        </is>
      </c>
      <c r="D1225" s="3" t="inlineStr">
        <is>
          <t>GRC.LE.A</t>
        </is>
      </c>
      <c r="E1225" s="3" t="inlineStr">
        <is>
          <t>Greece</t>
        </is>
      </c>
      <c r="F1225" s="3" t="inlineStr">
        <is>
          <t>Employed persons, Persons for countries / Index for country groups</t>
        </is>
      </c>
      <c r="G1225" s="3" t="n">
        <v>4.088475</v>
      </c>
      <c r="H1225" s="3" t="n">
        <v>4.202125</v>
      </c>
      <c r="I1225" s="3" t="n">
        <v>4.26495</v>
      </c>
      <c r="J1225" s="3" t="n">
        <v>4.353175</v>
      </c>
      <c r="K1225" s="3" t="n">
        <v>4.389525</v>
      </c>
      <c r="L1225" s="3" t="n">
        <v>4.44355</v>
      </c>
      <c r="M1225" s="3" t="n">
        <v>4.5275</v>
      </c>
      <c r="N1225" s="3" t="n">
        <v>4.56405</v>
      </c>
      <c r="O1225" s="3" t="n">
        <v>4.6105</v>
      </c>
      <c r="P1225" s="3" t="n">
        <v>4.556</v>
      </c>
      <c r="Q1225" s="3" t="n">
        <v>4.38975</v>
      </c>
      <c r="R1225" s="3" t="n">
        <v>4.05435</v>
      </c>
      <c r="S1225" s="3" t="n">
        <v>3.694975</v>
      </c>
      <c r="T1225" s="3" t="n">
        <v>3.5132</v>
      </c>
      <c r="U1225" s="3" t="n">
        <v>3.53625</v>
      </c>
      <c r="V1225" s="3" t="n">
        <v>3.610675</v>
      </c>
      <c r="W1225" s="3" t="n">
        <v>3.67355</v>
      </c>
      <c r="X1225" s="3" t="n">
        <v>3.752675</v>
      </c>
      <c r="Y1225" s="3" t="n">
        <v>3.828025</v>
      </c>
      <c r="Z1225" s="3" t="n">
        <v>3.911025</v>
      </c>
      <c r="AA1225" s="3" t="n">
        <v>3.875475</v>
      </c>
      <c r="AB1225" s="3" t="n">
        <v>3.928</v>
      </c>
      <c r="AC1225" s="3" t="n">
        <v>4.1406</v>
      </c>
      <c r="AD1225" s="3" t="n">
        <v>4.19345</v>
      </c>
      <c r="AE1225" s="3" t="n">
        <v>4.27595</v>
      </c>
      <c r="AF1225" s="3" t="n">
        <v>4.339725</v>
      </c>
      <c r="AG1225" s="3" t="n">
        <v>4.393538</v>
      </c>
      <c r="AH1225" s="3" t="n">
        <v>4.411112</v>
      </c>
      <c r="AI1225" s="3" t="n"/>
      <c r="AJ1225" s="3" t="n"/>
      <c r="AK1225" s="3" t="n"/>
      <c r="AL1225" s="3" t="n"/>
      <c r="AM1225" s="3" t="n"/>
      <c r="AN1225" s="3" t="n"/>
      <c r="AO1225" s="3" t="n"/>
      <c r="AP1225" s="3" t="n"/>
      <c r="AQ1225" s="3" t="n"/>
      <c r="AR1225" s="3" t="n"/>
      <c r="AS1225" s="3" t="n"/>
      <c r="AT1225" s="3" t="n"/>
      <c r="AU1225" s="3" t="n"/>
    </row>
    <row r="1226">
      <c r="A1226" s="3" t="n">
        <v>2031</v>
      </c>
      <c r="B1226" s="3" t="inlineStr">
        <is>
          <t>GRC</t>
        </is>
      </c>
      <c r="C1226" s="3" t="inlineStr">
        <is>
          <t>IMF.RES:WEO</t>
        </is>
      </c>
      <c r="D1226" s="3" t="inlineStr">
        <is>
          <t>GRC.LP.A</t>
        </is>
      </c>
      <c r="E1226" s="3" t="inlineStr">
        <is>
          <t>Greece</t>
        </is>
      </c>
      <c r="F1226" s="3" t="inlineStr">
        <is>
          <t>Population, Persons for countries / Index for country groups</t>
        </is>
      </c>
      <c r="G1226" s="3" t="n">
        <v>10.775627</v>
      </c>
      <c r="H1226" s="3" t="n">
        <v>10.835989</v>
      </c>
      <c r="I1226" s="3" t="n">
        <v>10.888274</v>
      </c>
      <c r="J1226" s="3" t="n">
        <v>10.91577</v>
      </c>
      <c r="K1226" s="3" t="n">
        <v>10.940369</v>
      </c>
      <c r="L1226" s="3" t="n">
        <v>10.969912</v>
      </c>
      <c r="M1226" s="3" t="n">
        <v>11.004716</v>
      </c>
      <c r="N1226" s="3" t="n">
        <v>11.036008</v>
      </c>
      <c r="O1226" s="3" t="n">
        <v>11.060937</v>
      </c>
      <c r="P1226" s="3" t="n">
        <v>11.094745</v>
      </c>
      <c r="Q1226" s="3" t="n">
        <v>11.119289</v>
      </c>
      <c r="R1226" s="3" t="n">
        <v>11.123392</v>
      </c>
      <c r="S1226" s="3" t="n">
        <v>11.086406</v>
      </c>
      <c r="T1226" s="3" t="n">
        <v>11.003615</v>
      </c>
      <c r="U1226" s="3" t="n">
        <v>10.926807</v>
      </c>
      <c r="V1226" s="3" t="n">
        <v>10.858018</v>
      </c>
      <c r="W1226" s="3" t="n">
        <v>10.783748</v>
      </c>
      <c r="X1226" s="3" t="n">
        <v>10.768193</v>
      </c>
      <c r="Y1226" s="3" t="n">
        <v>10.741165</v>
      </c>
      <c r="Z1226" s="3" t="n">
        <v>10.724599</v>
      </c>
      <c r="AA1226" s="3" t="n">
        <v>10.718565</v>
      </c>
      <c r="AB1226" s="3" t="n">
        <v>10.678632</v>
      </c>
      <c r="AC1226" s="3" t="n">
        <v>10.461627</v>
      </c>
      <c r="AD1226" s="3" t="n">
        <v>10.413982</v>
      </c>
      <c r="AE1226" s="3" t="n">
        <v>10.375764</v>
      </c>
      <c r="AF1226" s="3" t="n">
        <v>10.372335</v>
      </c>
      <c r="AG1226" s="3" t="n">
        <v>10.356776</v>
      </c>
      <c r="AH1226" s="3" t="n">
        <v>10.341241</v>
      </c>
      <c r="AI1226" s="3" t="n">
        <v>10.325729</v>
      </c>
      <c r="AJ1226" s="3" t="n">
        <v>10.310241</v>
      </c>
      <c r="AK1226" s="3" t="n">
        <v>10.294776</v>
      </c>
      <c r="AL1226" s="3" t="n">
        <v>10.263891</v>
      </c>
      <c r="AM1226" s="3" t="n"/>
      <c r="AN1226" s="3" t="n"/>
      <c r="AO1226" s="3" t="n"/>
      <c r="AP1226" s="3" t="n"/>
      <c r="AQ1226" s="3" t="n"/>
      <c r="AR1226" s="3" t="n"/>
      <c r="AS1226" s="3" t="n"/>
      <c r="AT1226" s="3" t="n"/>
      <c r="AU1226" s="3" t="n"/>
    </row>
    <row r="1227">
      <c r="A1227" s="3" t="n">
        <v>2031</v>
      </c>
      <c r="B1227" s="3" t="inlineStr">
        <is>
          <t>GRC</t>
        </is>
      </c>
      <c r="C1227" s="3" t="inlineStr">
        <is>
          <t>IMF.RES:WEO</t>
        </is>
      </c>
      <c r="D1227" s="3" t="inlineStr">
        <is>
          <t>GRC.NGDP.A</t>
        </is>
      </c>
      <c r="E1227" s="3" t="inlineStr">
        <is>
          <t>Greece</t>
        </is>
      </c>
      <c r="F1227" s="3" t="inlineStr">
        <is>
          <t>Gross domestic product (GDP), Current prices, Domestic currency</t>
        </is>
      </c>
      <c r="G1227" s="3" t="n">
        <v>136.1612</v>
      </c>
      <c r="H1227" s="3" t="n">
        <v>147.4387</v>
      </c>
      <c r="I1227" s="3" t="n">
        <v>158.9023</v>
      </c>
      <c r="J1227" s="3" t="n">
        <v>174.096</v>
      </c>
      <c r="K1227" s="3" t="n">
        <v>188.9052</v>
      </c>
      <c r="L1227" s="3" t="n">
        <v>194.7734</v>
      </c>
      <c r="M1227" s="3" t="n">
        <v>214.2989</v>
      </c>
      <c r="N1227" s="3" t="n">
        <v>229.2828</v>
      </c>
      <c r="O1227" s="3" t="n">
        <v>238.7354</v>
      </c>
      <c r="P1227" s="3" t="n">
        <v>234.3226</v>
      </c>
      <c r="Q1227" s="3" t="n">
        <v>223.5905</v>
      </c>
      <c r="R1227" s="3" t="n">
        <v>203.475</v>
      </c>
      <c r="S1227" s="3" t="n">
        <v>185.8992</v>
      </c>
      <c r="T1227" s="3" t="n">
        <v>178.1139</v>
      </c>
      <c r="U1227" s="3" t="n">
        <v>176.0718</v>
      </c>
      <c r="V1227" s="3" t="n">
        <v>175.3629</v>
      </c>
      <c r="W1227" s="3" t="n">
        <v>174.4482</v>
      </c>
      <c r="X1227" s="3" t="n">
        <v>177.3785</v>
      </c>
      <c r="Y1227" s="3" t="n">
        <v>180.6157</v>
      </c>
      <c r="Z1227" s="3" t="n">
        <v>185.1812</v>
      </c>
      <c r="AA1227" s="3" t="n">
        <v>167.5395</v>
      </c>
      <c r="AB1227" s="3" t="n">
        <v>184.5746</v>
      </c>
      <c r="AC1227" s="3" t="n">
        <v>207.0087</v>
      </c>
      <c r="AD1227" s="3" t="n">
        <v>224.6862</v>
      </c>
      <c r="AE1227" s="3" t="n">
        <v>236.736</v>
      </c>
      <c r="AF1227" s="3" t="n">
        <v>248.3537</v>
      </c>
      <c r="AG1227" s="3" t="n">
        <v>260.811993</v>
      </c>
      <c r="AH1227" s="3" t="n">
        <v>272.184158</v>
      </c>
      <c r="AI1227" s="3" t="n">
        <v>283.199019</v>
      </c>
      <c r="AJ1227" s="3" t="n">
        <v>293.764905</v>
      </c>
      <c r="AK1227" s="3" t="n">
        <v>304.701634</v>
      </c>
      <c r="AL1227" s="3" t="n">
        <v>316.029707</v>
      </c>
      <c r="AM1227" s="3" t="n"/>
      <c r="AN1227" s="3" t="n"/>
      <c r="AO1227" s="3" t="n"/>
      <c r="AP1227" s="3" t="n"/>
      <c r="AQ1227" s="3" t="n"/>
      <c r="AR1227" s="3" t="n"/>
      <c r="AS1227" s="3" t="n"/>
      <c r="AT1227" s="3" t="n"/>
      <c r="AU1227" s="3" t="n"/>
    </row>
    <row r="1228">
      <c r="A1228" s="3" t="n">
        <v>2031</v>
      </c>
      <c r="B1228" s="3" t="inlineStr">
        <is>
          <t>GRC</t>
        </is>
      </c>
      <c r="C1228" s="3" t="inlineStr">
        <is>
          <t>IMF.RES:WEO</t>
        </is>
      </c>
      <c r="D1228" s="3" t="inlineStr">
        <is>
          <t>GRC.NGDP_D.A</t>
        </is>
      </c>
      <c r="E1228" s="3" t="inlineStr">
        <is>
          <t>Greece</t>
        </is>
      </c>
      <c r="F1228" s="3" t="inlineStr">
        <is>
          <t>Gross domestic product (GDP), Price deflator, Index</t>
        </is>
      </c>
      <c r="G1228" s="3" t="n">
        <v>78.15869499999999</v>
      </c>
      <c r="H1228" s="3" t="n">
        <v>80.87128300000001</v>
      </c>
      <c r="I1228" s="3" t="n">
        <v>83.260004</v>
      </c>
      <c r="J1228" s="3" t="n">
        <v>86.222847</v>
      </c>
      <c r="K1228" s="3" t="n">
        <v>88.78263</v>
      </c>
      <c r="L1228" s="3" t="n">
        <v>90.46991300000001</v>
      </c>
      <c r="M1228" s="3" t="n">
        <v>93.513784</v>
      </c>
      <c r="N1228" s="3" t="n">
        <v>96.66251099999999</v>
      </c>
      <c r="O1228" s="3" t="n">
        <v>100.589755</v>
      </c>
      <c r="P1228" s="3" t="n">
        <v>102.972195</v>
      </c>
      <c r="Q1228" s="3" t="n">
        <v>104.188208</v>
      </c>
      <c r="R1228" s="3" t="n">
        <v>105.205766</v>
      </c>
      <c r="S1228" s="3" t="n">
        <v>104.85381</v>
      </c>
      <c r="T1228" s="3" t="n">
        <v>102.798308</v>
      </c>
      <c r="U1228" s="3" t="n">
        <v>100.820955</v>
      </c>
      <c r="V1228" s="3" t="n">
        <v>100.644802</v>
      </c>
      <c r="W1228" s="3" t="n">
        <v>100.151679</v>
      </c>
      <c r="X1228" s="3" t="n">
        <v>100.355644</v>
      </c>
      <c r="Y1228" s="3" t="n">
        <v>100.120012</v>
      </c>
      <c r="Z1228" s="3" t="n">
        <v>100.365297</v>
      </c>
      <c r="AA1228" s="3" t="n">
        <v>100</v>
      </c>
      <c r="AB1228" s="3" t="n">
        <v>101.392777</v>
      </c>
      <c r="AC1228" s="3" t="n">
        <v>107.76573</v>
      </c>
      <c r="AD1228" s="3" t="n">
        <v>114.522287</v>
      </c>
      <c r="AE1228" s="3" t="n">
        <v>118.197795</v>
      </c>
      <c r="AF1228" s="3" t="n">
        <v>121.479875</v>
      </c>
      <c r="AG1228" s="3" t="n">
        <v>125.315368</v>
      </c>
      <c r="AH1228" s="3" t="n">
        <v>128.643425</v>
      </c>
      <c r="AI1228" s="3" t="n">
        <v>131.745325</v>
      </c>
      <c r="AJ1228" s="3" t="n">
        <v>134.50587</v>
      </c>
      <c r="AK1228" s="3" t="n">
        <v>137.315703</v>
      </c>
      <c r="AL1228" s="3" t="n">
        <v>140.178962</v>
      </c>
      <c r="AM1228" s="3" t="n"/>
      <c r="AN1228" s="3" t="n"/>
      <c r="AO1228" s="3" t="n"/>
      <c r="AP1228" s="3" t="n"/>
      <c r="AQ1228" s="3" t="n"/>
      <c r="AR1228" s="3" t="n"/>
      <c r="AS1228" s="3" t="n"/>
      <c r="AT1228" s="3" t="n"/>
      <c r="AU1228" s="3" t="n"/>
    </row>
    <row r="1229">
      <c r="A1229" s="3" t="n">
        <v>2031</v>
      </c>
      <c r="B1229" s="3" t="inlineStr">
        <is>
          <t>GRC</t>
        </is>
      </c>
      <c r="C1229" s="3" t="inlineStr">
        <is>
          <t>IMF.RES:WEO</t>
        </is>
      </c>
      <c r="D1229" s="3" t="inlineStr">
        <is>
          <t>GRC.NGDP_R.A</t>
        </is>
      </c>
      <c r="E1229" s="3" t="inlineStr">
        <is>
          <t>Greece</t>
        </is>
      </c>
      <c r="F1229" s="3" t="inlineStr">
        <is>
          <t>Gross domestic product (GDP), Constant prices, Domestic currency</t>
        </is>
      </c>
      <c r="G1229" s="3" t="n">
        <v>174.2112</v>
      </c>
      <c r="H1229" s="3" t="n">
        <v>182.3128</v>
      </c>
      <c r="I1229" s="3" t="n">
        <v>190.8507</v>
      </c>
      <c r="J1229" s="3" t="n">
        <v>201.914</v>
      </c>
      <c r="K1229" s="3" t="n">
        <v>212.7727</v>
      </c>
      <c r="L1229" s="3" t="n">
        <v>215.2908</v>
      </c>
      <c r="M1229" s="3" t="n">
        <v>229.1629</v>
      </c>
      <c r="N1229" s="3" t="n">
        <v>237.1993</v>
      </c>
      <c r="O1229" s="3" t="n">
        <v>237.3357</v>
      </c>
      <c r="P1229" s="3" t="n">
        <v>227.5591</v>
      </c>
      <c r="Q1229" s="3" t="n">
        <v>214.6025</v>
      </c>
      <c r="R1229" s="3" t="n">
        <v>193.4067</v>
      </c>
      <c r="S1229" s="3" t="n">
        <v>177.2937</v>
      </c>
      <c r="T1229" s="3" t="n">
        <v>173.2654</v>
      </c>
      <c r="U1229" s="3" t="n">
        <v>174.6381</v>
      </c>
      <c r="V1229" s="3" t="n">
        <v>174.2394</v>
      </c>
      <c r="W1229" s="3" t="n">
        <v>174.184</v>
      </c>
      <c r="X1229" s="3" t="n">
        <v>176.7499</v>
      </c>
      <c r="Y1229" s="3" t="n">
        <v>180.3992</v>
      </c>
      <c r="Z1229" s="3" t="n">
        <v>184.5072</v>
      </c>
      <c r="AA1229" s="3" t="n">
        <v>167.5395</v>
      </c>
      <c r="AB1229" s="3" t="n">
        <v>182.0392</v>
      </c>
      <c r="AC1229" s="3" t="n">
        <v>192.0914</v>
      </c>
      <c r="AD1229" s="3" t="n">
        <v>196.1943</v>
      </c>
      <c r="AE1229" s="3" t="n">
        <v>200.288</v>
      </c>
      <c r="AF1229" s="3" t="n">
        <v>204.4402</v>
      </c>
      <c r="AG1229" s="3" t="n">
        <v>208.124509</v>
      </c>
      <c r="AH1229" s="3" t="n">
        <v>211.58031</v>
      </c>
      <c r="AI1229" s="3" t="n">
        <v>214.959444</v>
      </c>
      <c r="AJ1229" s="3" t="n">
        <v>218.403037</v>
      </c>
      <c r="AK1229" s="3" t="n">
        <v>221.898608</v>
      </c>
      <c r="AL1229" s="3" t="n">
        <v>225.447316</v>
      </c>
      <c r="AM1229" s="3" t="n"/>
      <c r="AN1229" s="3" t="n"/>
      <c r="AO1229" s="3" t="n"/>
      <c r="AP1229" s="3" t="n"/>
      <c r="AQ1229" s="3" t="n"/>
      <c r="AR1229" s="3" t="n"/>
      <c r="AS1229" s="3" t="n"/>
      <c r="AT1229" s="3" t="n"/>
      <c r="AU1229" s="3" t="n"/>
    </row>
    <row r="1230">
      <c r="A1230" s="3" t="n">
        <v>2031</v>
      </c>
      <c r="B1230" s="3" t="inlineStr">
        <is>
          <t>GRC</t>
        </is>
      </c>
      <c r="C1230" s="3" t="inlineStr">
        <is>
          <t>IMF.RES:WEO</t>
        </is>
      </c>
      <c r="D1230" s="3" t="inlineStr">
        <is>
          <t>GRC.NGDP_RPCH.A</t>
        </is>
      </c>
      <c r="E1230" s="3" t="inlineStr">
        <is>
          <t>Greece</t>
        </is>
      </c>
      <c r="F1230" s="3" t="inlineStr">
        <is>
          <t>Gross domestic product (GDP), Constant prices, Percent change</t>
        </is>
      </c>
      <c r="G1230" s="3" t="n">
        <v>4.137807</v>
      </c>
      <c r="H1230" s="3" t="n">
        <v>4.650447</v>
      </c>
      <c r="I1230" s="3" t="n">
        <v>4.683105</v>
      </c>
      <c r="J1230" s="3" t="n">
        <v>5.796835</v>
      </c>
      <c r="K1230" s="3" t="n">
        <v>5.377884</v>
      </c>
      <c r="L1230" s="3" t="n">
        <v>1.183469</v>
      </c>
      <c r="M1230" s="3" t="n">
        <v>6.443424</v>
      </c>
      <c r="N1230" s="3" t="n">
        <v>3.50685</v>
      </c>
      <c r="O1230" s="3" t="n">
        <v>0.057504</v>
      </c>
      <c r="P1230" s="3" t="n">
        <v>-4.119313</v>
      </c>
      <c r="Q1230" s="3" t="n">
        <v>-5.69373</v>
      </c>
      <c r="R1230" s="3" t="n">
        <v>-9.876772000000001</v>
      </c>
      <c r="S1230" s="3" t="n">
        <v>-8.331149</v>
      </c>
      <c r="T1230" s="3" t="n">
        <v>-2.272106</v>
      </c>
      <c r="U1230" s="3" t="n">
        <v>0.792253</v>
      </c>
      <c r="V1230" s="3" t="n">
        <v>-0.228301</v>
      </c>
      <c r="W1230" s="3" t="n">
        <v>-0.031795</v>
      </c>
      <c r="X1230" s="3" t="n">
        <v>1.473097</v>
      </c>
      <c r="Y1230" s="3" t="n">
        <v>2.064669</v>
      </c>
      <c r="Z1230" s="3" t="n">
        <v>2.277172</v>
      </c>
      <c r="AA1230" s="3" t="n">
        <v>-9.196225999999999</v>
      </c>
      <c r="AB1230" s="3" t="n">
        <v>8.654496</v>
      </c>
      <c r="AC1230" s="3" t="n">
        <v>5.521997</v>
      </c>
      <c r="AD1230" s="3" t="n">
        <v>2.13591</v>
      </c>
      <c r="AE1230" s="3" t="n">
        <v>2.086554</v>
      </c>
      <c r="AF1230" s="3" t="n">
        <v>2.073115</v>
      </c>
      <c r="AG1230" s="3" t="n">
        <v>1.802145</v>
      </c>
      <c r="AH1230" s="3" t="n">
        <v>1.660449</v>
      </c>
      <c r="AI1230" s="3" t="n">
        <v>1.597093</v>
      </c>
      <c r="AJ1230" s="3" t="n">
        <v>1.601973</v>
      </c>
      <c r="AK1230" s="3" t="n">
        <v>1.600514</v>
      </c>
      <c r="AL1230" s="3" t="n">
        <v>1.599247</v>
      </c>
      <c r="AM1230" s="3" t="n"/>
      <c r="AN1230" s="3" t="n"/>
      <c r="AO1230" s="3" t="n"/>
      <c r="AP1230" s="3" t="n"/>
      <c r="AQ1230" s="3" t="n"/>
      <c r="AR1230" s="3" t="n"/>
      <c r="AS1230" s="3" t="n"/>
      <c r="AT1230" s="3" t="n"/>
      <c r="AU1230" s="3" t="n"/>
    </row>
    <row r="1231">
      <c r="A1231" s="3" t="n">
        <v>2031</v>
      </c>
      <c r="B1231" s="3" t="inlineStr">
        <is>
          <t>GRC</t>
        </is>
      </c>
      <c r="C1231" s="3" t="inlineStr">
        <is>
          <t>IMF.RES:WEO</t>
        </is>
      </c>
      <c r="D1231" s="3" t="inlineStr">
        <is>
          <t>GRC.NGDPD.A</t>
        </is>
      </c>
      <c r="E1231" s="3" t="inlineStr">
        <is>
          <t>Greece</t>
        </is>
      </c>
      <c r="F1231" s="3" t="inlineStr">
        <is>
          <t>Gross domestic product (GDP), Current prices, US dollar</t>
        </is>
      </c>
      <c r="G1231" s="3" t="n">
        <v>127.438133</v>
      </c>
      <c r="H1231" s="3" t="n">
        <v>132.051354</v>
      </c>
      <c r="I1231" s="3" t="n">
        <v>150.147667</v>
      </c>
      <c r="J1231" s="3" t="n">
        <v>196.881189</v>
      </c>
      <c r="K1231" s="3" t="n">
        <v>234.872957</v>
      </c>
      <c r="L1231" s="3" t="n">
        <v>242.449629</v>
      </c>
      <c r="M1231" s="3" t="n">
        <v>269.087703</v>
      </c>
      <c r="N1231" s="3" t="n">
        <v>314.264081</v>
      </c>
      <c r="O1231" s="3" t="n">
        <v>351.082927</v>
      </c>
      <c r="P1231" s="3" t="n">
        <v>326.474165</v>
      </c>
      <c r="Q1231" s="3" t="n">
        <v>296.659748</v>
      </c>
      <c r="R1231" s="3" t="n">
        <v>283.178255</v>
      </c>
      <c r="S1231" s="3" t="n">
        <v>238.992432</v>
      </c>
      <c r="T1231" s="3" t="n">
        <v>236.559731</v>
      </c>
      <c r="U1231" s="3" t="n">
        <v>233.971808</v>
      </c>
      <c r="V1231" s="3" t="n">
        <v>194.587098</v>
      </c>
      <c r="W1231" s="3" t="n">
        <v>193.043972</v>
      </c>
      <c r="X1231" s="3" t="n">
        <v>200.310441</v>
      </c>
      <c r="Y1231" s="3" t="n">
        <v>213.395651</v>
      </c>
      <c r="Z1231" s="3" t="n">
        <v>207.328512</v>
      </c>
      <c r="AA1231" s="3" t="n">
        <v>191.209792</v>
      </c>
      <c r="AB1231" s="3" t="n">
        <v>218.448948</v>
      </c>
      <c r="AC1231" s="3" t="n">
        <v>218.161723</v>
      </c>
      <c r="AD1231" s="3" t="n">
        <v>243.016211</v>
      </c>
      <c r="AE1231" s="3" t="n">
        <v>256.161272</v>
      </c>
      <c r="AF1231" s="3" t="n">
        <v>280.476387</v>
      </c>
      <c r="AG1231" s="3" t="n">
        <v>307.554419</v>
      </c>
      <c r="AH1231" s="3" t="n">
        <v>320.225843</v>
      </c>
      <c r="AI1231" s="3" t="n">
        <v>332.284118</v>
      </c>
      <c r="AJ1231" s="3" t="n">
        <v>344.498624</v>
      </c>
      <c r="AK1231" s="3" t="n">
        <v>357.268238</v>
      </c>
      <c r="AL1231" s="3" t="n">
        <v>370.55061</v>
      </c>
      <c r="AM1231" s="3" t="n"/>
      <c r="AN1231" s="3" t="n"/>
      <c r="AO1231" s="3" t="n"/>
      <c r="AP1231" s="3" t="n"/>
      <c r="AQ1231" s="3" t="n"/>
      <c r="AR1231" s="3" t="n"/>
      <c r="AS1231" s="3" t="n"/>
      <c r="AT1231" s="3" t="n"/>
      <c r="AU1231" s="3" t="n"/>
    </row>
    <row r="1232">
      <c r="A1232" s="3" t="n">
        <v>2031</v>
      </c>
      <c r="B1232" s="3" t="inlineStr">
        <is>
          <t>GRC</t>
        </is>
      </c>
      <c r="C1232" s="3" t="inlineStr">
        <is>
          <t>IMF.RES:WEO</t>
        </is>
      </c>
      <c r="D1232" s="3" t="inlineStr">
        <is>
          <t>GRC.NGDPPC.A</t>
        </is>
      </c>
      <c r="E1232" s="3" t="inlineStr">
        <is>
          <t>Greece</t>
        </is>
      </c>
      <c r="F1232" s="3" t="inlineStr">
        <is>
          <t>Gross domestic product (GDP), Current prices, Per capita, Domestic currency</t>
        </is>
      </c>
      <c r="G1232" s="3" t="n">
        <v>12636.035008</v>
      </c>
      <c r="H1232" s="3" t="n">
        <v>13606.390704</v>
      </c>
      <c r="I1232" s="3" t="n">
        <v>14593.892476</v>
      </c>
      <c r="J1232" s="3" t="n">
        <v>15949.035203</v>
      </c>
      <c r="K1232" s="3" t="n">
        <v>17266.803341</v>
      </c>
      <c r="L1232" s="3" t="n">
        <v>17755.238146</v>
      </c>
      <c r="M1232" s="3" t="n">
        <v>19473.369417</v>
      </c>
      <c r="N1232" s="3" t="n">
        <v>20775.882004</v>
      </c>
      <c r="O1232" s="3" t="n">
        <v>21583.650644</v>
      </c>
      <c r="P1232" s="3" t="n">
        <v>21120.142915</v>
      </c>
      <c r="Q1232" s="3" t="n">
        <v>20108.345057</v>
      </c>
      <c r="R1232" s="3" t="n">
        <v>18292.531631</v>
      </c>
      <c r="S1232" s="3" t="n">
        <v>16768.211447</v>
      </c>
      <c r="T1232" s="3" t="n">
        <v>16186.853139</v>
      </c>
      <c r="U1232" s="3" t="n">
        <v>16113.746678</v>
      </c>
      <c r="V1232" s="3" t="n">
        <v>16150.544234</v>
      </c>
      <c r="W1232" s="3" t="n">
        <v>16176.954432</v>
      </c>
      <c r="X1232" s="3" t="n">
        <v>16472.44807</v>
      </c>
      <c r="Y1232" s="3" t="n">
        <v>16815.280279</v>
      </c>
      <c r="Z1232" s="3" t="n">
        <v>17266.957953</v>
      </c>
      <c r="AA1232" s="3" t="n">
        <v>15630.777068</v>
      </c>
      <c r="AB1232" s="3" t="n">
        <v>17284.479885</v>
      </c>
      <c r="AC1232" s="3" t="n">
        <v>19787.428858</v>
      </c>
      <c r="AD1232" s="3" t="n">
        <v>21575.435794</v>
      </c>
      <c r="AE1232" s="3" t="n">
        <v>22816.247555</v>
      </c>
      <c r="AF1232" s="3" t="n">
        <v>23943.856422</v>
      </c>
      <c r="AG1232" s="3" t="n">
        <v>25182.738399</v>
      </c>
      <c r="AH1232" s="3" t="n">
        <v>26320.259767</v>
      </c>
      <c r="AI1232" s="3" t="n">
        <v>27426.538702</v>
      </c>
      <c r="AJ1232" s="3" t="n">
        <v>28492.535586</v>
      </c>
      <c r="AK1232" s="3" t="n">
        <v>29597.69583</v>
      </c>
      <c r="AL1232" s="3" t="n">
        <v>30790.438176</v>
      </c>
      <c r="AM1232" s="3" t="n"/>
      <c r="AN1232" s="3" t="n"/>
      <c r="AO1232" s="3" t="n"/>
      <c r="AP1232" s="3" t="n"/>
      <c r="AQ1232" s="3" t="n"/>
      <c r="AR1232" s="3" t="n"/>
      <c r="AS1232" s="3" t="n"/>
      <c r="AT1232" s="3" t="n"/>
      <c r="AU1232" s="3" t="n"/>
    </row>
    <row r="1233">
      <c r="A1233" s="3" t="n">
        <v>2031</v>
      </c>
      <c r="B1233" s="3" t="inlineStr">
        <is>
          <t>GRC</t>
        </is>
      </c>
      <c r="C1233" s="3" t="inlineStr">
        <is>
          <t>IMF.RES:WEO</t>
        </is>
      </c>
      <c r="D1233" s="3" t="inlineStr">
        <is>
          <t>GRC.NGDPRPC.A</t>
        </is>
      </c>
      <c r="E1233" s="3" t="inlineStr">
        <is>
          <t>Greece</t>
        </is>
      </c>
      <c r="F1233" s="3" t="inlineStr">
        <is>
          <t>Gross domestic product (GDP), Constant prices, Per capita, Domestic currency</t>
        </is>
      </c>
      <c r="G1233" s="3" t="n">
        <v>16167.152037</v>
      </c>
      <c r="H1233" s="3" t="n">
        <v>16824.749453</v>
      </c>
      <c r="I1233" s="3" t="n">
        <v>17528.094903</v>
      </c>
      <c r="J1233" s="3" t="n">
        <v>18497.458265</v>
      </c>
      <c r="K1233" s="3" t="n">
        <v>19448.402517</v>
      </c>
      <c r="L1233" s="3" t="n">
        <v>19625.572201</v>
      </c>
      <c r="M1233" s="3" t="n">
        <v>20824.063065</v>
      </c>
      <c r="N1233" s="3" t="n">
        <v>21493.215663</v>
      </c>
      <c r="O1233" s="3" t="n">
        <v>21457.106211</v>
      </c>
      <c r="P1233" s="3" t="n">
        <v>20510.529985</v>
      </c>
      <c r="Q1233" s="3" t="n">
        <v>19300.019992</v>
      </c>
      <c r="R1233" s="3" t="n">
        <v>17387.385071</v>
      </c>
      <c r="S1233" s="3" t="n">
        <v>15991.990551</v>
      </c>
      <c r="T1233" s="3" t="n">
        <v>15746.225218</v>
      </c>
      <c r="U1233" s="3" t="n">
        <v>15982.537259</v>
      </c>
      <c r="V1233" s="3" t="n">
        <v>16047.072311</v>
      </c>
      <c r="W1233" s="3" t="n">
        <v>16152.454601</v>
      </c>
      <c r="X1233" s="3" t="n">
        <v>16414.072445</v>
      </c>
      <c r="Y1233" s="3" t="n">
        <v>16795.124179</v>
      </c>
      <c r="Z1233" s="3" t="n">
        <v>17204.111781</v>
      </c>
      <c r="AA1233" s="3" t="n">
        <v>15630.777068</v>
      </c>
      <c r="AB1233" s="3" t="n">
        <v>17047.052469</v>
      </c>
      <c r="AC1233" s="3" t="n">
        <v>18361.522543</v>
      </c>
      <c r="AD1233" s="3" t="n">
        <v>18839.508269</v>
      </c>
      <c r="AE1233" s="3" t="n">
        <v>19303.445992</v>
      </c>
      <c r="AF1233" s="3" t="n">
        <v>19710.142412</v>
      </c>
      <c r="AG1233" s="3" t="n">
        <v>20095.490972</v>
      </c>
      <c r="AH1233" s="3" t="n">
        <v>20459.856185</v>
      </c>
      <c r="AI1233" s="3" t="n">
        <v>20817.845838</v>
      </c>
      <c r="AJ1233" s="3" t="n">
        <v>21183.116841</v>
      </c>
      <c r="AK1233" s="3" t="n">
        <v>21554.48731</v>
      </c>
      <c r="AL1233" s="3" t="n">
        <v>21965.092149</v>
      </c>
      <c r="AM1233" s="3" t="n"/>
      <c r="AN1233" s="3" t="n"/>
      <c r="AO1233" s="3" t="n"/>
      <c r="AP1233" s="3" t="n"/>
      <c r="AQ1233" s="3" t="n"/>
      <c r="AR1233" s="3" t="n"/>
      <c r="AS1233" s="3" t="n"/>
      <c r="AT1233" s="3" t="n"/>
      <c r="AU1233" s="3" t="n"/>
    </row>
    <row r="1234">
      <c r="A1234" s="3" t="n">
        <v>2031</v>
      </c>
      <c r="B1234" s="3" t="inlineStr">
        <is>
          <t>GRC</t>
        </is>
      </c>
      <c r="C1234" s="3" t="inlineStr">
        <is>
          <t>IMF.RES:WEO</t>
        </is>
      </c>
      <c r="D1234" s="3" t="inlineStr">
        <is>
          <t>GRC.PCPI.A</t>
        </is>
      </c>
      <c r="E1234" s="3" t="inlineStr">
        <is>
          <t>Greece</t>
        </is>
      </c>
      <c r="F1234" s="3" t="inlineStr">
        <is>
          <t>All Items, Consumer price index (CPI), Period average</t>
        </is>
      </c>
      <c r="G1234" s="3" t="n">
        <v>57.847369</v>
      </c>
      <c r="H1234" s="3" t="n">
        <v>59.954834</v>
      </c>
      <c r="I1234" s="3" t="n">
        <v>62.301462</v>
      </c>
      <c r="J1234" s="3" t="n">
        <v>64.452259</v>
      </c>
      <c r="K1234" s="3" t="n">
        <v>66.39806</v>
      </c>
      <c r="L1234" s="3" t="n">
        <v>68.714688</v>
      </c>
      <c r="M1234" s="3" t="n">
        <v>70.990483</v>
      </c>
      <c r="N1234" s="3" t="n">
        <v>73.112115</v>
      </c>
      <c r="O1234" s="3" t="n">
        <v>76.207897</v>
      </c>
      <c r="P1234" s="3" t="n">
        <v>77.23454599999999</v>
      </c>
      <c r="Q1234" s="3" t="n">
        <v>80.866152</v>
      </c>
      <c r="R1234" s="3" t="n">
        <v>83.387777</v>
      </c>
      <c r="S1234" s="3" t="n">
        <v>84.25026200000001</v>
      </c>
      <c r="T1234" s="3" t="n">
        <v>83.52860800000001</v>
      </c>
      <c r="U1234" s="3" t="n">
        <v>82.36612700000001</v>
      </c>
      <c r="V1234" s="3" t="n">
        <v>81.46280899999999</v>
      </c>
      <c r="W1234" s="3" t="n">
        <v>81.476975</v>
      </c>
      <c r="X1234" s="3" t="n">
        <v>82.401127</v>
      </c>
      <c r="Y1234" s="3" t="n">
        <v>83.042783</v>
      </c>
      <c r="Z1234" s="3" t="n">
        <v>83.472775</v>
      </c>
      <c r="AA1234" s="3" t="n">
        <v>82.41696</v>
      </c>
      <c r="AB1234" s="3" t="n">
        <v>82.891952</v>
      </c>
      <c r="AC1234" s="3" t="n">
        <v>90.59849</v>
      </c>
      <c r="AD1234" s="3" t="n">
        <v>94.363427</v>
      </c>
      <c r="AE1234" s="3" t="n">
        <v>97.19171299999999</v>
      </c>
      <c r="AF1234" s="3" t="n">
        <v>100</v>
      </c>
      <c r="AG1234" s="3" t="n">
        <v>103.466977</v>
      </c>
      <c r="AH1234" s="3" t="n">
        <v>106.283888</v>
      </c>
      <c r="AI1234" s="3" t="n">
        <v>108.903974</v>
      </c>
      <c r="AJ1234" s="3" t="n">
        <v>111.190957</v>
      </c>
      <c r="AK1234" s="3" t="n">
        <v>113.525967</v>
      </c>
      <c r="AL1234" s="3" t="n">
        <v>115.910013</v>
      </c>
      <c r="AM1234" s="3" t="n"/>
      <c r="AN1234" s="3" t="n"/>
      <c r="AO1234" s="3" t="n"/>
      <c r="AP1234" s="3" t="n"/>
      <c r="AQ1234" s="3" t="n"/>
      <c r="AR1234" s="3" t="n"/>
      <c r="AS1234" s="3" t="n"/>
      <c r="AT1234" s="3" t="n"/>
      <c r="AU1234" s="3" t="n"/>
    </row>
    <row r="1235">
      <c r="A1235" s="3" t="n">
        <v>2031</v>
      </c>
      <c r="B1235" s="3" t="inlineStr">
        <is>
          <t>GRC</t>
        </is>
      </c>
      <c r="C1235" s="3" t="inlineStr">
        <is>
          <t>IMF.RES:WEO</t>
        </is>
      </c>
      <c r="D1235" s="3" t="inlineStr">
        <is>
          <t>GRC.PCPIPCH.A</t>
        </is>
      </c>
      <c r="E1235" s="3" t="inlineStr">
        <is>
          <t>Greece</t>
        </is>
      </c>
      <c r="F1235" s="3" t="inlineStr">
        <is>
          <t>All Items, Consumer price index (CPI), Period average, percent change</t>
        </is>
      </c>
      <c r="G1235" s="3" t="n">
        <v>2.897885</v>
      </c>
      <c r="H1235" s="3" t="n">
        <v>3.643147</v>
      </c>
      <c r="I1235" s="3" t="n">
        <v>3.913992</v>
      </c>
      <c r="J1235" s="3" t="n">
        <v>3.452242</v>
      </c>
      <c r="K1235" s="3" t="n">
        <v>3.01898</v>
      </c>
      <c r="L1235" s="3" t="n">
        <v>3.489</v>
      </c>
      <c r="M1235" s="3" t="n">
        <v>3.311949</v>
      </c>
      <c r="N1235" s="3" t="n">
        <v>2.988614</v>
      </c>
      <c r="O1235" s="3" t="n">
        <v>4.234294</v>
      </c>
      <c r="P1235" s="3" t="n">
        <v>1.34717</v>
      </c>
      <c r="Q1235" s="3" t="n">
        <v>4.702049</v>
      </c>
      <c r="R1235" s="3" t="n">
        <v>3.11827</v>
      </c>
      <c r="S1235" s="3" t="n">
        <v>1.034307</v>
      </c>
      <c r="T1235" s="3" t="n">
        <v>-0.856561</v>
      </c>
      <c r="U1235" s="3" t="n">
        <v>-1.391716</v>
      </c>
      <c r="V1235" s="3" t="n">
        <v>-1.096711</v>
      </c>
      <c r="W1235" s="3" t="n">
        <v>0.01739</v>
      </c>
      <c r="X1235" s="3" t="n">
        <v>1.134248</v>
      </c>
      <c r="Y1235" s="3" t="n">
        <v>0.778698</v>
      </c>
      <c r="Z1235" s="3" t="n">
        <v>0.517797</v>
      </c>
      <c r="AA1235" s="3" t="n">
        <v>-1.264862</v>
      </c>
      <c r="AB1235" s="3" t="n">
        <v>0.576328</v>
      </c>
      <c r="AC1235" s="3" t="n">
        <v>9.297089</v>
      </c>
      <c r="AD1235" s="3" t="n">
        <v>4.155629</v>
      </c>
      <c r="AE1235" s="3" t="n">
        <v>2.997227</v>
      </c>
      <c r="AF1235" s="3" t="n">
        <v>2.88943</v>
      </c>
      <c r="AG1235" s="3" t="n">
        <v>3.466977</v>
      </c>
      <c r="AH1235" s="3" t="n">
        <v>2.722522</v>
      </c>
      <c r="AI1235" s="3" t="n">
        <v>2.465177</v>
      </c>
      <c r="AJ1235" s="3" t="n">
        <v>2.1</v>
      </c>
      <c r="AK1235" s="3" t="n">
        <v>2.1</v>
      </c>
      <c r="AL1235" s="3" t="n">
        <v>2.1</v>
      </c>
      <c r="AM1235" s="3" t="n"/>
      <c r="AN1235" s="3" t="n"/>
      <c r="AO1235" s="3" t="n"/>
      <c r="AP1235" s="3" t="n"/>
      <c r="AQ1235" s="3" t="n"/>
      <c r="AR1235" s="3" t="n"/>
      <c r="AS1235" s="3" t="n"/>
      <c r="AT1235" s="3" t="n"/>
      <c r="AU1235" s="3" t="n"/>
    </row>
    <row r="1236">
      <c r="A1236" s="3" t="n">
        <v>2031</v>
      </c>
      <c r="B1236" s="3" t="inlineStr">
        <is>
          <t>GRC</t>
        </is>
      </c>
      <c r="C1236" s="3" t="inlineStr">
        <is>
          <t>IMF.RES:WEO</t>
        </is>
      </c>
      <c r="D1236" s="3" t="inlineStr">
        <is>
          <t>GRC.PPPPC.A</t>
        </is>
      </c>
      <c r="E1236" s="3" t="inlineStr">
        <is>
          <t>Greece</t>
        </is>
      </c>
      <c r="F1236" s="3" t="inlineStr">
        <is>
          <t>Gross domestic product (GDP), Per capita, purchasing power parity (PPP) international dollar, ICP benchmarks 2017-2021</t>
        </is>
      </c>
      <c r="G1236" s="3" t="n">
        <v>20518.416197</v>
      </c>
      <c r="H1236" s="3" t="n">
        <v>21833.789399</v>
      </c>
      <c r="I1236" s="3" t="n">
        <v>23100.023106</v>
      </c>
      <c r="J1236" s="3" t="n">
        <v>24858.798163</v>
      </c>
      <c r="K1236" s="3" t="n">
        <v>26839.562271</v>
      </c>
      <c r="L1236" s="3" t="n">
        <v>27933.371137</v>
      </c>
      <c r="M1236" s="3" t="n">
        <v>30553.239194</v>
      </c>
      <c r="N1236" s="3" t="n">
        <v>32389.394481</v>
      </c>
      <c r="O1236" s="3" t="n">
        <v>32957.883696</v>
      </c>
      <c r="P1236" s="3" t="n">
        <v>31698.250913</v>
      </c>
      <c r="Q1236" s="3" t="n">
        <v>30189.968638</v>
      </c>
      <c r="R1236" s="3" t="n">
        <v>27759.30329</v>
      </c>
      <c r="S1236" s="3" t="n">
        <v>26006.908141</v>
      </c>
      <c r="T1236" s="3" t="n">
        <v>26043.069659</v>
      </c>
      <c r="U1236" s="3" t="n">
        <v>26894.315333</v>
      </c>
      <c r="V1236" s="3" t="n">
        <v>27253.511865</v>
      </c>
      <c r="W1236" s="3" t="n">
        <v>27693.157623</v>
      </c>
      <c r="X1236" s="3" t="n">
        <v>28645.684499</v>
      </c>
      <c r="Y1236" s="3" t="n">
        <v>29769.073327</v>
      </c>
      <c r="Z1236" s="3" t="n">
        <v>31918.391765</v>
      </c>
      <c r="AA1236" s="3" t="n">
        <v>29478.096888</v>
      </c>
      <c r="AB1236" s="3" t="n">
        <v>33233.408732</v>
      </c>
      <c r="AC1236" s="3" t="n">
        <v>38341.940466</v>
      </c>
      <c r="AD1236" s="3" t="n">
        <v>40795.650032</v>
      </c>
      <c r="AE1236" s="3" t="n">
        <v>42837.985589</v>
      </c>
      <c r="AF1236" s="3" t="n">
        <v>44981.338094</v>
      </c>
      <c r="AG1236" s="3" t="n">
        <v>47174.600421</v>
      </c>
      <c r="AH1236" s="3" t="n">
        <v>49084.646423</v>
      </c>
      <c r="AI1236" s="3" t="n">
        <v>50763.25669</v>
      </c>
      <c r="AJ1236" s="3" t="n">
        <v>52572.414753</v>
      </c>
      <c r="AK1236" s="3" t="n">
        <v>54477.05287</v>
      </c>
      <c r="AL1236" s="3" t="n">
        <v>56517.030187</v>
      </c>
      <c r="AM1236" s="3" t="n"/>
      <c r="AN1236" s="3" t="n"/>
      <c r="AO1236" s="3" t="n"/>
      <c r="AP1236" s="3" t="n"/>
      <c r="AQ1236" s="3" t="n"/>
      <c r="AR1236" s="3" t="n"/>
      <c r="AS1236" s="3" t="n"/>
      <c r="AT1236" s="3" t="n"/>
      <c r="AU1236" s="3" t="n"/>
    </row>
    <row r="1237">
      <c r="A1237" s="3" t="n">
        <v>2000</v>
      </c>
      <c r="B1237" s="3" t="inlineStr">
        <is>
          <t>GRC</t>
        </is>
      </c>
      <c r="C1237" s="3" t="inlineStr">
        <is>
          <t>IMF.STA:ER</t>
        </is>
      </c>
      <c r="D1237" s="3" t="inlineStr">
        <is>
          <t>GRC.XDC_USD.PA_RT.A</t>
        </is>
      </c>
      <c r="E1237" s="3" t="inlineStr">
        <is>
          <t>Greece</t>
        </is>
      </c>
      <c r="F1237" s="3" t="inlineStr">
        <is>
          <t>Domestic currency per US Dollar</t>
        </is>
      </c>
      <c r="G1237" s="3" t="n">
        <v>365.398560833333</v>
      </c>
      <c r="H1237" s="3" t="n"/>
      <c r="I1237" s="3" t="n"/>
      <c r="J1237" s="3" t="n"/>
      <c r="K1237" s="3" t="n"/>
      <c r="L1237" s="3" t="n"/>
      <c r="M1237" s="3" t="n"/>
      <c r="N1237" s="3" t="n"/>
      <c r="O1237" s="3" t="n"/>
      <c r="P1237" s="3" t="n"/>
      <c r="Q1237" s="3" t="n"/>
      <c r="R1237" s="3" t="n"/>
      <c r="S1237" s="3" t="n"/>
      <c r="T1237" s="3" t="n"/>
      <c r="U1237" s="3" t="n"/>
      <c r="V1237" s="3" t="n"/>
      <c r="W1237" s="3" t="n"/>
      <c r="X1237" s="3" t="n"/>
      <c r="Y1237" s="3" t="n"/>
      <c r="Z1237" s="3" t="n"/>
      <c r="AA1237" s="3" t="n"/>
      <c r="AB1237" s="3" t="n"/>
      <c r="AC1237" s="3" t="n"/>
      <c r="AD1237" s="3" t="n"/>
      <c r="AE1237" s="3" t="n"/>
      <c r="AF1237" s="3" t="n"/>
      <c r="AG1237" s="3" t="n"/>
      <c r="AH1237" s="3" t="n"/>
      <c r="AI1237" s="3" t="n"/>
      <c r="AJ1237" s="3" t="n"/>
      <c r="AK1237" s="3" t="n"/>
      <c r="AL1237" s="3" t="n"/>
      <c r="AM1237" s="3" t="n"/>
      <c r="AN1237" s="3" t="n"/>
      <c r="AO1237" s="3" t="n"/>
      <c r="AP1237" s="3" t="n"/>
      <c r="AQ1237" s="3" t="n"/>
      <c r="AR1237" s="3" t="n"/>
      <c r="AS1237" s="3" t="n"/>
      <c r="AT1237" s="3" t="n"/>
      <c r="AU1237" s="3" t="n"/>
    </row>
    <row r="1238">
      <c r="A1238" s="3" t="n">
        <v>2031</v>
      </c>
      <c r="B1238" s="3" t="inlineStr">
        <is>
          <t>GRD</t>
        </is>
      </c>
      <c r="C1238" s="3" t="inlineStr">
        <is>
          <t>IMF.RES:WEO</t>
        </is>
      </c>
      <c r="D1238" s="3" t="inlineStr">
        <is>
          <t>GRD.BCA.A</t>
        </is>
      </c>
      <c r="E1238" s="3" t="inlineStr">
        <is>
          <t>Grenada</t>
        </is>
      </c>
      <c r="F1238" s="3" t="inlineStr">
        <is>
          <t>Current account balance (credit less debit), US dollar</t>
        </is>
      </c>
      <c r="G1238" s="3" t="n"/>
      <c r="H1238" s="3" t="n"/>
      <c r="I1238" s="3" t="n"/>
      <c r="J1238" s="3" t="n"/>
      <c r="K1238" s="3" t="n"/>
      <c r="L1238" s="3" t="n"/>
      <c r="M1238" s="3" t="n"/>
      <c r="N1238" s="3" t="n"/>
      <c r="O1238" s="3" t="n"/>
      <c r="P1238" s="3" t="n"/>
      <c r="Q1238" s="3" t="n"/>
      <c r="R1238" s="3" t="n"/>
      <c r="S1238" s="3" t="n"/>
      <c r="T1238" s="3" t="n"/>
      <c r="U1238" s="3" t="n">
        <v>-0.08278099999999999</v>
      </c>
      <c r="V1238" s="3" t="n">
        <v>-0.105848</v>
      </c>
      <c r="W1238" s="3" t="n">
        <v>-0.093944</v>
      </c>
      <c r="X1238" s="3" t="n">
        <v>-0.129044</v>
      </c>
      <c r="Y1238" s="3" t="n">
        <v>-0.148822</v>
      </c>
      <c r="Z1238" s="3" t="n">
        <v>-0.125337</v>
      </c>
      <c r="AA1238" s="3" t="n">
        <v>-0.168052</v>
      </c>
      <c r="AB1238" s="3" t="n">
        <v>-0.16137</v>
      </c>
      <c r="AC1238" s="3" t="n">
        <v>-0.148444</v>
      </c>
      <c r="AD1238" s="3" t="n">
        <v>-0.271222</v>
      </c>
      <c r="AE1238" s="3" t="n">
        <v>-0.295759</v>
      </c>
      <c r="AF1238" s="3" t="n">
        <v>-0.252153</v>
      </c>
      <c r="AG1238" s="3" t="n">
        <v>-0.271577</v>
      </c>
      <c r="AH1238" s="3" t="n">
        <v>-0.247114</v>
      </c>
      <c r="AI1238" s="3" t="n">
        <v>-0.24506</v>
      </c>
      <c r="AJ1238" s="3" t="n">
        <v>-0.244236</v>
      </c>
      <c r="AK1238" s="3" t="n">
        <v>-0.25369</v>
      </c>
      <c r="AL1238" s="3" t="n">
        <v>-0.264645</v>
      </c>
      <c r="AM1238" s="3" t="n"/>
      <c r="AN1238" s="3" t="n"/>
      <c r="AO1238" s="3" t="n"/>
      <c r="AP1238" s="3" t="n"/>
      <c r="AQ1238" s="3" t="n"/>
      <c r="AR1238" s="3" t="n"/>
      <c r="AS1238" s="3" t="n"/>
      <c r="AT1238" s="3" t="n"/>
      <c r="AU1238" s="3" t="n"/>
    </row>
    <row r="1239">
      <c r="A1239" s="3" t="n">
        <v>2031</v>
      </c>
      <c r="B1239" s="3" t="inlineStr">
        <is>
          <t>GRD</t>
        </is>
      </c>
      <c r="C1239" s="3" t="inlineStr">
        <is>
          <t>IMF.RES:WEO</t>
        </is>
      </c>
      <c r="D1239" s="3" t="inlineStr">
        <is>
          <t>GRD.BCA_NGDPD.A</t>
        </is>
      </c>
      <c r="E1239" s="3" t="inlineStr">
        <is>
          <t>Grenada</t>
        </is>
      </c>
      <c r="F1239" s="3" t="inlineStr">
        <is>
          <t>Current account balance (credit less debit), Percent of GDP</t>
        </is>
      </c>
      <c r="G1239" s="3" t="n"/>
      <c r="H1239" s="3" t="n"/>
      <c r="I1239" s="3" t="n"/>
      <c r="J1239" s="3" t="n"/>
      <c r="K1239" s="3" t="n"/>
      <c r="L1239" s="3" t="n"/>
      <c r="M1239" s="3" t="n"/>
      <c r="N1239" s="3" t="n"/>
      <c r="O1239" s="3" t="n"/>
      <c r="P1239" s="3" t="n"/>
      <c r="Q1239" s="3" t="n"/>
      <c r="R1239" s="3" t="n"/>
      <c r="S1239" s="3" t="n"/>
      <c r="T1239" s="3" t="n"/>
      <c r="U1239" s="3" t="n">
        <v>-9.081932</v>
      </c>
      <c r="V1239" s="3" t="n">
        <v>-10.616585</v>
      </c>
      <c r="W1239" s="3" t="n">
        <v>-8.848986</v>
      </c>
      <c r="X1239" s="3" t="n">
        <v>-11.463635</v>
      </c>
      <c r="Y1239" s="3" t="n">
        <v>-12.75785</v>
      </c>
      <c r="Z1239" s="3" t="n">
        <v>-10.328682</v>
      </c>
      <c r="AA1239" s="3" t="n">
        <v>-16.106004</v>
      </c>
      <c r="AB1239" s="3" t="n">
        <v>-14.379537</v>
      </c>
      <c r="AC1239" s="3" t="n">
        <v>-12.12774</v>
      </c>
      <c r="AD1239" s="3" t="n">
        <v>-20.294706</v>
      </c>
      <c r="AE1239" s="3" t="n">
        <v>-21.887495</v>
      </c>
      <c r="AF1239" s="3" t="n">
        <v>-17.762746</v>
      </c>
      <c r="AG1239" s="3" t="n">
        <v>-18.309956</v>
      </c>
      <c r="AH1239" s="3" t="n">
        <v>-15.897998</v>
      </c>
      <c r="AI1239" s="3" t="n">
        <v>-15.011556</v>
      </c>
      <c r="AJ1239" s="3" t="n">
        <v>-14.277178</v>
      </c>
      <c r="AK1239" s="3" t="n">
        <v>-14.151923</v>
      </c>
      <c r="AL1239" s="3" t="n">
        <v>-14.088172</v>
      </c>
      <c r="AM1239" s="3" t="n"/>
      <c r="AN1239" s="3" t="n"/>
      <c r="AO1239" s="3" t="n"/>
      <c r="AP1239" s="3" t="n"/>
      <c r="AQ1239" s="3" t="n"/>
      <c r="AR1239" s="3" t="n"/>
      <c r="AS1239" s="3" t="n"/>
      <c r="AT1239" s="3" t="n"/>
      <c r="AU1239" s="3" t="n"/>
    </row>
    <row r="1240">
      <c r="A1240" s="3" t="n">
        <v>2031</v>
      </c>
      <c r="B1240" s="3" t="inlineStr">
        <is>
          <t>GRD</t>
        </is>
      </c>
      <c r="C1240" s="3" t="inlineStr">
        <is>
          <t>IMF.RES:WEO</t>
        </is>
      </c>
      <c r="D1240" s="3" t="inlineStr">
        <is>
          <t>GRD.GGR_NGDP.A</t>
        </is>
      </c>
      <c r="E1240" s="3" t="inlineStr">
        <is>
          <t>Grenada</t>
        </is>
      </c>
      <c r="F1240" s="3" t="inlineStr">
        <is>
          <t>Revenue, General government, Percent of GDP</t>
        </is>
      </c>
      <c r="G1240" s="3" t="n">
        <v>23.537568</v>
      </c>
      <c r="H1240" s="3" t="n">
        <v>23.513079</v>
      </c>
      <c r="I1240" s="3" t="n">
        <v>21.849084</v>
      </c>
      <c r="J1240" s="3" t="n">
        <v>25.892799</v>
      </c>
      <c r="K1240" s="3" t="n">
        <v>24.14957</v>
      </c>
      <c r="L1240" s="3" t="n">
        <v>27.465787</v>
      </c>
      <c r="M1240" s="3" t="n">
        <v>27.135422</v>
      </c>
      <c r="N1240" s="3" t="n">
        <v>21.756234</v>
      </c>
      <c r="O1240" s="3" t="n">
        <v>24.180437</v>
      </c>
      <c r="P1240" s="3" t="n">
        <v>22.755017</v>
      </c>
      <c r="Q1240" s="3" t="n">
        <v>23.909425</v>
      </c>
      <c r="R1240" s="3" t="n">
        <v>23.465068</v>
      </c>
      <c r="S1240" s="3" t="n">
        <v>20.776238</v>
      </c>
      <c r="T1240" s="3" t="n">
        <v>20.865679</v>
      </c>
      <c r="U1240" s="3" t="n">
        <v>24.494045</v>
      </c>
      <c r="V1240" s="3" t="n">
        <v>24.461028</v>
      </c>
      <c r="W1240" s="3" t="n">
        <v>26.217608</v>
      </c>
      <c r="X1240" s="3" t="n">
        <v>25.602034</v>
      </c>
      <c r="Y1240" s="3" t="n">
        <v>26.991636</v>
      </c>
      <c r="Z1240" s="3" t="n">
        <v>26.599859</v>
      </c>
      <c r="AA1240" s="3" t="n">
        <v>28.137351</v>
      </c>
      <c r="AB1240" s="3" t="n">
        <v>31.58703</v>
      </c>
      <c r="AC1240" s="3" t="n">
        <v>32.931709</v>
      </c>
      <c r="AD1240" s="3" t="n">
        <v>36.606647</v>
      </c>
      <c r="AE1240" s="3" t="n">
        <v>45.183194</v>
      </c>
      <c r="AF1240" s="3" t="n">
        <v>34.124994</v>
      </c>
      <c r="AG1240" s="3" t="n">
        <v>31.723093</v>
      </c>
      <c r="AH1240" s="3" t="n">
        <v>31.126259</v>
      </c>
      <c r="AI1240" s="3" t="n">
        <v>30.939513</v>
      </c>
      <c r="AJ1240" s="3" t="n">
        <v>30.788426</v>
      </c>
      <c r="AK1240" s="3" t="n">
        <v>30.644245</v>
      </c>
      <c r="AL1240" s="3" t="n">
        <v>30.644245</v>
      </c>
      <c r="AM1240" s="3" t="n"/>
      <c r="AN1240" s="3" t="n"/>
      <c r="AO1240" s="3" t="n"/>
      <c r="AP1240" s="3" t="n"/>
      <c r="AQ1240" s="3" t="n"/>
      <c r="AR1240" s="3" t="n"/>
      <c r="AS1240" s="3" t="n"/>
      <c r="AT1240" s="3" t="n"/>
      <c r="AU1240" s="3" t="n"/>
    </row>
    <row r="1241">
      <c r="A1241" s="3" t="n">
        <v>2031</v>
      </c>
      <c r="B1241" s="3" t="inlineStr">
        <is>
          <t>GRD</t>
        </is>
      </c>
      <c r="C1241" s="3" t="inlineStr">
        <is>
          <t>IMF.RES:WEO</t>
        </is>
      </c>
      <c r="D1241" s="3" t="inlineStr">
        <is>
          <t>GRD.GGX_NGDP.A</t>
        </is>
      </c>
      <c r="E1241" s="3" t="inlineStr">
        <is>
          <t>Grenada</t>
        </is>
      </c>
      <c r="F1241" s="3" t="inlineStr">
        <is>
          <t>Expenditure, General government, Percent of GDP</t>
        </is>
      </c>
      <c r="G1241" s="3" t="n">
        <v>25.608947</v>
      </c>
      <c r="H1241" s="3" t="n">
        <v>29.565692</v>
      </c>
      <c r="I1241" s="3" t="n">
        <v>35.746181</v>
      </c>
      <c r="J1241" s="3" t="n">
        <v>28.706893</v>
      </c>
      <c r="K1241" s="3" t="n">
        <v>24.724369</v>
      </c>
      <c r="L1241" s="3" t="n">
        <v>26.564909</v>
      </c>
      <c r="M1241" s="3" t="n">
        <v>32.363779</v>
      </c>
      <c r="N1241" s="3" t="n">
        <v>27.663554</v>
      </c>
      <c r="O1241" s="3" t="n">
        <v>27.898379</v>
      </c>
      <c r="P1241" s="3" t="n">
        <v>27.156842</v>
      </c>
      <c r="Q1241" s="3" t="n">
        <v>27.980879</v>
      </c>
      <c r="R1241" s="3" t="n">
        <v>28.32243</v>
      </c>
      <c r="S1241" s="3" t="n">
        <v>26.217235</v>
      </c>
      <c r="T1241" s="3" t="n">
        <v>28.115408</v>
      </c>
      <c r="U1241" s="3" t="n">
        <v>28.691467</v>
      </c>
      <c r="V1241" s="3" t="n">
        <v>25.260717</v>
      </c>
      <c r="W1241" s="3" t="n">
        <v>23.526797</v>
      </c>
      <c r="X1241" s="3" t="n">
        <v>22.585874</v>
      </c>
      <c r="Y1241" s="3" t="n">
        <v>22.076485</v>
      </c>
      <c r="Z1241" s="3" t="n">
        <v>21.644223</v>
      </c>
      <c r="AA1241" s="3" t="n">
        <v>32.682771</v>
      </c>
      <c r="AB1241" s="3" t="n">
        <v>31.260917</v>
      </c>
      <c r="AC1241" s="3" t="n">
        <v>32.001877</v>
      </c>
      <c r="AD1241" s="3" t="n">
        <v>28.666366</v>
      </c>
      <c r="AE1241" s="3" t="n">
        <v>38.306227</v>
      </c>
      <c r="AF1241" s="3" t="n">
        <v>39.132101</v>
      </c>
      <c r="AG1241" s="3" t="n">
        <v>36.871521</v>
      </c>
      <c r="AH1241" s="3" t="n">
        <v>31.213767</v>
      </c>
      <c r="AI1241" s="3" t="n">
        <v>30.952348</v>
      </c>
      <c r="AJ1241" s="3" t="n">
        <v>30.753279</v>
      </c>
      <c r="AK1241" s="3" t="n">
        <v>30.311516</v>
      </c>
      <c r="AL1241" s="3" t="n">
        <v>30.287374</v>
      </c>
      <c r="AM1241" s="3" t="n"/>
      <c r="AN1241" s="3" t="n"/>
      <c r="AO1241" s="3" t="n"/>
      <c r="AP1241" s="3" t="n"/>
      <c r="AQ1241" s="3" t="n"/>
      <c r="AR1241" s="3" t="n"/>
      <c r="AS1241" s="3" t="n"/>
      <c r="AT1241" s="3" t="n"/>
      <c r="AU1241" s="3" t="n"/>
    </row>
    <row r="1242">
      <c r="A1242" s="3" t="n">
        <v>2031</v>
      </c>
      <c r="B1242" s="3" t="inlineStr">
        <is>
          <t>GRD</t>
        </is>
      </c>
      <c r="C1242" s="3" t="inlineStr">
        <is>
          <t>IMF.RES:WEO</t>
        </is>
      </c>
      <c r="D1242" s="3" t="inlineStr">
        <is>
          <t>GRD.LP.A</t>
        </is>
      </c>
      <c r="E1242" s="3" t="inlineStr">
        <is>
          <t>Grenada</t>
        </is>
      </c>
      <c r="F1242" s="3" t="inlineStr">
        <is>
          <t>Population, Persons for countries / Index for country groups</t>
        </is>
      </c>
      <c r="G1242" s="3" t="n">
        <v>0.102837</v>
      </c>
      <c r="H1242" s="3" t="n">
        <v>0.103143</v>
      </c>
      <c r="I1242" s="3" t="n">
        <v>0.104068</v>
      </c>
      <c r="J1242" s="3" t="n">
        <v>0.104769</v>
      </c>
      <c r="K1242" s="3" t="n">
        <v>0.104712</v>
      </c>
      <c r="L1242" s="3" t="n">
        <v>0.104441</v>
      </c>
      <c r="M1242" s="3" t="n">
        <v>0.104708</v>
      </c>
      <c r="N1242" s="3" t="n">
        <v>0.104981</v>
      </c>
      <c r="O1242" s="3" t="n">
        <v>0.105298</v>
      </c>
      <c r="P1242" s="3" t="n">
        <v>0.105175</v>
      </c>
      <c r="Q1242" s="3" t="n">
        <v>0.105038</v>
      </c>
      <c r="R1242" s="3" t="n">
        <v>0.106667</v>
      </c>
      <c r="S1242" s="3" t="n">
        <v>0.107599</v>
      </c>
      <c r="T1242" s="3" t="n">
        <v>0.10858</v>
      </c>
      <c r="U1242" s="3" t="n">
        <v>0.109374</v>
      </c>
      <c r="V1242" s="3" t="n">
        <v>0.110096</v>
      </c>
      <c r="W1242" s="3" t="n">
        <v>0.11091</v>
      </c>
      <c r="X1242" s="3" t="n">
        <v>0.111467</v>
      </c>
      <c r="Y1242" s="3" t="n">
        <v>0.111959</v>
      </c>
      <c r="Z1242" s="3" t="n">
        <v>0.112578</v>
      </c>
      <c r="AA1242" s="3" t="n">
        <v>0.113135</v>
      </c>
      <c r="AB1242" s="3" t="n">
        <v>0.113774</v>
      </c>
      <c r="AC1242" s="3" t="n">
        <v>0.114417</v>
      </c>
      <c r="AD1242" s="3" t="n">
        <v>0.115016</v>
      </c>
      <c r="AE1242" s="3" t="n">
        <v>0.115638</v>
      </c>
      <c r="AF1242" s="3" t="n">
        <v>0.11626</v>
      </c>
      <c r="AG1242" s="3" t="n">
        <v>0.116895</v>
      </c>
      <c r="AH1242" s="3" t="n">
        <v>0.117529</v>
      </c>
      <c r="AI1242" s="3" t="n">
        <v>0.118162</v>
      </c>
      <c r="AJ1242" s="3" t="n">
        <v>0.118801</v>
      </c>
      <c r="AK1242" s="3" t="n">
        <v>0.119444</v>
      </c>
      <c r="AL1242" s="3" t="n">
        <v>0.120091</v>
      </c>
      <c r="AM1242" s="3" t="n"/>
      <c r="AN1242" s="3" t="n"/>
      <c r="AO1242" s="3" t="n"/>
      <c r="AP1242" s="3" t="n"/>
      <c r="AQ1242" s="3" t="n"/>
      <c r="AR1242" s="3" t="n"/>
      <c r="AS1242" s="3" t="n"/>
      <c r="AT1242" s="3" t="n"/>
      <c r="AU1242" s="3" t="n"/>
    </row>
    <row r="1243">
      <c r="A1243" s="3" t="n">
        <v>2031</v>
      </c>
      <c r="B1243" s="3" t="inlineStr">
        <is>
          <t>GRD</t>
        </is>
      </c>
      <c r="C1243" s="3" t="inlineStr">
        <is>
          <t>IMF.RES:WEO</t>
        </is>
      </c>
      <c r="D1243" s="3" t="inlineStr">
        <is>
          <t>GRD.NGDP.A</t>
        </is>
      </c>
      <c r="E1243" s="3" t="inlineStr">
        <is>
          <t>Grenada</t>
        </is>
      </c>
      <c r="F1243" s="3" t="inlineStr">
        <is>
          <t>Gross domestic product (GDP), Current prices, Domestic currency</t>
        </is>
      </c>
      <c r="G1243" s="3" t="n">
        <v>1.40412</v>
      </c>
      <c r="H1243" s="3" t="n">
        <v>1.4052</v>
      </c>
      <c r="I1243" s="3" t="n">
        <v>1.45891</v>
      </c>
      <c r="J1243" s="3" t="n">
        <v>1.59575</v>
      </c>
      <c r="K1243" s="3" t="n">
        <v>1.61762</v>
      </c>
      <c r="L1243" s="3" t="n">
        <v>1.8775</v>
      </c>
      <c r="M1243" s="3" t="n">
        <v>1.88649</v>
      </c>
      <c r="N1243" s="3" t="n">
        <v>2.04845</v>
      </c>
      <c r="O1243" s="3" t="n">
        <v>2.23014</v>
      </c>
      <c r="P1243" s="3" t="n">
        <v>2.08244</v>
      </c>
      <c r="Q1243" s="3" t="n">
        <v>2.08174</v>
      </c>
      <c r="R1243" s="3" t="n">
        <v>2.10237</v>
      </c>
      <c r="S1243" s="3" t="n">
        <v>2.15968</v>
      </c>
      <c r="T1243" s="3" t="n">
        <v>2.27507</v>
      </c>
      <c r="U1243" s="3" t="n">
        <v>2.46104</v>
      </c>
      <c r="V1243" s="3" t="n">
        <v>2.69192</v>
      </c>
      <c r="W1243" s="3" t="n">
        <v>2.86643</v>
      </c>
      <c r="X1243" s="3" t="n">
        <v>3.03935</v>
      </c>
      <c r="Y1243" s="3" t="n">
        <v>3.14959</v>
      </c>
      <c r="Z1243" s="3" t="n">
        <v>3.27641</v>
      </c>
      <c r="AA1243" s="3" t="n">
        <v>2.81721</v>
      </c>
      <c r="AB1243" s="3" t="n">
        <v>3.03</v>
      </c>
      <c r="AC1243" s="3" t="n">
        <v>3.30482</v>
      </c>
      <c r="AD1243" s="3" t="n">
        <v>3.60833</v>
      </c>
      <c r="AE1243" s="3" t="n">
        <v>3.64843</v>
      </c>
      <c r="AF1243" s="3" t="n">
        <v>3.832816</v>
      </c>
      <c r="AG1243" s="3" t="n">
        <v>4.004696</v>
      </c>
      <c r="AH1243" s="3" t="n">
        <v>4.196812</v>
      </c>
      <c r="AI1243" s="3" t="n">
        <v>4.407688</v>
      </c>
      <c r="AJ1243" s="3" t="n">
        <v>4.618824</v>
      </c>
      <c r="AK1243" s="3" t="n">
        <v>4.840075</v>
      </c>
      <c r="AL1243" s="3" t="n">
        <v>5.071923</v>
      </c>
      <c r="AM1243" s="3" t="n"/>
      <c r="AN1243" s="3" t="n"/>
      <c r="AO1243" s="3" t="n"/>
      <c r="AP1243" s="3" t="n"/>
      <c r="AQ1243" s="3" t="n"/>
      <c r="AR1243" s="3" t="n"/>
      <c r="AS1243" s="3" t="n"/>
      <c r="AT1243" s="3" t="n"/>
      <c r="AU1243" s="3" t="n"/>
    </row>
    <row r="1244">
      <c r="A1244" s="3" t="n">
        <v>2031</v>
      </c>
      <c r="B1244" s="3" t="inlineStr">
        <is>
          <t>GRD</t>
        </is>
      </c>
      <c r="C1244" s="3" t="inlineStr">
        <is>
          <t>IMF.RES:WEO</t>
        </is>
      </c>
      <c r="D1244" s="3" t="inlineStr">
        <is>
          <t>GRD.NGDP_D.A</t>
        </is>
      </c>
      <c r="E1244" s="3" t="inlineStr">
        <is>
          <t>Grenada</t>
        </is>
      </c>
      <c r="F1244" s="3" t="inlineStr">
        <is>
          <t>Gross domestic product (GDP), Price deflator, Index</t>
        </is>
      </c>
      <c r="G1244" s="3" t="n">
        <v>89.212784</v>
      </c>
      <c r="H1244" s="3" t="n">
        <v>91.126041</v>
      </c>
      <c r="I1244" s="3" t="n">
        <v>91.464844</v>
      </c>
      <c r="J1244" s="3" t="n">
        <v>91.394616</v>
      </c>
      <c r="K1244" s="3" t="n">
        <v>93.25070599999999</v>
      </c>
      <c r="L1244" s="3" t="n">
        <v>95.549505</v>
      </c>
      <c r="M1244" s="3" t="n">
        <v>100</v>
      </c>
      <c r="N1244" s="3" t="n">
        <v>102.319669</v>
      </c>
      <c r="O1244" s="3" t="n">
        <v>110.349434</v>
      </c>
      <c r="P1244" s="3" t="n">
        <v>110.337885</v>
      </c>
      <c r="Q1244" s="3" t="n">
        <v>110.867666</v>
      </c>
      <c r="R1244" s="3" t="n">
        <v>111.116573</v>
      </c>
      <c r="S1244" s="3" t="n">
        <v>115.479176</v>
      </c>
      <c r="T1244" s="3" t="n">
        <v>118.854746</v>
      </c>
      <c r="U1244" s="3" t="n">
        <v>119.776123</v>
      </c>
      <c r="V1244" s="3" t="n">
        <v>123.080018</v>
      </c>
      <c r="W1244" s="3" t="n">
        <v>126.334556</v>
      </c>
      <c r="X1244" s="3" t="n">
        <v>128.26264</v>
      </c>
      <c r="Y1244" s="3" t="n">
        <v>127.360108</v>
      </c>
      <c r="Z1244" s="3" t="n">
        <v>131.598058</v>
      </c>
      <c r="AA1244" s="3" t="n">
        <v>131.203282</v>
      </c>
      <c r="AB1244" s="3" t="n">
        <v>134.794872</v>
      </c>
      <c r="AC1244" s="3" t="n">
        <v>136.991953</v>
      </c>
      <c r="AD1244" s="3" t="n">
        <v>143.095708</v>
      </c>
      <c r="AE1244" s="3" t="n">
        <v>141.295365</v>
      </c>
      <c r="AF1244" s="3" t="n">
        <v>142.166673</v>
      </c>
      <c r="AG1244" s="3" t="n">
        <v>144.059636</v>
      </c>
      <c r="AH1244" s="3" t="n">
        <v>146.465527</v>
      </c>
      <c r="AI1244" s="3" t="n">
        <v>149.394958</v>
      </c>
      <c r="AJ1244" s="3" t="n">
        <v>152.38298</v>
      </c>
      <c r="AK1244" s="3" t="n">
        <v>155.430764</v>
      </c>
      <c r="AL1244" s="3" t="n">
        <v>158.539507</v>
      </c>
      <c r="AM1244" s="3" t="n"/>
      <c r="AN1244" s="3" t="n"/>
      <c r="AO1244" s="3" t="n"/>
      <c r="AP1244" s="3" t="n"/>
      <c r="AQ1244" s="3" t="n"/>
      <c r="AR1244" s="3" t="n"/>
      <c r="AS1244" s="3" t="n"/>
      <c r="AT1244" s="3" t="n"/>
      <c r="AU1244" s="3" t="n"/>
    </row>
    <row r="1245">
      <c r="A1245" s="3" t="n">
        <v>2031</v>
      </c>
      <c r="B1245" s="3" t="inlineStr">
        <is>
          <t>GRD</t>
        </is>
      </c>
      <c r="C1245" s="3" t="inlineStr">
        <is>
          <t>IMF.RES:WEO</t>
        </is>
      </c>
      <c r="D1245" s="3" t="inlineStr">
        <is>
          <t>GRD.NGDP_R.A</t>
        </is>
      </c>
      <c r="E1245" s="3" t="inlineStr">
        <is>
          <t>Grenada</t>
        </is>
      </c>
      <c r="F1245" s="3" t="inlineStr">
        <is>
          <t>Gross domestic product (GDP), Constant prices, Domestic currency</t>
        </is>
      </c>
      <c r="G1245" s="3" t="n">
        <v>1.5739</v>
      </c>
      <c r="H1245" s="3" t="n">
        <v>1.54204</v>
      </c>
      <c r="I1245" s="3" t="n">
        <v>1.59505</v>
      </c>
      <c r="J1245" s="3" t="n">
        <v>1.746</v>
      </c>
      <c r="K1245" s="3" t="n">
        <v>1.7347</v>
      </c>
      <c r="L1245" s="3" t="n">
        <v>1.96495</v>
      </c>
      <c r="M1245" s="3" t="n">
        <v>1.88649</v>
      </c>
      <c r="N1245" s="3" t="n">
        <v>2.00201</v>
      </c>
      <c r="O1245" s="3" t="n">
        <v>2.02098</v>
      </c>
      <c r="P1245" s="3" t="n">
        <v>1.88733</v>
      </c>
      <c r="Q1245" s="3" t="n">
        <v>1.87768</v>
      </c>
      <c r="R1245" s="3" t="n">
        <v>1.89204</v>
      </c>
      <c r="S1245" s="3" t="n">
        <v>1.87019</v>
      </c>
      <c r="T1245" s="3" t="n">
        <v>1.91416</v>
      </c>
      <c r="U1245" s="3" t="n">
        <v>2.0547</v>
      </c>
      <c r="V1245" s="3" t="n">
        <v>2.18713</v>
      </c>
      <c r="W1245" s="3" t="n">
        <v>2.26892</v>
      </c>
      <c r="X1245" s="3" t="n">
        <v>2.36963</v>
      </c>
      <c r="Y1245" s="3" t="n">
        <v>2.47298</v>
      </c>
      <c r="Z1245" s="3" t="n">
        <v>2.48971</v>
      </c>
      <c r="AA1245" s="3" t="n">
        <v>2.14721</v>
      </c>
      <c r="AB1245" s="3" t="n">
        <v>2.24786</v>
      </c>
      <c r="AC1245" s="3" t="n">
        <v>2.412419</v>
      </c>
      <c r="AD1245" s="3" t="n">
        <v>2.52162</v>
      </c>
      <c r="AE1245" s="3" t="n">
        <v>2.58213</v>
      </c>
      <c r="AF1245" s="3" t="n">
        <v>2.696001</v>
      </c>
      <c r="AG1245" s="3" t="n">
        <v>2.779888</v>
      </c>
      <c r="AH1245" s="3" t="n">
        <v>2.865392</v>
      </c>
      <c r="AI1245" s="3" t="n">
        <v>2.950359</v>
      </c>
      <c r="AJ1245" s="3" t="n">
        <v>3.031063</v>
      </c>
      <c r="AK1245" s="3" t="n">
        <v>3.113975</v>
      </c>
      <c r="AL1245" s="3" t="n">
        <v>3.199154</v>
      </c>
      <c r="AM1245" s="3" t="n"/>
      <c r="AN1245" s="3" t="n"/>
      <c r="AO1245" s="3" t="n"/>
      <c r="AP1245" s="3" t="n"/>
      <c r="AQ1245" s="3" t="n"/>
      <c r="AR1245" s="3" t="n"/>
      <c r="AS1245" s="3" t="n"/>
      <c r="AT1245" s="3" t="n"/>
      <c r="AU1245" s="3" t="n"/>
    </row>
    <row r="1246">
      <c r="A1246" s="3" t="n">
        <v>2031</v>
      </c>
      <c r="B1246" s="3" t="inlineStr">
        <is>
          <t>GRD</t>
        </is>
      </c>
      <c r="C1246" s="3" t="inlineStr">
        <is>
          <t>IMF.RES:WEO</t>
        </is>
      </c>
      <c r="D1246" s="3" t="inlineStr">
        <is>
          <t>GRD.NGDP_RPCH.A</t>
        </is>
      </c>
      <c r="E1246" s="3" t="inlineStr">
        <is>
          <t>Grenada</t>
        </is>
      </c>
      <c r="F1246" s="3" t="inlineStr">
        <is>
          <t>Gross domestic product (GDP), Constant prices, Percent change</t>
        </is>
      </c>
      <c r="G1246" s="3" t="n">
        <v>5.062854</v>
      </c>
      <c r="H1246" s="3" t="n">
        <v>-2.024271</v>
      </c>
      <c r="I1246" s="3" t="n">
        <v>3.437654</v>
      </c>
      <c r="J1246" s="3" t="n">
        <v>9.463653000000001</v>
      </c>
      <c r="K1246" s="3" t="n">
        <v>-0.647194</v>
      </c>
      <c r="L1246" s="3" t="n">
        <v>13.273188</v>
      </c>
      <c r="M1246" s="3" t="n">
        <v>-3.992977</v>
      </c>
      <c r="N1246" s="3" t="n">
        <v>6.123542</v>
      </c>
      <c r="O1246" s="3" t="n">
        <v>0.9475479999999999</v>
      </c>
      <c r="P1246" s="3" t="n">
        <v>-6.613128</v>
      </c>
      <c r="Q1246" s="3" t="n">
        <v>-0.511304</v>
      </c>
      <c r="R1246" s="3" t="n">
        <v>0.764774</v>
      </c>
      <c r="S1246" s="3" t="n">
        <v>-1.154838</v>
      </c>
      <c r="T1246" s="3" t="n">
        <v>2.351098</v>
      </c>
      <c r="U1246" s="3" t="n">
        <v>7.342124</v>
      </c>
      <c r="V1246" s="3" t="n">
        <v>6.445223</v>
      </c>
      <c r="W1246" s="3" t="n">
        <v>3.739604</v>
      </c>
      <c r="X1246" s="3" t="n">
        <v>4.438676</v>
      </c>
      <c r="Y1246" s="3" t="n">
        <v>4.36144</v>
      </c>
      <c r="Z1246" s="3" t="n">
        <v>0.676512</v>
      </c>
      <c r="AA1246" s="3" t="n">
        <v>-13.756622</v>
      </c>
      <c r="AB1246" s="3" t="n">
        <v>4.687478</v>
      </c>
      <c r="AC1246" s="3" t="n">
        <v>7.320699</v>
      </c>
      <c r="AD1246" s="3" t="n">
        <v>4.526615</v>
      </c>
      <c r="AE1246" s="3" t="n">
        <v>2.399648</v>
      </c>
      <c r="AF1246" s="3" t="n">
        <v>4.409982</v>
      </c>
      <c r="AG1246" s="3" t="n">
        <v>3.111502</v>
      </c>
      <c r="AH1246" s="3" t="n">
        <v>3.075825</v>
      </c>
      <c r="AI1246" s="3" t="n">
        <v>2.965288</v>
      </c>
      <c r="AJ1246" s="3" t="n">
        <v>2.735395</v>
      </c>
      <c r="AK1246" s="3" t="n">
        <v>2.735395</v>
      </c>
      <c r="AL1246" s="3" t="n">
        <v>2.735395</v>
      </c>
      <c r="AM1246" s="3" t="n"/>
      <c r="AN1246" s="3" t="n"/>
      <c r="AO1246" s="3" t="n"/>
      <c r="AP1246" s="3" t="n"/>
      <c r="AQ1246" s="3" t="n"/>
      <c r="AR1246" s="3" t="n"/>
      <c r="AS1246" s="3" t="n"/>
      <c r="AT1246" s="3" t="n"/>
      <c r="AU1246" s="3" t="n"/>
    </row>
    <row r="1247">
      <c r="A1247" s="3" t="n">
        <v>2031</v>
      </c>
      <c r="B1247" s="3" t="inlineStr">
        <is>
          <t>GRD</t>
        </is>
      </c>
      <c r="C1247" s="3" t="inlineStr">
        <is>
          <t>IMF.RES:WEO</t>
        </is>
      </c>
      <c r="D1247" s="3" t="inlineStr">
        <is>
          <t>GRD.NGDPD.A</t>
        </is>
      </c>
      <c r="E1247" s="3" t="inlineStr">
        <is>
          <t>Grenada</t>
        </is>
      </c>
      <c r="F1247" s="3" t="inlineStr">
        <is>
          <t>Gross domestic product (GDP), Current prices, US dollar</t>
        </is>
      </c>
      <c r="G1247" s="3" t="n">
        <v>0.520044</v>
      </c>
      <c r="H1247" s="3" t="n">
        <v>0.520444</v>
      </c>
      <c r="I1247" s="3" t="n">
        <v>0.540337</v>
      </c>
      <c r="J1247" s="3" t="n">
        <v>0.591019</v>
      </c>
      <c r="K1247" s="3" t="n">
        <v>0.599119</v>
      </c>
      <c r="L1247" s="3" t="n">
        <v>0.69537</v>
      </c>
      <c r="M1247" s="3" t="n">
        <v>0.6987</v>
      </c>
      <c r="N1247" s="3" t="n">
        <v>0.7586850000000001</v>
      </c>
      <c r="O1247" s="3" t="n">
        <v>0.825978</v>
      </c>
      <c r="P1247" s="3" t="n">
        <v>0.771274</v>
      </c>
      <c r="Q1247" s="3" t="n">
        <v>0.771015</v>
      </c>
      <c r="R1247" s="3" t="n">
        <v>0.778656</v>
      </c>
      <c r="S1247" s="3" t="n">
        <v>0.799882</v>
      </c>
      <c r="T1247" s="3" t="n">
        <v>0.842619</v>
      </c>
      <c r="U1247" s="3" t="n">
        <v>0.911496</v>
      </c>
      <c r="V1247" s="3" t="n">
        <v>0.997007</v>
      </c>
      <c r="W1247" s="3" t="n">
        <v>1.061641</v>
      </c>
      <c r="X1247" s="3" t="n">
        <v>1.125685</v>
      </c>
      <c r="Y1247" s="3" t="n">
        <v>1.166515</v>
      </c>
      <c r="Z1247" s="3" t="n">
        <v>1.213485</v>
      </c>
      <c r="AA1247" s="3" t="n">
        <v>1.043411</v>
      </c>
      <c r="AB1247" s="3" t="n">
        <v>1.122222</v>
      </c>
      <c r="AC1247" s="3" t="n">
        <v>1.224007</v>
      </c>
      <c r="AD1247" s="3" t="n">
        <v>1.336419</v>
      </c>
      <c r="AE1247" s="3" t="n">
        <v>1.35127</v>
      </c>
      <c r="AF1247" s="3" t="n">
        <v>1.419561</v>
      </c>
      <c r="AG1247" s="3" t="n">
        <v>1.483221</v>
      </c>
      <c r="AH1247" s="3" t="n">
        <v>1.554375</v>
      </c>
      <c r="AI1247" s="3" t="n">
        <v>1.632477</v>
      </c>
      <c r="AJ1247" s="3" t="n">
        <v>1.710676</v>
      </c>
      <c r="AK1247" s="3" t="n">
        <v>1.79262</v>
      </c>
      <c r="AL1247" s="3" t="n">
        <v>1.87849</v>
      </c>
      <c r="AM1247" s="3" t="n"/>
      <c r="AN1247" s="3" t="n"/>
      <c r="AO1247" s="3" t="n"/>
      <c r="AP1247" s="3" t="n"/>
      <c r="AQ1247" s="3" t="n"/>
      <c r="AR1247" s="3" t="n"/>
      <c r="AS1247" s="3" t="n"/>
      <c r="AT1247" s="3" t="n"/>
      <c r="AU1247" s="3" t="n"/>
    </row>
    <row r="1248">
      <c r="A1248" s="3" t="n">
        <v>2031</v>
      </c>
      <c r="B1248" s="3" t="inlineStr">
        <is>
          <t>GRD</t>
        </is>
      </c>
      <c r="C1248" s="3" t="inlineStr">
        <is>
          <t>IMF.RES:WEO</t>
        </is>
      </c>
      <c r="D1248" s="3" t="inlineStr">
        <is>
          <t>GRD.NGDPPC.A</t>
        </is>
      </c>
      <c r="E1248" s="3" t="inlineStr">
        <is>
          <t>Grenada</t>
        </is>
      </c>
      <c r="F1248" s="3" t="inlineStr">
        <is>
          <t>Gross domestic product (GDP), Current prices, Per capita, Domestic currency</t>
        </is>
      </c>
      <c r="G1248" s="3" t="n">
        <v>13653.840544</v>
      </c>
      <c r="H1248" s="3" t="n">
        <v>13623.803845</v>
      </c>
      <c r="I1248" s="3" t="n">
        <v>14018.814621</v>
      </c>
      <c r="J1248" s="3" t="n">
        <v>15231.127528</v>
      </c>
      <c r="K1248" s="3" t="n">
        <v>15448.277179</v>
      </c>
      <c r="L1248" s="3" t="n">
        <v>17976.656677</v>
      </c>
      <c r="M1248" s="3" t="n">
        <v>18016.674944</v>
      </c>
      <c r="N1248" s="3" t="n">
        <v>19512.578467</v>
      </c>
      <c r="O1248" s="3" t="n">
        <v>21179.319645</v>
      </c>
      <c r="P1248" s="3" t="n">
        <v>19799.762301</v>
      </c>
      <c r="Q1248" s="3" t="n">
        <v>19818.922676</v>
      </c>
      <c r="R1248" s="3" t="n">
        <v>19709.657157</v>
      </c>
      <c r="S1248" s="3" t="n">
        <v>20071.562003</v>
      </c>
      <c r="T1248" s="3" t="n">
        <v>20952.937926</v>
      </c>
      <c r="U1248" s="3" t="n">
        <v>22501.142868</v>
      </c>
      <c r="V1248" s="3" t="n">
        <v>24450.661241</v>
      </c>
      <c r="W1248" s="3" t="n">
        <v>25844.648814</v>
      </c>
      <c r="X1248" s="3" t="n">
        <v>27266.814393</v>
      </c>
      <c r="Y1248" s="3" t="n">
        <v>28131.637474</v>
      </c>
      <c r="Z1248" s="3" t="n">
        <v>29103.466041</v>
      </c>
      <c r="AA1248" s="3" t="n">
        <v>24901.312591</v>
      </c>
      <c r="AB1248" s="3" t="n">
        <v>26631.743632</v>
      </c>
      <c r="AC1248" s="3" t="n">
        <v>28883.994511</v>
      </c>
      <c r="AD1248" s="3" t="n">
        <v>31372.331321</v>
      </c>
      <c r="AE1248" s="3" t="n">
        <v>31550.515307</v>
      </c>
      <c r="AF1248" s="3" t="n">
        <v>32967.73727</v>
      </c>
      <c r="AG1248" s="3" t="n">
        <v>34258.977963</v>
      </c>
      <c r="AH1248" s="3" t="n">
        <v>35708.688318</v>
      </c>
      <c r="AI1248" s="3" t="n">
        <v>37302.183505</v>
      </c>
      <c r="AJ1248" s="3" t="n">
        <v>38878.674287</v>
      </c>
      <c r="AK1248" s="3" t="n">
        <v>40521.729855</v>
      </c>
      <c r="AL1248" s="3" t="n">
        <v>42233.933592</v>
      </c>
      <c r="AM1248" s="3" t="n"/>
      <c r="AN1248" s="3" t="n"/>
      <c r="AO1248" s="3" t="n"/>
      <c r="AP1248" s="3" t="n"/>
      <c r="AQ1248" s="3" t="n"/>
      <c r="AR1248" s="3" t="n"/>
      <c r="AS1248" s="3" t="n"/>
      <c r="AT1248" s="3" t="n"/>
      <c r="AU1248" s="3" t="n"/>
    </row>
    <row r="1249">
      <c r="A1249" s="3" t="n">
        <v>2031</v>
      </c>
      <c r="B1249" s="3" t="inlineStr">
        <is>
          <t>GRD</t>
        </is>
      </c>
      <c r="C1249" s="3" t="inlineStr">
        <is>
          <t>IMF.RES:WEO</t>
        </is>
      </c>
      <c r="D1249" s="3" t="inlineStr">
        <is>
          <t>GRD.NGDPRPC.A</t>
        </is>
      </c>
      <c r="E1249" s="3" t="inlineStr">
        <is>
          <t>Grenada</t>
        </is>
      </c>
      <c r="F1249" s="3" t="inlineStr">
        <is>
          <t>Gross domestic product (GDP), Constant prices, Per capita, Domestic currency</t>
        </is>
      </c>
      <c r="G1249" s="3" t="n">
        <v>15304.802746</v>
      </c>
      <c r="H1249" s="3" t="n">
        <v>14950.505609</v>
      </c>
      <c r="I1249" s="3" t="n">
        <v>15326.997732</v>
      </c>
      <c r="J1249" s="3" t="n">
        <v>16665.234945</v>
      </c>
      <c r="K1249" s="3" t="n">
        <v>16566.391627</v>
      </c>
      <c r="L1249" s="3" t="n">
        <v>18813.971525</v>
      </c>
      <c r="M1249" s="3" t="n">
        <v>18016.674944</v>
      </c>
      <c r="N1249" s="3" t="n">
        <v>19070.212705</v>
      </c>
      <c r="O1249" s="3" t="n">
        <v>19192.957131</v>
      </c>
      <c r="P1249" s="3" t="n">
        <v>17944.663656</v>
      </c>
      <c r="Q1249" s="3" t="n">
        <v>17876.197186</v>
      </c>
      <c r="R1249" s="3" t="n">
        <v>17737.819569</v>
      </c>
      <c r="S1249" s="3" t="n">
        <v>17381.10949</v>
      </c>
      <c r="T1249" s="3" t="n">
        <v>17629.029287</v>
      </c>
      <c r="U1249" s="3" t="n">
        <v>18786.000329</v>
      </c>
      <c r="V1249" s="3" t="n">
        <v>19865.662694</v>
      </c>
      <c r="W1249" s="3" t="n">
        <v>20457.307727</v>
      </c>
      <c r="X1249" s="3" t="n">
        <v>21258.578772</v>
      </c>
      <c r="Y1249" s="3" t="n">
        <v>22088.264454</v>
      </c>
      <c r="Z1249" s="3" t="n">
        <v>22115.422196</v>
      </c>
      <c r="AA1249" s="3" t="n">
        <v>18979.184161</v>
      </c>
      <c r="AB1249" s="3" t="n">
        <v>19757.238033</v>
      </c>
      <c r="AC1249" s="3" t="n">
        <v>21084.446145</v>
      </c>
      <c r="AD1249" s="3" t="n">
        <v>21924.019728</v>
      </c>
      <c r="AE1249" s="3" t="n">
        <v>22329.476539</v>
      </c>
      <c r="AF1249" s="3" t="n">
        <v>23189.497701</v>
      </c>
      <c r="AG1249" s="3" t="n">
        <v>23781.108199</v>
      </c>
      <c r="AH1249" s="3" t="n">
        <v>24380.268261</v>
      </c>
      <c r="AI1249" s="3" t="n">
        <v>24968.837035</v>
      </c>
      <c r="AJ1249" s="3" t="n">
        <v>25513.790582</v>
      </c>
      <c r="AK1249" s="3" t="n">
        <v>26070.598066</v>
      </c>
      <c r="AL1249" s="3" t="n">
        <v>26639.374801</v>
      </c>
      <c r="AM1249" s="3" t="n"/>
      <c r="AN1249" s="3" t="n"/>
      <c r="AO1249" s="3" t="n"/>
      <c r="AP1249" s="3" t="n"/>
      <c r="AQ1249" s="3" t="n"/>
      <c r="AR1249" s="3" t="n"/>
      <c r="AS1249" s="3" t="n"/>
      <c r="AT1249" s="3" t="n"/>
      <c r="AU1249" s="3" t="n"/>
    </row>
    <row r="1250">
      <c r="A1250" s="3" t="n">
        <v>2031</v>
      </c>
      <c r="B1250" s="3" t="inlineStr">
        <is>
          <t>GRD</t>
        </is>
      </c>
      <c r="C1250" s="3" t="inlineStr">
        <is>
          <t>IMF.RES:WEO</t>
        </is>
      </c>
      <c r="D1250" s="3" t="inlineStr">
        <is>
          <t>GRD.PCPI.A</t>
        </is>
      </c>
      <c r="E1250" s="3" t="inlineStr">
        <is>
          <t>Grenada</t>
        </is>
      </c>
      <c r="F1250" s="3" t="inlineStr">
        <is>
          <t>All Items, Consumer price index (CPI), Period average</t>
        </is>
      </c>
      <c r="G1250" s="3" t="n">
        <v>77.262006</v>
      </c>
      <c r="H1250" s="3" t="n">
        <v>78.55333299999999</v>
      </c>
      <c r="I1250" s="3" t="n">
        <v>79.391667</v>
      </c>
      <c r="J1250" s="3" t="n">
        <v>81.10250000000001</v>
      </c>
      <c r="K1250" s="3" t="n">
        <v>82.97833300000001</v>
      </c>
      <c r="L1250" s="3" t="n">
        <v>85.8625</v>
      </c>
      <c r="M1250" s="3" t="n">
        <v>89.513333</v>
      </c>
      <c r="N1250" s="3" t="n">
        <v>92.9675</v>
      </c>
      <c r="O1250" s="3" t="n">
        <v>100.435833</v>
      </c>
      <c r="P1250" s="3" t="n">
        <v>100.125833</v>
      </c>
      <c r="Q1250" s="3" t="n">
        <v>103.566667</v>
      </c>
      <c r="R1250" s="3" t="n">
        <v>106.708333</v>
      </c>
      <c r="S1250" s="3" t="n">
        <v>109.280833</v>
      </c>
      <c r="T1250" s="3" t="n">
        <v>109.2325</v>
      </c>
      <c r="U1250" s="3" t="n">
        <v>108.158333</v>
      </c>
      <c r="V1250" s="3" t="n">
        <v>107.600833</v>
      </c>
      <c r="W1250" s="3" t="n">
        <v>109.37</v>
      </c>
      <c r="X1250" s="3" t="n">
        <v>110.3675</v>
      </c>
      <c r="Y1250" s="3" t="n">
        <v>111.2575</v>
      </c>
      <c r="Z1250" s="3" t="n">
        <v>111.923333</v>
      </c>
      <c r="AA1250" s="3" t="n">
        <v>111.093333</v>
      </c>
      <c r="AB1250" s="3" t="n">
        <v>112.45</v>
      </c>
      <c r="AC1250" s="3" t="n">
        <v>115.33</v>
      </c>
      <c r="AD1250" s="3" t="n">
        <v>118.460833</v>
      </c>
      <c r="AE1250" s="3" t="n">
        <v>119.7475</v>
      </c>
      <c r="AF1250" s="3" t="n">
        <v>120.485931</v>
      </c>
      <c r="AG1250" s="3" t="n">
        <v>122.090214</v>
      </c>
      <c r="AH1250" s="3" t="n">
        <v>124.043737</v>
      </c>
      <c r="AI1250" s="3" t="n">
        <v>126.524714</v>
      </c>
      <c r="AJ1250" s="3" t="n">
        <v>129.055312</v>
      </c>
      <c r="AK1250" s="3" t="n">
        <v>131.636525</v>
      </c>
      <c r="AL1250" s="3" t="n">
        <v>134.269363</v>
      </c>
      <c r="AM1250" s="3" t="n"/>
      <c r="AN1250" s="3" t="n"/>
      <c r="AO1250" s="3" t="n"/>
      <c r="AP1250" s="3" t="n"/>
      <c r="AQ1250" s="3" t="n"/>
      <c r="AR1250" s="3" t="n"/>
      <c r="AS1250" s="3" t="n"/>
      <c r="AT1250" s="3" t="n"/>
      <c r="AU1250" s="3" t="n"/>
    </row>
    <row r="1251">
      <c r="A1251" s="3" t="n">
        <v>2031</v>
      </c>
      <c r="B1251" s="3" t="inlineStr">
        <is>
          <t>GRD</t>
        </is>
      </c>
      <c r="C1251" s="3" t="inlineStr">
        <is>
          <t>IMF.RES:WEO</t>
        </is>
      </c>
      <c r="D1251" s="3" t="inlineStr">
        <is>
          <t>GRD.PCPIPCH.A</t>
        </is>
      </c>
      <c r="E1251" s="3" t="inlineStr">
        <is>
          <t>Grenada</t>
        </is>
      </c>
      <c r="F1251" s="3" t="inlineStr">
        <is>
          <t>All Items, Consumer price index (CPI), Period average, percent change</t>
        </is>
      </c>
      <c r="G1251" s="3" t="n">
        <v>2.14182</v>
      </c>
      <c r="H1251" s="3" t="n">
        <v>1.671361</v>
      </c>
      <c r="I1251" s="3" t="n">
        <v>1.067215</v>
      </c>
      <c r="J1251" s="3" t="n">
        <v>2.154928</v>
      </c>
      <c r="K1251" s="3" t="n">
        <v>2.312917</v>
      </c>
      <c r="L1251" s="3" t="n">
        <v>3.475807</v>
      </c>
      <c r="M1251" s="3" t="n">
        <v>4.251953</v>
      </c>
      <c r="N1251" s="3" t="n">
        <v>3.858829</v>
      </c>
      <c r="O1251" s="3" t="n">
        <v>8.033272999999999</v>
      </c>
      <c r="P1251" s="3" t="n">
        <v>-0.308655</v>
      </c>
      <c r="Q1251" s="3" t="n">
        <v>3.436509</v>
      </c>
      <c r="R1251" s="3" t="n">
        <v>3.033473</v>
      </c>
      <c r="S1251" s="3" t="n">
        <v>2.410777</v>
      </c>
      <c r="T1251" s="3" t="n">
        <v>-0.044229</v>
      </c>
      <c r="U1251" s="3" t="n">
        <v>-0.983376</v>
      </c>
      <c r="V1251" s="3" t="n">
        <v>-0.515448</v>
      </c>
      <c r="W1251" s="3" t="n">
        <v>1.644194</v>
      </c>
      <c r="X1251" s="3" t="n">
        <v>0.912042</v>
      </c>
      <c r="Y1251" s="3" t="n">
        <v>0.806397</v>
      </c>
      <c r="Z1251" s="3" t="n">
        <v>0.598462</v>
      </c>
      <c r="AA1251" s="3" t="n">
        <v>-0.741579</v>
      </c>
      <c r="AB1251" s="3" t="n">
        <v>1.221195</v>
      </c>
      <c r="AC1251" s="3" t="n">
        <v>2.561138</v>
      </c>
      <c r="AD1251" s="3" t="n">
        <v>2.714674</v>
      </c>
      <c r="AE1251" s="3" t="n">
        <v>1.086154</v>
      </c>
      <c r="AF1251" s="3" t="n">
        <v>0.616657</v>
      </c>
      <c r="AG1251" s="3" t="n">
        <v>1.33151</v>
      </c>
      <c r="AH1251" s="3" t="n">
        <v>1.600066</v>
      </c>
      <c r="AI1251" s="3" t="n">
        <v>2.000082</v>
      </c>
      <c r="AJ1251" s="3" t="n">
        <v>2.000082</v>
      </c>
      <c r="AK1251" s="3" t="n">
        <v>2.000082</v>
      </c>
      <c r="AL1251" s="3" t="n">
        <v>2.000082</v>
      </c>
      <c r="AM1251" s="3" t="n"/>
      <c r="AN1251" s="3" t="n"/>
      <c r="AO1251" s="3" t="n"/>
      <c r="AP1251" s="3" t="n"/>
      <c r="AQ1251" s="3" t="n"/>
      <c r="AR1251" s="3" t="n"/>
      <c r="AS1251" s="3" t="n"/>
      <c r="AT1251" s="3" t="n"/>
      <c r="AU1251" s="3" t="n"/>
    </row>
    <row r="1252">
      <c r="A1252" s="3" t="n">
        <v>2031</v>
      </c>
      <c r="B1252" s="3" t="inlineStr">
        <is>
          <t>GRD</t>
        </is>
      </c>
      <c r="C1252" s="3" t="inlineStr">
        <is>
          <t>IMF.RES:WEO</t>
        </is>
      </c>
      <c r="D1252" s="3" t="inlineStr">
        <is>
          <t>GRD.PPPPC.A</t>
        </is>
      </c>
      <c r="E1252" s="3" t="inlineStr">
        <is>
          <t>Grenada</t>
        </is>
      </c>
      <c r="F1252" s="3" t="inlineStr">
        <is>
          <t>Gross domestic product (GDP), Per capita, purchasing power parity (PPP) international dollar, ICP benchmarks 2017-2021</t>
        </is>
      </c>
      <c r="G1252" s="3" t="n">
        <v>8155.549416</v>
      </c>
      <c r="H1252" s="3" t="n">
        <v>8146.134307</v>
      </c>
      <c r="I1252" s="3" t="n">
        <v>8481.056687</v>
      </c>
      <c r="J1252" s="3" t="n">
        <v>9403.611693000001</v>
      </c>
      <c r="K1252" s="3" t="n">
        <v>9599.190103000001</v>
      </c>
      <c r="L1252" s="3" t="n">
        <v>11243.374607</v>
      </c>
      <c r="M1252" s="3" t="n">
        <v>11098.94265</v>
      </c>
      <c r="N1252" s="3" t="n">
        <v>12066.245138</v>
      </c>
      <c r="O1252" s="3" t="n">
        <v>12377.850522</v>
      </c>
      <c r="P1252" s="3" t="n">
        <v>11644.180084</v>
      </c>
      <c r="Q1252" s="3" t="n">
        <v>11740.733064</v>
      </c>
      <c r="R1252" s="3" t="n">
        <v>11890.214708</v>
      </c>
      <c r="S1252" s="3" t="n">
        <v>11868.036385</v>
      </c>
      <c r="T1252" s="3" t="n">
        <v>12242.194849</v>
      </c>
      <c r="U1252" s="3" t="n">
        <v>13272.852472</v>
      </c>
      <c r="V1252" s="3" t="n">
        <v>14165.923598</v>
      </c>
      <c r="W1252" s="3" t="n">
        <v>14726.434196</v>
      </c>
      <c r="X1252" s="3" t="n">
        <v>15577.302717</v>
      </c>
      <c r="Y1252" s="3" t="n">
        <v>16507.359256</v>
      </c>
      <c r="Z1252" s="3" t="n">
        <v>16943.245881</v>
      </c>
      <c r="AA1252" s="3" t="n">
        <v>14768.089833</v>
      </c>
      <c r="AB1252" s="3" t="n">
        <v>15681.867539</v>
      </c>
      <c r="AC1252" s="3" t="n">
        <v>17925.593906</v>
      </c>
      <c r="AD1252" s="3" t="n">
        <v>19329.046753</v>
      </c>
      <c r="AE1252" s="3" t="n">
        <v>20175.239348</v>
      </c>
      <c r="AF1252" s="3" t="n">
        <v>21546.657482</v>
      </c>
      <c r="AG1252" s="3" t="n">
        <v>22729.383469</v>
      </c>
      <c r="AH1252" s="3" t="n">
        <v>23813.735638</v>
      </c>
      <c r="AI1252" s="3" t="n">
        <v>24788.940261</v>
      </c>
      <c r="AJ1252" s="3" t="n">
        <v>25780.361816</v>
      </c>
      <c r="AK1252" s="3" t="n">
        <v>26827.046346</v>
      </c>
      <c r="AL1252" s="3" t="n">
        <v>27907.201573</v>
      </c>
      <c r="AM1252" s="3" t="n"/>
      <c r="AN1252" s="3" t="n"/>
      <c r="AO1252" s="3" t="n"/>
      <c r="AP1252" s="3" t="n"/>
      <c r="AQ1252" s="3" t="n"/>
      <c r="AR1252" s="3" t="n"/>
      <c r="AS1252" s="3" t="n"/>
      <c r="AT1252" s="3" t="n"/>
      <c r="AU1252" s="3" t="n"/>
    </row>
    <row r="1253">
      <c r="A1253" s="3" t="n">
        <v>2025</v>
      </c>
      <c r="B1253" s="3" t="inlineStr">
        <is>
          <t>GRD</t>
        </is>
      </c>
      <c r="C1253" s="3" t="inlineStr">
        <is>
          <t>IMF.STA:ER</t>
        </is>
      </c>
      <c r="D1253" s="3" t="inlineStr">
        <is>
          <t>GRD.XDC_USD.PA_RT.A</t>
        </is>
      </c>
      <c r="E1253" s="3" t="inlineStr">
        <is>
          <t>Grenada</t>
        </is>
      </c>
      <c r="F1253" s="3" t="inlineStr">
        <is>
          <t>Domestic currency per US Dollar</t>
        </is>
      </c>
      <c r="G1253" s="3" t="n">
        <v>2.7</v>
      </c>
      <c r="H1253" s="3" t="n">
        <v>2.7</v>
      </c>
      <c r="I1253" s="3" t="n">
        <v>2.7</v>
      </c>
      <c r="J1253" s="3" t="n">
        <v>2.7</v>
      </c>
      <c r="K1253" s="3" t="n">
        <v>2.7</v>
      </c>
      <c r="L1253" s="3" t="n">
        <v>2.7</v>
      </c>
      <c r="M1253" s="3" t="n">
        <v>2.7</v>
      </c>
      <c r="N1253" s="3" t="n">
        <v>2.7</v>
      </c>
      <c r="O1253" s="3" t="n">
        <v>2.7</v>
      </c>
      <c r="P1253" s="3" t="n">
        <v>2.7</v>
      </c>
      <c r="Q1253" s="3" t="n">
        <v>2.7</v>
      </c>
      <c r="R1253" s="3" t="n">
        <v>2.7</v>
      </c>
      <c r="S1253" s="3" t="n">
        <v>2.7</v>
      </c>
      <c r="T1253" s="3" t="n">
        <v>2.7</v>
      </c>
      <c r="U1253" s="3" t="n">
        <v>2.7</v>
      </c>
      <c r="V1253" s="3" t="n">
        <v>2.7</v>
      </c>
      <c r="W1253" s="3" t="n">
        <v>2.7</v>
      </c>
      <c r="X1253" s="3" t="n">
        <v>2.7</v>
      </c>
      <c r="Y1253" s="3" t="n">
        <v>2.7</v>
      </c>
      <c r="Z1253" s="3" t="n">
        <v>2.7</v>
      </c>
      <c r="AA1253" s="3" t="n">
        <v>2.7</v>
      </c>
      <c r="AB1253" s="3" t="n">
        <v>2.7</v>
      </c>
      <c r="AC1253" s="3" t="n">
        <v>2.7</v>
      </c>
      <c r="AD1253" s="3" t="n">
        <v>2.7</v>
      </c>
      <c r="AE1253" s="3" t="n">
        <v>2.7</v>
      </c>
      <c r="AF1253" s="3" t="n">
        <v>2.7</v>
      </c>
      <c r="AG1253" s="3" t="n"/>
      <c r="AH1253" s="3" t="n"/>
      <c r="AI1253" s="3" t="n"/>
      <c r="AJ1253" s="3" t="n"/>
      <c r="AK1253" s="3" t="n"/>
      <c r="AL1253" s="3" t="n"/>
      <c r="AM1253" s="3" t="n"/>
      <c r="AN1253" s="3" t="n"/>
      <c r="AO1253" s="3" t="n"/>
      <c r="AP1253" s="3" t="n"/>
      <c r="AQ1253" s="3" t="n"/>
      <c r="AR1253" s="3" t="n"/>
      <c r="AS1253" s="3" t="n"/>
      <c r="AT1253" s="3" t="n"/>
      <c r="AU1253" s="3" t="n"/>
    </row>
    <row r="1254">
      <c r="A1254" s="3" t="n">
        <v>2016</v>
      </c>
      <c r="B1254" s="3" t="inlineStr">
        <is>
          <t>GRL</t>
        </is>
      </c>
      <c r="C1254" s="3" t="inlineStr">
        <is>
          <t>IMF.STA:ER</t>
        </is>
      </c>
      <c r="D1254" s="3" t="inlineStr">
        <is>
          <t>GRL.XDC_USD.PA_RT.A</t>
        </is>
      </c>
      <c r="E1254" s="3" t="inlineStr">
        <is>
          <t>Greenland</t>
        </is>
      </c>
      <c r="F1254" s="3" t="inlineStr">
        <is>
          <t>Domestic currency per US Dollar</t>
        </is>
      </c>
      <c r="G1254" s="3" t="n">
        <v>8.083144166666671</v>
      </c>
      <c r="H1254" s="3" t="n">
        <v>8.322817499999999</v>
      </c>
      <c r="I1254" s="3" t="n">
        <v>7.89471416666667</v>
      </c>
      <c r="J1254" s="3" t="n">
        <v>6.58767333333333</v>
      </c>
      <c r="K1254" s="3" t="n">
        <v>5.99105666666667</v>
      </c>
      <c r="L1254" s="3" t="n">
        <v>5.99691</v>
      </c>
      <c r="M1254" s="3" t="n">
        <v>5.94677833333333</v>
      </c>
      <c r="N1254" s="3" t="n">
        <v>5.44370083333333</v>
      </c>
      <c r="O1254" s="3" t="n">
        <v>5.09813083333333</v>
      </c>
      <c r="P1254" s="3" t="n">
        <v>5.36086666666667</v>
      </c>
      <c r="Q1254" s="3" t="n">
        <v>5.624075</v>
      </c>
      <c r="R1254" s="3" t="n">
        <v>5.36871153508772</v>
      </c>
      <c r="S1254" s="3" t="n">
        <v>5.79247553703916</v>
      </c>
      <c r="T1254" s="3" t="n">
        <v>5.61631168617622</v>
      </c>
      <c r="U1254" s="3" t="n">
        <v>5.61246666666667</v>
      </c>
      <c r="V1254" s="3" t="n">
        <v>6.7279068312963</v>
      </c>
      <c r="W1254" s="3" t="n">
        <v>6.73171825724638</v>
      </c>
      <c r="X1254" s="3" t="n"/>
      <c r="Y1254" s="3" t="n"/>
      <c r="Z1254" s="3" t="n"/>
      <c r="AA1254" s="3" t="n"/>
      <c r="AB1254" s="3" t="n"/>
      <c r="AC1254" s="3" t="n"/>
      <c r="AD1254" s="3" t="n"/>
      <c r="AE1254" s="3" t="n"/>
      <c r="AF1254" s="3" t="n"/>
      <c r="AG1254" s="3" t="n"/>
      <c r="AH1254" s="3" t="n"/>
      <c r="AI1254" s="3" t="n"/>
      <c r="AJ1254" s="3" t="n"/>
      <c r="AK1254" s="3" t="n"/>
      <c r="AL1254" s="3" t="n"/>
      <c r="AM1254" s="3" t="n"/>
      <c r="AN1254" s="3" t="n"/>
      <c r="AO1254" s="3" t="n"/>
      <c r="AP1254" s="3" t="n"/>
      <c r="AQ1254" s="3" t="n"/>
      <c r="AR1254" s="3" t="n"/>
      <c r="AS1254" s="3" t="n"/>
      <c r="AT1254" s="3" t="n"/>
      <c r="AU1254" s="3" t="n"/>
    </row>
    <row r="1255">
      <c r="A1255" s="3" t="n">
        <v>2031</v>
      </c>
      <c r="B1255" s="3" t="inlineStr">
        <is>
          <t>GTM</t>
        </is>
      </c>
      <c r="C1255" s="3" t="inlineStr">
        <is>
          <t>IMF.RES:WEO</t>
        </is>
      </c>
      <c r="D1255" s="3" t="inlineStr">
        <is>
          <t>GTM.BCA.A</t>
        </is>
      </c>
      <c r="E1255" s="3" t="inlineStr">
        <is>
          <t>Guatemala</t>
        </is>
      </c>
      <c r="F1255" s="3" t="inlineStr">
        <is>
          <t>Current account balance (credit less debit), US dollar</t>
        </is>
      </c>
      <c r="G1255" s="3" t="n">
        <v>-1.0496</v>
      </c>
      <c r="H1255" s="3" t="n">
        <v>-1.2113</v>
      </c>
      <c r="I1255" s="3" t="n">
        <v>-1.2615</v>
      </c>
      <c r="J1255" s="3" t="n">
        <v>-1.0197</v>
      </c>
      <c r="K1255" s="3" t="n">
        <v>-1.1645</v>
      </c>
      <c r="L1255" s="3" t="n">
        <v>-1.2407</v>
      </c>
      <c r="M1255" s="3" t="n">
        <v>-1.5241</v>
      </c>
      <c r="N1255" s="3" t="n">
        <v>-1.7859</v>
      </c>
      <c r="O1255" s="3" t="n">
        <v>-1.55358</v>
      </c>
      <c r="P1255" s="3" t="n">
        <v>0.072173</v>
      </c>
      <c r="Q1255" s="3" t="n">
        <v>-0.766951</v>
      </c>
      <c r="R1255" s="3" t="n">
        <v>-1.579825</v>
      </c>
      <c r="S1255" s="3" t="n">
        <v>-1.847076</v>
      </c>
      <c r="T1255" s="3" t="n">
        <v>-2.238781</v>
      </c>
      <c r="U1255" s="3" t="n">
        <v>-1.909306</v>
      </c>
      <c r="V1255" s="3" t="n">
        <v>-0.773787</v>
      </c>
      <c r="W1255" s="3" t="n">
        <v>0.6372679999999999</v>
      </c>
      <c r="X1255" s="3" t="n">
        <v>0.85708</v>
      </c>
      <c r="Y1255" s="3" t="n">
        <v>0.649564</v>
      </c>
      <c r="Z1255" s="3" t="n">
        <v>1.821503</v>
      </c>
      <c r="AA1255" s="3" t="n">
        <v>3.92407</v>
      </c>
      <c r="AB1255" s="3" t="n">
        <v>1.87341</v>
      </c>
      <c r="AC1255" s="3" t="n">
        <v>1.11608</v>
      </c>
      <c r="AD1255" s="3" t="n">
        <v>3.212065</v>
      </c>
      <c r="AE1255" s="3" t="n">
        <v>3.268248</v>
      </c>
      <c r="AF1255" s="3" t="n">
        <v>5.865594</v>
      </c>
      <c r="AG1255" s="3" t="n">
        <v>4.123935</v>
      </c>
      <c r="AH1255" s="3" t="n">
        <v>3.12286</v>
      </c>
      <c r="AI1255" s="3" t="n">
        <v>1.973868</v>
      </c>
      <c r="AJ1255" s="3" t="n">
        <v>1.018017</v>
      </c>
      <c r="AK1255" s="3" t="n">
        <v>-0.044668</v>
      </c>
      <c r="AL1255" s="3" t="n">
        <v>-1.198789</v>
      </c>
      <c r="AM1255" s="3" t="n"/>
      <c r="AN1255" s="3" t="n"/>
      <c r="AO1255" s="3" t="n"/>
      <c r="AP1255" s="3" t="n"/>
      <c r="AQ1255" s="3" t="n"/>
      <c r="AR1255" s="3" t="n"/>
      <c r="AS1255" s="3" t="n"/>
      <c r="AT1255" s="3" t="n"/>
      <c r="AU1255" s="3" t="n"/>
    </row>
    <row r="1256">
      <c r="A1256" s="3" t="n">
        <v>2031</v>
      </c>
      <c r="B1256" s="3" t="inlineStr">
        <is>
          <t>GTM</t>
        </is>
      </c>
      <c r="C1256" s="3" t="inlineStr">
        <is>
          <t>IMF.RES:WEO</t>
        </is>
      </c>
      <c r="D1256" s="3" t="inlineStr">
        <is>
          <t>GTM.BCA_NGDPD.A</t>
        </is>
      </c>
      <c r="E1256" s="3" t="inlineStr">
        <is>
          <t>Guatemala</t>
        </is>
      </c>
      <c r="F1256" s="3" t="inlineStr">
        <is>
          <t>Current account balance (credit less debit), Percent of GDP</t>
        </is>
      </c>
      <c r="G1256" s="3" t="n">
        <v>-5.791371</v>
      </c>
      <c r="H1256" s="3" t="n">
        <v>-6.13776</v>
      </c>
      <c r="I1256" s="3" t="n">
        <v>-5.753884</v>
      </c>
      <c r="J1256" s="3" t="n">
        <v>-4.41581</v>
      </c>
      <c r="K1256" s="3" t="n">
        <v>-4.662286</v>
      </c>
      <c r="L1256" s="3" t="n">
        <v>-4.402881</v>
      </c>
      <c r="M1256" s="3" t="n">
        <v>-4.868049</v>
      </c>
      <c r="N1256" s="3" t="n">
        <v>-5.098428</v>
      </c>
      <c r="O1256" s="3" t="n">
        <v>-3.860625</v>
      </c>
      <c r="P1256" s="3" t="n">
        <v>0.189945</v>
      </c>
      <c r="Q1256" s="3" t="n">
        <v>-1.848398</v>
      </c>
      <c r="R1256" s="3" t="n">
        <v>-3.331599</v>
      </c>
      <c r="S1256" s="3" t="n">
        <v>-3.701427</v>
      </c>
      <c r="T1256" s="3" t="n">
        <v>-4.225012</v>
      </c>
      <c r="U1256" s="3" t="n">
        <v>-3.30131</v>
      </c>
      <c r="V1256" s="3" t="n">
        <v>-1.244434</v>
      </c>
      <c r="W1256" s="3" t="n">
        <v>0.965058</v>
      </c>
      <c r="X1256" s="3" t="n">
        <v>1.196631</v>
      </c>
      <c r="Y1256" s="3" t="n">
        <v>0.885795</v>
      </c>
      <c r="Z1256" s="3" t="n">
        <v>2.360797</v>
      </c>
      <c r="AA1256" s="3" t="n">
        <v>5.049103</v>
      </c>
      <c r="AB1256" s="3" t="n">
        <v>2.167211</v>
      </c>
      <c r="AC1256" s="3" t="n">
        <v>1.166933</v>
      </c>
      <c r="AD1256" s="3" t="n">
        <v>3.078044</v>
      </c>
      <c r="AE1256" s="3" t="n">
        <v>2.887412</v>
      </c>
      <c r="AF1256" s="3" t="n">
        <v>4.843089</v>
      </c>
      <c r="AG1256" s="3" t="n">
        <v>3.199668</v>
      </c>
      <c r="AH1256" s="3" t="n">
        <v>2.23923</v>
      </c>
      <c r="AI1256" s="3" t="n">
        <v>1.315129</v>
      </c>
      <c r="AJ1256" s="3" t="n">
        <v>0.6291369999999999</v>
      </c>
      <c r="AK1256" s="3" t="n">
        <v>-0.025559</v>
      </c>
      <c r="AL1256" s="3" t="n">
        <v>-0.634706</v>
      </c>
      <c r="AM1256" s="3" t="n"/>
      <c r="AN1256" s="3" t="n"/>
      <c r="AO1256" s="3" t="n"/>
      <c r="AP1256" s="3" t="n"/>
      <c r="AQ1256" s="3" t="n"/>
      <c r="AR1256" s="3" t="n"/>
      <c r="AS1256" s="3" t="n"/>
      <c r="AT1256" s="3" t="n"/>
      <c r="AU1256" s="3" t="n"/>
    </row>
    <row r="1257">
      <c r="A1257" s="3" t="n">
        <v>2031</v>
      </c>
      <c r="B1257" s="3" t="inlineStr">
        <is>
          <t>GTM</t>
        </is>
      </c>
      <c r="C1257" s="3" t="inlineStr">
        <is>
          <t>IMF.RES:WEO</t>
        </is>
      </c>
      <c r="D1257" s="3" t="inlineStr">
        <is>
          <t>GTM.GGR_NGDP.A</t>
        </is>
      </c>
      <c r="E1257" s="3" t="inlineStr">
        <is>
          <t>Guatemala</t>
        </is>
      </c>
      <c r="F1257" s="3" t="inlineStr">
        <is>
          <t>Revenue, General government, Percent of GDP</t>
        </is>
      </c>
      <c r="G1257" s="3" t="n">
        <v>11.705084</v>
      </c>
      <c r="H1257" s="3" t="n">
        <v>11.757044</v>
      </c>
      <c r="I1257" s="3" t="n">
        <v>12.115418</v>
      </c>
      <c r="J1257" s="3" t="n">
        <v>11.898735</v>
      </c>
      <c r="K1257" s="3" t="n">
        <v>11.816604</v>
      </c>
      <c r="L1257" s="3" t="n">
        <v>11.574641</v>
      </c>
      <c r="M1257" s="3" t="n">
        <v>12.288797</v>
      </c>
      <c r="N1257" s="3" t="n">
        <v>12.502804</v>
      </c>
      <c r="O1257" s="3" t="n">
        <v>11.690628</v>
      </c>
      <c r="P1257" s="3" t="n">
        <v>10.980235</v>
      </c>
      <c r="Q1257" s="3" t="n">
        <v>11.190573</v>
      </c>
      <c r="R1257" s="3" t="n">
        <v>11.683765</v>
      </c>
      <c r="S1257" s="3" t="n">
        <v>11.734656</v>
      </c>
      <c r="T1257" s="3" t="n">
        <v>11.830247</v>
      </c>
      <c r="U1257" s="3" t="n">
        <v>11.674756</v>
      </c>
      <c r="V1257" s="3" t="n">
        <v>11.109483</v>
      </c>
      <c r="W1257" s="3" t="n">
        <v>11.455671</v>
      </c>
      <c r="X1257" s="3" t="n">
        <v>11.393366</v>
      </c>
      <c r="Y1257" s="3" t="n">
        <v>11.30678</v>
      </c>
      <c r="Z1257" s="3" t="n">
        <v>11.205036</v>
      </c>
      <c r="AA1257" s="3" t="n">
        <v>10.675427</v>
      </c>
      <c r="AB1257" s="3" t="n">
        <v>12.30707</v>
      </c>
      <c r="AC1257" s="3" t="n">
        <v>12.571829</v>
      </c>
      <c r="AD1257" s="3" t="n">
        <v>12.480325</v>
      </c>
      <c r="AE1257" s="3" t="n">
        <v>12.4167</v>
      </c>
      <c r="AF1257" s="3" t="n">
        <v>12.824334</v>
      </c>
      <c r="AG1257" s="3" t="n">
        <v>12.855565</v>
      </c>
      <c r="AH1257" s="3" t="n">
        <v>12.796331</v>
      </c>
      <c r="AI1257" s="3" t="n">
        <v>12.784744</v>
      </c>
      <c r="AJ1257" s="3" t="n">
        <v>12.763177</v>
      </c>
      <c r="AK1257" s="3" t="n">
        <v>12.73148</v>
      </c>
      <c r="AL1257" s="3" t="n">
        <v>12.714927</v>
      </c>
      <c r="AM1257" s="3" t="n"/>
      <c r="AN1257" s="3" t="n"/>
      <c r="AO1257" s="3" t="n"/>
      <c r="AP1257" s="3" t="n"/>
      <c r="AQ1257" s="3" t="n"/>
      <c r="AR1257" s="3" t="n"/>
      <c r="AS1257" s="3" t="n"/>
      <c r="AT1257" s="3" t="n"/>
      <c r="AU1257" s="3" t="n"/>
    </row>
    <row r="1258">
      <c r="A1258" s="3" t="n">
        <v>2031</v>
      </c>
      <c r="B1258" s="3" t="inlineStr">
        <is>
          <t>GTM</t>
        </is>
      </c>
      <c r="C1258" s="3" t="inlineStr">
        <is>
          <t>IMF.RES:WEO</t>
        </is>
      </c>
      <c r="D1258" s="3" t="inlineStr">
        <is>
          <t>GTM.GGX_NGDP.A</t>
        </is>
      </c>
      <c r="E1258" s="3" t="inlineStr">
        <is>
          <t>Guatemala</t>
        </is>
      </c>
      <c r="F1258" s="3" t="inlineStr">
        <is>
          <t>Expenditure, General government, Percent of GDP</t>
        </is>
      </c>
      <c r="G1258" s="3" t="n">
        <v>13.581713</v>
      </c>
      <c r="H1258" s="3" t="n">
        <v>13.76039</v>
      </c>
      <c r="I1258" s="3" t="n">
        <v>13.147618</v>
      </c>
      <c r="J1258" s="3" t="n">
        <v>14.367367</v>
      </c>
      <c r="K1258" s="3" t="n">
        <v>12.864219</v>
      </c>
      <c r="L1258" s="3" t="n">
        <v>13.24476</v>
      </c>
      <c r="M1258" s="3" t="n">
        <v>14.167285</v>
      </c>
      <c r="N1258" s="3" t="n">
        <v>13.905816</v>
      </c>
      <c r="O1258" s="3" t="n">
        <v>13.26044</v>
      </c>
      <c r="P1258" s="3" t="n">
        <v>14.100239</v>
      </c>
      <c r="Q1258" s="3" t="n">
        <v>14.467827</v>
      </c>
      <c r="R1258" s="3" t="n">
        <v>14.487876</v>
      </c>
      <c r="S1258" s="3" t="n">
        <v>14.150905</v>
      </c>
      <c r="T1258" s="3" t="n">
        <v>13.994068</v>
      </c>
      <c r="U1258" s="3" t="n">
        <v>13.596038</v>
      </c>
      <c r="V1258" s="3" t="n">
        <v>12.581595</v>
      </c>
      <c r="W1258" s="3" t="n">
        <v>12.56576</v>
      </c>
      <c r="X1258" s="3" t="n">
        <v>12.777548</v>
      </c>
      <c r="Y1258" s="3" t="n">
        <v>13.187306</v>
      </c>
      <c r="Z1258" s="3" t="n">
        <v>13.441078</v>
      </c>
      <c r="AA1258" s="3" t="n">
        <v>15.584989</v>
      </c>
      <c r="AB1258" s="3" t="n">
        <v>13.469182</v>
      </c>
      <c r="AC1258" s="3" t="n">
        <v>14.26697</v>
      </c>
      <c r="AD1258" s="3" t="n">
        <v>13.731905</v>
      </c>
      <c r="AE1258" s="3" t="n">
        <v>13.377036</v>
      </c>
      <c r="AF1258" s="3" t="n">
        <v>14.737099</v>
      </c>
      <c r="AG1258" s="3" t="n">
        <v>15.022874</v>
      </c>
      <c r="AH1258" s="3" t="n">
        <v>15.321815</v>
      </c>
      <c r="AI1258" s="3" t="n">
        <v>15.327276</v>
      </c>
      <c r="AJ1258" s="3" t="n">
        <v>15.228605</v>
      </c>
      <c r="AK1258" s="3" t="n">
        <v>15.220398</v>
      </c>
      <c r="AL1258" s="3" t="n">
        <v>15.161288</v>
      </c>
      <c r="AM1258" s="3" t="n"/>
      <c r="AN1258" s="3" t="n"/>
      <c r="AO1258" s="3" t="n"/>
      <c r="AP1258" s="3" t="n"/>
      <c r="AQ1258" s="3" t="n"/>
      <c r="AR1258" s="3" t="n"/>
      <c r="AS1258" s="3" t="n"/>
      <c r="AT1258" s="3" t="n"/>
      <c r="AU1258" s="3" t="n"/>
    </row>
    <row r="1259">
      <c r="A1259" s="3" t="n">
        <v>2031</v>
      </c>
      <c r="B1259" s="3" t="inlineStr">
        <is>
          <t>GTM</t>
        </is>
      </c>
      <c r="C1259" s="3" t="inlineStr">
        <is>
          <t>IMF.RES:WEO</t>
        </is>
      </c>
      <c r="D1259" s="3" t="inlineStr">
        <is>
          <t>GTM.LP.A</t>
        </is>
      </c>
      <c r="E1259" s="3" t="inlineStr">
        <is>
          <t>Guatemala</t>
        </is>
      </c>
      <c r="F1259" s="3" t="inlineStr">
        <is>
          <t>Population, Persons for countries / Index for country groups</t>
        </is>
      </c>
      <c r="G1259" s="3" t="n">
        <v>11.697592</v>
      </c>
      <c r="H1259" s="3" t="n">
        <v>11.969422</v>
      </c>
      <c r="I1259" s="3" t="n">
        <v>12.246915</v>
      </c>
      <c r="J1259" s="3" t="n">
        <v>12.525842</v>
      </c>
      <c r="K1259" s="3" t="n">
        <v>12.807402</v>
      </c>
      <c r="L1259" s="3" t="n">
        <v>13.087629</v>
      </c>
      <c r="M1259" s="3" t="n">
        <v>13.367459</v>
      </c>
      <c r="N1259" s="3" t="n">
        <v>13.65204</v>
      </c>
      <c r="O1259" s="3" t="n">
        <v>13.935174</v>
      </c>
      <c r="P1259" s="3" t="n">
        <v>14.215611</v>
      </c>
      <c r="Q1259" s="3" t="n">
        <v>14.500112</v>
      </c>
      <c r="R1259" s="3" t="n">
        <v>14.792126</v>
      </c>
      <c r="S1259" s="3" t="n">
        <v>15.089647</v>
      </c>
      <c r="T1259" s="3" t="n">
        <v>15.387337</v>
      </c>
      <c r="U1259" s="3" t="n">
        <v>15.681725</v>
      </c>
      <c r="V1259" s="3" t="n">
        <v>15.971743</v>
      </c>
      <c r="W1259" s="3" t="n">
        <v>16.26876</v>
      </c>
      <c r="X1259" s="3" t="n">
        <v>16.567357</v>
      </c>
      <c r="Y1259" s="3" t="n">
        <v>16.845685</v>
      </c>
      <c r="Z1259" s="3" t="n">
        <v>17.103803</v>
      </c>
      <c r="AA1259" s="3" t="n">
        <v>17.357325</v>
      </c>
      <c r="AB1259" s="3" t="n">
        <v>17.59865</v>
      </c>
      <c r="AC1259" s="3" t="n">
        <v>17.847877</v>
      </c>
      <c r="AD1259" s="3" t="n">
        <v>18.124838</v>
      </c>
      <c r="AE1259" s="3" t="n">
        <v>18.406359</v>
      </c>
      <c r="AF1259" s="3" t="n">
        <v>18.664048</v>
      </c>
      <c r="AG1259" s="3" t="n">
        <v>18.925345</v>
      </c>
      <c r="AH1259" s="3" t="n">
        <v>19.1903</v>
      </c>
      <c r="AI1259" s="3" t="n">
        <v>19.451288</v>
      </c>
      <c r="AJ1259" s="3" t="n">
        <v>19.715825</v>
      </c>
      <c r="AK1259" s="3" t="n">
        <v>19.980017</v>
      </c>
      <c r="AL1259" s="3" t="n">
        <v>20.243753</v>
      </c>
      <c r="AM1259" s="3" t="n"/>
      <c r="AN1259" s="3" t="n"/>
      <c r="AO1259" s="3" t="n"/>
      <c r="AP1259" s="3" t="n"/>
      <c r="AQ1259" s="3" t="n"/>
      <c r="AR1259" s="3" t="n"/>
      <c r="AS1259" s="3" t="n"/>
      <c r="AT1259" s="3" t="n"/>
      <c r="AU1259" s="3" t="n"/>
    </row>
    <row r="1260">
      <c r="A1260" s="3" t="n">
        <v>2031</v>
      </c>
      <c r="B1260" s="3" t="inlineStr">
        <is>
          <t>GTM</t>
        </is>
      </c>
      <c r="C1260" s="3" t="inlineStr">
        <is>
          <t>IMF.RES:WEO</t>
        </is>
      </c>
      <c r="D1260" s="3" t="inlineStr">
        <is>
          <t>GTM.NGDP.A</t>
        </is>
      </c>
      <c r="E1260" s="3" t="inlineStr">
        <is>
          <t>Guatemala</t>
        </is>
      </c>
      <c r="F1260" s="3" t="inlineStr">
        <is>
          <t>Gross domestic product (GDP), Current prices, Domestic currency</t>
        </is>
      </c>
      <c r="G1260" s="3" t="n">
        <v>140.702185</v>
      </c>
      <c r="H1260" s="3" t="n">
        <v>154.988623</v>
      </c>
      <c r="I1260" s="3" t="n">
        <v>171.446439</v>
      </c>
      <c r="J1260" s="3" t="n">
        <v>183.286246</v>
      </c>
      <c r="K1260" s="3" t="n">
        <v>198.551979</v>
      </c>
      <c r="L1260" s="3" t="n">
        <v>215.18301</v>
      </c>
      <c r="M1260" s="3" t="n">
        <v>238.022895</v>
      </c>
      <c r="N1260" s="3" t="n">
        <v>268.823834</v>
      </c>
      <c r="O1260" s="3" t="n">
        <v>304.329281</v>
      </c>
      <c r="P1260" s="3" t="n">
        <v>309.985649</v>
      </c>
      <c r="Q1260" s="3" t="n">
        <v>334.434316</v>
      </c>
      <c r="R1260" s="3" t="n">
        <v>369.350041</v>
      </c>
      <c r="S1260" s="3" t="n">
        <v>390.925955</v>
      </c>
      <c r="T1260" s="3" t="n">
        <v>416.38322</v>
      </c>
      <c r="U1260" s="3" t="n">
        <v>447.326326</v>
      </c>
      <c r="V1260" s="3" t="n">
        <v>476.022821</v>
      </c>
      <c r="W1260" s="3" t="n">
        <v>502.001704</v>
      </c>
      <c r="X1260" s="3" t="n">
        <v>526.507414</v>
      </c>
      <c r="Y1260" s="3" t="n">
        <v>551.368082</v>
      </c>
      <c r="Z1260" s="3" t="n">
        <v>593.97202</v>
      </c>
      <c r="AA1260" s="3" t="n">
        <v>600.1225010000001</v>
      </c>
      <c r="AB1260" s="3" t="n">
        <v>668.680534</v>
      </c>
      <c r="AC1260" s="3" t="n">
        <v>741.053223</v>
      </c>
      <c r="AD1260" s="3" t="n">
        <v>817.413421</v>
      </c>
      <c r="AE1260" s="3" t="n">
        <v>878.2633</v>
      </c>
      <c r="AF1260" s="3" t="n">
        <v>930.084612</v>
      </c>
      <c r="AG1260" s="3" t="n">
        <v>987.9081660000001</v>
      </c>
      <c r="AH1260" s="3" t="n">
        <v>1068.878804</v>
      </c>
      <c r="AI1260" s="3" t="n">
        <v>1150.316182</v>
      </c>
      <c r="AJ1260" s="3" t="n">
        <v>1240.157236</v>
      </c>
      <c r="AK1260" s="3" t="n">
        <v>1339.441987</v>
      </c>
      <c r="AL1260" s="3" t="n">
        <v>1447.562484</v>
      </c>
      <c r="AM1260" s="3" t="n"/>
      <c r="AN1260" s="3" t="n"/>
      <c r="AO1260" s="3" t="n"/>
      <c r="AP1260" s="3" t="n"/>
      <c r="AQ1260" s="3" t="n"/>
      <c r="AR1260" s="3" t="n"/>
      <c r="AS1260" s="3" t="n"/>
      <c r="AT1260" s="3" t="n"/>
      <c r="AU1260" s="3" t="n"/>
    </row>
    <row r="1261">
      <c r="A1261" s="3" t="n">
        <v>2031</v>
      </c>
      <c r="B1261" s="3" t="inlineStr">
        <is>
          <t>GTM</t>
        </is>
      </c>
      <c r="C1261" s="3" t="inlineStr">
        <is>
          <t>IMF.RES:WEO</t>
        </is>
      </c>
      <c r="D1261" s="3" t="inlineStr">
        <is>
          <t>GTM.NGDP_D.A</t>
        </is>
      </c>
      <c r="E1261" s="3" t="inlineStr">
        <is>
          <t>Guatemala</t>
        </is>
      </c>
      <c r="F1261" s="3" t="inlineStr">
        <is>
          <t>Gross domestic product (GDP), Price deflator, Index</t>
        </is>
      </c>
      <c r="G1261" s="3" t="n">
        <v>52.584873</v>
      </c>
      <c r="H1261" s="3" t="n">
        <v>56.180579</v>
      </c>
      <c r="I1261" s="3" t="n">
        <v>59.848485</v>
      </c>
      <c r="J1261" s="3" t="n">
        <v>62.38425</v>
      </c>
      <c r="K1261" s="3" t="n">
        <v>65.52408200000001</v>
      </c>
      <c r="L1261" s="3" t="n">
        <v>68.75989199999999</v>
      </c>
      <c r="M1261" s="3" t="n">
        <v>72.19475300000001</v>
      </c>
      <c r="N1261" s="3" t="n">
        <v>76.677392</v>
      </c>
      <c r="O1261" s="3" t="n">
        <v>84.036936</v>
      </c>
      <c r="P1261" s="3" t="n">
        <v>85.192594</v>
      </c>
      <c r="Q1261" s="3" t="n">
        <v>89.335178</v>
      </c>
      <c r="R1261" s="3" t="n">
        <v>94.718009</v>
      </c>
      <c r="S1261" s="3" t="n">
        <v>97.355019</v>
      </c>
      <c r="T1261" s="3" t="n">
        <v>100</v>
      </c>
      <c r="U1261" s="3" t="n">
        <v>102.860311</v>
      </c>
      <c r="V1261" s="3" t="n">
        <v>105.155764</v>
      </c>
      <c r="W1261" s="3" t="n">
        <v>108.002532</v>
      </c>
      <c r="X1261" s="3" t="n">
        <v>109.890324</v>
      </c>
      <c r="Y1261" s="3" t="n">
        <v>111.287702</v>
      </c>
      <c r="Z1261" s="3" t="n">
        <v>115.25598</v>
      </c>
      <c r="AA1261" s="3" t="n">
        <v>118.566503</v>
      </c>
      <c r="AB1261" s="3" t="n">
        <v>122.27829</v>
      </c>
      <c r="AC1261" s="3" t="n">
        <v>130.069925</v>
      </c>
      <c r="AD1261" s="3" t="n">
        <v>138.576566</v>
      </c>
      <c r="AE1261" s="3" t="n">
        <v>143.646699</v>
      </c>
      <c r="AF1261" s="3" t="n">
        <v>146.105631</v>
      </c>
      <c r="AG1261" s="3" t="n">
        <v>149.306377</v>
      </c>
      <c r="AH1261" s="3" t="n">
        <v>155.360437</v>
      </c>
      <c r="AI1261" s="3" t="n">
        <v>160.890373</v>
      </c>
      <c r="AJ1261" s="3" t="n">
        <v>167.0417</v>
      </c>
      <c r="AK1261" s="3" t="n">
        <v>173.676124</v>
      </c>
      <c r="AL1261" s="3" t="n">
        <v>180.615239</v>
      </c>
      <c r="AM1261" s="3" t="n"/>
      <c r="AN1261" s="3" t="n"/>
      <c r="AO1261" s="3" t="n"/>
      <c r="AP1261" s="3" t="n"/>
      <c r="AQ1261" s="3" t="n"/>
      <c r="AR1261" s="3" t="n"/>
      <c r="AS1261" s="3" t="n"/>
      <c r="AT1261" s="3" t="n"/>
      <c r="AU1261" s="3" t="n"/>
    </row>
    <row r="1262">
      <c r="A1262" s="3" t="n">
        <v>2031</v>
      </c>
      <c r="B1262" s="3" t="inlineStr">
        <is>
          <t>GTM</t>
        </is>
      </c>
      <c r="C1262" s="3" t="inlineStr">
        <is>
          <t>IMF.RES:WEO</t>
        </is>
      </c>
      <c r="D1262" s="3" t="inlineStr">
        <is>
          <t>GTM.NGDP_R.A</t>
        </is>
      </c>
      <c r="E1262" s="3" t="inlineStr">
        <is>
          <t>Guatemala</t>
        </is>
      </c>
      <c r="F1262" s="3" t="inlineStr">
        <is>
          <t>Gross domestic product (GDP), Constant prices, Domestic currency</t>
        </is>
      </c>
      <c r="G1262" s="3" t="n">
        <v>267.571596</v>
      </c>
      <c r="H1262" s="3" t="n">
        <v>275.875801</v>
      </c>
      <c r="I1262" s="3" t="n">
        <v>286.467465</v>
      </c>
      <c r="J1262" s="3" t="n">
        <v>293.802114</v>
      </c>
      <c r="K1262" s="3" t="n">
        <v>303.02138</v>
      </c>
      <c r="L1262" s="3" t="n">
        <v>312.948442</v>
      </c>
      <c r="M1262" s="3" t="n">
        <v>329.695558</v>
      </c>
      <c r="N1262" s="3" t="n">
        <v>350.590735</v>
      </c>
      <c r="O1262" s="3" t="n">
        <v>362.137525</v>
      </c>
      <c r="P1262" s="3" t="n">
        <v>363.864552</v>
      </c>
      <c r="Q1262" s="3" t="n">
        <v>374.359044</v>
      </c>
      <c r="R1262" s="3" t="n">
        <v>389.947006</v>
      </c>
      <c r="S1262" s="3" t="n">
        <v>401.546793</v>
      </c>
      <c r="T1262" s="3" t="n">
        <v>416.38322</v>
      </c>
      <c r="U1262" s="3" t="n">
        <v>434.887199</v>
      </c>
      <c r="V1262" s="3" t="n">
        <v>452.683525</v>
      </c>
      <c r="W1262" s="3" t="n">
        <v>464.805496</v>
      </c>
      <c r="X1262" s="3" t="n">
        <v>479.120815</v>
      </c>
      <c r="Y1262" s="3" t="n">
        <v>495.443854</v>
      </c>
      <c r="Z1262" s="3" t="n">
        <v>515.350283</v>
      </c>
      <c r="AA1262" s="3" t="n">
        <v>506.148437</v>
      </c>
      <c r="AB1262" s="3" t="n">
        <v>546.851396</v>
      </c>
      <c r="AC1262" s="3" t="n">
        <v>569.734491</v>
      </c>
      <c r="AD1262" s="3" t="n">
        <v>589.864107</v>
      </c>
      <c r="AE1262" s="3" t="n">
        <v>611.405141</v>
      </c>
      <c r="AF1262" s="3" t="n">
        <v>636.5836880000001</v>
      </c>
      <c r="AG1262" s="3" t="n">
        <v>661.665085</v>
      </c>
      <c r="AH1262" s="3" t="n">
        <v>687.999356</v>
      </c>
      <c r="AI1262" s="3" t="n">
        <v>714.96893</v>
      </c>
      <c r="AJ1262" s="3" t="n">
        <v>742.423737</v>
      </c>
      <c r="AK1262" s="3" t="n">
        <v>771.229778</v>
      </c>
      <c r="AL1262" s="3" t="n">
        <v>801.461986</v>
      </c>
      <c r="AM1262" s="3" t="n"/>
      <c r="AN1262" s="3" t="n"/>
      <c r="AO1262" s="3" t="n"/>
      <c r="AP1262" s="3" t="n"/>
      <c r="AQ1262" s="3" t="n"/>
      <c r="AR1262" s="3" t="n"/>
      <c r="AS1262" s="3" t="n"/>
      <c r="AT1262" s="3" t="n"/>
      <c r="AU1262" s="3" t="n"/>
    </row>
    <row r="1263">
      <c r="A1263" s="3" t="n">
        <v>2031</v>
      </c>
      <c r="B1263" s="3" t="inlineStr">
        <is>
          <t>GTM</t>
        </is>
      </c>
      <c r="C1263" s="3" t="inlineStr">
        <is>
          <t>IMF.RES:WEO</t>
        </is>
      </c>
      <c r="D1263" s="3" t="inlineStr">
        <is>
          <t>GTM.NGDP_RPCH.A</t>
        </is>
      </c>
      <c r="E1263" s="3" t="inlineStr">
        <is>
          <t>Guatemala</t>
        </is>
      </c>
      <c r="F1263" s="3" t="inlineStr">
        <is>
          <t>Gross domestic product (GDP), Constant prices, Percent change</t>
        </is>
      </c>
      <c r="G1263" s="3" t="n">
        <v>2.5</v>
      </c>
      <c r="H1263" s="3" t="n">
        <v>3.103545</v>
      </c>
      <c r="I1263" s="3" t="n">
        <v>3.839287</v>
      </c>
      <c r="J1263" s="3" t="n">
        <v>2.560378</v>
      </c>
      <c r="K1263" s="3" t="n">
        <v>3.137917</v>
      </c>
      <c r="L1263" s="3" t="n">
        <v>3.276027</v>
      </c>
      <c r="M1263" s="3" t="n">
        <v>5.351398</v>
      </c>
      <c r="N1263" s="3" t="n">
        <v>6.337719</v>
      </c>
      <c r="O1263" s="3" t="n">
        <v>3.293524</v>
      </c>
      <c r="P1263" s="3" t="n">
        <v>0.476898</v>
      </c>
      <c r="Q1263" s="3" t="n">
        <v>2.884175</v>
      </c>
      <c r="R1263" s="3" t="n">
        <v>4.163907</v>
      </c>
      <c r="S1263" s="3" t="n">
        <v>2.974709</v>
      </c>
      <c r="T1263" s="3" t="n">
        <v>3.694819</v>
      </c>
      <c r="U1263" s="3" t="n">
        <v>4.443978</v>
      </c>
      <c r="V1263" s="3" t="n">
        <v>4.092171</v>
      </c>
      <c r="W1263" s="3" t="n">
        <v>2.677803</v>
      </c>
      <c r="X1263" s="3" t="n">
        <v>3.079851</v>
      </c>
      <c r="Y1263" s="3" t="n">
        <v>3.406873</v>
      </c>
      <c r="Z1263" s="3" t="n">
        <v>4.017898</v>
      </c>
      <c r="AA1263" s="3" t="n">
        <v>-1.785552</v>
      </c>
      <c r="AB1263" s="3" t="n">
        <v>8.041703999999999</v>
      </c>
      <c r="AC1263" s="3" t="n">
        <v>4.184518</v>
      </c>
      <c r="AD1263" s="3" t="n">
        <v>3.533157</v>
      </c>
      <c r="AE1263" s="3" t="n">
        <v>3.651864</v>
      </c>
      <c r="AF1263" s="3" t="n">
        <v>4.118144</v>
      </c>
      <c r="AG1263" s="3" t="n">
        <v>3.94</v>
      </c>
      <c r="AH1263" s="3" t="n">
        <v>3.98</v>
      </c>
      <c r="AI1263" s="3" t="n">
        <v>3.92</v>
      </c>
      <c r="AJ1263" s="3" t="n">
        <v>3.84</v>
      </c>
      <c r="AK1263" s="3" t="n">
        <v>3.88</v>
      </c>
      <c r="AL1263" s="3" t="n">
        <v>3.92</v>
      </c>
      <c r="AM1263" s="3" t="n"/>
      <c r="AN1263" s="3" t="n"/>
      <c r="AO1263" s="3" t="n"/>
      <c r="AP1263" s="3" t="n"/>
      <c r="AQ1263" s="3" t="n"/>
      <c r="AR1263" s="3" t="n"/>
      <c r="AS1263" s="3" t="n"/>
      <c r="AT1263" s="3" t="n"/>
      <c r="AU1263" s="3" t="n"/>
    </row>
    <row r="1264">
      <c r="A1264" s="3" t="n">
        <v>2031</v>
      </c>
      <c r="B1264" s="3" t="inlineStr">
        <is>
          <t>GTM</t>
        </is>
      </c>
      <c r="C1264" s="3" t="inlineStr">
        <is>
          <t>IMF.RES:WEO</t>
        </is>
      </c>
      <c r="D1264" s="3" t="inlineStr">
        <is>
          <t>GTM.NGDPD.A</t>
        </is>
      </c>
      <c r="E1264" s="3" t="inlineStr">
        <is>
          <t>Guatemala</t>
        </is>
      </c>
      <c r="F1264" s="3" t="inlineStr">
        <is>
          <t>Gross domestic product (GDP), Current prices, US dollar</t>
        </is>
      </c>
      <c r="G1264" s="3" t="n">
        <v>18.123514</v>
      </c>
      <c r="H1264" s="3" t="n">
        <v>19.735213</v>
      </c>
      <c r="I1264" s="3" t="n">
        <v>21.924321</v>
      </c>
      <c r="J1264" s="3" t="n">
        <v>23.092024</v>
      </c>
      <c r="K1264" s="3" t="n">
        <v>24.977019</v>
      </c>
      <c r="L1264" s="3" t="n">
        <v>28.179279</v>
      </c>
      <c r="M1264" s="3" t="n">
        <v>31.308232</v>
      </c>
      <c r="N1264" s="3" t="n">
        <v>35.028443</v>
      </c>
      <c r="O1264" s="3" t="n">
        <v>40.241653</v>
      </c>
      <c r="P1264" s="3" t="n">
        <v>37.996765</v>
      </c>
      <c r="Q1264" s="3" t="n">
        <v>41.492744</v>
      </c>
      <c r="R1264" s="3" t="n">
        <v>47.419428</v>
      </c>
      <c r="S1264" s="3" t="n">
        <v>49.90172</v>
      </c>
      <c r="T1264" s="3" t="n">
        <v>52.988757</v>
      </c>
      <c r="U1264" s="3" t="n">
        <v>57.834804</v>
      </c>
      <c r="V1264" s="3" t="n">
        <v>62.179864</v>
      </c>
      <c r="W1264" s="3" t="n">
        <v>66.03414600000001</v>
      </c>
      <c r="X1264" s="3" t="n">
        <v>71.62442900000001</v>
      </c>
      <c r="Y1264" s="3" t="n">
        <v>73.331202</v>
      </c>
      <c r="Z1264" s="3" t="n">
        <v>77.15625799999999</v>
      </c>
      <c r="AA1264" s="3" t="n">
        <v>77.718147</v>
      </c>
      <c r="AB1264" s="3" t="n">
        <v>86.443399</v>
      </c>
      <c r="AC1264" s="3" t="n">
        <v>95.64219</v>
      </c>
      <c r="AD1264" s="3" t="n">
        <v>104.35408</v>
      </c>
      <c r="AE1264" s="3" t="n">
        <v>113.189516</v>
      </c>
      <c r="AF1264" s="3" t="n">
        <v>121.112652</v>
      </c>
      <c r="AG1264" s="3" t="n">
        <v>128.886364</v>
      </c>
      <c r="AH1264" s="3" t="n">
        <v>139.461352</v>
      </c>
      <c r="AI1264" s="3" t="n">
        <v>150.089257</v>
      </c>
      <c r="AJ1264" s="3" t="n">
        <v>161.811622</v>
      </c>
      <c r="AK1264" s="3" t="n">
        <v>174.765958</v>
      </c>
      <c r="AL1264" s="3" t="n">
        <v>188.873156</v>
      </c>
      <c r="AM1264" s="3" t="n"/>
      <c r="AN1264" s="3" t="n"/>
      <c r="AO1264" s="3" t="n"/>
      <c r="AP1264" s="3" t="n"/>
      <c r="AQ1264" s="3" t="n"/>
      <c r="AR1264" s="3" t="n"/>
      <c r="AS1264" s="3" t="n"/>
      <c r="AT1264" s="3" t="n"/>
      <c r="AU1264" s="3" t="n"/>
    </row>
    <row r="1265">
      <c r="A1265" s="3" t="n">
        <v>2031</v>
      </c>
      <c r="B1265" s="3" t="inlineStr">
        <is>
          <t>GTM</t>
        </is>
      </c>
      <c r="C1265" s="3" t="inlineStr">
        <is>
          <t>IMF.RES:WEO</t>
        </is>
      </c>
      <c r="D1265" s="3" t="inlineStr">
        <is>
          <t>GTM.NGDPPC.A</t>
        </is>
      </c>
      <c r="E1265" s="3" t="inlineStr">
        <is>
          <t>Guatemala</t>
        </is>
      </c>
      <c r="F1265" s="3" t="inlineStr">
        <is>
          <t>Gross domestic product (GDP), Current prices, Per capita, Domestic currency</t>
        </is>
      </c>
      <c r="G1265" s="3" t="n">
        <v>12028.303323</v>
      </c>
      <c r="H1265" s="3" t="n">
        <v>12948.714087</v>
      </c>
      <c r="I1265" s="3" t="n">
        <v>13999.153161</v>
      </c>
      <c r="J1265" s="3" t="n">
        <v>14632.648704</v>
      </c>
      <c r="K1265" s="3" t="n">
        <v>15502.908311</v>
      </c>
      <c r="L1265" s="3" t="n">
        <v>16441.710688</v>
      </c>
      <c r="M1265" s="3" t="n">
        <v>17806.143652</v>
      </c>
      <c r="N1265" s="3" t="n">
        <v>19691.110908</v>
      </c>
      <c r="O1265" s="3" t="n">
        <v>21838.929376</v>
      </c>
      <c r="P1265" s="3" t="n">
        <v>21806.002497</v>
      </c>
      <c r="Q1265" s="3" t="n">
        <v>23064.257465</v>
      </c>
      <c r="R1265" s="3" t="n">
        <v>24969.368211</v>
      </c>
      <c r="S1265" s="3" t="n">
        <v>25906.898628</v>
      </c>
      <c r="T1265" s="3" t="n">
        <v>27060.122229</v>
      </c>
      <c r="U1265" s="3" t="n">
        <v>28525.326519</v>
      </c>
      <c r="V1265" s="3" t="n">
        <v>29804.062149</v>
      </c>
      <c r="W1265" s="3" t="n">
        <v>30856.789577</v>
      </c>
      <c r="X1265" s="3" t="n">
        <v>31779.807365</v>
      </c>
      <c r="Y1265" s="3" t="n">
        <v>32730.523098</v>
      </c>
      <c r="Z1265" s="3" t="n">
        <v>34727.482537</v>
      </c>
      <c r="AA1265" s="3" t="n">
        <v>34574.596086</v>
      </c>
      <c r="AB1265" s="3" t="n">
        <v>37996.126635</v>
      </c>
      <c r="AC1265" s="3" t="n">
        <v>41520.52499</v>
      </c>
      <c r="AD1265" s="3" t="n">
        <v>45099.074596</v>
      </c>
      <c r="AE1265" s="3" t="n">
        <v>47715.210814</v>
      </c>
      <c r="AF1265" s="3" t="n">
        <v>49832.952148</v>
      </c>
      <c r="AG1265" s="3" t="n">
        <v>52200.273328</v>
      </c>
      <c r="AH1265" s="3" t="n">
        <v>55698.911989</v>
      </c>
      <c r="AI1265" s="3" t="n">
        <v>59138.305163</v>
      </c>
      <c r="AJ1265" s="3" t="n">
        <v>62901.614761</v>
      </c>
      <c r="AK1265" s="3" t="n">
        <v>67039.080877</v>
      </c>
      <c r="AL1265" s="3" t="n">
        <v>71506.625063</v>
      </c>
      <c r="AM1265" s="3" t="n"/>
      <c r="AN1265" s="3" t="n"/>
      <c r="AO1265" s="3" t="n"/>
      <c r="AP1265" s="3" t="n"/>
      <c r="AQ1265" s="3" t="n"/>
      <c r="AR1265" s="3" t="n"/>
      <c r="AS1265" s="3" t="n"/>
      <c r="AT1265" s="3" t="n"/>
      <c r="AU1265" s="3" t="n"/>
    </row>
    <row r="1266">
      <c r="A1266" s="3" t="n">
        <v>2031</v>
      </c>
      <c r="B1266" s="3" t="inlineStr">
        <is>
          <t>GTM</t>
        </is>
      </c>
      <c r="C1266" s="3" t="inlineStr">
        <is>
          <t>IMF.RES:WEO</t>
        </is>
      </c>
      <c r="D1266" s="3" t="inlineStr">
        <is>
          <t>GTM.NGDPRPC.A</t>
        </is>
      </c>
      <c r="E1266" s="3" t="inlineStr">
        <is>
          <t>Guatemala</t>
        </is>
      </c>
      <c r="F1266" s="3" t="inlineStr">
        <is>
          <t>Gross domestic product (GDP), Constant prices, Per capita, Domestic currency</t>
        </is>
      </c>
      <c r="G1266" s="3" t="n">
        <v>22874.074979</v>
      </c>
      <c r="H1266" s="3" t="n">
        <v>23048.3812</v>
      </c>
      <c r="I1266" s="3" t="n">
        <v>23390.989894</v>
      </c>
      <c r="J1266" s="3" t="n">
        <v>23455.67779</v>
      </c>
      <c r="K1266" s="3" t="n">
        <v>23659.863257</v>
      </c>
      <c r="L1266" s="3" t="n">
        <v>23911.775158</v>
      </c>
      <c r="M1266" s="3" t="n">
        <v>24664.041087</v>
      </c>
      <c r="N1266" s="3" t="n">
        <v>25680.464971</v>
      </c>
      <c r="O1266" s="3" t="n">
        <v>25987.2984</v>
      </c>
      <c r="P1266" s="3" t="n">
        <v>25596.124711</v>
      </c>
      <c r="Q1266" s="3" t="n">
        <v>25817.665684</v>
      </c>
      <c r="R1266" s="3" t="n">
        <v>26361.795864</v>
      </c>
      <c r="S1266" s="3" t="n">
        <v>26610.747952</v>
      </c>
      <c r="T1266" s="3" t="n">
        <v>27060.122229</v>
      </c>
      <c r="U1266" s="3" t="n">
        <v>27732.102112</v>
      </c>
      <c r="V1266" s="3" t="n">
        <v>28342.775425</v>
      </c>
      <c r="W1266" s="3" t="n">
        <v>28570.431674</v>
      </c>
      <c r="X1266" s="3" t="n">
        <v>28919.568462</v>
      </c>
      <c r="Y1266" s="3" t="n">
        <v>29410.727673</v>
      </c>
      <c r="Z1266" s="3" t="n">
        <v>30130.742444</v>
      </c>
      <c r="AA1266" s="3" t="n">
        <v>29160.509295</v>
      </c>
      <c r="AB1266" s="3" t="n">
        <v>31073.485523</v>
      </c>
      <c r="AC1266" s="3" t="n">
        <v>31921.695281</v>
      </c>
      <c r="AD1266" s="3" t="n">
        <v>32544.517474</v>
      </c>
      <c r="AE1266" s="3" t="n">
        <v>33217.060528</v>
      </c>
      <c r="AF1266" s="3" t="n">
        <v>34107.482315</v>
      </c>
      <c r="AG1266" s="3" t="n">
        <v>34961.851201</v>
      </c>
      <c r="AH1266" s="3" t="n">
        <v>35851.413096</v>
      </c>
      <c r="AI1266" s="3" t="n">
        <v>36756.894721</v>
      </c>
      <c r="AJ1266" s="3" t="n">
        <v>37656.234686</v>
      </c>
      <c r="AK1266" s="3" t="n">
        <v>38600.055844</v>
      </c>
      <c r="AL1266" s="3" t="n">
        <v>39590.582346</v>
      </c>
      <c r="AM1266" s="3" t="n"/>
      <c r="AN1266" s="3" t="n"/>
      <c r="AO1266" s="3" t="n"/>
      <c r="AP1266" s="3" t="n"/>
      <c r="AQ1266" s="3" t="n"/>
      <c r="AR1266" s="3" t="n"/>
      <c r="AS1266" s="3" t="n"/>
      <c r="AT1266" s="3" t="n"/>
      <c r="AU1266" s="3" t="n"/>
    </row>
    <row r="1267">
      <c r="A1267" s="3" t="n">
        <v>2031</v>
      </c>
      <c r="B1267" s="3" t="inlineStr">
        <is>
          <t>GTM</t>
        </is>
      </c>
      <c r="C1267" s="3" t="inlineStr">
        <is>
          <t>IMF.RES:WEO</t>
        </is>
      </c>
      <c r="D1267" s="3" t="inlineStr">
        <is>
          <t>GTM.PCPI.A</t>
        </is>
      </c>
      <c r="E1267" s="3" t="inlineStr">
        <is>
          <t>Guatemala</t>
        </is>
      </c>
      <c r="F1267" s="3" t="inlineStr">
        <is>
          <t>All Items, Consumer price index (CPI), Period average</t>
        </is>
      </c>
      <c r="G1267" s="3" t="n">
        <v>28.846667</v>
      </c>
      <c r="H1267" s="3" t="n">
        <v>30.950833</v>
      </c>
      <c r="I1267" s="3" t="n">
        <v>33.468333</v>
      </c>
      <c r="J1267" s="3" t="n">
        <v>35.343333</v>
      </c>
      <c r="K1267" s="3" t="n">
        <v>38.02</v>
      </c>
      <c r="L1267" s="3" t="n">
        <v>41.484167</v>
      </c>
      <c r="M1267" s="3" t="n">
        <v>44.205833</v>
      </c>
      <c r="N1267" s="3" t="n">
        <v>47.221667</v>
      </c>
      <c r="O1267" s="3" t="n">
        <v>52.581667</v>
      </c>
      <c r="P1267" s="3" t="n">
        <v>53.560833</v>
      </c>
      <c r="Q1267" s="3" t="n">
        <v>55.676586</v>
      </c>
      <c r="R1267" s="3" t="n">
        <v>59.127077</v>
      </c>
      <c r="S1267" s="3" t="n">
        <v>61.374024</v>
      </c>
      <c r="T1267" s="3" t="n">
        <v>64.038</v>
      </c>
      <c r="U1267" s="3" t="n">
        <v>66.229899</v>
      </c>
      <c r="V1267" s="3" t="n">
        <v>67.81126999999999</v>
      </c>
      <c r="W1267" s="3" t="n">
        <v>70.828885</v>
      </c>
      <c r="X1267" s="3" t="n">
        <v>73.9616</v>
      </c>
      <c r="Y1267" s="3" t="n">
        <v>76.73650499999999</v>
      </c>
      <c r="Z1267" s="3" t="n">
        <v>79.576466</v>
      </c>
      <c r="AA1267" s="3" t="n">
        <v>82.132848</v>
      </c>
      <c r="AB1267" s="3" t="n">
        <v>85.634216</v>
      </c>
      <c r="AC1267" s="3" t="n">
        <v>91.527657</v>
      </c>
      <c r="AD1267" s="3" t="n">
        <v>97.210916</v>
      </c>
      <c r="AE1267" s="3" t="n">
        <v>100</v>
      </c>
      <c r="AF1267" s="3" t="n">
        <v>101.5772</v>
      </c>
      <c r="AG1267" s="3" t="n">
        <v>104.188873</v>
      </c>
      <c r="AH1267" s="3" t="n">
        <v>108.407956</v>
      </c>
      <c r="AI1267" s="3" t="n">
        <v>112.353282</v>
      </c>
      <c r="AJ1267" s="3" t="n">
        <v>116.679169</v>
      </c>
      <c r="AK1267" s="3" t="n">
        <v>121.353781</v>
      </c>
      <c r="AL1267" s="3" t="n">
        <v>126.209094</v>
      </c>
      <c r="AM1267" s="3" t="n"/>
      <c r="AN1267" s="3" t="n"/>
      <c r="AO1267" s="3" t="n"/>
      <c r="AP1267" s="3" t="n"/>
      <c r="AQ1267" s="3" t="n"/>
      <c r="AR1267" s="3" t="n"/>
      <c r="AS1267" s="3" t="n"/>
      <c r="AT1267" s="3" t="n"/>
      <c r="AU1267" s="3" t="n"/>
    </row>
    <row r="1268">
      <c r="A1268" s="3" t="n">
        <v>2031</v>
      </c>
      <c r="B1268" s="3" t="inlineStr">
        <is>
          <t>GTM</t>
        </is>
      </c>
      <c r="C1268" s="3" t="inlineStr">
        <is>
          <t>IMF.RES:WEO</t>
        </is>
      </c>
      <c r="D1268" s="3" t="inlineStr">
        <is>
          <t>GTM.PCPIPCH.A</t>
        </is>
      </c>
      <c r="E1268" s="3" t="inlineStr">
        <is>
          <t>Guatemala</t>
        </is>
      </c>
      <c r="F1268" s="3" t="inlineStr">
        <is>
          <t>All Items, Consumer price index (CPI), Period average, percent change</t>
        </is>
      </c>
      <c r="G1268" s="3" t="n">
        <v>5.975998</v>
      </c>
      <c r="H1268" s="3" t="n">
        <v>7.294315</v>
      </c>
      <c r="I1268" s="3" t="n">
        <v>8.133868</v>
      </c>
      <c r="J1268" s="3" t="n">
        <v>5.602311</v>
      </c>
      <c r="K1268" s="3" t="n">
        <v>7.573328</v>
      </c>
      <c r="L1268" s="3" t="n">
        <v>9.111433</v>
      </c>
      <c r="M1268" s="3" t="n">
        <v>6.560736</v>
      </c>
      <c r="N1268" s="3" t="n">
        <v>6.822252</v>
      </c>
      <c r="O1268" s="3" t="n">
        <v>11.350722</v>
      </c>
      <c r="P1268" s="3" t="n">
        <v>1.862183</v>
      </c>
      <c r="Q1268" s="3" t="n">
        <v>3.950187</v>
      </c>
      <c r="R1268" s="3" t="n">
        <v>6.197381</v>
      </c>
      <c r="S1268" s="3" t="n">
        <v>3.8002</v>
      </c>
      <c r="T1268" s="3" t="n">
        <v>4.340559</v>
      </c>
      <c r="U1268" s="3" t="n">
        <v>3.422811</v>
      </c>
      <c r="V1268" s="3" t="n">
        <v>2.387699</v>
      </c>
      <c r="W1268" s="3" t="n">
        <v>4.45002</v>
      </c>
      <c r="X1268" s="3" t="n">
        <v>4.422934</v>
      </c>
      <c r="Y1268" s="3" t="n">
        <v>3.751818</v>
      </c>
      <c r="Z1268" s="3" t="n">
        <v>3.700926</v>
      </c>
      <c r="AA1268" s="3" t="n">
        <v>3.212485</v>
      </c>
      <c r="AB1268" s="3" t="n">
        <v>4.263054</v>
      </c>
      <c r="AC1268" s="3" t="n">
        <v>6.88211</v>
      </c>
      <c r="AD1268" s="3" t="n">
        <v>6.209335</v>
      </c>
      <c r="AE1268" s="3" t="n">
        <v>2.869106</v>
      </c>
      <c r="AF1268" s="3" t="n">
        <v>1.5772</v>
      </c>
      <c r="AG1268" s="3" t="n">
        <v>2.571121</v>
      </c>
      <c r="AH1268" s="3" t="n">
        <v>4.049456</v>
      </c>
      <c r="AI1268" s="3" t="n">
        <v>3.639333</v>
      </c>
      <c r="AJ1268" s="3" t="n">
        <v>3.850255</v>
      </c>
      <c r="AK1268" s="3" t="n">
        <v>4.00638</v>
      </c>
      <c r="AL1268" s="3" t="n">
        <v>4.000958</v>
      </c>
      <c r="AM1268" s="3" t="n"/>
      <c r="AN1268" s="3" t="n"/>
      <c r="AO1268" s="3" t="n"/>
      <c r="AP1268" s="3" t="n"/>
      <c r="AQ1268" s="3" t="n"/>
      <c r="AR1268" s="3" t="n"/>
      <c r="AS1268" s="3" t="n"/>
      <c r="AT1268" s="3" t="n"/>
      <c r="AU1268" s="3" t="n"/>
    </row>
    <row r="1269">
      <c r="A1269" s="3" t="n">
        <v>2031</v>
      </c>
      <c r="B1269" s="3" t="inlineStr">
        <is>
          <t>GTM</t>
        </is>
      </c>
      <c r="C1269" s="3" t="inlineStr">
        <is>
          <t>IMF.RES:WEO</t>
        </is>
      </c>
      <c r="D1269" s="3" t="inlineStr">
        <is>
          <t>GTM.PPPPC.A</t>
        </is>
      </c>
      <c r="E1269" s="3" t="inlineStr">
        <is>
          <t>Guatemala</t>
        </is>
      </c>
      <c r="F1269" s="3" t="inlineStr">
        <is>
          <t>Gross domestic product (GDP), Per capita, purchasing power parity (PPP) international dollar, ICP benchmarks 2017-2021</t>
        </is>
      </c>
      <c r="G1269" s="3" t="n">
        <v>5499.016153</v>
      </c>
      <c r="H1269" s="3" t="n">
        <v>5665.680527</v>
      </c>
      <c r="I1269" s="3" t="n">
        <v>5839.255014</v>
      </c>
      <c r="J1269" s="3" t="n">
        <v>5971.001796</v>
      </c>
      <c r="K1269" s="3" t="n">
        <v>6184.931117</v>
      </c>
      <c r="L1269" s="3" t="n">
        <v>6446.796847</v>
      </c>
      <c r="M1269" s="3" t="n">
        <v>6854.679721</v>
      </c>
      <c r="N1269" s="3" t="n">
        <v>7330.531394</v>
      </c>
      <c r="O1269" s="3" t="n">
        <v>7561.020957</v>
      </c>
      <c r="P1269" s="3" t="n">
        <v>7493.138784</v>
      </c>
      <c r="Q1269" s="3" t="n">
        <v>7649.851743</v>
      </c>
      <c r="R1269" s="3" t="n">
        <v>7972.24111</v>
      </c>
      <c r="S1269" s="3" t="n">
        <v>8197.367834999999</v>
      </c>
      <c r="T1269" s="3" t="n">
        <v>8477.672011000001</v>
      </c>
      <c r="U1269" s="3" t="n">
        <v>8839.520359</v>
      </c>
      <c r="V1269" s="3" t="n">
        <v>9118.012468000001</v>
      </c>
      <c r="W1269" s="3" t="n">
        <v>9278.588051000001</v>
      </c>
      <c r="X1269" s="3" t="n">
        <v>9560.174276</v>
      </c>
      <c r="Y1269" s="3" t="n">
        <v>9946.803857000001</v>
      </c>
      <c r="Z1269" s="3" t="n">
        <v>10755.878093</v>
      </c>
      <c r="AA1269" s="3" t="n">
        <v>10947.370564</v>
      </c>
      <c r="AB1269" s="3" t="n">
        <v>11825.14092</v>
      </c>
      <c r="AC1269" s="3" t="n">
        <v>13011.941703</v>
      </c>
      <c r="AD1269" s="3" t="n">
        <v>13756.656531</v>
      </c>
      <c r="AE1269" s="3" t="n">
        <v>14389.515004</v>
      </c>
      <c r="AF1269" s="3" t="n">
        <v>15194.381761</v>
      </c>
      <c r="AG1269" s="3" t="n">
        <v>16021.19078</v>
      </c>
      <c r="AH1269" s="3" t="n">
        <v>16789.591569</v>
      </c>
      <c r="AI1269" s="3" t="n">
        <v>17496.181104</v>
      </c>
      <c r="AJ1269" s="3" t="n">
        <v>18242.97734</v>
      </c>
      <c r="AK1269" s="3" t="n">
        <v>19043.843484</v>
      </c>
      <c r="AL1269" s="3" t="n">
        <v>19885.15388</v>
      </c>
      <c r="AM1269" s="3" t="n"/>
      <c r="AN1269" s="3" t="n"/>
      <c r="AO1269" s="3" t="n"/>
      <c r="AP1269" s="3" t="n"/>
      <c r="AQ1269" s="3" t="n"/>
      <c r="AR1269" s="3" t="n"/>
      <c r="AS1269" s="3" t="n"/>
      <c r="AT1269" s="3" t="n"/>
      <c r="AU1269" s="3" t="n"/>
    </row>
    <row r="1270">
      <c r="A1270" s="3" t="n">
        <v>2025</v>
      </c>
      <c r="B1270" s="3" t="inlineStr">
        <is>
          <t>GTM</t>
        </is>
      </c>
      <c r="C1270" s="3" t="inlineStr">
        <is>
          <t>IMF.STA:ER</t>
        </is>
      </c>
      <c r="D1270" s="3" t="inlineStr">
        <is>
          <t>GTM.XDC_USD.PA_RT.A</t>
        </is>
      </c>
      <c r="E1270" s="3" t="inlineStr">
        <is>
          <t>Guatemala</t>
        </is>
      </c>
      <c r="F1270" s="3" t="inlineStr">
        <is>
          <t>Domestic currency per US Dollar</t>
        </is>
      </c>
      <c r="G1270" s="3" t="n">
        <v>7.76315916666666</v>
      </c>
      <c r="H1270" s="3" t="n">
        <v>7.8585925</v>
      </c>
      <c r="I1270" s="3" t="n">
        <v>7.821645</v>
      </c>
      <c r="J1270" s="3" t="n">
        <v>7.94084666666666</v>
      </c>
      <c r="K1270" s="3" t="n">
        <v>7.94649583333333</v>
      </c>
      <c r="L1270" s="3" t="n">
        <v>7.63394416666666</v>
      </c>
      <c r="M1270" s="3" t="n">
        <v>7.60263083333333</v>
      </c>
      <c r="N1270" s="3" t="n">
        <v>7.67330416666666</v>
      </c>
      <c r="O1270" s="3" t="n">
        <v>7.56002833333333</v>
      </c>
      <c r="P1270" s="3" t="n">
        <v>8.16155541666666</v>
      </c>
      <c r="Q1270" s="3" t="n">
        <v>8.057770833333331</v>
      </c>
      <c r="R1270" s="3" t="n">
        <v>7.78541833333333</v>
      </c>
      <c r="S1270" s="3" t="n">
        <v>7.83360541666666</v>
      </c>
      <c r="T1270" s="3" t="n">
        <v>7.85681375</v>
      </c>
      <c r="U1270" s="3" t="n">
        <v>7.73223333333333</v>
      </c>
      <c r="V1270" s="3" t="n">
        <v>7.654815</v>
      </c>
      <c r="W1270" s="3" t="n">
        <v>7.59993708333333</v>
      </c>
      <c r="X1270" s="3" t="n">
        <v>7.34793875</v>
      </c>
      <c r="Y1270" s="3" t="n">
        <v>7.51916458333333</v>
      </c>
      <c r="Z1270" s="3" t="n">
        <v>7.69669833333333</v>
      </c>
      <c r="AA1270" s="3" t="n">
        <v>7.72165</v>
      </c>
      <c r="AB1270" s="3" t="n">
        <v>7.73438833333333</v>
      </c>
      <c r="AC1270" s="3" t="n">
        <v>7.74824374999999</v>
      </c>
      <c r="AD1270" s="3" t="n">
        <v>7.83197416666666</v>
      </c>
      <c r="AE1270" s="3" t="n">
        <v>7.7585375</v>
      </c>
      <c r="AF1270" s="3" t="n">
        <v>7.68012458333333</v>
      </c>
      <c r="AG1270" s="3" t="n"/>
      <c r="AH1270" s="3" t="n"/>
      <c r="AI1270" s="3" t="n"/>
      <c r="AJ1270" s="3" t="n"/>
      <c r="AK1270" s="3" t="n"/>
      <c r="AL1270" s="3" t="n"/>
      <c r="AM1270" s="3" t="n"/>
      <c r="AN1270" s="3" t="n"/>
      <c r="AO1270" s="3" t="n"/>
      <c r="AP1270" s="3" t="n"/>
      <c r="AQ1270" s="3" t="n"/>
      <c r="AR1270" s="3" t="n"/>
      <c r="AS1270" s="3" t="n"/>
      <c r="AT1270" s="3" t="n"/>
      <c r="AU1270" s="3" t="n"/>
    </row>
    <row r="1271">
      <c r="A1271" s="3" t="inlineStr">
        <is>
          <t>INDICATOR</t>
        </is>
      </c>
      <c r="B1271" s="3" t="inlineStr">
        <is>
          <t>GUF</t>
        </is>
      </c>
      <c r="C1271" s="3" t="inlineStr">
        <is>
          <t>IMF.STA:ER</t>
        </is>
      </c>
      <c r="D1271" s="3" t="inlineStr">
        <is>
          <t>GUF.XDC_USD.PA_RT.A</t>
        </is>
      </c>
      <c r="E1271" s="3" t="inlineStr">
        <is>
          <t>French Guiana</t>
        </is>
      </c>
      <c r="F1271" s="3" t="inlineStr">
        <is>
          <t>Domestic currency per US Dollar</t>
        </is>
      </c>
      <c r="G1271" s="3" t="n"/>
      <c r="H1271" s="3" t="n"/>
      <c r="I1271" s="3" t="n"/>
      <c r="J1271" s="3" t="n"/>
      <c r="K1271" s="3" t="n"/>
      <c r="L1271" s="3" t="n"/>
      <c r="M1271" s="3" t="n"/>
      <c r="N1271" s="3" t="n"/>
      <c r="O1271" s="3" t="n"/>
      <c r="P1271" s="3" t="n"/>
      <c r="Q1271" s="3" t="n"/>
      <c r="R1271" s="3" t="n"/>
      <c r="S1271" s="3" t="n"/>
      <c r="T1271" s="3" t="n"/>
      <c r="U1271" s="3" t="n"/>
      <c r="V1271" s="3" t="n"/>
      <c r="W1271" s="3" t="n"/>
      <c r="X1271" s="3" t="n"/>
      <c r="Y1271" s="3" t="n"/>
      <c r="Z1271" s="3" t="n"/>
      <c r="AA1271" s="3" t="n"/>
      <c r="AB1271" s="3" t="n"/>
      <c r="AC1271" s="3" t="n"/>
      <c r="AD1271" s="3" t="n"/>
      <c r="AE1271" s="3" t="n"/>
      <c r="AF1271" s="3" t="n"/>
      <c r="AG1271" s="3" t="n"/>
      <c r="AH1271" s="3" t="n"/>
      <c r="AI1271" s="3" t="n"/>
      <c r="AJ1271" s="3" t="n"/>
      <c r="AK1271" s="3" t="n"/>
      <c r="AL1271" s="3" t="n"/>
      <c r="AM1271" s="3" t="n"/>
      <c r="AN1271" s="3" t="n"/>
      <c r="AO1271" s="3" t="n"/>
      <c r="AP1271" s="3" t="n"/>
      <c r="AQ1271" s="3" t="n"/>
      <c r="AR1271" s="3" t="n"/>
      <c r="AS1271" s="3" t="n"/>
      <c r="AT1271" s="3" t="n"/>
      <c r="AU1271" s="3" t="n"/>
    </row>
    <row r="1272">
      <c r="A1272" s="3" t="n">
        <v>2031</v>
      </c>
      <c r="B1272" s="3" t="inlineStr">
        <is>
          <t>GUY</t>
        </is>
      </c>
      <c r="C1272" s="3" t="inlineStr">
        <is>
          <t>IMF.RES:WEO</t>
        </is>
      </c>
      <c r="D1272" s="3" t="inlineStr">
        <is>
          <t>GUY.BCA.A</t>
        </is>
      </c>
      <c r="E1272" s="3" t="inlineStr">
        <is>
          <t>Guyana</t>
        </is>
      </c>
      <c r="F1272" s="3" t="inlineStr">
        <is>
          <t>Current account balance (credit less debit), US dollar</t>
        </is>
      </c>
      <c r="G1272" s="3" t="n">
        <v>-0.069684</v>
      </c>
      <c r="H1272" s="3" t="n">
        <v>-0.070607</v>
      </c>
      <c r="I1272" s="3" t="n">
        <v>-0.049674</v>
      </c>
      <c r="J1272" s="3" t="n">
        <v>-0.045436</v>
      </c>
      <c r="K1272" s="3" t="n">
        <v>-0.019116</v>
      </c>
      <c r="L1272" s="3" t="n">
        <v>-0.097659</v>
      </c>
      <c r="M1272" s="3" t="n">
        <v>-0.164092</v>
      </c>
      <c r="N1272" s="3" t="n">
        <v>-0.131404</v>
      </c>
      <c r="O1272" s="3" t="n">
        <v>-0.232199</v>
      </c>
      <c r="P1272" s="3" t="n">
        <v>-0.146301</v>
      </c>
      <c r="Q1272" s="3" t="n">
        <v>-0.18794</v>
      </c>
      <c r="R1272" s="3" t="n">
        <v>-0.313579</v>
      </c>
      <c r="S1272" s="3" t="n">
        <v>-0.301927</v>
      </c>
      <c r="T1272" s="3" t="n">
        <v>-0.414339</v>
      </c>
      <c r="U1272" s="3" t="n">
        <v>-0.275565</v>
      </c>
      <c r="V1272" s="3" t="n">
        <v>-0.147237</v>
      </c>
      <c r="W1272" s="3" t="n">
        <v>0.065148</v>
      </c>
      <c r="X1272" s="3" t="n">
        <v>-0.232061</v>
      </c>
      <c r="Y1272" s="3" t="n">
        <v>-1.387157</v>
      </c>
      <c r="Z1272" s="3" t="n">
        <v>-3.558437</v>
      </c>
      <c r="AA1272" s="3" t="n">
        <v>-0.948403</v>
      </c>
      <c r="AB1272" s="3" t="n">
        <v>-1.982627</v>
      </c>
      <c r="AC1272" s="3" t="n">
        <v>3.805848</v>
      </c>
      <c r="AD1272" s="3" t="n">
        <v>1.679907</v>
      </c>
      <c r="AE1272" s="3" t="n">
        <v>4.060504</v>
      </c>
      <c r="AF1272" s="3" t="n">
        <v>3.491868</v>
      </c>
      <c r="AG1272" s="3" t="n">
        <v>7.295869</v>
      </c>
      <c r="AH1272" s="3" t="n">
        <v>5.434856</v>
      </c>
      <c r="AI1272" s="3" t="n">
        <v>11.246768</v>
      </c>
      <c r="AJ1272" s="3" t="n">
        <v>8.412867</v>
      </c>
      <c r="AK1272" s="3" t="n">
        <v>9.010291</v>
      </c>
      <c r="AL1272" s="3" t="n">
        <v>10.233029</v>
      </c>
      <c r="AM1272" s="3" t="n"/>
      <c r="AN1272" s="3" t="n"/>
      <c r="AO1272" s="3" t="n"/>
      <c r="AP1272" s="3" t="n"/>
      <c r="AQ1272" s="3" t="n"/>
      <c r="AR1272" s="3" t="n"/>
      <c r="AS1272" s="3" t="n"/>
      <c r="AT1272" s="3" t="n"/>
      <c r="AU1272" s="3" t="n"/>
    </row>
    <row r="1273">
      <c r="A1273" s="3" t="n">
        <v>2031</v>
      </c>
      <c r="B1273" s="3" t="inlineStr">
        <is>
          <t>GUY</t>
        </is>
      </c>
      <c r="C1273" s="3" t="inlineStr">
        <is>
          <t>IMF.RES:WEO</t>
        </is>
      </c>
      <c r="D1273" s="3" t="inlineStr">
        <is>
          <t>GUY.BCA_NGDPD.A</t>
        </is>
      </c>
      <c r="E1273" s="3" t="inlineStr">
        <is>
          <t>Guyana</t>
        </is>
      </c>
      <c r="F1273" s="3" t="inlineStr">
        <is>
          <t>Current account balance (credit less debit), Percent of GDP</t>
        </is>
      </c>
      <c r="G1273" s="3" t="n">
        <v>-4.655667</v>
      </c>
      <c r="H1273" s="3" t="n">
        <v>-4.695028</v>
      </c>
      <c r="I1273" s="3" t="n">
        <v>-3.193872</v>
      </c>
      <c r="J1273" s="3" t="n">
        <v>-2.853874</v>
      </c>
      <c r="K1273" s="3" t="n">
        <v>-1.153488</v>
      </c>
      <c r="L1273" s="3" t="n">
        <v>-5.703991</v>
      </c>
      <c r="M1273" s="3" t="n">
        <v>-8.643173000000001</v>
      </c>
      <c r="N1273" s="3" t="n">
        <v>-5.906507</v>
      </c>
      <c r="O1273" s="3" t="n">
        <v>-9.323124999999999</v>
      </c>
      <c r="P1273" s="3" t="n">
        <v>-5.634588</v>
      </c>
      <c r="Q1273" s="3" t="n">
        <v>-6.504266</v>
      </c>
      <c r="R1273" s="3" t="n">
        <v>-9.421044999999999</v>
      </c>
      <c r="S1273" s="3" t="n">
        <v>-7.430962</v>
      </c>
      <c r="T1273" s="3" t="n">
        <v>-9.941433</v>
      </c>
      <c r="U1273" s="3" t="n">
        <v>-6.676049</v>
      </c>
      <c r="V1273" s="3" t="n">
        <v>-3.440235</v>
      </c>
      <c r="W1273" s="3" t="n">
        <v>1.453318</v>
      </c>
      <c r="X1273" s="3" t="n">
        <v>-4.887376</v>
      </c>
      <c r="Y1273" s="3" t="n">
        <v>-28.973725</v>
      </c>
      <c r="Z1273" s="3" t="n">
        <v>-68.778547</v>
      </c>
      <c r="AA1273" s="3" t="n">
        <v>-17.334275</v>
      </c>
      <c r="AB1273" s="3" t="n">
        <v>-24.655362</v>
      </c>
      <c r="AC1273" s="3" t="n">
        <v>25.857778</v>
      </c>
      <c r="AD1273" s="3" t="n">
        <v>9.929404999999999</v>
      </c>
      <c r="AE1273" s="3" t="n">
        <v>16.466831</v>
      </c>
      <c r="AF1273" s="3" t="n">
        <v>12.886323</v>
      </c>
      <c r="AG1273" s="3" t="n">
        <v>21.483316</v>
      </c>
      <c r="AH1273" s="3" t="n">
        <v>13.881952</v>
      </c>
      <c r="AI1273" s="3" t="n">
        <v>25.754503</v>
      </c>
      <c r="AJ1273" s="3" t="n">
        <v>17.355949</v>
      </c>
      <c r="AK1273" s="3" t="n">
        <v>17.868747</v>
      </c>
      <c r="AL1273" s="3" t="n">
        <v>19.251532</v>
      </c>
      <c r="AM1273" s="3" t="n"/>
      <c r="AN1273" s="3" t="n"/>
      <c r="AO1273" s="3" t="n"/>
      <c r="AP1273" s="3" t="n"/>
      <c r="AQ1273" s="3" t="n"/>
      <c r="AR1273" s="3" t="n"/>
      <c r="AS1273" s="3" t="n"/>
      <c r="AT1273" s="3" t="n"/>
      <c r="AU1273" s="3" t="n"/>
    </row>
    <row r="1274">
      <c r="A1274" s="3" t="n">
        <v>2031</v>
      </c>
      <c r="B1274" s="3" t="inlineStr">
        <is>
          <t>GUY</t>
        </is>
      </c>
      <c r="C1274" s="3" t="inlineStr">
        <is>
          <t>IMF.RES:WEO</t>
        </is>
      </c>
      <c r="D1274" s="3" t="inlineStr">
        <is>
          <t>GUY.GGR_NGDP.A</t>
        </is>
      </c>
      <c r="E1274" s="3" t="inlineStr">
        <is>
          <t>Guyana</t>
        </is>
      </c>
      <c r="F1274" s="3" t="inlineStr">
        <is>
          <t>Revenue, General government, Percent of GDP</t>
        </is>
      </c>
      <c r="G1274" s="3" t="n">
        <v>20.605282</v>
      </c>
      <c r="H1274" s="3" t="n">
        <v>20.311899</v>
      </c>
      <c r="I1274" s="3" t="n">
        <v>20.691328</v>
      </c>
      <c r="J1274" s="3" t="n">
        <v>18.690374</v>
      </c>
      <c r="K1274" s="3" t="n">
        <v>20.781393</v>
      </c>
      <c r="L1274" s="3" t="n">
        <v>21.834156</v>
      </c>
      <c r="M1274" s="3" t="n">
        <v>22.836676</v>
      </c>
      <c r="N1274" s="3" t="n">
        <v>22.123738</v>
      </c>
      <c r="O1274" s="3" t="n">
        <v>21.363839</v>
      </c>
      <c r="P1274" s="3" t="n">
        <v>22.863069</v>
      </c>
      <c r="Q1274" s="3" t="n">
        <v>22.043124</v>
      </c>
      <c r="R1274" s="3" t="n">
        <v>21.37952</v>
      </c>
      <c r="S1274" s="3" t="n">
        <v>18.734962</v>
      </c>
      <c r="T1274" s="3" t="n">
        <v>19.247037</v>
      </c>
      <c r="U1274" s="3" t="n">
        <v>19.221687</v>
      </c>
      <c r="V1274" s="3" t="n">
        <v>20.991221</v>
      </c>
      <c r="W1274" s="3" t="n">
        <v>21.970109</v>
      </c>
      <c r="X1274" s="3" t="n">
        <v>23.168847</v>
      </c>
      <c r="Y1274" s="3" t="n">
        <v>25.035162</v>
      </c>
      <c r="Z1274" s="3" t="n">
        <v>25.609572</v>
      </c>
      <c r="AA1274" s="3" t="n">
        <v>22.762655</v>
      </c>
      <c r="AB1274" s="3" t="n">
        <v>17.842383</v>
      </c>
      <c r="AC1274" s="3" t="n">
        <v>15.287151</v>
      </c>
      <c r="AD1274" s="3" t="n">
        <v>18.080888</v>
      </c>
      <c r="AE1274" s="3" t="n">
        <v>16.075221</v>
      </c>
      <c r="AF1274" s="3" t="n">
        <v>18.543003</v>
      </c>
      <c r="AG1274" s="3" t="n">
        <v>16.034262</v>
      </c>
      <c r="AH1274" s="3" t="n">
        <v>16.989975</v>
      </c>
      <c r="AI1274" s="3" t="n">
        <v>16.020773</v>
      </c>
      <c r="AJ1274" s="3" t="n">
        <v>17.355758</v>
      </c>
      <c r="AK1274" s="3" t="n">
        <v>18.275056</v>
      </c>
      <c r="AL1274" s="3" t="n">
        <v>18.041631</v>
      </c>
      <c r="AM1274" s="3" t="n"/>
      <c r="AN1274" s="3" t="n"/>
      <c r="AO1274" s="3" t="n"/>
      <c r="AP1274" s="3" t="n"/>
      <c r="AQ1274" s="3" t="n"/>
      <c r="AR1274" s="3" t="n"/>
      <c r="AS1274" s="3" t="n"/>
      <c r="AT1274" s="3" t="n"/>
      <c r="AU1274" s="3" t="n"/>
    </row>
    <row r="1275">
      <c r="A1275" s="3" t="n">
        <v>2031</v>
      </c>
      <c r="B1275" s="3" t="inlineStr">
        <is>
          <t>GUY</t>
        </is>
      </c>
      <c r="C1275" s="3" t="inlineStr">
        <is>
          <t>IMF.RES:WEO</t>
        </is>
      </c>
      <c r="D1275" s="3" t="inlineStr">
        <is>
          <t>GUY.GGX_NGDP.A</t>
        </is>
      </c>
      <c r="E1275" s="3" t="inlineStr">
        <is>
          <t>Guyana</t>
        </is>
      </c>
      <c r="F1275" s="3" t="inlineStr">
        <is>
          <t>Expenditure, General government, Percent of GDP</t>
        </is>
      </c>
      <c r="G1275" s="3" t="n">
        <v>22.878567</v>
      </c>
      <c r="H1275" s="3" t="n">
        <v>24.01943</v>
      </c>
      <c r="I1275" s="3" t="n">
        <v>23.110403</v>
      </c>
      <c r="J1275" s="3" t="n">
        <v>23.500602</v>
      </c>
      <c r="K1275" s="3" t="n">
        <v>23.661157</v>
      </c>
      <c r="L1275" s="3" t="n">
        <v>28.373893</v>
      </c>
      <c r="M1275" s="3" t="n">
        <v>28.999281</v>
      </c>
      <c r="N1275" s="3" t="n">
        <v>25.476746</v>
      </c>
      <c r="O1275" s="3" t="n">
        <v>24.139066</v>
      </c>
      <c r="P1275" s="3" t="n">
        <v>25.362282</v>
      </c>
      <c r="Q1275" s="3" t="n">
        <v>23.922586</v>
      </c>
      <c r="R1275" s="3" t="n">
        <v>23.513552</v>
      </c>
      <c r="S1275" s="3" t="n">
        <v>21.846102</v>
      </c>
      <c r="T1275" s="3" t="n">
        <v>21.409917</v>
      </c>
      <c r="U1275" s="3" t="n">
        <v>23.097978</v>
      </c>
      <c r="V1275" s="3" t="n">
        <v>21.74011</v>
      </c>
      <c r="W1275" s="3" t="n">
        <v>25.182602</v>
      </c>
      <c r="X1275" s="3" t="n">
        <v>26.304106</v>
      </c>
      <c r="Y1275" s="3" t="n">
        <v>27.554202</v>
      </c>
      <c r="Z1275" s="3" t="n">
        <v>28.126468</v>
      </c>
      <c r="AA1275" s="3" t="n">
        <v>30.54445</v>
      </c>
      <c r="AB1275" s="3" t="n">
        <v>24.780902</v>
      </c>
      <c r="AC1275" s="3" t="n">
        <v>20.38627</v>
      </c>
      <c r="AD1275" s="3" t="n">
        <v>23.700716</v>
      </c>
      <c r="AE1275" s="3" t="n">
        <v>23.346099</v>
      </c>
      <c r="AF1275" s="3" t="n">
        <v>23.914542</v>
      </c>
      <c r="AG1275" s="3" t="n">
        <v>22.441596</v>
      </c>
      <c r="AH1275" s="3" t="n">
        <v>20.820812</v>
      </c>
      <c r="AI1275" s="3" t="n">
        <v>20.210337</v>
      </c>
      <c r="AJ1275" s="3" t="n">
        <v>20.691308</v>
      </c>
      <c r="AK1275" s="3" t="n">
        <v>20.491947</v>
      </c>
      <c r="AL1275" s="3" t="n">
        <v>19.140828</v>
      </c>
      <c r="AM1275" s="3" t="n"/>
      <c r="AN1275" s="3" t="n"/>
      <c r="AO1275" s="3" t="n"/>
      <c r="AP1275" s="3" t="n"/>
      <c r="AQ1275" s="3" t="n"/>
      <c r="AR1275" s="3" t="n"/>
      <c r="AS1275" s="3" t="n"/>
      <c r="AT1275" s="3" t="n"/>
      <c r="AU1275" s="3" t="n"/>
    </row>
    <row r="1276">
      <c r="A1276" s="3" t="n">
        <v>2031</v>
      </c>
      <c r="B1276" s="3" t="inlineStr">
        <is>
          <t>GUY</t>
        </is>
      </c>
      <c r="C1276" s="3" t="inlineStr">
        <is>
          <t>IMF.RES:WEO</t>
        </is>
      </c>
      <c r="D1276" s="3" t="inlineStr">
        <is>
          <t>GUY.LP.A</t>
        </is>
      </c>
      <c r="E1276" s="3" t="inlineStr">
        <is>
          <t>Guyana</t>
        </is>
      </c>
      <c r="F1276" s="3" t="inlineStr">
        <is>
          <t>Population, Persons for countries / Index for country groups</t>
        </is>
      </c>
      <c r="G1276" s="3" t="n">
        <v>0.742</v>
      </c>
      <c r="H1276" s="3" t="n">
        <v>0.743163</v>
      </c>
      <c r="I1276" s="3" t="n">
        <v>0.743107</v>
      </c>
      <c r="J1276" s="3" t="n">
        <v>0.742537</v>
      </c>
      <c r="K1276" s="3" t="n">
        <v>0.742162</v>
      </c>
      <c r="L1276" s="3" t="n">
        <v>0.742495</v>
      </c>
      <c r="M1276" s="3" t="n">
        <v>0.744</v>
      </c>
      <c r="N1276" s="3" t="n">
        <v>0.746</v>
      </c>
      <c r="O1276" s="3" t="n">
        <v>0.748</v>
      </c>
      <c r="P1276" s="3" t="n">
        <v>0.751</v>
      </c>
      <c r="Q1276" s="3" t="n">
        <v>0.753</v>
      </c>
      <c r="R1276" s="3" t="n">
        <v>0.74883</v>
      </c>
      <c r="S1276" s="3" t="n">
        <v>0.74683</v>
      </c>
      <c r="T1276" s="3" t="n">
        <v>0.742007</v>
      </c>
      <c r="U1276" s="3" t="n">
        <v>0.736609</v>
      </c>
      <c r="V1276" s="3" t="n">
        <v>0.738592</v>
      </c>
      <c r="W1276" s="3" t="n">
        <v>0.746374</v>
      </c>
      <c r="X1276" s="3" t="n">
        <v>0.759134</v>
      </c>
      <c r="Y1276" s="3" t="n">
        <v>0.790948</v>
      </c>
      <c r="Z1276" s="3" t="n">
        <v>0.837954</v>
      </c>
      <c r="AA1276" s="3" t="n">
        <v>0.859834</v>
      </c>
      <c r="AB1276" s="3" t="n">
        <v>0.873924</v>
      </c>
      <c r="AC1276" s="3" t="n">
        <v>0.8960939999999999</v>
      </c>
      <c r="AD1276" s="3" t="n">
        <v>0.918083</v>
      </c>
      <c r="AE1276" s="3" t="n">
        <v>0.956044</v>
      </c>
      <c r="AF1276" s="3" t="n">
        <v>1.003846</v>
      </c>
      <c r="AG1276" s="3" t="n">
        <v>1.023923</v>
      </c>
      <c r="AH1276" s="3" t="n">
        <v>1.044402</v>
      </c>
      <c r="AI1276" s="3" t="n">
        <v>1.060068</v>
      </c>
      <c r="AJ1276" s="3" t="n">
        <v>1.075969</v>
      </c>
      <c r="AK1276" s="3" t="n">
        <v>1.086728</v>
      </c>
      <c r="AL1276" s="3" t="n">
        <v>1.097596</v>
      </c>
      <c r="AM1276" s="3" t="n"/>
      <c r="AN1276" s="3" t="n"/>
      <c r="AO1276" s="3" t="n"/>
      <c r="AP1276" s="3" t="n"/>
      <c r="AQ1276" s="3" t="n"/>
      <c r="AR1276" s="3" t="n"/>
      <c r="AS1276" s="3" t="n"/>
      <c r="AT1276" s="3" t="n"/>
      <c r="AU1276" s="3" t="n"/>
    </row>
    <row r="1277">
      <c r="A1277" s="3" t="n">
        <v>2031</v>
      </c>
      <c r="B1277" s="3" t="inlineStr">
        <is>
          <t>GUY</t>
        </is>
      </c>
      <c r="C1277" s="3" t="inlineStr">
        <is>
          <t>IMF.RES:WEO</t>
        </is>
      </c>
      <c r="D1277" s="3" t="inlineStr">
        <is>
          <t>GUY.NGDP.A</t>
        </is>
      </c>
      <c r="E1277" s="3" t="inlineStr">
        <is>
          <t>Guyana</t>
        </is>
      </c>
      <c r="F1277" s="3" t="inlineStr">
        <is>
          <t>Gross domestic product (GDP), Current prices, Domestic currency</t>
        </is>
      </c>
      <c r="G1277" s="3" t="n">
        <v>273.054367</v>
      </c>
      <c r="H1277" s="3" t="n">
        <v>281.707535</v>
      </c>
      <c r="I1277" s="3" t="n">
        <v>296.540147</v>
      </c>
      <c r="J1277" s="3" t="n">
        <v>308.669801</v>
      </c>
      <c r="K1277" s="3" t="n">
        <v>328.503161</v>
      </c>
      <c r="L1277" s="3" t="n">
        <v>342.156618</v>
      </c>
      <c r="M1277" s="3" t="n">
        <v>380.060619</v>
      </c>
      <c r="N1277" s="3" t="n">
        <v>449.982096</v>
      </c>
      <c r="O1277" s="3" t="n">
        <v>507.16271</v>
      </c>
      <c r="P1277" s="3" t="n">
        <v>529.552556</v>
      </c>
      <c r="Q1277" s="3" t="n">
        <v>588.4036</v>
      </c>
      <c r="R1277" s="3" t="n">
        <v>679.071833</v>
      </c>
      <c r="S1277" s="3" t="n">
        <v>830.3261680000001</v>
      </c>
      <c r="T1277" s="3" t="n">
        <v>856.042317</v>
      </c>
      <c r="U1277" s="3" t="n">
        <v>852.153</v>
      </c>
      <c r="V1277" s="3" t="n">
        <v>883.7870349999999</v>
      </c>
      <c r="W1277" s="3" t="n">
        <v>925.677</v>
      </c>
      <c r="X1277" s="3" t="n">
        <v>980.498</v>
      </c>
      <c r="Y1277" s="3" t="n">
        <v>994.471914</v>
      </c>
      <c r="Z1277" s="3" t="n">
        <v>1078.728861</v>
      </c>
      <c r="AA1277" s="3" t="n">
        <v>1140.757</v>
      </c>
      <c r="AB1277" s="3" t="n">
        <v>1676.624372</v>
      </c>
      <c r="AC1277" s="3" t="n">
        <v>3068.783693</v>
      </c>
      <c r="AD1277" s="3" t="n">
        <v>3527.508011</v>
      </c>
      <c r="AE1277" s="3" t="n">
        <v>5141.335251</v>
      </c>
      <c r="AF1277" s="3" t="n">
        <v>5649.822698</v>
      </c>
      <c r="AG1277" s="3" t="n">
        <v>7080.79094</v>
      </c>
      <c r="AH1277" s="3" t="n">
        <v>8162.882571</v>
      </c>
      <c r="AI1277" s="3" t="n">
        <v>9105.013727</v>
      </c>
      <c r="AJ1277" s="3" t="n">
        <v>10106.522128</v>
      </c>
      <c r="AK1277" s="3" t="n">
        <v>10513.583756</v>
      </c>
      <c r="AL1277" s="3" t="n">
        <v>11082.684216</v>
      </c>
      <c r="AM1277" s="3" t="n"/>
      <c r="AN1277" s="3" t="n"/>
      <c r="AO1277" s="3" t="n"/>
      <c r="AP1277" s="3" t="n"/>
      <c r="AQ1277" s="3" t="n"/>
      <c r="AR1277" s="3" t="n"/>
      <c r="AS1277" s="3" t="n"/>
      <c r="AT1277" s="3" t="n"/>
      <c r="AU1277" s="3" t="n"/>
    </row>
    <row r="1278">
      <c r="A1278" s="3" t="n">
        <v>2031</v>
      </c>
      <c r="B1278" s="3" t="inlineStr">
        <is>
          <t>GUY</t>
        </is>
      </c>
      <c r="C1278" s="3" t="inlineStr">
        <is>
          <t>IMF.RES:WEO</t>
        </is>
      </c>
      <c r="D1278" s="3" t="inlineStr">
        <is>
          <t>GUY.NGDP_D.A</t>
        </is>
      </c>
      <c r="E1278" s="3" t="inlineStr">
        <is>
          <t>Guyana</t>
        </is>
      </c>
      <c r="F1278" s="3" t="inlineStr">
        <is>
          <t>Gross domestic product (GDP), Price deflator, Index</t>
        </is>
      </c>
      <c r="G1278" s="3" t="n">
        <v>46.115163</v>
      </c>
      <c r="H1278" s="3" t="n">
        <v>46.524909</v>
      </c>
      <c r="I1278" s="3" t="n">
        <v>48.418004</v>
      </c>
      <c r="J1278" s="3" t="n">
        <v>50.729265</v>
      </c>
      <c r="K1278" s="3" t="n">
        <v>53.156252</v>
      </c>
      <c r="L1278" s="3" t="n">
        <v>56.462164</v>
      </c>
      <c r="M1278" s="3" t="n">
        <v>59.658389</v>
      </c>
      <c r="N1278" s="3" t="n">
        <v>66.000567</v>
      </c>
      <c r="O1278" s="3" t="n">
        <v>72.94558600000001</v>
      </c>
      <c r="P1278" s="3" t="n">
        <v>73.71946199999999</v>
      </c>
      <c r="Q1278" s="3" t="n">
        <v>78.481827</v>
      </c>
      <c r="R1278" s="3" t="n">
        <v>85.904506</v>
      </c>
      <c r="S1278" s="3" t="n">
        <v>99.999894</v>
      </c>
      <c r="T1278" s="3" t="n">
        <v>99.463314</v>
      </c>
      <c r="U1278" s="3" t="n">
        <v>97.369378</v>
      </c>
      <c r="V1278" s="3" t="n">
        <v>100.294548</v>
      </c>
      <c r="W1278" s="3" t="n">
        <v>101.195339</v>
      </c>
      <c r="X1278" s="3" t="n">
        <v>103.329553</v>
      </c>
      <c r="Y1278" s="3" t="n">
        <v>100.345852</v>
      </c>
      <c r="Z1278" s="3" t="n">
        <v>103.317285</v>
      </c>
      <c r="AA1278" s="3" t="n">
        <v>76.14889700000001</v>
      </c>
      <c r="AB1278" s="3" t="n">
        <v>93.21970899999999</v>
      </c>
      <c r="AC1278" s="3" t="n">
        <v>104.462478</v>
      </c>
      <c r="AD1278" s="3" t="n">
        <v>89.764976</v>
      </c>
      <c r="AE1278" s="3" t="n">
        <v>90.997225</v>
      </c>
      <c r="AF1278" s="3" t="n">
        <v>83.81370200000001</v>
      </c>
      <c r="AG1278" s="3" t="n">
        <v>90.42241199999999</v>
      </c>
      <c r="AH1278" s="3" t="n">
        <v>87.11115599999999</v>
      </c>
      <c r="AI1278" s="3" t="n">
        <v>79.586691</v>
      </c>
      <c r="AJ1278" s="3" t="n">
        <v>78.31777</v>
      </c>
      <c r="AK1278" s="3" t="n">
        <v>73.055385</v>
      </c>
      <c r="AL1278" s="3" t="n">
        <v>76.20404600000001</v>
      </c>
      <c r="AM1278" s="3" t="n"/>
      <c r="AN1278" s="3" t="n"/>
      <c r="AO1278" s="3" t="n"/>
      <c r="AP1278" s="3" t="n"/>
      <c r="AQ1278" s="3" t="n"/>
      <c r="AR1278" s="3" t="n"/>
      <c r="AS1278" s="3" t="n"/>
      <c r="AT1278" s="3" t="n"/>
      <c r="AU1278" s="3" t="n"/>
    </row>
    <row r="1279">
      <c r="A1279" s="3" t="n">
        <v>2031</v>
      </c>
      <c r="B1279" s="3" t="inlineStr">
        <is>
          <t>GUY</t>
        </is>
      </c>
      <c r="C1279" s="3" t="inlineStr">
        <is>
          <t>IMF.RES:WEO</t>
        </is>
      </c>
      <c r="D1279" s="3" t="inlineStr">
        <is>
          <t>GUY.NGDP_R.A</t>
        </is>
      </c>
      <c r="E1279" s="3" t="inlineStr">
        <is>
          <t>Guyana</t>
        </is>
      </c>
      <c r="F1279" s="3" t="inlineStr">
        <is>
          <t>Gross domestic product (GDP), Constant prices, Domestic currency</t>
        </is>
      </c>
      <c r="G1279" s="3" t="n">
        <v>592.114067</v>
      </c>
      <c r="H1279" s="3" t="n">
        <v>605.498301</v>
      </c>
      <c r="I1279" s="3" t="n">
        <v>612.458434</v>
      </c>
      <c r="J1279" s="3" t="n">
        <v>608.464955</v>
      </c>
      <c r="K1279" s="3" t="n">
        <v>617.995344</v>
      </c>
      <c r="L1279" s="3" t="n">
        <v>605.992742</v>
      </c>
      <c r="M1279" s="3" t="n">
        <v>637.0614870000001</v>
      </c>
      <c r="N1279" s="3" t="n">
        <v>681.7852</v>
      </c>
      <c r="O1279" s="3" t="n">
        <v>695.2616870000001</v>
      </c>
      <c r="P1279" s="3" t="n">
        <v>718.3348099999999</v>
      </c>
      <c r="Q1279" s="3" t="n">
        <v>749.732286</v>
      </c>
      <c r="R1279" s="3" t="n">
        <v>790.496176</v>
      </c>
      <c r="S1279" s="3" t="n">
        <v>830.327045</v>
      </c>
      <c r="T1279" s="3" t="n">
        <v>860.661368</v>
      </c>
      <c r="U1279" s="3" t="n">
        <v>875.175562</v>
      </c>
      <c r="V1279" s="3" t="n">
        <v>881.191502</v>
      </c>
      <c r="W1279" s="3" t="n">
        <v>914.742722</v>
      </c>
      <c r="X1279" s="3" t="n">
        <v>948.903746</v>
      </c>
      <c r="Y1279" s="3" t="n">
        <v>991.04437</v>
      </c>
      <c r="Z1279" s="3" t="n">
        <v>1044.093309</v>
      </c>
      <c r="AA1279" s="3" t="n">
        <v>1498.0611</v>
      </c>
      <c r="AB1279" s="3" t="n">
        <v>1798.572847</v>
      </c>
      <c r="AC1279" s="3" t="n">
        <v>2937.689935</v>
      </c>
      <c r="AD1279" s="3" t="n">
        <v>3929.715337</v>
      </c>
      <c r="AE1279" s="3" t="n">
        <v>5649.991236</v>
      </c>
      <c r="AF1279" s="3" t="n">
        <v>6740.929641</v>
      </c>
      <c r="AG1279" s="3" t="n">
        <v>7830.791912</v>
      </c>
      <c r="AH1279" s="3" t="n">
        <v>9370.651148999999</v>
      </c>
      <c r="AI1279" s="3" t="n">
        <v>11440.372319</v>
      </c>
      <c r="AJ1279" s="3" t="n">
        <v>12904.506942</v>
      </c>
      <c r="AK1279" s="3" t="n">
        <v>14391.250969</v>
      </c>
      <c r="AL1279" s="3" t="n">
        <v>14543.4327</v>
      </c>
      <c r="AM1279" s="3" t="n"/>
      <c r="AN1279" s="3" t="n"/>
      <c r="AO1279" s="3" t="n"/>
      <c r="AP1279" s="3" t="n"/>
      <c r="AQ1279" s="3" t="n"/>
      <c r="AR1279" s="3" t="n"/>
      <c r="AS1279" s="3" t="n"/>
      <c r="AT1279" s="3" t="n"/>
      <c r="AU1279" s="3" t="n"/>
    </row>
    <row r="1280">
      <c r="A1280" s="3" t="n">
        <v>2031</v>
      </c>
      <c r="B1280" s="3" t="inlineStr">
        <is>
          <t>GUY</t>
        </is>
      </c>
      <c r="C1280" s="3" t="inlineStr">
        <is>
          <t>IMF.RES:WEO</t>
        </is>
      </c>
      <c r="D1280" s="3" t="inlineStr">
        <is>
          <t>GUY.NGDP_RPCH.A</t>
        </is>
      </c>
      <c r="E1280" s="3" t="inlineStr">
        <is>
          <t>Guyana</t>
        </is>
      </c>
      <c r="F1280" s="3" t="inlineStr">
        <is>
          <t>Gross domestic product (GDP), Constant prices, Percent change</t>
        </is>
      </c>
      <c r="G1280" s="3" t="n">
        <v>-1.345374</v>
      </c>
      <c r="H1280" s="3" t="n">
        <v>2.260415</v>
      </c>
      <c r="I1280" s="3" t="n">
        <v>1.149488</v>
      </c>
      <c r="J1280" s="3" t="n">
        <v>-0.652041</v>
      </c>
      <c r="K1280" s="3" t="n">
        <v>1.5663</v>
      </c>
      <c r="L1280" s="3" t="n">
        <v>-1.942183</v>
      </c>
      <c r="M1280" s="3" t="n">
        <v>5.126917</v>
      </c>
      <c r="N1280" s="3" t="n">
        <v>7.020313</v>
      </c>
      <c r="O1280" s="3" t="n">
        <v>1.976647</v>
      </c>
      <c r="P1280" s="3" t="n">
        <v>3.318624</v>
      </c>
      <c r="Q1280" s="3" t="n">
        <v>4.370869</v>
      </c>
      <c r="R1280" s="3" t="n">
        <v>5.437126</v>
      </c>
      <c r="S1280" s="3" t="n">
        <v>5.038718</v>
      </c>
      <c r="T1280" s="3" t="n">
        <v>3.653298</v>
      </c>
      <c r="U1280" s="3" t="n">
        <v>1.6864</v>
      </c>
      <c r="V1280" s="3" t="n">
        <v>0.687398</v>
      </c>
      <c r="W1280" s="3" t="n">
        <v>3.807483</v>
      </c>
      <c r="X1280" s="3" t="n">
        <v>3.734495</v>
      </c>
      <c r="Y1280" s="3" t="n">
        <v>4.44098</v>
      </c>
      <c r="Z1280" s="3" t="n">
        <v>5.352832</v>
      </c>
      <c r="AA1280" s="3" t="n">
        <v>43.479619</v>
      </c>
      <c r="AB1280" s="3" t="n">
        <v>20.060046</v>
      </c>
      <c r="AC1280" s="3" t="n">
        <v>63.334498</v>
      </c>
      <c r="AD1280" s="3" t="n">
        <v>33.768894</v>
      </c>
      <c r="AE1280" s="3" t="n">
        <v>43.776094</v>
      </c>
      <c r="AF1280" s="3" t="n">
        <v>19.308674</v>
      </c>
      <c r="AG1280" s="3" t="n">
        <v>16.167833</v>
      </c>
      <c r="AH1280" s="3" t="n">
        <v>19.664157</v>
      </c>
      <c r="AI1280" s="3" t="n">
        <v>22.087272</v>
      </c>
      <c r="AJ1280" s="3" t="n">
        <v>12.797963</v>
      </c>
      <c r="AK1280" s="3" t="n">
        <v>11.521122</v>
      </c>
      <c r="AL1280" s="3" t="n">
        <v>1.05746</v>
      </c>
      <c r="AM1280" s="3" t="n"/>
      <c r="AN1280" s="3" t="n"/>
      <c r="AO1280" s="3" t="n"/>
      <c r="AP1280" s="3" t="n"/>
      <c r="AQ1280" s="3" t="n"/>
      <c r="AR1280" s="3" t="n"/>
      <c r="AS1280" s="3" t="n"/>
      <c r="AT1280" s="3" t="n"/>
      <c r="AU1280" s="3" t="n"/>
    </row>
    <row r="1281">
      <c r="A1281" s="3" t="n">
        <v>2031</v>
      </c>
      <c r="B1281" s="3" t="inlineStr">
        <is>
          <t>GUY</t>
        </is>
      </c>
      <c r="C1281" s="3" t="inlineStr">
        <is>
          <t>IMF.RES:WEO</t>
        </is>
      </c>
      <c r="D1281" s="3" t="inlineStr">
        <is>
          <t>GUY.NGDPD.A</t>
        </is>
      </c>
      <c r="E1281" s="3" t="inlineStr">
        <is>
          <t>Guyana</t>
        </is>
      </c>
      <c r="F1281" s="3" t="inlineStr">
        <is>
          <t>Gross domestic product (GDP), Current prices, US dollar</t>
        </is>
      </c>
      <c r="G1281" s="3" t="n">
        <v>1.496762</v>
      </c>
      <c r="H1281" s="3" t="n">
        <v>1.503877</v>
      </c>
      <c r="I1281" s="3" t="n">
        <v>1.555294</v>
      </c>
      <c r="J1281" s="3" t="n">
        <v>1.59208</v>
      </c>
      <c r="K1281" s="3" t="n">
        <v>1.657245</v>
      </c>
      <c r="L1281" s="3" t="n">
        <v>1.712124</v>
      </c>
      <c r="M1281" s="3" t="n">
        <v>1.898515</v>
      </c>
      <c r="N1281" s="3" t="n">
        <v>2.224734</v>
      </c>
      <c r="O1281" s="3" t="n">
        <v>2.490568</v>
      </c>
      <c r="P1281" s="3" t="n">
        <v>2.596482</v>
      </c>
      <c r="Q1281" s="3" t="n">
        <v>2.889489</v>
      </c>
      <c r="R1281" s="3" t="n">
        <v>3.328498</v>
      </c>
      <c r="S1281" s="3" t="n">
        <v>4.063089</v>
      </c>
      <c r="T1281" s="3" t="n">
        <v>4.167802</v>
      </c>
      <c r="U1281" s="3" t="n">
        <v>4.127665</v>
      </c>
      <c r="V1281" s="3" t="n">
        <v>4.27984</v>
      </c>
      <c r="W1281" s="3" t="n">
        <v>4.482697</v>
      </c>
      <c r="X1281" s="3" t="n">
        <v>4.748174</v>
      </c>
      <c r="Y1281" s="3" t="n">
        <v>4.787637</v>
      </c>
      <c r="Z1281" s="3" t="n">
        <v>5.17376</v>
      </c>
      <c r="AA1281" s="3" t="n">
        <v>5.471257</v>
      </c>
      <c r="AB1281" s="3" t="n">
        <v>8.041364</v>
      </c>
      <c r="AC1281" s="3" t="n">
        <v>14.718387</v>
      </c>
      <c r="AD1281" s="3" t="n">
        <v>16.918504</v>
      </c>
      <c r="AE1281" s="3" t="n">
        <v>24.658682</v>
      </c>
      <c r="AF1281" s="3" t="n">
        <v>27.097471</v>
      </c>
      <c r="AG1281" s="3" t="n">
        <v>33.960628</v>
      </c>
      <c r="AH1281" s="3" t="n">
        <v>39.150516</v>
      </c>
      <c r="AI1281" s="3" t="n">
        <v>43.669131</v>
      </c>
      <c r="AJ1281" s="3" t="n">
        <v>48.472528</v>
      </c>
      <c r="AK1281" s="3" t="n">
        <v>50.424862</v>
      </c>
      <c r="AL1281" s="3" t="n">
        <v>53.154361</v>
      </c>
      <c r="AM1281" s="3" t="n"/>
      <c r="AN1281" s="3" t="n"/>
      <c r="AO1281" s="3" t="n"/>
      <c r="AP1281" s="3" t="n"/>
      <c r="AQ1281" s="3" t="n"/>
      <c r="AR1281" s="3" t="n"/>
      <c r="AS1281" s="3" t="n"/>
      <c r="AT1281" s="3" t="n"/>
      <c r="AU1281" s="3" t="n"/>
    </row>
    <row r="1282">
      <c r="A1282" s="3" t="n">
        <v>2031</v>
      </c>
      <c r="B1282" s="3" t="inlineStr">
        <is>
          <t>GUY</t>
        </is>
      </c>
      <c r="C1282" s="3" t="inlineStr">
        <is>
          <t>IMF.RES:WEO</t>
        </is>
      </c>
      <c r="D1282" s="3" t="inlineStr">
        <is>
          <t>GUY.NGDPPC.A</t>
        </is>
      </c>
      <c r="E1282" s="3" t="inlineStr">
        <is>
          <t>Guyana</t>
        </is>
      </c>
      <c r="F1282" s="3" t="inlineStr">
        <is>
          <t>Gross domestic product (GDP), Current prices, Per capita, Domestic currency</t>
        </is>
      </c>
      <c r="G1282" s="3" t="n">
        <v>367997.799856</v>
      </c>
      <c r="H1282" s="3" t="n">
        <v>379065.609069</v>
      </c>
      <c r="I1282" s="3" t="n">
        <v>399054.438326</v>
      </c>
      <c r="J1282" s="3" t="n">
        <v>415696.1895</v>
      </c>
      <c r="K1282" s="3" t="n">
        <v>442629.992892</v>
      </c>
      <c r="L1282" s="3" t="n">
        <v>460820.096725</v>
      </c>
      <c r="M1282" s="3" t="n">
        <v>510834.164709</v>
      </c>
      <c r="N1282" s="3" t="n">
        <v>603193.158823</v>
      </c>
      <c r="O1282" s="3" t="n">
        <v>678025.013</v>
      </c>
      <c r="P1282" s="3" t="n">
        <v>705129.901872</v>
      </c>
      <c r="Q1282" s="3" t="n">
        <v>781412.4829600001</v>
      </c>
      <c r="R1282" s="3" t="n">
        <v>906843.786611</v>
      </c>
      <c r="S1282" s="3" t="n">
        <v>1111800.769184</v>
      </c>
      <c r="T1282" s="3" t="n">
        <v>1153684.961251</v>
      </c>
      <c r="U1282" s="3" t="n">
        <v>1156859.337858</v>
      </c>
      <c r="V1282" s="3" t="n">
        <v>1196583.54638</v>
      </c>
      <c r="W1282" s="3" t="n">
        <v>1240232.108836</v>
      </c>
      <c r="X1282" s="3" t="n">
        <v>1291600.692381</v>
      </c>
      <c r="Y1282" s="3" t="n">
        <v>1257316.427421</v>
      </c>
      <c r="Z1282" s="3" t="n">
        <v>1287336.609749</v>
      </c>
      <c r="AA1282" s="3" t="n">
        <v>1326717.71528</v>
      </c>
      <c r="AB1282" s="3" t="n">
        <v>1918501.347583</v>
      </c>
      <c r="AC1282" s="3" t="n">
        <v>3424622.520619</v>
      </c>
      <c r="AD1282" s="3" t="n">
        <v>3842253.925945</v>
      </c>
      <c r="AE1282" s="3" t="n">
        <v>5377718.233719</v>
      </c>
      <c r="AF1282" s="3" t="n">
        <v>5628175.608681</v>
      </c>
      <c r="AG1282" s="3" t="n">
        <v>6915354.0673</v>
      </c>
      <c r="AH1282" s="3" t="n">
        <v>7815846.582634</v>
      </c>
      <c r="AI1282" s="3" t="n">
        <v>8589087.751478</v>
      </c>
      <c r="AJ1282" s="3" t="n">
        <v>9392952.451056</v>
      </c>
      <c r="AK1282" s="3" t="n">
        <v>9674528.26337</v>
      </c>
      <c r="AL1282" s="3" t="n">
        <v>10097238.253173</v>
      </c>
      <c r="AM1282" s="3" t="n"/>
      <c r="AN1282" s="3" t="n"/>
      <c r="AO1282" s="3" t="n"/>
      <c r="AP1282" s="3" t="n"/>
      <c r="AQ1282" s="3" t="n"/>
      <c r="AR1282" s="3" t="n"/>
      <c r="AS1282" s="3" t="n"/>
      <c r="AT1282" s="3" t="n"/>
      <c r="AU1282" s="3" t="n"/>
    </row>
    <row r="1283">
      <c r="A1283" s="3" t="n">
        <v>2031</v>
      </c>
      <c r="B1283" s="3" t="inlineStr">
        <is>
          <t>GUY</t>
        </is>
      </c>
      <c r="C1283" s="3" t="inlineStr">
        <is>
          <t>IMF.RES:WEO</t>
        </is>
      </c>
      <c r="D1283" s="3" t="inlineStr">
        <is>
          <t>GUY.NGDPRPC.A</t>
        </is>
      </c>
      <c r="E1283" s="3" t="inlineStr">
        <is>
          <t>Guyana</t>
        </is>
      </c>
      <c r="F1283" s="3" t="inlineStr">
        <is>
          <t>Gross domestic product (GDP), Constant prices, Per capita, Domestic currency</t>
        </is>
      </c>
      <c r="G1283" s="3" t="n">
        <v>797997.395115</v>
      </c>
      <c r="H1283" s="3" t="n">
        <v>814758.40524</v>
      </c>
      <c r="I1283" s="3" t="n">
        <v>824186.064717</v>
      </c>
      <c r="J1283" s="3" t="n">
        <v>819440.586518</v>
      </c>
      <c r="K1283" s="3" t="n">
        <v>832696.020615</v>
      </c>
      <c r="L1283" s="3" t="n">
        <v>816157.3366330001</v>
      </c>
      <c r="M1283" s="3" t="n">
        <v>856265.439582</v>
      </c>
      <c r="N1283" s="3" t="n">
        <v>913921.1800469999</v>
      </c>
      <c r="O1283" s="3" t="n">
        <v>929494.234516</v>
      </c>
      <c r="P1283" s="3" t="n">
        <v>956504.407222</v>
      </c>
      <c r="Q1283" s="3" t="n">
        <v>995660.406825</v>
      </c>
      <c r="R1283" s="3" t="n">
        <v>1055641.702183</v>
      </c>
      <c r="S1283" s="3" t="n">
        <v>1111801.943533</v>
      </c>
      <c r="T1283" s="3" t="n">
        <v>1159910.037928</v>
      </c>
      <c r="U1283" s="3" t="n">
        <v>1188114.130796</v>
      </c>
      <c r="V1283" s="3" t="n">
        <v>1193069.382841</v>
      </c>
      <c r="W1283" s="3" t="n">
        <v>1225582.244356</v>
      </c>
      <c r="X1283" s="3" t="n">
        <v>1249981.881727</v>
      </c>
      <c r="Y1283" s="3" t="n">
        <v>1252982.964294</v>
      </c>
      <c r="Z1283" s="3" t="n">
        <v>1246003.132621</v>
      </c>
      <c r="AA1283" s="3" t="n">
        <v>1742267.809833</v>
      </c>
      <c r="AB1283" s="3" t="n">
        <v>2058042.629623</v>
      </c>
      <c r="AC1283" s="3" t="n">
        <v>3278327.870746</v>
      </c>
      <c r="AD1283" s="3" t="n">
        <v>4280348.658379</v>
      </c>
      <c r="AE1283" s="3" t="n">
        <v>5909760.676214</v>
      </c>
      <c r="AF1283" s="3" t="n">
        <v>6715102.015324</v>
      </c>
      <c r="AG1283" s="3" t="n">
        <v>7647831.88186</v>
      </c>
      <c r="AH1283" s="3" t="n">
        <v>8972268.206347</v>
      </c>
      <c r="AI1283" s="3" t="n">
        <v>10792115.717551</v>
      </c>
      <c r="AJ1283" s="3" t="n">
        <v>11993385.911757</v>
      </c>
      <c r="AK1283" s="3" t="n">
        <v>13242731.258302</v>
      </c>
      <c r="AL1283" s="3" t="n">
        <v>13250265.200398</v>
      </c>
      <c r="AM1283" s="3" t="n"/>
      <c r="AN1283" s="3" t="n"/>
      <c r="AO1283" s="3" t="n"/>
      <c r="AP1283" s="3" t="n"/>
      <c r="AQ1283" s="3" t="n"/>
      <c r="AR1283" s="3" t="n"/>
      <c r="AS1283" s="3" t="n"/>
      <c r="AT1283" s="3" t="n"/>
      <c r="AU1283" s="3" t="n"/>
    </row>
    <row r="1284">
      <c r="A1284" s="3" t="n">
        <v>2031</v>
      </c>
      <c r="B1284" s="3" t="inlineStr">
        <is>
          <t>GUY</t>
        </is>
      </c>
      <c r="C1284" s="3" t="inlineStr">
        <is>
          <t>IMF.RES:WEO</t>
        </is>
      </c>
      <c r="D1284" s="3" t="inlineStr">
        <is>
          <t>GUY.PCPI.A</t>
        </is>
      </c>
      <c r="E1284" s="3" t="inlineStr">
        <is>
          <t>Guyana</t>
        </is>
      </c>
      <c r="F1284" s="3" t="inlineStr">
        <is>
          <t>All Items, Consumer price index (CPI), Period average</t>
        </is>
      </c>
      <c r="G1284" s="3" t="n">
        <v>57.59306</v>
      </c>
      <c r="H1284" s="3" t="n">
        <v>59.118249</v>
      </c>
      <c r="I1284" s="3" t="n">
        <v>62.286699</v>
      </c>
      <c r="J1284" s="3" t="n">
        <v>66.010895</v>
      </c>
      <c r="K1284" s="3" t="n">
        <v>69.093552</v>
      </c>
      <c r="L1284" s="3" t="n">
        <v>73.878103</v>
      </c>
      <c r="M1284" s="3" t="n">
        <v>78.811061</v>
      </c>
      <c r="N1284" s="3" t="n">
        <v>88.426132</v>
      </c>
      <c r="O1284" s="3" t="n">
        <v>95.59043699999999</v>
      </c>
      <c r="P1284" s="3" t="n">
        <v>98.412554</v>
      </c>
      <c r="Q1284" s="3" t="n">
        <v>102.645833</v>
      </c>
      <c r="R1284" s="3" t="n">
        <v>107.17</v>
      </c>
      <c r="S1284" s="3" t="n">
        <v>109.7325</v>
      </c>
      <c r="T1284" s="3" t="n">
        <v>111.8275</v>
      </c>
      <c r="U1284" s="3" t="n">
        <v>112.5925</v>
      </c>
      <c r="V1284" s="3" t="n">
        <v>111.618333</v>
      </c>
      <c r="W1284" s="3" t="n">
        <v>112.539167</v>
      </c>
      <c r="X1284" s="3" t="n">
        <v>114.728333</v>
      </c>
      <c r="Y1284" s="3" t="n">
        <v>116.166667</v>
      </c>
      <c r="Z1284" s="3" t="n">
        <v>118.618333</v>
      </c>
      <c r="AA1284" s="3" t="n">
        <v>119.475833</v>
      </c>
      <c r="AB1284" s="3" t="n">
        <v>124.860833</v>
      </c>
      <c r="AC1284" s="3" t="n">
        <v>133.5175</v>
      </c>
      <c r="AD1284" s="3" t="n">
        <v>137.284167</v>
      </c>
      <c r="AE1284" s="3" t="n">
        <v>141.273333</v>
      </c>
      <c r="AF1284" s="3" t="n">
        <v>145.975833</v>
      </c>
      <c r="AG1284" s="3" t="n">
        <v>151.916749</v>
      </c>
      <c r="AH1284" s="3" t="n">
        <v>159.732769</v>
      </c>
      <c r="AI1284" s="3" t="n">
        <v>168.061082</v>
      </c>
      <c r="AJ1284" s="3" t="n">
        <v>177.150284</v>
      </c>
      <c r="AK1284" s="3" t="n">
        <v>186.944592</v>
      </c>
      <c r="AL1284" s="3" t="n">
        <v>197.28041</v>
      </c>
      <c r="AM1284" s="3" t="n"/>
      <c r="AN1284" s="3" t="n"/>
      <c r="AO1284" s="3" t="n"/>
      <c r="AP1284" s="3" t="n"/>
      <c r="AQ1284" s="3" t="n"/>
      <c r="AR1284" s="3" t="n"/>
      <c r="AS1284" s="3" t="n"/>
      <c r="AT1284" s="3" t="n"/>
      <c r="AU1284" s="3" t="n"/>
    </row>
    <row r="1285">
      <c r="A1285" s="3" t="n">
        <v>2031</v>
      </c>
      <c r="B1285" s="3" t="inlineStr">
        <is>
          <t>GUY</t>
        </is>
      </c>
      <c r="C1285" s="3" t="inlineStr">
        <is>
          <t>IMF.RES:WEO</t>
        </is>
      </c>
      <c r="D1285" s="3" t="inlineStr">
        <is>
          <t>GUY.PCPIPCH.A</t>
        </is>
      </c>
      <c r="E1285" s="3" t="inlineStr">
        <is>
          <t>Guyana</t>
        </is>
      </c>
      <c r="F1285" s="3" t="inlineStr">
        <is>
          <t>All Items, Consumer price index (CPI), Period average, percent change</t>
        </is>
      </c>
      <c r="G1285" s="3" t="n">
        <v>6.112028</v>
      </c>
      <c r="H1285" s="3" t="n">
        <v>2.648217</v>
      </c>
      <c r="I1285" s="3" t="n">
        <v>5.359513</v>
      </c>
      <c r="J1285" s="3" t="n">
        <v>5.979118</v>
      </c>
      <c r="K1285" s="3" t="n">
        <v>4.669922</v>
      </c>
      <c r="L1285" s="3" t="n">
        <v>6.924744</v>
      </c>
      <c r="M1285" s="3" t="n">
        <v>6.677158</v>
      </c>
      <c r="N1285" s="3" t="n">
        <v>12.200154</v>
      </c>
      <c r="O1285" s="3" t="n">
        <v>8.102022</v>
      </c>
      <c r="P1285" s="3" t="n">
        <v>2.952301</v>
      </c>
      <c r="Q1285" s="3" t="n">
        <v>4.301564</v>
      </c>
      <c r="R1285" s="3" t="n">
        <v>4.40755</v>
      </c>
      <c r="S1285" s="3" t="n">
        <v>2.391061</v>
      </c>
      <c r="T1285" s="3" t="n">
        <v>1.909188</v>
      </c>
      <c r="U1285" s="3" t="n">
        <v>0.6840889999999999</v>
      </c>
      <c r="V1285" s="3" t="n">
        <v>-0.865215</v>
      </c>
      <c r="W1285" s="3" t="n">
        <v>0.8249840000000001</v>
      </c>
      <c r="X1285" s="3" t="n">
        <v>1.945249</v>
      </c>
      <c r="Y1285" s="3" t="n">
        <v>1.253686</v>
      </c>
      <c r="Z1285" s="3" t="n">
        <v>2.110473</v>
      </c>
      <c r="AA1285" s="3" t="n">
        <v>0.722907</v>
      </c>
      <c r="AB1285" s="3" t="n">
        <v>4.507188</v>
      </c>
      <c r="AC1285" s="3" t="n">
        <v>6.933052</v>
      </c>
      <c r="AD1285" s="3" t="n">
        <v>2.821103</v>
      </c>
      <c r="AE1285" s="3" t="n">
        <v>2.905773</v>
      </c>
      <c r="AF1285" s="3" t="n">
        <v>3.328654</v>
      </c>
      <c r="AG1285" s="3" t="n">
        <v>4.069794</v>
      </c>
      <c r="AH1285" s="3" t="n">
        <v>5.144936</v>
      </c>
      <c r="AI1285" s="3" t="n">
        <v>5.213904</v>
      </c>
      <c r="AJ1285" s="3" t="n">
        <v>5.408273</v>
      </c>
      <c r="AK1285" s="3" t="n">
        <v>5.528813</v>
      </c>
      <c r="AL1285" s="3" t="n">
        <v>5.528813</v>
      </c>
      <c r="AM1285" s="3" t="n"/>
      <c r="AN1285" s="3" t="n"/>
      <c r="AO1285" s="3" t="n"/>
      <c r="AP1285" s="3" t="n"/>
      <c r="AQ1285" s="3" t="n"/>
      <c r="AR1285" s="3" t="n"/>
      <c r="AS1285" s="3" t="n"/>
      <c r="AT1285" s="3" t="n"/>
      <c r="AU1285" s="3" t="n"/>
    </row>
    <row r="1286">
      <c r="A1286" s="3" t="n">
        <v>2031</v>
      </c>
      <c r="B1286" s="3" t="inlineStr">
        <is>
          <t>GUY</t>
        </is>
      </c>
      <c r="C1286" s="3" t="inlineStr">
        <is>
          <t>IMF.RES:WEO</t>
        </is>
      </c>
      <c r="D1286" s="3" t="inlineStr">
        <is>
          <t>GUY.PPPPC.A</t>
        </is>
      </c>
      <c r="E1286" s="3" t="inlineStr">
        <is>
          <t>Guyana</t>
        </is>
      </c>
      <c r="F1286" s="3" t="inlineStr">
        <is>
          <t>Gross domestic product (GDP), Per capita, purchasing power parity (PPP) international dollar, ICP benchmarks 2017-2021</t>
        </is>
      </c>
      <c r="G1286" s="3" t="n">
        <v>5754.061725</v>
      </c>
      <c r="H1286" s="3" t="n">
        <v>6007.199996</v>
      </c>
      <c r="I1286" s="3" t="n">
        <v>6171.144217</v>
      </c>
      <c r="J1286" s="3" t="n">
        <v>6256.742373</v>
      </c>
      <c r="K1286" s="3" t="n">
        <v>6528.910477</v>
      </c>
      <c r="L1286" s="3" t="n">
        <v>6599.904373</v>
      </c>
      <c r="M1286" s="3" t="n">
        <v>7137.776341</v>
      </c>
      <c r="N1286" s="3" t="n">
        <v>7824.793858</v>
      </c>
      <c r="O1286" s="3" t="n">
        <v>8111.433208</v>
      </c>
      <c r="P1286" s="3" t="n">
        <v>8398.623677</v>
      </c>
      <c r="Q1286" s="3" t="n">
        <v>8848.687762</v>
      </c>
      <c r="R1286" s="3" t="n">
        <v>9575.325763999999</v>
      </c>
      <c r="S1286" s="3" t="n">
        <v>10272.504929</v>
      </c>
      <c r="T1286" s="3" t="n">
        <v>10899.404007</v>
      </c>
      <c r="U1286" s="3" t="n">
        <v>11358.883845</v>
      </c>
      <c r="V1286" s="3" t="n">
        <v>11512.11434</v>
      </c>
      <c r="W1286" s="3" t="n">
        <v>11938.207943</v>
      </c>
      <c r="X1286" s="3" t="n">
        <v>12393.937642</v>
      </c>
      <c r="Y1286" s="3" t="n">
        <v>12452.072166</v>
      </c>
      <c r="Z1286" s="3" t="n">
        <v>12762.356613</v>
      </c>
      <c r="AA1286" s="3" t="n">
        <v>15795.333052</v>
      </c>
      <c r="AB1286" s="3" t="n">
        <v>21336.816582</v>
      </c>
      <c r="AC1286" s="3" t="n">
        <v>36405.537773</v>
      </c>
      <c r="AD1286" s="3" t="n">
        <v>49291.621746</v>
      </c>
      <c r="AE1286" s="3" t="n">
        <v>69745.10877799999</v>
      </c>
      <c r="AF1286" s="3" t="n">
        <v>81497.613171</v>
      </c>
      <c r="AG1286" s="3" t="n">
        <v>95476.745746</v>
      </c>
      <c r="AH1286" s="3" t="n">
        <v>114470.875436</v>
      </c>
      <c r="AI1286" s="3" t="n">
        <v>139949.047829</v>
      </c>
      <c r="AJ1286" s="3" t="n">
        <v>158292.208525</v>
      </c>
      <c r="AK1286" s="3" t="n">
        <v>177993.088877</v>
      </c>
      <c r="AL1286" s="3" t="n">
        <v>181309.491706</v>
      </c>
      <c r="AM1286" s="3" t="n"/>
      <c r="AN1286" s="3" t="n"/>
      <c r="AO1286" s="3" t="n"/>
      <c r="AP1286" s="3" t="n"/>
      <c r="AQ1286" s="3" t="n"/>
      <c r="AR1286" s="3" t="n"/>
      <c r="AS1286" s="3" t="n"/>
      <c r="AT1286" s="3" t="n"/>
      <c r="AU1286" s="3" t="n"/>
    </row>
    <row r="1287">
      <c r="A1287" s="3" t="n">
        <v>2025</v>
      </c>
      <c r="B1287" s="3" t="inlineStr">
        <is>
          <t>GUY</t>
        </is>
      </c>
      <c r="C1287" s="3" t="inlineStr">
        <is>
          <t>IMF.STA:ER</t>
        </is>
      </c>
      <c r="D1287" s="3" t="inlineStr">
        <is>
          <t>GUY.XDC_USD.PA_RT.A</t>
        </is>
      </c>
      <c r="E1287" s="3" t="inlineStr">
        <is>
          <t>Guyana</t>
        </is>
      </c>
      <c r="F1287" s="3" t="inlineStr">
        <is>
          <t>Domestic currency per US Dollar</t>
        </is>
      </c>
      <c r="G1287" s="3" t="n">
        <v>182.43</v>
      </c>
      <c r="H1287" s="3" t="n">
        <v>187.320833333333</v>
      </c>
      <c r="I1287" s="3" t="n">
        <v>190.665</v>
      </c>
      <c r="J1287" s="3" t="n">
        <v>193.878333333333</v>
      </c>
      <c r="K1287" s="3" t="n">
        <v>198.3075</v>
      </c>
      <c r="L1287" s="3" t="n">
        <v>199.875</v>
      </c>
      <c r="M1287" s="3" t="n">
        <v>200.188333333333</v>
      </c>
      <c r="N1287" s="3" t="n">
        <v>202.346666666666</v>
      </c>
      <c r="O1287" s="3" t="n">
        <v>203.633333333333</v>
      </c>
      <c r="P1287" s="3" t="n">
        <v>203.95</v>
      </c>
      <c r="Q1287" s="3" t="n">
        <v>203.635833333333</v>
      </c>
      <c r="R1287" s="3" t="n">
        <v>204.0175</v>
      </c>
      <c r="S1287" s="3" t="n">
        <v>204.358333333333</v>
      </c>
      <c r="T1287" s="3" t="n">
        <v>205.394166666666</v>
      </c>
      <c r="U1287" s="3" t="n">
        <v>206.449166666666</v>
      </c>
      <c r="V1287" s="3" t="n">
        <v>206.5</v>
      </c>
      <c r="W1287" s="3" t="n">
        <v>206.5</v>
      </c>
      <c r="X1287" s="3" t="n">
        <v>206.5</v>
      </c>
      <c r="Y1287" s="3" t="n">
        <v>207.716666666666</v>
      </c>
      <c r="Z1287" s="3" t="n">
        <v>208.5</v>
      </c>
      <c r="AA1287" s="3" t="n">
        <v>208.5</v>
      </c>
      <c r="AB1287" s="3" t="n">
        <v>208.5</v>
      </c>
      <c r="AC1287" s="3" t="n">
        <v>208.5</v>
      </c>
      <c r="AD1287" s="3" t="n">
        <v>208.5</v>
      </c>
      <c r="AE1287" s="3" t="n">
        <v>208.5</v>
      </c>
      <c r="AF1287" s="3" t="n">
        <v>208.5</v>
      </c>
      <c r="AG1287" s="3" t="n"/>
      <c r="AH1287" s="3" t="n"/>
      <c r="AI1287" s="3" t="n"/>
      <c r="AJ1287" s="3" t="n"/>
      <c r="AK1287" s="3" t="n"/>
      <c r="AL1287" s="3" t="n"/>
      <c r="AM1287" s="3" t="n"/>
      <c r="AN1287" s="3" t="n"/>
      <c r="AO1287" s="3" t="n"/>
      <c r="AP1287" s="3" t="n"/>
      <c r="AQ1287" s="3" t="n"/>
      <c r="AR1287" s="3" t="n"/>
      <c r="AS1287" s="3" t="n"/>
      <c r="AT1287" s="3" t="n"/>
      <c r="AU1287" s="3" t="n"/>
    </row>
    <row r="1288">
      <c r="A1288" s="3" t="n">
        <v>2031</v>
      </c>
      <c r="B1288" s="3" t="inlineStr">
        <is>
          <t>GX1</t>
        </is>
      </c>
      <c r="C1288" s="3" t="inlineStr">
        <is>
          <t>IMF.RES:WEO</t>
        </is>
      </c>
      <c r="D1288" s="3" t="inlineStr">
        <is>
          <t>GX123.BCA.A</t>
        </is>
      </c>
      <c r="E1288" s="3" t="inlineStr">
        <is>
          <t>Other Advanced Economies (Advanced Economies excluding G7 and Euro Area countries)</t>
        </is>
      </c>
      <c r="F1288" s="3" t="inlineStr">
        <is>
          <t>Current account balance (credit less debit), US dollar</t>
        </is>
      </c>
      <c r="G1288" s="3" t="n">
        <v>81.368521</v>
      </c>
      <c r="H1288" s="3" t="n">
        <v>91.494747</v>
      </c>
      <c r="I1288" s="3" t="n">
        <v>96.88362100000001</v>
      </c>
      <c r="J1288" s="3" t="n">
        <v>141.570151</v>
      </c>
      <c r="K1288" s="3" t="n">
        <v>154.907402</v>
      </c>
      <c r="L1288" s="3" t="n">
        <v>159.169728</v>
      </c>
      <c r="M1288" s="3" t="n">
        <v>192.001083</v>
      </c>
      <c r="N1288" s="3" t="n">
        <v>179.263674</v>
      </c>
      <c r="O1288" s="3" t="n">
        <v>157.04999</v>
      </c>
      <c r="P1288" s="3" t="n">
        <v>199.922759</v>
      </c>
      <c r="Q1288" s="3" t="n">
        <v>277.066459</v>
      </c>
      <c r="R1288" s="3" t="n">
        <v>261.743662</v>
      </c>
      <c r="S1288" s="3" t="n">
        <v>271.511937</v>
      </c>
      <c r="T1288" s="3" t="n">
        <v>335.538173</v>
      </c>
      <c r="U1288" s="3" t="n">
        <v>348.25665</v>
      </c>
      <c r="V1288" s="3" t="n">
        <v>347.312791</v>
      </c>
      <c r="W1288" s="3" t="n">
        <v>324.062134</v>
      </c>
      <c r="X1288" s="3" t="n">
        <v>321.065359</v>
      </c>
      <c r="Y1288" s="3" t="n">
        <v>323.423825</v>
      </c>
      <c r="Z1288" s="3" t="n">
        <v>330.140855</v>
      </c>
      <c r="AA1288" s="3" t="n">
        <v>372.417053</v>
      </c>
      <c r="AB1288" s="3" t="n">
        <v>577.359211</v>
      </c>
      <c r="AC1288" s="3" t="n">
        <v>562.837869</v>
      </c>
      <c r="AD1288" s="3" t="n">
        <v>483.615568</v>
      </c>
      <c r="AE1288" s="3" t="n">
        <v>608.699641</v>
      </c>
      <c r="AF1288" s="3" t="n">
        <v>657.313922</v>
      </c>
      <c r="AG1288" s="3" t="n">
        <v>685.154295</v>
      </c>
      <c r="AH1288" s="3" t="n">
        <v>705.682065</v>
      </c>
      <c r="AI1288" s="3" t="n">
        <v>721.9234</v>
      </c>
      <c r="AJ1288" s="3" t="n">
        <v>742.389894</v>
      </c>
      <c r="AK1288" s="3" t="n">
        <v>763.691768</v>
      </c>
      <c r="AL1288" s="3" t="n">
        <v>779.6660419999999</v>
      </c>
      <c r="AM1288" s="3" t="n"/>
      <c r="AN1288" s="3" t="n"/>
      <c r="AO1288" s="3" t="n"/>
      <c r="AP1288" s="3" t="n"/>
      <c r="AQ1288" s="3" t="n"/>
      <c r="AR1288" s="3" t="n"/>
      <c r="AS1288" s="3" t="n"/>
      <c r="AT1288" s="3" t="n"/>
      <c r="AU1288" s="3" t="n"/>
    </row>
    <row r="1289">
      <c r="A1289" s="3" t="n">
        <v>2031</v>
      </c>
      <c r="B1289" s="3" t="inlineStr">
        <is>
          <t>GX1</t>
        </is>
      </c>
      <c r="C1289" s="3" t="inlineStr">
        <is>
          <t>IMF.RES:WEO</t>
        </is>
      </c>
      <c r="D1289" s="3" t="inlineStr">
        <is>
          <t>GX123.BCA_NGDPD.A</t>
        </is>
      </c>
      <c r="E1289" s="3" t="inlineStr">
        <is>
          <t>Other Advanced Economies (Advanced Economies excluding G7 and Euro Area countries)</t>
        </is>
      </c>
      <c r="F1289" s="3" t="inlineStr">
        <is>
          <t>Current account balance (credit less debit), Percent of GDP</t>
        </is>
      </c>
      <c r="G1289" s="3" t="n">
        <v>2.970696</v>
      </c>
      <c r="H1289" s="3" t="n">
        <v>3.464846</v>
      </c>
      <c r="I1289" s="3" t="n">
        <v>3.35867</v>
      </c>
      <c r="J1289" s="3" t="n">
        <v>4.252417</v>
      </c>
      <c r="K1289" s="3" t="n">
        <v>4.065154</v>
      </c>
      <c r="L1289" s="3" t="n">
        <v>3.778478</v>
      </c>
      <c r="M1289" s="3" t="n">
        <v>4.201864</v>
      </c>
      <c r="N1289" s="3" t="n">
        <v>3.42165</v>
      </c>
      <c r="O1289" s="3" t="n">
        <v>2.839643</v>
      </c>
      <c r="P1289" s="3" t="n">
        <v>3.936215</v>
      </c>
      <c r="Q1289" s="3" t="n">
        <v>4.722409</v>
      </c>
      <c r="R1289" s="3" t="n">
        <v>3.899122</v>
      </c>
      <c r="S1289" s="3" t="n">
        <v>4.009662</v>
      </c>
      <c r="T1289" s="3" t="n">
        <v>4.785425</v>
      </c>
      <c r="U1289" s="3" t="n">
        <v>4.868272</v>
      </c>
      <c r="V1289" s="3" t="n">
        <v>5.280732</v>
      </c>
      <c r="W1289" s="3" t="n">
        <v>4.825484</v>
      </c>
      <c r="X1289" s="3" t="n">
        <v>4.441036</v>
      </c>
      <c r="Y1289" s="3" t="n">
        <v>4.241595</v>
      </c>
      <c r="Z1289" s="3" t="n">
        <v>4.406565</v>
      </c>
      <c r="AA1289" s="3" t="n">
        <v>4.996948</v>
      </c>
      <c r="AB1289" s="3" t="n">
        <v>6.644455</v>
      </c>
      <c r="AC1289" s="3" t="n">
        <v>6.4259</v>
      </c>
      <c r="AD1289" s="3" t="n">
        <v>5.458217</v>
      </c>
      <c r="AE1289" s="3" t="n">
        <v>6.613844</v>
      </c>
      <c r="AF1289" s="3" t="n">
        <v>6.753049</v>
      </c>
      <c r="AG1289" s="3" t="n">
        <v>6.404618</v>
      </c>
      <c r="AH1289" s="3" t="n">
        <v>6.325309</v>
      </c>
      <c r="AI1289" s="3" t="n">
        <v>6.213707</v>
      </c>
      <c r="AJ1289" s="3" t="n">
        <v>6.141121</v>
      </c>
      <c r="AK1289" s="3" t="n">
        <v>6.063736</v>
      </c>
      <c r="AL1289" s="3" t="n">
        <v>5.947525</v>
      </c>
      <c r="AM1289" s="3" t="n"/>
      <c r="AN1289" s="3" t="n"/>
      <c r="AO1289" s="3" t="n"/>
      <c r="AP1289" s="3" t="n"/>
      <c r="AQ1289" s="3" t="n"/>
      <c r="AR1289" s="3" t="n"/>
      <c r="AS1289" s="3" t="n"/>
      <c r="AT1289" s="3" t="n"/>
      <c r="AU1289" s="3" t="n"/>
    </row>
    <row r="1290">
      <c r="A1290" s="3" t="n">
        <v>2031</v>
      </c>
      <c r="B1290" s="3" t="inlineStr">
        <is>
          <t>GX1</t>
        </is>
      </c>
      <c r="C1290" s="3" t="inlineStr">
        <is>
          <t>IMF.RES:WEO</t>
        </is>
      </c>
      <c r="D1290" s="3" t="inlineStr">
        <is>
          <t>GX123.GGR_NGDP.A</t>
        </is>
      </c>
      <c r="E1290" s="3" t="inlineStr">
        <is>
          <t>Other Advanced Economies (Advanced Economies excluding G7 and Euro Area countries)</t>
        </is>
      </c>
      <c r="F1290" s="3" t="inlineStr">
        <is>
          <t>Revenue, General government, Percent of GDP</t>
        </is>
      </c>
      <c r="G1290" s="3" t="n">
        <v>34.001834</v>
      </c>
      <c r="H1290" s="3" t="n">
        <v>32.333099</v>
      </c>
      <c r="I1290" s="3" t="n">
        <v>31.848345</v>
      </c>
      <c r="J1290" s="3" t="n">
        <v>33.051477</v>
      </c>
      <c r="K1290" s="3" t="n">
        <v>33.136093</v>
      </c>
      <c r="L1290" s="3" t="n">
        <v>33.399363</v>
      </c>
      <c r="M1290" s="3" t="n">
        <v>33.431367</v>
      </c>
      <c r="N1290" s="3" t="n">
        <v>33.884381</v>
      </c>
      <c r="O1290" s="3" t="n">
        <v>34.053175</v>
      </c>
      <c r="P1290" s="3" t="n">
        <v>32.717987</v>
      </c>
      <c r="Q1290" s="3" t="n">
        <v>31.836711</v>
      </c>
      <c r="R1290" s="3" t="n">
        <v>32.428391</v>
      </c>
      <c r="S1290" s="3" t="n">
        <v>32.451113</v>
      </c>
      <c r="T1290" s="3" t="n">
        <v>32.316271</v>
      </c>
      <c r="U1290" s="3" t="n">
        <v>31.670595</v>
      </c>
      <c r="V1290" s="3" t="n">
        <v>30.849695</v>
      </c>
      <c r="W1290" s="3" t="n">
        <v>31.276077</v>
      </c>
      <c r="X1290" s="3" t="n">
        <v>31.548755</v>
      </c>
      <c r="Y1290" s="3" t="n">
        <v>31.693711</v>
      </c>
      <c r="Z1290" s="3" t="n">
        <v>31.44052</v>
      </c>
      <c r="AA1290" s="3" t="n">
        <v>31.320831</v>
      </c>
      <c r="AB1290" s="3" t="n">
        <v>32.478021</v>
      </c>
      <c r="AC1290" s="3" t="n">
        <v>32.99259</v>
      </c>
      <c r="AD1290" s="3" t="n">
        <v>31.979256</v>
      </c>
      <c r="AE1290" s="3" t="n">
        <v>31.941664</v>
      </c>
      <c r="AF1290" s="3" t="n">
        <v>32.3908</v>
      </c>
      <c r="AG1290" s="3" t="n">
        <v>32.777126</v>
      </c>
      <c r="AH1290" s="3" t="n">
        <v>32.430035</v>
      </c>
      <c r="AI1290" s="3" t="n">
        <v>32.36333</v>
      </c>
      <c r="AJ1290" s="3" t="n">
        <v>32.347893</v>
      </c>
      <c r="AK1290" s="3" t="n">
        <v>32.28849</v>
      </c>
      <c r="AL1290" s="3" t="n">
        <v>32.241674</v>
      </c>
      <c r="AM1290" s="3" t="n"/>
      <c r="AN1290" s="3" t="n"/>
      <c r="AO1290" s="3" t="n"/>
      <c r="AP1290" s="3" t="n"/>
      <c r="AQ1290" s="3" t="n"/>
      <c r="AR1290" s="3" t="n"/>
      <c r="AS1290" s="3" t="n"/>
      <c r="AT1290" s="3" t="n"/>
      <c r="AU1290" s="3" t="n"/>
    </row>
    <row r="1291">
      <c r="A1291" s="3" t="n">
        <v>2031</v>
      </c>
      <c r="B1291" s="3" t="inlineStr">
        <is>
          <t>GX1</t>
        </is>
      </c>
      <c r="C1291" s="3" t="inlineStr">
        <is>
          <t>IMF.RES:WEO</t>
        </is>
      </c>
      <c r="D1291" s="3" t="inlineStr">
        <is>
          <t>GX123.GGX_NGDP.A</t>
        </is>
      </c>
      <c r="E1291" s="3" t="inlineStr">
        <is>
          <t>Other Advanced Economies (Advanced Economies excluding G7 and Euro Area countries)</t>
        </is>
      </c>
      <c r="F1291" s="3" t="inlineStr">
        <is>
          <t>Expenditure, General government, Percent of GDP</t>
        </is>
      </c>
      <c r="G1291" s="3" t="n">
        <v>32.232503</v>
      </c>
      <c r="H1291" s="3" t="n">
        <v>31.963006</v>
      </c>
      <c r="I1291" s="3" t="n">
        <v>32.040411</v>
      </c>
      <c r="J1291" s="3" t="n">
        <v>33.186916</v>
      </c>
      <c r="K1291" s="3" t="n">
        <v>32.5585</v>
      </c>
      <c r="L1291" s="3" t="n">
        <v>31.47046</v>
      </c>
      <c r="M1291" s="3" t="n">
        <v>30.77481</v>
      </c>
      <c r="N1291" s="3" t="n">
        <v>30.449656</v>
      </c>
      <c r="O1291" s="3" t="n">
        <v>32.048354</v>
      </c>
      <c r="P1291" s="3" t="n">
        <v>33.917855</v>
      </c>
      <c r="Q1291" s="3" t="n">
        <v>32.27209</v>
      </c>
      <c r="R1291" s="3" t="n">
        <v>32.222412</v>
      </c>
      <c r="S1291" s="3" t="n">
        <v>32.214275</v>
      </c>
      <c r="T1291" s="3" t="n">
        <v>32.178984</v>
      </c>
      <c r="U1291" s="3" t="n">
        <v>31.519672</v>
      </c>
      <c r="V1291" s="3" t="n">
        <v>30.88826</v>
      </c>
      <c r="W1291" s="3" t="n">
        <v>30.797316</v>
      </c>
      <c r="X1291" s="3" t="n">
        <v>30.386043</v>
      </c>
      <c r="Y1291" s="3" t="n">
        <v>30.564559</v>
      </c>
      <c r="Z1291" s="3" t="n">
        <v>31.572928</v>
      </c>
      <c r="AA1291" s="3" t="n">
        <v>36.003353</v>
      </c>
      <c r="AB1291" s="3" t="n">
        <v>33.581073</v>
      </c>
      <c r="AC1291" s="3" t="n">
        <v>32.315906</v>
      </c>
      <c r="AD1291" s="3" t="n">
        <v>32.136372</v>
      </c>
      <c r="AE1291" s="3" t="n">
        <v>32.44682</v>
      </c>
      <c r="AF1291" s="3" t="n">
        <v>33.233015</v>
      </c>
      <c r="AG1291" s="3" t="n">
        <v>33.863644</v>
      </c>
      <c r="AH1291" s="3" t="n">
        <v>33.374655</v>
      </c>
      <c r="AI1291" s="3" t="n">
        <v>33.220165</v>
      </c>
      <c r="AJ1291" s="3" t="n">
        <v>33.097585</v>
      </c>
      <c r="AK1291" s="3" t="n">
        <v>33.057741</v>
      </c>
      <c r="AL1291" s="3" t="n">
        <v>33.034741</v>
      </c>
      <c r="AM1291" s="3" t="n"/>
      <c r="AN1291" s="3" t="n"/>
      <c r="AO1291" s="3" t="n"/>
      <c r="AP1291" s="3" t="n"/>
      <c r="AQ1291" s="3" t="n"/>
      <c r="AR1291" s="3" t="n"/>
      <c r="AS1291" s="3" t="n"/>
      <c r="AT1291" s="3" t="n"/>
      <c r="AU1291" s="3" t="n"/>
    </row>
    <row r="1292">
      <c r="A1292" s="3" t="n">
        <v>2027</v>
      </c>
      <c r="B1292" s="3" t="inlineStr">
        <is>
          <t>GX1</t>
        </is>
      </c>
      <c r="C1292" s="3" t="inlineStr">
        <is>
          <t>IMF.RES:WEO</t>
        </is>
      </c>
      <c r="D1292" s="3" t="inlineStr">
        <is>
          <t>GX123.LE.A</t>
        </is>
      </c>
      <c r="E1292" s="3" t="inlineStr">
        <is>
          <t>Other Advanced Economies (Advanced Economies excluding G7 and Euro Area countries)</t>
        </is>
      </c>
      <c r="F1292" s="3" t="inlineStr">
        <is>
          <t>Employed persons, Persons for countries / Index for country groups</t>
        </is>
      </c>
      <c r="G1292" s="3" t="n">
        <v>94.04173900000001</v>
      </c>
      <c r="H1292" s="3" t="n">
        <v>95.11399299999999</v>
      </c>
      <c r="I1292" s="3" t="n">
        <v>96.482068</v>
      </c>
      <c r="J1292" s="3" t="n">
        <v>96.90365</v>
      </c>
      <c r="K1292" s="3" t="n">
        <v>98.40478400000001</v>
      </c>
      <c r="L1292" s="3" t="n">
        <v>100</v>
      </c>
      <c r="M1292" s="3" t="n">
        <v>102.169995</v>
      </c>
      <c r="N1292" s="3" t="n">
        <v>104.60819</v>
      </c>
      <c r="O1292" s="3" t="n">
        <v>106.472725</v>
      </c>
      <c r="P1292" s="3" t="n">
        <v>105.879842</v>
      </c>
      <c r="Q1292" s="3" t="n">
        <v>107.102119</v>
      </c>
      <c r="R1292" s="3" t="n">
        <v>109.105611</v>
      </c>
      <c r="S1292" s="3" t="n">
        <v>110.745069</v>
      </c>
      <c r="T1292" s="3" t="n">
        <v>112.189106</v>
      </c>
      <c r="U1292" s="3" t="n">
        <v>114.06376</v>
      </c>
      <c r="V1292" s="3" t="n">
        <v>115.663881</v>
      </c>
      <c r="W1292" s="3" t="n">
        <v>117.099944</v>
      </c>
      <c r="X1292" s="3" t="n">
        <v>118.687168</v>
      </c>
      <c r="Y1292" s="3" t="n">
        <v>119.905545</v>
      </c>
      <c r="Z1292" s="3" t="n">
        <v>121.245964</v>
      </c>
      <c r="AA1292" s="3" t="n">
        <v>119.950955</v>
      </c>
      <c r="AB1292" s="3" t="n">
        <v>121.334265</v>
      </c>
      <c r="AC1292" s="3" t="n">
        <v>124.428661</v>
      </c>
      <c r="AD1292" s="3" t="n">
        <v>126.775649</v>
      </c>
      <c r="AE1292" s="3" t="n">
        <v>127.917656</v>
      </c>
      <c r="AF1292" s="3" t="n">
        <v>128.77369</v>
      </c>
      <c r="AG1292" s="3" t="n">
        <v>129.646241</v>
      </c>
      <c r="AH1292" s="3" t="n">
        <v>130.829824</v>
      </c>
      <c r="AI1292" s="3" t="n"/>
      <c r="AJ1292" s="3" t="n"/>
      <c r="AK1292" s="3" t="n"/>
      <c r="AL1292" s="3" t="n"/>
      <c r="AM1292" s="3" t="n"/>
      <c r="AN1292" s="3" t="n"/>
      <c r="AO1292" s="3" t="n"/>
      <c r="AP1292" s="3" t="n"/>
      <c r="AQ1292" s="3" t="n"/>
      <c r="AR1292" s="3" t="n"/>
      <c r="AS1292" s="3" t="n"/>
      <c r="AT1292" s="3" t="n"/>
      <c r="AU1292" s="3" t="n"/>
    </row>
    <row r="1293">
      <c r="A1293" s="3" t="n">
        <v>2031</v>
      </c>
      <c r="B1293" s="3" t="inlineStr">
        <is>
          <t>GX1</t>
        </is>
      </c>
      <c r="C1293" s="3" t="inlineStr">
        <is>
          <t>IMF.RES:WEO</t>
        </is>
      </c>
      <c r="D1293" s="3" t="inlineStr">
        <is>
          <t>GX123.NGDP_D.A</t>
        </is>
      </c>
      <c r="E1293" s="3" t="inlineStr">
        <is>
          <t>Other Advanced Economies (Advanced Economies excluding G7 and Euro Area countries)</t>
        </is>
      </c>
      <c r="F1293" s="3" t="inlineStr">
        <is>
          <t>Gross domestic product (GDP), Price deflator, Index</t>
        </is>
      </c>
      <c r="G1293" s="3" t="n">
        <v>91.648668</v>
      </c>
      <c r="H1293" s="3" t="n">
        <v>93.616609</v>
      </c>
      <c r="I1293" s="3" t="n">
        <v>94.943303</v>
      </c>
      <c r="J1293" s="3" t="n">
        <v>96.23001600000001</v>
      </c>
      <c r="K1293" s="3" t="n">
        <v>98.221631</v>
      </c>
      <c r="L1293" s="3" t="n">
        <v>100</v>
      </c>
      <c r="M1293" s="3" t="n">
        <v>101.721266</v>
      </c>
      <c r="N1293" s="3" t="n">
        <v>104.531819</v>
      </c>
      <c r="O1293" s="3" t="n">
        <v>107.412032</v>
      </c>
      <c r="P1293" s="3" t="n">
        <v>109.086891</v>
      </c>
      <c r="Q1293" s="3" t="n">
        <v>111.302202</v>
      </c>
      <c r="R1293" s="3" t="n">
        <v>113.083125</v>
      </c>
      <c r="S1293" s="3" t="n">
        <v>114.391471</v>
      </c>
      <c r="T1293" s="3" t="n">
        <v>115.842747</v>
      </c>
      <c r="U1293" s="3" t="n">
        <v>117.127855</v>
      </c>
      <c r="V1293" s="3" t="n">
        <v>119.197213</v>
      </c>
      <c r="W1293" s="3" t="n">
        <v>120.457129</v>
      </c>
      <c r="X1293" s="3" t="n">
        <v>122.610838</v>
      </c>
      <c r="Y1293" s="3" t="n">
        <v>124.595569</v>
      </c>
      <c r="Z1293" s="3" t="n">
        <v>125.780932</v>
      </c>
      <c r="AA1293" s="3" t="n">
        <v>127.291804</v>
      </c>
      <c r="AB1293" s="3" t="n">
        <v>132.950266</v>
      </c>
      <c r="AC1293" s="3" t="n">
        <v>141.17626</v>
      </c>
      <c r="AD1293" s="3" t="n">
        <v>143.670387</v>
      </c>
      <c r="AE1293" s="3" t="n">
        <v>148.52171</v>
      </c>
      <c r="AF1293" s="3" t="n">
        <v>151.54156</v>
      </c>
      <c r="AG1293" s="3" t="n">
        <v>155.246318</v>
      </c>
      <c r="AH1293" s="3" t="n">
        <v>158.199353</v>
      </c>
      <c r="AI1293" s="3" t="n">
        <v>161.246881</v>
      </c>
      <c r="AJ1293" s="3" t="n">
        <v>164.365116</v>
      </c>
      <c r="AK1293" s="3" t="n">
        <v>167.516245</v>
      </c>
      <c r="AL1293" s="3" t="n">
        <v>170.741093</v>
      </c>
      <c r="AM1293" s="3" t="n"/>
      <c r="AN1293" s="3" t="n"/>
      <c r="AO1293" s="3" t="n"/>
      <c r="AP1293" s="3" t="n"/>
      <c r="AQ1293" s="3" t="n"/>
      <c r="AR1293" s="3" t="n"/>
      <c r="AS1293" s="3" t="n"/>
      <c r="AT1293" s="3" t="n"/>
      <c r="AU1293" s="3" t="n"/>
    </row>
    <row r="1294">
      <c r="A1294" s="3" t="n">
        <v>2031</v>
      </c>
      <c r="B1294" s="3" t="inlineStr">
        <is>
          <t>GX1</t>
        </is>
      </c>
      <c r="C1294" s="3" t="inlineStr">
        <is>
          <t>IMF.RES:WEO</t>
        </is>
      </c>
      <c r="D1294" s="3" t="inlineStr">
        <is>
          <t>GX123.NGDP_RPCH.A</t>
        </is>
      </c>
      <c r="E1294" s="3" t="inlineStr">
        <is>
          <t>Other Advanced Economies (Advanced Economies excluding G7 and Euro Area countries)</t>
        </is>
      </c>
      <c r="F1294" s="3" t="inlineStr">
        <is>
          <t>Gross domestic product (GDP), Constant prices, Percent change</t>
        </is>
      </c>
      <c r="G1294" s="3" t="n">
        <v>5.884559</v>
      </c>
      <c r="H1294" s="3" t="n">
        <v>2.158383</v>
      </c>
      <c r="I1294" s="3" t="n">
        <v>3.968415</v>
      </c>
      <c r="J1294" s="3" t="n">
        <v>2.701681</v>
      </c>
      <c r="K1294" s="3" t="n">
        <v>5.213552</v>
      </c>
      <c r="L1294" s="3" t="n">
        <v>4.190102</v>
      </c>
      <c r="M1294" s="3" t="n">
        <v>4.865921</v>
      </c>
      <c r="N1294" s="3" t="n">
        <v>5.193778</v>
      </c>
      <c r="O1294" s="3" t="n">
        <v>1.82597</v>
      </c>
      <c r="P1294" s="3" t="n">
        <v>-0.814298</v>
      </c>
      <c r="Q1294" s="3" t="n">
        <v>5.96848</v>
      </c>
      <c r="R1294" s="3" t="n">
        <v>3.41055</v>
      </c>
      <c r="S1294" s="3" t="n">
        <v>2.259531</v>
      </c>
      <c r="T1294" s="3" t="n">
        <v>2.603817</v>
      </c>
      <c r="U1294" s="3" t="n">
        <v>2.97772</v>
      </c>
      <c r="V1294" s="3" t="n">
        <v>2.339749</v>
      </c>
      <c r="W1294" s="3" t="n">
        <v>2.689708</v>
      </c>
      <c r="X1294" s="3" t="n">
        <v>3.210059</v>
      </c>
      <c r="Y1294" s="3" t="n">
        <v>2.819847</v>
      </c>
      <c r="Z1294" s="3" t="n">
        <v>2.044462</v>
      </c>
      <c r="AA1294" s="3" t="n">
        <v>-1.581455</v>
      </c>
      <c r="AB1294" s="3" t="n">
        <v>5.903801</v>
      </c>
      <c r="AC1294" s="3" t="n">
        <v>2.797125</v>
      </c>
      <c r="AD1294" s="3" t="n">
        <v>1.831861</v>
      </c>
      <c r="AE1294" s="3" t="n">
        <v>2.438245</v>
      </c>
      <c r="AF1294" s="3" t="n">
        <v>2.980196</v>
      </c>
      <c r="AG1294" s="3" t="n">
        <v>2.583862</v>
      </c>
      <c r="AH1294" s="3" t="n">
        <v>2.22502</v>
      </c>
      <c r="AI1294" s="3" t="n">
        <v>2.161949</v>
      </c>
      <c r="AJ1294" s="3" t="n">
        <v>2.054635</v>
      </c>
      <c r="AK1294" s="3" t="n">
        <v>2.099191</v>
      </c>
      <c r="AL1294" s="3" t="n">
        <v>2.016103</v>
      </c>
      <c r="AM1294" s="3" t="n"/>
      <c r="AN1294" s="3" t="n"/>
      <c r="AO1294" s="3" t="n"/>
      <c r="AP1294" s="3" t="n"/>
      <c r="AQ1294" s="3" t="n"/>
      <c r="AR1294" s="3" t="n"/>
      <c r="AS1294" s="3" t="n"/>
      <c r="AT1294" s="3" t="n"/>
      <c r="AU1294" s="3" t="n"/>
    </row>
    <row r="1295">
      <c r="A1295" s="3" t="n">
        <v>2031</v>
      </c>
      <c r="B1295" s="3" t="inlineStr">
        <is>
          <t>GX1</t>
        </is>
      </c>
      <c r="C1295" s="3" t="inlineStr">
        <is>
          <t>IMF.RES:WEO</t>
        </is>
      </c>
      <c r="D1295" s="3" t="inlineStr">
        <is>
          <t>GX123.NGDPD.A</t>
        </is>
      </c>
      <c r="E1295" s="3" t="inlineStr">
        <is>
          <t>Other Advanced Economies (Advanced Economies excluding G7 and Euro Area countries)</t>
        </is>
      </c>
      <c r="F1295" s="3" t="inlineStr">
        <is>
          <t>Gross domestic product (GDP), Current prices, US dollar</t>
        </is>
      </c>
      <c r="G1295" s="3" t="n">
        <v>2805.897017</v>
      </c>
      <c r="H1295" s="3" t="n">
        <v>2722.518636</v>
      </c>
      <c r="I1295" s="3" t="n">
        <v>2962.960986</v>
      </c>
      <c r="J1295" s="3" t="n">
        <v>3412.162352</v>
      </c>
      <c r="K1295" s="3" t="n">
        <v>3899.307253</v>
      </c>
      <c r="L1295" s="3" t="n">
        <v>4305.384851</v>
      </c>
      <c r="M1295" s="3" t="n">
        <v>4666.434937</v>
      </c>
      <c r="N1295" s="3" t="n">
        <v>5339.80358</v>
      </c>
      <c r="O1295" s="3" t="n">
        <v>5636.29953</v>
      </c>
      <c r="P1295" s="3" t="n">
        <v>5186.074306</v>
      </c>
      <c r="Q1295" s="3" t="n">
        <v>5976.304685</v>
      </c>
      <c r="R1295" s="3" t="n">
        <v>6824.914311</v>
      </c>
      <c r="S1295" s="3" t="n">
        <v>6883.709858</v>
      </c>
      <c r="T1295" s="3" t="n">
        <v>7125.26283</v>
      </c>
      <c r="U1295" s="3" t="n">
        <v>7260.985882</v>
      </c>
      <c r="V1295" s="3" t="n">
        <v>6684.566064</v>
      </c>
      <c r="W1295" s="3" t="n">
        <v>6824.338876</v>
      </c>
      <c r="X1295" s="3" t="n">
        <v>7335.953905</v>
      </c>
      <c r="Y1295" s="3" t="n">
        <v>7729.22686</v>
      </c>
      <c r="Z1295" s="3" t="n">
        <v>7597.149131</v>
      </c>
      <c r="AA1295" s="3" t="n">
        <v>7556.021753</v>
      </c>
      <c r="AB1295" s="3" t="n">
        <v>8795.765049</v>
      </c>
      <c r="AC1295" s="3" t="n">
        <v>8872.739804000001</v>
      </c>
      <c r="AD1295" s="3" t="n">
        <v>8978.695701000001</v>
      </c>
      <c r="AE1295" s="3" t="n">
        <v>9329.258785</v>
      </c>
      <c r="AF1295" s="3" t="n">
        <v>9860.112055</v>
      </c>
      <c r="AG1295" s="3" t="n">
        <v>10826.829341</v>
      </c>
      <c r="AH1295" s="3" t="n">
        <v>11289.893657</v>
      </c>
      <c r="AI1295" s="3" t="n">
        <v>11755.649355</v>
      </c>
      <c r="AJ1295" s="3" t="n">
        <v>12230.341497</v>
      </c>
      <c r="AK1295" s="3" t="n">
        <v>12740.005717</v>
      </c>
      <c r="AL1295" s="3" t="n">
        <v>13258.887713</v>
      </c>
      <c r="AM1295" s="3" t="n"/>
      <c r="AN1295" s="3" t="n"/>
      <c r="AO1295" s="3" t="n"/>
      <c r="AP1295" s="3" t="n"/>
      <c r="AQ1295" s="3" t="n"/>
      <c r="AR1295" s="3" t="n"/>
      <c r="AS1295" s="3" t="n"/>
      <c r="AT1295" s="3" t="n"/>
      <c r="AU1295" s="3" t="n"/>
    </row>
    <row r="1296">
      <c r="A1296" s="3" t="n">
        <v>2031</v>
      </c>
      <c r="B1296" s="3" t="inlineStr">
        <is>
          <t>GX1</t>
        </is>
      </c>
      <c r="C1296" s="3" t="inlineStr">
        <is>
          <t>IMF.RES:WEO</t>
        </is>
      </c>
      <c r="D1296" s="3" t="inlineStr">
        <is>
          <t>GX123.PCPIPCH.A</t>
        </is>
      </c>
      <c r="E1296" s="3" t="inlineStr">
        <is>
          <t>Other Advanced Economies (Advanced Economies excluding G7 and Euro Area countries)</t>
        </is>
      </c>
      <c r="F1296" s="3" t="inlineStr">
        <is>
          <t>All Items, Consumer price index (CPI), Period average, percent change</t>
        </is>
      </c>
      <c r="G1296" s="3" t="n">
        <v>2.143032</v>
      </c>
      <c r="H1296" s="3" t="n">
        <v>2.51087</v>
      </c>
      <c r="I1296" s="3" t="n">
        <v>1.693086</v>
      </c>
      <c r="J1296" s="3" t="n">
        <v>1.662379</v>
      </c>
      <c r="K1296" s="3" t="n">
        <v>1.93306</v>
      </c>
      <c r="L1296" s="3" t="n">
        <v>2.100157</v>
      </c>
      <c r="M1296" s="3" t="n">
        <v>2.114638</v>
      </c>
      <c r="N1296" s="3" t="n">
        <v>2.050386</v>
      </c>
      <c r="O1296" s="3" t="n">
        <v>4.339737</v>
      </c>
      <c r="P1296" s="3" t="n">
        <v>1.399809</v>
      </c>
      <c r="Q1296" s="3" t="n">
        <v>2.235425</v>
      </c>
      <c r="R1296" s="3" t="n">
        <v>2.972695</v>
      </c>
      <c r="S1296" s="3" t="n">
        <v>2.020213</v>
      </c>
      <c r="T1296" s="3" t="n">
        <v>1.528157</v>
      </c>
      <c r="U1296" s="3" t="n">
        <v>1.401665</v>
      </c>
      <c r="V1296" s="3" t="n">
        <v>0.57076</v>
      </c>
      <c r="W1296" s="3" t="n">
        <v>0.947779</v>
      </c>
      <c r="X1296" s="3" t="n">
        <v>1.469352</v>
      </c>
      <c r="Y1296" s="3" t="n">
        <v>1.550368</v>
      </c>
      <c r="Z1296" s="3" t="n">
        <v>1.082542</v>
      </c>
      <c r="AA1296" s="3" t="n">
        <v>0.473774</v>
      </c>
      <c r="AB1296" s="3" t="n">
        <v>2.369128</v>
      </c>
      <c r="AC1296" s="3" t="n">
        <v>5.64316</v>
      </c>
      <c r="AD1296" s="3" t="n">
        <v>4.290235</v>
      </c>
      <c r="AE1296" s="3" t="n">
        <v>2.34208</v>
      </c>
      <c r="AF1296" s="3" t="n">
        <v>2.019618</v>
      </c>
      <c r="AG1296" s="3" t="n">
        <v>2.354134</v>
      </c>
      <c r="AH1296" s="3" t="n">
        <v>2.000714</v>
      </c>
      <c r="AI1296" s="3" t="n">
        <v>2.010951</v>
      </c>
      <c r="AJ1296" s="3" t="n">
        <v>1.937449</v>
      </c>
      <c r="AK1296" s="3" t="n">
        <v>1.936772</v>
      </c>
      <c r="AL1296" s="3" t="n">
        <v>1.922675</v>
      </c>
      <c r="AM1296" s="3" t="n"/>
      <c r="AN1296" s="3" t="n"/>
      <c r="AO1296" s="3" t="n"/>
      <c r="AP1296" s="3" t="n"/>
      <c r="AQ1296" s="3" t="n"/>
      <c r="AR1296" s="3" t="n"/>
      <c r="AS1296" s="3" t="n"/>
      <c r="AT1296" s="3" t="n"/>
      <c r="AU1296" s="3" t="n"/>
    </row>
    <row r="1297">
      <c r="A1297" s="3" t="n">
        <v>2031</v>
      </c>
      <c r="B1297" s="3" t="inlineStr">
        <is>
          <t>GX1</t>
        </is>
      </c>
      <c r="C1297" s="3" t="inlineStr">
        <is>
          <t>IMF.RES:WEO</t>
        </is>
      </c>
      <c r="D1297" s="3" t="inlineStr">
        <is>
          <t>GX123.PPPPC.A</t>
        </is>
      </c>
      <c r="E1297" s="3" t="inlineStr">
        <is>
          <t>Other Advanced Economies (Advanced Economies excluding G7 and Euro Area countries)</t>
        </is>
      </c>
      <c r="F1297" s="3" t="inlineStr">
        <is>
          <t>Gross domestic product (GDP), Per capita, purchasing power parity (PPP) international dollar, ICP benchmarks 2017-2021</t>
        </is>
      </c>
      <c r="G1297" s="3" t="n">
        <v>24264.741131</v>
      </c>
      <c r="H1297" s="3" t="n">
        <v>25184.51307</v>
      </c>
      <c r="I1297" s="3" t="n">
        <v>26406.215344</v>
      </c>
      <c r="J1297" s="3" t="n">
        <v>27491.903301</v>
      </c>
      <c r="K1297" s="3" t="n">
        <v>29517.425207</v>
      </c>
      <c r="L1297" s="3" t="n">
        <v>31522.409007</v>
      </c>
      <c r="M1297" s="3" t="n">
        <v>33788.411243</v>
      </c>
      <c r="N1297" s="3" t="n">
        <v>36184.036015</v>
      </c>
      <c r="O1297" s="3" t="n">
        <v>37150.636024</v>
      </c>
      <c r="P1297" s="3" t="n">
        <v>36718.271489</v>
      </c>
      <c r="Q1297" s="3" t="n">
        <v>39042.57339</v>
      </c>
      <c r="R1297" s="3" t="n">
        <v>40845.200518</v>
      </c>
      <c r="S1297" s="3" t="n">
        <v>42183.098429</v>
      </c>
      <c r="T1297" s="3" t="n">
        <v>43685.524003</v>
      </c>
      <c r="U1297" s="3" t="n">
        <v>45402.039509</v>
      </c>
      <c r="V1297" s="3" t="n">
        <v>46494.62057</v>
      </c>
      <c r="W1297" s="3" t="n">
        <v>47806.002184</v>
      </c>
      <c r="X1297" s="3" t="n">
        <v>49895.732041</v>
      </c>
      <c r="Y1297" s="3" t="n">
        <v>52130.057334</v>
      </c>
      <c r="Z1297" s="3" t="n">
        <v>54145.852818</v>
      </c>
      <c r="AA1297" s="3" t="n">
        <v>54716.31528</v>
      </c>
      <c r="AB1297" s="3" t="n">
        <v>61619.877426</v>
      </c>
      <c r="AC1297" s="3" t="n">
        <v>67298.710129</v>
      </c>
      <c r="AD1297" s="3" t="n">
        <v>70182.35566</v>
      </c>
      <c r="AE1297" s="3" t="n">
        <v>73198.150081</v>
      </c>
      <c r="AF1297" s="3" t="n">
        <v>77207.51556099999</v>
      </c>
      <c r="AG1297" s="3" t="n">
        <v>81140.52806700001</v>
      </c>
      <c r="AH1297" s="3" t="n">
        <v>84439.455648</v>
      </c>
      <c r="AI1297" s="3" t="n">
        <v>87331.964013</v>
      </c>
      <c r="AJ1297" s="3" t="n">
        <v>90369.92790900001</v>
      </c>
      <c r="AK1297" s="3" t="n">
        <v>93596.25655000001</v>
      </c>
      <c r="AL1297" s="3" t="n">
        <v>96832.945645</v>
      </c>
      <c r="AM1297" s="3" t="n"/>
      <c r="AN1297" s="3" t="n"/>
      <c r="AO1297" s="3" t="n"/>
      <c r="AP1297" s="3" t="n"/>
      <c r="AQ1297" s="3" t="n"/>
      <c r="AR1297" s="3" t="n"/>
      <c r="AS1297" s="3" t="n"/>
      <c r="AT1297" s="3" t="n"/>
      <c r="AU1297" s="3" t="n"/>
    </row>
    <row r="1298">
      <c r="A1298" s="3" t="n">
        <v>2031</v>
      </c>
      <c r="B1298" s="3" t="inlineStr">
        <is>
          <t>HKG</t>
        </is>
      </c>
      <c r="C1298" s="3" t="inlineStr">
        <is>
          <t>IMF.RES:WEO</t>
        </is>
      </c>
      <c r="D1298" s="3" t="inlineStr">
        <is>
          <t>HKG.BCA.A</t>
        </is>
      </c>
      <c r="E1298" s="3" t="inlineStr">
        <is>
          <t>Hong Kong Special Administrative Region, People's Republic of China</t>
        </is>
      </c>
      <c r="F1298" s="3" t="inlineStr">
        <is>
          <t>Current account balance (credit less debit), US dollar</t>
        </is>
      </c>
      <c r="G1298" s="3" t="n">
        <v>7.537564</v>
      </c>
      <c r="H1298" s="3" t="n">
        <v>10.392921</v>
      </c>
      <c r="I1298" s="3" t="n">
        <v>13.128734</v>
      </c>
      <c r="J1298" s="3" t="n">
        <v>17.460518</v>
      </c>
      <c r="K1298" s="3" t="n">
        <v>16.848637</v>
      </c>
      <c r="L1298" s="3" t="n">
        <v>21.637219</v>
      </c>
      <c r="M1298" s="3" t="n">
        <v>24.53858</v>
      </c>
      <c r="N1298" s="3" t="n">
        <v>27.55275</v>
      </c>
      <c r="O1298" s="3" t="n">
        <v>33.007484</v>
      </c>
      <c r="P1298" s="3" t="n">
        <v>21.147776</v>
      </c>
      <c r="Q1298" s="3" t="n">
        <v>15.996013</v>
      </c>
      <c r="R1298" s="3" t="n">
        <v>13.844193</v>
      </c>
      <c r="S1298" s="3" t="n">
        <v>4.147981</v>
      </c>
      <c r="T1298" s="3" t="n">
        <v>4.188032</v>
      </c>
      <c r="U1298" s="3" t="n">
        <v>4.055312</v>
      </c>
      <c r="V1298" s="3" t="n">
        <v>10.263708</v>
      </c>
      <c r="W1298" s="3" t="n">
        <v>12.701186</v>
      </c>
      <c r="X1298" s="3" t="n">
        <v>15.592654</v>
      </c>
      <c r="Y1298" s="3" t="n">
        <v>13.52336</v>
      </c>
      <c r="Z1298" s="3" t="n">
        <v>21.379479</v>
      </c>
      <c r="AA1298" s="3" t="n">
        <v>24.121243</v>
      </c>
      <c r="AB1298" s="3" t="n">
        <v>43.527699</v>
      </c>
      <c r="AC1298" s="3" t="n">
        <v>36.634477</v>
      </c>
      <c r="AD1298" s="3" t="n">
        <v>32.124312</v>
      </c>
      <c r="AE1298" s="3" t="n">
        <v>53.914992</v>
      </c>
      <c r="AF1298" s="3" t="n">
        <v>52.234969</v>
      </c>
      <c r="AG1298" s="3" t="n">
        <v>56.935102</v>
      </c>
      <c r="AH1298" s="3" t="n">
        <v>57.828726</v>
      </c>
      <c r="AI1298" s="3" t="n">
        <v>59.431168</v>
      </c>
      <c r="AJ1298" s="3" t="n">
        <v>61.270205</v>
      </c>
      <c r="AK1298" s="3" t="n">
        <v>61.855801</v>
      </c>
      <c r="AL1298" s="3" t="n">
        <v>64.226741</v>
      </c>
      <c r="AM1298" s="3" t="n"/>
      <c r="AN1298" s="3" t="n"/>
      <c r="AO1298" s="3" t="n"/>
      <c r="AP1298" s="3" t="n"/>
      <c r="AQ1298" s="3" t="n"/>
      <c r="AR1298" s="3" t="n"/>
      <c r="AS1298" s="3" t="n"/>
      <c r="AT1298" s="3" t="n"/>
      <c r="AU1298" s="3" t="n"/>
    </row>
    <row r="1299">
      <c r="A1299" s="3" t="n">
        <v>2031</v>
      </c>
      <c r="B1299" s="3" t="inlineStr">
        <is>
          <t>HKG</t>
        </is>
      </c>
      <c r="C1299" s="3" t="inlineStr">
        <is>
          <t>IMF.RES:WEO</t>
        </is>
      </c>
      <c r="D1299" s="3" t="inlineStr">
        <is>
          <t>HKG.BCA_NGDPD.A</t>
        </is>
      </c>
      <c r="E1299" s="3" t="inlineStr">
        <is>
          <t>Hong Kong Special Administrative Region, People's Republic of China</t>
        </is>
      </c>
      <c r="F1299" s="3" t="inlineStr">
        <is>
          <t>Current account balance (credit less debit), Percent of GDP</t>
        </is>
      </c>
      <c r="G1299" s="3" t="n">
        <v>4.391414</v>
      </c>
      <c r="H1299" s="3" t="n">
        <v>6.135832</v>
      </c>
      <c r="I1299" s="3" t="n">
        <v>7.892886</v>
      </c>
      <c r="J1299" s="3" t="n">
        <v>10.820175</v>
      </c>
      <c r="K1299" s="3" t="n">
        <v>9.964577999999999</v>
      </c>
      <c r="L1299" s="3" t="n">
        <v>11.917677</v>
      </c>
      <c r="M1299" s="3" t="n">
        <v>12.680467</v>
      </c>
      <c r="N1299" s="3" t="n">
        <v>13.02217</v>
      </c>
      <c r="O1299" s="3" t="n">
        <v>15.052743</v>
      </c>
      <c r="P1299" s="3" t="n">
        <v>9.879932</v>
      </c>
      <c r="Q1299" s="3" t="n">
        <v>6.996197</v>
      </c>
      <c r="R1299" s="3" t="n">
        <v>5.570798</v>
      </c>
      <c r="S1299" s="3" t="n">
        <v>1.579408</v>
      </c>
      <c r="T1299" s="3" t="n">
        <v>1.519071</v>
      </c>
      <c r="U1299" s="3" t="n">
        <v>1.391379</v>
      </c>
      <c r="V1299" s="3" t="n">
        <v>3.317448</v>
      </c>
      <c r="W1299" s="3" t="n">
        <v>3.958478</v>
      </c>
      <c r="X1299" s="3" t="n">
        <v>4.568993</v>
      </c>
      <c r="Y1299" s="3" t="n">
        <v>3.738512</v>
      </c>
      <c r="Z1299" s="3" t="n">
        <v>5.888454</v>
      </c>
      <c r="AA1299" s="3" t="n">
        <v>6.992862</v>
      </c>
      <c r="AB1299" s="3" t="n">
        <v>11.79759</v>
      </c>
      <c r="AC1299" s="3" t="n">
        <v>10.213878</v>
      </c>
      <c r="AD1299" s="3" t="n">
        <v>8.436842</v>
      </c>
      <c r="AE1299" s="3" t="n">
        <v>13.202529</v>
      </c>
      <c r="AF1299" s="3" t="n">
        <v>12.224131</v>
      </c>
      <c r="AG1299" s="3" t="n">
        <v>12.648379</v>
      </c>
      <c r="AH1299" s="3" t="n">
        <v>12.316442</v>
      </c>
      <c r="AI1299" s="3" t="n">
        <v>12.113262</v>
      </c>
      <c r="AJ1299" s="3" t="n">
        <v>11.936986</v>
      </c>
      <c r="AK1299" s="3" t="n">
        <v>11.52054</v>
      </c>
      <c r="AL1299" s="3" t="n">
        <v>11.420946</v>
      </c>
      <c r="AM1299" s="3" t="n"/>
      <c r="AN1299" s="3" t="n"/>
      <c r="AO1299" s="3" t="n"/>
      <c r="AP1299" s="3" t="n"/>
      <c r="AQ1299" s="3" t="n"/>
      <c r="AR1299" s="3" t="n"/>
      <c r="AS1299" s="3" t="n"/>
      <c r="AT1299" s="3" t="n"/>
      <c r="AU1299" s="3" t="n"/>
    </row>
    <row r="1300">
      <c r="A1300" s="3" t="n">
        <v>2031</v>
      </c>
      <c r="B1300" s="3" t="inlineStr">
        <is>
          <t>HKG</t>
        </is>
      </c>
      <c r="C1300" s="3" t="inlineStr">
        <is>
          <t>IMF.RES:WEO</t>
        </is>
      </c>
      <c r="D1300" s="3" t="inlineStr">
        <is>
          <t>HKG.GGR_NGDP.A</t>
        </is>
      </c>
      <c r="E1300" s="3" t="inlineStr">
        <is>
          <t>Hong Kong Special Administrative Region, People's Republic of China</t>
        </is>
      </c>
      <c r="F1300" s="3" t="inlineStr">
        <is>
          <t>Revenue, General government, Percent of GDP</t>
        </is>
      </c>
      <c r="G1300" s="3" t="n">
        <v>16.869448</v>
      </c>
      <c r="H1300" s="3" t="n">
        <v>13.406696</v>
      </c>
      <c r="I1300" s="3" t="n">
        <v>13.733422</v>
      </c>
      <c r="J1300" s="3" t="n">
        <v>16.388747</v>
      </c>
      <c r="K1300" s="3" t="n">
        <v>17.905131</v>
      </c>
      <c r="L1300" s="3" t="n">
        <v>17.170533</v>
      </c>
      <c r="M1300" s="3" t="n">
        <v>18.839861</v>
      </c>
      <c r="N1300" s="3" t="n">
        <v>21.267521</v>
      </c>
      <c r="O1300" s="3" t="n">
        <v>18.877293</v>
      </c>
      <c r="P1300" s="3" t="n">
        <v>18.817765</v>
      </c>
      <c r="Q1300" s="3" t="n">
        <v>20.729185</v>
      </c>
      <c r="R1300" s="3" t="n">
        <v>22.395091</v>
      </c>
      <c r="S1300" s="3" t="n">
        <v>21.436898</v>
      </c>
      <c r="T1300" s="3" t="n">
        <v>21.042833</v>
      </c>
      <c r="U1300" s="3" t="n">
        <v>20.844919</v>
      </c>
      <c r="V1300" s="3" t="n">
        <v>18.629546</v>
      </c>
      <c r="W1300" s="3" t="n">
        <v>22.638716</v>
      </c>
      <c r="X1300" s="3" t="n">
        <v>22.853453</v>
      </c>
      <c r="Y1300" s="3" t="n">
        <v>20.742519</v>
      </c>
      <c r="Z1300" s="3" t="n">
        <v>20.367652</v>
      </c>
      <c r="AA1300" s="3" t="n">
        <v>20.677432</v>
      </c>
      <c r="AB1300" s="3" t="n">
        <v>23.714372</v>
      </c>
      <c r="AC1300" s="3" t="n">
        <v>21.719323</v>
      </c>
      <c r="AD1300" s="3" t="n">
        <v>18.071507</v>
      </c>
      <c r="AE1300" s="3" t="n">
        <v>17.382447</v>
      </c>
      <c r="AF1300" s="3" t="n">
        <v>18.461471</v>
      </c>
      <c r="AG1300" s="3" t="n">
        <v>17.739392</v>
      </c>
      <c r="AH1300" s="3" t="n">
        <v>19.600804</v>
      </c>
      <c r="AI1300" s="3" t="n">
        <v>20.145798</v>
      </c>
      <c r="AJ1300" s="3" t="n">
        <v>20.5024</v>
      </c>
      <c r="AK1300" s="3" t="n">
        <v>20.5024</v>
      </c>
      <c r="AL1300" s="3" t="n">
        <v>20.5024</v>
      </c>
      <c r="AM1300" s="3" t="n"/>
      <c r="AN1300" s="3" t="n"/>
      <c r="AO1300" s="3" t="n"/>
      <c r="AP1300" s="3" t="n"/>
      <c r="AQ1300" s="3" t="n"/>
      <c r="AR1300" s="3" t="n"/>
      <c r="AS1300" s="3" t="n"/>
      <c r="AT1300" s="3" t="n"/>
      <c r="AU1300" s="3" t="n"/>
    </row>
    <row r="1301">
      <c r="A1301" s="3" t="n">
        <v>2031</v>
      </c>
      <c r="B1301" s="3" t="inlineStr">
        <is>
          <t>HKG</t>
        </is>
      </c>
      <c r="C1301" s="3" t="inlineStr">
        <is>
          <t>IMF.RES:WEO</t>
        </is>
      </c>
      <c r="D1301" s="3" t="inlineStr">
        <is>
          <t>HKG.GGX_NGDP.A</t>
        </is>
      </c>
      <c r="E1301" s="3" t="inlineStr">
        <is>
          <t>Hong Kong Special Administrative Region, People's Republic of China</t>
        </is>
      </c>
      <c r="F1301" s="3" t="inlineStr">
        <is>
          <t>Expenditure, General government, Percent of GDP</t>
        </is>
      </c>
      <c r="G1301" s="3" t="n">
        <v>17.456617</v>
      </c>
      <c r="H1301" s="3" t="n">
        <v>18.243041</v>
      </c>
      <c r="I1301" s="3" t="n">
        <v>18.506587</v>
      </c>
      <c r="J1301" s="3" t="n">
        <v>19.560654</v>
      </c>
      <c r="K1301" s="3" t="n">
        <v>18.208664</v>
      </c>
      <c r="L1301" s="3" t="n">
        <v>16.199967</v>
      </c>
      <c r="M1301" s="3" t="n">
        <v>14.839776</v>
      </c>
      <c r="N1301" s="3" t="n">
        <v>13.931414</v>
      </c>
      <c r="O1301" s="3" t="n">
        <v>18.629825</v>
      </c>
      <c r="P1301" s="3" t="n">
        <v>17.286237</v>
      </c>
      <c r="Q1301" s="3" t="n">
        <v>16.592988</v>
      </c>
      <c r="R1301" s="3" t="n">
        <v>18.625117</v>
      </c>
      <c r="S1301" s="3" t="n">
        <v>18.293943</v>
      </c>
      <c r="T1301" s="3" t="n">
        <v>20.035275</v>
      </c>
      <c r="U1301" s="3" t="n">
        <v>17.252871</v>
      </c>
      <c r="V1301" s="3" t="n">
        <v>18.034506</v>
      </c>
      <c r="W1301" s="3" t="n">
        <v>18.251287</v>
      </c>
      <c r="X1301" s="3" t="n">
        <v>17.360787</v>
      </c>
      <c r="Y1301" s="3" t="n">
        <v>18.392583</v>
      </c>
      <c r="Z1301" s="3" t="n">
        <v>20.950267</v>
      </c>
      <c r="AA1301" s="3" t="n">
        <v>29.906814</v>
      </c>
      <c r="AB1301" s="3" t="n">
        <v>23.70626</v>
      </c>
      <c r="AC1301" s="3" t="n">
        <v>28.294002</v>
      </c>
      <c r="AD1301" s="3" t="n">
        <v>23.725583</v>
      </c>
      <c r="AE1301" s="3" t="n">
        <v>23.176864</v>
      </c>
      <c r="AF1301" s="3" t="n">
        <v>23.22675</v>
      </c>
      <c r="AG1301" s="3" t="n">
        <v>22.904057</v>
      </c>
      <c r="AH1301" s="3" t="n">
        <v>22.851522</v>
      </c>
      <c r="AI1301" s="3" t="n">
        <v>21.486446</v>
      </c>
      <c r="AJ1301" s="3" t="n">
        <v>21.263268</v>
      </c>
      <c r="AK1301" s="3" t="n">
        <v>21.254007</v>
      </c>
      <c r="AL1301" s="3" t="n">
        <v>21.254007</v>
      </c>
      <c r="AM1301" s="3" t="n"/>
      <c r="AN1301" s="3" t="n"/>
      <c r="AO1301" s="3" t="n"/>
      <c r="AP1301" s="3" t="n"/>
      <c r="AQ1301" s="3" t="n"/>
      <c r="AR1301" s="3" t="n"/>
      <c r="AS1301" s="3" t="n"/>
      <c r="AT1301" s="3" t="n"/>
      <c r="AU1301" s="3" t="n"/>
    </row>
    <row r="1302">
      <c r="A1302" s="3" t="n">
        <v>2027</v>
      </c>
      <c r="B1302" s="3" t="inlineStr">
        <is>
          <t>HKG</t>
        </is>
      </c>
      <c r="C1302" s="3" t="inlineStr">
        <is>
          <t>IMF.RES:WEO</t>
        </is>
      </c>
      <c r="D1302" s="3" t="inlineStr">
        <is>
          <t>HKG.LE.A</t>
        </is>
      </c>
      <c r="E1302" s="3" t="inlineStr">
        <is>
          <t>Hong Kong Special Administrative Region, People's Republic of China</t>
        </is>
      </c>
      <c r="F1302" s="3" t="inlineStr">
        <is>
          <t>Employed persons, Persons for countries / Index for country groups</t>
        </is>
      </c>
      <c r="G1302" s="3" t="n">
        <v>3.194825</v>
      </c>
      <c r="H1302" s="3" t="n">
        <v>3.255042</v>
      </c>
      <c r="I1302" s="3" t="n">
        <v>3.221175</v>
      </c>
      <c r="J1302" s="3" t="n">
        <v>3.197083</v>
      </c>
      <c r="K1302" s="3" t="n">
        <v>3.269483</v>
      </c>
      <c r="L1302" s="3" t="n">
        <v>3.335225</v>
      </c>
      <c r="M1302" s="3" t="n">
        <v>3.4031</v>
      </c>
      <c r="N1302" s="3" t="n">
        <v>3.473725</v>
      </c>
      <c r="O1302" s="3" t="n">
        <v>3.5111</v>
      </c>
      <c r="P1302" s="3" t="n">
        <v>3.472592</v>
      </c>
      <c r="Q1302" s="3" t="n">
        <v>3.472692</v>
      </c>
      <c r="R1302" s="3" t="n">
        <v>3.570167</v>
      </c>
      <c r="S1302" s="3" t="n">
        <v>3.647542</v>
      </c>
      <c r="T1302" s="3" t="n">
        <v>3.714775</v>
      </c>
      <c r="U1302" s="3" t="n">
        <v>3.737092</v>
      </c>
      <c r="V1302" s="3" t="n">
        <v>3.77265</v>
      </c>
      <c r="W1302" s="3" t="n">
        <v>3.781742</v>
      </c>
      <c r="X1302" s="3" t="n">
        <v>3.819917</v>
      </c>
      <c r="Y1302" s="3" t="n">
        <v>3.876533</v>
      </c>
      <c r="Z1302" s="3" t="n">
        <v>3.871708</v>
      </c>
      <c r="AA1302" s="3" t="n">
        <v>3.69715</v>
      </c>
      <c r="AB1302" s="3" t="n">
        <v>3.669308</v>
      </c>
      <c r="AC1302" s="3" t="n">
        <v>3.635425</v>
      </c>
      <c r="AD1302" s="3" t="n">
        <v>3.706392</v>
      </c>
      <c r="AE1302" s="3" t="n">
        <v>3.691275</v>
      </c>
      <c r="AF1302" s="3" t="n">
        <v>3.679492</v>
      </c>
      <c r="AG1302" s="3" t="n">
        <v>3.680167</v>
      </c>
      <c r="AH1302" s="3" t="n">
        <v>3.678078</v>
      </c>
      <c r="AI1302" s="3" t="n"/>
      <c r="AJ1302" s="3" t="n"/>
      <c r="AK1302" s="3" t="n"/>
      <c r="AL1302" s="3" t="n"/>
      <c r="AM1302" s="3" t="n"/>
      <c r="AN1302" s="3" t="n"/>
      <c r="AO1302" s="3" t="n"/>
      <c r="AP1302" s="3" t="n"/>
      <c r="AQ1302" s="3" t="n"/>
      <c r="AR1302" s="3" t="n"/>
      <c r="AS1302" s="3" t="n"/>
      <c r="AT1302" s="3" t="n"/>
      <c r="AU1302" s="3" t="n"/>
    </row>
    <row r="1303">
      <c r="A1303" s="3" t="n">
        <v>2031</v>
      </c>
      <c r="B1303" s="3" t="inlineStr">
        <is>
          <t>HKG</t>
        </is>
      </c>
      <c r="C1303" s="3" t="inlineStr">
        <is>
          <t>IMF.RES:WEO</t>
        </is>
      </c>
      <c r="D1303" s="3" t="inlineStr">
        <is>
          <t>HKG.LP.A</t>
        </is>
      </c>
      <c r="E1303" s="3" t="inlineStr">
        <is>
          <t>Hong Kong Special Administrative Region, People's Republic of China</t>
        </is>
      </c>
      <c r="F1303" s="3" t="inlineStr">
        <is>
          <t>Population, Persons for countries / Index for country groups</t>
        </is>
      </c>
      <c r="G1303" s="3" t="n">
        <v>6.7115</v>
      </c>
      <c r="H1303" s="3" t="n">
        <v>6.7303</v>
      </c>
      <c r="I1303" s="3" t="n">
        <v>6.7258</v>
      </c>
      <c r="J1303" s="3" t="n">
        <v>6.7642</v>
      </c>
      <c r="K1303" s="3" t="n">
        <v>6.7977</v>
      </c>
      <c r="L1303" s="3" t="n">
        <v>6.8378</v>
      </c>
      <c r="M1303" s="3" t="n">
        <v>6.9043</v>
      </c>
      <c r="N1303" s="3" t="n">
        <v>6.9384</v>
      </c>
      <c r="O1303" s="3" t="n">
        <v>6.9639</v>
      </c>
      <c r="P1303" s="3" t="n">
        <v>6.9964</v>
      </c>
      <c r="Q1303" s="3" t="n">
        <v>7.0521</v>
      </c>
      <c r="R1303" s="3" t="n">
        <v>7.1095</v>
      </c>
      <c r="S1303" s="3" t="n">
        <v>7.171</v>
      </c>
      <c r="T1303" s="3" t="n">
        <v>7.2109</v>
      </c>
      <c r="U1303" s="3" t="n">
        <v>7.2529</v>
      </c>
      <c r="V1303" s="3" t="n">
        <v>7.3097</v>
      </c>
      <c r="W1303" s="3" t="n">
        <v>7.3781</v>
      </c>
      <c r="X1303" s="3" t="n">
        <v>7.4148</v>
      </c>
      <c r="Y1303" s="3" t="n">
        <v>7.4877</v>
      </c>
      <c r="Z1303" s="3" t="n">
        <v>7.5205</v>
      </c>
      <c r="AA1303" s="3" t="n">
        <v>7.4267</v>
      </c>
      <c r="AB1303" s="3" t="n">
        <v>7.4015</v>
      </c>
      <c r="AC1303" s="3" t="n">
        <v>7.4726</v>
      </c>
      <c r="AD1303" s="3" t="n">
        <v>7.5279</v>
      </c>
      <c r="AE1303" s="3" t="n">
        <v>7.5006</v>
      </c>
      <c r="AF1303" s="3" t="n">
        <v>7.5108</v>
      </c>
      <c r="AG1303" s="3" t="n">
        <v>7.54756</v>
      </c>
      <c r="AH1303" s="3" t="n">
        <v>7.589189</v>
      </c>
      <c r="AI1303" s="3" t="n">
        <v>7.634692</v>
      </c>
      <c r="AJ1303" s="3" t="n">
        <v>7.68099</v>
      </c>
      <c r="AK1303" s="3" t="n">
        <v>7.726692</v>
      </c>
      <c r="AL1303" s="3" t="n">
        <v>7.769512</v>
      </c>
      <c r="AM1303" s="3" t="n"/>
      <c r="AN1303" s="3" t="n"/>
      <c r="AO1303" s="3" t="n"/>
      <c r="AP1303" s="3" t="n"/>
      <c r="AQ1303" s="3" t="n"/>
      <c r="AR1303" s="3" t="n"/>
      <c r="AS1303" s="3" t="n"/>
      <c r="AT1303" s="3" t="n"/>
      <c r="AU1303" s="3" t="n"/>
    </row>
    <row r="1304">
      <c r="A1304" s="3" t="n">
        <v>2031</v>
      </c>
      <c r="B1304" s="3" t="inlineStr">
        <is>
          <t>HKG</t>
        </is>
      </c>
      <c r="C1304" s="3" t="inlineStr">
        <is>
          <t>IMF.RES:WEO</t>
        </is>
      </c>
      <c r="D1304" s="3" t="inlineStr">
        <is>
          <t>HKG.NGDP.A</t>
        </is>
      </c>
      <c r="E1304" s="3" t="inlineStr">
        <is>
          <t>Hong Kong Special Administrative Region, People's Republic of China</t>
        </is>
      </c>
      <c r="F1304" s="3" t="inlineStr">
        <is>
          <t>Gross domestic product (GDP), Current prices, Domestic currency</t>
        </is>
      </c>
      <c r="G1304" s="3" t="n">
        <v>1337.501</v>
      </c>
      <c r="H1304" s="3" t="n">
        <v>1321.142</v>
      </c>
      <c r="I1304" s="3" t="n">
        <v>1297.34</v>
      </c>
      <c r="J1304" s="3" t="n">
        <v>1256.669</v>
      </c>
      <c r="K1304" s="3" t="n">
        <v>1316.949</v>
      </c>
      <c r="L1304" s="3" t="n">
        <v>1412.125</v>
      </c>
      <c r="M1304" s="3" t="n">
        <v>1503.352</v>
      </c>
      <c r="N1304" s="3" t="n">
        <v>1650.756</v>
      </c>
      <c r="O1304" s="3" t="n">
        <v>1707.488</v>
      </c>
      <c r="P1304" s="3" t="n">
        <v>1659.245</v>
      </c>
      <c r="Q1304" s="3" t="n">
        <v>1776.332</v>
      </c>
      <c r="R1304" s="3" t="n">
        <v>1934.43</v>
      </c>
      <c r="S1304" s="3" t="n">
        <v>2037.059</v>
      </c>
      <c r="T1304" s="3" t="n">
        <v>2138.305</v>
      </c>
      <c r="U1304" s="3" t="n">
        <v>2260.005</v>
      </c>
      <c r="V1304" s="3" t="n">
        <v>2398.28</v>
      </c>
      <c r="W1304" s="3" t="n">
        <v>2490.598</v>
      </c>
      <c r="X1304" s="3" t="n">
        <v>2659.611</v>
      </c>
      <c r="Y1304" s="3" t="n">
        <v>2835.429</v>
      </c>
      <c r="Z1304" s="3" t="n">
        <v>2845.022</v>
      </c>
      <c r="AA1304" s="3" t="n">
        <v>2675.793</v>
      </c>
      <c r="AB1304" s="3" t="n">
        <v>2867.973</v>
      </c>
      <c r="AC1304" s="3" t="n">
        <v>2808.922</v>
      </c>
      <c r="AD1304" s="3" t="n">
        <v>2981.21</v>
      </c>
      <c r="AE1304" s="3" t="n">
        <v>3186.841</v>
      </c>
      <c r="AF1304" s="3" t="n">
        <v>3331.774</v>
      </c>
      <c r="AG1304" s="3" t="n">
        <v>3503.870503</v>
      </c>
      <c r="AH1304" s="3" t="n">
        <v>3654.779397</v>
      </c>
      <c r="AI1304" s="3" t="n">
        <v>3819.055459</v>
      </c>
      <c r="AJ1304" s="3" t="n">
        <v>3995.374511</v>
      </c>
      <c r="AK1304" s="3" t="n">
        <v>4179.366235</v>
      </c>
      <c r="AL1304" s="3" t="n">
        <v>4377.403988</v>
      </c>
      <c r="AM1304" s="3" t="n"/>
      <c r="AN1304" s="3" t="n"/>
      <c r="AO1304" s="3" t="n"/>
      <c r="AP1304" s="3" t="n"/>
      <c r="AQ1304" s="3" t="n"/>
      <c r="AR1304" s="3" t="n"/>
      <c r="AS1304" s="3" t="n"/>
      <c r="AT1304" s="3" t="n"/>
      <c r="AU1304" s="3" t="n"/>
    </row>
    <row r="1305">
      <c r="A1305" s="3" t="n">
        <v>2031</v>
      </c>
      <c r="B1305" s="3" t="inlineStr">
        <is>
          <t>HKG</t>
        </is>
      </c>
      <c r="C1305" s="3" t="inlineStr">
        <is>
          <t>IMF.RES:WEO</t>
        </is>
      </c>
      <c r="D1305" s="3" t="inlineStr">
        <is>
          <t>HKG.NGDP_D.A</t>
        </is>
      </c>
      <c r="E1305" s="3" t="inlineStr">
        <is>
          <t>Hong Kong Special Administrative Region, People's Republic of China</t>
        </is>
      </c>
      <c r="F1305" s="3" t="inlineStr">
        <is>
          <t>Gross domestic product (GDP), Price deflator, Index</t>
        </is>
      </c>
      <c r="G1305" s="3" t="n">
        <v>81.96682199999999</v>
      </c>
      <c r="H1305" s="3" t="n">
        <v>80.512715</v>
      </c>
      <c r="I1305" s="3" t="n">
        <v>77.773701</v>
      </c>
      <c r="J1305" s="3" t="n">
        <v>73.101294</v>
      </c>
      <c r="K1305" s="3" t="n">
        <v>70.476336</v>
      </c>
      <c r="L1305" s="3" t="n">
        <v>70.37057900000001</v>
      </c>
      <c r="M1305" s="3" t="n">
        <v>69.994255</v>
      </c>
      <c r="N1305" s="3" t="n">
        <v>72.19023300000001</v>
      </c>
      <c r="O1305" s="3" t="n">
        <v>73.11536599999999</v>
      </c>
      <c r="P1305" s="3" t="n">
        <v>72.840802</v>
      </c>
      <c r="Q1305" s="3" t="n">
        <v>73.037925</v>
      </c>
      <c r="R1305" s="3" t="n">
        <v>75.884878</v>
      </c>
      <c r="S1305" s="3" t="n">
        <v>78.574839</v>
      </c>
      <c r="T1305" s="3" t="n">
        <v>79.99896</v>
      </c>
      <c r="U1305" s="3" t="n">
        <v>82.279149</v>
      </c>
      <c r="V1305" s="3" t="n">
        <v>85.277029</v>
      </c>
      <c r="W1305" s="3" t="n">
        <v>86.67408399999999</v>
      </c>
      <c r="X1305" s="3" t="n">
        <v>89.170801</v>
      </c>
      <c r="Y1305" s="3" t="n">
        <v>92.434071</v>
      </c>
      <c r="Z1305" s="3" t="n">
        <v>94.324307</v>
      </c>
      <c r="AA1305" s="3" t="n">
        <v>94.926402</v>
      </c>
      <c r="AB1305" s="3" t="n">
        <v>95.575334</v>
      </c>
      <c r="AC1305" s="3" t="n">
        <v>97.18915200000001</v>
      </c>
      <c r="AD1305" s="3" t="n">
        <v>100</v>
      </c>
      <c r="AE1305" s="3" t="n">
        <v>104.158848</v>
      </c>
      <c r="AF1305" s="3" t="n">
        <v>105.225934</v>
      </c>
      <c r="AG1305" s="3" t="n">
        <v>108.046068</v>
      </c>
      <c r="AH1305" s="3" t="n">
        <v>110.108444</v>
      </c>
      <c r="AI1305" s="3" t="n">
        <v>112.462043</v>
      </c>
      <c r="AJ1305" s="3" t="n">
        <v>115.03423</v>
      </c>
      <c r="AK1305" s="3" t="n">
        <v>117.752626</v>
      </c>
      <c r="AL1305" s="3" t="n">
        <v>120.712523</v>
      </c>
      <c r="AM1305" s="3" t="n"/>
      <c r="AN1305" s="3" t="n"/>
      <c r="AO1305" s="3" t="n"/>
      <c r="AP1305" s="3" t="n"/>
      <c r="AQ1305" s="3" t="n"/>
      <c r="AR1305" s="3" t="n"/>
      <c r="AS1305" s="3" t="n"/>
      <c r="AT1305" s="3" t="n"/>
      <c r="AU1305" s="3" t="n"/>
    </row>
    <row r="1306">
      <c r="A1306" s="3" t="n">
        <v>2031</v>
      </c>
      <c r="B1306" s="3" t="inlineStr">
        <is>
          <t>HKG</t>
        </is>
      </c>
      <c r="C1306" s="3" t="inlineStr">
        <is>
          <t>IMF.RES:WEO</t>
        </is>
      </c>
      <c r="D1306" s="3" t="inlineStr">
        <is>
          <t>HKG.NGDP_R.A</t>
        </is>
      </c>
      <c r="E1306" s="3" t="inlineStr">
        <is>
          <t>Hong Kong Special Administrative Region, People's Republic of China</t>
        </is>
      </c>
      <c r="F1306" s="3" t="inlineStr">
        <is>
          <t>Gross domestic product (GDP), Constant prices, Domestic currency</t>
        </is>
      </c>
      <c r="G1306" s="3" t="n">
        <v>1631.759</v>
      </c>
      <c r="H1306" s="3" t="n">
        <v>1640.911</v>
      </c>
      <c r="I1306" s="3" t="n">
        <v>1668.096</v>
      </c>
      <c r="J1306" s="3" t="n">
        <v>1719.079</v>
      </c>
      <c r="K1306" s="3" t="n">
        <v>1868.64</v>
      </c>
      <c r="L1306" s="3" t="n">
        <v>2006.698</v>
      </c>
      <c r="M1306" s="3" t="n">
        <v>2147.822</v>
      </c>
      <c r="N1306" s="3" t="n">
        <v>2286.675</v>
      </c>
      <c r="O1306" s="3" t="n">
        <v>2335.334</v>
      </c>
      <c r="P1306" s="3" t="n">
        <v>2277.906</v>
      </c>
      <c r="Q1306" s="3" t="n">
        <v>2432.068</v>
      </c>
      <c r="R1306" s="3" t="n">
        <v>2549.164</v>
      </c>
      <c r="S1306" s="3" t="n">
        <v>2592.508</v>
      </c>
      <c r="T1306" s="3" t="n">
        <v>2672.916</v>
      </c>
      <c r="U1306" s="3" t="n">
        <v>2746.753</v>
      </c>
      <c r="V1306" s="3" t="n">
        <v>2812.34</v>
      </c>
      <c r="W1306" s="3" t="n">
        <v>2873.521</v>
      </c>
      <c r="X1306" s="3" t="n">
        <v>2982.603</v>
      </c>
      <c r="Y1306" s="3" t="n">
        <v>3067.515</v>
      </c>
      <c r="Z1306" s="3" t="n">
        <v>3016.213</v>
      </c>
      <c r="AA1306" s="3" t="n">
        <v>2818.808</v>
      </c>
      <c r="AB1306" s="3" t="n">
        <v>3000.746</v>
      </c>
      <c r="AC1306" s="3" t="n">
        <v>2890.16</v>
      </c>
      <c r="AD1306" s="3" t="n">
        <v>2981.21</v>
      </c>
      <c r="AE1306" s="3" t="n">
        <v>3059.597</v>
      </c>
      <c r="AF1306" s="3" t="n">
        <v>3166.305</v>
      </c>
      <c r="AG1306" s="3" t="n">
        <v>3242.941252</v>
      </c>
      <c r="AH1306" s="3" t="n">
        <v>3319.254422</v>
      </c>
      <c r="AI1306" s="3" t="n">
        <v>3395.861705</v>
      </c>
      <c r="AJ1306" s="3" t="n">
        <v>3473.204899</v>
      </c>
      <c r="AK1306" s="3" t="n">
        <v>3549.276466</v>
      </c>
      <c r="AL1306" s="3" t="n">
        <v>3626.304787</v>
      </c>
      <c r="AM1306" s="3" t="n"/>
      <c r="AN1306" s="3" t="n"/>
      <c r="AO1306" s="3" t="n"/>
      <c r="AP1306" s="3" t="n"/>
      <c r="AQ1306" s="3" t="n"/>
      <c r="AR1306" s="3" t="n"/>
      <c r="AS1306" s="3" t="n"/>
      <c r="AT1306" s="3" t="n"/>
      <c r="AU1306" s="3" t="n"/>
    </row>
    <row r="1307">
      <c r="A1307" s="3" t="n">
        <v>2031</v>
      </c>
      <c r="B1307" s="3" t="inlineStr">
        <is>
          <t>HKG</t>
        </is>
      </c>
      <c r="C1307" s="3" t="inlineStr">
        <is>
          <t>IMF.RES:WEO</t>
        </is>
      </c>
      <c r="D1307" s="3" t="inlineStr">
        <is>
          <t>HKG.NGDP_RPCH.A</t>
        </is>
      </c>
      <c r="E1307" s="3" t="inlineStr">
        <is>
          <t>Hong Kong Special Administrative Region, People's Republic of China</t>
        </is>
      </c>
      <c r="F1307" s="3" t="inlineStr">
        <is>
          <t>Gross domestic product (GDP), Constant prices, Percent change</t>
        </is>
      </c>
      <c r="G1307" s="3" t="n">
        <v>7.663444</v>
      </c>
      <c r="H1307" s="3" t="n">
        <v>0.560867</v>
      </c>
      <c r="I1307" s="3" t="n">
        <v>1.656702</v>
      </c>
      <c r="J1307" s="3" t="n">
        <v>3.056359</v>
      </c>
      <c r="K1307" s="3" t="n">
        <v>8.700066</v>
      </c>
      <c r="L1307" s="3" t="n">
        <v>7.388154</v>
      </c>
      <c r="M1307" s="3" t="n">
        <v>7.032648</v>
      </c>
      <c r="N1307" s="3" t="n">
        <v>6.464828</v>
      </c>
      <c r="O1307" s="3" t="n">
        <v>2.127937</v>
      </c>
      <c r="P1307" s="3" t="n">
        <v>-2.459092</v>
      </c>
      <c r="Q1307" s="3" t="n">
        <v>6.767707</v>
      </c>
      <c r="R1307" s="3" t="n">
        <v>4.814668</v>
      </c>
      <c r="S1307" s="3" t="n">
        <v>1.700322</v>
      </c>
      <c r="T1307" s="3" t="n">
        <v>3.101553</v>
      </c>
      <c r="U1307" s="3" t="n">
        <v>2.762414</v>
      </c>
      <c r="V1307" s="3" t="n">
        <v>2.387801</v>
      </c>
      <c r="W1307" s="3" t="n">
        <v>2.175448</v>
      </c>
      <c r="X1307" s="3" t="n">
        <v>3.796109</v>
      </c>
      <c r="Y1307" s="3" t="n">
        <v>2.846909</v>
      </c>
      <c r="Z1307" s="3" t="n">
        <v>-1.672429</v>
      </c>
      <c r="AA1307" s="3" t="n">
        <v>-6.544796</v>
      </c>
      <c r="AB1307" s="3" t="n">
        <v>6.45443</v>
      </c>
      <c r="AC1307" s="3" t="n">
        <v>-3.685284</v>
      </c>
      <c r="AD1307" s="3" t="n">
        <v>3.150345</v>
      </c>
      <c r="AE1307" s="3" t="n">
        <v>2.629369</v>
      </c>
      <c r="AF1307" s="3" t="n">
        <v>3.487649</v>
      </c>
      <c r="AG1307" s="3" t="n">
        <v>2.420369</v>
      </c>
      <c r="AH1307" s="3" t="n">
        <v>2.353209</v>
      </c>
      <c r="AI1307" s="3" t="n">
        <v>2.307967</v>
      </c>
      <c r="AJ1307" s="3" t="n">
        <v>2.277572</v>
      </c>
      <c r="AK1307" s="3" t="n">
        <v>2.190241</v>
      </c>
      <c r="AL1307" s="3" t="n">
        <v>2.170254</v>
      </c>
      <c r="AM1307" s="3" t="n"/>
      <c r="AN1307" s="3" t="n"/>
      <c r="AO1307" s="3" t="n"/>
      <c r="AP1307" s="3" t="n"/>
      <c r="AQ1307" s="3" t="n"/>
      <c r="AR1307" s="3" t="n"/>
      <c r="AS1307" s="3" t="n"/>
      <c r="AT1307" s="3" t="n"/>
      <c r="AU1307" s="3" t="n"/>
    </row>
    <row r="1308">
      <c r="A1308" s="3" t="n">
        <v>2031</v>
      </c>
      <c r="B1308" s="3" t="inlineStr">
        <is>
          <t>HKG</t>
        </is>
      </c>
      <c r="C1308" s="3" t="inlineStr">
        <is>
          <t>IMF.RES:WEO</t>
        </is>
      </c>
      <c r="D1308" s="3" t="inlineStr">
        <is>
          <t>HKG.NGDPD.A</t>
        </is>
      </c>
      <c r="E1308" s="3" t="inlineStr">
        <is>
          <t>Hong Kong Special Administrative Region, People's Republic of China</t>
        </is>
      </c>
      <c r="F1308" s="3" t="inlineStr">
        <is>
          <t>Gross domestic product (GDP), Current prices, US dollar</t>
        </is>
      </c>
      <c r="G1308" s="3" t="n">
        <v>171.643196</v>
      </c>
      <c r="H1308" s="3" t="n">
        <v>169.380799</v>
      </c>
      <c r="I1308" s="3" t="n">
        <v>166.336304</v>
      </c>
      <c r="J1308" s="3" t="n">
        <v>161.370016</v>
      </c>
      <c r="K1308" s="3" t="n">
        <v>169.085295</v>
      </c>
      <c r="L1308" s="3" t="n">
        <v>181.555687</v>
      </c>
      <c r="M1308" s="3" t="n">
        <v>193.514803</v>
      </c>
      <c r="N1308" s="3" t="n">
        <v>211.583393</v>
      </c>
      <c r="O1308" s="3" t="n">
        <v>219.278868</v>
      </c>
      <c r="P1308" s="3" t="n">
        <v>214.047796</v>
      </c>
      <c r="Q1308" s="3" t="n">
        <v>228.638679</v>
      </c>
      <c r="R1308" s="3" t="n">
        <v>248.513618</v>
      </c>
      <c r="S1308" s="3" t="n">
        <v>262.628877</v>
      </c>
      <c r="T1308" s="3" t="n">
        <v>275.69688</v>
      </c>
      <c r="U1308" s="3" t="n">
        <v>291.459983</v>
      </c>
      <c r="V1308" s="3" t="n">
        <v>309.385623</v>
      </c>
      <c r="W1308" s="3" t="n">
        <v>320.860318</v>
      </c>
      <c r="X1308" s="3" t="n">
        <v>341.2711</v>
      </c>
      <c r="Y1308" s="3" t="n">
        <v>361.731071</v>
      </c>
      <c r="Z1308" s="3" t="n">
        <v>363.074561</v>
      </c>
      <c r="AA1308" s="3" t="n">
        <v>344.940926</v>
      </c>
      <c r="AB1308" s="3" t="n">
        <v>368.95417</v>
      </c>
      <c r="AC1308" s="3" t="n">
        <v>358.673548</v>
      </c>
      <c r="AD1308" s="3" t="n">
        <v>380.76228</v>
      </c>
      <c r="AE1308" s="3" t="n">
        <v>408.368665</v>
      </c>
      <c r="AF1308" s="3" t="n">
        <v>427.310298</v>
      </c>
      <c r="AG1308" s="3" t="n">
        <v>450.137526</v>
      </c>
      <c r="AH1308" s="3" t="n">
        <v>469.524588</v>
      </c>
      <c r="AI1308" s="3" t="n">
        <v>490.628913</v>
      </c>
      <c r="AJ1308" s="3" t="n">
        <v>513.280384</v>
      </c>
      <c r="AK1308" s="3" t="n">
        <v>536.917553</v>
      </c>
      <c r="AL1308" s="3" t="n">
        <v>562.359197</v>
      </c>
      <c r="AM1308" s="3" t="n"/>
      <c r="AN1308" s="3" t="n"/>
      <c r="AO1308" s="3" t="n"/>
      <c r="AP1308" s="3" t="n"/>
      <c r="AQ1308" s="3" t="n"/>
      <c r="AR1308" s="3" t="n"/>
      <c r="AS1308" s="3" t="n"/>
      <c r="AT1308" s="3" t="n"/>
      <c r="AU1308" s="3" t="n"/>
    </row>
    <row r="1309">
      <c r="A1309" s="3" t="n">
        <v>2031</v>
      </c>
      <c r="B1309" s="3" t="inlineStr">
        <is>
          <t>HKG</t>
        </is>
      </c>
      <c r="C1309" s="3" t="inlineStr">
        <is>
          <t>IMF.RES:WEO</t>
        </is>
      </c>
      <c r="D1309" s="3" t="inlineStr">
        <is>
          <t>HKG.NGDPPC.A</t>
        </is>
      </c>
      <c r="E1309" s="3" t="inlineStr">
        <is>
          <t>Hong Kong Special Administrative Region, People's Republic of China</t>
        </is>
      </c>
      <c r="F1309" s="3" t="inlineStr">
        <is>
          <t>Gross domestic product (GDP), Current prices, Per capita, Domestic currency</t>
        </is>
      </c>
      <c r="G1309" s="3" t="n">
        <v>199284.958653</v>
      </c>
      <c r="H1309" s="3" t="n">
        <v>196297.639035</v>
      </c>
      <c r="I1309" s="3" t="n">
        <v>192890.065122</v>
      </c>
      <c r="J1309" s="3" t="n">
        <v>185782.354159</v>
      </c>
      <c r="K1309" s="3" t="n">
        <v>193734.498433</v>
      </c>
      <c r="L1309" s="3" t="n">
        <v>206517.447132</v>
      </c>
      <c r="M1309" s="3" t="n">
        <v>217741.407529</v>
      </c>
      <c r="N1309" s="3" t="n">
        <v>237915.946039</v>
      </c>
      <c r="O1309" s="3" t="n">
        <v>245191.343931</v>
      </c>
      <c r="P1309" s="3" t="n">
        <v>237156.96644</v>
      </c>
      <c r="Q1309" s="3" t="n">
        <v>251886.955659</v>
      </c>
      <c r="R1309" s="3" t="n">
        <v>272090.864336</v>
      </c>
      <c r="S1309" s="3" t="n">
        <v>284069.02803</v>
      </c>
      <c r="T1309" s="3" t="n">
        <v>296537.880154</v>
      </c>
      <c r="U1309" s="3" t="n">
        <v>311600.187511</v>
      </c>
      <c r="V1309" s="3" t="n">
        <v>328095.544277</v>
      </c>
      <c r="W1309" s="3" t="n">
        <v>337566.31111</v>
      </c>
      <c r="X1309" s="3" t="n">
        <v>358689.512866</v>
      </c>
      <c r="Y1309" s="3" t="n">
        <v>378678.232301</v>
      </c>
      <c r="Z1309" s="3" t="n">
        <v>378302.240543</v>
      </c>
      <c r="AA1309" s="3" t="n">
        <v>360293.670136</v>
      </c>
      <c r="AB1309" s="3" t="n">
        <v>387485.374586</v>
      </c>
      <c r="AC1309" s="3" t="n">
        <v>375896.207478</v>
      </c>
      <c r="AD1309" s="3" t="n">
        <v>396021.46681</v>
      </c>
      <c r="AE1309" s="3" t="n">
        <v>424878.143082</v>
      </c>
      <c r="AF1309" s="3" t="n">
        <v>443597.75257</v>
      </c>
      <c r="AG1309" s="3" t="n">
        <v>464238.829471</v>
      </c>
      <c r="AH1309" s="3" t="n">
        <v>481577.094794</v>
      </c>
      <c r="AI1309" s="3" t="n">
        <v>500223.923918</v>
      </c>
      <c r="AJ1309" s="3" t="n">
        <v>520164.024526</v>
      </c>
      <c r="AK1309" s="3" t="n">
        <v>540899.842422</v>
      </c>
      <c r="AL1309" s="3" t="n">
        <v>563407.828946</v>
      </c>
      <c r="AM1309" s="3" t="n"/>
      <c r="AN1309" s="3" t="n"/>
      <c r="AO1309" s="3" t="n"/>
      <c r="AP1309" s="3" t="n"/>
      <c r="AQ1309" s="3" t="n"/>
      <c r="AR1309" s="3" t="n"/>
      <c r="AS1309" s="3" t="n"/>
      <c r="AT1309" s="3" t="n"/>
      <c r="AU1309" s="3" t="n"/>
    </row>
    <row r="1310">
      <c r="A1310" s="3" t="n">
        <v>2031</v>
      </c>
      <c r="B1310" s="3" t="inlineStr">
        <is>
          <t>HKG</t>
        </is>
      </c>
      <c r="C1310" s="3" t="inlineStr">
        <is>
          <t>IMF.RES:WEO</t>
        </is>
      </c>
      <c r="D1310" s="3" t="inlineStr">
        <is>
          <t>HKG.NGDPRPC.A</t>
        </is>
      </c>
      <c r="E1310" s="3" t="inlineStr">
        <is>
          <t>Hong Kong Special Administrative Region, People's Republic of China</t>
        </is>
      </c>
      <c r="F1310" s="3" t="inlineStr">
        <is>
          <t>Gross domestic product (GDP), Constant prices, Per capita, Domestic currency</t>
        </is>
      </c>
      <c r="G1310" s="3" t="n">
        <v>243128.808761</v>
      </c>
      <c r="H1310" s="3" t="n">
        <v>243809.488433</v>
      </c>
      <c r="I1310" s="3" t="n">
        <v>248014.511285</v>
      </c>
      <c r="J1310" s="3" t="n">
        <v>254143.72727</v>
      </c>
      <c r="K1310" s="3" t="n">
        <v>274892.978507</v>
      </c>
      <c r="L1310" s="3" t="n">
        <v>293471.291936</v>
      </c>
      <c r="M1310" s="3" t="n">
        <v>311084.686355</v>
      </c>
      <c r="N1310" s="3" t="n">
        <v>329568.056036</v>
      </c>
      <c r="O1310" s="3" t="n">
        <v>335348.583409</v>
      </c>
      <c r="P1310" s="3" t="n">
        <v>325582.58533</v>
      </c>
      <c r="Q1310" s="3" t="n">
        <v>344871.456729</v>
      </c>
      <c r="R1310" s="3" t="n">
        <v>358557.423166</v>
      </c>
      <c r="S1310" s="3" t="n">
        <v>361526.704783</v>
      </c>
      <c r="T1310" s="3" t="n">
        <v>370677.169285</v>
      </c>
      <c r="U1310" s="3" t="n">
        <v>378710.998359</v>
      </c>
      <c r="V1310" s="3" t="n">
        <v>384740.823837</v>
      </c>
      <c r="W1310" s="3" t="n">
        <v>389466.258251</v>
      </c>
      <c r="X1310" s="3" t="n">
        <v>402249.95954</v>
      </c>
      <c r="Y1310" s="3" t="n">
        <v>409673.865139</v>
      </c>
      <c r="Z1310" s="3" t="n">
        <v>401065.487667</v>
      </c>
      <c r="AA1310" s="3" t="n">
        <v>379550.540617</v>
      </c>
      <c r="AB1310" s="3" t="n">
        <v>405424.035668</v>
      </c>
      <c r="AC1310" s="3" t="n">
        <v>386767.657843</v>
      </c>
      <c r="AD1310" s="3" t="n">
        <v>396021.46681</v>
      </c>
      <c r="AE1310" s="3" t="n">
        <v>407913.633576</v>
      </c>
      <c r="AF1310" s="3" t="n">
        <v>421566.943601</v>
      </c>
      <c r="AG1310" s="3" t="n">
        <v>429667.491859</v>
      </c>
      <c r="AH1310" s="3" t="n">
        <v>437366.17946</v>
      </c>
      <c r="AI1310" s="3" t="n">
        <v>444793.558399</v>
      </c>
      <c r="AJ1310" s="3" t="n">
        <v>452181.950272</v>
      </c>
      <c r="AK1310" s="3" t="n">
        <v>459352.680108</v>
      </c>
      <c r="AL1310" s="3" t="n">
        <v>466735.195707</v>
      </c>
      <c r="AM1310" s="3" t="n"/>
      <c r="AN1310" s="3" t="n"/>
      <c r="AO1310" s="3" t="n"/>
      <c r="AP1310" s="3" t="n"/>
      <c r="AQ1310" s="3" t="n"/>
      <c r="AR1310" s="3" t="n"/>
      <c r="AS1310" s="3" t="n"/>
      <c r="AT1310" s="3" t="n"/>
      <c r="AU1310" s="3" t="n"/>
    </row>
    <row r="1311">
      <c r="A1311" s="3" t="n">
        <v>2031</v>
      </c>
      <c r="B1311" s="3" t="inlineStr">
        <is>
          <t>HKG</t>
        </is>
      </c>
      <c r="C1311" s="3" t="inlineStr">
        <is>
          <t>IMF.RES:WEO</t>
        </is>
      </c>
      <c r="D1311" s="3" t="inlineStr">
        <is>
          <t>HKG.PCPI.A</t>
        </is>
      </c>
      <c r="E1311" s="3" t="inlineStr">
        <is>
          <t>Hong Kong Special Administrative Region, People's Republic of China</t>
        </is>
      </c>
      <c r="F1311" s="3" t="inlineStr">
        <is>
          <t>All Items, Consumer price index (CPI), Period average</t>
        </is>
      </c>
      <c r="G1311" s="3" t="n">
        <v>70.90000000000001</v>
      </c>
      <c r="H1311" s="3" t="n">
        <v>69.75833299999999</v>
      </c>
      <c r="I1311" s="3" t="n">
        <v>67.63333299999999</v>
      </c>
      <c r="J1311" s="3" t="n">
        <v>65.88333299999999</v>
      </c>
      <c r="K1311" s="3" t="n">
        <v>65.641667</v>
      </c>
      <c r="L1311" s="3" t="n">
        <v>66.24166700000001</v>
      </c>
      <c r="M1311" s="3" t="n">
        <v>67.566667</v>
      </c>
      <c r="N1311" s="3" t="n">
        <v>68.941667</v>
      </c>
      <c r="O1311" s="3" t="n">
        <v>71.908333</v>
      </c>
      <c r="P1311" s="3" t="n">
        <v>72.325</v>
      </c>
      <c r="Q1311" s="3" t="n">
        <v>73.983333</v>
      </c>
      <c r="R1311" s="3" t="n">
        <v>77.908333</v>
      </c>
      <c r="S1311" s="3" t="n">
        <v>81.066667</v>
      </c>
      <c r="T1311" s="3" t="n">
        <v>84.583333</v>
      </c>
      <c r="U1311" s="3" t="n">
        <v>88.325</v>
      </c>
      <c r="V1311" s="3" t="n">
        <v>90.966667</v>
      </c>
      <c r="W1311" s="3" t="n">
        <v>93.158333</v>
      </c>
      <c r="X1311" s="3" t="n">
        <v>94.55</v>
      </c>
      <c r="Y1311" s="3" t="n">
        <v>96.825</v>
      </c>
      <c r="Z1311" s="3" t="n">
        <v>99.61666700000001</v>
      </c>
      <c r="AA1311" s="3" t="n">
        <v>99.86666700000001</v>
      </c>
      <c r="AB1311" s="3" t="n">
        <v>101.433333</v>
      </c>
      <c r="AC1311" s="3" t="n">
        <v>103.341667</v>
      </c>
      <c r="AD1311" s="3" t="n">
        <v>105.508333</v>
      </c>
      <c r="AE1311" s="3" t="n">
        <v>107.333333</v>
      </c>
      <c r="AF1311" s="3" t="n">
        <v>108.875</v>
      </c>
      <c r="AG1311" s="3" t="n">
        <v>111.161375</v>
      </c>
      <c r="AH1311" s="3" t="n">
        <v>113.16228</v>
      </c>
      <c r="AI1311" s="3" t="n">
        <v>115.538688</v>
      </c>
      <c r="AJ1311" s="3" t="n">
        <v>118.080539</v>
      </c>
      <c r="AK1311" s="3" t="n">
        <v>120.890856</v>
      </c>
      <c r="AL1311" s="3" t="n">
        <v>123.888949</v>
      </c>
      <c r="AM1311" s="3" t="n"/>
      <c r="AN1311" s="3" t="n"/>
      <c r="AO1311" s="3" t="n"/>
      <c r="AP1311" s="3" t="n"/>
      <c r="AQ1311" s="3" t="n"/>
      <c r="AR1311" s="3" t="n"/>
      <c r="AS1311" s="3" t="n"/>
      <c r="AT1311" s="3" t="n"/>
      <c r="AU1311" s="3" t="n"/>
    </row>
    <row r="1312">
      <c r="A1312" s="3" t="n">
        <v>2031</v>
      </c>
      <c r="B1312" s="3" t="inlineStr">
        <is>
          <t>HKG</t>
        </is>
      </c>
      <c r="C1312" s="3" t="inlineStr">
        <is>
          <t>IMF.RES:WEO</t>
        </is>
      </c>
      <c r="D1312" s="3" t="inlineStr">
        <is>
          <t>HKG.PCPIPCH.A</t>
        </is>
      </c>
      <c r="E1312" s="3" t="inlineStr">
        <is>
          <t>Hong Kong Special Administrative Region, People's Republic of China</t>
        </is>
      </c>
      <c r="F1312" s="3" t="inlineStr">
        <is>
          <t>All Items, Consumer price index (CPI), Period average, percent change</t>
        </is>
      </c>
      <c r="G1312" s="3" t="n">
        <v>-3.722983</v>
      </c>
      <c r="H1312" s="3" t="n">
        <v>-1.610249</v>
      </c>
      <c r="I1312" s="3" t="n">
        <v>-3.046231</v>
      </c>
      <c r="J1312" s="3" t="n">
        <v>-2.587482</v>
      </c>
      <c r="K1312" s="3" t="n">
        <v>-0.36681</v>
      </c>
      <c r="L1312" s="3" t="n">
        <v>0.914054</v>
      </c>
      <c r="M1312" s="3" t="n">
        <v>2.000252</v>
      </c>
      <c r="N1312" s="3" t="n">
        <v>2.035027</v>
      </c>
      <c r="O1312" s="3" t="n">
        <v>4.303155</v>
      </c>
      <c r="P1312" s="3" t="n">
        <v>0.579441</v>
      </c>
      <c r="Q1312" s="3" t="n">
        <v>2.292891</v>
      </c>
      <c r="R1312" s="3" t="n">
        <v>5.305249</v>
      </c>
      <c r="S1312" s="3" t="n">
        <v>4.05391</v>
      </c>
      <c r="T1312" s="3" t="n">
        <v>4.337993</v>
      </c>
      <c r="U1312" s="3" t="n">
        <v>4.423645</v>
      </c>
      <c r="V1312" s="3" t="n">
        <v>2.990848</v>
      </c>
      <c r="W1312" s="3" t="n">
        <v>2.409307</v>
      </c>
      <c r="X1312" s="3" t="n">
        <v>1.493872</v>
      </c>
      <c r="Y1312" s="3" t="n">
        <v>2.406134</v>
      </c>
      <c r="Z1312" s="3" t="n">
        <v>2.883209</v>
      </c>
      <c r="AA1312" s="3" t="n">
        <v>0.250962</v>
      </c>
      <c r="AB1312" s="3" t="n">
        <v>1.568758</v>
      </c>
      <c r="AC1312" s="3" t="n">
        <v>1.881367</v>
      </c>
      <c r="AD1312" s="3" t="n">
        <v>2.096605</v>
      </c>
      <c r="AE1312" s="3" t="n">
        <v>1.729721</v>
      </c>
      <c r="AF1312" s="3" t="n">
        <v>1.436335</v>
      </c>
      <c r="AG1312" s="3" t="n">
        <v>2.1</v>
      </c>
      <c r="AH1312" s="3" t="n">
        <v>1.8</v>
      </c>
      <c r="AI1312" s="3" t="n">
        <v>2.1</v>
      </c>
      <c r="AJ1312" s="3" t="n">
        <v>2.2</v>
      </c>
      <c r="AK1312" s="3" t="n">
        <v>2.38</v>
      </c>
      <c r="AL1312" s="3" t="n">
        <v>2.48</v>
      </c>
      <c r="AM1312" s="3" t="n"/>
      <c r="AN1312" s="3" t="n"/>
      <c r="AO1312" s="3" t="n"/>
      <c r="AP1312" s="3" t="n"/>
      <c r="AQ1312" s="3" t="n"/>
      <c r="AR1312" s="3" t="n"/>
      <c r="AS1312" s="3" t="n"/>
      <c r="AT1312" s="3" t="n"/>
      <c r="AU1312" s="3" t="n"/>
    </row>
    <row r="1313">
      <c r="A1313" s="3" t="n">
        <v>2031</v>
      </c>
      <c r="B1313" s="3" t="inlineStr">
        <is>
          <t>HKG</t>
        </is>
      </c>
      <c r="C1313" s="3" t="inlineStr">
        <is>
          <t>IMF.RES:WEO</t>
        </is>
      </c>
      <c r="D1313" s="3" t="inlineStr">
        <is>
          <t>HKG.PPPPC.A</t>
        </is>
      </c>
      <c r="E1313" s="3" t="inlineStr">
        <is>
          <t>Hong Kong Special Administrative Region, People's Republic of China</t>
        </is>
      </c>
      <c r="F1313" s="3" t="inlineStr">
        <is>
          <t>Gross domestic product (GDP), Per capita, purchasing power parity (PPP) international dollar, ICP benchmarks 2017-2021</t>
        </is>
      </c>
      <c r="G1313" s="3" t="n">
        <v>25972.228796</v>
      </c>
      <c r="H1313" s="3" t="n">
        <v>26631.375613</v>
      </c>
      <c r="I1313" s="3" t="n">
        <v>27511.690419</v>
      </c>
      <c r="J1313" s="3" t="n">
        <v>28748.153329</v>
      </c>
      <c r="K1313" s="3" t="n">
        <v>31931.375477</v>
      </c>
      <c r="L1313" s="3" t="n">
        <v>35158.402458</v>
      </c>
      <c r="M1313" s="3" t="n">
        <v>38417.836856</v>
      </c>
      <c r="N1313" s="3" t="n">
        <v>41803.151909</v>
      </c>
      <c r="O1313" s="3" t="n">
        <v>43355.792339</v>
      </c>
      <c r="P1313" s="3" t="n">
        <v>42352.794319</v>
      </c>
      <c r="Q1313" s="3" t="n">
        <v>45407.19139</v>
      </c>
      <c r="R1313" s="3" t="n">
        <v>48183.183752</v>
      </c>
      <c r="S1313" s="3" t="n">
        <v>49486.765329</v>
      </c>
      <c r="T1313" s="3" t="n">
        <v>51602.89145</v>
      </c>
      <c r="U1313" s="3" t="n">
        <v>53639.555518</v>
      </c>
      <c r="V1313" s="3" t="n">
        <v>54999.332597</v>
      </c>
      <c r="W1313" s="3" t="n">
        <v>56203.876672</v>
      </c>
      <c r="X1313" s="3" t="n">
        <v>59088.280641</v>
      </c>
      <c r="Y1313" s="3" t="n">
        <v>60614.793814</v>
      </c>
      <c r="Z1313" s="3" t="n">
        <v>61118.847918</v>
      </c>
      <c r="AA1313" s="3" t="n">
        <v>58612.911657</v>
      </c>
      <c r="AB1313" s="3" t="n">
        <v>65988.195787</v>
      </c>
      <c r="AC1313" s="3" t="n">
        <v>67429.00011399999</v>
      </c>
      <c r="AD1313" s="3" t="n">
        <v>71596.895825</v>
      </c>
      <c r="AE1313" s="3" t="n">
        <v>75577.685392</v>
      </c>
      <c r="AF1313" s="3" t="n">
        <v>80323.075406</v>
      </c>
      <c r="AG1313" s="3" t="n">
        <v>84211.86324799999</v>
      </c>
      <c r="AH1313" s="3" t="n">
        <v>87603.096644</v>
      </c>
      <c r="AI1313" s="3" t="n">
        <v>90553.10531499999</v>
      </c>
      <c r="AJ1313" s="3" t="n">
        <v>93694.146047</v>
      </c>
      <c r="AK1313" s="3" t="n">
        <v>96928.91090800001</v>
      </c>
      <c r="AL1313" s="3" t="n">
        <v>100264.692361</v>
      </c>
      <c r="AM1313" s="3" t="n"/>
      <c r="AN1313" s="3" t="n"/>
      <c r="AO1313" s="3" t="n"/>
      <c r="AP1313" s="3" t="n"/>
      <c r="AQ1313" s="3" t="n"/>
      <c r="AR1313" s="3" t="n"/>
      <c r="AS1313" s="3" t="n"/>
      <c r="AT1313" s="3" t="n"/>
      <c r="AU1313" s="3" t="n"/>
    </row>
    <row r="1314">
      <c r="A1314" s="3" t="n">
        <v>2025</v>
      </c>
      <c r="B1314" s="3" t="inlineStr">
        <is>
          <t>HKG</t>
        </is>
      </c>
      <c r="C1314" s="3" t="inlineStr">
        <is>
          <t>IMF.STA:ER</t>
        </is>
      </c>
      <c r="D1314" s="3" t="inlineStr">
        <is>
          <t>HKG.XDC_USD.PA_RT.A</t>
        </is>
      </c>
      <c r="E1314" s="3" t="inlineStr">
        <is>
          <t>Hong Kong Special Administrative Region, People's Republic of China</t>
        </is>
      </c>
      <c r="F1314" s="3" t="inlineStr">
        <is>
          <t>Domestic currency per US Dollar</t>
        </is>
      </c>
      <c r="G1314" s="3" t="n">
        <v>7.79116666666666</v>
      </c>
      <c r="H1314" s="3" t="n">
        <v>7.79875</v>
      </c>
      <c r="I1314" s="3" t="n">
        <v>7.79891666666666</v>
      </c>
      <c r="J1314" s="3" t="n">
        <v>7.78675</v>
      </c>
      <c r="K1314" s="3" t="n">
        <v>7.788</v>
      </c>
      <c r="L1314" s="3" t="n">
        <v>7.77733333333333</v>
      </c>
      <c r="M1314" s="3" t="n">
        <v>7.76783333333333</v>
      </c>
      <c r="N1314" s="3" t="n">
        <v>7.80141666666666</v>
      </c>
      <c r="O1314" s="3" t="n">
        <v>7.78683333333333</v>
      </c>
      <c r="P1314" s="3" t="n">
        <v>7.75175</v>
      </c>
      <c r="Q1314" s="3" t="n">
        <v>7.76916666666666</v>
      </c>
      <c r="R1314" s="3" t="n">
        <v>7.784</v>
      </c>
      <c r="S1314" s="3" t="n">
        <v>7.75641666666666</v>
      </c>
      <c r="T1314" s="3" t="n">
        <v>7.756</v>
      </c>
      <c r="U1314" s="3" t="n">
        <v>7.75408333333333</v>
      </c>
      <c r="V1314" s="3" t="n">
        <v>7.75175</v>
      </c>
      <c r="W1314" s="3" t="n">
        <v>7.76225</v>
      </c>
      <c r="X1314" s="3" t="n">
        <v>7.79325</v>
      </c>
      <c r="Y1314" s="3" t="n">
        <v>7.83849999999999</v>
      </c>
      <c r="Z1314" s="3" t="n">
        <v>7.83591666666666</v>
      </c>
      <c r="AA1314" s="3" t="n">
        <v>7.75725</v>
      </c>
      <c r="AB1314" s="3" t="n">
        <v>7.77325</v>
      </c>
      <c r="AC1314" s="3" t="n">
        <v>7.83141666666666</v>
      </c>
      <c r="AD1314" s="3" t="n">
        <v>7.82958333333333</v>
      </c>
      <c r="AE1314" s="3" t="n">
        <v>7.80383333333333</v>
      </c>
      <c r="AF1314" s="3" t="n">
        <v>7.79708333333333</v>
      </c>
      <c r="AG1314" s="3" t="n"/>
      <c r="AH1314" s="3" t="n"/>
      <c r="AI1314" s="3" t="n"/>
      <c r="AJ1314" s="3" t="n"/>
      <c r="AK1314" s="3" t="n"/>
      <c r="AL1314" s="3" t="n"/>
      <c r="AM1314" s="3" t="n"/>
      <c r="AN1314" s="3" t="n"/>
      <c r="AO1314" s="3" t="n"/>
      <c r="AP1314" s="3" t="n"/>
      <c r="AQ1314" s="3" t="n"/>
      <c r="AR1314" s="3" t="n"/>
      <c r="AS1314" s="3" t="n"/>
      <c r="AT1314" s="3" t="n"/>
      <c r="AU1314" s="3" t="n"/>
    </row>
    <row r="1315">
      <c r="A1315" s="3" t="n">
        <v>2031</v>
      </c>
      <c r="B1315" s="3" t="inlineStr">
        <is>
          <t>HND</t>
        </is>
      </c>
      <c r="C1315" s="3" t="inlineStr">
        <is>
          <t>IMF.RES:WEO</t>
        </is>
      </c>
      <c r="D1315" s="3" t="inlineStr">
        <is>
          <t>HND.BCA.A</t>
        </is>
      </c>
      <c r="E1315" s="3" t="inlineStr">
        <is>
          <t>Honduras</t>
        </is>
      </c>
      <c r="F1315" s="3" t="inlineStr">
        <is>
          <t>Current account balance (credit less debit), US dollar</t>
        </is>
      </c>
      <c r="G1315" s="3" t="n">
        <v>-0.508263</v>
      </c>
      <c r="H1315" s="3" t="n">
        <v>-0.478667</v>
      </c>
      <c r="I1315" s="3" t="n">
        <v>-0.281571</v>
      </c>
      <c r="J1315" s="3" t="n">
        <v>-0.55282</v>
      </c>
      <c r="K1315" s="3" t="n">
        <v>-0.678354</v>
      </c>
      <c r="L1315" s="3" t="n">
        <v>-0.290307</v>
      </c>
      <c r="M1315" s="3" t="n">
        <v>-0.4039</v>
      </c>
      <c r="N1315" s="3" t="n">
        <v>-1.1162</v>
      </c>
      <c r="O1315" s="3" t="n">
        <v>-2.1299</v>
      </c>
      <c r="P1315" s="3" t="n">
        <v>-0.5566</v>
      </c>
      <c r="Q1315" s="3" t="n">
        <v>-0.8041</v>
      </c>
      <c r="R1315" s="3" t="n">
        <v>-1.4087</v>
      </c>
      <c r="S1315" s="3" t="n">
        <v>-1.5807</v>
      </c>
      <c r="T1315" s="3" t="n">
        <v>-1.7625</v>
      </c>
      <c r="U1315" s="3" t="n">
        <v>-1.3721</v>
      </c>
      <c r="V1315" s="3" t="n">
        <v>-0.9799</v>
      </c>
      <c r="W1315" s="3" t="n">
        <v>-0.6827</v>
      </c>
      <c r="X1315" s="3" t="n">
        <v>-0.2882</v>
      </c>
      <c r="Y1315" s="3" t="n">
        <v>-1.5818</v>
      </c>
      <c r="Z1315" s="3" t="n">
        <v>-0.653</v>
      </c>
      <c r="AA1315" s="3" t="n">
        <v>0.6659</v>
      </c>
      <c r="AB1315" s="3" t="n">
        <v>-1.5379</v>
      </c>
      <c r="AC1315" s="3" t="n">
        <v>-2.1566</v>
      </c>
      <c r="AD1315" s="3" t="n">
        <v>-1.3678</v>
      </c>
      <c r="AE1315" s="3" t="n">
        <v>-1.642774</v>
      </c>
      <c r="AF1315" s="3" t="n">
        <v>0.957348</v>
      </c>
      <c r="AG1315" s="3" t="n">
        <v>-1.074339</v>
      </c>
      <c r="AH1315" s="3" t="n">
        <v>-1.292867</v>
      </c>
      <c r="AI1315" s="3" t="n">
        <v>-1.660104</v>
      </c>
      <c r="AJ1315" s="3" t="n">
        <v>-1.761624</v>
      </c>
      <c r="AK1315" s="3" t="n">
        <v>-1.910307</v>
      </c>
      <c r="AL1315" s="3" t="n">
        <v>-2.045986</v>
      </c>
      <c r="AM1315" s="3" t="n"/>
      <c r="AN1315" s="3" t="n"/>
      <c r="AO1315" s="3" t="n"/>
      <c r="AP1315" s="3" t="n"/>
      <c r="AQ1315" s="3" t="n"/>
      <c r="AR1315" s="3" t="n"/>
      <c r="AS1315" s="3" t="n"/>
      <c r="AT1315" s="3" t="n"/>
      <c r="AU1315" s="3" t="n"/>
    </row>
    <row r="1316">
      <c r="A1316" s="3" t="n">
        <v>2031</v>
      </c>
      <c r="B1316" s="3" t="inlineStr">
        <is>
          <t>HND</t>
        </is>
      </c>
      <c r="C1316" s="3" t="inlineStr">
        <is>
          <t>IMF.RES:WEO</t>
        </is>
      </c>
      <c r="D1316" s="3" t="inlineStr">
        <is>
          <t>HND.BCA_NGDPD.A</t>
        </is>
      </c>
      <c r="E1316" s="3" t="inlineStr">
        <is>
          <t>Honduras</t>
        </is>
      </c>
      <c r="F1316" s="3" t="inlineStr">
        <is>
          <t>Current account balance (credit less debit), Percent of GDP</t>
        </is>
      </c>
      <c r="G1316" s="3" t="n">
        <v>-7.154781</v>
      </c>
      <c r="H1316" s="3" t="n">
        <v>-6.255263</v>
      </c>
      <c r="I1316" s="3" t="n">
        <v>-3.583651</v>
      </c>
      <c r="J1316" s="3" t="n">
        <v>-6.718146</v>
      </c>
      <c r="K1316" s="3" t="n">
        <v>-7.651513</v>
      </c>
      <c r="L1316" s="3" t="n">
        <v>-2.975939</v>
      </c>
      <c r="M1316" s="3" t="n">
        <v>-3.699777</v>
      </c>
      <c r="N1316" s="3" t="n">
        <v>-9.029826</v>
      </c>
      <c r="O1316" s="3" t="n">
        <v>-15.340808</v>
      </c>
      <c r="P1316" s="3" t="n">
        <v>-3.816022</v>
      </c>
      <c r="Q1316" s="3" t="n">
        <v>-5.077435</v>
      </c>
      <c r="R1316" s="3" t="n">
        <v>-7.954071</v>
      </c>
      <c r="S1316" s="3" t="n">
        <v>-8.533614999999999</v>
      </c>
      <c r="T1316" s="3" t="n">
        <v>-9.530051</v>
      </c>
      <c r="U1316" s="3" t="n">
        <v>-6.946218</v>
      </c>
      <c r="V1316" s="3" t="n">
        <v>-4.671185</v>
      </c>
      <c r="W1316" s="3" t="n">
        <v>-3.144303</v>
      </c>
      <c r="X1316" s="3" t="n">
        <v>-1.24559</v>
      </c>
      <c r="Y1316" s="3" t="n">
        <v>-6.572493</v>
      </c>
      <c r="Z1316" s="3" t="n">
        <v>-2.624304</v>
      </c>
      <c r="AA1316" s="3" t="n">
        <v>2.851774</v>
      </c>
      <c r="AB1316" s="3" t="n">
        <v>-5.464016</v>
      </c>
      <c r="AC1316" s="3" t="n">
        <v>-6.862738</v>
      </c>
      <c r="AD1316" s="3" t="n">
        <v>-3.98128</v>
      </c>
      <c r="AE1316" s="3" t="n">
        <v>-4.427965</v>
      </c>
      <c r="AF1316" s="3" t="n">
        <v>2.411826</v>
      </c>
      <c r="AG1316" s="3" t="n">
        <v>-2.588436</v>
      </c>
      <c r="AH1316" s="3" t="n">
        <v>-2.9461</v>
      </c>
      <c r="AI1316" s="3" t="n">
        <v>-3.574362</v>
      </c>
      <c r="AJ1316" s="3" t="n">
        <v>-3.583816</v>
      </c>
      <c r="AK1316" s="3" t="n">
        <v>-3.672021</v>
      </c>
      <c r="AL1316" s="3" t="n">
        <v>-3.715986</v>
      </c>
      <c r="AM1316" s="3" t="n"/>
      <c r="AN1316" s="3" t="n"/>
      <c r="AO1316" s="3" t="n"/>
      <c r="AP1316" s="3" t="n"/>
      <c r="AQ1316" s="3" t="n"/>
      <c r="AR1316" s="3" t="n"/>
      <c r="AS1316" s="3" t="n"/>
      <c r="AT1316" s="3" t="n"/>
      <c r="AU1316" s="3" t="n"/>
    </row>
    <row r="1317">
      <c r="A1317" s="3" t="n">
        <v>2031</v>
      </c>
      <c r="B1317" s="3" t="inlineStr">
        <is>
          <t>HND</t>
        </is>
      </c>
      <c r="C1317" s="3" t="inlineStr">
        <is>
          <t>IMF.RES:WEO</t>
        </is>
      </c>
      <c r="D1317" s="3" t="inlineStr">
        <is>
          <t>HND.GGR_NGDP.A</t>
        </is>
      </c>
      <c r="E1317" s="3" t="inlineStr">
        <is>
          <t>Honduras</t>
        </is>
      </c>
      <c r="F1317" s="3" t="inlineStr">
        <is>
          <t>Revenue, General government, Percent of GDP</t>
        </is>
      </c>
      <c r="G1317" s="3" t="n">
        <v>23.606948</v>
      </c>
      <c r="H1317" s="3" t="n">
        <v>21.946914</v>
      </c>
      <c r="I1317" s="3" t="n">
        <v>21.793356</v>
      </c>
      <c r="J1317" s="3" t="n">
        <v>21.347845</v>
      </c>
      <c r="K1317" s="3" t="n">
        <v>23.068563</v>
      </c>
      <c r="L1317" s="3" t="n">
        <v>23.576935</v>
      </c>
      <c r="M1317" s="3" t="n">
        <v>23.03828</v>
      </c>
      <c r="N1317" s="3" t="n">
        <v>24.194992</v>
      </c>
      <c r="O1317" s="3" t="n">
        <v>26.142368</v>
      </c>
      <c r="P1317" s="3" t="n">
        <v>23.48679</v>
      </c>
      <c r="Q1317" s="3" t="n">
        <v>23.091942</v>
      </c>
      <c r="R1317" s="3" t="n">
        <v>22.969209</v>
      </c>
      <c r="S1317" s="3" t="n">
        <v>22.872972</v>
      </c>
      <c r="T1317" s="3" t="n">
        <v>22.497547</v>
      </c>
      <c r="U1317" s="3" t="n">
        <v>23.581429</v>
      </c>
      <c r="V1317" s="3" t="n">
        <v>25.240787</v>
      </c>
      <c r="W1317" s="3" t="n">
        <v>26.985198</v>
      </c>
      <c r="X1317" s="3" t="n">
        <v>26.450147</v>
      </c>
      <c r="Y1317" s="3" t="n">
        <v>26.353339</v>
      </c>
      <c r="Z1317" s="3" t="n">
        <v>26.028245</v>
      </c>
      <c r="AA1317" s="3" t="n">
        <v>23.843405</v>
      </c>
      <c r="AB1317" s="3" t="n">
        <v>25.635294</v>
      </c>
      <c r="AC1317" s="3" t="n">
        <v>25.612971</v>
      </c>
      <c r="AD1317" s="3" t="n">
        <v>25.25538</v>
      </c>
      <c r="AE1317" s="3" t="n">
        <v>24.546548</v>
      </c>
      <c r="AF1317" s="3" t="n">
        <v>24.182147</v>
      </c>
      <c r="AG1317" s="3" t="n">
        <v>24.005833</v>
      </c>
      <c r="AH1317" s="3" t="n">
        <v>24.159549</v>
      </c>
      <c r="AI1317" s="3" t="n">
        <v>24.324152</v>
      </c>
      <c r="AJ1317" s="3" t="n">
        <v>24.469154</v>
      </c>
      <c r="AK1317" s="3" t="n">
        <v>24.471951</v>
      </c>
      <c r="AL1317" s="3" t="n">
        <v>24.494523</v>
      </c>
      <c r="AM1317" s="3" t="n"/>
      <c r="AN1317" s="3" t="n"/>
      <c r="AO1317" s="3" t="n"/>
      <c r="AP1317" s="3" t="n"/>
      <c r="AQ1317" s="3" t="n"/>
      <c r="AR1317" s="3" t="n"/>
      <c r="AS1317" s="3" t="n"/>
      <c r="AT1317" s="3" t="n"/>
      <c r="AU1317" s="3" t="n"/>
    </row>
    <row r="1318">
      <c r="A1318" s="3" t="n">
        <v>2031</v>
      </c>
      <c r="B1318" s="3" t="inlineStr">
        <is>
          <t>HND</t>
        </is>
      </c>
      <c r="C1318" s="3" t="inlineStr">
        <is>
          <t>IMF.RES:WEO</t>
        </is>
      </c>
      <c r="D1318" s="3" t="inlineStr">
        <is>
          <t>HND.GGX_NGDP.A</t>
        </is>
      </c>
      <c r="E1318" s="3" t="inlineStr">
        <is>
          <t>Honduras</t>
        </is>
      </c>
      <c r="F1318" s="3" t="inlineStr">
        <is>
          <t>Expenditure, General government, Percent of GDP</t>
        </is>
      </c>
      <c r="G1318" s="3" t="n">
        <v>22.098844</v>
      </c>
      <c r="H1318" s="3" t="n">
        <v>25.065784</v>
      </c>
      <c r="I1318" s="3" t="n">
        <v>26.808755</v>
      </c>
      <c r="J1318" s="3" t="n">
        <v>26.441299</v>
      </c>
      <c r="K1318" s="3" t="n">
        <v>25.543973</v>
      </c>
      <c r="L1318" s="3" t="n">
        <v>23.609587</v>
      </c>
      <c r="M1318" s="3" t="n">
        <v>24.393704</v>
      </c>
      <c r="N1318" s="3" t="n">
        <v>24.44874</v>
      </c>
      <c r="O1318" s="3" t="n">
        <v>26.409035</v>
      </c>
      <c r="P1318" s="3" t="n">
        <v>28.351642</v>
      </c>
      <c r="Q1318" s="3" t="n">
        <v>26.463222</v>
      </c>
      <c r="R1318" s="3" t="n">
        <v>25.911855</v>
      </c>
      <c r="S1318" s="3" t="n">
        <v>26.356067</v>
      </c>
      <c r="T1318" s="3" t="n">
        <v>27.976181</v>
      </c>
      <c r="U1318" s="3" t="n">
        <v>26.392219</v>
      </c>
      <c r="V1318" s="3" t="n">
        <v>26.02189</v>
      </c>
      <c r="W1318" s="3" t="n">
        <v>27.382563</v>
      </c>
      <c r="X1318" s="3" t="n">
        <v>26.857902</v>
      </c>
      <c r="Y1318" s="3" t="n">
        <v>26.156129</v>
      </c>
      <c r="Z1318" s="3" t="n">
        <v>25.939116</v>
      </c>
      <c r="AA1318" s="3" t="n">
        <v>28.427803</v>
      </c>
      <c r="AB1318" s="3" t="n">
        <v>28.80187</v>
      </c>
      <c r="AC1318" s="3" t="n">
        <v>24.041553</v>
      </c>
      <c r="AD1318" s="3" t="n">
        <v>27.219653</v>
      </c>
      <c r="AE1318" s="3" t="n">
        <v>25.664203</v>
      </c>
      <c r="AF1318" s="3" t="n">
        <v>24.926144</v>
      </c>
      <c r="AG1318" s="3" t="n">
        <v>25.45895</v>
      </c>
      <c r="AH1318" s="3" t="n">
        <v>25.247181</v>
      </c>
      <c r="AI1318" s="3" t="n">
        <v>25.175438</v>
      </c>
      <c r="AJ1318" s="3" t="n">
        <v>25.146231</v>
      </c>
      <c r="AK1318" s="3" t="n">
        <v>25.097682</v>
      </c>
      <c r="AL1318" s="3" t="n">
        <v>25.139926</v>
      </c>
      <c r="AM1318" s="3" t="n"/>
      <c r="AN1318" s="3" t="n"/>
      <c r="AO1318" s="3" t="n"/>
      <c r="AP1318" s="3" t="n"/>
      <c r="AQ1318" s="3" t="n"/>
      <c r="AR1318" s="3" t="n"/>
      <c r="AS1318" s="3" t="n"/>
      <c r="AT1318" s="3" t="n"/>
      <c r="AU1318" s="3" t="n"/>
    </row>
    <row r="1319">
      <c r="A1319" s="3" t="n">
        <v>2031</v>
      </c>
      <c r="B1319" s="3" t="inlineStr">
        <is>
          <t>HND</t>
        </is>
      </c>
      <c r="C1319" s="3" t="inlineStr">
        <is>
          <t>IMF.RES:WEO</t>
        </is>
      </c>
      <c r="D1319" s="3" t="inlineStr">
        <is>
          <t>HND.LP.A</t>
        </is>
      </c>
      <c r="E1319" s="3" t="inlineStr">
        <is>
          <t>Honduras</t>
        </is>
      </c>
      <c r="F1319" s="3" t="inlineStr">
        <is>
          <t>Population, Persons for countries / Index for country groups</t>
        </is>
      </c>
      <c r="G1319" s="3" t="n">
        <v>6.577773</v>
      </c>
      <c r="H1319" s="3" t="n">
        <v>6.757993</v>
      </c>
      <c r="I1319" s="3" t="n">
        <v>6.938859</v>
      </c>
      <c r="J1319" s="3" t="n">
        <v>7.119213</v>
      </c>
      <c r="K1319" s="3" t="n">
        <v>7.298994</v>
      </c>
      <c r="L1319" s="3" t="n">
        <v>7.478355</v>
      </c>
      <c r="M1319" s="3" t="n">
        <v>7.656832</v>
      </c>
      <c r="N1319" s="3" t="n">
        <v>7.834798</v>
      </c>
      <c r="O1319" s="3" t="n">
        <v>8.012587</v>
      </c>
      <c r="P1319" s="3" t="n">
        <v>8.189899</v>
      </c>
      <c r="Q1319" s="3" t="n">
        <v>8.365878</v>
      </c>
      <c r="R1319" s="3" t="n">
        <v>8.540583</v>
      </c>
      <c r="S1319" s="3" t="n">
        <v>8.715076</v>
      </c>
      <c r="T1319" s="3" t="n">
        <v>8.889277999999999</v>
      </c>
      <c r="U1319" s="3" t="n">
        <v>9.063122</v>
      </c>
      <c r="V1319" s="3" t="n">
        <v>9.237304999999999</v>
      </c>
      <c r="W1319" s="3" t="n">
        <v>9.412380000000001</v>
      </c>
      <c r="X1319" s="3" t="n">
        <v>9.588137</v>
      </c>
      <c r="Y1319" s="3" t="n">
        <v>9.76521</v>
      </c>
      <c r="Z1319" s="3" t="n">
        <v>9.943633</v>
      </c>
      <c r="AA1319" s="3" t="n">
        <v>10.11964</v>
      </c>
      <c r="AB1319" s="3" t="n">
        <v>10.289877</v>
      </c>
      <c r="AC1319" s="3" t="n">
        <v>10.463872</v>
      </c>
      <c r="AD1319" s="3" t="n">
        <v>10.644851</v>
      </c>
      <c r="AE1319" s="3" t="n">
        <v>10.825703</v>
      </c>
      <c r="AF1319" s="3" t="n">
        <v>11.00585</v>
      </c>
      <c r="AG1319" s="3" t="n">
        <v>11.18476</v>
      </c>
      <c r="AH1319" s="3" t="n">
        <v>11.362234</v>
      </c>
      <c r="AI1319" s="3" t="n">
        <v>11.538362</v>
      </c>
      <c r="AJ1319" s="3" t="n">
        <v>11.712877</v>
      </c>
      <c r="AK1319" s="3" t="n">
        <v>11.885319</v>
      </c>
      <c r="AL1319" s="3" t="n">
        <v>12.055531</v>
      </c>
      <c r="AM1319" s="3" t="n"/>
      <c r="AN1319" s="3" t="n"/>
      <c r="AO1319" s="3" t="n"/>
      <c r="AP1319" s="3" t="n"/>
      <c r="AQ1319" s="3" t="n"/>
      <c r="AR1319" s="3" t="n"/>
      <c r="AS1319" s="3" t="n"/>
      <c r="AT1319" s="3" t="n"/>
      <c r="AU1319" s="3" t="n"/>
    </row>
    <row r="1320">
      <c r="A1320" s="3" t="n">
        <v>2031</v>
      </c>
      <c r="B1320" s="3" t="inlineStr">
        <is>
          <t>HND</t>
        </is>
      </c>
      <c r="C1320" s="3" t="inlineStr">
        <is>
          <t>IMF.RES:WEO</t>
        </is>
      </c>
      <c r="D1320" s="3" t="inlineStr">
        <is>
          <t>HND.NGDP.A</t>
        </is>
      </c>
      <c r="E1320" s="3" t="inlineStr">
        <is>
          <t>Honduras</t>
        </is>
      </c>
      <c r="F1320" s="3" t="inlineStr">
        <is>
          <t>Gross domestic product (GDP), Current prices, Domestic currency</t>
        </is>
      </c>
      <c r="G1320" s="3" t="n">
        <v>106.6542</v>
      </c>
      <c r="H1320" s="3" t="n">
        <v>118.4157</v>
      </c>
      <c r="I1320" s="3" t="n">
        <v>129.1666</v>
      </c>
      <c r="J1320" s="3" t="n">
        <v>142.8178</v>
      </c>
      <c r="K1320" s="3" t="n">
        <v>161.5075</v>
      </c>
      <c r="L1320" s="3" t="n">
        <v>183.7474</v>
      </c>
      <c r="M1320" s="3" t="n">
        <v>206.288</v>
      </c>
      <c r="N1320" s="3" t="n">
        <v>233.5672</v>
      </c>
      <c r="O1320" s="3" t="n">
        <v>262.4169</v>
      </c>
      <c r="P1320" s="3" t="n">
        <v>275.6322</v>
      </c>
      <c r="Q1320" s="3" t="n">
        <v>299.286</v>
      </c>
      <c r="R1320" s="3" t="n">
        <v>335.0278</v>
      </c>
      <c r="S1320" s="3" t="n">
        <v>361.3485</v>
      </c>
      <c r="T1320" s="3" t="n">
        <v>376.5394</v>
      </c>
      <c r="U1320" s="3" t="n">
        <v>414.6335</v>
      </c>
      <c r="V1320" s="3" t="n">
        <v>460.4052</v>
      </c>
      <c r="W1320" s="3" t="n">
        <v>495.9219</v>
      </c>
      <c r="X1320" s="3" t="n">
        <v>543.403</v>
      </c>
      <c r="Y1320" s="3" t="n">
        <v>575.2849</v>
      </c>
      <c r="Z1320" s="3" t="n">
        <v>609.827</v>
      </c>
      <c r="AA1320" s="3" t="n">
        <v>574.0418</v>
      </c>
      <c r="AB1320" s="3" t="n">
        <v>675.9327</v>
      </c>
      <c r="AC1320" s="3" t="n">
        <v>769.4941</v>
      </c>
      <c r="AD1320" s="3" t="n">
        <v>845.2094</v>
      </c>
      <c r="AE1320" s="3" t="n">
        <v>919.8938000000001</v>
      </c>
      <c r="AF1320" s="3" t="n">
        <v>1030.24426</v>
      </c>
      <c r="AG1320" s="3" t="n">
        <v>1111.068983</v>
      </c>
      <c r="AH1320" s="3" t="n">
        <v>1204.026569</v>
      </c>
      <c r="AI1320" s="3" t="n">
        <v>1299.770762</v>
      </c>
      <c r="AJ1320" s="3" t="n">
        <v>1403.128533</v>
      </c>
      <c r="AK1320" s="3" t="n">
        <v>1514.705314</v>
      </c>
      <c r="AL1320" s="3" t="n">
        <v>1635.154681</v>
      </c>
      <c r="AM1320" s="3" t="n"/>
      <c r="AN1320" s="3" t="n"/>
      <c r="AO1320" s="3" t="n"/>
      <c r="AP1320" s="3" t="n"/>
      <c r="AQ1320" s="3" t="n"/>
      <c r="AR1320" s="3" t="n"/>
      <c r="AS1320" s="3" t="n"/>
      <c r="AT1320" s="3" t="n"/>
      <c r="AU1320" s="3" t="n"/>
    </row>
    <row r="1321">
      <c r="A1321" s="3" t="n">
        <v>2031</v>
      </c>
      <c r="B1321" s="3" t="inlineStr">
        <is>
          <t>HND</t>
        </is>
      </c>
      <c r="C1321" s="3" t="inlineStr">
        <is>
          <t>IMF.RES:WEO</t>
        </is>
      </c>
      <c r="D1321" s="3" t="inlineStr">
        <is>
          <t>HND.NGDP_D.A</t>
        </is>
      </c>
      <c r="E1321" s="3" t="inlineStr">
        <is>
          <t>Honduras</t>
        </is>
      </c>
      <c r="F1321" s="3" t="inlineStr">
        <is>
          <t>Gross domestic product (GDP), Price deflator, Index</t>
        </is>
      </c>
      <c r="G1321" s="3" t="n">
        <v>100.000094</v>
      </c>
      <c r="H1321" s="3" t="n">
        <v>108.084251</v>
      </c>
      <c r="I1321" s="3" t="n">
        <v>113.631273</v>
      </c>
      <c r="J1321" s="3" t="n">
        <v>120.175933</v>
      </c>
      <c r="K1321" s="3" t="n">
        <v>127.929773</v>
      </c>
      <c r="L1321" s="3" t="n">
        <v>137.241581</v>
      </c>
      <c r="M1321" s="3" t="n">
        <v>144.582502</v>
      </c>
      <c r="N1321" s="3" t="n">
        <v>154.162035</v>
      </c>
      <c r="O1321" s="3" t="n">
        <v>166.171414</v>
      </c>
      <c r="P1321" s="3" t="n">
        <v>178.890412</v>
      </c>
      <c r="Q1321" s="3" t="n">
        <v>187.255049</v>
      </c>
      <c r="R1321" s="3" t="n">
        <v>201.874688</v>
      </c>
      <c r="S1321" s="3" t="n">
        <v>209.101251</v>
      </c>
      <c r="T1321" s="3" t="n">
        <v>211.974489</v>
      </c>
      <c r="U1321" s="3" t="n">
        <v>226.493254</v>
      </c>
      <c r="V1321" s="3" t="n">
        <v>242.195644</v>
      </c>
      <c r="W1321" s="3" t="n">
        <v>251.103638</v>
      </c>
      <c r="X1321" s="3" t="n">
        <v>262.435683</v>
      </c>
      <c r="Y1321" s="3" t="n">
        <v>267.545875</v>
      </c>
      <c r="Z1321" s="3" t="n">
        <v>276.532173</v>
      </c>
      <c r="AA1321" s="3" t="n">
        <v>285.939619</v>
      </c>
      <c r="AB1321" s="3" t="n">
        <v>299.109485</v>
      </c>
      <c r="AC1321" s="3" t="n">
        <v>326.963592</v>
      </c>
      <c r="AD1321" s="3" t="n">
        <v>346.736642</v>
      </c>
      <c r="AE1321" s="3" t="n">
        <v>364.423342</v>
      </c>
      <c r="AF1321" s="3" t="n">
        <v>393.57721</v>
      </c>
      <c r="AG1321" s="3" t="n">
        <v>410.894607</v>
      </c>
      <c r="AH1321" s="3" t="n">
        <v>429.384864</v>
      </c>
      <c r="AI1321" s="3" t="n">
        <v>446.560259</v>
      </c>
      <c r="AJ1321" s="3" t="n">
        <v>464.422669</v>
      </c>
      <c r="AK1321" s="3" t="n">
        <v>482.999576</v>
      </c>
      <c r="AL1321" s="3" t="n">
        <v>502.319559</v>
      </c>
      <c r="AM1321" s="3" t="n"/>
      <c r="AN1321" s="3" t="n"/>
      <c r="AO1321" s="3" t="n"/>
      <c r="AP1321" s="3" t="n"/>
      <c r="AQ1321" s="3" t="n"/>
      <c r="AR1321" s="3" t="n"/>
      <c r="AS1321" s="3" t="n"/>
      <c r="AT1321" s="3" t="n"/>
      <c r="AU1321" s="3" t="n"/>
    </row>
    <row r="1322">
      <c r="A1322" s="3" t="n">
        <v>2031</v>
      </c>
      <c r="B1322" s="3" t="inlineStr">
        <is>
          <t>HND</t>
        </is>
      </c>
      <c r="C1322" s="3" t="inlineStr">
        <is>
          <t>IMF.RES:WEO</t>
        </is>
      </c>
      <c r="D1322" s="3" t="inlineStr">
        <is>
          <t>HND.NGDP_R.A</t>
        </is>
      </c>
      <c r="E1322" s="3" t="inlineStr">
        <is>
          <t>Honduras</t>
        </is>
      </c>
      <c r="F1322" s="3" t="inlineStr">
        <is>
          <t>Gross domestic product (GDP), Constant prices, Domestic currency</t>
        </is>
      </c>
      <c r="G1322" s="3" t="n">
        <v>106.6541</v>
      </c>
      <c r="H1322" s="3" t="n">
        <v>109.5587</v>
      </c>
      <c r="I1322" s="3" t="n">
        <v>113.6717</v>
      </c>
      <c r="J1322" s="3" t="n">
        <v>118.8406</v>
      </c>
      <c r="K1322" s="3" t="n">
        <v>126.247</v>
      </c>
      <c r="L1322" s="3" t="n">
        <v>133.8861</v>
      </c>
      <c r="M1322" s="3" t="n">
        <v>142.6784</v>
      </c>
      <c r="N1322" s="3" t="n">
        <v>151.5076</v>
      </c>
      <c r="O1322" s="3" t="n">
        <v>157.9194</v>
      </c>
      <c r="P1322" s="3" t="n">
        <v>154.0788</v>
      </c>
      <c r="Q1322" s="3" t="n">
        <v>159.828</v>
      </c>
      <c r="R1322" s="3" t="n">
        <v>165.9583</v>
      </c>
      <c r="S1322" s="3" t="n">
        <v>172.8103</v>
      </c>
      <c r="T1322" s="3" t="n">
        <v>177.6343</v>
      </c>
      <c r="U1322" s="3" t="n">
        <v>183.0666</v>
      </c>
      <c r="V1322" s="3" t="n">
        <v>190.0964</v>
      </c>
      <c r="W1322" s="3" t="n">
        <v>197.4969</v>
      </c>
      <c r="X1322" s="3" t="n">
        <v>207.0614</v>
      </c>
      <c r="Y1322" s="3" t="n">
        <v>215.0229</v>
      </c>
      <c r="Z1322" s="3" t="n">
        <v>220.5266</v>
      </c>
      <c r="AA1322" s="3" t="n">
        <v>200.7563</v>
      </c>
      <c r="AB1322" s="3" t="n">
        <v>225.9817</v>
      </c>
      <c r="AC1322" s="3" t="n">
        <v>235.3455</v>
      </c>
      <c r="AD1322" s="3" t="n">
        <v>243.7612</v>
      </c>
      <c r="AE1322" s="3" t="n">
        <v>252.4245</v>
      </c>
      <c r="AF1322" s="3" t="n">
        <v>261.764207</v>
      </c>
      <c r="AG1322" s="3" t="n">
        <v>270.402425</v>
      </c>
      <c r="AH1322" s="3" t="n">
        <v>280.407315</v>
      </c>
      <c r="AI1322" s="3" t="n">
        <v>291.062793</v>
      </c>
      <c r="AJ1322" s="3" t="n">
        <v>302.123179</v>
      </c>
      <c r="AK1322" s="3" t="n">
        <v>313.60386</v>
      </c>
      <c r="AL1322" s="3" t="n">
        <v>325.520807</v>
      </c>
      <c r="AM1322" s="3" t="n"/>
      <c r="AN1322" s="3" t="n"/>
      <c r="AO1322" s="3" t="n"/>
      <c r="AP1322" s="3" t="n"/>
      <c r="AQ1322" s="3" t="n"/>
      <c r="AR1322" s="3" t="n"/>
      <c r="AS1322" s="3" t="n"/>
      <c r="AT1322" s="3" t="n"/>
      <c r="AU1322" s="3" t="n"/>
    </row>
    <row r="1323">
      <c r="A1323" s="3" t="n">
        <v>2031</v>
      </c>
      <c r="B1323" s="3" t="inlineStr">
        <is>
          <t>HND</t>
        </is>
      </c>
      <c r="C1323" s="3" t="inlineStr">
        <is>
          <t>IMF.RES:WEO</t>
        </is>
      </c>
      <c r="D1323" s="3" t="inlineStr">
        <is>
          <t>HND.NGDP_RPCH.A</t>
        </is>
      </c>
      <c r="E1323" s="3" t="inlineStr">
        <is>
          <t>Honduras</t>
        </is>
      </c>
      <c r="F1323" s="3" t="inlineStr">
        <is>
          <t>Gross domestic product (GDP), Constant prices, Percent change</t>
        </is>
      </c>
      <c r="G1323" s="3" t="n">
        <v>7.291195</v>
      </c>
      <c r="H1323" s="3" t="n">
        <v>2.723383</v>
      </c>
      <c r="I1323" s="3" t="n">
        <v>3.754152</v>
      </c>
      <c r="J1323" s="3" t="n">
        <v>4.547218</v>
      </c>
      <c r="K1323" s="3" t="n">
        <v>6.232214</v>
      </c>
      <c r="L1323" s="3" t="n">
        <v>6.050916</v>
      </c>
      <c r="M1323" s="3" t="n">
        <v>6.567</v>
      </c>
      <c r="N1323" s="3" t="n">
        <v>6.188183</v>
      </c>
      <c r="O1323" s="3" t="n">
        <v>4.231999</v>
      </c>
      <c r="P1323" s="3" t="n">
        <v>-2.432</v>
      </c>
      <c r="Q1323" s="3" t="n">
        <v>3.731337</v>
      </c>
      <c r="R1323" s="3" t="n">
        <v>3.835561</v>
      </c>
      <c r="S1323" s="3" t="n">
        <v>4.128748</v>
      </c>
      <c r="T1323" s="3" t="n">
        <v>2.7915</v>
      </c>
      <c r="U1323" s="3" t="n">
        <v>3.058137</v>
      </c>
      <c r="V1323" s="3" t="n">
        <v>3.840023</v>
      </c>
      <c r="W1323" s="3" t="n">
        <v>3.893025</v>
      </c>
      <c r="X1323" s="3" t="n">
        <v>4.842861</v>
      </c>
      <c r="Y1323" s="3" t="n">
        <v>3.844995</v>
      </c>
      <c r="Z1323" s="3" t="n">
        <v>2.559588</v>
      </c>
      <c r="AA1323" s="3" t="n">
        <v>-8.965040999999999</v>
      </c>
      <c r="AB1323" s="3" t="n">
        <v>12.565185</v>
      </c>
      <c r="AC1323" s="3" t="n">
        <v>4.14361</v>
      </c>
      <c r="AD1323" s="3" t="n">
        <v>3.575892</v>
      </c>
      <c r="AE1323" s="3" t="n">
        <v>3.554011</v>
      </c>
      <c r="AF1323" s="3" t="n">
        <v>3.7</v>
      </c>
      <c r="AG1323" s="3" t="n">
        <v>3.3</v>
      </c>
      <c r="AH1323" s="3" t="n">
        <v>3.7</v>
      </c>
      <c r="AI1323" s="3" t="n">
        <v>3.8</v>
      </c>
      <c r="AJ1323" s="3" t="n">
        <v>3.8</v>
      </c>
      <c r="AK1323" s="3" t="n">
        <v>3.8</v>
      </c>
      <c r="AL1323" s="3" t="n">
        <v>3.8</v>
      </c>
      <c r="AM1323" s="3" t="n"/>
      <c r="AN1323" s="3" t="n"/>
      <c r="AO1323" s="3" t="n"/>
      <c r="AP1323" s="3" t="n"/>
      <c r="AQ1323" s="3" t="n"/>
      <c r="AR1323" s="3" t="n"/>
      <c r="AS1323" s="3" t="n"/>
      <c r="AT1323" s="3" t="n"/>
      <c r="AU1323" s="3" t="n"/>
    </row>
    <row r="1324">
      <c r="A1324" s="3" t="n">
        <v>2031</v>
      </c>
      <c r="B1324" s="3" t="inlineStr">
        <is>
          <t>HND</t>
        </is>
      </c>
      <c r="C1324" s="3" t="inlineStr">
        <is>
          <t>IMF.RES:WEO</t>
        </is>
      </c>
      <c r="D1324" s="3" t="inlineStr">
        <is>
          <t>HND.NGDPD.A</t>
        </is>
      </c>
      <c r="E1324" s="3" t="inlineStr">
        <is>
          <t>Honduras</t>
        </is>
      </c>
      <c r="F1324" s="3" t="inlineStr">
        <is>
          <t>Gross domestic product (GDP), Current prices, US dollar</t>
        </is>
      </c>
      <c r="G1324" s="3" t="n">
        <v>7.103827</v>
      </c>
      <c r="H1324" s="3" t="n">
        <v>7.652227</v>
      </c>
      <c r="I1324" s="3" t="n">
        <v>7.857107</v>
      </c>
      <c r="J1324" s="3" t="n">
        <v>8.228766</v>
      </c>
      <c r="K1324" s="3" t="n">
        <v>8.865625</v>
      </c>
      <c r="L1324" s="3" t="n">
        <v>9.755141</v>
      </c>
      <c r="M1324" s="3" t="n">
        <v>10.916874</v>
      </c>
      <c r="N1324" s="3" t="n">
        <v>12.361257</v>
      </c>
      <c r="O1324" s="3" t="n">
        <v>13.883884</v>
      </c>
      <c r="P1324" s="3" t="n">
        <v>14.58587</v>
      </c>
      <c r="Q1324" s="3" t="n">
        <v>15.836736</v>
      </c>
      <c r="R1324" s="3" t="n">
        <v>17.710429</v>
      </c>
      <c r="S1324" s="3" t="n">
        <v>18.523216</v>
      </c>
      <c r="T1324" s="3" t="n">
        <v>18.494129</v>
      </c>
      <c r="U1324" s="3" t="n">
        <v>19.753196</v>
      </c>
      <c r="V1324" s="3" t="n">
        <v>20.977548</v>
      </c>
      <c r="W1324" s="3" t="n">
        <v>21.712285</v>
      </c>
      <c r="X1324" s="3" t="n">
        <v>23.137623</v>
      </c>
      <c r="Y1324" s="3" t="n">
        <v>24.066971</v>
      </c>
      <c r="Z1324" s="3" t="n">
        <v>24.882788</v>
      </c>
      <c r="AA1324" s="3" t="n">
        <v>23.350379</v>
      </c>
      <c r="AB1324" s="3" t="n">
        <v>28.145965</v>
      </c>
      <c r="AC1324" s="3" t="n">
        <v>31.424774</v>
      </c>
      <c r="AD1324" s="3" t="n">
        <v>34.355781</v>
      </c>
      <c r="AE1324" s="3" t="n">
        <v>37.099982</v>
      </c>
      <c r="AF1324" s="3" t="n">
        <v>39.693915</v>
      </c>
      <c r="AG1324" s="3" t="n">
        <v>41.505335</v>
      </c>
      <c r="AH1324" s="3" t="n">
        <v>43.884021</v>
      </c>
      <c r="AI1324" s="3" t="n">
        <v>46.444782</v>
      </c>
      <c r="AJ1324" s="3" t="n">
        <v>49.154972</v>
      </c>
      <c r="AK1324" s="3" t="n">
        <v>52.023309</v>
      </c>
      <c r="AL1324" s="3" t="n">
        <v>55.059022</v>
      </c>
      <c r="AM1324" s="3" t="n"/>
      <c r="AN1324" s="3" t="n"/>
      <c r="AO1324" s="3" t="n"/>
      <c r="AP1324" s="3" t="n"/>
      <c r="AQ1324" s="3" t="n"/>
      <c r="AR1324" s="3" t="n"/>
      <c r="AS1324" s="3" t="n"/>
      <c r="AT1324" s="3" t="n"/>
      <c r="AU1324" s="3" t="n"/>
    </row>
    <row r="1325">
      <c r="A1325" s="3" t="n">
        <v>2031</v>
      </c>
      <c r="B1325" s="3" t="inlineStr">
        <is>
          <t>HND</t>
        </is>
      </c>
      <c r="C1325" s="3" t="inlineStr">
        <is>
          <t>IMF.RES:WEO</t>
        </is>
      </c>
      <c r="D1325" s="3" t="inlineStr">
        <is>
          <t>HND.NGDPPC.A</t>
        </is>
      </c>
      <c r="E1325" s="3" t="inlineStr">
        <is>
          <t>Honduras</t>
        </is>
      </c>
      <c r="F1325" s="3" t="inlineStr">
        <is>
          <t>Gross domestic product (GDP), Current prices, Per capita, Domestic currency</t>
        </is>
      </c>
      <c r="G1325" s="3" t="n">
        <v>16214.332723</v>
      </c>
      <c r="H1325" s="3" t="n">
        <v>17522.317647</v>
      </c>
      <c r="I1325" s="3" t="n">
        <v>18614.962489</v>
      </c>
      <c r="J1325" s="3" t="n">
        <v>20060.897181</v>
      </c>
      <c r="K1325" s="3" t="n">
        <v>22127.364401</v>
      </c>
      <c r="L1325" s="3" t="n">
        <v>24570.563981</v>
      </c>
      <c r="M1325" s="3" t="n">
        <v>26941.690767</v>
      </c>
      <c r="N1325" s="3" t="n">
        <v>29811.515243</v>
      </c>
      <c r="O1325" s="3" t="n">
        <v>32750.583551</v>
      </c>
      <c r="P1325" s="3" t="n">
        <v>33655.140314</v>
      </c>
      <c r="Q1325" s="3" t="n">
        <v>35774.60728</v>
      </c>
      <c r="R1325" s="3" t="n">
        <v>39227.743586</v>
      </c>
      <c r="S1325" s="3" t="n">
        <v>41462.461142</v>
      </c>
      <c r="T1325" s="3" t="n">
        <v>42358.828242</v>
      </c>
      <c r="U1325" s="3" t="n">
        <v>45749.522074</v>
      </c>
      <c r="V1325" s="3" t="n">
        <v>49841.93983</v>
      </c>
      <c r="W1325" s="3" t="n">
        <v>52688.25738</v>
      </c>
      <c r="X1325" s="3" t="n">
        <v>56674.513516</v>
      </c>
      <c r="Y1325" s="3" t="n">
        <v>58911.677271</v>
      </c>
      <c r="Z1325" s="3" t="n">
        <v>61328.389734</v>
      </c>
      <c r="AA1325" s="3" t="n">
        <v>56725.515927</v>
      </c>
      <c r="AB1325" s="3" t="n">
        <v>65689.094243</v>
      </c>
      <c r="AC1325" s="3" t="n">
        <v>73538.179748</v>
      </c>
      <c r="AD1325" s="3" t="n">
        <v>79400.7732</v>
      </c>
      <c r="AE1325" s="3" t="n">
        <v>84973.123685</v>
      </c>
      <c r="AF1325" s="3" t="n">
        <v>93608.786259</v>
      </c>
      <c r="AG1325" s="3" t="n">
        <v>99337.75807</v>
      </c>
      <c r="AH1325" s="3" t="n">
        <v>105967.415335</v>
      </c>
      <c r="AI1325" s="3" t="n">
        <v>112647.771166</v>
      </c>
      <c r="AJ1325" s="3" t="n">
        <v>119793.670951</v>
      </c>
      <c r="AK1325" s="3" t="n">
        <v>127443.387442</v>
      </c>
      <c r="AL1325" s="3" t="n">
        <v>135635.226749</v>
      </c>
      <c r="AM1325" s="3" t="n"/>
      <c r="AN1325" s="3" t="n"/>
      <c r="AO1325" s="3" t="n"/>
      <c r="AP1325" s="3" t="n"/>
      <c r="AQ1325" s="3" t="n"/>
      <c r="AR1325" s="3" t="n"/>
      <c r="AS1325" s="3" t="n"/>
      <c r="AT1325" s="3" t="n"/>
      <c r="AU1325" s="3" t="n"/>
    </row>
    <row r="1326">
      <c r="A1326" s="3" t="n">
        <v>2031</v>
      </c>
      <c r="B1326" s="3" t="inlineStr">
        <is>
          <t>HND</t>
        </is>
      </c>
      <c r="C1326" s="3" t="inlineStr">
        <is>
          <t>IMF.RES:WEO</t>
        </is>
      </c>
      <c r="D1326" s="3" t="inlineStr">
        <is>
          <t>HND.NGDPRPC.A</t>
        </is>
      </c>
      <c r="E1326" s="3" t="inlineStr">
        <is>
          <t>Honduras</t>
        </is>
      </c>
      <c r="F1326" s="3" t="inlineStr">
        <is>
          <t>Gross domestic product (GDP), Constant prices, Per capita, Domestic currency</t>
        </is>
      </c>
      <c r="G1326" s="3" t="n">
        <v>16214.317521</v>
      </c>
      <c r="H1326" s="3" t="n">
        <v>16211.721439</v>
      </c>
      <c r="I1326" s="3" t="n">
        <v>16381.900828</v>
      </c>
      <c r="J1326" s="3" t="n">
        <v>16692.940638</v>
      </c>
      <c r="K1326" s="3" t="n">
        <v>17296.493188</v>
      </c>
      <c r="L1326" s="3" t="n">
        <v>17903.148487</v>
      </c>
      <c r="M1326" s="3" t="n">
        <v>18634.129624</v>
      </c>
      <c r="N1326" s="3" t="n">
        <v>19337.779991</v>
      </c>
      <c r="O1326" s="3" t="n">
        <v>19708.915485</v>
      </c>
      <c r="P1326" s="3" t="n">
        <v>18813.2723</v>
      </c>
      <c r="Q1326" s="3" t="n">
        <v>19104.749077</v>
      </c>
      <c r="R1326" s="3" t="n">
        <v>19431.729661</v>
      </c>
      <c r="S1326" s="3" t="n">
        <v>19828.891911</v>
      </c>
      <c r="T1326" s="3" t="n">
        <v>19982.983995</v>
      </c>
      <c r="U1326" s="3" t="n">
        <v>20199.066061</v>
      </c>
      <c r="V1326" s="3" t="n">
        <v>20579.205732</v>
      </c>
      <c r="W1326" s="3" t="n">
        <v>20982.673883</v>
      </c>
      <c r="X1326" s="3" t="n">
        <v>21595.582124</v>
      </c>
      <c r="Y1326" s="3" t="n">
        <v>22019.280691</v>
      </c>
      <c r="Z1326" s="3" t="n">
        <v>22177.668866</v>
      </c>
      <c r="AA1326" s="3" t="n">
        <v>19838.284761</v>
      </c>
      <c r="AB1326" s="3" t="n">
        <v>21961.555031</v>
      </c>
      <c r="AC1326" s="3" t="n">
        <v>22491.244159</v>
      </c>
      <c r="AD1326" s="3" t="n">
        <v>22899.446878</v>
      </c>
      <c r="AE1326" s="3" t="n">
        <v>23317.14624</v>
      </c>
      <c r="AF1326" s="3" t="n">
        <v>23784.09723</v>
      </c>
      <c r="AG1326" s="3" t="n">
        <v>24175.970277</v>
      </c>
      <c r="AH1326" s="3" t="n">
        <v>24678.889297</v>
      </c>
      <c r="AI1326" s="3" t="n">
        <v>25225.659675</v>
      </c>
      <c r="AJ1326" s="3" t="n">
        <v>25794.104997</v>
      </c>
      <c r="AK1326" s="3" t="n">
        <v>26385.81766</v>
      </c>
      <c r="AL1326" s="3" t="n">
        <v>27001.780896</v>
      </c>
      <c r="AM1326" s="3" t="n"/>
      <c r="AN1326" s="3" t="n"/>
      <c r="AO1326" s="3" t="n"/>
      <c r="AP1326" s="3" t="n"/>
      <c r="AQ1326" s="3" t="n"/>
      <c r="AR1326" s="3" t="n"/>
      <c r="AS1326" s="3" t="n"/>
      <c r="AT1326" s="3" t="n"/>
      <c r="AU1326" s="3" t="n"/>
    </row>
    <row r="1327">
      <c r="A1327" s="3" t="n">
        <v>2031</v>
      </c>
      <c r="B1327" s="3" t="inlineStr">
        <is>
          <t>HND</t>
        </is>
      </c>
      <c r="C1327" s="3" t="inlineStr">
        <is>
          <t>IMF.RES:WEO</t>
        </is>
      </c>
      <c r="D1327" s="3" t="inlineStr">
        <is>
          <t>HND.PCPI.A</t>
        </is>
      </c>
      <c r="E1327" s="3" t="inlineStr">
        <is>
          <t>Honduras</t>
        </is>
      </c>
      <c r="F1327" s="3" t="inlineStr">
        <is>
          <t>All Items, Consumer price index (CPI), Period average</t>
        </is>
      </c>
      <c r="G1327" s="3" t="n">
        <v>22.830833</v>
      </c>
      <c r="H1327" s="3" t="n">
        <v>25.040833</v>
      </c>
      <c r="I1327" s="3" t="n">
        <v>26.964167</v>
      </c>
      <c r="J1327" s="3" t="n">
        <v>29.034167</v>
      </c>
      <c r="K1327" s="3" t="n">
        <v>31.391667</v>
      </c>
      <c r="L1327" s="3" t="n">
        <v>34.155</v>
      </c>
      <c r="M1327" s="3" t="n">
        <v>36.06</v>
      </c>
      <c r="N1327" s="3" t="n">
        <v>38.564167</v>
      </c>
      <c r="O1327" s="3" t="n">
        <v>42.958333</v>
      </c>
      <c r="P1327" s="3" t="n">
        <v>45.320833</v>
      </c>
      <c r="Q1327" s="3" t="n">
        <v>47.450833</v>
      </c>
      <c r="R1327" s="3" t="n">
        <v>50.659167</v>
      </c>
      <c r="S1327" s="3" t="n">
        <v>53.291667</v>
      </c>
      <c r="T1327" s="3" t="n">
        <v>56.040833</v>
      </c>
      <c r="U1327" s="3" t="n">
        <v>59.475833</v>
      </c>
      <c r="V1327" s="3" t="n">
        <v>61.353333</v>
      </c>
      <c r="W1327" s="3" t="n">
        <v>63.026667</v>
      </c>
      <c r="X1327" s="3" t="n">
        <v>65.50666699999999</v>
      </c>
      <c r="Y1327" s="3" t="n">
        <v>68.35333300000001</v>
      </c>
      <c r="Z1327" s="3" t="n">
        <v>71.33833300000001</v>
      </c>
      <c r="AA1327" s="3" t="n">
        <v>73.813333</v>
      </c>
      <c r="AB1327" s="3" t="n">
        <v>77.120833</v>
      </c>
      <c r="AC1327" s="3" t="n">
        <v>84.13166699999999</v>
      </c>
      <c r="AD1327" s="3" t="n">
        <v>89.7375</v>
      </c>
      <c r="AE1327" s="3" t="n">
        <v>93.87</v>
      </c>
      <c r="AF1327" s="3" t="n">
        <v>98.184167</v>
      </c>
      <c r="AG1327" s="3" t="n">
        <v>102.49991</v>
      </c>
      <c r="AH1327" s="3" t="n">
        <v>107.106674</v>
      </c>
      <c r="AI1327" s="3" t="n">
        <v>111.390941</v>
      </c>
      <c r="AJ1327" s="3" t="n">
        <v>115.846578</v>
      </c>
      <c r="AK1327" s="3" t="n">
        <v>120.480441</v>
      </c>
      <c r="AL1327" s="3" t="n">
        <v>125.299659</v>
      </c>
      <c r="AM1327" s="3" t="n"/>
      <c r="AN1327" s="3" t="n"/>
      <c r="AO1327" s="3" t="n"/>
      <c r="AP1327" s="3" t="n"/>
      <c r="AQ1327" s="3" t="n"/>
      <c r="AR1327" s="3" t="n"/>
      <c r="AS1327" s="3" t="n"/>
      <c r="AT1327" s="3" t="n"/>
      <c r="AU1327" s="3" t="n"/>
    </row>
    <row r="1328">
      <c r="A1328" s="3" t="n">
        <v>2031</v>
      </c>
      <c r="B1328" s="3" t="inlineStr">
        <is>
          <t>HND</t>
        </is>
      </c>
      <c r="C1328" s="3" t="inlineStr">
        <is>
          <t>IMF.RES:WEO</t>
        </is>
      </c>
      <c r="D1328" s="3" t="inlineStr">
        <is>
          <t>HND.PCPIPCH.A</t>
        </is>
      </c>
      <c r="E1328" s="3" t="inlineStr">
        <is>
          <t>Honduras</t>
        </is>
      </c>
      <c r="F1328" s="3" t="inlineStr">
        <is>
          <t>All Items, Consumer price index (CPI), Period average, percent change</t>
        </is>
      </c>
      <c r="G1328" s="3" t="n">
        <v>11.058413</v>
      </c>
      <c r="H1328" s="3" t="n">
        <v>9.679892000000001</v>
      </c>
      <c r="I1328" s="3" t="n">
        <v>7.680788</v>
      </c>
      <c r="J1328" s="3" t="n">
        <v>7.676855</v>
      </c>
      <c r="K1328" s="3" t="n">
        <v>8.119744000000001</v>
      </c>
      <c r="L1328" s="3" t="n">
        <v>8.802761</v>
      </c>
      <c r="M1328" s="3" t="n">
        <v>5.577514</v>
      </c>
      <c r="N1328" s="3" t="n">
        <v>6.944444</v>
      </c>
      <c r="O1328" s="3" t="n">
        <v>11.394429</v>
      </c>
      <c r="P1328" s="3" t="n">
        <v>5.499515</v>
      </c>
      <c r="Q1328" s="3" t="n">
        <v>4.699825</v>
      </c>
      <c r="R1328" s="3" t="n">
        <v>6.761385</v>
      </c>
      <c r="S1328" s="3" t="n">
        <v>5.196493</v>
      </c>
      <c r="T1328" s="3" t="n">
        <v>5.158718</v>
      </c>
      <c r="U1328" s="3" t="n">
        <v>6.129459</v>
      </c>
      <c r="V1328" s="3" t="n">
        <v>3.156744</v>
      </c>
      <c r="W1328" s="3" t="n">
        <v>2.727372</v>
      </c>
      <c r="X1328" s="3" t="n">
        <v>3.934842</v>
      </c>
      <c r="Y1328" s="3" t="n">
        <v>4.345614</v>
      </c>
      <c r="Z1328" s="3" t="n">
        <v>4.367015</v>
      </c>
      <c r="AA1328" s="3" t="n">
        <v>3.469383</v>
      </c>
      <c r="AB1328" s="3" t="n">
        <v>4.480898</v>
      </c>
      <c r="AC1328" s="3" t="n">
        <v>9.090712999999999</v>
      </c>
      <c r="AD1328" s="3" t="n">
        <v>6.663167</v>
      </c>
      <c r="AE1328" s="3" t="n">
        <v>4.605098</v>
      </c>
      <c r="AF1328" s="3" t="n">
        <v>4.595895</v>
      </c>
      <c r="AG1328" s="3" t="n">
        <v>4.395559</v>
      </c>
      <c r="AH1328" s="3" t="n">
        <v>4.494408</v>
      </c>
      <c r="AI1328" s="3" t="n">
        <v>4</v>
      </c>
      <c r="AJ1328" s="3" t="n">
        <v>4</v>
      </c>
      <c r="AK1328" s="3" t="n">
        <v>4</v>
      </c>
      <c r="AL1328" s="3" t="n">
        <v>4</v>
      </c>
      <c r="AM1328" s="3" t="n"/>
      <c r="AN1328" s="3" t="n"/>
      <c r="AO1328" s="3" t="n"/>
      <c r="AP1328" s="3" t="n"/>
      <c r="AQ1328" s="3" t="n"/>
      <c r="AR1328" s="3" t="n"/>
      <c r="AS1328" s="3" t="n"/>
      <c r="AT1328" s="3" t="n"/>
      <c r="AU1328" s="3" t="n"/>
    </row>
    <row r="1329">
      <c r="A1329" s="3" t="n">
        <v>2031</v>
      </c>
      <c r="B1329" s="3" t="inlineStr">
        <is>
          <t>HND</t>
        </is>
      </c>
      <c r="C1329" s="3" t="inlineStr">
        <is>
          <t>IMF.RES:WEO</t>
        </is>
      </c>
      <c r="D1329" s="3" t="inlineStr">
        <is>
          <t>HND.PPPPC.A</t>
        </is>
      </c>
      <c r="E1329" s="3" t="inlineStr">
        <is>
          <t>Honduras</t>
        </is>
      </c>
      <c r="F1329" s="3" t="inlineStr">
        <is>
          <t>Gross domestic product (GDP), Per capita, purchasing power parity (PPP) international dollar, ICP benchmarks 2017-2021</t>
        </is>
      </c>
      <c r="G1329" s="3" t="n">
        <v>3068.93794</v>
      </c>
      <c r="H1329" s="3" t="n">
        <v>3137.53634</v>
      </c>
      <c r="I1329" s="3" t="n">
        <v>3219.742286</v>
      </c>
      <c r="J1329" s="3" t="n">
        <v>3345.646422</v>
      </c>
      <c r="K1329" s="3" t="n">
        <v>3559.825215</v>
      </c>
      <c r="L1329" s="3" t="n">
        <v>3800.227164</v>
      </c>
      <c r="M1329" s="3" t="n">
        <v>4077.369054</v>
      </c>
      <c r="N1329" s="3" t="n">
        <v>4345.974442</v>
      </c>
      <c r="O1329" s="3" t="n">
        <v>4514.711608</v>
      </c>
      <c r="P1329" s="3" t="n">
        <v>4336.125847</v>
      </c>
      <c r="Q1329" s="3" t="n">
        <v>4456.822742</v>
      </c>
      <c r="R1329" s="3" t="n">
        <v>4626.631068</v>
      </c>
      <c r="S1329" s="3" t="n">
        <v>4809.099527</v>
      </c>
      <c r="T1329" s="3" t="n">
        <v>4928.95865</v>
      </c>
      <c r="U1329" s="3" t="n">
        <v>5069.033684</v>
      </c>
      <c r="V1329" s="3" t="n">
        <v>5212.359874</v>
      </c>
      <c r="W1329" s="3" t="n">
        <v>5365.051557</v>
      </c>
      <c r="X1329" s="3" t="n">
        <v>5620.654552</v>
      </c>
      <c r="Y1329" s="3" t="n">
        <v>5633.383238</v>
      </c>
      <c r="Z1329" s="3" t="n">
        <v>5784.930811</v>
      </c>
      <c r="AA1329" s="3" t="n">
        <v>5384.69832</v>
      </c>
      <c r="AB1329" s="3" t="n">
        <v>6202.980788</v>
      </c>
      <c r="AC1329" s="3" t="n">
        <v>6804.412529</v>
      </c>
      <c r="AD1329" s="3" t="n">
        <v>7184.243503</v>
      </c>
      <c r="AE1329" s="3" t="n">
        <v>7496.893635</v>
      </c>
      <c r="AF1329" s="3" t="n">
        <v>7863.955315</v>
      </c>
      <c r="AG1329" s="3" t="n">
        <v>8222.526448000001</v>
      </c>
      <c r="AH1329" s="3" t="n">
        <v>8577.889694</v>
      </c>
      <c r="AI1329" s="3" t="n">
        <v>8911.852246</v>
      </c>
      <c r="AJ1329" s="3" t="n">
        <v>9274.708828999999</v>
      </c>
      <c r="AK1329" s="3" t="n">
        <v>9661.803964999999</v>
      </c>
      <c r="AL1329" s="3" t="n">
        <v>10065.850345</v>
      </c>
      <c r="AM1329" s="3" t="n"/>
      <c r="AN1329" s="3" t="n"/>
      <c r="AO1329" s="3" t="n"/>
      <c r="AP1329" s="3" t="n"/>
      <c r="AQ1329" s="3" t="n"/>
      <c r="AR1329" s="3" t="n"/>
      <c r="AS1329" s="3" t="n"/>
      <c r="AT1329" s="3" t="n"/>
      <c r="AU1329" s="3" t="n"/>
    </row>
    <row r="1330">
      <c r="A1330" s="3" t="n">
        <v>2025</v>
      </c>
      <c r="B1330" s="3" t="inlineStr">
        <is>
          <t>HND</t>
        </is>
      </c>
      <c r="C1330" s="3" t="inlineStr">
        <is>
          <t>IMF.STA:ER</t>
        </is>
      </c>
      <c r="D1330" s="3" t="inlineStr">
        <is>
          <t>HND.XDC_USD.PA_RT.A</t>
        </is>
      </c>
      <c r="E1330" s="3" t="inlineStr">
        <is>
          <t>Honduras</t>
        </is>
      </c>
      <c r="F1330" s="3" t="inlineStr">
        <is>
          <t>Domestic currency per US Dollar</t>
        </is>
      </c>
      <c r="G1330" s="3" t="n">
        <v>14.840625</v>
      </c>
      <c r="H1330" s="3" t="n">
        <v>15.476825</v>
      </c>
      <c r="I1330" s="3" t="n">
        <v>16.4370583333333</v>
      </c>
      <c r="J1330" s="3" t="n">
        <v>17.3524916666666</v>
      </c>
      <c r="K1330" s="3" t="n">
        <v>18.209725</v>
      </c>
      <c r="L1330" s="3" t="n">
        <v>18.8323416666666</v>
      </c>
      <c r="M1330" s="3" t="n">
        <v>18.8952083333333</v>
      </c>
      <c r="N1330" s="3" t="n">
        <v>18.8951</v>
      </c>
      <c r="O1330" s="3" t="n">
        <v>18.9037583333333</v>
      </c>
      <c r="P1330" s="3" t="n">
        <v>18.8951</v>
      </c>
      <c r="Q1330" s="3" t="n">
        <v>18.8951</v>
      </c>
      <c r="R1330" s="3" t="n">
        <v>18.9171416666666</v>
      </c>
      <c r="S1330" s="3" t="n">
        <v>19.5022495121614</v>
      </c>
      <c r="T1330" s="3" t="n">
        <v>20.3537791666666</v>
      </c>
      <c r="U1330" s="3" t="n">
        <v>20.9871583333333</v>
      </c>
      <c r="V1330" s="3" t="n">
        <v>21.945175</v>
      </c>
      <c r="W1330" s="3" t="n">
        <v>22.835018390426</v>
      </c>
      <c r="X1330" s="3" t="n">
        <v>23.4870839434552</v>
      </c>
      <c r="Y1330" s="3" t="n">
        <v>23.9027282925432</v>
      </c>
      <c r="Z1330" s="3" t="n">
        <v>24.5085389148926</v>
      </c>
      <c r="AA1330" s="3" t="n">
        <v>24.5818805172846</v>
      </c>
      <c r="AB1330" s="3" t="n">
        <v>24.016655324268</v>
      </c>
      <c r="AC1330" s="3" t="n">
        <v>24.485873729113</v>
      </c>
      <c r="AD1330" s="3" t="n">
        <v>24.6016468236818</v>
      </c>
      <c r="AE1330" s="3" t="n">
        <v>24.7992824415521</v>
      </c>
      <c r="AF1330" s="3" t="n">
        <v>25.9526748179551</v>
      </c>
      <c r="AG1330" s="3" t="n"/>
      <c r="AH1330" s="3" t="n"/>
      <c r="AI1330" s="3" t="n"/>
      <c r="AJ1330" s="3" t="n"/>
      <c r="AK1330" s="3" t="n"/>
      <c r="AL1330" s="3" t="n"/>
      <c r="AM1330" s="3" t="n"/>
      <c r="AN1330" s="3" t="n"/>
      <c r="AO1330" s="3" t="n"/>
      <c r="AP1330" s="3" t="n"/>
      <c r="AQ1330" s="3" t="n"/>
      <c r="AR1330" s="3" t="n"/>
      <c r="AS1330" s="3" t="n"/>
      <c r="AT1330" s="3" t="n"/>
      <c r="AU1330" s="3" t="n"/>
    </row>
    <row r="1331">
      <c r="A1331" s="3" t="n">
        <v>2031</v>
      </c>
      <c r="B1331" s="3" t="inlineStr">
        <is>
          <t>HRV</t>
        </is>
      </c>
      <c r="C1331" s="3" t="inlineStr">
        <is>
          <t>IMF.RES:WEO</t>
        </is>
      </c>
      <c r="D1331" s="3" t="inlineStr">
        <is>
          <t>HRV.BCA.A</t>
        </is>
      </c>
      <c r="E1331" s="3" t="inlineStr">
        <is>
          <t>Croatia, Republic of</t>
        </is>
      </c>
      <c r="F1331" s="3" t="inlineStr">
        <is>
          <t>Current account balance (credit less debit), US dollar</t>
        </is>
      </c>
      <c r="G1331" s="3" t="n">
        <v>-0.302986</v>
      </c>
      <c r="H1331" s="3" t="n">
        <v>-0.501825</v>
      </c>
      <c r="I1331" s="3" t="n">
        <v>-1.707161</v>
      </c>
      <c r="J1331" s="3" t="n">
        <v>-3.150511</v>
      </c>
      <c r="K1331" s="3" t="n">
        <v>-2.493016</v>
      </c>
      <c r="L1331" s="3" t="n">
        <v>-3.288828</v>
      </c>
      <c r="M1331" s="3" t="n">
        <v>-3.932367</v>
      </c>
      <c r="N1331" s="3" t="n">
        <v>-4.708832</v>
      </c>
      <c r="O1331" s="3" t="n">
        <v>-7.511355</v>
      </c>
      <c r="P1331" s="3" t="n">
        <v>-4.041174</v>
      </c>
      <c r="Q1331" s="3" t="n">
        <v>-1.272666</v>
      </c>
      <c r="R1331" s="3" t="n">
        <v>-1.083725</v>
      </c>
      <c r="S1331" s="3" t="n">
        <v>-1.015369</v>
      </c>
      <c r="T1331" s="3" t="n">
        <v>-0.638701</v>
      </c>
      <c r="U1331" s="3" t="n">
        <v>0.154943</v>
      </c>
      <c r="V1331" s="3" t="n">
        <v>1.262199</v>
      </c>
      <c r="W1331" s="3" t="n">
        <v>1.113569</v>
      </c>
      <c r="X1331" s="3" t="n">
        <v>1.86772</v>
      </c>
      <c r="Y1331" s="3" t="n">
        <v>0.638477</v>
      </c>
      <c r="Z1331" s="3" t="n">
        <v>1.303884</v>
      </c>
      <c r="AA1331" s="3" t="n">
        <v>-1.101451</v>
      </c>
      <c r="AB1331" s="3" t="n">
        <v>0.219544</v>
      </c>
      <c r="AC1331" s="3" t="n">
        <v>-2.529832</v>
      </c>
      <c r="AD1331" s="3" t="n">
        <v>0.08869</v>
      </c>
      <c r="AE1331" s="3" t="n">
        <v>-2.034371</v>
      </c>
      <c r="AF1331" s="3" t="n">
        <v>-3.380671</v>
      </c>
      <c r="AG1331" s="3" t="n">
        <v>-4.477129</v>
      </c>
      <c r="AH1331" s="3" t="n">
        <v>-4.099532</v>
      </c>
      <c r="AI1331" s="3" t="n">
        <v>-3.823329</v>
      </c>
      <c r="AJ1331" s="3" t="n">
        <v>-3.571168</v>
      </c>
      <c r="AK1331" s="3" t="n">
        <v>-3.189827</v>
      </c>
      <c r="AL1331" s="3" t="n">
        <v>-2.754556</v>
      </c>
      <c r="AM1331" s="3" t="n"/>
      <c r="AN1331" s="3" t="n"/>
      <c r="AO1331" s="3" t="n"/>
      <c r="AP1331" s="3" t="n"/>
      <c r="AQ1331" s="3" t="n"/>
      <c r="AR1331" s="3" t="n"/>
      <c r="AS1331" s="3" t="n"/>
      <c r="AT1331" s="3" t="n"/>
      <c r="AU1331" s="3" t="n"/>
    </row>
    <row r="1332">
      <c r="A1332" s="3" t="n">
        <v>2031</v>
      </c>
      <c r="B1332" s="3" t="inlineStr">
        <is>
          <t>HRV</t>
        </is>
      </c>
      <c r="C1332" s="3" t="inlineStr">
        <is>
          <t>IMF.RES:WEO</t>
        </is>
      </c>
      <c r="D1332" s="3" t="inlineStr">
        <is>
          <t>HRV.BCA_NGDPD.A</t>
        </is>
      </c>
      <c r="E1332" s="3" t="inlineStr">
        <is>
          <t>Croatia, Republic of</t>
        </is>
      </c>
      <c r="F1332" s="3" t="inlineStr">
        <is>
          <t>Current account balance (credit less debit), Percent of GDP</t>
        </is>
      </c>
      <c r="G1332" s="3" t="n">
        <v>-1.368188</v>
      </c>
      <c r="H1332" s="3" t="n">
        <v>-2.175415</v>
      </c>
      <c r="I1332" s="3" t="n">
        <v>-6.38455</v>
      </c>
      <c r="J1332" s="3" t="n">
        <v>-8.940054999999999</v>
      </c>
      <c r="K1332" s="3" t="n">
        <v>-5.961704</v>
      </c>
      <c r="L1332" s="3" t="n">
        <v>-7.302855</v>
      </c>
      <c r="M1332" s="3" t="n">
        <v>-7.930764</v>
      </c>
      <c r="N1332" s="3" t="n">
        <v>-7.941333</v>
      </c>
      <c r="O1332" s="3" t="n">
        <v>-10.971796</v>
      </c>
      <c r="P1332" s="3" t="n">
        <v>-6.491719</v>
      </c>
      <c r="Q1332" s="3" t="n">
        <v>-2.156039</v>
      </c>
      <c r="R1332" s="3" t="n">
        <v>-1.723627</v>
      </c>
      <c r="S1332" s="3" t="n">
        <v>-1.763222</v>
      </c>
      <c r="T1332" s="3" t="n">
        <v>-1.067244</v>
      </c>
      <c r="U1332" s="3" t="n">
        <v>0.259873</v>
      </c>
      <c r="V1332" s="3" t="n">
        <v>2.474655</v>
      </c>
      <c r="W1332" s="3" t="n">
        <v>2.115587</v>
      </c>
      <c r="X1332" s="3" t="n">
        <v>3.325492</v>
      </c>
      <c r="Y1332" s="3" t="n">
        <v>1.034912</v>
      </c>
      <c r="Z1332" s="3" t="n">
        <v>2.121041</v>
      </c>
      <c r="AA1332" s="3" t="n">
        <v>-1.901862</v>
      </c>
      <c r="AB1332" s="3" t="n">
        <v>0.317942</v>
      </c>
      <c r="AC1332" s="3" t="n">
        <v>-3.5503</v>
      </c>
      <c r="AD1332" s="3" t="n">
        <v>0.103552</v>
      </c>
      <c r="AE1332" s="3" t="n">
        <v>-2.188545</v>
      </c>
      <c r="AF1332" s="3" t="n">
        <v>-3.18766</v>
      </c>
      <c r="AG1332" s="3" t="n">
        <v>-3.8406</v>
      </c>
      <c r="AH1332" s="3" t="n">
        <v>-3.343499</v>
      </c>
      <c r="AI1332" s="3" t="n">
        <v>-2.982354</v>
      </c>
      <c r="AJ1332" s="3" t="n">
        <v>-2.661183</v>
      </c>
      <c r="AK1332" s="3" t="n">
        <v>-2.268715</v>
      </c>
      <c r="AL1332" s="3" t="n">
        <v>-1.870015</v>
      </c>
      <c r="AM1332" s="3" t="n"/>
      <c r="AN1332" s="3" t="n"/>
      <c r="AO1332" s="3" t="n"/>
      <c r="AP1332" s="3" t="n"/>
      <c r="AQ1332" s="3" t="n"/>
      <c r="AR1332" s="3" t="n"/>
      <c r="AS1332" s="3" t="n"/>
      <c r="AT1332" s="3" t="n"/>
      <c r="AU1332" s="3" t="n"/>
    </row>
    <row r="1333">
      <c r="A1333" s="3" t="n">
        <v>2031</v>
      </c>
      <c r="B1333" s="3" t="inlineStr">
        <is>
          <t>HRV</t>
        </is>
      </c>
      <c r="C1333" s="3" t="inlineStr">
        <is>
          <t>IMF.RES:WEO</t>
        </is>
      </c>
      <c r="D1333" s="3" t="inlineStr">
        <is>
          <t>HRV.GGR_NGDP.A</t>
        </is>
      </c>
      <c r="E1333" s="3" t="inlineStr">
        <is>
          <t>Croatia, Republic of</t>
        </is>
      </c>
      <c r="F1333" s="3" t="inlineStr">
        <is>
          <t>Revenue, General government, Percent of GDP</t>
        </is>
      </c>
      <c r="G1333" s="3" t="n">
        <v>45.35759</v>
      </c>
      <c r="H1333" s="3" t="n">
        <v>45.824274</v>
      </c>
      <c r="I1333" s="3" t="n">
        <v>44.280868</v>
      </c>
      <c r="J1333" s="3" t="n">
        <v>44.613311</v>
      </c>
      <c r="K1333" s="3" t="n">
        <v>42.9144</v>
      </c>
      <c r="L1333" s="3" t="n">
        <v>43.233644</v>
      </c>
      <c r="M1333" s="3" t="n">
        <v>42.611426</v>
      </c>
      <c r="N1333" s="3" t="n">
        <v>44.097455</v>
      </c>
      <c r="O1333" s="3" t="n">
        <v>43.973536</v>
      </c>
      <c r="P1333" s="3" t="n">
        <v>42.124888</v>
      </c>
      <c r="Q1333" s="3" t="n">
        <v>41.721774</v>
      </c>
      <c r="R1333" s="3" t="n">
        <v>41.122892</v>
      </c>
      <c r="S1333" s="3" t="n">
        <v>41.866363</v>
      </c>
      <c r="T1333" s="3" t="n">
        <v>42.44585</v>
      </c>
      <c r="U1333" s="3" t="n">
        <v>43.554872</v>
      </c>
      <c r="V1333" s="3" t="n">
        <v>44.076491</v>
      </c>
      <c r="W1333" s="3" t="n">
        <v>44.879746</v>
      </c>
      <c r="X1333" s="3" t="n">
        <v>44.912937</v>
      </c>
      <c r="Y1333" s="3" t="n">
        <v>45.193519</v>
      </c>
      <c r="Z1333" s="3" t="n">
        <v>46.669824</v>
      </c>
      <c r="AA1333" s="3" t="n">
        <v>46.513351</v>
      </c>
      <c r="AB1333" s="3" t="n">
        <v>45.619087</v>
      </c>
      <c r="AC1333" s="3" t="n">
        <v>45.153371</v>
      </c>
      <c r="AD1333" s="3" t="n">
        <v>45.495725</v>
      </c>
      <c r="AE1333" s="3" t="n">
        <v>46.056068</v>
      </c>
      <c r="AF1333" s="3" t="n">
        <v>46.395289</v>
      </c>
      <c r="AG1333" s="3" t="n">
        <v>47.29192</v>
      </c>
      <c r="AH1333" s="3" t="n">
        <v>46.217754</v>
      </c>
      <c r="AI1333" s="3" t="n">
        <v>45.725481</v>
      </c>
      <c r="AJ1333" s="3" t="n">
        <v>45.616049</v>
      </c>
      <c r="AK1333" s="3" t="n">
        <v>45.749652</v>
      </c>
      <c r="AL1333" s="3" t="n">
        <v>45.726303</v>
      </c>
      <c r="AM1333" s="3" t="n"/>
      <c r="AN1333" s="3" t="n"/>
      <c r="AO1333" s="3" t="n"/>
      <c r="AP1333" s="3" t="n"/>
      <c r="AQ1333" s="3" t="n"/>
      <c r="AR1333" s="3" t="n"/>
      <c r="AS1333" s="3" t="n"/>
      <c r="AT1333" s="3" t="n"/>
      <c r="AU1333" s="3" t="n"/>
    </row>
    <row r="1334">
      <c r="A1334" s="3" t="n">
        <v>2031</v>
      </c>
      <c r="B1334" s="3" t="inlineStr">
        <is>
          <t>HRV</t>
        </is>
      </c>
      <c r="C1334" s="3" t="inlineStr">
        <is>
          <t>IMF.RES:WEO</t>
        </is>
      </c>
      <c r="D1334" s="3" t="inlineStr">
        <is>
          <t>HRV.GGX_NGDP.A</t>
        </is>
      </c>
      <c r="E1334" s="3" t="inlineStr">
        <is>
          <t>Croatia, Republic of</t>
        </is>
      </c>
      <c r="F1334" s="3" t="inlineStr">
        <is>
          <t>Expenditure, General government, Percent of GDP</t>
        </is>
      </c>
      <c r="G1334" s="3" t="n">
        <v>54.554786</v>
      </c>
      <c r="H1334" s="3" t="n">
        <v>50.615779</v>
      </c>
      <c r="I1334" s="3" t="n">
        <v>49.179094</v>
      </c>
      <c r="J1334" s="3" t="n">
        <v>49.64123</v>
      </c>
      <c r="K1334" s="3" t="n">
        <v>49.008117</v>
      </c>
      <c r="L1334" s="3" t="n">
        <v>46.476133</v>
      </c>
      <c r="M1334" s="3" t="n">
        <v>44.612541</v>
      </c>
      <c r="N1334" s="3" t="n">
        <v>46.366704</v>
      </c>
      <c r="O1334" s="3" t="n">
        <v>46.307649</v>
      </c>
      <c r="P1334" s="3" t="n">
        <v>49.275962</v>
      </c>
      <c r="Q1334" s="3" t="n">
        <v>48.172807</v>
      </c>
      <c r="R1334" s="3" t="n">
        <v>48.636062</v>
      </c>
      <c r="S1334" s="3" t="n">
        <v>47.323019</v>
      </c>
      <c r="T1334" s="3" t="n">
        <v>47.960275</v>
      </c>
      <c r="U1334" s="3" t="n">
        <v>48.747883</v>
      </c>
      <c r="V1334" s="3" t="n">
        <v>47.60758</v>
      </c>
      <c r="W1334" s="3" t="n">
        <v>45.91536</v>
      </c>
      <c r="X1334" s="3" t="n">
        <v>44.105441</v>
      </c>
      <c r="Y1334" s="3" t="n">
        <v>44.97271</v>
      </c>
      <c r="Z1334" s="3" t="n">
        <v>44.354636</v>
      </c>
      <c r="AA1334" s="3" t="n">
        <v>53.753867</v>
      </c>
      <c r="AB1334" s="3" t="n">
        <v>48.189017</v>
      </c>
      <c r="AC1334" s="3" t="n">
        <v>45.012719</v>
      </c>
      <c r="AD1334" s="3" t="n">
        <v>46.281208</v>
      </c>
      <c r="AE1334" s="3" t="n">
        <v>48.003071</v>
      </c>
      <c r="AF1334" s="3" t="n">
        <v>49.288857</v>
      </c>
      <c r="AG1334" s="3" t="n">
        <v>50.199424</v>
      </c>
      <c r="AH1334" s="3" t="n">
        <v>49.073715</v>
      </c>
      <c r="AI1334" s="3" t="n">
        <v>48.494257</v>
      </c>
      <c r="AJ1334" s="3" t="n">
        <v>48.23637</v>
      </c>
      <c r="AK1334" s="3" t="n">
        <v>48.214808</v>
      </c>
      <c r="AL1334" s="3" t="n">
        <v>48.168066</v>
      </c>
      <c r="AM1334" s="3" t="n"/>
      <c r="AN1334" s="3" t="n"/>
      <c r="AO1334" s="3" t="n"/>
      <c r="AP1334" s="3" t="n"/>
      <c r="AQ1334" s="3" t="n"/>
      <c r="AR1334" s="3" t="n"/>
      <c r="AS1334" s="3" t="n"/>
      <c r="AT1334" s="3" t="n"/>
      <c r="AU1334" s="3" t="n"/>
    </row>
    <row r="1335">
      <c r="A1335" s="3" t="n">
        <v>2027</v>
      </c>
      <c r="B1335" s="3" t="inlineStr">
        <is>
          <t>HRV</t>
        </is>
      </c>
      <c r="C1335" s="3" t="inlineStr">
        <is>
          <t>IMF.RES:WEO</t>
        </is>
      </c>
      <c r="D1335" s="3" t="inlineStr">
        <is>
          <t>HRV.LE.A</t>
        </is>
      </c>
      <c r="E1335" s="3" t="inlineStr">
        <is>
          <t>Croatia, Republic of</t>
        </is>
      </c>
      <c r="F1335" s="3" t="inlineStr">
        <is>
          <t>Employed persons, Persons for countries / Index for country groups</t>
        </is>
      </c>
      <c r="G1335" s="3" t="n">
        <v>1.436957</v>
      </c>
      <c r="H1335" s="3" t="n">
        <v>1.444834</v>
      </c>
      <c r="I1335" s="3" t="n">
        <v>1.456308</v>
      </c>
      <c r="J1335" s="3" t="n">
        <v>1.457111</v>
      </c>
      <c r="K1335" s="3" t="n">
        <v>1.491333</v>
      </c>
      <c r="L1335" s="3" t="n">
        <v>1.505978</v>
      </c>
      <c r="M1335" s="3" t="n">
        <v>1.532824</v>
      </c>
      <c r="N1335" s="3" t="n">
        <v>1.591302</v>
      </c>
      <c r="O1335" s="3" t="n">
        <v>1.641242</v>
      </c>
      <c r="P1335" s="3" t="n">
        <v>1.613551</v>
      </c>
      <c r="Q1335" s="3" t="n">
        <v>1.52035</v>
      </c>
      <c r="R1335" s="3" t="n">
        <v>1.512268</v>
      </c>
      <c r="S1335" s="3" t="n">
        <v>1.475744</v>
      </c>
      <c r="T1335" s="3" t="n">
        <v>1.454904</v>
      </c>
      <c r="U1335" s="3" t="n">
        <v>1.428931</v>
      </c>
      <c r="V1335" s="3" t="n">
        <v>1.44717</v>
      </c>
      <c r="W1335" s="3" t="n">
        <v>1.374973</v>
      </c>
      <c r="X1335" s="3" t="n">
        <v>1.365417</v>
      </c>
      <c r="Y1335" s="3" t="n">
        <v>1.407044</v>
      </c>
      <c r="Z1335" s="3" t="n">
        <v>1.532569</v>
      </c>
      <c r="AA1335" s="3" t="n">
        <v>1.523075</v>
      </c>
      <c r="AB1335" s="3" t="n">
        <v>1.554398</v>
      </c>
      <c r="AC1335" s="3" t="n">
        <v>1.597597</v>
      </c>
      <c r="AD1335" s="3" t="n">
        <v>1.640066</v>
      </c>
      <c r="AE1335" s="3" t="n">
        <v>1.695472</v>
      </c>
      <c r="AF1335" s="3" t="n">
        <v>1.725005</v>
      </c>
      <c r="AG1335" s="3" t="n">
        <v>1.75088</v>
      </c>
      <c r="AH1335" s="3" t="n">
        <v>1.777143</v>
      </c>
      <c r="AI1335" s="3" t="n"/>
      <c r="AJ1335" s="3" t="n"/>
      <c r="AK1335" s="3" t="n"/>
      <c r="AL1335" s="3" t="n"/>
      <c r="AM1335" s="3" t="n"/>
      <c r="AN1335" s="3" t="n"/>
      <c r="AO1335" s="3" t="n"/>
      <c r="AP1335" s="3" t="n"/>
      <c r="AQ1335" s="3" t="n"/>
      <c r="AR1335" s="3" t="n"/>
      <c r="AS1335" s="3" t="n"/>
      <c r="AT1335" s="3" t="n"/>
      <c r="AU1335" s="3" t="n"/>
    </row>
    <row r="1336">
      <c r="A1336" s="3" t="n">
        <v>2031</v>
      </c>
      <c r="B1336" s="3" t="inlineStr">
        <is>
          <t>HRV</t>
        </is>
      </c>
      <c r="C1336" s="3" t="inlineStr">
        <is>
          <t>IMF.RES:WEO</t>
        </is>
      </c>
      <c r="D1336" s="3" t="inlineStr">
        <is>
          <t>HRV.LP.A</t>
        </is>
      </c>
      <c r="E1336" s="3" t="inlineStr">
        <is>
          <t>Croatia, Republic of</t>
        </is>
      </c>
      <c r="F1336" s="3" t="inlineStr">
        <is>
          <t>Population, Persons for countries / Index for country groups</t>
        </is>
      </c>
      <c r="G1336" s="3" t="n">
        <v>4.381</v>
      </c>
      <c r="H1336" s="3" t="n">
        <v>4.3</v>
      </c>
      <c r="I1336" s="3" t="n">
        <v>4.302</v>
      </c>
      <c r="J1336" s="3" t="n">
        <v>4.303</v>
      </c>
      <c r="K1336" s="3" t="n">
        <v>4.305</v>
      </c>
      <c r="L1336" s="3" t="n">
        <v>4.31</v>
      </c>
      <c r="M1336" s="3" t="n">
        <v>4.311</v>
      </c>
      <c r="N1336" s="3" t="n">
        <v>4.31</v>
      </c>
      <c r="O1336" s="3" t="n">
        <v>4.31</v>
      </c>
      <c r="P1336" s="3" t="n">
        <v>4.305</v>
      </c>
      <c r="Q1336" s="3" t="n">
        <v>4.295</v>
      </c>
      <c r="R1336" s="3" t="n">
        <v>4.281</v>
      </c>
      <c r="S1336" s="3" t="n">
        <v>4.26</v>
      </c>
      <c r="T1336" s="3" t="n">
        <v>4.234</v>
      </c>
      <c r="U1336" s="3" t="n">
        <v>4.202</v>
      </c>
      <c r="V1336" s="3" t="n">
        <v>4.152</v>
      </c>
      <c r="W1336" s="3" t="n">
        <v>4.107</v>
      </c>
      <c r="X1336" s="3" t="n">
        <v>4.041</v>
      </c>
      <c r="Y1336" s="3" t="n">
        <v>3.989</v>
      </c>
      <c r="Z1336" s="3" t="n">
        <v>3.949</v>
      </c>
      <c r="AA1336" s="3" t="n">
        <v>3.914</v>
      </c>
      <c r="AB1336" s="3" t="n">
        <v>3.879</v>
      </c>
      <c r="AC1336" s="3" t="n">
        <v>3.856</v>
      </c>
      <c r="AD1336" s="3" t="n">
        <v>3.86</v>
      </c>
      <c r="AE1336" s="3" t="n">
        <v>3.866</v>
      </c>
      <c r="AF1336" s="3" t="n">
        <v>3.873942</v>
      </c>
      <c r="AG1336" s="3" t="n">
        <v>3.881901</v>
      </c>
      <c r="AH1336" s="3" t="n">
        <v>3.889876</v>
      </c>
      <c r="AI1336" s="3" t="n">
        <v>3.897867</v>
      </c>
      <c r="AJ1336" s="3" t="n">
        <v>3.905875</v>
      </c>
      <c r="AK1336" s="3" t="n">
        <v>3.913899</v>
      </c>
      <c r="AL1336" s="3" t="n">
        <v>3.92194</v>
      </c>
      <c r="AM1336" s="3" t="n"/>
      <c r="AN1336" s="3" t="n"/>
      <c r="AO1336" s="3" t="n"/>
      <c r="AP1336" s="3" t="n"/>
      <c r="AQ1336" s="3" t="n"/>
      <c r="AR1336" s="3" t="n"/>
      <c r="AS1336" s="3" t="n"/>
      <c r="AT1336" s="3" t="n"/>
      <c r="AU1336" s="3" t="n"/>
    </row>
    <row r="1337">
      <c r="A1337" s="3" t="n">
        <v>2031</v>
      </c>
      <c r="B1337" s="3" t="inlineStr">
        <is>
          <t>HRV</t>
        </is>
      </c>
      <c r="C1337" s="3" t="inlineStr">
        <is>
          <t>IMF.RES:WEO</t>
        </is>
      </c>
      <c r="D1337" s="3" t="inlineStr">
        <is>
          <t>HRV.NGDP.A</t>
        </is>
      </c>
      <c r="E1337" s="3" t="inlineStr">
        <is>
          <t>Croatia, Republic of</t>
        </is>
      </c>
      <c r="F1337" s="3" t="inlineStr">
        <is>
          <t>Gross domestic product (GDP), Current prices, Domestic currency</t>
        </is>
      </c>
      <c r="G1337" s="3" t="n">
        <v>23.966</v>
      </c>
      <c r="H1337" s="3" t="n">
        <v>25.756</v>
      </c>
      <c r="I1337" s="3" t="n">
        <v>28.298</v>
      </c>
      <c r="J1337" s="3" t="n">
        <v>31.162</v>
      </c>
      <c r="K1337" s="3" t="n">
        <v>33.633</v>
      </c>
      <c r="L1337" s="3" t="n">
        <v>36.179</v>
      </c>
      <c r="M1337" s="3" t="n">
        <v>39.488</v>
      </c>
      <c r="N1337" s="3" t="n">
        <v>43.261</v>
      </c>
      <c r="O1337" s="3" t="n">
        <v>46.553</v>
      </c>
      <c r="P1337" s="3" t="n">
        <v>44.68</v>
      </c>
      <c r="Q1337" s="3" t="n">
        <v>44.489</v>
      </c>
      <c r="R1337" s="3" t="n">
        <v>45.178</v>
      </c>
      <c r="S1337" s="3" t="n">
        <v>44.793</v>
      </c>
      <c r="T1337" s="3" t="n">
        <v>45.06</v>
      </c>
      <c r="U1337" s="3" t="n">
        <v>44.868</v>
      </c>
      <c r="V1337" s="3" t="n">
        <v>45.966</v>
      </c>
      <c r="W1337" s="3" t="n">
        <v>47.566</v>
      </c>
      <c r="X1337" s="3" t="n">
        <v>49.734</v>
      </c>
      <c r="Y1337" s="3" t="n">
        <v>52.217</v>
      </c>
      <c r="Z1337" s="3" t="n">
        <v>54.907</v>
      </c>
      <c r="AA1337" s="3" t="n">
        <v>50.745</v>
      </c>
      <c r="AB1337" s="3" t="n">
        <v>58.344</v>
      </c>
      <c r="AC1337" s="3" t="n">
        <v>67.614</v>
      </c>
      <c r="AD1337" s="3" t="n">
        <v>79.187</v>
      </c>
      <c r="AE1337" s="3" t="n">
        <v>85.906379</v>
      </c>
      <c r="AF1337" s="3" t="n">
        <v>93.90856100000001</v>
      </c>
      <c r="AG1337" s="3" t="n">
        <v>98.856719</v>
      </c>
      <c r="AH1337" s="3" t="n">
        <v>104.21724</v>
      </c>
      <c r="AI1337" s="3" t="n">
        <v>109.260857</v>
      </c>
      <c r="AJ1337" s="3" t="n">
        <v>114.432134</v>
      </c>
      <c r="AK1337" s="3" t="n">
        <v>119.91336</v>
      </c>
      <c r="AL1337" s="3" t="n">
        <v>125.648824</v>
      </c>
      <c r="AM1337" s="3" t="n"/>
      <c r="AN1337" s="3" t="n"/>
      <c r="AO1337" s="3" t="n"/>
      <c r="AP1337" s="3" t="n"/>
      <c r="AQ1337" s="3" t="n"/>
      <c r="AR1337" s="3" t="n"/>
      <c r="AS1337" s="3" t="n"/>
      <c r="AT1337" s="3" t="n"/>
      <c r="AU1337" s="3" t="n"/>
    </row>
    <row r="1338">
      <c r="A1338" s="3" t="n">
        <v>2031</v>
      </c>
      <c r="B1338" s="3" t="inlineStr">
        <is>
          <t>HRV</t>
        </is>
      </c>
      <c r="C1338" s="3" t="inlineStr">
        <is>
          <t>IMF.RES:WEO</t>
        </is>
      </c>
      <c r="D1338" s="3" t="inlineStr">
        <is>
          <t>HRV.NGDP_D.A</t>
        </is>
      </c>
      <c r="E1338" s="3" t="inlineStr">
        <is>
          <t>Croatia, Republic of</t>
        </is>
      </c>
      <c r="F1338" s="3" t="inlineStr">
        <is>
          <t>Gross domestic product (GDP), Price deflator, Index</t>
        </is>
      </c>
      <c r="G1338" s="3" t="n">
        <v>61.820621</v>
      </c>
      <c r="H1338" s="3" t="n">
        <v>64.431881</v>
      </c>
      <c r="I1338" s="3" t="n">
        <v>66.911</v>
      </c>
      <c r="J1338" s="3" t="n">
        <v>69.79483999999999</v>
      </c>
      <c r="K1338" s="3" t="n">
        <v>72.313481</v>
      </c>
      <c r="L1338" s="3" t="n">
        <v>74.562054</v>
      </c>
      <c r="M1338" s="3" t="n">
        <v>77.456307</v>
      </c>
      <c r="N1338" s="3" t="n">
        <v>80.77713</v>
      </c>
      <c r="O1338" s="3" t="n">
        <v>85.24317000000001</v>
      </c>
      <c r="P1338" s="3" t="n">
        <v>87.79375899999999</v>
      </c>
      <c r="Q1338" s="3" t="n">
        <v>88.60232600000001</v>
      </c>
      <c r="R1338" s="3" t="n">
        <v>90.076762</v>
      </c>
      <c r="S1338" s="3" t="n">
        <v>91.349036</v>
      </c>
      <c r="T1338" s="3" t="n">
        <v>92.017399</v>
      </c>
      <c r="U1338" s="3" t="n">
        <v>92.13898500000001</v>
      </c>
      <c r="V1338" s="3" t="n">
        <v>92.253041</v>
      </c>
      <c r="W1338" s="3" t="n">
        <v>92.268001</v>
      </c>
      <c r="X1338" s="3" t="n">
        <v>93.40419900000001</v>
      </c>
      <c r="Y1338" s="3" t="n">
        <v>95.293452</v>
      </c>
      <c r="Z1338" s="3" t="n">
        <v>97.189132</v>
      </c>
      <c r="AA1338" s="3" t="n">
        <v>97.96332</v>
      </c>
      <c r="AB1338" s="3" t="n">
        <v>100.003428</v>
      </c>
      <c r="AC1338" s="3" t="n">
        <v>108.01131</v>
      </c>
      <c r="AD1338" s="3" t="n">
        <v>121.914307</v>
      </c>
      <c r="AE1338" s="3" t="n">
        <v>127.383826</v>
      </c>
      <c r="AF1338" s="3" t="n">
        <v>134.992038</v>
      </c>
      <c r="AG1338" s="3" t="n">
        <v>138.453181</v>
      </c>
      <c r="AH1338" s="3" t="n">
        <v>142.209985</v>
      </c>
      <c r="AI1338" s="3" t="n">
        <v>145.314104</v>
      </c>
      <c r="AJ1338" s="3" t="n">
        <v>148.479773</v>
      </c>
      <c r="AK1338" s="3" t="n">
        <v>151.796937</v>
      </c>
      <c r="AL1338" s="3" t="n">
        <v>155.177945</v>
      </c>
      <c r="AM1338" s="3" t="n"/>
      <c r="AN1338" s="3" t="n"/>
      <c r="AO1338" s="3" t="n"/>
      <c r="AP1338" s="3" t="n"/>
      <c r="AQ1338" s="3" t="n"/>
      <c r="AR1338" s="3" t="n"/>
      <c r="AS1338" s="3" t="n"/>
      <c r="AT1338" s="3" t="n"/>
      <c r="AU1338" s="3" t="n"/>
    </row>
    <row r="1339">
      <c r="A1339" s="3" t="n">
        <v>2031</v>
      </c>
      <c r="B1339" s="3" t="inlineStr">
        <is>
          <t>HRV</t>
        </is>
      </c>
      <c r="C1339" s="3" t="inlineStr">
        <is>
          <t>IMF.RES:WEO</t>
        </is>
      </c>
      <c r="D1339" s="3" t="inlineStr">
        <is>
          <t>HRV.NGDP_R.A</t>
        </is>
      </c>
      <c r="E1339" s="3" t="inlineStr">
        <is>
          <t>Croatia, Republic of</t>
        </is>
      </c>
      <c r="F1339" s="3" t="inlineStr">
        <is>
          <t>Gross domestic product (GDP), Constant prices, Domestic currency</t>
        </is>
      </c>
      <c r="G1339" s="3" t="n">
        <v>38.767</v>
      </c>
      <c r="H1339" s="3" t="n">
        <v>39.974</v>
      </c>
      <c r="I1339" s="3" t="n">
        <v>42.292</v>
      </c>
      <c r="J1339" s="3" t="n">
        <v>44.648</v>
      </c>
      <c r="K1339" s="3" t="n">
        <v>46.51</v>
      </c>
      <c r="L1339" s="3" t="n">
        <v>48.522</v>
      </c>
      <c r="M1339" s="3" t="n">
        <v>50.981</v>
      </c>
      <c r="N1339" s="3" t="n">
        <v>53.556</v>
      </c>
      <c r="O1339" s="3" t="n">
        <v>54.612</v>
      </c>
      <c r="P1339" s="3" t="n">
        <v>50.892</v>
      </c>
      <c r="Q1339" s="3" t="n">
        <v>50.212</v>
      </c>
      <c r="R1339" s="3" t="n">
        <v>50.155</v>
      </c>
      <c r="S1339" s="3" t="n">
        <v>49.035</v>
      </c>
      <c r="T1339" s="3" t="n">
        <v>48.969</v>
      </c>
      <c r="U1339" s="3" t="n">
        <v>48.696</v>
      </c>
      <c r="V1339" s="3" t="n">
        <v>49.826</v>
      </c>
      <c r="W1339" s="3" t="n">
        <v>51.552</v>
      </c>
      <c r="X1339" s="3" t="n">
        <v>53.246</v>
      </c>
      <c r="Y1339" s="3" t="n">
        <v>54.796</v>
      </c>
      <c r="Z1339" s="3" t="n">
        <v>56.495</v>
      </c>
      <c r="AA1339" s="3" t="n">
        <v>51.8</v>
      </c>
      <c r="AB1339" s="3" t="n">
        <v>58.342</v>
      </c>
      <c r="AC1339" s="3" t="n">
        <v>62.599</v>
      </c>
      <c r="AD1339" s="3" t="n">
        <v>64.953</v>
      </c>
      <c r="AE1339" s="3" t="n">
        <v>67.43899999999999</v>
      </c>
      <c r="AF1339" s="3" t="n">
        <v>69.566</v>
      </c>
      <c r="AG1339" s="3" t="n">
        <v>71.400829</v>
      </c>
      <c r="AH1339" s="3" t="n">
        <v>73.284052</v>
      </c>
      <c r="AI1339" s="3" t="n">
        <v>75.189437</v>
      </c>
      <c r="AJ1339" s="3" t="n">
        <v>77.06917300000001</v>
      </c>
      <c r="AK1339" s="3" t="n">
        <v>78.995903</v>
      </c>
      <c r="AL1339" s="3" t="n">
        <v>80.9708</v>
      </c>
      <c r="AM1339" s="3" t="n"/>
      <c r="AN1339" s="3" t="n"/>
      <c r="AO1339" s="3" t="n"/>
      <c r="AP1339" s="3" t="n"/>
      <c r="AQ1339" s="3" t="n"/>
      <c r="AR1339" s="3" t="n"/>
      <c r="AS1339" s="3" t="n"/>
      <c r="AT1339" s="3" t="n"/>
      <c r="AU1339" s="3" t="n"/>
    </row>
    <row r="1340">
      <c r="A1340" s="3" t="n">
        <v>2031</v>
      </c>
      <c r="B1340" s="3" t="inlineStr">
        <is>
          <t>HRV</t>
        </is>
      </c>
      <c r="C1340" s="3" t="inlineStr">
        <is>
          <t>IMF.RES:WEO</t>
        </is>
      </c>
      <c r="D1340" s="3" t="inlineStr">
        <is>
          <t>HRV.NGDP_RPCH.A</t>
        </is>
      </c>
      <c r="E1340" s="3" t="inlineStr">
        <is>
          <t>Croatia, Republic of</t>
        </is>
      </c>
      <c r="F1340" s="3" t="inlineStr">
        <is>
          <t>Gross domestic product (GDP), Constant prices, Percent change</t>
        </is>
      </c>
      <c r="G1340" s="3" t="n">
        <v>3.749204</v>
      </c>
      <c r="H1340" s="3" t="n">
        <v>3.113473</v>
      </c>
      <c r="I1340" s="3" t="n">
        <v>5.798769</v>
      </c>
      <c r="J1340" s="3" t="n">
        <v>5.570794</v>
      </c>
      <c r="K1340" s="3" t="n">
        <v>4.1704</v>
      </c>
      <c r="L1340" s="3" t="n">
        <v>4.325951</v>
      </c>
      <c r="M1340" s="3" t="n">
        <v>5.067804</v>
      </c>
      <c r="N1340" s="3" t="n">
        <v>5.050901</v>
      </c>
      <c r="O1340" s="3" t="n">
        <v>1.971768</v>
      </c>
      <c r="P1340" s="3" t="n">
        <v>-6.81169</v>
      </c>
      <c r="Q1340" s="3" t="n">
        <v>-1.336163</v>
      </c>
      <c r="R1340" s="3" t="n">
        <v>-0.113519</v>
      </c>
      <c r="S1340" s="3" t="n">
        <v>-2.233077</v>
      </c>
      <c r="T1340" s="3" t="n">
        <v>-0.134598</v>
      </c>
      <c r="U1340" s="3" t="n">
        <v>-0.557496</v>
      </c>
      <c r="V1340" s="3" t="n">
        <v>2.320519</v>
      </c>
      <c r="W1340" s="3" t="n">
        <v>3.464055</v>
      </c>
      <c r="X1340" s="3" t="n">
        <v>3.286002</v>
      </c>
      <c r="Y1340" s="3" t="n">
        <v>2.911017</v>
      </c>
      <c r="Z1340" s="3" t="n">
        <v>3.100591</v>
      </c>
      <c r="AA1340" s="3" t="n">
        <v>-8.31047</v>
      </c>
      <c r="AB1340" s="3" t="n">
        <v>12.629344</v>
      </c>
      <c r="AC1340" s="3" t="n">
        <v>7.29663</v>
      </c>
      <c r="AD1340" s="3" t="n">
        <v>3.760443</v>
      </c>
      <c r="AE1340" s="3" t="n">
        <v>3.827383</v>
      </c>
      <c r="AF1340" s="3" t="n">
        <v>3.153961</v>
      </c>
      <c r="AG1340" s="3" t="n">
        <v>2.637537</v>
      </c>
      <c r="AH1340" s="3" t="n">
        <v>2.637537</v>
      </c>
      <c r="AI1340" s="3" t="n">
        <v>2.6</v>
      </c>
      <c r="AJ1340" s="3" t="n">
        <v>2.5</v>
      </c>
      <c r="AK1340" s="3" t="n">
        <v>2.5</v>
      </c>
      <c r="AL1340" s="3" t="n">
        <v>2.5</v>
      </c>
      <c r="AM1340" s="3" t="n"/>
      <c r="AN1340" s="3" t="n"/>
      <c r="AO1340" s="3" t="n"/>
      <c r="AP1340" s="3" t="n"/>
      <c r="AQ1340" s="3" t="n"/>
      <c r="AR1340" s="3" t="n"/>
      <c r="AS1340" s="3" t="n"/>
      <c r="AT1340" s="3" t="n"/>
      <c r="AU1340" s="3" t="n"/>
    </row>
    <row r="1341">
      <c r="A1341" s="3" t="n">
        <v>2031</v>
      </c>
      <c r="B1341" s="3" t="inlineStr">
        <is>
          <t>HRV</t>
        </is>
      </c>
      <c r="C1341" s="3" t="inlineStr">
        <is>
          <t>IMF.RES:WEO</t>
        </is>
      </c>
      <c r="D1341" s="3" t="inlineStr">
        <is>
          <t>HRV.NGDPD.A</t>
        </is>
      </c>
      <c r="E1341" s="3" t="inlineStr">
        <is>
          <t>Croatia, Republic of</t>
        </is>
      </c>
      <c r="F1341" s="3" t="inlineStr">
        <is>
          <t>Gross domestic product (GDP), Current prices, US dollar</t>
        </is>
      </c>
      <c r="G1341" s="3" t="n">
        <v>22.145078</v>
      </c>
      <c r="H1341" s="3" t="n">
        <v>23.067991</v>
      </c>
      <c r="I1341" s="3" t="n">
        <v>26.738938</v>
      </c>
      <c r="J1341" s="3" t="n">
        <v>35.240394</v>
      </c>
      <c r="K1341" s="3" t="n">
        <v>41.817177</v>
      </c>
      <c r="L1341" s="3" t="n">
        <v>45.034821</v>
      </c>
      <c r="M1341" s="3" t="n">
        <v>49.583713</v>
      </c>
      <c r="N1341" s="3" t="n">
        <v>59.295239</v>
      </c>
      <c r="O1341" s="3" t="n">
        <v>68.460578</v>
      </c>
      <c r="P1341" s="3" t="n">
        <v>62.251211</v>
      </c>
      <c r="Q1341" s="3" t="n">
        <v>59.02798</v>
      </c>
      <c r="R1341" s="3" t="n">
        <v>62.874688</v>
      </c>
      <c r="S1341" s="3" t="n">
        <v>57.585982</v>
      </c>
      <c r="T1341" s="3" t="n">
        <v>59.845871</v>
      </c>
      <c r="U1341" s="3" t="n">
        <v>59.622535</v>
      </c>
      <c r="V1341" s="3" t="n">
        <v>51.005033</v>
      </c>
      <c r="W1341" s="3" t="n">
        <v>52.636425</v>
      </c>
      <c r="X1341" s="3" t="n">
        <v>56.163737</v>
      </c>
      <c r="Y1341" s="3" t="n">
        <v>61.693865</v>
      </c>
      <c r="Z1341" s="3" t="n">
        <v>61.473771</v>
      </c>
      <c r="AA1341" s="3" t="n">
        <v>57.914348</v>
      </c>
      <c r="AB1341" s="3" t="n">
        <v>69.051676</v>
      </c>
      <c r="AC1341" s="3" t="n">
        <v>71.256845</v>
      </c>
      <c r="AD1341" s="3" t="n">
        <v>85.647115</v>
      </c>
      <c r="AE1341" s="3" t="n">
        <v>92.95538999999999</v>
      </c>
      <c r="AF1341" s="3" t="n">
        <v>106.054929</v>
      </c>
      <c r="AG1341" s="3" t="n">
        <v>116.573706</v>
      </c>
      <c r="AH1341" s="3" t="n">
        <v>122.612035</v>
      </c>
      <c r="AI1341" s="3" t="n">
        <v>128.198352</v>
      </c>
      <c r="AJ1341" s="3" t="n">
        <v>134.194766</v>
      </c>
      <c r="AK1341" s="3" t="n">
        <v>140.600608</v>
      </c>
      <c r="AL1341" s="3" t="n">
        <v>147.301277</v>
      </c>
      <c r="AM1341" s="3" t="n"/>
      <c r="AN1341" s="3" t="n"/>
      <c r="AO1341" s="3" t="n"/>
      <c r="AP1341" s="3" t="n"/>
      <c r="AQ1341" s="3" t="n"/>
      <c r="AR1341" s="3" t="n"/>
      <c r="AS1341" s="3" t="n"/>
      <c r="AT1341" s="3" t="n"/>
      <c r="AU1341" s="3" t="n"/>
    </row>
    <row r="1342">
      <c r="A1342" s="3" t="n">
        <v>2031</v>
      </c>
      <c r="B1342" s="3" t="inlineStr">
        <is>
          <t>HRV</t>
        </is>
      </c>
      <c r="C1342" s="3" t="inlineStr">
        <is>
          <t>IMF.RES:WEO</t>
        </is>
      </c>
      <c r="D1342" s="3" t="inlineStr">
        <is>
          <t>HRV.NGDPPC.A</t>
        </is>
      </c>
      <c r="E1342" s="3" t="inlineStr">
        <is>
          <t>Croatia, Republic of</t>
        </is>
      </c>
      <c r="F1342" s="3" t="inlineStr">
        <is>
          <t>Gross domestic product (GDP), Current prices, Per capita, Domestic currency</t>
        </is>
      </c>
      <c r="G1342" s="3" t="n">
        <v>5470.440539</v>
      </c>
      <c r="H1342" s="3" t="n">
        <v>5989.767442</v>
      </c>
      <c r="I1342" s="3" t="n">
        <v>6577.870758</v>
      </c>
      <c r="J1342" s="3" t="n">
        <v>7241.924239</v>
      </c>
      <c r="K1342" s="3" t="n">
        <v>7812.543554</v>
      </c>
      <c r="L1342" s="3" t="n">
        <v>8394.199536</v>
      </c>
      <c r="M1342" s="3" t="n">
        <v>9159.823707</v>
      </c>
      <c r="N1342" s="3" t="n">
        <v>10037.354988</v>
      </c>
      <c r="O1342" s="3" t="n">
        <v>10801.160093</v>
      </c>
      <c r="P1342" s="3" t="n">
        <v>10378.629501</v>
      </c>
      <c r="Q1342" s="3" t="n">
        <v>10358.323632</v>
      </c>
      <c r="R1342" s="3" t="n">
        <v>10553.141789</v>
      </c>
      <c r="S1342" s="3" t="n">
        <v>10514.788732</v>
      </c>
      <c r="T1342" s="3" t="n">
        <v>10642.418517</v>
      </c>
      <c r="U1342" s="3" t="n">
        <v>10677.772489</v>
      </c>
      <c r="V1342" s="3" t="n">
        <v>11070.809249</v>
      </c>
      <c r="W1342" s="3" t="n">
        <v>11581.689798</v>
      </c>
      <c r="X1342" s="3" t="n">
        <v>12307.349666</v>
      </c>
      <c r="Y1342" s="3" t="n">
        <v>13090.248183</v>
      </c>
      <c r="Z1342" s="3" t="n">
        <v>13904.026336</v>
      </c>
      <c r="AA1342" s="3" t="n">
        <v>12964.997445</v>
      </c>
      <c r="AB1342" s="3" t="n">
        <v>15040.989946</v>
      </c>
      <c r="AC1342" s="3" t="n">
        <v>17534.751037</v>
      </c>
      <c r="AD1342" s="3" t="n">
        <v>20514.766839</v>
      </c>
      <c r="AE1342" s="3" t="n">
        <v>22220.998111</v>
      </c>
      <c r="AF1342" s="3" t="n">
        <v>24241.083992</v>
      </c>
      <c r="AG1342" s="3" t="n">
        <v>25466.058863</v>
      </c>
      <c r="AH1342" s="3" t="n">
        <v>26791.918455</v>
      </c>
      <c r="AI1342" s="3" t="n">
        <v>28030.932702</v>
      </c>
      <c r="AJ1342" s="3" t="n">
        <v>29297.437791</v>
      </c>
      <c r="AK1342" s="3" t="n">
        <v>30637.824</v>
      </c>
      <c r="AL1342" s="3" t="n">
        <v>32037.415249</v>
      </c>
      <c r="AM1342" s="3" t="n"/>
      <c r="AN1342" s="3" t="n"/>
      <c r="AO1342" s="3" t="n"/>
      <c r="AP1342" s="3" t="n"/>
      <c r="AQ1342" s="3" t="n"/>
      <c r="AR1342" s="3" t="n"/>
      <c r="AS1342" s="3" t="n"/>
      <c r="AT1342" s="3" t="n"/>
      <c r="AU1342" s="3" t="n"/>
    </row>
    <row r="1343">
      <c r="A1343" s="3" t="n">
        <v>2031</v>
      </c>
      <c r="B1343" s="3" t="inlineStr">
        <is>
          <t>HRV</t>
        </is>
      </c>
      <c r="C1343" s="3" t="inlineStr">
        <is>
          <t>IMF.RES:WEO</t>
        </is>
      </c>
      <c r="D1343" s="3" t="inlineStr">
        <is>
          <t>HRV.NGDPRPC.A</t>
        </is>
      </c>
      <c r="E1343" s="3" t="inlineStr">
        <is>
          <t>Croatia, Republic of</t>
        </is>
      </c>
      <c r="F1343" s="3" t="inlineStr">
        <is>
          <t>Gross domestic product (GDP), Constant prices, Per capita, Domestic currency</t>
        </is>
      </c>
      <c r="G1343" s="3" t="n">
        <v>8848.892947</v>
      </c>
      <c r="H1343" s="3" t="n">
        <v>9296.279070000001</v>
      </c>
      <c r="I1343" s="3" t="n">
        <v>9830.776383</v>
      </c>
      <c r="J1343" s="3" t="n">
        <v>10376.016733</v>
      </c>
      <c r="K1343" s="3" t="n">
        <v>10803.716609</v>
      </c>
      <c r="L1343" s="3" t="n">
        <v>11258.00464</v>
      </c>
      <c r="M1343" s="3" t="n">
        <v>11825.794479</v>
      </c>
      <c r="N1343" s="3" t="n">
        <v>12425.986079</v>
      </c>
      <c r="O1343" s="3" t="n">
        <v>12670.99768</v>
      </c>
      <c r="P1343" s="3" t="n">
        <v>11821.602787</v>
      </c>
      <c r="Q1343" s="3" t="n">
        <v>11690.80326</v>
      </c>
      <c r="R1343" s="3" t="n">
        <v>11715.720626</v>
      </c>
      <c r="S1343" s="3" t="n">
        <v>11510.56338</v>
      </c>
      <c r="T1343" s="3" t="n">
        <v>11565.658951</v>
      </c>
      <c r="U1343" s="3" t="n">
        <v>11588.767254</v>
      </c>
      <c r="V1343" s="3" t="n">
        <v>12000.481696</v>
      </c>
      <c r="W1343" s="3" t="n">
        <v>12552.227904</v>
      </c>
      <c r="X1343" s="3" t="n">
        <v>13176.441475</v>
      </c>
      <c r="Y1343" s="3" t="n">
        <v>13736.776134</v>
      </c>
      <c r="Z1343" s="3" t="n">
        <v>14306.153457</v>
      </c>
      <c r="AA1343" s="3" t="n">
        <v>13234.542667</v>
      </c>
      <c r="AB1343" s="3" t="n">
        <v>15040.474349</v>
      </c>
      <c r="AC1343" s="3" t="n">
        <v>16234.180498</v>
      </c>
      <c r="AD1343" s="3" t="n">
        <v>16827.202073</v>
      </c>
      <c r="AE1343" s="3" t="n">
        <v>17444.128298</v>
      </c>
      <c r="AF1343" s="3" t="n">
        <v>17957.417571</v>
      </c>
      <c r="AG1343" s="3" t="n">
        <v>18393.263879</v>
      </c>
      <c r="AH1343" s="3" t="n">
        <v>18839.688658</v>
      </c>
      <c r="AI1343" s="3" t="n">
        <v>19289.891331</v>
      </c>
      <c r="AJ1343" s="3" t="n">
        <v>19731.601929</v>
      </c>
      <c r="AK1343" s="3" t="n">
        <v>20183.427061</v>
      </c>
      <c r="AL1343" s="3" t="n">
        <v>20645.598335</v>
      </c>
      <c r="AM1343" s="3" t="n"/>
      <c r="AN1343" s="3" t="n"/>
      <c r="AO1343" s="3" t="n"/>
      <c r="AP1343" s="3" t="n"/>
      <c r="AQ1343" s="3" t="n"/>
      <c r="AR1343" s="3" t="n"/>
      <c r="AS1343" s="3" t="n"/>
      <c r="AT1343" s="3" t="n"/>
      <c r="AU1343" s="3" t="n"/>
    </row>
    <row r="1344">
      <c r="A1344" s="3" t="n">
        <v>2031</v>
      </c>
      <c r="B1344" s="3" t="inlineStr">
        <is>
          <t>HRV</t>
        </is>
      </c>
      <c r="C1344" s="3" t="inlineStr">
        <is>
          <t>IMF.RES:WEO</t>
        </is>
      </c>
      <c r="D1344" s="3" t="inlineStr">
        <is>
          <t>HRV.PCPI.A</t>
        </is>
      </c>
      <c r="E1344" s="3" t="inlineStr">
        <is>
          <t>Croatia, Republic of</t>
        </is>
      </c>
      <c r="F1344" s="3" t="inlineStr">
        <is>
          <t>All Items, Consumer price index (CPI), Period average</t>
        </is>
      </c>
      <c r="G1344" s="3" t="n">
        <v>50.2975</v>
      </c>
      <c r="H1344" s="3" t="n">
        <v>52.4425</v>
      </c>
      <c r="I1344" s="3" t="n">
        <v>53.770833</v>
      </c>
      <c r="J1344" s="3" t="n">
        <v>55.060833</v>
      </c>
      <c r="K1344" s="3" t="n">
        <v>56.240833</v>
      </c>
      <c r="L1344" s="3" t="n">
        <v>57.925833</v>
      </c>
      <c r="M1344" s="3" t="n">
        <v>59.83</v>
      </c>
      <c r="N1344" s="3" t="n">
        <v>61.420833</v>
      </c>
      <c r="O1344" s="3" t="n">
        <v>64.985</v>
      </c>
      <c r="P1344" s="3" t="n">
        <v>66.42833299999999</v>
      </c>
      <c r="Q1344" s="3" t="n">
        <v>67.151667</v>
      </c>
      <c r="R1344" s="3" t="n">
        <v>68.63416700000001</v>
      </c>
      <c r="S1344" s="3" t="n">
        <v>70.935833</v>
      </c>
      <c r="T1344" s="3" t="n">
        <v>72.58750000000001</v>
      </c>
      <c r="U1344" s="3" t="n">
        <v>72.746667</v>
      </c>
      <c r="V1344" s="3" t="n">
        <v>72.558333</v>
      </c>
      <c r="W1344" s="3" t="n">
        <v>72.10166700000001</v>
      </c>
      <c r="X1344" s="3" t="n">
        <v>73.04083300000001</v>
      </c>
      <c r="Y1344" s="3" t="n">
        <v>74.17916700000001</v>
      </c>
      <c r="Z1344" s="3" t="n">
        <v>74.765833</v>
      </c>
      <c r="AA1344" s="3" t="n">
        <v>74.73</v>
      </c>
      <c r="AB1344" s="3" t="n">
        <v>76.781667</v>
      </c>
      <c r="AC1344" s="3" t="n">
        <v>84.97</v>
      </c>
      <c r="AD1344" s="3" t="n">
        <v>92.104167</v>
      </c>
      <c r="AE1344" s="3" t="n">
        <v>95.80333299999999</v>
      </c>
      <c r="AF1344" s="3" t="n">
        <v>100</v>
      </c>
      <c r="AG1344" s="3" t="n">
        <v>104.360805</v>
      </c>
      <c r="AH1344" s="3" t="n">
        <v>107.212228</v>
      </c>
      <c r="AI1344" s="3" t="n">
        <v>109.894333</v>
      </c>
      <c r="AJ1344" s="3" t="n">
        <v>112.676424</v>
      </c>
      <c r="AK1344" s="3" t="n">
        <v>115.519607</v>
      </c>
      <c r="AL1344" s="3" t="n">
        <v>118.384164</v>
      </c>
      <c r="AM1344" s="3" t="n"/>
      <c r="AN1344" s="3" t="n"/>
      <c r="AO1344" s="3" t="n"/>
      <c r="AP1344" s="3" t="n"/>
      <c r="AQ1344" s="3" t="n"/>
      <c r="AR1344" s="3" t="n"/>
      <c r="AS1344" s="3" t="n"/>
      <c r="AT1344" s="3" t="n"/>
      <c r="AU1344" s="3" t="n"/>
    </row>
    <row r="1345">
      <c r="A1345" s="3" t="n">
        <v>2031</v>
      </c>
      <c r="B1345" s="3" t="inlineStr">
        <is>
          <t>HRV</t>
        </is>
      </c>
      <c r="C1345" s="3" t="inlineStr">
        <is>
          <t>IMF.RES:WEO</t>
        </is>
      </c>
      <c r="D1345" s="3" t="inlineStr">
        <is>
          <t>HRV.PCPIPCH.A</t>
        </is>
      </c>
      <c r="E1345" s="3" t="inlineStr">
        <is>
          <t>Croatia, Republic of</t>
        </is>
      </c>
      <c r="F1345" s="3" t="inlineStr">
        <is>
          <t>All Items, Consumer price index (CPI), Period average, percent change</t>
        </is>
      </c>
      <c r="G1345" s="3" t="n">
        <v>4.604938</v>
      </c>
      <c r="H1345" s="3" t="n">
        <v>4.264625</v>
      </c>
      <c r="I1345" s="3" t="n">
        <v>2.532933</v>
      </c>
      <c r="J1345" s="3" t="n">
        <v>2.39907</v>
      </c>
      <c r="K1345" s="3" t="n">
        <v>2.143084</v>
      </c>
      <c r="L1345" s="3" t="n">
        <v>2.996044</v>
      </c>
      <c r="M1345" s="3" t="n">
        <v>3.28725</v>
      </c>
      <c r="N1345" s="3" t="n">
        <v>2.658923</v>
      </c>
      <c r="O1345" s="3" t="n">
        <v>5.802863</v>
      </c>
      <c r="P1345" s="3" t="n">
        <v>2.221025</v>
      </c>
      <c r="Q1345" s="3" t="n">
        <v>1.088893</v>
      </c>
      <c r="R1345" s="3" t="n">
        <v>2.207689</v>
      </c>
      <c r="S1345" s="3" t="n">
        <v>3.353529</v>
      </c>
      <c r="T1345" s="3" t="n">
        <v>2.328395</v>
      </c>
      <c r="U1345" s="3" t="n">
        <v>0.219276</v>
      </c>
      <c r="V1345" s="3" t="n">
        <v>-0.258889</v>
      </c>
      <c r="W1345" s="3" t="n">
        <v>-0.629379</v>
      </c>
      <c r="X1345" s="3" t="n">
        <v>1.302559</v>
      </c>
      <c r="Y1345" s="3" t="n">
        <v>1.558489</v>
      </c>
      <c r="Z1345" s="3" t="n">
        <v>0.790878</v>
      </c>
      <c r="AA1345" s="3" t="n">
        <v>-0.047927</v>
      </c>
      <c r="AB1345" s="3" t="n">
        <v>2.745439</v>
      </c>
      <c r="AC1345" s="3" t="n">
        <v>10.664438</v>
      </c>
      <c r="AD1345" s="3" t="n">
        <v>8.396101</v>
      </c>
      <c r="AE1345" s="3" t="n">
        <v>4.016286</v>
      </c>
      <c r="AF1345" s="3" t="n">
        <v>4.380502</v>
      </c>
      <c r="AG1345" s="3" t="n">
        <v>4.360805</v>
      </c>
      <c r="AH1345" s="3" t="n">
        <v>2.732273</v>
      </c>
      <c r="AI1345" s="3" t="n">
        <v>2.501679</v>
      </c>
      <c r="AJ1345" s="3" t="n">
        <v>2.531606</v>
      </c>
      <c r="AK1345" s="3" t="n">
        <v>2.523316</v>
      </c>
      <c r="AL1345" s="3" t="n">
        <v>2.479715</v>
      </c>
      <c r="AM1345" s="3" t="n"/>
      <c r="AN1345" s="3" t="n"/>
      <c r="AO1345" s="3" t="n"/>
      <c r="AP1345" s="3" t="n"/>
      <c r="AQ1345" s="3" t="n"/>
      <c r="AR1345" s="3" t="n"/>
      <c r="AS1345" s="3" t="n"/>
      <c r="AT1345" s="3" t="n"/>
      <c r="AU1345" s="3" t="n"/>
    </row>
    <row r="1346">
      <c r="A1346" s="3" t="n">
        <v>2031</v>
      </c>
      <c r="B1346" s="3" t="inlineStr">
        <is>
          <t>HRV</t>
        </is>
      </c>
      <c r="C1346" s="3" t="inlineStr">
        <is>
          <t>IMF.RES:WEO</t>
        </is>
      </c>
      <c r="D1346" s="3" t="inlineStr">
        <is>
          <t>HRV.PPPPC.A</t>
        </is>
      </c>
      <c r="E1346" s="3" t="inlineStr">
        <is>
          <t>Croatia, Republic of</t>
        </is>
      </c>
      <c r="F1346" s="3" t="inlineStr">
        <is>
          <t>Gross domestic product (GDP), Per capita, purchasing power parity (PPP) international dollar, ICP benchmarks 2017-2021</t>
        </is>
      </c>
      <c r="G1346" s="3" t="n">
        <v>13621.670411</v>
      </c>
      <c r="H1346" s="3" t="n">
        <v>14632.575659</v>
      </c>
      <c r="I1346" s="3" t="n">
        <v>15714.357544</v>
      </c>
      <c r="J1346" s="3" t="n">
        <v>16913.358328</v>
      </c>
      <c r="K1346" s="3" t="n">
        <v>18084.053884</v>
      </c>
      <c r="L1346" s="3" t="n">
        <v>19435.403506</v>
      </c>
      <c r="M1346" s="3" t="n">
        <v>21045.208429</v>
      </c>
      <c r="N1346" s="3" t="n">
        <v>22712.419955</v>
      </c>
      <c r="O1346" s="3" t="n">
        <v>23606.417937</v>
      </c>
      <c r="P1346" s="3" t="n">
        <v>22159.802911</v>
      </c>
      <c r="Q1346" s="3" t="n">
        <v>22180.961573</v>
      </c>
      <c r="R1346" s="3" t="n">
        <v>22686.861038</v>
      </c>
      <c r="S1346" s="3" t="n">
        <v>22704.602044</v>
      </c>
      <c r="T1346" s="3" t="n">
        <v>23201.561249</v>
      </c>
      <c r="U1346" s="3" t="n">
        <v>23652.830644</v>
      </c>
      <c r="V1346" s="3" t="n">
        <v>24720.454812</v>
      </c>
      <c r="W1346" s="3" t="n">
        <v>26102.726858</v>
      </c>
      <c r="X1346" s="3" t="n">
        <v>27891.515358</v>
      </c>
      <c r="Y1346" s="3" t="n">
        <v>29787.67586</v>
      </c>
      <c r="Z1346" s="3" t="n">
        <v>33067.94442</v>
      </c>
      <c r="AA1346" s="3" t="n">
        <v>31596.355493</v>
      </c>
      <c r="AB1346" s="3" t="n">
        <v>36913.938769</v>
      </c>
      <c r="AC1346" s="3" t="n">
        <v>42677.505971</v>
      </c>
      <c r="AD1346" s="3" t="n">
        <v>45873.245543</v>
      </c>
      <c r="AE1346" s="3" t="n">
        <v>48735.646422</v>
      </c>
      <c r="AF1346" s="3" t="n">
        <v>51592.877802</v>
      </c>
      <c r="AG1346" s="3" t="n">
        <v>54359.026892</v>
      </c>
      <c r="AH1346" s="3" t="n">
        <v>56901.02305</v>
      </c>
      <c r="AI1346" s="3" t="n">
        <v>59217.045072</v>
      </c>
      <c r="AJ1346" s="3" t="n">
        <v>61650.083935</v>
      </c>
      <c r="AK1346" s="3" t="n">
        <v>64220.55881</v>
      </c>
      <c r="AL1346" s="3" t="n">
        <v>66877.03958500001</v>
      </c>
      <c r="AM1346" s="3" t="n"/>
      <c r="AN1346" s="3" t="n"/>
      <c r="AO1346" s="3" t="n"/>
      <c r="AP1346" s="3" t="n"/>
      <c r="AQ1346" s="3" t="n"/>
      <c r="AR1346" s="3" t="n"/>
      <c r="AS1346" s="3" t="n"/>
      <c r="AT1346" s="3" t="n"/>
      <c r="AU1346" s="3" t="n"/>
    </row>
    <row r="1347">
      <c r="A1347" s="3" t="n">
        <v>2022</v>
      </c>
      <c r="B1347" s="3" t="inlineStr">
        <is>
          <t>HRV</t>
        </is>
      </c>
      <c r="C1347" s="3" t="inlineStr">
        <is>
          <t>IMF.STA:ER</t>
        </is>
      </c>
      <c r="D1347" s="3" t="inlineStr">
        <is>
          <t>HRV.XDC_USD.PA_RT.A</t>
        </is>
      </c>
      <c r="E1347" s="3" t="inlineStr">
        <is>
          <t>Croatia, Republic of</t>
        </is>
      </c>
      <c r="F1347" s="3" t="inlineStr">
        <is>
          <t>Domestic currency per US Dollar</t>
        </is>
      </c>
      <c r="G1347" s="3" t="n">
        <v>8.277666416666669</v>
      </c>
      <c r="H1347" s="3" t="n">
        <v>8.341540999999999</v>
      </c>
      <c r="I1347" s="3" t="n">
        <v>7.8716825</v>
      </c>
      <c r="J1347" s="3" t="n">
        <v>6.70496883333333</v>
      </c>
      <c r="K1347" s="3" t="n">
        <v>6.03434066666667</v>
      </c>
      <c r="L1347" s="3" t="n">
        <v>5.94923691666667</v>
      </c>
      <c r="M1347" s="3" t="n">
        <v>5.83779325</v>
      </c>
      <c r="N1347" s="3" t="n">
        <v>5.36453566666667</v>
      </c>
      <c r="O1347" s="3" t="n">
        <v>4.93503975</v>
      </c>
      <c r="P1347" s="3" t="n">
        <v>5.28394641666667</v>
      </c>
      <c r="Q1347" s="3" t="n">
        <v>5.49801058333333</v>
      </c>
      <c r="R1347" s="3" t="n">
        <v>5.34386975</v>
      </c>
      <c r="S1347" s="3" t="n">
        <v>5.85029183333333</v>
      </c>
      <c r="T1347" s="3" t="n">
        <v>5.70488016666667</v>
      </c>
      <c r="U1347" s="3" t="n">
        <v>5.74816541666667</v>
      </c>
      <c r="V1347" s="3" t="n">
        <v>6.85830375</v>
      </c>
      <c r="W1347" s="3" t="n">
        <v>6.80599016666667</v>
      </c>
      <c r="X1347" s="3" t="n">
        <v>6.623831</v>
      </c>
      <c r="Y1347" s="3" t="n">
        <v>6.27902525</v>
      </c>
      <c r="Z1347" s="3" t="n">
        <v>6.62254516666667</v>
      </c>
      <c r="AA1347" s="3" t="n">
        <v>6.6140555</v>
      </c>
      <c r="AB1347" s="3" t="n">
        <v>6.36008316666667</v>
      </c>
      <c r="AC1347" s="3" t="n">
        <v>7.1597415</v>
      </c>
      <c r="AD1347" s="3" t="n"/>
      <c r="AE1347" s="3" t="n"/>
      <c r="AF1347" s="3" t="n"/>
      <c r="AG1347" s="3" t="n"/>
      <c r="AH1347" s="3" t="n"/>
      <c r="AI1347" s="3" t="n"/>
      <c r="AJ1347" s="3" t="n"/>
      <c r="AK1347" s="3" t="n"/>
      <c r="AL1347" s="3" t="n"/>
      <c r="AM1347" s="3" t="n"/>
      <c r="AN1347" s="3" t="n"/>
      <c r="AO1347" s="3" t="n"/>
      <c r="AP1347" s="3" t="n"/>
      <c r="AQ1347" s="3" t="n"/>
      <c r="AR1347" s="3" t="n"/>
      <c r="AS1347" s="3" t="n"/>
      <c r="AT1347" s="3" t="n"/>
      <c r="AU1347" s="3" t="n"/>
    </row>
    <row r="1348">
      <c r="A1348" s="3" t="n">
        <v>2031</v>
      </c>
      <c r="B1348" s="3" t="inlineStr">
        <is>
          <t>HTI</t>
        </is>
      </c>
      <c r="C1348" s="3" t="inlineStr">
        <is>
          <t>IMF.RES:WEO</t>
        </is>
      </c>
      <c r="D1348" s="3" t="inlineStr">
        <is>
          <t>HTI.BCA.A</t>
        </is>
      </c>
      <c r="E1348" s="3" t="inlineStr">
        <is>
          <t>Haiti</t>
        </is>
      </c>
      <c r="F1348" s="3" t="inlineStr">
        <is>
          <t>Current account balance (credit less debit), US dollar</t>
        </is>
      </c>
      <c r="G1348" s="3" t="n">
        <v>-0.11421</v>
      </c>
      <c r="H1348" s="3" t="n">
        <v>-0.1319</v>
      </c>
      <c r="I1348" s="3" t="n">
        <v>-0.08895</v>
      </c>
      <c r="J1348" s="3" t="n">
        <v>-0.04478</v>
      </c>
      <c r="K1348" s="3" t="n">
        <v>-0.06238</v>
      </c>
      <c r="L1348" s="3" t="n">
        <v>0.007048</v>
      </c>
      <c r="M1348" s="3" t="n">
        <v>-0.08502899999999999</v>
      </c>
      <c r="N1348" s="3" t="n">
        <v>-0.085773</v>
      </c>
      <c r="O1348" s="3" t="n">
        <v>-0.204815</v>
      </c>
      <c r="P1348" s="3" t="n">
        <v>-0.122186</v>
      </c>
      <c r="Q1348" s="3" t="n">
        <v>-0.101824</v>
      </c>
      <c r="R1348" s="3" t="n">
        <v>-0.323624</v>
      </c>
      <c r="S1348" s="3" t="n">
        <v>-0.431148</v>
      </c>
      <c r="T1348" s="3" t="n">
        <v>-0.5608379999999999</v>
      </c>
      <c r="U1348" s="3" t="n">
        <v>-0.750652</v>
      </c>
      <c r="V1348" s="3" t="n">
        <v>-0.270776</v>
      </c>
      <c r="W1348" s="3" t="n">
        <v>-0.23789</v>
      </c>
      <c r="X1348" s="3" t="n">
        <v>-0.324889</v>
      </c>
      <c r="Y1348" s="3" t="n">
        <v>-0.474104</v>
      </c>
      <c r="Z1348" s="3" t="n">
        <v>-0.168579</v>
      </c>
      <c r="AA1348" s="3" t="n">
        <v>0.051548</v>
      </c>
      <c r="AB1348" s="3" t="n">
        <v>0.087656</v>
      </c>
      <c r="AC1348" s="3" t="n">
        <v>-0.491954</v>
      </c>
      <c r="AD1348" s="3" t="n">
        <v>-0.68257</v>
      </c>
      <c r="AE1348" s="3" t="n">
        <v>-0.145149</v>
      </c>
      <c r="AF1348" s="3" t="n">
        <v>0.601711</v>
      </c>
      <c r="AG1348" s="3" t="n">
        <v>0.065816</v>
      </c>
      <c r="AH1348" s="3" t="n">
        <v>-0.211633</v>
      </c>
      <c r="AI1348" s="3" t="n">
        <v>-0.744086</v>
      </c>
      <c r="AJ1348" s="3" t="n">
        <v>-1.045509</v>
      </c>
      <c r="AK1348" s="3" t="n">
        <v>-1.04897</v>
      </c>
      <c r="AL1348" s="3" t="n">
        <v>-1.05439</v>
      </c>
      <c r="AM1348" s="3" t="n"/>
      <c r="AN1348" s="3" t="n"/>
      <c r="AO1348" s="3" t="n"/>
      <c r="AP1348" s="3" t="n"/>
      <c r="AQ1348" s="3" t="n"/>
      <c r="AR1348" s="3" t="n"/>
      <c r="AS1348" s="3" t="n"/>
      <c r="AT1348" s="3" t="n"/>
      <c r="AU1348" s="3" t="n"/>
    </row>
    <row r="1349">
      <c r="A1349" s="3" t="n">
        <v>2031</v>
      </c>
      <c r="B1349" s="3" t="inlineStr">
        <is>
          <t>HTI</t>
        </is>
      </c>
      <c r="C1349" s="3" t="inlineStr">
        <is>
          <t>IMF.RES:WEO</t>
        </is>
      </c>
      <c r="D1349" s="3" t="inlineStr">
        <is>
          <t>HTI.BCA_NGDPD.A</t>
        </is>
      </c>
      <c r="E1349" s="3" t="inlineStr">
        <is>
          <t>Haiti</t>
        </is>
      </c>
      <c r="F1349" s="3" t="inlineStr">
        <is>
          <t>Current account balance (credit less debit), Percent of GDP</t>
        </is>
      </c>
      <c r="G1349" s="3" t="n">
        <v>-1.677087</v>
      </c>
      <c r="H1349" s="3" t="n">
        <v>-2.098522</v>
      </c>
      <c r="I1349" s="3" t="n">
        <v>-1.466938</v>
      </c>
      <c r="J1349" s="3" t="n">
        <v>-0.920301</v>
      </c>
      <c r="K1349" s="3" t="n">
        <v>-1.033228</v>
      </c>
      <c r="L1349" s="3" t="n">
        <v>0.098077</v>
      </c>
      <c r="M1349" s="3" t="n">
        <v>-1.132645</v>
      </c>
      <c r="N1349" s="3" t="n">
        <v>-0.900745</v>
      </c>
      <c r="O1349" s="3" t="n">
        <v>-1.952881</v>
      </c>
      <c r="P1349" s="3" t="n">
        <v>-1.053528</v>
      </c>
      <c r="Q1349" s="3" t="n">
        <v>-0.8591220000000001</v>
      </c>
      <c r="R1349" s="3" t="n">
        <v>-2.487761</v>
      </c>
      <c r="S1349" s="3" t="n">
        <v>-3.145011</v>
      </c>
      <c r="T1349" s="3" t="n">
        <v>-3.762979</v>
      </c>
      <c r="U1349" s="3" t="n">
        <v>-4.959027</v>
      </c>
      <c r="V1349" s="3" t="n">
        <v>-1.825689</v>
      </c>
      <c r="W1349" s="3" t="n">
        <v>-1.699657</v>
      </c>
      <c r="X1349" s="3" t="n">
        <v>-2.160731</v>
      </c>
      <c r="Y1349" s="3" t="n">
        <v>-2.881414</v>
      </c>
      <c r="Z1349" s="3" t="n">
        <v>-1.140023</v>
      </c>
      <c r="AA1349" s="3" t="n">
        <v>0.355303</v>
      </c>
      <c r="AB1349" s="3" t="n">
        <v>0.417075</v>
      </c>
      <c r="AC1349" s="3" t="n">
        <v>-2.481334</v>
      </c>
      <c r="AD1349" s="3" t="n">
        <v>-3.481883</v>
      </c>
      <c r="AE1349" s="3" t="n">
        <v>-0.574053</v>
      </c>
      <c r="AF1349" s="3" t="n">
        <v>1.874357</v>
      </c>
      <c r="AG1349" s="3" t="n">
        <v>0.167984</v>
      </c>
      <c r="AH1349" s="3" t="n">
        <v>-0.469273</v>
      </c>
      <c r="AI1349" s="3" t="n">
        <v>-1.566008</v>
      </c>
      <c r="AJ1349" s="3" t="n">
        <v>-2.160685</v>
      </c>
      <c r="AK1349" s="3" t="n">
        <v>-2.145914</v>
      </c>
      <c r="AL1349" s="3" t="n">
        <v>-2.084286</v>
      </c>
      <c r="AM1349" s="3" t="n"/>
      <c r="AN1349" s="3" t="n"/>
      <c r="AO1349" s="3" t="n"/>
      <c r="AP1349" s="3" t="n"/>
      <c r="AQ1349" s="3" t="n"/>
      <c r="AR1349" s="3" t="n"/>
      <c r="AS1349" s="3" t="n"/>
      <c r="AT1349" s="3" t="n"/>
      <c r="AU1349" s="3" t="n"/>
    </row>
    <row r="1350">
      <c r="A1350" s="3" t="n">
        <v>2031</v>
      </c>
      <c r="B1350" s="3" t="inlineStr">
        <is>
          <t>HTI</t>
        </is>
      </c>
      <c r="C1350" s="3" t="inlineStr">
        <is>
          <t>IMF.RES:WEO</t>
        </is>
      </c>
      <c r="D1350" s="3" t="inlineStr">
        <is>
          <t>HTI.GGR_NGDP.A</t>
        </is>
      </c>
      <c r="E1350" s="3" t="inlineStr">
        <is>
          <t>Haiti</t>
        </is>
      </c>
      <c r="F1350" s="3" t="inlineStr">
        <is>
          <t>Revenue, General government, Percent of GDP</t>
        </is>
      </c>
      <c r="G1350" s="3" t="n">
        <v>4.889848</v>
      </c>
      <c r="H1350" s="3" t="n">
        <v>4.557777</v>
      </c>
      <c r="I1350" s="3" t="n">
        <v>4.841027</v>
      </c>
      <c r="J1350" s="3" t="n">
        <v>5.589771</v>
      </c>
      <c r="K1350" s="3" t="n">
        <v>6.033428</v>
      </c>
      <c r="L1350" s="3" t="n">
        <v>7.919281</v>
      </c>
      <c r="M1350" s="3" t="n">
        <v>8.762465000000001</v>
      </c>
      <c r="N1350" s="3" t="n">
        <v>9.595314</v>
      </c>
      <c r="O1350" s="3" t="n">
        <v>9.409789999999999</v>
      </c>
      <c r="P1350" s="3" t="n">
        <v>9.555315999999999</v>
      </c>
      <c r="Q1350" s="3" t="n">
        <v>11.140543</v>
      </c>
      <c r="R1350" s="3" t="n">
        <v>12.699948</v>
      </c>
      <c r="S1350" s="3" t="n">
        <v>13.723449</v>
      </c>
      <c r="T1350" s="3" t="n">
        <v>11.882458</v>
      </c>
      <c r="U1350" s="3" t="n">
        <v>10.988386</v>
      </c>
      <c r="V1350" s="3" t="n">
        <v>11.275291</v>
      </c>
      <c r="W1350" s="3" t="n">
        <v>10.66463</v>
      </c>
      <c r="X1350" s="3" t="n">
        <v>9.920366</v>
      </c>
      <c r="Y1350" s="3" t="n">
        <v>10.136174</v>
      </c>
      <c r="Z1350" s="3" t="n">
        <v>7.593455</v>
      </c>
      <c r="AA1350" s="3" t="n">
        <v>7.908541</v>
      </c>
      <c r="AB1350" s="3" t="n">
        <v>6.964435</v>
      </c>
      <c r="AC1350" s="3" t="n">
        <v>6.571179</v>
      </c>
      <c r="AD1350" s="3" t="n">
        <v>7.224728</v>
      </c>
      <c r="AE1350" s="3" t="n">
        <v>12.209811</v>
      </c>
      <c r="AF1350" s="3" t="n">
        <v>5.968084</v>
      </c>
      <c r="AG1350" s="3" t="n">
        <v>5.10022</v>
      </c>
      <c r="AH1350" s="3" t="n">
        <v>4.961161</v>
      </c>
      <c r="AI1350" s="3" t="n">
        <v>5.19162</v>
      </c>
      <c r="AJ1350" s="3" t="n">
        <v>5.46649</v>
      </c>
      <c r="AK1350" s="3" t="n">
        <v>5.792051</v>
      </c>
      <c r="AL1350" s="3" t="n">
        <v>6.276122</v>
      </c>
      <c r="AM1350" s="3" t="n"/>
      <c r="AN1350" s="3" t="n"/>
      <c r="AO1350" s="3" t="n"/>
      <c r="AP1350" s="3" t="n"/>
      <c r="AQ1350" s="3" t="n"/>
      <c r="AR1350" s="3" t="n"/>
      <c r="AS1350" s="3" t="n"/>
      <c r="AT1350" s="3" t="n"/>
      <c r="AU1350" s="3" t="n"/>
    </row>
    <row r="1351">
      <c r="A1351" s="3" t="n">
        <v>2031</v>
      </c>
      <c r="B1351" s="3" t="inlineStr">
        <is>
          <t>HTI</t>
        </is>
      </c>
      <c r="C1351" s="3" t="inlineStr">
        <is>
          <t>IMF.RES:WEO</t>
        </is>
      </c>
      <c r="D1351" s="3" t="inlineStr">
        <is>
          <t>HTI.GGX_NGDP.A</t>
        </is>
      </c>
      <c r="E1351" s="3" t="inlineStr">
        <is>
          <t>Haiti</t>
        </is>
      </c>
      <c r="F1351" s="3" t="inlineStr">
        <is>
          <t>Expenditure, General government, Percent of GDP</t>
        </is>
      </c>
      <c r="G1351" s="3" t="n">
        <v>6.246706</v>
      </c>
      <c r="H1351" s="3" t="n">
        <v>6.105664</v>
      </c>
      <c r="I1351" s="3" t="n">
        <v>6.641307</v>
      </c>
      <c r="J1351" s="3" t="n">
        <v>7.825827</v>
      </c>
      <c r="K1351" s="3" t="n">
        <v>7.376553</v>
      </c>
      <c r="L1351" s="3" t="n">
        <v>8.748707</v>
      </c>
      <c r="M1351" s="3" t="n">
        <v>9.671149</v>
      </c>
      <c r="N1351" s="3" t="n">
        <v>11.140469</v>
      </c>
      <c r="O1351" s="3" t="n">
        <v>11.208823</v>
      </c>
      <c r="P1351" s="3" t="n">
        <v>11.551479</v>
      </c>
      <c r="Q1351" s="3" t="n">
        <v>12.637964</v>
      </c>
      <c r="R1351" s="3" t="n">
        <v>14.129793</v>
      </c>
      <c r="S1351" s="3" t="n">
        <v>16.435291</v>
      </c>
      <c r="T1351" s="3" t="n">
        <v>15.858067</v>
      </c>
      <c r="U1351" s="3" t="n">
        <v>14.628956</v>
      </c>
      <c r="V1351" s="3" t="n">
        <v>12.74758</v>
      </c>
      <c r="W1351" s="3" t="n">
        <v>10.548105</v>
      </c>
      <c r="X1351" s="3" t="n">
        <v>10.236251</v>
      </c>
      <c r="Y1351" s="3" t="n">
        <v>11.262654</v>
      </c>
      <c r="Z1351" s="3" t="n">
        <v>9.588001</v>
      </c>
      <c r="AA1351" s="3" t="n">
        <v>9.864507</v>
      </c>
      <c r="AB1351" s="3" t="n">
        <v>9.418424</v>
      </c>
      <c r="AC1351" s="3" t="n">
        <v>8.325492000000001</v>
      </c>
      <c r="AD1351" s="3" t="n">
        <v>6.457038</v>
      </c>
      <c r="AE1351" s="3" t="n">
        <v>5.249279</v>
      </c>
      <c r="AF1351" s="3" t="n">
        <v>6.191107</v>
      </c>
      <c r="AG1351" s="3" t="n">
        <v>5.802989</v>
      </c>
      <c r="AH1351" s="3" t="n">
        <v>5.604881</v>
      </c>
      <c r="AI1351" s="3" t="n">
        <v>6.436772</v>
      </c>
      <c r="AJ1351" s="3" t="n">
        <v>6.893416</v>
      </c>
      <c r="AK1351" s="3" t="n">
        <v>7.239118</v>
      </c>
      <c r="AL1351" s="3" t="n">
        <v>7.772932</v>
      </c>
      <c r="AM1351" s="3" t="n"/>
      <c r="AN1351" s="3" t="n"/>
      <c r="AO1351" s="3" t="n"/>
      <c r="AP1351" s="3" t="n"/>
      <c r="AQ1351" s="3" t="n"/>
      <c r="AR1351" s="3" t="n"/>
      <c r="AS1351" s="3" t="n"/>
      <c r="AT1351" s="3" t="n"/>
      <c r="AU1351" s="3" t="n"/>
    </row>
    <row r="1352">
      <c r="A1352" s="3" t="n">
        <v>2031</v>
      </c>
      <c r="B1352" s="3" t="inlineStr">
        <is>
          <t>HTI</t>
        </is>
      </c>
      <c r="C1352" s="3" t="inlineStr">
        <is>
          <t>IMF.RES:WEO</t>
        </is>
      </c>
      <c r="D1352" s="3" t="inlineStr">
        <is>
          <t>HTI.LP.A</t>
        </is>
      </c>
      <c r="E1352" s="3" t="inlineStr">
        <is>
          <t>Haiti</t>
        </is>
      </c>
      <c r="F1352" s="3" t="inlineStr">
        <is>
          <t>Population, Persons for countries / Index for country groups</t>
        </is>
      </c>
      <c r="G1352" s="3" t="n">
        <v>8.576214</v>
      </c>
      <c r="H1352" s="3" t="n">
        <v>8.719730999999999</v>
      </c>
      <c r="I1352" s="3" t="n">
        <v>8.860677000000001</v>
      </c>
      <c r="J1352" s="3" t="n">
        <v>9.001471</v>
      </c>
      <c r="K1352" s="3" t="n">
        <v>9.144532999999999</v>
      </c>
      <c r="L1352" s="3" t="n">
        <v>9.292282</v>
      </c>
      <c r="M1352" s="3" t="n">
        <v>9.445410000000001</v>
      </c>
      <c r="N1352" s="3" t="n">
        <v>9.602304</v>
      </c>
      <c r="O1352" s="3" t="n">
        <v>9.761927</v>
      </c>
      <c r="P1352" s="3" t="n">
        <v>9.923242999999999</v>
      </c>
      <c r="Q1352" s="3" t="n">
        <v>10.085214</v>
      </c>
      <c r="R1352" s="3" t="n">
        <v>10.248306</v>
      </c>
      <c r="S1352" s="3" t="n">
        <v>10.413211</v>
      </c>
      <c r="T1352" s="3" t="n">
        <v>10.57923</v>
      </c>
      <c r="U1352" s="3" t="n">
        <v>10.745665</v>
      </c>
      <c r="V1352" s="3" t="n">
        <v>10.911819</v>
      </c>
      <c r="W1352" s="3" t="n">
        <v>11.078033</v>
      </c>
      <c r="X1352" s="3" t="n">
        <v>11.244774</v>
      </c>
      <c r="Y1352" s="3" t="n">
        <v>11.411527</v>
      </c>
      <c r="Z1352" s="3" t="n">
        <v>11.577779</v>
      </c>
      <c r="AA1352" s="3" t="n">
        <v>11.743017</v>
      </c>
      <c r="AB1352" s="3" t="n">
        <v>11.905897</v>
      </c>
      <c r="AC1352" s="3" t="n">
        <v>12.065436</v>
      </c>
      <c r="AD1352" s="3" t="n">
        <v>12.227113</v>
      </c>
      <c r="AE1352" s="3" t="n">
        <v>12.390956</v>
      </c>
      <c r="AF1352" s="3" t="n">
        <v>12.556995</v>
      </c>
      <c r="AG1352" s="3" t="n">
        <v>12.725259</v>
      </c>
      <c r="AH1352" s="3" t="n">
        <v>12.895777</v>
      </c>
      <c r="AI1352" s="3" t="n">
        <v>13.068581</v>
      </c>
      <c r="AJ1352" s="3" t="n">
        <v>13.2437</v>
      </c>
      <c r="AK1352" s="3" t="n">
        <v>13.421165</v>
      </c>
      <c r="AL1352" s="3" t="n">
        <v>13.601009</v>
      </c>
      <c r="AM1352" s="3" t="n"/>
      <c r="AN1352" s="3" t="n"/>
      <c r="AO1352" s="3" t="n"/>
      <c r="AP1352" s="3" t="n"/>
      <c r="AQ1352" s="3" t="n"/>
      <c r="AR1352" s="3" t="n"/>
      <c r="AS1352" s="3" t="n"/>
      <c r="AT1352" s="3" t="n"/>
      <c r="AU1352" s="3" t="n"/>
    </row>
    <row r="1353">
      <c r="A1353" s="3" t="n">
        <v>2031</v>
      </c>
      <c r="B1353" s="3" t="inlineStr">
        <is>
          <t>HTI</t>
        </is>
      </c>
      <c r="C1353" s="3" t="inlineStr">
        <is>
          <t>IMF.RES:WEO</t>
        </is>
      </c>
      <c r="D1353" s="3" t="inlineStr">
        <is>
          <t>HTI.NGDP.A</t>
        </is>
      </c>
      <c r="E1353" s="3" t="inlineStr">
        <is>
          <t>Haiti</t>
        </is>
      </c>
      <c r="F1353" s="3" t="inlineStr">
        <is>
          <t>Gross domestic product (GDP), Current prices, Domestic currency</t>
        </is>
      </c>
      <c r="G1353" s="3" t="n">
        <v>133.691931</v>
      </c>
      <c r="H1353" s="3" t="n">
        <v>150.884945</v>
      </c>
      <c r="I1353" s="3" t="n">
        <v>164.056099</v>
      </c>
      <c r="J1353" s="3" t="n">
        <v>195.267379</v>
      </c>
      <c r="K1353" s="3" t="n">
        <v>239.564077</v>
      </c>
      <c r="L1353" s="3" t="n">
        <v>280.063577</v>
      </c>
      <c r="M1353" s="3" t="n">
        <v>311.615042</v>
      </c>
      <c r="N1353" s="3" t="n">
        <v>356.149437</v>
      </c>
      <c r="O1353" s="3" t="n">
        <v>401.233924</v>
      </c>
      <c r="P1353" s="3" t="n">
        <v>471.795555</v>
      </c>
      <c r="Q1353" s="3" t="n">
        <v>478.044247</v>
      </c>
      <c r="R1353" s="3" t="n">
        <v>524.124004</v>
      </c>
      <c r="S1353" s="3" t="n">
        <v>569.992498</v>
      </c>
      <c r="T1353" s="3" t="n">
        <v>642.673666</v>
      </c>
      <c r="U1353" s="3" t="n">
        <v>675.571519</v>
      </c>
      <c r="V1353" s="3" t="n">
        <v>720.255465</v>
      </c>
      <c r="W1353" s="3" t="n">
        <v>844.479034</v>
      </c>
      <c r="X1353" s="3" t="n">
        <v>986.919147</v>
      </c>
      <c r="Y1353" s="3" t="n">
        <v>1076.412654</v>
      </c>
      <c r="Z1353" s="3" t="n">
        <v>1244.013989</v>
      </c>
      <c r="AA1353" s="3" t="n">
        <v>1449.887872</v>
      </c>
      <c r="AB1353" s="3" t="n">
        <v>1699.208624</v>
      </c>
      <c r="AC1353" s="3" t="n">
        <v>2168.222876</v>
      </c>
      <c r="AD1353" s="3" t="n">
        <v>2798.324025</v>
      </c>
      <c r="AE1353" s="3" t="n">
        <v>3336.42756</v>
      </c>
      <c r="AF1353" s="3" t="n">
        <v>4192.186884</v>
      </c>
      <c r="AG1353" s="3" t="n">
        <v>5142.886479</v>
      </c>
      <c r="AH1353" s="3" t="n">
        <v>6151.67683</v>
      </c>
      <c r="AI1353" s="3" t="n">
        <v>7051.403127</v>
      </c>
      <c r="AJ1353" s="3" t="n">
        <v>7899.061048</v>
      </c>
      <c r="AK1353" s="3" t="n">
        <v>8777.735484000001</v>
      </c>
      <c r="AL1353" s="3" t="n">
        <v>9622.888288</v>
      </c>
      <c r="AM1353" s="3" t="n"/>
      <c r="AN1353" s="3" t="n"/>
      <c r="AO1353" s="3" t="n"/>
      <c r="AP1353" s="3" t="n"/>
      <c r="AQ1353" s="3" t="n"/>
      <c r="AR1353" s="3" t="n"/>
      <c r="AS1353" s="3" t="n"/>
      <c r="AT1353" s="3" t="n"/>
      <c r="AU1353" s="3" t="n"/>
    </row>
    <row r="1354">
      <c r="A1354" s="3" t="n">
        <v>2031</v>
      </c>
      <c r="B1354" s="3" t="inlineStr">
        <is>
          <t>HTI</t>
        </is>
      </c>
      <c r="C1354" s="3" t="inlineStr">
        <is>
          <t>IMF.RES:WEO</t>
        </is>
      </c>
      <c r="D1354" s="3" t="inlineStr">
        <is>
          <t>HTI.NGDP_D.A</t>
        </is>
      </c>
      <c r="E1354" s="3" t="inlineStr">
        <is>
          <t>Haiti</t>
        </is>
      </c>
      <c r="F1354" s="3" t="inlineStr">
        <is>
          <t>Gross domestic product (GDP), Price deflator, Index</t>
        </is>
      </c>
      <c r="G1354" s="3" t="n">
        <v>28.69943</v>
      </c>
      <c r="H1354" s="3" t="n">
        <v>32.501625</v>
      </c>
      <c r="I1354" s="3" t="n">
        <v>34.970948</v>
      </c>
      <c r="J1354" s="3" t="n">
        <v>40.223979</v>
      </c>
      <c r="K1354" s="3" t="n">
        <v>50.007881</v>
      </c>
      <c r="L1354" s="3" t="n">
        <v>56.719443</v>
      </c>
      <c r="M1354" s="3" t="n">
        <v>62.012508</v>
      </c>
      <c r="N1354" s="3" t="n">
        <v>67.6892</v>
      </c>
      <c r="O1354" s="3" t="n">
        <v>74.28340900000001</v>
      </c>
      <c r="P1354" s="3" t="n">
        <v>82.48814299999999</v>
      </c>
      <c r="Q1354" s="3" t="n">
        <v>88.58717</v>
      </c>
      <c r="R1354" s="3" t="n">
        <v>92.414783</v>
      </c>
      <c r="S1354" s="3" t="n">
        <v>100</v>
      </c>
      <c r="T1354" s="3" t="n">
        <v>108.077147</v>
      </c>
      <c r="U1354" s="3" t="n">
        <v>111.685654</v>
      </c>
      <c r="V1354" s="3" t="n">
        <v>116.097799</v>
      </c>
      <c r="W1354" s="3" t="n">
        <v>133.698129</v>
      </c>
      <c r="X1354" s="3" t="n">
        <v>152.423051</v>
      </c>
      <c r="Y1354" s="3" t="n">
        <v>163.51756</v>
      </c>
      <c r="Z1354" s="3" t="n">
        <v>192.215894</v>
      </c>
      <c r="AA1354" s="3" t="n">
        <v>231.775118</v>
      </c>
      <c r="AB1354" s="3" t="n">
        <v>276.604872</v>
      </c>
      <c r="AC1354" s="3" t="n">
        <v>358.991312</v>
      </c>
      <c r="AD1354" s="3" t="n">
        <v>472.116541</v>
      </c>
      <c r="AE1354" s="3" t="n">
        <v>587.488169</v>
      </c>
      <c r="AF1354" s="3" t="n">
        <v>758.757244</v>
      </c>
      <c r="AG1354" s="3" t="n">
        <v>946.925115</v>
      </c>
      <c r="AH1354" s="3" t="n">
        <v>1127.256072</v>
      </c>
      <c r="AI1354" s="3" t="n">
        <v>1276.803612</v>
      </c>
      <c r="AJ1354" s="3" t="n">
        <v>1411.934608</v>
      </c>
      <c r="AK1354" s="3" t="n">
        <v>1545.808034</v>
      </c>
      <c r="AL1354" s="3" t="n">
        <v>1669.600141</v>
      </c>
      <c r="AM1354" s="3" t="n"/>
      <c r="AN1354" s="3" t="n"/>
      <c r="AO1354" s="3" t="n"/>
      <c r="AP1354" s="3" t="n"/>
      <c r="AQ1354" s="3" t="n"/>
      <c r="AR1354" s="3" t="n"/>
      <c r="AS1354" s="3" t="n"/>
      <c r="AT1354" s="3" t="n"/>
      <c r="AU1354" s="3" t="n"/>
    </row>
    <row r="1355">
      <c r="A1355" s="3" t="n">
        <v>2031</v>
      </c>
      <c r="B1355" s="3" t="inlineStr">
        <is>
          <t>HTI</t>
        </is>
      </c>
      <c r="C1355" s="3" t="inlineStr">
        <is>
          <t>IMF.RES:WEO</t>
        </is>
      </c>
      <c r="D1355" s="3" t="inlineStr">
        <is>
          <t>HTI.NGDP_R.A</t>
        </is>
      </c>
      <c r="E1355" s="3" t="inlineStr">
        <is>
          <t>Haiti</t>
        </is>
      </c>
      <c r="F1355" s="3" t="inlineStr">
        <is>
          <t>Gross domestic product (GDP), Constant prices, Domestic currency</t>
        </is>
      </c>
      <c r="G1355" s="3" t="n">
        <v>465.834795</v>
      </c>
      <c r="H1355" s="3" t="n">
        <v>464.238156</v>
      </c>
      <c r="I1355" s="3" t="n">
        <v>469.121107</v>
      </c>
      <c r="J1355" s="3" t="n">
        <v>485.450179</v>
      </c>
      <c r="K1355" s="3" t="n">
        <v>479.052641</v>
      </c>
      <c r="L1355" s="3" t="n">
        <v>493.769969</v>
      </c>
      <c r="M1355" s="3" t="n">
        <v>502.503528</v>
      </c>
      <c r="N1355" s="3" t="n">
        <v>526.154007</v>
      </c>
      <c r="O1355" s="3" t="n">
        <v>540.139351</v>
      </c>
      <c r="P1355" s="3" t="n">
        <v>571.955605</v>
      </c>
      <c r="Q1355" s="3" t="n">
        <v>539.631468</v>
      </c>
      <c r="R1355" s="3" t="n">
        <v>567.1430329999999</v>
      </c>
      <c r="S1355" s="3" t="n">
        <v>569.992498</v>
      </c>
      <c r="T1355" s="3" t="n">
        <v>594.643443</v>
      </c>
      <c r="U1355" s="3" t="n">
        <v>604.886566</v>
      </c>
      <c r="V1355" s="3" t="n">
        <v>620.386838</v>
      </c>
      <c r="W1355" s="3" t="n">
        <v>631.631151</v>
      </c>
      <c r="X1355" s="3" t="n">
        <v>647.486807</v>
      </c>
      <c r="Y1355" s="3" t="n">
        <v>658.285663</v>
      </c>
      <c r="Z1355" s="3" t="n">
        <v>647.1962150000001</v>
      </c>
      <c r="AA1355" s="3" t="n">
        <v>625.558034</v>
      </c>
      <c r="AB1355" s="3" t="n">
        <v>614.309</v>
      </c>
      <c r="AC1355" s="3" t="n">
        <v>603.976421</v>
      </c>
      <c r="AD1355" s="3" t="n">
        <v>592.718912</v>
      </c>
      <c r="AE1355" s="3" t="n">
        <v>567.914</v>
      </c>
      <c r="AF1355" s="3" t="n">
        <v>552.5069999999999</v>
      </c>
      <c r="AG1355" s="3" t="n">
        <v>543.114381</v>
      </c>
      <c r="AH1355" s="3" t="n">
        <v>545.72133</v>
      </c>
      <c r="AI1355" s="3" t="n">
        <v>552.269986</v>
      </c>
      <c r="AJ1355" s="3" t="n">
        <v>559.449496</v>
      </c>
      <c r="AK1355" s="3" t="n">
        <v>567.841238</v>
      </c>
      <c r="AL1355" s="3" t="n">
        <v>576.3588569999999</v>
      </c>
      <c r="AM1355" s="3" t="n"/>
      <c r="AN1355" s="3" t="n"/>
      <c r="AO1355" s="3" t="n"/>
      <c r="AP1355" s="3" t="n"/>
      <c r="AQ1355" s="3" t="n"/>
      <c r="AR1355" s="3" t="n"/>
      <c r="AS1355" s="3" t="n"/>
      <c r="AT1355" s="3" t="n"/>
      <c r="AU1355" s="3" t="n"/>
    </row>
    <row r="1356">
      <c r="A1356" s="3" t="n">
        <v>2031</v>
      </c>
      <c r="B1356" s="3" t="inlineStr">
        <is>
          <t>HTI</t>
        </is>
      </c>
      <c r="C1356" s="3" t="inlineStr">
        <is>
          <t>IMF.RES:WEO</t>
        </is>
      </c>
      <c r="D1356" s="3" t="inlineStr">
        <is>
          <t>HTI.NGDP_RPCH.A</t>
        </is>
      </c>
      <c r="E1356" s="3" t="inlineStr">
        <is>
          <t>Haiti</t>
        </is>
      </c>
      <c r="F1356" s="3" t="inlineStr">
        <is>
          <t>Gross domestic product (GDP), Constant prices, Percent change</t>
        </is>
      </c>
      <c r="G1356" s="3" t="n">
        <v>0.8700599999999999</v>
      </c>
      <c r="H1356" s="3" t="n">
        <v>-0.342748</v>
      </c>
      <c r="I1356" s="3" t="n">
        <v>1.05182</v>
      </c>
      <c r="J1356" s="3" t="n">
        <v>3.48078</v>
      </c>
      <c r="K1356" s="3" t="n">
        <v>-1.317857</v>
      </c>
      <c r="L1356" s="3" t="n">
        <v>3.072173</v>
      </c>
      <c r="M1356" s="3" t="n">
        <v>1.768751</v>
      </c>
      <c r="N1356" s="3" t="n">
        <v>4.70653</v>
      </c>
      <c r="O1356" s="3" t="n">
        <v>2.658032</v>
      </c>
      <c r="P1356" s="3" t="n">
        <v>5.890379</v>
      </c>
      <c r="Q1356" s="3" t="n">
        <v>-5.651512</v>
      </c>
      <c r="R1356" s="3" t="n">
        <v>5.098214</v>
      </c>
      <c r="S1356" s="3" t="n">
        <v>0.502424</v>
      </c>
      <c r="T1356" s="3" t="n">
        <v>4.324784</v>
      </c>
      <c r="U1356" s="3" t="n">
        <v>1.722566</v>
      </c>
      <c r="V1356" s="3" t="n">
        <v>2.562509</v>
      </c>
      <c r="W1356" s="3" t="n">
        <v>1.812468</v>
      </c>
      <c r="X1356" s="3" t="n">
        <v>2.510271</v>
      </c>
      <c r="Y1356" s="3" t="n">
        <v>1.667811</v>
      </c>
      <c r="Z1356" s="3" t="n">
        <v>-1.684595</v>
      </c>
      <c r="AA1356" s="3" t="n">
        <v>-3.343373</v>
      </c>
      <c r="AB1356" s="3" t="n">
        <v>-1.79824</v>
      </c>
      <c r="AC1356" s="3" t="n">
        <v>-1.681984</v>
      </c>
      <c r="AD1356" s="3" t="n">
        <v>-1.863899</v>
      </c>
      <c r="AE1356" s="3" t="n">
        <v>-4.184937</v>
      </c>
      <c r="AF1356" s="3" t="n">
        <v>-2.712911</v>
      </c>
      <c r="AG1356" s="3" t="n">
        <v>-1.7</v>
      </c>
      <c r="AH1356" s="3" t="n">
        <v>0.48</v>
      </c>
      <c r="AI1356" s="3" t="n">
        <v>1.2</v>
      </c>
      <c r="AJ1356" s="3" t="n">
        <v>1.3</v>
      </c>
      <c r="AK1356" s="3" t="n">
        <v>1.5</v>
      </c>
      <c r="AL1356" s="3" t="n">
        <v>1.5</v>
      </c>
      <c r="AM1356" s="3" t="n"/>
      <c r="AN1356" s="3" t="n"/>
      <c r="AO1356" s="3" t="n"/>
      <c r="AP1356" s="3" t="n"/>
      <c r="AQ1356" s="3" t="n"/>
      <c r="AR1356" s="3" t="n"/>
      <c r="AS1356" s="3" t="n"/>
      <c r="AT1356" s="3" t="n"/>
      <c r="AU1356" s="3" t="n"/>
    </row>
    <row r="1357">
      <c r="A1357" s="3" t="n">
        <v>2031</v>
      </c>
      <c r="B1357" s="3" t="inlineStr">
        <is>
          <t>HTI</t>
        </is>
      </c>
      <c r="C1357" s="3" t="inlineStr">
        <is>
          <t>IMF.RES:WEO</t>
        </is>
      </c>
      <c r="D1357" s="3" t="inlineStr">
        <is>
          <t>HTI.NGDPD.A</t>
        </is>
      </c>
      <c r="E1357" s="3" t="inlineStr">
        <is>
          <t>Haiti</t>
        </is>
      </c>
      <c r="F1357" s="3" t="inlineStr">
        <is>
          <t>Gross domestic product (GDP), Current prices, US dollar</t>
        </is>
      </c>
      <c r="G1357" s="3" t="n">
        <v>6.810023</v>
      </c>
      <c r="H1357" s="3" t="n">
        <v>6.285376</v>
      </c>
      <c r="I1357" s="3" t="n">
        <v>6.063651</v>
      </c>
      <c r="J1357" s="3" t="n">
        <v>4.865797</v>
      </c>
      <c r="K1357" s="3" t="n">
        <v>6.037388</v>
      </c>
      <c r="L1357" s="3" t="n">
        <v>7.18619</v>
      </c>
      <c r="M1357" s="3" t="n">
        <v>7.507115</v>
      </c>
      <c r="N1357" s="3" t="n">
        <v>9.522454</v>
      </c>
      <c r="O1357" s="3" t="n">
        <v>10.487818</v>
      </c>
      <c r="P1357" s="3" t="n">
        <v>11.597762</v>
      </c>
      <c r="Q1357" s="3" t="n">
        <v>11.852138</v>
      </c>
      <c r="R1357" s="3" t="n">
        <v>13.008644</v>
      </c>
      <c r="S1357" s="3" t="n">
        <v>13.708955</v>
      </c>
      <c r="T1357" s="3" t="n">
        <v>14.904094</v>
      </c>
      <c r="U1357" s="3" t="n">
        <v>15.13709</v>
      </c>
      <c r="V1357" s="3" t="n">
        <v>14.831443</v>
      </c>
      <c r="W1357" s="3" t="n">
        <v>13.996359</v>
      </c>
      <c r="X1357" s="3" t="n">
        <v>15.036064</v>
      </c>
      <c r="Y1357" s="3" t="n">
        <v>16.453865</v>
      </c>
      <c r="Z1357" s="3" t="n">
        <v>14.787287</v>
      </c>
      <c r="AA1357" s="3" t="n">
        <v>14.508212</v>
      </c>
      <c r="AB1357" s="3" t="n">
        <v>21.016794</v>
      </c>
      <c r="AC1357" s="3" t="n">
        <v>19.826179</v>
      </c>
      <c r="AD1357" s="3" t="n">
        <v>19.603465</v>
      </c>
      <c r="AE1357" s="3" t="n">
        <v>25.284984</v>
      </c>
      <c r="AF1357" s="3" t="n">
        <v>32.102279</v>
      </c>
      <c r="AG1357" s="3" t="n">
        <v>39.17983</v>
      </c>
      <c r="AH1357" s="3" t="n">
        <v>45.09793</v>
      </c>
      <c r="AI1357" s="3" t="n">
        <v>47.514809</v>
      </c>
      <c r="AJ1357" s="3" t="n">
        <v>48.387839</v>
      </c>
      <c r="AK1357" s="3" t="n">
        <v>48.882179</v>
      </c>
      <c r="AL1357" s="3" t="n">
        <v>50.587598</v>
      </c>
      <c r="AM1357" s="3" t="n"/>
      <c r="AN1357" s="3" t="n"/>
      <c r="AO1357" s="3" t="n"/>
      <c r="AP1357" s="3" t="n"/>
      <c r="AQ1357" s="3" t="n"/>
      <c r="AR1357" s="3" t="n"/>
      <c r="AS1357" s="3" t="n"/>
      <c r="AT1357" s="3" t="n"/>
      <c r="AU1357" s="3" t="n"/>
    </row>
    <row r="1358">
      <c r="A1358" s="3" t="n">
        <v>2031</v>
      </c>
      <c r="B1358" s="3" t="inlineStr">
        <is>
          <t>HTI</t>
        </is>
      </c>
      <c r="C1358" s="3" t="inlineStr">
        <is>
          <t>IMF.RES:WEO</t>
        </is>
      </c>
      <c r="D1358" s="3" t="inlineStr">
        <is>
          <t>HTI.NGDPPC.A</t>
        </is>
      </c>
      <c r="E1358" s="3" t="inlineStr">
        <is>
          <t>Haiti</t>
        </is>
      </c>
      <c r="F1358" s="3" t="inlineStr">
        <is>
          <t>Gross domestic product (GDP), Current prices, Per capita, Domestic currency</t>
        </is>
      </c>
      <c r="G1358" s="3" t="n">
        <v>15588.688746</v>
      </c>
      <c r="H1358" s="3" t="n">
        <v>17303.853192</v>
      </c>
      <c r="I1358" s="3" t="n">
        <v>18515.074953</v>
      </c>
      <c r="J1358" s="3" t="n">
        <v>21692.829865</v>
      </c>
      <c r="K1358" s="3" t="n">
        <v>26197.518951</v>
      </c>
      <c r="L1358" s="3" t="n">
        <v>30139.375518</v>
      </c>
      <c r="M1358" s="3" t="n">
        <v>32991.161044</v>
      </c>
      <c r="N1358" s="3" t="n">
        <v>37089.998134</v>
      </c>
      <c r="O1358" s="3" t="n">
        <v>41101.918142</v>
      </c>
      <c r="P1358" s="3" t="n">
        <v>47544.492752</v>
      </c>
      <c r="Q1358" s="3" t="n">
        <v>47400.506034</v>
      </c>
      <c r="R1358" s="3" t="n">
        <v>51142.5014</v>
      </c>
      <c r="S1358" s="3" t="n">
        <v>54737.438608</v>
      </c>
      <c r="T1358" s="3" t="n">
        <v>60748.624037</v>
      </c>
      <c r="U1358" s="3" t="n">
        <v>62869.214586</v>
      </c>
      <c r="V1358" s="3" t="n">
        <v>66006.910945</v>
      </c>
      <c r="W1358" s="3" t="n">
        <v>76230.052222</v>
      </c>
      <c r="X1358" s="3" t="n">
        <v>87766.917086</v>
      </c>
      <c r="Y1358" s="3" t="n">
        <v>94326.78503100001</v>
      </c>
      <c r="Z1358" s="3" t="n">
        <v>107448.413841</v>
      </c>
      <c r="AA1358" s="3" t="n">
        <v>123468.089375</v>
      </c>
      <c r="AB1358" s="3" t="n">
        <v>142719.916381</v>
      </c>
      <c r="AC1358" s="3" t="n">
        <v>179705.306371</v>
      </c>
      <c r="AD1358" s="3" t="n">
        <v>228862.206206</v>
      </c>
      <c r="AE1358" s="3" t="n">
        <v>269263.123239</v>
      </c>
      <c r="AF1358" s="3" t="n">
        <v>333852.716241</v>
      </c>
      <c r="AG1358" s="3" t="n">
        <v>404147.891397</v>
      </c>
      <c r="AH1358" s="3" t="n">
        <v>477030.328648</v>
      </c>
      <c r="AI1358" s="3" t="n">
        <v>539569.165346</v>
      </c>
      <c r="AJ1358" s="3" t="n">
        <v>596439.159563</v>
      </c>
      <c r="AK1358" s="3" t="n">
        <v>654021.866318</v>
      </c>
      <c r="AL1358" s="3" t="n">
        <v>707512.836072</v>
      </c>
      <c r="AM1358" s="3" t="n"/>
      <c r="AN1358" s="3" t="n"/>
      <c r="AO1358" s="3" t="n"/>
      <c r="AP1358" s="3" t="n"/>
      <c r="AQ1358" s="3" t="n"/>
      <c r="AR1358" s="3" t="n"/>
      <c r="AS1358" s="3" t="n"/>
      <c r="AT1358" s="3" t="n"/>
      <c r="AU1358" s="3" t="n"/>
    </row>
    <row r="1359">
      <c r="A1359" s="3" t="n">
        <v>2031</v>
      </c>
      <c r="B1359" s="3" t="inlineStr">
        <is>
          <t>HTI</t>
        </is>
      </c>
      <c r="C1359" s="3" t="inlineStr">
        <is>
          <t>IMF.RES:WEO</t>
        </is>
      </c>
      <c r="D1359" s="3" t="inlineStr">
        <is>
          <t>HTI.NGDPRPC.A</t>
        </is>
      </c>
      <c r="E1359" s="3" t="inlineStr">
        <is>
          <t>Haiti</t>
        </is>
      </c>
      <c r="F1359" s="3" t="inlineStr">
        <is>
          <t>Gross domestic product (GDP), Constant prices, Per capita, Domestic currency</t>
        </is>
      </c>
      <c r="G1359" s="3" t="n">
        <v>54317.06756</v>
      </c>
      <c r="H1359" s="3" t="n">
        <v>53239.963051</v>
      </c>
      <c r="I1359" s="3" t="n">
        <v>52944.160665</v>
      </c>
      <c r="J1359" s="3" t="n">
        <v>53930.094218</v>
      </c>
      <c r="K1359" s="3" t="n">
        <v>52386.78029</v>
      </c>
      <c r="L1359" s="3" t="n">
        <v>53137.643565</v>
      </c>
      <c r="M1359" s="3" t="n">
        <v>53200.816915</v>
      </c>
      <c r="N1359" s="3" t="n">
        <v>54794.558379</v>
      </c>
      <c r="O1359" s="3" t="n">
        <v>55331.222062</v>
      </c>
      <c r="P1359" s="3" t="n">
        <v>57637.9723</v>
      </c>
      <c r="Q1359" s="3" t="n">
        <v>53507.190649</v>
      </c>
      <c r="R1359" s="3" t="n">
        <v>55340.17357</v>
      </c>
      <c r="S1359" s="3" t="n">
        <v>54737.438608</v>
      </c>
      <c r="T1359" s="3" t="n">
        <v>56208.574991</v>
      </c>
      <c r="U1359" s="3" t="n">
        <v>56291.217551</v>
      </c>
      <c r="V1359" s="3" t="n">
        <v>56854.575565</v>
      </c>
      <c r="W1359" s="3" t="n">
        <v>57016.543576</v>
      </c>
      <c r="X1359" s="3" t="n">
        <v>57581.131207</v>
      </c>
      <c r="Y1359" s="3" t="n">
        <v>57686.027735</v>
      </c>
      <c r="Z1359" s="3" t="n">
        <v>55899.859128</v>
      </c>
      <c r="AA1359" s="3" t="n">
        <v>53270.64025</v>
      </c>
      <c r="AB1359" s="3" t="n">
        <v>51597.036326</v>
      </c>
      <c r="AC1359" s="3" t="n">
        <v>50058.399885</v>
      </c>
      <c r="AD1359" s="3" t="n">
        <v>48475.786443</v>
      </c>
      <c r="AE1359" s="3" t="n">
        <v>45832.943962</v>
      </c>
      <c r="AF1359" s="3" t="n">
        <v>43999.937927</v>
      </c>
      <c r="AG1359" s="3" t="n">
        <v>42680.026625</v>
      </c>
      <c r="AH1359" s="3" t="n">
        <v>42317.831807</v>
      </c>
      <c r="AI1359" s="3" t="n">
        <v>42259.370227</v>
      </c>
      <c r="AJ1359" s="3" t="n">
        <v>42242.689995</v>
      </c>
      <c r="AK1359" s="3" t="n">
        <v>42309.384591</v>
      </c>
      <c r="AL1359" s="3" t="n">
        <v>42376.184488</v>
      </c>
      <c r="AM1359" s="3" t="n"/>
      <c r="AN1359" s="3" t="n"/>
      <c r="AO1359" s="3" t="n"/>
      <c r="AP1359" s="3" t="n"/>
      <c r="AQ1359" s="3" t="n"/>
      <c r="AR1359" s="3" t="n"/>
      <c r="AS1359" s="3" t="n"/>
      <c r="AT1359" s="3" t="n"/>
      <c r="AU1359" s="3" t="n"/>
    </row>
    <row r="1360">
      <c r="A1360" s="3" t="n">
        <v>2031</v>
      </c>
      <c r="B1360" s="3" t="inlineStr">
        <is>
          <t>HTI</t>
        </is>
      </c>
      <c r="C1360" s="3" t="inlineStr">
        <is>
          <t>IMF.RES:WEO</t>
        </is>
      </c>
      <c r="D1360" s="3" t="inlineStr">
        <is>
          <t>HTI.PCPI.A</t>
        </is>
      </c>
      <c r="E1360" s="3" t="inlineStr">
        <is>
          <t>Haiti</t>
        </is>
      </c>
      <c r="F1360" s="3" t="inlineStr">
        <is>
          <t>All Items, Consumer price index (CPI), Period average</t>
        </is>
      </c>
      <c r="G1360" s="3" t="n">
        <v>17.955745</v>
      </c>
      <c r="H1360" s="3" t="n">
        <v>20.736894</v>
      </c>
      <c r="I1360" s="3" t="n">
        <v>22.096249</v>
      </c>
      <c r="J1360" s="3" t="n">
        <v>27.009921</v>
      </c>
      <c r="K1360" s="3" t="n">
        <v>33.954056</v>
      </c>
      <c r="L1360" s="3" t="n">
        <v>38.745251</v>
      </c>
      <c r="M1360" s="3" t="n">
        <v>43.771472</v>
      </c>
      <c r="N1360" s="3" t="n">
        <v>46.797186</v>
      </c>
      <c r="O1360" s="3" t="n">
        <v>52.651832</v>
      </c>
      <c r="P1360" s="3" t="n">
        <v>55.598688</v>
      </c>
      <c r="Q1360" s="3" t="n">
        <v>57.222726</v>
      </c>
      <c r="R1360" s="3" t="n">
        <v>60.222057</v>
      </c>
      <c r="S1360" s="3" t="n">
        <v>63.654018</v>
      </c>
      <c r="T1360" s="3" t="n">
        <v>67.026911</v>
      </c>
      <c r="U1360" s="3" t="n">
        <v>69.141533</v>
      </c>
      <c r="V1360" s="3" t="n">
        <v>72.81752</v>
      </c>
      <c r="W1360" s="3" t="n">
        <v>81.144558</v>
      </c>
      <c r="X1360" s="3" t="n">
        <v>89.75381299999999</v>
      </c>
      <c r="Y1360" s="3" t="n">
        <v>100</v>
      </c>
      <c r="Z1360" s="3" t="n">
        <v>117.308333</v>
      </c>
      <c r="AA1360" s="3" t="n">
        <v>144.225</v>
      </c>
      <c r="AB1360" s="3" t="n">
        <v>167.215656</v>
      </c>
      <c r="AC1360" s="3" t="n">
        <v>213.327791</v>
      </c>
      <c r="AD1360" s="3" t="n">
        <v>307.405</v>
      </c>
      <c r="AE1360" s="3" t="n">
        <v>386.85</v>
      </c>
      <c r="AF1360" s="3" t="n">
        <v>496.35</v>
      </c>
      <c r="AG1360" s="3" t="n">
        <v>613.029075</v>
      </c>
      <c r="AH1360" s="3" t="n">
        <v>733.882517</v>
      </c>
      <c r="AI1360" s="3" t="n">
        <v>828.619658</v>
      </c>
      <c r="AJ1360" s="3" t="n">
        <v>906.8183309999999</v>
      </c>
      <c r="AK1360" s="3" t="n">
        <v>979.20311</v>
      </c>
      <c r="AL1360" s="3" t="n">
        <v>1057.365845</v>
      </c>
      <c r="AM1360" s="3" t="n"/>
      <c r="AN1360" s="3" t="n"/>
      <c r="AO1360" s="3" t="n"/>
      <c r="AP1360" s="3" t="n"/>
      <c r="AQ1360" s="3" t="n"/>
      <c r="AR1360" s="3" t="n"/>
      <c r="AS1360" s="3" t="n"/>
      <c r="AT1360" s="3" t="n"/>
      <c r="AU1360" s="3" t="n"/>
    </row>
    <row r="1361">
      <c r="A1361" s="3" t="n">
        <v>2031</v>
      </c>
      <c r="B1361" s="3" t="inlineStr">
        <is>
          <t>HTI</t>
        </is>
      </c>
      <c r="C1361" s="3" t="inlineStr">
        <is>
          <t>IMF.RES:WEO</t>
        </is>
      </c>
      <c r="D1361" s="3" t="inlineStr">
        <is>
          <t>HTI.PCPIPCH.A</t>
        </is>
      </c>
      <c r="E1361" s="3" t="inlineStr">
        <is>
          <t>Haiti</t>
        </is>
      </c>
      <c r="F1361" s="3" t="inlineStr">
        <is>
          <t>All Items, Consumer price index (CPI), Period average, percent change</t>
        </is>
      </c>
      <c r="G1361" s="3" t="n">
        <v>6.445638</v>
      </c>
      <c r="H1361" s="3" t="n">
        <v>15.488914</v>
      </c>
      <c r="I1361" s="3" t="n">
        <v>6.555248</v>
      </c>
      <c r="J1361" s="3" t="n">
        <v>22.237583</v>
      </c>
      <c r="K1361" s="3" t="n">
        <v>25.709571</v>
      </c>
      <c r="L1361" s="3" t="n">
        <v>14.110818</v>
      </c>
      <c r="M1361" s="3" t="n">
        <v>12.972484</v>
      </c>
      <c r="N1361" s="3" t="n">
        <v>6.912524</v>
      </c>
      <c r="O1361" s="3" t="n">
        <v>12.51068</v>
      </c>
      <c r="P1361" s="3" t="n">
        <v>5.596873</v>
      </c>
      <c r="Q1361" s="3" t="n">
        <v>2.921</v>
      </c>
      <c r="R1361" s="3" t="n">
        <v>5.241502</v>
      </c>
      <c r="S1361" s="3" t="n">
        <v>5.698845</v>
      </c>
      <c r="T1361" s="3" t="n">
        <v>5.29879</v>
      </c>
      <c r="U1361" s="3" t="n">
        <v>3.154885</v>
      </c>
      <c r="V1361" s="3" t="n">
        <v>5.316612</v>
      </c>
      <c r="W1361" s="3" t="n">
        <v>11.435486</v>
      </c>
      <c r="X1361" s="3" t="n">
        <v>10.609775</v>
      </c>
      <c r="Y1361" s="3" t="n">
        <v>11.41588</v>
      </c>
      <c r="Z1361" s="3" t="n">
        <v>17.308333</v>
      </c>
      <c r="AA1361" s="3" t="n">
        <v>22.94523</v>
      </c>
      <c r="AB1361" s="3" t="n">
        <v>15.940825</v>
      </c>
      <c r="AC1361" s="3" t="n">
        <v>27.576446</v>
      </c>
      <c r="AD1361" s="3" t="n">
        <v>44.099838</v>
      </c>
      <c r="AE1361" s="3" t="n">
        <v>25.843757</v>
      </c>
      <c r="AF1361" s="3" t="n">
        <v>28.305545</v>
      </c>
      <c r="AG1361" s="3" t="n">
        <v>23.507419</v>
      </c>
      <c r="AH1361" s="3" t="n">
        <v>19.714145</v>
      </c>
      <c r="AI1361" s="3" t="n">
        <v>12.909034</v>
      </c>
      <c r="AJ1361" s="3" t="n">
        <v>9.437220999999999</v>
      </c>
      <c r="AK1361" s="3" t="n">
        <v>7.98228</v>
      </c>
      <c r="AL1361" s="3" t="n">
        <v>7.98228</v>
      </c>
      <c r="AM1361" s="3" t="n"/>
      <c r="AN1361" s="3" t="n"/>
      <c r="AO1361" s="3" t="n"/>
      <c r="AP1361" s="3" t="n"/>
      <c r="AQ1361" s="3" t="n"/>
      <c r="AR1361" s="3" t="n"/>
      <c r="AS1361" s="3" t="n"/>
      <c r="AT1361" s="3" t="n"/>
      <c r="AU1361" s="3" t="n"/>
    </row>
    <row r="1362">
      <c r="A1362" s="3" t="n">
        <v>2031</v>
      </c>
      <c r="B1362" s="3" t="inlineStr">
        <is>
          <t>HTI</t>
        </is>
      </c>
      <c r="C1362" s="3" t="inlineStr">
        <is>
          <t>IMF.RES:WEO</t>
        </is>
      </c>
      <c r="D1362" s="3" t="inlineStr">
        <is>
          <t>HTI.PPPPC.A</t>
        </is>
      </c>
      <c r="E1362" s="3" t="inlineStr">
        <is>
          <t>Haiti</t>
        </is>
      </c>
      <c r="F1362" s="3" t="inlineStr">
        <is>
          <t>Gross domestic product (GDP), Per capita, purchasing power parity (PPP) international dollar, ICP benchmarks 2017-2021</t>
        </is>
      </c>
      <c r="G1362" s="3" t="n">
        <v>2195.386085</v>
      </c>
      <c r="H1362" s="3" t="n">
        <v>2200.303229</v>
      </c>
      <c r="I1362" s="3" t="n">
        <v>2222.081816</v>
      </c>
      <c r="J1362" s="3" t="n">
        <v>2308.147351</v>
      </c>
      <c r="K1362" s="3" t="n">
        <v>2302.382529</v>
      </c>
      <c r="L1362" s="3" t="n">
        <v>2408.616153</v>
      </c>
      <c r="M1362" s="3" t="n">
        <v>2485.846858</v>
      </c>
      <c r="N1362" s="3" t="n">
        <v>2629.681451</v>
      </c>
      <c r="O1362" s="3" t="n">
        <v>2706.591463</v>
      </c>
      <c r="P1362" s="3" t="n">
        <v>2836.81745</v>
      </c>
      <c r="Q1362" s="3" t="n">
        <v>2665.516233</v>
      </c>
      <c r="R1362" s="3" t="n">
        <v>2813.708392</v>
      </c>
      <c r="S1362" s="3" t="n">
        <v>2834.881761</v>
      </c>
      <c r="T1362" s="3" t="n">
        <v>2960.619316</v>
      </c>
      <c r="U1362" s="3" t="n">
        <v>3016.613629</v>
      </c>
      <c r="V1362" s="3" t="n">
        <v>3075.079617</v>
      </c>
      <c r="W1362" s="3" t="n">
        <v>3113.143316</v>
      </c>
      <c r="X1362" s="3" t="n">
        <v>3200.275232</v>
      </c>
      <c r="Y1362" s="3" t="n">
        <v>3080.716783</v>
      </c>
      <c r="Z1362" s="3" t="n">
        <v>3057.229996</v>
      </c>
      <c r="AA1362" s="3" t="n">
        <v>2971.271394</v>
      </c>
      <c r="AB1362" s="3" t="n">
        <v>3004.65974</v>
      </c>
      <c r="AC1362" s="3" t="n">
        <v>3122.39118</v>
      </c>
      <c r="AD1362" s="3" t="n">
        <v>3135.552724</v>
      </c>
      <c r="AE1362" s="3" t="n">
        <v>3038.203777</v>
      </c>
      <c r="AF1362" s="3" t="n">
        <v>2999.436154</v>
      </c>
      <c r="AG1362" s="3" t="n">
        <v>2992.810649</v>
      </c>
      <c r="AH1362" s="3" t="n">
        <v>3032.574287</v>
      </c>
      <c r="AI1362" s="3" t="n">
        <v>3078.092443</v>
      </c>
      <c r="AJ1362" s="3" t="n">
        <v>3131.587708</v>
      </c>
      <c r="AK1362" s="3" t="n">
        <v>3194.166612</v>
      </c>
      <c r="AL1362" s="3" t="n">
        <v>3256.965091</v>
      </c>
      <c r="AM1362" s="3" t="n"/>
      <c r="AN1362" s="3" t="n"/>
      <c r="AO1362" s="3" t="n"/>
      <c r="AP1362" s="3" t="n"/>
      <c r="AQ1362" s="3" t="n"/>
      <c r="AR1362" s="3" t="n"/>
      <c r="AS1362" s="3" t="n"/>
      <c r="AT1362" s="3" t="n"/>
      <c r="AU1362" s="3" t="n"/>
    </row>
    <row r="1363">
      <c r="A1363" s="3" t="n">
        <v>2025</v>
      </c>
      <c r="B1363" s="3" t="inlineStr">
        <is>
          <t>HTI</t>
        </is>
      </c>
      <c r="C1363" s="3" t="inlineStr">
        <is>
          <t>IMF.STA:ER</t>
        </is>
      </c>
      <c r="D1363" s="3" t="inlineStr">
        <is>
          <t>HTI.XDC_USD.PA_RT.A</t>
        </is>
      </c>
      <c r="E1363" s="3" t="inlineStr">
        <is>
          <t>Haiti</t>
        </is>
      </c>
      <c r="F1363" s="3" t="inlineStr">
        <is>
          <t>Domestic currency per US Dollar</t>
        </is>
      </c>
      <c r="G1363" s="3" t="n">
        <v>21.1706666666666</v>
      </c>
      <c r="H1363" s="3" t="n">
        <v>24.4290833333333</v>
      </c>
      <c r="I1363" s="3" t="n">
        <v>29.2504833333333</v>
      </c>
      <c r="J1363" s="3" t="n">
        <v>42.3667583333333</v>
      </c>
      <c r="K1363" s="3" t="n">
        <v>38.3520333333333</v>
      </c>
      <c r="L1363" s="3" t="n">
        <v>40.44855</v>
      </c>
      <c r="M1363" s="3" t="n">
        <v>40.4085166666666</v>
      </c>
      <c r="N1363" s="3" t="n">
        <v>36.8614166666666</v>
      </c>
      <c r="O1363" s="3" t="n">
        <v>39.1075916666666</v>
      </c>
      <c r="P1363" s="3" t="n">
        <v>41.1976083333333</v>
      </c>
      <c r="Q1363" s="3" t="n">
        <v>39.7974</v>
      </c>
      <c r="R1363" s="3" t="n">
        <v>40.5228219393744</v>
      </c>
      <c r="S1363" s="3" t="n">
        <v>41.9497229523155</v>
      </c>
      <c r="T1363" s="3" t="n">
        <v>43.4627833333333</v>
      </c>
      <c r="U1363" s="3" t="n">
        <v>45.2159808923792</v>
      </c>
      <c r="V1363" s="3" t="n">
        <v>50.7064266739439</v>
      </c>
      <c r="W1363" s="3" t="n">
        <v>63.3358183698924</v>
      </c>
      <c r="X1363" s="3" t="n">
        <v>64.7696802849927</v>
      </c>
      <c r="Y1363" s="3" t="n">
        <v>68.0317539812812</v>
      </c>
      <c r="Z1363" s="3" t="n">
        <v>88.8149661769193</v>
      </c>
      <c r="AA1363" s="3" t="n">
        <v>93.5098072136212</v>
      </c>
      <c r="AB1363" s="3" t="n">
        <v>89.2266365116304</v>
      </c>
      <c r="AC1363" s="3" t="n">
        <v>115.630715521746</v>
      </c>
      <c r="AD1363" s="3" t="n">
        <v>141.035912702189</v>
      </c>
      <c r="AE1363" s="3" t="n">
        <v>131.810991666666</v>
      </c>
      <c r="AF1363" s="3" t="n">
        <v>130.626409210526</v>
      </c>
      <c r="AG1363" s="3" t="n"/>
      <c r="AH1363" s="3" t="n"/>
      <c r="AI1363" s="3" t="n"/>
      <c r="AJ1363" s="3" t="n"/>
      <c r="AK1363" s="3" t="n"/>
      <c r="AL1363" s="3" t="n"/>
      <c r="AM1363" s="3" t="n"/>
      <c r="AN1363" s="3" t="n"/>
      <c r="AO1363" s="3" t="n"/>
      <c r="AP1363" s="3" t="n"/>
      <c r="AQ1363" s="3" t="n"/>
      <c r="AR1363" s="3" t="n"/>
      <c r="AS1363" s="3" t="n"/>
      <c r="AT1363" s="3" t="n"/>
      <c r="AU1363" s="3" t="n"/>
    </row>
    <row r="1364">
      <c r="A1364" s="3" t="n">
        <v>2031</v>
      </c>
      <c r="B1364" s="3" t="inlineStr">
        <is>
          <t>HUN</t>
        </is>
      </c>
      <c r="C1364" s="3" t="inlineStr">
        <is>
          <t>IMF.RES:WEO</t>
        </is>
      </c>
      <c r="D1364" s="3" t="inlineStr">
        <is>
          <t>HUN.BCA.A</t>
        </is>
      </c>
      <c r="E1364" s="3" t="inlineStr">
        <is>
          <t>Hungary</t>
        </is>
      </c>
      <c r="F1364" s="3" t="inlineStr">
        <is>
          <t>Current account balance (credit less debit), US dollar</t>
        </is>
      </c>
      <c r="G1364" s="3" t="n">
        <v>-4.015181</v>
      </c>
      <c r="H1364" s="3" t="n">
        <v>-3.130587</v>
      </c>
      <c r="I1364" s="3" t="n">
        <v>-4.288798</v>
      </c>
      <c r="J1364" s="3" t="n">
        <v>-6.811305</v>
      </c>
      <c r="K1364" s="3" t="n">
        <v>-8.880247000000001</v>
      </c>
      <c r="L1364" s="3" t="n">
        <v>-8.137736</v>
      </c>
      <c r="M1364" s="3" t="n">
        <v>-8.623929</v>
      </c>
      <c r="N1364" s="3" t="n">
        <v>-10.334113</v>
      </c>
      <c r="O1364" s="3" t="n">
        <v>-11.838073</v>
      </c>
      <c r="P1364" s="3" t="n">
        <v>-1.724248</v>
      </c>
      <c r="Q1364" s="3" t="n">
        <v>-0.346435</v>
      </c>
      <c r="R1364" s="3" t="n">
        <v>0.454318</v>
      </c>
      <c r="S1364" s="3" t="n">
        <v>1.458999</v>
      </c>
      <c r="T1364" s="3" t="n">
        <v>4.183603</v>
      </c>
      <c r="U1364" s="3" t="n">
        <v>1.242756</v>
      </c>
      <c r="V1364" s="3" t="n">
        <v>2.711924</v>
      </c>
      <c r="W1364" s="3" t="n">
        <v>5.639</v>
      </c>
      <c r="X1364" s="3" t="n">
        <v>2.558502</v>
      </c>
      <c r="Y1364" s="3" t="n">
        <v>0.391191</v>
      </c>
      <c r="Z1364" s="3" t="n">
        <v>-1.054885</v>
      </c>
      <c r="AA1364" s="3" t="n">
        <v>-1.783824</v>
      </c>
      <c r="AB1364" s="3" t="n">
        <v>-8.273561000000001</v>
      </c>
      <c r="AC1364" s="3" t="n">
        <v>-16.13802</v>
      </c>
      <c r="AD1364" s="3" t="n">
        <v>-0.245086</v>
      </c>
      <c r="AE1364" s="3" t="n">
        <v>3.308382</v>
      </c>
      <c r="AF1364" s="3" t="n">
        <v>3.170907</v>
      </c>
      <c r="AG1364" s="3" t="n">
        <v>-1.163897</v>
      </c>
      <c r="AH1364" s="3" t="n">
        <v>1.170403</v>
      </c>
      <c r="AI1364" s="3" t="n">
        <v>1.985235</v>
      </c>
      <c r="AJ1364" s="3" t="n">
        <v>3.15285</v>
      </c>
      <c r="AK1364" s="3" t="n">
        <v>5.194326</v>
      </c>
      <c r="AL1364" s="3" t="n">
        <v>6.399752</v>
      </c>
      <c r="AM1364" s="3" t="n"/>
      <c r="AN1364" s="3" t="n"/>
      <c r="AO1364" s="3" t="n"/>
      <c r="AP1364" s="3" t="n"/>
      <c r="AQ1364" s="3" t="n"/>
      <c r="AR1364" s="3" t="n"/>
      <c r="AS1364" s="3" t="n"/>
      <c r="AT1364" s="3" t="n"/>
      <c r="AU1364" s="3" t="n"/>
    </row>
    <row r="1365">
      <c r="A1365" s="3" t="n">
        <v>2031</v>
      </c>
      <c r="B1365" s="3" t="inlineStr">
        <is>
          <t>HUN</t>
        </is>
      </c>
      <c r="C1365" s="3" t="inlineStr">
        <is>
          <t>IMF.RES:WEO</t>
        </is>
      </c>
      <c r="D1365" s="3" t="inlineStr">
        <is>
          <t>HUN.BCA_NGDPD.A</t>
        </is>
      </c>
      <c r="E1365" s="3" t="inlineStr">
        <is>
          <t>Hungary</t>
        </is>
      </c>
      <c r="F1365" s="3" t="inlineStr">
        <is>
          <t>Current account balance (credit less debit), Percent of GDP</t>
        </is>
      </c>
      <c r="G1365" s="3" t="n">
        <v>-8.493071</v>
      </c>
      <c r="H1365" s="3" t="n">
        <v>-5.818928</v>
      </c>
      <c r="I1365" s="3" t="n">
        <v>-6.340956</v>
      </c>
      <c r="J1365" s="3" t="n">
        <v>-7.995383</v>
      </c>
      <c r="K1365" s="3" t="n">
        <v>-8.537438999999999</v>
      </c>
      <c r="L1365" s="3" t="n">
        <v>-7.195281</v>
      </c>
      <c r="M1365" s="3" t="n">
        <v>-7.459881</v>
      </c>
      <c r="N1365" s="3" t="n">
        <v>-7.375014</v>
      </c>
      <c r="O1365" s="3" t="n">
        <v>-7.481644</v>
      </c>
      <c r="P1365" s="3" t="n">
        <v>-1.318157</v>
      </c>
      <c r="Q1365" s="3" t="n">
        <v>-0.262653</v>
      </c>
      <c r="R1365" s="3" t="n">
        <v>0.320591</v>
      </c>
      <c r="S1365" s="3" t="n">
        <v>1.135671</v>
      </c>
      <c r="T1365" s="3" t="n">
        <v>3.084205</v>
      </c>
      <c r="U1365" s="3" t="n">
        <v>0.880583</v>
      </c>
      <c r="V1365" s="3" t="n">
        <v>2.16531</v>
      </c>
      <c r="W1365" s="3" t="n">
        <v>4.371875</v>
      </c>
      <c r="X1365" s="3" t="n">
        <v>1.78498</v>
      </c>
      <c r="Y1365" s="3" t="n">
        <v>0.242698</v>
      </c>
      <c r="Z1365" s="3" t="n">
        <v>-0.639608</v>
      </c>
      <c r="AA1365" s="3" t="n">
        <v>-1.125665</v>
      </c>
      <c r="AB1365" s="3" t="n">
        <v>-4.514099</v>
      </c>
      <c r="AC1365" s="3" t="n">
        <v>-9.077309</v>
      </c>
      <c r="AD1365" s="3" t="n">
        <v>-0.114894</v>
      </c>
      <c r="AE1365" s="3" t="n">
        <v>1.48439</v>
      </c>
      <c r="AF1365" s="3" t="n">
        <v>1.284333</v>
      </c>
      <c r="AG1365" s="3" t="n">
        <v>-0.429289</v>
      </c>
      <c r="AH1365" s="3" t="n">
        <v>0.411445</v>
      </c>
      <c r="AI1365" s="3" t="n">
        <v>0.665602</v>
      </c>
      <c r="AJ1365" s="3" t="n">
        <v>1.005821</v>
      </c>
      <c r="AK1365" s="3" t="n">
        <v>1.575923</v>
      </c>
      <c r="AL1365" s="3" t="n">
        <v>1.84772</v>
      </c>
      <c r="AM1365" s="3" t="n"/>
      <c r="AN1365" s="3" t="n"/>
      <c r="AO1365" s="3" t="n"/>
      <c r="AP1365" s="3" t="n"/>
      <c r="AQ1365" s="3" t="n"/>
      <c r="AR1365" s="3" t="n"/>
      <c r="AS1365" s="3" t="n"/>
      <c r="AT1365" s="3" t="n"/>
      <c r="AU1365" s="3" t="n"/>
    </row>
    <row r="1366">
      <c r="A1366" s="3" t="n">
        <v>2031</v>
      </c>
      <c r="B1366" s="3" t="inlineStr">
        <is>
          <t>HUN</t>
        </is>
      </c>
      <c r="C1366" s="3" t="inlineStr">
        <is>
          <t>IMF.RES:WEO</t>
        </is>
      </c>
      <c r="D1366" s="3" t="inlineStr">
        <is>
          <t>HUN.GGR_NGDP.A</t>
        </is>
      </c>
      <c r="E1366" s="3" t="inlineStr">
        <is>
          <t>Hungary</t>
        </is>
      </c>
      <c r="F1366" s="3" t="inlineStr">
        <is>
          <t>Revenue, General government, Percent of GDP</t>
        </is>
      </c>
      <c r="G1366" s="3" t="n">
        <v>44.251696</v>
      </c>
      <c r="H1366" s="3" t="n">
        <v>43.212695</v>
      </c>
      <c r="I1366" s="3" t="n">
        <v>42.179921</v>
      </c>
      <c r="J1366" s="3" t="n">
        <v>41.985132</v>
      </c>
      <c r="K1366" s="3" t="n">
        <v>42.173834</v>
      </c>
      <c r="L1366" s="3" t="n">
        <v>41.581311</v>
      </c>
      <c r="M1366" s="3" t="n">
        <v>42.138473</v>
      </c>
      <c r="N1366" s="3" t="n">
        <v>44.798459</v>
      </c>
      <c r="O1366" s="3" t="n">
        <v>44.990159</v>
      </c>
      <c r="P1366" s="3" t="n">
        <v>45.900957</v>
      </c>
      <c r="Q1366" s="3" t="n">
        <v>44.479147</v>
      </c>
      <c r="R1366" s="3" t="n">
        <v>43.920208</v>
      </c>
      <c r="S1366" s="3" t="n">
        <v>46.916771</v>
      </c>
      <c r="T1366" s="3" t="n">
        <v>47.481118</v>
      </c>
      <c r="U1366" s="3" t="n">
        <v>47.242755</v>
      </c>
      <c r="V1366" s="3" t="n">
        <v>48.350924</v>
      </c>
      <c r="W1366" s="3" t="n">
        <v>44.871605</v>
      </c>
      <c r="X1366" s="3" t="n">
        <v>44.192306</v>
      </c>
      <c r="Y1366" s="3" t="n">
        <v>43.87606</v>
      </c>
      <c r="Z1366" s="3" t="n">
        <v>43.822193</v>
      </c>
      <c r="AA1366" s="3" t="n">
        <v>43.544218</v>
      </c>
      <c r="AB1366" s="3" t="n">
        <v>40.977208</v>
      </c>
      <c r="AC1366" s="3" t="n">
        <v>42.668821</v>
      </c>
      <c r="AD1366" s="3" t="n">
        <v>42.561339</v>
      </c>
      <c r="AE1366" s="3" t="n">
        <v>42.010018</v>
      </c>
      <c r="AF1366" s="3" t="n">
        <v>42.820506</v>
      </c>
      <c r="AG1366" s="3" t="n">
        <v>42.628907</v>
      </c>
      <c r="AH1366" s="3" t="n">
        <v>42.571089</v>
      </c>
      <c r="AI1366" s="3" t="n">
        <v>42.833407</v>
      </c>
      <c r="AJ1366" s="3" t="n">
        <v>43.36574</v>
      </c>
      <c r="AK1366" s="3" t="n">
        <v>43.376986</v>
      </c>
      <c r="AL1366" s="3" t="n">
        <v>43.261465</v>
      </c>
      <c r="AM1366" s="3" t="n"/>
      <c r="AN1366" s="3" t="n"/>
      <c r="AO1366" s="3" t="n"/>
      <c r="AP1366" s="3" t="n"/>
      <c r="AQ1366" s="3" t="n"/>
      <c r="AR1366" s="3" t="n"/>
      <c r="AS1366" s="3" t="n"/>
      <c r="AT1366" s="3" t="n"/>
      <c r="AU1366" s="3" t="n"/>
    </row>
    <row r="1367">
      <c r="A1367" s="3" t="n">
        <v>2031</v>
      </c>
      <c r="B1367" s="3" t="inlineStr">
        <is>
          <t>HUN</t>
        </is>
      </c>
      <c r="C1367" s="3" t="inlineStr">
        <is>
          <t>IMF.RES:WEO</t>
        </is>
      </c>
      <c r="D1367" s="3" t="inlineStr">
        <is>
          <t>HUN.GGX_NGDP.A</t>
        </is>
      </c>
      <c r="E1367" s="3" t="inlineStr">
        <is>
          <t>Hungary</t>
        </is>
      </c>
      <c r="F1367" s="3" t="inlineStr">
        <is>
          <t>Expenditure, General government, Percent of GDP</t>
        </is>
      </c>
      <c r="G1367" s="3" t="n">
        <v>47.289381</v>
      </c>
      <c r="H1367" s="3" t="n">
        <v>47.208375</v>
      </c>
      <c r="I1367" s="3" t="n">
        <v>50.974052</v>
      </c>
      <c r="J1367" s="3" t="n">
        <v>49.176183</v>
      </c>
      <c r="K1367" s="3" t="n">
        <v>48.771118</v>
      </c>
      <c r="L1367" s="3" t="n">
        <v>49.367917</v>
      </c>
      <c r="M1367" s="3" t="n">
        <v>51.407175</v>
      </c>
      <c r="N1367" s="3" t="n">
        <v>49.883763</v>
      </c>
      <c r="O1367" s="3" t="n">
        <v>48.775066</v>
      </c>
      <c r="P1367" s="3" t="n">
        <v>50.660234</v>
      </c>
      <c r="Q1367" s="3" t="n">
        <v>48.915343</v>
      </c>
      <c r="R1367" s="3" t="n">
        <v>49.14004</v>
      </c>
      <c r="S1367" s="3" t="n">
        <v>49.247358</v>
      </c>
      <c r="T1367" s="3" t="n">
        <v>50.079334</v>
      </c>
      <c r="U1367" s="3" t="n">
        <v>50.015731</v>
      </c>
      <c r="V1367" s="3" t="n">
        <v>50.353799</v>
      </c>
      <c r="W1367" s="3" t="n">
        <v>46.663251</v>
      </c>
      <c r="X1367" s="3" t="n">
        <v>46.647237</v>
      </c>
      <c r="Y1367" s="3" t="n">
        <v>45.922476</v>
      </c>
      <c r="Z1367" s="3" t="n">
        <v>45.846486</v>
      </c>
      <c r="AA1367" s="3" t="n">
        <v>51.031078</v>
      </c>
      <c r="AB1367" s="3" t="n">
        <v>48.087277</v>
      </c>
      <c r="AC1367" s="3" t="n">
        <v>48.859049</v>
      </c>
      <c r="AD1367" s="3" t="n">
        <v>49.334259</v>
      </c>
      <c r="AE1367" s="3" t="n">
        <v>46.908363</v>
      </c>
      <c r="AF1367" s="3" t="n">
        <v>47.505313</v>
      </c>
      <c r="AG1367" s="3" t="n">
        <v>48.124362</v>
      </c>
      <c r="AH1367" s="3" t="n">
        <v>48.293749</v>
      </c>
      <c r="AI1367" s="3" t="n">
        <v>48.680472</v>
      </c>
      <c r="AJ1367" s="3" t="n">
        <v>49.075714</v>
      </c>
      <c r="AK1367" s="3" t="n">
        <v>48.981517</v>
      </c>
      <c r="AL1367" s="3" t="n">
        <v>48.748931</v>
      </c>
      <c r="AM1367" s="3" t="n"/>
      <c r="AN1367" s="3" t="n"/>
      <c r="AO1367" s="3" t="n"/>
      <c r="AP1367" s="3" t="n"/>
      <c r="AQ1367" s="3" t="n"/>
      <c r="AR1367" s="3" t="n"/>
      <c r="AS1367" s="3" t="n"/>
      <c r="AT1367" s="3" t="n"/>
      <c r="AU1367" s="3" t="n"/>
    </row>
    <row r="1368">
      <c r="A1368" s="3" t="n">
        <v>2031</v>
      </c>
      <c r="B1368" s="3" t="inlineStr">
        <is>
          <t>HUN</t>
        </is>
      </c>
      <c r="C1368" s="3" t="inlineStr">
        <is>
          <t>IMF.RES:WEO</t>
        </is>
      </c>
      <c r="D1368" s="3" t="inlineStr">
        <is>
          <t>HUN.LP.A</t>
        </is>
      </c>
      <c r="E1368" s="3" t="inlineStr">
        <is>
          <t>Hungary</t>
        </is>
      </c>
      <c r="F1368" s="3" t="inlineStr">
        <is>
          <t>Population, Persons for countries / Index for country groups</t>
        </is>
      </c>
      <c r="G1368" s="3" t="n">
        <v>10.222</v>
      </c>
      <c r="H1368" s="3" t="n">
        <v>10.2</v>
      </c>
      <c r="I1368" s="3" t="n">
        <v>10.175</v>
      </c>
      <c r="J1368" s="3" t="n">
        <v>10.142</v>
      </c>
      <c r="K1368" s="3" t="n">
        <v>10.117</v>
      </c>
      <c r="L1368" s="3" t="n">
        <v>10.098</v>
      </c>
      <c r="M1368" s="3" t="n">
        <v>10.077</v>
      </c>
      <c r="N1368" s="3" t="n">
        <v>10.066</v>
      </c>
      <c r="O1368" s="3" t="n">
        <v>10.045</v>
      </c>
      <c r="P1368" s="3" t="n">
        <v>10.031</v>
      </c>
      <c r="Q1368" s="3" t="n">
        <v>10.014</v>
      </c>
      <c r="R1368" s="3" t="n">
        <v>9.986000000000001</v>
      </c>
      <c r="S1368" s="3" t="n">
        <v>9.932</v>
      </c>
      <c r="T1368" s="3" t="n">
        <v>9.895</v>
      </c>
      <c r="U1368" s="3" t="n">
        <v>9.85</v>
      </c>
      <c r="V1368" s="3" t="n">
        <v>9.816000000000001</v>
      </c>
      <c r="W1368" s="3" t="n">
        <v>9.779999999999999</v>
      </c>
      <c r="X1368" s="3" t="n">
        <v>9.74</v>
      </c>
      <c r="Y1368" s="3" t="n">
        <v>9.714</v>
      </c>
      <c r="Z1368" s="3" t="n">
        <v>9.699999999999999</v>
      </c>
      <c r="AA1368" s="3" t="n">
        <v>9.689</v>
      </c>
      <c r="AB1368" s="3" t="n">
        <v>9.651</v>
      </c>
      <c r="AC1368" s="3" t="n">
        <v>9.609999999999999</v>
      </c>
      <c r="AD1368" s="3" t="n">
        <v>9.6</v>
      </c>
      <c r="AE1368" s="3" t="n">
        <v>9.585000000000001</v>
      </c>
      <c r="AF1368" s="3" t="n">
        <v>9.559958</v>
      </c>
      <c r="AG1368" s="3" t="n">
        <v>9.536314000000001</v>
      </c>
      <c r="AH1368" s="3" t="n">
        <v>9.512979</v>
      </c>
      <c r="AI1368" s="3" t="n">
        <v>9.489084999999999</v>
      </c>
      <c r="AJ1368" s="3" t="n">
        <v>9.46597</v>
      </c>
      <c r="AK1368" s="3" t="n">
        <v>9.442909</v>
      </c>
      <c r="AL1368" s="3" t="n">
        <v>9.420335</v>
      </c>
      <c r="AM1368" s="3" t="n"/>
      <c r="AN1368" s="3" t="n"/>
      <c r="AO1368" s="3" t="n"/>
      <c r="AP1368" s="3" t="n"/>
      <c r="AQ1368" s="3" t="n"/>
      <c r="AR1368" s="3" t="n"/>
      <c r="AS1368" s="3" t="n"/>
      <c r="AT1368" s="3" t="n"/>
      <c r="AU1368" s="3" t="n"/>
    </row>
    <row r="1369">
      <c r="A1369" s="3" t="n">
        <v>2031</v>
      </c>
      <c r="B1369" s="3" t="inlineStr">
        <is>
          <t>HUN</t>
        </is>
      </c>
      <c r="C1369" s="3" t="inlineStr">
        <is>
          <t>IMF.RES:WEO</t>
        </is>
      </c>
      <c r="D1369" s="3" t="inlineStr">
        <is>
          <t>HUN.NGDP.A</t>
        </is>
      </c>
      <c r="E1369" s="3" t="inlineStr">
        <is>
          <t>Hungary</t>
        </is>
      </c>
      <c r="F1369" s="3" t="inlineStr">
        <is>
          <t>Gross domestic product (GDP), Current prices, Domestic currency</t>
        </is>
      </c>
      <c r="G1369" s="3" t="n">
        <v>13340.291</v>
      </c>
      <c r="H1369" s="3" t="n">
        <v>15413.047</v>
      </c>
      <c r="I1369" s="3" t="n">
        <v>17440.962</v>
      </c>
      <c r="J1369" s="3" t="n">
        <v>19108.793</v>
      </c>
      <c r="K1369" s="3" t="n">
        <v>21088.678</v>
      </c>
      <c r="L1369" s="3" t="n">
        <v>22572.429</v>
      </c>
      <c r="M1369" s="3" t="n">
        <v>24321.949</v>
      </c>
      <c r="N1369" s="3" t="n">
        <v>25730.258</v>
      </c>
      <c r="O1369" s="3" t="n">
        <v>27233.189</v>
      </c>
      <c r="P1369" s="3" t="n">
        <v>26467.799</v>
      </c>
      <c r="Q1369" s="3" t="n">
        <v>27427.572</v>
      </c>
      <c r="R1369" s="3" t="n">
        <v>28492.069</v>
      </c>
      <c r="S1369" s="3" t="n">
        <v>28919.192</v>
      </c>
      <c r="T1369" s="3" t="n">
        <v>30343.344</v>
      </c>
      <c r="U1369" s="3" t="n">
        <v>32826.77</v>
      </c>
      <c r="V1369" s="3" t="n">
        <v>34984.756</v>
      </c>
      <c r="W1369" s="3" t="n">
        <v>36311.882</v>
      </c>
      <c r="X1369" s="3" t="n">
        <v>39335.928</v>
      </c>
      <c r="Y1369" s="3" t="n">
        <v>43553.984</v>
      </c>
      <c r="Z1369" s="3" t="n">
        <v>47940.496</v>
      </c>
      <c r="AA1369" s="3" t="n">
        <v>48807.766</v>
      </c>
      <c r="AB1369" s="3" t="n">
        <v>55560.466</v>
      </c>
      <c r="AC1369" s="3" t="n">
        <v>65950.424</v>
      </c>
      <c r="AD1369" s="3" t="n">
        <v>75292.66800000001</v>
      </c>
      <c r="AE1369" s="3" t="n">
        <v>81447.664</v>
      </c>
      <c r="AF1369" s="3" t="n">
        <v>86445.166671</v>
      </c>
      <c r="AG1369" s="3" t="n">
        <v>90913.944671</v>
      </c>
      <c r="AH1369" s="3" t="n">
        <v>95607.24344999999</v>
      </c>
      <c r="AI1369" s="3" t="n">
        <v>100517.004808</v>
      </c>
      <c r="AJ1369" s="3" t="n">
        <v>105695.243035</v>
      </c>
      <c r="AK1369" s="3" t="n">
        <v>111156.538747</v>
      </c>
      <c r="AL1369" s="3" t="n">
        <v>116825.914498</v>
      </c>
      <c r="AM1369" s="3" t="n"/>
      <c r="AN1369" s="3" t="n"/>
      <c r="AO1369" s="3" t="n"/>
      <c r="AP1369" s="3" t="n"/>
      <c r="AQ1369" s="3" t="n"/>
      <c r="AR1369" s="3" t="n"/>
      <c r="AS1369" s="3" t="n"/>
      <c r="AT1369" s="3" t="n"/>
      <c r="AU1369" s="3" t="n"/>
    </row>
    <row r="1370">
      <c r="A1370" s="3" t="n">
        <v>2031</v>
      </c>
      <c r="B1370" s="3" t="inlineStr">
        <is>
          <t>HUN</t>
        </is>
      </c>
      <c r="C1370" s="3" t="inlineStr">
        <is>
          <t>IMF.RES:WEO</t>
        </is>
      </c>
      <c r="D1370" s="3" t="inlineStr">
        <is>
          <t>HUN.NGDP_D.A</t>
        </is>
      </c>
      <c r="E1370" s="3" t="inlineStr">
        <is>
          <t>Hungary</t>
        </is>
      </c>
      <c r="F1370" s="3" t="inlineStr">
        <is>
          <t>Gross domestic product (GDP), Price deflator, Index</t>
        </is>
      </c>
      <c r="G1370" s="3" t="n">
        <v>39.816491</v>
      </c>
      <c r="H1370" s="3" t="n">
        <v>44.20729</v>
      </c>
      <c r="I1370" s="3" t="n">
        <v>47.764416</v>
      </c>
      <c r="J1370" s="3" t="n">
        <v>50.348862</v>
      </c>
      <c r="K1370" s="3" t="n">
        <v>52.938183</v>
      </c>
      <c r="L1370" s="3" t="n">
        <v>54.326593</v>
      </c>
      <c r="M1370" s="3" t="n">
        <v>56.321627</v>
      </c>
      <c r="N1370" s="3" t="n">
        <v>59.385436</v>
      </c>
      <c r="O1370" s="3" t="n">
        <v>62.235927</v>
      </c>
      <c r="P1370" s="3" t="n">
        <v>64.85834199999999</v>
      </c>
      <c r="Q1370" s="3" t="n">
        <v>66.500044</v>
      </c>
      <c r="R1370" s="3" t="n">
        <v>67.781809</v>
      </c>
      <c r="S1370" s="3" t="n">
        <v>69.73197399999999</v>
      </c>
      <c r="T1370" s="3" t="n">
        <v>71.708744</v>
      </c>
      <c r="U1370" s="3" t="n">
        <v>74.35488100000001</v>
      </c>
      <c r="V1370" s="3" t="n">
        <v>76.44511799999999</v>
      </c>
      <c r="W1370" s="3" t="n">
        <v>77.456141</v>
      </c>
      <c r="X1370" s="3" t="n">
        <v>80.58327</v>
      </c>
      <c r="Y1370" s="3" t="n">
        <v>84.487841</v>
      </c>
      <c r="Z1370" s="3" t="n">
        <v>88.503495</v>
      </c>
      <c r="AA1370" s="3" t="n">
        <v>94.19127400000001</v>
      </c>
      <c r="AB1370" s="3" t="n">
        <v>99.99999800000001</v>
      </c>
      <c r="AC1370" s="3" t="n">
        <v>113.967893</v>
      </c>
      <c r="AD1370" s="3" t="n">
        <v>131.18399</v>
      </c>
      <c r="AE1370" s="3" t="n">
        <v>141.117546</v>
      </c>
      <c r="AF1370" s="3" t="n">
        <v>149.165982</v>
      </c>
      <c r="AG1370" s="3" t="n">
        <v>154.312208</v>
      </c>
      <c r="AH1370" s="3" t="n">
        <v>159.018731</v>
      </c>
      <c r="AI1370" s="3" t="n">
        <v>163.477152</v>
      </c>
      <c r="AJ1370" s="3" t="n">
        <v>167.688548</v>
      </c>
      <c r="AK1370" s="3" t="n">
        <v>172.033656</v>
      </c>
      <c r="AL1370" s="3" t="n">
        <v>176.379471</v>
      </c>
      <c r="AM1370" s="3" t="n"/>
      <c r="AN1370" s="3" t="n"/>
      <c r="AO1370" s="3" t="n"/>
      <c r="AP1370" s="3" t="n"/>
      <c r="AQ1370" s="3" t="n"/>
      <c r="AR1370" s="3" t="n"/>
      <c r="AS1370" s="3" t="n"/>
      <c r="AT1370" s="3" t="n"/>
      <c r="AU1370" s="3" t="n"/>
    </row>
    <row r="1371">
      <c r="A1371" s="3" t="n">
        <v>2031</v>
      </c>
      <c r="B1371" s="3" t="inlineStr">
        <is>
          <t>HUN</t>
        </is>
      </c>
      <c r="C1371" s="3" t="inlineStr">
        <is>
          <t>IMF.RES:WEO</t>
        </is>
      </c>
      <c r="D1371" s="3" t="inlineStr">
        <is>
          <t>HUN.NGDP_R.A</t>
        </is>
      </c>
      <c r="E1371" s="3" t="inlineStr">
        <is>
          <t>Hungary</t>
        </is>
      </c>
      <c r="F1371" s="3" t="inlineStr">
        <is>
          <t>Gross domestic product (GDP), Constant prices, Domestic currency</t>
        </is>
      </c>
      <c r="G1371" s="3" t="n">
        <v>33504.437</v>
      </c>
      <c r="H1371" s="3" t="n">
        <v>34865.397</v>
      </c>
      <c r="I1371" s="3" t="n">
        <v>36514.551</v>
      </c>
      <c r="J1371" s="3" t="n">
        <v>37952.78</v>
      </c>
      <c r="K1371" s="3" t="n">
        <v>39836.422</v>
      </c>
      <c r="L1371" s="3" t="n">
        <v>41549.502</v>
      </c>
      <c r="M1371" s="3" t="n">
        <v>43184.031</v>
      </c>
      <c r="N1371" s="3" t="n">
        <v>43327.556</v>
      </c>
      <c r="O1371" s="3" t="n">
        <v>43757.987</v>
      </c>
      <c r="P1371" s="3" t="n">
        <v>40808.627</v>
      </c>
      <c r="Q1371" s="3" t="n">
        <v>41244.442</v>
      </c>
      <c r="R1371" s="3" t="n">
        <v>42034.979</v>
      </c>
      <c r="S1371" s="3" t="n">
        <v>41471.925</v>
      </c>
      <c r="T1371" s="3" t="n">
        <v>42314.706</v>
      </c>
      <c r="U1371" s="3" t="n">
        <v>44148.776</v>
      </c>
      <c r="V1371" s="3" t="n">
        <v>45764.539</v>
      </c>
      <c r="W1371" s="3" t="n">
        <v>46880.572</v>
      </c>
      <c r="X1371" s="3" t="n">
        <v>48814.013</v>
      </c>
      <c r="Y1371" s="3" t="n">
        <v>51550.594</v>
      </c>
      <c r="Z1371" s="3" t="n">
        <v>54167.913</v>
      </c>
      <c r="AA1371" s="3" t="n">
        <v>51817.715</v>
      </c>
      <c r="AB1371" s="3" t="n">
        <v>55560.467</v>
      </c>
      <c r="AC1371" s="3" t="n">
        <v>57867.547</v>
      </c>
      <c r="AD1371" s="3" t="n">
        <v>57394.708</v>
      </c>
      <c r="AE1371" s="3" t="n">
        <v>57716.185</v>
      </c>
      <c r="AF1371" s="3" t="n">
        <v>57952.333</v>
      </c>
      <c r="AG1371" s="3" t="n">
        <v>58915.587797</v>
      </c>
      <c r="AH1371" s="3" t="n">
        <v>60123.259029</v>
      </c>
      <c r="AI1371" s="3" t="n">
        <v>61486.882926</v>
      </c>
      <c r="AJ1371" s="3" t="n">
        <v>63030.68636</v>
      </c>
      <c r="AK1371" s="3" t="n">
        <v>64613.251378</v>
      </c>
      <c r="AL1371" s="3" t="n">
        <v>66235.551202</v>
      </c>
      <c r="AM1371" s="3" t="n"/>
      <c r="AN1371" s="3" t="n"/>
      <c r="AO1371" s="3" t="n"/>
      <c r="AP1371" s="3" t="n"/>
      <c r="AQ1371" s="3" t="n"/>
      <c r="AR1371" s="3" t="n"/>
      <c r="AS1371" s="3" t="n"/>
      <c r="AT1371" s="3" t="n"/>
      <c r="AU1371" s="3" t="n"/>
    </row>
    <row r="1372">
      <c r="A1372" s="3" t="n">
        <v>2031</v>
      </c>
      <c r="B1372" s="3" t="inlineStr">
        <is>
          <t>HUN</t>
        </is>
      </c>
      <c r="C1372" s="3" t="inlineStr">
        <is>
          <t>IMF.RES:WEO</t>
        </is>
      </c>
      <c r="D1372" s="3" t="inlineStr">
        <is>
          <t>HUN.NGDP_RPCH.A</t>
        </is>
      </c>
      <c r="E1372" s="3" t="inlineStr">
        <is>
          <t>Hungary</t>
        </is>
      </c>
      <c r="F1372" s="3" t="inlineStr">
        <is>
          <t>Gross domestic product (GDP), Constant prices, Percent change</t>
        </is>
      </c>
      <c r="G1372" s="3" t="n">
        <v>4.409375</v>
      </c>
      <c r="H1372" s="3" t="n">
        <v>4.062029</v>
      </c>
      <c r="I1372" s="3" t="n">
        <v>4.730059</v>
      </c>
      <c r="J1372" s="3" t="n">
        <v>3.938783</v>
      </c>
      <c r="K1372" s="3" t="n">
        <v>4.96312</v>
      </c>
      <c r="L1372" s="3" t="n">
        <v>4.300286</v>
      </c>
      <c r="M1372" s="3" t="n">
        <v>3.933932</v>
      </c>
      <c r="N1372" s="3" t="n">
        <v>0.332357</v>
      </c>
      <c r="O1372" s="3" t="n">
        <v>0.993435</v>
      </c>
      <c r="P1372" s="3" t="n">
        <v>-6.740164</v>
      </c>
      <c r="Q1372" s="3" t="n">
        <v>1.067948</v>
      </c>
      <c r="R1372" s="3" t="n">
        <v>1.916712</v>
      </c>
      <c r="S1372" s="3" t="n">
        <v>-1.339489</v>
      </c>
      <c r="T1372" s="3" t="n">
        <v>2.032172</v>
      </c>
      <c r="U1372" s="3" t="n">
        <v>4.334356</v>
      </c>
      <c r="V1372" s="3" t="n">
        <v>3.659814</v>
      </c>
      <c r="W1372" s="3" t="n">
        <v>2.438641</v>
      </c>
      <c r="X1372" s="3" t="n">
        <v>4.124184</v>
      </c>
      <c r="Y1372" s="3" t="n">
        <v>5.606138</v>
      </c>
      <c r="Z1372" s="3" t="n">
        <v>5.077185</v>
      </c>
      <c r="AA1372" s="3" t="n">
        <v>-4.338727</v>
      </c>
      <c r="AB1372" s="3" t="n">
        <v>7.22292</v>
      </c>
      <c r="AC1372" s="3" t="n">
        <v>4.152377</v>
      </c>
      <c r="AD1372" s="3" t="n">
        <v>-0.817106</v>
      </c>
      <c r="AE1372" s="3" t="n">
        <v>0.5601159999999999</v>
      </c>
      <c r="AF1372" s="3" t="n">
        <v>0.409154</v>
      </c>
      <c r="AG1372" s="3" t="n">
        <v>1.66215</v>
      </c>
      <c r="AH1372" s="3" t="n">
        <v>2.049833</v>
      </c>
      <c r="AI1372" s="3" t="n">
        <v>2.268047</v>
      </c>
      <c r="AJ1372" s="3" t="n">
        <v>2.510785</v>
      </c>
      <c r="AK1372" s="3" t="n">
        <v>2.510785</v>
      </c>
      <c r="AL1372" s="3" t="n">
        <v>2.510785</v>
      </c>
      <c r="AM1372" s="3" t="n"/>
      <c r="AN1372" s="3" t="n"/>
      <c r="AO1372" s="3" t="n"/>
      <c r="AP1372" s="3" t="n"/>
      <c r="AQ1372" s="3" t="n"/>
      <c r="AR1372" s="3" t="n"/>
      <c r="AS1372" s="3" t="n"/>
      <c r="AT1372" s="3" t="n"/>
      <c r="AU1372" s="3" t="n"/>
    </row>
    <row r="1373">
      <c r="A1373" s="3" t="n">
        <v>2031</v>
      </c>
      <c r="B1373" s="3" t="inlineStr">
        <is>
          <t>HUN</t>
        </is>
      </c>
      <c r="C1373" s="3" t="inlineStr">
        <is>
          <t>IMF.RES:WEO</t>
        </is>
      </c>
      <c r="D1373" s="3" t="inlineStr">
        <is>
          <t>HUN.NGDPD.A</t>
        </is>
      </c>
      <c r="E1373" s="3" t="inlineStr">
        <is>
          <t>Hungary</t>
        </is>
      </c>
      <c r="F1373" s="3" t="inlineStr">
        <is>
          <t>Gross domestic product (GDP), Current prices, US dollar</t>
        </is>
      </c>
      <c r="G1373" s="3" t="n">
        <v>47.27596</v>
      </c>
      <c r="H1373" s="3" t="n">
        <v>53.800068</v>
      </c>
      <c r="I1373" s="3" t="n">
        <v>67.636456</v>
      </c>
      <c r="J1373" s="3" t="n">
        <v>85.190482</v>
      </c>
      <c r="K1373" s="3" t="n">
        <v>104.015346</v>
      </c>
      <c r="L1373" s="3" t="n">
        <v>113.098238</v>
      </c>
      <c r="M1373" s="3" t="n">
        <v>115.604111</v>
      </c>
      <c r="N1373" s="3" t="n">
        <v>140.123301</v>
      </c>
      <c r="O1373" s="3" t="n">
        <v>158.228235</v>
      </c>
      <c r="P1373" s="3" t="n">
        <v>130.807458</v>
      </c>
      <c r="Q1373" s="3" t="n">
        <v>131.898732</v>
      </c>
      <c r="R1373" s="3" t="n">
        <v>141.71281</v>
      </c>
      <c r="S1373" s="3" t="n">
        <v>128.470265</v>
      </c>
      <c r="T1373" s="3" t="n">
        <v>135.646054</v>
      </c>
      <c r="U1373" s="3" t="n">
        <v>141.128696</v>
      </c>
      <c r="V1373" s="3" t="n">
        <v>125.24413</v>
      </c>
      <c r="W1373" s="3" t="n">
        <v>128.983561</v>
      </c>
      <c r="X1373" s="3" t="n">
        <v>143.335095</v>
      </c>
      <c r="Y1373" s="3" t="n">
        <v>161.184691</v>
      </c>
      <c r="Z1373" s="3" t="n">
        <v>164.926752</v>
      </c>
      <c r="AA1373" s="3" t="n">
        <v>158.468488</v>
      </c>
      <c r="AB1373" s="3" t="n">
        <v>183.282685</v>
      </c>
      <c r="AC1373" s="3" t="n">
        <v>177.784186</v>
      </c>
      <c r="AD1373" s="3" t="n">
        <v>213.31534</v>
      </c>
      <c r="AE1373" s="3" t="n">
        <v>222.87814</v>
      </c>
      <c r="AF1373" s="3" t="n">
        <v>246.891456</v>
      </c>
      <c r="AG1373" s="3" t="n">
        <v>271.121895</v>
      </c>
      <c r="AH1373" s="3" t="n">
        <v>284.461834</v>
      </c>
      <c r="AI1373" s="3" t="n">
        <v>298.261401</v>
      </c>
      <c r="AJ1373" s="3" t="n">
        <v>313.46041</v>
      </c>
      <c r="AK1373" s="3" t="n">
        <v>329.605397</v>
      </c>
      <c r="AL1373" s="3" t="n">
        <v>346.359376</v>
      </c>
      <c r="AM1373" s="3" t="n"/>
      <c r="AN1373" s="3" t="n"/>
      <c r="AO1373" s="3" t="n"/>
      <c r="AP1373" s="3" t="n"/>
      <c r="AQ1373" s="3" t="n"/>
      <c r="AR1373" s="3" t="n"/>
      <c r="AS1373" s="3" t="n"/>
      <c r="AT1373" s="3" t="n"/>
      <c r="AU1373" s="3" t="n"/>
    </row>
    <row r="1374">
      <c r="A1374" s="3" t="n">
        <v>2031</v>
      </c>
      <c r="B1374" s="3" t="inlineStr">
        <is>
          <t>HUN</t>
        </is>
      </c>
      <c r="C1374" s="3" t="inlineStr">
        <is>
          <t>IMF.RES:WEO</t>
        </is>
      </c>
      <c r="D1374" s="3" t="inlineStr">
        <is>
          <t>HUN.NGDPPC.A</t>
        </is>
      </c>
      <c r="E1374" s="3" t="inlineStr">
        <is>
          <t>Hungary</t>
        </is>
      </c>
      <c r="F1374" s="3" t="inlineStr">
        <is>
          <t>Gross domestic product (GDP), Current prices, Per capita, Domestic currency</t>
        </is>
      </c>
      <c r="G1374" s="3" t="n">
        <v>1305056.838192</v>
      </c>
      <c r="H1374" s="3" t="n">
        <v>1511083.039216</v>
      </c>
      <c r="I1374" s="3" t="n">
        <v>1714099.459459</v>
      </c>
      <c r="J1374" s="3" t="n">
        <v>1884124.72885</v>
      </c>
      <c r="K1374" s="3" t="n">
        <v>2084479.391124</v>
      </c>
      <c r="L1374" s="3" t="n">
        <v>2235336.601307</v>
      </c>
      <c r="M1374" s="3" t="n">
        <v>2413610.102213</v>
      </c>
      <c r="N1374" s="3" t="n">
        <v>2556155.175839</v>
      </c>
      <c r="O1374" s="3" t="n">
        <v>2711118.865107</v>
      </c>
      <c r="P1374" s="3" t="n">
        <v>2638600.239258</v>
      </c>
      <c r="Q1374" s="3" t="n">
        <v>2738922.708209</v>
      </c>
      <c r="R1374" s="3" t="n">
        <v>2853201.381935</v>
      </c>
      <c r="S1374" s="3" t="n">
        <v>2911718.888441</v>
      </c>
      <c r="T1374" s="3" t="n">
        <v>3066532.996463</v>
      </c>
      <c r="U1374" s="3" t="n">
        <v>3332667.005076</v>
      </c>
      <c r="V1374" s="3" t="n">
        <v>3564054.197229</v>
      </c>
      <c r="W1374" s="3" t="n">
        <v>3712871.370143</v>
      </c>
      <c r="X1374" s="3" t="n">
        <v>4038596.303901</v>
      </c>
      <c r="Y1374" s="3" t="n">
        <v>4483630.224418</v>
      </c>
      <c r="Z1374" s="3" t="n">
        <v>4942319.175258</v>
      </c>
      <c r="AA1374" s="3" t="n">
        <v>5037441.015585</v>
      </c>
      <c r="AB1374" s="3" t="n">
        <v>5756964.666874</v>
      </c>
      <c r="AC1374" s="3" t="n">
        <v>6862687.200832</v>
      </c>
      <c r="AD1374" s="3" t="n">
        <v>7842986.25</v>
      </c>
      <c r="AE1374" s="3" t="n">
        <v>8497408.868023001</v>
      </c>
      <c r="AF1374" s="3" t="n">
        <v>9042420.836657001</v>
      </c>
      <c r="AG1374" s="3" t="n">
        <v>9533446.750921</v>
      </c>
      <c r="AH1374" s="3" t="n">
        <v>10050190.193009</v>
      </c>
      <c r="AI1374" s="3" t="n">
        <v>10592908.388212</v>
      </c>
      <c r="AJ1374" s="3" t="n">
        <v>11165812.241919</v>
      </c>
      <c r="AK1374" s="3" t="n">
        <v>11771429.980996</v>
      </c>
      <c r="AL1374" s="3" t="n">
        <v>12401460.514065</v>
      </c>
      <c r="AM1374" s="3" t="n"/>
      <c r="AN1374" s="3" t="n"/>
      <c r="AO1374" s="3" t="n"/>
      <c r="AP1374" s="3" t="n"/>
      <c r="AQ1374" s="3" t="n"/>
      <c r="AR1374" s="3" t="n"/>
      <c r="AS1374" s="3" t="n"/>
      <c r="AT1374" s="3" t="n"/>
      <c r="AU1374" s="3" t="n"/>
    </row>
    <row r="1375">
      <c r="A1375" s="3" t="n">
        <v>2031</v>
      </c>
      <c r="B1375" s="3" t="inlineStr">
        <is>
          <t>HUN</t>
        </is>
      </c>
      <c r="C1375" s="3" t="inlineStr">
        <is>
          <t>IMF.RES:WEO</t>
        </is>
      </c>
      <c r="D1375" s="3" t="inlineStr">
        <is>
          <t>HUN.NGDPRPC.A</t>
        </is>
      </c>
      <c r="E1375" s="3" t="inlineStr">
        <is>
          <t>Hungary</t>
        </is>
      </c>
      <c r="F1375" s="3" t="inlineStr">
        <is>
          <t>Gross domestic product (GDP), Constant prices, Per capita, Domestic currency</t>
        </is>
      </c>
      <c r="G1375" s="3" t="n">
        <v>3277679.221287</v>
      </c>
      <c r="H1375" s="3" t="n">
        <v>3418176.176471</v>
      </c>
      <c r="I1375" s="3" t="n">
        <v>3588653.660934</v>
      </c>
      <c r="J1375" s="3" t="n">
        <v>3742139.617432</v>
      </c>
      <c r="K1375" s="3" t="n">
        <v>3937572.600573</v>
      </c>
      <c r="L1375" s="3" t="n">
        <v>4114626.856803</v>
      </c>
      <c r="M1375" s="3" t="n">
        <v>4285405.477821</v>
      </c>
      <c r="N1375" s="3" t="n">
        <v>4304346.910391</v>
      </c>
      <c r="O1375" s="3" t="n">
        <v>4356195.818815</v>
      </c>
      <c r="P1375" s="3" t="n">
        <v>4068251.121523</v>
      </c>
      <c r="Q1375" s="3" t="n">
        <v>4118678.050729</v>
      </c>
      <c r="R1375" s="3" t="n">
        <v>4209391.047466</v>
      </c>
      <c r="S1375" s="3" t="n">
        <v>4175586.488119</v>
      </c>
      <c r="T1375" s="3" t="n">
        <v>4276372.511369</v>
      </c>
      <c r="U1375" s="3" t="n">
        <v>4482109.238579</v>
      </c>
      <c r="V1375" s="3" t="n">
        <v>4662239.09943</v>
      </c>
      <c r="W1375" s="3" t="n">
        <v>4793514.519427</v>
      </c>
      <c r="X1375" s="3" t="n">
        <v>5011705.646817</v>
      </c>
      <c r="Y1375" s="3" t="n">
        <v>5306834.877496</v>
      </c>
      <c r="Z1375" s="3" t="n">
        <v>5584320.927835</v>
      </c>
      <c r="AA1375" s="3" t="n">
        <v>5348097.326866</v>
      </c>
      <c r="AB1375" s="3" t="n">
        <v>5756964.77049</v>
      </c>
      <c r="AC1375" s="3" t="n">
        <v>6021596.98231</v>
      </c>
      <c r="AD1375" s="3" t="n">
        <v>5978615.416667</v>
      </c>
      <c r="AE1375" s="3" t="n">
        <v>6021511.215441</v>
      </c>
      <c r="AF1375" s="3" t="n">
        <v>6061985.922812</v>
      </c>
      <c r="AG1375" s="3" t="n">
        <v>6178024.956377</v>
      </c>
      <c r="AH1375" s="3" t="n">
        <v>6320129.798358</v>
      </c>
      <c r="AI1375" s="3" t="n">
        <v>6479748.567485</v>
      </c>
      <c r="AJ1375" s="3" t="n">
        <v>6658661.157916</v>
      </c>
      <c r="AK1375" s="3" t="n">
        <v>6842515.726172</v>
      </c>
      <c r="AL1375" s="3" t="n">
        <v>7031124.698581</v>
      </c>
      <c r="AM1375" s="3" t="n"/>
      <c r="AN1375" s="3" t="n"/>
      <c r="AO1375" s="3" t="n"/>
      <c r="AP1375" s="3" t="n"/>
      <c r="AQ1375" s="3" t="n"/>
      <c r="AR1375" s="3" t="n"/>
      <c r="AS1375" s="3" t="n"/>
      <c r="AT1375" s="3" t="n"/>
      <c r="AU1375" s="3" t="n"/>
    </row>
    <row r="1376">
      <c r="A1376" s="3" t="n">
        <v>2031</v>
      </c>
      <c r="B1376" s="3" t="inlineStr">
        <is>
          <t>HUN</t>
        </is>
      </c>
      <c r="C1376" s="3" t="inlineStr">
        <is>
          <t>IMF.RES:WEO</t>
        </is>
      </c>
      <c r="D1376" s="3" t="inlineStr">
        <is>
          <t>HUN.PCPI.A</t>
        </is>
      </c>
      <c r="E1376" s="3" t="inlineStr">
        <is>
          <t>Hungary</t>
        </is>
      </c>
      <c r="F1376" s="3" t="inlineStr">
        <is>
          <t>All Items, Consumer price index (CPI), Period average</t>
        </is>
      </c>
      <c r="G1376" s="3" t="n">
        <v>57.864414</v>
      </c>
      <c r="H1376" s="3" t="n">
        <v>63.159864</v>
      </c>
      <c r="I1376" s="3" t="n">
        <v>66.482936</v>
      </c>
      <c r="J1376" s="3" t="n">
        <v>69.584431</v>
      </c>
      <c r="K1376" s="3" t="n">
        <v>74.281721</v>
      </c>
      <c r="L1376" s="3" t="n">
        <v>76.92797899999999</v>
      </c>
      <c r="M1376" s="3" t="n">
        <v>79.931588</v>
      </c>
      <c r="N1376" s="3" t="n">
        <v>86.287756</v>
      </c>
      <c r="O1376" s="3" t="n">
        <v>91.512925</v>
      </c>
      <c r="P1376" s="3" t="n">
        <v>95.35468</v>
      </c>
      <c r="Q1376" s="3" t="n">
        <v>100</v>
      </c>
      <c r="R1376" s="3" t="n">
        <v>103.928749</v>
      </c>
      <c r="S1376" s="3" t="n">
        <v>109.812239</v>
      </c>
      <c r="T1376" s="3" t="n">
        <v>111.693435</v>
      </c>
      <c r="U1376" s="3" t="n">
        <v>111.437491</v>
      </c>
      <c r="V1376" s="3" t="n">
        <v>111.363522</v>
      </c>
      <c r="W1376" s="3" t="n">
        <v>111.806191</v>
      </c>
      <c r="X1376" s="3" t="n">
        <v>114.437763</v>
      </c>
      <c r="Y1376" s="3" t="n">
        <v>117.686665</v>
      </c>
      <c r="Z1376" s="3" t="n">
        <v>121.655664</v>
      </c>
      <c r="AA1376" s="3" t="n">
        <v>125.675847</v>
      </c>
      <c r="AB1376" s="3" t="n">
        <v>132.092212</v>
      </c>
      <c r="AC1376" s="3" t="n">
        <v>151.404448</v>
      </c>
      <c r="AD1376" s="3" t="n">
        <v>177.354739</v>
      </c>
      <c r="AE1376" s="3" t="n">
        <v>183.929817</v>
      </c>
      <c r="AF1376" s="3" t="n">
        <v>192.088525</v>
      </c>
      <c r="AG1376" s="3" t="n">
        <v>199.296862</v>
      </c>
      <c r="AH1376" s="3" t="n">
        <v>206.207047</v>
      </c>
      <c r="AI1376" s="3" t="n">
        <v>212.526598</v>
      </c>
      <c r="AJ1376" s="3" t="n">
        <v>218.866606</v>
      </c>
      <c r="AK1376" s="3" t="n">
        <v>225.422997</v>
      </c>
      <c r="AL1376" s="3" t="n">
        <v>232.206875</v>
      </c>
      <c r="AM1376" s="3" t="n"/>
      <c r="AN1376" s="3" t="n"/>
      <c r="AO1376" s="3" t="n"/>
      <c r="AP1376" s="3" t="n"/>
      <c r="AQ1376" s="3" t="n"/>
      <c r="AR1376" s="3" t="n"/>
      <c r="AS1376" s="3" t="n"/>
      <c r="AT1376" s="3" t="n"/>
      <c r="AU1376" s="3" t="n"/>
    </row>
    <row r="1377">
      <c r="A1377" s="3" t="n">
        <v>2031</v>
      </c>
      <c r="B1377" s="3" t="inlineStr">
        <is>
          <t>HUN</t>
        </is>
      </c>
      <c r="C1377" s="3" t="inlineStr">
        <is>
          <t>IMF.RES:WEO</t>
        </is>
      </c>
      <c r="D1377" s="3" t="inlineStr">
        <is>
          <t>HUN.PCPIPCH.A</t>
        </is>
      </c>
      <c r="E1377" s="3" t="inlineStr">
        <is>
          <t>Hungary</t>
        </is>
      </c>
      <c r="F1377" s="3" t="inlineStr">
        <is>
          <t>All Items, Consumer price index (CPI), Period average, percent change</t>
        </is>
      </c>
      <c r="G1377" s="3" t="n">
        <v>9.787969</v>
      </c>
      <c r="H1377" s="3" t="n">
        <v>9.151479999999999</v>
      </c>
      <c r="I1377" s="3" t="n">
        <v>5.261366</v>
      </c>
      <c r="J1377" s="3" t="n">
        <v>4.6651</v>
      </c>
      <c r="K1377" s="3" t="n">
        <v>6.75049</v>
      </c>
      <c r="L1377" s="3" t="n">
        <v>3.562461</v>
      </c>
      <c r="M1377" s="3" t="n">
        <v>3.904443</v>
      </c>
      <c r="N1377" s="3" t="n">
        <v>7.952011</v>
      </c>
      <c r="O1377" s="3" t="n">
        <v>6.055516</v>
      </c>
      <c r="P1377" s="3" t="n">
        <v>4.198047</v>
      </c>
      <c r="Q1377" s="3" t="n">
        <v>4.871622</v>
      </c>
      <c r="R1377" s="3" t="n">
        <v>3.928749</v>
      </c>
      <c r="S1377" s="3" t="n">
        <v>5.66108</v>
      </c>
      <c r="T1377" s="3" t="n">
        <v>1.713103</v>
      </c>
      <c r="U1377" s="3" t="n">
        <v>-0.229149</v>
      </c>
      <c r="V1377" s="3" t="n">
        <v>-0.06637700000000001</v>
      </c>
      <c r="W1377" s="3" t="n">
        <v>0.397499</v>
      </c>
      <c r="X1377" s="3" t="n">
        <v>2.353691</v>
      </c>
      <c r="Y1377" s="3" t="n">
        <v>2.839012</v>
      </c>
      <c r="Z1377" s="3" t="n">
        <v>3.372514</v>
      </c>
      <c r="AA1377" s="3" t="n">
        <v>3.304559</v>
      </c>
      <c r="AB1377" s="3" t="n">
        <v>5.105488</v>
      </c>
      <c r="AC1377" s="3" t="n">
        <v>14.620268</v>
      </c>
      <c r="AD1377" s="3" t="n">
        <v>17.139715</v>
      </c>
      <c r="AE1377" s="3" t="n">
        <v>3.707303</v>
      </c>
      <c r="AF1377" s="3" t="n">
        <v>4.435773</v>
      </c>
      <c r="AG1377" s="3" t="n">
        <v>3.752612</v>
      </c>
      <c r="AH1377" s="3" t="n">
        <v>3.467282</v>
      </c>
      <c r="AI1377" s="3" t="n">
        <v>3.064663</v>
      </c>
      <c r="AJ1377" s="3" t="n">
        <v>2.98316</v>
      </c>
      <c r="AK1377" s="3" t="n">
        <v>2.99561</v>
      </c>
      <c r="AL1377" s="3" t="n">
        <v>3.0094</v>
      </c>
      <c r="AM1377" s="3" t="n"/>
      <c r="AN1377" s="3" t="n"/>
      <c r="AO1377" s="3" t="n"/>
      <c r="AP1377" s="3" t="n"/>
      <c r="AQ1377" s="3" t="n"/>
      <c r="AR1377" s="3" t="n"/>
      <c r="AS1377" s="3" t="n"/>
      <c r="AT1377" s="3" t="n"/>
      <c r="AU1377" s="3" t="n"/>
    </row>
    <row r="1378">
      <c r="A1378" s="3" t="n">
        <v>2031</v>
      </c>
      <c r="B1378" s="3" t="inlineStr">
        <is>
          <t>HUN</t>
        </is>
      </c>
      <c r="C1378" s="3" t="inlineStr">
        <is>
          <t>IMF.RES:WEO</t>
        </is>
      </c>
      <c r="D1378" s="3" t="inlineStr">
        <is>
          <t>HUN.PPPPC.A</t>
        </is>
      </c>
      <c r="E1378" s="3" t="inlineStr">
        <is>
          <t>Hungary</t>
        </is>
      </c>
      <c r="F1378" s="3" t="inlineStr">
        <is>
          <t>Gross domestic product (GDP), Per capita, purchasing power parity (PPP) international dollar, ICP benchmarks 2017-2021</t>
        </is>
      </c>
      <c r="G1378" s="3" t="n">
        <v>14119.627704</v>
      </c>
      <c r="H1378" s="3" t="n">
        <v>15056.41025</v>
      </c>
      <c r="I1378" s="3" t="n">
        <v>16052.982438</v>
      </c>
      <c r="J1378" s="3" t="n">
        <v>17070.040215</v>
      </c>
      <c r="K1378" s="3" t="n">
        <v>18444.485869</v>
      </c>
      <c r="L1378" s="3" t="n">
        <v>19878.241644</v>
      </c>
      <c r="M1378" s="3" t="n">
        <v>21341.758222</v>
      </c>
      <c r="N1378" s="3" t="n">
        <v>22016.850028</v>
      </c>
      <c r="O1378" s="3" t="n">
        <v>22711.302673</v>
      </c>
      <c r="P1378" s="3" t="n">
        <v>21340.896253</v>
      </c>
      <c r="Q1378" s="3" t="n">
        <v>21868.008484</v>
      </c>
      <c r="R1378" s="3" t="n">
        <v>22810.77538</v>
      </c>
      <c r="S1378" s="3" t="n">
        <v>23048.898115</v>
      </c>
      <c r="T1378" s="3" t="n">
        <v>24006.990928</v>
      </c>
      <c r="U1378" s="3" t="n">
        <v>25600.219528</v>
      </c>
      <c r="V1378" s="3" t="n">
        <v>26876.189282</v>
      </c>
      <c r="W1378" s="3" t="n">
        <v>27895.52126</v>
      </c>
      <c r="X1378" s="3" t="n">
        <v>29687.586985</v>
      </c>
      <c r="Y1378" s="3" t="n">
        <v>32234.892171</v>
      </c>
      <c r="Z1378" s="3" t="n">
        <v>35608.21809</v>
      </c>
      <c r="AA1378" s="3" t="n">
        <v>35515.348023</v>
      </c>
      <c r="AB1378" s="3" t="n">
        <v>39134.22001</v>
      </c>
      <c r="AC1378" s="3" t="n">
        <v>43844.447638</v>
      </c>
      <c r="AD1378" s="3" t="n">
        <v>45142.169958</v>
      </c>
      <c r="AE1378" s="3" t="n">
        <v>46594.77453</v>
      </c>
      <c r="AF1378" s="3" t="n">
        <v>48238.639567</v>
      </c>
      <c r="AG1378" s="3" t="n">
        <v>50570.446328</v>
      </c>
      <c r="AH1378" s="3" t="n">
        <v>52869.670929</v>
      </c>
      <c r="AI1378" s="3" t="n">
        <v>55094.641551</v>
      </c>
      <c r="AJ1378" s="3" t="n">
        <v>57622.553327</v>
      </c>
      <c r="AK1378" s="3" t="n">
        <v>60301.654931</v>
      </c>
      <c r="AL1378" s="3" t="n">
        <v>63082.460283</v>
      </c>
      <c r="AM1378" s="3" t="n"/>
      <c r="AN1378" s="3" t="n"/>
      <c r="AO1378" s="3" t="n"/>
      <c r="AP1378" s="3" t="n"/>
      <c r="AQ1378" s="3" t="n"/>
      <c r="AR1378" s="3" t="n"/>
      <c r="AS1378" s="3" t="n"/>
      <c r="AT1378" s="3" t="n"/>
      <c r="AU1378" s="3" t="n"/>
    </row>
    <row r="1379">
      <c r="A1379" s="3" t="n">
        <v>2025</v>
      </c>
      <c r="B1379" s="3" t="inlineStr">
        <is>
          <t>HUN</t>
        </is>
      </c>
      <c r="C1379" s="3" t="inlineStr">
        <is>
          <t>IMF.STA:ER</t>
        </is>
      </c>
      <c r="D1379" s="3" t="inlineStr">
        <is>
          <t>HUN.XDC_USD.PA_RT.A</t>
        </is>
      </c>
      <c r="E1379" s="3" t="inlineStr">
        <is>
          <t>Hungary</t>
        </is>
      </c>
      <c r="F1379" s="3" t="inlineStr">
        <is>
          <t>Domestic currency per US Dollar</t>
        </is>
      </c>
      <c r="G1379" s="3" t="n">
        <v>282.179166666666</v>
      </c>
      <c r="H1379" s="3" t="n">
        <v>286.49</v>
      </c>
      <c r="I1379" s="3" t="n">
        <v>257.886666666666</v>
      </c>
      <c r="J1379" s="3" t="n">
        <v>224.306666666666</v>
      </c>
      <c r="K1379" s="3" t="n">
        <v>202.745833333333</v>
      </c>
      <c r="L1379" s="3" t="n">
        <v>199.5825</v>
      </c>
      <c r="M1379" s="3" t="n">
        <v>210.39</v>
      </c>
      <c r="N1379" s="3" t="n">
        <v>183.625833333333</v>
      </c>
      <c r="O1379" s="3" t="n">
        <v>172.113333333333</v>
      </c>
      <c r="P1379" s="3" t="n">
        <v>202.341666666666</v>
      </c>
      <c r="Q1379" s="3" t="n">
        <v>207.944166666666</v>
      </c>
      <c r="R1379" s="3" t="n">
        <v>201.055</v>
      </c>
      <c r="S1379" s="3" t="n">
        <v>225.104166666666</v>
      </c>
      <c r="T1379" s="3" t="n">
        <v>223.695</v>
      </c>
      <c r="U1379" s="3" t="n">
        <v>232.601666666666</v>
      </c>
      <c r="V1379" s="3" t="n">
        <v>279.3325</v>
      </c>
      <c r="W1379" s="3" t="n">
        <v>281.523333333333</v>
      </c>
      <c r="X1379" s="3" t="n">
        <v>274.433333333333</v>
      </c>
      <c r="Y1379" s="3" t="n">
        <v>270.211666666666</v>
      </c>
      <c r="Z1379" s="3" t="n">
        <v>290.66</v>
      </c>
      <c r="AA1379" s="3" t="n">
        <v>307.996666666666</v>
      </c>
      <c r="AB1379" s="3" t="n">
        <v>303.140833333333</v>
      </c>
      <c r="AC1379" s="3" t="n">
        <v>372.595833333333</v>
      </c>
      <c r="AD1379" s="3" t="n">
        <v>353.088333333333</v>
      </c>
      <c r="AE1379" s="3" t="n">
        <v>365.690833333333</v>
      </c>
      <c r="AF1379" s="3" t="n">
        <v>353.14</v>
      </c>
      <c r="AG1379" s="3" t="n"/>
      <c r="AH1379" s="3" t="n"/>
      <c r="AI1379" s="3" t="n"/>
      <c r="AJ1379" s="3" t="n"/>
      <c r="AK1379" s="3" t="n"/>
      <c r="AL1379" s="3" t="n"/>
      <c r="AM1379" s="3" t="n"/>
      <c r="AN1379" s="3" t="n"/>
      <c r="AO1379" s="3" t="n"/>
      <c r="AP1379" s="3" t="n"/>
      <c r="AQ1379" s="3" t="n"/>
      <c r="AR1379" s="3" t="n"/>
      <c r="AS1379" s="3" t="n"/>
      <c r="AT1379" s="3" t="n"/>
      <c r="AU1379" s="3" t="n"/>
    </row>
    <row r="1380">
      <c r="A1380" s="3" t="n">
        <v>2031</v>
      </c>
      <c r="B1380" s="3" t="inlineStr">
        <is>
          <t>IDN</t>
        </is>
      </c>
      <c r="C1380" s="3" t="inlineStr">
        <is>
          <t>IMF.RES:WEO</t>
        </is>
      </c>
      <c r="D1380" s="3" t="inlineStr">
        <is>
          <t>IDN.BCA.A</t>
        </is>
      </c>
      <c r="E1380" s="3" t="inlineStr">
        <is>
          <t>Indonesia</t>
        </is>
      </c>
      <c r="F1380" s="3" t="inlineStr">
        <is>
          <t>Current account balance (credit less debit), US dollar</t>
        </is>
      </c>
      <c r="G1380" s="3" t="n">
        <v>7.99</v>
      </c>
      <c r="H1380" s="3" t="n">
        <v>6.9</v>
      </c>
      <c r="I1380" s="3" t="n">
        <v>7.822</v>
      </c>
      <c r="J1380" s="3" t="n">
        <v>8.106999999999999</v>
      </c>
      <c r="K1380" s="3" t="n">
        <v>5.258</v>
      </c>
      <c r="L1380" s="3" t="n">
        <v>1.59506</v>
      </c>
      <c r="M1380" s="3" t="n">
        <v>9.54218</v>
      </c>
      <c r="N1380" s="3" t="n">
        <v>6.79537</v>
      </c>
      <c r="O1380" s="3" t="n">
        <v>0.125583</v>
      </c>
      <c r="P1380" s="3" t="n">
        <v>10.628492</v>
      </c>
      <c r="Q1380" s="3" t="n">
        <v>5.302986</v>
      </c>
      <c r="R1380" s="3" t="n">
        <v>1.685076</v>
      </c>
      <c r="S1380" s="3" t="n">
        <v>-24.418051</v>
      </c>
      <c r="T1380" s="3" t="n">
        <v>-29.109458</v>
      </c>
      <c r="U1380" s="3" t="n">
        <v>-28.02467</v>
      </c>
      <c r="V1380" s="3" t="n">
        <v>-17.51844</v>
      </c>
      <c r="W1380" s="3" t="n">
        <v>-16.953438</v>
      </c>
      <c r="X1380" s="3" t="n">
        <v>-16.19634</v>
      </c>
      <c r="Y1380" s="3" t="n">
        <v>-30.63349</v>
      </c>
      <c r="Z1380" s="3" t="n">
        <v>-30.27909</v>
      </c>
      <c r="AA1380" s="3" t="n">
        <v>-4.43331</v>
      </c>
      <c r="AB1380" s="3" t="n">
        <v>3.51076</v>
      </c>
      <c r="AC1380" s="3" t="n">
        <v>13.215135</v>
      </c>
      <c r="AD1380" s="3" t="n">
        <v>-2.041662</v>
      </c>
      <c r="AE1380" s="3" t="n">
        <v>-8.583500000000001</v>
      </c>
      <c r="AF1380" s="3" t="n">
        <v>-1.45375</v>
      </c>
      <c r="AG1380" s="3" t="n">
        <v>-16.32812</v>
      </c>
      <c r="AH1380" s="3" t="n">
        <v>-15.099263</v>
      </c>
      <c r="AI1380" s="3" t="n">
        <v>-13.88042</v>
      </c>
      <c r="AJ1380" s="3" t="n">
        <v>-15.148257</v>
      </c>
      <c r="AK1380" s="3" t="n">
        <v>-16.132842</v>
      </c>
      <c r="AL1380" s="3" t="n">
        <v>-17.602015</v>
      </c>
      <c r="AM1380" s="3" t="n"/>
      <c r="AN1380" s="3" t="n"/>
      <c r="AO1380" s="3" t="n"/>
      <c r="AP1380" s="3" t="n"/>
      <c r="AQ1380" s="3" t="n"/>
      <c r="AR1380" s="3" t="n"/>
      <c r="AS1380" s="3" t="n"/>
      <c r="AT1380" s="3" t="n"/>
      <c r="AU1380" s="3" t="n"/>
    </row>
    <row r="1381">
      <c r="A1381" s="3" t="n">
        <v>2031</v>
      </c>
      <c r="B1381" s="3" t="inlineStr">
        <is>
          <t>IDN</t>
        </is>
      </c>
      <c r="C1381" s="3" t="inlineStr">
        <is>
          <t>IMF.RES:WEO</t>
        </is>
      </c>
      <c r="D1381" s="3" t="inlineStr">
        <is>
          <t>IDN.BCA_NGDPD.A</t>
        </is>
      </c>
      <c r="E1381" s="3" t="inlineStr">
        <is>
          <t>Indonesia</t>
        </is>
      </c>
      <c r="F1381" s="3" t="inlineStr">
        <is>
          <t>Current account balance (credit less debit), Percent of GDP</t>
        </is>
      </c>
      <c r="G1381" s="3" t="n">
        <v>4.451701</v>
      </c>
      <c r="H1381" s="3" t="n">
        <v>3.953995</v>
      </c>
      <c r="I1381" s="3" t="n">
        <v>3.675639</v>
      </c>
      <c r="J1381" s="3" t="n">
        <v>3.174911</v>
      </c>
      <c r="K1381" s="3" t="n">
        <v>1.882269</v>
      </c>
      <c r="L1381" s="3" t="n">
        <v>0.513014</v>
      </c>
      <c r="M1381" s="3" t="n">
        <v>2.406493</v>
      </c>
      <c r="N1381" s="3" t="n">
        <v>1.44554</v>
      </c>
      <c r="O1381" s="3" t="n">
        <v>0.022494</v>
      </c>
      <c r="P1381" s="3" t="n">
        <v>1.837007</v>
      </c>
      <c r="Q1381" s="3" t="n">
        <v>0.702295</v>
      </c>
      <c r="R1381" s="3" t="n">
        <v>0.188705</v>
      </c>
      <c r="S1381" s="3" t="n">
        <v>-2.660295</v>
      </c>
      <c r="T1381" s="3" t="n">
        <v>-3.189993</v>
      </c>
      <c r="U1381" s="3" t="n">
        <v>-3.145959</v>
      </c>
      <c r="V1381" s="3" t="n">
        <v>-2.035007</v>
      </c>
      <c r="W1381" s="3" t="n">
        <v>-1.819278</v>
      </c>
      <c r="X1381" s="3" t="n">
        <v>-1.594726</v>
      </c>
      <c r="Y1381" s="3" t="n">
        <v>-2.939108</v>
      </c>
      <c r="Z1381" s="3" t="n">
        <v>-2.705665</v>
      </c>
      <c r="AA1381" s="3" t="n">
        <v>-0.41861</v>
      </c>
      <c r="AB1381" s="3" t="n">
        <v>0.29589</v>
      </c>
      <c r="AC1381" s="3" t="n">
        <v>1.001829</v>
      </c>
      <c r="AD1381" s="3" t="n">
        <v>-0.1489</v>
      </c>
      <c r="AE1381" s="3" t="n">
        <v>-0.614731</v>
      </c>
      <c r="AF1381" s="3" t="n">
        <v>-0.100561</v>
      </c>
      <c r="AG1381" s="3" t="n">
        <v>-1.060356</v>
      </c>
      <c r="AH1381" s="3" t="n">
        <v>-0.909873</v>
      </c>
      <c r="AI1381" s="3" t="n">
        <v>-0.775416</v>
      </c>
      <c r="AJ1381" s="3" t="n">
        <v>-0.784832</v>
      </c>
      <c r="AK1381" s="3" t="n">
        <v>-0.774906</v>
      </c>
      <c r="AL1381" s="3" t="n">
        <v>-0.783771</v>
      </c>
      <c r="AM1381" s="3" t="n"/>
      <c r="AN1381" s="3" t="n"/>
      <c r="AO1381" s="3" t="n"/>
      <c r="AP1381" s="3" t="n"/>
      <c r="AQ1381" s="3" t="n"/>
      <c r="AR1381" s="3" t="n"/>
      <c r="AS1381" s="3" t="n"/>
      <c r="AT1381" s="3" t="n"/>
      <c r="AU1381" s="3" t="n"/>
    </row>
    <row r="1382">
      <c r="A1382" s="3" t="n">
        <v>2031</v>
      </c>
      <c r="B1382" s="3" t="inlineStr">
        <is>
          <t>IDN</t>
        </is>
      </c>
      <c r="C1382" s="3" t="inlineStr">
        <is>
          <t>IMF.RES:WEO</t>
        </is>
      </c>
      <c r="D1382" s="3" t="inlineStr">
        <is>
          <t>IDN.GGR_NGDP.A</t>
        </is>
      </c>
      <c r="E1382" s="3" t="inlineStr">
        <is>
          <t>Indonesia</t>
        </is>
      </c>
      <c r="F1382" s="3" t="inlineStr">
        <is>
          <t>Revenue, General government, Percent of GDP</t>
        </is>
      </c>
      <c r="G1382" s="3" t="n">
        <v>13.432873</v>
      </c>
      <c r="H1382" s="3" t="n">
        <v>17.74535</v>
      </c>
      <c r="I1382" s="3" t="n">
        <v>16.352819</v>
      </c>
      <c r="J1382" s="3" t="n">
        <v>17.098734</v>
      </c>
      <c r="K1382" s="3" t="n">
        <v>17.573031</v>
      </c>
      <c r="L1382" s="3" t="n">
        <v>17.859578</v>
      </c>
      <c r="M1382" s="3" t="n">
        <v>18.867516</v>
      </c>
      <c r="N1382" s="3" t="n">
        <v>17.782204</v>
      </c>
      <c r="O1382" s="3" t="n">
        <v>19.448114</v>
      </c>
      <c r="P1382" s="3" t="n">
        <v>15.382278</v>
      </c>
      <c r="Q1382" s="3" t="n">
        <v>15.644107</v>
      </c>
      <c r="R1382" s="3" t="n">
        <v>17.010164</v>
      </c>
      <c r="S1382" s="3" t="n">
        <v>17.249346</v>
      </c>
      <c r="T1382" s="3" t="n">
        <v>16.864417</v>
      </c>
      <c r="U1382" s="3" t="n">
        <v>16.560217</v>
      </c>
      <c r="V1382" s="3" t="n">
        <v>14.87824</v>
      </c>
      <c r="W1382" s="3" t="n">
        <v>14.35953</v>
      </c>
      <c r="X1382" s="3" t="n">
        <v>14.179647</v>
      </c>
      <c r="Y1382" s="3" t="n">
        <v>14.921042</v>
      </c>
      <c r="Z1382" s="3" t="n">
        <v>14.268167</v>
      </c>
      <c r="AA1382" s="3" t="n">
        <v>12.351841</v>
      </c>
      <c r="AB1382" s="3" t="n">
        <v>13.718852</v>
      </c>
      <c r="AC1382" s="3" t="n">
        <v>14.950438</v>
      </c>
      <c r="AD1382" s="3" t="n">
        <v>14.99531</v>
      </c>
      <c r="AE1382" s="3" t="n">
        <v>14.583068</v>
      </c>
      <c r="AF1382" s="3" t="n">
        <v>13.277827</v>
      </c>
      <c r="AG1382" s="3" t="n">
        <v>13.841043</v>
      </c>
      <c r="AH1382" s="3" t="n">
        <v>13.772908</v>
      </c>
      <c r="AI1382" s="3" t="n">
        <v>13.863168</v>
      </c>
      <c r="AJ1382" s="3" t="n">
        <v>14.003801</v>
      </c>
      <c r="AK1382" s="3" t="n">
        <v>14.128159</v>
      </c>
      <c r="AL1382" s="3" t="n">
        <v>14.23058</v>
      </c>
      <c r="AM1382" s="3" t="n"/>
      <c r="AN1382" s="3" t="n"/>
      <c r="AO1382" s="3" t="n"/>
      <c r="AP1382" s="3" t="n"/>
      <c r="AQ1382" s="3" t="n"/>
      <c r="AR1382" s="3" t="n"/>
      <c r="AS1382" s="3" t="n"/>
      <c r="AT1382" s="3" t="n"/>
      <c r="AU1382" s="3" t="n"/>
    </row>
    <row r="1383">
      <c r="A1383" s="3" t="n">
        <v>2031</v>
      </c>
      <c r="B1383" s="3" t="inlineStr">
        <is>
          <t>IDN</t>
        </is>
      </c>
      <c r="C1383" s="3" t="inlineStr">
        <is>
          <t>IMF.RES:WEO</t>
        </is>
      </c>
      <c r="D1383" s="3" t="inlineStr">
        <is>
          <t>IDN.GGX_NGDP.A</t>
        </is>
      </c>
      <c r="E1383" s="3" t="inlineStr">
        <is>
          <t>Indonesia</t>
        </is>
      </c>
      <c r="F1383" s="3" t="inlineStr">
        <is>
          <t>Expenditure, General government, Percent of GDP</t>
        </is>
      </c>
      <c r="G1383" s="3" t="n">
        <v>15.302871</v>
      </c>
      <c r="H1383" s="3" t="n">
        <v>19.508748</v>
      </c>
      <c r="I1383" s="3" t="n">
        <v>16.928898</v>
      </c>
      <c r="J1383" s="3" t="n">
        <v>18.176003</v>
      </c>
      <c r="K1383" s="3" t="n">
        <v>17.833225</v>
      </c>
      <c r="L1383" s="3" t="n">
        <v>17.397795</v>
      </c>
      <c r="M1383" s="3" t="n">
        <v>18.416573</v>
      </c>
      <c r="N1383" s="3" t="n">
        <v>18.734886</v>
      </c>
      <c r="O1383" s="3" t="n">
        <v>19.394001</v>
      </c>
      <c r="P1383" s="3" t="n">
        <v>17.026653</v>
      </c>
      <c r="Q1383" s="3" t="n">
        <v>16.886547</v>
      </c>
      <c r="R1383" s="3" t="n">
        <v>17.713702</v>
      </c>
      <c r="S1383" s="3" t="n">
        <v>18.835804</v>
      </c>
      <c r="T1383" s="3" t="n">
        <v>18.819985</v>
      </c>
      <c r="U1383" s="3" t="n">
        <v>18.364756</v>
      </c>
      <c r="V1383" s="3" t="n">
        <v>17.602162</v>
      </c>
      <c r="W1383" s="3" t="n">
        <v>16.920493</v>
      </c>
      <c r="X1383" s="3" t="n">
        <v>16.443623</v>
      </c>
      <c r="Y1383" s="3" t="n">
        <v>16.611102</v>
      </c>
      <c r="Z1383" s="3" t="n">
        <v>16.358791</v>
      </c>
      <c r="AA1383" s="3" t="n">
        <v>18.4267</v>
      </c>
      <c r="AB1383" s="3" t="n">
        <v>18.123704</v>
      </c>
      <c r="AC1383" s="3" t="n">
        <v>17.257502</v>
      </c>
      <c r="AD1383" s="3" t="n">
        <v>16.637109</v>
      </c>
      <c r="AE1383" s="3" t="n">
        <v>16.866213</v>
      </c>
      <c r="AF1383" s="3" t="n">
        <v>16.194522</v>
      </c>
      <c r="AG1383" s="3" t="n">
        <v>16.780535</v>
      </c>
      <c r="AH1383" s="3" t="n">
        <v>16.70786</v>
      </c>
      <c r="AI1383" s="3" t="n">
        <v>16.768956</v>
      </c>
      <c r="AJ1383" s="3" t="n">
        <v>16.880883</v>
      </c>
      <c r="AK1383" s="3" t="n">
        <v>16.965694</v>
      </c>
      <c r="AL1383" s="3" t="n">
        <v>17.063253</v>
      </c>
      <c r="AM1383" s="3" t="n"/>
      <c r="AN1383" s="3" t="n"/>
      <c r="AO1383" s="3" t="n"/>
      <c r="AP1383" s="3" t="n"/>
      <c r="AQ1383" s="3" t="n"/>
      <c r="AR1383" s="3" t="n"/>
      <c r="AS1383" s="3" t="n"/>
      <c r="AT1383" s="3" t="n"/>
      <c r="AU1383" s="3" t="n"/>
    </row>
    <row r="1384">
      <c r="A1384" s="3" t="n">
        <v>2031</v>
      </c>
      <c r="B1384" s="3" t="inlineStr">
        <is>
          <t>IDN</t>
        </is>
      </c>
      <c r="C1384" s="3" t="inlineStr">
        <is>
          <t>IMF.RES:WEO</t>
        </is>
      </c>
      <c r="D1384" s="3" t="inlineStr">
        <is>
          <t>IDN.LP.A</t>
        </is>
      </c>
      <c r="E1384" s="3" t="inlineStr">
        <is>
          <t>Indonesia</t>
        </is>
      </c>
      <c r="F1384" s="3" t="inlineStr">
        <is>
          <t>Population, Persons for countries / Index for country groups</t>
        </is>
      </c>
      <c r="G1384" s="3" t="n">
        <v>206.264595</v>
      </c>
      <c r="H1384" s="3" t="n">
        <v>209.206135</v>
      </c>
      <c r="I1384" s="3" t="n">
        <v>212.189624</v>
      </c>
      <c r="J1384" s="3" t="n">
        <v>215.215661</v>
      </c>
      <c r="K1384" s="3" t="n">
        <v>218.284853</v>
      </c>
      <c r="L1384" s="3" t="n">
        <v>221.397814</v>
      </c>
      <c r="M1384" s="3" t="n">
        <v>224.555169</v>
      </c>
      <c r="N1384" s="3" t="n">
        <v>227.757551</v>
      </c>
      <c r="O1384" s="3" t="n">
        <v>231.005602</v>
      </c>
      <c r="P1384" s="3" t="n">
        <v>234.299973</v>
      </c>
      <c r="Q1384" s="3" t="n">
        <v>237.641326</v>
      </c>
      <c r="R1384" s="3" t="n">
        <v>241.9907</v>
      </c>
      <c r="S1384" s="3" t="n">
        <v>245.4252</v>
      </c>
      <c r="T1384" s="3" t="n">
        <v>248.8181</v>
      </c>
      <c r="U1384" s="3" t="n">
        <v>252.1648</v>
      </c>
      <c r="V1384" s="3" t="n">
        <v>255.182144</v>
      </c>
      <c r="W1384" s="3" t="n">
        <v>258.4965</v>
      </c>
      <c r="X1384" s="3" t="n">
        <v>261.3555</v>
      </c>
      <c r="Y1384" s="3" t="n">
        <v>264.1616</v>
      </c>
      <c r="Z1384" s="3" t="n">
        <v>266.9119</v>
      </c>
      <c r="AA1384" s="3" t="n">
        <v>270.203917</v>
      </c>
      <c r="AB1384" s="3" t="n">
        <v>272.67915</v>
      </c>
      <c r="AC1384" s="3" t="n">
        <v>275.71991</v>
      </c>
      <c r="AD1384" s="3" t="n">
        <v>278.69619</v>
      </c>
      <c r="AE1384" s="3" t="n">
        <v>281.6038</v>
      </c>
      <c r="AF1384" s="3" t="n">
        <v>284.43878</v>
      </c>
      <c r="AG1384" s="3" t="n">
        <v>287.19838</v>
      </c>
      <c r="AH1384" s="3" t="n">
        <v>289.8801</v>
      </c>
      <c r="AI1384" s="3" t="n">
        <v>292.48093</v>
      </c>
      <c r="AJ1384" s="3" t="n">
        <v>294.99842</v>
      </c>
      <c r="AK1384" s="3" t="n">
        <v>297.43068</v>
      </c>
      <c r="AL1384" s="3" t="n">
        <v>299.78004</v>
      </c>
      <c r="AM1384" s="3" t="n"/>
      <c r="AN1384" s="3" t="n"/>
      <c r="AO1384" s="3" t="n"/>
      <c r="AP1384" s="3" t="n"/>
      <c r="AQ1384" s="3" t="n"/>
      <c r="AR1384" s="3" t="n"/>
      <c r="AS1384" s="3" t="n"/>
      <c r="AT1384" s="3" t="n"/>
      <c r="AU1384" s="3" t="n"/>
    </row>
    <row r="1385">
      <c r="A1385" s="3" t="n">
        <v>2031</v>
      </c>
      <c r="B1385" s="3" t="inlineStr">
        <is>
          <t>IDN</t>
        </is>
      </c>
      <c r="C1385" s="3" t="inlineStr">
        <is>
          <t>IMF.RES:WEO</t>
        </is>
      </c>
      <c r="D1385" s="3" t="inlineStr">
        <is>
          <t>IDN.NGDP.A</t>
        </is>
      </c>
      <c r="E1385" s="3" t="inlineStr">
        <is>
          <t>Indonesia</t>
        </is>
      </c>
      <c r="F1385" s="3" t="inlineStr">
        <is>
          <t>Gross domestic product (GDP), Current prices, Domestic currency</t>
        </is>
      </c>
      <c r="G1385" s="3" t="n">
        <v>1511556.6</v>
      </c>
      <c r="H1385" s="3" t="n">
        <v>1790590.7</v>
      </c>
      <c r="I1385" s="3" t="n">
        <v>1981482.2</v>
      </c>
      <c r="J1385" s="3" t="n">
        <v>2190134.7</v>
      </c>
      <c r="K1385" s="3" t="n">
        <v>2497011.5</v>
      </c>
      <c r="L1385" s="3" t="n">
        <v>3017393.8</v>
      </c>
      <c r="M1385" s="3" t="n">
        <v>3631835.3</v>
      </c>
      <c r="N1385" s="3" t="n">
        <v>4297113.4</v>
      </c>
      <c r="O1385" s="3" t="n">
        <v>5414841.9</v>
      </c>
      <c r="P1385" s="3" t="n">
        <v>6011375</v>
      </c>
      <c r="Q1385" s="3" t="n">
        <v>6864133.1</v>
      </c>
      <c r="R1385" s="3" t="n">
        <v>7831726</v>
      </c>
      <c r="S1385" s="3" t="n">
        <v>8615704.5</v>
      </c>
      <c r="T1385" s="3" t="n">
        <v>9546134</v>
      </c>
      <c r="U1385" s="3" t="n">
        <v>10569705.3</v>
      </c>
      <c r="V1385" s="3" t="n">
        <v>11526332.8</v>
      </c>
      <c r="W1385" s="3" t="n">
        <v>12401728.5</v>
      </c>
      <c r="X1385" s="3" t="n">
        <v>13589825.7</v>
      </c>
      <c r="Y1385" s="3" t="n">
        <v>14838756</v>
      </c>
      <c r="Z1385" s="3" t="n">
        <v>15832657.2</v>
      </c>
      <c r="AA1385" s="3" t="n">
        <v>15443353.2</v>
      </c>
      <c r="AB1385" s="3" t="n">
        <v>16976751.4</v>
      </c>
      <c r="AC1385" s="3" t="n">
        <v>19588459.9</v>
      </c>
      <c r="AD1385" s="3" t="n">
        <v>20892312.3</v>
      </c>
      <c r="AE1385" s="3" t="n">
        <v>22138990.8</v>
      </c>
      <c r="AF1385" s="3" t="n">
        <v>23821103.6</v>
      </c>
      <c r="AG1385" s="3" t="n">
        <v>25747047.222889</v>
      </c>
      <c r="AH1385" s="3" t="n">
        <v>27749649.374541</v>
      </c>
      <c r="AI1385" s="3" t="n">
        <v>29918819.137254</v>
      </c>
      <c r="AJ1385" s="3" t="n">
        <v>32262242.292415</v>
      </c>
      <c r="AK1385" s="3" t="n">
        <v>34801877.771196</v>
      </c>
      <c r="AL1385" s="3" t="n">
        <v>37544461.862646</v>
      </c>
      <c r="AM1385" s="3" t="n"/>
      <c r="AN1385" s="3" t="n"/>
      <c r="AO1385" s="3" t="n"/>
      <c r="AP1385" s="3" t="n"/>
      <c r="AQ1385" s="3" t="n"/>
      <c r="AR1385" s="3" t="n"/>
      <c r="AS1385" s="3" t="n"/>
      <c r="AT1385" s="3" t="n"/>
      <c r="AU1385" s="3" t="n"/>
    </row>
    <row r="1386">
      <c r="A1386" s="3" t="n">
        <v>2031</v>
      </c>
      <c r="B1386" s="3" t="inlineStr">
        <is>
          <t>IDN</t>
        </is>
      </c>
      <c r="C1386" s="3" t="inlineStr">
        <is>
          <t>IMF.RES:WEO</t>
        </is>
      </c>
      <c r="D1386" s="3" t="inlineStr">
        <is>
          <t>IDN.NGDP_D.A</t>
        </is>
      </c>
      <c r="E1386" s="3" t="inlineStr">
        <is>
          <t>Indonesia</t>
        </is>
      </c>
      <c r="F1386" s="3" t="inlineStr">
        <is>
          <t>Gross domestic product (GDP), Price deflator, Index</t>
        </is>
      </c>
      <c r="G1386" s="3" t="n">
        <v>37.246645</v>
      </c>
      <c r="H1386" s="3" t="n">
        <v>42.571321</v>
      </c>
      <c r="I1386" s="3" t="n">
        <v>45.081346</v>
      </c>
      <c r="J1386" s="3" t="n">
        <v>47.555154</v>
      </c>
      <c r="K1386" s="3" t="n">
        <v>51.621467</v>
      </c>
      <c r="L1386" s="3" t="n">
        <v>59.019743</v>
      </c>
      <c r="M1386" s="3" t="n">
        <v>67.33410499999999</v>
      </c>
      <c r="N1386" s="3" t="n">
        <v>74.914968</v>
      </c>
      <c r="O1386" s="3" t="n">
        <v>87.86266999999999</v>
      </c>
      <c r="P1386" s="3" t="n">
        <v>93.161917</v>
      </c>
      <c r="Q1386" s="3" t="n">
        <v>100</v>
      </c>
      <c r="R1386" s="3" t="n">
        <v>107.465943</v>
      </c>
      <c r="S1386" s="3" t="n">
        <v>111.500084</v>
      </c>
      <c r="T1386" s="3" t="n">
        <v>117.037168</v>
      </c>
      <c r="U1386" s="3" t="n">
        <v>123.407705</v>
      </c>
      <c r="V1386" s="3" t="n">
        <v>128.319631</v>
      </c>
      <c r="W1386" s="3" t="n">
        <v>131.449249</v>
      </c>
      <c r="X1386" s="3" t="n">
        <v>137.091943</v>
      </c>
      <c r="Y1386" s="3" t="n">
        <v>142.326557</v>
      </c>
      <c r="Z1386" s="3" t="n">
        <v>144.60163</v>
      </c>
      <c r="AA1386" s="3" t="n">
        <v>144.020836</v>
      </c>
      <c r="AB1386" s="3" t="n">
        <v>152.667808</v>
      </c>
      <c r="AC1386" s="3" t="n">
        <v>167.276572</v>
      </c>
      <c r="AD1386" s="3" t="n">
        <v>169.83614</v>
      </c>
      <c r="AE1386" s="3" t="n">
        <v>171.347357</v>
      </c>
      <c r="AF1386" s="3" t="n">
        <v>175.406357</v>
      </c>
      <c r="AG1386" s="3" t="n">
        <v>180.645587</v>
      </c>
      <c r="AH1386" s="3" t="n">
        <v>185.301803</v>
      </c>
      <c r="AI1386" s="3" t="n">
        <v>189.966513</v>
      </c>
      <c r="AJ1386" s="3" t="n">
        <v>194.748635</v>
      </c>
      <c r="AK1386" s="3" t="n">
        <v>199.651139</v>
      </c>
      <c r="AL1386" s="3" t="n">
        <v>204.677057</v>
      </c>
      <c r="AM1386" s="3" t="n"/>
      <c r="AN1386" s="3" t="n"/>
      <c r="AO1386" s="3" t="n"/>
      <c r="AP1386" s="3" t="n"/>
      <c r="AQ1386" s="3" t="n"/>
      <c r="AR1386" s="3" t="n"/>
      <c r="AS1386" s="3" t="n"/>
      <c r="AT1386" s="3" t="n"/>
      <c r="AU1386" s="3" t="n"/>
    </row>
    <row r="1387">
      <c r="A1387" s="3" t="n">
        <v>2031</v>
      </c>
      <c r="B1387" s="3" t="inlineStr">
        <is>
          <t>IDN</t>
        </is>
      </c>
      <c r="C1387" s="3" t="inlineStr">
        <is>
          <t>IMF.RES:WEO</t>
        </is>
      </c>
      <c r="D1387" s="3" t="inlineStr">
        <is>
          <t>IDN.NGDP_R.A</t>
        </is>
      </c>
      <c r="E1387" s="3" t="inlineStr">
        <is>
          <t>Indonesia</t>
        </is>
      </c>
      <c r="F1387" s="3" t="inlineStr">
        <is>
          <t>Gross domestic product (GDP), Constant prices, Domestic currency</t>
        </is>
      </c>
      <c r="G1387" s="3" t="n">
        <v>4058235.6</v>
      </c>
      <c r="H1387" s="3" t="n">
        <v>4206096.2</v>
      </c>
      <c r="I1387" s="3" t="n">
        <v>4395348.4</v>
      </c>
      <c r="J1387" s="3" t="n">
        <v>4605462.3</v>
      </c>
      <c r="K1387" s="3" t="n">
        <v>4837157.2</v>
      </c>
      <c r="L1387" s="3" t="n">
        <v>5112516</v>
      </c>
      <c r="M1387" s="3" t="n">
        <v>5393753</v>
      </c>
      <c r="N1387" s="3" t="n">
        <v>5735987.8</v>
      </c>
      <c r="O1387" s="3" t="n">
        <v>6162847</v>
      </c>
      <c r="P1387" s="3" t="n">
        <v>6452609.8</v>
      </c>
      <c r="Q1387" s="3" t="n">
        <v>6864133.1</v>
      </c>
      <c r="R1387" s="3" t="n">
        <v>7287635.3</v>
      </c>
      <c r="S1387" s="3" t="n">
        <v>7727083.4</v>
      </c>
      <c r="T1387" s="3" t="n">
        <v>8156497.8</v>
      </c>
      <c r="U1387" s="3" t="n">
        <v>8564866.6</v>
      </c>
      <c r="V1387" s="3" t="n">
        <v>8982517.1</v>
      </c>
      <c r="W1387" s="3" t="n">
        <v>9434613.4</v>
      </c>
      <c r="X1387" s="3" t="n">
        <v>9912928.1</v>
      </c>
      <c r="Y1387" s="3" t="n">
        <v>10425851.9</v>
      </c>
      <c r="Z1387" s="3" t="n">
        <v>10949155.4</v>
      </c>
      <c r="AA1387" s="3" t="n">
        <v>10722999.3</v>
      </c>
      <c r="AB1387" s="3" t="n">
        <v>11120059.7</v>
      </c>
      <c r="AC1387" s="3" t="n">
        <v>11710223.2</v>
      </c>
      <c r="AD1387" s="3" t="n">
        <v>12301452.6</v>
      </c>
      <c r="AE1387" s="3" t="n">
        <v>12920532.4</v>
      </c>
      <c r="AF1387" s="3" t="n">
        <v>13580524.7</v>
      </c>
      <c r="AG1387" s="3" t="n">
        <v>14252796.150915</v>
      </c>
      <c r="AH1387" s="3" t="n">
        <v>14975380.146826</v>
      </c>
      <c r="AI1387" s="3" t="n">
        <v>15749522.754245</v>
      </c>
      <c r="AJ1387" s="3" t="n">
        <v>16566094.223163</v>
      </c>
      <c r="AK1387" s="3" t="n">
        <v>17431344.457221</v>
      </c>
      <c r="AL1387" s="3" t="n">
        <v>18343268.381532</v>
      </c>
      <c r="AM1387" s="3" t="n"/>
      <c r="AN1387" s="3" t="n"/>
      <c r="AO1387" s="3" t="n"/>
      <c r="AP1387" s="3" t="n"/>
      <c r="AQ1387" s="3" t="n"/>
      <c r="AR1387" s="3" t="n"/>
      <c r="AS1387" s="3" t="n"/>
      <c r="AT1387" s="3" t="n"/>
      <c r="AU1387" s="3" t="n"/>
    </row>
    <row r="1388">
      <c r="A1388" s="3" t="n">
        <v>2031</v>
      </c>
      <c r="B1388" s="3" t="inlineStr">
        <is>
          <t>IDN</t>
        </is>
      </c>
      <c r="C1388" s="3" t="inlineStr">
        <is>
          <t>IMF.RES:WEO</t>
        </is>
      </c>
      <c r="D1388" s="3" t="inlineStr">
        <is>
          <t>IDN.NGDP_RPCH.A</t>
        </is>
      </c>
      <c r="E1388" s="3" t="inlineStr">
        <is>
          <t>Indonesia</t>
        </is>
      </c>
      <c r="F1388" s="3" t="inlineStr">
        <is>
          <t>Gross domestic product (GDP), Constant prices, Percent change</t>
        </is>
      </c>
      <c r="G1388" s="3" t="n">
        <v>4.978653</v>
      </c>
      <c r="H1388" s="3" t="n">
        <v>3.64347</v>
      </c>
      <c r="I1388" s="3" t="n">
        <v>4.499474</v>
      </c>
      <c r="J1388" s="3" t="n">
        <v>4.78037</v>
      </c>
      <c r="K1388" s="3" t="n">
        <v>5.030872</v>
      </c>
      <c r="L1388" s="3" t="n">
        <v>5.692575</v>
      </c>
      <c r="M1388" s="3" t="n">
        <v>5.500951</v>
      </c>
      <c r="N1388" s="3" t="n">
        <v>6.345022</v>
      </c>
      <c r="O1388" s="3" t="n">
        <v>7.441773</v>
      </c>
      <c r="P1388" s="3" t="n">
        <v>4.701769</v>
      </c>
      <c r="Q1388" s="3" t="n">
        <v>6.377626</v>
      </c>
      <c r="R1388" s="3" t="n">
        <v>6.169784</v>
      </c>
      <c r="S1388" s="3" t="n">
        <v>6.030051</v>
      </c>
      <c r="T1388" s="3" t="n">
        <v>5.557264</v>
      </c>
      <c r="U1388" s="3" t="n">
        <v>5.006668</v>
      </c>
      <c r="V1388" s="3" t="n">
        <v>4.876322</v>
      </c>
      <c r="W1388" s="3" t="n">
        <v>5.033069</v>
      </c>
      <c r="X1388" s="3" t="n">
        <v>5.069786</v>
      </c>
      <c r="Y1388" s="3" t="n">
        <v>5.174292</v>
      </c>
      <c r="Z1388" s="3" t="n">
        <v>5.019288</v>
      </c>
      <c r="AA1388" s="3" t="n">
        <v>-2.065512</v>
      </c>
      <c r="AB1388" s="3" t="n">
        <v>3.702886</v>
      </c>
      <c r="AC1388" s="3" t="n">
        <v>5.307197</v>
      </c>
      <c r="AD1388" s="3" t="n">
        <v>5.048831</v>
      </c>
      <c r="AE1388" s="3" t="n">
        <v>5.032575</v>
      </c>
      <c r="AF1388" s="3" t="n">
        <v>5.108089</v>
      </c>
      <c r="AG1388" s="3" t="n">
        <v>4.950261</v>
      </c>
      <c r="AH1388" s="3" t="n">
        <v>5.06977</v>
      </c>
      <c r="AI1388" s="3" t="n">
        <v>5.169435</v>
      </c>
      <c r="AJ1388" s="3" t="n">
        <v>5.184738</v>
      </c>
      <c r="AK1388" s="3" t="n">
        <v>5.223019</v>
      </c>
      <c r="AL1388" s="3" t="n">
        <v>5.231518</v>
      </c>
      <c r="AM1388" s="3" t="n"/>
      <c r="AN1388" s="3" t="n"/>
      <c r="AO1388" s="3" t="n"/>
      <c r="AP1388" s="3" t="n"/>
      <c r="AQ1388" s="3" t="n"/>
      <c r="AR1388" s="3" t="n"/>
      <c r="AS1388" s="3" t="n"/>
      <c r="AT1388" s="3" t="n"/>
      <c r="AU1388" s="3" t="n"/>
    </row>
    <row r="1389">
      <c r="A1389" s="3" t="n">
        <v>2031</v>
      </c>
      <c r="B1389" s="3" t="inlineStr">
        <is>
          <t>IDN</t>
        </is>
      </c>
      <c r="C1389" s="3" t="inlineStr">
        <is>
          <t>IMF.RES:WEO</t>
        </is>
      </c>
      <c r="D1389" s="3" t="inlineStr">
        <is>
          <t>IDN.NGDPD.A</t>
        </is>
      </c>
      <c r="E1389" s="3" t="inlineStr">
        <is>
          <t>Indonesia</t>
        </is>
      </c>
      <c r="F1389" s="3" t="inlineStr">
        <is>
          <t>Gross domestic product (GDP), Current prices, US dollar</t>
        </is>
      </c>
      <c r="G1389" s="3" t="n">
        <v>179.48195</v>
      </c>
      <c r="H1389" s="3" t="n">
        <v>174.507054</v>
      </c>
      <c r="I1389" s="3" t="n">
        <v>212.80651</v>
      </c>
      <c r="J1389" s="3" t="n">
        <v>255.345768</v>
      </c>
      <c r="K1389" s="3" t="n">
        <v>279.343708</v>
      </c>
      <c r="L1389" s="3" t="n">
        <v>310.919538</v>
      </c>
      <c r="M1389" s="3" t="n">
        <v>396.51815</v>
      </c>
      <c r="N1389" s="3" t="n">
        <v>470.092266</v>
      </c>
      <c r="O1389" s="3" t="n">
        <v>558.290838</v>
      </c>
      <c r="P1389" s="3" t="n">
        <v>578.576628</v>
      </c>
      <c r="Q1389" s="3" t="n">
        <v>755.094158</v>
      </c>
      <c r="R1389" s="3" t="n">
        <v>892.969105</v>
      </c>
      <c r="S1389" s="3" t="n">
        <v>917.869913</v>
      </c>
      <c r="T1389" s="3" t="n">
        <v>912.524137</v>
      </c>
      <c r="U1389" s="3" t="n">
        <v>890.8147279999999</v>
      </c>
      <c r="V1389" s="3" t="n">
        <v>860.854207</v>
      </c>
      <c r="W1389" s="3" t="n">
        <v>931.877374</v>
      </c>
      <c r="X1389" s="3" t="n">
        <v>1015.618786</v>
      </c>
      <c r="Y1389" s="3" t="n">
        <v>1042.271504</v>
      </c>
      <c r="Z1389" s="3" t="n">
        <v>1119.099781</v>
      </c>
      <c r="AA1389" s="3" t="n">
        <v>1059.054852</v>
      </c>
      <c r="AB1389" s="3" t="n">
        <v>1186.509807</v>
      </c>
      <c r="AC1389" s="3" t="n">
        <v>1319.101163</v>
      </c>
      <c r="AD1389" s="3" t="n">
        <v>1371.166895</v>
      </c>
      <c r="AE1389" s="3" t="n">
        <v>1396.301858</v>
      </c>
      <c r="AF1389" s="3" t="n">
        <v>1445.642454</v>
      </c>
      <c r="AG1389" s="3" t="n">
        <v>1539.87161</v>
      </c>
      <c r="AH1389" s="3" t="n">
        <v>1659.49145</v>
      </c>
      <c r="AI1389" s="3" t="n">
        <v>1790.060046</v>
      </c>
      <c r="AJ1389" s="3" t="n">
        <v>1930.126701</v>
      </c>
      <c r="AK1389" s="3" t="n">
        <v>2081.910532</v>
      </c>
      <c r="AL1389" s="3" t="n">
        <v>2245.8119</v>
      </c>
      <c r="AM1389" s="3" t="n"/>
      <c r="AN1389" s="3" t="n"/>
      <c r="AO1389" s="3" t="n"/>
      <c r="AP1389" s="3" t="n"/>
      <c r="AQ1389" s="3" t="n"/>
      <c r="AR1389" s="3" t="n"/>
      <c r="AS1389" s="3" t="n"/>
      <c r="AT1389" s="3" t="n"/>
      <c r="AU1389" s="3" t="n"/>
    </row>
    <row r="1390">
      <c r="A1390" s="3" t="n">
        <v>2031</v>
      </c>
      <c r="B1390" s="3" t="inlineStr">
        <is>
          <t>IDN</t>
        </is>
      </c>
      <c r="C1390" s="3" t="inlineStr">
        <is>
          <t>IMF.RES:WEO</t>
        </is>
      </c>
      <c r="D1390" s="3" t="inlineStr">
        <is>
          <t>IDN.NGDPPC.A</t>
        </is>
      </c>
      <c r="E1390" s="3" t="inlineStr">
        <is>
          <t>Indonesia</t>
        </is>
      </c>
      <c r="F1390" s="3" t="inlineStr">
        <is>
          <t>Gross domestic product (GDP), Current prices, Per capita, Domestic currency</t>
        </is>
      </c>
      <c r="G1390" s="3" t="n">
        <v>7328240.699767</v>
      </c>
      <c r="H1390" s="3" t="n">
        <v>8558977.964459</v>
      </c>
      <c r="I1390" s="3" t="n">
        <v>9338261.497558</v>
      </c>
      <c r="J1390" s="3" t="n">
        <v>10176465.254559</v>
      </c>
      <c r="K1390" s="3" t="n">
        <v>11439233.965489</v>
      </c>
      <c r="L1390" s="3" t="n">
        <v>13628832.873576</v>
      </c>
      <c r="M1390" s="3" t="n">
        <v>16173465.628919</v>
      </c>
      <c r="N1390" s="3" t="n">
        <v>18867051.345847</v>
      </c>
      <c r="O1390" s="3" t="n">
        <v>23440305.605261</v>
      </c>
      <c r="P1390" s="3" t="n">
        <v>25656746.412845</v>
      </c>
      <c r="Q1390" s="3" t="n">
        <v>28884425.177799</v>
      </c>
      <c r="R1390" s="3" t="n">
        <v>32363747.863038</v>
      </c>
      <c r="S1390" s="3" t="n">
        <v>35105215.356858</v>
      </c>
      <c r="T1390" s="3" t="n">
        <v>38365914.698328</v>
      </c>
      <c r="U1390" s="3" t="n">
        <v>41915863.356027</v>
      </c>
      <c r="V1390" s="3" t="n">
        <v>45169041.294676</v>
      </c>
      <c r="W1390" s="3" t="n">
        <v>47976388.461739</v>
      </c>
      <c r="X1390" s="3" t="n">
        <v>51997473.556133</v>
      </c>
      <c r="Y1390" s="3" t="n">
        <v>56173024.39113</v>
      </c>
      <c r="Z1390" s="3" t="n">
        <v>59317914.263096</v>
      </c>
      <c r="AA1390" s="3" t="n">
        <v>57154438.660488</v>
      </c>
      <c r="AB1390" s="3" t="n">
        <v>62259074.080288</v>
      </c>
      <c r="AC1390" s="3" t="n">
        <v>71044778.37672301</v>
      </c>
      <c r="AD1390" s="3" t="n">
        <v>74964470.45078</v>
      </c>
      <c r="AE1390" s="3" t="n">
        <v>78617514.394337</v>
      </c>
      <c r="AF1390" s="3" t="n">
        <v>83747735.101381</v>
      </c>
      <c r="AG1390" s="3" t="n">
        <v>89648998.796196</v>
      </c>
      <c r="AH1390" s="3" t="n">
        <v>95728024.705874</v>
      </c>
      <c r="AI1390" s="3" t="n">
        <v>102293230.321902</v>
      </c>
      <c r="AJ1390" s="3" t="n">
        <v>109364118.941435</v>
      </c>
      <c r="AK1390" s="3" t="n">
        <v>117008365.684386</v>
      </c>
      <c r="AL1390" s="3" t="n">
        <v>125240032.20043</v>
      </c>
      <c r="AM1390" s="3" t="n"/>
      <c r="AN1390" s="3" t="n"/>
      <c r="AO1390" s="3" t="n"/>
      <c r="AP1390" s="3" t="n"/>
      <c r="AQ1390" s="3" t="n"/>
      <c r="AR1390" s="3" t="n"/>
      <c r="AS1390" s="3" t="n"/>
      <c r="AT1390" s="3" t="n"/>
      <c r="AU1390" s="3" t="n"/>
    </row>
    <row r="1391">
      <c r="A1391" s="3" t="n">
        <v>2031</v>
      </c>
      <c r="B1391" s="3" t="inlineStr">
        <is>
          <t>IDN</t>
        </is>
      </c>
      <c r="C1391" s="3" t="inlineStr">
        <is>
          <t>IMF.RES:WEO</t>
        </is>
      </c>
      <c r="D1391" s="3" t="inlineStr">
        <is>
          <t>IDN.NGDPRPC.A</t>
        </is>
      </c>
      <c r="E1391" s="3" t="inlineStr">
        <is>
          <t>Indonesia</t>
        </is>
      </c>
      <c r="F1391" s="3" t="inlineStr">
        <is>
          <t>Gross domestic product (GDP), Constant prices, Per capita, Domestic currency</t>
        </is>
      </c>
      <c r="G1391" s="3" t="n">
        <v>19674901.550603</v>
      </c>
      <c r="H1391" s="3" t="n">
        <v>20105032.764994</v>
      </c>
      <c r="I1391" s="3" t="n">
        <v>20714247.512329</v>
      </c>
      <c r="J1391" s="3" t="n">
        <v>21399289.768401</v>
      </c>
      <c r="K1391" s="3" t="n">
        <v>22159839.047057</v>
      </c>
      <c r="L1391" s="3" t="n">
        <v>23091989.559826</v>
      </c>
      <c r="M1391" s="3" t="n">
        <v>24019723.239206</v>
      </c>
      <c r="N1391" s="3" t="n">
        <v>25184621.923581</v>
      </c>
      <c r="O1391" s="3" t="n">
        <v>26678344.399762</v>
      </c>
      <c r="P1391" s="3" t="n">
        <v>27539951.066044</v>
      </c>
      <c r="Q1391" s="3" t="n">
        <v>28884425.177799</v>
      </c>
      <c r="R1391" s="3" t="n">
        <v>30115352.780086</v>
      </c>
      <c r="S1391" s="3" t="n">
        <v>31484474.291964</v>
      </c>
      <c r="T1391" s="3" t="n">
        <v>32780966.497212</v>
      </c>
      <c r="U1391" s="3" t="n">
        <v>33965353.61002</v>
      </c>
      <c r="V1391" s="3" t="n">
        <v>35200413.944324</v>
      </c>
      <c r="W1391" s="3" t="n">
        <v>36498031.501394</v>
      </c>
      <c r="X1391" s="3" t="n">
        <v>37928905.647671</v>
      </c>
      <c r="Y1391" s="3" t="n">
        <v>39467704.238618</v>
      </c>
      <c r="Z1391" s="3" t="n">
        <v>41021608.25351</v>
      </c>
      <c r="AA1391" s="3" t="n">
        <v>39684840.320061</v>
      </c>
      <c r="AB1391" s="3" t="n">
        <v>40780747.996317</v>
      </c>
      <c r="AC1391" s="3" t="n">
        <v>42471445.750871</v>
      </c>
      <c r="AD1391" s="3" t="n">
        <v>44139292.324018</v>
      </c>
      <c r="AE1391" s="3" t="n">
        <v>45881953.297505</v>
      </c>
      <c r="AF1391" s="3" t="n">
        <v>47744982.945012</v>
      </c>
      <c r="AG1391" s="3" t="n">
        <v>49627007.474466</v>
      </c>
      <c r="AH1391" s="3" t="n">
        <v>51660600.871967</v>
      </c>
      <c r="AI1391" s="3" t="n">
        <v>53848032.944386</v>
      </c>
      <c r="AJ1391" s="3" t="n">
        <v>56156552.37463</v>
      </c>
      <c r="AK1391" s="3" t="n">
        <v>58606410.264134</v>
      </c>
      <c r="AL1391" s="3" t="n">
        <v>61189091.780532</v>
      </c>
      <c r="AM1391" s="3" t="n"/>
      <c r="AN1391" s="3" t="n"/>
      <c r="AO1391" s="3" t="n"/>
      <c r="AP1391" s="3" t="n"/>
      <c r="AQ1391" s="3" t="n"/>
      <c r="AR1391" s="3" t="n"/>
      <c r="AS1391" s="3" t="n"/>
      <c r="AT1391" s="3" t="n"/>
      <c r="AU1391" s="3" t="n"/>
    </row>
    <row r="1392">
      <c r="A1392" s="3" t="n">
        <v>2031</v>
      </c>
      <c r="B1392" s="3" t="inlineStr">
        <is>
          <t>IDN</t>
        </is>
      </c>
      <c r="C1392" s="3" t="inlineStr">
        <is>
          <t>IMF.RES:WEO</t>
        </is>
      </c>
      <c r="D1392" s="3" t="inlineStr">
        <is>
          <t>IDN.PCPI.A</t>
        </is>
      </c>
      <c r="E1392" s="3" t="inlineStr">
        <is>
          <t>Indonesia</t>
        </is>
      </c>
      <c r="F1392" s="3" t="inlineStr">
        <is>
          <t>All Items, Consumer price index (CPI), Period average</t>
        </is>
      </c>
      <c r="G1392" s="3" t="n">
        <v>27.090406</v>
      </c>
      <c r="H1392" s="3" t="n">
        <v>30.196667</v>
      </c>
      <c r="I1392" s="3" t="n">
        <v>33.7925</v>
      </c>
      <c r="J1392" s="3" t="n">
        <v>36.0875</v>
      </c>
      <c r="K1392" s="3" t="n">
        <v>38.275</v>
      </c>
      <c r="L1392" s="3" t="n">
        <v>42.28</v>
      </c>
      <c r="M1392" s="3" t="n">
        <v>47.818333</v>
      </c>
      <c r="N1392" s="3" t="n">
        <v>50.84</v>
      </c>
      <c r="O1392" s="3" t="n">
        <v>55.858333</v>
      </c>
      <c r="P1392" s="3" t="n">
        <v>58.541667</v>
      </c>
      <c r="Q1392" s="3" t="n">
        <v>61.549167</v>
      </c>
      <c r="R1392" s="3" t="n">
        <v>64.839167</v>
      </c>
      <c r="S1392" s="3" t="n">
        <v>67.419167</v>
      </c>
      <c r="T1392" s="3" t="n">
        <v>71.74083299999999</v>
      </c>
      <c r="U1392" s="3" t="n">
        <v>76.331667</v>
      </c>
      <c r="V1392" s="3" t="n">
        <v>81.186667</v>
      </c>
      <c r="W1392" s="3" t="n">
        <v>84.05249999999999</v>
      </c>
      <c r="X1392" s="3" t="n">
        <v>87.2525</v>
      </c>
      <c r="Y1392" s="3" t="n">
        <v>90.124167</v>
      </c>
      <c r="Z1392" s="3" t="n">
        <v>92.6675</v>
      </c>
      <c r="AA1392" s="3" t="n">
        <v>94.55</v>
      </c>
      <c r="AB1392" s="3" t="n">
        <v>96.02583300000001</v>
      </c>
      <c r="AC1392" s="3" t="n">
        <v>100</v>
      </c>
      <c r="AD1392" s="3" t="n">
        <v>103.7125</v>
      </c>
      <c r="AE1392" s="3" t="n">
        <v>106.0975</v>
      </c>
      <c r="AF1392" s="3" t="n">
        <v>108.1275</v>
      </c>
      <c r="AG1392" s="3" t="n">
        <v>111.357172</v>
      </c>
      <c r="AH1392" s="3" t="n">
        <v>114.22745</v>
      </c>
      <c r="AI1392" s="3" t="n">
        <v>117.102964</v>
      </c>
      <c r="AJ1392" s="3" t="n">
        <v>120.050855</v>
      </c>
      <c r="AK1392" s="3" t="n">
        <v>123.072955</v>
      </c>
      <c r="AL1392" s="3" t="n">
        <v>126.171132</v>
      </c>
      <c r="AM1392" s="3" t="n"/>
      <c r="AN1392" s="3" t="n"/>
      <c r="AO1392" s="3" t="n"/>
      <c r="AP1392" s="3" t="n"/>
      <c r="AQ1392" s="3" t="n"/>
      <c r="AR1392" s="3" t="n"/>
      <c r="AS1392" s="3" t="n"/>
      <c r="AT1392" s="3" t="n"/>
      <c r="AU1392" s="3" t="n"/>
    </row>
    <row r="1393">
      <c r="A1393" s="3" t="n">
        <v>2031</v>
      </c>
      <c r="B1393" s="3" t="inlineStr">
        <is>
          <t>IDN</t>
        </is>
      </c>
      <c r="C1393" s="3" t="inlineStr">
        <is>
          <t>IMF.RES:WEO</t>
        </is>
      </c>
      <c r="D1393" s="3" t="inlineStr">
        <is>
          <t>IDN.PCPIPCH.A</t>
        </is>
      </c>
      <c r="E1393" s="3" t="inlineStr">
        <is>
          <t>Indonesia</t>
        </is>
      </c>
      <c r="F1393" s="3" t="inlineStr">
        <is>
          <t>All Items, Consumer price index (CPI), Period average, percent change</t>
        </is>
      </c>
      <c r="G1393" s="3" t="n">
        <v>3.688053</v>
      </c>
      <c r="H1393" s="3" t="n">
        <v>11.466275</v>
      </c>
      <c r="I1393" s="3" t="n">
        <v>11.908047</v>
      </c>
      <c r="J1393" s="3" t="n">
        <v>6.791448</v>
      </c>
      <c r="K1393" s="3" t="n">
        <v>6.061656</v>
      </c>
      <c r="L1393" s="3" t="n">
        <v>10.463749</v>
      </c>
      <c r="M1393" s="3" t="n">
        <v>13.09918</v>
      </c>
      <c r="N1393" s="3" t="n">
        <v>6.319055</v>
      </c>
      <c r="O1393" s="3" t="n">
        <v>9.870837</v>
      </c>
      <c r="P1393" s="3" t="n">
        <v>4.803819</v>
      </c>
      <c r="Q1393" s="3" t="n">
        <v>5.137367</v>
      </c>
      <c r="R1393" s="3" t="n">
        <v>5.34532</v>
      </c>
      <c r="S1393" s="3" t="n">
        <v>3.979076</v>
      </c>
      <c r="T1393" s="3" t="n">
        <v>6.410145</v>
      </c>
      <c r="U1393" s="3" t="n">
        <v>6.399192</v>
      </c>
      <c r="V1393" s="3" t="n">
        <v>6.360401</v>
      </c>
      <c r="W1393" s="3" t="n">
        <v>3.529931</v>
      </c>
      <c r="X1393" s="3" t="n">
        <v>3.807144</v>
      </c>
      <c r="Y1393" s="3" t="n">
        <v>3.291214</v>
      </c>
      <c r="Z1393" s="3" t="n">
        <v>2.822033</v>
      </c>
      <c r="AA1393" s="3" t="n">
        <v>2.031457</v>
      </c>
      <c r="AB1393" s="3" t="n">
        <v>1.560903</v>
      </c>
      <c r="AC1393" s="3" t="n">
        <v>4.138643</v>
      </c>
      <c r="AD1393" s="3" t="n">
        <v>3.7125</v>
      </c>
      <c r="AE1393" s="3" t="n">
        <v>2.299626</v>
      </c>
      <c r="AF1393" s="3" t="n">
        <v>1.913334</v>
      </c>
      <c r="AG1393" s="3" t="n">
        <v>2.986911</v>
      </c>
      <c r="AH1393" s="3" t="n">
        <v>2.577542</v>
      </c>
      <c r="AI1393" s="3" t="n">
        <v>2.517358</v>
      </c>
      <c r="AJ1393" s="3" t="n">
        <v>2.51735</v>
      </c>
      <c r="AK1393" s="3" t="n">
        <v>2.51735</v>
      </c>
      <c r="AL1393" s="3" t="n">
        <v>2.51735</v>
      </c>
      <c r="AM1393" s="3" t="n"/>
      <c r="AN1393" s="3" t="n"/>
      <c r="AO1393" s="3" t="n"/>
      <c r="AP1393" s="3" t="n"/>
      <c r="AQ1393" s="3" t="n"/>
      <c r="AR1393" s="3" t="n"/>
      <c r="AS1393" s="3" t="n"/>
      <c r="AT1393" s="3" t="n"/>
      <c r="AU1393" s="3" t="n"/>
    </row>
    <row r="1394">
      <c r="A1394" s="3" t="n">
        <v>2031</v>
      </c>
      <c r="B1394" s="3" t="inlineStr">
        <is>
          <t>IDN</t>
        </is>
      </c>
      <c r="C1394" s="3" t="inlineStr">
        <is>
          <t>IMF.RES:WEO</t>
        </is>
      </c>
      <c r="D1394" s="3" t="inlineStr">
        <is>
          <t>IDN.PPPPC.A</t>
        </is>
      </c>
      <c r="E1394" s="3" t="inlineStr">
        <is>
          <t>Indonesia</t>
        </is>
      </c>
      <c r="F1394" s="3" t="inlineStr">
        <is>
          <t>Gross domestic product (GDP), Per capita, purchasing power parity (PPP) international dollar, ICP benchmarks 2017-2021</t>
        </is>
      </c>
      <c r="G1394" s="3" t="n">
        <v>4124.152152</v>
      </c>
      <c r="H1394" s="3" t="n">
        <v>4309.204409</v>
      </c>
      <c r="I1394" s="3" t="n">
        <v>4508.775989</v>
      </c>
      <c r="J1394" s="3" t="n">
        <v>4749.842736</v>
      </c>
      <c r="K1394" s="3" t="n">
        <v>5050.91308</v>
      </c>
      <c r="L1394" s="3" t="n">
        <v>5428.429167</v>
      </c>
      <c r="M1394" s="3" t="n">
        <v>5820.651369</v>
      </c>
      <c r="N1394" s="3" t="n">
        <v>6268.28403</v>
      </c>
      <c r="O1394" s="3" t="n">
        <v>6767.976462</v>
      </c>
      <c r="P1394" s="3" t="n">
        <v>7029.644774</v>
      </c>
      <c r="Q1394" s="3" t="n">
        <v>7462.432764</v>
      </c>
      <c r="R1394" s="3" t="n">
        <v>7940.978927</v>
      </c>
      <c r="S1394" s="3" t="n">
        <v>8456.573821</v>
      </c>
      <c r="T1394" s="3" t="n">
        <v>8954.663422</v>
      </c>
      <c r="U1394" s="3" t="n">
        <v>9439.798118000001</v>
      </c>
      <c r="V1394" s="3" t="n">
        <v>9873.843357</v>
      </c>
      <c r="W1394" s="3" t="n">
        <v>10335.112045</v>
      </c>
      <c r="X1394" s="3" t="n">
        <v>10932.638044</v>
      </c>
      <c r="Y1394" s="3" t="n">
        <v>11621.365981</v>
      </c>
      <c r="Z1394" s="3" t="n">
        <v>12236.94347</v>
      </c>
      <c r="AA1394" s="3" t="n">
        <v>11929.525592</v>
      </c>
      <c r="AB1394" s="3" t="n">
        <v>12947.902839</v>
      </c>
      <c r="AC1394" s="3" t="n">
        <v>14443.787709</v>
      </c>
      <c r="AD1394" s="3" t="n">
        <v>15566.404581</v>
      </c>
      <c r="AE1394" s="3" t="n">
        <v>16582.681046</v>
      </c>
      <c r="AF1394" s="3" t="n">
        <v>17745.531208</v>
      </c>
      <c r="AG1394" s="3" t="n">
        <v>18973.451885</v>
      </c>
      <c r="AH1394" s="3" t="n">
        <v>20184.648781</v>
      </c>
      <c r="AI1394" s="3" t="n">
        <v>21384.651883</v>
      </c>
      <c r="AJ1394" s="3" t="n">
        <v>22697.977151</v>
      </c>
      <c r="AK1394" s="3" t="n">
        <v>24123.464649</v>
      </c>
      <c r="AL1394" s="3" t="n">
        <v>25641.236464</v>
      </c>
      <c r="AM1394" s="3" t="n"/>
      <c r="AN1394" s="3" t="n"/>
      <c r="AO1394" s="3" t="n"/>
      <c r="AP1394" s="3" t="n"/>
      <c r="AQ1394" s="3" t="n"/>
      <c r="AR1394" s="3" t="n"/>
      <c r="AS1394" s="3" t="n"/>
      <c r="AT1394" s="3" t="n"/>
      <c r="AU1394" s="3" t="n"/>
    </row>
    <row r="1395">
      <c r="A1395" s="3" t="n">
        <v>2025</v>
      </c>
      <c r="B1395" s="3" t="inlineStr">
        <is>
          <t>IDN</t>
        </is>
      </c>
      <c r="C1395" s="3" t="inlineStr">
        <is>
          <t>IMF.STA:ER</t>
        </is>
      </c>
      <c r="D1395" s="3" t="inlineStr">
        <is>
          <t>IDN.XDC_USD.PA_RT.A</t>
        </is>
      </c>
      <c r="E1395" s="3" t="inlineStr">
        <is>
          <t>Indonesia</t>
        </is>
      </c>
      <c r="F1395" s="3" t="inlineStr">
        <is>
          <t>Domestic currency per US Dollar</t>
        </is>
      </c>
      <c r="G1395" s="3" t="n">
        <v>8421.775</v>
      </c>
      <c r="H1395" s="3" t="n">
        <v>10260.85</v>
      </c>
      <c r="I1395" s="3" t="n">
        <v>9311.19166666666</v>
      </c>
      <c r="J1395" s="3" t="n">
        <v>8577.13333333333</v>
      </c>
      <c r="K1395" s="3" t="n">
        <v>8938.85</v>
      </c>
      <c r="L1395" s="3" t="n">
        <v>9704.74166666666</v>
      </c>
      <c r="M1395" s="3" t="n">
        <v>9159.31666666666</v>
      </c>
      <c r="N1395" s="3" t="n">
        <v>9141</v>
      </c>
      <c r="O1395" s="3" t="n">
        <v>9698.9625</v>
      </c>
      <c r="P1395" s="3" t="n">
        <v>10389.9375</v>
      </c>
      <c r="Q1395" s="3" t="n">
        <v>9090.433333333331</v>
      </c>
      <c r="R1395" s="3" t="n">
        <v>8770.433333333331</v>
      </c>
      <c r="S1395" s="3" t="n">
        <v>9386.62916666666</v>
      </c>
      <c r="T1395" s="3" t="n">
        <v>10461.24</v>
      </c>
      <c r="U1395" s="3" t="n">
        <v>11865.2112962963</v>
      </c>
      <c r="V1395" s="3" t="n">
        <v>13389.4129365079</v>
      </c>
      <c r="W1395" s="3" t="n">
        <v>13308.3268020541</v>
      </c>
      <c r="X1395" s="3" t="n">
        <v>13380.8338788891</v>
      </c>
      <c r="Y1395" s="3" t="n">
        <v>14236.9387734817</v>
      </c>
      <c r="Z1395" s="3" t="n">
        <v>14147.6713605454</v>
      </c>
      <c r="AA1395" s="3" t="n">
        <v>14582.2034678177</v>
      </c>
      <c r="AB1395" s="3" t="n">
        <v>14308.1439011896</v>
      </c>
      <c r="AC1395" s="3" t="n">
        <v>14849.8539362104</v>
      </c>
      <c r="AD1395" s="3" t="n">
        <v>15236.8846620506</v>
      </c>
      <c r="AE1395" s="3" t="n">
        <v>15855.448286671</v>
      </c>
      <c r="AF1395" s="3" t="n">
        <v>16477.8651797835</v>
      </c>
      <c r="AG1395" s="3" t="n"/>
      <c r="AH1395" s="3" t="n"/>
      <c r="AI1395" s="3" t="n"/>
      <c r="AJ1395" s="3" t="n"/>
      <c r="AK1395" s="3" t="n"/>
      <c r="AL1395" s="3" t="n"/>
      <c r="AM1395" s="3" t="n"/>
      <c r="AN1395" s="3" t="n"/>
      <c r="AO1395" s="3" t="n"/>
      <c r="AP1395" s="3" t="n"/>
      <c r="AQ1395" s="3" t="n"/>
      <c r="AR1395" s="3" t="n"/>
      <c r="AS1395" s="3" t="n"/>
      <c r="AT1395" s="3" t="n"/>
      <c r="AU1395" s="3" t="n"/>
    </row>
    <row r="1396">
      <c r="A1396" s="3" t="n">
        <v>2025</v>
      </c>
      <c r="B1396" s="3" t="inlineStr">
        <is>
          <t>IMN</t>
        </is>
      </c>
      <c r="C1396" s="3" t="inlineStr">
        <is>
          <t>IMF.STA:ER</t>
        </is>
      </c>
      <c r="D1396" s="3" t="inlineStr">
        <is>
          <t>IMN.XDC_USD.PA_RT.A</t>
        </is>
      </c>
      <c r="E1396" s="3" t="inlineStr">
        <is>
          <t>Isle of Man</t>
        </is>
      </c>
      <c r="F1396" s="3" t="inlineStr">
        <is>
          <t>Domestic currency per US Dollar</t>
        </is>
      </c>
      <c r="G1396" s="3" t="n">
        <v>0.660930833333333</v>
      </c>
      <c r="H1396" s="3" t="n">
        <v>0.694655</v>
      </c>
      <c r="I1396" s="3" t="n">
        <v>0.6672233333333329</v>
      </c>
      <c r="J1396" s="3" t="n">
        <v>0.6124725</v>
      </c>
      <c r="K1396" s="3" t="n">
        <v>0.54618</v>
      </c>
      <c r="L1396" s="3" t="n">
        <v>0.549998333333333</v>
      </c>
      <c r="M1396" s="3" t="n">
        <v>0.543486666666667</v>
      </c>
      <c r="N1396" s="3" t="n">
        <v>0.499771666666667</v>
      </c>
      <c r="O1396" s="3" t="n">
        <v>0.54396625</v>
      </c>
      <c r="P1396" s="3" t="n">
        <v>0.641919263495996</v>
      </c>
      <c r="Q1396" s="3" t="n">
        <v>0.647179345560165</v>
      </c>
      <c r="R1396" s="3" t="n">
        <v>0.6241408357404949</v>
      </c>
      <c r="S1396" s="3" t="n">
        <v>0.633046988857327</v>
      </c>
      <c r="T1396" s="3" t="n">
        <v>0.6396605776134771</v>
      </c>
      <c r="U1396" s="3" t="n">
        <v>0.607729626878255</v>
      </c>
      <c r="V1396" s="3" t="n">
        <v>0.654545478931426</v>
      </c>
      <c r="W1396" s="3" t="n">
        <v>0.740634463697084</v>
      </c>
      <c r="X1396" s="3" t="n">
        <v>0.776976682344123</v>
      </c>
      <c r="Y1396" s="3" t="n">
        <v>0.749531540259847</v>
      </c>
      <c r="Z1396" s="3" t="n">
        <v>0.783445110011929</v>
      </c>
      <c r="AA1396" s="3" t="n">
        <v>0.779999576697153</v>
      </c>
      <c r="AB1396" s="3" t="n">
        <v>0.7270649446883219</v>
      </c>
      <c r="AC1396" s="3" t="n">
        <v>0.811301715827773</v>
      </c>
      <c r="AD1396" s="3" t="n">
        <v>0.804538906734353</v>
      </c>
      <c r="AE1396" s="3" t="n">
        <v>0.782414580986261</v>
      </c>
      <c r="AF1396" s="3" t="n">
        <v>0.759473957338607</v>
      </c>
      <c r="AG1396" s="3" t="n"/>
      <c r="AH1396" s="3" t="n"/>
      <c r="AI1396" s="3" t="n"/>
      <c r="AJ1396" s="3" t="n"/>
      <c r="AK1396" s="3" t="n"/>
      <c r="AL1396" s="3" t="n"/>
      <c r="AM1396" s="3" t="n"/>
      <c r="AN1396" s="3" t="n"/>
      <c r="AO1396" s="3" t="n"/>
      <c r="AP1396" s="3" t="n"/>
      <c r="AQ1396" s="3" t="n"/>
      <c r="AR1396" s="3" t="n"/>
      <c r="AS1396" s="3" t="n"/>
      <c r="AT1396" s="3" t="n"/>
      <c r="AU1396" s="3" t="n"/>
    </row>
    <row r="1397">
      <c r="A1397" s="3" t="n">
        <v>2031</v>
      </c>
      <c r="B1397" s="3" t="inlineStr">
        <is>
          <t>IND</t>
        </is>
      </c>
      <c r="C1397" s="3" t="inlineStr">
        <is>
          <t>IMF.RES:WEO</t>
        </is>
      </c>
      <c r="D1397" s="3" t="inlineStr">
        <is>
          <t>IND.BCA.A</t>
        </is>
      </c>
      <c r="E1397" s="3" t="inlineStr">
        <is>
          <t>India</t>
        </is>
      </c>
      <c r="F1397" s="3" t="inlineStr">
        <is>
          <t>Current account balance (credit less debit), US dollar</t>
        </is>
      </c>
      <c r="G1397" s="3" t="n">
        <v>-2.666298</v>
      </c>
      <c r="H1397" s="3" t="n">
        <v>3.400184</v>
      </c>
      <c r="I1397" s="3" t="n">
        <v>6.343758</v>
      </c>
      <c r="J1397" s="3" t="n">
        <v>14.082266</v>
      </c>
      <c r="K1397" s="3" t="n">
        <v>-2.469819</v>
      </c>
      <c r="L1397" s="3" t="n">
        <v>-9.901361</v>
      </c>
      <c r="M1397" s="3" t="n">
        <v>-9.565004999999999</v>
      </c>
      <c r="N1397" s="3" t="n">
        <v>-15.736357</v>
      </c>
      <c r="O1397" s="3" t="n">
        <v>-27.91425</v>
      </c>
      <c r="P1397" s="3" t="n">
        <v>-38.437</v>
      </c>
      <c r="Q1397" s="3" t="n">
        <v>-47.867</v>
      </c>
      <c r="R1397" s="3" t="n">
        <v>-78.2</v>
      </c>
      <c r="S1397" s="3" t="n">
        <v>-87.843</v>
      </c>
      <c r="T1397" s="3" t="n">
        <v>-32.257</v>
      </c>
      <c r="U1397" s="3" t="n">
        <v>-26.788</v>
      </c>
      <c r="V1397" s="3" t="n">
        <v>-22.086</v>
      </c>
      <c r="W1397" s="3" t="n">
        <v>-14.351</v>
      </c>
      <c r="X1397" s="3" t="n">
        <v>-48.662</v>
      </c>
      <c r="Y1397" s="3" t="n">
        <v>-57.183</v>
      </c>
      <c r="Z1397" s="3" t="n">
        <v>-24.551</v>
      </c>
      <c r="AA1397" s="3" t="n">
        <v>24.011</v>
      </c>
      <c r="AB1397" s="3" t="n">
        <v>-38.693</v>
      </c>
      <c r="AC1397" s="3" t="n">
        <v>-66.982</v>
      </c>
      <c r="AD1397" s="3" t="n">
        <v>-26.032</v>
      </c>
      <c r="AE1397" s="3" t="n">
        <v>-22.947</v>
      </c>
      <c r="AF1397" s="3" t="n">
        <v>-36.159078</v>
      </c>
      <c r="AG1397" s="3" t="n">
        <v>-84.45680900000001</v>
      </c>
      <c r="AH1397" s="3" t="n">
        <v>-75.33223700000001</v>
      </c>
      <c r="AI1397" s="3" t="n">
        <v>-73.906361</v>
      </c>
      <c r="AJ1397" s="3" t="n">
        <v>-83.150606</v>
      </c>
      <c r="AK1397" s="3" t="n">
        <v>-102.893256</v>
      </c>
      <c r="AL1397" s="3" t="n">
        <v>-132.196992</v>
      </c>
      <c r="AM1397" s="3" t="n"/>
      <c r="AN1397" s="3" t="n"/>
      <c r="AO1397" s="3" t="n"/>
      <c r="AP1397" s="3" t="n"/>
      <c r="AQ1397" s="3" t="n"/>
      <c r="AR1397" s="3" t="n"/>
      <c r="AS1397" s="3" t="n"/>
      <c r="AT1397" s="3" t="n"/>
      <c r="AU1397" s="3" t="n"/>
    </row>
    <row r="1398">
      <c r="A1398" s="3" t="n">
        <v>2031</v>
      </c>
      <c r="B1398" s="3" t="inlineStr">
        <is>
          <t>IND</t>
        </is>
      </c>
      <c r="C1398" s="3" t="inlineStr">
        <is>
          <t>IMF.RES:WEO</t>
        </is>
      </c>
      <c r="D1398" s="3" t="inlineStr">
        <is>
          <t>IND.BCA_NGDPD.A</t>
        </is>
      </c>
      <c r="E1398" s="3" t="inlineStr">
        <is>
          <t>India</t>
        </is>
      </c>
      <c r="F1398" s="3" t="inlineStr">
        <is>
          <t>Current account balance (credit less debit), Percent of GDP</t>
        </is>
      </c>
      <c r="G1398" s="3" t="n">
        <v>-0.56924</v>
      </c>
      <c r="H1398" s="3" t="n">
        <v>0.700434</v>
      </c>
      <c r="I1398" s="3" t="n">
        <v>1.231945</v>
      </c>
      <c r="J1398" s="3" t="n">
        <v>2.317303</v>
      </c>
      <c r="K1398" s="3" t="n">
        <v>-0.348278</v>
      </c>
      <c r="L1398" s="3" t="n">
        <v>-1.206916</v>
      </c>
      <c r="M1398" s="3" t="n">
        <v>-1.017272</v>
      </c>
      <c r="N1398" s="3" t="n">
        <v>-1.293326</v>
      </c>
      <c r="O1398" s="3" t="n">
        <v>-2.328332</v>
      </c>
      <c r="P1398" s="3" t="n">
        <v>-2.864395</v>
      </c>
      <c r="Q1398" s="3" t="n">
        <v>-2.856682</v>
      </c>
      <c r="R1398" s="3" t="n">
        <v>-4.28951</v>
      </c>
      <c r="S1398" s="3" t="n">
        <v>-4.81896</v>
      </c>
      <c r="T1398" s="3" t="n">
        <v>-1.746436</v>
      </c>
      <c r="U1398" s="3" t="n">
        <v>-1.324078</v>
      </c>
      <c r="V1398" s="3" t="n">
        <v>-1.061009</v>
      </c>
      <c r="W1398" s="3" t="n">
        <v>-0.633649</v>
      </c>
      <c r="X1398" s="3" t="n">
        <v>-1.86451</v>
      </c>
      <c r="Y1398" s="3" t="n">
        <v>-2.155007</v>
      </c>
      <c r="Z1398" s="3" t="n">
        <v>-0.8842950000000001</v>
      </c>
      <c r="AA1398" s="3" t="n">
        <v>0.919274</v>
      </c>
      <c r="AB1398" s="3" t="n">
        <v>-1.254427</v>
      </c>
      <c r="AC1398" s="3" t="n">
        <v>-2.061023</v>
      </c>
      <c r="AD1398" s="3" t="n">
        <v>-0.743579</v>
      </c>
      <c r="AE1398" s="3" t="n">
        <v>-0.610161</v>
      </c>
      <c r="AF1398" s="3" t="n">
        <v>-0.9232939999999999</v>
      </c>
      <c r="AG1398" s="3" t="n">
        <v>-2.03354</v>
      </c>
      <c r="AH1398" s="3" t="n">
        <v>-1.645138</v>
      </c>
      <c r="AI1398" s="3" t="n">
        <v>-1.46096</v>
      </c>
      <c r="AJ1398" s="3" t="n">
        <v>-1.484983</v>
      </c>
      <c r="AK1398" s="3" t="n">
        <v>-1.666723</v>
      </c>
      <c r="AL1398" s="3" t="n">
        <v>-1.946239</v>
      </c>
      <c r="AM1398" s="3" t="n"/>
      <c r="AN1398" s="3" t="n"/>
      <c r="AO1398" s="3" t="n"/>
      <c r="AP1398" s="3" t="n"/>
      <c r="AQ1398" s="3" t="n"/>
      <c r="AR1398" s="3" t="n"/>
      <c r="AS1398" s="3" t="n"/>
      <c r="AT1398" s="3" t="n"/>
      <c r="AU1398" s="3" t="n"/>
    </row>
    <row r="1399">
      <c r="A1399" s="3" t="n">
        <v>2031</v>
      </c>
      <c r="B1399" s="3" t="inlineStr">
        <is>
          <t>IND</t>
        </is>
      </c>
      <c r="C1399" s="3" t="inlineStr">
        <is>
          <t>IMF.RES:WEO</t>
        </is>
      </c>
      <c r="D1399" s="3" t="inlineStr">
        <is>
          <t>IND.GGR_NGDP.A</t>
        </is>
      </c>
      <c r="E1399" s="3" t="inlineStr">
        <is>
          <t>India</t>
        </is>
      </c>
      <c r="F1399" s="3" t="inlineStr">
        <is>
          <t>Revenue, General government, Percent of GDP</t>
        </is>
      </c>
      <c r="G1399" s="3" t="n">
        <v>17.676666</v>
      </c>
      <c r="H1399" s="3" t="n">
        <v>17.242748</v>
      </c>
      <c r="I1399" s="3" t="n">
        <v>18.043027</v>
      </c>
      <c r="J1399" s="3" t="n">
        <v>18.513681</v>
      </c>
      <c r="K1399" s="3" t="n">
        <v>19.228534</v>
      </c>
      <c r="L1399" s="3" t="n">
        <v>19.383785</v>
      </c>
      <c r="M1399" s="3" t="n">
        <v>20.52941</v>
      </c>
      <c r="N1399" s="3" t="n">
        <v>22.358216</v>
      </c>
      <c r="O1399" s="3" t="n">
        <v>20.122135</v>
      </c>
      <c r="P1399" s="3" t="n">
        <v>18.842115</v>
      </c>
      <c r="Q1399" s="3" t="n">
        <v>19.190382</v>
      </c>
      <c r="R1399" s="3" t="n">
        <v>19.291433</v>
      </c>
      <c r="S1399" s="3" t="n">
        <v>19.866195</v>
      </c>
      <c r="T1399" s="3" t="n">
        <v>19.703287</v>
      </c>
      <c r="U1399" s="3" t="n">
        <v>19.30066</v>
      </c>
      <c r="V1399" s="3" t="n">
        <v>20.063571</v>
      </c>
      <c r="W1399" s="3" t="n">
        <v>20.379064</v>
      </c>
      <c r="X1399" s="3" t="n">
        <v>20.323021</v>
      </c>
      <c r="Y1399" s="3" t="n">
        <v>20.323557</v>
      </c>
      <c r="Z1399" s="3" t="n">
        <v>19.560622</v>
      </c>
      <c r="AA1399" s="3" t="n">
        <v>18.592022</v>
      </c>
      <c r="AB1399" s="3" t="n">
        <v>20.986599</v>
      </c>
      <c r="AC1399" s="3" t="n">
        <v>20.72849</v>
      </c>
      <c r="AD1399" s="3" t="n">
        <v>21.327491</v>
      </c>
      <c r="AE1399" s="3" t="n">
        <v>21.423132</v>
      </c>
      <c r="AF1399" s="3" t="n">
        <v>21.023085</v>
      </c>
      <c r="AG1399" s="3" t="n">
        <v>21.227386</v>
      </c>
      <c r="AH1399" s="3" t="n">
        <v>21.358335</v>
      </c>
      <c r="AI1399" s="3" t="n">
        <v>21.487168</v>
      </c>
      <c r="AJ1399" s="3" t="n">
        <v>21.618124</v>
      </c>
      <c r="AK1399" s="3" t="n">
        <v>21.750796</v>
      </c>
      <c r="AL1399" s="3" t="n">
        <v>21.885506</v>
      </c>
      <c r="AM1399" s="3" t="n"/>
      <c r="AN1399" s="3" t="n"/>
      <c r="AO1399" s="3" t="n"/>
      <c r="AP1399" s="3" t="n"/>
      <c r="AQ1399" s="3" t="n"/>
      <c r="AR1399" s="3" t="n"/>
      <c r="AS1399" s="3" t="n"/>
      <c r="AT1399" s="3" t="n"/>
      <c r="AU1399" s="3" t="n"/>
    </row>
    <row r="1400">
      <c r="A1400" s="3" t="n">
        <v>2031</v>
      </c>
      <c r="B1400" s="3" t="inlineStr">
        <is>
          <t>IND</t>
        </is>
      </c>
      <c r="C1400" s="3" t="inlineStr">
        <is>
          <t>IMF.RES:WEO</t>
        </is>
      </c>
      <c r="D1400" s="3" t="inlineStr">
        <is>
          <t>IND.GGX_NGDP.A</t>
        </is>
      </c>
      <c r="E1400" s="3" t="inlineStr">
        <is>
          <t>India</t>
        </is>
      </c>
      <c r="F1400" s="3" t="inlineStr">
        <is>
          <t>Expenditure, General government, Percent of GDP</t>
        </is>
      </c>
      <c r="G1400" s="3" t="n">
        <v>26.085577</v>
      </c>
      <c r="H1400" s="3" t="n">
        <v>28.275738</v>
      </c>
      <c r="I1400" s="3" t="n">
        <v>29.115133</v>
      </c>
      <c r="J1400" s="3" t="n">
        <v>29.941777</v>
      </c>
      <c r="K1400" s="3" t="n">
        <v>28.449536</v>
      </c>
      <c r="L1400" s="3" t="n">
        <v>26.026233</v>
      </c>
      <c r="M1400" s="3" t="n">
        <v>25.64209</v>
      </c>
      <c r="N1400" s="3" t="n">
        <v>26.093041</v>
      </c>
      <c r="O1400" s="3" t="n">
        <v>28.268805</v>
      </c>
      <c r="P1400" s="3" t="n">
        <v>28.100656</v>
      </c>
      <c r="Q1400" s="3" t="n">
        <v>27.720564</v>
      </c>
      <c r="R1400" s="3" t="n">
        <v>27.319735</v>
      </c>
      <c r="S1400" s="3" t="n">
        <v>27.184459</v>
      </c>
      <c r="T1400" s="3" t="n">
        <v>26.487965</v>
      </c>
      <c r="U1400" s="3" t="n">
        <v>26.202568</v>
      </c>
      <c r="V1400" s="3" t="n">
        <v>27.344749</v>
      </c>
      <c r="W1400" s="3" t="n">
        <v>27.593321</v>
      </c>
      <c r="X1400" s="3" t="n">
        <v>26.649433</v>
      </c>
      <c r="Y1400" s="3" t="n">
        <v>26.780764</v>
      </c>
      <c r="Z1400" s="3" t="n">
        <v>27.418949</v>
      </c>
      <c r="AA1400" s="3" t="n">
        <v>31.766234</v>
      </c>
      <c r="AB1400" s="3" t="n">
        <v>30.688014</v>
      </c>
      <c r="AC1400" s="3" t="n">
        <v>29.962724</v>
      </c>
      <c r="AD1400" s="3" t="n">
        <v>29.701875</v>
      </c>
      <c r="AE1400" s="3" t="n">
        <v>29.27805</v>
      </c>
      <c r="AF1400" s="3" t="n">
        <v>28.46332</v>
      </c>
      <c r="AG1400" s="3" t="n">
        <v>28.64116</v>
      </c>
      <c r="AH1400" s="3" t="n">
        <v>28.666643</v>
      </c>
      <c r="AI1400" s="3" t="n">
        <v>28.600157</v>
      </c>
      <c r="AJ1400" s="3" t="n">
        <v>28.525094</v>
      </c>
      <c r="AK1400" s="3" t="n">
        <v>28.490423</v>
      </c>
      <c r="AL1400" s="3" t="n">
        <v>28.437661</v>
      </c>
      <c r="AM1400" s="3" t="n"/>
      <c r="AN1400" s="3" t="n"/>
      <c r="AO1400" s="3" t="n"/>
      <c r="AP1400" s="3" t="n"/>
      <c r="AQ1400" s="3" t="n"/>
      <c r="AR1400" s="3" t="n"/>
      <c r="AS1400" s="3" t="n"/>
      <c r="AT1400" s="3" t="n"/>
      <c r="AU1400" s="3" t="n"/>
    </row>
    <row r="1401">
      <c r="A1401" s="3" t="n">
        <v>2031</v>
      </c>
      <c r="B1401" s="3" t="inlineStr">
        <is>
          <t>IND</t>
        </is>
      </c>
      <c r="C1401" s="3" t="inlineStr">
        <is>
          <t>IMF.RES:WEO</t>
        </is>
      </c>
      <c r="D1401" s="3" t="inlineStr">
        <is>
          <t>IND.LP.A</t>
        </is>
      </c>
      <c r="E1401" s="3" t="inlineStr">
        <is>
          <t>India</t>
        </is>
      </c>
      <c r="F1401" s="3" t="inlineStr">
        <is>
          <t>Population, Persons for countries / Index for country groups</t>
        </is>
      </c>
      <c r="G1401" s="3" t="n">
        <v>1057.922733</v>
      </c>
      <c r="H1401" s="3" t="n">
        <v>1077.898575</v>
      </c>
      <c r="I1401" s="3" t="n">
        <v>1097.600381</v>
      </c>
      <c r="J1401" s="3" t="n">
        <v>1116.803006</v>
      </c>
      <c r="K1401" s="3" t="n">
        <v>1135.991514</v>
      </c>
      <c r="L1401" s="3" t="n">
        <v>1154.676322</v>
      </c>
      <c r="M1401" s="3" t="n">
        <v>1172.87889</v>
      </c>
      <c r="N1401" s="3" t="n">
        <v>1190.676021</v>
      </c>
      <c r="O1401" s="3" t="n">
        <v>1207.930964</v>
      </c>
      <c r="P1401" s="3" t="n">
        <v>1225.524753</v>
      </c>
      <c r="Q1401" s="3" t="n">
        <v>1243.481564</v>
      </c>
      <c r="R1401" s="3" t="n">
        <v>1261.224955</v>
      </c>
      <c r="S1401" s="3" t="n">
        <v>1278.674503</v>
      </c>
      <c r="T1401" s="3" t="n">
        <v>1295.829511</v>
      </c>
      <c r="U1401" s="3" t="n">
        <v>1312.277192</v>
      </c>
      <c r="V1401" s="3" t="n">
        <v>1328.024498</v>
      </c>
      <c r="W1401" s="3" t="n">
        <v>1343.944296</v>
      </c>
      <c r="X1401" s="3" t="n">
        <v>1359.6574</v>
      </c>
      <c r="Y1401" s="3" t="n">
        <v>1374.659064</v>
      </c>
      <c r="Z1401" s="3" t="n">
        <v>1389.030312</v>
      </c>
      <c r="AA1401" s="3" t="n">
        <v>1402.617696</v>
      </c>
      <c r="AB1401" s="3" t="n">
        <v>1414.203896</v>
      </c>
      <c r="AC1401" s="3" t="n">
        <v>1425.423213</v>
      </c>
      <c r="AD1401" s="3" t="n">
        <v>1438.069596</v>
      </c>
      <c r="AE1401" s="3" t="n">
        <v>1450.935791</v>
      </c>
      <c r="AF1401" s="3" t="n">
        <v>1463.865525</v>
      </c>
      <c r="AG1401" s="3" t="n">
        <v>1476.625577</v>
      </c>
      <c r="AH1401" s="3" t="n">
        <v>1489.164674</v>
      </c>
      <c r="AI1401" s="3" t="n">
        <v>1501.43274</v>
      </c>
      <c r="AJ1401" s="3" t="n">
        <v>1513.423731</v>
      </c>
      <c r="AK1401" s="3" t="n">
        <v>1525.138845</v>
      </c>
      <c r="AL1401" s="3" t="n">
        <v>1536.540602</v>
      </c>
      <c r="AM1401" s="3" t="n"/>
      <c r="AN1401" s="3" t="n"/>
      <c r="AO1401" s="3" t="n"/>
      <c r="AP1401" s="3" t="n"/>
      <c r="AQ1401" s="3" t="n"/>
      <c r="AR1401" s="3" t="n"/>
      <c r="AS1401" s="3" t="n"/>
      <c r="AT1401" s="3" t="n"/>
      <c r="AU1401" s="3" t="n"/>
    </row>
    <row r="1402">
      <c r="A1402" s="3" t="n">
        <v>2031</v>
      </c>
      <c r="B1402" s="3" t="inlineStr">
        <is>
          <t>IND</t>
        </is>
      </c>
      <c r="C1402" s="3" t="inlineStr">
        <is>
          <t>IMF.RES:WEO</t>
        </is>
      </c>
      <c r="D1402" s="3" t="inlineStr">
        <is>
          <t>IND.NGDP.A</t>
        </is>
      </c>
      <c r="E1402" s="3" t="inlineStr">
        <is>
          <t>India</t>
        </is>
      </c>
      <c r="F1402" s="3" t="inlineStr">
        <is>
          <t>Gross domestic product (GDP), Current prices, Domestic currency</t>
        </is>
      </c>
      <c r="G1402" s="3" t="n">
        <v>21398.9</v>
      </c>
      <c r="H1402" s="3" t="n">
        <v>23152.4</v>
      </c>
      <c r="I1402" s="3" t="n">
        <v>24926.1</v>
      </c>
      <c r="J1402" s="3" t="n">
        <v>27925.3</v>
      </c>
      <c r="K1402" s="3" t="n">
        <v>31863.3</v>
      </c>
      <c r="L1402" s="3" t="n">
        <v>36321.3</v>
      </c>
      <c r="M1402" s="3" t="n">
        <v>42546.3</v>
      </c>
      <c r="N1402" s="3" t="n">
        <v>48986.6</v>
      </c>
      <c r="O1402" s="3" t="n">
        <v>55141.5</v>
      </c>
      <c r="P1402" s="3" t="n">
        <v>63664.1</v>
      </c>
      <c r="Q1402" s="3" t="n">
        <v>76344.7</v>
      </c>
      <c r="R1402" s="3" t="n">
        <v>87363.288109</v>
      </c>
      <c r="S1402" s="3" t="n">
        <v>99180.316672</v>
      </c>
      <c r="T1402" s="3" t="n">
        <v>111748.20591</v>
      </c>
      <c r="U1402" s="3" t="n">
        <v>123702.313201</v>
      </c>
      <c r="V1402" s="3" t="n">
        <v>136279.428135</v>
      </c>
      <c r="W1402" s="3" t="n">
        <v>151905.944064</v>
      </c>
      <c r="X1402" s="3" t="n">
        <v>168221.275357</v>
      </c>
      <c r="Y1402" s="3" t="n">
        <v>185540.047741</v>
      </c>
      <c r="Z1402" s="3" t="n">
        <v>196833.840218</v>
      </c>
      <c r="AA1402" s="3" t="n">
        <v>193872.279728</v>
      </c>
      <c r="AB1402" s="3" t="n">
        <v>229808.523088</v>
      </c>
      <c r="AC1402" s="3" t="n">
        <v>261176.3</v>
      </c>
      <c r="AD1402" s="3" t="n">
        <v>289839.1</v>
      </c>
      <c r="AE1402" s="3" t="n">
        <v>318073.1</v>
      </c>
      <c r="AF1402" s="3" t="n">
        <v>346511.54562</v>
      </c>
      <c r="AG1402" s="3" t="n">
        <v>384527.119407</v>
      </c>
      <c r="AH1402" s="3" t="n">
        <v>426017.279596</v>
      </c>
      <c r="AI1402" s="3" t="n">
        <v>471857.324319</v>
      </c>
      <c r="AJ1402" s="3" t="n">
        <v>522727.194128</v>
      </c>
      <c r="AK1402" s="3" t="n">
        <v>578989.842184</v>
      </c>
      <c r="AL1402" s="3" t="n">
        <v>641371.245576</v>
      </c>
      <c r="AM1402" s="3" t="n"/>
      <c r="AN1402" s="3" t="n"/>
      <c r="AO1402" s="3" t="n"/>
      <c r="AP1402" s="3" t="n"/>
      <c r="AQ1402" s="3" t="n"/>
      <c r="AR1402" s="3" t="n"/>
      <c r="AS1402" s="3" t="n"/>
      <c r="AT1402" s="3" t="n"/>
      <c r="AU1402" s="3" t="n"/>
    </row>
    <row r="1403">
      <c r="A1403" s="3" t="n">
        <v>2031</v>
      </c>
      <c r="B1403" s="3" t="inlineStr">
        <is>
          <t>IND</t>
        </is>
      </c>
      <c r="C1403" s="3" t="inlineStr">
        <is>
          <t>IMF.RES:WEO</t>
        </is>
      </c>
      <c r="D1403" s="3" t="inlineStr">
        <is>
          <t>IND.NGDP_D.A</t>
        </is>
      </c>
      <c r="E1403" s="3" t="inlineStr">
        <is>
          <t>India</t>
        </is>
      </c>
      <c r="F1403" s="3" t="inlineStr">
        <is>
          <t>Gross domestic product (GDP), Price deflator, Index</t>
        </is>
      </c>
      <c r="G1403" s="3" t="n">
        <v>30.610492</v>
      </c>
      <c r="H1403" s="3" t="n">
        <v>31.594708</v>
      </c>
      <c r="I1403" s="3" t="n">
        <v>32.768713</v>
      </c>
      <c r="J1403" s="3" t="n">
        <v>34.036159</v>
      </c>
      <c r="K1403" s="3" t="n">
        <v>35.984854</v>
      </c>
      <c r="L1403" s="3" t="n">
        <v>38.007993</v>
      </c>
      <c r="M1403" s="3" t="n">
        <v>41.200911</v>
      </c>
      <c r="N1403" s="3" t="n">
        <v>44.062057</v>
      </c>
      <c r="O1403" s="3" t="n">
        <v>48.11315</v>
      </c>
      <c r="P1403" s="3" t="n">
        <v>51.500509</v>
      </c>
      <c r="Q1403" s="3" t="n">
        <v>56.921402</v>
      </c>
      <c r="R1403" s="3" t="n">
        <v>61.892728</v>
      </c>
      <c r="S1403" s="3" t="n">
        <v>66.62898800000001</v>
      </c>
      <c r="T1403" s="3" t="n">
        <v>70.565664</v>
      </c>
      <c r="U1403" s="3" t="n">
        <v>72.72523200000001</v>
      </c>
      <c r="V1403" s="3" t="n">
        <v>74.18719400000001</v>
      </c>
      <c r="W1403" s="3" t="n">
        <v>76.38711600000001</v>
      </c>
      <c r="X1403" s="3" t="n">
        <v>79.20886900000001</v>
      </c>
      <c r="Y1403" s="3" t="n">
        <v>82.067103</v>
      </c>
      <c r="Z1403" s="3" t="n">
        <v>83.817582</v>
      </c>
      <c r="AA1403" s="3" t="n">
        <v>87.61884000000001</v>
      </c>
      <c r="AB1403" s="3" t="n">
        <v>94.685283</v>
      </c>
      <c r="AC1403" s="3" t="n">
        <v>100</v>
      </c>
      <c r="AD1403" s="3" t="n">
        <v>103.511118</v>
      </c>
      <c r="AE1403" s="3" t="n">
        <v>106.064601</v>
      </c>
      <c r="AF1403" s="3" t="n">
        <v>107.367902</v>
      </c>
      <c r="AG1403" s="3" t="n">
        <v>111.898211</v>
      </c>
      <c r="AH1403" s="3" t="n">
        <v>116.373881</v>
      </c>
      <c r="AI1403" s="3" t="n">
        <v>121.028661</v>
      </c>
      <c r="AJ1403" s="3" t="n">
        <v>125.869436</v>
      </c>
      <c r="AK1403" s="3" t="n">
        <v>130.903837</v>
      </c>
      <c r="AL1403" s="3" t="n">
        <v>136.139606</v>
      </c>
      <c r="AM1403" s="3" t="n"/>
      <c r="AN1403" s="3" t="n"/>
      <c r="AO1403" s="3" t="n"/>
      <c r="AP1403" s="3" t="n"/>
      <c r="AQ1403" s="3" t="n"/>
      <c r="AR1403" s="3" t="n"/>
      <c r="AS1403" s="3" t="n"/>
      <c r="AT1403" s="3" t="n"/>
      <c r="AU1403" s="3" t="n"/>
    </row>
    <row r="1404">
      <c r="A1404" s="3" t="n">
        <v>2031</v>
      </c>
      <c r="B1404" s="3" t="inlineStr">
        <is>
          <t>IND</t>
        </is>
      </c>
      <c r="C1404" s="3" t="inlineStr">
        <is>
          <t>IMF.RES:WEO</t>
        </is>
      </c>
      <c r="D1404" s="3" t="inlineStr">
        <is>
          <t>IND.NGDP_R.A</t>
        </is>
      </c>
      <c r="E1404" s="3" t="inlineStr">
        <is>
          <t>India</t>
        </is>
      </c>
      <c r="F1404" s="3" t="inlineStr">
        <is>
          <t>Gross domestic product (GDP), Constant prices, Domestic currency</t>
        </is>
      </c>
      <c r="G1404" s="3" t="n">
        <v>69907.075603</v>
      </c>
      <c r="H1404" s="3" t="n">
        <v>73279.36162500001</v>
      </c>
      <c r="I1404" s="3" t="n">
        <v>76066.76476999999</v>
      </c>
      <c r="J1404" s="3" t="n">
        <v>82045.980407</v>
      </c>
      <c r="K1404" s="3" t="n">
        <v>88546.420399</v>
      </c>
      <c r="L1404" s="3" t="n">
        <v>95562.268228</v>
      </c>
      <c r="M1404" s="3" t="n">
        <v>103265.434223</v>
      </c>
      <c r="N1404" s="3" t="n">
        <v>111176.379052</v>
      </c>
      <c r="O1404" s="3" t="n">
        <v>114607.96121</v>
      </c>
      <c r="P1404" s="3" t="n">
        <v>123618.388904</v>
      </c>
      <c r="Q1404" s="3" t="n">
        <v>134123.014621</v>
      </c>
      <c r="R1404" s="3" t="n">
        <v>141152.751146</v>
      </c>
      <c r="S1404" s="3" t="n">
        <v>148854.604977</v>
      </c>
      <c r="T1404" s="3" t="n">
        <v>158360.595612</v>
      </c>
      <c r="U1404" s="3" t="n">
        <v>170095.452954</v>
      </c>
      <c r="V1404" s="3" t="n">
        <v>183696.701475</v>
      </c>
      <c r="W1404" s="3" t="n">
        <v>198863.304817</v>
      </c>
      <c r="X1404" s="3" t="n">
        <v>212376.817637</v>
      </c>
      <c r="Y1404" s="3" t="n">
        <v>226083.340531</v>
      </c>
      <c r="Z1404" s="3" t="n">
        <v>234835.978819</v>
      </c>
      <c r="AA1404" s="3" t="n">
        <v>221267.7993</v>
      </c>
      <c r="AB1404" s="3" t="n">
        <v>242707.752661</v>
      </c>
      <c r="AC1404" s="3" t="n">
        <v>261176.3</v>
      </c>
      <c r="AD1404" s="3" t="n">
        <v>280007.7</v>
      </c>
      <c r="AE1404" s="3" t="n">
        <v>299886.2</v>
      </c>
      <c r="AF1404" s="3" t="n">
        <v>322732.900259</v>
      </c>
      <c r="AG1404" s="3" t="n">
        <v>343640.094223</v>
      </c>
      <c r="AH1404" s="3" t="n">
        <v>366076.371405</v>
      </c>
      <c r="AI1404" s="3" t="n">
        <v>389872.383979</v>
      </c>
      <c r="AJ1404" s="3" t="n">
        <v>415293.189863</v>
      </c>
      <c r="AK1404" s="3" t="n">
        <v>442301.659592</v>
      </c>
      <c r="AL1404" s="3" t="n">
        <v>471112.898283</v>
      </c>
      <c r="AM1404" s="3" t="n"/>
      <c r="AN1404" s="3" t="n"/>
      <c r="AO1404" s="3" t="n"/>
      <c r="AP1404" s="3" t="n"/>
      <c r="AQ1404" s="3" t="n"/>
      <c r="AR1404" s="3" t="n"/>
      <c r="AS1404" s="3" t="n"/>
      <c r="AT1404" s="3" t="n"/>
      <c r="AU1404" s="3" t="n"/>
    </row>
    <row r="1405">
      <c r="A1405" s="3" t="n">
        <v>2031</v>
      </c>
      <c r="B1405" s="3" t="inlineStr">
        <is>
          <t>IND</t>
        </is>
      </c>
      <c r="C1405" s="3" t="inlineStr">
        <is>
          <t>IMF.RES:WEO</t>
        </is>
      </c>
      <c r="D1405" s="3" t="inlineStr">
        <is>
          <t>IND.NGDP_RPCH.A</t>
        </is>
      </c>
      <c r="E1405" s="3" t="inlineStr">
        <is>
          <t>India</t>
        </is>
      </c>
      <c r="F1405" s="3" t="inlineStr">
        <is>
          <t>Gross domestic product (GDP), Constant prices, Percent change</t>
        </is>
      </c>
      <c r="G1405" s="3" t="n">
        <v>3.841178</v>
      </c>
      <c r="H1405" s="3" t="n">
        <v>4.823955</v>
      </c>
      <c r="I1405" s="3" t="n">
        <v>3.803804</v>
      </c>
      <c r="J1405" s="3" t="n">
        <v>7.860484</v>
      </c>
      <c r="K1405" s="3" t="n">
        <v>7.922923</v>
      </c>
      <c r="L1405" s="3" t="n">
        <v>7.923356</v>
      </c>
      <c r="M1405" s="3" t="n">
        <v>8.060886999999999</v>
      </c>
      <c r="N1405" s="3" t="n">
        <v>7.660787</v>
      </c>
      <c r="O1405" s="3" t="n">
        <v>3.086611</v>
      </c>
      <c r="P1405" s="3" t="n">
        <v>7.861956</v>
      </c>
      <c r="Q1405" s="3" t="n">
        <v>8.497624</v>
      </c>
      <c r="R1405" s="3" t="n">
        <v>5.24126</v>
      </c>
      <c r="S1405" s="3" t="n">
        <v>5.456397</v>
      </c>
      <c r="T1405" s="3" t="n">
        <v>6.386091</v>
      </c>
      <c r="U1405" s="3" t="n">
        <v>7.410213</v>
      </c>
      <c r="V1405" s="3" t="n">
        <v>7.996245</v>
      </c>
      <c r="W1405" s="3" t="n">
        <v>8.256328999999999</v>
      </c>
      <c r="X1405" s="3" t="n">
        <v>6.795378</v>
      </c>
      <c r="Y1405" s="3" t="n">
        <v>6.45387</v>
      </c>
      <c r="Z1405" s="3" t="n">
        <v>3.871421</v>
      </c>
      <c r="AA1405" s="3" t="n">
        <v>-5.777726</v>
      </c>
      <c r="AB1405" s="3" t="n">
        <v>9.689595000000001</v>
      </c>
      <c r="AC1405" s="3" t="n">
        <v>7.609377</v>
      </c>
      <c r="AD1405" s="3" t="n">
        <v>7.210225</v>
      </c>
      <c r="AE1405" s="3" t="n">
        <v>7.099269</v>
      </c>
      <c r="AF1405" s="3" t="n">
        <v>7.618457</v>
      </c>
      <c r="AG1405" s="3" t="n">
        <v>6.478172</v>
      </c>
      <c r="AH1405" s="3" t="n">
        <v>6.529004</v>
      </c>
      <c r="AI1405" s="3" t="n">
        <v>6.500286</v>
      </c>
      <c r="AJ1405" s="3" t="n">
        <v>6.520289</v>
      </c>
      <c r="AK1405" s="3" t="n">
        <v>6.50347</v>
      </c>
      <c r="AL1405" s="3" t="n">
        <v>6.513934</v>
      </c>
      <c r="AM1405" s="3" t="n"/>
      <c r="AN1405" s="3" t="n"/>
      <c r="AO1405" s="3" t="n"/>
      <c r="AP1405" s="3" t="n"/>
      <c r="AQ1405" s="3" t="n"/>
      <c r="AR1405" s="3" t="n"/>
      <c r="AS1405" s="3" t="n"/>
      <c r="AT1405" s="3" t="n"/>
      <c r="AU1405" s="3" t="n"/>
    </row>
    <row r="1406">
      <c r="A1406" s="3" t="n">
        <v>2031</v>
      </c>
      <c r="B1406" s="3" t="inlineStr">
        <is>
          <t>IND</t>
        </is>
      </c>
      <c r="C1406" s="3" t="inlineStr">
        <is>
          <t>IMF.RES:WEO</t>
        </is>
      </c>
      <c r="D1406" s="3" t="inlineStr">
        <is>
          <t>IND.NGDPD.A</t>
        </is>
      </c>
      <c r="E1406" s="3" t="inlineStr">
        <is>
          <t>India</t>
        </is>
      </c>
      <c r="F1406" s="3" t="inlineStr">
        <is>
          <t>Gross domestic product (GDP), Current prices, US dollar</t>
        </is>
      </c>
      <c r="G1406" s="3" t="n">
        <v>468.396462</v>
      </c>
      <c r="H1406" s="3" t="n">
        <v>485.439521</v>
      </c>
      <c r="I1406" s="3" t="n">
        <v>514.938355</v>
      </c>
      <c r="J1406" s="3" t="n">
        <v>607.700654</v>
      </c>
      <c r="K1406" s="3" t="n">
        <v>709.152295</v>
      </c>
      <c r="L1406" s="3" t="n">
        <v>820.384963</v>
      </c>
      <c r="M1406" s="3" t="n">
        <v>940.260113</v>
      </c>
      <c r="N1406" s="3" t="n">
        <v>1216.735937</v>
      </c>
      <c r="O1406" s="3" t="n">
        <v>1198.894629</v>
      </c>
      <c r="P1406" s="3" t="n">
        <v>1341.888746</v>
      </c>
      <c r="Q1406" s="3" t="n">
        <v>1675.615041</v>
      </c>
      <c r="R1406" s="3" t="n">
        <v>1823.051851</v>
      </c>
      <c r="S1406" s="3" t="n">
        <v>1822.862379</v>
      </c>
      <c r="T1406" s="3" t="n">
        <v>1847.019155</v>
      </c>
      <c r="U1406" s="3" t="n">
        <v>2023.143125</v>
      </c>
      <c r="V1406" s="3" t="n">
        <v>2081.60356</v>
      </c>
      <c r="W1406" s="3" t="n">
        <v>2264.817985</v>
      </c>
      <c r="X1406" s="3" t="n">
        <v>2609.907996</v>
      </c>
      <c r="Y1406" s="3" t="n">
        <v>2653.494668</v>
      </c>
      <c r="Z1406" s="3" t="n">
        <v>2776.335902</v>
      </c>
      <c r="AA1406" s="3" t="n">
        <v>2611.952567</v>
      </c>
      <c r="AB1406" s="3" t="n">
        <v>3084.517059</v>
      </c>
      <c r="AC1406" s="3" t="n">
        <v>3249.938889</v>
      </c>
      <c r="AD1406" s="3" t="n">
        <v>3500.906098</v>
      </c>
      <c r="AE1406" s="3" t="n">
        <v>3760.813656</v>
      </c>
      <c r="AF1406" s="3" t="n">
        <v>3916.311913</v>
      </c>
      <c r="AG1406" s="3" t="n">
        <v>4153.191455</v>
      </c>
      <c r="AH1406" s="3" t="n">
        <v>4579.082901</v>
      </c>
      <c r="AI1406" s="3" t="n">
        <v>5058.753995</v>
      </c>
      <c r="AJ1406" s="3" t="n">
        <v>5599.432299</v>
      </c>
      <c r="AK1406" s="3" t="n">
        <v>6173.385484</v>
      </c>
      <c r="AL1406" s="3" t="n">
        <v>6792.432208</v>
      </c>
      <c r="AM1406" s="3" t="n"/>
      <c r="AN1406" s="3" t="n"/>
      <c r="AO1406" s="3" t="n"/>
      <c r="AP1406" s="3" t="n"/>
      <c r="AQ1406" s="3" t="n"/>
      <c r="AR1406" s="3" t="n"/>
      <c r="AS1406" s="3" t="n"/>
      <c r="AT1406" s="3" t="n"/>
      <c r="AU1406" s="3" t="n"/>
    </row>
    <row r="1407">
      <c r="A1407" s="3" t="n">
        <v>2031</v>
      </c>
      <c r="B1407" s="3" t="inlineStr">
        <is>
          <t>IND</t>
        </is>
      </c>
      <c r="C1407" s="3" t="inlineStr">
        <is>
          <t>IMF.RES:WEO</t>
        </is>
      </c>
      <c r="D1407" s="3" t="inlineStr">
        <is>
          <t>IND.NGDPPC.A</t>
        </is>
      </c>
      <c r="E1407" s="3" t="inlineStr">
        <is>
          <t>India</t>
        </is>
      </c>
      <c r="F1407" s="3" t="inlineStr">
        <is>
          <t>Gross domestic product (GDP), Current prices, Per capita, Domestic currency</t>
        </is>
      </c>
      <c r="G1407" s="3" t="n">
        <v>20227.280625</v>
      </c>
      <c r="H1407" s="3" t="n">
        <v>21479.200861</v>
      </c>
      <c r="I1407" s="3" t="n">
        <v>22709.63134</v>
      </c>
      <c r="J1407" s="3" t="n">
        <v>25004.678399</v>
      </c>
      <c r="K1407" s="3" t="n">
        <v>28048.889117</v>
      </c>
      <c r="L1407" s="3" t="n">
        <v>31455.82819</v>
      </c>
      <c r="M1407" s="3" t="n">
        <v>36275.100849</v>
      </c>
      <c r="N1407" s="3" t="n">
        <v>41141.838045</v>
      </c>
      <c r="O1407" s="3" t="n">
        <v>45649.545931</v>
      </c>
      <c r="P1407" s="3" t="n">
        <v>51948.440735</v>
      </c>
      <c r="Q1407" s="3" t="n">
        <v>61395.924323</v>
      </c>
      <c r="R1407" s="3" t="n">
        <v>69268.600972</v>
      </c>
      <c r="S1407" s="3" t="n">
        <v>77564.944385</v>
      </c>
      <c r="T1407" s="3" t="n">
        <v>86236.812022</v>
      </c>
      <c r="U1407" s="3" t="n">
        <v>94265.38387000001</v>
      </c>
      <c r="V1407" s="3" t="n">
        <v>102618.158318</v>
      </c>
      <c r="W1407" s="3" t="n">
        <v>113029.940687</v>
      </c>
      <c r="X1407" s="3" t="n">
        <v>123723.281584</v>
      </c>
      <c r="Y1407" s="3" t="n">
        <v>134971.683234</v>
      </c>
      <c r="Z1407" s="3" t="n">
        <v>141705.935801</v>
      </c>
      <c r="AA1407" s="3" t="n">
        <v>138221.755187</v>
      </c>
      <c r="AB1407" s="3" t="n">
        <v>162500.275765</v>
      </c>
      <c r="AC1407" s="3" t="n">
        <v>183227.197165</v>
      </c>
      <c r="AD1407" s="3" t="n">
        <v>201547.338742</v>
      </c>
      <c r="AE1407" s="3" t="n">
        <v>219219.280393</v>
      </c>
      <c r="AF1407" s="3" t="n">
        <v>236709.957179</v>
      </c>
      <c r="AG1407" s="3" t="n">
        <v>260409.358694</v>
      </c>
      <c r="AH1407" s="3" t="n">
        <v>286078.018794</v>
      </c>
      <c r="AI1407" s="3" t="n">
        <v>314271.370209</v>
      </c>
      <c r="AJ1407" s="3" t="n">
        <v>345393.813656</v>
      </c>
      <c r="AK1407" s="3" t="n">
        <v>379630.906571</v>
      </c>
      <c r="AL1407" s="3" t="n">
        <v>417412.494632</v>
      </c>
      <c r="AM1407" s="3" t="n"/>
      <c r="AN1407" s="3" t="n"/>
      <c r="AO1407" s="3" t="n"/>
      <c r="AP1407" s="3" t="n"/>
      <c r="AQ1407" s="3" t="n"/>
      <c r="AR1407" s="3" t="n"/>
      <c r="AS1407" s="3" t="n"/>
      <c r="AT1407" s="3" t="n"/>
      <c r="AU1407" s="3" t="n"/>
    </row>
    <row r="1408">
      <c r="A1408" s="3" t="n">
        <v>2031</v>
      </c>
      <c r="B1408" s="3" t="inlineStr">
        <is>
          <t>IND</t>
        </is>
      </c>
      <c r="C1408" s="3" t="inlineStr">
        <is>
          <t>IMF.RES:WEO</t>
        </is>
      </c>
      <c r="D1408" s="3" t="inlineStr">
        <is>
          <t>IND.NGDPRPC.A</t>
        </is>
      </c>
      <c r="E1408" s="3" t="inlineStr">
        <is>
          <t>India</t>
        </is>
      </c>
      <c r="F1408" s="3" t="inlineStr">
        <is>
          <t>Gross domestic product (GDP), Constant prices, Per capita, Domestic currency</t>
        </is>
      </c>
      <c r="G1408" s="3" t="n">
        <v>66079.566515</v>
      </c>
      <c r="H1408" s="3" t="n">
        <v>67983.54068200001</v>
      </c>
      <c r="I1408" s="3" t="n">
        <v>69302.786443</v>
      </c>
      <c r="J1408" s="3" t="n">
        <v>73465.042596</v>
      </c>
      <c r="K1408" s="3" t="n">
        <v>77946.374904</v>
      </c>
      <c r="L1408" s="3" t="n">
        <v>82761.087595</v>
      </c>
      <c r="M1408" s="3" t="n">
        <v>88044.41374800001</v>
      </c>
      <c r="N1408" s="3" t="n">
        <v>93372.485158</v>
      </c>
      <c r="O1408" s="3" t="n">
        <v>94879.56238600001</v>
      </c>
      <c r="P1408" s="3" t="n">
        <v>100869.760975</v>
      </c>
      <c r="Q1408" s="3" t="n">
        <v>107860.879087</v>
      </c>
      <c r="R1408" s="3" t="n">
        <v>111917.188637</v>
      </c>
      <c r="S1408" s="3" t="n">
        <v>116413.211248</v>
      </c>
      <c r="T1408" s="3" t="n">
        <v>122207.894116</v>
      </c>
      <c r="U1408" s="3" t="n">
        <v>129618.539479</v>
      </c>
      <c r="V1408" s="3" t="n">
        <v>138323.277787</v>
      </c>
      <c r="W1408" s="3" t="n">
        <v>147969.901289</v>
      </c>
      <c r="X1408" s="3" t="n">
        <v>156198.773041</v>
      </c>
      <c r="Y1408" s="3" t="n">
        <v>164465.027331</v>
      </c>
      <c r="Z1408" s="3" t="n">
        <v>169064.689798</v>
      </c>
      <c r="AA1408" s="3" t="n">
        <v>157753.463406</v>
      </c>
      <c r="AB1408" s="3" t="n">
        <v>171621.470813</v>
      </c>
      <c r="AC1408" s="3" t="n">
        <v>183227.197165</v>
      </c>
      <c r="AD1408" s="3" t="n">
        <v>194710.812869</v>
      </c>
      <c r="AE1408" s="3" t="n">
        <v>206684.680232</v>
      </c>
      <c r="AF1408" s="3" t="n">
        <v>220466.221014</v>
      </c>
      <c r="AG1408" s="3" t="n">
        <v>232719.857825</v>
      </c>
      <c r="AH1408" s="3" t="n">
        <v>245826.655572</v>
      </c>
      <c r="AI1408" s="3" t="n">
        <v>259666.899303</v>
      </c>
      <c r="AJ1408" s="3" t="n">
        <v>274406.421253</v>
      </c>
      <c r="AK1408" s="3" t="n">
        <v>290007.471245</v>
      </c>
      <c r="AL1408" s="3" t="n">
        <v>306606.215171</v>
      </c>
      <c r="AM1408" s="3" t="n"/>
      <c r="AN1408" s="3" t="n"/>
      <c r="AO1408" s="3" t="n"/>
      <c r="AP1408" s="3" t="n"/>
      <c r="AQ1408" s="3" t="n"/>
      <c r="AR1408" s="3" t="n"/>
      <c r="AS1408" s="3" t="n"/>
      <c r="AT1408" s="3" t="n"/>
      <c r="AU1408" s="3" t="n"/>
    </row>
    <row r="1409">
      <c r="A1409" s="3" t="n">
        <v>2031</v>
      </c>
      <c r="B1409" s="3" t="inlineStr">
        <is>
          <t>IND</t>
        </is>
      </c>
      <c r="C1409" s="3" t="inlineStr">
        <is>
          <t>IMF.RES:WEO</t>
        </is>
      </c>
      <c r="D1409" s="3" t="inlineStr">
        <is>
          <t>IND.PCPI.A</t>
        </is>
      </c>
      <c r="E1409" s="3" t="inlineStr">
        <is>
          <t>India</t>
        </is>
      </c>
      <c r="F1409" s="3" t="inlineStr">
        <is>
          <t>All Items, Consumer price index (CPI), Period average</t>
        </is>
      </c>
      <c r="G1409" s="3" t="n">
        <v>24.60871</v>
      </c>
      <c r="H1409" s="3" t="n">
        <v>25.701667</v>
      </c>
      <c r="I1409" s="3" t="n">
        <v>26.985</v>
      </c>
      <c r="J1409" s="3" t="n">
        <v>28.093333</v>
      </c>
      <c r="K1409" s="3" t="n">
        <v>29.215833</v>
      </c>
      <c r="L1409" s="3" t="n">
        <v>30.289167</v>
      </c>
      <c r="M1409" s="3" t="n">
        <v>32.33</v>
      </c>
      <c r="N1409" s="3" t="n">
        <v>34.243333</v>
      </c>
      <c r="O1409" s="3" t="n">
        <v>37.3975</v>
      </c>
      <c r="P1409" s="3" t="n">
        <v>41.363333</v>
      </c>
      <c r="Q1409" s="3" t="n">
        <v>45.239167</v>
      </c>
      <c r="R1409" s="3" t="n">
        <v>48.910833</v>
      </c>
      <c r="S1409" s="3" t="n">
        <v>53.82</v>
      </c>
      <c r="T1409" s="3" t="n">
        <v>59.1</v>
      </c>
      <c r="U1409" s="3" t="n">
        <v>62.608333</v>
      </c>
      <c r="V1409" s="3" t="n">
        <v>65.666667</v>
      </c>
      <c r="W1409" s="3" t="n">
        <v>68.63333299999999</v>
      </c>
      <c r="X1409" s="3" t="n">
        <v>71.108333</v>
      </c>
      <c r="Y1409" s="3" t="n">
        <v>73.516667</v>
      </c>
      <c r="Z1409" s="3" t="n">
        <v>77.05</v>
      </c>
      <c r="AA1409" s="3" t="n">
        <v>81.791667</v>
      </c>
      <c r="AB1409" s="3" t="n">
        <v>86.3</v>
      </c>
      <c r="AC1409" s="3" t="n">
        <v>92.02500000000001</v>
      </c>
      <c r="AD1409" s="3" t="n">
        <v>96.966667</v>
      </c>
      <c r="AE1409" s="3" t="n">
        <v>101.465</v>
      </c>
      <c r="AF1409" s="3" t="n">
        <v>103.58649</v>
      </c>
      <c r="AG1409" s="3" t="n">
        <v>108.470346</v>
      </c>
      <c r="AH1409" s="3" t="n">
        <v>112.80916</v>
      </c>
      <c r="AI1409" s="3" t="n">
        <v>117.321526</v>
      </c>
      <c r="AJ1409" s="3" t="n">
        <v>122.014387</v>
      </c>
      <c r="AK1409" s="3" t="n">
        <v>126.894963</v>
      </c>
      <c r="AL1409" s="3" t="n">
        <v>131.970761</v>
      </c>
      <c r="AM1409" s="3" t="n"/>
      <c r="AN1409" s="3" t="n"/>
      <c r="AO1409" s="3" t="n"/>
      <c r="AP1409" s="3" t="n"/>
      <c r="AQ1409" s="3" t="n"/>
      <c r="AR1409" s="3" t="n"/>
      <c r="AS1409" s="3" t="n"/>
      <c r="AT1409" s="3" t="n"/>
      <c r="AU1409" s="3" t="n"/>
    </row>
    <row r="1410">
      <c r="A1410" s="3" t="n">
        <v>2031</v>
      </c>
      <c r="B1410" s="3" t="inlineStr">
        <is>
          <t>IND</t>
        </is>
      </c>
      <c r="C1410" s="3" t="inlineStr">
        <is>
          <t>IMF.RES:WEO</t>
        </is>
      </c>
      <c r="D1410" s="3" t="inlineStr">
        <is>
          <t>IND.PCPIPCH.A</t>
        </is>
      </c>
      <c r="E1410" s="3" t="inlineStr">
        <is>
          <t>India</t>
        </is>
      </c>
      <c r="F1410" s="3" t="inlineStr">
        <is>
          <t>All Items, Consumer price index (CPI), Period average, percent change</t>
        </is>
      </c>
      <c r="G1410" s="3" t="n">
        <v>3.816646</v>
      </c>
      <c r="H1410" s="3" t="n">
        <v>4.441341</v>
      </c>
      <c r="I1410" s="3" t="n">
        <v>4.993191</v>
      </c>
      <c r="J1410" s="3" t="n">
        <v>4.10722</v>
      </c>
      <c r="K1410" s="3" t="n">
        <v>3.99561</v>
      </c>
      <c r="L1410" s="3" t="n">
        <v>3.673807</v>
      </c>
      <c r="M1410" s="3" t="n">
        <v>6.737833</v>
      </c>
      <c r="N1410" s="3" t="n">
        <v>5.918136</v>
      </c>
      <c r="O1410" s="3" t="n">
        <v>9.211039</v>
      </c>
      <c r="P1410" s="3" t="n">
        <v>10.604541</v>
      </c>
      <c r="Q1410" s="3" t="n">
        <v>9.370215</v>
      </c>
      <c r="R1410" s="3" t="n">
        <v>8.116123999999999</v>
      </c>
      <c r="S1410" s="3" t="n">
        <v>10.036972</v>
      </c>
      <c r="T1410" s="3" t="n">
        <v>9.810479000000001</v>
      </c>
      <c r="U1410" s="3" t="n">
        <v>5.936266</v>
      </c>
      <c r="V1410" s="3" t="n">
        <v>4.884866</v>
      </c>
      <c r="W1410" s="3" t="n">
        <v>4.517766</v>
      </c>
      <c r="X1410" s="3" t="n">
        <v>3.606119</v>
      </c>
      <c r="Y1410" s="3" t="n">
        <v>3.386851</v>
      </c>
      <c r="Z1410" s="3" t="n">
        <v>4.806166</v>
      </c>
      <c r="AA1410" s="3" t="n">
        <v>6.154013</v>
      </c>
      <c r="AB1410" s="3" t="n">
        <v>5.511971</v>
      </c>
      <c r="AC1410" s="3" t="n">
        <v>6.633835</v>
      </c>
      <c r="AD1410" s="3" t="n">
        <v>5.369918</v>
      </c>
      <c r="AE1410" s="3" t="n">
        <v>4.639051</v>
      </c>
      <c r="AF1410" s="3" t="n">
        <v>2.090859</v>
      </c>
      <c r="AG1410" s="3" t="n">
        <v>4.714761</v>
      </c>
      <c r="AH1410" s="3" t="n">
        <v>4</v>
      </c>
      <c r="AI1410" s="3" t="n">
        <v>4</v>
      </c>
      <c r="AJ1410" s="3" t="n">
        <v>4</v>
      </c>
      <c r="AK1410" s="3" t="n">
        <v>4</v>
      </c>
      <c r="AL1410" s="3" t="n">
        <v>4</v>
      </c>
      <c r="AM1410" s="3" t="n"/>
      <c r="AN1410" s="3" t="n"/>
      <c r="AO1410" s="3" t="n"/>
      <c r="AP1410" s="3" t="n"/>
      <c r="AQ1410" s="3" t="n"/>
      <c r="AR1410" s="3" t="n"/>
      <c r="AS1410" s="3" t="n"/>
      <c r="AT1410" s="3" t="n"/>
      <c r="AU1410" s="3" t="n"/>
    </row>
    <row r="1411">
      <c r="A1411" s="3" t="n">
        <v>2031</v>
      </c>
      <c r="B1411" s="3" t="inlineStr">
        <is>
          <t>IND</t>
        </is>
      </c>
      <c r="C1411" s="3" t="inlineStr">
        <is>
          <t>IMF.RES:WEO</t>
        </is>
      </c>
      <c r="D1411" s="3" t="inlineStr">
        <is>
          <t>IND.PPPPC.A</t>
        </is>
      </c>
      <c r="E1411" s="3" t="inlineStr">
        <is>
          <t>India</t>
        </is>
      </c>
      <c r="F1411" s="3" t="inlineStr">
        <is>
          <t>Gross domestic product (GDP), Per capita, purchasing power parity (PPP) international dollar, ICP benchmarks 2017-2021</t>
        </is>
      </c>
      <c r="G1411" s="3" t="n">
        <v>1860.787154</v>
      </c>
      <c r="H1411" s="3" t="n">
        <v>1957.50776</v>
      </c>
      <c r="I1411" s="3" t="n">
        <v>2026.504612</v>
      </c>
      <c r="J1411" s="3" t="n">
        <v>2190.624842</v>
      </c>
      <c r="K1411" s="3" t="n">
        <v>2386.748277</v>
      </c>
      <c r="L1411" s="3" t="n">
        <v>2613.643891</v>
      </c>
      <c r="M1411" s="3" t="n">
        <v>2866.241615</v>
      </c>
      <c r="N1411" s="3" t="n">
        <v>3122.047829</v>
      </c>
      <c r="O1411" s="3" t="n">
        <v>3233.553422</v>
      </c>
      <c r="P1411" s="3" t="n">
        <v>3458.904804</v>
      </c>
      <c r="Q1411" s="3" t="n">
        <v>3743.588117</v>
      </c>
      <c r="R1411" s="3" t="n">
        <v>3964.516988</v>
      </c>
      <c r="S1411" s="3" t="n">
        <v>4200.56462</v>
      </c>
      <c r="T1411" s="3" t="n">
        <v>4484.708045</v>
      </c>
      <c r="U1411" s="3" t="n">
        <v>4839.506664</v>
      </c>
      <c r="V1411" s="3" t="n">
        <v>5212.440813</v>
      </c>
      <c r="W1411" s="3" t="n">
        <v>5628.938894</v>
      </c>
      <c r="X1411" s="3" t="n">
        <v>6048.388488</v>
      </c>
      <c r="Y1411" s="3" t="n">
        <v>6592.153666</v>
      </c>
      <c r="Z1411" s="3" t="n">
        <v>7001.454358</v>
      </c>
      <c r="AA1411" s="3" t="n">
        <v>6802.463822</v>
      </c>
      <c r="AB1411" s="3" t="n">
        <v>7839.689944</v>
      </c>
      <c r="AC1411" s="3" t="n">
        <v>8965.138697</v>
      </c>
      <c r="AD1411" s="3" t="n">
        <v>9879.524454</v>
      </c>
      <c r="AE1411" s="3" t="n">
        <v>10747.418466</v>
      </c>
      <c r="AF1411" s="3" t="n">
        <v>11789.254486</v>
      </c>
      <c r="AG1411" s="3" t="n">
        <v>12801.024481</v>
      </c>
      <c r="AH1411" s="3" t="n">
        <v>13818.908436</v>
      </c>
      <c r="AI1411" s="3" t="n">
        <v>14836.516927</v>
      </c>
      <c r="AJ1411" s="3" t="n">
        <v>15957.469017</v>
      </c>
      <c r="AK1411" s="3" t="n">
        <v>17174.605505</v>
      </c>
      <c r="AL1411" s="3" t="n">
        <v>18485.403449</v>
      </c>
      <c r="AM1411" s="3" t="n"/>
      <c r="AN1411" s="3" t="n"/>
      <c r="AO1411" s="3" t="n"/>
      <c r="AP1411" s="3" t="n"/>
      <c r="AQ1411" s="3" t="n"/>
      <c r="AR1411" s="3" t="n"/>
      <c r="AS1411" s="3" t="n"/>
      <c r="AT1411" s="3" t="n"/>
      <c r="AU1411" s="3" t="n"/>
    </row>
    <row r="1412">
      <c r="A1412" s="3" t="n">
        <v>2025</v>
      </c>
      <c r="B1412" s="3" t="inlineStr">
        <is>
          <t>IND</t>
        </is>
      </c>
      <c r="C1412" s="3" t="inlineStr">
        <is>
          <t>IMF.STA:ER</t>
        </is>
      </c>
      <c r="D1412" s="3" t="inlineStr">
        <is>
          <t>IND.XDC_USD.PA_RT.A</t>
        </is>
      </c>
      <c r="E1412" s="3" t="inlineStr">
        <is>
          <t>India</t>
        </is>
      </c>
      <c r="F1412" s="3" t="inlineStr">
        <is>
          <t>Domestic currency per US Dollar</t>
        </is>
      </c>
      <c r="G1412" s="3" t="n">
        <v>44.941605</v>
      </c>
      <c r="H1412" s="3" t="n">
        <v>47.1864141666666</v>
      </c>
      <c r="I1412" s="3" t="n">
        <v>48.6103191666666</v>
      </c>
      <c r="J1412" s="3" t="n">
        <v>46.5832841666666</v>
      </c>
      <c r="K1412" s="3" t="n">
        <v>45.3164666666666</v>
      </c>
      <c r="L1412" s="3" t="n">
        <v>44.099975</v>
      </c>
      <c r="M1412" s="3" t="n">
        <v>45.3070083333333</v>
      </c>
      <c r="N1412" s="3" t="n">
        <v>41.3485333333333</v>
      </c>
      <c r="O1412" s="3" t="n">
        <v>43.5051833333333</v>
      </c>
      <c r="P1412" s="3" t="n">
        <v>48.4052666666666</v>
      </c>
      <c r="Q1412" s="3" t="n">
        <v>45.7258121212121</v>
      </c>
      <c r="R1412" s="3" t="n">
        <v>46.6704666666666</v>
      </c>
      <c r="S1412" s="3" t="n">
        <v>53.4372333333333</v>
      </c>
      <c r="T1412" s="3" t="n">
        <v>58.5978454166666</v>
      </c>
      <c r="U1412" s="3" t="n">
        <v>61.0295144607843</v>
      </c>
      <c r="V1412" s="3" t="n">
        <v>64.1519444632786</v>
      </c>
      <c r="W1412" s="3" t="n">
        <v>67.1953128073893</v>
      </c>
      <c r="X1412" s="3" t="n">
        <v>65.12156864506591</v>
      </c>
      <c r="Y1412" s="3" t="n">
        <v>68.38946709354209</v>
      </c>
      <c r="Z1412" s="3" t="n">
        <v>70.42034053595501</v>
      </c>
      <c r="AA1412" s="3" t="n">
        <v>74.09956688360521</v>
      </c>
      <c r="AB1412" s="3" t="n">
        <v>73.91801281543511</v>
      </c>
      <c r="AC1412" s="3" t="n">
        <v>78.6044905829915</v>
      </c>
      <c r="AD1412" s="3" t="n">
        <v>82.59927644607841</v>
      </c>
      <c r="AE1412" s="3" t="n">
        <v>83.669281580941</v>
      </c>
      <c r="AF1412" s="3" t="n">
        <v>87.15844835073931</v>
      </c>
      <c r="AG1412" s="3" t="n"/>
      <c r="AH1412" s="3" t="n"/>
      <c r="AI1412" s="3" t="n"/>
      <c r="AJ1412" s="3" t="n"/>
      <c r="AK1412" s="3" t="n"/>
      <c r="AL1412" s="3" t="n"/>
      <c r="AM1412" s="3" t="n"/>
      <c r="AN1412" s="3" t="n"/>
      <c r="AO1412" s="3" t="n"/>
      <c r="AP1412" s="3" t="n"/>
      <c r="AQ1412" s="3" t="n"/>
      <c r="AR1412" s="3" t="n"/>
      <c r="AS1412" s="3" t="n"/>
      <c r="AT1412" s="3" t="n"/>
      <c r="AU1412" s="3" t="n"/>
    </row>
    <row r="1413">
      <c r="A1413" s="3" t="n">
        <v>2031</v>
      </c>
      <c r="B1413" s="3" t="inlineStr">
        <is>
          <t>IRL</t>
        </is>
      </c>
      <c r="C1413" s="3" t="inlineStr">
        <is>
          <t>IMF.RES:WEO</t>
        </is>
      </c>
      <c r="D1413" s="3" t="inlineStr">
        <is>
          <t>IRL.BCA.A</t>
        </is>
      </c>
      <c r="E1413" s="3" t="inlineStr">
        <is>
          <t>Ireland</t>
        </is>
      </c>
      <c r="F1413" s="3" t="inlineStr">
        <is>
          <t>Current account balance (credit less debit), US dollar</t>
        </is>
      </c>
      <c r="G1413" s="3" t="n">
        <v>0.615398</v>
      </c>
      <c r="H1413" s="3" t="n">
        <v>0.195249</v>
      </c>
      <c r="I1413" s="3" t="n">
        <v>0.317488</v>
      </c>
      <c r="J1413" s="3" t="n">
        <v>0.809708</v>
      </c>
      <c r="K1413" s="3" t="n">
        <v>-0.190231</v>
      </c>
      <c r="L1413" s="3" t="n">
        <v>-7.505316</v>
      </c>
      <c r="M1413" s="3" t="n">
        <v>-12.430053</v>
      </c>
      <c r="N1413" s="3" t="n">
        <v>-17.586881</v>
      </c>
      <c r="O1413" s="3" t="n">
        <v>-17.22653</v>
      </c>
      <c r="P1413" s="3" t="n">
        <v>-11.022185</v>
      </c>
      <c r="Q1413" s="3" t="n">
        <v>-2.859064</v>
      </c>
      <c r="R1413" s="3" t="n">
        <v>-4.056557</v>
      </c>
      <c r="S1413" s="3" t="n">
        <v>-7.628764</v>
      </c>
      <c r="T1413" s="3" t="n">
        <v>5.827867</v>
      </c>
      <c r="U1413" s="3" t="n">
        <v>5.501411</v>
      </c>
      <c r="V1413" s="3" t="n">
        <v>18.547386</v>
      </c>
      <c r="W1413" s="3" t="n">
        <v>-3.797843</v>
      </c>
      <c r="X1413" s="3" t="n">
        <v>3.982979</v>
      </c>
      <c r="Y1413" s="3" t="n">
        <v>16.97683</v>
      </c>
      <c r="Z1413" s="3" t="n">
        <v>-84.381867</v>
      </c>
      <c r="AA1413" s="3" t="n">
        <v>-30.84086</v>
      </c>
      <c r="AB1413" s="3" t="n">
        <v>64.67617799999999</v>
      </c>
      <c r="AC1413" s="3" t="n">
        <v>48.103165</v>
      </c>
      <c r="AD1413" s="3" t="n">
        <v>39.926544</v>
      </c>
      <c r="AE1413" s="3" t="n">
        <v>98.433423</v>
      </c>
      <c r="AF1413" s="3" t="n">
        <v>58.816157</v>
      </c>
      <c r="AG1413" s="3" t="n">
        <v>62.922761</v>
      </c>
      <c r="AH1413" s="3" t="n">
        <v>65.328774</v>
      </c>
      <c r="AI1413" s="3" t="n">
        <v>66.820193</v>
      </c>
      <c r="AJ1413" s="3" t="n">
        <v>68.833352</v>
      </c>
      <c r="AK1413" s="3" t="n">
        <v>71.69734699999999</v>
      </c>
      <c r="AL1413" s="3" t="n">
        <v>71.407149</v>
      </c>
      <c r="AM1413" s="3" t="n"/>
      <c r="AN1413" s="3" t="n"/>
      <c r="AO1413" s="3" t="n"/>
      <c r="AP1413" s="3" t="n"/>
      <c r="AQ1413" s="3" t="n"/>
      <c r="AR1413" s="3" t="n"/>
      <c r="AS1413" s="3" t="n"/>
      <c r="AT1413" s="3" t="n"/>
      <c r="AU1413" s="3" t="n"/>
    </row>
    <row r="1414">
      <c r="A1414" s="3" t="n">
        <v>2031</v>
      </c>
      <c r="B1414" s="3" t="inlineStr">
        <is>
          <t>IRL</t>
        </is>
      </c>
      <c r="C1414" s="3" t="inlineStr">
        <is>
          <t>IMF.RES:WEO</t>
        </is>
      </c>
      <c r="D1414" s="3" t="inlineStr">
        <is>
          <t>IRL.BCA_NGDPD.A</t>
        </is>
      </c>
      <c r="E1414" s="3" t="inlineStr">
        <is>
          <t>Ireland</t>
        </is>
      </c>
      <c r="F1414" s="3" t="inlineStr">
        <is>
          <t>Current account balance (credit less debit), Percent of GDP</t>
        </is>
      </c>
      <c r="G1414" s="3" t="n">
        <v>0.6138479999999999</v>
      </c>
      <c r="H1414" s="3" t="n">
        <v>0.178558</v>
      </c>
      <c r="I1414" s="3" t="n">
        <v>0.247062</v>
      </c>
      <c r="J1414" s="3" t="n">
        <v>0.491836</v>
      </c>
      <c r="K1414" s="3" t="n">
        <v>-0.097914</v>
      </c>
      <c r="L1414" s="3" t="n">
        <v>-3.540358</v>
      </c>
      <c r="M1414" s="3" t="n">
        <v>-5.353337</v>
      </c>
      <c r="N1414" s="3" t="n">
        <v>-6.51096</v>
      </c>
      <c r="O1414" s="3" t="n">
        <v>-6.254701</v>
      </c>
      <c r="P1414" s="3" t="n">
        <v>-4.666724</v>
      </c>
      <c r="Q1414" s="3" t="n">
        <v>-1.288367</v>
      </c>
      <c r="R1414" s="3" t="n">
        <v>-1.683678</v>
      </c>
      <c r="S1414" s="3" t="n">
        <v>-3.359717</v>
      </c>
      <c r="T1414" s="3" t="n">
        <v>2.399007</v>
      </c>
      <c r="U1414" s="3" t="n">
        <v>2.06386</v>
      </c>
      <c r="V1414" s="3" t="n">
        <v>6.138811</v>
      </c>
      <c r="W1414" s="3" t="n">
        <v>-1.24378</v>
      </c>
      <c r="X1414" s="3" t="n">
        <v>1.143771</v>
      </c>
      <c r="Y1414" s="3" t="n">
        <v>4.287513</v>
      </c>
      <c r="Z1414" s="3" t="n">
        <v>-20.719611</v>
      </c>
      <c r="AA1414" s="3" t="n">
        <v>-7.079124</v>
      </c>
      <c r="AB1414" s="3" t="n">
        <v>12.185887</v>
      </c>
      <c r="AC1414" s="3" t="n">
        <v>8.765589</v>
      </c>
      <c r="AD1414" s="3" t="n">
        <v>7.03506</v>
      </c>
      <c r="AE1414" s="3" t="n">
        <v>16.163818</v>
      </c>
      <c r="AF1414" s="3" t="n">
        <v>8.19007</v>
      </c>
      <c r="AG1414" s="3" t="n">
        <v>8.073427000000001</v>
      </c>
      <c r="AH1414" s="3" t="n">
        <v>8.079745000000001</v>
      </c>
      <c r="AI1414" s="3" t="n">
        <v>7.971344</v>
      </c>
      <c r="AJ1414" s="3" t="n">
        <v>7.958323</v>
      </c>
      <c r="AK1414" s="3" t="n">
        <v>8.021487</v>
      </c>
      <c r="AL1414" s="3" t="n">
        <v>7.727522</v>
      </c>
      <c r="AM1414" s="3" t="n"/>
      <c r="AN1414" s="3" t="n"/>
      <c r="AO1414" s="3" t="n"/>
      <c r="AP1414" s="3" t="n"/>
      <c r="AQ1414" s="3" t="n"/>
      <c r="AR1414" s="3" t="n"/>
      <c r="AS1414" s="3" t="n"/>
      <c r="AT1414" s="3" t="n"/>
      <c r="AU1414" s="3" t="n"/>
    </row>
    <row r="1415">
      <c r="A1415" s="3" t="n">
        <v>2031</v>
      </c>
      <c r="B1415" s="3" t="inlineStr">
        <is>
          <t>IRL</t>
        </is>
      </c>
      <c r="C1415" s="3" t="inlineStr">
        <is>
          <t>IMF.RES:WEO</t>
        </is>
      </c>
      <c r="D1415" s="3" t="inlineStr">
        <is>
          <t>IRL.GGR_NGDP.A</t>
        </is>
      </c>
      <c r="E1415" s="3" t="inlineStr">
        <is>
          <t>Ireland</t>
        </is>
      </c>
      <c r="F1415" s="3" t="inlineStr">
        <is>
          <t>Revenue, General government, Percent of GDP</t>
        </is>
      </c>
      <c r="G1415" s="3" t="n">
        <v>35.422873</v>
      </c>
      <c r="H1415" s="3" t="n">
        <v>33.132387</v>
      </c>
      <c r="I1415" s="3" t="n">
        <v>32.360402</v>
      </c>
      <c r="J1415" s="3" t="n">
        <v>33.010709</v>
      </c>
      <c r="K1415" s="3" t="n">
        <v>34.120019</v>
      </c>
      <c r="L1415" s="3" t="n">
        <v>34.592322</v>
      </c>
      <c r="M1415" s="3" t="n">
        <v>36.338067</v>
      </c>
      <c r="N1415" s="3" t="n">
        <v>35.908104</v>
      </c>
      <c r="O1415" s="3" t="n">
        <v>34.526732</v>
      </c>
      <c r="P1415" s="3" t="n">
        <v>33.001062</v>
      </c>
      <c r="Q1415" s="3" t="n">
        <v>32.802427</v>
      </c>
      <c r="R1415" s="3" t="n">
        <v>33.383356</v>
      </c>
      <c r="S1415" s="3" t="n">
        <v>33.858976</v>
      </c>
      <c r="T1415" s="3" t="n">
        <v>33.565872</v>
      </c>
      <c r="U1415" s="3" t="n">
        <v>33.034971</v>
      </c>
      <c r="V1415" s="3" t="n">
        <v>26.09709</v>
      </c>
      <c r="W1415" s="3" t="n">
        <v>26.75356</v>
      </c>
      <c r="X1415" s="3" t="n">
        <v>24.981645</v>
      </c>
      <c r="Y1415" s="3" t="n">
        <v>24.83723</v>
      </c>
      <c r="Z1415" s="3" t="n">
        <v>24.274258</v>
      </c>
      <c r="AA1415" s="3" t="n">
        <v>21.834579</v>
      </c>
      <c r="AB1415" s="3" t="n">
        <v>22.225111</v>
      </c>
      <c r="AC1415" s="3" t="n">
        <v>22.24588</v>
      </c>
      <c r="AD1415" s="3" t="n">
        <v>23.589396</v>
      </c>
      <c r="AE1415" s="3" t="n">
        <v>26.404581</v>
      </c>
      <c r="AF1415" s="3" t="n">
        <v>23.163588</v>
      </c>
      <c r="AG1415" s="3" t="n">
        <v>23.118514</v>
      </c>
      <c r="AH1415" s="3" t="n">
        <v>23.693981</v>
      </c>
      <c r="AI1415" s="3" t="n">
        <v>24.401969</v>
      </c>
      <c r="AJ1415" s="3" t="n">
        <v>25.023404</v>
      </c>
      <c r="AK1415" s="3" t="n">
        <v>25.570531</v>
      </c>
      <c r="AL1415" s="3" t="n">
        <v>26.174352</v>
      </c>
      <c r="AM1415" s="3" t="n"/>
      <c r="AN1415" s="3" t="n"/>
      <c r="AO1415" s="3" t="n"/>
      <c r="AP1415" s="3" t="n"/>
      <c r="AQ1415" s="3" t="n"/>
      <c r="AR1415" s="3" t="n"/>
      <c r="AS1415" s="3" t="n"/>
      <c r="AT1415" s="3" t="n"/>
      <c r="AU1415" s="3" t="n"/>
    </row>
    <row r="1416">
      <c r="A1416" s="3" t="n">
        <v>2031</v>
      </c>
      <c r="B1416" s="3" t="inlineStr">
        <is>
          <t>IRL</t>
        </is>
      </c>
      <c r="C1416" s="3" t="inlineStr">
        <is>
          <t>IMF.RES:WEO</t>
        </is>
      </c>
      <c r="D1416" s="3" t="inlineStr">
        <is>
          <t>IRL.GGX_NGDP.A</t>
        </is>
      </c>
      <c r="E1416" s="3" t="inlineStr">
        <is>
          <t>Ireland</t>
        </is>
      </c>
      <c r="F1416" s="3" t="inlineStr">
        <is>
          <t>Expenditure, General government, Percent of GDP</t>
        </is>
      </c>
      <c r="G1416" s="3" t="n">
        <v>30.567671</v>
      </c>
      <c r="H1416" s="3" t="n">
        <v>32.173005</v>
      </c>
      <c r="I1416" s="3" t="n">
        <v>32.879748</v>
      </c>
      <c r="J1416" s="3" t="n">
        <v>32.664638</v>
      </c>
      <c r="K1416" s="3" t="n">
        <v>32.821853</v>
      </c>
      <c r="L1416" s="3" t="n">
        <v>33.021913</v>
      </c>
      <c r="M1416" s="3" t="n">
        <v>33.562645</v>
      </c>
      <c r="N1416" s="3" t="n">
        <v>35.640229</v>
      </c>
      <c r="O1416" s="3" t="n">
        <v>41.557269</v>
      </c>
      <c r="P1416" s="3" t="n">
        <v>46.87382</v>
      </c>
      <c r="Q1416" s="3" t="n">
        <v>64.947416</v>
      </c>
      <c r="R1416" s="3" t="n">
        <v>46.853761</v>
      </c>
      <c r="S1416" s="3" t="n">
        <v>42.274405</v>
      </c>
      <c r="T1416" s="3" t="n">
        <v>39.842435</v>
      </c>
      <c r="U1416" s="3" t="n">
        <v>36.552207</v>
      </c>
      <c r="V1416" s="3" t="n">
        <v>28.069956</v>
      </c>
      <c r="W1416" s="3" t="n">
        <v>27.515411</v>
      </c>
      <c r="X1416" s="3" t="n">
        <v>25.279181</v>
      </c>
      <c r="Y1416" s="3" t="n">
        <v>24.746789</v>
      </c>
      <c r="Z1416" s="3" t="n">
        <v>23.86802</v>
      </c>
      <c r="AA1416" s="3" t="n">
        <v>26.702783</v>
      </c>
      <c r="AB1416" s="3" t="n">
        <v>23.532696</v>
      </c>
      <c r="AC1416" s="3" t="n">
        <v>20.66441</v>
      </c>
      <c r="AD1416" s="3" t="n">
        <v>22.22511</v>
      </c>
      <c r="AE1416" s="3" t="n">
        <v>22.387979</v>
      </c>
      <c r="AF1416" s="3" t="n">
        <v>21.618608</v>
      </c>
      <c r="AG1416" s="3" t="n">
        <v>22.563686</v>
      </c>
      <c r="AH1416" s="3" t="n">
        <v>23.004913</v>
      </c>
      <c r="AI1416" s="3" t="n">
        <v>23.711697</v>
      </c>
      <c r="AJ1416" s="3" t="n">
        <v>24.4785</v>
      </c>
      <c r="AK1416" s="3" t="n">
        <v>25.200493</v>
      </c>
      <c r="AL1416" s="3" t="n">
        <v>25.755917</v>
      </c>
      <c r="AM1416" s="3" t="n"/>
      <c r="AN1416" s="3" t="n"/>
      <c r="AO1416" s="3" t="n"/>
      <c r="AP1416" s="3" t="n"/>
      <c r="AQ1416" s="3" t="n"/>
      <c r="AR1416" s="3" t="n"/>
      <c r="AS1416" s="3" t="n"/>
      <c r="AT1416" s="3" t="n"/>
      <c r="AU1416" s="3" t="n"/>
    </row>
    <row r="1417">
      <c r="A1417" s="3" t="n">
        <v>2027</v>
      </c>
      <c r="B1417" s="3" t="inlineStr">
        <is>
          <t>IRL</t>
        </is>
      </c>
      <c r="C1417" s="3" t="inlineStr">
        <is>
          <t>IMF.RES:WEO</t>
        </is>
      </c>
      <c r="D1417" s="3" t="inlineStr">
        <is>
          <t>IRL.LE.A</t>
        </is>
      </c>
      <c r="E1417" s="3" t="inlineStr">
        <is>
          <t>Ireland</t>
        </is>
      </c>
      <c r="F1417" s="3" t="inlineStr">
        <is>
          <t>Employed persons, Persons for countries / Index for country groups</t>
        </is>
      </c>
      <c r="G1417" s="3" t="n">
        <v>1.772725</v>
      </c>
      <c r="H1417" s="3" t="n">
        <v>1.82265</v>
      </c>
      <c r="I1417" s="3" t="n">
        <v>1.85015</v>
      </c>
      <c r="J1417" s="3" t="n">
        <v>1.88565</v>
      </c>
      <c r="K1417" s="3" t="n">
        <v>1.946575</v>
      </c>
      <c r="L1417" s="3" t="n">
        <v>2.037825</v>
      </c>
      <c r="M1417" s="3" t="n">
        <v>2.129425</v>
      </c>
      <c r="N1417" s="3" t="n">
        <v>2.2198</v>
      </c>
      <c r="O1417" s="3" t="n">
        <v>2.1977</v>
      </c>
      <c r="P1417" s="3" t="n">
        <v>2.014875</v>
      </c>
      <c r="Q1417" s="3" t="n">
        <v>1.924325</v>
      </c>
      <c r="R1417" s="3" t="n">
        <v>1.8871</v>
      </c>
      <c r="S1417" s="3" t="n">
        <v>1.8799</v>
      </c>
      <c r="T1417" s="3" t="n">
        <v>1.93685</v>
      </c>
      <c r="U1417" s="3" t="n">
        <v>1.98845</v>
      </c>
      <c r="V1417" s="3" t="n">
        <v>2.055725</v>
      </c>
      <c r="W1417" s="3" t="n">
        <v>2.1324</v>
      </c>
      <c r="X1417" s="3" t="n">
        <v>2.199425</v>
      </c>
      <c r="Y1417" s="3" t="n">
        <v>2.265275</v>
      </c>
      <c r="Z1417" s="3" t="n">
        <v>2.336175</v>
      </c>
      <c r="AA1417" s="3" t="n">
        <v>2.27835</v>
      </c>
      <c r="AB1417" s="3" t="n">
        <v>2.42735</v>
      </c>
      <c r="AC1417" s="3" t="n">
        <v>2.59535</v>
      </c>
      <c r="AD1417" s="3" t="n">
        <v>2.68435</v>
      </c>
      <c r="AE1417" s="3" t="n">
        <v>2.757275</v>
      </c>
      <c r="AF1417" s="3" t="n">
        <v>2.81755</v>
      </c>
      <c r="AG1417" s="3" t="n">
        <v>2.865448</v>
      </c>
      <c r="AH1417" s="3" t="n">
        <v>2.911296</v>
      </c>
      <c r="AI1417" s="3" t="n"/>
      <c r="AJ1417" s="3" t="n"/>
      <c r="AK1417" s="3" t="n"/>
      <c r="AL1417" s="3" t="n"/>
      <c r="AM1417" s="3" t="n"/>
      <c r="AN1417" s="3" t="n"/>
      <c r="AO1417" s="3" t="n"/>
      <c r="AP1417" s="3" t="n"/>
      <c r="AQ1417" s="3" t="n"/>
      <c r="AR1417" s="3" t="n"/>
      <c r="AS1417" s="3" t="n"/>
      <c r="AT1417" s="3" t="n"/>
      <c r="AU1417" s="3" t="n"/>
    </row>
    <row r="1418">
      <c r="A1418" s="3" t="n">
        <v>2031</v>
      </c>
      <c r="B1418" s="3" t="inlineStr">
        <is>
          <t>IRL</t>
        </is>
      </c>
      <c r="C1418" s="3" t="inlineStr">
        <is>
          <t>IMF.RES:WEO</t>
        </is>
      </c>
      <c r="D1418" s="3" t="inlineStr">
        <is>
          <t>IRL.LP.A</t>
        </is>
      </c>
      <c r="E1418" s="3" t="inlineStr">
        <is>
          <t>Ireland</t>
        </is>
      </c>
      <c r="F1418" s="3" t="inlineStr">
        <is>
          <t>Population, Persons for countries / Index for country groups</t>
        </is>
      </c>
      <c r="G1418" s="3" t="n">
        <v>3.82826</v>
      </c>
      <c r="H1418" s="3" t="n">
        <v>3.88849</v>
      </c>
      <c r="I1418" s="3" t="n">
        <v>3.95618</v>
      </c>
      <c r="J1418" s="3" t="n">
        <v>4.0213</v>
      </c>
      <c r="K1418" s="3" t="n">
        <v>4.09983</v>
      </c>
      <c r="L1418" s="3" t="n">
        <v>4.19995</v>
      </c>
      <c r="M1418" s="3" t="n">
        <v>4.32084</v>
      </c>
      <c r="N1418" s="3" t="n">
        <v>4.44485</v>
      </c>
      <c r="O1418" s="3" t="n">
        <v>4.5158</v>
      </c>
      <c r="P1418" s="3" t="n">
        <v>4.54698</v>
      </c>
      <c r="Q1418" s="3" t="n">
        <v>4.56793</v>
      </c>
      <c r="R1418" s="3" t="n">
        <v>4.58461</v>
      </c>
      <c r="S1418" s="3" t="n">
        <v>4.60481</v>
      </c>
      <c r="T1418" s="3" t="n">
        <v>4.63051</v>
      </c>
      <c r="U1418" s="3" t="n">
        <v>4.66736</v>
      </c>
      <c r="V1418" s="3" t="n">
        <v>4.71394</v>
      </c>
      <c r="W1418" s="3" t="n">
        <v>4.7807</v>
      </c>
      <c r="X1418" s="3" t="n">
        <v>4.84791</v>
      </c>
      <c r="Y1418" s="3" t="n">
        <v>4.92027</v>
      </c>
      <c r="Z1418" s="3" t="n">
        <v>4.99544</v>
      </c>
      <c r="AA1418" s="3" t="n">
        <v>5.05306</v>
      </c>
      <c r="AB1418" s="3" t="n">
        <v>5.12183</v>
      </c>
      <c r="AC1418" s="3" t="n">
        <v>5.24039</v>
      </c>
      <c r="AD1418" s="3" t="n">
        <v>5.32891</v>
      </c>
      <c r="AE1418" s="3" t="n">
        <v>5.42005</v>
      </c>
      <c r="AF1418" s="3" t="n">
        <v>5.49657</v>
      </c>
      <c r="AG1418" s="3" t="n">
        <v>5.559634</v>
      </c>
      <c r="AH1418" s="3" t="n">
        <v>5.610867</v>
      </c>
      <c r="AI1418" s="3" t="n">
        <v>5.660679</v>
      </c>
      <c r="AJ1418" s="3" t="n">
        <v>5.709478</v>
      </c>
      <c r="AK1418" s="3" t="n">
        <v>5.75716</v>
      </c>
      <c r="AL1418" s="3" t="n">
        <v>5.803929</v>
      </c>
      <c r="AM1418" s="3" t="n"/>
      <c r="AN1418" s="3" t="n"/>
      <c r="AO1418" s="3" t="n"/>
      <c r="AP1418" s="3" t="n"/>
      <c r="AQ1418" s="3" t="n"/>
      <c r="AR1418" s="3" t="n"/>
      <c r="AS1418" s="3" t="n"/>
      <c r="AT1418" s="3" t="n"/>
      <c r="AU1418" s="3" t="n"/>
    </row>
    <row r="1419">
      <c r="A1419" s="3" t="n">
        <v>2031</v>
      </c>
      <c r="B1419" s="3" t="inlineStr">
        <is>
          <t>IRL</t>
        </is>
      </c>
      <c r="C1419" s="3" t="inlineStr">
        <is>
          <t>IMF.RES:WEO</t>
        </is>
      </c>
      <c r="D1419" s="3" t="inlineStr">
        <is>
          <t>IRL.NGDP.A</t>
        </is>
      </c>
      <c r="E1419" s="3" t="inlineStr">
        <is>
          <t>Ireland</t>
        </is>
      </c>
      <c r="F1419" s="3" t="inlineStr">
        <is>
          <t>Gross domestic product (GDP), Current prices, Domestic currency</t>
        </is>
      </c>
      <c r="G1419" s="3" t="n">
        <v>108.496</v>
      </c>
      <c r="H1419" s="3" t="n">
        <v>122.089</v>
      </c>
      <c r="I1419" s="3" t="n">
        <v>135.998</v>
      </c>
      <c r="J1419" s="3" t="n">
        <v>145.577</v>
      </c>
      <c r="K1419" s="3" t="n">
        <v>156.259</v>
      </c>
      <c r="L1419" s="3" t="n">
        <v>170.306</v>
      </c>
      <c r="M1419" s="3" t="n">
        <v>184.916</v>
      </c>
      <c r="N1419" s="3" t="n">
        <v>197.07</v>
      </c>
      <c r="O1419" s="3" t="n">
        <v>187.283</v>
      </c>
      <c r="P1419" s="3" t="n">
        <v>169.52</v>
      </c>
      <c r="Q1419" s="3" t="n">
        <v>167.255</v>
      </c>
      <c r="R1419" s="3" t="n">
        <v>173.121</v>
      </c>
      <c r="S1419" s="3" t="n">
        <v>176.622</v>
      </c>
      <c r="T1419" s="3" t="n">
        <v>182.909</v>
      </c>
      <c r="U1419" s="3" t="n">
        <v>200.595</v>
      </c>
      <c r="V1419" s="3" t="n">
        <v>272.284</v>
      </c>
      <c r="W1419" s="3" t="n">
        <v>275.933</v>
      </c>
      <c r="X1419" s="3" t="n">
        <v>308.366</v>
      </c>
      <c r="Y1419" s="3" t="n">
        <v>335.136</v>
      </c>
      <c r="Z1419" s="3" t="n">
        <v>363.752</v>
      </c>
      <c r="AA1419" s="3" t="n">
        <v>381.728</v>
      </c>
      <c r="AB1419" s="3" t="n">
        <v>448.445</v>
      </c>
      <c r="AC1419" s="3" t="n">
        <v>520.718</v>
      </c>
      <c r="AD1419" s="3" t="n">
        <v>524.729</v>
      </c>
      <c r="AE1419" s="3" t="n">
        <v>562.794</v>
      </c>
      <c r="AF1419" s="3" t="n">
        <v>635.8920000000001</v>
      </c>
      <c r="AG1419" s="3" t="n">
        <v>660.929964</v>
      </c>
      <c r="AH1419" s="3" t="n">
        <v>687.247732</v>
      </c>
      <c r="AI1419" s="3" t="n">
        <v>714.4277949999999</v>
      </c>
      <c r="AJ1419" s="3" t="n">
        <v>737.547103</v>
      </c>
      <c r="AK1419" s="3" t="n">
        <v>762.304684</v>
      </c>
      <c r="AL1419" s="3" t="n">
        <v>788.230691</v>
      </c>
      <c r="AM1419" s="3" t="n"/>
      <c r="AN1419" s="3" t="n"/>
      <c r="AO1419" s="3" t="n"/>
      <c r="AP1419" s="3" t="n"/>
      <c r="AQ1419" s="3" t="n"/>
      <c r="AR1419" s="3" t="n"/>
      <c r="AS1419" s="3" t="n"/>
      <c r="AT1419" s="3" t="n"/>
      <c r="AU1419" s="3" t="n"/>
    </row>
    <row r="1420">
      <c r="A1420" s="3" t="n">
        <v>2031</v>
      </c>
      <c r="B1420" s="3" t="inlineStr">
        <is>
          <t>IRL</t>
        </is>
      </c>
      <c r="C1420" s="3" t="inlineStr">
        <is>
          <t>IMF.RES:WEO</t>
        </is>
      </c>
      <c r="D1420" s="3" t="inlineStr">
        <is>
          <t>IRL.NGDP_D.A</t>
        </is>
      </c>
      <c r="E1420" s="3" t="inlineStr">
        <is>
          <t>Ireland</t>
        </is>
      </c>
      <c r="F1420" s="3" t="inlineStr">
        <is>
          <t>Gross domestic product (GDP), Price deflator, Index</t>
        </is>
      </c>
      <c r="G1420" s="3" t="n">
        <v>63.376053</v>
      </c>
      <c r="H1420" s="3" t="n">
        <v>67.723004</v>
      </c>
      <c r="I1420" s="3" t="n">
        <v>71.235589</v>
      </c>
      <c r="J1420" s="3" t="n">
        <v>74.022454</v>
      </c>
      <c r="K1420" s="3" t="n">
        <v>74.403733</v>
      </c>
      <c r="L1420" s="3" t="n">
        <v>76.69023300000001</v>
      </c>
      <c r="M1420" s="3" t="n">
        <v>79.31339199999999</v>
      </c>
      <c r="N1420" s="3" t="n">
        <v>80.26408499999999</v>
      </c>
      <c r="O1420" s="3" t="n">
        <v>79.85902900000001</v>
      </c>
      <c r="P1420" s="3" t="n">
        <v>76.16617100000001</v>
      </c>
      <c r="Q1420" s="3" t="n">
        <v>73.90461000000001</v>
      </c>
      <c r="R1420" s="3" t="n">
        <v>75.28505699999999</v>
      </c>
      <c r="S1420" s="3" t="n">
        <v>77.120102</v>
      </c>
      <c r="T1420" s="3" t="n">
        <v>78.151544</v>
      </c>
      <c r="U1420" s="3" t="n">
        <v>78.354055</v>
      </c>
      <c r="V1420" s="3" t="n">
        <v>85.341842</v>
      </c>
      <c r="W1420" s="3" t="n">
        <v>85.44087</v>
      </c>
      <c r="X1420" s="3" t="n">
        <v>86.71709799999999</v>
      </c>
      <c r="Y1420" s="3" t="n">
        <v>87.516582</v>
      </c>
      <c r="Z1420" s="3" t="n">
        <v>90.48939900000001</v>
      </c>
      <c r="AA1420" s="3" t="n">
        <v>88.621442</v>
      </c>
      <c r="AB1420" s="3" t="n">
        <v>89.550912</v>
      </c>
      <c r="AC1420" s="3" t="n">
        <v>96.718699</v>
      </c>
      <c r="AD1420" s="3" t="n">
        <v>100</v>
      </c>
      <c r="AE1420" s="3" t="n">
        <v>104.536851</v>
      </c>
      <c r="AF1420" s="3" t="n">
        <v>105.142438</v>
      </c>
      <c r="AG1420" s="3" t="n">
        <v>106.600487</v>
      </c>
      <c r="AH1420" s="3" t="n">
        <v>108.298995</v>
      </c>
      <c r="AI1420" s="3" t="n">
        <v>109.7716</v>
      </c>
      <c r="AJ1420" s="3" t="n">
        <v>110.66391</v>
      </c>
      <c r="AK1420" s="3" t="n">
        <v>111.795951</v>
      </c>
      <c r="AL1420" s="3" t="n">
        <v>113.010051</v>
      </c>
      <c r="AM1420" s="3" t="n"/>
      <c r="AN1420" s="3" t="n"/>
      <c r="AO1420" s="3" t="n"/>
      <c r="AP1420" s="3" t="n"/>
      <c r="AQ1420" s="3" t="n"/>
      <c r="AR1420" s="3" t="n"/>
      <c r="AS1420" s="3" t="n"/>
      <c r="AT1420" s="3" t="n"/>
      <c r="AU1420" s="3" t="n"/>
    </row>
    <row r="1421">
      <c r="A1421" s="3" t="n">
        <v>2031</v>
      </c>
      <c r="B1421" s="3" t="inlineStr">
        <is>
          <t>IRL</t>
        </is>
      </c>
      <c r="C1421" s="3" t="inlineStr">
        <is>
          <t>IMF.RES:WEO</t>
        </is>
      </c>
      <c r="D1421" s="3" t="inlineStr">
        <is>
          <t>IRL.NGDP_R.A</t>
        </is>
      </c>
      <c r="E1421" s="3" t="inlineStr">
        <is>
          <t>Ireland</t>
        </is>
      </c>
      <c r="F1421" s="3" t="inlineStr">
        <is>
          <t>Gross domestic product (GDP), Constant prices, Domestic currency</t>
        </is>
      </c>
      <c r="G1421" s="3" t="n">
        <v>171.194</v>
      </c>
      <c r="H1421" s="3" t="n">
        <v>180.277</v>
      </c>
      <c r="I1421" s="3" t="n">
        <v>190.913</v>
      </c>
      <c r="J1421" s="3" t="n">
        <v>196.666</v>
      </c>
      <c r="K1421" s="3" t="n">
        <v>210.015</v>
      </c>
      <c r="L1421" s="3" t="n">
        <v>222.07</v>
      </c>
      <c r="M1421" s="3" t="n">
        <v>233.146</v>
      </c>
      <c r="N1421" s="3" t="n">
        <v>245.527</v>
      </c>
      <c r="O1421" s="3" t="n">
        <v>234.517</v>
      </c>
      <c r="P1421" s="3" t="n">
        <v>222.566</v>
      </c>
      <c r="Q1421" s="3" t="n">
        <v>226.312</v>
      </c>
      <c r="R1421" s="3" t="n">
        <v>229.954</v>
      </c>
      <c r="S1421" s="3" t="n">
        <v>229.022</v>
      </c>
      <c r="T1421" s="3" t="n">
        <v>234.044</v>
      </c>
      <c r="U1421" s="3" t="n">
        <v>256.011</v>
      </c>
      <c r="V1421" s="3" t="n">
        <v>319.051</v>
      </c>
      <c r="W1421" s="3" t="n">
        <v>322.952</v>
      </c>
      <c r="X1421" s="3" t="n">
        <v>355.6</v>
      </c>
      <c r="Y1421" s="3" t="n">
        <v>382.94</v>
      </c>
      <c r="Z1421" s="3" t="n">
        <v>401.983</v>
      </c>
      <c r="AA1421" s="3" t="n">
        <v>430.74</v>
      </c>
      <c r="AB1421" s="3" t="n">
        <v>500.771</v>
      </c>
      <c r="AC1421" s="3" t="n">
        <v>538.384</v>
      </c>
      <c r="AD1421" s="3" t="n">
        <v>524.729</v>
      </c>
      <c r="AE1421" s="3" t="n">
        <v>538.369</v>
      </c>
      <c r="AF1421" s="3" t="n">
        <v>604.7910000000001</v>
      </c>
      <c r="AG1421" s="3" t="n">
        <v>620.006516</v>
      </c>
      <c r="AH1421" s="3" t="n">
        <v>634.583668</v>
      </c>
      <c r="AI1421" s="3" t="n">
        <v>650.831174</v>
      </c>
      <c r="AJ1421" s="3" t="n">
        <v>666.474829</v>
      </c>
      <c r="AK1421" s="3" t="n">
        <v>681.871458</v>
      </c>
      <c r="AL1421" s="3" t="n">
        <v>697.487242</v>
      </c>
      <c r="AM1421" s="3" t="n"/>
      <c r="AN1421" s="3" t="n"/>
      <c r="AO1421" s="3" t="n"/>
      <c r="AP1421" s="3" t="n"/>
      <c r="AQ1421" s="3" t="n"/>
      <c r="AR1421" s="3" t="n"/>
      <c r="AS1421" s="3" t="n"/>
      <c r="AT1421" s="3" t="n"/>
      <c r="AU1421" s="3" t="n"/>
    </row>
    <row r="1422">
      <c r="A1422" s="3" t="n">
        <v>2031</v>
      </c>
      <c r="B1422" s="3" t="inlineStr">
        <is>
          <t>IRL</t>
        </is>
      </c>
      <c r="C1422" s="3" t="inlineStr">
        <is>
          <t>IMF.RES:WEO</t>
        </is>
      </c>
      <c r="D1422" s="3" t="inlineStr">
        <is>
          <t>IRL.NGDP_RPCH.A</t>
        </is>
      </c>
      <c r="E1422" s="3" t="inlineStr">
        <is>
          <t>Ireland</t>
        </is>
      </c>
      <c r="F1422" s="3" t="inlineStr">
        <is>
          <t>Gross domestic product (GDP), Constant prices, Percent change</t>
        </is>
      </c>
      <c r="G1422" s="3" t="n">
        <v>9.404517</v>
      </c>
      <c r="H1422" s="3" t="n">
        <v>5.305677</v>
      </c>
      <c r="I1422" s="3" t="n">
        <v>5.89981</v>
      </c>
      <c r="J1422" s="3" t="n">
        <v>3.013414</v>
      </c>
      <c r="K1422" s="3" t="n">
        <v>6.78765</v>
      </c>
      <c r="L1422" s="3" t="n">
        <v>5.740066</v>
      </c>
      <c r="M1422" s="3" t="n">
        <v>4.987617</v>
      </c>
      <c r="N1422" s="3" t="n">
        <v>5.310406</v>
      </c>
      <c r="O1422" s="3" t="n">
        <v>-4.484232</v>
      </c>
      <c r="P1422" s="3" t="n">
        <v>-5.096006</v>
      </c>
      <c r="Q1422" s="3" t="n">
        <v>1.683096</v>
      </c>
      <c r="R1422" s="3" t="n">
        <v>1.609283</v>
      </c>
      <c r="S1422" s="3" t="n">
        <v>-0.405298</v>
      </c>
      <c r="T1422" s="3" t="n">
        <v>2.192802</v>
      </c>
      <c r="U1422" s="3" t="n">
        <v>9.385842</v>
      </c>
      <c r="V1422" s="3" t="n">
        <v>24.623942</v>
      </c>
      <c r="W1422" s="3" t="n">
        <v>1.222689</v>
      </c>
      <c r="X1422" s="3" t="n">
        <v>10.109242</v>
      </c>
      <c r="Y1422" s="3" t="n">
        <v>7.688414</v>
      </c>
      <c r="Z1422" s="3" t="n">
        <v>4.972842</v>
      </c>
      <c r="AA1422" s="3" t="n">
        <v>7.153785</v>
      </c>
      <c r="AB1422" s="3" t="n">
        <v>16.2583</v>
      </c>
      <c r="AC1422" s="3" t="n">
        <v>7.511018</v>
      </c>
      <c r="AD1422" s="3" t="n">
        <v>-2.536294</v>
      </c>
      <c r="AE1422" s="3" t="n">
        <v>2.599437</v>
      </c>
      <c r="AF1422" s="3" t="n">
        <v>12.337635</v>
      </c>
      <c r="AG1422" s="3" t="n">
        <v>2.51583</v>
      </c>
      <c r="AH1422" s="3" t="n">
        <v>2.351129</v>
      </c>
      <c r="AI1422" s="3" t="n">
        <v>2.560341</v>
      </c>
      <c r="AJ1422" s="3" t="n">
        <v>2.403643</v>
      </c>
      <c r="AK1422" s="3" t="n">
        <v>2.310159</v>
      </c>
      <c r="AL1422" s="3" t="n">
        <v>2.290136</v>
      </c>
      <c r="AM1422" s="3" t="n"/>
      <c r="AN1422" s="3" t="n"/>
      <c r="AO1422" s="3" t="n"/>
      <c r="AP1422" s="3" t="n"/>
      <c r="AQ1422" s="3" t="n"/>
      <c r="AR1422" s="3" t="n"/>
      <c r="AS1422" s="3" t="n"/>
      <c r="AT1422" s="3" t="n"/>
      <c r="AU1422" s="3" t="n"/>
    </row>
    <row r="1423">
      <c r="A1423" s="3" t="n">
        <v>2031</v>
      </c>
      <c r="B1423" s="3" t="inlineStr">
        <is>
          <t>IRL</t>
        </is>
      </c>
      <c r="C1423" s="3" t="inlineStr">
        <is>
          <t>IMF.RES:WEO</t>
        </is>
      </c>
      <c r="D1423" s="3" t="inlineStr">
        <is>
          <t>IRL.NGDPD.A</t>
        </is>
      </c>
      <c r="E1423" s="3" t="inlineStr">
        <is>
          <t>Ireland</t>
        </is>
      </c>
      <c r="F1423" s="3" t="inlineStr">
        <is>
          <t>Gross domestic product (GDP), Current prices, US dollar</t>
        </is>
      </c>
      <c r="G1423" s="3" t="n">
        <v>100.252539</v>
      </c>
      <c r="H1423" s="3" t="n">
        <v>109.347259</v>
      </c>
      <c r="I1423" s="3" t="n">
        <v>128.505267</v>
      </c>
      <c r="J1423" s="3" t="n">
        <v>164.629704</v>
      </c>
      <c r="K1423" s="3" t="n">
        <v>194.282706</v>
      </c>
      <c r="L1423" s="3" t="n">
        <v>211.99315</v>
      </c>
      <c r="M1423" s="3" t="n">
        <v>232.192614</v>
      </c>
      <c r="N1423" s="3" t="n">
        <v>270.111942</v>
      </c>
      <c r="O1423" s="3" t="n">
        <v>275.417319</v>
      </c>
      <c r="P1423" s="3" t="n">
        <v>236.18678</v>
      </c>
      <c r="Q1423" s="3" t="n">
        <v>221.913838</v>
      </c>
      <c r="R1423" s="3" t="n">
        <v>240.93428</v>
      </c>
      <c r="S1423" s="3" t="n">
        <v>227.065642</v>
      </c>
      <c r="T1423" s="3" t="n">
        <v>242.928283</v>
      </c>
      <c r="U1423" s="3" t="n">
        <v>266.559295</v>
      </c>
      <c r="V1423" s="3" t="n">
        <v>302.133195</v>
      </c>
      <c r="W1423" s="3" t="n">
        <v>305.346815</v>
      </c>
      <c r="X1423" s="3" t="n">
        <v>348.232336</v>
      </c>
      <c r="Y1423" s="3" t="n">
        <v>395.959846</v>
      </c>
      <c r="Z1423" s="3" t="n">
        <v>407.256033</v>
      </c>
      <c r="AA1423" s="3" t="n">
        <v>435.659242</v>
      </c>
      <c r="AB1423" s="3" t="n">
        <v>530.746584</v>
      </c>
      <c r="AC1423" s="3" t="n">
        <v>548.7727619999999</v>
      </c>
      <c r="AD1423" s="3" t="n">
        <v>567.536651</v>
      </c>
      <c r="AE1423" s="3" t="n">
        <v>608.973824</v>
      </c>
      <c r="AF1423" s="3" t="n">
        <v>718.139858</v>
      </c>
      <c r="AG1423" s="3" t="n">
        <v>779.381074</v>
      </c>
      <c r="AH1423" s="3" t="n">
        <v>808.549939</v>
      </c>
      <c r="AI1423" s="3" t="n">
        <v>838.255058</v>
      </c>
      <c r="AJ1423" s="3" t="n">
        <v>864.922793</v>
      </c>
      <c r="AK1423" s="3" t="n">
        <v>893.816182</v>
      </c>
      <c r="AL1423" s="3" t="n">
        <v>924.062669</v>
      </c>
      <c r="AM1423" s="3" t="n"/>
      <c r="AN1423" s="3" t="n"/>
      <c r="AO1423" s="3" t="n"/>
      <c r="AP1423" s="3" t="n"/>
      <c r="AQ1423" s="3" t="n"/>
      <c r="AR1423" s="3" t="n"/>
      <c r="AS1423" s="3" t="n"/>
      <c r="AT1423" s="3" t="n"/>
      <c r="AU1423" s="3" t="n"/>
    </row>
    <row r="1424">
      <c r="A1424" s="3" t="n">
        <v>2031</v>
      </c>
      <c r="B1424" s="3" t="inlineStr">
        <is>
          <t>IRL</t>
        </is>
      </c>
      <c r="C1424" s="3" t="inlineStr">
        <is>
          <t>IMF.RES:WEO</t>
        </is>
      </c>
      <c r="D1424" s="3" t="inlineStr">
        <is>
          <t>IRL.NGDPPC.A</t>
        </is>
      </c>
      <c r="E1424" s="3" t="inlineStr">
        <is>
          <t>Ireland</t>
        </is>
      </c>
      <c r="F1424" s="3" t="inlineStr">
        <is>
          <t>Gross domestic product (GDP), Current prices, Per capita, Domestic currency</t>
        </is>
      </c>
      <c r="G1424" s="3" t="n">
        <v>28340.812797</v>
      </c>
      <c r="H1424" s="3" t="n">
        <v>31397.534776</v>
      </c>
      <c r="I1424" s="3" t="n">
        <v>34376.090067</v>
      </c>
      <c r="J1424" s="3" t="n">
        <v>36201.477134</v>
      </c>
      <c r="K1424" s="3" t="n">
        <v>38113.531537</v>
      </c>
      <c r="L1424" s="3" t="n">
        <v>40549.530352</v>
      </c>
      <c r="M1424" s="3" t="n">
        <v>42796.308125</v>
      </c>
      <c r="N1424" s="3" t="n">
        <v>44336.704276</v>
      </c>
      <c r="O1424" s="3" t="n">
        <v>41472.828735</v>
      </c>
      <c r="P1424" s="3" t="n">
        <v>37281.888198</v>
      </c>
      <c r="Q1424" s="3" t="n">
        <v>36615.053208</v>
      </c>
      <c r="R1424" s="3" t="n">
        <v>37761.336297</v>
      </c>
      <c r="S1424" s="3" t="n">
        <v>38355.979943</v>
      </c>
      <c r="T1424" s="3" t="n">
        <v>39500.832522</v>
      </c>
      <c r="U1424" s="3" t="n">
        <v>42978.257516</v>
      </c>
      <c r="V1424" s="3" t="n">
        <v>57761.447961</v>
      </c>
      <c r="W1424" s="3" t="n">
        <v>57718.116594</v>
      </c>
      <c r="X1424" s="3" t="n">
        <v>63608.029027</v>
      </c>
      <c r="Y1424" s="3" t="n">
        <v>68113.335244</v>
      </c>
      <c r="Z1424" s="3" t="n">
        <v>72816.80893</v>
      </c>
      <c r="AA1424" s="3" t="n">
        <v>75543.927838</v>
      </c>
      <c r="AB1424" s="3" t="n">
        <v>87555.619769</v>
      </c>
      <c r="AC1424" s="3" t="n">
        <v>99366.268541</v>
      </c>
      <c r="AD1424" s="3" t="n">
        <v>98468.35469199999</v>
      </c>
      <c r="AE1424" s="3" t="n">
        <v>103835.573473</v>
      </c>
      <c r="AF1424" s="3" t="n">
        <v>115688.875062</v>
      </c>
      <c r="AG1424" s="3" t="n">
        <v>118880.122353</v>
      </c>
      <c r="AH1424" s="3" t="n">
        <v>122485.125327</v>
      </c>
      <c r="AI1424" s="3" t="n">
        <v>126208.841031</v>
      </c>
      <c r="AJ1424" s="3" t="n">
        <v>129179.438264</v>
      </c>
      <c r="AK1424" s="3" t="n">
        <v>132409.856129</v>
      </c>
      <c r="AL1424" s="3" t="n">
        <v>135809.849959</v>
      </c>
      <c r="AM1424" s="3" t="n"/>
      <c r="AN1424" s="3" t="n"/>
      <c r="AO1424" s="3" t="n"/>
      <c r="AP1424" s="3" t="n"/>
      <c r="AQ1424" s="3" t="n"/>
      <c r="AR1424" s="3" t="n"/>
      <c r="AS1424" s="3" t="n"/>
      <c r="AT1424" s="3" t="n"/>
      <c r="AU1424" s="3" t="n"/>
    </row>
    <row r="1425">
      <c r="A1425" s="3" t="n">
        <v>2031</v>
      </c>
      <c r="B1425" s="3" t="inlineStr">
        <is>
          <t>IRL</t>
        </is>
      </c>
      <c r="C1425" s="3" t="inlineStr">
        <is>
          <t>IMF.RES:WEO</t>
        </is>
      </c>
      <c r="D1425" s="3" t="inlineStr">
        <is>
          <t>IRL.NGDPRPC.A</t>
        </is>
      </c>
      <c r="E1425" s="3" t="inlineStr">
        <is>
          <t>Ireland</t>
        </is>
      </c>
      <c r="F1425" s="3" t="inlineStr">
        <is>
          <t>Gross domestic product (GDP), Constant prices, Per capita, Domestic currency</t>
        </is>
      </c>
      <c r="G1425" s="3" t="n">
        <v>44718.488295</v>
      </c>
      <c r="H1425" s="3" t="n">
        <v>46361.698243</v>
      </c>
      <c r="I1425" s="3" t="n">
        <v>48256.904388</v>
      </c>
      <c r="J1425" s="3" t="n">
        <v>48906.07515</v>
      </c>
      <c r="K1425" s="3" t="n">
        <v>51225.294707</v>
      </c>
      <c r="L1425" s="3" t="n">
        <v>52874.438981</v>
      </c>
      <c r="M1425" s="3" t="n">
        <v>53958.489553</v>
      </c>
      <c r="N1425" s="3" t="n">
        <v>55238.534484</v>
      </c>
      <c r="O1425" s="3" t="n">
        <v>51932.547943</v>
      </c>
      <c r="P1425" s="3" t="n">
        <v>48948.09302</v>
      </c>
      <c r="Q1425" s="3" t="n">
        <v>49543.666387</v>
      </c>
      <c r="R1425" s="3" t="n">
        <v>50157.810588</v>
      </c>
      <c r="S1425" s="3" t="n">
        <v>49735.38539</v>
      </c>
      <c r="T1425" s="3" t="n">
        <v>50543.892573</v>
      </c>
      <c r="U1425" s="3" t="n">
        <v>54851.350656</v>
      </c>
      <c r="V1425" s="3" t="n">
        <v>67682.44822799999</v>
      </c>
      <c r="W1425" s="3" t="n">
        <v>67553.287176</v>
      </c>
      <c r="X1425" s="3" t="n">
        <v>73351.19670099999</v>
      </c>
      <c r="Y1425" s="3" t="n">
        <v>77829.06222599999</v>
      </c>
      <c r="Z1425" s="3" t="n">
        <v>80469.98863000001</v>
      </c>
      <c r="AA1425" s="3" t="n">
        <v>85243.39707000001</v>
      </c>
      <c r="AB1425" s="3" t="n">
        <v>97771.89012500001</v>
      </c>
      <c r="AC1425" s="3" t="n">
        <v>102737.391683</v>
      </c>
      <c r="AD1425" s="3" t="n">
        <v>98468.35469199999</v>
      </c>
      <c r="AE1425" s="3" t="n">
        <v>99329.15747999999</v>
      </c>
      <c r="AF1425" s="3" t="n">
        <v>110030.619095</v>
      </c>
      <c r="AG1425" s="3" t="n">
        <v>111519.305316</v>
      </c>
      <c r="AH1425" s="3" t="n">
        <v>113099.042041</v>
      </c>
      <c r="AI1425" s="3" t="n">
        <v>114974.037625</v>
      </c>
      <c r="AJ1425" s="3" t="n">
        <v>116731.316116</v>
      </c>
      <c r="AK1425" s="3" t="n">
        <v>118438.865128</v>
      </c>
      <c r="AL1425" s="3" t="n">
        <v>120175.018337</v>
      </c>
      <c r="AM1425" s="3" t="n"/>
      <c r="AN1425" s="3" t="n"/>
      <c r="AO1425" s="3" t="n"/>
      <c r="AP1425" s="3" t="n"/>
      <c r="AQ1425" s="3" t="n"/>
      <c r="AR1425" s="3" t="n"/>
      <c r="AS1425" s="3" t="n"/>
      <c r="AT1425" s="3" t="n"/>
      <c r="AU1425" s="3" t="n"/>
    </row>
    <row r="1426">
      <c r="A1426" s="3" t="n">
        <v>2031</v>
      </c>
      <c r="B1426" s="3" t="inlineStr">
        <is>
          <t>IRL</t>
        </is>
      </c>
      <c r="C1426" s="3" t="inlineStr">
        <is>
          <t>IMF.RES:WEO</t>
        </is>
      </c>
      <c r="D1426" s="3" t="inlineStr">
        <is>
          <t>IRL.PCPI.A</t>
        </is>
      </c>
      <c r="E1426" s="3" t="inlineStr">
        <is>
          <t>Ireland</t>
        </is>
      </c>
      <c r="F1426" s="3" t="inlineStr">
        <is>
          <t>All Items, Consumer price index (CPI), Period average</t>
        </is>
      </c>
      <c r="G1426" s="3" t="n">
        <v>63.291667</v>
      </c>
      <c r="H1426" s="3" t="n">
        <v>65.816667</v>
      </c>
      <c r="I1426" s="3" t="n">
        <v>68.903333</v>
      </c>
      <c r="J1426" s="3" t="n">
        <v>71.675</v>
      </c>
      <c r="K1426" s="3" t="n">
        <v>73.318333</v>
      </c>
      <c r="L1426" s="3" t="n">
        <v>74.916667</v>
      </c>
      <c r="M1426" s="3" t="n">
        <v>76.93083300000001</v>
      </c>
      <c r="N1426" s="3" t="n">
        <v>79.14749999999999</v>
      </c>
      <c r="O1426" s="3" t="n">
        <v>81.624167</v>
      </c>
      <c r="P1426" s="3" t="n">
        <v>80.24333300000001</v>
      </c>
      <c r="Q1426" s="3" t="n">
        <v>78.9575</v>
      </c>
      <c r="R1426" s="3" t="n">
        <v>79.893333</v>
      </c>
      <c r="S1426" s="3" t="n">
        <v>81.41416700000001</v>
      </c>
      <c r="T1426" s="3" t="n">
        <v>81.85083299999999</v>
      </c>
      <c r="U1426" s="3" t="n">
        <v>82.0975</v>
      </c>
      <c r="V1426" s="3" t="n">
        <v>82.066667</v>
      </c>
      <c r="W1426" s="3" t="n">
        <v>81.891667</v>
      </c>
      <c r="X1426" s="3" t="n">
        <v>82.10166700000001</v>
      </c>
      <c r="Y1426" s="3" t="n">
        <v>82.70916699999999</v>
      </c>
      <c r="Z1426" s="3" t="n">
        <v>83.433333</v>
      </c>
      <c r="AA1426" s="3" t="n">
        <v>83.035833</v>
      </c>
      <c r="AB1426" s="3" t="n">
        <v>85.048333</v>
      </c>
      <c r="AC1426" s="3" t="n">
        <v>91.91166699999999</v>
      </c>
      <c r="AD1426" s="3" t="n">
        <v>96.681667</v>
      </c>
      <c r="AE1426" s="3" t="n">
        <v>97.97583299999999</v>
      </c>
      <c r="AF1426" s="3" t="n">
        <v>99.999167</v>
      </c>
      <c r="AG1426" s="3" t="n">
        <v>103.132983</v>
      </c>
      <c r="AH1426" s="3" t="n">
        <v>105.563356</v>
      </c>
      <c r="AI1426" s="3" t="n">
        <v>107.534807</v>
      </c>
      <c r="AJ1426" s="3" t="n">
        <v>109.7227</v>
      </c>
      <c r="AK1426" s="3" t="n">
        <v>111.955107</v>
      </c>
      <c r="AL1426" s="3" t="n">
        <v>114.232934</v>
      </c>
      <c r="AM1426" s="3" t="n"/>
      <c r="AN1426" s="3" t="n"/>
      <c r="AO1426" s="3" t="n"/>
      <c r="AP1426" s="3" t="n"/>
      <c r="AQ1426" s="3" t="n"/>
      <c r="AR1426" s="3" t="n"/>
      <c r="AS1426" s="3" t="n"/>
      <c r="AT1426" s="3" t="n"/>
      <c r="AU1426" s="3" t="n"/>
    </row>
    <row r="1427">
      <c r="A1427" s="3" t="n">
        <v>2031</v>
      </c>
      <c r="B1427" s="3" t="inlineStr">
        <is>
          <t>IRL</t>
        </is>
      </c>
      <c r="C1427" s="3" t="inlineStr">
        <is>
          <t>IMF.RES:WEO</t>
        </is>
      </c>
      <c r="D1427" s="3" t="inlineStr">
        <is>
          <t>IRL.PCPIPCH.A</t>
        </is>
      </c>
      <c r="E1427" s="3" t="inlineStr">
        <is>
          <t>Ireland</t>
        </is>
      </c>
      <c r="F1427" s="3" t="inlineStr">
        <is>
          <t>All Items, Consumer price index (CPI), Period average, percent change</t>
        </is>
      </c>
      <c r="G1427" s="3" t="n">
        <v>5.281397</v>
      </c>
      <c r="H1427" s="3" t="n">
        <v>3.989467</v>
      </c>
      <c r="I1427" s="3" t="n">
        <v>4.689795</v>
      </c>
      <c r="J1427" s="3" t="n">
        <v>4.022544</v>
      </c>
      <c r="K1427" s="3" t="n">
        <v>2.292757</v>
      </c>
      <c r="L1427" s="3" t="n">
        <v>2.179991</v>
      </c>
      <c r="M1427" s="3" t="n">
        <v>2.688543</v>
      </c>
      <c r="N1427" s="3" t="n">
        <v>2.881376</v>
      </c>
      <c r="O1427" s="3" t="n">
        <v>3.129179</v>
      </c>
      <c r="P1427" s="3" t="n">
        <v>-1.691697</v>
      </c>
      <c r="Q1427" s="3" t="n">
        <v>-1.602418</v>
      </c>
      <c r="R1427" s="3" t="n">
        <v>1.185237</v>
      </c>
      <c r="S1427" s="3" t="n">
        <v>1.90358</v>
      </c>
      <c r="T1427" s="3" t="n">
        <v>0.5363520000000001</v>
      </c>
      <c r="U1427" s="3" t="n">
        <v>0.301361</v>
      </c>
      <c r="V1427" s="3" t="n">
        <v>-0.037557</v>
      </c>
      <c r="W1427" s="3" t="n">
        <v>-0.213241</v>
      </c>
      <c r="X1427" s="3" t="n">
        <v>0.256436</v>
      </c>
      <c r="Y1427" s="3" t="n">
        <v>0.739936</v>
      </c>
      <c r="Z1427" s="3" t="n">
        <v>0.8755579999999999</v>
      </c>
      <c r="AA1427" s="3" t="n">
        <v>-0.476428</v>
      </c>
      <c r="AB1427" s="3" t="n">
        <v>2.423652</v>
      </c>
      <c r="AC1427" s="3" t="n">
        <v>8.069921000000001</v>
      </c>
      <c r="AD1427" s="3" t="n">
        <v>5.189766</v>
      </c>
      <c r="AE1427" s="3" t="n">
        <v>1.338585</v>
      </c>
      <c r="AF1427" s="3" t="n">
        <v>2.065135</v>
      </c>
      <c r="AG1427" s="3" t="n">
        <v>3.133843</v>
      </c>
      <c r="AH1427" s="3" t="n">
        <v>2.356543</v>
      </c>
      <c r="AI1427" s="3" t="n">
        <v>1.867553</v>
      </c>
      <c r="AJ1427" s="3" t="n">
        <v>2.03459</v>
      </c>
      <c r="AK1427" s="3" t="n">
        <v>2.03459</v>
      </c>
      <c r="AL1427" s="3" t="n">
        <v>2.03459</v>
      </c>
      <c r="AM1427" s="3" t="n"/>
      <c r="AN1427" s="3" t="n"/>
      <c r="AO1427" s="3" t="n"/>
      <c r="AP1427" s="3" t="n"/>
      <c r="AQ1427" s="3" t="n"/>
      <c r="AR1427" s="3" t="n"/>
      <c r="AS1427" s="3" t="n"/>
      <c r="AT1427" s="3" t="n"/>
      <c r="AU1427" s="3" t="n"/>
    </row>
    <row r="1428">
      <c r="A1428" s="3" t="n">
        <v>2031</v>
      </c>
      <c r="B1428" s="3" t="inlineStr">
        <is>
          <t>IRL</t>
        </is>
      </c>
      <c r="C1428" s="3" t="inlineStr">
        <is>
          <t>IMF.RES:WEO</t>
        </is>
      </c>
      <c r="D1428" s="3" t="inlineStr">
        <is>
          <t>IRL.PPPPC.A</t>
        </is>
      </c>
      <c r="E1428" s="3" t="inlineStr">
        <is>
          <t>Ireland</t>
        </is>
      </c>
      <c r="F1428" s="3" t="inlineStr">
        <is>
          <t>Gross domestic product (GDP), Per capita, purchasing power parity (PPP) international dollar, ICP benchmarks 2017-2021</t>
        </is>
      </c>
      <c r="G1428" s="3" t="n">
        <v>35499.105342</v>
      </c>
      <c r="H1428" s="3" t="n">
        <v>37632.219138</v>
      </c>
      <c r="I1428" s="3" t="n">
        <v>39779.300245</v>
      </c>
      <c r="J1428" s="3" t="n">
        <v>41110.320702</v>
      </c>
      <c r="K1428" s="3" t="n">
        <v>44217.678905</v>
      </c>
      <c r="L1428" s="3" t="n">
        <v>47072.447308</v>
      </c>
      <c r="M1428" s="3" t="n">
        <v>49518.964622</v>
      </c>
      <c r="N1428" s="3" t="n">
        <v>52067.120738</v>
      </c>
      <c r="O1428" s="3" t="n">
        <v>49893.937468</v>
      </c>
      <c r="P1428" s="3" t="n">
        <v>47316.67022</v>
      </c>
      <c r="Q1428" s="3" t="n">
        <v>48474.465313</v>
      </c>
      <c r="R1428" s="3" t="n">
        <v>50087.902155</v>
      </c>
      <c r="S1428" s="3" t="n">
        <v>50590.814155</v>
      </c>
      <c r="T1428" s="3" t="n">
        <v>52288.282996</v>
      </c>
      <c r="U1428" s="3" t="n">
        <v>57732.727414</v>
      </c>
      <c r="V1428" s="3" t="n">
        <v>71898.975972</v>
      </c>
      <c r="W1428" s="3" t="n">
        <v>72443.665595</v>
      </c>
      <c r="X1428" s="3" t="n">
        <v>80070.039705</v>
      </c>
      <c r="Y1428" s="3" t="n">
        <v>85978.405174</v>
      </c>
      <c r="Z1428" s="3" t="n">
        <v>91692.25602</v>
      </c>
      <c r="AA1428" s="3" t="n">
        <v>97419.912679</v>
      </c>
      <c r="AB1428" s="3" t="n">
        <v>115858.845534</v>
      </c>
      <c r="AC1428" s="3" t="n">
        <v>130401.782675</v>
      </c>
      <c r="AD1428" s="3" t="n">
        <v>129607.630364</v>
      </c>
      <c r="AE1428" s="3" t="n">
        <v>133986.345532</v>
      </c>
      <c r="AF1428" s="3" t="n">
        <v>152632.057826</v>
      </c>
      <c r="AG1428" s="3" t="n">
        <v>159128.97267</v>
      </c>
      <c r="AH1428" s="3" t="n">
        <v>164926.943807</v>
      </c>
      <c r="AI1428" s="3" t="n">
        <v>170413.134917</v>
      </c>
      <c r="AJ1428" s="3" t="n">
        <v>176094.195385</v>
      </c>
      <c r="AK1428" s="3" t="n">
        <v>181953.21744</v>
      </c>
      <c r="AL1428" s="3" t="n">
        <v>187953.360434</v>
      </c>
      <c r="AM1428" s="3" t="n"/>
      <c r="AN1428" s="3" t="n"/>
      <c r="AO1428" s="3" t="n"/>
      <c r="AP1428" s="3" t="n"/>
      <c r="AQ1428" s="3" t="n"/>
      <c r="AR1428" s="3" t="n"/>
      <c r="AS1428" s="3" t="n"/>
      <c r="AT1428" s="3" t="n"/>
      <c r="AU1428" s="3" t="n"/>
    </row>
    <row r="1429">
      <c r="A1429" s="3" t="inlineStr">
        <is>
          <t>INDICATOR</t>
        </is>
      </c>
      <c r="B1429" s="3" t="inlineStr">
        <is>
          <t>IRL</t>
        </is>
      </c>
      <c r="C1429" s="3" t="inlineStr">
        <is>
          <t>IMF.STA:ER</t>
        </is>
      </c>
      <c r="D1429" s="3" t="inlineStr">
        <is>
          <t>IRL.XDC_USD.PA_RT.A</t>
        </is>
      </c>
      <c r="E1429" s="3" t="inlineStr">
        <is>
          <t>Ireland</t>
        </is>
      </c>
      <c r="F1429" s="3" t="inlineStr">
        <is>
          <t>Domestic currency per US Dollar</t>
        </is>
      </c>
      <c r="G1429" s="3" t="n"/>
      <c r="H1429" s="3" t="n"/>
      <c r="I1429" s="3" t="n"/>
      <c r="J1429" s="3" t="n"/>
      <c r="K1429" s="3" t="n"/>
      <c r="L1429" s="3" t="n"/>
      <c r="M1429" s="3" t="n"/>
      <c r="N1429" s="3" t="n"/>
      <c r="O1429" s="3" t="n"/>
      <c r="P1429" s="3" t="n"/>
      <c r="Q1429" s="3" t="n"/>
      <c r="R1429" s="3" t="n"/>
      <c r="S1429" s="3" t="n"/>
      <c r="T1429" s="3" t="n"/>
      <c r="U1429" s="3" t="n"/>
      <c r="V1429" s="3" t="n"/>
      <c r="W1429" s="3" t="n"/>
      <c r="X1429" s="3" t="n"/>
      <c r="Y1429" s="3" t="n"/>
      <c r="Z1429" s="3" t="n"/>
      <c r="AA1429" s="3" t="n"/>
      <c r="AB1429" s="3" t="n"/>
      <c r="AC1429" s="3" t="n"/>
      <c r="AD1429" s="3" t="n"/>
      <c r="AE1429" s="3" t="n"/>
      <c r="AF1429" s="3" t="n"/>
      <c r="AG1429" s="3" t="n"/>
      <c r="AH1429" s="3" t="n"/>
      <c r="AI1429" s="3" t="n"/>
      <c r="AJ1429" s="3" t="n"/>
      <c r="AK1429" s="3" t="n"/>
      <c r="AL1429" s="3" t="n"/>
      <c r="AM1429" s="3" t="n"/>
      <c r="AN1429" s="3" t="n"/>
      <c r="AO1429" s="3" t="n"/>
      <c r="AP1429" s="3" t="n"/>
      <c r="AQ1429" s="3" t="n"/>
      <c r="AR1429" s="3" t="n"/>
      <c r="AS1429" s="3" t="n"/>
      <c r="AT1429" s="3" t="n"/>
      <c r="AU1429" s="3" t="n"/>
    </row>
    <row r="1430">
      <c r="A1430" s="3" t="n">
        <v>2031</v>
      </c>
      <c r="B1430" s="3" t="inlineStr">
        <is>
          <t>IRN</t>
        </is>
      </c>
      <c r="C1430" s="3" t="inlineStr">
        <is>
          <t>IMF.RES:WEO</t>
        </is>
      </c>
      <c r="D1430" s="3" t="inlineStr">
        <is>
          <t>IRN.BCA.A</t>
        </is>
      </c>
      <c r="E1430" s="3" t="inlineStr">
        <is>
          <t>Iran, Islamic Republic of</t>
        </is>
      </c>
      <c r="F1430" s="3" t="inlineStr">
        <is>
          <t>Current account balance (credit less debit), US dollar</t>
        </is>
      </c>
      <c r="G1430" s="3" t="n">
        <v>12.5</v>
      </c>
      <c r="H1430" s="3" t="n">
        <v>5.985</v>
      </c>
      <c r="I1430" s="3" t="n">
        <v>3.585</v>
      </c>
      <c r="J1430" s="3" t="n">
        <v>0.8159999999999999</v>
      </c>
      <c r="K1430" s="3" t="n">
        <v>1.442</v>
      </c>
      <c r="L1430" s="3" t="n">
        <v>15.392</v>
      </c>
      <c r="M1430" s="3" t="n">
        <v>20.585</v>
      </c>
      <c r="N1430" s="3" t="n">
        <v>32.594</v>
      </c>
      <c r="O1430" s="3" t="n">
        <v>22.838</v>
      </c>
      <c r="P1430" s="3" t="n">
        <v>9.477</v>
      </c>
      <c r="Q1430" s="3" t="n">
        <v>27.554</v>
      </c>
      <c r="R1430" s="3" t="n">
        <v>58.507</v>
      </c>
      <c r="S1430" s="3" t="n">
        <v>23.362</v>
      </c>
      <c r="T1430" s="3" t="n">
        <v>25.105</v>
      </c>
      <c r="U1430" s="3" t="n">
        <v>13.571</v>
      </c>
      <c r="V1430" s="3" t="n">
        <v>1.237</v>
      </c>
      <c r="W1430" s="3" t="n">
        <v>13.236</v>
      </c>
      <c r="X1430" s="3" t="n">
        <v>14.915</v>
      </c>
      <c r="Y1430" s="3" t="n">
        <v>26.241</v>
      </c>
      <c r="Z1430" s="3" t="n">
        <v>-1.652</v>
      </c>
      <c r="AA1430" s="3" t="n">
        <v>-3.651</v>
      </c>
      <c r="AB1430" s="3" t="n">
        <v>11.144</v>
      </c>
      <c r="AC1430" s="3" t="n">
        <v>14.205</v>
      </c>
      <c r="AD1430" s="3" t="n">
        <v>8.592000000000001</v>
      </c>
      <c r="AE1430" s="3" t="n">
        <v>13.232</v>
      </c>
      <c r="AF1430" s="3" t="n">
        <v>2.377352</v>
      </c>
      <c r="AG1430" s="3" t="n">
        <v>-5.405266</v>
      </c>
      <c r="AH1430" s="3" t="n">
        <v>-0.62666</v>
      </c>
      <c r="AI1430" s="3" t="n">
        <v>2.908167</v>
      </c>
      <c r="AJ1430" s="3" t="n">
        <v>5.703269</v>
      </c>
      <c r="AK1430" s="3" t="n">
        <v>8.039123</v>
      </c>
      <c r="AL1430" s="3" t="n">
        <v>9.82672</v>
      </c>
      <c r="AM1430" s="3" t="n"/>
      <c r="AN1430" s="3" t="n"/>
      <c r="AO1430" s="3" t="n"/>
      <c r="AP1430" s="3" t="n"/>
      <c r="AQ1430" s="3" t="n"/>
      <c r="AR1430" s="3" t="n"/>
      <c r="AS1430" s="3" t="n"/>
      <c r="AT1430" s="3" t="n"/>
      <c r="AU1430" s="3" t="n"/>
    </row>
    <row r="1431">
      <c r="A1431" s="3" t="n">
        <v>2031</v>
      </c>
      <c r="B1431" s="3" t="inlineStr">
        <is>
          <t>IRN</t>
        </is>
      </c>
      <c r="C1431" s="3" t="inlineStr">
        <is>
          <t>IMF.RES:WEO</t>
        </is>
      </c>
      <c r="D1431" s="3" t="inlineStr">
        <is>
          <t>IRN.BCA_NGDPD.A</t>
        </is>
      </c>
      <c r="E1431" s="3" t="inlineStr">
        <is>
          <t>Iran, Islamic Republic of</t>
        </is>
      </c>
      <c r="F1431" s="3" t="inlineStr">
        <is>
          <t>Current account balance (credit less debit), Percent of GDP</t>
        </is>
      </c>
      <c r="G1431" s="3" t="n">
        <v>2.791391</v>
      </c>
      <c r="H1431" s="3" t="n">
        <v>1.481644</v>
      </c>
      <c r="I1431" s="3" t="n">
        <v>2.213886</v>
      </c>
      <c r="J1431" s="3" t="n">
        <v>0.422054</v>
      </c>
      <c r="K1431" s="3" t="n">
        <v>0.625277</v>
      </c>
      <c r="L1431" s="3" t="n">
        <v>5.56908</v>
      </c>
      <c r="M1431" s="3" t="n">
        <v>6.305721</v>
      </c>
      <c r="N1431" s="3" t="n">
        <v>7.571809</v>
      </c>
      <c r="O1431" s="3" t="n">
        <v>4.579399</v>
      </c>
      <c r="P1431" s="3" t="n">
        <v>1.861538</v>
      </c>
      <c r="Q1431" s="3" t="n">
        <v>4.603332</v>
      </c>
      <c r="R1431" s="3" t="n">
        <v>8.102009000000001</v>
      </c>
      <c r="S1431" s="3" t="n">
        <v>4.796039</v>
      </c>
      <c r="T1431" s="3" t="n">
        <v>5.076389</v>
      </c>
      <c r="U1431" s="3" t="n">
        <v>2.550672</v>
      </c>
      <c r="V1431" s="3" t="n">
        <v>0.262402</v>
      </c>
      <c r="W1431" s="3" t="n">
        <v>2.771501</v>
      </c>
      <c r="X1431" s="3" t="n">
        <v>2.93718</v>
      </c>
      <c r="Y1431" s="3" t="n">
        <v>7.634576</v>
      </c>
      <c r="Z1431" s="3" t="n">
        <v>-0.655185</v>
      </c>
      <c r="AA1431" s="3" t="n">
        <v>-1.742639</v>
      </c>
      <c r="AB1431" s="3" t="n">
        <v>3.625982</v>
      </c>
      <c r="AC1431" s="3" t="n">
        <v>3.522596</v>
      </c>
      <c r="AD1431" s="3" t="n">
        <v>2.038206</v>
      </c>
      <c r="AE1431" s="3" t="n">
        <v>3.17561</v>
      </c>
      <c r="AF1431" s="3" t="n">
        <v>0.6404570000000001</v>
      </c>
      <c r="AG1431" s="3" t="n">
        <v>-1.8</v>
      </c>
      <c r="AH1431" s="3" t="n">
        <v>-0.2</v>
      </c>
      <c r="AI1431" s="3" t="n">
        <v>0.9</v>
      </c>
      <c r="AJ1431" s="3" t="n">
        <v>1.7</v>
      </c>
      <c r="AK1431" s="3" t="n">
        <v>2.3</v>
      </c>
      <c r="AL1431" s="3" t="n">
        <v>2.7</v>
      </c>
      <c r="AM1431" s="3" t="n"/>
      <c r="AN1431" s="3" t="n"/>
      <c r="AO1431" s="3" t="n"/>
      <c r="AP1431" s="3" t="n"/>
      <c r="AQ1431" s="3" t="n"/>
      <c r="AR1431" s="3" t="n"/>
      <c r="AS1431" s="3" t="n"/>
      <c r="AT1431" s="3" t="n"/>
      <c r="AU1431" s="3" t="n"/>
    </row>
    <row r="1432">
      <c r="A1432" s="3" t="n">
        <v>2031</v>
      </c>
      <c r="B1432" s="3" t="inlineStr">
        <is>
          <t>IRN</t>
        </is>
      </c>
      <c r="C1432" s="3" t="inlineStr">
        <is>
          <t>IMF.RES:WEO</t>
        </is>
      </c>
      <c r="D1432" s="3" t="inlineStr">
        <is>
          <t>IRN.GGR_NGDP.A</t>
        </is>
      </c>
      <c r="E1432" s="3" t="inlineStr">
        <is>
          <t>Iran, Islamic Republic of</t>
        </is>
      </c>
      <c r="F1432" s="3" t="inlineStr">
        <is>
          <t>Revenue, General government, Percent of GDP</t>
        </is>
      </c>
      <c r="G1432" s="3" t="n">
        <v>18.742262</v>
      </c>
      <c r="H1432" s="3" t="n">
        <v>13.648888</v>
      </c>
      <c r="I1432" s="3" t="n">
        <v>12.76311</v>
      </c>
      <c r="J1432" s="3" t="n">
        <v>12.912551</v>
      </c>
      <c r="K1432" s="3" t="n">
        <v>12.618049</v>
      </c>
      <c r="L1432" s="3" t="n">
        <v>15.492879</v>
      </c>
      <c r="M1432" s="3" t="n">
        <v>13.752726</v>
      </c>
      <c r="N1432" s="3" t="n">
        <v>11.813485</v>
      </c>
      <c r="O1432" s="3" t="n">
        <v>12.445952</v>
      </c>
      <c r="P1432" s="3" t="n">
        <v>12.361704</v>
      </c>
      <c r="Q1432" s="3" t="n">
        <v>13.222358</v>
      </c>
      <c r="R1432" s="3" t="n">
        <v>13.975369</v>
      </c>
      <c r="S1432" s="3" t="n">
        <v>10.900405</v>
      </c>
      <c r="T1432" s="3" t="n">
        <v>10.805048</v>
      </c>
      <c r="U1432" s="3" t="n">
        <v>11.355929</v>
      </c>
      <c r="V1432" s="3" t="n">
        <v>12.837646</v>
      </c>
      <c r="W1432" s="3" t="n">
        <v>14.640372</v>
      </c>
      <c r="X1432" s="3" t="n">
        <v>14.864162</v>
      </c>
      <c r="Y1432" s="3" t="n">
        <v>13.181178</v>
      </c>
      <c r="Z1432" s="3" t="n">
        <v>9.255625999999999</v>
      </c>
      <c r="AA1432" s="3" t="n">
        <v>7.272641</v>
      </c>
      <c r="AB1432" s="3" t="n">
        <v>10.343924</v>
      </c>
      <c r="AC1432" s="3" t="n">
        <v>10.200921</v>
      </c>
      <c r="AD1432" s="3" t="n">
        <v>9.74654</v>
      </c>
      <c r="AE1432" s="3" t="n">
        <v>13.285164</v>
      </c>
      <c r="AF1432" s="3" t="n">
        <v>7.791273</v>
      </c>
      <c r="AG1432" s="3" t="n">
        <v>7.892098</v>
      </c>
      <c r="AH1432" s="3" t="n">
        <v>9.256694</v>
      </c>
      <c r="AI1432" s="3" t="n">
        <v>8.955823000000001</v>
      </c>
      <c r="AJ1432" s="3" t="n">
        <v>9.095647</v>
      </c>
      <c r="AK1432" s="3" t="n">
        <v>9.247025000000001</v>
      </c>
      <c r="AL1432" s="3" t="n">
        <v>9.361235000000001</v>
      </c>
      <c r="AM1432" s="3" t="n"/>
      <c r="AN1432" s="3" t="n"/>
      <c r="AO1432" s="3" t="n"/>
      <c r="AP1432" s="3" t="n"/>
      <c r="AQ1432" s="3" t="n"/>
      <c r="AR1432" s="3" t="n"/>
      <c r="AS1432" s="3" t="n"/>
      <c r="AT1432" s="3" t="n"/>
      <c r="AU1432" s="3" t="n"/>
    </row>
    <row r="1433">
      <c r="A1433" s="3" t="n">
        <v>2031</v>
      </c>
      <c r="B1433" s="3" t="inlineStr">
        <is>
          <t>IRN</t>
        </is>
      </c>
      <c r="C1433" s="3" t="inlineStr">
        <is>
          <t>IMF.RES:WEO</t>
        </is>
      </c>
      <c r="D1433" s="3" t="inlineStr">
        <is>
          <t>IRN.GGX_NGDP.A</t>
        </is>
      </c>
      <c r="E1433" s="3" t="inlineStr">
        <is>
          <t>Iran, Islamic Republic of</t>
        </is>
      </c>
      <c r="F1433" s="3" t="inlineStr">
        <is>
          <t>Expenditure, General government, Percent of GDP</t>
        </is>
      </c>
      <c r="G1433" s="3" t="n">
        <v>13.322803</v>
      </c>
      <c r="H1433" s="3" t="n">
        <v>13.629065</v>
      </c>
      <c r="I1433" s="3" t="n">
        <v>15.645164</v>
      </c>
      <c r="J1433" s="3" t="n">
        <v>15.669072</v>
      </c>
      <c r="K1433" s="3" t="n">
        <v>15.063609</v>
      </c>
      <c r="L1433" s="3" t="n">
        <v>17.930822</v>
      </c>
      <c r="M1433" s="3" t="n">
        <v>18.662202</v>
      </c>
      <c r="N1433" s="3" t="n">
        <v>14.218685</v>
      </c>
      <c r="O1433" s="3" t="n">
        <v>16.833842</v>
      </c>
      <c r="P1433" s="3" t="n">
        <v>15.664111</v>
      </c>
      <c r="Q1433" s="3" t="n">
        <v>14.064013</v>
      </c>
      <c r="R1433" s="3" t="n">
        <v>14.632522</v>
      </c>
      <c r="S1433" s="3" t="n">
        <v>11.400009</v>
      </c>
      <c r="T1433" s="3" t="n">
        <v>11.52458</v>
      </c>
      <c r="U1433" s="3" t="n">
        <v>12.262787</v>
      </c>
      <c r="V1433" s="3" t="n">
        <v>14.136732</v>
      </c>
      <c r="W1433" s="3" t="n">
        <v>16.340989</v>
      </c>
      <c r="X1433" s="3" t="n">
        <v>16.411147</v>
      </c>
      <c r="Y1433" s="3" t="n">
        <v>14.769032</v>
      </c>
      <c r="Z1433" s="3" t="n">
        <v>13.552277</v>
      </c>
      <c r="AA1433" s="3" t="n">
        <v>12.140125</v>
      </c>
      <c r="AB1433" s="3" t="n">
        <v>13.353195</v>
      </c>
      <c r="AC1433" s="3" t="n">
        <v>12.839353</v>
      </c>
      <c r="AD1433" s="3" t="n">
        <v>12.785164</v>
      </c>
      <c r="AE1433" s="3" t="n">
        <v>15.963969</v>
      </c>
      <c r="AF1433" s="3" t="n">
        <v>13.44141</v>
      </c>
      <c r="AG1433" s="3" t="n">
        <v>13.07754</v>
      </c>
      <c r="AH1433" s="3" t="n">
        <v>13.968995</v>
      </c>
      <c r="AI1433" s="3" t="n">
        <v>13.232741</v>
      </c>
      <c r="AJ1433" s="3" t="n">
        <v>13.163805</v>
      </c>
      <c r="AK1433" s="3" t="n">
        <v>13.086606</v>
      </c>
      <c r="AL1433" s="3" t="n">
        <v>12.970455</v>
      </c>
      <c r="AM1433" s="3" t="n"/>
      <c r="AN1433" s="3" t="n"/>
      <c r="AO1433" s="3" t="n"/>
      <c r="AP1433" s="3" t="n"/>
      <c r="AQ1433" s="3" t="n"/>
      <c r="AR1433" s="3" t="n"/>
      <c r="AS1433" s="3" t="n"/>
      <c r="AT1433" s="3" t="n"/>
      <c r="AU1433" s="3" t="n"/>
    </row>
    <row r="1434">
      <c r="A1434" s="3" t="n">
        <v>2031</v>
      </c>
      <c r="B1434" s="3" t="inlineStr">
        <is>
          <t>IRN</t>
        </is>
      </c>
      <c r="C1434" s="3" t="inlineStr">
        <is>
          <t>IMF.RES:WEO</t>
        </is>
      </c>
      <c r="D1434" s="3" t="inlineStr">
        <is>
          <t>IRN.LP.A</t>
        </is>
      </c>
      <c r="E1434" s="3" t="inlineStr">
        <is>
          <t>Iran, Islamic Republic of</t>
        </is>
      </c>
      <c r="F1434" s="3" t="inlineStr">
        <is>
          <t>Population, Persons for countries / Index for country groups</t>
        </is>
      </c>
      <c r="G1434" s="3" t="n">
        <v>63.515</v>
      </c>
      <c r="H1434" s="3" t="n">
        <v>64.584</v>
      </c>
      <c r="I1434" s="3" t="n">
        <v>65.657</v>
      </c>
      <c r="J1434" s="3" t="n">
        <v>67.315</v>
      </c>
      <c r="K1434" s="3" t="n">
        <v>68.345</v>
      </c>
      <c r="L1434" s="3" t="n">
        <v>69.39</v>
      </c>
      <c r="M1434" s="3" t="n">
        <v>70.496</v>
      </c>
      <c r="N1434" s="3" t="n">
        <v>71.532</v>
      </c>
      <c r="O1434" s="3" t="n">
        <v>72.2662</v>
      </c>
      <c r="P1434" s="3" t="n">
        <v>73.1964</v>
      </c>
      <c r="Q1434" s="3" t="n">
        <v>74.1574</v>
      </c>
      <c r="R1434" s="3" t="n">
        <v>75.1497</v>
      </c>
      <c r="S1434" s="3" t="n">
        <v>76.038</v>
      </c>
      <c r="T1434" s="3" t="n">
        <v>77.01600000000001</v>
      </c>
      <c r="U1434" s="3" t="n">
        <v>77.97</v>
      </c>
      <c r="V1434" s="3" t="n">
        <v>78.94</v>
      </c>
      <c r="W1434" s="3" t="n">
        <v>79.926</v>
      </c>
      <c r="X1434" s="3" t="n">
        <v>81.06999999999999</v>
      </c>
      <c r="Y1434" s="3" t="n">
        <v>82.084</v>
      </c>
      <c r="Z1434" s="3" t="n">
        <v>83.075</v>
      </c>
      <c r="AA1434" s="3" t="n">
        <v>84.038</v>
      </c>
      <c r="AB1434" s="3" t="n">
        <v>84.05500000000001</v>
      </c>
      <c r="AC1434" s="3" t="n">
        <v>84.7</v>
      </c>
      <c r="AD1434" s="3" t="n">
        <v>85.32899999999999</v>
      </c>
      <c r="AE1434" s="3" t="n">
        <v>86.18893199999999</v>
      </c>
      <c r="AF1434" s="3" t="n">
        <v>87.057188</v>
      </c>
      <c r="AG1434" s="3" t="n">
        <v>87.933927</v>
      </c>
      <c r="AH1434" s="3" t="n">
        <v>88.821237</v>
      </c>
      <c r="AI1434" s="3" t="n">
        <v>89.717929</v>
      </c>
      <c r="AJ1434" s="3" t="n">
        <v>90.624154</v>
      </c>
      <c r="AK1434" s="3" t="n">
        <v>91.539536</v>
      </c>
      <c r="AL1434" s="3" t="n">
        <v>92.464169</v>
      </c>
      <c r="AM1434" s="3" t="n"/>
      <c r="AN1434" s="3" t="n"/>
      <c r="AO1434" s="3" t="n"/>
      <c r="AP1434" s="3" t="n"/>
      <c r="AQ1434" s="3" t="n"/>
      <c r="AR1434" s="3" t="n"/>
      <c r="AS1434" s="3" t="n"/>
      <c r="AT1434" s="3" t="n"/>
      <c r="AU1434" s="3" t="n"/>
    </row>
    <row r="1435">
      <c r="A1435" s="3" t="n">
        <v>2031</v>
      </c>
      <c r="B1435" s="3" t="inlineStr">
        <is>
          <t>IRN</t>
        </is>
      </c>
      <c r="C1435" s="3" t="inlineStr">
        <is>
          <t>IMF.RES:WEO</t>
        </is>
      </c>
      <c r="D1435" s="3" t="inlineStr">
        <is>
          <t>IRN.NGDP.A</t>
        </is>
      </c>
      <c r="E1435" s="3" t="inlineStr">
        <is>
          <t>Iran, Islamic Republic of</t>
        </is>
      </c>
      <c r="F1435" s="3" t="inlineStr">
        <is>
          <t>Gross domestic product (GDP), Current prices, Domestic currency</t>
        </is>
      </c>
      <c r="G1435" s="3" t="n">
        <v>785898.411204</v>
      </c>
      <c r="H1435" s="3" t="n">
        <v>916580.8845479999</v>
      </c>
      <c r="I1435" s="3" t="n">
        <v>1289656.700846</v>
      </c>
      <c r="J1435" s="3" t="n">
        <v>1603017.06687</v>
      </c>
      <c r="K1435" s="3" t="n">
        <v>2012995</v>
      </c>
      <c r="L1435" s="3" t="n">
        <v>2496097</v>
      </c>
      <c r="M1435" s="3" t="n">
        <v>3003092</v>
      </c>
      <c r="N1435" s="3" t="n">
        <v>3993083</v>
      </c>
      <c r="O1435" s="3" t="n">
        <v>4780582</v>
      </c>
      <c r="P1435" s="3" t="n">
        <v>5050789</v>
      </c>
      <c r="Q1435" s="3" t="n">
        <v>6192342</v>
      </c>
      <c r="R1435" s="3" t="n">
        <v>7962205</v>
      </c>
      <c r="S1435" s="3" t="n">
        <v>9116446</v>
      </c>
      <c r="T1435" s="3" t="n">
        <v>12279298</v>
      </c>
      <c r="U1435" s="3" t="n">
        <v>14149436</v>
      </c>
      <c r="V1435" s="3" t="n">
        <v>13975301</v>
      </c>
      <c r="W1435" s="3" t="n">
        <v>15023345</v>
      </c>
      <c r="X1435" s="3" t="n">
        <v>17457351</v>
      </c>
      <c r="Y1435" s="3" t="n">
        <v>22333174</v>
      </c>
      <c r="Z1435" s="3" t="n">
        <v>28551159</v>
      </c>
      <c r="AA1435" s="3" t="n">
        <v>43708247</v>
      </c>
      <c r="AB1435" s="3" t="n">
        <v>70939153</v>
      </c>
      <c r="AC1435" s="3" t="n">
        <v>111838256</v>
      </c>
      <c r="AD1435" s="3" t="n">
        <v>161734589</v>
      </c>
      <c r="AE1435" s="3" t="n">
        <v>215225038</v>
      </c>
      <c r="AF1435" s="3" t="n">
        <v>316719653.907166</v>
      </c>
      <c r="AG1435" s="3" t="n">
        <v>515761059.909929</v>
      </c>
      <c r="AH1435" s="3" t="n">
        <v>741901680.01126</v>
      </c>
      <c r="AI1435" s="3" t="n">
        <v>993303985.43423</v>
      </c>
      <c r="AJ1435" s="3" t="n">
        <v>1284312984.82038</v>
      </c>
      <c r="AK1435" s="3" t="n">
        <v>1636532256.18172</v>
      </c>
      <c r="AL1435" s="3" t="n">
        <v>2083299662.05387</v>
      </c>
      <c r="AM1435" s="3" t="n"/>
      <c r="AN1435" s="3" t="n"/>
      <c r="AO1435" s="3" t="n"/>
      <c r="AP1435" s="3" t="n"/>
      <c r="AQ1435" s="3" t="n"/>
      <c r="AR1435" s="3" t="n"/>
      <c r="AS1435" s="3" t="n"/>
      <c r="AT1435" s="3" t="n"/>
      <c r="AU1435" s="3" t="n"/>
    </row>
    <row r="1436">
      <c r="A1436" s="3" t="n">
        <v>2031</v>
      </c>
      <c r="B1436" s="3" t="inlineStr">
        <is>
          <t>IRN</t>
        </is>
      </c>
      <c r="C1436" s="3" t="inlineStr">
        <is>
          <t>IMF.RES:WEO</t>
        </is>
      </c>
      <c r="D1436" s="3" t="inlineStr">
        <is>
          <t>IRN.NGDP_D.A</t>
        </is>
      </c>
      <c r="E1436" s="3" t="inlineStr">
        <is>
          <t>Iran, Islamic Republic of</t>
        </is>
      </c>
      <c r="F1436" s="3" t="inlineStr">
        <is>
          <t>Gross domestic product (GDP), Price deflator, Index</t>
        </is>
      </c>
      <c r="G1436" s="3" t="n">
        <v>2.028505</v>
      </c>
      <c r="H1436" s="3" t="n">
        <v>2.310541</v>
      </c>
      <c r="I1436" s="3" t="n">
        <v>3.00799</v>
      </c>
      <c r="J1436" s="3" t="n">
        <v>3.441545</v>
      </c>
      <c r="K1436" s="3" t="n">
        <v>4.142105</v>
      </c>
      <c r="L1436" s="3" t="n">
        <v>4.977407</v>
      </c>
      <c r="M1436" s="3" t="n">
        <v>5.703241</v>
      </c>
      <c r="N1436" s="3" t="n">
        <v>7.011513</v>
      </c>
      <c r="O1436" s="3" t="n">
        <v>8.373290000000001</v>
      </c>
      <c r="P1436" s="3" t="n">
        <v>8.758331</v>
      </c>
      <c r="Q1436" s="3" t="n">
        <v>10.14939</v>
      </c>
      <c r="R1436" s="3" t="n">
        <v>12.351639</v>
      </c>
      <c r="S1436" s="3" t="n">
        <v>14.692757</v>
      </c>
      <c r="T1436" s="3" t="n">
        <v>20.096108</v>
      </c>
      <c r="U1436" s="3" t="n">
        <v>22.057243</v>
      </c>
      <c r="V1436" s="3" t="n">
        <v>22.100697</v>
      </c>
      <c r="W1436" s="3" t="n">
        <v>22.300593</v>
      </c>
      <c r="X1436" s="3" t="n">
        <v>25.152299</v>
      </c>
      <c r="Y1436" s="3" t="n">
        <v>33.430266</v>
      </c>
      <c r="Z1436" s="3" t="n">
        <v>43.77153</v>
      </c>
      <c r="AA1436" s="3" t="n">
        <v>64.158914</v>
      </c>
      <c r="AB1436" s="3" t="n">
        <v>99.99999699999999</v>
      </c>
      <c r="AC1436" s="3" t="n">
        <v>151.077655</v>
      </c>
      <c r="AD1436" s="3" t="n">
        <v>207.420167</v>
      </c>
      <c r="AE1436" s="3" t="n">
        <v>266.266536</v>
      </c>
      <c r="AF1436" s="3" t="n">
        <v>397.897638</v>
      </c>
      <c r="AG1436" s="3" t="n">
        <v>689.824084</v>
      </c>
      <c r="AH1436" s="3" t="n">
        <v>961.374449</v>
      </c>
      <c r="AI1436" s="3" t="n">
        <v>1268.399976</v>
      </c>
      <c r="AJ1436" s="3" t="n">
        <v>1610.800284</v>
      </c>
      <c r="AK1436" s="3" t="n">
        <v>2011.227549</v>
      </c>
      <c r="AL1436" s="3" t="n">
        <v>2508.606414</v>
      </c>
      <c r="AM1436" s="3" t="n"/>
      <c r="AN1436" s="3" t="n"/>
      <c r="AO1436" s="3" t="n"/>
      <c r="AP1436" s="3" t="n"/>
      <c r="AQ1436" s="3" t="n"/>
      <c r="AR1436" s="3" t="n"/>
      <c r="AS1436" s="3" t="n"/>
      <c r="AT1436" s="3" t="n"/>
      <c r="AU1436" s="3" t="n"/>
    </row>
    <row r="1437">
      <c r="A1437" s="3" t="n">
        <v>2031</v>
      </c>
      <c r="B1437" s="3" t="inlineStr">
        <is>
          <t>IRN</t>
        </is>
      </c>
      <c r="C1437" s="3" t="inlineStr">
        <is>
          <t>IMF.RES:WEO</t>
        </is>
      </c>
      <c r="D1437" s="3" t="inlineStr">
        <is>
          <t>IRN.NGDP_R.A</t>
        </is>
      </c>
      <c r="E1437" s="3" t="inlineStr">
        <is>
          <t>Iran, Islamic Republic of</t>
        </is>
      </c>
      <c r="F1437" s="3" t="inlineStr">
        <is>
          <t>Gross domestic product (GDP), Constant prices, Domestic currency</t>
        </is>
      </c>
      <c r="G1437" s="3" t="n">
        <v>38742736.202063</v>
      </c>
      <c r="H1437" s="3" t="n">
        <v>39669529.365401</v>
      </c>
      <c r="I1437" s="3" t="n">
        <v>42874362.918913</v>
      </c>
      <c r="J1437" s="3" t="n">
        <v>46578407.067377</v>
      </c>
      <c r="K1437" s="3" t="n">
        <v>48598357</v>
      </c>
      <c r="L1437" s="3" t="n">
        <v>50148546</v>
      </c>
      <c r="M1437" s="3" t="n">
        <v>52655885</v>
      </c>
      <c r="N1437" s="3" t="n">
        <v>56950374</v>
      </c>
      <c r="O1437" s="3" t="n">
        <v>57093236</v>
      </c>
      <c r="P1437" s="3" t="n">
        <v>57668395</v>
      </c>
      <c r="Q1437" s="3" t="n">
        <v>61011961</v>
      </c>
      <c r="R1437" s="3" t="n">
        <v>64462739</v>
      </c>
      <c r="S1437" s="3" t="n">
        <v>62047211</v>
      </c>
      <c r="T1437" s="3" t="n">
        <v>61102866</v>
      </c>
      <c r="U1437" s="3" t="n">
        <v>64148707</v>
      </c>
      <c r="V1437" s="3" t="n">
        <v>63234663</v>
      </c>
      <c r="W1437" s="3" t="n">
        <v>67367469</v>
      </c>
      <c r="X1437" s="3" t="n">
        <v>69406583</v>
      </c>
      <c r="Y1437" s="3" t="n">
        <v>66805254</v>
      </c>
      <c r="Z1437" s="3" t="n">
        <v>65227693</v>
      </c>
      <c r="AA1437" s="3" t="n">
        <v>68124979</v>
      </c>
      <c r="AB1437" s="3" t="n">
        <v>70939155</v>
      </c>
      <c r="AC1437" s="3" t="n">
        <v>74027000</v>
      </c>
      <c r="AD1437" s="3" t="n">
        <v>77974380</v>
      </c>
      <c r="AE1437" s="3" t="n">
        <v>80830675</v>
      </c>
      <c r="AF1437" s="3" t="n">
        <v>79598274.494532</v>
      </c>
      <c r="AG1437" s="3" t="n">
        <v>74767041.590597</v>
      </c>
      <c r="AH1437" s="3" t="n">
        <v>77170937.991809</v>
      </c>
      <c r="AI1437" s="3" t="n">
        <v>78311573.98554499</v>
      </c>
      <c r="AJ1437" s="3" t="n">
        <v>79731360.729738</v>
      </c>
      <c r="AK1437" s="3" t="n">
        <v>81369820.988695</v>
      </c>
      <c r="AL1437" s="3" t="n">
        <v>83046094.86385</v>
      </c>
      <c r="AM1437" s="3" t="n"/>
      <c r="AN1437" s="3" t="n"/>
      <c r="AO1437" s="3" t="n"/>
      <c r="AP1437" s="3" t="n"/>
      <c r="AQ1437" s="3" t="n"/>
      <c r="AR1437" s="3" t="n"/>
      <c r="AS1437" s="3" t="n"/>
      <c r="AT1437" s="3" t="n"/>
      <c r="AU1437" s="3" t="n"/>
    </row>
    <row r="1438">
      <c r="A1438" s="3" t="n">
        <v>2031</v>
      </c>
      <c r="B1438" s="3" t="inlineStr">
        <is>
          <t>IRN</t>
        </is>
      </c>
      <c r="C1438" s="3" t="inlineStr">
        <is>
          <t>IMF.RES:WEO</t>
        </is>
      </c>
      <c r="D1438" s="3" t="inlineStr">
        <is>
          <t>IRN.NGDP_RPCH.A</t>
        </is>
      </c>
      <c r="E1438" s="3" t="inlineStr">
        <is>
          <t>Iran, Islamic Republic of</t>
        </is>
      </c>
      <c r="F1438" s="3" t="inlineStr">
        <is>
          <t>Gross domestic product (GDP), Constant prices, Percent change</t>
        </is>
      </c>
      <c r="G1438" s="3" t="n">
        <v>5.845527</v>
      </c>
      <c r="H1438" s="3" t="n">
        <v>2.392173</v>
      </c>
      <c r="I1438" s="3" t="n">
        <v>8.078829000000001</v>
      </c>
      <c r="J1438" s="3" t="n">
        <v>8.639298</v>
      </c>
      <c r="K1438" s="3" t="n">
        <v>4.336666</v>
      </c>
      <c r="L1438" s="3" t="n">
        <v>3.189797</v>
      </c>
      <c r="M1438" s="3" t="n">
        <v>4.999824</v>
      </c>
      <c r="N1438" s="3" t="n">
        <v>8.155763</v>
      </c>
      <c r="O1438" s="3" t="n">
        <v>0.250853</v>
      </c>
      <c r="P1438" s="3" t="n">
        <v>1.007403</v>
      </c>
      <c r="Q1438" s="3" t="n">
        <v>5.797918</v>
      </c>
      <c r="R1438" s="3" t="n">
        <v>5.655904</v>
      </c>
      <c r="S1438" s="3" t="n">
        <v>-3.747169</v>
      </c>
      <c r="T1438" s="3" t="n">
        <v>-1.521978</v>
      </c>
      <c r="U1438" s="3" t="n">
        <v>4.984776</v>
      </c>
      <c r="V1438" s="3" t="n">
        <v>-1.424883</v>
      </c>
      <c r="W1438" s="3" t="n">
        <v>6.535665</v>
      </c>
      <c r="X1438" s="3" t="n">
        <v>3.026853</v>
      </c>
      <c r="Y1438" s="3" t="n">
        <v>-3.747957</v>
      </c>
      <c r="Z1438" s="3" t="n">
        <v>-2.361433</v>
      </c>
      <c r="AA1438" s="3" t="n">
        <v>4.441804</v>
      </c>
      <c r="AB1438" s="3" t="n">
        <v>4.130902</v>
      </c>
      <c r="AC1438" s="3" t="n">
        <v>4.352808</v>
      </c>
      <c r="AD1438" s="3" t="n">
        <v>5.332352</v>
      </c>
      <c r="AE1438" s="3" t="n">
        <v>3.66312</v>
      </c>
      <c r="AF1438" s="3" t="n">
        <v>-1.524669</v>
      </c>
      <c r="AG1438" s="3" t="n">
        <v>-6.06952</v>
      </c>
      <c r="AH1438" s="3" t="n">
        <v>3.215182</v>
      </c>
      <c r="AI1438" s="3" t="n">
        <v>1.478064</v>
      </c>
      <c r="AJ1438" s="3" t="n">
        <v>1.812997</v>
      </c>
      <c r="AK1438" s="3" t="n">
        <v>2.054976</v>
      </c>
      <c r="AL1438" s="3" t="n">
        <v>2.060068</v>
      </c>
      <c r="AM1438" s="3" t="n"/>
      <c r="AN1438" s="3" t="n"/>
      <c r="AO1438" s="3" t="n"/>
      <c r="AP1438" s="3" t="n"/>
      <c r="AQ1438" s="3" t="n"/>
      <c r="AR1438" s="3" t="n"/>
      <c r="AS1438" s="3" t="n"/>
      <c r="AT1438" s="3" t="n"/>
      <c r="AU1438" s="3" t="n"/>
    </row>
    <row r="1439">
      <c r="A1439" s="3" t="n">
        <v>2031</v>
      </c>
      <c r="B1439" s="3" t="inlineStr">
        <is>
          <t>IRN</t>
        </is>
      </c>
      <c r="C1439" s="3" t="inlineStr">
        <is>
          <t>IMF.RES:WEO</t>
        </is>
      </c>
      <c r="D1439" s="3" t="inlineStr">
        <is>
          <t>IRN.NGDPD.A</t>
        </is>
      </c>
      <c r="E1439" s="3" t="inlineStr">
        <is>
          <t>Iran, Islamic Republic of</t>
        </is>
      </c>
      <c r="F1439" s="3" t="inlineStr">
        <is>
          <t>Gross domestic product (GDP), Current prices, US dollar</t>
        </is>
      </c>
      <c r="G1439" s="3" t="n">
        <v>447.805363</v>
      </c>
      <c r="H1439" s="3" t="n">
        <v>403.943245</v>
      </c>
      <c r="I1439" s="3" t="n">
        <v>161.932454</v>
      </c>
      <c r="J1439" s="3" t="n">
        <v>193.340032</v>
      </c>
      <c r="K1439" s="3" t="n">
        <v>230.617894</v>
      </c>
      <c r="L1439" s="3" t="n">
        <v>276.383181</v>
      </c>
      <c r="M1439" s="3" t="n">
        <v>326.449602</v>
      </c>
      <c r="N1439" s="3" t="n">
        <v>430.46518</v>
      </c>
      <c r="O1439" s="3" t="n">
        <v>498.711689</v>
      </c>
      <c r="P1439" s="3" t="n">
        <v>509.095278</v>
      </c>
      <c r="Q1439" s="3" t="n">
        <v>598.566391</v>
      </c>
      <c r="R1439" s="3" t="n">
        <v>722.12952</v>
      </c>
      <c r="S1439" s="3" t="n">
        <v>487.110305</v>
      </c>
      <c r="T1439" s="3" t="n">
        <v>494.544484</v>
      </c>
      <c r="U1439" s="3" t="n">
        <v>532.055925</v>
      </c>
      <c r="V1439" s="3" t="n">
        <v>471.414693</v>
      </c>
      <c r="W1439" s="3" t="n">
        <v>477.57521</v>
      </c>
      <c r="X1439" s="3" t="n">
        <v>507.79997</v>
      </c>
      <c r="Y1439" s="3" t="n">
        <v>343.712614</v>
      </c>
      <c r="Z1439" s="3" t="n">
        <v>252.14234</v>
      </c>
      <c r="AA1439" s="3" t="n">
        <v>209.509807</v>
      </c>
      <c r="AB1439" s="3" t="n">
        <v>307.337421</v>
      </c>
      <c r="AC1439" s="3" t="n">
        <v>403.253725</v>
      </c>
      <c r="AD1439" s="3" t="n">
        <v>421.547271</v>
      </c>
      <c r="AE1439" s="3" t="n">
        <v>416.675876</v>
      </c>
      <c r="AF1439" s="3" t="n">
        <v>371.196312</v>
      </c>
      <c r="AG1439" s="3" t="n">
        <v>300.292554</v>
      </c>
      <c r="AH1439" s="3" t="n">
        <v>313.329891</v>
      </c>
      <c r="AI1439" s="3" t="n">
        <v>323.129667</v>
      </c>
      <c r="AJ1439" s="3" t="n">
        <v>335.486408</v>
      </c>
      <c r="AK1439" s="3" t="n">
        <v>349.527082</v>
      </c>
      <c r="AL1439" s="3" t="n">
        <v>363.952588</v>
      </c>
      <c r="AM1439" s="3" t="n"/>
      <c r="AN1439" s="3" t="n"/>
      <c r="AO1439" s="3" t="n"/>
      <c r="AP1439" s="3" t="n"/>
      <c r="AQ1439" s="3" t="n"/>
      <c r="AR1439" s="3" t="n"/>
      <c r="AS1439" s="3" t="n"/>
      <c r="AT1439" s="3" t="n"/>
      <c r="AU1439" s="3" t="n"/>
    </row>
    <row r="1440">
      <c r="A1440" s="3" t="n">
        <v>2031</v>
      </c>
      <c r="B1440" s="3" t="inlineStr">
        <is>
          <t>IRN</t>
        </is>
      </c>
      <c r="C1440" s="3" t="inlineStr">
        <is>
          <t>IMF.RES:WEO</t>
        </is>
      </c>
      <c r="D1440" s="3" t="inlineStr">
        <is>
          <t>IRN.NGDPPC.A</t>
        </is>
      </c>
      <c r="E1440" s="3" t="inlineStr">
        <is>
          <t>Iran, Islamic Republic of</t>
        </is>
      </c>
      <c r="F1440" s="3" t="inlineStr">
        <is>
          <t>Gross domestic product (GDP), Current prices, Per capita, Domestic currency</t>
        </is>
      </c>
      <c r="G1440" s="3" t="n">
        <v>12373430.074853</v>
      </c>
      <c r="H1440" s="3" t="n">
        <v>14192073.649011</v>
      </c>
      <c r="I1440" s="3" t="n">
        <v>19642333.655908</v>
      </c>
      <c r="J1440" s="3" t="n">
        <v>23813668.080958</v>
      </c>
      <c r="K1440" s="3" t="n">
        <v>29453434.779428</v>
      </c>
      <c r="L1440" s="3" t="n">
        <v>35971998.847096</v>
      </c>
      <c r="M1440" s="3" t="n">
        <v>42599466.636405</v>
      </c>
      <c r="N1440" s="3" t="n">
        <v>55822331.264329</v>
      </c>
      <c r="O1440" s="3" t="n">
        <v>66152392.127993</v>
      </c>
      <c r="P1440" s="3" t="n">
        <v>69003243.328907</v>
      </c>
      <c r="Q1440" s="3" t="n">
        <v>83502684.829835</v>
      </c>
      <c r="R1440" s="3" t="n">
        <v>105951254.629094</v>
      </c>
      <c r="S1440" s="3" t="n">
        <v>119893290.197007</v>
      </c>
      <c r="T1440" s="3" t="n">
        <v>159438272.566739</v>
      </c>
      <c r="U1440" s="3" t="n">
        <v>181472822.880595</v>
      </c>
      <c r="V1440" s="3" t="n">
        <v>177037002.786927</v>
      </c>
      <c r="W1440" s="3" t="n">
        <v>187965680.754698</v>
      </c>
      <c r="X1440" s="3" t="n">
        <v>215336758.356976</v>
      </c>
      <c r="Y1440" s="3" t="n">
        <v>272077067.394377</v>
      </c>
      <c r="Z1440" s="3" t="n">
        <v>343679313.873006</v>
      </c>
      <c r="AA1440" s="3" t="n">
        <v>520100990.028321</v>
      </c>
      <c r="AB1440" s="3" t="n">
        <v>843961132.591755</v>
      </c>
      <c r="AC1440" s="3" t="n">
        <v>1320404439.19716</v>
      </c>
      <c r="AD1440" s="3" t="n">
        <v>1895423466.81667</v>
      </c>
      <c r="AE1440" s="3" t="n">
        <v>2497130804.88001</v>
      </c>
      <c r="AF1440" s="3" t="n">
        <v>3638064361.78929</v>
      </c>
      <c r="AG1440" s="3" t="n">
        <v>5865324966.91284</v>
      </c>
      <c r="AH1440" s="3" t="n">
        <v>8352751065.95747</v>
      </c>
      <c r="AI1440" s="3" t="n">
        <v>11071410080.0638</v>
      </c>
      <c r="AJ1440" s="3" t="n">
        <v>14171861848.7383</v>
      </c>
      <c r="AK1440" s="3" t="n">
        <v>17877873667.9452</v>
      </c>
      <c r="AL1440" s="3" t="n">
        <v>22530886109.0549</v>
      </c>
      <c r="AM1440" s="3" t="n"/>
      <c r="AN1440" s="3" t="n"/>
      <c r="AO1440" s="3" t="n"/>
      <c r="AP1440" s="3" t="n"/>
      <c r="AQ1440" s="3" t="n"/>
      <c r="AR1440" s="3" t="n"/>
      <c r="AS1440" s="3" t="n"/>
      <c r="AT1440" s="3" t="n"/>
      <c r="AU1440" s="3" t="n"/>
    </row>
    <row r="1441">
      <c r="A1441" s="3" t="n">
        <v>2031</v>
      </c>
      <c r="B1441" s="3" t="inlineStr">
        <is>
          <t>IRN</t>
        </is>
      </c>
      <c r="C1441" s="3" t="inlineStr">
        <is>
          <t>IMF.RES:WEO</t>
        </is>
      </c>
      <c r="D1441" s="3" t="inlineStr">
        <is>
          <t>IRN.NGDPRPC.A</t>
        </is>
      </c>
      <c r="E1441" s="3" t="inlineStr">
        <is>
          <t>Iran, Islamic Republic of</t>
        </is>
      </c>
      <c r="F1441" s="3" t="inlineStr">
        <is>
          <t>Gross domestic product (GDP), Constant prices, Per capita, Domestic currency</t>
        </is>
      </c>
      <c r="G1441" s="3" t="n">
        <v>609977740.7236561</v>
      </c>
      <c r="H1441" s="3" t="n">
        <v>614231533.5903831</v>
      </c>
      <c r="I1441" s="3" t="n">
        <v>653005207.653615</v>
      </c>
      <c r="J1441" s="3" t="n">
        <v>691946922.192335</v>
      </c>
      <c r="K1441" s="3" t="n">
        <v>711074065.403468</v>
      </c>
      <c r="L1441" s="3" t="n">
        <v>722705663.640294</v>
      </c>
      <c r="M1441" s="3" t="n">
        <v>746934365.070359</v>
      </c>
      <c r="N1441" s="3" t="n">
        <v>796152407.314209</v>
      </c>
      <c r="O1441" s="3" t="n">
        <v>790040655.244084</v>
      </c>
      <c r="P1441" s="3" t="n">
        <v>787858350.9571511</v>
      </c>
      <c r="Q1441" s="3" t="n">
        <v>822735977.798574</v>
      </c>
      <c r="R1441" s="3" t="n">
        <v>857791035.7592911</v>
      </c>
      <c r="S1441" s="3" t="n">
        <v>816002669.717773</v>
      </c>
      <c r="T1441" s="3" t="n">
        <v>793378856.341539</v>
      </c>
      <c r="U1441" s="3" t="n">
        <v>822735757.342568</v>
      </c>
      <c r="V1441" s="3" t="n">
        <v>801047162.401824</v>
      </c>
      <c r="W1441" s="3" t="n">
        <v>842873020.04354</v>
      </c>
      <c r="X1441" s="3" t="n">
        <v>856131528.308869</v>
      </c>
      <c r="Y1441" s="3" t="n">
        <v>813864504.653769</v>
      </c>
      <c r="Z1441" s="3" t="n">
        <v>785166331.628047</v>
      </c>
      <c r="AA1441" s="3" t="n">
        <v>810644934.434423</v>
      </c>
      <c r="AB1441" s="3" t="n">
        <v>843961156.3857</v>
      </c>
      <c r="AC1441" s="3" t="n">
        <v>873990554.899646</v>
      </c>
      <c r="AD1441" s="3" t="n">
        <v>913808669.971522</v>
      </c>
      <c r="AE1441" s="3" t="n">
        <v>937831259.770736</v>
      </c>
      <c r="AF1441" s="3" t="n">
        <v>914321678.891947</v>
      </c>
      <c r="AG1441" s="3" t="n">
        <v>850263871.840425</v>
      </c>
      <c r="AH1441" s="3" t="n">
        <v>868834310.446956</v>
      </c>
      <c r="AI1441" s="3" t="n">
        <v>872864261.417619</v>
      </c>
      <c r="AJ1441" s="3" t="n">
        <v>879802542.393361</v>
      </c>
      <c r="AK1441" s="3" t="n">
        <v>888903579.214075</v>
      </c>
      <c r="AL1441" s="3" t="n">
        <v>898143526.474013</v>
      </c>
      <c r="AM1441" s="3" t="n"/>
      <c r="AN1441" s="3" t="n"/>
      <c r="AO1441" s="3" t="n"/>
      <c r="AP1441" s="3" t="n"/>
      <c r="AQ1441" s="3" t="n"/>
      <c r="AR1441" s="3" t="n"/>
      <c r="AS1441" s="3" t="n"/>
      <c r="AT1441" s="3" t="n"/>
      <c r="AU1441" s="3" t="n"/>
    </row>
    <row r="1442">
      <c r="A1442" s="3" t="n">
        <v>2031</v>
      </c>
      <c r="B1442" s="3" t="inlineStr">
        <is>
          <t>IRN</t>
        </is>
      </c>
      <c r="C1442" s="3" t="inlineStr">
        <is>
          <t>IMF.RES:WEO</t>
        </is>
      </c>
      <c r="D1442" s="3" t="inlineStr">
        <is>
          <t>IRN.PCPI.A</t>
        </is>
      </c>
      <c r="E1442" s="3" t="inlineStr">
        <is>
          <t>Iran, Islamic Republic of</t>
        </is>
      </c>
      <c r="F1442" s="3" t="inlineStr">
        <is>
          <t>All Items, Consumer price index (CPI), Period average</t>
        </is>
      </c>
      <c r="G1442" s="3" t="n">
        <v>2.456133</v>
      </c>
      <c r="H1442" s="3" t="n">
        <v>2.739533</v>
      </c>
      <c r="I1442" s="3" t="n">
        <v>3.173111</v>
      </c>
      <c r="J1442" s="3" t="n">
        <v>3.667244</v>
      </c>
      <c r="K1442" s="3" t="n">
        <v>4.2292</v>
      </c>
      <c r="L1442" s="3" t="n">
        <v>4.662778</v>
      </c>
      <c r="M1442" s="3" t="n">
        <v>5.222311</v>
      </c>
      <c r="N1442" s="3" t="n">
        <v>6.183933</v>
      </c>
      <c r="O1442" s="3" t="n">
        <v>7.748689</v>
      </c>
      <c r="P1442" s="3" t="n">
        <v>8.586778000000001</v>
      </c>
      <c r="Q1442" s="3" t="n">
        <v>9.642867000000001</v>
      </c>
      <c r="R1442" s="3" t="n">
        <v>12.083333</v>
      </c>
      <c r="S1442" s="3" t="n">
        <v>15.625</v>
      </c>
      <c r="T1442" s="3" t="n">
        <v>20.758333</v>
      </c>
      <c r="U1442" s="3" t="n">
        <v>23.775</v>
      </c>
      <c r="V1442" s="3" t="n">
        <v>26.425</v>
      </c>
      <c r="W1442" s="3" t="n">
        <v>28.233333</v>
      </c>
      <c r="X1442" s="3" t="n">
        <v>30.558333</v>
      </c>
      <c r="Y1442" s="3" t="n">
        <v>38.783333</v>
      </c>
      <c r="Z1442" s="3" t="n">
        <v>52.275</v>
      </c>
      <c r="AA1442" s="3" t="n">
        <v>71.333333</v>
      </c>
      <c r="AB1442" s="3" t="n">
        <v>100</v>
      </c>
      <c r="AC1442" s="3" t="n">
        <v>145.75</v>
      </c>
      <c r="AD1442" s="3" t="n">
        <v>205.058333</v>
      </c>
      <c r="AE1442" s="3" t="n">
        <v>271.675</v>
      </c>
      <c r="AF1442" s="3" t="n">
        <v>409.85282</v>
      </c>
      <c r="AG1442" s="3" t="n">
        <v>692.302406</v>
      </c>
      <c r="AH1442" s="3" t="n">
        <v>966.442915</v>
      </c>
      <c r="AI1442" s="3" t="n">
        <v>1292.617399</v>
      </c>
      <c r="AJ1442" s="3" t="n">
        <v>1664.244902</v>
      </c>
      <c r="AK1442" s="3" t="n">
        <v>2080.306127</v>
      </c>
      <c r="AL1442" s="3" t="n">
        <v>2600.382659</v>
      </c>
      <c r="AM1442" s="3" t="n"/>
      <c r="AN1442" s="3" t="n"/>
      <c r="AO1442" s="3" t="n"/>
      <c r="AP1442" s="3" t="n"/>
      <c r="AQ1442" s="3" t="n"/>
      <c r="AR1442" s="3" t="n"/>
      <c r="AS1442" s="3" t="n"/>
      <c r="AT1442" s="3" t="n"/>
      <c r="AU1442" s="3" t="n"/>
    </row>
    <row r="1443">
      <c r="A1443" s="3" t="n">
        <v>2031</v>
      </c>
      <c r="B1443" s="3" t="inlineStr">
        <is>
          <t>IRN</t>
        </is>
      </c>
      <c r="C1443" s="3" t="inlineStr">
        <is>
          <t>IMF.RES:WEO</t>
        </is>
      </c>
      <c r="D1443" s="3" t="inlineStr">
        <is>
          <t>IRN.PCPIPCH.A</t>
        </is>
      </c>
      <c r="E1443" s="3" t="inlineStr">
        <is>
          <t>Iran, Islamic Republic of</t>
        </is>
      </c>
      <c r="F1443" s="3" t="inlineStr">
        <is>
          <t>All Items, Consumer price index (CPI), Period average, percent change</t>
        </is>
      </c>
      <c r="G1443" s="3" t="n">
        <v>12.292359</v>
      </c>
      <c r="H1443" s="3" t="n">
        <v>11.538462</v>
      </c>
      <c r="I1443" s="3" t="n">
        <v>15.826702</v>
      </c>
      <c r="J1443" s="3" t="n">
        <v>15.572519</v>
      </c>
      <c r="K1443" s="3" t="n">
        <v>15.323646</v>
      </c>
      <c r="L1443" s="3" t="n">
        <v>10.252005</v>
      </c>
      <c r="M1443" s="3" t="n">
        <v>12</v>
      </c>
      <c r="N1443" s="3" t="n">
        <v>18.413729</v>
      </c>
      <c r="O1443" s="3" t="n">
        <v>25.303564</v>
      </c>
      <c r="P1443" s="3" t="n">
        <v>10.81588</v>
      </c>
      <c r="Q1443" s="3" t="n">
        <v>12.299013</v>
      </c>
      <c r="R1443" s="3" t="n">
        <v>25.308518</v>
      </c>
      <c r="S1443" s="3" t="n">
        <v>29.310345</v>
      </c>
      <c r="T1443" s="3" t="n">
        <v>32.853333</v>
      </c>
      <c r="U1443" s="3" t="n">
        <v>14.532316</v>
      </c>
      <c r="V1443" s="3" t="n">
        <v>11.146162</v>
      </c>
      <c r="W1443" s="3" t="n">
        <v>6.843267</v>
      </c>
      <c r="X1443" s="3" t="n">
        <v>8.234947</v>
      </c>
      <c r="Y1443" s="3" t="n">
        <v>26.915735</v>
      </c>
      <c r="Z1443" s="3" t="n">
        <v>34.78728</v>
      </c>
      <c r="AA1443" s="3" t="n">
        <v>36.457835</v>
      </c>
      <c r="AB1443" s="3" t="n">
        <v>40.186916</v>
      </c>
      <c r="AC1443" s="3" t="n">
        <v>45.75</v>
      </c>
      <c r="AD1443" s="3" t="n">
        <v>40.691824</v>
      </c>
      <c r="AE1443" s="3" t="n">
        <v>32.486691</v>
      </c>
      <c r="AF1443" s="3" t="n">
        <v>50.861441</v>
      </c>
      <c r="AG1443" s="3" t="n">
        <v>68.91488200000001</v>
      </c>
      <c r="AH1443" s="3" t="n">
        <v>39.598376</v>
      </c>
      <c r="AI1443" s="3" t="n">
        <v>33.75</v>
      </c>
      <c r="AJ1443" s="3" t="n">
        <v>28.75</v>
      </c>
      <c r="AK1443" s="3" t="n">
        <v>25</v>
      </c>
      <c r="AL1443" s="3" t="n">
        <v>25</v>
      </c>
      <c r="AM1443" s="3" t="n"/>
      <c r="AN1443" s="3" t="n"/>
      <c r="AO1443" s="3" t="n"/>
      <c r="AP1443" s="3" t="n"/>
      <c r="AQ1443" s="3" t="n"/>
      <c r="AR1443" s="3" t="n"/>
      <c r="AS1443" s="3" t="n"/>
      <c r="AT1443" s="3" t="n"/>
      <c r="AU1443" s="3" t="n"/>
    </row>
    <row r="1444">
      <c r="A1444" s="3" t="n">
        <v>2031</v>
      </c>
      <c r="B1444" s="3" t="inlineStr">
        <is>
          <t>IRN</t>
        </is>
      </c>
      <c r="C1444" s="3" t="inlineStr">
        <is>
          <t>IMF.RES:WEO</t>
        </is>
      </c>
      <c r="D1444" s="3" t="inlineStr">
        <is>
          <t>IRN.PPPPC.A</t>
        </is>
      </c>
      <c r="E1444" s="3" t="inlineStr">
        <is>
          <t>Iran, Islamic Republic of</t>
        </is>
      </c>
      <c r="F1444" s="3" t="inlineStr">
        <is>
          <t>Gross domestic product (GDP), Per capita, purchasing power parity (PPP) international dollar, ICP benchmarks 2017-2021</t>
        </is>
      </c>
      <c r="G1444" s="3" t="n">
        <v>8542.261952999999</v>
      </c>
      <c r="H1444" s="3" t="n">
        <v>8795.513625</v>
      </c>
      <c r="I1444" s="3" t="n">
        <v>9496.048605</v>
      </c>
      <c r="J1444" s="3" t="n">
        <v>10260.994144</v>
      </c>
      <c r="K1444" s="3" t="n">
        <v>10828.166351</v>
      </c>
      <c r="L1444" s="3" t="n">
        <v>11350.397411</v>
      </c>
      <c r="M1444" s="3" t="n">
        <v>12092.687124</v>
      </c>
      <c r="N1444" s="3" t="n">
        <v>13238.727134</v>
      </c>
      <c r="O1444" s="3" t="n">
        <v>13390.173126</v>
      </c>
      <c r="P1444" s="3" t="n">
        <v>13435.540573</v>
      </c>
      <c r="Q1444" s="3" t="n">
        <v>14200.838158</v>
      </c>
      <c r="R1444" s="3" t="n">
        <v>15111.388766</v>
      </c>
      <c r="S1444" s="3" t="n">
        <v>14642.875323</v>
      </c>
      <c r="T1444" s="3" t="n">
        <v>14479.211827</v>
      </c>
      <c r="U1444" s="3" t="n">
        <v>15276.49512</v>
      </c>
      <c r="V1444" s="3" t="n">
        <v>15011.819557</v>
      </c>
      <c r="W1444" s="3" t="n">
        <v>15945.740304</v>
      </c>
      <c r="X1444" s="3" t="n">
        <v>16486.631658</v>
      </c>
      <c r="Y1444" s="3" t="n">
        <v>16077.165072</v>
      </c>
      <c r="Z1444" s="3" t="n">
        <v>14594.195732</v>
      </c>
      <c r="AA1444" s="3" t="n">
        <v>15782.355482</v>
      </c>
      <c r="AB1444" s="3" t="n">
        <v>16716.016866</v>
      </c>
      <c r="AC1444" s="3" t="n">
        <v>18542.01332</v>
      </c>
      <c r="AD1444" s="3" t="n">
        <v>20104.085369</v>
      </c>
      <c r="AE1444" s="3" t="n">
        <v>21144.803384</v>
      </c>
      <c r="AF1444" s="3" t="n">
        <v>21199.537031</v>
      </c>
      <c r="AG1444" s="3" t="n">
        <v>20279.072418</v>
      </c>
      <c r="AH1444" s="3" t="n">
        <v>21177.017931</v>
      </c>
      <c r="AI1444" s="3" t="n">
        <v>21624.454031</v>
      </c>
      <c r="AJ1444" s="3" t="n">
        <v>22183.906571</v>
      </c>
      <c r="AK1444" s="3" t="n">
        <v>22825.237943</v>
      </c>
      <c r="AL1444" s="3" t="n">
        <v>23478.84876</v>
      </c>
      <c r="AM1444" s="3" t="n"/>
      <c r="AN1444" s="3" t="n"/>
      <c r="AO1444" s="3" t="n"/>
      <c r="AP1444" s="3" t="n"/>
      <c r="AQ1444" s="3" t="n"/>
      <c r="AR1444" s="3" t="n"/>
      <c r="AS1444" s="3" t="n"/>
      <c r="AT1444" s="3" t="n"/>
      <c r="AU1444" s="3" t="n"/>
    </row>
    <row r="1445">
      <c r="A1445" s="3" t="n">
        <v>2025</v>
      </c>
      <c r="B1445" s="3" t="inlineStr">
        <is>
          <t>IRN</t>
        </is>
      </c>
      <c r="C1445" s="3" t="inlineStr">
        <is>
          <t>IMF.STA:ER</t>
        </is>
      </c>
      <c r="D1445" s="3" t="inlineStr">
        <is>
          <t>IRN.XDC_USD.PA_RT.A</t>
        </is>
      </c>
      <c r="E1445" s="3" t="inlineStr">
        <is>
          <t>Iran, Islamic Republic of</t>
        </is>
      </c>
      <c r="F1445" s="3" t="inlineStr">
        <is>
          <t>Domestic currency per US Dollar</t>
        </is>
      </c>
      <c r="G1445" s="3" t="n">
        <v>1764.85606929191</v>
      </c>
      <c r="H1445" s="3" t="n">
        <v>1753.98568465784</v>
      </c>
      <c r="I1445" s="3" t="n">
        <v>6907.03445561653</v>
      </c>
      <c r="J1445" s="3" t="n">
        <v>8193.887519166659</v>
      </c>
      <c r="K1445" s="3" t="n">
        <v>8613.98942075</v>
      </c>
      <c r="L1445" s="3" t="n">
        <v>8963.958906666659</v>
      </c>
      <c r="M1445" s="3" t="n">
        <v>9170.9428775</v>
      </c>
      <c r="N1445" s="3" t="n">
        <v>9281.15182833333</v>
      </c>
      <c r="O1445" s="3" t="n">
        <v>9428.528260833329</v>
      </c>
      <c r="P1445" s="3" t="n">
        <v>9864.3024562682</v>
      </c>
      <c r="Q1445" s="3" t="n">
        <v>10254.1764702889</v>
      </c>
      <c r="R1445" s="3" t="n">
        <v>10616.3066439075</v>
      </c>
      <c r="S1445" s="3" t="n">
        <v>12175.5472222222</v>
      </c>
      <c r="T1445" s="3" t="n">
        <v>18414.4480100373</v>
      </c>
      <c r="U1445" s="3" t="n">
        <v>25941.6641445972</v>
      </c>
      <c r="V1445" s="3" t="n">
        <v>29011.4913770529</v>
      </c>
      <c r="W1445" s="3" t="n">
        <v>30914.8524362967</v>
      </c>
      <c r="X1445" s="3" t="n">
        <v>33226.2981524126</v>
      </c>
      <c r="Y1445" s="3" t="n">
        <v>40864.3290097769</v>
      </c>
      <c r="Z1445" s="3" t="n">
        <v>42000</v>
      </c>
      <c r="AA1445" s="3" t="n">
        <v>42000</v>
      </c>
      <c r="AB1445" s="3" t="n">
        <v>42000</v>
      </c>
      <c r="AC1445" s="3" t="n">
        <v>42000</v>
      </c>
      <c r="AD1445" s="3" t="n">
        <v>42000</v>
      </c>
      <c r="AE1445" s="3" t="n">
        <v>42000</v>
      </c>
      <c r="AF1445" s="3" t="n">
        <v>42000</v>
      </c>
      <c r="AG1445" s="3" t="n"/>
      <c r="AH1445" s="3" t="n"/>
      <c r="AI1445" s="3" t="n"/>
      <c r="AJ1445" s="3" t="n"/>
      <c r="AK1445" s="3" t="n"/>
      <c r="AL1445" s="3" t="n"/>
      <c r="AM1445" s="3" t="n"/>
      <c r="AN1445" s="3" t="n"/>
      <c r="AO1445" s="3" t="n"/>
      <c r="AP1445" s="3" t="n"/>
      <c r="AQ1445" s="3" t="n"/>
      <c r="AR1445" s="3" t="n"/>
      <c r="AS1445" s="3" t="n"/>
      <c r="AT1445" s="3" t="n"/>
      <c r="AU1445" s="3" t="n"/>
    </row>
    <row r="1446">
      <c r="A1446" s="3" t="n">
        <v>2031</v>
      </c>
      <c r="B1446" s="3" t="inlineStr">
        <is>
          <t>IRQ</t>
        </is>
      </c>
      <c r="C1446" s="3" t="inlineStr">
        <is>
          <t>IMF.RES:WEO</t>
        </is>
      </c>
      <c r="D1446" s="3" t="inlineStr">
        <is>
          <t>IRQ.BCA.A</t>
        </is>
      </c>
      <c r="E1446" s="3" t="inlineStr">
        <is>
          <t>Iraq</t>
        </is>
      </c>
      <c r="F1446" s="3" t="inlineStr">
        <is>
          <t>Current account balance (credit less debit), US dollar</t>
        </is>
      </c>
      <c r="G1446" s="3" t="n"/>
      <c r="H1446" s="3" t="n">
        <v>0.413961</v>
      </c>
      <c r="I1446" s="3" t="n">
        <v>-0.386239</v>
      </c>
      <c r="J1446" s="3" t="n">
        <v>-1.683003</v>
      </c>
      <c r="K1446" s="3" t="n">
        <v>-3.044749</v>
      </c>
      <c r="L1446" s="3" t="n">
        <v>6.783294</v>
      </c>
      <c r="M1446" s="3" t="n">
        <v>2.245571</v>
      </c>
      <c r="N1446" s="3" t="n">
        <v>-0.299479</v>
      </c>
      <c r="O1446" s="3" t="n">
        <v>20.00111</v>
      </c>
      <c r="P1446" s="3" t="n">
        <v>-7.880996</v>
      </c>
      <c r="Q1446" s="3" t="n">
        <v>3.822022</v>
      </c>
      <c r="R1446" s="3" t="n">
        <v>21.175573</v>
      </c>
      <c r="S1446" s="3" t="n">
        <v>14.041012</v>
      </c>
      <c r="T1446" s="3" t="n">
        <v>16.0924</v>
      </c>
      <c r="U1446" s="3" t="n">
        <v>15.8555</v>
      </c>
      <c r="V1446" s="3" t="n">
        <v>-9.2629</v>
      </c>
      <c r="W1446" s="3" t="n">
        <v>-11.550598</v>
      </c>
      <c r="X1446" s="3" t="n">
        <v>-3.918443</v>
      </c>
      <c r="Y1446" s="3" t="n">
        <v>18.541972</v>
      </c>
      <c r="Z1446" s="3" t="n">
        <v>13.911837</v>
      </c>
      <c r="AA1446" s="3" t="n">
        <v>-12.449619</v>
      </c>
      <c r="AB1446" s="3" t="n">
        <v>6.512208</v>
      </c>
      <c r="AC1446" s="3" t="n">
        <v>38.703771</v>
      </c>
      <c r="AD1446" s="3" t="n">
        <v>15.836129</v>
      </c>
      <c r="AE1446" s="3" t="n">
        <v>-5.974947</v>
      </c>
      <c r="AF1446" s="3" t="n">
        <v>-4.522419</v>
      </c>
      <c r="AG1446" s="3" t="n">
        <v>-14.162343</v>
      </c>
      <c r="AH1446" s="3" t="n">
        <v>0.719422</v>
      </c>
      <c r="AI1446" s="3" t="n">
        <v>-5.351345</v>
      </c>
      <c r="AJ1446" s="3" t="n">
        <v>-9.927657</v>
      </c>
      <c r="AK1446" s="3" t="n">
        <v>-14.421212</v>
      </c>
      <c r="AL1446" s="3" t="n">
        <v>-20.098784</v>
      </c>
      <c r="AM1446" s="3" t="n"/>
      <c r="AN1446" s="3" t="n"/>
      <c r="AO1446" s="3" t="n"/>
      <c r="AP1446" s="3" t="n"/>
      <c r="AQ1446" s="3" t="n"/>
      <c r="AR1446" s="3" t="n"/>
      <c r="AS1446" s="3" t="n"/>
      <c r="AT1446" s="3" t="n"/>
      <c r="AU1446" s="3" t="n"/>
    </row>
    <row r="1447">
      <c r="A1447" s="3" t="n">
        <v>2031</v>
      </c>
      <c r="B1447" s="3" t="inlineStr">
        <is>
          <t>IRQ</t>
        </is>
      </c>
      <c r="C1447" s="3" t="inlineStr">
        <is>
          <t>IMF.RES:WEO</t>
        </is>
      </c>
      <c r="D1447" s="3" t="inlineStr">
        <is>
          <t>IRQ.BCA_NGDPD.A</t>
        </is>
      </c>
      <c r="E1447" s="3" t="inlineStr">
        <is>
          <t>Iraq</t>
        </is>
      </c>
      <c r="F1447" s="3" t="inlineStr">
        <is>
          <t>Current account balance (credit less debit), Percent of GDP</t>
        </is>
      </c>
      <c r="G1447" s="3" t="n"/>
      <c r="H1447" s="3" t="n">
        <v>1.960709</v>
      </c>
      <c r="I1447" s="3" t="n">
        <v>-1.833772</v>
      </c>
      <c r="J1447" s="3" t="n">
        <v>-10.651659</v>
      </c>
      <c r="K1447" s="3" t="n">
        <v>-8.309350999999999</v>
      </c>
      <c r="L1447" s="3" t="n">
        <v>13.548857</v>
      </c>
      <c r="M1447" s="3" t="n">
        <v>3.447089</v>
      </c>
      <c r="N1447" s="3" t="n">
        <v>-0.337126</v>
      </c>
      <c r="O1447" s="3" t="n">
        <v>15.196834</v>
      </c>
      <c r="P1447" s="3" t="n">
        <v>-7.05803</v>
      </c>
      <c r="Q1447" s="3" t="n">
        <v>2.75925</v>
      </c>
      <c r="R1447" s="3" t="n">
        <v>11.40006</v>
      </c>
      <c r="S1447" s="3" t="n">
        <v>6.439882</v>
      </c>
      <c r="T1447" s="3" t="n">
        <v>6.858404</v>
      </c>
      <c r="U1447" s="3" t="n">
        <v>6.757057</v>
      </c>
      <c r="V1447" s="3" t="n">
        <v>-5.214589</v>
      </c>
      <c r="W1447" s="3" t="n">
        <v>-6.857841</v>
      </c>
      <c r="X1447" s="3" t="n">
        <v>-2.061821</v>
      </c>
      <c r="Y1447" s="3" t="n">
        <v>8.055092999999999</v>
      </c>
      <c r="Z1447" s="3" t="n">
        <v>5.87787</v>
      </c>
      <c r="AA1447" s="3" t="n">
        <v>-6.818867</v>
      </c>
      <c r="AB1447" s="3" t="n">
        <v>3.089966</v>
      </c>
      <c r="AC1447" s="3" t="n">
        <v>13.436038</v>
      </c>
      <c r="AD1447" s="3" t="n">
        <v>5.847932</v>
      </c>
      <c r="AE1447" s="3" t="n">
        <v>-2.085326</v>
      </c>
      <c r="AF1447" s="3" t="n">
        <v>-1.711952</v>
      </c>
      <c r="AG1447" s="3" t="n">
        <v>-5.348644</v>
      </c>
      <c r="AH1447" s="3" t="n">
        <v>0.245724</v>
      </c>
      <c r="AI1447" s="3" t="n">
        <v>-1.751492</v>
      </c>
      <c r="AJ1447" s="3" t="n">
        <v>-3.088737</v>
      </c>
      <c r="AK1447" s="3" t="n">
        <v>-4.243713</v>
      </c>
      <c r="AL1447" s="3" t="n">
        <v>-5.57508</v>
      </c>
      <c r="AM1447" s="3" t="n"/>
      <c r="AN1447" s="3" t="n"/>
      <c r="AO1447" s="3" t="n"/>
      <c r="AP1447" s="3" t="n"/>
      <c r="AQ1447" s="3" t="n"/>
      <c r="AR1447" s="3" t="n"/>
      <c r="AS1447" s="3" t="n"/>
      <c r="AT1447" s="3" t="n"/>
      <c r="AU1447" s="3" t="n"/>
    </row>
    <row r="1448">
      <c r="A1448" s="3" t="n">
        <v>2031</v>
      </c>
      <c r="B1448" s="3" t="inlineStr">
        <is>
          <t>IRQ</t>
        </is>
      </c>
      <c r="C1448" s="3" t="inlineStr">
        <is>
          <t>IMF.RES:WEO</t>
        </is>
      </c>
      <c r="D1448" s="3" t="inlineStr">
        <is>
          <t>IRQ.GGR_NGDP.A</t>
        </is>
      </c>
      <c r="E1448" s="3" t="inlineStr">
        <is>
          <t>Iraq</t>
        </is>
      </c>
      <c r="F1448" s="3" t="inlineStr">
        <is>
          <t>Revenue, General government, Percent of GDP</t>
        </is>
      </c>
      <c r="G1448" s="3" t="n"/>
      <c r="H1448" s="3" t="n"/>
      <c r="I1448" s="3" t="n"/>
      <c r="J1448" s="3" t="n"/>
      <c r="K1448" s="3" t="n">
        <v>56.052019</v>
      </c>
      <c r="L1448" s="3" t="n">
        <v>67.273976</v>
      </c>
      <c r="M1448" s="3" t="n">
        <v>61.039714</v>
      </c>
      <c r="N1448" s="3" t="n">
        <v>53.959789</v>
      </c>
      <c r="O1448" s="3" t="n">
        <v>56.398626</v>
      </c>
      <c r="P1448" s="3" t="n">
        <v>46.180311</v>
      </c>
      <c r="Q1448" s="3" t="n">
        <v>45.396444</v>
      </c>
      <c r="R1448" s="3" t="n">
        <v>48.113643</v>
      </c>
      <c r="S1448" s="3" t="n">
        <v>46.985373</v>
      </c>
      <c r="T1448" s="3" t="n">
        <v>42.186701</v>
      </c>
      <c r="U1448" s="3" t="n">
        <v>38.152248</v>
      </c>
      <c r="V1448" s="3" t="n">
        <v>30.634241</v>
      </c>
      <c r="W1448" s="3" t="n">
        <v>27.919989</v>
      </c>
      <c r="X1448" s="3" t="n">
        <v>33.973904</v>
      </c>
      <c r="Y1448" s="3" t="n">
        <v>38.811357</v>
      </c>
      <c r="Z1448" s="3" t="n">
        <v>35.483821</v>
      </c>
      <c r="AA1448" s="3" t="n">
        <v>29.054133</v>
      </c>
      <c r="AB1448" s="3" t="n">
        <v>35.950011</v>
      </c>
      <c r="AC1448" s="3" t="n">
        <v>42.035603</v>
      </c>
      <c r="AD1448" s="3" t="n">
        <v>40.0254</v>
      </c>
      <c r="AE1448" s="3" t="n">
        <v>38.264632</v>
      </c>
      <c r="AF1448" s="3" t="n">
        <v>36.324739</v>
      </c>
      <c r="AG1448" s="3" t="n">
        <v>34.725071</v>
      </c>
      <c r="AH1448" s="3" t="n">
        <v>38.773206</v>
      </c>
      <c r="AI1448" s="3" t="n">
        <v>37.486292</v>
      </c>
      <c r="AJ1448" s="3" t="n">
        <v>36.576446</v>
      </c>
      <c r="AK1448" s="3" t="n">
        <v>36.437568</v>
      </c>
      <c r="AL1448" s="3" t="n">
        <v>36.086457</v>
      </c>
      <c r="AM1448" s="3" t="n"/>
      <c r="AN1448" s="3" t="n"/>
      <c r="AO1448" s="3" t="n"/>
      <c r="AP1448" s="3" t="n"/>
      <c r="AQ1448" s="3" t="n"/>
      <c r="AR1448" s="3" t="n"/>
      <c r="AS1448" s="3" t="n"/>
      <c r="AT1448" s="3" t="n"/>
      <c r="AU1448" s="3" t="n"/>
    </row>
    <row r="1449">
      <c r="A1449" s="3" t="n">
        <v>2031</v>
      </c>
      <c r="B1449" s="3" t="inlineStr">
        <is>
          <t>IRQ</t>
        </is>
      </c>
      <c r="C1449" s="3" t="inlineStr">
        <is>
          <t>IMF.RES:WEO</t>
        </is>
      </c>
      <c r="D1449" s="3" t="inlineStr">
        <is>
          <t>IRQ.GGX_NGDP.A</t>
        </is>
      </c>
      <c r="E1449" s="3" t="inlineStr">
        <is>
          <t>Iraq</t>
        </is>
      </c>
      <c r="F1449" s="3" t="inlineStr">
        <is>
          <t>Expenditure, General government, Percent of GDP</t>
        </is>
      </c>
      <c r="G1449" s="3" t="n"/>
      <c r="H1449" s="3" t="n"/>
      <c r="I1449" s="3" t="n"/>
      <c r="J1449" s="3" t="n"/>
      <c r="K1449" s="3" t="n">
        <v>91.45019000000001</v>
      </c>
      <c r="L1449" s="3" t="n">
        <v>63.205294</v>
      </c>
      <c r="M1449" s="3" t="n">
        <v>50.319025</v>
      </c>
      <c r="N1449" s="3" t="n">
        <v>43.979413</v>
      </c>
      <c r="O1449" s="3" t="n">
        <v>57.254259</v>
      </c>
      <c r="P1449" s="3" t="n">
        <v>61.094509</v>
      </c>
      <c r="Q1449" s="3" t="n">
        <v>49.575354</v>
      </c>
      <c r="R1449" s="3" t="n">
        <v>43.369185</v>
      </c>
      <c r="S1449" s="3" t="n">
        <v>42.891507</v>
      </c>
      <c r="T1449" s="3" t="n">
        <v>48.248984</v>
      </c>
      <c r="U1449" s="3" t="n">
        <v>43.782782</v>
      </c>
      <c r="V1449" s="3" t="n">
        <v>43.463895</v>
      </c>
      <c r="W1449" s="3" t="n">
        <v>42.368691</v>
      </c>
      <c r="X1449" s="3" t="n">
        <v>35.494714</v>
      </c>
      <c r="Y1449" s="3" t="n">
        <v>31.126062</v>
      </c>
      <c r="Z1449" s="3" t="n">
        <v>34.650034</v>
      </c>
      <c r="AA1449" s="3" t="n">
        <v>41.869514</v>
      </c>
      <c r="AB1449" s="3" t="n">
        <v>36.327024</v>
      </c>
      <c r="AC1449" s="3" t="n">
        <v>33.937839</v>
      </c>
      <c r="AD1449" s="3" t="n">
        <v>41.166226</v>
      </c>
      <c r="AE1449" s="3" t="n">
        <v>41.718078</v>
      </c>
      <c r="AF1449" s="3" t="n">
        <v>42.730539</v>
      </c>
      <c r="AG1449" s="3" t="n">
        <v>42.62856</v>
      </c>
      <c r="AH1449" s="3" t="n">
        <v>41.437348</v>
      </c>
      <c r="AI1449" s="3" t="n">
        <v>41.889964</v>
      </c>
      <c r="AJ1449" s="3" t="n">
        <v>42.257414</v>
      </c>
      <c r="AK1449" s="3" t="n">
        <v>42.757583</v>
      </c>
      <c r="AL1449" s="3" t="n">
        <v>43.361022</v>
      </c>
      <c r="AM1449" s="3" t="n"/>
      <c r="AN1449" s="3" t="n"/>
      <c r="AO1449" s="3" t="n"/>
      <c r="AP1449" s="3" t="n"/>
      <c r="AQ1449" s="3" t="n"/>
      <c r="AR1449" s="3" t="n"/>
      <c r="AS1449" s="3" t="n"/>
      <c r="AT1449" s="3" t="n"/>
      <c r="AU1449" s="3" t="n"/>
    </row>
    <row r="1450">
      <c r="A1450" s="3" t="n">
        <v>2031</v>
      </c>
      <c r="B1450" s="3" t="inlineStr">
        <is>
          <t>IRQ</t>
        </is>
      </c>
      <c r="C1450" s="3" t="inlineStr">
        <is>
          <t>IMF.RES:WEO</t>
        </is>
      </c>
      <c r="D1450" s="3" t="inlineStr">
        <is>
          <t>IRQ.LP.A</t>
        </is>
      </c>
      <c r="E1450" s="3" t="inlineStr">
        <is>
          <t>Iraq</t>
        </is>
      </c>
      <c r="F1450" s="3" t="inlineStr">
        <is>
          <t>Population, Persons for countries / Index for country groups</t>
        </is>
      </c>
      <c r="G1450" s="3" t="n"/>
      <c r="H1450" s="3" t="n"/>
      <c r="I1450" s="3" t="n"/>
      <c r="J1450" s="3" t="n">
        <v>25.959531</v>
      </c>
      <c r="K1450" s="3" t="n">
        <v>26.673536</v>
      </c>
      <c r="L1450" s="3" t="n">
        <v>27.377045</v>
      </c>
      <c r="M1450" s="3" t="n">
        <v>28.064095</v>
      </c>
      <c r="N1450" s="3" t="n">
        <v>28.74063</v>
      </c>
      <c r="O1450" s="3" t="n">
        <v>29.429829</v>
      </c>
      <c r="P1450" s="3" t="n">
        <v>30.163199</v>
      </c>
      <c r="Q1450" s="3" t="n">
        <v>30.96238</v>
      </c>
      <c r="R1450" s="3" t="n">
        <v>31.76002</v>
      </c>
      <c r="S1450" s="3" t="n">
        <v>32.578209</v>
      </c>
      <c r="T1450" s="3" t="n">
        <v>33.417476</v>
      </c>
      <c r="U1450" s="3" t="n">
        <v>35</v>
      </c>
      <c r="V1450" s="3" t="n">
        <v>35.2126</v>
      </c>
      <c r="W1450" s="3" t="n">
        <v>36.169123</v>
      </c>
      <c r="X1450" s="3" t="n">
        <v>37.139519</v>
      </c>
      <c r="Y1450" s="3" t="n">
        <v>38.124182</v>
      </c>
      <c r="Z1450" s="3" t="n">
        <v>39.1279</v>
      </c>
      <c r="AA1450" s="3" t="n">
        <v>40.150174</v>
      </c>
      <c r="AB1450" s="3" t="n">
        <v>41.190658</v>
      </c>
      <c r="AC1450" s="3" t="n">
        <v>42.2489</v>
      </c>
      <c r="AD1450" s="3" t="n">
        <v>43.324</v>
      </c>
      <c r="AE1450" s="3" t="n">
        <v>44.4148</v>
      </c>
      <c r="AF1450" s="3" t="n">
        <v>45.5205</v>
      </c>
      <c r="AG1450" s="3" t="n">
        <v>46.6399</v>
      </c>
      <c r="AH1450" s="3" t="n">
        <v>47.7716</v>
      </c>
      <c r="AI1450" s="3" t="n">
        <v>48.9141</v>
      </c>
      <c r="AJ1450" s="3" t="n">
        <v>50.0615</v>
      </c>
      <c r="AK1450" s="3" t="n">
        <v>51.2117</v>
      </c>
      <c r="AL1450" s="3" t="n">
        <v>52.543204</v>
      </c>
      <c r="AM1450" s="3" t="n"/>
      <c r="AN1450" s="3" t="n"/>
      <c r="AO1450" s="3" t="n"/>
      <c r="AP1450" s="3" t="n"/>
      <c r="AQ1450" s="3" t="n"/>
      <c r="AR1450" s="3" t="n"/>
      <c r="AS1450" s="3" t="n"/>
      <c r="AT1450" s="3" t="n"/>
      <c r="AU1450" s="3" t="n"/>
    </row>
    <row r="1451">
      <c r="A1451" s="3" t="n">
        <v>2031</v>
      </c>
      <c r="B1451" s="3" t="inlineStr">
        <is>
          <t>IRQ</t>
        </is>
      </c>
      <c r="C1451" s="3" t="inlineStr">
        <is>
          <t>IMF.RES:WEO</t>
        </is>
      </c>
      <c r="D1451" s="3" t="inlineStr">
        <is>
          <t>IRQ.NGDP.A</t>
        </is>
      </c>
      <c r="E1451" s="3" t="inlineStr">
        <is>
          <t>Iraq</t>
        </is>
      </c>
      <c r="F1451" s="3" t="inlineStr">
        <is>
          <t>Gross domestic product (GDP), Current prices, Domestic currency</t>
        </is>
      </c>
      <c r="G1451" s="3" t="n">
        <v>50149.1414</v>
      </c>
      <c r="H1451" s="3" t="n">
        <v>40726.6361</v>
      </c>
      <c r="I1451" s="3" t="n">
        <v>41219.402</v>
      </c>
      <c r="J1451" s="3" t="n">
        <v>29989.1328</v>
      </c>
      <c r="K1451" s="3" t="n">
        <v>53235.3587</v>
      </c>
      <c r="L1451" s="3" t="n">
        <v>73533.5986</v>
      </c>
      <c r="M1451" s="3" t="n">
        <v>95587.95480000001</v>
      </c>
      <c r="N1451" s="3" t="n">
        <v>111455.8134</v>
      </c>
      <c r="O1451" s="3" t="n">
        <v>157026.0616</v>
      </c>
      <c r="P1451" s="3" t="n">
        <v>130642.187</v>
      </c>
      <c r="Q1451" s="3" t="n">
        <v>162064.5655</v>
      </c>
      <c r="R1451" s="3" t="n">
        <v>217327.1074</v>
      </c>
      <c r="S1451" s="3" t="n">
        <v>254225.4907</v>
      </c>
      <c r="T1451" s="3" t="n">
        <v>273587.5292</v>
      </c>
      <c r="U1451" s="3" t="n">
        <v>273603.020371</v>
      </c>
      <c r="V1451" s="3" t="n">
        <v>207121.62716</v>
      </c>
      <c r="W1451" s="3" t="n">
        <v>198774.3694</v>
      </c>
      <c r="X1451" s="3" t="n">
        <v>224636.3232</v>
      </c>
      <c r="Y1451" s="3" t="n">
        <v>272083.889</v>
      </c>
      <c r="Z1451" s="3" t="n">
        <v>279757.6426</v>
      </c>
      <c r="AA1451" s="3" t="n">
        <v>217413.5941</v>
      </c>
      <c r="AB1451" s="3" t="n">
        <v>305592.415284</v>
      </c>
      <c r="AC1451" s="3" t="n">
        <v>417686.1349</v>
      </c>
      <c r="AD1451" s="3" t="n">
        <v>356378.6084</v>
      </c>
      <c r="AE1451" s="3" t="n">
        <v>372480.440242</v>
      </c>
      <c r="AF1451" s="3" t="n">
        <v>343417.620788</v>
      </c>
      <c r="AG1451" s="3" t="n">
        <v>344218.931264</v>
      </c>
      <c r="AH1451" s="3" t="n">
        <v>380609.935751</v>
      </c>
      <c r="AI1451" s="3" t="n">
        <v>397189.973305</v>
      </c>
      <c r="AJ1451" s="3" t="n">
        <v>417839.200757</v>
      </c>
      <c r="AK1451" s="3" t="n">
        <v>441772.916183</v>
      </c>
      <c r="AL1451" s="3" t="n">
        <v>468664.425414</v>
      </c>
      <c r="AM1451" s="3" t="n"/>
      <c r="AN1451" s="3" t="n"/>
      <c r="AO1451" s="3" t="n"/>
      <c r="AP1451" s="3" t="n"/>
      <c r="AQ1451" s="3" t="n"/>
      <c r="AR1451" s="3" t="n"/>
      <c r="AS1451" s="3" t="n"/>
      <c r="AT1451" s="3" t="n"/>
      <c r="AU1451" s="3" t="n"/>
    </row>
    <row r="1452">
      <c r="A1452" s="3" t="n">
        <v>2031</v>
      </c>
      <c r="B1452" s="3" t="inlineStr">
        <is>
          <t>IRQ</t>
        </is>
      </c>
      <c r="C1452" s="3" t="inlineStr">
        <is>
          <t>IMF.RES:WEO</t>
        </is>
      </c>
      <c r="D1452" s="3" t="inlineStr">
        <is>
          <t>IRQ.NGDP_D.A</t>
        </is>
      </c>
      <c r="E1452" s="3" t="inlineStr">
        <is>
          <t>Iraq</t>
        </is>
      </c>
      <c r="F1452" s="3" t="inlineStr">
        <is>
          <t>Gross domestic product (GDP), Price deflator, Index</t>
        </is>
      </c>
      <c r="G1452" s="3" t="n">
        <v>44.692814</v>
      </c>
      <c r="H1452" s="3" t="n">
        <v>35.665428</v>
      </c>
      <c r="I1452" s="3" t="n">
        <v>39.32289</v>
      </c>
      <c r="J1452" s="3" t="n">
        <v>45.165572</v>
      </c>
      <c r="K1452" s="3" t="n">
        <v>52.270825</v>
      </c>
      <c r="L1452" s="3" t="n">
        <v>71.01168699999999</v>
      </c>
      <c r="M1452" s="3" t="n">
        <v>87.38276500000001</v>
      </c>
      <c r="N1452" s="3" t="n">
        <v>100</v>
      </c>
      <c r="O1452" s="3" t="n">
        <v>130.175409</v>
      </c>
      <c r="P1452" s="3" t="n">
        <v>104.762793</v>
      </c>
      <c r="Q1452" s="3" t="n">
        <v>122.140474</v>
      </c>
      <c r="R1452" s="3" t="n">
        <v>152.29627</v>
      </c>
      <c r="S1452" s="3" t="n">
        <v>156.362229</v>
      </c>
      <c r="T1452" s="3" t="n">
        <v>156.344509</v>
      </c>
      <c r="U1452" s="3" t="n">
        <v>155.207162</v>
      </c>
      <c r="V1452" s="3" t="n">
        <v>114.587566</v>
      </c>
      <c r="W1452" s="3" t="n">
        <v>94.660605</v>
      </c>
      <c r="X1452" s="3" t="n">
        <v>108.616008</v>
      </c>
      <c r="Y1452" s="3" t="n">
        <v>128.182798</v>
      </c>
      <c r="Z1452" s="3" t="n">
        <v>124.822385</v>
      </c>
      <c r="AA1452" s="3" t="n">
        <v>110.748336</v>
      </c>
      <c r="AB1452" s="3" t="n">
        <v>153.474061</v>
      </c>
      <c r="AC1452" s="3" t="n">
        <v>194.748985</v>
      </c>
      <c r="AD1452" s="3" t="n">
        <v>164.648977</v>
      </c>
      <c r="AE1452" s="3" t="n">
        <v>171.90571</v>
      </c>
      <c r="AF1452" s="3" t="n">
        <v>159.152418</v>
      </c>
      <c r="AG1452" s="3" t="n">
        <v>171.110219</v>
      </c>
      <c r="AH1452" s="3" t="n">
        <v>169.985778</v>
      </c>
      <c r="AI1452" s="3" t="n">
        <v>171.441292</v>
      </c>
      <c r="AJ1452" s="3" t="n">
        <v>174.535667</v>
      </c>
      <c r="AK1452" s="3" t="n">
        <v>178.47374</v>
      </c>
      <c r="AL1452" s="3" t="n">
        <v>183.010213</v>
      </c>
      <c r="AM1452" s="3" t="n"/>
      <c r="AN1452" s="3" t="n"/>
      <c r="AO1452" s="3" t="n"/>
      <c r="AP1452" s="3" t="n"/>
      <c r="AQ1452" s="3" t="n"/>
      <c r="AR1452" s="3" t="n"/>
      <c r="AS1452" s="3" t="n"/>
      <c r="AT1452" s="3" t="n"/>
      <c r="AU1452" s="3" t="n"/>
    </row>
    <row r="1453">
      <c r="A1453" s="3" t="n">
        <v>2031</v>
      </c>
      <c r="B1453" s="3" t="inlineStr">
        <is>
          <t>IRQ</t>
        </is>
      </c>
      <c r="C1453" s="3" t="inlineStr">
        <is>
          <t>IMF.RES:WEO</t>
        </is>
      </c>
      <c r="D1453" s="3" t="inlineStr">
        <is>
          <t>IRQ.NGDP_R.A</t>
        </is>
      </c>
      <c r="E1453" s="3" t="inlineStr">
        <is>
          <t>Iraq</t>
        </is>
      </c>
      <c r="F1453" s="3" t="inlineStr">
        <is>
          <t>Gross domestic product (GDP), Constant prices, Domestic currency</t>
        </is>
      </c>
      <c r="G1453" s="3" t="n">
        <v>112208.5115</v>
      </c>
      <c r="H1453" s="3" t="n">
        <v>114190.7969</v>
      </c>
      <c r="I1453" s="3" t="n">
        <v>104822.921</v>
      </c>
      <c r="J1453" s="3" t="n">
        <v>66398.213</v>
      </c>
      <c r="K1453" s="3" t="n">
        <v>101845.2624</v>
      </c>
      <c r="L1453" s="3" t="n">
        <v>103551.4034</v>
      </c>
      <c r="M1453" s="3" t="n">
        <v>109389.9413</v>
      </c>
      <c r="N1453" s="3" t="n">
        <v>111455.8134</v>
      </c>
      <c r="O1453" s="3" t="n">
        <v>120626.5171</v>
      </c>
      <c r="P1453" s="3" t="n">
        <v>124702.8479</v>
      </c>
      <c r="Q1453" s="3" t="n">
        <v>132687.0286</v>
      </c>
      <c r="R1453" s="3" t="n">
        <v>142700.217</v>
      </c>
      <c r="S1453" s="3" t="n">
        <v>162587.5331</v>
      </c>
      <c r="T1453" s="3" t="n">
        <v>174990.175</v>
      </c>
      <c r="U1453" s="3" t="n">
        <v>176282.471119</v>
      </c>
      <c r="V1453" s="3" t="n">
        <v>180754.015736</v>
      </c>
      <c r="W1453" s="3" t="n">
        <v>209986.3705</v>
      </c>
      <c r="X1453" s="3" t="n">
        <v>206816.9571</v>
      </c>
      <c r="Y1453" s="3" t="n">
        <v>212262.4036</v>
      </c>
      <c r="Z1453" s="3" t="n">
        <v>224124.5768</v>
      </c>
      <c r="AA1453" s="3" t="n">
        <v>196313.1927</v>
      </c>
      <c r="AB1453" s="3" t="n">
        <v>199116.653705</v>
      </c>
      <c r="AC1453" s="3" t="n">
        <v>214474.1014</v>
      </c>
      <c r="AD1453" s="3" t="n">
        <v>216447.508485</v>
      </c>
      <c r="AE1453" s="3" t="n">
        <v>216677.177714</v>
      </c>
      <c r="AF1453" s="3" t="n">
        <v>215779.077799</v>
      </c>
      <c r="AG1453" s="3" t="n">
        <v>201167.956923</v>
      </c>
      <c r="AH1453" s="3" t="n">
        <v>223906.929765</v>
      </c>
      <c r="AI1453" s="3" t="n">
        <v>231676.960216</v>
      </c>
      <c r="AJ1453" s="3" t="n">
        <v>239400.465784</v>
      </c>
      <c r="AK1453" s="3" t="n">
        <v>247528.245242</v>
      </c>
      <c r="AL1453" s="3" t="n">
        <v>256086.486497</v>
      </c>
      <c r="AM1453" s="3" t="n"/>
      <c r="AN1453" s="3" t="n"/>
      <c r="AO1453" s="3" t="n"/>
      <c r="AP1453" s="3" t="n"/>
      <c r="AQ1453" s="3" t="n"/>
      <c r="AR1453" s="3" t="n"/>
      <c r="AS1453" s="3" t="n"/>
      <c r="AT1453" s="3" t="n"/>
      <c r="AU1453" s="3" t="n"/>
    </row>
    <row r="1454">
      <c r="A1454" s="3" t="n">
        <v>2031</v>
      </c>
      <c r="B1454" s="3" t="inlineStr">
        <is>
          <t>IRQ</t>
        </is>
      </c>
      <c r="C1454" s="3" t="inlineStr">
        <is>
          <t>IMF.RES:WEO</t>
        </is>
      </c>
      <c r="D1454" s="3" t="inlineStr">
        <is>
          <t>IRQ.NGDP_RPCH.A</t>
        </is>
      </c>
      <c r="E1454" s="3" t="inlineStr">
        <is>
          <t>Iraq</t>
        </is>
      </c>
      <c r="F1454" s="3" t="inlineStr">
        <is>
          <t>Gross domestic product (GDP), Constant prices, Percent change</t>
        </is>
      </c>
      <c r="G1454" s="3" t="n"/>
      <c r="H1454" s="3" t="n">
        <v>1.766609</v>
      </c>
      <c r="I1454" s="3" t="n">
        <v>-8.203704999999999</v>
      </c>
      <c r="J1454" s="3" t="n">
        <v>-36.65678</v>
      </c>
      <c r="K1454" s="3" t="n">
        <v>53.385547</v>
      </c>
      <c r="L1454" s="3" t="n">
        <v>1.675229</v>
      </c>
      <c r="M1454" s="3" t="n">
        <v>5.638299</v>
      </c>
      <c r="N1454" s="3" t="n">
        <v>1.888539</v>
      </c>
      <c r="O1454" s="3" t="n">
        <v>8.228107</v>
      </c>
      <c r="P1454" s="3" t="n">
        <v>3.379299</v>
      </c>
      <c r="Q1454" s="3" t="n">
        <v>6.402565</v>
      </c>
      <c r="R1454" s="3" t="n">
        <v>7.546471</v>
      </c>
      <c r="S1454" s="3" t="n">
        <v>13.93643</v>
      </c>
      <c r="T1454" s="3" t="n">
        <v>7.628286</v>
      </c>
      <c r="U1454" s="3" t="n">
        <v>0.738496</v>
      </c>
      <c r="V1454" s="3" t="n">
        <v>2.536579</v>
      </c>
      <c r="W1454" s="3" t="n">
        <v>16.172451</v>
      </c>
      <c r="X1454" s="3" t="n">
        <v>-1.509342</v>
      </c>
      <c r="Y1454" s="3" t="n">
        <v>2.632979</v>
      </c>
      <c r="Z1454" s="3" t="n">
        <v>5.588448</v>
      </c>
      <c r="AA1454" s="3" t="n">
        <v>-12.408895</v>
      </c>
      <c r="AB1454" s="3" t="n">
        <v>1.428055</v>
      </c>
      <c r="AC1454" s="3" t="n">
        <v>7.712789</v>
      </c>
      <c r="AD1454" s="3" t="n">
        <v>0.920114</v>
      </c>
      <c r="AE1454" s="3" t="n">
        <v>0.106109</v>
      </c>
      <c r="AF1454" s="3" t="n">
        <v>-0.414488</v>
      </c>
      <c r="AG1454" s="3" t="n">
        <v>-6.771333</v>
      </c>
      <c r="AH1454" s="3" t="n">
        <v>11.303477</v>
      </c>
      <c r="AI1454" s="3" t="n">
        <v>3.470205</v>
      </c>
      <c r="AJ1454" s="3" t="n">
        <v>3.333739</v>
      </c>
      <c r="AK1454" s="3" t="n">
        <v>3.395056</v>
      </c>
      <c r="AL1454" s="3" t="n">
        <v>3.457481</v>
      </c>
      <c r="AM1454" s="3" t="n"/>
      <c r="AN1454" s="3" t="n"/>
      <c r="AO1454" s="3" t="n"/>
      <c r="AP1454" s="3" t="n"/>
      <c r="AQ1454" s="3" t="n"/>
      <c r="AR1454" s="3" t="n"/>
      <c r="AS1454" s="3" t="n"/>
      <c r="AT1454" s="3" t="n"/>
      <c r="AU1454" s="3" t="n"/>
    </row>
    <row r="1455">
      <c r="A1455" s="3" t="n">
        <v>2031</v>
      </c>
      <c r="B1455" s="3" t="inlineStr">
        <is>
          <t>IRQ</t>
        </is>
      </c>
      <c r="C1455" s="3" t="inlineStr">
        <is>
          <t>IMF.RES:WEO</t>
        </is>
      </c>
      <c r="D1455" s="3" t="inlineStr">
        <is>
          <t>IRQ.NGDPD.A</t>
        </is>
      </c>
      <c r="E1455" s="3" t="inlineStr">
        <is>
          <t>Iraq</t>
        </is>
      </c>
      <c r="F1455" s="3" t="inlineStr">
        <is>
          <t>Gross domestic product (GDP), Current prices, US dollar</t>
        </is>
      </c>
      <c r="G1455" s="3" t="n">
        <v>25.984011</v>
      </c>
      <c r="H1455" s="3" t="n">
        <v>21.112823</v>
      </c>
      <c r="I1455" s="3" t="n">
        <v>21.062546</v>
      </c>
      <c r="J1455" s="3" t="n">
        <v>15.800386</v>
      </c>
      <c r="K1455" s="3" t="n">
        <v>36.64244</v>
      </c>
      <c r="L1455" s="3" t="n">
        <v>50.065429</v>
      </c>
      <c r="M1455" s="3" t="n">
        <v>65.143995</v>
      </c>
      <c r="N1455" s="3" t="n">
        <v>88.83300699999999</v>
      </c>
      <c r="O1455" s="3" t="n">
        <v>131.613658</v>
      </c>
      <c r="P1455" s="3" t="n">
        <v>111.659989</v>
      </c>
      <c r="Q1455" s="3" t="n">
        <v>138.516723</v>
      </c>
      <c r="R1455" s="3" t="n">
        <v>185.749664</v>
      </c>
      <c r="S1455" s="3" t="n">
        <v>218.032153</v>
      </c>
      <c r="T1455" s="3" t="n">
        <v>234.637675</v>
      </c>
      <c r="U1455" s="3" t="n">
        <v>234.650961</v>
      </c>
      <c r="V1455" s="3" t="n">
        <v>177.634329</v>
      </c>
      <c r="W1455" s="3" t="n">
        <v>168.429066</v>
      </c>
      <c r="X1455" s="3" t="n">
        <v>190.047651</v>
      </c>
      <c r="Y1455" s="3" t="n">
        <v>230.189415</v>
      </c>
      <c r="Z1455" s="3" t="n">
        <v>236.681593</v>
      </c>
      <c r="AA1455" s="3" t="n">
        <v>182.576078</v>
      </c>
      <c r="AB1455" s="3" t="n">
        <v>210.75339</v>
      </c>
      <c r="AC1455" s="3" t="n">
        <v>288.059403</v>
      </c>
      <c r="AD1455" s="3" t="n">
        <v>270.798776</v>
      </c>
      <c r="AE1455" s="3" t="n">
        <v>286.523416</v>
      </c>
      <c r="AF1455" s="3" t="n">
        <v>264.167401</v>
      </c>
      <c r="AG1455" s="3" t="n">
        <v>264.783793</v>
      </c>
      <c r="AH1455" s="3" t="n">
        <v>292.776874</v>
      </c>
      <c r="AI1455" s="3" t="n">
        <v>305.530749</v>
      </c>
      <c r="AJ1455" s="3" t="n">
        <v>321.41477</v>
      </c>
      <c r="AK1455" s="3" t="n">
        <v>339.82532</v>
      </c>
      <c r="AL1455" s="3" t="n">
        <v>360.511096</v>
      </c>
      <c r="AM1455" s="3" t="n"/>
      <c r="AN1455" s="3" t="n"/>
      <c r="AO1455" s="3" t="n"/>
      <c r="AP1455" s="3" t="n"/>
      <c r="AQ1455" s="3" t="n"/>
      <c r="AR1455" s="3" t="n"/>
      <c r="AS1455" s="3" t="n"/>
      <c r="AT1455" s="3" t="n"/>
      <c r="AU1455" s="3" t="n"/>
    </row>
    <row r="1456">
      <c r="A1456" s="3" t="n">
        <v>2031</v>
      </c>
      <c r="B1456" s="3" t="inlineStr">
        <is>
          <t>IRQ</t>
        </is>
      </c>
      <c r="C1456" s="3" t="inlineStr">
        <is>
          <t>IMF.RES:WEO</t>
        </is>
      </c>
      <c r="D1456" s="3" t="inlineStr">
        <is>
          <t>IRQ.NGDPPC.A</t>
        </is>
      </c>
      <c r="E1456" s="3" t="inlineStr">
        <is>
          <t>Iraq</t>
        </is>
      </c>
      <c r="F1456" s="3" t="inlineStr">
        <is>
          <t>Gross domestic product (GDP), Current prices, Per capita, Domestic currency</t>
        </is>
      </c>
      <c r="G1456" s="3" t="n"/>
      <c r="H1456" s="3" t="n"/>
      <c r="I1456" s="3" t="n"/>
      <c r="J1456" s="3" t="n">
        <v>1155226.294343</v>
      </c>
      <c r="K1456" s="3" t="n">
        <v>1995811.830123</v>
      </c>
      <c r="L1456" s="3" t="n">
        <v>2685958.203305</v>
      </c>
      <c r="M1456" s="3" t="n">
        <v>3406058.695283</v>
      </c>
      <c r="N1456" s="3" t="n">
        <v>3877987.831164</v>
      </c>
      <c r="O1456" s="3" t="n">
        <v>5335609.038027</v>
      </c>
      <c r="P1456" s="3" t="n">
        <v>4331178.102164</v>
      </c>
      <c r="Q1456" s="3" t="n">
        <v>5234241.214661</v>
      </c>
      <c r="R1456" s="3" t="n">
        <v>6842788.745095</v>
      </c>
      <c r="S1456" s="3" t="n">
        <v>7803544.102133</v>
      </c>
      <c r="T1456" s="3" t="n">
        <v>8186959.697375</v>
      </c>
      <c r="U1456" s="3" t="n">
        <v>7817229.153464</v>
      </c>
      <c r="V1456" s="3" t="n">
        <v>5882031.635274</v>
      </c>
      <c r="W1456" s="3" t="n">
        <v>5495692.262154</v>
      </c>
      <c r="X1456" s="3" t="n">
        <v>6048444.601558</v>
      </c>
      <c r="Y1456" s="3" t="n">
        <v>7136779.721595</v>
      </c>
      <c r="Z1456" s="3" t="n">
        <v>7149825.127339</v>
      </c>
      <c r="AA1456" s="3" t="n">
        <v>5415010.00967</v>
      </c>
      <c r="AB1456" s="3" t="n">
        <v>7418973.867424</v>
      </c>
      <c r="AC1456" s="3" t="n">
        <v>9886319.759803999</v>
      </c>
      <c r="AD1456" s="3" t="n">
        <v>8225893.463207</v>
      </c>
      <c r="AE1456" s="3" t="n">
        <v>8386403.636675</v>
      </c>
      <c r="AF1456" s="3" t="n">
        <v>7544240.963699</v>
      </c>
      <c r="AG1456" s="3" t="n">
        <v>7380353.115332</v>
      </c>
      <c r="AH1456" s="3" t="n">
        <v>7967284.657649</v>
      </c>
      <c r="AI1456" s="3" t="n">
        <v>8120152.947822</v>
      </c>
      <c r="AJ1456" s="3" t="n">
        <v>8346517.798247</v>
      </c>
      <c r="AK1456" s="3" t="n">
        <v>8626406.000647999</v>
      </c>
      <c r="AL1456" s="3" t="n">
        <v>8919601.165351</v>
      </c>
      <c r="AM1456" s="3" t="n"/>
      <c r="AN1456" s="3" t="n"/>
      <c r="AO1456" s="3" t="n"/>
      <c r="AP1456" s="3" t="n"/>
      <c r="AQ1456" s="3" t="n"/>
      <c r="AR1456" s="3" t="n"/>
      <c r="AS1456" s="3" t="n"/>
      <c r="AT1456" s="3" t="n"/>
      <c r="AU1456" s="3" t="n"/>
    </row>
    <row r="1457">
      <c r="A1457" s="3" t="n">
        <v>2031</v>
      </c>
      <c r="B1457" s="3" t="inlineStr">
        <is>
          <t>IRQ</t>
        </is>
      </c>
      <c r="C1457" s="3" t="inlineStr">
        <is>
          <t>IMF.RES:WEO</t>
        </is>
      </c>
      <c r="D1457" s="3" t="inlineStr">
        <is>
          <t>IRQ.NGDPRPC.A</t>
        </is>
      </c>
      <c r="E1457" s="3" t="inlineStr">
        <is>
          <t>Iraq</t>
        </is>
      </c>
      <c r="F1457" s="3" t="inlineStr">
        <is>
          <t>Gross domestic product (GDP), Constant prices, Per capita, Domestic currency</t>
        </is>
      </c>
      <c r="G1457" s="3" t="n"/>
      <c r="H1457" s="3" t="n"/>
      <c r="I1457" s="3" t="n"/>
      <c r="J1457" s="3" t="n">
        <v>2557758.574298</v>
      </c>
      <c r="K1457" s="3" t="n">
        <v>3818213.768133</v>
      </c>
      <c r="L1457" s="3" t="n">
        <v>3782417.108932</v>
      </c>
      <c r="M1457" s="3" t="n">
        <v>3897860.996408</v>
      </c>
      <c r="N1457" s="3" t="n">
        <v>3877987.831164</v>
      </c>
      <c r="O1457" s="3" t="n">
        <v>4098784.165548</v>
      </c>
      <c r="P1457" s="3" t="n">
        <v>4134271.298611</v>
      </c>
      <c r="Q1457" s="3" t="n">
        <v>4285427.302423</v>
      </c>
      <c r="R1457" s="3" t="n">
        <v>4493077.050959</v>
      </c>
      <c r="S1457" s="3" t="n">
        <v>4990683.5916</v>
      </c>
      <c r="T1457" s="3" t="n">
        <v>5236486.890871</v>
      </c>
      <c r="U1457" s="3" t="n">
        <v>5036642.031973</v>
      </c>
      <c r="V1457" s="3" t="n">
        <v>5133219.805865</v>
      </c>
      <c r="W1457" s="3" t="n">
        <v>5805680.455675</v>
      </c>
      <c r="X1457" s="3" t="n">
        <v>5568649.316648</v>
      </c>
      <c r="Y1457" s="3" t="n">
        <v>5567657.91329</v>
      </c>
      <c r="Z1457" s="3" t="n">
        <v>5727999.120832</v>
      </c>
      <c r="AA1457" s="3" t="n">
        <v>4889473.024451</v>
      </c>
      <c r="AB1457" s="3" t="n">
        <v>4834024.591317</v>
      </c>
      <c r="AC1457" s="3" t="n">
        <v>5076442.260035</v>
      </c>
      <c r="AD1457" s="3" t="n">
        <v>4996018.569045</v>
      </c>
      <c r="AE1457" s="3" t="n">
        <v>4878490.451703</v>
      </c>
      <c r="AF1457" s="3" t="n">
        <v>4740261.592001</v>
      </c>
      <c r="AG1457" s="3" t="n">
        <v>4313215.871462</v>
      </c>
      <c r="AH1457" s="3" t="n">
        <v>4687030.155263</v>
      </c>
      <c r="AI1457" s="3" t="n">
        <v>4736404.435868</v>
      </c>
      <c r="AJ1457" s="3" t="n">
        <v>4782127.299104</v>
      </c>
      <c r="AK1457" s="3" t="n">
        <v>4833431.525252</v>
      </c>
      <c r="AL1457" s="3" t="n">
        <v>4873826.984784</v>
      </c>
      <c r="AM1457" s="3" t="n"/>
      <c r="AN1457" s="3" t="n"/>
      <c r="AO1457" s="3" t="n"/>
      <c r="AP1457" s="3" t="n"/>
      <c r="AQ1457" s="3" t="n"/>
      <c r="AR1457" s="3" t="n"/>
      <c r="AS1457" s="3" t="n"/>
      <c r="AT1457" s="3" t="n"/>
      <c r="AU1457" s="3" t="n"/>
    </row>
    <row r="1458">
      <c r="A1458" s="3" t="n">
        <v>2031</v>
      </c>
      <c r="B1458" s="3" t="inlineStr">
        <is>
          <t>IRQ</t>
        </is>
      </c>
      <c r="C1458" s="3" t="inlineStr">
        <is>
          <t>IMF.RES:WEO</t>
        </is>
      </c>
      <c r="D1458" s="3" t="inlineStr">
        <is>
          <t>IRQ.PCPI.A</t>
        </is>
      </c>
      <c r="E1458" s="3" t="inlineStr">
        <is>
          <t>Iraq</t>
        </is>
      </c>
      <c r="F1458" s="3" t="inlineStr">
        <is>
          <t>All Items, Consumer price index (CPI), Period average</t>
        </is>
      </c>
      <c r="G1458" s="3" t="n"/>
      <c r="H1458" s="3" t="n"/>
      <c r="I1458" s="3" t="n"/>
      <c r="J1458" s="3" t="n"/>
      <c r="K1458" s="3" t="n">
        <v>26.673848</v>
      </c>
      <c r="L1458" s="3" t="n">
        <v>36.532521</v>
      </c>
      <c r="M1458" s="3" t="n">
        <v>55.979089</v>
      </c>
      <c r="N1458" s="3" t="n">
        <v>73.240031</v>
      </c>
      <c r="O1458" s="3" t="n">
        <v>75.193909</v>
      </c>
      <c r="P1458" s="3" t="n">
        <v>73.087735</v>
      </c>
      <c r="Q1458" s="3" t="n">
        <v>74.863671</v>
      </c>
      <c r="R1458" s="3" t="n">
        <v>79.05907000000001</v>
      </c>
      <c r="S1458" s="3" t="n">
        <v>83.873053</v>
      </c>
      <c r="T1458" s="3" t="n">
        <v>85.449445</v>
      </c>
      <c r="U1458" s="3" t="n">
        <v>87.360072</v>
      </c>
      <c r="V1458" s="3" t="n">
        <v>88.577287</v>
      </c>
      <c r="W1458" s="3" t="n">
        <v>88.98318</v>
      </c>
      <c r="X1458" s="3" t="n">
        <v>89.161203</v>
      </c>
      <c r="Y1458" s="3" t="n">
        <v>89.474524</v>
      </c>
      <c r="Z1458" s="3" t="n">
        <v>89.29650100000001</v>
      </c>
      <c r="AA1458" s="3" t="n">
        <v>89.809208</v>
      </c>
      <c r="AB1458" s="3" t="n">
        <v>95.235359</v>
      </c>
      <c r="AC1458" s="3" t="n">
        <v>99.985021</v>
      </c>
      <c r="AD1458" s="3" t="n">
        <v>104.4</v>
      </c>
      <c r="AE1458" s="3" t="n">
        <v>107.091667</v>
      </c>
      <c r="AF1458" s="3" t="n">
        <v>107.425</v>
      </c>
      <c r="AG1458" s="3" t="n">
        <v>110.64775</v>
      </c>
      <c r="AH1458" s="3" t="n">
        <v>114.26449</v>
      </c>
      <c r="AI1458" s="3" t="n">
        <v>118.012491</v>
      </c>
      <c r="AJ1458" s="3" t="n">
        <v>122.235183</v>
      </c>
      <c r="AK1458" s="3" t="n">
        <v>127.405628</v>
      </c>
      <c r="AL1458" s="3" t="n">
        <v>133.541722</v>
      </c>
      <c r="AM1458" s="3" t="n"/>
      <c r="AN1458" s="3" t="n"/>
      <c r="AO1458" s="3" t="n"/>
      <c r="AP1458" s="3" t="n"/>
      <c r="AQ1458" s="3" t="n"/>
      <c r="AR1458" s="3" t="n"/>
      <c r="AS1458" s="3" t="n"/>
      <c r="AT1458" s="3" t="n"/>
      <c r="AU1458" s="3" t="n"/>
    </row>
    <row r="1459">
      <c r="A1459" s="3" t="n">
        <v>2031</v>
      </c>
      <c r="B1459" s="3" t="inlineStr">
        <is>
          <t>IRQ</t>
        </is>
      </c>
      <c r="C1459" s="3" t="inlineStr">
        <is>
          <t>IMF.RES:WEO</t>
        </is>
      </c>
      <c r="D1459" s="3" t="inlineStr">
        <is>
          <t>IRQ.PCPIPCH.A</t>
        </is>
      </c>
      <c r="E1459" s="3" t="inlineStr">
        <is>
          <t>Iraq</t>
        </is>
      </c>
      <c r="F1459" s="3" t="inlineStr">
        <is>
          <t>All Items, Consumer price index (CPI), Period average, percent change</t>
        </is>
      </c>
      <c r="G1459" s="3" t="n"/>
      <c r="H1459" s="3" t="n"/>
      <c r="I1459" s="3" t="n"/>
      <c r="J1459" s="3" t="n"/>
      <c r="K1459" s="3" t="n"/>
      <c r="L1459" s="3" t="n">
        <v>36.960073</v>
      </c>
      <c r="M1459" s="3" t="n">
        <v>53.230839</v>
      </c>
      <c r="N1459" s="3" t="n">
        <v>30.834626</v>
      </c>
      <c r="O1459" s="3" t="n">
        <v>2.667773</v>
      </c>
      <c r="P1459" s="3" t="n">
        <v>-2.80099</v>
      </c>
      <c r="Q1459" s="3" t="n">
        <v>2.429868</v>
      </c>
      <c r="R1459" s="3" t="n">
        <v>5.604051</v>
      </c>
      <c r="S1459" s="3" t="n">
        <v>6.089096</v>
      </c>
      <c r="T1459" s="3" t="n">
        <v>1.879498</v>
      </c>
      <c r="U1459" s="3" t="n">
        <v>2.235974</v>
      </c>
      <c r="V1459" s="3" t="n">
        <v>1.39333</v>
      </c>
      <c r="W1459" s="3" t="n">
        <v>0.458236</v>
      </c>
      <c r="X1459" s="3" t="n">
        <v>0.200064</v>
      </c>
      <c r="Y1459" s="3" t="n">
        <v>0.35141</v>
      </c>
      <c r="Z1459" s="3" t="n">
        <v>-0.198965</v>
      </c>
      <c r="AA1459" s="3" t="n">
        <v>0.574163</v>
      </c>
      <c r="AB1459" s="3" t="n">
        <v>6.041865</v>
      </c>
      <c r="AC1459" s="3" t="n">
        <v>4.987289</v>
      </c>
      <c r="AD1459" s="3" t="n">
        <v>4.41564</v>
      </c>
      <c r="AE1459" s="3" t="n">
        <v>2.578225</v>
      </c>
      <c r="AF1459" s="3" t="n">
        <v>0.31126</v>
      </c>
      <c r="AG1459" s="3" t="n">
        <v>3</v>
      </c>
      <c r="AH1459" s="3" t="n">
        <v>3.268697</v>
      </c>
      <c r="AI1459" s="3" t="n">
        <v>3.28011</v>
      </c>
      <c r="AJ1459" s="3" t="n">
        <v>3.578174</v>
      </c>
      <c r="AK1459" s="3" t="n">
        <v>4.229915</v>
      </c>
      <c r="AL1459" s="3" t="n">
        <v>4.816188</v>
      </c>
      <c r="AM1459" s="3" t="n"/>
      <c r="AN1459" s="3" t="n"/>
      <c r="AO1459" s="3" t="n"/>
      <c r="AP1459" s="3" t="n"/>
      <c r="AQ1459" s="3" t="n"/>
      <c r="AR1459" s="3" t="n"/>
      <c r="AS1459" s="3" t="n"/>
      <c r="AT1459" s="3" t="n"/>
      <c r="AU1459" s="3" t="n"/>
    </row>
    <row r="1460">
      <c r="A1460" s="3" t="n">
        <v>2031</v>
      </c>
      <c r="B1460" s="3" t="inlineStr">
        <is>
          <t>IRQ</t>
        </is>
      </c>
      <c r="C1460" s="3" t="inlineStr">
        <is>
          <t>IMF.RES:WEO</t>
        </is>
      </c>
      <c r="D1460" s="3" t="inlineStr">
        <is>
          <t>IRQ.PPPPC.A</t>
        </is>
      </c>
      <c r="E1460" s="3" t="inlineStr">
        <is>
          <t>Iraq</t>
        </is>
      </c>
      <c r="F1460" s="3" t="inlineStr">
        <is>
          <t>Gross domestic product (GDP), Per capita, purchasing power parity (PPP) international dollar, ICP benchmarks 2017-2021</t>
        </is>
      </c>
      <c r="G1460" s="3" t="n"/>
      <c r="H1460" s="3" t="n"/>
      <c r="I1460" s="3" t="n"/>
      <c r="J1460" s="3" t="n">
        <v>3869.280529</v>
      </c>
      <c r="K1460" s="3" t="n">
        <v>5931.360629</v>
      </c>
      <c r="L1460" s="3" t="n">
        <v>6060.005798</v>
      </c>
      <c r="M1460" s="3" t="n">
        <v>6437.551757</v>
      </c>
      <c r="N1460" s="3" t="n">
        <v>6578.251464</v>
      </c>
      <c r="O1460" s="3" t="n">
        <v>7086.728785</v>
      </c>
      <c r="P1460" s="3" t="n">
        <v>7192.170681</v>
      </c>
      <c r="Q1460" s="3" t="n">
        <v>7545.736436</v>
      </c>
      <c r="R1460" s="3" t="n">
        <v>8074.595072</v>
      </c>
      <c r="S1460" s="3" t="n">
        <v>9135.847307</v>
      </c>
      <c r="T1460" s="3" t="n">
        <v>9748.960953</v>
      </c>
      <c r="U1460" s="3" t="n">
        <v>9540.221304000001</v>
      </c>
      <c r="V1460" s="3" t="n">
        <v>9813.391412999999</v>
      </c>
      <c r="W1460" s="3" t="n">
        <v>11204.427576</v>
      </c>
      <c r="X1460" s="3" t="n">
        <v>10939.445885</v>
      </c>
      <c r="Y1460" s="3" t="n">
        <v>12859.969097</v>
      </c>
      <c r="Z1460" s="3" t="n">
        <v>13062.877081</v>
      </c>
      <c r="AA1460" s="3" t="n">
        <v>11181.920884</v>
      </c>
      <c r="AB1460" s="3" t="n">
        <v>13380.409238</v>
      </c>
      <c r="AC1460" s="3" t="n">
        <v>15050.807433</v>
      </c>
      <c r="AD1460" s="3" t="n">
        <v>15360.426989</v>
      </c>
      <c r="AE1460" s="3" t="n">
        <v>15371.441794</v>
      </c>
      <c r="AF1460" s="3" t="n">
        <v>15359.59864</v>
      </c>
      <c r="AG1460" s="3" t="n">
        <v>14376.254541</v>
      </c>
      <c r="AH1460" s="3" t="n">
        <v>15965.252369</v>
      </c>
      <c r="AI1460" s="3" t="n">
        <v>16398.246759</v>
      </c>
      <c r="AJ1460" s="3" t="n">
        <v>16850.940556</v>
      </c>
      <c r="AK1460" s="3" t="n">
        <v>17344.68544</v>
      </c>
      <c r="AL1460" s="3" t="n">
        <v>17805.384701</v>
      </c>
      <c r="AM1460" s="3" t="n"/>
      <c r="AN1460" s="3" t="n"/>
      <c r="AO1460" s="3" t="n"/>
      <c r="AP1460" s="3" t="n"/>
      <c r="AQ1460" s="3" t="n"/>
      <c r="AR1460" s="3" t="n"/>
      <c r="AS1460" s="3" t="n"/>
      <c r="AT1460" s="3" t="n"/>
      <c r="AU1460" s="3" t="n"/>
    </row>
    <row r="1461">
      <c r="A1461" s="3" t="n">
        <v>2025</v>
      </c>
      <c r="B1461" s="3" t="inlineStr">
        <is>
          <t>IRQ</t>
        </is>
      </c>
      <c r="C1461" s="3" t="inlineStr">
        <is>
          <t>IMF.STA:ER</t>
        </is>
      </c>
      <c r="D1461" s="3" t="inlineStr">
        <is>
          <t>IRQ.XDC_USD.PA_RT.A</t>
        </is>
      </c>
      <c r="E1461" s="3" t="inlineStr">
        <is>
          <t>Iraq</t>
        </is>
      </c>
      <c r="F1461" s="3" t="inlineStr">
        <is>
          <t>Domestic currency per US Dollar</t>
        </is>
      </c>
      <c r="G1461" s="3" t="n">
        <v>2002.40340735353</v>
      </c>
      <c r="H1461" s="3" t="n">
        <v>2002.40491037037</v>
      </c>
      <c r="I1461" s="3" t="n">
        <v>2002.37270286682</v>
      </c>
      <c r="J1461" s="3" t="n"/>
      <c r="K1461" s="3" t="n">
        <v>1453.41666666666</v>
      </c>
      <c r="L1461" s="3" t="n">
        <v>1472</v>
      </c>
      <c r="M1461" s="3" t="n">
        <v>1467.41666666666</v>
      </c>
      <c r="N1461" s="3" t="n">
        <v>1254.56721858703</v>
      </c>
      <c r="O1461" s="3" t="n">
        <v>1193.08333333333</v>
      </c>
      <c r="P1461" s="3" t="n">
        <v>1170</v>
      </c>
      <c r="Q1461" s="3" t="n">
        <v>1170</v>
      </c>
      <c r="R1461" s="3" t="n">
        <v>1170</v>
      </c>
      <c r="S1461" s="3" t="n">
        <v>1166.16666666666</v>
      </c>
      <c r="T1461" s="3" t="n">
        <v>1166</v>
      </c>
      <c r="U1461" s="3" t="n">
        <v>1166</v>
      </c>
      <c r="V1461" s="3" t="n">
        <v>1167.33333333333</v>
      </c>
      <c r="W1461" s="3" t="n">
        <v>1182</v>
      </c>
      <c r="X1461" s="3" t="n">
        <v>1184</v>
      </c>
      <c r="Y1461" s="3" t="n">
        <v>1182.75</v>
      </c>
      <c r="Z1461" s="3" t="n">
        <v>1182</v>
      </c>
      <c r="AA1461" s="3" t="n">
        <v>1192</v>
      </c>
      <c r="AB1461" s="3" t="n">
        <v>1450</v>
      </c>
      <c r="AC1461" s="3" t="n">
        <v>1450</v>
      </c>
      <c r="AD1461" s="3" t="n">
        <v>1312.5</v>
      </c>
      <c r="AE1461" s="3" t="n">
        <v>1300</v>
      </c>
      <c r="AF1461" s="3" t="n">
        <v>1300</v>
      </c>
      <c r="AG1461" s="3" t="n"/>
      <c r="AH1461" s="3" t="n"/>
      <c r="AI1461" s="3" t="n"/>
      <c r="AJ1461" s="3" t="n"/>
      <c r="AK1461" s="3" t="n"/>
      <c r="AL1461" s="3" t="n"/>
      <c r="AM1461" s="3" t="n"/>
      <c r="AN1461" s="3" t="n"/>
      <c r="AO1461" s="3" t="n"/>
      <c r="AP1461" s="3" t="n"/>
      <c r="AQ1461" s="3" t="n"/>
      <c r="AR1461" s="3" t="n"/>
      <c r="AS1461" s="3" t="n"/>
      <c r="AT1461" s="3" t="n"/>
      <c r="AU1461" s="3" t="n"/>
    </row>
    <row r="1462">
      <c r="A1462" s="3" t="n">
        <v>2031</v>
      </c>
      <c r="B1462" s="3" t="inlineStr">
        <is>
          <t>ISL</t>
        </is>
      </c>
      <c r="C1462" s="3" t="inlineStr">
        <is>
          <t>IMF.RES:WEO</t>
        </is>
      </c>
      <c r="D1462" s="3" t="inlineStr">
        <is>
          <t>ISL.BCA.A</t>
        </is>
      </c>
      <c r="E1462" s="3" t="inlineStr">
        <is>
          <t>Iceland</t>
        </is>
      </c>
      <c r="F1462" s="3" t="inlineStr">
        <is>
          <t>Current account balance (credit less debit), US dollar</t>
        </is>
      </c>
      <c r="G1462" s="3" t="n">
        <v>-0.912309</v>
      </c>
      <c r="H1462" s="3" t="n">
        <v>-0.343281</v>
      </c>
      <c r="I1462" s="3" t="n">
        <v>0.120028</v>
      </c>
      <c r="J1462" s="3" t="n">
        <v>-0.549675</v>
      </c>
      <c r="K1462" s="3" t="n">
        <v>-1.379252</v>
      </c>
      <c r="L1462" s="3" t="n">
        <v>-2.664633</v>
      </c>
      <c r="M1462" s="3" t="n">
        <v>-4.001225</v>
      </c>
      <c r="N1462" s="3" t="n">
        <v>-3.01622</v>
      </c>
      <c r="O1462" s="3" t="n">
        <v>-3.794791</v>
      </c>
      <c r="P1462" s="3" t="n">
        <v>-1.158912</v>
      </c>
      <c r="Q1462" s="3" t="n">
        <v>-0.814468</v>
      </c>
      <c r="R1462" s="3" t="n">
        <v>-0.693275</v>
      </c>
      <c r="S1462" s="3" t="n">
        <v>-0.435679</v>
      </c>
      <c r="T1462" s="3" t="n">
        <v>1.106318</v>
      </c>
      <c r="U1462" s="3" t="n">
        <v>0.902624</v>
      </c>
      <c r="V1462" s="3" t="n">
        <v>1.115103</v>
      </c>
      <c r="W1462" s="3" t="n">
        <v>1.880789</v>
      </c>
      <c r="X1462" s="3" t="n">
        <v>1.226718</v>
      </c>
      <c r="Y1462" s="3" t="n">
        <v>1.184024</v>
      </c>
      <c r="Z1462" s="3" t="n">
        <v>1.842973</v>
      </c>
      <c r="AA1462" s="3" t="n">
        <v>0.410754</v>
      </c>
      <c r="AB1462" s="3" t="n">
        <v>-0.676752</v>
      </c>
      <c r="AC1462" s="3" t="n">
        <v>-0.501057</v>
      </c>
      <c r="AD1462" s="3" t="n">
        <v>-0.389197</v>
      </c>
      <c r="AE1462" s="3" t="n">
        <v>-1.076509</v>
      </c>
      <c r="AF1462" s="3" t="n">
        <v>-1.383159</v>
      </c>
      <c r="AG1462" s="3" t="n">
        <v>-0.286842</v>
      </c>
      <c r="AH1462" s="3" t="n">
        <v>-0.039705</v>
      </c>
      <c r="AI1462" s="3" t="n">
        <v>0.026186</v>
      </c>
      <c r="AJ1462" s="3" t="n">
        <v>0.116865</v>
      </c>
      <c r="AK1462" s="3" t="n">
        <v>0.205539</v>
      </c>
      <c r="AL1462" s="3" t="n">
        <v>0.272562</v>
      </c>
      <c r="AM1462" s="3" t="n"/>
      <c r="AN1462" s="3" t="n"/>
      <c r="AO1462" s="3" t="n"/>
      <c r="AP1462" s="3" t="n"/>
      <c r="AQ1462" s="3" t="n"/>
      <c r="AR1462" s="3" t="n"/>
      <c r="AS1462" s="3" t="n"/>
      <c r="AT1462" s="3" t="n"/>
      <c r="AU1462" s="3" t="n"/>
    </row>
    <row r="1463">
      <c r="A1463" s="3" t="n">
        <v>2031</v>
      </c>
      <c r="B1463" s="3" t="inlineStr">
        <is>
          <t>ISL</t>
        </is>
      </c>
      <c r="C1463" s="3" t="inlineStr">
        <is>
          <t>IMF.RES:WEO</t>
        </is>
      </c>
      <c r="D1463" s="3" t="inlineStr">
        <is>
          <t>ISL.BCA_NGDPD.A</t>
        </is>
      </c>
      <c r="E1463" s="3" t="inlineStr">
        <is>
          <t>Iceland</t>
        </is>
      </c>
      <c r="F1463" s="3" t="inlineStr">
        <is>
          <t>Current account balance (credit less debit), Percent of GDP</t>
        </is>
      </c>
      <c r="G1463" s="3" t="n">
        <v>-9.981310000000001</v>
      </c>
      <c r="H1463" s="3" t="n">
        <v>-4.124291</v>
      </c>
      <c r="I1463" s="3" t="n">
        <v>1.2747</v>
      </c>
      <c r="J1463" s="3" t="n">
        <v>-4.753048</v>
      </c>
      <c r="K1463" s="3" t="n">
        <v>-9.877233</v>
      </c>
      <c r="L1463" s="3" t="n">
        <v>-15.540462</v>
      </c>
      <c r="M1463" s="3" t="n">
        <v>-22.642066</v>
      </c>
      <c r="N1463" s="3" t="n">
        <v>-13.734995</v>
      </c>
      <c r="O1463" s="3" t="n">
        <v>-20.795742</v>
      </c>
      <c r="P1463" s="3" t="n">
        <v>-8.771298</v>
      </c>
      <c r="Q1463" s="3" t="n">
        <v>-5.849919</v>
      </c>
      <c r="R1463" s="3" t="n">
        <v>-4.503537</v>
      </c>
      <c r="S1463" s="3" t="n">
        <v>-2.915461</v>
      </c>
      <c r="T1463" s="3" t="n">
        <v>6.810492</v>
      </c>
      <c r="U1463" s="3" t="n">
        <v>5.000083</v>
      </c>
      <c r="V1463" s="3" t="n">
        <v>6.299844</v>
      </c>
      <c r="W1463" s="3" t="n">
        <v>8.920577</v>
      </c>
      <c r="X1463" s="3" t="n">
        <v>4.895106</v>
      </c>
      <c r="Y1463" s="3" t="n">
        <v>4.43826</v>
      </c>
      <c r="Z1463" s="3" t="n">
        <v>7.376115</v>
      </c>
      <c r="AA1463" s="3" t="n">
        <v>1.864126</v>
      </c>
      <c r="AB1463" s="3" t="n">
        <v>-2.579591</v>
      </c>
      <c r="AC1463" s="3" t="n">
        <v>-1.717348</v>
      </c>
      <c r="AD1463" s="3" t="n">
        <v>-1.227674</v>
      </c>
      <c r="AE1463" s="3" t="n">
        <v>-3.243802</v>
      </c>
      <c r="AF1463" s="3" t="n">
        <v>-3.584936</v>
      </c>
      <c r="AG1463" s="3" t="n">
        <v>-0.654884</v>
      </c>
      <c r="AH1463" s="3" t="n">
        <v>-0.08637599999999999</v>
      </c>
      <c r="AI1463" s="3" t="n">
        <v>0.054459</v>
      </c>
      <c r="AJ1463" s="3" t="n">
        <v>0.2322</v>
      </c>
      <c r="AK1463" s="3" t="n">
        <v>0.390053</v>
      </c>
      <c r="AL1463" s="3" t="n">
        <v>0.494112</v>
      </c>
      <c r="AM1463" s="3" t="n"/>
      <c r="AN1463" s="3" t="n"/>
      <c r="AO1463" s="3" t="n"/>
      <c r="AP1463" s="3" t="n"/>
      <c r="AQ1463" s="3" t="n"/>
      <c r="AR1463" s="3" t="n"/>
      <c r="AS1463" s="3" t="n"/>
      <c r="AT1463" s="3" t="n"/>
      <c r="AU1463" s="3" t="n"/>
    </row>
    <row r="1464">
      <c r="A1464" s="3" t="n">
        <v>2031</v>
      </c>
      <c r="B1464" s="3" t="inlineStr">
        <is>
          <t>ISL</t>
        </is>
      </c>
      <c r="C1464" s="3" t="inlineStr">
        <is>
          <t>IMF.RES:WEO</t>
        </is>
      </c>
      <c r="D1464" s="3" t="inlineStr">
        <is>
          <t>ISL.GGR_NGDP.A</t>
        </is>
      </c>
      <c r="E1464" s="3" t="inlineStr">
        <is>
          <t>Iceland</t>
        </is>
      </c>
      <c r="F1464" s="3" t="inlineStr">
        <is>
          <t>Revenue, General government, Percent of GDP</t>
        </is>
      </c>
      <c r="G1464" s="3" t="n">
        <v>45.743101</v>
      </c>
      <c r="H1464" s="3" t="n">
        <v>46.688198</v>
      </c>
      <c r="I1464" s="3" t="n">
        <v>42.789464</v>
      </c>
      <c r="J1464" s="3" t="n">
        <v>45.071496</v>
      </c>
      <c r="K1464" s="3" t="n">
        <v>46.560894</v>
      </c>
      <c r="L1464" s="3" t="n">
        <v>49.194377</v>
      </c>
      <c r="M1464" s="3" t="n">
        <v>50.756816</v>
      </c>
      <c r="N1464" s="3" t="n">
        <v>49.76892</v>
      </c>
      <c r="O1464" s="3" t="n">
        <v>50.829383</v>
      </c>
      <c r="P1464" s="3" t="n">
        <v>44.849098</v>
      </c>
      <c r="Q1464" s="3" t="n">
        <v>41.684127</v>
      </c>
      <c r="R1464" s="3" t="n">
        <v>43.58265</v>
      </c>
      <c r="S1464" s="3" t="n">
        <v>44.620366</v>
      </c>
      <c r="T1464" s="3" t="n">
        <v>44.705668</v>
      </c>
      <c r="U1464" s="3" t="n">
        <v>45.934708</v>
      </c>
      <c r="V1464" s="3" t="n">
        <v>42.896096</v>
      </c>
      <c r="W1464" s="3" t="n">
        <v>58.545413</v>
      </c>
      <c r="X1464" s="3" t="n">
        <v>45.087919</v>
      </c>
      <c r="Y1464" s="3" t="n">
        <v>44.401953</v>
      </c>
      <c r="Z1464" s="3" t="n">
        <v>41.562341</v>
      </c>
      <c r="AA1464" s="3" t="n">
        <v>41.610578</v>
      </c>
      <c r="AB1464" s="3" t="n">
        <v>40.692161</v>
      </c>
      <c r="AC1464" s="3" t="n">
        <v>42.336691</v>
      </c>
      <c r="AD1464" s="3" t="n">
        <v>42.874934</v>
      </c>
      <c r="AE1464" s="3" t="n">
        <v>43.434399</v>
      </c>
      <c r="AF1464" s="3" t="n">
        <v>42.234116</v>
      </c>
      <c r="AG1464" s="3" t="n">
        <v>43.07378</v>
      </c>
      <c r="AH1464" s="3" t="n">
        <v>43.135036</v>
      </c>
      <c r="AI1464" s="3" t="n">
        <v>43.060682</v>
      </c>
      <c r="AJ1464" s="3" t="n">
        <v>43.127315</v>
      </c>
      <c r="AK1464" s="3" t="n">
        <v>43.134634</v>
      </c>
      <c r="AL1464" s="3" t="n">
        <v>43.138298</v>
      </c>
      <c r="AM1464" s="3" t="n"/>
      <c r="AN1464" s="3" t="n"/>
      <c r="AO1464" s="3" t="n"/>
      <c r="AP1464" s="3" t="n"/>
      <c r="AQ1464" s="3" t="n"/>
      <c r="AR1464" s="3" t="n"/>
      <c r="AS1464" s="3" t="n"/>
      <c r="AT1464" s="3" t="n"/>
      <c r="AU1464" s="3" t="n"/>
    </row>
    <row r="1465">
      <c r="A1465" s="3" t="n">
        <v>2031</v>
      </c>
      <c r="B1465" s="3" t="inlineStr">
        <is>
          <t>ISL</t>
        </is>
      </c>
      <c r="C1465" s="3" t="inlineStr">
        <is>
          <t>IMF.RES:WEO</t>
        </is>
      </c>
      <c r="D1465" s="3" t="inlineStr">
        <is>
          <t>ISL.GGX_NGDP.A</t>
        </is>
      </c>
      <c r="E1465" s="3" t="inlineStr">
        <is>
          <t>Iceland</t>
        </is>
      </c>
      <c r="F1465" s="3" t="inlineStr">
        <is>
          <t>Expenditure, General government, Percent of GDP</t>
        </is>
      </c>
      <c r="G1465" s="3" t="n">
        <v>44.31052</v>
      </c>
      <c r="H1465" s="3" t="n">
        <v>46.955554</v>
      </c>
      <c r="I1465" s="3" t="n">
        <v>44.995337</v>
      </c>
      <c r="J1465" s="3" t="n">
        <v>47.323064</v>
      </c>
      <c r="K1465" s="3" t="n">
        <v>46.232476</v>
      </c>
      <c r="L1465" s="3" t="n">
        <v>44.233131</v>
      </c>
      <c r="M1465" s="3" t="n">
        <v>44.33517</v>
      </c>
      <c r="N1465" s="3" t="n">
        <v>44.202168</v>
      </c>
      <c r="O1465" s="3" t="n">
        <v>62.817355</v>
      </c>
      <c r="P1465" s="3" t="n">
        <v>53.351171</v>
      </c>
      <c r="Q1465" s="3" t="n">
        <v>48.239948</v>
      </c>
      <c r="R1465" s="3" t="n">
        <v>50.002941</v>
      </c>
      <c r="S1465" s="3" t="n">
        <v>47.209967</v>
      </c>
      <c r="T1465" s="3" t="n">
        <v>45.581763</v>
      </c>
      <c r="U1465" s="3" t="n">
        <v>45.343647</v>
      </c>
      <c r="V1465" s="3" t="n">
        <v>43.040591</v>
      </c>
      <c r="W1465" s="3" t="n">
        <v>45.8478</v>
      </c>
      <c r="X1465" s="3" t="n">
        <v>43.811685</v>
      </c>
      <c r="Y1465" s="3" t="n">
        <v>43.357821</v>
      </c>
      <c r="Z1465" s="3" t="n">
        <v>43.009582</v>
      </c>
      <c r="AA1465" s="3" t="n">
        <v>50.420446</v>
      </c>
      <c r="AB1465" s="3" t="n">
        <v>48.654855</v>
      </c>
      <c r="AC1465" s="3" t="n">
        <v>46.154848</v>
      </c>
      <c r="AD1465" s="3" t="n">
        <v>45.189967</v>
      </c>
      <c r="AE1465" s="3" t="n">
        <v>47.144415</v>
      </c>
      <c r="AF1465" s="3" t="n">
        <v>44.999372</v>
      </c>
      <c r="AG1465" s="3" t="n">
        <v>44.209399</v>
      </c>
      <c r="AH1465" s="3" t="n">
        <v>43.624699</v>
      </c>
      <c r="AI1465" s="3" t="n">
        <v>43.303384</v>
      </c>
      <c r="AJ1465" s="3" t="n">
        <v>43.250879</v>
      </c>
      <c r="AK1465" s="3" t="n">
        <v>43.218507</v>
      </c>
      <c r="AL1465" s="3" t="n">
        <v>43.186282</v>
      </c>
      <c r="AM1465" s="3" t="n"/>
      <c r="AN1465" s="3" t="n"/>
      <c r="AO1465" s="3" t="n"/>
      <c r="AP1465" s="3" t="n"/>
      <c r="AQ1465" s="3" t="n"/>
      <c r="AR1465" s="3" t="n"/>
      <c r="AS1465" s="3" t="n"/>
      <c r="AT1465" s="3" t="n"/>
      <c r="AU1465" s="3" t="n"/>
    </row>
    <row r="1466">
      <c r="A1466" s="3" t="n">
        <v>2027</v>
      </c>
      <c r="B1466" s="3" t="inlineStr">
        <is>
          <t>ISL</t>
        </is>
      </c>
      <c r="C1466" s="3" t="inlineStr">
        <is>
          <t>IMF.RES:WEO</t>
        </is>
      </c>
      <c r="D1466" s="3" t="inlineStr">
        <is>
          <t>ISL.LE.A</t>
        </is>
      </c>
      <c r="E1466" s="3" t="inlineStr">
        <is>
          <t>Iceland</t>
        </is>
      </c>
      <c r="F1466" s="3" t="inlineStr">
        <is>
          <t>Employed persons, Persons for countries / Index for country groups</t>
        </is>
      </c>
      <c r="G1466" s="3" t="n">
        <v>0.155647</v>
      </c>
      <c r="H1466" s="3" t="n">
        <v>0.157882</v>
      </c>
      <c r="I1466" s="3" t="n">
        <v>0.15629</v>
      </c>
      <c r="J1466" s="3" t="n">
        <v>0.157102</v>
      </c>
      <c r="K1466" s="3" t="n">
        <v>0.153408</v>
      </c>
      <c r="L1466" s="3" t="n">
        <v>0.158642</v>
      </c>
      <c r="M1466" s="3" t="n">
        <v>0.165383</v>
      </c>
      <c r="N1466" s="3" t="n">
        <v>0.172492</v>
      </c>
      <c r="O1466" s="3" t="n">
        <v>0.173675</v>
      </c>
      <c r="P1466" s="3" t="n">
        <v>0.16285</v>
      </c>
      <c r="Q1466" s="3" t="n">
        <v>0.162258</v>
      </c>
      <c r="R1466" s="3" t="n">
        <v>0.161817</v>
      </c>
      <c r="S1466" s="3" t="n">
        <v>0.164792</v>
      </c>
      <c r="T1466" s="3" t="n">
        <v>0.170358</v>
      </c>
      <c r="U1466" s="3" t="n">
        <v>0.173567</v>
      </c>
      <c r="V1466" s="3" t="n">
        <v>0.180417</v>
      </c>
      <c r="W1466" s="3" t="n">
        <v>0.188825</v>
      </c>
      <c r="X1466" s="3" t="n">
        <v>0.192233</v>
      </c>
      <c r="Y1466" s="3" t="n">
        <v>0.195908</v>
      </c>
      <c r="Z1466" s="3" t="n">
        <v>0.196658</v>
      </c>
      <c r="AA1466" s="3" t="n">
        <v>0.190325</v>
      </c>
      <c r="AB1466" s="3" t="n">
        <v>0.196808</v>
      </c>
      <c r="AC1466" s="3" t="n">
        <v>0.210633</v>
      </c>
      <c r="AD1466" s="3" t="n">
        <v>0.218158</v>
      </c>
      <c r="AE1466" s="3" t="n">
        <v>0.227017</v>
      </c>
      <c r="AF1466" s="3" t="n">
        <v>0.225675</v>
      </c>
      <c r="AG1466" s="3" t="n">
        <v>0.225016</v>
      </c>
      <c r="AH1466" s="3" t="n">
        <v>0.226349</v>
      </c>
      <c r="AI1466" s="3" t="n"/>
      <c r="AJ1466" s="3" t="n"/>
      <c r="AK1466" s="3" t="n"/>
      <c r="AL1466" s="3" t="n"/>
      <c r="AM1466" s="3" t="n"/>
      <c r="AN1466" s="3" t="n"/>
      <c r="AO1466" s="3" t="n"/>
      <c r="AP1466" s="3" t="n"/>
      <c r="AQ1466" s="3" t="n"/>
      <c r="AR1466" s="3" t="n"/>
      <c r="AS1466" s="3" t="n"/>
      <c r="AT1466" s="3" t="n"/>
      <c r="AU1466" s="3" t="n"/>
    </row>
    <row r="1467">
      <c r="A1467" s="3" t="n">
        <v>2031</v>
      </c>
      <c r="B1467" s="3" t="inlineStr">
        <is>
          <t>ISL</t>
        </is>
      </c>
      <c r="C1467" s="3" t="inlineStr">
        <is>
          <t>IMF.RES:WEO</t>
        </is>
      </c>
      <c r="D1467" s="3" t="inlineStr">
        <is>
          <t>ISL.LP.A</t>
        </is>
      </c>
      <c r="E1467" s="3" t="inlineStr">
        <is>
          <t>Iceland</t>
        </is>
      </c>
      <c r="F1467" s="3" t="inlineStr">
        <is>
          <t>Population, Persons for countries / Index for country groups</t>
        </is>
      </c>
      <c r="G1467" s="3" t="n">
        <v>0.279049</v>
      </c>
      <c r="H1467" s="3" t="n">
        <v>0.283361</v>
      </c>
      <c r="I1467" s="3" t="n">
        <v>0.286575</v>
      </c>
      <c r="J1467" s="3" t="n">
        <v>0.288471</v>
      </c>
      <c r="K1467" s="3" t="n">
        <v>0.29057</v>
      </c>
      <c r="L1467" s="3" t="n">
        <v>0.293577</v>
      </c>
      <c r="M1467" s="3" t="n">
        <v>0.299891</v>
      </c>
      <c r="N1467" s="3" t="n">
        <v>0.307672</v>
      </c>
      <c r="O1467" s="3" t="n">
        <v>0.315459</v>
      </c>
      <c r="P1467" s="3" t="n">
        <v>0.319368</v>
      </c>
      <c r="Q1467" s="3" t="n">
        <v>0.31763</v>
      </c>
      <c r="R1467" s="3" t="n">
        <v>0.311841</v>
      </c>
      <c r="S1467" s="3" t="n">
        <v>0.313182</v>
      </c>
      <c r="T1467" s="3" t="n">
        <v>0.31581</v>
      </c>
      <c r="U1467" s="3" t="n">
        <v>0.319718</v>
      </c>
      <c r="V1467" s="3" t="n">
        <v>0.323024</v>
      </c>
      <c r="W1467" s="3" t="n">
        <v>0.326036</v>
      </c>
      <c r="X1467" s="3" t="n">
        <v>0.332507</v>
      </c>
      <c r="Y1467" s="3" t="n">
        <v>0.342183</v>
      </c>
      <c r="Z1467" s="3" t="n">
        <v>0.349468</v>
      </c>
      <c r="AA1467" s="3" t="n">
        <v>0.354042</v>
      </c>
      <c r="AB1467" s="3" t="n">
        <v>0.358298</v>
      </c>
      <c r="AC1467" s="3" t="n">
        <v>0.364917</v>
      </c>
      <c r="AD1467" s="3" t="n">
        <v>0.375218</v>
      </c>
      <c r="AE1467" s="3" t="n">
        <v>0.383726</v>
      </c>
      <c r="AF1467" s="3" t="n">
        <v>0.389444</v>
      </c>
      <c r="AG1467" s="3" t="n">
        <v>0.398012</v>
      </c>
      <c r="AH1467" s="3" t="n">
        <v>0.40637</v>
      </c>
      <c r="AI1467" s="3" t="n">
        <v>0.414904</v>
      </c>
      <c r="AJ1467" s="3" t="n">
        <v>0.423202</v>
      </c>
      <c r="AK1467" s="3" t="n">
        <v>0.431666</v>
      </c>
      <c r="AL1467" s="3" t="n">
        <v>0.440299</v>
      </c>
      <c r="AM1467" s="3" t="n"/>
      <c r="AN1467" s="3" t="n"/>
      <c r="AO1467" s="3" t="n"/>
      <c r="AP1467" s="3" t="n"/>
      <c r="AQ1467" s="3" t="n"/>
      <c r="AR1467" s="3" t="n"/>
      <c r="AS1467" s="3" t="n"/>
      <c r="AT1467" s="3" t="n"/>
      <c r="AU1467" s="3" t="n"/>
    </row>
    <row r="1468">
      <c r="A1468" s="3" t="n">
        <v>2031</v>
      </c>
      <c r="B1468" s="3" t="inlineStr">
        <is>
          <t>ISL</t>
        </is>
      </c>
      <c r="C1468" s="3" t="inlineStr">
        <is>
          <t>IMF.RES:WEO</t>
        </is>
      </c>
      <c r="D1468" s="3" t="inlineStr">
        <is>
          <t>ISL.NGDP.A</t>
        </is>
      </c>
      <c r="E1468" s="3" t="inlineStr">
        <is>
          <t>Iceland</t>
        </is>
      </c>
      <c r="F1468" s="3" t="inlineStr">
        <is>
          <t>Gross domestic product (GDP), Current prices, Domestic currency</t>
        </is>
      </c>
      <c r="G1468" s="3" t="n">
        <v>718.563</v>
      </c>
      <c r="H1468" s="3" t="n">
        <v>810.903</v>
      </c>
      <c r="I1468" s="3" t="n">
        <v>863.105</v>
      </c>
      <c r="J1468" s="3" t="n">
        <v>887.115</v>
      </c>
      <c r="K1468" s="3" t="n">
        <v>980.153</v>
      </c>
      <c r="L1468" s="3" t="n">
        <v>1079.91</v>
      </c>
      <c r="M1468" s="3" t="n">
        <v>1240.196</v>
      </c>
      <c r="N1468" s="3" t="n">
        <v>1406.655</v>
      </c>
      <c r="O1468" s="3" t="n">
        <v>1604.867</v>
      </c>
      <c r="P1468" s="3" t="n">
        <v>1633.578</v>
      </c>
      <c r="Q1468" s="3" t="n">
        <v>1701.938</v>
      </c>
      <c r="R1468" s="3" t="n">
        <v>1784.997</v>
      </c>
      <c r="S1468" s="3" t="n">
        <v>1869.207</v>
      </c>
      <c r="T1468" s="3" t="n">
        <v>1984.717</v>
      </c>
      <c r="U1468" s="3" t="n">
        <v>2107.905</v>
      </c>
      <c r="V1468" s="3" t="n">
        <v>2335.026</v>
      </c>
      <c r="W1468" s="3" t="n">
        <v>2547.156</v>
      </c>
      <c r="X1468" s="3" t="n">
        <v>2677.409</v>
      </c>
      <c r="Y1468" s="3" t="n">
        <v>2889.195</v>
      </c>
      <c r="Z1468" s="3" t="n">
        <v>3063.415</v>
      </c>
      <c r="AA1468" s="3" t="n">
        <v>2983.972</v>
      </c>
      <c r="AB1468" s="3" t="n">
        <v>3331.536</v>
      </c>
      <c r="AC1468" s="3" t="n">
        <v>3946.957</v>
      </c>
      <c r="AD1468" s="3" t="n">
        <v>4373.068</v>
      </c>
      <c r="AE1468" s="3" t="n">
        <v>4578.362</v>
      </c>
      <c r="AF1468" s="3" t="n">
        <v>4955.598</v>
      </c>
      <c r="AG1468" s="3" t="n">
        <v>5372.435607</v>
      </c>
      <c r="AH1468" s="3" t="n">
        <v>5641.752557</v>
      </c>
      <c r="AI1468" s="3" t="n">
        <v>5934.3908</v>
      </c>
      <c r="AJ1468" s="3" t="n">
        <v>6244.027831</v>
      </c>
      <c r="AK1468" s="3" t="n">
        <v>6570.135619</v>
      </c>
      <c r="AL1468" s="3" t="n">
        <v>6912.095536</v>
      </c>
      <c r="AM1468" s="3" t="n"/>
      <c r="AN1468" s="3" t="n"/>
      <c r="AO1468" s="3" t="n"/>
      <c r="AP1468" s="3" t="n"/>
      <c r="AQ1468" s="3" t="n"/>
      <c r="AR1468" s="3" t="n"/>
      <c r="AS1468" s="3" t="n"/>
      <c r="AT1468" s="3" t="n"/>
      <c r="AU1468" s="3" t="n"/>
    </row>
    <row r="1469">
      <c r="A1469" s="3" t="n">
        <v>2031</v>
      </c>
      <c r="B1469" s="3" t="inlineStr">
        <is>
          <t>ISL</t>
        </is>
      </c>
      <c r="C1469" s="3" t="inlineStr">
        <is>
          <t>IMF.RES:WEO</t>
        </is>
      </c>
      <c r="D1469" s="3" t="inlineStr">
        <is>
          <t>ISL.NGDP_D.A</t>
        </is>
      </c>
      <c r="E1469" s="3" t="inlineStr">
        <is>
          <t>Iceland</t>
        </is>
      </c>
      <c r="F1469" s="3" t="inlineStr">
        <is>
          <t>Gross domestic product (GDP), Price deflator, Index</t>
        </is>
      </c>
      <c r="G1469" s="3" t="n">
        <v>37.872865</v>
      </c>
      <c r="H1469" s="3" t="n">
        <v>41.158891</v>
      </c>
      <c r="I1469" s="3" t="n">
        <v>43.572214</v>
      </c>
      <c r="J1469" s="3" t="n">
        <v>43.78538</v>
      </c>
      <c r="K1469" s="3" t="n">
        <v>44.951043</v>
      </c>
      <c r="L1469" s="3" t="n">
        <v>46.273336</v>
      </c>
      <c r="M1469" s="3" t="n">
        <v>50.289239</v>
      </c>
      <c r="N1469" s="3" t="n">
        <v>52.453873</v>
      </c>
      <c r="O1469" s="3" t="n">
        <v>58.845031</v>
      </c>
      <c r="P1469" s="3" t="n">
        <v>65.334548</v>
      </c>
      <c r="Q1469" s="3" t="n">
        <v>69.61532200000001</v>
      </c>
      <c r="R1469" s="3" t="n">
        <v>72.018839</v>
      </c>
      <c r="S1469" s="3" t="n">
        <v>74.54479499999999</v>
      </c>
      <c r="T1469" s="3" t="n">
        <v>76.403239</v>
      </c>
      <c r="U1469" s="3" t="n">
        <v>79.62161399999999</v>
      </c>
      <c r="V1469" s="3" t="n">
        <v>84.997445</v>
      </c>
      <c r="W1469" s="3" t="n">
        <v>87.291338</v>
      </c>
      <c r="X1469" s="3" t="n">
        <v>88.665087</v>
      </c>
      <c r="Y1469" s="3" t="n">
        <v>91.417811</v>
      </c>
      <c r="Z1469" s="3" t="n">
        <v>95.839538</v>
      </c>
      <c r="AA1469" s="3" t="n">
        <v>99.999966</v>
      </c>
      <c r="AB1469" s="3" t="n">
        <v>106.148586</v>
      </c>
      <c r="AC1469" s="3" t="n">
        <v>115.524637</v>
      </c>
      <c r="AD1469" s="3" t="n">
        <v>121.864076</v>
      </c>
      <c r="AE1469" s="3" t="n">
        <v>129.243031</v>
      </c>
      <c r="AF1469" s="3" t="n">
        <v>138.124779</v>
      </c>
      <c r="AG1469" s="3" t="n">
        <v>146.948616</v>
      </c>
      <c r="AH1469" s="3" t="n">
        <v>151.139284</v>
      </c>
      <c r="AI1469" s="3" t="n">
        <v>155.284195</v>
      </c>
      <c r="AJ1469" s="3" t="n">
        <v>159.537275</v>
      </c>
      <c r="AK1469" s="3" t="n">
        <v>163.933575</v>
      </c>
      <c r="AL1469" s="3" t="n">
        <v>168.464929</v>
      </c>
      <c r="AM1469" s="3" t="n"/>
      <c r="AN1469" s="3" t="n"/>
      <c r="AO1469" s="3" t="n"/>
      <c r="AP1469" s="3" t="n"/>
      <c r="AQ1469" s="3" t="n"/>
      <c r="AR1469" s="3" t="n"/>
      <c r="AS1469" s="3" t="n"/>
      <c r="AT1469" s="3" t="n"/>
      <c r="AU1469" s="3" t="n"/>
    </row>
    <row r="1470">
      <c r="A1470" s="3" t="n">
        <v>2031</v>
      </c>
      <c r="B1470" s="3" t="inlineStr">
        <is>
          <t>ISL</t>
        </is>
      </c>
      <c r="C1470" s="3" t="inlineStr">
        <is>
          <t>IMF.RES:WEO</t>
        </is>
      </c>
      <c r="D1470" s="3" t="inlineStr">
        <is>
          <t>ISL.NGDP_R.A</t>
        </is>
      </c>
      <c r="E1470" s="3" t="inlineStr">
        <is>
          <t>Iceland</t>
        </is>
      </c>
      <c r="F1470" s="3" t="inlineStr">
        <is>
          <t>Gross domestic product (GDP), Constant prices, Domestic currency</t>
        </is>
      </c>
      <c r="G1470" s="3" t="n">
        <v>1897.303</v>
      </c>
      <c r="H1470" s="3" t="n">
        <v>1970.177</v>
      </c>
      <c r="I1470" s="3" t="n">
        <v>1980.861</v>
      </c>
      <c r="J1470" s="3" t="n">
        <v>2026.053</v>
      </c>
      <c r="K1470" s="3" t="n">
        <v>2180.49</v>
      </c>
      <c r="L1470" s="3" t="n">
        <v>2333.763</v>
      </c>
      <c r="M1470" s="3" t="n">
        <v>2466.126</v>
      </c>
      <c r="N1470" s="3" t="n">
        <v>2681.699</v>
      </c>
      <c r="O1470" s="3" t="n">
        <v>2727.277</v>
      </c>
      <c r="P1470" s="3" t="n">
        <v>2500.328</v>
      </c>
      <c r="Q1470" s="3" t="n">
        <v>2444.775</v>
      </c>
      <c r="R1470" s="3" t="n">
        <v>2478.514</v>
      </c>
      <c r="S1470" s="3" t="n">
        <v>2507.495</v>
      </c>
      <c r="T1470" s="3" t="n">
        <v>2597.687</v>
      </c>
      <c r="U1470" s="3" t="n">
        <v>2647.403</v>
      </c>
      <c r="V1470" s="3" t="n">
        <v>2747.172</v>
      </c>
      <c r="W1470" s="3" t="n">
        <v>2917.994</v>
      </c>
      <c r="X1470" s="3" t="n">
        <v>3019.688</v>
      </c>
      <c r="Y1470" s="3" t="n">
        <v>3160.429</v>
      </c>
      <c r="Z1470" s="3" t="n">
        <v>3196.4</v>
      </c>
      <c r="AA1470" s="3" t="n">
        <v>2983.973</v>
      </c>
      <c r="AB1470" s="3" t="n">
        <v>3138.559</v>
      </c>
      <c r="AC1470" s="3" t="n">
        <v>3416.55</v>
      </c>
      <c r="AD1470" s="3" t="n">
        <v>3588.48</v>
      </c>
      <c r="AE1470" s="3" t="n">
        <v>3542.444</v>
      </c>
      <c r="AF1470" s="3" t="n">
        <v>3587.769</v>
      </c>
      <c r="AG1470" s="3" t="n">
        <v>3655.996056</v>
      </c>
      <c r="AH1470" s="3" t="n">
        <v>3732.81679</v>
      </c>
      <c r="AI1470" s="3" t="n">
        <v>3821.632211</v>
      </c>
      <c r="AJ1470" s="3" t="n">
        <v>3913.83634</v>
      </c>
      <c r="AK1470" s="3" t="n">
        <v>4007.803537</v>
      </c>
      <c r="AL1470" s="3" t="n">
        <v>4102.987843</v>
      </c>
      <c r="AM1470" s="3" t="n"/>
      <c r="AN1470" s="3" t="n"/>
      <c r="AO1470" s="3" t="n"/>
      <c r="AP1470" s="3" t="n"/>
      <c r="AQ1470" s="3" t="n"/>
      <c r="AR1470" s="3" t="n"/>
      <c r="AS1470" s="3" t="n"/>
      <c r="AT1470" s="3" t="n"/>
      <c r="AU1470" s="3" t="n"/>
    </row>
    <row r="1471">
      <c r="A1471" s="3" t="n">
        <v>2031</v>
      </c>
      <c r="B1471" s="3" t="inlineStr">
        <is>
          <t>ISL</t>
        </is>
      </c>
      <c r="C1471" s="3" t="inlineStr">
        <is>
          <t>IMF.RES:WEO</t>
        </is>
      </c>
      <c r="D1471" s="3" t="inlineStr">
        <is>
          <t>ISL.NGDP_RPCH.A</t>
        </is>
      </c>
      <c r="E1471" s="3" t="inlineStr">
        <is>
          <t>Iceland</t>
        </is>
      </c>
      <c r="F1471" s="3" t="inlineStr">
        <is>
          <t>Gross domestic product (GDP), Constant prices, Percent change</t>
        </is>
      </c>
      <c r="G1471" s="3" t="n">
        <v>4.905208</v>
      </c>
      <c r="H1471" s="3" t="n">
        <v>3.840926</v>
      </c>
      <c r="I1471" s="3" t="n">
        <v>0.542286</v>
      </c>
      <c r="J1471" s="3" t="n">
        <v>2.281432</v>
      </c>
      <c r="K1471" s="3" t="n">
        <v>7.622555</v>
      </c>
      <c r="L1471" s="3" t="n">
        <v>7.029292</v>
      </c>
      <c r="M1471" s="3" t="n">
        <v>5.671656</v>
      </c>
      <c r="N1471" s="3" t="n">
        <v>8.741362000000001</v>
      </c>
      <c r="O1471" s="3" t="n">
        <v>1.699594</v>
      </c>
      <c r="P1471" s="3" t="n">
        <v>-8.32145</v>
      </c>
      <c r="Q1471" s="3" t="n">
        <v>-2.221828</v>
      </c>
      <c r="R1471" s="3" t="n">
        <v>1.380045</v>
      </c>
      <c r="S1471" s="3" t="n">
        <v>1.169289</v>
      </c>
      <c r="T1471" s="3" t="n">
        <v>3.596897</v>
      </c>
      <c r="U1471" s="3" t="n">
        <v>1.913856</v>
      </c>
      <c r="V1471" s="3" t="n">
        <v>3.768561</v>
      </c>
      <c r="W1471" s="3" t="n">
        <v>6.218104</v>
      </c>
      <c r="X1471" s="3" t="n">
        <v>3.485065</v>
      </c>
      <c r="Y1471" s="3" t="n">
        <v>4.66078</v>
      </c>
      <c r="Z1471" s="3" t="n">
        <v>1.138168</v>
      </c>
      <c r="AA1471" s="3" t="n">
        <v>-6.64582</v>
      </c>
      <c r="AB1471" s="3" t="n">
        <v>5.180543</v>
      </c>
      <c r="AC1471" s="3" t="n">
        <v>8.857281</v>
      </c>
      <c r="AD1471" s="3" t="n">
        <v>5.032269</v>
      </c>
      <c r="AE1471" s="3" t="n">
        <v>-1.282883</v>
      </c>
      <c r="AF1471" s="3" t="n">
        <v>1.279484</v>
      </c>
      <c r="AG1471" s="3" t="n">
        <v>1.901657</v>
      </c>
      <c r="AH1471" s="3" t="n">
        <v>2.101226</v>
      </c>
      <c r="AI1471" s="3" t="n">
        <v>2.379314</v>
      </c>
      <c r="AJ1471" s="3" t="n">
        <v>2.41269</v>
      </c>
      <c r="AK1471" s="3" t="n">
        <v>2.400897</v>
      </c>
      <c r="AL1471" s="3" t="n">
        <v>2.374974</v>
      </c>
      <c r="AM1471" s="3" t="n"/>
      <c r="AN1471" s="3" t="n"/>
      <c r="AO1471" s="3" t="n"/>
      <c r="AP1471" s="3" t="n"/>
      <c r="AQ1471" s="3" t="n"/>
      <c r="AR1471" s="3" t="n"/>
      <c r="AS1471" s="3" t="n"/>
      <c r="AT1471" s="3" t="n"/>
      <c r="AU1471" s="3" t="n"/>
    </row>
    <row r="1472">
      <c r="A1472" s="3" t="n">
        <v>2031</v>
      </c>
      <c r="B1472" s="3" t="inlineStr">
        <is>
          <t>ISL</t>
        </is>
      </c>
      <c r="C1472" s="3" t="inlineStr">
        <is>
          <t>IMF.RES:WEO</t>
        </is>
      </c>
      <c r="D1472" s="3" t="inlineStr">
        <is>
          <t>ISL.NGDPD.A</t>
        </is>
      </c>
      <c r="E1472" s="3" t="inlineStr">
        <is>
          <t>Iceland</t>
        </is>
      </c>
      <c r="F1472" s="3" t="inlineStr">
        <is>
          <t>Gross domestic product (GDP), Current prices, US dollar</t>
        </is>
      </c>
      <c r="G1472" s="3" t="n">
        <v>9.140169</v>
      </c>
      <c r="H1472" s="3" t="n">
        <v>8.32339</v>
      </c>
      <c r="I1472" s="3" t="n">
        <v>9.416205</v>
      </c>
      <c r="J1472" s="3" t="n">
        <v>11.564682</v>
      </c>
      <c r="K1472" s="3" t="n">
        <v>13.963951</v>
      </c>
      <c r="L1472" s="3" t="n">
        <v>17.146418</v>
      </c>
      <c r="M1472" s="3" t="n">
        <v>17.671644</v>
      </c>
      <c r="N1472" s="3" t="n">
        <v>21.960112</v>
      </c>
      <c r="O1472" s="3" t="n">
        <v>18.247925</v>
      </c>
      <c r="P1472" s="3" t="n">
        <v>13.212548</v>
      </c>
      <c r="Q1472" s="3" t="n">
        <v>13.922716</v>
      </c>
      <c r="R1472" s="3" t="n">
        <v>15.394004</v>
      </c>
      <c r="S1472" s="3" t="n">
        <v>14.943759</v>
      </c>
      <c r="T1472" s="3" t="n">
        <v>16.244322</v>
      </c>
      <c r="U1472" s="3" t="n">
        <v>18.052178</v>
      </c>
      <c r="V1472" s="3" t="n">
        <v>17.700492</v>
      </c>
      <c r="W1472" s="3" t="n">
        <v>21.083713</v>
      </c>
      <c r="X1472" s="3" t="n">
        <v>25.060087</v>
      </c>
      <c r="Y1472" s="3" t="n">
        <v>26.677657</v>
      </c>
      <c r="Z1472" s="3" t="n">
        <v>24.985691</v>
      </c>
      <c r="AA1472" s="3" t="n">
        <v>22.034665</v>
      </c>
      <c r="AB1472" s="3" t="n">
        <v>26.234868</v>
      </c>
      <c r="AC1472" s="3" t="n">
        <v>29.176226</v>
      </c>
      <c r="AD1472" s="3" t="n">
        <v>31.702004</v>
      </c>
      <c r="AE1472" s="3" t="n">
        <v>33.18663</v>
      </c>
      <c r="AF1472" s="3" t="n">
        <v>38.582534</v>
      </c>
      <c r="AG1472" s="3" t="n">
        <v>43.800479</v>
      </c>
      <c r="AH1472" s="3" t="n">
        <v>45.968047</v>
      </c>
      <c r="AI1472" s="3" t="n">
        <v>48.084594</v>
      </c>
      <c r="AJ1472" s="3" t="n">
        <v>50.329567</v>
      </c>
      <c r="AK1472" s="3" t="n">
        <v>52.695141</v>
      </c>
      <c r="AL1472" s="3" t="n">
        <v>55.162009</v>
      </c>
      <c r="AM1472" s="3" t="n"/>
      <c r="AN1472" s="3" t="n"/>
      <c r="AO1472" s="3" t="n"/>
      <c r="AP1472" s="3" t="n"/>
      <c r="AQ1472" s="3" t="n"/>
      <c r="AR1472" s="3" t="n"/>
      <c r="AS1472" s="3" t="n"/>
      <c r="AT1472" s="3" t="n"/>
      <c r="AU1472" s="3" t="n"/>
    </row>
    <row r="1473">
      <c r="A1473" s="3" t="n">
        <v>2031</v>
      </c>
      <c r="B1473" s="3" t="inlineStr">
        <is>
          <t>ISL</t>
        </is>
      </c>
      <c r="C1473" s="3" t="inlineStr">
        <is>
          <t>IMF.RES:WEO</t>
        </is>
      </c>
      <c r="D1473" s="3" t="inlineStr">
        <is>
          <t>ISL.NGDPPC.A</t>
        </is>
      </c>
      <c r="E1473" s="3" t="inlineStr">
        <is>
          <t>Iceland</t>
        </is>
      </c>
      <c r="F1473" s="3" t="inlineStr">
        <is>
          <t>Gross domestic product (GDP), Current prices, Per capita, Domestic currency</t>
        </is>
      </c>
      <c r="G1473" s="3" t="n">
        <v>2575042.37607</v>
      </c>
      <c r="H1473" s="3" t="n">
        <v>2861731.148605</v>
      </c>
      <c r="I1473" s="3" t="n">
        <v>3011794.469162</v>
      </c>
      <c r="J1473" s="3" t="n">
        <v>3075231.132419</v>
      </c>
      <c r="K1473" s="3" t="n">
        <v>3373207.83288</v>
      </c>
      <c r="L1473" s="3" t="n">
        <v>3678455.737336</v>
      </c>
      <c r="M1473" s="3" t="n">
        <v>4135489.227753</v>
      </c>
      <c r="N1473" s="3" t="n">
        <v>4571930.497413</v>
      </c>
      <c r="O1473" s="3" t="n">
        <v>5087402.800364</v>
      </c>
      <c r="P1473" s="3" t="n">
        <v>5115033.441046</v>
      </c>
      <c r="Q1473" s="3" t="n">
        <v>5358240.720335</v>
      </c>
      <c r="R1473" s="3" t="n">
        <v>5724061.30047</v>
      </c>
      <c r="S1473" s="3" t="n">
        <v>5968436.883346</v>
      </c>
      <c r="T1473" s="3" t="n">
        <v>6284528.672303</v>
      </c>
      <c r="U1473" s="3" t="n">
        <v>6593013.217898</v>
      </c>
      <c r="V1473" s="3" t="n">
        <v>7228645.549557</v>
      </c>
      <c r="W1473" s="3" t="n">
        <v>7812499.233214</v>
      </c>
      <c r="X1473" s="3" t="n">
        <v>8052188.374982</v>
      </c>
      <c r="Y1473" s="3" t="n">
        <v>8443420.625805</v>
      </c>
      <c r="Z1473" s="3" t="n">
        <v>8765938.512252999</v>
      </c>
      <c r="AA1473" s="3" t="n">
        <v>8428299.467295</v>
      </c>
      <c r="AB1473" s="3" t="n">
        <v>9298226.615834</v>
      </c>
      <c r="AC1473" s="3" t="n">
        <v>10816040.359863</v>
      </c>
      <c r="AD1473" s="3" t="n">
        <v>11654739.378175</v>
      </c>
      <c r="AE1473" s="3" t="n">
        <v>11931331.210291</v>
      </c>
      <c r="AF1473" s="3" t="n">
        <v>12724802.539004</v>
      </c>
      <c r="AG1473" s="3" t="n">
        <v>13498182.814306</v>
      </c>
      <c r="AH1473" s="3" t="n">
        <v>13883289.482106</v>
      </c>
      <c r="AI1473" s="3" t="n">
        <v>14303052.920272</v>
      </c>
      <c r="AJ1473" s="3" t="n">
        <v>14754254.1854</v>
      </c>
      <c r="AK1473" s="3" t="n">
        <v>15220418.485889</v>
      </c>
      <c r="AL1473" s="3" t="n">
        <v>15698632.38275</v>
      </c>
      <c r="AM1473" s="3" t="n"/>
      <c r="AN1473" s="3" t="n"/>
      <c r="AO1473" s="3" t="n"/>
      <c r="AP1473" s="3" t="n"/>
      <c r="AQ1473" s="3" t="n"/>
      <c r="AR1473" s="3" t="n"/>
      <c r="AS1473" s="3" t="n"/>
      <c r="AT1473" s="3" t="n"/>
      <c r="AU1473" s="3" t="n"/>
    </row>
    <row r="1474">
      <c r="A1474" s="3" t="n">
        <v>2031</v>
      </c>
      <c r="B1474" s="3" t="inlineStr">
        <is>
          <t>ISL</t>
        </is>
      </c>
      <c r="C1474" s="3" t="inlineStr">
        <is>
          <t>IMF.RES:WEO</t>
        </is>
      </c>
      <c r="D1474" s="3" t="inlineStr">
        <is>
          <t>ISL.NGDPRPC.A</t>
        </is>
      </c>
      <c r="E1474" s="3" t="inlineStr">
        <is>
          <t>Iceland</t>
        </is>
      </c>
      <c r="F1474" s="3" t="inlineStr">
        <is>
          <t>Gross domestic product (GDP), Constant prices, Per capita, Domestic currency</t>
        </is>
      </c>
      <c r="G1474" s="3" t="n">
        <v>6799175.055277</v>
      </c>
      <c r="H1474" s="3" t="n">
        <v>6952886.953392</v>
      </c>
      <c r="I1474" s="3" t="n">
        <v>6912190.52604</v>
      </c>
      <c r="J1474" s="3" t="n">
        <v>7023420.031823</v>
      </c>
      <c r="K1474" s="3" t="n">
        <v>7504181.436487</v>
      </c>
      <c r="L1474" s="3" t="n">
        <v>7949406.799579</v>
      </c>
      <c r="M1474" s="3" t="n">
        <v>8223407.838181</v>
      </c>
      <c r="N1474" s="3" t="n">
        <v>8716097.012403</v>
      </c>
      <c r="O1474" s="3" t="n">
        <v>8645424.603514001</v>
      </c>
      <c r="P1474" s="3" t="n">
        <v>7828987.249818</v>
      </c>
      <c r="Q1474" s="3" t="n">
        <v>7696927.242389</v>
      </c>
      <c r="R1474" s="3" t="n">
        <v>7948005.554113</v>
      </c>
      <c r="S1474" s="3" t="n">
        <v>8006510.591286</v>
      </c>
      <c r="T1474" s="3" t="n">
        <v>8225474.177512</v>
      </c>
      <c r="U1474" s="3" t="n">
        <v>8280431.505264</v>
      </c>
      <c r="V1474" s="3" t="n">
        <v>8504544.553965</v>
      </c>
      <c r="W1474" s="3" t="n">
        <v>8949913.506484</v>
      </c>
      <c r="X1474" s="3" t="n">
        <v>9081577.229953</v>
      </c>
      <c r="Y1474" s="3" t="n">
        <v>9236078.355734</v>
      </c>
      <c r="Z1474" s="3" t="n">
        <v>9146474.069157001</v>
      </c>
      <c r="AA1474" s="3" t="n">
        <v>8428302.291818</v>
      </c>
      <c r="AB1474" s="3" t="n">
        <v>8759633.042886</v>
      </c>
      <c r="AC1474" s="3" t="n">
        <v>9362539.974843999</v>
      </c>
      <c r="AD1474" s="3" t="n">
        <v>9563720.290604001</v>
      </c>
      <c r="AE1474" s="3" t="n">
        <v>9231701.787213</v>
      </c>
      <c r="AF1474" s="3" t="n">
        <v>9212541.469377</v>
      </c>
      <c r="AG1474" s="3" t="n">
        <v>9185648.13968</v>
      </c>
      <c r="AH1474" s="3" t="n">
        <v>9185758.424013</v>
      </c>
      <c r="AI1474" s="3" t="n">
        <v>9210887.789075</v>
      </c>
      <c r="AJ1474" s="3" t="n">
        <v>9248154.837741001</v>
      </c>
      <c r="AK1474" s="3" t="n">
        <v>9284503.483782999</v>
      </c>
      <c r="AL1474" s="3" t="n">
        <v>9318635.351137999</v>
      </c>
      <c r="AM1474" s="3" t="n"/>
      <c r="AN1474" s="3" t="n"/>
      <c r="AO1474" s="3" t="n"/>
      <c r="AP1474" s="3" t="n"/>
      <c r="AQ1474" s="3" t="n"/>
      <c r="AR1474" s="3" t="n"/>
      <c r="AS1474" s="3" t="n"/>
      <c r="AT1474" s="3" t="n"/>
      <c r="AU1474" s="3" t="n"/>
    </row>
    <row r="1475">
      <c r="A1475" s="3" t="n">
        <v>2031</v>
      </c>
      <c r="B1475" s="3" t="inlineStr">
        <is>
          <t>ISL</t>
        </is>
      </c>
      <c r="C1475" s="3" t="inlineStr">
        <is>
          <t>IMF.RES:WEO</t>
        </is>
      </c>
      <c r="D1475" s="3" t="inlineStr">
        <is>
          <t>ISL.PCPI.A</t>
        </is>
      </c>
      <c r="E1475" s="3" t="inlineStr">
        <is>
          <t>Iceland</t>
        </is>
      </c>
      <c r="F1475" s="3" t="inlineStr">
        <is>
          <t>All Items, Consumer price index (CPI), Period average</t>
        </is>
      </c>
      <c r="G1475" s="3" t="n">
        <v>70.42666699999999</v>
      </c>
      <c r="H1475" s="3" t="n">
        <v>74.93083300000001</v>
      </c>
      <c r="I1475" s="3" t="n">
        <v>78.81</v>
      </c>
      <c r="J1475" s="3" t="n">
        <v>80.435</v>
      </c>
      <c r="K1475" s="3" t="n">
        <v>82.97</v>
      </c>
      <c r="L1475" s="3" t="n">
        <v>86.28916700000001</v>
      </c>
      <c r="M1475" s="3" t="n">
        <v>92.048333</v>
      </c>
      <c r="N1475" s="3" t="n">
        <v>96.71166700000001</v>
      </c>
      <c r="O1475" s="3" t="n">
        <v>108.975</v>
      </c>
      <c r="P1475" s="3" t="n">
        <v>122.058333</v>
      </c>
      <c r="Q1475" s="3" t="n">
        <v>128.641667</v>
      </c>
      <c r="R1475" s="3" t="n">
        <v>133.775</v>
      </c>
      <c r="S1475" s="3" t="n">
        <v>140.725</v>
      </c>
      <c r="T1475" s="3" t="n">
        <v>146.191667</v>
      </c>
      <c r="U1475" s="3" t="n">
        <v>149.166667</v>
      </c>
      <c r="V1475" s="3" t="n">
        <v>151.6</v>
      </c>
      <c r="W1475" s="3" t="n">
        <v>154.166667</v>
      </c>
      <c r="X1475" s="3" t="n">
        <v>156.891667</v>
      </c>
      <c r="Y1475" s="3" t="n">
        <v>161.091667</v>
      </c>
      <c r="Z1475" s="3" t="n">
        <v>165.933333</v>
      </c>
      <c r="AA1475" s="3" t="n">
        <v>170.658333</v>
      </c>
      <c r="AB1475" s="3" t="n">
        <v>178.266667</v>
      </c>
      <c r="AC1475" s="3" t="n">
        <v>193.075</v>
      </c>
      <c r="AD1475" s="3" t="n">
        <v>209.95</v>
      </c>
      <c r="AE1475" s="3" t="n">
        <v>222.25</v>
      </c>
      <c r="AF1475" s="3" t="n">
        <v>231.333333</v>
      </c>
      <c r="AG1475" s="3" t="n">
        <v>242.322215</v>
      </c>
      <c r="AH1475" s="3" t="n">
        <v>249.148527</v>
      </c>
      <c r="AI1475" s="3" t="n">
        <v>255.410721</v>
      </c>
      <c r="AJ1475" s="3" t="n">
        <v>261.795838</v>
      </c>
      <c r="AK1475" s="3" t="n">
        <v>268.340579</v>
      </c>
      <c r="AL1475" s="3" t="n">
        <v>275.048935</v>
      </c>
      <c r="AM1475" s="3" t="n"/>
      <c r="AN1475" s="3" t="n"/>
      <c r="AO1475" s="3" t="n"/>
      <c r="AP1475" s="3" t="n"/>
      <c r="AQ1475" s="3" t="n"/>
      <c r="AR1475" s="3" t="n"/>
      <c r="AS1475" s="3" t="n"/>
      <c r="AT1475" s="3" t="n"/>
      <c r="AU1475" s="3" t="n"/>
    </row>
    <row r="1476">
      <c r="A1476" s="3" t="n">
        <v>2031</v>
      </c>
      <c r="B1476" s="3" t="inlineStr">
        <is>
          <t>ISL</t>
        </is>
      </c>
      <c r="C1476" s="3" t="inlineStr">
        <is>
          <t>IMF.RES:WEO</t>
        </is>
      </c>
      <c r="D1476" s="3" t="inlineStr">
        <is>
          <t>ISL.PCPIPCH.A</t>
        </is>
      </c>
      <c r="E1476" s="3" t="inlineStr">
        <is>
          <t>Iceland</t>
        </is>
      </c>
      <c r="F1476" s="3" t="inlineStr">
        <is>
          <t>All Items, Consumer price index (CPI), Period average, percent change</t>
        </is>
      </c>
      <c r="G1476" s="3" t="n">
        <v>5.119658</v>
      </c>
      <c r="H1476" s="3" t="n">
        <v>6.395541</v>
      </c>
      <c r="I1476" s="3" t="n">
        <v>5.176997</v>
      </c>
      <c r="J1476" s="3" t="n">
        <v>2.061921</v>
      </c>
      <c r="K1476" s="3" t="n">
        <v>3.151613</v>
      </c>
      <c r="L1476" s="3" t="n">
        <v>4.000442</v>
      </c>
      <c r="M1476" s="3" t="n">
        <v>6.674264</v>
      </c>
      <c r="N1476" s="3" t="n">
        <v>5.066179</v>
      </c>
      <c r="O1476" s="3" t="n">
        <v>12.680304</v>
      </c>
      <c r="P1476" s="3" t="n">
        <v>12.005812</v>
      </c>
      <c r="Q1476" s="3" t="n">
        <v>5.393596</v>
      </c>
      <c r="R1476" s="3" t="n">
        <v>3.990413</v>
      </c>
      <c r="S1476" s="3" t="n">
        <v>5.195291</v>
      </c>
      <c r="T1476" s="3" t="n">
        <v>3.884645</v>
      </c>
      <c r="U1476" s="3" t="n">
        <v>2.035</v>
      </c>
      <c r="V1476" s="3" t="n">
        <v>1.631285</v>
      </c>
      <c r="W1476" s="3" t="n">
        <v>1.693052</v>
      </c>
      <c r="X1476" s="3" t="n">
        <v>1.767568</v>
      </c>
      <c r="Y1476" s="3" t="n">
        <v>2.677006</v>
      </c>
      <c r="Z1476" s="3" t="n">
        <v>3.005535</v>
      </c>
      <c r="AA1476" s="3" t="n">
        <v>2.847529</v>
      </c>
      <c r="AB1476" s="3" t="n">
        <v>4.458225</v>
      </c>
      <c r="AC1476" s="3" t="n">
        <v>8.306844</v>
      </c>
      <c r="AD1476" s="3" t="n">
        <v>8.740126999999999</v>
      </c>
      <c r="AE1476" s="3" t="n">
        <v>5.858538</v>
      </c>
      <c r="AF1476" s="3" t="n">
        <v>4.086989</v>
      </c>
      <c r="AG1476" s="3" t="n">
        <v>4.750237</v>
      </c>
      <c r="AH1476" s="3" t="n">
        <v>2.81704</v>
      </c>
      <c r="AI1476" s="3" t="n">
        <v>2.513438</v>
      </c>
      <c r="AJ1476" s="3" t="n">
        <v>2.499941</v>
      </c>
      <c r="AK1476" s="3" t="n">
        <v>2.499941</v>
      </c>
      <c r="AL1476" s="3" t="n">
        <v>2.499941</v>
      </c>
      <c r="AM1476" s="3" t="n"/>
      <c r="AN1476" s="3" t="n"/>
      <c r="AO1476" s="3" t="n"/>
      <c r="AP1476" s="3" t="n"/>
      <c r="AQ1476" s="3" t="n"/>
      <c r="AR1476" s="3" t="n"/>
      <c r="AS1476" s="3" t="n"/>
      <c r="AT1476" s="3" t="n"/>
      <c r="AU1476" s="3" t="n"/>
    </row>
    <row r="1477">
      <c r="A1477" s="3" t="n">
        <v>2031</v>
      </c>
      <c r="B1477" s="3" t="inlineStr">
        <is>
          <t>ISL</t>
        </is>
      </c>
      <c r="C1477" s="3" t="inlineStr">
        <is>
          <t>IMF.RES:WEO</t>
        </is>
      </c>
      <c r="D1477" s="3" t="inlineStr">
        <is>
          <t>ISL.PPPPC.A</t>
        </is>
      </c>
      <c r="E1477" s="3" t="inlineStr">
        <is>
          <t>Iceland</t>
        </is>
      </c>
      <c r="F1477" s="3" t="inlineStr">
        <is>
          <t>Gross domestic product (GDP), Per capita, purchasing power parity (PPP) international dollar, ICP benchmarks 2017-2021</t>
        </is>
      </c>
      <c r="G1477" s="3" t="n">
        <v>31704.858658</v>
      </c>
      <c r="H1477" s="3" t="n">
        <v>33151.636037</v>
      </c>
      <c r="I1477" s="3" t="n">
        <v>33469.766684</v>
      </c>
      <c r="J1477" s="3" t="n">
        <v>34679.753362</v>
      </c>
      <c r="K1477" s="3" t="n">
        <v>38049.951389</v>
      </c>
      <c r="L1477" s="3" t="n">
        <v>41571.436511</v>
      </c>
      <c r="M1477" s="3" t="n">
        <v>44330.528143</v>
      </c>
      <c r="N1477" s="3" t="n">
        <v>48259.495121</v>
      </c>
      <c r="O1477" s="3" t="n">
        <v>48790.33272</v>
      </c>
      <c r="P1477" s="3" t="n">
        <v>44455.273678</v>
      </c>
      <c r="Q1477" s="3" t="n">
        <v>44236.582733</v>
      </c>
      <c r="R1477" s="3" t="n">
        <v>46622.089915</v>
      </c>
      <c r="S1477" s="3" t="n">
        <v>47839.73528</v>
      </c>
      <c r="T1477" s="3" t="n">
        <v>49984.568022</v>
      </c>
      <c r="U1477" s="3" t="n">
        <v>51194.938112</v>
      </c>
      <c r="V1477" s="3" t="n">
        <v>53068.524189</v>
      </c>
      <c r="W1477" s="3" t="n">
        <v>56378.312549</v>
      </c>
      <c r="X1477" s="3" t="n">
        <v>58232.230463</v>
      </c>
      <c r="Y1477" s="3" t="n">
        <v>59895.048705</v>
      </c>
      <c r="Z1477" s="3" t="n">
        <v>63215.357832</v>
      </c>
      <c r="AA1477" s="3" t="n">
        <v>58834.905179</v>
      </c>
      <c r="AB1477" s="3" t="n">
        <v>65517.388215</v>
      </c>
      <c r="AC1477" s="3" t="n">
        <v>75007.407574</v>
      </c>
      <c r="AD1477" s="3" t="n">
        <v>79454.085339</v>
      </c>
      <c r="AE1477" s="3" t="n">
        <v>78599.726477</v>
      </c>
      <c r="AF1477" s="3" t="n">
        <v>80661.656455</v>
      </c>
      <c r="AG1477" s="3" t="n">
        <v>82730.278575</v>
      </c>
      <c r="AH1477" s="3" t="n">
        <v>84547.96952699999</v>
      </c>
      <c r="AI1477" s="3" t="n">
        <v>86170.82519600001</v>
      </c>
      <c r="AJ1477" s="3" t="n">
        <v>88057.880553</v>
      </c>
      <c r="AK1477" s="3" t="n">
        <v>90028.42724</v>
      </c>
      <c r="AL1477" s="3" t="n">
        <v>91990.651161</v>
      </c>
      <c r="AM1477" s="3" t="n"/>
      <c r="AN1477" s="3" t="n"/>
      <c r="AO1477" s="3" t="n"/>
      <c r="AP1477" s="3" t="n"/>
      <c r="AQ1477" s="3" t="n"/>
      <c r="AR1477" s="3" t="n"/>
      <c r="AS1477" s="3" t="n"/>
      <c r="AT1477" s="3" t="n"/>
      <c r="AU1477" s="3" t="n"/>
    </row>
    <row r="1478">
      <c r="A1478" s="3" t="n">
        <v>2025</v>
      </c>
      <c r="B1478" s="3" t="inlineStr">
        <is>
          <t>ISL</t>
        </is>
      </c>
      <c r="C1478" s="3" t="inlineStr">
        <is>
          <t>IMF.STA:ER</t>
        </is>
      </c>
      <c r="D1478" s="3" t="inlineStr">
        <is>
          <t>ISL.XDC_USD.PA_RT.A</t>
        </is>
      </c>
      <c r="E1478" s="3" t="inlineStr">
        <is>
          <t>Iceland</t>
        </is>
      </c>
      <c r="F1478" s="3" t="inlineStr">
        <is>
          <t>Domestic currency per US Dollar</t>
        </is>
      </c>
      <c r="G1478" s="3" t="n">
        <v>78.6159466666666</v>
      </c>
      <c r="H1478" s="3" t="n">
        <v>97.42460333333329</v>
      </c>
      <c r="I1478" s="3" t="n">
        <v>91.6616666666666</v>
      </c>
      <c r="J1478" s="3" t="n">
        <v>76.7089825</v>
      </c>
      <c r="K1478" s="3" t="n">
        <v>70.19166666666661</v>
      </c>
      <c r="L1478" s="3" t="n">
        <v>62.9816666666666</v>
      </c>
      <c r="M1478" s="3" t="n">
        <v>70.18000000000001</v>
      </c>
      <c r="N1478" s="3" t="n">
        <v>64.05500000000001</v>
      </c>
      <c r="O1478" s="3" t="n">
        <v>87.9479166666666</v>
      </c>
      <c r="P1478" s="3" t="n">
        <v>123.638381413043</v>
      </c>
      <c r="Q1478" s="3" t="n">
        <v>122.241811205165</v>
      </c>
      <c r="R1478" s="3" t="n">
        <v>115.954039762284</v>
      </c>
      <c r="S1478" s="3" t="n">
        <v>125.082787013768</v>
      </c>
      <c r="T1478" s="3" t="n">
        <v>122.179121320458</v>
      </c>
      <c r="U1478" s="3" t="n">
        <v>116.767352506898</v>
      </c>
      <c r="V1478" s="3" t="n">
        <v>131.918708431432</v>
      </c>
      <c r="W1478" s="3" t="n">
        <v>120.811548065238</v>
      </c>
      <c r="X1478" s="3" t="n">
        <v>106.839572013999</v>
      </c>
      <c r="Y1478" s="3" t="n">
        <v>108.300176306626</v>
      </c>
      <c r="Z1478" s="3" t="n">
        <v>122.606773601906</v>
      </c>
      <c r="AA1478" s="3" t="n">
        <v>135.421711629204</v>
      </c>
      <c r="AB1478" s="3" t="n">
        <v>126.988860204557</v>
      </c>
      <c r="AC1478" s="3" t="n">
        <v>135.27990200138</v>
      </c>
      <c r="AD1478" s="3" t="n">
        <v>137.942952429967</v>
      </c>
      <c r="AE1478" s="3" t="n">
        <v>137.958025978153</v>
      </c>
      <c r="AF1478" s="3" t="n">
        <v>128.44148705495</v>
      </c>
      <c r="AG1478" s="3" t="n"/>
      <c r="AH1478" s="3" t="n"/>
      <c r="AI1478" s="3" t="n"/>
      <c r="AJ1478" s="3" t="n"/>
      <c r="AK1478" s="3" t="n"/>
      <c r="AL1478" s="3" t="n"/>
      <c r="AM1478" s="3" t="n"/>
      <c r="AN1478" s="3" t="n"/>
      <c r="AO1478" s="3" t="n"/>
      <c r="AP1478" s="3" t="n"/>
      <c r="AQ1478" s="3" t="n"/>
      <c r="AR1478" s="3" t="n"/>
      <c r="AS1478" s="3" t="n"/>
      <c r="AT1478" s="3" t="n"/>
      <c r="AU1478" s="3" t="n"/>
    </row>
    <row r="1479">
      <c r="A1479" s="3" t="n">
        <v>2031</v>
      </c>
      <c r="B1479" s="3" t="inlineStr">
        <is>
          <t>ISR</t>
        </is>
      </c>
      <c r="C1479" s="3" t="inlineStr">
        <is>
          <t>IMF.RES:WEO</t>
        </is>
      </c>
      <c r="D1479" s="3" t="inlineStr">
        <is>
          <t>ISR.BCA.A</t>
        </is>
      </c>
      <c r="E1479" s="3" t="inlineStr">
        <is>
          <t>Israel</t>
        </is>
      </c>
      <c r="F1479" s="3" t="inlineStr">
        <is>
          <t>Current account balance (credit less debit), US dollar</t>
        </is>
      </c>
      <c r="G1479" s="3" t="n">
        <v>-3.186</v>
      </c>
      <c r="H1479" s="3" t="n">
        <v>-3.355</v>
      </c>
      <c r="I1479" s="3" t="n">
        <v>-2.757</v>
      </c>
      <c r="J1479" s="3" t="n">
        <v>-0.681</v>
      </c>
      <c r="K1479" s="3" t="n">
        <v>1.216</v>
      </c>
      <c r="L1479" s="3" t="n">
        <v>3.315</v>
      </c>
      <c r="M1479" s="3" t="n">
        <v>5.264</v>
      </c>
      <c r="N1479" s="3" t="n">
        <v>4</v>
      </c>
      <c r="O1479" s="3" t="n">
        <v>0.967</v>
      </c>
      <c r="P1479" s="3" t="n">
        <v>6.071</v>
      </c>
      <c r="Q1479" s="3" t="n">
        <v>6.485</v>
      </c>
      <c r="R1479" s="3" t="n">
        <v>2.671</v>
      </c>
      <c r="S1479" s="3" t="n">
        <v>-0.763</v>
      </c>
      <c r="T1479" s="3" t="n">
        <v>6.717</v>
      </c>
      <c r="U1479" s="3" t="n">
        <v>10.93</v>
      </c>
      <c r="V1479" s="3" t="n">
        <v>14.002</v>
      </c>
      <c r="W1479" s="3" t="n">
        <v>10.269</v>
      </c>
      <c r="X1479" s="3" t="n">
        <v>11.394</v>
      </c>
      <c r="Y1479" s="3" t="n">
        <v>9.337999999999999</v>
      </c>
      <c r="Z1479" s="3" t="n">
        <v>11.85</v>
      </c>
      <c r="AA1479" s="3" t="n">
        <v>15.601</v>
      </c>
      <c r="AB1479" s="3" t="n">
        <v>15.073</v>
      </c>
      <c r="AC1479" s="3" t="n">
        <v>14.392</v>
      </c>
      <c r="AD1479" s="3" t="n">
        <v>16.071</v>
      </c>
      <c r="AE1479" s="3" t="n">
        <v>15.847</v>
      </c>
      <c r="AF1479" s="3" t="n">
        <v>8.926</v>
      </c>
      <c r="AG1479" s="3" t="n">
        <v>13.978571</v>
      </c>
      <c r="AH1479" s="3" t="n">
        <v>17.218915</v>
      </c>
      <c r="AI1479" s="3" t="n">
        <v>19.65237</v>
      </c>
      <c r="AJ1479" s="3" t="n">
        <v>21.561454</v>
      </c>
      <c r="AK1479" s="3" t="n">
        <v>23.503357</v>
      </c>
      <c r="AL1479" s="3" t="n">
        <v>25.604437</v>
      </c>
      <c r="AM1479" s="3" t="n"/>
      <c r="AN1479" s="3" t="n"/>
      <c r="AO1479" s="3" t="n"/>
      <c r="AP1479" s="3" t="n"/>
      <c r="AQ1479" s="3" t="n"/>
      <c r="AR1479" s="3" t="n"/>
      <c r="AS1479" s="3" t="n"/>
      <c r="AT1479" s="3" t="n"/>
      <c r="AU1479" s="3" t="n"/>
    </row>
    <row r="1480">
      <c r="A1480" s="3" t="n">
        <v>2031</v>
      </c>
      <c r="B1480" s="3" t="inlineStr">
        <is>
          <t>ISR</t>
        </is>
      </c>
      <c r="C1480" s="3" t="inlineStr">
        <is>
          <t>IMF.RES:WEO</t>
        </is>
      </c>
      <c r="D1480" s="3" t="inlineStr">
        <is>
          <t>ISR.BCA_NGDPD.A</t>
        </is>
      </c>
      <c r="E1480" s="3" t="inlineStr">
        <is>
          <t>Israel</t>
        </is>
      </c>
      <c r="F1480" s="3" t="inlineStr">
        <is>
          <t>Current account balance (credit less debit), Percent of GDP</t>
        </is>
      </c>
      <c r="G1480" s="3" t="n">
        <v>-2.335627</v>
      </c>
      <c r="H1480" s="3" t="n">
        <v>-2.487199</v>
      </c>
      <c r="I1480" s="3" t="n">
        <v>-2.201808</v>
      </c>
      <c r="J1480" s="3" t="n">
        <v>-0.518747</v>
      </c>
      <c r="K1480" s="3" t="n">
        <v>0.869032</v>
      </c>
      <c r="L1480" s="3" t="n">
        <v>2.249805</v>
      </c>
      <c r="M1480" s="3" t="n">
        <v>3.316818</v>
      </c>
      <c r="N1480" s="3" t="n">
        <v>2.168612</v>
      </c>
      <c r="O1480" s="3" t="n">
        <v>0.437654</v>
      </c>
      <c r="P1480" s="3" t="n">
        <v>2.848753</v>
      </c>
      <c r="Q1480" s="3" t="n">
        <v>2.709163</v>
      </c>
      <c r="R1480" s="3" t="n">
        <v>0.9976120000000001</v>
      </c>
      <c r="S1480" s="3" t="n">
        <v>-0.289924</v>
      </c>
      <c r="T1480" s="3" t="n">
        <v>2.253685</v>
      </c>
      <c r="U1480" s="3" t="n">
        <v>3.476718</v>
      </c>
      <c r="V1480" s="3" t="n">
        <v>4.623574</v>
      </c>
      <c r="W1480" s="3" t="n">
        <v>3.19824</v>
      </c>
      <c r="X1480" s="3" t="n">
        <v>3.188372</v>
      </c>
      <c r="Y1480" s="3" t="n">
        <v>2.487012</v>
      </c>
      <c r="Z1480" s="3" t="n">
        <v>2.968369</v>
      </c>
      <c r="AA1480" s="3" t="n">
        <v>3.7967</v>
      </c>
      <c r="AB1480" s="3" t="n">
        <v>3.077783</v>
      </c>
      <c r="AC1480" s="3" t="n">
        <v>2.740503</v>
      </c>
      <c r="AD1480" s="3" t="n">
        <v>3.130343</v>
      </c>
      <c r="AE1480" s="3" t="n">
        <v>2.922262</v>
      </c>
      <c r="AF1480" s="3" t="n">
        <v>1.461415</v>
      </c>
      <c r="AG1480" s="3" t="n">
        <v>1.941877</v>
      </c>
      <c r="AH1480" s="3" t="n">
        <v>2.262497</v>
      </c>
      <c r="AI1480" s="3" t="n">
        <v>2.459135</v>
      </c>
      <c r="AJ1480" s="3" t="n">
        <v>2.575648</v>
      </c>
      <c r="AK1480" s="3" t="n">
        <v>2.683656</v>
      </c>
      <c r="AL1480" s="3" t="n">
        <v>2.79444</v>
      </c>
      <c r="AM1480" s="3" t="n"/>
      <c r="AN1480" s="3" t="n"/>
      <c r="AO1480" s="3" t="n"/>
      <c r="AP1480" s="3" t="n"/>
      <c r="AQ1480" s="3" t="n"/>
      <c r="AR1480" s="3" t="n"/>
      <c r="AS1480" s="3" t="n"/>
      <c r="AT1480" s="3" t="n"/>
      <c r="AU1480" s="3" t="n"/>
    </row>
    <row r="1481">
      <c r="A1481" s="3" t="n">
        <v>2031</v>
      </c>
      <c r="B1481" s="3" t="inlineStr">
        <is>
          <t>ISR</t>
        </is>
      </c>
      <c r="C1481" s="3" t="inlineStr">
        <is>
          <t>IMF.RES:WEO</t>
        </is>
      </c>
      <c r="D1481" s="3" t="inlineStr">
        <is>
          <t>ISR.GGR_NGDP.A</t>
        </is>
      </c>
      <c r="E1481" s="3" t="inlineStr">
        <is>
          <t>Israel</t>
        </is>
      </c>
      <c r="F1481" s="3" t="inlineStr">
        <is>
          <t>Revenue, General government, Percent of GDP</t>
        </is>
      </c>
      <c r="G1481" s="3" t="n">
        <v>42.607207</v>
      </c>
      <c r="H1481" s="3" t="n">
        <v>42.057831</v>
      </c>
      <c r="I1481" s="3" t="n">
        <v>41.758408</v>
      </c>
      <c r="J1481" s="3" t="n">
        <v>40.3768</v>
      </c>
      <c r="K1481" s="3" t="n">
        <v>39.604697</v>
      </c>
      <c r="L1481" s="3" t="n">
        <v>39.600135</v>
      </c>
      <c r="M1481" s="3" t="n">
        <v>40.68901</v>
      </c>
      <c r="N1481" s="3" t="n">
        <v>39.770939</v>
      </c>
      <c r="O1481" s="3" t="n">
        <v>37.718013</v>
      </c>
      <c r="P1481" s="3" t="n">
        <v>34.831309</v>
      </c>
      <c r="Q1481" s="3" t="n">
        <v>35.970691</v>
      </c>
      <c r="R1481" s="3" t="n">
        <v>35.886296</v>
      </c>
      <c r="S1481" s="3" t="n">
        <v>35.108674</v>
      </c>
      <c r="T1481" s="3" t="n">
        <v>35.631726</v>
      </c>
      <c r="U1481" s="3" t="n">
        <v>35.992195</v>
      </c>
      <c r="V1481" s="3" t="n">
        <v>36.36028</v>
      </c>
      <c r="W1481" s="3" t="n">
        <v>36.123771</v>
      </c>
      <c r="X1481" s="3" t="n">
        <v>37.234036</v>
      </c>
      <c r="Y1481" s="3" t="n">
        <v>35.615803</v>
      </c>
      <c r="Z1481" s="3" t="n">
        <v>34.899339</v>
      </c>
      <c r="AA1481" s="3" t="n">
        <v>34.123795</v>
      </c>
      <c r="AB1481" s="3" t="n">
        <v>36.692939</v>
      </c>
      <c r="AC1481" s="3" t="n">
        <v>37.235131</v>
      </c>
      <c r="AD1481" s="3" t="n">
        <v>34.243652</v>
      </c>
      <c r="AE1481" s="3" t="n">
        <v>35.64648</v>
      </c>
      <c r="AF1481" s="3" t="n">
        <v>38.378279</v>
      </c>
      <c r="AG1481" s="3" t="n">
        <v>38.357906</v>
      </c>
      <c r="AH1481" s="3" t="n">
        <v>37.074928</v>
      </c>
      <c r="AI1481" s="3" t="n">
        <v>36.491581</v>
      </c>
      <c r="AJ1481" s="3" t="n">
        <v>36.361801</v>
      </c>
      <c r="AK1481" s="3" t="n">
        <v>36.453728</v>
      </c>
      <c r="AL1481" s="3" t="n">
        <v>36.500938</v>
      </c>
      <c r="AM1481" s="3" t="n"/>
      <c r="AN1481" s="3" t="n"/>
      <c r="AO1481" s="3" t="n"/>
      <c r="AP1481" s="3" t="n"/>
      <c r="AQ1481" s="3" t="n"/>
      <c r="AR1481" s="3" t="n"/>
      <c r="AS1481" s="3" t="n"/>
      <c r="AT1481" s="3" t="n"/>
      <c r="AU1481" s="3" t="n"/>
    </row>
    <row r="1482">
      <c r="A1482" s="3" t="n">
        <v>2031</v>
      </c>
      <c r="B1482" s="3" t="inlineStr">
        <is>
          <t>ISR</t>
        </is>
      </c>
      <c r="C1482" s="3" t="inlineStr">
        <is>
          <t>IMF.RES:WEO</t>
        </is>
      </c>
      <c r="D1482" s="3" t="inlineStr">
        <is>
          <t>ISR.GGX_NGDP.A</t>
        </is>
      </c>
      <c r="E1482" s="3" t="inlineStr">
        <is>
          <t>Israel</t>
        </is>
      </c>
      <c r="F1482" s="3" t="inlineStr">
        <is>
          <t>Expenditure, General government, Percent of GDP</t>
        </is>
      </c>
      <c r="G1482" s="3" t="n">
        <v>43.405563</v>
      </c>
      <c r="H1482" s="3" t="n">
        <v>46.113277</v>
      </c>
      <c r="I1482" s="3" t="n">
        <v>49.965151</v>
      </c>
      <c r="J1482" s="3" t="n">
        <v>45.404739</v>
      </c>
      <c r="K1482" s="3" t="n">
        <v>43.003025</v>
      </c>
      <c r="L1482" s="3" t="n">
        <v>42.335346</v>
      </c>
      <c r="M1482" s="3" t="n">
        <v>41.629107</v>
      </c>
      <c r="N1482" s="3" t="n">
        <v>40.197726</v>
      </c>
      <c r="O1482" s="3" t="n">
        <v>41.205616</v>
      </c>
      <c r="P1482" s="3" t="n">
        <v>41.364899</v>
      </c>
      <c r="Q1482" s="3" t="n">
        <v>39.685695</v>
      </c>
      <c r="R1482" s="3" t="n">
        <v>39.316043</v>
      </c>
      <c r="S1482" s="3" t="n">
        <v>39.569897</v>
      </c>
      <c r="T1482" s="3" t="n">
        <v>39.699109</v>
      </c>
      <c r="U1482" s="3" t="n">
        <v>38.276882</v>
      </c>
      <c r="V1482" s="3" t="n">
        <v>37.563821</v>
      </c>
      <c r="W1482" s="3" t="n">
        <v>37.905535</v>
      </c>
      <c r="X1482" s="3" t="n">
        <v>38.400588</v>
      </c>
      <c r="Y1482" s="3" t="n">
        <v>39.198812</v>
      </c>
      <c r="Z1482" s="3" t="n">
        <v>38.692167</v>
      </c>
      <c r="AA1482" s="3" t="n">
        <v>44.765169</v>
      </c>
      <c r="AB1482" s="3" t="n">
        <v>40.061527</v>
      </c>
      <c r="AC1482" s="3" t="n">
        <v>36.939181</v>
      </c>
      <c r="AD1482" s="3" t="n">
        <v>39.621934</v>
      </c>
      <c r="AE1482" s="3" t="n">
        <v>43.71861</v>
      </c>
      <c r="AF1482" s="3" t="n">
        <v>43.597466</v>
      </c>
      <c r="AG1482" s="3" t="n">
        <v>44.216541</v>
      </c>
      <c r="AH1482" s="3" t="n">
        <v>41.937499</v>
      </c>
      <c r="AI1482" s="3" t="n">
        <v>41.57811</v>
      </c>
      <c r="AJ1482" s="3" t="n">
        <v>41.21107</v>
      </c>
      <c r="AK1482" s="3" t="n">
        <v>41.286442</v>
      </c>
      <c r="AL1482" s="3" t="n">
        <v>41.441392</v>
      </c>
      <c r="AM1482" s="3" t="n"/>
      <c r="AN1482" s="3" t="n"/>
      <c r="AO1482" s="3" t="n"/>
      <c r="AP1482" s="3" t="n"/>
      <c r="AQ1482" s="3" t="n"/>
      <c r="AR1482" s="3" t="n"/>
      <c r="AS1482" s="3" t="n"/>
      <c r="AT1482" s="3" t="n"/>
      <c r="AU1482" s="3" t="n"/>
    </row>
    <row r="1483">
      <c r="A1483" s="3" t="n">
        <v>2027</v>
      </c>
      <c r="B1483" s="3" t="inlineStr">
        <is>
          <t>ISR</t>
        </is>
      </c>
      <c r="C1483" s="3" t="inlineStr">
        <is>
          <t>IMF.RES:WEO</t>
        </is>
      </c>
      <c r="D1483" s="3" t="inlineStr">
        <is>
          <t>ISR.LE.A</t>
        </is>
      </c>
      <c r="E1483" s="3" t="inlineStr">
        <is>
          <t>Israel</t>
        </is>
      </c>
      <c r="F1483" s="3" t="inlineStr">
        <is>
          <t>Employed persons, Persons for countries / Index for country groups</t>
        </is>
      </c>
      <c r="G1483" s="3" t="n">
        <v>2.42925</v>
      </c>
      <c r="H1483" s="3" t="n">
        <v>2.43925</v>
      </c>
      <c r="I1483" s="3" t="n">
        <v>2.46075</v>
      </c>
      <c r="J1483" s="3" t="n">
        <v>2.513</v>
      </c>
      <c r="K1483" s="3" t="n">
        <v>2.5895</v>
      </c>
      <c r="L1483" s="3" t="n">
        <v>2.6905</v>
      </c>
      <c r="M1483" s="3" t="n">
        <v>2.77525</v>
      </c>
      <c r="N1483" s="3" t="n">
        <v>2.893</v>
      </c>
      <c r="O1483" s="3" t="n">
        <v>2.99175</v>
      </c>
      <c r="P1483" s="3" t="n">
        <v>3.051</v>
      </c>
      <c r="Q1483" s="3" t="n">
        <v>3.157</v>
      </c>
      <c r="R1483" s="3" t="n">
        <v>3.25325</v>
      </c>
      <c r="S1483" s="3" t="n">
        <v>3.35925</v>
      </c>
      <c r="T1483" s="3" t="n">
        <v>3.449</v>
      </c>
      <c r="U1483" s="3" t="n">
        <v>3.55425</v>
      </c>
      <c r="V1483" s="3" t="n">
        <v>3.6435</v>
      </c>
      <c r="W1483" s="3" t="n">
        <v>3.73725</v>
      </c>
      <c r="X1483" s="3" t="n">
        <v>3.8245</v>
      </c>
      <c r="Y1483" s="3" t="n">
        <v>3.90575</v>
      </c>
      <c r="Z1483" s="3" t="n">
        <v>3.96675</v>
      </c>
      <c r="AA1483" s="3" t="n">
        <v>3.913</v>
      </c>
      <c r="AB1483" s="3" t="n">
        <v>3.958</v>
      </c>
      <c r="AC1483" s="3" t="n">
        <v>4.1865</v>
      </c>
      <c r="AD1483" s="3" t="n">
        <v>4.3225</v>
      </c>
      <c r="AE1483" s="3" t="n">
        <v>4.374</v>
      </c>
      <c r="AF1483" s="3" t="n">
        <v>4.3415</v>
      </c>
      <c r="AG1483" s="3" t="n">
        <v>4.41396</v>
      </c>
      <c r="AH1483" s="3" t="n">
        <v>4.489651</v>
      </c>
      <c r="AI1483" s="3" t="n"/>
      <c r="AJ1483" s="3" t="n"/>
      <c r="AK1483" s="3" t="n"/>
      <c r="AL1483" s="3" t="n"/>
      <c r="AM1483" s="3" t="n"/>
      <c r="AN1483" s="3" t="n"/>
      <c r="AO1483" s="3" t="n"/>
      <c r="AP1483" s="3" t="n"/>
      <c r="AQ1483" s="3" t="n"/>
      <c r="AR1483" s="3" t="n"/>
      <c r="AS1483" s="3" t="n"/>
      <c r="AT1483" s="3" t="n"/>
      <c r="AU1483" s="3" t="n"/>
    </row>
    <row r="1484">
      <c r="A1484" s="3" t="n">
        <v>2031</v>
      </c>
      <c r="B1484" s="3" t="inlineStr">
        <is>
          <t>ISR</t>
        </is>
      </c>
      <c r="C1484" s="3" t="inlineStr">
        <is>
          <t>IMF.RES:WEO</t>
        </is>
      </c>
      <c r="D1484" s="3" t="inlineStr">
        <is>
          <t>ISR.LP.A</t>
        </is>
      </c>
      <c r="E1484" s="3" t="inlineStr">
        <is>
          <t>Israel</t>
        </is>
      </c>
      <c r="F1484" s="3" t="inlineStr">
        <is>
          <t>Population, Persons for countries / Index for country groups</t>
        </is>
      </c>
      <c r="G1484" s="3" t="n">
        <v>6.285875</v>
      </c>
      <c r="H1484" s="3" t="n">
        <v>6.436325</v>
      </c>
      <c r="I1484" s="3" t="n">
        <v>6.566567</v>
      </c>
      <c r="J1484" s="3" t="n">
        <v>6.687025</v>
      </c>
      <c r="K1484" s="3" t="n">
        <v>6.806142</v>
      </c>
      <c r="L1484" s="3" t="n">
        <v>6.926883</v>
      </c>
      <c r="M1484" s="3" t="n">
        <v>7.051658</v>
      </c>
      <c r="N1484" s="3" t="n">
        <v>7.1762</v>
      </c>
      <c r="O1484" s="3" t="n">
        <v>7.306533</v>
      </c>
      <c r="P1484" s="3" t="n">
        <v>7.48205</v>
      </c>
      <c r="Q1484" s="3" t="n">
        <v>7.620817</v>
      </c>
      <c r="R1484" s="3" t="n">
        <v>7.763058</v>
      </c>
      <c r="S1484" s="3" t="n">
        <v>7.907217</v>
      </c>
      <c r="T1484" s="3" t="n">
        <v>8.056117</v>
      </c>
      <c r="U1484" s="3" t="n">
        <v>8.212066999999999</v>
      </c>
      <c r="V1484" s="3" t="n">
        <v>8.376725</v>
      </c>
      <c r="W1484" s="3" t="n">
        <v>8.543407999999999</v>
      </c>
      <c r="X1484" s="3" t="n">
        <v>8.709716999999999</v>
      </c>
      <c r="Y1484" s="3" t="n">
        <v>8.87945</v>
      </c>
      <c r="Z1484" s="3" t="n">
        <v>9.051033</v>
      </c>
      <c r="AA1484" s="3" t="n">
        <v>9.21435</v>
      </c>
      <c r="AB1484" s="3" t="n">
        <v>9.367374999999999</v>
      </c>
      <c r="AC1484" s="3" t="n">
        <v>9.55115</v>
      </c>
      <c r="AD1484" s="3" t="n">
        <v>9.845233</v>
      </c>
      <c r="AE1484" s="3" t="n">
        <v>9.987907999999999</v>
      </c>
      <c r="AF1484" s="3" t="n">
        <v>10.123142</v>
      </c>
      <c r="AG1484" s="3" t="n">
        <v>10.312444</v>
      </c>
      <c r="AH1484" s="3" t="n">
        <v>10.503225</v>
      </c>
      <c r="AI1484" s="3" t="n">
        <v>10.695434</v>
      </c>
      <c r="AJ1484" s="3" t="n">
        <v>10.887951</v>
      </c>
      <c r="AK1484" s="3" t="n">
        <v>11.083935</v>
      </c>
      <c r="AL1484" s="3" t="n">
        <v>11.283445</v>
      </c>
      <c r="AM1484" s="3" t="n"/>
      <c r="AN1484" s="3" t="n"/>
      <c r="AO1484" s="3" t="n"/>
      <c r="AP1484" s="3" t="n"/>
      <c r="AQ1484" s="3" t="n"/>
      <c r="AR1484" s="3" t="n"/>
      <c r="AS1484" s="3" t="n"/>
      <c r="AT1484" s="3" t="n"/>
      <c r="AU1484" s="3" t="n"/>
    </row>
    <row r="1485">
      <c r="A1485" s="3" t="n">
        <v>2031</v>
      </c>
      <c r="B1485" s="3" t="inlineStr">
        <is>
          <t>ISR</t>
        </is>
      </c>
      <c r="C1485" s="3" t="inlineStr">
        <is>
          <t>IMF.RES:WEO</t>
        </is>
      </c>
      <c r="D1485" s="3" t="inlineStr">
        <is>
          <t>ISR.NGDP.A</t>
        </is>
      </c>
      <c r="E1485" s="3" t="inlineStr">
        <is>
          <t>Israel</t>
        </is>
      </c>
      <c r="F1485" s="3" t="inlineStr">
        <is>
          <t>Gross domestic product (GDP), Current prices, Domestic currency</t>
        </is>
      </c>
      <c r="G1485" s="3" t="n">
        <v>556.184</v>
      </c>
      <c r="H1485" s="3" t="n">
        <v>567.303</v>
      </c>
      <c r="I1485" s="3" t="n">
        <v>593.248</v>
      </c>
      <c r="J1485" s="3" t="n">
        <v>597.857</v>
      </c>
      <c r="K1485" s="3" t="n">
        <v>627.145</v>
      </c>
      <c r="L1485" s="3" t="n">
        <v>661.245</v>
      </c>
      <c r="M1485" s="3" t="n">
        <v>707.165</v>
      </c>
      <c r="N1485" s="3" t="n">
        <v>757.735</v>
      </c>
      <c r="O1485" s="3" t="n">
        <v>792.777</v>
      </c>
      <c r="P1485" s="3" t="n">
        <v>838.023</v>
      </c>
      <c r="Q1485" s="3" t="n">
        <v>895.009</v>
      </c>
      <c r="R1485" s="3" t="n">
        <v>958.006</v>
      </c>
      <c r="S1485" s="3" t="n">
        <v>1014.771</v>
      </c>
      <c r="T1485" s="3" t="n">
        <v>1076.169</v>
      </c>
      <c r="U1485" s="3" t="n">
        <v>1124.817</v>
      </c>
      <c r="V1485" s="3" t="n">
        <v>1177.086</v>
      </c>
      <c r="W1485" s="3" t="n">
        <v>1233.14</v>
      </c>
      <c r="X1485" s="3" t="n">
        <v>1286.341</v>
      </c>
      <c r="Y1485" s="3" t="n">
        <v>1348.149</v>
      </c>
      <c r="Z1485" s="3" t="n">
        <v>1422.992</v>
      </c>
      <c r="AA1485" s="3" t="n">
        <v>1414.517</v>
      </c>
      <c r="AB1485" s="3" t="n">
        <v>1581.943</v>
      </c>
      <c r="AC1485" s="3" t="n">
        <v>1764.332</v>
      </c>
      <c r="AD1485" s="3" t="n">
        <v>1882.809</v>
      </c>
      <c r="AE1485" s="3" t="n">
        <v>2006.304</v>
      </c>
      <c r="AF1485" s="3" t="n">
        <v>2108.339</v>
      </c>
      <c r="AG1485" s="3" t="n">
        <v>2243.441697</v>
      </c>
      <c r="AH1485" s="3" t="n">
        <v>2394.834236</v>
      </c>
      <c r="AI1485" s="3" t="n">
        <v>2541.109318</v>
      </c>
      <c r="AJ1485" s="3" t="n">
        <v>2688.618121</v>
      </c>
      <c r="AK1485" s="3" t="n">
        <v>2841.231498</v>
      </c>
      <c r="AL1485" s="3" t="n">
        <v>3002.576705</v>
      </c>
      <c r="AM1485" s="3" t="n"/>
      <c r="AN1485" s="3" t="n"/>
      <c r="AO1485" s="3" t="n"/>
      <c r="AP1485" s="3" t="n"/>
      <c r="AQ1485" s="3" t="n"/>
      <c r="AR1485" s="3" t="n"/>
      <c r="AS1485" s="3" t="n"/>
      <c r="AT1485" s="3" t="n"/>
      <c r="AU1485" s="3" t="n"/>
    </row>
    <row r="1486">
      <c r="A1486" s="3" t="n">
        <v>2031</v>
      </c>
      <c r="B1486" s="3" t="inlineStr">
        <is>
          <t>ISR</t>
        </is>
      </c>
      <c r="C1486" s="3" t="inlineStr">
        <is>
          <t>IMF.RES:WEO</t>
        </is>
      </c>
      <c r="D1486" s="3" t="inlineStr">
        <is>
          <t>ISR.NGDP_D.A</t>
        </is>
      </c>
      <c r="E1486" s="3" t="inlineStr">
        <is>
          <t>Israel</t>
        </is>
      </c>
      <c r="F1486" s="3" t="inlineStr">
        <is>
          <t>Gross domestic product (GDP), Price deflator, Index</t>
        </is>
      </c>
      <c r="G1486" s="3" t="n">
        <v>74.31799700000001</v>
      </c>
      <c r="H1486" s="3" t="n">
        <v>75.598972</v>
      </c>
      <c r="I1486" s="3" t="n">
        <v>79.17743299999999</v>
      </c>
      <c r="J1486" s="3" t="n">
        <v>78.66404900000001</v>
      </c>
      <c r="K1486" s="3" t="n">
        <v>78.850854</v>
      </c>
      <c r="L1486" s="3" t="n">
        <v>79.670472</v>
      </c>
      <c r="M1486" s="3" t="n">
        <v>80.69159500000001</v>
      </c>
      <c r="N1486" s="3" t="n">
        <v>81.327781</v>
      </c>
      <c r="O1486" s="3" t="n">
        <v>82.437702</v>
      </c>
      <c r="P1486" s="3" t="n">
        <v>86.09218</v>
      </c>
      <c r="Q1486" s="3" t="n">
        <v>87.116097</v>
      </c>
      <c r="R1486" s="3" t="n">
        <v>88.375551</v>
      </c>
      <c r="S1486" s="3" t="n">
        <v>91.408788</v>
      </c>
      <c r="T1486" s="3" t="n">
        <v>93.13045700000001</v>
      </c>
      <c r="U1486" s="3" t="n">
        <v>93.85089000000001</v>
      </c>
      <c r="V1486" s="3" t="n">
        <v>96.064029</v>
      </c>
      <c r="W1486" s="3" t="n">
        <v>96.271973</v>
      </c>
      <c r="X1486" s="3" t="n">
        <v>96.244468</v>
      </c>
      <c r="Y1486" s="3" t="n">
        <v>96.93969</v>
      </c>
      <c r="Z1486" s="3" t="n">
        <v>98.785892</v>
      </c>
      <c r="AA1486" s="3" t="n">
        <v>100</v>
      </c>
      <c r="AB1486" s="3" t="n">
        <v>102.287389</v>
      </c>
      <c r="AC1486" s="3" t="n">
        <v>107.254747</v>
      </c>
      <c r="AD1486" s="3" t="n">
        <v>112.143857</v>
      </c>
      <c r="AE1486" s="3" t="n">
        <v>118.370627</v>
      </c>
      <c r="AF1486" s="3" t="n">
        <v>120.848521</v>
      </c>
      <c r="AG1486" s="3" t="n">
        <v>124.208</v>
      </c>
      <c r="AH1486" s="3" t="n">
        <v>127.014284</v>
      </c>
      <c r="AI1486" s="3" t="n">
        <v>129.910688</v>
      </c>
      <c r="AJ1486" s="3" t="n">
        <v>132.854514</v>
      </c>
      <c r="AK1486" s="3" t="n">
        <v>135.794875</v>
      </c>
      <c r="AL1486" s="3" t="n">
        <v>138.808232</v>
      </c>
      <c r="AM1486" s="3" t="n"/>
      <c r="AN1486" s="3" t="n"/>
      <c r="AO1486" s="3" t="n"/>
      <c r="AP1486" s="3" t="n"/>
      <c r="AQ1486" s="3" t="n"/>
      <c r="AR1486" s="3" t="n"/>
      <c r="AS1486" s="3" t="n"/>
      <c r="AT1486" s="3" t="n"/>
      <c r="AU1486" s="3" t="n"/>
    </row>
    <row r="1487">
      <c r="A1487" s="3" t="n">
        <v>2031</v>
      </c>
      <c r="B1487" s="3" t="inlineStr">
        <is>
          <t>ISR</t>
        </is>
      </c>
      <c r="C1487" s="3" t="inlineStr">
        <is>
          <t>IMF.RES:WEO</t>
        </is>
      </c>
      <c r="D1487" s="3" t="inlineStr">
        <is>
          <t>ISR.NGDP_R.A</t>
        </is>
      </c>
      <c r="E1487" s="3" t="inlineStr">
        <is>
          <t>Israel</t>
        </is>
      </c>
      <c r="F1487" s="3" t="inlineStr">
        <is>
          <t>Gross domestic product (GDP), Constant prices, Domestic currency</t>
        </is>
      </c>
      <c r="G1487" s="3" t="n">
        <v>748.384</v>
      </c>
      <c r="H1487" s="3" t="n">
        <v>750.4109999999999</v>
      </c>
      <c r="I1487" s="3" t="n">
        <v>749.264</v>
      </c>
      <c r="J1487" s="3" t="n">
        <v>760.013</v>
      </c>
      <c r="K1487" s="3" t="n">
        <v>795.356</v>
      </c>
      <c r="L1487" s="3" t="n">
        <v>829.975</v>
      </c>
      <c r="M1487" s="3" t="n">
        <v>876.38</v>
      </c>
      <c r="N1487" s="3" t="n">
        <v>931.705</v>
      </c>
      <c r="O1487" s="3" t="n">
        <v>961.668</v>
      </c>
      <c r="P1487" s="3" t="n">
        <v>973.402</v>
      </c>
      <c r="Q1487" s="3" t="n">
        <v>1027.375</v>
      </c>
      <c r="R1487" s="3" t="n">
        <v>1084.017</v>
      </c>
      <c r="S1487" s="3" t="n">
        <v>1110.146</v>
      </c>
      <c r="T1487" s="3" t="n">
        <v>1155.55</v>
      </c>
      <c r="U1487" s="3" t="n">
        <v>1198.515</v>
      </c>
      <c r="V1487" s="3" t="n">
        <v>1225.314</v>
      </c>
      <c r="W1487" s="3" t="n">
        <v>1280.892</v>
      </c>
      <c r="X1487" s="3" t="n">
        <v>1336.535</v>
      </c>
      <c r="Y1487" s="3" t="n">
        <v>1390.709</v>
      </c>
      <c r="Z1487" s="3" t="n">
        <v>1440.481</v>
      </c>
      <c r="AA1487" s="3" t="n">
        <v>1414.517</v>
      </c>
      <c r="AB1487" s="3" t="n">
        <v>1546.567</v>
      </c>
      <c r="AC1487" s="3" t="n">
        <v>1644.992</v>
      </c>
      <c r="AD1487" s="3" t="n">
        <v>1678.923</v>
      </c>
      <c r="AE1487" s="3" t="n">
        <v>1694.934</v>
      </c>
      <c r="AF1487" s="3" t="n">
        <v>1744.613</v>
      </c>
      <c r="AG1487" s="3" t="n">
        <v>1806.197431</v>
      </c>
      <c r="AH1487" s="3" t="n">
        <v>1885.484178</v>
      </c>
      <c r="AI1487" s="3" t="n">
        <v>1956.043303</v>
      </c>
      <c r="AJ1487" s="3" t="n">
        <v>2023.731101</v>
      </c>
      <c r="AK1487" s="3" t="n">
        <v>2092.29656</v>
      </c>
      <c r="AL1487" s="3" t="n">
        <v>2163.111407</v>
      </c>
      <c r="AM1487" s="3" t="n"/>
      <c r="AN1487" s="3" t="n"/>
      <c r="AO1487" s="3" t="n"/>
      <c r="AP1487" s="3" t="n"/>
      <c r="AQ1487" s="3" t="n"/>
      <c r="AR1487" s="3" t="n"/>
      <c r="AS1487" s="3" t="n"/>
      <c r="AT1487" s="3" t="n"/>
      <c r="AU1487" s="3" t="n"/>
    </row>
    <row r="1488">
      <c r="A1488" s="3" t="n">
        <v>2031</v>
      </c>
      <c r="B1488" s="3" t="inlineStr">
        <is>
          <t>ISR</t>
        </is>
      </c>
      <c r="C1488" s="3" t="inlineStr">
        <is>
          <t>IMF.RES:WEO</t>
        </is>
      </c>
      <c r="D1488" s="3" t="inlineStr">
        <is>
          <t>ISR.NGDP_RPCH.A</t>
        </is>
      </c>
      <c r="E1488" s="3" t="inlineStr">
        <is>
          <t>Israel</t>
        </is>
      </c>
      <c r="F1488" s="3" t="inlineStr">
        <is>
          <t>Gross domestic product (GDP), Constant prices, Percent change</t>
        </is>
      </c>
      <c r="G1488" s="3" t="n">
        <v>8.591443999999999</v>
      </c>
      <c r="H1488" s="3" t="n">
        <v>0.27085</v>
      </c>
      <c r="I1488" s="3" t="n">
        <v>-0.15285</v>
      </c>
      <c r="J1488" s="3" t="n">
        <v>1.434608</v>
      </c>
      <c r="K1488" s="3" t="n">
        <v>4.650315</v>
      </c>
      <c r="L1488" s="3" t="n">
        <v>4.352642</v>
      </c>
      <c r="M1488" s="3" t="n">
        <v>5.591132</v>
      </c>
      <c r="N1488" s="3" t="n">
        <v>6.312901</v>
      </c>
      <c r="O1488" s="3" t="n">
        <v>3.215932</v>
      </c>
      <c r="P1488" s="3" t="n">
        <v>1.220172</v>
      </c>
      <c r="Q1488" s="3" t="n">
        <v>5.54478</v>
      </c>
      <c r="R1488" s="3" t="n">
        <v>5.513274</v>
      </c>
      <c r="S1488" s="3" t="n">
        <v>2.410387</v>
      </c>
      <c r="T1488" s="3" t="n">
        <v>4.089912</v>
      </c>
      <c r="U1488" s="3" t="n">
        <v>3.718143</v>
      </c>
      <c r="V1488" s="3" t="n">
        <v>2.236017</v>
      </c>
      <c r="W1488" s="3" t="n">
        <v>4.535817</v>
      </c>
      <c r="X1488" s="3" t="n">
        <v>4.344082</v>
      </c>
      <c r="Y1488" s="3" t="n">
        <v>4.053317</v>
      </c>
      <c r="Z1488" s="3" t="n">
        <v>3.578894</v>
      </c>
      <c r="AA1488" s="3" t="n">
        <v>-1.802453</v>
      </c>
      <c r="AB1488" s="3" t="n">
        <v>9.335342000000001</v>
      </c>
      <c r="AC1488" s="3" t="n">
        <v>6.364095</v>
      </c>
      <c r="AD1488" s="3" t="n">
        <v>2.062685</v>
      </c>
      <c r="AE1488" s="3" t="n">
        <v>0.953647</v>
      </c>
      <c r="AF1488" s="3" t="n">
        <v>2.931029</v>
      </c>
      <c r="AG1488" s="3" t="n">
        <v>3.529977</v>
      </c>
      <c r="AH1488" s="3" t="n">
        <v>4.389705</v>
      </c>
      <c r="AI1488" s="3" t="n">
        <v>3.742228</v>
      </c>
      <c r="AJ1488" s="3" t="n">
        <v>3.460445</v>
      </c>
      <c r="AK1488" s="3" t="n">
        <v>3.388072</v>
      </c>
      <c r="AL1488" s="3" t="n">
        <v>3.384551</v>
      </c>
      <c r="AM1488" s="3" t="n"/>
      <c r="AN1488" s="3" t="n"/>
      <c r="AO1488" s="3" t="n"/>
      <c r="AP1488" s="3" t="n"/>
      <c r="AQ1488" s="3" t="n"/>
      <c r="AR1488" s="3" t="n"/>
      <c r="AS1488" s="3" t="n"/>
      <c r="AT1488" s="3" t="n"/>
      <c r="AU1488" s="3" t="n"/>
    </row>
    <row r="1489">
      <c r="A1489" s="3" t="n">
        <v>2031</v>
      </c>
      <c r="B1489" s="3" t="inlineStr">
        <is>
          <t>ISR</t>
        </is>
      </c>
      <c r="C1489" s="3" t="inlineStr">
        <is>
          <t>IMF.RES:WEO</t>
        </is>
      </c>
      <c r="D1489" s="3" t="inlineStr">
        <is>
          <t>ISR.NGDPD.A</t>
        </is>
      </c>
      <c r="E1489" s="3" t="inlineStr">
        <is>
          <t>Israel</t>
        </is>
      </c>
      <c r="F1489" s="3" t="inlineStr">
        <is>
          <t>Gross domestic product (GDP), Current prices, US dollar</t>
        </is>
      </c>
      <c r="G1489" s="3" t="n">
        <v>136.408764</v>
      </c>
      <c r="H1489" s="3" t="n">
        <v>134.890683</v>
      </c>
      <c r="I1489" s="3" t="n">
        <v>125.215262</v>
      </c>
      <c r="J1489" s="3" t="n">
        <v>131.277887</v>
      </c>
      <c r="K1489" s="3" t="n">
        <v>139.925777</v>
      </c>
      <c r="L1489" s="3" t="n">
        <v>147.346079</v>
      </c>
      <c r="M1489" s="3" t="n">
        <v>158.706333</v>
      </c>
      <c r="N1489" s="3" t="n">
        <v>184.449781</v>
      </c>
      <c r="O1489" s="3" t="n">
        <v>220.951036</v>
      </c>
      <c r="P1489" s="3" t="n">
        <v>213.110759</v>
      </c>
      <c r="Q1489" s="3" t="n">
        <v>239.372823</v>
      </c>
      <c r="R1489" s="3" t="n">
        <v>267.739346</v>
      </c>
      <c r="S1489" s="3" t="n">
        <v>263.172089</v>
      </c>
      <c r="T1489" s="3" t="n">
        <v>298.045147</v>
      </c>
      <c r="U1489" s="3" t="n">
        <v>314.376908</v>
      </c>
      <c r="V1489" s="3" t="n">
        <v>302.839329</v>
      </c>
      <c r="W1489" s="3" t="n">
        <v>321.082826</v>
      </c>
      <c r="X1489" s="3" t="n">
        <v>357.361064</v>
      </c>
      <c r="Y1489" s="3" t="n">
        <v>375.470596</v>
      </c>
      <c r="Z1489" s="3" t="n">
        <v>399.209169</v>
      </c>
      <c r="AA1489" s="3" t="n">
        <v>410.909422</v>
      </c>
      <c r="AB1489" s="3" t="n">
        <v>489.735565</v>
      </c>
      <c r="AC1489" s="3" t="n">
        <v>525.159078</v>
      </c>
      <c r="AD1489" s="3" t="n">
        <v>513.394225</v>
      </c>
      <c r="AE1489" s="3" t="n">
        <v>542.2854129999999</v>
      </c>
      <c r="AF1489" s="3" t="n">
        <v>610.777859</v>
      </c>
      <c r="AG1489" s="3" t="n">
        <v>719.84836</v>
      </c>
      <c r="AH1489" s="3" t="n">
        <v>761.058181</v>
      </c>
      <c r="AI1489" s="3" t="n">
        <v>799.15769</v>
      </c>
      <c r="AJ1489" s="3" t="n">
        <v>837.127457</v>
      </c>
      <c r="AK1489" s="3" t="n">
        <v>875.796124</v>
      </c>
      <c r="AL1489" s="3" t="n">
        <v>916.263659</v>
      </c>
      <c r="AM1489" s="3" t="n"/>
      <c r="AN1489" s="3" t="n"/>
      <c r="AO1489" s="3" t="n"/>
      <c r="AP1489" s="3" t="n"/>
      <c r="AQ1489" s="3" t="n"/>
      <c r="AR1489" s="3" t="n"/>
      <c r="AS1489" s="3" t="n"/>
      <c r="AT1489" s="3" t="n"/>
      <c r="AU1489" s="3" t="n"/>
    </row>
    <row r="1490">
      <c r="A1490" s="3" t="n">
        <v>2031</v>
      </c>
      <c r="B1490" s="3" t="inlineStr">
        <is>
          <t>ISR</t>
        </is>
      </c>
      <c r="C1490" s="3" t="inlineStr">
        <is>
          <t>IMF.RES:WEO</t>
        </is>
      </c>
      <c r="D1490" s="3" t="inlineStr">
        <is>
          <t>ISR.NGDPPC.A</t>
        </is>
      </c>
      <c r="E1490" s="3" t="inlineStr">
        <is>
          <t>Israel</t>
        </is>
      </c>
      <c r="F1490" s="3" t="inlineStr">
        <is>
          <t>Gross domestic product (GDP), Current prices, Per capita, Domestic currency</t>
        </is>
      </c>
      <c r="G1490" s="3" t="n">
        <v>88481.555869</v>
      </c>
      <c r="H1490" s="3" t="n">
        <v>88140.825704</v>
      </c>
      <c r="I1490" s="3" t="n">
        <v>90343.71081800001</v>
      </c>
      <c r="J1490" s="3" t="n">
        <v>89405.527869</v>
      </c>
      <c r="K1490" s="3" t="n">
        <v>92143.98270199999</v>
      </c>
      <c r="L1490" s="3" t="n">
        <v>95460.68097</v>
      </c>
      <c r="M1490" s="3" t="n">
        <v>100283.503053</v>
      </c>
      <c r="N1490" s="3" t="n">
        <v>105590.005853</v>
      </c>
      <c r="O1490" s="3" t="n">
        <v>108502.481797</v>
      </c>
      <c r="P1490" s="3" t="n">
        <v>112004.464017</v>
      </c>
      <c r="Q1490" s="3" t="n">
        <v>117442.662532</v>
      </c>
      <c r="R1490" s="3" t="n">
        <v>123405.745373</v>
      </c>
      <c r="S1490" s="3" t="n">
        <v>128334.791214</v>
      </c>
      <c r="T1490" s="3" t="n">
        <v>133584.088281</v>
      </c>
      <c r="U1490" s="3" t="n">
        <v>136971.245565</v>
      </c>
      <c r="V1490" s="3" t="n">
        <v>140518.639444</v>
      </c>
      <c r="W1490" s="3" t="n">
        <v>144338.178849</v>
      </c>
      <c r="X1490" s="3" t="n">
        <v>147690.338186</v>
      </c>
      <c r="Y1490" s="3" t="n">
        <v>151827.984841</v>
      </c>
      <c r="Z1490" s="3" t="n">
        <v>157218.733773</v>
      </c>
      <c r="AA1490" s="3" t="n">
        <v>153512.401851</v>
      </c>
      <c r="AB1490" s="3" t="n">
        <v>168877.940725</v>
      </c>
      <c r="AC1490" s="3" t="n">
        <v>184724.561964</v>
      </c>
      <c r="AD1490" s="3" t="n">
        <v>191240.668073</v>
      </c>
      <c r="AE1490" s="3" t="n">
        <v>200873.289286</v>
      </c>
      <c r="AF1490" s="3" t="n">
        <v>208269.237893</v>
      </c>
      <c r="AG1490" s="3" t="n">
        <v>217547.034096</v>
      </c>
      <c r="AH1490" s="3" t="n">
        <v>228009.427492</v>
      </c>
      <c r="AI1490" s="3" t="n">
        <v>237588.245785</v>
      </c>
      <c r="AJ1490" s="3" t="n">
        <v>246935.167926</v>
      </c>
      <c r="AK1490" s="3" t="n">
        <v>256337.808329</v>
      </c>
      <c r="AL1490" s="3" t="n">
        <v>266104.598143</v>
      </c>
      <c r="AM1490" s="3" t="n"/>
      <c r="AN1490" s="3" t="n"/>
      <c r="AO1490" s="3" t="n"/>
      <c r="AP1490" s="3" t="n"/>
      <c r="AQ1490" s="3" t="n"/>
      <c r="AR1490" s="3" t="n"/>
      <c r="AS1490" s="3" t="n"/>
      <c r="AT1490" s="3" t="n"/>
      <c r="AU1490" s="3" t="n"/>
    </row>
    <row r="1491">
      <c r="A1491" s="3" t="n">
        <v>2031</v>
      </c>
      <c r="B1491" s="3" t="inlineStr">
        <is>
          <t>ISR</t>
        </is>
      </c>
      <c r="C1491" s="3" t="inlineStr">
        <is>
          <t>IMF.RES:WEO</t>
        </is>
      </c>
      <c r="D1491" s="3" t="inlineStr">
        <is>
          <t>ISR.NGDPRPC.A</t>
        </is>
      </c>
      <c r="E1491" s="3" t="inlineStr">
        <is>
          <t>Israel</t>
        </is>
      </c>
      <c r="F1491" s="3" t="inlineStr">
        <is>
          <t>Gross domestic product (GDP), Constant prices, Per capita, Domestic currency</t>
        </is>
      </c>
      <c r="G1491" s="3" t="n">
        <v>119058.046811</v>
      </c>
      <c r="H1491" s="3" t="n">
        <v>116589.97953</v>
      </c>
      <c r="I1491" s="3" t="n">
        <v>114102.854358</v>
      </c>
      <c r="J1491" s="3" t="n">
        <v>113654.876421</v>
      </c>
      <c r="K1491" s="3" t="n">
        <v>116858.572588</v>
      </c>
      <c r="L1491" s="3" t="n">
        <v>119819.399297</v>
      </c>
      <c r="M1491" s="3" t="n">
        <v>124279.98615</v>
      </c>
      <c r="N1491" s="3" t="n">
        <v>129832.641231</v>
      </c>
      <c r="O1491" s="3" t="n">
        <v>131617.547765</v>
      </c>
      <c r="P1491" s="3" t="n">
        <v>130098.301936</v>
      </c>
      <c r="Q1491" s="3" t="n">
        <v>134811.667166</v>
      </c>
      <c r="R1491" s="3" t="n">
        <v>139637.878972</v>
      </c>
      <c r="S1491" s="3" t="n">
        <v>140396.557575</v>
      </c>
      <c r="T1491" s="3" t="n">
        <v>143437.595036</v>
      </c>
      <c r="U1491" s="3" t="n">
        <v>145945.600377</v>
      </c>
      <c r="V1491" s="3" t="n">
        <v>146276.02076</v>
      </c>
      <c r="W1491" s="3" t="n">
        <v>149927.517218</v>
      </c>
      <c r="X1491" s="3" t="n">
        <v>153453.327031</v>
      </c>
      <c r="Y1491" s="3" t="n">
        <v>156621.074503</v>
      </c>
      <c r="Z1491" s="3" t="n">
        <v>159150.999333</v>
      </c>
      <c r="AA1491" s="3" t="n">
        <v>153512.401851</v>
      </c>
      <c r="AB1491" s="3" t="n">
        <v>165101.429162</v>
      </c>
      <c r="AC1491" s="3" t="n">
        <v>172229.731498</v>
      </c>
      <c r="AD1491" s="3" t="n">
        <v>170531.560112</v>
      </c>
      <c r="AE1491" s="3" t="n">
        <v>169698.593883</v>
      </c>
      <c r="AF1491" s="3" t="n">
        <v>172339.08775</v>
      </c>
      <c r="AG1491" s="3" t="n">
        <v>175147.361638</v>
      </c>
      <c r="AH1491" s="3" t="n">
        <v>179514.791195</v>
      </c>
      <c r="AI1491" s="3" t="n">
        <v>182885.834047</v>
      </c>
      <c r="AJ1491" s="3" t="n">
        <v>185868.857865</v>
      </c>
      <c r="AK1491" s="3" t="n">
        <v>188768.396703</v>
      </c>
      <c r="AL1491" s="3" t="n">
        <v>191706.640102</v>
      </c>
      <c r="AM1491" s="3" t="n"/>
      <c r="AN1491" s="3" t="n"/>
      <c r="AO1491" s="3" t="n"/>
      <c r="AP1491" s="3" t="n"/>
      <c r="AQ1491" s="3" t="n"/>
      <c r="AR1491" s="3" t="n"/>
      <c r="AS1491" s="3" t="n"/>
      <c r="AT1491" s="3" t="n"/>
      <c r="AU1491" s="3" t="n"/>
    </row>
    <row r="1492">
      <c r="A1492" s="3" t="n">
        <v>2031</v>
      </c>
      <c r="B1492" s="3" t="inlineStr">
        <is>
          <t>ISR</t>
        </is>
      </c>
      <c r="C1492" s="3" t="inlineStr">
        <is>
          <t>IMF.RES:WEO</t>
        </is>
      </c>
      <c r="D1492" s="3" t="inlineStr">
        <is>
          <t>ISR.PCPI.A</t>
        </is>
      </c>
      <c r="E1492" s="3" t="inlineStr">
        <is>
          <t>Israel</t>
        </is>
      </c>
      <c r="F1492" s="3" t="inlineStr">
        <is>
          <t>All Items, Consumer price index (CPI), Period average</t>
        </is>
      </c>
      <c r="G1492" s="3" t="n">
        <v>66.147054</v>
      </c>
      <c r="H1492" s="3" t="n">
        <v>66.885149</v>
      </c>
      <c r="I1492" s="3" t="n">
        <v>70.689201</v>
      </c>
      <c r="J1492" s="3" t="n">
        <v>71.16249000000001</v>
      </c>
      <c r="K1492" s="3" t="n">
        <v>70.86809</v>
      </c>
      <c r="L1492" s="3" t="n">
        <v>71.81017199999999</v>
      </c>
      <c r="M1492" s="3" t="n">
        <v>73.32339</v>
      </c>
      <c r="N1492" s="3" t="n">
        <v>73.70164800000001</v>
      </c>
      <c r="O1492" s="3" t="n">
        <v>77.08756</v>
      </c>
      <c r="P1492" s="3" t="n">
        <v>79.644406</v>
      </c>
      <c r="Q1492" s="3" t="n">
        <v>81.78984</v>
      </c>
      <c r="R1492" s="3" t="n">
        <v>84.61176</v>
      </c>
      <c r="S1492" s="3" t="n">
        <v>86.0566</v>
      </c>
      <c r="T1492" s="3" t="n">
        <v>87.369714</v>
      </c>
      <c r="U1492" s="3" t="n">
        <v>87.785556</v>
      </c>
      <c r="V1492" s="3" t="n">
        <v>87.23033599999999</v>
      </c>
      <c r="W1492" s="3" t="n">
        <v>86.754986</v>
      </c>
      <c r="X1492" s="3" t="n">
        <v>86.965135</v>
      </c>
      <c r="Y1492" s="3" t="n">
        <v>87.66670000000001</v>
      </c>
      <c r="Z1492" s="3" t="n">
        <v>88.404573</v>
      </c>
      <c r="AA1492" s="3" t="n">
        <v>87.885921</v>
      </c>
      <c r="AB1492" s="3" t="n">
        <v>89.197321</v>
      </c>
      <c r="AC1492" s="3" t="n">
        <v>93.117197</v>
      </c>
      <c r="AD1492" s="3" t="n">
        <v>97.036002</v>
      </c>
      <c r="AE1492" s="3" t="n">
        <v>100.015518</v>
      </c>
      <c r="AF1492" s="3" t="n">
        <v>103.05</v>
      </c>
      <c r="AG1492" s="3" t="n">
        <v>105.408125</v>
      </c>
      <c r="AH1492" s="3" t="n">
        <v>107.574597</v>
      </c>
      <c r="AI1492" s="3" t="n">
        <v>109.69589</v>
      </c>
      <c r="AJ1492" s="3" t="n">
        <v>111.910031</v>
      </c>
      <c r="AK1492" s="3" t="n">
        <v>114.168863</v>
      </c>
      <c r="AL1492" s="3" t="n">
        <v>116.473288</v>
      </c>
      <c r="AM1492" s="3" t="n"/>
      <c r="AN1492" s="3" t="n"/>
      <c r="AO1492" s="3" t="n"/>
      <c r="AP1492" s="3" t="n"/>
      <c r="AQ1492" s="3" t="n"/>
      <c r="AR1492" s="3" t="n"/>
      <c r="AS1492" s="3" t="n"/>
      <c r="AT1492" s="3" t="n"/>
      <c r="AU1492" s="3" t="n"/>
    </row>
    <row r="1493">
      <c r="A1493" s="3" t="n">
        <v>2031</v>
      </c>
      <c r="B1493" s="3" t="inlineStr">
        <is>
          <t>ISR</t>
        </is>
      </c>
      <c r="C1493" s="3" t="inlineStr">
        <is>
          <t>IMF.RES:WEO</t>
        </is>
      </c>
      <c r="D1493" s="3" t="inlineStr">
        <is>
          <t>ISR.PCPIPCH.A</t>
        </is>
      </c>
      <c r="E1493" s="3" t="inlineStr">
        <is>
          <t>Israel</t>
        </is>
      </c>
      <c r="F1493" s="3" t="inlineStr">
        <is>
          <t>All Items, Consumer price index (CPI), Period average, percent change</t>
        </is>
      </c>
      <c r="G1493" s="3" t="n">
        <v>1.124841</v>
      </c>
      <c r="H1493" s="3" t="n">
        <v>1.115839</v>
      </c>
      <c r="I1493" s="3" t="n">
        <v>5.687438</v>
      </c>
      <c r="J1493" s="3" t="n">
        <v>0.669536</v>
      </c>
      <c r="K1493" s="3" t="n">
        <v>-0.413702</v>
      </c>
      <c r="L1493" s="3" t="n">
        <v>1.329346</v>
      </c>
      <c r="M1493" s="3" t="n">
        <v>2.107248</v>
      </c>
      <c r="N1493" s="3" t="n">
        <v>0.515876</v>
      </c>
      <c r="O1493" s="3" t="n">
        <v>4.594079</v>
      </c>
      <c r="P1493" s="3" t="n">
        <v>3.316808</v>
      </c>
      <c r="Q1493" s="3" t="n">
        <v>2.693766</v>
      </c>
      <c r="R1493" s="3" t="n">
        <v>3.450208</v>
      </c>
      <c r="S1493" s="3" t="n">
        <v>1.707612</v>
      </c>
      <c r="T1493" s="3" t="n">
        <v>1.525873</v>
      </c>
      <c r="U1493" s="3" t="n">
        <v>0.475956</v>
      </c>
      <c r="V1493" s="3" t="n">
        <v>-0.632473</v>
      </c>
      <c r="W1493" s="3" t="n">
        <v>-0.544936</v>
      </c>
      <c r="X1493" s="3" t="n">
        <v>0.242232</v>
      </c>
      <c r="Y1493" s="3" t="n">
        <v>0.80672</v>
      </c>
      <c r="Z1493" s="3" t="n">
        <v>0.84168</v>
      </c>
      <c r="AA1493" s="3" t="n">
        <v>-0.58668</v>
      </c>
      <c r="AB1493" s="3" t="n">
        <v>1.492162</v>
      </c>
      <c r="AC1493" s="3" t="n">
        <v>4.394612</v>
      </c>
      <c r="AD1493" s="3" t="n">
        <v>4.208466</v>
      </c>
      <c r="AE1493" s="3" t="n">
        <v>3.070526</v>
      </c>
      <c r="AF1493" s="3" t="n">
        <v>3.034011</v>
      </c>
      <c r="AG1493" s="3" t="n">
        <v>2.288331</v>
      </c>
      <c r="AH1493" s="3" t="n">
        <v>2.055318</v>
      </c>
      <c r="AI1493" s="3" t="n">
        <v>1.971928</v>
      </c>
      <c r="AJ1493" s="3" t="n">
        <v>2.018436</v>
      </c>
      <c r="AK1493" s="3" t="n">
        <v>2.018436</v>
      </c>
      <c r="AL1493" s="3" t="n">
        <v>2.018436</v>
      </c>
      <c r="AM1493" s="3" t="n"/>
      <c r="AN1493" s="3" t="n"/>
      <c r="AO1493" s="3" t="n"/>
      <c r="AP1493" s="3" t="n"/>
      <c r="AQ1493" s="3" t="n"/>
      <c r="AR1493" s="3" t="n"/>
      <c r="AS1493" s="3" t="n"/>
      <c r="AT1493" s="3" t="n"/>
      <c r="AU1493" s="3" t="n"/>
    </row>
    <row r="1494">
      <c r="A1494" s="3" t="n">
        <v>2031</v>
      </c>
      <c r="B1494" s="3" t="inlineStr">
        <is>
          <t>ISR</t>
        </is>
      </c>
      <c r="C1494" s="3" t="inlineStr">
        <is>
          <t>IMF.RES:WEO</t>
        </is>
      </c>
      <c r="D1494" s="3" t="inlineStr">
        <is>
          <t>ISR.PPPPC.A</t>
        </is>
      </c>
      <c r="E1494" s="3" t="inlineStr">
        <is>
          <t>Israel</t>
        </is>
      </c>
      <c r="F1494" s="3" t="inlineStr">
        <is>
          <t>Gross domestic product (GDP), Per capita, purchasing power parity (PPP) international dollar, ICP benchmarks 2017-2021</t>
        </is>
      </c>
      <c r="G1494" s="3" t="n">
        <v>22211.690679</v>
      </c>
      <c r="H1494" s="3" t="n">
        <v>22240.998885</v>
      </c>
      <c r="I1494" s="3" t="n">
        <v>22104.808559</v>
      </c>
      <c r="J1494" s="3" t="n">
        <v>22452.706386</v>
      </c>
      <c r="K1494" s="3" t="n">
        <v>23706.346196</v>
      </c>
      <c r="L1494" s="3" t="n">
        <v>25069.213716</v>
      </c>
      <c r="M1494" s="3" t="n">
        <v>26804.365844</v>
      </c>
      <c r="N1494" s="3" t="n">
        <v>28760.595609</v>
      </c>
      <c r="O1494" s="3" t="n">
        <v>29717.653309</v>
      </c>
      <c r="P1494" s="3" t="n">
        <v>29555.79158</v>
      </c>
      <c r="Q1494" s="3" t="n">
        <v>30998.803664</v>
      </c>
      <c r="R1494" s="3" t="n">
        <v>32771.029427</v>
      </c>
      <c r="S1494" s="3" t="n">
        <v>33562.57005</v>
      </c>
      <c r="T1494" s="3" t="n">
        <v>34873.15657</v>
      </c>
      <c r="U1494" s="3" t="n">
        <v>36100.92464</v>
      </c>
      <c r="V1494" s="3" t="n">
        <v>36518.451337</v>
      </c>
      <c r="W1494" s="3" t="n">
        <v>37785.732759</v>
      </c>
      <c r="X1494" s="3" t="n">
        <v>39366.945434</v>
      </c>
      <c r="Y1494" s="3" t="n">
        <v>40116.636041</v>
      </c>
      <c r="Z1494" s="3" t="n">
        <v>41190.54894</v>
      </c>
      <c r="AA1494" s="3" t="n">
        <v>40972.688115</v>
      </c>
      <c r="AB1494" s="3" t="n">
        <v>46260.657418</v>
      </c>
      <c r="AC1494" s="3" t="n">
        <v>51690.281761</v>
      </c>
      <c r="AD1494" s="3" t="n">
        <v>53074.319721</v>
      </c>
      <c r="AE1494" s="3" t="n">
        <v>54126.234649</v>
      </c>
      <c r="AF1494" s="3" t="n">
        <v>56527.759809</v>
      </c>
      <c r="AG1494" s="3" t="n">
        <v>59094.707208</v>
      </c>
      <c r="AH1494" s="3" t="n">
        <v>61898.297665</v>
      </c>
      <c r="AI1494" s="3" t="n">
        <v>64095.734991</v>
      </c>
      <c r="AJ1494" s="3" t="n">
        <v>66299.47214100001</v>
      </c>
      <c r="AK1494" s="3" t="n">
        <v>68571.01394800001</v>
      </c>
      <c r="AL1494" s="3" t="n">
        <v>70895.52706199999</v>
      </c>
      <c r="AM1494" s="3" t="n"/>
      <c r="AN1494" s="3" t="n"/>
      <c r="AO1494" s="3" t="n"/>
      <c r="AP1494" s="3" t="n"/>
      <c r="AQ1494" s="3" t="n"/>
      <c r="AR1494" s="3" t="n"/>
      <c r="AS1494" s="3" t="n"/>
      <c r="AT1494" s="3" t="n"/>
      <c r="AU1494" s="3" t="n"/>
    </row>
    <row r="1495">
      <c r="A1495" s="3" t="n">
        <v>2025</v>
      </c>
      <c r="B1495" s="3" t="inlineStr">
        <is>
          <t>ISR</t>
        </is>
      </c>
      <c r="C1495" s="3" t="inlineStr">
        <is>
          <t>IMF.STA:ER</t>
        </is>
      </c>
      <c r="D1495" s="3" t="inlineStr">
        <is>
          <t>ISR.XDC_USD.PA_RT.A</t>
        </is>
      </c>
      <c r="E1495" s="3" t="inlineStr">
        <is>
          <t>Israel</t>
        </is>
      </c>
      <c r="F1495" s="3" t="inlineStr">
        <is>
          <t>Domestic currency per US Dollar</t>
        </is>
      </c>
      <c r="G1495" s="3" t="n">
        <v>4.07733333333333</v>
      </c>
      <c r="H1495" s="3" t="n">
        <v>4.20565</v>
      </c>
      <c r="I1495" s="3" t="n">
        <v>4.737825</v>
      </c>
      <c r="J1495" s="3" t="n">
        <v>4.55413333333333</v>
      </c>
      <c r="K1495" s="3" t="n">
        <v>4.48198333333333</v>
      </c>
      <c r="L1495" s="3" t="n">
        <v>4.4877</v>
      </c>
      <c r="M1495" s="3" t="n">
        <v>4.45580833333333</v>
      </c>
      <c r="N1495" s="3" t="n">
        <v>4.10808294905577</v>
      </c>
      <c r="O1495" s="3" t="n">
        <v>3.58802119408369</v>
      </c>
      <c r="P1495" s="3" t="n">
        <v>3.93233547791666</v>
      </c>
      <c r="Q1495" s="3" t="n">
        <v>3.738975</v>
      </c>
      <c r="R1495" s="3" t="n">
        <v>3.57812930622009</v>
      </c>
      <c r="S1495" s="3" t="n">
        <v>3.85592182539682</v>
      </c>
      <c r="T1495" s="3" t="n">
        <v>3.61075833333333</v>
      </c>
      <c r="U1495" s="3" t="n">
        <v>3.577925</v>
      </c>
      <c r="V1495" s="3" t="n">
        <v>3.88683333333333</v>
      </c>
      <c r="W1495" s="3" t="n">
        <v>3.84056666666666</v>
      </c>
      <c r="X1495" s="3" t="n">
        <v>3.59955554812834</v>
      </c>
      <c r="Y1495" s="3" t="n">
        <v>3.59055812689937</v>
      </c>
      <c r="Z1495" s="3" t="n">
        <v>3.56452734661092</v>
      </c>
      <c r="AA1495" s="3" t="n">
        <v>3.44240585198792</v>
      </c>
      <c r="AB1495" s="3" t="n">
        <v>3.23019832251082</v>
      </c>
      <c r="AC1495" s="3" t="n">
        <v>3.35961440158188</v>
      </c>
      <c r="AD1495" s="3" t="n">
        <v>3.66737471602259</v>
      </c>
      <c r="AE1495" s="3" t="n">
        <v>3.69971964970892</v>
      </c>
      <c r="AF1495" s="3" t="n">
        <v>3.45189166666666</v>
      </c>
      <c r="AG1495" s="3" t="n"/>
      <c r="AH1495" s="3" t="n"/>
      <c r="AI1495" s="3" t="n"/>
      <c r="AJ1495" s="3" t="n"/>
      <c r="AK1495" s="3" t="n"/>
      <c r="AL1495" s="3" t="n"/>
      <c r="AM1495" s="3" t="n"/>
      <c r="AN1495" s="3" t="n"/>
      <c r="AO1495" s="3" t="n"/>
      <c r="AP1495" s="3" t="n"/>
      <c r="AQ1495" s="3" t="n"/>
      <c r="AR1495" s="3" t="n"/>
      <c r="AS1495" s="3" t="n"/>
      <c r="AT1495" s="3" t="n"/>
      <c r="AU1495" s="3" t="n"/>
    </row>
    <row r="1496">
      <c r="A1496" s="3" t="n">
        <v>2031</v>
      </c>
      <c r="B1496" s="3" t="inlineStr">
        <is>
          <t>ITA</t>
        </is>
      </c>
      <c r="C1496" s="3" t="inlineStr">
        <is>
          <t>IMF.RES:WEO</t>
        </is>
      </c>
      <c r="D1496" s="3" t="inlineStr">
        <is>
          <t>ITA.BCA.A</t>
        </is>
      </c>
      <c r="E1496" s="3" t="inlineStr">
        <is>
          <t>Italy</t>
        </is>
      </c>
      <c r="F1496" s="3" t="inlineStr">
        <is>
          <t>Current account balance (credit less debit), US dollar</t>
        </is>
      </c>
      <c r="G1496" s="3" t="n">
        <v>-3.12977</v>
      </c>
      <c r="H1496" s="3" t="n">
        <v>1.805583</v>
      </c>
      <c r="I1496" s="3" t="n">
        <v>-6.353162</v>
      </c>
      <c r="J1496" s="3" t="n">
        <v>-12.417288</v>
      </c>
      <c r="K1496" s="3" t="n">
        <v>-8.702494</v>
      </c>
      <c r="L1496" s="3" t="n">
        <v>-16.423635</v>
      </c>
      <c r="M1496" s="3" t="n">
        <v>-28.773465</v>
      </c>
      <c r="N1496" s="3" t="n">
        <v>-30.266728</v>
      </c>
      <c r="O1496" s="3" t="n">
        <v>-65.82077</v>
      </c>
      <c r="P1496" s="3" t="n">
        <v>-40.206785</v>
      </c>
      <c r="Q1496" s="3" t="n">
        <v>-69.186131</v>
      </c>
      <c r="R1496" s="3" t="n">
        <v>-63.255446</v>
      </c>
      <c r="S1496" s="3" t="n">
        <v>-4.215635</v>
      </c>
      <c r="T1496" s="3" t="n">
        <v>22.16958</v>
      </c>
      <c r="U1496" s="3" t="n">
        <v>38.139526</v>
      </c>
      <c r="V1496" s="3" t="n">
        <v>22.93298</v>
      </c>
      <c r="W1496" s="3" t="n">
        <v>46.420839</v>
      </c>
      <c r="X1496" s="3" t="n">
        <v>48.052344</v>
      </c>
      <c r="Y1496" s="3" t="n">
        <v>52.535184</v>
      </c>
      <c r="Z1496" s="3" t="n">
        <v>63.767183</v>
      </c>
      <c r="AA1496" s="3" t="n">
        <v>71.680463</v>
      </c>
      <c r="AB1496" s="3" t="n">
        <v>43.760329</v>
      </c>
      <c r="AC1496" s="3" t="n">
        <v>-38.502594</v>
      </c>
      <c r="AD1496" s="3" t="n">
        <v>5.111048</v>
      </c>
      <c r="AE1496" s="3" t="n">
        <v>25.705505</v>
      </c>
      <c r="AF1496" s="3" t="n">
        <v>30.91282</v>
      </c>
      <c r="AG1496" s="3" t="n">
        <v>16.922334</v>
      </c>
      <c r="AH1496" s="3" t="n">
        <v>31.814341</v>
      </c>
      <c r="AI1496" s="3" t="n">
        <v>42.142991</v>
      </c>
      <c r="AJ1496" s="3" t="n">
        <v>54.158011</v>
      </c>
      <c r="AK1496" s="3" t="n">
        <v>61.649961</v>
      </c>
      <c r="AL1496" s="3" t="n">
        <v>67.92169</v>
      </c>
      <c r="AM1496" s="3" t="n"/>
      <c r="AN1496" s="3" t="n"/>
      <c r="AO1496" s="3" t="n"/>
      <c r="AP1496" s="3" t="n"/>
      <c r="AQ1496" s="3" t="n"/>
      <c r="AR1496" s="3" t="n"/>
      <c r="AS1496" s="3" t="n"/>
      <c r="AT1496" s="3" t="n"/>
      <c r="AU1496" s="3" t="n"/>
    </row>
    <row r="1497">
      <c r="A1497" s="3" t="n">
        <v>2031</v>
      </c>
      <c r="B1497" s="3" t="inlineStr">
        <is>
          <t>ITA</t>
        </is>
      </c>
      <c r="C1497" s="3" t="inlineStr">
        <is>
          <t>IMF.RES:WEO</t>
        </is>
      </c>
      <c r="D1497" s="3" t="inlineStr">
        <is>
          <t>ITA.BCA_NGDPD.A</t>
        </is>
      </c>
      <c r="E1497" s="3" t="inlineStr">
        <is>
          <t>Italy</t>
        </is>
      </c>
      <c r="F1497" s="3" t="inlineStr">
        <is>
          <t>Current account balance (credit less debit), Percent of GDP</t>
        </is>
      </c>
      <c r="G1497" s="3" t="n">
        <v>-0.272114</v>
      </c>
      <c r="H1497" s="3" t="n">
        <v>0.154053</v>
      </c>
      <c r="I1497" s="3" t="n">
        <v>-0.496015</v>
      </c>
      <c r="J1497" s="3" t="n">
        <v>-0.784646</v>
      </c>
      <c r="K1497" s="3" t="n">
        <v>-0.480274</v>
      </c>
      <c r="L1497" s="3" t="n">
        <v>-0.880146</v>
      </c>
      <c r="M1497" s="3" t="n">
        <v>-1.469033</v>
      </c>
      <c r="N1497" s="3" t="n">
        <v>-1.361656</v>
      </c>
      <c r="O1497" s="3" t="n">
        <v>-2.722966</v>
      </c>
      <c r="P1497" s="3" t="n">
        <v>-1.821714</v>
      </c>
      <c r="Q1497" s="3" t="n">
        <v>-3.222926</v>
      </c>
      <c r="R1497" s="3" t="n">
        <v>-2.742404</v>
      </c>
      <c r="S1497" s="3" t="n">
        <v>-0.200815</v>
      </c>
      <c r="T1497" s="3" t="n">
        <v>1.029583</v>
      </c>
      <c r="U1497" s="3" t="n">
        <v>1.754497</v>
      </c>
      <c r="V1497" s="3" t="n">
        <v>1.242566</v>
      </c>
      <c r="W1497" s="3" t="n">
        <v>2.460569</v>
      </c>
      <c r="X1497" s="3" t="n">
        <v>2.439174</v>
      </c>
      <c r="Y1497" s="3" t="n">
        <v>2.501215</v>
      </c>
      <c r="Z1497" s="3" t="n">
        <v>3.157059</v>
      </c>
      <c r="AA1497" s="3" t="n">
        <v>3.760868</v>
      </c>
      <c r="AB1497" s="3" t="n">
        <v>2.00675</v>
      </c>
      <c r="AC1497" s="3" t="n">
        <v>-1.828474</v>
      </c>
      <c r="AD1497" s="3" t="n">
        <v>0.220537</v>
      </c>
      <c r="AE1497" s="3" t="n">
        <v>1.078831</v>
      </c>
      <c r="AF1497" s="3" t="n">
        <v>1.212215</v>
      </c>
      <c r="AG1497" s="3" t="n">
        <v>0.618018</v>
      </c>
      <c r="AH1497" s="3" t="n">
        <v>1.13383</v>
      </c>
      <c r="AI1497" s="3" t="n">
        <v>1.459559</v>
      </c>
      <c r="AJ1497" s="3" t="n">
        <v>1.826385</v>
      </c>
      <c r="AK1497" s="3" t="n">
        <v>2.024209</v>
      </c>
      <c r="AL1497" s="3" t="n">
        <v>2.171638</v>
      </c>
      <c r="AM1497" s="3" t="n"/>
      <c r="AN1497" s="3" t="n"/>
      <c r="AO1497" s="3" t="n"/>
      <c r="AP1497" s="3" t="n"/>
      <c r="AQ1497" s="3" t="n"/>
      <c r="AR1497" s="3" t="n"/>
      <c r="AS1497" s="3" t="n"/>
      <c r="AT1497" s="3" t="n"/>
      <c r="AU1497" s="3" t="n"/>
    </row>
    <row r="1498">
      <c r="A1498" s="3" t="n">
        <v>2031</v>
      </c>
      <c r="B1498" s="3" t="inlineStr">
        <is>
          <t>ITA</t>
        </is>
      </c>
      <c r="C1498" s="3" t="inlineStr">
        <is>
          <t>IMF.RES:WEO</t>
        </is>
      </c>
      <c r="D1498" s="3" t="inlineStr">
        <is>
          <t>ITA.GGR_NGDP.A</t>
        </is>
      </c>
      <c r="E1498" s="3" t="inlineStr">
        <is>
          <t>Italy</t>
        </is>
      </c>
      <c r="F1498" s="3" t="inlineStr">
        <is>
          <t>Revenue, General government, Percent of GDP</t>
        </is>
      </c>
      <c r="G1498" s="3" t="n">
        <v>43.948394</v>
      </c>
      <c r="H1498" s="3" t="n">
        <v>43.950974</v>
      </c>
      <c r="I1498" s="3" t="n">
        <v>43.613457</v>
      </c>
      <c r="J1498" s="3" t="n">
        <v>43.742327</v>
      </c>
      <c r="K1498" s="3" t="n">
        <v>43.205817</v>
      </c>
      <c r="L1498" s="3" t="n">
        <v>42.954879</v>
      </c>
      <c r="M1498" s="3" t="n">
        <v>43.954473</v>
      </c>
      <c r="N1498" s="3" t="n">
        <v>45.274388</v>
      </c>
      <c r="O1498" s="3" t="n">
        <v>45.166878</v>
      </c>
      <c r="P1498" s="3" t="n">
        <v>45.996072</v>
      </c>
      <c r="Q1498" s="3" t="n">
        <v>45.637426</v>
      </c>
      <c r="R1498" s="3" t="n">
        <v>45.502223</v>
      </c>
      <c r="S1498" s="3" t="n">
        <v>47.495344</v>
      </c>
      <c r="T1498" s="3" t="n">
        <v>48.026135</v>
      </c>
      <c r="U1498" s="3" t="n">
        <v>47.896503</v>
      </c>
      <c r="V1498" s="3" t="n">
        <v>47.784676</v>
      </c>
      <c r="W1498" s="3" t="n">
        <v>46.575253</v>
      </c>
      <c r="X1498" s="3" t="n">
        <v>46.274075</v>
      </c>
      <c r="Y1498" s="3" t="n">
        <v>46.128689</v>
      </c>
      <c r="Z1498" s="3" t="n">
        <v>46.973725</v>
      </c>
      <c r="AA1498" s="3" t="n">
        <v>47.40496</v>
      </c>
      <c r="AB1498" s="3" t="n">
        <v>47.163649</v>
      </c>
      <c r="AC1498" s="3" t="n">
        <v>46.833024</v>
      </c>
      <c r="AD1498" s="3" t="n">
        <v>46.492581</v>
      </c>
      <c r="AE1498" s="3" t="n">
        <v>47.048611</v>
      </c>
      <c r="AF1498" s="3" t="n">
        <v>47.942848</v>
      </c>
      <c r="AG1498" s="3" t="n">
        <v>47.786235</v>
      </c>
      <c r="AH1498" s="3" t="n">
        <v>47.806303</v>
      </c>
      <c r="AI1498" s="3" t="n">
        <v>47.744178</v>
      </c>
      <c r="AJ1498" s="3" t="n">
        <v>47.703304</v>
      </c>
      <c r="AK1498" s="3" t="n">
        <v>47.648504</v>
      </c>
      <c r="AL1498" s="3" t="n">
        <v>47.561558</v>
      </c>
      <c r="AM1498" s="3" t="n"/>
      <c r="AN1498" s="3" t="n"/>
      <c r="AO1498" s="3" t="n"/>
      <c r="AP1498" s="3" t="n"/>
      <c r="AQ1498" s="3" t="n"/>
      <c r="AR1498" s="3" t="n"/>
      <c r="AS1498" s="3" t="n"/>
      <c r="AT1498" s="3" t="n"/>
      <c r="AU1498" s="3" t="n"/>
    </row>
    <row r="1499">
      <c r="A1499" s="3" t="n">
        <v>2031</v>
      </c>
      <c r="B1499" s="3" t="inlineStr">
        <is>
          <t>ITA</t>
        </is>
      </c>
      <c r="C1499" s="3" t="inlineStr">
        <is>
          <t>IMF.RES:WEO</t>
        </is>
      </c>
      <c r="D1499" s="3" t="inlineStr">
        <is>
          <t>ITA.GGX_NGDP.A</t>
        </is>
      </c>
      <c r="E1499" s="3" t="inlineStr">
        <is>
          <t>Italy</t>
        </is>
      </c>
      <c r="F1499" s="3" t="inlineStr">
        <is>
          <t>Expenditure, General government, Percent of GDP</t>
        </is>
      </c>
      <c r="G1499" s="3" t="n">
        <v>46.36849</v>
      </c>
      <c r="H1499" s="3" t="n">
        <v>47.131796</v>
      </c>
      <c r="I1499" s="3" t="n">
        <v>46.493233</v>
      </c>
      <c r="J1499" s="3" t="n">
        <v>46.968528</v>
      </c>
      <c r="K1499" s="3" t="n">
        <v>46.66674</v>
      </c>
      <c r="L1499" s="3" t="n">
        <v>47.053412</v>
      </c>
      <c r="M1499" s="3" t="n">
        <v>47.559915</v>
      </c>
      <c r="N1499" s="3" t="n">
        <v>46.60033</v>
      </c>
      <c r="O1499" s="3" t="n">
        <v>47.750833</v>
      </c>
      <c r="P1499" s="3" t="n">
        <v>51.052612</v>
      </c>
      <c r="Q1499" s="3" t="n">
        <v>49.798819</v>
      </c>
      <c r="R1499" s="3" t="n">
        <v>49.026616</v>
      </c>
      <c r="S1499" s="3" t="n">
        <v>50.480832</v>
      </c>
      <c r="T1499" s="3" t="n">
        <v>50.900688</v>
      </c>
      <c r="U1499" s="3" t="n">
        <v>50.715001</v>
      </c>
      <c r="V1499" s="3" t="n">
        <v>50.243796</v>
      </c>
      <c r="W1499" s="3" t="n">
        <v>48.979914</v>
      </c>
      <c r="X1499" s="3" t="n">
        <v>48.782942</v>
      </c>
      <c r="Y1499" s="3" t="n">
        <v>48.320681</v>
      </c>
      <c r="Z1499" s="3" t="n">
        <v>48.423838</v>
      </c>
      <c r="AA1499" s="3" t="n">
        <v>56.78375</v>
      </c>
      <c r="AB1499" s="3" t="n">
        <v>56.039322</v>
      </c>
      <c r="AC1499" s="3" t="n">
        <v>54.934279</v>
      </c>
      <c r="AD1499" s="3" t="n">
        <v>53.626751</v>
      </c>
      <c r="AE1499" s="3" t="n">
        <v>50.399109</v>
      </c>
      <c r="AF1499" s="3" t="n">
        <v>51.055535</v>
      </c>
      <c r="AG1499" s="3" t="n">
        <v>50.608512</v>
      </c>
      <c r="AH1499" s="3" t="n">
        <v>50.383301</v>
      </c>
      <c r="AI1499" s="3" t="n">
        <v>50.127221</v>
      </c>
      <c r="AJ1499" s="3" t="n">
        <v>50.218562</v>
      </c>
      <c r="AK1499" s="3" t="n">
        <v>50.137797</v>
      </c>
      <c r="AL1499" s="3" t="n">
        <v>50.273558</v>
      </c>
      <c r="AM1499" s="3" t="n"/>
      <c r="AN1499" s="3" t="n"/>
      <c r="AO1499" s="3" t="n"/>
      <c r="AP1499" s="3" t="n"/>
      <c r="AQ1499" s="3" t="n"/>
      <c r="AR1499" s="3" t="n"/>
      <c r="AS1499" s="3" t="n"/>
      <c r="AT1499" s="3" t="n"/>
      <c r="AU1499" s="3" t="n"/>
    </row>
    <row r="1500">
      <c r="A1500" s="3" t="n">
        <v>2027</v>
      </c>
      <c r="B1500" s="3" t="inlineStr">
        <is>
          <t>ITA</t>
        </is>
      </c>
      <c r="C1500" s="3" t="inlineStr">
        <is>
          <t>IMF.RES:WEO</t>
        </is>
      </c>
      <c r="D1500" s="3" t="inlineStr">
        <is>
          <t>ITA.LE.A</t>
        </is>
      </c>
      <c r="E1500" s="3" t="inlineStr">
        <is>
          <t>Italy</t>
        </is>
      </c>
      <c r="F1500" s="3" t="inlineStr">
        <is>
          <t>Employed persons, Persons for countries / Index for country groups</t>
        </is>
      </c>
      <c r="G1500" s="3" t="n">
        <v>21.54475</v>
      </c>
      <c r="H1500" s="3" t="n">
        <v>21.9145</v>
      </c>
      <c r="I1500" s="3" t="n">
        <v>22.1785</v>
      </c>
      <c r="J1500" s="3" t="n">
        <v>22.1935</v>
      </c>
      <c r="K1500" s="3" t="n">
        <v>22.301</v>
      </c>
      <c r="L1500" s="3" t="n">
        <v>22.344</v>
      </c>
      <c r="M1500" s="3" t="n">
        <v>22.69075</v>
      </c>
      <c r="N1500" s="3" t="n">
        <v>22.8285</v>
      </c>
      <c r="O1500" s="3" t="n">
        <v>23.0345</v>
      </c>
      <c r="P1500" s="3" t="n">
        <v>22.51775</v>
      </c>
      <c r="Q1500" s="3" t="n">
        <v>22.33325</v>
      </c>
      <c r="R1500" s="3" t="n">
        <v>22.4165</v>
      </c>
      <c r="S1500" s="3" t="n">
        <v>22.30375</v>
      </c>
      <c r="T1500" s="3" t="n">
        <v>21.85175</v>
      </c>
      <c r="U1500" s="3" t="n">
        <v>21.92225</v>
      </c>
      <c r="V1500" s="3" t="n">
        <v>22.12125</v>
      </c>
      <c r="W1500" s="3" t="n">
        <v>22.44925</v>
      </c>
      <c r="X1500" s="3" t="n">
        <v>22.7345</v>
      </c>
      <c r="Y1500" s="3" t="n">
        <v>22.95875</v>
      </c>
      <c r="Z1500" s="3" t="n">
        <v>23.10925</v>
      </c>
      <c r="AA1500" s="3" t="n">
        <v>22.38525</v>
      </c>
      <c r="AB1500" s="3" t="n">
        <v>22.554</v>
      </c>
      <c r="AC1500" s="3" t="n">
        <v>23.0995</v>
      </c>
      <c r="AD1500" s="3" t="n">
        <v>23.58</v>
      </c>
      <c r="AE1500" s="3" t="n">
        <v>23.93225</v>
      </c>
      <c r="AF1500" s="3" t="n">
        <v>24.116808</v>
      </c>
      <c r="AG1500" s="3" t="n">
        <v>24.027496</v>
      </c>
      <c r="AH1500" s="3" t="n">
        <v>23.903378</v>
      </c>
      <c r="AI1500" s="3" t="n"/>
      <c r="AJ1500" s="3" t="n"/>
      <c r="AK1500" s="3" t="n"/>
      <c r="AL1500" s="3" t="n"/>
      <c r="AM1500" s="3" t="n"/>
      <c r="AN1500" s="3" t="n"/>
      <c r="AO1500" s="3" t="n"/>
      <c r="AP1500" s="3" t="n"/>
      <c r="AQ1500" s="3" t="n"/>
      <c r="AR1500" s="3" t="n"/>
      <c r="AS1500" s="3" t="n"/>
      <c r="AT1500" s="3" t="n"/>
      <c r="AU1500" s="3" t="n"/>
    </row>
    <row r="1501">
      <c r="A1501" s="3" t="n">
        <v>2031</v>
      </c>
      <c r="B1501" s="3" t="inlineStr">
        <is>
          <t>ITA</t>
        </is>
      </c>
      <c r="C1501" s="3" t="inlineStr">
        <is>
          <t>IMF.RES:WEO</t>
        </is>
      </c>
      <c r="D1501" s="3" t="inlineStr">
        <is>
          <t>ITA.LP.A</t>
        </is>
      </c>
      <c r="E1501" s="3" t="inlineStr">
        <is>
          <t>Italy</t>
        </is>
      </c>
      <c r="F1501" s="3" t="inlineStr">
        <is>
          <t>Population, Persons for countries / Index for country groups</t>
        </is>
      </c>
      <c r="G1501" s="3" t="n">
        <v>56.923524</v>
      </c>
      <c r="H1501" s="3" t="n">
        <v>56.960692</v>
      </c>
      <c r="I1501" s="3" t="n">
        <v>56.99327</v>
      </c>
      <c r="J1501" s="3" t="n">
        <v>57.186378</v>
      </c>
      <c r="K1501" s="3" t="n">
        <v>57.61199</v>
      </c>
      <c r="L1501" s="3" t="n">
        <v>58.044368</v>
      </c>
      <c r="M1501" s="3" t="n">
        <v>58.288996</v>
      </c>
      <c r="N1501" s="3" t="n">
        <v>58.510725</v>
      </c>
      <c r="O1501" s="3" t="n">
        <v>59.001769</v>
      </c>
      <c r="P1501" s="3" t="n">
        <v>59.420592</v>
      </c>
      <c r="Q1501" s="3" t="n">
        <v>59.690316</v>
      </c>
      <c r="R1501" s="3" t="n">
        <v>59.948497</v>
      </c>
      <c r="S1501" s="3" t="n">
        <v>60.105185</v>
      </c>
      <c r="T1501" s="3" t="n">
        <v>60.277309</v>
      </c>
      <c r="U1501" s="3" t="n">
        <v>60.345917</v>
      </c>
      <c r="V1501" s="3" t="n">
        <v>60.295497</v>
      </c>
      <c r="W1501" s="3" t="n">
        <v>60.163712</v>
      </c>
      <c r="X1501" s="3" t="n">
        <v>60.066734</v>
      </c>
      <c r="Y1501" s="3" t="n">
        <v>59.937769</v>
      </c>
      <c r="Z1501" s="3" t="n">
        <v>59.816673</v>
      </c>
      <c r="AA1501" s="3" t="n">
        <v>59.641488</v>
      </c>
      <c r="AB1501" s="3" t="n">
        <v>59.236213</v>
      </c>
      <c r="AC1501" s="3" t="n">
        <v>59.030133</v>
      </c>
      <c r="AD1501" s="3" t="n">
        <v>58.997201</v>
      </c>
      <c r="AE1501" s="3" t="n">
        <v>58.97123</v>
      </c>
      <c r="AF1501" s="3" t="n">
        <v>58.934357</v>
      </c>
      <c r="AG1501" s="3" t="n">
        <v>58.878791</v>
      </c>
      <c r="AH1501" s="3" t="n">
        <v>58.805555</v>
      </c>
      <c r="AI1501" s="3" t="n">
        <v>58.715886</v>
      </c>
      <c r="AJ1501" s="3" t="n">
        <v>58.611066</v>
      </c>
      <c r="AK1501" s="3" t="n">
        <v>58.492891</v>
      </c>
      <c r="AL1501" s="3" t="n">
        <v>58.364091</v>
      </c>
      <c r="AM1501" s="3" t="n"/>
      <c r="AN1501" s="3" t="n"/>
      <c r="AO1501" s="3" t="n"/>
      <c r="AP1501" s="3" t="n"/>
      <c r="AQ1501" s="3" t="n"/>
      <c r="AR1501" s="3" t="n"/>
      <c r="AS1501" s="3" t="n"/>
      <c r="AT1501" s="3" t="n"/>
      <c r="AU1501" s="3" t="n"/>
    </row>
    <row r="1502">
      <c r="A1502" s="3" t="n">
        <v>2031</v>
      </c>
      <c r="B1502" s="3" t="inlineStr">
        <is>
          <t>ITA</t>
        </is>
      </c>
      <c r="C1502" s="3" t="inlineStr">
        <is>
          <t>IMF.RES:WEO</t>
        </is>
      </c>
      <c r="D1502" s="3" t="inlineStr">
        <is>
          <t>ITA.NGDP.A</t>
        </is>
      </c>
      <c r="E1502" s="3" t="inlineStr">
        <is>
          <t>Italy</t>
        </is>
      </c>
      <c r="F1502" s="3" t="inlineStr">
        <is>
          <t>Gross domestic product (GDP), Current prices, Domestic currency</t>
        </is>
      </c>
      <c r="G1502" s="3" t="n">
        <v>1244.744</v>
      </c>
      <c r="H1502" s="3" t="n">
        <v>1308.624</v>
      </c>
      <c r="I1502" s="3" t="n">
        <v>1355.522</v>
      </c>
      <c r="J1502" s="3" t="n">
        <v>1399.386</v>
      </c>
      <c r="K1502" s="3" t="n">
        <v>1457.357</v>
      </c>
      <c r="L1502" s="3" t="n">
        <v>1499.073</v>
      </c>
      <c r="M1502" s="3" t="n">
        <v>1559.864</v>
      </c>
      <c r="N1502" s="3" t="n">
        <v>1621.716</v>
      </c>
      <c r="O1502" s="3" t="n">
        <v>1643.72</v>
      </c>
      <c r="P1502" s="3" t="n">
        <v>1584.107</v>
      </c>
      <c r="Q1502" s="3" t="n">
        <v>1617.944</v>
      </c>
      <c r="R1502" s="3" t="n">
        <v>1657.363</v>
      </c>
      <c r="S1502" s="3" t="n">
        <v>1632.899</v>
      </c>
      <c r="T1502" s="3" t="n">
        <v>1621.261</v>
      </c>
      <c r="U1502" s="3" t="n">
        <v>1635.871</v>
      </c>
      <c r="V1502" s="3" t="n">
        <v>1663.278</v>
      </c>
      <c r="W1502" s="3" t="n">
        <v>1704.856</v>
      </c>
      <c r="X1502" s="3" t="n">
        <v>1744.493</v>
      </c>
      <c r="Y1502" s="3" t="n">
        <v>1777.744</v>
      </c>
      <c r="Z1502" s="3" t="n">
        <v>1804.066</v>
      </c>
      <c r="AA1502" s="3" t="n">
        <v>1670.013</v>
      </c>
      <c r="AB1502" s="3" t="n">
        <v>1842.508</v>
      </c>
      <c r="AC1502" s="3" t="n">
        <v>1998.073</v>
      </c>
      <c r="AD1502" s="3" t="n">
        <v>2142.744</v>
      </c>
      <c r="AE1502" s="3" t="n">
        <v>2202.031</v>
      </c>
      <c r="AF1502" s="3" t="n">
        <v>2258.049</v>
      </c>
      <c r="AG1502" s="3" t="n">
        <v>2322.014893</v>
      </c>
      <c r="AH1502" s="3" t="n">
        <v>2384.961499</v>
      </c>
      <c r="AI1502" s="3" t="n">
        <v>2460.853797</v>
      </c>
      <c r="AJ1502" s="3" t="n">
        <v>2528.616131</v>
      </c>
      <c r="AK1502" s="3" t="n">
        <v>2597.514165</v>
      </c>
      <c r="AL1502" s="3" t="n">
        <v>2667.920479</v>
      </c>
      <c r="AM1502" s="3" t="n"/>
      <c r="AN1502" s="3" t="n"/>
      <c r="AO1502" s="3" t="n"/>
      <c r="AP1502" s="3" t="n"/>
      <c r="AQ1502" s="3" t="n"/>
      <c r="AR1502" s="3" t="n"/>
      <c r="AS1502" s="3" t="n"/>
      <c r="AT1502" s="3" t="n"/>
      <c r="AU1502" s="3" t="n"/>
    </row>
    <row r="1503">
      <c r="A1503" s="3" t="n">
        <v>2031</v>
      </c>
      <c r="B1503" s="3" t="inlineStr">
        <is>
          <t>ITA</t>
        </is>
      </c>
      <c r="C1503" s="3" t="inlineStr">
        <is>
          <t>IMF.RES:WEO</t>
        </is>
      </c>
      <c r="D1503" s="3" t="inlineStr">
        <is>
          <t>ITA.NGDP_D.A</t>
        </is>
      </c>
      <c r="E1503" s="3" t="inlineStr">
        <is>
          <t>Italy</t>
        </is>
      </c>
      <c r="F1503" s="3" t="inlineStr">
        <is>
          <t>Gross domestic product (GDP), Price deflator, Index</t>
        </is>
      </c>
      <c r="G1503" s="3" t="n">
        <v>70.311848</v>
      </c>
      <c r="H1503" s="3" t="n">
        <v>72.466301</v>
      </c>
      <c r="I1503" s="3" t="n">
        <v>74.861187</v>
      </c>
      <c r="J1503" s="3" t="n">
        <v>77.232218</v>
      </c>
      <c r="K1503" s="3" t="n">
        <v>79.26333099999999</v>
      </c>
      <c r="L1503" s="3" t="n">
        <v>80.91524200000001</v>
      </c>
      <c r="M1503" s="3" t="n">
        <v>82.708275</v>
      </c>
      <c r="N1503" s="3" t="n">
        <v>84.748459</v>
      </c>
      <c r="O1503" s="3" t="n">
        <v>86.78628</v>
      </c>
      <c r="P1503" s="3" t="n">
        <v>88.32464899999999</v>
      </c>
      <c r="Q1503" s="3" t="n">
        <v>88.85257</v>
      </c>
      <c r="R1503" s="3" t="n">
        <v>90.388668</v>
      </c>
      <c r="S1503" s="3" t="n">
        <v>91.927449</v>
      </c>
      <c r="T1503" s="3" t="n">
        <v>92.962373</v>
      </c>
      <c r="U1503" s="3" t="n">
        <v>93.80144900000001</v>
      </c>
      <c r="V1503" s="3" t="n">
        <v>94.53569299999999</v>
      </c>
      <c r="W1503" s="3" t="n">
        <v>95.71556699999999</v>
      </c>
      <c r="X1503" s="3" t="n">
        <v>96.39499499999999</v>
      </c>
      <c r="Y1503" s="3" t="n">
        <v>97.427019</v>
      </c>
      <c r="Z1503" s="3" t="n">
        <v>98.447114</v>
      </c>
      <c r="AA1503" s="3" t="n">
        <v>100.00006</v>
      </c>
      <c r="AB1503" s="3" t="n">
        <v>101.283338</v>
      </c>
      <c r="AC1503" s="3" t="n">
        <v>104.783139</v>
      </c>
      <c r="AD1503" s="3" t="n">
        <v>111.342495</v>
      </c>
      <c r="AE1503" s="3" t="n">
        <v>113.5342</v>
      </c>
      <c r="AF1503" s="3" t="n">
        <v>115.797563</v>
      </c>
      <c r="AG1503" s="3" t="n">
        <v>118.460907</v>
      </c>
      <c r="AH1503" s="3" t="n">
        <v>121.067047</v>
      </c>
      <c r="AI1503" s="3" t="n">
        <v>123.884942</v>
      </c>
      <c r="AJ1503" s="3" t="n">
        <v>126.362641</v>
      </c>
      <c r="AK1503" s="3" t="n">
        <v>128.882447</v>
      </c>
      <c r="AL1503" s="3" t="n">
        <v>131.455995</v>
      </c>
      <c r="AM1503" s="3" t="n"/>
      <c r="AN1503" s="3" t="n"/>
      <c r="AO1503" s="3" t="n"/>
      <c r="AP1503" s="3" t="n"/>
      <c r="AQ1503" s="3" t="n"/>
      <c r="AR1503" s="3" t="n"/>
      <c r="AS1503" s="3" t="n"/>
      <c r="AT1503" s="3" t="n"/>
      <c r="AU1503" s="3" t="n"/>
    </row>
    <row r="1504">
      <c r="A1504" s="3" t="n">
        <v>2031</v>
      </c>
      <c r="B1504" s="3" t="inlineStr">
        <is>
          <t>ITA</t>
        </is>
      </c>
      <c r="C1504" s="3" t="inlineStr">
        <is>
          <t>IMF.RES:WEO</t>
        </is>
      </c>
      <c r="D1504" s="3" t="inlineStr">
        <is>
          <t>ITA.NGDP_R.A</t>
        </is>
      </c>
      <c r="E1504" s="3" t="inlineStr">
        <is>
          <t>Italy</t>
        </is>
      </c>
      <c r="F1504" s="3" t="inlineStr">
        <is>
          <t>Gross domestic product (GDP), Constant prices, Domestic currency</t>
        </is>
      </c>
      <c r="G1504" s="3" t="n">
        <v>1770.319</v>
      </c>
      <c r="H1504" s="3" t="n">
        <v>1805.838</v>
      </c>
      <c r="I1504" s="3" t="n">
        <v>1810.714</v>
      </c>
      <c r="J1504" s="3" t="n">
        <v>1811.92</v>
      </c>
      <c r="K1504" s="3" t="n">
        <v>1838.627</v>
      </c>
      <c r="L1504" s="3" t="n">
        <v>1852.646</v>
      </c>
      <c r="M1504" s="3" t="n">
        <v>1885.983</v>
      </c>
      <c r="N1504" s="3" t="n">
        <v>1913.564</v>
      </c>
      <c r="O1504" s="3" t="n">
        <v>1893.986</v>
      </c>
      <c r="P1504" s="3" t="n">
        <v>1793.505</v>
      </c>
      <c r="Q1504" s="3" t="n">
        <v>1820.931</v>
      </c>
      <c r="R1504" s="3" t="n">
        <v>1833.596</v>
      </c>
      <c r="S1504" s="3" t="n">
        <v>1776.291</v>
      </c>
      <c r="T1504" s="3" t="n">
        <v>1743.997</v>
      </c>
      <c r="U1504" s="3" t="n">
        <v>1743.972</v>
      </c>
      <c r="V1504" s="3" t="n">
        <v>1759.418</v>
      </c>
      <c r="W1504" s="3" t="n">
        <v>1781.169</v>
      </c>
      <c r="X1504" s="3" t="n">
        <v>1809.734</v>
      </c>
      <c r="Y1504" s="3" t="n">
        <v>1824.693</v>
      </c>
      <c r="Z1504" s="3" t="n">
        <v>1832.523</v>
      </c>
      <c r="AA1504" s="3" t="n">
        <v>1670.012</v>
      </c>
      <c r="AB1504" s="3" t="n">
        <v>1819.162</v>
      </c>
      <c r="AC1504" s="3" t="n">
        <v>1906.865</v>
      </c>
      <c r="AD1504" s="3" t="n">
        <v>1924.462</v>
      </c>
      <c r="AE1504" s="3" t="n">
        <v>1939.531</v>
      </c>
      <c r="AF1504" s="3" t="n">
        <v>1949.997</v>
      </c>
      <c r="AG1504" s="3" t="n">
        <v>1960.152895</v>
      </c>
      <c r="AH1504" s="3" t="n">
        <v>1969.951002</v>
      </c>
      <c r="AI1504" s="3" t="n">
        <v>1986.402669</v>
      </c>
      <c r="AJ1504" s="3" t="n">
        <v>2001.078888</v>
      </c>
      <c r="AK1504" s="3" t="n">
        <v>2015.413452</v>
      </c>
      <c r="AL1504" s="3" t="n">
        <v>2029.516014</v>
      </c>
      <c r="AM1504" s="3" t="n"/>
      <c r="AN1504" s="3" t="n"/>
      <c r="AO1504" s="3" t="n"/>
      <c r="AP1504" s="3" t="n"/>
      <c r="AQ1504" s="3" t="n"/>
      <c r="AR1504" s="3" t="n"/>
      <c r="AS1504" s="3" t="n"/>
      <c r="AT1504" s="3" t="n"/>
      <c r="AU1504" s="3" t="n"/>
    </row>
    <row r="1505">
      <c r="A1505" s="3" t="n">
        <v>2031</v>
      </c>
      <c r="B1505" s="3" t="inlineStr">
        <is>
          <t>ITA</t>
        </is>
      </c>
      <c r="C1505" s="3" t="inlineStr">
        <is>
          <t>IMF.RES:WEO</t>
        </is>
      </c>
      <c r="D1505" s="3" t="inlineStr">
        <is>
          <t>ITA.NGDP_RPCH.A</t>
        </is>
      </c>
      <c r="E1505" s="3" t="inlineStr">
        <is>
          <t>Italy</t>
        </is>
      </c>
      <c r="F1505" s="3" t="inlineStr">
        <is>
          <t>Gross domestic product (GDP), Constant prices, Percent change</t>
        </is>
      </c>
      <c r="G1505" s="3" t="n">
        <v>3.882145</v>
      </c>
      <c r="H1505" s="3" t="n">
        <v>2.006362</v>
      </c>
      <c r="I1505" s="3" t="n">
        <v>0.270013</v>
      </c>
      <c r="J1505" s="3" t="n">
        <v>0.066604</v>
      </c>
      <c r="K1505" s="3" t="n">
        <v>1.473961</v>
      </c>
      <c r="L1505" s="3" t="n">
        <v>0.762471</v>
      </c>
      <c r="M1505" s="3" t="n">
        <v>1.799426</v>
      </c>
      <c r="N1505" s="3" t="n">
        <v>1.46242</v>
      </c>
      <c r="O1505" s="3" t="n">
        <v>-1.023117</v>
      </c>
      <c r="P1505" s="3" t="n">
        <v>-5.305266</v>
      </c>
      <c r="Q1505" s="3" t="n">
        <v>1.529184</v>
      </c>
      <c r="R1505" s="3" t="n">
        <v>0.695523</v>
      </c>
      <c r="S1505" s="3" t="n">
        <v>-3.12528</v>
      </c>
      <c r="T1505" s="3" t="n">
        <v>-1.818058</v>
      </c>
      <c r="U1505" s="3" t="n">
        <v>-0.001433</v>
      </c>
      <c r="V1505" s="3" t="n">
        <v>0.885679</v>
      </c>
      <c r="W1505" s="3" t="n">
        <v>1.236261</v>
      </c>
      <c r="X1505" s="3" t="n">
        <v>1.603722</v>
      </c>
      <c r="Y1505" s="3" t="n">
        <v>0.826586</v>
      </c>
      <c r="Z1505" s="3" t="n">
        <v>0.429113</v>
      </c>
      <c r="AA1505" s="3" t="n">
        <v>-8.868156000000001</v>
      </c>
      <c r="AB1505" s="3" t="n">
        <v>8.931074000000001</v>
      </c>
      <c r="AC1505" s="3" t="n">
        <v>4.821066</v>
      </c>
      <c r="AD1505" s="3" t="n">
        <v>0.922824</v>
      </c>
      <c r="AE1505" s="3" t="n">
        <v>0.7830240000000001</v>
      </c>
      <c r="AF1505" s="3" t="n">
        <v>0.539615</v>
      </c>
      <c r="AG1505" s="3" t="n">
        <v>0.5208159999999999</v>
      </c>
      <c r="AH1505" s="3" t="n">
        <v>0.499864</v>
      </c>
      <c r="AI1505" s="3" t="n">
        <v>0.835131</v>
      </c>
      <c r="AJ1505" s="3" t="n">
        <v>0.738834</v>
      </c>
      <c r="AK1505" s="3" t="n">
        <v>0.716342</v>
      </c>
      <c r="AL1505" s="3" t="n">
        <v>0.699735</v>
      </c>
      <c r="AM1505" s="3" t="n"/>
      <c r="AN1505" s="3" t="n"/>
      <c r="AO1505" s="3" t="n"/>
      <c r="AP1505" s="3" t="n"/>
      <c r="AQ1505" s="3" t="n"/>
      <c r="AR1505" s="3" t="n"/>
      <c r="AS1505" s="3" t="n"/>
      <c r="AT1505" s="3" t="n"/>
      <c r="AU1505" s="3" t="n"/>
    </row>
    <row r="1506">
      <c r="A1506" s="3" t="n">
        <v>2031</v>
      </c>
      <c r="B1506" s="3" t="inlineStr">
        <is>
          <t>ITA</t>
        </is>
      </c>
      <c r="C1506" s="3" t="inlineStr">
        <is>
          <t>IMF.RES:WEO</t>
        </is>
      </c>
      <c r="D1506" s="3" t="inlineStr">
        <is>
          <t>ITA.NGDPD.A</t>
        </is>
      </c>
      <c r="E1506" s="3" t="inlineStr">
        <is>
          <t>Italy</t>
        </is>
      </c>
      <c r="F1506" s="3" t="inlineStr">
        <is>
          <t>Gross domestic product (GDP), Current prices, US dollar</t>
        </is>
      </c>
      <c r="G1506" s="3" t="n">
        <v>1150.169095</v>
      </c>
      <c r="H1506" s="3" t="n">
        <v>1172.050288</v>
      </c>
      <c r="I1506" s="3" t="n">
        <v>1280.840279</v>
      </c>
      <c r="J1506" s="3" t="n">
        <v>1582.533659</v>
      </c>
      <c r="K1506" s="3" t="n">
        <v>1811.986904</v>
      </c>
      <c r="L1506" s="3" t="n">
        <v>1866.012984</v>
      </c>
      <c r="M1506" s="3" t="n">
        <v>1958.667177</v>
      </c>
      <c r="N1506" s="3" t="n">
        <v>2222.788139</v>
      </c>
      <c r="O1506" s="3" t="n">
        <v>2417.245323</v>
      </c>
      <c r="P1506" s="3" t="n">
        <v>2207.085488</v>
      </c>
      <c r="Q1506" s="3" t="n">
        <v>2146.687174</v>
      </c>
      <c r="R1506" s="3" t="n">
        <v>2306.56917</v>
      </c>
      <c r="S1506" s="3" t="n">
        <v>2099.258645</v>
      </c>
      <c r="T1506" s="3" t="n">
        <v>2153.257361</v>
      </c>
      <c r="U1506" s="3" t="n">
        <v>2173.816002</v>
      </c>
      <c r="V1506" s="3" t="n">
        <v>1845.615228</v>
      </c>
      <c r="W1506" s="3" t="n">
        <v>1886.589676</v>
      </c>
      <c r="X1506" s="3" t="n">
        <v>1970.025468</v>
      </c>
      <c r="Y1506" s="3" t="n">
        <v>2100.386831</v>
      </c>
      <c r="Z1506" s="3" t="n">
        <v>2019.828793</v>
      </c>
      <c r="AA1506" s="3" t="n">
        <v>1905.955542</v>
      </c>
      <c r="AB1506" s="3" t="n">
        <v>2180.65722</v>
      </c>
      <c r="AC1506" s="3" t="n">
        <v>2105.723328</v>
      </c>
      <c r="AD1506" s="3" t="n">
        <v>2317.550114</v>
      </c>
      <c r="AE1506" s="3" t="n">
        <v>2382.717723</v>
      </c>
      <c r="AF1506" s="3" t="n">
        <v>2550.110691</v>
      </c>
      <c r="AG1506" s="3" t="n">
        <v>2738.163738</v>
      </c>
      <c r="AH1506" s="3" t="n">
        <v>2805.917555</v>
      </c>
      <c r="AI1506" s="3" t="n">
        <v>2887.378062</v>
      </c>
      <c r="AJ1506" s="3" t="n">
        <v>2965.312613</v>
      </c>
      <c r="AK1506" s="3" t="n">
        <v>3045.632856</v>
      </c>
      <c r="AL1506" s="3" t="n">
        <v>3127.670296</v>
      </c>
      <c r="AM1506" s="3" t="n"/>
      <c r="AN1506" s="3" t="n"/>
      <c r="AO1506" s="3" t="n"/>
      <c r="AP1506" s="3" t="n"/>
      <c r="AQ1506" s="3" t="n"/>
      <c r="AR1506" s="3" t="n"/>
      <c r="AS1506" s="3" t="n"/>
      <c r="AT1506" s="3" t="n"/>
      <c r="AU1506" s="3" t="n"/>
    </row>
    <row r="1507">
      <c r="A1507" s="3" t="n">
        <v>2031</v>
      </c>
      <c r="B1507" s="3" t="inlineStr">
        <is>
          <t>ITA</t>
        </is>
      </c>
      <c r="C1507" s="3" t="inlineStr">
        <is>
          <t>IMF.RES:WEO</t>
        </is>
      </c>
      <c r="D1507" s="3" t="inlineStr">
        <is>
          <t>ITA.NGDPPC.A</t>
        </is>
      </c>
      <c r="E1507" s="3" t="inlineStr">
        <is>
          <t>Italy</t>
        </is>
      </c>
      <c r="F1507" s="3" t="inlineStr">
        <is>
          <t>Gross domestic product (GDP), Current prices, Per capita, Domestic currency</t>
        </is>
      </c>
      <c r="G1507" s="3" t="n">
        <v>21866.95258</v>
      </c>
      <c r="H1507" s="3" t="n">
        <v>22974.159092</v>
      </c>
      <c r="I1507" s="3" t="n">
        <v>23783.895888</v>
      </c>
      <c r="J1507" s="3" t="n">
        <v>24470.61781</v>
      </c>
      <c r="K1507" s="3" t="n">
        <v>25296.071182</v>
      </c>
      <c r="L1507" s="3" t="n">
        <v>25826.329955</v>
      </c>
      <c r="M1507" s="3" t="n">
        <v>26760.865807</v>
      </c>
      <c r="N1507" s="3" t="n">
        <v>27716.559656</v>
      </c>
      <c r="O1507" s="3" t="n">
        <v>27858.825724</v>
      </c>
      <c r="P1507" s="3" t="n">
        <v>26659.226148</v>
      </c>
      <c r="Q1507" s="3" t="n">
        <v>27105.636365</v>
      </c>
      <c r="R1507" s="3" t="n">
        <v>27646.447917</v>
      </c>
      <c r="S1507" s="3" t="n">
        <v>27167.356693</v>
      </c>
      <c r="T1507" s="3" t="n">
        <v>26896.705027</v>
      </c>
      <c r="U1507" s="3" t="n">
        <v>27108.23004</v>
      </c>
      <c r="V1507" s="3" t="n">
        <v>27585.443072</v>
      </c>
      <c r="W1507" s="3" t="n">
        <v>28336.948359</v>
      </c>
      <c r="X1507" s="3" t="n">
        <v>29042.581206</v>
      </c>
      <c r="Y1507" s="3" t="n">
        <v>29659.829347</v>
      </c>
      <c r="Z1507" s="3" t="n">
        <v>30159.918791</v>
      </c>
      <c r="AA1507" s="3" t="n">
        <v>28000.860743</v>
      </c>
      <c r="AB1507" s="3" t="n">
        <v>31104.419184</v>
      </c>
      <c r="AC1507" s="3" t="n">
        <v>33848.356737</v>
      </c>
      <c r="AD1507" s="3" t="n">
        <v>36319.417933</v>
      </c>
      <c r="AE1507" s="3" t="n">
        <v>37340.767693</v>
      </c>
      <c r="AF1507" s="3" t="n">
        <v>38314.645564</v>
      </c>
      <c r="AG1507" s="3" t="n">
        <v>39437.204012</v>
      </c>
      <c r="AH1507" s="3" t="n">
        <v>40556.738205</v>
      </c>
      <c r="AI1507" s="3" t="n">
        <v>41911.209468</v>
      </c>
      <c r="AJ1507" s="3" t="n">
        <v>43142.298953</v>
      </c>
      <c r="AK1507" s="3" t="n">
        <v>44407.347987</v>
      </c>
      <c r="AL1507" s="3" t="n">
        <v>45711.677055</v>
      </c>
      <c r="AM1507" s="3" t="n"/>
      <c r="AN1507" s="3" t="n"/>
      <c r="AO1507" s="3" t="n"/>
      <c r="AP1507" s="3" t="n"/>
      <c r="AQ1507" s="3" t="n"/>
      <c r="AR1507" s="3" t="n"/>
      <c r="AS1507" s="3" t="n"/>
      <c r="AT1507" s="3" t="n"/>
      <c r="AU1507" s="3" t="n"/>
    </row>
    <row r="1508">
      <c r="A1508" s="3" t="n">
        <v>2031</v>
      </c>
      <c r="B1508" s="3" t="inlineStr">
        <is>
          <t>ITA</t>
        </is>
      </c>
      <c r="C1508" s="3" t="inlineStr">
        <is>
          <t>IMF.RES:WEO</t>
        </is>
      </c>
      <c r="D1508" s="3" t="inlineStr">
        <is>
          <t>ITA.NGDPRPC.A</t>
        </is>
      </c>
      <c r="E1508" s="3" t="inlineStr">
        <is>
          <t>Italy</t>
        </is>
      </c>
      <c r="F1508" s="3" t="inlineStr">
        <is>
          <t>Gross domestic product (GDP), Constant prices, Per capita, Domestic currency</t>
        </is>
      </c>
      <c r="G1508" s="3" t="n">
        <v>31099.954388</v>
      </c>
      <c r="H1508" s="3" t="n">
        <v>31703.231414</v>
      </c>
      <c r="I1508" s="3" t="n">
        <v>31770.663449</v>
      </c>
      <c r="J1508" s="3" t="n">
        <v>31684.468633</v>
      </c>
      <c r="K1508" s="3" t="n">
        <v>31913.964437</v>
      </c>
      <c r="L1508" s="3" t="n">
        <v>31917.756431</v>
      </c>
      <c r="M1508" s="3" t="n">
        <v>32355.729716</v>
      </c>
      <c r="N1508" s="3" t="n">
        <v>32704.499902</v>
      </c>
      <c r="O1508" s="3" t="n">
        <v>32100.495156</v>
      </c>
      <c r="P1508" s="3" t="n">
        <v>30183.223351</v>
      </c>
      <c r="Q1508" s="3" t="n">
        <v>30506.305244</v>
      </c>
      <c r="R1508" s="3" t="n">
        <v>30586.188007</v>
      </c>
      <c r="S1508" s="3" t="n">
        <v>29553.041056</v>
      </c>
      <c r="T1508" s="3" t="n">
        <v>28932.894134</v>
      </c>
      <c r="U1508" s="3" t="n">
        <v>28899.5857</v>
      </c>
      <c r="V1508" s="3" t="n">
        <v>29179.923668</v>
      </c>
      <c r="W1508" s="3" t="n">
        <v>29605.370759</v>
      </c>
      <c r="X1508" s="3" t="n">
        <v>30128.723163</v>
      </c>
      <c r="Y1508" s="3" t="n">
        <v>30443.125102</v>
      </c>
      <c r="Z1508" s="3" t="n">
        <v>30635.655714</v>
      </c>
      <c r="AA1508" s="3" t="n">
        <v>28000.843976</v>
      </c>
      <c r="AB1508" s="3" t="n">
        <v>30710.302159</v>
      </c>
      <c r="AC1508" s="3" t="n">
        <v>32303.247563</v>
      </c>
      <c r="AD1508" s="3" t="n">
        <v>32619.547493</v>
      </c>
      <c r="AE1508" s="3" t="n">
        <v>32889.444565</v>
      </c>
      <c r="AF1508" s="3" t="n">
        <v>33087.60966</v>
      </c>
      <c r="AG1508" s="3" t="n">
        <v>33291.323785</v>
      </c>
      <c r="AH1508" s="3" t="n">
        <v>33499.403285</v>
      </c>
      <c r="AI1508" s="3" t="n">
        <v>33830.753554</v>
      </c>
      <c r="AJ1508" s="3" t="n">
        <v>34141.656596</v>
      </c>
      <c r="AK1508" s="3" t="n">
        <v>34455.699109</v>
      </c>
      <c r="AL1508" s="3" t="n">
        <v>34773.367996</v>
      </c>
      <c r="AM1508" s="3" t="n"/>
      <c r="AN1508" s="3" t="n"/>
      <c r="AO1508" s="3" t="n"/>
      <c r="AP1508" s="3" t="n"/>
      <c r="AQ1508" s="3" t="n"/>
      <c r="AR1508" s="3" t="n"/>
      <c r="AS1508" s="3" t="n"/>
      <c r="AT1508" s="3" t="n"/>
      <c r="AU1508" s="3" t="n"/>
    </row>
    <row r="1509">
      <c r="A1509" s="3" t="n">
        <v>2031</v>
      </c>
      <c r="B1509" s="3" t="inlineStr">
        <is>
          <t>ITA</t>
        </is>
      </c>
      <c r="C1509" s="3" t="inlineStr">
        <is>
          <t>IMF.RES:WEO</t>
        </is>
      </c>
      <c r="D1509" s="3" t="inlineStr">
        <is>
          <t>ITA.PCPI.A</t>
        </is>
      </c>
      <c r="E1509" s="3" t="inlineStr">
        <is>
          <t>Italy</t>
        </is>
      </c>
      <c r="F1509" s="3" t="inlineStr">
        <is>
          <t>All Items, Consumer price index (CPI), Period average</t>
        </is>
      </c>
      <c r="G1509" s="3" t="n">
        <v>59.708333</v>
      </c>
      <c r="H1509" s="3" t="n">
        <v>61.108333</v>
      </c>
      <c r="I1509" s="3" t="n">
        <v>62.7</v>
      </c>
      <c r="J1509" s="3" t="n">
        <v>64.466667</v>
      </c>
      <c r="K1509" s="3" t="n">
        <v>65.925</v>
      </c>
      <c r="L1509" s="3" t="n">
        <v>67.38333299999999</v>
      </c>
      <c r="M1509" s="3" t="n">
        <v>68.86666700000001</v>
      </c>
      <c r="N1509" s="3" t="n">
        <v>70.266667</v>
      </c>
      <c r="O1509" s="3" t="n">
        <v>72.733333</v>
      </c>
      <c r="P1509" s="3" t="n">
        <v>73.291667</v>
      </c>
      <c r="Q1509" s="3" t="n">
        <v>74.47499999999999</v>
      </c>
      <c r="R1509" s="3" t="n">
        <v>76.65000000000001</v>
      </c>
      <c r="S1509" s="3" t="n">
        <v>79.191667</v>
      </c>
      <c r="T1509" s="3" t="n">
        <v>80.183333</v>
      </c>
      <c r="U1509" s="3" t="n">
        <v>80.341667</v>
      </c>
      <c r="V1509" s="3" t="n">
        <v>80.466667</v>
      </c>
      <c r="W1509" s="3" t="n">
        <v>80.416667</v>
      </c>
      <c r="X1509" s="3" t="n">
        <v>81.483333</v>
      </c>
      <c r="Y1509" s="3" t="n">
        <v>82.49166700000001</v>
      </c>
      <c r="Z1509" s="3" t="n">
        <v>83.033333</v>
      </c>
      <c r="AA1509" s="3" t="n">
        <v>82.891667</v>
      </c>
      <c r="AB1509" s="3" t="n">
        <v>84.50833299999999</v>
      </c>
      <c r="AC1509" s="3" t="n">
        <v>91.90000000000001</v>
      </c>
      <c r="AD1509" s="3" t="n">
        <v>97.333333</v>
      </c>
      <c r="AE1509" s="3" t="n">
        <v>98.38333299999999</v>
      </c>
      <c r="AF1509" s="3" t="n">
        <v>99.99166700000001</v>
      </c>
      <c r="AG1509" s="3" t="n">
        <v>102.628032</v>
      </c>
      <c r="AH1509" s="3" t="n">
        <v>105.046932</v>
      </c>
      <c r="AI1509" s="3" t="n">
        <v>107.463011</v>
      </c>
      <c r="AJ1509" s="3" t="n">
        <v>109.612271</v>
      </c>
      <c r="AK1509" s="3" t="n">
        <v>111.804517</v>
      </c>
      <c r="AL1509" s="3" t="n">
        <v>114.040607</v>
      </c>
      <c r="AM1509" s="3" t="n"/>
      <c r="AN1509" s="3" t="n"/>
      <c r="AO1509" s="3" t="n"/>
      <c r="AP1509" s="3" t="n"/>
      <c r="AQ1509" s="3" t="n"/>
      <c r="AR1509" s="3" t="n"/>
      <c r="AS1509" s="3" t="n"/>
      <c r="AT1509" s="3" t="n"/>
      <c r="AU1509" s="3" t="n"/>
    </row>
    <row r="1510">
      <c r="A1510" s="3" t="n">
        <v>2031</v>
      </c>
      <c r="B1510" s="3" t="inlineStr">
        <is>
          <t>ITA</t>
        </is>
      </c>
      <c r="C1510" s="3" t="inlineStr">
        <is>
          <t>IMF.RES:WEO</t>
        </is>
      </c>
      <c r="D1510" s="3" t="inlineStr">
        <is>
          <t>ITA.PCPIPCH.A</t>
        </is>
      </c>
      <c r="E1510" s="3" t="inlineStr">
        <is>
          <t>Italy</t>
        </is>
      </c>
      <c r="F1510" s="3" t="inlineStr">
        <is>
          <t>All Items, Consumer price index (CPI), Period average, percent change</t>
        </is>
      </c>
      <c r="G1510" s="3" t="n">
        <v>2.576951</v>
      </c>
      <c r="H1510" s="3" t="n">
        <v>2.344731</v>
      </c>
      <c r="I1510" s="3" t="n">
        <v>2.604664</v>
      </c>
      <c r="J1510" s="3" t="n">
        <v>2.81765</v>
      </c>
      <c r="K1510" s="3" t="n">
        <v>2.262151</v>
      </c>
      <c r="L1510" s="3" t="n">
        <v>2.21211</v>
      </c>
      <c r="M1510" s="3" t="n">
        <v>2.201336</v>
      </c>
      <c r="N1510" s="3" t="n">
        <v>2.032914</v>
      </c>
      <c r="O1510" s="3" t="n">
        <v>3.510436</v>
      </c>
      <c r="P1510" s="3" t="n">
        <v>0.767644</v>
      </c>
      <c r="Q1510" s="3" t="n">
        <v>1.614554</v>
      </c>
      <c r="R1510" s="3" t="n">
        <v>2.920443</v>
      </c>
      <c r="S1510" s="3" t="n">
        <v>3.315938</v>
      </c>
      <c r="T1510" s="3" t="n">
        <v>1.252236</v>
      </c>
      <c r="U1510" s="3" t="n">
        <v>0.197464</v>
      </c>
      <c r="V1510" s="3" t="n">
        <v>0.155586</v>
      </c>
      <c r="W1510" s="3" t="n">
        <v>-0.062138</v>
      </c>
      <c r="X1510" s="3" t="n">
        <v>1.326425</v>
      </c>
      <c r="Y1510" s="3" t="n">
        <v>1.237472</v>
      </c>
      <c r="Z1510" s="3" t="n">
        <v>0.656632</v>
      </c>
      <c r="AA1510" s="3" t="n">
        <v>-0.170614</v>
      </c>
      <c r="AB1510" s="3" t="n">
        <v>1.950337</v>
      </c>
      <c r="AC1510" s="3" t="n">
        <v>8.746672</v>
      </c>
      <c r="AD1510" s="3" t="n">
        <v>5.912223</v>
      </c>
      <c r="AE1510" s="3" t="n">
        <v>1.078767</v>
      </c>
      <c r="AF1510" s="3" t="n">
        <v>1.634762</v>
      </c>
      <c r="AG1510" s="3" t="n">
        <v>2.636585</v>
      </c>
      <c r="AH1510" s="3" t="n">
        <v>2.356958</v>
      </c>
      <c r="AI1510" s="3" t="n">
        <v>2.3</v>
      </c>
      <c r="AJ1510" s="3" t="n">
        <v>2</v>
      </c>
      <c r="AK1510" s="3" t="n">
        <v>2</v>
      </c>
      <c r="AL1510" s="3" t="n">
        <v>2</v>
      </c>
      <c r="AM1510" s="3" t="n"/>
      <c r="AN1510" s="3" t="n"/>
      <c r="AO1510" s="3" t="n"/>
      <c r="AP1510" s="3" t="n"/>
      <c r="AQ1510" s="3" t="n"/>
      <c r="AR1510" s="3" t="n"/>
      <c r="AS1510" s="3" t="n"/>
      <c r="AT1510" s="3" t="n"/>
      <c r="AU1510" s="3" t="n"/>
    </row>
    <row r="1511">
      <c r="A1511" s="3" t="n">
        <v>2031</v>
      </c>
      <c r="B1511" s="3" t="inlineStr">
        <is>
          <t>ITA</t>
        </is>
      </c>
      <c r="C1511" s="3" t="inlineStr">
        <is>
          <t>IMF.RES:WEO</t>
        </is>
      </c>
      <c r="D1511" s="3" t="inlineStr">
        <is>
          <t>ITA.PPPPC.A</t>
        </is>
      </c>
      <c r="E1511" s="3" t="inlineStr">
        <is>
          <t>Italy</t>
        </is>
      </c>
      <c r="F1511" s="3" t="inlineStr">
        <is>
          <t>Gross domestic product (GDP), Per capita, purchasing power parity (PPP) international dollar, ICP benchmarks 2017-2021</t>
        </is>
      </c>
      <c r="G1511" s="3" t="n">
        <v>31600.848786</v>
      </c>
      <c r="H1511" s="3" t="n">
        <v>32939.175596</v>
      </c>
      <c r="I1511" s="3" t="n">
        <v>33522.211798</v>
      </c>
      <c r="J1511" s="3" t="n">
        <v>34091.270256</v>
      </c>
      <c r="K1511" s="3" t="n">
        <v>35261.512287</v>
      </c>
      <c r="L1511" s="3" t="n">
        <v>36371.571283</v>
      </c>
      <c r="M1511" s="3" t="n">
        <v>38007.707212</v>
      </c>
      <c r="N1511" s="3" t="n">
        <v>39458.232583</v>
      </c>
      <c r="O1511" s="3" t="n">
        <v>39475.585553</v>
      </c>
      <c r="P1511" s="3" t="n">
        <v>37346.741619</v>
      </c>
      <c r="Q1511" s="3" t="n">
        <v>38205.263362</v>
      </c>
      <c r="R1511" s="3" t="n">
        <v>39095.639963</v>
      </c>
      <c r="S1511" s="3" t="n">
        <v>38478.404839</v>
      </c>
      <c r="T1511" s="3" t="n">
        <v>38312.127998</v>
      </c>
      <c r="U1511" s="3" t="n">
        <v>38934.541722</v>
      </c>
      <c r="V1511" s="3" t="n">
        <v>39677.061279</v>
      </c>
      <c r="W1511" s="3" t="n">
        <v>40638.075806</v>
      </c>
      <c r="X1511" s="3" t="n">
        <v>42097.108691</v>
      </c>
      <c r="Y1511" s="3" t="n">
        <v>43539.369444</v>
      </c>
      <c r="Z1511" s="3" t="n">
        <v>46593.558175</v>
      </c>
      <c r="AA1511" s="3" t="n">
        <v>44284.700668</v>
      </c>
      <c r="AB1511" s="3" t="n">
        <v>50377.310218</v>
      </c>
      <c r="AC1511" s="3" t="n">
        <v>56759.280185</v>
      </c>
      <c r="AD1511" s="3" t="n">
        <v>59435.719117</v>
      </c>
      <c r="AE1511" s="3" t="n">
        <v>61415.222536</v>
      </c>
      <c r="AF1511" s="3" t="n">
        <v>63537.964418</v>
      </c>
      <c r="AG1511" s="3" t="n">
        <v>65760.630531</v>
      </c>
      <c r="AH1511" s="3" t="n">
        <v>67624.716353</v>
      </c>
      <c r="AI1511" s="3" t="n">
        <v>69414.572713</v>
      </c>
      <c r="AJ1511" s="3" t="n">
        <v>71298.09869100001</v>
      </c>
      <c r="AK1511" s="3" t="n">
        <v>73276.08686900001</v>
      </c>
      <c r="AL1511" s="3" t="n">
        <v>75286.716212</v>
      </c>
      <c r="AM1511" s="3" t="n"/>
      <c r="AN1511" s="3" t="n"/>
      <c r="AO1511" s="3" t="n"/>
      <c r="AP1511" s="3" t="n"/>
      <c r="AQ1511" s="3" t="n"/>
      <c r="AR1511" s="3" t="n"/>
      <c r="AS1511" s="3" t="n"/>
      <c r="AT1511" s="3" t="n"/>
      <c r="AU1511" s="3" t="n"/>
    </row>
    <row r="1512">
      <c r="A1512" s="3" t="inlineStr">
        <is>
          <t>INDICATOR</t>
        </is>
      </c>
      <c r="B1512" s="3" t="inlineStr">
        <is>
          <t>ITA</t>
        </is>
      </c>
      <c r="C1512" s="3" t="inlineStr">
        <is>
          <t>IMF.STA:ER</t>
        </is>
      </c>
      <c r="D1512" s="3" t="inlineStr">
        <is>
          <t>ITA.XDC_USD.PA_RT.A</t>
        </is>
      </c>
      <c r="E1512" s="3" t="inlineStr">
        <is>
          <t>Italy</t>
        </is>
      </c>
      <c r="F1512" s="3" t="inlineStr">
        <is>
          <t>Domestic currency per US Dollar</t>
        </is>
      </c>
      <c r="G1512" s="3" t="n"/>
      <c r="H1512" s="3" t="n"/>
      <c r="I1512" s="3" t="n"/>
      <c r="J1512" s="3" t="n"/>
      <c r="K1512" s="3" t="n"/>
      <c r="L1512" s="3" t="n"/>
      <c r="M1512" s="3" t="n"/>
      <c r="N1512" s="3" t="n"/>
      <c r="O1512" s="3" t="n"/>
      <c r="P1512" s="3" t="n"/>
      <c r="Q1512" s="3" t="n"/>
      <c r="R1512" s="3" t="n"/>
      <c r="S1512" s="3" t="n"/>
      <c r="T1512" s="3" t="n"/>
      <c r="U1512" s="3" t="n"/>
      <c r="V1512" s="3" t="n"/>
      <c r="W1512" s="3" t="n"/>
      <c r="X1512" s="3" t="n"/>
      <c r="Y1512" s="3" t="n"/>
      <c r="Z1512" s="3" t="n"/>
      <c r="AA1512" s="3" t="n"/>
      <c r="AB1512" s="3" t="n"/>
      <c r="AC1512" s="3" t="n"/>
      <c r="AD1512" s="3" t="n"/>
      <c r="AE1512" s="3" t="n"/>
      <c r="AF1512" s="3" t="n"/>
      <c r="AG1512" s="3" t="n"/>
      <c r="AH1512" s="3" t="n"/>
      <c r="AI1512" s="3" t="n"/>
      <c r="AJ1512" s="3" t="n"/>
      <c r="AK1512" s="3" t="n"/>
      <c r="AL1512" s="3" t="n"/>
      <c r="AM1512" s="3" t="n"/>
      <c r="AN1512" s="3" t="n"/>
      <c r="AO1512" s="3" t="n"/>
      <c r="AP1512" s="3" t="n"/>
      <c r="AQ1512" s="3" t="n"/>
      <c r="AR1512" s="3" t="n"/>
      <c r="AS1512" s="3" t="n"/>
      <c r="AT1512" s="3" t="n"/>
      <c r="AU1512" s="3" t="n"/>
    </row>
    <row r="1513">
      <c r="A1513" s="3" t="n">
        <v>2031</v>
      </c>
      <c r="B1513" s="3" t="inlineStr">
        <is>
          <t>JAM</t>
        </is>
      </c>
      <c r="C1513" s="3" t="inlineStr">
        <is>
          <t>IMF.RES:WEO</t>
        </is>
      </c>
      <c r="D1513" s="3" t="inlineStr">
        <is>
          <t>JAM.BCA.A</t>
        </is>
      </c>
      <c r="E1513" s="3" t="inlineStr">
        <is>
          <t>Jamaica</t>
        </is>
      </c>
      <c r="F1513" s="3" t="inlineStr">
        <is>
          <t>Current account balance (credit less debit), US dollar</t>
        </is>
      </c>
      <c r="G1513" s="3" t="n">
        <v>-0.3674</v>
      </c>
      <c r="H1513" s="3" t="n">
        <v>-0.7588</v>
      </c>
      <c r="I1513" s="3" t="n">
        <v>-1.074035</v>
      </c>
      <c r="J1513" s="3" t="n">
        <v>-0.773356</v>
      </c>
      <c r="K1513" s="3" t="n">
        <v>-0.501561</v>
      </c>
      <c r="L1513" s="3" t="n">
        <v>-1.071322</v>
      </c>
      <c r="M1513" s="3" t="n">
        <v>-1.18272</v>
      </c>
      <c r="N1513" s="3" t="n">
        <v>-2.029993</v>
      </c>
      <c r="O1513" s="3" t="n">
        <v>-2.79387</v>
      </c>
      <c r="P1513" s="3" t="n">
        <v>-1.127532</v>
      </c>
      <c r="Q1513" s="3" t="n">
        <v>-0.934871</v>
      </c>
      <c r="R1513" s="3" t="n">
        <v>-1.96516</v>
      </c>
      <c r="S1513" s="3" t="n">
        <v>-1.440189</v>
      </c>
      <c r="T1513" s="3" t="n">
        <v>-1.356845</v>
      </c>
      <c r="U1513" s="3" t="n">
        <v>-1.114354</v>
      </c>
      <c r="V1513" s="3" t="n">
        <v>-0.430101</v>
      </c>
      <c r="W1513" s="3" t="n">
        <v>-0.043463</v>
      </c>
      <c r="X1513" s="3" t="n">
        <v>-0.397483</v>
      </c>
      <c r="Y1513" s="3" t="n">
        <v>-0.234826</v>
      </c>
      <c r="Z1513" s="3" t="n">
        <v>-0.302635</v>
      </c>
      <c r="AA1513" s="3" t="n">
        <v>-0.15691</v>
      </c>
      <c r="AB1513" s="3" t="n">
        <v>0.149262</v>
      </c>
      <c r="AC1513" s="3" t="n">
        <v>-0.136077</v>
      </c>
      <c r="AD1513" s="3" t="n">
        <v>0.568932</v>
      </c>
      <c r="AE1513" s="3" t="n">
        <v>0.644927</v>
      </c>
      <c r="AF1513" s="3" t="n">
        <v>0.270042</v>
      </c>
      <c r="AG1513" s="3" t="n">
        <v>-1.377576</v>
      </c>
      <c r="AH1513" s="3" t="n">
        <v>-1.581966</v>
      </c>
      <c r="AI1513" s="3" t="n">
        <v>-0.9050550000000001</v>
      </c>
      <c r="AJ1513" s="3" t="n">
        <v>-0.258092</v>
      </c>
      <c r="AK1513" s="3" t="n">
        <v>0.055251</v>
      </c>
      <c r="AL1513" s="3" t="n">
        <v>0.125947</v>
      </c>
      <c r="AM1513" s="3" t="n"/>
      <c r="AN1513" s="3" t="n"/>
      <c r="AO1513" s="3" t="n"/>
      <c r="AP1513" s="3" t="n"/>
      <c r="AQ1513" s="3" t="n"/>
      <c r="AR1513" s="3" t="n"/>
      <c r="AS1513" s="3" t="n"/>
      <c r="AT1513" s="3" t="n"/>
      <c r="AU1513" s="3" t="n"/>
    </row>
    <row r="1514">
      <c r="A1514" s="3" t="n">
        <v>2031</v>
      </c>
      <c r="B1514" s="3" t="inlineStr">
        <is>
          <t>JAM</t>
        </is>
      </c>
      <c r="C1514" s="3" t="inlineStr">
        <is>
          <t>IMF.RES:WEO</t>
        </is>
      </c>
      <c r="D1514" s="3" t="inlineStr">
        <is>
          <t>JAM.BCA_NGDPD.A</t>
        </is>
      </c>
      <c r="E1514" s="3" t="inlineStr">
        <is>
          <t>Jamaica</t>
        </is>
      </c>
      <c r="F1514" s="3" t="inlineStr">
        <is>
          <t>Current account balance (credit less debit), Percent of GDP</t>
        </is>
      </c>
      <c r="G1514" s="3" t="n">
        <v>-3.9504</v>
      </c>
      <c r="H1514" s="3" t="n">
        <v>-8.043828</v>
      </c>
      <c r="I1514" s="3" t="n">
        <v>-10.771363</v>
      </c>
      <c r="J1514" s="3" t="n">
        <v>-7.99338</v>
      </c>
      <c r="K1514" s="3" t="n">
        <v>-4.804826</v>
      </c>
      <c r="L1514" s="3" t="n">
        <v>-9.29636</v>
      </c>
      <c r="M1514" s="3" t="n">
        <v>-9.650404999999999</v>
      </c>
      <c r="N1514" s="3" t="n">
        <v>-15.361307</v>
      </c>
      <c r="O1514" s="3" t="n">
        <v>-19.815664</v>
      </c>
      <c r="P1514" s="3" t="n">
        <v>-9.077655999999999</v>
      </c>
      <c r="Q1514" s="3" t="n">
        <v>-6.906882</v>
      </c>
      <c r="R1514" s="3" t="n">
        <v>-13.289488</v>
      </c>
      <c r="S1514" s="3" t="n">
        <v>-9.507127000000001</v>
      </c>
      <c r="T1514" s="3" t="n">
        <v>-9.304974</v>
      </c>
      <c r="U1514" s="3" t="n">
        <v>-7.833979</v>
      </c>
      <c r="V1514" s="3" t="n">
        <v>-2.881337</v>
      </c>
      <c r="W1514" s="3" t="n">
        <v>-0.291086</v>
      </c>
      <c r="X1514" s="3" t="n">
        <v>-2.5275</v>
      </c>
      <c r="Y1514" s="3" t="n">
        <v>-1.400561</v>
      </c>
      <c r="Z1514" s="3" t="n">
        <v>-1.780024</v>
      </c>
      <c r="AA1514" s="3" t="n">
        <v>-1.0406</v>
      </c>
      <c r="AB1514" s="3" t="n">
        <v>0.933955</v>
      </c>
      <c r="AC1514" s="3" t="n">
        <v>-0.727313</v>
      </c>
      <c r="AD1514" s="3" t="n">
        <v>2.671194</v>
      </c>
      <c r="AE1514" s="3" t="n">
        <v>2.944816</v>
      </c>
      <c r="AF1514" s="3" t="n">
        <v>1.210237</v>
      </c>
      <c r="AG1514" s="3" t="n">
        <v>-5.98214</v>
      </c>
      <c r="AH1514" s="3" t="n">
        <v>-6.610334</v>
      </c>
      <c r="AI1514" s="3" t="n">
        <v>-3.643876</v>
      </c>
      <c r="AJ1514" s="3" t="n">
        <v>-1.003588</v>
      </c>
      <c r="AK1514" s="3" t="n">
        <v>0.207867</v>
      </c>
      <c r="AL1514" s="3" t="n">
        <v>0.45846</v>
      </c>
      <c r="AM1514" s="3" t="n"/>
      <c r="AN1514" s="3" t="n"/>
      <c r="AO1514" s="3" t="n"/>
      <c r="AP1514" s="3" t="n"/>
      <c r="AQ1514" s="3" t="n"/>
      <c r="AR1514" s="3" t="n"/>
      <c r="AS1514" s="3" t="n"/>
      <c r="AT1514" s="3" t="n"/>
      <c r="AU1514" s="3" t="n"/>
    </row>
    <row r="1515">
      <c r="A1515" s="3" t="n">
        <v>2031</v>
      </c>
      <c r="B1515" s="3" t="inlineStr">
        <is>
          <t>JAM</t>
        </is>
      </c>
      <c r="C1515" s="3" t="inlineStr">
        <is>
          <t>IMF.RES:WEO</t>
        </is>
      </c>
      <c r="D1515" s="3" t="inlineStr">
        <is>
          <t>JAM.GGR_NGDP.A</t>
        </is>
      </c>
      <c r="E1515" s="3" t="inlineStr">
        <is>
          <t>Jamaica</t>
        </is>
      </c>
      <c r="F1515" s="3" t="inlineStr">
        <is>
          <t>Revenue, General government, Percent of GDP</t>
        </is>
      </c>
      <c r="G1515" s="3" t="n">
        <v>24.927507</v>
      </c>
      <c r="H1515" s="3" t="n">
        <v>23.077721</v>
      </c>
      <c r="I1515" s="3" t="n">
        <v>23.523688</v>
      </c>
      <c r="J1515" s="3" t="n">
        <v>25.66979</v>
      </c>
      <c r="K1515" s="3" t="n">
        <v>26.129471</v>
      </c>
      <c r="L1515" s="3" t="n">
        <v>25.363382</v>
      </c>
      <c r="M1515" s="3" t="n">
        <v>25.403008</v>
      </c>
      <c r="N1515" s="3" t="n">
        <v>26.853521</v>
      </c>
      <c r="O1515" s="3" t="n">
        <v>26.598313</v>
      </c>
      <c r="P1515" s="3" t="n">
        <v>26.844636</v>
      </c>
      <c r="Q1515" s="3" t="n">
        <v>26.163258</v>
      </c>
      <c r="R1515" s="3" t="n">
        <v>24.928086</v>
      </c>
      <c r="S1515" s="3" t="n">
        <v>25.078674</v>
      </c>
      <c r="T1515" s="3" t="n">
        <v>26.459955</v>
      </c>
      <c r="U1515" s="3" t="n">
        <v>25.581845</v>
      </c>
      <c r="V1515" s="3" t="n">
        <v>25.67143</v>
      </c>
      <c r="W1515" s="3" t="n">
        <v>26.289377</v>
      </c>
      <c r="X1515" s="3" t="n">
        <v>27.319582</v>
      </c>
      <c r="Y1515" s="3" t="n">
        <v>28.637349</v>
      </c>
      <c r="Z1515" s="3" t="n">
        <v>28.330538</v>
      </c>
      <c r="AA1515" s="3" t="n">
        <v>27.260581</v>
      </c>
      <c r="AB1515" s="3" t="n">
        <v>28.404488</v>
      </c>
      <c r="AC1515" s="3" t="n">
        <v>27.37884</v>
      </c>
      <c r="AD1515" s="3" t="n">
        <v>27.710602</v>
      </c>
      <c r="AE1515" s="3" t="n">
        <v>30.279249</v>
      </c>
      <c r="AF1515" s="3" t="n">
        <v>30.075162</v>
      </c>
      <c r="AG1515" s="3" t="n">
        <v>28.262926</v>
      </c>
      <c r="AH1515" s="3" t="n">
        <v>28.619336</v>
      </c>
      <c r="AI1515" s="3" t="n">
        <v>28.719575</v>
      </c>
      <c r="AJ1515" s="3" t="n">
        <v>28.742449</v>
      </c>
      <c r="AK1515" s="3" t="n">
        <v>28.892873</v>
      </c>
      <c r="AL1515" s="3" t="n">
        <v>28.726957</v>
      </c>
      <c r="AM1515" s="3" t="n"/>
      <c r="AN1515" s="3" t="n"/>
      <c r="AO1515" s="3" t="n"/>
      <c r="AP1515" s="3" t="n"/>
      <c r="AQ1515" s="3" t="n"/>
      <c r="AR1515" s="3" t="n"/>
      <c r="AS1515" s="3" t="n"/>
      <c r="AT1515" s="3" t="n"/>
      <c r="AU1515" s="3" t="n"/>
    </row>
    <row r="1516">
      <c r="A1516" s="3" t="n">
        <v>2031</v>
      </c>
      <c r="B1516" s="3" t="inlineStr">
        <is>
          <t>JAM</t>
        </is>
      </c>
      <c r="C1516" s="3" t="inlineStr">
        <is>
          <t>IMF.RES:WEO</t>
        </is>
      </c>
      <c r="D1516" s="3" t="inlineStr">
        <is>
          <t>JAM.GGX_NGDP.A</t>
        </is>
      </c>
      <c r="E1516" s="3" t="inlineStr">
        <is>
          <t>Jamaica</t>
        </is>
      </c>
      <c r="F1516" s="3" t="inlineStr">
        <is>
          <t>Expenditure, General government, Percent of GDP</t>
        </is>
      </c>
      <c r="G1516" s="3" t="n">
        <v>25.71019</v>
      </c>
      <c r="H1516" s="3" t="n">
        <v>27.847536</v>
      </c>
      <c r="I1516" s="3" t="n">
        <v>30.078141</v>
      </c>
      <c r="J1516" s="3" t="n">
        <v>31.093696</v>
      </c>
      <c r="K1516" s="3" t="n">
        <v>30.684625</v>
      </c>
      <c r="L1516" s="3" t="n">
        <v>28.585438</v>
      </c>
      <c r="M1516" s="3" t="n">
        <v>30.144555</v>
      </c>
      <c r="N1516" s="3" t="n">
        <v>30.556242</v>
      </c>
      <c r="O1516" s="3" t="n">
        <v>33.920036</v>
      </c>
      <c r="P1516" s="3" t="n">
        <v>37.688677</v>
      </c>
      <c r="Q1516" s="3" t="n">
        <v>32.335606</v>
      </c>
      <c r="R1516" s="3" t="n">
        <v>31.169387</v>
      </c>
      <c r="S1516" s="3" t="n">
        <v>29.052225</v>
      </c>
      <c r="T1516" s="3" t="n">
        <v>26.343984</v>
      </c>
      <c r="U1516" s="3" t="n">
        <v>26.064918</v>
      </c>
      <c r="V1516" s="3" t="n">
        <v>25.946479</v>
      </c>
      <c r="W1516" s="3" t="n">
        <v>26.472193</v>
      </c>
      <c r="X1516" s="3" t="n">
        <v>26.8946</v>
      </c>
      <c r="Y1516" s="3" t="n">
        <v>27.532966</v>
      </c>
      <c r="Z1516" s="3" t="n">
        <v>27.484459</v>
      </c>
      <c r="AA1516" s="3" t="n">
        <v>30.127206</v>
      </c>
      <c r="AB1516" s="3" t="n">
        <v>27.563306</v>
      </c>
      <c r="AC1516" s="3" t="n">
        <v>27.121312</v>
      </c>
      <c r="AD1516" s="3" t="n">
        <v>27.675494</v>
      </c>
      <c r="AE1516" s="3" t="n">
        <v>30.059689</v>
      </c>
      <c r="AF1516" s="3" t="n">
        <v>33.845799</v>
      </c>
      <c r="AG1516" s="3" t="n">
        <v>33.14834</v>
      </c>
      <c r="AH1516" s="3" t="n">
        <v>31.707627</v>
      </c>
      <c r="AI1516" s="3" t="n">
        <v>30.771778</v>
      </c>
      <c r="AJ1516" s="3" t="n">
        <v>30.468989</v>
      </c>
      <c r="AK1516" s="3" t="n">
        <v>30.528759</v>
      </c>
      <c r="AL1516" s="3" t="n">
        <v>30.265626</v>
      </c>
      <c r="AM1516" s="3" t="n"/>
      <c r="AN1516" s="3" t="n"/>
      <c r="AO1516" s="3" t="n"/>
      <c r="AP1516" s="3" t="n"/>
      <c r="AQ1516" s="3" t="n"/>
      <c r="AR1516" s="3" t="n"/>
      <c r="AS1516" s="3" t="n"/>
      <c r="AT1516" s="3" t="n"/>
      <c r="AU1516" s="3" t="n"/>
    </row>
    <row r="1517">
      <c r="A1517" s="3" t="n">
        <v>2031</v>
      </c>
      <c r="B1517" s="3" t="inlineStr">
        <is>
          <t>JAM</t>
        </is>
      </c>
      <c r="C1517" s="3" t="inlineStr">
        <is>
          <t>IMF.RES:WEO</t>
        </is>
      </c>
      <c r="D1517" s="3" t="inlineStr">
        <is>
          <t>JAM.LP.A</t>
        </is>
      </c>
      <c r="E1517" s="3" t="inlineStr">
        <is>
          <t>Jamaica</t>
        </is>
      </c>
      <c r="F1517" s="3" t="inlineStr">
        <is>
          <t>Population, Persons for countries / Index for country groups</t>
        </is>
      </c>
      <c r="G1517" s="3" t="n">
        <v>2.582219</v>
      </c>
      <c r="H1517" s="3" t="n">
        <v>2.604946</v>
      </c>
      <c r="I1517" s="3" t="n">
        <v>2.619976</v>
      </c>
      <c r="J1517" s="3" t="n">
        <v>2.629413</v>
      </c>
      <c r="K1517" s="3" t="n">
        <v>2.638877</v>
      </c>
      <c r="L1517" s="3" t="n">
        <v>2.648324</v>
      </c>
      <c r="M1517" s="3" t="n">
        <v>2.65776</v>
      </c>
      <c r="N1517" s="3" t="n">
        <v>2.667202</v>
      </c>
      <c r="O1517" s="3" t="n">
        <v>2.676666</v>
      </c>
      <c r="P1517" s="3" t="n">
        <v>2.686105</v>
      </c>
      <c r="Q1517" s="3" t="n">
        <v>2.695543</v>
      </c>
      <c r="R1517" s="3" t="n">
        <v>2.702903</v>
      </c>
      <c r="S1517" s="3" t="n">
        <v>2.710004</v>
      </c>
      <c r="T1517" s="3" t="n">
        <v>2.713381</v>
      </c>
      <c r="U1517" s="3" t="n">
        <v>2.715657</v>
      </c>
      <c r="V1517" s="3" t="n">
        <v>2.71947</v>
      </c>
      <c r="W1517" s="3" t="n">
        <v>2.721664</v>
      </c>
      <c r="X1517" s="3" t="n">
        <v>2.725882</v>
      </c>
      <c r="Y1517" s="3" t="n">
        <v>2.730982</v>
      </c>
      <c r="Z1517" s="3" t="n">
        <v>2.734092</v>
      </c>
      <c r="AA1517" s="3" t="n">
        <v>2.737206</v>
      </c>
      <c r="AB1517" s="3" t="n">
        <v>2.740323</v>
      </c>
      <c r="AC1517" s="3" t="n">
        <v>2.743443</v>
      </c>
      <c r="AD1517" s="3" t="n">
        <v>2.746567</v>
      </c>
      <c r="AE1517" s="3" t="n">
        <v>2.749695</v>
      </c>
      <c r="AF1517" s="3" t="n">
        <v>2.752827</v>
      </c>
      <c r="AG1517" s="3" t="n">
        <v>2.755961</v>
      </c>
      <c r="AH1517" s="3" t="n">
        <v>2.7591</v>
      </c>
      <c r="AI1517" s="3" t="n">
        <v>2.762242</v>
      </c>
      <c r="AJ1517" s="3" t="n">
        <v>2.765387</v>
      </c>
      <c r="AK1517" s="3" t="n">
        <v>2.768537</v>
      </c>
      <c r="AL1517" s="3" t="n">
        <v>2.771689</v>
      </c>
      <c r="AM1517" s="3" t="n"/>
      <c r="AN1517" s="3" t="n"/>
      <c r="AO1517" s="3" t="n"/>
      <c r="AP1517" s="3" t="n"/>
      <c r="AQ1517" s="3" t="n"/>
      <c r="AR1517" s="3" t="n"/>
      <c r="AS1517" s="3" t="n"/>
      <c r="AT1517" s="3" t="n"/>
      <c r="AU1517" s="3" t="n"/>
    </row>
    <row r="1518">
      <c r="A1518" s="3" t="n">
        <v>2031</v>
      </c>
      <c r="B1518" s="3" t="inlineStr">
        <is>
          <t>JAM</t>
        </is>
      </c>
      <c r="C1518" s="3" t="inlineStr">
        <is>
          <t>IMF.RES:WEO</t>
        </is>
      </c>
      <c r="D1518" s="3" t="inlineStr">
        <is>
          <t>JAM.NGDP.A</t>
        </is>
      </c>
      <c r="E1518" s="3" t="inlineStr">
        <is>
          <t>Jamaica</t>
        </is>
      </c>
      <c r="F1518" s="3" t="inlineStr">
        <is>
          <t>Gross domestic product (GDP), Current prices, Domestic currency</t>
        </is>
      </c>
      <c r="G1518" s="3" t="n">
        <v>397.134406</v>
      </c>
      <c r="H1518" s="3" t="n">
        <v>433.897313</v>
      </c>
      <c r="I1518" s="3" t="n">
        <v>482.765419</v>
      </c>
      <c r="J1518" s="3" t="n">
        <v>558.640662</v>
      </c>
      <c r="K1518" s="3" t="n">
        <v>638.818745</v>
      </c>
      <c r="L1518" s="3" t="n">
        <v>718.447944</v>
      </c>
      <c r="M1518" s="3" t="n">
        <v>804.690423</v>
      </c>
      <c r="N1518" s="3" t="n">
        <v>908.615171</v>
      </c>
      <c r="O1518" s="3" t="n">
        <v>1023.328822</v>
      </c>
      <c r="P1518" s="3" t="n">
        <v>1092.962178</v>
      </c>
      <c r="Q1518" s="3" t="n">
        <v>1182.69597</v>
      </c>
      <c r="R1518" s="3" t="n">
        <v>1272.900673</v>
      </c>
      <c r="S1518" s="3" t="n">
        <v>1348.228059</v>
      </c>
      <c r="T1518" s="3" t="n">
        <v>1469.260542</v>
      </c>
      <c r="U1518" s="3" t="n">
        <v>1581.91716</v>
      </c>
      <c r="V1518" s="3" t="n">
        <v>1750.288</v>
      </c>
      <c r="W1518" s="3" t="n">
        <v>1863.791</v>
      </c>
      <c r="X1518" s="3" t="n">
        <v>2019.739</v>
      </c>
      <c r="Y1518" s="3" t="n">
        <v>2172.187</v>
      </c>
      <c r="Z1518" s="3" t="n">
        <v>2269.808</v>
      </c>
      <c r="AA1518" s="3" t="n">
        <v>2136.073</v>
      </c>
      <c r="AB1518" s="3" t="n">
        <v>2407.196</v>
      </c>
      <c r="AC1518" s="3" t="n">
        <v>2886.498</v>
      </c>
      <c r="AD1518" s="3" t="n">
        <v>3301.897</v>
      </c>
      <c r="AE1518" s="3" t="n">
        <v>3443.922</v>
      </c>
      <c r="AF1518" s="3" t="n">
        <v>3568.136404</v>
      </c>
      <c r="AG1518" s="3" t="n">
        <v>3730.04192</v>
      </c>
      <c r="AH1518" s="3" t="n">
        <v>4030.13822</v>
      </c>
      <c r="AI1518" s="3" t="n">
        <v>4300.77237</v>
      </c>
      <c r="AJ1518" s="3" t="n">
        <v>4573.988181</v>
      </c>
      <c r="AK1518" s="3" t="n">
        <v>4864.560615</v>
      </c>
      <c r="AL1518" s="3" t="n">
        <v>5173.592286</v>
      </c>
      <c r="AM1518" s="3" t="n"/>
      <c r="AN1518" s="3" t="n"/>
      <c r="AO1518" s="3" t="n"/>
      <c r="AP1518" s="3" t="n"/>
      <c r="AQ1518" s="3" t="n"/>
      <c r="AR1518" s="3" t="n"/>
      <c r="AS1518" s="3" t="n"/>
      <c r="AT1518" s="3" t="n"/>
      <c r="AU1518" s="3" t="n"/>
    </row>
    <row r="1519">
      <c r="A1519" s="3" t="n">
        <v>2031</v>
      </c>
      <c r="B1519" s="3" t="inlineStr">
        <is>
          <t>JAM</t>
        </is>
      </c>
      <c r="C1519" s="3" t="inlineStr">
        <is>
          <t>IMF.RES:WEO</t>
        </is>
      </c>
      <c r="D1519" s="3" t="inlineStr">
        <is>
          <t>JAM.NGDP_D.A</t>
        </is>
      </c>
      <c r="E1519" s="3" t="inlineStr">
        <is>
          <t>Jamaica</t>
        </is>
      </c>
      <c r="F1519" s="3" t="inlineStr">
        <is>
          <t>Gross domestic product (GDP), Price deflator, Index</t>
        </is>
      </c>
      <c r="G1519" s="3" t="n">
        <v>24.934257</v>
      </c>
      <c r="H1519" s="3" t="n">
        <v>26.897963</v>
      </c>
      <c r="I1519" s="3" t="n">
        <v>29.726767</v>
      </c>
      <c r="J1519" s="3" t="n">
        <v>33.182207</v>
      </c>
      <c r="K1519" s="3" t="n">
        <v>37.448835</v>
      </c>
      <c r="L1519" s="3" t="n">
        <v>41.743834</v>
      </c>
      <c r="M1519" s="3" t="n">
        <v>45.437483</v>
      </c>
      <c r="N1519" s="3" t="n">
        <v>50.575262</v>
      </c>
      <c r="O1519" s="3" t="n">
        <v>57.430289</v>
      </c>
      <c r="P1519" s="3" t="n">
        <v>63.504071</v>
      </c>
      <c r="Q1519" s="3" t="n">
        <v>69.718542</v>
      </c>
      <c r="R1519" s="3" t="n">
        <v>73.98123099999999</v>
      </c>
      <c r="S1519" s="3" t="n">
        <v>78.75368400000001</v>
      </c>
      <c r="T1519" s="3" t="n">
        <v>85.63179</v>
      </c>
      <c r="U1519" s="3" t="n">
        <v>91.670857</v>
      </c>
      <c r="V1519" s="3" t="n">
        <v>100</v>
      </c>
      <c r="W1519" s="3" t="n">
        <v>103.624333</v>
      </c>
      <c r="X1519" s="3" t="n">
        <v>109.7776</v>
      </c>
      <c r="Y1519" s="3" t="n">
        <v>115.16611</v>
      </c>
      <c r="Z1519" s="3" t="n">
        <v>118.203027</v>
      </c>
      <c r="AA1519" s="3" t="n">
        <v>121.312949</v>
      </c>
      <c r="AB1519" s="3" t="n">
        <v>129.332689</v>
      </c>
      <c r="AC1519" s="3" t="n">
        <v>145.702194</v>
      </c>
      <c r="AD1519" s="3" t="n">
        <v>162.21536</v>
      </c>
      <c r="AE1519" s="3" t="n">
        <v>170.102871</v>
      </c>
      <c r="AF1519" s="3" t="n">
        <v>176.343899</v>
      </c>
      <c r="AG1519" s="3" t="n">
        <v>186.49398</v>
      </c>
      <c r="AH1519" s="3" t="n">
        <v>195.358039</v>
      </c>
      <c r="AI1519" s="3" t="n">
        <v>204.698107</v>
      </c>
      <c r="AJ1519" s="3" t="n">
        <v>214.484723</v>
      </c>
      <c r="AK1519" s="3" t="n">
        <v>224.739238</v>
      </c>
      <c r="AL1519" s="3" t="n">
        <v>235.484021</v>
      </c>
      <c r="AM1519" s="3" t="n"/>
      <c r="AN1519" s="3" t="n"/>
      <c r="AO1519" s="3" t="n"/>
      <c r="AP1519" s="3" t="n"/>
      <c r="AQ1519" s="3" t="n"/>
      <c r="AR1519" s="3" t="n"/>
      <c r="AS1519" s="3" t="n"/>
      <c r="AT1519" s="3" t="n"/>
      <c r="AU1519" s="3" t="n"/>
    </row>
    <row r="1520">
      <c r="A1520" s="3" t="n">
        <v>2031</v>
      </c>
      <c r="B1520" s="3" t="inlineStr">
        <is>
          <t>JAM</t>
        </is>
      </c>
      <c r="C1520" s="3" t="inlineStr">
        <is>
          <t>IMF.RES:WEO</t>
        </is>
      </c>
      <c r="D1520" s="3" t="inlineStr">
        <is>
          <t>JAM.NGDP_R.A</t>
        </is>
      </c>
      <c r="E1520" s="3" t="inlineStr">
        <is>
          <t>Jamaica</t>
        </is>
      </c>
      <c r="F1520" s="3" t="inlineStr">
        <is>
          <t>Gross domestic product (GDP), Constant prices, Domestic currency</t>
        </is>
      </c>
      <c r="G1520" s="3" t="n">
        <v>1592.726048</v>
      </c>
      <c r="H1520" s="3" t="n">
        <v>1613.123308</v>
      </c>
      <c r="I1520" s="3" t="n">
        <v>1624.009184</v>
      </c>
      <c r="J1520" s="3" t="n">
        <v>1683.554852</v>
      </c>
      <c r="K1520" s="3" t="n">
        <v>1705.844086</v>
      </c>
      <c r="L1520" s="3" t="n">
        <v>1721.08759</v>
      </c>
      <c r="M1520" s="3" t="n">
        <v>1770.983723</v>
      </c>
      <c r="N1520" s="3" t="n">
        <v>1796.560496</v>
      </c>
      <c r="O1520" s="3" t="n">
        <v>1781.862574</v>
      </c>
      <c r="P1520" s="3" t="n">
        <v>1721.089932</v>
      </c>
      <c r="Q1520" s="3" t="n">
        <v>1696.386558</v>
      </c>
      <c r="R1520" s="3" t="n">
        <v>1720.572449</v>
      </c>
      <c r="S1520" s="3" t="n">
        <v>1711.955537</v>
      </c>
      <c r="T1520" s="3" t="n">
        <v>1715.788658</v>
      </c>
      <c r="U1520" s="3" t="n">
        <v>1725.648934</v>
      </c>
      <c r="V1520" s="3" t="n">
        <v>1750.288</v>
      </c>
      <c r="W1520" s="3" t="n">
        <v>1798.603608</v>
      </c>
      <c r="X1520" s="3" t="n">
        <v>1839.846195</v>
      </c>
      <c r="Y1520" s="3" t="n">
        <v>1886.133866</v>
      </c>
      <c r="Z1520" s="3" t="n">
        <v>1920.262166</v>
      </c>
      <c r="AA1520" s="3" t="n">
        <v>1760.795545</v>
      </c>
      <c r="AB1520" s="3" t="n">
        <v>1861.243293</v>
      </c>
      <c r="AC1520" s="3" t="n">
        <v>1981.094393</v>
      </c>
      <c r="AD1520" s="3" t="n">
        <v>2035.502066</v>
      </c>
      <c r="AE1520" s="3" t="n">
        <v>2024.611335</v>
      </c>
      <c r="AF1520" s="3" t="n">
        <v>2023.396568</v>
      </c>
      <c r="AG1520" s="3" t="n">
        <v>2000.08704</v>
      </c>
      <c r="AH1520" s="3" t="n">
        <v>2062.949775</v>
      </c>
      <c r="AI1520" s="3" t="n">
        <v>2101.031828</v>
      </c>
      <c r="AJ1520" s="3" t="n">
        <v>2132.547306</v>
      </c>
      <c r="AK1520" s="3" t="n">
        <v>2164.535515</v>
      </c>
      <c r="AL1520" s="3" t="n">
        <v>2197.003548</v>
      </c>
      <c r="AM1520" s="3" t="n"/>
      <c r="AN1520" s="3" t="n"/>
      <c r="AO1520" s="3" t="n"/>
      <c r="AP1520" s="3" t="n"/>
      <c r="AQ1520" s="3" t="n"/>
      <c r="AR1520" s="3" t="n"/>
      <c r="AS1520" s="3" t="n"/>
      <c r="AT1520" s="3" t="n"/>
      <c r="AU1520" s="3" t="n"/>
    </row>
    <row r="1521">
      <c r="A1521" s="3" t="n">
        <v>2031</v>
      </c>
      <c r="B1521" s="3" t="inlineStr">
        <is>
          <t>JAM</t>
        </is>
      </c>
      <c r="C1521" s="3" t="inlineStr">
        <is>
          <t>IMF.RES:WEO</t>
        </is>
      </c>
      <c r="D1521" s="3" t="inlineStr">
        <is>
          <t>JAM.NGDP_RPCH.A</t>
        </is>
      </c>
      <c r="E1521" s="3" t="inlineStr">
        <is>
          <t>Jamaica</t>
        </is>
      </c>
      <c r="F1521" s="3" t="inlineStr">
        <is>
          <t>Gross domestic product (GDP), Constant prices, Percent change</t>
        </is>
      </c>
      <c r="G1521" s="3" t="n">
        <v>0.7763409999999999</v>
      </c>
      <c r="H1521" s="3" t="n">
        <v>1.280651</v>
      </c>
      <c r="I1521" s="3" t="n">
        <v>0.674832</v>
      </c>
      <c r="J1521" s="3" t="n">
        <v>3.666584</v>
      </c>
      <c r="K1521" s="3" t="n">
        <v>1.323939</v>
      </c>
      <c r="L1521" s="3" t="n">
        <v>0.893605</v>
      </c>
      <c r="M1521" s="3" t="n">
        <v>2.899105</v>
      </c>
      <c r="N1521" s="3" t="n">
        <v>1.444213</v>
      </c>
      <c r="O1521" s="3" t="n">
        <v>-0.818115</v>
      </c>
      <c r="P1521" s="3" t="n">
        <v>-3.410625</v>
      </c>
      <c r="Q1521" s="3" t="n">
        <v>-1.435333</v>
      </c>
      <c r="R1521" s="3" t="n">
        <v>1.42573</v>
      </c>
      <c r="S1521" s="3" t="n">
        <v>-0.500817</v>
      </c>
      <c r="T1521" s="3" t="n">
        <v>0.223903</v>
      </c>
      <c r="U1521" s="3" t="n">
        <v>0.5746790000000001</v>
      </c>
      <c r="V1521" s="3" t="n">
        <v>1.427815</v>
      </c>
      <c r="W1521" s="3" t="n">
        <v>2.760438</v>
      </c>
      <c r="X1521" s="3" t="n">
        <v>2.293034</v>
      </c>
      <c r="Y1521" s="3" t="n">
        <v>2.515845</v>
      </c>
      <c r="Z1521" s="3" t="n">
        <v>1.809431</v>
      </c>
      <c r="AA1521" s="3" t="n">
        <v>-8.304418999999999</v>
      </c>
      <c r="AB1521" s="3" t="n">
        <v>5.70468</v>
      </c>
      <c r="AC1521" s="3" t="n">
        <v>6.439303</v>
      </c>
      <c r="AD1521" s="3" t="n">
        <v>2.746344</v>
      </c>
      <c r="AE1521" s="3" t="n">
        <v>-0.535039</v>
      </c>
      <c r="AF1521" s="3" t="n">
        <v>-0.06</v>
      </c>
      <c r="AG1521" s="3" t="n">
        <v>-1.152</v>
      </c>
      <c r="AH1521" s="3" t="n">
        <v>3.143</v>
      </c>
      <c r="AI1521" s="3" t="n">
        <v>1.846</v>
      </c>
      <c r="AJ1521" s="3" t="n">
        <v>1.5</v>
      </c>
      <c r="AK1521" s="3" t="n">
        <v>1.5</v>
      </c>
      <c r="AL1521" s="3" t="n">
        <v>1.5</v>
      </c>
      <c r="AM1521" s="3" t="n"/>
      <c r="AN1521" s="3" t="n"/>
      <c r="AO1521" s="3" t="n"/>
      <c r="AP1521" s="3" t="n"/>
      <c r="AQ1521" s="3" t="n"/>
      <c r="AR1521" s="3" t="n"/>
      <c r="AS1521" s="3" t="n"/>
      <c r="AT1521" s="3" t="n"/>
      <c r="AU1521" s="3" t="n"/>
    </row>
    <row r="1522">
      <c r="A1522" s="3" t="n">
        <v>2031</v>
      </c>
      <c r="B1522" s="3" t="inlineStr">
        <is>
          <t>JAM</t>
        </is>
      </c>
      <c r="C1522" s="3" t="inlineStr">
        <is>
          <t>IMF.RES:WEO</t>
        </is>
      </c>
      <c r="D1522" s="3" t="inlineStr">
        <is>
          <t>JAM.NGDPD.A</t>
        </is>
      </c>
      <c r="E1522" s="3" t="inlineStr">
        <is>
          <t>Jamaica</t>
        </is>
      </c>
      <c r="F1522" s="3" t="inlineStr">
        <is>
          <t>Gross domestic product (GDP), Current prices, US dollar</t>
        </is>
      </c>
      <c r="G1522" s="3" t="n">
        <v>9.300323000000001</v>
      </c>
      <c r="H1522" s="3" t="n">
        <v>9.433318999999999</v>
      </c>
      <c r="I1522" s="3" t="n">
        <v>9.971208000000001</v>
      </c>
      <c r="J1522" s="3" t="n">
        <v>9.67496</v>
      </c>
      <c r="K1522" s="3" t="n">
        <v>10.438692</v>
      </c>
      <c r="L1522" s="3" t="n">
        <v>11.524099</v>
      </c>
      <c r="M1522" s="3" t="n">
        <v>12.255651</v>
      </c>
      <c r="N1522" s="3" t="n">
        <v>13.214978</v>
      </c>
      <c r="O1522" s="3" t="n">
        <v>14.099301</v>
      </c>
      <c r="P1522" s="3" t="n">
        <v>12.42096</v>
      </c>
      <c r="Q1522" s="3" t="n">
        <v>13.535355</v>
      </c>
      <c r="R1522" s="3" t="n">
        <v>14.787325</v>
      </c>
      <c r="S1522" s="3" t="n">
        <v>15.148515</v>
      </c>
      <c r="T1522" s="3" t="n">
        <v>14.581934</v>
      </c>
      <c r="U1522" s="3" t="n">
        <v>14.224625</v>
      </c>
      <c r="V1522" s="3" t="n">
        <v>14.927131</v>
      </c>
      <c r="W1522" s="3" t="n">
        <v>14.93133</v>
      </c>
      <c r="X1522" s="3" t="n">
        <v>15.726345</v>
      </c>
      <c r="Y1522" s="3" t="n">
        <v>16.76659</v>
      </c>
      <c r="Z1522" s="3" t="n">
        <v>17.001711</v>
      </c>
      <c r="AA1522" s="3" t="n">
        <v>15.078758</v>
      </c>
      <c r="AB1522" s="3" t="n">
        <v>15.981722</v>
      </c>
      <c r="AC1522" s="3" t="n">
        <v>18.709585</v>
      </c>
      <c r="AD1522" s="3" t="n">
        <v>21.29879</v>
      </c>
      <c r="AE1522" s="3" t="n">
        <v>21.900428</v>
      </c>
      <c r="AF1522" s="3" t="n">
        <v>22.313117</v>
      </c>
      <c r="AG1522" s="3" t="n">
        <v>23.028146</v>
      </c>
      <c r="AH1522" s="3" t="n">
        <v>23.931707</v>
      </c>
      <c r="AI1522" s="3" t="n">
        <v>24.83769</v>
      </c>
      <c r="AJ1522" s="3" t="n">
        <v>25.716938</v>
      </c>
      <c r="AK1522" s="3" t="n">
        <v>26.579847</v>
      </c>
      <c r="AL1522" s="3" t="n">
        <v>27.471709</v>
      </c>
      <c r="AM1522" s="3" t="n"/>
      <c r="AN1522" s="3" t="n"/>
      <c r="AO1522" s="3" t="n"/>
      <c r="AP1522" s="3" t="n"/>
      <c r="AQ1522" s="3" t="n"/>
      <c r="AR1522" s="3" t="n"/>
      <c r="AS1522" s="3" t="n"/>
      <c r="AT1522" s="3" t="n"/>
      <c r="AU1522" s="3" t="n"/>
    </row>
    <row r="1523">
      <c r="A1523" s="3" t="n">
        <v>2031</v>
      </c>
      <c r="B1523" s="3" t="inlineStr">
        <is>
          <t>JAM</t>
        </is>
      </c>
      <c r="C1523" s="3" t="inlineStr">
        <is>
          <t>IMF.RES:WEO</t>
        </is>
      </c>
      <c r="D1523" s="3" t="inlineStr">
        <is>
          <t>JAM.NGDPPC.A</t>
        </is>
      </c>
      <c r="E1523" s="3" t="inlineStr">
        <is>
          <t>Jamaica</t>
        </is>
      </c>
      <c r="F1523" s="3" t="inlineStr">
        <is>
          <t>Gross domestic product (GDP), Current prices, Per capita, Domestic currency</t>
        </is>
      </c>
      <c r="G1523" s="3" t="n">
        <v>153795.787958</v>
      </c>
      <c r="H1523" s="3" t="n">
        <v>166566.720939</v>
      </c>
      <c r="I1523" s="3" t="n">
        <v>184263.298119</v>
      </c>
      <c r="J1523" s="3" t="n">
        <v>212458.317582</v>
      </c>
      <c r="K1523" s="3" t="n">
        <v>242079.772873</v>
      </c>
      <c r="L1523" s="3" t="n">
        <v>271284.005856</v>
      </c>
      <c r="M1523" s="3" t="n">
        <v>302770.161106</v>
      </c>
      <c r="N1523" s="3" t="n">
        <v>340662.301301</v>
      </c>
      <c r="O1523" s="3" t="n">
        <v>382314.723485</v>
      </c>
      <c r="P1523" s="3" t="n">
        <v>406894.808019</v>
      </c>
      <c r="Q1523" s="3" t="n">
        <v>438759.823131</v>
      </c>
      <c r="R1523" s="3" t="n">
        <v>470938.347817</v>
      </c>
      <c r="S1523" s="3" t="n">
        <v>497500.394342</v>
      </c>
      <c r="T1523" s="3" t="n">
        <v>541487.001684</v>
      </c>
      <c r="U1523" s="3" t="n">
        <v>582517.291525</v>
      </c>
      <c r="V1523" s="3" t="n">
        <v>643613.645306</v>
      </c>
      <c r="W1523" s="3" t="n">
        <v>684798.343954</v>
      </c>
      <c r="X1523" s="3" t="n">
        <v>740948.801159</v>
      </c>
      <c r="Y1523" s="3" t="n">
        <v>795386.78761</v>
      </c>
      <c r="Z1523" s="3" t="n">
        <v>830187.133425</v>
      </c>
      <c r="AA1523" s="3" t="n">
        <v>780384.581107</v>
      </c>
      <c r="AB1523" s="3" t="n">
        <v>878435.252338</v>
      </c>
      <c r="AC1523" s="3" t="n">
        <v>1052144.229088</v>
      </c>
      <c r="AD1523" s="3" t="n">
        <v>1202190.389361</v>
      </c>
      <c r="AE1523" s="3" t="n">
        <v>1252474.09011</v>
      </c>
      <c r="AF1523" s="3" t="n">
        <v>1296171.910713</v>
      </c>
      <c r="AG1523" s="3" t="n">
        <v>1353444.911058</v>
      </c>
      <c r="AH1523" s="3" t="n">
        <v>1460671.399177</v>
      </c>
      <c r="AI1523" s="3" t="n">
        <v>1556986.169622</v>
      </c>
      <c r="AJ1523" s="3" t="n">
        <v>1654013.498616</v>
      </c>
      <c r="AK1523" s="3" t="n">
        <v>1757087.318422</v>
      </c>
      <c r="AL1523" s="3" t="n">
        <v>1866584.430626</v>
      </c>
      <c r="AM1523" s="3" t="n"/>
      <c r="AN1523" s="3" t="n"/>
      <c r="AO1523" s="3" t="n"/>
      <c r="AP1523" s="3" t="n"/>
      <c r="AQ1523" s="3" t="n"/>
      <c r="AR1523" s="3" t="n"/>
      <c r="AS1523" s="3" t="n"/>
      <c r="AT1523" s="3" t="n"/>
      <c r="AU1523" s="3" t="n"/>
    </row>
    <row r="1524">
      <c r="A1524" s="3" t="n">
        <v>2031</v>
      </c>
      <c r="B1524" s="3" t="inlineStr">
        <is>
          <t>JAM</t>
        </is>
      </c>
      <c r="C1524" s="3" t="inlineStr">
        <is>
          <t>IMF.RES:WEO</t>
        </is>
      </c>
      <c r="D1524" s="3" t="inlineStr">
        <is>
          <t>JAM.NGDPRPC.A</t>
        </is>
      </c>
      <c r="E1524" s="3" t="inlineStr">
        <is>
          <t>Jamaica</t>
        </is>
      </c>
      <c r="F1524" s="3" t="inlineStr">
        <is>
          <t>Gross domestic product (GDP), Constant prices, Per capita, Domestic currency</t>
        </is>
      </c>
      <c r="G1524" s="3" t="n">
        <v>616805.177296</v>
      </c>
      <c r="H1524" s="3" t="n">
        <v>619254.0298519999</v>
      </c>
      <c r="I1524" s="3" t="n">
        <v>619856.511488</v>
      </c>
      <c r="J1524" s="3" t="n">
        <v>640277.830928</v>
      </c>
      <c r="K1524" s="3" t="n">
        <v>646428.039749</v>
      </c>
      <c r="L1524" s="3" t="n">
        <v>649878.032338</v>
      </c>
      <c r="M1524" s="3" t="n">
        <v>666344.486641</v>
      </c>
      <c r="N1524" s="3" t="n">
        <v>673574.965785</v>
      </c>
      <c r="O1524" s="3" t="n">
        <v>665702.248115</v>
      </c>
      <c r="P1524" s="3" t="n">
        <v>640738.143768</v>
      </c>
      <c r="Q1524" s="3" t="n">
        <v>629330.17856</v>
      </c>
      <c r="R1524" s="3" t="n">
        <v>636564.6302</v>
      </c>
      <c r="S1524" s="3" t="n">
        <v>631716.977948</v>
      </c>
      <c r="T1524" s="3" t="n">
        <v>632343.4334569999</v>
      </c>
      <c r="U1524" s="3" t="n">
        <v>635444.363376</v>
      </c>
      <c r="V1524" s="3" t="n">
        <v>643613.645306</v>
      </c>
      <c r="W1524" s="3" t="n">
        <v>660847.0436729999</v>
      </c>
      <c r="X1524" s="3" t="n">
        <v>674954.453416</v>
      </c>
      <c r="Y1524" s="3" t="n">
        <v>690643.096978</v>
      </c>
      <c r="Z1524" s="3" t="n">
        <v>702339.9966280001</v>
      </c>
      <c r="AA1524" s="3" t="n">
        <v>643282.179061</v>
      </c>
      <c r="AB1524" s="3" t="n">
        <v>679205.89834</v>
      </c>
      <c r="AC1524" s="3" t="n">
        <v>722119.687035</v>
      </c>
      <c r="AD1524" s="3" t="n">
        <v>741107.618293</v>
      </c>
      <c r="AE1524" s="3" t="n">
        <v>736303.911543</v>
      </c>
      <c r="AF1524" s="3" t="n">
        <v>735025.094004</v>
      </c>
      <c r="AG1524" s="3" t="n">
        <v>725731.153525</v>
      </c>
      <c r="AH1524" s="3" t="n">
        <v>747689.426542</v>
      </c>
      <c r="AI1524" s="3" t="n">
        <v>760625.5847220001</v>
      </c>
      <c r="AJ1524" s="3" t="n">
        <v>771156.787089</v>
      </c>
      <c r="AK1524" s="3" t="n">
        <v>781833.798675</v>
      </c>
      <c r="AL1524" s="3" t="n">
        <v>792658.638276</v>
      </c>
      <c r="AM1524" s="3" t="n"/>
      <c r="AN1524" s="3" t="n"/>
      <c r="AO1524" s="3" t="n"/>
      <c r="AP1524" s="3" t="n"/>
      <c r="AQ1524" s="3" t="n"/>
      <c r="AR1524" s="3" t="n"/>
      <c r="AS1524" s="3" t="n"/>
      <c r="AT1524" s="3" t="n"/>
      <c r="AU1524" s="3" t="n"/>
    </row>
    <row r="1525">
      <c r="A1525" s="3" t="n">
        <v>2031</v>
      </c>
      <c r="B1525" s="3" t="inlineStr">
        <is>
          <t>JAM</t>
        </is>
      </c>
      <c r="C1525" s="3" t="inlineStr">
        <is>
          <t>IMF.RES:WEO</t>
        </is>
      </c>
      <c r="D1525" s="3" t="inlineStr">
        <is>
          <t>JAM.PCPI.A</t>
        </is>
      </c>
      <c r="E1525" s="3" t="inlineStr">
        <is>
          <t>Jamaica</t>
        </is>
      </c>
      <c r="F1525" s="3" t="inlineStr">
        <is>
          <t>All Items, Consumer price index (CPI), Period average</t>
        </is>
      </c>
      <c r="G1525" s="3" t="n">
        <v>20.94212</v>
      </c>
      <c r="H1525" s="3" t="n">
        <v>22.383073</v>
      </c>
      <c r="I1525" s="3" t="n">
        <v>23.948049</v>
      </c>
      <c r="J1525" s="3" t="n">
        <v>26.374328</v>
      </c>
      <c r="K1525" s="3" t="n">
        <v>29.940303</v>
      </c>
      <c r="L1525" s="3" t="n">
        <v>34.460869</v>
      </c>
      <c r="M1525" s="3" t="n">
        <v>37.397019</v>
      </c>
      <c r="N1525" s="3" t="n">
        <v>40.870188</v>
      </c>
      <c r="O1525" s="3" t="n">
        <v>49.872426</v>
      </c>
      <c r="P1525" s="3" t="n">
        <v>54.648187</v>
      </c>
      <c r="Q1525" s="3" t="n">
        <v>61.542825</v>
      </c>
      <c r="R1525" s="3" t="n">
        <v>66.17224</v>
      </c>
      <c r="S1525" s="3" t="n">
        <v>70.732657</v>
      </c>
      <c r="T1525" s="3" t="n">
        <v>77.353388</v>
      </c>
      <c r="U1525" s="3" t="n">
        <v>83.754148</v>
      </c>
      <c r="V1525" s="3" t="n">
        <v>86.836731</v>
      </c>
      <c r="W1525" s="3" t="n">
        <v>88.877185</v>
      </c>
      <c r="X1525" s="3" t="n">
        <v>92.76779399999999</v>
      </c>
      <c r="Y1525" s="3" t="n">
        <v>96.23745599999999</v>
      </c>
      <c r="Z1525" s="3" t="n">
        <v>100</v>
      </c>
      <c r="AA1525" s="3" t="n">
        <v>105.210028</v>
      </c>
      <c r="AB1525" s="3" t="n">
        <v>111.398333</v>
      </c>
      <c r="AC1525" s="3" t="n">
        <v>122.925007</v>
      </c>
      <c r="AD1525" s="3" t="n">
        <v>130.88</v>
      </c>
      <c r="AE1525" s="3" t="n">
        <v>138.140833</v>
      </c>
      <c r="AF1525" s="3" t="n">
        <v>143.504167</v>
      </c>
      <c r="AG1525" s="3" t="n">
        <v>152.244777</v>
      </c>
      <c r="AH1525" s="3" t="n">
        <v>160.674124</v>
      </c>
      <c r="AI1525" s="3" t="n">
        <v>168.733921</v>
      </c>
      <c r="AJ1525" s="3" t="n">
        <v>177.170617</v>
      </c>
      <c r="AK1525" s="3" t="n">
        <v>186.029148</v>
      </c>
      <c r="AL1525" s="3" t="n">
        <v>195.330605</v>
      </c>
      <c r="AM1525" s="3" t="n"/>
      <c r="AN1525" s="3" t="n"/>
      <c r="AO1525" s="3" t="n"/>
      <c r="AP1525" s="3" t="n"/>
      <c r="AQ1525" s="3" t="n"/>
      <c r="AR1525" s="3" t="n"/>
      <c r="AS1525" s="3" t="n"/>
      <c r="AT1525" s="3" t="n"/>
      <c r="AU1525" s="3" t="n"/>
    </row>
    <row r="1526">
      <c r="A1526" s="3" t="n">
        <v>2031</v>
      </c>
      <c r="B1526" s="3" t="inlineStr">
        <is>
          <t>JAM</t>
        </is>
      </c>
      <c r="C1526" s="3" t="inlineStr">
        <is>
          <t>IMF.RES:WEO</t>
        </is>
      </c>
      <c r="D1526" s="3" t="inlineStr">
        <is>
          <t>JAM.PCPIPCH.A</t>
        </is>
      </c>
      <c r="E1526" s="3" t="inlineStr">
        <is>
          <t>Jamaica</t>
        </is>
      </c>
      <c r="F1526" s="3" t="inlineStr">
        <is>
          <t>All Items, Consumer price index (CPI), Period average, percent change</t>
        </is>
      </c>
      <c r="G1526" s="3" t="n">
        <v>8.070297999999999</v>
      </c>
      <c r="H1526" s="3" t="n">
        <v>6.880644</v>
      </c>
      <c r="I1526" s="3" t="n">
        <v>6.991784</v>
      </c>
      <c r="J1526" s="3" t="n">
        <v>10.131428</v>
      </c>
      <c r="K1526" s="3" t="n">
        <v>13.520628</v>
      </c>
      <c r="L1526" s="3" t="n">
        <v>15.098598</v>
      </c>
      <c r="M1526" s="3" t="n">
        <v>8.520243000000001</v>
      </c>
      <c r="N1526" s="3" t="n">
        <v>9.287288999999999</v>
      </c>
      <c r="O1526" s="3" t="n">
        <v>22.026417</v>
      </c>
      <c r="P1526" s="3" t="n">
        <v>9.575953999999999</v>
      </c>
      <c r="Q1526" s="3" t="n">
        <v>12.616407</v>
      </c>
      <c r="R1526" s="3" t="n">
        <v>7.522266</v>
      </c>
      <c r="S1526" s="3" t="n">
        <v>6.891738</v>
      </c>
      <c r="T1526" s="3" t="n">
        <v>9.360218</v>
      </c>
      <c r="U1526" s="3" t="n">
        <v>8.274699</v>
      </c>
      <c r="V1526" s="3" t="n">
        <v>3.680515</v>
      </c>
      <c r="W1526" s="3" t="n">
        <v>2.349758</v>
      </c>
      <c r="X1526" s="3" t="n">
        <v>4.377511</v>
      </c>
      <c r="Y1526" s="3" t="n">
        <v>3.740158</v>
      </c>
      <c r="Z1526" s="3" t="n">
        <v>3.909646</v>
      </c>
      <c r="AA1526" s="3" t="n">
        <v>5.210028</v>
      </c>
      <c r="AB1526" s="3" t="n">
        <v>5.881859</v>
      </c>
      <c r="AC1526" s="3" t="n">
        <v>10.347258</v>
      </c>
      <c r="AD1526" s="3" t="n">
        <v>6.47142</v>
      </c>
      <c r="AE1526" s="3" t="n">
        <v>5.547703</v>
      </c>
      <c r="AF1526" s="3" t="n">
        <v>3.882511</v>
      </c>
      <c r="AG1526" s="3" t="n">
        <v>6.090841</v>
      </c>
      <c r="AH1526" s="3" t="n">
        <v>5.536707</v>
      </c>
      <c r="AI1526" s="3" t="n">
        <v>5.016238</v>
      </c>
      <c r="AJ1526" s="3" t="n">
        <v>5</v>
      </c>
      <c r="AK1526" s="3" t="n">
        <v>5</v>
      </c>
      <c r="AL1526" s="3" t="n">
        <v>5</v>
      </c>
      <c r="AM1526" s="3" t="n"/>
      <c r="AN1526" s="3" t="n"/>
      <c r="AO1526" s="3" t="n"/>
      <c r="AP1526" s="3" t="n"/>
      <c r="AQ1526" s="3" t="n"/>
      <c r="AR1526" s="3" t="n"/>
      <c r="AS1526" s="3" t="n"/>
      <c r="AT1526" s="3" t="n"/>
      <c r="AU1526" s="3" t="n"/>
    </row>
    <row r="1527">
      <c r="A1527" s="3" t="n">
        <v>2031</v>
      </c>
      <c r="B1527" s="3" t="inlineStr">
        <is>
          <t>JAM</t>
        </is>
      </c>
      <c r="C1527" s="3" t="inlineStr">
        <is>
          <t>IMF.RES:WEO</t>
        </is>
      </c>
      <c r="D1527" s="3" t="inlineStr">
        <is>
          <t>JAM.PPPPC.A</t>
        </is>
      </c>
      <c r="E1527" s="3" t="inlineStr">
        <is>
          <t>Jamaica</t>
        </is>
      </c>
      <c r="F1527" s="3" t="inlineStr">
        <is>
          <t>Gross domestic product (GDP), Per capita, purchasing power parity (PPP) international dollar, ICP benchmarks 2017-2021</t>
        </is>
      </c>
      <c r="G1527" s="3" t="n">
        <v>7185.072652</v>
      </c>
      <c r="H1527" s="3" t="n">
        <v>7376.021839</v>
      </c>
      <c r="I1527" s="3" t="n">
        <v>7497.935622</v>
      </c>
      <c r="J1527" s="3" t="n">
        <v>7897.859039</v>
      </c>
      <c r="K1527" s="3" t="n">
        <v>8188.126087</v>
      </c>
      <c r="L1527" s="3" t="n">
        <v>8489.961519</v>
      </c>
      <c r="M1527" s="3" t="n">
        <v>8973.532488999999</v>
      </c>
      <c r="N1527" s="3" t="n">
        <v>9316.659240999999</v>
      </c>
      <c r="O1527" s="3" t="n">
        <v>9385.145946000001</v>
      </c>
      <c r="P1527" s="3" t="n">
        <v>9088.910693</v>
      </c>
      <c r="Q1527" s="3" t="n">
        <v>9035.585551</v>
      </c>
      <c r="R1527" s="3" t="n">
        <v>9328.023567</v>
      </c>
      <c r="S1527" s="3" t="n">
        <v>9429.346377</v>
      </c>
      <c r="T1527" s="3" t="n">
        <v>9599.344278</v>
      </c>
      <c r="U1527" s="3" t="n">
        <v>9814.431312000001</v>
      </c>
      <c r="V1527" s="3" t="n">
        <v>10032.859896</v>
      </c>
      <c r="W1527" s="3" t="n">
        <v>10399.387022</v>
      </c>
      <c r="X1527" s="3" t="n">
        <v>10811.604908</v>
      </c>
      <c r="Y1527" s="3" t="n">
        <v>11103.614631</v>
      </c>
      <c r="Z1527" s="3" t="n">
        <v>11198.747547</v>
      </c>
      <c r="AA1527" s="3" t="n">
        <v>10098.011735</v>
      </c>
      <c r="AB1527" s="3" t="n">
        <v>10801.277091</v>
      </c>
      <c r="AC1527" s="3" t="n">
        <v>12300.496768</v>
      </c>
      <c r="AD1527" s="3" t="n">
        <v>13091.024624</v>
      </c>
      <c r="AE1527" s="3" t="n">
        <v>13329.055332</v>
      </c>
      <c r="AF1527" s="3" t="n">
        <v>13683.36281</v>
      </c>
      <c r="AG1527" s="3" t="n">
        <v>13897.396332</v>
      </c>
      <c r="AH1527" s="3" t="n">
        <v>14632.293272</v>
      </c>
      <c r="AI1527" s="3" t="n">
        <v>15129.782513</v>
      </c>
      <c r="AJ1527" s="3" t="n">
        <v>15612.009851</v>
      </c>
      <c r="AK1527" s="3" t="n">
        <v>16119.011912</v>
      </c>
      <c r="AL1527" s="3" t="n">
        <v>16637.212654</v>
      </c>
      <c r="AM1527" s="3" t="n"/>
      <c r="AN1527" s="3" t="n"/>
      <c r="AO1527" s="3" t="n"/>
      <c r="AP1527" s="3" t="n"/>
      <c r="AQ1527" s="3" t="n"/>
      <c r="AR1527" s="3" t="n"/>
      <c r="AS1527" s="3" t="n"/>
      <c r="AT1527" s="3" t="n"/>
      <c r="AU1527" s="3" t="n"/>
    </row>
    <row r="1528">
      <c r="A1528" s="3" t="n">
        <v>2025</v>
      </c>
      <c r="B1528" s="3" t="inlineStr">
        <is>
          <t>JAM</t>
        </is>
      </c>
      <c r="C1528" s="3" t="inlineStr">
        <is>
          <t>IMF.STA:ER</t>
        </is>
      </c>
      <c r="D1528" s="3" t="inlineStr">
        <is>
          <t>JAM.XDC_USD.PA_RT.A</t>
        </is>
      </c>
      <c r="E1528" s="3" t="inlineStr">
        <is>
          <t>Jamaica</t>
        </is>
      </c>
      <c r="F1528" s="3" t="inlineStr">
        <is>
          <t>Domestic currency per US Dollar</t>
        </is>
      </c>
      <c r="G1528" s="3" t="n">
        <v>42.9857</v>
      </c>
      <c r="H1528" s="3" t="n">
        <v>45.99625</v>
      </c>
      <c r="I1528" s="3" t="n">
        <v>48.4159416666666</v>
      </c>
      <c r="J1528" s="3" t="n">
        <v>57.74087375</v>
      </c>
      <c r="K1528" s="3" t="n">
        <v>61.1972</v>
      </c>
      <c r="L1528" s="3" t="n">
        <v>62.2807149440837</v>
      </c>
      <c r="M1528" s="3" t="n">
        <v>65.74385753968249</v>
      </c>
      <c r="N1528" s="3" t="n">
        <v>69.1921618494152</v>
      </c>
      <c r="O1528" s="3" t="n">
        <v>72.756203406152</v>
      </c>
      <c r="P1528" s="3" t="n">
        <v>87.89411981065351</v>
      </c>
      <c r="Q1528" s="3" t="n">
        <v>87.19614633009139</v>
      </c>
      <c r="R1528" s="3" t="n">
        <v>85.89346320227639</v>
      </c>
      <c r="S1528" s="3" t="n">
        <v>88.7498023876452</v>
      </c>
      <c r="T1528" s="3" t="n">
        <v>100.39788320358</v>
      </c>
      <c r="U1528" s="3" t="n">
        <v>110.934527811188</v>
      </c>
      <c r="V1528" s="3" t="n">
        <v>116.969776646049</v>
      </c>
      <c r="W1528" s="3" t="n">
        <v>125.095034603174</v>
      </c>
      <c r="X1528" s="3" t="n">
        <v>127.964544179197</v>
      </c>
      <c r="Y1528" s="3" t="n">
        <v>128.871519064659</v>
      </c>
      <c r="Z1528" s="3" t="n">
        <v>133.31211833796</v>
      </c>
      <c r="AA1528" s="3" t="n">
        <v>142.402832756013</v>
      </c>
      <c r="AB1528" s="3" t="n">
        <v>150.790105943025</v>
      </c>
      <c r="AC1528" s="3" t="n">
        <v>153.426816475658</v>
      </c>
      <c r="AD1528" s="3" t="n">
        <v>154.158779031722</v>
      </c>
      <c r="AE1528" s="3" t="n">
        <v>156.439540115297</v>
      </c>
      <c r="AF1528" s="3" t="n">
        <v>159.096428305752</v>
      </c>
      <c r="AG1528" s="3" t="n"/>
      <c r="AH1528" s="3" t="n"/>
      <c r="AI1528" s="3" t="n"/>
      <c r="AJ1528" s="3" t="n"/>
      <c r="AK1528" s="3" t="n"/>
      <c r="AL1528" s="3" t="n"/>
      <c r="AM1528" s="3" t="n"/>
      <c r="AN1528" s="3" t="n"/>
      <c r="AO1528" s="3" t="n"/>
      <c r="AP1528" s="3" t="n"/>
      <c r="AQ1528" s="3" t="n"/>
      <c r="AR1528" s="3" t="n"/>
      <c r="AS1528" s="3" t="n"/>
      <c r="AT1528" s="3" t="n"/>
      <c r="AU1528" s="3" t="n"/>
    </row>
    <row r="1529">
      <c r="A1529" s="3" t="n">
        <v>2025</v>
      </c>
      <c r="B1529" s="3" t="inlineStr">
        <is>
          <t>JEY</t>
        </is>
      </c>
      <c r="C1529" s="3" t="inlineStr">
        <is>
          <t>IMF.STA:ER</t>
        </is>
      </c>
      <c r="D1529" s="3" t="inlineStr">
        <is>
          <t>JEY.XDC_USD.PA_RT.A</t>
        </is>
      </c>
      <c r="E1529" s="3" t="inlineStr">
        <is>
          <t>Jersey</t>
        </is>
      </c>
      <c r="F1529" s="3" t="inlineStr">
        <is>
          <t>Domestic currency per US Dollar</t>
        </is>
      </c>
      <c r="G1529" s="3" t="n">
        <v>0.660930833333333</v>
      </c>
      <c r="H1529" s="3" t="n">
        <v>0.694655</v>
      </c>
      <c r="I1529" s="3" t="n">
        <v>0.6672233333333329</v>
      </c>
      <c r="J1529" s="3" t="n">
        <v>0.6124725</v>
      </c>
      <c r="K1529" s="3" t="n">
        <v>0.54618</v>
      </c>
      <c r="L1529" s="3" t="n">
        <v>0.549998333333333</v>
      </c>
      <c r="M1529" s="3" t="n">
        <v>0.543486666666667</v>
      </c>
      <c r="N1529" s="3" t="n">
        <v>0.499771666666667</v>
      </c>
      <c r="O1529" s="3" t="n">
        <v>0.54396625</v>
      </c>
      <c r="P1529" s="3" t="n">
        <v>0.641919263495996</v>
      </c>
      <c r="Q1529" s="3" t="n">
        <v>0.647179345560165</v>
      </c>
      <c r="R1529" s="3" t="n">
        <v>0.6241408357404949</v>
      </c>
      <c r="S1529" s="3" t="n">
        <v>0.633046988857327</v>
      </c>
      <c r="T1529" s="3" t="n">
        <v>0.6396605776134771</v>
      </c>
      <c r="U1529" s="3" t="n">
        <v>0.607729626878255</v>
      </c>
      <c r="V1529" s="3" t="n">
        <v>0.654545478931426</v>
      </c>
      <c r="W1529" s="3" t="n">
        <v>0.740634463697084</v>
      </c>
      <c r="X1529" s="3" t="n">
        <v>0.776976682344123</v>
      </c>
      <c r="Y1529" s="3" t="n">
        <v>0.749531540259847</v>
      </c>
      <c r="Z1529" s="3" t="n">
        <v>0.783445110011929</v>
      </c>
      <c r="AA1529" s="3" t="n">
        <v>0.779999576697153</v>
      </c>
      <c r="AB1529" s="3" t="n">
        <v>0.7270649446883219</v>
      </c>
      <c r="AC1529" s="3" t="n">
        <v>0.811301715827773</v>
      </c>
      <c r="AD1529" s="3" t="n">
        <v>0.804538906734353</v>
      </c>
      <c r="AE1529" s="3" t="n">
        <v>0.782414580986261</v>
      </c>
      <c r="AF1529" s="3" t="n">
        <v>0.759473957338607</v>
      </c>
      <c r="AG1529" s="3" t="n"/>
      <c r="AH1529" s="3" t="n"/>
      <c r="AI1529" s="3" t="n"/>
      <c r="AJ1529" s="3" t="n"/>
      <c r="AK1529" s="3" t="n"/>
      <c r="AL1529" s="3" t="n"/>
      <c r="AM1529" s="3" t="n"/>
      <c r="AN1529" s="3" t="n"/>
      <c r="AO1529" s="3" t="n"/>
      <c r="AP1529" s="3" t="n"/>
      <c r="AQ1529" s="3" t="n"/>
      <c r="AR1529" s="3" t="n"/>
      <c r="AS1529" s="3" t="n"/>
      <c r="AT1529" s="3" t="n"/>
      <c r="AU1529" s="3" t="n"/>
    </row>
    <row r="1530">
      <c r="A1530" s="3" t="n">
        <v>2031</v>
      </c>
      <c r="B1530" s="3" t="inlineStr">
        <is>
          <t>JOR</t>
        </is>
      </c>
      <c r="C1530" s="3" t="inlineStr">
        <is>
          <t>IMF.RES:WEO</t>
        </is>
      </c>
      <c r="D1530" s="3" t="inlineStr">
        <is>
          <t>JOR.BCA.A</t>
        </is>
      </c>
      <c r="E1530" s="3" t="inlineStr">
        <is>
          <t>Jordan</t>
        </is>
      </c>
      <c r="F1530" s="3" t="inlineStr">
        <is>
          <t>Current account balance (credit less debit), US dollar</t>
        </is>
      </c>
      <c r="G1530" s="3" t="n">
        <v>0.027475</v>
      </c>
      <c r="H1530" s="3" t="n">
        <v>-0.024918</v>
      </c>
      <c r="I1530" s="3" t="n">
        <v>0.501756</v>
      </c>
      <c r="J1530" s="3" t="n">
        <v>1.13056</v>
      </c>
      <c r="K1530" s="3" t="n">
        <v>0.039104</v>
      </c>
      <c r="L1530" s="3" t="n">
        <v>-2.271846</v>
      </c>
      <c r="M1530" s="3" t="n">
        <v>-1.726116</v>
      </c>
      <c r="N1530" s="3" t="n">
        <v>-2.874412</v>
      </c>
      <c r="O1530" s="3" t="n">
        <v>-2.055281</v>
      </c>
      <c r="P1530" s="3" t="n">
        <v>-1.245237</v>
      </c>
      <c r="Q1530" s="3" t="n">
        <v>-1.884742</v>
      </c>
      <c r="R1530" s="3" t="n">
        <v>-2.960111</v>
      </c>
      <c r="S1530" s="3" t="n">
        <v>-4.717808</v>
      </c>
      <c r="T1530" s="3" t="n">
        <v>-3.508571</v>
      </c>
      <c r="U1530" s="3" t="n">
        <v>-2.61352</v>
      </c>
      <c r="V1530" s="3" t="n">
        <v>-3.475863</v>
      </c>
      <c r="W1530" s="3" t="n">
        <v>-3.857504</v>
      </c>
      <c r="X1530" s="3" t="n">
        <v>-4.399013</v>
      </c>
      <c r="Y1530" s="3" t="n">
        <v>-2.966714</v>
      </c>
      <c r="Z1530" s="3" t="n">
        <v>-1.186883</v>
      </c>
      <c r="AA1530" s="3" t="n">
        <v>-2.698166</v>
      </c>
      <c r="AB1530" s="3" t="n">
        <v>-3.691961</v>
      </c>
      <c r="AC1530" s="3" t="n">
        <v>-4.03244</v>
      </c>
      <c r="AD1530" s="3" t="n">
        <v>-1.879972</v>
      </c>
      <c r="AE1530" s="3" t="n">
        <v>-3.153597</v>
      </c>
      <c r="AF1530" s="3" t="n">
        <v>-3.428473</v>
      </c>
      <c r="AG1530" s="3" t="n">
        <v>-4.016732</v>
      </c>
      <c r="AH1530" s="3" t="n">
        <v>-3.465919</v>
      </c>
      <c r="AI1530" s="3" t="n">
        <v>-3.508095</v>
      </c>
      <c r="AJ1530" s="3" t="n">
        <v>-3.552534</v>
      </c>
      <c r="AK1530" s="3" t="n">
        <v>-3.768882</v>
      </c>
      <c r="AL1530" s="3" t="n">
        <v>-3.851981</v>
      </c>
      <c r="AM1530" s="3" t="n"/>
      <c r="AN1530" s="3" t="n"/>
      <c r="AO1530" s="3" t="n"/>
      <c r="AP1530" s="3" t="n"/>
      <c r="AQ1530" s="3" t="n"/>
      <c r="AR1530" s="3" t="n"/>
      <c r="AS1530" s="3" t="n"/>
      <c r="AT1530" s="3" t="n"/>
      <c r="AU1530" s="3" t="n"/>
    </row>
    <row r="1531">
      <c r="A1531" s="3" t="n">
        <v>2031</v>
      </c>
      <c r="B1531" s="3" t="inlineStr">
        <is>
          <t>JOR</t>
        </is>
      </c>
      <c r="C1531" s="3" t="inlineStr">
        <is>
          <t>IMF.RES:WEO</t>
        </is>
      </c>
      <c r="D1531" s="3" t="inlineStr">
        <is>
          <t>JOR.BCA_NGDPD.A</t>
        </is>
      </c>
      <c r="E1531" s="3" t="inlineStr">
        <is>
          <t>Jordan</t>
        </is>
      </c>
      <c r="F1531" s="3" t="inlineStr">
        <is>
          <t>Current account balance (credit less debit), Percent of GDP</t>
        </is>
      </c>
      <c r="G1531" s="3" t="n">
        <v>0.285094</v>
      </c>
      <c r="H1531" s="3" t="n">
        <v>-0.243396</v>
      </c>
      <c r="I1531" s="3" t="n">
        <v>4.555195</v>
      </c>
      <c r="J1531" s="3" t="n">
        <v>9.678392000000001</v>
      </c>
      <c r="K1531" s="3" t="n">
        <v>0.300758</v>
      </c>
      <c r="L1531" s="3" t="n">
        <v>-15.659908</v>
      </c>
      <c r="M1531" s="3" t="n">
        <v>-9.89334</v>
      </c>
      <c r="N1531" s="3" t="n">
        <v>-14.491839</v>
      </c>
      <c r="O1531" s="3" t="n">
        <v>-8.016052</v>
      </c>
      <c r="P1531" s="3" t="n">
        <v>-4.53433</v>
      </c>
      <c r="Q1531" s="3" t="n">
        <v>-6.240291</v>
      </c>
      <c r="R1531" s="3" t="n">
        <v>-9.068902</v>
      </c>
      <c r="S1531" s="3" t="n">
        <v>-13.516809</v>
      </c>
      <c r="T1531" s="3" t="n">
        <v>-9.250890999999999</v>
      </c>
      <c r="U1531" s="3" t="n">
        <v>-6.43844</v>
      </c>
      <c r="V1531" s="3" t="n">
        <v>-8.187372999999999</v>
      </c>
      <c r="W1531" s="3" t="n">
        <v>-8.817111000000001</v>
      </c>
      <c r="X1531" s="3" t="n">
        <v>-9.646972</v>
      </c>
      <c r="Y1531" s="3" t="n">
        <v>-6.24533</v>
      </c>
      <c r="Z1531" s="3" t="n">
        <v>-2.436682</v>
      </c>
      <c r="AA1531" s="3" t="n">
        <v>-5.621237</v>
      </c>
      <c r="AB1531" s="3" t="n">
        <v>-7.271285</v>
      </c>
      <c r="AC1531" s="3" t="n">
        <v>-7.524258</v>
      </c>
      <c r="AD1531" s="3" t="n">
        <v>-3.344981</v>
      </c>
      <c r="AE1531" s="3" t="n">
        <v>-5.372294</v>
      </c>
      <c r="AF1531" s="3" t="n">
        <v>-5.557364</v>
      </c>
      <c r="AG1531" s="3" t="n">
        <v>-6.188248</v>
      </c>
      <c r="AH1531" s="3" t="n">
        <v>-5.062662</v>
      </c>
      <c r="AI1531" s="3" t="n">
        <v>-4.863164</v>
      </c>
      <c r="AJ1531" s="3" t="n">
        <v>-4.673831</v>
      </c>
      <c r="AK1531" s="3" t="n">
        <v>-4.70581</v>
      </c>
      <c r="AL1531" s="3" t="n">
        <v>-4.5645</v>
      </c>
      <c r="AM1531" s="3" t="n"/>
      <c r="AN1531" s="3" t="n"/>
      <c r="AO1531" s="3" t="n"/>
      <c r="AP1531" s="3" t="n"/>
      <c r="AQ1531" s="3" t="n"/>
      <c r="AR1531" s="3" t="n"/>
      <c r="AS1531" s="3" t="n"/>
      <c r="AT1531" s="3" t="n"/>
      <c r="AU1531" s="3" t="n"/>
    </row>
    <row r="1532">
      <c r="A1532" s="3" t="n">
        <v>2031</v>
      </c>
      <c r="B1532" s="3" t="inlineStr">
        <is>
          <t>JOR</t>
        </is>
      </c>
      <c r="C1532" s="3" t="inlineStr">
        <is>
          <t>IMF.RES:WEO</t>
        </is>
      </c>
      <c r="D1532" s="3" t="inlineStr">
        <is>
          <t>JOR.GGR_NGDP.A</t>
        </is>
      </c>
      <c r="E1532" s="3" t="inlineStr">
        <is>
          <t>Jordan</t>
        </is>
      </c>
      <c r="F1532" s="3" t="inlineStr">
        <is>
          <t>Revenue, General government, Percent of GDP</t>
        </is>
      </c>
      <c r="G1532" s="3" t="n">
        <v>29.369968</v>
      </c>
      <c r="H1532" s="3" t="n">
        <v>29.457755</v>
      </c>
      <c r="I1532" s="3" t="n">
        <v>28.397724</v>
      </c>
      <c r="J1532" s="3" t="n">
        <v>33.372756</v>
      </c>
      <c r="K1532" s="3" t="n">
        <v>35.711619</v>
      </c>
      <c r="L1532" s="3" t="n">
        <v>34.390364</v>
      </c>
      <c r="M1532" s="3" t="n">
        <v>32.094</v>
      </c>
      <c r="N1532" s="3" t="n">
        <v>35.142979</v>
      </c>
      <c r="O1532" s="3" t="n">
        <v>31.492363</v>
      </c>
      <c r="P1532" s="3" t="n">
        <v>28.414258</v>
      </c>
      <c r="Q1532" s="3" t="n">
        <v>26.810914</v>
      </c>
      <c r="R1532" s="3" t="n">
        <v>28.142063</v>
      </c>
      <c r="S1532" s="3" t="n">
        <v>24.993365</v>
      </c>
      <c r="T1532" s="3" t="n">
        <v>25.702184</v>
      </c>
      <c r="U1532" s="3" t="n">
        <v>29.559649</v>
      </c>
      <c r="V1532" s="3" t="n">
        <v>27.123985</v>
      </c>
      <c r="W1532" s="3" t="n">
        <v>27.337539</v>
      </c>
      <c r="X1532" s="3" t="n">
        <v>28.481425</v>
      </c>
      <c r="Y1532" s="3" t="n">
        <v>29.082804</v>
      </c>
      <c r="Z1532" s="3" t="n">
        <v>27.601983</v>
      </c>
      <c r="AA1532" s="3" t="n">
        <v>25.470214</v>
      </c>
      <c r="AB1532" s="3" t="n">
        <v>27.186057</v>
      </c>
      <c r="AC1532" s="3" t="n">
        <v>27.923702</v>
      </c>
      <c r="AD1532" s="3" t="n">
        <v>27.411132</v>
      </c>
      <c r="AE1532" s="3" t="n">
        <v>27.305354</v>
      </c>
      <c r="AF1532" s="3" t="n">
        <v>27.367823</v>
      </c>
      <c r="AG1532" s="3" t="n">
        <v>28.239985</v>
      </c>
      <c r="AH1532" s="3" t="n">
        <v>28.326335</v>
      </c>
      <c r="AI1532" s="3" t="n">
        <v>28.881753</v>
      </c>
      <c r="AJ1532" s="3" t="n">
        <v>28.708923</v>
      </c>
      <c r="AK1532" s="3" t="n">
        <v>28.906489</v>
      </c>
      <c r="AL1532" s="3" t="n">
        <v>29.07321</v>
      </c>
      <c r="AM1532" s="3" t="n"/>
      <c r="AN1532" s="3" t="n"/>
      <c r="AO1532" s="3" t="n"/>
      <c r="AP1532" s="3" t="n"/>
      <c r="AQ1532" s="3" t="n"/>
      <c r="AR1532" s="3" t="n"/>
      <c r="AS1532" s="3" t="n"/>
      <c r="AT1532" s="3" t="n"/>
      <c r="AU1532" s="3" t="n"/>
    </row>
    <row r="1533">
      <c r="A1533" s="3" t="n">
        <v>2031</v>
      </c>
      <c r="B1533" s="3" t="inlineStr">
        <is>
          <t>JOR</t>
        </is>
      </c>
      <c r="C1533" s="3" t="inlineStr">
        <is>
          <t>IMF.RES:WEO</t>
        </is>
      </c>
      <c r="D1533" s="3" t="inlineStr">
        <is>
          <t>JOR.GGX_NGDP.A</t>
        </is>
      </c>
      <c r="E1533" s="3" t="inlineStr">
        <is>
          <t>Jordan</t>
        </is>
      </c>
      <c r="F1533" s="3" t="inlineStr">
        <is>
          <t>Expenditure, General government, Percent of GDP</t>
        </is>
      </c>
      <c r="G1533" s="3" t="n">
        <v>31.222788</v>
      </c>
      <c r="H1533" s="3" t="n">
        <v>30.583327</v>
      </c>
      <c r="I1533" s="3" t="n">
        <v>31.612213</v>
      </c>
      <c r="J1533" s="3" t="n">
        <v>34.972887</v>
      </c>
      <c r="K1533" s="3" t="n">
        <v>35.148166</v>
      </c>
      <c r="L1533" s="3" t="n">
        <v>36.591266</v>
      </c>
      <c r="M1533" s="3" t="n">
        <v>33.951221</v>
      </c>
      <c r="N1533" s="3" t="n">
        <v>32.378209</v>
      </c>
      <c r="O1533" s="3" t="n">
        <v>29.576897</v>
      </c>
      <c r="P1533" s="3" t="n">
        <v>30.691875</v>
      </c>
      <c r="Q1533" s="3" t="n">
        <v>26.6213</v>
      </c>
      <c r="R1533" s="3" t="n">
        <v>29.34999</v>
      </c>
      <c r="S1533" s="3" t="n">
        <v>28.319305</v>
      </c>
      <c r="T1533" s="3" t="n">
        <v>34.480777</v>
      </c>
      <c r="U1533" s="3" t="n">
        <v>36.3114</v>
      </c>
      <c r="V1533" s="3" t="n">
        <v>32.306045</v>
      </c>
      <c r="W1533" s="3" t="n">
        <v>29.960386</v>
      </c>
      <c r="X1533" s="3" t="n">
        <v>31.697268</v>
      </c>
      <c r="Y1533" s="3" t="n">
        <v>33.314672</v>
      </c>
      <c r="Z1533" s="3" t="n">
        <v>32.665982</v>
      </c>
      <c r="AA1533" s="3" t="n">
        <v>33.025891</v>
      </c>
      <c r="AB1533" s="3" t="n">
        <v>33.806542</v>
      </c>
      <c r="AC1533" s="3" t="n">
        <v>32.826198</v>
      </c>
      <c r="AD1533" s="3" t="n">
        <v>33.898178</v>
      </c>
      <c r="AE1533" s="3" t="n">
        <v>34.576159</v>
      </c>
      <c r="AF1533" s="3" t="n">
        <v>33.713244</v>
      </c>
      <c r="AG1533" s="3" t="n">
        <v>33.685175</v>
      </c>
      <c r="AH1533" s="3" t="n">
        <v>33.645992</v>
      </c>
      <c r="AI1533" s="3" t="n">
        <v>33.180679</v>
      </c>
      <c r="AJ1533" s="3" t="n">
        <v>32.819005</v>
      </c>
      <c r="AK1533" s="3" t="n">
        <v>33.029567</v>
      </c>
      <c r="AL1533" s="3" t="n">
        <v>33.372547</v>
      </c>
      <c r="AM1533" s="3" t="n"/>
      <c r="AN1533" s="3" t="n"/>
      <c r="AO1533" s="3" t="n"/>
      <c r="AP1533" s="3" t="n"/>
      <c r="AQ1533" s="3" t="n"/>
      <c r="AR1533" s="3" t="n"/>
      <c r="AS1533" s="3" t="n"/>
      <c r="AT1533" s="3" t="n"/>
      <c r="AU1533" s="3" t="n"/>
    </row>
    <row r="1534">
      <c r="A1534" s="3" t="n">
        <v>2031</v>
      </c>
      <c r="B1534" s="3" t="inlineStr">
        <is>
          <t>JOR</t>
        </is>
      </c>
      <c r="C1534" s="3" t="inlineStr">
        <is>
          <t>IMF.RES:WEO</t>
        </is>
      </c>
      <c r="D1534" s="3" t="inlineStr">
        <is>
          <t>JOR.LP.A</t>
        </is>
      </c>
      <c r="E1534" s="3" t="inlineStr">
        <is>
          <t>Jordan</t>
        </is>
      </c>
      <c r="F1534" s="3" t="inlineStr">
        <is>
          <t>Population, Persons for countries / Index for country groups</t>
        </is>
      </c>
      <c r="G1534" s="3" t="n">
        <v>5.056174</v>
      </c>
      <c r="H1534" s="3" t="n">
        <v>5.16331</v>
      </c>
      <c r="I1534" s="3" t="n">
        <v>5.275532</v>
      </c>
      <c r="J1534" s="3" t="n">
        <v>5.396117</v>
      </c>
      <c r="K1534" s="3" t="n">
        <v>5.532423</v>
      </c>
      <c r="L1534" s="3" t="n">
        <v>5.678535</v>
      </c>
      <c r="M1534" s="3" t="n">
        <v>6.075549</v>
      </c>
      <c r="N1534" s="3" t="n">
        <v>6.473457</v>
      </c>
      <c r="O1534" s="3" t="n">
        <v>6.632873</v>
      </c>
      <c r="P1534" s="3" t="n">
        <v>6.780493</v>
      </c>
      <c r="Q1534" s="3" t="n">
        <v>6.931259</v>
      </c>
      <c r="R1534" s="3" t="n">
        <v>7.10998</v>
      </c>
      <c r="S1534" s="3" t="n">
        <v>7.211863</v>
      </c>
      <c r="T1534" s="3" t="n">
        <v>7.694814</v>
      </c>
      <c r="U1534" s="3" t="n">
        <v>8.658026</v>
      </c>
      <c r="V1534" s="3" t="n">
        <v>9.494247</v>
      </c>
      <c r="W1534" s="3" t="n">
        <v>9.964656</v>
      </c>
      <c r="X1534" s="3" t="n">
        <v>10.215382</v>
      </c>
      <c r="Y1534" s="3" t="n">
        <v>10.459866</v>
      </c>
      <c r="Z1534" s="3" t="n">
        <v>10.698684</v>
      </c>
      <c r="AA1534" s="3" t="n">
        <v>10.865228</v>
      </c>
      <c r="AB1534" s="3" t="n">
        <v>11.066356</v>
      </c>
      <c r="AC1534" s="3" t="n">
        <v>11.256264</v>
      </c>
      <c r="AD1534" s="3" t="n">
        <v>11.439214</v>
      </c>
      <c r="AE1534" s="3" t="n">
        <v>11.552876</v>
      </c>
      <c r="AF1534" s="3" t="n">
        <v>11.520685</v>
      </c>
      <c r="AG1534" s="3" t="n">
        <v>11.589533</v>
      </c>
      <c r="AH1534" s="3" t="n">
        <v>11.819464</v>
      </c>
      <c r="AI1534" s="3" t="n">
        <v>12.03446</v>
      </c>
      <c r="AJ1534" s="3" t="n">
        <v>12.245732</v>
      </c>
      <c r="AK1534" s="3" t="n">
        <v>12.448776</v>
      </c>
      <c r="AL1534" s="3" t="n">
        <v>12.652554</v>
      </c>
      <c r="AM1534" s="3" t="n"/>
      <c r="AN1534" s="3" t="n"/>
      <c r="AO1534" s="3" t="n"/>
      <c r="AP1534" s="3" t="n"/>
      <c r="AQ1534" s="3" t="n"/>
      <c r="AR1534" s="3" t="n"/>
      <c r="AS1534" s="3" t="n"/>
      <c r="AT1534" s="3" t="n"/>
      <c r="AU1534" s="3" t="n"/>
    </row>
    <row r="1535">
      <c r="A1535" s="3" t="n">
        <v>2031</v>
      </c>
      <c r="B1535" s="3" t="inlineStr">
        <is>
          <t>JOR</t>
        </is>
      </c>
      <c r="C1535" s="3" t="inlineStr">
        <is>
          <t>IMF.RES:WEO</t>
        </is>
      </c>
      <c r="D1535" s="3" t="inlineStr">
        <is>
          <t>JOR.NGDP.A</t>
        </is>
      </c>
      <c r="E1535" s="3" t="inlineStr">
        <is>
          <t>Jordan</t>
        </is>
      </c>
      <c r="F1535" s="3" t="inlineStr">
        <is>
          <t>Gross domestic product (GDP), Current prices, Domestic currency</t>
        </is>
      </c>
      <c r="G1535" s="3" t="n">
        <v>6.83283</v>
      </c>
      <c r="H1535" s="3" t="n">
        <v>7.25853</v>
      </c>
      <c r="I1535" s="3" t="n">
        <v>7.80964</v>
      </c>
      <c r="J1535" s="3" t="n">
        <v>8.28201</v>
      </c>
      <c r="K1535" s="3" t="n">
        <v>9.218349999999999</v>
      </c>
      <c r="L1535" s="3" t="n">
        <v>10.28573</v>
      </c>
      <c r="M1535" s="3" t="n">
        <v>12.3701</v>
      </c>
      <c r="N1535" s="3" t="n">
        <v>14.06277</v>
      </c>
      <c r="O1535" s="3" t="n">
        <v>18.20409</v>
      </c>
      <c r="P1535" s="3" t="n">
        <v>19.49832</v>
      </c>
      <c r="Q1535" s="3" t="n">
        <v>21.44398</v>
      </c>
      <c r="R1535" s="3" t="n">
        <v>23.17457</v>
      </c>
      <c r="S1535" s="3" t="n">
        <v>24.74637</v>
      </c>
      <c r="T1535" s="3" t="n">
        <v>26.89008</v>
      </c>
      <c r="U1535" s="3" t="n">
        <v>28.77999</v>
      </c>
      <c r="V1535" s="3" t="n">
        <v>30.09979</v>
      </c>
      <c r="W1535" s="3" t="n">
        <v>31.01883</v>
      </c>
      <c r="X1535" s="3" t="n">
        <v>32.33029</v>
      </c>
      <c r="Y1535" s="3" t="n">
        <v>33.6795</v>
      </c>
      <c r="Z1535" s="3" t="n">
        <v>34.5346</v>
      </c>
      <c r="AA1535" s="3" t="n">
        <v>34.03159</v>
      </c>
      <c r="AB1535" s="3" t="n">
        <v>35.99907</v>
      </c>
      <c r="AC1535" s="3" t="n">
        <v>37.99703</v>
      </c>
      <c r="AD1535" s="3" t="n">
        <v>39.84768</v>
      </c>
      <c r="AE1535" s="3" t="n">
        <v>41.61901</v>
      </c>
      <c r="AF1535" s="3" t="n">
        <v>43.739844</v>
      </c>
      <c r="AG1535" s="3" t="n">
        <v>46.020423</v>
      </c>
      <c r="AH1535" s="3" t="n">
        <v>48.538339</v>
      </c>
      <c r="AI1535" s="3" t="n">
        <v>51.144362</v>
      </c>
      <c r="AJ1535" s="3" t="n">
        <v>53.890303</v>
      </c>
      <c r="AK1535" s="3" t="n">
        <v>56.783673</v>
      </c>
      <c r="AL1535" s="3" t="n">
        <v>59.832389</v>
      </c>
      <c r="AM1535" s="3" t="n"/>
      <c r="AN1535" s="3" t="n"/>
      <c r="AO1535" s="3" t="n"/>
      <c r="AP1535" s="3" t="n"/>
      <c r="AQ1535" s="3" t="n"/>
      <c r="AR1535" s="3" t="n"/>
      <c r="AS1535" s="3" t="n"/>
      <c r="AT1535" s="3" t="n"/>
      <c r="AU1535" s="3" t="n"/>
    </row>
    <row r="1536">
      <c r="A1536" s="3" t="n">
        <v>2031</v>
      </c>
      <c r="B1536" s="3" t="inlineStr">
        <is>
          <t>JOR</t>
        </is>
      </c>
      <c r="C1536" s="3" t="inlineStr">
        <is>
          <t>IMF.RES:WEO</t>
        </is>
      </c>
      <c r="D1536" s="3" t="inlineStr">
        <is>
          <t>JOR.NGDP_D.A</t>
        </is>
      </c>
      <c r="E1536" s="3" t="inlineStr">
        <is>
          <t>Jordan</t>
        </is>
      </c>
      <c r="F1536" s="3" t="inlineStr">
        <is>
          <t>Gross domestic product (GDP), Price deflator, Index</t>
        </is>
      </c>
      <c r="G1536" s="3" t="n">
        <v>43.706531</v>
      </c>
      <c r="H1536" s="3" t="n">
        <v>44.223977</v>
      </c>
      <c r="I1536" s="3" t="n">
        <v>44.642305</v>
      </c>
      <c r="J1536" s="3" t="n">
        <v>45.530591</v>
      </c>
      <c r="K1536" s="3" t="n">
        <v>46.812713</v>
      </c>
      <c r="L1536" s="3" t="n">
        <v>47.998464</v>
      </c>
      <c r="M1536" s="3" t="n">
        <v>53.195465</v>
      </c>
      <c r="N1536" s="3" t="n">
        <v>55.802207</v>
      </c>
      <c r="O1536" s="3" t="n">
        <v>66.696502</v>
      </c>
      <c r="P1536" s="3" t="n">
        <v>67.96113</v>
      </c>
      <c r="Q1536" s="3" t="n">
        <v>72.821772</v>
      </c>
      <c r="R1536" s="3" t="n">
        <v>76.47535000000001</v>
      </c>
      <c r="S1536" s="3" t="n">
        <v>79.744786</v>
      </c>
      <c r="T1536" s="3" t="n">
        <v>84.355557</v>
      </c>
      <c r="U1536" s="3" t="n">
        <v>87.380815</v>
      </c>
      <c r="V1536" s="3" t="n">
        <v>89.139188</v>
      </c>
      <c r="W1536" s="3" t="n">
        <v>89.961282</v>
      </c>
      <c r="X1536" s="3" t="n">
        <v>91.47098099999999</v>
      </c>
      <c r="Y1536" s="3" t="n">
        <v>93.553985</v>
      </c>
      <c r="Z1536" s="3" t="n">
        <v>94.180949</v>
      </c>
      <c r="AA1536" s="3" t="n">
        <v>93.891204</v>
      </c>
      <c r="AB1536" s="3" t="n">
        <v>95.727746</v>
      </c>
      <c r="AC1536" s="3" t="n">
        <v>98.33943499999999</v>
      </c>
      <c r="AD1536" s="3" t="n">
        <v>100.00005</v>
      </c>
      <c r="AE1536" s="3" t="n">
        <v>101.842134</v>
      </c>
      <c r="AF1536" s="3" t="n">
        <v>104.235414</v>
      </c>
      <c r="AG1536" s="3" t="n">
        <v>106.737063</v>
      </c>
      <c r="AH1536" s="3" t="n">
        <v>109.192016</v>
      </c>
      <c r="AI1536" s="3" t="n">
        <v>111.703432</v>
      </c>
      <c r="AJ1536" s="3" t="n">
        <v>114.272611</v>
      </c>
      <c r="AK1536" s="3" t="n">
        <v>116.900881</v>
      </c>
      <c r="AL1536" s="3" t="n">
        <v>119.589602</v>
      </c>
      <c r="AM1536" s="3" t="n"/>
      <c r="AN1536" s="3" t="n"/>
      <c r="AO1536" s="3" t="n"/>
      <c r="AP1536" s="3" t="n"/>
      <c r="AQ1536" s="3" t="n"/>
      <c r="AR1536" s="3" t="n"/>
      <c r="AS1536" s="3" t="n"/>
      <c r="AT1536" s="3" t="n"/>
      <c r="AU1536" s="3" t="n"/>
    </row>
    <row r="1537">
      <c r="A1537" s="3" t="n">
        <v>2031</v>
      </c>
      <c r="B1537" s="3" t="inlineStr">
        <is>
          <t>JOR</t>
        </is>
      </c>
      <c r="C1537" s="3" t="inlineStr">
        <is>
          <t>IMF.RES:WEO</t>
        </is>
      </c>
      <c r="D1537" s="3" t="inlineStr">
        <is>
          <t>JOR.NGDP_R.A</t>
        </is>
      </c>
      <c r="E1537" s="3" t="inlineStr">
        <is>
          <t>Jordan</t>
        </is>
      </c>
      <c r="F1537" s="3" t="inlineStr">
        <is>
          <t>Gross domestic product (GDP), Constant prices, Domestic currency</t>
        </is>
      </c>
      <c r="G1537" s="3" t="n">
        <v>15.63343</v>
      </c>
      <c r="H1537" s="3" t="n">
        <v>16.41311</v>
      </c>
      <c r="I1537" s="3" t="n">
        <v>17.49381</v>
      </c>
      <c r="J1537" s="3" t="n">
        <v>18.18999</v>
      </c>
      <c r="K1537" s="3" t="n">
        <v>19.69198</v>
      </c>
      <c r="L1537" s="3" t="n">
        <v>21.42929</v>
      </c>
      <c r="M1537" s="3" t="n">
        <v>23.25405</v>
      </c>
      <c r="N1537" s="3" t="n">
        <v>25.2011</v>
      </c>
      <c r="O1537" s="3" t="n">
        <v>27.29392</v>
      </c>
      <c r="P1537" s="3" t="n">
        <v>28.6904</v>
      </c>
      <c r="Q1537" s="3" t="n">
        <v>29.44721</v>
      </c>
      <c r="R1537" s="3" t="n">
        <v>30.30332</v>
      </c>
      <c r="S1537" s="3" t="n">
        <v>31.03196</v>
      </c>
      <c r="T1537" s="3" t="n">
        <v>31.87707</v>
      </c>
      <c r="U1537" s="3" t="n">
        <v>32.93628</v>
      </c>
      <c r="V1537" s="3" t="n">
        <v>33.76718</v>
      </c>
      <c r="W1537" s="3" t="n">
        <v>34.4802</v>
      </c>
      <c r="X1537" s="3" t="n">
        <v>35.34486</v>
      </c>
      <c r="Y1537" s="3" t="n">
        <v>36.00007</v>
      </c>
      <c r="Z1537" s="3" t="n">
        <v>36.66835</v>
      </c>
      <c r="AA1537" s="3" t="n">
        <v>36.24577</v>
      </c>
      <c r="AB1537" s="3" t="n">
        <v>37.60568</v>
      </c>
      <c r="AC1537" s="3" t="n">
        <v>38.63865</v>
      </c>
      <c r="AD1537" s="3" t="n">
        <v>39.84766</v>
      </c>
      <c r="AE1537" s="3" t="n">
        <v>40.8662</v>
      </c>
      <c r="AF1537" s="3" t="n">
        <v>41.962556</v>
      </c>
      <c r="AG1537" s="3" t="n">
        <v>43.115692</v>
      </c>
      <c r="AH1537" s="3" t="n">
        <v>44.452278</v>
      </c>
      <c r="AI1537" s="3" t="n">
        <v>45.785846</v>
      </c>
      <c r="AJ1537" s="3" t="n">
        <v>47.159422</v>
      </c>
      <c r="AK1537" s="3" t="n">
        <v>48.574204</v>
      </c>
      <c r="AL1537" s="3" t="n">
        <v>50.031431</v>
      </c>
      <c r="AM1537" s="3" t="n"/>
      <c r="AN1537" s="3" t="n"/>
      <c r="AO1537" s="3" t="n"/>
      <c r="AP1537" s="3" t="n"/>
      <c r="AQ1537" s="3" t="n"/>
      <c r="AR1537" s="3" t="n"/>
      <c r="AS1537" s="3" t="n"/>
      <c r="AT1537" s="3" t="n"/>
      <c r="AU1537" s="3" t="n"/>
    </row>
    <row r="1538">
      <c r="A1538" s="3" t="n">
        <v>2031</v>
      </c>
      <c r="B1538" s="3" t="inlineStr">
        <is>
          <t>JOR</t>
        </is>
      </c>
      <c r="C1538" s="3" t="inlineStr">
        <is>
          <t>IMF.RES:WEO</t>
        </is>
      </c>
      <c r="D1538" s="3" t="inlineStr">
        <is>
          <t>JOR.NGDP_RPCH.A</t>
        </is>
      </c>
      <c r="E1538" s="3" t="inlineStr">
        <is>
          <t>Jordan</t>
        </is>
      </c>
      <c r="F1538" s="3" t="inlineStr">
        <is>
          <t>Gross domestic product (GDP), Constant prices, Percent change</t>
        </is>
      </c>
      <c r="G1538" s="3" t="n">
        <v>4.200429</v>
      </c>
      <c r="H1538" s="3" t="n">
        <v>4.987261</v>
      </c>
      <c r="I1538" s="3" t="n">
        <v>6.584371</v>
      </c>
      <c r="J1538" s="3" t="n">
        <v>3.979579</v>
      </c>
      <c r="K1538" s="3" t="n">
        <v>8.257234</v>
      </c>
      <c r="L1538" s="3" t="n">
        <v>8.822424</v>
      </c>
      <c r="M1538" s="3" t="n">
        <v>8.515261000000001</v>
      </c>
      <c r="N1538" s="3" t="n">
        <v>8.372949999999999</v>
      </c>
      <c r="O1538" s="3" t="n">
        <v>8.304479000000001</v>
      </c>
      <c r="P1538" s="3" t="n">
        <v>5.116451</v>
      </c>
      <c r="Q1538" s="3" t="n">
        <v>2.637851</v>
      </c>
      <c r="R1538" s="3" t="n">
        <v>2.90727</v>
      </c>
      <c r="S1538" s="3" t="n">
        <v>2.404489</v>
      </c>
      <c r="T1538" s="3" t="n">
        <v>2.723354</v>
      </c>
      <c r="U1538" s="3" t="n">
        <v>3.322796</v>
      </c>
      <c r="V1538" s="3" t="n">
        <v>2.52275</v>
      </c>
      <c r="W1538" s="3" t="n">
        <v>2.111577</v>
      </c>
      <c r="X1538" s="3" t="n">
        <v>2.5077</v>
      </c>
      <c r="Y1538" s="3" t="n">
        <v>1.853763</v>
      </c>
      <c r="Z1538" s="3" t="n">
        <v>1.85633</v>
      </c>
      <c r="AA1538" s="3" t="n">
        <v>-1.152438</v>
      </c>
      <c r="AB1538" s="3" t="n">
        <v>3.751914</v>
      </c>
      <c r="AC1538" s="3" t="n">
        <v>2.746846</v>
      </c>
      <c r="AD1538" s="3" t="n">
        <v>3.129017</v>
      </c>
      <c r="AE1538" s="3" t="n">
        <v>2.556085</v>
      </c>
      <c r="AF1538" s="3" t="n">
        <v>2.682793</v>
      </c>
      <c r="AG1538" s="3" t="n">
        <v>2.748012</v>
      </c>
      <c r="AH1538" s="3" t="n">
        <v>3.1</v>
      </c>
      <c r="AI1538" s="3" t="n">
        <v>3</v>
      </c>
      <c r="AJ1538" s="3" t="n">
        <v>3</v>
      </c>
      <c r="AK1538" s="3" t="n">
        <v>3</v>
      </c>
      <c r="AL1538" s="3" t="n">
        <v>3</v>
      </c>
      <c r="AM1538" s="3" t="n"/>
      <c r="AN1538" s="3" t="n"/>
      <c r="AO1538" s="3" t="n"/>
      <c r="AP1538" s="3" t="n"/>
      <c r="AQ1538" s="3" t="n"/>
      <c r="AR1538" s="3" t="n"/>
      <c r="AS1538" s="3" t="n"/>
      <c r="AT1538" s="3" t="n"/>
      <c r="AU1538" s="3" t="n"/>
    </row>
    <row r="1539">
      <c r="A1539" s="3" t="n">
        <v>2031</v>
      </c>
      <c r="B1539" s="3" t="inlineStr">
        <is>
          <t>JOR</t>
        </is>
      </c>
      <c r="C1539" s="3" t="inlineStr">
        <is>
          <t>IMF.RES:WEO</t>
        </is>
      </c>
      <c r="D1539" s="3" t="inlineStr">
        <is>
          <t>JOR.NGDPD.A</t>
        </is>
      </c>
      <c r="E1539" s="3" t="inlineStr">
        <is>
          <t>Jordan</t>
        </is>
      </c>
      <c r="F1539" s="3" t="inlineStr">
        <is>
          <t>Gross domestic product (GDP), Current prices, US dollar</t>
        </is>
      </c>
      <c r="G1539" s="3" t="n">
        <v>9.637297</v>
      </c>
      <c r="H1539" s="3" t="n">
        <v>10.237721</v>
      </c>
      <c r="I1539" s="3" t="n">
        <v>11.015029</v>
      </c>
      <c r="J1539" s="3" t="n">
        <v>11.681278</v>
      </c>
      <c r="K1539" s="3" t="n">
        <v>13.00193</v>
      </c>
      <c r="L1539" s="3" t="n">
        <v>14.507405</v>
      </c>
      <c r="M1539" s="3" t="n">
        <v>17.44725</v>
      </c>
      <c r="N1539" s="3" t="n">
        <v>19.834694</v>
      </c>
      <c r="O1539" s="3" t="n">
        <v>25.639563</v>
      </c>
      <c r="P1539" s="3" t="n">
        <v>27.462423</v>
      </c>
      <c r="Q1539" s="3" t="n">
        <v>30.202789</v>
      </c>
      <c r="R1539" s="3" t="n">
        <v>32.640239</v>
      </c>
      <c r="S1539" s="3" t="n">
        <v>34.90327</v>
      </c>
      <c r="T1539" s="3" t="n">
        <v>37.926844</v>
      </c>
      <c r="U1539" s="3" t="n">
        <v>40.592449</v>
      </c>
      <c r="V1539" s="3" t="n">
        <v>42.453948</v>
      </c>
      <c r="W1539" s="3" t="n">
        <v>43.750199</v>
      </c>
      <c r="X1539" s="3" t="n">
        <v>45.599934</v>
      </c>
      <c r="Y1539" s="3" t="n">
        <v>47.502914</v>
      </c>
      <c r="Z1539" s="3" t="n">
        <v>48.708981</v>
      </c>
      <c r="AA1539" s="3" t="n">
        <v>47.999516</v>
      </c>
      <c r="AB1539" s="3" t="n">
        <v>50.774528</v>
      </c>
      <c r="AC1539" s="3" t="n">
        <v>53.592531</v>
      </c>
      <c r="AD1539" s="3" t="n">
        <v>56.202762</v>
      </c>
      <c r="AE1539" s="3" t="n">
        <v>58.701116</v>
      </c>
      <c r="AF1539" s="3" t="n">
        <v>61.692425</v>
      </c>
      <c r="AG1539" s="3" t="n">
        <v>64.909046</v>
      </c>
      <c r="AH1539" s="3" t="n">
        <v>68.460414</v>
      </c>
      <c r="AI1539" s="3" t="n">
        <v>72.136054</v>
      </c>
      <c r="AJ1539" s="3" t="n">
        <v>76.009039</v>
      </c>
      <c r="AK1539" s="3" t="n">
        <v>80.08996399999999</v>
      </c>
      <c r="AL1539" s="3" t="n">
        <v>84.389994</v>
      </c>
      <c r="AM1539" s="3" t="n"/>
      <c r="AN1539" s="3" t="n"/>
      <c r="AO1539" s="3" t="n"/>
      <c r="AP1539" s="3" t="n"/>
      <c r="AQ1539" s="3" t="n"/>
      <c r="AR1539" s="3" t="n"/>
      <c r="AS1539" s="3" t="n"/>
      <c r="AT1539" s="3" t="n"/>
      <c r="AU1539" s="3" t="n"/>
    </row>
    <row r="1540">
      <c r="A1540" s="3" t="n">
        <v>2031</v>
      </c>
      <c r="B1540" s="3" t="inlineStr">
        <is>
          <t>JOR</t>
        </is>
      </c>
      <c r="C1540" s="3" t="inlineStr">
        <is>
          <t>IMF.RES:WEO</t>
        </is>
      </c>
      <c r="D1540" s="3" t="inlineStr">
        <is>
          <t>JOR.NGDPPC.A</t>
        </is>
      </c>
      <c r="E1540" s="3" t="inlineStr">
        <is>
          <t>Jordan</t>
        </is>
      </c>
      <c r="F1540" s="3" t="inlineStr">
        <is>
          <t>Gross domestic product (GDP), Current prices, Per capita, Domestic currency</t>
        </is>
      </c>
      <c r="G1540" s="3" t="n">
        <v>1351.383477</v>
      </c>
      <c r="H1540" s="3" t="n">
        <v>1405.790084</v>
      </c>
      <c r="I1540" s="3" t="n">
        <v>1480.351316</v>
      </c>
      <c r="J1540" s="3" t="n">
        <v>1534.809339</v>
      </c>
      <c r="K1540" s="3" t="n">
        <v>1666.240994</v>
      </c>
      <c r="L1540" s="3" t="n">
        <v>1811.335301</v>
      </c>
      <c r="M1540" s="3" t="n">
        <v>2036.046622</v>
      </c>
      <c r="N1540" s="3" t="n">
        <v>2172.374218</v>
      </c>
      <c r="O1540" s="3" t="n">
        <v>2744.525845</v>
      </c>
      <c r="P1540" s="3" t="n">
        <v>2875.64952</v>
      </c>
      <c r="Q1540" s="3" t="n">
        <v>3093.807568</v>
      </c>
      <c r="R1540" s="3" t="n">
        <v>3259.442591</v>
      </c>
      <c r="S1540" s="3" t="n">
        <v>3431.34222</v>
      </c>
      <c r="T1540" s="3" t="n">
        <v>3494.571799</v>
      </c>
      <c r="U1540" s="3" t="n">
        <v>3324.082187</v>
      </c>
      <c r="V1540" s="3" t="n">
        <v>3170.318993</v>
      </c>
      <c r="W1540" s="3" t="n">
        <v>3112.885338</v>
      </c>
      <c r="X1540" s="3" t="n">
        <v>3164.863691</v>
      </c>
      <c r="Y1540" s="3" t="n">
        <v>3219.878879</v>
      </c>
      <c r="Z1540" s="3" t="n">
        <v>3227.929866</v>
      </c>
      <c r="AA1540" s="3" t="n">
        <v>3132.15623</v>
      </c>
      <c r="AB1540" s="3" t="n">
        <v>3253.019332</v>
      </c>
      <c r="AC1540" s="3" t="n">
        <v>3375.634375</v>
      </c>
      <c r="AD1540" s="3" t="n">
        <v>3483.428297</v>
      </c>
      <c r="AE1540" s="3" t="n">
        <v>3602.480456</v>
      </c>
      <c r="AF1540" s="3" t="n">
        <v>3796.635826</v>
      </c>
      <c r="AG1540" s="3" t="n">
        <v>3970.861047</v>
      </c>
      <c r="AH1540" s="3" t="n">
        <v>4106.644821</v>
      </c>
      <c r="AI1540" s="3" t="n">
        <v>4249.82608</v>
      </c>
      <c r="AJ1540" s="3" t="n">
        <v>4400.741823</v>
      </c>
      <c r="AK1540" s="3" t="n">
        <v>4561.386044</v>
      </c>
      <c r="AL1540" s="3" t="n">
        <v>4728.878338</v>
      </c>
      <c r="AM1540" s="3" t="n"/>
      <c r="AN1540" s="3" t="n"/>
      <c r="AO1540" s="3" t="n"/>
      <c r="AP1540" s="3" t="n"/>
      <c r="AQ1540" s="3" t="n"/>
      <c r="AR1540" s="3" t="n"/>
      <c r="AS1540" s="3" t="n"/>
      <c r="AT1540" s="3" t="n"/>
      <c r="AU1540" s="3" t="n"/>
    </row>
    <row r="1541">
      <c r="A1541" s="3" t="n">
        <v>2031</v>
      </c>
      <c r="B1541" s="3" t="inlineStr">
        <is>
          <t>JOR</t>
        </is>
      </c>
      <c r="C1541" s="3" t="inlineStr">
        <is>
          <t>IMF.RES:WEO</t>
        </is>
      </c>
      <c r="D1541" s="3" t="inlineStr">
        <is>
          <t>JOR.NGDPRPC.A</t>
        </is>
      </c>
      <c r="E1541" s="3" t="inlineStr">
        <is>
          <t>Jordan</t>
        </is>
      </c>
      <c r="F1541" s="3" t="inlineStr">
        <is>
          <t>Gross domestic product (GDP), Constant prices, Per capita, Domestic currency</t>
        </is>
      </c>
      <c r="G1541" s="3" t="n">
        <v>3091.948576</v>
      </c>
      <c r="H1541" s="3" t="n">
        <v>3178.79616</v>
      </c>
      <c r="I1541" s="3" t="n">
        <v>3316.027968</v>
      </c>
      <c r="J1541" s="3" t="n">
        <v>3370.940935</v>
      </c>
      <c r="K1541" s="3" t="n">
        <v>3559.377148</v>
      </c>
      <c r="L1541" s="3" t="n">
        <v>3773.735988</v>
      </c>
      <c r="M1541" s="3" t="n">
        <v>3827.481585</v>
      </c>
      <c r="N1541" s="3" t="n">
        <v>3892.989781</v>
      </c>
      <c r="O1541" s="3" t="n">
        <v>4114.947182</v>
      </c>
      <c r="P1541" s="3" t="n">
        <v>4231.315056</v>
      </c>
      <c r="Q1541" s="3" t="n">
        <v>4248.465124</v>
      </c>
      <c r="R1541" s="3" t="n">
        <v>4262.082612</v>
      </c>
      <c r="S1541" s="3" t="n">
        <v>4302.904811</v>
      </c>
      <c r="T1541" s="3" t="n">
        <v>4142.669335</v>
      </c>
      <c r="U1541" s="3" t="n">
        <v>3804.13272</v>
      </c>
      <c r="V1541" s="3" t="n">
        <v>3556.593986</v>
      </c>
      <c r="W1541" s="3" t="n">
        <v>3460.250081</v>
      </c>
      <c r="X1541" s="3" t="n">
        <v>3459.96476</v>
      </c>
      <c r="Y1541" s="3" t="n">
        <v>3441.733548</v>
      </c>
      <c r="Z1541" s="3" t="n">
        <v>3427.370293</v>
      </c>
      <c r="AA1541" s="3" t="n">
        <v>3335.942114</v>
      </c>
      <c r="AB1541" s="3" t="n">
        <v>3398.19901</v>
      </c>
      <c r="AC1541" s="3" t="n">
        <v>3432.635528</v>
      </c>
      <c r="AD1541" s="3" t="n">
        <v>3483.426549</v>
      </c>
      <c r="AE1541" s="3" t="n">
        <v>3537.318327</v>
      </c>
      <c r="AF1541" s="3" t="n">
        <v>3642.36654</v>
      </c>
      <c r="AG1541" s="3" t="n">
        <v>3720.226993</v>
      </c>
      <c r="AH1541" s="3" t="n">
        <v>3760.938733</v>
      </c>
      <c r="AI1541" s="3" t="n">
        <v>3804.561769</v>
      </c>
      <c r="AJ1541" s="3" t="n">
        <v>3851.090628</v>
      </c>
      <c r="AK1541" s="3" t="n">
        <v>3901.926139</v>
      </c>
      <c r="AL1541" s="3" t="n">
        <v>3954.25545</v>
      </c>
      <c r="AM1541" s="3" t="n"/>
      <c r="AN1541" s="3" t="n"/>
      <c r="AO1541" s="3" t="n"/>
      <c r="AP1541" s="3" t="n"/>
      <c r="AQ1541" s="3" t="n"/>
      <c r="AR1541" s="3" t="n"/>
      <c r="AS1541" s="3" t="n"/>
      <c r="AT1541" s="3" t="n"/>
      <c r="AU1541" s="3" t="n"/>
    </row>
    <row r="1542">
      <c r="A1542" s="3" t="n">
        <v>2031</v>
      </c>
      <c r="B1542" s="3" t="inlineStr">
        <is>
          <t>JOR</t>
        </is>
      </c>
      <c r="C1542" s="3" t="inlineStr">
        <is>
          <t>IMF.RES:WEO</t>
        </is>
      </c>
      <c r="D1542" s="3" t="inlineStr">
        <is>
          <t>JOR.PCPI.A</t>
        </is>
      </c>
      <c r="E1542" s="3" t="inlineStr">
        <is>
          <t>Jordan</t>
        </is>
      </c>
      <c r="F1542" s="3" t="inlineStr">
        <is>
          <t>All Items, Consumer price index (CPI), Period average</t>
        </is>
      </c>
      <c r="G1542" s="3" t="n">
        <v>53.938798</v>
      </c>
      <c r="H1542" s="3" t="n">
        <v>54.892259</v>
      </c>
      <c r="I1542" s="3" t="n">
        <v>55.899312</v>
      </c>
      <c r="J1542" s="3" t="n">
        <v>56.809027</v>
      </c>
      <c r="K1542" s="3" t="n">
        <v>58.720861</v>
      </c>
      <c r="L1542" s="3" t="n">
        <v>60.770574</v>
      </c>
      <c r="M1542" s="3" t="n">
        <v>64.57166700000001</v>
      </c>
      <c r="N1542" s="3" t="n">
        <v>67.63500000000001</v>
      </c>
      <c r="O1542" s="3" t="n">
        <v>77.08499999999999</v>
      </c>
      <c r="P1542" s="3" t="n">
        <v>76.513333</v>
      </c>
      <c r="Q1542" s="3" t="n">
        <v>80.2225</v>
      </c>
      <c r="R1542" s="3" t="n">
        <v>83.56</v>
      </c>
      <c r="S1542" s="3" t="n">
        <v>87.3325</v>
      </c>
      <c r="T1542" s="3" t="n">
        <v>91.549167</v>
      </c>
      <c r="U1542" s="3" t="n">
        <v>94.200833</v>
      </c>
      <c r="V1542" s="3" t="n">
        <v>93.374167</v>
      </c>
      <c r="W1542" s="3" t="n">
        <v>92.64833299999999</v>
      </c>
      <c r="X1542" s="3" t="n">
        <v>95.729167</v>
      </c>
      <c r="Y1542" s="3" t="n">
        <v>100.001667</v>
      </c>
      <c r="Z1542" s="3" t="n">
        <v>100.76</v>
      </c>
      <c r="AA1542" s="3" t="n">
        <v>101.096667</v>
      </c>
      <c r="AB1542" s="3" t="n">
        <v>102.458333</v>
      </c>
      <c r="AC1542" s="3" t="n">
        <v>106.791667</v>
      </c>
      <c r="AD1542" s="3" t="n">
        <v>109.0175</v>
      </c>
      <c r="AE1542" s="3" t="n">
        <v>110.713333</v>
      </c>
      <c r="AF1542" s="3" t="n">
        <v>112.67</v>
      </c>
      <c r="AG1542" s="3" t="n">
        <v>115.205826</v>
      </c>
      <c r="AH1542" s="3" t="n">
        <v>117.705877</v>
      </c>
      <c r="AI1542" s="3" t="n">
        <v>120.279295</v>
      </c>
      <c r="AJ1542" s="3" t="n">
        <v>122.919017</v>
      </c>
      <c r="AK1542" s="3" t="n">
        <v>125.626851</v>
      </c>
      <c r="AL1542" s="3" t="n">
        <v>128.394338</v>
      </c>
      <c r="AM1542" s="3" t="n"/>
      <c r="AN1542" s="3" t="n"/>
      <c r="AO1542" s="3" t="n"/>
      <c r="AP1542" s="3" t="n"/>
      <c r="AQ1542" s="3" t="n"/>
      <c r="AR1542" s="3" t="n"/>
      <c r="AS1542" s="3" t="n"/>
      <c r="AT1542" s="3" t="n"/>
      <c r="AU1542" s="3" t="n"/>
    </row>
    <row r="1543">
      <c r="A1543" s="3" t="n">
        <v>2031</v>
      </c>
      <c r="B1543" s="3" t="inlineStr">
        <is>
          <t>JOR</t>
        </is>
      </c>
      <c r="C1543" s="3" t="inlineStr">
        <is>
          <t>IMF.RES:WEO</t>
        </is>
      </c>
      <c r="D1543" s="3" t="inlineStr">
        <is>
          <t>JOR.PCPIPCH.A</t>
        </is>
      </c>
      <c r="E1543" s="3" t="inlineStr">
        <is>
          <t>Jordan</t>
        </is>
      </c>
      <c r="F1543" s="3" t="inlineStr">
        <is>
          <t>All Items, Consumer price index (CPI), Period average, percent change</t>
        </is>
      </c>
      <c r="G1543" s="3" t="n">
        <v>0.673592</v>
      </c>
      <c r="H1543" s="3" t="n">
        <v>1.767672</v>
      </c>
      <c r="I1543" s="3" t="n">
        <v>1.8346</v>
      </c>
      <c r="J1543" s="3" t="n">
        <v>1.627416</v>
      </c>
      <c r="K1543" s="3" t="n">
        <v>3.365371</v>
      </c>
      <c r="L1543" s="3" t="n">
        <v>3.490603</v>
      </c>
      <c r="M1543" s="3" t="n">
        <v>6.254825</v>
      </c>
      <c r="N1543" s="3" t="n">
        <v>4.744083</v>
      </c>
      <c r="O1543" s="3" t="n">
        <v>13.972056</v>
      </c>
      <c r="P1543" s="3" t="n">
        <v>-0.741606</v>
      </c>
      <c r="Q1543" s="3" t="n">
        <v>4.847739</v>
      </c>
      <c r="R1543" s="3" t="n">
        <v>4.160304</v>
      </c>
      <c r="S1543" s="3" t="n">
        <v>4.51472</v>
      </c>
      <c r="T1543" s="3" t="n">
        <v>4.82829</v>
      </c>
      <c r="U1543" s="3" t="n">
        <v>2.89644</v>
      </c>
      <c r="V1543" s="3" t="n">
        <v>-0.8775579999999999</v>
      </c>
      <c r="W1543" s="3" t="n">
        <v>-0.777338</v>
      </c>
      <c r="X1543" s="3" t="n">
        <v>3.325298</v>
      </c>
      <c r="Y1543" s="3" t="n">
        <v>4.463112</v>
      </c>
      <c r="Z1543" s="3" t="n">
        <v>0.758321</v>
      </c>
      <c r="AA1543" s="3" t="n">
        <v>0.334127</v>
      </c>
      <c r="AB1543" s="3" t="n">
        <v>1.346896</v>
      </c>
      <c r="AC1543" s="3" t="n">
        <v>4.229362</v>
      </c>
      <c r="AD1543" s="3" t="n">
        <v>2.084276</v>
      </c>
      <c r="AE1543" s="3" t="n">
        <v>1.555561</v>
      </c>
      <c r="AF1543" s="3" t="n">
        <v>1.767327</v>
      </c>
      <c r="AG1543" s="3" t="n">
        <v>2.250667</v>
      </c>
      <c r="AH1543" s="3" t="n">
        <v>2.170074</v>
      </c>
      <c r="AI1543" s="3" t="n">
        <v>2.186312</v>
      </c>
      <c r="AJ1543" s="3" t="n">
        <v>2.19466</v>
      </c>
      <c r="AK1543" s="3" t="n">
        <v>2.202942</v>
      </c>
      <c r="AL1543" s="3" t="n">
        <v>2.202942</v>
      </c>
      <c r="AM1543" s="3" t="n"/>
      <c r="AN1543" s="3" t="n"/>
      <c r="AO1543" s="3" t="n"/>
      <c r="AP1543" s="3" t="n"/>
      <c r="AQ1543" s="3" t="n"/>
      <c r="AR1543" s="3" t="n"/>
      <c r="AS1543" s="3" t="n"/>
      <c r="AT1543" s="3" t="n"/>
      <c r="AU1543" s="3" t="n"/>
    </row>
    <row r="1544">
      <c r="A1544" s="3" t="n">
        <v>2031</v>
      </c>
      <c r="B1544" s="3" t="inlineStr">
        <is>
          <t>JOR</t>
        </is>
      </c>
      <c r="C1544" s="3" t="inlineStr">
        <is>
          <t>IMF.RES:WEO</t>
        </is>
      </c>
      <c r="D1544" s="3" t="inlineStr">
        <is>
          <t>JOR.PPPPC.A</t>
        </is>
      </c>
      <c r="E1544" s="3" t="inlineStr">
        <is>
          <t>Jordan</t>
        </is>
      </c>
      <c r="F1544" s="3" t="inlineStr">
        <is>
          <t>Gross domestic product (GDP), Per capita, purchasing power parity (PPP) international dollar, ICP benchmarks 2017-2021</t>
        </is>
      </c>
      <c r="G1544" s="3" t="n">
        <v>6601.884089</v>
      </c>
      <c r="H1544" s="3" t="n">
        <v>6940.144475</v>
      </c>
      <c r="I1544" s="3" t="n">
        <v>7352.265871</v>
      </c>
      <c r="J1544" s="3" t="n">
        <v>7621.571626</v>
      </c>
      <c r="K1544" s="3" t="n">
        <v>8264.00978</v>
      </c>
      <c r="L1544" s="3" t="n">
        <v>9036.450161000001</v>
      </c>
      <c r="M1544" s="3" t="n">
        <v>9447.789749</v>
      </c>
      <c r="N1544" s="3" t="n">
        <v>9869.837823</v>
      </c>
      <c r="O1544" s="3" t="n">
        <v>10633.537118</v>
      </c>
      <c r="P1544" s="3" t="n">
        <v>11001.682311</v>
      </c>
      <c r="Q1544" s="3" t="n">
        <v>11180.527156</v>
      </c>
      <c r="R1544" s="3" t="n">
        <v>11447.785236</v>
      </c>
      <c r="S1544" s="3" t="n">
        <v>11772.623587</v>
      </c>
      <c r="T1544" s="3" t="n">
        <v>11527.132992</v>
      </c>
      <c r="U1544" s="3" t="n">
        <v>10769.50514</v>
      </c>
      <c r="V1544" s="3" t="n">
        <v>10162.165735</v>
      </c>
      <c r="W1544" s="3" t="n">
        <v>9980.832251</v>
      </c>
      <c r="X1544" s="3" t="n">
        <v>10158.740213</v>
      </c>
      <c r="Y1544" s="3" t="n">
        <v>9892.229275</v>
      </c>
      <c r="Z1544" s="3" t="n">
        <v>10279.849602</v>
      </c>
      <c r="AA1544" s="3" t="n">
        <v>10506.739026</v>
      </c>
      <c r="AB1544" s="3" t="n">
        <v>10056.55607</v>
      </c>
      <c r="AC1544" s="3" t="n">
        <v>10880.978966</v>
      </c>
      <c r="AD1544" s="3" t="n">
        <v>11450.536388</v>
      </c>
      <c r="AE1544" s="3" t="n">
        <v>11916.349134</v>
      </c>
      <c r="AF1544" s="3" t="n">
        <v>12618.308335</v>
      </c>
      <c r="AG1544" s="3" t="n">
        <v>13257.264705</v>
      </c>
      <c r="AH1544" s="3" t="n">
        <v>13696.645907</v>
      </c>
      <c r="AI1544" s="3" t="n">
        <v>14082.936041</v>
      </c>
      <c r="AJ1544" s="3" t="n">
        <v>14508.639245</v>
      </c>
      <c r="AK1544" s="3" t="n">
        <v>14970.276819</v>
      </c>
      <c r="AL1544" s="3" t="n">
        <v>15444.928579</v>
      </c>
      <c r="AM1544" s="3" t="n"/>
      <c r="AN1544" s="3" t="n"/>
      <c r="AO1544" s="3" t="n"/>
      <c r="AP1544" s="3" t="n"/>
      <c r="AQ1544" s="3" t="n"/>
      <c r="AR1544" s="3" t="n"/>
      <c r="AS1544" s="3" t="n"/>
      <c r="AT1544" s="3" t="n"/>
      <c r="AU1544" s="3" t="n"/>
    </row>
    <row r="1545">
      <c r="A1545" s="3" t="n">
        <v>2025</v>
      </c>
      <c r="B1545" s="3" t="inlineStr">
        <is>
          <t>JOR</t>
        </is>
      </c>
      <c r="C1545" s="3" t="inlineStr">
        <is>
          <t>IMF.STA:ER</t>
        </is>
      </c>
      <c r="D1545" s="3" t="inlineStr">
        <is>
          <t>JOR.XDC_USD.PA_RT.A</t>
        </is>
      </c>
      <c r="E1545" s="3" t="inlineStr">
        <is>
          <t>Jordan</t>
        </is>
      </c>
      <c r="F1545" s="3" t="inlineStr">
        <is>
          <t>Domestic currency per US Dollar</t>
        </is>
      </c>
      <c r="G1545" s="3" t="n">
        <v>0.709</v>
      </c>
      <c r="H1545" s="3" t="n">
        <v>0.708983174066667</v>
      </c>
      <c r="I1545" s="3" t="n">
        <v>0.7089998333333331</v>
      </c>
      <c r="J1545" s="3" t="n">
        <v>0.709</v>
      </c>
      <c r="K1545" s="3" t="n">
        <v>0.709</v>
      </c>
      <c r="L1545" s="3" t="n">
        <v>0.709</v>
      </c>
      <c r="M1545" s="3" t="n">
        <v>0.709</v>
      </c>
      <c r="N1545" s="3" t="n">
        <v>0.708999766666667</v>
      </c>
      <c r="O1545" s="3" t="n">
        <v>0.70966655</v>
      </c>
      <c r="P1545" s="3" t="n">
        <v>0.71</v>
      </c>
      <c r="Q1545" s="3" t="n">
        <v>0.71</v>
      </c>
      <c r="R1545" s="3" t="n">
        <v>0.71</v>
      </c>
      <c r="S1545" s="3" t="n">
        <v>0.71</v>
      </c>
      <c r="T1545" s="3" t="n">
        <v>0.71</v>
      </c>
      <c r="U1545" s="3" t="n">
        <v>0.71</v>
      </c>
      <c r="V1545" s="3" t="n">
        <v>0.71</v>
      </c>
      <c r="W1545" s="3" t="n">
        <v>0.71</v>
      </c>
      <c r="X1545" s="3" t="n">
        <v>0.71</v>
      </c>
      <c r="Y1545" s="3" t="n">
        <v>0.71</v>
      </c>
      <c r="Z1545" s="3" t="n">
        <v>0.71</v>
      </c>
      <c r="AA1545" s="3" t="n">
        <v>0.71</v>
      </c>
      <c r="AB1545" s="3" t="n">
        <v>0.71</v>
      </c>
      <c r="AC1545" s="3" t="n">
        <v>0.71</v>
      </c>
      <c r="AD1545" s="3" t="n">
        <v>0.71</v>
      </c>
      <c r="AE1545" s="3" t="n">
        <v>0.71</v>
      </c>
      <c r="AF1545" s="3" t="n">
        <v>0.71</v>
      </c>
      <c r="AG1545" s="3" t="n"/>
      <c r="AH1545" s="3" t="n"/>
      <c r="AI1545" s="3" t="n"/>
      <c r="AJ1545" s="3" t="n"/>
      <c r="AK1545" s="3" t="n"/>
      <c r="AL1545" s="3" t="n"/>
      <c r="AM1545" s="3" t="n"/>
      <c r="AN1545" s="3" t="n"/>
      <c r="AO1545" s="3" t="n"/>
      <c r="AP1545" s="3" t="n"/>
      <c r="AQ1545" s="3" t="n"/>
      <c r="AR1545" s="3" t="n"/>
      <c r="AS1545" s="3" t="n"/>
      <c r="AT1545" s="3" t="n"/>
      <c r="AU1545" s="3" t="n"/>
    </row>
    <row r="1546">
      <c r="A1546" s="3" t="n">
        <v>2031</v>
      </c>
      <c r="B1546" s="3" t="inlineStr">
        <is>
          <t>JPN</t>
        </is>
      </c>
      <c r="C1546" s="3" t="inlineStr">
        <is>
          <t>IMF.RES:WEO</t>
        </is>
      </c>
      <c r="D1546" s="3" t="inlineStr">
        <is>
          <t>JPN.BCA.A</t>
        </is>
      </c>
      <c r="E1546" s="3" t="inlineStr">
        <is>
          <t>Japan</t>
        </is>
      </c>
      <c r="F1546" s="3" t="inlineStr">
        <is>
          <t>Current account balance (credit less debit), US dollar</t>
        </is>
      </c>
      <c r="G1546" s="3" t="n">
        <v>130.591092</v>
      </c>
      <c r="H1546" s="3" t="n">
        <v>86.18903299999999</v>
      </c>
      <c r="I1546" s="3" t="n">
        <v>109.149258</v>
      </c>
      <c r="J1546" s="3" t="n">
        <v>139.43711</v>
      </c>
      <c r="K1546" s="3" t="n">
        <v>182.066068</v>
      </c>
      <c r="L1546" s="3" t="n">
        <v>170.094449</v>
      </c>
      <c r="M1546" s="3" t="n">
        <v>174.480499</v>
      </c>
      <c r="N1546" s="3" t="n">
        <v>212.179063</v>
      </c>
      <c r="O1546" s="3" t="n">
        <v>142.572547</v>
      </c>
      <c r="P1546" s="3" t="n">
        <v>145.210372</v>
      </c>
      <c r="Q1546" s="3" t="n">
        <v>221.060162</v>
      </c>
      <c r="R1546" s="3" t="n">
        <v>129.881762</v>
      </c>
      <c r="S1546" s="3" t="n">
        <v>59.674712</v>
      </c>
      <c r="T1546" s="3" t="n">
        <v>45.951532</v>
      </c>
      <c r="U1546" s="3" t="n">
        <v>36.770691</v>
      </c>
      <c r="V1546" s="3" t="n">
        <v>136.4477</v>
      </c>
      <c r="W1546" s="3" t="n">
        <v>197.779175</v>
      </c>
      <c r="X1546" s="3" t="n">
        <v>203.534907</v>
      </c>
      <c r="Y1546" s="3" t="n">
        <v>177.821304</v>
      </c>
      <c r="Z1546" s="3" t="n">
        <v>176.341012</v>
      </c>
      <c r="AA1546" s="3" t="n">
        <v>149.935584</v>
      </c>
      <c r="AB1546" s="3" t="n">
        <v>196.206023</v>
      </c>
      <c r="AC1546" s="3" t="n">
        <v>89.909273</v>
      </c>
      <c r="AD1546" s="3" t="n">
        <v>156.246604</v>
      </c>
      <c r="AE1546" s="3" t="n">
        <v>189.165021</v>
      </c>
      <c r="AF1546" s="3" t="n">
        <v>214.17042</v>
      </c>
      <c r="AG1546" s="3" t="n">
        <v>166.445828</v>
      </c>
      <c r="AH1546" s="3" t="n">
        <v>176.298196</v>
      </c>
      <c r="AI1546" s="3" t="n">
        <v>186.234468</v>
      </c>
      <c r="AJ1546" s="3" t="n">
        <v>191.129431</v>
      </c>
      <c r="AK1546" s="3" t="n">
        <v>204.545928</v>
      </c>
      <c r="AL1546" s="3" t="n">
        <v>207.800008</v>
      </c>
      <c r="AM1546" s="3" t="n"/>
      <c r="AN1546" s="3" t="n"/>
      <c r="AO1546" s="3" t="n"/>
      <c r="AP1546" s="3" t="n"/>
      <c r="AQ1546" s="3" t="n"/>
      <c r="AR1546" s="3" t="n"/>
      <c r="AS1546" s="3" t="n"/>
      <c r="AT1546" s="3" t="n"/>
      <c r="AU1546" s="3" t="n"/>
    </row>
    <row r="1547">
      <c r="A1547" s="3" t="n">
        <v>2031</v>
      </c>
      <c r="B1547" s="3" t="inlineStr">
        <is>
          <t>JPN</t>
        </is>
      </c>
      <c r="C1547" s="3" t="inlineStr">
        <is>
          <t>IMF.RES:WEO</t>
        </is>
      </c>
      <c r="D1547" s="3" t="inlineStr">
        <is>
          <t>JPN.BCA_NGDPD.A</t>
        </is>
      </c>
      <c r="E1547" s="3" t="inlineStr">
        <is>
          <t>Japan</t>
        </is>
      </c>
      <c r="F1547" s="3" t="inlineStr">
        <is>
          <t>Current account balance (credit less debit), Percent of GDP</t>
        </is>
      </c>
      <c r="G1547" s="3" t="n">
        <v>2.589869</v>
      </c>
      <c r="H1547" s="3" t="n">
        <v>1.941723</v>
      </c>
      <c r="I1547" s="3" t="n">
        <v>2.57067</v>
      </c>
      <c r="J1547" s="3" t="n">
        <v>3.048862</v>
      </c>
      <c r="K1547" s="3" t="n">
        <v>3.684426</v>
      </c>
      <c r="L1547" s="3" t="n">
        <v>3.488653</v>
      </c>
      <c r="M1547" s="3" t="n">
        <v>3.753836</v>
      </c>
      <c r="N1547" s="3" t="n">
        <v>4.587985</v>
      </c>
      <c r="O1547" s="3" t="n">
        <v>2.762928</v>
      </c>
      <c r="P1547" s="3" t="n">
        <v>2.720943</v>
      </c>
      <c r="Q1547" s="3" t="n">
        <v>3.80379</v>
      </c>
      <c r="R1547" s="3" t="n">
        <v>2.068371</v>
      </c>
      <c r="S1547" s="3" t="n">
        <v>0.9421620000000001</v>
      </c>
      <c r="T1547" s="3" t="n">
        <v>0.871566</v>
      </c>
      <c r="U1547" s="3" t="n">
        <v>0.737514</v>
      </c>
      <c r="V1547" s="3" t="n">
        <v>3.009143</v>
      </c>
      <c r="W1547" s="3" t="n">
        <v>3.870163</v>
      </c>
      <c r="X1547" s="3" t="n">
        <v>4.039808</v>
      </c>
      <c r="Y1547" s="3" t="n">
        <v>3.449965</v>
      </c>
      <c r="Z1547" s="3" t="n">
        <v>3.361595</v>
      </c>
      <c r="AA1547" s="3" t="n">
        <v>2.88938</v>
      </c>
      <c r="AB1547" s="3" t="n">
        <v>3.754468</v>
      </c>
      <c r="AC1547" s="3" t="n">
        <v>2.021352</v>
      </c>
      <c r="AD1547" s="3" t="n">
        <v>3.563325</v>
      </c>
      <c r="AE1547" s="3" t="n">
        <v>4.514669</v>
      </c>
      <c r="AF1547" s="3" t="n">
        <v>4.828919</v>
      </c>
      <c r="AG1547" s="3" t="n">
        <v>3.800781</v>
      </c>
      <c r="AH1547" s="3" t="n">
        <v>3.864812</v>
      </c>
      <c r="AI1547" s="3" t="n">
        <v>3.925611</v>
      </c>
      <c r="AJ1547" s="3" t="n">
        <v>3.922411</v>
      </c>
      <c r="AK1547" s="3" t="n">
        <v>4.089135</v>
      </c>
      <c r="AL1547" s="3" t="n">
        <v>4.052006</v>
      </c>
      <c r="AM1547" s="3" t="n"/>
      <c r="AN1547" s="3" t="n"/>
      <c r="AO1547" s="3" t="n"/>
      <c r="AP1547" s="3" t="n"/>
      <c r="AQ1547" s="3" t="n"/>
      <c r="AR1547" s="3" t="n"/>
      <c r="AS1547" s="3" t="n"/>
      <c r="AT1547" s="3" t="n"/>
      <c r="AU1547" s="3" t="n"/>
    </row>
    <row r="1548">
      <c r="A1548" s="3" t="n">
        <v>2031</v>
      </c>
      <c r="B1548" s="3" t="inlineStr">
        <is>
          <t>JPN</t>
        </is>
      </c>
      <c r="C1548" s="3" t="inlineStr">
        <is>
          <t>IMF.RES:WEO</t>
        </is>
      </c>
      <c r="D1548" s="3" t="inlineStr">
        <is>
          <t>JPN.GGR_NGDP.A</t>
        </is>
      </c>
      <c r="E1548" s="3" t="inlineStr">
        <is>
          <t>Japan</t>
        </is>
      </c>
      <c r="F1548" s="3" t="inlineStr">
        <is>
          <t>Revenue, General government, Percent of GDP</t>
        </is>
      </c>
      <c r="G1548" s="3" t="n">
        <v>28.250786</v>
      </c>
      <c r="H1548" s="3" t="n">
        <v>28.57757</v>
      </c>
      <c r="I1548" s="3" t="n">
        <v>27.648637</v>
      </c>
      <c r="J1548" s="3" t="n">
        <v>27.281551</v>
      </c>
      <c r="K1548" s="3" t="n">
        <v>28.087322</v>
      </c>
      <c r="L1548" s="3" t="n">
        <v>28.825202</v>
      </c>
      <c r="M1548" s="3" t="n">
        <v>29.732984</v>
      </c>
      <c r="N1548" s="3" t="n">
        <v>29.944782</v>
      </c>
      <c r="O1548" s="3" t="n">
        <v>29.68251</v>
      </c>
      <c r="P1548" s="3" t="n">
        <v>28.712775</v>
      </c>
      <c r="Q1548" s="3" t="n">
        <v>28.393724</v>
      </c>
      <c r="R1548" s="3" t="n">
        <v>29.416313</v>
      </c>
      <c r="S1548" s="3" t="n">
        <v>30.133742</v>
      </c>
      <c r="T1548" s="3" t="n">
        <v>30.79199</v>
      </c>
      <c r="U1548" s="3" t="n">
        <v>32.187343</v>
      </c>
      <c r="V1548" s="3" t="n">
        <v>32.942996</v>
      </c>
      <c r="W1548" s="3" t="n">
        <v>32.905931</v>
      </c>
      <c r="X1548" s="3" t="n">
        <v>32.848834</v>
      </c>
      <c r="Y1548" s="3" t="n">
        <v>33.511299</v>
      </c>
      <c r="Z1548" s="3" t="n">
        <v>33.378247</v>
      </c>
      <c r="AA1548" s="3" t="n">
        <v>34.52611</v>
      </c>
      <c r="AB1548" s="3" t="n">
        <v>35.025999</v>
      </c>
      <c r="AC1548" s="3" t="n">
        <v>35.980985</v>
      </c>
      <c r="AD1548" s="3" t="n">
        <v>35.380513</v>
      </c>
      <c r="AE1548" s="3" t="n">
        <v>35.643556</v>
      </c>
      <c r="AF1548" s="3" t="n">
        <v>35.804114</v>
      </c>
      <c r="AG1548" s="3" t="n">
        <v>35.56963</v>
      </c>
      <c r="AH1548" s="3" t="n">
        <v>35.550299</v>
      </c>
      <c r="AI1548" s="3" t="n">
        <v>35.442473</v>
      </c>
      <c r="AJ1548" s="3" t="n">
        <v>35.390426</v>
      </c>
      <c r="AK1548" s="3" t="n">
        <v>35.384129</v>
      </c>
      <c r="AL1548" s="3" t="n">
        <v>35.396177</v>
      </c>
      <c r="AM1548" s="3" t="n"/>
      <c r="AN1548" s="3" t="n"/>
      <c r="AO1548" s="3" t="n"/>
      <c r="AP1548" s="3" t="n"/>
      <c r="AQ1548" s="3" t="n"/>
      <c r="AR1548" s="3" t="n"/>
      <c r="AS1548" s="3" t="n"/>
      <c r="AT1548" s="3" t="n"/>
      <c r="AU1548" s="3" t="n"/>
    </row>
    <row r="1549">
      <c r="A1549" s="3" t="n">
        <v>2031</v>
      </c>
      <c r="B1549" s="3" t="inlineStr">
        <is>
          <t>JPN</t>
        </is>
      </c>
      <c r="C1549" s="3" t="inlineStr">
        <is>
          <t>IMF.RES:WEO</t>
        </is>
      </c>
      <c r="D1549" s="3" t="inlineStr">
        <is>
          <t>JPN.GGX_NGDP.A</t>
        </is>
      </c>
      <c r="E1549" s="3" t="inlineStr">
        <is>
          <t>Japan</t>
        </is>
      </c>
      <c r="F1549" s="3" t="inlineStr">
        <is>
          <t>Expenditure, General government, Percent of GDP</t>
        </is>
      </c>
      <c r="G1549" s="3" t="n">
        <v>35.423434</v>
      </c>
      <c r="H1549" s="3" t="n">
        <v>34.686331</v>
      </c>
      <c r="I1549" s="3" t="n">
        <v>34.867676</v>
      </c>
      <c r="J1549" s="3" t="n">
        <v>34.627162</v>
      </c>
      <c r="K1549" s="3" t="n">
        <v>33.349051</v>
      </c>
      <c r="L1549" s="3" t="n">
        <v>33.217451</v>
      </c>
      <c r="M1549" s="3" t="n">
        <v>32.728048</v>
      </c>
      <c r="N1549" s="3" t="n">
        <v>32.802812</v>
      </c>
      <c r="O1549" s="3" t="n">
        <v>33.749404</v>
      </c>
      <c r="P1549" s="3" t="n">
        <v>38.337462</v>
      </c>
      <c r="Q1549" s="3" t="n">
        <v>37.445542</v>
      </c>
      <c r="R1549" s="3" t="n">
        <v>38.435234</v>
      </c>
      <c r="S1549" s="3" t="n">
        <v>38.357583</v>
      </c>
      <c r="T1549" s="3" t="n">
        <v>38.412367</v>
      </c>
      <c r="U1549" s="3" t="n">
        <v>37.767601</v>
      </c>
      <c r="V1549" s="3" t="n">
        <v>36.583079</v>
      </c>
      <c r="W1549" s="3" t="n">
        <v>36.481569</v>
      </c>
      <c r="X1549" s="3" t="n">
        <v>35.897289</v>
      </c>
      <c r="Y1549" s="3" t="n">
        <v>35.95398</v>
      </c>
      <c r="Z1549" s="3" t="n">
        <v>36.42369</v>
      </c>
      <c r="AA1549" s="3" t="n">
        <v>43.563038</v>
      </c>
      <c r="AB1549" s="3" t="n">
        <v>41.349774</v>
      </c>
      <c r="AC1549" s="3" t="n">
        <v>40.208337</v>
      </c>
      <c r="AD1549" s="3" t="n">
        <v>37.775305</v>
      </c>
      <c r="AE1549" s="3" t="n">
        <v>37.311019</v>
      </c>
      <c r="AF1549" s="3" t="n">
        <v>36.857628</v>
      </c>
      <c r="AG1549" s="3" t="n">
        <v>37.615119</v>
      </c>
      <c r="AH1549" s="3" t="n">
        <v>37.915727</v>
      </c>
      <c r="AI1549" s="3" t="n">
        <v>38.387971</v>
      </c>
      <c r="AJ1549" s="3" t="n">
        <v>38.678756</v>
      </c>
      <c r="AK1549" s="3" t="n">
        <v>39.079285</v>
      </c>
      <c r="AL1549" s="3" t="n">
        <v>39.435275</v>
      </c>
      <c r="AM1549" s="3" t="n"/>
      <c r="AN1549" s="3" t="n"/>
      <c r="AO1549" s="3" t="n"/>
      <c r="AP1549" s="3" t="n"/>
      <c r="AQ1549" s="3" t="n"/>
      <c r="AR1549" s="3" t="n"/>
      <c r="AS1549" s="3" t="n"/>
      <c r="AT1549" s="3" t="n"/>
      <c r="AU1549" s="3" t="n"/>
    </row>
    <row r="1550">
      <c r="A1550" s="3" t="n">
        <v>2027</v>
      </c>
      <c r="B1550" s="3" t="inlineStr">
        <is>
          <t>JPN</t>
        </is>
      </c>
      <c r="C1550" s="3" t="inlineStr">
        <is>
          <t>IMF.RES:WEO</t>
        </is>
      </c>
      <c r="D1550" s="3" t="inlineStr">
        <is>
          <t>JPN.LE.A</t>
        </is>
      </c>
      <c r="E1550" s="3" t="inlineStr">
        <is>
          <t>Japan</t>
        </is>
      </c>
      <c r="F1550" s="3" t="inlineStr">
        <is>
          <t>Employed persons, Persons for countries / Index for country groups</t>
        </is>
      </c>
      <c r="G1550" s="3" t="n">
        <v>64.458333</v>
      </c>
      <c r="H1550" s="3" t="n">
        <v>64.121667</v>
      </c>
      <c r="I1550" s="3" t="n">
        <v>63.31</v>
      </c>
      <c r="J1550" s="3" t="n">
        <v>63.166667</v>
      </c>
      <c r="K1550" s="3" t="n">
        <v>63.291667</v>
      </c>
      <c r="L1550" s="3" t="n">
        <v>63.565833</v>
      </c>
      <c r="M1550" s="3" t="n">
        <v>63.895</v>
      </c>
      <c r="N1550" s="3" t="n">
        <v>64.281667</v>
      </c>
      <c r="O1550" s="3" t="n">
        <v>64.098333</v>
      </c>
      <c r="P1550" s="3" t="n">
        <v>63.1525</v>
      </c>
      <c r="Q1550" s="3" t="n">
        <v>62.984167</v>
      </c>
      <c r="R1550" s="3" t="n">
        <v>62.9325</v>
      </c>
      <c r="S1550" s="3" t="n">
        <v>62.793333</v>
      </c>
      <c r="T1550" s="3" t="n">
        <v>63.263333</v>
      </c>
      <c r="U1550" s="3" t="n">
        <v>63.7125</v>
      </c>
      <c r="V1550" s="3" t="n">
        <v>64.02166699999999</v>
      </c>
      <c r="W1550" s="3" t="n">
        <v>64.705</v>
      </c>
      <c r="X1550" s="3" t="n">
        <v>65.424167</v>
      </c>
      <c r="Y1550" s="3" t="n">
        <v>66.81916699999999</v>
      </c>
      <c r="Z1550" s="3" t="n">
        <v>67.49333300000001</v>
      </c>
      <c r="AA1550" s="3" t="n">
        <v>67.10166700000001</v>
      </c>
      <c r="AB1550" s="3" t="n">
        <v>67.1225</v>
      </c>
      <c r="AC1550" s="3" t="n">
        <v>67.22499999999999</v>
      </c>
      <c r="AD1550" s="3" t="n">
        <v>67.469167</v>
      </c>
      <c r="AE1550" s="3" t="n">
        <v>67.55457</v>
      </c>
      <c r="AF1550" s="3" t="n">
        <v>67.343141</v>
      </c>
      <c r="AG1550" s="3" t="n">
        <v>67.202735</v>
      </c>
      <c r="AH1550" s="3" t="n">
        <v>67.038771</v>
      </c>
      <c r="AI1550" s="3" t="n"/>
      <c r="AJ1550" s="3" t="n"/>
      <c r="AK1550" s="3" t="n"/>
      <c r="AL1550" s="3" t="n"/>
      <c r="AM1550" s="3" t="n"/>
      <c r="AN1550" s="3" t="n"/>
      <c r="AO1550" s="3" t="n"/>
      <c r="AP1550" s="3" t="n"/>
      <c r="AQ1550" s="3" t="n"/>
      <c r="AR1550" s="3" t="n"/>
      <c r="AS1550" s="3" t="n"/>
      <c r="AT1550" s="3" t="n"/>
      <c r="AU1550" s="3" t="n"/>
    </row>
    <row r="1551">
      <c r="A1551" s="3" t="n">
        <v>2031</v>
      </c>
      <c r="B1551" s="3" t="inlineStr">
        <is>
          <t>JPN</t>
        </is>
      </c>
      <c r="C1551" s="3" t="inlineStr">
        <is>
          <t>IMF.RES:WEO</t>
        </is>
      </c>
      <c r="D1551" s="3" t="inlineStr">
        <is>
          <t>JPN.LP.A</t>
        </is>
      </c>
      <c r="E1551" s="3" t="inlineStr">
        <is>
          <t>Japan</t>
        </is>
      </c>
      <c r="F1551" s="3" t="inlineStr">
        <is>
          <t>Population, Persons for countries / Index for country groups</t>
        </is>
      </c>
      <c r="G1551" s="3" t="n">
        <v>126.831333</v>
      </c>
      <c r="H1551" s="3" t="n">
        <v>127.132333</v>
      </c>
      <c r="I1551" s="3" t="n">
        <v>127.400333</v>
      </c>
      <c r="J1551" s="3" t="n">
        <v>127.634417</v>
      </c>
      <c r="K1551" s="3" t="n">
        <v>127.734417</v>
      </c>
      <c r="L1551" s="3" t="n">
        <v>127.752</v>
      </c>
      <c r="M1551" s="3" t="n">
        <v>127.74625</v>
      </c>
      <c r="N1551" s="3" t="n">
        <v>127.757417</v>
      </c>
      <c r="O1551" s="3" t="n">
        <v>127.692333</v>
      </c>
      <c r="P1551" s="3" t="n">
        <v>127.550583</v>
      </c>
      <c r="Q1551" s="3" t="n">
        <v>127.594333</v>
      </c>
      <c r="R1551" s="3" t="n">
        <v>127.830833</v>
      </c>
      <c r="S1551" s="3" t="n">
        <v>127.55175</v>
      </c>
      <c r="T1551" s="3" t="n">
        <v>127.332583</v>
      </c>
      <c r="U1551" s="3" t="n">
        <v>127.1195</v>
      </c>
      <c r="V1551" s="3" t="n">
        <v>126.9775</v>
      </c>
      <c r="W1551" s="3" t="n">
        <v>126.960083</v>
      </c>
      <c r="X1551" s="3" t="n">
        <v>126.746</v>
      </c>
      <c r="Y1551" s="3" t="n">
        <v>126.495333</v>
      </c>
      <c r="Z1551" s="3" t="n">
        <v>126.22075</v>
      </c>
      <c r="AA1551" s="3" t="n">
        <v>125.84875</v>
      </c>
      <c r="AB1551" s="3" t="n">
        <v>125.491833</v>
      </c>
      <c r="AC1551" s="3" t="n">
        <v>125.062667</v>
      </c>
      <c r="AD1551" s="3" t="n">
        <v>124.482417</v>
      </c>
      <c r="AE1551" s="3" t="n">
        <v>123.890478</v>
      </c>
      <c r="AF1551" s="3" t="n">
        <v>123.290921</v>
      </c>
      <c r="AG1551" s="3" t="n">
        <v>122.656354</v>
      </c>
      <c r="AH1551" s="3" t="n">
        <v>121.998578</v>
      </c>
      <c r="AI1551" s="3" t="n">
        <v>121.319094</v>
      </c>
      <c r="AJ1551" s="3" t="n">
        <v>120.618829</v>
      </c>
      <c r="AK1551" s="3" t="n">
        <v>119.898285</v>
      </c>
      <c r="AL1551" s="3" t="n">
        <v>119.157771</v>
      </c>
      <c r="AM1551" s="3" t="n"/>
      <c r="AN1551" s="3" t="n"/>
      <c r="AO1551" s="3" t="n"/>
      <c r="AP1551" s="3" t="n"/>
      <c r="AQ1551" s="3" t="n"/>
      <c r="AR1551" s="3" t="n"/>
      <c r="AS1551" s="3" t="n"/>
      <c r="AT1551" s="3" t="n"/>
      <c r="AU1551" s="3" t="n"/>
    </row>
    <row r="1552">
      <c r="A1552" s="3" t="n">
        <v>2031</v>
      </c>
      <c r="B1552" s="3" t="inlineStr">
        <is>
          <t>JPN</t>
        </is>
      </c>
      <c r="C1552" s="3" t="inlineStr">
        <is>
          <t>IMF.RES:WEO</t>
        </is>
      </c>
      <c r="D1552" s="3" t="inlineStr">
        <is>
          <t>JPN.NGDP.A</t>
        </is>
      </c>
      <c r="E1552" s="3" t="inlineStr">
        <is>
          <t>Japan</t>
        </is>
      </c>
      <c r="F1552" s="3" t="inlineStr">
        <is>
          <t>Gross domestic product (GDP), Current prices, Domestic currency</t>
        </is>
      </c>
      <c r="G1552" s="3" t="n">
        <v>543394.8</v>
      </c>
      <c r="H1552" s="3" t="n">
        <v>539441.6</v>
      </c>
      <c r="I1552" s="3" t="n">
        <v>532390.8</v>
      </c>
      <c r="J1552" s="3" t="n">
        <v>530211.8</v>
      </c>
      <c r="K1552" s="3" t="n">
        <v>534634.1</v>
      </c>
      <c r="L1552" s="3" t="n">
        <v>537385.3</v>
      </c>
      <c r="M1552" s="3" t="n">
        <v>540566</v>
      </c>
      <c r="N1552" s="3" t="n">
        <v>544571</v>
      </c>
      <c r="O1552" s="3" t="n">
        <v>533355.5</v>
      </c>
      <c r="P1552" s="3" t="n">
        <v>499361.7</v>
      </c>
      <c r="Q1552" s="3" t="n">
        <v>510139.5</v>
      </c>
      <c r="R1552" s="3" t="n">
        <v>501142</v>
      </c>
      <c r="S1552" s="3" t="n">
        <v>505377</v>
      </c>
      <c r="T1552" s="3" t="n">
        <v>514553.3</v>
      </c>
      <c r="U1552" s="3" t="n">
        <v>528215.7</v>
      </c>
      <c r="V1552" s="3" t="n">
        <v>548866.6</v>
      </c>
      <c r="W1552" s="3" t="n">
        <v>555970.6</v>
      </c>
      <c r="X1552" s="3" t="n">
        <v>565119</v>
      </c>
      <c r="Y1552" s="3" t="n">
        <v>569153.4</v>
      </c>
      <c r="Z1552" s="3" t="n">
        <v>571838</v>
      </c>
      <c r="AA1552" s="3" t="n">
        <v>554074.3</v>
      </c>
      <c r="AB1552" s="3" t="n">
        <v>573568.8</v>
      </c>
      <c r="AC1552" s="3" t="n">
        <v>584900.6</v>
      </c>
      <c r="AD1552" s="3" t="n">
        <v>616032.9</v>
      </c>
      <c r="AE1552" s="3" t="n">
        <v>634226</v>
      </c>
      <c r="AF1552" s="3" t="n">
        <v>663757.3</v>
      </c>
      <c r="AG1552" s="3" t="n">
        <v>677601.436852</v>
      </c>
      <c r="AH1552" s="3" t="n">
        <v>700187.6661499999</v>
      </c>
      <c r="AI1552" s="3" t="n">
        <v>719401.9850869999</v>
      </c>
      <c r="AJ1552" s="3" t="n">
        <v>739459.855142</v>
      </c>
      <c r="AK1552" s="3" t="n">
        <v>760696.660412</v>
      </c>
      <c r="AL1552" s="3" t="n">
        <v>781318.571536</v>
      </c>
      <c r="AM1552" s="3" t="n"/>
      <c r="AN1552" s="3" t="n"/>
      <c r="AO1552" s="3" t="n"/>
      <c r="AP1552" s="3" t="n"/>
      <c r="AQ1552" s="3" t="n"/>
      <c r="AR1552" s="3" t="n"/>
      <c r="AS1552" s="3" t="n"/>
      <c r="AT1552" s="3" t="n"/>
      <c r="AU1552" s="3" t="n"/>
    </row>
    <row r="1553">
      <c r="A1553" s="3" t="n">
        <v>2031</v>
      </c>
      <c r="B1553" s="3" t="inlineStr">
        <is>
          <t>JPN</t>
        </is>
      </c>
      <c r="C1553" s="3" t="inlineStr">
        <is>
          <t>IMF.RES:WEO</t>
        </is>
      </c>
      <c r="D1553" s="3" t="inlineStr">
        <is>
          <t>JPN.NGDP_D.A</t>
        </is>
      </c>
      <c r="E1553" s="3" t="inlineStr">
        <is>
          <t>Japan</t>
        </is>
      </c>
      <c r="F1553" s="3" t="inlineStr">
        <is>
          <t>Gross domestic product (GDP), Price deflator, Index</t>
        </is>
      </c>
      <c r="G1553" s="3" t="n">
        <v>108.590654</v>
      </c>
      <c r="H1553" s="3" t="n">
        <v>107.494739</v>
      </c>
      <c r="I1553" s="3" t="n">
        <v>105.999614</v>
      </c>
      <c r="J1553" s="3" t="n">
        <v>104.128683</v>
      </c>
      <c r="K1553" s="3" t="n">
        <v>102.824552</v>
      </c>
      <c r="L1553" s="3" t="n">
        <v>101.478063</v>
      </c>
      <c r="M1553" s="3" t="n">
        <v>100.52428</v>
      </c>
      <c r="N1553" s="3" t="n">
        <v>99.54851600000001</v>
      </c>
      <c r="O1553" s="3" t="n">
        <v>98.64914899999999</v>
      </c>
      <c r="P1553" s="3" t="n">
        <v>98.190185</v>
      </c>
      <c r="Q1553" s="3" t="n">
        <v>96.32499799999999</v>
      </c>
      <c r="R1553" s="3" t="n">
        <v>94.816053</v>
      </c>
      <c r="S1553" s="3" t="n">
        <v>94.066225</v>
      </c>
      <c r="T1553" s="3" t="n">
        <v>93.898815</v>
      </c>
      <c r="U1553" s="3" t="n">
        <v>95.526605</v>
      </c>
      <c r="V1553" s="3" t="n">
        <v>97.506167</v>
      </c>
      <c r="W1553" s="3" t="n">
        <v>98.07679899999999</v>
      </c>
      <c r="X1553" s="3" t="n">
        <v>98.098045</v>
      </c>
      <c r="Y1553" s="3" t="n">
        <v>97.981067</v>
      </c>
      <c r="Z1553" s="3" t="n">
        <v>98.747861</v>
      </c>
      <c r="AA1553" s="3" t="n">
        <v>99.96198699999999</v>
      </c>
      <c r="AB1553" s="3" t="n">
        <v>99.917776</v>
      </c>
      <c r="AC1553" s="3" t="n">
        <v>100.552791</v>
      </c>
      <c r="AD1553" s="3" t="n">
        <v>105.146995</v>
      </c>
      <c r="AE1553" s="3" t="n">
        <v>108.515221</v>
      </c>
      <c r="AF1553" s="3" t="n">
        <v>112.228977</v>
      </c>
      <c r="AG1553" s="3" t="n">
        <v>113.752149</v>
      </c>
      <c r="AH1553" s="3" t="n">
        <v>116.815752</v>
      </c>
      <c r="AI1553" s="3" t="n">
        <v>119.275746</v>
      </c>
      <c r="AJ1553" s="3" t="n">
        <v>121.853517</v>
      </c>
      <c r="AK1553" s="3" t="n">
        <v>124.588027</v>
      </c>
      <c r="AL1553" s="3" t="n">
        <v>127.191716</v>
      </c>
      <c r="AM1553" s="3" t="n"/>
      <c r="AN1553" s="3" t="n"/>
      <c r="AO1553" s="3" t="n"/>
      <c r="AP1553" s="3" t="n"/>
      <c r="AQ1553" s="3" t="n"/>
      <c r="AR1553" s="3" t="n"/>
      <c r="AS1553" s="3" t="n"/>
      <c r="AT1553" s="3" t="n"/>
      <c r="AU1553" s="3" t="n"/>
    </row>
    <row r="1554">
      <c r="A1554" s="3" t="n">
        <v>2031</v>
      </c>
      <c r="B1554" s="3" t="inlineStr">
        <is>
          <t>JPN</t>
        </is>
      </c>
      <c r="C1554" s="3" t="inlineStr">
        <is>
          <t>IMF.RES:WEO</t>
        </is>
      </c>
      <c r="D1554" s="3" t="inlineStr">
        <is>
          <t>JPN.NGDP_R.A</t>
        </is>
      </c>
      <c r="E1554" s="3" t="inlineStr">
        <is>
          <t>Japan</t>
        </is>
      </c>
      <c r="F1554" s="3" t="inlineStr">
        <is>
          <t>Gross domestic product (GDP), Constant prices, Domestic currency</t>
        </is>
      </c>
      <c r="G1554" s="3" t="n">
        <v>500406.6</v>
      </c>
      <c r="H1554" s="3" t="n">
        <v>501830.7</v>
      </c>
      <c r="I1554" s="3" t="n">
        <v>502257.3</v>
      </c>
      <c r="J1554" s="3" t="n">
        <v>509189</v>
      </c>
      <c r="K1554" s="3" t="n">
        <v>519947.9</v>
      </c>
      <c r="L1554" s="3" t="n">
        <v>529558.1</v>
      </c>
      <c r="M1554" s="3" t="n">
        <v>537746.7</v>
      </c>
      <c r="N1554" s="3" t="n">
        <v>547040.8</v>
      </c>
      <c r="O1554" s="3" t="n">
        <v>540659</v>
      </c>
      <c r="P1554" s="3" t="n">
        <v>508565.8</v>
      </c>
      <c r="Q1554" s="3" t="n">
        <v>529602.4</v>
      </c>
      <c r="R1554" s="3" t="n">
        <v>528541.3</v>
      </c>
      <c r="S1554" s="3" t="n">
        <v>537256.6</v>
      </c>
      <c r="T1554" s="3" t="n">
        <v>547987</v>
      </c>
      <c r="U1554" s="3" t="n">
        <v>552951.4</v>
      </c>
      <c r="V1554" s="3" t="n">
        <v>562904.5</v>
      </c>
      <c r="W1554" s="3" t="n">
        <v>566872.7</v>
      </c>
      <c r="X1554" s="3" t="n">
        <v>576075.7</v>
      </c>
      <c r="Y1554" s="3" t="n">
        <v>580881</v>
      </c>
      <c r="Z1554" s="3" t="n">
        <v>579089</v>
      </c>
      <c r="AA1554" s="3" t="n">
        <v>554285</v>
      </c>
      <c r="AB1554" s="3" t="n">
        <v>574040.8</v>
      </c>
      <c r="AC1554" s="3" t="n">
        <v>581685.1</v>
      </c>
      <c r="AD1554" s="3" t="n">
        <v>585877.8</v>
      </c>
      <c r="AE1554" s="3" t="n">
        <v>584458.1</v>
      </c>
      <c r="AF1554" s="3" t="n">
        <v>591431.3</v>
      </c>
      <c r="AG1554" s="3" t="n">
        <v>595682.316694</v>
      </c>
      <c r="AH1554" s="3" t="n">
        <v>599394.906513</v>
      </c>
      <c r="AI1554" s="3" t="n">
        <v>603141.886952</v>
      </c>
      <c r="AJ1554" s="3" t="n">
        <v>606843.261328</v>
      </c>
      <c r="AK1554" s="3" t="n">
        <v>610569.634953</v>
      </c>
      <c r="AL1554" s="3" t="n">
        <v>614284.1655689999</v>
      </c>
      <c r="AM1554" s="3" t="n"/>
      <c r="AN1554" s="3" t="n"/>
      <c r="AO1554" s="3" t="n"/>
      <c r="AP1554" s="3" t="n"/>
      <c r="AQ1554" s="3" t="n"/>
      <c r="AR1554" s="3" t="n"/>
      <c r="AS1554" s="3" t="n"/>
      <c r="AT1554" s="3" t="n"/>
      <c r="AU1554" s="3" t="n"/>
    </row>
    <row r="1555">
      <c r="A1555" s="3" t="n">
        <v>2031</v>
      </c>
      <c r="B1555" s="3" t="inlineStr">
        <is>
          <t>JPN</t>
        </is>
      </c>
      <c r="C1555" s="3" t="inlineStr">
        <is>
          <t>IMF.RES:WEO</t>
        </is>
      </c>
      <c r="D1555" s="3" t="inlineStr">
        <is>
          <t>JPN.NGDP_RPCH.A</t>
        </is>
      </c>
      <c r="E1555" s="3" t="inlineStr">
        <is>
          <t>Japan</t>
        </is>
      </c>
      <c r="F1555" s="3" t="inlineStr">
        <is>
          <t>Gross domestic product (GDP), Constant prices, Percent change</t>
        </is>
      </c>
      <c r="G1555" s="3" t="n">
        <v>2.978306</v>
      </c>
      <c r="H1555" s="3" t="n">
        <v>0.284589</v>
      </c>
      <c r="I1555" s="3" t="n">
        <v>0.085009</v>
      </c>
      <c r="J1555" s="3" t="n">
        <v>1.380109</v>
      </c>
      <c r="K1555" s="3" t="n">
        <v>2.112948</v>
      </c>
      <c r="L1555" s="3" t="n">
        <v>1.848301</v>
      </c>
      <c r="M1555" s="3" t="n">
        <v>1.546308</v>
      </c>
      <c r="N1555" s="3" t="n">
        <v>1.728342</v>
      </c>
      <c r="O1555" s="3" t="n">
        <v>-1.166604</v>
      </c>
      <c r="P1555" s="3" t="n">
        <v>-5.935941</v>
      </c>
      <c r="Q1555" s="3" t="n">
        <v>4.136456</v>
      </c>
      <c r="R1555" s="3" t="n">
        <v>-0.200358</v>
      </c>
      <c r="S1555" s="3" t="n">
        <v>1.648935</v>
      </c>
      <c r="T1555" s="3" t="n">
        <v>1.997258</v>
      </c>
      <c r="U1555" s="3" t="n">
        <v>0.905934</v>
      </c>
      <c r="V1555" s="3" t="n">
        <v>1.799995</v>
      </c>
      <c r="W1555" s="3" t="n">
        <v>0.704951</v>
      </c>
      <c r="X1555" s="3" t="n">
        <v>1.623469</v>
      </c>
      <c r="Y1555" s="3" t="n">
        <v>0.834144</v>
      </c>
      <c r="Z1555" s="3" t="n">
        <v>-0.308497</v>
      </c>
      <c r="AA1555" s="3" t="n">
        <v>-4.283279</v>
      </c>
      <c r="AB1555" s="3" t="n">
        <v>3.564195</v>
      </c>
      <c r="AC1555" s="3" t="n">
        <v>1.331665</v>
      </c>
      <c r="AD1555" s="3" t="n">
        <v>0.720785</v>
      </c>
      <c r="AE1555" s="3" t="n">
        <v>-0.24232</v>
      </c>
      <c r="AF1555" s="3" t="n">
        <v>1.193105</v>
      </c>
      <c r="AG1555" s="3" t="n">
        <v>0.718768</v>
      </c>
      <c r="AH1555" s="3" t="n">
        <v>0.62325</v>
      </c>
      <c r="AI1555" s="3" t="n">
        <v>0.625127</v>
      </c>
      <c r="AJ1555" s="3" t="n">
        <v>0.6136819999999999</v>
      </c>
      <c r="AK1555" s="3" t="n">
        <v>0.614059</v>
      </c>
      <c r="AL1555" s="3" t="n">
        <v>0.608371</v>
      </c>
      <c r="AM1555" s="3" t="n"/>
      <c r="AN1555" s="3" t="n"/>
      <c r="AO1555" s="3" t="n"/>
      <c r="AP1555" s="3" t="n"/>
      <c r="AQ1555" s="3" t="n"/>
      <c r="AR1555" s="3" t="n"/>
      <c r="AS1555" s="3" t="n"/>
      <c r="AT1555" s="3" t="n"/>
      <c r="AU1555" s="3" t="n"/>
    </row>
    <row r="1556">
      <c r="A1556" s="3" t="n">
        <v>2031</v>
      </c>
      <c r="B1556" s="3" t="inlineStr">
        <is>
          <t>JPN</t>
        </is>
      </c>
      <c r="C1556" s="3" t="inlineStr">
        <is>
          <t>IMF.RES:WEO</t>
        </is>
      </c>
      <c r="D1556" s="3" t="inlineStr">
        <is>
          <t>JPN.NGDPD.A</t>
        </is>
      </c>
      <c r="E1556" s="3" t="inlineStr">
        <is>
          <t>Japan</t>
        </is>
      </c>
      <c r="F1556" s="3" t="inlineStr">
        <is>
          <t>Gross domestic product (GDP), Current prices, US dollar</t>
        </is>
      </c>
      <c r="G1556" s="3" t="n">
        <v>5042.381916</v>
      </c>
      <c r="H1556" s="3" t="n">
        <v>4438.791013</v>
      </c>
      <c r="I1556" s="3" t="n">
        <v>4245.946332</v>
      </c>
      <c r="J1556" s="3" t="n">
        <v>4573.41462</v>
      </c>
      <c r="K1556" s="3" t="n">
        <v>4941.504801</v>
      </c>
      <c r="L1556" s="3" t="n">
        <v>4875.648878</v>
      </c>
      <c r="M1556" s="3" t="n">
        <v>4648.058464</v>
      </c>
      <c r="N1556" s="3" t="n">
        <v>4624.668185</v>
      </c>
      <c r="O1556" s="3" t="n">
        <v>5160.198445</v>
      </c>
      <c r="P1556" s="3" t="n">
        <v>5336.76632</v>
      </c>
      <c r="Q1556" s="3" t="n">
        <v>5811.57697</v>
      </c>
      <c r="R1556" s="3" t="n">
        <v>6279.42255</v>
      </c>
      <c r="S1556" s="3" t="n">
        <v>6333.802676</v>
      </c>
      <c r="T1556" s="3" t="n">
        <v>5272.297037</v>
      </c>
      <c r="U1556" s="3" t="n">
        <v>4985.764233</v>
      </c>
      <c r="V1556" s="3" t="n">
        <v>4534.437754</v>
      </c>
      <c r="W1556" s="3" t="n">
        <v>5110.357383</v>
      </c>
      <c r="X1556" s="3" t="n">
        <v>5038.231632</v>
      </c>
      <c r="Y1556" s="3" t="n">
        <v>5154.292816</v>
      </c>
      <c r="Z1556" s="3" t="n">
        <v>5245.755</v>
      </c>
      <c r="AA1556" s="3" t="n">
        <v>5189.196607</v>
      </c>
      <c r="AB1556" s="3" t="n">
        <v>5225.933521</v>
      </c>
      <c r="AC1556" s="3" t="n">
        <v>4447.976207</v>
      </c>
      <c r="AD1556" s="3" t="n">
        <v>4384.853558</v>
      </c>
      <c r="AE1556" s="3" t="n">
        <v>4190.008188</v>
      </c>
      <c r="AF1556" s="3" t="n">
        <v>4435.163</v>
      </c>
      <c r="AG1556" s="3" t="n">
        <v>4379.252804</v>
      </c>
      <c r="AH1556" s="3" t="n">
        <v>4561.624274</v>
      </c>
      <c r="AI1556" s="3" t="n">
        <v>4744.089005</v>
      </c>
      <c r="AJ1556" s="3" t="n">
        <v>4872.753257</v>
      </c>
      <c r="AK1556" s="3" t="n">
        <v>5002.181226</v>
      </c>
      <c r="AL1556" s="3" t="n">
        <v>5128.324676</v>
      </c>
      <c r="AM1556" s="3" t="n"/>
      <c r="AN1556" s="3" t="n"/>
      <c r="AO1556" s="3" t="n"/>
      <c r="AP1556" s="3" t="n"/>
      <c r="AQ1556" s="3" t="n"/>
      <c r="AR1556" s="3" t="n"/>
      <c r="AS1556" s="3" t="n"/>
      <c r="AT1556" s="3" t="n"/>
      <c r="AU1556" s="3" t="n"/>
    </row>
    <row r="1557">
      <c r="A1557" s="3" t="n">
        <v>2031</v>
      </c>
      <c r="B1557" s="3" t="inlineStr">
        <is>
          <t>JPN</t>
        </is>
      </c>
      <c r="C1557" s="3" t="inlineStr">
        <is>
          <t>IMF.RES:WEO</t>
        </is>
      </c>
      <c r="D1557" s="3" t="inlineStr">
        <is>
          <t>JPN.NGDPPC.A</t>
        </is>
      </c>
      <c r="E1557" s="3" t="inlineStr">
        <is>
          <t>Japan</t>
        </is>
      </c>
      <c r="F1557" s="3" t="inlineStr">
        <is>
          <t>Gross domestic product (GDP), Current prices, Per capita, Domestic currency</t>
        </is>
      </c>
      <c r="G1557" s="3" t="n">
        <v>4284389.241355</v>
      </c>
      <c r="H1557" s="3" t="n">
        <v>4243150.313191</v>
      </c>
      <c r="I1557" s="3" t="n">
        <v>4178880.745995</v>
      </c>
      <c r="J1557" s="3" t="n">
        <v>4154144.4216</v>
      </c>
      <c r="K1557" s="3" t="n">
        <v>4185513.301362</v>
      </c>
      <c r="L1557" s="3" t="n">
        <v>4206472.697101</v>
      </c>
      <c r="M1557" s="3" t="n">
        <v>4231560.613325</v>
      </c>
      <c r="N1557" s="3" t="n">
        <v>4262539.226359</v>
      </c>
      <c r="O1557" s="3" t="n">
        <v>4176879.582956</v>
      </c>
      <c r="P1557" s="3" t="n">
        <v>3915009.143431</v>
      </c>
      <c r="Q1557" s="3" t="n">
        <v>3998136.019625</v>
      </c>
      <c r="R1557" s="3" t="n">
        <v>3920353.07079</v>
      </c>
      <c r="S1557" s="3" t="n">
        <v>3962133.016599</v>
      </c>
      <c r="T1557" s="3" t="n">
        <v>4041018.304427</v>
      </c>
      <c r="U1557" s="3" t="n">
        <v>4155268.86119</v>
      </c>
      <c r="V1557" s="3" t="n">
        <v>4322550.058081</v>
      </c>
      <c r="W1557" s="3" t="n">
        <v>4379097.629767</v>
      </c>
      <c r="X1557" s="3" t="n">
        <v>4458673.252016</v>
      </c>
      <c r="Y1557" s="3" t="n">
        <v>4499402.349494</v>
      </c>
      <c r="Z1557" s="3" t="n">
        <v>4530459.532208</v>
      </c>
      <c r="AA1557" s="3" t="n">
        <v>4402700.066548</v>
      </c>
      <c r="AB1557" s="3" t="n">
        <v>4570566.743387</v>
      </c>
      <c r="AC1557" s="3" t="n">
        <v>4676860.134119</v>
      </c>
      <c r="AD1557" s="3" t="n">
        <v>4948754.342146</v>
      </c>
      <c r="AE1557" s="3" t="n">
        <v>5119247.342619</v>
      </c>
      <c r="AF1557" s="3" t="n">
        <v>5383667.285475</v>
      </c>
      <c r="AG1557" s="3" t="n">
        <v>5524389.175543</v>
      </c>
      <c r="AH1557" s="3" t="n">
        <v>5739310.059654</v>
      </c>
      <c r="AI1557" s="3" t="n">
        <v>5929833.124497</v>
      </c>
      <c r="AJ1557" s="3" t="n">
        <v>6130550.75628</v>
      </c>
      <c r="AK1557" s="3" t="n">
        <v>6344516.632959</v>
      </c>
      <c r="AL1557" s="3" t="n">
        <v>6557008.947469</v>
      </c>
      <c r="AM1557" s="3" t="n"/>
      <c r="AN1557" s="3" t="n"/>
      <c r="AO1557" s="3" t="n"/>
      <c r="AP1557" s="3" t="n"/>
      <c r="AQ1557" s="3" t="n"/>
      <c r="AR1557" s="3" t="n"/>
      <c r="AS1557" s="3" t="n"/>
      <c r="AT1557" s="3" t="n"/>
      <c r="AU1557" s="3" t="n"/>
    </row>
    <row r="1558">
      <c r="A1558" s="3" t="n">
        <v>2031</v>
      </c>
      <c r="B1558" s="3" t="inlineStr">
        <is>
          <t>JPN</t>
        </is>
      </c>
      <c r="C1558" s="3" t="inlineStr">
        <is>
          <t>IMF.RES:WEO</t>
        </is>
      </c>
      <c r="D1558" s="3" t="inlineStr">
        <is>
          <t>JPN.NGDPRPC.A</t>
        </is>
      </c>
      <c r="E1558" s="3" t="inlineStr">
        <is>
          <t>Japan</t>
        </is>
      </c>
      <c r="F1558" s="3" t="inlineStr">
        <is>
          <t>Gross domestic product (GDP), Constant prices, Per capita, Domestic currency</t>
        </is>
      </c>
      <c r="G1558" s="3" t="n">
        <v>3945449.336915</v>
      </c>
      <c r="H1558" s="3" t="n">
        <v>3947309.758598</v>
      </c>
      <c r="I1558" s="3" t="n">
        <v>3942354.677251</v>
      </c>
      <c r="J1558" s="3" t="n">
        <v>3989433.362083</v>
      </c>
      <c r="K1558" s="3" t="n">
        <v>4070538.806756</v>
      </c>
      <c r="L1558" s="3" t="n">
        <v>4145203.988979</v>
      </c>
      <c r="M1558" s="3" t="n">
        <v>4209491.080951</v>
      </c>
      <c r="N1558" s="3" t="n">
        <v>4281871.176429</v>
      </c>
      <c r="O1558" s="3" t="n">
        <v>4234075.655808</v>
      </c>
      <c r="P1558" s="3" t="n">
        <v>3987169.534701</v>
      </c>
      <c r="Q1558" s="3" t="n">
        <v>4150673.358012</v>
      </c>
      <c r="R1558" s="3" t="n">
        <v>4134693.377315</v>
      </c>
      <c r="S1558" s="3" t="n">
        <v>4212067.650973</v>
      </c>
      <c r="T1558" s="3" t="n">
        <v>4303588.175585</v>
      </c>
      <c r="U1558" s="3" t="n">
        <v>4349855.057643</v>
      </c>
      <c r="V1558" s="3" t="n">
        <v>4433104.29013</v>
      </c>
      <c r="W1558" s="3" t="n">
        <v>4464967.926271</v>
      </c>
      <c r="X1558" s="3" t="n">
        <v>4545119.372603</v>
      </c>
      <c r="Y1558" s="3" t="n">
        <v>4592114.070084</v>
      </c>
      <c r="Z1558" s="3" t="n">
        <v>4587906.505071</v>
      </c>
      <c r="AA1558" s="3" t="n">
        <v>4404374.298513</v>
      </c>
      <c r="AB1558" s="3" t="n">
        <v>4574327.944315</v>
      </c>
      <c r="AC1558" s="3" t="n">
        <v>4651149.023956</v>
      </c>
      <c r="AD1558" s="3" t="n">
        <v>4706510.491107</v>
      </c>
      <c r="AE1558" s="3" t="n">
        <v>4717538.504093</v>
      </c>
      <c r="AF1558" s="3" t="n">
        <v>4797038.528112</v>
      </c>
      <c r="AG1558" s="3" t="n">
        <v>4856514.114988</v>
      </c>
      <c r="AH1558" s="3" t="n">
        <v>4913130.269163</v>
      </c>
      <c r="AI1558" s="3" t="n">
        <v>4971533.042946</v>
      </c>
      <c r="AJ1558" s="3" t="n">
        <v>5031082.335042</v>
      </c>
      <c r="AK1558" s="3" t="n">
        <v>5092396.754367</v>
      </c>
      <c r="AL1558" s="3" t="n">
        <v>5155216.984038</v>
      </c>
      <c r="AM1558" s="3" t="n"/>
      <c r="AN1558" s="3" t="n"/>
      <c r="AO1558" s="3" t="n"/>
      <c r="AP1558" s="3" t="n"/>
      <c r="AQ1558" s="3" t="n"/>
      <c r="AR1558" s="3" t="n"/>
      <c r="AS1558" s="3" t="n"/>
      <c r="AT1558" s="3" t="n"/>
      <c r="AU1558" s="3" t="n"/>
    </row>
    <row r="1559">
      <c r="A1559" s="3" t="n">
        <v>2031</v>
      </c>
      <c r="B1559" s="3" t="inlineStr">
        <is>
          <t>JPN</t>
        </is>
      </c>
      <c r="C1559" s="3" t="inlineStr">
        <is>
          <t>IMF.RES:WEO</t>
        </is>
      </c>
      <c r="D1559" s="3" t="inlineStr">
        <is>
          <t>JPN.PCPI.A</t>
        </is>
      </c>
      <c r="E1559" s="3" t="inlineStr">
        <is>
          <t>Japan</t>
        </is>
      </c>
      <c r="F1559" s="3" t="inlineStr">
        <is>
          <t>All Items, Consumer price index (CPI), Period average</t>
        </is>
      </c>
      <c r="G1559" s="3" t="n">
        <v>97.292546</v>
      </c>
      <c r="H1559" s="3" t="n">
        <v>96.617678</v>
      </c>
      <c r="I1559" s="3" t="n">
        <v>95.751317</v>
      </c>
      <c r="J1559" s="3" t="n">
        <v>95.49962499999999</v>
      </c>
      <c r="K1559" s="3" t="n">
        <v>95.49037199999999</v>
      </c>
      <c r="L1559" s="3" t="n">
        <v>95.21493599999999</v>
      </c>
      <c r="M1559" s="3" t="n">
        <v>95.458378</v>
      </c>
      <c r="N1559" s="3" t="n">
        <v>95.502645</v>
      </c>
      <c r="O1559" s="3" t="n">
        <v>96.82272</v>
      </c>
      <c r="P1559" s="3" t="n">
        <v>95.533996</v>
      </c>
      <c r="Q1559" s="3" t="n">
        <v>94.82477</v>
      </c>
      <c r="R1559" s="3" t="n">
        <v>94.56165300000001</v>
      </c>
      <c r="S1559" s="3" t="n">
        <v>94.51563</v>
      </c>
      <c r="T1559" s="3" t="n">
        <v>94.82901099999999</v>
      </c>
      <c r="U1559" s="3" t="n">
        <v>97.444363</v>
      </c>
      <c r="V1559" s="3" t="n">
        <v>98.22277</v>
      </c>
      <c r="W1559" s="3" t="n">
        <v>98.101028</v>
      </c>
      <c r="X1559" s="3" t="n">
        <v>98.578284</v>
      </c>
      <c r="Y1559" s="3" t="n">
        <v>99.553383</v>
      </c>
      <c r="Z1559" s="3" t="n">
        <v>100.019048</v>
      </c>
      <c r="AA1559" s="3" t="n">
        <v>99.99224599999999</v>
      </c>
      <c r="AB1559" s="3" t="n">
        <v>99.757153</v>
      </c>
      <c r="AC1559" s="3" t="n">
        <v>102.246835</v>
      </c>
      <c r="AD1559" s="3" t="n">
        <v>105.588265</v>
      </c>
      <c r="AE1559" s="3" t="n">
        <v>108.480155</v>
      </c>
      <c r="AF1559" s="3" t="n">
        <v>111.923857</v>
      </c>
      <c r="AG1559" s="3" t="n">
        <v>114.434619</v>
      </c>
      <c r="AH1559" s="3" t="n">
        <v>117.112535</v>
      </c>
      <c r="AI1559" s="3" t="n">
        <v>119.429347</v>
      </c>
      <c r="AJ1559" s="3" t="n">
        <v>121.793426</v>
      </c>
      <c r="AK1559" s="3" t="n">
        <v>124.189723</v>
      </c>
      <c r="AL1559" s="3" t="n">
        <v>126.635549</v>
      </c>
      <c r="AM1559" s="3" t="n"/>
      <c r="AN1559" s="3" t="n"/>
      <c r="AO1559" s="3" t="n"/>
      <c r="AP1559" s="3" t="n"/>
      <c r="AQ1559" s="3" t="n"/>
      <c r="AR1559" s="3" t="n"/>
      <c r="AS1559" s="3" t="n"/>
      <c r="AT1559" s="3" t="n"/>
      <c r="AU1559" s="3" t="n"/>
    </row>
    <row r="1560">
      <c r="A1560" s="3" t="n">
        <v>2031</v>
      </c>
      <c r="B1560" s="3" t="inlineStr">
        <is>
          <t>JPN</t>
        </is>
      </c>
      <c r="C1560" s="3" t="inlineStr">
        <is>
          <t>IMF.RES:WEO</t>
        </is>
      </c>
      <c r="D1560" s="3" t="inlineStr">
        <is>
          <t>JPN.PCPIPCH.A</t>
        </is>
      </c>
      <c r="E1560" s="3" t="inlineStr">
        <is>
          <t>Japan</t>
        </is>
      </c>
      <c r="F1560" s="3" t="inlineStr">
        <is>
          <t>All Items, Consumer price index (CPI), Period average, percent change</t>
        </is>
      </c>
      <c r="G1560" s="3" t="n">
        <v>-0.687078</v>
      </c>
      <c r="H1560" s="3" t="n">
        <v>-0.693648</v>
      </c>
      <c r="I1560" s="3" t="n">
        <v>-0.89669</v>
      </c>
      <c r="J1560" s="3" t="n">
        <v>-0.262861</v>
      </c>
      <c r="K1560" s="3" t="n">
        <v>-0.009689</v>
      </c>
      <c r="L1560" s="3" t="n">
        <v>-0.288443</v>
      </c>
      <c r="M1560" s="3" t="n">
        <v>0.255676</v>
      </c>
      <c r="N1560" s="3" t="n">
        <v>0.046373</v>
      </c>
      <c r="O1560" s="3" t="n">
        <v>1.382239</v>
      </c>
      <c r="P1560" s="3" t="n">
        <v>-1.331014</v>
      </c>
      <c r="Q1560" s="3" t="n">
        <v>-0.742381</v>
      </c>
      <c r="R1560" s="3" t="n">
        <v>-0.277477</v>
      </c>
      <c r="S1560" s="3" t="n">
        <v>-0.048669</v>
      </c>
      <c r="T1560" s="3" t="n">
        <v>0.331565</v>
      </c>
      <c r="U1560" s="3" t="n">
        <v>2.757967</v>
      </c>
      <c r="V1560" s="3" t="n">
        <v>0.798821</v>
      </c>
      <c r="W1560" s="3" t="n">
        <v>-0.123944</v>
      </c>
      <c r="X1560" s="3" t="n">
        <v>0.486495</v>
      </c>
      <c r="Y1560" s="3" t="n">
        <v>0.989162</v>
      </c>
      <c r="Z1560" s="3" t="n">
        <v>0.467754</v>
      </c>
      <c r="AA1560" s="3" t="n">
        <v>-0.026797</v>
      </c>
      <c r="AB1560" s="3" t="n">
        <v>-0.235112</v>
      </c>
      <c r="AC1560" s="3" t="n">
        <v>2.495743</v>
      </c>
      <c r="AD1560" s="3" t="n">
        <v>3.268003</v>
      </c>
      <c r="AE1560" s="3" t="n">
        <v>2.738837</v>
      </c>
      <c r="AF1560" s="3" t="n">
        <v>3.1745</v>
      </c>
      <c r="AG1560" s="3" t="n">
        <v>2.243277</v>
      </c>
      <c r="AH1560" s="3" t="n">
        <v>2.340127</v>
      </c>
      <c r="AI1560" s="3" t="n">
        <v>1.978279</v>
      </c>
      <c r="AJ1560" s="3" t="n">
        <v>1.979479</v>
      </c>
      <c r="AK1560" s="3" t="n">
        <v>1.967509</v>
      </c>
      <c r="AL1560" s="3" t="n">
        <v>1.969427</v>
      </c>
      <c r="AM1560" s="3" t="n"/>
      <c r="AN1560" s="3" t="n"/>
      <c r="AO1560" s="3" t="n"/>
      <c r="AP1560" s="3" t="n"/>
      <c r="AQ1560" s="3" t="n"/>
      <c r="AR1560" s="3" t="n"/>
      <c r="AS1560" s="3" t="n"/>
      <c r="AT1560" s="3" t="n"/>
      <c r="AU1560" s="3" t="n"/>
    </row>
    <row r="1561">
      <c r="A1561" s="3" t="n">
        <v>2031</v>
      </c>
      <c r="B1561" s="3" t="inlineStr">
        <is>
          <t>JPN</t>
        </is>
      </c>
      <c r="C1561" s="3" t="inlineStr">
        <is>
          <t>IMF.RES:WEO</t>
        </is>
      </c>
      <c r="D1561" s="3" t="inlineStr">
        <is>
          <t>JPN.PPPPC.A</t>
        </is>
      </c>
      <c r="E1561" s="3" t="inlineStr">
        <is>
          <t>Japan</t>
        </is>
      </c>
      <c r="F1561" s="3" t="inlineStr">
        <is>
          <t>Gross domestic product (GDP), Per capita, purchasing power parity (PPP) international dollar, ICP benchmarks 2017-2021</t>
        </is>
      </c>
      <c r="G1561" s="3" t="n">
        <v>26780.193957</v>
      </c>
      <c r="H1561" s="3" t="n">
        <v>27396.094418</v>
      </c>
      <c r="I1561" s="3" t="n">
        <v>27786.914606</v>
      </c>
      <c r="J1561" s="3" t="n">
        <v>28673.86406</v>
      </c>
      <c r="K1561" s="3" t="n">
        <v>30043.486357</v>
      </c>
      <c r="L1561" s="3" t="n">
        <v>31553.959656</v>
      </c>
      <c r="M1561" s="3" t="n">
        <v>33031.501682</v>
      </c>
      <c r="N1561" s="3" t="n">
        <v>34509.762012</v>
      </c>
      <c r="O1561" s="3" t="n">
        <v>34781.933024</v>
      </c>
      <c r="P1561" s="3" t="n">
        <v>32955.663007</v>
      </c>
      <c r="Q1561" s="3" t="n">
        <v>34724.051777</v>
      </c>
      <c r="R1561" s="3" t="n">
        <v>35304.050257</v>
      </c>
      <c r="S1561" s="3" t="n">
        <v>36634.348437</v>
      </c>
      <c r="T1561" s="3" t="n">
        <v>38067.412137</v>
      </c>
      <c r="U1561" s="3" t="n">
        <v>39146.819895</v>
      </c>
      <c r="V1561" s="3" t="n">
        <v>40266.283457</v>
      </c>
      <c r="W1561" s="3" t="n">
        <v>40941.073576</v>
      </c>
      <c r="X1561" s="3" t="n">
        <v>42422.385596</v>
      </c>
      <c r="Y1561" s="3" t="n">
        <v>43197.592018</v>
      </c>
      <c r="Z1561" s="3" t="n">
        <v>43886.400167</v>
      </c>
      <c r="AA1561" s="3" t="n">
        <v>43702.701361</v>
      </c>
      <c r="AB1561" s="3" t="n">
        <v>46312.107579</v>
      </c>
      <c r="AC1561" s="3" t="n">
        <v>50439.097865</v>
      </c>
      <c r="AD1561" s="3" t="n">
        <v>52927.93899</v>
      </c>
      <c r="AE1561" s="3" t="n">
        <v>54368.995153</v>
      </c>
      <c r="AF1561" s="3" t="n">
        <v>56853.534894</v>
      </c>
      <c r="AG1561" s="3" t="n">
        <v>59207.390662</v>
      </c>
      <c r="AH1561" s="3" t="n">
        <v>61212.910159</v>
      </c>
      <c r="AI1561" s="3" t="n">
        <v>62957.239297</v>
      </c>
      <c r="AJ1561" s="3" t="n">
        <v>64844.201383</v>
      </c>
      <c r="AK1561" s="3" t="n">
        <v>66840.51656400001</v>
      </c>
      <c r="AL1561" s="3" t="n">
        <v>68886.625395</v>
      </c>
      <c r="AM1561" s="3" t="n"/>
      <c r="AN1561" s="3" t="n"/>
      <c r="AO1561" s="3" t="n"/>
      <c r="AP1561" s="3" t="n"/>
      <c r="AQ1561" s="3" t="n"/>
      <c r="AR1561" s="3" t="n"/>
      <c r="AS1561" s="3" t="n"/>
      <c r="AT1561" s="3" t="n"/>
      <c r="AU1561" s="3" t="n"/>
    </row>
    <row r="1562">
      <c r="A1562" s="3" t="n">
        <v>2025</v>
      </c>
      <c r="B1562" s="3" t="inlineStr">
        <is>
          <t>JPN</t>
        </is>
      </c>
      <c r="C1562" s="3" t="inlineStr">
        <is>
          <t>IMF.STA:ER</t>
        </is>
      </c>
      <c r="D1562" s="3" t="inlineStr">
        <is>
          <t>JPN.XDC_USD.PA_RT.A</t>
        </is>
      </c>
      <c r="E1562" s="3" t="inlineStr">
        <is>
          <t>Japan</t>
        </is>
      </c>
      <c r="F1562" s="3" t="inlineStr">
        <is>
          <t>Domestic currency per US Dollar</t>
        </is>
      </c>
      <c r="G1562" s="3" t="n">
        <v>107.765498333333</v>
      </c>
      <c r="H1562" s="3" t="n">
        <v>121.5289475</v>
      </c>
      <c r="I1562" s="3" t="n">
        <v>125.388019166666</v>
      </c>
      <c r="J1562" s="3" t="n">
        <v>115.933464166666</v>
      </c>
      <c r="K1562" s="3" t="n">
        <v>108.192569166666</v>
      </c>
      <c r="L1562" s="3" t="n">
        <v>110.218211666666</v>
      </c>
      <c r="M1562" s="3" t="n">
        <v>116.299311666666</v>
      </c>
      <c r="N1562" s="3" t="n">
        <v>117.753529166666</v>
      </c>
      <c r="O1562" s="3" t="n">
        <v>103.359493968254</v>
      </c>
      <c r="P1562" s="3" t="n">
        <v>93.5700890870456</v>
      </c>
      <c r="Q1562" s="3" t="n">
        <v>87.779875</v>
      </c>
      <c r="R1562" s="3" t="n">
        <v>79.8070198321891</v>
      </c>
      <c r="S1562" s="3" t="n">
        <v>79.7904554170065</v>
      </c>
      <c r="T1562" s="3" t="n">
        <v>97.59565827763851</v>
      </c>
      <c r="U1562" s="3" t="n">
        <v>105.944781034024</v>
      </c>
      <c r="V1562" s="3" t="n">
        <v>121.044025684011</v>
      </c>
      <c r="W1562" s="3" t="n">
        <v>108.792900046834</v>
      </c>
      <c r="X1562" s="3" t="n">
        <v>112.166141081871</v>
      </c>
      <c r="Y1562" s="3" t="n">
        <v>110.42317934106</v>
      </c>
      <c r="Z1562" s="3" t="n">
        <v>109.009665900863</v>
      </c>
      <c r="AA1562" s="3" t="n">
        <v>106.774582262437</v>
      </c>
      <c r="AB1562" s="3" t="n">
        <v>109.754323839417</v>
      </c>
      <c r="AC1562" s="3" t="n">
        <v>131.498140443763</v>
      </c>
      <c r="AD1562" s="3" t="n">
        <v>140.49110006234</v>
      </c>
      <c r="AE1562" s="3" t="n">
        <v>151.366291302751</v>
      </c>
      <c r="AF1562" s="3" t="n">
        <v>149.657926890951</v>
      </c>
      <c r="AG1562" s="3" t="n"/>
      <c r="AH1562" s="3" t="n"/>
      <c r="AI1562" s="3" t="n"/>
      <c r="AJ1562" s="3" t="n"/>
      <c r="AK1562" s="3" t="n"/>
      <c r="AL1562" s="3" t="n"/>
      <c r="AM1562" s="3" t="n"/>
      <c r="AN1562" s="3" t="n"/>
      <c r="AO1562" s="3" t="n"/>
      <c r="AP1562" s="3" t="n"/>
      <c r="AQ1562" s="3" t="n"/>
      <c r="AR1562" s="3" t="n"/>
      <c r="AS1562" s="3" t="n"/>
      <c r="AT1562" s="3" t="n"/>
      <c r="AU1562" s="3" t="n"/>
    </row>
    <row r="1563">
      <c r="A1563" s="3" t="n">
        <v>2031</v>
      </c>
      <c r="B1563" s="3" t="inlineStr">
        <is>
          <t>KAZ</t>
        </is>
      </c>
      <c r="C1563" s="3" t="inlineStr">
        <is>
          <t>IMF.RES:WEO</t>
        </is>
      </c>
      <c r="D1563" s="3" t="inlineStr">
        <is>
          <t>KAZ.BCA.A</t>
        </is>
      </c>
      <c r="E1563" s="3" t="inlineStr">
        <is>
          <t>Kazakhstan, Republic of</t>
        </is>
      </c>
      <c r="F1563" s="3" t="inlineStr">
        <is>
          <t>Current account balance (credit less debit), US dollar</t>
        </is>
      </c>
      <c r="G1563" s="3" t="n">
        <v>0.366309</v>
      </c>
      <c r="H1563" s="3" t="n">
        <v>-1.389516</v>
      </c>
      <c r="I1563" s="3" t="n">
        <v>-1.024341</v>
      </c>
      <c r="J1563" s="3" t="n">
        <v>-0.272631</v>
      </c>
      <c r="K1563" s="3" t="n">
        <v>0.335428</v>
      </c>
      <c r="L1563" s="3" t="n">
        <v>0.3588</v>
      </c>
      <c r="M1563" s="3" t="n">
        <v>-0.823</v>
      </c>
      <c r="N1563" s="3" t="n">
        <v>-4.7674</v>
      </c>
      <c r="O1563" s="3" t="n">
        <v>1.2872</v>
      </c>
      <c r="P1563" s="3" t="n">
        <v>-0.1344</v>
      </c>
      <c r="Q1563" s="3" t="n">
        <v>2.6776</v>
      </c>
      <c r="R1563" s="3" t="n">
        <v>14.0675</v>
      </c>
      <c r="S1563" s="3" t="n">
        <v>2.6285</v>
      </c>
      <c r="T1563" s="3" t="n">
        <v>4.5273</v>
      </c>
      <c r="U1563" s="3" t="n">
        <v>-2.8528</v>
      </c>
      <c r="V1563" s="3" t="n">
        <v>-9.9794</v>
      </c>
      <c r="W1563" s="3" t="n">
        <v>-6.9646</v>
      </c>
      <c r="X1563" s="3" t="n">
        <v>-3.4264</v>
      </c>
      <c r="Y1563" s="3" t="n">
        <v>-1.7656</v>
      </c>
      <c r="Z1563" s="3" t="n">
        <v>-7.0282</v>
      </c>
      <c r="AA1563" s="3" t="n">
        <v>-11.0548</v>
      </c>
      <c r="AB1563" s="3" t="n">
        <v>-2.6794</v>
      </c>
      <c r="AC1563" s="3" t="n">
        <v>6.4364</v>
      </c>
      <c r="AD1563" s="3" t="n">
        <v>-9.3155</v>
      </c>
      <c r="AE1563" s="3" t="n">
        <v>-7.9355</v>
      </c>
      <c r="AF1563" s="3" t="n">
        <v>-11.8446</v>
      </c>
      <c r="AG1563" s="3" t="n">
        <v>-3.772688</v>
      </c>
      <c r="AH1563" s="3" t="n">
        <v>-7.84187</v>
      </c>
      <c r="AI1563" s="3" t="n">
        <v>-9.967879</v>
      </c>
      <c r="AJ1563" s="3" t="n">
        <v>-10.072789</v>
      </c>
      <c r="AK1563" s="3" t="n">
        <v>-10.366111</v>
      </c>
      <c r="AL1563" s="3" t="n">
        <v>-9.953315</v>
      </c>
      <c r="AM1563" s="3" t="n"/>
      <c r="AN1563" s="3" t="n"/>
      <c r="AO1563" s="3" t="n"/>
      <c r="AP1563" s="3" t="n"/>
      <c r="AQ1563" s="3" t="n"/>
      <c r="AR1563" s="3" t="n"/>
      <c r="AS1563" s="3" t="n"/>
      <c r="AT1563" s="3" t="n"/>
      <c r="AU1563" s="3" t="n"/>
    </row>
    <row r="1564">
      <c r="A1564" s="3" t="n">
        <v>2031</v>
      </c>
      <c r="B1564" s="3" t="inlineStr">
        <is>
          <t>KAZ</t>
        </is>
      </c>
      <c r="C1564" s="3" t="inlineStr">
        <is>
          <t>IMF.RES:WEO</t>
        </is>
      </c>
      <c r="D1564" s="3" t="inlineStr">
        <is>
          <t>KAZ.BCA_NGDPD.A</t>
        </is>
      </c>
      <c r="E1564" s="3" t="inlineStr">
        <is>
          <t>Kazakhstan, Republic of</t>
        </is>
      </c>
      <c r="F1564" s="3" t="inlineStr">
        <is>
          <t>Current account balance (credit less debit), Percent of GDP</t>
        </is>
      </c>
      <c r="G1564" s="3" t="n">
        <v>2.002567</v>
      </c>
      <c r="H1564" s="3" t="n">
        <v>-6.272451</v>
      </c>
      <c r="I1564" s="3" t="n">
        <v>-4.157803</v>
      </c>
      <c r="J1564" s="3" t="n">
        <v>-0.884199</v>
      </c>
      <c r="K1564" s="3" t="n">
        <v>0.777323</v>
      </c>
      <c r="L1564" s="3" t="n">
        <v>0.628099</v>
      </c>
      <c r="M1564" s="3" t="n">
        <v>-1.016006</v>
      </c>
      <c r="N1564" s="3" t="n">
        <v>-4.54688</v>
      </c>
      <c r="O1564" s="3" t="n">
        <v>0.964616</v>
      </c>
      <c r="P1564" s="3" t="n">
        <v>-0.116557</v>
      </c>
      <c r="Q1564" s="3" t="n">
        <v>1.808611</v>
      </c>
      <c r="R1564" s="3" t="n">
        <v>7.302994</v>
      </c>
      <c r="S1564" s="3" t="n">
        <v>1.263711</v>
      </c>
      <c r="T1564" s="3" t="n">
        <v>1.913203</v>
      </c>
      <c r="U1564" s="3" t="n">
        <v>-1.288437</v>
      </c>
      <c r="V1564" s="3" t="n">
        <v>-5.412162</v>
      </c>
      <c r="W1564" s="3" t="n">
        <v>-5.073343</v>
      </c>
      <c r="X1564" s="3" t="n">
        <v>-2.054124</v>
      </c>
      <c r="Y1564" s="3" t="n">
        <v>-0.984499</v>
      </c>
      <c r="Z1564" s="3" t="n">
        <v>-3.868725</v>
      </c>
      <c r="AA1564" s="3" t="n">
        <v>-6.461683</v>
      </c>
      <c r="AB1564" s="3" t="n">
        <v>-1.359327</v>
      </c>
      <c r="AC1564" s="3" t="n">
        <v>2.854326</v>
      </c>
      <c r="AD1564" s="3" t="n">
        <v>-3.557706</v>
      </c>
      <c r="AE1564" s="3" t="n">
        <v>-2.722483</v>
      </c>
      <c r="AF1564" s="3" t="n">
        <v>-3.912392</v>
      </c>
      <c r="AG1564" s="3" t="n">
        <v>-1.046644</v>
      </c>
      <c r="AH1564" s="3" t="n">
        <v>-2.031753</v>
      </c>
      <c r="AI1564" s="3" t="n">
        <v>-2.426629</v>
      </c>
      <c r="AJ1564" s="3" t="n">
        <v>-2.293755</v>
      </c>
      <c r="AK1564" s="3" t="n">
        <v>-2.21105</v>
      </c>
      <c r="AL1564" s="3" t="n">
        <v>-1.983981</v>
      </c>
      <c r="AM1564" s="3" t="n"/>
      <c r="AN1564" s="3" t="n"/>
      <c r="AO1564" s="3" t="n"/>
      <c r="AP1564" s="3" t="n"/>
      <c r="AQ1564" s="3" t="n"/>
      <c r="AR1564" s="3" t="n"/>
      <c r="AS1564" s="3" t="n"/>
      <c r="AT1564" s="3" t="n"/>
      <c r="AU1564" s="3" t="n"/>
    </row>
    <row r="1565">
      <c r="A1565" s="3" t="n">
        <v>2031</v>
      </c>
      <c r="B1565" s="3" t="inlineStr">
        <is>
          <t>KAZ</t>
        </is>
      </c>
      <c r="C1565" s="3" t="inlineStr">
        <is>
          <t>IMF.RES:WEO</t>
        </is>
      </c>
      <c r="D1565" s="3" t="inlineStr">
        <is>
          <t>KAZ.GGR_NGDP.A</t>
        </is>
      </c>
      <c r="E1565" s="3" t="inlineStr">
        <is>
          <t>Kazakhstan, Republic of</t>
        </is>
      </c>
      <c r="F1565" s="3" t="inlineStr">
        <is>
          <t>Revenue, General government, Percent of GDP</t>
        </is>
      </c>
      <c r="G1565" s="3" t="n">
        <v>21.854675</v>
      </c>
      <c r="H1565" s="3" t="n">
        <v>25.653781</v>
      </c>
      <c r="I1565" s="3" t="n">
        <v>22.451068</v>
      </c>
      <c r="J1565" s="3" t="n">
        <v>25.35116</v>
      </c>
      <c r="K1565" s="3" t="n">
        <v>24.550082</v>
      </c>
      <c r="L1565" s="3" t="n">
        <v>28.083759</v>
      </c>
      <c r="M1565" s="3" t="n">
        <v>27.452427</v>
      </c>
      <c r="N1565" s="3" t="n">
        <v>28.838997</v>
      </c>
      <c r="O1565" s="3" t="n">
        <v>28.295434</v>
      </c>
      <c r="P1565" s="3" t="n">
        <v>22.142102</v>
      </c>
      <c r="Q1565" s="3" t="n">
        <v>23.943113</v>
      </c>
      <c r="R1565" s="3" t="n">
        <v>27.044951</v>
      </c>
      <c r="S1565" s="3" t="n">
        <v>26.342903</v>
      </c>
      <c r="T1565" s="3" t="n">
        <v>24.754333</v>
      </c>
      <c r="U1565" s="3" t="n">
        <v>23.74208</v>
      </c>
      <c r="V1565" s="3" t="n">
        <v>16.611009</v>
      </c>
      <c r="W1565" s="3" t="n">
        <v>17.008453</v>
      </c>
      <c r="X1565" s="3" t="n">
        <v>19.82241</v>
      </c>
      <c r="Y1565" s="3" t="n">
        <v>21.426192</v>
      </c>
      <c r="Z1565" s="3" t="n">
        <v>19.678943</v>
      </c>
      <c r="AA1565" s="3" t="n">
        <v>17.509024</v>
      </c>
      <c r="AB1565" s="3" t="n">
        <v>17.103603</v>
      </c>
      <c r="AC1565" s="3" t="n">
        <v>21.822988</v>
      </c>
      <c r="AD1565" s="3" t="n">
        <v>21.979851</v>
      </c>
      <c r="AE1565" s="3" t="n">
        <v>19.233139</v>
      </c>
      <c r="AF1565" s="3" t="n">
        <v>18.731094</v>
      </c>
      <c r="AG1565" s="3" t="n">
        <v>19.395021</v>
      </c>
      <c r="AH1565" s="3" t="n">
        <v>18.989481</v>
      </c>
      <c r="AI1565" s="3" t="n">
        <v>18.900429</v>
      </c>
      <c r="AJ1565" s="3" t="n">
        <v>18.840446</v>
      </c>
      <c r="AK1565" s="3" t="n">
        <v>19.193011</v>
      </c>
      <c r="AL1565" s="3" t="n">
        <v>19.565779</v>
      </c>
      <c r="AM1565" s="3" t="n"/>
      <c r="AN1565" s="3" t="n"/>
      <c r="AO1565" s="3" t="n"/>
      <c r="AP1565" s="3" t="n"/>
      <c r="AQ1565" s="3" t="n"/>
      <c r="AR1565" s="3" t="n"/>
      <c r="AS1565" s="3" t="n"/>
      <c r="AT1565" s="3" t="n"/>
      <c r="AU1565" s="3" t="n"/>
    </row>
    <row r="1566">
      <c r="A1566" s="3" t="n">
        <v>2031</v>
      </c>
      <c r="B1566" s="3" t="inlineStr">
        <is>
          <t>KAZ</t>
        </is>
      </c>
      <c r="C1566" s="3" t="inlineStr">
        <is>
          <t>IMF.RES:WEO</t>
        </is>
      </c>
      <c r="D1566" s="3" t="inlineStr">
        <is>
          <t>KAZ.GGX_NGDP.A</t>
        </is>
      </c>
      <c r="E1566" s="3" t="inlineStr">
        <is>
          <t>Kazakhstan, Republic of</t>
        </is>
      </c>
      <c r="F1566" s="3" t="inlineStr">
        <is>
          <t>Expenditure, General government, Percent of GDP</t>
        </is>
      </c>
      <c r="G1566" s="3" t="n"/>
      <c r="H1566" s="3" t="n"/>
      <c r="I1566" s="3" t="n">
        <v>20.527181</v>
      </c>
      <c r="J1566" s="3" t="n">
        <v>21.355112</v>
      </c>
      <c r="K1566" s="3" t="n">
        <v>21.262762</v>
      </c>
      <c r="L1566" s="3" t="n">
        <v>22.006004</v>
      </c>
      <c r="M1566" s="3" t="n">
        <v>19.799798</v>
      </c>
      <c r="N1566" s="3" t="n">
        <v>23.704583</v>
      </c>
      <c r="O1566" s="3" t="n">
        <v>27.068299</v>
      </c>
      <c r="P1566" s="3" t="n">
        <v>23.470151</v>
      </c>
      <c r="Q1566" s="3" t="n">
        <v>22.47342</v>
      </c>
      <c r="R1566" s="3" t="n">
        <v>21.233915</v>
      </c>
      <c r="S1566" s="3" t="n">
        <v>21.912022</v>
      </c>
      <c r="T1566" s="3" t="n">
        <v>19.808639</v>
      </c>
      <c r="U1566" s="3" t="n">
        <v>21.260233</v>
      </c>
      <c r="V1566" s="3" t="n">
        <v>22.870298</v>
      </c>
      <c r="W1566" s="3" t="n">
        <v>21.51167</v>
      </c>
      <c r="X1566" s="3" t="n">
        <v>24.087918</v>
      </c>
      <c r="Y1566" s="3" t="n">
        <v>18.846628</v>
      </c>
      <c r="Z1566" s="3" t="n">
        <v>20.248485</v>
      </c>
      <c r="AA1566" s="3" t="n">
        <v>24.545989</v>
      </c>
      <c r="AB1566" s="3" t="n">
        <v>22.069656</v>
      </c>
      <c r="AC1566" s="3" t="n">
        <v>21.717607</v>
      </c>
      <c r="AD1566" s="3" t="n">
        <v>23.392291</v>
      </c>
      <c r="AE1566" s="3" t="n">
        <v>22.667306</v>
      </c>
      <c r="AF1566" s="3" t="n">
        <v>21.84496</v>
      </c>
      <c r="AG1566" s="3" t="n">
        <v>20.738868</v>
      </c>
      <c r="AH1566" s="3" t="n">
        <v>20.766928</v>
      </c>
      <c r="AI1566" s="3" t="n">
        <v>20.91909</v>
      </c>
      <c r="AJ1566" s="3" t="n">
        <v>20.807245</v>
      </c>
      <c r="AK1566" s="3" t="n">
        <v>20.932849</v>
      </c>
      <c r="AL1566" s="3" t="n">
        <v>21.282434</v>
      </c>
      <c r="AM1566" s="3" t="n"/>
      <c r="AN1566" s="3" t="n"/>
      <c r="AO1566" s="3" t="n"/>
      <c r="AP1566" s="3" t="n"/>
      <c r="AQ1566" s="3" t="n"/>
      <c r="AR1566" s="3" t="n"/>
      <c r="AS1566" s="3" t="n"/>
      <c r="AT1566" s="3" t="n"/>
      <c r="AU1566" s="3" t="n"/>
    </row>
    <row r="1567">
      <c r="A1567" s="3" t="n">
        <v>2031</v>
      </c>
      <c r="B1567" s="3" t="inlineStr">
        <is>
          <t>KAZ</t>
        </is>
      </c>
      <c r="C1567" s="3" t="inlineStr">
        <is>
          <t>IMF.RES:WEO</t>
        </is>
      </c>
      <c r="D1567" s="3" t="inlineStr">
        <is>
          <t>KAZ.LP.A</t>
        </is>
      </c>
      <c r="E1567" s="3" t="inlineStr">
        <is>
          <t>Kazakhstan, Republic of</t>
        </is>
      </c>
      <c r="F1567" s="3" t="inlineStr">
        <is>
          <t>Population, Persons for countries / Index for country groups</t>
        </is>
      </c>
      <c r="G1567" s="3" t="n">
        <v>14.883626</v>
      </c>
      <c r="H1567" s="3" t="n">
        <v>14.858335</v>
      </c>
      <c r="I1567" s="3" t="n">
        <v>14.858948</v>
      </c>
      <c r="J1567" s="3" t="n">
        <v>14.909018</v>
      </c>
      <c r="K1567" s="3" t="n">
        <v>15.012985</v>
      </c>
      <c r="L1567" s="3" t="n">
        <v>15.147029</v>
      </c>
      <c r="M1567" s="3" t="n">
        <v>15.308084</v>
      </c>
      <c r="N1567" s="3" t="n">
        <v>15.484192</v>
      </c>
      <c r="O1567" s="3" t="n">
        <v>15.674</v>
      </c>
      <c r="P1567" s="3" t="n">
        <v>16.092763</v>
      </c>
      <c r="Q1567" s="3" t="n">
        <v>16.321714</v>
      </c>
      <c r="R1567" s="3" t="n">
        <v>16.556949</v>
      </c>
      <c r="S1567" s="3" t="n">
        <v>16.791721</v>
      </c>
      <c r="T1567" s="3" t="n">
        <v>17.03501</v>
      </c>
      <c r="U1567" s="3" t="n">
        <v>17.287554</v>
      </c>
      <c r="V1567" s="3" t="n">
        <v>17.541804</v>
      </c>
      <c r="W1567" s="3" t="n">
        <v>17.792672</v>
      </c>
      <c r="X1567" s="3" t="n">
        <v>18.036224</v>
      </c>
      <c r="Y1567" s="3" t="n">
        <v>18.275233</v>
      </c>
      <c r="Z1567" s="3" t="n">
        <v>18.512781</v>
      </c>
      <c r="AA1567" s="3" t="n">
        <v>18.754943</v>
      </c>
      <c r="AB1567" s="3" t="n">
        <v>19.000687</v>
      </c>
      <c r="AC1567" s="3" t="n">
        <v>19.634983</v>
      </c>
      <c r="AD1567" s="3" t="n">
        <v>19.900325</v>
      </c>
      <c r="AE1567" s="3" t="n">
        <v>20.158621</v>
      </c>
      <c r="AF1567" s="3" t="n">
        <v>20.380366</v>
      </c>
      <c r="AG1567" s="3" t="n">
        <v>20.59436</v>
      </c>
      <c r="AH1567" s="3" t="n">
        <v>20.8106</v>
      </c>
      <c r="AI1567" s="3" t="n">
        <v>21.018706</v>
      </c>
      <c r="AJ1567" s="3" t="n">
        <v>21.228894</v>
      </c>
      <c r="AK1567" s="3" t="n">
        <v>21.441182</v>
      </c>
      <c r="AL1567" s="3" t="n">
        <v>21.655594</v>
      </c>
      <c r="AM1567" s="3" t="n"/>
      <c r="AN1567" s="3" t="n"/>
      <c r="AO1567" s="3" t="n"/>
      <c r="AP1567" s="3" t="n"/>
      <c r="AQ1567" s="3" t="n"/>
      <c r="AR1567" s="3" t="n"/>
      <c r="AS1567" s="3" t="n"/>
      <c r="AT1567" s="3" t="n"/>
      <c r="AU1567" s="3" t="n"/>
    </row>
    <row r="1568">
      <c r="A1568" s="3" t="n">
        <v>2031</v>
      </c>
      <c r="B1568" s="3" t="inlineStr">
        <is>
          <t>KAZ</t>
        </is>
      </c>
      <c r="C1568" s="3" t="inlineStr">
        <is>
          <t>IMF.RES:WEO</t>
        </is>
      </c>
      <c r="D1568" s="3" t="inlineStr">
        <is>
          <t>KAZ.NGDP.A</t>
        </is>
      </c>
      <c r="E1568" s="3" t="inlineStr">
        <is>
          <t>Kazakhstan, Republic of</t>
        </is>
      </c>
      <c r="F1568" s="3" t="inlineStr">
        <is>
          <t>Gross domestic product (GDP), Current prices, Domestic currency</t>
        </is>
      </c>
      <c r="G1568" s="3" t="n">
        <v>2599.902399</v>
      </c>
      <c r="H1568" s="3" t="n">
        <v>3250.593</v>
      </c>
      <c r="I1568" s="3" t="n">
        <v>3776.277</v>
      </c>
      <c r="J1568" s="3" t="n">
        <v>4611.975</v>
      </c>
      <c r="K1568" s="3" t="n">
        <v>5870.134</v>
      </c>
      <c r="L1568" s="3" t="n">
        <v>7590.594</v>
      </c>
      <c r="M1568" s="3" t="n">
        <v>10213.731</v>
      </c>
      <c r="N1568" s="3" t="n">
        <v>12849.794</v>
      </c>
      <c r="O1568" s="3" t="n">
        <v>16052.919</v>
      </c>
      <c r="P1568" s="3" t="n">
        <v>17007.647</v>
      </c>
      <c r="Q1568" s="3" t="n">
        <v>21815.517</v>
      </c>
      <c r="R1568" s="3" t="n">
        <v>28243.053</v>
      </c>
      <c r="S1568" s="3" t="n">
        <v>31015.187</v>
      </c>
      <c r="T1568" s="3" t="n">
        <v>35999.025</v>
      </c>
      <c r="U1568" s="3" t="n">
        <v>39675.833</v>
      </c>
      <c r="V1568" s="3" t="n">
        <v>40884.134</v>
      </c>
      <c r="W1568" s="3" t="n">
        <v>46971.15</v>
      </c>
      <c r="X1568" s="3" t="n">
        <v>54378.858</v>
      </c>
      <c r="Y1568" s="3" t="n">
        <v>61819.536</v>
      </c>
      <c r="Z1568" s="3" t="n">
        <v>69532.62699999999</v>
      </c>
      <c r="AA1568" s="3" t="n">
        <v>70649.033</v>
      </c>
      <c r="AB1568" s="3" t="n">
        <v>83951.588</v>
      </c>
      <c r="AC1568" s="3" t="n">
        <v>103765.518</v>
      </c>
      <c r="AD1568" s="3" t="n">
        <v>119442.29</v>
      </c>
      <c r="AE1568" s="3" t="n">
        <v>136693.318</v>
      </c>
      <c r="AF1568" s="3" t="n">
        <v>157741.1415</v>
      </c>
      <c r="AG1568" s="3" t="n">
        <v>188188.133626</v>
      </c>
      <c r="AH1568" s="3" t="n">
        <v>215988.277105</v>
      </c>
      <c r="AI1568" s="3" t="n">
        <v>242967.218792</v>
      </c>
      <c r="AJ1568" s="3" t="n">
        <v>271566.238867</v>
      </c>
      <c r="AK1568" s="3" t="n">
        <v>299028.075543</v>
      </c>
      <c r="AL1568" s="3" t="n">
        <v>326326.260159</v>
      </c>
      <c r="AM1568" s="3" t="n"/>
      <c r="AN1568" s="3" t="n"/>
      <c r="AO1568" s="3" t="n"/>
      <c r="AP1568" s="3" t="n"/>
      <c r="AQ1568" s="3" t="n"/>
      <c r="AR1568" s="3" t="n"/>
      <c r="AS1568" s="3" t="n"/>
      <c r="AT1568" s="3" t="n"/>
      <c r="AU1568" s="3" t="n"/>
    </row>
    <row r="1569">
      <c r="A1569" s="3" t="n">
        <v>2031</v>
      </c>
      <c r="B1569" s="3" t="inlineStr">
        <is>
          <t>KAZ</t>
        </is>
      </c>
      <c r="C1569" s="3" t="inlineStr">
        <is>
          <t>IMF.RES:WEO</t>
        </is>
      </c>
      <c r="D1569" s="3" t="inlineStr">
        <is>
          <t>KAZ.NGDP_D.A</t>
        </is>
      </c>
      <c r="E1569" s="3" t="inlineStr">
        <is>
          <t>Kazakhstan, Republic of</t>
        </is>
      </c>
      <c r="F1569" s="3" t="inlineStr">
        <is>
          <t>Gross domestic product (GDP), Price deflator, Index</t>
        </is>
      </c>
      <c r="G1569" s="3" t="n">
        <v>56.092824</v>
      </c>
      <c r="H1569" s="3" t="n">
        <v>61.790123</v>
      </c>
      <c r="I1569" s="3" t="n">
        <v>65.376493</v>
      </c>
      <c r="J1569" s="3" t="n">
        <v>73.05057499999999</v>
      </c>
      <c r="K1569" s="3" t="n">
        <v>84.835882</v>
      </c>
      <c r="L1569" s="3" t="n">
        <v>100</v>
      </c>
      <c r="M1569" s="3" t="n">
        <v>121.550001</v>
      </c>
      <c r="N1569" s="3" t="n">
        <v>140.423191</v>
      </c>
      <c r="O1569" s="3" t="n">
        <v>169.822944</v>
      </c>
      <c r="P1569" s="3" t="n">
        <v>177.789485</v>
      </c>
      <c r="Q1569" s="3" t="n">
        <v>212.533613</v>
      </c>
      <c r="R1569" s="3" t="n">
        <v>255.955989</v>
      </c>
      <c r="S1569" s="3" t="n">
        <v>267.694072</v>
      </c>
      <c r="T1569" s="3" t="n">
        <v>293.399339</v>
      </c>
      <c r="U1569" s="3" t="n">
        <v>310.03458</v>
      </c>
      <c r="V1569" s="3" t="n">
        <v>316.313345</v>
      </c>
      <c r="W1569" s="3" t="n">
        <v>360.166021</v>
      </c>
      <c r="X1569" s="3" t="n">
        <v>401.315631</v>
      </c>
      <c r="Y1569" s="3" t="n">
        <v>438.259167</v>
      </c>
      <c r="Z1569" s="3" t="n">
        <v>471.712751</v>
      </c>
      <c r="AA1569" s="3" t="n">
        <v>492.080598</v>
      </c>
      <c r="AB1569" s="3" t="n">
        <v>561.704888</v>
      </c>
      <c r="AC1569" s="3" t="n">
        <v>672.748366</v>
      </c>
      <c r="AD1569" s="3" t="n">
        <v>736.809132</v>
      </c>
      <c r="AE1569" s="3" t="n">
        <v>803.072705</v>
      </c>
      <c r="AF1569" s="3" t="n">
        <v>870.288185</v>
      </c>
      <c r="AG1569" s="3" t="n">
        <v>992.521081</v>
      </c>
      <c r="AH1569" s="3" t="n">
        <v>1091.12937</v>
      </c>
      <c r="AI1569" s="3" t="n">
        <v>1188.108681</v>
      </c>
      <c r="AJ1569" s="3" t="n">
        <v>1281.861532</v>
      </c>
      <c r="AK1569" s="3" t="n">
        <v>1362.461818</v>
      </c>
      <c r="AL1569" s="3" t="n">
        <v>1434.987636</v>
      </c>
      <c r="AM1569" s="3" t="n"/>
      <c r="AN1569" s="3" t="n"/>
      <c r="AO1569" s="3" t="n"/>
      <c r="AP1569" s="3" t="n"/>
      <c r="AQ1569" s="3" t="n"/>
      <c r="AR1569" s="3" t="n"/>
      <c r="AS1569" s="3" t="n"/>
      <c r="AT1569" s="3" t="n"/>
      <c r="AU1569" s="3" t="n"/>
    </row>
    <row r="1570">
      <c r="A1570" s="3" t="n">
        <v>2031</v>
      </c>
      <c r="B1570" s="3" t="inlineStr">
        <is>
          <t>KAZ</t>
        </is>
      </c>
      <c r="C1570" s="3" t="inlineStr">
        <is>
          <t>IMF.RES:WEO</t>
        </is>
      </c>
      <c r="D1570" s="3" t="inlineStr">
        <is>
          <t>KAZ.NGDP_R.A</t>
        </is>
      </c>
      <c r="E1570" s="3" t="inlineStr">
        <is>
          <t>Kazakhstan, Republic of</t>
        </is>
      </c>
      <c r="F1570" s="3" t="inlineStr">
        <is>
          <t>Gross domestic product (GDP), Constant prices, Domestic currency</t>
        </is>
      </c>
      <c r="G1570" s="3" t="n">
        <v>4635</v>
      </c>
      <c r="H1570" s="3" t="n">
        <v>5260.7</v>
      </c>
      <c r="I1570" s="3" t="n">
        <v>5776.2</v>
      </c>
      <c r="J1570" s="3" t="n">
        <v>6313.4</v>
      </c>
      <c r="K1570" s="3" t="n">
        <v>6919.4</v>
      </c>
      <c r="L1570" s="3" t="n">
        <v>7590.594</v>
      </c>
      <c r="M1570" s="3" t="n">
        <v>8402.9049</v>
      </c>
      <c r="N1570" s="3" t="n">
        <v>9150.7634</v>
      </c>
      <c r="O1570" s="3" t="n">
        <v>9452.738600000001</v>
      </c>
      <c r="P1570" s="3" t="n">
        <v>9566.1715</v>
      </c>
      <c r="Q1570" s="3" t="n">
        <v>10264.502</v>
      </c>
      <c r="R1570" s="3" t="n">
        <v>11034.3396</v>
      </c>
      <c r="S1570" s="3" t="n">
        <v>11586.0567</v>
      </c>
      <c r="T1570" s="3" t="n">
        <v>12269.634</v>
      </c>
      <c r="U1570" s="3" t="n">
        <v>12797.2283</v>
      </c>
      <c r="V1570" s="3" t="n">
        <v>12925.2005</v>
      </c>
      <c r="W1570" s="3" t="n">
        <v>13041.5273</v>
      </c>
      <c r="X1570" s="3" t="n">
        <v>13550.147</v>
      </c>
      <c r="Y1570" s="3" t="n">
        <v>14105.7029</v>
      </c>
      <c r="Z1570" s="3" t="n">
        <v>14740.4595</v>
      </c>
      <c r="AA1570" s="3" t="n">
        <v>14357.2076</v>
      </c>
      <c r="AB1570" s="3" t="n">
        <v>14945.8532</v>
      </c>
      <c r="AC1570" s="3" t="n">
        <v>15424.1204</v>
      </c>
      <c r="AD1570" s="3" t="n">
        <v>16210.7505</v>
      </c>
      <c r="AE1570" s="3" t="n">
        <v>17021.288</v>
      </c>
      <c r="AF1570" s="3" t="n">
        <v>18125.161775</v>
      </c>
      <c r="AG1570" s="3" t="n">
        <v>18960.618297</v>
      </c>
      <c r="AH1570" s="3" t="n">
        <v>19794.928352</v>
      </c>
      <c r="AI1570" s="3" t="n">
        <v>20449.915288</v>
      </c>
      <c r="AJ1570" s="3" t="n">
        <v>21185.302155</v>
      </c>
      <c r="AK1570" s="3" t="n">
        <v>21947.629769</v>
      </c>
      <c r="AL1570" s="3" t="n">
        <v>22740.701871</v>
      </c>
      <c r="AM1570" s="3" t="n"/>
      <c r="AN1570" s="3" t="n"/>
      <c r="AO1570" s="3" t="n"/>
      <c r="AP1570" s="3" t="n"/>
      <c r="AQ1570" s="3" t="n"/>
      <c r="AR1570" s="3" t="n"/>
      <c r="AS1570" s="3" t="n"/>
      <c r="AT1570" s="3" t="n"/>
      <c r="AU1570" s="3" t="n"/>
    </row>
    <row r="1571">
      <c r="A1571" s="3" t="n">
        <v>2031</v>
      </c>
      <c r="B1571" s="3" t="inlineStr">
        <is>
          <t>KAZ</t>
        </is>
      </c>
      <c r="C1571" s="3" t="inlineStr">
        <is>
          <t>IMF.RES:WEO</t>
        </is>
      </c>
      <c r="D1571" s="3" t="inlineStr">
        <is>
          <t>KAZ.NGDP_RPCH.A</t>
        </is>
      </c>
      <c r="E1571" s="3" t="inlineStr">
        <is>
          <t>Kazakhstan, Republic of</t>
        </is>
      </c>
      <c r="F1571" s="3" t="inlineStr">
        <is>
          <t>Gross domestic product (GDP), Constant prices, Percent change</t>
        </is>
      </c>
      <c r="G1571" s="3" t="n">
        <v>9.800298</v>
      </c>
      <c r="H1571" s="3" t="n">
        <v>13.499461</v>
      </c>
      <c r="I1571" s="3" t="n">
        <v>9.799075999999999</v>
      </c>
      <c r="J1571" s="3" t="n">
        <v>9.300231999999999</v>
      </c>
      <c r="K1571" s="3" t="n">
        <v>9.598630999999999</v>
      </c>
      <c r="L1571" s="3" t="n">
        <v>9.700176000000001</v>
      </c>
      <c r="M1571" s="3" t="n">
        <v>10.701546</v>
      </c>
      <c r="N1571" s="3" t="n">
        <v>8.9</v>
      </c>
      <c r="O1571" s="3" t="n">
        <v>3.3</v>
      </c>
      <c r="P1571" s="3" t="n">
        <v>1.2</v>
      </c>
      <c r="Q1571" s="3" t="n">
        <v>7.3</v>
      </c>
      <c r="R1571" s="3" t="n">
        <v>7.5</v>
      </c>
      <c r="S1571" s="3" t="n">
        <v>5.000001</v>
      </c>
      <c r="T1571" s="3" t="n">
        <v>5.9</v>
      </c>
      <c r="U1571" s="3" t="n">
        <v>4.3</v>
      </c>
      <c r="V1571" s="3" t="n">
        <v>0.999999</v>
      </c>
      <c r="W1571" s="3" t="n">
        <v>0.9</v>
      </c>
      <c r="X1571" s="3" t="n">
        <v>3.900001</v>
      </c>
      <c r="Y1571" s="3" t="n">
        <v>4.099999</v>
      </c>
      <c r="Z1571" s="3" t="n">
        <v>4.5</v>
      </c>
      <c r="AA1571" s="3" t="n">
        <v>-2.6</v>
      </c>
      <c r="AB1571" s="3" t="n">
        <v>4.100001</v>
      </c>
      <c r="AC1571" s="3" t="n">
        <v>3.199999</v>
      </c>
      <c r="AD1571" s="3" t="n">
        <v>5.1</v>
      </c>
      <c r="AE1571" s="3" t="n">
        <v>5</v>
      </c>
      <c r="AF1571" s="3" t="n">
        <v>6.485254</v>
      </c>
      <c r="AG1571" s="3" t="n">
        <v>4.609374</v>
      </c>
      <c r="AH1571" s="3" t="n">
        <v>4.400226</v>
      </c>
      <c r="AI1571" s="3" t="n">
        <v>3.308862</v>
      </c>
      <c r="AJ1571" s="3" t="n">
        <v>3.596039</v>
      </c>
      <c r="AK1571" s="3" t="n">
        <v>3.59838</v>
      </c>
      <c r="AL1571" s="3" t="n">
        <v>3.613475</v>
      </c>
      <c r="AM1571" s="3" t="n"/>
      <c r="AN1571" s="3" t="n"/>
      <c r="AO1571" s="3" t="n"/>
      <c r="AP1571" s="3" t="n"/>
      <c r="AQ1571" s="3" t="n"/>
      <c r="AR1571" s="3" t="n"/>
      <c r="AS1571" s="3" t="n"/>
      <c r="AT1571" s="3" t="n"/>
      <c r="AU1571" s="3" t="n"/>
    </row>
    <row r="1572">
      <c r="A1572" s="3" t="n">
        <v>2031</v>
      </c>
      <c r="B1572" s="3" t="inlineStr">
        <is>
          <t>KAZ</t>
        </is>
      </c>
      <c r="C1572" s="3" t="inlineStr">
        <is>
          <t>IMF.RES:WEO</t>
        </is>
      </c>
      <c r="D1572" s="3" t="inlineStr">
        <is>
          <t>KAZ.NGDPD.A</t>
        </is>
      </c>
      <c r="E1572" s="3" t="inlineStr">
        <is>
          <t>Kazakhstan, Republic of</t>
        </is>
      </c>
      <c r="F1572" s="3" t="inlineStr">
        <is>
          <t>Gross domestic product (GDP), Current prices, US dollar</t>
        </is>
      </c>
      <c r="G1572" s="3" t="n">
        <v>18.291996</v>
      </c>
      <c r="H1572" s="3" t="n">
        <v>22.152687</v>
      </c>
      <c r="I1572" s="3" t="n">
        <v>24.636597</v>
      </c>
      <c r="J1572" s="3" t="n">
        <v>30.833691</v>
      </c>
      <c r="K1572" s="3" t="n">
        <v>43.151645</v>
      </c>
      <c r="L1572" s="3" t="n">
        <v>57.12475</v>
      </c>
      <c r="M1572" s="3" t="n">
        <v>81.00349799999999</v>
      </c>
      <c r="N1572" s="3" t="n">
        <v>104.849915</v>
      </c>
      <c r="O1572" s="3" t="n">
        <v>133.441648</v>
      </c>
      <c r="P1572" s="3" t="n">
        <v>115.308687</v>
      </c>
      <c r="Q1572" s="3" t="n">
        <v>148.047348</v>
      </c>
      <c r="R1572" s="3" t="n">
        <v>192.626466</v>
      </c>
      <c r="S1572" s="3" t="n">
        <v>207.998572</v>
      </c>
      <c r="T1572" s="3" t="n">
        <v>236.634603</v>
      </c>
      <c r="U1572" s="3" t="n">
        <v>221.415615</v>
      </c>
      <c r="V1572" s="3" t="n">
        <v>184.388406</v>
      </c>
      <c r="W1572" s="3" t="n">
        <v>137.27832</v>
      </c>
      <c r="X1572" s="3" t="n">
        <v>166.805886</v>
      </c>
      <c r="Y1572" s="3" t="n">
        <v>179.339976</v>
      </c>
      <c r="Z1572" s="3" t="n">
        <v>181.667096</v>
      </c>
      <c r="AA1572" s="3" t="n">
        <v>171.082365</v>
      </c>
      <c r="AB1572" s="3" t="n">
        <v>197.112256</v>
      </c>
      <c r="AC1572" s="3" t="n">
        <v>225.496328</v>
      </c>
      <c r="AD1572" s="3" t="n">
        <v>261.840102</v>
      </c>
      <c r="AE1572" s="3" t="n">
        <v>291.480274</v>
      </c>
      <c r="AF1572" s="3" t="n">
        <v>302.745769</v>
      </c>
      <c r="AG1572" s="3" t="n">
        <v>360.455769</v>
      </c>
      <c r="AH1572" s="3" t="n">
        <v>385.965792</v>
      </c>
      <c r="AI1572" s="3" t="n">
        <v>410.770579</v>
      </c>
      <c r="AJ1572" s="3" t="n">
        <v>439.139761</v>
      </c>
      <c r="AK1572" s="3" t="n">
        <v>468.832024</v>
      </c>
      <c r="AL1572" s="3" t="n">
        <v>501.684006</v>
      </c>
      <c r="AM1572" s="3" t="n"/>
      <c r="AN1572" s="3" t="n"/>
      <c r="AO1572" s="3" t="n"/>
      <c r="AP1572" s="3" t="n"/>
      <c r="AQ1572" s="3" t="n"/>
      <c r="AR1572" s="3" t="n"/>
      <c r="AS1572" s="3" t="n"/>
      <c r="AT1572" s="3" t="n"/>
      <c r="AU1572" s="3" t="n"/>
    </row>
    <row r="1573">
      <c r="A1573" s="3" t="n">
        <v>2031</v>
      </c>
      <c r="B1573" s="3" t="inlineStr">
        <is>
          <t>KAZ</t>
        </is>
      </c>
      <c r="C1573" s="3" t="inlineStr">
        <is>
          <t>IMF.RES:WEO</t>
        </is>
      </c>
      <c r="D1573" s="3" t="inlineStr">
        <is>
          <t>KAZ.NGDPPC.A</t>
        </is>
      </c>
      <c r="E1573" s="3" t="inlineStr">
        <is>
          <t>Kazakhstan, Republic of</t>
        </is>
      </c>
      <c r="F1573" s="3" t="inlineStr">
        <is>
          <t>Gross domestic product (GDP), Current prices, Per capita, Domestic currency</t>
        </is>
      </c>
      <c r="G1573" s="3" t="n">
        <v>174682.056609</v>
      </c>
      <c r="H1573" s="3" t="n">
        <v>218772.359083</v>
      </c>
      <c r="I1573" s="3" t="n">
        <v>254141.612179</v>
      </c>
      <c r="J1573" s="3" t="n">
        <v>309341.29934</v>
      </c>
      <c r="K1573" s="3" t="n">
        <v>391003.787721</v>
      </c>
      <c r="L1573" s="3" t="n">
        <v>501127.580861</v>
      </c>
      <c r="M1573" s="3" t="n">
        <v>667211.585722</v>
      </c>
      <c r="N1573" s="3" t="n">
        <v>829865.323292</v>
      </c>
      <c r="O1573" s="3" t="n">
        <v>1024175.00319</v>
      </c>
      <c r="P1573" s="3" t="n">
        <v>1056850.64771</v>
      </c>
      <c r="Q1573" s="3" t="n">
        <v>1336594.735087</v>
      </c>
      <c r="R1573" s="3" t="n">
        <v>1705812.647004</v>
      </c>
      <c r="S1573" s="3" t="n">
        <v>1847052.306312</v>
      </c>
      <c r="T1573" s="3" t="n">
        <v>2113237.679344</v>
      </c>
      <c r="U1573" s="3" t="n">
        <v>2295051.862166</v>
      </c>
      <c r="V1573" s="3" t="n">
        <v>2330668.727116</v>
      </c>
      <c r="W1573" s="3" t="n">
        <v>2639915.466322</v>
      </c>
      <c r="X1573" s="3" t="n">
        <v>3014980.18654</v>
      </c>
      <c r="Y1573" s="3" t="n">
        <v>3382694.819814</v>
      </c>
      <c r="Z1573" s="3" t="n">
        <v>3755925.541387</v>
      </c>
      <c r="AA1573" s="3" t="n">
        <v>3766955.356782</v>
      </c>
      <c r="AB1573" s="3" t="n">
        <v>4418344.87353</v>
      </c>
      <c r="AC1573" s="3" t="n">
        <v>5284726.653443</v>
      </c>
      <c r="AD1573" s="3" t="n">
        <v>6002027.102572</v>
      </c>
      <c r="AE1573" s="3" t="n">
        <v>6780886.351303</v>
      </c>
      <c r="AF1573" s="3" t="n">
        <v>7739858.195286</v>
      </c>
      <c r="AG1573" s="3" t="n">
        <v>9137848.256565999</v>
      </c>
      <c r="AH1573" s="3" t="n">
        <v>10378762.382955</v>
      </c>
      <c r="AI1573" s="3" t="n">
        <v>11559570.487005</v>
      </c>
      <c r="AJ1573" s="3" t="n">
        <v>12792293.608663</v>
      </c>
      <c r="AK1573" s="3" t="n">
        <v>13946435.846015</v>
      </c>
      <c r="AL1573" s="3" t="n">
        <v>15068912.724216</v>
      </c>
      <c r="AM1573" s="3" t="n"/>
      <c r="AN1573" s="3" t="n"/>
      <c r="AO1573" s="3" t="n"/>
      <c r="AP1573" s="3" t="n"/>
      <c r="AQ1573" s="3" t="n"/>
      <c r="AR1573" s="3" t="n"/>
      <c r="AS1573" s="3" t="n"/>
      <c r="AT1573" s="3" t="n"/>
      <c r="AU1573" s="3" t="n"/>
    </row>
    <row r="1574">
      <c r="A1574" s="3" t="n">
        <v>2031</v>
      </c>
      <c r="B1574" s="3" t="inlineStr">
        <is>
          <t>KAZ</t>
        </is>
      </c>
      <c r="C1574" s="3" t="inlineStr">
        <is>
          <t>IMF.RES:WEO</t>
        </is>
      </c>
      <c r="D1574" s="3" t="inlineStr">
        <is>
          <t>KAZ.NGDPRPC.A</t>
        </is>
      </c>
      <c r="E1574" s="3" t="inlineStr">
        <is>
          <t>Kazakhstan, Republic of</t>
        </is>
      </c>
      <c r="F1574" s="3" t="inlineStr">
        <is>
          <t>Gross domestic product (GDP), Constant prices, Per capita, Domestic currency</t>
        </is>
      </c>
      <c r="G1574" s="3" t="n">
        <v>311416.04875</v>
      </c>
      <c r="H1574" s="3" t="n">
        <v>354057.16724</v>
      </c>
      <c r="I1574" s="3" t="n">
        <v>388735.460949</v>
      </c>
      <c r="J1574" s="3" t="n">
        <v>423461.826929</v>
      </c>
      <c r="K1574" s="3" t="n">
        <v>460894.352456</v>
      </c>
      <c r="L1574" s="3" t="n">
        <v>501127.580861</v>
      </c>
      <c r="M1574" s="3" t="n">
        <v>548919.440212</v>
      </c>
      <c r="N1574" s="3" t="n">
        <v>590974.550044</v>
      </c>
      <c r="O1574" s="3" t="n">
        <v>603083.998979</v>
      </c>
      <c r="P1574" s="3" t="n">
        <v>594439.345189</v>
      </c>
      <c r="Q1574" s="3" t="n">
        <v>628886.2799580001</v>
      </c>
      <c r="R1574" s="3" t="n">
        <v>666447.640806</v>
      </c>
      <c r="S1574" s="3" t="n">
        <v>689986.255727</v>
      </c>
      <c r="T1574" s="3" t="n">
        <v>720259.864831</v>
      </c>
      <c r="U1574" s="3" t="n">
        <v>740256.736147</v>
      </c>
      <c r="V1574" s="3" t="n">
        <v>736822.763497</v>
      </c>
      <c r="W1574" s="3" t="n">
        <v>732971.826828</v>
      </c>
      <c r="X1574" s="3" t="n">
        <v>751274.047162</v>
      </c>
      <c r="Y1574" s="3" t="n">
        <v>771848.047026</v>
      </c>
      <c r="Z1574" s="3" t="n">
        <v>796231.506223</v>
      </c>
      <c r="AA1574" s="3" t="n">
        <v>765515.928254</v>
      </c>
      <c r="AB1574" s="3" t="n">
        <v>786595.4109979999</v>
      </c>
      <c r="AC1574" s="3" t="n">
        <v>785542.844626</v>
      </c>
      <c r="AD1574" s="3" t="n">
        <v>814597.274165</v>
      </c>
      <c r="AE1574" s="3" t="n">
        <v>844367.67773</v>
      </c>
      <c r="AF1574" s="3" t="n">
        <v>889344.279938</v>
      </c>
      <c r="AG1574" s="3" t="n">
        <v>920670.445635</v>
      </c>
      <c r="AH1574" s="3" t="n">
        <v>951194.483834</v>
      </c>
      <c r="AI1574" s="3" t="n">
        <v>972938.812071</v>
      </c>
      <c r="AJ1574" s="3" t="n">
        <v>997946.602239</v>
      </c>
      <c r="AK1574" s="3" t="n">
        <v>1023620.307198</v>
      </c>
      <c r="AL1574" s="3" t="n">
        <v>1050107.495526</v>
      </c>
      <c r="AM1574" s="3" t="n"/>
      <c r="AN1574" s="3" t="n"/>
      <c r="AO1574" s="3" t="n"/>
      <c r="AP1574" s="3" t="n"/>
      <c r="AQ1574" s="3" t="n"/>
      <c r="AR1574" s="3" t="n"/>
      <c r="AS1574" s="3" t="n"/>
      <c r="AT1574" s="3" t="n"/>
      <c r="AU1574" s="3" t="n"/>
    </row>
    <row r="1575">
      <c r="A1575" s="3" t="n">
        <v>2031</v>
      </c>
      <c r="B1575" s="3" t="inlineStr">
        <is>
          <t>KAZ</t>
        </is>
      </c>
      <c r="C1575" s="3" t="inlineStr">
        <is>
          <t>IMF.RES:WEO</t>
        </is>
      </c>
      <c r="D1575" s="3" t="inlineStr">
        <is>
          <t>KAZ.PCPI.A</t>
        </is>
      </c>
      <c r="E1575" s="3" t="inlineStr">
        <is>
          <t>Kazakhstan, Republic of</t>
        </is>
      </c>
      <c r="F1575" s="3" t="inlineStr">
        <is>
          <t>All Items, Consumer price index (CPI), Period average</t>
        </is>
      </c>
      <c r="G1575" s="3" t="n">
        <v>21.161519</v>
      </c>
      <c r="H1575" s="3" t="n">
        <v>22.933333</v>
      </c>
      <c r="I1575" s="3" t="n">
        <v>24.3</v>
      </c>
      <c r="J1575" s="3" t="n">
        <v>25.85</v>
      </c>
      <c r="K1575" s="3" t="n">
        <v>27.658333</v>
      </c>
      <c r="L1575" s="3" t="n">
        <v>29.708333</v>
      </c>
      <c r="M1575" s="3" t="n">
        <v>32.266667</v>
      </c>
      <c r="N1575" s="3" t="n">
        <v>35.75</v>
      </c>
      <c r="O1575" s="3" t="n">
        <v>41.883333</v>
      </c>
      <c r="P1575" s="3" t="n">
        <v>44.941667</v>
      </c>
      <c r="Q1575" s="3" t="n">
        <v>48.133333</v>
      </c>
      <c r="R1575" s="3" t="n">
        <v>52.166667</v>
      </c>
      <c r="S1575" s="3" t="n">
        <v>54.841667</v>
      </c>
      <c r="T1575" s="3" t="n">
        <v>58.033333</v>
      </c>
      <c r="U1575" s="3" t="n">
        <v>61.85</v>
      </c>
      <c r="V1575" s="3" t="n">
        <v>66.02500000000001</v>
      </c>
      <c r="W1575" s="3" t="n">
        <v>75.641667</v>
      </c>
      <c r="X1575" s="3" t="n">
        <v>81.283333</v>
      </c>
      <c r="Y1575" s="3" t="n">
        <v>86.166667</v>
      </c>
      <c r="Z1575" s="3" t="n">
        <v>90.716667</v>
      </c>
      <c r="AA1575" s="3" t="n">
        <v>96.84999999999999</v>
      </c>
      <c r="AB1575" s="3" t="n">
        <v>104.6</v>
      </c>
      <c r="AC1575" s="3" t="n">
        <v>120.275</v>
      </c>
      <c r="AD1575" s="3" t="n">
        <v>137.741667</v>
      </c>
      <c r="AE1575" s="3" t="n">
        <v>149.691667</v>
      </c>
      <c r="AF1575" s="3" t="n">
        <v>166.725</v>
      </c>
      <c r="AG1575" s="3" t="n">
        <v>184.545407</v>
      </c>
      <c r="AH1575" s="3" t="n">
        <v>203.098451</v>
      </c>
      <c r="AI1575" s="3" t="n">
        <v>220.935672</v>
      </c>
      <c r="AJ1575" s="3" t="n">
        <v>237.726087</v>
      </c>
      <c r="AK1575" s="3" t="n">
        <v>251.629673</v>
      </c>
      <c r="AL1575" s="3" t="n">
        <v>264.211155</v>
      </c>
      <c r="AM1575" s="3" t="n"/>
      <c r="AN1575" s="3" t="n"/>
      <c r="AO1575" s="3" t="n"/>
      <c r="AP1575" s="3" t="n"/>
      <c r="AQ1575" s="3" t="n"/>
      <c r="AR1575" s="3" t="n"/>
      <c r="AS1575" s="3" t="n"/>
      <c r="AT1575" s="3" t="n"/>
      <c r="AU1575" s="3" t="n"/>
    </row>
    <row r="1576">
      <c r="A1576" s="3" t="n">
        <v>2031</v>
      </c>
      <c r="B1576" s="3" t="inlineStr">
        <is>
          <t>KAZ</t>
        </is>
      </c>
      <c r="C1576" s="3" t="inlineStr">
        <is>
          <t>IMF.RES:WEO</t>
        </is>
      </c>
      <c r="D1576" s="3" t="inlineStr">
        <is>
          <t>KAZ.PCPIPCH.A</t>
        </is>
      </c>
      <c r="E1576" s="3" t="inlineStr">
        <is>
          <t>Kazakhstan, Republic of</t>
        </is>
      </c>
      <c r="F1576" s="3" t="inlineStr">
        <is>
          <t>All Items, Consumer price index (CPI), Period average, percent change</t>
        </is>
      </c>
      <c r="G1576" s="3" t="n">
        <v>13.153821</v>
      </c>
      <c r="H1576" s="3" t="n">
        <v>8.372812</v>
      </c>
      <c r="I1576" s="3" t="n">
        <v>5.959302</v>
      </c>
      <c r="J1576" s="3" t="n">
        <v>6.378601</v>
      </c>
      <c r="K1576" s="3" t="n">
        <v>6.995487</v>
      </c>
      <c r="L1576" s="3" t="n">
        <v>7.411871</v>
      </c>
      <c r="M1576" s="3" t="n">
        <v>8.611501000000001</v>
      </c>
      <c r="N1576" s="3" t="n">
        <v>10.795455</v>
      </c>
      <c r="O1576" s="3" t="n">
        <v>17.156177</v>
      </c>
      <c r="P1576" s="3" t="n">
        <v>7.302029</v>
      </c>
      <c r="Q1576" s="3" t="n">
        <v>7.101799</v>
      </c>
      <c r="R1576" s="3" t="n">
        <v>8.379500999999999</v>
      </c>
      <c r="S1576" s="3" t="n">
        <v>5.127796</v>
      </c>
      <c r="T1576" s="3" t="n">
        <v>5.819784</v>
      </c>
      <c r="U1576" s="3" t="n">
        <v>6.57668</v>
      </c>
      <c r="V1576" s="3" t="n">
        <v>6.750202</v>
      </c>
      <c r="W1576" s="3" t="n">
        <v>14.56519</v>
      </c>
      <c r="X1576" s="3" t="n">
        <v>7.458411</v>
      </c>
      <c r="Y1576" s="3" t="n">
        <v>6.007792</v>
      </c>
      <c r="Z1576" s="3" t="n">
        <v>5.280464</v>
      </c>
      <c r="AA1576" s="3" t="n">
        <v>6.760977</v>
      </c>
      <c r="AB1576" s="3" t="n">
        <v>8.002065</v>
      </c>
      <c r="AC1576" s="3" t="n">
        <v>14.98566</v>
      </c>
      <c r="AD1576" s="3" t="n">
        <v>14.522275</v>
      </c>
      <c r="AE1576" s="3" t="n">
        <v>8.675661</v>
      </c>
      <c r="AF1576" s="3" t="n">
        <v>11.378946</v>
      </c>
      <c r="AG1576" s="3" t="n">
        <v>10.688503</v>
      </c>
      <c r="AH1576" s="3" t="n">
        <v>10.053376</v>
      </c>
      <c r="AI1576" s="3" t="n">
        <v>8.782548999999999</v>
      </c>
      <c r="AJ1576" s="3" t="n">
        <v>7.599685</v>
      </c>
      <c r="AK1576" s="3" t="n">
        <v>5.848574</v>
      </c>
      <c r="AL1576" s="3" t="n">
        <v>4.999999</v>
      </c>
      <c r="AM1576" s="3" t="n"/>
      <c r="AN1576" s="3" t="n"/>
      <c r="AO1576" s="3" t="n"/>
      <c r="AP1576" s="3" t="n"/>
      <c r="AQ1576" s="3" t="n"/>
      <c r="AR1576" s="3" t="n"/>
      <c r="AS1576" s="3" t="n"/>
      <c r="AT1576" s="3" t="n"/>
      <c r="AU1576" s="3" t="n"/>
    </row>
    <row r="1577">
      <c r="A1577" s="3" t="n">
        <v>2031</v>
      </c>
      <c r="B1577" s="3" t="inlineStr">
        <is>
          <t>KAZ</t>
        </is>
      </c>
      <c r="C1577" s="3" t="inlineStr">
        <is>
          <t>IMF.RES:WEO</t>
        </is>
      </c>
      <c r="D1577" s="3" t="inlineStr">
        <is>
          <t>KAZ.PPPPC.A</t>
        </is>
      </c>
      <c r="E1577" s="3" t="inlineStr">
        <is>
          <t>Kazakhstan, Republic of</t>
        </is>
      </c>
      <c r="F1577" s="3" t="inlineStr">
        <is>
          <t>Gross domestic product (GDP), Per capita, purchasing power parity (PPP) international dollar, ICP benchmarks 2017-2021</t>
        </is>
      </c>
      <c r="G1577" s="3" t="n">
        <v>7473.287939</v>
      </c>
      <c r="H1577" s="3" t="n">
        <v>8687.890024</v>
      </c>
      <c r="I1577" s="3" t="n">
        <v>9687.066269999999</v>
      </c>
      <c r="J1577" s="3" t="n">
        <v>10760.75521</v>
      </c>
      <c r="K1577" s="3" t="n">
        <v>12026.888754</v>
      </c>
      <c r="L1577" s="3" t="n">
        <v>13486.825638</v>
      </c>
      <c r="M1577" s="3" t="n">
        <v>15228.629283</v>
      </c>
      <c r="N1577" s="3" t="n">
        <v>16839.555528</v>
      </c>
      <c r="O1577" s="3" t="n">
        <v>17515.6551</v>
      </c>
      <c r="P1577" s="3" t="n">
        <v>17371.062245</v>
      </c>
      <c r="Q1577" s="3" t="n">
        <v>18601.048973</v>
      </c>
      <c r="R1577" s="3" t="n">
        <v>20118.738118</v>
      </c>
      <c r="S1577" s="3" t="n">
        <v>21217.150263</v>
      </c>
      <c r="T1577" s="3" t="n">
        <v>22525.02813</v>
      </c>
      <c r="U1577" s="3" t="n">
        <v>23553.613714</v>
      </c>
      <c r="V1577" s="3" t="n">
        <v>23661.927049</v>
      </c>
      <c r="W1577" s="3" t="n">
        <v>23761.926252</v>
      </c>
      <c r="X1577" s="3" t="n">
        <v>24791.434554</v>
      </c>
      <c r="Y1577" s="3" t="n">
        <v>25999.019996</v>
      </c>
      <c r="Z1577" s="3" t="n">
        <v>29769.062506</v>
      </c>
      <c r="AA1577" s="3" t="n">
        <v>30165.766274</v>
      </c>
      <c r="AB1577" s="3" t="n">
        <v>34234.015576</v>
      </c>
      <c r="AC1577" s="3" t="n">
        <v>36619.812802</v>
      </c>
      <c r="AD1577" s="3" t="n">
        <v>39379.309024</v>
      </c>
      <c r="AE1577" s="3" t="n">
        <v>41831.80846</v>
      </c>
      <c r="AF1577" s="3" t="n">
        <v>45309.927679</v>
      </c>
      <c r="AG1577" s="3" t="n">
        <v>48249.704242</v>
      </c>
      <c r="AH1577" s="3" t="n">
        <v>50944.02535</v>
      </c>
      <c r="AI1577" s="3" t="n">
        <v>52963.9127</v>
      </c>
      <c r="AJ1577" s="3" t="n">
        <v>55291.225011</v>
      </c>
      <c r="AK1577" s="3" t="n">
        <v>57755.805494</v>
      </c>
      <c r="AL1577" s="3" t="n">
        <v>60319.940733</v>
      </c>
      <c r="AM1577" s="3" t="n"/>
      <c r="AN1577" s="3" t="n"/>
      <c r="AO1577" s="3" t="n"/>
      <c r="AP1577" s="3" t="n"/>
      <c r="AQ1577" s="3" t="n"/>
      <c r="AR1577" s="3" t="n"/>
      <c r="AS1577" s="3" t="n"/>
      <c r="AT1577" s="3" t="n"/>
      <c r="AU1577" s="3" t="n"/>
    </row>
    <row r="1578">
      <c r="A1578" s="3" t="n">
        <v>2025</v>
      </c>
      <c r="B1578" s="3" t="inlineStr">
        <is>
          <t>KAZ</t>
        </is>
      </c>
      <c r="C1578" s="3" t="inlineStr">
        <is>
          <t>IMF.STA:ER</t>
        </is>
      </c>
      <c r="D1578" s="3" t="inlineStr">
        <is>
          <t>KAZ.XDC_USD.PA_RT.A</t>
        </is>
      </c>
      <c r="E1578" s="3" t="inlineStr">
        <is>
          <t>Kazakhstan, Republic of</t>
        </is>
      </c>
      <c r="F1578" s="3" t="inlineStr">
        <is>
          <t>Domestic currency per US Dollar</t>
        </is>
      </c>
      <c r="G1578" s="3" t="n">
        <v>142.133333333333</v>
      </c>
      <c r="H1578" s="3" t="n">
        <v>146.735833333333</v>
      </c>
      <c r="I1578" s="3" t="n">
        <v>153.279166666666</v>
      </c>
      <c r="J1578" s="3" t="n">
        <v>149.575833333333</v>
      </c>
      <c r="K1578" s="3" t="n">
        <v>136.035</v>
      </c>
      <c r="L1578" s="3" t="n">
        <v>132.88</v>
      </c>
      <c r="M1578" s="3" t="n">
        <v>126.089430555555</v>
      </c>
      <c r="N1578" s="3" t="n">
        <v>122.554166666666</v>
      </c>
      <c r="O1578" s="3" t="n">
        <v>120.299166666666</v>
      </c>
      <c r="P1578" s="3" t="n">
        <v>147.496666666666</v>
      </c>
      <c r="Q1578" s="3" t="n">
        <v>147.355</v>
      </c>
      <c r="R1578" s="3" t="n">
        <v>146.620833333333</v>
      </c>
      <c r="S1578" s="3" t="n">
        <v>149.1125</v>
      </c>
      <c r="T1578" s="3" t="n">
        <v>152.129166666666</v>
      </c>
      <c r="U1578" s="3" t="n">
        <v>179.191666666666</v>
      </c>
      <c r="V1578" s="3" t="n">
        <v>221.728333333333</v>
      </c>
      <c r="W1578" s="3" t="n">
        <v>342.16</v>
      </c>
      <c r="X1578" s="3" t="n">
        <v>326.001022727272</v>
      </c>
      <c r="Y1578" s="3" t="n">
        <v>344.705833333333</v>
      </c>
      <c r="Z1578" s="3" t="n">
        <v>382.74731060606</v>
      </c>
      <c r="AA1578" s="3" t="n">
        <v>412.953333333333</v>
      </c>
      <c r="AB1578" s="3" t="n">
        <v>425.9075</v>
      </c>
      <c r="AC1578" s="3" t="n">
        <v>460.165</v>
      </c>
      <c r="AD1578" s="3" t="n">
        <v>456.165</v>
      </c>
      <c r="AE1578" s="3" t="n">
        <v>468.9625</v>
      </c>
      <c r="AF1578" s="3" t="n">
        <v>521.035</v>
      </c>
      <c r="AG1578" s="3" t="n"/>
      <c r="AH1578" s="3" t="n"/>
      <c r="AI1578" s="3" t="n"/>
      <c r="AJ1578" s="3" t="n"/>
      <c r="AK1578" s="3" t="n"/>
      <c r="AL1578" s="3" t="n"/>
      <c r="AM1578" s="3" t="n"/>
      <c r="AN1578" s="3" t="n"/>
      <c r="AO1578" s="3" t="n"/>
      <c r="AP1578" s="3" t="n"/>
      <c r="AQ1578" s="3" t="n"/>
      <c r="AR1578" s="3" t="n"/>
      <c r="AS1578" s="3" t="n"/>
      <c r="AT1578" s="3" t="n"/>
      <c r="AU1578" s="3" t="n"/>
    </row>
    <row r="1579">
      <c r="A1579" s="3" t="n">
        <v>2031</v>
      </c>
      <c r="B1579" s="3" t="inlineStr">
        <is>
          <t>KEN</t>
        </is>
      </c>
      <c r="C1579" s="3" t="inlineStr">
        <is>
          <t>IMF.RES:WEO</t>
        </is>
      </c>
      <c r="D1579" s="3" t="inlineStr">
        <is>
          <t>KEN.BCA.A</t>
        </is>
      </c>
      <c r="E1579" s="3" t="inlineStr">
        <is>
          <t>Kenya</t>
        </is>
      </c>
      <c r="F1579" s="3" t="inlineStr">
        <is>
          <t>Current account balance (credit less debit), US dollar</t>
        </is>
      </c>
      <c r="G1579" s="3" t="n">
        <v>-0.199392</v>
      </c>
      <c r="H1579" s="3" t="n">
        <v>-0.320277</v>
      </c>
      <c r="I1579" s="3" t="n">
        <v>-0.117669</v>
      </c>
      <c r="J1579" s="3" t="n">
        <v>0.132419</v>
      </c>
      <c r="K1579" s="3" t="n">
        <v>-0.131773</v>
      </c>
      <c r="L1579" s="3" t="n">
        <v>-0.275301</v>
      </c>
      <c r="M1579" s="3" t="n">
        <v>-0.500875</v>
      </c>
      <c r="N1579" s="3" t="n">
        <v>-1.057957</v>
      </c>
      <c r="O1579" s="3" t="n">
        <v>-1.96072</v>
      </c>
      <c r="P1579" s="3" t="n">
        <v>-1.632989</v>
      </c>
      <c r="Q1579" s="3" t="n">
        <v>-2.370364</v>
      </c>
      <c r="R1579" s="3" t="n">
        <v>-3.819304</v>
      </c>
      <c r="S1579" s="3" t="n">
        <v>-4.216145</v>
      </c>
      <c r="T1579" s="3" t="n">
        <v>-4.842147</v>
      </c>
      <c r="U1579" s="3" t="n">
        <v>-6.377927</v>
      </c>
      <c r="V1579" s="3" t="n">
        <v>-3.571741</v>
      </c>
      <c r="W1579" s="3" t="n">
        <v>-3.087643</v>
      </c>
      <c r="X1579" s="3" t="n">
        <v>-4.571682</v>
      </c>
      <c r="Y1579" s="3" t="n">
        <v>-3.671257</v>
      </c>
      <c r="Z1579" s="3" t="n">
        <v>-2.246497</v>
      </c>
      <c r="AA1579" s="3" t="n">
        <v>-3.693791</v>
      </c>
      <c r="AB1579" s="3" t="n">
        <v>-5.635577</v>
      </c>
      <c r="AC1579" s="3" t="n">
        <v>-5.782043</v>
      </c>
      <c r="AD1579" s="3" t="n">
        <v>-3.901698</v>
      </c>
      <c r="AE1579" s="3" t="n">
        <v>-2.714708</v>
      </c>
      <c r="AF1579" s="3" t="n">
        <v>-3.666056</v>
      </c>
      <c r="AG1579" s="3" t="n">
        <v>-5.993414</v>
      </c>
      <c r="AH1579" s="3" t="n">
        <v>-5.769612</v>
      </c>
      <c r="AI1579" s="3" t="n">
        <v>-5.571324</v>
      </c>
      <c r="AJ1579" s="3" t="n">
        <v>-5.716264</v>
      </c>
      <c r="AK1579" s="3" t="n">
        <v>-5.89986</v>
      </c>
      <c r="AL1579" s="3" t="n">
        <v>-6.322575</v>
      </c>
      <c r="AM1579" s="3" t="n"/>
      <c r="AN1579" s="3" t="n"/>
      <c r="AO1579" s="3" t="n"/>
      <c r="AP1579" s="3" t="n"/>
      <c r="AQ1579" s="3" t="n"/>
      <c r="AR1579" s="3" t="n"/>
      <c r="AS1579" s="3" t="n"/>
      <c r="AT1579" s="3" t="n"/>
      <c r="AU1579" s="3" t="n"/>
    </row>
    <row r="1580">
      <c r="A1580" s="3" t="n">
        <v>2031</v>
      </c>
      <c r="B1580" s="3" t="inlineStr">
        <is>
          <t>KEN</t>
        </is>
      </c>
      <c r="C1580" s="3" t="inlineStr">
        <is>
          <t>IMF.RES:WEO</t>
        </is>
      </c>
      <c r="D1580" s="3" t="inlineStr">
        <is>
          <t>KEN.BCA_NGDPD.A</t>
        </is>
      </c>
      <c r="E1580" s="3" t="inlineStr">
        <is>
          <t>Kenya</t>
        </is>
      </c>
      <c r="F1580" s="3" t="inlineStr">
        <is>
          <t>Current account balance (credit less debit), Percent of GDP</t>
        </is>
      </c>
      <c r="G1580" s="3" t="n">
        <v>-1.095222</v>
      </c>
      <c r="H1580" s="3" t="n">
        <v>-1.71303</v>
      </c>
      <c r="I1580" s="3" t="n">
        <v>-0.618339</v>
      </c>
      <c r="J1580" s="3" t="n">
        <v>0.619036</v>
      </c>
      <c r="K1580" s="3" t="n">
        <v>-0.578202</v>
      </c>
      <c r="L1580" s="3" t="n">
        <v>-1.046479</v>
      </c>
      <c r="M1580" s="3" t="n">
        <v>-1.688275</v>
      </c>
      <c r="N1580" s="3" t="n">
        <v>-2.882117</v>
      </c>
      <c r="O1580" s="3" t="n">
        <v>-4.775455</v>
      </c>
      <c r="P1580" s="3" t="n">
        <v>-3.85619</v>
      </c>
      <c r="Q1580" s="3" t="n">
        <v>-5.220421</v>
      </c>
      <c r="R1580" s="3" t="n">
        <v>-8.203912000000001</v>
      </c>
      <c r="S1580" s="3" t="n">
        <v>-7.474471</v>
      </c>
      <c r="T1580" s="3" t="n">
        <v>-7.847444</v>
      </c>
      <c r="U1580" s="3" t="n">
        <v>-9.325072</v>
      </c>
      <c r="V1580" s="3" t="n">
        <v>-5.07565</v>
      </c>
      <c r="W1580" s="3" t="n">
        <v>-4.126974</v>
      </c>
      <c r="X1580" s="3" t="n">
        <v>-5.577598</v>
      </c>
      <c r="Y1580" s="3" t="n">
        <v>-3.981374</v>
      </c>
      <c r="Z1580" s="3" t="n">
        <v>-2.239149</v>
      </c>
      <c r="AA1580" s="3" t="n">
        <v>-3.660062</v>
      </c>
      <c r="AB1580" s="3" t="n">
        <v>-5.129077</v>
      </c>
      <c r="AC1580" s="3" t="n">
        <v>-5.03958</v>
      </c>
      <c r="AD1580" s="3" t="n">
        <v>-3.605806</v>
      </c>
      <c r="AE1580" s="3" t="n">
        <v>-2.275405</v>
      </c>
      <c r="AF1580" s="3" t="n">
        <v>-2.68665</v>
      </c>
      <c r="AG1580" s="3" t="n">
        <v>-4.069819</v>
      </c>
      <c r="AH1580" s="3" t="n">
        <v>-3.728487</v>
      </c>
      <c r="AI1580" s="3" t="n">
        <v>-3.439267</v>
      </c>
      <c r="AJ1580" s="3" t="n">
        <v>-3.33246</v>
      </c>
      <c r="AK1580" s="3" t="n">
        <v>-3.212947</v>
      </c>
      <c r="AL1580" s="3" t="n">
        <v>-3.225102</v>
      </c>
      <c r="AM1580" s="3" t="n"/>
      <c r="AN1580" s="3" t="n"/>
      <c r="AO1580" s="3" t="n"/>
      <c r="AP1580" s="3" t="n"/>
      <c r="AQ1580" s="3" t="n"/>
      <c r="AR1580" s="3" t="n"/>
      <c r="AS1580" s="3" t="n"/>
      <c r="AT1580" s="3" t="n"/>
      <c r="AU1580" s="3" t="n"/>
    </row>
    <row r="1581">
      <c r="A1581" s="3" t="n">
        <v>2031</v>
      </c>
      <c r="B1581" s="3" t="inlineStr">
        <is>
          <t>KEN</t>
        </is>
      </c>
      <c r="C1581" s="3" t="inlineStr">
        <is>
          <t>IMF.RES:WEO</t>
        </is>
      </c>
      <c r="D1581" s="3" t="inlineStr">
        <is>
          <t>KEN.GGR_NGDP.A</t>
        </is>
      </c>
      <c r="E1581" s="3" t="inlineStr">
        <is>
          <t>Kenya</t>
        </is>
      </c>
      <c r="F1581" s="3" t="inlineStr">
        <is>
          <t>Revenue, General government, Percent of GDP</t>
        </is>
      </c>
      <c r="G1581" s="3" t="n">
        <v>14.47494</v>
      </c>
      <c r="H1581" s="3" t="n">
        <v>14.412014</v>
      </c>
      <c r="I1581" s="3" t="n">
        <v>14.356307</v>
      </c>
      <c r="J1581" s="3" t="n">
        <v>15.286002</v>
      </c>
      <c r="K1581" s="3" t="n">
        <v>15.950387</v>
      </c>
      <c r="L1581" s="3" t="n">
        <v>16.055978</v>
      </c>
      <c r="M1581" s="3" t="n">
        <v>16.878367</v>
      </c>
      <c r="N1581" s="3" t="n">
        <v>17.121958</v>
      </c>
      <c r="O1581" s="3" t="n">
        <v>16.96393</v>
      </c>
      <c r="P1581" s="3" t="n">
        <v>17.149689</v>
      </c>
      <c r="Q1581" s="3" t="n">
        <v>17.870084</v>
      </c>
      <c r="R1581" s="3" t="n">
        <v>16.479584</v>
      </c>
      <c r="S1581" s="3" t="n">
        <v>16.81009</v>
      </c>
      <c r="T1581" s="3" t="n">
        <v>17.984529</v>
      </c>
      <c r="U1581" s="3" t="n">
        <v>17.671521</v>
      </c>
      <c r="V1581" s="3" t="n">
        <v>17.144517</v>
      </c>
      <c r="W1581" s="3" t="n">
        <v>17.891412</v>
      </c>
      <c r="X1581" s="3" t="n">
        <v>17.802459</v>
      </c>
      <c r="Y1581" s="3" t="n">
        <v>17.543431</v>
      </c>
      <c r="Z1581" s="3" t="n">
        <v>17.000185</v>
      </c>
      <c r="AA1581" s="3" t="n">
        <v>16.667561</v>
      </c>
      <c r="AB1581" s="3" t="n">
        <v>16.819226</v>
      </c>
      <c r="AC1581" s="3" t="n">
        <v>17.103608</v>
      </c>
      <c r="AD1581" s="3" t="n">
        <v>16.989571</v>
      </c>
      <c r="AE1581" s="3" t="n">
        <v>17.509255</v>
      </c>
      <c r="AF1581" s="3" t="n">
        <v>17.591669</v>
      </c>
      <c r="AG1581" s="3" t="n">
        <v>17.240772</v>
      </c>
      <c r="AH1581" s="3" t="n">
        <v>16.889241</v>
      </c>
      <c r="AI1581" s="3" t="n">
        <v>16.705252</v>
      </c>
      <c r="AJ1581" s="3" t="n">
        <v>16.602519</v>
      </c>
      <c r="AK1581" s="3" t="n">
        <v>16.609269</v>
      </c>
      <c r="AL1581" s="3" t="n">
        <v>16.610252</v>
      </c>
      <c r="AM1581" s="3" t="n"/>
      <c r="AN1581" s="3" t="n"/>
      <c r="AO1581" s="3" t="n"/>
      <c r="AP1581" s="3" t="n"/>
      <c r="AQ1581" s="3" t="n"/>
      <c r="AR1581" s="3" t="n"/>
      <c r="AS1581" s="3" t="n"/>
      <c r="AT1581" s="3" t="n"/>
      <c r="AU1581" s="3" t="n"/>
    </row>
    <row r="1582">
      <c r="A1582" s="3" t="n">
        <v>2031</v>
      </c>
      <c r="B1582" s="3" t="inlineStr">
        <is>
          <t>KEN</t>
        </is>
      </c>
      <c r="C1582" s="3" t="inlineStr">
        <is>
          <t>IMF.RES:WEO</t>
        </is>
      </c>
      <c r="D1582" s="3" t="inlineStr">
        <is>
          <t>KEN.GGX_NGDP.A</t>
        </is>
      </c>
      <c r="E1582" s="3" t="inlineStr">
        <is>
          <t>Kenya</t>
        </is>
      </c>
      <c r="F1582" s="3" t="inlineStr">
        <is>
          <t>Expenditure, General government, Percent of GDP</t>
        </is>
      </c>
      <c r="G1582" s="3" t="n">
        <v>14.094177</v>
      </c>
      <c r="H1582" s="3" t="n">
        <v>14.939703</v>
      </c>
      <c r="I1582" s="3" t="n">
        <v>15.650861</v>
      </c>
      <c r="J1582" s="3" t="n">
        <v>16.013523</v>
      </c>
      <c r="K1582" s="3" t="n">
        <v>15.448055</v>
      </c>
      <c r="L1582" s="3" t="n">
        <v>16.249336</v>
      </c>
      <c r="M1582" s="3" t="n">
        <v>17.310564</v>
      </c>
      <c r="N1582" s="3" t="n">
        <v>18.076172</v>
      </c>
      <c r="O1582" s="3" t="n">
        <v>18.915562</v>
      </c>
      <c r="P1582" s="3" t="n">
        <v>20.274119</v>
      </c>
      <c r="Q1582" s="3" t="n">
        <v>21.54335</v>
      </c>
      <c r="R1582" s="3" t="n">
        <v>20.11831</v>
      </c>
      <c r="S1582" s="3" t="n">
        <v>22.097877</v>
      </c>
      <c r="T1582" s="3" t="n">
        <v>23.230469</v>
      </c>
      <c r="U1582" s="3" t="n">
        <v>23.424854</v>
      </c>
      <c r="V1582" s="3" t="n">
        <v>23.826738</v>
      </c>
      <c r="W1582" s="3" t="n">
        <v>25.344419</v>
      </c>
      <c r="X1582" s="3" t="n">
        <v>25.168903</v>
      </c>
      <c r="Y1582" s="3" t="n">
        <v>24.452098</v>
      </c>
      <c r="Z1582" s="3" t="n">
        <v>24.39996</v>
      </c>
      <c r="AA1582" s="3" t="n">
        <v>24.797998</v>
      </c>
      <c r="AB1582" s="3" t="n">
        <v>24.015398</v>
      </c>
      <c r="AC1582" s="3" t="n">
        <v>23.114738</v>
      </c>
      <c r="AD1582" s="3" t="n">
        <v>22.604177</v>
      </c>
      <c r="AE1582" s="3" t="n">
        <v>23.248907</v>
      </c>
      <c r="AF1582" s="3" t="n">
        <v>24.003249</v>
      </c>
      <c r="AG1582" s="3" t="n">
        <v>23.66567</v>
      </c>
      <c r="AH1582" s="3" t="n">
        <v>22.858174</v>
      </c>
      <c r="AI1582" s="3" t="n">
        <v>22.664001</v>
      </c>
      <c r="AJ1582" s="3" t="n">
        <v>22.654021</v>
      </c>
      <c r="AK1582" s="3" t="n">
        <v>22.76833</v>
      </c>
      <c r="AL1582" s="3" t="n">
        <v>22.929233</v>
      </c>
      <c r="AM1582" s="3" t="n"/>
      <c r="AN1582" s="3" t="n"/>
      <c r="AO1582" s="3" t="n"/>
      <c r="AP1582" s="3" t="n"/>
      <c r="AQ1582" s="3" t="n"/>
      <c r="AR1582" s="3" t="n"/>
      <c r="AS1582" s="3" t="n"/>
      <c r="AT1582" s="3" t="n"/>
      <c r="AU1582" s="3" t="n"/>
    </row>
    <row r="1583">
      <c r="A1583" s="3" t="n">
        <v>2031</v>
      </c>
      <c r="B1583" s="3" t="inlineStr">
        <is>
          <t>KEN</t>
        </is>
      </c>
      <c r="C1583" s="3" t="inlineStr">
        <is>
          <t>IMF.RES:WEO</t>
        </is>
      </c>
      <c r="D1583" s="3" t="inlineStr">
        <is>
          <t>KEN.LP.A</t>
        </is>
      </c>
      <c r="E1583" s="3" t="inlineStr">
        <is>
          <t>Kenya</t>
        </is>
      </c>
      <c r="F1583" s="3" t="inlineStr">
        <is>
          <t>Population, Persons for countries / Index for country groups</t>
        </is>
      </c>
      <c r="G1583" s="3" t="n">
        <v>29.5</v>
      </c>
      <c r="H1583" s="3" t="n">
        <v>30.3</v>
      </c>
      <c r="I1583" s="3" t="n">
        <v>31.1</v>
      </c>
      <c r="J1583" s="3" t="n">
        <v>32</v>
      </c>
      <c r="K1583" s="3" t="n">
        <v>32.9</v>
      </c>
      <c r="L1583" s="3" t="n">
        <v>33.8</v>
      </c>
      <c r="M1583" s="3" t="n">
        <v>34.7</v>
      </c>
      <c r="N1583" s="3" t="n">
        <v>35.7</v>
      </c>
      <c r="O1583" s="3" t="n">
        <v>36.7</v>
      </c>
      <c r="P1583" s="3" t="n">
        <v>37.7</v>
      </c>
      <c r="Q1583" s="3" t="n">
        <v>38.6</v>
      </c>
      <c r="R1583" s="3" t="n">
        <v>39.5</v>
      </c>
      <c r="S1583" s="3" t="n">
        <v>40.4</v>
      </c>
      <c r="T1583" s="3" t="n">
        <v>41.4</v>
      </c>
      <c r="U1583" s="3" t="n">
        <v>42.4</v>
      </c>
      <c r="V1583" s="3" t="n">
        <v>43.3</v>
      </c>
      <c r="W1583" s="3" t="n">
        <v>44.3</v>
      </c>
      <c r="X1583" s="3" t="n">
        <v>45.4</v>
      </c>
      <c r="Y1583" s="3" t="n">
        <v>46.4</v>
      </c>
      <c r="Z1583" s="3" t="n">
        <v>47.6</v>
      </c>
      <c r="AA1583" s="3" t="n">
        <v>48.797358</v>
      </c>
      <c r="AB1583" s="3" t="n">
        <v>49.746691</v>
      </c>
      <c r="AC1583" s="3" t="n">
        <v>50.639872</v>
      </c>
      <c r="AD1583" s="3" t="n">
        <v>51.538963</v>
      </c>
      <c r="AE1583" s="3" t="n">
        <v>52.443708</v>
      </c>
      <c r="AF1583" s="3" t="n">
        <v>53.353847</v>
      </c>
      <c r="AG1583" s="3" t="n">
        <v>54.26911</v>
      </c>
      <c r="AH1583" s="3" t="n">
        <v>55.189221</v>
      </c>
      <c r="AI1583" s="3" t="n">
        <v>56.113893</v>
      </c>
      <c r="AJ1583" s="3" t="n">
        <v>57.042836</v>
      </c>
      <c r="AK1583" s="3" t="n">
        <v>57.975748</v>
      </c>
      <c r="AL1583" s="3" t="n">
        <v>58.912322</v>
      </c>
      <c r="AM1583" s="3" t="n"/>
      <c r="AN1583" s="3" t="n"/>
      <c r="AO1583" s="3" t="n"/>
      <c r="AP1583" s="3" t="n"/>
      <c r="AQ1583" s="3" t="n"/>
      <c r="AR1583" s="3" t="n"/>
      <c r="AS1583" s="3" t="n"/>
      <c r="AT1583" s="3" t="n"/>
      <c r="AU1583" s="3" t="n"/>
    </row>
    <row r="1584">
      <c r="A1584" s="3" t="n">
        <v>2031</v>
      </c>
      <c r="B1584" s="3" t="inlineStr">
        <is>
          <t>KEN</t>
        </is>
      </c>
      <c r="C1584" s="3" t="inlineStr">
        <is>
          <t>IMF.RES:WEO</t>
        </is>
      </c>
      <c r="D1584" s="3" t="inlineStr">
        <is>
          <t>KEN.NGDP.A</t>
        </is>
      </c>
      <c r="E1584" s="3" t="inlineStr">
        <is>
          <t>Kenya</t>
        </is>
      </c>
      <c r="F1584" s="3" t="inlineStr">
        <is>
          <t>Gross domestic product (GDP), Current prices, Domestic currency</t>
        </is>
      </c>
      <c r="G1584" s="3" t="n">
        <v>1386.820965</v>
      </c>
      <c r="H1584" s="3" t="n">
        <v>1468.857891</v>
      </c>
      <c r="I1584" s="3" t="n">
        <v>1498.585305</v>
      </c>
      <c r="J1584" s="3" t="n">
        <v>1624.352095</v>
      </c>
      <c r="K1584" s="3" t="n">
        <v>1804.382532</v>
      </c>
      <c r="L1584" s="3" t="n">
        <v>1987.625839</v>
      </c>
      <c r="M1584" s="3" t="n">
        <v>2139.076996</v>
      </c>
      <c r="N1584" s="3" t="n">
        <v>2471.072464</v>
      </c>
      <c r="O1584" s="3" t="n">
        <v>2840.220367</v>
      </c>
      <c r="P1584" s="3" t="n">
        <v>3275.642423</v>
      </c>
      <c r="Q1584" s="3" t="n">
        <v>3597.629975</v>
      </c>
      <c r="R1584" s="3" t="n">
        <v>4162.514167</v>
      </c>
      <c r="S1584" s="3" t="n">
        <v>4767.19133</v>
      </c>
      <c r="T1584" s="3" t="n">
        <v>5311.321837</v>
      </c>
      <c r="U1584" s="3" t="n">
        <v>6003.835019</v>
      </c>
      <c r="V1584" s="3" t="n">
        <v>6884.317356</v>
      </c>
      <c r="W1584" s="3" t="n">
        <v>7594.063646</v>
      </c>
      <c r="X1584" s="3" t="n">
        <v>8483.396463999999</v>
      </c>
      <c r="Y1584" s="3" t="n">
        <v>9340.306703</v>
      </c>
      <c r="Z1584" s="3" t="n">
        <v>10237.73</v>
      </c>
      <c r="AA1584" s="3" t="n">
        <v>10715.071</v>
      </c>
      <c r="AB1584" s="3" t="n">
        <v>12027.662</v>
      </c>
      <c r="AC1584" s="3" t="n">
        <v>13489.645</v>
      </c>
      <c r="AD1584" s="3" t="n">
        <v>15033.611</v>
      </c>
      <c r="AE1584" s="3" t="n">
        <v>16224.477</v>
      </c>
      <c r="AF1584" s="3" t="n">
        <v>17638.538826</v>
      </c>
      <c r="AG1584" s="3" t="n">
        <v>19498.607708</v>
      </c>
      <c r="AH1584" s="3" t="n">
        <v>21567.249636</v>
      </c>
      <c r="AI1584" s="3" t="n">
        <v>23895.30749</v>
      </c>
      <c r="AJ1584" s="3" t="n">
        <v>26488.671852</v>
      </c>
      <c r="AK1584" s="3" t="n">
        <v>29233.394226</v>
      </c>
      <c r="AL1584" s="3" t="n">
        <v>32175.090622</v>
      </c>
      <c r="AM1584" s="3" t="n"/>
      <c r="AN1584" s="3" t="n"/>
      <c r="AO1584" s="3" t="n"/>
      <c r="AP1584" s="3" t="n"/>
      <c r="AQ1584" s="3" t="n"/>
      <c r="AR1584" s="3" t="n"/>
      <c r="AS1584" s="3" t="n"/>
      <c r="AT1584" s="3" t="n"/>
      <c r="AU1584" s="3" t="n"/>
    </row>
    <row r="1585">
      <c r="A1585" s="3" t="n">
        <v>2031</v>
      </c>
      <c r="B1585" s="3" t="inlineStr">
        <is>
          <t>KEN</t>
        </is>
      </c>
      <c r="C1585" s="3" t="inlineStr">
        <is>
          <t>IMF.RES:WEO</t>
        </is>
      </c>
      <c r="D1585" s="3" t="inlineStr">
        <is>
          <t>KEN.NGDP_D.A</t>
        </is>
      </c>
      <c r="E1585" s="3" t="inlineStr">
        <is>
          <t>Kenya</t>
        </is>
      </c>
      <c r="F1585" s="3" t="inlineStr">
        <is>
          <t>Gross domestic product (GDP), Price deflator, Index</t>
        </is>
      </c>
      <c r="G1585" s="3" t="n">
        <v>36.026335</v>
      </c>
      <c r="H1585" s="3" t="n">
        <v>36.697319</v>
      </c>
      <c r="I1585" s="3" t="n">
        <v>37.260627</v>
      </c>
      <c r="J1585" s="3" t="n">
        <v>39.230779</v>
      </c>
      <c r="K1585" s="3" t="n">
        <v>41.64839</v>
      </c>
      <c r="L1585" s="3" t="n">
        <v>43.418456</v>
      </c>
      <c r="M1585" s="3" t="n">
        <v>44.142583</v>
      </c>
      <c r="N1585" s="3" t="n">
        <v>47.724261</v>
      </c>
      <c r="O1585" s="3" t="n">
        <v>54.726576</v>
      </c>
      <c r="P1585" s="3" t="n">
        <v>61.096064</v>
      </c>
      <c r="Q1585" s="3" t="n">
        <v>62.097545</v>
      </c>
      <c r="R1585" s="3" t="n">
        <v>68.34767100000001</v>
      </c>
      <c r="S1585" s="3" t="n">
        <v>74.856408</v>
      </c>
      <c r="T1585" s="3" t="n">
        <v>80.349039</v>
      </c>
      <c r="U1585" s="3" t="n">
        <v>86.48370799999999</v>
      </c>
      <c r="V1585" s="3" t="n">
        <v>94.473645</v>
      </c>
      <c r="W1585" s="3" t="n">
        <v>100.000001</v>
      </c>
      <c r="X1585" s="3" t="n">
        <v>107.605208</v>
      </c>
      <c r="Y1585" s="3" t="n">
        <v>112.11654</v>
      </c>
      <c r="Z1585" s="3" t="n">
        <v>116.909822</v>
      </c>
      <c r="AA1585" s="3" t="n">
        <v>122.695479</v>
      </c>
      <c r="AB1585" s="3" t="n">
        <v>128.009113</v>
      </c>
      <c r="AC1585" s="3" t="n">
        <v>136.914807</v>
      </c>
      <c r="AD1585" s="3" t="n">
        <v>144.329824</v>
      </c>
      <c r="AE1585" s="3" t="n">
        <v>148.735347</v>
      </c>
      <c r="AF1585" s="3" t="n">
        <v>154.174896</v>
      </c>
      <c r="AG1585" s="3" t="n">
        <v>163.135367</v>
      </c>
      <c r="AH1585" s="3" t="n">
        <v>172.40561</v>
      </c>
      <c r="AI1585" s="3" t="n">
        <v>181.814142</v>
      </c>
      <c r="AJ1585" s="3" t="n">
        <v>191.948122</v>
      </c>
      <c r="AK1585" s="3" t="n">
        <v>201.734738</v>
      </c>
      <c r="AL1585" s="3" t="n">
        <v>211.430751</v>
      </c>
      <c r="AM1585" s="3" t="n"/>
      <c r="AN1585" s="3" t="n"/>
      <c r="AO1585" s="3" t="n"/>
      <c r="AP1585" s="3" t="n"/>
      <c r="AQ1585" s="3" t="n"/>
      <c r="AR1585" s="3" t="n"/>
      <c r="AS1585" s="3" t="n"/>
      <c r="AT1585" s="3" t="n"/>
      <c r="AU1585" s="3" t="n"/>
    </row>
    <row r="1586">
      <c r="A1586" s="3" t="n">
        <v>2031</v>
      </c>
      <c r="B1586" s="3" t="inlineStr">
        <is>
          <t>KEN</t>
        </is>
      </c>
      <c r="C1586" s="3" t="inlineStr">
        <is>
          <t>IMF.RES:WEO</t>
        </is>
      </c>
      <c r="D1586" s="3" t="inlineStr">
        <is>
          <t>KEN.NGDP_R.A</t>
        </is>
      </c>
      <c r="E1586" s="3" t="inlineStr">
        <is>
          <t>Kenya</t>
        </is>
      </c>
      <c r="F1586" s="3" t="inlineStr">
        <is>
          <t>Gross domestic product (GDP), Constant prices, Domestic currency</t>
        </is>
      </c>
      <c r="G1586" s="3" t="n">
        <v>3849.464434</v>
      </c>
      <c r="H1586" s="3" t="n">
        <v>4002.629939</v>
      </c>
      <c r="I1586" s="3" t="n">
        <v>4021.900355</v>
      </c>
      <c r="J1586" s="3" t="n">
        <v>4140.504329</v>
      </c>
      <c r="K1586" s="3" t="n">
        <v>4332.418462</v>
      </c>
      <c r="L1586" s="3" t="n">
        <v>4577.836338</v>
      </c>
      <c r="M1586" s="3" t="n">
        <v>4845.835608</v>
      </c>
      <c r="N1586" s="3" t="n">
        <v>5177.811859</v>
      </c>
      <c r="O1586" s="3" t="n">
        <v>5189.837523</v>
      </c>
      <c r="P1586" s="3" t="n">
        <v>5361.462317</v>
      </c>
      <c r="Q1586" s="3" t="n">
        <v>5793.514009</v>
      </c>
      <c r="R1586" s="3" t="n">
        <v>6090.206322</v>
      </c>
      <c r="S1586" s="3" t="n">
        <v>6368.447883</v>
      </c>
      <c r="T1586" s="3" t="n">
        <v>6610.311618</v>
      </c>
      <c r="U1586" s="3" t="n">
        <v>6942.157241</v>
      </c>
      <c r="V1586" s="3" t="n">
        <v>7287.024147</v>
      </c>
      <c r="W1586" s="3" t="n">
        <v>7594.063553</v>
      </c>
      <c r="X1586" s="3" t="n">
        <v>7883.815871</v>
      </c>
      <c r="Y1586" s="3" t="n">
        <v>8330.891</v>
      </c>
      <c r="Z1586" s="3" t="n">
        <v>8756.946</v>
      </c>
      <c r="AA1586" s="3" t="n">
        <v>8733.061</v>
      </c>
      <c r="AB1586" s="3" t="n">
        <v>9395.941999999999</v>
      </c>
      <c r="AC1586" s="3" t="n">
        <v>9852.583000000001</v>
      </c>
      <c r="AD1586" s="3" t="n">
        <v>10416.15</v>
      </c>
      <c r="AE1586" s="3" t="n">
        <v>10908.286</v>
      </c>
      <c r="AF1586" s="3" t="n">
        <v>11440.603706</v>
      </c>
      <c r="AG1586" s="3" t="n">
        <v>11952.409848</v>
      </c>
      <c r="AH1586" s="3" t="n">
        <v>12509.598512</v>
      </c>
      <c r="AI1586" s="3" t="n">
        <v>13142.711106</v>
      </c>
      <c r="AJ1586" s="3" t="n">
        <v>13799.91196</v>
      </c>
      <c r="AK1586" s="3" t="n">
        <v>14491.006605</v>
      </c>
      <c r="AL1586" s="3" t="n">
        <v>15217.791357</v>
      </c>
      <c r="AM1586" s="3" t="n"/>
      <c r="AN1586" s="3" t="n"/>
      <c r="AO1586" s="3" t="n"/>
      <c r="AP1586" s="3" t="n"/>
      <c r="AQ1586" s="3" t="n"/>
      <c r="AR1586" s="3" t="n"/>
      <c r="AS1586" s="3" t="n"/>
      <c r="AT1586" s="3" t="n"/>
      <c r="AU1586" s="3" t="n"/>
    </row>
    <row r="1587">
      <c r="A1587" s="3" t="n">
        <v>2031</v>
      </c>
      <c r="B1587" s="3" t="inlineStr">
        <is>
          <t>KEN</t>
        </is>
      </c>
      <c r="C1587" s="3" t="inlineStr">
        <is>
          <t>IMF.RES:WEO</t>
        </is>
      </c>
      <c r="D1587" s="3" t="inlineStr">
        <is>
          <t>KEN.NGDP_RPCH.A</t>
        </is>
      </c>
      <c r="E1587" s="3" t="inlineStr">
        <is>
          <t>Kenya</t>
        </is>
      </c>
      <c r="F1587" s="3" t="inlineStr">
        <is>
          <t>Gross domestic product (GDP), Constant prices, Percent change</t>
        </is>
      </c>
      <c r="G1587" s="3" t="n">
        <v>0.346954</v>
      </c>
      <c r="H1587" s="3" t="n">
        <v>3.978878</v>
      </c>
      <c r="I1587" s="3" t="n">
        <v>0.481444</v>
      </c>
      <c r="J1587" s="3" t="n">
        <v>2.948954</v>
      </c>
      <c r="K1587" s="3" t="n">
        <v>4.635042</v>
      </c>
      <c r="L1587" s="3" t="n">
        <v>5.664685</v>
      </c>
      <c r="M1587" s="3" t="n">
        <v>5.854278</v>
      </c>
      <c r="N1587" s="3" t="n">
        <v>6.850753</v>
      </c>
      <c r="O1587" s="3" t="n">
        <v>0.232254</v>
      </c>
      <c r="P1587" s="3" t="n">
        <v>3.30694</v>
      </c>
      <c r="Q1587" s="3" t="n">
        <v>8.058467</v>
      </c>
      <c r="R1587" s="3" t="n">
        <v>5.121112</v>
      </c>
      <c r="S1587" s="3" t="n">
        <v>4.568672</v>
      </c>
      <c r="T1587" s="3" t="n">
        <v>3.797844</v>
      </c>
      <c r="U1587" s="3" t="n">
        <v>5.020121</v>
      </c>
      <c r="V1587" s="3" t="n">
        <v>4.96772</v>
      </c>
      <c r="W1587" s="3" t="n">
        <v>4.213509</v>
      </c>
      <c r="X1587" s="3" t="n">
        <v>3.815511</v>
      </c>
      <c r="Y1587" s="3" t="n">
        <v>5.670796</v>
      </c>
      <c r="Z1587" s="3" t="n">
        <v>5.114159</v>
      </c>
      <c r="AA1587" s="3" t="n">
        <v>-0.272755</v>
      </c>
      <c r="AB1587" s="3" t="n">
        <v>7.590477</v>
      </c>
      <c r="AC1587" s="3" t="n">
        <v>4.859981</v>
      </c>
      <c r="AD1587" s="3" t="n">
        <v>5.719992</v>
      </c>
      <c r="AE1587" s="3" t="n">
        <v>4.72474</v>
      </c>
      <c r="AF1587" s="3" t="n">
        <v>4.879939</v>
      </c>
      <c r="AG1587" s="3" t="n">
        <v>4.473594</v>
      </c>
      <c r="AH1587" s="3" t="n">
        <v>4.661727</v>
      </c>
      <c r="AI1587" s="3" t="n">
        <v>5.061014</v>
      </c>
      <c r="AJ1587" s="3" t="n">
        <v>5.000497</v>
      </c>
      <c r="AK1587" s="3" t="n">
        <v>5.007964</v>
      </c>
      <c r="AL1587" s="3" t="n">
        <v>5.015419</v>
      </c>
      <c r="AM1587" s="3" t="n"/>
      <c r="AN1587" s="3" t="n"/>
      <c r="AO1587" s="3" t="n"/>
      <c r="AP1587" s="3" t="n"/>
      <c r="AQ1587" s="3" t="n"/>
      <c r="AR1587" s="3" t="n"/>
      <c r="AS1587" s="3" t="n"/>
      <c r="AT1587" s="3" t="n"/>
      <c r="AU1587" s="3" t="n"/>
    </row>
    <row r="1588">
      <c r="A1588" s="3" t="n">
        <v>2031</v>
      </c>
      <c r="B1588" s="3" t="inlineStr">
        <is>
          <t>KEN</t>
        </is>
      </c>
      <c r="C1588" s="3" t="inlineStr">
        <is>
          <t>IMF.RES:WEO</t>
        </is>
      </c>
      <c r="D1588" s="3" t="inlineStr">
        <is>
          <t>KEN.NGDPD.A</t>
        </is>
      </c>
      <c r="E1588" s="3" t="inlineStr">
        <is>
          <t>Kenya</t>
        </is>
      </c>
      <c r="F1588" s="3" t="inlineStr">
        <is>
          <t>Gross domestic product (GDP), Current prices, US dollar</t>
        </is>
      </c>
      <c r="G1588" s="3" t="n">
        <v>18.205594</v>
      </c>
      <c r="H1588" s="3" t="n">
        <v>18.696514</v>
      </c>
      <c r="I1588" s="3" t="n">
        <v>19.029862</v>
      </c>
      <c r="J1588" s="3" t="n">
        <v>21.391189</v>
      </c>
      <c r="K1588" s="3" t="n">
        <v>22.790125</v>
      </c>
      <c r="L1588" s="3" t="n">
        <v>26.307316</v>
      </c>
      <c r="M1588" s="3" t="n">
        <v>29.667853</v>
      </c>
      <c r="N1588" s="3" t="n">
        <v>36.707652</v>
      </c>
      <c r="O1588" s="3" t="n">
        <v>41.05829</v>
      </c>
      <c r="P1588" s="3" t="n">
        <v>42.347217</v>
      </c>
      <c r="Q1588" s="3" t="n">
        <v>45.405615</v>
      </c>
      <c r="R1588" s="3" t="n">
        <v>46.554668</v>
      </c>
      <c r="S1588" s="3" t="n">
        <v>56.407274</v>
      </c>
      <c r="T1588" s="3" t="n">
        <v>61.70349</v>
      </c>
      <c r="U1588" s="3" t="n">
        <v>68.39546799999999</v>
      </c>
      <c r="V1588" s="3" t="n">
        <v>70.37011699999999</v>
      </c>
      <c r="W1588" s="3" t="n">
        <v>74.81614999999999</v>
      </c>
      <c r="X1588" s="3" t="n">
        <v>81.96508</v>
      </c>
      <c r="Y1588" s="3" t="n">
        <v>92.21081700000001</v>
      </c>
      <c r="Z1588" s="3" t="n">
        <v>100.328181</v>
      </c>
      <c r="AA1588" s="3" t="n">
        <v>100.921534</v>
      </c>
      <c r="AB1588" s="3" t="n">
        <v>109.875059</v>
      </c>
      <c r="AC1588" s="3" t="n">
        <v>114.732641</v>
      </c>
      <c r="AD1588" s="3" t="n">
        <v>108.205995</v>
      </c>
      <c r="AE1588" s="3" t="n">
        <v>119.30661</v>
      </c>
      <c r="AF1588" s="3" t="n">
        <v>136.454541</v>
      </c>
      <c r="AG1588" s="3" t="n">
        <v>147.26489</v>
      </c>
      <c r="AH1588" s="3" t="n">
        <v>154.744059</v>
      </c>
      <c r="AI1588" s="3" t="n">
        <v>161.991631</v>
      </c>
      <c r="AJ1588" s="3" t="n">
        <v>171.532879</v>
      </c>
      <c r="AK1588" s="3" t="n">
        <v>183.62769</v>
      </c>
      <c r="AL1588" s="3" t="n">
        <v>196.042594</v>
      </c>
      <c r="AM1588" s="3" t="n"/>
      <c r="AN1588" s="3" t="n"/>
      <c r="AO1588" s="3" t="n"/>
      <c r="AP1588" s="3" t="n"/>
      <c r="AQ1588" s="3" t="n"/>
      <c r="AR1588" s="3" t="n"/>
      <c r="AS1588" s="3" t="n"/>
      <c r="AT1588" s="3" t="n"/>
      <c r="AU1588" s="3" t="n"/>
    </row>
    <row r="1589">
      <c r="A1589" s="3" t="n">
        <v>2031</v>
      </c>
      <c r="B1589" s="3" t="inlineStr">
        <is>
          <t>KEN</t>
        </is>
      </c>
      <c r="C1589" s="3" t="inlineStr">
        <is>
          <t>IMF.RES:WEO</t>
        </is>
      </c>
      <c r="D1589" s="3" t="inlineStr">
        <is>
          <t>KEN.NGDPPC.A</t>
        </is>
      </c>
      <c r="E1589" s="3" t="inlineStr">
        <is>
          <t>Kenya</t>
        </is>
      </c>
      <c r="F1589" s="3" t="inlineStr">
        <is>
          <t>Gross domestic product (GDP), Current prices, Per capita, Domestic currency</t>
        </is>
      </c>
      <c r="G1589" s="3" t="n">
        <v>47010.880183</v>
      </c>
      <c r="H1589" s="3" t="n">
        <v>48477.15812</v>
      </c>
      <c r="I1589" s="3" t="n">
        <v>48186.022655</v>
      </c>
      <c r="J1589" s="3" t="n">
        <v>50761.002974</v>
      </c>
      <c r="K1589" s="3" t="n">
        <v>54844.453869</v>
      </c>
      <c r="L1589" s="3" t="n">
        <v>58805.498192</v>
      </c>
      <c r="M1589" s="3" t="n">
        <v>61644.870206</v>
      </c>
      <c r="N1589" s="3" t="n">
        <v>69217.716076</v>
      </c>
      <c r="O1589" s="3" t="n">
        <v>77390.200729</v>
      </c>
      <c r="P1589" s="3" t="n">
        <v>86887.066922</v>
      </c>
      <c r="Q1589" s="3" t="n">
        <v>93202.849094</v>
      </c>
      <c r="R1589" s="3" t="n">
        <v>105380.1055</v>
      </c>
      <c r="S1589" s="3" t="n">
        <v>117999.785404</v>
      </c>
      <c r="T1589" s="3" t="n">
        <v>128292.798004</v>
      </c>
      <c r="U1589" s="3" t="n">
        <v>141599.88252</v>
      </c>
      <c r="V1589" s="3" t="n">
        <v>158991.162958</v>
      </c>
      <c r="W1589" s="3" t="n">
        <v>171423.558607</v>
      </c>
      <c r="X1589" s="3" t="n">
        <v>186858.952947</v>
      </c>
      <c r="Y1589" s="3" t="n">
        <v>201299.713424</v>
      </c>
      <c r="Z1589" s="3" t="n">
        <v>215078.361345</v>
      </c>
      <c r="AA1589" s="3" t="n">
        <v>219583.013086</v>
      </c>
      <c r="AB1589" s="3" t="n">
        <v>241778.131412</v>
      </c>
      <c r="AC1589" s="3" t="n">
        <v>266383.866137</v>
      </c>
      <c r="AD1589" s="3" t="n">
        <v>291694.094109</v>
      </c>
      <c r="AE1589" s="3" t="n">
        <v>309369.372407</v>
      </c>
      <c r="AF1589" s="3" t="n">
        <v>330595.446172</v>
      </c>
      <c r="AG1589" s="3" t="n">
        <v>359294.774082</v>
      </c>
      <c r="AH1589" s="3" t="n">
        <v>390787.355764</v>
      </c>
      <c r="AI1589" s="3" t="n">
        <v>425835.849469</v>
      </c>
      <c r="AJ1589" s="3" t="n">
        <v>464364.567812</v>
      </c>
      <c r="AK1589" s="3" t="n">
        <v>504234.877357</v>
      </c>
      <c r="AL1589" s="3" t="n">
        <v>546152.133591</v>
      </c>
      <c r="AM1589" s="3" t="n"/>
      <c r="AN1589" s="3" t="n"/>
      <c r="AO1589" s="3" t="n"/>
      <c r="AP1589" s="3" t="n"/>
      <c r="AQ1589" s="3" t="n"/>
      <c r="AR1589" s="3" t="n"/>
      <c r="AS1589" s="3" t="n"/>
      <c r="AT1589" s="3" t="n"/>
      <c r="AU1589" s="3" t="n"/>
    </row>
    <row r="1590">
      <c r="A1590" s="3" t="n">
        <v>2031</v>
      </c>
      <c r="B1590" s="3" t="inlineStr">
        <is>
          <t>KEN</t>
        </is>
      </c>
      <c r="C1590" s="3" t="inlineStr">
        <is>
          <t>IMF.RES:WEO</t>
        </is>
      </c>
      <c r="D1590" s="3" t="inlineStr">
        <is>
          <t>KEN.NGDPRPC.A</t>
        </is>
      </c>
      <c r="E1590" s="3" t="inlineStr">
        <is>
          <t>Kenya</t>
        </is>
      </c>
      <c r="F1590" s="3" t="inlineStr">
        <is>
          <t>Gross domestic product (GDP), Constant prices, Per capita, Domestic currency</t>
        </is>
      </c>
      <c r="G1590" s="3" t="n">
        <v>130490.319797</v>
      </c>
      <c r="H1590" s="3" t="n">
        <v>132099.997994</v>
      </c>
      <c r="I1590" s="3" t="n">
        <v>129321.554821</v>
      </c>
      <c r="J1590" s="3" t="n">
        <v>129390.76029</v>
      </c>
      <c r="K1590" s="3" t="n">
        <v>131684.451738</v>
      </c>
      <c r="L1590" s="3" t="n">
        <v>135438.944919</v>
      </c>
      <c r="M1590" s="3" t="n">
        <v>139649.441145</v>
      </c>
      <c r="N1590" s="3" t="n">
        <v>145036.74676</v>
      </c>
      <c r="O1590" s="3" t="n">
        <v>141412.466577</v>
      </c>
      <c r="P1590" s="3" t="n">
        <v>142213.854566</v>
      </c>
      <c r="Q1590" s="3" t="n">
        <v>150091.036507</v>
      </c>
      <c r="R1590" s="3" t="n">
        <v>154182.438527</v>
      </c>
      <c r="S1590" s="3" t="n">
        <v>157634.848593</v>
      </c>
      <c r="T1590" s="3" t="n">
        <v>159669.362748</v>
      </c>
      <c r="U1590" s="3" t="n">
        <v>163730.123614</v>
      </c>
      <c r="V1590" s="3" t="n">
        <v>168291.550728</v>
      </c>
      <c r="W1590" s="3" t="n">
        <v>171423.556491</v>
      </c>
      <c r="X1590" s="3" t="n">
        <v>173652.331968</v>
      </c>
      <c r="Y1590" s="3" t="n">
        <v>179545.064655</v>
      </c>
      <c r="Z1590" s="3" t="n">
        <v>183969.453782</v>
      </c>
      <c r="AA1590" s="3" t="n">
        <v>178965.855461</v>
      </c>
      <c r="AB1590" s="3" t="n">
        <v>188875.718291</v>
      </c>
      <c r="AC1590" s="3" t="n">
        <v>194561.765782</v>
      </c>
      <c r="AD1590" s="3" t="n">
        <v>202102.43822</v>
      </c>
      <c r="AE1590" s="3" t="n">
        <v>207999.900019</v>
      </c>
      <c r="AF1590" s="3" t="n">
        <v>214428.843791</v>
      </c>
      <c r="AG1590" s="3" t="n">
        <v>220243.335339</v>
      </c>
      <c r="AH1590" s="3" t="n">
        <v>226667.424299</v>
      </c>
      <c r="AI1590" s="3" t="n">
        <v>234214.920677</v>
      </c>
      <c r="AJ1590" s="3" t="n">
        <v>241921.912472</v>
      </c>
      <c r="AK1590" s="3" t="n">
        <v>249949.454449</v>
      </c>
      <c r="AL1590" s="3" t="n">
        <v>258312.534867</v>
      </c>
      <c r="AM1590" s="3" t="n"/>
      <c r="AN1590" s="3" t="n"/>
      <c r="AO1590" s="3" t="n"/>
      <c r="AP1590" s="3" t="n"/>
      <c r="AQ1590" s="3" t="n"/>
      <c r="AR1590" s="3" t="n"/>
      <c r="AS1590" s="3" t="n"/>
      <c r="AT1590" s="3" t="n"/>
      <c r="AU1590" s="3" t="n"/>
    </row>
    <row r="1591">
      <c r="A1591" s="3" t="n">
        <v>2031</v>
      </c>
      <c r="B1591" s="3" t="inlineStr">
        <is>
          <t>KEN</t>
        </is>
      </c>
      <c r="C1591" s="3" t="inlineStr">
        <is>
          <t>IMF.RES:WEO</t>
        </is>
      </c>
      <c r="D1591" s="3" t="inlineStr">
        <is>
          <t>KEN.PCPI.A</t>
        </is>
      </c>
      <c r="E1591" s="3" t="inlineStr">
        <is>
          <t>Kenya</t>
        </is>
      </c>
      <c r="F1591" s="3" t="inlineStr">
        <is>
          <t>All Items, Consumer price index (CPI), Period average</t>
        </is>
      </c>
      <c r="G1591" s="3" t="n">
        <v>100</v>
      </c>
      <c r="H1591" s="3" t="n">
        <v>105.731647</v>
      </c>
      <c r="I1591" s="3" t="n">
        <v>107.809964</v>
      </c>
      <c r="J1591" s="3" t="n">
        <v>118.380976</v>
      </c>
      <c r="K1591" s="3" t="n">
        <v>132.34391</v>
      </c>
      <c r="L1591" s="3" t="n">
        <v>145.46215</v>
      </c>
      <c r="M1591" s="3" t="n">
        <v>154.237116</v>
      </c>
      <c r="N1591" s="3" t="n">
        <v>160.823867</v>
      </c>
      <c r="O1591" s="3" t="n">
        <v>185.130573</v>
      </c>
      <c r="P1591" s="3" t="n">
        <v>204.638495</v>
      </c>
      <c r="Q1591" s="3" t="n">
        <v>212.99561</v>
      </c>
      <c r="R1591" s="3" t="n">
        <v>242.861798</v>
      </c>
      <c r="S1591" s="3" t="n">
        <v>265.638016</v>
      </c>
      <c r="T1591" s="3" t="n">
        <v>280.825852</v>
      </c>
      <c r="U1591" s="3" t="n">
        <v>300.141489</v>
      </c>
      <c r="V1591" s="3" t="n">
        <v>319.897265</v>
      </c>
      <c r="W1591" s="3" t="n">
        <v>340.106802</v>
      </c>
      <c r="X1591" s="3" t="n">
        <v>367.264565</v>
      </c>
      <c r="Y1591" s="3" t="n">
        <v>384.488611</v>
      </c>
      <c r="Z1591" s="3" t="n">
        <v>404.63464</v>
      </c>
      <c r="AA1591" s="3" t="n">
        <v>426.039944</v>
      </c>
      <c r="AB1591" s="3" t="n">
        <v>452.068207</v>
      </c>
      <c r="AC1591" s="3" t="n">
        <v>486.643586</v>
      </c>
      <c r="AD1591" s="3" t="n">
        <v>523.994287</v>
      </c>
      <c r="AE1591" s="3" t="n">
        <v>547.555619</v>
      </c>
      <c r="AF1591" s="3" t="n">
        <v>569.8292279999999</v>
      </c>
      <c r="AG1591" s="3" t="n">
        <v>603.726958</v>
      </c>
      <c r="AH1591" s="3" t="n">
        <v>639.300481</v>
      </c>
      <c r="AI1591" s="3" t="n">
        <v>675.743154</v>
      </c>
      <c r="AJ1591" s="3" t="n">
        <v>714.425179</v>
      </c>
      <c r="AK1591" s="3" t="n">
        <v>751.934605</v>
      </c>
      <c r="AL1591" s="3" t="n">
        <v>789.531011</v>
      </c>
      <c r="AM1591" s="3" t="n"/>
      <c r="AN1591" s="3" t="n"/>
      <c r="AO1591" s="3" t="n"/>
      <c r="AP1591" s="3" t="n"/>
      <c r="AQ1591" s="3" t="n"/>
      <c r="AR1591" s="3" t="n"/>
      <c r="AS1591" s="3" t="n"/>
      <c r="AT1591" s="3" t="n"/>
      <c r="AU1591" s="3" t="n"/>
    </row>
    <row r="1592">
      <c r="A1592" s="3" t="n">
        <v>2031</v>
      </c>
      <c r="B1592" s="3" t="inlineStr">
        <is>
          <t>KEN</t>
        </is>
      </c>
      <c r="C1592" s="3" t="inlineStr">
        <is>
          <t>IMF.RES:WEO</t>
        </is>
      </c>
      <c r="D1592" s="3" t="inlineStr">
        <is>
          <t>KEN.PCPIPCH.A</t>
        </is>
      </c>
      <c r="E1592" s="3" t="inlineStr">
        <is>
          <t>Kenya</t>
        </is>
      </c>
      <c r="F1592" s="3" t="inlineStr">
        <is>
          <t>All Items, Consumer price index (CPI), Period average, percent change</t>
        </is>
      </c>
      <c r="G1592" s="3" t="n">
        <v>9.974761000000001</v>
      </c>
      <c r="H1592" s="3" t="n">
        <v>5.731647</v>
      </c>
      <c r="I1592" s="3" t="n">
        <v>1.965653</v>
      </c>
      <c r="J1592" s="3" t="n">
        <v>9.805227</v>
      </c>
      <c r="K1592" s="3" t="n">
        <v>11.794914</v>
      </c>
      <c r="L1592" s="3" t="n">
        <v>9.912235000000001</v>
      </c>
      <c r="M1592" s="3" t="n">
        <v>6.032474</v>
      </c>
      <c r="N1592" s="3" t="n">
        <v>4.270535</v>
      </c>
      <c r="O1592" s="3" t="n">
        <v>15.113868</v>
      </c>
      <c r="P1592" s="3" t="n">
        <v>10.537385</v>
      </c>
      <c r="Q1592" s="3" t="n">
        <v>4.083843</v>
      </c>
      <c r="R1592" s="3" t="n">
        <v>14.021974</v>
      </c>
      <c r="S1592" s="3" t="n">
        <v>9.378263</v>
      </c>
      <c r="T1592" s="3" t="n">
        <v>5.717494</v>
      </c>
      <c r="U1592" s="3" t="n">
        <v>6.878155</v>
      </c>
      <c r="V1592" s="3" t="n">
        <v>6.582154</v>
      </c>
      <c r="W1592" s="3" t="n">
        <v>6.317509</v>
      </c>
      <c r="X1592" s="3" t="n">
        <v>7.985069</v>
      </c>
      <c r="Y1592" s="3" t="n">
        <v>4.68982</v>
      </c>
      <c r="Z1592" s="3" t="n">
        <v>5.239694</v>
      </c>
      <c r="AA1592" s="3" t="n">
        <v>5.290033</v>
      </c>
      <c r="AB1592" s="3" t="n">
        <v>6.109348</v>
      </c>
      <c r="AC1592" s="3" t="n">
        <v>7.648266</v>
      </c>
      <c r="AD1592" s="3" t="n">
        <v>7.675166</v>
      </c>
      <c r="AE1592" s="3" t="n">
        <v>4.496486</v>
      </c>
      <c r="AF1592" s="3" t="n">
        <v>4.067826</v>
      </c>
      <c r="AG1592" s="3" t="n">
        <v>5.948752</v>
      </c>
      <c r="AH1592" s="3" t="n">
        <v>5.89232</v>
      </c>
      <c r="AI1592" s="3" t="n">
        <v>5.700398</v>
      </c>
      <c r="AJ1592" s="3" t="n">
        <v>5.724368</v>
      </c>
      <c r="AK1592" s="3" t="n">
        <v>5.250295</v>
      </c>
      <c r="AL1592" s="3" t="n">
        <v>4.999957</v>
      </c>
      <c r="AM1592" s="3" t="n"/>
      <c r="AN1592" s="3" t="n"/>
      <c r="AO1592" s="3" t="n"/>
      <c r="AP1592" s="3" t="n"/>
      <c r="AQ1592" s="3" t="n"/>
      <c r="AR1592" s="3" t="n"/>
      <c r="AS1592" s="3" t="n"/>
      <c r="AT1592" s="3" t="n"/>
      <c r="AU1592" s="3" t="n"/>
    </row>
    <row r="1593">
      <c r="A1593" s="3" t="n">
        <v>2031</v>
      </c>
      <c r="B1593" s="3" t="inlineStr">
        <is>
          <t>KEN</t>
        </is>
      </c>
      <c r="C1593" s="3" t="inlineStr">
        <is>
          <t>IMF.RES:WEO</t>
        </is>
      </c>
      <c r="D1593" s="3" t="inlineStr">
        <is>
          <t>KEN.PPPPC.A</t>
        </is>
      </c>
      <c r="E1593" s="3" t="inlineStr">
        <is>
          <t>Kenya</t>
        </is>
      </c>
      <c r="F1593" s="3" t="inlineStr">
        <is>
          <t>Gross domestic product (GDP), Per capita, purchasing power parity (PPP) international dollar, ICP benchmarks 2017-2021</t>
        </is>
      </c>
      <c r="G1593" s="3" t="n">
        <v>2473.689263</v>
      </c>
      <c r="H1593" s="3" t="n">
        <v>2560.5889</v>
      </c>
      <c r="I1593" s="3" t="n">
        <v>2545.687863</v>
      </c>
      <c r="J1593" s="3" t="n">
        <v>2597.334433</v>
      </c>
      <c r="K1593" s="3" t="n">
        <v>2714.454275</v>
      </c>
      <c r="L1593" s="3" t="n">
        <v>2879.394176</v>
      </c>
      <c r="M1593" s="3" t="n">
        <v>3060.46578</v>
      </c>
      <c r="N1593" s="3" t="n">
        <v>3264.64542</v>
      </c>
      <c r="O1593" s="3" t="n">
        <v>3244.38511</v>
      </c>
      <c r="P1593" s="3" t="n">
        <v>3282.894</v>
      </c>
      <c r="Q1593" s="3" t="n">
        <v>3506.841973</v>
      </c>
      <c r="R1593" s="3" t="n">
        <v>3676.76384</v>
      </c>
      <c r="S1593" s="3" t="n">
        <v>3829.084666</v>
      </c>
      <c r="T1593" s="3" t="n">
        <v>3944.517089</v>
      </c>
      <c r="U1593" s="3" t="n">
        <v>4115.28477</v>
      </c>
      <c r="V1593" s="3" t="n">
        <v>4269.190279</v>
      </c>
      <c r="W1593" s="3" t="n">
        <v>4389.964273</v>
      </c>
      <c r="X1593" s="3" t="n">
        <v>4526.682293</v>
      </c>
      <c r="Y1593" s="3" t="n">
        <v>4773.528237</v>
      </c>
      <c r="Z1593" s="3" t="n">
        <v>5042.165254</v>
      </c>
      <c r="AA1593" s="3" t="n">
        <v>5128.462372</v>
      </c>
      <c r="AB1593" s="3" t="n">
        <v>5711.521069</v>
      </c>
      <c r="AC1593" s="3" t="n">
        <v>6301.921088</v>
      </c>
      <c r="AD1593" s="3" t="n">
        <v>6788.376333</v>
      </c>
      <c r="AE1593" s="3" t="n">
        <v>7159.907061</v>
      </c>
      <c r="AF1593" s="3" t="n">
        <v>7590.595968</v>
      </c>
      <c r="AG1593" s="3" t="n">
        <v>8019.779865</v>
      </c>
      <c r="AH1593" s="3" t="n">
        <v>8434.945154999999</v>
      </c>
      <c r="AI1593" s="3" t="n">
        <v>8858.869613999999</v>
      </c>
      <c r="AJ1593" s="3" t="n">
        <v>9313.08001</v>
      </c>
      <c r="AK1593" s="3" t="n">
        <v>9798.918915</v>
      </c>
      <c r="AL1593" s="3" t="n">
        <v>10309.600764</v>
      </c>
      <c r="AM1593" s="3" t="n"/>
      <c r="AN1593" s="3" t="n"/>
      <c r="AO1593" s="3" t="n"/>
      <c r="AP1593" s="3" t="n"/>
      <c r="AQ1593" s="3" t="n"/>
      <c r="AR1593" s="3" t="n"/>
      <c r="AS1593" s="3" t="n"/>
      <c r="AT1593" s="3" t="n"/>
      <c r="AU1593" s="3" t="n"/>
    </row>
    <row r="1594">
      <c r="A1594" s="3" t="n">
        <v>2025</v>
      </c>
      <c r="B1594" s="3" t="inlineStr">
        <is>
          <t>KEN</t>
        </is>
      </c>
      <c r="C1594" s="3" t="inlineStr">
        <is>
          <t>IMF.STA:ER</t>
        </is>
      </c>
      <c r="D1594" s="3" t="inlineStr">
        <is>
          <t>KEN.XDC_USD.PA_RT.A</t>
        </is>
      </c>
      <c r="E1594" s="3" t="inlineStr">
        <is>
          <t>Kenya</t>
        </is>
      </c>
      <c r="F1594" s="3" t="inlineStr">
        <is>
          <t>Domestic currency per US Dollar</t>
        </is>
      </c>
      <c r="G1594" s="3" t="n">
        <v>76.1755416666666</v>
      </c>
      <c r="H1594" s="3" t="n">
        <v>78.56319499999999</v>
      </c>
      <c r="I1594" s="3" t="n">
        <v>78.7491416666666</v>
      </c>
      <c r="J1594" s="3" t="n">
        <v>75.9355694444444</v>
      </c>
      <c r="K1594" s="3" t="n">
        <v>79.1738760642135</v>
      </c>
      <c r="L1594" s="3" t="n">
        <v>75.554109451431</v>
      </c>
      <c r="M1594" s="3" t="n">
        <v>72.1008350178621</v>
      </c>
      <c r="N1594" s="3" t="n">
        <v>67.31763812428569</v>
      </c>
      <c r="O1594" s="3" t="n">
        <v>69.17531981622599</v>
      </c>
      <c r="P1594" s="3" t="n">
        <v>77.3520122975789</v>
      </c>
      <c r="Q1594" s="3" t="n">
        <v>79.23315170454541</v>
      </c>
      <c r="R1594" s="3" t="n">
        <v>88.8107699710456</v>
      </c>
      <c r="S1594" s="3" t="n">
        <v>84.52960175735291</v>
      </c>
      <c r="T1594" s="3" t="n">
        <v>86.1228788982654</v>
      </c>
      <c r="U1594" s="3" t="n">
        <v>87.9221638089726</v>
      </c>
      <c r="V1594" s="3" t="n">
        <v>98.17845332652711</v>
      </c>
      <c r="W1594" s="3" t="n">
        <v>101.504369498594</v>
      </c>
      <c r="X1594" s="3" t="n">
        <v>103.410004519013</v>
      </c>
      <c r="Y1594" s="3" t="n">
        <v>101.301574049018</v>
      </c>
      <c r="Z1594" s="3" t="n">
        <v>101.99129838935</v>
      </c>
      <c r="AA1594" s="3" t="n">
        <v>106.450780158517</v>
      </c>
      <c r="AB1594" s="3" t="n">
        <v>109.637746592367</v>
      </c>
      <c r="AC1594" s="3" t="n">
        <v>117.865989201682</v>
      </c>
      <c r="AD1594" s="3" t="n">
        <v>139.846383759616</v>
      </c>
      <c r="AE1594" s="3" t="n">
        <v>134.822483279332</v>
      </c>
      <c r="AF1594" s="3" t="n">
        <v>129.302572099377</v>
      </c>
      <c r="AG1594" s="3" t="n"/>
      <c r="AH1594" s="3" t="n"/>
      <c r="AI1594" s="3" t="n"/>
      <c r="AJ1594" s="3" t="n"/>
      <c r="AK1594" s="3" t="n"/>
      <c r="AL1594" s="3" t="n"/>
      <c r="AM1594" s="3" t="n"/>
      <c r="AN1594" s="3" t="n"/>
      <c r="AO1594" s="3" t="n"/>
      <c r="AP1594" s="3" t="n"/>
      <c r="AQ1594" s="3" t="n"/>
      <c r="AR1594" s="3" t="n"/>
      <c r="AS1594" s="3" t="n"/>
      <c r="AT1594" s="3" t="n"/>
      <c r="AU1594" s="3" t="n"/>
    </row>
    <row r="1595">
      <c r="A1595" s="3" t="n">
        <v>2031</v>
      </c>
      <c r="B1595" s="3" t="inlineStr">
        <is>
          <t>KGZ</t>
        </is>
      </c>
      <c r="C1595" s="3" t="inlineStr">
        <is>
          <t>IMF.RES:WEO</t>
        </is>
      </c>
      <c r="D1595" s="3" t="inlineStr">
        <is>
          <t>KGZ.BCA.A</t>
        </is>
      </c>
      <c r="E1595" s="3" t="inlineStr">
        <is>
          <t>Kyrgyz Republic</t>
        </is>
      </c>
      <c r="F1595" s="3" t="inlineStr">
        <is>
          <t>Current account balance (credit less debit), US dollar</t>
        </is>
      </c>
      <c r="G1595" s="3" t="n">
        <v>-0.059039</v>
      </c>
      <c r="H1595" s="3" t="n">
        <v>-0.023585</v>
      </c>
      <c r="I1595" s="3" t="n">
        <v>0.045378</v>
      </c>
      <c r="J1595" s="3" t="n">
        <v>0.194431</v>
      </c>
      <c r="K1595" s="3" t="n">
        <v>0.134642</v>
      </c>
      <c r="L1595" s="3" t="n">
        <v>0.093405</v>
      </c>
      <c r="M1595" s="3" t="n">
        <v>-0.07011100000000001</v>
      </c>
      <c r="N1595" s="3" t="n">
        <v>-0.193284</v>
      </c>
      <c r="O1595" s="3" t="n">
        <v>-0.707583</v>
      </c>
      <c r="P1595" s="3" t="n">
        <v>-0.20234</v>
      </c>
      <c r="Q1595" s="3" t="n">
        <v>-0.317145</v>
      </c>
      <c r="R1595" s="3" t="n">
        <v>-0.479308</v>
      </c>
      <c r="S1595" s="3" t="n">
        <v>-1.02041</v>
      </c>
      <c r="T1595" s="3" t="n">
        <v>-1.016126</v>
      </c>
      <c r="U1595" s="3" t="n">
        <v>-1.269398</v>
      </c>
      <c r="V1595" s="3" t="n">
        <v>-1.058599</v>
      </c>
      <c r="W1595" s="3" t="n">
        <v>-0.791996</v>
      </c>
      <c r="X1595" s="3" t="n">
        <v>-0.477386</v>
      </c>
      <c r="Y1595" s="3" t="n">
        <v>-0.996963</v>
      </c>
      <c r="Z1595" s="3" t="n">
        <v>-1.073258</v>
      </c>
      <c r="AA1595" s="3" t="n">
        <v>0.374089</v>
      </c>
      <c r="AB1595" s="3" t="n">
        <v>-0.739</v>
      </c>
      <c r="AC1595" s="3" t="n">
        <v>-5.143538</v>
      </c>
      <c r="AD1595" s="3" t="n">
        <v>-6.822252</v>
      </c>
      <c r="AE1595" s="3" t="n">
        <v>-4.11374</v>
      </c>
      <c r="AF1595" s="3" t="n">
        <v>-5.04658</v>
      </c>
      <c r="AG1595" s="3" t="n">
        <v>-1.682269</v>
      </c>
      <c r="AH1595" s="3" t="n">
        <v>-1.560411</v>
      </c>
      <c r="AI1595" s="3" t="n">
        <v>-1.580839</v>
      </c>
      <c r="AJ1595" s="3" t="n">
        <v>-1.639831</v>
      </c>
      <c r="AK1595" s="3" t="n">
        <v>-1.691967</v>
      </c>
      <c r="AL1595" s="3" t="n">
        <v>-1.753131</v>
      </c>
      <c r="AM1595" s="3" t="n"/>
      <c r="AN1595" s="3" t="n"/>
      <c r="AO1595" s="3" t="n"/>
      <c r="AP1595" s="3" t="n"/>
      <c r="AQ1595" s="3" t="n"/>
      <c r="AR1595" s="3" t="n"/>
      <c r="AS1595" s="3" t="n"/>
      <c r="AT1595" s="3" t="n"/>
      <c r="AU1595" s="3" t="n"/>
    </row>
    <row r="1596">
      <c r="A1596" s="3" t="n">
        <v>2031</v>
      </c>
      <c r="B1596" s="3" t="inlineStr">
        <is>
          <t>KGZ</t>
        </is>
      </c>
      <c r="C1596" s="3" t="inlineStr">
        <is>
          <t>IMF.RES:WEO</t>
        </is>
      </c>
      <c r="D1596" s="3" t="inlineStr">
        <is>
          <t>KGZ.BCA_NGDPD.A</t>
        </is>
      </c>
      <c r="E1596" s="3" t="inlineStr">
        <is>
          <t>Kyrgyz Republic</t>
        </is>
      </c>
      <c r="F1596" s="3" t="inlineStr">
        <is>
          <t>Current account balance (credit less debit), Percent of GDP</t>
        </is>
      </c>
      <c r="G1596" s="3" t="n">
        <v>-4.315656</v>
      </c>
      <c r="H1596" s="3" t="n">
        <v>-1.546137</v>
      </c>
      <c r="I1596" s="3" t="n">
        <v>2.824837</v>
      </c>
      <c r="J1596" s="3" t="n">
        <v>10.129124</v>
      </c>
      <c r="K1596" s="3" t="n">
        <v>6.080054</v>
      </c>
      <c r="L1596" s="3" t="n">
        <v>3.798461</v>
      </c>
      <c r="M1596" s="3" t="n">
        <v>-2.471742</v>
      </c>
      <c r="N1596" s="3" t="n">
        <v>-5.077011</v>
      </c>
      <c r="O1596" s="3" t="n">
        <v>-13.767805</v>
      </c>
      <c r="P1596" s="3" t="n">
        <v>-4.314238</v>
      </c>
      <c r="Q1596" s="3" t="n">
        <v>-6.614952</v>
      </c>
      <c r="R1596" s="3" t="n">
        <v>-7.733554</v>
      </c>
      <c r="S1596" s="3" t="n">
        <v>-15.451248</v>
      </c>
      <c r="T1596" s="3" t="n">
        <v>-13.853046</v>
      </c>
      <c r="U1596" s="3" t="n">
        <v>-17.000295</v>
      </c>
      <c r="V1596" s="3" t="n">
        <v>-15.851616</v>
      </c>
      <c r="W1596" s="3" t="n">
        <v>-11.624619</v>
      </c>
      <c r="X1596" s="3" t="n">
        <v>-6.197443</v>
      </c>
      <c r="Y1596" s="3" t="n">
        <v>-12.053559</v>
      </c>
      <c r="Z1596" s="3" t="n">
        <v>-11.451681</v>
      </c>
      <c r="AA1596" s="3" t="n">
        <v>4.516487</v>
      </c>
      <c r="AB1596" s="3" t="n">
        <v>-7.984291</v>
      </c>
      <c r="AC1596" s="3" t="n">
        <v>-41.922394</v>
      </c>
      <c r="AD1596" s="3" t="n">
        <v>-44.921325</v>
      </c>
      <c r="AE1596" s="3" t="n">
        <v>-22.633663</v>
      </c>
      <c r="AF1596" s="3" t="n">
        <v>-23.399151</v>
      </c>
      <c r="AG1596" s="3" t="n">
        <v>-7.12638</v>
      </c>
      <c r="AH1596" s="3" t="n">
        <v>-6.14048</v>
      </c>
      <c r="AI1596" s="3" t="n">
        <v>-5.805854</v>
      </c>
      <c r="AJ1596" s="3" t="n">
        <v>-5.635708</v>
      </c>
      <c r="AK1596" s="3" t="n">
        <v>-5.483621</v>
      </c>
      <c r="AL1596" s="3" t="n">
        <v>-5.395679</v>
      </c>
      <c r="AM1596" s="3" t="n"/>
      <c r="AN1596" s="3" t="n"/>
      <c r="AO1596" s="3" t="n"/>
      <c r="AP1596" s="3" t="n"/>
      <c r="AQ1596" s="3" t="n"/>
      <c r="AR1596" s="3" t="n"/>
      <c r="AS1596" s="3" t="n"/>
      <c r="AT1596" s="3" t="n"/>
      <c r="AU1596" s="3" t="n"/>
    </row>
    <row r="1597">
      <c r="A1597" s="3" t="n">
        <v>2031</v>
      </c>
      <c r="B1597" s="3" t="inlineStr">
        <is>
          <t>KGZ</t>
        </is>
      </c>
      <c r="C1597" s="3" t="inlineStr">
        <is>
          <t>IMF.RES:WEO</t>
        </is>
      </c>
      <c r="D1597" s="3" t="inlineStr">
        <is>
          <t>KGZ.GGR_NGDP.A</t>
        </is>
      </c>
      <c r="E1597" s="3" t="inlineStr">
        <is>
          <t>Kyrgyz Republic</t>
        </is>
      </c>
      <c r="F1597" s="3" t="inlineStr">
        <is>
          <t>Revenue, General government, Percent of GDP</t>
        </is>
      </c>
      <c r="G1597" s="3" t="n">
        <v>19.518466</v>
      </c>
      <c r="H1597" s="3" t="n">
        <v>21.340776</v>
      </c>
      <c r="I1597" s="3" t="n">
        <v>23.449736</v>
      </c>
      <c r="J1597" s="3" t="n">
        <v>22.908079</v>
      </c>
      <c r="K1597" s="3" t="n">
        <v>23.565368</v>
      </c>
      <c r="L1597" s="3" t="n">
        <v>25.277024</v>
      </c>
      <c r="M1597" s="3" t="n">
        <v>27.034195</v>
      </c>
      <c r="N1597" s="3" t="n">
        <v>30.872303</v>
      </c>
      <c r="O1597" s="3" t="n">
        <v>29.808219</v>
      </c>
      <c r="P1597" s="3" t="n">
        <v>32.918966</v>
      </c>
      <c r="Q1597" s="3" t="n">
        <v>31.160102</v>
      </c>
      <c r="R1597" s="3" t="n">
        <v>32.662815</v>
      </c>
      <c r="S1597" s="3" t="n">
        <v>34.721864</v>
      </c>
      <c r="T1597" s="3" t="n">
        <v>34.447648</v>
      </c>
      <c r="U1597" s="3" t="n">
        <v>35.439787</v>
      </c>
      <c r="V1597" s="3" t="n">
        <v>35.566892</v>
      </c>
      <c r="W1597" s="3" t="n">
        <v>33.13285</v>
      </c>
      <c r="X1597" s="3" t="n">
        <v>33.287218</v>
      </c>
      <c r="Y1597" s="3" t="n">
        <v>32.469595</v>
      </c>
      <c r="Z1597" s="3" t="n">
        <v>30.766391</v>
      </c>
      <c r="AA1597" s="3" t="n">
        <v>29.011294</v>
      </c>
      <c r="AB1597" s="3" t="n">
        <v>31.370491</v>
      </c>
      <c r="AC1597" s="3" t="n">
        <v>34.72567</v>
      </c>
      <c r="AD1597" s="3" t="n">
        <v>34.482518</v>
      </c>
      <c r="AE1597" s="3" t="n">
        <v>34.237749</v>
      </c>
      <c r="AF1597" s="3" t="n">
        <v>38.335787</v>
      </c>
      <c r="AG1597" s="3" t="n">
        <v>34.164238</v>
      </c>
      <c r="AH1597" s="3" t="n">
        <v>33.353476</v>
      </c>
      <c r="AI1597" s="3" t="n">
        <v>33.204054</v>
      </c>
      <c r="AJ1597" s="3" t="n">
        <v>32.845544</v>
      </c>
      <c r="AK1597" s="3" t="n">
        <v>32.789647</v>
      </c>
      <c r="AL1597" s="3" t="n">
        <v>32.592513</v>
      </c>
      <c r="AM1597" s="3" t="n"/>
      <c r="AN1597" s="3" t="n"/>
      <c r="AO1597" s="3" t="n"/>
      <c r="AP1597" s="3" t="n"/>
      <c r="AQ1597" s="3" t="n"/>
      <c r="AR1597" s="3" t="n"/>
      <c r="AS1597" s="3" t="n"/>
      <c r="AT1597" s="3" t="n"/>
      <c r="AU1597" s="3" t="n"/>
    </row>
    <row r="1598">
      <c r="A1598" s="3" t="n">
        <v>2031</v>
      </c>
      <c r="B1598" s="3" t="inlineStr">
        <is>
          <t>KGZ</t>
        </is>
      </c>
      <c r="C1598" s="3" t="inlineStr">
        <is>
          <t>IMF.RES:WEO</t>
        </is>
      </c>
      <c r="D1598" s="3" t="inlineStr">
        <is>
          <t>KGZ.GGX_NGDP.A</t>
        </is>
      </c>
      <c r="E1598" s="3" t="inlineStr">
        <is>
          <t>Kyrgyz Republic</t>
        </is>
      </c>
      <c r="F1598" s="3" t="inlineStr">
        <is>
          <t>Expenditure, General government, Percent of GDP</t>
        </is>
      </c>
      <c r="G1598" s="3" t="n">
        <v>30.215161</v>
      </c>
      <c r="H1598" s="3" t="n">
        <v>28.088235</v>
      </c>
      <c r="I1598" s="3" t="n">
        <v>29.349769</v>
      </c>
      <c r="J1598" s="3" t="n">
        <v>28.077407</v>
      </c>
      <c r="K1598" s="3" t="n">
        <v>28.457032</v>
      </c>
      <c r="L1598" s="3" t="n">
        <v>29.066125</v>
      </c>
      <c r="M1598" s="3" t="n">
        <v>29.129564</v>
      </c>
      <c r="N1598" s="3" t="n">
        <v>29.595426</v>
      </c>
      <c r="O1598" s="3" t="n">
        <v>27.884149</v>
      </c>
      <c r="P1598" s="3" t="n">
        <v>32.541453</v>
      </c>
      <c r="Q1598" s="3" t="n">
        <v>37.106997</v>
      </c>
      <c r="R1598" s="3" t="n">
        <v>37.36743</v>
      </c>
      <c r="S1598" s="3" t="n">
        <v>40.583864</v>
      </c>
      <c r="T1598" s="3" t="n">
        <v>38.14707</v>
      </c>
      <c r="U1598" s="3" t="n">
        <v>38.508057</v>
      </c>
      <c r="V1598" s="3" t="n">
        <v>38.083712</v>
      </c>
      <c r="W1598" s="3" t="n">
        <v>38.923045</v>
      </c>
      <c r="X1598" s="3" t="n">
        <v>37.020144</v>
      </c>
      <c r="Y1598" s="3" t="n">
        <v>33.059694</v>
      </c>
      <c r="Z1598" s="3" t="n">
        <v>30.840456</v>
      </c>
      <c r="AA1598" s="3" t="n">
        <v>32.073523</v>
      </c>
      <c r="AB1598" s="3" t="n">
        <v>32.077919</v>
      </c>
      <c r="AC1598" s="3" t="n">
        <v>35.019391</v>
      </c>
      <c r="AD1598" s="3" t="n">
        <v>32.896128</v>
      </c>
      <c r="AE1598" s="3" t="n">
        <v>32.529875</v>
      </c>
      <c r="AF1598" s="3" t="n">
        <v>38.402587</v>
      </c>
      <c r="AG1598" s="3" t="n">
        <v>37.795724</v>
      </c>
      <c r="AH1598" s="3" t="n">
        <v>36.452518</v>
      </c>
      <c r="AI1598" s="3" t="n">
        <v>36.017608</v>
      </c>
      <c r="AJ1598" s="3" t="n">
        <v>35.308547</v>
      </c>
      <c r="AK1598" s="3" t="n">
        <v>35.113892</v>
      </c>
      <c r="AL1598" s="3" t="n">
        <v>35.118969</v>
      </c>
      <c r="AM1598" s="3" t="n"/>
      <c r="AN1598" s="3" t="n"/>
      <c r="AO1598" s="3" t="n"/>
      <c r="AP1598" s="3" t="n"/>
      <c r="AQ1598" s="3" t="n"/>
      <c r="AR1598" s="3" t="n"/>
      <c r="AS1598" s="3" t="n"/>
      <c r="AT1598" s="3" t="n"/>
      <c r="AU1598" s="3" t="n"/>
    </row>
    <row r="1599">
      <c r="A1599" s="3" t="n">
        <v>2031</v>
      </c>
      <c r="B1599" s="3" t="inlineStr">
        <is>
          <t>KGZ</t>
        </is>
      </c>
      <c r="C1599" s="3" t="inlineStr">
        <is>
          <t>IMF.RES:WEO</t>
        </is>
      </c>
      <c r="D1599" s="3" t="inlineStr">
        <is>
          <t>KGZ.LP.A</t>
        </is>
      </c>
      <c r="E1599" s="3" t="inlineStr">
        <is>
          <t>Kyrgyz Republic</t>
        </is>
      </c>
      <c r="F1599" s="3" t="inlineStr">
        <is>
          <t>Population, Persons for countries / Index for country groups</t>
        </is>
      </c>
      <c r="G1599" s="3" t="n">
        <v>4.874697</v>
      </c>
      <c r="H1599" s="3" t="n">
        <v>4.922026</v>
      </c>
      <c r="I1599" s="3" t="n">
        <v>4.968119</v>
      </c>
      <c r="J1599" s="3" t="n">
        <v>5.013289</v>
      </c>
      <c r="K1599" s="3" t="n">
        <v>5.073327</v>
      </c>
      <c r="L1599" s="3" t="n">
        <v>5.136098</v>
      </c>
      <c r="M1599" s="3" t="n">
        <v>5.189181</v>
      </c>
      <c r="N1599" s="3" t="n">
        <v>5.247565</v>
      </c>
      <c r="O1599" s="3" t="n">
        <v>5.289204</v>
      </c>
      <c r="P1599" s="3" t="n">
        <v>5.348254</v>
      </c>
      <c r="Q1599" s="3" t="n">
        <v>5.418299</v>
      </c>
      <c r="R1599" s="3" t="n">
        <v>5.47762</v>
      </c>
      <c r="S1599" s="3" t="n">
        <v>5.551888</v>
      </c>
      <c r="T1599" s="3" t="n">
        <v>5.663133</v>
      </c>
      <c r="U1599" s="3" t="n">
        <v>5.77657</v>
      </c>
      <c r="V1599" s="3" t="n">
        <v>5.895062</v>
      </c>
      <c r="W1599" s="3" t="n">
        <v>6.01948</v>
      </c>
      <c r="X1599" s="3" t="n">
        <v>6.1402</v>
      </c>
      <c r="Y1599" s="3" t="n">
        <v>6.25673</v>
      </c>
      <c r="Z1599" s="3" t="n">
        <v>6.388781</v>
      </c>
      <c r="AA1599" s="3" t="n">
        <v>6.516907</v>
      </c>
      <c r="AB1599" s="3" t="n">
        <v>6.65445</v>
      </c>
      <c r="AC1599" s="3" t="n">
        <v>6.794895</v>
      </c>
      <c r="AD1599" s="3" t="n">
        <v>6.931166</v>
      </c>
      <c r="AE1599" s="3" t="n">
        <v>7.077451</v>
      </c>
      <c r="AF1599" s="3" t="n">
        <v>7.226824</v>
      </c>
      <c r="AG1599" s="3" t="n">
        <v>7.371757</v>
      </c>
      <c r="AH1599" s="3" t="n">
        <v>7.527342</v>
      </c>
      <c r="AI1599" s="3" t="n">
        <v>7.68621</v>
      </c>
      <c r="AJ1599" s="3" t="n">
        <v>7.840356</v>
      </c>
      <c r="AK1599" s="3" t="n">
        <v>8.00583</v>
      </c>
      <c r="AL1599" s="3" t="n">
        <v>8.174797</v>
      </c>
      <c r="AM1599" s="3" t="n"/>
      <c r="AN1599" s="3" t="n"/>
      <c r="AO1599" s="3" t="n"/>
      <c r="AP1599" s="3" t="n"/>
      <c r="AQ1599" s="3" t="n"/>
      <c r="AR1599" s="3" t="n"/>
      <c r="AS1599" s="3" t="n"/>
      <c r="AT1599" s="3" t="n"/>
      <c r="AU1599" s="3" t="n"/>
    </row>
    <row r="1600">
      <c r="A1600" s="3" t="n">
        <v>2031</v>
      </c>
      <c r="B1600" s="3" t="inlineStr">
        <is>
          <t>KGZ</t>
        </is>
      </c>
      <c r="C1600" s="3" t="inlineStr">
        <is>
          <t>IMF.RES:WEO</t>
        </is>
      </c>
      <c r="D1600" s="3" t="inlineStr">
        <is>
          <t>KGZ.NGDP.A</t>
        </is>
      </c>
      <c r="E1600" s="3" t="inlineStr">
        <is>
          <t>Kyrgyz Republic</t>
        </is>
      </c>
      <c r="F1600" s="3" t="inlineStr">
        <is>
          <t>Gross domestic product (GDP), Current prices, Domestic currency</t>
        </is>
      </c>
      <c r="G1600" s="3" t="n">
        <v>65.3579</v>
      </c>
      <c r="H1600" s="3" t="n">
        <v>73.88330000000001</v>
      </c>
      <c r="I1600" s="3" t="n">
        <v>75.36668400000001</v>
      </c>
      <c r="J1600" s="3" t="n">
        <v>83.871605</v>
      </c>
      <c r="K1600" s="3" t="n">
        <v>94.350731</v>
      </c>
      <c r="L1600" s="3" t="n">
        <v>100.8992</v>
      </c>
      <c r="M1600" s="3" t="n">
        <v>113.8001</v>
      </c>
      <c r="N1600" s="3" t="n">
        <v>141.8977</v>
      </c>
      <c r="O1600" s="3" t="n">
        <v>187.9919</v>
      </c>
      <c r="P1600" s="3" t="n">
        <v>201.2229</v>
      </c>
      <c r="Q1600" s="3" t="n">
        <v>220.3693</v>
      </c>
      <c r="R1600" s="3" t="n">
        <v>285.9891</v>
      </c>
      <c r="S1600" s="3" t="n">
        <v>310.4713</v>
      </c>
      <c r="T1600" s="3" t="n">
        <v>355.2948</v>
      </c>
      <c r="U1600" s="3" t="n">
        <v>400.694</v>
      </c>
      <c r="V1600" s="3" t="n">
        <v>430.4894</v>
      </c>
      <c r="W1600" s="3" t="n">
        <v>476.3312</v>
      </c>
      <c r="X1600" s="3" t="n">
        <v>530.476</v>
      </c>
      <c r="Y1600" s="3" t="n">
        <v>569.3856</v>
      </c>
      <c r="Z1600" s="3" t="n">
        <v>654.0152</v>
      </c>
      <c r="AA1600" s="3" t="n">
        <v>639.6886</v>
      </c>
      <c r="AB1600" s="3" t="n">
        <v>782.8543</v>
      </c>
      <c r="AC1600" s="3" t="n">
        <v>1020.7446</v>
      </c>
      <c r="AD1600" s="3" t="n">
        <v>1333.73</v>
      </c>
      <c r="AE1600" s="3" t="n">
        <v>1582.791</v>
      </c>
      <c r="AF1600" s="3" t="n">
        <v>1927.617634</v>
      </c>
      <c r="AG1600" s="3" t="n">
        <v>2260.442516</v>
      </c>
      <c r="AH1600" s="3" t="n">
        <v>2636.412952</v>
      </c>
      <c r="AI1600" s="3" t="n">
        <v>3035.003186</v>
      </c>
      <c r="AJ1600" s="3" t="n">
        <v>3451.995594</v>
      </c>
      <c r="AK1600" s="3" t="n">
        <v>3888.381272</v>
      </c>
      <c r="AL1600" s="3" t="n">
        <v>4358.074681</v>
      </c>
      <c r="AM1600" s="3" t="n"/>
      <c r="AN1600" s="3" t="n"/>
      <c r="AO1600" s="3" t="n"/>
      <c r="AP1600" s="3" t="n"/>
      <c r="AQ1600" s="3" t="n"/>
      <c r="AR1600" s="3" t="n"/>
      <c r="AS1600" s="3" t="n"/>
      <c r="AT1600" s="3" t="n"/>
      <c r="AU1600" s="3" t="n"/>
    </row>
    <row r="1601">
      <c r="A1601" s="3" t="n">
        <v>2031</v>
      </c>
      <c r="B1601" s="3" t="inlineStr">
        <is>
          <t>KGZ</t>
        </is>
      </c>
      <c r="C1601" s="3" t="inlineStr">
        <is>
          <t>IMF.RES:WEO</t>
        </is>
      </c>
      <c r="D1601" s="3" t="inlineStr">
        <is>
          <t>KGZ.NGDP_D.A</t>
        </is>
      </c>
      <c r="E1601" s="3" t="inlineStr">
        <is>
          <t>Kyrgyz Republic</t>
        </is>
      </c>
      <c r="F1601" s="3" t="inlineStr">
        <is>
          <t>Gross domestic product (GDP), Price deflator, Index</t>
        </is>
      </c>
      <c r="G1601" s="3" t="n">
        <v>77.999026</v>
      </c>
      <c r="H1601" s="3" t="n">
        <v>83.718192</v>
      </c>
      <c r="I1601" s="3" t="n">
        <v>85.413832</v>
      </c>
      <c r="J1601" s="3" t="n">
        <v>88.808993</v>
      </c>
      <c r="K1601" s="3" t="n">
        <v>93.345735</v>
      </c>
      <c r="L1601" s="3" t="n">
        <v>100</v>
      </c>
      <c r="M1601" s="3" t="n">
        <v>109.391618</v>
      </c>
      <c r="N1601" s="3" t="n">
        <v>125.665319</v>
      </c>
      <c r="O1601" s="3" t="n">
        <v>154.775883</v>
      </c>
      <c r="P1601" s="3" t="n">
        <v>161.02156</v>
      </c>
      <c r="Q1601" s="3" t="n">
        <v>177.178308</v>
      </c>
      <c r="R1601" s="3" t="n">
        <v>217.011256</v>
      </c>
      <c r="S1601" s="3" t="n">
        <v>235.796437</v>
      </c>
      <c r="T1601" s="3" t="n">
        <v>243.283418</v>
      </c>
      <c r="U1601" s="3" t="n">
        <v>263.756266</v>
      </c>
      <c r="V1601" s="3" t="n">
        <v>272.795951</v>
      </c>
      <c r="W1601" s="3" t="n">
        <v>289.301646</v>
      </c>
      <c r="X1601" s="3" t="n">
        <v>307.606357</v>
      </c>
      <c r="Y1601" s="3" t="n">
        <v>319.129441</v>
      </c>
      <c r="Z1601" s="3" t="n">
        <v>350.440225</v>
      </c>
      <c r="AA1601" s="3" t="n">
        <v>369.154384</v>
      </c>
      <c r="AB1601" s="3" t="n">
        <v>428.192498</v>
      </c>
      <c r="AC1601" s="3" t="n">
        <v>512.363515</v>
      </c>
      <c r="AD1601" s="3" t="n">
        <v>614.114805</v>
      </c>
      <c r="AE1601" s="3" t="n">
        <v>653.39484</v>
      </c>
      <c r="AF1601" s="3" t="n">
        <v>716.265936</v>
      </c>
      <c r="AG1601" s="3" t="n">
        <v>791.834381</v>
      </c>
      <c r="AH1601" s="3" t="n">
        <v>870.640705</v>
      </c>
      <c r="AI1601" s="3" t="n">
        <v>948.473496</v>
      </c>
      <c r="AJ1601" s="3" t="n">
        <v>1023.800447</v>
      </c>
      <c r="AK1601" s="3" t="n">
        <v>1095.274614</v>
      </c>
      <c r="AL1601" s="3" t="n">
        <v>1167.000958</v>
      </c>
      <c r="AM1601" s="3" t="n"/>
      <c r="AN1601" s="3" t="n"/>
      <c r="AO1601" s="3" t="n"/>
      <c r="AP1601" s="3" t="n"/>
      <c r="AQ1601" s="3" t="n"/>
      <c r="AR1601" s="3" t="n"/>
      <c r="AS1601" s="3" t="n"/>
      <c r="AT1601" s="3" t="n"/>
      <c r="AU1601" s="3" t="n"/>
    </row>
    <row r="1602">
      <c r="A1602" s="3" t="n">
        <v>2031</v>
      </c>
      <c r="B1602" s="3" t="inlineStr">
        <is>
          <t>KGZ</t>
        </is>
      </c>
      <c r="C1602" s="3" t="inlineStr">
        <is>
          <t>IMF.RES:WEO</t>
        </is>
      </c>
      <c r="D1602" s="3" t="inlineStr">
        <is>
          <t>KGZ.NGDP_R.A</t>
        </is>
      </c>
      <c r="E1602" s="3" t="inlineStr">
        <is>
          <t>Kyrgyz Republic</t>
        </is>
      </c>
      <c r="F1602" s="3" t="inlineStr">
        <is>
          <t>Gross domestic product (GDP), Constant prices, Domestic currency</t>
        </is>
      </c>
      <c r="G1602" s="3" t="n">
        <v>83.793226</v>
      </c>
      <c r="H1602" s="3" t="n">
        <v>88.25238400000001</v>
      </c>
      <c r="I1602" s="3" t="n">
        <v>88.237094</v>
      </c>
      <c r="J1602" s="3" t="n">
        <v>94.44044100000001</v>
      </c>
      <c r="K1602" s="3" t="n">
        <v>101.076638</v>
      </c>
      <c r="L1602" s="3" t="n">
        <v>100.8992</v>
      </c>
      <c r="M1602" s="3" t="n">
        <v>104.03</v>
      </c>
      <c r="N1602" s="3" t="n">
        <v>112.917153</v>
      </c>
      <c r="O1602" s="3" t="n">
        <v>121.460719</v>
      </c>
      <c r="P1602" s="3" t="n">
        <v>124.966433</v>
      </c>
      <c r="Q1602" s="3" t="n">
        <v>124.377133</v>
      </c>
      <c r="R1602" s="3" t="n">
        <v>131.785376</v>
      </c>
      <c r="S1602" s="3" t="n">
        <v>131.669207</v>
      </c>
      <c r="T1602" s="3" t="n">
        <v>146.041519</v>
      </c>
      <c r="U1602" s="3" t="n">
        <v>151.918287</v>
      </c>
      <c r="V1602" s="3" t="n">
        <v>157.806374</v>
      </c>
      <c r="W1602" s="3" t="n">
        <v>164.648631</v>
      </c>
      <c r="X1602" s="3" t="n">
        <v>172.452873</v>
      </c>
      <c r="Y1602" s="3" t="n">
        <v>178.418387</v>
      </c>
      <c r="Z1602" s="3" t="n">
        <v>186.626749</v>
      </c>
      <c r="AA1602" s="3" t="n">
        <v>173.284845</v>
      </c>
      <c r="AB1602" s="3" t="n">
        <v>182.827654</v>
      </c>
      <c r="AC1602" s="3" t="n">
        <v>199.222734</v>
      </c>
      <c r="AD1602" s="3" t="n">
        <v>217.179262</v>
      </c>
      <c r="AE1602" s="3" t="n">
        <v>242.241123</v>
      </c>
      <c r="AF1602" s="3" t="n">
        <v>269.120383</v>
      </c>
      <c r="AG1602" s="3" t="n">
        <v>285.469104</v>
      </c>
      <c r="AH1602" s="3" t="n">
        <v>302.812967</v>
      </c>
      <c r="AI1602" s="3" t="n">
        <v>319.988192</v>
      </c>
      <c r="AJ1602" s="3" t="n">
        <v>337.174652</v>
      </c>
      <c r="AK1602" s="3" t="n">
        <v>355.014279</v>
      </c>
      <c r="AL1602" s="3" t="n">
        <v>373.442254</v>
      </c>
      <c r="AM1602" s="3" t="n"/>
      <c r="AN1602" s="3" t="n"/>
      <c r="AO1602" s="3" t="n"/>
      <c r="AP1602" s="3" t="n"/>
      <c r="AQ1602" s="3" t="n"/>
      <c r="AR1602" s="3" t="n"/>
      <c r="AS1602" s="3" t="n"/>
      <c r="AT1602" s="3" t="n"/>
      <c r="AU1602" s="3" t="n"/>
    </row>
    <row r="1603">
      <c r="A1603" s="3" t="n">
        <v>2031</v>
      </c>
      <c r="B1603" s="3" t="inlineStr">
        <is>
          <t>KGZ</t>
        </is>
      </c>
      <c r="C1603" s="3" t="inlineStr">
        <is>
          <t>IMF.RES:WEO</t>
        </is>
      </c>
      <c r="D1603" s="3" t="inlineStr">
        <is>
          <t>KGZ.NGDP_RPCH.A</t>
        </is>
      </c>
      <c r="E1603" s="3" t="inlineStr">
        <is>
          <t>Kyrgyz Republic</t>
        </is>
      </c>
      <c r="F1603" s="3" t="inlineStr">
        <is>
          <t>Gross domestic product (GDP), Constant prices, Percent change</t>
        </is>
      </c>
      <c r="G1603" s="3" t="n">
        <v>5.443337</v>
      </c>
      <c r="H1603" s="3" t="n">
        <v>5.321621</v>
      </c>
      <c r="I1603" s="3" t="n">
        <v>-0.017325</v>
      </c>
      <c r="J1603" s="3" t="n">
        <v>7.030316</v>
      </c>
      <c r="K1603" s="3" t="n">
        <v>7.02686</v>
      </c>
      <c r="L1603" s="3" t="n">
        <v>-0.175548</v>
      </c>
      <c r="M1603" s="3" t="n">
        <v>3.102899</v>
      </c>
      <c r="N1603" s="3" t="n">
        <v>8.542875</v>
      </c>
      <c r="O1603" s="3" t="n">
        <v>7.566226</v>
      </c>
      <c r="P1603" s="3" t="n">
        <v>2.886295</v>
      </c>
      <c r="Q1603" s="3" t="n">
        <v>-0.471567</v>
      </c>
      <c r="R1603" s="3" t="n">
        <v>5.956274</v>
      </c>
      <c r="S1603" s="3" t="n">
        <v>-0.08815000000000001</v>
      </c>
      <c r="T1603" s="3" t="n">
        <v>10.915469</v>
      </c>
      <c r="U1603" s="3" t="n">
        <v>4.024039</v>
      </c>
      <c r="V1603" s="3" t="n">
        <v>3.875825</v>
      </c>
      <c r="W1603" s="3" t="n">
        <v>4.335856</v>
      </c>
      <c r="X1603" s="3" t="n">
        <v>4.739937</v>
      </c>
      <c r="Y1603" s="3" t="n">
        <v>3.459214</v>
      </c>
      <c r="Z1603" s="3" t="n">
        <v>4.600626</v>
      </c>
      <c r="AA1603" s="3" t="n">
        <v>-7.148978</v>
      </c>
      <c r="AB1603" s="3" t="n">
        <v>5.507008</v>
      </c>
      <c r="AC1603" s="3" t="n">
        <v>8.967504999999999</v>
      </c>
      <c r="AD1603" s="3" t="n">
        <v>9.013293000000001</v>
      </c>
      <c r="AE1603" s="3" t="n">
        <v>11.539712</v>
      </c>
      <c r="AF1603" s="3" t="n">
        <v>11.096076</v>
      </c>
      <c r="AG1603" s="3" t="n">
        <v>6.074873</v>
      </c>
      <c r="AH1603" s="3" t="n">
        <v>6.075566</v>
      </c>
      <c r="AI1603" s="3" t="n">
        <v>5.671892</v>
      </c>
      <c r="AJ1603" s="3" t="n">
        <v>5.370967</v>
      </c>
      <c r="AK1603" s="3" t="n">
        <v>5.290916</v>
      </c>
      <c r="AL1603" s="3" t="n">
        <v>5.19077</v>
      </c>
      <c r="AM1603" s="3" t="n"/>
      <c r="AN1603" s="3" t="n"/>
      <c r="AO1603" s="3" t="n"/>
      <c r="AP1603" s="3" t="n"/>
      <c r="AQ1603" s="3" t="n"/>
      <c r="AR1603" s="3" t="n"/>
      <c r="AS1603" s="3" t="n"/>
      <c r="AT1603" s="3" t="n"/>
      <c r="AU1603" s="3" t="n"/>
    </row>
    <row r="1604">
      <c r="A1604" s="3" t="n">
        <v>2031</v>
      </c>
      <c r="B1604" s="3" t="inlineStr">
        <is>
          <t>KGZ</t>
        </is>
      </c>
      <c r="C1604" s="3" t="inlineStr">
        <is>
          <t>IMF.RES:WEO</t>
        </is>
      </c>
      <c r="D1604" s="3" t="inlineStr">
        <is>
          <t>KGZ.NGDPD.A</t>
        </is>
      </c>
      <c r="E1604" s="3" t="inlineStr">
        <is>
          <t>Kyrgyz Republic</t>
        </is>
      </c>
      <c r="F1604" s="3" t="inlineStr">
        <is>
          <t>Gross domestic product (GDP), Current prices, US dollar</t>
        </is>
      </c>
      <c r="G1604" s="3" t="n">
        <v>1.368013</v>
      </c>
      <c r="H1604" s="3" t="n">
        <v>1.525399</v>
      </c>
      <c r="I1604" s="3" t="n">
        <v>1.606408</v>
      </c>
      <c r="J1604" s="3" t="n">
        <v>1.919527</v>
      </c>
      <c r="K1604" s="3" t="n">
        <v>2.214489</v>
      </c>
      <c r="L1604" s="3" t="n">
        <v>2.459011</v>
      </c>
      <c r="M1604" s="3" t="n">
        <v>2.836514</v>
      </c>
      <c r="N1604" s="3" t="n">
        <v>3.807039</v>
      </c>
      <c r="O1604" s="3" t="n">
        <v>5.139403</v>
      </c>
      <c r="P1604" s="3" t="n">
        <v>4.690061</v>
      </c>
      <c r="Q1604" s="3" t="n">
        <v>4.794362</v>
      </c>
      <c r="R1604" s="3" t="n">
        <v>6.197766</v>
      </c>
      <c r="S1604" s="3" t="n">
        <v>6.604063</v>
      </c>
      <c r="T1604" s="3" t="n">
        <v>7.335034</v>
      </c>
      <c r="U1604" s="3" t="n">
        <v>7.466916</v>
      </c>
      <c r="V1604" s="3" t="n">
        <v>6.678177</v>
      </c>
      <c r="W1604" s="3" t="n">
        <v>6.813095</v>
      </c>
      <c r="X1604" s="3" t="n">
        <v>7.702943</v>
      </c>
      <c r="Y1604" s="3" t="n">
        <v>8.271106</v>
      </c>
      <c r="Z1604" s="3" t="n">
        <v>9.372061</v>
      </c>
      <c r="AA1604" s="3" t="n">
        <v>8.282735000000001</v>
      </c>
      <c r="AB1604" s="3" t="n">
        <v>9.255675</v>
      </c>
      <c r="AC1604" s="3" t="n">
        <v>12.26919</v>
      </c>
      <c r="AD1604" s="3" t="n">
        <v>15.187111</v>
      </c>
      <c r="AE1604" s="3" t="n">
        <v>18.175315</v>
      </c>
      <c r="AF1604" s="3" t="n">
        <v>21.567364</v>
      </c>
      <c r="AG1604" s="3" t="n">
        <v>23.606214</v>
      </c>
      <c r="AH1604" s="3" t="n">
        <v>25.411868</v>
      </c>
      <c r="AI1604" s="3" t="n">
        <v>27.228363</v>
      </c>
      <c r="AJ1604" s="3" t="n">
        <v>29.097163</v>
      </c>
      <c r="AK1604" s="3" t="n">
        <v>30.854921</v>
      </c>
      <c r="AL1604" s="3" t="n">
        <v>32.491392</v>
      </c>
      <c r="AM1604" s="3" t="n"/>
      <c r="AN1604" s="3" t="n"/>
      <c r="AO1604" s="3" t="n"/>
      <c r="AP1604" s="3" t="n"/>
      <c r="AQ1604" s="3" t="n"/>
      <c r="AR1604" s="3" t="n"/>
      <c r="AS1604" s="3" t="n"/>
      <c r="AT1604" s="3" t="n"/>
      <c r="AU1604" s="3" t="n"/>
    </row>
    <row r="1605">
      <c r="A1605" s="3" t="n">
        <v>2031</v>
      </c>
      <c r="B1605" s="3" t="inlineStr">
        <is>
          <t>KGZ</t>
        </is>
      </c>
      <c r="C1605" s="3" t="inlineStr">
        <is>
          <t>IMF.RES:WEO</t>
        </is>
      </c>
      <c r="D1605" s="3" t="inlineStr">
        <is>
          <t>KGZ.NGDPPC.A</t>
        </is>
      </c>
      <c r="E1605" s="3" t="inlineStr">
        <is>
          <t>Kyrgyz Republic</t>
        </is>
      </c>
      <c r="F1605" s="3" t="inlineStr">
        <is>
          <t>Gross domestic product (GDP), Current prices, Per capita, Domestic currency</t>
        </is>
      </c>
      <c r="G1605" s="3" t="n">
        <v>13407.582051</v>
      </c>
      <c r="H1605" s="3" t="n">
        <v>15010.749638</v>
      </c>
      <c r="I1605" s="3" t="n">
        <v>15170.064163</v>
      </c>
      <c r="J1605" s="3" t="n">
        <v>16729.856388</v>
      </c>
      <c r="K1605" s="3" t="n">
        <v>18597.407776</v>
      </c>
      <c r="L1605" s="3" t="n">
        <v>19645.108018</v>
      </c>
      <c r="M1605" s="3" t="n">
        <v>21930.262213</v>
      </c>
      <c r="N1605" s="3" t="n">
        <v>27040.675056</v>
      </c>
      <c r="O1605" s="3" t="n">
        <v>35542.569354</v>
      </c>
      <c r="P1605" s="3" t="n">
        <v>37624.035807</v>
      </c>
      <c r="Q1605" s="3" t="n">
        <v>40671.306622</v>
      </c>
      <c r="R1605" s="3" t="n">
        <v>52210.46732</v>
      </c>
      <c r="S1605" s="3" t="n">
        <v>55921.751303</v>
      </c>
      <c r="T1605" s="3" t="n">
        <v>62738.20516</v>
      </c>
      <c r="U1605" s="3" t="n">
        <v>69365.384649</v>
      </c>
      <c r="V1605" s="3" t="n">
        <v>73025.423651</v>
      </c>
      <c r="W1605" s="3" t="n">
        <v>79131.619343</v>
      </c>
      <c r="X1605" s="3" t="n">
        <v>86393.928537</v>
      </c>
      <c r="Y1605" s="3" t="n">
        <v>91003.70321199999</v>
      </c>
      <c r="Z1605" s="3" t="n">
        <v>102369.322507</v>
      </c>
      <c r="AA1605" s="3" t="n">
        <v>98158.306463</v>
      </c>
      <c r="AB1605" s="3" t="n">
        <v>117643.73069</v>
      </c>
      <c r="AC1605" s="3" t="n">
        <v>150222.276545</v>
      </c>
      <c r="AD1605" s="3" t="n">
        <v>192425.058234</v>
      </c>
      <c r="AE1605" s="3" t="n">
        <v>223638.556306</v>
      </c>
      <c r="AF1605" s="3" t="n">
        <v>266730.942611</v>
      </c>
      <c r="AG1605" s="3" t="n">
        <v>306635.501386</v>
      </c>
      <c r="AH1605" s="3" t="n">
        <v>350244.888173</v>
      </c>
      <c r="AI1605" s="3" t="n">
        <v>394863.437003</v>
      </c>
      <c r="AJ1605" s="3" t="n">
        <v>440285.579367</v>
      </c>
      <c r="AK1605" s="3" t="n">
        <v>485693.702578</v>
      </c>
      <c r="AL1605" s="3" t="n">
        <v>533111.06809</v>
      </c>
      <c r="AM1605" s="3" t="n"/>
      <c r="AN1605" s="3" t="n"/>
      <c r="AO1605" s="3" t="n"/>
      <c r="AP1605" s="3" t="n"/>
      <c r="AQ1605" s="3" t="n"/>
      <c r="AR1605" s="3" t="n"/>
      <c r="AS1605" s="3" t="n"/>
      <c r="AT1605" s="3" t="n"/>
      <c r="AU1605" s="3" t="n"/>
    </row>
    <row r="1606">
      <c r="A1606" s="3" t="n">
        <v>2031</v>
      </c>
      <c r="B1606" s="3" t="inlineStr">
        <is>
          <t>KGZ</t>
        </is>
      </c>
      <c r="C1606" s="3" t="inlineStr">
        <is>
          <t>IMF.RES:WEO</t>
        </is>
      </c>
      <c r="D1606" s="3" t="inlineStr">
        <is>
          <t>KGZ.NGDPRPC.A</t>
        </is>
      </c>
      <c r="E1606" s="3" t="inlineStr">
        <is>
          <t>Kyrgyz Republic</t>
        </is>
      </c>
      <c r="F1606" s="3" t="inlineStr">
        <is>
          <t>Gross domestic product (GDP), Constant prices, Per capita, Domestic currency</t>
        </is>
      </c>
      <c r="G1606" s="3" t="n">
        <v>17189.422353</v>
      </c>
      <c r="H1606" s="3" t="n">
        <v>17930.092976</v>
      </c>
      <c r="I1606" s="3" t="n">
        <v>17760.664433</v>
      </c>
      <c r="J1606" s="3" t="n">
        <v>18838.020496</v>
      </c>
      <c r="K1606" s="3" t="n">
        <v>19923.146726</v>
      </c>
      <c r="L1606" s="3" t="n">
        <v>19645.108018</v>
      </c>
      <c r="M1606" s="3" t="n">
        <v>20047.479554</v>
      </c>
      <c r="N1606" s="3" t="n">
        <v>21518.009323</v>
      </c>
      <c r="O1606" s="3" t="n">
        <v>22963.893814</v>
      </c>
      <c r="P1606" s="3" t="n">
        <v>23365.837366</v>
      </c>
      <c r="Q1606" s="3" t="n">
        <v>22955.014699</v>
      </c>
      <c r="R1606" s="3" t="n">
        <v>24058.875281</v>
      </c>
      <c r="S1606" s="3" t="n">
        <v>23716.113749</v>
      </c>
      <c r="T1606" s="3" t="n">
        <v>25788.114012</v>
      </c>
      <c r="U1606" s="3" t="n">
        <v>26299.047121</v>
      </c>
      <c r="V1606" s="3" t="n">
        <v>26769.24759</v>
      </c>
      <c r="W1606" s="3" t="n">
        <v>27352.63365</v>
      </c>
      <c r="X1606" s="3" t="n">
        <v>28085.872286</v>
      </c>
      <c r="Y1606" s="3" t="n">
        <v>28516.235625</v>
      </c>
      <c r="Z1606" s="3" t="n">
        <v>29211.635842</v>
      </c>
      <c r="AA1606" s="3" t="n">
        <v>26590.042215</v>
      </c>
      <c r="AB1606" s="3" t="n">
        <v>27474.49597</v>
      </c>
      <c r="AC1606" s="3" t="n">
        <v>29319.471858</v>
      </c>
      <c r="AD1606" s="3" t="n">
        <v>31333.727311</v>
      </c>
      <c r="AE1606" s="3" t="n">
        <v>34227.169008</v>
      </c>
      <c r="AF1606" s="3" t="n">
        <v>37239.093629</v>
      </c>
      <c r="AG1606" s="3" t="n">
        <v>38724.701629</v>
      </c>
      <c r="AH1606" s="3" t="n">
        <v>40228.407193</v>
      </c>
      <c r="AI1606" s="3" t="n">
        <v>41631.467694</v>
      </c>
      <c r="AJ1606" s="3" t="n">
        <v>43005.019251</v>
      </c>
      <c r="AK1606" s="3" t="n">
        <v>44344.468173</v>
      </c>
      <c r="AL1606" s="3" t="n">
        <v>45682.144867</v>
      </c>
      <c r="AM1606" s="3" t="n"/>
      <c r="AN1606" s="3" t="n"/>
      <c r="AO1606" s="3" t="n"/>
      <c r="AP1606" s="3" t="n"/>
      <c r="AQ1606" s="3" t="n"/>
      <c r="AR1606" s="3" t="n"/>
      <c r="AS1606" s="3" t="n"/>
      <c r="AT1606" s="3" t="n"/>
      <c r="AU1606" s="3" t="n"/>
    </row>
    <row r="1607">
      <c r="A1607" s="3" t="n">
        <v>2031</v>
      </c>
      <c r="B1607" s="3" t="inlineStr">
        <is>
          <t>KGZ</t>
        </is>
      </c>
      <c r="C1607" s="3" t="inlineStr">
        <is>
          <t>IMF.RES:WEO</t>
        </is>
      </c>
      <c r="D1607" s="3" t="inlineStr">
        <is>
          <t>KGZ.PCPI.A</t>
        </is>
      </c>
      <c r="E1607" s="3" t="inlineStr">
        <is>
          <t>Kyrgyz Republic</t>
        </is>
      </c>
      <c r="F1607" s="3" t="inlineStr">
        <is>
          <t>All Items, Consumer price index (CPI), Period average</t>
        </is>
      </c>
      <c r="G1607" s="3" t="n">
        <v>48.986898</v>
      </c>
      <c r="H1607" s="3" t="n">
        <v>52.376634</v>
      </c>
      <c r="I1607" s="3" t="n">
        <v>53.494461</v>
      </c>
      <c r="J1607" s="3" t="n">
        <v>55.085719</v>
      </c>
      <c r="K1607" s="3" t="n">
        <v>57.350101</v>
      </c>
      <c r="L1607" s="3" t="n">
        <v>59.838334</v>
      </c>
      <c r="M1607" s="3" t="n">
        <v>63.160633</v>
      </c>
      <c r="N1607" s="3" t="n">
        <v>69.62203100000001</v>
      </c>
      <c r="O1607" s="3" t="n">
        <v>86.69342399999999</v>
      </c>
      <c r="P1607" s="3" t="n">
        <v>92.62027399999999</v>
      </c>
      <c r="Q1607" s="3" t="n">
        <v>100</v>
      </c>
      <c r="R1607" s="3" t="n">
        <v>116.636326</v>
      </c>
      <c r="S1607" s="3" t="n">
        <v>119.865336</v>
      </c>
      <c r="T1607" s="3" t="n">
        <v>127.792932</v>
      </c>
      <c r="U1607" s="3" t="n">
        <v>137.421167</v>
      </c>
      <c r="V1607" s="3" t="n">
        <v>146.358103</v>
      </c>
      <c r="W1607" s="3" t="n">
        <v>146.9272</v>
      </c>
      <c r="X1607" s="3" t="n">
        <v>151.592594</v>
      </c>
      <c r="Y1607" s="3" t="n">
        <v>153.931154</v>
      </c>
      <c r="Z1607" s="3" t="n">
        <v>155.680353</v>
      </c>
      <c r="AA1607" s="3" t="n">
        <v>165.523328</v>
      </c>
      <c r="AB1607" s="3" t="n">
        <v>185.234551</v>
      </c>
      <c r="AC1607" s="3" t="n">
        <v>211.00063</v>
      </c>
      <c r="AD1607" s="3" t="n">
        <v>233.781749</v>
      </c>
      <c r="AE1607" s="3" t="n">
        <v>245.518783</v>
      </c>
      <c r="AF1607" s="3" t="n">
        <v>265.681753</v>
      </c>
      <c r="AG1607" s="3" t="n">
        <v>293.712064</v>
      </c>
      <c r="AH1607" s="3" t="n">
        <v>322.943389</v>
      </c>
      <c r="AI1607" s="3" t="n">
        <v>351.813604</v>
      </c>
      <c r="AJ1607" s="3" t="n">
        <v>379.754339</v>
      </c>
      <c r="AK1607" s="3" t="n">
        <v>406.265975</v>
      </c>
      <c r="AL1607" s="3" t="n">
        <v>432.871151</v>
      </c>
      <c r="AM1607" s="3" t="n"/>
      <c r="AN1607" s="3" t="n"/>
      <c r="AO1607" s="3" t="n"/>
      <c r="AP1607" s="3" t="n"/>
      <c r="AQ1607" s="3" t="n"/>
      <c r="AR1607" s="3" t="n"/>
      <c r="AS1607" s="3" t="n"/>
      <c r="AT1607" s="3" t="n"/>
      <c r="AU1607" s="3" t="n"/>
    </row>
    <row r="1608">
      <c r="A1608" s="3" t="n">
        <v>2031</v>
      </c>
      <c r="B1608" s="3" t="inlineStr">
        <is>
          <t>KGZ</t>
        </is>
      </c>
      <c r="C1608" s="3" t="inlineStr">
        <is>
          <t>IMF.RES:WEO</t>
        </is>
      </c>
      <c r="D1608" s="3" t="inlineStr">
        <is>
          <t>KGZ.PCPIPCH.A</t>
        </is>
      </c>
      <c r="E1608" s="3" t="inlineStr">
        <is>
          <t>Kyrgyz Republic</t>
        </is>
      </c>
      <c r="F1608" s="3" t="inlineStr">
        <is>
          <t>All Items, Consumer price index (CPI), Period average, percent change</t>
        </is>
      </c>
      <c r="G1608" s="3" t="n">
        <v>19.687757</v>
      </c>
      <c r="H1608" s="3" t="n">
        <v>6.91968</v>
      </c>
      <c r="I1608" s="3" t="n">
        <v>2.13421</v>
      </c>
      <c r="J1608" s="3" t="n">
        <v>2.974622</v>
      </c>
      <c r="K1608" s="3" t="n">
        <v>4.11065</v>
      </c>
      <c r="L1608" s="3" t="n">
        <v>4.338674</v>
      </c>
      <c r="M1608" s="3" t="n">
        <v>5.552123</v>
      </c>
      <c r="N1608" s="3" t="n">
        <v>10.230103</v>
      </c>
      <c r="O1608" s="3" t="n">
        <v>24.520102</v>
      </c>
      <c r="P1608" s="3" t="n">
        <v>6.836562</v>
      </c>
      <c r="Q1608" s="3" t="n">
        <v>7.967722</v>
      </c>
      <c r="R1608" s="3" t="n">
        <v>16.636326</v>
      </c>
      <c r="S1608" s="3" t="n">
        <v>2.768442</v>
      </c>
      <c r="T1608" s="3" t="n">
        <v>6.613752</v>
      </c>
      <c r="U1608" s="3" t="n">
        <v>7.534247</v>
      </c>
      <c r="V1608" s="3" t="n">
        <v>6.503318</v>
      </c>
      <c r="W1608" s="3" t="n">
        <v>0.388838</v>
      </c>
      <c r="X1608" s="3" t="n">
        <v>3.17531</v>
      </c>
      <c r="Y1608" s="3" t="n">
        <v>1.542661</v>
      </c>
      <c r="Z1608" s="3" t="n">
        <v>1.136351</v>
      </c>
      <c r="AA1608" s="3" t="n">
        <v>6.322554</v>
      </c>
      <c r="AB1608" s="3" t="n">
        <v>11.908426</v>
      </c>
      <c r="AC1608" s="3" t="n">
        <v>13.909974</v>
      </c>
      <c r="AD1608" s="3" t="n">
        <v>10.796707</v>
      </c>
      <c r="AE1608" s="3" t="n">
        <v>5.020509</v>
      </c>
      <c r="AF1608" s="3" t="n">
        <v>8.212394</v>
      </c>
      <c r="AG1608" s="3" t="n">
        <v>10.550333</v>
      </c>
      <c r="AH1608" s="3" t="n">
        <v>9.952375</v>
      </c>
      <c r="AI1608" s="3" t="n">
        <v>8.939714</v>
      </c>
      <c r="AJ1608" s="3" t="n">
        <v>7.941914</v>
      </c>
      <c r="AK1608" s="3" t="n">
        <v>6.98126</v>
      </c>
      <c r="AL1608" s="3" t="n">
        <v>6.548709</v>
      </c>
      <c r="AM1608" s="3" t="n"/>
      <c r="AN1608" s="3" t="n"/>
      <c r="AO1608" s="3" t="n"/>
      <c r="AP1608" s="3" t="n"/>
      <c r="AQ1608" s="3" t="n"/>
      <c r="AR1608" s="3" t="n"/>
      <c r="AS1608" s="3" t="n"/>
      <c r="AT1608" s="3" t="n"/>
      <c r="AU1608" s="3" t="n"/>
    </row>
    <row r="1609">
      <c r="A1609" s="3" t="n">
        <v>2031</v>
      </c>
      <c r="B1609" s="3" t="inlineStr">
        <is>
          <t>KGZ</t>
        </is>
      </c>
      <c r="C1609" s="3" t="inlineStr">
        <is>
          <t>IMF.RES:WEO</t>
        </is>
      </c>
      <c r="D1609" s="3" t="inlineStr">
        <is>
          <t>KGZ.PPPPC.A</t>
        </is>
      </c>
      <c r="E1609" s="3" t="inlineStr">
        <is>
          <t>Kyrgyz Republic</t>
        </is>
      </c>
      <c r="F1609" s="3" t="inlineStr">
        <is>
          <t>Gross domestic product (GDP), Per capita, purchasing power parity (PPP) international dollar, ICP benchmarks 2017-2021</t>
        </is>
      </c>
      <c r="G1609" s="3" t="n">
        <v>2264.600954</v>
      </c>
      <c r="H1609" s="3" t="n">
        <v>2415.367086</v>
      </c>
      <c r="I1609" s="3" t="n">
        <v>2429.724306</v>
      </c>
      <c r="J1609" s="3" t="n">
        <v>2627.988305</v>
      </c>
      <c r="K1609" s="3" t="n">
        <v>2854.102189</v>
      </c>
      <c r="L1609" s="3" t="n">
        <v>2902.522105</v>
      </c>
      <c r="M1609" s="3" t="n">
        <v>3053.315342</v>
      </c>
      <c r="N1609" s="3" t="n">
        <v>3366.073656</v>
      </c>
      <c r="O1609" s="3" t="n">
        <v>3661.455725</v>
      </c>
      <c r="P1609" s="3" t="n">
        <v>3748.520211</v>
      </c>
      <c r="Q1609" s="3" t="n">
        <v>3727.370547</v>
      </c>
      <c r="R1609" s="3" t="n">
        <v>3987.21543</v>
      </c>
      <c r="S1609" s="3" t="n">
        <v>4003.592019</v>
      </c>
      <c r="T1609" s="3" t="n">
        <v>4427.467545</v>
      </c>
      <c r="U1609" s="3" t="n">
        <v>4593.829489</v>
      </c>
      <c r="V1609" s="3" t="n">
        <v>4719.357954</v>
      </c>
      <c r="W1609" s="3" t="n">
        <v>4868.029353</v>
      </c>
      <c r="X1609" s="3" t="n">
        <v>5088.044092</v>
      </c>
      <c r="Y1609" s="3" t="n">
        <v>4921.010515</v>
      </c>
      <c r="Z1609" s="3" t="n">
        <v>5471.462872</v>
      </c>
      <c r="AA1609" s="3" t="n">
        <v>5345.187792</v>
      </c>
      <c r="AB1609" s="3" t="n">
        <v>5906.108342</v>
      </c>
      <c r="AC1609" s="3" t="n">
        <v>6750.992504</v>
      </c>
      <c r="AD1609" s="3" t="n">
        <v>7481.737014</v>
      </c>
      <c r="AE1609" s="3" t="n">
        <v>8375.509959000001</v>
      </c>
      <c r="AF1609" s="3" t="n">
        <v>9371.040069999999</v>
      </c>
      <c r="AG1609" s="3" t="n">
        <v>10024.062681</v>
      </c>
      <c r="AH1609" s="3" t="n">
        <v>10641.969556</v>
      </c>
      <c r="AI1609" s="3" t="n">
        <v>11193.901849</v>
      </c>
      <c r="AJ1609" s="3" t="n">
        <v>11768.830139</v>
      </c>
      <c r="AK1609" s="3" t="n">
        <v>12358.377093</v>
      </c>
      <c r="AL1609" s="3" t="n">
        <v>12961.010857</v>
      </c>
      <c r="AM1609" s="3" t="n"/>
      <c r="AN1609" s="3" t="n"/>
      <c r="AO1609" s="3" t="n"/>
      <c r="AP1609" s="3" t="n"/>
      <c r="AQ1609" s="3" t="n"/>
      <c r="AR1609" s="3" t="n"/>
      <c r="AS1609" s="3" t="n"/>
      <c r="AT1609" s="3" t="n"/>
      <c r="AU1609" s="3" t="n"/>
    </row>
    <row r="1610">
      <c r="A1610" s="3" t="n">
        <v>2025</v>
      </c>
      <c r="B1610" s="3" t="inlineStr">
        <is>
          <t>KGZ</t>
        </is>
      </c>
      <c r="C1610" s="3" t="inlineStr">
        <is>
          <t>IMF.STA:ER</t>
        </is>
      </c>
      <c r="D1610" s="3" t="inlineStr">
        <is>
          <t>KGZ.XDC_USD.PA_RT.A</t>
        </is>
      </c>
      <c r="E1610" s="3" t="inlineStr">
        <is>
          <t>Kyrgyz Republic</t>
        </is>
      </c>
      <c r="F1610" s="3" t="inlineStr">
        <is>
          <t>Domestic currency per US Dollar</t>
        </is>
      </c>
      <c r="G1610" s="3" t="n">
        <v>47.7038333333333</v>
      </c>
      <c r="H1610" s="3" t="n">
        <v>48.3779583333333</v>
      </c>
      <c r="I1610" s="3" t="n">
        <v>46.9370666666666</v>
      </c>
      <c r="J1610" s="3" t="n">
        <v>43.648375</v>
      </c>
      <c r="K1610" s="3" t="n">
        <v>42.6499416666666</v>
      </c>
      <c r="L1610" s="3" t="n">
        <v>41.0118205059348</v>
      </c>
      <c r="M1610" s="3" t="n">
        <v>40.1528999454204</v>
      </c>
      <c r="N1610" s="3" t="n">
        <v>37.3162568055555</v>
      </c>
      <c r="O1610" s="3" t="n">
        <v>36.5745916666666</v>
      </c>
      <c r="P1610" s="3" t="n">
        <v>42.9041083333333</v>
      </c>
      <c r="Q1610" s="3" t="n">
        <v>45.9642614008138</v>
      </c>
      <c r="R1610" s="3" t="n">
        <v>46.1439013172043</v>
      </c>
      <c r="S1610" s="3" t="n">
        <v>47.0044791422568</v>
      </c>
      <c r="T1610" s="3" t="n">
        <v>48.4380590087726</v>
      </c>
      <c r="U1610" s="3" t="n">
        <v>53.654058312852</v>
      </c>
      <c r="V1610" s="3" t="n">
        <v>64.46210827252941</v>
      </c>
      <c r="W1610" s="3" t="n">
        <v>69.9140658252997</v>
      </c>
      <c r="X1610" s="3" t="n">
        <v>68.8666678590629</v>
      </c>
      <c r="Y1610" s="3" t="n">
        <v>68.84032032770089</v>
      </c>
      <c r="Z1610" s="3" t="n">
        <v>69.78934918074749</v>
      </c>
      <c r="AA1610" s="3" t="n">
        <v>77.3461127039303</v>
      </c>
      <c r="AB1610" s="3" t="n">
        <v>84.6408220065284</v>
      </c>
      <c r="AC1610" s="3" t="n">
        <v>84.1162225704045</v>
      </c>
      <c r="AD1610" s="3" t="n">
        <v>87.8561255862775</v>
      </c>
      <c r="AE1610" s="3" t="n">
        <v>87.1503126405883</v>
      </c>
      <c r="AF1610" s="3" t="n">
        <v>87.1503126405883</v>
      </c>
      <c r="AG1610" s="3" t="n"/>
      <c r="AH1610" s="3" t="n"/>
      <c r="AI1610" s="3" t="n"/>
      <c r="AJ1610" s="3" t="n"/>
      <c r="AK1610" s="3" t="n"/>
      <c r="AL1610" s="3" t="n"/>
      <c r="AM1610" s="3" t="n"/>
      <c r="AN1610" s="3" t="n"/>
      <c r="AO1610" s="3" t="n"/>
      <c r="AP1610" s="3" t="n"/>
      <c r="AQ1610" s="3" t="n"/>
      <c r="AR1610" s="3" t="n"/>
      <c r="AS1610" s="3" t="n"/>
      <c r="AT1610" s="3" t="n"/>
      <c r="AU1610" s="3" t="n"/>
    </row>
    <row r="1611">
      <c r="A1611" s="3" t="n">
        <v>2031</v>
      </c>
      <c r="B1611" s="3" t="inlineStr">
        <is>
          <t>KHM</t>
        </is>
      </c>
      <c r="C1611" s="3" t="inlineStr">
        <is>
          <t>IMF.RES:WEO</t>
        </is>
      </c>
      <c r="D1611" s="3" t="inlineStr">
        <is>
          <t>KHM.BCA.A</t>
        </is>
      </c>
      <c r="E1611" s="3" t="inlineStr">
        <is>
          <t>Cambodia</t>
        </is>
      </c>
      <c r="F1611" s="3" t="inlineStr">
        <is>
          <t>Current account balance (credit less debit), US dollar</t>
        </is>
      </c>
      <c r="G1611" s="3" t="n">
        <v>-0.09632400000000001</v>
      </c>
      <c r="H1611" s="3" t="n">
        <v>-0.038709</v>
      </c>
      <c r="I1611" s="3" t="n">
        <v>-0.09721399999999999</v>
      </c>
      <c r="J1611" s="3" t="n">
        <v>-0.166048</v>
      </c>
      <c r="K1611" s="3" t="n">
        <v>-0.115736</v>
      </c>
      <c r="L1611" s="3" t="n">
        <v>-0.240387</v>
      </c>
      <c r="M1611" s="3" t="n">
        <v>-0.046914</v>
      </c>
      <c r="N1611" s="3" t="n">
        <v>-0.14254</v>
      </c>
      <c r="O1611" s="3" t="n">
        <v>-0.68467</v>
      </c>
      <c r="P1611" s="3" t="n">
        <v>-1.030313</v>
      </c>
      <c r="Q1611" s="3" t="n">
        <v>-0.992752</v>
      </c>
      <c r="R1611" s="3" t="n">
        <v>-1.048569</v>
      </c>
      <c r="S1611" s="3" t="n">
        <v>-1.236</v>
      </c>
      <c r="T1611" s="3" t="n">
        <v>-1.401398</v>
      </c>
      <c r="U1611" s="3" t="n">
        <v>-1.599474</v>
      </c>
      <c r="V1611" s="3" t="n">
        <v>-1.754978</v>
      </c>
      <c r="W1611" s="3" t="n">
        <v>-1.819842</v>
      </c>
      <c r="X1611" s="3" t="n">
        <v>-1.895855</v>
      </c>
      <c r="Y1611" s="3" t="n">
        <v>-2.952346</v>
      </c>
      <c r="Z1611" s="3" t="n">
        <v>-3.003374</v>
      </c>
      <c r="AA1611" s="3" t="n">
        <v>-0.338233</v>
      </c>
      <c r="AB1611" s="3" t="n">
        <v>-10.885933</v>
      </c>
      <c r="AC1611" s="3" t="n">
        <v>-7.572269</v>
      </c>
      <c r="AD1611" s="3" t="n">
        <v>0.554459</v>
      </c>
      <c r="AE1611" s="3" t="n">
        <v>0.228233</v>
      </c>
      <c r="AF1611" s="3" t="n">
        <v>-1.415089</v>
      </c>
      <c r="AG1611" s="3" t="n">
        <v>-3.29152</v>
      </c>
      <c r="AH1611" s="3" t="n">
        <v>-3.708416</v>
      </c>
      <c r="AI1611" s="3" t="n">
        <v>-4.381897</v>
      </c>
      <c r="AJ1611" s="3" t="n">
        <v>-4.579434</v>
      </c>
      <c r="AK1611" s="3" t="n">
        <v>-4.785672</v>
      </c>
      <c r="AL1611" s="3" t="n">
        <v>-5.16724</v>
      </c>
      <c r="AM1611" s="3" t="n"/>
      <c r="AN1611" s="3" t="n"/>
      <c r="AO1611" s="3" t="n"/>
      <c r="AP1611" s="3" t="n"/>
      <c r="AQ1611" s="3" t="n"/>
      <c r="AR1611" s="3" t="n"/>
      <c r="AS1611" s="3" t="n"/>
      <c r="AT1611" s="3" t="n"/>
      <c r="AU1611" s="3" t="n"/>
    </row>
    <row r="1612">
      <c r="A1612" s="3" t="n">
        <v>2031</v>
      </c>
      <c r="B1612" s="3" t="inlineStr">
        <is>
          <t>KHM</t>
        </is>
      </c>
      <c r="C1612" s="3" t="inlineStr">
        <is>
          <t>IMF.RES:WEO</t>
        </is>
      </c>
      <c r="D1612" s="3" t="inlineStr">
        <is>
          <t>KHM.BCA_NGDPD.A</t>
        </is>
      </c>
      <c r="E1612" s="3" t="inlineStr">
        <is>
          <t>Cambodia</t>
        </is>
      </c>
      <c r="F1612" s="3" t="inlineStr">
        <is>
          <t>Current account balance (credit less debit), Percent of GDP</t>
        </is>
      </c>
      <c r="G1612" s="3" t="n">
        <v>-2.544564</v>
      </c>
      <c r="H1612" s="3" t="n">
        <v>-0.935346</v>
      </c>
      <c r="I1612" s="3" t="n">
        <v>-2.152584</v>
      </c>
      <c r="J1612" s="3" t="n">
        <v>-3.273334</v>
      </c>
      <c r="K1612" s="3" t="n">
        <v>-1.936061</v>
      </c>
      <c r="L1612" s="3" t="n">
        <v>-3.36426</v>
      </c>
      <c r="M1612" s="3" t="n">
        <v>-0.560221</v>
      </c>
      <c r="N1612" s="3" t="n">
        <v>-1.421442</v>
      </c>
      <c r="O1612" s="3" t="n">
        <v>-5.569972</v>
      </c>
      <c r="P1612" s="3" t="n">
        <v>-8.050437000000001</v>
      </c>
      <c r="Q1612" s="3" t="n">
        <v>-7.235727</v>
      </c>
      <c r="R1612" s="3" t="n">
        <v>-6.530914</v>
      </c>
      <c r="S1612" s="3" t="n">
        <v>-6.960512</v>
      </c>
      <c r="T1612" s="3" t="n">
        <v>-7.121245</v>
      </c>
      <c r="U1612" s="3" t="n">
        <v>-7.212524</v>
      </c>
      <c r="V1612" s="3" t="n">
        <v>-7.288136</v>
      </c>
      <c r="W1612" s="3" t="n">
        <v>-6.866747</v>
      </c>
      <c r="X1612" s="3" t="n">
        <v>-6.510295</v>
      </c>
      <c r="Y1612" s="3" t="n">
        <v>-8.99044</v>
      </c>
      <c r="Z1612" s="3" t="n">
        <v>-8.347472</v>
      </c>
      <c r="AA1612" s="3" t="n">
        <v>-0.9804619999999999</v>
      </c>
      <c r="AB1612" s="3" t="n">
        <v>-30.096711</v>
      </c>
      <c r="AC1612" s="3" t="n">
        <v>-19.189332</v>
      </c>
      <c r="AD1612" s="3" t="n">
        <v>1.307555</v>
      </c>
      <c r="AE1612" s="3" t="n">
        <v>0.495103</v>
      </c>
      <c r="AF1612" s="3" t="n">
        <v>-2.871038</v>
      </c>
      <c r="AG1612" s="3" t="n">
        <v>-6.284046</v>
      </c>
      <c r="AH1612" s="3" t="n">
        <v>-6.608613</v>
      </c>
      <c r="AI1612" s="3" t="n">
        <v>-7.255938</v>
      </c>
      <c r="AJ1612" s="3" t="n">
        <v>-7.028263</v>
      </c>
      <c r="AK1612" s="3" t="n">
        <v>-6.800837</v>
      </c>
      <c r="AL1612" s="3" t="n">
        <v>-6.792838</v>
      </c>
      <c r="AM1612" s="3" t="n"/>
      <c r="AN1612" s="3" t="n"/>
      <c r="AO1612" s="3" t="n"/>
      <c r="AP1612" s="3" t="n"/>
      <c r="AQ1612" s="3" t="n"/>
      <c r="AR1612" s="3" t="n"/>
      <c r="AS1612" s="3" t="n"/>
      <c r="AT1612" s="3" t="n"/>
      <c r="AU1612" s="3" t="n"/>
    </row>
    <row r="1613">
      <c r="A1613" s="3" t="n">
        <v>2031</v>
      </c>
      <c r="B1613" s="3" t="inlineStr">
        <is>
          <t>KHM</t>
        </is>
      </c>
      <c r="C1613" s="3" t="inlineStr">
        <is>
          <t>IMF.RES:WEO</t>
        </is>
      </c>
      <c r="D1613" s="3" t="inlineStr">
        <is>
          <t>KHM.GGR_NGDP.A</t>
        </is>
      </c>
      <c r="E1613" s="3" t="inlineStr">
        <is>
          <t>Cambodia</t>
        </is>
      </c>
      <c r="F1613" s="3" t="inlineStr">
        <is>
          <t>Revenue, General government, Percent of GDP</t>
        </is>
      </c>
      <c r="G1613" s="3" t="n">
        <v>9.908166</v>
      </c>
      <c r="H1613" s="3" t="n">
        <v>9.632441999999999</v>
      </c>
      <c r="I1613" s="3" t="n">
        <v>9.971698</v>
      </c>
      <c r="J1613" s="3" t="n">
        <v>8.8102</v>
      </c>
      <c r="K1613" s="3" t="n">
        <v>9.192665999999999</v>
      </c>
      <c r="L1613" s="3" t="n">
        <v>10.510839</v>
      </c>
      <c r="M1613" s="3" t="n">
        <v>11.090685</v>
      </c>
      <c r="N1613" s="3" t="n">
        <v>13.021663</v>
      </c>
      <c r="O1613" s="3" t="n">
        <v>13.364338</v>
      </c>
      <c r="P1613" s="3" t="n">
        <v>12.680719</v>
      </c>
      <c r="Q1613" s="3" t="n">
        <v>14.00554</v>
      </c>
      <c r="R1613" s="3" t="n">
        <v>12.692904</v>
      </c>
      <c r="S1613" s="3" t="n">
        <v>13.579578</v>
      </c>
      <c r="T1613" s="3" t="n">
        <v>14.5082</v>
      </c>
      <c r="U1613" s="3" t="n">
        <v>15.119515</v>
      </c>
      <c r="V1613" s="3" t="n">
        <v>13.898284</v>
      </c>
      <c r="W1613" s="3" t="n">
        <v>14.98929</v>
      </c>
      <c r="X1613" s="3" t="n">
        <v>15.562444</v>
      </c>
      <c r="Y1613" s="3" t="n">
        <v>16.522161</v>
      </c>
      <c r="Z1613" s="3" t="n">
        <v>20.160494</v>
      </c>
      <c r="AA1613" s="3" t="n">
        <v>17.984584</v>
      </c>
      <c r="AB1613" s="3" t="n">
        <v>16.085137</v>
      </c>
      <c r="AC1613" s="3" t="n">
        <v>18.253992</v>
      </c>
      <c r="AD1613" s="3" t="n">
        <v>16.241261</v>
      </c>
      <c r="AE1613" s="3" t="n">
        <v>15.112461</v>
      </c>
      <c r="AF1613" s="3" t="n">
        <v>15.307146</v>
      </c>
      <c r="AG1613" s="3" t="n">
        <v>15.149495</v>
      </c>
      <c r="AH1613" s="3" t="n">
        <v>15.219293</v>
      </c>
      <c r="AI1613" s="3" t="n">
        <v>15.289875</v>
      </c>
      <c r="AJ1613" s="3" t="n">
        <v>15.362652</v>
      </c>
      <c r="AK1613" s="3" t="n">
        <v>15.438517</v>
      </c>
      <c r="AL1613" s="3" t="n">
        <v>15.517391</v>
      </c>
      <c r="AM1613" s="3" t="n"/>
      <c r="AN1613" s="3" t="n"/>
      <c r="AO1613" s="3" t="n"/>
      <c r="AP1613" s="3" t="n"/>
      <c r="AQ1613" s="3" t="n"/>
      <c r="AR1613" s="3" t="n"/>
      <c r="AS1613" s="3" t="n"/>
      <c r="AT1613" s="3" t="n"/>
      <c r="AU1613" s="3" t="n"/>
    </row>
    <row r="1614">
      <c r="A1614" s="3" t="n">
        <v>2031</v>
      </c>
      <c r="B1614" s="3" t="inlineStr">
        <is>
          <t>KHM</t>
        </is>
      </c>
      <c r="C1614" s="3" t="inlineStr">
        <is>
          <t>IMF.RES:WEO</t>
        </is>
      </c>
      <c r="D1614" s="3" t="inlineStr">
        <is>
          <t>KHM.GGX_NGDP.A</t>
        </is>
      </c>
      <c r="E1614" s="3" t="inlineStr">
        <is>
          <t>Cambodia</t>
        </is>
      </c>
      <c r="F1614" s="3" t="inlineStr">
        <is>
          <t>Expenditure, General government, Percent of GDP</t>
        </is>
      </c>
      <c r="G1614" s="3" t="n">
        <v>14.572438</v>
      </c>
      <c r="H1614" s="3" t="n">
        <v>14.596494</v>
      </c>
      <c r="I1614" s="3" t="n">
        <v>16.03238</v>
      </c>
      <c r="J1614" s="3" t="n">
        <v>14.482772</v>
      </c>
      <c r="K1614" s="3" t="n">
        <v>12.370314</v>
      </c>
      <c r="L1614" s="3" t="n">
        <v>10.848862</v>
      </c>
      <c r="M1614" s="3" t="n">
        <v>11.240272</v>
      </c>
      <c r="N1614" s="3" t="n">
        <v>12.3962</v>
      </c>
      <c r="O1614" s="3" t="n">
        <v>12.941085</v>
      </c>
      <c r="P1614" s="3" t="n">
        <v>16.562477</v>
      </c>
      <c r="Q1614" s="3" t="n">
        <v>17.11265</v>
      </c>
      <c r="R1614" s="3" t="n">
        <v>16.440838</v>
      </c>
      <c r="S1614" s="3" t="n">
        <v>17.161293</v>
      </c>
      <c r="T1614" s="3" t="n">
        <v>16.532634</v>
      </c>
      <c r="U1614" s="3" t="n">
        <v>16.356653</v>
      </c>
      <c r="V1614" s="3" t="n">
        <v>14.54923</v>
      </c>
      <c r="W1614" s="3" t="n">
        <v>15.282303</v>
      </c>
      <c r="X1614" s="3" t="n">
        <v>16.332892</v>
      </c>
      <c r="Y1614" s="3" t="n">
        <v>16.24152</v>
      </c>
      <c r="Z1614" s="3" t="n">
        <v>17.929787</v>
      </c>
      <c r="AA1614" s="3" t="n">
        <v>20.542193</v>
      </c>
      <c r="AB1614" s="3" t="n">
        <v>21.352066</v>
      </c>
      <c r="AC1614" s="3" t="n">
        <v>18.544804</v>
      </c>
      <c r="AD1614" s="3" t="n">
        <v>19.069519</v>
      </c>
      <c r="AE1614" s="3" t="n">
        <v>16.558661</v>
      </c>
      <c r="AF1614" s="3" t="n">
        <v>16.307367</v>
      </c>
      <c r="AG1614" s="3" t="n">
        <v>18.82635</v>
      </c>
      <c r="AH1614" s="3" t="n">
        <v>18.78331</v>
      </c>
      <c r="AI1614" s="3" t="n">
        <v>18.790951</v>
      </c>
      <c r="AJ1614" s="3" t="n">
        <v>18.785325</v>
      </c>
      <c r="AK1614" s="3" t="n">
        <v>18.783948</v>
      </c>
      <c r="AL1614" s="3" t="n">
        <v>18.826991</v>
      </c>
      <c r="AM1614" s="3" t="n"/>
      <c r="AN1614" s="3" t="n"/>
      <c r="AO1614" s="3" t="n"/>
      <c r="AP1614" s="3" t="n"/>
      <c r="AQ1614" s="3" t="n"/>
      <c r="AR1614" s="3" t="n"/>
      <c r="AS1614" s="3" t="n"/>
      <c r="AT1614" s="3" t="n"/>
      <c r="AU1614" s="3" t="n"/>
    </row>
    <row r="1615">
      <c r="A1615" s="3" t="n">
        <v>2031</v>
      </c>
      <c r="B1615" s="3" t="inlineStr">
        <is>
          <t>KHM</t>
        </is>
      </c>
      <c r="C1615" s="3" t="inlineStr">
        <is>
          <t>IMF.RES:WEO</t>
        </is>
      </c>
      <c r="D1615" s="3" t="inlineStr">
        <is>
          <t>KHM.LP.A</t>
        </is>
      </c>
      <c r="E1615" s="3" t="inlineStr">
        <is>
          <t>Cambodia</t>
        </is>
      </c>
      <c r="F1615" s="3" t="inlineStr">
        <is>
          <t>Population, Persons for countries / Index for country groups</t>
        </is>
      </c>
      <c r="G1615" s="3" t="n">
        <v>12.462337</v>
      </c>
      <c r="H1615" s="3" t="n">
        <v>12.658484</v>
      </c>
      <c r="I1615" s="3" t="n">
        <v>12.855241</v>
      </c>
      <c r="J1615" s="3" t="n">
        <v>13.050968</v>
      </c>
      <c r="K1615" s="3" t="n">
        <v>13.244731</v>
      </c>
      <c r="L1615" s="3" t="n">
        <v>13.439202</v>
      </c>
      <c r="M1615" s="3" t="n">
        <v>13.639028</v>
      </c>
      <c r="N1615" s="3" t="n">
        <v>13.84177</v>
      </c>
      <c r="O1615" s="3" t="n">
        <v>14.05348</v>
      </c>
      <c r="P1615" s="3" t="n">
        <v>14.27681</v>
      </c>
      <c r="Q1615" s="3" t="n">
        <v>14.500726</v>
      </c>
      <c r="R1615" s="3" t="n">
        <v>14.722584</v>
      </c>
      <c r="S1615" s="3" t="n">
        <v>14.945086</v>
      </c>
      <c r="T1615" s="3" t="n">
        <v>15.170208</v>
      </c>
      <c r="U1615" s="3" t="n">
        <v>15.396772</v>
      </c>
      <c r="V1615" s="3" t="n">
        <v>15.623251</v>
      </c>
      <c r="W1615" s="3" t="n">
        <v>15.852803</v>
      </c>
      <c r="X1615" s="3" t="n">
        <v>16.073373</v>
      </c>
      <c r="Y1615" s="3" t="n">
        <v>16.274522</v>
      </c>
      <c r="Z1615" s="3" t="n">
        <v>16.481304</v>
      </c>
      <c r="AA1615" s="3" t="n">
        <v>16.725474</v>
      </c>
      <c r="AB1615" s="3" t="n">
        <v>16.974306</v>
      </c>
      <c r="AC1615" s="3" t="n">
        <v>17.201724</v>
      </c>
      <c r="AD1615" s="3" t="n">
        <v>17.423881</v>
      </c>
      <c r="AE1615" s="3" t="n">
        <v>17.638801</v>
      </c>
      <c r="AF1615" s="3" t="n">
        <v>17.847982</v>
      </c>
      <c r="AG1615" s="3" t="n">
        <v>18.05122</v>
      </c>
      <c r="AH1615" s="3" t="n">
        <v>18.250146</v>
      </c>
      <c r="AI1615" s="3" t="n">
        <v>18.446771</v>
      </c>
      <c r="AJ1615" s="3" t="n">
        <v>18.639394</v>
      </c>
      <c r="AK1615" s="3" t="n">
        <v>18.827388</v>
      </c>
      <c r="AL1615" s="3" t="n">
        <v>19.012052</v>
      </c>
      <c r="AM1615" s="3" t="n"/>
      <c r="AN1615" s="3" t="n"/>
      <c r="AO1615" s="3" t="n"/>
      <c r="AP1615" s="3" t="n"/>
      <c r="AQ1615" s="3" t="n"/>
      <c r="AR1615" s="3" t="n"/>
      <c r="AS1615" s="3" t="n"/>
      <c r="AT1615" s="3" t="n"/>
      <c r="AU1615" s="3" t="n"/>
    </row>
    <row r="1616">
      <c r="A1616" s="3" t="n">
        <v>2031</v>
      </c>
      <c r="B1616" s="3" t="inlineStr">
        <is>
          <t>KHM</t>
        </is>
      </c>
      <c r="C1616" s="3" t="inlineStr">
        <is>
          <t>IMF.RES:WEO</t>
        </is>
      </c>
      <c r="D1616" s="3" t="inlineStr">
        <is>
          <t>KHM.NGDP.A</t>
        </is>
      </c>
      <c r="E1616" s="3" t="inlineStr">
        <is>
          <t>Cambodia</t>
        </is>
      </c>
      <c r="F1616" s="3" t="inlineStr">
        <is>
          <t>Gross domestic product (GDP), Current prices, Domestic currency</t>
        </is>
      </c>
      <c r="G1616" s="3" t="n">
        <v>14539.077582</v>
      </c>
      <c r="H1616" s="3" t="n">
        <v>16207.528545</v>
      </c>
      <c r="I1616" s="3" t="n">
        <v>17667.537594</v>
      </c>
      <c r="J1616" s="3" t="n">
        <v>20155.674071</v>
      </c>
      <c r="K1616" s="3" t="n">
        <v>24028.124112</v>
      </c>
      <c r="L1616" s="3" t="n">
        <v>29274.703243</v>
      </c>
      <c r="M1616" s="3" t="n">
        <v>34396.108166</v>
      </c>
      <c r="N1616" s="3" t="n">
        <v>40716.76498</v>
      </c>
      <c r="O1616" s="3" t="n">
        <v>49885.2232</v>
      </c>
      <c r="P1616" s="3" t="n">
        <v>53032.030498</v>
      </c>
      <c r="Q1616" s="3" t="n">
        <v>57470.166351</v>
      </c>
      <c r="R1616" s="3" t="n">
        <v>65223.685208</v>
      </c>
      <c r="S1616" s="3" t="n">
        <v>71605.16387</v>
      </c>
      <c r="T1616" s="3" t="n">
        <v>79257.11704</v>
      </c>
      <c r="U1616" s="3" t="n">
        <v>89542.678168</v>
      </c>
      <c r="V1616" s="3" t="n">
        <v>97776.276212</v>
      </c>
      <c r="W1616" s="3" t="n">
        <v>107425.966928</v>
      </c>
      <c r="X1616" s="3" t="n">
        <v>117802.695361</v>
      </c>
      <c r="Y1616" s="3" t="n">
        <v>132893.539937</v>
      </c>
      <c r="Z1616" s="3" t="n">
        <v>146133.213844</v>
      </c>
      <c r="AA1616" s="3" t="n">
        <v>140865.470577</v>
      </c>
      <c r="AB1616" s="3" t="n">
        <v>148224.020005</v>
      </c>
      <c r="AC1616" s="3" t="n">
        <v>162504.615831</v>
      </c>
      <c r="AD1616" s="3" t="n">
        <v>174027.143166</v>
      </c>
      <c r="AE1616" s="3" t="n">
        <v>188766.391815</v>
      </c>
      <c r="AF1616" s="3" t="n">
        <v>202193.440777</v>
      </c>
      <c r="AG1616" s="3" t="n">
        <v>214871.715585</v>
      </c>
      <c r="AH1616" s="3" t="n">
        <v>230197.293911</v>
      </c>
      <c r="AI1616" s="3" t="n">
        <v>247736.929544</v>
      </c>
      <c r="AJ1616" s="3" t="n">
        <v>267291.99279</v>
      </c>
      <c r="AK1616" s="3" t="n">
        <v>288670.679356</v>
      </c>
      <c r="AL1616" s="3" t="n">
        <v>312053.840317</v>
      </c>
      <c r="AM1616" s="3" t="n"/>
      <c r="AN1616" s="3" t="n"/>
      <c r="AO1616" s="3" t="n"/>
      <c r="AP1616" s="3" t="n"/>
      <c r="AQ1616" s="3" t="n"/>
      <c r="AR1616" s="3" t="n"/>
      <c r="AS1616" s="3" t="n"/>
      <c r="AT1616" s="3" t="n"/>
      <c r="AU1616" s="3" t="n"/>
    </row>
    <row r="1617">
      <c r="A1617" s="3" t="n">
        <v>2031</v>
      </c>
      <c r="B1617" s="3" t="inlineStr">
        <is>
          <t>KHM</t>
        </is>
      </c>
      <c r="C1617" s="3" t="inlineStr">
        <is>
          <t>IMF.RES:WEO</t>
        </is>
      </c>
      <c r="D1617" s="3" t="inlineStr">
        <is>
          <t>KHM.NGDP_D.A</t>
        </is>
      </c>
      <c r="E1617" s="3" t="inlineStr">
        <is>
          <t>Cambodia</t>
        </is>
      </c>
      <c r="F1617" s="3" t="inlineStr">
        <is>
          <t>Gross domestic product (GDP), Price deflator, Index</t>
        </is>
      </c>
      <c r="G1617" s="3" t="n">
        <v>49.486381</v>
      </c>
      <c r="H1617" s="3" t="n">
        <v>52.269107</v>
      </c>
      <c r="I1617" s="3" t="n">
        <v>52.437509</v>
      </c>
      <c r="J1617" s="3" t="n">
        <v>55.417629</v>
      </c>
      <c r="K1617" s="3" t="n">
        <v>61.026611</v>
      </c>
      <c r="L1617" s="3" t="n">
        <v>65.153238</v>
      </c>
      <c r="M1617" s="3" t="n">
        <v>69.05368</v>
      </c>
      <c r="N1617" s="3" t="n">
        <v>74.444299</v>
      </c>
      <c r="O1617" s="3" t="n">
        <v>83.643985</v>
      </c>
      <c r="P1617" s="3" t="n">
        <v>84.448369</v>
      </c>
      <c r="Q1617" s="3" t="n">
        <v>86.936684</v>
      </c>
      <c r="R1617" s="3" t="n">
        <v>90.71014700000001</v>
      </c>
      <c r="S1617" s="3" t="n">
        <v>91.266515</v>
      </c>
      <c r="T1617" s="3" t="n">
        <v>93.682326</v>
      </c>
      <c r="U1617" s="3" t="n">
        <v>100</v>
      </c>
      <c r="V1617" s="3" t="n">
        <v>102.209736</v>
      </c>
      <c r="W1617" s="3" t="n">
        <v>104.601768</v>
      </c>
      <c r="X1617" s="3" t="n">
        <v>106.623409</v>
      </c>
      <c r="Y1617" s="3" t="n">
        <v>110.623502</v>
      </c>
      <c r="Z1617" s="3" t="n">
        <v>112.755476</v>
      </c>
      <c r="AA1617" s="3" t="n">
        <v>112.003804</v>
      </c>
      <c r="AB1617" s="3" t="n">
        <v>114.528933</v>
      </c>
      <c r="AC1617" s="3" t="n">
        <v>119.013914</v>
      </c>
      <c r="AD1617" s="3" t="n">
        <v>121.375047</v>
      </c>
      <c r="AE1617" s="3" t="n">
        <v>124.179534</v>
      </c>
      <c r="AF1617" s="3" t="n">
        <v>126.663125</v>
      </c>
      <c r="AG1617" s="3" t="n">
        <v>129.400729</v>
      </c>
      <c r="AH1617" s="3" t="n">
        <v>132.380449</v>
      </c>
      <c r="AI1617" s="3" t="n">
        <v>135.693945</v>
      </c>
      <c r="AJ1617" s="3" t="n">
        <v>139.090773</v>
      </c>
      <c r="AK1617" s="3" t="n">
        <v>142.572494</v>
      </c>
      <c r="AL1617" s="3" t="n">
        <v>146.140893</v>
      </c>
      <c r="AM1617" s="3" t="n"/>
      <c r="AN1617" s="3" t="n"/>
      <c r="AO1617" s="3" t="n"/>
      <c r="AP1617" s="3" t="n"/>
      <c r="AQ1617" s="3" t="n"/>
      <c r="AR1617" s="3" t="n"/>
      <c r="AS1617" s="3" t="n"/>
      <c r="AT1617" s="3" t="n"/>
      <c r="AU1617" s="3" t="n"/>
    </row>
    <row r="1618">
      <c r="A1618" s="3" t="n">
        <v>2031</v>
      </c>
      <c r="B1618" s="3" t="inlineStr">
        <is>
          <t>KHM</t>
        </is>
      </c>
      <c r="C1618" s="3" t="inlineStr">
        <is>
          <t>IMF.RES:WEO</t>
        </is>
      </c>
      <c r="D1618" s="3" t="inlineStr">
        <is>
          <t>KHM.NGDP_R.A</t>
        </is>
      </c>
      <c r="E1618" s="3" t="inlineStr">
        <is>
          <t>Cambodia</t>
        </is>
      </c>
      <c r="F1618" s="3" t="inlineStr">
        <is>
          <t>Gross domestic product (GDP), Constant prices, Domestic currency</t>
        </is>
      </c>
      <c r="G1618" s="3" t="n">
        <v>29379.957009</v>
      </c>
      <c r="H1618" s="3" t="n">
        <v>31007.854268</v>
      </c>
      <c r="I1618" s="3" t="n">
        <v>33692.55717</v>
      </c>
      <c r="J1618" s="3" t="n">
        <v>36370.509915</v>
      </c>
      <c r="K1618" s="3" t="n">
        <v>39373.191297</v>
      </c>
      <c r="L1618" s="3" t="n">
        <v>44932.077365</v>
      </c>
      <c r="M1618" s="3" t="n">
        <v>49810.680804</v>
      </c>
      <c r="N1618" s="3" t="n">
        <v>54694.268804</v>
      </c>
      <c r="O1618" s="3" t="n">
        <v>59639.940636</v>
      </c>
      <c r="P1618" s="3" t="n">
        <v>62798.169886</v>
      </c>
      <c r="Q1618" s="3" t="n">
        <v>66105.772061</v>
      </c>
      <c r="R1618" s="3" t="n">
        <v>71903.405938</v>
      </c>
      <c r="S1618" s="3" t="n">
        <v>78457.212768</v>
      </c>
      <c r="T1618" s="3" t="n">
        <v>84601.99533000001</v>
      </c>
      <c r="U1618" s="3" t="n">
        <v>89542.678168</v>
      </c>
      <c r="V1618" s="3" t="n">
        <v>95662.38978699999</v>
      </c>
      <c r="W1618" s="3" t="n">
        <v>102699.952965</v>
      </c>
      <c r="X1618" s="3" t="n">
        <v>110484.83303</v>
      </c>
      <c r="Y1618" s="3" t="n">
        <v>120131.380572</v>
      </c>
      <c r="Z1618" s="3" t="n">
        <v>129601.878012</v>
      </c>
      <c r="AA1618" s="3" t="n">
        <v>125768.469684</v>
      </c>
      <c r="AB1618" s="3" t="n">
        <v>129420.58937</v>
      </c>
      <c r="AC1618" s="3" t="n">
        <v>136542.535692</v>
      </c>
      <c r="AD1618" s="3" t="n">
        <v>143379.671643</v>
      </c>
      <c r="AE1618" s="3" t="n">
        <v>152010.871587</v>
      </c>
      <c r="AF1618" s="3" t="n">
        <v>159630.864508</v>
      </c>
      <c r="AG1618" s="3" t="n">
        <v>166051.395409</v>
      </c>
      <c r="AH1618" s="3" t="n">
        <v>173890.702878</v>
      </c>
      <c r="AI1618" s="3" t="n">
        <v>182570.363519</v>
      </c>
      <c r="AJ1618" s="3" t="n">
        <v>192170.901542</v>
      </c>
      <c r="AK1618" s="3" t="n">
        <v>202472.911909</v>
      </c>
      <c r="AL1618" s="3" t="n">
        <v>213529.44631</v>
      </c>
      <c r="AM1618" s="3" t="n"/>
      <c r="AN1618" s="3" t="n"/>
      <c r="AO1618" s="3" t="n"/>
      <c r="AP1618" s="3" t="n"/>
      <c r="AQ1618" s="3" t="n"/>
      <c r="AR1618" s="3" t="n"/>
      <c r="AS1618" s="3" t="n"/>
      <c r="AT1618" s="3" t="n"/>
      <c r="AU1618" s="3" t="n"/>
    </row>
    <row r="1619">
      <c r="A1619" s="3" t="n">
        <v>2031</v>
      </c>
      <c r="B1619" s="3" t="inlineStr">
        <is>
          <t>KHM</t>
        </is>
      </c>
      <c r="C1619" s="3" t="inlineStr">
        <is>
          <t>IMF.RES:WEO</t>
        </is>
      </c>
      <c r="D1619" s="3" t="inlineStr">
        <is>
          <t>KHM.NGDP_RPCH.A</t>
        </is>
      </c>
      <c r="E1619" s="3" t="inlineStr">
        <is>
          <t>Cambodia</t>
        </is>
      </c>
      <c r="F1619" s="3" t="inlineStr">
        <is>
          <t>Gross domestic product (GDP), Constant prices, Percent change</t>
        </is>
      </c>
      <c r="G1619" s="3" t="n">
        <v>10.711995</v>
      </c>
      <c r="H1619" s="3" t="n">
        <v>5.540843</v>
      </c>
      <c r="I1619" s="3" t="n">
        <v>8.658137999999999</v>
      </c>
      <c r="J1619" s="3" t="n">
        <v>7.948203</v>
      </c>
      <c r="K1619" s="3" t="n">
        <v>8.255813</v>
      </c>
      <c r="L1619" s="3" t="n">
        <v>14.118454</v>
      </c>
      <c r="M1619" s="3" t="n">
        <v>10.85773</v>
      </c>
      <c r="N1619" s="3" t="n">
        <v>9.804299</v>
      </c>
      <c r="O1619" s="3" t="n">
        <v>9.042395000000001</v>
      </c>
      <c r="P1619" s="3" t="n">
        <v>5.295494</v>
      </c>
      <c r="Q1619" s="3" t="n">
        <v>5.267036</v>
      </c>
      <c r="R1619" s="3" t="n">
        <v>8.770239</v>
      </c>
      <c r="S1619" s="3" t="n">
        <v>9.114737999999999</v>
      </c>
      <c r="T1619" s="3" t="n">
        <v>7.832017</v>
      </c>
      <c r="U1619" s="3" t="n">
        <v>5.839913</v>
      </c>
      <c r="V1619" s="3" t="n">
        <v>6.834408</v>
      </c>
      <c r="W1619" s="3" t="n">
        <v>7.356667</v>
      </c>
      <c r="X1619" s="3" t="n">
        <v>7.580218</v>
      </c>
      <c r="Y1619" s="3" t="n">
        <v>8.731106</v>
      </c>
      <c r="Z1619" s="3" t="n">
        <v>7.88345</v>
      </c>
      <c r="AA1619" s="3" t="n">
        <v>-2.957834</v>
      </c>
      <c r="AB1619" s="3" t="n">
        <v>2.903844</v>
      </c>
      <c r="AC1619" s="3" t="n">
        <v>5.502947</v>
      </c>
      <c r="AD1619" s="3" t="n">
        <v>5.00733</v>
      </c>
      <c r="AE1619" s="3" t="n">
        <v>6.019821</v>
      </c>
      <c r="AF1619" s="3" t="n">
        <v>5.012795</v>
      </c>
      <c r="AG1619" s="3" t="n">
        <v>4.022111</v>
      </c>
      <c r="AH1619" s="3" t="n">
        <v>4.721013</v>
      </c>
      <c r="AI1619" s="3" t="n">
        <v>4.991446</v>
      </c>
      <c r="AJ1619" s="3" t="n">
        <v>5.258541</v>
      </c>
      <c r="AK1619" s="3" t="n">
        <v>5.360859</v>
      </c>
      <c r="AL1619" s="3" t="n">
        <v>5.460747</v>
      </c>
      <c r="AM1619" s="3" t="n"/>
      <c r="AN1619" s="3" t="n"/>
      <c r="AO1619" s="3" t="n"/>
      <c r="AP1619" s="3" t="n"/>
      <c r="AQ1619" s="3" t="n"/>
      <c r="AR1619" s="3" t="n"/>
      <c r="AS1619" s="3" t="n"/>
      <c r="AT1619" s="3" t="n"/>
      <c r="AU1619" s="3" t="n"/>
    </row>
    <row r="1620">
      <c r="A1620" s="3" t="n">
        <v>2031</v>
      </c>
      <c r="B1620" s="3" t="inlineStr">
        <is>
          <t>KHM</t>
        </is>
      </c>
      <c r="C1620" s="3" t="inlineStr">
        <is>
          <t>IMF.RES:WEO</t>
        </is>
      </c>
      <c r="D1620" s="3" t="inlineStr">
        <is>
          <t>KHM.NGDPD.A</t>
        </is>
      </c>
      <c r="E1620" s="3" t="inlineStr">
        <is>
          <t>Cambodia</t>
        </is>
      </c>
      <c r="F1620" s="3" t="inlineStr">
        <is>
          <t>Gross domestic product (GDP), Current prices, US dollar</t>
        </is>
      </c>
      <c r="G1620" s="3" t="n">
        <v>3.785479</v>
      </c>
      <c r="H1620" s="3" t="n">
        <v>4.138445</v>
      </c>
      <c r="I1620" s="3" t="n">
        <v>4.516146</v>
      </c>
      <c r="J1620" s="3" t="n">
        <v>5.072737</v>
      </c>
      <c r="K1620" s="3" t="n">
        <v>5.977931</v>
      </c>
      <c r="L1620" s="3" t="n">
        <v>7.145323</v>
      </c>
      <c r="M1620" s="3" t="n">
        <v>8.374283999999999</v>
      </c>
      <c r="N1620" s="3" t="n">
        <v>10.027846</v>
      </c>
      <c r="O1620" s="3" t="n">
        <v>12.292163</v>
      </c>
      <c r="P1620" s="3" t="n">
        <v>12.798229</v>
      </c>
      <c r="Q1620" s="3" t="n">
        <v>13.720139</v>
      </c>
      <c r="R1620" s="3" t="n">
        <v>16.055472</v>
      </c>
      <c r="S1620" s="3" t="n">
        <v>17.757311</v>
      </c>
      <c r="T1620" s="3" t="n">
        <v>19.679113</v>
      </c>
      <c r="U1620" s="3" t="n">
        <v>22.176335</v>
      </c>
      <c r="V1620" s="3" t="n">
        <v>24.079934</v>
      </c>
      <c r="W1620" s="3" t="n">
        <v>26.502241</v>
      </c>
      <c r="X1620" s="3" t="n">
        <v>29.12087</v>
      </c>
      <c r="Y1620" s="3" t="n">
        <v>32.838722</v>
      </c>
      <c r="Z1620" s="3" t="n">
        <v>35.979442</v>
      </c>
      <c r="AA1620" s="3" t="n">
        <v>34.497314</v>
      </c>
      <c r="AB1620" s="3" t="n">
        <v>36.169844</v>
      </c>
      <c r="AC1620" s="3" t="n">
        <v>39.460826</v>
      </c>
      <c r="AD1620" s="3" t="n">
        <v>42.404275</v>
      </c>
      <c r="AE1620" s="3" t="n">
        <v>46.098206</v>
      </c>
      <c r="AF1620" s="3" t="n">
        <v>49.288425</v>
      </c>
      <c r="AG1620" s="3" t="n">
        <v>52.378991</v>
      </c>
      <c r="AH1620" s="3" t="n">
        <v>56.114887</v>
      </c>
      <c r="AI1620" s="3" t="n">
        <v>60.3905</v>
      </c>
      <c r="AJ1620" s="3" t="n">
        <v>65.15741199999999</v>
      </c>
      <c r="AK1620" s="3" t="n">
        <v>70.368866</v>
      </c>
      <c r="AL1620" s="3" t="n">
        <v>76.06894800000001</v>
      </c>
      <c r="AM1620" s="3" t="n"/>
      <c r="AN1620" s="3" t="n"/>
      <c r="AO1620" s="3" t="n"/>
      <c r="AP1620" s="3" t="n"/>
      <c r="AQ1620" s="3" t="n"/>
      <c r="AR1620" s="3" t="n"/>
      <c r="AS1620" s="3" t="n"/>
      <c r="AT1620" s="3" t="n"/>
      <c r="AU1620" s="3" t="n"/>
    </row>
    <row r="1621">
      <c r="A1621" s="3" t="n">
        <v>2031</v>
      </c>
      <c r="B1621" s="3" t="inlineStr">
        <is>
          <t>KHM</t>
        </is>
      </c>
      <c r="C1621" s="3" t="inlineStr">
        <is>
          <t>IMF.RES:WEO</t>
        </is>
      </c>
      <c r="D1621" s="3" t="inlineStr">
        <is>
          <t>KHM.NGDPPC.A</t>
        </is>
      </c>
      <c r="E1621" s="3" t="inlineStr">
        <is>
          <t>Cambodia</t>
        </is>
      </c>
      <c r="F1621" s="3" t="inlineStr">
        <is>
          <t>Gross domestic product (GDP), Current prices, Per capita, Domestic currency</t>
        </is>
      </c>
      <c r="G1621" s="3" t="n">
        <v>1166641.390426</v>
      </c>
      <c r="H1621" s="3" t="n">
        <v>1280368.845515</v>
      </c>
      <c r="I1621" s="3" t="n">
        <v>1374345.109065</v>
      </c>
      <c r="J1621" s="3" t="n">
        <v>1544381.540964</v>
      </c>
      <c r="K1621" s="3" t="n">
        <v>1814164.750641</v>
      </c>
      <c r="L1621" s="3" t="n">
        <v>2178306.661549</v>
      </c>
      <c r="M1621" s="3" t="n">
        <v>2521888.614591</v>
      </c>
      <c r="N1621" s="3" t="n">
        <v>2941586.587555</v>
      </c>
      <c r="O1621" s="3" t="n">
        <v>3549670.61358</v>
      </c>
      <c r="P1621" s="3" t="n">
        <v>3714557.418472</v>
      </c>
      <c r="Q1621" s="3" t="n">
        <v>3963261.311951</v>
      </c>
      <c r="R1621" s="3" t="n">
        <v>4430179.186446</v>
      </c>
      <c r="S1621" s="3" t="n">
        <v>4791218.081025</v>
      </c>
      <c r="T1621" s="3" t="n">
        <v>5224524.255213</v>
      </c>
      <c r="U1621" s="3" t="n">
        <v>5815678.836794</v>
      </c>
      <c r="V1621" s="3" t="n">
        <v>6258382.416147</v>
      </c>
      <c r="W1621" s="3" t="n">
        <v>6776465.141697</v>
      </c>
      <c r="X1621" s="3" t="n">
        <v>7329058.998717</v>
      </c>
      <c r="Y1621" s="3" t="n">
        <v>8165741.766181</v>
      </c>
      <c r="Z1621" s="3" t="n">
        <v>8866605.084411001</v>
      </c>
      <c r="AA1621" s="3" t="n">
        <v>8422211.220347</v>
      </c>
      <c r="AB1621" s="3" t="n">
        <v>8732258.295032</v>
      </c>
      <c r="AC1621" s="3" t="n">
        <v>9446996.158918999</v>
      </c>
      <c r="AD1621" s="3" t="n">
        <v>9987852.198932</v>
      </c>
      <c r="AE1621" s="3" t="n">
        <v>10701770.328134</v>
      </c>
      <c r="AF1621" s="3" t="n">
        <v>11328644.686088</v>
      </c>
      <c r="AG1621" s="3" t="n">
        <v>11903445.946387</v>
      </c>
      <c r="AH1621" s="3" t="n">
        <v>12613449.789267</v>
      </c>
      <c r="AI1621" s="3" t="n">
        <v>13429826.257596</v>
      </c>
      <c r="AJ1621" s="3" t="n">
        <v>14340165.777927</v>
      </c>
      <c r="AK1621" s="3" t="n">
        <v>15332486.872619</v>
      </c>
      <c r="AL1621" s="3" t="n">
        <v>16413475.437766</v>
      </c>
      <c r="AM1621" s="3" t="n"/>
      <c r="AN1621" s="3" t="n"/>
      <c r="AO1621" s="3" t="n"/>
      <c r="AP1621" s="3" t="n"/>
      <c r="AQ1621" s="3" t="n"/>
      <c r="AR1621" s="3" t="n"/>
      <c r="AS1621" s="3" t="n"/>
      <c r="AT1621" s="3" t="n"/>
      <c r="AU1621" s="3" t="n"/>
    </row>
    <row r="1622">
      <c r="A1622" s="3" t="n">
        <v>2031</v>
      </c>
      <c r="B1622" s="3" t="inlineStr">
        <is>
          <t>KHM</t>
        </is>
      </c>
      <c r="C1622" s="3" t="inlineStr">
        <is>
          <t>IMF.RES:WEO</t>
        </is>
      </c>
      <c r="D1622" s="3" t="inlineStr">
        <is>
          <t>KHM.NGDPRPC.A</t>
        </is>
      </c>
      <c r="E1622" s="3" t="inlineStr">
        <is>
          <t>Cambodia</t>
        </is>
      </c>
      <c r="F1622" s="3" t="inlineStr">
        <is>
          <t>Gross domestic product (GDP), Constant prices, Per capita, Domestic currency</t>
        </is>
      </c>
      <c r="G1622" s="3" t="n">
        <v>2357499.896523</v>
      </c>
      <c r="H1622" s="3" t="n">
        <v>2449570.917685</v>
      </c>
      <c r="I1622" s="3" t="n">
        <v>2620919.91665</v>
      </c>
      <c r="J1622" s="3" t="n">
        <v>2786805.539231</v>
      </c>
      <c r="K1622" s="3" t="n">
        <v>2972743.749746</v>
      </c>
      <c r="L1622" s="3" t="n">
        <v>3343359.030192</v>
      </c>
      <c r="M1622" s="3" t="n">
        <v>3652069.827133</v>
      </c>
      <c r="N1622" s="3" t="n">
        <v>3951392.690659</v>
      </c>
      <c r="O1622" s="3" t="n">
        <v>4243784.653873</v>
      </c>
      <c r="P1622" s="3" t="n">
        <v>4398613.547861</v>
      </c>
      <c r="Q1622" s="3" t="n">
        <v>4558790.508902</v>
      </c>
      <c r="R1622" s="3" t="n">
        <v>4883884.917056</v>
      </c>
      <c r="S1622" s="3" t="n">
        <v>5249699.827253</v>
      </c>
      <c r="T1622" s="3" t="n">
        <v>5576851.557919</v>
      </c>
      <c r="U1622" s="3" t="n">
        <v>5815678.836794</v>
      </c>
      <c r="V1622" s="3" t="n">
        <v>6123078.535233</v>
      </c>
      <c r="W1622" s="3" t="n">
        <v>6478346.634692</v>
      </c>
      <c r="X1622" s="3" t="n">
        <v>6873780.411056</v>
      </c>
      <c r="Y1622" s="3" t="n">
        <v>7381561.453086</v>
      </c>
      <c r="Z1622" s="3" t="n">
        <v>7863569.412486</v>
      </c>
      <c r="AA1622" s="3" t="n">
        <v>7519576.033759</v>
      </c>
      <c r="AB1622" s="3" t="n">
        <v>7624499.828302</v>
      </c>
      <c r="AC1622" s="3" t="n">
        <v>7937724.129344</v>
      </c>
      <c r="AD1622" s="3" t="n">
        <v>8228917.297898</v>
      </c>
      <c r="AE1622" s="3" t="n">
        <v>8617982.361497</v>
      </c>
      <c r="AF1622" s="3" t="n">
        <v>8943916.963825</v>
      </c>
      <c r="AG1622" s="3" t="n">
        <v>9198901.792160001</v>
      </c>
      <c r="AH1622" s="3" t="n">
        <v>9528181.727564</v>
      </c>
      <c r="AI1622" s="3" t="n">
        <v>9897144.791283</v>
      </c>
      <c r="AJ1622" s="3" t="n">
        <v>10309933.1822</v>
      </c>
      <c r="AK1622" s="3" t="n">
        <v>10754168.974943</v>
      </c>
      <c r="AL1622" s="3" t="n">
        <v>11231268.03597</v>
      </c>
      <c r="AM1622" s="3" t="n"/>
      <c r="AN1622" s="3" t="n"/>
      <c r="AO1622" s="3" t="n"/>
      <c r="AP1622" s="3" t="n"/>
      <c r="AQ1622" s="3" t="n"/>
      <c r="AR1622" s="3" t="n"/>
      <c r="AS1622" s="3" t="n"/>
      <c r="AT1622" s="3" t="n"/>
      <c r="AU1622" s="3" t="n"/>
    </row>
    <row r="1623">
      <c r="A1623" s="3" t="n">
        <v>2031</v>
      </c>
      <c r="B1623" s="3" t="inlineStr">
        <is>
          <t>KHM</t>
        </is>
      </c>
      <c r="C1623" s="3" t="inlineStr">
        <is>
          <t>IMF.RES:WEO</t>
        </is>
      </c>
      <c r="D1623" s="3" t="inlineStr">
        <is>
          <t>KHM.PCPI.A</t>
        </is>
      </c>
      <c r="E1623" s="3" t="inlineStr">
        <is>
          <t>Cambodia</t>
        </is>
      </c>
      <c r="F1623" s="3" t="inlineStr">
        <is>
          <t>All Items, Consumer price index (CPI), Period average</t>
        </is>
      </c>
      <c r="G1623" s="3" t="n">
        <v>82.88267500000001</v>
      </c>
      <c r="H1623" s="3" t="n">
        <v>82.785515</v>
      </c>
      <c r="I1623" s="3" t="n">
        <v>82.755583</v>
      </c>
      <c r="J1623" s="3" t="n">
        <v>83.60550000000001</v>
      </c>
      <c r="K1623" s="3" t="n">
        <v>86.886833</v>
      </c>
      <c r="L1623" s="3" t="n">
        <v>92.40349999999999</v>
      </c>
      <c r="M1623" s="3" t="n">
        <v>98.080083</v>
      </c>
      <c r="N1623" s="3" t="n">
        <v>105.60125</v>
      </c>
      <c r="O1623" s="3" t="n">
        <v>131.998583</v>
      </c>
      <c r="P1623" s="3" t="n">
        <v>131.124417</v>
      </c>
      <c r="Q1623" s="3" t="n">
        <v>136.364667</v>
      </c>
      <c r="R1623" s="3" t="n">
        <v>143.835333</v>
      </c>
      <c r="S1623" s="3" t="n">
        <v>148.055917</v>
      </c>
      <c r="T1623" s="3" t="n">
        <v>152.411167</v>
      </c>
      <c r="U1623" s="3" t="n">
        <v>158.287667</v>
      </c>
      <c r="V1623" s="3" t="n">
        <v>160.220333</v>
      </c>
      <c r="W1623" s="3" t="n">
        <v>165.062417</v>
      </c>
      <c r="X1623" s="3" t="n">
        <v>169.870083</v>
      </c>
      <c r="Y1623" s="3" t="n">
        <v>174.048667</v>
      </c>
      <c r="Z1623" s="3" t="n">
        <v>177.428333</v>
      </c>
      <c r="AA1623" s="3" t="n">
        <v>182.64525</v>
      </c>
      <c r="AB1623" s="3" t="n">
        <v>187.980833</v>
      </c>
      <c r="AC1623" s="3" t="n">
        <v>198.016917</v>
      </c>
      <c r="AD1623" s="3" t="n">
        <v>202.237833</v>
      </c>
      <c r="AE1623" s="3" t="n">
        <v>203.859333</v>
      </c>
      <c r="AF1623" s="3" t="n">
        <v>208.99</v>
      </c>
      <c r="AG1623" s="3" t="n">
        <v>215.222295</v>
      </c>
      <c r="AH1623" s="3" t="n">
        <v>219.395885</v>
      </c>
      <c r="AI1623" s="3" t="n">
        <v>224.880782</v>
      </c>
      <c r="AJ1623" s="3" t="n">
        <v>231.402324</v>
      </c>
      <c r="AK1623" s="3" t="n">
        <v>238.344394</v>
      </c>
      <c r="AL1623" s="3" t="n">
        <v>245.494726</v>
      </c>
      <c r="AM1623" s="3" t="n"/>
      <c r="AN1623" s="3" t="n"/>
      <c r="AO1623" s="3" t="n"/>
      <c r="AP1623" s="3" t="n"/>
      <c r="AQ1623" s="3" t="n"/>
      <c r="AR1623" s="3" t="n"/>
      <c r="AS1623" s="3" t="n"/>
      <c r="AT1623" s="3" t="n"/>
      <c r="AU1623" s="3" t="n"/>
    </row>
    <row r="1624">
      <c r="A1624" s="3" t="n">
        <v>2031</v>
      </c>
      <c r="B1624" s="3" t="inlineStr">
        <is>
          <t>KHM</t>
        </is>
      </c>
      <c r="C1624" s="3" t="inlineStr">
        <is>
          <t>IMF.RES:WEO</t>
        </is>
      </c>
      <c r="D1624" s="3" t="inlineStr">
        <is>
          <t>KHM.PCPIPCH.A</t>
        </is>
      </c>
      <c r="E1624" s="3" t="inlineStr">
        <is>
          <t>Cambodia</t>
        </is>
      </c>
      <c r="F1624" s="3" t="inlineStr">
        <is>
          <t>All Items, Consumer price index (CPI), Period average, percent change</t>
        </is>
      </c>
      <c r="G1624" s="3" t="n">
        <v>-0.825641</v>
      </c>
      <c r="H1624" s="3" t="n">
        <v>-0.117225</v>
      </c>
      <c r="I1624" s="3" t="n">
        <v>-0.036156</v>
      </c>
      <c r="J1624" s="3" t="n">
        <v>1.02702</v>
      </c>
      <c r="K1624" s="3" t="n">
        <v>3.924782</v>
      </c>
      <c r="L1624" s="3" t="n">
        <v>6.349255</v>
      </c>
      <c r="M1624" s="3" t="n">
        <v>6.143256</v>
      </c>
      <c r="N1624" s="3" t="n">
        <v>7.668393</v>
      </c>
      <c r="O1624" s="3" t="n">
        <v>24.997179</v>
      </c>
      <c r="P1624" s="3" t="n">
        <v>-0.662255</v>
      </c>
      <c r="Q1624" s="3" t="n">
        <v>3.996395</v>
      </c>
      <c r="R1624" s="3" t="n">
        <v>5.478447</v>
      </c>
      <c r="S1624" s="3" t="n">
        <v>2.934316</v>
      </c>
      <c r="T1624" s="3" t="n">
        <v>2.941625</v>
      </c>
      <c r="U1624" s="3" t="n">
        <v>3.855689</v>
      </c>
      <c r="V1624" s="3" t="n">
        <v>1.220984</v>
      </c>
      <c r="W1624" s="3" t="n">
        <v>3.02214</v>
      </c>
      <c r="X1624" s="3" t="n">
        <v>2.912636</v>
      </c>
      <c r="Y1624" s="3" t="n">
        <v>2.45987</v>
      </c>
      <c r="Z1624" s="3" t="n">
        <v>1.941794</v>
      </c>
      <c r="AA1624" s="3" t="n">
        <v>2.940295</v>
      </c>
      <c r="AB1624" s="3" t="n">
        <v>2.921282</v>
      </c>
      <c r="AC1624" s="3" t="n">
        <v>5.338886</v>
      </c>
      <c r="AD1624" s="3" t="n">
        <v>2.131594</v>
      </c>
      <c r="AE1624" s="3" t="n">
        <v>0.801779</v>
      </c>
      <c r="AF1624" s="3" t="n">
        <v>2.516768</v>
      </c>
      <c r="AG1624" s="3" t="n">
        <v>2.982102</v>
      </c>
      <c r="AH1624" s="3" t="n">
        <v>1.939199</v>
      </c>
      <c r="AI1624" s="3" t="n">
        <v>2.5</v>
      </c>
      <c r="AJ1624" s="3" t="n">
        <v>2.9</v>
      </c>
      <c r="AK1624" s="3" t="n">
        <v>3</v>
      </c>
      <c r="AL1624" s="3" t="n">
        <v>3</v>
      </c>
      <c r="AM1624" s="3" t="n"/>
      <c r="AN1624" s="3" t="n"/>
      <c r="AO1624" s="3" t="n"/>
      <c r="AP1624" s="3" t="n"/>
      <c r="AQ1624" s="3" t="n"/>
      <c r="AR1624" s="3" t="n"/>
      <c r="AS1624" s="3" t="n"/>
      <c r="AT1624" s="3" t="n"/>
      <c r="AU1624" s="3" t="n"/>
    </row>
    <row r="1625">
      <c r="A1625" s="3" t="n">
        <v>2031</v>
      </c>
      <c r="B1625" s="3" t="inlineStr">
        <is>
          <t>KHM</t>
        </is>
      </c>
      <c r="C1625" s="3" t="inlineStr">
        <is>
          <t>IMF.RES:WEO</t>
        </is>
      </c>
      <c r="D1625" s="3" t="inlineStr">
        <is>
          <t>KHM.PPPPC.A</t>
        </is>
      </c>
      <c r="E1625" s="3" t="inlineStr">
        <is>
          <t>Cambodia</t>
        </is>
      </c>
      <c r="F1625" s="3" t="inlineStr">
        <is>
          <t>Gross domestic product (GDP), Per capita, purchasing power parity (PPP) international dollar, ICP benchmarks 2017-2021</t>
        </is>
      </c>
      <c r="G1625" s="3" t="n">
        <v>1247.861517</v>
      </c>
      <c r="H1625" s="3" t="n">
        <v>1325.79057</v>
      </c>
      <c r="I1625" s="3" t="n">
        <v>1440.57491</v>
      </c>
      <c r="J1625" s="3" t="n">
        <v>1561.993183</v>
      </c>
      <c r="K1625" s="3" t="n">
        <v>1711.013223</v>
      </c>
      <c r="L1625" s="3" t="n">
        <v>1984.670604</v>
      </c>
      <c r="M1625" s="3" t="n">
        <v>2234.782487</v>
      </c>
      <c r="N1625" s="3" t="n">
        <v>2483.453437</v>
      </c>
      <c r="O1625" s="3" t="n">
        <v>2718.603683</v>
      </c>
      <c r="P1625" s="3" t="n">
        <v>2835.166841</v>
      </c>
      <c r="Q1625" s="3" t="n">
        <v>2974.123068</v>
      </c>
      <c r="R1625" s="3" t="n">
        <v>3251.951863</v>
      </c>
      <c r="S1625" s="3" t="n">
        <v>3560.615416</v>
      </c>
      <c r="T1625" s="3" t="n">
        <v>3846.884929</v>
      </c>
      <c r="U1625" s="3" t="n">
        <v>4081.497918</v>
      </c>
      <c r="V1625" s="3" t="n">
        <v>4337.114525</v>
      </c>
      <c r="W1625" s="3" t="n">
        <v>4632.362396</v>
      </c>
      <c r="X1625" s="3" t="n">
        <v>5003.142925</v>
      </c>
      <c r="Y1625" s="3" t="n">
        <v>5559.003909</v>
      </c>
      <c r="Z1625" s="3" t="n">
        <v>6036.210405</v>
      </c>
      <c r="AA1625" s="3" t="n">
        <v>5874.175164</v>
      </c>
      <c r="AB1625" s="3" t="n">
        <v>6119.484275</v>
      </c>
      <c r="AC1625" s="3" t="n">
        <v>6824.003999</v>
      </c>
      <c r="AD1625" s="3" t="n">
        <v>7336.093624</v>
      </c>
      <c r="AE1625" s="3" t="n">
        <v>7873.678354</v>
      </c>
      <c r="AF1625" s="3" t="n">
        <v>8403.268495</v>
      </c>
      <c r="AG1625" s="3" t="n">
        <v>8890.44428</v>
      </c>
      <c r="AH1625" s="3" t="n">
        <v>9410.896456</v>
      </c>
      <c r="AI1625" s="3" t="n">
        <v>9935.768982</v>
      </c>
      <c r="AJ1625" s="3" t="n">
        <v>10534.205531</v>
      </c>
      <c r="AK1625" s="3" t="n">
        <v>11190.014176</v>
      </c>
      <c r="AL1625" s="3" t="n">
        <v>11897.424794</v>
      </c>
      <c r="AM1625" s="3" t="n"/>
      <c r="AN1625" s="3" t="n"/>
      <c r="AO1625" s="3" t="n"/>
      <c r="AP1625" s="3" t="n"/>
      <c r="AQ1625" s="3" t="n"/>
      <c r="AR1625" s="3" t="n"/>
      <c r="AS1625" s="3" t="n"/>
      <c r="AT1625" s="3" t="n"/>
      <c r="AU1625" s="3" t="n"/>
    </row>
    <row r="1626">
      <c r="A1626" s="3" t="n">
        <v>2025</v>
      </c>
      <c r="B1626" s="3" t="inlineStr">
        <is>
          <t>KHM</t>
        </is>
      </c>
      <c r="C1626" s="3" t="inlineStr">
        <is>
          <t>IMF.STA:ER</t>
        </is>
      </c>
      <c r="D1626" s="3" t="inlineStr">
        <is>
          <t>KHM.XDC_USD.PA_RT.A</t>
        </is>
      </c>
      <c r="E1626" s="3" t="inlineStr">
        <is>
          <t>Cambodia</t>
        </is>
      </c>
      <c r="F1626" s="3" t="inlineStr">
        <is>
          <t>Domestic currency per US Dollar</t>
        </is>
      </c>
      <c r="G1626" s="3" t="n">
        <v>3840.75</v>
      </c>
      <c r="H1626" s="3" t="n">
        <v>3916.33333333333</v>
      </c>
      <c r="I1626" s="3" t="n">
        <v>3912.08333333333</v>
      </c>
      <c r="J1626" s="3" t="n">
        <v>3973.33333333333</v>
      </c>
      <c r="K1626" s="3" t="n">
        <v>4016.25</v>
      </c>
      <c r="L1626" s="3" t="n">
        <v>4092.5</v>
      </c>
      <c r="M1626" s="3" t="n">
        <v>4103.25</v>
      </c>
      <c r="N1626" s="3" t="n">
        <v>4056.16666666666</v>
      </c>
      <c r="O1626" s="3" t="n">
        <v>4054.16666666666</v>
      </c>
      <c r="P1626" s="3" t="n">
        <v>4139.33333333333</v>
      </c>
      <c r="Q1626" s="3" t="n">
        <v>4184.91666666666</v>
      </c>
      <c r="R1626" s="3" t="n">
        <v>4058.5</v>
      </c>
      <c r="S1626" s="3" t="n">
        <v>4033</v>
      </c>
      <c r="T1626" s="3" t="n">
        <v>4027.25</v>
      </c>
      <c r="U1626" s="3" t="n">
        <v>4037.5</v>
      </c>
      <c r="V1626" s="3" t="n">
        <v>4067.75</v>
      </c>
      <c r="W1626" s="3" t="n">
        <v>4058.69457885304</v>
      </c>
      <c r="X1626" s="3" t="n">
        <v>4050.57998591909</v>
      </c>
      <c r="Y1626" s="3" t="n">
        <v>4051.16690028162</v>
      </c>
      <c r="Z1626" s="3" t="n">
        <v>4061.14896313364</v>
      </c>
      <c r="AA1626" s="3" t="n">
        <v>4092.78321900877</v>
      </c>
      <c r="AB1626" s="3" t="n">
        <v>4098.72279505888</v>
      </c>
      <c r="AC1626" s="3" t="n">
        <v>4102.03786482335</v>
      </c>
      <c r="AD1626" s="3" t="n">
        <v>4110.65274641577</v>
      </c>
      <c r="AE1626" s="3" t="n">
        <v>4072.39723921641</v>
      </c>
      <c r="AF1626" s="3" t="n">
        <v>4013.43310400665</v>
      </c>
      <c r="AG1626" s="3" t="n"/>
      <c r="AH1626" s="3" t="n"/>
      <c r="AI1626" s="3" t="n"/>
      <c r="AJ1626" s="3" t="n"/>
      <c r="AK1626" s="3" t="n"/>
      <c r="AL1626" s="3" t="n"/>
      <c r="AM1626" s="3" t="n"/>
      <c r="AN1626" s="3" t="n"/>
      <c r="AO1626" s="3" t="n"/>
      <c r="AP1626" s="3" t="n"/>
      <c r="AQ1626" s="3" t="n"/>
      <c r="AR1626" s="3" t="n"/>
      <c r="AS1626" s="3" t="n"/>
      <c r="AT1626" s="3" t="n"/>
      <c r="AU1626" s="3" t="n"/>
    </row>
    <row r="1627">
      <c r="A1627" s="3" t="n">
        <v>2031</v>
      </c>
      <c r="B1627" s="3" t="inlineStr">
        <is>
          <t>KIR</t>
        </is>
      </c>
      <c r="C1627" s="3" t="inlineStr">
        <is>
          <t>IMF.RES:WEO</t>
        </is>
      </c>
      <c r="D1627" s="3" t="inlineStr">
        <is>
          <t>KIR.BCA.A</t>
        </is>
      </c>
      <c r="E1627" s="3" t="inlineStr">
        <is>
          <t>Kiribati</t>
        </is>
      </c>
      <c r="F1627" s="3" t="inlineStr">
        <is>
          <t>Current account balance (credit less debit), US dollar</t>
        </is>
      </c>
      <c r="G1627" s="3" t="n">
        <v>-0.002475</v>
      </c>
      <c r="H1627" s="3" t="n">
        <v>-0.006209</v>
      </c>
      <c r="I1627" s="3" t="n">
        <v>-0.008533000000000001</v>
      </c>
      <c r="J1627" s="3" t="n">
        <v>-0.008427</v>
      </c>
      <c r="K1627" s="3" t="n">
        <v>-0.007477</v>
      </c>
      <c r="L1627" s="3" t="n">
        <v>-0.028526</v>
      </c>
      <c r="M1627" s="3" t="n">
        <v>-0.009676000000000001</v>
      </c>
      <c r="N1627" s="3" t="n">
        <v>-0.002509</v>
      </c>
      <c r="O1627" s="3" t="n">
        <v>-0.005247</v>
      </c>
      <c r="P1627" s="3" t="n">
        <v>-0.016565</v>
      </c>
      <c r="Q1627" s="3" t="n">
        <v>0.000195</v>
      </c>
      <c r="R1627" s="3" t="n">
        <v>-0.017302</v>
      </c>
      <c r="S1627" s="3" t="n">
        <v>0.00362</v>
      </c>
      <c r="T1627" s="3" t="n">
        <v>-0.010131</v>
      </c>
      <c r="U1627" s="3" t="n">
        <v>0.056046</v>
      </c>
      <c r="V1627" s="3" t="n">
        <v>0.056248</v>
      </c>
      <c r="W1627" s="3" t="n">
        <v>0.01922</v>
      </c>
      <c r="X1627" s="3" t="n">
        <v>0.07050099999999999</v>
      </c>
      <c r="Y1627" s="3" t="n">
        <v>0.076321</v>
      </c>
      <c r="Z1627" s="3" t="n">
        <v>0.08681800000000001</v>
      </c>
      <c r="AA1627" s="3" t="n">
        <v>0.071279</v>
      </c>
      <c r="AB1627" s="3" t="n">
        <v>0.020251</v>
      </c>
      <c r="AC1627" s="3" t="n">
        <v>-0.032523</v>
      </c>
      <c r="AD1627" s="3" t="n">
        <v>-0.005117</v>
      </c>
      <c r="AE1627" s="3" t="n">
        <v>-0.059541</v>
      </c>
      <c r="AF1627" s="3" t="n">
        <v>-0.065542</v>
      </c>
      <c r="AG1627" s="3" t="n">
        <v>-0.07076200000000001</v>
      </c>
      <c r="AH1627" s="3" t="n">
        <v>-0.069896</v>
      </c>
      <c r="AI1627" s="3" t="n">
        <v>-0.067666</v>
      </c>
      <c r="AJ1627" s="3" t="n">
        <v>-0.067913</v>
      </c>
      <c r="AK1627" s="3" t="n">
        <v>-0.068963</v>
      </c>
      <c r="AL1627" s="3" t="n">
        <v>-0.070905</v>
      </c>
      <c r="AM1627" s="3" t="n"/>
      <c r="AN1627" s="3" t="n"/>
      <c r="AO1627" s="3" t="n"/>
      <c r="AP1627" s="3" t="n"/>
      <c r="AQ1627" s="3" t="n"/>
      <c r="AR1627" s="3" t="n"/>
      <c r="AS1627" s="3" t="n"/>
      <c r="AT1627" s="3" t="n"/>
      <c r="AU1627" s="3" t="n"/>
    </row>
    <row r="1628">
      <c r="A1628" s="3" t="n">
        <v>2031</v>
      </c>
      <c r="B1628" s="3" t="inlineStr">
        <is>
          <t>KIR</t>
        </is>
      </c>
      <c r="C1628" s="3" t="inlineStr">
        <is>
          <t>IMF.RES:WEO</t>
        </is>
      </c>
      <c r="D1628" s="3" t="inlineStr">
        <is>
          <t>KIR.BCA_NGDPD.A</t>
        </is>
      </c>
      <c r="E1628" s="3" t="inlineStr">
        <is>
          <t>Kiribati</t>
        </is>
      </c>
      <c r="F1628" s="3" t="inlineStr">
        <is>
          <t>Current account balance (credit less debit), Percent of GDP</t>
        </is>
      </c>
      <c r="G1628" s="3" t="n">
        <v>-3.289899</v>
      </c>
      <c r="H1628" s="3" t="n">
        <v>-9.554231</v>
      </c>
      <c r="I1628" s="3" t="n">
        <v>-11.403843</v>
      </c>
      <c r="J1628" s="3" t="n">
        <v>-8.724204</v>
      </c>
      <c r="K1628" s="3" t="n">
        <v>-7.172162</v>
      </c>
      <c r="L1628" s="3" t="n">
        <v>-25.040004</v>
      </c>
      <c r="M1628" s="3" t="n">
        <v>-8.609976</v>
      </c>
      <c r="N1628" s="3" t="n">
        <v>-1.813829</v>
      </c>
      <c r="O1628" s="3" t="n">
        <v>-3.500386</v>
      </c>
      <c r="P1628" s="3" t="n">
        <v>-11.647286</v>
      </c>
      <c r="Q1628" s="3" t="n">
        <v>0.117324</v>
      </c>
      <c r="R1628" s="3" t="n">
        <v>-8.822818</v>
      </c>
      <c r="S1628" s="3" t="n">
        <v>1.748114</v>
      </c>
      <c r="T1628" s="3" t="n">
        <v>-5.006511</v>
      </c>
      <c r="U1628" s="3" t="n">
        <v>27.943393</v>
      </c>
      <c r="V1628" s="3" t="n">
        <v>29.310603</v>
      </c>
      <c r="W1628" s="3" t="n">
        <v>9.302372</v>
      </c>
      <c r="X1628" s="3" t="n">
        <v>31.618139</v>
      </c>
      <c r="Y1628" s="3" t="n">
        <v>32.640327</v>
      </c>
      <c r="Z1628" s="3" t="n">
        <v>37.177959</v>
      </c>
      <c r="AA1628" s="3" t="n">
        <v>32.163351</v>
      </c>
      <c r="AB1628" s="3" t="n">
        <v>7.086082</v>
      </c>
      <c r="AC1628" s="3" t="n">
        <v>-11.970915</v>
      </c>
      <c r="AD1628" s="3" t="n">
        <v>-1.754626</v>
      </c>
      <c r="AE1628" s="3" t="n">
        <v>-17.351936</v>
      </c>
      <c r="AF1628" s="3" t="n">
        <v>-18.765146</v>
      </c>
      <c r="AG1628" s="3" t="n">
        <v>-17.658875</v>
      </c>
      <c r="AH1628" s="3" t="n">
        <v>-16.762661</v>
      </c>
      <c r="AI1628" s="3" t="n">
        <v>-15.686722</v>
      </c>
      <c r="AJ1628" s="3" t="n">
        <v>-15.182694</v>
      </c>
      <c r="AK1628" s="3" t="n">
        <v>-14.857597</v>
      </c>
      <c r="AL1628" s="3" t="n">
        <v>-14.761065</v>
      </c>
      <c r="AM1628" s="3" t="n"/>
      <c r="AN1628" s="3" t="n"/>
      <c r="AO1628" s="3" t="n"/>
      <c r="AP1628" s="3" t="n"/>
      <c r="AQ1628" s="3" t="n"/>
      <c r="AR1628" s="3" t="n"/>
      <c r="AS1628" s="3" t="n"/>
      <c r="AT1628" s="3" t="n"/>
      <c r="AU1628" s="3" t="n"/>
    </row>
    <row r="1629">
      <c r="A1629" s="3" t="n">
        <v>2031</v>
      </c>
      <c r="B1629" s="3" t="inlineStr">
        <is>
          <t>KIR</t>
        </is>
      </c>
      <c r="C1629" s="3" t="inlineStr">
        <is>
          <t>IMF.RES:WEO</t>
        </is>
      </c>
      <c r="D1629" s="3" t="inlineStr">
        <is>
          <t>KIR.GGR_NGDP.A</t>
        </is>
      </c>
      <c r="E1629" s="3" t="inlineStr">
        <is>
          <t>Kiribati</t>
        </is>
      </c>
      <c r="F1629" s="3" t="inlineStr">
        <is>
          <t>Revenue, General government, Percent of GDP</t>
        </is>
      </c>
      <c r="G1629" s="3" t="n">
        <v>65.97368899999999</v>
      </c>
      <c r="H1629" s="3" t="n">
        <v>90.418497</v>
      </c>
      <c r="I1629" s="3" t="n">
        <v>100.011814</v>
      </c>
      <c r="J1629" s="3" t="n">
        <v>75.482578</v>
      </c>
      <c r="K1629" s="3" t="n">
        <v>84.55709899999999</v>
      </c>
      <c r="L1629" s="3" t="n">
        <v>85.66527499999999</v>
      </c>
      <c r="M1629" s="3" t="n">
        <v>69.846664</v>
      </c>
      <c r="N1629" s="3" t="n">
        <v>64.826098</v>
      </c>
      <c r="O1629" s="3" t="n">
        <v>63.545864</v>
      </c>
      <c r="P1629" s="3" t="n">
        <v>66.102142</v>
      </c>
      <c r="Q1629" s="3" t="n">
        <v>67.939239</v>
      </c>
      <c r="R1629" s="3" t="n">
        <v>63.30025</v>
      </c>
      <c r="S1629" s="3" t="n">
        <v>78.475174</v>
      </c>
      <c r="T1629" s="3" t="n">
        <v>89.74008000000001</v>
      </c>
      <c r="U1629" s="3" t="n">
        <v>136.203792</v>
      </c>
      <c r="V1629" s="3" t="n">
        <v>133.465909</v>
      </c>
      <c r="W1629" s="3" t="n">
        <v>119.110733</v>
      </c>
      <c r="X1629" s="3" t="n">
        <v>126.144528</v>
      </c>
      <c r="Y1629" s="3" t="n">
        <v>114.012142</v>
      </c>
      <c r="Z1629" s="3" t="n">
        <v>119.08019</v>
      </c>
      <c r="AA1629" s="3" t="n">
        <v>105.797069</v>
      </c>
      <c r="AB1629" s="3" t="n">
        <v>73.200548</v>
      </c>
      <c r="AC1629" s="3" t="n">
        <v>68.938438</v>
      </c>
      <c r="AD1629" s="3" t="n">
        <v>96.21191</v>
      </c>
      <c r="AE1629" s="3" t="n">
        <v>71.980442</v>
      </c>
      <c r="AF1629" s="3" t="n">
        <v>73.72629499999999</v>
      </c>
      <c r="AG1629" s="3" t="n">
        <v>99.531588</v>
      </c>
      <c r="AH1629" s="3" t="n">
        <v>78.960643</v>
      </c>
      <c r="AI1629" s="3" t="n">
        <v>80.654583</v>
      </c>
      <c r="AJ1629" s="3" t="n">
        <v>78.548485</v>
      </c>
      <c r="AK1629" s="3" t="n">
        <v>77.72810800000001</v>
      </c>
      <c r="AL1629" s="3" t="n">
        <v>76.573032</v>
      </c>
      <c r="AM1629" s="3" t="n"/>
      <c r="AN1629" s="3" t="n"/>
      <c r="AO1629" s="3" t="n"/>
      <c r="AP1629" s="3" t="n"/>
      <c r="AQ1629" s="3" t="n"/>
      <c r="AR1629" s="3" t="n"/>
      <c r="AS1629" s="3" t="n"/>
      <c r="AT1629" s="3" t="n"/>
      <c r="AU1629" s="3" t="n"/>
    </row>
    <row r="1630">
      <c r="A1630" s="3" t="n">
        <v>2031</v>
      </c>
      <c r="B1630" s="3" t="inlineStr">
        <is>
          <t>KIR</t>
        </is>
      </c>
      <c r="C1630" s="3" t="inlineStr">
        <is>
          <t>IMF.RES:WEO</t>
        </is>
      </c>
      <c r="D1630" s="3" t="inlineStr">
        <is>
          <t>KIR.GGX_NGDP.A</t>
        </is>
      </c>
      <c r="E1630" s="3" t="inlineStr">
        <is>
          <t>Kiribati</t>
        </is>
      </c>
      <c r="F1630" s="3" t="inlineStr">
        <is>
          <t>Expenditure, General government, Percent of GDP</t>
        </is>
      </c>
      <c r="G1630" s="3" t="n">
        <v>66.002234</v>
      </c>
      <c r="H1630" s="3" t="n">
        <v>101.293212</v>
      </c>
      <c r="I1630" s="3" t="n">
        <v>96.884232</v>
      </c>
      <c r="J1630" s="3" t="n">
        <v>84.415581</v>
      </c>
      <c r="K1630" s="3" t="n">
        <v>103.758782</v>
      </c>
      <c r="L1630" s="3" t="n">
        <v>95.622297</v>
      </c>
      <c r="M1630" s="3" t="n">
        <v>82.11738200000001</v>
      </c>
      <c r="N1630" s="3" t="n">
        <v>77.29870200000001</v>
      </c>
      <c r="O1630" s="3" t="n">
        <v>79.37499800000001</v>
      </c>
      <c r="P1630" s="3" t="n">
        <v>74.665893</v>
      </c>
      <c r="Q1630" s="3" t="n">
        <v>75.735499</v>
      </c>
      <c r="R1630" s="3" t="n">
        <v>80.855497</v>
      </c>
      <c r="S1630" s="3" t="n">
        <v>83.901032</v>
      </c>
      <c r="T1630" s="3" t="n">
        <v>77.983141</v>
      </c>
      <c r="U1630" s="3" t="n">
        <v>101.230527</v>
      </c>
      <c r="V1630" s="3" t="n">
        <v>90.948376</v>
      </c>
      <c r="W1630" s="3" t="n">
        <v>99.00914400000001</v>
      </c>
      <c r="X1630" s="3" t="n">
        <v>92.05910900000001</v>
      </c>
      <c r="Y1630" s="3" t="n">
        <v>108.830508</v>
      </c>
      <c r="Z1630" s="3" t="n">
        <v>108.27597</v>
      </c>
      <c r="AA1630" s="3" t="n">
        <v>102.224133</v>
      </c>
      <c r="AB1630" s="3" t="n">
        <v>83.95645</v>
      </c>
      <c r="AC1630" s="3" t="n">
        <v>87.16968</v>
      </c>
      <c r="AD1630" s="3" t="n">
        <v>94.401916</v>
      </c>
      <c r="AE1630" s="3" t="n">
        <v>86.127484</v>
      </c>
      <c r="AF1630" s="3" t="n">
        <v>88.218592</v>
      </c>
      <c r="AG1630" s="3" t="n">
        <v>116.278193</v>
      </c>
      <c r="AH1630" s="3" t="n">
        <v>94.211065</v>
      </c>
      <c r="AI1630" s="3" t="n">
        <v>93.22627199999999</v>
      </c>
      <c r="AJ1630" s="3" t="n">
        <v>93.207373</v>
      </c>
      <c r="AK1630" s="3" t="n">
        <v>92.259922</v>
      </c>
      <c r="AL1630" s="3" t="n">
        <v>91.293199</v>
      </c>
      <c r="AM1630" s="3" t="n"/>
      <c r="AN1630" s="3" t="n"/>
      <c r="AO1630" s="3" t="n"/>
      <c r="AP1630" s="3" t="n"/>
      <c r="AQ1630" s="3" t="n"/>
      <c r="AR1630" s="3" t="n"/>
      <c r="AS1630" s="3" t="n"/>
      <c r="AT1630" s="3" t="n"/>
      <c r="AU1630" s="3" t="n"/>
    </row>
    <row r="1631">
      <c r="A1631" s="3" t="n">
        <v>2031</v>
      </c>
      <c r="B1631" s="3" t="inlineStr">
        <is>
          <t>KIR</t>
        </is>
      </c>
      <c r="C1631" s="3" t="inlineStr">
        <is>
          <t>IMF.RES:WEO</t>
        </is>
      </c>
      <c r="D1631" s="3" t="inlineStr">
        <is>
          <t>KIR.LP.A</t>
        </is>
      </c>
      <c r="E1631" s="3" t="inlineStr">
        <is>
          <t>Kiribati</t>
        </is>
      </c>
      <c r="F1631" s="3" t="inlineStr">
        <is>
          <t>Population, Persons for countries / Index for country groups</t>
        </is>
      </c>
      <c r="G1631" s="3" t="n">
        <v>0.084494</v>
      </c>
      <c r="H1631" s="3" t="n">
        <v>0.086044</v>
      </c>
      <c r="I1631" s="3" t="n">
        <v>0.08762200000000001</v>
      </c>
      <c r="J1631" s="3" t="n">
        <v>0.089229</v>
      </c>
      <c r="K1631" s="3" t="n">
        <v>0.090866</v>
      </c>
      <c r="L1631" s="3" t="n">
        <v>0.092533</v>
      </c>
      <c r="M1631" s="3" t="n">
        <v>0.09454799999999999</v>
      </c>
      <c r="N1631" s="3" t="n">
        <v>0.096607</v>
      </c>
      <c r="O1631" s="3" t="n">
        <v>0.09871099999999999</v>
      </c>
      <c r="P1631" s="3" t="n">
        <v>0.100861</v>
      </c>
      <c r="Q1631" s="3" t="n">
        <v>0.103058</v>
      </c>
      <c r="R1631" s="3" t="n">
        <v>0.104436</v>
      </c>
      <c r="S1631" s="3" t="n">
        <v>0.105833</v>
      </c>
      <c r="T1631" s="3" t="n">
        <v>0.107248</v>
      </c>
      <c r="U1631" s="3" t="n">
        <v>0.108683</v>
      </c>
      <c r="V1631" s="3" t="n">
        <v>0.110136</v>
      </c>
      <c r="W1631" s="3" t="n">
        <v>0.111937</v>
      </c>
      <c r="X1631" s="3" t="n">
        <v>0.113767</v>
      </c>
      <c r="Y1631" s="3" t="n">
        <v>0.115626</v>
      </c>
      <c r="Z1631" s="3" t="n">
        <v>0.117517</v>
      </c>
      <c r="AA1631" s="3" t="n">
        <v>0.119438</v>
      </c>
      <c r="AB1631" s="3" t="n">
        <v>0.121391</v>
      </c>
      <c r="AC1631" s="3" t="n">
        <v>0.123375</v>
      </c>
      <c r="AD1631" s="3" t="n">
        <v>0.125392</v>
      </c>
      <c r="AE1631" s="3" t="n">
        <v>0.127317</v>
      </c>
      <c r="AF1631" s="3" t="n">
        <v>0.129297</v>
      </c>
      <c r="AG1631" s="3" t="n">
        <v>0.131336</v>
      </c>
      <c r="AH1631" s="3" t="n">
        <v>0.1334</v>
      </c>
      <c r="AI1631" s="3" t="n">
        <v>0.135487</v>
      </c>
      <c r="AJ1631" s="3" t="n">
        <v>0.137598</v>
      </c>
      <c r="AK1631" s="3" t="n">
        <v>0.13973</v>
      </c>
      <c r="AL1631" s="3" t="n">
        <v>0.141884</v>
      </c>
      <c r="AM1631" s="3" t="n"/>
      <c r="AN1631" s="3" t="n"/>
      <c r="AO1631" s="3" t="n"/>
      <c r="AP1631" s="3" t="n"/>
      <c r="AQ1631" s="3" t="n"/>
      <c r="AR1631" s="3" t="n"/>
      <c r="AS1631" s="3" t="n"/>
      <c r="AT1631" s="3" t="n"/>
      <c r="AU1631" s="3" t="n"/>
    </row>
    <row r="1632">
      <c r="A1632" s="3" t="n">
        <v>2031</v>
      </c>
      <c r="B1632" s="3" t="inlineStr">
        <is>
          <t>KIR</t>
        </is>
      </c>
      <c r="C1632" s="3" t="inlineStr">
        <is>
          <t>IMF.RES:WEO</t>
        </is>
      </c>
      <c r="D1632" s="3" t="inlineStr">
        <is>
          <t>KIR.NGDP.A</t>
        </is>
      </c>
      <c r="E1632" s="3" t="inlineStr">
        <is>
          <t>Kiribati</t>
        </is>
      </c>
      <c r="F1632" s="3" t="inlineStr">
        <is>
          <t>Gross domestic product (GDP), Current prices, Domestic currency</t>
        </is>
      </c>
      <c r="G1632" s="3" t="n">
        <v>0.129208</v>
      </c>
      <c r="H1632" s="3" t="n">
        <v>0.12555</v>
      </c>
      <c r="I1632" s="3" t="n">
        <v>0.137571</v>
      </c>
      <c r="J1632" s="3" t="n">
        <v>0.148187</v>
      </c>
      <c r="K1632" s="3" t="n">
        <v>0.141531</v>
      </c>
      <c r="L1632" s="3" t="n">
        <v>0.149143</v>
      </c>
      <c r="M1632" s="3" t="n">
        <v>0.149182</v>
      </c>
      <c r="N1632" s="3" t="n">
        <v>0.164986</v>
      </c>
      <c r="O1632" s="3" t="n">
        <v>0.175272</v>
      </c>
      <c r="P1632" s="3" t="n">
        <v>0.179734</v>
      </c>
      <c r="Q1632" s="3" t="n">
        <v>0.180376</v>
      </c>
      <c r="R1632" s="3" t="n">
        <v>0.189986</v>
      </c>
      <c r="S1632" s="3" t="n">
        <v>0.199922</v>
      </c>
      <c r="T1632" s="3" t="n">
        <v>0.208961</v>
      </c>
      <c r="U1632" s="3" t="n">
        <v>0.222191</v>
      </c>
      <c r="V1632" s="3" t="n">
        <v>0.254983</v>
      </c>
      <c r="W1632" s="3" t="n">
        <v>0.277743</v>
      </c>
      <c r="X1632" s="3" t="n">
        <v>0.290799</v>
      </c>
      <c r="Y1632" s="3" t="n">
        <v>0.312539</v>
      </c>
      <c r="Z1632" s="3" t="n">
        <v>0.312135</v>
      </c>
      <c r="AA1632" s="3" t="n">
        <v>0.320984</v>
      </c>
      <c r="AB1632" s="3" t="n">
        <v>0.380145</v>
      </c>
      <c r="AC1632" s="3" t="n">
        <v>0.390938</v>
      </c>
      <c r="AD1632" s="3" t="n">
        <v>0.438636</v>
      </c>
      <c r="AE1632" s="3" t="n">
        <v>0.519832</v>
      </c>
      <c r="AF1632" s="3" t="n">
        <v>0.5418500000000001</v>
      </c>
      <c r="AG1632" s="3" t="n">
        <v>0.569126</v>
      </c>
      <c r="AH1632" s="3" t="n">
        <v>0.593101</v>
      </c>
      <c r="AI1632" s="3" t="n">
        <v>0.616241</v>
      </c>
      <c r="AJ1632" s="3" t="n">
        <v>0.641998</v>
      </c>
      <c r="AK1632" s="3" t="n">
        <v>0.667834</v>
      </c>
      <c r="AL1632" s="3" t="n">
        <v>0.693403</v>
      </c>
      <c r="AM1632" s="3" t="n"/>
      <c r="AN1632" s="3" t="n"/>
      <c r="AO1632" s="3" t="n"/>
      <c r="AP1632" s="3" t="n"/>
      <c r="AQ1632" s="3" t="n"/>
      <c r="AR1632" s="3" t="n"/>
      <c r="AS1632" s="3" t="n"/>
      <c r="AT1632" s="3" t="n"/>
      <c r="AU1632" s="3" t="n"/>
    </row>
    <row r="1633">
      <c r="A1633" s="3" t="n">
        <v>2031</v>
      </c>
      <c r="B1633" s="3" t="inlineStr">
        <is>
          <t>KIR</t>
        </is>
      </c>
      <c r="C1633" s="3" t="inlineStr">
        <is>
          <t>IMF.RES:WEO</t>
        </is>
      </c>
      <c r="D1633" s="3" t="inlineStr">
        <is>
          <t>KIR.NGDP_D.A</t>
        </is>
      </c>
      <c r="E1633" s="3" t="inlineStr">
        <is>
          <t>Kiribati</t>
        </is>
      </c>
      <c r="F1633" s="3" t="inlineStr">
        <is>
          <t>Gross domestic product (GDP), Price deflator, Index</t>
        </is>
      </c>
      <c r="G1633" s="3" t="n">
        <v>68.29499</v>
      </c>
      <c r="H1633" s="3" t="n">
        <v>68.51567799999999</v>
      </c>
      <c r="I1633" s="3" t="n">
        <v>74.004958</v>
      </c>
      <c r="J1633" s="3" t="n">
        <v>80.991597</v>
      </c>
      <c r="K1633" s="3" t="n">
        <v>77.827882</v>
      </c>
      <c r="L1633" s="3" t="n">
        <v>80.967326</v>
      </c>
      <c r="M1633" s="3" t="n">
        <v>76.565522</v>
      </c>
      <c r="N1633" s="3" t="n">
        <v>82.166071</v>
      </c>
      <c r="O1633" s="3" t="n">
        <v>89.974135</v>
      </c>
      <c r="P1633" s="3" t="n">
        <v>91.772234</v>
      </c>
      <c r="Q1633" s="3" t="n">
        <v>90.984691</v>
      </c>
      <c r="R1633" s="3" t="n">
        <v>92.803134</v>
      </c>
      <c r="S1633" s="3" t="n">
        <v>92.300113</v>
      </c>
      <c r="T1633" s="3" t="n">
        <v>89.55026599999999</v>
      </c>
      <c r="U1633" s="3" t="n">
        <v>94.031638</v>
      </c>
      <c r="V1633" s="3" t="n">
        <v>96.98352300000001</v>
      </c>
      <c r="W1633" s="3" t="n">
        <v>98.64837300000001</v>
      </c>
      <c r="X1633" s="3" t="n">
        <v>99.553015</v>
      </c>
      <c r="Y1633" s="3" t="n">
        <v>103.397889</v>
      </c>
      <c r="Z1633" s="3" t="n">
        <v>100</v>
      </c>
      <c r="AA1633" s="3" t="n">
        <v>104.367031</v>
      </c>
      <c r="AB1633" s="3" t="n">
        <v>113.798175</v>
      </c>
      <c r="AC1633" s="3" t="n">
        <v>111.416481</v>
      </c>
      <c r="AD1633" s="3" t="n">
        <v>121.018539</v>
      </c>
      <c r="AE1633" s="3" t="n">
        <v>137.075537</v>
      </c>
      <c r="AF1633" s="3" t="n">
        <v>137.006445</v>
      </c>
      <c r="AG1633" s="3" t="n">
        <v>139.574006</v>
      </c>
      <c r="AH1633" s="3" t="n">
        <v>142.035437</v>
      </c>
      <c r="AI1633" s="3" t="n">
        <v>144.460587</v>
      </c>
      <c r="AJ1633" s="3" t="n">
        <v>147.329768</v>
      </c>
      <c r="AK1633" s="3" t="n">
        <v>150.10442</v>
      </c>
      <c r="AL1633" s="3" t="n">
        <v>152.632343</v>
      </c>
      <c r="AM1633" s="3" t="n"/>
      <c r="AN1633" s="3" t="n"/>
      <c r="AO1633" s="3" t="n"/>
      <c r="AP1633" s="3" t="n"/>
      <c r="AQ1633" s="3" t="n"/>
      <c r="AR1633" s="3" t="n"/>
      <c r="AS1633" s="3" t="n"/>
      <c r="AT1633" s="3" t="n"/>
      <c r="AU1633" s="3" t="n"/>
    </row>
    <row r="1634">
      <c r="A1634" s="3" t="n">
        <v>2031</v>
      </c>
      <c r="B1634" s="3" t="inlineStr">
        <is>
          <t>KIR</t>
        </is>
      </c>
      <c r="C1634" s="3" t="inlineStr">
        <is>
          <t>IMF.RES:WEO</t>
        </is>
      </c>
      <c r="D1634" s="3" t="inlineStr">
        <is>
          <t>KIR.NGDP_R.A</t>
        </is>
      </c>
      <c r="E1634" s="3" t="inlineStr">
        <is>
          <t>Kiribati</t>
        </is>
      </c>
      <c r="F1634" s="3" t="inlineStr">
        <is>
          <t>Gross domestic product (GDP), Constant prices, Domestic currency</t>
        </is>
      </c>
      <c r="G1634" s="3" t="n">
        <v>0.189191</v>
      </c>
      <c r="H1634" s="3" t="n">
        <v>0.183242</v>
      </c>
      <c r="I1634" s="3" t="n">
        <v>0.185894</v>
      </c>
      <c r="J1634" s="3" t="n">
        <v>0.182965</v>
      </c>
      <c r="K1634" s="3" t="n">
        <v>0.181851</v>
      </c>
      <c r="L1634" s="3" t="n">
        <v>0.184202</v>
      </c>
      <c r="M1634" s="3" t="n">
        <v>0.194843</v>
      </c>
      <c r="N1634" s="3" t="n">
        <v>0.200795</v>
      </c>
      <c r="O1634" s="3" t="n">
        <v>0.194802</v>
      </c>
      <c r="P1634" s="3" t="n">
        <v>0.195848</v>
      </c>
      <c r="Q1634" s="3" t="n">
        <v>0.198249</v>
      </c>
      <c r="R1634" s="3" t="n">
        <v>0.204719</v>
      </c>
      <c r="S1634" s="3" t="n">
        <v>0.2166</v>
      </c>
      <c r="T1634" s="3" t="n">
        <v>0.233345</v>
      </c>
      <c r="U1634" s="3" t="n">
        <v>0.236294</v>
      </c>
      <c r="V1634" s="3" t="n">
        <v>0.262914</v>
      </c>
      <c r="W1634" s="3" t="n">
        <v>0.281549</v>
      </c>
      <c r="X1634" s="3" t="n">
        <v>0.292105</v>
      </c>
      <c r="Y1634" s="3" t="n">
        <v>0.302268</v>
      </c>
      <c r="Z1634" s="3" t="n">
        <v>0.312135</v>
      </c>
      <c r="AA1634" s="3" t="n">
        <v>0.307553</v>
      </c>
      <c r="AB1634" s="3" t="n">
        <v>0.334052</v>
      </c>
      <c r="AC1634" s="3" t="n">
        <v>0.35088</v>
      </c>
      <c r="AD1634" s="3" t="n">
        <v>0.362454</v>
      </c>
      <c r="AE1634" s="3" t="n">
        <v>0.37923</v>
      </c>
      <c r="AF1634" s="3" t="n">
        <v>0.395493</v>
      </c>
      <c r="AG1634" s="3" t="n">
        <v>0.407759</v>
      </c>
      <c r="AH1634" s="3" t="n">
        <v>0.417572</v>
      </c>
      <c r="AI1634" s="3" t="n">
        <v>0.426581</v>
      </c>
      <c r="AJ1634" s="3" t="n">
        <v>0.435756</v>
      </c>
      <c r="AK1634" s="3" t="n">
        <v>0.444913</v>
      </c>
      <c r="AL1634" s="3" t="n">
        <v>0.454296</v>
      </c>
      <c r="AM1634" s="3" t="n"/>
      <c r="AN1634" s="3" t="n"/>
      <c r="AO1634" s="3" t="n"/>
      <c r="AP1634" s="3" t="n"/>
      <c r="AQ1634" s="3" t="n"/>
      <c r="AR1634" s="3" t="n"/>
      <c r="AS1634" s="3" t="n"/>
      <c r="AT1634" s="3" t="n"/>
      <c r="AU1634" s="3" t="n"/>
    </row>
    <row r="1635">
      <c r="A1635" s="3" t="n">
        <v>2031</v>
      </c>
      <c r="B1635" s="3" t="inlineStr">
        <is>
          <t>KIR</t>
        </is>
      </c>
      <c r="C1635" s="3" t="inlineStr">
        <is>
          <t>IMF.RES:WEO</t>
        </is>
      </c>
      <c r="D1635" s="3" t="inlineStr">
        <is>
          <t>KIR.NGDP_RPCH.A</t>
        </is>
      </c>
      <c r="E1635" s="3" t="inlineStr">
        <is>
          <t>Kiribati</t>
        </is>
      </c>
      <c r="F1635" s="3" t="inlineStr">
        <is>
          <t>Gross domestic product (GDP), Constant prices, Percent change</t>
        </is>
      </c>
      <c r="G1635" s="3" t="n">
        <v>6.742657</v>
      </c>
      <c r="H1635" s="3" t="n">
        <v>-3.14412</v>
      </c>
      <c r="I1635" s="3" t="n">
        <v>1.447156</v>
      </c>
      <c r="J1635" s="3" t="n">
        <v>-1.575444</v>
      </c>
      <c r="K1635" s="3" t="n">
        <v>-0.608969</v>
      </c>
      <c r="L1635" s="3" t="n">
        <v>1.292422</v>
      </c>
      <c r="M1635" s="3" t="n">
        <v>5.776915</v>
      </c>
      <c r="N1635" s="3" t="n">
        <v>3.055098</v>
      </c>
      <c r="O1635" s="3" t="n">
        <v>-2.984738</v>
      </c>
      <c r="P1635" s="3" t="n">
        <v>0.536787</v>
      </c>
      <c r="Q1635" s="3" t="n">
        <v>1.225963</v>
      </c>
      <c r="R1635" s="3" t="n">
        <v>3.263745</v>
      </c>
      <c r="S1635" s="3" t="n">
        <v>5.803641</v>
      </c>
      <c r="T1635" s="3" t="n">
        <v>7.730913</v>
      </c>
      <c r="U1635" s="3" t="n">
        <v>1.26367</v>
      </c>
      <c r="V1635" s="3" t="n">
        <v>11.265338</v>
      </c>
      <c r="W1635" s="3" t="n">
        <v>7.08803</v>
      </c>
      <c r="X1635" s="3" t="n">
        <v>3.74913</v>
      </c>
      <c r="Y1635" s="3" t="n">
        <v>3.479439</v>
      </c>
      <c r="Z1635" s="3" t="n">
        <v>3.264259</v>
      </c>
      <c r="AA1635" s="3" t="n">
        <v>-1.468055</v>
      </c>
      <c r="AB1635" s="3" t="n">
        <v>8.616113</v>
      </c>
      <c r="AC1635" s="3" t="n">
        <v>5.037603</v>
      </c>
      <c r="AD1635" s="3" t="n">
        <v>3.298544</v>
      </c>
      <c r="AE1635" s="3" t="n">
        <v>4.628555</v>
      </c>
      <c r="AF1635" s="3" t="n">
        <v>4.288268</v>
      </c>
      <c r="AG1635" s="3" t="n">
        <v>3.101642</v>
      </c>
      <c r="AH1635" s="3" t="n">
        <v>2.406583</v>
      </c>
      <c r="AI1635" s="3" t="n">
        <v>2.157353</v>
      </c>
      <c r="AJ1635" s="3" t="n">
        <v>2.150787</v>
      </c>
      <c r="AK1635" s="3" t="n">
        <v>2.101373</v>
      </c>
      <c r="AL1635" s="3" t="n">
        <v>2.109051</v>
      </c>
      <c r="AM1635" s="3" t="n"/>
      <c r="AN1635" s="3" t="n"/>
      <c r="AO1635" s="3" t="n"/>
      <c r="AP1635" s="3" t="n"/>
      <c r="AQ1635" s="3" t="n"/>
      <c r="AR1635" s="3" t="n"/>
      <c r="AS1635" s="3" t="n"/>
      <c r="AT1635" s="3" t="n"/>
      <c r="AU1635" s="3" t="n"/>
    </row>
    <row r="1636">
      <c r="A1636" s="3" t="n">
        <v>2031</v>
      </c>
      <c r="B1636" s="3" t="inlineStr">
        <is>
          <t>KIR</t>
        </is>
      </c>
      <c r="C1636" s="3" t="inlineStr">
        <is>
          <t>IMF.RES:WEO</t>
        </is>
      </c>
      <c r="D1636" s="3" t="inlineStr">
        <is>
          <t>KIR.NGDPD.A</t>
        </is>
      </c>
      <c r="E1636" s="3" t="inlineStr">
        <is>
          <t>Kiribati</t>
        </is>
      </c>
      <c r="F1636" s="3" t="inlineStr">
        <is>
          <t>Gross domestic product (GDP), Current prices, US dollar</t>
        </is>
      </c>
      <c r="G1636" s="3" t="n">
        <v>0.075236</v>
      </c>
      <c r="H1636" s="3" t="n">
        <v>0.064987</v>
      </c>
      <c r="I1636" s="3" t="n">
        <v>0.074822</v>
      </c>
      <c r="J1636" s="3" t="n">
        <v>0.096595</v>
      </c>
      <c r="K1636" s="3" t="n">
        <v>0.104249</v>
      </c>
      <c r="L1636" s="3" t="n">
        <v>0.113922</v>
      </c>
      <c r="M1636" s="3" t="n">
        <v>0.112387</v>
      </c>
      <c r="N1636" s="3" t="n">
        <v>0.13835</v>
      </c>
      <c r="O1636" s="3" t="n">
        <v>0.149904</v>
      </c>
      <c r="P1636" s="3" t="n">
        <v>0.142224</v>
      </c>
      <c r="Q1636" s="3" t="n">
        <v>0.165856</v>
      </c>
      <c r="R1636" s="3" t="n">
        <v>0.196106</v>
      </c>
      <c r="S1636" s="3" t="n">
        <v>0.207079</v>
      </c>
      <c r="T1636" s="3" t="n">
        <v>0.202364</v>
      </c>
      <c r="U1636" s="3" t="n">
        <v>0.200571</v>
      </c>
      <c r="V1636" s="3" t="n">
        <v>0.191903</v>
      </c>
      <c r="W1636" s="3" t="n">
        <v>0.20661</v>
      </c>
      <c r="X1636" s="3" t="n">
        <v>0.222977</v>
      </c>
      <c r="Y1636" s="3" t="n">
        <v>0.233823</v>
      </c>
      <c r="Z1636" s="3" t="n">
        <v>0.233521</v>
      </c>
      <c r="AA1636" s="3" t="n">
        <v>0.221614</v>
      </c>
      <c r="AB1636" s="3" t="n">
        <v>0.285785</v>
      </c>
      <c r="AC1636" s="3" t="n">
        <v>0.271684</v>
      </c>
      <c r="AD1636" s="3" t="n">
        <v>0.291617</v>
      </c>
      <c r="AE1636" s="3" t="n">
        <v>0.343135</v>
      </c>
      <c r="AF1636" s="3" t="n">
        <v>0.349277</v>
      </c>
      <c r="AG1636" s="3" t="n">
        <v>0.400715</v>
      </c>
      <c r="AH1636" s="3" t="n">
        <v>0.416976</v>
      </c>
      <c r="AI1636" s="3" t="n">
        <v>0.431359</v>
      </c>
      <c r="AJ1636" s="3" t="n">
        <v>0.447304</v>
      </c>
      <c r="AK1636" s="3" t="n">
        <v>0.464162</v>
      </c>
      <c r="AL1636" s="3" t="n">
        <v>0.480354</v>
      </c>
      <c r="AM1636" s="3" t="n"/>
      <c r="AN1636" s="3" t="n"/>
      <c r="AO1636" s="3" t="n"/>
      <c r="AP1636" s="3" t="n"/>
      <c r="AQ1636" s="3" t="n"/>
      <c r="AR1636" s="3" t="n"/>
      <c r="AS1636" s="3" t="n"/>
      <c r="AT1636" s="3" t="n"/>
      <c r="AU1636" s="3" t="n"/>
    </row>
    <row r="1637">
      <c r="A1637" s="3" t="n">
        <v>2031</v>
      </c>
      <c r="B1637" s="3" t="inlineStr">
        <is>
          <t>KIR</t>
        </is>
      </c>
      <c r="C1637" s="3" t="inlineStr">
        <is>
          <t>IMF.RES:WEO</t>
        </is>
      </c>
      <c r="D1637" s="3" t="inlineStr">
        <is>
          <t>KIR.NGDPPC.A</t>
        </is>
      </c>
      <c r="E1637" s="3" t="inlineStr">
        <is>
          <t>Kiribati</t>
        </is>
      </c>
      <c r="F1637" s="3" t="inlineStr">
        <is>
          <t>Gross domestic product (GDP), Current prices, Per capita, Domestic currency</t>
        </is>
      </c>
      <c r="G1637" s="3" t="n">
        <v>1529.19436</v>
      </c>
      <c r="H1637" s="3" t="n">
        <v>1459.135543</v>
      </c>
      <c r="I1637" s="3" t="n">
        <v>1570.045424</v>
      </c>
      <c r="J1637" s="3" t="n">
        <v>1660.736265</v>
      </c>
      <c r="K1637" s="3" t="n">
        <v>1557.574983</v>
      </c>
      <c r="L1637" s="3" t="n">
        <v>1611.782173</v>
      </c>
      <c r="M1637" s="3" t="n">
        <v>1577.842603</v>
      </c>
      <c r="N1637" s="3" t="n">
        <v>1707.793758</v>
      </c>
      <c r="O1637" s="3" t="n">
        <v>1775.593835</v>
      </c>
      <c r="P1637" s="3" t="n">
        <v>1781.989899</v>
      </c>
      <c r="Q1637" s="3" t="n">
        <v>1750.238207</v>
      </c>
      <c r="R1637" s="3" t="n">
        <v>1819.155545</v>
      </c>
      <c r="S1637" s="3" t="n">
        <v>1889.037236</v>
      </c>
      <c r="T1637" s="3" t="n">
        <v>1948.39042</v>
      </c>
      <c r="U1637" s="3" t="n">
        <v>2044.406507</v>
      </c>
      <c r="V1637" s="3" t="n">
        <v>2315.163065</v>
      </c>
      <c r="W1637" s="3" t="n">
        <v>2481.257497</v>
      </c>
      <c r="X1637" s="3" t="n">
        <v>2556.101811</v>
      </c>
      <c r="Y1637" s="3" t="n">
        <v>2703.004822</v>
      </c>
      <c r="Z1637" s="3" t="n">
        <v>2656.088487</v>
      </c>
      <c r="AA1637" s="3" t="n">
        <v>2687.449292</v>
      </c>
      <c r="AB1637" s="3" t="n">
        <v>3131.582517</v>
      </c>
      <c r="AC1637" s="3" t="n">
        <v>3168.69294</v>
      </c>
      <c r="AD1637" s="3" t="n">
        <v>3498.115784</v>
      </c>
      <c r="AE1637" s="3" t="n">
        <v>4082.961231</v>
      </c>
      <c r="AF1637" s="3" t="n">
        <v>4190.731888</v>
      </c>
      <c r="AG1637" s="3" t="n">
        <v>4333.352341</v>
      </c>
      <c r="AH1637" s="3" t="n">
        <v>4446.044607</v>
      </c>
      <c r="AI1637" s="3" t="n">
        <v>4548.342213</v>
      </c>
      <c r="AJ1637" s="3" t="n">
        <v>4665.766243</v>
      </c>
      <c r="AK1637" s="3" t="n">
        <v>4779.445502</v>
      </c>
      <c r="AL1637" s="3" t="n">
        <v>4887.098594</v>
      </c>
      <c r="AM1637" s="3" t="n"/>
      <c r="AN1637" s="3" t="n"/>
      <c r="AO1637" s="3" t="n"/>
      <c r="AP1637" s="3" t="n"/>
      <c r="AQ1637" s="3" t="n"/>
      <c r="AR1637" s="3" t="n"/>
      <c r="AS1637" s="3" t="n"/>
      <c r="AT1637" s="3" t="n"/>
      <c r="AU1637" s="3" t="n"/>
    </row>
    <row r="1638">
      <c r="A1638" s="3" t="n">
        <v>2031</v>
      </c>
      <c r="B1638" s="3" t="inlineStr">
        <is>
          <t>KIR</t>
        </is>
      </c>
      <c r="C1638" s="3" t="inlineStr">
        <is>
          <t>IMF.RES:WEO</t>
        </is>
      </c>
      <c r="D1638" s="3" t="inlineStr">
        <is>
          <t>KIR.NGDPRPC.A</t>
        </is>
      </c>
      <c r="E1638" s="3" t="inlineStr">
        <is>
          <t>Kiribati</t>
        </is>
      </c>
      <c r="F1638" s="3" t="inlineStr">
        <is>
          <t>Gross domestic product (GDP), Constant prices, Per capita, Domestic currency</t>
        </is>
      </c>
      <c r="G1638" s="3" t="n">
        <v>2239.101809</v>
      </c>
      <c r="H1638" s="3" t="n">
        <v>2129.637452</v>
      </c>
      <c r="I1638" s="3" t="n">
        <v>2121.540855</v>
      </c>
      <c r="J1638" s="3" t="n">
        <v>2050.50441</v>
      </c>
      <c r="K1638" s="3" t="n">
        <v>2001.307164</v>
      </c>
      <c r="L1638" s="3" t="n">
        <v>1990.657533</v>
      </c>
      <c r="M1638" s="3" t="n">
        <v>2060.774317</v>
      </c>
      <c r="N1638" s="3" t="n">
        <v>2078.465881</v>
      </c>
      <c r="O1638" s="3" t="n">
        <v>1973.449178</v>
      </c>
      <c r="P1638" s="3" t="n">
        <v>1941.752772</v>
      </c>
      <c r="Q1638" s="3" t="n">
        <v>1923.662313</v>
      </c>
      <c r="R1638" s="3" t="n">
        <v>1960.230715</v>
      </c>
      <c r="S1638" s="3" t="n">
        <v>2046.625049</v>
      </c>
      <c r="T1638" s="3" t="n">
        <v>2175.750576</v>
      </c>
      <c r="U1638" s="3" t="n">
        <v>2174.168771</v>
      </c>
      <c r="V1638" s="3" t="n">
        <v>2387.171536</v>
      </c>
      <c r="W1638" s="3" t="n">
        <v>2515.25436</v>
      </c>
      <c r="X1638" s="3" t="n">
        <v>2567.578495</v>
      </c>
      <c r="Y1638" s="3" t="n">
        <v>2614.177965</v>
      </c>
      <c r="Z1638" s="3" t="n">
        <v>2656.088487</v>
      </c>
      <c r="AA1638" s="3" t="n">
        <v>2574.998313</v>
      </c>
      <c r="AB1638" s="3" t="n">
        <v>2751.874103</v>
      </c>
      <c r="AC1638" s="3" t="n">
        <v>2844.007372</v>
      </c>
      <c r="AD1638" s="3" t="n">
        <v>2890.561902</v>
      </c>
      <c r="AE1638" s="3" t="n">
        <v>2978.621374</v>
      </c>
      <c r="AF1638" s="3" t="n">
        <v>3058.784495</v>
      </c>
      <c r="AG1638" s="3" t="n">
        <v>3104.698703</v>
      </c>
      <c r="AH1638" s="3" t="n">
        <v>3130.236165</v>
      </c>
      <c r="AI1638" s="3" t="n">
        <v>3148.500438</v>
      </c>
      <c r="AJ1638" s="3" t="n">
        <v>3166.886308</v>
      </c>
      <c r="AK1638" s="3" t="n">
        <v>3184.080459</v>
      </c>
      <c r="AL1638" s="3" t="n">
        <v>3201.876159</v>
      </c>
      <c r="AM1638" s="3" t="n"/>
      <c r="AN1638" s="3" t="n"/>
      <c r="AO1638" s="3" t="n"/>
      <c r="AP1638" s="3" t="n"/>
      <c r="AQ1638" s="3" t="n"/>
      <c r="AR1638" s="3" t="n"/>
      <c r="AS1638" s="3" t="n"/>
      <c r="AT1638" s="3" t="n"/>
      <c r="AU1638" s="3" t="n"/>
    </row>
    <row r="1639">
      <c r="A1639" s="3" t="n">
        <v>2031</v>
      </c>
      <c r="B1639" s="3" t="inlineStr">
        <is>
          <t>KIR</t>
        </is>
      </c>
      <c r="C1639" s="3" t="inlineStr">
        <is>
          <t>IMF.RES:WEO</t>
        </is>
      </c>
      <c r="D1639" s="3" t="inlineStr">
        <is>
          <t>KIR.PCPI.A</t>
        </is>
      </c>
      <c r="E1639" s="3" t="inlineStr">
        <is>
          <t>Kiribati</t>
        </is>
      </c>
      <c r="F1639" s="3" t="inlineStr">
        <is>
          <t>All Items, Consumer price index (CPI), Period average</t>
        </is>
      </c>
      <c r="G1639" s="3" t="n">
        <v>62.229562</v>
      </c>
      <c r="H1639" s="3" t="n">
        <v>65.964422</v>
      </c>
      <c r="I1639" s="3" t="n">
        <v>68.059271</v>
      </c>
      <c r="J1639" s="3" t="n">
        <v>69.170401</v>
      </c>
      <c r="K1639" s="3" t="n">
        <v>68.658349</v>
      </c>
      <c r="L1639" s="3" t="n">
        <v>68.417467</v>
      </c>
      <c r="M1639" s="3" t="n">
        <v>67.735084</v>
      </c>
      <c r="N1639" s="3" t="n">
        <v>70.158522</v>
      </c>
      <c r="O1639" s="3" t="n">
        <v>79.745965</v>
      </c>
      <c r="P1639" s="3" t="n">
        <v>87.574178</v>
      </c>
      <c r="Q1639" s="3" t="n">
        <v>84.15917899999999</v>
      </c>
      <c r="R1639" s="3" t="n">
        <v>85.419387</v>
      </c>
      <c r="S1639" s="3" t="n">
        <v>82.81762999999999</v>
      </c>
      <c r="T1639" s="3" t="n">
        <v>81.58525400000001</v>
      </c>
      <c r="U1639" s="3" t="n">
        <v>83.301796</v>
      </c>
      <c r="V1639" s="3" t="n">
        <v>83.778295</v>
      </c>
      <c r="W1639" s="3" t="n">
        <v>85.384586</v>
      </c>
      <c r="X1639" s="3" t="n">
        <v>85.688146</v>
      </c>
      <c r="Y1639" s="3" t="n">
        <v>86.171453</v>
      </c>
      <c r="Z1639" s="3" t="n">
        <v>84.60909599999999</v>
      </c>
      <c r="AA1639" s="3" t="n">
        <v>86.769374</v>
      </c>
      <c r="AB1639" s="3" t="n">
        <v>88.551284</v>
      </c>
      <c r="AC1639" s="3" t="n">
        <v>93.285195</v>
      </c>
      <c r="AD1639" s="3" t="n">
        <v>101.914247</v>
      </c>
      <c r="AE1639" s="3" t="n">
        <v>104.45026</v>
      </c>
      <c r="AF1639" s="3" t="n">
        <v>111.25511</v>
      </c>
      <c r="AG1639" s="3" t="n">
        <v>116.26159</v>
      </c>
      <c r="AH1639" s="3" t="n">
        <v>119.865699</v>
      </c>
      <c r="AI1639" s="3" t="n">
        <v>122.862341</v>
      </c>
      <c r="AJ1639" s="3" t="n">
        <v>125.319588</v>
      </c>
      <c r="AK1639" s="3" t="n">
        <v>127.82598</v>
      </c>
      <c r="AL1639" s="3" t="n">
        <v>130.126848</v>
      </c>
      <c r="AM1639" s="3" t="n"/>
      <c r="AN1639" s="3" t="n"/>
      <c r="AO1639" s="3" t="n"/>
      <c r="AP1639" s="3" t="n"/>
      <c r="AQ1639" s="3" t="n"/>
      <c r="AR1639" s="3" t="n"/>
      <c r="AS1639" s="3" t="n"/>
      <c r="AT1639" s="3" t="n"/>
      <c r="AU1639" s="3" t="n"/>
    </row>
    <row r="1640">
      <c r="A1640" s="3" t="n">
        <v>2031</v>
      </c>
      <c r="B1640" s="3" t="inlineStr">
        <is>
          <t>KIR</t>
        </is>
      </c>
      <c r="C1640" s="3" t="inlineStr">
        <is>
          <t>IMF.RES:WEO</t>
        </is>
      </c>
      <c r="D1640" s="3" t="inlineStr">
        <is>
          <t>KIR.PCPIPCH.A</t>
        </is>
      </c>
      <c r="E1640" s="3" t="inlineStr">
        <is>
          <t>Kiribati</t>
        </is>
      </c>
      <c r="F1640" s="3" t="inlineStr">
        <is>
          <t>All Items, Consumer price index (CPI), Period average, percent change</t>
        </is>
      </c>
      <c r="G1640" s="3" t="n">
        <v>0.376911</v>
      </c>
      <c r="H1640" s="3" t="n">
        <v>6.001746</v>
      </c>
      <c r="I1640" s="3" t="n">
        <v>3.175725</v>
      </c>
      <c r="J1640" s="3" t="n">
        <v>1.632593</v>
      </c>
      <c r="K1640" s="3" t="n">
        <v>-0.740277</v>
      </c>
      <c r="L1640" s="3" t="n">
        <v>-0.35084</v>
      </c>
      <c r="M1640" s="3" t="n">
        <v>-0.997382</v>
      </c>
      <c r="N1640" s="3" t="n">
        <v>3.577818</v>
      </c>
      <c r="O1640" s="3" t="n">
        <v>13.6654</v>
      </c>
      <c r="P1640" s="3" t="n">
        <v>9.816439000000001</v>
      </c>
      <c r="Q1640" s="3" t="n">
        <v>-3.89955</v>
      </c>
      <c r="R1640" s="3" t="n">
        <v>1.49741</v>
      </c>
      <c r="S1640" s="3" t="n">
        <v>-3.045863</v>
      </c>
      <c r="T1640" s="3" t="n">
        <v>-1.488059</v>
      </c>
      <c r="U1640" s="3" t="n">
        <v>2.103985</v>
      </c>
      <c r="V1640" s="3" t="n">
        <v>0.572016</v>
      </c>
      <c r="W1640" s="3" t="n">
        <v>1.917311</v>
      </c>
      <c r="X1640" s="3" t="n">
        <v>0.355521</v>
      </c>
      <c r="Y1640" s="3" t="n">
        <v>0.56403</v>
      </c>
      <c r="Z1640" s="3" t="n">
        <v>-1.81308</v>
      </c>
      <c r="AA1640" s="3" t="n">
        <v>2.553246</v>
      </c>
      <c r="AB1640" s="3" t="n">
        <v>2.053617</v>
      </c>
      <c r="AC1640" s="3" t="n">
        <v>5.345954</v>
      </c>
      <c r="AD1640" s="3" t="n">
        <v>9.250184000000001</v>
      </c>
      <c r="AE1640" s="3" t="n">
        <v>2.48838</v>
      </c>
      <c r="AF1640" s="3" t="n">
        <v>6.514918</v>
      </c>
      <c r="AG1640" s="3" t="n">
        <v>4.5</v>
      </c>
      <c r="AH1640" s="3" t="n">
        <v>3.1</v>
      </c>
      <c r="AI1640" s="3" t="n">
        <v>2.5</v>
      </c>
      <c r="AJ1640" s="3" t="n">
        <v>2</v>
      </c>
      <c r="AK1640" s="3" t="n">
        <v>2</v>
      </c>
      <c r="AL1640" s="3" t="n">
        <v>1.8</v>
      </c>
      <c r="AM1640" s="3" t="n"/>
      <c r="AN1640" s="3" t="n"/>
      <c r="AO1640" s="3" t="n"/>
      <c r="AP1640" s="3" t="n"/>
      <c r="AQ1640" s="3" t="n"/>
      <c r="AR1640" s="3" t="n"/>
      <c r="AS1640" s="3" t="n"/>
      <c r="AT1640" s="3" t="n"/>
      <c r="AU1640" s="3" t="n"/>
    </row>
    <row r="1641">
      <c r="A1641" s="3" t="n">
        <v>2031</v>
      </c>
      <c r="B1641" s="3" t="inlineStr">
        <is>
          <t>KIR</t>
        </is>
      </c>
      <c r="C1641" s="3" t="inlineStr">
        <is>
          <t>IMF.RES:WEO</t>
        </is>
      </c>
      <c r="D1641" s="3" t="inlineStr">
        <is>
          <t>KIR.PPPPC.A</t>
        </is>
      </c>
      <c r="E1641" s="3" t="inlineStr">
        <is>
          <t>Kiribati</t>
        </is>
      </c>
      <c r="F1641" s="3" t="inlineStr">
        <is>
          <t>Gross domestic product (GDP), Per capita, purchasing power parity (PPP) international dollar, ICP benchmarks 2017-2021</t>
        </is>
      </c>
      <c r="G1641" s="3" t="n">
        <v>1550.015057</v>
      </c>
      <c r="H1641" s="3" t="n">
        <v>1507.432766</v>
      </c>
      <c r="I1641" s="3" t="n">
        <v>1525.038689</v>
      </c>
      <c r="J1641" s="3" t="n">
        <v>1503.074626</v>
      </c>
      <c r="K1641" s="3" t="n">
        <v>1506.45793</v>
      </c>
      <c r="L1641" s="3" t="n">
        <v>1545.430002</v>
      </c>
      <c r="M1641" s="3" t="n">
        <v>1649.202509</v>
      </c>
      <c r="N1641" s="3" t="n">
        <v>1708.4257</v>
      </c>
      <c r="O1641" s="3" t="n">
        <v>1653.354099</v>
      </c>
      <c r="P1641" s="3" t="n">
        <v>1636.832026</v>
      </c>
      <c r="Q1641" s="3" t="n">
        <v>1641.290681</v>
      </c>
      <c r="R1641" s="3" t="n">
        <v>1706.998907</v>
      </c>
      <c r="S1641" s="3" t="n">
        <v>1815.416374</v>
      </c>
      <c r="T1641" s="3" t="n">
        <v>1962.80242</v>
      </c>
      <c r="U1641" s="3" t="n">
        <v>1995.536998</v>
      </c>
      <c r="V1641" s="3" t="n">
        <v>2211.373265</v>
      </c>
      <c r="W1641" s="3" t="n">
        <v>2352.164131</v>
      </c>
      <c r="X1641" s="3" t="n">
        <v>2444.096516</v>
      </c>
      <c r="Y1641" s="3" t="n">
        <v>2545.460112</v>
      </c>
      <c r="Z1641" s="3" t="n">
        <v>2628.958871</v>
      </c>
      <c r="AA1641" s="3" t="n">
        <v>2582.967697</v>
      </c>
      <c r="AB1641" s="3" t="n">
        <v>2886.352496</v>
      </c>
      <c r="AC1641" s="3" t="n">
        <v>3195.150593</v>
      </c>
      <c r="AD1641" s="3" t="n">
        <v>3367.609955</v>
      </c>
      <c r="AE1641" s="3" t="n">
        <v>3556.351779</v>
      </c>
      <c r="AF1641" s="3" t="n">
        <v>3755.663767</v>
      </c>
      <c r="AG1641" s="3" t="n">
        <v>3921.247774</v>
      </c>
      <c r="AH1641" s="3" t="n">
        <v>4040.316721</v>
      </c>
      <c r="AI1641" s="3" t="n">
        <v>4130.595448</v>
      </c>
      <c r="AJ1641" s="3" t="n">
        <v>4228.591691</v>
      </c>
      <c r="AK1641" s="3" t="n">
        <v>4329.673594</v>
      </c>
      <c r="AL1641" s="3" t="n">
        <v>4432.472498</v>
      </c>
      <c r="AM1641" s="3" t="n"/>
      <c r="AN1641" s="3" t="n"/>
      <c r="AO1641" s="3" t="n"/>
      <c r="AP1641" s="3" t="n"/>
      <c r="AQ1641" s="3" t="n"/>
      <c r="AR1641" s="3" t="n"/>
      <c r="AS1641" s="3" t="n"/>
      <c r="AT1641" s="3" t="n"/>
      <c r="AU1641" s="3" t="n"/>
    </row>
    <row r="1642">
      <c r="A1642" s="3" t="n">
        <v>2025</v>
      </c>
      <c r="B1642" s="3" t="inlineStr">
        <is>
          <t>KIR</t>
        </is>
      </c>
      <c r="C1642" s="3" t="inlineStr">
        <is>
          <t>IMF.STA:ER</t>
        </is>
      </c>
      <c r="D1642" s="3" t="inlineStr">
        <is>
          <t>KIR.XDC_USD.PA_RT.A</t>
        </is>
      </c>
      <c r="E1642" s="3" t="inlineStr">
        <is>
          <t>Kiribati</t>
        </is>
      </c>
      <c r="F1642" s="3" t="inlineStr">
        <is>
          <t>Domestic currency per US Dollar</t>
        </is>
      </c>
      <c r="G1642" s="3" t="n">
        <v>1.72482666666667</v>
      </c>
      <c r="H1642" s="3" t="n">
        <v>1.9334425</v>
      </c>
      <c r="I1642" s="3" t="n">
        <v>1.8405625</v>
      </c>
      <c r="J1642" s="3" t="n">
        <v>1.54191416666667</v>
      </c>
      <c r="K1642" s="3" t="n">
        <v>1.3597525</v>
      </c>
      <c r="L1642" s="3" t="n">
        <v>1.30947333333333</v>
      </c>
      <c r="M1642" s="3" t="n">
        <v>1.3279734405</v>
      </c>
      <c r="N1642" s="3" t="n">
        <v>1.1950725</v>
      </c>
      <c r="O1642" s="3" t="n">
        <v>1.19217833333333</v>
      </c>
      <c r="P1642" s="3" t="n">
        <v>1.28218881008452</v>
      </c>
      <c r="Q1642" s="3" t="n">
        <v>1.09015948638677</v>
      </c>
      <c r="R1642" s="3" t="n">
        <v>0.969463201496735</v>
      </c>
      <c r="S1642" s="3" t="n">
        <v>0.965801030658708</v>
      </c>
      <c r="T1642" s="3" t="n">
        <v>1.03584309652054</v>
      </c>
      <c r="U1642" s="3" t="n">
        <v>1.10936329281692</v>
      </c>
      <c r="V1642" s="3" t="n">
        <v>1.33109026245502</v>
      </c>
      <c r="W1642" s="3" t="n">
        <v>1.34521397601947</v>
      </c>
      <c r="X1642" s="3" t="n">
        <v>1.30475807671592</v>
      </c>
      <c r="Y1642" s="3" t="n">
        <v>1.33841214646451</v>
      </c>
      <c r="Z1642" s="3" t="n">
        <v>1.43850654421382</v>
      </c>
      <c r="AA1642" s="3" t="n">
        <v>1.45308511847016</v>
      </c>
      <c r="AB1642" s="3" t="n">
        <v>1.33122425957081</v>
      </c>
      <c r="AC1642" s="3" t="n">
        <v>1.44166445896522</v>
      </c>
      <c r="AD1642" s="3" t="n">
        <v>1.50519106560508</v>
      </c>
      <c r="AE1642" s="3" t="n">
        <v>1.51535803855595</v>
      </c>
      <c r="AF1642" s="3" t="n">
        <v>1.5519978866485</v>
      </c>
      <c r="AG1642" s="3" t="n"/>
      <c r="AH1642" s="3" t="n"/>
      <c r="AI1642" s="3" t="n"/>
      <c r="AJ1642" s="3" t="n"/>
      <c r="AK1642" s="3" t="n"/>
      <c r="AL1642" s="3" t="n"/>
      <c r="AM1642" s="3" t="n"/>
      <c r="AN1642" s="3" t="n"/>
      <c r="AO1642" s="3" t="n"/>
      <c r="AP1642" s="3" t="n"/>
      <c r="AQ1642" s="3" t="n"/>
      <c r="AR1642" s="3" t="n"/>
      <c r="AS1642" s="3" t="n"/>
      <c r="AT1642" s="3" t="n"/>
      <c r="AU1642" s="3" t="n"/>
    </row>
    <row r="1643">
      <c r="A1643" s="3" t="n">
        <v>2031</v>
      </c>
      <c r="B1643" s="3" t="inlineStr">
        <is>
          <t>KNA</t>
        </is>
      </c>
      <c r="C1643" s="3" t="inlineStr">
        <is>
          <t>IMF.RES:WEO</t>
        </is>
      </c>
      <c r="D1643" s="3" t="inlineStr">
        <is>
          <t>KNA.BCA.A</t>
        </is>
      </c>
      <c r="E1643" s="3" t="inlineStr">
        <is>
          <t>St. Kitts and Nevis</t>
        </is>
      </c>
      <c r="F1643" s="3" t="inlineStr">
        <is>
          <t>Current account balance (credit less debit), US dollar</t>
        </is>
      </c>
      <c r="G1643" s="3" t="n"/>
      <c r="H1643" s="3" t="n"/>
      <c r="I1643" s="3" t="n"/>
      <c r="J1643" s="3" t="n"/>
      <c r="K1643" s="3" t="n"/>
      <c r="L1643" s="3" t="n"/>
      <c r="M1643" s="3" t="n"/>
      <c r="N1643" s="3" t="n"/>
      <c r="O1643" s="3" t="n"/>
      <c r="P1643" s="3" t="n"/>
      <c r="Q1643" s="3" t="n"/>
      <c r="R1643" s="3" t="n"/>
      <c r="S1643" s="3" t="n"/>
      <c r="T1643" s="3" t="n"/>
      <c r="U1643" s="3" t="n">
        <v>0.006644</v>
      </c>
      <c r="V1643" s="3" t="n">
        <v>-0.0776</v>
      </c>
      <c r="W1643" s="3" t="n">
        <v>-0.121637</v>
      </c>
      <c r="X1643" s="3" t="n">
        <v>-0.108378</v>
      </c>
      <c r="Y1643" s="3" t="n">
        <v>-0.06293</v>
      </c>
      <c r="Z1643" s="3" t="n">
        <v>-0.053011</v>
      </c>
      <c r="AA1643" s="3" t="n">
        <v>-0.0958</v>
      </c>
      <c r="AB1643" s="3" t="n">
        <v>-0.028789</v>
      </c>
      <c r="AC1643" s="3" t="n">
        <v>-0.104219</v>
      </c>
      <c r="AD1643" s="3" t="n">
        <v>-0.141911</v>
      </c>
      <c r="AE1643" s="3" t="n">
        <v>-0.136811</v>
      </c>
      <c r="AF1643" s="3" t="n">
        <v>-0.157875</v>
      </c>
      <c r="AG1643" s="3" t="n">
        <v>-0.176502</v>
      </c>
      <c r="AH1643" s="3" t="n">
        <v>-0.169799</v>
      </c>
      <c r="AI1643" s="3" t="n">
        <v>-0.164349</v>
      </c>
      <c r="AJ1643" s="3" t="n">
        <v>-0.165202</v>
      </c>
      <c r="AK1643" s="3" t="n">
        <v>-0.165732</v>
      </c>
      <c r="AL1643" s="3" t="n">
        <v>-0.170818</v>
      </c>
      <c r="AM1643" s="3" t="n"/>
      <c r="AN1643" s="3" t="n"/>
      <c r="AO1643" s="3" t="n"/>
      <c r="AP1643" s="3" t="n"/>
      <c r="AQ1643" s="3" t="n"/>
      <c r="AR1643" s="3" t="n"/>
      <c r="AS1643" s="3" t="n"/>
      <c r="AT1643" s="3" t="n"/>
      <c r="AU1643" s="3" t="n"/>
    </row>
    <row r="1644">
      <c r="A1644" s="3" t="n">
        <v>2031</v>
      </c>
      <c r="B1644" s="3" t="inlineStr">
        <is>
          <t>KNA</t>
        </is>
      </c>
      <c r="C1644" s="3" t="inlineStr">
        <is>
          <t>IMF.RES:WEO</t>
        </is>
      </c>
      <c r="D1644" s="3" t="inlineStr">
        <is>
          <t>KNA.BCA_NGDPD.A</t>
        </is>
      </c>
      <c r="E1644" s="3" t="inlineStr">
        <is>
          <t>St. Kitts and Nevis</t>
        </is>
      </c>
      <c r="F1644" s="3" t="inlineStr">
        <is>
          <t>Current account balance (credit less debit), Percent of GDP</t>
        </is>
      </c>
      <c r="G1644" s="3" t="n"/>
      <c r="H1644" s="3" t="n"/>
      <c r="I1644" s="3" t="n"/>
      <c r="J1644" s="3" t="n"/>
      <c r="K1644" s="3" t="n"/>
      <c r="L1644" s="3" t="n"/>
      <c r="M1644" s="3" t="n"/>
      <c r="N1644" s="3" t="n"/>
      <c r="O1644" s="3" t="n"/>
      <c r="P1644" s="3" t="n"/>
      <c r="Q1644" s="3" t="n"/>
      <c r="R1644" s="3" t="n"/>
      <c r="S1644" s="3" t="n"/>
      <c r="T1644" s="3" t="n"/>
      <c r="U1644" s="3" t="n">
        <v>0.682195</v>
      </c>
      <c r="V1644" s="3" t="n">
        <v>-8.106749000000001</v>
      </c>
      <c r="W1644" s="3" t="n">
        <v>-12.081378</v>
      </c>
      <c r="X1644" s="3" t="n">
        <v>-10.253616</v>
      </c>
      <c r="Y1644" s="3" t="n">
        <v>-5.92871</v>
      </c>
      <c r="Z1644" s="3" t="n">
        <v>-4.873858</v>
      </c>
      <c r="AA1644" s="3" t="n">
        <v>-11.048251</v>
      </c>
      <c r="AB1644" s="3" t="n">
        <v>-3.413065</v>
      </c>
      <c r="AC1644" s="3" t="n">
        <v>-10.825065</v>
      </c>
      <c r="AD1644" s="3" t="n">
        <v>-13.718668</v>
      </c>
      <c r="AE1644" s="3" t="n">
        <v>-13.023414</v>
      </c>
      <c r="AF1644" s="3" t="n">
        <v>-14.592225</v>
      </c>
      <c r="AG1644" s="3" t="n">
        <v>-15.44592</v>
      </c>
      <c r="AH1644" s="3" t="n">
        <v>-14.181383</v>
      </c>
      <c r="AI1644" s="3" t="n">
        <v>-13.107193</v>
      </c>
      <c r="AJ1644" s="3" t="n">
        <v>-12.564</v>
      </c>
      <c r="AK1644" s="3" t="n">
        <v>-12.033548</v>
      </c>
      <c r="AL1644" s="3" t="n">
        <v>-11.862146</v>
      </c>
      <c r="AM1644" s="3" t="n"/>
      <c r="AN1644" s="3" t="n"/>
      <c r="AO1644" s="3" t="n"/>
      <c r="AP1644" s="3" t="n"/>
      <c r="AQ1644" s="3" t="n"/>
      <c r="AR1644" s="3" t="n"/>
      <c r="AS1644" s="3" t="n"/>
      <c r="AT1644" s="3" t="n"/>
      <c r="AU1644" s="3" t="n"/>
    </row>
    <row r="1645">
      <c r="A1645" s="3" t="n">
        <v>2031</v>
      </c>
      <c r="B1645" s="3" t="inlineStr">
        <is>
          <t>KNA</t>
        </is>
      </c>
      <c r="C1645" s="3" t="inlineStr">
        <is>
          <t>IMF.RES:WEO</t>
        </is>
      </c>
      <c r="D1645" s="3" t="inlineStr">
        <is>
          <t>KNA.GGR_NGDP.A</t>
        </is>
      </c>
      <c r="E1645" s="3" t="inlineStr">
        <is>
          <t>St. Kitts and Nevis</t>
        </is>
      </c>
      <c r="F1645" s="3" t="inlineStr">
        <is>
          <t>Revenue, General government, Percent of GDP</t>
        </is>
      </c>
      <c r="G1645" s="3" t="n">
        <v>20.507564</v>
      </c>
      <c r="H1645" s="3" t="n">
        <v>19.107251</v>
      </c>
      <c r="I1645" s="3" t="n">
        <v>22.809941</v>
      </c>
      <c r="J1645" s="3" t="n">
        <v>24.474991</v>
      </c>
      <c r="K1645" s="3" t="n">
        <v>26.035332</v>
      </c>
      <c r="L1645" s="3" t="n">
        <v>29.761443</v>
      </c>
      <c r="M1645" s="3" t="n">
        <v>29.933638</v>
      </c>
      <c r="N1645" s="3" t="n">
        <v>29.918419</v>
      </c>
      <c r="O1645" s="3" t="n">
        <v>27.959197</v>
      </c>
      <c r="P1645" s="3" t="n">
        <v>29.144398</v>
      </c>
      <c r="Q1645" s="3" t="n">
        <v>27.011298</v>
      </c>
      <c r="R1645" s="3" t="n">
        <v>31.867352</v>
      </c>
      <c r="S1645" s="3" t="n">
        <v>30.620004</v>
      </c>
      <c r="T1645" s="3" t="n">
        <v>38.608094</v>
      </c>
      <c r="U1645" s="3" t="n">
        <v>35.704426</v>
      </c>
      <c r="V1645" s="3" t="n">
        <v>34.703992</v>
      </c>
      <c r="W1645" s="3" t="n">
        <v>29.823623</v>
      </c>
      <c r="X1645" s="3" t="n">
        <v>27.212907</v>
      </c>
      <c r="Y1645" s="3" t="n">
        <v>36.049103</v>
      </c>
      <c r="Z1645" s="3" t="n">
        <v>37.219744</v>
      </c>
      <c r="AA1645" s="3" t="n">
        <v>34.12451</v>
      </c>
      <c r="AB1645" s="3" t="n">
        <v>47.4538</v>
      </c>
      <c r="AC1645" s="3" t="n">
        <v>46.120832</v>
      </c>
      <c r="AD1645" s="3" t="n">
        <v>43.918554</v>
      </c>
      <c r="AE1645" s="3" t="n">
        <v>33.057329</v>
      </c>
      <c r="AF1645" s="3" t="n">
        <v>30.711097</v>
      </c>
      <c r="AG1645" s="3" t="n">
        <v>32.159086</v>
      </c>
      <c r="AH1645" s="3" t="n">
        <v>32.659086</v>
      </c>
      <c r="AI1645" s="3" t="n">
        <v>33.159086</v>
      </c>
      <c r="AJ1645" s="3" t="n">
        <v>33.159086</v>
      </c>
      <c r="AK1645" s="3" t="n">
        <v>33.159086</v>
      </c>
      <c r="AL1645" s="3" t="n">
        <v>33.159086</v>
      </c>
      <c r="AM1645" s="3" t="n"/>
      <c r="AN1645" s="3" t="n"/>
      <c r="AO1645" s="3" t="n"/>
      <c r="AP1645" s="3" t="n"/>
      <c r="AQ1645" s="3" t="n"/>
      <c r="AR1645" s="3" t="n"/>
      <c r="AS1645" s="3" t="n"/>
      <c r="AT1645" s="3" t="n"/>
      <c r="AU1645" s="3" t="n"/>
    </row>
    <row r="1646">
      <c r="A1646" s="3" t="n">
        <v>2031</v>
      </c>
      <c r="B1646" s="3" t="inlineStr">
        <is>
          <t>KNA</t>
        </is>
      </c>
      <c r="C1646" s="3" t="inlineStr">
        <is>
          <t>IMF.RES:WEO</t>
        </is>
      </c>
      <c r="D1646" s="3" t="inlineStr">
        <is>
          <t>KNA.GGX_NGDP.A</t>
        </is>
      </c>
      <c r="E1646" s="3" t="inlineStr">
        <is>
          <t>St. Kitts and Nevis</t>
        </is>
      </c>
      <c r="F1646" s="3" t="inlineStr">
        <is>
          <t>Expenditure, General government, Percent of GDP</t>
        </is>
      </c>
      <c r="G1646" s="3" t="n">
        <v>33.348411</v>
      </c>
      <c r="H1646" s="3" t="n">
        <v>29.493205</v>
      </c>
      <c r="I1646" s="3" t="n">
        <v>34.082803</v>
      </c>
      <c r="J1646" s="3" t="n">
        <v>29.968695</v>
      </c>
      <c r="K1646" s="3" t="n">
        <v>32.378879</v>
      </c>
      <c r="L1646" s="3" t="n">
        <v>33.049974</v>
      </c>
      <c r="M1646" s="3" t="n">
        <v>31.247578</v>
      </c>
      <c r="N1646" s="3" t="n">
        <v>30.90832</v>
      </c>
      <c r="O1646" s="3" t="n">
        <v>29.528615</v>
      </c>
      <c r="P1646" s="3" t="n">
        <v>30.370978</v>
      </c>
      <c r="Q1646" s="3" t="n">
        <v>31.156702</v>
      </c>
      <c r="R1646" s="3" t="n">
        <v>30.270308</v>
      </c>
      <c r="S1646" s="3" t="n">
        <v>26.422283</v>
      </c>
      <c r="T1646" s="3" t="n">
        <v>27.942142</v>
      </c>
      <c r="U1646" s="3" t="n">
        <v>27.370385</v>
      </c>
      <c r="V1646" s="3" t="n">
        <v>29.045977</v>
      </c>
      <c r="W1646" s="3" t="n">
        <v>26.058302</v>
      </c>
      <c r="X1646" s="3" t="n">
        <v>25.531548</v>
      </c>
      <c r="Y1646" s="3" t="n">
        <v>34.227614</v>
      </c>
      <c r="Z1646" s="3" t="n">
        <v>37.934235</v>
      </c>
      <c r="AA1646" s="3" t="n">
        <v>37.240685</v>
      </c>
      <c r="AB1646" s="3" t="n">
        <v>41.950404</v>
      </c>
      <c r="AC1646" s="3" t="n">
        <v>50.355338</v>
      </c>
      <c r="AD1646" s="3" t="n">
        <v>43.712023</v>
      </c>
      <c r="AE1646" s="3" t="n">
        <v>44.353102</v>
      </c>
      <c r="AF1646" s="3" t="n">
        <v>42.42298</v>
      </c>
      <c r="AG1646" s="3" t="n">
        <v>40.825872</v>
      </c>
      <c r="AH1646" s="3" t="n">
        <v>40.171769</v>
      </c>
      <c r="AI1646" s="3" t="n">
        <v>38.749899</v>
      </c>
      <c r="AJ1646" s="3" t="n">
        <v>38.898435</v>
      </c>
      <c r="AK1646" s="3" t="n">
        <v>39.034571</v>
      </c>
      <c r="AL1646" s="3" t="n">
        <v>39.162342</v>
      </c>
      <c r="AM1646" s="3" t="n"/>
      <c r="AN1646" s="3" t="n"/>
      <c r="AO1646" s="3" t="n"/>
      <c r="AP1646" s="3" t="n"/>
      <c r="AQ1646" s="3" t="n"/>
      <c r="AR1646" s="3" t="n"/>
      <c r="AS1646" s="3" t="n"/>
      <c r="AT1646" s="3" t="n"/>
      <c r="AU1646" s="3" t="n"/>
    </row>
    <row r="1647">
      <c r="A1647" s="3" t="n">
        <v>2031</v>
      </c>
      <c r="B1647" s="3" t="inlineStr">
        <is>
          <t>KNA</t>
        </is>
      </c>
      <c r="C1647" s="3" t="inlineStr">
        <is>
          <t>IMF.RES:WEO</t>
        </is>
      </c>
      <c r="D1647" s="3" t="inlineStr">
        <is>
          <t>KNA.LP.A</t>
        </is>
      </c>
      <c r="E1647" s="3" t="inlineStr">
        <is>
          <t>St. Kitts and Nevis</t>
        </is>
      </c>
      <c r="F1647" s="3" t="inlineStr">
        <is>
          <t>Population, Persons for countries / Index for country groups</t>
        </is>
      </c>
      <c r="G1647" s="3" t="n">
        <v>0.044915</v>
      </c>
      <c r="H1647" s="3" t="n">
        <v>0.04558</v>
      </c>
      <c r="I1647" s="3" t="n">
        <v>0.045941</v>
      </c>
      <c r="J1647" s="3" t="n">
        <v>0.0461</v>
      </c>
      <c r="K1647" s="3" t="n">
        <v>0.046253</v>
      </c>
      <c r="L1647" s="3" t="n">
        <v>0.046376</v>
      </c>
      <c r="M1647" s="3" t="n">
        <v>0.046498</v>
      </c>
      <c r="N1647" s="3" t="n">
        <v>0.046639</v>
      </c>
      <c r="O1647" s="3" t="n">
        <v>0.046772</v>
      </c>
      <c r="P1647" s="3" t="n">
        <v>0.046898</v>
      </c>
      <c r="Q1647" s="3" t="n">
        <v>0.046935</v>
      </c>
      <c r="R1647" s="3" t="n">
        <v>0.047195</v>
      </c>
      <c r="S1647" s="3" t="n">
        <v>0.047556</v>
      </c>
      <c r="T1647" s="3" t="n">
        <v>0.04792</v>
      </c>
      <c r="U1647" s="3" t="n">
        <v>0.048286</v>
      </c>
      <c r="V1647" s="3" t="n">
        <v>0.048655</v>
      </c>
      <c r="W1647" s="3" t="n">
        <v>0.049027</v>
      </c>
      <c r="X1647" s="3" t="n">
        <v>0.049402</v>
      </c>
      <c r="Y1647" s="3" t="n">
        <v>0.04978</v>
      </c>
      <c r="Z1647" s="3" t="n">
        <v>0.050161</v>
      </c>
      <c r="AA1647" s="3" t="n">
        <v>0.050544</v>
      </c>
      <c r="AB1647" s="3" t="n">
        <v>0.050931</v>
      </c>
      <c r="AC1647" s="3" t="n">
        <v>0.05132</v>
      </c>
      <c r="AD1647" s="3" t="n">
        <v>0.051328</v>
      </c>
      <c r="AE1647" s="3" t="n">
        <v>0.051427</v>
      </c>
      <c r="AF1647" s="3" t="n">
        <v>0.051514</v>
      </c>
      <c r="AG1647" s="3" t="n">
        <v>0.051599</v>
      </c>
      <c r="AH1647" s="3" t="n">
        <v>0.051668</v>
      </c>
      <c r="AI1647" s="3" t="n">
        <v>0.051735</v>
      </c>
      <c r="AJ1647" s="3" t="n">
        <v>0.051757</v>
      </c>
      <c r="AK1647" s="3" t="n">
        <v>0.051785</v>
      </c>
      <c r="AL1647" s="3" t="n">
        <v>0.051786</v>
      </c>
      <c r="AM1647" s="3" t="n"/>
      <c r="AN1647" s="3" t="n"/>
      <c r="AO1647" s="3" t="n"/>
      <c r="AP1647" s="3" t="n"/>
      <c r="AQ1647" s="3" t="n"/>
      <c r="AR1647" s="3" t="n"/>
      <c r="AS1647" s="3" t="n"/>
      <c r="AT1647" s="3" t="n"/>
      <c r="AU1647" s="3" t="n"/>
    </row>
    <row r="1648">
      <c r="A1648" s="3" t="n">
        <v>2031</v>
      </c>
      <c r="B1648" s="3" t="inlineStr">
        <is>
          <t>KNA</t>
        </is>
      </c>
      <c r="C1648" s="3" t="inlineStr">
        <is>
          <t>IMF.RES:WEO</t>
        </is>
      </c>
      <c r="D1648" s="3" t="inlineStr">
        <is>
          <t>KNA.NGDP.A</t>
        </is>
      </c>
      <c r="E1648" s="3" t="inlineStr">
        <is>
          <t>St. Kitts and Nevis</t>
        </is>
      </c>
      <c r="F1648" s="3" t="inlineStr">
        <is>
          <t>Gross domestic product (GDP), Current prices, Domestic currency</t>
        </is>
      </c>
      <c r="G1648" s="3" t="n">
        <v>1.18054</v>
      </c>
      <c r="H1648" s="3" t="n">
        <v>1.29421</v>
      </c>
      <c r="I1648" s="3" t="n">
        <v>1.34832</v>
      </c>
      <c r="J1648" s="3" t="n">
        <v>1.30498</v>
      </c>
      <c r="K1648" s="3" t="n">
        <v>1.42352</v>
      </c>
      <c r="L1648" s="3" t="n">
        <v>1.54968</v>
      </c>
      <c r="M1648" s="3" t="n">
        <v>1.81123</v>
      </c>
      <c r="N1648" s="3" t="n">
        <v>1.93627</v>
      </c>
      <c r="O1648" s="3" t="n">
        <v>2.099756</v>
      </c>
      <c r="P1648" s="3" t="n">
        <v>2.090536</v>
      </c>
      <c r="Q1648" s="3" t="n">
        <v>2.102551</v>
      </c>
      <c r="R1648" s="3" t="n">
        <v>2.257458</v>
      </c>
      <c r="S1648" s="3" t="n">
        <v>2.292806</v>
      </c>
      <c r="T1648" s="3" t="n">
        <v>2.420714</v>
      </c>
      <c r="U1648" s="3" t="n">
        <v>2.629745</v>
      </c>
      <c r="V1648" s="3" t="n">
        <v>2.584513</v>
      </c>
      <c r="W1648" s="3" t="n">
        <v>2.718399</v>
      </c>
      <c r="X1648" s="3" t="n">
        <v>2.853823</v>
      </c>
      <c r="Y1648" s="3" t="n">
        <v>2.865885</v>
      </c>
      <c r="Z1648" s="3" t="n">
        <v>2.936688</v>
      </c>
      <c r="AA1648" s="3" t="n">
        <v>2.341185</v>
      </c>
      <c r="AB1648" s="3" t="n">
        <v>2.277425</v>
      </c>
      <c r="AC1648" s="3" t="n">
        <v>2.59943</v>
      </c>
      <c r="AD1648" s="3" t="n">
        <v>2.792983</v>
      </c>
      <c r="AE1648" s="3" t="n">
        <v>2.836353</v>
      </c>
      <c r="AF1648" s="3" t="n">
        <v>2.921163</v>
      </c>
      <c r="AG1648" s="3" t="n">
        <v>3.085323</v>
      </c>
      <c r="AH1648" s="3" t="n">
        <v>3.232806</v>
      </c>
      <c r="AI1648" s="3" t="n">
        <v>3.385483</v>
      </c>
      <c r="AJ1648" s="3" t="n">
        <v>3.550185</v>
      </c>
      <c r="AK1648" s="3" t="n">
        <v>3.718577</v>
      </c>
      <c r="AL1648" s="3" t="n">
        <v>3.888078</v>
      </c>
      <c r="AM1648" s="3" t="n"/>
      <c r="AN1648" s="3" t="n"/>
      <c r="AO1648" s="3" t="n"/>
      <c r="AP1648" s="3" t="n"/>
      <c r="AQ1648" s="3" t="n"/>
      <c r="AR1648" s="3" t="n"/>
      <c r="AS1648" s="3" t="n"/>
      <c r="AT1648" s="3" t="n"/>
      <c r="AU1648" s="3" t="n"/>
    </row>
    <row r="1649">
      <c r="A1649" s="3" t="n">
        <v>2031</v>
      </c>
      <c r="B1649" s="3" t="inlineStr">
        <is>
          <t>KNA</t>
        </is>
      </c>
      <c r="C1649" s="3" t="inlineStr">
        <is>
          <t>IMF.RES:WEO</t>
        </is>
      </c>
      <c r="D1649" s="3" t="inlineStr">
        <is>
          <t>KNA.NGDP_D.A</t>
        </is>
      </c>
      <c r="E1649" s="3" t="inlineStr">
        <is>
          <t>St. Kitts and Nevis</t>
        </is>
      </c>
      <c r="F1649" s="3" t="inlineStr">
        <is>
          <t>Gross domestic product (GDP), Price deflator, Index</t>
        </is>
      </c>
      <c r="G1649" s="3" t="n">
        <v>79.259597</v>
      </c>
      <c r="H1649" s="3" t="n">
        <v>82.717738</v>
      </c>
      <c r="I1649" s="3" t="n">
        <v>84.864048</v>
      </c>
      <c r="J1649" s="3" t="n">
        <v>85.29838599999999</v>
      </c>
      <c r="K1649" s="3" t="n">
        <v>89.48509900000001</v>
      </c>
      <c r="L1649" s="3" t="n">
        <v>88.377398</v>
      </c>
      <c r="M1649" s="3" t="n">
        <v>100.049162</v>
      </c>
      <c r="N1649" s="3" t="n">
        <v>105.724489</v>
      </c>
      <c r="O1649" s="3" t="n">
        <v>107.765474</v>
      </c>
      <c r="P1649" s="3" t="n">
        <v>111.074055</v>
      </c>
      <c r="Q1649" s="3" t="n">
        <v>111.771242</v>
      </c>
      <c r="R1649" s="3" t="n">
        <v>118.098128</v>
      </c>
      <c r="S1649" s="3" t="n">
        <v>118.609785</v>
      </c>
      <c r="T1649" s="3" t="n">
        <v>118.769547</v>
      </c>
      <c r="U1649" s="3" t="n">
        <v>120.126244</v>
      </c>
      <c r="V1649" s="3" t="n">
        <v>118.933872</v>
      </c>
      <c r="W1649" s="3" t="n">
        <v>120.360873</v>
      </c>
      <c r="X1649" s="3" t="n">
        <v>126.079617</v>
      </c>
      <c r="Y1649" s="3" t="n">
        <v>126.261982</v>
      </c>
      <c r="Z1649" s="3" t="n">
        <v>126.330716</v>
      </c>
      <c r="AA1649" s="3" t="n">
        <v>118.833421</v>
      </c>
      <c r="AB1649" s="3" t="n">
        <v>114.881259</v>
      </c>
      <c r="AC1649" s="3" t="n">
        <v>118.619659</v>
      </c>
      <c r="AD1649" s="3" t="n">
        <v>121.828826</v>
      </c>
      <c r="AE1649" s="3" t="n">
        <v>121.657587</v>
      </c>
      <c r="AF1649" s="3" t="n">
        <v>123.449532</v>
      </c>
      <c r="AG1649" s="3" t="n">
        <v>127.781098</v>
      </c>
      <c r="AH1649" s="3" t="n">
        <v>130.59548</v>
      </c>
      <c r="AI1649" s="3" t="n">
        <v>133.251516</v>
      </c>
      <c r="AJ1649" s="3" t="n">
        <v>136.023164</v>
      </c>
      <c r="AK1649" s="3" t="n">
        <v>138.899606</v>
      </c>
      <c r="AL1649" s="3" t="n">
        <v>141.743351</v>
      </c>
      <c r="AM1649" s="3" t="n"/>
      <c r="AN1649" s="3" t="n"/>
      <c r="AO1649" s="3" t="n"/>
      <c r="AP1649" s="3" t="n"/>
      <c r="AQ1649" s="3" t="n"/>
      <c r="AR1649" s="3" t="n"/>
      <c r="AS1649" s="3" t="n"/>
      <c r="AT1649" s="3" t="n"/>
      <c r="AU1649" s="3" t="n"/>
    </row>
    <row r="1650">
      <c r="A1650" s="3" t="n">
        <v>2031</v>
      </c>
      <c r="B1650" s="3" t="inlineStr">
        <is>
          <t>KNA</t>
        </is>
      </c>
      <c r="C1650" s="3" t="inlineStr">
        <is>
          <t>IMF.RES:WEO</t>
        </is>
      </c>
      <c r="D1650" s="3" t="inlineStr">
        <is>
          <t>KNA.NGDP_R.A</t>
        </is>
      </c>
      <c r="E1650" s="3" t="inlineStr">
        <is>
          <t>St. Kitts and Nevis</t>
        </is>
      </c>
      <c r="F1650" s="3" t="inlineStr">
        <is>
          <t>Gross domestic product (GDP), Constant prices, Domestic currency</t>
        </is>
      </c>
      <c r="G1650" s="3" t="n">
        <v>1.48946</v>
      </c>
      <c r="H1650" s="3" t="n">
        <v>1.56461</v>
      </c>
      <c r="I1650" s="3" t="n">
        <v>1.5888</v>
      </c>
      <c r="J1650" s="3" t="n">
        <v>1.5299</v>
      </c>
      <c r="K1650" s="3" t="n">
        <v>1.59079</v>
      </c>
      <c r="L1650" s="3" t="n">
        <v>1.75348</v>
      </c>
      <c r="M1650" s="3" t="n">
        <v>1.81034</v>
      </c>
      <c r="N1650" s="3" t="n">
        <v>1.83143</v>
      </c>
      <c r="O1650" s="3" t="n">
        <v>1.94845</v>
      </c>
      <c r="P1650" s="3" t="n">
        <v>1.88211</v>
      </c>
      <c r="Q1650" s="3" t="n">
        <v>1.88112</v>
      </c>
      <c r="R1650" s="3" t="n">
        <v>1.91151</v>
      </c>
      <c r="S1650" s="3" t="n">
        <v>1.933067</v>
      </c>
      <c r="T1650" s="3" t="n">
        <v>2.03816</v>
      </c>
      <c r="U1650" s="3" t="n">
        <v>2.189152</v>
      </c>
      <c r="V1650" s="3" t="n">
        <v>2.173067</v>
      </c>
      <c r="W1650" s="3" t="n">
        <v>2.25854</v>
      </c>
      <c r="X1650" s="3" t="n">
        <v>2.263508</v>
      </c>
      <c r="Y1650" s="3" t="n">
        <v>2.269792</v>
      </c>
      <c r="Z1650" s="3" t="n">
        <v>2.324603</v>
      </c>
      <c r="AA1650" s="3" t="n">
        <v>1.97014</v>
      </c>
      <c r="AB1650" s="3" t="n">
        <v>1.982416</v>
      </c>
      <c r="AC1650" s="3" t="n">
        <v>2.191399</v>
      </c>
      <c r="AD1650" s="3" t="n">
        <v>2.292547</v>
      </c>
      <c r="AE1650" s="3" t="n">
        <v>2.331423</v>
      </c>
      <c r="AF1650" s="3" t="n">
        <v>2.366281</v>
      </c>
      <c r="AG1650" s="3" t="n">
        <v>2.414538</v>
      </c>
      <c r="AH1650" s="3" t="n">
        <v>2.475435</v>
      </c>
      <c r="AI1650" s="3" t="n">
        <v>2.540671</v>
      </c>
      <c r="AJ1650" s="3" t="n">
        <v>2.609986</v>
      </c>
      <c r="AK1650" s="3" t="n">
        <v>2.677169</v>
      </c>
      <c r="AL1650" s="3" t="n">
        <v>2.743041</v>
      </c>
      <c r="AM1650" s="3" t="n"/>
      <c r="AN1650" s="3" t="n"/>
      <c r="AO1650" s="3" t="n"/>
      <c r="AP1650" s="3" t="n"/>
      <c r="AQ1650" s="3" t="n"/>
      <c r="AR1650" s="3" t="n"/>
      <c r="AS1650" s="3" t="n"/>
      <c r="AT1650" s="3" t="n"/>
      <c r="AU1650" s="3" t="n"/>
    </row>
    <row r="1651">
      <c r="A1651" s="3" t="n">
        <v>2031</v>
      </c>
      <c r="B1651" s="3" t="inlineStr">
        <is>
          <t>KNA</t>
        </is>
      </c>
      <c r="C1651" s="3" t="inlineStr">
        <is>
          <t>IMF.RES:WEO</t>
        </is>
      </c>
      <c r="D1651" s="3" t="inlineStr">
        <is>
          <t>KNA.NGDP_RPCH.A</t>
        </is>
      </c>
      <c r="E1651" s="3" t="inlineStr">
        <is>
          <t>St. Kitts and Nevis</t>
        </is>
      </c>
      <c r="F1651" s="3" t="inlineStr">
        <is>
          <t>Gross domestic product (GDP), Constant prices, Percent change</t>
        </is>
      </c>
      <c r="G1651" s="3" t="n">
        <v>13.376391</v>
      </c>
      <c r="H1651" s="3" t="n">
        <v>5.045453</v>
      </c>
      <c r="I1651" s="3" t="n">
        <v>1.546072</v>
      </c>
      <c r="J1651" s="3" t="n">
        <v>-3.7072</v>
      </c>
      <c r="K1651" s="3" t="n">
        <v>3.979999</v>
      </c>
      <c r="L1651" s="3" t="n">
        <v>10.226994</v>
      </c>
      <c r="M1651" s="3" t="n">
        <v>3.242695</v>
      </c>
      <c r="N1651" s="3" t="n">
        <v>1.164975</v>
      </c>
      <c r="O1651" s="3" t="n">
        <v>6.389543</v>
      </c>
      <c r="P1651" s="3" t="n">
        <v>-3.404758</v>
      </c>
      <c r="Q1651" s="3" t="n">
        <v>-0.052601</v>
      </c>
      <c r="R1651" s="3" t="n">
        <v>1.615527</v>
      </c>
      <c r="S1651" s="3" t="n">
        <v>1.127733</v>
      </c>
      <c r="T1651" s="3" t="n">
        <v>5.436633</v>
      </c>
      <c r="U1651" s="3" t="n">
        <v>7.408203</v>
      </c>
      <c r="V1651" s="3" t="n">
        <v>-0.734718</v>
      </c>
      <c r="W1651" s="3" t="n">
        <v>3.933271</v>
      </c>
      <c r="X1651" s="3" t="n">
        <v>0.219972</v>
      </c>
      <c r="Y1651" s="3" t="n">
        <v>0.27763</v>
      </c>
      <c r="Z1651" s="3" t="n">
        <v>2.414802</v>
      </c>
      <c r="AA1651" s="3" t="n">
        <v>-15.24833</v>
      </c>
      <c r="AB1651" s="3" t="n">
        <v>0.623117</v>
      </c>
      <c r="AC1651" s="3" t="n">
        <v>10.541811</v>
      </c>
      <c r="AD1651" s="3" t="n">
        <v>4.61566</v>
      </c>
      <c r="AE1651" s="3" t="n">
        <v>1.695773</v>
      </c>
      <c r="AF1651" s="3" t="n">
        <v>1.495139</v>
      </c>
      <c r="AG1651" s="3" t="n">
        <v>2.039371</v>
      </c>
      <c r="AH1651" s="3" t="n">
        <v>2.522091</v>
      </c>
      <c r="AI1651" s="3" t="n">
        <v>2.635349</v>
      </c>
      <c r="AJ1651" s="3" t="n">
        <v>2.728186</v>
      </c>
      <c r="AK1651" s="3" t="n">
        <v>2.57407</v>
      </c>
      <c r="AL1651" s="3" t="n">
        <v>2.460512</v>
      </c>
      <c r="AM1651" s="3" t="n"/>
      <c r="AN1651" s="3" t="n"/>
      <c r="AO1651" s="3" t="n"/>
      <c r="AP1651" s="3" t="n"/>
      <c r="AQ1651" s="3" t="n"/>
      <c r="AR1651" s="3" t="n"/>
      <c r="AS1651" s="3" t="n"/>
      <c r="AT1651" s="3" t="n"/>
      <c r="AU1651" s="3" t="n"/>
    </row>
    <row r="1652">
      <c r="A1652" s="3" t="n">
        <v>2031</v>
      </c>
      <c r="B1652" s="3" t="inlineStr">
        <is>
          <t>KNA</t>
        </is>
      </c>
      <c r="C1652" s="3" t="inlineStr">
        <is>
          <t>IMF.RES:WEO</t>
        </is>
      </c>
      <c r="D1652" s="3" t="inlineStr">
        <is>
          <t>KNA.NGDPD.A</t>
        </is>
      </c>
      <c r="E1652" s="3" t="inlineStr">
        <is>
          <t>St. Kitts and Nevis</t>
        </is>
      </c>
      <c r="F1652" s="3" t="inlineStr">
        <is>
          <t>Gross domestic product (GDP), Current prices, US dollar</t>
        </is>
      </c>
      <c r="G1652" s="3" t="n">
        <v>0.437237</v>
      </c>
      <c r="H1652" s="3" t="n">
        <v>0.479337</v>
      </c>
      <c r="I1652" s="3" t="n">
        <v>0.499378</v>
      </c>
      <c r="J1652" s="3" t="n">
        <v>0.483326</v>
      </c>
      <c r="K1652" s="3" t="n">
        <v>0.52723</v>
      </c>
      <c r="L1652" s="3" t="n">
        <v>0.573956</v>
      </c>
      <c r="M1652" s="3" t="n">
        <v>0.670826</v>
      </c>
      <c r="N1652" s="3" t="n">
        <v>0.717137</v>
      </c>
      <c r="O1652" s="3" t="n">
        <v>0.777688</v>
      </c>
      <c r="P1652" s="3" t="n">
        <v>0.774273</v>
      </c>
      <c r="Q1652" s="3" t="n">
        <v>0.7787230000000001</v>
      </c>
      <c r="R1652" s="3" t="n">
        <v>0.836095</v>
      </c>
      <c r="S1652" s="3" t="n">
        <v>0.8491880000000001</v>
      </c>
      <c r="T1652" s="3" t="n">
        <v>0.8965610000000001</v>
      </c>
      <c r="U1652" s="3" t="n">
        <v>0.97398</v>
      </c>
      <c r="V1652" s="3" t="n">
        <v>0.9572270000000001</v>
      </c>
      <c r="W1652" s="3" t="n">
        <v>1.006814</v>
      </c>
      <c r="X1652" s="3" t="n">
        <v>1.056971</v>
      </c>
      <c r="Y1652" s="3" t="n">
        <v>1.061439</v>
      </c>
      <c r="Z1652" s="3" t="n">
        <v>1.087662</v>
      </c>
      <c r="AA1652" s="3" t="n">
        <v>0.867106</v>
      </c>
      <c r="AB1652" s="3" t="n">
        <v>0.843491</v>
      </c>
      <c r="AC1652" s="3" t="n">
        <v>0.9627520000000001</v>
      </c>
      <c r="AD1652" s="3" t="n">
        <v>1.034438</v>
      </c>
      <c r="AE1652" s="3" t="n">
        <v>1.050501</v>
      </c>
      <c r="AF1652" s="3" t="n">
        <v>1.081912</v>
      </c>
      <c r="AG1652" s="3" t="n">
        <v>1.142712</v>
      </c>
      <c r="AH1652" s="3" t="n">
        <v>1.197336</v>
      </c>
      <c r="AI1652" s="3" t="n">
        <v>1.253883</v>
      </c>
      <c r="AJ1652" s="3" t="n">
        <v>1.314883</v>
      </c>
      <c r="AK1652" s="3" t="n">
        <v>1.377251</v>
      </c>
      <c r="AL1652" s="3" t="n">
        <v>1.440029</v>
      </c>
      <c r="AM1652" s="3" t="n"/>
      <c r="AN1652" s="3" t="n"/>
      <c r="AO1652" s="3" t="n"/>
      <c r="AP1652" s="3" t="n"/>
      <c r="AQ1652" s="3" t="n"/>
      <c r="AR1652" s="3" t="n"/>
      <c r="AS1652" s="3" t="n"/>
      <c r="AT1652" s="3" t="n"/>
      <c r="AU1652" s="3" t="n"/>
    </row>
    <row r="1653">
      <c r="A1653" s="3" t="n">
        <v>2031</v>
      </c>
      <c r="B1653" s="3" t="inlineStr">
        <is>
          <t>KNA</t>
        </is>
      </c>
      <c r="C1653" s="3" t="inlineStr">
        <is>
          <t>IMF.RES:WEO</t>
        </is>
      </c>
      <c r="D1653" s="3" t="inlineStr">
        <is>
          <t>KNA.NGDPPC.A</t>
        </is>
      </c>
      <c r="E1653" s="3" t="inlineStr">
        <is>
          <t>St. Kitts and Nevis</t>
        </is>
      </c>
      <c r="F1653" s="3" t="inlineStr">
        <is>
          <t>Gross domestic product (GDP), Current prices, Per capita, Domestic currency</t>
        </is>
      </c>
      <c r="G1653" s="3" t="n">
        <v>26283.869531</v>
      </c>
      <c r="H1653" s="3" t="n">
        <v>28394.251865</v>
      </c>
      <c r="I1653" s="3" t="n">
        <v>29348.947563</v>
      </c>
      <c r="J1653" s="3" t="n">
        <v>28307.592191</v>
      </c>
      <c r="K1653" s="3" t="n">
        <v>30776.814477</v>
      </c>
      <c r="L1653" s="3" t="n">
        <v>33415.559772</v>
      </c>
      <c r="M1653" s="3" t="n">
        <v>38952.858187</v>
      </c>
      <c r="N1653" s="3" t="n">
        <v>41516.113124</v>
      </c>
      <c r="O1653" s="3" t="n">
        <v>44893.448784</v>
      </c>
      <c r="P1653" s="3" t="n">
        <v>44576.227108</v>
      </c>
      <c r="Q1653" s="3" t="n">
        <v>44797.084988</v>
      </c>
      <c r="R1653" s="3" t="n">
        <v>47832.556945</v>
      </c>
      <c r="S1653" s="3" t="n">
        <v>48212.886327</v>
      </c>
      <c r="T1653" s="3" t="n">
        <v>50516.238162</v>
      </c>
      <c r="U1653" s="3" t="n">
        <v>54461.927097</v>
      </c>
      <c r="V1653" s="3" t="n">
        <v>53118.989504</v>
      </c>
      <c r="W1653" s="3" t="n">
        <v>55446.729107</v>
      </c>
      <c r="X1653" s="3" t="n">
        <v>57767.226638</v>
      </c>
      <c r="Y1653" s="3" t="n">
        <v>57571.170542</v>
      </c>
      <c r="Z1653" s="3" t="n">
        <v>58545.821601</v>
      </c>
      <c r="AA1653" s="3" t="n">
        <v>46319.681801</v>
      </c>
      <c r="AB1653" s="3" t="n">
        <v>44716.281468</v>
      </c>
      <c r="AC1653" s="3" t="n">
        <v>50651.40508</v>
      </c>
      <c r="AD1653" s="3" t="n">
        <v>54414.732889</v>
      </c>
      <c r="AE1653" s="3" t="n">
        <v>55153.440483</v>
      </c>
      <c r="AF1653" s="3" t="n">
        <v>56705.658554</v>
      </c>
      <c r="AG1653" s="3" t="n">
        <v>59794.142781</v>
      </c>
      <c r="AH1653" s="3" t="n">
        <v>62568.44886</v>
      </c>
      <c r="AI1653" s="3" t="n">
        <v>65438.501624</v>
      </c>
      <c r="AJ1653" s="3" t="n">
        <v>68592.91257</v>
      </c>
      <c r="AK1653" s="3" t="n">
        <v>71808.281661</v>
      </c>
      <c r="AL1653" s="3" t="n">
        <v>75079.871904</v>
      </c>
      <c r="AM1653" s="3" t="n"/>
      <c r="AN1653" s="3" t="n"/>
      <c r="AO1653" s="3" t="n"/>
      <c r="AP1653" s="3" t="n"/>
      <c r="AQ1653" s="3" t="n"/>
      <c r="AR1653" s="3" t="n"/>
      <c r="AS1653" s="3" t="n"/>
      <c r="AT1653" s="3" t="n"/>
      <c r="AU1653" s="3" t="n"/>
    </row>
    <row r="1654">
      <c r="A1654" s="3" t="n">
        <v>2031</v>
      </c>
      <c r="B1654" s="3" t="inlineStr">
        <is>
          <t>KNA</t>
        </is>
      </c>
      <c r="C1654" s="3" t="inlineStr">
        <is>
          <t>IMF.RES:WEO</t>
        </is>
      </c>
      <c r="D1654" s="3" t="inlineStr">
        <is>
          <t>KNA.NGDPRPC.A</t>
        </is>
      </c>
      <c r="E1654" s="3" t="inlineStr">
        <is>
          <t>St. Kitts and Nevis</t>
        </is>
      </c>
      <c r="F1654" s="3" t="inlineStr">
        <is>
          <t>Gross domestic product (GDP), Constant prices, Per capita, Domestic currency</t>
        </is>
      </c>
      <c r="G1654" s="3" t="n">
        <v>33161.749972</v>
      </c>
      <c r="H1654" s="3" t="n">
        <v>34326.678368</v>
      </c>
      <c r="I1654" s="3" t="n">
        <v>34583.487517</v>
      </c>
      <c r="J1654" s="3" t="n">
        <v>33186.550976</v>
      </c>
      <c r="K1654" s="3" t="n">
        <v>34393.228547</v>
      </c>
      <c r="L1654" s="3" t="n">
        <v>37810.074176</v>
      </c>
      <c r="M1654" s="3" t="n">
        <v>38933.717579</v>
      </c>
      <c r="N1654" s="3" t="n">
        <v>39268.20901</v>
      </c>
      <c r="O1654" s="3" t="n">
        <v>41658.47088</v>
      </c>
      <c r="P1654" s="3" t="n">
        <v>40131.988571</v>
      </c>
      <c r="Q1654" s="3" t="n">
        <v>40079.258549</v>
      </c>
      <c r="R1654" s="3" t="n">
        <v>40502.383727</v>
      </c>
      <c r="S1654" s="3" t="n">
        <v>40648.321315</v>
      </c>
      <c r="T1654" s="3" t="n">
        <v>42532.988724</v>
      </c>
      <c r="U1654" s="3" t="n">
        <v>45337.243138</v>
      </c>
      <c r="V1654" s="3" t="n">
        <v>44662.625261</v>
      </c>
      <c r="W1654" s="3" t="n">
        <v>46067.071215</v>
      </c>
      <c r="X1654" s="3" t="n">
        <v>45818.05368</v>
      </c>
      <c r="Y1654" s="3" t="n">
        <v>45596.599806</v>
      </c>
      <c r="Z1654" s="3" t="n">
        <v>46343.299183</v>
      </c>
      <c r="AA1654" s="3" t="n">
        <v>38978.665737</v>
      </c>
      <c r="AB1654" s="3" t="n">
        <v>38923.913045</v>
      </c>
      <c r="AC1654" s="3" t="n">
        <v>42700.68346</v>
      </c>
      <c r="AD1654" s="3" t="n">
        <v>44664.907829</v>
      </c>
      <c r="AE1654" s="3" t="n">
        <v>45334.978038</v>
      </c>
      <c r="AF1654" s="3" t="n">
        <v>45934.284014</v>
      </c>
      <c r="AG1654" s="3" t="n">
        <v>46794.200301</v>
      </c>
      <c r="AH1654" s="3" t="n">
        <v>47910.11807</v>
      </c>
      <c r="AI1654" s="3" t="n">
        <v>49109.011036</v>
      </c>
      <c r="AJ1654" s="3" t="n">
        <v>50427.376087</v>
      </c>
      <c r="AK1654" s="3" t="n">
        <v>51697.973789</v>
      </c>
      <c r="AL1654" s="3" t="n">
        <v>52968.884558</v>
      </c>
      <c r="AM1654" s="3" t="n"/>
      <c r="AN1654" s="3" t="n"/>
      <c r="AO1654" s="3" t="n"/>
      <c r="AP1654" s="3" t="n"/>
      <c r="AQ1654" s="3" t="n"/>
      <c r="AR1654" s="3" t="n"/>
      <c r="AS1654" s="3" t="n"/>
      <c r="AT1654" s="3" t="n"/>
      <c r="AU1654" s="3" t="n"/>
    </row>
    <row r="1655">
      <c r="A1655" s="3" t="n">
        <v>2031</v>
      </c>
      <c r="B1655" s="3" t="inlineStr">
        <is>
          <t>KNA</t>
        </is>
      </c>
      <c r="C1655" s="3" t="inlineStr">
        <is>
          <t>IMF.RES:WEO</t>
        </is>
      </c>
      <c r="D1655" s="3" t="inlineStr">
        <is>
          <t>KNA.PCPI.A</t>
        </is>
      </c>
      <c r="E1655" s="3" t="inlineStr">
        <is>
          <t>St. Kitts and Nevis</t>
        </is>
      </c>
      <c r="F1655" s="3" t="inlineStr">
        <is>
          <t>All Items, Consumer price index (CPI), Period average</t>
        </is>
      </c>
      <c r="G1655" s="3" t="n">
        <v>73.379507</v>
      </c>
      <c r="H1655" s="3" t="n">
        <v>74.948386</v>
      </c>
      <c r="I1655" s="3" t="n">
        <v>76.505681</v>
      </c>
      <c r="J1655" s="3" t="n">
        <v>78.24117</v>
      </c>
      <c r="K1655" s="3" t="n">
        <v>80.001209</v>
      </c>
      <c r="L1655" s="3" t="n">
        <v>82.700265</v>
      </c>
      <c r="M1655" s="3" t="n">
        <v>89.719438</v>
      </c>
      <c r="N1655" s="3" t="n">
        <v>93.739664</v>
      </c>
      <c r="O1655" s="3" t="n">
        <v>98.708144</v>
      </c>
      <c r="P1655" s="3" t="n">
        <v>100.739496</v>
      </c>
      <c r="Q1655" s="3" t="n">
        <v>101.596667</v>
      </c>
      <c r="R1655" s="3" t="n">
        <v>107.525</v>
      </c>
      <c r="S1655" s="3" t="n">
        <v>108.4025</v>
      </c>
      <c r="T1655" s="3" t="n">
        <v>109.6025</v>
      </c>
      <c r="U1655" s="3" t="n">
        <v>109.874167</v>
      </c>
      <c r="V1655" s="3" t="n">
        <v>107.345</v>
      </c>
      <c r="W1655" s="3" t="n">
        <v>106.606667</v>
      </c>
      <c r="X1655" s="3" t="n">
        <v>107.348347</v>
      </c>
      <c r="Y1655" s="3" t="n">
        <v>106.235989</v>
      </c>
      <c r="Z1655" s="3" t="n">
        <v>105.884537</v>
      </c>
      <c r="AA1655" s="3" t="n">
        <v>104.638205</v>
      </c>
      <c r="AB1655" s="3" t="n">
        <v>105.900145</v>
      </c>
      <c r="AC1655" s="3" t="n">
        <v>108.724695</v>
      </c>
      <c r="AD1655" s="3" t="n">
        <v>112.591986</v>
      </c>
      <c r="AE1655" s="3" t="n">
        <v>113.861426</v>
      </c>
      <c r="AF1655" s="3" t="n">
        <v>115.352913</v>
      </c>
      <c r="AG1655" s="3" t="n">
        <v>117.900781</v>
      </c>
      <c r="AH1655" s="3" t="n">
        <v>120.406872</v>
      </c>
      <c r="AI1655" s="3" t="n">
        <v>122.827369</v>
      </c>
      <c r="AJ1655" s="3" t="n">
        <v>125.337592</v>
      </c>
      <c r="AK1655" s="3" t="n">
        <v>127.899116</v>
      </c>
      <c r="AL1655" s="3" t="n">
        <v>130.512989</v>
      </c>
      <c r="AM1655" s="3" t="n"/>
      <c r="AN1655" s="3" t="n"/>
      <c r="AO1655" s="3" t="n"/>
      <c r="AP1655" s="3" t="n"/>
      <c r="AQ1655" s="3" t="n"/>
      <c r="AR1655" s="3" t="n"/>
      <c r="AS1655" s="3" t="n"/>
      <c r="AT1655" s="3" t="n"/>
      <c r="AU1655" s="3" t="n"/>
    </row>
    <row r="1656">
      <c r="A1656" s="3" t="n">
        <v>2031</v>
      </c>
      <c r="B1656" s="3" t="inlineStr">
        <is>
          <t>KNA</t>
        </is>
      </c>
      <c r="C1656" s="3" t="inlineStr">
        <is>
          <t>IMF.RES:WEO</t>
        </is>
      </c>
      <c r="D1656" s="3" t="inlineStr">
        <is>
          <t>KNA.PCPIPCH.A</t>
        </is>
      </c>
      <c r="E1656" s="3" t="inlineStr">
        <is>
          <t>St. Kitts and Nevis</t>
        </is>
      </c>
      <c r="F1656" s="3" t="inlineStr">
        <is>
          <t>All Items, Consumer price index (CPI), Period average, percent change</t>
        </is>
      </c>
      <c r="G1656" s="3" t="n">
        <v>2.109732</v>
      </c>
      <c r="H1656" s="3" t="n">
        <v>2.138035</v>
      </c>
      <c r="I1656" s="3" t="n">
        <v>2.077822</v>
      </c>
      <c r="J1656" s="3" t="n">
        <v>2.268445</v>
      </c>
      <c r="K1656" s="3" t="n">
        <v>2.249504</v>
      </c>
      <c r="L1656" s="3" t="n">
        <v>3.373769</v>
      </c>
      <c r="M1656" s="3" t="n">
        <v>8.487486000000001</v>
      </c>
      <c r="N1656" s="3" t="n">
        <v>4.480886</v>
      </c>
      <c r="O1656" s="3" t="n">
        <v>5.300297</v>
      </c>
      <c r="P1656" s="3" t="n">
        <v>2.057937</v>
      </c>
      <c r="Q1656" s="3" t="n">
        <v>0.8508790000000001</v>
      </c>
      <c r="R1656" s="3" t="n">
        <v>5.835165</v>
      </c>
      <c r="S1656" s="3" t="n">
        <v>0.816089</v>
      </c>
      <c r="T1656" s="3" t="n">
        <v>1.106986</v>
      </c>
      <c r="U1656" s="3" t="n">
        <v>0.247865</v>
      </c>
      <c r="V1656" s="3" t="n">
        <v>-2.301876</v>
      </c>
      <c r="W1656" s="3" t="n">
        <v>-0.687813</v>
      </c>
      <c r="X1656" s="3" t="n">
        <v>0.695717</v>
      </c>
      <c r="Y1656" s="3" t="n">
        <v>-1.036214</v>
      </c>
      <c r="Z1656" s="3" t="n">
        <v>-0.330822</v>
      </c>
      <c r="AA1656" s="3" t="n">
        <v>-1.177067</v>
      </c>
      <c r="AB1656" s="3" t="n">
        <v>1.206002</v>
      </c>
      <c r="AC1656" s="3" t="n">
        <v>2.667183</v>
      </c>
      <c r="AD1656" s="3" t="n">
        <v>3.556957</v>
      </c>
      <c r="AE1656" s="3" t="n">
        <v>1.127469</v>
      </c>
      <c r="AF1656" s="3" t="n">
        <v>1.309914</v>
      </c>
      <c r="AG1656" s="3" t="n">
        <v>2.208759</v>
      </c>
      <c r="AH1656" s="3" t="n">
        <v>2.125594</v>
      </c>
      <c r="AI1656" s="3" t="n">
        <v>2.010265</v>
      </c>
      <c r="AJ1656" s="3" t="n">
        <v>2.0437</v>
      </c>
      <c r="AK1656" s="3" t="n">
        <v>2.0437</v>
      </c>
      <c r="AL1656" s="3" t="n">
        <v>2.0437</v>
      </c>
      <c r="AM1656" s="3" t="n"/>
      <c r="AN1656" s="3" t="n"/>
      <c r="AO1656" s="3" t="n"/>
      <c r="AP1656" s="3" t="n"/>
      <c r="AQ1656" s="3" t="n"/>
      <c r="AR1656" s="3" t="n"/>
      <c r="AS1656" s="3" t="n"/>
      <c r="AT1656" s="3" t="n"/>
      <c r="AU1656" s="3" t="n"/>
    </row>
    <row r="1657">
      <c r="A1657" s="3" t="n">
        <v>2031</v>
      </c>
      <c r="B1657" s="3" t="inlineStr">
        <is>
          <t>KNA</t>
        </is>
      </c>
      <c r="C1657" s="3" t="inlineStr">
        <is>
          <t>IMF.RES:WEO</t>
        </is>
      </c>
      <c r="D1657" s="3" t="inlineStr">
        <is>
          <t>KNA.PPPPC.A</t>
        </is>
      </c>
      <c r="E1657" s="3" t="inlineStr">
        <is>
          <t>St. Kitts and Nevis</t>
        </is>
      </c>
      <c r="F1657" s="3" t="inlineStr">
        <is>
          <t>Gross domestic product (GDP), Per capita, purchasing power parity (PPP) international dollar, ICP benchmarks 2017-2021</t>
        </is>
      </c>
      <c r="G1657" s="3" t="n">
        <v>14827.155916</v>
      </c>
      <c r="H1657" s="3" t="n">
        <v>15693.5933</v>
      </c>
      <c r="I1657" s="3" t="n">
        <v>16056.710854</v>
      </c>
      <c r="J1657" s="3" t="n">
        <v>15712.319182</v>
      </c>
      <c r="K1657" s="3" t="n">
        <v>16721.473365</v>
      </c>
      <c r="L1657" s="3" t="n">
        <v>18959.140924</v>
      </c>
      <c r="M1657" s="3" t="n">
        <v>20124.623561</v>
      </c>
      <c r="N1657" s="3" t="n">
        <v>20847.434979</v>
      </c>
      <c r="O1657" s="3" t="n">
        <v>22542.47476</v>
      </c>
      <c r="P1657" s="3" t="n">
        <v>21850.390239</v>
      </c>
      <c r="Q1657" s="3" t="n">
        <v>22086.895845</v>
      </c>
      <c r="R1657" s="3" t="n">
        <v>22780.590378</v>
      </c>
      <c r="S1657" s="3" t="n">
        <v>23288.360519</v>
      </c>
      <c r="T1657" s="3" t="n">
        <v>24782.876702</v>
      </c>
      <c r="U1657" s="3" t="n">
        <v>26876.949585</v>
      </c>
      <c r="V1657" s="3" t="n">
        <v>26722.741599</v>
      </c>
      <c r="W1657" s="3" t="n">
        <v>27824.966636</v>
      </c>
      <c r="X1657" s="3" t="n">
        <v>28170.178358</v>
      </c>
      <c r="Y1657" s="3" t="n">
        <v>28672.026572</v>
      </c>
      <c r="Z1657" s="3" t="n">
        <v>29850.191518</v>
      </c>
      <c r="AA1657" s="3" t="n">
        <v>24857.608361</v>
      </c>
      <c r="AB1657" s="3" t="n">
        <v>24260.504489</v>
      </c>
      <c r="AC1657" s="3" t="n">
        <v>28507.4235</v>
      </c>
      <c r="AD1657" s="3" t="n">
        <v>30922.06434</v>
      </c>
      <c r="AE1657" s="3" t="n">
        <v>32165.13275</v>
      </c>
      <c r="AF1657" s="3" t="n">
        <v>33514.851745</v>
      </c>
      <c r="AG1657" s="3" t="n">
        <v>35120.394175</v>
      </c>
      <c r="AH1657" s="3" t="n">
        <v>36747.523332</v>
      </c>
      <c r="AI1657" s="3" t="n">
        <v>38285.349793</v>
      </c>
      <c r="AJ1657" s="3" t="n">
        <v>40012.176655</v>
      </c>
      <c r="AK1657" s="3" t="n">
        <v>41774.106776</v>
      </c>
      <c r="AL1657" s="3" t="n">
        <v>43573.743603</v>
      </c>
      <c r="AM1657" s="3" t="n"/>
      <c r="AN1657" s="3" t="n"/>
      <c r="AO1657" s="3" t="n"/>
      <c r="AP1657" s="3" t="n"/>
      <c r="AQ1657" s="3" t="n"/>
      <c r="AR1657" s="3" t="n"/>
      <c r="AS1657" s="3" t="n"/>
      <c r="AT1657" s="3" t="n"/>
      <c r="AU1657" s="3" t="n"/>
    </row>
    <row r="1658">
      <c r="A1658" s="3" t="n">
        <v>2025</v>
      </c>
      <c r="B1658" s="3" t="inlineStr">
        <is>
          <t>KNA</t>
        </is>
      </c>
      <c r="C1658" s="3" t="inlineStr">
        <is>
          <t>IMF.STA:ER</t>
        </is>
      </c>
      <c r="D1658" s="3" t="inlineStr">
        <is>
          <t>KNA.XDC_USD.PA_RT.A</t>
        </is>
      </c>
      <c r="E1658" s="3" t="inlineStr">
        <is>
          <t>St. Kitts and Nevis</t>
        </is>
      </c>
      <c r="F1658" s="3" t="inlineStr">
        <is>
          <t>Domestic currency per US Dollar</t>
        </is>
      </c>
      <c r="G1658" s="3" t="n">
        <v>2.7</v>
      </c>
      <c r="H1658" s="3" t="n">
        <v>2.7</v>
      </c>
      <c r="I1658" s="3" t="n">
        <v>2.7</v>
      </c>
      <c r="J1658" s="3" t="n">
        <v>2.7</v>
      </c>
      <c r="K1658" s="3" t="n">
        <v>2.7</v>
      </c>
      <c r="L1658" s="3" t="n">
        <v>2.7</v>
      </c>
      <c r="M1658" s="3" t="n">
        <v>2.7</v>
      </c>
      <c r="N1658" s="3" t="n">
        <v>2.7</v>
      </c>
      <c r="O1658" s="3" t="n">
        <v>2.7</v>
      </c>
      <c r="P1658" s="3" t="n">
        <v>2.7</v>
      </c>
      <c r="Q1658" s="3" t="n">
        <v>2.7</v>
      </c>
      <c r="R1658" s="3" t="n">
        <v>2.7</v>
      </c>
      <c r="S1658" s="3" t="n">
        <v>2.7</v>
      </c>
      <c r="T1658" s="3" t="n">
        <v>2.7</v>
      </c>
      <c r="U1658" s="3" t="n">
        <v>2.7</v>
      </c>
      <c r="V1658" s="3" t="n">
        <v>2.7</v>
      </c>
      <c r="W1658" s="3" t="n">
        <v>2.7</v>
      </c>
      <c r="X1658" s="3" t="n">
        <v>2.7</v>
      </c>
      <c r="Y1658" s="3" t="n">
        <v>2.7</v>
      </c>
      <c r="Z1658" s="3" t="n">
        <v>2.7</v>
      </c>
      <c r="AA1658" s="3" t="n">
        <v>2.7</v>
      </c>
      <c r="AB1658" s="3" t="n">
        <v>2.7</v>
      </c>
      <c r="AC1658" s="3" t="n">
        <v>2.7</v>
      </c>
      <c r="AD1658" s="3" t="n">
        <v>2.7</v>
      </c>
      <c r="AE1658" s="3" t="n">
        <v>2.7</v>
      </c>
      <c r="AF1658" s="3" t="n">
        <v>2.7</v>
      </c>
      <c r="AG1658" s="3" t="n"/>
      <c r="AH1658" s="3" t="n"/>
      <c r="AI1658" s="3" t="n"/>
      <c r="AJ1658" s="3" t="n"/>
      <c r="AK1658" s="3" t="n"/>
      <c r="AL1658" s="3" t="n"/>
      <c r="AM1658" s="3" t="n"/>
      <c r="AN1658" s="3" t="n"/>
      <c r="AO1658" s="3" t="n"/>
      <c r="AP1658" s="3" t="n"/>
      <c r="AQ1658" s="3" t="n"/>
      <c r="AR1658" s="3" t="n"/>
      <c r="AS1658" s="3" t="n"/>
      <c r="AT1658" s="3" t="n"/>
      <c r="AU1658" s="3" t="n"/>
    </row>
    <row r="1659">
      <c r="A1659" s="3" t="n">
        <v>2031</v>
      </c>
      <c r="B1659" s="3" t="inlineStr">
        <is>
          <t>KOR</t>
        </is>
      </c>
      <c r="C1659" s="3" t="inlineStr">
        <is>
          <t>IMF.RES:WEO</t>
        </is>
      </c>
      <c r="D1659" s="3" t="inlineStr">
        <is>
          <t>KOR.BCA.A</t>
        </is>
      </c>
      <c r="E1659" s="3" t="inlineStr">
        <is>
          <t>Korea, Republic of</t>
        </is>
      </c>
      <c r="F1659" s="3" t="inlineStr">
        <is>
          <t>Current account balance (credit less debit), US dollar</t>
        </is>
      </c>
      <c r="G1659" s="3" t="n">
        <v>10.1808</v>
      </c>
      <c r="H1659" s="3" t="n">
        <v>2.1652</v>
      </c>
      <c r="I1659" s="3" t="n">
        <v>4.0661</v>
      </c>
      <c r="J1659" s="3" t="n">
        <v>11.3083</v>
      </c>
      <c r="K1659" s="3" t="n">
        <v>29.2899</v>
      </c>
      <c r="L1659" s="3" t="n">
        <v>12.2086</v>
      </c>
      <c r="M1659" s="3" t="n">
        <v>2.0948</v>
      </c>
      <c r="N1659" s="3" t="n">
        <v>10.4725</v>
      </c>
      <c r="O1659" s="3" t="n">
        <v>1.753</v>
      </c>
      <c r="P1659" s="3" t="n">
        <v>33.0876</v>
      </c>
      <c r="Q1659" s="3" t="n">
        <v>27.9505</v>
      </c>
      <c r="R1659" s="3" t="n">
        <v>16.6382</v>
      </c>
      <c r="S1659" s="3" t="n">
        <v>48.7906</v>
      </c>
      <c r="T1659" s="3" t="n">
        <v>77.2589</v>
      </c>
      <c r="U1659" s="3" t="n">
        <v>83.0296</v>
      </c>
      <c r="V1659" s="3" t="n">
        <v>105.1186</v>
      </c>
      <c r="W1659" s="3" t="n">
        <v>97.9237</v>
      </c>
      <c r="X1659" s="3" t="n">
        <v>75.23090000000001</v>
      </c>
      <c r="Y1659" s="3" t="n">
        <v>77.4665</v>
      </c>
      <c r="Z1659" s="3" t="n">
        <v>59.6761</v>
      </c>
      <c r="AA1659" s="3" t="n">
        <v>76.25360000000001</v>
      </c>
      <c r="AB1659" s="3" t="n">
        <v>83.87909999999999</v>
      </c>
      <c r="AC1659" s="3" t="n">
        <v>23.2384</v>
      </c>
      <c r="AD1659" s="3" t="n">
        <v>32.5302</v>
      </c>
      <c r="AE1659" s="3" t="n">
        <v>99.9735</v>
      </c>
      <c r="AF1659" s="3" t="n">
        <v>123.0538</v>
      </c>
      <c r="AG1659" s="3" t="n">
        <v>107.835016</v>
      </c>
      <c r="AH1659" s="3" t="n">
        <v>109.525412</v>
      </c>
      <c r="AI1659" s="3" t="n">
        <v>111.728772</v>
      </c>
      <c r="AJ1659" s="3" t="n">
        <v>118.707336</v>
      </c>
      <c r="AK1659" s="3" t="n">
        <v>124.283959</v>
      </c>
      <c r="AL1659" s="3" t="n">
        <v>128.679644</v>
      </c>
      <c r="AM1659" s="3" t="n"/>
      <c r="AN1659" s="3" t="n"/>
      <c r="AO1659" s="3" t="n"/>
      <c r="AP1659" s="3" t="n"/>
      <c r="AQ1659" s="3" t="n"/>
      <c r="AR1659" s="3" t="n"/>
      <c r="AS1659" s="3" t="n"/>
      <c r="AT1659" s="3" t="n"/>
      <c r="AU1659" s="3" t="n"/>
    </row>
    <row r="1660">
      <c r="A1660" s="3" t="n">
        <v>2031</v>
      </c>
      <c r="B1660" s="3" t="inlineStr">
        <is>
          <t>KOR</t>
        </is>
      </c>
      <c r="C1660" s="3" t="inlineStr">
        <is>
          <t>IMF.RES:WEO</t>
        </is>
      </c>
      <c r="D1660" s="3" t="inlineStr">
        <is>
          <t>KOR.BCA_NGDPD.A</t>
        </is>
      </c>
      <c r="E1660" s="3" t="inlineStr">
        <is>
          <t>Korea, Republic of</t>
        </is>
      </c>
      <c r="F1660" s="3" t="inlineStr">
        <is>
          <t>Current account balance (credit less debit), Percent of GDP</t>
        </is>
      </c>
      <c r="G1660" s="3" t="n">
        <v>1.70304</v>
      </c>
      <c r="H1660" s="3" t="n">
        <v>0.381429</v>
      </c>
      <c r="I1660" s="3" t="n">
        <v>0.625797</v>
      </c>
      <c r="J1660" s="3" t="n">
        <v>1.552278</v>
      </c>
      <c r="K1660" s="3" t="n">
        <v>3.560722</v>
      </c>
      <c r="L1660" s="3" t="n">
        <v>1.256624</v>
      </c>
      <c r="M1660" s="3" t="n">
        <v>0.191386</v>
      </c>
      <c r="N1660" s="3" t="n">
        <v>0.85787</v>
      </c>
      <c r="O1660" s="3" t="n">
        <v>0.160313</v>
      </c>
      <c r="P1660" s="3" t="n">
        <v>3.366483</v>
      </c>
      <c r="Q1660" s="3" t="n">
        <v>2.343422</v>
      </c>
      <c r="R1660" s="3" t="n">
        <v>1.272775</v>
      </c>
      <c r="S1660" s="3" t="n">
        <v>3.653786</v>
      </c>
      <c r="T1660" s="3" t="n">
        <v>5.385135</v>
      </c>
      <c r="U1660" s="3" t="n">
        <v>5.335227</v>
      </c>
      <c r="V1660" s="3" t="n">
        <v>6.829376</v>
      </c>
      <c r="W1660" s="3" t="n">
        <v>6.202352</v>
      </c>
      <c r="X1660" s="3" t="n">
        <v>4.398962</v>
      </c>
      <c r="Y1660" s="3" t="n">
        <v>4.246481</v>
      </c>
      <c r="Z1660" s="3" t="n">
        <v>3.408026</v>
      </c>
      <c r="AA1660" s="3" t="n">
        <v>4.371198</v>
      </c>
      <c r="AB1660" s="3" t="n">
        <v>4.318515</v>
      </c>
      <c r="AC1660" s="3" t="n">
        <v>1.291479</v>
      </c>
      <c r="AD1660" s="3" t="n">
        <v>1.763345</v>
      </c>
      <c r="AE1660" s="3" t="n">
        <v>5.330816</v>
      </c>
      <c r="AF1660" s="3" t="n">
        <v>6.572071</v>
      </c>
      <c r="AG1660" s="3" t="n">
        <v>5.584391</v>
      </c>
      <c r="AH1660" s="3" t="n">
        <v>5.447788</v>
      </c>
      <c r="AI1660" s="3" t="n">
        <v>5.33482</v>
      </c>
      <c r="AJ1660" s="3" t="n">
        <v>5.441668</v>
      </c>
      <c r="AK1660" s="3" t="n">
        <v>5.482471</v>
      </c>
      <c r="AL1660" s="3" t="n">
        <v>5.458749</v>
      </c>
      <c r="AM1660" s="3" t="n"/>
      <c r="AN1660" s="3" t="n"/>
      <c r="AO1660" s="3" t="n"/>
      <c r="AP1660" s="3" t="n"/>
      <c r="AQ1660" s="3" t="n"/>
      <c r="AR1660" s="3" t="n"/>
      <c r="AS1660" s="3" t="n"/>
      <c r="AT1660" s="3" t="n"/>
      <c r="AU1660" s="3" t="n"/>
    </row>
    <row r="1661">
      <c r="A1661" s="3" t="n">
        <v>2031</v>
      </c>
      <c r="B1661" s="3" t="inlineStr">
        <is>
          <t>KOR</t>
        </is>
      </c>
      <c r="C1661" s="3" t="inlineStr">
        <is>
          <t>IMF.RES:WEO</t>
        </is>
      </c>
      <c r="D1661" s="3" t="inlineStr">
        <is>
          <t>KOR.GGR_NGDP.A</t>
        </is>
      </c>
      <c r="E1661" s="3" t="inlineStr">
        <is>
          <t>Korea, Republic of</t>
        </is>
      </c>
      <c r="F1661" s="3" t="inlineStr">
        <is>
          <t>Revenue, General government, Percent of GDP</t>
        </is>
      </c>
      <c r="G1661" s="3" t="n">
        <v>19.926113</v>
      </c>
      <c r="H1661" s="3" t="n">
        <v>19.361181</v>
      </c>
      <c r="I1661" s="3" t="n">
        <v>19.114559</v>
      </c>
      <c r="J1661" s="3" t="n">
        <v>19.377291</v>
      </c>
      <c r="K1661" s="3" t="n">
        <v>18.586567</v>
      </c>
      <c r="L1661" s="3" t="n">
        <v>19.10869</v>
      </c>
      <c r="M1661" s="3" t="n">
        <v>19.900385</v>
      </c>
      <c r="N1661" s="3" t="n">
        <v>21.303147</v>
      </c>
      <c r="O1661" s="3" t="n">
        <v>20.682843</v>
      </c>
      <c r="P1661" s="3" t="n">
        <v>19.778295</v>
      </c>
      <c r="Q1661" s="3" t="n">
        <v>19.467035</v>
      </c>
      <c r="R1661" s="3" t="n">
        <v>20.005651</v>
      </c>
      <c r="S1661" s="3" t="n">
        <v>20.4532</v>
      </c>
      <c r="T1661" s="3" t="n">
        <v>19.805745</v>
      </c>
      <c r="U1661" s="3" t="n">
        <v>19.419466</v>
      </c>
      <c r="V1661" s="3" t="n">
        <v>19.296624</v>
      </c>
      <c r="W1661" s="3" t="n">
        <v>20.069977</v>
      </c>
      <c r="X1661" s="3" t="n">
        <v>20.714093</v>
      </c>
      <c r="Y1661" s="3" t="n">
        <v>21.702218</v>
      </c>
      <c r="Z1661" s="3" t="n">
        <v>21.618604</v>
      </c>
      <c r="AA1661" s="3" t="n">
        <v>21.554589</v>
      </c>
      <c r="AB1661" s="3" t="n">
        <v>24.078307</v>
      </c>
      <c r="AC1661" s="3" t="n">
        <v>25.188469</v>
      </c>
      <c r="AD1661" s="3" t="n">
        <v>22.414159</v>
      </c>
      <c r="AE1661" s="3" t="n">
        <v>21.750216</v>
      </c>
      <c r="AF1661" s="3" t="n">
        <v>22.555864</v>
      </c>
      <c r="AG1661" s="3" t="n">
        <v>23.770763</v>
      </c>
      <c r="AH1661" s="3" t="n">
        <v>23.064462</v>
      </c>
      <c r="AI1661" s="3" t="n">
        <v>23.110278</v>
      </c>
      <c r="AJ1661" s="3" t="n">
        <v>23.253149</v>
      </c>
      <c r="AK1661" s="3" t="n">
        <v>23.247035</v>
      </c>
      <c r="AL1661" s="3" t="n">
        <v>23.241155</v>
      </c>
      <c r="AM1661" s="3" t="n"/>
      <c r="AN1661" s="3" t="n"/>
      <c r="AO1661" s="3" t="n"/>
      <c r="AP1661" s="3" t="n"/>
      <c r="AQ1661" s="3" t="n"/>
      <c r="AR1661" s="3" t="n"/>
      <c r="AS1661" s="3" t="n"/>
      <c r="AT1661" s="3" t="n"/>
      <c r="AU1661" s="3" t="n"/>
    </row>
    <row r="1662">
      <c r="A1662" s="3" t="n">
        <v>2031</v>
      </c>
      <c r="B1662" s="3" t="inlineStr">
        <is>
          <t>KOR</t>
        </is>
      </c>
      <c r="C1662" s="3" t="inlineStr">
        <is>
          <t>IMF.RES:WEO</t>
        </is>
      </c>
      <c r="D1662" s="3" t="inlineStr">
        <is>
          <t>KOR.GGX_NGDP.A</t>
        </is>
      </c>
      <c r="E1662" s="3" t="inlineStr">
        <is>
          <t>Korea, Republic of</t>
        </is>
      </c>
      <c r="F1662" s="3" t="inlineStr">
        <is>
          <t>Expenditure, General government, Percent of GDP</t>
        </is>
      </c>
      <c r="G1662" s="3" t="n">
        <v>16.020931</v>
      </c>
      <c r="H1662" s="3" t="n">
        <v>16.941281</v>
      </c>
      <c r="I1662" s="3" t="n">
        <v>15.885761</v>
      </c>
      <c r="J1662" s="3" t="n">
        <v>17.868749</v>
      </c>
      <c r="K1662" s="3" t="n">
        <v>18.500294</v>
      </c>
      <c r="L1662" s="3" t="n">
        <v>18.153904</v>
      </c>
      <c r="M1662" s="3" t="n">
        <v>18.715472</v>
      </c>
      <c r="N1662" s="3" t="n">
        <v>18.809022</v>
      </c>
      <c r="O1662" s="3" t="n">
        <v>19.101807</v>
      </c>
      <c r="P1662" s="3" t="n">
        <v>19.538938</v>
      </c>
      <c r="Q1662" s="3" t="n">
        <v>17.86059</v>
      </c>
      <c r="R1662" s="3" t="n">
        <v>18.284894</v>
      </c>
      <c r="S1662" s="3" t="n">
        <v>18.822614</v>
      </c>
      <c r="T1662" s="3" t="n">
        <v>19.016281</v>
      </c>
      <c r="U1662" s="3" t="n">
        <v>18.846498</v>
      </c>
      <c r="V1662" s="3" t="n">
        <v>18.799777</v>
      </c>
      <c r="W1662" s="3" t="n">
        <v>18.506879</v>
      </c>
      <c r="X1662" s="3" t="n">
        <v>18.637456</v>
      </c>
      <c r="Y1662" s="3" t="n">
        <v>19.278121</v>
      </c>
      <c r="Z1662" s="3" t="n">
        <v>21.267971</v>
      </c>
      <c r="AA1662" s="3" t="n">
        <v>23.659943</v>
      </c>
      <c r="AB1662" s="3" t="n">
        <v>24.096939</v>
      </c>
      <c r="AC1662" s="3" t="n">
        <v>26.680218</v>
      </c>
      <c r="AD1662" s="3" t="n">
        <v>23.083403</v>
      </c>
      <c r="AE1662" s="3" t="n">
        <v>22.533404</v>
      </c>
      <c r="AF1662" s="3" t="n">
        <v>23.987817</v>
      </c>
      <c r="AG1662" s="3" t="n">
        <v>25.231141</v>
      </c>
      <c r="AH1662" s="3" t="n">
        <v>24.380108</v>
      </c>
      <c r="AI1662" s="3" t="n">
        <v>24.385932</v>
      </c>
      <c r="AJ1662" s="3" t="n">
        <v>24.336075</v>
      </c>
      <c r="AK1662" s="3" t="n">
        <v>24.335475</v>
      </c>
      <c r="AL1662" s="3" t="n">
        <v>24.320188</v>
      </c>
      <c r="AM1662" s="3" t="n"/>
      <c r="AN1662" s="3" t="n"/>
      <c r="AO1662" s="3" t="n"/>
      <c r="AP1662" s="3" t="n"/>
      <c r="AQ1662" s="3" t="n"/>
      <c r="AR1662" s="3" t="n"/>
      <c r="AS1662" s="3" t="n"/>
      <c r="AT1662" s="3" t="n"/>
      <c r="AU1662" s="3" t="n"/>
    </row>
    <row r="1663">
      <c r="A1663" s="3" t="n">
        <v>2027</v>
      </c>
      <c r="B1663" s="3" t="inlineStr">
        <is>
          <t>KOR</t>
        </is>
      </c>
      <c r="C1663" s="3" t="inlineStr">
        <is>
          <t>IMF.RES:WEO</t>
        </is>
      </c>
      <c r="D1663" s="3" t="inlineStr">
        <is>
          <t>KOR.LE.A</t>
        </is>
      </c>
      <c r="E1663" s="3" t="inlineStr">
        <is>
          <t>Korea, Republic of</t>
        </is>
      </c>
      <c r="F1663" s="3" t="inlineStr">
        <is>
          <t>Employed persons, Persons for countries / Index for country groups</t>
        </is>
      </c>
      <c r="G1663" s="3" t="n">
        <v>21.173083</v>
      </c>
      <c r="H1663" s="3" t="n">
        <v>21.613667</v>
      </c>
      <c r="I1663" s="3" t="n">
        <v>22.231667</v>
      </c>
      <c r="J1663" s="3" t="n">
        <v>22.2215</v>
      </c>
      <c r="K1663" s="3" t="n">
        <v>22.682</v>
      </c>
      <c r="L1663" s="3" t="n">
        <v>22.831</v>
      </c>
      <c r="M1663" s="3" t="n">
        <v>23.188</v>
      </c>
      <c r="N1663" s="3" t="n">
        <v>23.561</v>
      </c>
      <c r="O1663" s="3" t="n">
        <v>23.77475</v>
      </c>
      <c r="P1663" s="3" t="n">
        <v>23.6875</v>
      </c>
      <c r="Q1663" s="3" t="n">
        <v>24.03275</v>
      </c>
      <c r="R1663" s="3" t="n">
        <v>24.526333</v>
      </c>
      <c r="S1663" s="3" t="n">
        <v>24.954833</v>
      </c>
      <c r="T1663" s="3" t="n">
        <v>25.29925</v>
      </c>
      <c r="U1663" s="3" t="n">
        <v>25.897083</v>
      </c>
      <c r="V1663" s="3" t="n">
        <v>26.17775</v>
      </c>
      <c r="W1663" s="3" t="n">
        <v>26.409167</v>
      </c>
      <c r="X1663" s="3" t="n">
        <v>26.724667</v>
      </c>
      <c r="Y1663" s="3" t="n">
        <v>26.822</v>
      </c>
      <c r="Z1663" s="3" t="n">
        <v>27.122833</v>
      </c>
      <c r="AA1663" s="3" t="n">
        <v>26.904333</v>
      </c>
      <c r="AB1663" s="3" t="n">
        <v>27.272917</v>
      </c>
      <c r="AC1663" s="3" t="n">
        <v>28.089167</v>
      </c>
      <c r="AD1663" s="3" t="n">
        <v>28.416333</v>
      </c>
      <c r="AE1663" s="3" t="n">
        <v>28.5755</v>
      </c>
      <c r="AF1663" s="3" t="n">
        <v>28.769</v>
      </c>
      <c r="AG1663" s="3" t="n">
        <v>28.94759</v>
      </c>
      <c r="AH1663" s="3" t="n">
        <v>29.152499</v>
      </c>
      <c r="AI1663" s="3" t="n"/>
      <c r="AJ1663" s="3" t="n"/>
      <c r="AK1663" s="3" t="n"/>
      <c r="AL1663" s="3" t="n"/>
      <c r="AM1663" s="3" t="n"/>
      <c r="AN1663" s="3" t="n"/>
      <c r="AO1663" s="3" t="n"/>
      <c r="AP1663" s="3" t="n"/>
      <c r="AQ1663" s="3" t="n"/>
      <c r="AR1663" s="3" t="n"/>
      <c r="AS1663" s="3" t="n"/>
      <c r="AT1663" s="3" t="n"/>
      <c r="AU1663" s="3" t="n"/>
    </row>
    <row r="1664">
      <c r="A1664" s="3" t="n">
        <v>2031</v>
      </c>
      <c r="B1664" s="3" t="inlineStr">
        <is>
          <t>KOR</t>
        </is>
      </c>
      <c r="C1664" s="3" t="inlineStr">
        <is>
          <t>IMF.RES:WEO</t>
        </is>
      </c>
      <c r="D1664" s="3" t="inlineStr">
        <is>
          <t>KOR.LP.A</t>
        </is>
      </c>
      <c r="E1664" s="3" t="inlineStr">
        <is>
          <t>Korea, Republic of</t>
        </is>
      </c>
      <c r="F1664" s="3" t="inlineStr">
        <is>
          <t>Population, Persons for countries / Index for country groups</t>
        </is>
      </c>
      <c r="G1664" s="3" t="n">
        <v>47.008111</v>
      </c>
      <c r="H1664" s="3" t="n">
        <v>47.370164</v>
      </c>
      <c r="I1664" s="3" t="n">
        <v>47.644736</v>
      </c>
      <c r="J1664" s="3" t="n">
        <v>47.89233</v>
      </c>
      <c r="K1664" s="3" t="n">
        <v>48.082519</v>
      </c>
      <c r="L1664" s="3" t="n">
        <v>48.184561</v>
      </c>
      <c r="M1664" s="3" t="n">
        <v>48.438292</v>
      </c>
      <c r="N1664" s="3" t="n">
        <v>48.683638</v>
      </c>
      <c r="O1664" s="3" t="n">
        <v>49.054708</v>
      </c>
      <c r="P1664" s="3" t="n">
        <v>49.307835</v>
      </c>
      <c r="Q1664" s="3" t="n">
        <v>49.554112</v>
      </c>
      <c r="R1664" s="3" t="n">
        <v>49.936638</v>
      </c>
      <c r="S1664" s="3" t="n">
        <v>50.199853</v>
      </c>
      <c r="T1664" s="3" t="n">
        <v>50.428893</v>
      </c>
      <c r="U1664" s="3" t="n">
        <v>50.746659</v>
      </c>
      <c r="V1664" s="3" t="n">
        <v>51.014947</v>
      </c>
      <c r="W1664" s="3" t="n">
        <v>51.217803</v>
      </c>
      <c r="X1664" s="3" t="n">
        <v>51.361911</v>
      </c>
      <c r="Y1664" s="3" t="n">
        <v>51.585058</v>
      </c>
      <c r="Z1664" s="3" t="n">
        <v>51.764822</v>
      </c>
      <c r="AA1664" s="3" t="n">
        <v>51.836239</v>
      </c>
      <c r="AB1664" s="3" t="n">
        <v>51.769539</v>
      </c>
      <c r="AC1664" s="3" t="n">
        <v>51.672569</v>
      </c>
      <c r="AD1664" s="3" t="n">
        <v>51.712619</v>
      </c>
      <c r="AE1664" s="3" t="n">
        <v>51.751065</v>
      </c>
      <c r="AF1664" s="3" t="n">
        <v>51.684564</v>
      </c>
      <c r="AG1664" s="3" t="n">
        <v>51.614558</v>
      </c>
      <c r="AH1664" s="3" t="n">
        <v>51.534551</v>
      </c>
      <c r="AI1664" s="3" t="n">
        <v>51.464545</v>
      </c>
      <c r="AJ1664" s="3" t="n">
        <v>51.384538</v>
      </c>
      <c r="AK1664" s="3" t="n">
        <v>51.314531</v>
      </c>
      <c r="AL1664" s="3" t="n">
        <v>51.224523</v>
      </c>
      <c r="AM1664" s="3" t="n"/>
      <c r="AN1664" s="3" t="n"/>
      <c r="AO1664" s="3" t="n"/>
      <c r="AP1664" s="3" t="n"/>
      <c r="AQ1664" s="3" t="n"/>
      <c r="AR1664" s="3" t="n"/>
      <c r="AS1664" s="3" t="n"/>
      <c r="AT1664" s="3" t="n"/>
      <c r="AU1664" s="3" t="n"/>
    </row>
    <row r="1665">
      <c r="A1665" s="3" t="n">
        <v>2031</v>
      </c>
      <c r="B1665" s="3" t="inlineStr">
        <is>
          <t>KOR</t>
        </is>
      </c>
      <c r="C1665" s="3" t="inlineStr">
        <is>
          <t>IMF.RES:WEO</t>
        </is>
      </c>
      <c r="D1665" s="3" t="inlineStr">
        <is>
          <t>KOR.NGDP.A</t>
        </is>
      </c>
      <c r="E1665" s="3" t="inlineStr">
        <is>
          <t>Korea, Republic of</t>
        </is>
      </c>
      <c r="F1665" s="3" t="inlineStr">
        <is>
          <t>Gross domestic product (GDP), Current prices, Domestic currency</t>
        </is>
      </c>
      <c r="G1665" s="3" t="n">
        <v>675732.6</v>
      </c>
      <c r="H1665" s="3" t="n">
        <v>732723.1</v>
      </c>
      <c r="I1665" s="3" t="n">
        <v>813225.4</v>
      </c>
      <c r="J1665" s="3" t="n">
        <v>868110.6</v>
      </c>
      <c r="K1665" s="3" t="n">
        <v>942885.3</v>
      </c>
      <c r="L1665" s="3" t="n">
        <v>995175.5</v>
      </c>
      <c r="M1665" s="3" t="n">
        <v>1045663.2</v>
      </c>
      <c r="N1665" s="3" t="n">
        <v>1134541.3</v>
      </c>
      <c r="O1665" s="3" t="n">
        <v>1202972.9</v>
      </c>
      <c r="P1665" s="3" t="n">
        <v>1255305.4</v>
      </c>
      <c r="Q1665" s="3" t="n">
        <v>1379460.2</v>
      </c>
      <c r="R1665" s="3" t="n">
        <v>1448575.7</v>
      </c>
      <c r="S1665" s="3" t="n">
        <v>1504674.1</v>
      </c>
      <c r="T1665" s="3" t="n">
        <v>1570938.1</v>
      </c>
      <c r="U1665" s="3" t="n">
        <v>1638484.8</v>
      </c>
      <c r="V1665" s="3" t="n">
        <v>1740776</v>
      </c>
      <c r="W1665" s="3" t="n">
        <v>1833026.5</v>
      </c>
      <c r="X1665" s="3" t="n">
        <v>1934233.9</v>
      </c>
      <c r="Y1665" s="3" t="n">
        <v>2006974.6</v>
      </c>
      <c r="Z1665" s="3" t="n">
        <v>2040594.3</v>
      </c>
      <c r="AA1665" s="3" t="n">
        <v>2058466.5</v>
      </c>
      <c r="AB1665" s="3" t="n">
        <v>2221912.9</v>
      </c>
      <c r="AC1665" s="3" t="n">
        <v>2323781.6</v>
      </c>
      <c r="AD1665" s="3" t="n">
        <v>2408687.3</v>
      </c>
      <c r="AE1665" s="3" t="n">
        <v>2556857.4</v>
      </c>
      <c r="AF1665" s="3" t="n">
        <v>2663342.5</v>
      </c>
      <c r="AG1665" s="3" t="n">
        <v>2788205.279548</v>
      </c>
      <c r="AH1665" s="3" t="n">
        <v>2900192.226258</v>
      </c>
      <c r="AI1665" s="3" t="n">
        <v>3021360.081442</v>
      </c>
      <c r="AJ1665" s="3" t="n">
        <v>3147261.396828</v>
      </c>
      <c r="AK1665" s="3" t="n">
        <v>3270881.327198</v>
      </c>
      <c r="AL1665" s="3" t="n">
        <v>3401613.571204</v>
      </c>
      <c r="AM1665" s="3" t="n"/>
      <c r="AN1665" s="3" t="n"/>
      <c r="AO1665" s="3" t="n"/>
      <c r="AP1665" s="3" t="n"/>
      <c r="AQ1665" s="3" t="n"/>
      <c r="AR1665" s="3" t="n"/>
      <c r="AS1665" s="3" t="n"/>
      <c r="AT1665" s="3" t="n"/>
      <c r="AU1665" s="3" t="n"/>
    </row>
    <row r="1666">
      <c r="A1666" s="3" t="n">
        <v>2031</v>
      </c>
      <c r="B1666" s="3" t="inlineStr">
        <is>
          <t>KOR</t>
        </is>
      </c>
      <c r="C1666" s="3" t="inlineStr">
        <is>
          <t>IMF.RES:WEO</t>
        </is>
      </c>
      <c r="D1666" s="3" t="inlineStr">
        <is>
          <t>KOR.NGDP_D.A</t>
        </is>
      </c>
      <c r="E1666" s="3" t="inlineStr">
        <is>
          <t>Korea, Republic of</t>
        </is>
      </c>
      <c r="F1666" s="3" t="inlineStr">
        <is>
          <t>Gross domestic product (GDP), Price deflator, Index</t>
        </is>
      </c>
      <c r="G1666" s="3" t="n">
        <v>67.689069</v>
      </c>
      <c r="H1666" s="3" t="n">
        <v>70.08567600000001</v>
      </c>
      <c r="I1666" s="3" t="n">
        <v>72.195018</v>
      </c>
      <c r="J1666" s="3" t="n">
        <v>74.768585</v>
      </c>
      <c r="K1666" s="3" t="n">
        <v>77.206664</v>
      </c>
      <c r="L1666" s="3" t="n">
        <v>78.08523099999999</v>
      </c>
      <c r="M1666" s="3" t="n">
        <v>77.957796</v>
      </c>
      <c r="N1666" s="3" t="n">
        <v>79.91534</v>
      </c>
      <c r="O1666" s="3" t="n">
        <v>82.26401300000001</v>
      </c>
      <c r="P1666" s="3" t="n">
        <v>85.14464</v>
      </c>
      <c r="Q1666" s="3" t="n">
        <v>87.45966</v>
      </c>
      <c r="R1666" s="3" t="n">
        <v>88.574997</v>
      </c>
      <c r="S1666" s="3" t="n">
        <v>89.719459</v>
      </c>
      <c r="T1666" s="3" t="n">
        <v>90.685766</v>
      </c>
      <c r="U1666" s="3" t="n">
        <v>91.639144</v>
      </c>
      <c r="V1666" s="3" t="n">
        <v>94.597674</v>
      </c>
      <c r="W1666" s="3" t="n">
        <v>96.548705</v>
      </c>
      <c r="X1666" s="3" t="n">
        <v>98.497855</v>
      </c>
      <c r="Y1666" s="3" t="n">
        <v>99.055931</v>
      </c>
      <c r="Z1666" s="3" t="n">
        <v>98.437613</v>
      </c>
      <c r="AA1666" s="3" t="n">
        <v>100.000005</v>
      </c>
      <c r="AB1666" s="3" t="n">
        <v>103.180513</v>
      </c>
      <c r="AC1666" s="3" t="n">
        <v>105.045867</v>
      </c>
      <c r="AD1666" s="3" t="n">
        <v>107.18722</v>
      </c>
      <c r="AE1666" s="3" t="n">
        <v>111.545883</v>
      </c>
      <c r="AF1666" s="3" t="n">
        <v>115.033011</v>
      </c>
      <c r="AG1666" s="3" t="n">
        <v>118.22427</v>
      </c>
      <c r="AH1666" s="3" t="n">
        <v>120.415563</v>
      </c>
      <c r="AI1666" s="3" t="n">
        <v>122.794514</v>
      </c>
      <c r="AJ1666" s="3" t="n">
        <v>125.441729</v>
      </c>
      <c r="AK1666" s="3" t="n">
        <v>127.958982</v>
      </c>
      <c r="AL1666" s="3" t="n">
        <v>130.608249</v>
      </c>
      <c r="AM1666" s="3" t="n"/>
      <c r="AN1666" s="3" t="n"/>
      <c r="AO1666" s="3" t="n"/>
      <c r="AP1666" s="3" t="n"/>
      <c r="AQ1666" s="3" t="n"/>
      <c r="AR1666" s="3" t="n"/>
      <c r="AS1666" s="3" t="n"/>
      <c r="AT1666" s="3" t="n"/>
      <c r="AU1666" s="3" t="n"/>
    </row>
    <row r="1667">
      <c r="A1667" s="3" t="n">
        <v>2031</v>
      </c>
      <c r="B1667" s="3" t="inlineStr">
        <is>
          <t>KOR</t>
        </is>
      </c>
      <c r="C1667" s="3" t="inlineStr">
        <is>
          <t>IMF.RES:WEO</t>
        </is>
      </c>
      <c r="D1667" s="3" t="inlineStr">
        <is>
          <t>KOR.NGDP_R.A</t>
        </is>
      </c>
      <c r="E1667" s="3" t="inlineStr">
        <is>
          <t>Korea, Republic of</t>
        </is>
      </c>
      <c r="F1667" s="3" t="inlineStr">
        <is>
          <t>Gross domestic product (GDP), Constant prices, Domestic currency</t>
        </is>
      </c>
      <c r="G1667" s="3" t="n">
        <v>998289.1</v>
      </c>
      <c r="H1667" s="3" t="n">
        <v>1045467.7</v>
      </c>
      <c r="I1667" s="3" t="n">
        <v>1126428.7</v>
      </c>
      <c r="J1667" s="3" t="n">
        <v>1161063.3</v>
      </c>
      <c r="K1667" s="3" t="n">
        <v>1221248.6</v>
      </c>
      <c r="L1667" s="3" t="n">
        <v>1274473.4</v>
      </c>
      <c r="M1667" s="3" t="n">
        <v>1341319.6</v>
      </c>
      <c r="N1667" s="3" t="n">
        <v>1419679</v>
      </c>
      <c r="O1667" s="3" t="n">
        <v>1462331.9</v>
      </c>
      <c r="P1667" s="3" t="n">
        <v>1474321.1</v>
      </c>
      <c r="Q1667" s="3" t="n">
        <v>1577253.1</v>
      </c>
      <c r="R1667" s="3" t="n">
        <v>1635422.8</v>
      </c>
      <c r="S1667" s="3" t="n">
        <v>1677087.8</v>
      </c>
      <c r="T1667" s="3" t="n">
        <v>1732287.4</v>
      </c>
      <c r="U1667" s="3" t="n">
        <v>1787974.8</v>
      </c>
      <c r="V1667" s="3" t="n">
        <v>1840189</v>
      </c>
      <c r="W1667" s="3" t="n">
        <v>1898551.1</v>
      </c>
      <c r="X1667" s="3" t="n">
        <v>1963732</v>
      </c>
      <c r="Y1667" s="3" t="n">
        <v>2026102.4</v>
      </c>
      <c r="Z1667" s="3" t="n">
        <v>2072982.3</v>
      </c>
      <c r="AA1667" s="3" t="n">
        <v>2058466.4</v>
      </c>
      <c r="AB1667" s="3" t="n">
        <v>2153423</v>
      </c>
      <c r="AC1667" s="3" t="n">
        <v>2212159</v>
      </c>
      <c r="AD1667" s="3" t="n">
        <v>2247177.7</v>
      </c>
      <c r="AE1667" s="3" t="n">
        <v>2292202.4</v>
      </c>
      <c r="AF1667" s="3" t="n">
        <v>2315285.4</v>
      </c>
      <c r="AG1667" s="3" t="n">
        <v>2358403.467812</v>
      </c>
      <c r="AH1667" s="3" t="n">
        <v>2408486.199118</v>
      </c>
      <c r="AI1667" s="3" t="n">
        <v>2460500.860492</v>
      </c>
      <c r="AJ1667" s="3" t="n">
        <v>2508942.933552</v>
      </c>
      <c r="AK1667" s="3" t="n">
        <v>2556195.175782</v>
      </c>
      <c r="AL1667" s="3" t="n">
        <v>2604440.069067</v>
      </c>
      <c r="AM1667" s="3" t="n"/>
      <c r="AN1667" s="3" t="n"/>
      <c r="AO1667" s="3" t="n"/>
      <c r="AP1667" s="3" t="n"/>
      <c r="AQ1667" s="3" t="n"/>
      <c r="AR1667" s="3" t="n"/>
      <c r="AS1667" s="3" t="n"/>
      <c r="AT1667" s="3" t="n"/>
      <c r="AU1667" s="3" t="n"/>
    </row>
    <row r="1668">
      <c r="A1668" s="3" t="n">
        <v>2031</v>
      </c>
      <c r="B1668" s="3" t="inlineStr">
        <is>
          <t>KOR</t>
        </is>
      </c>
      <c r="C1668" s="3" t="inlineStr">
        <is>
          <t>IMF.RES:WEO</t>
        </is>
      </c>
      <c r="D1668" s="3" t="inlineStr">
        <is>
          <t>KOR.NGDP_RPCH.A</t>
        </is>
      </c>
      <c r="E1668" s="3" t="inlineStr">
        <is>
          <t>Korea, Republic of</t>
        </is>
      </c>
      <c r="F1668" s="3" t="inlineStr">
        <is>
          <t>Gross domestic product (GDP), Constant prices, Percent change</t>
        </is>
      </c>
      <c r="G1668" s="3" t="n">
        <v>9.201858</v>
      </c>
      <c r="H1668" s="3" t="n">
        <v>4.725946</v>
      </c>
      <c r="I1668" s="3" t="n">
        <v>7.743998</v>
      </c>
      <c r="J1668" s="3" t="n">
        <v>3.074726</v>
      </c>
      <c r="K1668" s="3" t="n">
        <v>5.183636</v>
      </c>
      <c r="L1668" s="3" t="n">
        <v>4.358228</v>
      </c>
      <c r="M1668" s="3" t="n">
        <v>5.245006</v>
      </c>
      <c r="N1668" s="3" t="n">
        <v>5.841963</v>
      </c>
      <c r="O1668" s="3" t="n">
        <v>3.004405</v>
      </c>
      <c r="P1668" s="3" t="n">
        <v>0.819869</v>
      </c>
      <c r="Q1668" s="3" t="n">
        <v>6.981654</v>
      </c>
      <c r="R1668" s="3" t="n">
        <v>3.688038</v>
      </c>
      <c r="S1668" s="3" t="n">
        <v>2.547659</v>
      </c>
      <c r="T1668" s="3" t="n">
        <v>3.291396</v>
      </c>
      <c r="U1668" s="3" t="n">
        <v>3.214674</v>
      </c>
      <c r="V1668" s="3" t="n">
        <v>2.920298</v>
      </c>
      <c r="W1668" s="3" t="n">
        <v>3.171527</v>
      </c>
      <c r="X1668" s="3" t="n">
        <v>3.433192</v>
      </c>
      <c r="Y1668" s="3" t="n">
        <v>3.176116</v>
      </c>
      <c r="Z1668" s="3" t="n">
        <v>2.313797</v>
      </c>
      <c r="AA1668" s="3" t="n">
        <v>-0.700242</v>
      </c>
      <c r="AB1668" s="3" t="n">
        <v>4.612978</v>
      </c>
      <c r="AC1668" s="3" t="n">
        <v>2.727564</v>
      </c>
      <c r="AD1668" s="3" t="n">
        <v>1.58301</v>
      </c>
      <c r="AE1668" s="3" t="n">
        <v>2.003611</v>
      </c>
      <c r="AF1668" s="3" t="n">
        <v>1.007023</v>
      </c>
      <c r="AG1668" s="3" t="n">
        <v>1.862322</v>
      </c>
      <c r="AH1668" s="3" t="n">
        <v>2.123586</v>
      </c>
      <c r="AI1668" s="3" t="n">
        <v>2.159641</v>
      </c>
      <c r="AJ1668" s="3" t="n">
        <v>1.968789</v>
      </c>
      <c r="AK1668" s="3" t="n">
        <v>1.883353</v>
      </c>
      <c r="AL1668" s="3" t="n">
        <v>1.887371</v>
      </c>
      <c r="AM1668" s="3" t="n"/>
      <c r="AN1668" s="3" t="n"/>
      <c r="AO1668" s="3" t="n"/>
      <c r="AP1668" s="3" t="n"/>
      <c r="AQ1668" s="3" t="n"/>
      <c r="AR1668" s="3" t="n"/>
      <c r="AS1668" s="3" t="n"/>
      <c r="AT1668" s="3" t="n"/>
      <c r="AU1668" s="3" t="n"/>
    </row>
    <row r="1669">
      <c r="A1669" s="3" t="n">
        <v>2031</v>
      </c>
      <c r="B1669" s="3" t="inlineStr">
        <is>
          <t>KOR</t>
        </is>
      </c>
      <c r="C1669" s="3" t="inlineStr">
        <is>
          <t>IMF.RES:WEO</t>
        </is>
      </c>
      <c r="D1669" s="3" t="inlineStr">
        <is>
          <t>KOR.NGDPD.A</t>
        </is>
      </c>
      <c r="E1669" s="3" t="inlineStr">
        <is>
          <t>Korea, Republic of</t>
        </is>
      </c>
      <c r="F1669" s="3" t="inlineStr">
        <is>
          <t>Gross domestic product (GDP), Current prices, US dollar</t>
        </is>
      </c>
      <c r="G1669" s="3" t="n">
        <v>597.801679</v>
      </c>
      <c r="H1669" s="3" t="n">
        <v>567.65477</v>
      </c>
      <c r="I1669" s="3" t="n">
        <v>649.747344</v>
      </c>
      <c r="J1669" s="3" t="n">
        <v>728.497156</v>
      </c>
      <c r="K1669" s="3" t="n">
        <v>822.5831930000001</v>
      </c>
      <c r="L1669" s="3" t="n">
        <v>971.539562</v>
      </c>
      <c r="M1669" s="3" t="n">
        <v>1094.544652</v>
      </c>
      <c r="N1669" s="3" t="n">
        <v>1220.756189</v>
      </c>
      <c r="O1669" s="3" t="n">
        <v>1093.486639</v>
      </c>
      <c r="P1669" s="3" t="n">
        <v>982.853512</v>
      </c>
      <c r="Q1669" s="3" t="n">
        <v>1192.721531</v>
      </c>
      <c r="R1669" s="3" t="n">
        <v>1307.238566</v>
      </c>
      <c r="S1669" s="3" t="n">
        <v>1335.343626</v>
      </c>
      <c r="T1669" s="3" t="n">
        <v>1434.669595</v>
      </c>
      <c r="U1669" s="3" t="n">
        <v>1556.252422</v>
      </c>
      <c r="V1669" s="3" t="n">
        <v>1539.212301</v>
      </c>
      <c r="W1669" s="3" t="n">
        <v>1578.815619</v>
      </c>
      <c r="X1669" s="3" t="n">
        <v>1710.196706</v>
      </c>
      <c r="Y1669" s="3" t="n">
        <v>1824.25149</v>
      </c>
      <c r="Z1669" s="3" t="n">
        <v>1751.045752</v>
      </c>
      <c r="AA1669" s="3" t="n">
        <v>1744.455434</v>
      </c>
      <c r="AB1669" s="3" t="n">
        <v>1942.313618</v>
      </c>
      <c r="AC1669" s="3" t="n">
        <v>1799.363195</v>
      </c>
      <c r="AD1669" s="3" t="n">
        <v>1844.800858</v>
      </c>
      <c r="AE1669" s="3" t="n">
        <v>1875.388209</v>
      </c>
      <c r="AF1669" s="3" t="n">
        <v>1872.374891</v>
      </c>
      <c r="AG1669" s="3" t="n">
        <v>1931.007705</v>
      </c>
      <c r="AH1669" s="3" t="n">
        <v>2010.456388</v>
      </c>
      <c r="AI1669" s="3" t="n">
        <v>2094.330747</v>
      </c>
      <c r="AJ1669" s="3" t="n">
        <v>2181.451274</v>
      </c>
      <c r="AK1669" s="3" t="n">
        <v>2266.93346</v>
      </c>
      <c r="AL1669" s="3" t="n">
        <v>2357.310116</v>
      </c>
      <c r="AM1669" s="3" t="n"/>
      <c r="AN1669" s="3" t="n"/>
      <c r="AO1669" s="3" t="n"/>
      <c r="AP1669" s="3" t="n"/>
      <c r="AQ1669" s="3" t="n"/>
      <c r="AR1669" s="3" t="n"/>
      <c r="AS1669" s="3" t="n"/>
      <c r="AT1669" s="3" t="n"/>
      <c r="AU1669" s="3" t="n"/>
    </row>
    <row r="1670">
      <c r="A1670" s="3" t="n">
        <v>2031</v>
      </c>
      <c r="B1670" s="3" t="inlineStr">
        <is>
          <t>KOR</t>
        </is>
      </c>
      <c r="C1670" s="3" t="inlineStr">
        <is>
          <t>IMF.RES:WEO</t>
        </is>
      </c>
      <c r="D1670" s="3" t="inlineStr">
        <is>
          <t>KOR.NGDPPC.A</t>
        </is>
      </c>
      <c r="E1670" s="3" t="inlineStr">
        <is>
          <t>Korea, Republic of</t>
        </is>
      </c>
      <c r="F1670" s="3" t="inlineStr">
        <is>
          <t>Gross domestic product (GDP), Current prices, Per capita, Domestic currency</t>
        </is>
      </c>
      <c r="G1670" s="3" t="n">
        <v>14374808.636748</v>
      </c>
      <c r="H1670" s="3" t="n">
        <v>15468029.623034</v>
      </c>
      <c r="I1670" s="3" t="n">
        <v>17068525.68141</v>
      </c>
      <c r="J1670" s="3" t="n">
        <v>18126297.05007</v>
      </c>
      <c r="K1670" s="3" t="n">
        <v>19609731.76135</v>
      </c>
      <c r="L1670" s="3" t="n">
        <v>20653410.124459</v>
      </c>
      <c r="M1670" s="3" t="n">
        <v>21587532.442308</v>
      </c>
      <c r="N1670" s="3" t="n">
        <v>23304365.626907</v>
      </c>
      <c r="O1670" s="3" t="n">
        <v>24523087.569903</v>
      </c>
      <c r="P1670" s="3" t="n">
        <v>25458538.181609</v>
      </c>
      <c r="Q1670" s="3" t="n">
        <v>27837451.713392</v>
      </c>
      <c r="R1670" s="3" t="n">
        <v>29008274.445709</v>
      </c>
      <c r="S1670" s="3" t="n">
        <v>29973675.420922</v>
      </c>
      <c r="T1670" s="3" t="n">
        <v>31151548.37922</v>
      </c>
      <c r="U1670" s="3" t="n">
        <v>32287540.348223</v>
      </c>
      <c r="V1670" s="3" t="n">
        <v>34122862.070209</v>
      </c>
      <c r="W1670" s="3" t="n">
        <v>35788854.51217</v>
      </c>
      <c r="X1670" s="3" t="n">
        <v>37658916.156761</v>
      </c>
      <c r="Y1670" s="3" t="n">
        <v>38906122.776871</v>
      </c>
      <c r="Z1670" s="3" t="n">
        <v>39420483.277234</v>
      </c>
      <c r="AA1670" s="3" t="n">
        <v>39710953.952504</v>
      </c>
      <c r="AB1670" s="3" t="n">
        <v>42919310.137183</v>
      </c>
      <c r="AC1670" s="3" t="n">
        <v>44971280.603447</v>
      </c>
      <c r="AD1670" s="3" t="n">
        <v>46578327.429133</v>
      </c>
      <c r="AE1670" s="3" t="n">
        <v>49406855.684999</v>
      </c>
      <c r="AF1670" s="3" t="n">
        <v>51530714.276704</v>
      </c>
      <c r="AG1670" s="3" t="n">
        <v>54019745.541046</v>
      </c>
      <c r="AH1670" s="3" t="n">
        <v>56276656.803565</v>
      </c>
      <c r="AI1670" s="3" t="n">
        <v>58707603.586418</v>
      </c>
      <c r="AJ1670" s="3" t="n">
        <v>61249191.869223</v>
      </c>
      <c r="AK1670" s="3" t="n">
        <v>63741814.312321</v>
      </c>
      <c r="AL1670" s="3" t="n">
        <v>66405958.45518</v>
      </c>
      <c r="AM1670" s="3" t="n"/>
      <c r="AN1670" s="3" t="n"/>
      <c r="AO1670" s="3" t="n"/>
      <c r="AP1670" s="3" t="n"/>
      <c r="AQ1670" s="3" t="n"/>
      <c r="AR1670" s="3" t="n"/>
      <c r="AS1670" s="3" t="n"/>
      <c r="AT1670" s="3" t="n"/>
      <c r="AU1670" s="3" t="n"/>
    </row>
    <row r="1671">
      <c r="A1671" s="3" t="n">
        <v>2031</v>
      </c>
      <c r="B1671" s="3" t="inlineStr">
        <is>
          <t>KOR</t>
        </is>
      </c>
      <c r="C1671" s="3" t="inlineStr">
        <is>
          <t>IMF.RES:WEO</t>
        </is>
      </c>
      <c r="D1671" s="3" t="inlineStr">
        <is>
          <t>KOR.NGDPRPC.A</t>
        </is>
      </c>
      <c r="E1671" s="3" t="inlineStr">
        <is>
          <t>Korea, Republic of</t>
        </is>
      </c>
      <c r="F1671" s="3" t="inlineStr">
        <is>
          <t>Gross domestic product (GDP), Constant prices, Per capita, Domestic currency</t>
        </is>
      </c>
      <c r="G1671" s="3" t="n">
        <v>21236528.734371</v>
      </c>
      <c r="H1671" s="3" t="n">
        <v>22070172.693512</v>
      </c>
      <c r="I1671" s="3" t="n">
        <v>23642248.74706</v>
      </c>
      <c r="J1671" s="3" t="n">
        <v>24243199.276377</v>
      </c>
      <c r="K1671" s="3" t="n">
        <v>25399014.556621</v>
      </c>
      <c r="L1671" s="3" t="n">
        <v>26449829.023035</v>
      </c>
      <c r="M1671" s="3" t="n">
        <v>27691306.704208</v>
      </c>
      <c r="N1671" s="3" t="n">
        <v>29161316.991142</v>
      </c>
      <c r="O1671" s="3" t="n">
        <v>29810225.350847</v>
      </c>
      <c r="P1671" s="3" t="n">
        <v>29900341.396048</v>
      </c>
      <c r="Q1671" s="3" t="n">
        <v>31828904.531676</v>
      </c>
      <c r="R1671" s="3" t="n">
        <v>32749958.056848</v>
      </c>
      <c r="S1671" s="3" t="n">
        <v>33408221.334831</v>
      </c>
      <c r="T1671" s="3" t="n">
        <v>34351089.166284</v>
      </c>
      <c r="U1671" s="3" t="n">
        <v>35233350.041822</v>
      </c>
      <c r="V1671" s="3" t="n">
        <v>36071565.457081</v>
      </c>
      <c r="W1671" s="3" t="n">
        <v>37068187.01302</v>
      </c>
      <c r="X1671" s="3" t="n">
        <v>38233234.740818</v>
      </c>
      <c r="Y1671" s="3" t="n">
        <v>39276923.949567</v>
      </c>
      <c r="Z1671" s="3" t="n">
        <v>40046159.146457</v>
      </c>
      <c r="AA1671" s="3" t="n">
        <v>39710952.023352</v>
      </c>
      <c r="AB1671" s="3" t="n">
        <v>41596333.318711</v>
      </c>
      <c r="AC1671" s="3" t="n">
        <v>42811089.961484</v>
      </c>
      <c r="AD1671" s="3" t="n">
        <v>43455112.958019</v>
      </c>
      <c r="AE1671" s="3" t="n">
        <v>44292854.649465</v>
      </c>
      <c r="AF1671" s="3" t="n">
        <v>44796457.990823</v>
      </c>
      <c r="AG1671" s="3" t="n">
        <v>45692602.387942</v>
      </c>
      <c r="AH1671" s="3" t="n">
        <v>46735368.096203</v>
      </c>
      <c r="AI1671" s="3" t="n">
        <v>47809630.513441</v>
      </c>
      <c r="AJ1671" s="3" t="n">
        <v>48826807.738597</v>
      </c>
      <c r="AK1671" s="3" t="n">
        <v>49814255.529818</v>
      </c>
      <c r="AL1671" s="3" t="n">
        <v>50843617.420154</v>
      </c>
      <c r="AM1671" s="3" t="n"/>
      <c r="AN1671" s="3" t="n"/>
      <c r="AO1671" s="3" t="n"/>
      <c r="AP1671" s="3" t="n"/>
      <c r="AQ1671" s="3" t="n"/>
      <c r="AR1671" s="3" t="n"/>
      <c r="AS1671" s="3" t="n"/>
      <c r="AT1671" s="3" t="n"/>
      <c r="AU1671" s="3" t="n"/>
    </row>
    <row r="1672">
      <c r="A1672" s="3" t="n">
        <v>2031</v>
      </c>
      <c r="B1672" s="3" t="inlineStr">
        <is>
          <t>KOR</t>
        </is>
      </c>
      <c r="C1672" s="3" t="inlineStr">
        <is>
          <t>IMF.RES:WEO</t>
        </is>
      </c>
      <c r="D1672" s="3" t="inlineStr">
        <is>
          <t>KOR.PCPI.A</t>
        </is>
      </c>
      <c r="E1672" s="3" t="inlineStr">
        <is>
          <t>Korea, Republic of</t>
        </is>
      </c>
      <c r="F1672" s="3" t="inlineStr">
        <is>
          <t>All Items, Consumer price index (CPI), Period average</t>
        </is>
      </c>
      <c r="G1672" s="3" t="n">
        <v>63.151</v>
      </c>
      <c r="H1672" s="3" t="n">
        <v>65.719083</v>
      </c>
      <c r="I1672" s="3" t="n">
        <v>67.534417</v>
      </c>
      <c r="J1672" s="3" t="n">
        <v>69.90816700000001</v>
      </c>
      <c r="K1672" s="3" t="n">
        <v>72.418333</v>
      </c>
      <c r="L1672" s="3" t="n">
        <v>74.412583</v>
      </c>
      <c r="M1672" s="3" t="n">
        <v>76.08116699999999</v>
      </c>
      <c r="N1672" s="3" t="n">
        <v>78.0095</v>
      </c>
      <c r="O1672" s="3" t="n">
        <v>81.65558299999999</v>
      </c>
      <c r="P1672" s="3" t="n">
        <v>83.906417</v>
      </c>
      <c r="Q1672" s="3" t="n">
        <v>86.37266700000001</v>
      </c>
      <c r="R1672" s="3" t="n">
        <v>89.84999999999999</v>
      </c>
      <c r="S1672" s="3" t="n">
        <v>91.815083</v>
      </c>
      <c r="T1672" s="3" t="n">
        <v>93.009917</v>
      </c>
      <c r="U1672" s="3" t="n">
        <v>94.195583</v>
      </c>
      <c r="V1672" s="3" t="n">
        <v>94.860917</v>
      </c>
      <c r="W1672" s="3" t="n">
        <v>95.782667</v>
      </c>
      <c r="X1672" s="3" t="n">
        <v>97.645</v>
      </c>
      <c r="Y1672" s="3" t="n">
        <v>99.086083</v>
      </c>
      <c r="Z1672" s="3" t="n">
        <v>99.465583</v>
      </c>
      <c r="AA1672" s="3" t="n">
        <v>100</v>
      </c>
      <c r="AB1672" s="3" t="n">
        <v>102.498333</v>
      </c>
      <c r="AC1672" s="3" t="n">
        <v>107.715</v>
      </c>
      <c r="AD1672" s="3" t="n">
        <v>111.59</v>
      </c>
      <c r="AE1672" s="3" t="n">
        <v>114.180833</v>
      </c>
      <c r="AF1672" s="3" t="n">
        <v>116.605</v>
      </c>
      <c r="AG1672" s="3" t="n">
        <v>119.515902</v>
      </c>
      <c r="AH1672" s="3" t="n">
        <v>121.747464</v>
      </c>
      <c r="AI1672" s="3" t="n">
        <v>124.182414</v>
      </c>
      <c r="AJ1672" s="3" t="n">
        <v>126.666062</v>
      </c>
      <c r="AK1672" s="3" t="n">
        <v>129.199383</v>
      </c>
      <c r="AL1672" s="3" t="n">
        <v>131.783371</v>
      </c>
      <c r="AM1672" s="3" t="n"/>
      <c r="AN1672" s="3" t="n"/>
      <c r="AO1672" s="3" t="n"/>
      <c r="AP1672" s="3" t="n"/>
      <c r="AQ1672" s="3" t="n"/>
      <c r="AR1672" s="3" t="n"/>
      <c r="AS1672" s="3" t="n"/>
      <c r="AT1672" s="3" t="n"/>
      <c r="AU1672" s="3" t="n"/>
    </row>
    <row r="1673">
      <c r="A1673" s="3" t="n">
        <v>2031</v>
      </c>
      <c r="B1673" s="3" t="inlineStr">
        <is>
          <t>KOR</t>
        </is>
      </c>
      <c r="C1673" s="3" t="inlineStr">
        <is>
          <t>IMF.RES:WEO</t>
        </is>
      </c>
      <c r="D1673" s="3" t="inlineStr">
        <is>
          <t>KOR.PCPIPCH.A</t>
        </is>
      </c>
      <c r="E1673" s="3" t="inlineStr">
        <is>
          <t>Korea, Republic of</t>
        </is>
      </c>
      <c r="F1673" s="3" t="inlineStr">
        <is>
          <t>All Items, Consumer price index (CPI), Period average, percent change</t>
        </is>
      </c>
      <c r="G1673" s="3" t="n">
        <v>2.259166</v>
      </c>
      <c r="H1673" s="3" t="n">
        <v>4.066576</v>
      </c>
      <c r="I1673" s="3" t="n">
        <v>2.762262</v>
      </c>
      <c r="J1673" s="3" t="n">
        <v>3.514875</v>
      </c>
      <c r="K1673" s="3" t="n">
        <v>3.590663</v>
      </c>
      <c r="L1673" s="3" t="n">
        <v>2.753792</v>
      </c>
      <c r="M1673" s="3" t="n">
        <v>2.24234</v>
      </c>
      <c r="N1673" s="3" t="n">
        <v>2.534574</v>
      </c>
      <c r="O1673" s="3" t="n">
        <v>4.673897</v>
      </c>
      <c r="P1673" s="3" t="n">
        <v>2.756497</v>
      </c>
      <c r="Q1673" s="3" t="n">
        <v>2.939287</v>
      </c>
      <c r="R1673" s="3" t="n">
        <v>4.025965</v>
      </c>
      <c r="S1673" s="3" t="n">
        <v>2.187071</v>
      </c>
      <c r="T1673" s="3" t="n">
        <v>1.301348</v>
      </c>
      <c r="U1673" s="3" t="n">
        <v>1.274774</v>
      </c>
      <c r="V1673" s="3" t="n">
        <v>0.706332</v>
      </c>
      <c r="W1673" s="3" t="n">
        <v>0.971686</v>
      </c>
      <c r="X1673" s="3" t="n">
        <v>1.944332</v>
      </c>
      <c r="Y1673" s="3" t="n">
        <v>1.475839</v>
      </c>
      <c r="Z1673" s="3" t="n">
        <v>0.383</v>
      </c>
      <c r="AA1673" s="3" t="n">
        <v>0.537288</v>
      </c>
      <c r="AB1673" s="3" t="n">
        <v>2.498333</v>
      </c>
      <c r="AC1673" s="3" t="n">
        <v>5.089514</v>
      </c>
      <c r="AD1673" s="3" t="n">
        <v>3.597456</v>
      </c>
      <c r="AE1673" s="3" t="n">
        <v>2.321743</v>
      </c>
      <c r="AF1673" s="3" t="n">
        <v>2.123094</v>
      </c>
      <c r="AG1673" s="3" t="n">
        <v>2.496378</v>
      </c>
      <c r="AH1673" s="3" t="n">
        <v>1.867168</v>
      </c>
      <c r="AI1673" s="3" t="n">
        <v>2</v>
      </c>
      <c r="AJ1673" s="3" t="n">
        <v>2</v>
      </c>
      <c r="AK1673" s="3" t="n">
        <v>2</v>
      </c>
      <c r="AL1673" s="3" t="n">
        <v>2</v>
      </c>
      <c r="AM1673" s="3" t="n"/>
      <c r="AN1673" s="3" t="n"/>
      <c r="AO1673" s="3" t="n"/>
      <c r="AP1673" s="3" t="n"/>
      <c r="AQ1673" s="3" t="n"/>
      <c r="AR1673" s="3" t="n"/>
      <c r="AS1673" s="3" t="n"/>
      <c r="AT1673" s="3" t="n"/>
      <c r="AU1673" s="3" t="n"/>
    </row>
    <row r="1674">
      <c r="A1674" s="3" t="n">
        <v>2031</v>
      </c>
      <c r="B1674" s="3" t="inlineStr">
        <is>
          <t>KOR</t>
        </is>
      </c>
      <c r="C1674" s="3" t="inlineStr">
        <is>
          <t>IMF.RES:WEO</t>
        </is>
      </c>
      <c r="D1674" s="3" t="inlineStr">
        <is>
          <t>KOR.PPPPC.A</t>
        </is>
      </c>
      <c r="E1674" s="3" t="inlineStr">
        <is>
          <t>Korea, Republic of</t>
        </is>
      </c>
      <c r="F1674" s="3" t="inlineStr">
        <is>
          <t>Gross domestic product (GDP), Per capita, purchasing power parity (PPP) international dollar, ICP benchmarks 2017-2021</t>
        </is>
      </c>
      <c r="G1674" s="3" t="n">
        <v>17432.120823</v>
      </c>
      <c r="H1674" s="3" t="n">
        <v>18524.335078</v>
      </c>
      <c r="I1674" s="3" t="n">
        <v>20152.218628</v>
      </c>
      <c r="J1674" s="3" t="n">
        <v>21072.418791</v>
      </c>
      <c r="K1674" s="3" t="n">
        <v>22670.690427</v>
      </c>
      <c r="L1674" s="3" t="n">
        <v>24348.952263</v>
      </c>
      <c r="M1674" s="3" t="n">
        <v>26277.958652</v>
      </c>
      <c r="N1674" s="3" t="n">
        <v>28422.675172</v>
      </c>
      <c r="O1674" s="3" t="n">
        <v>29614.868626</v>
      </c>
      <c r="P1674" s="3" t="n">
        <v>29887.593566</v>
      </c>
      <c r="Q1674" s="3" t="n">
        <v>32202.00996</v>
      </c>
      <c r="R1674" s="3" t="n">
        <v>33817.49411</v>
      </c>
      <c r="S1674" s="3" t="n">
        <v>35139.529228</v>
      </c>
      <c r="T1674" s="3" t="n">
        <v>36746.214927</v>
      </c>
      <c r="U1674" s="3" t="n">
        <v>38346.443517</v>
      </c>
      <c r="V1674" s="3" t="n">
        <v>39623.062488</v>
      </c>
      <c r="W1674" s="3" t="n">
        <v>41104.718596</v>
      </c>
      <c r="X1674" s="3" t="n">
        <v>43155.910836</v>
      </c>
      <c r="Y1674" s="3" t="n">
        <v>45511.085765</v>
      </c>
      <c r="Z1674" s="3" t="n">
        <v>46511.218458</v>
      </c>
      <c r="AA1674" s="3" t="n">
        <v>47881.49012</v>
      </c>
      <c r="AB1674" s="3" t="n">
        <v>51880.378998</v>
      </c>
      <c r="AC1674" s="3" t="n">
        <v>57193.171874</v>
      </c>
      <c r="AD1674" s="3" t="n">
        <v>60201.55054</v>
      </c>
      <c r="AE1674" s="3" t="n">
        <v>62885.477967</v>
      </c>
      <c r="AF1674" s="3" t="n">
        <v>65404.673784</v>
      </c>
      <c r="AG1674" s="3" t="n">
        <v>68624.31178</v>
      </c>
      <c r="AH1674" s="3" t="n">
        <v>71731.72209900001</v>
      </c>
      <c r="AI1674" s="3" t="n">
        <v>74585.013876</v>
      </c>
      <c r="AJ1674" s="3" t="n">
        <v>77526.27091599999</v>
      </c>
      <c r="AK1674" s="3" t="n">
        <v>80547.497334</v>
      </c>
      <c r="AL1674" s="3" t="n">
        <v>83696.104468</v>
      </c>
      <c r="AM1674" s="3" t="n"/>
      <c r="AN1674" s="3" t="n"/>
      <c r="AO1674" s="3" t="n"/>
      <c r="AP1674" s="3" t="n"/>
      <c r="AQ1674" s="3" t="n"/>
      <c r="AR1674" s="3" t="n"/>
      <c r="AS1674" s="3" t="n"/>
      <c r="AT1674" s="3" t="n"/>
      <c r="AU1674" s="3" t="n"/>
    </row>
    <row r="1675">
      <c r="A1675" s="3" t="n">
        <v>2025</v>
      </c>
      <c r="B1675" s="3" t="inlineStr">
        <is>
          <t>KOR</t>
        </is>
      </c>
      <c r="C1675" s="3" t="inlineStr">
        <is>
          <t>IMF.STA:ER</t>
        </is>
      </c>
      <c r="D1675" s="3" t="inlineStr">
        <is>
          <t>KOR.XDC_USD.PA_RT.A</t>
        </is>
      </c>
      <c r="E1675" s="3" t="inlineStr">
        <is>
          <t>Korea, Republic of</t>
        </is>
      </c>
      <c r="F1675" s="3" t="inlineStr">
        <is>
          <t>Domestic currency per US Dollar</t>
        </is>
      </c>
      <c r="G1675" s="3" t="n">
        <v>1130.3625</v>
      </c>
      <c r="H1675" s="3" t="n">
        <v>1290.79</v>
      </c>
      <c r="I1675" s="3" t="n">
        <v>1251.6025</v>
      </c>
      <c r="J1675" s="3" t="n">
        <v>1191.64583333333</v>
      </c>
      <c r="K1675" s="3" t="n">
        <v>1146.24916666666</v>
      </c>
      <c r="L1675" s="3" t="n">
        <v>1024.32833333333</v>
      </c>
      <c r="M1675" s="3" t="n">
        <v>955.340833333333</v>
      </c>
      <c r="N1675" s="3" t="n">
        <v>929.375833333333</v>
      </c>
      <c r="O1675" s="3" t="n">
        <v>1100.12583333333</v>
      </c>
      <c r="P1675" s="3" t="n">
        <v>1277.24583333333</v>
      </c>
      <c r="Q1675" s="3" t="n">
        <v>1156.46</v>
      </c>
      <c r="R1675" s="3" t="n">
        <v>1108.23333333333</v>
      </c>
      <c r="S1675" s="3" t="n">
        <v>1126.80666666666</v>
      </c>
      <c r="T1675" s="3" t="n">
        <v>1094.9825</v>
      </c>
      <c r="U1675" s="3" t="n">
        <v>1052.84</v>
      </c>
      <c r="V1675" s="3" t="n">
        <v>1130.9525</v>
      </c>
      <c r="W1675" s="3" t="n">
        <v>1160.7675</v>
      </c>
      <c r="X1675" s="3" t="n">
        <v>1131.00083333333</v>
      </c>
      <c r="Y1675" s="3" t="n">
        <v>1100.16333333333</v>
      </c>
      <c r="Z1675" s="3" t="n">
        <v>1165.3575</v>
      </c>
      <c r="AA1675" s="3" t="n">
        <v>1180.26583333333</v>
      </c>
      <c r="AB1675" s="3" t="n">
        <v>1143.95166666666</v>
      </c>
      <c r="AC1675" s="3" t="n">
        <v>1291.44666666666</v>
      </c>
      <c r="AD1675" s="3" t="n">
        <v>1305.6625</v>
      </c>
      <c r="AE1675" s="3" t="n">
        <v>1363.375</v>
      </c>
      <c r="AF1675" s="3" t="n">
        <v>1422.44083333333</v>
      </c>
      <c r="AG1675" s="3" t="n"/>
      <c r="AH1675" s="3" t="n"/>
      <c r="AI1675" s="3" t="n"/>
      <c r="AJ1675" s="3" t="n"/>
      <c r="AK1675" s="3" t="n"/>
      <c r="AL1675" s="3" t="n"/>
      <c r="AM1675" s="3" t="n"/>
      <c r="AN1675" s="3" t="n"/>
      <c r="AO1675" s="3" t="n"/>
      <c r="AP1675" s="3" t="n"/>
      <c r="AQ1675" s="3" t="n"/>
      <c r="AR1675" s="3" t="n"/>
      <c r="AS1675" s="3" t="n"/>
      <c r="AT1675" s="3" t="n"/>
      <c r="AU1675" s="3" t="n"/>
    </row>
    <row r="1676">
      <c r="A1676" s="3" t="n">
        <v>2031</v>
      </c>
      <c r="B1676" s="3" t="inlineStr">
        <is>
          <t>KOS</t>
        </is>
      </c>
      <c r="C1676" s="3" t="inlineStr">
        <is>
          <t>IMF.RES:WEO</t>
        </is>
      </c>
      <c r="D1676" s="3" t="inlineStr">
        <is>
          <t>KOS.BCA.A</t>
        </is>
      </c>
      <c r="E1676" s="3" t="inlineStr">
        <is>
          <t>Kosovo, Republic of</t>
        </is>
      </c>
      <c r="F1676" s="3" t="inlineStr">
        <is>
          <t>Current account balance (credit less debit), US dollar</t>
        </is>
      </c>
      <c r="G1676" s="3" t="n">
        <v>-0.08105800000000001</v>
      </c>
      <c r="H1676" s="3" t="n">
        <v>-0.186302</v>
      </c>
      <c r="I1676" s="3" t="n">
        <v>-0.213695</v>
      </c>
      <c r="J1676" s="3" t="n">
        <v>-0.293791</v>
      </c>
      <c r="K1676" s="3" t="n">
        <v>-0.259007</v>
      </c>
      <c r="L1676" s="3" t="n">
        <v>-0.307857</v>
      </c>
      <c r="M1676" s="3" t="n">
        <v>-0.283848</v>
      </c>
      <c r="N1676" s="3" t="n">
        <v>-0.29319</v>
      </c>
      <c r="O1676" s="3" t="n">
        <v>-0.67786</v>
      </c>
      <c r="P1676" s="3" t="n">
        <v>-0.522388</v>
      </c>
      <c r="Q1676" s="3" t="n">
        <v>-0.677508</v>
      </c>
      <c r="R1676" s="3" t="n">
        <v>-0.8454700000000001</v>
      </c>
      <c r="S1676" s="3" t="n">
        <v>-0.379707</v>
      </c>
      <c r="T1676" s="3" t="n">
        <v>-0.241165</v>
      </c>
      <c r="U1676" s="3" t="n">
        <v>-0.501611</v>
      </c>
      <c r="V1676" s="3" t="n">
        <v>-0.547388</v>
      </c>
      <c r="W1676" s="3" t="n">
        <v>-0.530232</v>
      </c>
      <c r="X1676" s="3" t="n">
        <v>-0.377958</v>
      </c>
      <c r="Y1676" s="3" t="n">
        <v>-0.600498</v>
      </c>
      <c r="Z1676" s="3" t="n">
        <v>-0.447233</v>
      </c>
      <c r="AA1676" s="3" t="n">
        <v>-0.541106</v>
      </c>
      <c r="AB1676" s="3" t="n">
        <v>-0.8183510000000001</v>
      </c>
      <c r="AC1676" s="3" t="n">
        <v>-0.881595</v>
      </c>
      <c r="AD1676" s="3" t="n">
        <v>-0.7521370000000001</v>
      </c>
      <c r="AE1676" s="3" t="n">
        <v>-0.977582</v>
      </c>
      <c r="AF1676" s="3" t="n">
        <v>-1.143066</v>
      </c>
      <c r="AG1676" s="3" t="n">
        <v>-1.475974</v>
      </c>
      <c r="AH1676" s="3" t="n">
        <v>-1.514294</v>
      </c>
      <c r="AI1676" s="3" t="n">
        <v>-1.473824</v>
      </c>
      <c r="AJ1676" s="3" t="n">
        <v>-1.481315</v>
      </c>
      <c r="AK1676" s="3" t="n">
        <v>-1.591397</v>
      </c>
      <c r="AL1676" s="3" t="n">
        <v>-1.707514</v>
      </c>
      <c r="AM1676" s="3" t="n"/>
      <c r="AN1676" s="3" t="n"/>
      <c r="AO1676" s="3" t="n"/>
      <c r="AP1676" s="3" t="n"/>
      <c r="AQ1676" s="3" t="n"/>
      <c r="AR1676" s="3" t="n"/>
      <c r="AS1676" s="3" t="n"/>
      <c r="AT1676" s="3" t="n"/>
      <c r="AU1676" s="3" t="n"/>
    </row>
    <row r="1677">
      <c r="A1677" s="3" t="n">
        <v>2031</v>
      </c>
      <c r="B1677" s="3" t="inlineStr">
        <is>
          <t>KOS</t>
        </is>
      </c>
      <c r="C1677" s="3" t="inlineStr">
        <is>
          <t>IMF.RES:WEO</t>
        </is>
      </c>
      <c r="D1677" s="3" t="inlineStr">
        <is>
          <t>KOS.BCA_NGDPD.A</t>
        </is>
      </c>
      <c r="E1677" s="3" t="inlineStr">
        <is>
          <t>Kosovo, Republic of</t>
        </is>
      </c>
      <c r="F1677" s="3" t="inlineStr">
        <is>
          <t>Current account balance (credit less debit), Percent of GDP</t>
        </is>
      </c>
      <c r="G1677" s="3" t="n">
        <v>-3.655599</v>
      </c>
      <c r="H1677" s="3" t="n">
        <v>-7.42491</v>
      </c>
      <c r="I1677" s="3" t="n">
        <v>-7.826569</v>
      </c>
      <c r="J1677" s="3" t="n">
        <v>-8.666828000000001</v>
      </c>
      <c r="K1677" s="3" t="n">
        <v>-6.982153</v>
      </c>
      <c r="L1677" s="3" t="n">
        <v>-8.043127</v>
      </c>
      <c r="M1677" s="3" t="n">
        <v>-7.062641</v>
      </c>
      <c r="N1677" s="3" t="n">
        <v>-6.022777</v>
      </c>
      <c r="O1677" s="3" t="n">
        <v>-13.029814</v>
      </c>
      <c r="P1677" s="3" t="n">
        <v>-10.384916</v>
      </c>
      <c r="Q1677" s="3" t="n">
        <v>-12.667663</v>
      </c>
      <c r="R1677" s="3" t="n">
        <v>-13.334452</v>
      </c>
      <c r="S1677" s="3" t="n">
        <v>-6.156659</v>
      </c>
      <c r="T1677" s="3" t="n">
        <v>-3.580563</v>
      </c>
      <c r="U1677" s="3" t="n">
        <v>-7.088686</v>
      </c>
      <c r="V1677" s="3" t="n">
        <v>-8.693585000000001</v>
      </c>
      <c r="W1677" s="3" t="n">
        <v>-7.936581</v>
      </c>
      <c r="X1677" s="3" t="n">
        <v>-5.2653</v>
      </c>
      <c r="Y1677" s="3" t="n">
        <v>-7.618303</v>
      </c>
      <c r="Z1677" s="3" t="n">
        <v>-5.661101</v>
      </c>
      <c r="AA1677" s="3" t="n">
        <v>-7.001618</v>
      </c>
      <c r="AB1677" s="3" t="n">
        <v>-8.688860999999999</v>
      </c>
      <c r="AC1677" s="3" t="n">
        <v>-9.403701999999999</v>
      </c>
      <c r="AD1677" s="3" t="n">
        <v>-7.183871</v>
      </c>
      <c r="AE1677" s="3" t="n">
        <v>-8.728645999999999</v>
      </c>
      <c r="AF1677" s="3" t="n">
        <v>-9.181762000000001</v>
      </c>
      <c r="AG1677" s="3" t="n">
        <v>-10.502744</v>
      </c>
      <c r="AH1677" s="3" t="n">
        <v>-9.923173</v>
      </c>
      <c r="AI1677" s="3" t="n">
        <v>-9.090178999999999</v>
      </c>
      <c r="AJ1677" s="3" t="n">
        <v>-8.58761</v>
      </c>
      <c r="AK1677" s="3" t="n">
        <v>-8.670617999999999</v>
      </c>
      <c r="AL1677" s="3" t="n">
        <v>-8.744208</v>
      </c>
      <c r="AM1677" s="3" t="n"/>
      <c r="AN1677" s="3" t="n"/>
      <c r="AO1677" s="3" t="n"/>
      <c r="AP1677" s="3" t="n"/>
      <c r="AQ1677" s="3" t="n"/>
      <c r="AR1677" s="3" t="n"/>
      <c r="AS1677" s="3" t="n"/>
      <c r="AT1677" s="3" t="n"/>
      <c r="AU1677" s="3" t="n"/>
    </row>
    <row r="1678">
      <c r="A1678" s="3" t="n">
        <v>2031</v>
      </c>
      <c r="B1678" s="3" t="inlineStr">
        <is>
          <t>KOS</t>
        </is>
      </c>
      <c r="C1678" s="3" t="inlineStr">
        <is>
          <t>IMF.RES:WEO</t>
        </is>
      </c>
      <c r="D1678" s="3" t="inlineStr">
        <is>
          <t>KOS.GGR_NGDP.A</t>
        </is>
      </c>
      <c r="E1678" s="3" t="inlineStr">
        <is>
          <t>Kosovo, Republic of</t>
        </is>
      </c>
      <c r="F1678" s="3" t="inlineStr">
        <is>
          <t>Revenue, General government, Percent of GDP</t>
        </is>
      </c>
      <c r="G1678" s="3" t="n">
        <v>5.353368</v>
      </c>
      <c r="H1678" s="3" t="n">
        <v>11.470094</v>
      </c>
      <c r="I1678" s="3" t="n">
        <v>17.291106</v>
      </c>
      <c r="J1678" s="3" t="n">
        <v>19.673209</v>
      </c>
      <c r="K1678" s="3" t="n">
        <v>20.468978</v>
      </c>
      <c r="L1678" s="3" t="n">
        <v>20.427949</v>
      </c>
      <c r="M1678" s="3" t="n">
        <v>22.483064</v>
      </c>
      <c r="N1678" s="3" t="n">
        <v>25.282804</v>
      </c>
      <c r="O1678" s="3" t="n">
        <v>26.660796</v>
      </c>
      <c r="P1678" s="3" t="n">
        <v>31.88713</v>
      </c>
      <c r="Q1678" s="3" t="n">
        <v>28.876096</v>
      </c>
      <c r="R1678" s="3" t="n">
        <v>28.642944</v>
      </c>
      <c r="S1678" s="3" t="n">
        <v>27.552633</v>
      </c>
      <c r="T1678" s="3" t="n">
        <v>25.882335</v>
      </c>
      <c r="U1678" s="3" t="n">
        <v>25.064038</v>
      </c>
      <c r="V1678" s="3" t="n">
        <v>25.668695</v>
      </c>
      <c r="W1678" s="3" t="n">
        <v>26.771876</v>
      </c>
      <c r="X1678" s="3" t="n">
        <v>26.748117</v>
      </c>
      <c r="Y1678" s="3" t="n">
        <v>26.601352</v>
      </c>
      <c r="Z1678" s="3" t="n">
        <v>26.994756</v>
      </c>
      <c r="AA1678" s="3" t="n">
        <v>25.641104</v>
      </c>
      <c r="AB1678" s="3" t="n">
        <v>27.791545</v>
      </c>
      <c r="AC1678" s="3" t="n">
        <v>28.092922</v>
      </c>
      <c r="AD1678" s="3" t="n">
        <v>29.540986</v>
      </c>
      <c r="AE1678" s="3" t="n">
        <v>29.894398</v>
      </c>
      <c r="AF1678" s="3" t="n">
        <v>30.376274</v>
      </c>
      <c r="AG1678" s="3" t="n">
        <v>30.693915</v>
      </c>
      <c r="AH1678" s="3" t="n">
        <v>30.420001</v>
      </c>
      <c r="AI1678" s="3" t="n">
        <v>30.427128</v>
      </c>
      <c r="AJ1678" s="3" t="n">
        <v>30.372582</v>
      </c>
      <c r="AK1678" s="3" t="n">
        <v>30.400657</v>
      </c>
      <c r="AL1678" s="3" t="n">
        <v>30.337405</v>
      </c>
      <c r="AM1678" s="3" t="n"/>
      <c r="AN1678" s="3" t="n"/>
      <c r="AO1678" s="3" t="n"/>
      <c r="AP1678" s="3" t="n"/>
      <c r="AQ1678" s="3" t="n"/>
      <c r="AR1678" s="3" t="n"/>
      <c r="AS1678" s="3" t="n"/>
      <c r="AT1678" s="3" t="n"/>
      <c r="AU1678" s="3" t="n"/>
    </row>
    <row r="1679">
      <c r="A1679" s="3" t="n">
        <v>2031</v>
      </c>
      <c r="B1679" s="3" t="inlineStr">
        <is>
          <t>KOS</t>
        </is>
      </c>
      <c r="C1679" s="3" t="inlineStr">
        <is>
          <t>IMF.RES:WEO</t>
        </is>
      </c>
      <c r="D1679" s="3" t="inlineStr">
        <is>
          <t>KOS.GGX_NGDP.A</t>
        </is>
      </c>
      <c r="E1679" s="3" t="inlineStr">
        <is>
          <t>Kosovo, Republic of</t>
        </is>
      </c>
      <c r="F1679" s="3" t="inlineStr">
        <is>
          <t>Expenditure, General government, Percent of GDP</t>
        </is>
      </c>
      <c r="G1679" s="3" t="n">
        <v>8.506141</v>
      </c>
      <c r="H1679" s="3" t="n">
        <v>8.547848999999999</v>
      </c>
      <c r="I1679" s="3" t="n">
        <v>13.896465</v>
      </c>
      <c r="J1679" s="3" t="n">
        <v>18.102916</v>
      </c>
      <c r="K1679" s="3" t="n">
        <v>25.087948</v>
      </c>
      <c r="L1679" s="3" t="n">
        <v>22.713643</v>
      </c>
      <c r="M1679" s="3" t="n">
        <v>19.839272</v>
      </c>
      <c r="N1679" s="3" t="n">
        <v>18.600172</v>
      </c>
      <c r="O1679" s="3" t="n">
        <v>26.621723</v>
      </c>
      <c r="P1679" s="3" t="n">
        <v>30.268947</v>
      </c>
      <c r="Q1679" s="3" t="n">
        <v>29.885562</v>
      </c>
      <c r="R1679" s="3" t="n">
        <v>29.679429</v>
      </c>
      <c r="S1679" s="3" t="n">
        <v>30.226444</v>
      </c>
      <c r="T1679" s="3" t="n">
        <v>29.302709</v>
      </c>
      <c r="U1679" s="3" t="n">
        <v>27.714227</v>
      </c>
      <c r="V1679" s="3" t="n">
        <v>27.784583</v>
      </c>
      <c r="W1679" s="3" t="n">
        <v>28.480586</v>
      </c>
      <c r="X1679" s="3" t="n">
        <v>28.173882</v>
      </c>
      <c r="Y1679" s="3" t="n">
        <v>29.462778</v>
      </c>
      <c r="Z1679" s="3" t="n">
        <v>29.921709</v>
      </c>
      <c r="AA1679" s="3" t="n">
        <v>33.452546</v>
      </c>
      <c r="AB1679" s="3" t="n">
        <v>29.035313</v>
      </c>
      <c r="AC1679" s="3" t="n">
        <v>28.832992</v>
      </c>
      <c r="AD1679" s="3" t="n">
        <v>29.774094</v>
      </c>
      <c r="AE1679" s="3" t="n">
        <v>30.17655</v>
      </c>
      <c r="AF1679" s="3" t="n">
        <v>31.176122</v>
      </c>
      <c r="AG1679" s="3" t="n">
        <v>32.30082</v>
      </c>
      <c r="AH1679" s="3" t="n">
        <v>32.422273</v>
      </c>
      <c r="AI1679" s="3" t="n">
        <v>32.41934</v>
      </c>
      <c r="AJ1679" s="3" t="n">
        <v>32.363524</v>
      </c>
      <c r="AK1679" s="3" t="n">
        <v>32.389274</v>
      </c>
      <c r="AL1679" s="3" t="n">
        <v>32.29799</v>
      </c>
      <c r="AM1679" s="3" t="n"/>
      <c r="AN1679" s="3" t="n"/>
      <c r="AO1679" s="3" t="n"/>
      <c r="AP1679" s="3" t="n"/>
      <c r="AQ1679" s="3" t="n"/>
      <c r="AR1679" s="3" t="n"/>
      <c r="AS1679" s="3" t="n"/>
      <c r="AT1679" s="3" t="n"/>
      <c r="AU1679" s="3" t="n"/>
    </row>
    <row r="1680">
      <c r="A1680" s="3" t="n">
        <v>2031</v>
      </c>
      <c r="B1680" s="3" t="inlineStr">
        <is>
          <t>KOS</t>
        </is>
      </c>
      <c r="C1680" s="3" t="inlineStr">
        <is>
          <t>IMF.RES:WEO</t>
        </is>
      </c>
      <c r="D1680" s="3" t="inlineStr">
        <is>
          <t>KOS.LP.A</t>
        </is>
      </c>
      <c r="E1680" s="3" t="inlineStr">
        <is>
          <t>Kosovo, Republic of</t>
        </is>
      </c>
      <c r="F1680" s="3" t="inlineStr">
        <is>
          <t>Population, Persons for countries / Index for country groups</t>
        </is>
      </c>
      <c r="G1680" s="3" t="n">
        <v>1.472253</v>
      </c>
      <c r="H1680" s="3" t="n">
        <v>1.472253</v>
      </c>
      <c r="I1680" s="3" t="n">
        <v>1.510839</v>
      </c>
      <c r="J1680" s="3" t="n">
        <v>1.536968</v>
      </c>
      <c r="K1680" s="3" t="n">
        <v>1.630804</v>
      </c>
      <c r="L1680" s="3" t="n">
        <v>1.651027</v>
      </c>
      <c r="M1680" s="3" t="n">
        <v>1.674486</v>
      </c>
      <c r="N1680" s="3" t="n">
        <v>1.698754</v>
      </c>
      <c r="O1680" s="3" t="n">
        <v>1.719786</v>
      </c>
      <c r="P1680" s="3" t="n">
        <v>1.747531</v>
      </c>
      <c r="Q1680" s="3" t="n">
        <v>1.774989</v>
      </c>
      <c r="R1680" s="3" t="n">
        <v>1.802176</v>
      </c>
      <c r="S1680" s="3" t="n">
        <v>1.806893</v>
      </c>
      <c r="T1680" s="3" t="n">
        <v>1.815068</v>
      </c>
      <c r="U1680" s="3" t="n">
        <v>1.805119</v>
      </c>
      <c r="V1680" s="3" t="n">
        <v>1.772142</v>
      </c>
      <c r="W1680" s="3" t="n">
        <v>1.792548</v>
      </c>
      <c r="X1680" s="3" t="n">
        <v>1.798506</v>
      </c>
      <c r="Y1680" s="3" t="n">
        <v>1.795666</v>
      </c>
      <c r="Z1680" s="3" t="n">
        <v>1.782115</v>
      </c>
      <c r="AA1680" s="3" t="n">
        <v>1.798186</v>
      </c>
      <c r="AB1680" s="3" t="n">
        <v>1.773971</v>
      </c>
      <c r="AC1680" s="3" t="n">
        <v>1.76222</v>
      </c>
      <c r="AD1680" s="3" t="n">
        <v>1.603115</v>
      </c>
      <c r="AE1680" s="3" t="n">
        <v>1.58559</v>
      </c>
      <c r="AF1680" s="3" t="n">
        <v>1.575553</v>
      </c>
      <c r="AG1680" s="3" t="n">
        <v>1.568839</v>
      </c>
      <c r="AH1680" s="3" t="n">
        <v>1.565171</v>
      </c>
      <c r="AI1680" s="3" t="n">
        <v>1.563811</v>
      </c>
      <c r="AJ1680" s="3" t="n">
        <v>1.563478</v>
      </c>
      <c r="AK1680" s="3" t="n">
        <v>1.563476</v>
      </c>
      <c r="AL1680" s="3" t="n">
        <v>1.564262</v>
      </c>
      <c r="AM1680" s="3" t="n"/>
      <c r="AN1680" s="3" t="n"/>
      <c r="AO1680" s="3" t="n"/>
      <c r="AP1680" s="3" t="n"/>
      <c r="AQ1680" s="3" t="n"/>
      <c r="AR1680" s="3" t="n"/>
      <c r="AS1680" s="3" t="n"/>
      <c r="AT1680" s="3" t="n"/>
      <c r="AU1680" s="3" t="n"/>
    </row>
    <row r="1681">
      <c r="A1681" s="3" t="n">
        <v>2031</v>
      </c>
      <c r="B1681" s="3" t="inlineStr">
        <is>
          <t>KOS</t>
        </is>
      </c>
      <c r="C1681" s="3" t="inlineStr">
        <is>
          <t>IMF.RES:WEO</t>
        </is>
      </c>
      <c r="D1681" s="3" t="inlineStr">
        <is>
          <t>KOS.NGDP.A</t>
        </is>
      </c>
      <c r="E1681" s="3" t="inlineStr">
        <is>
          <t>Kosovo, Republic of</t>
        </is>
      </c>
      <c r="F1681" s="3" t="inlineStr">
        <is>
          <t>Gross domestic product (GDP), Current prices, Domestic currency</t>
        </is>
      </c>
      <c r="G1681" s="3" t="n">
        <v>2.399678</v>
      </c>
      <c r="H1681" s="3" t="n">
        <v>2.801523</v>
      </c>
      <c r="I1681" s="3" t="n">
        <v>2.889584</v>
      </c>
      <c r="J1681" s="3" t="n">
        <v>2.997528</v>
      </c>
      <c r="K1681" s="3" t="n">
        <v>2.983544</v>
      </c>
      <c r="L1681" s="3" t="n">
        <v>3.074906</v>
      </c>
      <c r="M1681" s="3" t="n">
        <v>3.200695</v>
      </c>
      <c r="N1681" s="3" t="n">
        <v>3.551638</v>
      </c>
      <c r="O1681" s="3" t="n">
        <v>3.5376</v>
      </c>
      <c r="P1681" s="3" t="n">
        <v>3.6104</v>
      </c>
      <c r="Q1681" s="3" t="n">
        <v>4.031</v>
      </c>
      <c r="R1681" s="3" t="n">
        <v>4.5559</v>
      </c>
      <c r="S1681" s="3" t="n">
        <v>4.7973</v>
      </c>
      <c r="T1681" s="3" t="n">
        <v>5.0713</v>
      </c>
      <c r="U1681" s="3" t="n">
        <v>5.3251</v>
      </c>
      <c r="V1681" s="3" t="n">
        <v>5.6744</v>
      </c>
      <c r="W1681" s="3" t="n">
        <v>6.0373</v>
      </c>
      <c r="X1681" s="3" t="n">
        <v>6.3565</v>
      </c>
      <c r="Y1681" s="3" t="n">
        <v>6.6715</v>
      </c>
      <c r="Z1681" s="3" t="n">
        <v>7.0562</v>
      </c>
      <c r="AA1681" s="3" t="n">
        <v>6.7716</v>
      </c>
      <c r="AB1681" s="3" t="n">
        <v>7.9579</v>
      </c>
      <c r="AC1681" s="3" t="n">
        <v>8.8957</v>
      </c>
      <c r="AD1681" s="3" t="n">
        <v>9.680099999999999</v>
      </c>
      <c r="AE1681" s="3" t="n">
        <v>10.3504</v>
      </c>
      <c r="AF1681" s="3" t="n">
        <v>11.0235</v>
      </c>
      <c r="AG1681" s="3" t="n">
        <v>11.917397</v>
      </c>
      <c r="AH1681" s="3" t="n">
        <v>12.970784</v>
      </c>
      <c r="AI1681" s="3" t="n">
        <v>13.818319</v>
      </c>
      <c r="AJ1681" s="3" t="n">
        <v>14.709149</v>
      </c>
      <c r="AK1681" s="3" t="n">
        <v>15.653406</v>
      </c>
      <c r="AL1681" s="3" t="n">
        <v>16.656957</v>
      </c>
      <c r="AM1681" s="3" t="n"/>
      <c r="AN1681" s="3" t="n"/>
      <c r="AO1681" s="3" t="n"/>
      <c r="AP1681" s="3" t="n"/>
      <c r="AQ1681" s="3" t="n"/>
      <c r="AR1681" s="3" t="n"/>
      <c r="AS1681" s="3" t="n"/>
      <c r="AT1681" s="3" t="n"/>
      <c r="AU1681" s="3" t="n"/>
    </row>
    <row r="1682">
      <c r="A1682" s="3" t="n">
        <v>2031</v>
      </c>
      <c r="B1682" s="3" t="inlineStr">
        <is>
          <t>KOS</t>
        </is>
      </c>
      <c r="C1682" s="3" t="inlineStr">
        <is>
          <t>IMF.RES:WEO</t>
        </is>
      </c>
      <c r="D1682" s="3" t="inlineStr">
        <is>
          <t>KOS.NGDP_D.A</t>
        </is>
      </c>
      <c r="E1682" s="3" t="inlineStr">
        <is>
          <t>Kosovo, Republic of</t>
        </is>
      </c>
      <c r="F1682" s="3" t="inlineStr">
        <is>
          <t>Gross domestic product (GDP), Price deflator, Index</t>
        </is>
      </c>
      <c r="G1682" s="3" t="n">
        <v>73.97837</v>
      </c>
      <c r="H1682" s="3" t="n">
        <v>82.605673</v>
      </c>
      <c r="I1682" s="3" t="n">
        <v>85.579477</v>
      </c>
      <c r="J1682" s="3" t="n">
        <v>86.565037</v>
      </c>
      <c r="K1682" s="3" t="n">
        <v>85.643356</v>
      </c>
      <c r="L1682" s="3" t="n">
        <v>84.457033</v>
      </c>
      <c r="M1682" s="3" t="n">
        <v>84.86230500000001</v>
      </c>
      <c r="N1682" s="3" t="n">
        <v>86.911416</v>
      </c>
      <c r="O1682" s="3" t="n">
        <v>85.024702</v>
      </c>
      <c r="P1682" s="3" t="n">
        <v>82.614947</v>
      </c>
      <c r="Q1682" s="3" t="n">
        <v>87.89636</v>
      </c>
      <c r="R1682" s="3" t="n">
        <v>93.437079</v>
      </c>
      <c r="S1682" s="3" t="n">
        <v>96.73163700000001</v>
      </c>
      <c r="T1682" s="3" t="n">
        <v>97.072548</v>
      </c>
      <c r="U1682" s="3" t="n">
        <v>98.627217</v>
      </c>
      <c r="V1682" s="3" t="n">
        <v>99.22631</v>
      </c>
      <c r="W1682" s="3" t="n">
        <v>100</v>
      </c>
      <c r="X1682" s="3" t="n">
        <v>100.440697</v>
      </c>
      <c r="Y1682" s="3" t="n">
        <v>101.945856</v>
      </c>
      <c r="Z1682" s="3" t="n">
        <v>102.927991</v>
      </c>
      <c r="AA1682" s="3" t="n">
        <v>104.349553</v>
      </c>
      <c r="AB1682" s="3" t="n">
        <v>110.731514</v>
      </c>
      <c r="AC1682" s="3" t="n">
        <v>118.702575</v>
      </c>
      <c r="AD1682" s="3" t="n">
        <v>124.119542</v>
      </c>
      <c r="AE1682" s="3" t="n">
        <v>126.911487</v>
      </c>
      <c r="AF1682" s="3" t="n">
        <v>130.47899</v>
      </c>
      <c r="AG1682" s="3" t="n">
        <v>136.55329</v>
      </c>
      <c r="AH1682" s="3" t="n">
        <v>143.182394</v>
      </c>
      <c r="AI1682" s="3" t="n">
        <v>146.671345</v>
      </c>
      <c r="AJ1682" s="3" t="n">
        <v>150.121977</v>
      </c>
      <c r="AK1682" s="3" t="n">
        <v>153.614508</v>
      </c>
      <c r="AL1682" s="3" t="n">
        <v>157.236286</v>
      </c>
      <c r="AM1682" s="3" t="n"/>
      <c r="AN1682" s="3" t="n"/>
      <c r="AO1682" s="3" t="n"/>
      <c r="AP1682" s="3" t="n"/>
      <c r="AQ1682" s="3" t="n"/>
      <c r="AR1682" s="3" t="n"/>
      <c r="AS1682" s="3" t="n"/>
      <c r="AT1682" s="3" t="n"/>
      <c r="AU1682" s="3" t="n"/>
    </row>
    <row r="1683">
      <c r="A1683" s="3" t="n">
        <v>2031</v>
      </c>
      <c r="B1683" s="3" t="inlineStr">
        <is>
          <t>KOS</t>
        </is>
      </c>
      <c r="C1683" s="3" t="inlineStr">
        <is>
          <t>IMF.RES:WEO</t>
        </is>
      </c>
      <c r="D1683" s="3" t="inlineStr">
        <is>
          <t>KOS.NGDP_R.A</t>
        </is>
      </c>
      <c r="E1683" s="3" t="inlineStr">
        <is>
          <t>Kosovo, Republic of</t>
        </is>
      </c>
      <c r="F1683" s="3" t="inlineStr">
        <is>
          <t>Gross domestic product (GDP), Constant prices, Domestic currency</t>
        </is>
      </c>
      <c r="G1683" s="3" t="n">
        <v>3.243757</v>
      </c>
      <c r="H1683" s="3" t="n">
        <v>3.391442</v>
      </c>
      <c r="I1683" s="3" t="n">
        <v>3.376492</v>
      </c>
      <c r="J1683" s="3" t="n">
        <v>3.462747</v>
      </c>
      <c r="K1683" s="3" t="n">
        <v>3.483684</v>
      </c>
      <c r="L1683" s="3" t="n">
        <v>3.640794</v>
      </c>
      <c r="M1683" s="3" t="n">
        <v>3.771633</v>
      </c>
      <c r="N1683" s="3" t="n">
        <v>4.086503</v>
      </c>
      <c r="O1683" s="3" t="n">
        <v>4.160673</v>
      </c>
      <c r="P1683" s="3" t="n">
        <v>4.370154</v>
      </c>
      <c r="Q1683" s="3" t="n">
        <v>4.586083</v>
      </c>
      <c r="R1683" s="3" t="n">
        <v>4.875902</v>
      </c>
      <c r="S1683" s="3" t="n">
        <v>4.959391</v>
      </c>
      <c r="T1683" s="3" t="n">
        <v>5.224237</v>
      </c>
      <c r="U1683" s="3" t="n">
        <v>5.39922</v>
      </c>
      <c r="V1683" s="3" t="n">
        <v>5.718645</v>
      </c>
      <c r="W1683" s="3" t="n">
        <v>6.0373</v>
      </c>
      <c r="X1683" s="3" t="n">
        <v>6.32861</v>
      </c>
      <c r="Y1683" s="3" t="n">
        <v>6.54416</v>
      </c>
      <c r="Z1683" s="3" t="n">
        <v>6.855472</v>
      </c>
      <c r="AA1683" s="3" t="n">
        <v>6.489343</v>
      </c>
      <c r="AB1683" s="3" t="n">
        <v>7.186662</v>
      </c>
      <c r="AC1683" s="3" t="n">
        <v>7.494109</v>
      </c>
      <c r="AD1683" s="3" t="n">
        <v>7.799014</v>
      </c>
      <c r="AE1683" s="3" t="n">
        <v>8.155605</v>
      </c>
      <c r="AF1683" s="3" t="n">
        <v>8.448487</v>
      </c>
      <c r="AG1683" s="3" t="n">
        <v>8.727287</v>
      </c>
      <c r="AH1683" s="3" t="n">
        <v>9.058923999999999</v>
      </c>
      <c r="AI1683" s="3" t="n">
        <v>9.421281</v>
      </c>
      <c r="AJ1683" s="3" t="n">
        <v>9.798132000000001</v>
      </c>
      <c r="AK1683" s="3" t="n">
        <v>10.190057</v>
      </c>
      <c r="AL1683" s="3" t="n">
        <v>10.593583</v>
      </c>
      <c r="AM1683" s="3" t="n"/>
      <c r="AN1683" s="3" t="n"/>
      <c r="AO1683" s="3" t="n"/>
      <c r="AP1683" s="3" t="n"/>
      <c r="AQ1683" s="3" t="n"/>
      <c r="AR1683" s="3" t="n"/>
      <c r="AS1683" s="3" t="n"/>
      <c r="AT1683" s="3" t="n"/>
      <c r="AU1683" s="3" t="n"/>
    </row>
    <row r="1684">
      <c r="A1684" s="3" t="n">
        <v>2031</v>
      </c>
      <c r="B1684" s="3" t="inlineStr">
        <is>
          <t>KOS</t>
        </is>
      </c>
      <c r="C1684" s="3" t="inlineStr">
        <is>
          <t>IMF.RES:WEO</t>
        </is>
      </c>
      <c r="D1684" s="3" t="inlineStr">
        <is>
          <t>KOS.NGDP_RPCH.A</t>
        </is>
      </c>
      <c r="E1684" s="3" t="inlineStr">
        <is>
          <t>Kosovo, Republic of</t>
        </is>
      </c>
      <c r="F1684" s="3" t="inlineStr">
        <is>
          <t>Gross domestic product (GDP), Constant prices, Percent change</t>
        </is>
      </c>
      <c r="G1684" s="3" t="n"/>
      <c r="H1684" s="3" t="n">
        <v>4.552913</v>
      </c>
      <c r="I1684" s="3" t="n">
        <v>-0.440824</v>
      </c>
      <c r="J1684" s="3" t="n">
        <v>2.554585</v>
      </c>
      <c r="K1684" s="3" t="n">
        <v>0.604645</v>
      </c>
      <c r="L1684" s="3" t="n">
        <v>4.509862</v>
      </c>
      <c r="M1684" s="3" t="n">
        <v>3.593703</v>
      </c>
      <c r="N1684" s="3" t="n">
        <v>8.348374</v>
      </c>
      <c r="O1684" s="3" t="n">
        <v>1.815006</v>
      </c>
      <c r="P1684" s="3" t="n">
        <v>5.034769</v>
      </c>
      <c r="Q1684" s="3" t="n">
        <v>4.941004</v>
      </c>
      <c r="R1684" s="3" t="n">
        <v>6.319524</v>
      </c>
      <c r="S1684" s="3" t="n">
        <v>1.712285</v>
      </c>
      <c r="T1684" s="3" t="n">
        <v>5.340296</v>
      </c>
      <c r="U1684" s="3" t="n">
        <v>3.349437</v>
      </c>
      <c r="V1684" s="3" t="n">
        <v>5.916133</v>
      </c>
      <c r="W1684" s="3" t="n">
        <v>5.572219</v>
      </c>
      <c r="X1684" s="3" t="n">
        <v>4.82517</v>
      </c>
      <c r="Y1684" s="3" t="n">
        <v>3.405962</v>
      </c>
      <c r="Z1684" s="3" t="n">
        <v>4.757101</v>
      </c>
      <c r="AA1684" s="3" t="n">
        <v>-5.340693</v>
      </c>
      <c r="AB1684" s="3" t="n">
        <v>10.745614</v>
      </c>
      <c r="AC1684" s="3" t="n">
        <v>4.278013</v>
      </c>
      <c r="AD1684" s="3" t="n">
        <v>4.068595</v>
      </c>
      <c r="AE1684" s="3" t="n">
        <v>4.572267</v>
      </c>
      <c r="AF1684" s="3" t="n">
        <v>3.591166</v>
      </c>
      <c r="AG1684" s="3" t="n">
        <v>3.3</v>
      </c>
      <c r="AH1684" s="3" t="n">
        <v>3.8</v>
      </c>
      <c r="AI1684" s="3" t="n">
        <v>4</v>
      </c>
      <c r="AJ1684" s="3" t="n">
        <v>4</v>
      </c>
      <c r="AK1684" s="3" t="n">
        <v>4</v>
      </c>
      <c r="AL1684" s="3" t="n">
        <v>3.96</v>
      </c>
      <c r="AM1684" s="3" t="n"/>
      <c r="AN1684" s="3" t="n"/>
      <c r="AO1684" s="3" t="n"/>
      <c r="AP1684" s="3" t="n"/>
      <c r="AQ1684" s="3" t="n"/>
      <c r="AR1684" s="3" t="n"/>
      <c r="AS1684" s="3" t="n"/>
      <c r="AT1684" s="3" t="n"/>
      <c r="AU1684" s="3" t="n"/>
    </row>
    <row r="1685">
      <c r="A1685" s="3" t="n">
        <v>2031</v>
      </c>
      <c r="B1685" s="3" t="inlineStr">
        <is>
          <t>KOS</t>
        </is>
      </c>
      <c r="C1685" s="3" t="inlineStr">
        <is>
          <t>IMF.RES:WEO</t>
        </is>
      </c>
      <c r="D1685" s="3" t="inlineStr">
        <is>
          <t>KOS.NGDPD.A</t>
        </is>
      </c>
      <c r="E1685" s="3" t="inlineStr">
        <is>
          <t>Kosovo, Republic of</t>
        </is>
      </c>
      <c r="F1685" s="3" t="inlineStr">
        <is>
          <t>Gross domestic product (GDP), Current prices, US dollar</t>
        </is>
      </c>
      <c r="G1685" s="3" t="n">
        <v>2.217352</v>
      </c>
      <c r="H1685" s="3" t="n">
        <v>2.509144</v>
      </c>
      <c r="I1685" s="3" t="n">
        <v>2.730384</v>
      </c>
      <c r="J1685" s="3" t="n">
        <v>3.389836</v>
      </c>
      <c r="K1685" s="3" t="n">
        <v>3.709553</v>
      </c>
      <c r="L1685" s="3" t="n">
        <v>3.827575</v>
      </c>
      <c r="M1685" s="3" t="n">
        <v>4.019001</v>
      </c>
      <c r="N1685" s="3" t="n">
        <v>4.868015</v>
      </c>
      <c r="O1685" s="3" t="n">
        <v>5.202375</v>
      </c>
      <c r="P1685" s="3" t="n">
        <v>5.030255</v>
      </c>
      <c r="Q1685" s="3" t="n">
        <v>5.348328</v>
      </c>
      <c r="R1685" s="3" t="n">
        <v>6.340493</v>
      </c>
      <c r="S1685" s="3" t="n">
        <v>6.16742</v>
      </c>
      <c r="T1685" s="3" t="n">
        <v>6.735383</v>
      </c>
      <c r="U1685" s="3" t="n">
        <v>7.076223</v>
      </c>
      <c r="V1685" s="3" t="n">
        <v>6.296457</v>
      </c>
      <c r="W1685" s="3" t="n">
        <v>6.680862</v>
      </c>
      <c r="X1685" s="3" t="n">
        <v>7.178284</v>
      </c>
      <c r="Y1685" s="3" t="n">
        <v>7.882311</v>
      </c>
      <c r="Z1685" s="3" t="n">
        <v>7.900108</v>
      </c>
      <c r="AA1685" s="3" t="n">
        <v>7.728304</v>
      </c>
      <c r="AB1685" s="3" t="n">
        <v>9.418386</v>
      </c>
      <c r="AC1685" s="3" t="n">
        <v>9.374974</v>
      </c>
      <c r="AD1685" s="3" t="n">
        <v>10.469807</v>
      </c>
      <c r="AE1685" s="3" t="n">
        <v>11.199698</v>
      </c>
      <c r="AF1685" s="3" t="n">
        <v>12.449307</v>
      </c>
      <c r="AG1685" s="3" t="n">
        <v>14.053219</v>
      </c>
      <c r="AH1685" s="3" t="n">
        <v>15.260183</v>
      </c>
      <c r="AI1685" s="3" t="n">
        <v>16.213361</v>
      </c>
      <c r="AJ1685" s="3" t="n">
        <v>17.249445</v>
      </c>
      <c r="AK1685" s="3" t="n">
        <v>18.353905</v>
      </c>
      <c r="AL1685" s="3" t="n">
        <v>19.52737</v>
      </c>
      <c r="AM1685" s="3" t="n"/>
      <c r="AN1685" s="3" t="n"/>
      <c r="AO1685" s="3" t="n"/>
      <c r="AP1685" s="3" t="n"/>
      <c r="AQ1685" s="3" t="n"/>
      <c r="AR1685" s="3" t="n"/>
      <c r="AS1685" s="3" t="n"/>
      <c r="AT1685" s="3" t="n"/>
      <c r="AU1685" s="3" t="n"/>
    </row>
    <row r="1686">
      <c r="A1686" s="3" t="n">
        <v>2031</v>
      </c>
      <c r="B1686" s="3" t="inlineStr">
        <is>
          <t>KOS</t>
        </is>
      </c>
      <c r="C1686" s="3" t="inlineStr">
        <is>
          <t>IMF.RES:WEO</t>
        </is>
      </c>
      <c r="D1686" s="3" t="inlineStr">
        <is>
          <t>KOS.NGDPPC.A</t>
        </is>
      </c>
      <c r="E1686" s="3" t="inlineStr">
        <is>
          <t>Kosovo, Republic of</t>
        </is>
      </c>
      <c r="F1686" s="3" t="inlineStr">
        <is>
          <t>Gross domestic product (GDP), Current prices, Per capita, Domestic currency</t>
        </is>
      </c>
      <c r="G1686" s="3" t="n">
        <v>1629.935593</v>
      </c>
      <c r="H1686" s="3" t="n">
        <v>1902.881297</v>
      </c>
      <c r="I1686" s="3" t="n">
        <v>1912.568572</v>
      </c>
      <c r="J1686" s="3" t="n">
        <v>1950.286904</v>
      </c>
      <c r="K1686" s="3" t="n">
        <v>1829.493058</v>
      </c>
      <c r="L1686" s="3" t="n">
        <v>1862.420347</v>
      </c>
      <c r="M1686" s="3" t="n">
        <v>1911.449048</v>
      </c>
      <c r="N1686" s="3" t="n">
        <v>2090.731073</v>
      </c>
      <c r="O1686" s="3" t="n">
        <v>2057</v>
      </c>
      <c r="P1686" s="3" t="n">
        <v>2066</v>
      </c>
      <c r="Q1686" s="3" t="n">
        <v>2271</v>
      </c>
      <c r="R1686" s="3" t="n">
        <v>2528</v>
      </c>
      <c r="S1686" s="3" t="n">
        <v>2655</v>
      </c>
      <c r="T1686" s="3" t="n">
        <v>2794</v>
      </c>
      <c r="U1686" s="3" t="n">
        <v>2950</v>
      </c>
      <c r="V1686" s="3" t="n">
        <v>3202</v>
      </c>
      <c r="W1686" s="3" t="n">
        <v>3368</v>
      </c>
      <c r="X1686" s="3" t="n">
        <v>3534.322376</v>
      </c>
      <c r="Y1686" s="3" t="n">
        <v>3715.334589</v>
      </c>
      <c r="Z1686" s="3" t="n">
        <v>3959.452673</v>
      </c>
      <c r="AA1686" s="3" t="n">
        <v>3765.795085</v>
      </c>
      <c r="AB1686" s="3" t="n">
        <v>4485.924516</v>
      </c>
      <c r="AC1686" s="3" t="n">
        <v>5048.007627</v>
      </c>
      <c r="AD1686" s="3" t="n">
        <v>6038.306672</v>
      </c>
      <c r="AE1686" s="3" t="n">
        <v>6527.790917</v>
      </c>
      <c r="AF1686" s="3" t="n">
        <v>6996.591249</v>
      </c>
      <c r="AG1686" s="3" t="n">
        <v>7596.313914</v>
      </c>
      <c r="AH1686" s="3" t="n">
        <v>8287.137774999999</v>
      </c>
      <c r="AI1686" s="3" t="n">
        <v>8836.312359</v>
      </c>
      <c r="AJ1686" s="3" t="n">
        <v>9407.967318999999</v>
      </c>
      <c r="AK1686" s="3" t="n">
        <v>10011.925792</v>
      </c>
      <c r="AL1686" s="3" t="n">
        <v>10648.44208</v>
      </c>
      <c r="AM1686" s="3" t="n"/>
      <c r="AN1686" s="3" t="n"/>
      <c r="AO1686" s="3" t="n"/>
      <c r="AP1686" s="3" t="n"/>
      <c r="AQ1686" s="3" t="n"/>
      <c r="AR1686" s="3" t="n"/>
      <c r="AS1686" s="3" t="n"/>
      <c r="AT1686" s="3" t="n"/>
      <c r="AU1686" s="3" t="n"/>
    </row>
    <row r="1687">
      <c r="A1687" s="3" t="n">
        <v>2031</v>
      </c>
      <c r="B1687" s="3" t="inlineStr">
        <is>
          <t>KOS</t>
        </is>
      </c>
      <c r="C1687" s="3" t="inlineStr">
        <is>
          <t>IMF.RES:WEO</t>
        </is>
      </c>
      <c r="D1687" s="3" t="inlineStr">
        <is>
          <t>KOS.NGDPRPC.A</t>
        </is>
      </c>
      <c r="E1687" s="3" t="inlineStr">
        <is>
          <t>Kosovo, Republic of</t>
        </is>
      </c>
      <c r="F1687" s="3" t="inlineStr">
        <is>
          <t>Gross domestic product (GDP), Constant prices, Per capita, Domestic currency</t>
        </is>
      </c>
      <c r="G1687" s="3" t="n">
        <v>2203.259683</v>
      </c>
      <c r="H1687" s="3" t="n">
        <v>2303.572188</v>
      </c>
      <c r="I1687" s="3" t="n">
        <v>2234.844901</v>
      </c>
      <c r="J1687" s="3" t="n">
        <v>2252.972994</v>
      </c>
      <c r="K1687" s="3" t="n">
        <v>2136.176291</v>
      </c>
      <c r="L1687" s="3" t="n">
        <v>2205.16904</v>
      </c>
      <c r="M1687" s="3" t="n">
        <v>2252.412359</v>
      </c>
      <c r="N1687" s="3" t="n">
        <v>2405.588562</v>
      </c>
      <c r="O1687" s="3" t="n">
        <v>2419.296932</v>
      </c>
      <c r="P1687" s="3" t="n">
        <v>2500.758139</v>
      </c>
      <c r="Q1687" s="3" t="n">
        <v>2583.724744</v>
      </c>
      <c r="R1687" s="3" t="n">
        <v>2705.564035</v>
      </c>
      <c r="S1687" s="3" t="n">
        <v>2744.706999</v>
      </c>
      <c r="T1687" s="3" t="n">
        <v>2878.259681</v>
      </c>
      <c r="U1687" s="3" t="n">
        <v>2991.060781</v>
      </c>
      <c r="V1687" s="3" t="n">
        <v>3226.966726</v>
      </c>
      <c r="W1687" s="3" t="n">
        <v>3368</v>
      </c>
      <c r="X1687" s="3" t="n">
        <v>3518.815061</v>
      </c>
      <c r="Y1687" s="3" t="n">
        <v>3644.419439</v>
      </c>
      <c r="Z1687" s="3" t="n">
        <v>3846.818184</v>
      </c>
      <c r="AA1687" s="3" t="n">
        <v>3608.827248</v>
      </c>
      <c r="AB1687" s="3" t="n">
        <v>4051.172396</v>
      </c>
      <c r="AC1687" s="3" t="n">
        <v>4252.652166</v>
      </c>
      <c r="AD1687" s="3" t="n">
        <v>4864.912141</v>
      </c>
      <c r="AE1687" s="3" t="n">
        <v>5143.577683</v>
      </c>
      <c r="AF1687" s="3" t="n">
        <v>5362.235916</v>
      </c>
      <c r="AG1687" s="3" t="n">
        <v>5562.893367</v>
      </c>
      <c r="AH1687" s="3" t="n">
        <v>5787.818964</v>
      </c>
      <c r="AI1687" s="3" t="n">
        <v>6024.566246</v>
      </c>
      <c r="AJ1687" s="3" t="n">
        <v>6266.882116</v>
      </c>
      <c r="AK1687" s="3" t="n">
        <v>6517.565247</v>
      </c>
      <c r="AL1687" s="3" t="n">
        <v>6772.254917</v>
      </c>
      <c r="AM1687" s="3" t="n"/>
      <c r="AN1687" s="3" t="n"/>
      <c r="AO1687" s="3" t="n"/>
      <c r="AP1687" s="3" t="n"/>
      <c r="AQ1687" s="3" t="n"/>
      <c r="AR1687" s="3" t="n"/>
      <c r="AS1687" s="3" t="n"/>
      <c r="AT1687" s="3" t="n"/>
      <c r="AU1687" s="3" t="n"/>
    </row>
    <row r="1688">
      <c r="A1688" s="3" t="n">
        <v>2031</v>
      </c>
      <c r="B1688" s="3" t="inlineStr">
        <is>
          <t>KOS</t>
        </is>
      </c>
      <c r="C1688" s="3" t="inlineStr">
        <is>
          <t>IMF.RES:WEO</t>
        </is>
      </c>
      <c r="D1688" s="3" t="inlineStr">
        <is>
          <t>KOS.PCPI.A</t>
        </is>
      </c>
      <c r="E1688" s="3" t="inlineStr">
        <is>
          <t>Kosovo, Republic of</t>
        </is>
      </c>
      <c r="F1688" s="3" t="inlineStr">
        <is>
          <t>All Items, Consumer price index (CPI), Period average</t>
        </is>
      </c>
      <c r="G1688" s="3" t="n">
        <v>67.95389</v>
      </c>
      <c r="H1688" s="3" t="n">
        <v>75.878623</v>
      </c>
      <c r="I1688" s="3" t="n">
        <v>77.922725</v>
      </c>
      <c r="J1688" s="3" t="n">
        <v>78.820108</v>
      </c>
      <c r="K1688" s="3" t="n">
        <v>77.980889</v>
      </c>
      <c r="L1688" s="3" t="n">
        <v>76.900706</v>
      </c>
      <c r="M1688" s="3" t="n">
        <v>77.39094299999999</v>
      </c>
      <c r="N1688" s="3" t="n">
        <v>80.74781900000001</v>
      </c>
      <c r="O1688" s="3" t="n">
        <v>88.29248</v>
      </c>
      <c r="P1688" s="3" t="n">
        <v>86.157042</v>
      </c>
      <c r="Q1688" s="3" t="n">
        <v>89.17324499999999</v>
      </c>
      <c r="R1688" s="3" t="n">
        <v>95.704196</v>
      </c>
      <c r="S1688" s="3" t="n">
        <v>98.08890700000001</v>
      </c>
      <c r="T1688" s="3" t="n">
        <v>99.8172</v>
      </c>
      <c r="U1688" s="3" t="n">
        <v>100.240964</v>
      </c>
      <c r="V1688" s="3" t="n">
        <v>99.700872</v>
      </c>
      <c r="W1688" s="3" t="n">
        <v>100</v>
      </c>
      <c r="X1688" s="3" t="n">
        <v>101.47902</v>
      </c>
      <c r="Y1688" s="3" t="n">
        <v>102.550893</v>
      </c>
      <c r="Z1688" s="3" t="n">
        <v>105.284587</v>
      </c>
      <c r="AA1688" s="3" t="n">
        <v>105.492314</v>
      </c>
      <c r="AB1688" s="3" t="n">
        <v>109.023681</v>
      </c>
      <c r="AC1688" s="3" t="n">
        <v>121.653511</v>
      </c>
      <c r="AD1688" s="3" t="n">
        <v>127.660989</v>
      </c>
      <c r="AE1688" s="3" t="n">
        <v>129.729954</v>
      </c>
      <c r="AF1688" s="3" t="n">
        <v>134.740341</v>
      </c>
      <c r="AG1688" s="3" t="n">
        <v>142.718971</v>
      </c>
      <c r="AH1688" s="3" t="n">
        <v>147.913265</v>
      </c>
      <c r="AI1688" s="3" t="n">
        <v>151.122603</v>
      </c>
      <c r="AJ1688" s="3" t="n">
        <v>154.145055</v>
      </c>
      <c r="AK1688" s="3" t="n">
        <v>157.227956</v>
      </c>
      <c r="AL1688" s="3" t="n">
        <v>160.372515</v>
      </c>
      <c r="AM1688" s="3" t="n"/>
      <c r="AN1688" s="3" t="n"/>
      <c r="AO1688" s="3" t="n"/>
      <c r="AP1688" s="3" t="n"/>
      <c r="AQ1688" s="3" t="n"/>
      <c r="AR1688" s="3" t="n"/>
      <c r="AS1688" s="3" t="n"/>
      <c r="AT1688" s="3" t="n"/>
      <c r="AU1688" s="3" t="n"/>
    </row>
    <row r="1689">
      <c r="A1689" s="3" t="n">
        <v>2031</v>
      </c>
      <c r="B1689" s="3" t="inlineStr">
        <is>
          <t>KOS</t>
        </is>
      </c>
      <c r="C1689" s="3" t="inlineStr">
        <is>
          <t>IMF.RES:WEO</t>
        </is>
      </c>
      <c r="D1689" s="3" t="inlineStr">
        <is>
          <t>KOS.PCPIPCH.A</t>
        </is>
      </c>
      <c r="E1689" s="3" t="inlineStr">
        <is>
          <t>Kosovo, Republic of</t>
        </is>
      </c>
      <c r="F1689" s="3" t="inlineStr">
        <is>
          <t>All Items, Consumer price index (CPI), Period average, percent change</t>
        </is>
      </c>
      <c r="G1689" s="3" t="n"/>
      <c r="H1689" s="3" t="n">
        <v>11.661926</v>
      </c>
      <c r="I1689" s="3" t="n">
        <v>2.693911</v>
      </c>
      <c r="J1689" s="3" t="n">
        <v>1.151631</v>
      </c>
      <c r="K1689" s="3" t="n">
        <v>-1.064727</v>
      </c>
      <c r="L1689" s="3" t="n">
        <v>-1.385189</v>
      </c>
      <c r="M1689" s="3" t="n">
        <v>0.637493</v>
      </c>
      <c r="N1689" s="3" t="n">
        <v>4.337556</v>
      </c>
      <c r="O1689" s="3" t="n">
        <v>9.343486</v>
      </c>
      <c r="P1689" s="3" t="n">
        <v>-2.418596</v>
      </c>
      <c r="Q1689" s="3" t="n">
        <v>3.50082</v>
      </c>
      <c r="R1689" s="3" t="n">
        <v>7.323891</v>
      </c>
      <c r="S1689" s="3" t="n">
        <v>2.491752</v>
      </c>
      <c r="T1689" s="3" t="n">
        <v>1.761965</v>
      </c>
      <c r="U1689" s="3" t="n">
        <v>0.42454</v>
      </c>
      <c r="V1689" s="3" t="n">
        <v>-0.538793</v>
      </c>
      <c r="W1689" s="3" t="n">
        <v>0.300025</v>
      </c>
      <c r="X1689" s="3" t="n">
        <v>1.47902</v>
      </c>
      <c r="Y1689" s="3" t="n">
        <v>1.056252</v>
      </c>
      <c r="Z1689" s="3" t="n">
        <v>2.665694</v>
      </c>
      <c r="AA1689" s="3" t="n">
        <v>0.197301</v>
      </c>
      <c r="AB1689" s="3" t="n">
        <v>3.347511</v>
      </c>
      <c r="AC1689" s="3" t="n">
        <v>11.584483</v>
      </c>
      <c r="AD1689" s="3" t="n">
        <v>4.938187</v>
      </c>
      <c r="AE1689" s="3" t="n">
        <v>1.620672</v>
      </c>
      <c r="AF1689" s="3" t="n">
        <v>3.862166</v>
      </c>
      <c r="AG1689" s="3" t="n">
        <v>5.921486</v>
      </c>
      <c r="AH1689" s="3" t="n">
        <v>3.639526</v>
      </c>
      <c r="AI1689" s="3" t="n">
        <v>2.169743</v>
      </c>
      <c r="AJ1689" s="3" t="n">
        <v>2</v>
      </c>
      <c r="AK1689" s="3" t="n">
        <v>2</v>
      </c>
      <c r="AL1689" s="3" t="n">
        <v>2</v>
      </c>
      <c r="AM1689" s="3" t="n"/>
      <c r="AN1689" s="3" t="n"/>
      <c r="AO1689" s="3" t="n"/>
      <c r="AP1689" s="3" t="n"/>
      <c r="AQ1689" s="3" t="n"/>
      <c r="AR1689" s="3" t="n"/>
      <c r="AS1689" s="3" t="n"/>
      <c r="AT1689" s="3" t="n"/>
      <c r="AU1689" s="3" t="n"/>
    </row>
    <row r="1690">
      <c r="A1690" s="3" t="n">
        <v>2031</v>
      </c>
      <c r="B1690" s="3" t="inlineStr">
        <is>
          <t>KOS</t>
        </is>
      </c>
      <c r="C1690" s="3" t="inlineStr">
        <is>
          <t>IMF.RES:WEO</t>
        </is>
      </c>
      <c r="D1690" s="3" t="inlineStr">
        <is>
          <t>KOS.PPPPC.A</t>
        </is>
      </c>
      <c r="E1690" s="3" t="inlineStr">
        <is>
          <t>Kosovo, Republic of</t>
        </is>
      </c>
      <c r="F1690" s="3" t="inlineStr">
        <is>
          <t>Gross domestic product (GDP), Per capita, purchasing power parity (PPP) international dollar, ICP benchmarks 2017-2021</t>
        </is>
      </c>
      <c r="G1690" s="3" t="n">
        <v>5005.584119</v>
      </c>
      <c r="H1690" s="3" t="n">
        <v>5351.32222</v>
      </c>
      <c r="I1690" s="3" t="n">
        <v>5272.345365</v>
      </c>
      <c r="J1690" s="3" t="n">
        <v>5420.044126</v>
      </c>
      <c r="K1690" s="3" t="n">
        <v>5277.246117</v>
      </c>
      <c r="L1690" s="3" t="n">
        <v>5618.51668</v>
      </c>
      <c r="M1690" s="3" t="n">
        <v>5915.867735</v>
      </c>
      <c r="N1690" s="3" t="n">
        <v>6489.35521</v>
      </c>
      <c r="O1690" s="3" t="n">
        <v>6652.05919</v>
      </c>
      <c r="P1690" s="3" t="n">
        <v>6918.451034</v>
      </c>
      <c r="Q1690" s="3" t="n">
        <v>7234.856335</v>
      </c>
      <c r="R1690" s="3" t="n">
        <v>7732.338733</v>
      </c>
      <c r="S1690" s="3" t="n">
        <v>8040.200762</v>
      </c>
      <c r="T1690" s="3" t="n">
        <v>8397.426966000001</v>
      </c>
      <c r="U1690" s="3" t="n">
        <v>8686.124866</v>
      </c>
      <c r="V1690" s="3" t="n">
        <v>9441.861837</v>
      </c>
      <c r="W1690" s="3" t="n">
        <v>9924.045775000001</v>
      </c>
      <c r="X1690" s="3" t="n">
        <v>10392.703218</v>
      </c>
      <c r="Y1690" s="3" t="n">
        <v>11010.244462</v>
      </c>
      <c r="Z1690" s="3" t="n">
        <v>11813.548638</v>
      </c>
      <c r="AA1690" s="3" t="n">
        <v>11231.702206</v>
      </c>
      <c r="AB1690" s="3" t="n">
        <v>13183.751026</v>
      </c>
      <c r="AC1690" s="3" t="n">
        <v>14823.745065</v>
      </c>
      <c r="AD1690" s="3" t="n">
        <v>17585.388725</v>
      </c>
      <c r="AE1690" s="3" t="n">
        <v>19054.2639</v>
      </c>
      <c r="AF1690" s="3" t="n">
        <v>20427.781435</v>
      </c>
      <c r="AG1690" s="3" t="n">
        <v>21799.323741</v>
      </c>
      <c r="AH1690" s="3" t="n">
        <v>23178.78706</v>
      </c>
      <c r="AI1690" s="3" t="n">
        <v>24522.918189</v>
      </c>
      <c r="AJ1690" s="3" t="n">
        <v>25962.844136</v>
      </c>
      <c r="AK1690" s="3" t="n">
        <v>27497.548204</v>
      </c>
      <c r="AL1690" s="3" t="n">
        <v>29087.893895</v>
      </c>
      <c r="AM1690" s="3" t="n"/>
      <c r="AN1690" s="3" t="n"/>
      <c r="AO1690" s="3" t="n"/>
      <c r="AP1690" s="3" t="n"/>
      <c r="AQ1690" s="3" t="n"/>
      <c r="AR1690" s="3" t="n"/>
      <c r="AS1690" s="3" t="n"/>
      <c r="AT1690" s="3" t="n"/>
      <c r="AU1690" s="3" t="n"/>
    </row>
    <row r="1691">
      <c r="A1691" s="3" t="n">
        <v>2025</v>
      </c>
      <c r="B1691" s="3" t="inlineStr">
        <is>
          <t>KOS</t>
        </is>
      </c>
      <c r="C1691" s="3" t="inlineStr">
        <is>
          <t>IMF.STA:ER</t>
        </is>
      </c>
      <c r="D1691" s="3" t="inlineStr">
        <is>
          <t>KOS.XDC_USD.PA_RT.A</t>
        </is>
      </c>
      <c r="E1691" s="3" t="inlineStr">
        <is>
          <t>Kosovo, Republic of</t>
        </is>
      </c>
      <c r="F1691" s="3" t="inlineStr">
        <is>
          <t>Domestic currency per US Dollar</t>
        </is>
      </c>
      <c r="G1691" s="3" t="n"/>
      <c r="H1691" s="3" t="n"/>
      <c r="I1691" s="3" t="n">
        <v>1.05755899623965</v>
      </c>
      <c r="J1691" s="3" t="n">
        <v>0.8840479271849609</v>
      </c>
      <c r="K1691" s="3" t="n">
        <v>0.803921647747605</v>
      </c>
      <c r="L1691" s="3" t="n">
        <v>0.803800192161416</v>
      </c>
      <c r="M1691" s="3" t="n">
        <v>0.7964327309490959</v>
      </c>
      <c r="N1691" s="3" t="n">
        <v>0.7296723999840879</v>
      </c>
      <c r="O1691" s="3" t="n">
        <v>0.679922680042729</v>
      </c>
      <c r="P1691" s="3" t="n">
        <v>0.716957702016136</v>
      </c>
      <c r="Q1691" s="3" t="n">
        <v>0.754308990105979</v>
      </c>
      <c r="R1691" s="3" t="n">
        <v>0.7184138986533219</v>
      </c>
      <c r="S1691" s="3" t="n">
        <v>0.7783381204168121</v>
      </c>
      <c r="T1691" s="3" t="n">
        <v>0.752945122702002</v>
      </c>
      <c r="U1691" s="3" t="n">
        <v>0.752728196932591</v>
      </c>
      <c r="V1691" s="3" t="n">
        <v>0.901296423367096</v>
      </c>
      <c r="W1691" s="3" t="n">
        <v>0.903421436257288</v>
      </c>
      <c r="X1691" s="3" t="n">
        <v>0.88520550826938</v>
      </c>
      <c r="Y1691" s="3" t="n">
        <v>0.846772667108096</v>
      </c>
      <c r="Z1691" s="3" t="n">
        <v>0.893215581479226</v>
      </c>
      <c r="AA1691" s="3" t="n">
        <v>0.877475207233012</v>
      </c>
      <c r="AB1691" s="3" t="n">
        <v>0.8453765643679449</v>
      </c>
      <c r="AC1691" s="3" t="n">
        <v>0.950915533962108</v>
      </c>
      <c r="AD1691" s="3" t="n">
        <v>0.924709622987356</v>
      </c>
      <c r="AE1691" s="3" t="n">
        <v>0.924367447270266</v>
      </c>
      <c r="AF1691" s="3" t="n">
        <v>0.887144250370587</v>
      </c>
      <c r="AG1691" s="3" t="n"/>
      <c r="AH1691" s="3" t="n"/>
      <c r="AI1691" s="3" t="n"/>
      <c r="AJ1691" s="3" t="n"/>
      <c r="AK1691" s="3" t="n"/>
      <c r="AL1691" s="3" t="n"/>
      <c r="AM1691" s="3" t="n"/>
      <c r="AN1691" s="3" t="n"/>
      <c r="AO1691" s="3" t="n"/>
      <c r="AP1691" s="3" t="n"/>
      <c r="AQ1691" s="3" t="n"/>
      <c r="AR1691" s="3" t="n"/>
      <c r="AS1691" s="3" t="n"/>
      <c r="AT1691" s="3" t="n"/>
      <c r="AU1691" s="3" t="n"/>
    </row>
    <row r="1692">
      <c r="A1692" s="3" t="n">
        <v>2031</v>
      </c>
      <c r="B1692" s="3" t="inlineStr">
        <is>
          <t>KWT</t>
        </is>
      </c>
      <c r="C1692" s="3" t="inlineStr">
        <is>
          <t>IMF.RES:WEO</t>
        </is>
      </c>
      <c r="D1692" s="3" t="inlineStr">
        <is>
          <t>KWT.BCA.A</t>
        </is>
      </c>
      <c r="E1692" s="3" t="inlineStr">
        <is>
          <t>Kuwait</t>
        </is>
      </c>
      <c r="F1692" s="3" t="inlineStr">
        <is>
          <t>Current account balance (credit less debit), US dollar</t>
        </is>
      </c>
      <c r="G1692" s="3" t="n">
        <v>14.670499</v>
      </c>
      <c r="H1692" s="3" t="n">
        <v>8.325177999999999</v>
      </c>
      <c r="I1692" s="3" t="n">
        <v>4.257022</v>
      </c>
      <c r="J1692" s="3" t="n">
        <v>9.418015</v>
      </c>
      <c r="K1692" s="3" t="n">
        <v>15.585341</v>
      </c>
      <c r="L1692" s="3" t="n">
        <v>30.065068</v>
      </c>
      <c r="M1692" s="3" t="n">
        <v>45.302979</v>
      </c>
      <c r="N1692" s="3" t="n">
        <v>41.315264</v>
      </c>
      <c r="O1692" s="3" t="n">
        <v>60.240135</v>
      </c>
      <c r="P1692" s="3" t="n">
        <v>28.291312</v>
      </c>
      <c r="Q1692" s="3" t="n">
        <v>36.979539</v>
      </c>
      <c r="R1692" s="3" t="n">
        <v>66.13086300000001</v>
      </c>
      <c r="S1692" s="3" t="n">
        <v>79.126375</v>
      </c>
      <c r="T1692" s="3" t="n">
        <v>70.19762799999999</v>
      </c>
      <c r="U1692" s="3" t="n">
        <v>54.402775</v>
      </c>
      <c r="V1692" s="3" t="n">
        <v>4.012644</v>
      </c>
      <c r="W1692" s="3" t="n">
        <v>-5.060261</v>
      </c>
      <c r="X1692" s="3" t="n">
        <v>9.609362000000001</v>
      </c>
      <c r="Y1692" s="3" t="n">
        <v>19.888277</v>
      </c>
      <c r="Z1692" s="3" t="n">
        <v>17.858192</v>
      </c>
      <c r="AA1692" s="3" t="n">
        <v>4.844477</v>
      </c>
      <c r="AB1692" s="3" t="n">
        <v>37.38882</v>
      </c>
      <c r="AC1692" s="3" t="n">
        <v>63.122915</v>
      </c>
      <c r="AD1692" s="3" t="n">
        <v>51.408805</v>
      </c>
      <c r="AE1692" s="3" t="n">
        <v>46.700396</v>
      </c>
      <c r="AF1692" s="3" t="n">
        <v>36.723122</v>
      </c>
      <c r="AG1692" s="3" t="n">
        <v>45.04356</v>
      </c>
      <c r="AH1692" s="3" t="n">
        <v>38.090027</v>
      </c>
      <c r="AI1692" s="3" t="n">
        <v>35.017733</v>
      </c>
      <c r="AJ1692" s="3" t="n">
        <v>33.096297</v>
      </c>
      <c r="AK1692" s="3" t="n">
        <v>31.07036</v>
      </c>
      <c r="AL1692" s="3" t="n">
        <v>28.640171</v>
      </c>
      <c r="AM1692" s="3" t="n"/>
      <c r="AN1692" s="3" t="n"/>
      <c r="AO1692" s="3" t="n"/>
      <c r="AP1692" s="3" t="n"/>
      <c r="AQ1692" s="3" t="n"/>
      <c r="AR1692" s="3" t="n"/>
      <c r="AS1692" s="3" t="n"/>
      <c r="AT1692" s="3" t="n"/>
      <c r="AU1692" s="3" t="n"/>
    </row>
    <row r="1693">
      <c r="A1693" s="3" t="n">
        <v>2031</v>
      </c>
      <c r="B1693" s="3" t="inlineStr">
        <is>
          <t>KWT</t>
        </is>
      </c>
      <c r="C1693" s="3" t="inlineStr">
        <is>
          <t>IMF.RES:WEO</t>
        </is>
      </c>
      <c r="D1693" s="3" t="inlineStr">
        <is>
          <t>KWT.BCA_NGDPD.A</t>
        </is>
      </c>
      <c r="E1693" s="3" t="inlineStr">
        <is>
          <t>Kuwait</t>
        </is>
      </c>
      <c r="F1693" s="3" t="inlineStr">
        <is>
          <t>Current account balance (credit less debit), Percent of GDP</t>
        </is>
      </c>
      <c r="G1693" s="3" t="n">
        <v>38.898955</v>
      </c>
      <c r="H1693" s="3" t="n">
        <v>23.850467</v>
      </c>
      <c r="I1693" s="3" t="n">
        <v>11.164797</v>
      </c>
      <c r="J1693" s="3" t="n">
        <v>19.674498</v>
      </c>
      <c r="K1693" s="3" t="n">
        <v>26.220692</v>
      </c>
      <c r="L1693" s="3" t="n">
        <v>37.209874</v>
      </c>
      <c r="M1693" s="3" t="n">
        <v>44.612226</v>
      </c>
      <c r="N1693" s="3" t="n">
        <v>36.04906</v>
      </c>
      <c r="O1693" s="3" t="n">
        <v>40.870979</v>
      </c>
      <c r="P1693" s="3" t="n">
        <v>26.69185</v>
      </c>
      <c r="Q1693" s="3" t="n">
        <v>32.044403</v>
      </c>
      <c r="R1693" s="3" t="n">
        <v>42.936516</v>
      </c>
      <c r="S1693" s="3" t="n">
        <v>45.457717</v>
      </c>
      <c r="T1693" s="3" t="n">
        <v>40.30191</v>
      </c>
      <c r="U1693" s="3" t="n">
        <v>33.438479</v>
      </c>
      <c r="V1693" s="3" t="n">
        <v>3.50126</v>
      </c>
      <c r="W1693" s="3" t="n">
        <v>-4.625512</v>
      </c>
      <c r="X1693" s="3" t="n">
        <v>7.962175</v>
      </c>
      <c r="Y1693" s="3" t="n">
        <v>14.34369</v>
      </c>
      <c r="Z1693" s="3" t="n">
        <v>12.678414</v>
      </c>
      <c r="AA1693" s="3" t="n">
        <v>4.362491</v>
      </c>
      <c r="AB1693" s="3" t="n">
        <v>25.203748</v>
      </c>
      <c r="AC1693" s="3" t="n">
        <v>34.392099</v>
      </c>
      <c r="AD1693" s="3" t="n">
        <v>31.06757</v>
      </c>
      <c r="AE1693" s="3" t="n">
        <v>29.024165</v>
      </c>
      <c r="AF1693" s="3" t="n">
        <v>23.266717</v>
      </c>
      <c r="AG1693" s="3" t="n">
        <v>26.048854</v>
      </c>
      <c r="AH1693" s="3" t="n">
        <v>21.797372</v>
      </c>
      <c r="AI1693" s="3" t="n">
        <v>19.445184</v>
      </c>
      <c r="AJ1693" s="3" t="n">
        <v>17.73265</v>
      </c>
      <c r="AK1693" s="3" t="n">
        <v>16.064547</v>
      </c>
      <c r="AL1693" s="3" t="n">
        <v>14.301011</v>
      </c>
      <c r="AM1693" s="3" t="n"/>
      <c r="AN1693" s="3" t="n"/>
      <c r="AO1693" s="3" t="n"/>
      <c r="AP1693" s="3" t="n"/>
      <c r="AQ1693" s="3" t="n"/>
      <c r="AR1693" s="3" t="n"/>
      <c r="AS1693" s="3" t="n"/>
      <c r="AT1693" s="3" t="n"/>
      <c r="AU1693" s="3" t="n"/>
    </row>
    <row r="1694">
      <c r="A1694" s="3" t="n">
        <v>2031</v>
      </c>
      <c r="B1694" s="3" t="inlineStr">
        <is>
          <t>KWT</t>
        </is>
      </c>
      <c r="C1694" s="3" t="inlineStr">
        <is>
          <t>IMF.RES:WEO</t>
        </is>
      </c>
      <c r="D1694" s="3" t="inlineStr">
        <is>
          <t>KWT.GGR_NGDP.A</t>
        </is>
      </c>
      <c r="E1694" s="3" t="inlineStr">
        <is>
          <t>Kuwait</t>
        </is>
      </c>
      <c r="F1694" s="3" t="inlineStr">
        <is>
          <t>Revenue, General government, Percent of GDP</t>
        </is>
      </c>
      <c r="G1694" s="3" t="n">
        <v>81.99052399999999</v>
      </c>
      <c r="H1694" s="3" t="n">
        <v>86.113457</v>
      </c>
      <c r="I1694" s="3" t="n">
        <v>73.407934</v>
      </c>
      <c r="J1694" s="3" t="n">
        <v>65.04026500000001</v>
      </c>
      <c r="K1694" s="3" t="n">
        <v>67.488204</v>
      </c>
      <c r="L1694" s="3" t="n">
        <v>67.46934</v>
      </c>
      <c r="M1694" s="3" t="n">
        <v>60.038657</v>
      </c>
      <c r="N1694" s="3" t="n">
        <v>67.28874500000001</v>
      </c>
      <c r="O1694" s="3" t="n">
        <v>62.013755</v>
      </c>
      <c r="P1694" s="3" t="n">
        <v>73.916588</v>
      </c>
      <c r="Q1694" s="3" t="n">
        <v>77.117484</v>
      </c>
      <c r="R1694" s="3" t="n">
        <v>78.22874400000001</v>
      </c>
      <c r="S1694" s="3" t="n">
        <v>78.64225399999999</v>
      </c>
      <c r="T1694" s="3" t="n">
        <v>78.815912</v>
      </c>
      <c r="U1694" s="3" t="n">
        <v>74.79165399999999</v>
      </c>
      <c r="V1694" s="3" t="n">
        <v>71.629982</v>
      </c>
      <c r="W1694" s="3" t="n">
        <v>66.853285</v>
      </c>
      <c r="X1694" s="3" t="n">
        <v>67.112629</v>
      </c>
      <c r="Y1694" s="3" t="n">
        <v>68.642303</v>
      </c>
      <c r="Z1694" s="3" t="n">
        <v>63.2448</v>
      </c>
      <c r="AA1694" s="3" t="n">
        <v>63.044964</v>
      </c>
      <c r="AB1694" s="3" t="n">
        <v>58.331652</v>
      </c>
      <c r="AC1694" s="3" t="n">
        <v>69.572683</v>
      </c>
      <c r="AD1694" s="3" t="n">
        <v>76.513999</v>
      </c>
      <c r="AE1694" s="3" t="n">
        <v>74.03703899999999</v>
      </c>
      <c r="AF1694" s="3" t="n">
        <v>78.459048</v>
      </c>
      <c r="AG1694" s="3" t="n">
        <v>76.450973</v>
      </c>
      <c r="AH1694" s="3" t="n">
        <v>77.692875</v>
      </c>
      <c r="AI1694" s="3" t="n">
        <v>77.192098</v>
      </c>
      <c r="AJ1694" s="3" t="n">
        <v>77.089884</v>
      </c>
      <c r="AK1694" s="3" t="n">
        <v>77.036513</v>
      </c>
      <c r="AL1694" s="3" t="n">
        <v>76.940819</v>
      </c>
      <c r="AM1694" s="3" t="n"/>
      <c r="AN1694" s="3" t="n"/>
      <c r="AO1694" s="3" t="n"/>
      <c r="AP1694" s="3" t="n"/>
      <c r="AQ1694" s="3" t="n"/>
      <c r="AR1694" s="3" t="n"/>
      <c r="AS1694" s="3" t="n"/>
      <c r="AT1694" s="3" t="n"/>
      <c r="AU1694" s="3" t="n"/>
    </row>
    <row r="1695">
      <c r="A1695" s="3" t="n">
        <v>2031</v>
      </c>
      <c r="B1695" s="3" t="inlineStr">
        <is>
          <t>KWT</t>
        </is>
      </c>
      <c r="C1695" s="3" t="inlineStr">
        <is>
          <t>IMF.RES:WEO</t>
        </is>
      </c>
      <c r="D1695" s="3" t="inlineStr">
        <is>
          <t>KWT.GGX_NGDP.A</t>
        </is>
      </c>
      <c r="E1695" s="3" t="inlineStr">
        <is>
          <t>Kuwait</t>
        </is>
      </c>
      <c r="F1695" s="3" t="inlineStr">
        <is>
          <t>Expenditure, General government, Percent of GDP</t>
        </is>
      </c>
      <c r="G1695" s="3" t="n">
        <v>29.723559</v>
      </c>
      <c r="H1695" s="3" t="n">
        <v>41.17371</v>
      </c>
      <c r="I1695" s="3" t="n">
        <v>42.549525</v>
      </c>
      <c r="J1695" s="3" t="n">
        <v>38.007282</v>
      </c>
      <c r="K1695" s="3" t="n">
        <v>35.201351</v>
      </c>
      <c r="L1695" s="3" t="n">
        <v>28.711896</v>
      </c>
      <c r="M1695" s="3" t="n">
        <v>32.21034</v>
      </c>
      <c r="N1695" s="3" t="n">
        <v>30.374318</v>
      </c>
      <c r="O1695" s="3" t="n">
        <v>40.805723</v>
      </c>
      <c r="P1695" s="3" t="n">
        <v>42.782478</v>
      </c>
      <c r="Q1695" s="3" t="n">
        <v>45.402248</v>
      </c>
      <c r="R1695" s="3" t="n">
        <v>39.623979</v>
      </c>
      <c r="S1695" s="3" t="n">
        <v>38.099521</v>
      </c>
      <c r="T1695" s="3" t="n">
        <v>38.388911</v>
      </c>
      <c r="U1695" s="3" t="n">
        <v>44.95343</v>
      </c>
      <c r="V1695" s="3" t="n">
        <v>55.280645</v>
      </c>
      <c r="W1695" s="3" t="n">
        <v>54.043557</v>
      </c>
      <c r="X1695" s="3" t="n">
        <v>51.862391</v>
      </c>
      <c r="Y1695" s="3" t="n">
        <v>51.048785</v>
      </c>
      <c r="Z1695" s="3" t="n">
        <v>50.239983</v>
      </c>
      <c r="AA1695" s="3" t="n">
        <v>62.88689</v>
      </c>
      <c r="AB1695" s="3" t="n">
        <v>48.342423</v>
      </c>
      <c r="AC1695" s="3" t="n">
        <v>39.588549</v>
      </c>
      <c r="AD1695" s="3" t="n">
        <v>48.312964</v>
      </c>
      <c r="AE1695" s="3" t="n">
        <v>48.004985</v>
      </c>
      <c r="AF1695" s="3" t="n">
        <v>50.102135</v>
      </c>
      <c r="AG1695" s="3" t="n">
        <v>48.871438</v>
      </c>
      <c r="AH1695" s="3" t="n">
        <v>48.200378</v>
      </c>
      <c r="AI1695" s="3" t="n">
        <v>47.795266</v>
      </c>
      <c r="AJ1695" s="3" t="n">
        <v>48.021884</v>
      </c>
      <c r="AK1695" s="3" t="n">
        <v>48.153735</v>
      </c>
      <c r="AL1695" s="3" t="n">
        <v>48.234161</v>
      </c>
      <c r="AM1695" s="3" t="n"/>
      <c r="AN1695" s="3" t="n"/>
      <c r="AO1695" s="3" t="n"/>
      <c r="AP1695" s="3" t="n"/>
      <c r="AQ1695" s="3" t="n"/>
      <c r="AR1695" s="3" t="n"/>
      <c r="AS1695" s="3" t="n"/>
      <c r="AT1695" s="3" t="n"/>
      <c r="AU1695" s="3" t="n"/>
    </row>
    <row r="1696">
      <c r="A1696" s="3" t="n">
        <v>2031</v>
      </c>
      <c r="B1696" s="3" t="inlineStr">
        <is>
          <t>KWT</t>
        </is>
      </c>
      <c r="C1696" s="3" t="inlineStr">
        <is>
          <t>IMF.RES:WEO</t>
        </is>
      </c>
      <c r="D1696" s="3" t="inlineStr">
        <is>
          <t>KWT.LP.A</t>
        </is>
      </c>
      <c r="E1696" s="3" t="inlineStr">
        <is>
          <t>Kuwait</t>
        </is>
      </c>
      <c r="F1696" s="3" t="inlineStr">
        <is>
          <t>Population, Persons for countries / Index for country groups</t>
        </is>
      </c>
      <c r="G1696" s="3" t="n">
        <v>2.138115</v>
      </c>
      <c r="H1696" s="3" t="n">
        <v>2.182609</v>
      </c>
      <c r="I1696" s="3" t="n">
        <v>2.261956</v>
      </c>
      <c r="J1696" s="3" t="n">
        <v>2.32544</v>
      </c>
      <c r="K1696" s="3" t="n">
        <v>2.390591</v>
      </c>
      <c r="L1696" s="3" t="n">
        <v>2.244995</v>
      </c>
      <c r="M1696" s="3" t="n">
        <v>2.328116</v>
      </c>
      <c r="N1696" s="3" t="n">
        <v>2.410829</v>
      </c>
      <c r="O1696" s="3" t="n">
        <v>2.777861</v>
      </c>
      <c r="P1696" s="3" t="n">
        <v>2.777861</v>
      </c>
      <c r="Q1696" s="3" t="n">
        <v>2.933268</v>
      </c>
      <c r="R1696" s="3" t="n">
        <v>3.246622</v>
      </c>
      <c r="S1696" s="3" t="n">
        <v>3.427595</v>
      </c>
      <c r="T1696" s="3" t="n">
        <v>3.588092</v>
      </c>
      <c r="U1696" s="3" t="n">
        <v>3.74366</v>
      </c>
      <c r="V1696" s="3" t="n">
        <v>3.925487</v>
      </c>
      <c r="W1696" s="3" t="n">
        <v>4.082704</v>
      </c>
      <c r="X1696" s="3" t="n">
        <v>4.22692</v>
      </c>
      <c r="Y1696" s="3" t="n">
        <v>4.42011</v>
      </c>
      <c r="Z1696" s="3" t="n">
        <v>4.464521</v>
      </c>
      <c r="AA1696" s="3" t="n">
        <v>4.336012</v>
      </c>
      <c r="AB1696" s="3" t="n">
        <v>4.385717</v>
      </c>
      <c r="AC1696" s="3" t="n">
        <v>4.793568</v>
      </c>
      <c r="AD1696" s="3" t="n">
        <v>4.913271</v>
      </c>
      <c r="AE1696" s="3" t="n">
        <v>5.011536</v>
      </c>
      <c r="AF1696" s="3" t="n">
        <v>5.111767</v>
      </c>
      <c r="AG1696" s="3" t="n">
        <v>5.214002</v>
      </c>
      <c r="AH1696" s="3" t="n">
        <v>5.318283</v>
      </c>
      <c r="AI1696" s="3" t="n">
        <v>5.424648</v>
      </c>
      <c r="AJ1696" s="3" t="n">
        <v>5.533141</v>
      </c>
      <c r="AK1696" s="3" t="n">
        <v>5.643804</v>
      </c>
      <c r="AL1696" s="3" t="n">
        <v>5.75668</v>
      </c>
      <c r="AM1696" s="3" t="n"/>
      <c r="AN1696" s="3" t="n"/>
      <c r="AO1696" s="3" t="n"/>
      <c r="AP1696" s="3" t="n"/>
      <c r="AQ1696" s="3" t="n"/>
      <c r="AR1696" s="3" t="n"/>
      <c r="AS1696" s="3" t="n"/>
      <c r="AT1696" s="3" t="n"/>
      <c r="AU1696" s="3" t="n"/>
    </row>
    <row r="1697">
      <c r="A1697" s="3" t="n">
        <v>2031</v>
      </c>
      <c r="B1697" s="3" t="inlineStr">
        <is>
          <t>KWT</t>
        </is>
      </c>
      <c r="C1697" s="3" t="inlineStr">
        <is>
          <t>IMF.RES:WEO</t>
        </is>
      </c>
      <c r="D1697" s="3" t="inlineStr">
        <is>
          <t>KWT.NGDP.A</t>
        </is>
      </c>
      <c r="E1697" s="3" t="inlineStr">
        <is>
          <t>Kuwait</t>
        </is>
      </c>
      <c r="F1697" s="3" t="inlineStr">
        <is>
          <t>Gross domestic product (GDP), Current prices, Domestic currency</t>
        </is>
      </c>
      <c r="G1697" s="3" t="n">
        <v>11.5703</v>
      </c>
      <c r="H1697" s="3" t="n">
        <v>10.7</v>
      </c>
      <c r="I1697" s="3" t="n">
        <v>11.59</v>
      </c>
      <c r="J1697" s="3" t="n">
        <v>14.2672</v>
      </c>
      <c r="K1697" s="3" t="n">
        <v>17.5167</v>
      </c>
      <c r="L1697" s="3" t="n">
        <v>23.5932</v>
      </c>
      <c r="M1697" s="3" t="n">
        <v>29.4695</v>
      </c>
      <c r="N1697" s="3" t="n">
        <v>32.5806</v>
      </c>
      <c r="O1697" s="3" t="n">
        <v>39.6198</v>
      </c>
      <c r="P1697" s="3" t="n">
        <v>30.4962</v>
      </c>
      <c r="Q1697" s="3" t="n">
        <v>33.0791</v>
      </c>
      <c r="R1697" s="3" t="n">
        <v>42.5116</v>
      </c>
      <c r="S1697" s="3" t="n">
        <v>48.7222</v>
      </c>
      <c r="T1697" s="3" t="n">
        <v>49.3922</v>
      </c>
      <c r="U1697" s="3" t="n">
        <v>46.285</v>
      </c>
      <c r="V1697" s="3" t="n">
        <v>34.4733</v>
      </c>
      <c r="W1697" s="3" t="n">
        <v>33.0558</v>
      </c>
      <c r="X1697" s="3" t="n">
        <v>36.6106</v>
      </c>
      <c r="Y1697" s="3" t="n">
        <v>41.8651</v>
      </c>
      <c r="Z1697" s="3" t="n">
        <v>42.7656</v>
      </c>
      <c r="AA1697" s="3" t="n">
        <v>34.0058</v>
      </c>
      <c r="AB1697" s="3" t="n">
        <v>44.7489</v>
      </c>
      <c r="AC1697" s="3" t="n">
        <v>56.1975</v>
      </c>
      <c r="AD1697" s="3" t="n">
        <v>50.8276</v>
      </c>
      <c r="AE1697" s="3" t="n">
        <v>49.3475</v>
      </c>
      <c r="AF1697" s="3" t="n">
        <v>48.372481</v>
      </c>
      <c r="AG1697" s="3" t="n">
        <v>52.995373</v>
      </c>
      <c r="AH1697" s="3" t="n">
        <v>53.555124</v>
      </c>
      <c r="AI1697" s="3" t="n">
        <v>55.1912</v>
      </c>
      <c r="AJ1697" s="3" t="n">
        <v>57.200477</v>
      </c>
      <c r="AK1697" s="3" t="n">
        <v>59.275015</v>
      </c>
      <c r="AL1697" s="3" t="n">
        <v>61.376589</v>
      </c>
      <c r="AM1697" s="3" t="n"/>
      <c r="AN1697" s="3" t="n"/>
      <c r="AO1697" s="3" t="n"/>
      <c r="AP1697" s="3" t="n"/>
      <c r="AQ1697" s="3" t="n"/>
      <c r="AR1697" s="3" t="n"/>
      <c r="AS1697" s="3" t="n"/>
      <c r="AT1697" s="3" t="n"/>
      <c r="AU1697" s="3" t="n"/>
    </row>
    <row r="1698">
      <c r="A1698" s="3" t="n">
        <v>2031</v>
      </c>
      <c r="B1698" s="3" t="inlineStr">
        <is>
          <t>KWT</t>
        </is>
      </c>
      <c r="C1698" s="3" t="inlineStr">
        <is>
          <t>IMF.RES:WEO</t>
        </is>
      </c>
      <c r="D1698" s="3" t="inlineStr">
        <is>
          <t>KWT.NGDP_D.A</t>
        </is>
      </c>
      <c r="E1698" s="3" t="inlineStr">
        <is>
          <t>Kuwait</t>
        </is>
      </c>
      <c r="F1698" s="3" t="inlineStr">
        <is>
          <t>Gross domestic product (GDP), Price deflator, Index</t>
        </is>
      </c>
      <c r="G1698" s="3" t="n">
        <v>54.729976</v>
      </c>
      <c r="H1698" s="3" t="n">
        <v>50.505527</v>
      </c>
      <c r="I1698" s="3" t="n">
        <v>53.105698</v>
      </c>
      <c r="J1698" s="3" t="n">
        <v>55.718844</v>
      </c>
      <c r="K1698" s="3" t="n">
        <v>62.054783</v>
      </c>
      <c r="L1698" s="3" t="n">
        <v>75.56473699999999</v>
      </c>
      <c r="M1698" s="3" t="n">
        <v>87.788363</v>
      </c>
      <c r="N1698" s="3" t="n">
        <v>91.569726</v>
      </c>
      <c r="O1698" s="3" t="n">
        <v>108.659331</v>
      </c>
      <c r="P1698" s="3" t="n">
        <v>90.006286</v>
      </c>
      <c r="Q1698" s="3" t="n">
        <v>100</v>
      </c>
      <c r="R1698" s="3" t="n">
        <v>117.227782</v>
      </c>
      <c r="S1698" s="3" t="n">
        <v>126.004278</v>
      </c>
      <c r="T1698" s="3" t="n">
        <v>126.285942</v>
      </c>
      <c r="U1698" s="3" t="n">
        <v>117.751365</v>
      </c>
      <c r="V1698" s="3" t="n">
        <v>87.185006</v>
      </c>
      <c r="W1698" s="3" t="n">
        <v>81.223371</v>
      </c>
      <c r="X1698" s="3" t="n">
        <v>94.406853</v>
      </c>
      <c r="Y1698" s="3" t="n">
        <v>105.073851</v>
      </c>
      <c r="Z1698" s="3" t="n">
        <v>104.958106</v>
      </c>
      <c r="AA1698" s="3" t="n">
        <v>87.683136</v>
      </c>
      <c r="AB1698" s="3" t="n">
        <v>113.488612</v>
      </c>
      <c r="AC1698" s="3" t="n">
        <v>133.496529</v>
      </c>
      <c r="AD1698" s="3" t="n">
        <v>122.755969</v>
      </c>
      <c r="AE1698" s="3" t="n">
        <v>120.964579</v>
      </c>
      <c r="AF1698" s="3" t="n">
        <v>114.600118</v>
      </c>
      <c r="AG1698" s="3" t="n">
        <v>126.260972</v>
      </c>
      <c r="AH1698" s="3" t="n">
        <v>124.105852</v>
      </c>
      <c r="AI1698" s="3" t="n">
        <v>124.772101</v>
      </c>
      <c r="AJ1698" s="3" t="n">
        <v>126.257838</v>
      </c>
      <c r="AK1698" s="3" t="n">
        <v>127.789886</v>
      </c>
      <c r="AL1698" s="3" t="n">
        <v>129.233125</v>
      </c>
      <c r="AM1698" s="3" t="n"/>
      <c r="AN1698" s="3" t="n"/>
      <c r="AO1698" s="3" t="n"/>
      <c r="AP1698" s="3" t="n"/>
      <c r="AQ1698" s="3" t="n"/>
      <c r="AR1698" s="3" t="n"/>
      <c r="AS1698" s="3" t="n"/>
      <c r="AT1698" s="3" t="n"/>
      <c r="AU1698" s="3" t="n"/>
    </row>
    <row r="1699">
      <c r="A1699" s="3" t="n">
        <v>2031</v>
      </c>
      <c r="B1699" s="3" t="inlineStr">
        <is>
          <t>KWT</t>
        </is>
      </c>
      <c r="C1699" s="3" t="inlineStr">
        <is>
          <t>IMF.RES:WEO</t>
        </is>
      </c>
      <c r="D1699" s="3" t="inlineStr">
        <is>
          <t>KWT.NGDP_R.A</t>
        </is>
      </c>
      <c r="E1699" s="3" t="inlineStr">
        <is>
          <t>Kuwait</t>
        </is>
      </c>
      <c r="F1699" s="3" t="inlineStr">
        <is>
          <t>Gross domestic product (GDP), Constant prices, Domestic currency</t>
        </is>
      </c>
      <c r="G1699" s="3" t="n">
        <v>21.1407</v>
      </c>
      <c r="H1699" s="3" t="n">
        <v>21.1858</v>
      </c>
      <c r="I1699" s="3" t="n">
        <v>21.8244</v>
      </c>
      <c r="J1699" s="3" t="n">
        <v>25.6057</v>
      </c>
      <c r="K1699" s="3" t="n">
        <v>28.2278</v>
      </c>
      <c r="L1699" s="3" t="n">
        <v>31.2225</v>
      </c>
      <c r="M1699" s="3" t="n">
        <v>33.5688</v>
      </c>
      <c r="N1699" s="3" t="n">
        <v>35.5801</v>
      </c>
      <c r="O1699" s="3" t="n">
        <v>36.4624</v>
      </c>
      <c r="P1699" s="3" t="n">
        <v>33.8823</v>
      </c>
      <c r="Q1699" s="3" t="n">
        <v>33.0791</v>
      </c>
      <c r="R1699" s="3" t="n">
        <v>36.2641</v>
      </c>
      <c r="S1699" s="3" t="n">
        <v>38.6671</v>
      </c>
      <c r="T1699" s="3" t="n">
        <v>39.1114</v>
      </c>
      <c r="U1699" s="3" t="n">
        <v>39.3074</v>
      </c>
      <c r="V1699" s="3" t="n">
        <v>39.5404</v>
      </c>
      <c r="W1699" s="3" t="n">
        <v>40.6974</v>
      </c>
      <c r="X1699" s="3" t="n">
        <v>38.7796</v>
      </c>
      <c r="Y1699" s="3" t="n">
        <v>39.8435</v>
      </c>
      <c r="Z1699" s="3" t="n">
        <v>40.7454</v>
      </c>
      <c r="AA1699" s="3" t="n">
        <v>38.7826</v>
      </c>
      <c r="AB1699" s="3" t="n">
        <v>39.4303</v>
      </c>
      <c r="AC1699" s="3" t="n">
        <v>42.0966</v>
      </c>
      <c r="AD1699" s="3" t="n">
        <v>41.4054</v>
      </c>
      <c r="AE1699" s="3" t="n">
        <v>40.795</v>
      </c>
      <c r="AF1699" s="3" t="n">
        <v>42.2098</v>
      </c>
      <c r="AG1699" s="3" t="n">
        <v>41.972885</v>
      </c>
      <c r="AH1699" s="3" t="n">
        <v>43.152779</v>
      </c>
      <c r="AI1699" s="3" t="n">
        <v>44.233606</v>
      </c>
      <c r="AJ1699" s="3" t="n">
        <v>45.304496</v>
      </c>
      <c r="AK1699" s="3" t="n">
        <v>46.384746</v>
      </c>
      <c r="AL1699" s="3" t="n">
        <v>47.492924</v>
      </c>
      <c r="AM1699" s="3" t="n"/>
      <c r="AN1699" s="3" t="n"/>
      <c r="AO1699" s="3" t="n"/>
      <c r="AP1699" s="3" t="n"/>
      <c r="AQ1699" s="3" t="n"/>
      <c r="AR1699" s="3" t="n"/>
      <c r="AS1699" s="3" t="n"/>
      <c r="AT1699" s="3" t="n"/>
      <c r="AU1699" s="3" t="n"/>
    </row>
    <row r="1700">
      <c r="A1700" s="3" t="n">
        <v>2031</v>
      </c>
      <c r="B1700" s="3" t="inlineStr">
        <is>
          <t>KWT</t>
        </is>
      </c>
      <c r="C1700" s="3" t="inlineStr">
        <is>
          <t>IMF.RES:WEO</t>
        </is>
      </c>
      <c r="D1700" s="3" t="inlineStr">
        <is>
          <t>KWT.NGDP_RPCH.A</t>
        </is>
      </c>
      <c r="E1700" s="3" t="inlineStr">
        <is>
          <t>Kuwait</t>
        </is>
      </c>
      <c r="F1700" s="3" t="inlineStr">
        <is>
          <t>Gross domestic product (GDP), Constant prices, Percent change</t>
        </is>
      </c>
      <c r="G1700" s="3" t="n">
        <v>4.689769</v>
      </c>
      <c r="H1700" s="3" t="n">
        <v>0.213333</v>
      </c>
      <c r="I1700" s="3" t="n">
        <v>3.014283</v>
      </c>
      <c r="J1700" s="3" t="n">
        <v>17.32602</v>
      </c>
      <c r="K1700" s="3" t="n">
        <v>10.240298</v>
      </c>
      <c r="L1700" s="3" t="n">
        <v>10.609045</v>
      </c>
      <c r="M1700" s="3" t="n">
        <v>7.514773</v>
      </c>
      <c r="N1700" s="3" t="n">
        <v>5.991576</v>
      </c>
      <c r="O1700" s="3" t="n">
        <v>2.479757</v>
      </c>
      <c r="P1700" s="3" t="n">
        <v>-7.076056</v>
      </c>
      <c r="Q1700" s="3" t="n">
        <v>-2.370559</v>
      </c>
      <c r="R1700" s="3" t="n">
        <v>9.628436000000001</v>
      </c>
      <c r="S1700" s="3" t="n">
        <v>6.626388</v>
      </c>
      <c r="T1700" s="3" t="n">
        <v>1.149039</v>
      </c>
      <c r="U1700" s="3" t="n">
        <v>0.5011330000000001</v>
      </c>
      <c r="V1700" s="3" t="n">
        <v>0.592764</v>
      </c>
      <c r="W1700" s="3" t="n">
        <v>2.926121</v>
      </c>
      <c r="X1700" s="3" t="n">
        <v>-4.71234</v>
      </c>
      <c r="Y1700" s="3" t="n">
        <v>2.743453</v>
      </c>
      <c r="Z1700" s="3" t="n">
        <v>2.263606</v>
      </c>
      <c r="AA1700" s="3" t="n">
        <v>-4.817231</v>
      </c>
      <c r="AB1700" s="3" t="n">
        <v>1.670079</v>
      </c>
      <c r="AC1700" s="3" t="n">
        <v>6.762059</v>
      </c>
      <c r="AD1700" s="3" t="n">
        <v>-1.641938</v>
      </c>
      <c r="AE1700" s="3" t="n">
        <v>-1.474204</v>
      </c>
      <c r="AF1700" s="3" t="n">
        <v>3.468073</v>
      </c>
      <c r="AG1700" s="3" t="n">
        <v>-0.56128</v>
      </c>
      <c r="AH1700" s="3" t="n">
        <v>2.811085</v>
      </c>
      <c r="AI1700" s="3" t="n">
        <v>2.504652</v>
      </c>
      <c r="AJ1700" s="3" t="n">
        <v>2.420986</v>
      </c>
      <c r="AK1700" s="3" t="n">
        <v>2.384423</v>
      </c>
      <c r="AL1700" s="3" t="n">
        <v>2.389098</v>
      </c>
      <c r="AM1700" s="3" t="n"/>
      <c r="AN1700" s="3" t="n"/>
      <c r="AO1700" s="3" t="n"/>
      <c r="AP1700" s="3" t="n"/>
      <c r="AQ1700" s="3" t="n"/>
      <c r="AR1700" s="3" t="n"/>
      <c r="AS1700" s="3" t="n"/>
      <c r="AT1700" s="3" t="n"/>
      <c r="AU1700" s="3" t="n"/>
    </row>
    <row r="1701">
      <c r="A1701" s="3" t="n">
        <v>2031</v>
      </c>
      <c r="B1701" s="3" t="inlineStr">
        <is>
          <t>KWT</t>
        </is>
      </c>
      <c r="C1701" s="3" t="inlineStr">
        <is>
          <t>IMF.RES:WEO</t>
        </is>
      </c>
      <c r="D1701" s="3" t="inlineStr">
        <is>
          <t>KWT.NGDPD.A</t>
        </is>
      </c>
      <c r="E1701" s="3" t="inlineStr">
        <is>
          <t>Kuwait</t>
        </is>
      </c>
      <c r="F1701" s="3" t="inlineStr">
        <is>
          <t>Gross domestic product (GDP), Current prices, US dollar</t>
        </is>
      </c>
      <c r="G1701" s="3" t="n">
        <v>37.714379</v>
      </c>
      <c r="H1701" s="3" t="n">
        <v>34.905722</v>
      </c>
      <c r="I1701" s="3" t="n">
        <v>38.128972</v>
      </c>
      <c r="J1701" s="3" t="n">
        <v>47.869148</v>
      </c>
      <c r="K1701" s="3" t="n">
        <v>59.439091</v>
      </c>
      <c r="L1701" s="3" t="n">
        <v>80.79863</v>
      </c>
      <c r="M1701" s="3" t="n">
        <v>101.548349</v>
      </c>
      <c r="N1701" s="3" t="n">
        <v>114.608437</v>
      </c>
      <c r="O1701" s="3" t="n">
        <v>147.390977</v>
      </c>
      <c r="P1701" s="3" t="n">
        <v>105.992325</v>
      </c>
      <c r="Q1701" s="3" t="n">
        <v>115.400931</v>
      </c>
      <c r="R1701" s="3" t="n">
        <v>154.020096</v>
      </c>
      <c r="S1701" s="3" t="n">
        <v>174.065879</v>
      </c>
      <c r="T1701" s="3" t="n">
        <v>174.179408</v>
      </c>
      <c r="U1701" s="3" t="n">
        <v>162.695123</v>
      </c>
      <c r="V1701" s="3" t="n">
        <v>114.605703</v>
      </c>
      <c r="W1701" s="3" t="n">
        <v>109.398935</v>
      </c>
      <c r="X1701" s="3" t="n">
        <v>120.687655</v>
      </c>
      <c r="Y1701" s="3" t="n">
        <v>138.655237</v>
      </c>
      <c r="Z1701" s="3" t="n">
        <v>140.855087</v>
      </c>
      <c r="AA1701" s="3" t="n">
        <v>111.048412</v>
      </c>
      <c r="AB1701" s="3" t="n">
        <v>148.346271</v>
      </c>
      <c r="AC1701" s="3" t="n">
        <v>183.538998</v>
      </c>
      <c r="AD1701" s="3" t="n">
        <v>165.474178</v>
      </c>
      <c r="AE1701" s="3" t="n">
        <v>160.901769</v>
      </c>
      <c r="AF1701" s="3" t="n">
        <v>157.835427</v>
      </c>
      <c r="AG1701" s="3" t="n">
        <v>172.919544</v>
      </c>
      <c r="AH1701" s="3" t="n">
        <v>174.745966</v>
      </c>
      <c r="AI1701" s="3" t="n">
        <v>180.084345</v>
      </c>
      <c r="AJ1701" s="3" t="n">
        <v>186.64045</v>
      </c>
      <c r="AK1701" s="3" t="n">
        <v>193.409498</v>
      </c>
      <c r="AL1701" s="3" t="n">
        <v>200.266763</v>
      </c>
      <c r="AM1701" s="3" t="n"/>
      <c r="AN1701" s="3" t="n"/>
      <c r="AO1701" s="3" t="n"/>
      <c r="AP1701" s="3" t="n"/>
      <c r="AQ1701" s="3" t="n"/>
      <c r="AR1701" s="3" t="n"/>
      <c r="AS1701" s="3" t="n"/>
      <c r="AT1701" s="3" t="n"/>
      <c r="AU1701" s="3" t="n"/>
    </row>
    <row r="1702">
      <c r="A1702" s="3" t="n">
        <v>2031</v>
      </c>
      <c r="B1702" s="3" t="inlineStr">
        <is>
          <t>KWT</t>
        </is>
      </c>
      <c r="C1702" s="3" t="inlineStr">
        <is>
          <t>IMF.RES:WEO</t>
        </is>
      </c>
      <c r="D1702" s="3" t="inlineStr">
        <is>
          <t>KWT.NGDPPC.A</t>
        </is>
      </c>
      <c r="E1702" s="3" t="inlineStr">
        <is>
          <t>Kuwait</t>
        </is>
      </c>
      <c r="F1702" s="3" t="inlineStr">
        <is>
          <t>Gross domestic product (GDP), Current prices, Per capita, Domestic currency</t>
        </is>
      </c>
      <c r="G1702" s="3" t="n">
        <v>5411.44887</v>
      </c>
      <c r="H1702" s="3" t="n">
        <v>4902.389755</v>
      </c>
      <c r="I1702" s="3" t="n">
        <v>5123.883931</v>
      </c>
      <c r="J1702" s="3" t="n">
        <v>6135.269024</v>
      </c>
      <c r="K1702" s="3" t="n">
        <v>7327.35127</v>
      </c>
      <c r="L1702" s="3" t="n">
        <v>10509.243896</v>
      </c>
      <c r="M1702" s="3" t="n">
        <v>12658.089202</v>
      </c>
      <c r="N1702" s="3" t="n">
        <v>13514.272476</v>
      </c>
      <c r="O1702" s="3" t="n">
        <v>14262.700689</v>
      </c>
      <c r="P1702" s="3" t="n">
        <v>10978.30309</v>
      </c>
      <c r="Q1702" s="3" t="n">
        <v>11277.217083</v>
      </c>
      <c r="R1702" s="3" t="n">
        <v>13094.102116</v>
      </c>
      <c r="S1702" s="3" t="n">
        <v>14214.689892</v>
      </c>
      <c r="T1702" s="3" t="n">
        <v>13765.589065</v>
      </c>
      <c r="U1702" s="3" t="n">
        <v>12363.569341</v>
      </c>
      <c r="V1702" s="3" t="n">
        <v>8781.916740999999</v>
      </c>
      <c r="W1702" s="3" t="n">
        <v>8096.545819</v>
      </c>
      <c r="X1702" s="3" t="n">
        <v>8661.294749000001</v>
      </c>
      <c r="Y1702" s="3" t="n">
        <v>9471.506364999999</v>
      </c>
      <c r="Z1702" s="3" t="n">
        <v>9578.989549</v>
      </c>
      <c r="AA1702" s="3" t="n">
        <v>7842.644347</v>
      </c>
      <c r="AB1702" s="3" t="n">
        <v>10203.325933</v>
      </c>
      <c r="AC1702" s="3" t="n">
        <v>11723.52202</v>
      </c>
      <c r="AD1702" s="3" t="n">
        <v>10344.961636</v>
      </c>
      <c r="AE1702" s="3" t="n">
        <v>9846.78068</v>
      </c>
      <c r="AF1702" s="3" t="n">
        <v>9462.96643</v>
      </c>
      <c r="AG1702" s="3" t="n">
        <v>10164.048316</v>
      </c>
      <c r="AH1702" s="3" t="n">
        <v>10070.003574</v>
      </c>
      <c r="AI1702" s="3" t="n">
        <v>10174.152802</v>
      </c>
      <c r="AJ1702" s="3" t="n">
        <v>10337.794557</v>
      </c>
      <c r="AK1702" s="3" t="n">
        <v>10502.670688</v>
      </c>
      <c r="AL1702" s="3" t="n">
        <v>10661.803113</v>
      </c>
      <c r="AM1702" s="3" t="n"/>
      <c r="AN1702" s="3" t="n"/>
      <c r="AO1702" s="3" t="n"/>
      <c r="AP1702" s="3" t="n"/>
      <c r="AQ1702" s="3" t="n"/>
      <c r="AR1702" s="3" t="n"/>
      <c r="AS1702" s="3" t="n"/>
      <c r="AT1702" s="3" t="n"/>
      <c r="AU1702" s="3" t="n"/>
    </row>
    <row r="1703">
      <c r="A1703" s="3" t="n">
        <v>2031</v>
      </c>
      <c r="B1703" s="3" t="inlineStr">
        <is>
          <t>KWT</t>
        </is>
      </c>
      <c r="C1703" s="3" t="inlineStr">
        <is>
          <t>IMF.RES:WEO</t>
        </is>
      </c>
      <c r="D1703" s="3" t="inlineStr">
        <is>
          <t>KWT.NGDPRPC.A</t>
        </is>
      </c>
      <c r="E1703" s="3" t="inlineStr">
        <is>
          <t>Kuwait</t>
        </is>
      </c>
      <c r="F1703" s="3" t="inlineStr">
        <is>
          <t>Gross domestic product (GDP), Constant prices, Per capita, Domestic currency</t>
        </is>
      </c>
      <c r="G1703" s="3" t="n">
        <v>9887.541128999999</v>
      </c>
      <c r="H1703" s="3" t="n">
        <v>9706.640081</v>
      </c>
      <c r="I1703" s="3" t="n">
        <v>9648.463542</v>
      </c>
      <c r="J1703" s="3" t="n">
        <v>11011.120476</v>
      </c>
      <c r="K1703" s="3" t="n">
        <v>11807.875124</v>
      </c>
      <c r="L1703" s="3" t="n">
        <v>13907.603358</v>
      </c>
      <c r="M1703" s="3" t="n">
        <v>14418.869163</v>
      </c>
      <c r="N1703" s="3" t="n">
        <v>14758.450309</v>
      </c>
      <c r="O1703" s="3" t="n">
        <v>13126.070743</v>
      </c>
      <c r="P1703" s="3" t="n">
        <v>12197.26257</v>
      </c>
      <c r="Q1703" s="3" t="n">
        <v>11277.217083</v>
      </c>
      <c r="R1703" s="3" t="n">
        <v>11169.794328</v>
      </c>
      <c r="S1703" s="3" t="n">
        <v>11281.116935</v>
      </c>
      <c r="T1703" s="3" t="n">
        <v>10900.333659</v>
      </c>
      <c r="U1703" s="3" t="n">
        <v>10499.724868</v>
      </c>
      <c r="V1703" s="3" t="n">
        <v>10072.737472</v>
      </c>
      <c r="W1703" s="3" t="n">
        <v>9968.246535</v>
      </c>
      <c r="X1703" s="3" t="n">
        <v>9174.43434</v>
      </c>
      <c r="Y1703" s="3" t="n">
        <v>9014.142182</v>
      </c>
      <c r="Z1703" s="3" t="n">
        <v>9126.488598</v>
      </c>
      <c r="AA1703" s="3" t="n">
        <v>8944.301815000001</v>
      </c>
      <c r="AB1703" s="3" t="n">
        <v>8990.616586</v>
      </c>
      <c r="AC1703" s="3" t="n">
        <v>8781.892736</v>
      </c>
      <c r="AD1703" s="3" t="n">
        <v>8427.257524000001</v>
      </c>
      <c r="AE1703" s="3" t="n">
        <v>8140.218205</v>
      </c>
      <c r="AF1703" s="3" t="n">
        <v>8257.379341</v>
      </c>
      <c r="AG1703" s="3" t="n">
        <v>8050.031724</v>
      </c>
      <c r="AH1703" s="3" t="n">
        <v>8114.044088</v>
      </c>
      <c r="AI1703" s="3" t="n">
        <v>8154.188907</v>
      </c>
      <c r="AJ1703" s="3" t="n">
        <v>8187.843809</v>
      </c>
      <c r="AK1703" s="3" t="n">
        <v>8218.702601000001</v>
      </c>
      <c r="AL1703" s="3" t="n">
        <v>8250.054378000001</v>
      </c>
      <c r="AM1703" s="3" t="n"/>
      <c r="AN1703" s="3" t="n"/>
      <c r="AO1703" s="3" t="n"/>
      <c r="AP1703" s="3" t="n"/>
      <c r="AQ1703" s="3" t="n"/>
      <c r="AR1703" s="3" t="n"/>
      <c r="AS1703" s="3" t="n"/>
      <c r="AT1703" s="3" t="n"/>
      <c r="AU1703" s="3" t="n"/>
    </row>
    <row r="1704">
      <c r="A1704" s="3" t="n">
        <v>2031</v>
      </c>
      <c r="B1704" s="3" t="inlineStr">
        <is>
          <t>KWT</t>
        </is>
      </c>
      <c r="C1704" s="3" t="inlineStr">
        <is>
          <t>IMF.RES:WEO</t>
        </is>
      </c>
      <c r="D1704" s="3" t="inlineStr">
        <is>
          <t>KWT.PCPI.A</t>
        </is>
      </c>
      <c r="E1704" s="3" t="inlineStr">
        <is>
          <t>Kuwait</t>
        </is>
      </c>
      <c r="F1704" s="3" t="inlineStr">
        <is>
          <t>All Items, Consumer price index (CPI), Period average</t>
        </is>
      </c>
      <c r="G1704" s="3" t="n"/>
      <c r="H1704" s="3" t="n"/>
      <c r="I1704" s="3" t="n"/>
      <c r="J1704" s="3" t="n"/>
      <c r="K1704" s="3" t="n"/>
      <c r="L1704" s="3" t="n"/>
      <c r="M1704" s="3" t="n"/>
      <c r="N1704" s="3" t="n"/>
      <c r="O1704" s="3" t="n"/>
      <c r="P1704" s="3" t="n"/>
      <c r="Q1704" s="3" t="n"/>
      <c r="R1704" s="3" t="n"/>
      <c r="S1704" s="3" t="n"/>
      <c r="T1704" s="3" t="n">
        <v>101.1</v>
      </c>
      <c r="U1704" s="3" t="n">
        <v>104.033333</v>
      </c>
      <c r="V1704" s="3" t="n">
        <v>107.441667</v>
      </c>
      <c r="W1704" s="3" t="n">
        <v>110.608333</v>
      </c>
      <c r="X1704" s="3" t="n">
        <v>112.333333</v>
      </c>
      <c r="Y1704" s="3" t="n">
        <v>112.958333</v>
      </c>
      <c r="Z1704" s="3" t="n">
        <v>114.191667</v>
      </c>
      <c r="AA1704" s="3" t="n">
        <v>116.591667</v>
      </c>
      <c r="AB1704" s="3" t="n">
        <v>120.583333</v>
      </c>
      <c r="AC1704" s="3" t="n">
        <v>125.383333</v>
      </c>
      <c r="AD1704" s="3" t="n">
        <v>129.95</v>
      </c>
      <c r="AE1704" s="3" t="n">
        <v>133.716667</v>
      </c>
      <c r="AF1704" s="3" t="n">
        <v>136.875</v>
      </c>
      <c r="AG1704" s="3" t="n">
        <v>140.645085</v>
      </c>
      <c r="AH1704" s="3" t="n">
        <v>144.152467</v>
      </c>
      <c r="AI1704" s="3" t="n">
        <v>147.287503</v>
      </c>
      <c r="AJ1704" s="3" t="n">
        <v>150.068569</v>
      </c>
      <c r="AK1704" s="3" t="n">
        <v>152.680476</v>
      </c>
      <c r="AL1704" s="3" t="n">
        <v>155.171</v>
      </c>
      <c r="AM1704" s="3" t="n"/>
      <c r="AN1704" s="3" t="n"/>
      <c r="AO1704" s="3" t="n"/>
      <c r="AP1704" s="3" t="n"/>
      <c r="AQ1704" s="3" t="n"/>
      <c r="AR1704" s="3" t="n"/>
      <c r="AS1704" s="3" t="n"/>
      <c r="AT1704" s="3" t="n"/>
      <c r="AU1704" s="3" t="n"/>
    </row>
    <row r="1705">
      <c r="A1705" s="3" t="n">
        <v>2031</v>
      </c>
      <c r="B1705" s="3" t="inlineStr">
        <is>
          <t>KWT</t>
        </is>
      </c>
      <c r="C1705" s="3" t="inlineStr">
        <is>
          <t>IMF.RES:WEO</t>
        </is>
      </c>
      <c r="D1705" s="3" t="inlineStr">
        <is>
          <t>KWT.PCPIPCH.A</t>
        </is>
      </c>
      <c r="E1705" s="3" t="inlineStr">
        <is>
          <t>Kuwait</t>
        </is>
      </c>
      <c r="F1705" s="3" t="inlineStr">
        <is>
          <t>All Items, Consumer price index (CPI), Period average, percent change</t>
        </is>
      </c>
      <c r="G1705" s="3" t="n"/>
      <c r="H1705" s="3" t="n"/>
      <c r="I1705" s="3" t="n"/>
      <c r="J1705" s="3" t="n"/>
      <c r="K1705" s="3" t="n"/>
      <c r="L1705" s="3" t="n"/>
      <c r="M1705" s="3" t="n"/>
      <c r="N1705" s="3" t="n"/>
      <c r="O1705" s="3" t="n"/>
      <c r="P1705" s="3" t="n"/>
      <c r="Q1705" s="3" t="n"/>
      <c r="R1705" s="3" t="n"/>
      <c r="S1705" s="3" t="n"/>
      <c r="T1705" s="3" t="n"/>
      <c r="U1705" s="3" t="n">
        <v>2.901418</v>
      </c>
      <c r="V1705" s="3" t="n">
        <v>3.276194</v>
      </c>
      <c r="W1705" s="3" t="n">
        <v>2.947336</v>
      </c>
      <c r="X1705" s="3" t="n">
        <v>1.559557</v>
      </c>
      <c r="Y1705" s="3" t="n">
        <v>0.55638</v>
      </c>
      <c r="Z1705" s="3" t="n">
        <v>1.091848</v>
      </c>
      <c r="AA1705" s="3" t="n">
        <v>2.10173</v>
      </c>
      <c r="AB1705" s="3" t="n">
        <v>3.423629</v>
      </c>
      <c r="AC1705" s="3" t="n">
        <v>3.98065</v>
      </c>
      <c r="AD1705" s="3" t="n">
        <v>3.642164</v>
      </c>
      <c r="AE1705" s="3" t="n">
        <v>2.898551</v>
      </c>
      <c r="AF1705" s="3" t="n">
        <v>2.361959</v>
      </c>
      <c r="AG1705" s="3" t="n">
        <v>2.7544</v>
      </c>
      <c r="AH1705" s="3" t="n">
        <v>2.493782</v>
      </c>
      <c r="AI1705" s="3" t="n">
        <v>2.174806</v>
      </c>
      <c r="AJ1705" s="3" t="n">
        <v>1.888189</v>
      </c>
      <c r="AK1705" s="3" t="n">
        <v>1.740476</v>
      </c>
      <c r="AL1705" s="3" t="n">
        <v>1.6312</v>
      </c>
      <c r="AM1705" s="3" t="n"/>
      <c r="AN1705" s="3" t="n"/>
      <c r="AO1705" s="3" t="n"/>
      <c r="AP1705" s="3" t="n"/>
      <c r="AQ1705" s="3" t="n"/>
      <c r="AR1705" s="3" t="n"/>
      <c r="AS1705" s="3" t="n"/>
      <c r="AT1705" s="3" t="n"/>
      <c r="AU1705" s="3" t="n"/>
    </row>
    <row r="1706">
      <c r="A1706" s="3" t="n">
        <v>2031</v>
      </c>
      <c r="B1706" s="3" t="inlineStr">
        <is>
          <t>KWT</t>
        </is>
      </c>
      <c r="C1706" s="3" t="inlineStr">
        <is>
          <t>IMF.RES:WEO</t>
        </is>
      </c>
      <c r="D1706" s="3" t="inlineStr">
        <is>
          <t>KWT.PPPPC.A</t>
        </is>
      </c>
      <c r="E1706" s="3" t="inlineStr">
        <is>
          <t>Kuwait</t>
        </is>
      </c>
      <c r="F1706" s="3" t="inlineStr">
        <is>
          <t>Gross domestic product (GDP), Per capita, purchasing power parity (PPP) international dollar, ICP benchmarks 2017-2021</t>
        </is>
      </c>
      <c r="G1706" s="3" t="n">
        <v>35873.104142</v>
      </c>
      <c r="H1706" s="3" t="n">
        <v>36009.723004</v>
      </c>
      <c r="I1706" s="3" t="n">
        <v>36350.149506</v>
      </c>
      <c r="J1706" s="3" t="n">
        <v>42302.879423</v>
      </c>
      <c r="K1706" s="3" t="n">
        <v>46583.658003</v>
      </c>
      <c r="L1706" s="3" t="n">
        <v>56587.911147</v>
      </c>
      <c r="M1706" s="3" t="n">
        <v>60477.430869</v>
      </c>
      <c r="N1706" s="3" t="n">
        <v>63578.830184</v>
      </c>
      <c r="O1706" s="3" t="n">
        <v>57635.922592</v>
      </c>
      <c r="P1706" s="3" t="n">
        <v>53887.884194</v>
      </c>
      <c r="Q1706" s="3" t="n">
        <v>50428.63194</v>
      </c>
      <c r="R1706" s="3" t="n">
        <v>50978.823544</v>
      </c>
      <c r="S1706" s="3" t="n">
        <v>52445.549858</v>
      </c>
      <c r="T1706" s="3" t="n">
        <v>51537.796764</v>
      </c>
      <c r="U1706" s="3" t="n">
        <v>50508.332304</v>
      </c>
      <c r="V1706" s="3" t="n">
        <v>48904.015603</v>
      </c>
      <c r="W1706" s="3" t="n">
        <v>48856.579905</v>
      </c>
      <c r="X1706" s="3" t="n">
        <v>45771.221037</v>
      </c>
      <c r="Y1706" s="3" t="n">
        <v>50248.115784</v>
      </c>
      <c r="Z1706" s="3" t="n">
        <v>50450.878682</v>
      </c>
      <c r="AA1706" s="3" t="n">
        <v>42076.156729</v>
      </c>
      <c r="AB1706" s="3" t="n">
        <v>50364.887531</v>
      </c>
      <c r="AC1706" s="3" t="n">
        <v>52694.626054</v>
      </c>
      <c r="AD1706" s="3" t="n">
        <v>52437.666875</v>
      </c>
      <c r="AE1706" s="3" t="n">
        <v>51909.045422</v>
      </c>
      <c r="AF1706" s="3" t="n">
        <v>54149.898271</v>
      </c>
      <c r="AG1706" s="3" t="n">
        <v>54302.522118</v>
      </c>
      <c r="AH1706" s="3" t="n">
        <v>55936.237902</v>
      </c>
      <c r="AI1706" s="3" t="n">
        <v>57135.661111</v>
      </c>
      <c r="AJ1706" s="3" t="n">
        <v>58391.605103</v>
      </c>
      <c r="AK1706" s="3" t="n">
        <v>59688.679819</v>
      </c>
      <c r="AL1706" s="3" t="n">
        <v>60998.044807</v>
      </c>
      <c r="AM1706" s="3" t="n"/>
      <c r="AN1706" s="3" t="n"/>
      <c r="AO1706" s="3" t="n"/>
      <c r="AP1706" s="3" t="n"/>
      <c r="AQ1706" s="3" t="n"/>
      <c r="AR1706" s="3" t="n"/>
      <c r="AS1706" s="3" t="n"/>
      <c r="AT1706" s="3" t="n"/>
      <c r="AU1706" s="3" t="n"/>
    </row>
    <row r="1707">
      <c r="A1707" s="3" t="n">
        <v>2025</v>
      </c>
      <c r="B1707" s="3" t="inlineStr">
        <is>
          <t>KWT</t>
        </is>
      </c>
      <c r="C1707" s="3" t="inlineStr">
        <is>
          <t>IMF.STA:ER</t>
        </is>
      </c>
      <c r="D1707" s="3" t="inlineStr">
        <is>
          <t>KWT.XDC_USD.PA_RT.A</t>
        </is>
      </c>
      <c r="E1707" s="3" t="inlineStr">
        <is>
          <t>Kuwait</t>
        </is>
      </c>
      <c r="F1707" s="3" t="inlineStr">
        <is>
          <t>Domestic currency per US Dollar</t>
        </is>
      </c>
      <c r="G1707" s="3" t="n">
        <v>0.306751583333333</v>
      </c>
      <c r="H1707" s="3" t="n">
        <v>0.306681666666666</v>
      </c>
      <c r="I1707" s="3" t="n">
        <v>0.303914251666666</v>
      </c>
      <c r="J1707" s="3" t="n">
        <v>0.298011521083333</v>
      </c>
      <c r="K1707" s="3" t="n">
        <v>0.2947</v>
      </c>
      <c r="L1707" s="3" t="n">
        <v>0.292</v>
      </c>
      <c r="M1707" s="3" t="n">
        <v>0.290176225</v>
      </c>
      <c r="N1707" s="3" t="n">
        <v>0.284213958333333</v>
      </c>
      <c r="O1707" s="3" t="n">
        <v>0.268828366666666</v>
      </c>
      <c r="P1707" s="3" t="n">
        <v>0.287785416666666</v>
      </c>
      <c r="Q1707" s="3" t="n">
        <v>0.286606591666666</v>
      </c>
      <c r="R1707" s="3" t="n">
        <v>0.275978944444444</v>
      </c>
      <c r="S1707" s="3" t="n">
        <v>0.279935558333333</v>
      </c>
      <c r="T1707" s="3" t="n">
        <v>0.283589441666666</v>
      </c>
      <c r="U1707" s="3" t="n">
        <v>0.284567141666666</v>
      </c>
      <c r="V1707" s="3" t="n">
        <v>0.300852025</v>
      </c>
      <c r="W1707" s="3" t="n">
        <v>0.302137441178496</v>
      </c>
      <c r="X1707" s="3" t="n">
        <v>0.303349758333333</v>
      </c>
      <c r="Y1707" s="3" t="n">
        <v>0.301956493524177</v>
      </c>
      <c r="Z1707" s="3" t="n">
        <v>0.303611163035755</v>
      </c>
      <c r="AA1707" s="3" t="n">
        <v>0.306233121756715</v>
      </c>
      <c r="AB1707" s="3" t="n">
        <v>0.301643110769949</v>
      </c>
      <c r="AC1707" s="3" t="n">
        <v>0.306250154417753</v>
      </c>
      <c r="AD1707" s="3" t="n">
        <v>0.30718535125088</v>
      </c>
      <c r="AE1707" s="3" t="n">
        <v>0.306690648597045</v>
      </c>
      <c r="AF1707" s="3" t="n">
        <v>0.306454776364577</v>
      </c>
      <c r="AG1707" s="3" t="n"/>
      <c r="AH1707" s="3" t="n"/>
      <c r="AI1707" s="3" t="n"/>
      <c r="AJ1707" s="3" t="n"/>
      <c r="AK1707" s="3" t="n"/>
      <c r="AL1707" s="3" t="n"/>
      <c r="AM1707" s="3" t="n"/>
      <c r="AN1707" s="3" t="n"/>
      <c r="AO1707" s="3" t="n"/>
      <c r="AP1707" s="3" t="n"/>
      <c r="AQ1707" s="3" t="n"/>
      <c r="AR1707" s="3" t="n"/>
      <c r="AS1707" s="3" t="n"/>
      <c r="AT1707" s="3" t="n"/>
      <c r="AU1707" s="3" t="n"/>
    </row>
    <row r="1708">
      <c r="A1708" s="3" t="n">
        <v>2031</v>
      </c>
      <c r="B1708" s="3" t="inlineStr">
        <is>
          <t>LAO</t>
        </is>
      </c>
      <c r="C1708" s="3" t="inlineStr">
        <is>
          <t>IMF.RES:WEO</t>
        </is>
      </c>
      <c r="D1708" s="3" t="inlineStr">
        <is>
          <t>LAO.BCA.A</t>
        </is>
      </c>
      <c r="E1708" s="3" t="inlineStr">
        <is>
          <t>Lao People's Democratic Republic</t>
        </is>
      </c>
      <c r="F1708" s="3" t="inlineStr">
        <is>
          <t>Current account balance (credit less debit), US dollar</t>
        </is>
      </c>
      <c r="G1708" s="3" t="n">
        <v>0.025091</v>
      </c>
      <c r="H1708" s="3" t="n">
        <v>-0.215371</v>
      </c>
      <c r="I1708" s="3" t="n">
        <v>-0.172233</v>
      </c>
      <c r="J1708" s="3" t="n">
        <v>-0.261953</v>
      </c>
      <c r="K1708" s="3" t="n">
        <v>-0.36779</v>
      </c>
      <c r="L1708" s="3" t="n">
        <v>-0.482336</v>
      </c>
      <c r="M1708" s="3" t="n">
        <v>-0.364439</v>
      </c>
      <c r="N1708" s="3" t="n">
        <v>-0.494043</v>
      </c>
      <c r="O1708" s="3" t="n">
        <v>-0.928065</v>
      </c>
      <c r="P1708" s="3" t="n">
        <v>-1.142778</v>
      </c>
      <c r="Q1708" s="3" t="n">
        <v>-1.237159</v>
      </c>
      <c r="R1708" s="3" t="n">
        <v>-1.36821</v>
      </c>
      <c r="S1708" s="3" t="n">
        <v>-0.747904</v>
      </c>
      <c r="T1708" s="3" t="n">
        <v>-0.937931</v>
      </c>
      <c r="U1708" s="3" t="n">
        <v>-1.924464</v>
      </c>
      <c r="V1708" s="3" t="n">
        <v>-2.267613</v>
      </c>
      <c r="W1708" s="3" t="n">
        <v>-1.384958</v>
      </c>
      <c r="X1708" s="3" t="n">
        <v>-1.259801</v>
      </c>
      <c r="Y1708" s="3" t="n">
        <v>-1.648937</v>
      </c>
      <c r="Z1708" s="3" t="n">
        <v>-1.319569</v>
      </c>
      <c r="AA1708" s="3" t="n">
        <v>-0.304428</v>
      </c>
      <c r="AB1708" s="3" t="n">
        <v>0.431636</v>
      </c>
      <c r="AC1708" s="3" t="n">
        <v>-0.458754</v>
      </c>
      <c r="AD1708" s="3" t="n">
        <v>0.404523</v>
      </c>
      <c r="AE1708" s="3" t="n">
        <v>0.68523</v>
      </c>
      <c r="AF1708" s="3" t="n">
        <v>2.02646</v>
      </c>
      <c r="AG1708" s="3" t="n">
        <v>0.03086</v>
      </c>
      <c r="AH1708" s="3" t="n">
        <v>0.180145</v>
      </c>
      <c r="AI1708" s="3" t="n">
        <v>0.289394</v>
      </c>
      <c r="AJ1708" s="3" t="n">
        <v>0.140289</v>
      </c>
      <c r="AK1708" s="3" t="n">
        <v>-0.013881</v>
      </c>
      <c r="AL1708" s="3" t="n">
        <v>-0.150701</v>
      </c>
      <c r="AM1708" s="3" t="n"/>
      <c r="AN1708" s="3" t="n"/>
      <c r="AO1708" s="3" t="n"/>
      <c r="AP1708" s="3" t="n"/>
      <c r="AQ1708" s="3" t="n"/>
      <c r="AR1708" s="3" t="n"/>
      <c r="AS1708" s="3" t="n"/>
      <c r="AT1708" s="3" t="n"/>
      <c r="AU1708" s="3" t="n"/>
    </row>
    <row r="1709">
      <c r="A1709" s="3" t="n">
        <v>2031</v>
      </c>
      <c r="B1709" s="3" t="inlineStr">
        <is>
          <t>LAO</t>
        </is>
      </c>
      <c r="C1709" s="3" t="inlineStr">
        <is>
          <t>IMF.RES:WEO</t>
        </is>
      </c>
      <c r="D1709" s="3" t="inlineStr">
        <is>
          <t>LAO.BCA_NGDPD.A</t>
        </is>
      </c>
      <c r="E1709" s="3" t="inlineStr">
        <is>
          <t>Lao People's Democratic Republic</t>
        </is>
      </c>
      <c r="F1709" s="3" t="inlineStr">
        <is>
          <t>Current account balance (credit less debit), Percent of GDP</t>
        </is>
      </c>
      <c r="G1709" s="3" t="n">
        <v>1.458978</v>
      </c>
      <c r="H1709" s="3" t="n">
        <v>-12.259505</v>
      </c>
      <c r="I1709" s="3" t="n">
        <v>-9.340142</v>
      </c>
      <c r="J1709" s="3" t="n">
        <v>-11.589127</v>
      </c>
      <c r="K1709" s="3" t="n">
        <v>-13.873279</v>
      </c>
      <c r="L1709" s="3" t="n">
        <v>-15.667509</v>
      </c>
      <c r="M1709" s="3" t="n">
        <v>-9.263595</v>
      </c>
      <c r="N1709" s="3" t="n">
        <v>-10.385919</v>
      </c>
      <c r="O1709" s="3" t="n">
        <v>-15.60796</v>
      </c>
      <c r="P1709" s="3" t="n">
        <v>-17.76892</v>
      </c>
      <c r="Q1709" s="3" t="n">
        <v>-16.482195</v>
      </c>
      <c r="R1709" s="3" t="n">
        <v>-15.264015</v>
      </c>
      <c r="S1709" s="3" t="n">
        <v>-7.336659</v>
      </c>
      <c r="T1709" s="3" t="n">
        <v>-7.834081</v>
      </c>
      <c r="U1709" s="3" t="n">
        <v>-14.506786</v>
      </c>
      <c r="V1709" s="3" t="n">
        <v>-15.727419</v>
      </c>
      <c r="W1709" s="3" t="n">
        <v>-8.708154</v>
      </c>
      <c r="X1709" s="3" t="n">
        <v>-7.386777</v>
      </c>
      <c r="Y1709" s="3" t="n">
        <v>-9.094687</v>
      </c>
      <c r="Z1709" s="3" t="n">
        <v>-7.030105</v>
      </c>
      <c r="AA1709" s="3" t="n">
        <v>-1.6446</v>
      </c>
      <c r="AB1709" s="3" t="n">
        <v>2.329058</v>
      </c>
      <c r="AC1709" s="3" t="n">
        <v>-3.03383</v>
      </c>
      <c r="AD1709" s="3" t="n">
        <v>2.698018</v>
      </c>
      <c r="AE1709" s="3" t="n">
        <v>4.338994</v>
      </c>
      <c r="AF1709" s="3" t="n">
        <v>11.370612</v>
      </c>
      <c r="AG1709" s="3" t="n">
        <v>0.162772</v>
      </c>
      <c r="AH1709" s="3" t="n">
        <v>0.896811</v>
      </c>
      <c r="AI1709" s="3" t="n">
        <v>1.362638</v>
      </c>
      <c r="AJ1709" s="3" t="n">
        <v>0.628573</v>
      </c>
      <c r="AK1709" s="3" t="n">
        <v>-0.059292</v>
      </c>
      <c r="AL1709" s="3" t="n">
        <v>-0.614543</v>
      </c>
      <c r="AM1709" s="3" t="n"/>
      <c r="AN1709" s="3" t="n"/>
      <c r="AO1709" s="3" t="n"/>
      <c r="AP1709" s="3" t="n"/>
      <c r="AQ1709" s="3" t="n"/>
      <c r="AR1709" s="3" t="n"/>
      <c r="AS1709" s="3" t="n"/>
      <c r="AT1709" s="3" t="n"/>
      <c r="AU1709" s="3" t="n"/>
    </row>
    <row r="1710">
      <c r="A1710" s="3" t="n">
        <v>2031</v>
      </c>
      <c r="B1710" s="3" t="inlineStr">
        <is>
          <t>LAO</t>
        </is>
      </c>
      <c r="C1710" s="3" t="inlineStr">
        <is>
          <t>IMF.RES:WEO</t>
        </is>
      </c>
      <c r="D1710" s="3" t="inlineStr">
        <is>
          <t>LAO.GGR_NGDP.A</t>
        </is>
      </c>
      <c r="E1710" s="3" t="inlineStr">
        <is>
          <t>Lao People's Democratic Republic</t>
        </is>
      </c>
      <c r="F1710" s="3" t="inlineStr">
        <is>
          <t>Revenue, General government, Percent of GDP</t>
        </is>
      </c>
      <c r="G1710" s="3" t="n">
        <v>16.315248</v>
      </c>
      <c r="H1710" s="3" t="n">
        <v>15.162677</v>
      </c>
      <c r="I1710" s="3" t="n">
        <v>13.76995</v>
      </c>
      <c r="J1710" s="3" t="n">
        <v>12.153895</v>
      </c>
      <c r="K1710" s="3" t="n">
        <v>11.758798</v>
      </c>
      <c r="L1710" s="3" t="n">
        <v>12.78947</v>
      </c>
      <c r="M1710" s="3" t="n">
        <v>13.23613</v>
      </c>
      <c r="N1710" s="3" t="n">
        <v>13.985362</v>
      </c>
      <c r="O1710" s="3" t="n">
        <v>14.196194</v>
      </c>
      <c r="P1710" s="3" t="n">
        <v>17.00759</v>
      </c>
      <c r="Q1710" s="3" t="n">
        <v>20.932928</v>
      </c>
      <c r="R1710" s="3" t="n">
        <v>18.760292</v>
      </c>
      <c r="S1710" s="3" t="n">
        <v>22.375844</v>
      </c>
      <c r="T1710" s="3" t="n">
        <v>20.208965</v>
      </c>
      <c r="U1710" s="3" t="n">
        <v>21.854788</v>
      </c>
      <c r="V1710" s="3" t="n">
        <v>20.211913</v>
      </c>
      <c r="W1710" s="3" t="n">
        <v>16.024492</v>
      </c>
      <c r="X1710" s="3" t="n">
        <v>16.293801</v>
      </c>
      <c r="Y1710" s="3" t="n">
        <v>16.244118</v>
      </c>
      <c r="Z1710" s="3" t="n">
        <v>15.417871</v>
      </c>
      <c r="AA1710" s="3" t="n">
        <v>12.990402</v>
      </c>
      <c r="AB1710" s="3" t="n">
        <v>15.035648</v>
      </c>
      <c r="AC1710" s="3" t="n">
        <v>14.786686</v>
      </c>
      <c r="AD1710" s="3" t="n">
        <v>16.442087</v>
      </c>
      <c r="AE1710" s="3" t="n">
        <v>18.122151</v>
      </c>
      <c r="AF1710" s="3" t="n">
        <v>19.578002</v>
      </c>
      <c r="AG1710" s="3" t="n">
        <v>19.208399</v>
      </c>
      <c r="AH1710" s="3" t="n">
        <v>19.139016</v>
      </c>
      <c r="AI1710" s="3" t="n">
        <v>19.118871</v>
      </c>
      <c r="AJ1710" s="3" t="n">
        <v>19.05546</v>
      </c>
      <c r="AK1710" s="3" t="n">
        <v>19.110192</v>
      </c>
      <c r="AL1710" s="3" t="n">
        <v>19.076141</v>
      </c>
      <c r="AM1710" s="3" t="n"/>
      <c r="AN1710" s="3" t="n"/>
      <c r="AO1710" s="3" t="n"/>
      <c r="AP1710" s="3" t="n"/>
      <c r="AQ1710" s="3" t="n"/>
      <c r="AR1710" s="3" t="n"/>
      <c r="AS1710" s="3" t="n"/>
      <c r="AT1710" s="3" t="n"/>
      <c r="AU1710" s="3" t="n"/>
    </row>
    <row r="1711">
      <c r="A1711" s="3" t="n">
        <v>2031</v>
      </c>
      <c r="B1711" s="3" t="inlineStr">
        <is>
          <t>LAO</t>
        </is>
      </c>
      <c r="C1711" s="3" t="inlineStr">
        <is>
          <t>IMF.RES:WEO</t>
        </is>
      </c>
      <c r="D1711" s="3" t="inlineStr">
        <is>
          <t>LAO.GGX_NGDP.A</t>
        </is>
      </c>
      <c r="E1711" s="3" t="inlineStr">
        <is>
          <t>Lao People's Democratic Republic</t>
        </is>
      </c>
      <c r="F1711" s="3" t="inlineStr">
        <is>
          <t>Expenditure, General government, Percent of GDP</t>
        </is>
      </c>
      <c r="G1711" s="3" t="n">
        <v>19.890805</v>
      </c>
      <c r="H1711" s="3" t="n">
        <v>18.845656</v>
      </c>
      <c r="I1711" s="3" t="n">
        <v>16.619588</v>
      </c>
      <c r="J1711" s="3" t="n">
        <v>16.039259</v>
      </c>
      <c r="K1711" s="3" t="n">
        <v>13.569429</v>
      </c>
      <c r="L1711" s="3" t="n">
        <v>15.331279</v>
      </c>
      <c r="M1711" s="3" t="n">
        <v>14.718027</v>
      </c>
      <c r="N1711" s="3" t="n">
        <v>15.108454</v>
      </c>
      <c r="O1711" s="3" t="n">
        <v>16.054162</v>
      </c>
      <c r="P1711" s="3" t="n">
        <v>20.103202</v>
      </c>
      <c r="Q1711" s="3" t="n">
        <v>22.402064</v>
      </c>
      <c r="R1711" s="3" t="n">
        <v>20.189363</v>
      </c>
      <c r="S1711" s="3" t="n">
        <v>24.720029</v>
      </c>
      <c r="T1711" s="3" t="n">
        <v>24.239639</v>
      </c>
      <c r="U1711" s="3" t="n">
        <v>24.98702</v>
      </c>
      <c r="V1711" s="3" t="n">
        <v>25.782278</v>
      </c>
      <c r="W1711" s="3" t="n">
        <v>21.08461</v>
      </c>
      <c r="X1711" s="3" t="n">
        <v>21.802473</v>
      </c>
      <c r="Y1711" s="3" t="n">
        <v>20.709055</v>
      </c>
      <c r="Z1711" s="3" t="n">
        <v>18.62051</v>
      </c>
      <c r="AA1711" s="3" t="n">
        <v>18.357012</v>
      </c>
      <c r="AB1711" s="3" t="n">
        <v>15.704863</v>
      </c>
      <c r="AC1711" s="3" t="n">
        <v>14.727397</v>
      </c>
      <c r="AD1711" s="3" t="n">
        <v>16.454343</v>
      </c>
      <c r="AE1711" s="3" t="n">
        <v>15.765849</v>
      </c>
      <c r="AF1711" s="3" t="n">
        <v>17.938138</v>
      </c>
      <c r="AG1711" s="3" t="n">
        <v>18.849766</v>
      </c>
      <c r="AH1711" s="3" t="n">
        <v>17.354454</v>
      </c>
      <c r="AI1711" s="3" t="n">
        <v>17.403328</v>
      </c>
      <c r="AJ1711" s="3" t="n">
        <v>17.371403</v>
      </c>
      <c r="AK1711" s="3" t="n">
        <v>17.348608</v>
      </c>
      <c r="AL1711" s="3" t="n">
        <v>17.399022</v>
      </c>
      <c r="AM1711" s="3" t="n"/>
      <c r="AN1711" s="3" t="n"/>
      <c r="AO1711" s="3" t="n"/>
      <c r="AP1711" s="3" t="n"/>
      <c r="AQ1711" s="3" t="n"/>
      <c r="AR1711" s="3" t="n"/>
      <c r="AS1711" s="3" t="n"/>
      <c r="AT1711" s="3" t="n"/>
      <c r="AU1711" s="3" t="n"/>
    </row>
    <row r="1712">
      <c r="A1712" s="3" t="n">
        <v>2031</v>
      </c>
      <c r="B1712" s="3" t="inlineStr">
        <is>
          <t>LAO</t>
        </is>
      </c>
      <c r="C1712" s="3" t="inlineStr">
        <is>
          <t>IMF.RES:WEO</t>
        </is>
      </c>
      <c r="D1712" s="3" t="inlineStr">
        <is>
          <t>LAO.LP.A</t>
        </is>
      </c>
      <c r="E1712" s="3" t="inlineStr">
        <is>
          <t>Lao People's Democratic Republic</t>
        </is>
      </c>
      <c r="F1712" s="3" t="inlineStr">
        <is>
          <t>Population, Persons for countries / Index for country groups</t>
        </is>
      </c>
      <c r="G1712" s="3" t="n">
        <v>5.430853</v>
      </c>
      <c r="H1712" s="3" t="n">
        <v>5.519707</v>
      </c>
      <c r="I1712" s="3" t="n">
        <v>5.606101</v>
      </c>
      <c r="J1712" s="3" t="n">
        <v>5.689065</v>
      </c>
      <c r="K1712" s="3" t="n">
        <v>5.768167</v>
      </c>
      <c r="L1712" s="3" t="n">
        <v>5.85297</v>
      </c>
      <c r="M1712" s="3" t="n">
        <v>5.946593</v>
      </c>
      <c r="N1712" s="3" t="n">
        <v>6.041348</v>
      </c>
      <c r="O1712" s="3" t="n">
        <v>6.135861</v>
      </c>
      <c r="P1712" s="3" t="n">
        <v>6.22993</v>
      </c>
      <c r="Q1712" s="3" t="n">
        <v>6.323418</v>
      </c>
      <c r="R1712" s="3" t="n">
        <v>6.416327</v>
      </c>
      <c r="S1712" s="3" t="n">
        <v>6.508803</v>
      </c>
      <c r="T1712" s="3" t="n">
        <v>6.600742</v>
      </c>
      <c r="U1712" s="3" t="n">
        <v>6.691454</v>
      </c>
      <c r="V1712" s="3" t="n">
        <v>6.787419</v>
      </c>
      <c r="W1712" s="3" t="n">
        <v>6.891363</v>
      </c>
      <c r="X1712" s="3" t="n">
        <v>6.997917</v>
      </c>
      <c r="Y1712" s="3" t="n">
        <v>7.105006</v>
      </c>
      <c r="Z1712" s="3" t="n">
        <v>7.212053</v>
      </c>
      <c r="AA1712" s="3" t="n">
        <v>7.319399</v>
      </c>
      <c r="AB1712" s="3" t="n">
        <v>7.425057</v>
      </c>
      <c r="AC1712" s="3" t="n">
        <v>7.47697</v>
      </c>
      <c r="AD1712" s="3" t="n">
        <v>7.58198</v>
      </c>
      <c r="AE1712" s="3" t="n">
        <v>7.685577</v>
      </c>
      <c r="AF1712" s="3" t="n">
        <v>7.787785</v>
      </c>
      <c r="AG1712" s="3" t="n">
        <v>7.888824</v>
      </c>
      <c r="AH1712" s="3" t="n">
        <v>7.988242</v>
      </c>
      <c r="AI1712" s="3" t="n">
        <v>8.085844</v>
      </c>
      <c r="AJ1712" s="3" t="n">
        <v>8.181635</v>
      </c>
      <c r="AK1712" s="3" t="n">
        <v>8.275499999999999</v>
      </c>
      <c r="AL1712" s="3" t="n">
        <v>8.367073</v>
      </c>
      <c r="AM1712" s="3" t="n"/>
      <c r="AN1712" s="3" t="n"/>
      <c r="AO1712" s="3" t="n"/>
      <c r="AP1712" s="3" t="n"/>
      <c r="AQ1712" s="3" t="n"/>
      <c r="AR1712" s="3" t="n"/>
      <c r="AS1712" s="3" t="n"/>
      <c r="AT1712" s="3" t="n"/>
      <c r="AU1712" s="3" t="n"/>
    </row>
    <row r="1713">
      <c r="A1713" s="3" t="n">
        <v>2031</v>
      </c>
      <c r="B1713" s="3" t="inlineStr">
        <is>
          <t>LAO</t>
        </is>
      </c>
      <c r="C1713" s="3" t="inlineStr">
        <is>
          <t>IMF.RES:WEO</t>
        </is>
      </c>
      <c r="D1713" s="3" t="inlineStr">
        <is>
          <t>LAO.NGDP.A</t>
        </is>
      </c>
      <c r="E1713" s="3" t="inlineStr">
        <is>
          <t>Lao People's Democratic Republic</t>
        </is>
      </c>
      <c r="F1713" s="3" t="inlineStr">
        <is>
          <t>Gross domestic product (GDP), Current prices, Domestic currency</t>
        </is>
      </c>
      <c r="G1713" s="3" t="n">
        <v>14132.204411</v>
      </c>
      <c r="H1713" s="3" t="n">
        <v>16671.69159</v>
      </c>
      <c r="I1713" s="3" t="n">
        <v>19693.976215</v>
      </c>
      <c r="J1713" s="3" t="n">
        <v>23650.992967</v>
      </c>
      <c r="K1713" s="3" t="n">
        <v>28059.23561</v>
      </c>
      <c r="L1713" s="3" t="n">
        <v>32483.363992</v>
      </c>
      <c r="M1713" s="3" t="n">
        <v>39704.19344</v>
      </c>
      <c r="N1713" s="3" t="n">
        <v>45647.649378</v>
      </c>
      <c r="O1713" s="3" t="n">
        <v>51950.014145</v>
      </c>
      <c r="P1713" s="3" t="n">
        <v>54789.537119</v>
      </c>
      <c r="Q1713" s="3" t="n">
        <v>61996.763913</v>
      </c>
      <c r="R1713" s="3" t="n">
        <v>71961.75973000001</v>
      </c>
      <c r="S1713" s="3" t="n">
        <v>81609.860356</v>
      </c>
      <c r="T1713" s="3" t="n">
        <v>93867.573852</v>
      </c>
      <c r="U1713" s="3" t="n">
        <v>106797.293551</v>
      </c>
      <c r="V1713" s="3" t="n">
        <v>117251.584105</v>
      </c>
      <c r="W1713" s="3" t="n">
        <v>129279.119486</v>
      </c>
      <c r="X1713" s="3" t="n">
        <v>140697.749575</v>
      </c>
      <c r="Y1713" s="3" t="n">
        <v>152414.196198</v>
      </c>
      <c r="Z1713" s="3" t="n">
        <v>163080.403165</v>
      </c>
      <c r="AA1713" s="3" t="n">
        <v>167668.971514</v>
      </c>
      <c r="AB1713" s="3" t="n">
        <v>180751.07456</v>
      </c>
      <c r="AC1713" s="3" t="n">
        <v>217350.476107</v>
      </c>
      <c r="AD1713" s="3" t="n">
        <v>280518.741526</v>
      </c>
      <c r="AE1713" s="3" t="n">
        <v>340472.722093</v>
      </c>
      <c r="AF1713" s="3" t="n">
        <v>385223.038312</v>
      </c>
      <c r="AG1713" s="3" t="n">
        <v>437814.154212</v>
      </c>
      <c r="AH1713" s="3" t="n">
        <v>492585.195339</v>
      </c>
      <c r="AI1713" s="3" t="n">
        <v>550265.028252</v>
      </c>
      <c r="AJ1713" s="3" t="n">
        <v>611645.492825</v>
      </c>
      <c r="AK1713" s="3" t="n">
        <v>682174.204529</v>
      </c>
      <c r="AL1713" s="3" t="n">
        <v>761943.905106</v>
      </c>
      <c r="AM1713" s="3" t="n"/>
      <c r="AN1713" s="3" t="n"/>
      <c r="AO1713" s="3" t="n"/>
      <c r="AP1713" s="3" t="n"/>
      <c r="AQ1713" s="3" t="n"/>
      <c r="AR1713" s="3" t="n"/>
      <c r="AS1713" s="3" t="n"/>
      <c r="AT1713" s="3" t="n"/>
      <c r="AU1713" s="3" t="n"/>
    </row>
    <row r="1714">
      <c r="A1714" s="3" t="n">
        <v>2031</v>
      </c>
      <c r="B1714" s="3" t="inlineStr">
        <is>
          <t>LAO</t>
        </is>
      </c>
      <c r="C1714" s="3" t="inlineStr">
        <is>
          <t>IMF.RES:WEO</t>
        </is>
      </c>
      <c r="D1714" s="3" t="inlineStr">
        <is>
          <t>LAO.NGDP_D.A</t>
        </is>
      </c>
      <c r="E1714" s="3" t="inlineStr">
        <is>
          <t>Lao People's Democratic Republic</t>
        </is>
      </c>
      <c r="F1714" s="3" t="inlineStr">
        <is>
          <t>Gross domestic product (GDP), Price deflator, Index</t>
        </is>
      </c>
      <c r="G1714" s="3" t="n">
        <v>40.347448</v>
      </c>
      <c r="H1714" s="3" t="n">
        <v>45.429727</v>
      </c>
      <c r="I1714" s="3" t="n">
        <v>50.244427</v>
      </c>
      <c r="J1714" s="3" t="n">
        <v>56.828279</v>
      </c>
      <c r="K1714" s="3" t="n">
        <v>62.899861</v>
      </c>
      <c r="L1714" s="3" t="n">
        <v>68.09188</v>
      </c>
      <c r="M1714" s="3" t="n">
        <v>76.388738</v>
      </c>
      <c r="N1714" s="3" t="n">
        <v>81.43018600000001</v>
      </c>
      <c r="O1714" s="3" t="n">
        <v>85.94963</v>
      </c>
      <c r="P1714" s="3" t="n">
        <v>84.42303</v>
      </c>
      <c r="Q1714" s="3" t="n">
        <v>88.437241</v>
      </c>
      <c r="R1714" s="3" t="n">
        <v>95.06018899999999</v>
      </c>
      <c r="S1714" s="3" t="n">
        <v>99.99982900000001</v>
      </c>
      <c r="T1714" s="3" t="n">
        <v>106.474108</v>
      </c>
      <c r="U1714" s="3" t="n">
        <v>112.571063</v>
      </c>
      <c r="V1714" s="3" t="n">
        <v>115.21459</v>
      </c>
      <c r="W1714" s="3" t="n">
        <v>118.697259</v>
      </c>
      <c r="X1714" s="3" t="n">
        <v>120.851929</v>
      </c>
      <c r="Y1714" s="3" t="n">
        <v>123.217123</v>
      </c>
      <c r="Z1714" s="3" t="n">
        <v>125.979511</v>
      </c>
      <c r="AA1714" s="3" t="n">
        <v>130.089954</v>
      </c>
      <c r="AB1714" s="3" t="n">
        <v>137.407515</v>
      </c>
      <c r="AC1714" s="3" t="n">
        <v>161.591221</v>
      </c>
      <c r="AD1714" s="3" t="n">
        <v>201.194816</v>
      </c>
      <c r="AE1714" s="3" t="n">
        <v>234.13008</v>
      </c>
      <c r="AF1714" s="3" t="n">
        <v>252.838646</v>
      </c>
      <c r="AG1714" s="3" t="n">
        <v>276.269313</v>
      </c>
      <c r="AH1714" s="3" t="n">
        <v>298.993911</v>
      </c>
      <c r="AI1714" s="3" t="n">
        <v>322.701837</v>
      </c>
      <c r="AJ1714" s="3" t="n">
        <v>348.243956</v>
      </c>
      <c r="AK1714" s="3" t="n">
        <v>377.14795</v>
      </c>
      <c r="AL1714" s="3" t="n">
        <v>409.101118</v>
      </c>
      <c r="AM1714" s="3" t="n"/>
      <c r="AN1714" s="3" t="n"/>
      <c r="AO1714" s="3" t="n"/>
      <c r="AP1714" s="3" t="n"/>
      <c r="AQ1714" s="3" t="n"/>
      <c r="AR1714" s="3" t="n"/>
      <c r="AS1714" s="3" t="n"/>
      <c r="AT1714" s="3" t="n"/>
      <c r="AU1714" s="3" t="n"/>
    </row>
    <row r="1715">
      <c r="A1715" s="3" t="n">
        <v>2031</v>
      </c>
      <c r="B1715" s="3" t="inlineStr">
        <is>
          <t>LAO</t>
        </is>
      </c>
      <c r="C1715" s="3" t="inlineStr">
        <is>
          <t>IMF.RES:WEO</t>
        </is>
      </c>
      <c r="D1715" s="3" t="inlineStr">
        <is>
          <t>LAO.NGDP_R.A</t>
        </is>
      </c>
      <c r="E1715" s="3" t="inlineStr">
        <is>
          <t>Lao People's Democratic Republic</t>
        </is>
      </c>
      <c r="F1715" s="3" t="inlineStr">
        <is>
          <t>Gross domestic product (GDP), Constant prices, Domestic currency</t>
        </is>
      </c>
      <c r="G1715" s="3" t="n">
        <v>35026.265645</v>
      </c>
      <c r="H1715" s="3" t="n">
        <v>36697.75847</v>
      </c>
      <c r="I1715" s="3" t="n">
        <v>39196.339367</v>
      </c>
      <c r="J1715" s="3" t="n">
        <v>41618.351699</v>
      </c>
      <c r="K1715" s="3" t="n">
        <v>44609.376154</v>
      </c>
      <c r="L1715" s="3" t="n">
        <v>47705.194787</v>
      </c>
      <c r="M1715" s="3" t="n">
        <v>51976.501387</v>
      </c>
      <c r="N1715" s="3" t="n">
        <v>56057.405116</v>
      </c>
      <c r="O1715" s="3" t="n">
        <v>60442.394007</v>
      </c>
      <c r="P1715" s="3" t="n">
        <v>64898.80435</v>
      </c>
      <c r="Q1715" s="3" t="n">
        <v>70102.55309299999</v>
      </c>
      <c r="R1715" s="3" t="n">
        <v>75701.25866000001</v>
      </c>
      <c r="S1715" s="3" t="n">
        <v>81610</v>
      </c>
      <c r="T1715" s="3" t="n">
        <v>88160</v>
      </c>
      <c r="U1715" s="3" t="n">
        <v>94871</v>
      </c>
      <c r="V1715" s="3" t="n">
        <v>101768</v>
      </c>
      <c r="W1715" s="3" t="n">
        <v>108915</v>
      </c>
      <c r="X1715" s="3" t="n">
        <v>116421.6</v>
      </c>
      <c r="Y1715" s="3" t="n">
        <v>123695.63</v>
      </c>
      <c r="Z1715" s="3" t="n">
        <v>129449.941025</v>
      </c>
      <c r="AA1715" s="3" t="n">
        <v>128886.947913</v>
      </c>
      <c r="AB1715" s="3" t="n">
        <v>131543.805339</v>
      </c>
      <c r="AC1715" s="3" t="n">
        <v>134506.363983</v>
      </c>
      <c r="AD1715" s="3" t="n">
        <v>139426.426365</v>
      </c>
      <c r="AE1715" s="3" t="n">
        <v>145420.324703</v>
      </c>
      <c r="AF1715" s="3" t="n">
        <v>152359.239705</v>
      </c>
      <c r="AG1715" s="3" t="n">
        <v>158473.682801</v>
      </c>
      <c r="AH1715" s="3" t="n">
        <v>164747.567727</v>
      </c>
      <c r="AI1715" s="3" t="n">
        <v>170518.095835</v>
      </c>
      <c r="AJ1715" s="3" t="n">
        <v>175637.073299</v>
      </c>
      <c r="AK1715" s="3" t="n">
        <v>180877.08128</v>
      </c>
      <c r="AL1715" s="3" t="n">
        <v>186248.306571</v>
      </c>
      <c r="AM1715" s="3" t="n"/>
      <c r="AN1715" s="3" t="n"/>
      <c r="AO1715" s="3" t="n"/>
      <c r="AP1715" s="3" t="n"/>
      <c r="AQ1715" s="3" t="n"/>
      <c r="AR1715" s="3" t="n"/>
      <c r="AS1715" s="3" t="n"/>
      <c r="AT1715" s="3" t="n"/>
      <c r="AU1715" s="3" t="n"/>
    </row>
    <row r="1716">
      <c r="A1716" s="3" t="n">
        <v>2031</v>
      </c>
      <c r="B1716" s="3" t="inlineStr">
        <is>
          <t>LAO</t>
        </is>
      </c>
      <c r="C1716" s="3" t="inlineStr">
        <is>
          <t>IMF.RES:WEO</t>
        </is>
      </c>
      <c r="D1716" s="3" t="inlineStr">
        <is>
          <t>LAO.NGDP_RPCH.A</t>
        </is>
      </c>
      <c r="E1716" s="3" t="inlineStr">
        <is>
          <t>Lao People's Democratic Republic</t>
        </is>
      </c>
      <c r="F1716" s="3" t="inlineStr">
        <is>
          <t>Gross domestic product (GDP), Constant prices, Percent change</t>
        </is>
      </c>
      <c r="G1716" s="3" t="n">
        <v>6.428721</v>
      </c>
      <c r="H1716" s="3" t="n">
        <v>4.772113</v>
      </c>
      <c r="I1716" s="3" t="n">
        <v>6.808538</v>
      </c>
      <c r="J1716" s="3" t="n">
        <v>6.17918</v>
      </c>
      <c r="K1716" s="3" t="n">
        <v>7.186792</v>
      </c>
      <c r="L1716" s="3" t="n">
        <v>6.939838</v>
      </c>
      <c r="M1716" s="3" t="n">
        <v>8.953545999999999</v>
      </c>
      <c r="N1716" s="3" t="n">
        <v>7.85144</v>
      </c>
      <c r="O1716" s="3" t="n">
        <v>7.822319</v>
      </c>
      <c r="P1716" s="3" t="n">
        <v>7.372988</v>
      </c>
      <c r="Q1716" s="3" t="n">
        <v>8.018250999999999</v>
      </c>
      <c r="R1716" s="3" t="n">
        <v>7.98645</v>
      </c>
      <c r="S1716" s="3" t="n">
        <v>7.805341</v>
      </c>
      <c r="T1716" s="3" t="n">
        <v>8.025976999999999</v>
      </c>
      <c r="U1716" s="3" t="n">
        <v>7.612296</v>
      </c>
      <c r="V1716" s="3" t="n">
        <v>7.269872</v>
      </c>
      <c r="W1716" s="3" t="n">
        <v>7.022836</v>
      </c>
      <c r="X1716" s="3" t="n">
        <v>6.892164</v>
      </c>
      <c r="Y1716" s="3" t="n">
        <v>6.248007</v>
      </c>
      <c r="Z1716" s="3" t="n">
        <v>4.651992</v>
      </c>
      <c r="AA1716" s="3" t="n">
        <v>-0.434912</v>
      </c>
      <c r="AB1716" s="3" t="n">
        <v>2.061386</v>
      </c>
      <c r="AC1716" s="3" t="n">
        <v>2.252146</v>
      </c>
      <c r="AD1716" s="3" t="n">
        <v>3.657866</v>
      </c>
      <c r="AE1716" s="3" t="n">
        <v>4.298969</v>
      </c>
      <c r="AF1716" s="3" t="n">
        <v>4.771627</v>
      </c>
      <c r="AG1716" s="3" t="n">
        <v>4.013175</v>
      </c>
      <c r="AH1716" s="3" t="n">
        <v>3.958944</v>
      </c>
      <c r="AI1716" s="3" t="n">
        <v>3.502648</v>
      </c>
      <c r="AJ1716" s="3" t="n">
        <v>3.002014</v>
      </c>
      <c r="AK1716" s="3" t="n">
        <v>2.983429</v>
      </c>
      <c r="AL1716" s="3" t="n">
        <v>2.969544</v>
      </c>
      <c r="AM1716" s="3" t="n"/>
      <c r="AN1716" s="3" t="n"/>
      <c r="AO1716" s="3" t="n"/>
      <c r="AP1716" s="3" t="n"/>
      <c r="AQ1716" s="3" t="n"/>
      <c r="AR1716" s="3" t="n"/>
      <c r="AS1716" s="3" t="n"/>
      <c r="AT1716" s="3" t="n"/>
      <c r="AU1716" s="3" t="n"/>
    </row>
    <row r="1717">
      <c r="A1717" s="3" t="n">
        <v>2031</v>
      </c>
      <c r="B1717" s="3" t="inlineStr">
        <is>
          <t>LAO</t>
        </is>
      </c>
      <c r="C1717" s="3" t="inlineStr">
        <is>
          <t>IMF.RES:WEO</t>
        </is>
      </c>
      <c r="D1717" s="3" t="inlineStr">
        <is>
          <t>LAO.NGDPD.A</t>
        </is>
      </c>
      <c r="E1717" s="3" t="inlineStr">
        <is>
          <t>Lao People's Democratic Republic</t>
        </is>
      </c>
      <c r="F1717" s="3" t="inlineStr">
        <is>
          <t>Gross domestic product (GDP), Current prices, US dollar</t>
        </is>
      </c>
      <c r="G1717" s="3" t="n">
        <v>1.719769</v>
      </c>
      <c r="H1717" s="3" t="n">
        <v>1.756764</v>
      </c>
      <c r="I1717" s="3" t="n">
        <v>1.844005</v>
      </c>
      <c r="J1717" s="3" t="n">
        <v>2.260335</v>
      </c>
      <c r="K1717" s="3" t="n">
        <v>2.651067</v>
      </c>
      <c r="L1717" s="3" t="n">
        <v>3.078575</v>
      </c>
      <c r="M1717" s="3" t="n">
        <v>3.934099</v>
      </c>
      <c r="N1717" s="3" t="n">
        <v>4.75685</v>
      </c>
      <c r="O1717" s="3" t="n">
        <v>5.946099</v>
      </c>
      <c r="P1717" s="3" t="n">
        <v>6.431331</v>
      </c>
      <c r="Q1717" s="3" t="n">
        <v>7.506036</v>
      </c>
      <c r="R1717" s="3" t="n">
        <v>8.963628999999999</v>
      </c>
      <c r="S1717" s="3" t="n">
        <v>10.194067</v>
      </c>
      <c r="T1717" s="3" t="n">
        <v>11.97244</v>
      </c>
      <c r="U1717" s="3" t="n">
        <v>13.26596</v>
      </c>
      <c r="V1717" s="3" t="n">
        <v>14.418214</v>
      </c>
      <c r="W1717" s="3" t="n">
        <v>15.904147</v>
      </c>
      <c r="X1717" s="3" t="n">
        <v>17.054816</v>
      </c>
      <c r="Y1717" s="3" t="n">
        <v>18.130767</v>
      </c>
      <c r="Z1717" s="3" t="n">
        <v>18.770254</v>
      </c>
      <c r="AA1717" s="3" t="n">
        <v>18.510738</v>
      </c>
      <c r="AB1717" s="3" t="n">
        <v>18.532661</v>
      </c>
      <c r="AC1717" s="3" t="n">
        <v>15.121296</v>
      </c>
      <c r="AD1717" s="3" t="n">
        <v>14.993324</v>
      </c>
      <c r="AE1717" s="3" t="n">
        <v>15.792369</v>
      </c>
      <c r="AF1717" s="3" t="n">
        <v>17.821908</v>
      </c>
      <c r="AG1717" s="3" t="n">
        <v>18.9591</v>
      </c>
      <c r="AH1717" s="3" t="n">
        <v>20.087245</v>
      </c>
      <c r="AI1717" s="3" t="n">
        <v>21.237785</v>
      </c>
      <c r="AJ1717" s="3" t="n">
        <v>22.318654</v>
      </c>
      <c r="AK1717" s="3" t="n">
        <v>23.411954</v>
      </c>
      <c r="AL1717" s="3" t="n">
        <v>24.522391</v>
      </c>
      <c r="AM1717" s="3" t="n"/>
      <c r="AN1717" s="3" t="n"/>
      <c r="AO1717" s="3" t="n"/>
      <c r="AP1717" s="3" t="n"/>
      <c r="AQ1717" s="3" t="n"/>
      <c r="AR1717" s="3" t="n"/>
      <c r="AS1717" s="3" t="n"/>
      <c r="AT1717" s="3" t="n"/>
      <c r="AU1717" s="3" t="n"/>
    </row>
    <row r="1718">
      <c r="A1718" s="3" t="n">
        <v>2031</v>
      </c>
      <c r="B1718" s="3" t="inlineStr">
        <is>
          <t>LAO</t>
        </is>
      </c>
      <c r="C1718" s="3" t="inlineStr">
        <is>
          <t>IMF.RES:WEO</t>
        </is>
      </c>
      <c r="D1718" s="3" t="inlineStr">
        <is>
          <t>LAO.NGDPPC.A</t>
        </is>
      </c>
      <c r="E1718" s="3" t="inlineStr">
        <is>
          <t>Lao People's Democratic Republic</t>
        </is>
      </c>
      <c r="F1718" s="3" t="inlineStr">
        <is>
          <t>Gross domestic product (GDP), Current prices, Per capita, Domestic currency</t>
        </is>
      </c>
      <c r="G1718" s="3" t="n">
        <v>2602207.132261</v>
      </c>
      <c r="H1718" s="3" t="n">
        <v>3020394.305362</v>
      </c>
      <c r="I1718" s="3" t="n">
        <v>3512954.228796</v>
      </c>
      <c r="J1718" s="3" t="n">
        <v>4157272.410617</v>
      </c>
      <c r="K1718" s="3" t="n">
        <v>4864497.787578</v>
      </c>
      <c r="L1718" s="3" t="n">
        <v>5549894.15494</v>
      </c>
      <c r="M1718" s="3" t="n">
        <v>6676796.85502</v>
      </c>
      <c r="N1718" s="3" t="n">
        <v>7555871.533636</v>
      </c>
      <c r="O1718" s="3" t="n">
        <v>8466621.741432</v>
      </c>
      <c r="P1718" s="3" t="n">
        <v>8794567.052812001</v>
      </c>
      <c r="Q1718" s="3" t="n">
        <v>9804312.147825999</v>
      </c>
      <c r="R1718" s="3" t="n">
        <v>11215413.386875</v>
      </c>
      <c r="S1718" s="3" t="n">
        <v>12538382.304087</v>
      </c>
      <c r="T1718" s="3" t="n">
        <v>14220760.916303</v>
      </c>
      <c r="U1718" s="3" t="n">
        <v>15960252.218876</v>
      </c>
      <c r="V1718" s="3" t="n">
        <v>17274841.011755</v>
      </c>
      <c r="W1718" s="3" t="n">
        <v>18759586.381636</v>
      </c>
      <c r="X1718" s="3" t="n">
        <v>20105661.381042</v>
      </c>
      <c r="Y1718" s="3" t="n">
        <v>21451663.263633</v>
      </c>
      <c r="Z1718" s="3" t="n">
        <v>22612202.539958</v>
      </c>
      <c r="AA1718" s="3" t="n">
        <v>22907477.99294</v>
      </c>
      <c r="AB1718" s="3" t="n">
        <v>24343392.186787</v>
      </c>
      <c r="AC1718" s="3" t="n">
        <v>29069325.690414</v>
      </c>
      <c r="AD1718" s="3" t="n">
        <v>36998085.134267</v>
      </c>
      <c r="AE1718" s="3" t="n">
        <v>44300216.118147</v>
      </c>
      <c r="AF1718" s="3" t="n">
        <v>49465032.523653</v>
      </c>
      <c r="AG1718" s="3" t="n">
        <v>55498025.334587</v>
      </c>
      <c r="AH1718" s="3" t="n">
        <v>61663779.757624</v>
      </c>
      <c r="AI1718" s="3" t="n">
        <v>68052887.02729499</v>
      </c>
      <c r="AJ1718" s="3" t="n">
        <v>74758345.101555</v>
      </c>
      <c r="AK1718" s="3" t="n">
        <v>82432989.49059001</v>
      </c>
      <c r="AL1718" s="3" t="n">
        <v>91064570.024216</v>
      </c>
      <c r="AM1718" s="3" t="n"/>
      <c r="AN1718" s="3" t="n"/>
      <c r="AO1718" s="3" t="n"/>
      <c r="AP1718" s="3" t="n"/>
      <c r="AQ1718" s="3" t="n"/>
      <c r="AR1718" s="3" t="n"/>
      <c r="AS1718" s="3" t="n"/>
      <c r="AT1718" s="3" t="n"/>
      <c r="AU1718" s="3" t="n"/>
    </row>
    <row r="1719">
      <c r="A1719" s="3" t="n">
        <v>2031</v>
      </c>
      <c r="B1719" s="3" t="inlineStr">
        <is>
          <t>LAO</t>
        </is>
      </c>
      <c r="C1719" s="3" t="inlineStr">
        <is>
          <t>IMF.RES:WEO</t>
        </is>
      </c>
      <c r="D1719" s="3" t="inlineStr">
        <is>
          <t>LAO.NGDPRPC.A</t>
        </is>
      </c>
      <c r="E1719" s="3" t="inlineStr">
        <is>
          <t>Lao People's Democratic Republic</t>
        </is>
      </c>
      <c r="F1719" s="3" t="inlineStr">
        <is>
          <t>Gross domestic product (GDP), Constant prices, Per capita, Domestic currency</t>
        </is>
      </c>
      <c r="G1719" s="3" t="n">
        <v>6449496.174061</v>
      </c>
      <c r="H1719" s="3" t="n">
        <v>6648497.550717</v>
      </c>
      <c r="I1719" s="3" t="n">
        <v>6991729.076443</v>
      </c>
      <c r="J1719" s="3" t="n">
        <v>7315499.418516</v>
      </c>
      <c r="K1719" s="3" t="n">
        <v>7733717.861202</v>
      </c>
      <c r="L1719" s="3" t="n">
        <v>8150596.156594</v>
      </c>
      <c r="M1719" s="3" t="n">
        <v>8740551.335363001</v>
      </c>
      <c r="N1719" s="3" t="n">
        <v>9278956.470685</v>
      </c>
      <c r="O1719" s="3" t="n">
        <v>9850678.495991999</v>
      </c>
      <c r="P1719" s="3" t="n">
        <v>10417260.603232</v>
      </c>
      <c r="Q1719" s="3" t="n">
        <v>11086180.463324</v>
      </c>
      <c r="R1719" s="3" t="n">
        <v>11798223.291869</v>
      </c>
      <c r="S1719" s="3" t="n">
        <v>12538403.758725</v>
      </c>
      <c r="T1719" s="3" t="n">
        <v>13356074.211051</v>
      </c>
      <c r="U1719" s="3" t="n">
        <v>14177935.019803</v>
      </c>
      <c r="V1719" s="3" t="n">
        <v>14993622.759992</v>
      </c>
      <c r="W1719" s="3" t="n">
        <v>15804565.80215</v>
      </c>
      <c r="X1719" s="3" t="n">
        <v>16636607.721984</v>
      </c>
      <c r="Y1719" s="3" t="n">
        <v>17409644.69277</v>
      </c>
      <c r="Z1719" s="3" t="n">
        <v>17949111.165043</v>
      </c>
      <c r="AA1719" s="3" t="n">
        <v>17608952.307811</v>
      </c>
      <c r="AB1719" s="3" t="n">
        <v>17716201.416212</v>
      </c>
      <c r="AC1719" s="3" t="n">
        <v>17989421.381053</v>
      </c>
      <c r="AD1719" s="3" t="n">
        <v>18389184.139934</v>
      </c>
      <c r="AE1719" s="3" t="n">
        <v>18921198.070538</v>
      </c>
      <c r="AF1719" s="3" t="n">
        <v>19563873.387027</v>
      </c>
      <c r="AG1719" s="3" t="n">
        <v>20088378.546848</v>
      </c>
      <c r="AH1719" s="3" t="n">
        <v>20623757.733792</v>
      </c>
      <c r="AI1719" s="3" t="n">
        <v>21088472.129249</v>
      </c>
      <c r="AJ1719" s="3" t="n">
        <v>21467234.030687</v>
      </c>
      <c r="AK1719" s="3" t="n">
        <v>21856936.895655</v>
      </c>
      <c r="AL1719" s="3" t="n">
        <v>22259672.716014</v>
      </c>
      <c r="AM1719" s="3" t="n"/>
      <c r="AN1719" s="3" t="n"/>
      <c r="AO1719" s="3" t="n"/>
      <c r="AP1719" s="3" t="n"/>
      <c r="AQ1719" s="3" t="n"/>
      <c r="AR1719" s="3" t="n"/>
      <c r="AS1719" s="3" t="n"/>
      <c r="AT1719" s="3" t="n"/>
      <c r="AU1719" s="3" t="n"/>
    </row>
    <row r="1720">
      <c r="A1720" s="3" t="n">
        <v>2031</v>
      </c>
      <c r="B1720" s="3" t="inlineStr">
        <is>
          <t>LAO</t>
        </is>
      </c>
      <c r="C1720" s="3" t="inlineStr">
        <is>
          <t>IMF.RES:WEO</t>
        </is>
      </c>
      <c r="D1720" s="3" t="inlineStr">
        <is>
          <t>LAO.PCPI.A</t>
        </is>
      </c>
      <c r="E1720" s="3" t="inlineStr">
        <is>
          <t>Lao People's Democratic Republic</t>
        </is>
      </c>
      <c r="F1720" s="3" t="inlineStr">
        <is>
          <t>All Items, Consumer price index (CPI), Period average</t>
        </is>
      </c>
      <c r="G1720" s="3" t="n">
        <v>38.157396</v>
      </c>
      <c r="H1720" s="3" t="n">
        <v>41.136958</v>
      </c>
      <c r="I1720" s="3" t="n">
        <v>45.511098</v>
      </c>
      <c r="J1720" s="3" t="n">
        <v>52.560456</v>
      </c>
      <c r="K1720" s="3" t="n">
        <v>58.06208</v>
      </c>
      <c r="L1720" s="3" t="n">
        <v>62.223672</v>
      </c>
      <c r="M1720" s="3" t="n">
        <v>66.296581</v>
      </c>
      <c r="N1720" s="3" t="n">
        <v>69.387309</v>
      </c>
      <c r="O1720" s="3" t="n">
        <v>74.680734</v>
      </c>
      <c r="P1720" s="3" t="n">
        <v>74.786174</v>
      </c>
      <c r="Q1720" s="3" t="n">
        <v>79.260291</v>
      </c>
      <c r="R1720" s="3" t="n">
        <v>85.25949300000001</v>
      </c>
      <c r="S1720" s="3" t="n">
        <v>88.887393</v>
      </c>
      <c r="T1720" s="3" t="n">
        <v>94.550788</v>
      </c>
      <c r="U1720" s="3" t="n">
        <v>98.45502</v>
      </c>
      <c r="V1720" s="3" t="n">
        <v>99.71263999999999</v>
      </c>
      <c r="W1720" s="3" t="n">
        <v>101.304963</v>
      </c>
      <c r="X1720" s="3" t="n">
        <v>102.141214</v>
      </c>
      <c r="Y1720" s="3" t="n">
        <v>104.225296</v>
      </c>
      <c r="Z1720" s="3" t="n">
        <v>107.688242</v>
      </c>
      <c r="AA1720" s="3" t="n">
        <v>113.184729</v>
      </c>
      <c r="AB1720" s="3" t="n">
        <v>117.433131</v>
      </c>
      <c r="AC1720" s="3" t="n">
        <v>144.3946</v>
      </c>
      <c r="AD1720" s="3" t="n">
        <v>189.489242</v>
      </c>
      <c r="AE1720" s="3" t="n">
        <v>233.322576</v>
      </c>
      <c r="AF1720" s="3" t="n">
        <v>251.3825</v>
      </c>
      <c r="AG1720" s="3" t="n">
        <v>275.63538</v>
      </c>
      <c r="AH1720" s="3" t="n">
        <v>299.024245</v>
      </c>
      <c r="AI1720" s="3" t="n">
        <v>322.975567</v>
      </c>
      <c r="AJ1720" s="3" t="n">
        <v>349.275447</v>
      </c>
      <c r="AK1720" s="3" t="n">
        <v>379.65132</v>
      </c>
      <c r="AL1720" s="3" t="n">
        <v>413.811283</v>
      </c>
      <c r="AM1720" s="3" t="n"/>
      <c r="AN1720" s="3" t="n"/>
      <c r="AO1720" s="3" t="n"/>
      <c r="AP1720" s="3" t="n"/>
      <c r="AQ1720" s="3" t="n"/>
      <c r="AR1720" s="3" t="n"/>
      <c r="AS1720" s="3" t="n"/>
      <c r="AT1720" s="3" t="n"/>
      <c r="AU1720" s="3" t="n"/>
    </row>
    <row r="1721">
      <c r="A1721" s="3" t="n">
        <v>2031</v>
      </c>
      <c r="B1721" s="3" t="inlineStr">
        <is>
          <t>LAO</t>
        </is>
      </c>
      <c r="C1721" s="3" t="inlineStr">
        <is>
          <t>IMF.RES:WEO</t>
        </is>
      </c>
      <c r="D1721" s="3" t="inlineStr">
        <is>
          <t>LAO.PCPIPCH.A</t>
        </is>
      </c>
      <c r="E1721" s="3" t="inlineStr">
        <is>
          <t>Lao People's Democratic Republic</t>
        </is>
      </c>
      <c r="F1721" s="3" t="inlineStr">
        <is>
          <t>All Items, Consumer price index (CPI), Period average, percent change</t>
        </is>
      </c>
      <c r="G1721" s="3" t="n">
        <v>8.368914</v>
      </c>
      <c r="H1721" s="3" t="n">
        <v>7.808609</v>
      </c>
      <c r="I1721" s="3" t="n">
        <v>10.633115</v>
      </c>
      <c r="J1721" s="3" t="n">
        <v>15.489316</v>
      </c>
      <c r="K1721" s="3" t="n">
        <v>10.467232</v>
      </c>
      <c r="L1721" s="3" t="n">
        <v>7.167486</v>
      </c>
      <c r="M1721" s="3" t="n">
        <v>6.545594</v>
      </c>
      <c r="N1721" s="3" t="n">
        <v>4.661973</v>
      </c>
      <c r="O1721" s="3" t="n">
        <v>7.628809</v>
      </c>
      <c r="P1721" s="3" t="n">
        <v>0.141188</v>
      </c>
      <c r="Q1721" s="3" t="n">
        <v>5.982545</v>
      </c>
      <c r="R1721" s="3" t="n">
        <v>7.568989</v>
      </c>
      <c r="S1721" s="3" t="n">
        <v>4.255127</v>
      </c>
      <c r="T1721" s="3" t="n">
        <v>6.371427</v>
      </c>
      <c r="U1721" s="3" t="n">
        <v>4.129243</v>
      </c>
      <c r="V1721" s="3" t="n">
        <v>1.277354</v>
      </c>
      <c r="W1721" s="3" t="n">
        <v>1.596912</v>
      </c>
      <c r="X1721" s="3" t="n">
        <v>0.825479</v>
      </c>
      <c r="Y1721" s="3" t="n">
        <v>2.040393</v>
      </c>
      <c r="Z1721" s="3" t="n">
        <v>3.322559</v>
      </c>
      <c r="AA1721" s="3" t="n">
        <v>5.104073</v>
      </c>
      <c r="AB1721" s="3" t="n">
        <v>3.753512</v>
      </c>
      <c r="AC1721" s="3" t="n">
        <v>22.958998</v>
      </c>
      <c r="AD1721" s="3" t="n">
        <v>31.230144</v>
      </c>
      <c r="AE1721" s="3" t="n">
        <v>23.13236</v>
      </c>
      <c r="AF1721" s="3" t="n">
        <v>7.740324</v>
      </c>
      <c r="AG1721" s="3" t="n">
        <v>9.6478</v>
      </c>
      <c r="AH1721" s="3" t="n">
        <v>8.485436</v>
      </c>
      <c r="AI1721" s="3" t="n">
        <v>8.009826</v>
      </c>
      <c r="AJ1721" s="3" t="n">
        <v>8.142994</v>
      </c>
      <c r="AK1721" s="3" t="n">
        <v>8.696825</v>
      </c>
      <c r="AL1721" s="3" t="n">
        <v>8.997719999999999</v>
      </c>
      <c r="AM1721" s="3" t="n"/>
      <c r="AN1721" s="3" t="n"/>
      <c r="AO1721" s="3" t="n"/>
      <c r="AP1721" s="3" t="n"/>
      <c r="AQ1721" s="3" t="n"/>
      <c r="AR1721" s="3" t="n"/>
      <c r="AS1721" s="3" t="n"/>
      <c r="AT1721" s="3" t="n"/>
      <c r="AU1721" s="3" t="n"/>
    </row>
    <row r="1722">
      <c r="A1722" s="3" t="n">
        <v>2031</v>
      </c>
      <c r="B1722" s="3" t="inlineStr">
        <is>
          <t>LAO</t>
        </is>
      </c>
      <c r="C1722" s="3" t="inlineStr">
        <is>
          <t>IMF.RES:WEO</t>
        </is>
      </c>
      <c r="D1722" s="3" t="inlineStr">
        <is>
          <t>LAO.PPPPC.A</t>
        </is>
      </c>
      <c r="E1722" s="3" t="inlineStr">
        <is>
          <t>Lao People's Democratic Republic</t>
        </is>
      </c>
      <c r="F1722" s="3" t="inlineStr">
        <is>
          <t>Gross domestic product (GDP), Per capita, purchasing power parity (PPP) international dollar, ICP benchmarks 2017-2021</t>
        </is>
      </c>
      <c r="G1722" s="3" t="n">
        <v>2018.543604</v>
      </c>
      <c r="H1722" s="3" t="n">
        <v>2127.678759</v>
      </c>
      <c r="I1722" s="3" t="n">
        <v>2272.292962</v>
      </c>
      <c r="J1722" s="3" t="n">
        <v>2424.454766</v>
      </c>
      <c r="K1722" s="3" t="n">
        <v>2631.975559</v>
      </c>
      <c r="L1722" s="3" t="n">
        <v>2860.832512</v>
      </c>
      <c r="M1722" s="3" t="n">
        <v>3162.515415</v>
      </c>
      <c r="N1722" s="3" t="n">
        <v>3448.280637</v>
      </c>
      <c r="O1722" s="3" t="n">
        <v>3731.267148</v>
      </c>
      <c r="P1722" s="3" t="n">
        <v>3970.214568</v>
      </c>
      <c r="Q1722" s="3" t="n">
        <v>4276.503978</v>
      </c>
      <c r="R1722" s="3" t="n">
        <v>4645.07718</v>
      </c>
      <c r="S1722" s="3" t="n">
        <v>5028.407709</v>
      </c>
      <c r="T1722" s="3" t="n">
        <v>5447.491619</v>
      </c>
      <c r="U1722" s="3" t="n">
        <v>5883.419047</v>
      </c>
      <c r="V1722" s="3" t="n">
        <v>6279.647657</v>
      </c>
      <c r="W1722" s="3" t="n">
        <v>6682.18586</v>
      </c>
      <c r="X1722" s="3" t="n">
        <v>7159.944706</v>
      </c>
      <c r="Y1722" s="3" t="n">
        <v>7511.151427</v>
      </c>
      <c r="Z1722" s="3" t="n">
        <v>7790.913678</v>
      </c>
      <c r="AA1722" s="3" t="n">
        <v>7756.006864</v>
      </c>
      <c r="AB1722" s="3" t="n">
        <v>8029.626303</v>
      </c>
      <c r="AC1722" s="3" t="n">
        <v>8733.367319999999</v>
      </c>
      <c r="AD1722" s="3" t="n">
        <v>9257.759399</v>
      </c>
      <c r="AE1722" s="3" t="n">
        <v>9762.070981999999</v>
      </c>
      <c r="AF1722" s="3" t="n">
        <v>10379.981643</v>
      </c>
      <c r="AG1722" s="3" t="n">
        <v>10963.611209</v>
      </c>
      <c r="AH1722" s="3" t="n">
        <v>11502.970931</v>
      </c>
      <c r="AI1722" s="3" t="n">
        <v>11955.230057</v>
      </c>
      <c r="AJ1722" s="3" t="n">
        <v>12386.348306</v>
      </c>
      <c r="AK1722" s="3" t="n">
        <v>12842.936627</v>
      </c>
      <c r="AL1722" s="3" t="n">
        <v>13315.706421</v>
      </c>
      <c r="AM1722" s="3" t="n"/>
      <c r="AN1722" s="3" t="n"/>
      <c r="AO1722" s="3" t="n"/>
      <c r="AP1722" s="3" t="n"/>
      <c r="AQ1722" s="3" t="n"/>
      <c r="AR1722" s="3" t="n"/>
      <c r="AS1722" s="3" t="n"/>
      <c r="AT1722" s="3" t="n"/>
      <c r="AU1722" s="3" t="n"/>
    </row>
    <row r="1723">
      <c r="A1723" s="3" t="n">
        <v>2025</v>
      </c>
      <c r="B1723" s="3" t="inlineStr">
        <is>
          <t>LAO</t>
        </is>
      </c>
      <c r="C1723" s="3" t="inlineStr">
        <is>
          <t>IMF.STA:ER</t>
        </is>
      </c>
      <c r="D1723" s="3" t="inlineStr">
        <is>
          <t>LAO.XDC_USD.PA_RT.A</t>
        </is>
      </c>
      <c r="E1723" s="3" t="inlineStr">
        <is>
          <t>Lao People's Democratic Republic</t>
        </is>
      </c>
      <c r="F1723" s="3" t="inlineStr">
        <is>
          <t>Domestic currency per US Dollar</t>
        </is>
      </c>
      <c r="G1723" s="3" t="n">
        <v>7887.64333333333</v>
      </c>
      <c r="H1723" s="3" t="n">
        <v>8954.58333333333</v>
      </c>
      <c r="I1723" s="3" t="n">
        <v>10056.3333333333</v>
      </c>
      <c r="J1723" s="3" t="n">
        <v>10569.0375</v>
      </c>
      <c r="K1723" s="3" t="n">
        <v>10585.375</v>
      </c>
      <c r="L1723" s="3" t="n">
        <v>10655.1666666666</v>
      </c>
      <c r="M1723" s="3" t="n">
        <v>10153.6240754272</v>
      </c>
      <c r="N1723" s="3" t="n">
        <v>9602.72881820273</v>
      </c>
      <c r="O1723" s="3" t="n">
        <v>8740.18140302543</v>
      </c>
      <c r="P1723" s="3" t="n">
        <v>8511.35116305693</v>
      </c>
      <c r="Q1723" s="3" t="n">
        <v>8254.16302973342</v>
      </c>
      <c r="R1723" s="3" t="n">
        <v>8029.2625550619</v>
      </c>
      <c r="S1723" s="3" t="n">
        <v>8006.58203188053</v>
      </c>
      <c r="T1723" s="3" t="n">
        <v>7833.22998982964</v>
      </c>
      <c r="U1723" s="3" t="n">
        <v>8042.42157002354</v>
      </c>
      <c r="V1723" s="3" t="n">
        <v>8127.61059846586</v>
      </c>
      <c r="W1723" s="3" t="n">
        <v>8124.36675616228</v>
      </c>
      <c r="X1723" s="3" t="n">
        <v>8244.84318921018</v>
      </c>
      <c r="Y1723" s="3" t="n">
        <v>8401.334766139649</v>
      </c>
      <c r="Z1723" s="3" t="n">
        <v>8679.4090930967</v>
      </c>
      <c r="AA1723" s="3" t="n">
        <v>9045.78783382479</v>
      </c>
      <c r="AB1723" s="3" t="n">
        <v>9697.91578947368</v>
      </c>
      <c r="AC1723" s="3" t="n">
        <v>14035.2266926511</v>
      </c>
      <c r="AD1723" s="3" t="n">
        <v>17688.8735909053</v>
      </c>
      <c r="AE1723" s="3" t="n">
        <v>20167.3313803145</v>
      </c>
      <c r="AF1723" s="3" t="n">
        <v>20167.3313803145</v>
      </c>
      <c r="AG1723" s="3" t="n"/>
      <c r="AH1723" s="3" t="n"/>
      <c r="AI1723" s="3" t="n"/>
      <c r="AJ1723" s="3" t="n"/>
      <c r="AK1723" s="3" t="n"/>
      <c r="AL1723" s="3" t="n"/>
      <c r="AM1723" s="3" t="n"/>
      <c r="AN1723" s="3" t="n"/>
      <c r="AO1723" s="3" t="n"/>
      <c r="AP1723" s="3" t="n"/>
      <c r="AQ1723" s="3" t="n"/>
      <c r="AR1723" s="3" t="n"/>
      <c r="AS1723" s="3" t="n"/>
      <c r="AT1723" s="3" t="n"/>
      <c r="AU1723" s="3" t="n"/>
    </row>
    <row r="1724">
      <c r="A1724" s="3" t="n">
        <v>2025</v>
      </c>
      <c r="B1724" s="3" t="inlineStr">
        <is>
          <t>LBN</t>
        </is>
      </c>
      <c r="C1724" s="3" t="inlineStr">
        <is>
          <t>IMF.RES:WEO</t>
        </is>
      </c>
      <c r="D1724" s="3" t="inlineStr">
        <is>
          <t>LBN.BCA.A</t>
        </is>
      </c>
      <c r="E1724" s="3" t="inlineStr">
        <is>
          <t>Lebanon</t>
        </is>
      </c>
      <c r="F1724" s="3" t="inlineStr">
        <is>
          <t>Current account balance (credit less debit), US dollar</t>
        </is>
      </c>
      <c r="G1724" s="3" t="n">
        <v>-2.995613</v>
      </c>
      <c r="H1724" s="3" t="n">
        <v>-3.418095</v>
      </c>
      <c r="I1724" s="3" t="n">
        <v>-4.528041</v>
      </c>
      <c r="J1724" s="3" t="n">
        <v>-4.954726</v>
      </c>
      <c r="K1724" s="3" t="n">
        <v>-4.178555</v>
      </c>
      <c r="L1724" s="3" t="n">
        <v>-2.726103</v>
      </c>
      <c r="M1724" s="3" t="n">
        <v>-1.149098</v>
      </c>
      <c r="N1724" s="3" t="n">
        <v>-1.599862</v>
      </c>
      <c r="O1724" s="3" t="n">
        <v>-4.293102</v>
      </c>
      <c r="P1724" s="3" t="n">
        <v>-7.038722</v>
      </c>
      <c r="Q1724" s="3" t="n">
        <v>-6.975997</v>
      </c>
      <c r="R1724" s="3" t="n">
        <v>-5.523546</v>
      </c>
      <c r="S1724" s="3" t="n">
        <v>-10.316752</v>
      </c>
      <c r="T1724" s="3" t="n">
        <v>-11.959786</v>
      </c>
      <c r="U1724" s="3" t="n">
        <v>-12.61531</v>
      </c>
      <c r="V1724" s="3" t="n">
        <v>-8.541779999999999</v>
      </c>
      <c r="W1724" s="3" t="n">
        <v>-10.473958</v>
      </c>
      <c r="X1724" s="3" t="n">
        <v>-12.133902</v>
      </c>
      <c r="Y1724" s="3" t="n">
        <v>-13.366896</v>
      </c>
      <c r="Z1724" s="3" t="n">
        <v>-11.07784</v>
      </c>
      <c r="AA1724" s="3" t="n">
        <v>-2.778567</v>
      </c>
      <c r="AB1724" s="3" t="n">
        <v>-4.556487</v>
      </c>
      <c r="AC1724" s="3" t="n">
        <v>-7.426278</v>
      </c>
      <c r="AD1724" s="3" t="n">
        <v>-5.870552</v>
      </c>
      <c r="AE1724" s="3" t="n">
        <v>-5.564178</v>
      </c>
      <c r="AF1724" s="3" t="n">
        <v>-7.753207</v>
      </c>
      <c r="AG1724" s="3" t="n"/>
      <c r="AH1724" s="3" t="n"/>
      <c r="AI1724" s="3" t="n"/>
      <c r="AJ1724" s="3" t="n"/>
      <c r="AK1724" s="3" t="n"/>
      <c r="AL1724" s="3" t="n"/>
      <c r="AM1724" s="3" t="n"/>
      <c r="AN1724" s="3" t="n"/>
      <c r="AO1724" s="3" t="n"/>
      <c r="AP1724" s="3" t="n"/>
      <c r="AQ1724" s="3" t="n"/>
      <c r="AR1724" s="3" t="n"/>
      <c r="AS1724" s="3" t="n"/>
      <c r="AT1724" s="3" t="n"/>
      <c r="AU1724" s="3" t="n"/>
    </row>
    <row r="1725">
      <c r="A1725" s="3" t="n">
        <v>2025</v>
      </c>
      <c r="B1725" s="3" t="inlineStr">
        <is>
          <t>LBN</t>
        </is>
      </c>
      <c r="C1725" s="3" t="inlineStr">
        <is>
          <t>IMF.RES:WEO</t>
        </is>
      </c>
      <c r="D1725" s="3" t="inlineStr">
        <is>
          <t>LBN.BCA_NGDPD.A</t>
        </is>
      </c>
      <c r="E1725" s="3" t="inlineStr">
        <is>
          <t>Lebanon</t>
        </is>
      </c>
      <c r="F1725" s="3" t="inlineStr">
        <is>
          <t>Current account balance (credit less debit), Percent of GDP</t>
        </is>
      </c>
      <c r="G1725" s="3" t="n">
        <v>-17.602255</v>
      </c>
      <c r="H1725" s="3" t="n">
        <v>-19.688737</v>
      </c>
      <c r="I1725" s="3" t="n">
        <v>-24.037665</v>
      </c>
      <c r="J1725" s="3" t="n">
        <v>-25.427225</v>
      </c>
      <c r="K1725" s="3" t="n">
        <v>-19.74786</v>
      </c>
      <c r="L1725" s="3" t="n">
        <v>-12.68121</v>
      </c>
      <c r="M1725" s="3" t="n">
        <v>-5.217822</v>
      </c>
      <c r="N1725" s="3" t="n">
        <v>-6.44399</v>
      </c>
      <c r="O1725" s="3" t="n">
        <v>-14.743265</v>
      </c>
      <c r="P1725" s="3" t="n">
        <v>-19.883582</v>
      </c>
      <c r="Q1725" s="3" t="n">
        <v>-18.145969</v>
      </c>
      <c r="R1725" s="3" t="n">
        <v>-13.834102</v>
      </c>
      <c r="S1725" s="3" t="n">
        <v>-23.439389</v>
      </c>
      <c r="T1725" s="3" t="n">
        <v>-25.517843</v>
      </c>
      <c r="U1725" s="3" t="n">
        <v>-26.2449</v>
      </c>
      <c r="V1725" s="3" t="n">
        <v>-17.120356</v>
      </c>
      <c r="W1725" s="3" t="n">
        <v>-20.692062</v>
      </c>
      <c r="X1725" s="3" t="n">
        <v>-22.945993</v>
      </c>
      <c r="Y1725" s="3" t="n">
        <v>-24.176169</v>
      </c>
      <c r="Z1725" s="3" t="n">
        <v>-21.728499</v>
      </c>
      <c r="AA1725" s="3" t="n">
        <v>-11.760487</v>
      </c>
      <c r="AB1725" s="3" t="n">
        <v>-22.202684</v>
      </c>
      <c r="AC1725" s="3" t="n">
        <v>-28.924974</v>
      </c>
      <c r="AD1725" s="3" t="n">
        <v>-23.970299</v>
      </c>
      <c r="AE1725" s="3" t="n">
        <v>-18.965302</v>
      </c>
      <c r="AF1725" s="3" t="n">
        <v>-22.475328</v>
      </c>
      <c r="AG1725" s="3" t="n"/>
      <c r="AH1725" s="3" t="n"/>
      <c r="AI1725" s="3" t="n"/>
      <c r="AJ1725" s="3" t="n"/>
      <c r="AK1725" s="3" t="n"/>
      <c r="AL1725" s="3" t="n"/>
      <c r="AM1725" s="3" t="n"/>
      <c r="AN1725" s="3" t="n"/>
      <c r="AO1725" s="3" t="n"/>
      <c r="AP1725" s="3" t="n"/>
      <c r="AQ1725" s="3" t="n"/>
      <c r="AR1725" s="3" t="n"/>
      <c r="AS1725" s="3" t="n"/>
      <c r="AT1725" s="3" t="n"/>
      <c r="AU1725" s="3" t="n"/>
    </row>
    <row r="1726">
      <c r="A1726" s="3" t="n">
        <v>2025</v>
      </c>
      <c r="B1726" s="3" t="inlineStr">
        <is>
          <t>LBN</t>
        </is>
      </c>
      <c r="C1726" s="3" t="inlineStr">
        <is>
          <t>IMF.RES:WEO</t>
        </is>
      </c>
      <c r="D1726" s="3" t="inlineStr">
        <is>
          <t>LBN.GGR_NGDP.A</t>
        </is>
      </c>
      <c r="E1726" s="3" t="inlineStr">
        <is>
          <t>Lebanon</t>
        </is>
      </c>
      <c r="F1726" s="3" t="inlineStr">
        <is>
          <t>Revenue, General government, Percent of GDP</t>
        </is>
      </c>
      <c r="G1726" s="3" t="n">
        <v>18.899935</v>
      </c>
      <c r="H1726" s="3" t="n">
        <v>17.900719</v>
      </c>
      <c r="I1726" s="3" t="n">
        <v>20.59307</v>
      </c>
      <c r="J1726" s="3" t="n">
        <v>22.456843</v>
      </c>
      <c r="K1726" s="3" t="n">
        <v>23.466239</v>
      </c>
      <c r="L1726" s="3" t="n">
        <v>22.850002</v>
      </c>
      <c r="M1726" s="3" t="n">
        <v>25.560612</v>
      </c>
      <c r="N1726" s="3" t="n">
        <v>24.265353</v>
      </c>
      <c r="O1726" s="3" t="n">
        <v>24.468643</v>
      </c>
      <c r="P1726" s="3" t="n">
        <v>23.988609</v>
      </c>
      <c r="Q1726" s="3" t="n">
        <v>21.68513</v>
      </c>
      <c r="R1726" s="3" t="n">
        <v>22.875685</v>
      </c>
      <c r="S1726" s="3" t="n">
        <v>21.795672</v>
      </c>
      <c r="T1726" s="3" t="n">
        <v>20.09662</v>
      </c>
      <c r="U1726" s="3" t="n">
        <v>22.629609</v>
      </c>
      <c r="V1726" s="3" t="n">
        <v>19.189187</v>
      </c>
      <c r="W1726" s="3" t="n">
        <v>19.602396</v>
      </c>
      <c r="X1726" s="3" t="n">
        <v>21.978524</v>
      </c>
      <c r="Y1726" s="3" t="n">
        <v>20.877996</v>
      </c>
      <c r="Z1726" s="3" t="n">
        <v>20.749412</v>
      </c>
      <c r="AA1726" s="3" t="n">
        <v>16.732365</v>
      </c>
      <c r="AB1726" s="3" t="n">
        <v>7.956546</v>
      </c>
      <c r="AC1726" s="3" t="n">
        <v>5.425789</v>
      </c>
      <c r="AD1726" s="3" t="n">
        <v>12.704927</v>
      </c>
      <c r="AE1726" s="3" t="n">
        <v>15.707177</v>
      </c>
      <c r="AF1726" s="3" t="n">
        <v>18.748563</v>
      </c>
      <c r="AG1726" s="3" t="n"/>
      <c r="AH1726" s="3" t="n"/>
      <c r="AI1726" s="3" t="n"/>
      <c r="AJ1726" s="3" t="n"/>
      <c r="AK1726" s="3" t="n"/>
      <c r="AL1726" s="3" t="n"/>
      <c r="AM1726" s="3" t="n"/>
      <c r="AN1726" s="3" t="n"/>
      <c r="AO1726" s="3" t="n"/>
      <c r="AP1726" s="3" t="n"/>
      <c r="AQ1726" s="3" t="n"/>
      <c r="AR1726" s="3" t="n"/>
      <c r="AS1726" s="3" t="n"/>
      <c r="AT1726" s="3" t="n"/>
      <c r="AU1726" s="3" t="n"/>
    </row>
    <row r="1727">
      <c r="A1727" s="3" t="n">
        <v>2025</v>
      </c>
      <c r="B1727" s="3" t="inlineStr">
        <is>
          <t>LBN</t>
        </is>
      </c>
      <c r="C1727" s="3" t="inlineStr">
        <is>
          <t>IMF.RES:WEO</t>
        </is>
      </c>
      <c r="D1727" s="3" t="inlineStr">
        <is>
          <t>LBN.GGX_NGDP.A</t>
        </is>
      </c>
      <c r="E1727" s="3" t="inlineStr">
        <is>
          <t>Lebanon</t>
        </is>
      </c>
      <c r="F1727" s="3" t="inlineStr">
        <is>
          <t>Expenditure, General government, Percent of GDP</t>
        </is>
      </c>
      <c r="G1727" s="3" t="n">
        <v>42.844727</v>
      </c>
      <c r="H1727" s="3" t="n">
        <v>38.925965</v>
      </c>
      <c r="I1727" s="3" t="n">
        <v>36.78112</v>
      </c>
      <c r="J1727" s="3" t="n">
        <v>36.423987</v>
      </c>
      <c r="K1727" s="3" t="n">
        <v>33.298561</v>
      </c>
      <c r="L1727" s="3" t="n">
        <v>31.422801</v>
      </c>
      <c r="M1727" s="3" t="n">
        <v>36.133045</v>
      </c>
      <c r="N1727" s="3" t="n">
        <v>35.193715</v>
      </c>
      <c r="O1727" s="3" t="n">
        <v>34.324752</v>
      </c>
      <c r="P1727" s="3" t="n">
        <v>32.086272</v>
      </c>
      <c r="Q1727" s="3" t="n">
        <v>29.151254</v>
      </c>
      <c r="R1727" s="3" t="n">
        <v>28.820638</v>
      </c>
      <c r="S1727" s="3" t="n">
        <v>30.230523</v>
      </c>
      <c r="T1727" s="3" t="n">
        <v>28.921962</v>
      </c>
      <c r="U1727" s="3" t="n">
        <v>28.850052</v>
      </c>
      <c r="V1727" s="3" t="n">
        <v>26.678583</v>
      </c>
      <c r="W1727" s="3" t="n">
        <v>28.579292</v>
      </c>
      <c r="X1727" s="3" t="n">
        <v>30.656723</v>
      </c>
      <c r="Y1727" s="3" t="n">
        <v>32.098287</v>
      </c>
      <c r="Z1727" s="3" t="n">
        <v>31.253588</v>
      </c>
      <c r="AA1727" s="3" t="n">
        <v>24.521692</v>
      </c>
      <c r="AB1727" s="3" t="n">
        <v>10.525914</v>
      </c>
      <c r="AC1727" s="3" t="n">
        <v>12.912042</v>
      </c>
      <c r="AD1727" s="3" t="n">
        <v>14.346418</v>
      </c>
      <c r="AE1727" s="3" t="n">
        <v>15.313654</v>
      </c>
      <c r="AF1727" s="3" t="n">
        <v>15.494538</v>
      </c>
      <c r="AG1727" s="3" t="n"/>
      <c r="AH1727" s="3" t="n"/>
      <c r="AI1727" s="3" t="n"/>
      <c r="AJ1727" s="3" t="n"/>
      <c r="AK1727" s="3" t="n"/>
      <c r="AL1727" s="3" t="n"/>
      <c r="AM1727" s="3" t="n"/>
      <c r="AN1727" s="3" t="n"/>
      <c r="AO1727" s="3" t="n"/>
      <c r="AP1727" s="3" t="n"/>
      <c r="AQ1727" s="3" t="n"/>
      <c r="AR1727" s="3" t="n"/>
      <c r="AS1727" s="3" t="n"/>
      <c r="AT1727" s="3" t="n"/>
      <c r="AU1727" s="3" t="n"/>
    </row>
    <row r="1728">
      <c r="A1728" s="3" t="n">
        <v>2025</v>
      </c>
      <c r="B1728" s="3" t="inlineStr">
        <is>
          <t>LBN</t>
        </is>
      </c>
      <c r="C1728" s="3" t="inlineStr">
        <is>
          <t>IMF.RES:WEO</t>
        </is>
      </c>
      <c r="D1728" s="3" t="inlineStr">
        <is>
          <t>LBN.LP.A</t>
        </is>
      </c>
      <c r="E1728" s="3" t="inlineStr">
        <is>
          <t>Lebanon</t>
        </is>
      </c>
      <c r="F1728" s="3" t="inlineStr">
        <is>
          <t>Population, Persons for countries / Index for country groups</t>
        </is>
      </c>
      <c r="G1728" s="3" t="n">
        <v>4.320642</v>
      </c>
      <c r="H1728" s="3" t="n">
        <v>4.3892</v>
      </c>
      <c r="I1728" s="3" t="n">
        <v>4.446666</v>
      </c>
      <c r="J1728" s="3" t="n">
        <v>4.504808</v>
      </c>
      <c r="K1728" s="3" t="n">
        <v>4.574798</v>
      </c>
      <c r="L1728" s="3" t="n">
        <v>4.643045</v>
      </c>
      <c r="M1728" s="3" t="n">
        <v>4.719865</v>
      </c>
      <c r="N1728" s="3" t="n">
        <v>4.809608</v>
      </c>
      <c r="O1728" s="3" t="n">
        <v>4.887613</v>
      </c>
      <c r="P1728" s="3" t="n">
        <v>4.951135</v>
      </c>
      <c r="Q1728" s="3" t="n">
        <v>4.9958</v>
      </c>
      <c r="R1728" s="3" t="n">
        <v>5.045057</v>
      </c>
      <c r="S1728" s="3" t="n">
        <v>5.178338</v>
      </c>
      <c r="T1728" s="3" t="n">
        <v>5.678852</v>
      </c>
      <c r="U1728" s="3" t="n">
        <v>6.274343</v>
      </c>
      <c r="V1728" s="3" t="n">
        <v>6.39894</v>
      </c>
      <c r="W1728" s="3" t="n">
        <v>6.25862</v>
      </c>
      <c r="X1728" s="3" t="n">
        <v>6.109252</v>
      </c>
      <c r="Y1728" s="3" t="n">
        <v>5.950839</v>
      </c>
      <c r="Z1728" s="3" t="n">
        <v>5.781907</v>
      </c>
      <c r="AA1728" s="3" t="n">
        <v>5.662924</v>
      </c>
      <c r="AB1728" s="3" t="n">
        <v>5.592631</v>
      </c>
      <c r="AC1728" s="3" t="n">
        <v>5.48974</v>
      </c>
      <c r="AD1728" s="3" t="n">
        <v>5.35393</v>
      </c>
      <c r="AE1728" s="3" t="n">
        <v>5.35393</v>
      </c>
      <c r="AF1728" s="3" t="n">
        <v>5.35393</v>
      </c>
      <c r="AG1728" s="3" t="n"/>
      <c r="AH1728" s="3" t="n"/>
      <c r="AI1728" s="3" t="n"/>
      <c r="AJ1728" s="3" t="n"/>
      <c r="AK1728" s="3" t="n"/>
      <c r="AL1728" s="3" t="n"/>
      <c r="AM1728" s="3" t="n"/>
      <c r="AN1728" s="3" t="n"/>
      <c r="AO1728" s="3" t="n"/>
      <c r="AP1728" s="3" t="n"/>
      <c r="AQ1728" s="3" t="n"/>
      <c r="AR1728" s="3" t="n"/>
      <c r="AS1728" s="3" t="n"/>
      <c r="AT1728" s="3" t="n"/>
      <c r="AU1728" s="3" t="n"/>
    </row>
    <row r="1729">
      <c r="A1729" s="3" t="n">
        <v>2025</v>
      </c>
      <c r="B1729" s="3" t="inlineStr">
        <is>
          <t>LBN</t>
        </is>
      </c>
      <c r="C1729" s="3" t="inlineStr">
        <is>
          <t>IMF.RES:WEO</t>
        </is>
      </c>
      <c r="D1729" s="3" t="inlineStr">
        <is>
          <t>LBN.NGDP.A</t>
        </is>
      </c>
      <c r="E1729" s="3" t="inlineStr">
        <is>
          <t>Lebanon</t>
        </is>
      </c>
      <c r="F1729" s="3" t="inlineStr">
        <is>
          <t>Gross domestic product (GDP), Current prices, Domestic currency</t>
        </is>
      </c>
      <c r="G1729" s="3" t="n">
        <v>25655.156459</v>
      </c>
      <c r="H1729" s="3" t="n">
        <v>26171.199951</v>
      </c>
      <c r="I1729" s="3" t="n">
        <v>28397.192527</v>
      </c>
      <c r="J1729" s="3" t="n">
        <v>29375.011074</v>
      </c>
      <c r="K1729" s="3" t="n">
        <v>31898</v>
      </c>
      <c r="L1729" s="3" t="n">
        <v>32407</v>
      </c>
      <c r="M1729" s="3" t="n">
        <v>33199</v>
      </c>
      <c r="N1729" s="3" t="n">
        <v>37427</v>
      </c>
      <c r="O1729" s="3" t="n">
        <v>43897</v>
      </c>
      <c r="P1729" s="3" t="n">
        <v>53365</v>
      </c>
      <c r="Q1729" s="3" t="n">
        <v>57954</v>
      </c>
      <c r="R1729" s="3" t="n">
        <v>60190</v>
      </c>
      <c r="S1729" s="3" t="n">
        <v>66352</v>
      </c>
      <c r="T1729" s="3" t="n">
        <v>70654</v>
      </c>
      <c r="U1729" s="3" t="n">
        <v>72462</v>
      </c>
      <c r="V1729" s="3" t="n">
        <v>75213</v>
      </c>
      <c r="W1729" s="3" t="n">
        <v>76307</v>
      </c>
      <c r="X1729" s="3" t="n">
        <v>79717</v>
      </c>
      <c r="Y1729" s="3" t="n">
        <v>83349</v>
      </c>
      <c r="Z1729" s="3" t="n">
        <v>80359</v>
      </c>
      <c r="AA1729" s="3" t="n">
        <v>91670</v>
      </c>
      <c r="AB1729" s="3" t="n">
        <v>254763</v>
      </c>
      <c r="AC1729" s="3" t="n">
        <v>685949.172657</v>
      </c>
      <c r="AD1729" s="3" t="n">
        <v>2133156.502499</v>
      </c>
      <c r="AE1729" s="3" t="n">
        <v>2627282.687508</v>
      </c>
      <c r="AF1729" s="3" t="n">
        <v>3087582.614359</v>
      </c>
      <c r="AG1729" s="3" t="n"/>
      <c r="AH1729" s="3" t="n"/>
      <c r="AI1729" s="3" t="n"/>
      <c r="AJ1729" s="3" t="n"/>
      <c r="AK1729" s="3" t="n"/>
      <c r="AL1729" s="3" t="n"/>
      <c r="AM1729" s="3" t="n"/>
      <c r="AN1729" s="3" t="n"/>
      <c r="AO1729" s="3" t="n"/>
      <c r="AP1729" s="3" t="n"/>
      <c r="AQ1729" s="3" t="n"/>
      <c r="AR1729" s="3" t="n"/>
      <c r="AS1729" s="3" t="n"/>
      <c r="AT1729" s="3" t="n"/>
      <c r="AU1729" s="3" t="n"/>
    </row>
    <row r="1730">
      <c r="A1730" s="3" t="n">
        <v>2025</v>
      </c>
      <c r="B1730" s="3" t="inlineStr">
        <is>
          <t>LBN</t>
        </is>
      </c>
      <c r="C1730" s="3" t="inlineStr">
        <is>
          <t>IMF.RES:WEO</t>
        </is>
      </c>
      <c r="D1730" s="3" t="inlineStr">
        <is>
          <t>LBN.NGDP_D.A</t>
        </is>
      </c>
      <c r="E1730" s="3" t="inlineStr">
        <is>
          <t>Lebanon</t>
        </is>
      </c>
      <c r="F1730" s="3" t="inlineStr">
        <is>
          <t>Gross domestic product (GDP), Price deflator, Index</t>
        </is>
      </c>
      <c r="G1730" s="3" t="n">
        <v>57.551563</v>
      </c>
      <c r="H1730" s="3" t="n">
        <v>56.505477</v>
      </c>
      <c r="I1730" s="3" t="n">
        <v>59.295505</v>
      </c>
      <c r="J1730" s="3" t="n">
        <v>60.311962</v>
      </c>
      <c r="K1730" s="3" t="n">
        <v>60.922877</v>
      </c>
      <c r="L1730" s="3" t="n">
        <v>60.405599</v>
      </c>
      <c r="M1730" s="3" t="n">
        <v>60.937959</v>
      </c>
      <c r="N1730" s="3" t="n">
        <v>62.847595</v>
      </c>
      <c r="O1730" s="3" t="n">
        <v>67.582714</v>
      </c>
      <c r="P1730" s="3" t="n">
        <v>74.533164</v>
      </c>
      <c r="Q1730" s="3" t="n">
        <v>74.96313499999999</v>
      </c>
      <c r="R1730" s="3" t="n">
        <v>77.186458</v>
      </c>
      <c r="S1730" s="3" t="n">
        <v>82.786152</v>
      </c>
      <c r="T1730" s="3" t="n">
        <v>84.93475100000001</v>
      </c>
      <c r="U1730" s="3" t="n">
        <v>85.02565199999999</v>
      </c>
      <c r="V1730" s="3" t="n">
        <v>87.821814</v>
      </c>
      <c r="W1730" s="3" t="n">
        <v>87.67206400000001</v>
      </c>
      <c r="X1730" s="3" t="n">
        <v>90.869781</v>
      </c>
      <c r="Y1730" s="3" t="n">
        <v>96.83611399999999</v>
      </c>
      <c r="Z1730" s="3" t="n">
        <v>99.999459</v>
      </c>
      <c r="AA1730" s="3" t="n">
        <v>155.888733</v>
      </c>
      <c r="AB1730" s="3" t="n">
        <v>424.392483</v>
      </c>
      <c r="AC1730" s="3" t="n">
        <v>1131.362791</v>
      </c>
      <c r="AD1730" s="3" t="n">
        <v>3543.100126</v>
      </c>
      <c r="AE1730" s="3" t="n">
        <v>4717.650649</v>
      </c>
      <c r="AF1730" s="3" t="n">
        <v>5330.945233</v>
      </c>
      <c r="AG1730" s="3" t="n"/>
      <c r="AH1730" s="3" t="n"/>
      <c r="AI1730" s="3" t="n"/>
      <c r="AJ1730" s="3" t="n"/>
      <c r="AK1730" s="3" t="n"/>
      <c r="AL1730" s="3" t="n"/>
      <c r="AM1730" s="3" t="n"/>
      <c r="AN1730" s="3" t="n"/>
      <c r="AO1730" s="3" t="n"/>
      <c r="AP1730" s="3" t="n"/>
      <c r="AQ1730" s="3" t="n"/>
      <c r="AR1730" s="3" t="n"/>
      <c r="AS1730" s="3" t="n"/>
      <c r="AT1730" s="3" t="n"/>
      <c r="AU1730" s="3" t="n"/>
    </row>
    <row r="1731">
      <c r="A1731" s="3" t="n">
        <v>2025</v>
      </c>
      <c r="B1731" s="3" t="inlineStr">
        <is>
          <t>LBN</t>
        </is>
      </c>
      <c r="C1731" s="3" t="inlineStr">
        <is>
          <t>IMF.RES:WEO</t>
        </is>
      </c>
      <c r="D1731" s="3" t="inlineStr">
        <is>
          <t>LBN.NGDP_R.A</t>
        </is>
      </c>
      <c r="E1731" s="3" t="inlineStr">
        <is>
          <t>Lebanon</t>
        </is>
      </c>
      <c r="F1731" s="3" t="inlineStr">
        <is>
          <t>Gross domestic product (GDP), Constant prices, Domestic currency</t>
        </is>
      </c>
      <c r="G1731" s="3" t="n">
        <v>44577.688516</v>
      </c>
      <c r="H1731" s="3" t="n">
        <v>46316.218368</v>
      </c>
      <c r="I1731" s="3" t="n">
        <v>47890.969793</v>
      </c>
      <c r="J1731" s="3" t="n">
        <v>48705.116279</v>
      </c>
      <c r="K1731" s="3" t="n">
        <v>52358</v>
      </c>
      <c r="L1731" s="3" t="n">
        <v>53649</v>
      </c>
      <c r="M1731" s="3" t="n">
        <v>54480</v>
      </c>
      <c r="N1731" s="3" t="n">
        <v>59552</v>
      </c>
      <c r="O1731" s="3" t="n">
        <v>64953</v>
      </c>
      <c r="P1731" s="3" t="n">
        <v>71599</v>
      </c>
      <c r="Q1731" s="3" t="n">
        <v>77310</v>
      </c>
      <c r="R1731" s="3" t="n">
        <v>77980</v>
      </c>
      <c r="S1731" s="3" t="n">
        <v>80148.670535</v>
      </c>
      <c r="T1731" s="3" t="n">
        <v>83186.209529</v>
      </c>
      <c r="U1731" s="3" t="n">
        <v>85223.692412</v>
      </c>
      <c r="V1731" s="3" t="n">
        <v>85642.730677</v>
      </c>
      <c r="W1731" s="3" t="n">
        <v>87036.84672</v>
      </c>
      <c r="X1731" s="3" t="n">
        <v>87726.63404999999</v>
      </c>
      <c r="Y1731" s="3" t="n">
        <v>86072.22745999999</v>
      </c>
      <c r="Z1731" s="3" t="n">
        <v>80359.434836</v>
      </c>
      <c r="AA1731" s="3" t="n">
        <v>58804.763144</v>
      </c>
      <c r="AB1731" s="3" t="n">
        <v>60030.04538</v>
      </c>
      <c r="AC1731" s="3" t="n">
        <v>60630.345834</v>
      </c>
      <c r="AD1731" s="3" t="n">
        <v>60205.933413</v>
      </c>
      <c r="AE1731" s="3" t="n">
        <v>55690.488407</v>
      </c>
      <c r="AF1731" s="3" t="n">
        <v>57918.107943</v>
      </c>
      <c r="AG1731" s="3" t="n"/>
      <c r="AH1731" s="3" t="n"/>
      <c r="AI1731" s="3" t="n"/>
      <c r="AJ1731" s="3" t="n"/>
      <c r="AK1731" s="3" t="n"/>
      <c r="AL1731" s="3" t="n"/>
      <c r="AM1731" s="3" t="n"/>
      <c r="AN1731" s="3" t="n"/>
      <c r="AO1731" s="3" t="n"/>
      <c r="AP1731" s="3" t="n"/>
      <c r="AQ1731" s="3" t="n"/>
      <c r="AR1731" s="3" t="n"/>
      <c r="AS1731" s="3" t="n"/>
      <c r="AT1731" s="3" t="n"/>
      <c r="AU1731" s="3" t="n"/>
    </row>
    <row r="1732">
      <c r="A1732" s="3" t="n">
        <v>2025</v>
      </c>
      <c r="B1732" s="3" t="inlineStr">
        <is>
          <t>LBN</t>
        </is>
      </c>
      <c r="C1732" s="3" t="inlineStr">
        <is>
          <t>IMF.RES:WEO</t>
        </is>
      </c>
      <c r="D1732" s="3" t="inlineStr">
        <is>
          <t>LBN.NGDP_RPCH.A</t>
        </is>
      </c>
      <c r="E1732" s="3" t="inlineStr">
        <is>
          <t>Lebanon</t>
        </is>
      </c>
      <c r="F1732" s="3" t="inlineStr">
        <is>
          <t>Gross domestic product (GDP), Constant prices, Percent change</t>
        </is>
      </c>
      <c r="G1732" s="3" t="n">
        <v>1.1</v>
      </c>
      <c r="H1732" s="3" t="n">
        <v>3.9</v>
      </c>
      <c r="I1732" s="3" t="n">
        <v>3.4</v>
      </c>
      <c r="J1732" s="3" t="n">
        <v>1.7</v>
      </c>
      <c r="K1732" s="3" t="n">
        <v>7.5</v>
      </c>
      <c r="L1732" s="3" t="n">
        <v>2.465717</v>
      </c>
      <c r="M1732" s="3" t="n">
        <v>1.548957</v>
      </c>
      <c r="N1732" s="3" t="n">
        <v>9.309837999999999</v>
      </c>
      <c r="O1732" s="3" t="n">
        <v>9.069385</v>
      </c>
      <c r="P1732" s="3" t="n">
        <v>10.232014</v>
      </c>
      <c r="Q1732" s="3" t="n">
        <v>7.976368</v>
      </c>
      <c r="R1732" s="3" t="n">
        <v>0.866641</v>
      </c>
      <c r="S1732" s="3" t="n">
        <v>2.78106</v>
      </c>
      <c r="T1732" s="3" t="n">
        <v>3.789881</v>
      </c>
      <c r="U1732" s="3" t="n">
        <v>2.449304</v>
      </c>
      <c r="V1732" s="3" t="n">
        <v>0.491692</v>
      </c>
      <c r="W1732" s="3" t="n">
        <v>1.627828</v>
      </c>
      <c r="X1732" s="3" t="n">
        <v>0.792523</v>
      </c>
      <c r="Y1732" s="3" t="n">
        <v>-1.885866</v>
      </c>
      <c r="Z1732" s="3" t="n">
        <v>-6.637208</v>
      </c>
      <c r="AA1732" s="3" t="n">
        <v>-26.822826</v>
      </c>
      <c r="AB1732" s="3" t="n">
        <v>2.083645</v>
      </c>
      <c r="AC1732" s="3" t="n">
        <v>1</v>
      </c>
      <c r="AD1732" s="3" t="n">
        <v>-0.7</v>
      </c>
      <c r="AE1732" s="3" t="n">
        <v>-7.5</v>
      </c>
      <c r="AF1732" s="3" t="n">
        <v>4</v>
      </c>
      <c r="AG1732" s="3" t="n"/>
      <c r="AH1732" s="3" t="n"/>
      <c r="AI1732" s="3" t="n"/>
      <c r="AJ1732" s="3" t="n"/>
      <c r="AK1732" s="3" t="n"/>
      <c r="AL1732" s="3" t="n"/>
      <c r="AM1732" s="3" t="n"/>
      <c r="AN1732" s="3" t="n"/>
      <c r="AO1732" s="3" t="n"/>
      <c r="AP1732" s="3" t="n"/>
      <c r="AQ1732" s="3" t="n"/>
      <c r="AR1732" s="3" t="n"/>
      <c r="AS1732" s="3" t="n"/>
      <c r="AT1732" s="3" t="n"/>
      <c r="AU1732" s="3" t="n"/>
    </row>
    <row r="1733">
      <c r="A1733" s="3" t="n">
        <v>2025</v>
      </c>
      <c r="B1733" s="3" t="inlineStr">
        <is>
          <t>LBN</t>
        </is>
      </c>
      <c r="C1733" s="3" t="inlineStr">
        <is>
          <t>IMF.RES:WEO</t>
        </is>
      </c>
      <c r="D1733" s="3" t="inlineStr">
        <is>
          <t>LBN.NGDPD.A</t>
        </is>
      </c>
      <c r="E1733" s="3" t="inlineStr">
        <is>
          <t>Lebanon</t>
        </is>
      </c>
      <c r="F1733" s="3" t="inlineStr">
        <is>
          <t>Gross domestic product (GDP), Current prices, US dollar</t>
        </is>
      </c>
      <c r="G1733" s="3" t="n">
        <v>17.018346</v>
      </c>
      <c r="H1733" s="3" t="n">
        <v>17.360663</v>
      </c>
      <c r="I1733" s="3" t="n">
        <v>18.837275</v>
      </c>
      <c r="J1733" s="3" t="n">
        <v>19.485911</v>
      </c>
      <c r="K1733" s="3" t="n">
        <v>21.159536</v>
      </c>
      <c r="L1733" s="3" t="n">
        <v>21.497181</v>
      </c>
      <c r="M1733" s="3" t="n">
        <v>22.022554</v>
      </c>
      <c r="N1733" s="3" t="n">
        <v>24.827197</v>
      </c>
      <c r="O1733" s="3" t="n">
        <v>29.119071</v>
      </c>
      <c r="P1733" s="3" t="n">
        <v>35.399668</v>
      </c>
      <c r="Q1733" s="3" t="n">
        <v>38.443781</v>
      </c>
      <c r="R1733" s="3" t="n">
        <v>39.927032</v>
      </c>
      <c r="S1733" s="3" t="n">
        <v>44.014594</v>
      </c>
      <c r="T1733" s="3" t="n">
        <v>46.868325</v>
      </c>
      <c r="U1733" s="3" t="n">
        <v>48.067662</v>
      </c>
      <c r="V1733" s="3" t="n">
        <v>49.892537</v>
      </c>
      <c r="W1733" s="3" t="n">
        <v>50.618242</v>
      </c>
      <c r="X1733" s="3" t="n">
        <v>52.880265</v>
      </c>
      <c r="Y1733" s="3" t="n">
        <v>55.289552</v>
      </c>
      <c r="Z1733" s="3" t="n">
        <v>50.982998</v>
      </c>
      <c r="AA1733" s="3" t="n">
        <v>23.626289</v>
      </c>
      <c r="AB1733" s="3" t="n">
        <v>20.522233</v>
      </c>
      <c r="AC1733" s="3" t="n">
        <v>25.674277</v>
      </c>
      <c r="AD1733" s="3" t="n">
        <v>24.490942</v>
      </c>
      <c r="AE1733" s="3" t="n">
        <v>29.338723</v>
      </c>
      <c r="AF1733" s="3" t="n">
        <v>34.496524</v>
      </c>
      <c r="AG1733" s="3" t="n"/>
      <c r="AH1733" s="3" t="n"/>
      <c r="AI1733" s="3" t="n"/>
      <c r="AJ1733" s="3" t="n"/>
      <c r="AK1733" s="3" t="n"/>
      <c r="AL1733" s="3" t="n"/>
      <c r="AM1733" s="3" t="n"/>
      <c r="AN1733" s="3" t="n"/>
      <c r="AO1733" s="3" t="n"/>
      <c r="AP1733" s="3" t="n"/>
      <c r="AQ1733" s="3" t="n"/>
      <c r="AR1733" s="3" t="n"/>
      <c r="AS1733" s="3" t="n"/>
      <c r="AT1733" s="3" t="n"/>
      <c r="AU1733" s="3" t="n"/>
    </row>
    <row r="1734">
      <c r="A1734" s="3" t="n">
        <v>2025</v>
      </c>
      <c r="B1734" s="3" t="inlineStr">
        <is>
          <t>LBN</t>
        </is>
      </c>
      <c r="C1734" s="3" t="inlineStr">
        <is>
          <t>IMF.RES:WEO</t>
        </is>
      </c>
      <c r="D1734" s="3" t="inlineStr">
        <is>
          <t>LBN.NGDPPC.A</t>
        </is>
      </c>
      <c r="E1734" s="3" t="inlineStr">
        <is>
          <t>Lebanon</t>
        </is>
      </c>
      <c r="F1734" s="3" t="inlineStr">
        <is>
          <t>Gross domestic product (GDP), Current prices, Per capita, Domestic currency</t>
        </is>
      </c>
      <c r="G1734" s="3" t="n">
        <v>5937811.200002</v>
      </c>
      <c r="H1734" s="3" t="n">
        <v>5962635.548735</v>
      </c>
      <c r="I1734" s="3" t="n">
        <v>6386176.188318</v>
      </c>
      <c r="J1734" s="3" t="n">
        <v>6520813.112122</v>
      </c>
      <c r="K1734" s="3" t="n">
        <v>6972548.296121</v>
      </c>
      <c r="L1734" s="3" t="n">
        <v>6979686.821902</v>
      </c>
      <c r="M1734" s="3" t="n">
        <v>7033887.621786</v>
      </c>
      <c r="N1734" s="3" t="n">
        <v>7781715.266608</v>
      </c>
      <c r="O1734" s="3" t="n">
        <v>8981275.727027001</v>
      </c>
      <c r="P1734" s="3" t="n">
        <v>10778336.684417</v>
      </c>
      <c r="Q1734" s="3" t="n">
        <v>11600544.457344</v>
      </c>
      <c r="R1734" s="3" t="n">
        <v>11930489.586143</v>
      </c>
      <c r="S1734" s="3" t="n">
        <v>12813377.57404</v>
      </c>
      <c r="T1734" s="3" t="n">
        <v>12441599.111933</v>
      </c>
      <c r="U1734" s="3" t="n">
        <v>11548938.271306</v>
      </c>
      <c r="V1734" s="3" t="n">
        <v>11753978.002607</v>
      </c>
      <c r="W1734" s="3" t="n">
        <v>12192304.373808</v>
      </c>
      <c r="X1734" s="3" t="n">
        <v>13048569.612123</v>
      </c>
      <c r="Y1734" s="3" t="n">
        <v>14006260.293717</v>
      </c>
      <c r="Z1734" s="3" t="n">
        <v>13898355.68092</v>
      </c>
      <c r="AA1734" s="3" t="n">
        <v>16187750.35653</v>
      </c>
      <c r="AB1734" s="3" t="n">
        <v>45553336.166824</v>
      </c>
      <c r="AC1734" s="3" t="n">
        <v>124951122.03072</v>
      </c>
      <c r="AD1734" s="3" t="n">
        <v>398428164.450906</v>
      </c>
      <c r="AE1734" s="3" t="n">
        <v>490720403.051131</v>
      </c>
      <c r="AF1734" s="3" t="n">
        <v>576694617.665689</v>
      </c>
      <c r="AG1734" s="3" t="n"/>
      <c r="AH1734" s="3" t="n"/>
      <c r="AI1734" s="3" t="n"/>
      <c r="AJ1734" s="3" t="n"/>
      <c r="AK1734" s="3" t="n"/>
      <c r="AL1734" s="3" t="n"/>
      <c r="AM1734" s="3" t="n"/>
      <c r="AN1734" s="3" t="n"/>
      <c r="AO1734" s="3" t="n"/>
      <c r="AP1734" s="3" t="n"/>
      <c r="AQ1734" s="3" t="n"/>
      <c r="AR1734" s="3" t="n"/>
      <c r="AS1734" s="3" t="n"/>
      <c r="AT1734" s="3" t="n"/>
      <c r="AU1734" s="3" t="n"/>
    </row>
    <row r="1735">
      <c r="A1735" s="3" t="n">
        <v>2025</v>
      </c>
      <c r="B1735" s="3" t="inlineStr">
        <is>
          <t>LBN</t>
        </is>
      </c>
      <c r="C1735" s="3" t="inlineStr">
        <is>
          <t>IMF.RES:WEO</t>
        </is>
      </c>
      <c r="D1735" s="3" t="inlineStr">
        <is>
          <t>LBN.NGDPRPC.A</t>
        </is>
      </c>
      <c r="E1735" s="3" t="inlineStr">
        <is>
          <t>Lebanon</t>
        </is>
      </c>
      <c r="F1735" s="3" t="inlineStr">
        <is>
          <t>Gross domestic product (GDP), Constant prices, Per capita, Domestic currency</t>
        </is>
      </c>
      <c r="G1735" s="3" t="n">
        <v>10317376.101968</v>
      </c>
      <c r="H1735" s="3" t="n">
        <v>10552314.40082</v>
      </c>
      <c r="I1735" s="3" t="n">
        <v>10770084.776459</v>
      </c>
      <c r="J1735" s="3" t="n">
        <v>10811807.357621</v>
      </c>
      <c r="K1735" s="3" t="n">
        <v>11444876.910412</v>
      </c>
      <c r="L1735" s="3" t="n">
        <v>11554701.709762</v>
      </c>
      <c r="M1735" s="3" t="n">
        <v>11542703.022226</v>
      </c>
      <c r="N1735" s="3" t="n">
        <v>12381882.265665</v>
      </c>
      <c r="O1735" s="3" t="n">
        <v>13289309.116741</v>
      </c>
      <c r="P1735" s="3" t="n">
        <v>14461128.609905</v>
      </c>
      <c r="Q1735" s="3" t="n">
        <v>15474998.999159</v>
      </c>
      <c r="R1735" s="3" t="n">
        <v>15456713.37311</v>
      </c>
      <c r="S1735" s="3" t="n">
        <v>15477682.32497</v>
      </c>
      <c r="T1735" s="3" t="n">
        <v>14648420.055479</v>
      </c>
      <c r="U1735" s="3" t="n">
        <v>13582887.070663</v>
      </c>
      <c r="V1735" s="3" t="n">
        <v>13383893.375572</v>
      </c>
      <c r="W1735" s="3" t="n">
        <v>13906715.333369</v>
      </c>
      <c r="X1735" s="3" t="n">
        <v>14359635.852372</v>
      </c>
      <c r="Y1735" s="3" t="n">
        <v>14463881.052707</v>
      </c>
      <c r="Z1735" s="3" t="n">
        <v>13898430.887252</v>
      </c>
      <c r="AA1735" s="3" t="n">
        <v>10384169.581578</v>
      </c>
      <c r="AB1735" s="3" t="n">
        <v>10733775.459151</v>
      </c>
      <c r="AC1735" s="3" t="n">
        <v>11044301.885643</v>
      </c>
      <c r="AD1735" s="3" t="n">
        <v>11245185.016026</v>
      </c>
      <c r="AE1735" s="3" t="n">
        <v>10401796.139824</v>
      </c>
      <c r="AF1735" s="3" t="n">
        <v>10817867.985417</v>
      </c>
      <c r="AG1735" s="3" t="n"/>
      <c r="AH1735" s="3" t="n"/>
      <c r="AI1735" s="3" t="n"/>
      <c r="AJ1735" s="3" t="n"/>
      <c r="AK1735" s="3" t="n"/>
      <c r="AL1735" s="3" t="n"/>
      <c r="AM1735" s="3" t="n"/>
      <c r="AN1735" s="3" t="n"/>
      <c r="AO1735" s="3" t="n"/>
      <c r="AP1735" s="3" t="n"/>
      <c r="AQ1735" s="3" t="n"/>
      <c r="AR1735" s="3" t="n"/>
      <c r="AS1735" s="3" t="n"/>
      <c r="AT1735" s="3" t="n"/>
      <c r="AU1735" s="3" t="n"/>
    </row>
    <row r="1736">
      <c r="A1736" s="3" t="n">
        <v>2025</v>
      </c>
      <c r="B1736" s="3" t="inlineStr">
        <is>
          <t>LBN</t>
        </is>
      </c>
      <c r="C1736" s="3" t="inlineStr">
        <is>
          <t>IMF.RES:WEO</t>
        </is>
      </c>
      <c r="D1736" s="3" t="inlineStr">
        <is>
          <t>LBN.PCPI.A</t>
        </is>
      </c>
      <c r="E1736" s="3" t="inlineStr">
        <is>
          <t>Lebanon</t>
        </is>
      </c>
      <c r="F1736" s="3" t="inlineStr">
        <is>
          <t>All Items, Consumer price index (CPI), Period average</t>
        </is>
      </c>
      <c r="G1736" s="3" t="n">
        <v>65.01661199999999</v>
      </c>
      <c r="H1736" s="3" t="n">
        <v>64.777756</v>
      </c>
      <c r="I1736" s="3" t="n">
        <v>65.91744</v>
      </c>
      <c r="J1736" s="3" t="n">
        <v>66.75343599999999</v>
      </c>
      <c r="K1736" s="3" t="n">
        <v>67.869235</v>
      </c>
      <c r="L1736" s="3" t="n">
        <v>66.90118200000001</v>
      </c>
      <c r="M1736" s="3" t="n">
        <v>69.63879</v>
      </c>
      <c r="N1736" s="3" t="n">
        <v>72.464569</v>
      </c>
      <c r="O1736" s="3" t="n">
        <v>80.216667</v>
      </c>
      <c r="P1736" s="3" t="n">
        <v>81.191667</v>
      </c>
      <c r="Q1736" s="3" t="n">
        <v>84.408333</v>
      </c>
      <c r="R1736" s="3" t="n">
        <v>88.61666700000001</v>
      </c>
      <c r="S1736" s="3" t="n">
        <v>94.441667</v>
      </c>
      <c r="T1736" s="3" t="n">
        <v>98.97846199999999</v>
      </c>
      <c r="U1736" s="3" t="n">
        <v>100.814121</v>
      </c>
      <c r="V1736" s="3" t="n">
        <v>97.034453</v>
      </c>
      <c r="W1736" s="3" t="n">
        <v>96.274325</v>
      </c>
      <c r="X1736" s="3" t="n">
        <v>100.550314</v>
      </c>
      <c r="Y1736" s="3" t="n">
        <v>106.651684</v>
      </c>
      <c r="Z1736" s="3" t="n">
        <v>109.739966</v>
      </c>
      <c r="AA1736" s="3" t="n">
        <v>202.875</v>
      </c>
      <c r="AB1736" s="3" t="n">
        <v>516.841667</v>
      </c>
      <c r="AC1736" s="3" t="n">
        <v>1401.65</v>
      </c>
      <c r="AD1736" s="3" t="n">
        <v>4504.1</v>
      </c>
      <c r="AE1736" s="3" t="n">
        <v>6541.9</v>
      </c>
      <c r="AF1736" s="3" t="n">
        <v>7496.866667</v>
      </c>
      <c r="AG1736" s="3" t="n"/>
      <c r="AH1736" s="3" t="n"/>
      <c r="AI1736" s="3" t="n"/>
      <c r="AJ1736" s="3" t="n"/>
      <c r="AK1736" s="3" t="n"/>
      <c r="AL1736" s="3" t="n"/>
      <c r="AM1736" s="3" t="n"/>
      <c r="AN1736" s="3" t="n"/>
      <c r="AO1736" s="3" t="n"/>
      <c r="AP1736" s="3" t="n"/>
      <c r="AQ1736" s="3" t="n"/>
      <c r="AR1736" s="3" t="n"/>
      <c r="AS1736" s="3" t="n"/>
      <c r="AT1736" s="3" t="n"/>
      <c r="AU1736" s="3" t="n"/>
    </row>
    <row r="1737">
      <c r="A1737" s="3" t="n">
        <v>2025</v>
      </c>
      <c r="B1737" s="3" t="inlineStr">
        <is>
          <t>LBN</t>
        </is>
      </c>
      <c r="C1737" s="3" t="inlineStr">
        <is>
          <t>IMF.RES:WEO</t>
        </is>
      </c>
      <c r="D1737" s="3" t="inlineStr">
        <is>
          <t>LBN.PCPIPCH.A</t>
        </is>
      </c>
      <c r="E1737" s="3" t="inlineStr">
        <is>
          <t>Lebanon</t>
        </is>
      </c>
      <c r="F1737" s="3" t="inlineStr">
        <is>
          <t>All Items, Consumer price index (CPI), Period average, percent change</t>
        </is>
      </c>
      <c r="G1737" s="3" t="n">
        <v>-0.355611</v>
      </c>
      <c r="H1737" s="3" t="n">
        <v>-0.367377</v>
      </c>
      <c r="I1737" s="3" t="n">
        <v>1.759376</v>
      </c>
      <c r="J1737" s="3" t="n">
        <v>1.268247</v>
      </c>
      <c r="K1737" s="3" t="n">
        <v>1.671523</v>
      </c>
      <c r="L1737" s="3" t="n">
        <v>-1.426351</v>
      </c>
      <c r="M1737" s="3" t="n">
        <v>4.092018</v>
      </c>
      <c r="N1737" s="3" t="n">
        <v>4.057765</v>
      </c>
      <c r="O1737" s="3" t="n">
        <v>10.697776</v>
      </c>
      <c r="P1737" s="3" t="n">
        <v>1.215458</v>
      </c>
      <c r="Q1737" s="3" t="n">
        <v>3.961819</v>
      </c>
      <c r="R1737" s="3" t="n">
        <v>4.985685</v>
      </c>
      <c r="S1737" s="3" t="n">
        <v>6.573256</v>
      </c>
      <c r="T1737" s="3" t="n">
        <v>4.803807</v>
      </c>
      <c r="U1737" s="3" t="n">
        <v>1.854604</v>
      </c>
      <c r="V1737" s="3" t="n">
        <v>-3.749145</v>
      </c>
      <c r="W1737" s="3" t="n">
        <v>-0.7833599999999999</v>
      </c>
      <c r="X1737" s="3" t="n">
        <v>4.441464</v>
      </c>
      <c r="Y1737" s="3" t="n">
        <v>6.067977</v>
      </c>
      <c r="Z1737" s="3" t="n">
        <v>2.895671</v>
      </c>
      <c r="AA1737" s="3" t="n">
        <v>84.868838</v>
      </c>
      <c r="AB1737" s="3" t="n">
        <v>154.758677</v>
      </c>
      <c r="AC1737" s="3" t="n">
        <v>171.19524</v>
      </c>
      <c r="AD1737" s="3" t="n">
        <v>221.342703</v>
      </c>
      <c r="AE1737" s="3" t="n">
        <v>45.243223</v>
      </c>
      <c r="AF1737" s="3" t="n">
        <v>14.597696</v>
      </c>
      <c r="AG1737" s="3" t="n"/>
      <c r="AH1737" s="3" t="n"/>
      <c r="AI1737" s="3" t="n"/>
      <c r="AJ1737" s="3" t="n"/>
      <c r="AK1737" s="3" t="n"/>
      <c r="AL1737" s="3" t="n"/>
      <c r="AM1737" s="3" t="n"/>
      <c r="AN1737" s="3" t="n"/>
      <c r="AO1737" s="3" t="n"/>
      <c r="AP1737" s="3" t="n"/>
      <c r="AQ1737" s="3" t="n"/>
      <c r="AR1737" s="3" t="n"/>
      <c r="AS1737" s="3" t="n"/>
      <c r="AT1737" s="3" t="n"/>
      <c r="AU1737" s="3" t="n"/>
    </row>
    <row r="1738">
      <c r="A1738" s="3" t="n">
        <v>2025</v>
      </c>
      <c r="B1738" s="3" t="inlineStr">
        <is>
          <t>LBN</t>
        </is>
      </c>
      <c r="C1738" s="3" t="inlineStr">
        <is>
          <t>IMF.RES:WEO</t>
        </is>
      </c>
      <c r="D1738" s="3" t="inlineStr">
        <is>
          <t>LBN.PPPPC.A</t>
        </is>
      </c>
      <c r="E1738" s="3" t="inlineStr">
        <is>
          <t>Lebanon</t>
        </is>
      </c>
      <c r="F1738" s="3" t="inlineStr">
        <is>
          <t>Gross domestic product (GDP), Per capita, purchasing power parity (PPP) international dollar, ICP benchmarks 2017-2021</t>
        </is>
      </c>
      <c r="G1738" s="3" t="n">
        <v>11014.289922</v>
      </c>
      <c r="H1738" s="3" t="n">
        <v>11518.744971</v>
      </c>
      <c r="I1738" s="3" t="n">
        <v>11939.159372</v>
      </c>
      <c r="J1738" s="3" t="n">
        <v>12222.028731</v>
      </c>
      <c r="K1738" s="3" t="n">
        <v>13285.550353</v>
      </c>
      <c r="L1738" s="3" t="n">
        <v>13833.64707</v>
      </c>
      <c r="M1738" s="3" t="n">
        <v>14245.45224</v>
      </c>
      <c r="N1738" s="3" t="n">
        <v>15695.134149</v>
      </c>
      <c r="O1738" s="3" t="n">
        <v>17169.889441</v>
      </c>
      <c r="P1738" s="3" t="n">
        <v>18799.120606</v>
      </c>
      <c r="Q1738" s="3" t="n">
        <v>20361.626272</v>
      </c>
      <c r="R1738" s="3" t="n">
        <v>20757.181001</v>
      </c>
      <c r="S1738" s="3" t="n">
        <v>21172.349632</v>
      </c>
      <c r="T1738" s="3" t="n">
        <v>20379.026229</v>
      </c>
      <c r="U1738" s="3" t="n">
        <v>19225.771941</v>
      </c>
      <c r="V1738" s="3" t="n">
        <v>19119.919562</v>
      </c>
      <c r="W1738" s="3" t="n">
        <v>20055.590001</v>
      </c>
      <c r="X1738" s="3" t="n">
        <v>21079.641204</v>
      </c>
      <c r="Y1738" s="3" t="n">
        <v>22264.700164</v>
      </c>
      <c r="Z1738" s="3" t="n">
        <v>21802.41934</v>
      </c>
      <c r="AA1738" s="3" t="n">
        <v>12833.36031</v>
      </c>
      <c r="AB1738" s="3" t="n">
        <v>11111.903733</v>
      </c>
      <c r="AC1738" s="3" t="n">
        <v>12246.557918</v>
      </c>
      <c r="AD1738" s="3" t="n">
        <v>12930.677283</v>
      </c>
      <c r="AE1738" s="3" t="n">
        <v>12257.810605</v>
      </c>
      <c r="AF1738" s="3" t="n">
        <v>13109.757517</v>
      </c>
      <c r="AG1738" s="3" t="n"/>
      <c r="AH1738" s="3" t="n"/>
      <c r="AI1738" s="3" t="n"/>
      <c r="AJ1738" s="3" t="n"/>
      <c r="AK1738" s="3" t="n"/>
      <c r="AL1738" s="3" t="n"/>
      <c r="AM1738" s="3" t="n"/>
      <c r="AN1738" s="3" t="n"/>
      <c r="AO1738" s="3" t="n"/>
      <c r="AP1738" s="3" t="n"/>
      <c r="AQ1738" s="3" t="n"/>
      <c r="AR1738" s="3" t="n"/>
      <c r="AS1738" s="3" t="n"/>
      <c r="AT1738" s="3" t="n"/>
      <c r="AU1738" s="3" t="n"/>
    </row>
    <row r="1739">
      <c r="A1739" s="3" t="n">
        <v>2025</v>
      </c>
      <c r="B1739" s="3" t="inlineStr">
        <is>
          <t>LBN</t>
        </is>
      </c>
      <c r="C1739" s="3" t="inlineStr">
        <is>
          <t>IMF.STA:ER</t>
        </is>
      </c>
      <c r="D1739" s="3" t="inlineStr">
        <is>
          <t>LBN.XDC_USD.PA_RT.A</t>
        </is>
      </c>
      <c r="E1739" s="3" t="inlineStr">
        <is>
          <t>Lebanon</t>
        </is>
      </c>
      <c r="F1739" s="3" t="inlineStr">
        <is>
          <t>Domestic currency per US Dollar</t>
        </is>
      </c>
      <c r="G1739" s="3" t="n">
        <v>1507.5</v>
      </c>
      <c r="H1739" s="3" t="n">
        <v>1507.5</v>
      </c>
      <c r="I1739" s="3" t="n">
        <v>1507.5</v>
      </c>
      <c r="J1739" s="3" t="n">
        <v>1507.5</v>
      </c>
      <c r="K1739" s="3" t="n">
        <v>1507.5</v>
      </c>
      <c r="L1739" s="3" t="n">
        <v>1507.5</v>
      </c>
      <c r="M1739" s="3" t="n">
        <v>1507.5</v>
      </c>
      <c r="N1739" s="3" t="n">
        <v>1507.5</v>
      </c>
      <c r="O1739" s="3" t="n">
        <v>1507.5</v>
      </c>
      <c r="P1739" s="3" t="n">
        <v>1507.5</v>
      </c>
      <c r="Q1739" s="3" t="n">
        <v>1507.5</v>
      </c>
      <c r="R1739" s="3" t="n">
        <v>1507.5</v>
      </c>
      <c r="S1739" s="3" t="n">
        <v>1507.5</v>
      </c>
      <c r="T1739" s="3" t="n">
        <v>1507.5</v>
      </c>
      <c r="U1739" s="3" t="n">
        <v>1507.5</v>
      </c>
      <c r="V1739" s="3" t="n">
        <v>1507.5</v>
      </c>
      <c r="W1739" s="3" t="n">
        <v>1507.5</v>
      </c>
      <c r="X1739" s="3" t="n">
        <v>1507.5</v>
      </c>
      <c r="Y1739" s="3" t="n">
        <v>1507.5</v>
      </c>
      <c r="Z1739" s="3" t="n">
        <v>1507.5</v>
      </c>
      <c r="AA1739" s="3" t="n">
        <v>1507.5</v>
      </c>
      <c r="AB1739" s="3" t="n">
        <v>1507.5</v>
      </c>
      <c r="AC1739" s="3" t="n">
        <v>1507.5</v>
      </c>
      <c r="AD1739" s="3" t="n">
        <v>13875.625</v>
      </c>
      <c r="AE1739" s="3" t="n">
        <v>89500</v>
      </c>
      <c r="AF1739" s="3" t="n">
        <v>89500</v>
      </c>
      <c r="AG1739" s="3" t="n"/>
      <c r="AH1739" s="3" t="n"/>
      <c r="AI1739" s="3" t="n"/>
      <c r="AJ1739" s="3" t="n"/>
      <c r="AK1739" s="3" t="n"/>
      <c r="AL1739" s="3" t="n"/>
      <c r="AM1739" s="3" t="n"/>
      <c r="AN1739" s="3" t="n"/>
      <c r="AO1739" s="3" t="n"/>
      <c r="AP1739" s="3" t="n"/>
      <c r="AQ1739" s="3" t="n"/>
      <c r="AR1739" s="3" t="n"/>
      <c r="AS1739" s="3" t="n"/>
      <c r="AT1739" s="3" t="n"/>
      <c r="AU1739" s="3" t="n"/>
    </row>
    <row r="1740">
      <c r="A1740" s="3" t="n">
        <v>2031</v>
      </c>
      <c r="B1740" s="3" t="inlineStr">
        <is>
          <t>LBR</t>
        </is>
      </c>
      <c r="C1740" s="3" t="inlineStr">
        <is>
          <t>IMF.RES:WEO</t>
        </is>
      </c>
      <c r="D1740" s="3" t="inlineStr">
        <is>
          <t>LBR.BCA.A</t>
        </is>
      </c>
      <c r="E1740" s="3" t="inlineStr">
        <is>
          <t>Liberia</t>
        </is>
      </c>
      <c r="F1740" s="3" t="inlineStr">
        <is>
          <t>Current account balance (credit less debit), US dollar</t>
        </is>
      </c>
      <c r="G1740" s="3" t="n">
        <v>-0.105651</v>
      </c>
      <c r="H1740" s="3" t="n">
        <v>-0.087354</v>
      </c>
      <c r="I1740" s="3" t="n">
        <v>-0.025949</v>
      </c>
      <c r="J1740" s="3" t="n">
        <v>-0.100013</v>
      </c>
      <c r="K1740" s="3" t="n">
        <v>-0.055247</v>
      </c>
      <c r="L1740" s="3" t="n">
        <v>0.020949</v>
      </c>
      <c r="M1740" s="3" t="n">
        <v>-0.081571</v>
      </c>
      <c r="N1740" s="3" t="n">
        <v>-0.021091</v>
      </c>
      <c r="O1740" s="3" t="n">
        <v>-0.505707</v>
      </c>
      <c r="P1740" s="3" t="n">
        <v>-0.232284</v>
      </c>
      <c r="Q1740" s="3" t="n">
        <v>0.025468</v>
      </c>
      <c r="R1740" s="3" t="n">
        <v>-0.057457</v>
      </c>
      <c r="S1740" s="3" t="n">
        <v>-0.552953</v>
      </c>
      <c r="T1740" s="3" t="n">
        <v>-0.251748</v>
      </c>
      <c r="U1740" s="3" t="n">
        <v>-0.994987</v>
      </c>
      <c r="V1740" s="3" t="n">
        <v>-0.87363</v>
      </c>
      <c r="W1740" s="3" t="n">
        <v>-0.707081</v>
      </c>
      <c r="X1740" s="3" t="n">
        <v>-0.715894</v>
      </c>
      <c r="Y1740" s="3" t="n">
        <v>-0.664453</v>
      </c>
      <c r="Z1740" s="3" t="n">
        <v>-0.6010219999999999</v>
      </c>
      <c r="AA1740" s="3" t="n">
        <v>-0.726338</v>
      </c>
      <c r="AB1740" s="3" t="n">
        <v>-0.455762</v>
      </c>
      <c r="AC1740" s="3" t="n">
        <v>-0.6316040000000001</v>
      </c>
      <c r="AD1740" s="3" t="n">
        <v>-0.881617</v>
      </c>
      <c r="AE1740" s="3" t="n">
        <v>-0.386579</v>
      </c>
      <c r="AF1740" s="3" t="n">
        <v>-0.329362</v>
      </c>
      <c r="AG1740" s="3" t="n">
        <v>-0.67909</v>
      </c>
      <c r="AH1740" s="3" t="n">
        <v>-0.671812</v>
      </c>
      <c r="AI1740" s="3" t="n">
        <v>-0.742083</v>
      </c>
      <c r="AJ1740" s="3" t="n">
        <v>-0.859994</v>
      </c>
      <c r="AK1740" s="3" t="n">
        <v>-0.957681</v>
      </c>
      <c r="AL1740" s="3" t="n">
        <v>-1.140048</v>
      </c>
      <c r="AM1740" s="3" t="n"/>
      <c r="AN1740" s="3" t="n"/>
      <c r="AO1740" s="3" t="n"/>
      <c r="AP1740" s="3" t="n"/>
      <c r="AQ1740" s="3" t="n"/>
      <c r="AR1740" s="3" t="n"/>
      <c r="AS1740" s="3" t="n"/>
      <c r="AT1740" s="3" t="n"/>
      <c r="AU1740" s="3" t="n"/>
    </row>
    <row r="1741">
      <c r="A1741" s="3" t="n">
        <v>2031</v>
      </c>
      <c r="B1741" s="3" t="inlineStr">
        <is>
          <t>LBR</t>
        </is>
      </c>
      <c r="C1741" s="3" t="inlineStr">
        <is>
          <t>IMF.RES:WEO</t>
        </is>
      </c>
      <c r="D1741" s="3" t="inlineStr">
        <is>
          <t>LBR.BCA_NGDPD.A</t>
        </is>
      </c>
      <c r="E1741" s="3" t="inlineStr">
        <is>
          <t>Liberia</t>
        </is>
      </c>
      <c r="F1741" s="3" t="inlineStr">
        <is>
          <t>Current account balance (credit less debit), Percent of GDP</t>
        </is>
      </c>
      <c r="G1741" s="3" t="n">
        <v>-12.23743</v>
      </c>
      <c r="H1741" s="3" t="n">
        <v>-9.666878000000001</v>
      </c>
      <c r="I1741" s="3" t="n">
        <v>-2.751483</v>
      </c>
      <c r="J1741" s="3" t="n">
        <v>-14.017275</v>
      </c>
      <c r="K1741" s="3" t="n">
        <v>-6.157694</v>
      </c>
      <c r="L1741" s="3" t="n">
        <v>2.218217</v>
      </c>
      <c r="M1741" s="3" t="n">
        <v>-7.355032</v>
      </c>
      <c r="N1741" s="3" t="n">
        <v>-1.569515</v>
      </c>
      <c r="O1741" s="3" t="n">
        <v>-30.178936</v>
      </c>
      <c r="P1741" s="3" t="n">
        <v>-13.159069</v>
      </c>
      <c r="Q1741" s="3" t="n">
        <v>1.295133</v>
      </c>
      <c r="R1741" s="3" t="n">
        <v>-2.454996</v>
      </c>
      <c r="S1741" s="3" t="n">
        <v>-20.673987</v>
      </c>
      <c r="T1741" s="3" t="n">
        <v>-8.270386999999999</v>
      </c>
      <c r="U1741" s="3" t="n">
        <v>-32.195121</v>
      </c>
      <c r="V1741" s="3" t="n">
        <v>-28.255916</v>
      </c>
      <c r="W1741" s="3" t="n">
        <v>-21.716376</v>
      </c>
      <c r="X1741" s="3" t="n">
        <v>-21.558695</v>
      </c>
      <c r="Y1741" s="3" t="n">
        <v>-20.355905</v>
      </c>
      <c r="Z1741" s="3" t="n">
        <v>-19.512884</v>
      </c>
      <c r="AA1741" s="3" t="n">
        <v>-23.914683</v>
      </c>
      <c r="AB1741" s="3" t="n">
        <v>-12.988892</v>
      </c>
      <c r="AC1741" s="3" t="n">
        <v>-15.891645</v>
      </c>
      <c r="AD1741" s="3" t="n">
        <v>-20.08028</v>
      </c>
      <c r="AE1741" s="3" t="n">
        <v>-8.091557</v>
      </c>
      <c r="AF1741" s="3" t="n">
        <v>-6.31454</v>
      </c>
      <c r="AG1741" s="3" t="n">
        <v>-12.037221</v>
      </c>
      <c r="AH1741" s="3" t="n">
        <v>-11.098882</v>
      </c>
      <c r="AI1741" s="3" t="n">
        <v>-11.471901</v>
      </c>
      <c r="AJ1741" s="3" t="n">
        <v>-12.430266</v>
      </c>
      <c r="AK1741" s="3" t="n">
        <v>-12.913597</v>
      </c>
      <c r="AL1741" s="3" t="n">
        <v>-14.292906</v>
      </c>
      <c r="AM1741" s="3" t="n"/>
      <c r="AN1741" s="3" t="n"/>
      <c r="AO1741" s="3" t="n"/>
      <c r="AP1741" s="3" t="n"/>
      <c r="AQ1741" s="3" t="n"/>
      <c r="AR1741" s="3" t="n"/>
      <c r="AS1741" s="3" t="n"/>
      <c r="AT1741" s="3" t="n"/>
      <c r="AU1741" s="3" t="n"/>
    </row>
    <row r="1742">
      <c r="A1742" s="3" t="n">
        <v>2031</v>
      </c>
      <c r="B1742" s="3" t="inlineStr">
        <is>
          <t>LBR</t>
        </is>
      </c>
      <c r="C1742" s="3" t="inlineStr">
        <is>
          <t>IMF.RES:WEO</t>
        </is>
      </c>
      <c r="D1742" s="3" t="inlineStr">
        <is>
          <t>LBR.GGR_NGDP.A</t>
        </is>
      </c>
      <c r="E1742" s="3" t="inlineStr">
        <is>
          <t>Liberia</t>
        </is>
      </c>
      <c r="F1742" s="3" t="inlineStr">
        <is>
          <t>Revenue, General government, Percent of GDP</t>
        </is>
      </c>
      <c r="G1742" s="3" t="n">
        <v>14.461749</v>
      </c>
      <c r="H1742" s="3" t="n">
        <v>11.121263</v>
      </c>
      <c r="I1742" s="3" t="n">
        <v>11.160084</v>
      </c>
      <c r="J1742" s="3" t="n">
        <v>9.336338</v>
      </c>
      <c r="K1742" s="3" t="n">
        <v>11.569515</v>
      </c>
      <c r="L1742" s="3" t="n">
        <v>11.181042</v>
      </c>
      <c r="M1742" s="3" t="n">
        <v>14.87675</v>
      </c>
      <c r="N1742" s="3" t="n">
        <v>18.328576</v>
      </c>
      <c r="O1742" s="3" t="n">
        <v>19.078886</v>
      </c>
      <c r="P1742" s="3" t="n">
        <v>22.551775</v>
      </c>
      <c r="Q1742" s="3" t="n">
        <v>26.226428</v>
      </c>
      <c r="R1742" s="3" t="n">
        <v>25.455105</v>
      </c>
      <c r="S1742" s="3" t="n">
        <v>27.893368</v>
      </c>
      <c r="T1742" s="3" t="n">
        <v>28.705894</v>
      </c>
      <c r="U1742" s="3" t="n">
        <v>28.521949</v>
      </c>
      <c r="V1742" s="3" t="n">
        <v>33.385511</v>
      </c>
      <c r="W1742" s="3" t="n">
        <v>31.923687</v>
      </c>
      <c r="X1742" s="3" t="n">
        <v>27.944817</v>
      </c>
      <c r="Y1742" s="3" t="n">
        <v>27.95746</v>
      </c>
      <c r="Z1742" s="3" t="n">
        <v>27.38809</v>
      </c>
      <c r="AA1742" s="3" t="n">
        <v>31.265519</v>
      </c>
      <c r="AB1742" s="3" t="n">
        <v>27.283369</v>
      </c>
      <c r="AC1742" s="3" t="n">
        <v>21.599406</v>
      </c>
      <c r="AD1742" s="3" t="n">
        <v>20.099293</v>
      </c>
      <c r="AE1742" s="3" t="n">
        <v>22.329874</v>
      </c>
      <c r="AF1742" s="3" t="n">
        <v>21.016597</v>
      </c>
      <c r="AG1742" s="3" t="n">
        <v>20.689381</v>
      </c>
      <c r="AH1742" s="3" t="n">
        <v>20.537112</v>
      </c>
      <c r="AI1742" s="3" t="n">
        <v>20.488535</v>
      </c>
      <c r="AJ1742" s="3" t="n">
        <v>20.569407</v>
      </c>
      <c r="AK1742" s="3" t="n">
        <v>20.225873</v>
      </c>
      <c r="AL1742" s="3" t="n">
        <v>20.013609</v>
      </c>
      <c r="AM1742" s="3" t="n"/>
      <c r="AN1742" s="3" t="n"/>
      <c r="AO1742" s="3" t="n"/>
      <c r="AP1742" s="3" t="n"/>
      <c r="AQ1742" s="3" t="n"/>
      <c r="AR1742" s="3" t="n"/>
      <c r="AS1742" s="3" t="n"/>
      <c r="AT1742" s="3" t="n"/>
      <c r="AU1742" s="3" t="n"/>
    </row>
    <row r="1743">
      <c r="A1743" s="3" t="n">
        <v>2031</v>
      </c>
      <c r="B1743" s="3" t="inlineStr">
        <is>
          <t>LBR</t>
        </is>
      </c>
      <c r="C1743" s="3" t="inlineStr">
        <is>
          <t>IMF.RES:WEO</t>
        </is>
      </c>
      <c r="D1743" s="3" t="inlineStr">
        <is>
          <t>LBR.GGX_NGDP.A</t>
        </is>
      </c>
      <c r="E1743" s="3" t="inlineStr">
        <is>
          <t>Liberia</t>
        </is>
      </c>
      <c r="F1743" s="3" t="inlineStr">
        <is>
          <t>Expenditure, General government, Percent of GDP</t>
        </is>
      </c>
      <c r="G1743" s="3" t="n">
        <v>14.543142</v>
      </c>
      <c r="H1743" s="3" t="n">
        <v>12.060158</v>
      </c>
      <c r="I1743" s="3" t="n">
        <v>12.734072</v>
      </c>
      <c r="J1743" s="3" t="n">
        <v>8.980060999999999</v>
      </c>
      <c r="K1743" s="3" t="n">
        <v>12.125057</v>
      </c>
      <c r="L1743" s="3" t="n">
        <v>11.686599</v>
      </c>
      <c r="M1743" s="3" t="n">
        <v>10.645666</v>
      </c>
      <c r="N1743" s="3" t="n">
        <v>16.051157</v>
      </c>
      <c r="O1743" s="3" t="n">
        <v>21.780979</v>
      </c>
      <c r="P1743" s="3" t="n">
        <v>23.952096</v>
      </c>
      <c r="Q1743" s="3" t="n">
        <v>25.06305</v>
      </c>
      <c r="R1743" s="3" t="n">
        <v>29.847266</v>
      </c>
      <c r="S1743" s="3" t="n">
        <v>30.751267</v>
      </c>
      <c r="T1743" s="3" t="n">
        <v>27.41599</v>
      </c>
      <c r="U1743" s="3" t="n">
        <v>33.441876</v>
      </c>
      <c r="V1743" s="3" t="n">
        <v>37.122179</v>
      </c>
      <c r="W1743" s="3" t="n">
        <v>35.751515</v>
      </c>
      <c r="X1743" s="3" t="n">
        <v>35.080534</v>
      </c>
      <c r="Y1743" s="3" t="n">
        <v>32.660031</v>
      </c>
      <c r="Z1743" s="3" t="n">
        <v>32.312917</v>
      </c>
      <c r="AA1743" s="3" t="n">
        <v>35.286395</v>
      </c>
      <c r="AB1743" s="3" t="n">
        <v>29.787743</v>
      </c>
      <c r="AC1743" s="3" t="n">
        <v>27.420008</v>
      </c>
      <c r="AD1743" s="3" t="n">
        <v>28.646981</v>
      </c>
      <c r="AE1743" s="3" t="n">
        <v>24.127784</v>
      </c>
      <c r="AF1743" s="3" t="n">
        <v>22.430848</v>
      </c>
      <c r="AG1743" s="3" t="n">
        <v>22.317786</v>
      </c>
      <c r="AH1743" s="3" t="n">
        <v>21.606662</v>
      </c>
      <c r="AI1743" s="3" t="n">
        <v>21.867921</v>
      </c>
      <c r="AJ1743" s="3" t="n">
        <v>22.753125</v>
      </c>
      <c r="AK1743" s="3" t="n">
        <v>21.200827</v>
      </c>
      <c r="AL1743" s="3" t="n">
        <v>20.96052</v>
      </c>
      <c r="AM1743" s="3" t="n"/>
      <c r="AN1743" s="3" t="n"/>
      <c r="AO1743" s="3" t="n"/>
      <c r="AP1743" s="3" t="n"/>
      <c r="AQ1743" s="3" t="n"/>
      <c r="AR1743" s="3" t="n"/>
      <c r="AS1743" s="3" t="n"/>
      <c r="AT1743" s="3" t="n"/>
      <c r="AU1743" s="3" t="n"/>
    </row>
    <row r="1744">
      <c r="A1744" s="3" t="n">
        <v>2031</v>
      </c>
      <c r="B1744" s="3" t="inlineStr">
        <is>
          <t>LBR</t>
        </is>
      </c>
      <c r="C1744" s="3" t="inlineStr">
        <is>
          <t>IMF.RES:WEO</t>
        </is>
      </c>
      <c r="D1744" s="3" t="inlineStr">
        <is>
          <t>LBR.LP.A</t>
        </is>
      </c>
      <c r="E1744" s="3" t="inlineStr">
        <is>
          <t>Liberia</t>
        </is>
      </c>
      <c r="F1744" s="3" t="inlineStr">
        <is>
          <t>Population, Persons for countries / Index for country groups</t>
        </is>
      </c>
      <c r="G1744" s="3" t="n">
        <v>2.848</v>
      </c>
      <c r="H1744" s="3" t="n">
        <v>2.954</v>
      </c>
      <c r="I1744" s="3" t="n">
        <v>3.025</v>
      </c>
      <c r="J1744" s="3" t="n">
        <v>3.077</v>
      </c>
      <c r="K1744" s="3" t="n">
        <v>3.136</v>
      </c>
      <c r="L1744" s="3" t="n">
        <v>3.218</v>
      </c>
      <c r="M1744" s="3" t="n">
        <v>3.329</v>
      </c>
      <c r="N1744" s="3" t="n">
        <v>3.462</v>
      </c>
      <c r="O1744" s="3" t="n">
        <v>3.608</v>
      </c>
      <c r="P1744" s="3" t="n">
        <v>3.754</v>
      </c>
      <c r="Q1744" s="3" t="n">
        <v>3.891</v>
      </c>
      <c r="R1744" s="3" t="n">
        <v>4.017</v>
      </c>
      <c r="S1744" s="3" t="n">
        <v>4.136</v>
      </c>
      <c r="T1744" s="3" t="n">
        <v>4.248</v>
      </c>
      <c r="U1744" s="3" t="n">
        <v>4.36</v>
      </c>
      <c r="V1744" s="3" t="n">
        <v>4.472</v>
      </c>
      <c r="W1744" s="3" t="n">
        <v>4.587</v>
      </c>
      <c r="X1744" s="3" t="n">
        <v>4.702</v>
      </c>
      <c r="Y1744" s="3" t="n">
        <v>4.819</v>
      </c>
      <c r="Z1744" s="3" t="n">
        <v>4.937</v>
      </c>
      <c r="AA1744" s="3" t="n">
        <v>5.149463</v>
      </c>
      <c r="AB1744" s="3" t="n">
        <v>5.259323</v>
      </c>
      <c r="AC1744" s="3" t="n">
        <v>5.373294</v>
      </c>
      <c r="AD1744" s="3" t="n">
        <v>5.493031</v>
      </c>
      <c r="AE1744" s="3" t="n">
        <v>5.612817</v>
      </c>
      <c r="AF1744" s="3" t="n">
        <v>5.731206</v>
      </c>
      <c r="AG1744" s="3" t="n">
        <v>5.853949</v>
      </c>
      <c r="AH1744" s="3" t="n">
        <v>5.9868</v>
      </c>
      <c r="AI1744" s="3" t="n">
        <v>6.11876</v>
      </c>
      <c r="AJ1744" s="3" t="n">
        <v>6.245086</v>
      </c>
      <c r="AK1744" s="3" t="n">
        <v>6.366291</v>
      </c>
      <c r="AL1744" s="3" t="n">
        <v>6.486741</v>
      </c>
      <c r="AM1744" s="3" t="n"/>
      <c r="AN1744" s="3" t="n"/>
      <c r="AO1744" s="3" t="n"/>
      <c r="AP1744" s="3" t="n"/>
      <c r="AQ1744" s="3" t="n"/>
      <c r="AR1744" s="3" t="n"/>
      <c r="AS1744" s="3" t="n"/>
      <c r="AT1744" s="3" t="n"/>
      <c r="AU1744" s="3" t="n"/>
    </row>
    <row r="1745">
      <c r="A1745" s="3" t="n">
        <v>2031</v>
      </c>
      <c r="B1745" s="3" t="inlineStr">
        <is>
          <t>LBR</t>
        </is>
      </c>
      <c r="C1745" s="3" t="inlineStr">
        <is>
          <t>IMF.RES:WEO</t>
        </is>
      </c>
      <c r="D1745" s="3" t="inlineStr">
        <is>
          <t>LBR.NGDP.A</t>
        </is>
      </c>
      <c r="E1745" s="3" t="inlineStr">
        <is>
          <t>Liberia</t>
        </is>
      </c>
      <c r="F1745" s="3" t="inlineStr">
        <is>
          <t>Gross domestic product (GDP), Current prices, Domestic currency</t>
        </is>
      </c>
      <c r="G1745" s="3" t="n">
        <v>0.86334</v>
      </c>
      <c r="H1745" s="3" t="n">
        <v>0.903644</v>
      </c>
      <c r="I1745" s="3" t="n">
        <v>0.94309</v>
      </c>
      <c r="J1745" s="3" t="n">
        <v>0.713496</v>
      </c>
      <c r="K1745" s="3" t="n">
        <v>0.897196</v>
      </c>
      <c r="L1745" s="3" t="n">
        <v>0.944418</v>
      </c>
      <c r="M1745" s="3" t="n">
        <v>1.10905</v>
      </c>
      <c r="N1745" s="3" t="n">
        <v>1.343763</v>
      </c>
      <c r="O1745" s="3" t="n">
        <v>1.675695</v>
      </c>
      <c r="P1745" s="3" t="n">
        <v>1.7652</v>
      </c>
      <c r="Q1745" s="3" t="n">
        <v>1.966402</v>
      </c>
      <c r="R1745" s="3" t="n">
        <v>2.340409</v>
      </c>
      <c r="S1745" s="3" t="n">
        <v>2.67463</v>
      </c>
      <c r="T1745" s="3" t="n">
        <v>3.043975</v>
      </c>
      <c r="U1745" s="3" t="n">
        <v>3.090491</v>
      </c>
      <c r="V1745" s="3" t="n">
        <v>3.091846</v>
      </c>
      <c r="W1745" s="3" t="n">
        <v>3.255978</v>
      </c>
      <c r="X1745" s="3" t="n">
        <v>3.320673</v>
      </c>
      <c r="Y1745" s="3" t="n">
        <v>3.264179</v>
      </c>
      <c r="Z1745" s="3" t="n">
        <v>3.08013</v>
      </c>
      <c r="AA1745" s="3" t="n">
        <v>3.037205</v>
      </c>
      <c r="AB1745" s="3" t="n">
        <v>3.508863</v>
      </c>
      <c r="AC1745" s="3" t="n">
        <v>3.974439</v>
      </c>
      <c r="AD1745" s="3" t="n">
        <v>4.390464</v>
      </c>
      <c r="AE1745" s="3" t="n">
        <v>4.777561</v>
      </c>
      <c r="AF1745" s="3" t="n">
        <v>5.215934</v>
      </c>
      <c r="AG1745" s="3" t="n">
        <v>5.641586</v>
      </c>
      <c r="AH1745" s="3" t="n">
        <v>6.052972</v>
      </c>
      <c r="AI1745" s="3" t="n">
        <v>6.468701</v>
      </c>
      <c r="AJ1745" s="3" t="n">
        <v>6.918548</v>
      </c>
      <c r="AK1745" s="3" t="n">
        <v>7.416064</v>
      </c>
      <c r="AL1745" s="3" t="n">
        <v>7.97632</v>
      </c>
      <c r="AM1745" s="3" t="n"/>
      <c r="AN1745" s="3" t="n"/>
      <c r="AO1745" s="3" t="n"/>
      <c r="AP1745" s="3" t="n"/>
      <c r="AQ1745" s="3" t="n"/>
      <c r="AR1745" s="3" t="n"/>
      <c r="AS1745" s="3" t="n"/>
      <c r="AT1745" s="3" t="n"/>
      <c r="AU1745" s="3" t="n"/>
    </row>
    <row r="1746">
      <c r="A1746" s="3" t="n">
        <v>2031</v>
      </c>
      <c r="B1746" s="3" t="inlineStr">
        <is>
          <t>LBR</t>
        </is>
      </c>
      <c r="C1746" s="3" t="inlineStr">
        <is>
          <t>IMF.RES:WEO</t>
        </is>
      </c>
      <c r="D1746" s="3" t="inlineStr">
        <is>
          <t>LBR.NGDP_D.A</t>
        </is>
      </c>
      <c r="E1746" s="3" t="inlineStr">
        <is>
          <t>Liberia</t>
        </is>
      </c>
      <c r="F1746" s="3" t="inlineStr">
        <is>
          <t>Gross domestic product (GDP), Price deflator, Index</t>
        </is>
      </c>
      <c r="G1746" s="3" t="n">
        <v>42.201734</v>
      </c>
      <c r="H1746" s="3" t="n">
        <v>42.986127</v>
      </c>
      <c r="I1746" s="3" t="n">
        <v>42.959082</v>
      </c>
      <c r="J1746" s="3" t="n">
        <v>45.7593</v>
      </c>
      <c r="K1746" s="3" t="n">
        <v>55.342972</v>
      </c>
      <c r="L1746" s="3" t="n">
        <v>55.032973</v>
      </c>
      <c r="M1746" s="3" t="n">
        <v>59.57447</v>
      </c>
      <c r="N1746" s="3" t="n">
        <v>63.820123</v>
      </c>
      <c r="O1746" s="3" t="n">
        <v>75.00556</v>
      </c>
      <c r="P1746" s="3" t="n">
        <v>75.11225</v>
      </c>
      <c r="Q1746" s="3" t="n">
        <v>78.676681</v>
      </c>
      <c r="R1746" s="3" t="n">
        <v>86.94572700000001</v>
      </c>
      <c r="S1746" s="3" t="n">
        <v>91.64559300000001</v>
      </c>
      <c r="T1746" s="3" t="n">
        <v>95.833597</v>
      </c>
      <c r="U1746" s="3" t="n">
        <v>96.62686100000001</v>
      </c>
      <c r="V1746" s="3" t="n">
        <v>96.662395</v>
      </c>
      <c r="W1746" s="3" t="n">
        <v>103.480571</v>
      </c>
      <c r="X1746" s="3" t="n">
        <v>102.994144</v>
      </c>
      <c r="Y1746" s="3" t="n">
        <v>100</v>
      </c>
      <c r="Z1746" s="3" t="n">
        <v>96.79671999999999</v>
      </c>
      <c r="AA1746" s="3" t="n">
        <v>98.36616600000001</v>
      </c>
      <c r="AB1746" s="3" t="n">
        <v>108.218977</v>
      </c>
      <c r="AC1746" s="3" t="n">
        <v>116.951984</v>
      </c>
      <c r="AD1746" s="3" t="n">
        <v>123.527886</v>
      </c>
      <c r="AE1746" s="3" t="n">
        <v>129.231762</v>
      </c>
      <c r="AF1746" s="3" t="n">
        <v>134.192541</v>
      </c>
      <c r="AG1746" s="3" t="n">
        <v>138.086404</v>
      </c>
      <c r="AH1746" s="3" t="n">
        <v>140.583855</v>
      </c>
      <c r="AI1746" s="3" t="n">
        <v>142.256937</v>
      </c>
      <c r="AJ1746" s="3" t="n">
        <v>144.113521</v>
      </c>
      <c r="AK1746" s="3" t="n">
        <v>146.248477</v>
      </c>
      <c r="AL1746" s="3" t="n">
        <v>149.099232</v>
      </c>
      <c r="AM1746" s="3" t="n"/>
      <c r="AN1746" s="3" t="n"/>
      <c r="AO1746" s="3" t="n"/>
      <c r="AP1746" s="3" t="n"/>
      <c r="AQ1746" s="3" t="n"/>
      <c r="AR1746" s="3" t="n"/>
      <c r="AS1746" s="3" t="n"/>
      <c r="AT1746" s="3" t="n"/>
      <c r="AU1746" s="3" t="n"/>
    </row>
    <row r="1747">
      <c r="A1747" s="3" t="n">
        <v>2031</v>
      </c>
      <c r="B1747" s="3" t="inlineStr">
        <is>
          <t>LBR</t>
        </is>
      </c>
      <c r="C1747" s="3" t="inlineStr">
        <is>
          <t>IMF.RES:WEO</t>
        </is>
      </c>
      <c r="D1747" s="3" t="inlineStr">
        <is>
          <t>LBR.NGDP_R.A</t>
        </is>
      </c>
      <c r="E1747" s="3" t="inlineStr">
        <is>
          <t>Liberia</t>
        </is>
      </c>
      <c r="F1747" s="3" t="inlineStr">
        <is>
          <t>Gross domestic product (GDP), Constant prices, Domestic currency</t>
        </is>
      </c>
      <c r="G1747" s="3" t="n">
        <v>2.045745</v>
      </c>
      <c r="H1747" s="3" t="n">
        <v>2.102175</v>
      </c>
      <c r="I1747" s="3" t="n">
        <v>2.195321</v>
      </c>
      <c r="J1747" s="3" t="n">
        <v>1.559238</v>
      </c>
      <c r="K1747" s="3" t="n">
        <v>1.621157</v>
      </c>
      <c r="L1747" s="3" t="n">
        <v>1.716095</v>
      </c>
      <c r="M1747" s="3" t="n">
        <v>1.86162</v>
      </c>
      <c r="N1747" s="3" t="n">
        <v>2.105548</v>
      </c>
      <c r="O1747" s="3" t="n">
        <v>2.234094</v>
      </c>
      <c r="P1747" s="3" t="n">
        <v>2.350083</v>
      </c>
      <c r="Q1747" s="3" t="n">
        <v>2.499345</v>
      </c>
      <c r="R1747" s="3" t="n">
        <v>2.691805</v>
      </c>
      <c r="S1747" s="3" t="n">
        <v>2.918449</v>
      </c>
      <c r="T1747" s="3" t="n">
        <v>3.176313</v>
      </c>
      <c r="U1747" s="3" t="n">
        <v>3.198377</v>
      </c>
      <c r="V1747" s="3" t="n">
        <v>3.198603</v>
      </c>
      <c r="W1747" s="3" t="n">
        <v>3.146464</v>
      </c>
      <c r="X1747" s="3" t="n">
        <v>3.224138</v>
      </c>
      <c r="Y1747" s="3" t="n">
        <v>3.264179</v>
      </c>
      <c r="Z1747" s="3" t="n">
        <v>3.18206</v>
      </c>
      <c r="AA1747" s="3" t="n">
        <v>3.087652</v>
      </c>
      <c r="AB1747" s="3" t="n">
        <v>3.242374</v>
      </c>
      <c r="AC1747" s="3" t="n">
        <v>3.398351</v>
      </c>
      <c r="AD1747" s="3" t="n">
        <v>3.554229</v>
      </c>
      <c r="AE1747" s="3" t="n">
        <v>3.696894</v>
      </c>
      <c r="AF1747" s="3" t="n">
        <v>3.886903</v>
      </c>
      <c r="AG1747" s="3" t="n">
        <v>4.085548</v>
      </c>
      <c r="AH1747" s="3" t="n">
        <v>4.305595</v>
      </c>
      <c r="AI1747" s="3" t="n">
        <v>4.547196</v>
      </c>
      <c r="AJ1747" s="3" t="n">
        <v>4.800763</v>
      </c>
      <c r="AK1747" s="3" t="n">
        <v>5.070866</v>
      </c>
      <c r="AL1747" s="3" t="n">
        <v>5.349672</v>
      </c>
      <c r="AM1747" s="3" t="n"/>
      <c r="AN1747" s="3" t="n"/>
      <c r="AO1747" s="3" t="n"/>
      <c r="AP1747" s="3" t="n"/>
      <c r="AQ1747" s="3" t="n"/>
      <c r="AR1747" s="3" t="n"/>
      <c r="AS1747" s="3" t="n"/>
      <c r="AT1747" s="3" t="n"/>
      <c r="AU1747" s="3" t="n"/>
    </row>
    <row r="1748">
      <c r="A1748" s="3" t="n">
        <v>2031</v>
      </c>
      <c r="B1748" s="3" t="inlineStr">
        <is>
          <t>LBR</t>
        </is>
      </c>
      <c r="C1748" s="3" t="inlineStr">
        <is>
          <t>IMF.RES:WEO</t>
        </is>
      </c>
      <c r="D1748" s="3" t="inlineStr">
        <is>
          <t>LBR.NGDP_RPCH.A</t>
        </is>
      </c>
      <c r="E1748" s="3" t="inlineStr">
        <is>
          <t>Liberia</t>
        </is>
      </c>
      <c r="F1748" s="3" t="inlineStr">
        <is>
          <t>Gross domestic product (GDP), Constant prices, Percent change</t>
        </is>
      </c>
      <c r="G1748" s="3" t="n"/>
      <c r="H1748" s="3" t="n">
        <v>2.758419</v>
      </c>
      <c r="I1748" s="3" t="n">
        <v>4.430931</v>
      </c>
      <c r="J1748" s="3" t="n">
        <v>-28.97449</v>
      </c>
      <c r="K1748" s="3" t="n">
        <v>3.971099</v>
      </c>
      <c r="L1748" s="3" t="n">
        <v>5.856214</v>
      </c>
      <c r="M1748" s="3" t="n">
        <v>8.480017999999999</v>
      </c>
      <c r="N1748" s="3" t="n">
        <v>13.102969</v>
      </c>
      <c r="O1748" s="3" t="n">
        <v>6.105134</v>
      </c>
      <c r="P1748" s="3" t="n">
        <v>5.191774</v>
      </c>
      <c r="Q1748" s="3" t="n">
        <v>6.35135</v>
      </c>
      <c r="R1748" s="3" t="n">
        <v>7.700393</v>
      </c>
      <c r="S1748" s="3" t="n">
        <v>8.419779999999999</v>
      </c>
      <c r="T1748" s="3" t="n">
        <v>8.835647</v>
      </c>
      <c r="U1748" s="3" t="n">
        <v>0.694652</v>
      </c>
      <c r="V1748" s="3" t="n">
        <v>0.00707</v>
      </c>
      <c r="W1748" s="3" t="n">
        <v>-1.63007</v>
      </c>
      <c r="X1748" s="3" t="n">
        <v>2.468629</v>
      </c>
      <c r="Y1748" s="3" t="n">
        <v>1.241918</v>
      </c>
      <c r="Z1748" s="3" t="n">
        <v>-2.515768</v>
      </c>
      <c r="AA1748" s="3" t="n">
        <v>-2.966884</v>
      </c>
      <c r="AB1748" s="3" t="n">
        <v>5.010975</v>
      </c>
      <c r="AC1748" s="3" t="n">
        <v>4.810588</v>
      </c>
      <c r="AD1748" s="3" t="n">
        <v>4.58687</v>
      </c>
      <c r="AE1748" s="3" t="n">
        <v>4.013949</v>
      </c>
      <c r="AF1748" s="3" t="n">
        <v>5.139709</v>
      </c>
      <c r="AG1748" s="3" t="n">
        <v>5.110616</v>
      </c>
      <c r="AH1748" s="3" t="n">
        <v>5.385994</v>
      </c>
      <c r="AI1748" s="3" t="n">
        <v>5.611311</v>
      </c>
      <c r="AJ1748" s="3" t="n">
        <v>5.576338</v>
      </c>
      <c r="AK1748" s="3" t="n">
        <v>5.626253</v>
      </c>
      <c r="AL1748" s="3" t="n">
        <v>5.498205</v>
      </c>
      <c r="AM1748" s="3" t="n"/>
      <c r="AN1748" s="3" t="n"/>
      <c r="AO1748" s="3" t="n"/>
      <c r="AP1748" s="3" t="n"/>
      <c r="AQ1748" s="3" t="n"/>
      <c r="AR1748" s="3" t="n"/>
      <c r="AS1748" s="3" t="n"/>
      <c r="AT1748" s="3" t="n"/>
      <c r="AU1748" s="3" t="n"/>
    </row>
    <row r="1749">
      <c r="A1749" s="3" t="n">
        <v>2031</v>
      </c>
      <c r="B1749" s="3" t="inlineStr">
        <is>
          <t>LBR</t>
        </is>
      </c>
      <c r="C1749" s="3" t="inlineStr">
        <is>
          <t>IMF.RES:WEO</t>
        </is>
      </c>
      <c r="D1749" s="3" t="inlineStr">
        <is>
          <t>LBR.NGDPD.A</t>
        </is>
      </c>
      <c r="E1749" s="3" t="inlineStr">
        <is>
          <t>Liberia</t>
        </is>
      </c>
      <c r="F1749" s="3" t="inlineStr">
        <is>
          <t>Gross domestic product (GDP), Current prices, US dollar</t>
        </is>
      </c>
      <c r="G1749" s="3" t="n">
        <v>0.86334</v>
      </c>
      <c r="H1749" s="3" t="n">
        <v>0.903644</v>
      </c>
      <c r="I1749" s="3" t="n">
        <v>0.94309</v>
      </c>
      <c r="J1749" s="3" t="n">
        <v>0.713496</v>
      </c>
      <c r="K1749" s="3" t="n">
        <v>0.897196</v>
      </c>
      <c r="L1749" s="3" t="n">
        <v>0.944418</v>
      </c>
      <c r="M1749" s="3" t="n">
        <v>1.10905</v>
      </c>
      <c r="N1749" s="3" t="n">
        <v>1.343763</v>
      </c>
      <c r="O1749" s="3" t="n">
        <v>1.675695</v>
      </c>
      <c r="P1749" s="3" t="n">
        <v>1.7652</v>
      </c>
      <c r="Q1749" s="3" t="n">
        <v>1.966402</v>
      </c>
      <c r="R1749" s="3" t="n">
        <v>2.340409</v>
      </c>
      <c r="S1749" s="3" t="n">
        <v>2.67463</v>
      </c>
      <c r="T1749" s="3" t="n">
        <v>3.043975</v>
      </c>
      <c r="U1749" s="3" t="n">
        <v>3.090491</v>
      </c>
      <c r="V1749" s="3" t="n">
        <v>3.091846</v>
      </c>
      <c r="W1749" s="3" t="n">
        <v>3.255978</v>
      </c>
      <c r="X1749" s="3" t="n">
        <v>3.320673</v>
      </c>
      <c r="Y1749" s="3" t="n">
        <v>3.264179</v>
      </c>
      <c r="Z1749" s="3" t="n">
        <v>3.08013</v>
      </c>
      <c r="AA1749" s="3" t="n">
        <v>3.037205</v>
      </c>
      <c r="AB1749" s="3" t="n">
        <v>3.508863</v>
      </c>
      <c r="AC1749" s="3" t="n">
        <v>3.974439</v>
      </c>
      <c r="AD1749" s="3" t="n">
        <v>4.390464</v>
      </c>
      <c r="AE1749" s="3" t="n">
        <v>4.777561</v>
      </c>
      <c r="AF1749" s="3" t="n">
        <v>5.215934</v>
      </c>
      <c r="AG1749" s="3" t="n">
        <v>5.641586</v>
      </c>
      <c r="AH1749" s="3" t="n">
        <v>6.052972</v>
      </c>
      <c r="AI1749" s="3" t="n">
        <v>6.468701</v>
      </c>
      <c r="AJ1749" s="3" t="n">
        <v>6.918548</v>
      </c>
      <c r="AK1749" s="3" t="n">
        <v>7.416064</v>
      </c>
      <c r="AL1749" s="3" t="n">
        <v>7.97632</v>
      </c>
      <c r="AM1749" s="3" t="n"/>
      <c r="AN1749" s="3" t="n"/>
      <c r="AO1749" s="3" t="n"/>
      <c r="AP1749" s="3" t="n"/>
      <c r="AQ1749" s="3" t="n"/>
      <c r="AR1749" s="3" t="n"/>
      <c r="AS1749" s="3" t="n"/>
      <c r="AT1749" s="3" t="n"/>
      <c r="AU1749" s="3" t="n"/>
    </row>
    <row r="1750">
      <c r="A1750" s="3" t="n">
        <v>2031</v>
      </c>
      <c r="B1750" s="3" t="inlineStr">
        <is>
          <t>LBR</t>
        </is>
      </c>
      <c r="C1750" s="3" t="inlineStr">
        <is>
          <t>IMF.RES:WEO</t>
        </is>
      </c>
      <c r="D1750" s="3" t="inlineStr">
        <is>
          <t>LBR.NGDPPC.A</t>
        </is>
      </c>
      <c r="E1750" s="3" t="inlineStr">
        <is>
          <t>Liberia</t>
        </is>
      </c>
      <c r="F1750" s="3" t="inlineStr">
        <is>
          <t>Gross domestic product (GDP), Current prices, Per capita, Domestic currency</t>
        </is>
      </c>
      <c r="G1750" s="3" t="n">
        <v>303.138932</v>
      </c>
      <c r="H1750" s="3" t="n">
        <v>305.905051</v>
      </c>
      <c r="I1750" s="3" t="n">
        <v>311.765164</v>
      </c>
      <c r="J1750" s="3" t="n">
        <v>231.880488</v>
      </c>
      <c r="K1750" s="3" t="n">
        <v>286.09574</v>
      </c>
      <c r="L1750" s="3" t="n">
        <v>293.47983</v>
      </c>
      <c r="M1750" s="3" t="n">
        <v>333.148193</v>
      </c>
      <c r="N1750" s="3" t="n">
        <v>388.146477</v>
      </c>
      <c r="O1750" s="3" t="n">
        <v>464.438706</v>
      </c>
      <c r="P1750" s="3" t="n">
        <v>470.218552</v>
      </c>
      <c r="Q1750" s="3" t="n">
        <v>505.371865</v>
      </c>
      <c r="R1750" s="3" t="n">
        <v>582.626137</v>
      </c>
      <c r="S1750" s="3" t="n">
        <v>646.670617</v>
      </c>
      <c r="T1750" s="3" t="n">
        <v>716.566522</v>
      </c>
      <c r="U1750" s="3" t="n">
        <v>708.828257</v>
      </c>
      <c r="V1750" s="3" t="n">
        <v>691.378873</v>
      </c>
      <c r="W1750" s="3" t="n">
        <v>709.827439</v>
      </c>
      <c r="X1750" s="3" t="n">
        <v>706.225741</v>
      </c>
      <c r="Y1750" s="3" t="n">
        <v>677.356143</v>
      </c>
      <c r="Z1750" s="3" t="n">
        <v>623.886935</v>
      </c>
      <c r="AA1750" s="3" t="n">
        <v>589.810032</v>
      </c>
      <c r="AB1750" s="3" t="n">
        <v>667.170176</v>
      </c>
      <c r="AC1750" s="3" t="n">
        <v>739.665209</v>
      </c>
      <c r="AD1750" s="3" t="n">
        <v>799.278858</v>
      </c>
      <c r="AE1750" s="3" t="n">
        <v>851.187692</v>
      </c>
      <c r="AF1750" s="3" t="n">
        <v>910.0936400000001</v>
      </c>
      <c r="AG1750" s="3" t="n">
        <v>963.723149</v>
      </c>
      <c r="AH1750" s="3" t="n">
        <v>1011.052951</v>
      </c>
      <c r="AI1750" s="3" t="n">
        <v>1057.191523</v>
      </c>
      <c r="AJ1750" s="3" t="n">
        <v>1107.838719</v>
      </c>
      <c r="AK1750" s="3" t="n">
        <v>1164.895517</v>
      </c>
      <c r="AL1750" s="3" t="n">
        <v>1229.634475</v>
      </c>
      <c r="AM1750" s="3" t="n"/>
      <c r="AN1750" s="3" t="n"/>
      <c r="AO1750" s="3" t="n"/>
      <c r="AP1750" s="3" t="n"/>
      <c r="AQ1750" s="3" t="n"/>
      <c r="AR1750" s="3" t="n"/>
      <c r="AS1750" s="3" t="n"/>
      <c r="AT1750" s="3" t="n"/>
      <c r="AU1750" s="3" t="n"/>
    </row>
    <row r="1751">
      <c r="A1751" s="3" t="n">
        <v>2031</v>
      </c>
      <c r="B1751" s="3" t="inlineStr">
        <is>
          <t>LBR</t>
        </is>
      </c>
      <c r="C1751" s="3" t="inlineStr">
        <is>
          <t>IMF.RES:WEO</t>
        </is>
      </c>
      <c r="D1751" s="3" t="inlineStr">
        <is>
          <t>LBR.NGDPRPC.A</t>
        </is>
      </c>
      <c r="E1751" s="3" t="inlineStr">
        <is>
          <t>Liberia</t>
        </is>
      </c>
      <c r="F1751" s="3" t="inlineStr">
        <is>
          <t>Gross domestic product (GDP), Constant prices, Per capita, Domestic currency</t>
        </is>
      </c>
      <c r="G1751" s="3" t="n">
        <v>718.3091879999999</v>
      </c>
      <c r="H1751" s="3" t="n">
        <v>711.6366860000001</v>
      </c>
      <c r="I1751" s="3" t="n">
        <v>725.7258430000001</v>
      </c>
      <c r="J1751" s="3" t="n">
        <v>506.739585</v>
      </c>
      <c r="K1751" s="3" t="n">
        <v>516.95044</v>
      </c>
      <c r="L1751" s="3" t="n">
        <v>533.279983</v>
      </c>
      <c r="M1751" s="3" t="n">
        <v>559.213022</v>
      </c>
      <c r="N1751" s="3" t="n">
        <v>608.188235</v>
      </c>
      <c r="O1751" s="3" t="n">
        <v>619.205702</v>
      </c>
      <c r="P1751" s="3" t="n">
        <v>626.021125</v>
      </c>
      <c r="Q1751" s="3" t="n">
        <v>642.340096</v>
      </c>
      <c r="R1751" s="3" t="n">
        <v>670.103243</v>
      </c>
      <c r="S1751" s="3" t="n">
        <v>705.621072</v>
      </c>
      <c r="T1751" s="3" t="n">
        <v>747.719534</v>
      </c>
      <c r="U1751" s="3" t="n">
        <v>733.572687</v>
      </c>
      <c r="V1751" s="3" t="n">
        <v>715.251128</v>
      </c>
      <c r="W1751" s="3" t="n">
        <v>685.9523830000001</v>
      </c>
      <c r="X1751" s="3" t="n">
        <v>685.6950419999999</v>
      </c>
      <c r="Y1751" s="3" t="n">
        <v>677.356143</v>
      </c>
      <c r="Z1751" s="3" t="n">
        <v>644.533134</v>
      </c>
      <c r="AA1751" s="3" t="n">
        <v>599.6066070000001</v>
      </c>
      <c r="AB1751" s="3" t="n">
        <v>616.500169</v>
      </c>
      <c r="AC1751" s="3" t="n">
        <v>632.452038</v>
      </c>
      <c r="AD1751" s="3" t="n">
        <v>647.043259</v>
      </c>
      <c r="AE1751" s="3" t="n">
        <v>658.652082</v>
      </c>
      <c r="AF1751" s="3" t="n">
        <v>678.199872</v>
      </c>
      <c r="AG1751" s="3" t="n">
        <v>697.913133</v>
      </c>
      <c r="AH1751" s="3" t="n">
        <v>719.181411</v>
      </c>
      <c r="AI1751" s="3" t="n">
        <v>743.156396</v>
      </c>
      <c r="AJ1751" s="3" t="n">
        <v>768.7264269999999</v>
      </c>
      <c r="AK1751" s="3" t="n">
        <v>796.518052</v>
      </c>
      <c r="AL1751" s="3" t="n">
        <v>824.70879</v>
      </c>
      <c r="AM1751" s="3" t="n"/>
      <c r="AN1751" s="3" t="n"/>
      <c r="AO1751" s="3" t="n"/>
      <c r="AP1751" s="3" t="n"/>
      <c r="AQ1751" s="3" t="n"/>
      <c r="AR1751" s="3" t="n"/>
      <c r="AS1751" s="3" t="n"/>
      <c r="AT1751" s="3" t="n"/>
      <c r="AU1751" s="3" t="n"/>
    </row>
    <row r="1752">
      <c r="A1752" s="3" t="n">
        <v>2031</v>
      </c>
      <c r="B1752" s="3" t="inlineStr">
        <is>
          <t>LBR</t>
        </is>
      </c>
      <c r="C1752" s="3" t="inlineStr">
        <is>
          <t>IMF.RES:WEO</t>
        </is>
      </c>
      <c r="D1752" s="3" t="inlineStr">
        <is>
          <t>LBR.PCPI.A</t>
        </is>
      </c>
      <c r="E1752" s="3" t="inlineStr">
        <is>
          <t>Liberia</t>
        </is>
      </c>
      <c r="F1752" s="3" t="inlineStr">
        <is>
          <t>All Items, Consumer price index (CPI), Period average</t>
        </is>
      </c>
      <c r="G1752" s="3" t="n">
        <v>100</v>
      </c>
      <c r="H1752" s="3" t="n">
        <v>112.149331</v>
      </c>
      <c r="I1752" s="3" t="n">
        <v>128.029888</v>
      </c>
      <c r="J1752" s="3" t="n">
        <v>141.255744</v>
      </c>
      <c r="K1752" s="3" t="n">
        <v>146.277378</v>
      </c>
      <c r="L1752" s="3" t="n">
        <v>156.435618</v>
      </c>
      <c r="M1752" s="3" t="n">
        <v>171.319355</v>
      </c>
      <c r="N1752" s="3" t="n">
        <v>190.833844</v>
      </c>
      <c r="O1752" s="3" t="n">
        <v>224.211543</v>
      </c>
      <c r="P1752" s="3" t="n">
        <v>240.863746</v>
      </c>
      <c r="Q1752" s="3" t="n">
        <v>258.426014</v>
      </c>
      <c r="R1752" s="3" t="n">
        <v>280.357576</v>
      </c>
      <c r="S1752" s="3" t="n">
        <v>299.510643</v>
      </c>
      <c r="T1752" s="3" t="n">
        <v>322.207678</v>
      </c>
      <c r="U1752" s="3" t="n">
        <v>353.971795</v>
      </c>
      <c r="V1752" s="3" t="n">
        <v>381.375407</v>
      </c>
      <c r="W1752" s="3" t="n">
        <v>415.10352</v>
      </c>
      <c r="X1752" s="3" t="n">
        <v>466.720191</v>
      </c>
      <c r="Y1752" s="3" t="n">
        <v>576.618463</v>
      </c>
      <c r="Z1752" s="3" t="n">
        <v>732.128666</v>
      </c>
      <c r="AA1752" s="3" t="n">
        <v>856.2472770000001</v>
      </c>
      <c r="AB1752" s="3" t="n">
        <v>923.170471</v>
      </c>
      <c r="AC1752" s="3" t="n">
        <v>993.266836</v>
      </c>
      <c r="AD1752" s="3" t="n">
        <v>1093.531686</v>
      </c>
      <c r="AE1752" s="3" t="n">
        <v>1183.364668</v>
      </c>
      <c r="AF1752" s="3" t="n">
        <v>1281.76946</v>
      </c>
      <c r="AG1752" s="3" t="n">
        <v>1354.387017</v>
      </c>
      <c r="AH1752" s="3" t="n">
        <v>1438.505537</v>
      </c>
      <c r="AI1752" s="3" t="n">
        <v>1516.828188</v>
      </c>
      <c r="AJ1752" s="3" t="n">
        <v>1593.730865</v>
      </c>
      <c r="AK1752" s="3" t="n">
        <v>1672.562508</v>
      </c>
      <c r="AL1752" s="3" t="n">
        <v>1755.593686</v>
      </c>
      <c r="AM1752" s="3" t="n"/>
      <c r="AN1752" s="3" t="n"/>
      <c r="AO1752" s="3" t="n"/>
      <c r="AP1752" s="3" t="n"/>
      <c r="AQ1752" s="3" t="n"/>
      <c r="AR1752" s="3" t="n"/>
      <c r="AS1752" s="3" t="n"/>
      <c r="AT1752" s="3" t="n"/>
      <c r="AU1752" s="3" t="n"/>
    </row>
    <row r="1753">
      <c r="A1753" s="3" t="n">
        <v>2031</v>
      </c>
      <c r="B1753" s="3" t="inlineStr">
        <is>
          <t>LBR</t>
        </is>
      </c>
      <c r="C1753" s="3" t="inlineStr">
        <is>
          <t>IMF.RES:WEO</t>
        </is>
      </c>
      <c r="D1753" s="3" t="inlineStr">
        <is>
          <t>LBR.PCPIPCH.A</t>
        </is>
      </c>
      <c r="E1753" s="3" t="inlineStr">
        <is>
          <t>Liberia</t>
        </is>
      </c>
      <c r="F1753" s="3" t="inlineStr">
        <is>
          <t>All Items, Consumer price index (CPI), Period average, percent change</t>
        </is>
      </c>
      <c r="G1753" s="3" t="n">
        <v>5.300067</v>
      </c>
      <c r="H1753" s="3" t="n">
        <v>12.149331</v>
      </c>
      <c r="I1753" s="3" t="n">
        <v>14.160189</v>
      </c>
      <c r="J1753" s="3" t="n">
        <v>10.330288</v>
      </c>
      <c r="K1753" s="3" t="n">
        <v>3.554995</v>
      </c>
      <c r="L1753" s="3" t="n">
        <v>6.944505</v>
      </c>
      <c r="M1753" s="3" t="n">
        <v>9.514289</v>
      </c>
      <c r="N1753" s="3" t="n">
        <v>11.390709</v>
      </c>
      <c r="O1753" s="3" t="n">
        <v>17.490451</v>
      </c>
      <c r="P1753" s="3" t="n">
        <v>7.427005</v>
      </c>
      <c r="Q1753" s="3" t="n">
        <v>7.291371</v>
      </c>
      <c r="R1753" s="3" t="n">
        <v>8.486592</v>
      </c>
      <c r="S1753" s="3" t="n">
        <v>6.831657</v>
      </c>
      <c r="T1753" s="3" t="n">
        <v>7.57804</v>
      </c>
      <c r="U1753" s="3" t="n">
        <v>9.858275000000001</v>
      </c>
      <c r="V1753" s="3" t="n">
        <v>7.74175</v>
      </c>
      <c r="W1753" s="3" t="n">
        <v>8.843809</v>
      </c>
      <c r="X1753" s="3" t="n">
        <v>12.43465</v>
      </c>
      <c r="Y1753" s="3" t="n">
        <v>23.546929</v>
      </c>
      <c r="Z1753" s="3" t="n">
        <v>26.969342</v>
      </c>
      <c r="AA1753" s="3" t="n">
        <v>16.953114</v>
      </c>
      <c r="AB1753" s="3" t="n">
        <v>7.815872</v>
      </c>
      <c r="AC1753" s="3" t="n">
        <v>7.593003</v>
      </c>
      <c r="AD1753" s="3" t="n">
        <v>10.094453</v>
      </c>
      <c r="AE1753" s="3" t="n">
        <v>8.214941</v>
      </c>
      <c r="AF1753" s="3" t="n">
        <v>8.315678</v>
      </c>
      <c r="AG1753" s="3" t="n">
        <v>5.665415</v>
      </c>
      <c r="AH1753" s="3" t="n">
        <v>6.210819</v>
      </c>
      <c r="AI1753" s="3" t="n">
        <v>5.444724</v>
      </c>
      <c r="AJ1753" s="3" t="n">
        <v>5.069966</v>
      </c>
      <c r="AK1753" s="3" t="n">
        <v>4.946359</v>
      </c>
      <c r="AL1753" s="3" t="n">
        <v>4.964309</v>
      </c>
      <c r="AM1753" s="3" t="n"/>
      <c r="AN1753" s="3" t="n"/>
      <c r="AO1753" s="3" t="n"/>
      <c r="AP1753" s="3" t="n"/>
      <c r="AQ1753" s="3" t="n"/>
      <c r="AR1753" s="3" t="n"/>
      <c r="AS1753" s="3" t="n"/>
      <c r="AT1753" s="3" t="n"/>
      <c r="AU1753" s="3" t="n"/>
    </row>
    <row r="1754">
      <c r="A1754" s="3" t="n">
        <v>2031</v>
      </c>
      <c r="B1754" s="3" t="inlineStr">
        <is>
          <t>LBR</t>
        </is>
      </c>
      <c r="C1754" s="3" t="inlineStr">
        <is>
          <t>IMF.RES:WEO</t>
        </is>
      </c>
      <c r="D1754" s="3" t="inlineStr">
        <is>
          <t>LBR.PPPPC.A</t>
        </is>
      </c>
      <c r="E1754" s="3" t="inlineStr">
        <is>
          <t>Liberia</t>
        </is>
      </c>
      <c r="F1754" s="3" t="inlineStr">
        <is>
          <t>Gross domestic product (GDP), Per capita, purchasing power parity (PPP) international dollar, ICP benchmarks 2017-2021</t>
        </is>
      </c>
      <c r="G1754" s="3" t="n">
        <v>1282.278314</v>
      </c>
      <c r="H1754" s="3" t="n">
        <v>1298.970846</v>
      </c>
      <c r="I1754" s="3" t="n">
        <v>1345.274317</v>
      </c>
      <c r="J1754" s="3" t="n">
        <v>957.885209</v>
      </c>
      <c r="K1754" s="3" t="n">
        <v>1003.462085</v>
      </c>
      <c r="L1754" s="3" t="n">
        <v>1067.620415</v>
      </c>
      <c r="M1754" s="3" t="n">
        <v>1154.063299</v>
      </c>
      <c r="N1754" s="3" t="n">
        <v>1289.139784</v>
      </c>
      <c r="O1754" s="3" t="n">
        <v>1337.776852</v>
      </c>
      <c r="P1754" s="3" t="n">
        <v>1360.842829</v>
      </c>
      <c r="Q1754" s="3" t="n">
        <v>1413.287438</v>
      </c>
      <c r="R1754" s="3" t="n">
        <v>1504.792345</v>
      </c>
      <c r="S1754" s="3" t="n">
        <v>1614.054909</v>
      </c>
      <c r="T1754" s="3" t="n">
        <v>1739.462234</v>
      </c>
      <c r="U1754" s="3" t="n">
        <v>1736.274886</v>
      </c>
      <c r="V1754" s="3" t="n">
        <v>1708.621153</v>
      </c>
      <c r="W1754" s="3" t="n">
        <v>1654.201771</v>
      </c>
      <c r="X1754" s="3" t="n">
        <v>1683.194996</v>
      </c>
      <c r="Y1754" s="3" t="n">
        <v>1763.070723</v>
      </c>
      <c r="Z1754" s="3" t="n">
        <v>1800.755936</v>
      </c>
      <c r="AA1754" s="3" t="n">
        <v>1586.272359</v>
      </c>
      <c r="AB1754" s="3" t="n">
        <v>1537.081836</v>
      </c>
      <c r="AC1754" s="3" t="n">
        <v>1689.006009</v>
      </c>
      <c r="AD1754" s="3" t="n">
        <v>1791.908423</v>
      </c>
      <c r="AE1754" s="3" t="n">
        <v>1869.34071</v>
      </c>
      <c r="AF1754" s="3" t="n">
        <v>1979.422542</v>
      </c>
      <c r="AG1754" s="3" t="n">
        <v>2095.314313</v>
      </c>
      <c r="AH1754" s="3" t="n">
        <v>2206.580336</v>
      </c>
      <c r="AI1754" s="3" t="n">
        <v>2317.565983</v>
      </c>
      <c r="AJ1754" s="3" t="n">
        <v>2439.933978</v>
      </c>
      <c r="AK1754" s="3" t="n">
        <v>2574.599794</v>
      </c>
      <c r="AL1754" s="3" t="n">
        <v>2713.845544</v>
      </c>
      <c r="AM1754" s="3" t="n"/>
      <c r="AN1754" s="3" t="n"/>
      <c r="AO1754" s="3" t="n"/>
      <c r="AP1754" s="3" t="n"/>
      <c r="AQ1754" s="3" t="n"/>
      <c r="AR1754" s="3" t="n"/>
      <c r="AS1754" s="3" t="n"/>
      <c r="AT1754" s="3" t="n"/>
      <c r="AU1754" s="3" t="n"/>
    </row>
    <row r="1755">
      <c r="A1755" s="3" t="n">
        <v>2025</v>
      </c>
      <c r="B1755" s="3" t="inlineStr">
        <is>
          <t>LBR</t>
        </is>
      </c>
      <c r="C1755" s="3" t="inlineStr">
        <is>
          <t>IMF.STA:ER</t>
        </is>
      </c>
      <c r="D1755" s="3" t="inlineStr">
        <is>
          <t>LBR.XDC_USD.PA_RT.A</t>
        </is>
      </c>
      <c r="E1755" s="3" t="inlineStr">
        <is>
          <t>Liberia</t>
        </is>
      </c>
      <c r="F1755" s="3" t="inlineStr">
        <is>
          <t>Domestic currency per US Dollar</t>
        </is>
      </c>
      <c r="G1755" s="3" t="n">
        <v>40.9025</v>
      </c>
      <c r="H1755" s="3" t="n">
        <v>48.591908993784</v>
      </c>
      <c r="I1755" s="3" t="n">
        <v>61.7541666666666</v>
      </c>
      <c r="J1755" s="3" t="n">
        <v>59.3788333333333</v>
      </c>
      <c r="K1755" s="3" t="n">
        <v>54.9058333333333</v>
      </c>
      <c r="L1755" s="3" t="n">
        <v>57.0958333333333</v>
      </c>
      <c r="M1755" s="3" t="n">
        <v>58.0133333333333</v>
      </c>
      <c r="N1755" s="3" t="n">
        <v>61.2722222222222</v>
      </c>
      <c r="O1755" s="3" t="n">
        <v>63.2075</v>
      </c>
      <c r="P1755" s="3" t="n">
        <v>68.2866666666666</v>
      </c>
      <c r="Q1755" s="3" t="n">
        <v>71.40333333333329</v>
      </c>
      <c r="R1755" s="3" t="n">
        <v>72.2266666666666</v>
      </c>
      <c r="S1755" s="3" t="n">
        <v>73.514772079772</v>
      </c>
      <c r="T1755" s="3" t="n">
        <v>77.52</v>
      </c>
      <c r="U1755" s="3" t="n">
        <v>83.8925</v>
      </c>
      <c r="V1755" s="3" t="n">
        <v>86.1883665716999</v>
      </c>
      <c r="W1755" s="3" t="n">
        <v>94.4272435897436</v>
      </c>
      <c r="X1755" s="3" t="n">
        <v>112.706666666666</v>
      </c>
      <c r="Y1755" s="3" t="n">
        <v>144.055575801282</v>
      </c>
      <c r="Z1755" s="3" t="n">
        <v>186.429744551071</v>
      </c>
      <c r="AA1755" s="3" t="n">
        <v>191.517957643462</v>
      </c>
      <c r="AB1755" s="3" t="n">
        <v>166.153700752441</v>
      </c>
      <c r="AC1755" s="3" t="n">
        <v>152.933756840022</v>
      </c>
      <c r="AD1755" s="3" t="n">
        <v>174.955982783514</v>
      </c>
      <c r="AE1755" s="3" t="n">
        <v>191.306666666666</v>
      </c>
      <c r="AF1755" s="3" t="n">
        <v>191.306666666666</v>
      </c>
      <c r="AG1755" s="3" t="n"/>
      <c r="AH1755" s="3" t="n"/>
      <c r="AI1755" s="3" t="n"/>
      <c r="AJ1755" s="3" t="n"/>
      <c r="AK1755" s="3" t="n"/>
      <c r="AL1755" s="3" t="n"/>
      <c r="AM1755" s="3" t="n"/>
      <c r="AN1755" s="3" t="n"/>
      <c r="AO1755" s="3" t="n"/>
      <c r="AP1755" s="3" t="n"/>
      <c r="AQ1755" s="3" t="n"/>
      <c r="AR1755" s="3" t="n"/>
      <c r="AS1755" s="3" t="n"/>
      <c r="AT1755" s="3" t="n"/>
      <c r="AU1755" s="3" t="n"/>
    </row>
    <row r="1756">
      <c r="A1756" s="3" t="n">
        <v>2031</v>
      </c>
      <c r="B1756" s="3" t="inlineStr">
        <is>
          <t>LBY</t>
        </is>
      </c>
      <c r="C1756" s="3" t="inlineStr">
        <is>
          <t>IMF.RES:WEO</t>
        </is>
      </c>
      <c r="D1756" s="3" t="inlineStr">
        <is>
          <t>LBY.BCA.A</t>
        </is>
      </c>
      <c r="E1756" s="3" t="inlineStr">
        <is>
          <t>Libya</t>
        </is>
      </c>
      <c r="F1756" s="3" t="inlineStr">
        <is>
          <t>Current account balance (credit less debit), US dollar</t>
        </is>
      </c>
      <c r="G1756" s="3" t="n">
        <v>4.31083</v>
      </c>
      <c r="H1756" s="3" t="n">
        <v>1.496469</v>
      </c>
      <c r="I1756" s="3" t="n">
        <v>-2.149896</v>
      </c>
      <c r="J1756" s="3" t="n">
        <v>-3.437949</v>
      </c>
      <c r="K1756" s="3" t="n">
        <v>7.031</v>
      </c>
      <c r="L1756" s="3" t="n">
        <v>17.425</v>
      </c>
      <c r="M1756" s="3" t="n">
        <v>28.093</v>
      </c>
      <c r="N1756" s="3" t="n">
        <v>29.825</v>
      </c>
      <c r="O1756" s="3" t="n">
        <v>37.083</v>
      </c>
      <c r="P1756" s="3" t="n">
        <v>9.380000000000001</v>
      </c>
      <c r="Q1756" s="3" t="n">
        <v>14.578</v>
      </c>
      <c r="R1756" s="3" t="n">
        <v>3.173</v>
      </c>
      <c r="S1756" s="3" t="n">
        <v>23.8365</v>
      </c>
      <c r="T1756" s="3" t="n">
        <v>0.009900000000000001</v>
      </c>
      <c r="U1756" s="3" t="n">
        <v>-19.001125</v>
      </c>
      <c r="V1756" s="3" t="n">
        <v>-9.204840000000001</v>
      </c>
      <c r="W1756" s="3" t="n">
        <v>-4.704085</v>
      </c>
      <c r="X1756" s="3" t="n">
        <v>4.413922</v>
      </c>
      <c r="Y1756" s="3" t="n">
        <v>11.273965</v>
      </c>
      <c r="Z1756" s="3" t="n">
        <v>4.63898</v>
      </c>
      <c r="AA1756" s="3" t="n">
        <v>-4.788812</v>
      </c>
      <c r="AB1756" s="3" t="n">
        <v>4.002119</v>
      </c>
      <c r="AC1756" s="3" t="n">
        <v>9.629386999999999</v>
      </c>
      <c r="AD1756" s="3" t="n">
        <v>1.86429</v>
      </c>
      <c r="AE1756" s="3" t="n">
        <v>-2.189437</v>
      </c>
      <c r="AF1756" s="3" t="n">
        <v>-1.68585</v>
      </c>
      <c r="AG1756" s="3" t="n">
        <v>2.181633</v>
      </c>
      <c r="AH1756" s="3" t="n">
        <v>0.825819</v>
      </c>
      <c r="AI1756" s="3" t="n">
        <v>0.453095</v>
      </c>
      <c r="AJ1756" s="3" t="n">
        <v>0.513538</v>
      </c>
      <c r="AK1756" s="3" t="n">
        <v>0.459927</v>
      </c>
      <c r="AL1756" s="3" t="n">
        <v>0.512324</v>
      </c>
      <c r="AM1756" s="3" t="n"/>
      <c r="AN1756" s="3" t="n"/>
      <c r="AO1756" s="3" t="n"/>
      <c r="AP1756" s="3" t="n"/>
      <c r="AQ1756" s="3" t="n"/>
      <c r="AR1756" s="3" t="n"/>
      <c r="AS1756" s="3" t="n"/>
      <c r="AT1756" s="3" t="n"/>
      <c r="AU1756" s="3" t="n"/>
    </row>
    <row r="1757">
      <c r="A1757" s="3" t="n">
        <v>2031</v>
      </c>
      <c r="B1757" s="3" t="inlineStr">
        <is>
          <t>LBY</t>
        </is>
      </c>
      <c r="C1757" s="3" t="inlineStr">
        <is>
          <t>IMF.RES:WEO</t>
        </is>
      </c>
      <c r="D1757" s="3" t="inlineStr">
        <is>
          <t>LBY.BCA_NGDPD.A</t>
        </is>
      </c>
      <c r="E1757" s="3" t="inlineStr">
        <is>
          <t>Libya</t>
        </is>
      </c>
      <c r="F1757" s="3" t="inlineStr">
        <is>
          <t>Current account balance (credit less debit), Percent of GDP</t>
        </is>
      </c>
      <c r="G1757" s="3" t="n">
        <v>10.914171</v>
      </c>
      <c r="H1757" s="3" t="n">
        <v>4.250655</v>
      </c>
      <c r="I1757" s="3" t="n">
        <v>-10.17576</v>
      </c>
      <c r="J1757" s="3" t="n">
        <v>-12.720949</v>
      </c>
      <c r="K1757" s="3" t="n">
        <v>20.646656</v>
      </c>
      <c r="L1757" s="3" t="n">
        <v>35.668857</v>
      </c>
      <c r="M1757" s="3" t="n">
        <v>46.748239</v>
      </c>
      <c r="N1757" s="3" t="n">
        <v>43.724387</v>
      </c>
      <c r="O1757" s="3" t="n">
        <v>42.720405</v>
      </c>
      <c r="P1757" s="3" t="n">
        <v>15.436075</v>
      </c>
      <c r="Q1757" s="3" t="n">
        <v>19.339146</v>
      </c>
      <c r="R1757" s="3" t="n">
        <v>6.587088</v>
      </c>
      <c r="S1757" s="3" t="n">
        <v>25.757386</v>
      </c>
      <c r="T1757" s="3" t="n">
        <v>0.013138</v>
      </c>
      <c r="U1757" s="3" t="n">
        <v>-33.112148</v>
      </c>
      <c r="V1757" s="3" t="n">
        <v>-18.894024</v>
      </c>
      <c r="W1757" s="3" t="n">
        <v>-9.424579</v>
      </c>
      <c r="X1757" s="3" t="n">
        <v>6.572925</v>
      </c>
      <c r="Y1757" s="3" t="n">
        <v>14.702314</v>
      </c>
      <c r="Z1757" s="3" t="n">
        <v>6.700112</v>
      </c>
      <c r="AA1757" s="3" t="n">
        <v>-10.212199</v>
      </c>
      <c r="AB1757" s="3" t="n">
        <v>11.364434</v>
      </c>
      <c r="AC1757" s="3" t="n">
        <v>22.248334</v>
      </c>
      <c r="AD1757" s="3" t="n">
        <v>4.241092</v>
      </c>
      <c r="AE1757" s="3" t="n">
        <v>-4.436657</v>
      </c>
      <c r="AF1757" s="3" t="n">
        <v>-3.768741</v>
      </c>
      <c r="AG1757" s="3" t="n">
        <v>4.159224</v>
      </c>
      <c r="AH1757" s="3" t="n">
        <v>1.648919</v>
      </c>
      <c r="AI1757" s="3" t="n">
        <v>0.910346</v>
      </c>
      <c r="AJ1757" s="3" t="n">
        <v>1.030339</v>
      </c>
      <c r="AK1757" s="3" t="n">
        <v>0.9242320000000001</v>
      </c>
      <c r="AL1757" s="3" t="n">
        <v>1.035571</v>
      </c>
      <c r="AM1757" s="3" t="n"/>
      <c r="AN1757" s="3" t="n"/>
      <c r="AO1757" s="3" t="n"/>
      <c r="AP1757" s="3" t="n"/>
      <c r="AQ1757" s="3" t="n"/>
      <c r="AR1757" s="3" t="n"/>
      <c r="AS1757" s="3" t="n"/>
      <c r="AT1757" s="3" t="n"/>
      <c r="AU1757" s="3" t="n"/>
    </row>
    <row r="1758">
      <c r="A1758" s="3" t="n">
        <v>2031</v>
      </c>
      <c r="B1758" s="3" t="inlineStr">
        <is>
          <t>LBY</t>
        </is>
      </c>
      <c r="C1758" s="3" t="inlineStr">
        <is>
          <t>IMF.RES:WEO</t>
        </is>
      </c>
      <c r="D1758" s="3" t="inlineStr">
        <is>
          <t>LBY.GGR_NGDP.A</t>
        </is>
      </c>
      <c r="E1758" s="3" t="inlineStr">
        <is>
          <t>Libya</t>
        </is>
      </c>
      <c r="F1758" s="3" t="inlineStr">
        <is>
          <t>Revenue, General government, Percent of GDP</t>
        </is>
      </c>
      <c r="G1758" s="3" t="n">
        <v>40.408538</v>
      </c>
      <c r="H1758" s="3" t="n">
        <v>37.045771</v>
      </c>
      <c r="I1758" s="3" t="n">
        <v>47.865414</v>
      </c>
      <c r="J1758" s="3" t="n">
        <v>47.885684</v>
      </c>
      <c r="K1758" s="3" t="n">
        <v>52.368127</v>
      </c>
      <c r="L1758" s="3" t="n">
        <v>58.533349</v>
      </c>
      <c r="M1758" s="3" t="n">
        <v>57.5857</v>
      </c>
      <c r="N1758" s="3" t="n">
        <v>61.804437</v>
      </c>
      <c r="O1758" s="3" t="n">
        <v>68.708983</v>
      </c>
      <c r="P1758" s="3" t="n">
        <v>54.818054</v>
      </c>
      <c r="Q1758" s="3" t="n">
        <v>64.40770500000001</v>
      </c>
      <c r="R1758" s="3" t="n">
        <v>28.1757</v>
      </c>
      <c r="S1758" s="3" t="n">
        <v>63.991975</v>
      </c>
      <c r="T1758" s="3" t="n">
        <v>57.160061</v>
      </c>
      <c r="U1758" s="3" t="n">
        <v>29.511087</v>
      </c>
      <c r="V1758" s="3" t="n">
        <v>25.03054</v>
      </c>
      <c r="W1758" s="3" t="n">
        <v>12.745943</v>
      </c>
      <c r="X1758" s="3" t="n">
        <v>23.863525</v>
      </c>
      <c r="Y1758" s="3" t="n">
        <v>46.948715</v>
      </c>
      <c r="Z1758" s="3" t="n">
        <v>59.239723</v>
      </c>
      <c r="AA1758" s="3" t="n">
        <v>35.069373</v>
      </c>
      <c r="AB1758" s="3" t="n">
        <v>79.534496</v>
      </c>
      <c r="AC1758" s="3" t="n">
        <v>85.783754</v>
      </c>
      <c r="AD1758" s="3" t="n">
        <v>73.57370299999999</v>
      </c>
      <c r="AE1758" s="3" t="n">
        <v>70.362855</v>
      </c>
      <c r="AF1758" s="3" t="n">
        <v>71.20789000000001</v>
      </c>
      <c r="AG1758" s="3" t="n">
        <v>67.87112399999999</v>
      </c>
      <c r="AH1758" s="3" t="n">
        <v>65.54893800000001</v>
      </c>
      <c r="AI1758" s="3" t="n">
        <v>63.95641</v>
      </c>
      <c r="AJ1758" s="3" t="n">
        <v>63.39274</v>
      </c>
      <c r="AK1758" s="3" t="n">
        <v>63.263201</v>
      </c>
      <c r="AL1758" s="3" t="n">
        <v>63.296162</v>
      </c>
      <c r="AM1758" s="3" t="n"/>
      <c r="AN1758" s="3" t="n"/>
      <c r="AO1758" s="3" t="n"/>
      <c r="AP1758" s="3" t="n"/>
      <c r="AQ1758" s="3" t="n"/>
      <c r="AR1758" s="3" t="n"/>
      <c r="AS1758" s="3" t="n"/>
      <c r="AT1758" s="3" t="n"/>
      <c r="AU1758" s="3" t="n"/>
    </row>
    <row r="1759">
      <c r="A1759" s="3" t="n">
        <v>2031</v>
      </c>
      <c r="B1759" s="3" t="inlineStr">
        <is>
          <t>LBY</t>
        </is>
      </c>
      <c r="C1759" s="3" t="inlineStr">
        <is>
          <t>IMF.RES:WEO</t>
        </is>
      </c>
      <c r="D1759" s="3" t="inlineStr">
        <is>
          <t>LBY.GGX_NGDP.A</t>
        </is>
      </c>
      <c r="E1759" s="3" t="inlineStr">
        <is>
          <t>Libya</t>
        </is>
      </c>
      <c r="F1759" s="3" t="inlineStr">
        <is>
          <t>Expenditure, General government, Percent of GDP</t>
        </is>
      </c>
      <c r="G1759" s="3" t="n">
        <v>26.768917</v>
      </c>
      <c r="H1759" s="3" t="n">
        <v>36.978874</v>
      </c>
      <c r="I1759" s="3" t="n">
        <v>40.874205</v>
      </c>
      <c r="J1759" s="3" t="n">
        <v>41.719898</v>
      </c>
      <c r="K1759" s="3" t="n">
        <v>41.056054</v>
      </c>
      <c r="L1759" s="3" t="n">
        <v>28.151955</v>
      </c>
      <c r="M1759" s="3" t="n">
        <v>28.494515</v>
      </c>
      <c r="N1759" s="3" t="n">
        <v>33.441752</v>
      </c>
      <c r="O1759" s="3" t="n">
        <v>41.032294</v>
      </c>
      <c r="P1759" s="3" t="n">
        <v>60.277519</v>
      </c>
      <c r="Q1759" s="3" t="n">
        <v>52.939063</v>
      </c>
      <c r="R1759" s="3" t="n">
        <v>39.625889</v>
      </c>
      <c r="S1759" s="3" t="n">
        <v>39.379281</v>
      </c>
      <c r="T1759" s="3" t="n">
        <v>73.459037</v>
      </c>
      <c r="U1759" s="3" t="n">
        <v>60.018877</v>
      </c>
      <c r="V1759" s="3" t="n">
        <v>53.522864</v>
      </c>
      <c r="W1759" s="3" t="n">
        <v>42.035875</v>
      </c>
      <c r="X1759" s="3" t="n">
        <v>34.925303</v>
      </c>
      <c r="Y1759" s="3" t="n">
        <v>37.556031</v>
      </c>
      <c r="Z1759" s="3" t="n">
        <v>47.310031</v>
      </c>
      <c r="AA1759" s="3" t="n">
        <v>57.342375</v>
      </c>
      <c r="AB1759" s="3" t="n">
        <v>64.706112</v>
      </c>
      <c r="AC1759" s="3" t="n">
        <v>62.189169</v>
      </c>
      <c r="AD1759" s="3" t="n">
        <v>80.738021</v>
      </c>
      <c r="AE1759" s="3" t="n">
        <v>96.293498</v>
      </c>
      <c r="AF1759" s="3" t="n">
        <v>102.268684</v>
      </c>
      <c r="AG1759" s="3" t="n">
        <v>88.779529</v>
      </c>
      <c r="AH1759" s="3" t="n">
        <v>89.390224</v>
      </c>
      <c r="AI1759" s="3" t="n">
        <v>87.841351</v>
      </c>
      <c r="AJ1759" s="3" t="n">
        <v>86.060666</v>
      </c>
      <c r="AK1759" s="3" t="n">
        <v>84.645748</v>
      </c>
      <c r="AL1759" s="3" t="n">
        <v>83.663785</v>
      </c>
      <c r="AM1759" s="3" t="n"/>
      <c r="AN1759" s="3" t="n"/>
      <c r="AO1759" s="3" t="n"/>
      <c r="AP1759" s="3" t="n"/>
      <c r="AQ1759" s="3" t="n"/>
      <c r="AR1759" s="3" t="n"/>
      <c r="AS1759" s="3" t="n"/>
      <c r="AT1759" s="3" t="n"/>
      <c r="AU1759" s="3" t="n"/>
    </row>
    <row r="1760">
      <c r="A1760" s="3" t="n">
        <v>2031</v>
      </c>
      <c r="B1760" s="3" t="inlineStr">
        <is>
          <t>LBY</t>
        </is>
      </c>
      <c r="C1760" s="3" t="inlineStr">
        <is>
          <t>IMF.RES:WEO</t>
        </is>
      </c>
      <c r="D1760" s="3" t="inlineStr">
        <is>
          <t>LBY.LP.A</t>
        </is>
      </c>
      <c r="E1760" s="3" t="inlineStr">
        <is>
          <t>Libya</t>
        </is>
      </c>
      <c r="F1760" s="3" t="inlineStr">
        <is>
          <t>Population, Persons for countries / Index for country groups</t>
        </is>
      </c>
      <c r="G1760" s="3" t="n">
        <v>5.305021</v>
      </c>
      <c r="H1760" s="3" t="n">
        <v>5.403639</v>
      </c>
      <c r="I1760" s="3" t="n">
        <v>5.50841</v>
      </c>
      <c r="J1760" s="3" t="n">
        <v>5.619398</v>
      </c>
      <c r="K1760" s="3" t="n">
        <v>5.736693</v>
      </c>
      <c r="L1760" s="3" t="n">
        <v>5.858798</v>
      </c>
      <c r="M1760" s="3" t="n">
        <v>5.980211</v>
      </c>
      <c r="N1760" s="3" t="n">
        <v>6.10438</v>
      </c>
      <c r="O1760" s="3" t="n">
        <v>6.23543</v>
      </c>
      <c r="P1760" s="3" t="n">
        <v>6.366686</v>
      </c>
      <c r="Q1760" s="3" t="n">
        <v>6.497839</v>
      </c>
      <c r="R1760" s="3" t="n">
        <v>6.343203</v>
      </c>
      <c r="S1760" s="3" t="n">
        <v>6.179328</v>
      </c>
      <c r="T1760" s="3" t="n">
        <v>6.304628</v>
      </c>
      <c r="U1760" s="3" t="n">
        <v>6.427252</v>
      </c>
      <c r="V1760" s="3" t="n">
        <v>6.531819</v>
      </c>
      <c r="W1760" s="3" t="n">
        <v>6.632126</v>
      </c>
      <c r="X1760" s="3" t="n">
        <v>6.73877</v>
      </c>
      <c r="Y1760" s="3" t="n">
        <v>6.849055</v>
      </c>
      <c r="Z1760" s="3" t="n">
        <v>6.951033</v>
      </c>
      <c r="AA1760" s="3" t="n">
        <v>7.045399</v>
      </c>
      <c r="AB1760" s="3" t="n">
        <v>7.135175</v>
      </c>
      <c r="AC1760" s="3" t="n">
        <v>7.223805</v>
      </c>
      <c r="AD1760" s="3" t="n">
        <v>7.305659</v>
      </c>
      <c r="AE1760" s="3" t="n">
        <v>7.381023</v>
      </c>
      <c r="AF1760" s="3" t="n">
        <v>7.457164</v>
      </c>
      <c r="AG1760" s="3" t="n">
        <v>7.534091</v>
      </c>
      <c r="AH1760" s="3" t="n">
        <v>7.611812</v>
      </c>
      <c r="AI1760" s="3" t="n">
        <v>7.690334</v>
      </c>
      <c r="AJ1760" s="3" t="n">
        <v>7.769666</v>
      </c>
      <c r="AK1760" s="3" t="n">
        <v>7.849817</v>
      </c>
      <c r="AL1760" s="3" t="n">
        <v>7.930794</v>
      </c>
      <c r="AM1760" s="3" t="n"/>
      <c r="AN1760" s="3" t="n"/>
      <c r="AO1760" s="3" t="n"/>
      <c r="AP1760" s="3" t="n"/>
      <c r="AQ1760" s="3" t="n"/>
      <c r="AR1760" s="3" t="n"/>
      <c r="AS1760" s="3" t="n"/>
      <c r="AT1760" s="3" t="n"/>
      <c r="AU1760" s="3" t="n"/>
    </row>
    <row r="1761">
      <c r="A1761" s="3" t="n">
        <v>2031</v>
      </c>
      <c r="B1761" s="3" t="inlineStr">
        <is>
          <t>LBY</t>
        </is>
      </c>
      <c r="C1761" s="3" t="inlineStr">
        <is>
          <t>IMF.RES:WEO</t>
        </is>
      </c>
      <c r="D1761" s="3" t="inlineStr">
        <is>
          <t>LBY.NGDP.A</t>
        </is>
      </c>
      <c r="E1761" s="3" t="inlineStr">
        <is>
          <t>Libya</t>
        </is>
      </c>
      <c r="F1761" s="3" t="inlineStr">
        <is>
          <t>Gross domestic product (GDP), Current prices, Domestic currency</t>
        </is>
      </c>
      <c r="G1761" s="3" t="n">
        <v>20.230222</v>
      </c>
      <c r="H1761" s="3" t="n">
        <v>21.3017</v>
      </c>
      <c r="I1761" s="3" t="n">
        <v>26.846426</v>
      </c>
      <c r="J1761" s="3" t="n">
        <v>34.695691</v>
      </c>
      <c r="K1761" s="3" t="n">
        <v>44.439244</v>
      </c>
      <c r="L1761" s="3" t="n">
        <v>63.917409</v>
      </c>
      <c r="M1761" s="3" t="n">
        <v>78.938</v>
      </c>
      <c r="N1761" s="3" t="n">
        <v>85.9016</v>
      </c>
      <c r="O1761" s="3" t="n">
        <v>106.096</v>
      </c>
      <c r="P1761" s="3" t="n">
        <v>76.22580000000001</v>
      </c>
      <c r="Q1761" s="3" t="n">
        <v>95.49160000000001</v>
      </c>
      <c r="R1761" s="3" t="n">
        <v>58.9665</v>
      </c>
      <c r="S1761" s="3" t="n">
        <v>116.755</v>
      </c>
      <c r="T1761" s="3" t="n">
        <v>95.8232</v>
      </c>
      <c r="U1761" s="3" t="n">
        <v>73.00069999999999</v>
      </c>
      <c r="V1761" s="3" t="n">
        <v>67.289</v>
      </c>
      <c r="W1761" s="3" t="n">
        <v>69.39619999999999</v>
      </c>
      <c r="X1761" s="3" t="n">
        <v>93.6052</v>
      </c>
      <c r="Y1761" s="3" t="n">
        <v>104.674</v>
      </c>
      <c r="Z1761" s="3" t="n">
        <v>96.8357</v>
      </c>
      <c r="AA1761" s="3" t="n">
        <v>65.065321</v>
      </c>
      <c r="AB1761" s="3" t="n">
        <v>158.989</v>
      </c>
      <c r="AC1761" s="3" t="n">
        <v>208.152</v>
      </c>
      <c r="AD1761" s="3" t="n">
        <v>211.911313</v>
      </c>
      <c r="AE1761" s="3" t="n">
        <v>239.060793</v>
      </c>
      <c r="AF1761" s="3" t="n">
        <v>236.408635</v>
      </c>
      <c r="AG1761" s="3" t="n">
        <v>332.864631</v>
      </c>
      <c r="AH1761" s="3" t="n">
        <v>376.253143</v>
      </c>
      <c r="AI1761" s="3" t="n">
        <v>438.885907</v>
      </c>
      <c r="AJ1761" s="3" t="n">
        <v>516.277065</v>
      </c>
      <c r="AK1761" s="3" t="n">
        <v>606.427599</v>
      </c>
      <c r="AL1761" s="3" t="n">
        <v>709.2787939999999</v>
      </c>
      <c r="AM1761" s="3" t="n"/>
      <c r="AN1761" s="3" t="n"/>
      <c r="AO1761" s="3" t="n"/>
      <c r="AP1761" s="3" t="n"/>
      <c r="AQ1761" s="3" t="n"/>
      <c r="AR1761" s="3" t="n"/>
      <c r="AS1761" s="3" t="n"/>
      <c r="AT1761" s="3" t="n"/>
      <c r="AU1761" s="3" t="n"/>
    </row>
    <row r="1762">
      <c r="A1762" s="3" t="n">
        <v>2031</v>
      </c>
      <c r="B1762" s="3" t="inlineStr">
        <is>
          <t>LBY</t>
        </is>
      </c>
      <c r="C1762" s="3" t="inlineStr">
        <is>
          <t>IMF.RES:WEO</t>
        </is>
      </c>
      <c r="D1762" s="3" t="inlineStr">
        <is>
          <t>LBY.NGDP_D.A</t>
        </is>
      </c>
      <c r="E1762" s="3" t="inlineStr">
        <is>
          <t>Libya</t>
        </is>
      </c>
      <c r="F1762" s="3" t="inlineStr">
        <is>
          <t>Gross domestic product (GDP), Price deflator, Index</t>
        </is>
      </c>
      <c r="G1762" s="3" t="n">
        <v>23.045494</v>
      </c>
      <c r="H1762" s="3" t="n">
        <v>23.645089</v>
      </c>
      <c r="I1762" s="3" t="n">
        <v>30.953355</v>
      </c>
      <c r="J1762" s="3" t="n">
        <v>34.442654</v>
      </c>
      <c r="K1762" s="3" t="n">
        <v>41.679129</v>
      </c>
      <c r="L1762" s="3" t="n">
        <v>54.192641</v>
      </c>
      <c r="M1762" s="3" t="n">
        <v>66.742085</v>
      </c>
      <c r="N1762" s="3" t="n">
        <v>68.370294</v>
      </c>
      <c r="O1762" s="3" t="n">
        <v>84.58049800000001</v>
      </c>
      <c r="P1762" s="3" t="n">
        <v>63.564671</v>
      </c>
      <c r="Q1762" s="3" t="n">
        <v>75.818816</v>
      </c>
      <c r="R1762" s="3" t="n">
        <v>94.27535399999999</v>
      </c>
      <c r="S1762" s="3" t="n">
        <v>99.91459500000001</v>
      </c>
      <c r="T1762" s="3" t="n">
        <v>99.999791</v>
      </c>
      <c r="U1762" s="3" t="n">
        <v>98.993396</v>
      </c>
      <c r="V1762" s="3" t="n">
        <v>92.02342400000001</v>
      </c>
      <c r="W1762" s="3" t="n">
        <v>96.341595</v>
      </c>
      <c r="X1762" s="3" t="n">
        <v>98.08195499999999</v>
      </c>
      <c r="Y1762" s="3" t="n">
        <v>101.61084</v>
      </c>
      <c r="Z1762" s="3" t="n">
        <v>105.852884</v>
      </c>
      <c r="AA1762" s="3" t="n">
        <v>100.822488</v>
      </c>
      <c r="AB1762" s="3" t="n">
        <v>193.481506</v>
      </c>
      <c r="AC1762" s="3" t="n">
        <v>277.222031</v>
      </c>
      <c r="AD1762" s="3" t="n">
        <v>255.470512</v>
      </c>
      <c r="AE1762" s="3" t="n">
        <v>276.611321</v>
      </c>
      <c r="AF1762" s="3" t="n">
        <v>236.074301</v>
      </c>
      <c r="AG1762" s="3" t="n">
        <v>311.464413</v>
      </c>
      <c r="AH1762" s="3" t="n">
        <v>336.898305</v>
      </c>
      <c r="AI1762" s="3" t="n">
        <v>376.19666</v>
      </c>
      <c r="AJ1762" s="3" t="n">
        <v>424.76904</v>
      </c>
      <c r="AK1762" s="3" t="n">
        <v>479.876172</v>
      </c>
      <c r="AL1762" s="3" t="n">
        <v>540.930801</v>
      </c>
      <c r="AM1762" s="3" t="n"/>
      <c r="AN1762" s="3" t="n"/>
      <c r="AO1762" s="3" t="n"/>
      <c r="AP1762" s="3" t="n"/>
      <c r="AQ1762" s="3" t="n"/>
      <c r="AR1762" s="3" t="n"/>
      <c r="AS1762" s="3" t="n"/>
      <c r="AT1762" s="3" t="n"/>
      <c r="AU1762" s="3" t="n"/>
    </row>
    <row r="1763">
      <c r="A1763" s="3" t="n">
        <v>2031</v>
      </c>
      <c r="B1763" s="3" t="inlineStr">
        <is>
          <t>LBY</t>
        </is>
      </c>
      <c r="C1763" s="3" t="inlineStr">
        <is>
          <t>IMF.RES:WEO</t>
        </is>
      </c>
      <c r="D1763" s="3" t="inlineStr">
        <is>
          <t>LBY.NGDP_R.A</t>
        </is>
      </c>
      <c r="E1763" s="3" t="inlineStr">
        <is>
          <t>Libya</t>
        </is>
      </c>
      <c r="F1763" s="3" t="inlineStr">
        <is>
          <t>Gross domestic product (GDP), Constant prices, Domestic currency</t>
        </is>
      </c>
      <c r="G1763" s="3" t="n">
        <v>87.78385</v>
      </c>
      <c r="H1763" s="3" t="n">
        <v>90.08932</v>
      </c>
      <c r="I1763" s="3" t="n">
        <v>86.73187799999999</v>
      </c>
      <c r="J1763" s="3" t="n">
        <v>100.734661</v>
      </c>
      <c r="K1763" s="3" t="n">
        <v>106.622296</v>
      </c>
      <c r="L1763" s="3" t="n">
        <v>117.944813</v>
      </c>
      <c r="M1763" s="3" t="n">
        <v>118.2732</v>
      </c>
      <c r="N1763" s="3" t="n">
        <v>125.6417</v>
      </c>
      <c r="O1763" s="3" t="n">
        <v>125.4379</v>
      </c>
      <c r="P1763" s="3" t="n">
        <v>119.9185</v>
      </c>
      <c r="Q1763" s="3" t="n">
        <v>125.9471</v>
      </c>
      <c r="R1763" s="3" t="n">
        <v>62.5471</v>
      </c>
      <c r="S1763" s="3" t="n">
        <v>116.8548</v>
      </c>
      <c r="T1763" s="3" t="n">
        <v>95.82340000000001</v>
      </c>
      <c r="U1763" s="3" t="n">
        <v>73.74299999999999</v>
      </c>
      <c r="V1763" s="3" t="n">
        <v>73.1216</v>
      </c>
      <c r="W1763" s="3" t="n">
        <v>72.0314</v>
      </c>
      <c r="X1763" s="3" t="n">
        <v>95.4357</v>
      </c>
      <c r="Y1763" s="3" t="n">
        <v>103.0146</v>
      </c>
      <c r="Z1763" s="3" t="n">
        <v>91.48139999999999</v>
      </c>
      <c r="AA1763" s="3" t="n">
        <v>64.534532</v>
      </c>
      <c r="AB1763" s="3" t="n">
        <v>82.172712</v>
      </c>
      <c r="AC1763" s="3" t="n">
        <v>75.084941</v>
      </c>
      <c r="AD1763" s="3" t="n">
        <v>82.949422</v>
      </c>
      <c r="AE1763" s="3" t="n">
        <v>86.42480399999999</v>
      </c>
      <c r="AF1763" s="3" t="n">
        <v>100.141622</v>
      </c>
      <c r="AG1763" s="3" t="n">
        <v>106.870839</v>
      </c>
      <c r="AH1763" s="3" t="n">
        <v>111.681519</v>
      </c>
      <c r="AI1763" s="3" t="n">
        <v>116.663956</v>
      </c>
      <c r="AJ1763" s="3" t="n">
        <v>121.543007</v>
      </c>
      <c r="AK1763" s="3" t="n">
        <v>126.371684</v>
      </c>
      <c r="AL1763" s="3" t="n">
        <v>131.121909</v>
      </c>
      <c r="AM1763" s="3" t="n"/>
      <c r="AN1763" s="3" t="n"/>
      <c r="AO1763" s="3" t="n"/>
      <c r="AP1763" s="3" t="n"/>
      <c r="AQ1763" s="3" t="n"/>
      <c r="AR1763" s="3" t="n"/>
      <c r="AS1763" s="3" t="n"/>
      <c r="AT1763" s="3" t="n"/>
      <c r="AU1763" s="3" t="n"/>
    </row>
    <row r="1764">
      <c r="A1764" s="3" t="n">
        <v>2031</v>
      </c>
      <c r="B1764" s="3" t="inlineStr">
        <is>
          <t>LBY</t>
        </is>
      </c>
      <c r="C1764" s="3" t="inlineStr">
        <is>
          <t>IMF.RES:WEO</t>
        </is>
      </c>
      <c r="D1764" s="3" t="inlineStr">
        <is>
          <t>LBY.NGDP_RPCH.A</t>
        </is>
      </c>
      <c r="E1764" s="3" t="inlineStr">
        <is>
          <t>Libya</t>
        </is>
      </c>
      <c r="F1764" s="3" t="inlineStr">
        <is>
          <t>Gross domestic product (GDP), Constant prices, Percent change</t>
        </is>
      </c>
      <c r="G1764" s="3" t="n">
        <v>4.04198</v>
      </c>
      <c r="H1764" s="3" t="n">
        <v>2.626303</v>
      </c>
      <c r="I1764" s="3" t="n">
        <v>-3.726792</v>
      </c>
      <c r="J1764" s="3" t="n">
        <v>16.144909</v>
      </c>
      <c r="K1764" s="3" t="n">
        <v>5.844696</v>
      </c>
      <c r="L1764" s="3" t="n">
        <v>10.619277</v>
      </c>
      <c r="M1764" s="3" t="n">
        <v>0.278424</v>
      </c>
      <c r="N1764" s="3" t="n">
        <v>6.230067</v>
      </c>
      <c r="O1764" s="3" t="n">
        <v>-0.162207</v>
      </c>
      <c r="P1764" s="3" t="n">
        <v>-4.400106</v>
      </c>
      <c r="Q1764" s="3" t="n">
        <v>5.027248</v>
      </c>
      <c r="R1764" s="3" t="n">
        <v>-50.338595</v>
      </c>
      <c r="S1764" s="3" t="n">
        <v>86.826887</v>
      </c>
      <c r="T1764" s="3" t="n">
        <v>-17.997891</v>
      </c>
      <c r="U1764" s="3" t="n">
        <v>-23.042806</v>
      </c>
      <c r="V1764" s="3" t="n">
        <v>-0.842656</v>
      </c>
      <c r="W1764" s="3" t="n">
        <v>-1.490941</v>
      </c>
      <c r="X1764" s="3" t="n">
        <v>32.491802</v>
      </c>
      <c r="Y1764" s="3" t="n">
        <v>7.941368</v>
      </c>
      <c r="Z1764" s="3" t="n">
        <v>-11.195695</v>
      </c>
      <c r="AA1764" s="3" t="n">
        <v>-29.456117</v>
      </c>
      <c r="AB1764" s="3" t="n">
        <v>27.331382</v>
      </c>
      <c r="AC1764" s="3" t="n">
        <v>-8.625455000000001</v>
      </c>
      <c r="AD1764" s="3" t="n">
        <v>10.474112</v>
      </c>
      <c r="AE1764" s="3" t="n">
        <v>4.189761</v>
      </c>
      <c r="AF1764" s="3" t="n">
        <v>15.87139</v>
      </c>
      <c r="AG1764" s="3" t="n">
        <v>6.7197</v>
      </c>
      <c r="AH1764" s="3" t="n">
        <v>4.501396</v>
      </c>
      <c r="AI1764" s="3" t="n">
        <v>4.461291</v>
      </c>
      <c r="AJ1764" s="3" t="n">
        <v>4.182141</v>
      </c>
      <c r="AK1764" s="3" t="n">
        <v>3.972813</v>
      </c>
      <c r="AL1764" s="3" t="n">
        <v>3.758932</v>
      </c>
      <c r="AM1764" s="3" t="n"/>
      <c r="AN1764" s="3" t="n"/>
      <c r="AO1764" s="3" t="n"/>
      <c r="AP1764" s="3" t="n"/>
      <c r="AQ1764" s="3" t="n"/>
      <c r="AR1764" s="3" t="n"/>
      <c r="AS1764" s="3" t="n"/>
      <c r="AT1764" s="3" t="n"/>
      <c r="AU1764" s="3" t="n"/>
    </row>
    <row r="1765">
      <c r="A1765" s="3" t="n">
        <v>2031</v>
      </c>
      <c r="B1765" s="3" t="inlineStr">
        <is>
          <t>LBY</t>
        </is>
      </c>
      <c r="C1765" s="3" t="inlineStr">
        <is>
          <t>IMF.RES:WEO</t>
        </is>
      </c>
      <c r="D1765" s="3" t="inlineStr">
        <is>
          <t>LBY.NGDPD.A</t>
        </is>
      </c>
      <c r="E1765" s="3" t="inlineStr">
        <is>
          <t>Libya</t>
        </is>
      </c>
      <c r="F1765" s="3" t="inlineStr">
        <is>
          <t>Gross domestic product (GDP), Current prices, US dollar</t>
        </is>
      </c>
      <c r="G1765" s="3" t="n">
        <v>39.49755</v>
      </c>
      <c r="H1765" s="3" t="n">
        <v>35.205614</v>
      </c>
      <c r="I1765" s="3" t="n">
        <v>21.127621</v>
      </c>
      <c r="J1765" s="3" t="n">
        <v>27.025888</v>
      </c>
      <c r="K1765" s="3" t="n">
        <v>34.05394</v>
      </c>
      <c r="L1765" s="3" t="n">
        <v>48.85214</v>
      </c>
      <c r="M1765" s="3" t="n">
        <v>60.094242</v>
      </c>
      <c r="N1765" s="3" t="n">
        <v>68.21136199999999</v>
      </c>
      <c r="O1765" s="3" t="n">
        <v>86.80395300000001</v>
      </c>
      <c r="P1765" s="3" t="n">
        <v>60.766744</v>
      </c>
      <c r="Q1765" s="3" t="n">
        <v>75.380786</v>
      </c>
      <c r="R1765" s="3" t="n">
        <v>48.169995</v>
      </c>
      <c r="S1765" s="3" t="n">
        <v>92.54238599999999</v>
      </c>
      <c r="T1765" s="3" t="n">
        <v>75.354888</v>
      </c>
      <c r="U1765" s="3" t="n">
        <v>57.384149</v>
      </c>
      <c r="V1765" s="3" t="n">
        <v>48.718261</v>
      </c>
      <c r="W1765" s="3" t="n">
        <v>49.91294</v>
      </c>
      <c r="X1765" s="3" t="n">
        <v>67.15308400000001</v>
      </c>
      <c r="Y1765" s="3" t="n">
        <v>76.68156999999999</v>
      </c>
      <c r="Z1765" s="3" t="n">
        <v>69.237351</v>
      </c>
      <c r="AA1765" s="3" t="n">
        <v>46.893054</v>
      </c>
      <c r="AB1765" s="3" t="n">
        <v>35.216178</v>
      </c>
      <c r="AC1765" s="3" t="n">
        <v>43.281385</v>
      </c>
      <c r="AD1765" s="3" t="n">
        <v>43.95778</v>
      </c>
      <c r="AE1765" s="3" t="n">
        <v>49.34879</v>
      </c>
      <c r="AF1765" s="3" t="n">
        <v>44.73245</v>
      </c>
      <c r="AG1765" s="3" t="n">
        <v>52.4529</v>
      </c>
      <c r="AH1765" s="3" t="n">
        <v>50.082417</v>
      </c>
      <c r="AI1765" s="3" t="n">
        <v>49.771743</v>
      </c>
      <c r="AJ1765" s="3" t="n">
        <v>49.841664</v>
      </c>
      <c r="AK1765" s="3" t="n">
        <v>49.763118</v>
      </c>
      <c r="AL1765" s="3" t="n">
        <v>49.472576</v>
      </c>
      <c r="AM1765" s="3" t="n"/>
      <c r="AN1765" s="3" t="n"/>
      <c r="AO1765" s="3" t="n"/>
      <c r="AP1765" s="3" t="n"/>
      <c r="AQ1765" s="3" t="n"/>
      <c r="AR1765" s="3" t="n"/>
      <c r="AS1765" s="3" t="n"/>
      <c r="AT1765" s="3" t="n"/>
      <c r="AU1765" s="3" t="n"/>
    </row>
    <row r="1766">
      <c r="A1766" s="3" t="n">
        <v>2031</v>
      </c>
      <c r="B1766" s="3" t="inlineStr">
        <is>
          <t>LBY</t>
        </is>
      </c>
      <c r="C1766" s="3" t="inlineStr">
        <is>
          <t>IMF.RES:WEO</t>
        </is>
      </c>
      <c r="D1766" s="3" t="inlineStr">
        <is>
          <t>LBY.NGDPPC.A</t>
        </is>
      </c>
      <c r="E1766" s="3" t="inlineStr">
        <is>
          <t>Libya</t>
        </is>
      </c>
      <c r="F1766" s="3" t="inlineStr">
        <is>
          <t>Gross domestic product (GDP), Current prices, Per capita, Domestic currency</t>
        </is>
      </c>
      <c r="G1766" s="3" t="n">
        <v>3813.410274</v>
      </c>
      <c r="H1766" s="3" t="n">
        <v>3942.10271</v>
      </c>
      <c r="I1766" s="3" t="n">
        <v>4873.715985</v>
      </c>
      <c r="J1766" s="3" t="n">
        <v>6174.271852</v>
      </c>
      <c r="K1766" s="3" t="n">
        <v>7746.491601</v>
      </c>
      <c r="L1766" s="3" t="n">
        <v>10909.645444</v>
      </c>
      <c r="M1766" s="3" t="n">
        <v>13199.8687</v>
      </c>
      <c r="N1766" s="3" t="n">
        <v>14072.125261</v>
      </c>
      <c r="O1766" s="3" t="n">
        <v>17015.025427</v>
      </c>
      <c r="P1766" s="3" t="n">
        <v>11972.602387</v>
      </c>
      <c r="Q1766" s="3" t="n">
        <v>14695.901207</v>
      </c>
      <c r="R1766" s="3" t="n">
        <v>9296.013386000001</v>
      </c>
      <c r="S1766" s="3" t="n">
        <v>18894.449364</v>
      </c>
      <c r="T1766" s="3" t="n">
        <v>15198.86661</v>
      </c>
      <c r="U1766" s="3" t="n">
        <v>11357.99561</v>
      </c>
      <c r="V1766" s="3" t="n">
        <v>10301.724527</v>
      </c>
      <c r="W1766" s="3" t="n">
        <v>10463.643182</v>
      </c>
      <c r="X1766" s="3" t="n">
        <v>13890.546791</v>
      </c>
      <c r="Y1766" s="3" t="n">
        <v>15282.984295</v>
      </c>
      <c r="Z1766" s="3" t="n">
        <v>13931.123619</v>
      </c>
      <c r="AA1766" s="3" t="n">
        <v>9235.150604</v>
      </c>
      <c r="AB1766" s="3" t="n">
        <v>22282.424748</v>
      </c>
      <c r="AC1766" s="3" t="n">
        <v>28814.731295</v>
      </c>
      <c r="AD1766" s="3" t="n">
        <v>29006.46108</v>
      </c>
      <c r="AE1766" s="3" t="n">
        <v>32388.571775</v>
      </c>
      <c r="AF1766" s="3" t="n">
        <v>31702.215608</v>
      </c>
      <c r="AG1766" s="3" t="n">
        <v>44181.124862</v>
      </c>
      <c r="AH1766" s="3" t="n">
        <v>49430.168749</v>
      </c>
      <c r="AI1766" s="3" t="n">
        <v>57069.810576</v>
      </c>
      <c r="AJ1766" s="3" t="n">
        <v>66447.778613</v>
      </c>
      <c r="AK1766" s="3" t="n">
        <v>77253.72518199999</v>
      </c>
      <c r="AL1766" s="3" t="n">
        <v>89433.512174</v>
      </c>
      <c r="AM1766" s="3" t="n"/>
      <c r="AN1766" s="3" t="n"/>
      <c r="AO1766" s="3" t="n"/>
      <c r="AP1766" s="3" t="n"/>
      <c r="AQ1766" s="3" t="n"/>
      <c r="AR1766" s="3" t="n"/>
      <c r="AS1766" s="3" t="n"/>
      <c r="AT1766" s="3" t="n"/>
      <c r="AU1766" s="3" t="n"/>
    </row>
    <row r="1767">
      <c r="A1767" s="3" t="n">
        <v>2031</v>
      </c>
      <c r="B1767" s="3" t="inlineStr">
        <is>
          <t>LBY</t>
        </is>
      </c>
      <c r="C1767" s="3" t="inlineStr">
        <is>
          <t>IMF.RES:WEO</t>
        </is>
      </c>
      <c r="D1767" s="3" t="inlineStr">
        <is>
          <t>LBY.NGDPRPC.A</t>
        </is>
      </c>
      <c r="E1767" s="3" t="inlineStr">
        <is>
          <t>Libya</t>
        </is>
      </c>
      <c r="F1767" s="3" t="inlineStr">
        <is>
          <t>Gross domestic product (GDP), Constant prices, Per capita, Domestic currency</t>
        </is>
      </c>
      <c r="G1767" s="3" t="n">
        <v>16547.314262</v>
      </c>
      <c r="H1767" s="3" t="n">
        <v>16671.972272</v>
      </c>
      <c r="I1767" s="3" t="n">
        <v>15745.356298</v>
      </c>
      <c r="J1767" s="3" t="n">
        <v>17926.237157</v>
      </c>
      <c r="K1767" s="3" t="n">
        <v>18586.020917</v>
      </c>
      <c r="L1767" s="3" t="n">
        <v>20131.230459</v>
      </c>
      <c r="M1767" s="3" t="n">
        <v>19777.429258</v>
      </c>
      <c r="N1767" s="3" t="n">
        <v>20582.22129</v>
      </c>
      <c r="O1767" s="3" t="n">
        <v>20116.960659</v>
      </c>
      <c r="P1767" s="3" t="n">
        <v>18835.309296</v>
      </c>
      <c r="Q1767" s="3" t="n">
        <v>19382.920999</v>
      </c>
      <c r="R1767" s="3" t="n">
        <v>9860.491615999999</v>
      </c>
      <c r="S1767" s="3" t="n">
        <v>18910.599988</v>
      </c>
      <c r="T1767" s="3" t="n">
        <v>15198.898333</v>
      </c>
      <c r="U1767" s="3" t="n">
        <v>11473.488203</v>
      </c>
      <c r="V1767" s="3" t="n">
        <v>11194.676399</v>
      </c>
      <c r="W1767" s="3" t="n">
        <v>10860.981833</v>
      </c>
      <c r="X1767" s="3" t="n">
        <v>14162.1839</v>
      </c>
      <c r="Y1767" s="3" t="n">
        <v>15040.702695</v>
      </c>
      <c r="Z1767" s="3" t="n">
        <v>13160.835231</v>
      </c>
      <c r="AA1767" s="3" t="n">
        <v>9159.812257</v>
      </c>
      <c r="AB1767" s="3" t="n">
        <v>11516.565684</v>
      </c>
      <c r="AC1767" s="3" t="n">
        <v>10394.098606</v>
      </c>
      <c r="AD1767" s="3" t="n">
        <v>11354.132742</v>
      </c>
      <c r="AE1767" s="3" t="n">
        <v>11709.055003</v>
      </c>
      <c r="AF1767" s="3" t="n">
        <v>13428.914312</v>
      </c>
      <c r="AG1767" s="3" t="n">
        <v>14184.967231</v>
      </c>
      <c r="AH1767" s="3" t="n">
        <v>14672.133426</v>
      </c>
      <c r="AI1767" s="3" t="n">
        <v>15170.206592</v>
      </c>
      <c r="AJ1767" s="3" t="n">
        <v>15643.272546</v>
      </c>
      <c r="AK1767" s="3" t="n">
        <v>16098.679128</v>
      </c>
      <c r="AL1767" s="3" t="n">
        <v>16533.263043</v>
      </c>
      <c r="AM1767" s="3" t="n"/>
      <c r="AN1767" s="3" t="n"/>
      <c r="AO1767" s="3" t="n"/>
      <c r="AP1767" s="3" t="n"/>
      <c r="AQ1767" s="3" t="n"/>
      <c r="AR1767" s="3" t="n"/>
      <c r="AS1767" s="3" t="n"/>
      <c r="AT1767" s="3" t="n"/>
      <c r="AU1767" s="3" t="n"/>
    </row>
    <row r="1768">
      <c r="A1768" s="3" t="n">
        <v>2031</v>
      </c>
      <c r="B1768" s="3" t="inlineStr">
        <is>
          <t>LBY</t>
        </is>
      </c>
      <c r="C1768" s="3" t="inlineStr">
        <is>
          <t>IMF.RES:WEO</t>
        </is>
      </c>
      <c r="D1768" s="3" t="inlineStr">
        <is>
          <t>LBY.PCPI.A</t>
        </is>
      </c>
      <c r="E1768" s="3" t="inlineStr">
        <is>
          <t>Libya</t>
        </is>
      </c>
      <c r="F1768" s="3" t="inlineStr">
        <is>
          <t>All Items, Consumer price index (CPI), Period average</t>
        </is>
      </c>
      <c r="G1768" s="3" t="n">
        <v>124.256167</v>
      </c>
      <c r="H1768" s="3" t="n">
        <v>113.272755</v>
      </c>
      <c r="I1768" s="3" t="n">
        <v>102.100607</v>
      </c>
      <c r="J1768" s="3" t="n">
        <v>100</v>
      </c>
      <c r="K1768" s="3" t="n">
        <v>101.251692</v>
      </c>
      <c r="L1768" s="3" t="n">
        <v>103.943183</v>
      </c>
      <c r="M1768" s="3" t="n">
        <v>105.466</v>
      </c>
      <c r="N1768" s="3" t="n">
        <v>112.01695</v>
      </c>
      <c r="O1768" s="3" t="n">
        <v>123.667367</v>
      </c>
      <c r="P1768" s="3" t="n">
        <v>126.694567</v>
      </c>
      <c r="Q1768" s="3" t="n">
        <v>129.808358</v>
      </c>
      <c r="R1768" s="3" t="n">
        <v>150.45</v>
      </c>
      <c r="S1768" s="3" t="n">
        <v>159.585442</v>
      </c>
      <c r="T1768" s="3" t="n">
        <v>163.725</v>
      </c>
      <c r="U1768" s="3" t="n">
        <v>167.708333</v>
      </c>
      <c r="V1768" s="3" t="n">
        <v>184.498931</v>
      </c>
      <c r="W1768" s="3" t="n">
        <v>232.199053</v>
      </c>
      <c r="X1768" s="3" t="n">
        <v>292.11481</v>
      </c>
      <c r="Y1768" s="3" t="n">
        <v>330.586926</v>
      </c>
      <c r="Z1768" s="3" t="n">
        <v>323.439046</v>
      </c>
      <c r="AA1768" s="3" t="n">
        <v>328.119327</v>
      </c>
      <c r="AB1768" s="3" t="n">
        <v>337.530873</v>
      </c>
      <c r="AC1768" s="3" t="n">
        <v>352.754533</v>
      </c>
      <c r="AD1768" s="3" t="n">
        <v>361.126017</v>
      </c>
      <c r="AE1768" s="3" t="n">
        <v>368.804125</v>
      </c>
      <c r="AF1768" s="3" t="n">
        <v>375.596268</v>
      </c>
      <c r="AG1768" s="3" t="n">
        <v>415.148052</v>
      </c>
      <c r="AH1768" s="3" t="n">
        <v>457.493153</v>
      </c>
      <c r="AI1768" s="3" t="n">
        <v>504.157454</v>
      </c>
      <c r="AJ1768" s="3" t="n">
        <v>555.581515</v>
      </c>
      <c r="AK1768" s="3" t="n">
        <v>612.250829</v>
      </c>
      <c r="AL1768" s="3" t="n">
        <v>674.700414</v>
      </c>
      <c r="AM1768" s="3" t="n"/>
      <c r="AN1768" s="3" t="n"/>
      <c r="AO1768" s="3" t="n"/>
      <c r="AP1768" s="3" t="n"/>
      <c r="AQ1768" s="3" t="n"/>
      <c r="AR1768" s="3" t="n"/>
      <c r="AS1768" s="3" t="n"/>
      <c r="AT1768" s="3" t="n"/>
      <c r="AU1768" s="3" t="n"/>
    </row>
    <row r="1769">
      <c r="A1769" s="3" t="n">
        <v>2031</v>
      </c>
      <c r="B1769" s="3" t="inlineStr">
        <is>
          <t>LBY</t>
        </is>
      </c>
      <c r="C1769" s="3" t="inlineStr">
        <is>
          <t>IMF.RES:WEO</t>
        </is>
      </c>
      <c r="D1769" s="3" t="inlineStr">
        <is>
          <t>LBY.PCPIPCH.A</t>
        </is>
      </c>
      <c r="E1769" s="3" t="inlineStr">
        <is>
          <t>Libya</t>
        </is>
      </c>
      <c r="F1769" s="3" t="inlineStr">
        <is>
          <t>All Items, Consumer price index (CPI), Period average, percent change</t>
        </is>
      </c>
      <c r="G1769" s="3" t="n">
        <v>-2.907056</v>
      </c>
      <c r="H1769" s="3" t="n">
        <v>-8.83933</v>
      </c>
      <c r="I1769" s="3" t="n">
        <v>-9.863049999999999</v>
      </c>
      <c r="J1769" s="3" t="n">
        <v>-2.057389</v>
      </c>
      <c r="K1769" s="3" t="n">
        <v>1.251692</v>
      </c>
      <c r="L1769" s="3" t="n">
        <v>2.658219</v>
      </c>
      <c r="M1769" s="3" t="n">
        <v>1.465047</v>
      </c>
      <c r="N1769" s="3" t="n">
        <v>6.211433</v>
      </c>
      <c r="O1769" s="3" t="n">
        <v>10.400584</v>
      </c>
      <c r="P1769" s="3" t="n">
        <v>2.447857</v>
      </c>
      <c r="Q1769" s="3" t="n">
        <v>2.457715</v>
      </c>
      <c r="R1769" s="3" t="n">
        <v>15.901628</v>
      </c>
      <c r="S1769" s="3" t="n">
        <v>6.072078</v>
      </c>
      <c r="T1769" s="3" t="n">
        <v>2.593945</v>
      </c>
      <c r="U1769" s="3" t="n">
        <v>2.432941</v>
      </c>
      <c r="V1769" s="3" t="n">
        <v>10.011785</v>
      </c>
      <c r="W1769" s="3" t="n">
        <v>25.853874</v>
      </c>
      <c r="X1769" s="3" t="n">
        <v>25.803618</v>
      </c>
      <c r="Y1769" s="3" t="n">
        <v>13.170204</v>
      </c>
      <c r="Z1769" s="3" t="n">
        <v>-2.162179</v>
      </c>
      <c r="AA1769" s="3" t="n">
        <v>1.447037</v>
      </c>
      <c r="AB1769" s="3" t="n">
        <v>2.86833</v>
      </c>
      <c r="AC1769" s="3" t="n">
        <v>4.510301</v>
      </c>
      <c r="AD1769" s="3" t="n">
        <v>2.373175</v>
      </c>
      <c r="AE1769" s="3" t="n">
        <v>2.126158</v>
      </c>
      <c r="AF1769" s="3" t="n">
        <v>1.841667</v>
      </c>
      <c r="AG1769" s="3" t="n">
        <v>10.530398</v>
      </c>
      <c r="AH1769" s="3" t="n">
        <v>10.2</v>
      </c>
      <c r="AI1769" s="3" t="n">
        <v>10.2</v>
      </c>
      <c r="AJ1769" s="3" t="n">
        <v>10.2</v>
      </c>
      <c r="AK1769" s="3" t="n">
        <v>10.2</v>
      </c>
      <c r="AL1769" s="3" t="n">
        <v>10.2</v>
      </c>
      <c r="AM1769" s="3" t="n"/>
      <c r="AN1769" s="3" t="n"/>
      <c r="AO1769" s="3" t="n"/>
      <c r="AP1769" s="3" t="n"/>
      <c r="AQ1769" s="3" t="n"/>
      <c r="AR1769" s="3" t="n"/>
      <c r="AS1769" s="3" t="n"/>
      <c r="AT1769" s="3" t="n"/>
      <c r="AU1769" s="3" t="n"/>
    </row>
    <row r="1770">
      <c r="A1770" s="3" t="n">
        <v>2031</v>
      </c>
      <c r="B1770" s="3" t="inlineStr">
        <is>
          <t>LBY</t>
        </is>
      </c>
      <c r="C1770" s="3" t="inlineStr">
        <is>
          <t>IMF.RES:WEO</t>
        </is>
      </c>
      <c r="D1770" s="3" t="inlineStr">
        <is>
          <t>LBY.PPPPC.A</t>
        </is>
      </c>
      <c r="E1770" s="3" t="inlineStr">
        <is>
          <t>Libya</t>
        </is>
      </c>
      <c r="F1770" s="3" t="inlineStr">
        <is>
          <t>Gross domestic product (GDP), Per capita, purchasing power parity (PPP) international dollar, ICP benchmarks 2017-2021</t>
        </is>
      </c>
      <c r="G1770" s="3" t="n">
        <v>15316.644438</v>
      </c>
      <c r="H1770" s="3" t="n">
        <v>15779.502044</v>
      </c>
      <c r="I1770" s="3" t="n">
        <v>15134.078918</v>
      </c>
      <c r="J1770" s="3" t="n">
        <v>17570.455205</v>
      </c>
      <c r="K1770" s="3" t="n">
        <v>18706.981604</v>
      </c>
      <c r="L1770" s="3" t="n">
        <v>20897.635399</v>
      </c>
      <c r="M1770" s="3" t="n">
        <v>21163.497091</v>
      </c>
      <c r="N1770" s="3" t="n">
        <v>22621.399998</v>
      </c>
      <c r="O1770" s="3" t="n">
        <v>22535.974153</v>
      </c>
      <c r="P1770" s="3" t="n">
        <v>21230.341293</v>
      </c>
      <c r="Q1770" s="3" t="n">
        <v>22113.115383</v>
      </c>
      <c r="R1770" s="3" t="n">
        <v>11481.500817</v>
      </c>
      <c r="S1770" s="3" t="n">
        <v>22429.382163</v>
      </c>
      <c r="T1770" s="3" t="n">
        <v>18333.848026</v>
      </c>
      <c r="U1770" s="3" t="n">
        <v>14081.082529</v>
      </c>
      <c r="V1770" s="3" t="n">
        <v>13866.409159</v>
      </c>
      <c r="W1770" s="3" t="n">
        <v>13580.908998</v>
      </c>
      <c r="X1770" s="3" t="n">
        <v>18025.980268</v>
      </c>
      <c r="Y1770" s="3" t="n">
        <v>18879.333167</v>
      </c>
      <c r="Z1770" s="3" t="n">
        <v>16194.058036</v>
      </c>
      <c r="AA1770" s="3" t="n">
        <v>10954.853062</v>
      </c>
      <c r="AB1770" s="3" t="n">
        <v>12641.509771</v>
      </c>
      <c r="AC1770" s="3" t="n">
        <v>12220.883263</v>
      </c>
      <c r="AD1770" s="3" t="n">
        <v>13843.58675</v>
      </c>
      <c r="AE1770" s="3" t="n">
        <v>14630.743834</v>
      </c>
      <c r="AF1770" s="3" t="n">
        <v>17255.751418</v>
      </c>
      <c r="AG1770" s="3" t="n">
        <v>18749.440417</v>
      </c>
      <c r="AH1770" s="3" t="n">
        <v>19819.227497</v>
      </c>
      <c r="AI1770" s="3" t="n">
        <v>20828.382665</v>
      </c>
      <c r="AJ1770" s="3" t="n">
        <v>21859.792765</v>
      </c>
      <c r="AK1770" s="3" t="n">
        <v>22909.547782</v>
      </c>
      <c r="AL1770" s="3" t="n">
        <v>23952.742372</v>
      </c>
      <c r="AM1770" s="3" t="n"/>
      <c r="AN1770" s="3" t="n"/>
      <c r="AO1770" s="3" t="n"/>
      <c r="AP1770" s="3" t="n"/>
      <c r="AQ1770" s="3" t="n"/>
      <c r="AR1770" s="3" t="n"/>
      <c r="AS1770" s="3" t="n"/>
      <c r="AT1770" s="3" t="n"/>
      <c r="AU1770" s="3" t="n"/>
    </row>
    <row r="1771">
      <c r="A1771" s="3" t="n">
        <v>2025</v>
      </c>
      <c r="B1771" s="3" t="inlineStr">
        <is>
          <t>LBY</t>
        </is>
      </c>
      <c r="C1771" s="3" t="inlineStr">
        <is>
          <t>IMF.STA:ER</t>
        </is>
      </c>
      <c r="D1771" s="3" t="inlineStr">
        <is>
          <t>LBY.XDC_USD.PA_RT.A</t>
        </is>
      </c>
      <c r="E1771" s="3" t="inlineStr">
        <is>
          <t>Libya</t>
        </is>
      </c>
      <c r="F1771" s="3" t="inlineStr">
        <is>
          <t>Domestic currency per US Dollar</t>
        </is>
      </c>
      <c r="G1771" s="3" t="n">
        <v>0.512189613308333</v>
      </c>
      <c r="H1771" s="3" t="n">
        <v>0.605064253623333</v>
      </c>
      <c r="I1771" s="3" t="n">
        <v>1.27067917397333</v>
      </c>
      <c r="J1771" s="3" t="n">
        <v>1.29294412808415</v>
      </c>
      <c r="K1771" s="3" t="n">
        <v>1.30496614426766</v>
      </c>
      <c r="L1771" s="3" t="n">
        <v>1.30838482391591</v>
      </c>
      <c r="M1771" s="3" t="n">
        <v>1.31357162479066</v>
      </c>
      <c r="N1771" s="3" t="n">
        <v>1.26264486767833</v>
      </c>
      <c r="O1771" s="3" t="n">
        <v>1.22356239341867</v>
      </c>
      <c r="P1771" s="3" t="n">
        <v>1.25353448862568</v>
      </c>
      <c r="Q1771" s="3" t="n">
        <v>1.26678941001316</v>
      </c>
      <c r="R1771" s="3" t="n">
        <v>1.22415249460345</v>
      </c>
      <c r="S1771" s="3" t="n">
        <v>1.26165963821484</v>
      </c>
      <c r="T1771" s="3" t="n">
        <v>1.27169182111774</v>
      </c>
      <c r="U1771" s="3" t="n">
        <v>1.27240206718887</v>
      </c>
      <c r="V1771" s="3" t="n">
        <v>1.38120985962102</v>
      </c>
      <c r="W1771" s="3" t="n">
        <v>1.39036867889833</v>
      </c>
      <c r="X1771" s="3" t="n">
        <v>1.39382001082349</v>
      </c>
      <c r="Y1771" s="3" t="n">
        <v>1.36496666666666</v>
      </c>
      <c r="Z1771" s="3" t="n">
        <v>1.39826289736927</v>
      </c>
      <c r="AA1771" s="3" t="n">
        <v>1.38866668346465</v>
      </c>
      <c r="AB1771" s="3" t="n">
        <v>4.514425</v>
      </c>
      <c r="AC1771" s="3" t="n">
        <v>4.813175</v>
      </c>
      <c r="AD1771" s="3" t="n">
        <v>4.81288333333333</v>
      </c>
      <c r="AE1771" s="3" t="n">
        <v>4.83220833333333</v>
      </c>
      <c r="AF1771" s="3" t="n">
        <v>4.83220833333333</v>
      </c>
      <c r="AG1771" s="3" t="n"/>
      <c r="AH1771" s="3" t="n"/>
      <c r="AI1771" s="3" t="n"/>
      <c r="AJ1771" s="3" t="n"/>
      <c r="AK1771" s="3" t="n"/>
      <c r="AL1771" s="3" t="n"/>
      <c r="AM1771" s="3" t="n"/>
      <c r="AN1771" s="3" t="n"/>
      <c r="AO1771" s="3" t="n"/>
      <c r="AP1771" s="3" t="n"/>
      <c r="AQ1771" s="3" t="n"/>
      <c r="AR1771" s="3" t="n"/>
      <c r="AS1771" s="3" t="n"/>
      <c r="AT1771" s="3" t="n"/>
      <c r="AU1771" s="3" t="n"/>
    </row>
    <row r="1772">
      <c r="A1772" s="3" t="n">
        <v>2031</v>
      </c>
      <c r="B1772" s="3" t="inlineStr">
        <is>
          <t>LCA</t>
        </is>
      </c>
      <c r="C1772" s="3" t="inlineStr">
        <is>
          <t>IMF.RES:WEO</t>
        </is>
      </c>
      <c r="D1772" s="3" t="inlineStr">
        <is>
          <t>LCA.BCA.A</t>
        </is>
      </c>
      <c r="E1772" s="3" t="inlineStr">
        <is>
          <t>St. Lucia</t>
        </is>
      </c>
      <c r="F1772" s="3" t="inlineStr">
        <is>
          <t>Current account balance (credit less debit), US dollar</t>
        </is>
      </c>
      <c r="G1772" s="3" t="n">
        <v>-0.166322</v>
      </c>
      <c r="H1772" s="3" t="n">
        <v>-0.168044</v>
      </c>
      <c r="I1772" s="3" t="n">
        <v>-0.158578</v>
      </c>
      <c r="J1772" s="3" t="n">
        <v>-0.206681</v>
      </c>
      <c r="K1772" s="3" t="n">
        <v>-0.158652</v>
      </c>
      <c r="L1772" s="3" t="n">
        <v>-0.176081</v>
      </c>
      <c r="M1772" s="3" t="n">
        <v>-0.371993</v>
      </c>
      <c r="N1772" s="3" t="n">
        <v>-0.245604</v>
      </c>
      <c r="O1772" s="3" t="n">
        <v>-0.348493</v>
      </c>
      <c r="P1772" s="3" t="n">
        <v>-0.1187</v>
      </c>
      <c r="Q1772" s="3" t="n">
        <v>-0.187826</v>
      </c>
      <c r="R1772" s="3" t="n">
        <v>-0.224389</v>
      </c>
      <c r="S1772" s="3" t="n">
        <v>-0.160219</v>
      </c>
      <c r="T1772" s="3" t="n">
        <v>-0.108433</v>
      </c>
      <c r="U1772" s="3" t="n">
        <v>-0.042489</v>
      </c>
      <c r="V1772" s="3" t="n">
        <v>-0.008621999999999999</v>
      </c>
      <c r="W1772" s="3" t="n">
        <v>-0.118433</v>
      </c>
      <c r="X1772" s="3" t="n">
        <v>-0.038137</v>
      </c>
      <c r="Y1772" s="3" t="n">
        <v>0.030344</v>
      </c>
      <c r="Z1772" s="3" t="n">
        <v>0.06968100000000001</v>
      </c>
      <c r="AA1772" s="3" t="n">
        <v>-0.283952</v>
      </c>
      <c r="AB1772" s="3" t="n">
        <v>-0.194337</v>
      </c>
      <c r="AC1772" s="3" t="n">
        <v>-0.077163</v>
      </c>
      <c r="AD1772" s="3" t="n">
        <v>-0.051767</v>
      </c>
      <c r="AE1772" s="3" t="n">
        <v>-0.040033</v>
      </c>
      <c r="AF1772" s="3" t="n">
        <v>-0.121773</v>
      </c>
      <c r="AG1772" s="3" t="n">
        <v>-0.126677</v>
      </c>
      <c r="AH1772" s="3" t="n">
        <v>-0.108392</v>
      </c>
      <c r="AI1772" s="3" t="n">
        <v>-0.091957</v>
      </c>
      <c r="AJ1772" s="3" t="n">
        <v>-0.071022</v>
      </c>
      <c r="AK1772" s="3" t="n">
        <v>-0.051313</v>
      </c>
      <c r="AL1772" s="3" t="n">
        <v>-0.03788</v>
      </c>
      <c r="AM1772" s="3" t="n"/>
      <c r="AN1772" s="3" t="n"/>
      <c r="AO1772" s="3" t="n"/>
      <c r="AP1772" s="3" t="n"/>
      <c r="AQ1772" s="3" t="n"/>
      <c r="AR1772" s="3" t="n"/>
      <c r="AS1772" s="3" t="n"/>
      <c r="AT1772" s="3" t="n"/>
      <c r="AU1772" s="3" t="n"/>
    </row>
    <row r="1773">
      <c r="A1773" s="3" t="n">
        <v>2031</v>
      </c>
      <c r="B1773" s="3" t="inlineStr">
        <is>
          <t>LCA</t>
        </is>
      </c>
      <c r="C1773" s="3" t="inlineStr">
        <is>
          <t>IMF.RES:WEO</t>
        </is>
      </c>
      <c r="D1773" s="3" t="inlineStr">
        <is>
          <t>LCA.BCA_NGDPD.A</t>
        </is>
      </c>
      <c r="E1773" s="3" t="inlineStr">
        <is>
          <t>St. Lucia</t>
        </is>
      </c>
      <c r="F1773" s="3" t="inlineStr">
        <is>
          <t>Current account balance (credit less debit), Percent of GDP</t>
        </is>
      </c>
      <c r="G1773" s="3" t="n">
        <v>-17.845448</v>
      </c>
      <c r="H1773" s="3" t="n">
        <v>-18.843112</v>
      </c>
      <c r="I1773" s="3" t="n">
        <v>-17.63288</v>
      </c>
      <c r="J1773" s="3" t="n">
        <v>-20.945907</v>
      </c>
      <c r="K1773" s="3" t="n">
        <v>-14.882249</v>
      </c>
      <c r="L1773" s="3" t="n">
        <v>-15.515481</v>
      </c>
      <c r="M1773" s="3" t="n">
        <v>-29.350558</v>
      </c>
      <c r="N1773" s="3" t="n">
        <v>-18.458515</v>
      </c>
      <c r="O1773" s="3" t="n">
        <v>-24.430398</v>
      </c>
      <c r="P1773" s="3" t="n">
        <v>-8.481228</v>
      </c>
      <c r="Q1773" s="3" t="n">
        <v>-12.665936</v>
      </c>
      <c r="R1773" s="3" t="n">
        <v>-14.303622</v>
      </c>
      <c r="S1773" s="3" t="n">
        <v>-10.025505</v>
      </c>
      <c r="T1773" s="3" t="n">
        <v>-6.530585</v>
      </c>
      <c r="U1773" s="3" t="n">
        <v>-2.429066</v>
      </c>
      <c r="V1773" s="3" t="n">
        <v>-0.476988</v>
      </c>
      <c r="W1773" s="3" t="n">
        <v>-6.338263</v>
      </c>
      <c r="X1773" s="3" t="n">
        <v>-1.908278</v>
      </c>
      <c r="Y1773" s="3" t="n">
        <v>1.47235</v>
      </c>
      <c r="Z1773" s="3" t="n">
        <v>3.325489</v>
      </c>
      <c r="AA1773" s="3" t="n">
        <v>-18.78754</v>
      </c>
      <c r="AB1773" s="3" t="n">
        <v>-10.396545</v>
      </c>
      <c r="AC1773" s="3" t="n">
        <v>-3.306599</v>
      </c>
      <c r="AD1773" s="3" t="n">
        <v>-2.160078</v>
      </c>
      <c r="AE1773" s="3" t="n">
        <v>-1.555008</v>
      </c>
      <c r="AF1773" s="3" t="n">
        <v>-4.593204</v>
      </c>
      <c r="AG1773" s="3" t="n">
        <v>-4.581192</v>
      </c>
      <c r="AH1773" s="3" t="n">
        <v>-3.749691</v>
      </c>
      <c r="AI1773" s="3" t="n">
        <v>-3.044156</v>
      </c>
      <c r="AJ1773" s="3" t="n">
        <v>-2.25203</v>
      </c>
      <c r="AK1773" s="3" t="n">
        <v>-1.562678</v>
      </c>
      <c r="AL1773" s="3" t="n">
        <v>-1.103463</v>
      </c>
      <c r="AM1773" s="3" t="n"/>
      <c r="AN1773" s="3" t="n"/>
      <c r="AO1773" s="3" t="n"/>
      <c r="AP1773" s="3" t="n"/>
      <c r="AQ1773" s="3" t="n"/>
      <c r="AR1773" s="3" t="n"/>
      <c r="AS1773" s="3" t="n"/>
      <c r="AT1773" s="3" t="n"/>
      <c r="AU1773" s="3" t="n"/>
    </row>
    <row r="1774">
      <c r="A1774" s="3" t="n">
        <v>2031</v>
      </c>
      <c r="B1774" s="3" t="inlineStr">
        <is>
          <t>LCA</t>
        </is>
      </c>
      <c r="C1774" s="3" t="inlineStr">
        <is>
          <t>IMF.RES:WEO</t>
        </is>
      </c>
      <c r="D1774" s="3" t="inlineStr">
        <is>
          <t>LCA.GGR_NGDP.A</t>
        </is>
      </c>
      <c r="E1774" s="3" t="inlineStr">
        <is>
          <t>St. Lucia</t>
        </is>
      </c>
      <c r="F1774" s="3" t="inlineStr">
        <is>
          <t>Revenue, General government, Percent of GDP</t>
        </is>
      </c>
      <c r="G1774" s="3" t="n">
        <v>19.754232</v>
      </c>
      <c r="H1774" s="3" t="n">
        <v>18.963767</v>
      </c>
      <c r="I1774" s="3" t="n">
        <v>19.980496</v>
      </c>
      <c r="J1774" s="3" t="n">
        <v>19.316236</v>
      </c>
      <c r="K1774" s="3" t="n">
        <v>19.91248</v>
      </c>
      <c r="L1774" s="3" t="n">
        <v>19.281084</v>
      </c>
      <c r="M1774" s="3" t="n">
        <v>19.409151</v>
      </c>
      <c r="N1774" s="3" t="n">
        <v>20.592227</v>
      </c>
      <c r="O1774" s="3" t="n">
        <v>21.626837</v>
      </c>
      <c r="P1774" s="3" t="n">
        <v>21.559734</v>
      </c>
      <c r="Q1774" s="3" t="n">
        <v>21.530075</v>
      </c>
      <c r="R1774" s="3" t="n">
        <v>21.50376</v>
      </c>
      <c r="S1774" s="3" t="n">
        <v>20.181112</v>
      </c>
      <c r="T1774" s="3" t="n">
        <v>20.30815</v>
      </c>
      <c r="U1774" s="3" t="n">
        <v>20.330481</v>
      </c>
      <c r="V1774" s="3" t="n">
        <v>20.895338</v>
      </c>
      <c r="W1774" s="3" t="n">
        <v>21.088068</v>
      </c>
      <c r="X1774" s="3" t="n">
        <v>20.873035</v>
      </c>
      <c r="Y1774" s="3" t="n">
        <v>21.962419</v>
      </c>
      <c r="Z1774" s="3" t="n">
        <v>21.612344</v>
      </c>
      <c r="AA1774" s="3" t="n">
        <v>21.611363</v>
      </c>
      <c r="AB1774" s="3" t="n">
        <v>21.347255</v>
      </c>
      <c r="AC1774" s="3" t="n">
        <v>21.309796</v>
      </c>
      <c r="AD1774" s="3" t="n">
        <v>22.075762</v>
      </c>
      <c r="AE1774" s="3" t="n">
        <v>22.570591</v>
      </c>
      <c r="AF1774" s="3" t="n">
        <v>22.360754</v>
      </c>
      <c r="AG1774" s="3" t="n">
        <v>22.190053</v>
      </c>
      <c r="AH1774" s="3" t="n">
        <v>22.107801</v>
      </c>
      <c r="AI1774" s="3" t="n">
        <v>22.163144</v>
      </c>
      <c r="AJ1774" s="3" t="n">
        <v>22.125451</v>
      </c>
      <c r="AK1774" s="3" t="n">
        <v>22.073378</v>
      </c>
      <c r="AL1774" s="3" t="n">
        <v>21.972126</v>
      </c>
      <c r="AM1774" s="3" t="n"/>
      <c r="AN1774" s="3" t="n"/>
      <c r="AO1774" s="3" t="n"/>
      <c r="AP1774" s="3" t="n"/>
      <c r="AQ1774" s="3" t="n"/>
      <c r="AR1774" s="3" t="n"/>
      <c r="AS1774" s="3" t="n"/>
      <c r="AT1774" s="3" t="n"/>
      <c r="AU1774" s="3" t="n"/>
    </row>
    <row r="1775">
      <c r="A1775" s="3" t="n">
        <v>2031</v>
      </c>
      <c r="B1775" s="3" t="inlineStr">
        <is>
          <t>LCA</t>
        </is>
      </c>
      <c r="C1775" s="3" t="inlineStr">
        <is>
          <t>IMF.RES:WEO</t>
        </is>
      </c>
      <c r="D1775" s="3" t="inlineStr">
        <is>
          <t>LCA.GGX_NGDP.A</t>
        </is>
      </c>
      <c r="E1775" s="3" t="inlineStr">
        <is>
          <t>St. Lucia</t>
        </is>
      </c>
      <c r="F1775" s="3" t="inlineStr">
        <is>
          <t>Expenditure, General government, Percent of GDP</t>
        </is>
      </c>
      <c r="G1775" s="3" t="n">
        <v>20.925183</v>
      </c>
      <c r="H1775" s="3" t="n">
        <v>22.035735</v>
      </c>
      <c r="I1775" s="3" t="n">
        <v>23.006667</v>
      </c>
      <c r="J1775" s="3" t="n">
        <v>22.48615</v>
      </c>
      <c r="K1775" s="3" t="n">
        <v>22.497148</v>
      </c>
      <c r="L1775" s="3" t="n">
        <v>25.285683</v>
      </c>
      <c r="M1775" s="3" t="n">
        <v>24.41515</v>
      </c>
      <c r="N1775" s="3" t="n">
        <v>22.184287</v>
      </c>
      <c r="O1775" s="3" t="n">
        <v>22.346875</v>
      </c>
      <c r="P1775" s="3" t="n">
        <v>24.186707</v>
      </c>
      <c r="Q1775" s="3" t="n">
        <v>25.636162</v>
      </c>
      <c r="R1775" s="3" t="n">
        <v>26.854289</v>
      </c>
      <c r="S1775" s="3" t="n">
        <v>27.107012</v>
      </c>
      <c r="T1775" s="3" t="n">
        <v>24.287818</v>
      </c>
      <c r="U1775" s="3" t="n">
        <v>22.621025</v>
      </c>
      <c r="V1775" s="3" t="n">
        <v>22.078046</v>
      </c>
      <c r="W1775" s="3" t="n">
        <v>22.622393</v>
      </c>
      <c r="X1775" s="3" t="n">
        <v>22.966652</v>
      </c>
      <c r="Y1775" s="3" t="n">
        <v>23.179454</v>
      </c>
      <c r="Z1775" s="3" t="n">
        <v>24.558781</v>
      </c>
      <c r="AA1775" s="3" t="n">
        <v>33.127774</v>
      </c>
      <c r="AB1775" s="3" t="n">
        <v>26.699525</v>
      </c>
      <c r="AC1775" s="3" t="n">
        <v>23.789713</v>
      </c>
      <c r="AD1775" s="3" t="n">
        <v>25.253317</v>
      </c>
      <c r="AE1775" s="3" t="n">
        <v>24.384391</v>
      </c>
      <c r="AF1775" s="3" t="n">
        <v>25.241217</v>
      </c>
      <c r="AG1775" s="3" t="n">
        <v>25.121625</v>
      </c>
      <c r="AH1775" s="3" t="n">
        <v>25.030947</v>
      </c>
      <c r="AI1775" s="3" t="n">
        <v>24.85515</v>
      </c>
      <c r="AJ1775" s="3" t="n">
        <v>24.661128</v>
      </c>
      <c r="AK1775" s="3" t="n">
        <v>24.421465</v>
      </c>
      <c r="AL1775" s="3" t="n">
        <v>24.399524</v>
      </c>
      <c r="AM1775" s="3" t="n"/>
      <c r="AN1775" s="3" t="n"/>
      <c r="AO1775" s="3" t="n"/>
      <c r="AP1775" s="3" t="n"/>
      <c r="AQ1775" s="3" t="n"/>
      <c r="AR1775" s="3" t="n"/>
      <c r="AS1775" s="3" t="n"/>
      <c r="AT1775" s="3" t="n"/>
      <c r="AU1775" s="3" t="n"/>
    </row>
    <row r="1776">
      <c r="A1776" s="3" t="n">
        <v>2031</v>
      </c>
      <c r="B1776" s="3" t="inlineStr">
        <is>
          <t>LCA</t>
        </is>
      </c>
      <c r="C1776" s="3" t="inlineStr">
        <is>
          <t>IMF.RES:WEO</t>
        </is>
      </c>
      <c r="D1776" s="3" t="inlineStr">
        <is>
          <t>LCA.LP.A</t>
        </is>
      </c>
      <c r="E1776" s="3" t="inlineStr">
        <is>
          <t>St. Lucia</t>
        </is>
      </c>
      <c r="F1776" s="3" t="inlineStr">
        <is>
          <t>Population, Persons for countries / Index for country groups</t>
        </is>
      </c>
      <c r="G1776" s="3" t="n">
        <v>0.158616</v>
      </c>
      <c r="H1776" s="3" t="n">
        <v>0.160237</v>
      </c>
      <c r="I1776" s="3" t="n">
        <v>0.161641</v>
      </c>
      <c r="J1776" s="3" t="n">
        <v>0.162976</v>
      </c>
      <c r="K1776" s="3" t="n">
        <v>0.164239</v>
      </c>
      <c r="L1776" s="3" t="n">
        <v>0.16545</v>
      </c>
      <c r="M1776" s="3" t="n">
        <v>0.166639</v>
      </c>
      <c r="N1776" s="3" t="n">
        <v>0.167758</v>
      </c>
      <c r="O1776" s="3" t="n">
        <v>0.168808</v>
      </c>
      <c r="P1776" s="3" t="n">
        <v>0.169869</v>
      </c>
      <c r="Q1776" s="3" t="n">
        <v>0.170906</v>
      </c>
      <c r="R1776" s="3" t="n">
        <v>0.171801</v>
      </c>
      <c r="S1776" s="3" t="n">
        <v>0.172587</v>
      </c>
      <c r="T1776" s="3" t="n">
        <v>0.173369</v>
      </c>
      <c r="U1776" s="3" t="n">
        <v>0.174138</v>
      </c>
      <c r="V1776" s="3" t="n">
        <v>0.174905</v>
      </c>
      <c r="W1776" s="3" t="n">
        <v>0.175646</v>
      </c>
      <c r="X1776" s="3" t="n">
        <v>0.176342</v>
      </c>
      <c r="Y1776" s="3" t="n">
        <v>0.177017</v>
      </c>
      <c r="Z1776" s="3" t="n">
        <v>0.177661</v>
      </c>
      <c r="AA1776" s="3" t="n">
        <v>0.17825</v>
      </c>
      <c r="AB1776" s="3" t="n">
        <v>0.178522</v>
      </c>
      <c r="AC1776" s="3" t="n">
        <v>0.178781</v>
      </c>
      <c r="AD1776" s="3" t="n">
        <v>0.179285</v>
      </c>
      <c r="AE1776" s="3" t="n">
        <v>0.180414</v>
      </c>
      <c r="AF1776" s="3" t="n">
        <v>0.181551</v>
      </c>
      <c r="AG1776" s="3" t="n">
        <v>0.182695</v>
      </c>
      <c r="AH1776" s="3" t="n">
        <v>0.183846</v>
      </c>
      <c r="AI1776" s="3" t="n">
        <v>0.185004</v>
      </c>
      <c r="AJ1776" s="3" t="n">
        <v>0.18617</v>
      </c>
      <c r="AK1776" s="3" t="n">
        <v>0.187342</v>
      </c>
      <c r="AL1776" s="3" t="n">
        <v>0.188523</v>
      </c>
      <c r="AM1776" s="3" t="n"/>
      <c r="AN1776" s="3" t="n"/>
      <c r="AO1776" s="3" t="n"/>
      <c r="AP1776" s="3" t="n"/>
      <c r="AQ1776" s="3" t="n"/>
      <c r="AR1776" s="3" t="n"/>
      <c r="AS1776" s="3" t="n"/>
      <c r="AT1776" s="3" t="n"/>
      <c r="AU1776" s="3" t="n"/>
    </row>
    <row r="1777">
      <c r="A1777" s="3" t="n">
        <v>2031</v>
      </c>
      <c r="B1777" s="3" t="inlineStr">
        <is>
          <t>LCA</t>
        </is>
      </c>
      <c r="C1777" s="3" t="inlineStr">
        <is>
          <t>IMF.RES:WEO</t>
        </is>
      </c>
      <c r="D1777" s="3" t="inlineStr">
        <is>
          <t>LCA.NGDP.A</t>
        </is>
      </c>
      <c r="E1777" s="3" t="inlineStr">
        <is>
          <t>St. Lucia</t>
        </is>
      </c>
      <c r="F1777" s="3" t="inlineStr">
        <is>
          <t>Gross domestic product (GDP), Current prices, Domestic currency</t>
        </is>
      </c>
      <c r="G1777" s="3" t="n">
        <v>2.51644</v>
      </c>
      <c r="H1777" s="3" t="n">
        <v>2.407883</v>
      </c>
      <c r="I1777" s="3" t="n">
        <v>2.428191</v>
      </c>
      <c r="J1777" s="3" t="n">
        <v>2.664196</v>
      </c>
      <c r="K1777" s="3" t="n">
        <v>2.878328</v>
      </c>
      <c r="L1777" s="3" t="n">
        <v>3.064165</v>
      </c>
      <c r="M1777" s="3" t="n">
        <v>3.422013</v>
      </c>
      <c r="N1777" s="3" t="n">
        <v>3.592543</v>
      </c>
      <c r="O1777" s="3" t="n">
        <v>3.851472</v>
      </c>
      <c r="P1777" s="3" t="n">
        <v>3.778816</v>
      </c>
      <c r="Q1777" s="3" t="n">
        <v>4.003889</v>
      </c>
      <c r="R1777" s="3" t="n">
        <v>4.23564</v>
      </c>
      <c r="S1777" s="3" t="n">
        <v>4.314895</v>
      </c>
      <c r="T1777" s="3" t="n">
        <v>4.48306</v>
      </c>
      <c r="U1777" s="3" t="n">
        <v>4.722804</v>
      </c>
      <c r="V1777" s="3" t="n">
        <v>4.880627</v>
      </c>
      <c r="W1777" s="3" t="n">
        <v>5.045073</v>
      </c>
      <c r="X1777" s="3" t="n">
        <v>5.395963</v>
      </c>
      <c r="Y1777" s="3" t="n">
        <v>5.564575</v>
      </c>
      <c r="Z1777" s="3" t="n">
        <v>5.657515</v>
      </c>
      <c r="AA1777" s="3" t="n">
        <v>4.080736</v>
      </c>
      <c r="AB1777" s="3" t="n">
        <v>5.046965</v>
      </c>
      <c r="AC1777" s="3" t="n">
        <v>6.300733</v>
      </c>
      <c r="AD1777" s="3" t="n">
        <v>6.470599</v>
      </c>
      <c r="AE1777" s="3" t="n">
        <v>6.951089</v>
      </c>
      <c r="AF1777" s="3" t="n">
        <v>7.158102</v>
      </c>
      <c r="AG1777" s="3" t="n">
        <v>7.4659</v>
      </c>
      <c r="AH1777" s="3" t="n">
        <v>7.8049</v>
      </c>
      <c r="AI1777" s="3" t="n">
        <v>8.1561</v>
      </c>
      <c r="AJ1777" s="3" t="n">
        <v>8.514900000000001</v>
      </c>
      <c r="AK1777" s="3" t="n">
        <v>8.8658</v>
      </c>
      <c r="AL1777" s="3" t="n">
        <v>9.268700000000001</v>
      </c>
      <c r="AM1777" s="3" t="n"/>
      <c r="AN1777" s="3" t="n"/>
      <c r="AO1777" s="3" t="n"/>
      <c r="AP1777" s="3" t="n"/>
      <c r="AQ1777" s="3" t="n"/>
      <c r="AR1777" s="3" t="n"/>
      <c r="AS1777" s="3" t="n"/>
      <c r="AT1777" s="3" t="n"/>
      <c r="AU1777" s="3" t="n"/>
    </row>
    <row r="1778">
      <c r="A1778" s="3" t="n">
        <v>2031</v>
      </c>
      <c r="B1778" s="3" t="inlineStr">
        <is>
          <t>LCA</t>
        </is>
      </c>
      <c r="C1778" s="3" t="inlineStr">
        <is>
          <t>IMF.RES:WEO</t>
        </is>
      </c>
      <c r="D1778" s="3" t="inlineStr">
        <is>
          <t>LCA.NGDP_D.A</t>
        </is>
      </c>
      <c r="E1778" s="3" t="inlineStr">
        <is>
          <t>St. Lucia</t>
        </is>
      </c>
      <c r="F1778" s="3" t="inlineStr">
        <is>
          <t>Gross domestic product (GDP), Price deflator, Index</t>
        </is>
      </c>
      <c r="G1778" s="3" t="n">
        <v>62.505059</v>
      </c>
      <c r="H1778" s="3" t="n">
        <v>61.919601</v>
      </c>
      <c r="I1778" s="3" t="n">
        <v>62.182415</v>
      </c>
      <c r="J1778" s="3" t="n">
        <v>65.43575199999999</v>
      </c>
      <c r="K1778" s="3" t="n">
        <v>65.905047</v>
      </c>
      <c r="L1778" s="3" t="n">
        <v>70.449584</v>
      </c>
      <c r="M1778" s="3" t="n">
        <v>73.901419</v>
      </c>
      <c r="N1778" s="3" t="n">
        <v>76.104617</v>
      </c>
      <c r="O1778" s="3" t="n">
        <v>77.79274700000001</v>
      </c>
      <c r="P1778" s="3" t="n">
        <v>77.791978</v>
      </c>
      <c r="Q1778" s="3" t="n">
        <v>82.007586</v>
      </c>
      <c r="R1778" s="3" t="n">
        <v>82.731402</v>
      </c>
      <c r="S1778" s="3" t="n">
        <v>84.600104</v>
      </c>
      <c r="T1778" s="3" t="n">
        <v>89.894645</v>
      </c>
      <c r="U1778" s="3" t="n">
        <v>93.48457500000001</v>
      </c>
      <c r="V1778" s="3" t="n">
        <v>96.840982</v>
      </c>
      <c r="W1778" s="3" t="n">
        <v>96.43406299999999</v>
      </c>
      <c r="X1778" s="3" t="n">
        <v>99.76908400000001</v>
      </c>
      <c r="Y1778" s="3" t="n">
        <v>100</v>
      </c>
      <c r="Z1778" s="3" t="n">
        <v>102.386575</v>
      </c>
      <c r="AA1778" s="3" t="n">
        <v>96.884445</v>
      </c>
      <c r="AB1778" s="3" t="n">
        <v>107.66106</v>
      </c>
      <c r="AC1778" s="3" t="n">
        <v>111.479375</v>
      </c>
      <c r="AD1778" s="3" t="n">
        <v>110.859065</v>
      </c>
      <c r="AE1778" s="3" t="n">
        <v>113.758588</v>
      </c>
      <c r="AF1778" s="3" t="n">
        <v>115.240516</v>
      </c>
      <c r="AG1778" s="3" t="n">
        <v>117.881834</v>
      </c>
      <c r="AH1778" s="3" t="n">
        <v>121.173399</v>
      </c>
      <c r="AI1778" s="3" t="n">
        <v>124.575264</v>
      </c>
      <c r="AJ1778" s="3" t="n">
        <v>128.047648</v>
      </c>
      <c r="AK1778" s="3" t="n">
        <v>131.369798</v>
      </c>
      <c r="AL1778" s="3" t="n">
        <v>135.310153</v>
      </c>
      <c r="AM1778" s="3" t="n"/>
      <c r="AN1778" s="3" t="n"/>
      <c r="AO1778" s="3" t="n"/>
      <c r="AP1778" s="3" t="n"/>
      <c r="AQ1778" s="3" t="n"/>
      <c r="AR1778" s="3" t="n"/>
      <c r="AS1778" s="3" t="n"/>
      <c r="AT1778" s="3" t="n"/>
      <c r="AU1778" s="3" t="n"/>
    </row>
    <row r="1779">
      <c r="A1779" s="3" t="n">
        <v>2031</v>
      </c>
      <c r="B1779" s="3" t="inlineStr">
        <is>
          <t>LCA</t>
        </is>
      </c>
      <c r="C1779" s="3" t="inlineStr">
        <is>
          <t>IMF.RES:WEO</t>
        </is>
      </c>
      <c r="D1779" s="3" t="inlineStr">
        <is>
          <t>LCA.NGDP_R.A</t>
        </is>
      </c>
      <c r="E1779" s="3" t="inlineStr">
        <is>
          <t>St. Lucia</t>
        </is>
      </c>
      <c r="F1779" s="3" t="inlineStr">
        <is>
          <t>Gross domestic product (GDP), Constant prices, Domestic currency</t>
        </is>
      </c>
      <c r="G1779" s="3" t="n">
        <v>4.025978</v>
      </c>
      <c r="H1779" s="3" t="n">
        <v>3.888724</v>
      </c>
      <c r="I1779" s="3" t="n">
        <v>3.904948</v>
      </c>
      <c r="J1779" s="3" t="n">
        <v>4.071468</v>
      </c>
      <c r="K1779" s="3" t="n">
        <v>4.367387</v>
      </c>
      <c r="L1779" s="3" t="n">
        <v>4.349444</v>
      </c>
      <c r="M1779" s="3" t="n">
        <v>4.630511</v>
      </c>
      <c r="N1779" s="3" t="n">
        <v>4.720532</v>
      </c>
      <c r="O1779" s="3" t="n">
        <v>4.95094</v>
      </c>
      <c r="P1779" s="3" t="n">
        <v>4.857591</v>
      </c>
      <c r="Q1779" s="3" t="n">
        <v>4.88234</v>
      </c>
      <c r="R1779" s="3" t="n">
        <v>5.119749</v>
      </c>
      <c r="S1779" s="3" t="n">
        <v>5.100342</v>
      </c>
      <c r="T1779" s="3" t="n">
        <v>4.987015</v>
      </c>
      <c r="U1779" s="3" t="n">
        <v>5.05196</v>
      </c>
      <c r="V1779" s="3" t="n">
        <v>5.039836</v>
      </c>
      <c r="W1779" s="3" t="n">
        <v>5.23163</v>
      </c>
      <c r="X1779" s="3" t="n">
        <v>5.408452</v>
      </c>
      <c r="Y1779" s="3" t="n">
        <v>5.564575</v>
      </c>
      <c r="Z1779" s="3" t="n">
        <v>5.525641</v>
      </c>
      <c r="AA1779" s="3" t="n">
        <v>4.211962</v>
      </c>
      <c r="AB1779" s="3" t="n">
        <v>4.687828</v>
      </c>
      <c r="AC1779" s="3" t="n">
        <v>5.651927</v>
      </c>
      <c r="AD1779" s="3" t="n">
        <v>5.836779</v>
      </c>
      <c r="AE1779" s="3" t="n">
        <v>6.110386</v>
      </c>
      <c r="AF1779" s="3" t="n">
        <v>6.211446</v>
      </c>
      <c r="AG1779" s="3" t="n">
        <v>6.333376</v>
      </c>
      <c r="AH1779" s="3" t="n">
        <v>6.4411</v>
      </c>
      <c r="AI1779" s="3" t="n">
        <v>6.547126</v>
      </c>
      <c r="AJ1779" s="3" t="n">
        <v>6.64979</v>
      </c>
      <c r="AK1779" s="3" t="n">
        <v>6.748735</v>
      </c>
      <c r="AL1779" s="3" t="n">
        <v>6.849966</v>
      </c>
      <c r="AM1779" s="3" t="n"/>
      <c r="AN1779" s="3" t="n"/>
      <c r="AO1779" s="3" t="n"/>
      <c r="AP1779" s="3" t="n"/>
      <c r="AQ1779" s="3" t="n"/>
      <c r="AR1779" s="3" t="n"/>
      <c r="AS1779" s="3" t="n"/>
      <c r="AT1779" s="3" t="n"/>
      <c r="AU1779" s="3" t="n"/>
    </row>
    <row r="1780">
      <c r="A1780" s="3" t="n">
        <v>2031</v>
      </c>
      <c r="B1780" s="3" t="inlineStr">
        <is>
          <t>LCA</t>
        </is>
      </c>
      <c r="C1780" s="3" t="inlineStr">
        <is>
          <t>IMF.RES:WEO</t>
        </is>
      </c>
      <c r="D1780" s="3" t="inlineStr">
        <is>
          <t>LCA.NGDP_RPCH.A</t>
        </is>
      </c>
      <c r="E1780" s="3" t="inlineStr">
        <is>
          <t>St. Lucia</t>
        </is>
      </c>
      <c r="F1780" s="3" t="inlineStr">
        <is>
          <t>Gross domestic product (GDP), Constant prices, Percent change</t>
        </is>
      </c>
      <c r="G1780" s="3" t="n">
        <v>0.04946</v>
      </c>
      <c r="H1780" s="3" t="n">
        <v>-3.40921</v>
      </c>
      <c r="I1780" s="3" t="n">
        <v>0.417201</v>
      </c>
      <c r="J1780" s="3" t="n">
        <v>4.26434</v>
      </c>
      <c r="K1780" s="3" t="n">
        <v>7.268108</v>
      </c>
      <c r="L1780" s="3" t="n">
        <v>-0.410834</v>
      </c>
      <c r="M1780" s="3" t="n">
        <v>6.462127</v>
      </c>
      <c r="N1780" s="3" t="n">
        <v>1.944076</v>
      </c>
      <c r="O1780" s="3" t="n">
        <v>4.880987</v>
      </c>
      <c r="P1780" s="3" t="n">
        <v>-1.88549</v>
      </c>
      <c r="Q1780" s="3" t="n">
        <v>0.50949</v>
      </c>
      <c r="R1780" s="3" t="n">
        <v>4.862622</v>
      </c>
      <c r="S1780" s="3" t="n">
        <v>-0.379058</v>
      </c>
      <c r="T1780" s="3" t="n">
        <v>-2.221956</v>
      </c>
      <c r="U1780" s="3" t="n">
        <v>1.302289</v>
      </c>
      <c r="V1780" s="3" t="n">
        <v>-0.239987</v>
      </c>
      <c r="W1780" s="3" t="n">
        <v>3.805545</v>
      </c>
      <c r="X1780" s="3" t="n">
        <v>3.379879</v>
      </c>
      <c r="Y1780" s="3" t="n">
        <v>2.886645</v>
      </c>
      <c r="Z1780" s="3" t="n">
        <v>-0.699681</v>
      </c>
      <c r="AA1780" s="3" t="n">
        <v>-23.774228</v>
      </c>
      <c r="AB1780" s="3" t="n">
        <v>11.297944</v>
      </c>
      <c r="AC1780" s="3" t="n">
        <v>20.566016</v>
      </c>
      <c r="AD1780" s="3" t="n">
        <v>3.270603</v>
      </c>
      <c r="AE1780" s="3" t="n">
        <v>4.687635</v>
      </c>
      <c r="AF1780" s="3" t="n">
        <v>1.653903</v>
      </c>
      <c r="AG1780" s="3" t="n">
        <v>1.962995</v>
      </c>
      <c r="AH1780" s="3" t="n">
        <v>1.700893</v>
      </c>
      <c r="AI1780" s="3" t="n">
        <v>1.646089</v>
      </c>
      <c r="AJ1780" s="3" t="n">
        <v>1.568075</v>
      </c>
      <c r="AK1780" s="3" t="n">
        <v>1.487943</v>
      </c>
      <c r="AL1780" s="3" t="n">
        <v>1.5</v>
      </c>
      <c r="AM1780" s="3" t="n"/>
      <c r="AN1780" s="3" t="n"/>
      <c r="AO1780" s="3" t="n"/>
      <c r="AP1780" s="3" t="n"/>
      <c r="AQ1780" s="3" t="n"/>
      <c r="AR1780" s="3" t="n"/>
      <c r="AS1780" s="3" t="n"/>
      <c r="AT1780" s="3" t="n"/>
      <c r="AU1780" s="3" t="n"/>
    </row>
    <row r="1781">
      <c r="A1781" s="3" t="n">
        <v>2031</v>
      </c>
      <c r="B1781" s="3" t="inlineStr">
        <is>
          <t>LCA</t>
        </is>
      </c>
      <c r="C1781" s="3" t="inlineStr">
        <is>
          <t>IMF.RES:WEO</t>
        </is>
      </c>
      <c r="D1781" s="3" t="inlineStr">
        <is>
          <t>LCA.NGDPD.A</t>
        </is>
      </c>
      <c r="E1781" s="3" t="inlineStr">
        <is>
          <t>St. Lucia</t>
        </is>
      </c>
      <c r="F1781" s="3" t="inlineStr">
        <is>
          <t>Gross domestic product (GDP), Current prices, US dollar</t>
        </is>
      </c>
      <c r="G1781" s="3" t="n">
        <v>0.932015</v>
      </c>
      <c r="H1781" s="3" t="n">
        <v>0.891808</v>
      </c>
      <c r="I1781" s="3" t="n">
        <v>0.89933</v>
      </c>
      <c r="J1781" s="3" t="n">
        <v>0.986739</v>
      </c>
      <c r="K1781" s="3" t="n">
        <v>1.066048</v>
      </c>
      <c r="L1781" s="3" t="n">
        <v>1.134876</v>
      </c>
      <c r="M1781" s="3" t="n">
        <v>1.267412</v>
      </c>
      <c r="N1781" s="3" t="n">
        <v>1.330571</v>
      </c>
      <c r="O1781" s="3" t="n">
        <v>1.426471</v>
      </c>
      <c r="P1781" s="3" t="n">
        <v>1.399561</v>
      </c>
      <c r="Q1781" s="3" t="n">
        <v>1.482922</v>
      </c>
      <c r="R1781" s="3" t="n">
        <v>1.568756</v>
      </c>
      <c r="S1781" s="3" t="n">
        <v>1.598109</v>
      </c>
      <c r="T1781" s="3" t="n">
        <v>1.660392</v>
      </c>
      <c r="U1781" s="3" t="n">
        <v>1.749187</v>
      </c>
      <c r="V1781" s="3" t="n">
        <v>1.80764</v>
      </c>
      <c r="W1781" s="3" t="n">
        <v>1.868546</v>
      </c>
      <c r="X1781" s="3" t="n">
        <v>1.998505</v>
      </c>
      <c r="Y1781" s="3" t="n">
        <v>2.060954</v>
      </c>
      <c r="Z1781" s="3" t="n">
        <v>2.095376</v>
      </c>
      <c r="AA1781" s="3" t="n">
        <v>1.511384</v>
      </c>
      <c r="AB1781" s="3" t="n">
        <v>1.869246</v>
      </c>
      <c r="AC1781" s="3" t="n">
        <v>2.333605</v>
      </c>
      <c r="AD1781" s="3" t="n">
        <v>2.396518</v>
      </c>
      <c r="AE1781" s="3" t="n">
        <v>2.574477</v>
      </c>
      <c r="AF1781" s="3" t="n">
        <v>2.651149</v>
      </c>
      <c r="AG1781" s="3" t="n">
        <v>2.765148</v>
      </c>
      <c r="AH1781" s="3" t="n">
        <v>2.890704</v>
      </c>
      <c r="AI1781" s="3" t="n">
        <v>3.020778</v>
      </c>
      <c r="AJ1781" s="3" t="n">
        <v>3.153667</v>
      </c>
      <c r="AK1781" s="3" t="n">
        <v>3.28363</v>
      </c>
      <c r="AL1781" s="3" t="n">
        <v>3.432852</v>
      </c>
      <c r="AM1781" s="3" t="n"/>
      <c r="AN1781" s="3" t="n"/>
      <c r="AO1781" s="3" t="n"/>
      <c r="AP1781" s="3" t="n"/>
      <c r="AQ1781" s="3" t="n"/>
      <c r="AR1781" s="3" t="n"/>
      <c r="AS1781" s="3" t="n"/>
      <c r="AT1781" s="3" t="n"/>
      <c r="AU1781" s="3" t="n"/>
    </row>
    <row r="1782">
      <c r="A1782" s="3" t="n">
        <v>2031</v>
      </c>
      <c r="B1782" s="3" t="inlineStr">
        <is>
          <t>LCA</t>
        </is>
      </c>
      <c r="C1782" s="3" t="inlineStr">
        <is>
          <t>IMF.RES:WEO</t>
        </is>
      </c>
      <c r="D1782" s="3" t="inlineStr">
        <is>
          <t>LCA.NGDPPC.A</t>
        </is>
      </c>
      <c r="E1782" s="3" t="inlineStr">
        <is>
          <t>St. Lucia</t>
        </is>
      </c>
      <c r="F1782" s="3" t="inlineStr">
        <is>
          <t>Gross domestic product (GDP), Current prices, Per capita, Domestic currency</t>
        </is>
      </c>
      <c r="G1782" s="3" t="n">
        <v>15864.982735</v>
      </c>
      <c r="H1782" s="3" t="n">
        <v>15027.007037</v>
      </c>
      <c r="I1782" s="3" t="n">
        <v>15022.123053</v>
      </c>
      <c r="J1782" s="3" t="n">
        <v>16347.16719</v>
      </c>
      <c r="K1782" s="3" t="n">
        <v>17525.243538</v>
      </c>
      <c r="L1782" s="3" t="n">
        <v>18520.190136</v>
      </c>
      <c r="M1782" s="3" t="n">
        <v>20535.488817</v>
      </c>
      <c r="N1782" s="3" t="n">
        <v>21415.029403</v>
      </c>
      <c r="O1782" s="3" t="n">
        <v>22815.697857</v>
      </c>
      <c r="P1782" s="3" t="n">
        <v>22245.470603</v>
      </c>
      <c r="Q1782" s="3" t="n">
        <v>23427.433119</v>
      </c>
      <c r="R1782" s="3" t="n">
        <v>24654.340662</v>
      </c>
      <c r="S1782" s="3" t="n">
        <v>25001.274949</v>
      </c>
      <c r="T1782" s="3" t="n">
        <v>25858.484194</v>
      </c>
      <c r="U1782" s="3" t="n">
        <v>27121.04071</v>
      </c>
      <c r="V1782" s="3" t="n">
        <v>27904.445929</v>
      </c>
      <c r="W1782" s="3" t="n">
        <v>28722.960193</v>
      </c>
      <c r="X1782" s="3" t="n">
        <v>30599.423052</v>
      </c>
      <c r="Y1782" s="3" t="n">
        <v>31435.258982</v>
      </c>
      <c r="Z1782" s="3" t="n">
        <v>31844.437236</v>
      </c>
      <c r="AA1782" s="3" t="n">
        <v>22893.332281</v>
      </c>
      <c r="AB1782" s="3" t="n">
        <v>28270.828917</v>
      </c>
      <c r="AC1782" s="3" t="n">
        <v>35242.743527</v>
      </c>
      <c r="AD1782" s="3" t="n">
        <v>36091.132771</v>
      </c>
      <c r="AE1782" s="3" t="n">
        <v>38528.438706</v>
      </c>
      <c r="AF1782" s="3" t="n">
        <v>39427.478059</v>
      </c>
      <c r="AG1782" s="3" t="n">
        <v>40865.403832</v>
      </c>
      <c r="AH1782" s="3" t="n">
        <v>42453.499618</v>
      </c>
      <c r="AI1782" s="3" t="n">
        <v>44086.053458</v>
      </c>
      <c r="AJ1782" s="3" t="n">
        <v>45737.324941</v>
      </c>
      <c r="AK1782" s="3" t="n">
        <v>47324.023966</v>
      </c>
      <c r="AL1782" s="3" t="n">
        <v>49164.89189</v>
      </c>
      <c r="AM1782" s="3" t="n"/>
      <c r="AN1782" s="3" t="n"/>
      <c r="AO1782" s="3" t="n"/>
      <c r="AP1782" s="3" t="n"/>
      <c r="AQ1782" s="3" t="n"/>
      <c r="AR1782" s="3" t="n"/>
      <c r="AS1782" s="3" t="n"/>
      <c r="AT1782" s="3" t="n"/>
      <c r="AU1782" s="3" t="n"/>
    </row>
    <row r="1783">
      <c r="A1783" s="3" t="n">
        <v>2031</v>
      </c>
      <c r="B1783" s="3" t="inlineStr">
        <is>
          <t>LCA</t>
        </is>
      </c>
      <c r="C1783" s="3" t="inlineStr">
        <is>
          <t>IMF.RES:WEO</t>
        </is>
      </c>
      <c r="D1783" s="3" t="inlineStr">
        <is>
          <t>LCA.NGDPRPC.A</t>
        </is>
      </c>
      <c r="E1783" s="3" t="inlineStr">
        <is>
          <t>St. Lucia</t>
        </is>
      </c>
      <c r="F1783" s="3" t="inlineStr">
        <is>
          <t>Gross domestic product (GDP), Constant prices, Per capita, Domestic currency</t>
        </is>
      </c>
      <c r="G1783" s="3" t="n">
        <v>25381.917985</v>
      </c>
      <c r="H1783" s="3" t="n">
        <v>24268.578701</v>
      </c>
      <c r="I1783" s="3" t="n">
        <v>24158.153302</v>
      </c>
      <c r="J1783" s="3" t="n">
        <v>24982.011496</v>
      </c>
      <c r="K1783" s="3" t="n">
        <v>26591.656239</v>
      </c>
      <c r="L1783" s="3" t="n">
        <v>26288.5726</v>
      </c>
      <c r="M1783" s="3" t="n">
        <v>27787.678514</v>
      </c>
      <c r="N1783" s="3" t="n">
        <v>28138.935921</v>
      </c>
      <c r="O1783" s="3" t="n">
        <v>29328.824096</v>
      </c>
      <c r="P1783" s="3" t="n">
        <v>28596.098567</v>
      </c>
      <c r="Q1783" s="3" t="n">
        <v>28567.397442</v>
      </c>
      <c r="R1783" s="3" t="n">
        <v>29800.462883</v>
      </c>
      <c r="S1783" s="3" t="n">
        <v>29552.298177</v>
      </c>
      <c r="T1783" s="3" t="n">
        <v>28765.322012</v>
      </c>
      <c r="U1783" s="3" t="n">
        <v>29011.246723</v>
      </c>
      <c r="V1783" s="3" t="n">
        <v>28814.707674</v>
      </c>
      <c r="W1783" s="3" t="n">
        <v>29785.077207</v>
      </c>
      <c r="X1783" s="3" t="n">
        <v>30670.245412</v>
      </c>
      <c r="Y1783" s="3" t="n">
        <v>31435.258982</v>
      </c>
      <c r="Z1783" s="3" t="n">
        <v>31102.160723</v>
      </c>
      <c r="AA1783" s="3" t="n">
        <v>23629.52303</v>
      </c>
      <c r="AB1783" s="3" t="n">
        <v>26259.10325</v>
      </c>
      <c r="AC1783" s="3" t="n">
        <v>31613.689424</v>
      </c>
      <c r="AD1783" s="3" t="n">
        <v>32555.869661</v>
      </c>
      <c r="AE1783" s="3" t="n">
        <v>33868.597934</v>
      </c>
      <c r="AF1783" s="3" t="n">
        <v>34213.208428</v>
      </c>
      <c r="AG1783" s="3" t="n">
        <v>34666.413464</v>
      </c>
      <c r="AH1783" s="3" t="n">
        <v>35035.32945</v>
      </c>
      <c r="AI1783" s="3" t="n">
        <v>35389.091053</v>
      </c>
      <c r="AJ1783" s="3" t="n">
        <v>35718.988755</v>
      </c>
      <c r="AK1783" s="3" t="n">
        <v>36023.518782</v>
      </c>
      <c r="AL1783" s="3" t="n">
        <v>36334.961307</v>
      </c>
      <c r="AM1783" s="3" t="n"/>
      <c r="AN1783" s="3" t="n"/>
      <c r="AO1783" s="3" t="n"/>
      <c r="AP1783" s="3" t="n"/>
      <c r="AQ1783" s="3" t="n"/>
      <c r="AR1783" s="3" t="n"/>
      <c r="AS1783" s="3" t="n"/>
      <c r="AT1783" s="3" t="n"/>
      <c r="AU1783" s="3" t="n"/>
    </row>
    <row r="1784">
      <c r="A1784" s="3" t="n">
        <v>2031</v>
      </c>
      <c r="B1784" s="3" t="inlineStr">
        <is>
          <t>LCA</t>
        </is>
      </c>
      <c r="C1784" s="3" t="inlineStr">
        <is>
          <t>IMF.RES:WEO</t>
        </is>
      </c>
      <c r="D1784" s="3" t="inlineStr">
        <is>
          <t>LCA.PCPI.A</t>
        </is>
      </c>
      <c r="E1784" s="3" t="inlineStr">
        <is>
          <t>St. Lucia</t>
        </is>
      </c>
      <c r="F1784" s="3" t="inlineStr">
        <is>
          <t>All Items, Consumer price index (CPI), Period average</t>
        </is>
      </c>
      <c r="G1784" s="3" t="n">
        <v>70.91298500000001</v>
      </c>
      <c r="H1784" s="3" t="n">
        <v>74.65194099999999</v>
      </c>
      <c r="I1784" s="3" t="n">
        <v>74.461178</v>
      </c>
      <c r="J1784" s="3" t="n">
        <v>75.231296</v>
      </c>
      <c r="K1784" s="3" t="n">
        <v>76.329949</v>
      </c>
      <c r="L1784" s="3" t="n">
        <v>79.315038</v>
      </c>
      <c r="M1784" s="3" t="n">
        <v>82.141998</v>
      </c>
      <c r="N1784" s="3" t="n">
        <v>84.46095200000001</v>
      </c>
      <c r="O1784" s="3" t="n">
        <v>89.14815299999999</v>
      </c>
      <c r="P1784" s="3" t="n">
        <v>89.008247</v>
      </c>
      <c r="Q1784" s="3" t="n">
        <v>91.901321</v>
      </c>
      <c r="R1784" s="3" t="n">
        <v>94.446444</v>
      </c>
      <c r="S1784" s="3" t="n">
        <v>98.392072</v>
      </c>
      <c r="T1784" s="3" t="n">
        <v>99.8425</v>
      </c>
      <c r="U1784" s="3" t="n">
        <v>103.3525</v>
      </c>
      <c r="V1784" s="3" t="n">
        <v>102.335833</v>
      </c>
      <c r="W1784" s="3" t="n">
        <v>99.1875</v>
      </c>
      <c r="X1784" s="3" t="n">
        <v>99.29000000000001</v>
      </c>
      <c r="Y1784" s="3" t="n">
        <v>101.211667</v>
      </c>
      <c r="Z1784" s="3" t="n">
        <v>101.7575</v>
      </c>
      <c r="AA1784" s="3" t="n">
        <v>99.970833</v>
      </c>
      <c r="AB1784" s="3" t="n">
        <v>102.380833</v>
      </c>
      <c r="AC1784" s="3" t="n">
        <v>112.263333</v>
      </c>
      <c r="AD1784" s="3" t="n">
        <v>116.551333</v>
      </c>
      <c r="AE1784" s="3" t="n">
        <v>115.765</v>
      </c>
      <c r="AF1784" s="3" t="n">
        <v>118.111333</v>
      </c>
      <c r="AG1784" s="3" t="n">
        <v>121.064117</v>
      </c>
      <c r="AH1784" s="3" t="n">
        <v>123.987482</v>
      </c>
      <c r="AI1784" s="3" t="n">
        <v>126.742408</v>
      </c>
      <c r="AJ1784" s="3" t="n">
        <v>129.442716</v>
      </c>
      <c r="AK1784" s="3" t="n">
        <v>132.110242</v>
      </c>
      <c r="AL1784" s="3" t="n">
        <v>134.774854</v>
      </c>
      <c r="AM1784" s="3" t="n"/>
      <c r="AN1784" s="3" t="n"/>
      <c r="AO1784" s="3" t="n"/>
      <c r="AP1784" s="3" t="n"/>
      <c r="AQ1784" s="3" t="n"/>
      <c r="AR1784" s="3" t="n"/>
      <c r="AS1784" s="3" t="n"/>
      <c r="AT1784" s="3" t="n"/>
      <c r="AU1784" s="3" t="n"/>
    </row>
    <row r="1785">
      <c r="A1785" s="3" t="n">
        <v>2031</v>
      </c>
      <c r="B1785" s="3" t="inlineStr">
        <is>
          <t>LCA</t>
        </is>
      </c>
      <c r="C1785" s="3" t="inlineStr">
        <is>
          <t>IMF.RES:WEO</t>
        </is>
      </c>
      <c r="D1785" s="3" t="inlineStr">
        <is>
          <t>LCA.PCPIPCH.A</t>
        </is>
      </c>
      <c r="E1785" s="3" t="inlineStr">
        <is>
          <t>St. Lucia</t>
        </is>
      </c>
      <c r="F1785" s="3" t="inlineStr">
        <is>
          <t>All Items, Consumer price index (CPI), Period average, percent change</t>
        </is>
      </c>
      <c r="G1785" s="3" t="n">
        <v>4.847614</v>
      </c>
      <c r="H1785" s="3" t="n">
        <v>5.272597</v>
      </c>
      <c r="I1785" s="3" t="n">
        <v>-0.255537</v>
      </c>
      <c r="J1785" s="3" t="n">
        <v>1.034254</v>
      </c>
      <c r="K1785" s="3" t="n">
        <v>1.460368</v>
      </c>
      <c r="L1785" s="3" t="n">
        <v>3.91077</v>
      </c>
      <c r="M1785" s="3" t="n">
        <v>3.564217</v>
      </c>
      <c r="N1785" s="3" t="n">
        <v>2.823104</v>
      </c>
      <c r="O1785" s="3" t="n">
        <v>5.549548</v>
      </c>
      <c r="P1785" s="3" t="n">
        <v>-0.156936</v>
      </c>
      <c r="Q1785" s="3" t="n">
        <v>3.250344</v>
      </c>
      <c r="R1785" s="3" t="n">
        <v>2.769408</v>
      </c>
      <c r="S1785" s="3" t="n">
        <v>4.177636</v>
      </c>
      <c r="T1785" s="3" t="n">
        <v>1.474131</v>
      </c>
      <c r="U1785" s="3" t="n">
        <v>3.515537</v>
      </c>
      <c r="V1785" s="3" t="n">
        <v>-0.983689</v>
      </c>
      <c r="W1785" s="3" t="n">
        <v>-3.076472</v>
      </c>
      <c r="X1785" s="3" t="n">
        <v>0.10334</v>
      </c>
      <c r="Y1785" s="3" t="n">
        <v>1.935408</v>
      </c>
      <c r="Z1785" s="3" t="n">
        <v>0.539299</v>
      </c>
      <c r="AA1785" s="3" t="n">
        <v>-1.755808</v>
      </c>
      <c r="AB1785" s="3" t="n">
        <v>2.410703</v>
      </c>
      <c r="AC1785" s="3" t="n">
        <v>9.652685999999999</v>
      </c>
      <c r="AD1785" s="3" t="n">
        <v>3.819591</v>
      </c>
      <c r="AE1785" s="3" t="n">
        <v>-0.674667</v>
      </c>
      <c r="AF1785" s="3" t="n">
        <v>2.026807</v>
      </c>
      <c r="AG1785" s="3" t="n">
        <v>2.5</v>
      </c>
      <c r="AH1785" s="3" t="n">
        <v>2.414725</v>
      </c>
      <c r="AI1785" s="3" t="n">
        <v>2.221939</v>
      </c>
      <c r="AJ1785" s="3" t="n">
        <v>2.130548</v>
      </c>
      <c r="AK1785" s="3" t="n">
        <v>2.060777</v>
      </c>
      <c r="AL1785" s="3" t="n">
        <v>2.016961</v>
      </c>
      <c r="AM1785" s="3" t="n"/>
      <c r="AN1785" s="3" t="n"/>
      <c r="AO1785" s="3" t="n"/>
      <c r="AP1785" s="3" t="n"/>
      <c r="AQ1785" s="3" t="n"/>
      <c r="AR1785" s="3" t="n"/>
      <c r="AS1785" s="3" t="n"/>
      <c r="AT1785" s="3" t="n"/>
      <c r="AU1785" s="3" t="n"/>
    </row>
    <row r="1786">
      <c r="A1786" s="3" t="n">
        <v>2031</v>
      </c>
      <c r="B1786" s="3" t="inlineStr">
        <is>
          <t>LCA</t>
        </is>
      </c>
      <c r="C1786" s="3" t="inlineStr">
        <is>
          <t>IMF.RES:WEO</t>
        </is>
      </c>
      <c r="D1786" s="3" t="inlineStr">
        <is>
          <t>LCA.PPPPC.A</t>
        </is>
      </c>
      <c r="E1786" s="3" t="inlineStr">
        <is>
          <t>St. Lucia</t>
        </is>
      </c>
      <c r="F1786" s="3" t="inlineStr">
        <is>
          <t>Gross domestic product (GDP), Per capita, purchasing power parity (PPP) international dollar, ICP benchmarks 2017-2021</t>
        </is>
      </c>
      <c r="G1786" s="3" t="n">
        <v>9708.127202</v>
      </c>
      <c r="H1786" s="3" t="n">
        <v>9491.296990000001</v>
      </c>
      <c r="I1786" s="3" t="n">
        <v>9594.937286</v>
      </c>
      <c r="J1786" s="3" t="n">
        <v>10118.035182</v>
      </c>
      <c r="K1786" s="3" t="n">
        <v>11059.553436</v>
      </c>
      <c r="L1786" s="3" t="n">
        <v>11276.354973</v>
      </c>
      <c r="M1786" s="3" t="n">
        <v>12286.96906</v>
      </c>
      <c r="N1786" s="3" t="n">
        <v>12779.380825</v>
      </c>
      <c r="O1786" s="3" t="n">
        <v>13576.365641</v>
      </c>
      <c r="P1786" s="3" t="n">
        <v>13318.824946</v>
      </c>
      <c r="Q1786" s="3" t="n">
        <v>13467.16835</v>
      </c>
      <c r="R1786" s="3" t="n">
        <v>14338.311417</v>
      </c>
      <c r="S1786" s="3" t="n">
        <v>14483.654904</v>
      </c>
      <c r="T1786" s="3" t="n">
        <v>14337.903829</v>
      </c>
      <c r="U1786" s="3" t="n">
        <v>14712.343929</v>
      </c>
      <c r="V1786" s="3" t="n">
        <v>14748.287352</v>
      </c>
      <c r="W1786" s="3" t="n">
        <v>15389.814601</v>
      </c>
      <c r="X1786" s="3" t="n">
        <v>16130.982453</v>
      </c>
      <c r="Y1786" s="3" t="n">
        <v>17433.286118</v>
      </c>
      <c r="Z1786" s="3" t="n">
        <v>18710.190732</v>
      </c>
      <c r="AA1786" s="3" t="n">
        <v>15032.606792</v>
      </c>
      <c r="AB1786" s="3" t="n">
        <v>19122.250006</v>
      </c>
      <c r="AC1786" s="3" t="n">
        <v>24658.922222</v>
      </c>
      <c r="AD1786" s="3" t="n">
        <v>26333.41028</v>
      </c>
      <c r="AE1786" s="3" t="n">
        <v>28075.333512</v>
      </c>
      <c r="AF1786" s="3" t="n">
        <v>29165.533266</v>
      </c>
      <c r="AG1786" s="3" t="n">
        <v>30398.491421</v>
      </c>
      <c r="AH1786" s="3" t="n">
        <v>31396.613445</v>
      </c>
      <c r="AI1786" s="3" t="n">
        <v>32234.178487</v>
      </c>
      <c r="AJ1786" s="3" t="n">
        <v>33113.167719</v>
      </c>
      <c r="AK1786" s="3" t="n">
        <v>34009.132181</v>
      </c>
      <c r="AL1786" s="3" t="n">
        <v>34922.434809</v>
      </c>
      <c r="AM1786" s="3" t="n"/>
      <c r="AN1786" s="3" t="n"/>
      <c r="AO1786" s="3" t="n"/>
      <c r="AP1786" s="3" t="n"/>
      <c r="AQ1786" s="3" t="n"/>
      <c r="AR1786" s="3" t="n"/>
      <c r="AS1786" s="3" t="n"/>
      <c r="AT1786" s="3" t="n"/>
      <c r="AU1786" s="3" t="n"/>
    </row>
    <row r="1787">
      <c r="A1787" s="3" t="n">
        <v>2025</v>
      </c>
      <c r="B1787" s="3" t="inlineStr">
        <is>
          <t>LCA</t>
        </is>
      </c>
      <c r="C1787" s="3" t="inlineStr">
        <is>
          <t>IMF.STA:ER</t>
        </is>
      </c>
      <c r="D1787" s="3" t="inlineStr">
        <is>
          <t>LCA.XDC_USD.PA_RT.A</t>
        </is>
      </c>
      <c r="E1787" s="3" t="inlineStr">
        <is>
          <t>St. Lucia</t>
        </is>
      </c>
      <c r="F1787" s="3" t="inlineStr">
        <is>
          <t>Domestic currency per US Dollar</t>
        </is>
      </c>
      <c r="G1787" s="3" t="n">
        <v>2.7</v>
      </c>
      <c r="H1787" s="3" t="n">
        <v>2.7</v>
      </c>
      <c r="I1787" s="3" t="n">
        <v>2.7</v>
      </c>
      <c r="J1787" s="3" t="n">
        <v>2.7</v>
      </c>
      <c r="K1787" s="3" t="n">
        <v>2.7</v>
      </c>
      <c r="L1787" s="3" t="n">
        <v>2.7</v>
      </c>
      <c r="M1787" s="3" t="n">
        <v>2.7</v>
      </c>
      <c r="N1787" s="3" t="n">
        <v>2.7</v>
      </c>
      <c r="O1787" s="3" t="n">
        <v>2.7</v>
      </c>
      <c r="P1787" s="3" t="n">
        <v>2.7</v>
      </c>
      <c r="Q1787" s="3" t="n">
        <v>2.7</v>
      </c>
      <c r="R1787" s="3" t="n">
        <v>2.7</v>
      </c>
      <c r="S1787" s="3" t="n">
        <v>2.7</v>
      </c>
      <c r="T1787" s="3" t="n">
        <v>2.7</v>
      </c>
      <c r="U1787" s="3" t="n">
        <v>2.7</v>
      </c>
      <c r="V1787" s="3" t="n">
        <v>2.7</v>
      </c>
      <c r="W1787" s="3" t="n">
        <v>2.7</v>
      </c>
      <c r="X1787" s="3" t="n">
        <v>2.7</v>
      </c>
      <c r="Y1787" s="3" t="n">
        <v>2.7</v>
      </c>
      <c r="Z1787" s="3" t="n">
        <v>2.7</v>
      </c>
      <c r="AA1787" s="3" t="n">
        <v>2.7</v>
      </c>
      <c r="AB1787" s="3" t="n">
        <v>2.7</v>
      </c>
      <c r="AC1787" s="3" t="n">
        <v>2.7</v>
      </c>
      <c r="AD1787" s="3" t="n">
        <v>2.7</v>
      </c>
      <c r="AE1787" s="3" t="n">
        <v>2.7</v>
      </c>
      <c r="AF1787" s="3" t="n">
        <v>2.7</v>
      </c>
      <c r="AG1787" s="3" t="n"/>
      <c r="AH1787" s="3" t="n"/>
      <c r="AI1787" s="3" t="n"/>
      <c r="AJ1787" s="3" t="n"/>
      <c r="AK1787" s="3" t="n"/>
      <c r="AL1787" s="3" t="n"/>
      <c r="AM1787" s="3" t="n"/>
      <c r="AN1787" s="3" t="n"/>
      <c r="AO1787" s="3" t="n"/>
      <c r="AP1787" s="3" t="n"/>
      <c r="AQ1787" s="3" t="n"/>
      <c r="AR1787" s="3" t="n"/>
      <c r="AS1787" s="3" t="n"/>
      <c r="AT1787" s="3" t="n"/>
      <c r="AU1787" s="3" t="n"/>
    </row>
    <row r="1788">
      <c r="A1788" s="3" t="n">
        <v>2031</v>
      </c>
      <c r="B1788" s="3" t="inlineStr">
        <is>
          <t>LIE</t>
        </is>
      </c>
      <c r="C1788" s="3" t="inlineStr">
        <is>
          <t>IMF.RES:WEO</t>
        </is>
      </c>
      <c r="D1788" s="3" t="inlineStr">
        <is>
          <t>LIE.BCA.A</t>
        </is>
      </c>
      <c r="E1788" s="3" t="inlineStr">
        <is>
          <t>Liechtenstein, Principality of</t>
        </is>
      </c>
      <c r="F1788" s="3" t="inlineStr">
        <is>
          <t>Current account balance (credit less debit), US dollar</t>
        </is>
      </c>
      <c r="G1788" s="3" t="n"/>
      <c r="H1788" s="3" t="n"/>
      <c r="I1788" s="3" t="n"/>
      <c r="J1788" s="3" t="n"/>
      <c r="K1788" s="3" t="n"/>
      <c r="L1788" s="3" t="n"/>
      <c r="M1788" s="3" t="n"/>
      <c r="N1788" s="3" t="n"/>
      <c r="O1788" s="3" t="n"/>
      <c r="P1788" s="3" t="n"/>
      <c r="Q1788" s="3" t="n"/>
      <c r="R1788" s="3" t="n"/>
      <c r="S1788" s="3" t="n"/>
      <c r="T1788" s="3" t="n"/>
      <c r="U1788" s="3" t="n">
        <v>0.447527</v>
      </c>
      <c r="V1788" s="3" t="n">
        <v>0.308677</v>
      </c>
      <c r="W1788" s="3" t="n">
        <v>1.815358</v>
      </c>
      <c r="X1788" s="3" t="n">
        <v>2.011104</v>
      </c>
      <c r="Y1788" s="3" t="n">
        <v>1.606384</v>
      </c>
      <c r="Z1788" s="3" t="n">
        <v>1.033139</v>
      </c>
      <c r="AA1788" s="3" t="n">
        <v>1.131634</v>
      </c>
      <c r="AB1788" s="3" t="n">
        <v>1.345293</v>
      </c>
      <c r="AC1788" s="3" t="n">
        <v>1.100491</v>
      </c>
      <c r="AD1788" s="3" t="n">
        <v>1.229895</v>
      </c>
      <c r="AE1788" s="3" t="n">
        <v>1.218651</v>
      </c>
      <c r="AF1788" s="3" t="n">
        <v>1.204079</v>
      </c>
      <c r="AG1788" s="3" t="n">
        <v>1.200658</v>
      </c>
      <c r="AH1788" s="3" t="n">
        <v>1.231563</v>
      </c>
      <c r="AI1788" s="3" t="n">
        <v>1.260037</v>
      </c>
      <c r="AJ1788" s="3" t="n">
        <v>1.299629</v>
      </c>
      <c r="AK1788" s="3" t="n">
        <v>1.32697</v>
      </c>
      <c r="AL1788" s="3" t="n">
        <v>1.358066</v>
      </c>
      <c r="AM1788" s="3" t="n"/>
      <c r="AN1788" s="3" t="n"/>
      <c r="AO1788" s="3" t="n"/>
      <c r="AP1788" s="3" t="n"/>
      <c r="AQ1788" s="3" t="n"/>
      <c r="AR1788" s="3" t="n"/>
      <c r="AS1788" s="3" t="n"/>
      <c r="AT1788" s="3" t="n"/>
      <c r="AU1788" s="3" t="n"/>
    </row>
    <row r="1789">
      <c r="A1789" s="3" t="n">
        <v>2031</v>
      </c>
      <c r="B1789" s="3" t="inlineStr">
        <is>
          <t>LIE</t>
        </is>
      </c>
      <c r="C1789" s="3" t="inlineStr">
        <is>
          <t>IMF.RES:WEO</t>
        </is>
      </c>
      <c r="D1789" s="3" t="inlineStr">
        <is>
          <t>LIE.BCA_NGDPD.A</t>
        </is>
      </c>
      <c r="E1789" s="3" t="inlineStr">
        <is>
          <t>Liechtenstein, Principality of</t>
        </is>
      </c>
      <c r="F1789" s="3" t="inlineStr">
        <is>
          <t>Current account balance (credit less debit), Percent of GDP</t>
        </is>
      </c>
      <c r="G1789" s="3" t="n"/>
      <c r="H1789" s="3" t="n"/>
      <c r="I1789" s="3" t="n"/>
      <c r="J1789" s="3" t="n"/>
      <c r="K1789" s="3" t="n"/>
      <c r="L1789" s="3" t="n"/>
      <c r="M1789" s="3" t="n"/>
      <c r="N1789" s="3" t="n"/>
      <c r="O1789" s="3" t="n"/>
      <c r="P1789" s="3" t="n"/>
      <c r="Q1789" s="3" t="n"/>
      <c r="R1789" s="3" t="n"/>
      <c r="S1789" s="3" t="n"/>
      <c r="T1789" s="3" t="n"/>
      <c r="U1789" s="3" t="n">
        <v>6.850096</v>
      </c>
      <c r="V1789" s="3" t="n">
        <v>5.015554</v>
      </c>
      <c r="W1789" s="3" t="n">
        <v>29.67281</v>
      </c>
      <c r="X1789" s="3" t="n">
        <v>31.547266</v>
      </c>
      <c r="Y1789" s="3" t="n">
        <v>24.002523</v>
      </c>
      <c r="Z1789" s="3" t="n">
        <v>16.050278</v>
      </c>
      <c r="AA1789" s="3" t="n">
        <v>17.668193</v>
      </c>
      <c r="AB1789" s="3" t="n">
        <v>17.001901</v>
      </c>
      <c r="AC1789" s="3" t="n">
        <v>14.817749</v>
      </c>
      <c r="AD1789" s="3" t="n">
        <v>14.927036</v>
      </c>
      <c r="AE1789" s="3" t="n">
        <v>14.396699</v>
      </c>
      <c r="AF1789" s="3" t="n">
        <v>13.392253</v>
      </c>
      <c r="AG1789" s="3" t="n">
        <v>12.716163</v>
      </c>
      <c r="AH1789" s="3" t="n">
        <v>12.70846</v>
      </c>
      <c r="AI1789" s="3" t="n">
        <v>12.54924</v>
      </c>
      <c r="AJ1789" s="3" t="n">
        <v>12.436637</v>
      </c>
      <c r="AK1789" s="3" t="n">
        <v>12.200841</v>
      </c>
      <c r="AL1789" s="3" t="n">
        <v>11.997588</v>
      </c>
      <c r="AM1789" s="3" t="n"/>
      <c r="AN1789" s="3" t="n"/>
      <c r="AO1789" s="3" t="n"/>
      <c r="AP1789" s="3" t="n"/>
      <c r="AQ1789" s="3" t="n"/>
      <c r="AR1789" s="3" t="n"/>
      <c r="AS1789" s="3" t="n"/>
      <c r="AT1789" s="3" t="n"/>
      <c r="AU1789" s="3" t="n"/>
    </row>
    <row r="1790">
      <c r="A1790" s="3" t="n">
        <v>2031</v>
      </c>
      <c r="B1790" s="3" t="inlineStr">
        <is>
          <t>LIE</t>
        </is>
      </c>
      <c r="C1790" s="3" t="inlineStr">
        <is>
          <t>IMF.RES:WEO</t>
        </is>
      </c>
      <c r="D1790" s="3" t="inlineStr">
        <is>
          <t>LIE.GGR_NGDP.A</t>
        </is>
      </c>
      <c r="E1790" s="3" t="inlineStr">
        <is>
          <t>Liechtenstein, Principality of</t>
        </is>
      </c>
      <c r="F1790" s="3" t="inlineStr">
        <is>
          <t>Revenue, General government, Percent of GDP</t>
        </is>
      </c>
      <c r="G1790" s="3" t="n">
        <v>20.895026</v>
      </c>
      <c r="H1790" s="3" t="n">
        <v>21.594602</v>
      </c>
      <c r="I1790" s="3" t="n">
        <v>21.011285</v>
      </c>
      <c r="J1790" s="3" t="n">
        <v>20.32205</v>
      </c>
      <c r="K1790" s="3" t="n">
        <v>19.455454</v>
      </c>
      <c r="L1790" s="3" t="n">
        <v>19.569809</v>
      </c>
      <c r="M1790" s="3" t="n">
        <v>19.213377</v>
      </c>
      <c r="N1790" s="3" t="n">
        <v>19.09916</v>
      </c>
      <c r="O1790" s="3" t="n">
        <v>20.356558</v>
      </c>
      <c r="P1790" s="3" t="n">
        <v>21.612081</v>
      </c>
      <c r="Q1790" s="3" t="n">
        <v>20.172579</v>
      </c>
      <c r="R1790" s="3" t="n">
        <v>30.89292</v>
      </c>
      <c r="S1790" s="3" t="n">
        <v>31.5294</v>
      </c>
      <c r="T1790" s="3" t="n">
        <v>26.236951</v>
      </c>
      <c r="U1790" s="3" t="n">
        <v>27.080881</v>
      </c>
      <c r="V1790" s="3" t="n">
        <v>28.362866</v>
      </c>
      <c r="W1790" s="3" t="n">
        <v>27.769019</v>
      </c>
      <c r="X1790" s="3" t="n">
        <v>27.045798</v>
      </c>
      <c r="Y1790" s="3" t="n">
        <v>26.52517</v>
      </c>
      <c r="Z1790" s="3" t="n">
        <v>28.180243</v>
      </c>
      <c r="AA1790" s="3" t="n">
        <v>38.72298</v>
      </c>
      <c r="AB1790" s="3" t="n">
        <v>25.642728</v>
      </c>
      <c r="AC1790" s="3" t="n">
        <v>27.209052</v>
      </c>
      <c r="AD1790" s="3" t="n">
        <v>28.456031</v>
      </c>
      <c r="AE1790" s="3" t="n">
        <v>29.025152</v>
      </c>
      <c r="AF1790" s="3" t="n">
        <v>28.5</v>
      </c>
      <c r="AG1790" s="3" t="n">
        <v>28.5</v>
      </c>
      <c r="AH1790" s="3" t="n">
        <v>29.07</v>
      </c>
      <c r="AI1790" s="3" t="n">
        <v>29.379451</v>
      </c>
      <c r="AJ1790" s="3" t="n">
        <v>29.379451</v>
      </c>
      <c r="AK1790" s="3" t="n">
        <v>29.379451</v>
      </c>
      <c r="AL1790" s="3" t="n">
        <v>29.379451</v>
      </c>
      <c r="AM1790" s="3" t="n"/>
      <c r="AN1790" s="3" t="n"/>
      <c r="AO1790" s="3" t="n"/>
      <c r="AP1790" s="3" t="n"/>
      <c r="AQ1790" s="3" t="n"/>
      <c r="AR1790" s="3" t="n"/>
      <c r="AS1790" s="3" t="n"/>
      <c r="AT1790" s="3" t="n"/>
      <c r="AU1790" s="3" t="n"/>
    </row>
    <row r="1791">
      <c r="A1791" s="3" t="n">
        <v>2031</v>
      </c>
      <c r="B1791" s="3" t="inlineStr">
        <is>
          <t>LIE</t>
        </is>
      </c>
      <c r="C1791" s="3" t="inlineStr">
        <is>
          <t>IMF.RES:WEO</t>
        </is>
      </c>
      <c r="D1791" s="3" t="inlineStr">
        <is>
          <t>LIE.GGX_NGDP.A</t>
        </is>
      </c>
      <c r="E1791" s="3" t="inlineStr">
        <is>
          <t>Liechtenstein, Principality of</t>
        </is>
      </c>
      <c r="F1791" s="3" t="inlineStr">
        <is>
          <t>Expenditure, General government, Percent of GDP</t>
        </is>
      </c>
      <c r="G1791" s="3" t="n"/>
      <c r="H1791" s="3" t="n"/>
      <c r="I1791" s="3" t="n"/>
      <c r="J1791" s="3" t="n"/>
      <c r="K1791" s="3" t="n"/>
      <c r="L1791" s="3" t="n"/>
      <c r="M1791" s="3" t="n"/>
      <c r="N1791" s="3" t="n"/>
      <c r="O1791" s="3" t="n"/>
      <c r="P1791" s="3" t="n"/>
      <c r="Q1791" s="3" t="n"/>
      <c r="R1791" s="3" t="n">
        <v>28.935058</v>
      </c>
      <c r="S1791" s="3" t="n">
        <v>34.002663</v>
      </c>
      <c r="T1791" s="3" t="n">
        <v>27.501244</v>
      </c>
      <c r="U1791" s="3" t="n">
        <v>24.927524</v>
      </c>
      <c r="V1791" s="3" t="n">
        <v>24.741353</v>
      </c>
      <c r="W1791" s="3" t="n">
        <v>24.758814</v>
      </c>
      <c r="X1791" s="3" t="n">
        <v>24.263611</v>
      </c>
      <c r="Y1791" s="3" t="n">
        <v>23.703511</v>
      </c>
      <c r="Z1791" s="3" t="n">
        <v>24.581014</v>
      </c>
      <c r="AA1791" s="3" t="n">
        <v>31.328567</v>
      </c>
      <c r="AB1791" s="3" t="n">
        <v>23.210112</v>
      </c>
      <c r="AC1791" s="3" t="n">
        <v>23.931838</v>
      </c>
      <c r="AD1791" s="3" t="n">
        <v>24.060516</v>
      </c>
      <c r="AE1791" s="3" t="n">
        <v>26.02381</v>
      </c>
      <c r="AF1791" s="3" t="n">
        <v>25.698662</v>
      </c>
      <c r="AG1791" s="3" t="n">
        <v>25.498664</v>
      </c>
      <c r="AH1791" s="3" t="n">
        <v>25.868675</v>
      </c>
      <c r="AI1791" s="3" t="n">
        <v>26.07815</v>
      </c>
      <c r="AJ1791" s="3" t="n">
        <v>26.078179</v>
      </c>
      <c r="AK1791" s="3" t="n">
        <v>26.078206</v>
      </c>
      <c r="AL1791" s="3" t="n">
        <v>26.078233</v>
      </c>
      <c r="AM1791" s="3" t="n"/>
      <c r="AN1791" s="3" t="n"/>
      <c r="AO1791" s="3" t="n"/>
      <c r="AP1791" s="3" t="n"/>
      <c r="AQ1791" s="3" t="n"/>
      <c r="AR1791" s="3" t="n"/>
      <c r="AS1791" s="3" t="n"/>
      <c r="AT1791" s="3" t="n"/>
      <c r="AU1791" s="3" t="n"/>
    </row>
    <row r="1792">
      <c r="A1792" s="3" t="n">
        <v>2027</v>
      </c>
      <c r="B1792" s="3" t="inlineStr">
        <is>
          <t>LIE</t>
        </is>
      </c>
      <c r="C1792" s="3" t="inlineStr">
        <is>
          <t>IMF.RES:WEO</t>
        </is>
      </c>
      <c r="D1792" s="3" t="inlineStr">
        <is>
          <t>LIE.LE.A</t>
        </is>
      </c>
      <c r="E1792" s="3" t="inlineStr">
        <is>
          <t>Liechtenstein, Principality of</t>
        </is>
      </c>
      <c r="F1792" s="3" t="inlineStr">
        <is>
          <t>Employed persons, Persons for countries / Index for country groups</t>
        </is>
      </c>
      <c r="G1792" s="3" t="n">
        <v>0.027719</v>
      </c>
      <c r="H1792" s="3" t="n">
        <v>0.029765</v>
      </c>
      <c r="I1792" s="3" t="n">
        <v>0.029809</v>
      </c>
      <c r="J1792" s="3" t="n">
        <v>0.030025</v>
      </c>
      <c r="K1792" s="3" t="n">
        <v>0.030532</v>
      </c>
      <c r="L1792" s="3" t="n">
        <v>0.031174</v>
      </c>
      <c r="M1792" s="3" t="n">
        <v>0.032095</v>
      </c>
      <c r="N1792" s="3" t="n">
        <v>0.033487</v>
      </c>
      <c r="O1792" s="3" t="n">
        <v>0.034504</v>
      </c>
      <c r="P1792" s="3" t="n">
        <v>0.033928</v>
      </c>
      <c r="Q1792" s="3" t="n">
        <v>0.034334</v>
      </c>
      <c r="R1792" s="3" t="n">
        <v>0.035253</v>
      </c>
      <c r="S1792" s="3" t="n">
        <v>0.035829</v>
      </c>
      <c r="T1792" s="3" t="n">
        <v>0.036224</v>
      </c>
      <c r="U1792" s="3" t="n">
        <v>0.03668</v>
      </c>
      <c r="V1792" s="3" t="n">
        <v>0.036755</v>
      </c>
      <c r="W1792" s="3" t="n">
        <v>0.037453</v>
      </c>
      <c r="X1792" s="3" t="n">
        <v>0.038661</v>
      </c>
      <c r="Y1792" s="3" t="n">
        <v>0.039635</v>
      </c>
      <c r="Z1792" s="3" t="n">
        <v>0.040605</v>
      </c>
      <c r="AA1792" s="3" t="n">
        <v>0.040328</v>
      </c>
      <c r="AB1792" s="3" t="n">
        <v>0.041352</v>
      </c>
      <c r="AC1792" s="3" t="n">
        <v>0.042514</v>
      </c>
      <c r="AD1792" s="3" t="n">
        <v>0.043162</v>
      </c>
      <c r="AE1792" s="3" t="n">
        <v>0.043441</v>
      </c>
      <c r="AF1792" s="3" t="n">
        <v>0.043896</v>
      </c>
      <c r="AG1792" s="3" t="n">
        <v>0.044356</v>
      </c>
      <c r="AH1792" s="3" t="n">
        <v>0.045042</v>
      </c>
      <c r="AI1792" s="3" t="n"/>
      <c r="AJ1792" s="3" t="n"/>
      <c r="AK1792" s="3" t="n"/>
      <c r="AL1792" s="3" t="n"/>
      <c r="AM1792" s="3" t="n"/>
      <c r="AN1792" s="3" t="n"/>
      <c r="AO1792" s="3" t="n"/>
      <c r="AP1792" s="3" t="n"/>
      <c r="AQ1792" s="3" t="n"/>
      <c r="AR1792" s="3" t="n"/>
      <c r="AS1792" s="3" t="n"/>
      <c r="AT1792" s="3" t="n"/>
      <c r="AU1792" s="3" t="n"/>
    </row>
    <row r="1793">
      <c r="A1793" s="3" t="n">
        <v>2031</v>
      </c>
      <c r="B1793" s="3" t="inlineStr">
        <is>
          <t>LIE</t>
        </is>
      </c>
      <c r="C1793" s="3" t="inlineStr">
        <is>
          <t>IMF.RES:WEO</t>
        </is>
      </c>
      <c r="D1793" s="3" t="inlineStr">
        <is>
          <t>LIE.LP.A</t>
        </is>
      </c>
      <c r="E1793" s="3" t="inlineStr">
        <is>
          <t>Liechtenstein, Principality of</t>
        </is>
      </c>
      <c r="F1793" s="3" t="inlineStr">
        <is>
          <t>Population, Persons for countries / Index for country groups</t>
        </is>
      </c>
      <c r="G1793" s="3" t="n">
        <v>0.032863</v>
      </c>
      <c r="H1793" s="3" t="n">
        <v>0.033525</v>
      </c>
      <c r="I1793" s="3" t="n">
        <v>0.033863</v>
      </c>
      <c r="J1793" s="3" t="n">
        <v>0.034294</v>
      </c>
      <c r="K1793" s="3" t="n">
        <v>0.0346</v>
      </c>
      <c r="L1793" s="3" t="n">
        <v>0.034905</v>
      </c>
      <c r="M1793" s="3" t="n">
        <v>0.035168</v>
      </c>
      <c r="N1793" s="3" t="n">
        <v>0.035356</v>
      </c>
      <c r="O1793" s="3" t="n">
        <v>0.035589</v>
      </c>
      <c r="P1793" s="3" t="n">
        <v>0.035894</v>
      </c>
      <c r="Q1793" s="3" t="n">
        <v>0.036149</v>
      </c>
      <c r="R1793" s="3" t="n">
        <v>0.036475</v>
      </c>
      <c r="S1793" s="3" t="n">
        <v>0.036838</v>
      </c>
      <c r="T1793" s="3" t="n">
        <v>0.037129</v>
      </c>
      <c r="U1793" s="3" t="n">
        <v>0.037366</v>
      </c>
      <c r="V1793" s="3" t="n">
        <v>0.037622</v>
      </c>
      <c r="W1793" s="3" t="n">
        <v>0.03781</v>
      </c>
      <c r="X1793" s="3" t="n">
        <v>0.038114</v>
      </c>
      <c r="Y1793" s="3" t="n">
        <v>0.038378</v>
      </c>
      <c r="Z1793" s="3" t="n">
        <v>0.038747</v>
      </c>
      <c r="AA1793" s="3" t="n">
        <v>0.039055</v>
      </c>
      <c r="AB1793" s="3" t="n">
        <v>0.039308</v>
      </c>
      <c r="AC1793" s="3" t="n">
        <v>0.039677</v>
      </c>
      <c r="AD1793" s="3" t="n">
        <v>0.040015</v>
      </c>
      <c r="AE1793" s="3" t="n">
        <v>0.040886</v>
      </c>
      <c r="AF1793" s="3" t="n">
        <v>0.041256</v>
      </c>
      <c r="AG1793" s="3" t="n">
        <v>0.04163</v>
      </c>
      <c r="AH1793" s="3" t="n">
        <v>0.042007</v>
      </c>
      <c r="AI1793" s="3" t="n">
        <v>0.042387</v>
      </c>
      <c r="AJ1793" s="3" t="n">
        <v>0.042771</v>
      </c>
      <c r="AK1793" s="3" t="n">
        <v>0.043158</v>
      </c>
      <c r="AL1793" s="3" t="n">
        <v>0.043548</v>
      </c>
      <c r="AM1793" s="3" t="n"/>
      <c r="AN1793" s="3" t="n"/>
      <c r="AO1793" s="3" t="n"/>
      <c r="AP1793" s="3" t="n"/>
      <c r="AQ1793" s="3" t="n"/>
      <c r="AR1793" s="3" t="n"/>
      <c r="AS1793" s="3" t="n"/>
      <c r="AT1793" s="3" t="n"/>
      <c r="AU1793" s="3" t="n"/>
    </row>
    <row r="1794">
      <c r="A1794" s="3" t="n">
        <v>2031</v>
      </c>
      <c r="B1794" s="3" t="inlineStr">
        <is>
          <t>LIE</t>
        </is>
      </c>
      <c r="C1794" s="3" t="inlineStr">
        <is>
          <t>IMF.RES:WEO</t>
        </is>
      </c>
      <c r="D1794" s="3" t="inlineStr">
        <is>
          <t>LIE.NGDP.A</t>
        </is>
      </c>
      <c r="E1794" s="3" t="inlineStr">
        <is>
          <t>Liechtenstein, Principality of</t>
        </is>
      </c>
      <c r="F1794" s="3" t="inlineStr">
        <is>
          <t>Gross domestic product (GDP), Current prices, Domestic currency</t>
        </is>
      </c>
      <c r="G1794" s="3" t="n">
        <v>4.592328</v>
      </c>
      <c r="H1794" s="3" t="n">
        <v>4.597919</v>
      </c>
      <c r="I1794" s="3" t="n">
        <v>4.561292</v>
      </c>
      <c r="J1794" s="3" t="n">
        <v>4.490902</v>
      </c>
      <c r="K1794" s="3" t="n">
        <v>4.674235</v>
      </c>
      <c r="L1794" s="3" t="n">
        <v>4.967505</v>
      </c>
      <c r="M1794" s="3" t="n">
        <v>5.474417</v>
      </c>
      <c r="N1794" s="3" t="n">
        <v>6.047402</v>
      </c>
      <c r="O1794" s="3" t="n">
        <v>6.012355</v>
      </c>
      <c r="P1794" s="3" t="n">
        <v>5.321746</v>
      </c>
      <c r="Q1794" s="3" t="n">
        <v>5.773838</v>
      </c>
      <c r="R1794" s="3" t="n">
        <v>5.539301</v>
      </c>
      <c r="S1794" s="3" t="n">
        <v>5.540448</v>
      </c>
      <c r="T1794" s="3" t="n">
        <v>5.814646</v>
      </c>
      <c r="U1794" s="3" t="n">
        <v>5.985352</v>
      </c>
      <c r="V1794" s="3" t="n">
        <v>5.922877</v>
      </c>
      <c r="W1794" s="3" t="n">
        <v>6.02856</v>
      </c>
      <c r="X1794" s="3" t="n">
        <v>6.277301</v>
      </c>
      <c r="Y1794" s="3" t="n">
        <v>6.5446</v>
      </c>
      <c r="Z1794" s="3" t="n">
        <v>6.3964</v>
      </c>
      <c r="AA1794" s="3" t="n">
        <v>6.014</v>
      </c>
      <c r="AB1794" s="3" t="n">
        <v>7.2309</v>
      </c>
      <c r="AC1794" s="3" t="n">
        <v>7.09139</v>
      </c>
      <c r="AD1794" s="3" t="n">
        <v>7.403</v>
      </c>
      <c r="AE1794" s="3" t="n">
        <v>7.452748</v>
      </c>
      <c r="AF1794" s="3" t="n">
        <v>7.475106</v>
      </c>
      <c r="AG1794" s="3" t="n">
        <v>7.482432</v>
      </c>
      <c r="AH1794" s="3" t="n">
        <v>7.549923</v>
      </c>
      <c r="AI1794" s="3" t="n">
        <v>7.686366</v>
      </c>
      <c r="AJ1794" s="3" t="n">
        <v>7.856273</v>
      </c>
      <c r="AK1794" s="3" t="n">
        <v>8.029935999999999</v>
      </c>
      <c r="AL1794" s="3" t="n">
        <v>8.207437000000001</v>
      </c>
      <c r="AM1794" s="3" t="n"/>
      <c r="AN1794" s="3" t="n"/>
      <c r="AO1794" s="3" t="n"/>
      <c r="AP1794" s="3" t="n"/>
      <c r="AQ1794" s="3" t="n"/>
      <c r="AR1794" s="3" t="n"/>
      <c r="AS1794" s="3" t="n"/>
      <c r="AT1794" s="3" t="n"/>
      <c r="AU1794" s="3" t="n"/>
    </row>
    <row r="1795">
      <c r="A1795" s="3" t="n">
        <v>2031</v>
      </c>
      <c r="B1795" s="3" t="inlineStr">
        <is>
          <t>LIE</t>
        </is>
      </c>
      <c r="C1795" s="3" t="inlineStr">
        <is>
          <t>IMF.RES:WEO</t>
        </is>
      </c>
      <c r="D1795" s="3" t="inlineStr">
        <is>
          <t>LIE.NGDP_D.A</t>
        </is>
      </c>
      <c r="E1795" s="3" t="inlineStr">
        <is>
          <t>Liechtenstein, Principality of</t>
        </is>
      </c>
      <c r="F1795" s="3" t="inlineStr">
        <is>
          <t>Gross domestic product (GDP), Price deflator, Index</t>
        </is>
      </c>
      <c r="G1795" s="3" t="n">
        <v>86.87990499999999</v>
      </c>
      <c r="H1795" s="3" t="n">
        <v>87.828586</v>
      </c>
      <c r="I1795" s="3" t="n">
        <v>87.427671</v>
      </c>
      <c r="J1795" s="3" t="n">
        <v>88.457852</v>
      </c>
      <c r="K1795" s="3" t="n">
        <v>88.83970600000001</v>
      </c>
      <c r="L1795" s="3" t="n">
        <v>89.68436</v>
      </c>
      <c r="M1795" s="3" t="n">
        <v>91.591475</v>
      </c>
      <c r="N1795" s="3" t="n">
        <v>93.85399099999999</v>
      </c>
      <c r="O1795" s="3" t="n">
        <v>95.123284</v>
      </c>
      <c r="P1795" s="3" t="n">
        <v>95.57517199999999</v>
      </c>
      <c r="Q1795" s="3" t="n">
        <v>96.006197</v>
      </c>
      <c r="R1795" s="3" t="n">
        <v>96.10813400000001</v>
      </c>
      <c r="S1795" s="3" t="n">
        <v>96.302741</v>
      </c>
      <c r="T1795" s="3" t="n">
        <v>96.27391</v>
      </c>
      <c r="U1795" s="3" t="n">
        <v>95.691062</v>
      </c>
      <c r="V1795" s="3" t="n">
        <v>94.4044</v>
      </c>
      <c r="W1795" s="3" t="n">
        <v>93.82904000000001</v>
      </c>
      <c r="X1795" s="3" t="n">
        <v>93.514814</v>
      </c>
      <c r="Y1795" s="3" t="n">
        <v>94.215271</v>
      </c>
      <c r="Z1795" s="3" t="n">
        <v>94.130348</v>
      </c>
      <c r="AA1795" s="3" t="n">
        <v>93.41416100000001</v>
      </c>
      <c r="AB1795" s="3" t="n">
        <v>95.22124599999999</v>
      </c>
      <c r="AC1795" s="3" t="n">
        <v>98.12661</v>
      </c>
      <c r="AD1795" s="3" t="n">
        <v>99.043485</v>
      </c>
      <c r="AE1795" s="3" t="n">
        <v>100</v>
      </c>
      <c r="AF1795" s="3" t="n">
        <v>100.3</v>
      </c>
      <c r="AG1795" s="3" t="n">
        <v>100.8015</v>
      </c>
      <c r="AH1795" s="3" t="n">
        <v>101.305508</v>
      </c>
      <c r="AI1795" s="3" t="n">
        <v>101.913341</v>
      </c>
      <c r="AJ1795" s="3" t="n">
        <v>102.626734</v>
      </c>
      <c r="AK1795" s="3" t="n">
        <v>103.345121</v>
      </c>
      <c r="AL1795" s="3" t="n">
        <v>104.068537</v>
      </c>
      <c r="AM1795" s="3" t="n"/>
      <c r="AN1795" s="3" t="n"/>
      <c r="AO1795" s="3" t="n"/>
      <c r="AP1795" s="3" t="n"/>
      <c r="AQ1795" s="3" t="n"/>
      <c r="AR1795" s="3" t="n"/>
      <c r="AS1795" s="3" t="n"/>
      <c r="AT1795" s="3" t="n"/>
      <c r="AU1795" s="3" t="n"/>
    </row>
    <row r="1796">
      <c r="A1796" s="3" t="n">
        <v>2031</v>
      </c>
      <c r="B1796" s="3" t="inlineStr">
        <is>
          <t>LIE</t>
        </is>
      </c>
      <c r="C1796" s="3" t="inlineStr">
        <is>
          <t>IMF.RES:WEO</t>
        </is>
      </c>
      <c r="D1796" s="3" t="inlineStr">
        <is>
          <t>LIE.NGDP_R.A</t>
        </is>
      </c>
      <c r="E1796" s="3" t="inlineStr">
        <is>
          <t>Liechtenstein, Principality of</t>
        </is>
      </c>
      <c r="F1796" s="3" t="inlineStr">
        <is>
          <t>Gross domestic product (GDP), Constant prices, Domestic currency</t>
        </is>
      </c>
      <c r="G1796" s="3" t="n">
        <v>5.285834</v>
      </c>
      <c r="H1796" s="3" t="n">
        <v>5.235105</v>
      </c>
      <c r="I1796" s="3" t="n">
        <v>5.217218</v>
      </c>
      <c r="J1796" s="3" t="n">
        <v>5.076883</v>
      </c>
      <c r="K1796" s="3" t="n">
        <v>5.261425</v>
      </c>
      <c r="L1796" s="3" t="n">
        <v>5.538875</v>
      </c>
      <c r="M1796" s="3" t="n">
        <v>5.976994</v>
      </c>
      <c r="N1796" s="3" t="n">
        <v>6.443415</v>
      </c>
      <c r="O1796" s="3" t="n">
        <v>6.320592</v>
      </c>
      <c r="P1796" s="3" t="n">
        <v>5.568126</v>
      </c>
      <c r="Q1796" s="3" t="n">
        <v>6.014026</v>
      </c>
      <c r="R1796" s="3" t="n">
        <v>5.763613</v>
      </c>
      <c r="S1796" s="3" t="n">
        <v>5.753158</v>
      </c>
      <c r="T1796" s="3" t="n">
        <v>6.03969</v>
      </c>
      <c r="U1796" s="3" t="n">
        <v>6.25487</v>
      </c>
      <c r="V1796" s="3" t="n">
        <v>6.273942</v>
      </c>
      <c r="W1796" s="3" t="n">
        <v>6.425047</v>
      </c>
      <c r="X1796" s="3" t="n">
        <v>6.712628</v>
      </c>
      <c r="Y1796" s="3" t="n">
        <v>6.946432</v>
      </c>
      <c r="Z1796" s="3" t="n">
        <v>6.795258</v>
      </c>
      <c r="AA1796" s="3" t="n">
        <v>6.437996</v>
      </c>
      <c r="AB1796" s="3" t="n">
        <v>7.593788</v>
      </c>
      <c r="AC1796" s="3" t="n">
        <v>7.226776</v>
      </c>
      <c r="AD1796" s="3" t="n">
        <v>7.474495</v>
      </c>
      <c r="AE1796" s="3" t="n">
        <v>7.452748</v>
      </c>
      <c r="AF1796" s="3" t="n">
        <v>7.452748</v>
      </c>
      <c r="AG1796" s="3" t="n">
        <v>7.422937</v>
      </c>
      <c r="AH1796" s="3" t="n">
        <v>7.452629</v>
      </c>
      <c r="AI1796" s="3" t="n">
        <v>7.54206</v>
      </c>
      <c r="AJ1796" s="3" t="n">
        <v>7.655191</v>
      </c>
      <c r="AK1796" s="3" t="n">
        <v>7.770019</v>
      </c>
      <c r="AL1796" s="3" t="n">
        <v>7.886569</v>
      </c>
      <c r="AM1796" s="3" t="n"/>
      <c r="AN1796" s="3" t="n"/>
      <c r="AO1796" s="3" t="n"/>
      <c r="AP1796" s="3" t="n"/>
      <c r="AQ1796" s="3" t="n"/>
      <c r="AR1796" s="3" t="n"/>
      <c r="AS1796" s="3" t="n"/>
      <c r="AT1796" s="3" t="n"/>
      <c r="AU1796" s="3" t="n"/>
    </row>
    <row r="1797">
      <c r="A1797" s="3" t="n">
        <v>2031</v>
      </c>
      <c r="B1797" s="3" t="inlineStr">
        <is>
          <t>LIE</t>
        </is>
      </c>
      <c r="C1797" s="3" t="inlineStr">
        <is>
          <t>IMF.RES:WEO</t>
        </is>
      </c>
      <c r="D1797" s="3" t="inlineStr">
        <is>
          <t>LIE.NGDP_RPCH.A</t>
        </is>
      </c>
      <c r="E1797" s="3" t="inlineStr">
        <is>
          <t>Liechtenstein, Principality of</t>
        </is>
      </c>
      <c r="F1797" s="3" t="inlineStr">
        <is>
          <t>Gross domestic product (GDP), Constant prices, Percent change</t>
        </is>
      </c>
      <c r="G1797" s="3" t="n"/>
      <c r="H1797" s="3" t="n">
        <v>-0.959722</v>
      </c>
      <c r="I1797" s="3" t="n">
        <v>-0.341668</v>
      </c>
      <c r="J1797" s="3" t="n">
        <v>-2.689849</v>
      </c>
      <c r="K1797" s="3" t="n">
        <v>3.63495</v>
      </c>
      <c r="L1797" s="3" t="n">
        <v>5.273288</v>
      </c>
      <c r="M1797" s="3" t="n">
        <v>7.909884</v>
      </c>
      <c r="N1797" s="3" t="n">
        <v>7.803605</v>
      </c>
      <c r="O1797" s="3" t="n">
        <v>-1.906175</v>
      </c>
      <c r="P1797" s="3" t="n">
        <v>-11.904993</v>
      </c>
      <c r="Q1797" s="3" t="n">
        <v>8.008089999999999</v>
      </c>
      <c r="R1797" s="3" t="n">
        <v>-4.163819</v>
      </c>
      <c r="S1797" s="3" t="n">
        <v>-0.181409</v>
      </c>
      <c r="T1797" s="3" t="n">
        <v>4.980445</v>
      </c>
      <c r="U1797" s="3" t="n">
        <v>3.56276</v>
      </c>
      <c r="V1797" s="3" t="n">
        <v>0.304915</v>
      </c>
      <c r="W1797" s="3" t="n">
        <v>2.408455</v>
      </c>
      <c r="X1797" s="3" t="n">
        <v>4.475932</v>
      </c>
      <c r="Y1797" s="3" t="n">
        <v>3.483053</v>
      </c>
      <c r="Z1797" s="3" t="n">
        <v>-2.176287</v>
      </c>
      <c r="AA1797" s="3" t="n">
        <v>-5.257518</v>
      </c>
      <c r="AB1797" s="3" t="n">
        <v>17.952673</v>
      </c>
      <c r="AC1797" s="3" t="n">
        <v>-4.833065</v>
      </c>
      <c r="AD1797" s="3" t="n">
        <v>3.427794</v>
      </c>
      <c r="AE1797" s="3" t="n">
        <v>-0.290946</v>
      </c>
      <c r="AF1797" s="3" t="n"/>
      <c r="AG1797" s="3" t="n">
        <v>-0.4</v>
      </c>
      <c r="AH1797" s="3" t="n">
        <v>0.4</v>
      </c>
      <c r="AI1797" s="3" t="n">
        <v>1.2</v>
      </c>
      <c r="AJ1797" s="3" t="n">
        <v>1.5</v>
      </c>
      <c r="AK1797" s="3" t="n">
        <v>1.5</v>
      </c>
      <c r="AL1797" s="3" t="n">
        <v>1.5</v>
      </c>
      <c r="AM1797" s="3" t="n"/>
      <c r="AN1797" s="3" t="n"/>
      <c r="AO1797" s="3" t="n"/>
      <c r="AP1797" s="3" t="n"/>
      <c r="AQ1797" s="3" t="n"/>
      <c r="AR1797" s="3" t="n"/>
      <c r="AS1797" s="3" t="n"/>
      <c r="AT1797" s="3" t="n"/>
      <c r="AU1797" s="3" t="n"/>
    </row>
    <row r="1798">
      <c r="A1798" s="3" t="n">
        <v>2031</v>
      </c>
      <c r="B1798" s="3" t="inlineStr">
        <is>
          <t>LIE</t>
        </is>
      </c>
      <c r="C1798" s="3" t="inlineStr">
        <is>
          <t>IMF.RES:WEO</t>
        </is>
      </c>
      <c r="D1798" s="3" t="inlineStr">
        <is>
          <t>LIE.NGDPD.A</t>
        </is>
      </c>
      <c r="E1798" s="3" t="inlineStr">
        <is>
          <t>Liechtenstein, Principality of</t>
        </is>
      </c>
      <c r="F1798" s="3" t="inlineStr">
        <is>
          <t>Gross domestic product (GDP), Current prices, US dollar</t>
        </is>
      </c>
      <c r="G1798" s="3" t="n">
        <v>2.719216</v>
      </c>
      <c r="H1798" s="3" t="n">
        <v>2.724507</v>
      </c>
      <c r="I1798" s="3" t="n">
        <v>2.926518</v>
      </c>
      <c r="J1798" s="3" t="n">
        <v>3.334867</v>
      </c>
      <c r="K1798" s="3" t="n">
        <v>3.758947</v>
      </c>
      <c r="L1798" s="3" t="n">
        <v>3.989398</v>
      </c>
      <c r="M1798" s="3" t="n">
        <v>4.366109</v>
      </c>
      <c r="N1798" s="3" t="n">
        <v>5.037966</v>
      </c>
      <c r="O1798" s="3" t="n">
        <v>5.551113</v>
      </c>
      <c r="P1798" s="3" t="n">
        <v>4.890674</v>
      </c>
      <c r="Q1798" s="3" t="n">
        <v>5.5363</v>
      </c>
      <c r="R1798" s="3" t="n">
        <v>6.237657</v>
      </c>
      <c r="S1798" s="3" t="n">
        <v>5.908649</v>
      </c>
      <c r="T1798" s="3" t="n">
        <v>6.273194</v>
      </c>
      <c r="U1798" s="3" t="n">
        <v>6.533149</v>
      </c>
      <c r="V1798" s="3" t="n">
        <v>6.154398</v>
      </c>
      <c r="W1798" s="3" t="n">
        <v>6.117916</v>
      </c>
      <c r="X1798" s="3" t="n">
        <v>6.37489</v>
      </c>
      <c r="Y1798" s="3" t="n">
        <v>6.692561</v>
      </c>
      <c r="Z1798" s="3" t="n">
        <v>6.436893</v>
      </c>
      <c r="AA1798" s="3" t="n">
        <v>6.404925</v>
      </c>
      <c r="AB1798" s="3" t="n">
        <v>7.912604</v>
      </c>
      <c r="AC1798" s="3" t="n">
        <v>7.426842</v>
      </c>
      <c r="AD1798" s="3" t="n">
        <v>8.239379</v>
      </c>
      <c r="AE1798" s="3" t="n">
        <v>8.464791</v>
      </c>
      <c r="AF1798" s="3" t="n">
        <v>8.990862999999999</v>
      </c>
      <c r="AG1798" s="3" t="n">
        <v>9.441981</v>
      </c>
      <c r="AH1798" s="3" t="n">
        <v>9.690891000000001</v>
      </c>
      <c r="AI1798" s="3" t="n">
        <v>10.040747</v>
      </c>
      <c r="AJ1798" s="3" t="n">
        <v>10.450003</v>
      </c>
      <c r="AK1798" s="3" t="n">
        <v>10.876057</v>
      </c>
      <c r="AL1798" s="3" t="n">
        <v>11.319494</v>
      </c>
      <c r="AM1798" s="3" t="n"/>
      <c r="AN1798" s="3" t="n"/>
      <c r="AO1798" s="3" t="n"/>
      <c r="AP1798" s="3" t="n"/>
      <c r="AQ1798" s="3" t="n"/>
      <c r="AR1798" s="3" t="n"/>
      <c r="AS1798" s="3" t="n"/>
      <c r="AT1798" s="3" t="n"/>
      <c r="AU1798" s="3" t="n"/>
    </row>
    <row r="1799">
      <c r="A1799" s="3" t="n">
        <v>2031</v>
      </c>
      <c r="B1799" s="3" t="inlineStr">
        <is>
          <t>LIE</t>
        </is>
      </c>
      <c r="C1799" s="3" t="inlineStr">
        <is>
          <t>IMF.RES:WEO</t>
        </is>
      </c>
      <c r="D1799" s="3" t="inlineStr">
        <is>
          <t>LIE.NGDPPC.A</t>
        </is>
      </c>
      <c r="E1799" s="3" t="inlineStr">
        <is>
          <t>Liechtenstein, Principality of</t>
        </is>
      </c>
      <c r="F1799" s="3" t="inlineStr">
        <is>
          <t>Gross domestic product (GDP), Current prices, Per capita, Domestic currency</t>
        </is>
      </c>
      <c r="G1799" s="3" t="n">
        <v>139741.58695</v>
      </c>
      <c r="H1799" s="3" t="n">
        <v>137148.952509</v>
      </c>
      <c r="I1799" s="3" t="n">
        <v>134698.414046</v>
      </c>
      <c r="J1799" s="3" t="n">
        <v>130952.984549</v>
      </c>
      <c r="K1799" s="3" t="n">
        <v>135093.486047</v>
      </c>
      <c r="L1799" s="3" t="n">
        <v>142314.993508</v>
      </c>
      <c r="M1799" s="3" t="n">
        <v>155664.719149</v>
      </c>
      <c r="N1799" s="3" t="n">
        <v>171043.160414</v>
      </c>
      <c r="O1799" s="3" t="n">
        <v>168938.5686</v>
      </c>
      <c r="P1799" s="3" t="n">
        <v>148262.828672</v>
      </c>
      <c r="Q1799" s="3" t="n">
        <v>159723.31592</v>
      </c>
      <c r="R1799" s="3" t="n">
        <v>151865.694696</v>
      </c>
      <c r="S1799" s="3" t="n">
        <v>150400.359569</v>
      </c>
      <c r="T1799" s="3" t="n">
        <v>156606.590967</v>
      </c>
      <c r="U1799" s="3" t="n">
        <v>160181.760337</v>
      </c>
      <c r="V1799" s="3" t="n">
        <v>157431.222469</v>
      </c>
      <c r="W1799" s="3" t="n">
        <v>159443.536181</v>
      </c>
      <c r="X1799" s="3" t="n">
        <v>164698.050545</v>
      </c>
      <c r="Y1799" s="3" t="n">
        <v>170529.991141</v>
      </c>
      <c r="Z1799" s="3" t="n">
        <v>165081.167574</v>
      </c>
      <c r="AA1799" s="3" t="n">
        <v>153987.965689</v>
      </c>
      <c r="AB1799" s="3" t="n">
        <v>183954.920118</v>
      </c>
      <c r="AC1799" s="3" t="n">
        <v>178727.978426</v>
      </c>
      <c r="AD1799" s="3" t="n">
        <v>185005.622891</v>
      </c>
      <c r="AE1799" s="3" t="n">
        <v>182281.171377</v>
      </c>
      <c r="AF1799" s="3" t="n">
        <v>181187.722935</v>
      </c>
      <c r="AG1799" s="3" t="n">
        <v>179738.118214</v>
      </c>
      <c r="AH1799" s="3" t="n">
        <v>179732.240561</v>
      </c>
      <c r="AI1799" s="3" t="n">
        <v>181338.702835</v>
      </c>
      <c r="AJ1799" s="3" t="n">
        <v>183684.301386</v>
      </c>
      <c r="AK1799" s="3" t="n">
        <v>186060.240028</v>
      </c>
      <c r="AL1799" s="3" t="n">
        <v>188466.911205</v>
      </c>
      <c r="AM1799" s="3" t="n"/>
      <c r="AN1799" s="3" t="n"/>
      <c r="AO1799" s="3" t="n"/>
      <c r="AP1799" s="3" t="n"/>
      <c r="AQ1799" s="3" t="n"/>
      <c r="AR1799" s="3" t="n"/>
      <c r="AS1799" s="3" t="n"/>
      <c r="AT1799" s="3" t="n"/>
      <c r="AU1799" s="3" t="n"/>
    </row>
    <row r="1800">
      <c r="A1800" s="3" t="n">
        <v>2031</v>
      </c>
      <c r="B1800" s="3" t="inlineStr">
        <is>
          <t>LIE</t>
        </is>
      </c>
      <c r="C1800" s="3" t="inlineStr">
        <is>
          <t>IMF.RES:WEO</t>
        </is>
      </c>
      <c r="D1800" s="3" t="inlineStr">
        <is>
          <t>LIE.NGDPRPC.A</t>
        </is>
      </c>
      <c r="E1800" s="3" t="inlineStr">
        <is>
          <t>Liechtenstein, Principality of</t>
        </is>
      </c>
      <c r="F1800" s="3" t="inlineStr">
        <is>
          <t>Gross domestic product (GDP), Constant prices, Per capita, Domestic currency</t>
        </is>
      </c>
      <c r="G1800" s="3" t="n">
        <v>160844.544379</v>
      </c>
      <c r="H1800" s="3" t="n">
        <v>156155.255524</v>
      </c>
      <c r="I1800" s="3" t="n">
        <v>154068.400711</v>
      </c>
      <c r="J1800" s="3" t="n">
        <v>148039.977405</v>
      </c>
      <c r="K1800" s="3" t="n">
        <v>152064.310819</v>
      </c>
      <c r="L1800" s="3" t="n">
        <v>158684.293493</v>
      </c>
      <c r="M1800" s="3" t="n">
        <v>169955.467276</v>
      </c>
      <c r="N1800" s="3" t="n">
        <v>182243.886127</v>
      </c>
      <c r="O1800" s="3" t="n">
        <v>177599.596879</v>
      </c>
      <c r="P1800" s="3" t="n">
        <v>155126.92878</v>
      </c>
      <c r="Q1800" s="3" t="n">
        <v>166367.714091</v>
      </c>
      <c r="R1800" s="3" t="n">
        <v>158015.443773</v>
      </c>
      <c r="S1800" s="3" t="n">
        <v>156174.53652</v>
      </c>
      <c r="T1800" s="3" t="n">
        <v>162667.737563</v>
      </c>
      <c r="U1800" s="3" t="n">
        <v>167394.693043</v>
      </c>
      <c r="V1800" s="3" t="n">
        <v>166762.589442</v>
      </c>
      <c r="W1800" s="3" t="n">
        <v>169929.838829</v>
      </c>
      <c r="X1800" s="3" t="n">
        <v>176119.744392</v>
      </c>
      <c r="Y1800" s="3" t="n">
        <v>181000.372726</v>
      </c>
      <c r="Z1800" s="3" t="n">
        <v>175375.074705</v>
      </c>
      <c r="AA1800" s="3" t="n">
        <v>164844.349921</v>
      </c>
      <c r="AB1800" s="3" t="n">
        <v>193186.843851</v>
      </c>
      <c r="AC1800" s="3" t="n">
        <v>182140.174603</v>
      </c>
      <c r="AD1800" s="3" t="n">
        <v>186792.319987</v>
      </c>
      <c r="AE1800" s="3" t="n">
        <v>182281.171377</v>
      </c>
      <c r="AF1800" s="3" t="n">
        <v>180645.785578</v>
      </c>
      <c r="AG1800" s="3" t="n">
        <v>178308.971805</v>
      </c>
      <c r="AH1800" s="3" t="n">
        <v>177416.060584</v>
      </c>
      <c r="AI1800" s="3" t="n">
        <v>177934.215349</v>
      </c>
      <c r="AJ1800" s="3" t="n">
        <v>178982.896906</v>
      </c>
      <c r="AK1800" s="3" t="n">
        <v>180037.759023</v>
      </c>
      <c r="AL1800" s="3" t="n">
        <v>181098.838126</v>
      </c>
      <c r="AM1800" s="3" t="n"/>
      <c r="AN1800" s="3" t="n"/>
      <c r="AO1800" s="3" t="n"/>
      <c r="AP1800" s="3" t="n"/>
      <c r="AQ1800" s="3" t="n"/>
      <c r="AR1800" s="3" t="n"/>
      <c r="AS1800" s="3" t="n"/>
      <c r="AT1800" s="3" t="n"/>
      <c r="AU1800" s="3" t="n"/>
    </row>
    <row r="1801">
      <c r="A1801" s="3" t="n">
        <v>2031</v>
      </c>
      <c r="B1801" s="3" t="inlineStr">
        <is>
          <t>LIE</t>
        </is>
      </c>
      <c r="C1801" s="3" t="inlineStr">
        <is>
          <t>IMF.RES:WEO</t>
        </is>
      </c>
      <c r="D1801" s="3" t="inlineStr">
        <is>
          <t>LIE.PCPI.A</t>
        </is>
      </c>
      <c r="E1801" s="3" t="inlineStr">
        <is>
          <t>Liechtenstein, Principality of</t>
        </is>
      </c>
      <c r="F1801" s="3" t="inlineStr">
        <is>
          <t>All Items, Consumer price index (CPI), Period average</t>
        </is>
      </c>
      <c r="G1801" s="3" t="n">
        <v>93.231008</v>
      </c>
      <c r="H1801" s="3" t="n">
        <v>94.15447500000001</v>
      </c>
      <c r="I1801" s="3" t="n">
        <v>94.758033</v>
      </c>
      <c r="J1801" s="3" t="n">
        <v>95.360617</v>
      </c>
      <c r="K1801" s="3" t="n">
        <v>96.124467</v>
      </c>
      <c r="L1801" s="3" t="n">
        <v>97.25172499999999</v>
      </c>
      <c r="M1801" s="3" t="n">
        <v>98.2861</v>
      </c>
      <c r="N1801" s="3" t="n">
        <v>99.008208</v>
      </c>
      <c r="O1801" s="3" t="n">
        <v>101.412233</v>
      </c>
      <c r="P1801" s="3" t="n">
        <v>100.925867</v>
      </c>
      <c r="Q1801" s="3" t="n">
        <v>101.620117</v>
      </c>
      <c r="R1801" s="3" t="n">
        <v>101.851983</v>
      </c>
      <c r="S1801" s="3" t="n">
        <v>101.146067</v>
      </c>
      <c r="T1801" s="3" t="n">
        <v>100.92745</v>
      </c>
      <c r="U1801" s="3" t="n">
        <v>100.9152</v>
      </c>
      <c r="V1801" s="3" t="n">
        <v>99.76263299999999</v>
      </c>
      <c r="W1801" s="3" t="n">
        <v>99.32984999999999</v>
      </c>
      <c r="X1801" s="3" t="n">
        <v>99.861058</v>
      </c>
      <c r="Y1801" s="3" t="n">
        <v>100.795142</v>
      </c>
      <c r="Z1801" s="3" t="n">
        <v>101.1606</v>
      </c>
      <c r="AA1801" s="3" t="n">
        <v>100.427892</v>
      </c>
      <c r="AB1801" s="3" t="n">
        <v>101.013767</v>
      </c>
      <c r="AC1801" s="3" t="n">
        <v>103.8769</v>
      </c>
      <c r="AD1801" s="3" t="n">
        <v>106.094675</v>
      </c>
      <c r="AE1801" s="3" t="n">
        <v>107.219408</v>
      </c>
      <c r="AF1801" s="3" t="n">
        <v>107.386213</v>
      </c>
      <c r="AG1801" s="3" t="n">
        <v>107.87541</v>
      </c>
      <c r="AH1801" s="3" t="n">
        <v>108.576657</v>
      </c>
      <c r="AI1801" s="3" t="n">
        <v>109.354764</v>
      </c>
      <c r="AJ1801" s="3" t="n">
        <v>110.132106</v>
      </c>
      <c r="AK1801" s="3" t="n">
        <v>110.913113</v>
      </c>
      <c r="AL1801" s="3" t="n">
        <v>111.689505</v>
      </c>
      <c r="AM1801" s="3" t="n"/>
      <c r="AN1801" s="3" t="n"/>
      <c r="AO1801" s="3" t="n"/>
      <c r="AP1801" s="3" t="n"/>
      <c r="AQ1801" s="3" t="n"/>
      <c r="AR1801" s="3" t="n"/>
      <c r="AS1801" s="3" t="n"/>
      <c r="AT1801" s="3" t="n"/>
      <c r="AU1801" s="3" t="n"/>
    </row>
    <row r="1802">
      <c r="A1802" s="3" t="n">
        <v>2031</v>
      </c>
      <c r="B1802" s="3" t="inlineStr">
        <is>
          <t>LIE</t>
        </is>
      </c>
      <c r="C1802" s="3" t="inlineStr">
        <is>
          <t>IMF.RES:WEO</t>
        </is>
      </c>
      <c r="D1802" s="3" t="inlineStr">
        <is>
          <t>LIE.PCPIPCH.A</t>
        </is>
      </c>
      <c r="E1802" s="3" t="inlineStr">
        <is>
          <t>Liechtenstein, Principality of</t>
        </is>
      </c>
      <c r="F1802" s="3" t="inlineStr">
        <is>
          <t>All Items, Consumer price index (CPI), Period average, percent change</t>
        </is>
      </c>
      <c r="G1802" s="3" t="n"/>
      <c r="H1802" s="3" t="n">
        <v>0.990515</v>
      </c>
      <c r="I1802" s="3" t="n">
        <v>0.64103</v>
      </c>
      <c r="J1802" s="3" t="n">
        <v>0.635918</v>
      </c>
      <c r="K1802" s="3" t="n">
        <v>0.8010119999999999</v>
      </c>
      <c r="L1802" s="3" t="n">
        <v>1.172707</v>
      </c>
      <c r="M1802" s="3" t="n">
        <v>1.063606</v>
      </c>
      <c r="N1802" s="3" t="n">
        <v>0.7347</v>
      </c>
      <c r="O1802" s="3" t="n">
        <v>2.428107</v>
      </c>
      <c r="P1802" s="3" t="n">
        <v>-0.479594</v>
      </c>
      <c r="Q1802" s="3" t="n">
        <v>0.687881</v>
      </c>
      <c r="R1802" s="3" t="n">
        <v>0.22817</v>
      </c>
      <c r="S1802" s="3" t="n">
        <v>-0.6930809999999999</v>
      </c>
      <c r="T1802" s="3" t="n">
        <v>-0.21614</v>
      </c>
      <c r="U1802" s="3" t="n">
        <v>-0.012137</v>
      </c>
      <c r="V1802" s="3" t="n">
        <v>-1.142114</v>
      </c>
      <c r="W1802" s="3" t="n">
        <v>-0.433813</v>
      </c>
      <c r="X1802" s="3" t="n">
        <v>0.534792</v>
      </c>
      <c r="Y1802" s="3" t="n">
        <v>0.935383</v>
      </c>
      <c r="Z1802" s="3" t="n">
        <v>0.362575</v>
      </c>
      <c r="AA1802" s="3" t="n">
        <v>-0.724302</v>
      </c>
      <c r="AB1802" s="3" t="n">
        <v>0.583379</v>
      </c>
      <c r="AC1802" s="3" t="n">
        <v>2.834399</v>
      </c>
      <c r="AD1802" s="3" t="n">
        <v>2.135003</v>
      </c>
      <c r="AE1802" s="3" t="n">
        <v>1.060122</v>
      </c>
      <c r="AF1802" s="3" t="n">
        <v>0.155573</v>
      </c>
      <c r="AG1802" s="3" t="n">
        <v>0.455549</v>
      </c>
      <c r="AH1802" s="3" t="n">
        <v>0.650053</v>
      </c>
      <c r="AI1802" s="3" t="n">
        <v>0.716642</v>
      </c>
      <c r="AJ1802" s="3" t="n">
        <v>0.7108449999999999</v>
      </c>
      <c r="AK1802" s="3" t="n">
        <v>0.709154</v>
      </c>
      <c r="AL1802" s="3" t="n">
        <v>0.7</v>
      </c>
      <c r="AM1802" s="3" t="n"/>
      <c r="AN1802" s="3" t="n"/>
      <c r="AO1802" s="3" t="n"/>
      <c r="AP1802" s="3" t="n"/>
      <c r="AQ1802" s="3" t="n"/>
      <c r="AR1802" s="3" t="n"/>
      <c r="AS1802" s="3" t="n"/>
      <c r="AT1802" s="3" t="n"/>
      <c r="AU1802" s="3" t="n"/>
    </row>
    <row r="1803">
      <c r="A1803" s="3" t="n">
        <v>2031</v>
      </c>
      <c r="B1803" s="3" t="inlineStr">
        <is>
          <t>LIE</t>
        </is>
      </c>
      <c r="C1803" s="3" t="inlineStr">
        <is>
          <t>IMF.RES:WEO</t>
        </is>
      </c>
      <c r="D1803" s="3" t="inlineStr">
        <is>
          <t>LIE.PPPPC.A</t>
        </is>
      </c>
      <c r="E1803" s="3" t="inlineStr">
        <is>
          <t>Liechtenstein, Principality of</t>
        </is>
      </c>
      <c r="F1803" s="3" t="inlineStr">
        <is>
          <t>Gross domestic product (GDP), Per capita, purchasing power parity (PPP) international dollar, ICP benchmarks 2017-2021</t>
        </is>
      </c>
      <c r="G1803" s="3" t="n">
        <v>92095.398145</v>
      </c>
      <c r="H1803" s="3" t="n">
        <v>91423.61697800001</v>
      </c>
      <c r="I1803" s="3" t="n">
        <v>91603.602885</v>
      </c>
      <c r="J1803" s="3" t="n">
        <v>89757.007503</v>
      </c>
      <c r="K1803" s="3" t="n">
        <v>94676.03788800001</v>
      </c>
      <c r="L1803" s="3" t="n">
        <v>101895.791928</v>
      </c>
      <c r="M1803" s="3" t="n">
        <v>112498.883473</v>
      </c>
      <c r="N1803" s="3" t="n">
        <v>123901.248544</v>
      </c>
      <c r="O1803" s="3" t="n">
        <v>123069.779971</v>
      </c>
      <c r="P1803" s="3" t="n">
        <v>108160.05345</v>
      </c>
      <c r="Q1803" s="3" t="n">
        <v>117407.336284</v>
      </c>
      <c r="R1803" s="3" t="n">
        <v>113813.848093</v>
      </c>
      <c r="S1803" s="3" t="n">
        <v>114582.345372</v>
      </c>
      <c r="T1803" s="3" t="n">
        <v>121377.565558</v>
      </c>
      <c r="U1803" s="3" t="n">
        <v>127080.15474</v>
      </c>
      <c r="V1803" s="3" t="n">
        <v>127775.201971</v>
      </c>
      <c r="W1803" s="3" t="n">
        <v>131439.190766</v>
      </c>
      <c r="X1803" s="3" t="n">
        <v>138666.702303</v>
      </c>
      <c r="Y1803" s="3" t="n">
        <v>144655.998824</v>
      </c>
      <c r="Z1803" s="3" t="n">
        <v>145598.71827</v>
      </c>
      <c r="AA1803" s="3" t="n">
        <v>139387.035597</v>
      </c>
      <c r="AB1803" s="3" t="n">
        <v>175785.389624</v>
      </c>
      <c r="AC1803" s="3" t="n">
        <v>177521.428685</v>
      </c>
      <c r="AD1803" s="3" t="n">
        <v>188791.722157</v>
      </c>
      <c r="AE1803" s="3" t="n">
        <v>188805.935832</v>
      </c>
      <c r="AF1803" s="3" t="n">
        <v>192419.942234</v>
      </c>
      <c r="AG1803" s="3" t="n">
        <v>195372.053919</v>
      </c>
      <c r="AH1803" s="3" t="n">
        <v>198662.391669</v>
      </c>
      <c r="AI1803" s="3" t="n">
        <v>202512.946789</v>
      </c>
      <c r="AJ1803" s="3" t="n">
        <v>207328.609182</v>
      </c>
      <c r="AK1803" s="3" t="n">
        <v>212382.702916</v>
      </c>
      <c r="AL1803" s="3" t="n">
        <v>217491.157582</v>
      </c>
      <c r="AM1803" s="3" t="n"/>
      <c r="AN1803" s="3" t="n"/>
      <c r="AO1803" s="3" t="n"/>
      <c r="AP1803" s="3" t="n"/>
      <c r="AQ1803" s="3" t="n"/>
      <c r="AR1803" s="3" t="n"/>
      <c r="AS1803" s="3" t="n"/>
      <c r="AT1803" s="3" t="n"/>
      <c r="AU1803" s="3" t="n"/>
    </row>
    <row r="1804">
      <c r="A1804" s="3" t="n">
        <v>2025</v>
      </c>
      <c r="B1804" s="3" t="inlineStr">
        <is>
          <t>LIE</t>
        </is>
      </c>
      <c r="C1804" s="3" t="inlineStr">
        <is>
          <t>IMF.STA:ER</t>
        </is>
      </c>
      <c r="D1804" s="3" t="inlineStr">
        <is>
          <t>LIE.XDC_USD.PA_RT.A</t>
        </is>
      </c>
      <c r="E1804" s="3" t="inlineStr">
        <is>
          <t>Liechtenstein, Principality of</t>
        </is>
      </c>
      <c r="F1804" s="3" t="inlineStr">
        <is>
          <t>Domestic currency per US Dollar</t>
        </is>
      </c>
      <c r="G1804" s="3" t="n">
        <v>1.6888425</v>
      </c>
      <c r="H1804" s="3" t="n">
        <v>1.687615</v>
      </c>
      <c r="I1804" s="3" t="n">
        <v>1.5586075</v>
      </c>
      <c r="J1804" s="3" t="n">
        <v>1.34665083333333</v>
      </c>
      <c r="K1804" s="3" t="n">
        <v>1.24349583333333</v>
      </c>
      <c r="L1804" s="3" t="n">
        <v>1.24517666666666</v>
      </c>
      <c r="M1804" s="3" t="n">
        <v>1.25384333333333</v>
      </c>
      <c r="N1804" s="3" t="n">
        <v>1.20036583333333</v>
      </c>
      <c r="O1804" s="3" t="n">
        <v>1.08309</v>
      </c>
      <c r="P1804" s="3" t="n">
        <v>1.08814169630268</v>
      </c>
      <c r="Q1804" s="3" t="n">
        <v>1.04290564573351</v>
      </c>
      <c r="R1804" s="3" t="n">
        <v>0.888042028223281</v>
      </c>
      <c r="S1804" s="3" t="n">
        <v>0.937684480709349</v>
      </c>
      <c r="T1804" s="3" t="n">
        <v>0.926903547758284</v>
      </c>
      <c r="U1804" s="3" t="n">
        <v>0.916151047283613</v>
      </c>
      <c r="V1804" s="3" t="n">
        <v>0.9623813280043541</v>
      </c>
      <c r="W1804" s="3" t="n">
        <v>0.985394394244834</v>
      </c>
      <c r="X1804" s="3" t="n">
        <v>0.984691666666666</v>
      </c>
      <c r="Y1804" s="3" t="n">
        <v>0.977891666666666</v>
      </c>
      <c r="Z1804" s="3" t="n">
        <v>0.993709166666666</v>
      </c>
      <c r="AA1804" s="3" t="n">
        <v>0.938965</v>
      </c>
      <c r="AB1804" s="3" t="n">
        <v>0.913845833333333</v>
      </c>
      <c r="AC1804" s="3" t="n">
        <v>0.9548325</v>
      </c>
      <c r="AD1804" s="3" t="n">
        <v>0.89849</v>
      </c>
      <c r="AE1804" s="3" t="n">
        <v>0.880440833333333</v>
      </c>
      <c r="AF1804" s="3" t="n">
        <v>0.831350079365079</v>
      </c>
      <c r="AG1804" s="3" t="n"/>
      <c r="AH1804" s="3" t="n"/>
      <c r="AI1804" s="3" t="n"/>
      <c r="AJ1804" s="3" t="n"/>
      <c r="AK1804" s="3" t="n"/>
      <c r="AL1804" s="3" t="n"/>
      <c r="AM1804" s="3" t="n"/>
      <c r="AN1804" s="3" t="n"/>
      <c r="AO1804" s="3" t="n"/>
      <c r="AP1804" s="3" t="n"/>
      <c r="AQ1804" s="3" t="n"/>
      <c r="AR1804" s="3" t="n"/>
      <c r="AS1804" s="3" t="n"/>
      <c r="AT1804" s="3" t="n"/>
      <c r="AU1804" s="3" t="n"/>
    </row>
    <row r="1805">
      <c r="A1805" s="3" t="n">
        <v>2024</v>
      </c>
      <c r="B1805" s="3" t="inlineStr">
        <is>
          <t>LKA</t>
        </is>
      </c>
      <c r="C1805" s="3" t="inlineStr">
        <is>
          <t>IMF.RES:WEO</t>
        </is>
      </c>
      <c r="D1805" s="3" t="inlineStr">
        <is>
          <t>LKA.BCA.A</t>
        </is>
      </c>
      <c r="E1805" s="3" t="inlineStr">
        <is>
          <t>Sri Lanka</t>
        </is>
      </c>
      <c r="F1805" s="3" t="inlineStr">
        <is>
          <t>Current account balance (credit less debit), US dollar</t>
        </is>
      </c>
      <c r="G1805" s="3" t="n">
        <v>-1.066171</v>
      </c>
      <c r="H1805" s="3" t="n">
        <v>-0.179252</v>
      </c>
      <c r="I1805" s="3" t="n">
        <v>-0.235878</v>
      </c>
      <c r="J1805" s="3" t="n">
        <v>-0.07355200000000001</v>
      </c>
      <c r="K1805" s="3" t="n">
        <v>-0.64823</v>
      </c>
      <c r="L1805" s="3" t="n">
        <v>-0.6054850000000001</v>
      </c>
      <c r="M1805" s="3" t="n">
        <v>-1.499653</v>
      </c>
      <c r="N1805" s="3" t="n">
        <v>-1.400727</v>
      </c>
      <c r="O1805" s="3" t="n">
        <v>-3.884764</v>
      </c>
      <c r="P1805" s="3" t="n">
        <v>-0.214828</v>
      </c>
      <c r="Q1805" s="3" t="n">
        <v>-1.074948</v>
      </c>
      <c r="R1805" s="3" t="n">
        <v>-4.6145</v>
      </c>
      <c r="S1805" s="3" t="n">
        <v>-3.98246</v>
      </c>
      <c r="T1805" s="3" t="n">
        <v>-2.54016</v>
      </c>
      <c r="U1805" s="3" t="n">
        <v>-1.98797</v>
      </c>
      <c r="V1805" s="3" t="n">
        <v>-1.88205</v>
      </c>
      <c r="W1805" s="3" t="n">
        <v>-1.74401</v>
      </c>
      <c r="X1805" s="3" t="n">
        <v>-2.309085</v>
      </c>
      <c r="Y1805" s="3" t="n">
        <v>-2.79979</v>
      </c>
      <c r="Z1805" s="3" t="n">
        <v>-1.84312</v>
      </c>
      <c r="AA1805" s="3" t="n">
        <v>-1.18546</v>
      </c>
      <c r="AB1805" s="3" t="n">
        <v>-3.284554</v>
      </c>
      <c r="AC1805" s="3" t="n">
        <v>-1.460783</v>
      </c>
      <c r="AD1805" s="3" t="n">
        <v>1.439503</v>
      </c>
      <c r="AE1805" s="3" t="n">
        <v>1.206299</v>
      </c>
      <c r="AF1805" s="3" t="n"/>
      <c r="AG1805" s="3" t="n"/>
      <c r="AH1805" s="3" t="n"/>
      <c r="AI1805" s="3" t="n"/>
      <c r="AJ1805" s="3" t="n"/>
      <c r="AK1805" s="3" t="n"/>
      <c r="AL1805" s="3" t="n"/>
      <c r="AM1805" s="3" t="n"/>
      <c r="AN1805" s="3" t="n"/>
      <c r="AO1805" s="3" t="n"/>
      <c r="AP1805" s="3" t="n"/>
      <c r="AQ1805" s="3" t="n"/>
      <c r="AR1805" s="3" t="n"/>
      <c r="AS1805" s="3" t="n"/>
      <c r="AT1805" s="3" t="n"/>
      <c r="AU1805" s="3" t="n"/>
    </row>
    <row r="1806">
      <c r="A1806" s="3" t="n">
        <v>2024</v>
      </c>
      <c r="B1806" s="3" t="inlineStr">
        <is>
          <t>LKA</t>
        </is>
      </c>
      <c r="C1806" s="3" t="inlineStr">
        <is>
          <t>IMF.RES:WEO</t>
        </is>
      </c>
      <c r="D1806" s="3" t="inlineStr">
        <is>
          <t>LKA.BCA_NGDPD.A</t>
        </is>
      </c>
      <c r="E1806" s="3" t="inlineStr">
        <is>
          <t>Sri Lanka</t>
        </is>
      </c>
      <c r="F1806" s="3" t="inlineStr">
        <is>
          <t>Current account balance (credit less debit), Percent of GDP</t>
        </is>
      </c>
      <c r="G1806" s="3" t="n">
        <v>-5.328997</v>
      </c>
      <c r="H1806" s="3" t="n">
        <v>-0.931849</v>
      </c>
      <c r="I1806" s="3" t="n">
        <v>-1.165503</v>
      </c>
      <c r="J1806" s="3" t="n">
        <v>-0.329064</v>
      </c>
      <c r="K1806" s="3" t="n">
        <v>-2.654139</v>
      </c>
      <c r="L1806" s="3" t="n">
        <v>-2.096587</v>
      </c>
      <c r="M1806" s="3" t="n">
        <v>-4.483692</v>
      </c>
      <c r="N1806" s="3" t="n">
        <v>-3.660151</v>
      </c>
      <c r="O1806" s="3" t="n">
        <v>-8.063454999999999</v>
      </c>
      <c r="P1806" s="3" t="n">
        <v>-0.431814</v>
      </c>
      <c r="Q1806" s="3" t="n">
        <v>-1.833046</v>
      </c>
      <c r="R1806" s="3" t="n">
        <v>-6.813633</v>
      </c>
      <c r="S1806" s="3" t="n">
        <v>-5.657563</v>
      </c>
      <c r="T1806" s="3" t="n">
        <v>-3.301753</v>
      </c>
      <c r="U1806" s="3" t="n">
        <v>-2.410166</v>
      </c>
      <c r="V1806" s="3" t="n">
        <v>-2.211812</v>
      </c>
      <c r="W1806" s="3" t="n">
        <v>-1.981824</v>
      </c>
      <c r="X1806" s="3" t="n">
        <v>-2.446681</v>
      </c>
      <c r="Y1806" s="3" t="n">
        <v>-2.963229</v>
      </c>
      <c r="Z1806" s="3" t="n">
        <v>-2.070573</v>
      </c>
      <c r="AA1806" s="3" t="n">
        <v>-1.406168</v>
      </c>
      <c r="AB1806" s="3" t="n">
        <v>-3.706782</v>
      </c>
      <c r="AC1806" s="3" t="n">
        <v>-1.95858</v>
      </c>
      <c r="AD1806" s="3" t="n">
        <v>1.719365</v>
      </c>
      <c r="AE1806" s="3" t="n">
        <v>1.218929</v>
      </c>
      <c r="AF1806" s="3" t="n"/>
      <c r="AG1806" s="3" t="n"/>
      <c r="AH1806" s="3" t="n"/>
      <c r="AI1806" s="3" t="n"/>
      <c r="AJ1806" s="3" t="n"/>
      <c r="AK1806" s="3" t="n"/>
      <c r="AL1806" s="3" t="n"/>
      <c r="AM1806" s="3" t="n"/>
      <c r="AN1806" s="3" t="n"/>
      <c r="AO1806" s="3" t="n"/>
      <c r="AP1806" s="3" t="n"/>
      <c r="AQ1806" s="3" t="n"/>
      <c r="AR1806" s="3" t="n"/>
      <c r="AS1806" s="3" t="n"/>
      <c r="AT1806" s="3" t="n"/>
      <c r="AU1806" s="3" t="n"/>
    </row>
    <row r="1807">
      <c r="A1807" s="3" t="n">
        <v>2024</v>
      </c>
      <c r="B1807" s="3" t="inlineStr">
        <is>
          <t>LKA</t>
        </is>
      </c>
      <c r="C1807" s="3" t="inlineStr">
        <is>
          <t>IMF.RES:WEO</t>
        </is>
      </c>
      <c r="D1807" s="3" t="inlineStr">
        <is>
          <t>LKA.GGR_NGDP.A</t>
        </is>
      </c>
      <c r="E1807" s="3" t="inlineStr">
        <is>
          <t>Sri Lanka</t>
        </is>
      </c>
      <c r="F1807" s="3" t="inlineStr">
        <is>
          <t>Revenue, General government, Percent of GDP</t>
        </is>
      </c>
      <c r="G1807" s="3" t="n">
        <v>13.954408</v>
      </c>
      <c r="H1807" s="3" t="n">
        <v>13.925962</v>
      </c>
      <c r="I1807" s="3" t="n">
        <v>13.897081</v>
      </c>
      <c r="J1807" s="3" t="n">
        <v>13.192216</v>
      </c>
      <c r="K1807" s="3" t="n">
        <v>12.94352</v>
      </c>
      <c r="L1807" s="3" t="n">
        <v>14.212208</v>
      </c>
      <c r="M1807" s="3" t="n">
        <v>14.609698</v>
      </c>
      <c r="N1807" s="3" t="n">
        <v>14.067428</v>
      </c>
      <c r="O1807" s="3" t="n">
        <v>13.156405</v>
      </c>
      <c r="P1807" s="3" t="n">
        <v>12.684379</v>
      </c>
      <c r="Q1807" s="3" t="n">
        <v>12.582698</v>
      </c>
      <c r="R1807" s="3" t="n">
        <v>13.122207</v>
      </c>
      <c r="S1807" s="3" t="n">
        <v>11.875595</v>
      </c>
      <c r="T1807" s="3" t="n">
        <v>11.604556</v>
      </c>
      <c r="U1807" s="3" t="n">
        <v>11.17945</v>
      </c>
      <c r="V1807" s="3" t="n">
        <v>12.62984</v>
      </c>
      <c r="W1807" s="3" t="n">
        <v>13.217517</v>
      </c>
      <c r="X1807" s="3" t="n">
        <v>12.785996</v>
      </c>
      <c r="Y1807" s="3" t="n">
        <v>12.587723</v>
      </c>
      <c r="Z1807" s="3" t="n">
        <v>11.933953</v>
      </c>
      <c r="AA1807" s="3" t="n">
        <v>8.777226000000001</v>
      </c>
      <c r="AB1807" s="3" t="n">
        <v>8.311266</v>
      </c>
      <c r="AC1807" s="3" t="n">
        <v>8.363778</v>
      </c>
      <c r="AD1807" s="3" t="n">
        <v>11.212057</v>
      </c>
      <c r="AE1807" s="3" t="n">
        <v>13.682275</v>
      </c>
      <c r="AF1807" s="3" t="n"/>
      <c r="AG1807" s="3" t="n"/>
      <c r="AH1807" s="3" t="n"/>
      <c r="AI1807" s="3" t="n"/>
      <c r="AJ1807" s="3" t="n"/>
      <c r="AK1807" s="3" t="n"/>
      <c r="AL1807" s="3" t="n"/>
      <c r="AM1807" s="3" t="n"/>
      <c r="AN1807" s="3" t="n"/>
      <c r="AO1807" s="3" t="n"/>
      <c r="AP1807" s="3" t="n"/>
      <c r="AQ1807" s="3" t="n"/>
      <c r="AR1807" s="3" t="n"/>
      <c r="AS1807" s="3" t="n"/>
      <c r="AT1807" s="3" t="n"/>
      <c r="AU1807" s="3" t="n"/>
    </row>
    <row r="1808">
      <c r="A1808" s="3" t="n">
        <v>2024</v>
      </c>
      <c r="B1808" s="3" t="inlineStr">
        <is>
          <t>LKA</t>
        </is>
      </c>
      <c r="C1808" s="3" t="inlineStr">
        <is>
          <t>IMF.RES:WEO</t>
        </is>
      </c>
      <c r="D1808" s="3" t="inlineStr">
        <is>
          <t>LKA.GGX_NGDP.A</t>
        </is>
      </c>
      <c r="E1808" s="3" t="inlineStr">
        <is>
          <t>Sri Lanka</t>
        </is>
      </c>
      <c r="F1808" s="3" t="inlineStr">
        <is>
          <t>Expenditure, General government, Percent of GDP</t>
        </is>
      </c>
      <c r="G1808" s="3" t="n">
        <v>21.732247</v>
      </c>
      <c r="H1808" s="3" t="n">
        <v>22.406234</v>
      </c>
      <c r="I1808" s="3" t="n">
        <v>20.801522</v>
      </c>
      <c r="J1808" s="3" t="n">
        <v>19.344489</v>
      </c>
      <c r="K1808" s="3" t="n">
        <v>19.26638</v>
      </c>
      <c r="L1808" s="3" t="n">
        <v>20.14546</v>
      </c>
      <c r="M1808" s="3" t="n">
        <v>20.522975</v>
      </c>
      <c r="N1808" s="3" t="n">
        <v>19.875635</v>
      </c>
      <c r="O1808" s="3" t="n">
        <v>19.086611</v>
      </c>
      <c r="P1808" s="3" t="n">
        <v>21.012115</v>
      </c>
      <c r="Q1808" s="3" t="n">
        <v>19.310261</v>
      </c>
      <c r="R1808" s="3" t="n">
        <v>19.13164</v>
      </c>
      <c r="S1808" s="3" t="n">
        <v>17.314995</v>
      </c>
      <c r="T1808" s="3" t="n">
        <v>16.60929</v>
      </c>
      <c r="U1808" s="3" t="n">
        <v>17.171094</v>
      </c>
      <c r="V1808" s="3" t="n">
        <v>19.268804</v>
      </c>
      <c r="W1808" s="3" t="n">
        <v>18.214998</v>
      </c>
      <c r="X1808" s="3" t="n">
        <v>17.884194</v>
      </c>
      <c r="Y1808" s="3" t="n">
        <v>17.543249</v>
      </c>
      <c r="Z1808" s="3" t="n">
        <v>19.453181</v>
      </c>
      <c r="AA1808" s="3" t="n">
        <v>22.13529</v>
      </c>
      <c r="AB1808" s="3" t="n">
        <v>19.994736</v>
      </c>
      <c r="AC1808" s="3" t="n">
        <v>18.586736</v>
      </c>
      <c r="AD1808" s="3" t="n">
        <v>19.535483</v>
      </c>
      <c r="AE1808" s="3" t="n">
        <v>19.107871</v>
      </c>
      <c r="AF1808" s="3" t="n"/>
      <c r="AG1808" s="3" t="n"/>
      <c r="AH1808" s="3" t="n"/>
      <c r="AI1808" s="3" t="n"/>
      <c r="AJ1808" s="3" t="n"/>
      <c r="AK1808" s="3" t="n"/>
      <c r="AL1808" s="3" t="n"/>
      <c r="AM1808" s="3" t="n"/>
      <c r="AN1808" s="3" t="n"/>
      <c r="AO1808" s="3" t="n"/>
      <c r="AP1808" s="3" t="n"/>
      <c r="AQ1808" s="3" t="n"/>
      <c r="AR1808" s="3" t="n"/>
      <c r="AS1808" s="3" t="n"/>
      <c r="AT1808" s="3" t="n"/>
      <c r="AU1808" s="3" t="n"/>
    </row>
    <row r="1809">
      <c r="A1809" s="3" t="n">
        <v>2024</v>
      </c>
      <c r="B1809" s="3" t="inlineStr">
        <is>
          <t>LKA</t>
        </is>
      </c>
      <c r="C1809" s="3" t="inlineStr">
        <is>
          <t>IMF.RES:WEO</t>
        </is>
      </c>
      <c r="D1809" s="3" t="inlineStr">
        <is>
          <t>LKA.LP.A</t>
        </is>
      </c>
      <c r="E1809" s="3" t="inlineStr">
        <is>
          <t>Sri Lanka</t>
        </is>
      </c>
      <c r="F1809" s="3" t="inlineStr">
        <is>
          <t>Population, Persons for countries / Index for country groups</t>
        </is>
      </c>
      <c r="G1809" s="3" t="n">
        <v>18.777606</v>
      </c>
      <c r="H1809" s="3" t="n">
        <v>18.911727</v>
      </c>
      <c r="I1809" s="3" t="n">
        <v>19.062476</v>
      </c>
      <c r="J1809" s="3" t="n">
        <v>19.224036</v>
      </c>
      <c r="K1809" s="3" t="n">
        <v>19.387153</v>
      </c>
      <c r="L1809" s="3" t="n">
        <v>19.544988</v>
      </c>
      <c r="M1809" s="3" t="n">
        <v>19.695977</v>
      </c>
      <c r="N1809" s="3" t="n">
        <v>19.842044</v>
      </c>
      <c r="O1809" s="3" t="n">
        <v>19.983984</v>
      </c>
      <c r="P1809" s="3" t="n">
        <v>20.123508</v>
      </c>
      <c r="Q1809" s="3" t="n">
        <v>20.261738</v>
      </c>
      <c r="R1809" s="3" t="n">
        <v>20.398496</v>
      </c>
      <c r="S1809" s="3" t="n">
        <v>20.425</v>
      </c>
      <c r="T1809" s="3" t="n">
        <v>20.585</v>
      </c>
      <c r="U1809" s="3" t="n">
        <v>20.778</v>
      </c>
      <c r="V1809" s="3" t="n">
        <v>20.97</v>
      </c>
      <c r="W1809" s="3" t="n">
        <v>21.203</v>
      </c>
      <c r="X1809" s="3" t="n">
        <v>21.444</v>
      </c>
      <c r="Y1809" s="3" t="n">
        <v>21.67</v>
      </c>
      <c r="Z1809" s="3" t="n">
        <v>21.803</v>
      </c>
      <c r="AA1809" s="3" t="n">
        <v>21.919</v>
      </c>
      <c r="AB1809" s="3" t="n">
        <v>22.156</v>
      </c>
      <c r="AC1809" s="3" t="n">
        <v>22.181</v>
      </c>
      <c r="AD1809" s="3" t="n">
        <v>22.037</v>
      </c>
      <c r="AE1809" s="3" t="n">
        <v>21.916</v>
      </c>
      <c r="AF1809" s="3" t="n"/>
      <c r="AG1809" s="3" t="n"/>
      <c r="AH1809" s="3" t="n"/>
      <c r="AI1809" s="3" t="n"/>
      <c r="AJ1809" s="3" t="n"/>
      <c r="AK1809" s="3" t="n"/>
      <c r="AL1809" s="3" t="n"/>
      <c r="AM1809" s="3" t="n"/>
      <c r="AN1809" s="3" t="n"/>
      <c r="AO1809" s="3" t="n"/>
      <c r="AP1809" s="3" t="n"/>
      <c r="AQ1809" s="3" t="n"/>
      <c r="AR1809" s="3" t="n"/>
      <c r="AS1809" s="3" t="n"/>
      <c r="AT1809" s="3" t="n"/>
      <c r="AU1809" s="3" t="n"/>
    </row>
    <row r="1810">
      <c r="A1810" s="3" t="n">
        <v>2024</v>
      </c>
      <c r="B1810" s="3" t="inlineStr">
        <is>
          <t>LKA</t>
        </is>
      </c>
      <c r="C1810" s="3" t="inlineStr">
        <is>
          <t>IMF.RES:WEO</t>
        </is>
      </c>
      <c r="D1810" s="3" t="inlineStr">
        <is>
          <t>LKA.NGDP.A</t>
        </is>
      </c>
      <c r="E1810" s="3" t="inlineStr">
        <is>
          <t>Sri Lanka</t>
        </is>
      </c>
      <c r="F1810" s="3" t="inlineStr">
        <is>
          <t>Gross domestic product (GDP), Current prices, Domestic currency</t>
        </is>
      </c>
      <c r="G1810" s="3" t="n">
        <v>1538.718049</v>
      </c>
      <c r="H1810" s="3" t="n">
        <v>1721.949311</v>
      </c>
      <c r="I1810" s="3" t="n">
        <v>1935.435265</v>
      </c>
      <c r="J1810" s="3" t="n">
        <v>2155.983536</v>
      </c>
      <c r="K1810" s="3" t="n">
        <v>2473.469368</v>
      </c>
      <c r="L1810" s="3" t="n">
        <v>2901.646344</v>
      </c>
      <c r="M1810" s="3" t="n">
        <v>3476.464716</v>
      </c>
      <c r="N1810" s="3" t="n">
        <v>4233.595547</v>
      </c>
      <c r="O1810" s="3" t="n">
        <v>5217.846225</v>
      </c>
      <c r="P1810" s="3" t="n">
        <v>5720.161945</v>
      </c>
      <c r="Q1810" s="3" t="n">
        <v>6629.667</v>
      </c>
      <c r="R1810" s="3" t="n">
        <v>7491.156</v>
      </c>
      <c r="S1810" s="3" t="n">
        <v>8989.300999999999</v>
      </c>
      <c r="T1810" s="3" t="n">
        <v>9938.389999999999</v>
      </c>
      <c r="U1810" s="3" t="n">
        <v>10775.312</v>
      </c>
      <c r="V1810" s="3" t="n">
        <v>11566.987</v>
      </c>
      <c r="W1810" s="3" t="n">
        <v>12812.974</v>
      </c>
      <c r="X1810" s="3" t="n">
        <v>14387.319</v>
      </c>
      <c r="Y1810" s="3" t="n">
        <v>15351.934</v>
      </c>
      <c r="Z1810" s="3" t="n">
        <v>15910.976</v>
      </c>
      <c r="AA1810" s="3" t="n">
        <v>15646.253</v>
      </c>
      <c r="AB1810" s="3" t="n">
        <v>17612.37</v>
      </c>
      <c r="AC1810" s="3" t="n">
        <v>24063.162</v>
      </c>
      <c r="AD1810" s="3" t="n">
        <v>27419.804</v>
      </c>
      <c r="AE1810" s="3" t="n">
        <v>29898.565</v>
      </c>
      <c r="AF1810" s="3" t="n"/>
      <c r="AG1810" s="3" t="n"/>
      <c r="AH1810" s="3" t="n"/>
      <c r="AI1810" s="3" t="n"/>
      <c r="AJ1810" s="3" t="n"/>
      <c r="AK1810" s="3" t="n"/>
      <c r="AL1810" s="3" t="n"/>
      <c r="AM1810" s="3" t="n"/>
      <c r="AN1810" s="3" t="n"/>
      <c r="AO1810" s="3" t="n"/>
      <c r="AP1810" s="3" t="n"/>
      <c r="AQ1810" s="3" t="n"/>
      <c r="AR1810" s="3" t="n"/>
      <c r="AS1810" s="3" t="n"/>
      <c r="AT1810" s="3" t="n"/>
      <c r="AU1810" s="3" t="n"/>
    </row>
    <row r="1811">
      <c r="A1811" s="3" t="n">
        <v>2024</v>
      </c>
      <c r="B1811" s="3" t="inlineStr">
        <is>
          <t>LKA</t>
        </is>
      </c>
      <c r="C1811" s="3" t="inlineStr">
        <is>
          <t>IMF.RES:WEO</t>
        </is>
      </c>
      <c r="D1811" s="3" t="inlineStr">
        <is>
          <t>LKA.NGDP_D.A</t>
        </is>
      </c>
      <c r="E1811" s="3" t="inlineStr">
        <is>
          <t>Sri Lanka</t>
        </is>
      </c>
      <c r="F1811" s="3" t="inlineStr">
        <is>
          <t>Gross domestic product (GDP), Price deflator, Index</t>
        </is>
      </c>
      <c r="G1811" s="3" t="n">
        <v>29.789776</v>
      </c>
      <c r="H1811" s="3" t="n">
        <v>33.999443</v>
      </c>
      <c r="I1811" s="3" t="n">
        <v>36.841723</v>
      </c>
      <c r="J1811" s="3" t="n">
        <v>38.738731</v>
      </c>
      <c r="K1811" s="3" t="n">
        <v>42.148317</v>
      </c>
      <c r="L1811" s="3" t="n">
        <v>46.539611</v>
      </c>
      <c r="M1811" s="3" t="n">
        <v>51.787899</v>
      </c>
      <c r="N1811" s="3" t="n">
        <v>59.052963</v>
      </c>
      <c r="O1811" s="3" t="n">
        <v>68.69455000000001</v>
      </c>
      <c r="P1811" s="3" t="n">
        <v>72.733738</v>
      </c>
      <c r="Q1811" s="3" t="n">
        <v>78.04250399999999</v>
      </c>
      <c r="R1811" s="3" t="n">
        <v>81.148539</v>
      </c>
      <c r="S1811" s="3" t="n">
        <v>89.63947400000001</v>
      </c>
      <c r="T1811" s="3" t="n">
        <v>95.244534</v>
      </c>
      <c r="U1811" s="3" t="n">
        <v>97.073825</v>
      </c>
      <c r="V1811" s="3" t="n">
        <v>100</v>
      </c>
      <c r="W1811" s="3" t="n">
        <v>105.443203</v>
      </c>
      <c r="X1811" s="3" t="n">
        <v>111.213955</v>
      </c>
      <c r="Y1811" s="3" t="n">
        <v>115.990963</v>
      </c>
      <c r="Z1811" s="3" t="n">
        <v>120.480414</v>
      </c>
      <c r="AA1811" s="3" t="n">
        <v>124.220473</v>
      </c>
      <c r="AB1811" s="3" t="n">
        <v>134.184323</v>
      </c>
      <c r="AC1811" s="3" t="n">
        <v>197.873428</v>
      </c>
      <c r="AD1811" s="3" t="n">
        <v>230.853943</v>
      </c>
      <c r="AE1811" s="3" t="n">
        <v>239.716472</v>
      </c>
      <c r="AF1811" s="3" t="n"/>
      <c r="AG1811" s="3" t="n"/>
      <c r="AH1811" s="3" t="n"/>
      <c r="AI1811" s="3" t="n"/>
      <c r="AJ1811" s="3" t="n"/>
      <c r="AK1811" s="3" t="n"/>
      <c r="AL1811" s="3" t="n"/>
      <c r="AM1811" s="3" t="n"/>
      <c r="AN1811" s="3" t="n"/>
      <c r="AO1811" s="3" t="n"/>
      <c r="AP1811" s="3" t="n"/>
      <c r="AQ1811" s="3" t="n"/>
      <c r="AR1811" s="3" t="n"/>
      <c r="AS1811" s="3" t="n"/>
      <c r="AT1811" s="3" t="n"/>
      <c r="AU1811" s="3" t="n"/>
    </row>
    <row r="1812">
      <c r="A1812" s="3" t="n">
        <v>2024</v>
      </c>
      <c r="B1812" s="3" t="inlineStr">
        <is>
          <t>LKA</t>
        </is>
      </c>
      <c r="C1812" s="3" t="inlineStr">
        <is>
          <t>IMF.RES:WEO</t>
        </is>
      </c>
      <c r="D1812" s="3" t="inlineStr">
        <is>
          <t>LKA.NGDP_R.A</t>
        </is>
      </c>
      <c r="E1812" s="3" t="inlineStr">
        <is>
          <t>Sri Lanka</t>
        </is>
      </c>
      <c r="F1812" s="3" t="inlineStr">
        <is>
          <t>Gross domestic product (GDP), Constant prices, Domestic currency</t>
        </is>
      </c>
      <c r="G1812" s="3" t="n">
        <v>5165.255531</v>
      </c>
      <c r="H1812" s="3" t="n">
        <v>5064.639796</v>
      </c>
      <c r="I1812" s="3" t="n">
        <v>5253.378779</v>
      </c>
      <c r="J1812" s="3" t="n">
        <v>5565.447016</v>
      </c>
      <c r="K1812" s="3" t="n">
        <v>5868.489016</v>
      </c>
      <c r="L1812" s="3" t="n">
        <v>6234.788526</v>
      </c>
      <c r="M1812" s="3" t="n">
        <v>6712.890063</v>
      </c>
      <c r="N1812" s="3" t="n">
        <v>7169.150099</v>
      </c>
      <c r="O1812" s="3" t="n">
        <v>7595.720849</v>
      </c>
      <c r="P1812" s="3" t="n">
        <v>7864.523519</v>
      </c>
      <c r="Q1812" s="3" t="n">
        <v>8494.944</v>
      </c>
      <c r="R1812" s="3" t="n">
        <v>9231.412</v>
      </c>
      <c r="S1812" s="3" t="n">
        <v>10028.284</v>
      </c>
      <c r="T1812" s="3" t="n">
        <v>10434.604</v>
      </c>
      <c r="U1812" s="3" t="n">
        <v>11100.121</v>
      </c>
      <c r="V1812" s="3" t="n">
        <v>11566.987</v>
      </c>
      <c r="W1812" s="3" t="n">
        <v>12151.541</v>
      </c>
      <c r="X1812" s="3" t="n">
        <v>12936.613</v>
      </c>
      <c r="Y1812" s="3" t="n">
        <v>13235.457</v>
      </c>
      <c r="Z1812" s="3" t="n">
        <v>13206.276</v>
      </c>
      <c r="AA1812" s="3" t="n">
        <v>12595.551</v>
      </c>
      <c r="AB1812" s="3" t="n">
        <v>13125.505</v>
      </c>
      <c r="AC1812" s="3" t="n">
        <v>12160.886</v>
      </c>
      <c r="AD1812" s="3" t="n">
        <v>11877.555</v>
      </c>
      <c r="AE1812" s="3" t="n">
        <v>12472.47</v>
      </c>
      <c r="AF1812" s="3" t="n"/>
      <c r="AG1812" s="3" t="n"/>
      <c r="AH1812" s="3" t="n"/>
      <c r="AI1812" s="3" t="n"/>
      <c r="AJ1812" s="3" t="n"/>
      <c r="AK1812" s="3" t="n"/>
      <c r="AL1812" s="3" t="n"/>
      <c r="AM1812" s="3" t="n"/>
      <c r="AN1812" s="3" t="n"/>
      <c r="AO1812" s="3" t="n"/>
      <c r="AP1812" s="3" t="n"/>
      <c r="AQ1812" s="3" t="n"/>
      <c r="AR1812" s="3" t="n"/>
      <c r="AS1812" s="3" t="n"/>
      <c r="AT1812" s="3" t="n"/>
      <c r="AU1812" s="3" t="n"/>
    </row>
    <row r="1813">
      <c r="A1813" s="3" t="n">
        <v>2024</v>
      </c>
      <c r="B1813" s="3" t="inlineStr">
        <is>
          <t>LKA</t>
        </is>
      </c>
      <c r="C1813" s="3" t="inlineStr">
        <is>
          <t>IMF.RES:WEO</t>
        </is>
      </c>
      <c r="D1813" s="3" t="inlineStr">
        <is>
          <t>LKA.NGDP_RPCH.A</t>
        </is>
      </c>
      <c r="E1813" s="3" t="inlineStr">
        <is>
          <t>Sri Lanka</t>
        </is>
      </c>
      <c r="F1813" s="3" t="inlineStr">
        <is>
          <t>Gross domestic product (GDP), Constant prices, Percent change</t>
        </is>
      </c>
      <c r="G1813" s="3" t="n">
        <v>8.417617999999999</v>
      </c>
      <c r="H1813" s="3" t="n">
        <v>-1.947933</v>
      </c>
      <c r="I1813" s="3" t="n">
        <v>3.726602</v>
      </c>
      <c r="J1813" s="3" t="n">
        <v>5.940334</v>
      </c>
      <c r="K1813" s="3" t="n">
        <v>5.445061</v>
      </c>
      <c r="L1813" s="3" t="n">
        <v>6.241803</v>
      </c>
      <c r="M1813" s="3" t="n">
        <v>7.668288</v>
      </c>
      <c r="N1813" s="3" t="n">
        <v>6.796775</v>
      </c>
      <c r="O1813" s="3" t="n">
        <v>5.950088</v>
      </c>
      <c r="P1813" s="3" t="n">
        <v>3.53887</v>
      </c>
      <c r="Q1813" s="3" t="n">
        <v>8.016004000000001</v>
      </c>
      <c r="R1813" s="3" t="n">
        <v>8.669485999999999</v>
      </c>
      <c r="S1813" s="3" t="n">
        <v>8.632179000000001</v>
      </c>
      <c r="T1813" s="3" t="n">
        <v>4.05174</v>
      </c>
      <c r="U1813" s="3" t="n">
        <v>6.37798</v>
      </c>
      <c r="V1813" s="3" t="n">
        <v>4.205954</v>
      </c>
      <c r="W1813" s="3" t="n">
        <v>5.053641</v>
      </c>
      <c r="X1813" s="3" t="n">
        <v>6.460679</v>
      </c>
      <c r="Y1813" s="3" t="n">
        <v>2.310064</v>
      </c>
      <c r="Z1813" s="3" t="n">
        <v>-0.220476</v>
      </c>
      <c r="AA1813" s="3" t="n">
        <v>-4.624506</v>
      </c>
      <c r="AB1813" s="3" t="n">
        <v>4.20747</v>
      </c>
      <c r="AC1813" s="3" t="n">
        <v>-7.349195</v>
      </c>
      <c r="AD1813" s="3" t="n">
        <v>-2.329855</v>
      </c>
      <c r="AE1813" s="3" t="n">
        <v>5.008733</v>
      </c>
      <c r="AF1813" s="3" t="n"/>
      <c r="AG1813" s="3" t="n"/>
      <c r="AH1813" s="3" t="n"/>
      <c r="AI1813" s="3" t="n"/>
      <c r="AJ1813" s="3" t="n"/>
      <c r="AK1813" s="3" t="n"/>
      <c r="AL1813" s="3" t="n"/>
      <c r="AM1813" s="3" t="n"/>
      <c r="AN1813" s="3" t="n"/>
      <c r="AO1813" s="3" t="n"/>
      <c r="AP1813" s="3" t="n"/>
      <c r="AQ1813" s="3" t="n"/>
      <c r="AR1813" s="3" t="n"/>
      <c r="AS1813" s="3" t="n"/>
      <c r="AT1813" s="3" t="n"/>
      <c r="AU1813" s="3" t="n"/>
    </row>
    <row r="1814">
      <c r="A1814" s="3" t="n">
        <v>2024</v>
      </c>
      <c r="B1814" s="3" t="inlineStr">
        <is>
          <t>LKA</t>
        </is>
      </c>
      <c r="C1814" s="3" t="inlineStr">
        <is>
          <t>IMF.RES:WEO</t>
        </is>
      </c>
      <c r="D1814" s="3" t="inlineStr">
        <is>
          <t>LKA.NGDPD.A</t>
        </is>
      </c>
      <c r="E1814" s="3" t="inlineStr">
        <is>
          <t>Sri Lanka</t>
        </is>
      </c>
      <c r="F1814" s="3" t="inlineStr">
        <is>
          <t>Gross domestic product (GDP), Current prices, US dollar</t>
        </is>
      </c>
      <c r="G1814" s="3" t="n">
        <v>20.006963</v>
      </c>
      <c r="H1814" s="3" t="n">
        <v>19.236135</v>
      </c>
      <c r="I1814" s="3" t="n">
        <v>20.238303</v>
      </c>
      <c r="J1814" s="3" t="n">
        <v>22.35198</v>
      </c>
      <c r="K1814" s="3" t="n">
        <v>24.423381</v>
      </c>
      <c r="L1814" s="3" t="n">
        <v>28.879577</v>
      </c>
      <c r="M1814" s="3" t="n">
        <v>33.446835</v>
      </c>
      <c r="N1814" s="3" t="n">
        <v>38.269634</v>
      </c>
      <c r="O1814" s="3" t="n">
        <v>48.177408</v>
      </c>
      <c r="P1814" s="3" t="n">
        <v>49.750178</v>
      </c>
      <c r="Q1814" s="3" t="n">
        <v>58.642736</v>
      </c>
      <c r="R1814" s="3" t="n">
        <v>67.724521</v>
      </c>
      <c r="S1814" s="3" t="n">
        <v>70.39179300000001</v>
      </c>
      <c r="T1814" s="3" t="n">
        <v>76.933685</v>
      </c>
      <c r="U1814" s="3" t="n">
        <v>82.482703</v>
      </c>
      <c r="V1814" s="3" t="n">
        <v>85.090855</v>
      </c>
      <c r="W1814" s="3" t="n">
        <v>88.00022800000001</v>
      </c>
      <c r="X1814" s="3" t="n">
        <v>94.376231</v>
      </c>
      <c r="Y1814" s="3" t="n">
        <v>94.48442</v>
      </c>
      <c r="Z1814" s="3" t="n">
        <v>89.014976</v>
      </c>
      <c r="AA1814" s="3" t="n">
        <v>84.304316</v>
      </c>
      <c r="AB1814" s="3" t="n">
        <v>88.609315</v>
      </c>
      <c r="AC1814" s="3" t="n">
        <v>74.583772</v>
      </c>
      <c r="AD1814" s="3" t="n">
        <v>83.722922</v>
      </c>
      <c r="AE1814" s="3" t="n">
        <v>98.963836</v>
      </c>
      <c r="AF1814" s="3" t="n"/>
      <c r="AG1814" s="3" t="n"/>
      <c r="AH1814" s="3" t="n"/>
      <c r="AI1814" s="3" t="n"/>
      <c r="AJ1814" s="3" t="n"/>
      <c r="AK1814" s="3" t="n"/>
      <c r="AL1814" s="3" t="n"/>
      <c r="AM1814" s="3" t="n"/>
      <c r="AN1814" s="3" t="n"/>
      <c r="AO1814" s="3" t="n"/>
      <c r="AP1814" s="3" t="n"/>
      <c r="AQ1814" s="3" t="n"/>
      <c r="AR1814" s="3" t="n"/>
      <c r="AS1814" s="3" t="n"/>
      <c r="AT1814" s="3" t="n"/>
      <c r="AU1814" s="3" t="n"/>
    </row>
    <row r="1815">
      <c r="A1815" s="3" t="n">
        <v>2024</v>
      </c>
      <c r="B1815" s="3" t="inlineStr">
        <is>
          <t>LKA</t>
        </is>
      </c>
      <c r="C1815" s="3" t="inlineStr">
        <is>
          <t>IMF.RES:WEO</t>
        </is>
      </c>
      <c r="D1815" s="3" t="inlineStr">
        <is>
          <t>LKA.NGDPPC.A</t>
        </is>
      </c>
      <c r="E1815" s="3" t="inlineStr">
        <is>
          <t>Sri Lanka</t>
        </is>
      </c>
      <c r="F1815" s="3" t="inlineStr">
        <is>
          <t>Gross domestic product (GDP), Current prices, Per capita, Domestic currency</t>
        </is>
      </c>
      <c r="G1815" s="3" t="n">
        <v>81944.314336</v>
      </c>
      <c r="H1815" s="3" t="n">
        <v>91051.93358500001</v>
      </c>
      <c r="I1815" s="3" t="n">
        <v>101531.158118</v>
      </c>
      <c r="J1815" s="3" t="n">
        <v>112150.410872</v>
      </c>
      <c r="K1815" s="3" t="n">
        <v>127582.908545</v>
      </c>
      <c r="L1815" s="3" t="n">
        <v>148459.868285</v>
      </c>
      <c r="M1815" s="3" t="n">
        <v>176506.335064</v>
      </c>
      <c r="N1815" s="3" t="n">
        <v>213364.890561</v>
      </c>
      <c r="O1815" s="3" t="n">
        <v>261101.40127</v>
      </c>
      <c r="P1815" s="3" t="n">
        <v>284252.722992</v>
      </c>
      <c r="Q1815" s="3" t="n">
        <v>327201.299316</v>
      </c>
      <c r="R1815" s="3" t="n">
        <v>367240.604405</v>
      </c>
      <c r="S1815" s="3" t="n">
        <v>440112.656059</v>
      </c>
      <c r="T1815" s="3" t="n">
        <v>482797.668205</v>
      </c>
      <c r="U1815" s="3" t="n">
        <v>518592.357301</v>
      </c>
      <c r="V1815" s="3" t="n">
        <v>551596.900334</v>
      </c>
      <c r="W1815" s="3" t="n">
        <v>604300.051879</v>
      </c>
      <c r="X1815" s="3" t="n">
        <v>670925.153889</v>
      </c>
      <c r="Y1815" s="3" t="n">
        <v>708441.808952</v>
      </c>
      <c r="Z1815" s="3" t="n">
        <v>729760.858597</v>
      </c>
      <c r="AA1815" s="3" t="n">
        <v>713821.479082</v>
      </c>
      <c r="AB1815" s="3" t="n">
        <v>794925.528074</v>
      </c>
      <c r="AC1815" s="3" t="n">
        <v>1084854.69546</v>
      </c>
      <c r="AD1815" s="3" t="n">
        <v>1244262.104642</v>
      </c>
      <c r="AE1815" s="3" t="n">
        <v>1364234.577478</v>
      </c>
      <c r="AF1815" s="3" t="n"/>
      <c r="AG1815" s="3" t="n"/>
      <c r="AH1815" s="3" t="n"/>
      <c r="AI1815" s="3" t="n"/>
      <c r="AJ1815" s="3" t="n"/>
      <c r="AK1815" s="3" t="n"/>
      <c r="AL1815" s="3" t="n"/>
      <c r="AM1815" s="3" t="n"/>
      <c r="AN1815" s="3" t="n"/>
      <c r="AO1815" s="3" t="n"/>
      <c r="AP1815" s="3" t="n"/>
      <c r="AQ1815" s="3" t="n"/>
      <c r="AR1815" s="3" t="n"/>
      <c r="AS1815" s="3" t="n"/>
      <c r="AT1815" s="3" t="n"/>
      <c r="AU1815" s="3" t="n"/>
    </row>
    <row r="1816">
      <c r="A1816" s="3" t="n">
        <v>2024</v>
      </c>
      <c r="B1816" s="3" t="inlineStr">
        <is>
          <t>LKA</t>
        </is>
      </c>
      <c r="C1816" s="3" t="inlineStr">
        <is>
          <t>IMF.RES:WEO</t>
        </is>
      </c>
      <c r="D1816" s="3" t="inlineStr">
        <is>
          <t>LKA.NGDPRPC.A</t>
        </is>
      </c>
      <c r="E1816" s="3" t="inlineStr">
        <is>
          <t>Sri Lanka</t>
        </is>
      </c>
      <c r="F1816" s="3" t="inlineStr">
        <is>
          <t>Gross domestic product (GDP), Constant prices, Per capita, Domestic currency</t>
        </is>
      </c>
      <c r="G1816" s="3" t="n">
        <v>275075.296114</v>
      </c>
      <c r="H1816" s="3" t="n">
        <v>267804.193475</v>
      </c>
      <c r="I1816" s="3" t="n">
        <v>275587.430462</v>
      </c>
      <c r="J1816" s="3" t="n">
        <v>289504.608501</v>
      </c>
      <c r="K1816" s="3" t="n">
        <v>302699.886696</v>
      </c>
      <c r="L1816" s="3" t="n">
        <v>318996.794774</v>
      </c>
      <c r="M1816" s="3" t="n">
        <v>340825.441821</v>
      </c>
      <c r="N1816" s="3" t="n">
        <v>361311.0675</v>
      </c>
      <c r="O1816" s="3" t="n">
        <v>380090.41887</v>
      </c>
      <c r="P1816" s="3" t="n">
        <v>390812.75088</v>
      </c>
      <c r="Q1816" s="3" t="n">
        <v>419260.381316</v>
      </c>
      <c r="R1816" s="3" t="n">
        <v>452553.560812</v>
      </c>
      <c r="S1816" s="3" t="n">
        <v>490980.856793</v>
      </c>
      <c r="T1816" s="3" t="n">
        <v>506903.279087</v>
      </c>
      <c r="U1816" s="3" t="n">
        <v>534224.708827</v>
      </c>
      <c r="V1816" s="3" t="n">
        <v>551596.900334</v>
      </c>
      <c r="W1816" s="3" t="n">
        <v>573104.796491</v>
      </c>
      <c r="X1816" s="3" t="n">
        <v>603274.249207</v>
      </c>
      <c r="Y1816" s="3" t="n">
        <v>610773.281034</v>
      </c>
      <c r="Z1816" s="3" t="n">
        <v>605709.122598</v>
      </c>
      <c r="AA1816" s="3" t="n">
        <v>574640.768283</v>
      </c>
      <c r="AB1816" s="3" t="n">
        <v>592413.116086</v>
      </c>
      <c r="AC1816" s="3" t="n">
        <v>548256.886525</v>
      </c>
      <c r="AD1816" s="3" t="n">
        <v>538982.3932479999</v>
      </c>
      <c r="AE1816" s="3" t="n">
        <v>569103.39478</v>
      </c>
      <c r="AF1816" s="3" t="n"/>
      <c r="AG1816" s="3" t="n"/>
      <c r="AH1816" s="3" t="n"/>
      <c r="AI1816" s="3" t="n"/>
      <c r="AJ1816" s="3" t="n"/>
      <c r="AK1816" s="3" t="n"/>
      <c r="AL1816" s="3" t="n"/>
      <c r="AM1816" s="3" t="n"/>
      <c r="AN1816" s="3" t="n"/>
      <c r="AO1816" s="3" t="n"/>
      <c r="AP1816" s="3" t="n"/>
      <c r="AQ1816" s="3" t="n"/>
      <c r="AR1816" s="3" t="n"/>
      <c r="AS1816" s="3" t="n"/>
      <c r="AT1816" s="3" t="n"/>
      <c r="AU1816" s="3" t="n"/>
    </row>
    <row r="1817">
      <c r="A1817" s="3" t="n">
        <v>2024</v>
      </c>
      <c r="B1817" s="3" t="inlineStr">
        <is>
          <t>LKA</t>
        </is>
      </c>
      <c r="C1817" s="3" t="inlineStr">
        <is>
          <t>IMF.RES:WEO</t>
        </is>
      </c>
      <c r="D1817" s="3" t="inlineStr">
        <is>
          <t>LKA.PCPI.A</t>
        </is>
      </c>
      <c r="E1817" s="3" t="inlineStr">
        <is>
          <t>Sri Lanka</t>
        </is>
      </c>
      <c r="F1817" s="3" t="inlineStr">
        <is>
          <t>All Items, Consumer price index (CPI), Period average</t>
        </is>
      </c>
      <c r="G1817" s="3" t="n">
        <v>23.13283</v>
      </c>
      <c r="H1817" s="3" t="n">
        <v>26.408081</v>
      </c>
      <c r="I1817" s="3" t="n">
        <v>28.930325</v>
      </c>
      <c r="J1817" s="3" t="n">
        <v>31.525</v>
      </c>
      <c r="K1817" s="3" t="n">
        <v>34.366667</v>
      </c>
      <c r="L1817" s="3" t="n">
        <v>38.15</v>
      </c>
      <c r="M1817" s="3" t="n">
        <v>41.941667</v>
      </c>
      <c r="N1817" s="3" t="n">
        <v>48.608333</v>
      </c>
      <c r="O1817" s="3" t="n">
        <v>59.475</v>
      </c>
      <c r="P1817" s="3" t="n">
        <v>61.558333</v>
      </c>
      <c r="Q1817" s="3" t="n">
        <v>65.38333299999999</v>
      </c>
      <c r="R1817" s="3" t="n">
        <v>69.783333</v>
      </c>
      <c r="S1817" s="3" t="n">
        <v>75.05</v>
      </c>
      <c r="T1817" s="3" t="n">
        <v>80.216667</v>
      </c>
      <c r="U1817" s="3" t="n">
        <v>82.45</v>
      </c>
      <c r="V1817" s="3" t="n">
        <v>84.283333</v>
      </c>
      <c r="W1817" s="3" t="n">
        <v>87.641667</v>
      </c>
      <c r="X1817" s="3" t="n">
        <v>93.408333</v>
      </c>
      <c r="Y1817" s="3" t="n">
        <v>97.40000000000001</v>
      </c>
      <c r="Z1817" s="3" t="n">
        <v>101.591667</v>
      </c>
      <c r="AA1817" s="3" t="n">
        <v>106.233333</v>
      </c>
      <c r="AB1817" s="3" t="n">
        <v>112.558333</v>
      </c>
      <c r="AC1817" s="3" t="n">
        <v>163.45</v>
      </c>
      <c r="AD1817" s="3" t="n">
        <v>191.833333</v>
      </c>
      <c r="AE1817" s="3" t="n">
        <v>194.216667</v>
      </c>
      <c r="AF1817" s="3" t="n"/>
      <c r="AG1817" s="3" t="n"/>
      <c r="AH1817" s="3" t="n"/>
      <c r="AI1817" s="3" t="n"/>
      <c r="AJ1817" s="3" t="n"/>
      <c r="AK1817" s="3" t="n"/>
      <c r="AL1817" s="3" t="n"/>
      <c r="AM1817" s="3" t="n"/>
      <c r="AN1817" s="3" t="n"/>
      <c r="AO1817" s="3" t="n"/>
      <c r="AP1817" s="3" t="n"/>
      <c r="AQ1817" s="3" t="n"/>
      <c r="AR1817" s="3" t="n"/>
      <c r="AS1817" s="3" t="n"/>
      <c r="AT1817" s="3" t="n"/>
      <c r="AU1817" s="3" t="n"/>
    </row>
    <row r="1818">
      <c r="A1818" s="3" t="n">
        <v>2024</v>
      </c>
      <c r="B1818" s="3" t="inlineStr">
        <is>
          <t>LKA</t>
        </is>
      </c>
      <c r="C1818" s="3" t="inlineStr">
        <is>
          <t>IMF.RES:WEO</t>
        </is>
      </c>
      <c r="D1818" s="3" t="inlineStr">
        <is>
          <t>LKA.PCPIPCH.A</t>
        </is>
      </c>
      <c r="E1818" s="3" t="inlineStr">
        <is>
          <t>Sri Lanka</t>
        </is>
      </c>
      <c r="F1818" s="3" t="inlineStr">
        <is>
          <t>All Items, Consumer price index (CPI), Period average, percent change</t>
        </is>
      </c>
      <c r="G1818" s="3" t="n">
        <v>6.176276</v>
      </c>
      <c r="H1818" s="3" t="n">
        <v>14.158456</v>
      </c>
      <c r="I1818" s="3" t="n">
        <v>9.551031999999999</v>
      </c>
      <c r="J1818" s="3" t="n">
        <v>8.968702</v>
      </c>
      <c r="K1818" s="3" t="n">
        <v>9.014010000000001</v>
      </c>
      <c r="L1818" s="3" t="n">
        <v>11.008729</v>
      </c>
      <c r="M1818" s="3" t="n">
        <v>9.938838000000001</v>
      </c>
      <c r="N1818" s="3" t="n">
        <v>15.895092</v>
      </c>
      <c r="O1818" s="3" t="n">
        <v>22.355563</v>
      </c>
      <c r="P1818" s="3" t="n">
        <v>3.502872</v>
      </c>
      <c r="Q1818" s="3" t="n">
        <v>6.213619</v>
      </c>
      <c r="R1818" s="3" t="n">
        <v>6.729544</v>
      </c>
      <c r="S1818" s="3" t="n">
        <v>7.54717</v>
      </c>
      <c r="T1818" s="3" t="n">
        <v>6.884299</v>
      </c>
      <c r="U1818" s="3" t="n">
        <v>2.784126</v>
      </c>
      <c r="V1818" s="3" t="n">
        <v>2.22357</v>
      </c>
      <c r="W1818" s="3" t="n">
        <v>3.984576</v>
      </c>
      <c r="X1818" s="3" t="n">
        <v>6.579823</v>
      </c>
      <c r="Y1818" s="3" t="n">
        <v>4.273352</v>
      </c>
      <c r="Z1818" s="3" t="n">
        <v>4.303559</v>
      </c>
      <c r="AA1818" s="3" t="n">
        <v>4.568944</v>
      </c>
      <c r="AB1818" s="3" t="n">
        <v>5.953875</v>
      </c>
      <c r="AC1818" s="3" t="n">
        <v>45.213593</v>
      </c>
      <c r="AD1818" s="3" t="n">
        <v>17.365147</v>
      </c>
      <c r="AE1818" s="3" t="n">
        <v>1.242398</v>
      </c>
      <c r="AF1818" s="3" t="n"/>
      <c r="AG1818" s="3" t="n"/>
      <c r="AH1818" s="3" t="n"/>
      <c r="AI1818" s="3" t="n"/>
      <c r="AJ1818" s="3" t="n"/>
      <c r="AK1818" s="3" t="n"/>
      <c r="AL1818" s="3" t="n"/>
      <c r="AM1818" s="3" t="n"/>
      <c r="AN1818" s="3" t="n"/>
      <c r="AO1818" s="3" t="n"/>
      <c r="AP1818" s="3" t="n"/>
      <c r="AQ1818" s="3" t="n"/>
      <c r="AR1818" s="3" t="n"/>
      <c r="AS1818" s="3" t="n"/>
      <c r="AT1818" s="3" t="n"/>
      <c r="AU1818" s="3" t="n"/>
    </row>
    <row r="1819">
      <c r="A1819" s="3" t="n">
        <v>2024</v>
      </c>
      <c r="B1819" s="3" t="inlineStr">
        <is>
          <t>LKA</t>
        </is>
      </c>
      <c r="C1819" s="3" t="inlineStr">
        <is>
          <t>IMF.RES:WEO</t>
        </is>
      </c>
      <c r="D1819" s="3" t="inlineStr">
        <is>
          <t>LKA.PPPPC.A</t>
        </is>
      </c>
      <c r="E1819" s="3" t="inlineStr">
        <is>
          <t>Sri Lanka</t>
        </is>
      </c>
      <c r="F1819" s="3" t="inlineStr">
        <is>
          <t>Gross domestic product (GDP), Per capita, purchasing power parity (PPP) international dollar, ICP benchmarks 2017-2021</t>
        </is>
      </c>
      <c r="G1819" s="3" t="n">
        <v>4515.020071</v>
      </c>
      <c r="H1819" s="3" t="n">
        <v>4494.647823</v>
      </c>
      <c r="I1819" s="3" t="n">
        <v>4697.154957</v>
      </c>
      <c r="J1819" s="3" t="n">
        <v>5031.77644</v>
      </c>
      <c r="K1819" s="3" t="n">
        <v>5402.584104</v>
      </c>
      <c r="L1819" s="3" t="n">
        <v>5871.987561</v>
      </c>
      <c r="M1819" s="3" t="n">
        <v>6467.278746</v>
      </c>
      <c r="N1819" s="3" t="n">
        <v>7041.748034</v>
      </c>
      <c r="O1819" s="3" t="n">
        <v>7550.450626</v>
      </c>
      <c r="P1819" s="3" t="n">
        <v>7811.328909</v>
      </c>
      <c r="Q1819" s="3" t="n">
        <v>8481.770395</v>
      </c>
      <c r="R1819" s="3" t="n">
        <v>9344.198587000001</v>
      </c>
      <c r="S1819" s="3" t="n">
        <v>10326.390458</v>
      </c>
      <c r="T1819" s="3" t="n">
        <v>10842.728871</v>
      </c>
      <c r="U1819" s="3" t="n">
        <v>11626.166062</v>
      </c>
      <c r="V1819" s="3" t="n">
        <v>12115.637318</v>
      </c>
      <c r="W1819" s="3" t="n">
        <v>12707.66553</v>
      </c>
      <c r="X1819" s="3" t="n">
        <v>13616.184581</v>
      </c>
      <c r="Y1819" s="3" t="n">
        <v>14178.023034</v>
      </c>
      <c r="Z1819" s="3" t="n">
        <v>14112.952835</v>
      </c>
      <c r="AA1819" s="3" t="n">
        <v>12940.903679</v>
      </c>
      <c r="AB1819" s="3" t="n">
        <v>14316.134867</v>
      </c>
      <c r="AC1819" s="3" t="n">
        <v>14191.392721</v>
      </c>
      <c r="AD1819" s="3" t="n">
        <v>14467.530202</v>
      </c>
      <c r="AE1819" s="3" t="n">
        <v>15655.282055</v>
      </c>
      <c r="AF1819" s="3" t="n"/>
      <c r="AG1819" s="3" t="n"/>
      <c r="AH1819" s="3" t="n"/>
      <c r="AI1819" s="3" t="n"/>
      <c r="AJ1819" s="3" t="n"/>
      <c r="AK1819" s="3" t="n"/>
      <c r="AL1819" s="3" t="n"/>
      <c r="AM1819" s="3" t="n"/>
      <c r="AN1819" s="3" t="n"/>
      <c r="AO1819" s="3" t="n"/>
      <c r="AP1819" s="3" t="n"/>
      <c r="AQ1819" s="3" t="n"/>
      <c r="AR1819" s="3" t="n"/>
      <c r="AS1819" s="3" t="n"/>
      <c r="AT1819" s="3" t="n"/>
      <c r="AU1819" s="3" t="n"/>
    </row>
    <row r="1820">
      <c r="A1820" s="3" t="n">
        <v>2025</v>
      </c>
      <c r="B1820" s="3" t="inlineStr">
        <is>
          <t>LKA</t>
        </is>
      </c>
      <c r="C1820" s="3" t="inlineStr">
        <is>
          <t>IMF.STA:ER</t>
        </is>
      </c>
      <c r="D1820" s="3" t="inlineStr">
        <is>
          <t>LKA.XDC_USD.PA_RT.A</t>
        </is>
      </c>
      <c r="E1820" s="3" t="inlineStr">
        <is>
          <t>Sri Lanka</t>
        </is>
      </c>
      <c r="F1820" s="3" t="inlineStr">
        <is>
          <t>Domestic currency per US Dollar</t>
        </is>
      </c>
      <c r="G1820" s="3" t="n">
        <v>77.00511666666659</v>
      </c>
      <c r="H1820" s="3" t="n">
        <v>89.3830133333333</v>
      </c>
      <c r="I1820" s="3" t="n">
        <v>95.662065</v>
      </c>
      <c r="J1820" s="3" t="n">
        <v>96.5209508333333</v>
      </c>
      <c r="K1820" s="3" t="n">
        <v>101.1944575</v>
      </c>
      <c r="L1820" s="3" t="n">
        <v>100.498051666666</v>
      </c>
      <c r="M1820" s="3" t="n">
        <v>103.914445833333</v>
      </c>
      <c r="N1820" s="3" t="n">
        <v>110.623233333333</v>
      </c>
      <c r="O1820" s="3" t="n">
        <v>108.333762719298</v>
      </c>
      <c r="P1820" s="3" t="n">
        <v>114.944783333333</v>
      </c>
      <c r="Q1820" s="3" t="n">
        <v>113.064480448821</v>
      </c>
      <c r="R1820" s="3" t="n">
        <v>110.565207851396</v>
      </c>
      <c r="S1820" s="3" t="n">
        <v>127.60335350681</v>
      </c>
      <c r="T1820" s="3" t="n">
        <v>129.069030932887</v>
      </c>
      <c r="U1820" s="3" t="n">
        <v>130.564685218829</v>
      </c>
      <c r="V1820" s="3" t="n">
        <v>135.856912797088</v>
      </c>
      <c r="W1820" s="3" t="n">
        <v>145.581667492025</v>
      </c>
      <c r="X1820" s="3" t="n">
        <v>152.446413948767</v>
      </c>
      <c r="Y1820" s="3" t="n">
        <v>162.464858736778</v>
      </c>
      <c r="Z1820" s="3" t="n">
        <v>178.744925045847</v>
      </c>
      <c r="AA1820" s="3" t="n">
        <v>185.592557772212</v>
      </c>
      <c r="AB1820" s="3" t="n">
        <v>198.764316844656</v>
      </c>
      <c r="AC1820" s="3" t="n">
        <v>322.632674256474</v>
      </c>
      <c r="AD1820" s="3" t="n">
        <v>327.506533333333</v>
      </c>
      <c r="AE1820" s="3" t="n">
        <v>327.506533333333</v>
      </c>
      <c r="AF1820" s="3" t="n">
        <v>327.506533333333</v>
      </c>
      <c r="AG1820" s="3" t="n"/>
      <c r="AH1820" s="3" t="n"/>
      <c r="AI1820" s="3" t="n"/>
      <c r="AJ1820" s="3" t="n"/>
      <c r="AK1820" s="3" t="n"/>
      <c r="AL1820" s="3" t="n"/>
      <c r="AM1820" s="3" t="n"/>
      <c r="AN1820" s="3" t="n"/>
      <c r="AO1820" s="3" t="n"/>
      <c r="AP1820" s="3" t="n"/>
      <c r="AQ1820" s="3" t="n"/>
      <c r="AR1820" s="3" t="n"/>
      <c r="AS1820" s="3" t="n"/>
      <c r="AT1820" s="3" t="n"/>
      <c r="AU1820" s="3" t="n"/>
    </row>
    <row r="1821">
      <c r="A1821" s="3" t="n">
        <v>2031</v>
      </c>
      <c r="B1821" s="3" t="inlineStr">
        <is>
          <t>LSO</t>
        </is>
      </c>
      <c r="C1821" s="3" t="inlineStr">
        <is>
          <t>IMF.RES:WEO</t>
        </is>
      </c>
      <c r="D1821" s="3" t="inlineStr">
        <is>
          <t>LSO.BCA.A</t>
        </is>
      </c>
      <c r="E1821" s="3" t="inlineStr">
        <is>
          <t>Lesotho, Kingdom of</t>
        </is>
      </c>
      <c r="F1821" s="3" t="inlineStr">
        <is>
          <t>Current account balance (credit less debit), US dollar</t>
        </is>
      </c>
      <c r="G1821" s="3" t="n">
        <v>-0.041215</v>
      </c>
      <c r="H1821" s="3" t="n">
        <v>0.047982</v>
      </c>
      <c r="I1821" s="3" t="n">
        <v>0.054244</v>
      </c>
      <c r="J1821" s="3" t="n">
        <v>-0.03718</v>
      </c>
      <c r="K1821" s="3" t="n">
        <v>0.079877</v>
      </c>
      <c r="L1821" s="3" t="n">
        <v>0.082315</v>
      </c>
      <c r="M1821" s="3" t="n">
        <v>0.240158</v>
      </c>
      <c r="N1821" s="3" t="n">
        <v>0.288487</v>
      </c>
      <c r="O1821" s="3" t="n">
        <v>0.243076</v>
      </c>
      <c r="P1821" s="3" t="n">
        <v>-0.07273499999999999</v>
      </c>
      <c r="Q1821" s="3" t="n">
        <v>-0.314615</v>
      </c>
      <c r="R1821" s="3" t="n">
        <v>-0.466808</v>
      </c>
      <c r="S1821" s="3" t="n">
        <v>-0.309983</v>
      </c>
      <c r="T1821" s="3" t="n">
        <v>-0.217244</v>
      </c>
      <c r="U1821" s="3" t="n">
        <v>-0.199684</v>
      </c>
      <c r="V1821" s="3" t="n">
        <v>-0.149322</v>
      </c>
      <c r="W1821" s="3" t="n">
        <v>-0.224934</v>
      </c>
      <c r="X1821" s="3" t="n">
        <v>-0.169953</v>
      </c>
      <c r="Y1821" s="3" t="n">
        <v>-0.172665</v>
      </c>
      <c r="Z1821" s="3" t="n">
        <v>-0.147184</v>
      </c>
      <c r="AA1821" s="3" t="n">
        <v>-0.119169</v>
      </c>
      <c r="AB1821" s="3" t="n">
        <v>-0.22162</v>
      </c>
      <c r="AC1821" s="3" t="n">
        <v>-0.319301</v>
      </c>
      <c r="AD1821" s="3" t="n">
        <v>-0.018586</v>
      </c>
      <c r="AE1821" s="3" t="n">
        <v>0.053688</v>
      </c>
      <c r="AF1821" s="3" t="n">
        <v>-0.09404</v>
      </c>
      <c r="AG1821" s="3" t="n">
        <v>-0.100323</v>
      </c>
      <c r="AH1821" s="3" t="n">
        <v>-0.071476</v>
      </c>
      <c r="AI1821" s="3" t="n">
        <v>-0.046208</v>
      </c>
      <c r="AJ1821" s="3" t="n">
        <v>-0.008052</v>
      </c>
      <c r="AK1821" s="3" t="n">
        <v>0.013066</v>
      </c>
      <c r="AL1821" s="3" t="n">
        <v>-0.001991</v>
      </c>
      <c r="AM1821" s="3" t="n"/>
      <c r="AN1821" s="3" t="n"/>
      <c r="AO1821" s="3" t="n"/>
      <c r="AP1821" s="3" t="n"/>
      <c r="AQ1821" s="3" t="n"/>
      <c r="AR1821" s="3" t="n"/>
      <c r="AS1821" s="3" t="n"/>
      <c r="AT1821" s="3" t="n"/>
      <c r="AU1821" s="3" t="n"/>
    </row>
    <row r="1822">
      <c r="A1822" s="3" t="n">
        <v>2031</v>
      </c>
      <c r="B1822" s="3" t="inlineStr">
        <is>
          <t>LSO</t>
        </is>
      </c>
      <c r="C1822" s="3" t="inlineStr">
        <is>
          <t>IMF.RES:WEO</t>
        </is>
      </c>
      <c r="D1822" s="3" t="inlineStr">
        <is>
          <t>LSO.BCA_NGDPD.A</t>
        </is>
      </c>
      <c r="E1822" s="3" t="inlineStr">
        <is>
          <t>Lesotho, Kingdom of</t>
        </is>
      </c>
      <c r="F1822" s="3" t="inlineStr">
        <is>
          <t>Current account balance (credit less debit), Percent of GDP</t>
        </is>
      </c>
      <c r="G1822" s="3" t="n">
        <v>-4.472317</v>
      </c>
      <c r="H1822" s="3" t="n">
        <v>6.199224</v>
      </c>
      <c r="I1822" s="3" t="n">
        <v>6.335193</v>
      </c>
      <c r="J1822" s="3" t="n">
        <v>-2.959918</v>
      </c>
      <c r="K1822" s="3" t="n">
        <v>4.99935</v>
      </c>
      <c r="L1822" s="3" t="n">
        <v>4.758898</v>
      </c>
      <c r="M1822" s="3" t="n">
        <v>13.962252</v>
      </c>
      <c r="N1822" s="3" t="n">
        <v>16.404784</v>
      </c>
      <c r="O1822" s="3" t="n">
        <v>14.71415</v>
      </c>
      <c r="P1822" s="3" t="n">
        <v>-3.755522</v>
      </c>
      <c r="Q1822" s="3" t="n">
        <v>-13.352842</v>
      </c>
      <c r="R1822" s="3" t="n">
        <v>-18.157932</v>
      </c>
      <c r="S1822" s="3" t="n">
        <v>-12.576601</v>
      </c>
      <c r="T1822" s="3" t="n">
        <v>-9.265022</v>
      </c>
      <c r="U1822" s="3" t="n">
        <v>-8.062452</v>
      </c>
      <c r="V1822" s="3" t="n">
        <v>-6.780664</v>
      </c>
      <c r="W1822" s="3" t="n">
        <v>-10.195493</v>
      </c>
      <c r="X1822" s="3" t="n">
        <v>-7.010864</v>
      </c>
      <c r="Y1822" s="3" t="n">
        <v>-6.983651</v>
      </c>
      <c r="Z1822" s="3" t="n">
        <v>-6.334923</v>
      </c>
      <c r="AA1822" s="3" t="n">
        <v>-5.69519</v>
      </c>
      <c r="AB1822" s="3" t="n">
        <v>-9.07056</v>
      </c>
      <c r="AC1822" s="3" t="n">
        <v>-14.037048</v>
      </c>
      <c r="AD1822" s="3" t="n">
        <v>-0.834658</v>
      </c>
      <c r="AE1822" s="3" t="n">
        <v>2.13583</v>
      </c>
      <c r="AF1822" s="3" t="n">
        <v>-3.295311</v>
      </c>
      <c r="AG1822" s="3" t="n">
        <v>-3.375152</v>
      </c>
      <c r="AH1822" s="3" t="n">
        <v>-2.308551</v>
      </c>
      <c r="AI1822" s="3" t="n">
        <v>-1.426079</v>
      </c>
      <c r="AJ1822" s="3" t="n">
        <v>-0.23724</v>
      </c>
      <c r="AK1822" s="3" t="n">
        <v>0.367299</v>
      </c>
      <c r="AL1822" s="3" t="n">
        <v>-0.0532</v>
      </c>
      <c r="AM1822" s="3" t="n"/>
      <c r="AN1822" s="3" t="n"/>
      <c r="AO1822" s="3" t="n"/>
      <c r="AP1822" s="3" t="n"/>
      <c r="AQ1822" s="3" t="n"/>
      <c r="AR1822" s="3" t="n"/>
      <c r="AS1822" s="3" t="n"/>
      <c r="AT1822" s="3" t="n"/>
      <c r="AU1822" s="3" t="n"/>
    </row>
    <row r="1823">
      <c r="A1823" s="3" t="n">
        <v>2031</v>
      </c>
      <c r="B1823" s="3" t="inlineStr">
        <is>
          <t>LSO</t>
        </is>
      </c>
      <c r="C1823" s="3" t="inlineStr">
        <is>
          <t>IMF.RES:WEO</t>
        </is>
      </c>
      <c r="D1823" s="3" t="inlineStr">
        <is>
          <t>LSO.GGR_NGDP.A</t>
        </is>
      </c>
      <c r="E1823" s="3" t="inlineStr">
        <is>
          <t>Lesotho, Kingdom of</t>
        </is>
      </c>
      <c r="F1823" s="3" t="inlineStr">
        <is>
          <t>Revenue, General government, Percent of GDP</t>
        </is>
      </c>
      <c r="G1823" s="3" t="n">
        <v>38.316298</v>
      </c>
      <c r="H1823" s="3" t="n">
        <v>38.68393</v>
      </c>
      <c r="I1823" s="3" t="n">
        <v>38.790684</v>
      </c>
      <c r="J1823" s="3" t="n">
        <v>40.646564</v>
      </c>
      <c r="K1823" s="3" t="n">
        <v>42.308341</v>
      </c>
      <c r="L1823" s="3" t="n">
        <v>42.073618</v>
      </c>
      <c r="M1823" s="3" t="n">
        <v>54.788704</v>
      </c>
      <c r="N1823" s="3" t="n">
        <v>58.868962</v>
      </c>
      <c r="O1823" s="3" t="n">
        <v>62.166856</v>
      </c>
      <c r="P1823" s="3" t="n">
        <v>62.284901</v>
      </c>
      <c r="Q1823" s="3" t="n">
        <v>53.832169</v>
      </c>
      <c r="R1823" s="3" t="n">
        <v>50.326212</v>
      </c>
      <c r="S1823" s="3" t="n">
        <v>62.711793</v>
      </c>
      <c r="T1823" s="3" t="n">
        <v>55.774266</v>
      </c>
      <c r="U1823" s="3" t="n">
        <v>53.260109</v>
      </c>
      <c r="V1823" s="3" t="n">
        <v>50.368658</v>
      </c>
      <c r="W1823" s="3" t="n">
        <v>44.685231</v>
      </c>
      <c r="X1823" s="3" t="n">
        <v>48.424517</v>
      </c>
      <c r="Y1823" s="3" t="n">
        <v>47.507139</v>
      </c>
      <c r="Z1823" s="3" t="n">
        <v>47.842582</v>
      </c>
      <c r="AA1823" s="3" t="n">
        <v>55.618852</v>
      </c>
      <c r="AB1823" s="3" t="n">
        <v>48.855051</v>
      </c>
      <c r="AC1823" s="3" t="n">
        <v>44.444637</v>
      </c>
      <c r="AD1823" s="3" t="n">
        <v>56.359299</v>
      </c>
      <c r="AE1823" s="3" t="n">
        <v>60.646968</v>
      </c>
      <c r="AF1823" s="3" t="n">
        <v>56.382439</v>
      </c>
      <c r="AG1823" s="3" t="n">
        <v>56.815034</v>
      </c>
      <c r="AH1823" s="3" t="n">
        <v>57.454982</v>
      </c>
      <c r="AI1823" s="3" t="n">
        <v>57.358269</v>
      </c>
      <c r="AJ1823" s="3" t="n">
        <v>57.175407</v>
      </c>
      <c r="AK1823" s="3" t="n">
        <v>57.169373</v>
      </c>
      <c r="AL1823" s="3" t="n">
        <v>57.068806</v>
      </c>
      <c r="AM1823" s="3" t="n"/>
      <c r="AN1823" s="3" t="n"/>
      <c r="AO1823" s="3" t="n"/>
      <c r="AP1823" s="3" t="n"/>
      <c r="AQ1823" s="3" t="n"/>
      <c r="AR1823" s="3" t="n"/>
      <c r="AS1823" s="3" t="n"/>
      <c r="AT1823" s="3" t="n"/>
      <c r="AU1823" s="3" t="n"/>
    </row>
    <row r="1824">
      <c r="A1824" s="3" t="n">
        <v>2031</v>
      </c>
      <c r="B1824" s="3" t="inlineStr">
        <is>
          <t>LSO</t>
        </is>
      </c>
      <c r="C1824" s="3" t="inlineStr">
        <is>
          <t>IMF.RES:WEO</t>
        </is>
      </c>
      <c r="D1824" s="3" t="inlineStr">
        <is>
          <t>LSO.GGX_NGDP.A</t>
        </is>
      </c>
      <c r="E1824" s="3" t="inlineStr">
        <is>
          <t>Lesotho, Kingdom of</t>
        </is>
      </c>
      <c r="F1824" s="3" t="inlineStr">
        <is>
          <t>Expenditure, General government, Percent of GDP</t>
        </is>
      </c>
      <c r="G1824" s="3" t="n">
        <v>39.264761</v>
      </c>
      <c r="H1824" s="3" t="n">
        <v>41.446295</v>
      </c>
      <c r="I1824" s="3" t="n">
        <v>41.228142</v>
      </c>
      <c r="J1824" s="3" t="n">
        <v>39.757668</v>
      </c>
      <c r="K1824" s="3" t="n">
        <v>36.253515</v>
      </c>
      <c r="L1824" s="3" t="n">
        <v>37.614557</v>
      </c>
      <c r="M1824" s="3" t="n">
        <v>43.218434</v>
      </c>
      <c r="N1824" s="3" t="n">
        <v>48.117437</v>
      </c>
      <c r="O1824" s="3" t="n">
        <v>54.070956</v>
      </c>
      <c r="P1824" s="3" t="n">
        <v>66.442103</v>
      </c>
      <c r="Q1824" s="3" t="n">
        <v>55.317904</v>
      </c>
      <c r="R1824" s="3" t="n">
        <v>60.172479</v>
      </c>
      <c r="S1824" s="3" t="n">
        <v>58.14801</v>
      </c>
      <c r="T1824" s="3" t="n">
        <v>58.35715</v>
      </c>
      <c r="U1824" s="3" t="n">
        <v>50.102904</v>
      </c>
      <c r="V1824" s="3" t="n">
        <v>51.748851</v>
      </c>
      <c r="W1824" s="3" t="n">
        <v>54.113057</v>
      </c>
      <c r="X1824" s="3" t="n">
        <v>50.440061</v>
      </c>
      <c r="Y1824" s="3" t="n">
        <v>51.915967</v>
      </c>
      <c r="Z1824" s="3" t="n">
        <v>52.930128</v>
      </c>
      <c r="AA1824" s="3" t="n">
        <v>54.173386</v>
      </c>
      <c r="AB1824" s="3" t="n">
        <v>53.64884</v>
      </c>
      <c r="AC1824" s="3" t="n">
        <v>50.778219</v>
      </c>
      <c r="AD1824" s="3" t="n">
        <v>48.995327</v>
      </c>
      <c r="AE1824" s="3" t="n">
        <v>52.474089</v>
      </c>
      <c r="AF1824" s="3" t="n">
        <v>54.228438</v>
      </c>
      <c r="AG1824" s="3" t="n">
        <v>52.623793</v>
      </c>
      <c r="AH1824" s="3" t="n">
        <v>52.961815</v>
      </c>
      <c r="AI1824" s="3" t="n">
        <v>52.982061</v>
      </c>
      <c r="AJ1824" s="3" t="n">
        <v>53.213638</v>
      </c>
      <c r="AK1824" s="3" t="n">
        <v>53.456211</v>
      </c>
      <c r="AL1824" s="3" t="n">
        <v>53.64879</v>
      </c>
      <c r="AM1824" s="3" t="n"/>
      <c r="AN1824" s="3" t="n"/>
      <c r="AO1824" s="3" t="n"/>
      <c r="AP1824" s="3" t="n"/>
      <c r="AQ1824" s="3" t="n"/>
      <c r="AR1824" s="3" t="n"/>
      <c r="AS1824" s="3" t="n"/>
      <c r="AT1824" s="3" t="n"/>
      <c r="AU1824" s="3" t="n"/>
    </row>
    <row r="1825">
      <c r="A1825" s="3" t="n">
        <v>2031</v>
      </c>
      <c r="B1825" s="3" t="inlineStr">
        <is>
          <t>LSO</t>
        </is>
      </c>
      <c r="C1825" s="3" t="inlineStr">
        <is>
          <t>IMF.RES:WEO</t>
        </is>
      </c>
      <c r="D1825" s="3" t="inlineStr">
        <is>
          <t>LSO.LP.A</t>
        </is>
      </c>
      <c r="E1825" s="3" t="inlineStr">
        <is>
          <t>Lesotho, Kingdom of</t>
        </is>
      </c>
      <c r="F1825" s="3" t="inlineStr">
        <is>
          <t>Population, Persons for countries / Index for country groups</t>
        </is>
      </c>
      <c r="G1825" s="3" t="n">
        <v>2.003913</v>
      </c>
      <c r="H1825" s="3" t="n">
        <v>2.000853</v>
      </c>
      <c r="I1825" s="3" t="n">
        <v>1.994679</v>
      </c>
      <c r="J1825" s="3" t="n">
        <v>1.985059</v>
      </c>
      <c r="K1825" s="3" t="n">
        <v>1.971129</v>
      </c>
      <c r="L1825" s="3" t="n">
        <v>1.953076</v>
      </c>
      <c r="M1825" s="3" t="n">
        <v>1.945063</v>
      </c>
      <c r="N1825" s="3" t="n">
        <v>1.953268</v>
      </c>
      <c r="O1825" s="3" t="n">
        <v>1.966541</v>
      </c>
      <c r="P1825" s="3" t="n">
        <v>1.980883</v>
      </c>
      <c r="Q1825" s="3" t="n">
        <v>1.996251</v>
      </c>
      <c r="R1825" s="3" t="n">
        <v>2.014009</v>
      </c>
      <c r="S1825" s="3" t="n">
        <v>2.034354</v>
      </c>
      <c r="T1825" s="3" t="n">
        <v>2.056504</v>
      </c>
      <c r="U1825" s="3" t="n">
        <v>2.080089</v>
      </c>
      <c r="V1825" s="3" t="n">
        <v>2.104611</v>
      </c>
      <c r="W1825" s="3" t="n">
        <v>2.130422</v>
      </c>
      <c r="X1825" s="3" t="n">
        <v>2.15711</v>
      </c>
      <c r="Y1825" s="3" t="n">
        <v>2.183603</v>
      </c>
      <c r="Z1825" s="3" t="n">
        <v>2.209405</v>
      </c>
      <c r="AA1825" s="3" t="n">
        <v>2.235727</v>
      </c>
      <c r="AB1825" s="3" t="n">
        <v>2.261542</v>
      </c>
      <c r="AC1825" s="3" t="n">
        <v>2.28611</v>
      </c>
      <c r="AD1825" s="3" t="n">
        <v>2.311472</v>
      </c>
      <c r="AE1825" s="3" t="n">
        <v>2.337423</v>
      </c>
      <c r="AF1825" s="3" t="n">
        <v>2.36574</v>
      </c>
      <c r="AG1825" s="3" t="n">
        <v>2.3944</v>
      </c>
      <c r="AH1825" s="3" t="n">
        <v>2.423407</v>
      </c>
      <c r="AI1825" s="3" t="n">
        <v>2.452765</v>
      </c>
      <c r="AJ1825" s="3" t="n">
        <v>2.48248</v>
      </c>
      <c r="AK1825" s="3" t="n">
        <v>2.512554</v>
      </c>
      <c r="AL1825" s="3" t="n">
        <v>2.542992</v>
      </c>
      <c r="AM1825" s="3" t="n"/>
      <c r="AN1825" s="3" t="n"/>
      <c r="AO1825" s="3" t="n"/>
      <c r="AP1825" s="3" t="n"/>
      <c r="AQ1825" s="3" t="n"/>
      <c r="AR1825" s="3" t="n"/>
      <c r="AS1825" s="3" t="n"/>
      <c r="AT1825" s="3" t="n"/>
      <c r="AU1825" s="3" t="n"/>
    </row>
    <row r="1826">
      <c r="A1826" s="3" t="n">
        <v>2031</v>
      </c>
      <c r="B1826" s="3" t="inlineStr">
        <is>
          <t>LSO</t>
        </is>
      </c>
      <c r="C1826" s="3" t="inlineStr">
        <is>
          <t>IMF.RES:WEO</t>
        </is>
      </c>
      <c r="D1826" s="3" t="inlineStr">
        <is>
          <t>LSO.NGDP.A</t>
        </is>
      </c>
      <c r="E1826" s="3" t="inlineStr">
        <is>
          <t>Lesotho, Kingdom of</t>
        </is>
      </c>
      <c r="F1826" s="3" t="inlineStr">
        <is>
          <t>Gross domestic product (GDP), Current prices, Domestic currency</t>
        </is>
      </c>
      <c r="G1826" s="3" t="n">
        <v>6.395387</v>
      </c>
      <c r="H1826" s="3" t="n">
        <v>7.375763</v>
      </c>
      <c r="I1826" s="3" t="n">
        <v>8.322618</v>
      </c>
      <c r="J1826" s="3" t="n">
        <v>9.00949</v>
      </c>
      <c r="K1826" s="3" t="n">
        <v>9.996131999999999</v>
      </c>
      <c r="L1826" s="3" t="n">
        <v>11.071285</v>
      </c>
      <c r="M1826" s="3" t="n">
        <v>12.104869</v>
      </c>
      <c r="N1826" s="3" t="n">
        <v>12.537619</v>
      </c>
      <c r="O1826" s="3" t="n">
        <v>14.635527</v>
      </c>
      <c r="P1826" s="3" t="n">
        <v>15.153321</v>
      </c>
      <c r="Q1826" s="3" t="n">
        <v>16.950029</v>
      </c>
      <c r="R1826" s="3" t="n">
        <v>19.131414</v>
      </c>
      <c r="S1826" s="3" t="n">
        <v>20.970355</v>
      </c>
      <c r="T1826" s="3" t="n">
        <v>23.753565</v>
      </c>
      <c r="U1826" s="3" t="n">
        <v>27.395783</v>
      </c>
      <c r="V1826" s="3" t="n">
        <v>30.355907</v>
      </c>
      <c r="W1826" s="3" t="n">
        <v>31.010435</v>
      </c>
      <c r="X1826" s="3" t="n">
        <v>31.508222</v>
      </c>
      <c r="Y1826" s="3" t="n">
        <v>34.007362</v>
      </c>
      <c r="Z1826" s="3" t="n">
        <v>34.355444</v>
      </c>
      <c r="AA1826" s="3" t="n">
        <v>34.239344</v>
      </c>
      <c r="AB1826" s="3" t="n">
        <v>36.286344</v>
      </c>
      <c r="AC1826" s="3" t="n">
        <v>38.652869</v>
      </c>
      <c r="AD1826" s="3" t="n">
        <v>41.728711</v>
      </c>
      <c r="AE1826" s="3" t="n">
        <v>45.839099</v>
      </c>
      <c r="AF1826" s="3" t="n">
        <v>47.962416</v>
      </c>
      <c r="AG1826" s="3" t="n">
        <v>50.54604</v>
      </c>
      <c r="AH1826" s="3" t="n">
        <v>53.070038</v>
      </c>
      <c r="AI1826" s="3" t="n">
        <v>55.964234</v>
      </c>
      <c r="AJ1826" s="3" t="n">
        <v>59.069606</v>
      </c>
      <c r="AK1826" s="3" t="n">
        <v>62.327328</v>
      </c>
      <c r="AL1826" s="3" t="n">
        <v>65.77128500000001</v>
      </c>
      <c r="AM1826" s="3" t="n"/>
      <c r="AN1826" s="3" t="n"/>
      <c r="AO1826" s="3" t="n"/>
      <c r="AP1826" s="3" t="n"/>
      <c r="AQ1826" s="3" t="n"/>
      <c r="AR1826" s="3" t="n"/>
      <c r="AS1826" s="3" t="n"/>
      <c r="AT1826" s="3" t="n"/>
      <c r="AU1826" s="3" t="n"/>
    </row>
    <row r="1827">
      <c r="A1827" s="3" t="n">
        <v>2031</v>
      </c>
      <c r="B1827" s="3" t="inlineStr">
        <is>
          <t>LSO</t>
        </is>
      </c>
      <c r="C1827" s="3" t="inlineStr">
        <is>
          <t>IMF.RES:WEO</t>
        </is>
      </c>
      <c r="D1827" s="3" t="inlineStr">
        <is>
          <t>LSO.NGDP_D.A</t>
        </is>
      </c>
      <c r="E1827" s="3" t="inlineStr">
        <is>
          <t>Lesotho, Kingdom of</t>
        </is>
      </c>
      <c r="F1827" s="3" t="inlineStr">
        <is>
          <t>Gross domestic product (GDP), Price deflator, Index</t>
        </is>
      </c>
      <c r="G1827" s="3" t="n">
        <v>47.777345</v>
      </c>
      <c r="H1827" s="3" t="n">
        <v>53.343087</v>
      </c>
      <c r="I1827" s="3" t="n">
        <v>58.769319</v>
      </c>
      <c r="J1827" s="3" t="n">
        <v>61.029103</v>
      </c>
      <c r="K1827" s="3" t="n">
        <v>66.339963</v>
      </c>
      <c r="L1827" s="3" t="n">
        <v>71.11021</v>
      </c>
      <c r="M1827" s="3" t="n">
        <v>74.614518</v>
      </c>
      <c r="N1827" s="3" t="n">
        <v>73.579635</v>
      </c>
      <c r="O1827" s="3" t="n">
        <v>83.65146</v>
      </c>
      <c r="P1827" s="3" t="n">
        <v>86.193657</v>
      </c>
      <c r="Q1827" s="3" t="n">
        <v>91.718413</v>
      </c>
      <c r="R1827" s="3" t="n">
        <v>97.411446</v>
      </c>
      <c r="S1827" s="3" t="n">
        <v>101.939537</v>
      </c>
      <c r="T1827" s="3" t="n">
        <v>114.075556</v>
      </c>
      <c r="U1827" s="3" t="n">
        <v>129.65704</v>
      </c>
      <c r="V1827" s="3" t="n">
        <v>138.625678</v>
      </c>
      <c r="W1827" s="3" t="n">
        <v>138.42055</v>
      </c>
      <c r="X1827" s="3" t="n">
        <v>145.503507</v>
      </c>
      <c r="Y1827" s="3" t="n">
        <v>159.051516</v>
      </c>
      <c r="Z1827" s="3" t="n">
        <v>163.550481</v>
      </c>
      <c r="AA1827" s="3" t="n">
        <v>178.398243</v>
      </c>
      <c r="AB1827" s="3" t="n">
        <v>180.715456</v>
      </c>
      <c r="AC1827" s="3" t="n">
        <v>189.391291</v>
      </c>
      <c r="AD1827" s="3" t="n">
        <v>199.477559</v>
      </c>
      <c r="AE1827" s="3" t="n">
        <v>208.891262</v>
      </c>
      <c r="AF1827" s="3" t="n">
        <v>215.582377</v>
      </c>
      <c r="AG1827" s="3" t="n">
        <v>224.699342</v>
      </c>
      <c r="AH1827" s="3" t="n">
        <v>233.983971</v>
      </c>
      <c r="AI1827" s="3" t="n">
        <v>243.329157</v>
      </c>
      <c r="AJ1827" s="3" t="n">
        <v>253.028264</v>
      </c>
      <c r="AK1827" s="3" t="n">
        <v>263.023606</v>
      </c>
      <c r="AL1827" s="3" t="n">
        <v>273.422055</v>
      </c>
      <c r="AM1827" s="3" t="n"/>
      <c r="AN1827" s="3" t="n"/>
      <c r="AO1827" s="3" t="n"/>
      <c r="AP1827" s="3" t="n"/>
      <c r="AQ1827" s="3" t="n"/>
      <c r="AR1827" s="3" t="n"/>
      <c r="AS1827" s="3" t="n"/>
      <c r="AT1827" s="3" t="n"/>
      <c r="AU1827" s="3" t="n"/>
    </row>
    <row r="1828">
      <c r="A1828" s="3" t="n">
        <v>2031</v>
      </c>
      <c r="B1828" s="3" t="inlineStr">
        <is>
          <t>LSO</t>
        </is>
      </c>
      <c r="C1828" s="3" t="inlineStr">
        <is>
          <t>IMF.RES:WEO</t>
        </is>
      </c>
      <c r="D1828" s="3" t="inlineStr">
        <is>
          <t>LSO.NGDP_R.A</t>
        </is>
      </c>
      <c r="E1828" s="3" t="inlineStr">
        <is>
          <t>Lesotho, Kingdom of</t>
        </is>
      </c>
      <c r="F1828" s="3" t="inlineStr">
        <is>
          <t>Gross domestic product (GDP), Constant prices, Domestic currency</t>
        </is>
      </c>
      <c r="G1828" s="3" t="n">
        <v>13.385815</v>
      </c>
      <c r="H1828" s="3" t="n">
        <v>13.827027</v>
      </c>
      <c r="I1828" s="3" t="n">
        <v>14.161502</v>
      </c>
      <c r="J1828" s="3" t="n">
        <v>14.762613</v>
      </c>
      <c r="K1828" s="3" t="n">
        <v>15.068039</v>
      </c>
      <c r="L1828" s="3" t="n">
        <v>15.569191</v>
      </c>
      <c r="M1828" s="3" t="n">
        <v>16.223209</v>
      </c>
      <c r="N1828" s="3" t="n">
        <v>17.039523</v>
      </c>
      <c r="O1828" s="3" t="n">
        <v>17.495842</v>
      </c>
      <c r="P1828" s="3" t="n">
        <v>17.580552</v>
      </c>
      <c r="Q1828" s="3" t="n">
        <v>18.480509</v>
      </c>
      <c r="R1828" s="3" t="n">
        <v>19.639801</v>
      </c>
      <c r="S1828" s="3" t="n">
        <v>20.571366</v>
      </c>
      <c r="T1828" s="3" t="n">
        <v>20.82266</v>
      </c>
      <c r="U1828" s="3" t="n">
        <v>21.129422</v>
      </c>
      <c r="V1828" s="3" t="n">
        <v>21.897752</v>
      </c>
      <c r="W1828" s="3" t="n">
        <v>22.403057</v>
      </c>
      <c r="X1828" s="3" t="n">
        <v>21.654614</v>
      </c>
      <c r="Y1828" s="3" t="n">
        <v>21.38135</v>
      </c>
      <c r="Z1828" s="3" t="n">
        <v>21.006018</v>
      </c>
      <c r="AA1828" s="3" t="n">
        <v>19.192646</v>
      </c>
      <c r="AB1828" s="3" t="n">
        <v>20.07927</v>
      </c>
      <c r="AC1828" s="3" t="n">
        <v>20.409</v>
      </c>
      <c r="AD1828" s="3" t="n">
        <v>20.919</v>
      </c>
      <c r="AE1828" s="3" t="n">
        <v>21.944</v>
      </c>
      <c r="AF1828" s="3" t="n">
        <v>22.247837</v>
      </c>
      <c r="AG1828" s="3" t="n">
        <v>22.494966</v>
      </c>
      <c r="AH1828" s="3" t="n">
        <v>22.681057</v>
      </c>
      <c r="AI1828" s="3" t="n">
        <v>22.999395</v>
      </c>
      <c r="AJ1828" s="3" t="n">
        <v>23.345062</v>
      </c>
      <c r="AK1828" s="3" t="n">
        <v>23.696477</v>
      </c>
      <c r="AL1828" s="3" t="n">
        <v>24.054857</v>
      </c>
      <c r="AM1828" s="3" t="n"/>
      <c r="AN1828" s="3" t="n"/>
      <c r="AO1828" s="3" t="n"/>
      <c r="AP1828" s="3" t="n"/>
      <c r="AQ1828" s="3" t="n"/>
      <c r="AR1828" s="3" t="n"/>
      <c r="AS1828" s="3" t="n"/>
      <c r="AT1828" s="3" t="n"/>
      <c r="AU1828" s="3" t="n"/>
    </row>
    <row r="1829">
      <c r="A1829" s="3" t="n">
        <v>2031</v>
      </c>
      <c r="B1829" s="3" t="inlineStr">
        <is>
          <t>LSO</t>
        </is>
      </c>
      <c r="C1829" s="3" t="inlineStr">
        <is>
          <t>IMF.RES:WEO</t>
        </is>
      </c>
      <c r="D1829" s="3" t="inlineStr">
        <is>
          <t>LSO.NGDP_RPCH.A</t>
        </is>
      </c>
      <c r="E1829" s="3" t="inlineStr">
        <is>
          <t>Lesotho, Kingdom of</t>
        </is>
      </c>
      <c r="F1829" s="3" t="inlineStr">
        <is>
          <t>Gross domestic product (GDP), Constant prices, Percent change</t>
        </is>
      </c>
      <c r="G1829" s="3" t="n">
        <v>3.952965</v>
      </c>
      <c r="H1829" s="3" t="n">
        <v>3.296117</v>
      </c>
      <c r="I1829" s="3" t="n">
        <v>2.418993</v>
      </c>
      <c r="J1829" s="3" t="n">
        <v>4.244681</v>
      </c>
      <c r="K1829" s="3" t="n">
        <v>2.06892</v>
      </c>
      <c r="L1829" s="3" t="n">
        <v>3.325925</v>
      </c>
      <c r="M1829" s="3" t="n">
        <v>4.200719</v>
      </c>
      <c r="N1829" s="3" t="n">
        <v>5.031764</v>
      </c>
      <c r="O1829" s="3" t="n">
        <v>2.678005</v>
      </c>
      <c r="P1829" s="3" t="n">
        <v>0.484174</v>
      </c>
      <c r="Q1829" s="3" t="n">
        <v>5.119046</v>
      </c>
      <c r="R1829" s="3" t="n">
        <v>6.273055</v>
      </c>
      <c r="S1829" s="3" t="n">
        <v>4.743248</v>
      </c>
      <c r="T1829" s="3" t="n">
        <v>1.22157</v>
      </c>
      <c r="U1829" s="3" t="n">
        <v>1.473215</v>
      </c>
      <c r="V1829" s="3" t="n">
        <v>3.636304</v>
      </c>
      <c r="W1829" s="3" t="n">
        <v>2.307565</v>
      </c>
      <c r="X1829" s="3" t="n">
        <v>-3.34081</v>
      </c>
      <c r="Y1829" s="3" t="n">
        <v>-1.261916</v>
      </c>
      <c r="Z1829" s="3" t="n">
        <v>-1.755418</v>
      </c>
      <c r="AA1829" s="3" t="n">
        <v>-8.632631999999999</v>
      </c>
      <c r="AB1829" s="3" t="n">
        <v>4.619602</v>
      </c>
      <c r="AC1829" s="3" t="n">
        <v>1.642141</v>
      </c>
      <c r="AD1829" s="3" t="n">
        <v>2.498898</v>
      </c>
      <c r="AE1829" s="3" t="n">
        <v>4.899852</v>
      </c>
      <c r="AF1829" s="3" t="n">
        <v>1.384602</v>
      </c>
      <c r="AG1829" s="3" t="n">
        <v>1.110799</v>
      </c>
      <c r="AH1829" s="3" t="n">
        <v>0.827257</v>
      </c>
      <c r="AI1829" s="3" t="n">
        <v>1.403541</v>
      </c>
      <c r="AJ1829" s="3" t="n">
        <v>1.502941</v>
      </c>
      <c r="AK1829" s="3" t="n">
        <v>1.505305</v>
      </c>
      <c r="AL1829" s="3" t="n">
        <v>1.512378</v>
      </c>
      <c r="AM1829" s="3" t="n"/>
      <c r="AN1829" s="3" t="n"/>
      <c r="AO1829" s="3" t="n"/>
      <c r="AP1829" s="3" t="n"/>
      <c r="AQ1829" s="3" t="n"/>
      <c r="AR1829" s="3" t="n"/>
      <c r="AS1829" s="3" t="n"/>
      <c r="AT1829" s="3" t="n"/>
      <c r="AU1829" s="3" t="n"/>
    </row>
    <row r="1830">
      <c r="A1830" s="3" t="n">
        <v>2031</v>
      </c>
      <c r="B1830" s="3" t="inlineStr">
        <is>
          <t>LSO</t>
        </is>
      </c>
      <c r="C1830" s="3" t="inlineStr">
        <is>
          <t>IMF.RES:WEO</t>
        </is>
      </c>
      <c r="D1830" s="3" t="inlineStr">
        <is>
          <t>LSO.NGDPD.A</t>
        </is>
      </c>
      <c r="E1830" s="3" t="inlineStr">
        <is>
          <t>Lesotho, Kingdom of</t>
        </is>
      </c>
      <c r="F1830" s="3" t="inlineStr">
        <is>
          <t>Gross domestic product (GDP), Current prices, US dollar</t>
        </is>
      </c>
      <c r="G1830" s="3" t="n">
        <v>0.921548</v>
      </c>
      <c r="H1830" s="3" t="n">
        <v>0.773999</v>
      </c>
      <c r="I1830" s="3" t="n">
        <v>0.856229</v>
      </c>
      <c r="J1830" s="3" t="n">
        <v>1.25613</v>
      </c>
      <c r="K1830" s="3" t="n">
        <v>1.597741</v>
      </c>
      <c r="L1830" s="3" t="n">
        <v>1.729708</v>
      </c>
      <c r="M1830" s="3" t="n">
        <v>1.720052</v>
      </c>
      <c r="N1830" s="3" t="n">
        <v>1.758555</v>
      </c>
      <c r="O1830" s="3" t="n">
        <v>1.65199</v>
      </c>
      <c r="P1830" s="3" t="n">
        <v>1.936754</v>
      </c>
      <c r="Q1830" s="3" t="n">
        <v>2.356161</v>
      </c>
      <c r="R1830" s="3" t="n">
        <v>2.570822</v>
      </c>
      <c r="S1830" s="3" t="n">
        <v>2.464757</v>
      </c>
      <c r="T1830" s="3" t="n">
        <v>2.344777</v>
      </c>
      <c r="U1830" s="3" t="n">
        <v>2.476716</v>
      </c>
      <c r="V1830" s="3" t="n">
        <v>2.202177</v>
      </c>
      <c r="W1830" s="3" t="n">
        <v>2.206206</v>
      </c>
      <c r="X1830" s="3" t="n">
        <v>2.424144</v>
      </c>
      <c r="Y1830" s="3" t="n">
        <v>2.472424</v>
      </c>
      <c r="Z1830" s="3" t="n">
        <v>2.323381</v>
      </c>
      <c r="AA1830" s="3" t="n">
        <v>2.092443</v>
      </c>
      <c r="AB1830" s="3" t="n">
        <v>2.443292</v>
      </c>
      <c r="AC1830" s="3" t="n">
        <v>2.274702</v>
      </c>
      <c r="AD1830" s="3" t="n">
        <v>2.226818</v>
      </c>
      <c r="AE1830" s="3" t="n">
        <v>2.513694</v>
      </c>
      <c r="AF1830" s="3" t="n">
        <v>2.853749</v>
      </c>
      <c r="AG1830" s="3" t="n">
        <v>2.972392</v>
      </c>
      <c r="AH1830" s="3" t="n">
        <v>3.096159</v>
      </c>
      <c r="AI1830" s="3" t="n">
        <v>3.240219</v>
      </c>
      <c r="AJ1830" s="3" t="n">
        <v>3.394095</v>
      </c>
      <c r="AK1830" s="3" t="n">
        <v>3.557438</v>
      </c>
      <c r="AL1830" s="3" t="n">
        <v>3.743292</v>
      </c>
      <c r="AM1830" s="3" t="n"/>
      <c r="AN1830" s="3" t="n"/>
      <c r="AO1830" s="3" t="n"/>
      <c r="AP1830" s="3" t="n"/>
      <c r="AQ1830" s="3" t="n"/>
      <c r="AR1830" s="3" t="n"/>
      <c r="AS1830" s="3" t="n"/>
      <c r="AT1830" s="3" t="n"/>
      <c r="AU1830" s="3" t="n"/>
    </row>
    <row r="1831">
      <c r="A1831" s="3" t="n">
        <v>2031</v>
      </c>
      <c r="B1831" s="3" t="inlineStr">
        <is>
          <t>LSO</t>
        </is>
      </c>
      <c r="C1831" s="3" t="inlineStr">
        <is>
          <t>IMF.RES:WEO</t>
        </is>
      </c>
      <c r="D1831" s="3" t="inlineStr">
        <is>
          <t>LSO.NGDPPC.A</t>
        </is>
      </c>
      <c r="E1831" s="3" t="inlineStr">
        <is>
          <t>Lesotho, Kingdom of</t>
        </is>
      </c>
      <c r="F1831" s="3" t="inlineStr">
        <is>
          <t>Gross domestic product (GDP), Current prices, Per capita, Domestic currency</t>
        </is>
      </c>
      <c r="G1831" s="3" t="n">
        <v>3191.449533</v>
      </c>
      <c r="H1831" s="3" t="n">
        <v>3686.309431</v>
      </c>
      <c r="I1831" s="3" t="n">
        <v>4172.409896</v>
      </c>
      <c r="J1831" s="3" t="n">
        <v>4538.651081</v>
      </c>
      <c r="K1831" s="3" t="n">
        <v>5071.272247</v>
      </c>
      <c r="L1831" s="3" t="n">
        <v>5668.639885</v>
      </c>
      <c r="M1831" s="3" t="n">
        <v>6223.381633</v>
      </c>
      <c r="N1831" s="3" t="n">
        <v>6418.790786</v>
      </c>
      <c r="O1831" s="3" t="n">
        <v>7442.26908</v>
      </c>
      <c r="P1831" s="3" t="n">
        <v>7649.780827</v>
      </c>
      <c r="Q1831" s="3" t="n">
        <v>8490.930973</v>
      </c>
      <c r="R1831" s="3" t="n">
        <v>9499.170270000001</v>
      </c>
      <c r="S1831" s="3" t="n">
        <v>10308.114997</v>
      </c>
      <c r="T1831" s="3" t="n">
        <v>11550.458798</v>
      </c>
      <c r="U1831" s="3" t="n">
        <v>13170.486047</v>
      </c>
      <c r="V1831" s="3" t="n">
        <v>14423.524047</v>
      </c>
      <c r="W1831" s="3" t="n">
        <v>14556.005724</v>
      </c>
      <c r="X1831" s="3" t="n">
        <v>14606.683026</v>
      </c>
      <c r="Y1831" s="3" t="n">
        <v>15573.967438</v>
      </c>
      <c r="Z1831" s="3" t="n">
        <v>15549.636228</v>
      </c>
      <c r="AA1831" s="3" t="n">
        <v>15314.635255</v>
      </c>
      <c r="AB1831" s="3" t="n">
        <v>16044.95711</v>
      </c>
      <c r="AC1831" s="3" t="n">
        <v>16907.7029</v>
      </c>
      <c r="AD1831" s="3" t="n">
        <v>18052.873048</v>
      </c>
      <c r="AE1831" s="3" t="n">
        <v>19610.955533</v>
      </c>
      <c r="AF1831" s="3" t="n">
        <v>20273.748822</v>
      </c>
      <c r="AG1831" s="3" t="n">
        <v>21110.108736</v>
      </c>
      <c r="AH1831" s="3" t="n">
        <v>21898.937976</v>
      </c>
      <c r="AI1831" s="3" t="n">
        <v>22816.789896</v>
      </c>
      <c r="AJ1831" s="3" t="n">
        <v>23794.598162</v>
      </c>
      <c r="AK1831" s="3" t="n">
        <v>24806.365072</v>
      </c>
      <c r="AL1831" s="3" t="n">
        <v>25863.736804</v>
      </c>
      <c r="AM1831" s="3" t="n"/>
      <c r="AN1831" s="3" t="n"/>
      <c r="AO1831" s="3" t="n"/>
      <c r="AP1831" s="3" t="n"/>
      <c r="AQ1831" s="3" t="n"/>
      <c r="AR1831" s="3" t="n"/>
      <c r="AS1831" s="3" t="n"/>
      <c r="AT1831" s="3" t="n"/>
      <c r="AU1831" s="3" t="n"/>
    </row>
    <row r="1832">
      <c r="A1832" s="3" t="n">
        <v>2031</v>
      </c>
      <c r="B1832" s="3" t="inlineStr">
        <is>
          <t>LSO</t>
        </is>
      </c>
      <c r="C1832" s="3" t="inlineStr">
        <is>
          <t>IMF.RES:WEO</t>
        </is>
      </c>
      <c r="D1832" s="3" t="inlineStr">
        <is>
          <t>LSO.NGDPRPC.A</t>
        </is>
      </c>
      <c r="E1832" s="3" t="inlineStr">
        <is>
          <t>Lesotho, Kingdom of</t>
        </is>
      </c>
      <c r="F1832" s="3" t="inlineStr">
        <is>
          <t>Gross domestic product (GDP), Constant prices, Per capita, Domestic currency</t>
        </is>
      </c>
      <c r="G1832" s="3" t="n">
        <v>6679.838552</v>
      </c>
      <c r="H1832" s="3" t="n">
        <v>6910.566335</v>
      </c>
      <c r="I1832" s="3" t="n">
        <v>7099.639719</v>
      </c>
      <c r="J1832" s="3" t="n">
        <v>7436.863522</v>
      </c>
      <c r="K1832" s="3" t="n">
        <v>7644.370038</v>
      </c>
      <c r="L1832" s="3" t="n">
        <v>7971.625839</v>
      </c>
      <c r="M1832" s="3" t="n">
        <v>8340.711378</v>
      </c>
      <c r="N1832" s="3" t="n">
        <v>8723.596885000001</v>
      </c>
      <c r="O1832" s="3" t="n">
        <v>8896.759324000001</v>
      </c>
      <c r="P1832" s="3" t="n">
        <v>8875.108838</v>
      </c>
      <c r="Q1832" s="3" t="n">
        <v>9257.607808000001</v>
      </c>
      <c r="R1832" s="3" t="n">
        <v>9751.59561</v>
      </c>
      <c r="S1832" s="3" t="n">
        <v>10111.989272</v>
      </c>
      <c r="T1832" s="3" t="n">
        <v>10125.270618</v>
      </c>
      <c r="U1832" s="3" t="n">
        <v>10157.941338</v>
      </c>
      <c r="V1832" s="3" t="n">
        <v>10404.655351</v>
      </c>
      <c r="W1832" s="3" t="n">
        <v>10515.783754</v>
      </c>
      <c r="X1832" s="3" t="n">
        <v>10038.715467</v>
      </c>
      <c r="Y1832" s="3" t="n">
        <v>9791.775556000001</v>
      </c>
      <c r="Z1832" s="3" t="n">
        <v>9507.545423</v>
      </c>
      <c r="AA1832" s="3" t="n">
        <v>8584.521361999999</v>
      </c>
      <c r="AB1832" s="3" t="n">
        <v>8878.574884</v>
      </c>
      <c r="AC1832" s="3" t="n">
        <v>8927.391944999999</v>
      </c>
      <c r="AD1832" s="3" t="n">
        <v>9050.07718</v>
      </c>
      <c r="AE1832" s="3" t="n">
        <v>9388.116742</v>
      </c>
      <c r="AF1832" s="3" t="n">
        <v>9404.177243</v>
      </c>
      <c r="AG1832" s="3" t="n">
        <v>9394.82447</v>
      </c>
      <c r="AH1832" s="3" t="n">
        <v>9359.161623</v>
      </c>
      <c r="AI1832" s="3" t="n">
        <v>9376.9239</v>
      </c>
      <c r="AJ1832" s="3" t="n">
        <v>9403.928951</v>
      </c>
      <c r="AK1832" s="3" t="n">
        <v>9431.231451</v>
      </c>
      <c r="AL1832" s="3" t="n">
        <v>9459.272328999999</v>
      </c>
      <c r="AM1832" s="3" t="n"/>
      <c r="AN1832" s="3" t="n"/>
      <c r="AO1832" s="3" t="n"/>
      <c r="AP1832" s="3" t="n"/>
      <c r="AQ1832" s="3" t="n"/>
      <c r="AR1832" s="3" t="n"/>
      <c r="AS1832" s="3" t="n"/>
      <c r="AT1832" s="3" t="n"/>
      <c r="AU1832" s="3" t="n"/>
    </row>
    <row r="1833">
      <c r="A1833" s="3" t="n">
        <v>2031</v>
      </c>
      <c r="B1833" s="3" t="inlineStr">
        <is>
          <t>LSO</t>
        </is>
      </c>
      <c r="C1833" s="3" t="inlineStr">
        <is>
          <t>IMF.RES:WEO</t>
        </is>
      </c>
      <c r="D1833" s="3" t="inlineStr">
        <is>
          <t>LSO.PCPI.A</t>
        </is>
      </c>
      <c r="E1833" s="3" t="inlineStr">
        <is>
          <t>Lesotho, Kingdom of</t>
        </is>
      </c>
      <c r="F1833" s="3" t="inlineStr">
        <is>
          <t>All Items, Consumer price index (CPI), Period average</t>
        </is>
      </c>
      <c r="G1833" s="3" t="n">
        <v>27.341684</v>
      </c>
      <c r="H1833" s="3" t="n">
        <v>29.51943</v>
      </c>
      <c r="I1833" s="3" t="n">
        <v>33.124428</v>
      </c>
      <c r="J1833" s="3" t="n">
        <v>35.225637</v>
      </c>
      <c r="K1833" s="3" t="n">
        <v>36.860403</v>
      </c>
      <c r="L1833" s="3" t="n">
        <v>38.203796</v>
      </c>
      <c r="M1833" s="3" t="n">
        <v>40.624845</v>
      </c>
      <c r="N1833" s="3" t="n">
        <v>44.353099</v>
      </c>
      <c r="O1833" s="3" t="n">
        <v>49.093378</v>
      </c>
      <c r="P1833" s="3" t="n">
        <v>51.956709</v>
      </c>
      <c r="Q1833" s="3" t="n">
        <v>53.675112</v>
      </c>
      <c r="R1833" s="3" t="n">
        <v>56.898405</v>
      </c>
      <c r="S1833" s="3" t="n">
        <v>60.00921</v>
      </c>
      <c r="T1833" s="3" t="n">
        <v>63.009881</v>
      </c>
      <c r="U1833" s="3" t="n">
        <v>65.88630000000001</v>
      </c>
      <c r="V1833" s="3" t="n">
        <v>68.7193</v>
      </c>
      <c r="W1833" s="3" t="n">
        <v>72.984044</v>
      </c>
      <c r="X1833" s="3" t="n">
        <v>76.238372</v>
      </c>
      <c r="Y1833" s="3" t="n">
        <v>79.85734100000001</v>
      </c>
      <c r="Z1833" s="3" t="n">
        <v>83.794096</v>
      </c>
      <c r="AA1833" s="3" t="n">
        <v>88.332172</v>
      </c>
      <c r="AB1833" s="3" t="n">
        <v>94.029743</v>
      </c>
      <c r="AC1833" s="3" t="n">
        <v>101.698255</v>
      </c>
      <c r="AD1833" s="3" t="n">
        <v>108.31532</v>
      </c>
      <c r="AE1833" s="3" t="n">
        <v>113.93817</v>
      </c>
      <c r="AF1833" s="3" t="n">
        <v>118.923056</v>
      </c>
      <c r="AG1833" s="3" t="n">
        <v>123.974676</v>
      </c>
      <c r="AH1833" s="3" t="n">
        <v>128.829088</v>
      </c>
      <c r="AI1833" s="3" t="n">
        <v>133.982251</v>
      </c>
      <c r="AJ1833" s="3" t="n">
        <v>139.341542</v>
      </c>
      <c r="AK1833" s="3" t="n">
        <v>144.915203</v>
      </c>
      <c r="AL1833" s="3" t="n">
        <v>150.711811</v>
      </c>
      <c r="AM1833" s="3" t="n"/>
      <c r="AN1833" s="3" t="n"/>
      <c r="AO1833" s="3" t="n"/>
      <c r="AP1833" s="3" t="n"/>
      <c r="AQ1833" s="3" t="n"/>
      <c r="AR1833" s="3" t="n"/>
      <c r="AS1833" s="3" t="n"/>
      <c r="AT1833" s="3" t="n"/>
      <c r="AU1833" s="3" t="n"/>
    </row>
    <row r="1834">
      <c r="A1834" s="3" t="n">
        <v>2031</v>
      </c>
      <c r="B1834" s="3" t="inlineStr">
        <is>
          <t>LSO</t>
        </is>
      </c>
      <c r="C1834" s="3" t="inlineStr">
        <is>
          <t>IMF.RES:WEO</t>
        </is>
      </c>
      <c r="D1834" s="3" t="inlineStr">
        <is>
          <t>LSO.PCPIPCH.A</t>
        </is>
      </c>
      <c r="E1834" s="3" t="inlineStr">
        <is>
          <t>Lesotho, Kingdom of</t>
        </is>
      </c>
      <c r="F1834" s="3" t="inlineStr">
        <is>
          <t>All Items, Consumer price index (CPI), Period average, percent change</t>
        </is>
      </c>
      <c r="G1834" s="3" t="n">
        <v>6.060336</v>
      </c>
      <c r="H1834" s="3" t="n">
        <v>7.964931</v>
      </c>
      <c r="I1834" s="3" t="n">
        <v>12.212288</v>
      </c>
      <c r="J1834" s="3" t="n">
        <v>6.343384</v>
      </c>
      <c r="K1834" s="3" t="n">
        <v>4.640841</v>
      </c>
      <c r="L1834" s="3" t="n">
        <v>3.644541</v>
      </c>
      <c r="M1834" s="3" t="n">
        <v>6.337195</v>
      </c>
      <c r="N1834" s="3" t="n">
        <v>9.177275</v>
      </c>
      <c r="O1834" s="3" t="n">
        <v>10.687595</v>
      </c>
      <c r="P1834" s="3" t="n">
        <v>5.832418</v>
      </c>
      <c r="Q1834" s="3" t="n">
        <v>3.307375</v>
      </c>
      <c r="R1834" s="3" t="n">
        <v>6.005191</v>
      </c>
      <c r="S1834" s="3" t="n">
        <v>5.467296</v>
      </c>
      <c r="T1834" s="3" t="n">
        <v>5.000352</v>
      </c>
      <c r="U1834" s="3" t="n">
        <v>4.565027</v>
      </c>
      <c r="V1834" s="3" t="n">
        <v>4.299832</v>
      </c>
      <c r="W1834" s="3" t="n">
        <v>6.206036</v>
      </c>
      <c r="X1834" s="3" t="n">
        <v>4.458958</v>
      </c>
      <c r="Y1834" s="3" t="n">
        <v>4.746912</v>
      </c>
      <c r="Z1834" s="3" t="n">
        <v>4.929735</v>
      </c>
      <c r="AA1834" s="3" t="n">
        <v>5.415747</v>
      </c>
      <c r="AB1834" s="3" t="n">
        <v>6.450165</v>
      </c>
      <c r="AC1834" s="3" t="n">
        <v>8.15541</v>
      </c>
      <c r="AD1834" s="3" t="n">
        <v>6.506567</v>
      </c>
      <c r="AE1834" s="3" t="n">
        <v>5.191186</v>
      </c>
      <c r="AF1834" s="3" t="n">
        <v>4.37508</v>
      </c>
      <c r="AG1834" s="3" t="n">
        <v>4.247806</v>
      </c>
      <c r="AH1834" s="3" t="n">
        <v>3.915648</v>
      </c>
      <c r="AI1834" s="3" t="n">
        <v>4</v>
      </c>
      <c r="AJ1834" s="3" t="n">
        <v>4</v>
      </c>
      <c r="AK1834" s="3" t="n">
        <v>4</v>
      </c>
      <c r="AL1834" s="3" t="n">
        <v>4</v>
      </c>
      <c r="AM1834" s="3" t="n"/>
      <c r="AN1834" s="3" t="n"/>
      <c r="AO1834" s="3" t="n"/>
      <c r="AP1834" s="3" t="n"/>
      <c r="AQ1834" s="3" t="n"/>
      <c r="AR1834" s="3" t="n"/>
      <c r="AS1834" s="3" t="n"/>
      <c r="AT1834" s="3" t="n"/>
      <c r="AU1834" s="3" t="n"/>
    </row>
    <row r="1835">
      <c r="A1835" s="3" t="n">
        <v>2031</v>
      </c>
      <c r="B1835" s="3" t="inlineStr">
        <is>
          <t>LSO</t>
        </is>
      </c>
      <c r="C1835" s="3" t="inlineStr">
        <is>
          <t>IMF.RES:WEO</t>
        </is>
      </c>
      <c r="D1835" s="3" t="inlineStr">
        <is>
          <t>LSO.PPPPC.A</t>
        </is>
      </c>
      <c r="E1835" s="3" t="inlineStr">
        <is>
          <t>Lesotho, Kingdom of</t>
        </is>
      </c>
      <c r="F1835" s="3" t="inlineStr">
        <is>
          <t>Gross domestic product (GDP), Per capita, purchasing power parity (PPP) international dollar, ICP benchmarks 2017-2021</t>
        </is>
      </c>
      <c r="G1835" s="3" t="n">
        <v>1299.144397</v>
      </c>
      <c r="H1835" s="3" t="n">
        <v>1374.280227</v>
      </c>
      <c r="I1835" s="3" t="n">
        <v>1433.821721</v>
      </c>
      <c r="J1835" s="3" t="n">
        <v>1531.577685</v>
      </c>
      <c r="K1835" s="3" t="n">
        <v>1616.643804</v>
      </c>
      <c r="L1835" s="3" t="n">
        <v>1738.717705</v>
      </c>
      <c r="M1835" s="3" t="n">
        <v>1875.32278</v>
      </c>
      <c r="N1835" s="3" t="n">
        <v>2014.550542</v>
      </c>
      <c r="O1835" s="3" t="n">
        <v>2094.118022</v>
      </c>
      <c r="P1835" s="3" t="n">
        <v>2101.905808</v>
      </c>
      <c r="Q1835" s="3" t="n">
        <v>2219.140644</v>
      </c>
      <c r="R1835" s="3" t="n">
        <v>2385.783986</v>
      </c>
      <c r="S1835" s="3" t="n">
        <v>2520.019758</v>
      </c>
      <c r="T1835" s="3" t="n">
        <v>2566.27681</v>
      </c>
      <c r="U1835" s="3" t="n">
        <v>2619.398738</v>
      </c>
      <c r="V1835" s="3" t="n">
        <v>2707.917998</v>
      </c>
      <c r="W1835" s="3" t="n">
        <v>2762.846404</v>
      </c>
      <c r="X1835" s="3" t="n">
        <v>2684.739483</v>
      </c>
      <c r="Y1835" s="3" t="n">
        <v>2646.151715</v>
      </c>
      <c r="Z1835" s="3" t="n">
        <v>2554.478245</v>
      </c>
      <c r="AA1835" s="3" t="n">
        <v>2592.20364</v>
      </c>
      <c r="AB1835" s="3" t="n">
        <v>2590.344819</v>
      </c>
      <c r="AC1835" s="3" t="n">
        <v>2789.836343</v>
      </c>
      <c r="AD1835" s="3" t="n">
        <v>2932.819291</v>
      </c>
      <c r="AE1835" s="3" t="n">
        <v>3117.894414</v>
      </c>
      <c r="AF1835" s="3" t="n">
        <v>3211.826973</v>
      </c>
      <c r="AG1835" s="3" t="n">
        <v>3300.555243</v>
      </c>
      <c r="AH1835" s="3" t="n">
        <v>3360.228139</v>
      </c>
      <c r="AI1835" s="3" t="n">
        <v>3421.864486</v>
      </c>
      <c r="AJ1835" s="3" t="n">
        <v>3492.73897</v>
      </c>
      <c r="AK1835" s="3" t="n">
        <v>3567.245817</v>
      </c>
      <c r="AL1835" s="3" t="n">
        <v>3642.442955</v>
      </c>
      <c r="AM1835" s="3" t="n"/>
      <c r="AN1835" s="3" t="n"/>
      <c r="AO1835" s="3" t="n"/>
      <c r="AP1835" s="3" t="n"/>
      <c r="AQ1835" s="3" t="n"/>
      <c r="AR1835" s="3" t="n"/>
      <c r="AS1835" s="3" t="n"/>
      <c r="AT1835" s="3" t="n"/>
      <c r="AU1835" s="3" t="n"/>
    </row>
    <row r="1836">
      <c r="A1836" s="3" t="n">
        <v>2025</v>
      </c>
      <c r="B1836" s="3" t="inlineStr">
        <is>
          <t>LSO</t>
        </is>
      </c>
      <c r="C1836" s="3" t="inlineStr">
        <is>
          <t>IMF.STA:ER</t>
        </is>
      </c>
      <c r="D1836" s="3" t="inlineStr">
        <is>
          <t>LSO.XDC_USD.PA_RT.A</t>
        </is>
      </c>
      <c r="E1836" s="3" t="inlineStr">
        <is>
          <t>Lesotho, Kingdom of</t>
        </is>
      </c>
      <c r="F1836" s="3" t="inlineStr">
        <is>
          <t>Domestic currency per US Dollar</t>
        </is>
      </c>
      <c r="G1836" s="3" t="n">
        <v>6.93982833333333</v>
      </c>
      <c r="H1836" s="3" t="n">
        <v>8.60918083333333</v>
      </c>
      <c r="I1836" s="3" t="n">
        <v>10.5407466666666</v>
      </c>
      <c r="J1836" s="3" t="n">
        <v>7.56474916666666</v>
      </c>
      <c r="K1836" s="3" t="n">
        <v>6.4596925</v>
      </c>
      <c r="L1836" s="3" t="n">
        <v>6.35932833333333</v>
      </c>
      <c r="M1836" s="3" t="n">
        <v>6.77154916666666</v>
      </c>
      <c r="N1836" s="3" t="n">
        <v>7.045365</v>
      </c>
      <c r="O1836" s="3" t="n">
        <v>8.26122333333333</v>
      </c>
      <c r="P1836" s="3" t="n">
        <v>8.47367415824888</v>
      </c>
      <c r="Q1836" s="3" t="n">
        <v>7.32122196115288</v>
      </c>
      <c r="R1836" s="3" t="n">
        <v>7.26113213232734</v>
      </c>
      <c r="S1836" s="3" t="n">
        <v>8.209968626593311</v>
      </c>
      <c r="T1836" s="3" t="n">
        <v>9.655056069135259</v>
      </c>
      <c r="U1836" s="3" t="n">
        <v>10.852655568783</v>
      </c>
      <c r="V1836" s="3" t="n">
        <v>12.7589308811644</v>
      </c>
      <c r="W1836" s="3" t="n">
        <v>14.7096108855267</v>
      </c>
      <c r="X1836" s="3" t="n">
        <v>13.3238014244991</v>
      </c>
      <c r="Y1836" s="3" t="n">
        <v>13.2339264715833</v>
      </c>
      <c r="Z1836" s="3" t="n">
        <v>14.4484270548333</v>
      </c>
      <c r="AA1836" s="3" t="n">
        <v>16.4591053903333</v>
      </c>
      <c r="AB1836" s="3" t="n">
        <v>14.7786782139166</v>
      </c>
      <c r="AC1836" s="3" t="n">
        <v>16.3558534845</v>
      </c>
      <c r="AD1836" s="3" t="n">
        <v>18.4502441785</v>
      </c>
      <c r="AE1836" s="3" t="n">
        <v>18.3286575505</v>
      </c>
      <c r="AF1836" s="3" t="n">
        <v>17.8887489855833</v>
      </c>
      <c r="AG1836" s="3" t="n"/>
      <c r="AH1836" s="3" t="n"/>
      <c r="AI1836" s="3" t="n"/>
      <c r="AJ1836" s="3" t="n"/>
      <c r="AK1836" s="3" t="n"/>
      <c r="AL1836" s="3" t="n"/>
      <c r="AM1836" s="3" t="n"/>
      <c r="AN1836" s="3" t="n"/>
      <c r="AO1836" s="3" t="n"/>
      <c r="AP1836" s="3" t="n"/>
      <c r="AQ1836" s="3" t="n"/>
      <c r="AR1836" s="3" t="n"/>
      <c r="AS1836" s="3" t="n"/>
      <c r="AT1836" s="3" t="n"/>
      <c r="AU1836" s="3" t="n"/>
    </row>
    <row r="1837">
      <c r="A1837" s="3" t="n">
        <v>2031</v>
      </c>
      <c r="B1837" s="3" t="inlineStr">
        <is>
          <t>LTU</t>
        </is>
      </c>
      <c r="C1837" s="3" t="inlineStr">
        <is>
          <t>IMF.RES:WEO</t>
        </is>
      </c>
      <c r="D1837" s="3" t="inlineStr">
        <is>
          <t>LTU.BCA.A</t>
        </is>
      </c>
      <c r="E1837" s="3" t="inlineStr">
        <is>
          <t>Lithuania, Republic of</t>
        </is>
      </c>
      <c r="F1837" s="3" t="inlineStr">
        <is>
          <t>Current account balance (credit less debit), US dollar</t>
        </is>
      </c>
      <c r="G1837" s="3" t="n">
        <v>-0.67483</v>
      </c>
      <c r="H1837" s="3" t="n">
        <v>-0.57367</v>
      </c>
      <c r="I1837" s="3" t="n">
        <v>-0.73389</v>
      </c>
      <c r="J1837" s="3" t="n">
        <v>-1.27846</v>
      </c>
      <c r="K1837" s="3" t="n">
        <v>-1.72438</v>
      </c>
      <c r="L1837" s="3" t="n">
        <v>-1.929306</v>
      </c>
      <c r="M1837" s="3" t="n">
        <v>-3.207396</v>
      </c>
      <c r="N1837" s="3" t="n">
        <v>-6.095604</v>
      </c>
      <c r="O1837" s="3" t="n">
        <v>-6.353129</v>
      </c>
      <c r="P1837" s="3" t="n">
        <v>0.763399</v>
      </c>
      <c r="Q1837" s="3" t="n">
        <v>0.08064300000000001</v>
      </c>
      <c r="R1837" s="3" t="n">
        <v>-1.599827</v>
      </c>
      <c r="S1837" s="3" t="n">
        <v>-0.67489</v>
      </c>
      <c r="T1837" s="3" t="n">
        <v>0.784278</v>
      </c>
      <c r="U1837" s="3" t="n">
        <v>1.739881</v>
      </c>
      <c r="V1837" s="3" t="n">
        <v>-1.040984</v>
      </c>
      <c r="W1837" s="3" t="n">
        <v>-0.432879</v>
      </c>
      <c r="X1837" s="3" t="n">
        <v>0.490301</v>
      </c>
      <c r="Y1837" s="3" t="n">
        <v>0.193528</v>
      </c>
      <c r="Z1837" s="3" t="n">
        <v>2.070562</v>
      </c>
      <c r="AA1837" s="3" t="n">
        <v>4.134157</v>
      </c>
      <c r="AB1837" s="3" t="n">
        <v>0.971592</v>
      </c>
      <c r="AC1837" s="3" t="n">
        <v>-4.335619</v>
      </c>
      <c r="AD1837" s="3" t="n">
        <v>0.877367</v>
      </c>
      <c r="AE1837" s="3" t="n">
        <v>2.755625</v>
      </c>
      <c r="AF1837" s="3" t="n">
        <v>1.274226</v>
      </c>
      <c r="AG1837" s="3" t="n">
        <v>0.206676</v>
      </c>
      <c r="AH1837" s="3" t="n">
        <v>1.066665</v>
      </c>
      <c r="AI1837" s="3" t="n">
        <v>0.793311</v>
      </c>
      <c r="AJ1837" s="3" t="n">
        <v>1.545661</v>
      </c>
      <c r="AK1837" s="3" t="n">
        <v>2.218309</v>
      </c>
      <c r="AL1837" s="3" t="n">
        <v>2.226347</v>
      </c>
      <c r="AM1837" s="3" t="n"/>
      <c r="AN1837" s="3" t="n"/>
      <c r="AO1837" s="3" t="n"/>
      <c r="AP1837" s="3" t="n"/>
      <c r="AQ1837" s="3" t="n"/>
      <c r="AR1837" s="3" t="n"/>
      <c r="AS1837" s="3" t="n"/>
      <c r="AT1837" s="3" t="n"/>
      <c r="AU1837" s="3" t="n"/>
    </row>
    <row r="1838">
      <c r="A1838" s="3" t="n">
        <v>2031</v>
      </c>
      <c r="B1838" s="3" t="inlineStr">
        <is>
          <t>LTU</t>
        </is>
      </c>
      <c r="C1838" s="3" t="inlineStr">
        <is>
          <t>IMF.RES:WEO</t>
        </is>
      </c>
      <c r="D1838" s="3" t="inlineStr">
        <is>
          <t>LTU.BCA_NGDPD.A</t>
        </is>
      </c>
      <c r="E1838" s="3" t="inlineStr">
        <is>
          <t>Lithuania, Republic of</t>
        </is>
      </c>
      <c r="F1838" s="3" t="inlineStr">
        <is>
          <t>Current account balance (credit less debit), Percent of GDP</t>
        </is>
      </c>
      <c r="G1838" s="3" t="n">
        <v>-5.847292</v>
      </c>
      <c r="H1838" s="3" t="n">
        <v>-4.679387</v>
      </c>
      <c r="I1838" s="3" t="n">
        <v>-5.138329</v>
      </c>
      <c r="J1838" s="3" t="n">
        <v>-6.799984</v>
      </c>
      <c r="K1838" s="3" t="n">
        <v>-7.593044</v>
      </c>
      <c r="L1838" s="3" t="n">
        <v>-7.386797</v>
      </c>
      <c r="M1838" s="3" t="n">
        <v>-10.642285</v>
      </c>
      <c r="N1838" s="3" t="n">
        <v>-15.329124</v>
      </c>
      <c r="O1838" s="3" t="n">
        <v>-13.234496</v>
      </c>
      <c r="P1838" s="3" t="n">
        <v>2.0308</v>
      </c>
      <c r="Q1838" s="3" t="n">
        <v>0.219778</v>
      </c>
      <c r="R1838" s="3" t="n">
        <v>-3.703176</v>
      </c>
      <c r="S1838" s="3" t="n">
        <v>-1.579217</v>
      </c>
      <c r="T1838" s="3" t="n">
        <v>1.693156</v>
      </c>
      <c r="U1838" s="3" t="n">
        <v>3.595719</v>
      </c>
      <c r="V1838" s="3" t="n">
        <v>-2.505502</v>
      </c>
      <c r="W1838" s="3" t="n">
        <v>-1.007817</v>
      </c>
      <c r="X1838" s="3" t="n">
        <v>1.026921</v>
      </c>
      <c r="Y1838" s="3" t="n">
        <v>0.356441</v>
      </c>
      <c r="Z1838" s="3" t="n">
        <v>3.755658</v>
      </c>
      <c r="AA1838" s="3" t="n">
        <v>7.208358</v>
      </c>
      <c r="AB1838" s="3" t="n">
        <v>1.447912</v>
      </c>
      <c r="AC1838" s="3" t="n">
        <v>-6.133516</v>
      </c>
      <c r="AD1838" s="3" t="n">
        <v>1.091364</v>
      </c>
      <c r="AE1838" s="3" t="n">
        <v>3.223632</v>
      </c>
      <c r="AF1838" s="3" t="n">
        <v>1.342327</v>
      </c>
      <c r="AG1838" s="3" t="n">
        <v>0.195148</v>
      </c>
      <c r="AH1838" s="3" t="n">
        <v>0.9657210000000001</v>
      </c>
      <c r="AI1838" s="3" t="n">
        <v>0.680468</v>
      </c>
      <c r="AJ1838" s="3" t="n">
        <v>1.265855</v>
      </c>
      <c r="AK1838" s="3" t="n">
        <v>1.72513</v>
      </c>
      <c r="AL1838" s="3" t="n">
        <v>1.65331</v>
      </c>
      <c r="AM1838" s="3" t="n"/>
      <c r="AN1838" s="3" t="n"/>
      <c r="AO1838" s="3" t="n"/>
      <c r="AP1838" s="3" t="n"/>
      <c r="AQ1838" s="3" t="n"/>
      <c r="AR1838" s="3" t="n"/>
      <c r="AS1838" s="3" t="n"/>
      <c r="AT1838" s="3" t="n"/>
      <c r="AU1838" s="3" t="n"/>
    </row>
    <row r="1839">
      <c r="A1839" s="3" t="n">
        <v>2031</v>
      </c>
      <c r="B1839" s="3" t="inlineStr">
        <is>
          <t>LTU</t>
        </is>
      </c>
      <c r="C1839" s="3" t="inlineStr">
        <is>
          <t>IMF.RES:WEO</t>
        </is>
      </c>
      <c r="D1839" s="3" t="inlineStr">
        <is>
          <t>LTU.GGR_NGDP.A</t>
        </is>
      </c>
      <c r="E1839" s="3" t="inlineStr">
        <is>
          <t>Lithuania, Republic of</t>
        </is>
      </c>
      <c r="F1839" s="3" t="inlineStr">
        <is>
          <t>Revenue, General government, Percent of GDP</t>
        </is>
      </c>
      <c r="G1839" s="3" t="n">
        <v>35.519767</v>
      </c>
      <c r="H1839" s="3" t="n">
        <v>32.970114</v>
      </c>
      <c r="I1839" s="3" t="n">
        <v>32.583894</v>
      </c>
      <c r="J1839" s="3" t="n">
        <v>31.566128</v>
      </c>
      <c r="K1839" s="3" t="n">
        <v>32.552341</v>
      </c>
      <c r="L1839" s="3" t="n">
        <v>33.767985</v>
      </c>
      <c r="M1839" s="3" t="n">
        <v>34.148272</v>
      </c>
      <c r="N1839" s="3" t="n">
        <v>34.474819</v>
      </c>
      <c r="O1839" s="3" t="n">
        <v>35.065313</v>
      </c>
      <c r="P1839" s="3" t="n">
        <v>35.722466</v>
      </c>
      <c r="Q1839" s="3" t="n">
        <v>36.08363</v>
      </c>
      <c r="R1839" s="3" t="n">
        <v>34.185297</v>
      </c>
      <c r="S1839" s="3" t="n">
        <v>33.456371</v>
      </c>
      <c r="T1839" s="3" t="n">
        <v>33.039629</v>
      </c>
      <c r="U1839" s="3" t="n">
        <v>33.213963</v>
      </c>
      <c r="V1839" s="3" t="n">
        <v>34.431619</v>
      </c>
      <c r="W1839" s="3" t="n">
        <v>34.506088</v>
      </c>
      <c r="X1839" s="3" t="n">
        <v>33.726123</v>
      </c>
      <c r="Y1839" s="3" t="n">
        <v>34.306909</v>
      </c>
      <c r="Z1839" s="3" t="n">
        <v>35.052241</v>
      </c>
      <c r="AA1839" s="3" t="n">
        <v>35.938909</v>
      </c>
      <c r="AB1839" s="3" t="n">
        <v>36.199303</v>
      </c>
      <c r="AC1839" s="3" t="n">
        <v>35.834218</v>
      </c>
      <c r="AD1839" s="3" t="n">
        <v>36.523737</v>
      </c>
      <c r="AE1839" s="3" t="n">
        <v>38.132676</v>
      </c>
      <c r="AF1839" s="3" t="n">
        <v>39.008543</v>
      </c>
      <c r="AG1839" s="3" t="n">
        <v>39.902678</v>
      </c>
      <c r="AH1839" s="3" t="n">
        <v>39.675464</v>
      </c>
      <c r="AI1839" s="3" t="n">
        <v>38.998032</v>
      </c>
      <c r="AJ1839" s="3" t="n">
        <v>39.028673</v>
      </c>
      <c r="AK1839" s="3" t="n">
        <v>38.906577</v>
      </c>
      <c r="AL1839" s="3" t="n">
        <v>38.980568</v>
      </c>
      <c r="AM1839" s="3" t="n"/>
      <c r="AN1839" s="3" t="n"/>
      <c r="AO1839" s="3" t="n"/>
      <c r="AP1839" s="3" t="n"/>
      <c r="AQ1839" s="3" t="n"/>
      <c r="AR1839" s="3" t="n"/>
      <c r="AS1839" s="3" t="n"/>
      <c r="AT1839" s="3" t="n"/>
      <c r="AU1839" s="3" t="n"/>
    </row>
    <row r="1840">
      <c r="A1840" s="3" t="n">
        <v>2031</v>
      </c>
      <c r="B1840" s="3" t="inlineStr">
        <is>
          <t>LTU</t>
        </is>
      </c>
      <c r="C1840" s="3" t="inlineStr">
        <is>
          <t>IMF.RES:WEO</t>
        </is>
      </c>
      <c r="D1840" s="3" t="inlineStr">
        <is>
          <t>LTU.GGX_NGDP.A</t>
        </is>
      </c>
      <c r="E1840" s="3" t="inlineStr">
        <is>
          <t>Lithuania, Republic of</t>
        </is>
      </c>
      <c r="F1840" s="3" t="inlineStr">
        <is>
          <t>Expenditure, General government, Percent of GDP</t>
        </is>
      </c>
      <c r="G1840" s="3" t="n">
        <v>38.704095</v>
      </c>
      <c r="H1840" s="3" t="n">
        <v>36.494928</v>
      </c>
      <c r="I1840" s="3" t="n">
        <v>34.43797</v>
      </c>
      <c r="J1840" s="3" t="n">
        <v>32.830657</v>
      </c>
      <c r="K1840" s="3" t="n">
        <v>33.94063</v>
      </c>
      <c r="L1840" s="3" t="n">
        <v>34.111608</v>
      </c>
      <c r="M1840" s="3" t="n">
        <v>34.420752</v>
      </c>
      <c r="N1840" s="3" t="n">
        <v>35.291036</v>
      </c>
      <c r="O1840" s="3" t="n">
        <v>38.153283</v>
      </c>
      <c r="P1840" s="3" t="n">
        <v>44.812735</v>
      </c>
      <c r="Q1840" s="3" t="n">
        <v>43.034221</v>
      </c>
      <c r="R1840" s="3" t="n">
        <v>40.102764</v>
      </c>
      <c r="S1840" s="3" t="n">
        <v>36.602109</v>
      </c>
      <c r="T1840" s="3" t="n">
        <v>35.733435</v>
      </c>
      <c r="U1840" s="3" t="n">
        <v>35.003419</v>
      </c>
      <c r="V1840" s="3" t="n">
        <v>35.198113</v>
      </c>
      <c r="W1840" s="3" t="n">
        <v>34.47208</v>
      </c>
      <c r="X1840" s="3" t="n">
        <v>33.366131</v>
      </c>
      <c r="Y1840" s="3" t="n">
        <v>33.784434</v>
      </c>
      <c r="Z1840" s="3" t="n">
        <v>34.640402</v>
      </c>
      <c r="AA1840" s="3" t="n">
        <v>42.356898</v>
      </c>
      <c r="AB1840" s="3" t="n">
        <v>37.349619</v>
      </c>
      <c r="AC1840" s="3" t="n">
        <v>36.552384</v>
      </c>
      <c r="AD1840" s="3" t="n">
        <v>37.187282</v>
      </c>
      <c r="AE1840" s="3" t="n">
        <v>39.413821</v>
      </c>
      <c r="AF1840" s="3" t="n">
        <v>41.193344</v>
      </c>
      <c r="AG1840" s="3" t="n">
        <v>42.735176</v>
      </c>
      <c r="AH1840" s="3" t="n">
        <v>42.707836</v>
      </c>
      <c r="AI1840" s="3" t="n">
        <v>42.311466</v>
      </c>
      <c r="AJ1840" s="3" t="n">
        <v>42.84531</v>
      </c>
      <c r="AK1840" s="3" t="n">
        <v>43.2457</v>
      </c>
      <c r="AL1840" s="3" t="n">
        <v>43.290342</v>
      </c>
      <c r="AM1840" s="3" t="n"/>
      <c r="AN1840" s="3" t="n"/>
      <c r="AO1840" s="3" t="n"/>
      <c r="AP1840" s="3" t="n"/>
      <c r="AQ1840" s="3" t="n"/>
      <c r="AR1840" s="3" t="n"/>
      <c r="AS1840" s="3" t="n"/>
      <c r="AT1840" s="3" t="n"/>
      <c r="AU1840" s="3" t="n"/>
    </row>
    <row r="1841">
      <c r="A1841" s="3" t="n">
        <v>2027</v>
      </c>
      <c r="B1841" s="3" t="inlineStr">
        <is>
          <t>LTU</t>
        </is>
      </c>
      <c r="C1841" s="3" t="inlineStr">
        <is>
          <t>IMF.RES:WEO</t>
        </is>
      </c>
      <c r="D1841" s="3" t="inlineStr">
        <is>
          <t>LTU.LE.A</t>
        </is>
      </c>
      <c r="E1841" s="3" t="inlineStr">
        <is>
          <t>Lithuania, Republic of</t>
        </is>
      </c>
      <c r="F1841" s="3" t="inlineStr">
        <is>
          <t>Employed persons, Persons for countries / Index for country groups</t>
        </is>
      </c>
      <c r="G1841" s="3" t="n">
        <v>1.3978</v>
      </c>
      <c r="H1841" s="3" t="n">
        <v>1.3518</v>
      </c>
      <c r="I1841" s="3" t="n">
        <v>1.40095</v>
      </c>
      <c r="J1841" s="3" t="n">
        <v>1.432575</v>
      </c>
      <c r="K1841" s="3" t="n">
        <v>1.420325</v>
      </c>
      <c r="L1841" s="3" t="n">
        <v>1.43445</v>
      </c>
      <c r="M1841" s="3" t="n">
        <v>1.42895</v>
      </c>
      <c r="N1841" s="3" t="n">
        <v>1.451575</v>
      </c>
      <c r="O1841" s="3" t="n">
        <v>1.4271</v>
      </c>
      <c r="P1841" s="3" t="n">
        <v>1.3174</v>
      </c>
      <c r="Q1841" s="3" t="n">
        <v>1.24765</v>
      </c>
      <c r="R1841" s="3" t="n">
        <v>1.253625</v>
      </c>
      <c r="S1841" s="3" t="n">
        <v>1.275725</v>
      </c>
      <c r="T1841" s="3" t="n">
        <v>1.292775</v>
      </c>
      <c r="U1841" s="3" t="n">
        <v>1.319025</v>
      </c>
      <c r="V1841" s="3" t="n">
        <v>1.334925</v>
      </c>
      <c r="W1841" s="3" t="n">
        <v>1.3614</v>
      </c>
      <c r="X1841" s="3" t="n">
        <v>1.3548</v>
      </c>
      <c r="Y1841" s="3" t="n">
        <v>1.374725</v>
      </c>
      <c r="Z1841" s="3" t="n">
        <v>1.378425</v>
      </c>
      <c r="AA1841" s="3" t="n">
        <v>1.35815</v>
      </c>
      <c r="AB1841" s="3" t="n">
        <v>1.368625</v>
      </c>
      <c r="AC1841" s="3" t="n">
        <v>1.420825</v>
      </c>
      <c r="AD1841" s="3" t="n">
        <v>1.4411</v>
      </c>
      <c r="AE1841" s="3" t="n">
        <v>1.463725</v>
      </c>
      <c r="AF1841" s="3" t="n">
        <v>1.4628</v>
      </c>
      <c r="AG1841" s="3" t="n">
        <v>1.461763</v>
      </c>
      <c r="AH1841" s="3" t="n">
        <v>1.460785</v>
      </c>
      <c r="AI1841" s="3" t="n"/>
      <c r="AJ1841" s="3" t="n"/>
      <c r="AK1841" s="3" t="n"/>
      <c r="AL1841" s="3" t="n"/>
      <c r="AM1841" s="3" t="n"/>
      <c r="AN1841" s="3" t="n"/>
      <c r="AO1841" s="3" t="n"/>
      <c r="AP1841" s="3" t="n"/>
      <c r="AQ1841" s="3" t="n"/>
      <c r="AR1841" s="3" t="n"/>
      <c r="AS1841" s="3" t="n"/>
      <c r="AT1841" s="3" t="n"/>
      <c r="AU1841" s="3" t="n"/>
    </row>
    <row r="1842">
      <c r="A1842" s="3" t="n">
        <v>2031</v>
      </c>
      <c r="B1842" s="3" t="inlineStr">
        <is>
          <t>LTU</t>
        </is>
      </c>
      <c r="C1842" s="3" t="inlineStr">
        <is>
          <t>IMF.RES:WEO</t>
        </is>
      </c>
      <c r="D1842" s="3" t="inlineStr">
        <is>
          <t>LTU.LP.A</t>
        </is>
      </c>
      <c r="E1842" s="3" t="inlineStr">
        <is>
          <t>Lithuania, Republic of</t>
        </is>
      </c>
      <c r="F1842" s="3" t="inlineStr">
        <is>
          <t>Population, Persons for countries / Index for country groups</t>
        </is>
      </c>
      <c r="G1842" s="3" t="n">
        <v>3.49954</v>
      </c>
      <c r="H1842" s="3" t="n">
        <v>3.47082</v>
      </c>
      <c r="I1842" s="3" t="n">
        <v>3.44307</v>
      </c>
      <c r="J1842" s="3" t="n">
        <v>3.41521</v>
      </c>
      <c r="K1842" s="3" t="n">
        <v>3.37708</v>
      </c>
      <c r="L1842" s="3" t="n">
        <v>3.32253</v>
      </c>
      <c r="M1842" s="3" t="n">
        <v>3.269909</v>
      </c>
      <c r="N1842" s="3" t="n">
        <v>3.231294</v>
      </c>
      <c r="O1842" s="3" t="n">
        <v>3.198231</v>
      </c>
      <c r="P1842" s="3" t="n">
        <v>3.162916</v>
      </c>
      <c r="Q1842" s="3" t="n">
        <v>3.097282</v>
      </c>
      <c r="R1842" s="3" t="n">
        <v>3.028115</v>
      </c>
      <c r="S1842" s="3" t="n">
        <v>2.989139</v>
      </c>
      <c r="T1842" s="3" t="n">
        <v>2.96125</v>
      </c>
      <c r="U1842" s="3" t="n">
        <v>2.937253</v>
      </c>
      <c r="V1842" s="3" t="n">
        <v>2.911109</v>
      </c>
      <c r="W1842" s="3" t="n">
        <v>2.877325</v>
      </c>
      <c r="X1842" s="3" t="n">
        <v>2.842639</v>
      </c>
      <c r="Y1842" s="3" t="n">
        <v>2.8192</v>
      </c>
      <c r="Z1842" s="3" t="n">
        <v>2.811089</v>
      </c>
      <c r="AA1842" s="3" t="n">
        <v>2.810369</v>
      </c>
      <c r="AB1842" s="3" t="n">
        <v>2.80838</v>
      </c>
      <c r="AC1842" s="3" t="n">
        <v>2.831639</v>
      </c>
      <c r="AD1842" s="3" t="n">
        <v>2.871585</v>
      </c>
      <c r="AE1842" s="3" t="n">
        <v>2.888055</v>
      </c>
      <c r="AF1842" s="3" t="n">
        <v>2.890664</v>
      </c>
      <c r="AG1842" s="3" t="n">
        <v>2.898023</v>
      </c>
      <c r="AH1842" s="3" t="n">
        <v>2.899913</v>
      </c>
      <c r="AI1842" s="3" t="n">
        <v>2.89604</v>
      </c>
      <c r="AJ1842" s="3" t="n">
        <v>2.886678</v>
      </c>
      <c r="AK1842" s="3" t="n">
        <v>2.877376</v>
      </c>
      <c r="AL1842" s="3" t="n">
        <v>2.867839</v>
      </c>
      <c r="AM1842" s="3" t="n"/>
      <c r="AN1842" s="3" t="n"/>
      <c r="AO1842" s="3" t="n"/>
      <c r="AP1842" s="3" t="n"/>
      <c r="AQ1842" s="3" t="n"/>
      <c r="AR1842" s="3" t="n"/>
      <c r="AS1842" s="3" t="n"/>
      <c r="AT1842" s="3" t="n"/>
      <c r="AU1842" s="3" t="n"/>
    </row>
    <row r="1843">
      <c r="A1843" s="3" t="n">
        <v>2031</v>
      </c>
      <c r="B1843" s="3" t="inlineStr">
        <is>
          <t>LTU</t>
        </is>
      </c>
      <c r="C1843" s="3" t="inlineStr">
        <is>
          <t>IMF.RES:WEO</t>
        </is>
      </c>
      <c r="D1843" s="3" t="inlineStr">
        <is>
          <t>LTU.NGDP.A</t>
        </is>
      </c>
      <c r="E1843" s="3" t="inlineStr">
        <is>
          <t>Lithuania, Republic of</t>
        </is>
      </c>
      <c r="F1843" s="3" t="inlineStr">
        <is>
          <t>Gross domestic product (GDP), Current prices, Domestic currency</t>
        </is>
      </c>
      <c r="G1843" s="3" t="n">
        <v>13.3699</v>
      </c>
      <c r="H1843" s="3" t="n">
        <v>14.2024</v>
      </c>
      <c r="I1843" s="3" t="n">
        <v>15.2099</v>
      </c>
      <c r="J1843" s="3" t="n">
        <v>16.6668</v>
      </c>
      <c r="K1843" s="3" t="n">
        <v>18.2887</v>
      </c>
      <c r="L1843" s="3" t="n">
        <v>20.9823</v>
      </c>
      <c r="M1843" s="3" t="n">
        <v>24.0018</v>
      </c>
      <c r="N1843" s="3" t="n">
        <v>29.0119</v>
      </c>
      <c r="O1843" s="3" t="n">
        <v>32.6428</v>
      </c>
      <c r="P1843" s="3" t="n">
        <v>26.9805</v>
      </c>
      <c r="Q1843" s="3" t="n">
        <v>27.6552</v>
      </c>
      <c r="R1843" s="3" t="n">
        <v>31.042</v>
      </c>
      <c r="S1843" s="3" t="n">
        <v>33.2418</v>
      </c>
      <c r="T1843" s="3" t="n">
        <v>34.8763</v>
      </c>
      <c r="U1843" s="3" t="n">
        <v>36.4133</v>
      </c>
      <c r="V1843" s="3" t="n">
        <v>37.4432</v>
      </c>
      <c r="W1843" s="3" t="n">
        <v>38.8146</v>
      </c>
      <c r="X1843" s="3" t="n">
        <v>42.2788</v>
      </c>
      <c r="Y1843" s="3" t="n">
        <v>45.9543</v>
      </c>
      <c r="Z1843" s="3" t="n">
        <v>49.2425</v>
      </c>
      <c r="AA1843" s="3" t="n">
        <v>50.2525</v>
      </c>
      <c r="AB1843" s="3" t="n">
        <v>56.6975</v>
      </c>
      <c r="AC1843" s="3" t="n">
        <v>67.0736</v>
      </c>
      <c r="AD1843" s="3" t="n">
        <v>74.32810000000001</v>
      </c>
      <c r="AE1843" s="3" t="n">
        <v>78.9997</v>
      </c>
      <c r="AF1843" s="3" t="n">
        <v>84.0548</v>
      </c>
      <c r="AG1843" s="3" t="n">
        <v>89.81144399999999</v>
      </c>
      <c r="AH1843" s="3" t="n">
        <v>93.882059</v>
      </c>
      <c r="AI1843" s="3" t="n">
        <v>99.361429</v>
      </c>
      <c r="AJ1843" s="3" t="n">
        <v>104.121996</v>
      </c>
      <c r="AK1843" s="3" t="n">
        <v>109.668167</v>
      </c>
      <c r="AL1843" s="3" t="n">
        <v>114.86573</v>
      </c>
      <c r="AM1843" s="3" t="n"/>
      <c r="AN1843" s="3" t="n"/>
      <c r="AO1843" s="3" t="n"/>
      <c r="AP1843" s="3" t="n"/>
      <c r="AQ1843" s="3" t="n"/>
      <c r="AR1843" s="3" t="n"/>
      <c r="AS1843" s="3" t="n"/>
      <c r="AT1843" s="3" t="n"/>
      <c r="AU1843" s="3" t="n"/>
    </row>
    <row r="1844">
      <c r="A1844" s="3" t="n">
        <v>2031</v>
      </c>
      <c r="B1844" s="3" t="inlineStr">
        <is>
          <t>LTU</t>
        </is>
      </c>
      <c r="C1844" s="3" t="inlineStr">
        <is>
          <t>IMF.RES:WEO</t>
        </is>
      </c>
      <c r="D1844" s="3" t="inlineStr">
        <is>
          <t>LTU.NGDP_D.A</t>
        </is>
      </c>
      <c r="E1844" s="3" t="inlineStr">
        <is>
          <t>Lithuania, Republic of</t>
        </is>
      </c>
      <c r="F1844" s="3" t="inlineStr">
        <is>
          <t>Gross domestic product (GDP), Price deflator, Index</t>
        </is>
      </c>
      <c r="G1844" s="3" t="n">
        <v>55.043722</v>
      </c>
      <c r="H1844" s="3" t="n">
        <v>54.82917</v>
      </c>
      <c r="I1844" s="3" t="n">
        <v>55.112327</v>
      </c>
      <c r="J1844" s="3" t="n">
        <v>54.637185</v>
      </c>
      <c r="K1844" s="3" t="n">
        <v>56.396301</v>
      </c>
      <c r="L1844" s="3" t="n">
        <v>59.810497</v>
      </c>
      <c r="M1844" s="3" t="n">
        <v>63.758268</v>
      </c>
      <c r="N1844" s="3" t="n">
        <v>69.36994900000001</v>
      </c>
      <c r="O1844" s="3" t="n">
        <v>76.378688</v>
      </c>
      <c r="P1844" s="3" t="n">
        <v>73.84250299999999</v>
      </c>
      <c r="Q1844" s="3" t="n">
        <v>75.475488</v>
      </c>
      <c r="R1844" s="3" t="n">
        <v>79.67209200000001</v>
      </c>
      <c r="S1844" s="3" t="n">
        <v>81.74105900000001</v>
      </c>
      <c r="T1844" s="3" t="n">
        <v>82.399429</v>
      </c>
      <c r="U1844" s="3" t="n">
        <v>82.906543</v>
      </c>
      <c r="V1844" s="3" t="n">
        <v>82.893406</v>
      </c>
      <c r="W1844" s="3" t="n">
        <v>83.740407</v>
      </c>
      <c r="X1844" s="3" t="n">
        <v>87.116562</v>
      </c>
      <c r="Y1844" s="3" t="n">
        <v>90.325199</v>
      </c>
      <c r="Z1844" s="3" t="n">
        <v>92.423497</v>
      </c>
      <c r="AA1844" s="3" t="n">
        <v>94.274051</v>
      </c>
      <c r="AB1844" s="3" t="n">
        <v>99.98959499999999</v>
      </c>
      <c r="AC1844" s="3" t="n">
        <v>115.46636</v>
      </c>
      <c r="AD1844" s="3" t="n">
        <v>126.907113</v>
      </c>
      <c r="AE1844" s="3" t="n">
        <v>130.976358</v>
      </c>
      <c r="AF1844" s="3" t="n">
        <v>135.48463</v>
      </c>
      <c r="AG1844" s="3" t="n">
        <v>140.666865</v>
      </c>
      <c r="AH1844" s="3" t="n">
        <v>143.837237</v>
      </c>
      <c r="AI1844" s="3" t="n">
        <v>148.313304</v>
      </c>
      <c r="AJ1844" s="3" t="n">
        <v>151.666806</v>
      </c>
      <c r="AK1844" s="3" t="n">
        <v>155.934699</v>
      </c>
      <c r="AL1844" s="3" t="n">
        <v>159.491919</v>
      </c>
      <c r="AM1844" s="3" t="n"/>
      <c r="AN1844" s="3" t="n"/>
      <c r="AO1844" s="3" t="n"/>
      <c r="AP1844" s="3" t="n"/>
      <c r="AQ1844" s="3" t="n"/>
      <c r="AR1844" s="3" t="n"/>
      <c r="AS1844" s="3" t="n"/>
      <c r="AT1844" s="3" t="n"/>
      <c r="AU1844" s="3" t="n"/>
    </row>
    <row r="1845">
      <c r="A1845" s="3" t="n">
        <v>2031</v>
      </c>
      <c r="B1845" s="3" t="inlineStr">
        <is>
          <t>LTU</t>
        </is>
      </c>
      <c r="C1845" s="3" t="inlineStr">
        <is>
          <t>IMF.RES:WEO</t>
        </is>
      </c>
      <c r="D1845" s="3" t="inlineStr">
        <is>
          <t>LTU.NGDP_R.A</t>
        </is>
      </c>
      <c r="E1845" s="3" t="inlineStr">
        <is>
          <t>Lithuania, Republic of</t>
        </is>
      </c>
      <c r="F1845" s="3" t="inlineStr">
        <is>
          <t>Gross domestic product (GDP), Constant prices, Domestic currency</t>
        </is>
      </c>
      <c r="G1845" s="3" t="n">
        <v>24.2896</v>
      </c>
      <c r="H1845" s="3" t="n">
        <v>25.903</v>
      </c>
      <c r="I1845" s="3" t="n">
        <v>27.598</v>
      </c>
      <c r="J1845" s="3" t="n">
        <v>30.5045</v>
      </c>
      <c r="K1845" s="3" t="n">
        <v>32.4289</v>
      </c>
      <c r="L1845" s="3" t="n">
        <v>35.0813</v>
      </c>
      <c r="M1845" s="3" t="n">
        <v>37.645</v>
      </c>
      <c r="N1845" s="3" t="n">
        <v>41.822</v>
      </c>
      <c r="O1845" s="3" t="n">
        <v>42.7381</v>
      </c>
      <c r="P1845" s="3" t="n">
        <v>36.5379</v>
      </c>
      <c r="Q1845" s="3" t="n">
        <v>36.6413</v>
      </c>
      <c r="R1845" s="3" t="n">
        <v>38.9622</v>
      </c>
      <c r="S1845" s="3" t="n">
        <v>40.6672</v>
      </c>
      <c r="T1845" s="3" t="n">
        <v>42.3259</v>
      </c>
      <c r="U1845" s="3" t="n">
        <v>43.9209</v>
      </c>
      <c r="V1845" s="3" t="n">
        <v>45.1703</v>
      </c>
      <c r="W1845" s="3" t="n">
        <v>46.3511</v>
      </c>
      <c r="X1845" s="3" t="n">
        <v>48.5313</v>
      </c>
      <c r="Y1845" s="3" t="n">
        <v>50.8765</v>
      </c>
      <c r="Z1845" s="3" t="n">
        <v>53.2792</v>
      </c>
      <c r="AA1845" s="3" t="n">
        <v>53.3047</v>
      </c>
      <c r="AB1845" s="3" t="n">
        <v>56.7034</v>
      </c>
      <c r="AC1845" s="3" t="n">
        <v>58.0893</v>
      </c>
      <c r="AD1845" s="3" t="n">
        <v>58.5689</v>
      </c>
      <c r="AE1845" s="3" t="n">
        <v>60.316</v>
      </c>
      <c r="AF1845" s="3" t="n">
        <v>62.0401</v>
      </c>
      <c r="AG1845" s="3" t="n">
        <v>63.846908</v>
      </c>
      <c r="AH1845" s="3" t="n">
        <v>65.269649</v>
      </c>
      <c r="AI1845" s="3" t="n">
        <v>66.99428</v>
      </c>
      <c r="AJ1845" s="3" t="n">
        <v>68.651803</v>
      </c>
      <c r="AK1845" s="3" t="n">
        <v>70.32954700000001</v>
      </c>
      <c r="AL1845" s="3" t="n">
        <v>72.01978099999999</v>
      </c>
      <c r="AM1845" s="3" t="n"/>
      <c r="AN1845" s="3" t="n"/>
      <c r="AO1845" s="3" t="n"/>
      <c r="AP1845" s="3" t="n"/>
      <c r="AQ1845" s="3" t="n"/>
      <c r="AR1845" s="3" t="n"/>
      <c r="AS1845" s="3" t="n"/>
      <c r="AT1845" s="3" t="n"/>
      <c r="AU1845" s="3" t="n"/>
    </row>
    <row r="1846">
      <c r="A1846" s="3" t="n">
        <v>2031</v>
      </c>
      <c r="B1846" s="3" t="inlineStr">
        <is>
          <t>LTU</t>
        </is>
      </c>
      <c r="C1846" s="3" t="inlineStr">
        <is>
          <t>IMF.RES:WEO</t>
        </is>
      </c>
      <c r="D1846" s="3" t="inlineStr">
        <is>
          <t>LTU.NGDP_RPCH.A</t>
        </is>
      </c>
      <c r="E1846" s="3" t="inlineStr">
        <is>
          <t>Lithuania, Republic of</t>
        </is>
      </c>
      <c r="F1846" s="3" t="inlineStr">
        <is>
          <t>Gross domestic product (GDP), Constant prices, Percent change</t>
        </is>
      </c>
      <c r="G1846" s="3" t="n">
        <v>3.344169</v>
      </c>
      <c r="H1846" s="3" t="n">
        <v>6.642349</v>
      </c>
      <c r="I1846" s="3" t="n">
        <v>6.543644</v>
      </c>
      <c r="J1846" s="3" t="n">
        <v>10.53156</v>
      </c>
      <c r="K1846" s="3" t="n">
        <v>6.308577</v>
      </c>
      <c r="L1846" s="3" t="n">
        <v>8.179124</v>
      </c>
      <c r="M1846" s="3" t="n">
        <v>7.307882</v>
      </c>
      <c r="N1846" s="3" t="n">
        <v>11.095763</v>
      </c>
      <c r="O1846" s="3" t="n">
        <v>2.190474</v>
      </c>
      <c r="P1846" s="3" t="n">
        <v>-14.50743</v>
      </c>
      <c r="Q1846" s="3" t="n">
        <v>0.282994</v>
      </c>
      <c r="R1846" s="3" t="n">
        <v>6.334109</v>
      </c>
      <c r="S1846" s="3" t="n">
        <v>4.376036</v>
      </c>
      <c r="T1846" s="3" t="n">
        <v>4.078717</v>
      </c>
      <c r="U1846" s="3" t="n">
        <v>3.768378</v>
      </c>
      <c r="V1846" s="3" t="n">
        <v>2.844659</v>
      </c>
      <c r="W1846" s="3" t="n">
        <v>2.614107</v>
      </c>
      <c r="X1846" s="3" t="n">
        <v>4.703664</v>
      </c>
      <c r="Y1846" s="3" t="n">
        <v>4.832345</v>
      </c>
      <c r="Z1846" s="3" t="n">
        <v>4.722613</v>
      </c>
      <c r="AA1846" s="3" t="n">
        <v>0.047861</v>
      </c>
      <c r="AB1846" s="3" t="n">
        <v>6.375986</v>
      </c>
      <c r="AC1846" s="3" t="n">
        <v>2.444122</v>
      </c>
      <c r="AD1846" s="3" t="n">
        <v>0.8256250000000001</v>
      </c>
      <c r="AE1846" s="3" t="n">
        <v>2.982982</v>
      </c>
      <c r="AF1846" s="3" t="n">
        <v>2.858446</v>
      </c>
      <c r="AG1846" s="3" t="n">
        <v>2.912323</v>
      </c>
      <c r="AH1846" s="3" t="n">
        <v>2.228362</v>
      </c>
      <c r="AI1846" s="3" t="n">
        <v>2.642317</v>
      </c>
      <c r="AJ1846" s="3" t="n">
        <v>2.474126</v>
      </c>
      <c r="AK1846" s="3" t="n">
        <v>2.443846</v>
      </c>
      <c r="AL1846" s="3" t="n">
        <v>2.403305</v>
      </c>
      <c r="AM1846" s="3" t="n"/>
      <c r="AN1846" s="3" t="n"/>
      <c r="AO1846" s="3" t="n"/>
      <c r="AP1846" s="3" t="n"/>
      <c r="AQ1846" s="3" t="n"/>
      <c r="AR1846" s="3" t="n"/>
      <c r="AS1846" s="3" t="n"/>
      <c r="AT1846" s="3" t="n"/>
      <c r="AU1846" s="3" t="n"/>
    </row>
    <row r="1847">
      <c r="A1847" s="3" t="n">
        <v>2031</v>
      </c>
      <c r="B1847" s="3" t="inlineStr">
        <is>
          <t>LTU</t>
        </is>
      </c>
      <c r="C1847" s="3" t="inlineStr">
        <is>
          <t>IMF.RES:WEO</t>
        </is>
      </c>
      <c r="D1847" s="3" t="inlineStr">
        <is>
          <t>LTU.NGDPD.A</t>
        </is>
      </c>
      <c r="E1847" s="3" t="inlineStr">
        <is>
          <t>Lithuania, Republic of</t>
        </is>
      </c>
      <c r="F1847" s="3" t="inlineStr">
        <is>
          <t>Gross domestic product (GDP), Current prices, US dollar</t>
        </is>
      </c>
      <c r="G1847" s="3" t="n">
        <v>11.540898</v>
      </c>
      <c r="H1847" s="3" t="n">
        <v>12.259512</v>
      </c>
      <c r="I1847" s="3" t="n">
        <v>14.282659</v>
      </c>
      <c r="J1847" s="3" t="n">
        <v>18.800926</v>
      </c>
      <c r="K1847" s="3" t="n">
        <v>22.709995</v>
      </c>
      <c r="L1847" s="3" t="n">
        <v>26.118304</v>
      </c>
      <c r="M1847" s="3" t="n">
        <v>30.138229</v>
      </c>
      <c r="N1847" s="3" t="n">
        <v>39.764858</v>
      </c>
      <c r="O1847" s="3" t="n">
        <v>48.004317</v>
      </c>
      <c r="P1847" s="3" t="n">
        <v>37.591066</v>
      </c>
      <c r="Q1847" s="3" t="n">
        <v>36.692904</v>
      </c>
      <c r="R1847" s="3" t="n">
        <v>43.201471</v>
      </c>
      <c r="S1847" s="3" t="n">
        <v>42.735733</v>
      </c>
      <c r="T1847" s="3" t="n">
        <v>46.320518</v>
      </c>
      <c r="U1847" s="3" t="n">
        <v>48.387565</v>
      </c>
      <c r="V1847" s="3" t="n">
        <v>41.547919</v>
      </c>
      <c r="W1847" s="3" t="n">
        <v>42.952146</v>
      </c>
      <c r="X1847" s="3" t="n">
        <v>47.74471</v>
      </c>
      <c r="Y1847" s="3" t="n">
        <v>54.294548</v>
      </c>
      <c r="Z1847" s="3" t="n">
        <v>55.131807</v>
      </c>
      <c r="AA1847" s="3" t="n">
        <v>57.352267</v>
      </c>
      <c r="AB1847" s="3" t="n">
        <v>67.102999</v>
      </c>
      <c r="AC1847" s="3" t="n">
        <v>70.68732900000001</v>
      </c>
      <c r="AD1847" s="3" t="n">
        <v>80.391823</v>
      </c>
      <c r="AE1847" s="3" t="n">
        <v>85.481987</v>
      </c>
      <c r="AF1847" s="3" t="n">
        <v>94.926658</v>
      </c>
      <c r="AG1847" s="3" t="n">
        <v>105.907348</v>
      </c>
      <c r="AH1847" s="3" t="n">
        <v>110.45265</v>
      </c>
      <c r="AI1847" s="3" t="n">
        <v>116.583119</v>
      </c>
      <c r="AJ1847" s="3" t="n">
        <v>122.104049</v>
      </c>
      <c r="AK1847" s="3" t="n">
        <v>128.587931</v>
      </c>
      <c r="AL1847" s="3" t="n">
        <v>134.659985</v>
      </c>
      <c r="AM1847" s="3" t="n"/>
      <c r="AN1847" s="3" t="n"/>
      <c r="AO1847" s="3" t="n"/>
      <c r="AP1847" s="3" t="n"/>
      <c r="AQ1847" s="3" t="n"/>
      <c r="AR1847" s="3" t="n"/>
      <c r="AS1847" s="3" t="n"/>
      <c r="AT1847" s="3" t="n"/>
      <c r="AU1847" s="3" t="n"/>
    </row>
    <row r="1848">
      <c r="A1848" s="3" t="n">
        <v>2031</v>
      </c>
      <c r="B1848" s="3" t="inlineStr">
        <is>
          <t>LTU</t>
        </is>
      </c>
      <c r="C1848" s="3" t="inlineStr">
        <is>
          <t>IMF.RES:WEO</t>
        </is>
      </c>
      <c r="D1848" s="3" t="inlineStr">
        <is>
          <t>LTU.NGDPPC.A</t>
        </is>
      </c>
      <c r="E1848" s="3" t="inlineStr">
        <is>
          <t>Lithuania, Republic of</t>
        </is>
      </c>
      <c r="F1848" s="3" t="inlineStr">
        <is>
          <t>Gross domestic product (GDP), Current prices, Per capita, Domestic currency</t>
        </is>
      </c>
      <c r="G1848" s="3" t="n">
        <v>3820.473548</v>
      </c>
      <c r="H1848" s="3" t="n">
        <v>4091.943691</v>
      </c>
      <c r="I1848" s="3" t="n">
        <v>4417.54016</v>
      </c>
      <c r="J1848" s="3" t="n">
        <v>4880.168423</v>
      </c>
      <c r="K1848" s="3" t="n">
        <v>5415.536499</v>
      </c>
      <c r="L1848" s="3" t="n">
        <v>6315.157425</v>
      </c>
      <c r="M1848" s="3" t="n">
        <v>7340.204269</v>
      </c>
      <c r="N1848" s="3" t="n">
        <v>8978.415457999999</v>
      </c>
      <c r="O1848" s="3" t="n">
        <v>10206.51729</v>
      </c>
      <c r="P1848" s="3" t="n">
        <v>8530.261316</v>
      </c>
      <c r="Q1848" s="3" t="n">
        <v>8928.860853</v>
      </c>
      <c r="R1848" s="3" t="n">
        <v>10251.261924</v>
      </c>
      <c r="S1848" s="3" t="n">
        <v>11120.861225</v>
      </c>
      <c r="T1848" s="3" t="n">
        <v>11777.560152</v>
      </c>
      <c r="U1848" s="3" t="n">
        <v>12397.059429</v>
      </c>
      <c r="V1848" s="3" t="n">
        <v>12862.177266</v>
      </c>
      <c r="W1848" s="3" t="n">
        <v>13489.821275</v>
      </c>
      <c r="X1848" s="3" t="n">
        <v>14873.080965</v>
      </c>
      <c r="Y1848" s="3" t="n">
        <v>16300.475312</v>
      </c>
      <c r="Z1848" s="3" t="n">
        <v>17517.232645</v>
      </c>
      <c r="AA1848" s="3" t="n">
        <v>17881.103869</v>
      </c>
      <c r="AB1848" s="3" t="n">
        <v>20188.685292</v>
      </c>
      <c r="AC1848" s="3" t="n">
        <v>23687.20024</v>
      </c>
      <c r="AD1848" s="3" t="n">
        <v>25883.997862</v>
      </c>
      <c r="AE1848" s="3" t="n">
        <v>27353.945822</v>
      </c>
      <c r="AF1848" s="3" t="n">
        <v>29078.02498</v>
      </c>
      <c r="AG1848" s="3" t="n">
        <v>30990.587103</v>
      </c>
      <c r="AH1848" s="3" t="n">
        <v>32374.100533</v>
      </c>
      <c r="AI1848" s="3" t="n">
        <v>34309.406783</v>
      </c>
      <c r="AJ1848" s="3" t="n">
        <v>36069.830492</v>
      </c>
      <c r="AK1848" s="3" t="n">
        <v>38113.951517</v>
      </c>
      <c r="AL1848" s="3" t="n">
        <v>40053.056416</v>
      </c>
      <c r="AM1848" s="3" t="n"/>
      <c r="AN1848" s="3" t="n"/>
      <c r="AO1848" s="3" t="n"/>
      <c r="AP1848" s="3" t="n"/>
      <c r="AQ1848" s="3" t="n"/>
      <c r="AR1848" s="3" t="n"/>
      <c r="AS1848" s="3" t="n"/>
      <c r="AT1848" s="3" t="n"/>
      <c r="AU1848" s="3" t="n"/>
    </row>
    <row r="1849">
      <c r="A1849" s="3" t="n">
        <v>2031</v>
      </c>
      <c r="B1849" s="3" t="inlineStr">
        <is>
          <t>LTU</t>
        </is>
      </c>
      <c r="C1849" s="3" t="inlineStr">
        <is>
          <t>IMF.RES:WEO</t>
        </is>
      </c>
      <c r="D1849" s="3" t="inlineStr">
        <is>
          <t>LTU.NGDPRPC.A</t>
        </is>
      </c>
      <c r="E1849" s="3" t="inlineStr">
        <is>
          <t>Lithuania, Republic of</t>
        </is>
      </c>
      <c r="F1849" s="3" t="inlineStr">
        <is>
          <t>Gross domestic product (GDP), Constant prices, Per capita, Domestic currency</t>
        </is>
      </c>
      <c r="G1849" s="3" t="n">
        <v>6940.797933</v>
      </c>
      <c r="H1849" s="3" t="n">
        <v>7463.077889</v>
      </c>
      <c r="I1849" s="3" t="n">
        <v>8015.521032</v>
      </c>
      <c r="J1849" s="3" t="n">
        <v>8931.954404</v>
      </c>
      <c r="K1849" s="3" t="n">
        <v>9602.644888000001</v>
      </c>
      <c r="L1849" s="3" t="n">
        <v>10558.610456</v>
      </c>
      <c r="M1849" s="3" t="n">
        <v>11512.552796</v>
      </c>
      <c r="N1849" s="3" t="n">
        <v>12942.802481</v>
      </c>
      <c r="O1849" s="3" t="n">
        <v>13363.043507</v>
      </c>
      <c r="P1849" s="3" t="n">
        <v>11551.966603</v>
      </c>
      <c r="Q1849" s="3" t="n">
        <v>11830.146561</v>
      </c>
      <c r="R1849" s="3" t="n">
        <v>12866.816485</v>
      </c>
      <c r="S1849" s="3" t="n">
        <v>13604.987925</v>
      </c>
      <c r="T1849" s="3" t="n">
        <v>14293.254538</v>
      </c>
      <c r="U1849" s="3" t="n">
        <v>14953.053074</v>
      </c>
      <c r="V1849" s="3" t="n">
        <v>15516.52652</v>
      </c>
      <c r="W1849" s="3" t="n">
        <v>16109.094385</v>
      </c>
      <c r="X1849" s="3" t="n">
        <v>17072.621603</v>
      </c>
      <c r="Y1849" s="3" t="n">
        <v>18046.431612</v>
      </c>
      <c r="Z1849" s="3" t="n">
        <v>18953.224178</v>
      </c>
      <c r="AA1849" s="3" t="n">
        <v>18967.153424</v>
      </c>
      <c r="AB1849" s="3" t="n">
        <v>20190.786147</v>
      </c>
      <c r="AC1849" s="3" t="n">
        <v>20514.373478</v>
      </c>
      <c r="AD1849" s="3" t="n">
        <v>20396.018227</v>
      </c>
      <c r="AE1849" s="3" t="n">
        <v>20884.643817</v>
      </c>
      <c r="AF1849" s="3" t="n">
        <v>21462.231515</v>
      </c>
      <c r="AG1849" s="3" t="n">
        <v>22031.191942</v>
      </c>
      <c r="AH1849" s="3" t="n">
        <v>22507.454451</v>
      </c>
      <c r="AI1849" s="3" t="n">
        <v>23133.060833</v>
      </c>
      <c r="AJ1849" s="3" t="n">
        <v>23782.28397</v>
      </c>
      <c r="AK1849" s="3" t="n">
        <v>24442.251686</v>
      </c>
      <c r="AL1849" s="3" t="n">
        <v>25112.906509</v>
      </c>
      <c r="AM1849" s="3" t="n"/>
      <c r="AN1849" s="3" t="n"/>
      <c r="AO1849" s="3" t="n"/>
      <c r="AP1849" s="3" t="n"/>
      <c r="AQ1849" s="3" t="n"/>
      <c r="AR1849" s="3" t="n"/>
      <c r="AS1849" s="3" t="n"/>
      <c r="AT1849" s="3" t="n"/>
      <c r="AU1849" s="3" t="n"/>
    </row>
    <row r="1850">
      <c r="A1850" s="3" t="n">
        <v>2031</v>
      </c>
      <c r="B1850" s="3" t="inlineStr">
        <is>
          <t>LTU</t>
        </is>
      </c>
      <c r="C1850" s="3" t="inlineStr">
        <is>
          <t>IMF.RES:WEO</t>
        </is>
      </c>
      <c r="D1850" s="3" t="inlineStr">
        <is>
          <t>LTU.PCPI.A</t>
        </is>
      </c>
      <c r="E1850" s="3" t="inlineStr">
        <is>
          <t>Lithuania, Republic of</t>
        </is>
      </c>
      <c r="F1850" s="3" t="inlineStr">
        <is>
          <t>All Items, Consumer price index (CPI), Period average</t>
        </is>
      </c>
      <c r="G1850" s="3" t="n">
        <v>44.028333</v>
      </c>
      <c r="H1850" s="3" t="n">
        <v>44.709167</v>
      </c>
      <c r="I1850" s="3" t="n">
        <v>44.858333</v>
      </c>
      <c r="J1850" s="3" t="n">
        <v>44.378333</v>
      </c>
      <c r="K1850" s="3" t="n">
        <v>44.89</v>
      </c>
      <c r="L1850" s="3" t="n">
        <v>46.090833</v>
      </c>
      <c r="M1850" s="3" t="n">
        <v>47.82</v>
      </c>
      <c r="N1850" s="3" t="n">
        <v>50.6025</v>
      </c>
      <c r="O1850" s="3" t="n">
        <v>56.215833</v>
      </c>
      <c r="P1850" s="3" t="n">
        <v>58.555</v>
      </c>
      <c r="Q1850" s="3" t="n">
        <v>59.251667</v>
      </c>
      <c r="R1850" s="3" t="n">
        <v>61.695833</v>
      </c>
      <c r="S1850" s="3" t="n">
        <v>63.65</v>
      </c>
      <c r="T1850" s="3" t="n">
        <v>64.3875</v>
      </c>
      <c r="U1850" s="3" t="n">
        <v>64.544167</v>
      </c>
      <c r="V1850" s="3" t="n">
        <v>64.106667</v>
      </c>
      <c r="W1850" s="3" t="n">
        <v>64.541667</v>
      </c>
      <c r="X1850" s="3" t="n">
        <v>66.9425</v>
      </c>
      <c r="Y1850" s="3" t="n">
        <v>68.6375</v>
      </c>
      <c r="Z1850" s="3" t="n">
        <v>70.175</v>
      </c>
      <c r="AA1850" s="3" t="n">
        <v>70.920833</v>
      </c>
      <c r="AB1850" s="3" t="n">
        <v>74.203333</v>
      </c>
      <c r="AC1850" s="3" t="n">
        <v>88.193333</v>
      </c>
      <c r="AD1850" s="3" t="n">
        <v>95.855</v>
      </c>
      <c r="AE1850" s="3" t="n">
        <v>96.671667</v>
      </c>
      <c r="AF1850" s="3" t="n">
        <v>99.999167</v>
      </c>
      <c r="AG1850" s="3" t="n">
        <v>103.964736</v>
      </c>
      <c r="AH1850" s="3" t="n">
        <v>106.737569</v>
      </c>
      <c r="AI1850" s="3" t="n">
        <v>109.600638</v>
      </c>
      <c r="AJ1850" s="3" t="n">
        <v>112.326242</v>
      </c>
      <c r="AK1850" s="3" t="n">
        <v>115.129053</v>
      </c>
      <c r="AL1850" s="3" t="n">
        <v>118.001802</v>
      </c>
      <c r="AM1850" s="3" t="n"/>
      <c r="AN1850" s="3" t="n"/>
      <c r="AO1850" s="3" t="n"/>
      <c r="AP1850" s="3" t="n"/>
      <c r="AQ1850" s="3" t="n"/>
      <c r="AR1850" s="3" t="n"/>
      <c r="AS1850" s="3" t="n"/>
      <c r="AT1850" s="3" t="n"/>
      <c r="AU1850" s="3" t="n"/>
    </row>
    <row r="1851">
      <c r="A1851" s="3" t="n">
        <v>2031</v>
      </c>
      <c r="B1851" s="3" t="inlineStr">
        <is>
          <t>LTU</t>
        </is>
      </c>
      <c r="C1851" s="3" t="inlineStr">
        <is>
          <t>IMF.RES:WEO</t>
        </is>
      </c>
      <c r="D1851" s="3" t="inlineStr">
        <is>
          <t>LTU.PCPIPCH.A</t>
        </is>
      </c>
      <c r="E1851" s="3" t="inlineStr">
        <is>
          <t>Lithuania, Republic of</t>
        </is>
      </c>
      <c r="F1851" s="3" t="inlineStr">
        <is>
          <t>All Items, Consumer price index (CPI), Period average, percent change</t>
        </is>
      </c>
      <c r="G1851" s="3" t="n">
        <v>1.100289</v>
      </c>
      <c r="H1851" s="3" t="n">
        <v>1.546353</v>
      </c>
      <c r="I1851" s="3" t="n">
        <v>0.333638</v>
      </c>
      <c r="J1851" s="3" t="n">
        <v>-1.070035</v>
      </c>
      <c r="K1851" s="3" t="n">
        <v>1.152965</v>
      </c>
      <c r="L1851" s="3" t="n">
        <v>2.675058</v>
      </c>
      <c r="M1851" s="3" t="n">
        <v>3.75165</v>
      </c>
      <c r="N1851" s="3" t="n">
        <v>5.818695</v>
      </c>
      <c r="O1851" s="3" t="n">
        <v>11.092996</v>
      </c>
      <c r="P1851" s="3" t="n">
        <v>4.161046</v>
      </c>
      <c r="Q1851" s="3" t="n">
        <v>1.189765</v>
      </c>
      <c r="R1851" s="3" t="n">
        <v>4.12506</v>
      </c>
      <c r="S1851" s="3" t="n">
        <v>3.167421</v>
      </c>
      <c r="T1851" s="3" t="n">
        <v>1.15868</v>
      </c>
      <c r="U1851" s="3" t="n">
        <v>0.243318</v>
      </c>
      <c r="V1851" s="3" t="n">
        <v>-0.67783</v>
      </c>
      <c r="W1851" s="3" t="n">
        <v>0.678557</v>
      </c>
      <c r="X1851" s="3" t="n">
        <v>3.719819</v>
      </c>
      <c r="Y1851" s="3" t="n">
        <v>2.532024</v>
      </c>
      <c r="Z1851" s="3" t="n">
        <v>2.240029</v>
      </c>
      <c r="AA1851" s="3" t="n">
        <v>1.062819</v>
      </c>
      <c r="AB1851" s="3" t="n">
        <v>4.6284</v>
      </c>
      <c r="AC1851" s="3" t="n">
        <v>18.8536</v>
      </c>
      <c r="AD1851" s="3" t="n">
        <v>8.687353999999999</v>
      </c>
      <c r="AE1851" s="3" t="n">
        <v>0.851981</v>
      </c>
      <c r="AF1851" s="3" t="n">
        <v>3.442063</v>
      </c>
      <c r="AG1851" s="3" t="n">
        <v>3.965602</v>
      </c>
      <c r="AH1851" s="3" t="n">
        <v>2.66709</v>
      </c>
      <c r="AI1851" s="3" t="n">
        <v>2.682344</v>
      </c>
      <c r="AJ1851" s="3" t="n">
        <v>2.48685</v>
      </c>
      <c r="AK1851" s="3" t="n">
        <v>2.495242</v>
      </c>
      <c r="AL1851" s="3" t="n">
        <v>2.495242</v>
      </c>
      <c r="AM1851" s="3" t="n"/>
      <c r="AN1851" s="3" t="n"/>
      <c r="AO1851" s="3" t="n"/>
      <c r="AP1851" s="3" t="n"/>
      <c r="AQ1851" s="3" t="n"/>
      <c r="AR1851" s="3" t="n"/>
      <c r="AS1851" s="3" t="n"/>
      <c r="AT1851" s="3" t="n"/>
      <c r="AU1851" s="3" t="n"/>
    </row>
    <row r="1852">
      <c r="A1852" s="3" t="n">
        <v>2031</v>
      </c>
      <c r="B1852" s="3" t="inlineStr">
        <is>
          <t>LTU</t>
        </is>
      </c>
      <c r="C1852" s="3" t="inlineStr">
        <is>
          <t>IMF.RES:WEO</t>
        </is>
      </c>
      <c r="D1852" s="3" t="inlineStr">
        <is>
          <t>LTU.PPPPC.A</t>
        </is>
      </c>
      <c r="E1852" s="3" t="inlineStr">
        <is>
          <t>Lithuania, Republic of</t>
        </is>
      </c>
      <c r="F1852" s="3" t="inlineStr">
        <is>
          <t>Gross domestic product (GDP), Per capita, purchasing power parity (PPP) international dollar, ICP benchmarks 2017-2021</t>
        </is>
      </c>
      <c r="G1852" s="3" t="n">
        <v>9932.290406</v>
      </c>
      <c r="H1852" s="3" t="n">
        <v>10920.139375</v>
      </c>
      <c r="I1852" s="3" t="n">
        <v>11910.75118</v>
      </c>
      <c r="J1852" s="3" t="n">
        <v>13534.563852</v>
      </c>
      <c r="K1852" s="3" t="n">
        <v>14942.114455</v>
      </c>
      <c r="L1852" s="3" t="n">
        <v>16944.840577</v>
      </c>
      <c r="M1852" s="3" t="n">
        <v>19045.532529</v>
      </c>
      <c r="N1852" s="3" t="n">
        <v>21991.732885</v>
      </c>
      <c r="O1852" s="3" t="n">
        <v>23143.191242</v>
      </c>
      <c r="P1852" s="3" t="n">
        <v>20130.012139</v>
      </c>
      <c r="Q1852" s="3" t="n">
        <v>20865.304348</v>
      </c>
      <c r="R1852" s="3" t="n">
        <v>23161.948528</v>
      </c>
      <c r="S1852" s="3" t="n">
        <v>24946.754642</v>
      </c>
      <c r="T1852" s="3" t="n">
        <v>26654.868073</v>
      </c>
      <c r="U1852" s="3" t="n">
        <v>28370.980006</v>
      </c>
      <c r="V1852" s="3" t="n">
        <v>29713.298594</v>
      </c>
      <c r="W1852" s="3" t="n">
        <v>31141.158893</v>
      </c>
      <c r="X1852" s="3" t="n">
        <v>33594.854851</v>
      </c>
      <c r="Y1852" s="3" t="n">
        <v>36497.425372</v>
      </c>
      <c r="Z1852" s="3" t="n">
        <v>40566.564027</v>
      </c>
      <c r="AA1852" s="3" t="n">
        <v>41252.753932</v>
      </c>
      <c r="AB1852" s="3" t="n">
        <v>46465.219108</v>
      </c>
      <c r="AC1852" s="3" t="n">
        <v>50567.656316</v>
      </c>
      <c r="AD1852" s="3" t="n">
        <v>52136.137732</v>
      </c>
      <c r="AE1852" s="3" t="n">
        <v>54710.469017</v>
      </c>
      <c r="AF1852" s="3" t="n">
        <v>57818.477723</v>
      </c>
      <c r="AG1852" s="3" t="n">
        <v>61051.560984</v>
      </c>
      <c r="AH1852" s="3" t="n">
        <v>63740.965807</v>
      </c>
      <c r="AI1852" s="3" t="n">
        <v>66587.997946</v>
      </c>
      <c r="AJ1852" s="3" t="n">
        <v>69674.007938</v>
      </c>
      <c r="AK1852" s="3" t="n">
        <v>72923.295837</v>
      </c>
      <c r="AL1852" s="3" t="n">
        <v>76276.79780099999</v>
      </c>
      <c r="AM1852" s="3" t="n"/>
      <c r="AN1852" s="3" t="n"/>
      <c r="AO1852" s="3" t="n"/>
      <c r="AP1852" s="3" t="n"/>
      <c r="AQ1852" s="3" t="n"/>
      <c r="AR1852" s="3" t="n"/>
      <c r="AS1852" s="3" t="n"/>
      <c r="AT1852" s="3" t="n"/>
      <c r="AU1852" s="3" t="n"/>
    </row>
    <row r="1853">
      <c r="A1853" s="3" t="n">
        <v>2014</v>
      </c>
      <c r="B1853" s="3" t="inlineStr">
        <is>
          <t>LTU</t>
        </is>
      </c>
      <c r="C1853" s="3" t="inlineStr">
        <is>
          <t>IMF.STA:ER</t>
        </is>
      </c>
      <c r="D1853" s="3" t="inlineStr">
        <is>
          <t>LTU.XDC_USD.PA_RT.A</t>
        </is>
      </c>
      <c r="E1853" s="3" t="inlineStr">
        <is>
          <t>Lithuania, Republic of</t>
        </is>
      </c>
      <c r="F1853" s="3" t="inlineStr">
        <is>
          <t>Domestic currency per US Dollar</t>
        </is>
      </c>
      <c r="G1853" s="3" t="n">
        <v>4</v>
      </c>
      <c r="H1853" s="3" t="n">
        <v>4</v>
      </c>
      <c r="I1853" s="3" t="n">
        <v>3.67695833333333</v>
      </c>
      <c r="J1853" s="3" t="n">
        <v>3.06086666666667</v>
      </c>
      <c r="K1853" s="3" t="n">
        <v>2.78059166666667</v>
      </c>
      <c r="L1853" s="3" t="n">
        <v>2.774025</v>
      </c>
      <c r="M1853" s="3" t="n">
        <v>2.752225</v>
      </c>
      <c r="N1853" s="3" t="n">
        <v>2.523725</v>
      </c>
      <c r="O1853" s="3" t="n">
        <v>2.357075</v>
      </c>
      <c r="P1853" s="3" t="n">
        <v>2.48403333333333</v>
      </c>
      <c r="Q1853" s="3" t="n">
        <v>2.60633333333333</v>
      </c>
      <c r="R1853" s="3" t="n">
        <v>2.4811</v>
      </c>
      <c r="S1853" s="3" t="n">
        <v>2.68629166666667</v>
      </c>
      <c r="T1853" s="3" t="n">
        <v>2.60100833333333</v>
      </c>
      <c r="U1853" s="3" t="n">
        <v>2.60029166666667</v>
      </c>
      <c r="V1853" s="3" t="n"/>
      <c r="W1853" s="3" t="n"/>
      <c r="X1853" s="3" t="n"/>
      <c r="Y1853" s="3" t="n"/>
      <c r="Z1853" s="3" t="n"/>
      <c r="AA1853" s="3" t="n"/>
      <c r="AB1853" s="3" t="n"/>
      <c r="AC1853" s="3" t="n"/>
      <c r="AD1853" s="3" t="n"/>
      <c r="AE1853" s="3" t="n"/>
      <c r="AF1853" s="3" t="n"/>
      <c r="AG1853" s="3" t="n"/>
      <c r="AH1853" s="3" t="n"/>
      <c r="AI1853" s="3" t="n"/>
      <c r="AJ1853" s="3" t="n"/>
      <c r="AK1853" s="3" t="n"/>
      <c r="AL1853" s="3" t="n"/>
      <c r="AM1853" s="3" t="n"/>
      <c r="AN1853" s="3" t="n"/>
      <c r="AO1853" s="3" t="n"/>
      <c r="AP1853" s="3" t="n"/>
      <c r="AQ1853" s="3" t="n"/>
      <c r="AR1853" s="3" t="n"/>
      <c r="AS1853" s="3" t="n"/>
      <c r="AT1853" s="3" t="n"/>
      <c r="AU1853" s="3" t="n"/>
    </row>
    <row r="1854">
      <c r="A1854" s="3" t="n">
        <v>2031</v>
      </c>
      <c r="B1854" s="3" t="inlineStr">
        <is>
          <t>LUX</t>
        </is>
      </c>
      <c r="C1854" s="3" t="inlineStr">
        <is>
          <t>IMF.RES:WEO</t>
        </is>
      </c>
      <c r="D1854" s="3" t="inlineStr">
        <is>
          <t>LUX.BCA.A</t>
        </is>
      </c>
      <c r="E1854" s="3" t="inlineStr">
        <is>
          <t>Luxembourg</t>
        </is>
      </c>
      <c r="F1854" s="3" t="inlineStr">
        <is>
          <t>Current account balance (credit less debit), US dollar</t>
        </is>
      </c>
      <c r="G1854" s="3" t="n">
        <v>2.687678</v>
      </c>
      <c r="H1854" s="3" t="n">
        <v>1.769875</v>
      </c>
      <c r="I1854" s="3" t="n">
        <v>1.798155</v>
      </c>
      <c r="J1854" s="3" t="n">
        <v>2.119264</v>
      </c>
      <c r="K1854" s="3" t="n">
        <v>2.479215</v>
      </c>
      <c r="L1854" s="3" t="n">
        <v>2.615278</v>
      </c>
      <c r="M1854" s="3" t="n">
        <v>2.85036</v>
      </c>
      <c r="N1854" s="3" t="n">
        <v>3.378627</v>
      </c>
      <c r="O1854" s="3" t="n">
        <v>3.605897</v>
      </c>
      <c r="P1854" s="3" t="n">
        <v>3.147392</v>
      </c>
      <c r="Q1854" s="3" t="n">
        <v>3.250659</v>
      </c>
      <c r="R1854" s="3" t="n">
        <v>3.479276</v>
      </c>
      <c r="S1854" s="3" t="n">
        <v>2.985168</v>
      </c>
      <c r="T1854" s="3" t="n">
        <v>2.565961</v>
      </c>
      <c r="U1854" s="3" t="n">
        <v>2.818476</v>
      </c>
      <c r="V1854" s="3" t="n">
        <v>3.366603</v>
      </c>
      <c r="W1854" s="3" t="n">
        <v>4.603446</v>
      </c>
      <c r="X1854" s="3" t="n">
        <v>4.232551</v>
      </c>
      <c r="Y1854" s="3" t="n">
        <v>5.912176</v>
      </c>
      <c r="Z1854" s="3" t="n">
        <v>5.95962</v>
      </c>
      <c r="AA1854" s="3" t="n">
        <v>3.447812</v>
      </c>
      <c r="AB1854" s="3" t="n">
        <v>4.298569</v>
      </c>
      <c r="AC1854" s="3" t="n">
        <v>4.379913</v>
      </c>
      <c r="AD1854" s="3" t="n">
        <v>6.06334</v>
      </c>
      <c r="AE1854" s="3" t="n">
        <v>3.977633</v>
      </c>
      <c r="AF1854" s="3" t="n">
        <v>4.754641</v>
      </c>
      <c r="AG1854" s="3" t="n">
        <v>4.968606</v>
      </c>
      <c r="AH1854" s="3" t="n">
        <v>5.376173</v>
      </c>
      <c r="AI1854" s="3" t="n">
        <v>5.834927</v>
      </c>
      <c r="AJ1854" s="3" t="n">
        <v>6.083492</v>
      </c>
      <c r="AK1854" s="3" t="n">
        <v>6.334775</v>
      </c>
      <c r="AL1854" s="3" t="n">
        <v>6.72855</v>
      </c>
      <c r="AM1854" s="3" t="n"/>
      <c r="AN1854" s="3" t="n"/>
      <c r="AO1854" s="3" t="n"/>
      <c r="AP1854" s="3" t="n"/>
      <c r="AQ1854" s="3" t="n"/>
      <c r="AR1854" s="3" t="n"/>
      <c r="AS1854" s="3" t="n"/>
      <c r="AT1854" s="3" t="n"/>
      <c r="AU1854" s="3" t="n"/>
    </row>
    <row r="1855">
      <c r="A1855" s="3" t="n">
        <v>2031</v>
      </c>
      <c r="B1855" s="3" t="inlineStr">
        <is>
          <t>LUX</t>
        </is>
      </c>
      <c r="C1855" s="3" t="inlineStr">
        <is>
          <t>IMF.RES:WEO</t>
        </is>
      </c>
      <c r="D1855" s="3" t="inlineStr">
        <is>
          <t>LUX.BCA_NGDPD.A</t>
        </is>
      </c>
      <c r="E1855" s="3" t="inlineStr">
        <is>
          <t>Luxembourg</t>
        </is>
      </c>
      <c r="F1855" s="3" t="inlineStr">
        <is>
          <t>Current account balance (credit less debit), Percent of GDP</t>
        </is>
      </c>
      <c r="G1855" s="3" t="n">
        <v>12.654074</v>
      </c>
      <c r="H1855" s="3" t="n">
        <v>8.275205</v>
      </c>
      <c r="I1855" s="3" t="n">
        <v>7.608622</v>
      </c>
      <c r="J1855" s="3" t="n">
        <v>7.145227</v>
      </c>
      <c r="K1855" s="3" t="n">
        <v>7.073581</v>
      </c>
      <c r="L1855" s="3" t="n">
        <v>6.938344</v>
      </c>
      <c r="M1855" s="3" t="n">
        <v>6.642282</v>
      </c>
      <c r="N1855" s="3" t="n">
        <v>6.548554</v>
      </c>
      <c r="O1855" s="3" t="n">
        <v>6.128544</v>
      </c>
      <c r="P1855" s="3" t="n">
        <v>5.784787</v>
      </c>
      <c r="Q1855" s="3" t="n">
        <v>5.777934</v>
      </c>
      <c r="R1855" s="3" t="n">
        <v>5.640349</v>
      </c>
      <c r="S1855" s="3" t="n">
        <v>4.990736</v>
      </c>
      <c r="T1855" s="3" t="n">
        <v>3.935268</v>
      </c>
      <c r="U1855" s="3" t="n">
        <v>4.095275</v>
      </c>
      <c r="V1855" s="3" t="n">
        <v>5.603741</v>
      </c>
      <c r="W1855" s="3" t="n">
        <v>7.401082</v>
      </c>
      <c r="X1855" s="3" t="n">
        <v>6.443317</v>
      </c>
      <c r="Y1855" s="3" t="n">
        <v>8.313190000000001</v>
      </c>
      <c r="Z1855" s="3" t="n">
        <v>8.528399</v>
      </c>
      <c r="AA1855" s="3" t="n">
        <v>4.683779</v>
      </c>
      <c r="AB1855" s="3" t="n">
        <v>4.972645</v>
      </c>
      <c r="AC1855" s="3" t="n">
        <v>5.41631</v>
      </c>
      <c r="AD1855" s="3" t="n">
        <v>6.826978</v>
      </c>
      <c r="AE1855" s="3" t="n">
        <v>4.265476</v>
      </c>
      <c r="AF1855" s="3" t="n">
        <v>4.702888</v>
      </c>
      <c r="AG1855" s="3" t="n">
        <v>4.49986</v>
      </c>
      <c r="AH1855" s="3" t="n">
        <v>4.69638</v>
      </c>
      <c r="AI1855" s="3" t="n">
        <v>4.897033</v>
      </c>
      <c r="AJ1855" s="3" t="n">
        <v>4.901322</v>
      </c>
      <c r="AK1855" s="3" t="n">
        <v>4.900015</v>
      </c>
      <c r="AL1855" s="3" t="n">
        <v>4.998255</v>
      </c>
      <c r="AM1855" s="3" t="n"/>
      <c r="AN1855" s="3" t="n"/>
      <c r="AO1855" s="3" t="n"/>
      <c r="AP1855" s="3" t="n"/>
      <c r="AQ1855" s="3" t="n"/>
      <c r="AR1855" s="3" t="n"/>
      <c r="AS1855" s="3" t="n"/>
      <c r="AT1855" s="3" t="n"/>
      <c r="AU1855" s="3" t="n"/>
    </row>
    <row r="1856">
      <c r="A1856" s="3" t="n">
        <v>2031</v>
      </c>
      <c r="B1856" s="3" t="inlineStr">
        <is>
          <t>LUX</t>
        </is>
      </c>
      <c r="C1856" s="3" t="inlineStr">
        <is>
          <t>IMF.RES:WEO</t>
        </is>
      </c>
      <c r="D1856" s="3" t="inlineStr">
        <is>
          <t>LUX.GGR_NGDP.A</t>
        </is>
      </c>
      <c r="E1856" s="3" t="inlineStr">
        <is>
          <t>Luxembourg</t>
        </is>
      </c>
      <c r="F1856" s="3" t="inlineStr">
        <is>
          <t>Revenue, General government, Percent of GDP</t>
        </is>
      </c>
      <c r="G1856" s="3" t="n">
        <v>43.525435</v>
      </c>
      <c r="H1856" s="3" t="n">
        <v>43.761909</v>
      </c>
      <c r="I1856" s="3" t="n">
        <v>43.791756</v>
      </c>
      <c r="J1856" s="3" t="n">
        <v>43.61219</v>
      </c>
      <c r="K1856" s="3" t="n">
        <v>42.28256</v>
      </c>
      <c r="L1856" s="3" t="n">
        <v>43.233381</v>
      </c>
      <c r="M1856" s="3" t="n">
        <v>41.306218</v>
      </c>
      <c r="N1856" s="3" t="n">
        <v>41.74497</v>
      </c>
      <c r="O1856" s="3" t="n">
        <v>41.294193</v>
      </c>
      <c r="P1856" s="3" t="n">
        <v>42.482721</v>
      </c>
      <c r="Q1856" s="3" t="n">
        <v>41.69876</v>
      </c>
      <c r="R1856" s="3" t="n">
        <v>42.153936</v>
      </c>
      <c r="S1856" s="3" t="n">
        <v>42.317877</v>
      </c>
      <c r="T1856" s="3" t="n">
        <v>42.079459</v>
      </c>
      <c r="U1856" s="3" t="n">
        <v>41.944029</v>
      </c>
      <c r="V1856" s="3" t="n">
        <v>41.669376</v>
      </c>
      <c r="W1856" s="3" t="n">
        <v>41.934778</v>
      </c>
      <c r="X1856" s="3" t="n">
        <v>42.644167</v>
      </c>
      <c r="Y1856" s="3" t="n">
        <v>45.492786</v>
      </c>
      <c r="Z1856" s="3" t="n">
        <v>45.750541</v>
      </c>
      <c r="AA1856" s="3" t="n">
        <v>43.947522</v>
      </c>
      <c r="AB1856" s="3" t="n">
        <v>43.510507</v>
      </c>
      <c r="AC1856" s="3" t="n">
        <v>44.512662</v>
      </c>
      <c r="AD1856" s="3" t="n">
        <v>45.695692</v>
      </c>
      <c r="AE1856" s="3" t="n">
        <v>47.730398</v>
      </c>
      <c r="AF1856" s="3" t="n">
        <v>47.294142</v>
      </c>
      <c r="AG1856" s="3" t="n">
        <v>47.402373</v>
      </c>
      <c r="AH1856" s="3" t="n">
        <v>47.720473</v>
      </c>
      <c r="AI1856" s="3" t="n">
        <v>46.899418</v>
      </c>
      <c r="AJ1856" s="3" t="n">
        <v>47.083457</v>
      </c>
      <c r="AK1856" s="3" t="n">
        <v>47.334476</v>
      </c>
      <c r="AL1856" s="3" t="n">
        <v>47.6008</v>
      </c>
      <c r="AM1856" s="3" t="n"/>
      <c r="AN1856" s="3" t="n"/>
      <c r="AO1856" s="3" t="n"/>
      <c r="AP1856" s="3" t="n"/>
      <c r="AQ1856" s="3" t="n"/>
      <c r="AR1856" s="3" t="n"/>
      <c r="AS1856" s="3" t="n"/>
      <c r="AT1856" s="3" t="n"/>
      <c r="AU1856" s="3" t="n"/>
    </row>
    <row r="1857">
      <c r="A1857" s="3" t="n">
        <v>2031</v>
      </c>
      <c r="B1857" s="3" t="inlineStr">
        <is>
          <t>LUX</t>
        </is>
      </c>
      <c r="C1857" s="3" t="inlineStr">
        <is>
          <t>IMF.RES:WEO</t>
        </is>
      </c>
      <c r="D1857" s="3" t="inlineStr">
        <is>
          <t>LUX.GGX_NGDP.A</t>
        </is>
      </c>
      <c r="E1857" s="3" t="inlineStr">
        <is>
          <t>Luxembourg</t>
        </is>
      </c>
      <c r="F1857" s="3" t="inlineStr">
        <is>
          <t>Expenditure, General government, Percent of GDP</t>
        </is>
      </c>
      <c r="G1857" s="3" t="n">
        <v>37.974689</v>
      </c>
      <c r="H1857" s="3" t="n">
        <v>38.138769</v>
      </c>
      <c r="I1857" s="3" t="n">
        <v>41.760658</v>
      </c>
      <c r="J1857" s="3" t="n">
        <v>43.335761</v>
      </c>
      <c r="K1857" s="3" t="n">
        <v>43.674927</v>
      </c>
      <c r="L1857" s="3" t="n">
        <v>43.444734</v>
      </c>
      <c r="M1857" s="3" t="n">
        <v>39.401609</v>
      </c>
      <c r="N1857" s="3" t="n">
        <v>37.39078</v>
      </c>
      <c r="O1857" s="3" t="n">
        <v>37.926992</v>
      </c>
      <c r="P1857" s="3" t="n">
        <v>42.695778</v>
      </c>
      <c r="Q1857" s="3" t="n">
        <v>41.956291</v>
      </c>
      <c r="R1857" s="3" t="n">
        <v>41.503491</v>
      </c>
      <c r="S1857" s="3" t="n">
        <v>41.814075</v>
      </c>
      <c r="T1857" s="3" t="n">
        <v>41.238835</v>
      </c>
      <c r="U1857" s="3" t="n">
        <v>40.612341</v>
      </c>
      <c r="V1857" s="3" t="n">
        <v>40.365776</v>
      </c>
      <c r="W1857" s="3" t="n">
        <v>40.044833</v>
      </c>
      <c r="X1857" s="3" t="n">
        <v>41.277455</v>
      </c>
      <c r="Y1857" s="3" t="n">
        <v>42.317858</v>
      </c>
      <c r="Z1857" s="3" t="n">
        <v>43.071858</v>
      </c>
      <c r="AA1857" s="3" t="n">
        <v>47.040273</v>
      </c>
      <c r="AB1857" s="3" t="n">
        <v>42.396317</v>
      </c>
      <c r="AC1857" s="3" t="n">
        <v>44.298929</v>
      </c>
      <c r="AD1857" s="3" t="n">
        <v>46.350502</v>
      </c>
      <c r="AE1857" s="3" t="n">
        <v>46.841912</v>
      </c>
      <c r="AF1857" s="3" t="n">
        <v>48.258755</v>
      </c>
      <c r="AG1857" s="3" t="n">
        <v>48.591543</v>
      </c>
      <c r="AH1857" s="3" t="n">
        <v>48.958792</v>
      </c>
      <c r="AI1857" s="3" t="n">
        <v>49.343335</v>
      </c>
      <c r="AJ1857" s="3" t="n">
        <v>49.774428</v>
      </c>
      <c r="AK1857" s="3" t="n">
        <v>50.220632</v>
      </c>
      <c r="AL1857" s="3" t="n">
        <v>50.67372</v>
      </c>
      <c r="AM1857" s="3" t="n"/>
      <c r="AN1857" s="3" t="n"/>
      <c r="AO1857" s="3" t="n"/>
      <c r="AP1857" s="3" t="n"/>
      <c r="AQ1857" s="3" t="n"/>
      <c r="AR1857" s="3" t="n"/>
      <c r="AS1857" s="3" t="n"/>
      <c r="AT1857" s="3" t="n"/>
      <c r="AU1857" s="3" t="n"/>
    </row>
    <row r="1858">
      <c r="A1858" s="3" t="n">
        <v>2027</v>
      </c>
      <c r="B1858" s="3" t="inlineStr">
        <is>
          <t>LUX</t>
        </is>
      </c>
      <c r="C1858" s="3" t="inlineStr">
        <is>
          <t>IMF.RES:WEO</t>
        </is>
      </c>
      <c r="D1858" s="3" t="inlineStr">
        <is>
          <t>LUX.LE.A</t>
        </is>
      </c>
      <c r="E1858" s="3" t="inlineStr">
        <is>
          <t>Luxembourg</t>
        </is>
      </c>
      <c r="F1858" s="3" t="inlineStr">
        <is>
          <t>Employed persons, Persons for countries / Index for country groups</t>
        </is>
      </c>
      <c r="G1858" s="3" t="n">
        <v>0.263975</v>
      </c>
      <c r="H1858" s="3" t="n">
        <v>0.2791</v>
      </c>
      <c r="I1858" s="3" t="n">
        <v>0.2868</v>
      </c>
      <c r="J1858" s="3" t="n">
        <v>0.29255</v>
      </c>
      <c r="K1858" s="3" t="n">
        <v>0.2993</v>
      </c>
      <c r="L1858" s="3" t="n">
        <v>0.30755</v>
      </c>
      <c r="M1858" s="3" t="n">
        <v>0.319275</v>
      </c>
      <c r="N1858" s="3" t="n">
        <v>0.33325</v>
      </c>
      <c r="O1858" s="3" t="n">
        <v>0.349075</v>
      </c>
      <c r="P1858" s="3" t="n">
        <v>0.352525</v>
      </c>
      <c r="Q1858" s="3" t="n">
        <v>0.359</v>
      </c>
      <c r="R1858" s="3" t="n">
        <v>0.36965</v>
      </c>
      <c r="S1858" s="3" t="n">
        <v>0.37865</v>
      </c>
      <c r="T1858" s="3" t="n">
        <v>0.38555</v>
      </c>
      <c r="U1858" s="3" t="n">
        <v>0.395125</v>
      </c>
      <c r="V1858" s="3" t="n">
        <v>0.40525</v>
      </c>
      <c r="W1858" s="3" t="n">
        <v>0.417525</v>
      </c>
      <c r="X1858" s="3" t="n">
        <v>0.432175</v>
      </c>
      <c r="Y1858" s="3" t="n">
        <v>0.44735</v>
      </c>
      <c r="Z1858" s="3" t="n">
        <v>0.463325</v>
      </c>
      <c r="AA1858" s="3" t="n">
        <v>0.4716</v>
      </c>
      <c r="AB1858" s="3" t="n">
        <v>0.485125</v>
      </c>
      <c r="AC1858" s="3" t="n">
        <v>0.50125</v>
      </c>
      <c r="AD1858" s="3" t="n">
        <v>0.511</v>
      </c>
      <c r="AE1858" s="3" t="n">
        <v>0.516</v>
      </c>
      <c r="AF1858" s="3" t="n">
        <v>0.521703</v>
      </c>
      <c r="AG1858" s="3" t="n">
        <v>0.528959</v>
      </c>
      <c r="AH1858" s="3" t="n">
        <v>0.53647</v>
      </c>
      <c r="AI1858" s="3" t="n"/>
      <c r="AJ1858" s="3" t="n"/>
      <c r="AK1858" s="3" t="n"/>
      <c r="AL1858" s="3" t="n"/>
      <c r="AM1858" s="3" t="n"/>
      <c r="AN1858" s="3" t="n"/>
      <c r="AO1858" s="3" t="n"/>
      <c r="AP1858" s="3" t="n"/>
      <c r="AQ1858" s="3" t="n"/>
      <c r="AR1858" s="3" t="n"/>
      <c r="AS1858" s="3" t="n"/>
      <c r="AT1858" s="3" t="n"/>
      <c r="AU1858" s="3" t="n"/>
    </row>
    <row r="1859">
      <c r="A1859" s="3" t="n">
        <v>2031</v>
      </c>
      <c r="B1859" s="3" t="inlineStr">
        <is>
          <t>LUX</t>
        </is>
      </c>
      <c r="C1859" s="3" t="inlineStr">
        <is>
          <t>IMF.RES:WEO</t>
        </is>
      </c>
      <c r="D1859" s="3" t="inlineStr">
        <is>
          <t>LUX.LP.A</t>
        </is>
      </c>
      <c r="E1859" s="3" t="inlineStr">
        <is>
          <t>Luxembourg</t>
        </is>
      </c>
      <c r="F1859" s="3" t="inlineStr">
        <is>
          <t>Population, Persons for countries / Index for country groups</t>
        </is>
      </c>
      <c r="G1859" s="3" t="n">
        <v>0.4336</v>
      </c>
      <c r="H1859" s="3" t="n">
        <v>0.439</v>
      </c>
      <c r="I1859" s="3" t="n">
        <v>0.444</v>
      </c>
      <c r="J1859" s="3" t="n">
        <v>0.4483</v>
      </c>
      <c r="K1859" s="3" t="n">
        <v>0.455</v>
      </c>
      <c r="L1859" s="3" t="n">
        <v>0.4612</v>
      </c>
      <c r="M1859" s="3" t="n">
        <v>0.4691</v>
      </c>
      <c r="N1859" s="3" t="n">
        <v>0.4762</v>
      </c>
      <c r="O1859" s="3" t="n">
        <v>0.4838</v>
      </c>
      <c r="P1859" s="3" t="n">
        <v>0.4935</v>
      </c>
      <c r="Q1859" s="3" t="n">
        <v>0.5021</v>
      </c>
      <c r="R1859" s="3" t="n">
        <v>0.5118</v>
      </c>
      <c r="S1859" s="3" t="n">
        <v>0.5249</v>
      </c>
      <c r="T1859" s="3" t="n">
        <v>0.537</v>
      </c>
      <c r="U1859" s="3" t="n">
        <v>0.5497</v>
      </c>
      <c r="V1859" s="3" t="n">
        <v>0.5629999999999999</v>
      </c>
      <c r="W1859" s="3" t="n">
        <v>0.5762</v>
      </c>
      <c r="X1859" s="3" t="n">
        <v>0.5906670000000001</v>
      </c>
      <c r="Y1859" s="3" t="n">
        <v>0.602005</v>
      </c>
      <c r="Z1859" s="3" t="n">
        <v>0.6138940000000001</v>
      </c>
      <c r="AA1859" s="3" t="n">
        <v>0.626108</v>
      </c>
      <c r="AB1859" s="3" t="n">
        <v>0.63473</v>
      </c>
      <c r="AC1859" s="3" t="n">
        <v>0.645397</v>
      </c>
      <c r="AD1859" s="3" t="n">
        <v>0.660809</v>
      </c>
      <c r="AE1859" s="3" t="n">
        <v>0.67205</v>
      </c>
      <c r="AF1859" s="3" t="n">
        <v>0.6819730000000001</v>
      </c>
      <c r="AG1859" s="3" t="n">
        <v>0.695612</v>
      </c>
      <c r="AH1859" s="3" t="n">
        <v>0.709525</v>
      </c>
      <c r="AI1859" s="3" t="n">
        <v>0.723715</v>
      </c>
      <c r="AJ1859" s="3" t="n">
        <v>0.73819</v>
      </c>
      <c r="AK1859" s="3" t="n">
        <v>0.752953</v>
      </c>
      <c r="AL1859" s="3" t="n">
        <v>0.768012</v>
      </c>
      <c r="AM1859" s="3" t="n"/>
      <c r="AN1859" s="3" t="n"/>
      <c r="AO1859" s="3" t="n"/>
      <c r="AP1859" s="3" t="n"/>
      <c r="AQ1859" s="3" t="n"/>
      <c r="AR1859" s="3" t="n"/>
      <c r="AS1859" s="3" t="n"/>
      <c r="AT1859" s="3" t="n"/>
      <c r="AU1859" s="3" t="n"/>
    </row>
    <row r="1860">
      <c r="A1860" s="3" t="n">
        <v>2031</v>
      </c>
      <c r="B1860" s="3" t="inlineStr">
        <is>
          <t>LUX</t>
        </is>
      </c>
      <c r="C1860" s="3" t="inlineStr">
        <is>
          <t>IMF.RES:WEO</t>
        </is>
      </c>
      <c r="D1860" s="3" t="inlineStr">
        <is>
          <t>LUX.NGDP.A</t>
        </is>
      </c>
      <c r="E1860" s="3" t="inlineStr">
        <is>
          <t>Luxembourg</t>
        </is>
      </c>
      <c r="F1860" s="3" t="inlineStr">
        <is>
          <t>Gross domestic product (GDP), Current prices, Domestic currency</t>
        </is>
      </c>
      <c r="G1860" s="3" t="n">
        <v>22.9861</v>
      </c>
      <c r="H1860" s="3" t="n">
        <v>23.8799</v>
      </c>
      <c r="I1860" s="3" t="n">
        <v>25.0111</v>
      </c>
      <c r="J1860" s="3" t="n">
        <v>26.2273</v>
      </c>
      <c r="K1860" s="3" t="n">
        <v>28.1894</v>
      </c>
      <c r="L1860" s="3" t="n">
        <v>30.281</v>
      </c>
      <c r="M1860" s="3" t="n">
        <v>34.175</v>
      </c>
      <c r="N1860" s="3" t="n">
        <v>37.6419</v>
      </c>
      <c r="O1860" s="3" t="n">
        <v>40.0095</v>
      </c>
      <c r="P1860" s="3" t="n">
        <v>39.0507</v>
      </c>
      <c r="Q1860" s="3" t="n">
        <v>42.4027</v>
      </c>
      <c r="R1860" s="3" t="n">
        <v>44.3235</v>
      </c>
      <c r="S1860" s="3" t="n">
        <v>46.5262</v>
      </c>
      <c r="T1860" s="3" t="n">
        <v>49.0945</v>
      </c>
      <c r="U1860" s="3" t="n">
        <v>51.7914</v>
      </c>
      <c r="V1860" s="3" t="n">
        <v>54.1424</v>
      </c>
      <c r="W1860" s="3" t="n">
        <v>56.208</v>
      </c>
      <c r="X1860" s="3" t="n">
        <v>58.1688</v>
      </c>
      <c r="Y1860" s="3" t="n">
        <v>60.1935</v>
      </c>
      <c r="Z1860" s="3" t="n">
        <v>62.415</v>
      </c>
      <c r="AA1860" s="3" t="n">
        <v>64.4992</v>
      </c>
      <c r="AB1860" s="3" t="n">
        <v>73.03959999999999</v>
      </c>
      <c r="AC1860" s="3" t="n">
        <v>76.7312</v>
      </c>
      <c r="AD1860" s="3" t="n">
        <v>82.11539999999999</v>
      </c>
      <c r="AE1860" s="3" t="n">
        <v>86.1803</v>
      </c>
      <c r="AF1860" s="3" t="n">
        <v>89.5215</v>
      </c>
      <c r="AG1860" s="3" t="n">
        <v>93.63562400000001</v>
      </c>
      <c r="AH1860" s="3" t="n">
        <v>97.300826</v>
      </c>
      <c r="AI1860" s="3" t="n">
        <v>101.551078</v>
      </c>
      <c r="AJ1860" s="3" t="n">
        <v>105.840564</v>
      </c>
      <c r="AK1860" s="3" t="n">
        <v>110.259048</v>
      </c>
      <c r="AL1860" s="3" t="n">
        <v>114.829911</v>
      </c>
      <c r="AM1860" s="3" t="n"/>
      <c r="AN1860" s="3" t="n"/>
      <c r="AO1860" s="3" t="n"/>
      <c r="AP1860" s="3" t="n"/>
      <c r="AQ1860" s="3" t="n"/>
      <c r="AR1860" s="3" t="n"/>
      <c r="AS1860" s="3" t="n"/>
      <c r="AT1860" s="3" t="n"/>
      <c r="AU1860" s="3" t="n"/>
    </row>
    <row r="1861">
      <c r="A1861" s="3" t="n">
        <v>2031</v>
      </c>
      <c r="B1861" s="3" t="inlineStr">
        <is>
          <t>LUX</t>
        </is>
      </c>
      <c r="C1861" s="3" t="inlineStr">
        <is>
          <t>IMF.RES:WEO</t>
        </is>
      </c>
      <c r="D1861" s="3" t="inlineStr">
        <is>
          <t>LUX.NGDP_D.A</t>
        </is>
      </c>
      <c r="E1861" s="3" t="inlineStr">
        <is>
          <t>Luxembourg</t>
        </is>
      </c>
      <c r="F1861" s="3" t="inlineStr">
        <is>
          <t>Gross domestic product (GDP), Price deflator, Index</t>
        </is>
      </c>
      <c r="G1861" s="3" t="n">
        <v>63.170493</v>
      </c>
      <c r="H1861" s="3" t="n">
        <v>63.669716</v>
      </c>
      <c r="I1861" s="3" t="n">
        <v>64.601957</v>
      </c>
      <c r="J1861" s="3" t="n">
        <v>66.014342</v>
      </c>
      <c r="K1861" s="3" t="n">
        <v>68.072909</v>
      </c>
      <c r="L1861" s="3" t="n">
        <v>71.35266300000001</v>
      </c>
      <c r="M1861" s="3" t="n">
        <v>75.958117</v>
      </c>
      <c r="N1861" s="3" t="n">
        <v>77.395776</v>
      </c>
      <c r="O1861" s="3" t="n">
        <v>82.513209</v>
      </c>
      <c r="P1861" s="3" t="n">
        <v>83.23163099999999</v>
      </c>
      <c r="Q1861" s="3" t="n">
        <v>87.100677</v>
      </c>
      <c r="R1861" s="3" t="n">
        <v>90.10508</v>
      </c>
      <c r="S1861" s="3" t="n">
        <v>93.048306</v>
      </c>
      <c r="T1861" s="3" t="n">
        <v>95.16614300000001</v>
      </c>
      <c r="U1861" s="3" t="n">
        <v>97.827787</v>
      </c>
      <c r="V1861" s="3" t="n">
        <v>100.000369</v>
      </c>
      <c r="W1861" s="3" t="n">
        <v>98.89245699999999</v>
      </c>
      <c r="X1861" s="3" t="n">
        <v>101.011525</v>
      </c>
      <c r="Y1861" s="3" t="n">
        <v>102.869902</v>
      </c>
      <c r="Z1861" s="3" t="n">
        <v>103.812358</v>
      </c>
      <c r="AA1861" s="3" t="n">
        <v>107.828803</v>
      </c>
      <c r="AB1861" s="3" t="n">
        <v>114.193248</v>
      </c>
      <c r="AC1861" s="3" t="n">
        <v>121.296124</v>
      </c>
      <c r="AD1861" s="3" t="n">
        <v>129.678486</v>
      </c>
      <c r="AE1861" s="3" t="n">
        <v>135.611509</v>
      </c>
      <c r="AF1861" s="3" t="n">
        <v>139.976202</v>
      </c>
      <c r="AG1861" s="3" t="n">
        <v>144.115006</v>
      </c>
      <c r="AH1861" s="3" t="n">
        <v>147.31066</v>
      </c>
      <c r="AI1861" s="3" t="n">
        <v>150.522029</v>
      </c>
      <c r="AJ1861" s="3" t="n">
        <v>153.697391</v>
      </c>
      <c r="AK1861" s="3" t="n">
        <v>156.927926</v>
      </c>
      <c r="AL1861" s="3" t="n">
        <v>160.245385</v>
      </c>
      <c r="AM1861" s="3" t="n"/>
      <c r="AN1861" s="3" t="n"/>
      <c r="AO1861" s="3" t="n"/>
      <c r="AP1861" s="3" t="n"/>
      <c r="AQ1861" s="3" t="n"/>
      <c r="AR1861" s="3" t="n"/>
      <c r="AS1861" s="3" t="n"/>
      <c r="AT1861" s="3" t="n"/>
      <c r="AU1861" s="3" t="n"/>
    </row>
    <row r="1862">
      <c r="A1862" s="3" t="n">
        <v>2031</v>
      </c>
      <c r="B1862" s="3" t="inlineStr">
        <is>
          <t>LUX</t>
        </is>
      </c>
      <c r="C1862" s="3" t="inlineStr">
        <is>
          <t>IMF.RES:WEO</t>
        </is>
      </c>
      <c r="D1862" s="3" t="inlineStr">
        <is>
          <t>LUX.NGDP_R.A</t>
        </is>
      </c>
      <c r="E1862" s="3" t="inlineStr">
        <is>
          <t>Luxembourg</t>
        </is>
      </c>
      <c r="F1862" s="3" t="inlineStr">
        <is>
          <t>Gross domestic product (GDP), Constant prices, Domestic currency</t>
        </is>
      </c>
      <c r="G1862" s="3" t="n">
        <v>36.3874</v>
      </c>
      <c r="H1862" s="3" t="n">
        <v>37.5059</v>
      </c>
      <c r="I1862" s="3" t="n">
        <v>38.7157</v>
      </c>
      <c r="J1862" s="3" t="n">
        <v>39.7297</v>
      </c>
      <c r="K1862" s="3" t="n">
        <v>41.4106</v>
      </c>
      <c r="L1862" s="3" t="n">
        <v>42.4385</v>
      </c>
      <c r="M1862" s="3" t="n">
        <v>44.9919</v>
      </c>
      <c r="N1862" s="3" t="n">
        <v>48.6356</v>
      </c>
      <c r="O1862" s="3" t="n">
        <v>48.4886</v>
      </c>
      <c r="P1862" s="3" t="n">
        <v>46.9181</v>
      </c>
      <c r="Q1862" s="3" t="n">
        <v>48.6824</v>
      </c>
      <c r="R1862" s="3" t="n">
        <v>49.1909</v>
      </c>
      <c r="S1862" s="3" t="n">
        <v>50.0022</v>
      </c>
      <c r="T1862" s="3" t="n">
        <v>51.5882</v>
      </c>
      <c r="U1862" s="3" t="n">
        <v>52.9414</v>
      </c>
      <c r="V1862" s="3" t="n">
        <v>54.1422</v>
      </c>
      <c r="W1862" s="3" t="n">
        <v>56.8375</v>
      </c>
      <c r="X1862" s="3" t="n">
        <v>57.5863</v>
      </c>
      <c r="Y1862" s="3" t="n">
        <v>58.5142</v>
      </c>
      <c r="Z1862" s="3" t="n">
        <v>60.1229</v>
      </c>
      <c r="AA1862" s="3" t="n">
        <v>59.8163</v>
      </c>
      <c r="AB1862" s="3" t="n">
        <v>63.9614</v>
      </c>
      <c r="AC1862" s="3" t="n">
        <v>63.2594</v>
      </c>
      <c r="AD1862" s="3" t="n">
        <v>63.3223</v>
      </c>
      <c r="AE1862" s="3" t="n">
        <v>63.5494</v>
      </c>
      <c r="AF1862" s="3" t="n">
        <v>63.9548</v>
      </c>
      <c r="AG1862" s="3" t="n">
        <v>64.972849</v>
      </c>
      <c r="AH1862" s="3" t="n">
        <v>66.05145</v>
      </c>
      <c r="AI1862" s="3" t="n">
        <v>67.465924</v>
      </c>
      <c r="AJ1862" s="3" t="n">
        <v>68.862955</v>
      </c>
      <c r="AK1862" s="3" t="n">
        <v>70.260947</v>
      </c>
      <c r="AL1862" s="3" t="n">
        <v>71.658795</v>
      </c>
      <c r="AM1862" s="3" t="n"/>
      <c r="AN1862" s="3" t="n"/>
      <c r="AO1862" s="3" t="n"/>
      <c r="AP1862" s="3" t="n"/>
      <c r="AQ1862" s="3" t="n"/>
      <c r="AR1862" s="3" t="n"/>
      <c r="AS1862" s="3" t="n"/>
      <c r="AT1862" s="3" t="n"/>
      <c r="AU1862" s="3" t="n"/>
    </row>
    <row r="1863">
      <c r="A1863" s="3" t="n">
        <v>2031</v>
      </c>
      <c r="B1863" s="3" t="inlineStr">
        <is>
          <t>LUX</t>
        </is>
      </c>
      <c r="C1863" s="3" t="inlineStr">
        <is>
          <t>IMF.RES:WEO</t>
        </is>
      </c>
      <c r="D1863" s="3" t="inlineStr">
        <is>
          <t>LUX.NGDP_RPCH.A</t>
        </is>
      </c>
      <c r="E1863" s="3" t="inlineStr">
        <is>
          <t>Luxembourg</t>
        </is>
      </c>
      <c r="F1863" s="3" t="inlineStr">
        <is>
          <t>Gross domestic product (GDP), Constant prices, Percent change</t>
        </is>
      </c>
      <c r="G1863" s="3" t="n">
        <v>8.441611</v>
      </c>
      <c r="H1863" s="3" t="n">
        <v>3.073866</v>
      </c>
      <c r="I1863" s="3" t="n">
        <v>3.225626</v>
      </c>
      <c r="J1863" s="3" t="n">
        <v>2.619093</v>
      </c>
      <c r="K1863" s="3" t="n">
        <v>4.23084</v>
      </c>
      <c r="L1863" s="3" t="n">
        <v>2.482215</v>
      </c>
      <c r="M1863" s="3" t="n">
        <v>6.016707</v>
      </c>
      <c r="N1863" s="3" t="n">
        <v>8.098568999999999</v>
      </c>
      <c r="O1863" s="3" t="n">
        <v>-0.302248</v>
      </c>
      <c r="P1863" s="3" t="n">
        <v>-3.238906</v>
      </c>
      <c r="Q1863" s="3" t="n">
        <v>3.760382</v>
      </c>
      <c r="R1863" s="3" t="n">
        <v>1.044525</v>
      </c>
      <c r="S1863" s="3" t="n">
        <v>1.649289</v>
      </c>
      <c r="T1863" s="3" t="n">
        <v>3.17186</v>
      </c>
      <c r="U1863" s="3" t="n">
        <v>2.62308</v>
      </c>
      <c r="V1863" s="3" t="n">
        <v>2.268168</v>
      </c>
      <c r="W1863" s="3" t="n">
        <v>4.978187</v>
      </c>
      <c r="X1863" s="3" t="n">
        <v>1.31744</v>
      </c>
      <c r="Y1863" s="3" t="n">
        <v>1.611321</v>
      </c>
      <c r="Z1863" s="3" t="n">
        <v>2.749247</v>
      </c>
      <c r="AA1863" s="3" t="n">
        <v>-0.509955</v>
      </c>
      <c r="AB1863" s="3" t="n">
        <v>6.929716</v>
      </c>
      <c r="AC1863" s="3" t="n">
        <v>-1.097537</v>
      </c>
      <c r="AD1863" s="3" t="n">
        <v>0.09943200000000001</v>
      </c>
      <c r="AE1863" s="3" t="n">
        <v>0.358641</v>
      </c>
      <c r="AF1863" s="3" t="n">
        <v>0.637929</v>
      </c>
      <c r="AG1863" s="3" t="n">
        <v>1.591825</v>
      </c>
      <c r="AH1863" s="3" t="n">
        <v>1.66008</v>
      </c>
      <c r="AI1863" s="3" t="n">
        <v>2.141473</v>
      </c>
      <c r="AJ1863" s="3" t="n">
        <v>2.070721</v>
      </c>
      <c r="AK1863" s="3" t="n">
        <v>2.030108</v>
      </c>
      <c r="AL1863" s="3" t="n">
        <v>1.989508</v>
      </c>
      <c r="AM1863" s="3" t="n"/>
      <c r="AN1863" s="3" t="n"/>
      <c r="AO1863" s="3" t="n"/>
      <c r="AP1863" s="3" t="n"/>
      <c r="AQ1863" s="3" t="n"/>
      <c r="AR1863" s="3" t="n"/>
      <c r="AS1863" s="3" t="n"/>
      <c r="AT1863" s="3" t="n"/>
      <c r="AU1863" s="3" t="n"/>
    </row>
    <row r="1864">
      <c r="A1864" s="3" t="n">
        <v>2031</v>
      </c>
      <c r="B1864" s="3" t="inlineStr">
        <is>
          <t>LUX</t>
        </is>
      </c>
      <c r="C1864" s="3" t="inlineStr">
        <is>
          <t>IMF.RES:WEO</t>
        </is>
      </c>
      <c r="D1864" s="3" t="inlineStr">
        <is>
          <t>LUX.NGDPD.A</t>
        </is>
      </c>
      <c r="E1864" s="3" t="inlineStr">
        <is>
          <t>Luxembourg</t>
        </is>
      </c>
      <c r="F1864" s="3" t="inlineStr">
        <is>
          <t>Gross domestic product (GDP), Current prices, US dollar</t>
        </is>
      </c>
      <c r="G1864" s="3" t="n">
        <v>21.23963</v>
      </c>
      <c r="H1864" s="3" t="n">
        <v>21.387689</v>
      </c>
      <c r="I1864" s="3" t="n">
        <v>23.633128</v>
      </c>
      <c r="J1864" s="3" t="n">
        <v>29.659854</v>
      </c>
      <c r="K1864" s="3" t="n">
        <v>35.048944</v>
      </c>
      <c r="L1864" s="3" t="n">
        <v>37.69312</v>
      </c>
      <c r="M1864" s="3" t="n">
        <v>42.912363</v>
      </c>
      <c r="N1864" s="3" t="n">
        <v>51.593478</v>
      </c>
      <c r="O1864" s="3" t="n">
        <v>58.837744</v>
      </c>
      <c r="P1864" s="3" t="n">
        <v>54.408088</v>
      </c>
      <c r="Q1864" s="3" t="n">
        <v>56.259878</v>
      </c>
      <c r="R1864" s="3" t="n">
        <v>61.685472</v>
      </c>
      <c r="S1864" s="3" t="n">
        <v>59.814188</v>
      </c>
      <c r="T1864" s="3" t="n">
        <v>65.204241</v>
      </c>
      <c r="U1864" s="3" t="n">
        <v>68.822648</v>
      </c>
      <c r="V1864" s="3" t="n">
        <v>60.077773</v>
      </c>
      <c r="W1864" s="3" t="n">
        <v>62.199642</v>
      </c>
      <c r="X1864" s="3" t="n">
        <v>65.68901</v>
      </c>
      <c r="Y1864" s="3" t="n">
        <v>71.118021</v>
      </c>
      <c r="Z1864" s="3" t="n">
        <v>69.879713</v>
      </c>
      <c r="AA1864" s="3" t="n">
        <v>73.611767</v>
      </c>
      <c r="AB1864" s="3" t="n">
        <v>86.444309</v>
      </c>
      <c r="AC1864" s="3" t="n">
        <v>80.865253</v>
      </c>
      <c r="AD1864" s="3" t="n">
        <v>88.814415</v>
      </c>
      <c r="AE1864" s="3" t="n">
        <v>93.251788</v>
      </c>
      <c r="AF1864" s="3" t="n">
        <v>101.100434</v>
      </c>
      <c r="AG1864" s="3" t="n">
        <v>110.416894</v>
      </c>
      <c r="AH1864" s="3" t="n">
        <v>114.474844</v>
      </c>
      <c r="AI1864" s="3" t="n">
        <v>119.152285</v>
      </c>
      <c r="AJ1864" s="3" t="n">
        <v>124.119417</v>
      </c>
      <c r="AK1864" s="3" t="n">
        <v>129.280749</v>
      </c>
      <c r="AL1864" s="3" t="n">
        <v>134.617994</v>
      </c>
      <c r="AM1864" s="3" t="n"/>
      <c r="AN1864" s="3" t="n"/>
      <c r="AO1864" s="3" t="n"/>
      <c r="AP1864" s="3" t="n"/>
      <c r="AQ1864" s="3" t="n"/>
      <c r="AR1864" s="3" t="n"/>
      <c r="AS1864" s="3" t="n"/>
      <c r="AT1864" s="3" t="n"/>
      <c r="AU1864" s="3" t="n"/>
    </row>
    <row r="1865">
      <c r="A1865" s="3" t="n">
        <v>2031</v>
      </c>
      <c r="B1865" s="3" t="inlineStr">
        <is>
          <t>LUX</t>
        </is>
      </c>
      <c r="C1865" s="3" t="inlineStr">
        <is>
          <t>IMF.RES:WEO</t>
        </is>
      </c>
      <c r="D1865" s="3" t="inlineStr">
        <is>
          <t>LUX.NGDPPC.A</t>
        </is>
      </c>
      <c r="E1865" s="3" t="inlineStr">
        <is>
          <t>Luxembourg</t>
        </is>
      </c>
      <c r="F1865" s="3" t="inlineStr">
        <is>
          <t>Gross domestic product (GDP), Current prices, Per capita, Domestic currency</t>
        </is>
      </c>
      <c r="G1865" s="3" t="n">
        <v>53012.223247</v>
      </c>
      <c r="H1865" s="3" t="n">
        <v>54396.127563</v>
      </c>
      <c r="I1865" s="3" t="n">
        <v>56331.306306</v>
      </c>
      <c r="J1865" s="3" t="n">
        <v>58503.903636</v>
      </c>
      <c r="K1865" s="3" t="n">
        <v>61954.725275</v>
      </c>
      <c r="L1865" s="3" t="n">
        <v>65656.981787</v>
      </c>
      <c r="M1865" s="3" t="n">
        <v>72852.270305</v>
      </c>
      <c r="N1865" s="3" t="n">
        <v>79046.40907199999</v>
      </c>
      <c r="O1865" s="3" t="n">
        <v>82698.429103</v>
      </c>
      <c r="P1865" s="3" t="n">
        <v>79130.091185</v>
      </c>
      <c r="Q1865" s="3" t="n">
        <v>84450.70703000001</v>
      </c>
      <c r="R1865" s="3" t="n">
        <v>86603.165299</v>
      </c>
      <c r="S1865" s="3" t="n">
        <v>88638.216803</v>
      </c>
      <c r="T1865" s="3" t="n">
        <v>91423.649907</v>
      </c>
      <c r="U1865" s="3" t="n">
        <v>94217.57322200001</v>
      </c>
      <c r="V1865" s="3" t="n">
        <v>96167.673179</v>
      </c>
      <c r="W1865" s="3" t="n">
        <v>97549.461992</v>
      </c>
      <c r="X1865" s="3" t="n">
        <v>98479.854131</v>
      </c>
      <c r="Y1865" s="3" t="n">
        <v>99988.37218999999</v>
      </c>
      <c r="Z1865" s="3" t="n">
        <v>101670.646724</v>
      </c>
      <c r="AA1865" s="3" t="n">
        <v>103016.09307</v>
      </c>
      <c r="AB1865" s="3" t="n">
        <v>115071.920344</v>
      </c>
      <c r="AC1865" s="3" t="n">
        <v>118889.923566</v>
      </c>
      <c r="AD1865" s="3" t="n">
        <v>124264.954018</v>
      </c>
      <c r="AE1865" s="3" t="n">
        <v>128234.952756</v>
      </c>
      <c r="AF1865" s="3" t="n">
        <v>131268.393323</v>
      </c>
      <c r="AG1865" s="3" t="n">
        <v>134608.894746</v>
      </c>
      <c r="AH1865" s="3" t="n">
        <v>137135.218894</v>
      </c>
      <c r="AI1865" s="3" t="n">
        <v>140319.115941</v>
      </c>
      <c r="AJ1865" s="3" t="n">
        <v>143378.581523</v>
      </c>
      <c r="AK1865" s="3" t="n">
        <v>146435.440149</v>
      </c>
      <c r="AL1865" s="3" t="n">
        <v>149515.706578</v>
      </c>
      <c r="AM1865" s="3" t="n"/>
      <c r="AN1865" s="3" t="n"/>
      <c r="AO1865" s="3" t="n"/>
      <c r="AP1865" s="3" t="n"/>
      <c r="AQ1865" s="3" t="n"/>
      <c r="AR1865" s="3" t="n"/>
      <c r="AS1865" s="3" t="n"/>
      <c r="AT1865" s="3" t="n"/>
      <c r="AU1865" s="3" t="n"/>
    </row>
    <row r="1866">
      <c r="A1866" s="3" t="n">
        <v>2031</v>
      </c>
      <c r="B1866" s="3" t="inlineStr">
        <is>
          <t>LUX</t>
        </is>
      </c>
      <c r="C1866" s="3" t="inlineStr">
        <is>
          <t>IMF.RES:WEO</t>
        </is>
      </c>
      <c r="D1866" s="3" t="inlineStr">
        <is>
          <t>LUX.NGDPRPC.A</t>
        </is>
      </c>
      <c r="E1866" s="3" t="inlineStr">
        <is>
          <t>Luxembourg</t>
        </is>
      </c>
      <c r="F1866" s="3" t="inlineStr">
        <is>
          <t>Gross domestic product (GDP), Constant prices, Per capita, Domestic currency</t>
        </is>
      </c>
      <c r="G1866" s="3" t="n">
        <v>83919.280443</v>
      </c>
      <c r="H1866" s="3" t="n">
        <v>85434.85193600001</v>
      </c>
      <c r="I1866" s="3" t="n">
        <v>87197.52252300001</v>
      </c>
      <c r="J1866" s="3" t="n">
        <v>88623.020299</v>
      </c>
      <c r="K1866" s="3" t="n">
        <v>91012.307692</v>
      </c>
      <c r="L1866" s="3" t="n">
        <v>92017.562879</v>
      </c>
      <c r="M1866" s="3" t="n">
        <v>95911.106374</v>
      </c>
      <c r="N1866" s="3" t="n">
        <v>102132.717346</v>
      </c>
      <c r="O1866" s="3" t="n">
        <v>100224.472923</v>
      </c>
      <c r="P1866" s="3" t="n">
        <v>95072.137791</v>
      </c>
      <c r="Q1866" s="3" t="n">
        <v>96957.57817199999</v>
      </c>
      <c r="R1866" s="3" t="n">
        <v>96113.520907</v>
      </c>
      <c r="S1866" s="3" t="n">
        <v>95260.43055799999</v>
      </c>
      <c r="T1866" s="3" t="n">
        <v>96067.411546</v>
      </c>
      <c r="U1866" s="3" t="n">
        <v>96309.623431</v>
      </c>
      <c r="V1866" s="3" t="n">
        <v>96167.31793999999</v>
      </c>
      <c r="W1866" s="3" t="n">
        <v>98641.96459600001</v>
      </c>
      <c r="X1866" s="3" t="n">
        <v>97493.680873</v>
      </c>
      <c r="Y1866" s="3" t="n">
        <v>97198.86047499999</v>
      </c>
      <c r="Z1866" s="3" t="n">
        <v>97936.940254</v>
      </c>
      <c r="AA1866" s="3" t="n">
        <v>95536.712516</v>
      </c>
      <c r="AB1866" s="3" t="n">
        <v>100769.461031</v>
      </c>
      <c r="AC1866" s="3" t="n">
        <v>98016.25975899999</v>
      </c>
      <c r="AD1866" s="3" t="n">
        <v>95825.42005299999</v>
      </c>
      <c r="AE1866" s="3" t="n">
        <v>94560.52377099999</v>
      </c>
      <c r="AF1866" s="3" t="n">
        <v>93779.07923</v>
      </c>
      <c r="AG1866" s="3" t="n">
        <v>93403.80205899999</v>
      </c>
      <c r="AH1866" s="3" t="n">
        <v>93092.52898800001</v>
      </c>
      <c r="AI1866" s="3" t="n">
        <v>93221.647665</v>
      </c>
      <c r="AJ1866" s="3" t="n">
        <v>93286.282032</v>
      </c>
      <c r="AK1866" s="3" t="n">
        <v>93313.81836799999</v>
      </c>
      <c r="AL1866" s="3" t="n">
        <v>93304.220111</v>
      </c>
      <c r="AM1866" s="3" t="n"/>
      <c r="AN1866" s="3" t="n"/>
      <c r="AO1866" s="3" t="n"/>
      <c r="AP1866" s="3" t="n"/>
      <c r="AQ1866" s="3" t="n"/>
      <c r="AR1866" s="3" t="n"/>
      <c r="AS1866" s="3" t="n"/>
      <c r="AT1866" s="3" t="n"/>
      <c r="AU1866" s="3" t="n"/>
    </row>
    <row r="1867">
      <c r="A1867" s="3" t="n">
        <v>2031</v>
      </c>
      <c r="B1867" s="3" t="inlineStr">
        <is>
          <t>LUX</t>
        </is>
      </c>
      <c r="C1867" s="3" t="inlineStr">
        <is>
          <t>IMF.RES:WEO</t>
        </is>
      </c>
      <c r="D1867" s="3" t="inlineStr">
        <is>
          <t>LUX.PCPI.A</t>
        </is>
      </c>
      <c r="E1867" s="3" t="inlineStr">
        <is>
          <t>Luxembourg</t>
        </is>
      </c>
      <c r="F1867" s="3" t="inlineStr">
        <is>
          <t>All Items, Consumer price index (CPI), Period average</t>
        </is>
      </c>
      <c r="G1867" s="3" t="n">
        <v>55.054167</v>
      </c>
      <c r="H1867" s="3" t="n">
        <v>56.3725</v>
      </c>
      <c r="I1867" s="3" t="n">
        <v>57.535</v>
      </c>
      <c r="J1867" s="3" t="n">
        <v>58.99</v>
      </c>
      <c r="K1867" s="3" t="n">
        <v>60.900833</v>
      </c>
      <c r="L1867" s="3" t="n">
        <v>63.195833</v>
      </c>
      <c r="M1867" s="3" t="n">
        <v>65.065833</v>
      </c>
      <c r="N1867" s="3" t="n">
        <v>66.795833</v>
      </c>
      <c r="O1867" s="3" t="n">
        <v>69.52500000000001</v>
      </c>
      <c r="P1867" s="3" t="n">
        <v>69.535833</v>
      </c>
      <c r="Q1867" s="3" t="n">
        <v>71.47499999999999</v>
      </c>
      <c r="R1867" s="3" t="n">
        <v>74.141667</v>
      </c>
      <c r="S1867" s="3" t="n">
        <v>76.280833</v>
      </c>
      <c r="T1867" s="3" t="n">
        <v>77.578333</v>
      </c>
      <c r="U1867" s="3" t="n">
        <v>78.11666700000001</v>
      </c>
      <c r="V1867" s="3" t="n">
        <v>78.160833</v>
      </c>
      <c r="W1867" s="3" t="n">
        <v>78.19583299999999</v>
      </c>
      <c r="X1867" s="3" t="n">
        <v>79.8475</v>
      </c>
      <c r="Y1867" s="3" t="n">
        <v>81.45916699999999</v>
      </c>
      <c r="Z1867" s="3" t="n">
        <v>82.80416700000001</v>
      </c>
      <c r="AA1867" s="3" t="n">
        <v>82.809167</v>
      </c>
      <c r="AB1867" s="3" t="n">
        <v>85.685</v>
      </c>
      <c r="AC1867" s="3" t="n">
        <v>92.66333299999999</v>
      </c>
      <c r="AD1867" s="3" t="n">
        <v>95.374167</v>
      </c>
      <c r="AE1867" s="3" t="n">
        <v>97.52333299999999</v>
      </c>
      <c r="AF1867" s="3" t="n">
        <v>99.9975</v>
      </c>
      <c r="AG1867" s="3" t="n">
        <v>102.058852</v>
      </c>
      <c r="AH1867" s="3" t="n">
        <v>104.306141</v>
      </c>
      <c r="AI1867" s="3" t="n">
        <v>106.523854</v>
      </c>
      <c r="AJ1867" s="3" t="n">
        <v>108.691731</v>
      </c>
      <c r="AK1867" s="3" t="n">
        <v>110.903727</v>
      </c>
      <c r="AL1867" s="3" t="n">
        <v>113.160739</v>
      </c>
      <c r="AM1867" s="3" t="n"/>
      <c r="AN1867" s="3" t="n"/>
      <c r="AO1867" s="3" t="n"/>
      <c r="AP1867" s="3" t="n"/>
      <c r="AQ1867" s="3" t="n"/>
      <c r="AR1867" s="3" t="n"/>
      <c r="AS1867" s="3" t="n"/>
      <c r="AT1867" s="3" t="n"/>
      <c r="AU1867" s="3" t="n"/>
    </row>
    <row r="1868">
      <c r="A1868" s="3" t="n">
        <v>2031</v>
      </c>
      <c r="B1868" s="3" t="inlineStr">
        <is>
          <t>LUX</t>
        </is>
      </c>
      <c r="C1868" s="3" t="inlineStr">
        <is>
          <t>IMF.RES:WEO</t>
        </is>
      </c>
      <c r="D1868" s="3" t="inlineStr">
        <is>
          <t>LUX.PCPIPCH.A</t>
        </is>
      </c>
      <c r="E1868" s="3" t="inlineStr">
        <is>
          <t>Luxembourg</t>
        </is>
      </c>
      <c r="F1868" s="3" t="inlineStr">
        <is>
          <t>All Items, Consumer price index (CPI), Period average, percent change</t>
        </is>
      </c>
      <c r="G1868" s="3" t="n">
        <v>3.786034</v>
      </c>
      <c r="H1868" s="3" t="n">
        <v>2.394611</v>
      </c>
      <c r="I1868" s="3" t="n">
        <v>2.062176</v>
      </c>
      <c r="J1868" s="3" t="n">
        <v>2.528895</v>
      </c>
      <c r="K1868" s="3" t="n">
        <v>3.23925</v>
      </c>
      <c r="L1868" s="3" t="n">
        <v>3.768421</v>
      </c>
      <c r="M1868" s="3" t="n">
        <v>2.959056</v>
      </c>
      <c r="N1868" s="3" t="n">
        <v>2.658846</v>
      </c>
      <c r="O1868" s="3" t="n">
        <v>4.085834</v>
      </c>
      <c r="P1868" s="3" t="n">
        <v>0.015582</v>
      </c>
      <c r="Q1868" s="3" t="n">
        <v>2.78873</v>
      </c>
      <c r="R1868" s="3" t="n">
        <v>3.730908</v>
      </c>
      <c r="S1868" s="3" t="n">
        <v>2.885242</v>
      </c>
      <c r="T1868" s="3" t="n">
        <v>1.700952</v>
      </c>
      <c r="U1868" s="3" t="n">
        <v>0.693922</v>
      </c>
      <c r="V1868" s="3" t="n">
        <v>0.056539</v>
      </c>
      <c r="W1868" s="3" t="n">
        <v>0.044779</v>
      </c>
      <c r="X1868" s="3" t="n">
        <v>2.112218</v>
      </c>
      <c r="Y1868" s="3" t="n">
        <v>2.018431</v>
      </c>
      <c r="Z1868" s="3" t="n">
        <v>1.651134</v>
      </c>
      <c r="AA1868" s="3" t="n">
        <v>0.006038</v>
      </c>
      <c r="AB1868" s="3" t="n">
        <v>3.472844</v>
      </c>
      <c r="AC1868" s="3" t="n">
        <v>8.144171</v>
      </c>
      <c r="AD1868" s="3" t="n">
        <v>2.925465</v>
      </c>
      <c r="AE1868" s="3" t="n">
        <v>2.253405</v>
      </c>
      <c r="AF1868" s="3" t="n">
        <v>2.537</v>
      </c>
      <c r="AG1868" s="3" t="n">
        <v>2.061404</v>
      </c>
      <c r="AH1868" s="3" t="n">
        <v>2.201954</v>
      </c>
      <c r="AI1868" s="3" t="n">
        <v>2.126157</v>
      </c>
      <c r="AJ1868" s="3" t="n">
        <v>2.03511</v>
      </c>
      <c r="AK1868" s="3" t="n">
        <v>2.03511</v>
      </c>
      <c r="AL1868" s="3" t="n">
        <v>2.03511</v>
      </c>
      <c r="AM1868" s="3" t="n"/>
      <c r="AN1868" s="3" t="n"/>
      <c r="AO1868" s="3" t="n"/>
      <c r="AP1868" s="3" t="n"/>
      <c r="AQ1868" s="3" t="n"/>
      <c r="AR1868" s="3" t="n"/>
      <c r="AS1868" s="3" t="n"/>
      <c r="AT1868" s="3" t="n"/>
      <c r="AU1868" s="3" t="n"/>
    </row>
    <row r="1869">
      <c r="A1869" s="3" t="n">
        <v>2031</v>
      </c>
      <c r="B1869" s="3" t="inlineStr">
        <is>
          <t>LUX</t>
        </is>
      </c>
      <c r="C1869" s="3" t="inlineStr">
        <is>
          <t>IMF.RES:WEO</t>
        </is>
      </c>
      <c r="D1869" s="3" t="inlineStr">
        <is>
          <t>LUX.PPPPC.A</t>
        </is>
      </c>
      <c r="E1869" s="3" t="inlineStr">
        <is>
          <t>Luxembourg</t>
        </is>
      </c>
      <c r="F1869" s="3" t="inlineStr">
        <is>
          <t>Gross domestic product (GDP), Per capita, purchasing power parity (PPP) international dollar, ICP benchmarks 2017-2021</t>
        </is>
      </c>
      <c r="G1869" s="3" t="n">
        <v>72668.366609</v>
      </c>
      <c r="H1869" s="3" t="n">
        <v>75646.51362899999</v>
      </c>
      <c r="I1869" s="3" t="n">
        <v>78407.061688</v>
      </c>
      <c r="J1869" s="3" t="n">
        <v>81262.083604</v>
      </c>
      <c r="K1869" s="3" t="n">
        <v>85696.869091</v>
      </c>
      <c r="L1869" s="3" t="n">
        <v>89360.39610699999</v>
      </c>
      <c r="M1869" s="3" t="n">
        <v>96013.881111</v>
      </c>
      <c r="N1869" s="3" t="n">
        <v>105012.175146</v>
      </c>
      <c r="O1869" s="3" t="n">
        <v>105035.300355</v>
      </c>
      <c r="P1869" s="3" t="n">
        <v>100250.145269</v>
      </c>
      <c r="Q1869" s="3" t="n">
        <v>103480.852247</v>
      </c>
      <c r="R1869" s="3" t="n">
        <v>104696.487413</v>
      </c>
      <c r="S1869" s="3" t="n">
        <v>105699.290969</v>
      </c>
      <c r="T1869" s="3" t="n">
        <v>108408.949901</v>
      </c>
      <c r="U1869" s="3" t="n">
        <v>110575.213513</v>
      </c>
      <c r="V1869" s="3" t="n">
        <v>111436.509968</v>
      </c>
      <c r="W1869" s="3" t="n">
        <v>115390.218726</v>
      </c>
      <c r="X1869" s="3" t="n">
        <v>116089.425163</v>
      </c>
      <c r="Y1869" s="3" t="n">
        <v>117790.552239</v>
      </c>
      <c r="Z1869" s="3" t="n">
        <v>122579.114331</v>
      </c>
      <c r="AA1869" s="3" t="n">
        <v>122907.129095</v>
      </c>
      <c r="AB1869" s="3" t="n">
        <v>140411.353249</v>
      </c>
      <c r="AC1869" s="3" t="n">
        <v>146288.848912</v>
      </c>
      <c r="AD1869" s="3" t="n">
        <v>148310.781841</v>
      </c>
      <c r="AE1869" s="3" t="n">
        <v>149986.359125</v>
      </c>
      <c r="AF1869" s="3" t="n">
        <v>152966.479259</v>
      </c>
      <c r="AG1869" s="3" t="n">
        <v>156719.075842</v>
      </c>
      <c r="AH1869" s="3" t="n">
        <v>159626.730034</v>
      </c>
      <c r="AI1869" s="3" t="n">
        <v>162471.863247</v>
      </c>
      <c r="AJ1869" s="3" t="n">
        <v>165475.44071</v>
      </c>
      <c r="AK1869" s="3" t="n">
        <v>168565.83909</v>
      </c>
      <c r="AL1869" s="3" t="n">
        <v>171591.309512</v>
      </c>
      <c r="AM1869" s="3" t="n"/>
      <c r="AN1869" s="3" t="n"/>
      <c r="AO1869" s="3" t="n"/>
      <c r="AP1869" s="3" t="n"/>
      <c r="AQ1869" s="3" t="n"/>
      <c r="AR1869" s="3" t="n"/>
      <c r="AS1869" s="3" t="n"/>
      <c r="AT1869" s="3" t="n"/>
      <c r="AU1869" s="3" t="n"/>
    </row>
    <row r="1870">
      <c r="A1870" s="3" t="inlineStr">
        <is>
          <t>INDICATOR</t>
        </is>
      </c>
      <c r="B1870" s="3" t="inlineStr">
        <is>
          <t>LUX</t>
        </is>
      </c>
      <c r="C1870" s="3" t="inlineStr">
        <is>
          <t>IMF.STA:ER</t>
        </is>
      </c>
      <c r="D1870" s="3" t="inlineStr">
        <is>
          <t>LUX.XDC_USD.PA_RT.A</t>
        </is>
      </c>
      <c r="E1870" s="3" t="inlineStr">
        <is>
          <t>Luxembourg</t>
        </is>
      </c>
      <c r="F1870" s="3" t="inlineStr">
        <is>
          <t>Domestic currency per US Dollar</t>
        </is>
      </c>
      <c r="G1870" s="3" t="n"/>
      <c r="H1870" s="3" t="n"/>
      <c r="I1870" s="3" t="n"/>
      <c r="J1870" s="3" t="n"/>
      <c r="K1870" s="3" t="n"/>
      <c r="L1870" s="3" t="n"/>
      <c r="M1870" s="3" t="n"/>
      <c r="N1870" s="3" t="n"/>
      <c r="O1870" s="3" t="n"/>
      <c r="P1870" s="3" t="n"/>
      <c r="Q1870" s="3" t="n"/>
      <c r="R1870" s="3" t="n"/>
      <c r="S1870" s="3" t="n"/>
      <c r="T1870" s="3" t="n"/>
      <c r="U1870" s="3" t="n"/>
      <c r="V1870" s="3" t="n"/>
      <c r="W1870" s="3" t="n"/>
      <c r="X1870" s="3" t="n"/>
      <c r="Y1870" s="3" t="n"/>
      <c r="Z1870" s="3" t="n"/>
      <c r="AA1870" s="3" t="n"/>
      <c r="AB1870" s="3" t="n"/>
      <c r="AC1870" s="3" t="n"/>
      <c r="AD1870" s="3" t="n"/>
      <c r="AE1870" s="3" t="n"/>
      <c r="AF1870" s="3" t="n"/>
      <c r="AG1870" s="3" t="n"/>
      <c r="AH1870" s="3" t="n"/>
      <c r="AI1870" s="3" t="n"/>
      <c r="AJ1870" s="3" t="n"/>
      <c r="AK1870" s="3" t="n"/>
      <c r="AL1870" s="3" t="n"/>
      <c r="AM1870" s="3" t="n"/>
      <c r="AN1870" s="3" t="n"/>
      <c r="AO1870" s="3" t="n"/>
      <c r="AP1870" s="3" t="n"/>
      <c r="AQ1870" s="3" t="n"/>
      <c r="AR1870" s="3" t="n"/>
      <c r="AS1870" s="3" t="n"/>
      <c r="AT1870" s="3" t="n"/>
      <c r="AU1870" s="3" t="n"/>
    </row>
    <row r="1871">
      <c r="A1871" s="3" t="n">
        <v>2031</v>
      </c>
      <c r="B1871" s="3" t="inlineStr">
        <is>
          <t>LVA</t>
        </is>
      </c>
      <c r="C1871" s="3" t="inlineStr">
        <is>
          <t>IMF.RES:WEO</t>
        </is>
      </c>
      <c r="D1871" s="3" t="inlineStr">
        <is>
          <t>LVA.BCA.A</t>
        </is>
      </c>
      <c r="E1871" s="3" t="inlineStr">
        <is>
          <t>Latvia, Republic of</t>
        </is>
      </c>
      <c r="F1871" s="3" t="inlineStr">
        <is>
          <t>Current account balance (credit less debit), US dollar</t>
        </is>
      </c>
      <c r="G1871" s="3" t="n">
        <v>-0.374448</v>
      </c>
      <c r="H1871" s="3" t="n">
        <v>-0.6279940000000001</v>
      </c>
      <c r="I1871" s="3" t="n">
        <v>-0.61891</v>
      </c>
      <c r="J1871" s="3" t="n">
        <v>-0.915397</v>
      </c>
      <c r="K1871" s="3" t="n">
        <v>-1.767095</v>
      </c>
      <c r="L1871" s="3" t="n">
        <v>-2.006865</v>
      </c>
      <c r="M1871" s="3" t="n">
        <v>-4.483513</v>
      </c>
      <c r="N1871" s="3" t="n">
        <v>-6.425698</v>
      </c>
      <c r="O1871" s="3" t="n">
        <v>-4.416224</v>
      </c>
      <c r="P1871" s="3" t="n">
        <v>2.027789</v>
      </c>
      <c r="Q1871" s="3" t="n">
        <v>0.407302</v>
      </c>
      <c r="R1871" s="3" t="n">
        <v>-0.94459</v>
      </c>
      <c r="S1871" s="3" t="n">
        <v>-1.050518</v>
      </c>
      <c r="T1871" s="3" t="n">
        <v>-0.843263</v>
      </c>
      <c r="U1871" s="3" t="n">
        <v>-0.443834</v>
      </c>
      <c r="V1871" s="3" t="n">
        <v>-0.027741</v>
      </c>
      <c r="W1871" s="3" t="n">
        <v>0.482477</v>
      </c>
      <c r="X1871" s="3" t="n">
        <v>0.432515</v>
      </c>
      <c r="Y1871" s="3" t="n">
        <v>-0.131145</v>
      </c>
      <c r="Z1871" s="3" t="n">
        <v>-0.0571</v>
      </c>
      <c r="AA1871" s="3" t="n">
        <v>1.013458</v>
      </c>
      <c r="AB1871" s="3" t="n">
        <v>-1.55397</v>
      </c>
      <c r="AC1871" s="3" t="n">
        <v>-2.080353</v>
      </c>
      <c r="AD1871" s="3" t="n">
        <v>-1.634268</v>
      </c>
      <c r="AE1871" s="3" t="n">
        <v>-0.681694</v>
      </c>
      <c r="AF1871" s="3" t="n">
        <v>-1.638676</v>
      </c>
      <c r="AG1871" s="3" t="n">
        <v>-1.946712</v>
      </c>
      <c r="AH1871" s="3" t="n">
        <v>-2.023575</v>
      </c>
      <c r="AI1871" s="3" t="n">
        <v>-2.283193</v>
      </c>
      <c r="AJ1871" s="3" t="n">
        <v>-2.387564</v>
      </c>
      <c r="AK1871" s="3" t="n">
        <v>-2.396237</v>
      </c>
      <c r="AL1871" s="3" t="n">
        <v>-2.475467</v>
      </c>
      <c r="AM1871" s="3" t="n"/>
      <c r="AN1871" s="3" t="n"/>
      <c r="AO1871" s="3" t="n"/>
      <c r="AP1871" s="3" t="n"/>
      <c r="AQ1871" s="3" t="n"/>
      <c r="AR1871" s="3" t="n"/>
      <c r="AS1871" s="3" t="n"/>
      <c r="AT1871" s="3" t="n"/>
      <c r="AU1871" s="3" t="n"/>
    </row>
    <row r="1872">
      <c r="A1872" s="3" t="n">
        <v>2031</v>
      </c>
      <c r="B1872" s="3" t="inlineStr">
        <is>
          <t>LVA</t>
        </is>
      </c>
      <c r="C1872" s="3" t="inlineStr">
        <is>
          <t>IMF.RES:WEO</t>
        </is>
      </c>
      <c r="D1872" s="3" t="inlineStr">
        <is>
          <t>LVA.BCA_NGDPD.A</t>
        </is>
      </c>
      <c r="E1872" s="3" t="inlineStr">
        <is>
          <t>Latvia, Republic of</t>
        </is>
      </c>
      <c r="F1872" s="3" t="inlineStr">
        <is>
          <t>Current account balance (credit less debit), Percent of GDP</t>
        </is>
      </c>
      <c r="G1872" s="3" t="n">
        <v>-4.822363</v>
      </c>
      <c r="H1872" s="3" t="n">
        <v>-7.666302</v>
      </c>
      <c r="I1872" s="3" t="n">
        <v>-6.686787</v>
      </c>
      <c r="J1872" s="3" t="n">
        <v>-8.137577</v>
      </c>
      <c r="K1872" s="3" t="n">
        <v>-12.776524</v>
      </c>
      <c r="L1872" s="3" t="n">
        <v>-12.287616</v>
      </c>
      <c r="M1872" s="3" t="n">
        <v>-21.921094</v>
      </c>
      <c r="N1872" s="3" t="n">
        <v>-21.809144</v>
      </c>
      <c r="O1872" s="3" t="n">
        <v>-12.876902</v>
      </c>
      <c r="P1872" s="3" t="n">
        <v>7.872317</v>
      </c>
      <c r="Q1872" s="3" t="n">
        <v>1.732541</v>
      </c>
      <c r="R1872" s="3" t="n">
        <v>-3.520379</v>
      </c>
      <c r="S1872" s="3" t="n">
        <v>-3.871244</v>
      </c>
      <c r="T1872" s="3" t="n">
        <v>-2.892123</v>
      </c>
      <c r="U1872" s="3" t="n">
        <v>-1.465523</v>
      </c>
      <c r="V1872" s="3" t="n">
        <v>-0.105289</v>
      </c>
      <c r="W1872" s="3" t="n">
        <v>1.779724</v>
      </c>
      <c r="X1872" s="3" t="n">
        <v>1.472107</v>
      </c>
      <c r="Y1872" s="3" t="n">
        <v>-0.394268</v>
      </c>
      <c r="Z1872" s="3" t="n">
        <v>-0.17249</v>
      </c>
      <c r="AA1872" s="3" t="n">
        <v>3.038563</v>
      </c>
      <c r="AB1872" s="3" t="n">
        <v>-4.067058</v>
      </c>
      <c r="AC1872" s="3" t="n">
        <v>-5.46985</v>
      </c>
      <c r="AD1872" s="3" t="n">
        <v>-3.819107</v>
      </c>
      <c r="AE1872" s="3" t="n">
        <v>-1.549727</v>
      </c>
      <c r="AF1872" s="3" t="n">
        <v>-3.372365</v>
      </c>
      <c r="AG1872" s="3" t="n">
        <v>-3.626087</v>
      </c>
      <c r="AH1872" s="3" t="n">
        <v>-3.56635</v>
      </c>
      <c r="AI1872" s="3" t="n">
        <v>-3.817998</v>
      </c>
      <c r="AJ1872" s="3" t="n">
        <v>-3.802735</v>
      </c>
      <c r="AK1872" s="3" t="n">
        <v>-3.637692</v>
      </c>
      <c r="AL1872" s="3" t="n">
        <v>-3.580798</v>
      </c>
      <c r="AM1872" s="3" t="n"/>
      <c r="AN1872" s="3" t="n"/>
      <c r="AO1872" s="3" t="n"/>
      <c r="AP1872" s="3" t="n"/>
      <c r="AQ1872" s="3" t="n"/>
      <c r="AR1872" s="3" t="n"/>
      <c r="AS1872" s="3" t="n"/>
      <c r="AT1872" s="3" t="n"/>
      <c r="AU1872" s="3" t="n"/>
    </row>
    <row r="1873">
      <c r="A1873" s="3" t="n">
        <v>2031</v>
      </c>
      <c r="B1873" s="3" t="inlineStr">
        <is>
          <t>LVA</t>
        </is>
      </c>
      <c r="C1873" s="3" t="inlineStr">
        <is>
          <t>IMF.RES:WEO</t>
        </is>
      </c>
      <c r="D1873" s="3" t="inlineStr">
        <is>
          <t>LVA.GGR_NGDP.A</t>
        </is>
      </c>
      <c r="E1873" s="3" t="inlineStr">
        <is>
          <t>Latvia, Republic of</t>
        </is>
      </c>
      <c r="F1873" s="3" t="inlineStr">
        <is>
          <t>Revenue, General government, Percent of GDP</t>
        </is>
      </c>
      <c r="G1873" s="3" t="n">
        <v>34.477666</v>
      </c>
      <c r="H1873" s="3" t="n">
        <v>32.994712</v>
      </c>
      <c r="I1873" s="3" t="n">
        <v>32.776714</v>
      </c>
      <c r="J1873" s="3" t="n">
        <v>32.766475</v>
      </c>
      <c r="K1873" s="3" t="n">
        <v>33.764363</v>
      </c>
      <c r="L1873" s="3" t="n">
        <v>34.748289</v>
      </c>
      <c r="M1873" s="3" t="n">
        <v>35.064437</v>
      </c>
      <c r="N1873" s="3" t="n">
        <v>35.391373</v>
      </c>
      <c r="O1873" s="3" t="n">
        <v>34.896583</v>
      </c>
      <c r="P1873" s="3" t="n">
        <v>36.450009</v>
      </c>
      <c r="Q1873" s="3" t="n">
        <v>36.993642</v>
      </c>
      <c r="R1873" s="3" t="n">
        <v>37.850549</v>
      </c>
      <c r="S1873" s="3" t="n">
        <v>38.735922</v>
      </c>
      <c r="T1873" s="3" t="n">
        <v>38.09568</v>
      </c>
      <c r="U1873" s="3" t="n">
        <v>37.439652</v>
      </c>
      <c r="V1873" s="3" t="n">
        <v>37.123277</v>
      </c>
      <c r="W1873" s="3" t="n">
        <v>37.003565</v>
      </c>
      <c r="X1873" s="3" t="n">
        <v>36.981279</v>
      </c>
      <c r="Y1873" s="3" t="n">
        <v>38.638238</v>
      </c>
      <c r="Z1873" s="3" t="n">
        <v>38.582092</v>
      </c>
      <c r="AA1873" s="3" t="n">
        <v>38.794265</v>
      </c>
      <c r="AB1873" s="3" t="n">
        <v>38.871777</v>
      </c>
      <c r="AC1873" s="3" t="n">
        <v>39.608982</v>
      </c>
      <c r="AD1873" s="3" t="n">
        <v>39.50027</v>
      </c>
      <c r="AE1873" s="3" t="n">
        <v>42.238748</v>
      </c>
      <c r="AF1873" s="3" t="n">
        <v>41.318344</v>
      </c>
      <c r="AG1873" s="3" t="n">
        <v>41.54391</v>
      </c>
      <c r="AH1873" s="3" t="n">
        <v>41.404702</v>
      </c>
      <c r="AI1873" s="3" t="n">
        <v>41.305639</v>
      </c>
      <c r="AJ1873" s="3" t="n">
        <v>41.353169</v>
      </c>
      <c r="AK1873" s="3" t="n">
        <v>41.326915</v>
      </c>
      <c r="AL1873" s="3" t="n">
        <v>41.326827</v>
      </c>
      <c r="AM1873" s="3" t="n"/>
      <c r="AN1873" s="3" t="n"/>
      <c r="AO1873" s="3" t="n"/>
      <c r="AP1873" s="3" t="n"/>
      <c r="AQ1873" s="3" t="n"/>
      <c r="AR1873" s="3" t="n"/>
      <c r="AS1873" s="3" t="n"/>
      <c r="AT1873" s="3" t="n"/>
      <c r="AU1873" s="3" t="n"/>
    </row>
    <row r="1874">
      <c r="A1874" s="3" t="n">
        <v>2031</v>
      </c>
      <c r="B1874" s="3" t="inlineStr">
        <is>
          <t>LVA</t>
        </is>
      </c>
      <c r="C1874" s="3" t="inlineStr">
        <is>
          <t>IMF.RES:WEO</t>
        </is>
      </c>
      <c r="D1874" s="3" t="inlineStr">
        <is>
          <t>LVA.GGX_NGDP.A</t>
        </is>
      </c>
      <c r="E1874" s="3" t="inlineStr">
        <is>
          <t>Latvia, Republic of</t>
        </is>
      </c>
      <c r="F1874" s="3" t="inlineStr">
        <is>
          <t>Expenditure, General government, Percent of GDP</t>
        </is>
      </c>
      <c r="G1874" s="3" t="n">
        <v>37.043143</v>
      </c>
      <c r="H1874" s="3" t="n">
        <v>35.020892</v>
      </c>
      <c r="I1874" s="3" t="n">
        <v>35.36487</v>
      </c>
      <c r="J1874" s="3" t="n">
        <v>34.432842</v>
      </c>
      <c r="K1874" s="3" t="n">
        <v>34.799954</v>
      </c>
      <c r="L1874" s="3" t="n">
        <v>35.811976</v>
      </c>
      <c r="M1874" s="3" t="n">
        <v>35.545862</v>
      </c>
      <c r="N1874" s="3" t="n">
        <v>34.764626</v>
      </c>
      <c r="O1874" s="3" t="n">
        <v>38.182815</v>
      </c>
      <c r="P1874" s="3" t="n">
        <v>43.58538</v>
      </c>
      <c r="Q1874" s="3" t="n">
        <v>43.553943</v>
      </c>
      <c r="R1874" s="3" t="n">
        <v>41.235442</v>
      </c>
      <c r="S1874" s="3" t="n">
        <v>38.554101</v>
      </c>
      <c r="T1874" s="3" t="n">
        <v>38.676831</v>
      </c>
      <c r="U1874" s="3" t="n">
        <v>39.182933</v>
      </c>
      <c r="V1874" s="3" t="n">
        <v>38.696292</v>
      </c>
      <c r="W1874" s="3" t="n">
        <v>37.412791</v>
      </c>
      <c r="X1874" s="3" t="n">
        <v>37.834252</v>
      </c>
      <c r="Y1874" s="3" t="n">
        <v>39.403389</v>
      </c>
      <c r="Z1874" s="3" t="n">
        <v>38.975671</v>
      </c>
      <c r="AA1874" s="3" t="n">
        <v>42.641997</v>
      </c>
      <c r="AB1874" s="3" t="n">
        <v>44.585969</v>
      </c>
      <c r="AC1874" s="3" t="n">
        <v>43.55452</v>
      </c>
      <c r="AD1874" s="3" t="n">
        <v>42.861848</v>
      </c>
      <c r="AE1874" s="3" t="n">
        <v>43.961598</v>
      </c>
      <c r="AF1874" s="3" t="n">
        <v>45.364053</v>
      </c>
      <c r="AG1874" s="3" t="n">
        <v>44.891216</v>
      </c>
      <c r="AH1874" s="3" t="n">
        <v>45.286485</v>
      </c>
      <c r="AI1874" s="3" t="n">
        <v>45.033504</v>
      </c>
      <c r="AJ1874" s="3" t="n">
        <v>45.016</v>
      </c>
      <c r="AK1874" s="3" t="n">
        <v>45.248645</v>
      </c>
      <c r="AL1874" s="3" t="n">
        <v>45.341515</v>
      </c>
      <c r="AM1874" s="3" t="n"/>
      <c r="AN1874" s="3" t="n"/>
      <c r="AO1874" s="3" t="n"/>
      <c r="AP1874" s="3" t="n"/>
      <c r="AQ1874" s="3" t="n"/>
      <c r="AR1874" s="3" t="n"/>
      <c r="AS1874" s="3" t="n"/>
      <c r="AT1874" s="3" t="n"/>
      <c r="AU1874" s="3" t="n"/>
    </row>
    <row r="1875">
      <c r="A1875" s="3" t="n">
        <v>2027</v>
      </c>
      <c r="B1875" s="3" t="inlineStr">
        <is>
          <t>LVA</t>
        </is>
      </c>
      <c r="C1875" s="3" t="inlineStr">
        <is>
          <t>IMF.RES:WEO</t>
        </is>
      </c>
      <c r="D1875" s="3" t="inlineStr">
        <is>
          <t>LVA.LE.A</t>
        </is>
      </c>
      <c r="E1875" s="3" t="inlineStr">
        <is>
          <t>Latvia, Republic of</t>
        </is>
      </c>
      <c r="F1875" s="3" t="inlineStr">
        <is>
          <t>Employed persons, Persons for countries / Index for country groups</t>
        </is>
      </c>
      <c r="G1875" s="3" t="n">
        <v>0.939929</v>
      </c>
      <c r="H1875" s="3" t="n">
        <v>0.9462970000000001</v>
      </c>
      <c r="I1875" s="3" t="n">
        <v>0.963896</v>
      </c>
      <c r="J1875" s="3" t="n">
        <v>0.965684</v>
      </c>
      <c r="K1875" s="3" t="n">
        <v>0.9637869999999999</v>
      </c>
      <c r="L1875" s="3" t="n">
        <v>0.972126</v>
      </c>
      <c r="M1875" s="3" t="n">
        <v>1.022546</v>
      </c>
      <c r="N1875" s="3" t="n">
        <v>1.043638</v>
      </c>
      <c r="O1875" s="3" t="n">
        <v>1.036029</v>
      </c>
      <c r="P1875" s="3" t="n">
        <v>0.895142</v>
      </c>
      <c r="Q1875" s="3" t="n">
        <v>0.84352</v>
      </c>
      <c r="R1875" s="3" t="n">
        <v>0.861575</v>
      </c>
      <c r="S1875" s="3" t="n">
        <v>0.875625</v>
      </c>
      <c r="T1875" s="3" t="n">
        <v>0.893875</v>
      </c>
      <c r="U1875" s="3" t="n">
        <v>0.88465</v>
      </c>
      <c r="V1875" s="3" t="n">
        <v>0.896075</v>
      </c>
      <c r="W1875" s="3" t="n">
        <v>0.893275</v>
      </c>
      <c r="X1875" s="3" t="n">
        <v>0.894825</v>
      </c>
      <c r="Y1875" s="3" t="n">
        <v>0.909375</v>
      </c>
      <c r="Z1875" s="3" t="n">
        <v>0.910025</v>
      </c>
      <c r="AA1875" s="3" t="n">
        <v>0.893</v>
      </c>
      <c r="AB1875" s="3" t="n">
        <v>0.864</v>
      </c>
      <c r="AC1875" s="3" t="n">
        <v>0.8862</v>
      </c>
      <c r="AD1875" s="3" t="n">
        <v>0.8842</v>
      </c>
      <c r="AE1875" s="3" t="n">
        <v>0.8774</v>
      </c>
      <c r="AF1875" s="3" t="n">
        <v>0.8831</v>
      </c>
      <c r="AG1875" s="3" t="n">
        <v>0.885749</v>
      </c>
      <c r="AH1875" s="3" t="n">
        <v>0.887521</v>
      </c>
      <c r="AI1875" s="3" t="n"/>
      <c r="AJ1875" s="3" t="n"/>
      <c r="AK1875" s="3" t="n"/>
      <c r="AL1875" s="3" t="n"/>
      <c r="AM1875" s="3" t="n"/>
      <c r="AN1875" s="3" t="n"/>
      <c r="AO1875" s="3" t="n"/>
      <c r="AP1875" s="3" t="n"/>
      <c r="AQ1875" s="3" t="n"/>
      <c r="AR1875" s="3" t="n"/>
      <c r="AS1875" s="3" t="n"/>
      <c r="AT1875" s="3" t="n"/>
      <c r="AU1875" s="3" t="n"/>
    </row>
    <row r="1876">
      <c r="A1876" s="3" t="n">
        <v>2031</v>
      </c>
      <c r="B1876" s="3" t="inlineStr">
        <is>
          <t>LVA</t>
        </is>
      </c>
      <c r="C1876" s="3" t="inlineStr">
        <is>
          <t>IMF.RES:WEO</t>
        </is>
      </c>
      <c r="D1876" s="3" t="inlineStr">
        <is>
          <t>LVA.LP.A</t>
        </is>
      </c>
      <c r="E1876" s="3" t="inlineStr">
        <is>
          <t>Latvia, Republic of</t>
        </is>
      </c>
      <c r="F1876" s="3" t="inlineStr">
        <is>
          <t>Population, Persons for countries / Index for country groups</t>
        </is>
      </c>
      <c r="G1876" s="3" t="n">
        <v>2.381715</v>
      </c>
      <c r="H1876" s="3" t="n">
        <v>2.353384</v>
      </c>
      <c r="I1876" s="3" t="n">
        <v>2.320956</v>
      </c>
      <c r="J1876" s="3" t="n">
        <v>2.29939</v>
      </c>
      <c r="K1876" s="3" t="n">
        <v>2.27652</v>
      </c>
      <c r="L1876" s="3" t="n">
        <v>2.249724</v>
      </c>
      <c r="M1876" s="3" t="n">
        <v>2.227874</v>
      </c>
      <c r="N1876" s="3" t="n">
        <v>2.20884</v>
      </c>
      <c r="O1876" s="3" t="n">
        <v>2.19181</v>
      </c>
      <c r="P1876" s="3" t="n">
        <v>2.162834</v>
      </c>
      <c r="Q1876" s="3" t="n">
        <v>2.120504</v>
      </c>
      <c r="R1876" s="3" t="n">
        <v>2.074605</v>
      </c>
      <c r="S1876" s="3" t="n">
        <v>2.044813</v>
      </c>
      <c r="T1876" s="3" t="n">
        <v>2.023825</v>
      </c>
      <c r="U1876" s="3" t="n">
        <v>2.001468</v>
      </c>
      <c r="V1876" s="3" t="n">
        <v>1.986096</v>
      </c>
      <c r="W1876" s="3" t="n">
        <v>1.968957</v>
      </c>
      <c r="X1876" s="3" t="n">
        <v>1.950116</v>
      </c>
      <c r="Y1876" s="3" t="n">
        <v>1.934379</v>
      </c>
      <c r="Z1876" s="3" t="n">
        <v>1.919968</v>
      </c>
      <c r="AA1876" s="3" t="n">
        <v>1.907675</v>
      </c>
      <c r="AB1876" s="3" t="n">
        <v>1.893223</v>
      </c>
      <c r="AC1876" s="3" t="n">
        <v>1.875757</v>
      </c>
      <c r="AD1876" s="3" t="n">
        <v>1.883008</v>
      </c>
      <c r="AE1876" s="3" t="n">
        <v>1.871882</v>
      </c>
      <c r="AF1876" s="3" t="n">
        <v>1.860565</v>
      </c>
      <c r="AG1876" s="3" t="n">
        <v>1.856844</v>
      </c>
      <c r="AH1876" s="3" t="n">
        <v>1.85313</v>
      </c>
      <c r="AI1876" s="3" t="n">
        <v>1.849424</v>
      </c>
      <c r="AJ1876" s="3" t="n">
        <v>1.845725</v>
      </c>
      <c r="AK1876" s="3" t="n">
        <v>1.842034</v>
      </c>
      <c r="AL1876" s="3" t="n">
        <v>1.83835</v>
      </c>
      <c r="AM1876" s="3" t="n"/>
      <c r="AN1876" s="3" t="n"/>
      <c r="AO1876" s="3" t="n"/>
      <c r="AP1876" s="3" t="n"/>
      <c r="AQ1876" s="3" t="n"/>
      <c r="AR1876" s="3" t="n"/>
      <c r="AS1876" s="3" t="n"/>
      <c r="AT1876" s="3" t="n"/>
      <c r="AU1876" s="3" t="n"/>
    </row>
    <row r="1877">
      <c r="A1877" s="3" t="n">
        <v>2031</v>
      </c>
      <c r="B1877" s="3" t="inlineStr">
        <is>
          <t>LVA</t>
        </is>
      </c>
      <c r="C1877" s="3" t="inlineStr">
        <is>
          <t>IMF.RES:WEO</t>
        </is>
      </c>
      <c r="D1877" s="3" t="inlineStr">
        <is>
          <t>LVA.NGDP.A</t>
        </is>
      </c>
      <c r="E1877" s="3" t="inlineStr">
        <is>
          <t>Latvia, Republic of</t>
        </is>
      </c>
      <c r="F1877" s="3" t="inlineStr">
        <is>
          <t>Gross domestic product (GDP), Current prices, Domestic currency</t>
        </is>
      </c>
      <c r="G1877" s="3" t="n">
        <v>6.697961</v>
      </c>
      <c r="H1877" s="3" t="n">
        <v>7.31774</v>
      </c>
      <c r="I1877" s="3" t="n">
        <v>8.135446999999999</v>
      </c>
      <c r="J1877" s="3" t="n">
        <v>9.142771</v>
      </c>
      <c r="K1877" s="3" t="n">
        <v>10.628869</v>
      </c>
      <c r="L1877" s="3" t="n">
        <v>13.102623</v>
      </c>
      <c r="M1877" s="3" t="n">
        <v>16.294807</v>
      </c>
      <c r="N1877" s="3" t="n">
        <v>21.509327</v>
      </c>
      <c r="O1877" s="3" t="n">
        <v>23.351891</v>
      </c>
      <c r="P1877" s="3" t="n">
        <v>18.482487</v>
      </c>
      <c r="Q1877" s="3" t="n">
        <v>17.71964</v>
      </c>
      <c r="R1877" s="3" t="n">
        <v>19.11726</v>
      </c>
      <c r="S1877" s="3" t="n">
        <v>21.104326</v>
      </c>
      <c r="T1877" s="3" t="n">
        <v>21.956193</v>
      </c>
      <c r="U1877" s="3" t="n">
        <v>22.790505</v>
      </c>
      <c r="V1877" s="3" t="n">
        <v>23.744263</v>
      </c>
      <c r="W1877" s="3" t="n">
        <v>24.498174</v>
      </c>
      <c r="X1877" s="3" t="n">
        <v>26.017128</v>
      </c>
      <c r="Y1877" s="3" t="n">
        <v>28.153443</v>
      </c>
      <c r="Z1877" s="3" t="n">
        <v>29.567001</v>
      </c>
      <c r="AA1877" s="3" t="n">
        <v>29.22434</v>
      </c>
      <c r="AB1877" s="3" t="n">
        <v>32.28378</v>
      </c>
      <c r="AC1877" s="3" t="n">
        <v>36.088739</v>
      </c>
      <c r="AD1877" s="3" t="n">
        <v>39.564222</v>
      </c>
      <c r="AE1877" s="3" t="n">
        <v>40.652318</v>
      </c>
      <c r="AF1877" s="3" t="n">
        <v>43.02619</v>
      </c>
      <c r="AG1877" s="3" t="n">
        <v>45.526989</v>
      </c>
      <c r="AH1877" s="3" t="n">
        <v>48.228271</v>
      </c>
      <c r="AI1877" s="3" t="n">
        <v>50.966994</v>
      </c>
      <c r="AJ1877" s="3" t="n">
        <v>53.539134</v>
      </c>
      <c r="AK1877" s="3" t="n">
        <v>56.180315</v>
      </c>
      <c r="AL1877" s="3" t="n">
        <v>58.969742</v>
      </c>
      <c r="AM1877" s="3" t="n"/>
      <c r="AN1877" s="3" t="n"/>
      <c r="AO1877" s="3" t="n"/>
      <c r="AP1877" s="3" t="n"/>
      <c r="AQ1877" s="3" t="n"/>
      <c r="AR1877" s="3" t="n"/>
      <c r="AS1877" s="3" t="n"/>
      <c r="AT1877" s="3" t="n"/>
      <c r="AU1877" s="3" t="n"/>
    </row>
    <row r="1878">
      <c r="A1878" s="3" t="n">
        <v>2031</v>
      </c>
      <c r="B1878" s="3" t="inlineStr">
        <is>
          <t>LVA</t>
        </is>
      </c>
      <c r="C1878" s="3" t="inlineStr">
        <is>
          <t>IMF.RES:WEO</t>
        </is>
      </c>
      <c r="D1878" s="3" t="inlineStr">
        <is>
          <t>LVA.NGDP_D.A</t>
        </is>
      </c>
      <c r="E1878" s="3" t="inlineStr">
        <is>
          <t>Latvia, Republic of</t>
        </is>
      </c>
      <c r="F1878" s="3" t="inlineStr">
        <is>
          <t>Gross domestic product (GDP), Price deflator, Index</t>
        </is>
      </c>
      <c r="G1878" s="3" t="n">
        <v>43.263447</v>
      </c>
      <c r="H1878" s="3" t="n">
        <v>44.398327</v>
      </c>
      <c r="I1878" s="3" t="n">
        <v>45.845271</v>
      </c>
      <c r="J1878" s="3" t="n">
        <v>47.516561</v>
      </c>
      <c r="K1878" s="3" t="n">
        <v>50.80708</v>
      </c>
      <c r="L1878" s="3" t="n">
        <v>56.114051</v>
      </c>
      <c r="M1878" s="3" t="n">
        <v>61.852489</v>
      </c>
      <c r="N1878" s="3" t="n">
        <v>73.944952</v>
      </c>
      <c r="O1878" s="3" t="n">
        <v>83.095192</v>
      </c>
      <c r="P1878" s="3" t="n">
        <v>78.33249000000001</v>
      </c>
      <c r="Q1878" s="3" t="n">
        <v>77.953468</v>
      </c>
      <c r="R1878" s="3" t="n">
        <v>81.62360099999999</v>
      </c>
      <c r="S1878" s="3" t="n">
        <v>83.97318799999999</v>
      </c>
      <c r="T1878" s="3" t="n">
        <v>85.56912699999999</v>
      </c>
      <c r="U1878" s="3" t="n">
        <v>86.99808299999999</v>
      </c>
      <c r="V1878" s="3" t="n">
        <v>87.334671</v>
      </c>
      <c r="W1878" s="3" t="n">
        <v>87.86560299999999</v>
      </c>
      <c r="X1878" s="3" t="n">
        <v>90.24609599999999</v>
      </c>
      <c r="Y1878" s="3" t="n">
        <v>93.621551</v>
      </c>
      <c r="Z1878" s="3" t="n">
        <v>97.662612</v>
      </c>
      <c r="AA1878" s="3" t="n">
        <v>100</v>
      </c>
      <c r="AB1878" s="3" t="n">
        <v>103.297345</v>
      </c>
      <c r="AC1878" s="3" t="n">
        <v>113.309402</v>
      </c>
      <c r="AD1878" s="3" t="n">
        <v>125.402321</v>
      </c>
      <c r="AE1878" s="3" t="n">
        <v>128.898904</v>
      </c>
      <c r="AF1878" s="3" t="n">
        <v>133.570334</v>
      </c>
      <c r="AG1878" s="3" t="n">
        <v>138.267034</v>
      </c>
      <c r="AH1878" s="3" t="n">
        <v>143.075227</v>
      </c>
      <c r="AI1878" s="3" t="n">
        <v>147.684403</v>
      </c>
      <c r="AJ1878" s="3" t="n">
        <v>151.530013</v>
      </c>
      <c r="AK1878" s="3" t="n">
        <v>155.326543</v>
      </c>
      <c r="AL1878" s="3" t="n">
        <v>159.271592</v>
      </c>
      <c r="AM1878" s="3" t="n"/>
      <c r="AN1878" s="3" t="n"/>
      <c r="AO1878" s="3" t="n"/>
      <c r="AP1878" s="3" t="n"/>
      <c r="AQ1878" s="3" t="n"/>
      <c r="AR1878" s="3" t="n"/>
      <c r="AS1878" s="3" t="n"/>
      <c r="AT1878" s="3" t="n"/>
      <c r="AU1878" s="3" t="n"/>
    </row>
    <row r="1879">
      <c r="A1879" s="3" t="n">
        <v>2031</v>
      </c>
      <c r="B1879" s="3" t="inlineStr">
        <is>
          <t>LVA</t>
        </is>
      </c>
      <c r="C1879" s="3" t="inlineStr">
        <is>
          <t>IMF.RES:WEO</t>
        </is>
      </c>
      <c r="D1879" s="3" t="inlineStr">
        <is>
          <t>LVA.NGDP_R.A</t>
        </is>
      </c>
      <c r="E1879" s="3" t="inlineStr">
        <is>
          <t>Latvia, Republic of</t>
        </is>
      </c>
      <c r="F1879" s="3" t="inlineStr">
        <is>
          <t>Gross domestic product (GDP), Constant prices, Domestic currency</t>
        </is>
      </c>
      <c r="G1879" s="3" t="n">
        <v>15.481802</v>
      </c>
      <c r="H1879" s="3" t="n">
        <v>16.482017</v>
      </c>
      <c r="I1879" s="3" t="n">
        <v>17.745443</v>
      </c>
      <c r="J1879" s="3" t="n">
        <v>19.241231</v>
      </c>
      <c r="K1879" s="3" t="n">
        <v>20.920055</v>
      </c>
      <c r="L1879" s="3" t="n">
        <v>23.349986</v>
      </c>
      <c r="M1879" s="3" t="n">
        <v>26.344626</v>
      </c>
      <c r="N1879" s="3" t="n">
        <v>29.088296</v>
      </c>
      <c r="O1879" s="3" t="n">
        <v>28.102577</v>
      </c>
      <c r="P1879" s="3" t="n">
        <v>23.594918</v>
      </c>
      <c r="Q1879" s="3" t="n">
        <v>22.731048</v>
      </c>
      <c r="R1879" s="3" t="n">
        <v>23.42124</v>
      </c>
      <c r="S1879" s="3" t="n">
        <v>25.132219</v>
      </c>
      <c r="T1879" s="3" t="n">
        <v>25.659013</v>
      </c>
      <c r="U1879" s="3" t="n">
        <v>26.196559</v>
      </c>
      <c r="V1879" s="3" t="n">
        <v>27.187671</v>
      </c>
      <c r="W1879" s="3" t="n">
        <v>27.881416</v>
      </c>
      <c r="X1879" s="3" t="n">
        <v>28.82909</v>
      </c>
      <c r="Y1879" s="3" t="n">
        <v>30.071541</v>
      </c>
      <c r="Z1879" s="3" t="n">
        <v>30.274636</v>
      </c>
      <c r="AA1879" s="3" t="n">
        <v>29.22434</v>
      </c>
      <c r="AB1879" s="3" t="n">
        <v>31.253252</v>
      </c>
      <c r="AC1879" s="3" t="n">
        <v>31.849731</v>
      </c>
      <c r="AD1879" s="3" t="n">
        <v>31.549832</v>
      </c>
      <c r="AE1879" s="3" t="n">
        <v>31.538141</v>
      </c>
      <c r="AF1879" s="3" t="n">
        <v>32.212385</v>
      </c>
      <c r="AG1879" s="3" t="n">
        <v>32.926857</v>
      </c>
      <c r="AH1879" s="3" t="n">
        <v>33.708331</v>
      </c>
      <c r="AI1879" s="3" t="n">
        <v>34.510749</v>
      </c>
      <c r="AJ1879" s="3" t="n">
        <v>35.332363</v>
      </c>
      <c r="AK1879" s="3" t="n">
        <v>36.169166</v>
      </c>
      <c r="AL1879" s="3" t="n">
        <v>37.024645</v>
      </c>
      <c r="AM1879" s="3" t="n"/>
      <c r="AN1879" s="3" t="n"/>
      <c r="AO1879" s="3" t="n"/>
      <c r="AP1879" s="3" t="n"/>
      <c r="AQ1879" s="3" t="n"/>
      <c r="AR1879" s="3" t="n"/>
      <c r="AS1879" s="3" t="n"/>
      <c r="AT1879" s="3" t="n"/>
      <c r="AU1879" s="3" t="n"/>
    </row>
    <row r="1880">
      <c r="A1880" s="3" t="n">
        <v>2031</v>
      </c>
      <c r="B1880" s="3" t="inlineStr">
        <is>
          <t>LVA</t>
        </is>
      </c>
      <c r="C1880" s="3" t="inlineStr">
        <is>
          <t>IMF.RES:WEO</t>
        </is>
      </c>
      <c r="D1880" s="3" t="inlineStr">
        <is>
          <t>LVA.NGDP_RPCH.A</t>
        </is>
      </c>
      <c r="E1880" s="3" t="inlineStr">
        <is>
          <t>Latvia, Republic of</t>
        </is>
      </c>
      <c r="F1880" s="3" t="inlineStr">
        <is>
          <t>Gross domestic product (GDP), Constant prices, Percent change</t>
        </is>
      </c>
      <c r="G1880" s="3" t="n">
        <v>5.841024</v>
      </c>
      <c r="H1880" s="3" t="n">
        <v>6.460583</v>
      </c>
      <c r="I1880" s="3" t="n">
        <v>7.665486</v>
      </c>
      <c r="J1880" s="3" t="n">
        <v>8.429133999999999</v>
      </c>
      <c r="K1880" s="3" t="n">
        <v>8.72514</v>
      </c>
      <c r="L1880" s="3" t="n">
        <v>11.615319</v>
      </c>
      <c r="M1880" s="3" t="n">
        <v>12.82502</v>
      </c>
      <c r="N1880" s="3" t="n">
        <v>10.414534</v>
      </c>
      <c r="O1880" s="3" t="n">
        <v>-3.388714</v>
      </c>
      <c r="P1880" s="3" t="n">
        <v>-16.040022</v>
      </c>
      <c r="Q1880" s="3" t="n">
        <v>-3.661254</v>
      </c>
      <c r="R1880" s="3" t="n">
        <v>3.036342</v>
      </c>
      <c r="S1880" s="3" t="n">
        <v>7.305244</v>
      </c>
      <c r="T1880" s="3" t="n">
        <v>2.09609</v>
      </c>
      <c r="U1880" s="3" t="n">
        <v>2.094962</v>
      </c>
      <c r="V1880" s="3" t="n">
        <v>3.783367</v>
      </c>
      <c r="W1880" s="3" t="n">
        <v>2.551687</v>
      </c>
      <c r="X1880" s="3" t="n">
        <v>3.398947</v>
      </c>
      <c r="Y1880" s="3" t="n">
        <v>4.309712</v>
      </c>
      <c r="Z1880" s="3" t="n">
        <v>0.675374</v>
      </c>
      <c r="AA1880" s="3" t="n">
        <v>-3.469228</v>
      </c>
      <c r="AB1880" s="3" t="n">
        <v>6.942541</v>
      </c>
      <c r="AC1880" s="3" t="n">
        <v>1.908533</v>
      </c>
      <c r="AD1880" s="3" t="n">
        <v>-0.941604</v>
      </c>
      <c r="AE1880" s="3" t="n">
        <v>-0.037057</v>
      </c>
      <c r="AF1880" s="3" t="n">
        <v>2.137868</v>
      </c>
      <c r="AG1880" s="3" t="n">
        <v>2.218006</v>
      </c>
      <c r="AH1880" s="3" t="n">
        <v>2.373362</v>
      </c>
      <c r="AI1880" s="3" t="n">
        <v>2.380475</v>
      </c>
      <c r="AJ1880" s="3" t="n">
        <v>2.380746</v>
      </c>
      <c r="AK1880" s="3" t="n">
        <v>2.368376</v>
      </c>
      <c r="AL1880" s="3" t="n">
        <v>2.365217</v>
      </c>
      <c r="AM1880" s="3" t="n"/>
      <c r="AN1880" s="3" t="n"/>
      <c r="AO1880" s="3" t="n"/>
      <c r="AP1880" s="3" t="n"/>
      <c r="AQ1880" s="3" t="n"/>
      <c r="AR1880" s="3" t="n"/>
      <c r="AS1880" s="3" t="n"/>
      <c r="AT1880" s="3" t="n"/>
      <c r="AU1880" s="3" t="n"/>
    </row>
    <row r="1881">
      <c r="A1881" s="3" t="n">
        <v>2031</v>
      </c>
      <c r="B1881" s="3" t="inlineStr">
        <is>
          <t>LVA</t>
        </is>
      </c>
      <c r="C1881" s="3" t="inlineStr">
        <is>
          <t>IMF.RES:WEO</t>
        </is>
      </c>
      <c r="D1881" s="3" t="inlineStr">
        <is>
          <t>LVA.NGDPD.A</t>
        </is>
      </c>
      <c r="E1881" s="3" t="inlineStr">
        <is>
          <t>Latvia, Republic of</t>
        </is>
      </c>
      <c r="F1881" s="3" t="inlineStr">
        <is>
          <t>Gross domestic product (GDP), Current prices, US dollar</t>
        </is>
      </c>
      <c r="G1881" s="3" t="n">
        <v>7.764821</v>
      </c>
      <c r="H1881" s="3" t="n">
        <v>8.191617000000001</v>
      </c>
      <c r="I1881" s="3" t="n">
        <v>9.255718999999999</v>
      </c>
      <c r="J1881" s="3" t="n">
        <v>11.249013</v>
      </c>
      <c r="K1881" s="3" t="n">
        <v>13.830796</v>
      </c>
      <c r="L1881" s="3" t="n">
        <v>16.332417</v>
      </c>
      <c r="M1881" s="3" t="n">
        <v>20.452963</v>
      </c>
      <c r="N1881" s="3" t="n">
        <v>29.463319</v>
      </c>
      <c r="O1881" s="3" t="n">
        <v>34.295701</v>
      </c>
      <c r="P1881" s="3" t="n">
        <v>25.758479</v>
      </c>
      <c r="Q1881" s="3" t="n">
        <v>23.508918</v>
      </c>
      <c r="R1881" s="3" t="n">
        <v>26.83206</v>
      </c>
      <c r="S1881" s="3" t="n">
        <v>27.136453</v>
      </c>
      <c r="T1881" s="3" t="n">
        <v>29.157248</v>
      </c>
      <c r="U1881" s="3" t="n">
        <v>30.285006</v>
      </c>
      <c r="V1881" s="3" t="n">
        <v>26.347234</v>
      </c>
      <c r="W1881" s="3" t="n">
        <v>27.109622</v>
      </c>
      <c r="X1881" s="3" t="n">
        <v>29.380689</v>
      </c>
      <c r="Y1881" s="3" t="n">
        <v>33.263013</v>
      </c>
      <c r="Z1881" s="3" t="n">
        <v>33.103157</v>
      </c>
      <c r="AA1881" s="3" t="n">
        <v>33.353209</v>
      </c>
      <c r="AB1881" s="3" t="n">
        <v>38.208712</v>
      </c>
      <c r="AC1881" s="3" t="n">
        <v>38.033095</v>
      </c>
      <c r="AD1881" s="3" t="n">
        <v>42.791891</v>
      </c>
      <c r="AE1881" s="3" t="n">
        <v>43.988027</v>
      </c>
      <c r="AF1881" s="3" t="n">
        <v>48.591304</v>
      </c>
      <c r="AG1881" s="3" t="n">
        <v>53.686284</v>
      </c>
      <c r="AH1881" s="3" t="n">
        <v>56.74077</v>
      </c>
      <c r="AI1881" s="3" t="n">
        <v>59.800782</v>
      </c>
      <c r="AJ1881" s="3" t="n">
        <v>62.785437</v>
      </c>
      <c r="AK1881" s="3" t="n">
        <v>65.87244699999999</v>
      </c>
      <c r="AL1881" s="3" t="n">
        <v>69.13171199999999</v>
      </c>
      <c r="AM1881" s="3" t="n"/>
      <c r="AN1881" s="3" t="n"/>
      <c r="AO1881" s="3" t="n"/>
      <c r="AP1881" s="3" t="n"/>
      <c r="AQ1881" s="3" t="n"/>
      <c r="AR1881" s="3" t="n"/>
      <c r="AS1881" s="3" t="n"/>
      <c r="AT1881" s="3" t="n"/>
      <c r="AU1881" s="3" t="n"/>
    </row>
    <row r="1882">
      <c r="A1882" s="3" t="n">
        <v>2031</v>
      </c>
      <c r="B1882" s="3" t="inlineStr">
        <is>
          <t>LVA</t>
        </is>
      </c>
      <c r="C1882" s="3" t="inlineStr">
        <is>
          <t>IMF.RES:WEO</t>
        </is>
      </c>
      <c r="D1882" s="3" t="inlineStr">
        <is>
          <t>LVA.NGDPPC.A</t>
        </is>
      </c>
      <c r="E1882" s="3" t="inlineStr">
        <is>
          <t>Latvia, Republic of</t>
        </is>
      </c>
      <c r="F1882" s="3" t="inlineStr">
        <is>
          <t>Gross domestic product (GDP), Current prices, Per capita, Domestic currency</t>
        </is>
      </c>
      <c r="G1882" s="3" t="n">
        <v>2812.24292</v>
      </c>
      <c r="H1882" s="3" t="n">
        <v>3109.45417</v>
      </c>
      <c r="I1882" s="3" t="n">
        <v>3505.213596</v>
      </c>
      <c r="J1882" s="3" t="n">
        <v>3976.172417</v>
      </c>
      <c r="K1882" s="3" t="n">
        <v>4668.910896</v>
      </c>
      <c r="L1882" s="3" t="n">
        <v>5824.102409</v>
      </c>
      <c r="M1882" s="3" t="n">
        <v>7314.061329</v>
      </c>
      <c r="N1882" s="3" t="n">
        <v>9737.838308</v>
      </c>
      <c r="O1882" s="3" t="n">
        <v>10654.158311</v>
      </c>
      <c r="P1882" s="3" t="n">
        <v>8545.494795000001</v>
      </c>
      <c r="Q1882" s="3" t="n">
        <v>8356.334224</v>
      </c>
      <c r="R1882" s="3" t="n">
        <v>9214.891372</v>
      </c>
      <c r="S1882" s="3" t="n">
        <v>10320.907359</v>
      </c>
      <c r="T1882" s="3" t="n">
        <v>10848.859487</v>
      </c>
      <c r="U1882" s="3" t="n">
        <v>11386.894289</v>
      </c>
      <c r="V1882" s="3" t="n">
        <v>11955.24453</v>
      </c>
      <c r="W1882" s="3" t="n">
        <v>12442.208659</v>
      </c>
      <c r="X1882" s="3" t="n">
        <v>13341.323504</v>
      </c>
      <c r="Y1882" s="3" t="n">
        <v>14554.253944</v>
      </c>
      <c r="Z1882" s="3" t="n">
        <v>15399.736167</v>
      </c>
      <c r="AA1882" s="3" t="n">
        <v>15319.349635</v>
      </c>
      <c r="AB1882" s="3" t="n">
        <v>17052.285807</v>
      </c>
      <c r="AC1882" s="3" t="n">
        <v>19239.559975</v>
      </c>
      <c r="AD1882" s="3" t="n">
        <v>21011.180991</v>
      </c>
      <c r="AE1882" s="3" t="n">
        <v>21717.350733</v>
      </c>
      <c r="AF1882" s="3" t="n">
        <v>23125.335333</v>
      </c>
      <c r="AG1882" s="3" t="n">
        <v>24518.47979</v>
      </c>
      <c r="AH1882" s="3" t="n">
        <v>26025.301112</v>
      </c>
      <c r="AI1882" s="3" t="n">
        <v>27558.308034</v>
      </c>
      <c r="AJ1882" s="3" t="n">
        <v>29007.10111</v>
      </c>
      <c r="AK1882" s="3" t="n">
        <v>30499.071551</v>
      </c>
      <c r="AL1882" s="3" t="n">
        <v>32077.545725</v>
      </c>
      <c r="AM1882" s="3" t="n"/>
      <c r="AN1882" s="3" t="n"/>
      <c r="AO1882" s="3" t="n"/>
      <c r="AP1882" s="3" t="n"/>
      <c r="AQ1882" s="3" t="n"/>
      <c r="AR1882" s="3" t="n"/>
      <c r="AS1882" s="3" t="n"/>
      <c r="AT1882" s="3" t="n"/>
      <c r="AU1882" s="3" t="n"/>
    </row>
    <row r="1883">
      <c r="A1883" s="3" t="n">
        <v>2031</v>
      </c>
      <c r="B1883" s="3" t="inlineStr">
        <is>
          <t>LVA</t>
        </is>
      </c>
      <c r="C1883" s="3" t="inlineStr">
        <is>
          <t>IMF.RES:WEO</t>
        </is>
      </c>
      <c r="D1883" s="3" t="inlineStr">
        <is>
          <t>LVA.NGDPRPC.A</t>
        </is>
      </c>
      <c r="E1883" s="3" t="inlineStr">
        <is>
          <t>Latvia, Republic of</t>
        </is>
      </c>
      <c r="F1883" s="3" t="inlineStr">
        <is>
          <t>Gross domestic product (GDP), Constant prices, Per capita, Domestic currency</t>
        </is>
      </c>
      <c r="G1883" s="3" t="n">
        <v>6500.274818</v>
      </c>
      <c r="H1883" s="3" t="n">
        <v>7003.539048</v>
      </c>
      <c r="I1883" s="3" t="n">
        <v>7645.747421</v>
      </c>
      <c r="J1883" s="3" t="n">
        <v>8367.971756999999</v>
      </c>
      <c r="K1883" s="3" t="n">
        <v>9189.48871</v>
      </c>
      <c r="L1883" s="3" t="n">
        <v>10379.044709</v>
      </c>
      <c r="M1883" s="3" t="n">
        <v>11825.007343</v>
      </c>
      <c r="N1883" s="3" t="n">
        <v>13169.037358</v>
      </c>
      <c r="O1883" s="3" t="n">
        <v>12821.630249</v>
      </c>
      <c r="P1883" s="3" t="n">
        <v>10909.259682</v>
      </c>
      <c r="Q1883" s="3" t="n">
        <v>10719.643943</v>
      </c>
      <c r="R1883" s="3" t="n">
        <v>11289.49378</v>
      </c>
      <c r="S1883" s="3" t="n">
        <v>12290.717484</v>
      </c>
      <c r="T1883" s="3" t="n">
        <v>12678.47403</v>
      </c>
      <c r="U1883" s="3" t="n">
        <v>13088.672608</v>
      </c>
      <c r="V1883" s="3" t="n">
        <v>13689.001679</v>
      </c>
      <c r="W1883" s="3" t="n">
        <v>14160.500013</v>
      </c>
      <c r="X1883" s="3" t="n">
        <v>14783.269425</v>
      </c>
      <c r="Y1883" s="3" t="n">
        <v>15545.837189</v>
      </c>
      <c r="Z1883" s="3" t="n">
        <v>15768.302599</v>
      </c>
      <c r="AA1883" s="3" t="n">
        <v>15319.349635</v>
      </c>
      <c r="AB1883" s="3" t="n">
        <v>16507.961429</v>
      </c>
      <c r="AC1883" s="3" t="n">
        <v>16979.667805</v>
      </c>
      <c r="AD1883" s="3" t="n">
        <v>16755.017691</v>
      </c>
      <c r="AE1883" s="3" t="n">
        <v>16848.359454</v>
      </c>
      <c r="AF1883" s="3" t="n">
        <v>17313.227216</v>
      </c>
      <c r="AG1883" s="3" t="n">
        <v>17732.701103</v>
      </c>
      <c r="AH1883" s="3" t="n">
        <v>18189.942184</v>
      </c>
      <c r="AI1883" s="3" t="n">
        <v>18660.269815</v>
      </c>
      <c r="AJ1883" s="3" t="n">
        <v>19142.809148</v>
      </c>
      <c r="AK1883" s="3" t="n">
        <v>19635.453782</v>
      </c>
      <c r="AL1883" s="3" t="n">
        <v>20140.155115</v>
      </c>
      <c r="AM1883" s="3" t="n"/>
      <c r="AN1883" s="3" t="n"/>
      <c r="AO1883" s="3" t="n"/>
      <c r="AP1883" s="3" t="n"/>
      <c r="AQ1883" s="3" t="n"/>
      <c r="AR1883" s="3" t="n"/>
      <c r="AS1883" s="3" t="n"/>
      <c r="AT1883" s="3" t="n"/>
      <c r="AU1883" s="3" t="n"/>
    </row>
    <row r="1884">
      <c r="A1884" s="3" t="n">
        <v>2031</v>
      </c>
      <c r="B1884" s="3" t="inlineStr">
        <is>
          <t>LVA</t>
        </is>
      </c>
      <c r="C1884" s="3" t="inlineStr">
        <is>
          <t>IMF.RES:WEO</t>
        </is>
      </c>
      <c r="D1884" s="3" t="inlineStr">
        <is>
          <t>LVA.PCPI.A</t>
        </is>
      </c>
      <c r="E1884" s="3" t="inlineStr">
        <is>
          <t>Latvia, Republic of</t>
        </is>
      </c>
      <c r="F1884" s="3" t="inlineStr">
        <is>
          <t>All Items, Consumer price index (CPI), Period average</t>
        </is>
      </c>
      <c r="G1884" s="3" t="n">
        <v>36.5825</v>
      </c>
      <c r="H1884" s="3" t="n">
        <v>37.505833</v>
      </c>
      <c r="I1884" s="3" t="n">
        <v>38.2425</v>
      </c>
      <c r="J1884" s="3" t="n">
        <v>39.368333</v>
      </c>
      <c r="K1884" s="3" t="n">
        <v>41.8025</v>
      </c>
      <c r="L1884" s="3" t="n">
        <v>44.681667</v>
      </c>
      <c r="M1884" s="3" t="n">
        <v>47.618333</v>
      </c>
      <c r="N1884" s="3" t="n">
        <v>52.418333</v>
      </c>
      <c r="O1884" s="3" t="n">
        <v>60.415833</v>
      </c>
      <c r="P1884" s="3" t="n">
        <v>62.385833</v>
      </c>
      <c r="Q1884" s="3" t="n">
        <v>61.618333</v>
      </c>
      <c r="R1884" s="3" t="n">
        <v>64.220833</v>
      </c>
      <c r="S1884" s="3" t="n">
        <v>65.689167</v>
      </c>
      <c r="T1884" s="3" t="n">
        <v>65.69750000000001</v>
      </c>
      <c r="U1884" s="3" t="n">
        <v>66.1525</v>
      </c>
      <c r="V1884" s="3" t="n">
        <v>66.29083300000001</v>
      </c>
      <c r="W1884" s="3" t="n">
        <v>66.3575</v>
      </c>
      <c r="X1884" s="3" t="n">
        <v>68.2775</v>
      </c>
      <c r="Y1884" s="3" t="n">
        <v>70.02166699999999</v>
      </c>
      <c r="Z1884" s="3" t="n">
        <v>71.94499999999999</v>
      </c>
      <c r="AA1884" s="3" t="n">
        <v>72.003333</v>
      </c>
      <c r="AB1884" s="3" t="n">
        <v>74.33499999999999</v>
      </c>
      <c r="AC1884" s="3" t="n">
        <v>87.153333</v>
      </c>
      <c r="AD1884" s="3" t="n">
        <v>95.0475</v>
      </c>
      <c r="AE1884" s="3" t="n">
        <v>96.33</v>
      </c>
      <c r="AF1884" s="3" t="n">
        <v>99.999167</v>
      </c>
      <c r="AG1884" s="3" t="n">
        <v>102.991158</v>
      </c>
      <c r="AH1884" s="3" t="n">
        <v>105.794958</v>
      </c>
      <c r="AI1884" s="3" t="n">
        <v>108.816579</v>
      </c>
      <c r="AJ1884" s="3" t="n">
        <v>111.22235</v>
      </c>
      <c r="AK1884" s="3" t="n">
        <v>113.626806</v>
      </c>
      <c r="AL1884" s="3" t="n">
        <v>116.126596</v>
      </c>
      <c r="AM1884" s="3" t="n"/>
      <c r="AN1884" s="3" t="n"/>
      <c r="AO1884" s="3" t="n"/>
      <c r="AP1884" s="3" t="n"/>
      <c r="AQ1884" s="3" t="n"/>
      <c r="AR1884" s="3" t="n"/>
      <c r="AS1884" s="3" t="n"/>
      <c r="AT1884" s="3" t="n"/>
      <c r="AU1884" s="3" t="n"/>
    </row>
    <row r="1885">
      <c r="A1885" s="3" t="n">
        <v>2031</v>
      </c>
      <c r="B1885" s="3" t="inlineStr">
        <is>
          <t>LVA</t>
        </is>
      </c>
      <c r="C1885" s="3" t="inlineStr">
        <is>
          <t>IMF.RES:WEO</t>
        </is>
      </c>
      <c r="D1885" s="3" t="inlineStr">
        <is>
          <t>LVA.PCPIPCH.A</t>
        </is>
      </c>
      <c r="E1885" s="3" t="inlineStr">
        <is>
          <t>Latvia, Republic of</t>
        </is>
      </c>
      <c r="F1885" s="3" t="inlineStr">
        <is>
          <t>All Items, Consumer price index (CPI), Period average, percent change</t>
        </is>
      </c>
      <c r="G1885" s="3" t="n">
        <v>2.637301</v>
      </c>
      <c r="H1885" s="3" t="n">
        <v>2.523975</v>
      </c>
      <c r="I1885" s="3" t="n">
        <v>1.964139</v>
      </c>
      <c r="J1885" s="3" t="n">
        <v>2.943932</v>
      </c>
      <c r="K1885" s="3" t="n">
        <v>6.183057</v>
      </c>
      <c r="L1885" s="3" t="n">
        <v>6.887547</v>
      </c>
      <c r="M1885" s="3" t="n">
        <v>6.57242</v>
      </c>
      <c r="N1885" s="3" t="n">
        <v>10.080151</v>
      </c>
      <c r="O1885" s="3" t="n">
        <v>15.257067</v>
      </c>
      <c r="P1885" s="3" t="n">
        <v>3.260735</v>
      </c>
      <c r="Q1885" s="3" t="n">
        <v>-1.230247</v>
      </c>
      <c r="R1885" s="3" t="n">
        <v>4.223581</v>
      </c>
      <c r="S1885" s="3" t="n">
        <v>2.286382</v>
      </c>
      <c r="T1885" s="3" t="n">
        <v>0.012686</v>
      </c>
      <c r="U1885" s="3" t="n">
        <v>0.692568</v>
      </c>
      <c r="V1885" s="3" t="n">
        <v>0.209113</v>
      </c>
      <c r="W1885" s="3" t="n">
        <v>0.100567</v>
      </c>
      <c r="X1885" s="3" t="n">
        <v>2.893418</v>
      </c>
      <c r="Y1885" s="3" t="n">
        <v>2.554526</v>
      </c>
      <c r="Z1885" s="3" t="n">
        <v>2.746769</v>
      </c>
      <c r="AA1885" s="3" t="n">
        <v>0.08108</v>
      </c>
      <c r="AB1885" s="3" t="n">
        <v>3.238276</v>
      </c>
      <c r="AC1885" s="3" t="n">
        <v>17.244008</v>
      </c>
      <c r="AD1885" s="3" t="n">
        <v>9.057791</v>
      </c>
      <c r="AE1885" s="3" t="n">
        <v>1.349325</v>
      </c>
      <c r="AF1885" s="3" t="n">
        <v>3.808955</v>
      </c>
      <c r="AG1885" s="3" t="n">
        <v>2.992016</v>
      </c>
      <c r="AH1885" s="3" t="n">
        <v>2.722369</v>
      </c>
      <c r="AI1885" s="3" t="n">
        <v>2.856111</v>
      </c>
      <c r="AJ1885" s="3" t="n">
        <v>2.21085</v>
      </c>
      <c r="AK1885" s="3" t="n">
        <v>2.161846</v>
      </c>
      <c r="AL1885" s="3" t="n">
        <v>2.2</v>
      </c>
      <c r="AM1885" s="3" t="n"/>
      <c r="AN1885" s="3" t="n"/>
      <c r="AO1885" s="3" t="n"/>
      <c r="AP1885" s="3" t="n"/>
      <c r="AQ1885" s="3" t="n"/>
      <c r="AR1885" s="3" t="n"/>
      <c r="AS1885" s="3" t="n"/>
      <c r="AT1885" s="3" t="n"/>
      <c r="AU1885" s="3" t="n"/>
    </row>
    <row r="1886">
      <c r="A1886" s="3" t="n">
        <v>2031</v>
      </c>
      <c r="B1886" s="3" t="inlineStr">
        <is>
          <t>LVA</t>
        </is>
      </c>
      <c r="C1886" s="3" t="inlineStr">
        <is>
          <t>IMF.RES:WEO</t>
        </is>
      </c>
      <c r="D1886" s="3" t="inlineStr">
        <is>
          <t>LVA.PPPPC.A</t>
        </is>
      </c>
      <c r="E1886" s="3" t="inlineStr">
        <is>
          <t>Latvia, Republic of</t>
        </is>
      </c>
      <c r="F1886" s="3" t="inlineStr">
        <is>
          <t>Gross domestic product (GDP), Per capita, purchasing power parity (PPP) international dollar, ICP benchmarks 2017-2021</t>
        </is>
      </c>
      <c r="G1886" s="3" t="n">
        <v>8804.425945000001</v>
      </c>
      <c r="H1886" s="3" t="n">
        <v>9699.672705000001</v>
      </c>
      <c r="I1886" s="3" t="n">
        <v>10753.668876</v>
      </c>
      <c r="J1886" s="3" t="n">
        <v>12001.825063</v>
      </c>
      <c r="K1886" s="3" t="n">
        <v>13534.488806</v>
      </c>
      <c r="L1886" s="3" t="n">
        <v>15765.851116</v>
      </c>
      <c r="M1886" s="3" t="n">
        <v>18516.215357</v>
      </c>
      <c r="N1886" s="3" t="n">
        <v>21179.440187</v>
      </c>
      <c r="O1886" s="3" t="n">
        <v>21017.953598</v>
      </c>
      <c r="P1886" s="3" t="n">
        <v>17993.378286</v>
      </c>
      <c r="Q1886" s="3" t="n">
        <v>17895.518161</v>
      </c>
      <c r="R1886" s="3" t="n">
        <v>19235.690143</v>
      </c>
      <c r="S1886" s="3" t="n">
        <v>21331.551782</v>
      </c>
      <c r="T1886" s="3" t="n">
        <v>22379.053453</v>
      </c>
      <c r="U1886" s="3" t="n">
        <v>23505.494178</v>
      </c>
      <c r="V1886" s="3" t="n">
        <v>24811.753317</v>
      </c>
      <c r="W1886" s="3" t="n">
        <v>25910.24692</v>
      </c>
      <c r="X1886" s="3" t="n">
        <v>27534.193803</v>
      </c>
      <c r="Y1886" s="3" t="n">
        <v>29706.771942</v>
      </c>
      <c r="Z1886" s="3" t="n">
        <v>32096.046381</v>
      </c>
      <c r="AA1886" s="3" t="n">
        <v>32617.399168</v>
      </c>
      <c r="AB1886" s="3" t="n">
        <v>35438.975392</v>
      </c>
      <c r="AC1886" s="3" t="n">
        <v>39044.216141</v>
      </c>
      <c r="AD1886" s="3" t="n">
        <v>39953.175757</v>
      </c>
      <c r="AE1886" s="3" t="n">
        <v>41173.13494</v>
      </c>
      <c r="AF1886" s="3" t="n">
        <v>43509.366268</v>
      </c>
      <c r="AG1886" s="3" t="n">
        <v>45840.212623</v>
      </c>
      <c r="AH1886" s="3" t="n">
        <v>48054.772942</v>
      </c>
      <c r="AI1886" s="3" t="n">
        <v>50106.460772</v>
      </c>
      <c r="AJ1886" s="3" t="n">
        <v>52316.159344</v>
      </c>
      <c r="AK1886" s="3" t="n">
        <v>54648.591192</v>
      </c>
      <c r="AL1886" s="3" t="n">
        <v>57065.185704</v>
      </c>
      <c r="AM1886" s="3" t="n"/>
      <c r="AN1886" s="3" t="n"/>
      <c r="AO1886" s="3" t="n"/>
      <c r="AP1886" s="3" t="n"/>
      <c r="AQ1886" s="3" t="n"/>
      <c r="AR1886" s="3" t="n"/>
      <c r="AS1886" s="3" t="n"/>
      <c r="AT1886" s="3" t="n"/>
      <c r="AU1886" s="3" t="n"/>
    </row>
    <row r="1887">
      <c r="A1887" s="3" t="n">
        <v>2013</v>
      </c>
      <c r="B1887" s="3" t="inlineStr">
        <is>
          <t>LVA</t>
        </is>
      </c>
      <c r="C1887" s="3" t="inlineStr">
        <is>
          <t>IMF.STA:ER</t>
        </is>
      </c>
      <c r="D1887" s="3" t="inlineStr">
        <is>
          <t>LVA.XDC_USD.PA_RT.A</t>
        </is>
      </c>
      <c r="E1887" s="3" t="inlineStr">
        <is>
          <t>Latvia, Republic of</t>
        </is>
      </c>
      <c r="F1887" s="3" t="inlineStr">
        <is>
          <t>Domestic currency per US Dollar</t>
        </is>
      </c>
      <c r="G1887" s="3" t="n">
        <v>0.6065</v>
      </c>
      <c r="H1887" s="3" t="n">
        <v>0.627916666666667</v>
      </c>
      <c r="I1887" s="3" t="n">
        <v>0.618191666666667</v>
      </c>
      <c r="J1887" s="3" t="n">
        <v>0.571475</v>
      </c>
      <c r="K1887" s="3" t="n">
        <v>0.540233333333333</v>
      </c>
      <c r="L1887" s="3" t="n">
        <v>0.564716666666667</v>
      </c>
      <c r="M1887" s="3" t="n">
        <v>0.560408333333333</v>
      </c>
      <c r="N1887" s="3" t="n">
        <v>0.513791666666667</v>
      </c>
      <c r="O1887" s="3" t="n">
        <v>0.480816666666667</v>
      </c>
      <c r="P1887" s="3" t="n">
        <v>0.5055500000000001</v>
      </c>
      <c r="Q1887" s="3" t="n">
        <v>0.530475</v>
      </c>
      <c r="R1887" s="3" t="n">
        <v>0.501233333333333</v>
      </c>
      <c r="S1887" s="3" t="n">
        <v>0.546875</v>
      </c>
      <c r="T1887" s="3" t="n">
        <v>0.529391666666667</v>
      </c>
      <c r="U1887" s="3" t="n"/>
      <c r="V1887" s="3" t="n"/>
      <c r="W1887" s="3" t="n"/>
      <c r="X1887" s="3" t="n"/>
      <c r="Y1887" s="3" t="n"/>
      <c r="Z1887" s="3" t="n"/>
      <c r="AA1887" s="3" t="n"/>
      <c r="AB1887" s="3" t="n"/>
      <c r="AC1887" s="3" t="n"/>
      <c r="AD1887" s="3" t="n"/>
      <c r="AE1887" s="3" t="n"/>
      <c r="AF1887" s="3" t="n"/>
      <c r="AG1887" s="3" t="n"/>
      <c r="AH1887" s="3" t="n"/>
      <c r="AI1887" s="3" t="n"/>
      <c r="AJ1887" s="3" t="n"/>
      <c r="AK1887" s="3" t="n"/>
      <c r="AL1887" s="3" t="n"/>
      <c r="AM1887" s="3" t="n"/>
      <c r="AN1887" s="3" t="n"/>
      <c r="AO1887" s="3" t="n"/>
      <c r="AP1887" s="3" t="n"/>
      <c r="AQ1887" s="3" t="n"/>
      <c r="AR1887" s="3" t="n"/>
      <c r="AS1887" s="3" t="n"/>
      <c r="AT1887" s="3" t="n"/>
      <c r="AU1887" s="3" t="n"/>
    </row>
    <row r="1888">
      <c r="A1888" s="3" t="n">
        <v>2031</v>
      </c>
      <c r="B1888" s="3" t="inlineStr">
        <is>
          <t>MAC</t>
        </is>
      </c>
      <c r="C1888" s="3" t="inlineStr">
        <is>
          <t>IMF.RES:WEO</t>
        </is>
      </c>
      <c r="D1888" s="3" t="inlineStr">
        <is>
          <t>MAC.BCA.A</t>
        </is>
      </c>
      <c r="E1888" s="3" t="inlineStr">
        <is>
          <t>Macao Special Administrative Region, People's Republic of China</t>
        </is>
      </c>
      <c r="F1888" s="3" t="inlineStr">
        <is>
          <t>Current account balance (credit less debit), US dollar</t>
        </is>
      </c>
      <c r="G1888" s="3" t="n"/>
      <c r="H1888" s="3" t="n"/>
      <c r="I1888" s="3" t="n">
        <v>2.324192</v>
      </c>
      <c r="J1888" s="3" t="n">
        <v>2.524835</v>
      </c>
      <c r="K1888" s="3" t="n">
        <v>3.507498</v>
      </c>
      <c r="L1888" s="3" t="n">
        <v>2.876302</v>
      </c>
      <c r="M1888" s="3" t="n">
        <v>2.215149</v>
      </c>
      <c r="N1888" s="3" t="n">
        <v>3.998679</v>
      </c>
      <c r="O1888" s="3" t="n">
        <v>3.272184</v>
      </c>
      <c r="P1888" s="3" t="n">
        <v>5.946717</v>
      </c>
      <c r="Q1888" s="3" t="n">
        <v>10.991669</v>
      </c>
      <c r="R1888" s="3" t="n">
        <v>14.878562</v>
      </c>
      <c r="S1888" s="3" t="n">
        <v>16.772191</v>
      </c>
      <c r="T1888" s="3" t="n">
        <v>20.271917</v>
      </c>
      <c r="U1888" s="3" t="n">
        <v>17.956378</v>
      </c>
      <c r="V1888" s="3" t="n">
        <v>10.515352</v>
      </c>
      <c r="W1888" s="3" t="n">
        <v>11.961613</v>
      </c>
      <c r="X1888" s="3" t="n">
        <v>15.467262</v>
      </c>
      <c r="Y1888" s="3" t="n">
        <v>18.102743</v>
      </c>
      <c r="Z1888" s="3" t="n">
        <v>18.413411</v>
      </c>
      <c r="AA1888" s="3" t="n">
        <v>3.487671</v>
      </c>
      <c r="AB1888" s="3" t="n">
        <v>2.605189</v>
      </c>
      <c r="AC1888" s="3" t="n">
        <v>3.393723</v>
      </c>
      <c r="AD1888" s="3" t="n">
        <v>14.316259</v>
      </c>
      <c r="AE1888" s="3" t="n">
        <v>17.952309</v>
      </c>
      <c r="AF1888" s="3" t="n">
        <v>18.601172</v>
      </c>
      <c r="AG1888" s="3" t="n">
        <v>18.976377</v>
      </c>
      <c r="AH1888" s="3" t="n">
        <v>19.450942</v>
      </c>
      <c r="AI1888" s="3" t="n">
        <v>20.22774</v>
      </c>
      <c r="AJ1888" s="3" t="n">
        <v>21.007211</v>
      </c>
      <c r="AK1888" s="3" t="n">
        <v>21.679406</v>
      </c>
      <c r="AL1888" s="3" t="n">
        <v>22.318403</v>
      </c>
      <c r="AM1888" s="3" t="n"/>
      <c r="AN1888" s="3" t="n"/>
      <c r="AO1888" s="3" t="n"/>
      <c r="AP1888" s="3" t="n"/>
      <c r="AQ1888" s="3" t="n"/>
      <c r="AR1888" s="3" t="n"/>
      <c r="AS1888" s="3" t="n"/>
      <c r="AT1888" s="3" t="n"/>
      <c r="AU1888" s="3" t="n"/>
    </row>
    <row r="1889">
      <c r="A1889" s="3" t="n">
        <v>2031</v>
      </c>
      <c r="B1889" s="3" t="inlineStr">
        <is>
          <t>MAC</t>
        </is>
      </c>
      <c r="C1889" s="3" t="inlineStr">
        <is>
          <t>IMF.RES:WEO</t>
        </is>
      </c>
      <c r="D1889" s="3" t="inlineStr">
        <is>
          <t>MAC.BCA_NGDPD.A</t>
        </is>
      </c>
      <c r="E1889" s="3" t="inlineStr">
        <is>
          <t>Macao Special Administrative Region, People's Republic of China</t>
        </is>
      </c>
      <c r="F1889" s="3" t="inlineStr">
        <is>
          <t>Current account balance (credit less debit), Percent of GDP</t>
        </is>
      </c>
      <c r="G1889" s="3" t="n"/>
      <c r="H1889" s="3" t="n"/>
      <c r="I1889" s="3" t="n">
        <v>31.529137</v>
      </c>
      <c r="J1889" s="3" t="n">
        <v>30.616659</v>
      </c>
      <c r="K1889" s="3" t="n">
        <v>32.955191</v>
      </c>
      <c r="L1889" s="3" t="n">
        <v>23.653447</v>
      </c>
      <c r="M1889" s="3" t="n">
        <v>14.892558</v>
      </c>
      <c r="N1889" s="3" t="n">
        <v>21.684822</v>
      </c>
      <c r="O1889" s="3" t="n">
        <v>15.561971</v>
      </c>
      <c r="P1889" s="3" t="n">
        <v>27.54455</v>
      </c>
      <c r="Q1889" s="3" t="n">
        <v>38.916555</v>
      </c>
      <c r="R1889" s="3" t="n">
        <v>40.379384</v>
      </c>
      <c r="S1889" s="3" t="n">
        <v>38.830382</v>
      </c>
      <c r="T1889" s="3" t="n">
        <v>39.317808</v>
      </c>
      <c r="U1889" s="3" t="n">
        <v>32.689258</v>
      </c>
      <c r="V1889" s="3" t="n">
        <v>23.398333</v>
      </c>
      <c r="W1889" s="3" t="n">
        <v>26.602144</v>
      </c>
      <c r="X1889" s="3" t="n">
        <v>30.751841</v>
      </c>
      <c r="Y1889" s="3" t="n">
        <v>32.868371</v>
      </c>
      <c r="Z1889" s="3" t="n">
        <v>33.463617</v>
      </c>
      <c r="AA1889" s="3" t="n">
        <v>13.796135</v>
      </c>
      <c r="AB1889" s="3" t="n">
        <v>8.504265</v>
      </c>
      <c r="AC1889" s="3" t="n">
        <v>13.613237</v>
      </c>
      <c r="AD1889" s="3" t="n">
        <v>31.377008</v>
      </c>
      <c r="AE1889" s="3" t="n">
        <v>36.291294</v>
      </c>
      <c r="AF1889" s="3" t="n">
        <v>35.729653</v>
      </c>
      <c r="AG1889" s="3" t="n">
        <v>34.994003</v>
      </c>
      <c r="AH1889" s="3" t="n">
        <v>34.238314</v>
      </c>
      <c r="AI1889" s="3" t="n">
        <v>33.912023</v>
      </c>
      <c r="AJ1889" s="3" t="n">
        <v>33.58994</v>
      </c>
      <c r="AK1889" s="3" t="n">
        <v>33.074634</v>
      </c>
      <c r="AL1889" s="3" t="n">
        <v>32.515753</v>
      </c>
      <c r="AM1889" s="3" t="n"/>
      <c r="AN1889" s="3" t="n"/>
      <c r="AO1889" s="3" t="n"/>
      <c r="AP1889" s="3" t="n"/>
      <c r="AQ1889" s="3" t="n"/>
      <c r="AR1889" s="3" t="n"/>
      <c r="AS1889" s="3" t="n"/>
      <c r="AT1889" s="3" t="n"/>
      <c r="AU1889" s="3" t="n"/>
    </row>
    <row r="1890">
      <c r="A1890" s="3" t="n">
        <v>2031</v>
      </c>
      <c r="B1890" s="3" t="inlineStr">
        <is>
          <t>MAC</t>
        </is>
      </c>
      <c r="C1890" s="3" t="inlineStr">
        <is>
          <t>IMF.RES:WEO</t>
        </is>
      </c>
      <c r="D1890" s="3" t="inlineStr">
        <is>
          <t>MAC.GGR_NGDP.A</t>
        </is>
      </c>
      <c r="E1890" s="3" t="inlineStr">
        <is>
          <t>Macao Special Administrative Region, People's Republic of China</t>
        </is>
      </c>
      <c r="F1890" s="3" t="inlineStr">
        <is>
          <t>Revenue, General government, Percent of GDP</t>
        </is>
      </c>
      <c r="G1890" s="3" t="n"/>
      <c r="H1890" s="3" t="n">
        <v>20.159291</v>
      </c>
      <c r="I1890" s="3" t="n">
        <v>20.086717</v>
      </c>
      <c r="J1890" s="3" t="n">
        <v>23.114218</v>
      </c>
      <c r="K1890" s="3" t="n">
        <v>23.715291</v>
      </c>
      <c r="L1890" s="3" t="n">
        <v>24.448756</v>
      </c>
      <c r="M1890" s="3" t="n">
        <v>24.429694</v>
      </c>
      <c r="N1890" s="3" t="n">
        <v>28.971169</v>
      </c>
      <c r="O1890" s="3" t="n">
        <v>33.166036</v>
      </c>
      <c r="P1890" s="3" t="n">
        <v>32.877631</v>
      </c>
      <c r="Q1890" s="3" t="n">
        <v>36.530138</v>
      </c>
      <c r="R1890" s="3" t="n">
        <v>39.850199</v>
      </c>
      <c r="S1890" s="3" t="n">
        <v>39.169014</v>
      </c>
      <c r="T1890" s="3" t="n">
        <v>38.243751</v>
      </c>
      <c r="U1890" s="3" t="n">
        <v>37.241425</v>
      </c>
      <c r="V1890" s="3" t="n">
        <v>31.829031</v>
      </c>
      <c r="W1890" s="3" t="n">
        <v>30.305666</v>
      </c>
      <c r="X1890" s="3" t="n">
        <v>31.976284</v>
      </c>
      <c r="Y1890" s="3" t="n">
        <v>31.44723</v>
      </c>
      <c r="Z1890" s="3" t="n">
        <v>32.928085</v>
      </c>
      <c r="AA1890" s="3" t="n">
        <v>27.980486</v>
      </c>
      <c r="AB1890" s="3" t="n">
        <v>24.79264</v>
      </c>
      <c r="AC1890" s="3" t="n">
        <v>20.664995</v>
      </c>
      <c r="AD1890" s="3" t="n">
        <v>27.426739</v>
      </c>
      <c r="AE1890" s="3" t="n">
        <v>31.86443</v>
      </c>
      <c r="AF1890" s="3" t="n">
        <v>31.07467</v>
      </c>
      <c r="AG1890" s="3" t="n">
        <v>30.47068</v>
      </c>
      <c r="AH1890" s="3" t="n">
        <v>31.081379</v>
      </c>
      <c r="AI1890" s="3" t="n">
        <v>31.591379</v>
      </c>
      <c r="AJ1890" s="3" t="n">
        <v>32.001379</v>
      </c>
      <c r="AK1890" s="3" t="n">
        <v>32.011379</v>
      </c>
      <c r="AL1890" s="3" t="n">
        <v>32.011379</v>
      </c>
      <c r="AM1890" s="3" t="n"/>
      <c r="AN1890" s="3" t="n"/>
      <c r="AO1890" s="3" t="n"/>
      <c r="AP1890" s="3" t="n"/>
      <c r="AQ1890" s="3" t="n"/>
      <c r="AR1890" s="3" t="n"/>
      <c r="AS1890" s="3" t="n"/>
      <c r="AT1890" s="3" t="n"/>
      <c r="AU1890" s="3" t="n"/>
    </row>
    <row r="1891">
      <c r="A1891" s="3" t="n">
        <v>2031</v>
      </c>
      <c r="B1891" s="3" t="inlineStr">
        <is>
          <t>MAC</t>
        </is>
      </c>
      <c r="C1891" s="3" t="inlineStr">
        <is>
          <t>IMF.RES:WEO</t>
        </is>
      </c>
      <c r="D1891" s="3" t="inlineStr">
        <is>
          <t>MAC.GGX_NGDP.A</t>
        </is>
      </c>
      <c r="E1891" s="3" t="inlineStr">
        <is>
          <t>Macao Special Administrative Region, People's Republic of China</t>
        </is>
      </c>
      <c r="F1891" s="3" t="inlineStr">
        <is>
          <t>Expenditure, General government, Percent of GDP</t>
        </is>
      </c>
      <c r="G1891" s="3" t="n"/>
      <c r="H1891" s="3" t="n">
        <v>16.896515</v>
      </c>
      <c r="I1891" s="3" t="n">
        <v>17.42428</v>
      </c>
      <c r="J1891" s="3" t="n">
        <v>18.314879</v>
      </c>
      <c r="K1891" s="3" t="n">
        <v>15.917515</v>
      </c>
      <c r="L1891" s="3" t="n">
        <v>16.1339</v>
      </c>
      <c r="M1891" s="3" t="n">
        <v>14.688905</v>
      </c>
      <c r="N1891" s="3" t="n">
        <v>12.594312</v>
      </c>
      <c r="O1891" s="3" t="n">
        <v>15.686834</v>
      </c>
      <c r="P1891" s="3" t="n">
        <v>19.513246</v>
      </c>
      <c r="Q1891" s="3" t="n">
        <v>17.126459</v>
      </c>
      <c r="R1891" s="3" t="n">
        <v>15.181371</v>
      </c>
      <c r="S1891" s="3" t="n">
        <v>15.189816</v>
      </c>
      <c r="T1891" s="3" t="n">
        <v>11.269496</v>
      </c>
      <c r="U1891" s="3" t="n">
        <v>13.093207</v>
      </c>
      <c r="V1891" s="3" t="n">
        <v>17.978808</v>
      </c>
      <c r="W1891" s="3" t="n">
        <v>18.864244</v>
      </c>
      <c r="X1891" s="3" t="n">
        <v>18.679438</v>
      </c>
      <c r="Y1891" s="3" t="n">
        <v>18.093958</v>
      </c>
      <c r="Z1891" s="3" t="n">
        <v>18.473103</v>
      </c>
      <c r="AA1891" s="3" t="n">
        <v>49.444462</v>
      </c>
      <c r="AB1891" s="3" t="n">
        <v>37.824954</v>
      </c>
      <c r="AC1891" s="3" t="n">
        <v>57.803831</v>
      </c>
      <c r="AD1891" s="3" t="n">
        <v>25.307544</v>
      </c>
      <c r="AE1891" s="3" t="n">
        <v>24.854647</v>
      </c>
      <c r="AF1891" s="3" t="n">
        <v>26.572024</v>
      </c>
      <c r="AG1891" s="3" t="n">
        <v>26.259021</v>
      </c>
      <c r="AH1891" s="3" t="n">
        <v>26.230569</v>
      </c>
      <c r="AI1891" s="3" t="n">
        <v>26.282018</v>
      </c>
      <c r="AJ1891" s="3" t="n">
        <v>26.446598</v>
      </c>
      <c r="AK1891" s="3" t="n">
        <v>26.427641</v>
      </c>
      <c r="AL1891" s="3" t="n">
        <v>26.581985</v>
      </c>
      <c r="AM1891" s="3" t="n"/>
      <c r="AN1891" s="3" t="n"/>
      <c r="AO1891" s="3" t="n"/>
      <c r="AP1891" s="3" t="n"/>
      <c r="AQ1891" s="3" t="n"/>
      <c r="AR1891" s="3" t="n"/>
      <c r="AS1891" s="3" t="n"/>
      <c r="AT1891" s="3" t="n"/>
      <c r="AU1891" s="3" t="n"/>
    </row>
    <row r="1892">
      <c r="A1892" s="3" t="n">
        <v>2027</v>
      </c>
      <c r="B1892" s="3" t="inlineStr">
        <is>
          <t>MAC</t>
        </is>
      </c>
      <c r="C1892" s="3" t="inlineStr">
        <is>
          <t>IMF.RES:WEO</t>
        </is>
      </c>
      <c r="D1892" s="3" t="inlineStr">
        <is>
          <t>MAC.LE.A</t>
        </is>
      </c>
      <c r="E1892" s="3" t="inlineStr">
        <is>
          <t>Macao Special Administrative Region, People's Republic of China</t>
        </is>
      </c>
      <c r="F1892" s="3" t="inlineStr">
        <is>
          <t>Employed persons, Persons for countries / Index for country groups</t>
        </is>
      </c>
      <c r="G1892" s="3" t="n"/>
      <c r="H1892" s="3" t="n">
        <v>0.205</v>
      </c>
      <c r="I1892" s="3" t="n">
        <v>0.2049</v>
      </c>
      <c r="J1892" s="3" t="n">
        <v>0.2054</v>
      </c>
      <c r="K1892" s="3" t="n">
        <v>0.2191</v>
      </c>
      <c r="L1892" s="3" t="n">
        <v>0.2375</v>
      </c>
      <c r="M1892" s="3" t="n">
        <v>0.2642</v>
      </c>
      <c r="N1892" s="3" t="n">
        <v>0.293</v>
      </c>
      <c r="O1892" s="3" t="n">
        <v>0.3171</v>
      </c>
      <c r="P1892" s="3" t="n">
        <v>0.3119</v>
      </c>
      <c r="Q1892" s="3" t="n">
        <v>0.3148</v>
      </c>
      <c r="R1892" s="3" t="n">
        <v>0.3276</v>
      </c>
      <c r="S1892" s="3" t="n">
        <v>0.3432</v>
      </c>
      <c r="T1892" s="3" t="n">
        <v>0.361</v>
      </c>
      <c r="U1892" s="3" t="n">
        <v>0.3881</v>
      </c>
      <c r="V1892" s="3" t="n">
        <v>0.3965</v>
      </c>
      <c r="W1892" s="3" t="n">
        <v>0.3897</v>
      </c>
      <c r="X1892" s="3" t="n">
        <v>0.3798</v>
      </c>
      <c r="Y1892" s="3" t="n">
        <v>0.3854</v>
      </c>
      <c r="Z1892" s="3" t="n">
        <v>0.3878</v>
      </c>
      <c r="AA1892" s="3" t="n">
        <v>0.3951</v>
      </c>
      <c r="AB1892" s="3" t="n">
        <v>0.3784</v>
      </c>
      <c r="AC1892" s="3" t="n">
        <v>0.3647</v>
      </c>
      <c r="AD1892" s="3" t="n">
        <v>0.3652</v>
      </c>
      <c r="AE1892" s="3" t="n">
        <v>0.3763</v>
      </c>
      <c r="AF1892" s="3" t="n">
        <v>0.404765</v>
      </c>
      <c r="AG1892" s="3" t="n">
        <v>0.398982</v>
      </c>
      <c r="AH1892" s="3" t="n">
        <v>0.411282</v>
      </c>
      <c r="AI1892" s="3" t="n"/>
      <c r="AJ1892" s="3" t="n"/>
      <c r="AK1892" s="3" t="n"/>
      <c r="AL1892" s="3" t="n"/>
      <c r="AM1892" s="3" t="n"/>
      <c r="AN1892" s="3" t="n"/>
      <c r="AO1892" s="3" t="n"/>
      <c r="AP1892" s="3" t="n"/>
      <c r="AQ1892" s="3" t="n"/>
      <c r="AR1892" s="3" t="n"/>
      <c r="AS1892" s="3" t="n"/>
      <c r="AT1892" s="3" t="n"/>
      <c r="AU1892" s="3" t="n"/>
    </row>
    <row r="1893">
      <c r="A1893" s="3" t="n">
        <v>2031</v>
      </c>
      <c r="B1893" s="3" t="inlineStr">
        <is>
          <t>MAC</t>
        </is>
      </c>
      <c r="C1893" s="3" t="inlineStr">
        <is>
          <t>IMF.RES:WEO</t>
        </is>
      </c>
      <c r="D1893" s="3" t="inlineStr">
        <is>
          <t>MAC.LP.A</t>
        </is>
      </c>
      <c r="E1893" s="3" t="inlineStr">
        <is>
          <t>Macao Special Administrative Region, People's Republic of China</t>
        </is>
      </c>
      <c r="F1893" s="3" t="inlineStr">
        <is>
          <t>Population, Persons for countries / Index for country groups</t>
        </is>
      </c>
      <c r="G1893" s="3" t="n"/>
      <c r="H1893" s="3" t="n">
        <v>0.4363</v>
      </c>
      <c r="I1893" s="3" t="n">
        <v>0.440515</v>
      </c>
      <c r="J1893" s="3" t="n">
        <v>0.446684</v>
      </c>
      <c r="K1893" s="3" t="n">
        <v>0.462637</v>
      </c>
      <c r="L1893" s="3" t="n">
        <v>0.484277</v>
      </c>
      <c r="M1893" s="3" t="n">
        <v>0.513427</v>
      </c>
      <c r="N1893" s="3" t="n">
        <v>0.5381</v>
      </c>
      <c r="O1893" s="3" t="n">
        <v>0.5492</v>
      </c>
      <c r="P1893" s="3" t="n">
        <v>0.5421</v>
      </c>
      <c r="Q1893" s="3" t="n">
        <v>0.5523</v>
      </c>
      <c r="R1893" s="3" t="n">
        <v>0.5573</v>
      </c>
      <c r="S1893" s="3" t="n">
        <v>0.582</v>
      </c>
      <c r="T1893" s="3" t="n">
        <v>0.6075</v>
      </c>
      <c r="U1893" s="3" t="n">
        <v>0.6362</v>
      </c>
      <c r="V1893" s="3" t="n">
        <v>0.6468</v>
      </c>
      <c r="W1893" s="3" t="n">
        <v>0.6449</v>
      </c>
      <c r="X1893" s="3" t="n">
        <v>0.6531</v>
      </c>
      <c r="Y1893" s="3" t="n">
        <v>0.6674</v>
      </c>
      <c r="Z1893" s="3" t="n">
        <v>0.6796</v>
      </c>
      <c r="AA1893" s="3" t="n">
        <v>0.6831</v>
      </c>
      <c r="AB1893" s="3" t="n">
        <v>0.6832</v>
      </c>
      <c r="AC1893" s="3" t="n">
        <v>0.6728</v>
      </c>
      <c r="AD1893" s="3" t="n">
        <v>0.6837</v>
      </c>
      <c r="AE1893" s="3" t="n">
        <v>0.6883</v>
      </c>
      <c r="AF1893" s="3" t="n">
        <v>0.699128</v>
      </c>
      <c r="AG1893" s="3" t="n">
        <v>0.709359</v>
      </c>
      <c r="AH1893" s="3" t="n">
        <v>0.716611</v>
      </c>
      <c r="AI1893" s="3" t="n">
        <v>0.723366</v>
      </c>
      <c r="AJ1893" s="3" t="n">
        <v>0.728027</v>
      </c>
      <c r="AK1893" s="3" t="n">
        <v>0.732719</v>
      </c>
      <c r="AL1893" s="3" t="n">
        <v>0.744768</v>
      </c>
      <c r="AM1893" s="3" t="n"/>
      <c r="AN1893" s="3" t="n"/>
      <c r="AO1893" s="3" t="n"/>
      <c r="AP1893" s="3" t="n"/>
      <c r="AQ1893" s="3" t="n"/>
      <c r="AR1893" s="3" t="n"/>
      <c r="AS1893" s="3" t="n"/>
      <c r="AT1893" s="3" t="n"/>
      <c r="AU1893" s="3" t="n"/>
    </row>
    <row r="1894">
      <c r="A1894" s="3" t="n">
        <v>2031</v>
      </c>
      <c r="B1894" s="3" t="inlineStr">
        <is>
          <t>MAC</t>
        </is>
      </c>
      <c r="C1894" s="3" t="inlineStr">
        <is>
          <t>IMF.RES:WEO</t>
        </is>
      </c>
      <c r="D1894" s="3" t="inlineStr">
        <is>
          <t>MAC.NGDP.A</t>
        </is>
      </c>
      <c r="E1894" s="3" t="inlineStr">
        <is>
          <t>Macao Special Administrative Region, People's Republic of China</t>
        </is>
      </c>
      <c r="F1894" s="3" t="inlineStr">
        <is>
          <t>Gross domestic product (GDP), Current prices, Domestic currency</t>
        </is>
      </c>
      <c r="G1894" s="3" t="n"/>
      <c r="H1894" s="3" t="n">
        <v>55.112</v>
      </c>
      <c r="I1894" s="3" t="n">
        <v>59.219</v>
      </c>
      <c r="J1894" s="3" t="n">
        <v>66.146</v>
      </c>
      <c r="K1894" s="3" t="n">
        <v>85.38200000000001</v>
      </c>
      <c r="L1894" s="3" t="n">
        <v>97.416</v>
      </c>
      <c r="M1894" s="3" t="n">
        <v>119.015</v>
      </c>
      <c r="N1894" s="3" t="n">
        <v>148.181</v>
      </c>
      <c r="O1894" s="3" t="n">
        <v>168.639</v>
      </c>
      <c r="P1894" s="3" t="n">
        <v>172.377</v>
      </c>
      <c r="Q1894" s="3" t="n">
        <v>226.016</v>
      </c>
      <c r="R1894" s="3" t="n">
        <v>295.461</v>
      </c>
      <c r="S1894" s="3" t="n">
        <v>345.11</v>
      </c>
      <c r="T1894" s="3" t="n">
        <v>411.919</v>
      </c>
      <c r="U1894" s="3" t="n">
        <v>438.737</v>
      </c>
      <c r="V1894" s="3" t="n">
        <v>358.849</v>
      </c>
      <c r="W1894" s="3" t="n">
        <v>359.497</v>
      </c>
      <c r="X1894" s="3" t="n">
        <v>403.684</v>
      </c>
      <c r="Y1894" s="3" t="n">
        <v>444.603</v>
      </c>
      <c r="Z1894" s="3" t="n">
        <v>444.079</v>
      </c>
      <c r="AA1894" s="3" t="n">
        <v>201.964</v>
      </c>
      <c r="AB1894" s="3" t="n">
        <v>245.242</v>
      </c>
      <c r="AC1894" s="3" t="n">
        <v>201.061</v>
      </c>
      <c r="AD1894" s="3" t="n">
        <v>367.905</v>
      </c>
      <c r="AE1894" s="3" t="n">
        <v>397.56</v>
      </c>
      <c r="AF1894" s="3" t="n">
        <v>418.039</v>
      </c>
      <c r="AG1894" s="3" t="n">
        <v>435.33956</v>
      </c>
      <c r="AH1894" s="3" t="n">
        <v>452.602886</v>
      </c>
      <c r="AI1894" s="3" t="n">
        <v>473.378414</v>
      </c>
      <c r="AJ1894" s="3" t="n">
        <v>495.549105</v>
      </c>
      <c r="AK1894" s="3" t="n">
        <v>518.64052</v>
      </c>
      <c r="AL1894" s="3" t="n">
        <v>542.955007</v>
      </c>
      <c r="AM1894" s="3" t="n"/>
      <c r="AN1894" s="3" t="n"/>
      <c r="AO1894" s="3" t="n"/>
      <c r="AP1894" s="3" t="n"/>
      <c r="AQ1894" s="3" t="n"/>
      <c r="AR1894" s="3" t="n"/>
      <c r="AS1894" s="3" t="n"/>
      <c r="AT1894" s="3" t="n"/>
      <c r="AU1894" s="3" t="n"/>
    </row>
    <row r="1895">
      <c r="A1895" s="3" t="n">
        <v>2031</v>
      </c>
      <c r="B1895" s="3" t="inlineStr">
        <is>
          <t>MAC</t>
        </is>
      </c>
      <c r="C1895" s="3" t="inlineStr">
        <is>
          <t>IMF.RES:WEO</t>
        </is>
      </c>
      <c r="D1895" s="3" t="inlineStr">
        <is>
          <t>MAC.NGDP_D.A</t>
        </is>
      </c>
      <c r="E1895" s="3" t="inlineStr">
        <is>
          <t>Macao Special Administrative Region, People's Republic of China</t>
        </is>
      </c>
      <c r="F1895" s="3" t="inlineStr">
        <is>
          <t>Gross domestic product (GDP), Price deflator, Index</t>
        </is>
      </c>
      <c r="G1895" s="3" t="n"/>
      <c r="H1895" s="3" t="n">
        <v>42.962605</v>
      </c>
      <c r="I1895" s="3" t="n">
        <v>42.389515</v>
      </c>
      <c r="J1895" s="3" t="n">
        <v>42.40971</v>
      </c>
      <c r="K1895" s="3" t="n">
        <v>43.228547</v>
      </c>
      <c r="L1895" s="3" t="n">
        <v>45.634943</v>
      </c>
      <c r="M1895" s="3" t="n">
        <v>49.168171</v>
      </c>
      <c r="N1895" s="3" t="n">
        <v>53.473711</v>
      </c>
      <c r="O1895" s="3" t="n">
        <v>58.85952</v>
      </c>
      <c r="P1895" s="3" t="n">
        <v>59.393035</v>
      </c>
      <c r="Q1895" s="3" t="n">
        <v>62.248442</v>
      </c>
      <c r="R1895" s="3" t="n">
        <v>66.907687</v>
      </c>
      <c r="S1895" s="3" t="n">
        <v>71.555049</v>
      </c>
      <c r="T1895" s="3" t="n">
        <v>77.095078</v>
      </c>
      <c r="U1895" s="3" t="n">
        <v>83.823296</v>
      </c>
      <c r="V1895" s="3" t="n">
        <v>87.621385</v>
      </c>
      <c r="W1895" s="3" t="n">
        <v>88.399742</v>
      </c>
      <c r="X1895" s="3" t="n">
        <v>90.307801</v>
      </c>
      <c r="Y1895" s="3" t="n">
        <v>93.51499200000001</v>
      </c>
      <c r="Z1895" s="3" t="n">
        <v>95.761579</v>
      </c>
      <c r="AA1895" s="3" t="n">
        <v>95.51202600000001</v>
      </c>
      <c r="AB1895" s="3" t="n">
        <v>94.70631400000001</v>
      </c>
      <c r="AC1895" s="3" t="n">
        <v>95.806748</v>
      </c>
      <c r="AD1895" s="3" t="n">
        <v>100.000544</v>
      </c>
      <c r="AE1895" s="3" t="n">
        <v>100.196077</v>
      </c>
      <c r="AF1895" s="3" t="n">
        <v>100.655403</v>
      </c>
      <c r="AG1895" s="3" t="n">
        <v>101.774815</v>
      </c>
      <c r="AH1895" s="3" t="n">
        <v>102.655665</v>
      </c>
      <c r="AI1895" s="3" t="n">
        <v>104.157006</v>
      </c>
      <c r="AJ1895" s="3" t="n">
        <v>105.854192</v>
      </c>
      <c r="AK1895" s="3" t="n">
        <v>107.549314</v>
      </c>
      <c r="AL1895" s="3" t="n">
        <v>109.295736</v>
      </c>
      <c r="AM1895" s="3" t="n"/>
      <c r="AN1895" s="3" t="n"/>
      <c r="AO1895" s="3" t="n"/>
      <c r="AP1895" s="3" t="n"/>
      <c r="AQ1895" s="3" t="n"/>
      <c r="AR1895" s="3" t="n"/>
      <c r="AS1895" s="3" t="n"/>
      <c r="AT1895" s="3" t="n"/>
      <c r="AU1895" s="3" t="n"/>
    </row>
    <row r="1896">
      <c r="A1896" s="3" t="n">
        <v>2031</v>
      </c>
      <c r="B1896" s="3" t="inlineStr">
        <is>
          <t>MAC</t>
        </is>
      </c>
      <c r="C1896" s="3" t="inlineStr">
        <is>
          <t>IMF.RES:WEO</t>
        </is>
      </c>
      <c r="D1896" s="3" t="inlineStr">
        <is>
          <t>MAC.NGDP_R.A</t>
        </is>
      </c>
      <c r="E1896" s="3" t="inlineStr">
        <is>
          <t>Macao Special Administrative Region, People's Republic of China</t>
        </is>
      </c>
      <c r="F1896" s="3" t="inlineStr">
        <is>
          <t>Gross domestic product (GDP), Constant prices, Domestic currency</t>
        </is>
      </c>
      <c r="G1896" s="3" t="n"/>
      <c r="H1896" s="3" t="n">
        <v>128.279</v>
      </c>
      <c r="I1896" s="3" t="n">
        <v>139.702</v>
      </c>
      <c r="J1896" s="3" t="n">
        <v>155.969</v>
      </c>
      <c r="K1896" s="3" t="n">
        <v>197.513</v>
      </c>
      <c r="L1896" s="3" t="n">
        <v>213.468</v>
      </c>
      <c r="M1896" s="3" t="n">
        <v>242.057</v>
      </c>
      <c r="N1896" s="3" t="n">
        <v>277.11</v>
      </c>
      <c r="O1896" s="3" t="n">
        <v>286.511</v>
      </c>
      <c r="P1896" s="3" t="n">
        <v>290.231</v>
      </c>
      <c r="Q1896" s="3" t="n">
        <v>363.087</v>
      </c>
      <c r="R1896" s="3" t="n">
        <v>441.595</v>
      </c>
      <c r="S1896" s="3" t="n">
        <v>482.3</v>
      </c>
      <c r="T1896" s="3" t="n">
        <v>534.3</v>
      </c>
      <c r="U1896" s="3" t="n">
        <v>523.407</v>
      </c>
      <c r="V1896" s="3" t="n">
        <v>409.545</v>
      </c>
      <c r="W1896" s="3" t="n">
        <v>406.672</v>
      </c>
      <c r="X1896" s="3" t="n">
        <v>447.009</v>
      </c>
      <c r="Y1896" s="3" t="n">
        <v>475.435</v>
      </c>
      <c r="Z1896" s="3" t="n">
        <v>463.734</v>
      </c>
      <c r="AA1896" s="3" t="n">
        <v>211.454</v>
      </c>
      <c r="AB1896" s="3" t="n">
        <v>258.95</v>
      </c>
      <c r="AC1896" s="3" t="n">
        <v>209.861</v>
      </c>
      <c r="AD1896" s="3" t="n">
        <v>367.903</v>
      </c>
      <c r="AE1896" s="3" t="n">
        <v>396.782</v>
      </c>
      <c r="AF1896" s="3" t="n">
        <v>415.317</v>
      </c>
      <c r="AG1896" s="3" t="n">
        <v>427.747827</v>
      </c>
      <c r="AH1896" s="3" t="n">
        <v>440.894213</v>
      </c>
      <c r="AI1896" s="3" t="n">
        <v>454.485428</v>
      </c>
      <c r="AJ1896" s="3" t="n">
        <v>468.143109</v>
      </c>
      <c r="AK1896" s="3" t="n">
        <v>482.23508</v>
      </c>
      <c r="AL1896" s="3" t="n">
        <v>496.776019</v>
      </c>
      <c r="AM1896" s="3" t="n"/>
      <c r="AN1896" s="3" t="n"/>
      <c r="AO1896" s="3" t="n"/>
      <c r="AP1896" s="3" t="n"/>
      <c r="AQ1896" s="3" t="n"/>
      <c r="AR1896" s="3" t="n"/>
      <c r="AS1896" s="3" t="n"/>
      <c r="AT1896" s="3" t="n"/>
      <c r="AU1896" s="3" t="n"/>
    </row>
    <row r="1897">
      <c r="A1897" s="3" t="n">
        <v>2031</v>
      </c>
      <c r="B1897" s="3" t="inlineStr">
        <is>
          <t>MAC</t>
        </is>
      </c>
      <c r="C1897" s="3" t="inlineStr">
        <is>
          <t>IMF.RES:WEO</t>
        </is>
      </c>
      <c r="D1897" s="3" t="inlineStr">
        <is>
          <t>MAC.NGDP_RPCH.A</t>
        </is>
      </c>
      <c r="E1897" s="3" t="inlineStr">
        <is>
          <t>Macao Special Administrative Region, People's Republic of China</t>
        </is>
      </c>
      <c r="F1897" s="3" t="inlineStr">
        <is>
          <t>Gross domestic product (GDP), Constant prices, Percent change</t>
        </is>
      </c>
      <c r="G1897" s="3" t="n"/>
      <c r="H1897" s="3" t="n"/>
      <c r="I1897" s="3" t="n">
        <v>8.904809</v>
      </c>
      <c r="J1897" s="3" t="n">
        <v>11.644071</v>
      </c>
      <c r="K1897" s="3" t="n">
        <v>26.636062</v>
      </c>
      <c r="L1897" s="3" t="n">
        <v>8.077949</v>
      </c>
      <c r="M1897" s="3" t="n">
        <v>13.39264</v>
      </c>
      <c r="N1897" s="3" t="n">
        <v>14.4813</v>
      </c>
      <c r="O1897" s="3" t="n">
        <v>3.392516</v>
      </c>
      <c r="P1897" s="3" t="n">
        <v>1.298379</v>
      </c>
      <c r="Q1897" s="3" t="n">
        <v>25.102763</v>
      </c>
      <c r="R1897" s="3" t="n">
        <v>21.622366</v>
      </c>
      <c r="S1897" s="3" t="n">
        <v>9.217722</v>
      </c>
      <c r="T1897" s="3" t="n">
        <v>10.781671</v>
      </c>
      <c r="U1897" s="3" t="n">
        <v>-2.038742</v>
      </c>
      <c r="V1897" s="3" t="n">
        <v>-21.754008</v>
      </c>
      <c r="W1897" s="3" t="n">
        <v>-0.70151</v>
      </c>
      <c r="X1897" s="3" t="n">
        <v>9.918804</v>
      </c>
      <c r="Y1897" s="3" t="n">
        <v>6.359156</v>
      </c>
      <c r="Z1897" s="3" t="n">
        <v>-2.461115</v>
      </c>
      <c r="AA1897" s="3" t="n">
        <v>-54.401877</v>
      </c>
      <c r="AB1897" s="3" t="n">
        <v>22.461623</v>
      </c>
      <c r="AC1897" s="3" t="n">
        <v>-18.956941</v>
      </c>
      <c r="AD1897" s="3" t="n">
        <v>75.307942</v>
      </c>
      <c r="AE1897" s="3" t="n">
        <v>7.849623</v>
      </c>
      <c r="AF1897" s="3" t="n">
        <v>4.671331</v>
      </c>
      <c r="AG1897" s="3" t="n">
        <v>2.993094</v>
      </c>
      <c r="AH1897" s="3" t="n">
        <v>3.073396</v>
      </c>
      <c r="AI1897" s="3" t="n">
        <v>3.082648</v>
      </c>
      <c r="AJ1897" s="3" t="n">
        <v>3.005087</v>
      </c>
      <c r="AK1897" s="3" t="n">
        <v>3.010184</v>
      </c>
      <c r="AL1897" s="3" t="n">
        <v>3.015322</v>
      </c>
      <c r="AM1897" s="3" t="n"/>
      <c r="AN1897" s="3" t="n"/>
      <c r="AO1897" s="3" t="n"/>
      <c r="AP1897" s="3" t="n"/>
      <c r="AQ1897" s="3" t="n"/>
      <c r="AR1897" s="3" t="n"/>
      <c r="AS1897" s="3" t="n"/>
      <c r="AT1897" s="3" t="n"/>
      <c r="AU1897" s="3" t="n"/>
    </row>
    <row r="1898">
      <c r="A1898" s="3" t="n">
        <v>2031</v>
      </c>
      <c r="B1898" s="3" t="inlineStr">
        <is>
          <t>MAC</t>
        </is>
      </c>
      <c r="C1898" s="3" t="inlineStr">
        <is>
          <t>IMF.RES:WEO</t>
        </is>
      </c>
      <c r="D1898" s="3" t="inlineStr">
        <is>
          <t>MAC.NGDPD.A</t>
        </is>
      </c>
      <c r="E1898" s="3" t="inlineStr">
        <is>
          <t>Macao Special Administrative Region, People's Republic of China</t>
        </is>
      </c>
      <c r="F1898" s="3" t="inlineStr">
        <is>
          <t>Gross domestic product (GDP), Current prices, US dollar</t>
        </is>
      </c>
      <c r="G1898" s="3" t="n"/>
      <c r="H1898" s="3" t="n">
        <v>6.860273</v>
      </c>
      <c r="I1898" s="3" t="n">
        <v>7.371568</v>
      </c>
      <c r="J1898" s="3" t="n">
        <v>8.246606</v>
      </c>
      <c r="K1898" s="3" t="n">
        <v>10.643235</v>
      </c>
      <c r="L1898" s="3" t="n">
        <v>12.160182</v>
      </c>
      <c r="M1898" s="3" t="n">
        <v>14.8742</v>
      </c>
      <c r="N1898" s="3" t="n">
        <v>18.439989</v>
      </c>
      <c r="O1898" s="3" t="n">
        <v>21.026795</v>
      </c>
      <c r="P1898" s="3" t="n">
        <v>21.589449</v>
      </c>
      <c r="Q1898" s="3" t="n">
        <v>28.244198</v>
      </c>
      <c r="R1898" s="3" t="n">
        <v>36.846927</v>
      </c>
      <c r="S1898" s="3" t="n">
        <v>43.193474</v>
      </c>
      <c r="T1898" s="3" t="n">
        <v>51.559123</v>
      </c>
      <c r="U1898" s="3" t="n">
        <v>54.930515</v>
      </c>
      <c r="V1898" s="3" t="n">
        <v>44.940604</v>
      </c>
      <c r="W1898" s="3" t="n">
        <v>44.964845</v>
      </c>
      <c r="X1898" s="3" t="n">
        <v>50.297028</v>
      </c>
      <c r="Y1898" s="3" t="n">
        <v>55.076484</v>
      </c>
      <c r="Z1898" s="3" t="n">
        <v>55.025168</v>
      </c>
      <c r="AA1898" s="3" t="n">
        <v>25.280061</v>
      </c>
      <c r="AB1898" s="3" t="n">
        <v>30.633915</v>
      </c>
      <c r="AC1898" s="3" t="n">
        <v>24.929578</v>
      </c>
      <c r="AD1898" s="3" t="n">
        <v>45.626592</v>
      </c>
      <c r="AE1898" s="3" t="n">
        <v>49.46726</v>
      </c>
      <c r="AF1898" s="3" t="n">
        <v>52.060882</v>
      </c>
      <c r="AG1898" s="3" t="n">
        <v>54.227511</v>
      </c>
      <c r="AH1898" s="3" t="n">
        <v>56.810455</v>
      </c>
      <c r="AI1898" s="3" t="n">
        <v>59.647695</v>
      </c>
      <c r="AJ1898" s="3" t="n">
        <v>62.540186</v>
      </c>
      <c r="AK1898" s="3" t="n">
        <v>65.546927</v>
      </c>
      <c r="AL1898" s="3" t="n">
        <v>68.638739</v>
      </c>
      <c r="AM1898" s="3" t="n"/>
      <c r="AN1898" s="3" t="n"/>
      <c r="AO1898" s="3" t="n"/>
      <c r="AP1898" s="3" t="n"/>
      <c r="AQ1898" s="3" t="n"/>
      <c r="AR1898" s="3" t="n"/>
      <c r="AS1898" s="3" t="n"/>
      <c r="AT1898" s="3" t="n"/>
      <c r="AU1898" s="3" t="n"/>
    </row>
    <row r="1899">
      <c r="A1899" s="3" t="n">
        <v>2031</v>
      </c>
      <c r="B1899" s="3" t="inlineStr">
        <is>
          <t>MAC</t>
        </is>
      </c>
      <c r="C1899" s="3" t="inlineStr">
        <is>
          <t>IMF.RES:WEO</t>
        </is>
      </c>
      <c r="D1899" s="3" t="inlineStr">
        <is>
          <t>MAC.NGDPPC.A</t>
        </is>
      </c>
      <c r="E1899" s="3" t="inlineStr">
        <is>
          <t>Macao Special Administrative Region, People's Republic of China</t>
        </is>
      </c>
      <c r="F1899" s="3" t="inlineStr">
        <is>
          <t>Gross domestic product (GDP), Current prices, Per capita, Domestic currency</t>
        </is>
      </c>
      <c r="G1899" s="3" t="n"/>
      <c r="H1899" s="3" t="n">
        <v>126316.754527</v>
      </c>
      <c r="I1899" s="3" t="n">
        <v>134431.290648</v>
      </c>
      <c r="J1899" s="3" t="n">
        <v>148082.313224</v>
      </c>
      <c r="K1899" s="3" t="n">
        <v>184555.061528</v>
      </c>
      <c r="L1899" s="3" t="n">
        <v>201157.601951</v>
      </c>
      <c r="M1899" s="3" t="n">
        <v>231805.105692</v>
      </c>
      <c r="N1899" s="3" t="n">
        <v>275378.182494</v>
      </c>
      <c r="O1899" s="3" t="n">
        <v>307063.000728</v>
      </c>
      <c r="P1899" s="3" t="n">
        <v>317980.077476</v>
      </c>
      <c r="Q1899" s="3" t="n">
        <v>409226.869455</v>
      </c>
      <c r="R1899" s="3" t="n">
        <v>530165.081644</v>
      </c>
      <c r="S1899" s="3" t="n">
        <v>592972.508591</v>
      </c>
      <c r="T1899" s="3" t="n">
        <v>678055.967078</v>
      </c>
      <c r="U1899" s="3" t="n">
        <v>689621.188306</v>
      </c>
      <c r="V1899" s="3" t="n">
        <v>554806.740878</v>
      </c>
      <c r="W1899" s="3" t="n">
        <v>557446.115677</v>
      </c>
      <c r="X1899" s="3" t="n">
        <v>618104.42505</v>
      </c>
      <c r="Y1899" s="3" t="n">
        <v>666171.711118</v>
      </c>
      <c r="Z1899" s="3" t="n">
        <v>653441.73043</v>
      </c>
      <c r="AA1899" s="3" t="n">
        <v>295658.029571</v>
      </c>
      <c r="AB1899" s="3" t="n">
        <v>358960.772834</v>
      </c>
      <c r="AC1899" s="3" t="n">
        <v>298842.1522</v>
      </c>
      <c r="AD1899" s="3" t="n">
        <v>538108.819658</v>
      </c>
      <c r="AE1899" s="3" t="n">
        <v>577596.978062</v>
      </c>
      <c r="AF1899" s="3" t="n">
        <v>597943.748176</v>
      </c>
      <c r="AG1899" s="3" t="n">
        <v>613708.15289</v>
      </c>
      <c r="AH1899" s="3" t="n">
        <v>631588.14929</v>
      </c>
      <c r="AI1899" s="3" t="n">
        <v>654410.9653480001</v>
      </c>
      <c r="AJ1899" s="3" t="n">
        <v>680673.756347</v>
      </c>
      <c r="AK1899" s="3" t="n">
        <v>707829.970615</v>
      </c>
      <c r="AL1899" s="3" t="n">
        <v>729025.466044</v>
      </c>
      <c r="AM1899" s="3" t="n"/>
      <c r="AN1899" s="3" t="n"/>
      <c r="AO1899" s="3" t="n"/>
      <c r="AP1899" s="3" t="n"/>
      <c r="AQ1899" s="3" t="n"/>
      <c r="AR1899" s="3" t="n"/>
      <c r="AS1899" s="3" t="n"/>
      <c r="AT1899" s="3" t="n"/>
      <c r="AU1899" s="3" t="n"/>
    </row>
    <row r="1900">
      <c r="A1900" s="3" t="n">
        <v>2031</v>
      </c>
      <c r="B1900" s="3" t="inlineStr">
        <is>
          <t>MAC</t>
        </is>
      </c>
      <c r="C1900" s="3" t="inlineStr">
        <is>
          <t>IMF.RES:WEO</t>
        </is>
      </c>
      <c r="D1900" s="3" t="inlineStr">
        <is>
          <t>MAC.NGDPRPC.A</t>
        </is>
      </c>
      <c r="E1900" s="3" t="inlineStr">
        <is>
          <t>Macao Special Administrative Region, People's Republic of China</t>
        </is>
      </c>
      <c r="F1900" s="3" t="inlineStr">
        <is>
          <t>Gross domestic product (GDP), Constant prices, Per capita, Domestic currency</t>
        </is>
      </c>
      <c r="G1900" s="3" t="n"/>
      <c r="H1900" s="3" t="n">
        <v>294015.585606</v>
      </c>
      <c r="I1900" s="3" t="n">
        <v>317133.355277</v>
      </c>
      <c r="J1900" s="3" t="n">
        <v>349170.778447</v>
      </c>
      <c r="K1900" s="3" t="n">
        <v>426928.671939</v>
      </c>
      <c r="L1900" s="3" t="n">
        <v>440797.312282</v>
      </c>
      <c r="M1900" s="3" t="n">
        <v>471453.585417</v>
      </c>
      <c r="N1900" s="3" t="n">
        <v>514978.628508</v>
      </c>
      <c r="O1900" s="3" t="n">
        <v>521687.909687</v>
      </c>
      <c r="P1900" s="3" t="n">
        <v>535382.770707</v>
      </c>
      <c r="Q1900" s="3" t="n">
        <v>657409.016839</v>
      </c>
      <c r="R1900" s="3" t="n">
        <v>792382.917639</v>
      </c>
      <c r="S1900" s="3" t="n">
        <v>828694.1580760001</v>
      </c>
      <c r="T1900" s="3" t="n">
        <v>879506.17284</v>
      </c>
      <c r="U1900" s="3" t="n">
        <v>822708.26784</v>
      </c>
      <c r="V1900" s="3" t="n">
        <v>633186.456401</v>
      </c>
      <c r="W1900" s="3" t="n">
        <v>630596.9917820001</v>
      </c>
      <c r="X1900" s="3" t="n">
        <v>684441.8925130001</v>
      </c>
      <c r="Y1900" s="3" t="n">
        <v>712368.894216</v>
      </c>
      <c r="Z1900" s="3" t="n">
        <v>682363.154797</v>
      </c>
      <c r="AA1900" s="3" t="n">
        <v>309550.578246</v>
      </c>
      <c r="AB1900" s="3" t="n">
        <v>379025.175644</v>
      </c>
      <c r="AC1900" s="3" t="n">
        <v>311921.819263</v>
      </c>
      <c r="AD1900" s="3" t="n">
        <v>538105.894398</v>
      </c>
      <c r="AE1900" s="3" t="n">
        <v>576466.656981</v>
      </c>
      <c r="AF1900" s="3" t="n">
        <v>594050.324638</v>
      </c>
      <c r="AG1900" s="3" t="n">
        <v>603005.912564</v>
      </c>
      <c r="AH1900" s="3" t="n">
        <v>615249.192564</v>
      </c>
      <c r="AI1900" s="3" t="n">
        <v>628292.796574</v>
      </c>
      <c r="AJ1900" s="3" t="n">
        <v>643029.571465</v>
      </c>
      <c r="AK1900" s="3" t="n">
        <v>658144.570895</v>
      </c>
      <c r="AL1900" s="3" t="n">
        <v>667020.958229</v>
      </c>
      <c r="AM1900" s="3" t="n"/>
      <c r="AN1900" s="3" t="n"/>
      <c r="AO1900" s="3" t="n"/>
      <c r="AP1900" s="3" t="n"/>
      <c r="AQ1900" s="3" t="n"/>
      <c r="AR1900" s="3" t="n"/>
      <c r="AS1900" s="3" t="n"/>
      <c r="AT1900" s="3" t="n"/>
      <c r="AU1900" s="3" t="n"/>
    </row>
    <row r="1901">
      <c r="A1901" s="3" t="n">
        <v>2031</v>
      </c>
      <c r="B1901" s="3" t="inlineStr">
        <is>
          <t>MAC</t>
        </is>
      </c>
      <c r="C1901" s="3" t="inlineStr">
        <is>
          <t>IMF.RES:WEO</t>
        </is>
      </c>
      <c r="D1901" s="3" t="inlineStr">
        <is>
          <t>MAC.PCPI.A</t>
        </is>
      </c>
      <c r="E1901" s="3" t="inlineStr">
        <is>
          <t>Macao Special Administrative Region, People's Republic of China</t>
        </is>
      </c>
      <c r="F1901" s="3" t="inlineStr">
        <is>
          <t>All Items, Consumer price index (CPI), Period average</t>
        </is>
      </c>
      <c r="G1901" s="3" t="n"/>
      <c r="H1901" s="3" t="n">
        <v>53.329167</v>
      </c>
      <c r="I1901" s="3" t="n">
        <v>51.9225</v>
      </c>
      <c r="J1901" s="3" t="n">
        <v>51.1125</v>
      </c>
      <c r="K1901" s="3" t="n">
        <v>51.6125</v>
      </c>
      <c r="L1901" s="3" t="n">
        <v>53.881667</v>
      </c>
      <c r="M1901" s="3" t="n">
        <v>56.658333</v>
      </c>
      <c r="N1901" s="3" t="n">
        <v>59.813333</v>
      </c>
      <c r="O1901" s="3" t="n">
        <v>64.96250000000001</v>
      </c>
      <c r="P1901" s="3" t="n">
        <v>65.72416699999999</v>
      </c>
      <c r="Q1901" s="3" t="n">
        <v>67.57083299999999</v>
      </c>
      <c r="R1901" s="3" t="n">
        <v>71.49333300000001</v>
      </c>
      <c r="S1901" s="3" t="n">
        <v>75.856667</v>
      </c>
      <c r="T1901" s="3" t="n">
        <v>80.034167</v>
      </c>
      <c r="U1901" s="3" t="n">
        <v>84.8725</v>
      </c>
      <c r="V1901" s="3" t="n">
        <v>88.74250000000001</v>
      </c>
      <c r="W1901" s="3" t="n">
        <v>90.845</v>
      </c>
      <c r="X1901" s="3" t="n">
        <v>91.95999999999999</v>
      </c>
      <c r="Y1901" s="3" t="n">
        <v>94.72416699999999</v>
      </c>
      <c r="Z1901" s="3" t="n">
        <v>97.330833</v>
      </c>
      <c r="AA1901" s="3" t="n">
        <v>98.12</v>
      </c>
      <c r="AB1901" s="3" t="n">
        <v>98.14749999999999</v>
      </c>
      <c r="AC1901" s="3" t="n">
        <v>99.1725</v>
      </c>
      <c r="AD1901" s="3" t="n">
        <v>100.103333</v>
      </c>
      <c r="AE1901" s="3" t="n">
        <v>100.8425</v>
      </c>
      <c r="AF1901" s="3" t="n">
        <v>101.179167</v>
      </c>
      <c r="AG1901" s="3" t="n">
        <v>102.986732</v>
      </c>
      <c r="AH1901" s="3" t="n">
        <v>104.96786</v>
      </c>
      <c r="AI1901" s="3" t="n">
        <v>107.136482</v>
      </c>
      <c r="AJ1901" s="3" t="n">
        <v>109.415121</v>
      </c>
      <c r="AK1901" s="3" t="n">
        <v>111.796706</v>
      </c>
      <c r="AL1901" s="3" t="n">
        <v>114.256233</v>
      </c>
      <c r="AM1901" s="3" t="n"/>
      <c r="AN1901" s="3" t="n"/>
      <c r="AO1901" s="3" t="n"/>
      <c r="AP1901" s="3" t="n"/>
      <c r="AQ1901" s="3" t="n"/>
      <c r="AR1901" s="3" t="n"/>
      <c r="AS1901" s="3" t="n"/>
      <c r="AT1901" s="3" t="n"/>
      <c r="AU1901" s="3" t="n"/>
    </row>
    <row r="1902">
      <c r="A1902" s="3" t="n">
        <v>2031</v>
      </c>
      <c r="B1902" s="3" t="inlineStr">
        <is>
          <t>MAC</t>
        </is>
      </c>
      <c r="C1902" s="3" t="inlineStr">
        <is>
          <t>IMF.RES:WEO</t>
        </is>
      </c>
      <c r="D1902" s="3" t="inlineStr">
        <is>
          <t>MAC.PCPIPCH.A</t>
        </is>
      </c>
      <c r="E1902" s="3" t="inlineStr">
        <is>
          <t>Macao Special Administrative Region, People's Republic of China</t>
        </is>
      </c>
      <c r="F1902" s="3" t="inlineStr">
        <is>
          <t>All Items, Consumer price index (CPI), Period average, percent change</t>
        </is>
      </c>
      <c r="G1902" s="3" t="n"/>
      <c r="H1902" s="3" t="n"/>
      <c r="I1902" s="3" t="n">
        <v>-2.637706</v>
      </c>
      <c r="J1902" s="3" t="n">
        <v>-1.560017</v>
      </c>
      <c r="K1902" s="3" t="n">
        <v>0.978234</v>
      </c>
      <c r="L1902" s="3" t="n">
        <v>4.396545</v>
      </c>
      <c r="M1902" s="3" t="n">
        <v>5.153268</v>
      </c>
      <c r="N1902" s="3" t="n">
        <v>5.568466</v>
      </c>
      <c r="O1902" s="3" t="n">
        <v>8.608727</v>
      </c>
      <c r="P1902" s="3" t="n">
        <v>1.172471</v>
      </c>
      <c r="Q1902" s="3" t="n">
        <v>2.809722</v>
      </c>
      <c r="R1902" s="3" t="n">
        <v>5.805019</v>
      </c>
      <c r="S1902" s="3" t="n">
        <v>6.103133</v>
      </c>
      <c r="T1902" s="3" t="n">
        <v>5.507097</v>
      </c>
      <c r="U1902" s="3" t="n">
        <v>6.045335</v>
      </c>
      <c r="V1902" s="3" t="n">
        <v>4.559781</v>
      </c>
      <c r="W1902" s="3" t="n">
        <v>2.369214</v>
      </c>
      <c r="X1902" s="3" t="n">
        <v>1.227365</v>
      </c>
      <c r="Y1902" s="3" t="n">
        <v>3.005836</v>
      </c>
      <c r="Z1902" s="3" t="n">
        <v>2.75185</v>
      </c>
      <c r="AA1902" s="3" t="n">
        <v>0.810808</v>
      </c>
      <c r="AB1902" s="3" t="n">
        <v>0.028027</v>
      </c>
      <c r="AC1902" s="3" t="n">
        <v>1.044347</v>
      </c>
      <c r="AD1902" s="3" t="n">
        <v>0.9386</v>
      </c>
      <c r="AE1902" s="3" t="n">
        <v>0.7384039999999999</v>
      </c>
      <c r="AF1902" s="3" t="n">
        <v>0.333854</v>
      </c>
      <c r="AG1902" s="3" t="n">
        <v>1.786499</v>
      </c>
      <c r="AH1902" s="3" t="n">
        <v>1.923673</v>
      </c>
      <c r="AI1902" s="3" t="n">
        <v>2.065987</v>
      </c>
      <c r="AJ1902" s="3" t="n">
        <v>2.126856</v>
      </c>
      <c r="AK1902" s="3" t="n">
        <v>2.17665</v>
      </c>
      <c r="AL1902" s="3" t="n">
        <v>2.2</v>
      </c>
      <c r="AM1902" s="3" t="n"/>
      <c r="AN1902" s="3" t="n"/>
      <c r="AO1902" s="3" t="n"/>
      <c r="AP1902" s="3" t="n"/>
      <c r="AQ1902" s="3" t="n"/>
      <c r="AR1902" s="3" t="n"/>
      <c r="AS1902" s="3" t="n"/>
      <c r="AT1902" s="3" t="n"/>
      <c r="AU1902" s="3" t="n"/>
    </row>
    <row r="1903">
      <c r="A1903" s="3" t="n">
        <v>2031</v>
      </c>
      <c r="B1903" s="3" t="inlineStr">
        <is>
          <t>MAC</t>
        </is>
      </c>
      <c r="C1903" s="3" t="inlineStr">
        <is>
          <t>IMF.RES:WEO</t>
        </is>
      </c>
      <c r="D1903" s="3" t="inlineStr">
        <is>
          <t>MAC.PPPPC.A</t>
        </is>
      </c>
      <c r="E1903" s="3" t="inlineStr">
        <is>
          <t>Macao Special Administrative Region, People's Republic of China</t>
        </is>
      </c>
      <c r="F1903" s="3" t="inlineStr">
        <is>
          <t>Gross domestic product (GDP), Per capita, purchasing power parity (PPP) international dollar, ICP benchmarks 2017-2021</t>
        </is>
      </c>
      <c r="G1903" s="3" t="n"/>
      <c r="H1903" s="3" t="n">
        <v>38301.136242</v>
      </c>
      <c r="I1903" s="3" t="n">
        <v>41954.680163</v>
      </c>
      <c r="J1903" s="3" t="n">
        <v>47104.972772</v>
      </c>
      <c r="K1903" s="3" t="n">
        <v>59143.58019</v>
      </c>
      <c r="L1903" s="3" t="n">
        <v>62979.72435</v>
      </c>
      <c r="M1903" s="3" t="n">
        <v>69437.092328</v>
      </c>
      <c r="N1903" s="3" t="n">
        <v>77902.50676600001</v>
      </c>
      <c r="O1903" s="3" t="n">
        <v>80437.716229</v>
      </c>
      <c r="P1903" s="3" t="n">
        <v>83058.40770700001</v>
      </c>
      <c r="Q1903" s="3" t="n">
        <v>103228.912783</v>
      </c>
      <c r="R1903" s="3" t="n">
        <v>126990.194326</v>
      </c>
      <c r="S1903" s="3" t="n">
        <v>135282.390973</v>
      </c>
      <c r="T1903" s="3" t="n">
        <v>146021.027308</v>
      </c>
      <c r="U1903" s="3" t="n">
        <v>138970.116874</v>
      </c>
      <c r="V1903" s="3" t="n">
        <v>107949.112022</v>
      </c>
      <c r="W1903" s="3" t="n">
        <v>108529.208835</v>
      </c>
      <c r="X1903" s="3" t="n">
        <v>119905.812374</v>
      </c>
      <c r="Y1903" s="3" t="n">
        <v>127808.935304</v>
      </c>
      <c r="Z1903" s="3" t="n">
        <v>124620.226947</v>
      </c>
      <c r="AA1903" s="3" t="n">
        <v>57269.712815</v>
      </c>
      <c r="AB1903" s="3" t="n">
        <v>73299.568831</v>
      </c>
      <c r="AC1903" s="3" t="n">
        <v>64612.854032</v>
      </c>
      <c r="AD1903" s="3" t="n">
        <v>115589.880587</v>
      </c>
      <c r="AE1903" s="3" t="n">
        <v>126904.247865</v>
      </c>
      <c r="AF1903" s="3" t="n">
        <v>134484.928748</v>
      </c>
      <c r="AG1903" s="3" t="n">
        <v>140423.227521</v>
      </c>
      <c r="AH1903" s="3" t="n">
        <v>146420.509587</v>
      </c>
      <c r="AI1903" s="3" t="n">
        <v>151978.985076</v>
      </c>
      <c r="AJ1903" s="3" t="n">
        <v>158309.428347</v>
      </c>
      <c r="AK1903" s="3" t="n">
        <v>165007.992989</v>
      </c>
      <c r="AL1903" s="3" t="n">
        <v>170252.522197</v>
      </c>
      <c r="AM1903" s="3" t="n"/>
      <c r="AN1903" s="3" t="n"/>
      <c r="AO1903" s="3" t="n"/>
      <c r="AP1903" s="3" t="n"/>
      <c r="AQ1903" s="3" t="n"/>
      <c r="AR1903" s="3" t="n"/>
      <c r="AS1903" s="3" t="n"/>
      <c r="AT1903" s="3" t="n"/>
      <c r="AU1903" s="3" t="n"/>
    </row>
    <row r="1904">
      <c r="A1904" s="3" t="n">
        <v>2025</v>
      </c>
      <c r="B1904" s="3" t="inlineStr">
        <is>
          <t>MAC</t>
        </is>
      </c>
      <c r="C1904" s="3" t="inlineStr">
        <is>
          <t>IMF.STA:ER</t>
        </is>
      </c>
      <c r="D1904" s="3" t="inlineStr">
        <is>
          <t>MAC.XDC_USD.PA_RT.A</t>
        </is>
      </c>
      <c r="E1904" s="3" t="inlineStr">
        <is>
          <t>Macao Special Administrative Region, People's Republic of China</t>
        </is>
      </c>
      <c r="F1904" s="3" t="inlineStr">
        <is>
          <t>Domestic currency per US Dollar</t>
        </is>
      </c>
      <c r="G1904" s="3" t="n">
        <v>8.0259</v>
      </c>
      <c r="H1904" s="3" t="n">
        <v>8.0335</v>
      </c>
      <c r="I1904" s="3" t="n">
        <v>8.033433333333329</v>
      </c>
      <c r="J1904" s="3" t="n">
        <v>8.021241166666661</v>
      </c>
      <c r="K1904" s="3" t="n">
        <v>8.02217108333333</v>
      </c>
      <c r="L1904" s="3" t="n">
        <v>8.011064583333329</v>
      </c>
      <c r="M1904" s="3" t="n">
        <v>8.00142616666666</v>
      </c>
      <c r="N1904" s="3" t="n">
        <v>8.03585391666666</v>
      </c>
      <c r="O1904" s="3" t="n">
        <v>8.020109916666661</v>
      </c>
      <c r="P1904" s="3" t="n">
        <v>7.98428333333333</v>
      </c>
      <c r="Q1904" s="3" t="n">
        <v>8.00221666666666</v>
      </c>
      <c r="R1904" s="3" t="n">
        <v>8.01820833333333</v>
      </c>
      <c r="S1904" s="3" t="n">
        <v>7.9898635</v>
      </c>
      <c r="T1904" s="3" t="n">
        <v>7.98925533333333</v>
      </c>
      <c r="U1904" s="3" t="n">
        <v>7.987129</v>
      </c>
      <c r="V1904" s="3" t="n">
        <v>7.98496041666666</v>
      </c>
      <c r="W1904" s="3" t="n">
        <v>7.99506425</v>
      </c>
      <c r="X1904" s="3" t="n">
        <v>8.026001000000001</v>
      </c>
      <c r="Y1904" s="3" t="n">
        <v>8.07250741666666</v>
      </c>
      <c r="Z1904" s="3" t="n">
        <v>8.070470333333329</v>
      </c>
      <c r="AA1904" s="3" t="n">
        <v>7.98906191666666</v>
      </c>
      <c r="AB1904" s="3" t="n">
        <v>8.005531749999999</v>
      </c>
      <c r="AC1904" s="3" t="n">
        <v>8.065206083333329</v>
      </c>
      <c r="AD1904" s="3" t="n">
        <v>8.06339008333333</v>
      </c>
      <c r="AE1904" s="3" t="n">
        <v>8.03683075</v>
      </c>
      <c r="AF1904" s="3" t="n">
        <v>8.029810250000001</v>
      </c>
      <c r="AG1904" s="3" t="n"/>
      <c r="AH1904" s="3" t="n"/>
      <c r="AI1904" s="3" t="n"/>
      <c r="AJ1904" s="3" t="n"/>
      <c r="AK1904" s="3" t="n"/>
      <c r="AL1904" s="3" t="n"/>
      <c r="AM1904" s="3" t="n"/>
      <c r="AN1904" s="3" t="n"/>
      <c r="AO1904" s="3" t="n"/>
      <c r="AP1904" s="3" t="n"/>
      <c r="AQ1904" s="3" t="n"/>
      <c r="AR1904" s="3" t="n"/>
      <c r="AS1904" s="3" t="n"/>
      <c r="AT1904" s="3" t="n"/>
      <c r="AU1904" s="3" t="n"/>
    </row>
    <row r="1905">
      <c r="A1905" s="3" t="n">
        <v>2031</v>
      </c>
      <c r="B1905" s="3" t="inlineStr">
        <is>
          <t>MAR</t>
        </is>
      </c>
      <c r="C1905" s="3" t="inlineStr">
        <is>
          <t>IMF.RES:WEO</t>
        </is>
      </c>
      <c r="D1905" s="3" t="inlineStr">
        <is>
          <t>MAR.BCA.A</t>
        </is>
      </c>
      <c r="E1905" s="3" t="inlineStr">
        <is>
          <t>Morocco</t>
        </is>
      </c>
      <c r="F1905" s="3" t="inlineStr">
        <is>
          <t>Current account balance (credit less debit), US dollar</t>
        </is>
      </c>
      <c r="G1905" s="3" t="n">
        <v>-1.434484</v>
      </c>
      <c r="H1905" s="3" t="n">
        <v>0.796596</v>
      </c>
      <c r="I1905" s="3" t="n">
        <v>1.476936</v>
      </c>
      <c r="J1905" s="3" t="n">
        <v>1.591497</v>
      </c>
      <c r="K1905" s="3" t="n">
        <v>0.964691</v>
      </c>
      <c r="L1905" s="3" t="n">
        <v>1.063902</v>
      </c>
      <c r="M1905" s="3" t="n">
        <v>1.41247</v>
      </c>
      <c r="N1905" s="3" t="n">
        <v>-0.050267</v>
      </c>
      <c r="O1905" s="3" t="n">
        <v>-4.636799</v>
      </c>
      <c r="P1905" s="3" t="n">
        <v>-4.948915</v>
      </c>
      <c r="Q1905" s="3" t="n">
        <v>-4.077623</v>
      </c>
      <c r="R1905" s="3" t="n">
        <v>-7.985636</v>
      </c>
      <c r="S1905" s="3" t="n">
        <v>-9.346724999999999</v>
      </c>
      <c r="T1905" s="3" t="n">
        <v>-7.868404</v>
      </c>
      <c r="U1905" s="3" t="n">
        <v>-6.568819</v>
      </c>
      <c r="V1905" s="3" t="n">
        <v>-2.165449</v>
      </c>
      <c r="W1905" s="3" t="n">
        <v>-4.184522</v>
      </c>
      <c r="X1905" s="3" t="n">
        <v>-3.74965</v>
      </c>
      <c r="Y1905" s="3" t="n">
        <v>-6.218524</v>
      </c>
      <c r="Z1905" s="3" t="n">
        <v>-4.410727</v>
      </c>
      <c r="AA1905" s="3" t="n">
        <v>-1.414838</v>
      </c>
      <c r="AB1905" s="3" t="n">
        <v>-3.329594</v>
      </c>
      <c r="AC1905" s="3" t="n">
        <v>-4.658063</v>
      </c>
      <c r="AD1905" s="3" t="n">
        <v>-1.530979</v>
      </c>
      <c r="AE1905" s="3" t="n">
        <v>-1.863743</v>
      </c>
      <c r="AF1905" s="3" t="n">
        <v>-3.796728</v>
      </c>
      <c r="AG1905" s="3" t="n">
        <v>-5.944423</v>
      </c>
      <c r="AH1905" s="3" t="n">
        <v>-6.122911</v>
      </c>
      <c r="AI1905" s="3" t="n">
        <v>-7.139973</v>
      </c>
      <c r="AJ1905" s="3" t="n">
        <v>-8.268176</v>
      </c>
      <c r="AK1905" s="3" t="n">
        <v>-8.310617000000001</v>
      </c>
      <c r="AL1905" s="3" t="n">
        <v>-9.362436000000001</v>
      </c>
      <c r="AM1905" s="3" t="n"/>
      <c r="AN1905" s="3" t="n"/>
      <c r="AO1905" s="3" t="n"/>
      <c r="AP1905" s="3" t="n"/>
      <c r="AQ1905" s="3" t="n"/>
      <c r="AR1905" s="3" t="n"/>
      <c r="AS1905" s="3" t="n"/>
      <c r="AT1905" s="3" t="n"/>
      <c r="AU1905" s="3" t="n"/>
    </row>
    <row r="1906">
      <c r="A1906" s="3" t="n">
        <v>2031</v>
      </c>
      <c r="B1906" s="3" t="inlineStr">
        <is>
          <t>MAR</t>
        </is>
      </c>
      <c r="C1906" s="3" t="inlineStr">
        <is>
          <t>IMF.RES:WEO</t>
        </is>
      </c>
      <c r="D1906" s="3" t="inlineStr">
        <is>
          <t>MAR.BCA_NGDPD.A</t>
        </is>
      </c>
      <c r="E1906" s="3" t="inlineStr">
        <is>
          <t>Morocco</t>
        </is>
      </c>
      <c r="F1906" s="3" t="inlineStr">
        <is>
          <t>Current account balance (credit less debit), Percent of GDP</t>
        </is>
      </c>
      <c r="G1906" s="3" t="n">
        <v>-3.411109</v>
      </c>
      <c r="H1906" s="3" t="n">
        <v>1.865397</v>
      </c>
      <c r="I1906" s="3" t="n">
        <v>3.23103</v>
      </c>
      <c r="J1906" s="3" t="n">
        <v>2.824581</v>
      </c>
      <c r="K1906" s="3" t="n">
        <v>1.494998</v>
      </c>
      <c r="L1906" s="3" t="n">
        <v>1.576889</v>
      </c>
      <c r="M1906" s="3" t="n">
        <v>1.901444</v>
      </c>
      <c r="N1906" s="3" t="n">
        <v>-0.058764</v>
      </c>
      <c r="O1906" s="3" t="n">
        <v>-4.631603</v>
      </c>
      <c r="P1906" s="3" t="n">
        <v>-4.922594</v>
      </c>
      <c r="Q1906" s="3" t="n">
        <v>-4.042019</v>
      </c>
      <c r="R1906" s="3" t="n">
        <v>-7.279205</v>
      </c>
      <c r="S1906" s="3" t="n">
        <v>-8.789097</v>
      </c>
      <c r="T1906" s="3" t="n">
        <v>-6.806103</v>
      </c>
      <c r="U1906" s="3" t="n">
        <v>-5.513953</v>
      </c>
      <c r="V1906" s="3" t="n">
        <v>-1.961212</v>
      </c>
      <c r="W1906" s="3" t="n">
        <v>-3.750481</v>
      </c>
      <c r="X1906" s="3" t="n">
        <v>-3.163179</v>
      </c>
      <c r="Y1906" s="3" t="n">
        <v>-4.883358</v>
      </c>
      <c r="Z1906" s="3" t="n">
        <v>-3.421283</v>
      </c>
      <c r="AA1906" s="3" t="n">
        <v>-1.165879</v>
      </c>
      <c r="AB1906" s="3" t="n">
        <v>-2.34442</v>
      </c>
      <c r="AC1906" s="3" t="n">
        <v>-3.549128</v>
      </c>
      <c r="AD1906" s="3" t="n">
        <v>-1.048208</v>
      </c>
      <c r="AE1906" s="3" t="n">
        <v>-1.160447</v>
      </c>
      <c r="AF1906" s="3" t="n">
        <v>-2.079403</v>
      </c>
      <c r="AG1906" s="3" t="n">
        <v>-3.058888</v>
      </c>
      <c r="AH1906" s="3" t="n">
        <v>-2.876803</v>
      </c>
      <c r="AI1906" s="3" t="n">
        <v>-3.13323</v>
      </c>
      <c r="AJ1906" s="3" t="n">
        <v>-3.374626</v>
      </c>
      <c r="AK1906" s="3" t="n">
        <v>-3.157144</v>
      </c>
      <c r="AL1906" s="3" t="n">
        <v>-3.303427</v>
      </c>
      <c r="AM1906" s="3" t="n"/>
      <c r="AN1906" s="3" t="n"/>
      <c r="AO1906" s="3" t="n"/>
      <c r="AP1906" s="3" t="n"/>
      <c r="AQ1906" s="3" t="n"/>
      <c r="AR1906" s="3" t="n"/>
      <c r="AS1906" s="3" t="n"/>
      <c r="AT1906" s="3" t="n"/>
      <c r="AU1906" s="3" t="n"/>
    </row>
    <row r="1907">
      <c r="A1907" s="3" t="n">
        <v>2031</v>
      </c>
      <c r="B1907" s="3" t="inlineStr">
        <is>
          <t>MAR</t>
        </is>
      </c>
      <c r="C1907" s="3" t="inlineStr">
        <is>
          <t>IMF.RES:WEO</t>
        </is>
      </c>
      <c r="D1907" s="3" t="inlineStr">
        <is>
          <t>MAR.GGR_NGDP.A</t>
        </is>
      </c>
      <c r="E1907" s="3" t="inlineStr">
        <is>
          <t>Morocco</t>
        </is>
      </c>
      <c r="F1907" s="3" t="inlineStr">
        <is>
          <t>Revenue, General government, Percent of GDP</t>
        </is>
      </c>
      <c r="G1907" s="3" t="n">
        <v>20.780965</v>
      </c>
      <c r="H1907" s="3" t="n">
        <v>19.91195</v>
      </c>
      <c r="I1907" s="3" t="n">
        <v>21.44524</v>
      </c>
      <c r="J1907" s="3" t="n">
        <v>20.354886</v>
      </c>
      <c r="K1907" s="3" t="n">
        <v>21.16474</v>
      </c>
      <c r="L1907" s="3" t="n">
        <v>23.181245</v>
      </c>
      <c r="M1907" s="3" t="n">
        <v>24.178964</v>
      </c>
      <c r="N1907" s="3" t="n">
        <v>26.313986</v>
      </c>
      <c r="O1907" s="3" t="n">
        <v>28.880858</v>
      </c>
      <c r="P1907" s="3" t="n">
        <v>26.476701</v>
      </c>
      <c r="Q1907" s="3" t="n">
        <v>24.777087</v>
      </c>
      <c r="R1907" s="3" t="n">
        <v>25.15532</v>
      </c>
      <c r="S1907" s="3" t="n">
        <v>25.90914</v>
      </c>
      <c r="T1907" s="3" t="n">
        <v>25.729222</v>
      </c>
      <c r="U1907" s="3" t="n">
        <v>25.89703</v>
      </c>
      <c r="V1907" s="3" t="n">
        <v>23.898957</v>
      </c>
      <c r="W1907" s="3" t="n">
        <v>24.125112</v>
      </c>
      <c r="X1907" s="3" t="n">
        <v>24.578008</v>
      </c>
      <c r="Y1907" s="3" t="n">
        <v>24.243204</v>
      </c>
      <c r="Z1907" s="3" t="n">
        <v>23.234142</v>
      </c>
      <c r="AA1907" s="3" t="n">
        <v>26.973889</v>
      </c>
      <c r="AB1907" s="3" t="n">
        <v>24.158891</v>
      </c>
      <c r="AC1907" s="3" t="n">
        <v>26.470918</v>
      </c>
      <c r="AD1907" s="3" t="n">
        <v>25.840984</v>
      </c>
      <c r="AE1907" s="3" t="n">
        <v>26.931254</v>
      </c>
      <c r="AF1907" s="3" t="n">
        <v>27.73289</v>
      </c>
      <c r="AG1907" s="3" t="n">
        <v>28.127973</v>
      </c>
      <c r="AH1907" s="3" t="n">
        <v>27.585881</v>
      </c>
      <c r="AI1907" s="3" t="n">
        <v>27.270383</v>
      </c>
      <c r="AJ1907" s="3" t="n">
        <v>27.166809</v>
      </c>
      <c r="AK1907" s="3" t="n">
        <v>27.20918</v>
      </c>
      <c r="AL1907" s="3" t="n">
        <v>27.177527</v>
      </c>
      <c r="AM1907" s="3" t="n"/>
      <c r="AN1907" s="3" t="n"/>
      <c r="AO1907" s="3" t="n"/>
      <c r="AP1907" s="3" t="n"/>
      <c r="AQ1907" s="3" t="n"/>
      <c r="AR1907" s="3" t="n"/>
      <c r="AS1907" s="3" t="n"/>
      <c r="AT1907" s="3" t="n"/>
      <c r="AU1907" s="3" t="n"/>
    </row>
    <row r="1908">
      <c r="A1908" s="3" t="n">
        <v>2031</v>
      </c>
      <c r="B1908" s="3" t="inlineStr">
        <is>
          <t>MAR</t>
        </is>
      </c>
      <c r="C1908" s="3" t="inlineStr">
        <is>
          <t>IMF.RES:WEO</t>
        </is>
      </c>
      <c r="D1908" s="3" t="inlineStr">
        <is>
          <t>MAR.GGX_NGDP.A</t>
        </is>
      </c>
      <c r="E1908" s="3" t="inlineStr">
        <is>
          <t>Morocco</t>
        </is>
      </c>
      <c r="F1908" s="3" t="inlineStr">
        <is>
          <t>Expenditure, General government, Percent of GDP</t>
        </is>
      </c>
      <c r="G1908" s="3" t="n">
        <v>22.754275</v>
      </c>
      <c r="H1908" s="3" t="n">
        <v>23.701914</v>
      </c>
      <c r="I1908" s="3" t="n">
        <v>25.813944</v>
      </c>
      <c r="J1908" s="3" t="n">
        <v>24.099809</v>
      </c>
      <c r="K1908" s="3" t="n">
        <v>24.478112</v>
      </c>
      <c r="L1908" s="3" t="n">
        <v>28.636381</v>
      </c>
      <c r="M1908" s="3" t="n">
        <v>25.979319</v>
      </c>
      <c r="N1908" s="3" t="n">
        <v>26.430206</v>
      </c>
      <c r="O1908" s="3" t="n">
        <v>28.254952</v>
      </c>
      <c r="P1908" s="3" t="n">
        <v>28.105922</v>
      </c>
      <c r="Q1908" s="3" t="n">
        <v>28.709357</v>
      </c>
      <c r="R1908" s="3" t="n">
        <v>31.230661</v>
      </c>
      <c r="S1908" s="3" t="n">
        <v>32.540899</v>
      </c>
      <c r="T1908" s="3" t="n">
        <v>30.430975</v>
      </c>
      <c r="U1908" s="3" t="n">
        <v>30.67668</v>
      </c>
      <c r="V1908" s="3" t="n">
        <v>28.492031</v>
      </c>
      <c r="W1908" s="3" t="n">
        <v>28.610652</v>
      </c>
      <c r="X1908" s="3" t="n">
        <v>27.881495</v>
      </c>
      <c r="Y1908" s="3" t="n">
        <v>27.764703</v>
      </c>
      <c r="Z1908" s="3" t="n">
        <v>27.037778</v>
      </c>
      <c r="AA1908" s="3" t="n">
        <v>34.120976</v>
      </c>
      <c r="AB1908" s="3" t="n">
        <v>30.083302</v>
      </c>
      <c r="AC1908" s="3" t="n">
        <v>31.836539</v>
      </c>
      <c r="AD1908" s="3" t="n">
        <v>30.247223</v>
      </c>
      <c r="AE1908" s="3" t="n">
        <v>30.853476</v>
      </c>
      <c r="AF1908" s="3" t="n">
        <v>31.276681</v>
      </c>
      <c r="AG1908" s="3" t="n">
        <v>31.661595</v>
      </c>
      <c r="AH1908" s="3" t="n">
        <v>30.951412</v>
      </c>
      <c r="AI1908" s="3" t="n">
        <v>30.54836</v>
      </c>
      <c r="AJ1908" s="3" t="n">
        <v>30.407093</v>
      </c>
      <c r="AK1908" s="3" t="n">
        <v>30.356778</v>
      </c>
      <c r="AL1908" s="3" t="n">
        <v>30.221549</v>
      </c>
      <c r="AM1908" s="3" t="n"/>
      <c r="AN1908" s="3" t="n"/>
      <c r="AO1908" s="3" t="n"/>
      <c r="AP1908" s="3" t="n"/>
      <c r="AQ1908" s="3" t="n"/>
      <c r="AR1908" s="3" t="n"/>
      <c r="AS1908" s="3" t="n"/>
      <c r="AT1908" s="3" t="n"/>
      <c r="AU1908" s="3" t="n"/>
    </row>
    <row r="1909">
      <c r="A1909" s="3" t="n">
        <v>2031</v>
      </c>
      <c r="B1909" s="3" t="inlineStr">
        <is>
          <t>MAR</t>
        </is>
      </c>
      <c r="C1909" s="3" t="inlineStr">
        <is>
          <t>IMF.RES:WEO</t>
        </is>
      </c>
      <c r="D1909" s="3" t="inlineStr">
        <is>
          <t>MAR.LP.A</t>
        </is>
      </c>
      <c r="E1909" s="3" t="inlineStr">
        <is>
          <t>Morocco</t>
        </is>
      </c>
      <c r="F1909" s="3" t="inlineStr">
        <is>
          <t>Population, Persons for countries / Index for country groups</t>
        </is>
      </c>
      <c r="G1909" s="3" t="n">
        <v>28.466</v>
      </c>
      <c r="H1909" s="3" t="n">
        <v>28.833</v>
      </c>
      <c r="I1909" s="3" t="n">
        <v>29.185</v>
      </c>
      <c r="J1909" s="3" t="n">
        <v>29.52</v>
      </c>
      <c r="K1909" s="3" t="n">
        <v>29.892</v>
      </c>
      <c r="L1909" s="3" t="n">
        <v>30.215</v>
      </c>
      <c r="M1909" s="3" t="n">
        <v>30.606</v>
      </c>
      <c r="N1909" s="3" t="n">
        <v>30.998</v>
      </c>
      <c r="O1909" s="3" t="n">
        <v>31.391</v>
      </c>
      <c r="P1909" s="3" t="n">
        <v>31.786</v>
      </c>
      <c r="Q1909" s="3" t="n">
        <v>32.182</v>
      </c>
      <c r="R1909" s="3" t="n">
        <v>32.579</v>
      </c>
      <c r="S1909" s="3" t="n">
        <v>32.978</v>
      </c>
      <c r="T1909" s="3" t="n">
        <v>33.378</v>
      </c>
      <c r="U1909" s="3" t="n">
        <v>33.848</v>
      </c>
      <c r="V1909" s="3" t="n">
        <v>34.125</v>
      </c>
      <c r="W1909" s="3" t="n">
        <v>34.487</v>
      </c>
      <c r="X1909" s="3" t="n">
        <v>34.852</v>
      </c>
      <c r="Y1909" s="3" t="n">
        <v>35.22</v>
      </c>
      <c r="Z1909" s="3" t="n">
        <v>35.587</v>
      </c>
      <c r="AA1909" s="3" t="n">
        <v>35.952</v>
      </c>
      <c r="AB1909" s="3" t="n">
        <v>36.313</v>
      </c>
      <c r="AC1909" s="3" t="n">
        <v>36.67</v>
      </c>
      <c r="AD1909" s="3" t="n">
        <v>37.022</v>
      </c>
      <c r="AE1909" s="3" t="n">
        <v>37.37</v>
      </c>
      <c r="AF1909" s="3" t="n">
        <v>37.712</v>
      </c>
      <c r="AG1909" s="3" t="n">
        <v>38.05</v>
      </c>
      <c r="AH1909" s="3" t="n">
        <v>38.381</v>
      </c>
      <c r="AI1909" s="3" t="n">
        <v>38.706</v>
      </c>
      <c r="AJ1909" s="3" t="n">
        <v>39.023</v>
      </c>
      <c r="AK1909" s="3" t="n">
        <v>39.33</v>
      </c>
      <c r="AL1909" s="3" t="n">
        <v>39.627</v>
      </c>
      <c r="AM1909" s="3" t="n"/>
      <c r="AN1909" s="3" t="n"/>
      <c r="AO1909" s="3" t="n"/>
      <c r="AP1909" s="3" t="n"/>
      <c r="AQ1909" s="3" t="n"/>
      <c r="AR1909" s="3" t="n"/>
      <c r="AS1909" s="3" t="n"/>
      <c r="AT1909" s="3" t="n"/>
      <c r="AU1909" s="3" t="n"/>
    </row>
    <row r="1910">
      <c r="A1910" s="3" t="n">
        <v>2031</v>
      </c>
      <c r="B1910" s="3" t="inlineStr">
        <is>
          <t>MAR</t>
        </is>
      </c>
      <c r="C1910" s="3" t="inlineStr">
        <is>
          <t>IMF.RES:WEO</t>
        </is>
      </c>
      <c r="D1910" s="3" t="inlineStr">
        <is>
          <t>MAR.NGDP.A</t>
        </is>
      </c>
      <c r="E1910" s="3" t="inlineStr">
        <is>
          <t>Morocco</t>
        </is>
      </c>
      <c r="F1910" s="3" t="inlineStr">
        <is>
          <t>Gross domestic product (GDP), Current prices, Domestic currency</t>
        </is>
      </c>
      <c r="G1910" s="3" t="n">
        <v>446.843</v>
      </c>
      <c r="H1910" s="3" t="n">
        <v>482.68</v>
      </c>
      <c r="I1910" s="3" t="n">
        <v>503.762</v>
      </c>
      <c r="J1910" s="3" t="n">
        <v>539.4640000000001</v>
      </c>
      <c r="K1910" s="3" t="n">
        <v>572.235</v>
      </c>
      <c r="L1910" s="3" t="n">
        <v>598.1079999999999</v>
      </c>
      <c r="M1910" s="3" t="n">
        <v>653.372</v>
      </c>
      <c r="N1910" s="3" t="n">
        <v>700.768</v>
      </c>
      <c r="O1910" s="3" t="n">
        <v>775.902</v>
      </c>
      <c r="P1910" s="3" t="n">
        <v>810.018</v>
      </c>
      <c r="Q1910" s="3" t="n">
        <v>849.13</v>
      </c>
      <c r="R1910" s="3" t="n">
        <v>887.498</v>
      </c>
      <c r="S1910" s="3" t="n">
        <v>917.588</v>
      </c>
      <c r="T1910" s="3" t="n">
        <v>971.744</v>
      </c>
      <c r="U1910" s="3" t="n">
        <v>1001.454</v>
      </c>
      <c r="V1910" s="3" t="n">
        <v>1078.119</v>
      </c>
      <c r="W1910" s="3" t="n">
        <v>1094.249</v>
      </c>
      <c r="X1910" s="3" t="n">
        <v>1148.895</v>
      </c>
      <c r="Y1910" s="3" t="n">
        <v>1195.237</v>
      </c>
      <c r="Z1910" s="3" t="n">
        <v>1239.836</v>
      </c>
      <c r="AA1910" s="3" t="n">
        <v>1152.478</v>
      </c>
      <c r="AB1910" s="3" t="n">
        <v>1276.563</v>
      </c>
      <c r="AC1910" s="3" t="n">
        <v>1333.539</v>
      </c>
      <c r="AD1910" s="3" t="n">
        <v>1479.763</v>
      </c>
      <c r="AE1910" s="3" t="n">
        <v>1596.799</v>
      </c>
      <c r="AF1910" s="3" t="n">
        <v>1707.242485</v>
      </c>
      <c r="AG1910" s="3" t="n">
        <v>1822.841929</v>
      </c>
      <c r="AH1910" s="3" t="n">
        <v>1941.064306</v>
      </c>
      <c r="AI1910" s="3" t="n">
        <v>2067.225747</v>
      </c>
      <c r="AJ1910" s="3" t="n">
        <v>2199.214478</v>
      </c>
      <c r="AK1910" s="3" t="n">
        <v>2333.666742</v>
      </c>
      <c r="AL1910" s="3" t="n">
        <v>2472.830978</v>
      </c>
      <c r="AM1910" s="3" t="n"/>
      <c r="AN1910" s="3" t="n"/>
      <c r="AO1910" s="3" t="n"/>
      <c r="AP1910" s="3" t="n"/>
      <c r="AQ1910" s="3" t="n"/>
      <c r="AR1910" s="3" t="n"/>
      <c r="AS1910" s="3" t="n"/>
      <c r="AT1910" s="3" t="n"/>
      <c r="AU1910" s="3" t="n"/>
    </row>
    <row r="1911">
      <c r="A1911" s="3" t="n">
        <v>2031</v>
      </c>
      <c r="B1911" s="3" t="inlineStr">
        <is>
          <t>MAR</t>
        </is>
      </c>
      <c r="C1911" s="3" t="inlineStr">
        <is>
          <t>IMF.RES:WEO</t>
        </is>
      </c>
      <c r="D1911" s="3" t="inlineStr">
        <is>
          <t>MAR.NGDP_D.A</t>
        </is>
      </c>
      <c r="E1911" s="3" t="inlineStr">
        <is>
          <t>Morocco</t>
        </is>
      </c>
      <c r="F1911" s="3" t="inlineStr">
        <is>
          <t>Gross domestic product (GDP), Price deflator, Index</t>
        </is>
      </c>
      <c r="G1911" s="3" t="n">
        <v>83.97946899999999</v>
      </c>
      <c r="H1911" s="3" t="n">
        <v>84.34495</v>
      </c>
      <c r="I1911" s="3" t="n">
        <v>85.203452</v>
      </c>
      <c r="J1911" s="3" t="n">
        <v>85.820736</v>
      </c>
      <c r="K1911" s="3" t="n">
        <v>86.86296900000001</v>
      </c>
      <c r="L1911" s="3" t="n">
        <v>88.16450500000001</v>
      </c>
      <c r="M1911" s="3" t="n">
        <v>89.37519500000001</v>
      </c>
      <c r="N1911" s="3" t="n">
        <v>93.333191</v>
      </c>
      <c r="O1911" s="3" t="n">
        <v>97.561288</v>
      </c>
      <c r="P1911" s="3" t="n">
        <v>97.704714</v>
      </c>
      <c r="Q1911" s="3" t="n">
        <v>98.657923</v>
      </c>
      <c r="R1911" s="3" t="n">
        <v>97.976113</v>
      </c>
      <c r="S1911" s="3" t="n">
        <v>98.33800599999999</v>
      </c>
      <c r="T1911" s="3" t="n">
        <v>99.62354499999999</v>
      </c>
      <c r="U1911" s="3" t="n">
        <v>100</v>
      </c>
      <c r="V1911" s="3" t="n">
        <v>103.172935</v>
      </c>
      <c r="W1911" s="3" t="n">
        <v>104.173612</v>
      </c>
      <c r="X1911" s="3" t="n">
        <v>104.110144</v>
      </c>
      <c r="Y1911" s="3" t="n">
        <v>105.087883</v>
      </c>
      <c r="Z1911" s="3" t="n">
        <v>105.946341</v>
      </c>
      <c r="AA1911" s="3" t="n">
        <v>106.09733</v>
      </c>
      <c r="AB1911" s="3" t="n">
        <v>108.659658</v>
      </c>
      <c r="AC1911" s="3" t="n">
        <v>111.488451</v>
      </c>
      <c r="AD1911" s="3" t="n">
        <v>119.35026</v>
      </c>
      <c r="AE1911" s="3" t="n">
        <v>124.082879</v>
      </c>
      <c r="AF1911" s="3" t="n">
        <v>126.468199</v>
      </c>
      <c r="AG1911" s="3" t="n">
        <v>128.758564</v>
      </c>
      <c r="AH1911" s="3" t="n">
        <v>131.204977</v>
      </c>
      <c r="AI1911" s="3" t="n">
        <v>133.717356</v>
      </c>
      <c r="AJ1911" s="3" t="n">
        <v>136.257986</v>
      </c>
      <c r="AK1911" s="3" t="n">
        <v>138.892225</v>
      </c>
      <c r="AL1911" s="3" t="n">
        <v>141.508192</v>
      </c>
      <c r="AM1911" s="3" t="n"/>
      <c r="AN1911" s="3" t="n"/>
      <c r="AO1911" s="3" t="n"/>
      <c r="AP1911" s="3" t="n"/>
      <c r="AQ1911" s="3" t="n"/>
      <c r="AR1911" s="3" t="n"/>
      <c r="AS1911" s="3" t="n"/>
      <c r="AT1911" s="3" t="n"/>
      <c r="AU1911" s="3" t="n"/>
    </row>
    <row r="1912">
      <c r="A1912" s="3" t="n">
        <v>2031</v>
      </c>
      <c r="B1912" s="3" t="inlineStr">
        <is>
          <t>MAR</t>
        </is>
      </c>
      <c r="C1912" s="3" t="inlineStr">
        <is>
          <t>IMF.RES:WEO</t>
        </is>
      </c>
      <c r="D1912" s="3" t="inlineStr">
        <is>
          <t>MAR.NGDP_R.A</t>
        </is>
      </c>
      <c r="E1912" s="3" t="inlineStr">
        <is>
          <t>Morocco</t>
        </is>
      </c>
      <c r="F1912" s="3" t="inlineStr">
        <is>
          <t>Gross domestic product (GDP), Constant prices, Domestic currency</t>
        </is>
      </c>
      <c r="G1912" s="3" t="n">
        <v>532.086</v>
      </c>
      <c r="H1912" s="3" t="n">
        <v>572.269</v>
      </c>
      <c r="I1912" s="3" t="n">
        <v>591.246</v>
      </c>
      <c r="J1912" s="3" t="n">
        <v>628.5940000000001</v>
      </c>
      <c r="K1912" s="3" t="n">
        <v>658.779</v>
      </c>
      <c r="L1912" s="3" t="n">
        <v>678.4</v>
      </c>
      <c r="M1912" s="3" t="n">
        <v>731.044</v>
      </c>
      <c r="N1912" s="3" t="n">
        <v>750.824</v>
      </c>
      <c r="O1912" s="3" t="n">
        <v>795.297</v>
      </c>
      <c r="P1912" s="3" t="n">
        <v>829.047</v>
      </c>
      <c r="Q1912" s="3" t="n">
        <v>860.681</v>
      </c>
      <c r="R1912" s="3" t="n">
        <v>905.831</v>
      </c>
      <c r="S1912" s="3" t="n">
        <v>933.096</v>
      </c>
      <c r="T1912" s="3" t="n">
        <v>975.4160000000001</v>
      </c>
      <c r="U1912" s="3" t="n">
        <v>1001.454</v>
      </c>
      <c r="V1912" s="3" t="n">
        <v>1044.963</v>
      </c>
      <c r="W1912" s="3" t="n">
        <v>1050.409</v>
      </c>
      <c r="X1912" s="3" t="n">
        <v>1103.538</v>
      </c>
      <c r="Y1912" s="3" t="n">
        <v>1137.369</v>
      </c>
      <c r="Z1912" s="3" t="n">
        <v>1170.249</v>
      </c>
      <c r="AA1912" s="3" t="n">
        <v>1086.246</v>
      </c>
      <c r="AB1912" s="3" t="n">
        <v>1174.827</v>
      </c>
      <c r="AC1912" s="3" t="n">
        <v>1196.123</v>
      </c>
      <c r="AD1912" s="3" t="n">
        <v>1239.849</v>
      </c>
      <c r="AE1912" s="3" t="n">
        <v>1286.881</v>
      </c>
      <c r="AF1912" s="3" t="n">
        <v>1349.938169</v>
      </c>
      <c r="AG1912" s="3" t="n">
        <v>1415.705389</v>
      </c>
      <c r="AH1912" s="3" t="n">
        <v>1479.413628</v>
      </c>
      <c r="AI1912" s="3" t="n">
        <v>1545.966658</v>
      </c>
      <c r="AJ1912" s="3" t="n">
        <v>1614.007764</v>
      </c>
      <c r="AK1912" s="3" t="n">
        <v>1680.199696</v>
      </c>
      <c r="AL1912" s="3" t="n">
        <v>1747.482557</v>
      </c>
      <c r="AM1912" s="3" t="n"/>
      <c r="AN1912" s="3" t="n"/>
      <c r="AO1912" s="3" t="n"/>
      <c r="AP1912" s="3" t="n"/>
      <c r="AQ1912" s="3" t="n"/>
      <c r="AR1912" s="3" t="n"/>
      <c r="AS1912" s="3" t="n"/>
      <c r="AT1912" s="3" t="n"/>
      <c r="AU1912" s="3" t="n"/>
    </row>
    <row r="1913">
      <c r="A1913" s="3" t="n">
        <v>2031</v>
      </c>
      <c r="B1913" s="3" t="inlineStr">
        <is>
          <t>MAR</t>
        </is>
      </c>
      <c r="C1913" s="3" t="inlineStr">
        <is>
          <t>IMF.RES:WEO</t>
        </is>
      </c>
      <c r="D1913" s="3" t="inlineStr">
        <is>
          <t>MAR.NGDP_RPCH.A</t>
        </is>
      </c>
      <c r="E1913" s="3" t="inlineStr">
        <is>
          <t>Morocco</t>
        </is>
      </c>
      <c r="F1913" s="3" t="inlineStr">
        <is>
          <t>Gross domestic product (GDP), Constant prices, Percent change</t>
        </is>
      </c>
      <c r="G1913" s="3" t="n">
        <v>1.592569</v>
      </c>
      <c r="H1913" s="3" t="n">
        <v>7.551975</v>
      </c>
      <c r="I1913" s="3" t="n">
        <v>3.316098</v>
      </c>
      <c r="J1913" s="3" t="n">
        <v>6.316829</v>
      </c>
      <c r="K1913" s="3" t="n">
        <v>4.801987</v>
      </c>
      <c r="L1913" s="3" t="n">
        <v>2.978389</v>
      </c>
      <c r="M1913" s="3" t="n">
        <v>7.760024</v>
      </c>
      <c r="N1913" s="3" t="n">
        <v>2.705719</v>
      </c>
      <c r="O1913" s="3" t="n">
        <v>5.923226</v>
      </c>
      <c r="P1913" s="3" t="n">
        <v>4.243698</v>
      </c>
      <c r="Q1913" s="3" t="n">
        <v>3.815706</v>
      </c>
      <c r="R1913" s="3" t="n">
        <v>5.245846</v>
      </c>
      <c r="S1913" s="3" t="n">
        <v>3.009943</v>
      </c>
      <c r="T1913" s="3" t="n">
        <v>4.535439</v>
      </c>
      <c r="U1913" s="3" t="n">
        <v>2.669425</v>
      </c>
      <c r="V1913" s="3" t="n">
        <v>4.344583</v>
      </c>
      <c r="W1913" s="3" t="n">
        <v>0.521167</v>
      </c>
      <c r="X1913" s="3" t="n">
        <v>5.057935</v>
      </c>
      <c r="Y1913" s="3" t="n">
        <v>3.065685</v>
      </c>
      <c r="Z1913" s="3" t="n">
        <v>2.890882</v>
      </c>
      <c r="AA1913" s="3" t="n">
        <v>-7.178216</v>
      </c>
      <c r="AB1913" s="3" t="n">
        <v>8.154783</v>
      </c>
      <c r="AC1913" s="3" t="n">
        <v>1.812692</v>
      </c>
      <c r="AD1913" s="3" t="n">
        <v>3.655644</v>
      </c>
      <c r="AE1913" s="3" t="n">
        <v>3.793365</v>
      </c>
      <c r="AF1913" s="3" t="n">
        <v>4.9</v>
      </c>
      <c r="AG1913" s="3" t="n">
        <v>4.871869</v>
      </c>
      <c r="AH1913" s="3" t="n">
        <v>4.500106</v>
      </c>
      <c r="AI1913" s="3" t="n">
        <v>4.498609</v>
      </c>
      <c r="AJ1913" s="3" t="n">
        <v>4.401201</v>
      </c>
      <c r="AK1913" s="3" t="n">
        <v>4.101091</v>
      </c>
      <c r="AL1913" s="3" t="n">
        <v>4.004456</v>
      </c>
      <c r="AM1913" s="3" t="n"/>
      <c r="AN1913" s="3" t="n"/>
      <c r="AO1913" s="3" t="n"/>
      <c r="AP1913" s="3" t="n"/>
      <c r="AQ1913" s="3" t="n"/>
      <c r="AR1913" s="3" t="n"/>
      <c r="AS1913" s="3" t="n"/>
      <c r="AT1913" s="3" t="n"/>
      <c r="AU1913" s="3" t="n"/>
    </row>
    <row r="1914">
      <c r="A1914" s="3" t="n">
        <v>2031</v>
      </c>
      <c r="B1914" s="3" t="inlineStr">
        <is>
          <t>MAR</t>
        </is>
      </c>
      <c r="C1914" s="3" t="inlineStr">
        <is>
          <t>IMF.RES:WEO</t>
        </is>
      </c>
      <c r="D1914" s="3" t="inlineStr">
        <is>
          <t>MAR.NGDPD.A</t>
        </is>
      </c>
      <c r="E1914" s="3" t="inlineStr">
        <is>
          <t>Morocco</t>
        </is>
      </c>
      <c r="F1914" s="3" t="inlineStr">
        <is>
          <t>Gross domestic product (GDP), Current prices, US dollar</t>
        </is>
      </c>
      <c r="G1914" s="3" t="n">
        <v>42.053294</v>
      </c>
      <c r="H1914" s="3" t="n">
        <v>42.703801</v>
      </c>
      <c r="I1914" s="3" t="n">
        <v>45.71101</v>
      </c>
      <c r="J1914" s="3" t="n">
        <v>56.344517</v>
      </c>
      <c r="K1914" s="3" t="n">
        <v>64.527957</v>
      </c>
      <c r="L1914" s="3" t="n">
        <v>67.468408</v>
      </c>
      <c r="M1914" s="3" t="n">
        <v>74.28410100000001</v>
      </c>
      <c r="N1914" s="3" t="n">
        <v>85.53948800000001</v>
      </c>
      <c r="O1914" s="3" t="n">
        <v>100.112189</v>
      </c>
      <c r="P1914" s="3" t="n">
        <v>100.534684</v>
      </c>
      <c r="Q1914" s="3" t="n">
        <v>100.88084</v>
      </c>
      <c r="R1914" s="3" t="n">
        <v>109.704785</v>
      </c>
      <c r="S1914" s="3" t="n">
        <v>106.344543</v>
      </c>
      <c r="T1914" s="3" t="n">
        <v>115.60806</v>
      </c>
      <c r="U1914" s="3" t="n">
        <v>119.130846</v>
      </c>
      <c r="V1914" s="3" t="n">
        <v>110.413821</v>
      </c>
      <c r="W1914" s="3" t="n">
        <v>111.572947</v>
      </c>
      <c r="X1914" s="3" t="n">
        <v>118.540575</v>
      </c>
      <c r="Y1914" s="3" t="n">
        <v>127.341142</v>
      </c>
      <c r="Z1914" s="3" t="n">
        <v>128.920265</v>
      </c>
      <c r="AA1914" s="3" t="n">
        <v>121.353746</v>
      </c>
      <c r="AB1914" s="3" t="n">
        <v>142.022058</v>
      </c>
      <c r="AC1914" s="3" t="n">
        <v>131.24531</v>
      </c>
      <c r="AD1914" s="3" t="n">
        <v>146.056733</v>
      </c>
      <c r="AE1914" s="3" t="n">
        <v>160.605644</v>
      </c>
      <c r="AF1914" s="3" t="n">
        <v>182.58737</v>
      </c>
      <c r="AG1914" s="3" t="n">
        <v>194.332828</v>
      </c>
      <c r="AH1914" s="3" t="n">
        <v>212.837353</v>
      </c>
      <c r="AI1914" s="3" t="n">
        <v>227.879003</v>
      </c>
      <c r="AJ1914" s="3" t="n">
        <v>245.010158</v>
      </c>
      <c r="AK1914" s="3" t="n">
        <v>263.232117</v>
      </c>
      <c r="AL1914" s="3" t="n">
        <v>283.415824</v>
      </c>
      <c r="AM1914" s="3" t="n"/>
      <c r="AN1914" s="3" t="n"/>
      <c r="AO1914" s="3" t="n"/>
      <c r="AP1914" s="3" t="n"/>
      <c r="AQ1914" s="3" t="n"/>
      <c r="AR1914" s="3" t="n"/>
      <c r="AS1914" s="3" t="n"/>
      <c r="AT1914" s="3" t="n"/>
      <c r="AU1914" s="3" t="n"/>
    </row>
    <row r="1915">
      <c r="A1915" s="3" t="n">
        <v>2031</v>
      </c>
      <c r="B1915" s="3" t="inlineStr">
        <is>
          <t>MAR</t>
        </is>
      </c>
      <c r="C1915" s="3" t="inlineStr">
        <is>
          <t>IMF.RES:WEO</t>
        </is>
      </c>
      <c r="D1915" s="3" t="inlineStr">
        <is>
          <t>MAR.NGDPPC.A</t>
        </is>
      </c>
      <c r="E1915" s="3" t="inlineStr">
        <is>
          <t>Morocco</t>
        </is>
      </c>
      <c r="F1915" s="3" t="inlineStr">
        <is>
          <t>Gross domestic product (GDP), Current prices, Per capita, Domestic currency</t>
        </is>
      </c>
      <c r="G1915" s="3" t="n">
        <v>15697.428511</v>
      </c>
      <c r="H1915" s="3" t="n">
        <v>16740.540353</v>
      </c>
      <c r="I1915" s="3" t="n">
        <v>17260.990235</v>
      </c>
      <c r="J1915" s="3" t="n">
        <v>18274.525745</v>
      </c>
      <c r="K1915" s="3" t="n">
        <v>19143.416299</v>
      </c>
      <c r="L1915" s="3" t="n">
        <v>19795.068674</v>
      </c>
      <c r="M1915" s="3" t="n">
        <v>21347.840293</v>
      </c>
      <c r="N1915" s="3" t="n">
        <v>22606.877863</v>
      </c>
      <c r="O1915" s="3" t="n">
        <v>24717.339365</v>
      </c>
      <c r="P1915" s="3" t="n">
        <v>25483.483295</v>
      </c>
      <c r="Q1915" s="3" t="n">
        <v>26385.246411</v>
      </c>
      <c r="R1915" s="3" t="n">
        <v>27241.41318</v>
      </c>
      <c r="S1915" s="3" t="n">
        <v>27824.246467</v>
      </c>
      <c r="T1915" s="3" t="n">
        <v>29113.308167</v>
      </c>
      <c r="U1915" s="3" t="n">
        <v>29586.799811</v>
      </c>
      <c r="V1915" s="3" t="n">
        <v>31593.230769</v>
      </c>
      <c r="W1915" s="3" t="n">
        <v>31729.318294</v>
      </c>
      <c r="X1915" s="3" t="n">
        <v>32964.966143</v>
      </c>
      <c r="Y1915" s="3" t="n">
        <v>33936.314594</v>
      </c>
      <c r="Z1915" s="3" t="n">
        <v>34839.57625</v>
      </c>
      <c r="AA1915" s="3" t="n">
        <v>32056.019137</v>
      </c>
      <c r="AB1915" s="3" t="n">
        <v>35154.435051</v>
      </c>
      <c r="AC1915" s="3" t="n">
        <v>36365.93946</v>
      </c>
      <c r="AD1915" s="3" t="n">
        <v>39969.82875</v>
      </c>
      <c r="AE1915" s="3" t="n">
        <v>42729.435376</v>
      </c>
      <c r="AF1915" s="3" t="n">
        <v>45270.536825</v>
      </c>
      <c r="AG1915" s="3" t="n">
        <v>47906.489581</v>
      </c>
      <c r="AH1915" s="3" t="n">
        <v>50573.573009</v>
      </c>
      <c r="AI1915" s="3" t="n">
        <v>53408.405593</v>
      </c>
      <c r="AJ1915" s="3" t="n">
        <v>56356.878716</v>
      </c>
      <c r="AK1915" s="3" t="n">
        <v>59335.538836</v>
      </c>
      <c r="AL1915" s="3" t="n">
        <v>62402.679439</v>
      </c>
      <c r="AM1915" s="3" t="n"/>
      <c r="AN1915" s="3" t="n"/>
      <c r="AO1915" s="3" t="n"/>
      <c r="AP1915" s="3" t="n"/>
      <c r="AQ1915" s="3" t="n"/>
      <c r="AR1915" s="3" t="n"/>
      <c r="AS1915" s="3" t="n"/>
      <c r="AT1915" s="3" t="n"/>
      <c r="AU1915" s="3" t="n"/>
    </row>
    <row r="1916">
      <c r="A1916" s="3" t="n">
        <v>2031</v>
      </c>
      <c r="B1916" s="3" t="inlineStr">
        <is>
          <t>MAR</t>
        </is>
      </c>
      <c r="C1916" s="3" t="inlineStr">
        <is>
          <t>IMF.RES:WEO</t>
        </is>
      </c>
      <c r="D1916" s="3" t="inlineStr">
        <is>
          <t>MAR.NGDPRPC.A</t>
        </is>
      </c>
      <c r="E1916" s="3" t="inlineStr">
        <is>
          <t>Morocco</t>
        </is>
      </c>
      <c r="F1916" s="3" t="inlineStr">
        <is>
          <t>Gross domestic product (GDP), Constant prices, Per capita, Domestic currency</t>
        </is>
      </c>
      <c r="G1916" s="3" t="n">
        <v>18691.983419</v>
      </c>
      <c r="H1916" s="3" t="n">
        <v>19847.709222</v>
      </c>
      <c r="I1916" s="3" t="n">
        <v>20258.557478</v>
      </c>
      <c r="J1916" s="3" t="n">
        <v>21293.834688</v>
      </c>
      <c r="K1916" s="3" t="n">
        <v>22038.639101</v>
      </c>
      <c r="L1916" s="3" t="n">
        <v>22452.424293</v>
      </c>
      <c r="M1916" s="3" t="n">
        <v>23885.643338</v>
      </c>
      <c r="N1916" s="3" t="n">
        <v>24221.691722</v>
      </c>
      <c r="O1916" s="3" t="n">
        <v>25335.191615</v>
      </c>
      <c r="P1916" s="3" t="n">
        <v>26082.143082</v>
      </c>
      <c r="Q1916" s="3" t="n">
        <v>26744.173762</v>
      </c>
      <c r="R1916" s="3" t="n">
        <v>27804.137635</v>
      </c>
      <c r="S1916" s="3" t="n">
        <v>28294.499363</v>
      </c>
      <c r="T1916" s="3" t="n">
        <v>29223.32075</v>
      </c>
      <c r="U1916" s="3" t="n">
        <v>29586.799811</v>
      </c>
      <c r="V1916" s="3" t="n">
        <v>30621.626374</v>
      </c>
      <c r="W1916" s="3" t="n">
        <v>30458.114652</v>
      </c>
      <c r="X1916" s="3" t="n">
        <v>31663.54872</v>
      </c>
      <c r="Y1916" s="3" t="n">
        <v>32293.270869</v>
      </c>
      <c r="Z1916" s="3" t="n">
        <v>32884.171186</v>
      </c>
      <c r="AA1916" s="3" t="n">
        <v>30213.785047</v>
      </c>
      <c r="AB1916" s="3" t="n">
        <v>32352.793765</v>
      </c>
      <c r="AC1916" s="3" t="n">
        <v>32618.571039</v>
      </c>
      <c r="AD1916" s="3" t="n">
        <v>33489.519745</v>
      </c>
      <c r="AE1916" s="3" t="n">
        <v>34436.205512</v>
      </c>
      <c r="AF1916" s="3" t="n">
        <v>35795.984541</v>
      </c>
      <c r="AG1916" s="3" t="n">
        <v>37206.449108</v>
      </c>
      <c r="AH1916" s="3" t="n">
        <v>38545.468535</v>
      </c>
      <c r="AI1916" s="3" t="n">
        <v>39941.266408</v>
      </c>
      <c r="AJ1916" s="3" t="n">
        <v>41360.42243</v>
      </c>
      <c r="AK1916" s="3" t="n">
        <v>42720.56182</v>
      </c>
      <c r="AL1916" s="3" t="n">
        <v>44098.280392</v>
      </c>
      <c r="AM1916" s="3" t="n"/>
      <c r="AN1916" s="3" t="n"/>
      <c r="AO1916" s="3" t="n"/>
      <c r="AP1916" s="3" t="n"/>
      <c r="AQ1916" s="3" t="n"/>
      <c r="AR1916" s="3" t="n"/>
      <c r="AS1916" s="3" t="n"/>
      <c r="AT1916" s="3" t="n"/>
      <c r="AU1916" s="3" t="n"/>
    </row>
    <row r="1917">
      <c r="A1917" s="3" t="n">
        <v>2031</v>
      </c>
      <c r="B1917" s="3" t="inlineStr">
        <is>
          <t>MAR</t>
        </is>
      </c>
      <c r="C1917" s="3" t="inlineStr">
        <is>
          <t>IMF.RES:WEO</t>
        </is>
      </c>
      <c r="D1917" s="3" t="inlineStr">
        <is>
          <t>MAR.PCPI.A</t>
        </is>
      </c>
      <c r="E1917" s="3" t="inlineStr">
        <is>
          <t>Morocco</t>
        </is>
      </c>
      <c r="F1917" s="3" t="inlineStr">
        <is>
          <t>All Items, Consumer price index (CPI), Period average</t>
        </is>
      </c>
      <c r="G1917" s="3" t="n">
        <v>77.8</v>
      </c>
      <c r="H1917" s="3" t="n">
        <v>78.3</v>
      </c>
      <c r="I1917" s="3" t="n">
        <v>80.5</v>
      </c>
      <c r="J1917" s="3" t="n">
        <v>81.40000000000001</v>
      </c>
      <c r="K1917" s="3" t="n">
        <v>82.59999999999999</v>
      </c>
      <c r="L1917" s="3" t="n">
        <v>83.5</v>
      </c>
      <c r="M1917" s="3" t="n">
        <v>86.2</v>
      </c>
      <c r="N1917" s="3" t="n">
        <v>87.90000000000001</v>
      </c>
      <c r="O1917" s="3" t="n">
        <v>91.2</v>
      </c>
      <c r="P1917" s="3" t="n">
        <v>91</v>
      </c>
      <c r="Q1917" s="3" t="n">
        <v>91.90000000000001</v>
      </c>
      <c r="R1917" s="3" t="n">
        <v>92.8</v>
      </c>
      <c r="S1917" s="3" t="n">
        <v>94</v>
      </c>
      <c r="T1917" s="3" t="n">
        <v>95.7</v>
      </c>
      <c r="U1917" s="3" t="n">
        <v>96.2</v>
      </c>
      <c r="V1917" s="3" t="n">
        <v>97.7</v>
      </c>
      <c r="W1917" s="3" t="n">
        <v>99.2</v>
      </c>
      <c r="X1917" s="3" t="n">
        <v>100</v>
      </c>
      <c r="Y1917" s="3" t="n">
        <v>101.6</v>
      </c>
      <c r="Z1917" s="3" t="n">
        <v>101.8</v>
      </c>
      <c r="AA1917" s="3" t="n">
        <v>102.5</v>
      </c>
      <c r="AB1917" s="3" t="n">
        <v>103.9</v>
      </c>
      <c r="AC1917" s="3" t="n">
        <v>110.8</v>
      </c>
      <c r="AD1917" s="3" t="n">
        <v>117.6</v>
      </c>
      <c r="AE1917" s="3" t="n">
        <v>118.7</v>
      </c>
      <c r="AF1917" s="3" t="n">
        <v>119.6</v>
      </c>
      <c r="AG1917" s="3" t="n">
        <v>121.167981</v>
      </c>
      <c r="AH1917" s="3" t="n">
        <v>123.163215</v>
      </c>
      <c r="AI1917" s="3" t="n">
        <v>125.583189</v>
      </c>
      <c r="AJ1917" s="3" t="n">
        <v>128.144178</v>
      </c>
      <c r="AK1917" s="3" t="n">
        <v>130.728011</v>
      </c>
      <c r="AL1917" s="3" t="n">
        <v>133.320937</v>
      </c>
      <c r="AM1917" s="3" t="n"/>
      <c r="AN1917" s="3" t="n"/>
      <c r="AO1917" s="3" t="n"/>
      <c r="AP1917" s="3" t="n"/>
      <c r="AQ1917" s="3" t="n"/>
      <c r="AR1917" s="3" t="n"/>
      <c r="AS1917" s="3" t="n"/>
      <c r="AT1917" s="3" t="n"/>
      <c r="AU1917" s="3" t="n"/>
    </row>
    <row r="1918">
      <c r="A1918" s="3" t="n">
        <v>2031</v>
      </c>
      <c r="B1918" s="3" t="inlineStr">
        <is>
          <t>MAR</t>
        </is>
      </c>
      <c r="C1918" s="3" t="inlineStr">
        <is>
          <t>IMF.RES:WEO</t>
        </is>
      </c>
      <c r="D1918" s="3" t="inlineStr">
        <is>
          <t>MAR.PCPIPCH.A</t>
        </is>
      </c>
      <c r="E1918" s="3" t="inlineStr">
        <is>
          <t>Morocco</t>
        </is>
      </c>
      <c r="F1918" s="3" t="inlineStr">
        <is>
          <t>All Items, Consumer price index (CPI), Period average, percent change</t>
        </is>
      </c>
      <c r="G1918" s="3" t="n">
        <v>1.832461</v>
      </c>
      <c r="H1918" s="3" t="n">
        <v>0.642674</v>
      </c>
      <c r="I1918" s="3" t="n">
        <v>2.809706</v>
      </c>
      <c r="J1918" s="3" t="n">
        <v>1.118012</v>
      </c>
      <c r="K1918" s="3" t="n">
        <v>1.474201</v>
      </c>
      <c r="L1918" s="3" t="n">
        <v>1.089588</v>
      </c>
      <c r="M1918" s="3" t="n">
        <v>3.233533</v>
      </c>
      <c r="N1918" s="3" t="n">
        <v>1.972158</v>
      </c>
      <c r="O1918" s="3" t="n">
        <v>3.754266</v>
      </c>
      <c r="P1918" s="3" t="n">
        <v>-0.219298</v>
      </c>
      <c r="Q1918" s="3" t="n">
        <v>0.989011</v>
      </c>
      <c r="R1918" s="3" t="n">
        <v>0.979325</v>
      </c>
      <c r="S1918" s="3" t="n">
        <v>1.293103</v>
      </c>
      <c r="T1918" s="3" t="n">
        <v>1.808511</v>
      </c>
      <c r="U1918" s="3" t="n">
        <v>0.522466</v>
      </c>
      <c r="V1918" s="3" t="n">
        <v>1.559252</v>
      </c>
      <c r="W1918" s="3" t="n">
        <v>1.535312</v>
      </c>
      <c r="X1918" s="3" t="n">
        <v>0.8064519999999999</v>
      </c>
      <c r="Y1918" s="3" t="n">
        <v>1.6</v>
      </c>
      <c r="Z1918" s="3" t="n">
        <v>0.19685</v>
      </c>
      <c r="AA1918" s="3" t="n">
        <v>0.687623</v>
      </c>
      <c r="AB1918" s="3" t="n">
        <v>1.365854</v>
      </c>
      <c r="AC1918" s="3" t="n">
        <v>6.641001</v>
      </c>
      <c r="AD1918" s="3" t="n">
        <v>6.137184</v>
      </c>
      <c r="AE1918" s="3" t="n">
        <v>0.935374</v>
      </c>
      <c r="AF1918" s="3" t="n">
        <v>0.7582140000000001</v>
      </c>
      <c r="AG1918" s="3" t="n">
        <v>1.311021</v>
      </c>
      <c r="AH1918" s="3" t="n">
        <v>1.646668</v>
      </c>
      <c r="AI1918" s="3" t="n">
        <v>1.964851</v>
      </c>
      <c r="AJ1918" s="3" t="n">
        <v>2.039277</v>
      </c>
      <c r="AK1918" s="3" t="n">
        <v>2.016348</v>
      </c>
      <c r="AL1918" s="3" t="n">
        <v>1.983451</v>
      </c>
      <c r="AM1918" s="3" t="n"/>
      <c r="AN1918" s="3" t="n"/>
      <c r="AO1918" s="3" t="n"/>
      <c r="AP1918" s="3" t="n"/>
      <c r="AQ1918" s="3" t="n"/>
      <c r="AR1918" s="3" t="n"/>
      <c r="AS1918" s="3" t="n"/>
      <c r="AT1918" s="3" t="n"/>
      <c r="AU1918" s="3" t="n"/>
    </row>
    <row r="1919">
      <c r="A1919" s="3" t="n">
        <v>2031</v>
      </c>
      <c r="B1919" s="3" t="inlineStr">
        <is>
          <t>MAR</t>
        </is>
      </c>
      <c r="C1919" s="3" t="inlineStr">
        <is>
          <t>IMF.RES:WEO</t>
        </is>
      </c>
      <c r="D1919" s="3" t="inlineStr">
        <is>
          <t>MAR.PPPPC.A</t>
        </is>
      </c>
      <c r="E1919" s="3" t="inlineStr">
        <is>
          <t>Morocco</t>
        </is>
      </c>
      <c r="F1919" s="3" t="inlineStr">
        <is>
          <t>Gross domestic product (GDP), Per capita, purchasing power parity (PPP) international dollar, ICP benchmarks 2017-2021</t>
        </is>
      </c>
      <c r="G1919" s="3" t="n">
        <v>3594.520583</v>
      </c>
      <c r="H1919" s="3" t="n">
        <v>3902.709049</v>
      </c>
      <c r="I1919" s="3" t="n">
        <v>4045.4002</v>
      </c>
      <c r="J1919" s="3" t="n">
        <v>4336.079394</v>
      </c>
      <c r="K1919" s="3" t="n">
        <v>4608.414587</v>
      </c>
      <c r="L1919" s="3" t="n">
        <v>4842.164505</v>
      </c>
      <c r="M1919" s="3" t="n">
        <v>5310.115997</v>
      </c>
      <c r="N1919" s="3" t="n">
        <v>5530.713734</v>
      </c>
      <c r="O1919" s="3" t="n">
        <v>5896.409463</v>
      </c>
      <c r="P1919" s="3" t="n">
        <v>6107.689699</v>
      </c>
      <c r="Q1919" s="3" t="n">
        <v>6338.833779</v>
      </c>
      <c r="R1919" s="3" t="n">
        <v>6726.033012</v>
      </c>
      <c r="S1919" s="3" t="n">
        <v>6972.09809</v>
      </c>
      <c r="T1919" s="3" t="n">
        <v>7323.5315</v>
      </c>
      <c r="U1919" s="3" t="n">
        <v>7543.762996</v>
      </c>
      <c r="V1919" s="3" t="n">
        <v>7880.072114</v>
      </c>
      <c r="W1919" s="3" t="n">
        <v>7912.472998</v>
      </c>
      <c r="X1919" s="3" t="n">
        <v>8372.935024</v>
      </c>
      <c r="Y1919" s="3" t="n">
        <v>8054.831785</v>
      </c>
      <c r="Z1919" s="3" t="n">
        <v>8309.034019999999</v>
      </c>
      <c r="AA1919" s="3" t="n">
        <v>7958.078385</v>
      </c>
      <c r="AB1919" s="3" t="n">
        <v>8908.244892999999</v>
      </c>
      <c r="AC1919" s="3" t="n">
        <v>9620.222064</v>
      </c>
      <c r="AD1919" s="3" t="n">
        <v>10242.547372</v>
      </c>
      <c r="AE1919" s="3" t="n">
        <v>10793.548659</v>
      </c>
      <c r="AF1919" s="3" t="n">
        <v>11538.030626</v>
      </c>
      <c r="AG1919" s="3" t="n">
        <v>12336.234041</v>
      </c>
      <c r="AH1919" s="3" t="n">
        <v>13060.842324</v>
      </c>
      <c r="AI1919" s="3" t="n">
        <v>13755.94042</v>
      </c>
      <c r="AJ1919" s="3" t="n">
        <v>14497.990028</v>
      </c>
      <c r="AK1919" s="3" t="n">
        <v>15249.922276</v>
      </c>
      <c r="AL1919" s="3" t="n">
        <v>16025.91094</v>
      </c>
      <c r="AM1919" s="3" t="n"/>
      <c r="AN1919" s="3" t="n"/>
      <c r="AO1919" s="3" t="n"/>
      <c r="AP1919" s="3" t="n"/>
      <c r="AQ1919" s="3" t="n"/>
      <c r="AR1919" s="3" t="n"/>
      <c r="AS1919" s="3" t="n"/>
      <c r="AT1919" s="3" t="n"/>
      <c r="AU1919" s="3" t="n"/>
    </row>
    <row r="1920">
      <c r="A1920" s="3" t="n">
        <v>2025</v>
      </c>
      <c r="B1920" s="3" t="inlineStr">
        <is>
          <t>MAR</t>
        </is>
      </c>
      <c r="C1920" s="3" t="inlineStr">
        <is>
          <t>IMF.STA:ER</t>
        </is>
      </c>
      <c r="D1920" s="3" t="inlineStr">
        <is>
          <t>MAR.XDC_USD.PA_RT.A</t>
        </is>
      </c>
      <c r="E1920" s="3" t="inlineStr">
        <is>
          <t>Morocco</t>
        </is>
      </c>
      <c r="F1920" s="3" t="inlineStr">
        <is>
          <t>Domestic currency per US Dollar</t>
        </is>
      </c>
      <c r="G1920" s="3" t="n">
        <v>10.6256361666666</v>
      </c>
      <c r="H1920" s="3" t="n">
        <v>11.302975</v>
      </c>
      <c r="I1920" s="3" t="n">
        <v>11.0205833333333</v>
      </c>
      <c r="J1920" s="3" t="n">
        <v>9.57438333333333</v>
      </c>
      <c r="K1920" s="3" t="n">
        <v>8.86801666666666</v>
      </c>
      <c r="L1920" s="3" t="n">
        <v>8.86500833333333</v>
      </c>
      <c r="M1920" s="3" t="n">
        <v>8.79558333333333</v>
      </c>
      <c r="N1920" s="3" t="n">
        <v>8.19233333333333</v>
      </c>
      <c r="O1920" s="3" t="n">
        <v>7.750325</v>
      </c>
      <c r="P1920" s="3" t="n">
        <v>8.0571</v>
      </c>
      <c r="Q1920" s="3" t="n">
        <v>8.41715833333333</v>
      </c>
      <c r="R1920" s="3" t="n">
        <v>8.089874999999999</v>
      </c>
      <c r="S1920" s="3" t="n">
        <v>8.62844458333333</v>
      </c>
      <c r="T1920" s="3" t="n">
        <v>8.4055039167443</v>
      </c>
      <c r="U1920" s="3" t="n">
        <v>8.40633668826151</v>
      </c>
      <c r="V1920" s="3" t="n">
        <v>9.7643482795011</v>
      </c>
      <c r="W1920" s="3" t="n">
        <v>9.8074760315025</v>
      </c>
      <c r="X1920" s="3" t="n">
        <v>9.691997888828899</v>
      </c>
      <c r="Y1920" s="3" t="n">
        <v>9.38610242091972</v>
      </c>
      <c r="Z1920" s="3" t="n">
        <v>9.617076099507431</v>
      </c>
      <c r="AA1920" s="3" t="n">
        <v>9.496847322219679</v>
      </c>
      <c r="AB1920" s="3" t="n">
        <v>8.98848402414138</v>
      </c>
      <c r="AC1920" s="3" t="n">
        <v>10.1606602430359</v>
      </c>
      <c r="AD1920" s="3" t="n">
        <v>10.1314260970897</v>
      </c>
      <c r="AE1920" s="3" t="n">
        <v>9.94235921679198</v>
      </c>
      <c r="AF1920" s="3" t="n">
        <v>9.35027697089946</v>
      </c>
      <c r="AG1920" s="3" t="n"/>
      <c r="AH1920" s="3" t="n"/>
      <c r="AI1920" s="3" t="n"/>
      <c r="AJ1920" s="3" t="n"/>
      <c r="AK1920" s="3" t="n"/>
      <c r="AL1920" s="3" t="n"/>
      <c r="AM1920" s="3" t="n"/>
      <c r="AN1920" s="3" t="n"/>
      <c r="AO1920" s="3" t="n"/>
      <c r="AP1920" s="3" t="n"/>
      <c r="AQ1920" s="3" t="n"/>
      <c r="AR1920" s="3" t="n"/>
      <c r="AS1920" s="3" t="n"/>
      <c r="AT1920" s="3" t="n"/>
      <c r="AU1920" s="3" t="n"/>
    </row>
    <row r="1921">
      <c r="A1921" s="3" t="n">
        <v>2031</v>
      </c>
      <c r="B1921" s="3" t="inlineStr">
        <is>
          <t>MDA</t>
        </is>
      </c>
      <c r="C1921" s="3" t="inlineStr">
        <is>
          <t>IMF.RES:WEO</t>
        </is>
      </c>
      <c r="D1921" s="3" t="inlineStr">
        <is>
          <t>MDA.BCA.A</t>
        </is>
      </c>
      <c r="E1921" s="3" t="inlineStr">
        <is>
          <t>Moldova, Republic of</t>
        </is>
      </c>
      <c r="F1921" s="3" t="inlineStr">
        <is>
          <t>Current account balance (credit less debit), US dollar</t>
        </is>
      </c>
      <c r="G1921" s="3" t="n">
        <v>-0.09819</v>
      </c>
      <c r="H1921" s="3" t="n">
        <v>-0.02678</v>
      </c>
      <c r="I1921" s="3" t="n">
        <v>-0.0198</v>
      </c>
      <c r="J1921" s="3" t="n">
        <v>-0.13013</v>
      </c>
      <c r="K1921" s="3" t="n">
        <v>-0.04613</v>
      </c>
      <c r="L1921" s="3" t="n">
        <v>-0.22581</v>
      </c>
      <c r="M1921" s="3" t="n">
        <v>-0.38642</v>
      </c>
      <c r="N1921" s="3" t="n">
        <v>-0.6711</v>
      </c>
      <c r="O1921" s="3" t="n">
        <v>-0.97557</v>
      </c>
      <c r="P1921" s="3" t="n">
        <v>-0.48519</v>
      </c>
      <c r="Q1921" s="3" t="n">
        <v>-0.481469</v>
      </c>
      <c r="R1921" s="3" t="n">
        <v>-0.851954</v>
      </c>
      <c r="S1921" s="3" t="n">
        <v>-0.64362</v>
      </c>
      <c r="T1921" s="3" t="n">
        <v>-0.49031</v>
      </c>
      <c r="U1921" s="3" t="n">
        <v>-0.5683</v>
      </c>
      <c r="V1921" s="3" t="n">
        <v>-0.46284</v>
      </c>
      <c r="W1921" s="3" t="n">
        <v>-0.28842</v>
      </c>
      <c r="X1921" s="3" t="n">
        <v>-0.5553900000000001</v>
      </c>
      <c r="Y1921" s="3" t="n">
        <v>-1.21187</v>
      </c>
      <c r="Z1921" s="3" t="n">
        <v>-1.10578</v>
      </c>
      <c r="AA1921" s="3" t="n">
        <v>-0.88672</v>
      </c>
      <c r="AB1921" s="3" t="n">
        <v>-1.6991</v>
      </c>
      <c r="AC1921" s="3" t="n">
        <v>-2.48434</v>
      </c>
      <c r="AD1921" s="3" t="n">
        <v>-1.848542</v>
      </c>
      <c r="AE1921" s="3" t="n">
        <v>-3.0127</v>
      </c>
      <c r="AF1921" s="3" t="n">
        <v>-3.891225</v>
      </c>
      <c r="AG1921" s="3" t="n">
        <v>-4.783345</v>
      </c>
      <c r="AH1921" s="3" t="n">
        <v>-4.836576</v>
      </c>
      <c r="AI1921" s="3" t="n">
        <v>-4.916247</v>
      </c>
      <c r="AJ1921" s="3" t="n">
        <v>-4.919299</v>
      </c>
      <c r="AK1921" s="3" t="n">
        <v>-4.978683</v>
      </c>
      <c r="AL1921" s="3" t="n">
        <v>-5.133099</v>
      </c>
      <c r="AM1921" s="3" t="n"/>
      <c r="AN1921" s="3" t="n"/>
      <c r="AO1921" s="3" t="n"/>
      <c r="AP1921" s="3" t="n"/>
      <c r="AQ1921" s="3" t="n"/>
      <c r="AR1921" s="3" t="n"/>
      <c r="AS1921" s="3" t="n"/>
      <c r="AT1921" s="3" t="n"/>
      <c r="AU1921" s="3" t="n"/>
    </row>
    <row r="1922">
      <c r="A1922" s="3" t="n">
        <v>2031</v>
      </c>
      <c r="B1922" s="3" t="inlineStr">
        <is>
          <t>MDA</t>
        </is>
      </c>
      <c r="C1922" s="3" t="inlineStr">
        <is>
          <t>IMF.RES:WEO</t>
        </is>
      </c>
      <c r="D1922" s="3" t="inlineStr">
        <is>
          <t>MDA.BCA_NGDPD.A</t>
        </is>
      </c>
      <c r="E1922" s="3" t="inlineStr">
        <is>
          <t>Moldova, Republic of</t>
        </is>
      </c>
      <c r="F1922" s="3" t="inlineStr">
        <is>
          <t>Current account balance (credit less debit), Percent of GDP</t>
        </is>
      </c>
      <c r="G1922" s="3" t="n">
        <v>-7.469748</v>
      </c>
      <c r="H1922" s="3" t="n">
        <v>-1.808403</v>
      </c>
      <c r="I1922" s="3" t="n">
        <v>-1.191401</v>
      </c>
      <c r="J1922" s="3" t="n">
        <v>-6.570385</v>
      </c>
      <c r="K1922" s="3" t="n">
        <v>-1.775642</v>
      </c>
      <c r="L1922" s="3" t="n">
        <v>-7.556388</v>
      </c>
      <c r="M1922" s="3" t="n">
        <v>-11.33714</v>
      </c>
      <c r="N1922" s="3" t="n">
        <v>-15.248325</v>
      </c>
      <c r="O1922" s="3" t="n">
        <v>-16.112389</v>
      </c>
      <c r="P1922" s="3" t="n">
        <v>-8.922677999999999</v>
      </c>
      <c r="Q1922" s="3" t="n">
        <v>-6.900687</v>
      </c>
      <c r="R1922" s="3" t="n">
        <v>-10.121376</v>
      </c>
      <c r="S1922" s="3" t="n">
        <v>-7.391468</v>
      </c>
      <c r="T1922" s="3" t="n">
        <v>-5.163254</v>
      </c>
      <c r="U1922" s="3" t="n">
        <v>-6.044399</v>
      </c>
      <c r="V1922" s="3" t="n">
        <v>-5.95078</v>
      </c>
      <c r="W1922" s="3" t="n">
        <v>-3.613741</v>
      </c>
      <c r="X1922" s="3" t="n">
        <v>-5.837128</v>
      </c>
      <c r="Y1922" s="3" t="n">
        <v>-10.770303</v>
      </c>
      <c r="Z1922" s="3" t="n">
        <v>-9.4213</v>
      </c>
      <c r="AA1922" s="3" t="n">
        <v>-7.690337</v>
      </c>
      <c r="AB1922" s="3" t="n">
        <v>-12.407783</v>
      </c>
      <c r="AC1922" s="3" t="n">
        <v>-17.105402</v>
      </c>
      <c r="AD1922" s="3" t="n">
        <v>-11.062107</v>
      </c>
      <c r="AE1922" s="3" t="n">
        <v>-16.546348</v>
      </c>
      <c r="AF1922" s="3" t="n">
        <v>-19.129056</v>
      </c>
      <c r="AG1922" s="3" t="n">
        <v>-21.852825</v>
      </c>
      <c r="AH1922" s="3" t="n">
        <v>-20.387458</v>
      </c>
      <c r="AI1922" s="3" t="n">
        <v>-19.113246</v>
      </c>
      <c r="AJ1922" s="3" t="n">
        <v>-17.646996</v>
      </c>
      <c r="AK1922" s="3" t="n">
        <v>-16.487423</v>
      </c>
      <c r="AL1922" s="3" t="n">
        <v>-15.61212</v>
      </c>
      <c r="AM1922" s="3" t="n"/>
      <c r="AN1922" s="3" t="n"/>
      <c r="AO1922" s="3" t="n"/>
      <c r="AP1922" s="3" t="n"/>
      <c r="AQ1922" s="3" t="n"/>
      <c r="AR1922" s="3" t="n"/>
      <c r="AS1922" s="3" t="n"/>
      <c r="AT1922" s="3" t="n"/>
      <c r="AU1922" s="3" t="n"/>
    </row>
    <row r="1923">
      <c r="A1923" s="3" t="n">
        <v>2031</v>
      </c>
      <c r="B1923" s="3" t="inlineStr">
        <is>
          <t>MDA</t>
        </is>
      </c>
      <c r="C1923" s="3" t="inlineStr">
        <is>
          <t>IMF.RES:WEO</t>
        </is>
      </c>
      <c r="D1923" s="3" t="inlineStr">
        <is>
          <t>MDA.GGR_NGDP.A</t>
        </is>
      </c>
      <c r="E1923" s="3" t="inlineStr">
        <is>
          <t>Moldova, Republic of</t>
        </is>
      </c>
      <c r="F1923" s="3" t="inlineStr">
        <is>
          <t>Revenue, General government, Percent of GDP</t>
        </is>
      </c>
      <c r="G1923" s="3" t="n">
        <v>30.47912</v>
      </c>
      <c r="H1923" s="3" t="n">
        <v>29.162952</v>
      </c>
      <c r="I1923" s="3" t="n">
        <v>29.560469</v>
      </c>
      <c r="J1923" s="3" t="n">
        <v>33.973815</v>
      </c>
      <c r="K1923" s="3" t="n">
        <v>35.400783</v>
      </c>
      <c r="L1923" s="3" t="n">
        <v>38.560221</v>
      </c>
      <c r="M1923" s="3" t="n">
        <v>39.878126</v>
      </c>
      <c r="N1923" s="3" t="n">
        <v>42.860161</v>
      </c>
      <c r="O1923" s="3" t="n">
        <v>40.627578</v>
      </c>
      <c r="P1923" s="3" t="n">
        <v>38.917178</v>
      </c>
      <c r="Q1923" s="3" t="n">
        <v>31.918032</v>
      </c>
      <c r="R1923" s="3" t="n">
        <v>30.512554</v>
      </c>
      <c r="S1923" s="3" t="n">
        <v>31.736816</v>
      </c>
      <c r="T1923" s="3" t="n">
        <v>30.877197</v>
      </c>
      <c r="U1923" s="3" t="n">
        <v>32.172424</v>
      </c>
      <c r="V1923" s="3" t="n">
        <v>29.760215</v>
      </c>
      <c r="W1923" s="3" t="n">
        <v>28.895528</v>
      </c>
      <c r="X1923" s="3" t="n">
        <v>30.327948</v>
      </c>
      <c r="Y1923" s="3" t="n">
        <v>30.675497</v>
      </c>
      <c r="Z1923" s="3" t="n">
        <v>30.519901</v>
      </c>
      <c r="AA1923" s="3" t="n">
        <v>31.369421</v>
      </c>
      <c r="AB1923" s="3" t="n">
        <v>31.96416</v>
      </c>
      <c r="AC1923" s="3" t="n">
        <v>33.32797</v>
      </c>
      <c r="AD1923" s="3" t="n">
        <v>33.700491</v>
      </c>
      <c r="AE1923" s="3" t="n">
        <v>33.936197</v>
      </c>
      <c r="AF1923" s="3" t="n">
        <v>35.532225</v>
      </c>
      <c r="AG1923" s="3" t="n">
        <v>35.43479</v>
      </c>
      <c r="AH1923" s="3" t="n">
        <v>35.508326</v>
      </c>
      <c r="AI1923" s="3" t="n">
        <v>35.400519</v>
      </c>
      <c r="AJ1923" s="3" t="n">
        <v>35.418272</v>
      </c>
      <c r="AK1923" s="3" t="n">
        <v>35.438554</v>
      </c>
      <c r="AL1923" s="3" t="n">
        <v>35.345942</v>
      </c>
      <c r="AM1923" s="3" t="n"/>
      <c r="AN1923" s="3" t="n"/>
      <c r="AO1923" s="3" t="n"/>
      <c r="AP1923" s="3" t="n"/>
      <c r="AQ1923" s="3" t="n"/>
      <c r="AR1923" s="3" t="n"/>
      <c r="AS1923" s="3" t="n"/>
      <c r="AT1923" s="3" t="n"/>
      <c r="AU1923" s="3" t="n"/>
    </row>
    <row r="1924">
      <c r="A1924" s="3" t="n">
        <v>2031</v>
      </c>
      <c r="B1924" s="3" t="inlineStr">
        <is>
          <t>MDA</t>
        </is>
      </c>
      <c r="C1924" s="3" t="inlineStr">
        <is>
          <t>IMF.RES:WEO</t>
        </is>
      </c>
      <c r="D1924" s="3" t="inlineStr">
        <is>
          <t>MDA.GGX_NGDP.A</t>
        </is>
      </c>
      <c r="E1924" s="3" t="inlineStr">
        <is>
          <t>Moldova, Republic of</t>
        </is>
      </c>
      <c r="F1924" s="3" t="inlineStr">
        <is>
          <t>Expenditure, General government, Percent of GDP</t>
        </is>
      </c>
      <c r="G1924" s="3" t="n">
        <v>34.025184</v>
      </c>
      <c r="H1924" s="3" t="n">
        <v>29.507702</v>
      </c>
      <c r="I1924" s="3" t="n">
        <v>30.739466</v>
      </c>
      <c r="J1924" s="3" t="n">
        <v>33.503847</v>
      </c>
      <c r="K1924" s="3" t="n">
        <v>34.807935</v>
      </c>
      <c r="L1924" s="3" t="n">
        <v>37.119499</v>
      </c>
      <c r="M1924" s="3" t="n">
        <v>40.29685</v>
      </c>
      <c r="N1924" s="3" t="n">
        <v>42.711928</v>
      </c>
      <c r="O1924" s="3" t="n">
        <v>41.498186</v>
      </c>
      <c r="P1924" s="3" t="n">
        <v>45.299999</v>
      </c>
      <c r="Q1924" s="3" t="n">
        <v>34.096287</v>
      </c>
      <c r="R1924" s="3" t="n">
        <v>32.562199</v>
      </c>
      <c r="S1924" s="3" t="n">
        <v>33.667556</v>
      </c>
      <c r="T1924" s="3" t="n">
        <v>32.442373</v>
      </c>
      <c r="U1924" s="3" t="n">
        <v>33.775661</v>
      </c>
      <c r="V1924" s="3" t="n">
        <v>31.689952</v>
      </c>
      <c r="W1924" s="3" t="n">
        <v>30.459639</v>
      </c>
      <c r="X1924" s="3" t="n">
        <v>30.978319</v>
      </c>
      <c r="Y1924" s="3" t="n">
        <v>31.528653</v>
      </c>
      <c r="Z1924" s="3" t="n">
        <v>31.985408</v>
      </c>
      <c r="AA1924" s="3" t="n">
        <v>36.686301</v>
      </c>
      <c r="AB1924" s="3" t="n">
        <v>34.581161</v>
      </c>
      <c r="AC1924" s="3" t="n">
        <v>36.56771</v>
      </c>
      <c r="AD1924" s="3" t="n">
        <v>38.830319</v>
      </c>
      <c r="AE1924" s="3" t="n">
        <v>37.95263</v>
      </c>
      <c r="AF1924" s="3" t="n">
        <v>39.403411</v>
      </c>
      <c r="AG1924" s="3" t="n">
        <v>40.158865</v>
      </c>
      <c r="AH1924" s="3" t="n">
        <v>40.208085</v>
      </c>
      <c r="AI1924" s="3" t="n">
        <v>39.706273</v>
      </c>
      <c r="AJ1924" s="3" t="n">
        <v>39.444501</v>
      </c>
      <c r="AK1924" s="3" t="n">
        <v>39.032908</v>
      </c>
      <c r="AL1924" s="3" t="n">
        <v>38.714536</v>
      </c>
      <c r="AM1924" s="3" t="n"/>
      <c r="AN1924" s="3" t="n"/>
      <c r="AO1924" s="3" t="n"/>
      <c r="AP1924" s="3" t="n"/>
      <c r="AQ1924" s="3" t="n"/>
      <c r="AR1924" s="3" t="n"/>
      <c r="AS1924" s="3" t="n"/>
      <c r="AT1924" s="3" t="n"/>
      <c r="AU1924" s="3" t="n"/>
    </row>
    <row r="1925">
      <c r="A1925" s="3" t="n">
        <v>2031</v>
      </c>
      <c r="B1925" s="3" t="inlineStr">
        <is>
          <t>MDA</t>
        </is>
      </c>
      <c r="C1925" s="3" t="inlineStr">
        <is>
          <t>IMF.RES:WEO</t>
        </is>
      </c>
      <c r="D1925" s="3" t="inlineStr">
        <is>
          <t>MDA.LP.A</t>
        </is>
      </c>
      <c r="E1925" s="3" t="inlineStr">
        <is>
          <t>Moldova, Republic of</t>
        </is>
      </c>
      <c r="F1925" s="3" t="inlineStr">
        <is>
          <t>Population, Persons for countries / Index for country groups</t>
        </is>
      </c>
      <c r="G1925" s="3" t="n">
        <v>2.933753</v>
      </c>
      <c r="H1925" s="3" t="n">
        <v>2.927861</v>
      </c>
      <c r="I1925" s="3" t="n">
        <v>2.920194</v>
      </c>
      <c r="J1925" s="3" t="n">
        <v>2.911416</v>
      </c>
      <c r="K1925" s="3" t="n">
        <v>2.905767</v>
      </c>
      <c r="L1925" s="3" t="n">
        <v>2.897293</v>
      </c>
      <c r="M1925" s="3" t="n">
        <v>2.89017</v>
      </c>
      <c r="N1925" s="3" t="n">
        <v>2.883385</v>
      </c>
      <c r="O1925" s="3" t="n">
        <v>2.879196</v>
      </c>
      <c r="P1925" s="3" t="n">
        <v>2.876115</v>
      </c>
      <c r="Q1925" s="3" t="n">
        <v>2.87348</v>
      </c>
      <c r="R1925" s="3" t="n">
        <v>2.872763</v>
      </c>
      <c r="S1925" s="3" t="n">
        <v>2.872727</v>
      </c>
      <c r="T1925" s="3" t="n">
        <v>2.871223</v>
      </c>
      <c r="U1925" s="3" t="n">
        <v>2.869226</v>
      </c>
      <c r="V1925" s="3" t="n">
        <v>2.844673</v>
      </c>
      <c r="W1925" s="3" t="n">
        <v>2.824387</v>
      </c>
      <c r="X1925" s="3" t="n">
        <v>2.779952</v>
      </c>
      <c r="Y1925" s="3" t="n">
        <v>2.730364</v>
      </c>
      <c r="Z1925" s="3" t="n">
        <v>2.684772</v>
      </c>
      <c r="AA1925" s="3" t="n">
        <v>2.643675</v>
      </c>
      <c r="AB1925" s="3" t="n">
        <v>2.626588</v>
      </c>
      <c r="AC1925" s="3" t="n">
        <v>2.56503</v>
      </c>
      <c r="AD1925" s="3" t="n">
        <v>2.492278</v>
      </c>
      <c r="AE1925" s="3" t="n">
        <v>2.423287</v>
      </c>
      <c r="AF1925" s="3" t="n">
        <v>2.3813</v>
      </c>
      <c r="AG1925" s="3" t="n">
        <v>2.34004</v>
      </c>
      <c r="AH1925" s="3" t="n">
        <v>2.299496</v>
      </c>
      <c r="AI1925" s="3" t="n">
        <v>2.259654</v>
      </c>
      <c r="AJ1925" s="3" t="n">
        <v>2.220502</v>
      </c>
      <c r="AK1925" s="3" t="n">
        <v>2.182028</v>
      </c>
      <c r="AL1925" s="3" t="n">
        <v>2.144222</v>
      </c>
      <c r="AM1925" s="3" t="n"/>
      <c r="AN1925" s="3" t="n"/>
      <c r="AO1925" s="3" t="n"/>
      <c r="AP1925" s="3" t="n"/>
      <c r="AQ1925" s="3" t="n"/>
      <c r="AR1925" s="3" t="n"/>
      <c r="AS1925" s="3" t="n"/>
      <c r="AT1925" s="3" t="n"/>
      <c r="AU1925" s="3" t="n"/>
    </row>
    <row r="1926">
      <c r="A1926" s="3" t="n">
        <v>2031</v>
      </c>
      <c r="B1926" s="3" t="inlineStr">
        <is>
          <t>MDA</t>
        </is>
      </c>
      <c r="C1926" s="3" t="inlineStr">
        <is>
          <t>IMF.RES:WEO</t>
        </is>
      </c>
      <c r="D1926" s="3" t="inlineStr">
        <is>
          <t>MDA.NGDP.A</t>
        </is>
      </c>
      <c r="E1926" s="3" t="inlineStr">
        <is>
          <t>Moldova, Republic of</t>
        </is>
      </c>
      <c r="F1926" s="3" t="inlineStr">
        <is>
          <t>Gross domestic product (GDP), Current prices, Domestic currency</t>
        </is>
      </c>
      <c r="G1926" s="3" t="n">
        <v>16.344658</v>
      </c>
      <c r="H1926" s="3" t="n">
        <v>19.051531</v>
      </c>
      <c r="I1926" s="3" t="n">
        <v>22.555858</v>
      </c>
      <c r="J1926" s="3" t="n">
        <v>27.618918</v>
      </c>
      <c r="K1926" s="3" t="n">
        <v>32.031777</v>
      </c>
      <c r="L1926" s="3" t="n">
        <v>37.651869</v>
      </c>
      <c r="M1926" s="3" t="n">
        <v>44.754367</v>
      </c>
      <c r="N1926" s="3" t="n">
        <v>53.429571</v>
      </c>
      <c r="O1926" s="3" t="n">
        <v>62.921545</v>
      </c>
      <c r="P1926" s="3" t="n">
        <v>60.429803</v>
      </c>
      <c r="Q1926" s="3" t="n">
        <v>86.27537700000001</v>
      </c>
      <c r="R1926" s="3" t="n">
        <v>98.772814</v>
      </c>
      <c r="S1926" s="3" t="n">
        <v>105.480184</v>
      </c>
      <c r="T1926" s="3" t="n">
        <v>119.532871</v>
      </c>
      <c r="U1926" s="3" t="n">
        <v>131.964258</v>
      </c>
      <c r="V1926" s="3" t="n">
        <v>146.740205</v>
      </c>
      <c r="W1926" s="3" t="n">
        <v>159.010419</v>
      </c>
      <c r="X1926" s="3" t="n">
        <v>176.007293</v>
      </c>
      <c r="Y1926" s="3" t="n">
        <v>189.062627</v>
      </c>
      <c r="Z1926" s="3" t="n">
        <v>206.256239</v>
      </c>
      <c r="AA1926" s="3" t="n">
        <v>199.733684</v>
      </c>
      <c r="AB1926" s="3" t="n">
        <v>242.078629</v>
      </c>
      <c r="AC1926" s="3" t="n">
        <v>274.488063</v>
      </c>
      <c r="AD1926" s="3" t="n">
        <v>303.554038</v>
      </c>
      <c r="AE1926" s="3" t="n">
        <v>323.932493</v>
      </c>
      <c r="AF1926" s="3" t="n">
        <v>353.520877</v>
      </c>
      <c r="AG1926" s="3" t="n">
        <v>382.932754</v>
      </c>
      <c r="AH1926" s="3" t="n">
        <v>416.921865</v>
      </c>
      <c r="AI1926" s="3" t="n">
        <v>454.610768</v>
      </c>
      <c r="AJ1926" s="3" t="n">
        <v>495.467547</v>
      </c>
      <c r="AK1926" s="3" t="n">
        <v>539.73559</v>
      </c>
      <c r="AL1926" s="3" t="n">
        <v>587.674905</v>
      </c>
      <c r="AM1926" s="3" t="n"/>
      <c r="AN1926" s="3" t="n"/>
      <c r="AO1926" s="3" t="n"/>
      <c r="AP1926" s="3" t="n"/>
      <c r="AQ1926" s="3" t="n"/>
      <c r="AR1926" s="3" t="n"/>
      <c r="AS1926" s="3" t="n"/>
      <c r="AT1926" s="3" t="n"/>
      <c r="AU1926" s="3" t="n"/>
    </row>
    <row r="1927">
      <c r="A1927" s="3" t="n">
        <v>2031</v>
      </c>
      <c r="B1927" s="3" t="inlineStr">
        <is>
          <t>MDA</t>
        </is>
      </c>
      <c r="C1927" s="3" t="inlineStr">
        <is>
          <t>IMF.RES:WEO</t>
        </is>
      </c>
      <c r="D1927" s="3" t="inlineStr">
        <is>
          <t>MDA.NGDP_D.A</t>
        </is>
      </c>
      <c r="E1927" s="3" t="inlineStr">
        <is>
          <t>Moldova, Republic of</t>
        </is>
      </c>
      <c r="F1927" s="3" t="inlineStr">
        <is>
          <t>Gross domestic product (GDP), Price deflator, Index</t>
        </is>
      </c>
      <c r="G1927" s="3" t="n">
        <v>286.102809</v>
      </c>
      <c r="H1927" s="3" t="n">
        <v>314.31187</v>
      </c>
      <c r="I1927" s="3" t="n">
        <v>345.20056</v>
      </c>
      <c r="J1927" s="3" t="n">
        <v>396.516803</v>
      </c>
      <c r="K1927" s="3" t="n">
        <v>428.185234</v>
      </c>
      <c r="L1927" s="3" t="n">
        <v>468.19711</v>
      </c>
      <c r="M1927" s="3" t="n">
        <v>531.026661</v>
      </c>
      <c r="N1927" s="3" t="n">
        <v>615.496191</v>
      </c>
      <c r="O1927" s="3" t="n">
        <v>672.394728</v>
      </c>
      <c r="P1927" s="3" t="n">
        <v>686.986569</v>
      </c>
      <c r="Q1927" s="3" t="n">
        <v>915.78698</v>
      </c>
      <c r="R1927" s="3" t="n">
        <v>990.797251</v>
      </c>
      <c r="S1927" s="3" t="n">
        <v>1064.356239</v>
      </c>
      <c r="T1927" s="3" t="n">
        <v>1106.119995</v>
      </c>
      <c r="U1927" s="3" t="n">
        <v>1163.00589</v>
      </c>
      <c r="V1927" s="3" t="n">
        <v>1302.343261</v>
      </c>
      <c r="W1927" s="3" t="n">
        <v>1349.181082</v>
      </c>
      <c r="X1927" s="3" t="n">
        <v>1433.202661</v>
      </c>
      <c r="Y1927" s="3" t="n">
        <v>1478.876476</v>
      </c>
      <c r="Z1927" s="3" t="n">
        <v>1557.304547</v>
      </c>
      <c r="AA1927" s="3" t="n">
        <v>1644.55512</v>
      </c>
      <c r="AB1927" s="3" t="n">
        <v>1749.966958</v>
      </c>
      <c r="AC1927" s="3" t="n">
        <v>2079.928881</v>
      </c>
      <c r="AD1927" s="3" t="n">
        <v>2272.901026</v>
      </c>
      <c r="AE1927" s="3" t="n">
        <v>2418.232706</v>
      </c>
      <c r="AF1927" s="3" t="n">
        <v>2576.847539</v>
      </c>
      <c r="AG1927" s="3" t="n">
        <v>2739.188934</v>
      </c>
      <c r="AH1927" s="3" t="n">
        <v>2889.844326</v>
      </c>
      <c r="AI1927" s="3" t="n">
        <v>3040.116231</v>
      </c>
      <c r="AJ1927" s="3" t="n">
        <v>3198.202275</v>
      </c>
      <c r="AK1927" s="3" t="n">
        <v>3364.508793</v>
      </c>
      <c r="AL1927" s="3" t="n">
        <v>3539.46325</v>
      </c>
      <c r="AM1927" s="3" t="n"/>
      <c r="AN1927" s="3" t="n"/>
      <c r="AO1927" s="3" t="n"/>
      <c r="AP1927" s="3" t="n"/>
      <c r="AQ1927" s="3" t="n"/>
      <c r="AR1927" s="3" t="n"/>
      <c r="AS1927" s="3" t="n"/>
      <c r="AT1927" s="3" t="n"/>
      <c r="AU1927" s="3" t="n"/>
    </row>
    <row r="1928">
      <c r="A1928" s="3" t="n">
        <v>2031</v>
      </c>
      <c r="B1928" s="3" t="inlineStr">
        <is>
          <t>MDA</t>
        </is>
      </c>
      <c r="C1928" s="3" t="inlineStr">
        <is>
          <t>IMF.RES:WEO</t>
        </is>
      </c>
      <c r="D1928" s="3" t="inlineStr">
        <is>
          <t>MDA.NGDP_R.A</t>
        </is>
      </c>
      <c r="E1928" s="3" t="inlineStr">
        <is>
          <t>Moldova, Republic of</t>
        </is>
      </c>
      <c r="F1928" s="3" t="inlineStr">
        <is>
          <t>Gross domestic product (GDP), Constant prices, Domestic currency</t>
        </is>
      </c>
      <c r="G1928" s="3" t="n">
        <v>5.712862</v>
      </c>
      <c r="H1928" s="3" t="n">
        <v>6.061346</v>
      </c>
      <c r="I1928" s="3" t="n">
        <v>6.534131</v>
      </c>
      <c r="J1928" s="3" t="n">
        <v>6.965384</v>
      </c>
      <c r="K1928" s="3" t="n">
        <v>7.480822</v>
      </c>
      <c r="L1928" s="3" t="n">
        <v>8.041884</v>
      </c>
      <c r="M1928" s="3" t="n">
        <v>8.427894999999999</v>
      </c>
      <c r="N1928" s="3" t="n">
        <v>8.680731</v>
      </c>
      <c r="O1928" s="3" t="n">
        <v>9.357828</v>
      </c>
      <c r="P1928" s="3" t="n">
        <v>8.796359000000001</v>
      </c>
      <c r="Q1928" s="3" t="n">
        <v>9.4209</v>
      </c>
      <c r="R1928" s="3" t="n">
        <v>9.969023999999999</v>
      </c>
      <c r="S1928" s="3" t="n">
        <v>9.910233</v>
      </c>
      <c r="T1928" s="3" t="n">
        <v>10.806501</v>
      </c>
      <c r="U1928" s="3" t="n">
        <v>11.346826</v>
      </c>
      <c r="V1928" s="3" t="n">
        <v>11.267398</v>
      </c>
      <c r="W1928" s="3" t="n">
        <v>11.785699</v>
      </c>
      <c r="X1928" s="3" t="n">
        <v>12.280698</v>
      </c>
      <c r="Y1928" s="3" t="n">
        <v>12.784207</v>
      </c>
      <c r="Z1928" s="3" t="n">
        <v>13.244438</v>
      </c>
      <c r="AA1928" s="3" t="n">
        <v>12.14515</v>
      </c>
      <c r="AB1928" s="3" t="n">
        <v>13.833326</v>
      </c>
      <c r="AC1928" s="3" t="n">
        <v>13.196993</v>
      </c>
      <c r="AD1928" s="3" t="n">
        <v>13.355357</v>
      </c>
      <c r="AE1928" s="3" t="n">
        <v>13.395423</v>
      </c>
      <c r="AF1928" s="3" t="n">
        <v>13.719123</v>
      </c>
      <c r="AG1928" s="3" t="n">
        <v>13.979786</v>
      </c>
      <c r="AH1928" s="3" t="n">
        <v>14.427139</v>
      </c>
      <c r="AI1928" s="3" t="n">
        <v>14.95373</v>
      </c>
      <c r="AJ1928" s="3" t="n">
        <v>15.492064</v>
      </c>
      <c r="AK1928" s="3" t="n">
        <v>16.042032</v>
      </c>
      <c r="AL1928" s="3" t="n">
        <v>16.603504</v>
      </c>
      <c r="AM1928" s="3" t="n"/>
      <c r="AN1928" s="3" t="n"/>
      <c r="AO1928" s="3" t="n"/>
      <c r="AP1928" s="3" t="n"/>
      <c r="AQ1928" s="3" t="n"/>
      <c r="AR1928" s="3" t="n"/>
      <c r="AS1928" s="3" t="n"/>
      <c r="AT1928" s="3" t="n"/>
      <c r="AU1928" s="3" t="n"/>
    </row>
    <row r="1929">
      <c r="A1929" s="3" t="n">
        <v>2031</v>
      </c>
      <c r="B1929" s="3" t="inlineStr">
        <is>
          <t>MDA</t>
        </is>
      </c>
      <c r="C1929" s="3" t="inlineStr">
        <is>
          <t>IMF.RES:WEO</t>
        </is>
      </c>
      <c r="D1929" s="3" t="inlineStr">
        <is>
          <t>MDA.NGDP_RPCH.A</t>
        </is>
      </c>
      <c r="E1929" s="3" t="inlineStr">
        <is>
          <t>Moldova, Republic of</t>
        </is>
      </c>
      <c r="F1929" s="3" t="inlineStr">
        <is>
          <t>Gross domestic product (GDP), Constant prices, Percent change</t>
        </is>
      </c>
      <c r="G1929" s="3" t="n">
        <v>2.1</v>
      </c>
      <c r="H1929" s="3" t="n">
        <v>6.1</v>
      </c>
      <c r="I1929" s="3" t="n">
        <v>7.8</v>
      </c>
      <c r="J1929" s="3" t="n">
        <v>6.6</v>
      </c>
      <c r="K1929" s="3" t="n">
        <v>7.4</v>
      </c>
      <c r="L1929" s="3" t="n">
        <v>7.5</v>
      </c>
      <c r="M1929" s="3" t="n">
        <v>4.8</v>
      </c>
      <c r="N1929" s="3" t="n">
        <v>3</v>
      </c>
      <c r="O1929" s="3" t="n">
        <v>7.8</v>
      </c>
      <c r="P1929" s="3" t="n">
        <v>-6</v>
      </c>
      <c r="Q1929" s="3" t="n">
        <v>7.1</v>
      </c>
      <c r="R1929" s="3" t="n">
        <v>5.818166</v>
      </c>
      <c r="S1929" s="3" t="n">
        <v>-0.589734</v>
      </c>
      <c r="T1929" s="3" t="n">
        <v>9.043866</v>
      </c>
      <c r="U1929" s="3" t="n">
        <v>5</v>
      </c>
      <c r="V1929" s="3" t="n">
        <v>-0.7</v>
      </c>
      <c r="W1929" s="3" t="n">
        <v>4.6</v>
      </c>
      <c r="X1929" s="3" t="n">
        <v>4.2</v>
      </c>
      <c r="Y1929" s="3" t="n">
        <v>4.1</v>
      </c>
      <c r="Z1929" s="3" t="n">
        <v>3.6</v>
      </c>
      <c r="AA1929" s="3" t="n">
        <v>-8.300000000000001</v>
      </c>
      <c r="AB1929" s="3" t="n">
        <v>13.9</v>
      </c>
      <c r="AC1929" s="3" t="n">
        <v>-4.6</v>
      </c>
      <c r="AD1929" s="3" t="n">
        <v>1.2</v>
      </c>
      <c r="AE1929" s="3" t="n">
        <v>0.3</v>
      </c>
      <c r="AF1929" s="3" t="n">
        <v>2.416497</v>
      </c>
      <c r="AG1929" s="3" t="n">
        <v>1.9</v>
      </c>
      <c r="AH1929" s="3" t="n">
        <v>3.2</v>
      </c>
      <c r="AI1929" s="3" t="n">
        <v>3.65</v>
      </c>
      <c r="AJ1929" s="3" t="n">
        <v>3.6</v>
      </c>
      <c r="AK1929" s="3" t="n">
        <v>3.55</v>
      </c>
      <c r="AL1929" s="3" t="n">
        <v>3.5</v>
      </c>
      <c r="AM1929" s="3" t="n"/>
      <c r="AN1929" s="3" t="n"/>
      <c r="AO1929" s="3" t="n"/>
      <c r="AP1929" s="3" t="n"/>
      <c r="AQ1929" s="3" t="n"/>
      <c r="AR1929" s="3" t="n"/>
      <c r="AS1929" s="3" t="n"/>
      <c r="AT1929" s="3" t="n"/>
      <c r="AU1929" s="3" t="n"/>
    </row>
    <row r="1930">
      <c r="A1930" s="3" t="n">
        <v>2031</v>
      </c>
      <c r="B1930" s="3" t="inlineStr">
        <is>
          <t>MDA</t>
        </is>
      </c>
      <c r="C1930" s="3" t="inlineStr">
        <is>
          <t>IMF.RES:WEO</t>
        </is>
      </c>
      <c r="D1930" s="3" t="inlineStr">
        <is>
          <t>MDA.NGDPD.A</t>
        </is>
      </c>
      <c r="E1930" s="3" t="inlineStr">
        <is>
          <t>Moldova, Republic of</t>
        </is>
      </c>
      <c r="F1930" s="3" t="inlineStr">
        <is>
          <t>Gross domestic product (GDP), Current prices, US dollar</t>
        </is>
      </c>
      <c r="G1930" s="3" t="n">
        <v>1.314502</v>
      </c>
      <c r="H1930" s="3" t="n">
        <v>1.480864</v>
      </c>
      <c r="I1930" s="3" t="n">
        <v>1.661909</v>
      </c>
      <c r="J1930" s="3" t="n">
        <v>1.980554</v>
      </c>
      <c r="K1930" s="3" t="n">
        <v>2.597933</v>
      </c>
      <c r="L1930" s="3" t="n">
        <v>2.988333</v>
      </c>
      <c r="M1930" s="3" t="n">
        <v>3.408443</v>
      </c>
      <c r="N1930" s="3" t="n">
        <v>4.401139</v>
      </c>
      <c r="O1930" s="3" t="n">
        <v>6.054782</v>
      </c>
      <c r="P1930" s="3" t="n">
        <v>5.437717</v>
      </c>
      <c r="Q1930" s="3" t="n">
        <v>6.977113</v>
      </c>
      <c r="R1930" s="3" t="n">
        <v>8.417372</v>
      </c>
      <c r="S1930" s="3" t="n">
        <v>8.707606999999999</v>
      </c>
      <c r="T1930" s="3" t="n">
        <v>9.496143999999999</v>
      </c>
      <c r="U1930" s="3" t="n">
        <v>9.402093000000001</v>
      </c>
      <c r="V1930" s="3" t="n">
        <v>7.777804</v>
      </c>
      <c r="W1930" s="3" t="n">
        <v>7.981202</v>
      </c>
      <c r="X1930" s="3" t="n">
        <v>9.514782</v>
      </c>
      <c r="Y1930" s="3" t="n">
        <v>11.251959</v>
      </c>
      <c r="Z1930" s="3" t="n">
        <v>11.737021</v>
      </c>
      <c r="AA1930" s="3" t="n">
        <v>11.530315</v>
      </c>
      <c r="AB1930" s="3" t="n">
        <v>13.693824</v>
      </c>
      <c r="AC1930" s="3" t="n">
        <v>14.523716</v>
      </c>
      <c r="AD1930" s="3" t="n">
        <v>16.710577</v>
      </c>
      <c r="AE1930" s="3" t="n">
        <v>18.207644</v>
      </c>
      <c r="AF1930" s="3" t="n">
        <v>20.341959</v>
      </c>
      <c r="AG1930" s="3" t="n">
        <v>21.88891</v>
      </c>
      <c r="AH1930" s="3" t="n">
        <v>23.723291</v>
      </c>
      <c r="AI1930" s="3" t="n">
        <v>25.721676</v>
      </c>
      <c r="AJ1930" s="3" t="n">
        <v>27.876126</v>
      </c>
      <c r="AK1930" s="3" t="n">
        <v>30.196852</v>
      </c>
      <c r="AL1930" s="3" t="n">
        <v>32.878937</v>
      </c>
      <c r="AM1930" s="3" t="n"/>
      <c r="AN1930" s="3" t="n"/>
      <c r="AO1930" s="3" t="n"/>
      <c r="AP1930" s="3" t="n"/>
      <c r="AQ1930" s="3" t="n"/>
      <c r="AR1930" s="3" t="n"/>
      <c r="AS1930" s="3" t="n"/>
      <c r="AT1930" s="3" t="n"/>
      <c r="AU1930" s="3" t="n"/>
    </row>
    <row r="1931">
      <c r="A1931" s="3" t="n">
        <v>2031</v>
      </c>
      <c r="B1931" s="3" t="inlineStr">
        <is>
          <t>MDA</t>
        </is>
      </c>
      <c r="C1931" s="3" t="inlineStr">
        <is>
          <t>IMF.RES:WEO</t>
        </is>
      </c>
      <c r="D1931" s="3" t="inlineStr">
        <is>
          <t>MDA.NGDPPC.A</t>
        </is>
      </c>
      <c r="E1931" s="3" t="inlineStr">
        <is>
          <t>Moldova, Republic of</t>
        </is>
      </c>
      <c r="F1931" s="3" t="inlineStr">
        <is>
          <t>Gross domestic product (GDP), Current prices, Per capita, Domestic currency</t>
        </is>
      </c>
      <c r="G1931" s="3" t="n">
        <v>5571.245709</v>
      </c>
      <c r="H1931" s="3" t="n">
        <v>6506.978622</v>
      </c>
      <c r="I1931" s="3" t="n">
        <v>7724.095069</v>
      </c>
      <c r="J1931" s="3" t="n">
        <v>9486.421499</v>
      </c>
      <c r="K1931" s="3" t="n">
        <v>11023.517808</v>
      </c>
      <c r="L1931" s="3" t="n">
        <v>12995.533226</v>
      </c>
      <c r="M1931" s="3" t="n">
        <v>15485.029203</v>
      </c>
      <c r="N1931" s="3" t="n">
        <v>18530.154639</v>
      </c>
      <c r="O1931" s="3" t="n">
        <v>21853.86251</v>
      </c>
      <c r="P1931" s="3" t="n">
        <v>21010.912875</v>
      </c>
      <c r="Q1931" s="3" t="n">
        <v>30024.700727</v>
      </c>
      <c r="R1931" s="3" t="n">
        <v>34382.51939</v>
      </c>
      <c r="S1931" s="3" t="n">
        <v>36717.788684</v>
      </c>
      <c r="T1931" s="3" t="n">
        <v>41631.336551</v>
      </c>
      <c r="U1931" s="3" t="n">
        <v>45992.981382</v>
      </c>
      <c r="V1931" s="3" t="n">
        <v>51584.208449</v>
      </c>
      <c r="W1931" s="3" t="n">
        <v>56299.090387</v>
      </c>
      <c r="X1931" s="3" t="n">
        <v>63313.069075</v>
      </c>
      <c r="Y1931" s="3" t="n">
        <v>69244.476927</v>
      </c>
      <c r="Z1931" s="3" t="n">
        <v>76824.48975199999</v>
      </c>
      <c r="AA1931" s="3" t="n">
        <v>75551.527325</v>
      </c>
      <c r="AB1931" s="3" t="n">
        <v>92164.674856</v>
      </c>
      <c r="AC1931" s="3" t="n">
        <v>107011.63846</v>
      </c>
      <c r="AD1931" s="3" t="n">
        <v>121797.82432</v>
      </c>
      <c r="AE1931" s="3" t="n">
        <v>133674.836286</v>
      </c>
      <c r="AF1931" s="3" t="n">
        <v>148457.093698</v>
      </c>
      <c r="AG1931" s="3" t="n">
        <v>163643.644579</v>
      </c>
      <c r="AH1931" s="3" t="n">
        <v>181310.118082</v>
      </c>
      <c r="AI1931" s="3" t="n">
        <v>201186.033115</v>
      </c>
      <c r="AJ1931" s="3" t="n">
        <v>223133.132941</v>
      </c>
      <c r="AK1931" s="3" t="n">
        <v>247354.973393</v>
      </c>
      <c r="AL1931" s="3" t="n">
        <v>274073.772043</v>
      </c>
      <c r="AM1931" s="3" t="n"/>
      <c r="AN1931" s="3" t="n"/>
      <c r="AO1931" s="3" t="n"/>
      <c r="AP1931" s="3" t="n"/>
      <c r="AQ1931" s="3" t="n"/>
      <c r="AR1931" s="3" t="n"/>
      <c r="AS1931" s="3" t="n"/>
      <c r="AT1931" s="3" t="n"/>
      <c r="AU1931" s="3" t="n"/>
    </row>
    <row r="1932">
      <c r="A1932" s="3" t="n">
        <v>2031</v>
      </c>
      <c r="B1932" s="3" t="inlineStr">
        <is>
          <t>MDA</t>
        </is>
      </c>
      <c r="C1932" s="3" t="inlineStr">
        <is>
          <t>IMF.RES:WEO</t>
        </is>
      </c>
      <c r="D1932" s="3" t="inlineStr">
        <is>
          <t>MDA.NGDPRPC.A</t>
        </is>
      </c>
      <c r="E1932" s="3" t="inlineStr">
        <is>
          <t>Moldova, Republic of</t>
        </is>
      </c>
      <c r="F1932" s="3" t="inlineStr">
        <is>
          <t>Gross domestic product (GDP), Constant prices, Per capita, Domestic currency</t>
        </is>
      </c>
      <c r="G1932" s="3" t="n">
        <v>1947.288012</v>
      </c>
      <c r="H1932" s="3" t="n">
        <v>2070.229998</v>
      </c>
      <c r="I1932" s="3" t="n">
        <v>2237.567362</v>
      </c>
      <c r="J1932" s="3" t="n">
        <v>2392.438713</v>
      </c>
      <c r="K1932" s="3" t="n">
        <v>2574.474069</v>
      </c>
      <c r="L1932" s="3" t="n">
        <v>2775.654302</v>
      </c>
      <c r="M1932" s="3" t="n">
        <v>2916.054945</v>
      </c>
      <c r="N1932" s="3" t="n">
        <v>3010.604276</v>
      </c>
      <c r="O1932" s="3" t="n">
        <v>3250.153758</v>
      </c>
      <c r="P1932" s="3" t="n">
        <v>3058.416835</v>
      </c>
      <c r="Q1932" s="3" t="n">
        <v>3278.568202</v>
      </c>
      <c r="R1932" s="3" t="n">
        <v>3470.1872</v>
      </c>
      <c r="S1932" s="3" t="n">
        <v>3449.76497</v>
      </c>
      <c r="T1932" s="3" t="n">
        <v>3763.726969</v>
      </c>
      <c r="U1932" s="3" t="n">
        <v>3954.664526</v>
      </c>
      <c r="V1932" s="3" t="n">
        <v>3960.876521</v>
      </c>
      <c r="W1932" s="3" t="n">
        <v>4172.834256</v>
      </c>
      <c r="X1932" s="3" t="n">
        <v>4417.593605</v>
      </c>
      <c r="Y1932" s="3" t="n">
        <v>4682.235336</v>
      </c>
      <c r="Z1932" s="3" t="n">
        <v>4933.170581</v>
      </c>
      <c r="AA1932" s="3" t="n">
        <v>4594.040445</v>
      </c>
      <c r="AB1932" s="3" t="n">
        <v>5266.65229</v>
      </c>
      <c r="AC1932" s="3" t="n">
        <v>5144.966227</v>
      </c>
      <c r="AD1932" s="3" t="n">
        <v>5358.69459</v>
      </c>
      <c r="AE1932" s="3" t="n">
        <v>5527.790437</v>
      </c>
      <c r="AF1932" s="3" t="n">
        <v>5761.190425</v>
      </c>
      <c r="AG1932" s="3" t="n">
        <v>5974.164196</v>
      </c>
      <c r="AH1932" s="3" t="n">
        <v>6274.044469</v>
      </c>
      <c r="AI1932" s="3" t="n">
        <v>6617.708595</v>
      </c>
      <c r="AJ1932" s="3" t="n">
        <v>6976.829912</v>
      </c>
      <c r="AK1932" s="3" t="n">
        <v>7351.88964</v>
      </c>
      <c r="AL1932" s="3" t="n">
        <v>7743.371033</v>
      </c>
      <c r="AM1932" s="3" t="n"/>
      <c r="AN1932" s="3" t="n"/>
      <c r="AO1932" s="3" t="n"/>
      <c r="AP1932" s="3" t="n"/>
      <c r="AQ1932" s="3" t="n"/>
      <c r="AR1932" s="3" t="n"/>
      <c r="AS1932" s="3" t="n"/>
      <c r="AT1932" s="3" t="n"/>
      <c r="AU1932" s="3" t="n"/>
    </row>
    <row r="1933">
      <c r="A1933" s="3" t="n">
        <v>2031</v>
      </c>
      <c r="B1933" s="3" t="inlineStr">
        <is>
          <t>MDA</t>
        </is>
      </c>
      <c r="C1933" s="3" t="inlineStr">
        <is>
          <t>IMF.RES:WEO</t>
        </is>
      </c>
      <c r="D1933" s="3" t="inlineStr">
        <is>
          <t>MDA.PCPI.A</t>
        </is>
      </c>
      <c r="E1933" s="3" t="inlineStr">
        <is>
          <t>Moldova, Republic of</t>
        </is>
      </c>
      <c r="F1933" s="3" t="inlineStr">
        <is>
          <t>All Items, Consumer price index (CPI), Period average</t>
        </is>
      </c>
      <c r="G1933" s="3" t="n">
        <v>13502.971705</v>
      </c>
      <c r="H1933" s="3" t="n">
        <v>14804.829921</v>
      </c>
      <c r="I1933" s="3" t="n">
        <v>15577.432617</v>
      </c>
      <c r="J1933" s="3" t="n">
        <v>17394.830971</v>
      </c>
      <c r="K1933" s="3" t="n">
        <v>19556.241079</v>
      </c>
      <c r="L1933" s="3" t="n">
        <v>21873.897141</v>
      </c>
      <c r="M1933" s="3" t="n">
        <v>24653.456402</v>
      </c>
      <c r="N1933" s="3" t="n">
        <v>27705.976668</v>
      </c>
      <c r="O1933" s="3" t="n">
        <v>31225.828396</v>
      </c>
      <c r="P1933" s="3" t="n">
        <v>31227.590252</v>
      </c>
      <c r="Q1933" s="3" t="n">
        <v>33525.167392</v>
      </c>
      <c r="R1933" s="3" t="n">
        <v>36089.710907</v>
      </c>
      <c r="S1933" s="3" t="n">
        <v>37734.790533</v>
      </c>
      <c r="T1933" s="3" t="n">
        <v>39458.957009</v>
      </c>
      <c r="U1933" s="3" t="n">
        <v>41454.861062</v>
      </c>
      <c r="V1933" s="3" t="n">
        <v>45446.029686</v>
      </c>
      <c r="W1933" s="3" t="n">
        <v>48335.523381</v>
      </c>
      <c r="X1933" s="3" t="n">
        <v>51480.34525</v>
      </c>
      <c r="Y1933" s="3" t="n">
        <v>53328.613916</v>
      </c>
      <c r="Z1933" s="3" t="n">
        <v>55912.692961</v>
      </c>
      <c r="AA1933" s="3" t="n">
        <v>58021.226001</v>
      </c>
      <c r="AB1933" s="3" t="n">
        <v>60979.786723</v>
      </c>
      <c r="AC1933" s="3" t="n">
        <v>78494.43706900001</v>
      </c>
      <c r="AD1933" s="3" t="n">
        <v>89049.578419</v>
      </c>
      <c r="AE1933" s="3" t="n">
        <v>93219.330013</v>
      </c>
      <c r="AF1933" s="3" t="n">
        <v>100455.122629</v>
      </c>
      <c r="AG1933" s="3" t="n">
        <v>106892.71664</v>
      </c>
      <c r="AH1933" s="3" t="n">
        <v>112731.999771</v>
      </c>
      <c r="AI1933" s="3" t="n">
        <v>118325.136073</v>
      </c>
      <c r="AJ1933" s="3" t="n">
        <v>124241.392877</v>
      </c>
      <c r="AK1933" s="3" t="n">
        <v>130453.462521</v>
      </c>
      <c r="AL1933" s="3" t="n">
        <v>136976.135647</v>
      </c>
      <c r="AM1933" s="3" t="n"/>
      <c r="AN1933" s="3" t="n"/>
      <c r="AO1933" s="3" t="n"/>
      <c r="AP1933" s="3" t="n"/>
      <c r="AQ1933" s="3" t="n"/>
      <c r="AR1933" s="3" t="n"/>
      <c r="AS1933" s="3" t="n"/>
      <c r="AT1933" s="3" t="n"/>
      <c r="AU1933" s="3" t="n"/>
    </row>
    <row r="1934">
      <c r="A1934" s="3" t="n">
        <v>2031</v>
      </c>
      <c r="B1934" s="3" t="inlineStr">
        <is>
          <t>MDA</t>
        </is>
      </c>
      <c r="C1934" s="3" t="inlineStr">
        <is>
          <t>IMF.RES:WEO</t>
        </is>
      </c>
      <c r="D1934" s="3" t="inlineStr">
        <is>
          <t>MDA.PCPIPCH.A</t>
        </is>
      </c>
      <c r="E1934" s="3" t="inlineStr">
        <is>
          <t>Moldova, Republic of</t>
        </is>
      </c>
      <c r="F1934" s="3" t="inlineStr">
        <is>
          <t>All Items, Consumer price index (CPI), Period average, percent change</t>
        </is>
      </c>
      <c r="G1934" s="3" t="n">
        <v>31.205578</v>
      </c>
      <c r="H1934" s="3" t="n">
        <v>9.641272000000001</v>
      </c>
      <c r="I1934" s="3" t="n">
        <v>5.218585</v>
      </c>
      <c r="J1934" s="3" t="n">
        <v>11.666867</v>
      </c>
      <c r="K1934" s="3" t="n">
        <v>12.425588</v>
      </c>
      <c r="L1934" s="3" t="n">
        <v>11.851235</v>
      </c>
      <c r="M1934" s="3" t="n">
        <v>12.707197</v>
      </c>
      <c r="N1934" s="3" t="n">
        <v>12.381713</v>
      </c>
      <c r="O1934" s="3" t="n">
        <v>12.704305</v>
      </c>
      <c r="P1934" s="3" t="n">
        <v>0.005642</v>
      </c>
      <c r="Q1934" s="3" t="n">
        <v>7.357523</v>
      </c>
      <c r="R1934" s="3" t="n">
        <v>7.649607</v>
      </c>
      <c r="S1934" s="3" t="n">
        <v>4.558306</v>
      </c>
      <c r="T1934" s="3" t="n">
        <v>4.569169</v>
      </c>
      <c r="U1934" s="3" t="n">
        <v>5.058177</v>
      </c>
      <c r="V1934" s="3" t="n">
        <v>9.627746</v>
      </c>
      <c r="W1934" s="3" t="n">
        <v>6.358077</v>
      </c>
      <c r="X1934" s="3" t="n">
        <v>6.506233</v>
      </c>
      <c r="Y1934" s="3" t="n">
        <v>3.590241</v>
      </c>
      <c r="Z1934" s="3" t="n">
        <v>4.845577</v>
      </c>
      <c r="AA1934" s="3" t="n">
        <v>3.771117</v>
      </c>
      <c r="AB1934" s="3" t="n">
        <v>5.099101</v>
      </c>
      <c r="AC1934" s="3" t="n">
        <v>28.722059</v>
      </c>
      <c r="AD1934" s="3" t="n">
        <v>13.446993</v>
      </c>
      <c r="AE1934" s="3" t="n">
        <v>4.682506</v>
      </c>
      <c r="AF1934" s="3" t="n">
        <v>7.762116</v>
      </c>
      <c r="AG1934" s="3" t="n">
        <v>6.408428</v>
      </c>
      <c r="AH1934" s="3" t="n">
        <v>5.462751</v>
      </c>
      <c r="AI1934" s="3" t="n">
        <v>4.961445</v>
      </c>
      <c r="AJ1934" s="3" t="n">
        <v>5</v>
      </c>
      <c r="AK1934" s="3" t="n">
        <v>5</v>
      </c>
      <c r="AL1934" s="3" t="n">
        <v>5</v>
      </c>
      <c r="AM1934" s="3" t="n"/>
      <c r="AN1934" s="3" t="n"/>
      <c r="AO1934" s="3" t="n"/>
      <c r="AP1934" s="3" t="n"/>
      <c r="AQ1934" s="3" t="n"/>
      <c r="AR1934" s="3" t="n"/>
      <c r="AS1934" s="3" t="n"/>
      <c r="AT1934" s="3" t="n"/>
      <c r="AU1934" s="3" t="n"/>
    </row>
    <row r="1935">
      <c r="A1935" s="3" t="n">
        <v>2031</v>
      </c>
      <c r="B1935" s="3" t="inlineStr">
        <is>
          <t>MDA</t>
        </is>
      </c>
      <c r="C1935" s="3" t="inlineStr">
        <is>
          <t>IMF.RES:WEO</t>
        </is>
      </c>
      <c r="D1935" s="3" t="inlineStr">
        <is>
          <t>MDA.PPPPC.A</t>
        </is>
      </c>
      <c r="E1935" s="3" t="inlineStr">
        <is>
          <t>Moldova, Republic of</t>
        </is>
      </c>
      <c r="F1935" s="3" t="inlineStr">
        <is>
          <t>Gross domestic product (GDP), Per capita, purchasing power parity (PPP) international dollar, ICP benchmarks 2017-2021</t>
        </is>
      </c>
      <c r="G1935" s="3" t="n">
        <v>3574.868642</v>
      </c>
      <c r="H1935" s="3" t="n">
        <v>3886.142258</v>
      </c>
      <c r="I1935" s="3" t="n">
        <v>4265.53395</v>
      </c>
      <c r="J1935" s="3" t="n">
        <v>4650.808733</v>
      </c>
      <c r="K1935" s="3" t="n">
        <v>5139.248312</v>
      </c>
      <c r="L1935" s="3" t="n">
        <v>5714.601949</v>
      </c>
      <c r="M1935" s="3" t="n">
        <v>6188.808983</v>
      </c>
      <c r="N1935" s="3" t="n">
        <v>6562.581239</v>
      </c>
      <c r="O1935" s="3" t="n">
        <v>7221.238</v>
      </c>
      <c r="P1935" s="3" t="n">
        <v>6837.143227</v>
      </c>
      <c r="Q1935" s="3" t="n">
        <v>7418.373772</v>
      </c>
      <c r="R1935" s="3" t="n">
        <v>8013.952776</v>
      </c>
      <c r="S1935" s="3" t="n">
        <v>8115.126481</v>
      </c>
      <c r="T1935" s="3" t="n">
        <v>9004.371621</v>
      </c>
      <c r="U1935" s="3" t="n">
        <v>9625.958859</v>
      </c>
      <c r="V1935" s="3" t="n">
        <v>9730.553682</v>
      </c>
      <c r="W1935" s="3" t="n">
        <v>10348.673123</v>
      </c>
      <c r="X1935" s="3" t="n">
        <v>11151.883014</v>
      </c>
      <c r="Y1935" s="3" t="n">
        <v>11767.520571</v>
      </c>
      <c r="Z1935" s="3" t="n">
        <v>13310.564689</v>
      </c>
      <c r="AA1935" s="3" t="n">
        <v>13483.717356</v>
      </c>
      <c r="AB1935" s="3" t="n">
        <v>15498.303996</v>
      </c>
      <c r="AC1935" s="3" t="n">
        <v>16217.050315</v>
      </c>
      <c r="AD1935" s="3" t="n">
        <v>17515.689497</v>
      </c>
      <c r="AE1935" s="3" t="n">
        <v>18516.960634</v>
      </c>
      <c r="AF1935" s="3" t="n">
        <v>19846.264544</v>
      </c>
      <c r="AG1935" s="3" t="n">
        <v>21169.504904</v>
      </c>
      <c r="AH1935" s="3" t="n">
        <v>22720.329234</v>
      </c>
      <c r="AI1935" s="3" t="n">
        <v>24358.204098</v>
      </c>
      <c r="AJ1935" s="3" t="n">
        <v>26136.66291</v>
      </c>
      <c r="AK1935" s="3" t="n">
        <v>28047.80144</v>
      </c>
      <c r="AL1935" s="3" t="n">
        <v>30074.631191</v>
      </c>
      <c r="AM1935" s="3" t="n"/>
      <c r="AN1935" s="3" t="n"/>
      <c r="AO1935" s="3" t="n"/>
      <c r="AP1935" s="3" t="n"/>
      <c r="AQ1935" s="3" t="n"/>
      <c r="AR1935" s="3" t="n"/>
      <c r="AS1935" s="3" t="n"/>
      <c r="AT1935" s="3" t="n"/>
      <c r="AU1935" s="3" t="n"/>
    </row>
    <row r="1936">
      <c r="A1936" s="3" t="n">
        <v>2025</v>
      </c>
      <c r="B1936" s="3" t="inlineStr">
        <is>
          <t>MDA</t>
        </is>
      </c>
      <c r="C1936" s="3" t="inlineStr">
        <is>
          <t>IMF.STA:ER</t>
        </is>
      </c>
      <c r="D1936" s="3" t="inlineStr">
        <is>
          <t>MDA.XDC_USD.PA_RT.A</t>
        </is>
      </c>
      <c r="E1936" s="3" t="inlineStr">
        <is>
          <t>Moldova, Republic of</t>
        </is>
      </c>
      <c r="F1936" s="3" t="inlineStr">
        <is>
          <t>Domestic currency per US Dollar</t>
        </is>
      </c>
      <c r="G1936" s="3" t="n">
        <v>12.4342166666666</v>
      </c>
      <c r="H1936" s="3" t="n">
        <v>12.8651416666666</v>
      </c>
      <c r="I1936" s="3" t="n">
        <v>13.5704975</v>
      </c>
      <c r="J1936" s="3" t="n">
        <v>13.9448833333333</v>
      </c>
      <c r="K1936" s="3" t="n">
        <v>12.3297166666666</v>
      </c>
      <c r="L1936" s="3" t="n">
        <v>12.599625</v>
      </c>
      <c r="M1936" s="3" t="n">
        <v>13.1310583333333</v>
      </c>
      <c r="N1936" s="3" t="n">
        <v>12.1399449731182</v>
      </c>
      <c r="O1936" s="3" t="n">
        <v>10.3920436827957</v>
      </c>
      <c r="P1936" s="3" t="n">
        <v>11.1095754339477</v>
      </c>
      <c r="Q1936" s="3" t="n">
        <v>12.3692609613415</v>
      </c>
      <c r="R1936" s="3" t="n">
        <v>11.7386124865591</v>
      </c>
      <c r="S1936" s="3" t="n">
        <v>12.1114368159065</v>
      </c>
      <c r="T1936" s="3" t="n">
        <v>12.5867562314388</v>
      </c>
      <c r="U1936" s="3" t="n">
        <v>14.0356300499232</v>
      </c>
      <c r="V1936" s="3" t="n">
        <v>18.8184751452893</v>
      </c>
      <c r="W1936" s="3" t="n">
        <v>19.9238275633419</v>
      </c>
      <c r="X1936" s="3" t="n">
        <v>18.4990348873527</v>
      </c>
      <c r="Y1936" s="3" t="n">
        <v>16.8020517223502</v>
      </c>
      <c r="Z1936" s="3" t="n">
        <v>17.5734688664874</v>
      </c>
      <c r="AA1936" s="3" t="n">
        <v>17.321835209183</v>
      </c>
      <c r="AB1936" s="3" t="n">
        <v>17.680466141833</v>
      </c>
      <c r="AC1936" s="3" t="n">
        <v>18.8971896198156</v>
      </c>
      <c r="AD1936" s="3" t="n">
        <v>18.1639377592165</v>
      </c>
      <c r="AE1936" s="3" t="n">
        <v>17.791907688172</v>
      </c>
      <c r="AF1936" s="3" t="n">
        <v>17.3778474404761</v>
      </c>
      <c r="AG1936" s="3" t="n"/>
      <c r="AH1936" s="3" t="n"/>
      <c r="AI1936" s="3" t="n"/>
      <c r="AJ1936" s="3" t="n"/>
      <c r="AK1936" s="3" t="n"/>
      <c r="AL1936" s="3" t="n"/>
      <c r="AM1936" s="3" t="n"/>
      <c r="AN1936" s="3" t="n"/>
      <c r="AO1936" s="3" t="n"/>
      <c r="AP1936" s="3" t="n"/>
      <c r="AQ1936" s="3" t="n"/>
      <c r="AR1936" s="3" t="n"/>
      <c r="AS1936" s="3" t="n"/>
      <c r="AT1936" s="3" t="n"/>
      <c r="AU1936" s="3" t="n"/>
    </row>
    <row r="1937">
      <c r="A1937" s="3" t="n">
        <v>2031</v>
      </c>
      <c r="B1937" s="3" t="inlineStr">
        <is>
          <t>MDG</t>
        </is>
      </c>
      <c r="C1937" s="3" t="inlineStr">
        <is>
          <t>IMF.RES:WEO</t>
        </is>
      </c>
      <c r="D1937" s="3" t="inlineStr">
        <is>
          <t>MDG.BCA.A</t>
        </is>
      </c>
      <c r="E1937" s="3" t="inlineStr">
        <is>
          <t>Madagascar, Republic of</t>
        </is>
      </c>
      <c r="F1937" s="3" t="inlineStr">
        <is>
          <t>Current account balance (credit less debit), US dollar</t>
        </is>
      </c>
      <c r="G1937" s="3" t="n">
        <v>-0.260477</v>
      </c>
      <c r="H1937" s="3" t="n">
        <v>-0.140064</v>
      </c>
      <c r="I1937" s="3" t="n">
        <v>-0.477029</v>
      </c>
      <c r="J1937" s="3" t="n">
        <v>-0.32795</v>
      </c>
      <c r="K1937" s="3" t="n">
        <v>-0.398999</v>
      </c>
      <c r="L1937" s="3" t="n">
        <v>-0.734215</v>
      </c>
      <c r="M1937" s="3" t="n">
        <v>-0.585539</v>
      </c>
      <c r="N1937" s="3" t="n">
        <v>-0.842719</v>
      </c>
      <c r="O1937" s="3" t="n">
        <v>-1.677032</v>
      </c>
      <c r="P1937" s="3" t="n">
        <v>-1.747565</v>
      </c>
      <c r="Q1937" s="3" t="n">
        <v>-0.893307</v>
      </c>
      <c r="R1937" s="3" t="n">
        <v>-0.777178</v>
      </c>
      <c r="S1937" s="3" t="n">
        <v>-0.864105</v>
      </c>
      <c r="T1937" s="3" t="n">
        <v>-0.808214</v>
      </c>
      <c r="U1937" s="3" t="n">
        <v>-0.033634</v>
      </c>
      <c r="V1937" s="3" t="n">
        <v>-0.184085</v>
      </c>
      <c r="W1937" s="3" t="n">
        <v>0.057118</v>
      </c>
      <c r="X1937" s="3" t="n">
        <v>-0.055586</v>
      </c>
      <c r="Y1937" s="3" t="n">
        <v>0.098535</v>
      </c>
      <c r="Z1937" s="3" t="n">
        <v>-0.322811</v>
      </c>
      <c r="AA1937" s="3" t="n">
        <v>-0.701497</v>
      </c>
      <c r="AB1937" s="3" t="n">
        <v>-0.707095</v>
      </c>
      <c r="AC1937" s="3" t="n">
        <v>-0.820976</v>
      </c>
      <c r="AD1937" s="3" t="n">
        <v>-0.643586</v>
      </c>
      <c r="AE1937" s="3" t="n">
        <v>-0.932408</v>
      </c>
      <c r="AF1937" s="3" t="n">
        <v>-1.13254</v>
      </c>
      <c r="AG1937" s="3" t="n">
        <v>-1.68462</v>
      </c>
      <c r="AH1937" s="3" t="n">
        <v>-1.520949</v>
      </c>
      <c r="AI1937" s="3" t="n">
        <v>-1.431096</v>
      </c>
      <c r="AJ1937" s="3" t="n">
        <v>-1.512588</v>
      </c>
      <c r="AK1937" s="3" t="n">
        <v>-1.660298</v>
      </c>
      <c r="AL1937" s="3" t="n">
        <v>-1.806795</v>
      </c>
      <c r="AM1937" s="3" t="n"/>
      <c r="AN1937" s="3" t="n"/>
      <c r="AO1937" s="3" t="n"/>
      <c r="AP1937" s="3" t="n"/>
      <c r="AQ1937" s="3" t="n"/>
      <c r="AR1937" s="3" t="n"/>
      <c r="AS1937" s="3" t="n"/>
      <c r="AT1937" s="3" t="n"/>
      <c r="AU1937" s="3" t="n"/>
    </row>
    <row r="1938">
      <c r="A1938" s="3" t="n">
        <v>2031</v>
      </c>
      <c r="B1938" s="3" t="inlineStr">
        <is>
          <t>MDG</t>
        </is>
      </c>
      <c r="C1938" s="3" t="inlineStr">
        <is>
          <t>IMF.RES:WEO</t>
        </is>
      </c>
      <c r="D1938" s="3" t="inlineStr">
        <is>
          <t>MDG.BCA_NGDPD.A</t>
        </is>
      </c>
      <c r="E1938" s="3" t="inlineStr">
        <is>
          <t>Madagascar, Republic of</t>
        </is>
      </c>
      <c r="F1938" s="3" t="inlineStr">
        <is>
          <t>Current account balance (credit less debit), Percent of GDP</t>
        </is>
      </c>
      <c r="G1938" s="3" t="n">
        <v>-5.626758</v>
      </c>
      <c r="H1938" s="3" t="n">
        <v>-2.575488</v>
      </c>
      <c r="I1938" s="3" t="n">
        <v>-8.913598</v>
      </c>
      <c r="J1938" s="3" t="n">
        <v>-5.146326</v>
      </c>
      <c r="K1938" s="3" t="n">
        <v>-7.877992</v>
      </c>
      <c r="L1938" s="3" t="n">
        <v>-12.530822</v>
      </c>
      <c r="M1938" s="3" t="n">
        <v>-9.155174000000001</v>
      </c>
      <c r="N1938" s="3" t="n">
        <v>-9.885702</v>
      </c>
      <c r="O1938" s="3" t="n">
        <v>-15.636462</v>
      </c>
      <c r="P1938" s="3" t="n">
        <v>-18.171855</v>
      </c>
      <c r="Q1938" s="3" t="n">
        <v>-8.948536000000001</v>
      </c>
      <c r="R1938" s="3" t="n">
        <v>-6.72775</v>
      </c>
      <c r="S1938" s="3" t="n">
        <v>-7.462708</v>
      </c>
      <c r="T1938" s="3" t="n">
        <v>-6.505497</v>
      </c>
      <c r="U1938" s="3" t="n">
        <v>-0.268575</v>
      </c>
      <c r="V1938" s="3" t="n">
        <v>-1.62576</v>
      </c>
      <c r="W1938" s="3" t="n">
        <v>0.482063</v>
      </c>
      <c r="X1938" s="3" t="n">
        <v>-0.421865</v>
      </c>
      <c r="Y1938" s="3" t="n">
        <v>0.716095</v>
      </c>
      <c r="Z1938" s="3" t="n">
        <v>-2.288686</v>
      </c>
      <c r="AA1938" s="3" t="n">
        <v>-5.374866</v>
      </c>
      <c r="AB1938" s="3" t="n">
        <v>-4.925867</v>
      </c>
      <c r="AC1938" s="3" t="n">
        <v>-5.351101</v>
      </c>
      <c r="AD1938" s="3" t="n">
        <v>-4.013202</v>
      </c>
      <c r="AE1938" s="3" t="n">
        <v>-5.299932</v>
      </c>
      <c r="AF1938" s="3" t="n">
        <v>-5.791254</v>
      </c>
      <c r="AG1938" s="3" t="n">
        <v>-7.951874</v>
      </c>
      <c r="AH1938" s="3" t="n">
        <v>-6.634023</v>
      </c>
      <c r="AI1938" s="3" t="n">
        <v>-5.66631</v>
      </c>
      <c r="AJ1938" s="3" t="n">
        <v>-5.429011</v>
      </c>
      <c r="AK1938" s="3" t="n">
        <v>-5.399761</v>
      </c>
      <c r="AL1938" s="3" t="n">
        <v>-5.371384</v>
      </c>
      <c r="AM1938" s="3" t="n"/>
      <c r="AN1938" s="3" t="n"/>
      <c r="AO1938" s="3" t="n"/>
      <c r="AP1938" s="3" t="n"/>
      <c r="AQ1938" s="3" t="n"/>
      <c r="AR1938" s="3" t="n"/>
      <c r="AS1938" s="3" t="n"/>
      <c r="AT1938" s="3" t="n"/>
      <c r="AU1938" s="3" t="n"/>
    </row>
    <row r="1939">
      <c r="A1939" s="3" t="n">
        <v>2031</v>
      </c>
      <c r="B1939" s="3" t="inlineStr">
        <is>
          <t>MDG</t>
        </is>
      </c>
      <c r="C1939" s="3" t="inlineStr">
        <is>
          <t>IMF.RES:WEO</t>
        </is>
      </c>
      <c r="D1939" s="3" t="inlineStr">
        <is>
          <t>MDG.GGR_NGDP.A</t>
        </is>
      </c>
      <c r="E1939" s="3" t="inlineStr">
        <is>
          <t>Madagascar, Republic of</t>
        </is>
      </c>
      <c r="F1939" s="3" t="inlineStr">
        <is>
          <t>Revenue, General government, Percent of GDP</t>
        </is>
      </c>
      <c r="G1939" s="3" t="n">
        <v>12.994275</v>
      </c>
      <c r="H1939" s="3" t="n">
        <v>11.695662</v>
      </c>
      <c r="I1939" s="3" t="n">
        <v>8.350474999999999</v>
      </c>
      <c r="J1939" s="3" t="n">
        <v>13.241985</v>
      </c>
      <c r="K1939" s="3" t="n">
        <v>17.468616</v>
      </c>
      <c r="L1939" s="3" t="n">
        <v>15.878437</v>
      </c>
      <c r="M1939" s="3" t="n">
        <v>12.762833</v>
      </c>
      <c r="N1939" s="3" t="n">
        <v>13.778932</v>
      </c>
      <c r="O1939" s="3" t="n">
        <v>13.987951</v>
      </c>
      <c r="P1939" s="3" t="n">
        <v>10.247078</v>
      </c>
      <c r="Q1939" s="3" t="n">
        <v>11.52014</v>
      </c>
      <c r="R1939" s="3" t="n">
        <v>9.997885999999999</v>
      </c>
      <c r="S1939" s="3" t="n">
        <v>9.278439000000001</v>
      </c>
      <c r="T1939" s="3" t="n">
        <v>9.299125999999999</v>
      </c>
      <c r="U1939" s="3" t="n">
        <v>10.594063</v>
      </c>
      <c r="V1939" s="3" t="n">
        <v>10.178884</v>
      </c>
      <c r="W1939" s="3" t="n">
        <v>12.438331</v>
      </c>
      <c r="X1939" s="3" t="n">
        <v>12.83949</v>
      </c>
      <c r="Y1939" s="3" t="n">
        <v>13.013231</v>
      </c>
      <c r="Z1939" s="3" t="n">
        <v>13.940744</v>
      </c>
      <c r="AA1939" s="3" t="n">
        <v>12.39824</v>
      </c>
      <c r="AB1939" s="3" t="n">
        <v>11.070459</v>
      </c>
      <c r="AC1939" s="3" t="n">
        <v>10.77608</v>
      </c>
      <c r="AD1939" s="3" t="n">
        <v>13.582053</v>
      </c>
      <c r="AE1939" s="3" t="n">
        <v>13.611771</v>
      </c>
      <c r="AF1939" s="3" t="n">
        <v>11.319416</v>
      </c>
      <c r="AG1939" s="3" t="n">
        <v>12.449727</v>
      </c>
      <c r="AH1939" s="3" t="n">
        <v>12.485675</v>
      </c>
      <c r="AI1939" s="3" t="n">
        <v>12.488874</v>
      </c>
      <c r="AJ1939" s="3" t="n">
        <v>12.584182</v>
      </c>
      <c r="AK1939" s="3" t="n">
        <v>12.741646</v>
      </c>
      <c r="AL1939" s="3" t="n">
        <v>12.995459</v>
      </c>
      <c r="AM1939" s="3" t="n"/>
      <c r="AN1939" s="3" t="n"/>
      <c r="AO1939" s="3" t="n"/>
      <c r="AP1939" s="3" t="n"/>
      <c r="AQ1939" s="3" t="n"/>
      <c r="AR1939" s="3" t="n"/>
      <c r="AS1939" s="3" t="n"/>
      <c r="AT1939" s="3" t="n"/>
      <c r="AU1939" s="3" t="n"/>
    </row>
    <row r="1940">
      <c r="A1940" s="3" t="n">
        <v>2031</v>
      </c>
      <c r="B1940" s="3" t="inlineStr">
        <is>
          <t>MDG</t>
        </is>
      </c>
      <c r="C1940" s="3" t="inlineStr">
        <is>
          <t>IMF.RES:WEO</t>
        </is>
      </c>
      <c r="D1940" s="3" t="inlineStr">
        <is>
          <t>MDG.GGX_NGDP.A</t>
        </is>
      </c>
      <c r="E1940" s="3" t="inlineStr">
        <is>
          <t>Madagascar, Republic of</t>
        </is>
      </c>
      <c r="F1940" s="3" t="inlineStr">
        <is>
          <t>Expenditure, General government, Percent of GDP</t>
        </is>
      </c>
      <c r="G1940" s="3" t="n">
        <v>15.346813</v>
      </c>
      <c r="H1940" s="3" t="n">
        <v>15.310068</v>
      </c>
      <c r="I1940" s="3" t="n">
        <v>12.442521</v>
      </c>
      <c r="J1940" s="3" t="n">
        <v>16.563629</v>
      </c>
      <c r="K1940" s="3" t="n">
        <v>21.701029</v>
      </c>
      <c r="L1940" s="3" t="n">
        <v>18.353193</v>
      </c>
      <c r="M1940" s="3" t="n">
        <v>18.473828</v>
      </c>
      <c r="N1940" s="3" t="n">
        <v>16.086514</v>
      </c>
      <c r="O1940" s="3" t="n">
        <v>15.711154</v>
      </c>
      <c r="P1940" s="3" t="n">
        <v>12.508401</v>
      </c>
      <c r="Q1940" s="3" t="n">
        <v>12.280515</v>
      </c>
      <c r="R1940" s="3" t="n">
        <v>12.041043</v>
      </c>
      <c r="S1940" s="3" t="n">
        <v>11.515751</v>
      </c>
      <c r="T1940" s="3" t="n">
        <v>12.702091</v>
      </c>
      <c r="U1940" s="3" t="n">
        <v>12.554749</v>
      </c>
      <c r="V1940" s="3" t="n">
        <v>13.029157</v>
      </c>
      <c r="W1940" s="3" t="n">
        <v>13.545565</v>
      </c>
      <c r="X1940" s="3" t="n">
        <v>14.942377</v>
      </c>
      <c r="Y1940" s="3" t="n">
        <v>14.351074</v>
      </c>
      <c r="Z1940" s="3" t="n">
        <v>15.36153</v>
      </c>
      <c r="AA1940" s="3" t="n">
        <v>16.355059</v>
      </c>
      <c r="AB1940" s="3" t="n">
        <v>13.897889</v>
      </c>
      <c r="AC1940" s="3" t="n">
        <v>16.230485</v>
      </c>
      <c r="AD1940" s="3" t="n">
        <v>17.733121</v>
      </c>
      <c r="AE1940" s="3" t="n">
        <v>16.098058</v>
      </c>
      <c r="AF1940" s="3" t="n">
        <v>13.525673</v>
      </c>
      <c r="AG1940" s="3" t="n">
        <v>17.057981</v>
      </c>
      <c r="AH1940" s="3" t="n">
        <v>16.429203</v>
      </c>
      <c r="AI1940" s="3" t="n">
        <v>16.341387</v>
      </c>
      <c r="AJ1940" s="3" t="n">
        <v>16.501142</v>
      </c>
      <c r="AK1940" s="3" t="n">
        <v>16.555233</v>
      </c>
      <c r="AL1940" s="3" t="n">
        <v>16.591092</v>
      </c>
      <c r="AM1940" s="3" t="n"/>
      <c r="AN1940" s="3" t="n"/>
      <c r="AO1940" s="3" t="n"/>
      <c r="AP1940" s="3" t="n"/>
      <c r="AQ1940" s="3" t="n"/>
      <c r="AR1940" s="3" t="n"/>
      <c r="AS1940" s="3" t="n"/>
      <c r="AT1940" s="3" t="n"/>
      <c r="AU1940" s="3" t="n"/>
    </row>
    <row r="1941">
      <c r="A1941" s="3" t="n">
        <v>2031</v>
      </c>
      <c r="B1941" s="3" t="inlineStr">
        <is>
          <t>MDG</t>
        </is>
      </c>
      <c r="C1941" s="3" t="inlineStr">
        <is>
          <t>IMF.RES:WEO</t>
        </is>
      </c>
      <c r="D1941" s="3" t="inlineStr">
        <is>
          <t>MDG.LP.A</t>
        </is>
      </c>
      <c r="E1941" s="3" t="inlineStr">
        <is>
          <t>Madagascar, Republic of</t>
        </is>
      </c>
      <c r="F1941" s="3" t="inlineStr">
        <is>
          <t>Population, Persons for countries / Index for country groups</t>
        </is>
      </c>
      <c r="G1941" s="3" t="n">
        <v>15.062553</v>
      </c>
      <c r="H1941" s="3" t="n">
        <v>15.515936</v>
      </c>
      <c r="I1941" s="3" t="n">
        <v>15.982966</v>
      </c>
      <c r="J1941" s="3" t="n">
        <v>16.464053</v>
      </c>
      <c r="K1941" s="3" t="n">
        <v>16.959621</v>
      </c>
      <c r="L1941" s="3" t="n">
        <v>17.470106</v>
      </c>
      <c r="M1941" s="3" t="n">
        <v>17.995956</v>
      </c>
      <c r="N1941" s="3" t="n">
        <v>18.537634</v>
      </c>
      <c r="O1941" s="3" t="n">
        <v>19.095617</v>
      </c>
      <c r="P1941" s="3" t="n">
        <v>19.670395</v>
      </c>
      <c r="Q1941" s="3" t="n">
        <v>20.262474</v>
      </c>
      <c r="R1941" s="3" t="n">
        <v>20.872374</v>
      </c>
      <c r="S1941" s="3" t="n">
        <v>21.500633</v>
      </c>
      <c r="T1941" s="3" t="n">
        <v>22.147802</v>
      </c>
      <c r="U1941" s="3" t="n">
        <v>22.814451</v>
      </c>
      <c r="V1941" s="3" t="n">
        <v>23.501165</v>
      </c>
      <c r="W1941" s="3" t="n">
        <v>24.208551</v>
      </c>
      <c r="X1941" s="3" t="n">
        <v>24.937228</v>
      </c>
      <c r="Y1941" s="3" t="n">
        <v>25.674196</v>
      </c>
      <c r="Z1941" s="3" t="n">
        <v>26.525</v>
      </c>
      <c r="AA1941" s="3" t="n">
        <v>27.34</v>
      </c>
      <c r="AB1941" s="3" t="n">
        <v>28.178</v>
      </c>
      <c r="AC1941" s="3" t="n">
        <v>28.961348</v>
      </c>
      <c r="AD1941" s="3" t="n">
        <v>29.766474</v>
      </c>
      <c r="AE1941" s="3" t="n">
        <v>30.593982</v>
      </c>
      <c r="AF1941" s="3" t="n">
        <v>31.444495</v>
      </c>
      <c r="AG1941" s="3" t="n">
        <v>32.318652</v>
      </c>
      <c r="AH1941" s="3" t="n">
        <v>33.21711</v>
      </c>
      <c r="AI1941" s="3" t="n">
        <v>34.140546</v>
      </c>
      <c r="AJ1941" s="3" t="n">
        <v>35.089653</v>
      </c>
      <c r="AK1941" s="3" t="n">
        <v>36.065145</v>
      </c>
      <c r="AL1941" s="3" t="n">
        <v>37.067756</v>
      </c>
      <c r="AM1941" s="3" t="n"/>
      <c r="AN1941" s="3" t="n"/>
      <c r="AO1941" s="3" t="n"/>
      <c r="AP1941" s="3" t="n"/>
      <c r="AQ1941" s="3" t="n"/>
      <c r="AR1941" s="3" t="n"/>
      <c r="AS1941" s="3" t="n"/>
      <c r="AT1941" s="3" t="n"/>
      <c r="AU1941" s="3" t="n"/>
    </row>
    <row r="1942">
      <c r="A1942" s="3" t="n">
        <v>2031</v>
      </c>
      <c r="B1942" s="3" t="inlineStr">
        <is>
          <t>MDG</t>
        </is>
      </c>
      <c r="C1942" s="3" t="inlineStr">
        <is>
          <t>IMF.RES:WEO</t>
        </is>
      </c>
      <c r="D1942" s="3" t="inlineStr">
        <is>
          <t>MDG.NGDP.A</t>
        </is>
      </c>
      <c r="E1942" s="3" t="inlineStr">
        <is>
          <t>Madagascar, Republic of</t>
        </is>
      </c>
      <c r="F1942" s="3" t="inlineStr">
        <is>
          <t>Gross domestic product (GDP), Current prices, Domestic currency</t>
        </is>
      </c>
      <c r="G1942" s="3" t="n">
        <v>6265.668346</v>
      </c>
      <c r="H1942" s="3" t="n">
        <v>7166.084523</v>
      </c>
      <c r="I1942" s="3" t="n">
        <v>7312.517881</v>
      </c>
      <c r="J1942" s="3" t="n">
        <v>7891.241683</v>
      </c>
      <c r="K1942" s="3" t="n">
        <v>9465.265240999999</v>
      </c>
      <c r="L1942" s="3" t="n">
        <v>11736.268677</v>
      </c>
      <c r="M1942" s="3" t="n">
        <v>13701.545531</v>
      </c>
      <c r="N1942" s="3" t="n">
        <v>15974.08818</v>
      </c>
      <c r="O1942" s="3" t="n">
        <v>18322.511693</v>
      </c>
      <c r="P1942" s="3" t="n">
        <v>18812.596278</v>
      </c>
      <c r="Q1942" s="3" t="n">
        <v>20863.366918</v>
      </c>
      <c r="R1942" s="3" t="n">
        <v>23393.79499</v>
      </c>
      <c r="S1942" s="3" t="n">
        <v>25415.471246</v>
      </c>
      <c r="T1942" s="3" t="n">
        <v>27417.726359</v>
      </c>
      <c r="U1942" s="3" t="n">
        <v>30240.588292</v>
      </c>
      <c r="V1942" s="3" t="n">
        <v>33216.184259</v>
      </c>
      <c r="W1942" s="3" t="n">
        <v>37637.590072</v>
      </c>
      <c r="X1942" s="3" t="n">
        <v>41058.841429</v>
      </c>
      <c r="Y1942" s="3" t="n">
        <v>45886.302017</v>
      </c>
      <c r="Z1942" s="3" t="n">
        <v>51035.216506</v>
      </c>
      <c r="AA1942" s="3" t="n">
        <v>49435.649383</v>
      </c>
      <c r="AB1942" s="3" t="n">
        <v>54978.305452</v>
      </c>
      <c r="AC1942" s="3" t="n">
        <v>62843.346054</v>
      </c>
      <c r="AD1942" s="3" t="n">
        <v>71035.86831000001</v>
      </c>
      <c r="AE1942" s="3" t="n">
        <v>79615.039995</v>
      </c>
      <c r="AF1942" s="3" t="n">
        <v>88584.030415</v>
      </c>
      <c r="AG1942" s="3" t="n">
        <v>98920.288635</v>
      </c>
      <c r="AH1942" s="3" t="n">
        <v>110044.036924</v>
      </c>
      <c r="AI1942" s="3" t="n">
        <v>121833.991657</v>
      </c>
      <c r="AJ1942" s="3" t="n">
        <v>134903.911164</v>
      </c>
      <c r="AK1942" s="3" t="n">
        <v>149485.169545</v>
      </c>
      <c r="AL1942" s="3" t="n">
        <v>164199.213116</v>
      </c>
      <c r="AM1942" s="3" t="n"/>
      <c r="AN1942" s="3" t="n"/>
      <c r="AO1942" s="3" t="n"/>
      <c r="AP1942" s="3" t="n"/>
      <c r="AQ1942" s="3" t="n"/>
      <c r="AR1942" s="3" t="n"/>
      <c r="AS1942" s="3" t="n"/>
      <c r="AT1942" s="3" t="n"/>
      <c r="AU1942" s="3" t="n"/>
    </row>
    <row r="1943">
      <c r="A1943" s="3" t="n">
        <v>2031</v>
      </c>
      <c r="B1943" s="3" t="inlineStr">
        <is>
          <t>MDG</t>
        </is>
      </c>
      <c r="C1943" s="3" t="inlineStr">
        <is>
          <t>IMF.RES:WEO</t>
        </is>
      </c>
      <c r="D1943" s="3" t="inlineStr">
        <is>
          <t>MDG.NGDP_D.A</t>
        </is>
      </c>
      <c r="E1943" s="3" t="inlineStr">
        <is>
          <t>Madagascar, Republic of</t>
        </is>
      </c>
      <c r="F1943" s="3" t="inlineStr">
        <is>
          <t>Gross domestic product (GDP), Price deflator, Index</t>
        </is>
      </c>
      <c r="G1943" s="3" t="n">
        <v>49.109498</v>
      </c>
      <c r="H1943" s="3" t="n">
        <v>52.99747</v>
      </c>
      <c r="I1943" s="3" t="n">
        <v>61.741271</v>
      </c>
      <c r="J1943" s="3" t="n">
        <v>60.689197</v>
      </c>
      <c r="K1943" s="3" t="n">
        <v>69.158861</v>
      </c>
      <c r="L1943" s="3" t="n">
        <v>81.859073</v>
      </c>
      <c r="M1943" s="3" t="n">
        <v>90.671724</v>
      </c>
      <c r="N1943" s="3" t="n">
        <v>100</v>
      </c>
      <c r="O1943" s="3" t="n">
        <v>107.486289</v>
      </c>
      <c r="P1943" s="3" t="n">
        <v>114.934194</v>
      </c>
      <c r="Q1943" s="3" t="n">
        <v>126.678796</v>
      </c>
      <c r="R1943" s="3" t="n">
        <v>139.835912</v>
      </c>
      <c r="S1943" s="3" t="n">
        <v>147.479611</v>
      </c>
      <c r="T1943" s="3" t="n">
        <v>155.52062</v>
      </c>
      <c r="U1943" s="3" t="n">
        <v>165.989903</v>
      </c>
      <c r="V1943" s="3" t="n">
        <v>176.785439</v>
      </c>
      <c r="W1943" s="3" t="n">
        <v>192.625528</v>
      </c>
      <c r="X1943" s="3" t="n">
        <v>202.182676</v>
      </c>
      <c r="Y1943" s="3" t="n">
        <v>218.959814</v>
      </c>
      <c r="Z1943" s="3" t="n">
        <v>233.240572</v>
      </c>
      <c r="AA1943" s="3" t="n">
        <v>243.295911</v>
      </c>
      <c r="AB1943" s="3" t="n">
        <v>258.549587</v>
      </c>
      <c r="AC1943" s="3" t="n">
        <v>283.794846</v>
      </c>
      <c r="AD1943" s="3" t="n">
        <v>307.770189</v>
      </c>
      <c r="AE1943" s="3" t="n">
        <v>330.646999</v>
      </c>
      <c r="AF1943" s="3" t="n">
        <v>357.754318</v>
      </c>
      <c r="AG1943" s="3" t="n">
        <v>385.48022</v>
      </c>
      <c r="AH1943" s="3" t="n">
        <v>411.81506</v>
      </c>
      <c r="AI1943" s="3" t="n">
        <v>435.774201</v>
      </c>
      <c r="AJ1943" s="3" t="n">
        <v>460.735373</v>
      </c>
      <c r="AK1943" s="3" t="n">
        <v>486.992749</v>
      </c>
      <c r="AL1943" s="3" t="n">
        <v>510.1917</v>
      </c>
      <c r="AM1943" s="3" t="n"/>
      <c r="AN1943" s="3" t="n"/>
      <c r="AO1943" s="3" t="n"/>
      <c r="AP1943" s="3" t="n"/>
      <c r="AQ1943" s="3" t="n"/>
      <c r="AR1943" s="3" t="n"/>
      <c r="AS1943" s="3" t="n"/>
      <c r="AT1943" s="3" t="n"/>
      <c r="AU1943" s="3" t="n"/>
    </row>
    <row r="1944">
      <c r="A1944" s="3" t="n">
        <v>2031</v>
      </c>
      <c r="B1944" s="3" t="inlineStr">
        <is>
          <t>MDG</t>
        </is>
      </c>
      <c r="C1944" s="3" t="inlineStr">
        <is>
          <t>IMF.RES:WEO</t>
        </is>
      </c>
      <c r="D1944" s="3" t="inlineStr">
        <is>
          <t>MDG.NGDP_R.A</t>
        </is>
      </c>
      <c r="E1944" s="3" t="inlineStr">
        <is>
          <t>Madagascar, Republic of</t>
        </is>
      </c>
      <c r="F1944" s="3" t="inlineStr">
        <is>
          <t>Gross domestic product (GDP), Constant prices, Domestic currency</t>
        </is>
      </c>
      <c r="G1944" s="3" t="n">
        <v>12758.56726</v>
      </c>
      <c r="H1944" s="3" t="n">
        <v>13521.559663</v>
      </c>
      <c r="I1944" s="3" t="n">
        <v>11843.808447</v>
      </c>
      <c r="J1944" s="3" t="n">
        <v>13002.712327</v>
      </c>
      <c r="K1944" s="3" t="n">
        <v>13686.265385</v>
      </c>
      <c r="L1944" s="3" t="n">
        <v>14337.162966</v>
      </c>
      <c r="M1944" s="3" t="n">
        <v>15111.15592</v>
      </c>
      <c r="N1944" s="3" t="n">
        <v>15974.08818</v>
      </c>
      <c r="O1944" s="3" t="n">
        <v>17046.371045</v>
      </c>
      <c r="P1944" s="3" t="n">
        <v>16368.145606</v>
      </c>
      <c r="Q1944" s="3" t="n">
        <v>16469.502033</v>
      </c>
      <c r="R1944" s="3" t="n">
        <v>16729.461498</v>
      </c>
      <c r="S1944" s="3" t="n">
        <v>17233.210077</v>
      </c>
      <c r="T1944" s="3" t="n">
        <v>17629.64059</v>
      </c>
      <c r="U1944" s="3" t="n">
        <v>18218.329944</v>
      </c>
      <c r="V1944" s="3" t="n">
        <v>18788.981944</v>
      </c>
      <c r="W1944" s="3" t="n">
        <v>19539.253441</v>
      </c>
      <c r="X1944" s="3" t="n">
        <v>20307.794056</v>
      </c>
      <c r="Y1944" s="3" t="n">
        <v>20956.494783</v>
      </c>
      <c r="Z1944" s="3" t="n">
        <v>21880.934414</v>
      </c>
      <c r="AA1944" s="3" t="n">
        <v>20319.145168</v>
      </c>
      <c r="AB1944" s="3" t="n">
        <v>21264.124286</v>
      </c>
      <c r="AC1944" s="3" t="n">
        <v>22143.934945</v>
      </c>
      <c r="AD1944" s="3" t="n">
        <v>23080.815117</v>
      </c>
      <c r="AE1944" s="3" t="n">
        <v>24078.561197</v>
      </c>
      <c r="AF1944" s="3" t="n">
        <v>24761.135211</v>
      </c>
      <c r="AG1944" s="3" t="n">
        <v>25661.573183</v>
      </c>
      <c r="AH1944" s="3" t="n">
        <v>26721.712609</v>
      </c>
      <c r="AI1944" s="3" t="n">
        <v>27958.055186</v>
      </c>
      <c r="AJ1944" s="3" t="n">
        <v>29280.128912</v>
      </c>
      <c r="AK1944" s="3" t="n">
        <v>30695.563682</v>
      </c>
      <c r="AL1944" s="3" t="n">
        <v>32183.826799</v>
      </c>
      <c r="AM1944" s="3" t="n"/>
      <c r="AN1944" s="3" t="n"/>
      <c r="AO1944" s="3" t="n"/>
      <c r="AP1944" s="3" t="n"/>
      <c r="AQ1944" s="3" t="n"/>
      <c r="AR1944" s="3" t="n"/>
      <c r="AS1944" s="3" t="n"/>
      <c r="AT1944" s="3" t="n"/>
      <c r="AU1944" s="3" t="n"/>
    </row>
    <row r="1945">
      <c r="A1945" s="3" t="n">
        <v>2031</v>
      </c>
      <c r="B1945" s="3" t="inlineStr">
        <is>
          <t>MDG</t>
        </is>
      </c>
      <c r="C1945" s="3" t="inlineStr">
        <is>
          <t>IMF.RES:WEO</t>
        </is>
      </c>
      <c r="D1945" s="3" t="inlineStr">
        <is>
          <t>MDG.NGDP_RPCH.A</t>
        </is>
      </c>
      <c r="E1945" s="3" t="inlineStr">
        <is>
          <t>Madagascar, Republic of</t>
        </is>
      </c>
      <c r="F1945" s="3" t="inlineStr">
        <is>
          <t>Gross domestic product (GDP), Constant prices, Percent change</t>
        </is>
      </c>
      <c r="G1945" s="3" t="n">
        <v>4.456859</v>
      </c>
      <c r="H1945" s="3" t="n">
        <v>5.980236</v>
      </c>
      <c r="I1945" s="3" t="n">
        <v>-12.407971</v>
      </c>
      <c r="J1945" s="3" t="n">
        <v>9.784891999999999</v>
      </c>
      <c r="K1945" s="3" t="n">
        <v>5.257004</v>
      </c>
      <c r="L1945" s="3" t="n">
        <v>4.755845</v>
      </c>
      <c r="M1945" s="3" t="n">
        <v>5.398508</v>
      </c>
      <c r="N1945" s="3" t="n">
        <v>5.710564</v>
      </c>
      <c r="O1945" s="3" t="n">
        <v>6.712639</v>
      </c>
      <c r="P1945" s="3" t="n">
        <v>-3.978709</v>
      </c>
      <c r="Q1945" s="3" t="n">
        <v>0.6192299999999999</v>
      </c>
      <c r="R1945" s="3" t="n">
        <v>1.578429</v>
      </c>
      <c r="S1945" s="3" t="n">
        <v>3.011146</v>
      </c>
      <c r="T1945" s="3" t="n">
        <v>2.300387</v>
      </c>
      <c r="U1945" s="3" t="n">
        <v>3.339202</v>
      </c>
      <c r="V1945" s="3" t="n">
        <v>3.132296</v>
      </c>
      <c r="W1945" s="3" t="n">
        <v>3.993146</v>
      </c>
      <c r="X1945" s="3" t="n">
        <v>3.933316</v>
      </c>
      <c r="Y1945" s="3" t="n">
        <v>3.194344</v>
      </c>
      <c r="Z1945" s="3" t="n">
        <v>4.411232</v>
      </c>
      <c r="AA1945" s="3" t="n">
        <v>-7.137672</v>
      </c>
      <c r="AB1945" s="3" t="n">
        <v>4.650683</v>
      </c>
      <c r="AC1945" s="3" t="n">
        <v>4.137535</v>
      </c>
      <c r="AD1945" s="3" t="n">
        <v>4.230866</v>
      </c>
      <c r="AE1945" s="3" t="n">
        <v>4.322837</v>
      </c>
      <c r="AF1945" s="3" t="n">
        <v>2.834779</v>
      </c>
      <c r="AG1945" s="3" t="n">
        <v>3.636497</v>
      </c>
      <c r="AH1945" s="3" t="n">
        <v>4.131233</v>
      </c>
      <c r="AI1945" s="3" t="n">
        <v>4.626734</v>
      </c>
      <c r="AJ1945" s="3" t="n">
        <v>4.728776</v>
      </c>
      <c r="AK1945" s="3" t="n">
        <v>4.834114</v>
      </c>
      <c r="AL1945" s="3" t="n">
        <v>4.848463</v>
      </c>
      <c r="AM1945" s="3" t="n"/>
      <c r="AN1945" s="3" t="n"/>
      <c r="AO1945" s="3" t="n"/>
      <c r="AP1945" s="3" t="n"/>
      <c r="AQ1945" s="3" t="n"/>
      <c r="AR1945" s="3" t="n"/>
      <c r="AS1945" s="3" t="n"/>
      <c r="AT1945" s="3" t="n"/>
      <c r="AU1945" s="3" t="n"/>
    </row>
    <row r="1946">
      <c r="A1946" s="3" t="n">
        <v>2031</v>
      </c>
      <c r="B1946" s="3" t="inlineStr">
        <is>
          <t>MDG</t>
        </is>
      </c>
      <c r="C1946" s="3" t="inlineStr">
        <is>
          <t>IMF.RES:WEO</t>
        </is>
      </c>
      <c r="D1946" s="3" t="inlineStr">
        <is>
          <t>MDG.NGDPD.A</t>
        </is>
      </c>
      <c r="E1946" s="3" t="inlineStr">
        <is>
          <t>Madagascar, Republic of</t>
        </is>
      </c>
      <c r="F1946" s="3" t="inlineStr">
        <is>
          <t>Gross domestic product (GDP), Current prices, US dollar</t>
        </is>
      </c>
      <c r="G1946" s="3" t="n">
        <v>4.629247</v>
      </c>
      <c r="H1946" s="3" t="n">
        <v>5.438333</v>
      </c>
      <c r="I1946" s="3" t="n">
        <v>5.351702</v>
      </c>
      <c r="J1946" s="3" t="n">
        <v>6.372499</v>
      </c>
      <c r="K1946" s="3" t="n">
        <v>5.064733</v>
      </c>
      <c r="L1946" s="3" t="n">
        <v>5.85927</v>
      </c>
      <c r="M1946" s="3" t="n">
        <v>6.395712</v>
      </c>
      <c r="N1946" s="3" t="n">
        <v>8.524621</v>
      </c>
      <c r="O1946" s="3" t="n">
        <v>10.725137</v>
      </c>
      <c r="P1946" s="3" t="n">
        <v>9.61688</v>
      </c>
      <c r="Q1946" s="3" t="n">
        <v>9.982711</v>
      </c>
      <c r="R1946" s="3" t="n">
        <v>11.551821</v>
      </c>
      <c r="S1946" s="3" t="n">
        <v>11.578978</v>
      </c>
      <c r="T1946" s="3" t="n">
        <v>12.423558</v>
      </c>
      <c r="U1946" s="3" t="n">
        <v>12.522959</v>
      </c>
      <c r="V1946" s="3" t="n">
        <v>11.323024</v>
      </c>
      <c r="W1946" s="3" t="n">
        <v>11.848615</v>
      </c>
      <c r="X1946" s="3" t="n">
        <v>13.176313</v>
      </c>
      <c r="Y1946" s="3" t="n">
        <v>13.760033</v>
      </c>
      <c r="Z1946" s="3" t="n">
        <v>14.104665</v>
      </c>
      <c r="AA1946" s="3" t="n">
        <v>13.051441</v>
      </c>
      <c r="AB1946" s="3" t="n">
        <v>14.354732</v>
      </c>
      <c r="AC1946" s="3" t="n">
        <v>15.342179</v>
      </c>
      <c r="AD1946" s="3" t="n">
        <v>16.036708</v>
      </c>
      <c r="AE1946" s="3" t="n">
        <v>17.592833</v>
      </c>
      <c r="AF1946" s="3" t="n">
        <v>19.556047</v>
      </c>
      <c r="AG1946" s="3" t="n">
        <v>21.185199</v>
      </c>
      <c r="AH1946" s="3" t="n">
        <v>22.926499</v>
      </c>
      <c r="AI1946" s="3" t="n">
        <v>25.256223</v>
      </c>
      <c r="AJ1946" s="3" t="n">
        <v>27.861206</v>
      </c>
      <c r="AK1946" s="3" t="n">
        <v>30.747624</v>
      </c>
      <c r="AL1946" s="3" t="n">
        <v>33.637413</v>
      </c>
      <c r="AM1946" s="3" t="n"/>
      <c r="AN1946" s="3" t="n"/>
      <c r="AO1946" s="3" t="n"/>
      <c r="AP1946" s="3" t="n"/>
      <c r="AQ1946" s="3" t="n"/>
      <c r="AR1946" s="3" t="n"/>
      <c r="AS1946" s="3" t="n"/>
      <c r="AT1946" s="3" t="n"/>
      <c r="AU1946" s="3" t="n"/>
    </row>
    <row r="1947">
      <c r="A1947" s="3" t="n">
        <v>2031</v>
      </c>
      <c r="B1947" s="3" t="inlineStr">
        <is>
          <t>MDG</t>
        </is>
      </c>
      <c r="C1947" s="3" t="inlineStr">
        <is>
          <t>IMF.RES:WEO</t>
        </is>
      </c>
      <c r="D1947" s="3" t="inlineStr">
        <is>
          <t>MDG.NGDPPC.A</t>
        </is>
      </c>
      <c r="E1947" s="3" t="inlineStr">
        <is>
          <t>Madagascar, Republic of</t>
        </is>
      </c>
      <c r="F1947" s="3" t="inlineStr">
        <is>
          <t>Gross domestic product (GDP), Current prices, Per capita, Domestic currency</t>
        </is>
      </c>
      <c r="G1947" s="3" t="n">
        <v>415976.512792</v>
      </c>
      <c r="H1947" s="3" t="n">
        <v>461853.188088</v>
      </c>
      <c r="I1947" s="3" t="n">
        <v>457519.462603</v>
      </c>
      <c r="J1947" s="3" t="n">
        <v>479301.281089</v>
      </c>
      <c r="K1947" s="3" t="n">
        <v>558105.942194</v>
      </c>
      <c r="L1947" s="3" t="n">
        <v>671791.51471</v>
      </c>
      <c r="M1947" s="3" t="n">
        <v>761368.039004</v>
      </c>
      <c r="N1947" s="3" t="n">
        <v>861711.272012</v>
      </c>
      <c r="O1947" s="3" t="n">
        <v>959514.002357</v>
      </c>
      <c r="P1947" s="3" t="n">
        <v>956391.3900519999</v>
      </c>
      <c r="Q1947" s="3" t="n">
        <v>1029655.469767</v>
      </c>
      <c r="R1947" s="3" t="n">
        <v>1120801.819965</v>
      </c>
      <c r="S1947" s="3" t="n">
        <v>1182080.157554</v>
      </c>
      <c r="T1947" s="3" t="n">
        <v>1237943.463766</v>
      </c>
      <c r="U1947" s="3" t="n">
        <v>1325501.494827</v>
      </c>
      <c r="V1947" s="3" t="n">
        <v>1413384.551518</v>
      </c>
      <c r="W1947" s="3" t="n">
        <v>1554722.987089</v>
      </c>
      <c r="X1947" s="3" t="n">
        <v>1646487.79353</v>
      </c>
      <c r="Y1947" s="3" t="n">
        <v>1787253.708614</v>
      </c>
      <c r="Z1947" s="3" t="n">
        <v>1924042.092603</v>
      </c>
      <c r="AA1947" s="3" t="n">
        <v>1808180.299319</v>
      </c>
      <c r="AB1947" s="3" t="n">
        <v>1951107.440262</v>
      </c>
      <c r="AC1947" s="3" t="n">
        <v>2169904.010894</v>
      </c>
      <c r="AD1947" s="3" t="n">
        <v>2386438.803052</v>
      </c>
      <c r="AE1947" s="3" t="n">
        <v>2602310.492337</v>
      </c>
      <c r="AF1947" s="3" t="n">
        <v>2817155.488362</v>
      </c>
      <c r="AG1947" s="3" t="n">
        <v>3060780.20066</v>
      </c>
      <c r="AH1947" s="3" t="n">
        <v>3312872.097297</v>
      </c>
      <c r="AI1947" s="3" t="n">
        <v>3568601.18231</v>
      </c>
      <c r="AJ1947" s="3" t="n">
        <v>3844549.610238</v>
      </c>
      <c r="AK1947" s="3" t="n">
        <v>4144865.319293</v>
      </c>
      <c r="AL1947" s="3" t="n">
        <v>4429704.67649</v>
      </c>
      <c r="AM1947" s="3" t="n"/>
      <c r="AN1947" s="3" t="n"/>
      <c r="AO1947" s="3" t="n"/>
      <c r="AP1947" s="3" t="n"/>
      <c r="AQ1947" s="3" t="n"/>
      <c r="AR1947" s="3" t="n"/>
      <c r="AS1947" s="3" t="n"/>
      <c r="AT1947" s="3" t="n"/>
      <c r="AU1947" s="3" t="n"/>
    </row>
    <row r="1948">
      <c r="A1948" s="3" t="n">
        <v>2031</v>
      </c>
      <c r="B1948" s="3" t="inlineStr">
        <is>
          <t>MDG</t>
        </is>
      </c>
      <c r="C1948" s="3" t="inlineStr">
        <is>
          <t>IMF.RES:WEO</t>
        </is>
      </c>
      <c r="D1948" s="3" t="inlineStr">
        <is>
          <t>MDG.NGDPRPC.A</t>
        </is>
      </c>
      <c r="E1948" s="3" t="inlineStr">
        <is>
          <t>Madagascar, Republic of</t>
        </is>
      </c>
      <c r="F1948" s="3" t="inlineStr">
        <is>
          <t>Gross domestic product (GDP), Constant prices, Per capita, Domestic currency</t>
        </is>
      </c>
      <c r="G1948" s="3" t="n">
        <v>847038.8191129999</v>
      </c>
      <c r="H1948" s="3" t="n">
        <v>871462.70994</v>
      </c>
      <c r="I1948" s="3" t="n">
        <v>741026.957305</v>
      </c>
      <c r="J1948" s="3" t="n">
        <v>789763.7565960001</v>
      </c>
      <c r="K1948" s="3" t="n">
        <v>806991.229864</v>
      </c>
      <c r="L1948" s="3" t="n">
        <v>820668.3649170001</v>
      </c>
      <c r="M1948" s="3" t="n">
        <v>839697.326418</v>
      </c>
      <c r="N1948" s="3" t="n">
        <v>861711.272012</v>
      </c>
      <c r="O1948" s="3" t="n">
        <v>892685.019413</v>
      </c>
      <c r="P1948" s="3" t="n">
        <v>832120.8459</v>
      </c>
      <c r="Q1948" s="3" t="n">
        <v>812808.063004</v>
      </c>
      <c r="R1948" s="3" t="n">
        <v>801512.148918</v>
      </c>
      <c r="S1948" s="3" t="n">
        <v>801521.0690209999</v>
      </c>
      <c r="T1948" s="3" t="n">
        <v>795999.567973</v>
      </c>
      <c r="U1948" s="3" t="n">
        <v>798543.445694</v>
      </c>
      <c r="V1948" s="3" t="n">
        <v>799491.495204</v>
      </c>
      <c r="W1948" s="3" t="n">
        <v>807121.986741</v>
      </c>
      <c r="X1948" s="3" t="n">
        <v>814356.515259</v>
      </c>
      <c r="Y1948" s="3" t="n">
        <v>816247.363029</v>
      </c>
      <c r="Z1948" s="3" t="n">
        <v>824917.414293</v>
      </c>
      <c r="AA1948" s="3" t="n">
        <v>743202.091</v>
      </c>
      <c r="AB1948" s="3" t="n">
        <v>754635.6833640001</v>
      </c>
      <c r="AC1948" s="3" t="n">
        <v>764603.03709</v>
      </c>
      <c r="AD1948" s="3" t="n">
        <v>775396.347097</v>
      </c>
      <c r="AE1948" s="3" t="n">
        <v>787035.872217</v>
      </c>
      <c r="AF1948" s="3" t="n">
        <v>787455.341916</v>
      </c>
      <c r="AG1948" s="3" t="n">
        <v>794017.447777</v>
      </c>
      <c r="AH1948" s="3" t="n">
        <v>804456.275602</v>
      </c>
      <c r="AI1948" s="3" t="n">
        <v>818910.613004</v>
      </c>
      <c r="AJ1948" s="3" t="n">
        <v>834437.691426</v>
      </c>
      <c r="AK1948" s="3" t="n">
        <v>851114.379775</v>
      </c>
      <c r="AL1948" s="3" t="n">
        <v>868243.1868800001</v>
      </c>
      <c r="AM1948" s="3" t="n"/>
      <c r="AN1948" s="3" t="n"/>
      <c r="AO1948" s="3" t="n"/>
      <c r="AP1948" s="3" t="n"/>
      <c r="AQ1948" s="3" t="n"/>
      <c r="AR1948" s="3" t="n"/>
      <c r="AS1948" s="3" t="n"/>
      <c r="AT1948" s="3" t="n"/>
      <c r="AU1948" s="3" t="n"/>
    </row>
    <row r="1949">
      <c r="A1949" s="3" t="n">
        <v>2031</v>
      </c>
      <c r="B1949" s="3" t="inlineStr">
        <is>
          <t>MDG</t>
        </is>
      </c>
      <c r="C1949" s="3" t="inlineStr">
        <is>
          <t>IMF.RES:WEO</t>
        </is>
      </c>
      <c r="D1949" s="3" t="inlineStr">
        <is>
          <t>MDG.PCPI.A</t>
        </is>
      </c>
      <c r="E1949" s="3" t="inlineStr">
        <is>
          <t>Madagascar, Republic of</t>
        </is>
      </c>
      <c r="F1949" s="3" t="inlineStr">
        <is>
          <t>All Items, Consumer price index (CPI), Period average</t>
        </is>
      </c>
      <c r="G1949" s="3" t="n">
        <v>25.505907</v>
      </c>
      <c r="H1949" s="3" t="n">
        <v>27.525195</v>
      </c>
      <c r="I1949" s="3" t="n">
        <v>32.066447</v>
      </c>
      <c r="J1949" s="3" t="n">
        <v>31.520033</v>
      </c>
      <c r="K1949" s="3" t="n">
        <v>35.918906</v>
      </c>
      <c r="L1949" s="3" t="n">
        <v>42.514991</v>
      </c>
      <c r="M1949" s="3" t="n">
        <v>47.092001</v>
      </c>
      <c r="N1949" s="3" t="n">
        <v>51.93681</v>
      </c>
      <c r="O1949" s="3" t="n">
        <v>56.76512</v>
      </c>
      <c r="P1949" s="3" t="n">
        <v>61.847992</v>
      </c>
      <c r="Q1949" s="3" t="n">
        <v>67.567275</v>
      </c>
      <c r="R1949" s="3" t="n">
        <v>73.97436999999999</v>
      </c>
      <c r="S1949" s="3" t="n">
        <v>78.20115</v>
      </c>
      <c r="T1949" s="3" t="n">
        <v>82.757485</v>
      </c>
      <c r="U1949" s="3" t="n">
        <v>87.789478</v>
      </c>
      <c r="V1949" s="3" t="n">
        <v>94.28952099999999</v>
      </c>
      <c r="W1949" s="3" t="n">
        <v>99.999967</v>
      </c>
      <c r="X1949" s="3" t="n">
        <v>108.590025</v>
      </c>
      <c r="Y1949" s="3" t="n">
        <v>117.92655</v>
      </c>
      <c r="Z1949" s="3" t="n">
        <v>124.557629</v>
      </c>
      <c r="AA1949" s="3" t="n">
        <v>129.774642</v>
      </c>
      <c r="AB1949" s="3" t="n">
        <v>137.326783</v>
      </c>
      <c r="AC1949" s="3" t="n">
        <v>148.528267</v>
      </c>
      <c r="AD1949" s="3" t="n">
        <v>163.174517</v>
      </c>
      <c r="AE1949" s="3" t="n">
        <v>175.640375</v>
      </c>
      <c r="AF1949" s="3" t="n">
        <v>189.757025</v>
      </c>
      <c r="AG1949" s="3" t="n">
        <v>205.427472</v>
      </c>
      <c r="AH1949" s="3" t="n">
        <v>219.867138</v>
      </c>
      <c r="AI1949" s="3" t="n">
        <v>233.059166</v>
      </c>
      <c r="AJ1949" s="3" t="n">
        <v>247.042716</v>
      </c>
      <c r="AK1949" s="3" t="n">
        <v>261.865279</v>
      </c>
      <c r="AL1949" s="3" t="n">
        <v>274.958543</v>
      </c>
      <c r="AM1949" s="3" t="n"/>
      <c r="AN1949" s="3" t="n"/>
      <c r="AO1949" s="3" t="n"/>
      <c r="AP1949" s="3" t="n"/>
      <c r="AQ1949" s="3" t="n"/>
      <c r="AR1949" s="3" t="n"/>
      <c r="AS1949" s="3" t="n"/>
      <c r="AT1949" s="3" t="n"/>
      <c r="AU1949" s="3" t="n"/>
    </row>
    <row r="1950">
      <c r="A1950" s="3" t="n">
        <v>2031</v>
      </c>
      <c r="B1950" s="3" t="inlineStr">
        <is>
          <t>MDG</t>
        </is>
      </c>
      <c r="C1950" s="3" t="inlineStr">
        <is>
          <t>IMF.RES:WEO</t>
        </is>
      </c>
      <c r="D1950" s="3" t="inlineStr">
        <is>
          <t>MDG.PCPIPCH.A</t>
        </is>
      </c>
      <c r="E1950" s="3" t="inlineStr">
        <is>
          <t>Madagascar, Republic of</t>
        </is>
      </c>
      <c r="F1950" s="3" t="inlineStr">
        <is>
          <t>All Items, Consumer price index (CPI), Period average, percent change</t>
        </is>
      </c>
      <c r="G1950" s="3" t="n">
        <v>11.570353</v>
      </c>
      <c r="H1950" s="3" t="n">
        <v>7.916945</v>
      </c>
      <c r="I1950" s="3" t="n">
        <v>16.498526</v>
      </c>
      <c r="J1950" s="3" t="n">
        <v>-1.704005</v>
      </c>
      <c r="K1950" s="3" t="n">
        <v>13.955802</v>
      </c>
      <c r="L1950" s="3" t="n">
        <v>18.363825</v>
      </c>
      <c r="M1950" s="3" t="n">
        <v>10.765637</v>
      </c>
      <c r="N1950" s="3" t="n">
        <v>10.287966</v>
      </c>
      <c r="O1950" s="3" t="n">
        <v>9.296507999999999</v>
      </c>
      <c r="P1950" s="3" t="n">
        <v>8.954217999999999</v>
      </c>
      <c r="Q1950" s="3" t="n">
        <v>9.247322</v>
      </c>
      <c r="R1950" s="3" t="n">
        <v>9.48254</v>
      </c>
      <c r="S1950" s="3" t="n">
        <v>5.713844</v>
      </c>
      <c r="T1950" s="3" t="n">
        <v>5.826429</v>
      </c>
      <c r="U1950" s="3" t="n">
        <v>6.080408</v>
      </c>
      <c r="V1950" s="3" t="n">
        <v>7.404126</v>
      </c>
      <c r="W1950" s="3" t="n">
        <v>6.056288</v>
      </c>
      <c r="X1950" s="3" t="n">
        <v>8.590061</v>
      </c>
      <c r="Y1950" s="3" t="n">
        <v>8.597958</v>
      </c>
      <c r="Z1950" s="3" t="n">
        <v>5.623059</v>
      </c>
      <c r="AA1950" s="3" t="n">
        <v>4.188433</v>
      </c>
      <c r="AB1950" s="3" t="n">
        <v>5.819428</v>
      </c>
      <c r="AC1950" s="3" t="n">
        <v>8.156809000000001</v>
      </c>
      <c r="AD1950" s="3" t="n">
        <v>9.860918</v>
      </c>
      <c r="AE1950" s="3" t="n">
        <v>7.639586</v>
      </c>
      <c r="AF1950" s="3" t="n">
        <v>8.037247000000001</v>
      </c>
      <c r="AG1950" s="3" t="n">
        <v>8.258164000000001</v>
      </c>
      <c r="AH1950" s="3" t="n">
        <v>7.029082</v>
      </c>
      <c r="AI1950" s="3" t="n">
        <v>6</v>
      </c>
      <c r="AJ1950" s="3" t="n">
        <v>6</v>
      </c>
      <c r="AK1950" s="3" t="n">
        <v>6</v>
      </c>
      <c r="AL1950" s="3" t="n">
        <v>5</v>
      </c>
      <c r="AM1950" s="3" t="n"/>
      <c r="AN1950" s="3" t="n"/>
      <c r="AO1950" s="3" t="n"/>
      <c r="AP1950" s="3" t="n"/>
      <c r="AQ1950" s="3" t="n"/>
      <c r="AR1950" s="3" t="n"/>
      <c r="AS1950" s="3" t="n"/>
      <c r="AT1950" s="3" t="n"/>
      <c r="AU1950" s="3" t="n"/>
    </row>
    <row r="1951">
      <c r="A1951" s="3" t="n">
        <v>2031</v>
      </c>
      <c r="B1951" s="3" t="inlineStr">
        <is>
          <t>MDG</t>
        </is>
      </c>
      <c r="C1951" s="3" t="inlineStr">
        <is>
          <t>IMF.RES:WEO</t>
        </is>
      </c>
      <c r="D1951" s="3" t="inlineStr">
        <is>
          <t>MDG.PPPPC.A</t>
        </is>
      </c>
      <c r="E1951" s="3" t="inlineStr">
        <is>
          <t>Madagascar, Republic of</t>
        </is>
      </c>
      <c r="F1951" s="3" t="inlineStr">
        <is>
          <t>Gross domestic product (GDP), Per capita, purchasing power parity (PPP) international dollar, ICP benchmarks 2017-2021</t>
        </is>
      </c>
      <c r="G1951" s="3" t="n">
        <v>1256.929749</v>
      </c>
      <c r="H1951" s="3" t="n">
        <v>1322.289954</v>
      </c>
      <c r="I1951" s="3" t="n">
        <v>1141.850073</v>
      </c>
      <c r="J1951" s="3" t="n">
        <v>1240.973908</v>
      </c>
      <c r="K1951" s="3" t="n">
        <v>1302.140023</v>
      </c>
      <c r="L1951" s="3" t="n">
        <v>1365.733917</v>
      </c>
      <c r="M1951" s="3" t="n">
        <v>1440.495609</v>
      </c>
      <c r="N1951" s="3" t="n">
        <v>1518.310464</v>
      </c>
      <c r="O1951" s="3" t="n">
        <v>1603.185556</v>
      </c>
      <c r="P1951" s="3" t="n">
        <v>1503.634206</v>
      </c>
      <c r="Q1951" s="3" t="n">
        <v>1486.586843</v>
      </c>
      <c r="R1951" s="3" t="n">
        <v>1496.172878</v>
      </c>
      <c r="S1951" s="3" t="n">
        <v>1524.047563</v>
      </c>
      <c r="T1951" s="3" t="n">
        <v>1539.30941</v>
      </c>
      <c r="U1951" s="3" t="n">
        <v>1571.124841</v>
      </c>
      <c r="V1951" s="3" t="n">
        <v>1587.588302</v>
      </c>
      <c r="W1951" s="3" t="n">
        <v>1617.970151</v>
      </c>
      <c r="X1951" s="3" t="n">
        <v>1661.708389</v>
      </c>
      <c r="Y1951" s="3" t="n">
        <v>1656.275139</v>
      </c>
      <c r="Z1951" s="3" t="n">
        <v>1715.299633</v>
      </c>
      <c r="AA1951" s="3" t="n">
        <v>1578.27923</v>
      </c>
      <c r="AB1951" s="3" t="n">
        <v>1662.136352</v>
      </c>
      <c r="AC1951" s="3" t="n">
        <v>1803.869588</v>
      </c>
      <c r="AD1951" s="3" t="n">
        <v>1897.019367</v>
      </c>
      <c r="AE1951" s="3" t="n">
        <v>1973.296941</v>
      </c>
      <c r="AF1951" s="3" t="n">
        <v>2030.356319</v>
      </c>
      <c r="AG1951" s="3" t="n">
        <v>2105.927298</v>
      </c>
      <c r="AH1951" s="3" t="n">
        <v>2180.465672</v>
      </c>
      <c r="AI1951" s="3" t="n">
        <v>2256.076944</v>
      </c>
      <c r="AJ1951" s="3" t="n">
        <v>2339.729745</v>
      </c>
      <c r="AK1951" s="3" t="n">
        <v>2430.342912</v>
      </c>
      <c r="AL1951" s="3" t="n">
        <v>2524.011951</v>
      </c>
      <c r="AM1951" s="3" t="n"/>
      <c r="AN1951" s="3" t="n"/>
      <c r="AO1951" s="3" t="n"/>
      <c r="AP1951" s="3" t="n"/>
      <c r="AQ1951" s="3" t="n"/>
      <c r="AR1951" s="3" t="n"/>
      <c r="AS1951" s="3" t="n"/>
      <c r="AT1951" s="3" t="n"/>
      <c r="AU1951" s="3" t="n"/>
    </row>
    <row r="1952">
      <c r="A1952" s="3" t="n">
        <v>2025</v>
      </c>
      <c r="B1952" s="3" t="inlineStr">
        <is>
          <t>MDG</t>
        </is>
      </c>
      <c r="C1952" s="3" t="inlineStr">
        <is>
          <t>IMF.STA:ER</t>
        </is>
      </c>
      <c r="D1952" s="3" t="inlineStr">
        <is>
          <t>MDG.XDC_USD.PA_RT.A</t>
        </is>
      </c>
      <c r="E1952" s="3" t="inlineStr">
        <is>
          <t>Madagascar, Republic of</t>
        </is>
      </c>
      <c r="F1952" s="3" t="inlineStr">
        <is>
          <t>Domestic currency per US Dollar</t>
        </is>
      </c>
      <c r="G1952" s="3" t="n">
        <v>1353.49616666666</v>
      </c>
      <c r="H1952" s="3" t="n">
        <v>1317.69883333333</v>
      </c>
      <c r="I1952" s="3" t="n">
        <v>1366.39116666666</v>
      </c>
      <c r="J1952" s="3" t="n">
        <v>1238.32766666666</v>
      </c>
      <c r="K1952" s="3" t="n">
        <v>1868.85783333333</v>
      </c>
      <c r="L1952" s="3" t="n">
        <v>2003.02583333333</v>
      </c>
      <c r="M1952" s="3" t="n">
        <v>2142.30166666666</v>
      </c>
      <c r="N1952" s="3" t="n">
        <v>1873.87666666666</v>
      </c>
      <c r="O1952" s="3" t="n">
        <v>1708.37083333333</v>
      </c>
      <c r="P1952" s="3" t="n">
        <v>1956.20583333333</v>
      </c>
      <c r="Q1952" s="3" t="n">
        <v>2089.95</v>
      </c>
      <c r="R1952" s="3" t="n">
        <v>2025.1175</v>
      </c>
      <c r="S1952" s="3" t="n">
        <v>2194.96666666666</v>
      </c>
      <c r="T1952" s="3" t="n">
        <v>2206.91416666666</v>
      </c>
      <c r="U1952" s="3" t="n">
        <v>2414.81166666666</v>
      </c>
      <c r="V1952" s="3" t="n">
        <v>2933.50833333333</v>
      </c>
      <c r="W1952" s="3" t="n">
        <v>3176.53916666666</v>
      </c>
      <c r="X1952" s="3" t="n">
        <v>3116.11</v>
      </c>
      <c r="Y1952" s="3" t="n">
        <v>3334.75225490196</v>
      </c>
      <c r="Z1952" s="3" t="n">
        <v>3618.32185816072</v>
      </c>
      <c r="AA1952" s="3" t="n">
        <v>3787.75405817574</v>
      </c>
      <c r="AB1952" s="3" t="n">
        <v>3829.97784932976</v>
      </c>
      <c r="AC1952" s="3" t="n">
        <v>4096.11618374534</v>
      </c>
      <c r="AD1952" s="3" t="n">
        <v>4429.57921419022</v>
      </c>
      <c r="AE1952" s="3" t="n">
        <v>4525.42472099151</v>
      </c>
      <c r="AF1952" s="3" t="n">
        <v>4529.75125196404</v>
      </c>
      <c r="AG1952" s="3" t="n"/>
      <c r="AH1952" s="3" t="n"/>
      <c r="AI1952" s="3" t="n"/>
      <c r="AJ1952" s="3" t="n"/>
      <c r="AK1952" s="3" t="n"/>
      <c r="AL1952" s="3" t="n"/>
      <c r="AM1952" s="3" t="n"/>
      <c r="AN1952" s="3" t="n"/>
      <c r="AO1952" s="3" t="n"/>
      <c r="AP1952" s="3" t="n"/>
      <c r="AQ1952" s="3" t="n"/>
      <c r="AR1952" s="3" t="n"/>
      <c r="AS1952" s="3" t="n"/>
      <c r="AT1952" s="3" t="n"/>
      <c r="AU1952" s="3" t="n"/>
    </row>
    <row r="1953">
      <c r="A1953" s="3" t="n">
        <v>2031</v>
      </c>
      <c r="B1953" s="3" t="inlineStr">
        <is>
          <t>MDV</t>
        </is>
      </c>
      <c r="C1953" s="3" t="inlineStr">
        <is>
          <t>IMF.RES:WEO</t>
        </is>
      </c>
      <c r="D1953" s="3" t="inlineStr">
        <is>
          <t>MDV.BCA.A</t>
        </is>
      </c>
      <c r="E1953" s="3" t="inlineStr">
        <is>
          <t>Maldives</t>
        </is>
      </c>
      <c r="F1953" s="3" t="inlineStr">
        <is>
          <t>Current account balance (credit less debit), US dollar</t>
        </is>
      </c>
      <c r="G1953" s="3" t="n">
        <v>-0.051462</v>
      </c>
      <c r="H1953" s="3" t="n">
        <v>-0.058724</v>
      </c>
      <c r="I1953" s="3" t="n">
        <v>-0.035586</v>
      </c>
      <c r="J1953" s="3" t="n">
        <v>-0.031296</v>
      </c>
      <c r="K1953" s="3" t="n">
        <v>-0.122324</v>
      </c>
      <c r="L1953" s="3" t="n">
        <v>-0.273009</v>
      </c>
      <c r="M1953" s="3" t="n">
        <v>-0.301975</v>
      </c>
      <c r="N1953" s="3" t="n">
        <v>-0.265535</v>
      </c>
      <c r="O1953" s="3" t="n">
        <v>-0.610229</v>
      </c>
      <c r="P1953" s="3" t="n">
        <v>-0.226254</v>
      </c>
      <c r="Q1953" s="3" t="n">
        <v>-0.189505</v>
      </c>
      <c r="R1953" s="3" t="n">
        <v>-0.389587</v>
      </c>
      <c r="S1953" s="3" t="n">
        <v>-0.191708</v>
      </c>
      <c r="T1953" s="3" t="n">
        <v>-0.141382</v>
      </c>
      <c r="U1953" s="3" t="n">
        <v>-0.134901</v>
      </c>
      <c r="V1953" s="3" t="n">
        <v>-0.306814</v>
      </c>
      <c r="W1953" s="3" t="n">
        <v>-1.032408</v>
      </c>
      <c r="X1953" s="3" t="n">
        <v>-0.99526</v>
      </c>
      <c r="Y1953" s="3" t="n">
        <v>-1.50252</v>
      </c>
      <c r="Z1953" s="3" t="n">
        <v>-1.490093</v>
      </c>
      <c r="AA1953" s="3" t="n">
        <v>-1.299647</v>
      </c>
      <c r="AB1953" s="3" t="n">
        <v>-0.453449</v>
      </c>
      <c r="AC1953" s="3" t="n">
        <v>-1.002696</v>
      </c>
      <c r="AD1953" s="3" t="n">
        <v>-1.399641</v>
      </c>
      <c r="AE1953" s="3" t="n">
        <v>-1.3191</v>
      </c>
      <c r="AF1953" s="3" t="n">
        <v>-0.645265</v>
      </c>
      <c r="AG1953" s="3" t="n">
        <v>-1.427254</v>
      </c>
      <c r="AH1953" s="3" t="n">
        <v>-1.345036</v>
      </c>
      <c r="AI1953" s="3" t="n">
        <v>-1.303232</v>
      </c>
      <c r="AJ1953" s="3" t="n">
        <v>-1.285347</v>
      </c>
      <c r="AK1953" s="3" t="n">
        <v>-1.301646</v>
      </c>
      <c r="AL1953" s="3" t="n">
        <v>-1.364127</v>
      </c>
      <c r="AM1953" s="3" t="n"/>
      <c r="AN1953" s="3" t="n"/>
      <c r="AO1953" s="3" t="n"/>
      <c r="AP1953" s="3" t="n"/>
      <c r="AQ1953" s="3" t="n"/>
      <c r="AR1953" s="3" t="n"/>
      <c r="AS1953" s="3" t="n"/>
      <c r="AT1953" s="3" t="n"/>
      <c r="AU1953" s="3" t="n"/>
    </row>
    <row r="1954">
      <c r="A1954" s="3" t="n">
        <v>2031</v>
      </c>
      <c r="B1954" s="3" t="inlineStr">
        <is>
          <t>MDV</t>
        </is>
      </c>
      <c r="C1954" s="3" t="inlineStr">
        <is>
          <t>IMF.RES:WEO</t>
        </is>
      </c>
      <c r="D1954" s="3" t="inlineStr">
        <is>
          <t>MDV.BCA_NGDPD.A</t>
        </is>
      </c>
      <c r="E1954" s="3" t="inlineStr">
        <is>
          <t>Maldives</t>
        </is>
      </c>
      <c r="F1954" s="3" t="inlineStr">
        <is>
          <t>Current account balance (credit less debit), Percent of GDP</t>
        </is>
      </c>
      <c r="G1954" s="3" t="n">
        <v>-6.421069</v>
      </c>
      <c r="H1954" s="3" t="n">
        <v>-7.652931</v>
      </c>
      <c r="I1954" s="3" t="n">
        <v>-4.296526</v>
      </c>
      <c r="J1954" s="3" t="n">
        <v>-2.974599</v>
      </c>
      <c r="K1954" s="3" t="n">
        <v>-9.970739999999999</v>
      </c>
      <c r="L1954" s="3" t="n">
        <v>-23.467269</v>
      </c>
      <c r="M1954" s="3" t="n">
        <v>-19.170584</v>
      </c>
      <c r="N1954" s="3" t="n">
        <v>-14.212025</v>
      </c>
      <c r="O1954" s="3" t="n">
        <v>-26.862856</v>
      </c>
      <c r="P1954" s="3" t="n">
        <v>-9.647164999999999</v>
      </c>
      <c r="Q1954" s="3" t="n">
        <v>-7.321949</v>
      </c>
      <c r="R1954" s="3" t="n">
        <v>-14.819471</v>
      </c>
      <c r="S1954" s="3" t="n">
        <v>-6.644553</v>
      </c>
      <c r="T1954" s="3" t="n">
        <v>-4.30288</v>
      </c>
      <c r="U1954" s="3" t="n">
        <v>-3.655594</v>
      </c>
      <c r="V1954" s="3" t="n">
        <v>-7.450918</v>
      </c>
      <c r="W1954" s="3" t="n">
        <v>-23.474265</v>
      </c>
      <c r="X1954" s="3" t="n">
        <v>-20.694798</v>
      </c>
      <c r="Y1954" s="3" t="n">
        <v>-27.8367</v>
      </c>
      <c r="Z1954" s="3" t="n">
        <v>-26.07015</v>
      </c>
      <c r="AA1954" s="3" t="n">
        <v>-35.071729</v>
      </c>
      <c r="AB1954" s="3" t="n">
        <v>-8.654038</v>
      </c>
      <c r="AC1954" s="3" t="n">
        <v>-16.257072</v>
      </c>
      <c r="AD1954" s="3" t="n">
        <v>-21.171299</v>
      </c>
      <c r="AE1954" s="3" t="n">
        <v>-18.705215</v>
      </c>
      <c r="AF1954" s="3" t="n">
        <v>-8.418167</v>
      </c>
      <c r="AG1954" s="3" t="n">
        <v>-17.554809</v>
      </c>
      <c r="AH1954" s="3" t="n">
        <v>-15.507791</v>
      </c>
      <c r="AI1954" s="3" t="n">
        <v>-14.143916</v>
      </c>
      <c r="AJ1954" s="3" t="n">
        <v>-13.147898</v>
      </c>
      <c r="AK1954" s="3" t="n">
        <v>-12.553267</v>
      </c>
      <c r="AL1954" s="3" t="n">
        <v>-12.36393</v>
      </c>
      <c r="AM1954" s="3" t="n"/>
      <c r="AN1954" s="3" t="n"/>
      <c r="AO1954" s="3" t="n"/>
      <c r="AP1954" s="3" t="n"/>
      <c r="AQ1954" s="3" t="n"/>
      <c r="AR1954" s="3" t="n"/>
      <c r="AS1954" s="3" t="n"/>
      <c r="AT1954" s="3" t="n"/>
      <c r="AU1954" s="3" t="n"/>
    </row>
    <row r="1955">
      <c r="A1955" s="3" t="n">
        <v>2031</v>
      </c>
      <c r="B1955" s="3" t="inlineStr">
        <is>
          <t>MDV</t>
        </is>
      </c>
      <c r="C1955" s="3" t="inlineStr">
        <is>
          <t>IMF.RES:WEO</t>
        </is>
      </c>
      <c r="D1955" s="3" t="inlineStr">
        <is>
          <t>MDV.GGR_NGDP.A</t>
        </is>
      </c>
      <c r="E1955" s="3" t="inlineStr">
        <is>
          <t>Maldives</t>
        </is>
      </c>
      <c r="F1955" s="3" t="inlineStr">
        <is>
          <t>Revenue, General government, Percent of GDP</t>
        </is>
      </c>
      <c r="G1955" s="3" t="n">
        <v>25.152755</v>
      </c>
      <c r="H1955" s="3" t="n">
        <v>25.683453</v>
      </c>
      <c r="I1955" s="3" t="n">
        <v>25.608681</v>
      </c>
      <c r="J1955" s="3" t="n">
        <v>22.929128</v>
      </c>
      <c r="K1955" s="3" t="n">
        <v>21.808627</v>
      </c>
      <c r="L1955" s="3" t="n">
        <v>30.97769</v>
      </c>
      <c r="M1955" s="3" t="n">
        <v>30.522406</v>
      </c>
      <c r="N1955" s="3" t="n">
        <v>31.654202</v>
      </c>
      <c r="O1955" s="3" t="n">
        <v>25.644055</v>
      </c>
      <c r="P1955" s="3" t="n">
        <v>19.057264</v>
      </c>
      <c r="Q1955" s="3" t="n">
        <v>19.613157</v>
      </c>
      <c r="R1955" s="3" t="n">
        <v>23.12983</v>
      </c>
      <c r="S1955" s="3" t="n">
        <v>22.861684</v>
      </c>
      <c r="T1955" s="3" t="n">
        <v>23.503727</v>
      </c>
      <c r="U1955" s="3" t="n">
        <v>26.666248</v>
      </c>
      <c r="V1955" s="3" t="n">
        <v>27.273039</v>
      </c>
      <c r="W1955" s="3" t="n">
        <v>27.411949</v>
      </c>
      <c r="X1955" s="3" t="n">
        <v>27.335827</v>
      </c>
      <c r="Y1955" s="3" t="n">
        <v>26.717561</v>
      </c>
      <c r="Z1955" s="3" t="n">
        <v>26.37615</v>
      </c>
      <c r="AA1955" s="3" t="n">
        <v>26.656167</v>
      </c>
      <c r="AB1955" s="3" t="n">
        <v>26.445825</v>
      </c>
      <c r="AC1955" s="3" t="n">
        <v>30.826635</v>
      </c>
      <c r="AD1955" s="3" t="n">
        <v>33.504054</v>
      </c>
      <c r="AE1955" s="3" t="n">
        <v>32.285469</v>
      </c>
      <c r="AF1955" s="3" t="n">
        <v>33.563181</v>
      </c>
      <c r="AG1955" s="3" t="n">
        <v>30.914686</v>
      </c>
      <c r="AH1955" s="3" t="n">
        <v>30.944886</v>
      </c>
      <c r="AI1955" s="3" t="n">
        <v>31.203136</v>
      </c>
      <c r="AJ1955" s="3" t="n">
        <v>31.189606</v>
      </c>
      <c r="AK1955" s="3" t="n">
        <v>31.176929</v>
      </c>
      <c r="AL1955" s="3" t="n">
        <v>31.164268</v>
      </c>
      <c r="AM1955" s="3" t="n"/>
      <c r="AN1955" s="3" t="n"/>
      <c r="AO1955" s="3" t="n"/>
      <c r="AP1955" s="3" t="n"/>
      <c r="AQ1955" s="3" t="n"/>
      <c r="AR1955" s="3" t="n"/>
      <c r="AS1955" s="3" t="n"/>
      <c r="AT1955" s="3" t="n"/>
      <c r="AU1955" s="3" t="n"/>
    </row>
    <row r="1956">
      <c r="A1956" s="3" t="n">
        <v>2031</v>
      </c>
      <c r="B1956" s="3" t="inlineStr">
        <is>
          <t>MDV</t>
        </is>
      </c>
      <c r="C1956" s="3" t="inlineStr">
        <is>
          <t>IMF.RES:WEO</t>
        </is>
      </c>
      <c r="D1956" s="3" t="inlineStr">
        <is>
          <t>MDV.GGX_NGDP.A</t>
        </is>
      </c>
      <c r="E1956" s="3" t="inlineStr">
        <is>
          <t>Maldives</t>
        </is>
      </c>
      <c r="F1956" s="3" t="inlineStr">
        <is>
          <t>Expenditure, General government, Percent of GDP</t>
        </is>
      </c>
      <c r="G1956" s="3" t="n">
        <v>29.045405</v>
      </c>
      <c r="H1956" s="3" t="n">
        <v>29.649086</v>
      </c>
      <c r="I1956" s="3" t="n">
        <v>29.57605</v>
      </c>
      <c r="J1956" s="3" t="n">
        <v>26.374549</v>
      </c>
      <c r="K1956" s="3" t="n">
        <v>24.065461</v>
      </c>
      <c r="L1956" s="3" t="n">
        <v>38.784399</v>
      </c>
      <c r="M1956" s="3" t="n">
        <v>35.046136</v>
      </c>
      <c r="N1956" s="3" t="n">
        <v>34.812012</v>
      </c>
      <c r="O1956" s="3" t="n">
        <v>35.568919</v>
      </c>
      <c r="P1956" s="3" t="n">
        <v>36.989853</v>
      </c>
      <c r="Q1956" s="3" t="n">
        <v>33.192904</v>
      </c>
      <c r="R1956" s="3" t="n">
        <v>31.259922</v>
      </c>
      <c r="S1956" s="3" t="n">
        <v>29.766841</v>
      </c>
      <c r="T1956" s="3" t="n">
        <v>26.990568</v>
      </c>
      <c r="U1956" s="3" t="n">
        <v>29.084438</v>
      </c>
      <c r="V1956" s="3" t="n">
        <v>33.788952</v>
      </c>
      <c r="W1956" s="3" t="n">
        <v>37.339666</v>
      </c>
      <c r="X1956" s="3" t="n">
        <v>30.356897</v>
      </c>
      <c r="Y1956" s="3" t="n">
        <v>31.886425</v>
      </c>
      <c r="Z1956" s="3" t="n">
        <v>32.918993</v>
      </c>
      <c r="AA1956" s="3" t="n">
        <v>50.352422</v>
      </c>
      <c r="AB1956" s="3" t="n">
        <v>40.629626</v>
      </c>
      <c r="AC1956" s="3" t="n">
        <v>41.984816</v>
      </c>
      <c r="AD1956" s="3" t="n">
        <v>46.672334</v>
      </c>
      <c r="AE1956" s="3" t="n">
        <v>43.854268</v>
      </c>
      <c r="AF1956" s="3" t="n">
        <v>36.506078</v>
      </c>
      <c r="AG1956" s="3" t="n">
        <v>42.13042</v>
      </c>
      <c r="AH1956" s="3" t="n">
        <v>40.031772</v>
      </c>
      <c r="AI1956" s="3" t="n">
        <v>40.083524</v>
      </c>
      <c r="AJ1956" s="3" t="n">
        <v>39.863028</v>
      </c>
      <c r="AK1956" s="3" t="n">
        <v>39.533108</v>
      </c>
      <c r="AL1956" s="3" t="n">
        <v>37.885155</v>
      </c>
      <c r="AM1956" s="3" t="n"/>
      <c r="AN1956" s="3" t="n"/>
      <c r="AO1956" s="3" t="n"/>
      <c r="AP1956" s="3" t="n"/>
      <c r="AQ1956" s="3" t="n"/>
      <c r="AR1956" s="3" t="n"/>
      <c r="AS1956" s="3" t="n"/>
      <c r="AT1956" s="3" t="n"/>
      <c r="AU1956" s="3" t="n"/>
    </row>
    <row r="1957">
      <c r="A1957" s="3" t="n">
        <v>2031</v>
      </c>
      <c r="B1957" s="3" t="inlineStr">
        <is>
          <t>MDV</t>
        </is>
      </c>
      <c r="C1957" s="3" t="inlineStr">
        <is>
          <t>IMF.RES:WEO</t>
        </is>
      </c>
      <c r="D1957" s="3" t="inlineStr">
        <is>
          <t>MDV.LP.A</t>
        </is>
      </c>
      <c r="E1957" s="3" t="inlineStr">
        <is>
          <t>Maldives</t>
        </is>
      </c>
      <c r="F1957" s="3" t="inlineStr">
        <is>
          <t>Population, Persons for countries / Index for country groups</t>
        </is>
      </c>
      <c r="G1957" s="3" t="n">
        <v>0.270101</v>
      </c>
      <c r="H1957" s="3" t="n">
        <v>0.275975</v>
      </c>
      <c r="I1957" s="3" t="n">
        <v>0.280549</v>
      </c>
      <c r="J1957" s="3" t="n">
        <v>0.285066</v>
      </c>
      <c r="K1957" s="3" t="n">
        <v>0.28948</v>
      </c>
      <c r="L1957" s="3" t="n">
        <v>0.293746</v>
      </c>
      <c r="M1957" s="3" t="n">
        <v>0.298968</v>
      </c>
      <c r="N1957" s="3" t="n">
        <v>0.304869</v>
      </c>
      <c r="O1957" s="3" t="n">
        <v>0.309575</v>
      </c>
      <c r="P1957" s="3" t="n">
        <v>0.314771</v>
      </c>
      <c r="Q1957" s="3" t="n">
        <v>0.320054</v>
      </c>
      <c r="R1957" s="3" t="n">
        <v>0.325425</v>
      </c>
      <c r="S1957" s="3" t="n">
        <v>0.330887</v>
      </c>
      <c r="T1957" s="3" t="n">
        <v>0.33644</v>
      </c>
      <c r="U1957" s="3" t="n">
        <v>0.342087</v>
      </c>
      <c r="V1957" s="3" t="n">
        <v>0.347828</v>
      </c>
      <c r="W1957" s="3" t="n">
        <v>0.353666</v>
      </c>
      <c r="X1957" s="3" t="n">
        <v>0.359601</v>
      </c>
      <c r="Y1957" s="3" t="n">
        <v>0.365637</v>
      </c>
      <c r="Z1957" s="3" t="n">
        <v>0.371773</v>
      </c>
      <c r="AA1957" s="3" t="n">
        <v>0.378013</v>
      </c>
      <c r="AB1957" s="3" t="n">
        <v>0.384357</v>
      </c>
      <c r="AC1957" s="3" t="n">
        <v>0.390808</v>
      </c>
      <c r="AD1957" s="3" t="n">
        <v>0.397367</v>
      </c>
      <c r="AE1957" s="3" t="n">
        <v>0.404036</v>
      </c>
      <c r="AF1957" s="3" t="n">
        <v>0.410817</v>
      </c>
      <c r="AG1957" s="3" t="n">
        <v>0.417712</v>
      </c>
      <c r="AH1957" s="3" t="n">
        <v>0.424722</v>
      </c>
      <c r="AI1957" s="3" t="n">
        <v>0.43185</v>
      </c>
      <c r="AJ1957" s="3" t="n">
        <v>0.439098</v>
      </c>
      <c r="AK1957" s="3" t="n">
        <v>0.446468</v>
      </c>
      <c r="AL1957" s="3" t="n">
        <v>0.453961</v>
      </c>
      <c r="AM1957" s="3" t="n"/>
      <c r="AN1957" s="3" t="n"/>
      <c r="AO1957" s="3" t="n"/>
      <c r="AP1957" s="3" t="n"/>
      <c r="AQ1957" s="3" t="n"/>
      <c r="AR1957" s="3" t="n"/>
      <c r="AS1957" s="3" t="n"/>
      <c r="AT1957" s="3" t="n"/>
      <c r="AU1957" s="3" t="n"/>
    </row>
    <row r="1958">
      <c r="A1958" s="3" t="n">
        <v>2031</v>
      </c>
      <c r="B1958" s="3" t="inlineStr">
        <is>
          <t>MDV</t>
        </is>
      </c>
      <c r="C1958" s="3" t="inlineStr">
        <is>
          <t>IMF.RES:WEO</t>
        </is>
      </c>
      <c r="D1958" s="3" t="inlineStr">
        <is>
          <t>MDV.NGDP.A</t>
        </is>
      </c>
      <c r="E1958" s="3" t="inlineStr">
        <is>
          <t>Maldives</t>
        </is>
      </c>
      <c r="F1958" s="3" t="inlineStr">
        <is>
          <t>Gross domestic product (GDP), Current prices, Domestic currency</t>
        </is>
      </c>
      <c r="G1958" s="3" t="n">
        <v>9.433161999999999</v>
      </c>
      <c r="H1958" s="3" t="n">
        <v>9.821888</v>
      </c>
      <c r="I1958" s="3" t="n">
        <v>10.601483</v>
      </c>
      <c r="J1958" s="3" t="n">
        <v>13.46715</v>
      </c>
      <c r="K1958" s="3" t="n">
        <v>15.703418</v>
      </c>
      <c r="L1958" s="3" t="n">
        <v>14.891039</v>
      </c>
      <c r="M1958" s="3" t="n">
        <v>20.162565</v>
      </c>
      <c r="N1958" s="3" t="n">
        <v>23.915308</v>
      </c>
      <c r="O1958" s="3" t="n">
        <v>29.077071</v>
      </c>
      <c r="P1958" s="3" t="n">
        <v>30.019774</v>
      </c>
      <c r="Q1958" s="3" t="n">
        <v>33.128654</v>
      </c>
      <c r="R1958" s="3" t="n">
        <v>40.511084</v>
      </c>
      <c r="S1958" s="3" t="n">
        <v>44.345434</v>
      </c>
      <c r="T1958" s="3" t="n">
        <v>50.633451</v>
      </c>
      <c r="U1958" s="3" t="n">
        <v>56.866746</v>
      </c>
      <c r="V1958" s="3" t="n">
        <v>63.455346</v>
      </c>
      <c r="W1958" s="3" t="n">
        <v>67.773797</v>
      </c>
      <c r="X1958" s="3" t="n">
        <v>74.110202</v>
      </c>
      <c r="Y1958" s="3" t="n">
        <v>83.17738</v>
      </c>
      <c r="Z1958" s="3" t="n">
        <v>88.079031</v>
      </c>
      <c r="AA1958" s="3" t="n">
        <v>57.10457</v>
      </c>
      <c r="AB1958" s="3" t="n">
        <v>80.74444</v>
      </c>
      <c r="AC1958" s="3" t="n">
        <v>95.04508</v>
      </c>
      <c r="AD1958" s="3" t="n">
        <v>101.876</v>
      </c>
      <c r="AE1958" s="3" t="n">
        <v>108.672</v>
      </c>
      <c r="AF1958" s="3" t="n">
        <v>118.119912</v>
      </c>
      <c r="AG1958" s="3" t="n">
        <v>125.287513</v>
      </c>
      <c r="AH1958" s="3" t="n">
        <v>133.655388</v>
      </c>
      <c r="AI1958" s="3" t="n">
        <v>141.989002</v>
      </c>
      <c r="AJ1958" s="3" t="n">
        <v>150.6492</v>
      </c>
      <c r="AK1958" s="3" t="n">
        <v>159.785986</v>
      </c>
      <c r="AL1958" s="3" t="n">
        <v>170.020344</v>
      </c>
      <c r="AM1958" s="3" t="n"/>
      <c r="AN1958" s="3" t="n"/>
      <c r="AO1958" s="3" t="n"/>
      <c r="AP1958" s="3" t="n"/>
      <c r="AQ1958" s="3" t="n"/>
      <c r="AR1958" s="3" t="n"/>
      <c r="AS1958" s="3" t="n"/>
      <c r="AT1958" s="3" t="n"/>
      <c r="AU1958" s="3" t="n"/>
    </row>
    <row r="1959">
      <c r="A1959" s="3" t="n">
        <v>2031</v>
      </c>
      <c r="B1959" s="3" t="inlineStr">
        <is>
          <t>MDV</t>
        </is>
      </c>
      <c r="C1959" s="3" t="inlineStr">
        <is>
          <t>IMF.RES:WEO</t>
        </is>
      </c>
      <c r="D1959" s="3" t="inlineStr">
        <is>
          <t>MDV.NGDP_D.A</t>
        </is>
      </c>
      <c r="E1959" s="3" t="inlineStr">
        <is>
          <t>Maldives</t>
        </is>
      </c>
      <c r="F1959" s="3" t="inlineStr">
        <is>
          <t>Gross domestic product (GDP), Price deflator, Index</t>
        </is>
      </c>
      <c r="G1959" s="3" t="n">
        <v>30.867614</v>
      </c>
      <c r="H1959" s="3" t="n">
        <v>31.680233</v>
      </c>
      <c r="I1959" s="3" t="n">
        <v>32.229462</v>
      </c>
      <c r="J1959" s="3" t="n">
        <v>35.865321</v>
      </c>
      <c r="K1959" s="3" t="n">
        <v>39.442014</v>
      </c>
      <c r="L1959" s="3" t="n">
        <v>42.129881</v>
      </c>
      <c r="M1959" s="3" t="n">
        <v>46.150048</v>
      </c>
      <c r="N1959" s="3" t="n">
        <v>51.099648</v>
      </c>
      <c r="O1959" s="3" t="n">
        <v>57.009405</v>
      </c>
      <c r="P1959" s="3" t="n">
        <v>64.08565400000001</v>
      </c>
      <c r="Q1959" s="3" t="n">
        <v>66.197518</v>
      </c>
      <c r="R1959" s="3" t="n">
        <v>74.557469</v>
      </c>
      <c r="S1959" s="3" t="n">
        <v>79.72968</v>
      </c>
      <c r="T1959" s="3" t="n">
        <v>85.108722</v>
      </c>
      <c r="U1959" s="3" t="n">
        <v>88.668987</v>
      </c>
      <c r="V1959" s="3" t="n">
        <v>95.257515</v>
      </c>
      <c r="W1959" s="3" t="n">
        <v>95.642758</v>
      </c>
      <c r="X1959" s="3" t="n">
        <v>97.674792</v>
      </c>
      <c r="Y1959" s="3" t="n">
        <v>100.972722</v>
      </c>
      <c r="Z1959" s="3" t="n">
        <v>100.000001</v>
      </c>
      <c r="AA1959" s="3" t="n">
        <v>96.634675</v>
      </c>
      <c r="AB1959" s="3" t="n">
        <v>99.36814699999999</v>
      </c>
      <c r="AC1959" s="3" t="n">
        <v>102.759592</v>
      </c>
      <c r="AD1959" s="3" t="n">
        <v>104.796198</v>
      </c>
      <c r="AE1959" s="3" t="n">
        <v>108.455232</v>
      </c>
      <c r="AF1959" s="3" t="n">
        <v>112.238057</v>
      </c>
      <c r="AG1959" s="3" t="n">
        <v>115.557112</v>
      </c>
      <c r="AH1959" s="3" t="n">
        <v>117.868254</v>
      </c>
      <c r="AI1959" s="3" t="n">
        <v>120.225619</v>
      </c>
      <c r="AJ1959" s="3" t="n">
        <v>122.630131</v>
      </c>
      <c r="AK1959" s="3" t="n">
        <v>125.082734</v>
      </c>
      <c r="AL1959" s="3" t="n">
        <v>127.959637</v>
      </c>
      <c r="AM1959" s="3" t="n"/>
      <c r="AN1959" s="3" t="n"/>
      <c r="AO1959" s="3" t="n"/>
      <c r="AP1959" s="3" t="n"/>
      <c r="AQ1959" s="3" t="n"/>
      <c r="AR1959" s="3" t="n"/>
      <c r="AS1959" s="3" t="n"/>
      <c r="AT1959" s="3" t="n"/>
      <c r="AU1959" s="3" t="n"/>
    </row>
    <row r="1960">
      <c r="A1960" s="3" t="n">
        <v>2031</v>
      </c>
      <c r="B1960" s="3" t="inlineStr">
        <is>
          <t>MDV</t>
        </is>
      </c>
      <c r="C1960" s="3" t="inlineStr">
        <is>
          <t>IMF.RES:WEO</t>
        </is>
      </c>
      <c r="D1960" s="3" t="inlineStr">
        <is>
          <t>MDV.NGDP_R.A</t>
        </is>
      </c>
      <c r="E1960" s="3" t="inlineStr">
        <is>
          <t>Maldives</t>
        </is>
      </c>
      <c r="F1960" s="3" t="inlineStr">
        <is>
          <t>Gross domestic product (GDP), Constant prices, Domestic currency</t>
        </is>
      </c>
      <c r="G1960" s="3" t="n">
        <v>30.560061</v>
      </c>
      <c r="H1960" s="3" t="n">
        <v>31.003207</v>
      </c>
      <c r="I1960" s="3" t="n">
        <v>32.893765</v>
      </c>
      <c r="J1960" s="3" t="n">
        <v>37.549223</v>
      </c>
      <c r="K1960" s="3" t="n">
        <v>39.813937</v>
      </c>
      <c r="L1960" s="3" t="n">
        <v>35.345553</v>
      </c>
      <c r="M1960" s="3" t="n">
        <v>43.689152</v>
      </c>
      <c r="N1960" s="3" t="n">
        <v>46.801317</v>
      </c>
      <c r="O1960" s="3" t="n">
        <v>51.00399</v>
      </c>
      <c r="P1960" s="3" t="n">
        <v>46.843205</v>
      </c>
      <c r="Q1960" s="3" t="n">
        <v>50.045159</v>
      </c>
      <c r="R1960" s="3" t="n">
        <v>54.33538</v>
      </c>
      <c r="S1960" s="3" t="n">
        <v>55.619731</v>
      </c>
      <c r="T1960" s="3" t="n">
        <v>59.49267</v>
      </c>
      <c r="U1960" s="3" t="n">
        <v>64.13375000000001</v>
      </c>
      <c r="V1960" s="3" t="n">
        <v>66.61453</v>
      </c>
      <c r="W1960" s="3" t="n">
        <v>70.8614</v>
      </c>
      <c r="X1960" s="3" t="n">
        <v>75.87444000000001</v>
      </c>
      <c r="Y1960" s="3" t="n">
        <v>82.37609</v>
      </c>
      <c r="Z1960" s="3" t="n">
        <v>88.07903</v>
      </c>
      <c r="AA1960" s="3" t="n">
        <v>59.09325</v>
      </c>
      <c r="AB1960" s="3" t="n">
        <v>81.25787</v>
      </c>
      <c r="AC1960" s="3" t="n">
        <v>92.49266</v>
      </c>
      <c r="AD1960" s="3" t="n">
        <v>97.21344999999999</v>
      </c>
      <c r="AE1960" s="3" t="n">
        <v>100.199869</v>
      </c>
      <c r="AF1960" s="3" t="n">
        <v>105.240518</v>
      </c>
      <c r="AG1960" s="3" t="n">
        <v>108.420426</v>
      </c>
      <c r="AH1960" s="3" t="n">
        <v>113.393882</v>
      </c>
      <c r="AI1960" s="3" t="n">
        <v>118.102118</v>
      </c>
      <c r="AJ1960" s="3" t="n">
        <v>122.848437</v>
      </c>
      <c r="AK1960" s="3" t="n">
        <v>127.744238</v>
      </c>
      <c r="AL1960" s="3" t="n">
        <v>132.870293</v>
      </c>
      <c r="AM1960" s="3" t="n"/>
      <c r="AN1960" s="3" t="n"/>
      <c r="AO1960" s="3" t="n"/>
      <c r="AP1960" s="3" t="n"/>
      <c r="AQ1960" s="3" t="n"/>
      <c r="AR1960" s="3" t="n"/>
      <c r="AS1960" s="3" t="n"/>
      <c r="AT1960" s="3" t="n"/>
      <c r="AU1960" s="3" t="n"/>
    </row>
    <row r="1961">
      <c r="A1961" s="3" t="n">
        <v>2031</v>
      </c>
      <c r="B1961" s="3" t="inlineStr">
        <is>
          <t>MDV</t>
        </is>
      </c>
      <c r="C1961" s="3" t="inlineStr">
        <is>
          <t>IMF.RES:WEO</t>
        </is>
      </c>
      <c r="D1961" s="3" t="inlineStr">
        <is>
          <t>MDV.NGDP_RPCH.A</t>
        </is>
      </c>
      <c r="E1961" s="3" t="inlineStr">
        <is>
          <t>Maldives</t>
        </is>
      </c>
      <c r="F1961" s="3" t="inlineStr">
        <is>
          <t>Gross domestic product (GDP), Constant prices, Percent change</t>
        </is>
      </c>
      <c r="G1961" s="3" t="n">
        <v>4.737227</v>
      </c>
      <c r="H1961" s="3" t="n">
        <v>1.45008</v>
      </c>
      <c r="I1961" s="3" t="n">
        <v>6.097943</v>
      </c>
      <c r="J1961" s="3" t="n">
        <v>14.153013</v>
      </c>
      <c r="K1961" s="3" t="n">
        <v>6.031319</v>
      </c>
      <c r="L1961" s="3" t="n">
        <v>-11.223166</v>
      </c>
      <c r="M1961" s="3" t="n">
        <v>23.605798</v>
      </c>
      <c r="N1961" s="3" t="n">
        <v>7.123427</v>
      </c>
      <c r="O1961" s="3" t="n">
        <v>8.979817000000001</v>
      </c>
      <c r="P1961" s="3" t="n">
        <v>-8.157762999999999</v>
      </c>
      <c r="Q1961" s="3" t="n">
        <v>6.835471</v>
      </c>
      <c r="R1961" s="3" t="n">
        <v>8.572699</v>
      </c>
      <c r="S1961" s="3" t="n">
        <v>2.363748</v>
      </c>
      <c r="T1961" s="3" t="n">
        <v>6.963247</v>
      </c>
      <c r="U1961" s="3" t="n">
        <v>7.801095</v>
      </c>
      <c r="V1961" s="3" t="n">
        <v>3.868135</v>
      </c>
      <c r="W1961" s="3" t="n">
        <v>6.375291</v>
      </c>
      <c r="X1961" s="3" t="n">
        <v>7.07443</v>
      </c>
      <c r="Y1961" s="3" t="n">
        <v>8.568959</v>
      </c>
      <c r="Z1961" s="3" t="n">
        <v>6.923053</v>
      </c>
      <c r="AA1961" s="3" t="n">
        <v>-32.908832</v>
      </c>
      <c r="AB1961" s="3" t="n">
        <v>37.507871</v>
      </c>
      <c r="AC1961" s="3" t="n">
        <v>13.826095</v>
      </c>
      <c r="AD1961" s="3" t="n">
        <v>5.103962</v>
      </c>
      <c r="AE1961" s="3" t="n">
        <v>3.072022</v>
      </c>
      <c r="AF1961" s="3" t="n">
        <v>5.030594</v>
      </c>
      <c r="AG1961" s="3" t="n">
        <v>3.021563</v>
      </c>
      <c r="AH1961" s="3" t="n">
        <v>4.587194</v>
      </c>
      <c r="AI1961" s="3" t="n">
        <v>4.152108</v>
      </c>
      <c r="AJ1961" s="3" t="n">
        <v>4.018827</v>
      </c>
      <c r="AK1961" s="3" t="n">
        <v>3.985237</v>
      </c>
      <c r="AL1961" s="3" t="n">
        <v>4.012748</v>
      </c>
      <c r="AM1961" s="3" t="n"/>
      <c r="AN1961" s="3" t="n"/>
      <c r="AO1961" s="3" t="n"/>
      <c r="AP1961" s="3" t="n"/>
      <c r="AQ1961" s="3" t="n"/>
      <c r="AR1961" s="3" t="n"/>
      <c r="AS1961" s="3" t="n"/>
      <c r="AT1961" s="3" t="n"/>
      <c r="AU1961" s="3" t="n"/>
    </row>
    <row r="1962">
      <c r="A1962" s="3" t="n">
        <v>2031</v>
      </c>
      <c r="B1962" s="3" t="inlineStr">
        <is>
          <t>MDV</t>
        </is>
      </c>
      <c r="C1962" s="3" t="inlineStr">
        <is>
          <t>IMF.RES:WEO</t>
        </is>
      </c>
      <c r="D1962" s="3" t="inlineStr">
        <is>
          <t>MDV.NGDPD.A</t>
        </is>
      </c>
      <c r="E1962" s="3" t="inlineStr">
        <is>
          <t>Maldives</t>
        </is>
      </c>
      <c r="F1962" s="3" t="inlineStr">
        <is>
          <t>Gross domestic product (GDP), Current prices, US dollar</t>
        </is>
      </c>
      <c r="G1962" s="3" t="n">
        <v>0.801458</v>
      </c>
      <c r="H1962" s="3" t="n">
        <v>0.767335</v>
      </c>
      <c r="I1962" s="3" t="n">
        <v>0.828241</v>
      </c>
      <c r="J1962" s="3" t="n">
        <v>1.052121</v>
      </c>
      <c r="K1962" s="3" t="n">
        <v>1.22683</v>
      </c>
      <c r="L1962" s="3" t="n">
        <v>1.163362</v>
      </c>
      <c r="M1962" s="3" t="n">
        <v>1.5752</v>
      </c>
      <c r="N1962" s="3" t="n">
        <v>1.868383</v>
      </c>
      <c r="O1962" s="3" t="n">
        <v>2.271646</v>
      </c>
      <c r="P1962" s="3" t="n">
        <v>2.345295</v>
      </c>
      <c r="Q1962" s="3" t="n">
        <v>2.588176</v>
      </c>
      <c r="R1962" s="3" t="n">
        <v>2.628883</v>
      </c>
      <c r="S1962" s="3" t="n">
        <v>2.885194</v>
      </c>
      <c r="T1962" s="3" t="n">
        <v>3.285753</v>
      </c>
      <c r="U1962" s="3" t="n">
        <v>3.69025</v>
      </c>
      <c r="V1962" s="3" t="n">
        <v>4.117803</v>
      </c>
      <c r="W1962" s="3" t="n">
        <v>4.39804</v>
      </c>
      <c r="X1962" s="3" t="n">
        <v>4.809228</v>
      </c>
      <c r="Y1962" s="3" t="n">
        <v>5.397624</v>
      </c>
      <c r="Z1962" s="3" t="n">
        <v>5.715706</v>
      </c>
      <c r="AA1962" s="3" t="n">
        <v>3.705683</v>
      </c>
      <c r="AB1962" s="3" t="n">
        <v>5.239743</v>
      </c>
      <c r="AC1962" s="3" t="n">
        <v>6.167753</v>
      </c>
      <c r="AD1962" s="3" t="n">
        <v>6.611032</v>
      </c>
      <c r="AE1962" s="3" t="n">
        <v>7.052044</v>
      </c>
      <c r="AF1962" s="3" t="n">
        <v>7.665147</v>
      </c>
      <c r="AG1962" s="3" t="n">
        <v>8.130273000000001</v>
      </c>
      <c r="AH1962" s="3" t="n">
        <v>8.673289</v>
      </c>
      <c r="AI1962" s="3" t="n">
        <v>9.214081999999999</v>
      </c>
      <c r="AJ1962" s="3" t="n">
        <v>9.776066999999999</v>
      </c>
      <c r="AK1962" s="3" t="n">
        <v>10.36898</v>
      </c>
      <c r="AL1962" s="3" t="n">
        <v>11.033118</v>
      </c>
      <c r="AM1962" s="3" t="n"/>
      <c r="AN1962" s="3" t="n"/>
      <c r="AO1962" s="3" t="n"/>
      <c r="AP1962" s="3" t="n"/>
      <c r="AQ1962" s="3" t="n"/>
      <c r="AR1962" s="3" t="n"/>
      <c r="AS1962" s="3" t="n"/>
      <c r="AT1962" s="3" t="n"/>
      <c r="AU1962" s="3" t="n"/>
    </row>
    <row r="1963">
      <c r="A1963" s="3" t="n">
        <v>2031</v>
      </c>
      <c r="B1963" s="3" t="inlineStr">
        <is>
          <t>MDV</t>
        </is>
      </c>
      <c r="C1963" s="3" t="inlineStr">
        <is>
          <t>IMF.RES:WEO</t>
        </is>
      </c>
      <c r="D1963" s="3" t="inlineStr">
        <is>
          <t>MDV.NGDPPC.A</t>
        </is>
      </c>
      <c r="E1963" s="3" t="inlineStr">
        <is>
          <t>Maldives</t>
        </is>
      </c>
      <c r="F1963" s="3" t="inlineStr">
        <is>
          <t>Gross domestic product (GDP), Current prices, Per capita, Domestic currency</t>
        </is>
      </c>
      <c r="G1963" s="3" t="n">
        <v>34924.571355</v>
      </c>
      <c r="H1963" s="3" t="n">
        <v>35589.77449</v>
      </c>
      <c r="I1963" s="3" t="n">
        <v>37788.348188</v>
      </c>
      <c r="J1963" s="3" t="n">
        <v>47242.215895</v>
      </c>
      <c r="K1963" s="3" t="n">
        <v>54246.989186</v>
      </c>
      <c r="L1963" s="3" t="n">
        <v>50693.589562</v>
      </c>
      <c r="M1963" s="3" t="n">
        <v>67440.54549</v>
      </c>
      <c r="N1963" s="3" t="n">
        <v>78444.539412</v>
      </c>
      <c r="O1963" s="3" t="n">
        <v>93925.773103</v>
      </c>
      <c r="P1963" s="3" t="n">
        <v>95370.30543199999</v>
      </c>
      <c r="Q1963" s="3" t="n">
        <v>103509.72721</v>
      </c>
      <c r="R1963" s="3" t="n">
        <v>124486.677892</v>
      </c>
      <c r="S1963" s="3" t="n">
        <v>134019.978798</v>
      </c>
      <c r="T1963" s="3" t="n">
        <v>150497.678694</v>
      </c>
      <c r="U1963" s="3" t="n">
        <v>166234.928664</v>
      </c>
      <c r="V1963" s="3" t="n">
        <v>182433.144531</v>
      </c>
      <c r="W1963" s="3" t="n">
        <v>191632.418663</v>
      </c>
      <c r="X1963" s="3" t="n">
        <v>206089.936281</v>
      </c>
      <c r="Y1963" s="3" t="n">
        <v>227486.515003</v>
      </c>
      <c r="Z1963" s="3" t="n">
        <v>236916.101486</v>
      </c>
      <c r="AA1963" s="3" t="n">
        <v>151065.240689</v>
      </c>
      <c r="AB1963" s="3" t="n">
        <v>210076.725048</v>
      </c>
      <c r="AC1963" s="3" t="n">
        <v>243201.686585</v>
      </c>
      <c r="AD1963" s="3" t="n">
        <v>256377.823808</v>
      </c>
      <c r="AE1963" s="3" t="n">
        <v>268966.295991</v>
      </c>
      <c r="AF1963" s="3" t="n">
        <v>287524.560066</v>
      </c>
      <c r="AG1963" s="3" t="n">
        <v>299937.834498</v>
      </c>
      <c r="AH1963" s="3" t="n">
        <v>314689.002035</v>
      </c>
      <c r="AI1963" s="3" t="n">
        <v>328792.142268</v>
      </c>
      <c r="AJ1963" s="3" t="n">
        <v>343087.72782</v>
      </c>
      <c r="AK1963" s="3" t="n">
        <v>357889.263754</v>
      </c>
      <c r="AL1963" s="3" t="n">
        <v>374526.459894</v>
      </c>
      <c r="AM1963" s="3" t="n"/>
      <c r="AN1963" s="3" t="n"/>
      <c r="AO1963" s="3" t="n"/>
      <c r="AP1963" s="3" t="n"/>
      <c r="AQ1963" s="3" t="n"/>
      <c r="AR1963" s="3" t="n"/>
      <c r="AS1963" s="3" t="n"/>
      <c r="AT1963" s="3" t="n"/>
      <c r="AU1963" s="3" t="n"/>
    </row>
    <row r="1964">
      <c r="A1964" s="3" t="n">
        <v>2031</v>
      </c>
      <c r="B1964" s="3" t="inlineStr">
        <is>
          <t>MDV</t>
        </is>
      </c>
      <c r="C1964" s="3" t="inlineStr">
        <is>
          <t>IMF.RES:WEO</t>
        </is>
      </c>
      <c r="D1964" s="3" t="inlineStr">
        <is>
          <t>MDV.NGDPRPC.A</t>
        </is>
      </c>
      <c r="E1964" s="3" t="inlineStr">
        <is>
          <t>Maldives</t>
        </is>
      </c>
      <c r="F1964" s="3" t="inlineStr">
        <is>
          <t>Gross domestic product (GDP), Constant prices, Per capita, Domestic currency</t>
        </is>
      </c>
      <c r="G1964" s="3" t="n">
        <v>113143.088587</v>
      </c>
      <c r="H1964" s="3" t="n">
        <v>112340.634922</v>
      </c>
      <c r="I1964" s="3" t="n">
        <v>117247.841586</v>
      </c>
      <c r="J1964" s="3" t="n">
        <v>131721.157515</v>
      </c>
      <c r="K1964" s="3" t="n">
        <v>137536.053478</v>
      </c>
      <c r="L1964" s="3" t="n">
        <v>120326.923682</v>
      </c>
      <c r="M1964" s="3" t="n">
        <v>146133.206143</v>
      </c>
      <c r="N1964" s="3" t="n">
        <v>153512.877486</v>
      </c>
      <c r="O1964" s="3" t="n">
        <v>164754.873993</v>
      </c>
      <c r="P1964" s="3" t="n">
        <v>148816.934356</v>
      </c>
      <c r="Q1964" s="3" t="n">
        <v>156364.965957</v>
      </c>
      <c r="R1964" s="3" t="n">
        <v>166967.413301</v>
      </c>
      <c r="S1964" s="3" t="n">
        <v>168092.960649</v>
      </c>
      <c r="T1964" s="3" t="n">
        <v>176829.912858</v>
      </c>
      <c r="U1964" s="3" t="n">
        <v>187478.096074</v>
      </c>
      <c r="V1964" s="3" t="n">
        <v>191515.751155</v>
      </c>
      <c r="W1964" s="3" t="n">
        <v>200362.706152</v>
      </c>
      <c r="X1964" s="3" t="n">
        <v>210996.032648</v>
      </c>
      <c r="Y1964" s="3" t="n">
        <v>225295.021582</v>
      </c>
      <c r="Z1964" s="3" t="n">
        <v>236916.099674</v>
      </c>
      <c r="AA1964" s="3" t="n">
        <v>156326.123012</v>
      </c>
      <c r="AB1964" s="3" t="n">
        <v>211412.540777</v>
      </c>
      <c r="AC1964" s="3" t="n">
        <v>236670.545269</v>
      </c>
      <c r="AD1964" s="3" t="n">
        <v>244644.202323</v>
      </c>
      <c r="AE1964" s="3" t="n">
        <v>247997.530092</v>
      </c>
      <c r="AF1964" s="3" t="n">
        <v>256173.857465</v>
      </c>
      <c r="AG1964" s="3" t="n">
        <v>259558.092101</v>
      </c>
      <c r="AH1964" s="3" t="n">
        <v>266983.680037</v>
      </c>
      <c r="AI1964" s="3" t="n">
        <v>273479.267462</v>
      </c>
      <c r="AJ1964" s="3" t="n">
        <v>279774.410928</v>
      </c>
      <c r="AK1964" s="3" t="n">
        <v>286122.034713</v>
      </c>
      <c r="AL1964" s="3" t="n">
        <v>292691.092953</v>
      </c>
      <c r="AM1964" s="3" t="n"/>
      <c r="AN1964" s="3" t="n"/>
      <c r="AO1964" s="3" t="n"/>
      <c r="AP1964" s="3" t="n"/>
      <c r="AQ1964" s="3" t="n"/>
      <c r="AR1964" s="3" t="n"/>
      <c r="AS1964" s="3" t="n"/>
      <c r="AT1964" s="3" t="n"/>
      <c r="AU1964" s="3" t="n"/>
    </row>
    <row r="1965">
      <c r="A1965" s="3" t="n">
        <v>2031</v>
      </c>
      <c r="B1965" s="3" t="inlineStr">
        <is>
          <t>MDV</t>
        </is>
      </c>
      <c r="C1965" s="3" t="inlineStr">
        <is>
          <t>IMF.RES:WEO</t>
        </is>
      </c>
      <c r="D1965" s="3" t="inlineStr">
        <is>
          <t>MDV.PCPI.A</t>
        </is>
      </c>
      <c r="E1965" s="3" t="inlineStr">
        <is>
          <t>Maldives</t>
        </is>
      </c>
      <c r="F1965" s="3" t="inlineStr">
        <is>
          <t>All Items, Consumer price index (CPI), Period average</t>
        </is>
      </c>
      <c r="G1965" s="3" t="n">
        <v>47.689652</v>
      </c>
      <c r="H1965" s="3" t="n">
        <v>48.010792</v>
      </c>
      <c r="I1965" s="3" t="n">
        <v>48.455741</v>
      </c>
      <c r="J1965" s="3" t="n">
        <v>47.097658</v>
      </c>
      <c r="K1965" s="3" t="n">
        <v>50.083285</v>
      </c>
      <c r="L1965" s="3" t="n">
        <v>51.315182</v>
      </c>
      <c r="M1965" s="3" t="n">
        <v>53.111213</v>
      </c>
      <c r="N1965" s="3" t="n">
        <v>56.72</v>
      </c>
      <c r="O1965" s="3" t="n">
        <v>63.549915</v>
      </c>
      <c r="P1965" s="3" t="n">
        <v>66.428839</v>
      </c>
      <c r="Q1965" s="3" t="n">
        <v>70.51413599999999</v>
      </c>
      <c r="R1965" s="3" t="n">
        <v>78.463487</v>
      </c>
      <c r="S1965" s="3" t="n">
        <v>87.008805</v>
      </c>
      <c r="T1965" s="3" t="n">
        <v>90.486718</v>
      </c>
      <c r="U1965" s="3" t="n">
        <v>92.70228400000001</v>
      </c>
      <c r="V1965" s="3" t="n">
        <v>93.973524</v>
      </c>
      <c r="W1965" s="3" t="n">
        <v>94.72662699999999</v>
      </c>
      <c r="X1965" s="3" t="n">
        <v>96.878801</v>
      </c>
      <c r="Y1965" s="3" t="n">
        <v>98.202943</v>
      </c>
      <c r="Z1965" s="3" t="n">
        <v>99.50509099999999</v>
      </c>
      <c r="AA1965" s="3" t="n">
        <v>97.91907500000001</v>
      </c>
      <c r="AB1965" s="3" t="n">
        <v>98.127696</v>
      </c>
      <c r="AC1965" s="3" t="n">
        <v>100.679772</v>
      </c>
      <c r="AD1965" s="3" t="n">
        <v>103.302759</v>
      </c>
      <c r="AE1965" s="3" t="n">
        <v>104.795613</v>
      </c>
      <c r="AF1965" s="3" t="n">
        <v>108.450794</v>
      </c>
      <c r="AG1965" s="3" t="n">
        <v>111.657854</v>
      </c>
      <c r="AH1965" s="3" t="n">
        <v>113.891011</v>
      </c>
      <c r="AI1965" s="3" t="n">
        <v>116.168831</v>
      </c>
      <c r="AJ1965" s="3" t="n">
        <v>118.492208</v>
      </c>
      <c r="AK1965" s="3" t="n">
        <v>120.862052</v>
      </c>
      <c r="AL1965" s="3" t="n">
        <v>123.641879</v>
      </c>
      <c r="AM1965" s="3" t="n"/>
      <c r="AN1965" s="3" t="n"/>
      <c r="AO1965" s="3" t="n"/>
      <c r="AP1965" s="3" t="n"/>
      <c r="AQ1965" s="3" t="n"/>
      <c r="AR1965" s="3" t="n"/>
      <c r="AS1965" s="3" t="n"/>
      <c r="AT1965" s="3" t="n"/>
      <c r="AU1965" s="3" t="n"/>
    </row>
    <row r="1966">
      <c r="A1966" s="3" t="n">
        <v>2031</v>
      </c>
      <c r="B1966" s="3" t="inlineStr">
        <is>
          <t>MDV</t>
        </is>
      </c>
      <c r="C1966" s="3" t="inlineStr">
        <is>
          <t>IMF.RES:WEO</t>
        </is>
      </c>
      <c r="D1966" s="3" t="inlineStr">
        <is>
          <t>MDV.PCPIPCH.A</t>
        </is>
      </c>
      <c r="E1966" s="3" t="inlineStr">
        <is>
          <t>Maldives</t>
        </is>
      </c>
      <c r="F1966" s="3" t="inlineStr">
        <is>
          <t>All Items, Consumer price index (CPI), Period average, percent change</t>
        </is>
      </c>
      <c r="G1966" s="3" t="n">
        <v>-1.177858</v>
      </c>
      <c r="H1966" s="3" t="n">
        <v>0.673396</v>
      </c>
      <c r="I1966" s="3" t="n">
        <v>0.926769</v>
      </c>
      <c r="J1966" s="3" t="n">
        <v>-2.802729</v>
      </c>
      <c r="K1966" s="3" t="n">
        <v>6.339226</v>
      </c>
      <c r="L1966" s="3" t="n">
        <v>2.459696</v>
      </c>
      <c r="M1966" s="3" t="n">
        <v>3.5</v>
      </c>
      <c r="N1966" s="3" t="n">
        <v>6.794774</v>
      </c>
      <c r="O1966" s="3" t="n">
        <v>12.041458</v>
      </c>
      <c r="P1966" s="3" t="n">
        <v>4.530177</v>
      </c>
      <c r="Q1966" s="3" t="n">
        <v>6.149885</v>
      </c>
      <c r="R1966" s="3" t="n">
        <v>11.273415</v>
      </c>
      <c r="S1966" s="3" t="n">
        <v>10.890822</v>
      </c>
      <c r="T1966" s="3" t="n">
        <v>3.997196</v>
      </c>
      <c r="U1966" s="3" t="n">
        <v>2.448499</v>
      </c>
      <c r="V1966" s="3" t="n">
        <v>1.371315</v>
      </c>
      <c r="W1966" s="3" t="n">
        <v>0.8014</v>
      </c>
      <c r="X1966" s="3" t="n">
        <v>2.271984</v>
      </c>
      <c r="Y1966" s="3" t="n">
        <v>1.366803</v>
      </c>
      <c r="Z1966" s="3" t="n">
        <v>1.325977</v>
      </c>
      <c r="AA1966" s="3" t="n">
        <v>-1.593904</v>
      </c>
      <c r="AB1966" s="3" t="n">
        <v>0.213054</v>
      </c>
      <c r="AC1966" s="3" t="n">
        <v>2.60077</v>
      </c>
      <c r="AD1966" s="3" t="n">
        <v>2.605278</v>
      </c>
      <c r="AE1966" s="3" t="n">
        <v>1.445125</v>
      </c>
      <c r="AF1966" s="3" t="n">
        <v>3.487914</v>
      </c>
      <c r="AG1966" s="3" t="n">
        <v>2.957156</v>
      </c>
      <c r="AH1966" s="3" t="n">
        <v>2</v>
      </c>
      <c r="AI1966" s="3" t="n">
        <v>2</v>
      </c>
      <c r="AJ1966" s="3" t="n">
        <v>2</v>
      </c>
      <c r="AK1966" s="3" t="n">
        <v>2</v>
      </c>
      <c r="AL1966" s="3" t="n">
        <v>2.3</v>
      </c>
      <c r="AM1966" s="3" t="n"/>
      <c r="AN1966" s="3" t="n"/>
      <c r="AO1966" s="3" t="n"/>
      <c r="AP1966" s="3" t="n"/>
      <c r="AQ1966" s="3" t="n"/>
      <c r="AR1966" s="3" t="n"/>
      <c r="AS1966" s="3" t="n"/>
      <c r="AT1966" s="3" t="n"/>
      <c r="AU1966" s="3" t="n"/>
    </row>
    <row r="1967">
      <c r="A1967" s="3" t="n">
        <v>2031</v>
      </c>
      <c r="B1967" s="3" t="inlineStr">
        <is>
          <t>MDV</t>
        </is>
      </c>
      <c r="C1967" s="3" t="inlineStr">
        <is>
          <t>IMF.RES:WEO</t>
        </is>
      </c>
      <c r="D1967" s="3" t="inlineStr">
        <is>
          <t>MDV.PPPPC.A</t>
        </is>
      </c>
      <c r="E1967" s="3" t="inlineStr">
        <is>
          <t>Maldives</t>
        </is>
      </c>
      <c r="F1967" s="3" t="inlineStr">
        <is>
          <t>Gross domestic product (GDP), Per capita, purchasing power parity (PPP) international dollar, ICP benchmarks 2017-2021</t>
        </is>
      </c>
      <c r="G1967" s="3" t="n">
        <v>9824.214249000001</v>
      </c>
      <c r="H1967" s="3" t="n">
        <v>9974.172345000001</v>
      </c>
      <c r="I1967" s="3" t="n">
        <v>10571.632019</v>
      </c>
      <c r="J1967" s="3" t="n">
        <v>12111.086147</v>
      </c>
      <c r="K1967" s="3" t="n">
        <v>12985.764882</v>
      </c>
      <c r="L1967" s="3" t="n">
        <v>11717.185895</v>
      </c>
      <c r="M1967" s="3" t="n">
        <v>14668.989079</v>
      </c>
      <c r="N1967" s="3" t="n">
        <v>15827.259668</v>
      </c>
      <c r="O1967" s="3" t="n">
        <v>17313.541808</v>
      </c>
      <c r="P1967" s="3" t="n">
        <v>15735.127012</v>
      </c>
      <c r="Q1967" s="3" t="n">
        <v>16734.157046</v>
      </c>
      <c r="R1967" s="3" t="n">
        <v>18237.507829</v>
      </c>
      <c r="S1967" s="3" t="n">
        <v>18702.308155</v>
      </c>
      <c r="T1967" s="3" t="n">
        <v>20009.255482</v>
      </c>
      <c r="U1967" s="3" t="n">
        <v>21583.644752</v>
      </c>
      <c r="V1967" s="3" t="n">
        <v>22253.106397</v>
      </c>
      <c r="W1967" s="3" t="n">
        <v>23502.297535</v>
      </c>
      <c r="X1967" s="3" t="n">
        <v>25192.811119</v>
      </c>
      <c r="Y1967" s="3" t="n">
        <v>28335.784955</v>
      </c>
      <c r="Z1967" s="3" t="n">
        <v>30275.110447</v>
      </c>
      <c r="AA1967" s="3" t="n">
        <v>17833.049949</v>
      </c>
      <c r="AB1967" s="3" t="n">
        <v>25585.821546</v>
      </c>
      <c r="AC1967" s="3" t="n">
        <v>30679.808148</v>
      </c>
      <c r="AD1967" s="3" t="n">
        <v>32886.848101</v>
      </c>
      <c r="AE1967" s="3" t="n">
        <v>34165.248263</v>
      </c>
      <c r="AF1967" s="3" t="n">
        <v>36292.797548</v>
      </c>
      <c r="AG1967" s="3" t="n">
        <v>37825.720742</v>
      </c>
      <c r="AH1967" s="3" t="n">
        <v>39762.239333</v>
      </c>
      <c r="AI1967" s="3" t="n">
        <v>41398.168306</v>
      </c>
      <c r="AJ1967" s="3" t="n">
        <v>43104.149822</v>
      </c>
      <c r="AK1967" s="3" t="n">
        <v>44892.133128</v>
      </c>
      <c r="AL1967" s="3" t="n">
        <v>46751.85415</v>
      </c>
      <c r="AM1967" s="3" t="n"/>
      <c r="AN1967" s="3" t="n"/>
      <c r="AO1967" s="3" t="n"/>
      <c r="AP1967" s="3" t="n"/>
      <c r="AQ1967" s="3" t="n"/>
      <c r="AR1967" s="3" t="n"/>
      <c r="AS1967" s="3" t="n"/>
      <c r="AT1967" s="3" t="n"/>
      <c r="AU1967" s="3" t="n"/>
    </row>
    <row r="1968">
      <c r="A1968" s="3" t="n">
        <v>2025</v>
      </c>
      <c r="B1968" s="3" t="inlineStr">
        <is>
          <t>MDV</t>
        </is>
      </c>
      <c r="C1968" s="3" t="inlineStr">
        <is>
          <t>IMF.STA:ER</t>
        </is>
      </c>
      <c r="D1968" s="3" t="inlineStr">
        <is>
          <t>MDV.XDC_USD.PA_RT.A</t>
        </is>
      </c>
      <c r="E1968" s="3" t="inlineStr">
        <is>
          <t>Maldives</t>
        </is>
      </c>
      <c r="F1968" s="3" t="inlineStr">
        <is>
          <t>Domestic currency per US Dollar</t>
        </is>
      </c>
      <c r="G1968" s="3" t="n">
        <v>11.77</v>
      </c>
      <c r="H1968" s="3" t="n">
        <v>12.2420833333333</v>
      </c>
      <c r="I1968" s="3" t="n">
        <v>12.8</v>
      </c>
      <c r="J1968" s="3" t="n">
        <v>12.8</v>
      </c>
      <c r="K1968" s="3" t="n">
        <v>12.8</v>
      </c>
      <c r="L1968" s="3" t="n">
        <v>12.8</v>
      </c>
      <c r="M1968" s="3" t="n">
        <v>12.8</v>
      </c>
      <c r="N1968" s="3" t="n">
        <v>12.8</v>
      </c>
      <c r="O1968" s="3" t="n">
        <v>12.8</v>
      </c>
      <c r="P1968" s="3" t="n">
        <v>12.8</v>
      </c>
      <c r="Q1968" s="3" t="n">
        <v>12.8</v>
      </c>
      <c r="R1968" s="3" t="n">
        <v>14.6020084036964</v>
      </c>
      <c r="S1968" s="3" t="n">
        <v>15.3648353163596</v>
      </c>
      <c r="T1968" s="3" t="n">
        <v>15.366710030284</v>
      </c>
      <c r="U1968" s="3" t="n">
        <v>15.3803935180893</v>
      </c>
      <c r="V1968" s="3" t="n">
        <v>15.3663312211981</v>
      </c>
      <c r="W1968" s="3" t="n">
        <v>15.3684076818157</v>
      </c>
      <c r="X1968" s="3" t="n">
        <v>15.3869685099846</v>
      </c>
      <c r="Y1968" s="3" t="n">
        <v>15.3908372695852</v>
      </c>
      <c r="Z1968" s="3" t="n">
        <v>15.382041922683</v>
      </c>
      <c r="AA1968" s="3" t="n">
        <v>15.3812695278704</v>
      </c>
      <c r="AB1968" s="3" t="n">
        <v>15.3726984126984</v>
      </c>
      <c r="AC1968" s="3" t="n">
        <v>15.3866249999999</v>
      </c>
      <c r="AD1968" s="3" t="n">
        <v>15.3867943548386</v>
      </c>
      <c r="AE1968" s="3" t="n">
        <v>15.3891963292547</v>
      </c>
      <c r="AF1968" s="3" t="n">
        <v>15.415677547363</v>
      </c>
      <c r="AG1968" s="3" t="n"/>
      <c r="AH1968" s="3" t="n"/>
      <c r="AI1968" s="3" t="n"/>
      <c r="AJ1968" s="3" t="n"/>
      <c r="AK1968" s="3" t="n"/>
      <c r="AL1968" s="3" t="n"/>
      <c r="AM1968" s="3" t="n"/>
      <c r="AN1968" s="3" t="n"/>
      <c r="AO1968" s="3" t="n"/>
      <c r="AP1968" s="3" t="n"/>
      <c r="AQ1968" s="3" t="n"/>
      <c r="AR1968" s="3" t="n"/>
      <c r="AS1968" s="3" t="n"/>
      <c r="AT1968" s="3" t="n"/>
      <c r="AU1968" s="3" t="n"/>
    </row>
    <row r="1969">
      <c r="A1969" s="3" t="n">
        <v>2031</v>
      </c>
      <c r="B1969" s="3" t="inlineStr">
        <is>
          <t>MEX</t>
        </is>
      </c>
      <c r="C1969" s="3" t="inlineStr">
        <is>
          <t>IMF.RES:WEO</t>
        </is>
      </c>
      <c r="D1969" s="3" t="inlineStr">
        <is>
          <t>MEX.BCA.A</t>
        </is>
      </c>
      <c r="E1969" s="3" t="inlineStr">
        <is>
          <t>Mexico</t>
        </is>
      </c>
      <c r="F1969" s="3" t="inlineStr">
        <is>
          <t>Current account balance (credit less debit), US dollar</t>
        </is>
      </c>
      <c r="G1969" s="3" t="n">
        <v>-18.7519</v>
      </c>
      <c r="H1969" s="3" t="n">
        <v>-17.4907</v>
      </c>
      <c r="I1969" s="3" t="n">
        <v>-12.3977</v>
      </c>
      <c r="J1969" s="3" t="n">
        <v>-4.0325</v>
      </c>
      <c r="K1969" s="3" t="n">
        <v>-3.809</v>
      </c>
      <c r="L1969" s="3" t="n">
        <v>-5.7213</v>
      </c>
      <c r="M1969" s="3" t="n">
        <v>-3.2299</v>
      </c>
      <c r="N1969" s="3" t="n">
        <v>-9.311299999999999</v>
      </c>
      <c r="O1969" s="3" t="n">
        <v>-16.3407</v>
      </c>
      <c r="P1969" s="3" t="n">
        <v>-7.0846</v>
      </c>
      <c r="Q1969" s="3" t="n">
        <v>-3.7541</v>
      </c>
      <c r="R1969" s="3" t="n">
        <v>-10.5436</v>
      </c>
      <c r="S1969" s="3" t="n">
        <v>-17.6955</v>
      </c>
      <c r="T1969" s="3" t="n">
        <v>-31.7783</v>
      </c>
      <c r="U1969" s="3" t="n">
        <v>-24.8526</v>
      </c>
      <c r="V1969" s="3" t="n">
        <v>-31.5355</v>
      </c>
      <c r="W1969" s="3" t="n">
        <v>-25.2823</v>
      </c>
      <c r="X1969" s="3" t="n">
        <v>-21.4027</v>
      </c>
      <c r="Y1969" s="3" t="n">
        <v>-25.9322</v>
      </c>
      <c r="Z1969" s="3" t="n">
        <v>-3.8713</v>
      </c>
      <c r="AA1969" s="3" t="n">
        <v>26.8732</v>
      </c>
      <c r="AB1969" s="3" t="n">
        <v>-4.4859</v>
      </c>
      <c r="AC1969" s="3" t="n">
        <v>-18.6925</v>
      </c>
      <c r="AD1969" s="3" t="n">
        <v>-12.5441</v>
      </c>
      <c r="AE1969" s="3" t="n">
        <v>-16.6959</v>
      </c>
      <c r="AF1969" s="3" t="n">
        <v>-8.199400000000001</v>
      </c>
      <c r="AG1969" s="3" t="n">
        <v>-7.638415</v>
      </c>
      <c r="AH1969" s="3" t="n">
        <v>-11.780137</v>
      </c>
      <c r="AI1969" s="3" t="n">
        <v>-14.39771</v>
      </c>
      <c r="AJ1969" s="3" t="n">
        <v>-15.863667</v>
      </c>
      <c r="AK1969" s="3" t="n">
        <v>-17.425485</v>
      </c>
      <c r="AL1969" s="3" t="n">
        <v>-17.918834</v>
      </c>
      <c r="AM1969" s="3" t="n"/>
      <c r="AN1969" s="3" t="n"/>
      <c r="AO1969" s="3" t="n"/>
      <c r="AP1969" s="3" t="n"/>
      <c r="AQ1969" s="3" t="n"/>
      <c r="AR1969" s="3" t="n"/>
      <c r="AS1969" s="3" t="n"/>
      <c r="AT1969" s="3" t="n"/>
      <c r="AU1969" s="3" t="n"/>
    </row>
    <row r="1970">
      <c r="A1970" s="3" t="n">
        <v>2031</v>
      </c>
      <c r="B1970" s="3" t="inlineStr">
        <is>
          <t>MEX</t>
        </is>
      </c>
      <c r="C1970" s="3" t="inlineStr">
        <is>
          <t>IMF.RES:WEO</t>
        </is>
      </c>
      <c r="D1970" s="3" t="inlineStr">
        <is>
          <t>MEX.BCA_NGDPD.A</t>
        </is>
      </c>
      <c r="E1970" s="3" t="inlineStr">
        <is>
          <t>Mexico</t>
        </is>
      </c>
      <c r="F1970" s="3" t="inlineStr">
        <is>
          <t>Current account balance (credit less debit), Percent of GDP</t>
        </is>
      </c>
      <c r="G1970" s="3" t="n">
        <v>-2.527004</v>
      </c>
      <c r="H1970" s="3" t="n">
        <v>-2.197173</v>
      </c>
      <c r="I1970" s="3" t="n">
        <v>-1.529323</v>
      </c>
      <c r="J1970" s="3" t="n">
        <v>-0.526745</v>
      </c>
      <c r="K1970" s="3" t="n">
        <v>-0.464819</v>
      </c>
      <c r="L1970" s="3" t="n">
        <v>-0.623526</v>
      </c>
      <c r="M1970" s="3" t="n">
        <v>-0.316575</v>
      </c>
      <c r="N1970" s="3" t="n">
        <v>-0.844673</v>
      </c>
      <c r="O1970" s="3" t="n">
        <v>-1.406797</v>
      </c>
      <c r="P1970" s="3" t="n">
        <v>-0.750935</v>
      </c>
      <c r="Q1970" s="3" t="n">
        <v>-0.339607</v>
      </c>
      <c r="R1970" s="3" t="n">
        <v>-0.857891</v>
      </c>
      <c r="S1970" s="3" t="n">
        <v>-1.409876</v>
      </c>
      <c r="T1970" s="3" t="n">
        <v>-2.39396</v>
      </c>
      <c r="U1970" s="3" t="n">
        <v>-1.82136</v>
      </c>
      <c r="V1970" s="3" t="n">
        <v>-2.599163</v>
      </c>
      <c r="W1970" s="3" t="n">
        <v>-2.273111</v>
      </c>
      <c r="X1970" s="3" t="n">
        <v>-1.797456</v>
      </c>
      <c r="Y1970" s="3" t="n">
        <v>-2.064172</v>
      </c>
      <c r="Z1970" s="3" t="n">
        <v>-0.296855</v>
      </c>
      <c r="AA1970" s="3" t="n">
        <v>2.397114</v>
      </c>
      <c r="AB1970" s="3" t="n">
        <v>-0.340726</v>
      </c>
      <c r="AC1970" s="3" t="n">
        <v>-1.274256</v>
      </c>
      <c r="AD1970" s="3" t="n">
        <v>-0.699065</v>
      </c>
      <c r="AE1970" s="3" t="n">
        <v>-0.9121</v>
      </c>
      <c r="AF1970" s="3" t="n">
        <v>-0.447409</v>
      </c>
      <c r="AG1970" s="3" t="n">
        <v>-0.360157</v>
      </c>
      <c r="AH1970" s="3" t="n">
        <v>-0.530158</v>
      </c>
      <c r="AI1970" s="3" t="n">
        <v>-0.6186970000000001</v>
      </c>
      <c r="AJ1970" s="3" t="n">
        <v>-0.651286</v>
      </c>
      <c r="AK1970" s="3" t="n">
        <v>-0.68372</v>
      </c>
      <c r="AL1970" s="3" t="n">
        <v>-0.671818</v>
      </c>
      <c r="AM1970" s="3" t="n"/>
      <c r="AN1970" s="3" t="n"/>
      <c r="AO1970" s="3" t="n"/>
      <c r="AP1970" s="3" t="n"/>
      <c r="AQ1970" s="3" t="n"/>
      <c r="AR1970" s="3" t="n"/>
      <c r="AS1970" s="3" t="n"/>
      <c r="AT1970" s="3" t="n"/>
      <c r="AU1970" s="3" t="n"/>
    </row>
    <row r="1971">
      <c r="A1971" s="3" t="n">
        <v>2031</v>
      </c>
      <c r="B1971" s="3" t="inlineStr">
        <is>
          <t>MEX</t>
        </is>
      </c>
      <c r="C1971" s="3" t="inlineStr">
        <is>
          <t>IMF.RES:WEO</t>
        </is>
      </c>
      <c r="D1971" s="3" t="inlineStr">
        <is>
          <t>MEX.GGR_NGDP.A</t>
        </is>
      </c>
      <c r="E1971" s="3" t="inlineStr">
        <is>
          <t>Mexico</t>
        </is>
      </c>
      <c r="F1971" s="3" t="inlineStr">
        <is>
          <t>Revenue, General government, Percent of GDP</t>
        </is>
      </c>
      <c r="G1971" s="3" t="n">
        <v>16.701286</v>
      </c>
      <c r="H1971" s="3" t="n">
        <v>16.973732</v>
      </c>
      <c r="I1971" s="3" t="n">
        <v>17.58617</v>
      </c>
      <c r="J1971" s="3" t="n">
        <v>19.261131</v>
      </c>
      <c r="K1971" s="3" t="n">
        <v>19.112974</v>
      </c>
      <c r="L1971" s="3" t="n">
        <v>19.722058</v>
      </c>
      <c r="M1971" s="3" t="n">
        <v>20.350679</v>
      </c>
      <c r="N1971" s="3" t="n">
        <v>21.062676</v>
      </c>
      <c r="O1971" s="3" t="n">
        <v>25.820676</v>
      </c>
      <c r="P1971" s="3" t="n">
        <v>22.581198</v>
      </c>
      <c r="Q1971" s="3" t="n">
        <v>22.678321</v>
      </c>
      <c r="R1971" s="3" t="n">
        <v>23.417944</v>
      </c>
      <c r="S1971" s="3" t="n">
        <v>23.433699</v>
      </c>
      <c r="T1971" s="3" t="n">
        <v>23.109448</v>
      </c>
      <c r="U1971" s="3" t="n">
        <v>22.578122</v>
      </c>
      <c r="V1971" s="3" t="n">
        <v>22.698584</v>
      </c>
      <c r="W1971" s="3" t="n">
        <v>23.841112</v>
      </c>
      <c r="X1971" s="3" t="n">
        <v>23.984132</v>
      </c>
      <c r="Y1971" s="3" t="n">
        <v>22.83115</v>
      </c>
      <c r="Z1971" s="3" t="n">
        <v>22.997031</v>
      </c>
      <c r="AA1971" s="3" t="n">
        <v>23.492741</v>
      </c>
      <c r="AB1971" s="3" t="n">
        <v>22.937162</v>
      </c>
      <c r="AC1971" s="3" t="n">
        <v>24.186707</v>
      </c>
      <c r="AD1971" s="3" t="n">
        <v>24.284483</v>
      </c>
      <c r="AE1971" s="3" t="n">
        <v>24.982003</v>
      </c>
      <c r="AF1971" s="3" t="n">
        <v>24.984457</v>
      </c>
      <c r="AG1971" s="3" t="n">
        <v>25.173421</v>
      </c>
      <c r="AH1971" s="3" t="n">
        <v>25.210113</v>
      </c>
      <c r="AI1971" s="3" t="n">
        <v>25.205581</v>
      </c>
      <c r="AJ1971" s="3" t="n">
        <v>25.217443</v>
      </c>
      <c r="AK1971" s="3" t="n">
        <v>25.237373</v>
      </c>
      <c r="AL1971" s="3" t="n">
        <v>25.237373</v>
      </c>
      <c r="AM1971" s="3" t="n"/>
      <c r="AN1971" s="3" t="n"/>
      <c r="AO1971" s="3" t="n"/>
      <c r="AP1971" s="3" t="n"/>
      <c r="AQ1971" s="3" t="n"/>
      <c r="AR1971" s="3" t="n"/>
      <c r="AS1971" s="3" t="n"/>
      <c r="AT1971" s="3" t="n"/>
      <c r="AU1971" s="3" t="n"/>
    </row>
    <row r="1972">
      <c r="A1972" s="3" t="n">
        <v>2031</v>
      </c>
      <c r="B1972" s="3" t="inlineStr">
        <is>
          <t>MEX</t>
        </is>
      </c>
      <c r="C1972" s="3" t="inlineStr">
        <is>
          <t>IMF.RES:WEO</t>
        </is>
      </c>
      <c r="D1972" s="3" t="inlineStr">
        <is>
          <t>MEX.GGX_NGDP.A</t>
        </is>
      </c>
      <c r="E1972" s="3" t="inlineStr">
        <is>
          <t>Mexico</t>
        </is>
      </c>
      <c r="F1972" s="3" t="inlineStr">
        <is>
          <t>Expenditure, General government, Percent of GDP</t>
        </is>
      </c>
      <c r="G1972" s="3" t="n">
        <v>19.386516</v>
      </c>
      <c r="H1972" s="3" t="n">
        <v>19.546575</v>
      </c>
      <c r="I1972" s="3" t="n">
        <v>19.767482</v>
      </c>
      <c r="J1972" s="3" t="n">
        <v>21.505184</v>
      </c>
      <c r="K1972" s="3" t="n">
        <v>20.459229</v>
      </c>
      <c r="L1972" s="3" t="n">
        <v>21.155929</v>
      </c>
      <c r="M1972" s="3" t="n">
        <v>21.576568</v>
      </c>
      <c r="N1972" s="3" t="n">
        <v>22.521006</v>
      </c>
      <c r="O1972" s="3" t="n">
        <v>26.501976</v>
      </c>
      <c r="P1972" s="3" t="n">
        <v>26.516525</v>
      </c>
      <c r="Q1972" s="3" t="n">
        <v>26.482125</v>
      </c>
      <c r="R1972" s="3" t="n">
        <v>26.622072</v>
      </c>
      <c r="S1972" s="3" t="n">
        <v>26.999657</v>
      </c>
      <c r="T1972" s="3" t="n">
        <v>26.66851</v>
      </c>
      <c r="U1972" s="3" t="n">
        <v>26.949417</v>
      </c>
      <c r="V1972" s="3" t="n">
        <v>26.557375</v>
      </c>
      <c r="W1972" s="3" t="n">
        <v>26.522521</v>
      </c>
      <c r="X1972" s="3" t="n">
        <v>25.01818</v>
      </c>
      <c r="Y1972" s="3" t="n">
        <v>24.969737</v>
      </c>
      <c r="Z1972" s="3" t="n">
        <v>25.263016</v>
      </c>
      <c r="AA1972" s="3" t="n">
        <v>27.782836</v>
      </c>
      <c r="AB1972" s="3" t="n">
        <v>26.683855</v>
      </c>
      <c r="AC1972" s="3" t="n">
        <v>28.509131</v>
      </c>
      <c r="AD1972" s="3" t="n">
        <v>28.582239</v>
      </c>
      <c r="AE1972" s="3" t="n">
        <v>30.759247</v>
      </c>
      <c r="AF1972" s="3" t="n">
        <v>29.843213</v>
      </c>
      <c r="AG1972" s="3" t="n">
        <v>29.546449</v>
      </c>
      <c r="AH1972" s="3" t="n">
        <v>28.710113</v>
      </c>
      <c r="AI1972" s="3" t="n">
        <v>28.205581</v>
      </c>
      <c r="AJ1972" s="3" t="n">
        <v>28.217443</v>
      </c>
      <c r="AK1972" s="3" t="n">
        <v>28.237373</v>
      </c>
      <c r="AL1972" s="3" t="n">
        <v>28.237373</v>
      </c>
      <c r="AM1972" s="3" t="n"/>
      <c r="AN1972" s="3" t="n"/>
      <c r="AO1972" s="3" t="n"/>
      <c r="AP1972" s="3" t="n"/>
      <c r="AQ1972" s="3" t="n"/>
      <c r="AR1972" s="3" t="n"/>
      <c r="AS1972" s="3" t="n"/>
      <c r="AT1972" s="3" t="n"/>
      <c r="AU1972" s="3" t="n"/>
    </row>
    <row r="1973">
      <c r="A1973" s="3" t="n">
        <v>2031</v>
      </c>
      <c r="B1973" s="3" t="inlineStr">
        <is>
          <t>MEX</t>
        </is>
      </c>
      <c r="C1973" s="3" t="inlineStr">
        <is>
          <t>IMF.RES:WEO</t>
        </is>
      </c>
      <c r="D1973" s="3" t="inlineStr">
        <is>
          <t>MEX.LP.A</t>
        </is>
      </c>
      <c r="E1973" s="3" t="inlineStr">
        <is>
          <t>Mexico</t>
        </is>
      </c>
      <c r="F1973" s="3" t="inlineStr">
        <is>
          <t>Population, Persons for countries / Index for country groups</t>
        </is>
      </c>
      <c r="G1973" s="3" t="n">
        <v>99.368858</v>
      </c>
      <c r="H1973" s="3" t="n">
        <v>100.739263</v>
      </c>
      <c r="I1973" s="3" t="n">
        <v>102.167274</v>
      </c>
      <c r="J1973" s="3" t="n">
        <v>103.587899</v>
      </c>
      <c r="K1973" s="3" t="n">
        <v>104.970581</v>
      </c>
      <c r="L1973" s="3" t="n">
        <v>106.370948</v>
      </c>
      <c r="M1973" s="3" t="n">
        <v>107.885646</v>
      </c>
      <c r="N1973" s="3" t="n">
        <v>109.538665</v>
      </c>
      <c r="O1973" s="3" t="n">
        <v>111.275915</v>
      </c>
      <c r="P1973" s="3" t="n">
        <v>113.030218</v>
      </c>
      <c r="Q1973" s="3" t="n">
        <v>114.756059</v>
      </c>
      <c r="R1973" s="3" t="n">
        <v>116.44618</v>
      </c>
      <c r="S1973" s="3" t="n">
        <v>118.060514</v>
      </c>
      <c r="T1973" s="3" t="n">
        <v>119.597654</v>
      </c>
      <c r="U1973" s="3" t="n">
        <v>121.048604</v>
      </c>
      <c r="V1973" s="3" t="n">
        <v>122.36849</v>
      </c>
      <c r="W1973" s="3" t="n">
        <v>123.587407</v>
      </c>
      <c r="X1973" s="3" t="n">
        <v>124.777172</v>
      </c>
      <c r="Y1973" s="3" t="n">
        <v>125.995825</v>
      </c>
      <c r="Z1973" s="3" t="n">
        <v>127.215666</v>
      </c>
      <c r="AA1973" s="3" t="n">
        <v>128.20917</v>
      </c>
      <c r="AB1973" s="3" t="n">
        <v>128.982939</v>
      </c>
      <c r="AC1973" s="3" t="n">
        <v>129.9606</v>
      </c>
      <c r="AD1973" s="3" t="n">
        <v>131.135337</v>
      </c>
      <c r="AE1973" s="3" t="n">
        <v>132.274416</v>
      </c>
      <c r="AF1973" s="3" t="n">
        <v>133.367428</v>
      </c>
      <c r="AG1973" s="3" t="n">
        <v>134.407258</v>
      </c>
      <c r="AH1973" s="3" t="n">
        <v>135.391662</v>
      </c>
      <c r="AI1973" s="3" t="n">
        <v>136.321595</v>
      </c>
      <c r="AJ1973" s="3" t="n">
        <v>137.200808</v>
      </c>
      <c r="AK1973" s="3" t="n">
        <v>138.03399</v>
      </c>
      <c r="AL1973" s="3" t="n">
        <v>138.825843</v>
      </c>
      <c r="AM1973" s="3" t="n"/>
      <c r="AN1973" s="3" t="n"/>
      <c r="AO1973" s="3" t="n"/>
      <c r="AP1973" s="3" t="n"/>
      <c r="AQ1973" s="3" t="n"/>
      <c r="AR1973" s="3" t="n"/>
      <c r="AS1973" s="3" t="n"/>
      <c r="AT1973" s="3" t="n"/>
      <c r="AU1973" s="3" t="n"/>
    </row>
    <row r="1974">
      <c r="A1974" s="3" t="n">
        <v>2031</v>
      </c>
      <c r="B1974" s="3" t="inlineStr">
        <is>
          <t>MEX</t>
        </is>
      </c>
      <c r="C1974" s="3" t="inlineStr">
        <is>
          <t>IMF.RES:WEO</t>
        </is>
      </c>
      <c r="D1974" s="3" t="inlineStr">
        <is>
          <t>MEX.NGDP.A</t>
        </is>
      </c>
      <c r="E1974" s="3" t="inlineStr">
        <is>
          <t>Mexico</t>
        </is>
      </c>
      <c r="F1974" s="3" t="inlineStr">
        <is>
          <t>Gross domestic product (GDP), Current prices, Domestic currency</t>
        </is>
      </c>
      <c r="G1974" s="3" t="n">
        <v>7016.60395</v>
      </c>
      <c r="H1974" s="3" t="n">
        <v>7437.10765</v>
      </c>
      <c r="I1974" s="3" t="n">
        <v>7827.757975</v>
      </c>
      <c r="J1974" s="3" t="n">
        <v>8259.533149999999</v>
      </c>
      <c r="K1974" s="3" t="n">
        <v>9248.389775</v>
      </c>
      <c r="L1974" s="3" t="n">
        <v>9999.598975000001</v>
      </c>
      <c r="M1974" s="3" t="n">
        <v>11120.115775</v>
      </c>
      <c r="N1974" s="3" t="n">
        <v>12046.75315</v>
      </c>
      <c r="O1974" s="3" t="n">
        <v>12927.7613</v>
      </c>
      <c r="P1974" s="3" t="n">
        <v>12749.11795</v>
      </c>
      <c r="Q1974" s="3" t="n">
        <v>13968.149525</v>
      </c>
      <c r="R1974" s="3" t="n">
        <v>15268.4367</v>
      </c>
      <c r="S1974" s="3" t="n">
        <v>16529.124025</v>
      </c>
      <c r="T1974" s="3" t="n">
        <v>16954.0057</v>
      </c>
      <c r="U1974" s="3" t="n">
        <v>18137.6506</v>
      </c>
      <c r="V1974" s="3" t="n">
        <v>19228.6147</v>
      </c>
      <c r="W1974" s="3" t="n">
        <v>20758.790525</v>
      </c>
      <c r="X1974" s="3" t="n">
        <v>22536.21025</v>
      </c>
      <c r="Y1974" s="3" t="n">
        <v>24176.670375</v>
      </c>
      <c r="Z1974" s="3" t="n">
        <v>25121.823325</v>
      </c>
      <c r="AA1974" s="3" t="n">
        <v>24086.7581</v>
      </c>
      <c r="AB1974" s="3" t="n">
        <v>26690.0334</v>
      </c>
      <c r="AC1974" s="3" t="n">
        <v>29525.508625</v>
      </c>
      <c r="AD1974" s="3" t="n">
        <v>31866.42555</v>
      </c>
      <c r="AE1974" s="3" t="n">
        <v>33506.84695</v>
      </c>
      <c r="AF1974" s="3" t="n">
        <v>35255.452925</v>
      </c>
      <c r="AG1974" s="3" t="n">
        <v>37624.956268</v>
      </c>
      <c r="AH1974" s="3" t="n">
        <v>39909.25372</v>
      </c>
      <c r="AI1974" s="3" t="n">
        <v>42130.76973</v>
      </c>
      <c r="AJ1974" s="3" t="n">
        <v>44448.02173</v>
      </c>
      <c r="AK1974" s="3" t="n">
        <v>46876.709698</v>
      </c>
      <c r="AL1974" s="3" t="n">
        <v>49446.875556</v>
      </c>
      <c r="AM1974" s="3" t="n"/>
      <c r="AN1974" s="3" t="n"/>
      <c r="AO1974" s="3" t="n"/>
      <c r="AP1974" s="3" t="n"/>
      <c r="AQ1974" s="3" t="n"/>
      <c r="AR1974" s="3" t="n"/>
      <c r="AS1974" s="3" t="n"/>
      <c r="AT1974" s="3" t="n"/>
      <c r="AU1974" s="3" t="n"/>
    </row>
    <row r="1975">
      <c r="A1975" s="3" t="n">
        <v>2031</v>
      </c>
      <c r="B1975" s="3" t="inlineStr">
        <is>
          <t>MEX</t>
        </is>
      </c>
      <c r="C1975" s="3" t="inlineStr">
        <is>
          <t>IMF.RES:WEO</t>
        </is>
      </c>
      <c r="D1975" s="3" t="inlineStr">
        <is>
          <t>MEX.NGDP_D.A</t>
        </is>
      </c>
      <c r="E1975" s="3" t="inlineStr">
        <is>
          <t>Mexico</t>
        </is>
      </c>
      <c r="F1975" s="3" t="inlineStr">
        <is>
          <t>Gross domestic product (GDP), Price deflator, Index</t>
        </is>
      </c>
      <c r="G1975" s="3" t="n">
        <v>39.392889</v>
      </c>
      <c r="H1975" s="3" t="n">
        <v>41.942794</v>
      </c>
      <c r="I1975" s="3" t="n">
        <v>44.250622</v>
      </c>
      <c r="J1975" s="3" t="n">
        <v>46.144402</v>
      </c>
      <c r="K1975" s="3" t="n">
        <v>49.890147</v>
      </c>
      <c r="L1975" s="3" t="n">
        <v>52.826174</v>
      </c>
      <c r="M1975" s="3" t="n">
        <v>56.05235</v>
      </c>
      <c r="N1975" s="3" t="n">
        <v>59.487121</v>
      </c>
      <c r="O1975" s="3" t="n">
        <v>63.240986</v>
      </c>
      <c r="P1975" s="3" t="n">
        <v>66.557016</v>
      </c>
      <c r="Q1975" s="3" t="n">
        <v>69.46753</v>
      </c>
      <c r="R1975" s="3" t="n">
        <v>73.406085</v>
      </c>
      <c r="S1975" s="3" t="n">
        <v>76.740347</v>
      </c>
      <c r="T1975" s="3" t="n">
        <v>78.047912</v>
      </c>
      <c r="U1975" s="3" t="n">
        <v>81.45733300000001</v>
      </c>
      <c r="V1975" s="3" t="n">
        <v>84.084682</v>
      </c>
      <c r="W1975" s="3" t="n">
        <v>89.195002</v>
      </c>
      <c r="X1975" s="3" t="n">
        <v>95.05296800000001</v>
      </c>
      <c r="Y1975" s="3" t="n">
        <v>100</v>
      </c>
      <c r="Z1975" s="3" t="n">
        <v>104.31901</v>
      </c>
      <c r="AA1975" s="3" t="n">
        <v>109.138329</v>
      </c>
      <c r="AB1975" s="3" t="n">
        <v>114.036428</v>
      </c>
      <c r="AC1975" s="3" t="n">
        <v>121.638837</v>
      </c>
      <c r="AD1975" s="3" t="n">
        <v>127.327124</v>
      </c>
      <c r="AE1975" s="3" t="n">
        <v>132.097597</v>
      </c>
      <c r="AF1975" s="3" t="n">
        <v>138.214981</v>
      </c>
      <c r="AG1975" s="3" t="n">
        <v>145.125972</v>
      </c>
      <c r="AH1975" s="3" t="n">
        <v>150.643644</v>
      </c>
      <c r="AI1975" s="3" t="n">
        <v>155.749312</v>
      </c>
      <c r="AJ1975" s="3" t="n">
        <v>161.070102</v>
      </c>
      <c r="AK1975" s="3" t="n">
        <v>166.51577</v>
      </c>
      <c r="AL1975" s="3" t="n">
        <v>172.176096</v>
      </c>
      <c r="AM1975" s="3" t="n"/>
      <c r="AN1975" s="3" t="n"/>
      <c r="AO1975" s="3" t="n"/>
      <c r="AP1975" s="3" t="n"/>
      <c r="AQ1975" s="3" t="n"/>
      <c r="AR1975" s="3" t="n"/>
      <c r="AS1975" s="3" t="n"/>
      <c r="AT1975" s="3" t="n"/>
      <c r="AU1975" s="3" t="n"/>
    </row>
    <row r="1976">
      <c r="A1976" s="3" t="n">
        <v>2031</v>
      </c>
      <c r="B1976" s="3" t="inlineStr">
        <is>
          <t>MEX</t>
        </is>
      </c>
      <c r="C1976" s="3" t="inlineStr">
        <is>
          <t>IMF.RES:WEO</t>
        </is>
      </c>
      <c r="D1976" s="3" t="inlineStr">
        <is>
          <t>MEX.NGDP_R.A</t>
        </is>
      </c>
      <c r="E1976" s="3" t="inlineStr">
        <is>
          <t>Mexico</t>
        </is>
      </c>
      <c r="F1976" s="3" t="inlineStr">
        <is>
          <t>Gross domestic product (GDP), Constant prices, Domestic currency</t>
        </is>
      </c>
      <c r="G1976" s="3" t="n">
        <v>17811.854375</v>
      </c>
      <c r="H1976" s="3" t="n">
        <v>17731.5505</v>
      </c>
      <c r="I1976" s="3" t="n">
        <v>17689.599775</v>
      </c>
      <c r="J1976" s="3" t="n">
        <v>17899.317925</v>
      </c>
      <c r="K1976" s="3" t="n">
        <v>18537.50755</v>
      </c>
      <c r="L1976" s="3" t="n">
        <v>18929.25085</v>
      </c>
      <c r="M1976" s="3" t="n">
        <v>19838.803975</v>
      </c>
      <c r="N1976" s="3" t="n">
        <v>20251.0273</v>
      </c>
      <c r="O1976" s="3" t="n">
        <v>20442.061675</v>
      </c>
      <c r="P1976" s="3" t="n">
        <v>19155.182675</v>
      </c>
      <c r="Q1976" s="3" t="n">
        <v>20107.450925</v>
      </c>
      <c r="R1976" s="3" t="n">
        <v>20799.96055</v>
      </c>
      <c r="S1976" s="3" t="n">
        <v>21539.027</v>
      </c>
      <c r="T1976" s="3" t="n">
        <v>21722.561425</v>
      </c>
      <c r="U1976" s="3" t="n">
        <v>22266.44295</v>
      </c>
      <c r="V1976" s="3" t="n">
        <v>22868.154275</v>
      </c>
      <c r="W1976" s="3" t="n">
        <v>23273.49075</v>
      </c>
      <c r="X1976" s="3" t="n">
        <v>23709.107325</v>
      </c>
      <c r="Y1976" s="3" t="n">
        <v>24176.670375</v>
      </c>
      <c r="Z1976" s="3" t="n">
        <v>24081.730875</v>
      </c>
      <c r="AA1976" s="3" t="n">
        <v>22069.934775</v>
      </c>
      <c r="AB1976" s="3" t="n">
        <v>23404.831125</v>
      </c>
      <c r="AC1976" s="3" t="n">
        <v>24273.0935</v>
      </c>
      <c r="AD1976" s="3" t="n">
        <v>25027.209075</v>
      </c>
      <c r="AE1976" s="3" t="n">
        <v>25365.220675</v>
      </c>
      <c r="AF1976" s="3" t="n">
        <v>25507.6929</v>
      </c>
      <c r="AG1976" s="3" t="n">
        <v>25925.722155</v>
      </c>
      <c r="AH1976" s="3" t="n">
        <v>26492.490864</v>
      </c>
      <c r="AI1976" s="3" t="n">
        <v>27050.372909</v>
      </c>
      <c r="AJ1976" s="3" t="n">
        <v>27595.451465</v>
      </c>
      <c r="AK1976" s="3" t="n">
        <v>28151.513627</v>
      </c>
      <c r="AL1976" s="3" t="n">
        <v>28718.78072</v>
      </c>
      <c r="AM1976" s="3" t="n"/>
      <c r="AN1976" s="3" t="n"/>
      <c r="AO1976" s="3" t="n"/>
      <c r="AP1976" s="3" t="n"/>
      <c r="AQ1976" s="3" t="n"/>
      <c r="AR1976" s="3" t="n"/>
      <c r="AS1976" s="3" t="n"/>
      <c r="AT1976" s="3" t="n"/>
      <c r="AU1976" s="3" t="n"/>
    </row>
    <row r="1977">
      <c r="A1977" s="3" t="n">
        <v>2031</v>
      </c>
      <c r="B1977" s="3" t="inlineStr">
        <is>
          <t>MEX</t>
        </is>
      </c>
      <c r="C1977" s="3" t="inlineStr">
        <is>
          <t>IMF.RES:WEO</t>
        </is>
      </c>
      <c r="D1977" s="3" t="inlineStr">
        <is>
          <t>MEX.NGDP_RPCH.A</t>
        </is>
      </c>
      <c r="E1977" s="3" t="inlineStr">
        <is>
          <t>Mexico</t>
        </is>
      </c>
      <c r="F1977" s="3" t="inlineStr">
        <is>
          <t>Gross domestic product (GDP), Constant prices, Percent change</t>
        </is>
      </c>
      <c r="G1977" s="3" t="n">
        <v>5.029284</v>
      </c>
      <c r="H1977" s="3" t="n">
        <v>-0.450845</v>
      </c>
      <c r="I1977" s="3" t="n">
        <v>-0.236588</v>
      </c>
      <c r="J1977" s="3" t="n">
        <v>1.185545</v>
      </c>
      <c r="K1977" s="3" t="n">
        <v>3.565441</v>
      </c>
      <c r="L1977" s="3" t="n">
        <v>2.113247</v>
      </c>
      <c r="M1977" s="3" t="n">
        <v>4.805014</v>
      </c>
      <c r="N1977" s="3" t="n">
        <v>2.077864</v>
      </c>
      <c r="O1977" s="3" t="n">
        <v>0.9433319999999999</v>
      </c>
      <c r="P1977" s="3" t="n">
        <v>-6.295251</v>
      </c>
      <c r="Q1977" s="3" t="n">
        <v>4.971335</v>
      </c>
      <c r="R1977" s="3" t="n">
        <v>3.444045</v>
      </c>
      <c r="S1977" s="3" t="n">
        <v>3.553211</v>
      </c>
      <c r="T1977" s="3" t="n">
        <v>0.852102</v>
      </c>
      <c r="U1977" s="3" t="n">
        <v>2.503763</v>
      </c>
      <c r="V1977" s="3" t="n">
        <v>2.702324</v>
      </c>
      <c r="W1977" s="3" t="n">
        <v>1.772493</v>
      </c>
      <c r="X1977" s="3" t="n">
        <v>1.871729</v>
      </c>
      <c r="Y1977" s="3" t="n">
        <v>1.972082</v>
      </c>
      <c r="Z1977" s="3" t="n">
        <v>-0.392691</v>
      </c>
      <c r="AA1977" s="3" t="n">
        <v>-8.354034</v>
      </c>
      <c r="AB1977" s="3" t="n">
        <v>6.048483</v>
      </c>
      <c r="AC1977" s="3" t="n">
        <v>3.709757</v>
      </c>
      <c r="AD1977" s="3" t="n">
        <v>3.106796</v>
      </c>
      <c r="AE1977" s="3" t="n">
        <v>1.350576</v>
      </c>
      <c r="AF1977" s="3" t="n">
        <v>0.561683</v>
      </c>
      <c r="AG1977" s="3" t="n">
        <v>1.638836</v>
      </c>
      <c r="AH1977" s="3" t="n">
        <v>2.186125</v>
      </c>
      <c r="AI1977" s="3" t="n">
        <v>2.105812</v>
      </c>
      <c r="AJ1977" s="3" t="n">
        <v>2.01505</v>
      </c>
      <c r="AK1977" s="3" t="n">
        <v>2.01505</v>
      </c>
      <c r="AL1977" s="3" t="n">
        <v>2.01505</v>
      </c>
      <c r="AM1977" s="3" t="n"/>
      <c r="AN1977" s="3" t="n"/>
      <c r="AO1977" s="3" t="n"/>
      <c r="AP1977" s="3" t="n"/>
      <c r="AQ1977" s="3" t="n"/>
      <c r="AR1977" s="3" t="n"/>
      <c r="AS1977" s="3" t="n"/>
      <c r="AT1977" s="3" t="n"/>
      <c r="AU1977" s="3" t="n"/>
    </row>
    <row r="1978">
      <c r="A1978" s="3" t="n">
        <v>2031</v>
      </c>
      <c r="B1978" s="3" t="inlineStr">
        <is>
          <t>MEX</t>
        </is>
      </c>
      <c r="C1978" s="3" t="inlineStr">
        <is>
          <t>IMF.RES:WEO</t>
        </is>
      </c>
      <c r="D1978" s="3" t="inlineStr">
        <is>
          <t>MEX.NGDPD.A</t>
        </is>
      </c>
      <c r="E1978" s="3" t="inlineStr">
        <is>
          <t>Mexico</t>
        </is>
      </c>
      <c r="F1978" s="3" t="inlineStr">
        <is>
          <t>Gross domestic product (GDP), Current prices, US dollar</t>
        </is>
      </c>
      <c r="G1978" s="3" t="n">
        <v>742.06065</v>
      </c>
      <c r="H1978" s="3" t="n">
        <v>796.054677</v>
      </c>
      <c r="I1978" s="3" t="n">
        <v>810.6660890000001</v>
      </c>
      <c r="J1978" s="3" t="n">
        <v>765.550134</v>
      </c>
      <c r="K1978" s="3" t="n">
        <v>819.45925</v>
      </c>
      <c r="L1978" s="3" t="n">
        <v>917.571883</v>
      </c>
      <c r="M1978" s="3" t="n">
        <v>1020.26509</v>
      </c>
      <c r="N1978" s="3" t="n">
        <v>1102.355588</v>
      </c>
      <c r="O1978" s="3" t="n">
        <v>1161.553496</v>
      </c>
      <c r="P1978" s="3" t="n">
        <v>943.437417</v>
      </c>
      <c r="Q1978" s="3" t="n">
        <v>1105.42421</v>
      </c>
      <c r="R1978" s="3" t="n">
        <v>1229.013706</v>
      </c>
      <c r="S1978" s="3" t="n">
        <v>1255.110393</v>
      </c>
      <c r="T1978" s="3" t="n">
        <v>1327.436326</v>
      </c>
      <c r="U1978" s="3" t="n">
        <v>1364.507717</v>
      </c>
      <c r="V1978" s="3" t="n">
        <v>1213.294495</v>
      </c>
      <c r="W1978" s="3" t="n">
        <v>1112.233479</v>
      </c>
      <c r="X1978" s="3" t="n">
        <v>1190.721497</v>
      </c>
      <c r="Y1978" s="3" t="n">
        <v>1256.300205</v>
      </c>
      <c r="Z1978" s="3" t="n">
        <v>1304.106182</v>
      </c>
      <c r="AA1978" s="3" t="n">
        <v>1121.064748</v>
      </c>
      <c r="AB1978" s="3" t="n">
        <v>1316.569446</v>
      </c>
      <c r="AC1978" s="3" t="n">
        <v>1466.934724</v>
      </c>
      <c r="AD1978" s="3" t="n">
        <v>1794.410382</v>
      </c>
      <c r="AE1978" s="3" t="n">
        <v>1830.48928</v>
      </c>
      <c r="AF1978" s="3" t="n">
        <v>1832.641333</v>
      </c>
      <c r="AG1978" s="3" t="n">
        <v>2120.854973</v>
      </c>
      <c r="AH1978" s="3" t="n">
        <v>2222.003096</v>
      </c>
      <c r="AI1978" s="3" t="n">
        <v>2327.102021</v>
      </c>
      <c r="AJ1978" s="3" t="n">
        <v>2435.744514</v>
      </c>
      <c r="AK1978" s="3" t="n">
        <v>2548.629925</v>
      </c>
      <c r="AL1978" s="3" t="n">
        <v>2667.215047</v>
      </c>
      <c r="AM1978" s="3" t="n"/>
      <c r="AN1978" s="3" t="n"/>
      <c r="AO1978" s="3" t="n"/>
      <c r="AP1978" s="3" t="n"/>
      <c r="AQ1978" s="3" t="n"/>
      <c r="AR1978" s="3" t="n"/>
      <c r="AS1978" s="3" t="n"/>
      <c r="AT1978" s="3" t="n"/>
      <c r="AU1978" s="3" t="n"/>
    </row>
    <row r="1979">
      <c r="A1979" s="3" t="n">
        <v>2031</v>
      </c>
      <c r="B1979" s="3" t="inlineStr">
        <is>
          <t>MEX</t>
        </is>
      </c>
      <c r="C1979" s="3" t="inlineStr">
        <is>
          <t>IMF.RES:WEO</t>
        </is>
      </c>
      <c r="D1979" s="3" t="inlineStr">
        <is>
          <t>MEX.NGDPPC.A</t>
        </is>
      </c>
      <c r="E1979" s="3" t="inlineStr">
        <is>
          <t>Mexico</t>
        </is>
      </c>
      <c r="F1979" s="3" t="inlineStr">
        <is>
          <t>Gross domestic product (GDP), Current prices, Per capita, Domestic currency</t>
        </is>
      </c>
      <c r="G1979" s="3" t="n">
        <v>70611.699593</v>
      </c>
      <c r="H1979" s="3" t="n">
        <v>73825.313274</v>
      </c>
      <c r="I1979" s="3" t="n">
        <v>76617.07774399999</v>
      </c>
      <c r="J1979" s="3" t="n">
        <v>79734.53685</v>
      </c>
      <c r="K1979" s="3" t="n">
        <v>88104.58784599999</v>
      </c>
      <c r="L1979" s="3" t="n">
        <v>94006.861488</v>
      </c>
      <c r="M1979" s="3" t="n">
        <v>103073.172264</v>
      </c>
      <c r="N1979" s="3" t="n">
        <v>109977.177009</v>
      </c>
      <c r="O1979" s="3" t="n">
        <v>116177.533117</v>
      </c>
      <c r="P1979" s="3" t="n">
        <v>112793.889772</v>
      </c>
      <c r="Q1979" s="3" t="n">
        <v>121720.366199</v>
      </c>
      <c r="R1979" s="3" t="n">
        <v>131120.116607</v>
      </c>
      <c r="S1979" s="3" t="n">
        <v>140005.523142</v>
      </c>
      <c r="T1979" s="3" t="n">
        <v>141758.681153</v>
      </c>
      <c r="U1979" s="3" t="n">
        <v>149837.751124</v>
      </c>
      <c r="V1979" s="3" t="n">
        <v>157136.977828</v>
      </c>
      <c r="W1979" s="3" t="n">
        <v>167968.493141</v>
      </c>
      <c r="X1979" s="3" t="n">
        <v>180611.644652</v>
      </c>
      <c r="Y1979" s="3" t="n">
        <v>191884.694394</v>
      </c>
      <c r="Z1979" s="3" t="n">
        <v>197474.290038</v>
      </c>
      <c r="AA1979" s="3" t="n">
        <v>187870.790365</v>
      </c>
      <c r="AB1979" s="3" t="n">
        <v>206926.851</v>
      </c>
      <c r="AC1979" s="3" t="n">
        <v>227188.152602</v>
      </c>
      <c r="AD1979" s="3" t="n">
        <v>243004.107657</v>
      </c>
      <c r="AE1979" s="3" t="n">
        <v>253313.134643</v>
      </c>
      <c r="AF1979" s="3" t="n">
        <v>264348.300434</v>
      </c>
      <c r="AG1979" s="3" t="n">
        <v>279932.474092</v>
      </c>
      <c r="AH1979" s="3" t="n">
        <v>294768.918047</v>
      </c>
      <c r="AI1979" s="3" t="n">
        <v>309054.260482</v>
      </c>
      <c r="AJ1979" s="3" t="n">
        <v>323963.265073</v>
      </c>
      <c r="AK1979" s="3" t="n">
        <v>339602.656545</v>
      </c>
      <c r="AL1979" s="3" t="n">
        <v>356179.184562</v>
      </c>
      <c r="AM1979" s="3" t="n"/>
      <c r="AN1979" s="3" t="n"/>
      <c r="AO1979" s="3" t="n"/>
      <c r="AP1979" s="3" t="n"/>
      <c r="AQ1979" s="3" t="n"/>
      <c r="AR1979" s="3" t="n"/>
      <c r="AS1979" s="3" t="n"/>
      <c r="AT1979" s="3" t="n"/>
      <c r="AU1979" s="3" t="n"/>
    </row>
    <row r="1980">
      <c r="A1980" s="3" t="n">
        <v>2031</v>
      </c>
      <c r="B1980" s="3" t="inlineStr">
        <is>
          <t>MEX</t>
        </is>
      </c>
      <c r="C1980" s="3" t="inlineStr">
        <is>
          <t>IMF.RES:WEO</t>
        </is>
      </c>
      <c r="D1980" s="3" t="inlineStr">
        <is>
          <t>MEX.NGDPRPC.A</t>
        </is>
      </c>
      <c r="E1980" s="3" t="inlineStr">
        <is>
          <t>Mexico</t>
        </is>
      </c>
      <c r="F1980" s="3" t="inlineStr">
        <is>
          <t>Gross domestic product (GDP), Constant prices, Per capita, Domestic currency</t>
        </is>
      </c>
      <c r="G1980" s="3" t="n">
        <v>179249.864933</v>
      </c>
      <c r="H1980" s="3" t="n">
        <v>176014.296432</v>
      </c>
      <c r="I1980" s="3" t="n">
        <v>173143.503613</v>
      </c>
      <c r="J1980" s="3" t="n">
        <v>172793.522195</v>
      </c>
      <c r="K1980" s="3" t="n">
        <v>176597.170116</v>
      </c>
      <c r="L1980" s="3" t="n">
        <v>177955.082717</v>
      </c>
      <c r="M1980" s="3" t="n">
        <v>183887.335438</v>
      </c>
      <c r="N1980" s="3" t="n">
        <v>184875.608079</v>
      </c>
      <c r="O1980" s="3" t="n">
        <v>183706.075794</v>
      </c>
      <c r="P1980" s="3" t="n">
        <v>169469.572066</v>
      </c>
      <c r="Q1980" s="3" t="n">
        <v>175219.078628</v>
      </c>
      <c r="R1980" s="3" t="n">
        <v>178622.95311</v>
      </c>
      <c r="S1980" s="3" t="n">
        <v>182440.56603</v>
      </c>
      <c r="T1980" s="3" t="n">
        <v>181630.330516</v>
      </c>
      <c r="U1980" s="3" t="n">
        <v>183946.301025</v>
      </c>
      <c r="V1980" s="3" t="n">
        <v>186879.435016</v>
      </c>
      <c r="W1980" s="3" t="n">
        <v>188316.037329</v>
      </c>
      <c r="X1980" s="3" t="n">
        <v>190011.577799</v>
      </c>
      <c r="Y1980" s="3" t="n">
        <v>191884.694394</v>
      </c>
      <c r="Z1980" s="3" t="n">
        <v>189298.469538</v>
      </c>
      <c r="AA1980" s="3" t="n">
        <v>172140.064357</v>
      </c>
      <c r="AB1980" s="3" t="n">
        <v>181456.798135</v>
      </c>
      <c r="AC1980" s="3" t="n">
        <v>186772.710345</v>
      </c>
      <c r="AD1980" s="3" t="n">
        <v>190850.228836</v>
      </c>
      <c r="AE1980" s="3" t="n">
        <v>191762.106702</v>
      </c>
      <c r="AF1980" s="3" t="n">
        <v>191258.789965</v>
      </c>
      <c r="AG1980" s="3" t="n">
        <v>192889.301821</v>
      </c>
      <c r="AH1980" s="3" t="n">
        <v>195672.986595</v>
      </c>
      <c r="AI1980" s="3" t="n">
        <v>198430.578141</v>
      </c>
      <c r="AJ1980" s="3" t="n">
        <v>201131.843663</v>
      </c>
      <c r="AK1980" s="3" t="n">
        <v>203946.242712</v>
      </c>
      <c r="AL1980" s="3" t="n">
        <v>206869.125369</v>
      </c>
      <c r="AM1980" s="3" t="n"/>
      <c r="AN1980" s="3" t="n"/>
      <c r="AO1980" s="3" t="n"/>
      <c r="AP1980" s="3" t="n"/>
      <c r="AQ1980" s="3" t="n"/>
      <c r="AR1980" s="3" t="n"/>
      <c r="AS1980" s="3" t="n"/>
      <c r="AT1980" s="3" t="n"/>
      <c r="AU1980" s="3" t="n"/>
    </row>
    <row r="1981">
      <c r="A1981" s="3" t="n">
        <v>2031</v>
      </c>
      <c r="B1981" s="3" t="inlineStr">
        <is>
          <t>MEX</t>
        </is>
      </c>
      <c r="C1981" s="3" t="inlineStr">
        <is>
          <t>IMF.RES:WEO</t>
        </is>
      </c>
      <c r="D1981" s="3" t="inlineStr">
        <is>
          <t>MEX.PCPI.A</t>
        </is>
      </c>
      <c r="E1981" s="3" t="inlineStr">
        <is>
          <t>Mexico</t>
        </is>
      </c>
      <c r="F1981" s="3" t="inlineStr">
        <is>
          <t>All Items, Consumer price index (CPI), Period average</t>
        </is>
      </c>
      <c r="G1981" s="3" t="n">
        <v>46.467792</v>
      </c>
      <c r="H1981" s="3" t="n">
        <v>49.426142</v>
      </c>
      <c r="I1981" s="3" t="n">
        <v>51.915892</v>
      </c>
      <c r="J1981" s="3" t="n">
        <v>54.278175</v>
      </c>
      <c r="K1981" s="3" t="n">
        <v>56.826192</v>
      </c>
      <c r="L1981" s="3" t="n">
        <v>59.0937</v>
      </c>
      <c r="M1981" s="3" t="n">
        <v>61.240867</v>
      </c>
      <c r="N1981" s="3" t="n">
        <v>63.67165</v>
      </c>
      <c r="O1981" s="3" t="n">
        <v>66.93771700000001</v>
      </c>
      <c r="P1981" s="3" t="n">
        <v>70.482483</v>
      </c>
      <c r="Q1981" s="3" t="n">
        <v>73.4109</v>
      </c>
      <c r="R1981" s="3" t="n">
        <v>75.909858</v>
      </c>
      <c r="S1981" s="3" t="n">
        <v>79.030833</v>
      </c>
      <c r="T1981" s="3" t="n">
        <v>82.037425</v>
      </c>
      <c r="U1981" s="3" t="n">
        <v>85.334717</v>
      </c>
      <c r="V1981" s="3" t="n">
        <v>87.654842</v>
      </c>
      <c r="W1981" s="3" t="n">
        <v>90.126892</v>
      </c>
      <c r="X1981" s="3" t="n">
        <v>95.572367</v>
      </c>
      <c r="Y1981" s="3" t="n">
        <v>100.252717</v>
      </c>
      <c r="Z1981" s="3" t="n">
        <v>103.896642</v>
      </c>
      <c r="AA1981" s="3" t="n">
        <v>107.426292</v>
      </c>
      <c r="AB1981" s="3" t="n">
        <v>113.540308</v>
      </c>
      <c r="AC1981" s="3" t="n">
        <v>122.505517</v>
      </c>
      <c r="AD1981" s="3" t="n">
        <v>129.27535</v>
      </c>
      <c r="AE1981" s="3" t="n">
        <v>135.381275</v>
      </c>
      <c r="AF1981" s="3" t="n">
        <v>140.556867</v>
      </c>
      <c r="AG1981" s="3" t="n">
        <v>146.035684</v>
      </c>
      <c r="AH1981" s="3" t="n">
        <v>151.031774</v>
      </c>
      <c r="AI1981" s="3" t="n">
        <v>155.562521</v>
      </c>
      <c r="AJ1981" s="3" t="n">
        <v>160.22909</v>
      </c>
      <c r="AK1981" s="3" t="n">
        <v>165.035987</v>
      </c>
      <c r="AL1981" s="3" t="n">
        <v>169.986849</v>
      </c>
      <c r="AM1981" s="3" t="n"/>
      <c r="AN1981" s="3" t="n"/>
      <c r="AO1981" s="3" t="n"/>
      <c r="AP1981" s="3" t="n"/>
      <c r="AQ1981" s="3" t="n"/>
      <c r="AR1981" s="3" t="n"/>
      <c r="AS1981" s="3" t="n"/>
      <c r="AT1981" s="3" t="n"/>
      <c r="AU1981" s="3" t="n"/>
    </row>
    <row r="1982">
      <c r="A1982" s="3" t="n">
        <v>2031</v>
      </c>
      <c r="B1982" s="3" t="inlineStr">
        <is>
          <t>MEX</t>
        </is>
      </c>
      <c r="C1982" s="3" t="inlineStr">
        <is>
          <t>IMF.RES:WEO</t>
        </is>
      </c>
      <c r="D1982" s="3" t="inlineStr">
        <is>
          <t>MEX.PCPIPCH.A</t>
        </is>
      </c>
      <c r="E1982" s="3" t="inlineStr">
        <is>
          <t>Mexico</t>
        </is>
      </c>
      <c r="F1982" s="3" t="inlineStr">
        <is>
          <t>All Items, Consumer price index (CPI), Period average, percent change</t>
        </is>
      </c>
      <c r="G1982" s="3" t="n">
        <v>9.486212999999999</v>
      </c>
      <c r="H1982" s="3" t="n">
        <v>6.366453</v>
      </c>
      <c r="I1982" s="3" t="n">
        <v>5.037314</v>
      </c>
      <c r="J1982" s="3" t="n">
        <v>4.550212</v>
      </c>
      <c r="K1982" s="3" t="n">
        <v>4.694367</v>
      </c>
      <c r="L1982" s="3" t="n">
        <v>3.990252</v>
      </c>
      <c r="M1982" s="3" t="n">
        <v>3.633495</v>
      </c>
      <c r="N1982" s="3" t="n">
        <v>3.969218</v>
      </c>
      <c r="O1982" s="3" t="n">
        <v>5.129546</v>
      </c>
      <c r="P1982" s="3" t="n">
        <v>5.295619</v>
      </c>
      <c r="Q1982" s="3" t="n">
        <v>4.154815</v>
      </c>
      <c r="R1982" s="3" t="n">
        <v>3.40407</v>
      </c>
      <c r="S1982" s="3" t="n">
        <v>4.111423</v>
      </c>
      <c r="T1982" s="3" t="n">
        <v>3.804327</v>
      </c>
      <c r="U1982" s="3" t="n">
        <v>4.019253</v>
      </c>
      <c r="V1982" s="3" t="n">
        <v>2.718852</v>
      </c>
      <c r="W1982" s="3" t="n">
        <v>2.820209</v>
      </c>
      <c r="X1982" s="3" t="n">
        <v>6.042009</v>
      </c>
      <c r="Y1982" s="3" t="n">
        <v>4.897179</v>
      </c>
      <c r="Z1982" s="3" t="n">
        <v>3.634739</v>
      </c>
      <c r="AA1982" s="3" t="n">
        <v>3.397271</v>
      </c>
      <c r="AB1982" s="3" t="n">
        <v>5.69136</v>
      </c>
      <c r="AC1982" s="3" t="n">
        <v>7.896058</v>
      </c>
      <c r="AD1982" s="3" t="n">
        <v>5.526146</v>
      </c>
      <c r="AE1982" s="3" t="n">
        <v>4.723194</v>
      </c>
      <c r="AF1982" s="3" t="n">
        <v>3.822975</v>
      </c>
      <c r="AG1982" s="3" t="n">
        <v>3.897936</v>
      </c>
      <c r="AH1982" s="3" t="n">
        <v>3.421143</v>
      </c>
      <c r="AI1982" s="3" t="n">
        <v>2.999863</v>
      </c>
      <c r="AJ1982" s="3" t="n">
        <v>2.999803</v>
      </c>
      <c r="AK1982" s="3" t="n">
        <v>3.000015</v>
      </c>
      <c r="AL1982" s="3" t="n">
        <v>2.999868</v>
      </c>
      <c r="AM1982" s="3" t="n"/>
      <c r="AN1982" s="3" t="n"/>
      <c r="AO1982" s="3" t="n"/>
      <c r="AP1982" s="3" t="n"/>
      <c r="AQ1982" s="3" t="n"/>
      <c r="AR1982" s="3" t="n"/>
      <c r="AS1982" s="3" t="n"/>
      <c r="AT1982" s="3" t="n"/>
      <c r="AU1982" s="3" t="n"/>
    </row>
    <row r="1983">
      <c r="A1983" s="3" t="n">
        <v>2031</v>
      </c>
      <c r="B1983" s="3" t="inlineStr">
        <is>
          <t>MEX</t>
        </is>
      </c>
      <c r="C1983" s="3" t="inlineStr">
        <is>
          <t>IMF.RES:WEO</t>
        </is>
      </c>
      <c r="D1983" s="3" t="inlineStr">
        <is>
          <t>MEX.PPPPC.A</t>
        </is>
      </c>
      <c r="E1983" s="3" t="inlineStr">
        <is>
          <t>Mexico</t>
        </is>
      </c>
      <c r="F1983" s="3" t="inlineStr">
        <is>
          <t>Gross domestic product (GDP), Per capita, purchasing power parity (PPP) international dollar, ICP benchmarks 2017-2021</t>
        </is>
      </c>
      <c r="G1983" s="3" t="n">
        <v>13900.842137</v>
      </c>
      <c r="H1983" s="3" t="n">
        <v>13957.267986</v>
      </c>
      <c r="I1983" s="3" t="n">
        <v>13942.988257</v>
      </c>
      <c r="J1983" s="3" t="n">
        <v>14189.513035</v>
      </c>
      <c r="K1983" s="3" t="n">
        <v>14891.80004</v>
      </c>
      <c r="L1983" s="3" t="n">
        <v>15476.87883</v>
      </c>
      <c r="M1983" s="3" t="n">
        <v>16486.010476</v>
      </c>
      <c r="N1983" s="3" t="n">
        <v>17023.662863</v>
      </c>
      <c r="O1983" s="3" t="n">
        <v>17241.841483</v>
      </c>
      <c r="P1983" s="3" t="n">
        <v>16003.76299</v>
      </c>
      <c r="Q1983" s="3" t="n">
        <v>16747.818945</v>
      </c>
      <c r="R1983" s="3" t="n">
        <v>17425.430512</v>
      </c>
      <c r="S1983" s="3" t="n">
        <v>18129.238905</v>
      </c>
      <c r="T1983" s="3" t="n">
        <v>18355.915462</v>
      </c>
      <c r="U1983" s="3" t="n">
        <v>18913.75626</v>
      </c>
      <c r="V1983" s="3" t="n">
        <v>19393.676089</v>
      </c>
      <c r="W1983" s="3" t="n">
        <v>19728.46144</v>
      </c>
      <c r="X1983" s="3" t="n">
        <v>20262.586629</v>
      </c>
      <c r="Y1983" s="3" t="n">
        <v>20685.338253</v>
      </c>
      <c r="Z1983" s="3" t="n">
        <v>20724.88278</v>
      </c>
      <c r="AA1983" s="3" t="n">
        <v>19141.256985</v>
      </c>
      <c r="AB1983" s="3" t="n">
        <v>20814.060888</v>
      </c>
      <c r="AC1983" s="3" t="n">
        <v>22947.57541</v>
      </c>
      <c r="AD1983" s="3" t="n">
        <v>24316.158511</v>
      </c>
      <c r="AE1983" s="3" t="n">
        <v>25038.884341</v>
      </c>
      <c r="AF1983" s="3" t="n">
        <v>25681.595333</v>
      </c>
      <c r="AG1983" s="3" t="n">
        <v>26642.546743</v>
      </c>
      <c r="AH1983" s="3" t="n">
        <v>27620.526345</v>
      </c>
      <c r="AI1983" s="3" t="n">
        <v>28469.528339</v>
      </c>
      <c r="AJ1983" s="3" t="n">
        <v>29370.198696</v>
      </c>
      <c r="AK1983" s="3" t="n">
        <v>30328.407211</v>
      </c>
      <c r="AL1983" s="3" t="n">
        <v>31318.42893</v>
      </c>
      <c r="AM1983" s="3" t="n"/>
      <c r="AN1983" s="3" t="n"/>
      <c r="AO1983" s="3" t="n"/>
      <c r="AP1983" s="3" t="n"/>
      <c r="AQ1983" s="3" t="n"/>
      <c r="AR1983" s="3" t="n"/>
      <c r="AS1983" s="3" t="n"/>
      <c r="AT1983" s="3" t="n"/>
      <c r="AU1983" s="3" t="n"/>
    </row>
    <row r="1984">
      <c r="A1984" s="3" t="n">
        <v>2025</v>
      </c>
      <c r="B1984" s="3" t="inlineStr">
        <is>
          <t>MEX</t>
        </is>
      </c>
      <c r="C1984" s="3" t="inlineStr">
        <is>
          <t>IMF.STA:ER</t>
        </is>
      </c>
      <c r="D1984" s="3" t="inlineStr">
        <is>
          <t>MEX.XDC_USD.PA_RT.A</t>
        </is>
      </c>
      <c r="E1984" s="3" t="inlineStr">
        <is>
          <t>Mexico</t>
        </is>
      </c>
      <c r="F1984" s="3" t="inlineStr">
        <is>
          <t>Domestic currency per US Dollar</t>
        </is>
      </c>
      <c r="G1984" s="3" t="n">
        <v>9.455558333333331</v>
      </c>
      <c r="H1984" s="3" t="n">
        <v>9.342341666666661</v>
      </c>
      <c r="I1984" s="3" t="n">
        <v>9.655958333333331</v>
      </c>
      <c r="J1984" s="3" t="n">
        <v>10.7890191666666</v>
      </c>
      <c r="K1984" s="3" t="n">
        <v>11.2859666666666</v>
      </c>
      <c r="L1984" s="3" t="n">
        <v>10.8978916666666</v>
      </c>
      <c r="M1984" s="3" t="n">
        <v>10.8992416666666</v>
      </c>
      <c r="N1984" s="3" t="n">
        <v>10.9281916666666</v>
      </c>
      <c r="O1984" s="3" t="n">
        <v>11.1297166666666</v>
      </c>
      <c r="P1984" s="3" t="n">
        <v>13.513475</v>
      </c>
      <c r="Q1984" s="3" t="n">
        <v>12.6360083333333</v>
      </c>
      <c r="R1984" s="3" t="n">
        <v>12.423325</v>
      </c>
      <c r="S1984" s="3" t="n">
        <v>13.1694583333333</v>
      </c>
      <c r="T1984" s="3" t="n">
        <v>12.7719916666666</v>
      </c>
      <c r="U1984" s="3" t="n">
        <v>13.29245</v>
      </c>
      <c r="V1984" s="3" t="n">
        <v>15.8482666666666</v>
      </c>
      <c r="W1984" s="3" t="n">
        <v>18.6640583333333</v>
      </c>
      <c r="X1984" s="3" t="n">
        <v>18.9265166666666</v>
      </c>
      <c r="Y1984" s="3" t="n">
        <v>19.2443416666666</v>
      </c>
      <c r="Z1984" s="3" t="n">
        <v>19.2636333333333</v>
      </c>
      <c r="AA1984" s="3" t="n">
        <v>21.4856083333333</v>
      </c>
      <c r="AB1984" s="3" t="n">
        <v>20.2724083333333</v>
      </c>
      <c r="AC1984" s="3" t="n">
        <v>20.12735</v>
      </c>
      <c r="AD1984" s="3" t="n">
        <v>17.7587166666666</v>
      </c>
      <c r="AE1984" s="3" t="n">
        <v>18.3048583333333</v>
      </c>
      <c r="AF1984" s="3" t="n">
        <v>19.2375083333333</v>
      </c>
      <c r="AG1984" s="3" t="n"/>
      <c r="AH1984" s="3" t="n"/>
      <c r="AI1984" s="3" t="n"/>
      <c r="AJ1984" s="3" t="n"/>
      <c r="AK1984" s="3" t="n"/>
      <c r="AL1984" s="3" t="n"/>
      <c r="AM1984" s="3" t="n"/>
      <c r="AN1984" s="3" t="n"/>
      <c r="AO1984" s="3" t="n"/>
      <c r="AP1984" s="3" t="n"/>
      <c r="AQ1984" s="3" t="n"/>
      <c r="AR1984" s="3" t="n"/>
      <c r="AS1984" s="3" t="n"/>
      <c r="AT1984" s="3" t="n"/>
      <c r="AU1984" s="3" t="n"/>
    </row>
    <row r="1985">
      <c r="A1985" s="3" t="n">
        <v>2031</v>
      </c>
      <c r="B1985" s="3" t="inlineStr">
        <is>
          <t>MHL</t>
        </is>
      </c>
      <c r="C1985" s="3" t="inlineStr">
        <is>
          <t>IMF.RES:WEO</t>
        </is>
      </c>
      <c r="D1985" s="3" t="inlineStr">
        <is>
          <t>MHL.BCA.A</t>
        </is>
      </c>
      <c r="E1985" s="3" t="inlineStr">
        <is>
          <t>Marshall Islands, Republic of the</t>
        </is>
      </c>
      <c r="F1985" s="3" t="inlineStr">
        <is>
          <t>Current account balance (credit less debit), US dollar</t>
        </is>
      </c>
      <c r="G1985" s="3" t="n">
        <v>-0.014487</v>
      </c>
      <c r="H1985" s="3" t="n">
        <v>-0.004721</v>
      </c>
      <c r="I1985" s="3" t="n">
        <v>0.010151</v>
      </c>
      <c r="J1985" s="3" t="n">
        <v>0.001761</v>
      </c>
      <c r="K1985" s="3" t="n">
        <v>0.007639</v>
      </c>
      <c r="L1985" s="3" t="n">
        <v>0.011898</v>
      </c>
      <c r="M1985" s="3" t="n">
        <v>-0.00063</v>
      </c>
      <c r="N1985" s="3" t="n">
        <v>0.007083</v>
      </c>
      <c r="O1985" s="3" t="n">
        <v>0.005564</v>
      </c>
      <c r="P1985" s="3" t="n">
        <v>-0.013461</v>
      </c>
      <c r="Q1985" s="3" t="n">
        <v>-0.023711</v>
      </c>
      <c r="R1985" s="3" t="n">
        <v>0.005288</v>
      </c>
      <c r="S1985" s="3" t="n">
        <v>-0.000197</v>
      </c>
      <c r="T1985" s="3" t="n">
        <v>-0.00821</v>
      </c>
      <c r="U1985" s="3" t="n">
        <v>0.008861000000000001</v>
      </c>
      <c r="V1985" s="3" t="n">
        <v>0.031532</v>
      </c>
      <c r="W1985" s="3" t="n">
        <v>0.032633</v>
      </c>
      <c r="X1985" s="3" t="n">
        <v>0.012435</v>
      </c>
      <c r="Y1985" s="3" t="n">
        <v>0.011802</v>
      </c>
      <c r="Z1985" s="3" t="n">
        <v>-0.054755</v>
      </c>
      <c r="AA1985" s="3" t="n">
        <v>0.054953</v>
      </c>
      <c r="AB1985" s="3" t="n">
        <v>0.07151</v>
      </c>
      <c r="AC1985" s="3" t="n">
        <v>0.017646</v>
      </c>
      <c r="AD1985" s="3" t="n">
        <v>0.041547</v>
      </c>
      <c r="AE1985" s="3" t="n">
        <v>0.044767</v>
      </c>
      <c r="AF1985" s="3" t="n">
        <v>0.028091</v>
      </c>
      <c r="AG1985" s="3" t="n">
        <v>0.008194</v>
      </c>
      <c r="AH1985" s="3" t="n">
        <v>0.02275</v>
      </c>
      <c r="AI1985" s="3" t="n">
        <v>0.017403</v>
      </c>
      <c r="AJ1985" s="3" t="n">
        <v>0.013984</v>
      </c>
      <c r="AK1985" s="3" t="n">
        <v>0.009434</v>
      </c>
      <c r="AL1985" s="3" t="n">
        <v>-0.015079</v>
      </c>
      <c r="AM1985" s="3" t="n"/>
      <c r="AN1985" s="3" t="n"/>
      <c r="AO1985" s="3" t="n"/>
      <c r="AP1985" s="3" t="n"/>
      <c r="AQ1985" s="3" t="n"/>
      <c r="AR1985" s="3" t="n"/>
      <c r="AS1985" s="3" t="n"/>
      <c r="AT1985" s="3" t="n"/>
      <c r="AU1985" s="3" t="n"/>
    </row>
    <row r="1986">
      <c r="A1986" s="3" t="n">
        <v>2031</v>
      </c>
      <c r="B1986" s="3" t="inlineStr">
        <is>
          <t>MHL</t>
        </is>
      </c>
      <c r="C1986" s="3" t="inlineStr">
        <is>
          <t>IMF.RES:WEO</t>
        </is>
      </c>
      <c r="D1986" s="3" t="inlineStr">
        <is>
          <t>MHL.BCA_NGDPD.A</t>
        </is>
      </c>
      <c r="E1986" s="3" t="inlineStr">
        <is>
          <t>Marshall Islands, Republic of the</t>
        </is>
      </c>
      <c r="F1986" s="3" t="inlineStr">
        <is>
          <t>Current account balance (credit less debit), Percent of GDP</t>
        </is>
      </c>
      <c r="G1986" s="3" t="n">
        <v>-12.586775</v>
      </c>
      <c r="H1986" s="3" t="n">
        <v>-3.848861</v>
      </c>
      <c r="I1986" s="3" t="n">
        <v>7.684167</v>
      </c>
      <c r="J1986" s="3" t="n">
        <v>1.341505</v>
      </c>
      <c r="K1986" s="3" t="n">
        <v>5.747235</v>
      </c>
      <c r="L1986" s="3" t="n">
        <v>8.62457</v>
      </c>
      <c r="M1986" s="3" t="n">
        <v>-0.439905</v>
      </c>
      <c r="N1986" s="3" t="n">
        <v>4.706972</v>
      </c>
      <c r="O1986" s="3" t="n">
        <v>3.794738</v>
      </c>
      <c r="P1986" s="3" t="n">
        <v>-8.900693</v>
      </c>
      <c r="Q1986" s="3" t="n">
        <v>-14.721907</v>
      </c>
      <c r="R1986" s="3" t="n">
        <v>3.069239</v>
      </c>
      <c r="S1986" s="3" t="n">
        <v>-0.10927</v>
      </c>
      <c r="T1986" s="3" t="n">
        <v>-4.405313</v>
      </c>
      <c r="U1986" s="3" t="n">
        <v>4.763174</v>
      </c>
      <c r="V1986" s="3" t="n">
        <v>17.167849</v>
      </c>
      <c r="W1986" s="3" t="n">
        <v>16.168423</v>
      </c>
      <c r="X1986" s="3" t="n">
        <v>5.819007</v>
      </c>
      <c r="Y1986" s="3" t="n">
        <v>5.364157</v>
      </c>
      <c r="Z1986" s="3" t="n">
        <v>-23.510565</v>
      </c>
      <c r="AA1986" s="3" t="n">
        <v>22.728187</v>
      </c>
      <c r="AB1986" s="3" t="n">
        <v>27.372541</v>
      </c>
      <c r="AC1986" s="3" t="n">
        <v>6.820262</v>
      </c>
      <c r="AD1986" s="3" t="n">
        <v>15.751608</v>
      </c>
      <c r="AE1986" s="3" t="n">
        <v>15.68631</v>
      </c>
      <c r="AF1986" s="3" t="n">
        <v>9.114141</v>
      </c>
      <c r="AG1986" s="3" t="n">
        <v>2.3936</v>
      </c>
      <c r="AH1986" s="3" t="n">
        <v>6.184993</v>
      </c>
      <c r="AI1986" s="3" t="n">
        <v>4.53402</v>
      </c>
      <c r="AJ1986" s="3" t="n">
        <v>3.496058</v>
      </c>
      <c r="AK1986" s="3" t="n">
        <v>2.267211</v>
      </c>
      <c r="AL1986" s="3" t="n">
        <v>-3.483659</v>
      </c>
      <c r="AM1986" s="3" t="n"/>
      <c r="AN1986" s="3" t="n"/>
      <c r="AO1986" s="3" t="n"/>
      <c r="AP1986" s="3" t="n"/>
      <c r="AQ1986" s="3" t="n"/>
      <c r="AR1986" s="3" t="n"/>
      <c r="AS1986" s="3" t="n"/>
      <c r="AT1986" s="3" t="n"/>
      <c r="AU1986" s="3" t="n"/>
    </row>
    <row r="1987">
      <c r="A1987" s="3" t="n">
        <v>2031</v>
      </c>
      <c r="B1987" s="3" t="inlineStr">
        <is>
          <t>MHL</t>
        </is>
      </c>
      <c r="C1987" s="3" t="inlineStr">
        <is>
          <t>IMF.RES:WEO</t>
        </is>
      </c>
      <c r="D1987" s="3" t="inlineStr">
        <is>
          <t>MHL.GGR_NGDP.A</t>
        </is>
      </c>
      <c r="E1987" s="3" t="inlineStr">
        <is>
          <t>Marshall Islands, Republic of the</t>
        </is>
      </c>
      <c r="F1987" s="3" t="inlineStr">
        <is>
          <t>Revenue, General government, Percent of GDP</t>
        </is>
      </c>
      <c r="G1987" s="3" t="n">
        <v>64.35556800000001</v>
      </c>
      <c r="H1987" s="3" t="n">
        <v>66.650445</v>
      </c>
      <c r="I1987" s="3" t="n">
        <v>60.302886</v>
      </c>
      <c r="J1987" s="3" t="n">
        <v>63.449476</v>
      </c>
      <c r="K1987" s="3" t="n">
        <v>52.931083</v>
      </c>
      <c r="L1987" s="3" t="n">
        <v>63.052875</v>
      </c>
      <c r="M1987" s="3" t="n">
        <v>61.415336</v>
      </c>
      <c r="N1987" s="3" t="n">
        <v>67.51486199999999</v>
      </c>
      <c r="O1987" s="3" t="n">
        <v>67.9653</v>
      </c>
      <c r="P1987" s="3" t="n">
        <v>64.569354</v>
      </c>
      <c r="Q1987" s="3" t="n">
        <v>62.73449</v>
      </c>
      <c r="R1987" s="3" t="n">
        <v>58.048174</v>
      </c>
      <c r="S1987" s="3" t="n">
        <v>52.450134</v>
      </c>
      <c r="T1987" s="3" t="n">
        <v>54.77413</v>
      </c>
      <c r="U1987" s="3" t="n">
        <v>52.398291</v>
      </c>
      <c r="V1987" s="3" t="n">
        <v>59.106944</v>
      </c>
      <c r="W1987" s="3" t="n">
        <v>60.628039</v>
      </c>
      <c r="X1987" s="3" t="n">
        <v>68.08027199999999</v>
      </c>
      <c r="Y1987" s="3" t="n">
        <v>63.003122</v>
      </c>
      <c r="Z1987" s="3" t="n">
        <v>63.70719</v>
      </c>
      <c r="AA1987" s="3" t="n">
        <v>70.342906</v>
      </c>
      <c r="AB1987" s="3" t="n">
        <v>69.344696</v>
      </c>
      <c r="AC1987" s="3" t="n">
        <v>66.299046</v>
      </c>
      <c r="AD1987" s="3" t="n">
        <v>68.540753</v>
      </c>
      <c r="AE1987" s="3" t="n">
        <v>73.524331</v>
      </c>
      <c r="AF1987" s="3" t="n">
        <v>66.640745</v>
      </c>
      <c r="AG1987" s="3" t="n">
        <v>76.355823</v>
      </c>
      <c r="AH1987" s="3" t="n">
        <v>79.445578</v>
      </c>
      <c r="AI1987" s="3" t="n">
        <v>78.420294</v>
      </c>
      <c r="AJ1987" s="3" t="n">
        <v>78.795292</v>
      </c>
      <c r="AK1987" s="3" t="n">
        <v>78.551356</v>
      </c>
      <c r="AL1987" s="3" t="n">
        <v>73.867898</v>
      </c>
      <c r="AM1987" s="3" t="n"/>
      <c r="AN1987" s="3" t="n"/>
      <c r="AO1987" s="3" t="n"/>
      <c r="AP1987" s="3" t="n"/>
      <c r="AQ1987" s="3" t="n"/>
      <c r="AR1987" s="3" t="n"/>
      <c r="AS1987" s="3" t="n"/>
      <c r="AT1987" s="3" t="n"/>
      <c r="AU1987" s="3" t="n"/>
    </row>
    <row r="1988">
      <c r="A1988" s="3" t="n">
        <v>2031</v>
      </c>
      <c r="B1988" s="3" t="inlineStr">
        <is>
          <t>MHL</t>
        </is>
      </c>
      <c r="C1988" s="3" t="inlineStr">
        <is>
          <t>IMF.RES:WEO</t>
        </is>
      </c>
      <c r="D1988" s="3" t="inlineStr">
        <is>
          <t>MHL.GGX_NGDP.A</t>
        </is>
      </c>
      <c r="E1988" s="3" t="inlineStr">
        <is>
          <t>Marshall Islands, Republic of the</t>
        </is>
      </c>
      <c r="F1988" s="3" t="inlineStr">
        <is>
          <t>Expenditure, General government, Percent of GDP</t>
        </is>
      </c>
      <c r="G1988" s="3" t="n">
        <v>56.519625</v>
      </c>
      <c r="H1988" s="3" t="n">
        <v>58.81818</v>
      </c>
      <c r="I1988" s="3" t="n">
        <v>55.182813</v>
      </c>
      <c r="J1988" s="3" t="n">
        <v>52.906362</v>
      </c>
      <c r="K1988" s="3" t="n">
        <v>54.528767</v>
      </c>
      <c r="L1988" s="3" t="n">
        <v>85.335832</v>
      </c>
      <c r="M1988" s="3" t="n">
        <v>61.179984</v>
      </c>
      <c r="N1988" s="3" t="n">
        <v>67.249227</v>
      </c>
      <c r="O1988" s="3" t="n">
        <v>64.280903</v>
      </c>
      <c r="P1988" s="3" t="n">
        <v>63.057227</v>
      </c>
      <c r="Q1988" s="3" t="n">
        <v>59.221568</v>
      </c>
      <c r="R1988" s="3" t="n">
        <v>55.914948</v>
      </c>
      <c r="S1988" s="3" t="n">
        <v>53.21246</v>
      </c>
      <c r="T1988" s="3" t="n">
        <v>55.004875</v>
      </c>
      <c r="U1988" s="3" t="n">
        <v>49.202914</v>
      </c>
      <c r="V1988" s="3" t="n">
        <v>56.294557</v>
      </c>
      <c r="W1988" s="3" t="n">
        <v>56.752266</v>
      </c>
      <c r="X1988" s="3" t="n">
        <v>63.704335</v>
      </c>
      <c r="Y1988" s="3" t="n">
        <v>60.450522</v>
      </c>
      <c r="Z1988" s="3" t="n">
        <v>65.51133</v>
      </c>
      <c r="AA1988" s="3" t="n">
        <v>67.804198</v>
      </c>
      <c r="AB1988" s="3" t="n">
        <v>69.16519599999999</v>
      </c>
      <c r="AC1988" s="3" t="n">
        <v>65.78915000000001</v>
      </c>
      <c r="AD1988" s="3" t="n">
        <v>67.53037</v>
      </c>
      <c r="AE1988" s="3" t="n">
        <v>70.906959</v>
      </c>
      <c r="AF1988" s="3" t="n">
        <v>65.286024</v>
      </c>
      <c r="AG1988" s="3" t="n">
        <v>82.501392</v>
      </c>
      <c r="AH1988" s="3" t="n">
        <v>79.207752</v>
      </c>
      <c r="AI1988" s="3" t="n">
        <v>78.299278</v>
      </c>
      <c r="AJ1988" s="3" t="n">
        <v>78.739755</v>
      </c>
      <c r="AK1988" s="3" t="n">
        <v>78.53200200000001</v>
      </c>
      <c r="AL1988" s="3" t="n">
        <v>77.57446</v>
      </c>
      <c r="AM1988" s="3" t="n"/>
      <c r="AN1988" s="3" t="n"/>
      <c r="AO1988" s="3" t="n"/>
      <c r="AP1988" s="3" t="n"/>
      <c r="AQ1988" s="3" t="n"/>
      <c r="AR1988" s="3" t="n"/>
      <c r="AS1988" s="3" t="n"/>
      <c r="AT1988" s="3" t="n"/>
      <c r="AU1988" s="3" t="n"/>
    </row>
    <row r="1989">
      <c r="A1989" s="3" t="n">
        <v>2031</v>
      </c>
      <c r="B1989" s="3" t="inlineStr">
        <is>
          <t>MHL</t>
        </is>
      </c>
      <c r="C1989" s="3" t="inlineStr">
        <is>
          <t>IMF.RES:WEO</t>
        </is>
      </c>
      <c r="D1989" s="3" t="inlineStr">
        <is>
          <t>MHL.LP.A</t>
        </is>
      </c>
      <c r="E1989" s="3" t="inlineStr">
        <is>
          <t>Marshall Islands, Republic of the</t>
        </is>
      </c>
      <c r="F1989" s="3" t="inlineStr">
        <is>
          <t>Population, Persons for countries / Index for country groups</t>
        </is>
      </c>
      <c r="G1989" s="3" t="n">
        <v>0.051231</v>
      </c>
      <c r="H1989" s="3" t="n">
        <v>0.05054</v>
      </c>
      <c r="I1989" s="3" t="n">
        <v>0.049714</v>
      </c>
      <c r="J1989" s="3" t="n">
        <v>0.049995</v>
      </c>
      <c r="K1989" s="3" t="n">
        <v>0.050461</v>
      </c>
      <c r="L1989" s="3" t="n">
        <v>0.051186</v>
      </c>
      <c r="M1989" s="3" t="n">
        <v>0.051479</v>
      </c>
      <c r="N1989" s="3" t="n">
        <v>0.051797</v>
      </c>
      <c r="O1989" s="3" t="n">
        <v>0.052476</v>
      </c>
      <c r="P1989" s="3" t="n">
        <v>0.052278</v>
      </c>
      <c r="Q1989" s="3" t="n">
        <v>0.052921</v>
      </c>
      <c r="R1989" s="3" t="n">
        <v>0.053158</v>
      </c>
      <c r="S1989" s="3" t="n">
        <v>0.052569</v>
      </c>
      <c r="T1989" s="3" t="n">
        <v>0.05183</v>
      </c>
      <c r="U1989" s="3" t="n">
        <v>0.050939</v>
      </c>
      <c r="V1989" s="3" t="n">
        <v>0.049899</v>
      </c>
      <c r="W1989" s="3" t="n">
        <v>0.048707</v>
      </c>
      <c r="X1989" s="3" t="n">
        <v>0.046991</v>
      </c>
      <c r="Y1989" s="3" t="n">
        <v>0.04536</v>
      </c>
      <c r="Z1989" s="3" t="n">
        <v>0.044152</v>
      </c>
      <c r="AA1989" s="3" t="n">
        <v>0.043941</v>
      </c>
      <c r="AB1989" s="3" t="n">
        <v>0.042418</v>
      </c>
      <c r="AC1989" s="3" t="n">
        <v>0.041414</v>
      </c>
      <c r="AD1989" s="3" t="n">
        <v>0.04041</v>
      </c>
      <c r="AE1989" s="3" t="n">
        <v>0.03839</v>
      </c>
      <c r="AF1989" s="3" t="n">
        <v>0.03647</v>
      </c>
      <c r="AG1989" s="3" t="n">
        <v>0.035376</v>
      </c>
      <c r="AH1989" s="3" t="n">
        <v>0.034492</v>
      </c>
      <c r="AI1989" s="3" t="n">
        <v>0.033802</v>
      </c>
      <c r="AJ1989" s="3" t="n">
        <v>0.033295</v>
      </c>
      <c r="AK1989" s="3" t="n">
        <v>0.032962</v>
      </c>
      <c r="AL1989" s="3" t="n">
        <v>0.032632</v>
      </c>
      <c r="AM1989" s="3" t="n"/>
      <c r="AN1989" s="3" t="n"/>
      <c r="AO1989" s="3" t="n"/>
      <c r="AP1989" s="3" t="n"/>
      <c r="AQ1989" s="3" t="n"/>
      <c r="AR1989" s="3" t="n"/>
      <c r="AS1989" s="3" t="n"/>
      <c r="AT1989" s="3" t="n"/>
      <c r="AU1989" s="3" t="n"/>
    </row>
    <row r="1990">
      <c r="A1990" s="3" t="n">
        <v>2031</v>
      </c>
      <c r="B1990" s="3" t="inlineStr">
        <is>
          <t>MHL</t>
        </is>
      </c>
      <c r="C1990" s="3" t="inlineStr">
        <is>
          <t>IMF.RES:WEO</t>
        </is>
      </c>
      <c r="D1990" s="3" t="inlineStr">
        <is>
          <t>MHL.NGDP.A</t>
        </is>
      </c>
      <c r="E1990" s="3" t="inlineStr">
        <is>
          <t>Marshall Islands, Republic of the</t>
        </is>
      </c>
      <c r="F1990" s="3" t="inlineStr">
        <is>
          <t>Gross domestic product (GDP), Current prices, Domestic currency</t>
        </is>
      </c>
      <c r="G1990" s="3" t="n">
        <v>0.115095</v>
      </c>
      <c r="H1990" s="3" t="n">
        <v>0.122651</v>
      </c>
      <c r="I1990" s="3" t="n">
        <v>0.132098</v>
      </c>
      <c r="J1990" s="3" t="n">
        <v>0.131245</v>
      </c>
      <c r="K1990" s="3" t="n">
        <v>0.132923</v>
      </c>
      <c r="L1990" s="3" t="n">
        <v>0.137951</v>
      </c>
      <c r="M1990" s="3" t="n">
        <v>0.143153</v>
      </c>
      <c r="N1990" s="3" t="n">
        <v>0.150469</v>
      </c>
      <c r="O1990" s="3" t="n">
        <v>0.146616</v>
      </c>
      <c r="P1990" s="3" t="n">
        <v>0.151235</v>
      </c>
      <c r="Q1990" s="3" t="n">
        <v>0.161056</v>
      </c>
      <c r="R1990" s="3" t="n">
        <v>0.172306</v>
      </c>
      <c r="S1990" s="3" t="n">
        <v>0.180708</v>
      </c>
      <c r="T1990" s="3" t="n">
        <v>0.186371</v>
      </c>
      <c r="U1990" s="3" t="n">
        <v>0.186028</v>
      </c>
      <c r="V1990" s="3" t="n">
        <v>0.183667</v>
      </c>
      <c r="W1990" s="3" t="n">
        <v>0.201829</v>
      </c>
      <c r="X1990" s="3" t="n">
        <v>0.213704</v>
      </c>
      <c r="Y1990" s="3" t="n">
        <v>0.220022</v>
      </c>
      <c r="Z1990" s="3" t="n">
        <v>0.232895</v>
      </c>
      <c r="AA1990" s="3" t="n">
        <v>0.241784</v>
      </c>
      <c r="AB1990" s="3" t="n">
        <v>0.261246</v>
      </c>
      <c r="AC1990" s="3" t="n">
        <v>0.258724</v>
      </c>
      <c r="AD1990" s="3" t="n">
        <v>0.263761</v>
      </c>
      <c r="AE1990" s="3" t="n">
        <v>0.285388</v>
      </c>
      <c r="AF1990" s="3" t="n">
        <v>0.308212</v>
      </c>
      <c r="AG1990" s="3" t="n">
        <v>0.342341</v>
      </c>
      <c r="AH1990" s="3" t="n">
        <v>0.367825</v>
      </c>
      <c r="AI1990" s="3" t="n">
        <v>0.383826</v>
      </c>
      <c r="AJ1990" s="3" t="n">
        <v>0.399994</v>
      </c>
      <c r="AK1990" s="3" t="n">
        <v>0.416101</v>
      </c>
      <c r="AL1990" s="3" t="n">
        <v>0.432857</v>
      </c>
      <c r="AM1990" s="3" t="n"/>
      <c r="AN1990" s="3" t="n"/>
      <c r="AO1990" s="3" t="n"/>
      <c r="AP1990" s="3" t="n"/>
      <c r="AQ1990" s="3" t="n"/>
      <c r="AR1990" s="3" t="n"/>
      <c r="AS1990" s="3" t="n"/>
      <c r="AT1990" s="3" t="n"/>
      <c r="AU1990" s="3" t="n"/>
    </row>
    <row r="1991">
      <c r="A1991" s="3" t="n">
        <v>2031</v>
      </c>
      <c r="B1991" s="3" t="inlineStr">
        <is>
          <t>MHL</t>
        </is>
      </c>
      <c r="C1991" s="3" t="inlineStr">
        <is>
          <t>IMF.RES:WEO</t>
        </is>
      </c>
      <c r="D1991" s="3" t="inlineStr">
        <is>
          <t>MHL.NGDP_D.A</t>
        </is>
      </c>
      <c r="E1991" s="3" t="inlineStr">
        <is>
          <t>Marshall Islands, Republic of the</t>
        </is>
      </c>
      <c r="F1991" s="3" t="inlineStr">
        <is>
          <t>Gross domestic product (GDP), Price deflator, Index</t>
        </is>
      </c>
      <c r="G1991" s="3" t="n">
        <v>74.470336</v>
      </c>
      <c r="H1991" s="3" t="n">
        <v>74.06766</v>
      </c>
      <c r="I1991" s="3" t="n">
        <v>77.049207</v>
      </c>
      <c r="J1991" s="3" t="n">
        <v>77.805224</v>
      </c>
      <c r="K1991" s="3" t="n">
        <v>79.34253099999999</v>
      </c>
      <c r="L1991" s="3" t="n">
        <v>80.897053</v>
      </c>
      <c r="M1991" s="3" t="n">
        <v>83.79258900000001</v>
      </c>
      <c r="N1991" s="3" t="n">
        <v>84.949051</v>
      </c>
      <c r="O1991" s="3" t="n">
        <v>89.56044799999999</v>
      </c>
      <c r="P1991" s="3" t="n">
        <v>89.126148</v>
      </c>
      <c r="Q1991" s="3" t="n">
        <v>89.916038</v>
      </c>
      <c r="R1991" s="3" t="n">
        <v>96.68186</v>
      </c>
      <c r="S1991" s="3" t="n">
        <v>102.709906</v>
      </c>
      <c r="T1991" s="3" t="n">
        <v>102.061904</v>
      </c>
      <c r="U1991" s="3" t="n">
        <v>103.200151</v>
      </c>
      <c r="V1991" s="3" t="n">
        <v>100</v>
      </c>
      <c r="W1991" s="3" t="n">
        <v>107.183893</v>
      </c>
      <c r="X1991" s="3" t="n">
        <v>109.585736</v>
      </c>
      <c r="Y1991" s="3" t="n">
        <v>106.959603</v>
      </c>
      <c r="Z1991" s="3" t="n">
        <v>102.487953</v>
      </c>
      <c r="AA1991" s="3" t="n">
        <v>109.439399</v>
      </c>
      <c r="AB1991" s="3" t="n">
        <v>115.764372</v>
      </c>
      <c r="AC1991" s="3" t="n">
        <v>115.455637</v>
      </c>
      <c r="AD1991" s="3" t="n">
        <v>124.239907</v>
      </c>
      <c r="AE1991" s="3" t="n">
        <v>130.511328</v>
      </c>
      <c r="AF1991" s="3" t="n">
        <v>137.474406</v>
      </c>
      <c r="AG1991" s="3" t="n">
        <v>147.291398</v>
      </c>
      <c r="AH1991" s="3" t="n">
        <v>155.206977</v>
      </c>
      <c r="AI1991" s="3" t="n">
        <v>158.914239</v>
      </c>
      <c r="AJ1991" s="3" t="n">
        <v>162.694955</v>
      </c>
      <c r="AK1991" s="3" t="n">
        <v>166.572671</v>
      </c>
      <c r="AL1991" s="3" t="n">
        <v>170.542809</v>
      </c>
      <c r="AM1991" s="3" t="n"/>
      <c r="AN1991" s="3" t="n"/>
      <c r="AO1991" s="3" t="n"/>
      <c r="AP1991" s="3" t="n"/>
      <c r="AQ1991" s="3" t="n"/>
      <c r="AR1991" s="3" t="n"/>
      <c r="AS1991" s="3" t="n"/>
      <c r="AT1991" s="3" t="n"/>
      <c r="AU1991" s="3" t="n"/>
    </row>
    <row r="1992">
      <c r="A1992" s="3" t="n">
        <v>2031</v>
      </c>
      <c r="B1992" s="3" t="inlineStr">
        <is>
          <t>MHL</t>
        </is>
      </c>
      <c r="C1992" s="3" t="inlineStr">
        <is>
          <t>IMF.RES:WEO</t>
        </is>
      </c>
      <c r="D1992" s="3" t="inlineStr">
        <is>
          <t>MHL.NGDP_R.A</t>
        </is>
      </c>
      <c r="E1992" s="3" t="inlineStr">
        <is>
          <t>Marshall Islands, Republic of the</t>
        </is>
      </c>
      <c r="F1992" s="3" t="inlineStr">
        <is>
          <t>Gross domestic product (GDP), Constant prices, Domestic currency</t>
        </is>
      </c>
      <c r="G1992" s="3" t="n">
        <v>0.154552</v>
      </c>
      <c r="H1992" s="3" t="n">
        <v>0.165593</v>
      </c>
      <c r="I1992" s="3" t="n">
        <v>0.171446</v>
      </c>
      <c r="J1992" s="3" t="n">
        <v>0.168683</v>
      </c>
      <c r="K1992" s="3" t="n">
        <v>0.16753</v>
      </c>
      <c r="L1992" s="3" t="n">
        <v>0.170526</v>
      </c>
      <c r="M1992" s="3" t="n">
        <v>0.170842</v>
      </c>
      <c r="N1992" s="3" t="n">
        <v>0.177128</v>
      </c>
      <c r="O1992" s="3" t="n">
        <v>0.163706</v>
      </c>
      <c r="P1992" s="3" t="n">
        <v>0.169686</v>
      </c>
      <c r="Q1992" s="3" t="n">
        <v>0.179118</v>
      </c>
      <c r="R1992" s="3" t="n">
        <v>0.17822</v>
      </c>
      <c r="S1992" s="3" t="n">
        <v>0.175941</v>
      </c>
      <c r="T1992" s="3" t="n">
        <v>0.182606</v>
      </c>
      <c r="U1992" s="3" t="n">
        <v>0.18026</v>
      </c>
      <c r="V1992" s="3" t="n">
        <v>0.183667</v>
      </c>
      <c r="W1992" s="3" t="n">
        <v>0.188302</v>
      </c>
      <c r="X1992" s="3" t="n">
        <v>0.19501</v>
      </c>
      <c r="Y1992" s="3" t="n">
        <v>0.205705</v>
      </c>
      <c r="Z1992" s="3" t="n">
        <v>0.227241</v>
      </c>
      <c r="AA1992" s="3" t="n">
        <v>0.22093</v>
      </c>
      <c r="AB1992" s="3" t="n">
        <v>0.22567</v>
      </c>
      <c r="AC1992" s="3" t="n">
        <v>0.224089</v>
      </c>
      <c r="AD1992" s="3" t="n">
        <v>0.2123</v>
      </c>
      <c r="AE1992" s="3" t="n">
        <v>0.218669</v>
      </c>
      <c r="AF1992" s="3" t="n">
        <v>0.224196</v>
      </c>
      <c r="AG1992" s="3" t="n">
        <v>0.232424</v>
      </c>
      <c r="AH1992" s="3" t="n">
        <v>0.23699</v>
      </c>
      <c r="AI1992" s="3" t="n">
        <v>0.241531</v>
      </c>
      <c r="AJ1992" s="3" t="n">
        <v>0.245855</v>
      </c>
      <c r="AK1992" s="3" t="n">
        <v>0.249801</v>
      </c>
      <c r="AL1992" s="3" t="n">
        <v>0.253811</v>
      </c>
      <c r="AM1992" s="3" t="n"/>
      <c r="AN1992" s="3" t="n"/>
      <c r="AO1992" s="3" t="n"/>
      <c r="AP1992" s="3" t="n"/>
      <c r="AQ1992" s="3" t="n"/>
      <c r="AR1992" s="3" t="n"/>
      <c r="AS1992" s="3" t="n"/>
      <c r="AT1992" s="3" t="n"/>
      <c r="AU1992" s="3" t="n"/>
    </row>
    <row r="1993">
      <c r="A1993" s="3" t="n">
        <v>2031</v>
      </c>
      <c r="B1993" s="3" t="inlineStr">
        <is>
          <t>MHL</t>
        </is>
      </c>
      <c r="C1993" s="3" t="inlineStr">
        <is>
          <t>IMF.RES:WEO</t>
        </is>
      </c>
      <c r="D1993" s="3" t="inlineStr">
        <is>
          <t>MHL.NGDP_RPCH.A</t>
        </is>
      </c>
      <c r="E1993" s="3" t="inlineStr">
        <is>
          <t>Marshall Islands, Republic of the</t>
        </is>
      </c>
      <c r="F1993" s="3" t="inlineStr">
        <is>
          <t>Gross domestic product (GDP), Constant prices, Percent change</t>
        </is>
      </c>
      <c r="G1993" s="3" t="n">
        <v>2.653184</v>
      </c>
      <c r="H1993" s="3" t="n">
        <v>7.143742</v>
      </c>
      <c r="I1993" s="3" t="n">
        <v>3.534856</v>
      </c>
      <c r="J1993" s="3" t="n">
        <v>-1.611512</v>
      </c>
      <c r="K1993" s="3" t="n">
        <v>-0.683737</v>
      </c>
      <c r="L1993" s="3" t="n">
        <v>1.788528</v>
      </c>
      <c r="M1993" s="3" t="n">
        <v>0.185072</v>
      </c>
      <c r="N1993" s="3" t="n">
        <v>3.679616</v>
      </c>
      <c r="O1993" s="3" t="n">
        <v>-7.577898</v>
      </c>
      <c r="P1993" s="3" t="n">
        <v>3.653014</v>
      </c>
      <c r="Q1993" s="3" t="n">
        <v>5.558642</v>
      </c>
      <c r="R1993" s="3" t="n">
        <v>-0.501708</v>
      </c>
      <c r="S1993" s="3" t="n">
        <v>-1.278781</v>
      </c>
      <c r="T1993" s="3" t="n">
        <v>3.788278</v>
      </c>
      <c r="U1993" s="3" t="n">
        <v>-1.284657</v>
      </c>
      <c r="V1993" s="3" t="n">
        <v>1.890303</v>
      </c>
      <c r="W1993" s="3" t="n">
        <v>2.523284</v>
      </c>
      <c r="X1993" s="3" t="n">
        <v>3.562721</v>
      </c>
      <c r="Y1993" s="3" t="n">
        <v>5.484282</v>
      </c>
      <c r="Z1993" s="3" t="n">
        <v>10.469354</v>
      </c>
      <c r="AA1993" s="3" t="n">
        <v>-2.777347</v>
      </c>
      <c r="AB1993" s="3" t="n">
        <v>2.14552</v>
      </c>
      <c r="AC1993" s="3" t="n">
        <v>-0.700564</v>
      </c>
      <c r="AD1993" s="3" t="n">
        <v>-5.260903</v>
      </c>
      <c r="AE1993" s="3" t="n">
        <v>3</v>
      </c>
      <c r="AF1993" s="3" t="n">
        <v>2.527476</v>
      </c>
      <c r="AG1993" s="3" t="n">
        <v>3.670127</v>
      </c>
      <c r="AH1993" s="3" t="n">
        <v>1.964539</v>
      </c>
      <c r="AI1993" s="3" t="n">
        <v>1.915874</v>
      </c>
      <c r="AJ1993" s="3" t="n">
        <v>1.790385</v>
      </c>
      <c r="AK1993" s="3" t="n">
        <v>1.605226</v>
      </c>
      <c r="AL1993" s="3" t="n">
        <v>1.605226</v>
      </c>
      <c r="AM1993" s="3" t="n"/>
      <c r="AN1993" s="3" t="n"/>
      <c r="AO1993" s="3" t="n"/>
      <c r="AP1993" s="3" t="n"/>
      <c r="AQ1993" s="3" t="n"/>
      <c r="AR1993" s="3" t="n"/>
      <c r="AS1993" s="3" t="n"/>
      <c r="AT1993" s="3" t="n"/>
      <c r="AU1993" s="3" t="n"/>
    </row>
    <row r="1994">
      <c r="A1994" s="3" t="n">
        <v>2031</v>
      </c>
      <c r="B1994" s="3" t="inlineStr">
        <is>
          <t>MHL</t>
        </is>
      </c>
      <c r="C1994" s="3" t="inlineStr">
        <is>
          <t>IMF.RES:WEO</t>
        </is>
      </c>
      <c r="D1994" s="3" t="inlineStr">
        <is>
          <t>MHL.NGDPD.A</t>
        </is>
      </c>
      <c r="E1994" s="3" t="inlineStr">
        <is>
          <t>Marshall Islands, Republic of the</t>
        </is>
      </c>
      <c r="F1994" s="3" t="inlineStr">
        <is>
          <t>Gross domestic product (GDP), Current prices, US dollar</t>
        </is>
      </c>
      <c r="G1994" s="3" t="n">
        <v>0.115095</v>
      </c>
      <c r="H1994" s="3" t="n">
        <v>0.122651</v>
      </c>
      <c r="I1994" s="3" t="n">
        <v>0.132098</v>
      </c>
      <c r="J1994" s="3" t="n">
        <v>0.131245</v>
      </c>
      <c r="K1994" s="3" t="n">
        <v>0.132923</v>
      </c>
      <c r="L1994" s="3" t="n">
        <v>0.137951</v>
      </c>
      <c r="M1994" s="3" t="n">
        <v>0.143153</v>
      </c>
      <c r="N1994" s="3" t="n">
        <v>0.150469</v>
      </c>
      <c r="O1994" s="3" t="n">
        <v>0.146616</v>
      </c>
      <c r="P1994" s="3" t="n">
        <v>0.151235</v>
      </c>
      <c r="Q1994" s="3" t="n">
        <v>0.161056</v>
      </c>
      <c r="R1994" s="3" t="n">
        <v>0.172306</v>
      </c>
      <c r="S1994" s="3" t="n">
        <v>0.180708</v>
      </c>
      <c r="T1994" s="3" t="n">
        <v>0.186371</v>
      </c>
      <c r="U1994" s="3" t="n">
        <v>0.186028</v>
      </c>
      <c r="V1994" s="3" t="n">
        <v>0.183667</v>
      </c>
      <c r="W1994" s="3" t="n">
        <v>0.201829</v>
      </c>
      <c r="X1994" s="3" t="n">
        <v>0.213704</v>
      </c>
      <c r="Y1994" s="3" t="n">
        <v>0.220022</v>
      </c>
      <c r="Z1994" s="3" t="n">
        <v>0.232895</v>
      </c>
      <c r="AA1994" s="3" t="n">
        <v>0.241784</v>
      </c>
      <c r="AB1994" s="3" t="n">
        <v>0.261246</v>
      </c>
      <c r="AC1994" s="3" t="n">
        <v>0.258724</v>
      </c>
      <c r="AD1994" s="3" t="n">
        <v>0.263761</v>
      </c>
      <c r="AE1994" s="3" t="n">
        <v>0.285388</v>
      </c>
      <c r="AF1994" s="3" t="n">
        <v>0.308212</v>
      </c>
      <c r="AG1994" s="3" t="n">
        <v>0.342341</v>
      </c>
      <c r="AH1994" s="3" t="n">
        <v>0.367825</v>
      </c>
      <c r="AI1994" s="3" t="n">
        <v>0.383826</v>
      </c>
      <c r="AJ1994" s="3" t="n">
        <v>0.399994</v>
      </c>
      <c r="AK1994" s="3" t="n">
        <v>0.416101</v>
      </c>
      <c r="AL1994" s="3" t="n">
        <v>0.432857</v>
      </c>
      <c r="AM1994" s="3" t="n"/>
      <c r="AN1994" s="3" t="n"/>
      <c r="AO1994" s="3" t="n"/>
      <c r="AP1994" s="3" t="n"/>
      <c r="AQ1994" s="3" t="n"/>
      <c r="AR1994" s="3" t="n"/>
      <c r="AS1994" s="3" t="n"/>
      <c r="AT1994" s="3" t="n"/>
      <c r="AU1994" s="3" t="n"/>
    </row>
    <row r="1995">
      <c r="A1995" s="3" t="n">
        <v>2031</v>
      </c>
      <c r="B1995" s="3" t="inlineStr">
        <is>
          <t>MHL</t>
        </is>
      </c>
      <c r="C1995" s="3" t="inlineStr">
        <is>
          <t>IMF.RES:WEO</t>
        </is>
      </c>
      <c r="D1995" s="3" t="inlineStr">
        <is>
          <t>MHL.NGDPPC.A</t>
        </is>
      </c>
      <c r="E1995" s="3" t="inlineStr">
        <is>
          <t>Marshall Islands, Republic of the</t>
        </is>
      </c>
      <c r="F1995" s="3" t="inlineStr">
        <is>
          <t>Gross domestic product (GDP), Current prices, Per capita, Domestic currency</t>
        </is>
      </c>
      <c r="G1995" s="3" t="n">
        <v>2246.583229</v>
      </c>
      <c r="H1995" s="3" t="n">
        <v>2426.821881</v>
      </c>
      <c r="I1995" s="3" t="n">
        <v>2657.160015</v>
      </c>
      <c r="J1995" s="3" t="n">
        <v>2625.135928</v>
      </c>
      <c r="K1995" s="3" t="n">
        <v>2634.183083</v>
      </c>
      <c r="L1995" s="3" t="n">
        <v>2695.089598</v>
      </c>
      <c r="M1995" s="3" t="n">
        <v>2780.785081</v>
      </c>
      <c r="N1995" s="3" t="n">
        <v>2904.991124</v>
      </c>
      <c r="O1995" s="3" t="n">
        <v>2793.934212</v>
      </c>
      <c r="P1995" s="3" t="n">
        <v>2892.87116</v>
      </c>
      <c r="Q1995" s="3" t="n">
        <v>3043.356747</v>
      </c>
      <c r="R1995" s="3" t="n">
        <v>3241.393003</v>
      </c>
      <c r="S1995" s="3" t="n">
        <v>3437.540625</v>
      </c>
      <c r="T1995" s="3" t="n">
        <v>3595.841925</v>
      </c>
      <c r="U1995" s="3" t="n">
        <v>3651.957576</v>
      </c>
      <c r="V1995" s="3" t="n">
        <v>3680.812733</v>
      </c>
      <c r="W1995" s="3" t="n">
        <v>4143.727551</v>
      </c>
      <c r="X1995" s="3" t="n">
        <v>4547.783072</v>
      </c>
      <c r="Y1995" s="3" t="n">
        <v>4850.533258</v>
      </c>
      <c r="Z1995" s="3" t="n">
        <v>5274.861744</v>
      </c>
      <c r="AA1995" s="3" t="n">
        <v>5502.425895</v>
      </c>
      <c r="AB1995" s="3" t="n">
        <v>6158.836919</v>
      </c>
      <c r="AC1995" s="3" t="n">
        <v>6247.247567</v>
      </c>
      <c r="AD1995" s="3" t="n">
        <v>6527.129968</v>
      </c>
      <c r="AE1995" s="3" t="n">
        <v>7434.007127</v>
      </c>
      <c r="AF1995" s="3" t="n">
        <v>8451.100656000001</v>
      </c>
      <c r="AG1995" s="3" t="n">
        <v>9677.221973</v>
      </c>
      <c r="AH1995" s="3" t="n">
        <v>10664.220124</v>
      </c>
      <c r="AI1995" s="3" t="n">
        <v>11355.242926</v>
      </c>
      <c r="AJ1995" s="3" t="n">
        <v>12013.739999</v>
      </c>
      <c r="AK1995" s="3" t="n">
        <v>12623.760349</v>
      </c>
      <c r="AL1995" s="3" t="n">
        <v>13264.755636</v>
      </c>
      <c r="AM1995" s="3" t="n"/>
      <c r="AN1995" s="3" t="n"/>
      <c r="AO1995" s="3" t="n"/>
      <c r="AP1995" s="3" t="n"/>
      <c r="AQ1995" s="3" t="n"/>
      <c r="AR1995" s="3" t="n"/>
      <c r="AS1995" s="3" t="n"/>
      <c r="AT1995" s="3" t="n"/>
      <c r="AU1995" s="3" t="n"/>
    </row>
    <row r="1996">
      <c r="A1996" s="3" t="n">
        <v>2031</v>
      </c>
      <c r="B1996" s="3" t="inlineStr">
        <is>
          <t>MHL</t>
        </is>
      </c>
      <c r="C1996" s="3" t="inlineStr">
        <is>
          <t>IMF.RES:WEO</t>
        </is>
      </c>
      <c r="D1996" s="3" t="inlineStr">
        <is>
          <t>MHL.NGDPRPC.A</t>
        </is>
      </c>
      <c r="E1996" s="3" t="inlineStr">
        <is>
          <t>Marshall Islands, Republic of the</t>
        </is>
      </c>
      <c r="F1996" s="3" t="inlineStr">
        <is>
          <t>Gross domestic product (GDP), Constant prices, Per capita, Domestic currency</t>
        </is>
      </c>
      <c r="G1996" s="3" t="n">
        <v>3016.749167</v>
      </c>
      <c r="H1996" s="3" t="n">
        <v>3276.493236</v>
      </c>
      <c r="I1996" s="3" t="n">
        <v>3448.653299</v>
      </c>
      <c r="J1996" s="3" t="n">
        <v>3373.984163</v>
      </c>
      <c r="K1996" s="3" t="n">
        <v>3320.013935</v>
      </c>
      <c r="L1996" s="3" t="n">
        <v>3331.505304</v>
      </c>
      <c r="M1996" s="3" t="n">
        <v>3318.652774</v>
      </c>
      <c r="N1996" s="3" t="n">
        <v>3419.686358</v>
      </c>
      <c r="O1996" s="3" t="n">
        <v>3119.607242</v>
      </c>
      <c r="P1996" s="3" t="n">
        <v>3245.81645</v>
      </c>
      <c r="Q1996" s="3" t="n">
        <v>3384.665076</v>
      </c>
      <c r="R1996" s="3" t="n">
        <v>3352.638238</v>
      </c>
      <c r="S1996" s="3" t="n">
        <v>3346.844292</v>
      </c>
      <c r="T1996" s="3" t="n">
        <v>3523.196997</v>
      </c>
      <c r="U1996" s="3" t="n">
        <v>3538.713393</v>
      </c>
      <c r="V1996" s="3" t="n">
        <v>3680.812733</v>
      </c>
      <c r="W1996" s="3" t="n">
        <v>3865.998378</v>
      </c>
      <c r="X1996" s="3" t="n">
        <v>4149.977196</v>
      </c>
      <c r="Y1996" s="3" t="n">
        <v>4534.920766</v>
      </c>
      <c r="Z1996" s="3" t="n">
        <v>5146.811485</v>
      </c>
      <c r="AA1996" s="3" t="n">
        <v>5027.829059</v>
      </c>
      <c r="AB1996" s="3" t="n">
        <v>5320.148863</v>
      </c>
      <c r="AC1996" s="3" t="n">
        <v>5410.950677</v>
      </c>
      <c r="AD1996" s="3" t="n">
        <v>5253.650087</v>
      </c>
      <c r="AE1996" s="3" t="n">
        <v>5696.062725</v>
      </c>
      <c r="AF1996" s="3" t="n">
        <v>6147.399288</v>
      </c>
      <c r="AG1996" s="3" t="n">
        <v>6570.120239</v>
      </c>
      <c r="AH1996" s="3" t="n">
        <v>6870.966961</v>
      </c>
      <c r="AI1996" s="3" t="n">
        <v>7145.516327</v>
      </c>
      <c r="AJ1996" s="3" t="n">
        <v>7384.211767</v>
      </c>
      <c r="AK1996" s="3" t="n">
        <v>7578.530324</v>
      </c>
      <c r="AL1996" s="3" t="n">
        <v>7777.962454</v>
      </c>
      <c r="AM1996" s="3" t="n"/>
      <c r="AN1996" s="3" t="n"/>
      <c r="AO1996" s="3" t="n"/>
      <c r="AP1996" s="3" t="n"/>
      <c r="AQ1996" s="3" t="n"/>
      <c r="AR1996" s="3" t="n"/>
      <c r="AS1996" s="3" t="n"/>
      <c r="AT1996" s="3" t="n"/>
      <c r="AU1996" s="3" t="n"/>
    </row>
    <row r="1997">
      <c r="A1997" s="3" t="n">
        <v>2031</v>
      </c>
      <c r="B1997" s="3" t="inlineStr">
        <is>
          <t>MHL</t>
        </is>
      </c>
      <c r="C1997" s="3" t="inlineStr">
        <is>
          <t>IMF.RES:WEO</t>
        </is>
      </c>
      <c r="D1997" s="3" t="inlineStr">
        <is>
          <t>MHL.PCPI.A</t>
        </is>
      </c>
      <c r="E1997" s="3" t="inlineStr">
        <is>
          <t>Marshall Islands, Republic of the</t>
        </is>
      </c>
      <c r="F1997" s="3" t="inlineStr">
        <is>
          <t>All Items, Consumer price index (CPI), Period average</t>
        </is>
      </c>
      <c r="G1997" s="3" t="n"/>
      <c r="H1997" s="3" t="n"/>
      <c r="I1997" s="3" t="n"/>
      <c r="J1997" s="3" t="n">
        <v>100.498302</v>
      </c>
      <c r="K1997" s="3" t="n">
        <v>102.522749</v>
      </c>
      <c r="L1997" s="3" t="n">
        <v>106.099399</v>
      </c>
      <c r="M1997" s="3" t="n">
        <v>111.680188</v>
      </c>
      <c r="N1997" s="3" t="n">
        <v>114.61438</v>
      </c>
      <c r="O1997" s="3" t="n">
        <v>131.426685</v>
      </c>
      <c r="P1997" s="3" t="n">
        <v>132.05796</v>
      </c>
      <c r="Q1997" s="3" t="n">
        <v>134.394798</v>
      </c>
      <c r="R1997" s="3" t="n">
        <v>141.587321</v>
      </c>
      <c r="S1997" s="3" t="n">
        <v>147.732248</v>
      </c>
      <c r="T1997" s="3" t="n">
        <v>150.466268</v>
      </c>
      <c r="U1997" s="3" t="n">
        <v>152.118628</v>
      </c>
      <c r="V1997" s="3" t="n">
        <v>148.716315</v>
      </c>
      <c r="W1997" s="3" t="n">
        <v>146.475251</v>
      </c>
      <c r="X1997" s="3" t="n">
        <v>146.54856</v>
      </c>
      <c r="Y1997" s="3" t="n">
        <v>147.723237</v>
      </c>
      <c r="Z1997" s="3" t="n">
        <v>147.56148</v>
      </c>
      <c r="AA1997" s="3" t="n">
        <v>146.589854</v>
      </c>
      <c r="AB1997" s="3" t="n">
        <v>149.883441</v>
      </c>
      <c r="AC1997" s="3" t="n">
        <v>154.042532</v>
      </c>
      <c r="AD1997" s="3" t="n">
        <v>165.504837</v>
      </c>
      <c r="AE1997" s="3" t="n">
        <v>174.109875</v>
      </c>
      <c r="AF1997" s="3" t="n">
        <v>183.633816</v>
      </c>
      <c r="AG1997" s="3" t="n">
        <v>197.228305</v>
      </c>
      <c r="AH1997" s="3" t="n">
        <v>208.035766</v>
      </c>
      <c r="AI1997" s="3" t="n">
        <v>213.100095</v>
      </c>
      <c r="AJ1997" s="3" t="n">
        <v>218.260712</v>
      </c>
      <c r="AK1997" s="3" t="n">
        <v>223.546302</v>
      </c>
      <c r="AL1997" s="3" t="n">
        <v>228.959893</v>
      </c>
      <c r="AM1997" s="3" t="n"/>
      <c r="AN1997" s="3" t="n"/>
      <c r="AO1997" s="3" t="n"/>
      <c r="AP1997" s="3" t="n"/>
      <c r="AQ1997" s="3" t="n"/>
      <c r="AR1997" s="3" t="n"/>
      <c r="AS1997" s="3" t="n"/>
      <c r="AT1997" s="3" t="n"/>
      <c r="AU1997" s="3" t="n"/>
    </row>
    <row r="1998">
      <c r="A1998" s="3" t="n">
        <v>2031</v>
      </c>
      <c r="B1998" s="3" t="inlineStr">
        <is>
          <t>MHL</t>
        </is>
      </c>
      <c r="C1998" s="3" t="inlineStr">
        <is>
          <t>IMF.RES:WEO</t>
        </is>
      </c>
      <c r="D1998" s="3" t="inlineStr">
        <is>
          <t>MHL.PCPIPCH.A</t>
        </is>
      </c>
      <c r="E1998" s="3" t="inlineStr">
        <is>
          <t>Marshall Islands, Republic of the</t>
        </is>
      </c>
      <c r="F1998" s="3" t="inlineStr">
        <is>
          <t>All Items, Consumer price index (CPI), Period average, percent change</t>
        </is>
      </c>
      <c r="G1998" s="3" t="n"/>
      <c r="H1998" s="3" t="n"/>
      <c r="I1998" s="3" t="n"/>
      <c r="J1998" s="3" t="n"/>
      <c r="K1998" s="3" t="n">
        <v>2.014409</v>
      </c>
      <c r="L1998" s="3" t="n">
        <v>3.488641</v>
      </c>
      <c r="M1998" s="3" t="n">
        <v>5.259962</v>
      </c>
      <c r="N1998" s="3" t="n">
        <v>2.627317</v>
      </c>
      <c r="O1998" s="3" t="n">
        <v>14.668582</v>
      </c>
      <c r="P1998" s="3" t="n">
        <v>0.480325</v>
      </c>
      <c r="Q1998" s="3" t="n">
        <v>1.769555</v>
      </c>
      <c r="R1998" s="3" t="n">
        <v>5.351786</v>
      </c>
      <c r="S1998" s="3" t="n">
        <v>4.340027</v>
      </c>
      <c r="T1998" s="3" t="n">
        <v>1.850659</v>
      </c>
      <c r="U1998" s="3" t="n">
        <v>1.09816</v>
      </c>
      <c r="V1998" s="3" t="n">
        <v>-2.236618</v>
      </c>
      <c r="W1998" s="3" t="n">
        <v>-1.506939</v>
      </c>
      <c r="X1998" s="3" t="n">
        <v>0.050049</v>
      </c>
      <c r="Y1998" s="3" t="n">
        <v>0.801562</v>
      </c>
      <c r="Z1998" s="3" t="n">
        <v>-0.109501</v>
      </c>
      <c r="AA1998" s="3" t="n">
        <v>-0.658455</v>
      </c>
      <c r="AB1998" s="3" t="n">
        <v>2.246804</v>
      </c>
      <c r="AC1998" s="3" t="n">
        <v>2.774883</v>
      </c>
      <c r="AD1998" s="3" t="n">
        <v>7.441</v>
      </c>
      <c r="AE1998" s="3" t="n">
        <v>5.199267</v>
      </c>
      <c r="AF1998" s="3" t="n">
        <v>5.470075</v>
      </c>
      <c r="AG1998" s="3" t="n">
        <v>7.403042</v>
      </c>
      <c r="AH1998" s="3" t="n">
        <v>5.479671</v>
      </c>
      <c r="AI1998" s="3" t="n">
        <v>2.434355</v>
      </c>
      <c r="AJ1998" s="3" t="n">
        <v>2.421687</v>
      </c>
      <c r="AK1998" s="3" t="n">
        <v>2.421687</v>
      </c>
      <c r="AL1998" s="3" t="n">
        <v>2.421687</v>
      </c>
      <c r="AM1998" s="3" t="n"/>
      <c r="AN1998" s="3" t="n"/>
      <c r="AO1998" s="3" t="n"/>
      <c r="AP1998" s="3" t="n"/>
      <c r="AQ1998" s="3" t="n"/>
      <c r="AR1998" s="3" t="n"/>
      <c r="AS1998" s="3" t="n"/>
      <c r="AT1998" s="3" t="n"/>
      <c r="AU1998" s="3" t="n"/>
    </row>
    <row r="1999">
      <c r="A1999" s="3" t="n">
        <v>2031</v>
      </c>
      <c r="B1999" s="3" t="inlineStr">
        <is>
          <t>MHL</t>
        </is>
      </c>
      <c r="C1999" s="3" t="inlineStr">
        <is>
          <t>IMF.RES:WEO</t>
        </is>
      </c>
      <c r="D1999" s="3" t="inlineStr">
        <is>
          <t>MHL.PPPPC.A</t>
        </is>
      </c>
      <c r="E1999" s="3" t="inlineStr">
        <is>
          <t>Marshall Islands, Republic of the</t>
        </is>
      </c>
      <c r="F1999" s="3" t="inlineStr">
        <is>
          <t>Gross domestic product (GDP), Per capita, purchasing power parity (PPP) international dollar, ICP benchmarks 2017-2021</t>
        </is>
      </c>
      <c r="G1999" s="3" t="n">
        <v>2140.054864</v>
      </c>
      <c r="H1999" s="3" t="n">
        <v>2376.649732</v>
      </c>
      <c r="I1999" s="3" t="n">
        <v>2540.403064</v>
      </c>
      <c r="J1999" s="3" t="n">
        <v>2534.466209</v>
      </c>
      <c r="K1999" s="3" t="n">
        <v>2560.983583</v>
      </c>
      <c r="L1999" s="3" t="n">
        <v>2650.433587</v>
      </c>
      <c r="M1999" s="3" t="n">
        <v>2721.629467</v>
      </c>
      <c r="N1999" s="3" t="n">
        <v>2880.468312</v>
      </c>
      <c r="O1999" s="3" t="n">
        <v>2678.326259</v>
      </c>
      <c r="P1999" s="3" t="n">
        <v>2803.869309</v>
      </c>
      <c r="Q1999" s="3" t="n">
        <v>2959.347717</v>
      </c>
      <c r="R1999" s="3" t="n">
        <v>2991.82631</v>
      </c>
      <c r="S1999" s="3" t="n">
        <v>3042.265416</v>
      </c>
      <c r="T1999" s="3" t="n">
        <v>3257.077065</v>
      </c>
      <c r="U1999" s="3" t="n">
        <v>3328.400284</v>
      </c>
      <c r="V1999" s="3" t="n">
        <v>3494.184071</v>
      </c>
      <c r="W1999" s="3" t="n">
        <v>3704.853245</v>
      </c>
      <c r="X1999" s="3" t="n">
        <v>4048.21866</v>
      </c>
      <c r="Y1999" s="3" t="n">
        <v>4525.061432</v>
      </c>
      <c r="Z1999" s="3" t="n">
        <v>5220.392337</v>
      </c>
      <c r="AA1999" s="3" t="n">
        <v>5168.281489</v>
      </c>
      <c r="AB1999" s="3" t="n">
        <v>5718.31692</v>
      </c>
      <c r="AC1999" s="3" t="n">
        <v>6229.566399</v>
      </c>
      <c r="AD1999" s="3" t="n">
        <v>6272.26334</v>
      </c>
      <c r="AE1999" s="3" t="n">
        <v>6969.278253</v>
      </c>
      <c r="AF1999" s="3" t="n">
        <v>7734.867464</v>
      </c>
      <c r="AG1999" s="3" t="n">
        <v>8503.579421</v>
      </c>
      <c r="AH1999" s="3" t="n">
        <v>9088.240188</v>
      </c>
      <c r="AI1999" s="3" t="n">
        <v>9606.521291999999</v>
      </c>
      <c r="AJ1999" s="3" t="n">
        <v>10103.946838</v>
      </c>
      <c r="AK1999" s="3" t="n">
        <v>10560.384863</v>
      </c>
      <c r="AL1999" s="3" t="n">
        <v>11033.949483</v>
      </c>
      <c r="AM1999" s="3" t="n"/>
      <c r="AN1999" s="3" t="n"/>
      <c r="AO1999" s="3" t="n"/>
      <c r="AP1999" s="3" t="n"/>
      <c r="AQ1999" s="3" t="n"/>
      <c r="AR1999" s="3" t="n"/>
      <c r="AS1999" s="3" t="n"/>
      <c r="AT1999" s="3" t="n"/>
      <c r="AU1999" s="3" t="n"/>
    </row>
    <row r="2000">
      <c r="A2000" s="3" t="n">
        <v>2031</v>
      </c>
      <c r="B2000" s="3" t="inlineStr">
        <is>
          <t>MKD</t>
        </is>
      </c>
      <c r="C2000" s="3" t="inlineStr">
        <is>
          <t>IMF.RES:WEO</t>
        </is>
      </c>
      <c r="D2000" s="3" t="inlineStr">
        <is>
          <t>MKD.BCA.A</t>
        </is>
      </c>
      <c r="E2000" s="3" t="inlineStr">
        <is>
          <t>North Macedonia, Republic of</t>
        </is>
      </c>
      <c r="F2000" s="3" t="inlineStr">
        <is>
          <t>Current account balance (credit less debit), US dollar</t>
        </is>
      </c>
      <c r="G2000" s="3" t="n">
        <v>-0.06758599999999999</v>
      </c>
      <c r="H2000" s="3" t="n">
        <v>-0.248282</v>
      </c>
      <c r="I2000" s="3" t="n">
        <v>-0.356257</v>
      </c>
      <c r="J2000" s="3" t="n">
        <v>-0.191978</v>
      </c>
      <c r="K2000" s="3" t="n">
        <v>-0.44984</v>
      </c>
      <c r="L2000" s="3" t="n">
        <v>-0.152448</v>
      </c>
      <c r="M2000" s="3" t="n">
        <v>-0.029345</v>
      </c>
      <c r="N2000" s="3" t="n">
        <v>-0.577286</v>
      </c>
      <c r="O2000" s="3" t="n">
        <v>-1.267917</v>
      </c>
      <c r="P2000" s="3" t="n">
        <v>-0.636877</v>
      </c>
      <c r="Q2000" s="3" t="n">
        <v>-0.19098</v>
      </c>
      <c r="R2000" s="3" t="n">
        <v>-0.263381</v>
      </c>
      <c r="S2000" s="3" t="n">
        <v>-0.308532</v>
      </c>
      <c r="T2000" s="3" t="n">
        <v>-0.178196</v>
      </c>
      <c r="U2000" s="3" t="n">
        <v>-0.040556</v>
      </c>
      <c r="V2000" s="3" t="n">
        <v>-0.176342</v>
      </c>
      <c r="W2000" s="3" t="n">
        <v>-0.279394</v>
      </c>
      <c r="X2000" s="3" t="n">
        <v>-0.088366</v>
      </c>
      <c r="Y2000" s="3" t="n">
        <v>0.02643</v>
      </c>
      <c r="Z2000" s="3" t="n">
        <v>-0.374774</v>
      </c>
      <c r="AA2000" s="3" t="n">
        <v>-0.362916</v>
      </c>
      <c r="AB2000" s="3" t="n">
        <v>-0.389368</v>
      </c>
      <c r="AC2000" s="3" t="n">
        <v>-0.844493</v>
      </c>
      <c r="AD2000" s="3" t="n">
        <v>0.053971</v>
      </c>
      <c r="AE2000" s="3" t="n">
        <v>-0.3662</v>
      </c>
      <c r="AF2000" s="3" t="n">
        <v>-0.833218</v>
      </c>
      <c r="AG2000" s="3" t="n">
        <v>-1.071073</v>
      </c>
      <c r="AH2000" s="3" t="n">
        <v>-1.00783</v>
      </c>
      <c r="AI2000" s="3" t="n">
        <v>-0.840464</v>
      </c>
      <c r="AJ2000" s="3" t="n">
        <v>-0.824279</v>
      </c>
      <c r="AK2000" s="3" t="n">
        <v>-0.817612</v>
      </c>
      <c r="AL2000" s="3" t="n">
        <v>-0.873051</v>
      </c>
      <c r="AM2000" s="3" t="n"/>
      <c r="AN2000" s="3" t="n"/>
      <c r="AO2000" s="3" t="n"/>
      <c r="AP2000" s="3" t="n"/>
      <c r="AQ2000" s="3" t="n"/>
      <c r="AR2000" s="3" t="n"/>
      <c r="AS2000" s="3" t="n"/>
      <c r="AT2000" s="3" t="n"/>
      <c r="AU2000" s="3" t="n"/>
    </row>
    <row r="2001">
      <c r="A2001" s="3" t="n">
        <v>2031</v>
      </c>
      <c r="B2001" s="3" t="inlineStr">
        <is>
          <t>MKD</t>
        </is>
      </c>
      <c r="C2001" s="3" t="inlineStr">
        <is>
          <t>IMF.RES:WEO</t>
        </is>
      </c>
      <c r="D2001" s="3" t="inlineStr">
        <is>
          <t>MKD.BCA_NGDPD.A</t>
        </is>
      </c>
      <c r="E2001" s="3" t="inlineStr">
        <is>
          <t>North Macedonia, Republic of</t>
        </is>
      </c>
      <c r="F2001" s="3" t="inlineStr">
        <is>
          <t>Current account balance (credit less debit), Percent of GDP</t>
        </is>
      </c>
      <c r="G2001" s="3" t="n">
        <v>-1.790665</v>
      </c>
      <c r="H2001" s="3" t="n">
        <v>-6.69428</v>
      </c>
      <c r="I2001" s="3" t="n">
        <v>-8.926564000000001</v>
      </c>
      <c r="J2001" s="3" t="n">
        <v>-3.881367</v>
      </c>
      <c r="K2001" s="3" t="n">
        <v>-7.91378</v>
      </c>
      <c r="L2001" s="3" t="n">
        <v>-2.436435</v>
      </c>
      <c r="M2001" s="3" t="n">
        <v>-0.427761</v>
      </c>
      <c r="N2001" s="3" t="n">
        <v>-6.924595</v>
      </c>
      <c r="O2001" s="3" t="n">
        <v>-12.792355</v>
      </c>
      <c r="P2001" s="3" t="n">
        <v>-6.77557</v>
      </c>
      <c r="Q2001" s="3" t="n">
        <v>-2.028546</v>
      </c>
      <c r="R2001" s="3" t="n">
        <v>-2.508558</v>
      </c>
      <c r="S2001" s="3" t="n">
        <v>-3.164007</v>
      </c>
      <c r="T2001" s="3" t="n">
        <v>-1.646321</v>
      </c>
      <c r="U2001" s="3" t="n">
        <v>-0.356458</v>
      </c>
      <c r="V2001" s="3" t="n">
        <v>-1.751631</v>
      </c>
      <c r="W2001" s="3" t="n">
        <v>-2.614647</v>
      </c>
      <c r="X2001" s="3" t="n">
        <v>-0.779514</v>
      </c>
      <c r="Y2001" s="3" t="n">
        <v>0.208212</v>
      </c>
      <c r="Z2001" s="3" t="n">
        <v>-2.972252</v>
      </c>
      <c r="AA2001" s="3" t="n">
        <v>-2.930282</v>
      </c>
      <c r="AB2001" s="3" t="n">
        <v>-2.779521</v>
      </c>
      <c r="AC2001" s="3" t="n">
        <v>-6.050849</v>
      </c>
      <c r="AD2001" s="3" t="n">
        <v>0.340214</v>
      </c>
      <c r="AE2001" s="3" t="n">
        <v>-2.160023</v>
      </c>
      <c r="AF2001" s="3" t="n">
        <v>-4.352886</v>
      </c>
      <c r="AG2001" s="3" t="n">
        <v>-4.957612</v>
      </c>
      <c r="AH2001" s="3" t="n">
        <v>-4.359113</v>
      </c>
      <c r="AI2001" s="3" t="n">
        <v>-3.418565</v>
      </c>
      <c r="AJ2001" s="3" t="n">
        <v>-3.175826</v>
      </c>
      <c r="AK2001" s="3" t="n">
        <v>-2.994168</v>
      </c>
      <c r="AL2001" s="3" t="n">
        <v>-3.045038</v>
      </c>
      <c r="AM2001" s="3" t="n"/>
      <c r="AN2001" s="3" t="n"/>
      <c r="AO2001" s="3" t="n"/>
      <c r="AP2001" s="3" t="n"/>
      <c r="AQ2001" s="3" t="n"/>
      <c r="AR2001" s="3" t="n"/>
      <c r="AS2001" s="3" t="n"/>
      <c r="AT2001" s="3" t="n"/>
      <c r="AU2001" s="3" t="n"/>
    </row>
    <row r="2002">
      <c r="A2002" s="3" t="n">
        <v>2031</v>
      </c>
      <c r="B2002" s="3" t="inlineStr">
        <is>
          <t>MKD</t>
        </is>
      </c>
      <c r="C2002" s="3" t="inlineStr">
        <is>
          <t>IMF.RES:WEO</t>
        </is>
      </c>
      <c r="D2002" s="3" t="inlineStr">
        <is>
          <t>MKD.GGR_NGDP.A</t>
        </is>
      </c>
      <c r="E2002" s="3" t="inlineStr">
        <is>
          <t>North Macedonia, Republic of</t>
        </is>
      </c>
      <c r="F2002" s="3" t="inlineStr">
        <is>
          <t>Revenue, General government, Percent of GDP</t>
        </is>
      </c>
      <c r="G2002" s="3" t="n">
        <v>34.399384</v>
      </c>
      <c r="H2002" s="3" t="n">
        <v>31.479701</v>
      </c>
      <c r="I2002" s="3" t="n">
        <v>32.95067</v>
      </c>
      <c r="J2002" s="3" t="n">
        <v>35.927592</v>
      </c>
      <c r="K2002" s="3" t="n">
        <v>34.490598</v>
      </c>
      <c r="L2002" s="3" t="n">
        <v>32.704005</v>
      </c>
      <c r="M2002" s="3" t="n">
        <v>30.945341</v>
      </c>
      <c r="N2002" s="3" t="n">
        <v>32.026067</v>
      </c>
      <c r="O2002" s="3" t="n">
        <v>32.833281</v>
      </c>
      <c r="P2002" s="3" t="n">
        <v>30.934441</v>
      </c>
      <c r="Q2002" s="3" t="n">
        <v>30.099681</v>
      </c>
      <c r="R2002" s="3" t="n">
        <v>29.381972</v>
      </c>
      <c r="S2002" s="3" t="n">
        <v>29.449993</v>
      </c>
      <c r="T2002" s="3" t="n">
        <v>27.836921</v>
      </c>
      <c r="U2002" s="3" t="n">
        <v>27.519422</v>
      </c>
      <c r="V2002" s="3" t="n">
        <v>28.747088</v>
      </c>
      <c r="W2002" s="3" t="n">
        <v>28.405465</v>
      </c>
      <c r="X2002" s="3" t="n">
        <v>29.02981</v>
      </c>
      <c r="Y2002" s="3" t="n">
        <v>28.511206</v>
      </c>
      <c r="Z2002" s="3" t="n">
        <v>29.437853</v>
      </c>
      <c r="AA2002" s="3" t="n">
        <v>28.354393</v>
      </c>
      <c r="AB2002" s="3" t="n">
        <v>29.955007</v>
      </c>
      <c r="AC2002" s="3" t="n">
        <v>29.805475</v>
      </c>
      <c r="AD2002" s="3" t="n">
        <v>30.694702</v>
      </c>
      <c r="AE2002" s="3" t="n">
        <v>31.771439</v>
      </c>
      <c r="AF2002" s="3" t="n">
        <v>32.187577</v>
      </c>
      <c r="AG2002" s="3" t="n">
        <v>32.018157</v>
      </c>
      <c r="AH2002" s="3" t="n">
        <v>32.188157</v>
      </c>
      <c r="AI2002" s="3" t="n">
        <v>32.388157</v>
      </c>
      <c r="AJ2002" s="3" t="n">
        <v>32.588157</v>
      </c>
      <c r="AK2002" s="3" t="n">
        <v>32.788157</v>
      </c>
      <c r="AL2002" s="3" t="n">
        <v>33.054674</v>
      </c>
      <c r="AM2002" s="3" t="n"/>
      <c r="AN2002" s="3" t="n"/>
      <c r="AO2002" s="3" t="n"/>
      <c r="AP2002" s="3" t="n"/>
      <c r="AQ2002" s="3" t="n"/>
      <c r="AR2002" s="3" t="n"/>
      <c r="AS2002" s="3" t="n"/>
      <c r="AT2002" s="3" t="n"/>
      <c r="AU2002" s="3" t="n"/>
    </row>
    <row r="2003">
      <c r="A2003" s="3" t="n">
        <v>2031</v>
      </c>
      <c r="B2003" s="3" t="inlineStr">
        <is>
          <t>MKD</t>
        </is>
      </c>
      <c r="C2003" s="3" t="inlineStr">
        <is>
          <t>IMF.RES:WEO</t>
        </is>
      </c>
      <c r="D2003" s="3" t="inlineStr">
        <is>
          <t>MKD.GGX_NGDP.A</t>
        </is>
      </c>
      <c r="E2003" s="3" t="inlineStr">
        <is>
          <t>North Macedonia, Republic of</t>
        </is>
      </c>
      <c r="F2003" s="3" t="inlineStr">
        <is>
          <t>Expenditure, General government, Percent of GDP</t>
        </is>
      </c>
      <c r="G2003" s="3" t="n">
        <v>32.024472</v>
      </c>
      <c r="H2003" s="3" t="n">
        <v>37.361849</v>
      </c>
      <c r="I2003" s="3" t="n">
        <v>38.192448</v>
      </c>
      <c r="J2003" s="3" t="n">
        <v>35.99982</v>
      </c>
      <c r="K2003" s="3" t="n">
        <v>34.116541</v>
      </c>
      <c r="L2003" s="3" t="n">
        <v>32.49083</v>
      </c>
      <c r="M2003" s="3" t="n">
        <v>31.453053</v>
      </c>
      <c r="N2003" s="3" t="n">
        <v>31.448769</v>
      </c>
      <c r="O2003" s="3" t="n">
        <v>33.76172</v>
      </c>
      <c r="P2003" s="3" t="n">
        <v>33.562136</v>
      </c>
      <c r="Q2003" s="3" t="n">
        <v>32.510399</v>
      </c>
      <c r="R2003" s="3" t="n">
        <v>31.855765</v>
      </c>
      <c r="S2003" s="3" t="n">
        <v>33.256911</v>
      </c>
      <c r="T2003" s="3" t="n">
        <v>31.673013</v>
      </c>
      <c r="U2003" s="3" t="n">
        <v>31.714399</v>
      </c>
      <c r="V2003" s="3" t="n">
        <v>32.22233</v>
      </c>
      <c r="W2003" s="3" t="n">
        <v>31.10724</v>
      </c>
      <c r="X2003" s="3" t="n">
        <v>31.763322</v>
      </c>
      <c r="Y2003" s="3" t="n">
        <v>30.266449</v>
      </c>
      <c r="Z2003" s="3" t="n">
        <v>31.405708</v>
      </c>
      <c r="AA2003" s="3" t="n">
        <v>36.402756</v>
      </c>
      <c r="AB2003" s="3" t="n">
        <v>35.271796</v>
      </c>
      <c r="AC2003" s="3" t="n">
        <v>35.03506</v>
      </c>
      <c r="AD2003" s="3" t="n">
        <v>35.282339</v>
      </c>
      <c r="AE2003" s="3" t="n">
        <v>36.148227</v>
      </c>
      <c r="AF2003" s="3" t="n">
        <v>36.195218</v>
      </c>
      <c r="AG2003" s="3" t="n">
        <v>36.187639</v>
      </c>
      <c r="AH2003" s="3" t="n">
        <v>36.056237</v>
      </c>
      <c r="AI2003" s="3" t="n">
        <v>35.94743</v>
      </c>
      <c r="AJ2003" s="3" t="n">
        <v>35.84743</v>
      </c>
      <c r="AK2003" s="3" t="n">
        <v>35.74743</v>
      </c>
      <c r="AL2003" s="3" t="n">
        <v>36.019914</v>
      </c>
      <c r="AM2003" s="3" t="n"/>
      <c r="AN2003" s="3" t="n"/>
      <c r="AO2003" s="3" t="n"/>
      <c r="AP2003" s="3" t="n"/>
      <c r="AQ2003" s="3" t="n"/>
      <c r="AR2003" s="3" t="n"/>
      <c r="AS2003" s="3" t="n"/>
      <c r="AT2003" s="3" t="n"/>
      <c r="AU2003" s="3" t="n"/>
    </row>
    <row r="2004">
      <c r="A2004" s="3" t="n">
        <v>2031</v>
      </c>
      <c r="B2004" s="3" t="inlineStr">
        <is>
          <t>MKD</t>
        </is>
      </c>
      <c r="C2004" s="3" t="inlineStr">
        <is>
          <t>IMF.RES:WEO</t>
        </is>
      </c>
      <c r="D2004" s="3" t="inlineStr">
        <is>
          <t>MKD.LP.A</t>
        </is>
      </c>
      <c r="E2004" s="3" t="inlineStr">
        <is>
          <t>North Macedonia, Republic of</t>
        </is>
      </c>
      <c r="F2004" s="3" t="inlineStr">
        <is>
          <t>Population, Persons for countries / Index for country groups</t>
        </is>
      </c>
      <c r="G2004" s="3" t="n">
        <v>2.009514</v>
      </c>
      <c r="H2004" s="3" t="n">
        <v>2.016113</v>
      </c>
      <c r="I2004" s="3" t="n">
        <v>2.021706</v>
      </c>
      <c r="J2004" s="3" t="n">
        <v>2.02643</v>
      </c>
      <c r="K2004" s="3" t="n">
        <v>2.022725</v>
      </c>
      <c r="L2004" s="3" t="n">
        <v>2.00533</v>
      </c>
      <c r="M2004" s="3" t="n">
        <v>1.994287</v>
      </c>
      <c r="N2004" s="3" t="n">
        <v>1.982933</v>
      </c>
      <c r="O2004" s="3" t="n">
        <v>1.971493</v>
      </c>
      <c r="P2004" s="3" t="n">
        <v>1.958782</v>
      </c>
      <c r="Q2004" s="3" t="n">
        <v>1.946298</v>
      </c>
      <c r="R2004" s="3" t="n">
        <v>1.937398</v>
      </c>
      <c r="S2004" s="3" t="n">
        <v>1.929821</v>
      </c>
      <c r="T2004" s="3" t="n">
        <v>1.922716</v>
      </c>
      <c r="U2004" s="3" t="n">
        <v>1.917557</v>
      </c>
      <c r="V2004" s="3" t="n">
        <v>1.91243</v>
      </c>
      <c r="W2004" s="3" t="n">
        <v>1.906313</v>
      </c>
      <c r="X2004" s="3" t="n">
        <v>1.898657</v>
      </c>
      <c r="Y2004" s="3" t="n">
        <v>1.889051</v>
      </c>
      <c r="Z2004" s="3" t="n">
        <v>1.876262</v>
      </c>
      <c r="AA2004" s="3" t="n">
        <v>1.856124</v>
      </c>
      <c r="AB2004" s="3" t="n">
        <v>1.837114</v>
      </c>
      <c r="AC2004" s="3" t="n">
        <v>1.831712</v>
      </c>
      <c r="AD2004" s="3" t="n">
        <v>1.827816</v>
      </c>
      <c r="AE2004" s="3" t="n">
        <v>1.824359</v>
      </c>
      <c r="AF2004" s="3" t="n">
        <v>1.815146</v>
      </c>
      <c r="AG2004" s="3" t="n">
        <v>1.805417</v>
      </c>
      <c r="AH2004" s="3" t="n">
        <v>1.79574</v>
      </c>
      <c r="AI2004" s="3" t="n">
        <v>1.785648</v>
      </c>
      <c r="AJ2004" s="3" t="n">
        <v>1.775166</v>
      </c>
      <c r="AK2004" s="3" t="n">
        <v>1.764107</v>
      </c>
      <c r="AL2004" s="3" t="n">
        <v>1.753116</v>
      </c>
      <c r="AM2004" s="3" t="n"/>
      <c r="AN2004" s="3" t="n"/>
      <c r="AO2004" s="3" t="n"/>
      <c r="AP2004" s="3" t="n"/>
      <c r="AQ2004" s="3" t="n"/>
      <c r="AR2004" s="3" t="n"/>
      <c r="AS2004" s="3" t="n"/>
      <c r="AT2004" s="3" t="n"/>
      <c r="AU2004" s="3" t="n"/>
    </row>
    <row r="2005">
      <c r="A2005" s="3" t="n">
        <v>2031</v>
      </c>
      <c r="B2005" s="3" t="inlineStr">
        <is>
          <t>MKD</t>
        </is>
      </c>
      <c r="C2005" s="3" t="inlineStr">
        <is>
          <t>IMF.RES:WEO</t>
        </is>
      </c>
      <c r="D2005" s="3" t="inlineStr">
        <is>
          <t>MKD.NGDP.A</t>
        </is>
      </c>
      <c r="E2005" s="3" t="inlineStr">
        <is>
          <t>North Macedonia, Republic of</t>
        </is>
      </c>
      <c r="F2005" s="3" t="inlineStr">
        <is>
          <t>Gross domestic product (GDP), Current prices, Domestic currency</t>
        </is>
      </c>
      <c r="G2005" s="3" t="n">
        <v>248.646</v>
      </c>
      <c r="H2005" s="3" t="n">
        <v>252.393</v>
      </c>
      <c r="I2005" s="3" t="n">
        <v>258.581</v>
      </c>
      <c r="J2005" s="3" t="n">
        <v>268.693</v>
      </c>
      <c r="K2005" s="3" t="n">
        <v>280.787</v>
      </c>
      <c r="L2005" s="3" t="n">
        <v>308.447</v>
      </c>
      <c r="M2005" s="3" t="n">
        <v>334.839</v>
      </c>
      <c r="N2005" s="3" t="n">
        <v>372.889</v>
      </c>
      <c r="O2005" s="3" t="n">
        <v>414.89</v>
      </c>
      <c r="P2005" s="3" t="n">
        <v>414.622</v>
      </c>
      <c r="Q2005" s="3" t="n">
        <v>437.297</v>
      </c>
      <c r="R2005" s="3" t="n">
        <v>464.186</v>
      </c>
      <c r="S2005" s="3" t="n">
        <v>466.703</v>
      </c>
      <c r="T2005" s="3" t="n">
        <v>501.891</v>
      </c>
      <c r="U2005" s="3" t="n">
        <v>527.631</v>
      </c>
      <c r="V2005" s="3" t="n">
        <v>558.954</v>
      </c>
      <c r="W2005" s="3" t="n">
        <v>594.794</v>
      </c>
      <c r="X2005" s="3" t="n">
        <v>618.106</v>
      </c>
      <c r="Y2005" s="3" t="n">
        <v>660.877</v>
      </c>
      <c r="Z2005" s="3" t="n">
        <v>692.683</v>
      </c>
      <c r="AA2005" s="3" t="n">
        <v>669.279</v>
      </c>
      <c r="AB2005" s="3" t="n">
        <v>729.444</v>
      </c>
      <c r="AC2005" s="3" t="n">
        <v>816.0839999999999</v>
      </c>
      <c r="AD2005" s="3" t="n">
        <v>902.905</v>
      </c>
      <c r="AE2005" s="3" t="n">
        <v>964.086</v>
      </c>
      <c r="AF2005" s="3" t="n">
        <v>1043.881</v>
      </c>
      <c r="AG2005" s="3" t="n">
        <v>1128.359691</v>
      </c>
      <c r="AH2005" s="3" t="n">
        <v>1210.294932</v>
      </c>
      <c r="AI2005" s="3" t="n">
        <v>1290.484233</v>
      </c>
      <c r="AJ2005" s="3" t="n">
        <v>1363.093328</v>
      </c>
      <c r="AK2005" s="3" t="n">
        <v>1434.323877</v>
      </c>
      <c r="AL2005" s="3" t="n">
        <v>1506.239526</v>
      </c>
      <c r="AM2005" s="3" t="n"/>
      <c r="AN2005" s="3" t="n"/>
      <c r="AO2005" s="3" t="n"/>
      <c r="AP2005" s="3" t="n"/>
      <c r="AQ2005" s="3" t="n"/>
      <c r="AR2005" s="3" t="n"/>
      <c r="AS2005" s="3" t="n"/>
      <c r="AT2005" s="3" t="n"/>
      <c r="AU2005" s="3" t="n"/>
    </row>
    <row r="2006">
      <c r="A2006" s="3" t="n">
        <v>2031</v>
      </c>
      <c r="B2006" s="3" t="inlineStr">
        <is>
          <t>MKD</t>
        </is>
      </c>
      <c r="C2006" s="3" t="inlineStr">
        <is>
          <t>IMF.RES:WEO</t>
        </is>
      </c>
      <c r="D2006" s="3" t="inlineStr">
        <is>
          <t>MKD.NGDP_D.A</t>
        </is>
      </c>
      <c r="E2006" s="3" t="inlineStr">
        <is>
          <t>North Macedonia, Republic of</t>
        </is>
      </c>
      <c r="F2006" s="3" t="inlineStr">
        <is>
          <t>Gross domestic product (GDP), Price deflator, Index</t>
        </is>
      </c>
      <c r="G2006" s="3" t="n">
        <v>88.867429</v>
      </c>
      <c r="H2006" s="3" t="n">
        <v>93.060976</v>
      </c>
      <c r="I2006" s="3" t="n">
        <v>93.939443</v>
      </c>
      <c r="J2006" s="3" t="n">
        <v>95.49067599999999</v>
      </c>
      <c r="K2006" s="3" t="n">
        <v>95.332757</v>
      </c>
      <c r="L2006" s="3" t="n">
        <v>99.99993499999999</v>
      </c>
      <c r="M2006" s="3" t="n">
        <v>103.25222</v>
      </c>
      <c r="N2006" s="3" t="n">
        <v>107.994493</v>
      </c>
      <c r="O2006" s="3" t="n">
        <v>113.924777</v>
      </c>
      <c r="P2006" s="3" t="n">
        <v>114.261007</v>
      </c>
      <c r="Q2006" s="3" t="n">
        <v>116.593599</v>
      </c>
      <c r="R2006" s="3" t="n">
        <v>120.933104</v>
      </c>
      <c r="S2006" s="3" t="n">
        <v>122.145838</v>
      </c>
      <c r="T2006" s="3" t="n">
        <v>127.622519</v>
      </c>
      <c r="U2006" s="3" t="n">
        <v>129.468594</v>
      </c>
      <c r="V2006" s="3" t="n">
        <v>132.062562</v>
      </c>
      <c r="W2006" s="3" t="n">
        <v>136.638418</v>
      </c>
      <c r="X2006" s="3" t="n">
        <v>140.47455</v>
      </c>
      <c r="Y2006" s="3" t="n">
        <v>145.989415</v>
      </c>
      <c r="Z2006" s="3" t="n">
        <v>147.257201</v>
      </c>
      <c r="AA2006" s="3" t="n">
        <v>149.28044</v>
      </c>
      <c r="AB2006" s="3" t="n">
        <v>155.677755</v>
      </c>
      <c r="AC2006" s="3" t="n">
        <v>169.492884</v>
      </c>
      <c r="AD2006" s="3" t="n">
        <v>182.852837</v>
      </c>
      <c r="AE2006" s="3" t="n">
        <v>189.567818</v>
      </c>
      <c r="AF2006" s="3" t="n">
        <v>198.341569</v>
      </c>
      <c r="AG2006" s="3" t="n">
        <v>207.946517</v>
      </c>
      <c r="AH2006" s="3" t="n">
        <v>216.549944</v>
      </c>
      <c r="AI2006" s="3" t="n">
        <v>224.172502</v>
      </c>
      <c r="AJ2006" s="3" t="n">
        <v>229.888901</v>
      </c>
      <c r="AK2006" s="3" t="n">
        <v>234.856409</v>
      </c>
      <c r="AL2006" s="3" t="n">
        <v>239.448435</v>
      </c>
      <c r="AM2006" s="3" t="n"/>
      <c r="AN2006" s="3" t="n"/>
      <c r="AO2006" s="3" t="n"/>
      <c r="AP2006" s="3" t="n"/>
      <c r="AQ2006" s="3" t="n"/>
      <c r="AR2006" s="3" t="n"/>
      <c r="AS2006" s="3" t="n"/>
      <c r="AT2006" s="3" t="n"/>
      <c r="AU2006" s="3" t="n"/>
    </row>
    <row r="2007">
      <c r="A2007" s="3" t="n">
        <v>2031</v>
      </c>
      <c r="B2007" s="3" t="inlineStr">
        <is>
          <t>MKD</t>
        </is>
      </c>
      <c r="C2007" s="3" t="inlineStr">
        <is>
          <t>IMF.RES:WEO</t>
        </is>
      </c>
      <c r="D2007" s="3" t="inlineStr">
        <is>
          <t>MKD.NGDP_R.A</t>
        </is>
      </c>
      <c r="E2007" s="3" t="inlineStr">
        <is>
          <t>North Macedonia, Republic of</t>
        </is>
      </c>
      <c r="F2007" s="3" t="inlineStr">
        <is>
          <t>Gross domestic product (GDP), Constant prices, Domestic currency</t>
        </is>
      </c>
      <c r="G2007" s="3" t="n">
        <v>279.7943</v>
      </c>
      <c r="H2007" s="3" t="n">
        <v>271.2125</v>
      </c>
      <c r="I2007" s="3" t="n">
        <v>275.2635</v>
      </c>
      <c r="J2007" s="3" t="n">
        <v>281.3814</v>
      </c>
      <c r="K2007" s="3" t="n">
        <v>294.5336</v>
      </c>
      <c r="L2007" s="3" t="n">
        <v>308.4472</v>
      </c>
      <c r="M2007" s="3" t="n">
        <v>324.2923</v>
      </c>
      <c r="N2007" s="3" t="n">
        <v>345.2852</v>
      </c>
      <c r="O2007" s="3" t="n">
        <v>364.1789</v>
      </c>
      <c r="P2007" s="3" t="n">
        <v>362.8727</v>
      </c>
      <c r="Q2007" s="3" t="n">
        <v>375.0609</v>
      </c>
      <c r="R2007" s="3" t="n">
        <v>383.837</v>
      </c>
      <c r="S2007" s="3" t="n">
        <v>382.0867</v>
      </c>
      <c r="T2007" s="3" t="n">
        <v>393.2621</v>
      </c>
      <c r="U2007" s="3" t="n">
        <v>407.5359</v>
      </c>
      <c r="V2007" s="3" t="n">
        <v>423.2494</v>
      </c>
      <c r="W2007" s="3" t="n">
        <v>435.3051</v>
      </c>
      <c r="X2007" s="3" t="n">
        <v>440.0128</v>
      </c>
      <c r="Y2007" s="3" t="n">
        <v>452.6883</v>
      </c>
      <c r="Z2007" s="3" t="n">
        <v>470.3899</v>
      </c>
      <c r="AA2007" s="3" t="n">
        <v>448.3367</v>
      </c>
      <c r="AB2007" s="3" t="n">
        <v>468.5602</v>
      </c>
      <c r="AC2007" s="3" t="n">
        <v>481.4857</v>
      </c>
      <c r="AD2007" s="3" t="n">
        <v>493.7878</v>
      </c>
      <c r="AE2007" s="3" t="n">
        <v>508.5705</v>
      </c>
      <c r="AF2007" s="3" t="n">
        <v>526.3047</v>
      </c>
      <c r="AG2007" s="3" t="n">
        <v>542.620146</v>
      </c>
      <c r="AH2007" s="3" t="n">
        <v>558.8987499999999</v>
      </c>
      <c r="AI2007" s="3" t="n">
        <v>575.665713</v>
      </c>
      <c r="AJ2007" s="3" t="n">
        <v>592.935684</v>
      </c>
      <c r="AK2007" s="3" t="n">
        <v>610.723754</v>
      </c>
      <c r="AL2007" s="3" t="n">
        <v>629.045467</v>
      </c>
      <c r="AM2007" s="3" t="n"/>
      <c r="AN2007" s="3" t="n"/>
      <c r="AO2007" s="3" t="n"/>
      <c r="AP2007" s="3" t="n"/>
      <c r="AQ2007" s="3" t="n"/>
      <c r="AR2007" s="3" t="n"/>
      <c r="AS2007" s="3" t="n"/>
      <c r="AT2007" s="3" t="n"/>
      <c r="AU2007" s="3" t="n"/>
    </row>
    <row r="2008">
      <c r="A2008" s="3" t="n">
        <v>2031</v>
      </c>
      <c r="B2008" s="3" t="inlineStr">
        <is>
          <t>MKD</t>
        </is>
      </c>
      <c r="C2008" s="3" t="inlineStr">
        <is>
          <t>IMF.RES:WEO</t>
        </is>
      </c>
      <c r="D2008" s="3" t="inlineStr">
        <is>
          <t>MKD.NGDP_RPCH.A</t>
        </is>
      </c>
      <c r="E2008" s="3" t="inlineStr">
        <is>
          <t>North Macedonia, Republic of</t>
        </is>
      </c>
      <c r="F2008" s="3" t="inlineStr">
        <is>
          <t>Gross domestic product (GDP), Constant prices, Percent change</t>
        </is>
      </c>
      <c r="G2008" s="3" t="n">
        <v>4.538818</v>
      </c>
      <c r="H2008" s="3" t="n">
        <v>-3.067182</v>
      </c>
      <c r="I2008" s="3" t="n">
        <v>1.493663</v>
      </c>
      <c r="J2008" s="3" t="n">
        <v>2.222561</v>
      </c>
      <c r="K2008" s="3" t="n">
        <v>4.674154</v>
      </c>
      <c r="L2008" s="3" t="n">
        <v>4.723943</v>
      </c>
      <c r="M2008" s="3" t="n">
        <v>5.137054</v>
      </c>
      <c r="N2008" s="3" t="n">
        <v>6.47345</v>
      </c>
      <c r="O2008" s="3" t="n">
        <v>5.471911</v>
      </c>
      <c r="P2008" s="3" t="n">
        <v>-0.35867</v>
      </c>
      <c r="Q2008" s="3" t="n">
        <v>3.358809</v>
      </c>
      <c r="R2008" s="3" t="n">
        <v>2.339913</v>
      </c>
      <c r="S2008" s="3" t="n">
        <v>-0.456001</v>
      </c>
      <c r="T2008" s="3" t="n">
        <v>2.924834</v>
      </c>
      <c r="U2008" s="3" t="n">
        <v>3.62959</v>
      </c>
      <c r="V2008" s="3" t="n">
        <v>3.855734</v>
      </c>
      <c r="W2008" s="3" t="n">
        <v>2.848368</v>
      </c>
      <c r="X2008" s="3" t="n">
        <v>1.081471</v>
      </c>
      <c r="Y2008" s="3" t="n">
        <v>2.880712</v>
      </c>
      <c r="Z2008" s="3" t="n">
        <v>3.910329</v>
      </c>
      <c r="AA2008" s="3" t="n">
        <v>-4.688281</v>
      </c>
      <c r="AB2008" s="3" t="n">
        <v>4.510784</v>
      </c>
      <c r="AC2008" s="3" t="n">
        <v>2.758557</v>
      </c>
      <c r="AD2008" s="3" t="n">
        <v>2.555029</v>
      </c>
      <c r="AE2008" s="3" t="n">
        <v>2.993735</v>
      </c>
      <c r="AF2008" s="3" t="n">
        <v>3.487068</v>
      </c>
      <c r="AG2008" s="3" t="n">
        <v>3.1</v>
      </c>
      <c r="AH2008" s="3" t="n">
        <v>3</v>
      </c>
      <c r="AI2008" s="3" t="n">
        <v>3</v>
      </c>
      <c r="AJ2008" s="3" t="n">
        <v>3</v>
      </c>
      <c r="AK2008" s="3" t="n">
        <v>3</v>
      </c>
      <c r="AL2008" s="3" t="n">
        <v>3</v>
      </c>
      <c r="AM2008" s="3" t="n"/>
      <c r="AN2008" s="3" t="n"/>
      <c r="AO2008" s="3" t="n"/>
      <c r="AP2008" s="3" t="n"/>
      <c r="AQ2008" s="3" t="n"/>
      <c r="AR2008" s="3" t="n"/>
      <c r="AS2008" s="3" t="n"/>
      <c r="AT2008" s="3" t="n"/>
      <c r="AU2008" s="3" t="n"/>
    </row>
    <row r="2009">
      <c r="A2009" s="3" t="n">
        <v>2031</v>
      </c>
      <c r="B2009" s="3" t="inlineStr">
        <is>
          <t>MKD</t>
        </is>
      </c>
      <c r="C2009" s="3" t="inlineStr">
        <is>
          <t>IMF.RES:WEO</t>
        </is>
      </c>
      <c r="D2009" s="3" t="inlineStr">
        <is>
          <t>MKD.NGDPD.A</t>
        </is>
      </c>
      <c r="E2009" s="3" t="inlineStr">
        <is>
          <t>North Macedonia, Republic of</t>
        </is>
      </c>
      <c r="F2009" s="3" t="inlineStr">
        <is>
          <t>Gross domestic product (GDP), Current prices, US dollar</t>
        </is>
      </c>
      <c r="G2009" s="3" t="n">
        <v>3.774343</v>
      </c>
      <c r="H2009" s="3" t="n">
        <v>3.708873</v>
      </c>
      <c r="I2009" s="3" t="n">
        <v>3.990971</v>
      </c>
      <c r="J2009" s="3" t="n">
        <v>4.946137</v>
      </c>
      <c r="K2009" s="3" t="n">
        <v>5.684257</v>
      </c>
      <c r="L2009" s="3" t="n">
        <v>6.257009</v>
      </c>
      <c r="M2009" s="3" t="n">
        <v>6.860121</v>
      </c>
      <c r="N2009" s="3" t="n">
        <v>8.336747000000001</v>
      </c>
      <c r="O2009" s="3" t="n">
        <v>9.911521</v>
      </c>
      <c r="P2009" s="3" t="n">
        <v>9.399604</v>
      </c>
      <c r="Q2009" s="3" t="n">
        <v>9.414600999999999</v>
      </c>
      <c r="R2009" s="3" t="n">
        <v>10.499305</v>
      </c>
      <c r="S2009" s="3" t="n">
        <v>9.751295000000001</v>
      </c>
      <c r="T2009" s="3" t="n">
        <v>10.823905</v>
      </c>
      <c r="U2009" s="3" t="n">
        <v>11.377574</v>
      </c>
      <c r="V2009" s="3" t="n">
        <v>10.067285</v>
      </c>
      <c r="W2009" s="3" t="n">
        <v>10.685716</v>
      </c>
      <c r="X2009" s="3" t="n">
        <v>11.33608</v>
      </c>
      <c r="Y2009" s="3" t="n">
        <v>12.693741</v>
      </c>
      <c r="Z2009" s="3" t="n">
        <v>12.609103</v>
      </c>
      <c r="AA2009" s="3" t="n">
        <v>12.385026</v>
      </c>
      <c r="AB2009" s="3" t="n">
        <v>14.008473</v>
      </c>
      <c r="AC2009" s="3" t="n">
        <v>13.9566</v>
      </c>
      <c r="AD2009" s="3" t="n">
        <v>15.863785</v>
      </c>
      <c r="AE2009" s="3" t="n">
        <v>16.953507</v>
      </c>
      <c r="AF2009" s="3" t="n">
        <v>19.141728</v>
      </c>
      <c r="AG2009" s="3" t="n">
        <v>21.604612</v>
      </c>
      <c r="AH2009" s="3" t="n">
        <v>23.120075</v>
      </c>
      <c r="AI2009" s="3" t="n">
        <v>24.585273</v>
      </c>
      <c r="AJ2009" s="3" t="n">
        <v>25.954798</v>
      </c>
      <c r="AK2009" s="3" t="n">
        <v>27.306833</v>
      </c>
      <c r="AL2009" s="3" t="n">
        <v>28.671249</v>
      </c>
      <c r="AM2009" s="3" t="n"/>
      <c r="AN2009" s="3" t="n"/>
      <c r="AO2009" s="3" t="n"/>
      <c r="AP2009" s="3" t="n"/>
      <c r="AQ2009" s="3" t="n"/>
      <c r="AR2009" s="3" t="n"/>
      <c r="AS2009" s="3" t="n"/>
      <c r="AT2009" s="3" t="n"/>
      <c r="AU2009" s="3" t="n"/>
    </row>
    <row r="2010">
      <c r="A2010" s="3" t="n">
        <v>2031</v>
      </c>
      <c r="B2010" s="3" t="inlineStr">
        <is>
          <t>MKD</t>
        </is>
      </c>
      <c r="C2010" s="3" t="inlineStr">
        <is>
          <t>IMF.RES:WEO</t>
        </is>
      </c>
      <c r="D2010" s="3" t="inlineStr">
        <is>
          <t>MKD.NGDPPC.A</t>
        </is>
      </c>
      <c r="E2010" s="3" t="inlineStr">
        <is>
          <t>North Macedonia, Republic of</t>
        </is>
      </c>
      <c r="F2010" s="3" t="inlineStr">
        <is>
          <t>Gross domestic product (GDP), Current prices, Per capita, Domestic currency</t>
        </is>
      </c>
      <c r="G2010" s="3" t="n">
        <v>123734.395481</v>
      </c>
      <c r="H2010" s="3" t="n">
        <v>125187.923494</v>
      </c>
      <c r="I2010" s="3" t="n">
        <v>127902.375518</v>
      </c>
      <c r="J2010" s="3" t="n">
        <v>132594.266765</v>
      </c>
      <c r="K2010" s="3" t="n">
        <v>138816.200917</v>
      </c>
      <c r="L2010" s="3" t="n">
        <v>153813.586791</v>
      </c>
      <c r="M2010" s="3" t="n">
        <v>167899.10379</v>
      </c>
      <c r="N2010" s="3" t="n">
        <v>188049.218002</v>
      </c>
      <c r="O2010" s="3" t="n">
        <v>210444.571703</v>
      </c>
      <c r="P2010" s="3" t="n">
        <v>211673.376619</v>
      </c>
      <c r="Q2010" s="3" t="n">
        <v>224681.420831</v>
      </c>
      <c r="R2010" s="3" t="n">
        <v>239592.484353</v>
      </c>
      <c r="S2010" s="3" t="n">
        <v>241837.455391</v>
      </c>
      <c r="T2010" s="3" t="n">
        <v>261032.310544</v>
      </c>
      <c r="U2010" s="3" t="n">
        <v>275157.922294</v>
      </c>
      <c r="V2010" s="3" t="n">
        <v>292274.227031</v>
      </c>
      <c r="W2010" s="3" t="n">
        <v>312012.770201</v>
      </c>
      <c r="X2010" s="3" t="n">
        <v>325549.059151</v>
      </c>
      <c r="Y2010" s="3" t="n">
        <v>349846.033802</v>
      </c>
      <c r="Z2010" s="3" t="n">
        <v>369182.448933</v>
      </c>
      <c r="AA2010" s="3" t="n">
        <v>360578.819088</v>
      </c>
      <c r="AB2010" s="3" t="n">
        <v>397059.736086</v>
      </c>
      <c r="AC2010" s="3" t="n">
        <v>445530.738457</v>
      </c>
      <c r="AD2010" s="3" t="n">
        <v>493980.247465</v>
      </c>
      <c r="AE2010" s="3" t="n">
        <v>528451.911055</v>
      </c>
      <c r="AF2010" s="3" t="n">
        <v>575094.789867</v>
      </c>
      <c r="AG2010" s="3" t="n">
        <v>624985.703353</v>
      </c>
      <c r="AH2010" s="3" t="n">
        <v>673981.248133</v>
      </c>
      <c r="AI2010" s="3" t="n">
        <v>722698.113105</v>
      </c>
      <c r="AJ2010" s="3" t="n">
        <v>767868.1082350001</v>
      </c>
      <c r="AK2010" s="3" t="n">
        <v>813059.604743</v>
      </c>
      <c r="AL2010" s="3" t="n">
        <v>859178.328813</v>
      </c>
      <c r="AM2010" s="3" t="n"/>
      <c r="AN2010" s="3" t="n"/>
      <c r="AO2010" s="3" t="n"/>
      <c r="AP2010" s="3" t="n"/>
      <c r="AQ2010" s="3" t="n"/>
      <c r="AR2010" s="3" t="n"/>
      <c r="AS2010" s="3" t="n"/>
      <c r="AT2010" s="3" t="n"/>
      <c r="AU2010" s="3" t="n"/>
    </row>
    <row r="2011">
      <c r="A2011" s="3" t="n">
        <v>2031</v>
      </c>
      <c r="B2011" s="3" t="inlineStr">
        <is>
          <t>MKD</t>
        </is>
      </c>
      <c r="C2011" s="3" t="inlineStr">
        <is>
          <t>IMF.RES:WEO</t>
        </is>
      </c>
      <c r="D2011" s="3" t="inlineStr">
        <is>
          <t>MKD.NGDPRPC.A</t>
        </is>
      </c>
      <c r="E2011" s="3" t="inlineStr">
        <is>
          <t>North Macedonia, Republic of</t>
        </is>
      </c>
      <c r="F2011" s="3" t="inlineStr">
        <is>
          <t>Gross domestic product (GDP), Constant prices, Per capita, Domestic currency</t>
        </is>
      </c>
      <c r="G2011" s="3" t="n">
        <v>139234.810009</v>
      </c>
      <c r="H2011" s="3" t="n">
        <v>134522.469723</v>
      </c>
      <c r="I2011" s="3" t="n">
        <v>136154.06988</v>
      </c>
      <c r="J2011" s="3" t="n">
        <v>138855.721639</v>
      </c>
      <c r="K2011" s="3" t="n">
        <v>145612.280463</v>
      </c>
      <c r="L2011" s="3" t="n">
        <v>153813.686525</v>
      </c>
      <c r="M2011" s="3" t="n">
        <v>162610.647314</v>
      </c>
      <c r="N2011" s="3" t="n">
        <v>174128.525775</v>
      </c>
      <c r="O2011" s="3" t="n">
        <v>184722.390594</v>
      </c>
      <c r="P2011" s="3" t="n">
        <v>185254.25494</v>
      </c>
      <c r="Q2011" s="3" t="n">
        <v>192704.765663</v>
      </c>
      <c r="R2011" s="3" t="n">
        <v>198119.849406</v>
      </c>
      <c r="S2011" s="3" t="n">
        <v>197990.746292</v>
      </c>
      <c r="T2011" s="3" t="n">
        <v>204534.679069</v>
      </c>
      <c r="U2011" s="3" t="n">
        <v>212528.701885</v>
      </c>
      <c r="V2011" s="3" t="n">
        <v>221314.976234</v>
      </c>
      <c r="W2011" s="3" t="n">
        <v>228349.227016</v>
      </c>
      <c r="X2011" s="3" t="n">
        <v>231749.494511</v>
      </c>
      <c r="Y2011" s="3" t="n">
        <v>239637.94519</v>
      </c>
      <c r="Z2011" s="3" t="n">
        <v>250705.871568</v>
      </c>
      <c r="AA2011" s="3" t="n">
        <v>241544.584306</v>
      </c>
      <c r="AB2011" s="3" t="n">
        <v>255052.326638</v>
      </c>
      <c r="AC2011" s="3" t="n">
        <v>262861.028371</v>
      </c>
      <c r="AD2011" s="3" t="n">
        <v>270151.809591</v>
      </c>
      <c r="AE2011" s="3" t="n">
        <v>278766.679146</v>
      </c>
      <c r="AF2011" s="3" t="n">
        <v>289951.719451</v>
      </c>
      <c r="AG2011" s="3" t="n">
        <v>300551.177063</v>
      </c>
      <c r="AH2011" s="3" t="n">
        <v>311235.936997</v>
      </c>
      <c r="AI2011" s="3" t="n">
        <v>322384.817783</v>
      </c>
      <c r="AJ2011" s="3" t="n">
        <v>334017.042355</v>
      </c>
      <c r="AK2011" s="3" t="n">
        <v>346194.344392</v>
      </c>
      <c r="AL2011" s="3" t="n">
        <v>358815.595886</v>
      </c>
      <c r="AM2011" s="3" t="n"/>
      <c r="AN2011" s="3" t="n"/>
      <c r="AO2011" s="3" t="n"/>
      <c r="AP2011" s="3" t="n"/>
      <c r="AQ2011" s="3" t="n"/>
      <c r="AR2011" s="3" t="n"/>
      <c r="AS2011" s="3" t="n"/>
      <c r="AT2011" s="3" t="n"/>
      <c r="AU2011" s="3" t="n"/>
    </row>
    <row r="2012">
      <c r="A2012" s="3" t="n">
        <v>2031</v>
      </c>
      <c r="B2012" s="3" t="inlineStr">
        <is>
          <t>MKD</t>
        </is>
      </c>
      <c r="C2012" s="3" t="inlineStr">
        <is>
          <t>IMF.RES:WEO</t>
        </is>
      </c>
      <c r="D2012" s="3" t="inlineStr">
        <is>
          <t>MKD.PCPI.A</t>
        </is>
      </c>
      <c r="E2012" s="3" t="inlineStr">
        <is>
          <t>North Macedonia, Republic of</t>
        </is>
      </c>
      <c r="F2012" s="3" t="inlineStr">
        <is>
          <t>All Items, Consumer price index (CPI), Period average</t>
        </is>
      </c>
      <c r="G2012" s="3" t="n">
        <v>50.761842</v>
      </c>
      <c r="H2012" s="3" t="n">
        <v>53.370633</v>
      </c>
      <c r="I2012" s="3" t="n">
        <v>54.273333</v>
      </c>
      <c r="J2012" s="3" t="n">
        <v>54.871667</v>
      </c>
      <c r="K2012" s="3" t="n">
        <v>54.67</v>
      </c>
      <c r="L2012" s="3" t="n">
        <v>54.695833</v>
      </c>
      <c r="M2012" s="3" t="n">
        <v>56.485</v>
      </c>
      <c r="N2012" s="3" t="n">
        <v>58.060833</v>
      </c>
      <c r="O2012" s="3" t="n">
        <v>62.254167</v>
      </c>
      <c r="P2012" s="3" t="n">
        <v>61.7775</v>
      </c>
      <c r="Q2012" s="3" t="n">
        <v>62.708333</v>
      </c>
      <c r="R2012" s="3" t="n">
        <v>65.1675</v>
      </c>
      <c r="S2012" s="3" t="n">
        <v>67.295</v>
      </c>
      <c r="T2012" s="3" t="n">
        <v>69.155</v>
      </c>
      <c r="U2012" s="3" t="n">
        <v>68.965</v>
      </c>
      <c r="V2012" s="3" t="n">
        <v>68.845833</v>
      </c>
      <c r="W2012" s="3" t="n">
        <v>68.68083300000001</v>
      </c>
      <c r="X2012" s="3" t="n">
        <v>69.61416699999999</v>
      </c>
      <c r="Y2012" s="3" t="n">
        <v>70.624167</v>
      </c>
      <c r="Z2012" s="3" t="n">
        <v>71.16416700000001</v>
      </c>
      <c r="AA2012" s="3" t="n">
        <v>72.0175</v>
      </c>
      <c r="AB2012" s="3" t="n">
        <v>74.339167</v>
      </c>
      <c r="AC2012" s="3" t="n">
        <v>84.89666699999999</v>
      </c>
      <c r="AD2012" s="3" t="n">
        <v>92.844167</v>
      </c>
      <c r="AE2012" s="3" t="n">
        <v>96.08583299999999</v>
      </c>
      <c r="AF2012" s="3" t="n">
        <v>100</v>
      </c>
      <c r="AG2012" s="3" t="n">
        <v>104.5</v>
      </c>
      <c r="AH2012" s="3" t="n">
        <v>108.7845</v>
      </c>
      <c r="AI2012" s="3" t="n">
        <v>112.265604</v>
      </c>
      <c r="AJ2012" s="3" t="n">
        <v>115.072244</v>
      </c>
      <c r="AK2012" s="3" t="n">
        <v>117.603833</v>
      </c>
      <c r="AL2012" s="3" t="n">
        <v>119.95591</v>
      </c>
      <c r="AM2012" s="3" t="n"/>
      <c r="AN2012" s="3" t="n"/>
      <c r="AO2012" s="3" t="n"/>
      <c r="AP2012" s="3" t="n"/>
      <c r="AQ2012" s="3" t="n"/>
      <c r="AR2012" s="3" t="n"/>
      <c r="AS2012" s="3" t="n"/>
      <c r="AT2012" s="3" t="n"/>
      <c r="AU2012" s="3" t="n"/>
    </row>
    <row r="2013">
      <c r="A2013" s="3" t="n">
        <v>2031</v>
      </c>
      <c r="B2013" s="3" t="inlineStr">
        <is>
          <t>MKD</t>
        </is>
      </c>
      <c r="C2013" s="3" t="inlineStr">
        <is>
          <t>IMF.RES:WEO</t>
        </is>
      </c>
      <c r="D2013" s="3" t="inlineStr">
        <is>
          <t>MKD.PCPIPCH.A</t>
        </is>
      </c>
      <c r="E2013" s="3" t="inlineStr">
        <is>
          <t>North Macedonia, Republic of</t>
        </is>
      </c>
      <c r="F2013" s="3" t="inlineStr">
        <is>
          <t>All Items, Consumer price index (CPI), Period average, percent change</t>
        </is>
      </c>
      <c r="G2013" s="3" t="n">
        <v>6.607511</v>
      </c>
      <c r="H2013" s="3" t="n">
        <v>5.139277</v>
      </c>
      <c r="I2013" s="3" t="n">
        <v>1.69138</v>
      </c>
      <c r="J2013" s="3" t="n">
        <v>1.102444</v>
      </c>
      <c r="K2013" s="3" t="n">
        <v>-0.367524</v>
      </c>
      <c r="L2013" s="3" t="n">
        <v>0.047253</v>
      </c>
      <c r="M2013" s="3" t="n">
        <v>3.271121</v>
      </c>
      <c r="N2013" s="3" t="n">
        <v>2.789826</v>
      </c>
      <c r="O2013" s="3" t="n">
        <v>7.22231</v>
      </c>
      <c r="P2013" s="3" t="n">
        <v>-0.765678</v>
      </c>
      <c r="Q2013" s="3" t="n">
        <v>1.506751</v>
      </c>
      <c r="R2013" s="3" t="n">
        <v>3.921595</v>
      </c>
      <c r="S2013" s="3" t="n">
        <v>3.264664</v>
      </c>
      <c r="T2013" s="3" t="n">
        <v>2.76395</v>
      </c>
      <c r="U2013" s="3" t="n">
        <v>-0.274745</v>
      </c>
      <c r="V2013" s="3" t="n">
        <v>-0.172793</v>
      </c>
      <c r="W2013" s="3" t="n">
        <v>-0.239666</v>
      </c>
      <c r="X2013" s="3" t="n">
        <v>1.358943</v>
      </c>
      <c r="Y2013" s="3" t="n">
        <v>1.450854</v>
      </c>
      <c r="Z2013" s="3" t="n">
        <v>0.764611</v>
      </c>
      <c r="AA2013" s="3" t="n">
        <v>1.199105</v>
      </c>
      <c r="AB2013" s="3" t="n">
        <v>3.223753</v>
      </c>
      <c r="AC2013" s="3" t="n">
        <v>14.2018</v>
      </c>
      <c r="AD2013" s="3" t="n">
        <v>9.361381</v>
      </c>
      <c r="AE2013" s="3" t="n">
        <v>3.491514</v>
      </c>
      <c r="AF2013" s="3" t="n">
        <v>4.073615</v>
      </c>
      <c r="AG2013" s="3" t="n">
        <v>4.5</v>
      </c>
      <c r="AH2013" s="3" t="n">
        <v>4.1</v>
      </c>
      <c r="AI2013" s="3" t="n">
        <v>3.2</v>
      </c>
      <c r="AJ2013" s="3" t="n">
        <v>2.5</v>
      </c>
      <c r="AK2013" s="3" t="n">
        <v>2.2</v>
      </c>
      <c r="AL2013" s="3" t="n">
        <v>2</v>
      </c>
      <c r="AM2013" s="3" t="n"/>
      <c r="AN2013" s="3" t="n"/>
      <c r="AO2013" s="3" t="n"/>
      <c r="AP2013" s="3" t="n"/>
      <c r="AQ2013" s="3" t="n"/>
      <c r="AR2013" s="3" t="n"/>
      <c r="AS2013" s="3" t="n"/>
      <c r="AT2013" s="3" t="n"/>
      <c r="AU2013" s="3" t="n"/>
    </row>
    <row r="2014">
      <c r="A2014" s="3" t="n">
        <v>2031</v>
      </c>
      <c r="B2014" s="3" t="inlineStr">
        <is>
          <t>MKD</t>
        </is>
      </c>
      <c r="C2014" s="3" t="inlineStr">
        <is>
          <t>IMF.RES:WEO</t>
        </is>
      </c>
      <c r="D2014" s="3" t="inlineStr">
        <is>
          <t>MKD.PPPPC.A</t>
        </is>
      </c>
      <c r="E2014" s="3" t="inlineStr">
        <is>
          <t>North Macedonia, Republic of</t>
        </is>
      </c>
      <c r="F2014" s="3" t="inlineStr">
        <is>
          <t>Gross domestic product (GDP), Per capita, purchasing power parity (PPP) international dollar, ICP benchmarks 2017-2021</t>
        </is>
      </c>
      <c r="G2014" s="3" t="n">
        <v>7497.949551</v>
      </c>
      <c r="H2014" s="3" t="n">
        <v>7407.29632</v>
      </c>
      <c r="I2014" s="3" t="n">
        <v>7613.646366</v>
      </c>
      <c r="J2014" s="3" t="n">
        <v>7918.013302</v>
      </c>
      <c r="K2014" s="3" t="n">
        <v>8526.560399</v>
      </c>
      <c r="L2014" s="3" t="n">
        <v>9289.244203</v>
      </c>
      <c r="M2014" s="3" t="n">
        <v>10123.370775</v>
      </c>
      <c r="N2014" s="3" t="n">
        <v>11134.115722</v>
      </c>
      <c r="O2014" s="3" t="n">
        <v>12039.046209</v>
      </c>
      <c r="P2014" s="3" t="n">
        <v>12148.173421</v>
      </c>
      <c r="Q2014" s="3" t="n">
        <v>12790.329511</v>
      </c>
      <c r="R2014" s="3" t="n">
        <v>13421.054929</v>
      </c>
      <c r="S2014" s="3" t="n">
        <v>13662.037307</v>
      </c>
      <c r="T2014" s="3" t="n">
        <v>14353.805018</v>
      </c>
      <c r="U2014" s="3" t="n">
        <v>15174.581823</v>
      </c>
      <c r="V2014" s="3" t="n">
        <v>15948.573413</v>
      </c>
      <c r="W2014" s="3" t="n">
        <v>16611.844971</v>
      </c>
      <c r="X2014" s="3" t="n">
        <v>17161.135843</v>
      </c>
      <c r="Y2014" s="3" t="n">
        <v>18460.455558</v>
      </c>
      <c r="Z2014" s="3" t="n">
        <v>20222.530433</v>
      </c>
      <c r="AA2014" s="3" t="n">
        <v>19962.179299</v>
      </c>
      <c r="AB2014" s="3" t="n">
        <v>22372.553261</v>
      </c>
      <c r="AC2014" s="3" t="n">
        <v>24697.458876</v>
      </c>
      <c r="AD2014" s="3" t="n">
        <v>26321.633965</v>
      </c>
      <c r="AE2014" s="3" t="n">
        <v>27835.288509</v>
      </c>
      <c r="AF2014" s="3" t="n">
        <v>29773.436661</v>
      </c>
      <c r="AG2014" s="3" t="n">
        <v>31745.978086</v>
      </c>
      <c r="AH2014" s="3" t="n">
        <v>33596.45834</v>
      </c>
      <c r="AI2014" s="3" t="n">
        <v>35371.130398</v>
      </c>
      <c r="AJ2014" s="3" t="n">
        <v>37299.014732</v>
      </c>
      <c r="AK2014" s="3" t="n">
        <v>39369.196054</v>
      </c>
      <c r="AL2014" s="3" t="n">
        <v>41541.127949</v>
      </c>
      <c r="AM2014" s="3" t="n"/>
      <c r="AN2014" s="3" t="n"/>
      <c r="AO2014" s="3" t="n"/>
      <c r="AP2014" s="3" t="n"/>
      <c r="AQ2014" s="3" t="n"/>
      <c r="AR2014" s="3" t="n"/>
      <c r="AS2014" s="3" t="n"/>
      <c r="AT2014" s="3" t="n"/>
      <c r="AU2014" s="3" t="n"/>
    </row>
    <row r="2015">
      <c r="A2015" s="3" t="n">
        <v>2025</v>
      </c>
      <c r="B2015" s="3" t="inlineStr">
        <is>
          <t>MKD</t>
        </is>
      </c>
      <c r="C2015" s="3" t="inlineStr">
        <is>
          <t>IMF.STA:ER</t>
        </is>
      </c>
      <c r="D2015" s="3" t="inlineStr">
        <is>
          <t>MKD.XDC_USD.PA_RT.A</t>
        </is>
      </c>
      <c r="E2015" s="3" t="inlineStr">
        <is>
          <t>North Macedonia, Republic of</t>
        </is>
      </c>
      <c r="F2015" s="3" t="inlineStr">
        <is>
          <t>Domestic currency per US Dollar</t>
        </is>
      </c>
      <c r="G2015" s="3" t="n">
        <v>65.9038666666666</v>
      </c>
      <c r="H2015" s="3" t="n">
        <v>68.0371333333333</v>
      </c>
      <c r="I2015" s="3" t="n">
        <v>64.3497916666666</v>
      </c>
      <c r="J2015" s="3" t="n">
        <v>54.3222583333333</v>
      </c>
      <c r="K2015" s="3" t="n">
        <v>49.4099333333333</v>
      </c>
      <c r="L2015" s="3" t="n">
        <v>49.2836833333333</v>
      </c>
      <c r="M2015" s="3" t="n">
        <v>48.8017666666666</v>
      </c>
      <c r="N2015" s="3" t="n">
        <v>44.7298166666666</v>
      </c>
      <c r="O2015" s="3" t="n">
        <v>41.8676833333333</v>
      </c>
      <c r="P2015" s="3" t="n">
        <v>44.100575</v>
      </c>
      <c r="Q2015" s="3" t="n">
        <v>46.4853916666666</v>
      </c>
      <c r="R2015" s="3" t="n">
        <v>44.230825</v>
      </c>
      <c r="S2015" s="3" t="n">
        <v>47.89025</v>
      </c>
      <c r="T2015" s="3" t="n">
        <v>46.3953416666666</v>
      </c>
      <c r="U2015" s="3" t="n">
        <v>46.4371308333333</v>
      </c>
      <c r="V2015" s="3" t="n">
        <v>55.537075</v>
      </c>
      <c r="W2015" s="3" t="n">
        <v>55.731725</v>
      </c>
      <c r="X2015" s="3" t="n">
        <v>54.6654583333333</v>
      </c>
      <c r="Y2015" s="3" t="n">
        <v>52.1071083333333</v>
      </c>
      <c r="Z2015" s="3" t="n">
        <v>54.9472</v>
      </c>
      <c r="AA2015" s="3" t="n">
        <v>54.144325</v>
      </c>
      <c r="AB2015" s="3" t="n">
        <v>52.1021583333333</v>
      </c>
      <c r="AC2015" s="3" t="n">
        <v>58.5743916666666</v>
      </c>
      <c r="AD2015" s="3" t="n">
        <v>56.9471916666666</v>
      </c>
      <c r="AE2015" s="3" t="n">
        <v>56.8726333333333</v>
      </c>
      <c r="AF2015" s="3" t="n">
        <v>54.6549666666666</v>
      </c>
      <c r="AG2015" s="3" t="n"/>
      <c r="AH2015" s="3" t="n"/>
      <c r="AI2015" s="3" t="n"/>
      <c r="AJ2015" s="3" t="n"/>
      <c r="AK2015" s="3" t="n"/>
      <c r="AL2015" s="3" t="n"/>
      <c r="AM2015" s="3" t="n"/>
      <c r="AN2015" s="3" t="n"/>
      <c r="AO2015" s="3" t="n"/>
      <c r="AP2015" s="3" t="n"/>
      <c r="AQ2015" s="3" t="n"/>
      <c r="AR2015" s="3" t="n"/>
      <c r="AS2015" s="3" t="n"/>
      <c r="AT2015" s="3" t="n"/>
      <c r="AU2015" s="3" t="n"/>
    </row>
    <row r="2016">
      <c r="A2016" s="3" t="n">
        <v>2031</v>
      </c>
      <c r="B2016" s="3" t="inlineStr">
        <is>
          <t>MLI</t>
        </is>
      </c>
      <c r="C2016" s="3" t="inlineStr">
        <is>
          <t>IMF.RES:WEO</t>
        </is>
      </c>
      <c r="D2016" s="3" t="inlineStr">
        <is>
          <t>MLI.BCA.A</t>
        </is>
      </c>
      <c r="E2016" s="3" t="inlineStr">
        <is>
          <t>Mali</t>
        </is>
      </c>
      <c r="F2016" s="3" t="inlineStr">
        <is>
          <t>Current account balance (credit less debit), US dollar</t>
        </is>
      </c>
      <c r="G2016" s="3" t="n">
        <v>-0.256948</v>
      </c>
      <c r="H2016" s="3" t="n">
        <v>-0.307324</v>
      </c>
      <c r="I2016" s="3" t="n">
        <v>-0.079884</v>
      </c>
      <c r="J2016" s="3" t="n">
        <v>-0.277781</v>
      </c>
      <c r="K2016" s="3" t="n">
        <v>-0.374571</v>
      </c>
      <c r="L2016" s="3" t="n">
        <v>-0.444732</v>
      </c>
      <c r="M2016" s="3" t="n">
        <v>-0.224978</v>
      </c>
      <c r="N2016" s="3" t="n">
        <v>-0.453824</v>
      </c>
      <c r="O2016" s="3" t="n">
        <v>-1.336732</v>
      </c>
      <c r="P2016" s="3" t="n">
        <v>-1.117115</v>
      </c>
      <c r="Q2016" s="3" t="n">
        <v>-1.146758</v>
      </c>
      <c r="R2016" s="3" t="n">
        <v>-0.657104</v>
      </c>
      <c r="S2016" s="3" t="n">
        <v>-0.273087</v>
      </c>
      <c r="T2016" s="3" t="n">
        <v>-0.382363</v>
      </c>
      <c r="U2016" s="3" t="n">
        <v>-0.676493</v>
      </c>
      <c r="V2016" s="3" t="n">
        <v>-0.697702</v>
      </c>
      <c r="W2016" s="3" t="n">
        <v>-1.015482</v>
      </c>
      <c r="X2016" s="3" t="n">
        <v>-1.118951</v>
      </c>
      <c r="Y2016" s="3" t="n">
        <v>-0.836743</v>
      </c>
      <c r="Z2016" s="3" t="n">
        <v>-1.288651</v>
      </c>
      <c r="AA2016" s="3" t="n">
        <v>-0.380258</v>
      </c>
      <c r="AB2016" s="3" t="n">
        <v>-1.469293</v>
      </c>
      <c r="AC2016" s="3" t="n">
        <v>-1.478649</v>
      </c>
      <c r="AD2016" s="3" t="n">
        <v>-1.610517</v>
      </c>
      <c r="AE2016" s="3" t="n">
        <v>-1.158923</v>
      </c>
      <c r="AF2016" s="3" t="n">
        <v>-0.252612</v>
      </c>
      <c r="AG2016" s="3" t="n">
        <v>-0.504213</v>
      </c>
      <c r="AH2016" s="3" t="n">
        <v>0.571226</v>
      </c>
      <c r="AI2016" s="3" t="n">
        <v>1.122341</v>
      </c>
      <c r="AJ2016" s="3" t="n">
        <v>0.885356</v>
      </c>
      <c r="AK2016" s="3" t="n">
        <v>0.6593</v>
      </c>
      <c r="AL2016" s="3" t="n">
        <v>0.367341</v>
      </c>
      <c r="AM2016" s="3" t="n"/>
      <c r="AN2016" s="3" t="n"/>
      <c r="AO2016" s="3" t="n"/>
      <c r="AP2016" s="3" t="n"/>
      <c r="AQ2016" s="3" t="n"/>
      <c r="AR2016" s="3" t="n"/>
      <c r="AS2016" s="3" t="n"/>
      <c r="AT2016" s="3" t="n"/>
      <c r="AU2016" s="3" t="n"/>
    </row>
    <row r="2017">
      <c r="A2017" s="3" t="n">
        <v>2031</v>
      </c>
      <c r="B2017" s="3" t="inlineStr">
        <is>
          <t>MLI</t>
        </is>
      </c>
      <c r="C2017" s="3" t="inlineStr">
        <is>
          <t>IMF.RES:WEO</t>
        </is>
      </c>
      <c r="D2017" s="3" t="inlineStr">
        <is>
          <t>MLI.BCA_NGDPD.A</t>
        </is>
      </c>
      <c r="E2017" s="3" t="inlineStr">
        <is>
          <t>Mali</t>
        </is>
      </c>
      <c r="F2017" s="3" t="inlineStr">
        <is>
          <t>Current account balance (credit less debit), Percent of GDP</t>
        </is>
      </c>
      <c r="G2017" s="3" t="n">
        <v>-7.379306</v>
      </c>
      <c r="H2017" s="3" t="n">
        <v>-7.579355</v>
      </c>
      <c r="I2017" s="3" t="n">
        <v>-1.725028</v>
      </c>
      <c r="J2017" s="3" t="n">
        <v>-5.030394</v>
      </c>
      <c r="K2017" s="3" t="n">
        <v>-5.845138</v>
      </c>
      <c r="L2017" s="3" t="n">
        <v>-6.029071</v>
      </c>
      <c r="M2017" s="3" t="n">
        <v>-2.78231</v>
      </c>
      <c r="N2017" s="3" t="n">
        <v>-4.693652</v>
      </c>
      <c r="O2017" s="3" t="n">
        <v>-11.650204</v>
      </c>
      <c r="P2017" s="3" t="n">
        <v>-9.380352999999999</v>
      </c>
      <c r="Q2017" s="3" t="n">
        <v>-9.219688</v>
      </c>
      <c r="R2017" s="3" t="n">
        <v>-4.249975</v>
      </c>
      <c r="S2017" s="3" t="n">
        <v>-1.843196</v>
      </c>
      <c r="T2017" s="3" t="n">
        <v>-2.42719</v>
      </c>
      <c r="U2017" s="3" t="n">
        <v>-3.95621</v>
      </c>
      <c r="V2017" s="3" t="n">
        <v>-4.474626</v>
      </c>
      <c r="W2017" s="3" t="n">
        <v>-6.057113</v>
      </c>
      <c r="X2017" s="3" t="n">
        <v>-6.103287</v>
      </c>
      <c r="Y2017" s="3" t="n">
        <v>-4.09812</v>
      </c>
      <c r="Z2017" s="3" t="n">
        <v>-6.279677</v>
      </c>
      <c r="AA2017" s="3" t="n">
        <v>-1.830224</v>
      </c>
      <c r="AB2017" s="3" t="n">
        <v>-6.371465</v>
      </c>
      <c r="AC2017" s="3" t="n">
        <v>-6.52618</v>
      </c>
      <c r="AD2017" s="3" t="n">
        <v>-6.489655</v>
      </c>
      <c r="AE2017" s="3" t="n">
        <v>-4.328051</v>
      </c>
      <c r="AF2017" s="3" t="n">
        <v>-0.840652</v>
      </c>
      <c r="AG2017" s="3" t="n">
        <v>-1.489675</v>
      </c>
      <c r="AH2017" s="3" t="n">
        <v>1.568958</v>
      </c>
      <c r="AI2017" s="3" t="n">
        <v>2.87244</v>
      </c>
      <c r="AJ2017" s="3" t="n">
        <v>2.111797</v>
      </c>
      <c r="AK2017" s="3" t="n">
        <v>1.465085</v>
      </c>
      <c r="AL2017" s="3" t="n">
        <v>0.760498</v>
      </c>
      <c r="AM2017" s="3" t="n"/>
      <c r="AN2017" s="3" t="n"/>
      <c r="AO2017" s="3" t="n"/>
      <c r="AP2017" s="3" t="n"/>
      <c r="AQ2017" s="3" t="n"/>
      <c r="AR2017" s="3" t="n"/>
      <c r="AS2017" s="3" t="n"/>
      <c r="AT2017" s="3" t="n"/>
      <c r="AU2017" s="3" t="n"/>
    </row>
    <row r="2018">
      <c r="A2018" s="3" t="n">
        <v>2031</v>
      </c>
      <c r="B2018" s="3" t="inlineStr">
        <is>
          <t>MLI</t>
        </is>
      </c>
      <c r="C2018" s="3" t="inlineStr">
        <is>
          <t>IMF.RES:WEO</t>
        </is>
      </c>
      <c r="D2018" s="3" t="inlineStr">
        <is>
          <t>MLI.GGR_NGDP.A</t>
        </is>
      </c>
      <c r="E2018" s="3" t="inlineStr">
        <is>
          <t>Mali</t>
        </is>
      </c>
      <c r="F2018" s="3" t="inlineStr">
        <is>
          <t>Revenue, General government, Percent of GDP</t>
        </is>
      </c>
      <c r="G2018" s="3" t="n">
        <v>14.251701</v>
      </c>
      <c r="H2018" s="3" t="n">
        <v>13.296136</v>
      </c>
      <c r="I2018" s="3" t="n">
        <v>14.205968</v>
      </c>
      <c r="J2018" s="3" t="n">
        <v>16.750631</v>
      </c>
      <c r="K2018" s="3" t="n">
        <v>16.503534</v>
      </c>
      <c r="L2018" s="3" t="n">
        <v>15.991256</v>
      </c>
      <c r="M2018" s="3" t="n">
        <v>42.580818</v>
      </c>
      <c r="N2018" s="3" t="n">
        <v>15.781389</v>
      </c>
      <c r="O2018" s="3" t="n">
        <v>14.488313</v>
      </c>
      <c r="P2018" s="3" t="n">
        <v>16.389503</v>
      </c>
      <c r="Q2018" s="3" t="n">
        <v>15.218114</v>
      </c>
      <c r="R2018" s="3" t="n">
        <v>14.407605</v>
      </c>
      <c r="S2018" s="3" t="n">
        <v>12.247274</v>
      </c>
      <c r="T2018" s="3" t="n">
        <v>14.616369</v>
      </c>
      <c r="U2018" s="3" t="n">
        <v>14.395744</v>
      </c>
      <c r="V2018" s="3" t="n">
        <v>16.068652</v>
      </c>
      <c r="W2018" s="3" t="n">
        <v>15.317065</v>
      </c>
      <c r="X2018" s="3" t="n">
        <v>16.805945</v>
      </c>
      <c r="Y2018" s="3" t="n">
        <v>13.019788</v>
      </c>
      <c r="Z2018" s="3" t="n">
        <v>18.076251</v>
      </c>
      <c r="AA2018" s="3" t="n">
        <v>17.421737</v>
      </c>
      <c r="AB2018" s="3" t="n">
        <v>18.425796</v>
      </c>
      <c r="AC2018" s="3" t="n">
        <v>16.737675</v>
      </c>
      <c r="AD2018" s="3" t="n">
        <v>18.158012</v>
      </c>
      <c r="AE2018" s="3" t="n">
        <v>18.858946</v>
      </c>
      <c r="AF2018" s="3" t="n">
        <v>19.341231</v>
      </c>
      <c r="AG2018" s="3" t="n">
        <v>20.215677</v>
      </c>
      <c r="AH2018" s="3" t="n">
        <v>21.371139</v>
      </c>
      <c r="AI2018" s="3" t="n">
        <v>21.482012</v>
      </c>
      <c r="AJ2018" s="3" t="n">
        <v>21.617296</v>
      </c>
      <c r="AK2018" s="3" t="n">
        <v>21.800699</v>
      </c>
      <c r="AL2018" s="3" t="n">
        <v>21.823532</v>
      </c>
      <c r="AM2018" s="3" t="n"/>
      <c r="AN2018" s="3" t="n"/>
      <c r="AO2018" s="3" t="n"/>
      <c r="AP2018" s="3" t="n"/>
      <c r="AQ2018" s="3" t="n"/>
      <c r="AR2018" s="3" t="n"/>
      <c r="AS2018" s="3" t="n"/>
      <c r="AT2018" s="3" t="n"/>
      <c r="AU2018" s="3" t="n"/>
    </row>
    <row r="2019">
      <c r="A2019" s="3" t="n">
        <v>2031</v>
      </c>
      <c r="B2019" s="3" t="inlineStr">
        <is>
          <t>MLI</t>
        </is>
      </c>
      <c r="C2019" s="3" t="inlineStr">
        <is>
          <t>IMF.RES:WEO</t>
        </is>
      </c>
      <c r="D2019" s="3" t="inlineStr">
        <is>
          <t>MLI.GGX_NGDP.A</t>
        </is>
      </c>
      <c r="E2019" s="3" t="inlineStr">
        <is>
          <t>Mali</t>
        </is>
      </c>
      <c r="F2019" s="3" t="inlineStr">
        <is>
          <t>Expenditure, General government, Percent of GDP</t>
        </is>
      </c>
      <c r="G2019" s="3" t="n">
        <v>16.500205</v>
      </c>
      <c r="H2019" s="3" t="n">
        <v>15.689724</v>
      </c>
      <c r="I2019" s="3" t="n">
        <v>16.815377</v>
      </c>
      <c r="J2019" s="3" t="n">
        <v>17.764117</v>
      </c>
      <c r="K2019" s="3" t="n">
        <v>18.511158</v>
      </c>
      <c r="L2019" s="3" t="n">
        <v>18.333623</v>
      </c>
      <c r="M2019" s="3" t="n">
        <v>18.851285</v>
      </c>
      <c r="N2019" s="3" t="n">
        <v>18.130399</v>
      </c>
      <c r="O2019" s="3" t="n">
        <v>16.183143</v>
      </c>
      <c r="P2019" s="3" t="n">
        <v>19.579454</v>
      </c>
      <c r="Q2019" s="3" t="n">
        <v>17.42642</v>
      </c>
      <c r="R2019" s="3" t="n">
        <v>17.278893</v>
      </c>
      <c r="S2019" s="3" t="n">
        <v>13.050863</v>
      </c>
      <c r="T2019" s="3" t="n">
        <v>16.610369</v>
      </c>
      <c r="U2019" s="3" t="n">
        <v>16.821292</v>
      </c>
      <c r="V2019" s="3" t="n">
        <v>17.599879</v>
      </c>
      <c r="W2019" s="3" t="n">
        <v>18.616683</v>
      </c>
      <c r="X2019" s="3" t="n">
        <v>19.203422</v>
      </c>
      <c r="Y2019" s="3" t="n">
        <v>16.986335</v>
      </c>
      <c r="Z2019" s="3" t="n">
        <v>19.494371</v>
      </c>
      <c r="AA2019" s="3" t="n">
        <v>21.984562</v>
      </c>
      <c r="AB2019" s="3" t="n">
        <v>22.541458</v>
      </c>
      <c r="AC2019" s="3" t="n">
        <v>20.787614</v>
      </c>
      <c r="AD2019" s="3" t="n">
        <v>21.207918</v>
      </c>
      <c r="AE2019" s="3" t="n">
        <v>21.021938</v>
      </c>
      <c r="AF2019" s="3" t="n">
        <v>20.929417</v>
      </c>
      <c r="AG2019" s="3" t="n">
        <v>22.631414</v>
      </c>
      <c r="AH2019" s="3" t="n">
        <v>23.640258</v>
      </c>
      <c r="AI2019" s="3" t="n">
        <v>23.850791</v>
      </c>
      <c r="AJ2019" s="3" t="n">
        <v>23.981548</v>
      </c>
      <c r="AK2019" s="3" t="n">
        <v>24.180948</v>
      </c>
      <c r="AL2019" s="3" t="n">
        <v>24.203592</v>
      </c>
      <c r="AM2019" s="3" t="n"/>
      <c r="AN2019" s="3" t="n"/>
      <c r="AO2019" s="3" t="n"/>
      <c r="AP2019" s="3" t="n"/>
      <c r="AQ2019" s="3" t="n"/>
      <c r="AR2019" s="3" t="n"/>
      <c r="AS2019" s="3" t="n"/>
      <c r="AT2019" s="3" t="n"/>
      <c r="AU2019" s="3" t="n"/>
    </row>
    <row r="2020">
      <c r="A2020" s="3" t="n">
        <v>2031</v>
      </c>
      <c r="B2020" s="3" t="inlineStr">
        <is>
          <t>MLI</t>
        </is>
      </c>
      <c r="C2020" s="3" t="inlineStr">
        <is>
          <t>IMF.RES:WEO</t>
        </is>
      </c>
      <c r="D2020" s="3" t="inlineStr">
        <is>
          <t>MLI.LP.A</t>
        </is>
      </c>
      <c r="E2020" s="3" t="inlineStr">
        <is>
          <t>Mali</t>
        </is>
      </c>
      <c r="F2020" s="3" t="inlineStr">
        <is>
          <t>Population, Persons for countries / Index for country groups</t>
        </is>
      </c>
      <c r="G2020" s="3" t="n">
        <v>11.55929</v>
      </c>
      <c r="H2020" s="3" t="n">
        <v>11.912158</v>
      </c>
      <c r="I2020" s="3" t="n">
        <v>12.28805</v>
      </c>
      <c r="J2020" s="3" t="n">
        <v>12.684955</v>
      </c>
      <c r="K2020" s="3" t="n">
        <v>13.102409</v>
      </c>
      <c r="L2020" s="3" t="n">
        <v>13.538647</v>
      </c>
      <c r="M2020" s="3" t="n">
        <v>13.990139</v>
      </c>
      <c r="N2020" s="3" t="n">
        <v>14.457775</v>
      </c>
      <c r="O2020" s="3" t="n">
        <v>14.940782</v>
      </c>
      <c r="P2020" s="3" t="n">
        <v>15.435539</v>
      </c>
      <c r="Q2020" s="3" t="n">
        <v>15.945198</v>
      </c>
      <c r="R2020" s="3" t="n">
        <v>16.469049</v>
      </c>
      <c r="S2020" s="3" t="n">
        <v>16.957033</v>
      </c>
      <c r="T2020" s="3" t="n">
        <v>17.459615</v>
      </c>
      <c r="U2020" s="3" t="n">
        <v>18.020267</v>
      </c>
      <c r="V2020" s="3" t="n">
        <v>18.593022</v>
      </c>
      <c r="W2020" s="3" t="n">
        <v>19.191289</v>
      </c>
      <c r="X2020" s="3" t="n">
        <v>19.813011</v>
      </c>
      <c r="Y2020" s="3" t="n">
        <v>20.44203</v>
      </c>
      <c r="Z2020" s="3" t="n">
        <v>21.068405</v>
      </c>
      <c r="AA2020" s="3" t="n">
        <v>21.713836</v>
      </c>
      <c r="AB2020" s="3" t="n">
        <v>22.38863</v>
      </c>
      <c r="AC2020" s="3" t="n">
        <v>23.07264</v>
      </c>
      <c r="AD2020" s="3" t="n">
        <v>23.769127</v>
      </c>
      <c r="AE2020" s="3" t="n">
        <v>24.496898</v>
      </c>
      <c r="AF2020" s="3" t="n">
        <v>25.246838</v>
      </c>
      <c r="AG2020" s="3" t="n">
        <v>26.019629</v>
      </c>
      <c r="AH2020" s="3" t="n">
        <v>26.813643</v>
      </c>
      <c r="AI2020" s="3" t="n">
        <v>27.631695</v>
      </c>
      <c r="AJ2020" s="3" t="n">
        <v>28.476485</v>
      </c>
      <c r="AK2020" s="3" t="n">
        <v>29.346847</v>
      </c>
      <c r="AL2020" s="3" t="n">
        <v>30.24352</v>
      </c>
      <c r="AM2020" s="3" t="n"/>
      <c r="AN2020" s="3" t="n"/>
      <c r="AO2020" s="3" t="n"/>
      <c r="AP2020" s="3" t="n"/>
      <c r="AQ2020" s="3" t="n"/>
      <c r="AR2020" s="3" t="n"/>
      <c r="AS2020" s="3" t="n"/>
      <c r="AT2020" s="3" t="n"/>
      <c r="AU2020" s="3" t="n"/>
    </row>
    <row r="2021">
      <c r="A2021" s="3" t="n">
        <v>2031</v>
      </c>
      <c r="B2021" s="3" t="inlineStr">
        <is>
          <t>MLI</t>
        </is>
      </c>
      <c r="C2021" s="3" t="inlineStr">
        <is>
          <t>IMF.RES:WEO</t>
        </is>
      </c>
      <c r="D2021" s="3" t="inlineStr">
        <is>
          <t>MLI.NGDP.A</t>
        </is>
      </c>
      <c r="E2021" s="3" t="inlineStr">
        <is>
          <t>Mali</t>
        </is>
      </c>
      <c r="F2021" s="3" t="inlineStr">
        <is>
          <t>Gross domestic product (GDP), Current prices, Domestic currency</t>
        </is>
      </c>
      <c r="G2021" s="3" t="n">
        <v>2471.859742</v>
      </c>
      <c r="H2021" s="3" t="n">
        <v>2969.668833</v>
      </c>
      <c r="I2021" s="3" t="n">
        <v>3214.790565</v>
      </c>
      <c r="J2021" s="3" t="n">
        <v>3203.030559</v>
      </c>
      <c r="K2021" s="3" t="n">
        <v>3380.851722</v>
      </c>
      <c r="L2021" s="3" t="n">
        <v>3887.153267</v>
      </c>
      <c r="M2021" s="3" t="n">
        <v>4224.124749</v>
      </c>
      <c r="N2021" s="3" t="n">
        <v>4627.311418</v>
      </c>
      <c r="O2021" s="3" t="n">
        <v>5117.918028</v>
      </c>
      <c r="P2021" s="3" t="n">
        <v>5606.857132</v>
      </c>
      <c r="Q2021" s="3" t="n">
        <v>6149.297879</v>
      </c>
      <c r="R2021" s="3" t="n">
        <v>7287.423589</v>
      </c>
      <c r="S2021" s="3" t="n">
        <v>7559.584149</v>
      </c>
      <c r="T2021" s="3" t="n">
        <v>7780.441284</v>
      </c>
      <c r="U2021" s="3" t="n">
        <v>8440.84174</v>
      </c>
      <c r="V2021" s="3" t="n">
        <v>9217.476447999999</v>
      </c>
      <c r="W2021" s="3" t="n">
        <v>9937.840796</v>
      </c>
      <c r="X2021" s="3" t="n">
        <v>10649.273933</v>
      </c>
      <c r="Y2021" s="3" t="n">
        <v>11335.81079</v>
      </c>
      <c r="Z2021" s="3" t="n">
        <v>12022.957859</v>
      </c>
      <c r="AA2021" s="3" t="n">
        <v>11941.441327</v>
      </c>
      <c r="AB2021" s="3" t="n">
        <v>12781.0462</v>
      </c>
      <c r="AC2021" s="3" t="n">
        <v>14102.347378</v>
      </c>
      <c r="AD2021" s="3" t="n">
        <v>15050.821444</v>
      </c>
      <c r="AE2021" s="3" t="n">
        <v>16232.609274</v>
      </c>
      <c r="AF2021" s="3" t="n">
        <v>17453.707307</v>
      </c>
      <c r="AG2021" s="3" t="n">
        <v>18827.968586</v>
      </c>
      <c r="AH2021" s="3" t="n">
        <v>20299.186051</v>
      </c>
      <c r="AI2021" s="3" t="n">
        <v>21843.954109</v>
      </c>
      <c r="AJ2021" s="3" t="n">
        <v>23450.576934</v>
      </c>
      <c r="AK2021" s="3" t="n">
        <v>25175.366868</v>
      </c>
      <c r="AL2021" s="3" t="n">
        <v>27027.015101</v>
      </c>
      <c r="AM2021" s="3" t="n"/>
      <c r="AN2021" s="3" t="n"/>
      <c r="AO2021" s="3" t="n"/>
      <c r="AP2021" s="3" t="n"/>
      <c r="AQ2021" s="3" t="n"/>
      <c r="AR2021" s="3" t="n"/>
      <c r="AS2021" s="3" t="n"/>
      <c r="AT2021" s="3" t="n"/>
      <c r="AU2021" s="3" t="n"/>
    </row>
    <row r="2022">
      <c r="A2022" s="3" t="n">
        <v>2031</v>
      </c>
      <c r="B2022" s="3" t="inlineStr">
        <is>
          <t>MLI</t>
        </is>
      </c>
      <c r="C2022" s="3" t="inlineStr">
        <is>
          <t>IMF.RES:WEO</t>
        </is>
      </c>
      <c r="D2022" s="3" t="inlineStr">
        <is>
          <t>MLI.NGDP_D.A</t>
        </is>
      </c>
      <c r="E2022" s="3" t="inlineStr">
        <is>
          <t>Mali</t>
        </is>
      </c>
      <c r="F2022" s="3" t="inlineStr">
        <is>
          <t>Gross domestic product (GDP), Price deflator, Index</t>
        </is>
      </c>
      <c r="G2022" s="3" t="n">
        <v>54.200018</v>
      </c>
      <c r="H2022" s="3" t="n">
        <v>58.225292</v>
      </c>
      <c r="I2022" s="3" t="n">
        <v>58.672768</v>
      </c>
      <c r="J2022" s="3" t="n">
        <v>55.570659</v>
      </c>
      <c r="K2022" s="3" t="n">
        <v>60.346604</v>
      </c>
      <c r="L2022" s="3" t="n">
        <v>64.905376</v>
      </c>
      <c r="M2022" s="3" t="n">
        <v>67.17326300000001</v>
      </c>
      <c r="N2022" s="3" t="n">
        <v>70.6867</v>
      </c>
      <c r="O2022" s="3" t="n">
        <v>74.61932899999999</v>
      </c>
      <c r="P2022" s="3" t="n">
        <v>77.92952200000001</v>
      </c>
      <c r="Q2022" s="3" t="n">
        <v>80.707165</v>
      </c>
      <c r="R2022" s="3" t="n">
        <v>92.143186</v>
      </c>
      <c r="S2022" s="3" t="n">
        <v>95.896726</v>
      </c>
      <c r="T2022" s="3" t="n">
        <v>95.55401500000001</v>
      </c>
      <c r="U2022" s="3" t="n">
        <v>97.335239</v>
      </c>
      <c r="V2022" s="3" t="n">
        <v>100.049034</v>
      </c>
      <c r="W2022" s="3" t="n">
        <v>101.757467</v>
      </c>
      <c r="X2022" s="3" t="n">
        <v>103.47952</v>
      </c>
      <c r="Y2022" s="3" t="n">
        <v>105.037562</v>
      </c>
      <c r="Z2022" s="3" t="n">
        <v>106.09968</v>
      </c>
      <c r="AA2022" s="3" t="n">
        <v>106.626864</v>
      </c>
      <c r="AB2022" s="3" t="n">
        <v>110.691345</v>
      </c>
      <c r="AC2022" s="3" t="n">
        <v>117.737612</v>
      </c>
      <c r="AD2022" s="3" t="n">
        <v>120.018265</v>
      </c>
      <c r="AE2022" s="3" t="n">
        <v>123.258759</v>
      </c>
      <c r="AF2022" s="3" t="n">
        <v>126.340228</v>
      </c>
      <c r="AG2022" s="3" t="n">
        <v>129.182883</v>
      </c>
      <c r="AH2022" s="3" t="n">
        <v>131.76654</v>
      </c>
      <c r="AI2022" s="3" t="n">
        <v>134.401871</v>
      </c>
      <c r="AJ2022" s="3" t="n">
        <v>137.089909</v>
      </c>
      <c r="AK2022" s="3" t="n">
        <v>139.831707</v>
      </c>
      <c r="AL2022" s="3" t="n">
        <v>142.628341</v>
      </c>
      <c r="AM2022" s="3" t="n"/>
      <c r="AN2022" s="3" t="n"/>
      <c r="AO2022" s="3" t="n"/>
      <c r="AP2022" s="3" t="n"/>
      <c r="AQ2022" s="3" t="n"/>
      <c r="AR2022" s="3" t="n"/>
      <c r="AS2022" s="3" t="n"/>
      <c r="AT2022" s="3" t="n"/>
      <c r="AU2022" s="3" t="n"/>
    </row>
    <row r="2023">
      <c r="A2023" s="3" t="n">
        <v>2031</v>
      </c>
      <c r="B2023" s="3" t="inlineStr">
        <is>
          <t>MLI</t>
        </is>
      </c>
      <c r="C2023" s="3" t="inlineStr">
        <is>
          <t>IMF.RES:WEO</t>
        </is>
      </c>
      <c r="D2023" s="3" t="inlineStr">
        <is>
          <t>MLI.NGDP_R.A</t>
        </is>
      </c>
      <c r="E2023" s="3" t="inlineStr">
        <is>
          <t>Mali</t>
        </is>
      </c>
      <c r="F2023" s="3" t="inlineStr">
        <is>
          <t>Gross domestic product (GDP), Constant prices, Domestic currency</t>
        </is>
      </c>
      <c r="G2023" s="3" t="n">
        <v>4560.625325</v>
      </c>
      <c r="H2023" s="3" t="n">
        <v>5100.307284</v>
      </c>
      <c r="I2023" s="3" t="n">
        <v>5479.186845</v>
      </c>
      <c r="J2023" s="3" t="n">
        <v>5763.888</v>
      </c>
      <c r="K2023" s="3" t="n">
        <v>5602.389366</v>
      </c>
      <c r="L2023" s="3" t="n">
        <v>5988.954232</v>
      </c>
      <c r="M2023" s="3" t="n">
        <v>6288.401943</v>
      </c>
      <c r="N2023" s="3" t="n">
        <v>6546.226423</v>
      </c>
      <c r="O2023" s="3" t="n">
        <v>6858.702864</v>
      </c>
      <c r="P2023" s="3" t="n">
        <v>7194.779305</v>
      </c>
      <c r="Q2023" s="3" t="n">
        <v>7619.271284</v>
      </c>
      <c r="R2023" s="3" t="n">
        <v>7908.803592</v>
      </c>
      <c r="S2023" s="3" t="n">
        <v>7883.047134</v>
      </c>
      <c r="T2023" s="3" t="n">
        <v>8142.453575</v>
      </c>
      <c r="U2023" s="3" t="n">
        <v>8671.927919</v>
      </c>
      <c r="V2023" s="3" t="n">
        <v>9212.959000000001</v>
      </c>
      <c r="W2023" s="3" t="n">
        <v>9766.203</v>
      </c>
      <c r="X2023" s="3" t="n">
        <v>10291.1899</v>
      </c>
      <c r="Y2023" s="3" t="n">
        <v>10792.149588</v>
      </c>
      <c r="Z2023" s="3" t="n">
        <v>11331.756972</v>
      </c>
      <c r="AA2023" s="3" t="n">
        <v>11199.280233</v>
      </c>
      <c r="AB2023" s="3" t="n">
        <v>11546.563333</v>
      </c>
      <c r="AC2023" s="3" t="n">
        <v>11977.775919</v>
      </c>
      <c r="AD2023" s="3" t="n">
        <v>12540.442396</v>
      </c>
      <c r="AE2023" s="3" t="n">
        <v>13169.538177</v>
      </c>
      <c r="AF2023" s="3" t="n">
        <v>13814.845548</v>
      </c>
      <c r="AG2023" s="3" t="n">
        <v>14574.662053</v>
      </c>
      <c r="AH2023" s="3" t="n">
        <v>15405.41779</v>
      </c>
      <c r="AI2023" s="3" t="n">
        <v>16252.715769</v>
      </c>
      <c r="AJ2023" s="3" t="n">
        <v>17105.983347</v>
      </c>
      <c r="AK2023" s="3" t="n">
        <v>18004.047472</v>
      </c>
      <c r="AL2023" s="3" t="n">
        <v>18949.259965</v>
      </c>
      <c r="AM2023" s="3" t="n"/>
      <c r="AN2023" s="3" t="n"/>
      <c r="AO2023" s="3" t="n"/>
      <c r="AP2023" s="3" t="n"/>
      <c r="AQ2023" s="3" t="n"/>
      <c r="AR2023" s="3" t="n"/>
      <c r="AS2023" s="3" t="n"/>
      <c r="AT2023" s="3" t="n"/>
      <c r="AU2023" s="3" t="n"/>
    </row>
    <row r="2024">
      <c r="A2024" s="3" t="n">
        <v>2031</v>
      </c>
      <c r="B2024" s="3" t="inlineStr">
        <is>
          <t>MLI</t>
        </is>
      </c>
      <c r="C2024" s="3" t="inlineStr">
        <is>
          <t>IMF.RES:WEO</t>
        </is>
      </c>
      <c r="D2024" s="3" t="inlineStr">
        <is>
          <t>MLI.NGDP_RPCH.A</t>
        </is>
      </c>
      <c r="E2024" s="3" t="inlineStr">
        <is>
          <t>Mali</t>
        </is>
      </c>
      <c r="F2024" s="3" t="inlineStr">
        <is>
          <t>Gross domestic product (GDP), Constant prices, Percent change</t>
        </is>
      </c>
      <c r="G2024" s="3" t="n">
        <v>-1.635818</v>
      </c>
      <c r="H2024" s="3" t="n">
        <v>11.833508</v>
      </c>
      <c r="I2024" s="3" t="n">
        <v>7.428563</v>
      </c>
      <c r="J2024" s="3" t="n">
        <v>5.196048</v>
      </c>
      <c r="K2024" s="3" t="n">
        <v>-2.801904</v>
      </c>
      <c r="L2024" s="3" t="n">
        <v>6.9</v>
      </c>
      <c r="M2024" s="3" t="n">
        <v>5</v>
      </c>
      <c r="N2024" s="3" t="n">
        <v>4.1</v>
      </c>
      <c r="O2024" s="3" t="n">
        <v>4.773383</v>
      </c>
      <c r="P2024" s="3" t="n">
        <v>4.9</v>
      </c>
      <c r="Q2024" s="3" t="n">
        <v>5.9</v>
      </c>
      <c r="R2024" s="3" t="n">
        <v>3.8</v>
      </c>
      <c r="S2024" s="3" t="n">
        <v>-0.325668</v>
      </c>
      <c r="T2024" s="3" t="n">
        <v>3.290687</v>
      </c>
      <c r="U2024" s="3" t="n">
        <v>6.502639</v>
      </c>
      <c r="V2024" s="3" t="n">
        <v>6.238879</v>
      </c>
      <c r="W2024" s="3" t="n">
        <v>6.005063</v>
      </c>
      <c r="X2024" s="3" t="n">
        <v>5.375548</v>
      </c>
      <c r="Y2024" s="3" t="n">
        <v>4.86785</v>
      </c>
      <c r="Z2024" s="3" t="n">
        <v>4.999999</v>
      </c>
      <c r="AA2024" s="3" t="n">
        <v>-1.169075</v>
      </c>
      <c r="AB2024" s="3" t="n">
        <v>3.100941</v>
      </c>
      <c r="AC2024" s="3" t="n">
        <v>3.734554</v>
      </c>
      <c r="AD2024" s="3" t="n">
        <v>4.697587</v>
      </c>
      <c r="AE2024" s="3" t="n">
        <v>5.016536</v>
      </c>
      <c r="AF2024" s="3" t="n">
        <v>4.9</v>
      </c>
      <c r="AG2024" s="3" t="n">
        <v>5.5</v>
      </c>
      <c r="AH2024" s="3" t="n">
        <v>5.7</v>
      </c>
      <c r="AI2024" s="3" t="n">
        <v>5.5</v>
      </c>
      <c r="AJ2024" s="3" t="n">
        <v>5.25</v>
      </c>
      <c r="AK2024" s="3" t="n">
        <v>5.25</v>
      </c>
      <c r="AL2024" s="3" t="n">
        <v>5.25</v>
      </c>
      <c r="AM2024" s="3" t="n"/>
      <c r="AN2024" s="3" t="n"/>
      <c r="AO2024" s="3" t="n"/>
      <c r="AP2024" s="3" t="n"/>
      <c r="AQ2024" s="3" t="n"/>
      <c r="AR2024" s="3" t="n"/>
      <c r="AS2024" s="3" t="n"/>
      <c r="AT2024" s="3" t="n"/>
      <c r="AU2024" s="3" t="n"/>
    </row>
    <row r="2025">
      <c r="A2025" s="3" t="n">
        <v>2031</v>
      </c>
      <c r="B2025" s="3" t="inlineStr">
        <is>
          <t>MLI</t>
        </is>
      </c>
      <c r="C2025" s="3" t="inlineStr">
        <is>
          <t>IMF.RES:WEO</t>
        </is>
      </c>
      <c r="D2025" s="3" t="inlineStr">
        <is>
          <t>MLI.NGDPD.A</t>
        </is>
      </c>
      <c r="E2025" s="3" t="inlineStr">
        <is>
          <t>Mali</t>
        </is>
      </c>
      <c r="F2025" s="3" t="inlineStr">
        <is>
          <t>Gross domestic product (GDP), Current prices, US dollar</t>
        </is>
      </c>
      <c r="G2025" s="3" t="n">
        <v>3.482011</v>
      </c>
      <c r="H2025" s="3" t="n">
        <v>4.054749</v>
      </c>
      <c r="I2025" s="3" t="n">
        <v>4.630903</v>
      </c>
      <c r="J2025" s="3" t="n">
        <v>5.52206</v>
      </c>
      <c r="K2025" s="3" t="n">
        <v>6.408256</v>
      </c>
      <c r="L2025" s="3" t="n">
        <v>7.376463</v>
      </c>
      <c r="M2025" s="3" t="n">
        <v>8.086029</v>
      </c>
      <c r="N2025" s="3" t="n">
        <v>9.668889999999999</v>
      </c>
      <c r="O2025" s="3" t="n">
        <v>11.473894</v>
      </c>
      <c r="P2025" s="3" t="n">
        <v>11.909095</v>
      </c>
      <c r="Q2025" s="3" t="n">
        <v>12.43814</v>
      </c>
      <c r="R2025" s="3" t="n">
        <v>15.461353</v>
      </c>
      <c r="S2025" s="3" t="n">
        <v>14.815938</v>
      </c>
      <c r="T2025" s="3" t="n">
        <v>15.753312</v>
      </c>
      <c r="U2025" s="3" t="n">
        <v>17.099528</v>
      </c>
      <c r="V2025" s="3" t="n">
        <v>15.592401</v>
      </c>
      <c r="W2025" s="3" t="n">
        <v>16.76511</v>
      </c>
      <c r="X2025" s="3" t="n">
        <v>18.333578</v>
      </c>
      <c r="Y2025" s="3" t="n">
        <v>20.417722</v>
      </c>
      <c r="Z2025" s="3" t="n">
        <v>20.52098</v>
      </c>
      <c r="AA2025" s="3" t="n">
        <v>20.776591</v>
      </c>
      <c r="AB2025" s="3" t="n">
        <v>23.060518</v>
      </c>
      <c r="AC2025" s="3" t="n">
        <v>22.657187</v>
      </c>
      <c r="AD2025" s="3" t="n">
        <v>24.81668</v>
      </c>
      <c r="AE2025" s="3" t="n">
        <v>26.777013</v>
      </c>
      <c r="AF2025" s="3" t="n">
        <v>30.049551</v>
      </c>
      <c r="AG2025" s="3" t="n">
        <v>33.847181</v>
      </c>
      <c r="AH2025" s="3" t="n">
        <v>36.407997</v>
      </c>
      <c r="AI2025" s="3" t="n">
        <v>39.072727</v>
      </c>
      <c r="AJ2025" s="3" t="n">
        <v>41.924292</v>
      </c>
      <c r="AK2025" s="3" t="n">
        <v>45.000782</v>
      </c>
      <c r="AL2025" s="3" t="n">
        <v>48.302632</v>
      </c>
      <c r="AM2025" s="3" t="n"/>
      <c r="AN2025" s="3" t="n"/>
      <c r="AO2025" s="3" t="n"/>
      <c r="AP2025" s="3" t="n"/>
      <c r="AQ2025" s="3" t="n"/>
      <c r="AR2025" s="3" t="n"/>
      <c r="AS2025" s="3" t="n"/>
      <c r="AT2025" s="3" t="n"/>
      <c r="AU2025" s="3" t="n"/>
    </row>
    <row r="2026">
      <c r="A2026" s="3" t="n">
        <v>2031</v>
      </c>
      <c r="B2026" s="3" t="inlineStr">
        <is>
          <t>MLI</t>
        </is>
      </c>
      <c r="C2026" s="3" t="inlineStr">
        <is>
          <t>IMF.RES:WEO</t>
        </is>
      </c>
      <c r="D2026" s="3" t="inlineStr">
        <is>
          <t>MLI.NGDPPC.A</t>
        </is>
      </c>
      <c r="E2026" s="3" t="inlineStr">
        <is>
          <t>Mali</t>
        </is>
      </c>
      <c r="F2026" s="3" t="inlineStr">
        <is>
          <t>Gross domestic product (GDP), Current prices, Per capita, Domestic currency</t>
        </is>
      </c>
      <c r="G2026" s="3" t="n">
        <v>213841.831317</v>
      </c>
      <c r="H2026" s="3" t="n">
        <v>249297.300509</v>
      </c>
      <c r="I2026" s="3" t="n">
        <v>261619.261432</v>
      </c>
      <c r="J2026" s="3" t="n">
        <v>252506.261057</v>
      </c>
      <c r="K2026" s="3" t="n">
        <v>258032.833663</v>
      </c>
      <c r="L2026" s="3" t="n">
        <v>287115.342228</v>
      </c>
      <c r="M2026" s="3" t="n">
        <v>301935.86707</v>
      </c>
      <c r="N2026" s="3" t="n">
        <v>320056.953289</v>
      </c>
      <c r="O2026" s="3" t="n">
        <v>342546.864557</v>
      </c>
      <c r="P2026" s="3" t="n">
        <v>363243.365323</v>
      </c>
      <c r="Q2026" s="3" t="n">
        <v>385652.023842</v>
      </c>
      <c r="R2026" s="3" t="n">
        <v>442492.070347</v>
      </c>
      <c r="S2026" s="3" t="n">
        <v>445808.187609</v>
      </c>
      <c r="T2026" s="3" t="n">
        <v>445625.020004</v>
      </c>
      <c r="U2026" s="3" t="n">
        <v>468408.250561</v>
      </c>
      <c r="V2026" s="3" t="n">
        <v>495749.235797</v>
      </c>
      <c r="W2026" s="3" t="n">
        <v>517830.813572</v>
      </c>
      <c r="X2026" s="3" t="n">
        <v>537488.9224339999</v>
      </c>
      <c r="Y2026" s="3" t="n">
        <v>554534.495372</v>
      </c>
      <c r="Z2026" s="3" t="n">
        <v>570662.9362530001</v>
      </c>
      <c r="AA2026" s="3" t="n">
        <v>549946.187633</v>
      </c>
      <c r="AB2026" s="3" t="n">
        <v>570872.188249</v>
      </c>
      <c r="AC2026" s="3" t="n">
        <v>611215.161255</v>
      </c>
      <c r="AD2026" s="3" t="n">
        <v>633208.844581</v>
      </c>
      <c r="AE2026" s="3" t="n">
        <v>662639.385516</v>
      </c>
      <c r="AF2026" s="3" t="n">
        <v>691322.507578</v>
      </c>
      <c r="AG2026" s="3" t="n">
        <v>723606.3489869999</v>
      </c>
      <c r="AH2026" s="3" t="n">
        <v>757046.937138</v>
      </c>
      <c r="AI2026" s="3" t="n">
        <v>790539.777241</v>
      </c>
      <c r="AJ2026" s="3" t="n">
        <v>823506.71214</v>
      </c>
      <c r="AK2026" s="3" t="n">
        <v>857855.933321</v>
      </c>
      <c r="AL2026" s="3" t="n">
        <v>893646.469756</v>
      </c>
      <c r="AM2026" s="3" t="n"/>
      <c r="AN2026" s="3" t="n"/>
      <c r="AO2026" s="3" t="n"/>
      <c r="AP2026" s="3" t="n"/>
      <c r="AQ2026" s="3" t="n"/>
      <c r="AR2026" s="3" t="n"/>
      <c r="AS2026" s="3" t="n"/>
      <c r="AT2026" s="3" t="n"/>
      <c r="AU2026" s="3" t="n"/>
    </row>
    <row r="2027">
      <c r="A2027" s="3" t="n">
        <v>2031</v>
      </c>
      <c r="B2027" s="3" t="inlineStr">
        <is>
          <t>MLI</t>
        </is>
      </c>
      <c r="C2027" s="3" t="inlineStr">
        <is>
          <t>IMF.RES:WEO</t>
        </is>
      </c>
      <c r="D2027" s="3" t="inlineStr">
        <is>
          <t>MLI.NGDPRPC.A</t>
        </is>
      </c>
      <c r="E2027" s="3" t="inlineStr">
        <is>
          <t>Mali</t>
        </is>
      </c>
      <c r="F2027" s="3" t="inlineStr">
        <is>
          <t>Gross domestic product (GDP), Constant prices, Per capita, Domestic currency</t>
        </is>
      </c>
      <c r="G2027" s="3" t="n">
        <v>394541.993908</v>
      </c>
      <c r="H2027" s="3" t="n">
        <v>428159.808181</v>
      </c>
      <c r="I2027" s="3" t="n">
        <v>445895.552602</v>
      </c>
      <c r="J2027" s="3" t="n">
        <v>454387.737263</v>
      </c>
      <c r="K2027" s="3" t="n">
        <v>427584.680465</v>
      </c>
      <c r="L2027" s="3" t="n">
        <v>442359.877749</v>
      </c>
      <c r="M2027" s="3" t="n">
        <v>449488.167587</v>
      </c>
      <c r="N2027" s="3" t="n">
        <v>452782.424895</v>
      </c>
      <c r="O2027" s="3" t="n">
        <v>459059.161988</v>
      </c>
      <c r="P2027" s="3" t="n">
        <v>466117.788612</v>
      </c>
      <c r="Q2027" s="3" t="n">
        <v>477841.1208</v>
      </c>
      <c r="R2027" s="3" t="n">
        <v>480222.239455</v>
      </c>
      <c r="S2027" s="3" t="n">
        <v>464883.634666</v>
      </c>
      <c r="T2027" s="3" t="n">
        <v>466359.285389</v>
      </c>
      <c r="U2027" s="3" t="n">
        <v>481231.932839</v>
      </c>
      <c r="V2027" s="3" t="n">
        <v>495506.271116</v>
      </c>
      <c r="W2027" s="3" t="n">
        <v>508887.287352</v>
      </c>
      <c r="X2027" s="3" t="n">
        <v>519415.746571</v>
      </c>
      <c r="Y2027" s="3" t="n">
        <v>527939.230495</v>
      </c>
      <c r="Z2027" s="3" t="n">
        <v>537855.474677</v>
      </c>
      <c r="AA2027" s="3" t="n">
        <v>515767.00833</v>
      </c>
      <c r="AB2027" s="3" t="n">
        <v>515733.358089</v>
      </c>
      <c r="AC2027" s="3" t="n">
        <v>519133.307636</v>
      </c>
      <c r="AD2027" s="3" t="n">
        <v>527593.730981</v>
      </c>
      <c r="AE2027" s="3" t="n">
        <v>537600.242704</v>
      </c>
      <c r="AF2027" s="3" t="n">
        <v>547191.120966</v>
      </c>
      <c r="AG2027" s="3" t="n">
        <v>560141.044855</v>
      </c>
      <c r="AH2027" s="3" t="n">
        <v>574536.551574</v>
      </c>
      <c r="AI2027" s="3" t="n">
        <v>588191.049983</v>
      </c>
      <c r="AJ2027" s="3" t="n">
        <v>600705.566572</v>
      </c>
      <c r="AK2027" s="3" t="n">
        <v>613491.713113</v>
      </c>
      <c r="AL2027" s="3" t="n">
        <v>626556.029539</v>
      </c>
      <c r="AM2027" s="3" t="n"/>
      <c r="AN2027" s="3" t="n"/>
      <c r="AO2027" s="3" t="n"/>
      <c r="AP2027" s="3" t="n"/>
      <c r="AQ2027" s="3" t="n"/>
      <c r="AR2027" s="3" t="n"/>
      <c r="AS2027" s="3" t="n"/>
      <c r="AT2027" s="3" t="n"/>
      <c r="AU2027" s="3" t="n"/>
    </row>
    <row r="2028">
      <c r="A2028" s="3" t="n">
        <v>2031</v>
      </c>
      <c r="B2028" s="3" t="inlineStr">
        <is>
          <t>MLI</t>
        </is>
      </c>
      <c r="C2028" s="3" t="inlineStr">
        <is>
          <t>IMF.RES:WEO</t>
        </is>
      </c>
      <c r="D2028" s="3" t="inlineStr">
        <is>
          <t>MLI.PCPI.A</t>
        </is>
      </c>
      <c r="E2028" s="3" t="inlineStr">
        <is>
          <t>Mali</t>
        </is>
      </c>
      <c r="F2028" s="3" t="inlineStr">
        <is>
          <t>All Items, Consumer price index (CPI), Period average</t>
        </is>
      </c>
      <c r="G2028" s="3" t="n">
        <v>100</v>
      </c>
      <c r="H2028" s="3" t="n">
        <v>105.184482</v>
      </c>
      <c r="I2028" s="3" t="n">
        <v>110.475739</v>
      </c>
      <c r="J2028" s="3" t="n">
        <v>109.040218</v>
      </c>
      <c r="K2028" s="3" t="n">
        <v>105.635307</v>
      </c>
      <c r="L2028" s="3" t="n">
        <v>112.385811</v>
      </c>
      <c r="M2028" s="3" t="n">
        <v>114.12979</v>
      </c>
      <c r="N2028" s="3" t="n">
        <v>115.743267</v>
      </c>
      <c r="O2028" s="3" t="n">
        <v>126.364931</v>
      </c>
      <c r="P2028" s="3" t="n">
        <v>129.367659</v>
      </c>
      <c r="Q2028" s="3" t="n">
        <v>130.914699</v>
      </c>
      <c r="R2028" s="3" t="n">
        <v>134.784672</v>
      </c>
      <c r="S2028" s="3" t="n">
        <v>141.930241</v>
      </c>
      <c r="T2028" s="3" t="n">
        <v>141.106893</v>
      </c>
      <c r="U2028" s="3" t="n">
        <v>142.365642</v>
      </c>
      <c r="V2028" s="3" t="n">
        <v>144.40503</v>
      </c>
      <c r="W2028" s="3" t="n">
        <v>141.803298</v>
      </c>
      <c r="X2028" s="3" t="n">
        <v>145.189228</v>
      </c>
      <c r="Y2028" s="3" t="n">
        <v>147.965358</v>
      </c>
      <c r="Z2028" s="3" t="n">
        <v>143.482026</v>
      </c>
      <c r="AA2028" s="3" t="n">
        <v>144.1725</v>
      </c>
      <c r="AB2028" s="3" t="n">
        <v>149.663068</v>
      </c>
      <c r="AC2028" s="3" t="n">
        <v>164.230632</v>
      </c>
      <c r="AD2028" s="3" t="n">
        <v>167.611816</v>
      </c>
      <c r="AE2028" s="3" t="n">
        <v>172.935105</v>
      </c>
      <c r="AF2028" s="3" t="n">
        <v>176.912612</v>
      </c>
      <c r="AG2028" s="3" t="n">
        <v>180.80469</v>
      </c>
      <c r="AH2028" s="3" t="n">
        <v>184.420784</v>
      </c>
      <c r="AI2028" s="3" t="n">
        <v>188.109199</v>
      </c>
      <c r="AJ2028" s="3" t="n">
        <v>191.871383</v>
      </c>
      <c r="AK2028" s="3" t="n">
        <v>195.708811</v>
      </c>
      <c r="AL2028" s="3" t="n">
        <v>199.622987</v>
      </c>
      <c r="AM2028" s="3" t="n"/>
      <c r="AN2028" s="3" t="n"/>
      <c r="AO2028" s="3" t="n"/>
      <c r="AP2028" s="3" t="n"/>
      <c r="AQ2028" s="3" t="n"/>
      <c r="AR2028" s="3" t="n"/>
      <c r="AS2028" s="3" t="n"/>
      <c r="AT2028" s="3" t="n"/>
      <c r="AU2028" s="3" t="n"/>
    </row>
    <row r="2029">
      <c r="A2029" s="3" t="n">
        <v>2031</v>
      </c>
      <c r="B2029" s="3" t="inlineStr">
        <is>
          <t>MLI</t>
        </is>
      </c>
      <c r="C2029" s="3" t="inlineStr">
        <is>
          <t>IMF.RES:WEO</t>
        </is>
      </c>
      <c r="D2029" s="3" t="inlineStr">
        <is>
          <t>MLI.PCPIPCH.A</t>
        </is>
      </c>
      <c r="E2029" s="3" t="inlineStr">
        <is>
          <t>Mali</t>
        </is>
      </c>
      <c r="F2029" s="3" t="inlineStr">
        <is>
          <t>All Items, Consumer price index (CPI), Period average, percent change</t>
        </is>
      </c>
      <c r="G2029" s="3" t="n">
        <v>-0.776928</v>
      </c>
      <c r="H2029" s="3" t="n">
        <v>5.184482</v>
      </c>
      <c r="I2029" s="3" t="n">
        <v>5.030453</v>
      </c>
      <c r="J2029" s="3" t="n">
        <v>-1.299399</v>
      </c>
      <c r="K2029" s="3" t="n">
        <v>-3.12262</v>
      </c>
      <c r="L2029" s="3" t="n">
        <v>6.390386</v>
      </c>
      <c r="M2029" s="3" t="n">
        <v>1.551779</v>
      </c>
      <c r="N2029" s="3" t="n">
        <v>1.413721</v>
      </c>
      <c r="O2029" s="3" t="n">
        <v>9.176917</v>
      </c>
      <c r="P2029" s="3" t="n">
        <v>2.376236</v>
      </c>
      <c r="Q2029" s="3" t="n">
        <v>1.195848</v>
      </c>
      <c r="R2029" s="3" t="n">
        <v>2.956103</v>
      </c>
      <c r="S2029" s="3" t="n">
        <v>5.30147</v>
      </c>
      <c r="T2029" s="3" t="n">
        <v>-0.580107</v>
      </c>
      <c r="U2029" s="3" t="n">
        <v>0.892054</v>
      </c>
      <c r="V2029" s="3" t="n">
        <v>1.4325</v>
      </c>
      <c r="W2029" s="3" t="n">
        <v>-1.801691</v>
      </c>
      <c r="X2029" s="3" t="n">
        <v>2.387765</v>
      </c>
      <c r="Y2029" s="3" t="n">
        <v>1.912077</v>
      </c>
      <c r="Z2029" s="3" t="n">
        <v>-3.029987</v>
      </c>
      <c r="AA2029" s="3" t="n">
        <v>0.481226</v>
      </c>
      <c r="AB2029" s="3" t="n">
        <v>3.808333</v>
      </c>
      <c r="AC2029" s="3" t="n">
        <v>9.733573</v>
      </c>
      <c r="AD2029" s="3" t="n">
        <v>2.058802</v>
      </c>
      <c r="AE2029" s="3" t="n">
        <v>3.175963</v>
      </c>
      <c r="AF2029" s="3" t="n">
        <v>2.3</v>
      </c>
      <c r="AG2029" s="3" t="n">
        <v>2.2</v>
      </c>
      <c r="AH2029" s="3" t="n">
        <v>2</v>
      </c>
      <c r="AI2029" s="3" t="n">
        <v>2</v>
      </c>
      <c r="AJ2029" s="3" t="n">
        <v>2</v>
      </c>
      <c r="AK2029" s="3" t="n">
        <v>2</v>
      </c>
      <c r="AL2029" s="3" t="n">
        <v>2</v>
      </c>
      <c r="AM2029" s="3" t="n"/>
      <c r="AN2029" s="3" t="n"/>
      <c r="AO2029" s="3" t="n"/>
      <c r="AP2029" s="3" t="n"/>
      <c r="AQ2029" s="3" t="n"/>
      <c r="AR2029" s="3" t="n"/>
      <c r="AS2029" s="3" t="n"/>
      <c r="AT2029" s="3" t="n"/>
      <c r="AU2029" s="3" t="n"/>
    </row>
    <row r="2030">
      <c r="A2030" s="3" t="n">
        <v>2031</v>
      </c>
      <c r="B2030" s="3" t="inlineStr">
        <is>
          <t>MLI</t>
        </is>
      </c>
      <c r="C2030" s="3" t="inlineStr">
        <is>
          <t>IMF.RES:WEO</t>
        </is>
      </c>
      <c r="D2030" s="3" t="inlineStr">
        <is>
          <t>MLI.PPPPC.A</t>
        </is>
      </c>
      <c r="E2030" s="3" t="inlineStr">
        <is>
          <t>Mali</t>
        </is>
      </c>
      <c r="F2030" s="3" t="inlineStr">
        <is>
          <t>Gross domestic product (GDP), Per capita, purchasing power parity (PPP) international dollar, ICP benchmarks 2017-2021</t>
        </is>
      </c>
      <c r="G2030" s="3" t="n">
        <v>1442.404285</v>
      </c>
      <c r="H2030" s="3" t="n">
        <v>1600.552282</v>
      </c>
      <c r="I2030" s="3" t="n">
        <v>1692.755742</v>
      </c>
      <c r="J2030" s="3" t="n">
        <v>1759.049785</v>
      </c>
      <c r="K2030" s="3" t="n">
        <v>1699.797114</v>
      </c>
      <c r="L2030" s="3" t="n">
        <v>1813.678103</v>
      </c>
      <c r="M2030" s="3" t="n">
        <v>1899.737126</v>
      </c>
      <c r="N2030" s="3" t="n">
        <v>1965.506345</v>
      </c>
      <c r="O2030" s="3" t="n">
        <v>2031.141978</v>
      </c>
      <c r="P2030" s="3" t="n">
        <v>2075.092928</v>
      </c>
      <c r="Q2030" s="3" t="n">
        <v>2153.13807</v>
      </c>
      <c r="R2030" s="3" t="n">
        <v>2208.513279</v>
      </c>
      <c r="S2030" s="3" t="n">
        <v>2177.779542</v>
      </c>
      <c r="T2030" s="3" t="n">
        <v>2221.875901</v>
      </c>
      <c r="U2030" s="3" t="n">
        <v>2332.666549</v>
      </c>
      <c r="V2030" s="3" t="n">
        <v>2424.148805</v>
      </c>
      <c r="W2030" s="3" t="n">
        <v>2513.269188</v>
      </c>
      <c r="X2030" s="3" t="n">
        <v>2611.207753</v>
      </c>
      <c r="Y2030" s="3" t="n">
        <v>2689.742578</v>
      </c>
      <c r="Z2030" s="3" t="n">
        <v>2825.744101</v>
      </c>
      <c r="AA2030" s="3" t="n">
        <v>2730.019775</v>
      </c>
      <c r="AB2030" s="3" t="n">
        <v>2802.204432</v>
      </c>
      <c r="AC2030" s="3" t="n">
        <v>3021.296129</v>
      </c>
      <c r="AD2030" s="3" t="n">
        <v>3184.145632</v>
      </c>
      <c r="AE2030" s="3" t="n">
        <v>3325.084247</v>
      </c>
      <c r="AF2030" s="3" t="n">
        <v>3480.411955</v>
      </c>
      <c r="AG2030" s="3" t="n">
        <v>3664.848346</v>
      </c>
      <c r="AH2030" s="3" t="n">
        <v>3841.578883</v>
      </c>
      <c r="AI2030" s="3" t="n">
        <v>3997.432157</v>
      </c>
      <c r="AJ2030" s="3" t="n">
        <v>4155.07361</v>
      </c>
      <c r="AK2030" s="3" t="n">
        <v>4321.490972</v>
      </c>
      <c r="AL2030" s="3" t="n">
        <v>4493.194501</v>
      </c>
      <c r="AM2030" s="3" t="n"/>
      <c r="AN2030" s="3" t="n"/>
      <c r="AO2030" s="3" t="n"/>
      <c r="AP2030" s="3" t="n"/>
      <c r="AQ2030" s="3" t="n"/>
      <c r="AR2030" s="3" t="n"/>
      <c r="AS2030" s="3" t="n"/>
      <c r="AT2030" s="3" t="n"/>
      <c r="AU2030" s="3" t="n"/>
    </row>
    <row r="2031">
      <c r="A2031" s="3" t="n">
        <v>2025</v>
      </c>
      <c r="B2031" s="3" t="inlineStr">
        <is>
          <t>MLI</t>
        </is>
      </c>
      <c r="C2031" s="3" t="inlineStr">
        <is>
          <t>IMF.STA:ER</t>
        </is>
      </c>
      <c r="D2031" s="3" t="inlineStr">
        <is>
          <t>MLI.XDC_USD.PA_RT.A</t>
        </is>
      </c>
      <c r="E2031" s="3" t="inlineStr">
        <is>
          <t>Mali</t>
        </is>
      </c>
      <c r="F2031" s="3" t="inlineStr">
        <is>
          <t>Domestic currency per US Dollar</t>
        </is>
      </c>
      <c r="G2031" s="3" t="n">
        <v>710.207977031367</v>
      </c>
      <c r="H2031" s="3" t="n">
        <v>732.397693260228</v>
      </c>
      <c r="I2031" s="3" t="n">
        <v>693.713226496374</v>
      </c>
      <c r="J2031" s="3" t="n">
        <v>579.897426172466</v>
      </c>
      <c r="K2031" s="3" t="n">
        <v>527.338032291576</v>
      </c>
      <c r="L2031" s="3" t="n">
        <v>527.258362649626</v>
      </c>
      <c r="M2031" s="3" t="n">
        <v>522.425624895176</v>
      </c>
      <c r="N2031" s="3" t="n">
        <v>478.633718476363</v>
      </c>
      <c r="O2031" s="3" t="n">
        <v>446.000041432788</v>
      </c>
      <c r="P2031" s="3" t="n">
        <v>470.293423341398</v>
      </c>
      <c r="Q2031" s="3" t="n">
        <v>494.794262222947</v>
      </c>
      <c r="R2031" s="3" t="n">
        <v>471.248625718937</v>
      </c>
      <c r="S2031" s="3" t="n">
        <v>510.556338454251</v>
      </c>
      <c r="T2031" s="3" t="n">
        <v>493.899623852237</v>
      </c>
      <c r="U2031" s="3" t="n">
        <v>493.757329875312</v>
      </c>
      <c r="V2031" s="3" t="n">
        <v>591.21169798261</v>
      </c>
      <c r="W2031" s="3" t="n">
        <v>592.605615063022</v>
      </c>
      <c r="X2031" s="3" t="n">
        <v>580.656749587858</v>
      </c>
      <c r="Y2031" s="3" t="n">
        <v>555.446458398226</v>
      </c>
      <c r="Z2031" s="3" t="n">
        <v>585.911013180369</v>
      </c>
      <c r="AA2031" s="3" t="n">
        <v>575.586004510945</v>
      </c>
      <c r="AB2031" s="3" t="n">
        <v>554.530675033104</v>
      </c>
      <c r="AC2031" s="3" t="n">
        <v>623.759700911182</v>
      </c>
      <c r="AD2031" s="3" t="n">
        <v>606.569750165917</v>
      </c>
      <c r="AE2031" s="3" t="n">
        <v>606.345297609062</v>
      </c>
      <c r="AF2031" s="3" t="n">
        <v>581.928481040339</v>
      </c>
      <c r="AG2031" s="3" t="n"/>
      <c r="AH2031" s="3" t="n"/>
      <c r="AI2031" s="3" t="n"/>
      <c r="AJ2031" s="3" t="n"/>
      <c r="AK2031" s="3" t="n"/>
      <c r="AL2031" s="3" t="n"/>
      <c r="AM2031" s="3" t="n"/>
      <c r="AN2031" s="3" t="n"/>
      <c r="AO2031" s="3" t="n"/>
      <c r="AP2031" s="3" t="n"/>
      <c r="AQ2031" s="3" t="n"/>
      <c r="AR2031" s="3" t="n"/>
      <c r="AS2031" s="3" t="n"/>
      <c r="AT2031" s="3" t="n"/>
      <c r="AU2031" s="3" t="n"/>
    </row>
    <row r="2032">
      <c r="A2032" s="3" t="n">
        <v>2031</v>
      </c>
      <c r="B2032" s="3" t="inlineStr">
        <is>
          <t>MLT</t>
        </is>
      </c>
      <c r="C2032" s="3" t="inlineStr">
        <is>
          <t>IMF.RES:WEO</t>
        </is>
      </c>
      <c r="D2032" s="3" t="inlineStr">
        <is>
          <t>MLT.BCA.A</t>
        </is>
      </c>
      <c r="E2032" s="3" t="inlineStr">
        <is>
          <t>Malta</t>
        </is>
      </c>
      <c r="F2032" s="3" t="inlineStr">
        <is>
          <t>Current account balance (credit less debit), US dollar</t>
        </is>
      </c>
      <c r="G2032" s="3" t="n">
        <v>-0.209476</v>
      </c>
      <c r="H2032" s="3" t="n">
        <v>-0.063596</v>
      </c>
      <c r="I2032" s="3" t="n">
        <v>0.044598</v>
      </c>
      <c r="J2032" s="3" t="n">
        <v>-0.066785</v>
      </c>
      <c r="K2032" s="3" t="n">
        <v>-0.331973</v>
      </c>
      <c r="L2032" s="3" t="n">
        <v>-0.522598</v>
      </c>
      <c r="M2032" s="3" t="n">
        <v>-0.6350789999999999</v>
      </c>
      <c r="N2032" s="3" t="n">
        <v>-0.307447</v>
      </c>
      <c r="O2032" s="3" t="n">
        <v>-0.094836</v>
      </c>
      <c r="P2032" s="3" t="n">
        <v>-0.562658</v>
      </c>
      <c r="Q2032" s="3" t="n">
        <v>-0.4078</v>
      </c>
      <c r="R2032" s="3" t="n">
        <v>-0.019101</v>
      </c>
      <c r="S2032" s="3" t="n">
        <v>0.156864</v>
      </c>
      <c r="T2032" s="3" t="n">
        <v>0.270479</v>
      </c>
      <c r="U2032" s="3" t="n">
        <v>0.988742</v>
      </c>
      <c r="V2032" s="3" t="n">
        <v>0.299336</v>
      </c>
      <c r="W2032" s="3" t="n">
        <v>-0.06618599999999999</v>
      </c>
      <c r="X2032" s="3" t="n">
        <v>2.679675</v>
      </c>
      <c r="Y2032" s="3" t="n">
        <v>2.156101</v>
      </c>
      <c r="Z2032" s="3" t="n">
        <v>2.92439</v>
      </c>
      <c r="AA2032" s="3" t="n">
        <v>2.625062</v>
      </c>
      <c r="AB2032" s="3" t="n">
        <v>1.850799</v>
      </c>
      <c r="AC2032" s="3" t="n">
        <v>-0.543525</v>
      </c>
      <c r="AD2032" s="3" t="n">
        <v>1.47706</v>
      </c>
      <c r="AE2032" s="3" t="n">
        <v>1.772081</v>
      </c>
      <c r="AF2032" s="3" t="n">
        <v>1.580645</v>
      </c>
      <c r="AG2032" s="3" t="n">
        <v>1.776529</v>
      </c>
      <c r="AH2032" s="3" t="n">
        <v>1.678768</v>
      </c>
      <c r="AI2032" s="3" t="n">
        <v>1.729509</v>
      </c>
      <c r="AJ2032" s="3" t="n">
        <v>1.828746</v>
      </c>
      <c r="AK2032" s="3" t="n">
        <v>2.006323</v>
      </c>
      <c r="AL2032" s="3" t="n">
        <v>2.059939</v>
      </c>
      <c r="AM2032" s="3" t="n"/>
      <c r="AN2032" s="3" t="n"/>
      <c r="AO2032" s="3" t="n"/>
      <c r="AP2032" s="3" t="n"/>
      <c r="AQ2032" s="3" t="n"/>
      <c r="AR2032" s="3" t="n"/>
      <c r="AS2032" s="3" t="n"/>
      <c r="AT2032" s="3" t="n"/>
      <c r="AU2032" s="3" t="n"/>
    </row>
    <row r="2033">
      <c r="A2033" s="3" t="n">
        <v>2031</v>
      </c>
      <c r="B2033" s="3" t="inlineStr">
        <is>
          <t>MLT</t>
        </is>
      </c>
      <c r="C2033" s="3" t="inlineStr">
        <is>
          <t>IMF.RES:WEO</t>
        </is>
      </c>
      <c r="D2033" s="3" t="inlineStr">
        <is>
          <t>MLT.BCA_NGDPD.A</t>
        </is>
      </c>
      <c r="E2033" s="3" t="inlineStr">
        <is>
          <t>Malta</t>
        </is>
      </c>
      <c r="F2033" s="3" t="inlineStr">
        <is>
          <t>Current account balance (credit less debit), Percent of GDP</t>
        </is>
      </c>
      <c r="G2033" s="3" t="n">
        <v>-5.182152</v>
      </c>
      <c r="H2033" s="3" t="n">
        <v>-1.561822</v>
      </c>
      <c r="I2033" s="3" t="n">
        <v>0.999447</v>
      </c>
      <c r="J2033" s="3" t="n">
        <v>-1.231062</v>
      </c>
      <c r="K2033" s="3" t="n">
        <v>-5.434391</v>
      </c>
      <c r="L2033" s="3" t="n">
        <v>-8.176147</v>
      </c>
      <c r="M2033" s="3" t="n">
        <v>-9.362755</v>
      </c>
      <c r="N2033" s="3" t="n">
        <v>-3.856381</v>
      </c>
      <c r="O2033" s="3" t="n">
        <v>-1.034063</v>
      </c>
      <c r="P2033" s="3" t="n">
        <v>-6.42271</v>
      </c>
      <c r="Q2033" s="3" t="n">
        <v>-4.479168</v>
      </c>
      <c r="R2033" s="3" t="n">
        <v>-0.19515</v>
      </c>
      <c r="S2033" s="3" t="n">
        <v>1.631342</v>
      </c>
      <c r="T2033" s="3" t="n">
        <v>2.505137</v>
      </c>
      <c r="U2033" s="3" t="n">
        <v>8.314935</v>
      </c>
      <c r="V2033" s="3" t="n">
        <v>2.639204</v>
      </c>
      <c r="W2033" s="3" t="n">
        <v>-0.55052</v>
      </c>
      <c r="X2033" s="3" t="n">
        <v>18.929138</v>
      </c>
      <c r="Y2033" s="3" t="n">
        <v>13.341278</v>
      </c>
      <c r="Z2033" s="3" t="n">
        <v>17.897521</v>
      </c>
      <c r="AA2033" s="3" t="n">
        <v>16.014621</v>
      </c>
      <c r="AB2033" s="3" t="n">
        <v>9.374288</v>
      </c>
      <c r="AC2033" s="3" t="n">
        <v>-2.867621</v>
      </c>
      <c r="AD2033" s="3" t="n">
        <v>6.526494</v>
      </c>
      <c r="AE2033" s="3" t="n">
        <v>7.078365</v>
      </c>
      <c r="AF2033" s="3" t="n">
        <v>5.694793</v>
      </c>
      <c r="AG2033" s="3" t="n">
        <v>5.784556</v>
      </c>
      <c r="AH2033" s="3" t="n">
        <v>5.173632</v>
      </c>
      <c r="AI2033" s="3" t="n">
        <v>5.037444</v>
      </c>
      <c r="AJ2033" s="3" t="n">
        <v>5.023131</v>
      </c>
      <c r="AK2033" s="3" t="n">
        <v>5.193675</v>
      </c>
      <c r="AL2033" s="3" t="n">
        <v>5.024229</v>
      </c>
      <c r="AM2033" s="3" t="n"/>
      <c r="AN2033" s="3" t="n"/>
      <c r="AO2033" s="3" t="n"/>
      <c r="AP2033" s="3" t="n"/>
      <c r="AQ2033" s="3" t="n"/>
      <c r="AR2033" s="3" t="n"/>
      <c r="AS2033" s="3" t="n"/>
      <c r="AT2033" s="3" t="n"/>
      <c r="AU2033" s="3" t="n"/>
    </row>
    <row r="2034">
      <c r="A2034" s="3" t="n">
        <v>2031</v>
      </c>
      <c r="B2034" s="3" t="inlineStr">
        <is>
          <t>MLT</t>
        </is>
      </c>
      <c r="C2034" s="3" t="inlineStr">
        <is>
          <t>IMF.RES:WEO</t>
        </is>
      </c>
      <c r="D2034" s="3" t="inlineStr">
        <is>
          <t>MLT.GGR_NGDP.A</t>
        </is>
      </c>
      <c r="E2034" s="3" t="inlineStr">
        <is>
          <t>Malta</t>
        </is>
      </c>
      <c r="F2034" s="3" t="inlineStr">
        <is>
          <t>Revenue, General government, Percent of GDP</t>
        </is>
      </c>
      <c r="G2034" s="3" t="n">
        <v>37.089806</v>
      </c>
      <c r="H2034" s="3" t="n">
        <v>37.905097</v>
      </c>
      <c r="I2034" s="3" t="n">
        <v>37.988889</v>
      </c>
      <c r="J2034" s="3" t="n">
        <v>36.526506</v>
      </c>
      <c r="K2034" s="3" t="n">
        <v>37.67625</v>
      </c>
      <c r="L2034" s="3" t="n">
        <v>39.714836</v>
      </c>
      <c r="M2034" s="3" t="n">
        <v>40.023417</v>
      </c>
      <c r="N2034" s="3" t="n">
        <v>39.110796</v>
      </c>
      <c r="O2034" s="3" t="n">
        <v>38.07004</v>
      </c>
      <c r="P2034" s="3" t="n">
        <v>38.034575</v>
      </c>
      <c r="Q2034" s="3" t="n">
        <v>37.843746</v>
      </c>
      <c r="R2034" s="3" t="n">
        <v>38.508133</v>
      </c>
      <c r="S2034" s="3" t="n">
        <v>38.382245</v>
      </c>
      <c r="T2034" s="3" t="n">
        <v>37.893325</v>
      </c>
      <c r="U2034" s="3" t="n">
        <v>38.08683</v>
      </c>
      <c r="V2034" s="3" t="n">
        <v>37.007651</v>
      </c>
      <c r="W2034" s="3" t="n">
        <v>36.551826</v>
      </c>
      <c r="X2034" s="3" t="n">
        <v>36.110469</v>
      </c>
      <c r="Y2034" s="3" t="n">
        <v>36.33559</v>
      </c>
      <c r="Z2034" s="3" t="n">
        <v>35.598388</v>
      </c>
      <c r="AA2034" s="3" t="n">
        <v>33.36745</v>
      </c>
      <c r="AB2034" s="3" t="n">
        <v>32.498891</v>
      </c>
      <c r="AC2034" s="3" t="n">
        <v>33.048835</v>
      </c>
      <c r="AD2034" s="3" t="n">
        <v>31.374404</v>
      </c>
      <c r="AE2034" s="3" t="n">
        <v>33.858329</v>
      </c>
      <c r="AF2034" s="3" t="n">
        <v>33.854795</v>
      </c>
      <c r="AG2034" s="3" t="n">
        <v>33.066856</v>
      </c>
      <c r="AH2034" s="3" t="n">
        <v>33.072952</v>
      </c>
      <c r="AI2034" s="3" t="n">
        <v>33.233133</v>
      </c>
      <c r="AJ2034" s="3" t="n">
        <v>33.29803</v>
      </c>
      <c r="AK2034" s="3" t="n">
        <v>33.317288</v>
      </c>
      <c r="AL2034" s="3" t="n">
        <v>33.271452</v>
      </c>
      <c r="AM2034" s="3" t="n"/>
      <c r="AN2034" s="3" t="n"/>
      <c r="AO2034" s="3" t="n"/>
      <c r="AP2034" s="3" t="n"/>
      <c r="AQ2034" s="3" t="n"/>
      <c r="AR2034" s="3" t="n"/>
      <c r="AS2034" s="3" t="n"/>
      <c r="AT2034" s="3" t="n"/>
      <c r="AU2034" s="3" t="n"/>
    </row>
    <row r="2035">
      <c r="A2035" s="3" t="n">
        <v>2031</v>
      </c>
      <c r="B2035" s="3" t="inlineStr">
        <is>
          <t>MLT</t>
        </is>
      </c>
      <c r="C2035" s="3" t="inlineStr">
        <is>
          <t>IMF.RES:WEO</t>
        </is>
      </c>
      <c r="D2035" s="3" t="inlineStr">
        <is>
          <t>MLT.GGX_NGDP.A</t>
        </is>
      </c>
      <c r="E2035" s="3" t="inlineStr">
        <is>
          <t>Malta</t>
        </is>
      </c>
      <c r="F2035" s="3" t="inlineStr">
        <is>
          <t>Expenditure, General government, Percent of GDP</t>
        </is>
      </c>
      <c r="G2035" s="3" t="n">
        <v>42.917476</v>
      </c>
      <c r="H2035" s="3" t="n">
        <v>44.407733</v>
      </c>
      <c r="I2035" s="3" t="n">
        <v>43.606667</v>
      </c>
      <c r="J2035" s="3" t="n">
        <v>45.568344</v>
      </c>
      <c r="K2035" s="3" t="n">
        <v>41.955231</v>
      </c>
      <c r="L2035" s="3" t="n">
        <v>42.543134</v>
      </c>
      <c r="M2035" s="3" t="n">
        <v>42.48411</v>
      </c>
      <c r="N2035" s="3" t="n">
        <v>41.163338</v>
      </c>
      <c r="O2035" s="3" t="n">
        <v>42.125265</v>
      </c>
      <c r="P2035" s="3" t="n">
        <v>41.148592</v>
      </c>
      <c r="Q2035" s="3" t="n">
        <v>40.064705</v>
      </c>
      <c r="R2035" s="3" t="n">
        <v>41.494142</v>
      </c>
      <c r="S2035" s="3" t="n">
        <v>41.687279</v>
      </c>
      <c r="T2035" s="3" t="n">
        <v>40.079219</v>
      </c>
      <c r="U2035" s="3" t="n">
        <v>39.571995</v>
      </c>
      <c r="V2035" s="3" t="n">
        <v>37.846088</v>
      </c>
      <c r="W2035" s="3" t="n">
        <v>35.456495</v>
      </c>
      <c r="X2035" s="3" t="n">
        <v>32.70659</v>
      </c>
      <c r="Y2035" s="3" t="n">
        <v>34.477944</v>
      </c>
      <c r="Z2035" s="3" t="n">
        <v>34.883036</v>
      </c>
      <c r="AA2035" s="3" t="n">
        <v>42.081114</v>
      </c>
      <c r="AB2035" s="3" t="n">
        <v>39.456174</v>
      </c>
      <c r="AC2035" s="3" t="n">
        <v>38.382754</v>
      </c>
      <c r="AD2035" s="3" t="n">
        <v>35.804098</v>
      </c>
      <c r="AE2035" s="3" t="n">
        <v>37.36704</v>
      </c>
      <c r="AF2035" s="3" t="n">
        <v>36.956634</v>
      </c>
      <c r="AG2035" s="3" t="n">
        <v>35.947053</v>
      </c>
      <c r="AH2035" s="3" t="n">
        <v>35.768283</v>
      </c>
      <c r="AI2035" s="3" t="n">
        <v>35.815707</v>
      </c>
      <c r="AJ2035" s="3" t="n">
        <v>35.852622</v>
      </c>
      <c r="AK2035" s="3" t="n">
        <v>35.898153</v>
      </c>
      <c r="AL2035" s="3" t="n">
        <v>35.895335</v>
      </c>
      <c r="AM2035" s="3" t="n"/>
      <c r="AN2035" s="3" t="n"/>
      <c r="AO2035" s="3" t="n"/>
      <c r="AP2035" s="3" t="n"/>
      <c r="AQ2035" s="3" t="n"/>
      <c r="AR2035" s="3" t="n"/>
      <c r="AS2035" s="3" t="n"/>
      <c r="AT2035" s="3" t="n"/>
      <c r="AU2035" s="3" t="n"/>
    </row>
    <row r="2036">
      <c r="A2036" s="3" t="n">
        <v>2027</v>
      </c>
      <c r="B2036" s="3" t="inlineStr">
        <is>
          <t>MLT</t>
        </is>
      </c>
      <c r="C2036" s="3" t="inlineStr">
        <is>
          <t>IMF.RES:WEO</t>
        </is>
      </c>
      <c r="D2036" s="3" t="inlineStr">
        <is>
          <t>MLT.LE.A</t>
        </is>
      </c>
      <c r="E2036" s="3" t="inlineStr">
        <is>
          <t>Malta</t>
        </is>
      </c>
      <c r="F2036" s="3" t="inlineStr">
        <is>
          <t>Employed persons, Persons for countries / Index for country groups</t>
        </is>
      </c>
      <c r="G2036" s="3" t="n">
        <v>0.14433</v>
      </c>
      <c r="H2036" s="3" t="n">
        <v>0.146082</v>
      </c>
      <c r="I2036" s="3" t="n">
        <v>0.147571</v>
      </c>
      <c r="J2036" s="3" t="n">
        <v>0.147815</v>
      </c>
      <c r="K2036" s="3" t="n">
        <v>0.147871</v>
      </c>
      <c r="L2036" s="3" t="n">
        <v>0.150276</v>
      </c>
      <c r="M2036" s="3" t="n">
        <v>0.152371</v>
      </c>
      <c r="N2036" s="3" t="n">
        <v>0.15636</v>
      </c>
      <c r="O2036" s="3" t="n">
        <v>0.160363</v>
      </c>
      <c r="P2036" s="3" t="n">
        <v>0.161291</v>
      </c>
      <c r="Q2036" s="3" t="n">
        <v>0.16445</v>
      </c>
      <c r="R2036" s="3" t="n">
        <v>0.16859</v>
      </c>
      <c r="S2036" s="3" t="n">
        <v>0.172645</v>
      </c>
      <c r="T2036" s="3" t="n">
        <v>0.175775</v>
      </c>
      <c r="U2036" s="3" t="n">
        <v>0.181698</v>
      </c>
      <c r="V2036" s="3" t="n">
        <v>0.185923</v>
      </c>
      <c r="W2036" s="3" t="n">
        <v>0.191946</v>
      </c>
      <c r="X2036" s="3" t="n">
        <v>0.218808</v>
      </c>
      <c r="Y2036" s="3" t="n">
        <v>0.236749</v>
      </c>
      <c r="Z2036" s="3" t="n">
        <v>0.251958</v>
      </c>
      <c r="AA2036" s="3" t="n">
        <v>0.258479</v>
      </c>
      <c r="AB2036" s="3" t="n">
        <v>0.266337</v>
      </c>
      <c r="AC2036" s="3" t="n">
        <v>0.284065</v>
      </c>
      <c r="AD2036" s="3" t="n">
        <v>0.302619</v>
      </c>
      <c r="AE2036" s="3" t="n">
        <v>0.319103</v>
      </c>
      <c r="AF2036" s="3" t="n">
        <v>0.330654</v>
      </c>
      <c r="AG2036" s="3" t="n">
        <v>0.3387</v>
      </c>
      <c r="AH2036" s="3" t="n">
        <v>0.346143</v>
      </c>
      <c r="AI2036" s="3" t="n"/>
      <c r="AJ2036" s="3" t="n"/>
      <c r="AK2036" s="3" t="n"/>
      <c r="AL2036" s="3" t="n"/>
      <c r="AM2036" s="3" t="n"/>
      <c r="AN2036" s="3" t="n"/>
      <c r="AO2036" s="3" t="n"/>
      <c r="AP2036" s="3" t="n"/>
      <c r="AQ2036" s="3" t="n"/>
      <c r="AR2036" s="3" t="n"/>
      <c r="AS2036" s="3" t="n"/>
      <c r="AT2036" s="3" t="n"/>
      <c r="AU2036" s="3" t="n"/>
    </row>
    <row r="2037">
      <c r="A2037" s="3" t="n">
        <v>2031</v>
      </c>
      <c r="B2037" s="3" t="inlineStr">
        <is>
          <t>MLT</t>
        </is>
      </c>
      <c r="C2037" s="3" t="inlineStr">
        <is>
          <t>IMF.RES:WEO</t>
        </is>
      </c>
      <c r="D2037" s="3" t="inlineStr">
        <is>
          <t>MLT.LP.A</t>
        </is>
      </c>
      <c r="E2037" s="3" t="inlineStr">
        <is>
          <t>Malta</t>
        </is>
      </c>
      <c r="F2037" s="3" t="inlineStr">
        <is>
          <t>Population, Persons for countries / Index for country groups</t>
        </is>
      </c>
      <c r="G2037" s="3" t="n">
        <v>0.388759</v>
      </c>
      <c r="H2037" s="3" t="n">
        <v>0.391415</v>
      </c>
      <c r="I2037" s="3" t="n">
        <v>0.394641</v>
      </c>
      <c r="J2037" s="3" t="n">
        <v>0.397296</v>
      </c>
      <c r="K2037" s="3" t="n">
        <v>0.399867</v>
      </c>
      <c r="L2037" s="3" t="n">
        <v>0.402668</v>
      </c>
      <c r="M2037" s="3" t="n">
        <v>0.404999</v>
      </c>
      <c r="N2037" s="3" t="n">
        <v>0.405616</v>
      </c>
      <c r="O2037" s="3" t="n">
        <v>0.407832</v>
      </c>
      <c r="P2037" s="3" t="n">
        <v>0.410926</v>
      </c>
      <c r="Q2037" s="3" t="n">
        <v>0.414027</v>
      </c>
      <c r="R2037" s="3" t="n">
        <v>0.414989</v>
      </c>
      <c r="S2037" s="3" t="n">
        <v>0.417546</v>
      </c>
      <c r="T2037" s="3" t="n">
        <v>0.421464</v>
      </c>
      <c r="U2037" s="3" t="n">
        <v>0.428156</v>
      </c>
      <c r="V2037" s="3" t="n">
        <v>0.438805</v>
      </c>
      <c r="W2037" s="3" t="n">
        <v>0.449635</v>
      </c>
      <c r="X2037" s="3" t="n">
        <v>0.459375</v>
      </c>
      <c r="Y2037" s="3" t="n">
        <v>0.474837</v>
      </c>
      <c r="Z2037" s="3" t="n">
        <v>0.492968</v>
      </c>
      <c r="AA2037" s="3" t="n">
        <v>0.514855</v>
      </c>
      <c r="AB2037" s="3" t="n">
        <v>0.5161249999999999</v>
      </c>
      <c r="AC2037" s="3" t="n">
        <v>0.520174</v>
      </c>
      <c r="AD2037" s="3" t="n">
        <v>0.5420509999999999</v>
      </c>
      <c r="AE2037" s="3" t="n">
        <v>0.552711</v>
      </c>
      <c r="AF2037" s="3" t="n">
        <v>0.563034</v>
      </c>
      <c r="AG2037" s="3" t="n">
        <v>0.573401</v>
      </c>
      <c r="AH2037" s="3" t="n">
        <v>0.583798</v>
      </c>
      <c r="AI2037" s="3" t="n">
        <v>0.594213</v>
      </c>
      <c r="AJ2037" s="3" t="n">
        <v>0.604325</v>
      </c>
      <c r="AK2037" s="3" t="n">
        <v>0.614138</v>
      </c>
      <c r="AL2037" s="3" t="n">
        <v>0.623619</v>
      </c>
      <c r="AM2037" s="3" t="n"/>
      <c r="AN2037" s="3" t="n"/>
      <c r="AO2037" s="3" t="n"/>
      <c r="AP2037" s="3" t="n"/>
      <c r="AQ2037" s="3" t="n"/>
      <c r="AR2037" s="3" t="n"/>
      <c r="AS2037" s="3" t="n"/>
      <c r="AT2037" s="3" t="n"/>
      <c r="AU2037" s="3" t="n"/>
    </row>
    <row r="2038">
      <c r="A2038" s="3" t="n">
        <v>2031</v>
      </c>
      <c r="B2038" s="3" t="inlineStr">
        <is>
          <t>MLT</t>
        </is>
      </c>
      <c r="C2038" s="3" t="inlineStr">
        <is>
          <t>IMF.RES:WEO</t>
        </is>
      </c>
      <c r="D2038" s="3" t="inlineStr">
        <is>
          <t>MLT.NGDP.A</t>
        </is>
      </c>
      <c r="E2038" s="3" t="inlineStr">
        <is>
          <t>Malta</t>
        </is>
      </c>
      <c r="F2038" s="3" t="inlineStr">
        <is>
          <t>Gross domestic product (GDP), Current prices, Domestic currency</t>
        </is>
      </c>
      <c r="G2038" s="3" t="n">
        <v>4.12</v>
      </c>
      <c r="H2038" s="3" t="n">
        <v>4.2675</v>
      </c>
      <c r="I2038" s="3" t="n">
        <v>4.5</v>
      </c>
      <c r="J2038" s="3" t="n">
        <v>4.7612</v>
      </c>
      <c r="K2038" s="3" t="n">
        <v>4.9007</v>
      </c>
      <c r="L2038" s="3" t="n">
        <v>5.1409</v>
      </c>
      <c r="M2038" s="3" t="n">
        <v>5.3806</v>
      </c>
      <c r="N2038" s="3" t="n">
        <v>5.7782</v>
      </c>
      <c r="O2038" s="3" t="n">
        <v>6.2364</v>
      </c>
      <c r="P2038" s="3" t="n">
        <v>6.2877</v>
      </c>
      <c r="Q2038" s="3" t="n">
        <v>6.8619</v>
      </c>
      <c r="R2038" s="3" t="n">
        <v>7.0328</v>
      </c>
      <c r="S2038" s="3" t="n">
        <v>7.4795</v>
      </c>
      <c r="T2038" s="3" t="n">
        <v>8.1294</v>
      </c>
      <c r="U2038" s="3" t="n">
        <v>8.948499999999999</v>
      </c>
      <c r="V2038" s="3" t="n">
        <v>10.2214</v>
      </c>
      <c r="W2038" s="3" t="n">
        <v>10.8643</v>
      </c>
      <c r="X2038" s="3" t="n">
        <v>12.5357</v>
      </c>
      <c r="Y2038" s="3" t="n">
        <v>13.6786</v>
      </c>
      <c r="Z2038" s="3" t="n">
        <v>14.5942</v>
      </c>
      <c r="AA2038" s="3" t="n">
        <v>14.3625</v>
      </c>
      <c r="AB2038" s="3" t="n">
        <v>16.6818</v>
      </c>
      <c r="AC2038" s="3" t="n">
        <v>17.9849</v>
      </c>
      <c r="AD2038" s="3" t="n">
        <v>20.9247</v>
      </c>
      <c r="AE2038" s="3" t="n">
        <v>23.1367</v>
      </c>
      <c r="AF2038" s="3" t="n">
        <v>24.5771</v>
      </c>
      <c r="AG2038" s="3" t="n">
        <v>26.044015</v>
      </c>
      <c r="AH2038" s="3" t="n">
        <v>27.58047</v>
      </c>
      <c r="AI2038" s="3" t="n">
        <v>29.261371</v>
      </c>
      <c r="AJ2038" s="3" t="n">
        <v>31.044984</v>
      </c>
      <c r="AK2038" s="3" t="n">
        <v>32.946279</v>
      </c>
      <c r="AL2038" s="3" t="n">
        <v>34.967567</v>
      </c>
      <c r="AM2038" s="3" t="n"/>
      <c r="AN2038" s="3" t="n"/>
      <c r="AO2038" s="3" t="n"/>
      <c r="AP2038" s="3" t="n"/>
      <c r="AQ2038" s="3" t="n"/>
      <c r="AR2038" s="3" t="n"/>
      <c r="AS2038" s="3" t="n"/>
      <c r="AT2038" s="3" t="n"/>
      <c r="AU2038" s="3" t="n"/>
    </row>
    <row r="2039">
      <c r="A2039" s="3" t="n">
        <v>2031</v>
      </c>
      <c r="B2039" s="3" t="inlineStr">
        <is>
          <t>MLT</t>
        </is>
      </c>
      <c r="C2039" s="3" t="inlineStr">
        <is>
          <t>IMF.RES:WEO</t>
        </is>
      </c>
      <c r="D2039" s="3" t="inlineStr">
        <is>
          <t>MLT.NGDP_D.A</t>
        </is>
      </c>
      <c r="E2039" s="3" t="inlineStr">
        <is>
          <t>Malta</t>
        </is>
      </c>
      <c r="F2039" s="3" t="inlineStr">
        <is>
          <t>Gross domestic product (GDP), Price deflator, Index</t>
        </is>
      </c>
      <c r="G2039" s="3" t="n">
        <v>61.483361</v>
      </c>
      <c r="H2039" s="3" t="n">
        <v>64.171002</v>
      </c>
      <c r="I2039" s="3" t="n">
        <v>65.86169</v>
      </c>
      <c r="J2039" s="3" t="n">
        <v>67.20112899999999</v>
      </c>
      <c r="K2039" s="3" t="n">
        <v>68.891013</v>
      </c>
      <c r="L2039" s="3" t="n">
        <v>70.242389</v>
      </c>
      <c r="M2039" s="3" t="n">
        <v>71.839034</v>
      </c>
      <c r="N2039" s="3" t="n">
        <v>73.449516</v>
      </c>
      <c r="O2039" s="3" t="n">
        <v>75.925881</v>
      </c>
      <c r="P2039" s="3" t="n">
        <v>77.633593</v>
      </c>
      <c r="Q2039" s="3" t="n">
        <v>79.778403</v>
      </c>
      <c r="R2039" s="3" t="n">
        <v>80.96148100000001</v>
      </c>
      <c r="S2039" s="3" t="n">
        <v>82.711298</v>
      </c>
      <c r="T2039" s="3" t="n">
        <v>84.57641</v>
      </c>
      <c r="U2039" s="3" t="n">
        <v>86.49738000000001</v>
      </c>
      <c r="V2039" s="3" t="n">
        <v>90.130239</v>
      </c>
      <c r="W2039" s="3" t="n">
        <v>92.045378</v>
      </c>
      <c r="X2039" s="3" t="n">
        <v>94.01093400000001</v>
      </c>
      <c r="Y2039" s="3" t="n">
        <v>95.702731</v>
      </c>
      <c r="Z2039" s="3" t="n">
        <v>98.101057</v>
      </c>
      <c r="AA2039" s="3" t="n">
        <v>100.000696</v>
      </c>
      <c r="AB2039" s="3" t="n">
        <v>102.468688</v>
      </c>
      <c r="AC2039" s="3" t="n">
        <v>107.680471</v>
      </c>
      <c r="AD2039" s="3" t="n">
        <v>113.240539</v>
      </c>
      <c r="AE2039" s="3" t="n">
        <v>117.887405</v>
      </c>
      <c r="AF2039" s="3" t="n">
        <v>120.454133</v>
      </c>
      <c r="AG2039" s="3" t="n">
        <v>123.089285</v>
      </c>
      <c r="AH2039" s="3" t="n">
        <v>125.578884</v>
      </c>
      <c r="AI2039" s="3" t="n">
        <v>128.108011</v>
      </c>
      <c r="AJ2039" s="3" t="n">
        <v>130.689207</v>
      </c>
      <c r="AK2039" s="3" t="n">
        <v>133.35869</v>
      </c>
      <c r="AL2039" s="3" t="n">
        <v>136.096519</v>
      </c>
      <c r="AM2039" s="3" t="n"/>
      <c r="AN2039" s="3" t="n"/>
      <c r="AO2039" s="3" t="n"/>
      <c r="AP2039" s="3" t="n"/>
      <c r="AQ2039" s="3" t="n"/>
      <c r="AR2039" s="3" t="n"/>
      <c r="AS2039" s="3" t="n"/>
      <c r="AT2039" s="3" t="n"/>
      <c r="AU2039" s="3" t="n"/>
    </row>
    <row r="2040">
      <c r="A2040" s="3" t="n">
        <v>2031</v>
      </c>
      <c r="B2040" s="3" t="inlineStr">
        <is>
          <t>MLT</t>
        </is>
      </c>
      <c r="C2040" s="3" t="inlineStr">
        <is>
          <t>IMF.RES:WEO</t>
        </is>
      </c>
      <c r="D2040" s="3" t="inlineStr">
        <is>
          <t>MLT.NGDP_R.A</t>
        </is>
      </c>
      <c r="E2040" s="3" t="inlineStr">
        <is>
          <t>Malta</t>
        </is>
      </c>
      <c r="F2040" s="3" t="inlineStr">
        <is>
          <t>Gross domestic product (GDP), Constant prices, Domestic currency</t>
        </is>
      </c>
      <c r="G2040" s="3" t="n">
        <v>6.701</v>
      </c>
      <c r="H2040" s="3" t="n">
        <v>6.6502</v>
      </c>
      <c r="I2040" s="3" t="n">
        <v>6.8325</v>
      </c>
      <c r="J2040" s="3" t="n">
        <v>7.085</v>
      </c>
      <c r="K2040" s="3" t="n">
        <v>7.1137</v>
      </c>
      <c r="L2040" s="3" t="n">
        <v>7.3188</v>
      </c>
      <c r="M2040" s="3" t="n">
        <v>7.4898</v>
      </c>
      <c r="N2040" s="3" t="n">
        <v>7.8669</v>
      </c>
      <c r="O2040" s="3" t="n">
        <v>8.213800000000001</v>
      </c>
      <c r="P2040" s="3" t="n">
        <v>8.0992</v>
      </c>
      <c r="Q2040" s="3" t="n">
        <v>8.6012</v>
      </c>
      <c r="R2040" s="3" t="n">
        <v>8.6866</v>
      </c>
      <c r="S2040" s="3" t="n">
        <v>9.042899999999999</v>
      </c>
      <c r="T2040" s="3" t="n">
        <v>9.6119</v>
      </c>
      <c r="U2040" s="3" t="n">
        <v>10.3454</v>
      </c>
      <c r="V2040" s="3" t="n">
        <v>11.3407</v>
      </c>
      <c r="W2040" s="3" t="n">
        <v>11.8032</v>
      </c>
      <c r="X2040" s="3" t="n">
        <v>13.3343</v>
      </c>
      <c r="Y2040" s="3" t="n">
        <v>14.2928</v>
      </c>
      <c r="Z2040" s="3" t="n">
        <v>14.8767</v>
      </c>
      <c r="AA2040" s="3" t="n">
        <v>14.3624</v>
      </c>
      <c r="AB2040" s="3" t="n">
        <v>16.2799</v>
      </c>
      <c r="AC2040" s="3" t="n">
        <v>16.7021</v>
      </c>
      <c r="AD2040" s="3" t="n">
        <v>18.4781</v>
      </c>
      <c r="AE2040" s="3" t="n">
        <v>19.6261</v>
      </c>
      <c r="AF2040" s="3" t="n">
        <v>20.4037</v>
      </c>
      <c r="AG2040" s="3" t="n">
        <v>21.158637</v>
      </c>
      <c r="AH2040" s="3" t="n">
        <v>21.962665</v>
      </c>
      <c r="AI2040" s="3" t="n">
        <v>22.841172</v>
      </c>
      <c r="AJ2040" s="3" t="n">
        <v>23.754819</v>
      </c>
      <c r="AK2040" s="3" t="n">
        <v>24.705011</v>
      </c>
      <c r="AL2040" s="3" t="n">
        <v>25.693212</v>
      </c>
      <c r="AM2040" s="3" t="n"/>
      <c r="AN2040" s="3" t="n"/>
      <c r="AO2040" s="3" t="n"/>
      <c r="AP2040" s="3" t="n"/>
      <c r="AQ2040" s="3" t="n"/>
      <c r="AR2040" s="3" t="n"/>
      <c r="AS2040" s="3" t="n"/>
      <c r="AT2040" s="3" t="n"/>
      <c r="AU2040" s="3" t="n"/>
    </row>
    <row r="2041">
      <c r="A2041" s="3" t="n">
        <v>2031</v>
      </c>
      <c r="B2041" s="3" t="inlineStr">
        <is>
          <t>MLT</t>
        </is>
      </c>
      <c r="C2041" s="3" t="inlineStr">
        <is>
          <t>IMF.RES:WEO</t>
        </is>
      </c>
      <c r="D2041" s="3" t="inlineStr">
        <is>
          <t>MLT.NGDP_RPCH.A</t>
        </is>
      </c>
      <c r="E2041" s="3" t="inlineStr">
        <is>
          <t>Malta</t>
        </is>
      </c>
      <c r="F2041" s="3" t="inlineStr">
        <is>
          <t>Gross domestic product (GDP), Constant prices, Percent change</t>
        </is>
      </c>
      <c r="G2041" s="3" t="n"/>
      <c r="H2041" s="3" t="n">
        <v>-0.758096</v>
      </c>
      <c r="I2041" s="3" t="n">
        <v>2.741271</v>
      </c>
      <c r="J2041" s="3" t="n">
        <v>3.695573</v>
      </c>
      <c r="K2041" s="3" t="n">
        <v>0.405081</v>
      </c>
      <c r="L2041" s="3" t="n">
        <v>2.883169</v>
      </c>
      <c r="M2041" s="3" t="n">
        <v>2.336449</v>
      </c>
      <c r="N2041" s="3" t="n">
        <v>5.034847</v>
      </c>
      <c r="O2041" s="3" t="n">
        <v>4.409615</v>
      </c>
      <c r="P2041" s="3" t="n">
        <v>-1.395213</v>
      </c>
      <c r="Q2041" s="3" t="n">
        <v>6.198143</v>
      </c>
      <c r="R2041" s="3" t="n">
        <v>0.992885</v>
      </c>
      <c r="S2041" s="3" t="n">
        <v>4.10172</v>
      </c>
      <c r="T2041" s="3" t="n">
        <v>6.292229</v>
      </c>
      <c r="U2041" s="3" t="n">
        <v>7.631166</v>
      </c>
      <c r="V2041" s="3" t="n">
        <v>9.620701</v>
      </c>
      <c r="W2041" s="3" t="n">
        <v>4.078232</v>
      </c>
      <c r="X2041" s="3" t="n">
        <v>12.971906</v>
      </c>
      <c r="Y2041" s="3" t="n">
        <v>7.188229</v>
      </c>
      <c r="Z2041" s="3" t="n">
        <v>4.085274</v>
      </c>
      <c r="AA2041" s="3" t="n">
        <v>-3.457084</v>
      </c>
      <c r="AB2041" s="3" t="n">
        <v>13.350833</v>
      </c>
      <c r="AC2041" s="3" t="n">
        <v>2.593382</v>
      </c>
      <c r="AD2041" s="3" t="n">
        <v>10.633393</v>
      </c>
      <c r="AE2041" s="3" t="n">
        <v>6.21276</v>
      </c>
      <c r="AF2041" s="3" t="n">
        <v>3.962071</v>
      </c>
      <c r="AG2041" s="3" t="n">
        <v>3.7</v>
      </c>
      <c r="AH2041" s="3" t="n">
        <v>3.8</v>
      </c>
      <c r="AI2041" s="3" t="n">
        <v>4</v>
      </c>
      <c r="AJ2041" s="3" t="n">
        <v>4</v>
      </c>
      <c r="AK2041" s="3" t="n">
        <v>4</v>
      </c>
      <c r="AL2041" s="3" t="n">
        <v>4</v>
      </c>
      <c r="AM2041" s="3" t="n"/>
      <c r="AN2041" s="3" t="n"/>
      <c r="AO2041" s="3" t="n"/>
      <c r="AP2041" s="3" t="n"/>
      <c r="AQ2041" s="3" t="n"/>
      <c r="AR2041" s="3" t="n"/>
      <c r="AS2041" s="3" t="n"/>
      <c r="AT2041" s="3" t="n"/>
      <c r="AU2041" s="3" t="n"/>
    </row>
    <row r="2042">
      <c r="A2042" s="3" t="n">
        <v>2031</v>
      </c>
      <c r="B2042" s="3" t="inlineStr">
        <is>
          <t>MLT</t>
        </is>
      </c>
      <c r="C2042" s="3" t="inlineStr">
        <is>
          <t>IMF.RES:WEO</t>
        </is>
      </c>
      <c r="D2042" s="3" t="inlineStr">
        <is>
          <t>MLT.NGDPD.A</t>
        </is>
      </c>
      <c r="E2042" s="3" t="inlineStr">
        <is>
          <t>Malta</t>
        </is>
      </c>
      <c r="F2042" s="3" t="inlineStr">
        <is>
          <t>Gross domestic product (GDP), Current prices, US dollar</t>
        </is>
      </c>
      <c r="G2042" s="3" t="n">
        <v>4.042253</v>
      </c>
      <c r="H2042" s="3" t="n">
        <v>4.071926</v>
      </c>
      <c r="I2042" s="3" t="n">
        <v>4.462309</v>
      </c>
      <c r="J2042" s="3" t="n">
        <v>5.425007</v>
      </c>
      <c r="K2042" s="3" t="n">
        <v>6.108746</v>
      </c>
      <c r="L2042" s="3" t="n">
        <v>6.39174</v>
      </c>
      <c r="M2042" s="3" t="n">
        <v>6.783036</v>
      </c>
      <c r="N2042" s="3" t="n">
        <v>7.972423</v>
      </c>
      <c r="O2042" s="3" t="n">
        <v>9.171215</v>
      </c>
      <c r="P2042" s="3" t="n">
        <v>8.760451</v>
      </c>
      <c r="Q2042" s="3" t="n">
        <v>9.104365</v>
      </c>
      <c r="R2042" s="3" t="n">
        <v>9.78762</v>
      </c>
      <c r="S2042" s="3" t="n">
        <v>9.615662</v>
      </c>
      <c r="T2042" s="3" t="n">
        <v>10.79696</v>
      </c>
      <c r="U2042" s="3" t="n">
        <v>11.891153</v>
      </c>
      <c r="V2042" s="3" t="n">
        <v>11.341923</v>
      </c>
      <c r="W2042" s="3" t="n">
        <v>12.022409</v>
      </c>
      <c r="X2042" s="3" t="n">
        <v>14.156347</v>
      </c>
      <c r="Y2042" s="3" t="n">
        <v>16.16113</v>
      </c>
      <c r="Z2042" s="3" t="n">
        <v>16.339638</v>
      </c>
      <c r="AA2042" s="3" t="n">
        <v>16.391661</v>
      </c>
      <c r="AB2042" s="3" t="n">
        <v>19.743354</v>
      </c>
      <c r="AC2042" s="3" t="n">
        <v>18.953874</v>
      </c>
      <c r="AD2042" s="3" t="n">
        <v>22.631747</v>
      </c>
      <c r="AE2042" s="3" t="n">
        <v>25.035172</v>
      </c>
      <c r="AF2042" s="3" t="n">
        <v>27.755963</v>
      </c>
      <c r="AG2042" s="3" t="n">
        <v>30.711593</v>
      </c>
      <c r="AH2042" s="3" t="n">
        <v>32.448542</v>
      </c>
      <c r="AI2042" s="3" t="n">
        <v>34.33306</v>
      </c>
      <c r="AJ2042" s="3" t="n">
        <v>36.406508</v>
      </c>
      <c r="AK2042" s="3" t="n">
        <v>38.630115</v>
      </c>
      <c r="AL2042" s="3" t="n">
        <v>41.000112</v>
      </c>
      <c r="AM2042" s="3" t="n"/>
      <c r="AN2042" s="3" t="n"/>
      <c r="AO2042" s="3" t="n"/>
      <c r="AP2042" s="3" t="n"/>
      <c r="AQ2042" s="3" t="n"/>
      <c r="AR2042" s="3" t="n"/>
      <c r="AS2042" s="3" t="n"/>
      <c r="AT2042" s="3" t="n"/>
      <c r="AU2042" s="3" t="n"/>
    </row>
    <row r="2043">
      <c r="A2043" s="3" t="n">
        <v>2031</v>
      </c>
      <c r="B2043" s="3" t="inlineStr">
        <is>
          <t>MLT</t>
        </is>
      </c>
      <c r="C2043" s="3" t="inlineStr">
        <is>
          <t>IMF.RES:WEO</t>
        </is>
      </c>
      <c r="D2043" s="3" t="inlineStr">
        <is>
          <t>MLT.NGDPPC.A</t>
        </is>
      </c>
      <c r="E2043" s="3" t="inlineStr">
        <is>
          <t>Malta</t>
        </is>
      </c>
      <c r="F2043" s="3" t="inlineStr">
        <is>
          <t>Gross domestic product (GDP), Current prices, Per capita, Domestic currency</t>
        </is>
      </c>
      <c r="G2043" s="3" t="n">
        <v>10597.825388</v>
      </c>
      <c r="H2043" s="3" t="n">
        <v>10902.750278</v>
      </c>
      <c r="I2043" s="3" t="n">
        <v>11402.768592</v>
      </c>
      <c r="J2043" s="3" t="n">
        <v>11984.011921</v>
      </c>
      <c r="K2043" s="3" t="n">
        <v>12255.825062</v>
      </c>
      <c r="L2043" s="3" t="n">
        <v>12767.093486</v>
      </c>
      <c r="M2043" s="3" t="n">
        <v>13285.464902</v>
      </c>
      <c r="N2043" s="3" t="n">
        <v>14245.493274</v>
      </c>
      <c r="O2043" s="3" t="n">
        <v>15291.590655</v>
      </c>
      <c r="P2043" s="3" t="n">
        <v>15301.295124</v>
      </c>
      <c r="Q2043" s="3" t="n">
        <v>16573.556797</v>
      </c>
      <c r="R2043" s="3" t="n">
        <v>16946.95522</v>
      </c>
      <c r="S2043" s="3" t="n">
        <v>17912.996412</v>
      </c>
      <c r="T2043" s="3" t="n">
        <v>19288.480155</v>
      </c>
      <c r="U2043" s="3" t="n">
        <v>20900.09249</v>
      </c>
      <c r="V2043" s="3" t="n">
        <v>23293.718166</v>
      </c>
      <c r="W2043" s="3" t="n">
        <v>24162.487351</v>
      </c>
      <c r="X2043" s="3" t="n">
        <v>27288.598639</v>
      </c>
      <c r="Y2043" s="3" t="n">
        <v>28806.93796</v>
      </c>
      <c r="Z2043" s="3" t="n">
        <v>29604.761364</v>
      </c>
      <c r="AA2043" s="3" t="n">
        <v>27896.203786</v>
      </c>
      <c r="AB2043" s="3" t="n">
        <v>32321.24001</v>
      </c>
      <c r="AC2043" s="3" t="n">
        <v>34574.776902</v>
      </c>
      <c r="AD2043" s="3" t="n">
        <v>38602.825195</v>
      </c>
      <c r="AE2043" s="3" t="n">
        <v>41860.393587</v>
      </c>
      <c r="AF2043" s="3" t="n">
        <v>43651.182699</v>
      </c>
      <c r="AG2043" s="3" t="n">
        <v>45420.246742</v>
      </c>
      <c r="AH2043" s="3" t="n">
        <v>47243.172855</v>
      </c>
      <c r="AI2043" s="3" t="n">
        <v>49243.908869</v>
      </c>
      <c r="AJ2043" s="3" t="n">
        <v>51371.338349</v>
      </c>
      <c r="AK2043" s="3" t="n">
        <v>53646.378091</v>
      </c>
      <c r="AL2043" s="3" t="n">
        <v>56072.003625</v>
      </c>
      <c r="AM2043" s="3" t="n"/>
      <c r="AN2043" s="3" t="n"/>
      <c r="AO2043" s="3" t="n"/>
      <c r="AP2043" s="3" t="n"/>
      <c r="AQ2043" s="3" t="n"/>
      <c r="AR2043" s="3" t="n"/>
      <c r="AS2043" s="3" t="n"/>
      <c r="AT2043" s="3" t="n"/>
      <c r="AU2043" s="3" t="n"/>
    </row>
    <row r="2044">
      <c r="A2044" s="3" t="n">
        <v>2031</v>
      </c>
      <c r="B2044" s="3" t="inlineStr">
        <is>
          <t>MLT</t>
        </is>
      </c>
      <c r="C2044" s="3" t="inlineStr">
        <is>
          <t>IMF.RES:WEO</t>
        </is>
      </c>
      <c r="D2044" s="3" t="inlineStr">
        <is>
          <t>MLT.NGDPRPC.A</t>
        </is>
      </c>
      <c r="E2044" s="3" t="inlineStr">
        <is>
          <t>Malta</t>
        </is>
      </c>
      <c r="F2044" s="3" t="inlineStr">
        <is>
          <t>Gross domestic product (GDP), Constant prices, Per capita, Domestic currency</t>
        </is>
      </c>
      <c r="G2044" s="3" t="n">
        <v>17236.899982</v>
      </c>
      <c r="H2044" s="3" t="n">
        <v>16990.151118</v>
      </c>
      <c r="I2044" s="3" t="n">
        <v>17313.203646</v>
      </c>
      <c r="J2044" s="3" t="n">
        <v>17833.051428</v>
      </c>
      <c r="K2044" s="3" t="n">
        <v>17790.16523</v>
      </c>
      <c r="L2044" s="3" t="n">
        <v>18175.76763</v>
      </c>
      <c r="M2044" s="3" t="n">
        <v>18493.378996</v>
      </c>
      <c r="N2044" s="3" t="n">
        <v>19394.944973</v>
      </c>
      <c r="O2044" s="3" t="n">
        <v>20140.15575</v>
      </c>
      <c r="P2044" s="3" t="n">
        <v>19709.631418</v>
      </c>
      <c r="Q2044" s="3" t="n">
        <v>20774.490553</v>
      </c>
      <c r="R2044" s="3" t="n">
        <v>20932.121092</v>
      </c>
      <c r="S2044" s="3" t="n">
        <v>21657.25453</v>
      </c>
      <c r="T2044" s="3" t="n">
        <v>22805.981057</v>
      </c>
      <c r="U2044" s="3" t="n">
        <v>24162.688366</v>
      </c>
      <c r="V2044" s="3" t="n">
        <v>25844.50952</v>
      </c>
      <c r="W2044" s="3" t="n">
        <v>26250.625507</v>
      </c>
      <c r="X2044" s="3" t="n">
        <v>29027.047619</v>
      </c>
      <c r="Y2044" s="3" t="n">
        <v>30100.434465</v>
      </c>
      <c r="Z2044" s="3" t="n">
        <v>30177.820873</v>
      </c>
      <c r="AA2044" s="3" t="n">
        <v>27896.009556</v>
      </c>
      <c r="AB2044" s="3" t="n">
        <v>31542.552676</v>
      </c>
      <c r="AC2044" s="3" t="n">
        <v>32108.679019</v>
      </c>
      <c r="AD2044" s="3" t="n">
        <v>34089.227766</v>
      </c>
      <c r="AE2044" s="3" t="n">
        <v>35508.792117</v>
      </c>
      <c r="AF2044" s="3" t="n">
        <v>36238.841704</v>
      </c>
      <c r="AG2044" s="3" t="n">
        <v>36900.244157</v>
      </c>
      <c r="AH2044" s="3" t="n">
        <v>37620.315764</v>
      </c>
      <c r="AI2044" s="3" t="n">
        <v>38439.367207</v>
      </c>
      <c r="AJ2044" s="3" t="n">
        <v>39308.018987</v>
      </c>
      <c r="AK2044" s="3" t="n">
        <v>40227.133507</v>
      </c>
      <c r="AL2044" s="3" t="n">
        <v>41200.174738</v>
      </c>
      <c r="AM2044" s="3" t="n"/>
      <c r="AN2044" s="3" t="n"/>
      <c r="AO2044" s="3" t="n"/>
      <c r="AP2044" s="3" t="n"/>
      <c r="AQ2044" s="3" t="n"/>
      <c r="AR2044" s="3" t="n"/>
      <c r="AS2044" s="3" t="n"/>
      <c r="AT2044" s="3" t="n"/>
      <c r="AU2044" s="3" t="n"/>
    </row>
    <row r="2045">
      <c r="A2045" s="3" t="n">
        <v>2031</v>
      </c>
      <c r="B2045" s="3" t="inlineStr">
        <is>
          <t>MLT</t>
        </is>
      </c>
      <c r="C2045" s="3" t="inlineStr">
        <is>
          <t>IMF.RES:WEO</t>
        </is>
      </c>
      <c r="D2045" s="3" t="inlineStr">
        <is>
          <t>MLT.PCPI.A</t>
        </is>
      </c>
      <c r="E2045" s="3" t="inlineStr">
        <is>
          <t>Malta</t>
        </is>
      </c>
      <c r="F2045" s="3" t="inlineStr">
        <is>
          <t>All Items, Consumer price index (CPI), Period average</t>
        </is>
      </c>
      <c r="G2045" s="3" t="n">
        <v>57.456667</v>
      </c>
      <c r="H2045" s="3" t="n">
        <v>58.900833</v>
      </c>
      <c r="I2045" s="3" t="n">
        <v>60.441667</v>
      </c>
      <c r="J2045" s="3" t="n">
        <v>61.608333</v>
      </c>
      <c r="K2045" s="3" t="n">
        <v>63.288333</v>
      </c>
      <c r="L2045" s="3" t="n">
        <v>64.88333299999999</v>
      </c>
      <c r="M2045" s="3" t="n">
        <v>66.55416700000001</v>
      </c>
      <c r="N2045" s="3" t="n">
        <v>67.019167</v>
      </c>
      <c r="O2045" s="3" t="n">
        <v>70.159167</v>
      </c>
      <c r="P2045" s="3" t="n">
        <v>71.449167</v>
      </c>
      <c r="Q2045" s="3" t="n">
        <v>72.906667</v>
      </c>
      <c r="R2045" s="3" t="n">
        <v>74.73916699999999</v>
      </c>
      <c r="S2045" s="3" t="n">
        <v>77.151667</v>
      </c>
      <c r="T2045" s="3" t="n">
        <v>77.906667</v>
      </c>
      <c r="U2045" s="3" t="n">
        <v>78.50749999999999</v>
      </c>
      <c r="V2045" s="3" t="n">
        <v>79.42833299999999</v>
      </c>
      <c r="W2045" s="3" t="n">
        <v>80.14833299999999</v>
      </c>
      <c r="X2045" s="3" t="n">
        <v>81.155833</v>
      </c>
      <c r="Y2045" s="3" t="n">
        <v>82.568333</v>
      </c>
      <c r="Z2045" s="3" t="n">
        <v>83.825</v>
      </c>
      <c r="AA2045" s="3" t="n">
        <v>84.486667</v>
      </c>
      <c r="AB2045" s="3" t="n">
        <v>85.081667</v>
      </c>
      <c r="AC2045" s="3" t="n">
        <v>90.3</v>
      </c>
      <c r="AD2045" s="3" t="n">
        <v>95.32333300000001</v>
      </c>
      <c r="AE2045" s="3" t="n">
        <v>97.64833299999999</v>
      </c>
      <c r="AF2045" s="3" t="n">
        <v>100.000833</v>
      </c>
      <c r="AG2045" s="3" t="n">
        <v>102.495486</v>
      </c>
      <c r="AH2045" s="3" t="n">
        <v>104.938152</v>
      </c>
      <c r="AI2045" s="3" t="n">
        <v>107.003424</v>
      </c>
      <c r="AJ2045" s="3" t="n">
        <v>109.151854</v>
      </c>
      <c r="AK2045" s="3" t="n">
        <v>111.306083</v>
      </c>
      <c r="AL2045" s="3" t="n">
        <v>113.503955</v>
      </c>
      <c r="AM2045" s="3" t="n"/>
      <c r="AN2045" s="3" t="n"/>
      <c r="AO2045" s="3" t="n"/>
      <c r="AP2045" s="3" t="n"/>
      <c r="AQ2045" s="3" t="n"/>
      <c r="AR2045" s="3" t="n"/>
      <c r="AS2045" s="3" t="n"/>
      <c r="AT2045" s="3" t="n"/>
      <c r="AU2045" s="3" t="n"/>
    </row>
    <row r="2046">
      <c r="A2046" s="3" t="n">
        <v>2031</v>
      </c>
      <c r="B2046" s="3" t="inlineStr">
        <is>
          <t>MLT</t>
        </is>
      </c>
      <c r="C2046" s="3" t="inlineStr">
        <is>
          <t>IMF.RES:WEO</t>
        </is>
      </c>
      <c r="D2046" s="3" t="inlineStr">
        <is>
          <t>MLT.PCPIPCH.A</t>
        </is>
      </c>
      <c r="E2046" s="3" t="inlineStr">
        <is>
          <t>Malta</t>
        </is>
      </c>
      <c r="F2046" s="3" t="inlineStr">
        <is>
          <t>All Items, Consumer price index (CPI), Period average, percent change</t>
        </is>
      </c>
      <c r="G2046" s="3" t="n">
        <v>3.035103</v>
      </c>
      <c r="H2046" s="3" t="n">
        <v>2.513488</v>
      </c>
      <c r="I2046" s="3" t="n">
        <v>2.615979</v>
      </c>
      <c r="J2046" s="3" t="n">
        <v>1.930236</v>
      </c>
      <c r="K2046" s="3" t="n">
        <v>2.726904</v>
      </c>
      <c r="L2046" s="3" t="n">
        <v>2.520212</v>
      </c>
      <c r="M2046" s="3" t="n">
        <v>2.575135</v>
      </c>
      <c r="N2046" s="3" t="n">
        <v>0.6986790000000001</v>
      </c>
      <c r="O2046" s="3" t="n">
        <v>4.685227</v>
      </c>
      <c r="P2046" s="3" t="n">
        <v>1.838676</v>
      </c>
      <c r="Q2046" s="3" t="n">
        <v>2.039912</v>
      </c>
      <c r="R2046" s="3" t="n">
        <v>2.513488</v>
      </c>
      <c r="S2046" s="3" t="n">
        <v>3.227893</v>
      </c>
      <c r="T2046" s="3" t="n">
        <v>0.978592</v>
      </c>
      <c r="U2046" s="3" t="n">
        <v>0.771222</v>
      </c>
      <c r="V2046" s="3" t="n">
        <v>1.172924</v>
      </c>
      <c r="W2046" s="3" t="n">
        <v>0.906478</v>
      </c>
      <c r="X2046" s="3" t="n">
        <v>1.257044</v>
      </c>
      <c r="Y2046" s="3" t="n">
        <v>1.740479</v>
      </c>
      <c r="Z2046" s="3" t="n">
        <v>1.521972</v>
      </c>
      <c r="AA2046" s="3" t="n">
        <v>0.789343</v>
      </c>
      <c r="AB2046" s="3" t="n">
        <v>0.704253</v>
      </c>
      <c r="AC2046" s="3" t="n">
        <v>6.133323</v>
      </c>
      <c r="AD2046" s="3" t="n">
        <v>5.562938</v>
      </c>
      <c r="AE2046" s="3" t="n">
        <v>2.439067</v>
      </c>
      <c r="AF2046" s="3" t="n">
        <v>2.409155</v>
      </c>
      <c r="AG2046" s="3" t="n">
        <v>2.494632</v>
      </c>
      <c r="AH2046" s="3" t="n">
        <v>2.383194</v>
      </c>
      <c r="AI2046" s="3" t="n">
        <v>1.968085</v>
      </c>
      <c r="AJ2046" s="3" t="n">
        <v>2.007814</v>
      </c>
      <c r="AK2046" s="3" t="n">
        <v>1.973607</v>
      </c>
      <c r="AL2046" s="3" t="n">
        <v>1.97462</v>
      </c>
      <c r="AM2046" s="3" t="n"/>
      <c r="AN2046" s="3" t="n"/>
      <c r="AO2046" s="3" t="n"/>
      <c r="AP2046" s="3" t="n"/>
      <c r="AQ2046" s="3" t="n"/>
      <c r="AR2046" s="3" t="n"/>
      <c r="AS2046" s="3" t="n"/>
      <c r="AT2046" s="3" t="n"/>
      <c r="AU2046" s="3" t="n"/>
    </row>
    <row r="2047">
      <c r="A2047" s="3" t="n">
        <v>2031</v>
      </c>
      <c r="B2047" s="3" t="inlineStr">
        <is>
          <t>MLT</t>
        </is>
      </c>
      <c r="C2047" s="3" t="inlineStr">
        <is>
          <t>IMF.RES:WEO</t>
        </is>
      </c>
      <c r="D2047" s="3" t="inlineStr">
        <is>
          <t>MLT.PPPPC.A</t>
        </is>
      </c>
      <c r="E2047" s="3" t="inlineStr">
        <is>
          <t>Malta</t>
        </is>
      </c>
      <c r="F2047" s="3" t="inlineStr">
        <is>
          <t>Gross domestic product (GDP), Per capita, purchasing power parity (PPP) international dollar, ICP benchmarks 2017-2021</t>
        </is>
      </c>
      <c r="G2047" s="3" t="n">
        <v>20095.269128</v>
      </c>
      <c r="H2047" s="3" t="n">
        <v>20253.594281</v>
      </c>
      <c r="I2047" s="3" t="n">
        <v>20959.431015</v>
      </c>
      <c r="J2047" s="3" t="n">
        <v>22014.969444</v>
      </c>
      <c r="K2047" s="3" t="n">
        <v>22552.559062</v>
      </c>
      <c r="L2047" s="3" t="n">
        <v>23763.92311</v>
      </c>
      <c r="M2047" s="3" t="n">
        <v>24924.841924</v>
      </c>
      <c r="N2047" s="3" t="n">
        <v>26848.14825</v>
      </c>
      <c r="O2047" s="3" t="n">
        <v>28416.811315</v>
      </c>
      <c r="P2047" s="3" t="n">
        <v>27980.873753</v>
      </c>
      <c r="Q2047" s="3" t="n">
        <v>29851.051824</v>
      </c>
      <c r="R2047" s="3" t="n">
        <v>30698.127174</v>
      </c>
      <c r="S2047" s="3" t="n">
        <v>32352.954934</v>
      </c>
      <c r="T2047" s="3" t="n">
        <v>34648.85008</v>
      </c>
      <c r="U2047" s="3" t="n">
        <v>37349.463918</v>
      </c>
      <c r="V2047" s="3" t="n">
        <v>40319.887424</v>
      </c>
      <c r="W2047" s="3" t="n">
        <v>41342.616399</v>
      </c>
      <c r="X2047" s="3" t="n">
        <v>46533.96692</v>
      </c>
      <c r="Y2047" s="3" t="n">
        <v>49098.302462</v>
      </c>
      <c r="Z2047" s="3" t="n">
        <v>52533.75988</v>
      </c>
      <c r="AA2047" s="3" t="n">
        <v>50034.042655</v>
      </c>
      <c r="AB2047" s="3" t="n">
        <v>58508.741996</v>
      </c>
      <c r="AC2047" s="3" t="n">
        <v>63794.930602</v>
      </c>
      <c r="AD2047" s="3" t="n">
        <v>70236.00319800001</v>
      </c>
      <c r="AE2047" s="3" t="n">
        <v>74977.06352900001</v>
      </c>
      <c r="AF2047" s="3" t="n">
        <v>78689.221492</v>
      </c>
      <c r="AG2047" s="3" t="n">
        <v>82420.86746199999</v>
      </c>
      <c r="AH2047" s="3" t="n">
        <v>85874.428353</v>
      </c>
      <c r="AI2047" s="3" t="n">
        <v>89184.267595</v>
      </c>
      <c r="AJ2047" s="3" t="n">
        <v>92821.280057</v>
      </c>
      <c r="AK2047" s="3" t="n">
        <v>96737.158547</v>
      </c>
      <c r="AL2047" s="3" t="n">
        <v>100865.743363</v>
      </c>
      <c r="AM2047" s="3" t="n"/>
      <c r="AN2047" s="3" t="n"/>
      <c r="AO2047" s="3" t="n"/>
      <c r="AP2047" s="3" t="n"/>
      <c r="AQ2047" s="3" t="n"/>
      <c r="AR2047" s="3" t="n"/>
      <c r="AS2047" s="3" t="n"/>
      <c r="AT2047" s="3" t="n"/>
      <c r="AU2047" s="3" t="n"/>
    </row>
    <row r="2048">
      <c r="A2048" s="3" t="n">
        <v>2007</v>
      </c>
      <c r="B2048" s="3" t="inlineStr">
        <is>
          <t>MLT</t>
        </is>
      </c>
      <c r="C2048" s="3" t="inlineStr">
        <is>
          <t>IMF.STA:ER</t>
        </is>
      </c>
      <c r="D2048" s="3" t="inlineStr">
        <is>
          <t>MLT.XDC_USD.PA_RT.A</t>
        </is>
      </c>
      <c r="E2048" s="3" t="inlineStr">
        <is>
          <t>Malta</t>
        </is>
      </c>
      <c r="F2048" s="3" t="inlineStr">
        <is>
          <t>Domestic currency per US Dollar</t>
        </is>
      </c>
      <c r="G2048" s="3" t="n">
        <v>0.438149991666667</v>
      </c>
      <c r="H2048" s="3" t="n">
        <v>0.450041566666667</v>
      </c>
      <c r="I2048" s="3" t="n">
        <v>0.43362033825</v>
      </c>
      <c r="J2048" s="3" t="n">
        <v>0.377233333333333</v>
      </c>
      <c r="K2048" s="3" t="n">
        <v>0.344663179985486</v>
      </c>
      <c r="L2048" s="3" t="n">
        <v>0.34577739225</v>
      </c>
      <c r="M2048" s="3" t="n">
        <v>0.340893885583333</v>
      </c>
      <c r="N2048" s="3" t="n">
        <v>0.311675</v>
      </c>
      <c r="O2048" s="3" t="n"/>
      <c r="P2048" s="3" t="n"/>
      <c r="Q2048" s="3" t="n"/>
      <c r="R2048" s="3" t="n"/>
      <c r="S2048" s="3" t="n"/>
      <c r="T2048" s="3" t="n"/>
      <c r="U2048" s="3" t="n"/>
      <c r="V2048" s="3" t="n"/>
      <c r="W2048" s="3" t="n"/>
      <c r="X2048" s="3" t="n"/>
      <c r="Y2048" s="3" t="n"/>
      <c r="Z2048" s="3" t="n"/>
      <c r="AA2048" s="3" t="n"/>
      <c r="AB2048" s="3" t="n"/>
      <c r="AC2048" s="3" t="n"/>
      <c r="AD2048" s="3" t="n"/>
      <c r="AE2048" s="3" t="n"/>
      <c r="AF2048" s="3" t="n"/>
      <c r="AG2048" s="3" t="n"/>
      <c r="AH2048" s="3" t="n"/>
      <c r="AI2048" s="3" t="n"/>
      <c r="AJ2048" s="3" t="n"/>
      <c r="AK2048" s="3" t="n"/>
      <c r="AL2048" s="3" t="n"/>
      <c r="AM2048" s="3" t="n"/>
      <c r="AN2048" s="3" t="n"/>
      <c r="AO2048" s="3" t="n"/>
      <c r="AP2048" s="3" t="n"/>
      <c r="AQ2048" s="3" t="n"/>
      <c r="AR2048" s="3" t="n"/>
      <c r="AS2048" s="3" t="n"/>
      <c r="AT2048" s="3" t="n"/>
      <c r="AU2048" s="3" t="n"/>
    </row>
    <row r="2049">
      <c r="A2049" s="3" t="n">
        <v>2031</v>
      </c>
      <c r="B2049" s="3" t="inlineStr">
        <is>
          <t>MMR</t>
        </is>
      </c>
      <c r="C2049" s="3" t="inlineStr">
        <is>
          <t>IMF.RES:WEO</t>
        </is>
      </c>
      <c r="D2049" s="3" t="inlineStr">
        <is>
          <t>MMR.BCA.A</t>
        </is>
      </c>
      <c r="E2049" s="3" t="inlineStr">
        <is>
          <t>Myanmar</t>
        </is>
      </c>
      <c r="F2049" s="3" t="inlineStr">
        <is>
          <t>Current account balance (credit less debit), US dollar</t>
        </is>
      </c>
      <c r="G2049" s="3" t="n">
        <v>-0.635351</v>
      </c>
      <c r="H2049" s="3" t="n">
        <v>-0.48605</v>
      </c>
      <c r="I2049" s="3" t="n">
        <v>-0.109386</v>
      </c>
      <c r="J2049" s="3" t="n">
        <v>0.105185</v>
      </c>
      <c r="K2049" s="3" t="n">
        <v>0.242614</v>
      </c>
      <c r="L2049" s="3" t="n">
        <v>0.632117</v>
      </c>
      <c r="M2049" s="3" t="n">
        <v>0.988771</v>
      </c>
      <c r="N2049" s="3" t="n">
        <v>0.48779</v>
      </c>
      <c r="O2049" s="3" t="n">
        <v>-0.801545</v>
      </c>
      <c r="P2049" s="3" t="n">
        <v>-0.94471</v>
      </c>
      <c r="Q2049" s="3" t="n">
        <v>1.803975</v>
      </c>
      <c r="R2049" s="3" t="n">
        <v>-1.013864</v>
      </c>
      <c r="S2049" s="3" t="n">
        <v>-1.071435</v>
      </c>
      <c r="T2049" s="3" t="n">
        <v>-0.750299</v>
      </c>
      <c r="U2049" s="3" t="n">
        <v>-2.228773</v>
      </c>
      <c r="V2049" s="3" t="n">
        <v>-3.212428</v>
      </c>
      <c r="W2049" s="3" t="n">
        <v>-3.230374</v>
      </c>
      <c r="X2049" s="3" t="n">
        <v>-2.52713</v>
      </c>
      <c r="Y2049" s="3" t="n">
        <v>-1.809933</v>
      </c>
      <c r="Z2049" s="3" t="n">
        <v>-1.36208</v>
      </c>
      <c r="AA2049" s="3" t="n">
        <v>-0.29638</v>
      </c>
      <c r="AB2049" s="3" t="n">
        <v>-1.55611</v>
      </c>
      <c r="AC2049" s="3" t="n">
        <v>-2.36816</v>
      </c>
      <c r="AD2049" s="3" t="n">
        <v>-1.9126</v>
      </c>
      <c r="AE2049" s="3" t="n">
        <v>2.411</v>
      </c>
      <c r="AF2049" s="3" t="n">
        <v>0.318205</v>
      </c>
      <c r="AG2049" s="3" t="n">
        <v>-0.9392200000000001</v>
      </c>
      <c r="AH2049" s="3" t="n">
        <v>-1.485309</v>
      </c>
      <c r="AI2049" s="3" t="n">
        <v>-1.839893</v>
      </c>
      <c r="AJ2049" s="3" t="n">
        <v>-2.103434</v>
      </c>
      <c r="AK2049" s="3" t="n">
        <v>-2.211447</v>
      </c>
      <c r="AL2049" s="3" t="n">
        <v>-2.383823</v>
      </c>
      <c r="AM2049" s="3" t="n"/>
      <c r="AN2049" s="3" t="n"/>
      <c r="AO2049" s="3" t="n"/>
      <c r="AP2049" s="3" t="n"/>
      <c r="AQ2049" s="3" t="n"/>
      <c r="AR2049" s="3" t="n"/>
      <c r="AS2049" s="3" t="n"/>
      <c r="AT2049" s="3" t="n"/>
      <c r="AU2049" s="3" t="n"/>
    </row>
    <row r="2050">
      <c r="A2050" s="3" t="n">
        <v>2031</v>
      </c>
      <c r="B2050" s="3" t="inlineStr">
        <is>
          <t>MMR</t>
        </is>
      </c>
      <c r="C2050" s="3" t="inlineStr">
        <is>
          <t>IMF.RES:WEO</t>
        </is>
      </c>
      <c r="D2050" s="3" t="inlineStr">
        <is>
          <t>MMR.BCA_NGDPD.A</t>
        </is>
      </c>
      <c r="E2050" s="3" t="inlineStr">
        <is>
          <t>Myanmar</t>
        </is>
      </c>
      <c r="F2050" s="3" t="inlineStr">
        <is>
          <t>Current account balance (credit less debit), Percent of GDP</t>
        </is>
      </c>
      <c r="G2050" s="3" t="n">
        <v>-8.264058</v>
      </c>
      <c r="H2050" s="3" t="n">
        <v>-6.858474</v>
      </c>
      <c r="I2050" s="3" t="n">
        <v>-1.590278</v>
      </c>
      <c r="J2050" s="3" t="n">
        <v>1.191753</v>
      </c>
      <c r="K2050" s="3" t="n">
        <v>2.269896</v>
      </c>
      <c r="L2050" s="3" t="n">
        <v>5.245187</v>
      </c>
      <c r="M2050" s="3" t="n">
        <v>7.323108</v>
      </c>
      <c r="N2050" s="3" t="n">
        <v>2.748837</v>
      </c>
      <c r="O2050" s="3" t="n">
        <v>-3.166486</v>
      </c>
      <c r="P2050" s="3" t="n">
        <v>-3.079741</v>
      </c>
      <c r="Q2050" s="3" t="n">
        <v>4.766045</v>
      </c>
      <c r="R2050" s="3" t="n">
        <v>-1.903973</v>
      </c>
      <c r="S2050" s="3" t="n">
        <v>-1.835468</v>
      </c>
      <c r="T2050" s="3" t="n">
        <v>-1.19748</v>
      </c>
      <c r="U2050" s="3" t="n">
        <v>-3.407712</v>
      </c>
      <c r="V2050" s="3" t="n">
        <v>-5.414496</v>
      </c>
      <c r="W2050" s="3" t="n">
        <v>-5.140712</v>
      </c>
      <c r="X2050" s="3" t="n">
        <v>-3.824175</v>
      </c>
      <c r="Y2050" s="3" t="n">
        <v>-2.681725</v>
      </c>
      <c r="Z2050" s="3" t="n">
        <v>-1.809304</v>
      </c>
      <c r="AA2050" s="3" t="n">
        <v>-0.384779</v>
      </c>
      <c r="AB2050" s="3" t="n">
        <v>-2.815965</v>
      </c>
      <c r="AC2050" s="3" t="n">
        <v>-3.511688</v>
      </c>
      <c r="AD2050" s="3" t="n">
        <v>-2.862287</v>
      </c>
      <c r="AE2050" s="3" t="n">
        <v>3.141019</v>
      </c>
      <c r="AF2050" s="3" t="n">
        <v>0.386171</v>
      </c>
      <c r="AG2050" s="3" t="n">
        <v>-1.120363</v>
      </c>
      <c r="AH2050" s="3" t="n">
        <v>-1.709511</v>
      </c>
      <c r="AI2050" s="3" t="n">
        <v>-1.955526</v>
      </c>
      <c r="AJ2050" s="3" t="n">
        <v>-2.033981</v>
      </c>
      <c r="AK2050" s="3" t="n">
        <v>-2.055109</v>
      </c>
      <c r="AL2050" s="3" t="n">
        <v>-2.128954</v>
      </c>
      <c r="AM2050" s="3" t="n"/>
      <c r="AN2050" s="3" t="n"/>
      <c r="AO2050" s="3" t="n"/>
      <c r="AP2050" s="3" t="n"/>
      <c r="AQ2050" s="3" t="n"/>
      <c r="AR2050" s="3" t="n"/>
      <c r="AS2050" s="3" t="n"/>
      <c r="AT2050" s="3" t="n"/>
      <c r="AU2050" s="3" t="n"/>
    </row>
    <row r="2051">
      <c r="A2051" s="3" t="n">
        <v>2031</v>
      </c>
      <c r="B2051" s="3" t="inlineStr">
        <is>
          <t>MMR</t>
        </is>
      </c>
      <c r="C2051" s="3" t="inlineStr">
        <is>
          <t>IMF.RES:WEO</t>
        </is>
      </c>
      <c r="D2051" s="3" t="inlineStr">
        <is>
          <t>MMR.GGR_NGDP.A</t>
        </is>
      </c>
      <c r="E2051" s="3" t="inlineStr">
        <is>
          <t>Myanmar</t>
        </is>
      </c>
      <c r="F2051" s="3" t="inlineStr">
        <is>
          <t>Revenue, General government, Percent of GDP</t>
        </is>
      </c>
      <c r="G2051" s="3" t="n">
        <v>15.410641</v>
      </c>
      <c r="H2051" s="3" t="n">
        <v>12.739175</v>
      </c>
      <c r="I2051" s="3" t="n">
        <v>11.307918</v>
      </c>
      <c r="J2051" s="3" t="n">
        <v>10.102843</v>
      </c>
      <c r="K2051" s="3" t="n">
        <v>9.936677</v>
      </c>
      <c r="L2051" s="3" t="n">
        <v>11.158452</v>
      </c>
      <c r="M2051" s="3" t="n">
        <v>12.179829</v>
      </c>
      <c r="N2051" s="3" t="n">
        <v>12.201442</v>
      </c>
      <c r="O2051" s="3" t="n">
        <v>11.670667</v>
      </c>
      <c r="P2051" s="3" t="n">
        <v>10.894697</v>
      </c>
      <c r="Q2051" s="3" t="n">
        <v>10.380309</v>
      </c>
      <c r="R2051" s="3" t="n">
        <v>10.785213</v>
      </c>
      <c r="S2051" s="3" t="n">
        <v>17.25359</v>
      </c>
      <c r="T2051" s="3" t="n">
        <v>22.359413</v>
      </c>
      <c r="U2051" s="3" t="n">
        <v>23.674886</v>
      </c>
      <c r="V2051" s="3" t="n">
        <v>19.405696</v>
      </c>
      <c r="W2051" s="3" t="n">
        <v>18.734868</v>
      </c>
      <c r="X2051" s="3" t="n">
        <v>16.272654</v>
      </c>
      <c r="Y2051" s="3" t="n">
        <v>15.948862</v>
      </c>
      <c r="Z2051" s="3" t="n">
        <v>15.844747</v>
      </c>
      <c r="AA2051" s="3" t="n">
        <v>14.803748</v>
      </c>
      <c r="AB2051" s="3" t="n">
        <v>18.676922</v>
      </c>
      <c r="AC2051" s="3" t="n">
        <v>18.576457</v>
      </c>
      <c r="AD2051" s="3" t="n">
        <v>18.616736</v>
      </c>
      <c r="AE2051" s="3" t="n">
        <v>21.698984</v>
      </c>
      <c r="AF2051" s="3" t="n">
        <v>20.292305</v>
      </c>
      <c r="AG2051" s="3" t="n">
        <v>20.013774</v>
      </c>
      <c r="AH2051" s="3" t="n">
        <v>19.5097</v>
      </c>
      <c r="AI2051" s="3" t="n">
        <v>19.876127</v>
      </c>
      <c r="AJ2051" s="3" t="n">
        <v>20.171158</v>
      </c>
      <c r="AK2051" s="3" t="n">
        <v>20.271158</v>
      </c>
      <c r="AL2051" s="3" t="n">
        <v>20.571158</v>
      </c>
      <c r="AM2051" s="3" t="n"/>
      <c r="AN2051" s="3" t="n"/>
      <c r="AO2051" s="3" t="n"/>
      <c r="AP2051" s="3" t="n"/>
      <c r="AQ2051" s="3" t="n"/>
      <c r="AR2051" s="3" t="n"/>
      <c r="AS2051" s="3" t="n"/>
      <c r="AT2051" s="3" t="n"/>
      <c r="AU2051" s="3" t="n"/>
    </row>
    <row r="2052">
      <c r="A2052" s="3" t="n">
        <v>2031</v>
      </c>
      <c r="B2052" s="3" t="inlineStr">
        <is>
          <t>MMR</t>
        </is>
      </c>
      <c r="C2052" s="3" t="inlineStr">
        <is>
          <t>IMF.RES:WEO</t>
        </is>
      </c>
      <c r="D2052" s="3" t="inlineStr">
        <is>
          <t>MMR.GGX_NGDP.A</t>
        </is>
      </c>
      <c r="E2052" s="3" t="inlineStr">
        <is>
          <t>Myanmar</t>
        </is>
      </c>
      <c r="F2052" s="3" t="inlineStr">
        <is>
          <t>Expenditure, General government, Percent of GDP</t>
        </is>
      </c>
      <c r="G2052" s="3" t="n">
        <v>21.437066</v>
      </c>
      <c r="H2052" s="3" t="n">
        <v>19.076684</v>
      </c>
      <c r="I2052" s="3" t="n">
        <v>15.315739</v>
      </c>
      <c r="J2052" s="3" t="n">
        <v>14.341958</v>
      </c>
      <c r="K2052" s="3" t="n">
        <v>14.553259</v>
      </c>
      <c r="L2052" s="3" t="n">
        <v>14.644074</v>
      </c>
      <c r="M2052" s="3" t="n">
        <v>15.601919</v>
      </c>
      <c r="N2052" s="3" t="n">
        <v>15.719741</v>
      </c>
      <c r="O2052" s="3" t="n">
        <v>14.396788</v>
      </c>
      <c r="P2052" s="3" t="n">
        <v>14.445521</v>
      </c>
      <c r="Q2052" s="3" t="n">
        <v>15.777982</v>
      </c>
      <c r="R2052" s="3" t="n">
        <v>15.606507</v>
      </c>
      <c r="S2052" s="3" t="n">
        <v>19.950322</v>
      </c>
      <c r="T2052" s="3" t="n">
        <v>23.891008</v>
      </c>
      <c r="U2052" s="3" t="n">
        <v>24.739457</v>
      </c>
      <c r="V2052" s="3" t="n">
        <v>23.731381</v>
      </c>
      <c r="W2052" s="3" t="n">
        <v>21.260022</v>
      </c>
      <c r="X2052" s="3" t="n">
        <v>19.696504</v>
      </c>
      <c r="Y2052" s="3" t="n">
        <v>18.71571</v>
      </c>
      <c r="Z2052" s="3" t="n">
        <v>20.539838</v>
      </c>
      <c r="AA2052" s="3" t="n">
        <v>21.305764</v>
      </c>
      <c r="AB2052" s="3" t="n">
        <v>20.896983</v>
      </c>
      <c r="AC2052" s="3" t="n">
        <v>21.327943</v>
      </c>
      <c r="AD2052" s="3" t="n">
        <v>21.381151</v>
      </c>
      <c r="AE2052" s="3" t="n">
        <v>25.806786</v>
      </c>
      <c r="AF2052" s="3" t="n">
        <v>25.236551</v>
      </c>
      <c r="AG2052" s="3" t="n">
        <v>25.035934</v>
      </c>
      <c r="AH2052" s="3" t="n">
        <v>24.501031</v>
      </c>
      <c r="AI2052" s="3" t="n">
        <v>24.220931</v>
      </c>
      <c r="AJ2052" s="3" t="n">
        <v>23.819364</v>
      </c>
      <c r="AK2052" s="3" t="n">
        <v>23.755978</v>
      </c>
      <c r="AL2052" s="3" t="n">
        <v>23.880271</v>
      </c>
      <c r="AM2052" s="3" t="n"/>
      <c r="AN2052" s="3" t="n"/>
      <c r="AO2052" s="3" t="n"/>
      <c r="AP2052" s="3" t="n"/>
      <c r="AQ2052" s="3" t="n"/>
      <c r="AR2052" s="3" t="n"/>
      <c r="AS2052" s="3" t="n"/>
      <c r="AT2052" s="3" t="n"/>
      <c r="AU2052" s="3" t="n"/>
    </row>
    <row r="2053">
      <c r="A2053" s="3" t="n">
        <v>2031</v>
      </c>
      <c r="B2053" s="3" t="inlineStr">
        <is>
          <t>MMR</t>
        </is>
      </c>
      <c r="C2053" s="3" t="inlineStr">
        <is>
          <t>IMF.RES:WEO</t>
        </is>
      </c>
      <c r="D2053" s="3" t="inlineStr">
        <is>
          <t>MMR.LP.A</t>
        </is>
      </c>
      <c r="E2053" s="3" t="inlineStr">
        <is>
          <t>Myanmar</t>
        </is>
      </c>
      <c r="F2053" s="3" t="inlineStr">
        <is>
          <t>Population, Persons for countries / Index for country groups</t>
        </is>
      </c>
      <c r="G2053" s="3" t="n">
        <v>45.516047</v>
      </c>
      <c r="H2053" s="3" t="n">
        <v>46.056903</v>
      </c>
      <c r="I2053" s="3" t="n">
        <v>46.51976</v>
      </c>
      <c r="J2053" s="3" t="n">
        <v>46.906032</v>
      </c>
      <c r="K2053" s="3" t="n">
        <v>47.232396</v>
      </c>
      <c r="L2053" s="3" t="n">
        <v>47.525742</v>
      </c>
      <c r="M2053" s="3" t="n">
        <v>47.814315</v>
      </c>
      <c r="N2053" s="3" t="n">
        <v>48.11294</v>
      </c>
      <c r="O2053" s="3" t="n">
        <v>48.422573</v>
      </c>
      <c r="P2053" s="3" t="n">
        <v>48.744636</v>
      </c>
      <c r="Q2053" s="3" t="n">
        <v>49.084659</v>
      </c>
      <c r="R2053" s="3" t="n">
        <v>49.446512</v>
      </c>
      <c r="S2053" s="3" t="n">
        <v>49.83372</v>
      </c>
      <c r="T2053" s="3" t="n">
        <v>50.247602</v>
      </c>
      <c r="U2053" s="3" t="n">
        <v>50.681634</v>
      </c>
      <c r="V2053" s="3" t="n">
        <v>51.089056</v>
      </c>
      <c r="W2053" s="3" t="n">
        <v>51.495696</v>
      </c>
      <c r="X2053" s="3" t="n">
        <v>51.894938</v>
      </c>
      <c r="Y2053" s="3" t="n">
        <v>52.272247</v>
      </c>
      <c r="Z2053" s="3" t="n">
        <v>52.640713</v>
      </c>
      <c r="AA2053" s="3" t="n">
        <v>53.016522</v>
      </c>
      <c r="AB2053" s="3" t="n">
        <v>53.387102</v>
      </c>
      <c r="AC2053" s="3" t="n">
        <v>53.756787</v>
      </c>
      <c r="AD2053" s="3" t="n">
        <v>54.133798</v>
      </c>
      <c r="AE2053" s="3" t="n">
        <v>54.500091</v>
      </c>
      <c r="AF2053" s="3" t="n">
        <v>54.850648</v>
      </c>
      <c r="AG2053" s="3" t="n">
        <v>55.184819</v>
      </c>
      <c r="AH2053" s="3" t="n">
        <v>55.502482</v>
      </c>
      <c r="AI2053" s="3" t="n">
        <v>55.802774</v>
      </c>
      <c r="AJ2053" s="3" t="n">
        <v>56.08514</v>
      </c>
      <c r="AK2053" s="3" t="n">
        <v>56.351031</v>
      </c>
      <c r="AL2053" s="3" t="n">
        <v>56.601628</v>
      </c>
      <c r="AM2053" s="3" t="n"/>
      <c r="AN2053" s="3" t="n"/>
      <c r="AO2053" s="3" t="n"/>
      <c r="AP2053" s="3" t="n"/>
      <c r="AQ2053" s="3" t="n"/>
      <c r="AR2053" s="3" t="n"/>
      <c r="AS2053" s="3" t="n"/>
      <c r="AT2053" s="3" t="n"/>
      <c r="AU2053" s="3" t="n"/>
    </row>
    <row r="2054">
      <c r="A2054" s="3" t="n">
        <v>2031</v>
      </c>
      <c r="B2054" s="3" t="inlineStr">
        <is>
          <t>MMR</t>
        </is>
      </c>
      <c r="C2054" s="3" t="inlineStr">
        <is>
          <t>IMF.RES:WEO</t>
        </is>
      </c>
      <c r="D2054" s="3" t="inlineStr">
        <is>
          <t>MMR.NGDP.A</t>
        </is>
      </c>
      <c r="E2054" s="3" t="inlineStr">
        <is>
          <t>Myanmar</t>
        </is>
      </c>
      <c r="F2054" s="3" t="inlineStr">
        <is>
          <t>Gross domestic product (GDP), Current prices, Domestic currency</t>
        </is>
      </c>
      <c r="G2054" s="3" t="n">
        <v>2699.186919</v>
      </c>
      <c r="H2054" s="3" t="n">
        <v>3472.087429</v>
      </c>
      <c r="I2054" s="3" t="n">
        <v>5220.605341</v>
      </c>
      <c r="J2054" s="3" t="n">
        <v>7592.622196</v>
      </c>
      <c r="K2054" s="3" t="n">
        <v>9558.046726</v>
      </c>
      <c r="L2054" s="3" t="n">
        <v>12158.837613</v>
      </c>
      <c r="M2054" s="3" t="n">
        <v>16582.786048</v>
      </c>
      <c r="N2054" s="3" t="n">
        <v>22870.773707</v>
      </c>
      <c r="O2054" s="3" t="n">
        <v>28912.111941</v>
      </c>
      <c r="P2054" s="3" t="n">
        <v>32870.788996</v>
      </c>
      <c r="Q2054" s="3" t="n">
        <v>36888.527028</v>
      </c>
      <c r="R2054" s="3" t="n">
        <v>42351.427485</v>
      </c>
      <c r="S2054" s="3" t="n">
        <v>48829.782566</v>
      </c>
      <c r="T2054" s="3" t="n">
        <v>56839.855808</v>
      </c>
      <c r="U2054" s="3" t="n">
        <v>65262.0925</v>
      </c>
      <c r="V2054" s="3" t="n">
        <v>72714.0212</v>
      </c>
      <c r="W2054" s="3" t="n">
        <v>79690.363</v>
      </c>
      <c r="X2054" s="3" t="n">
        <v>89547.99392199999</v>
      </c>
      <c r="Y2054" s="3" t="n">
        <v>100252.2399</v>
      </c>
      <c r="Z2054" s="3" t="n">
        <v>112559.124058</v>
      </c>
      <c r="AA2054" s="3" t="n">
        <v>105003.900913</v>
      </c>
      <c r="AB2054" s="3" t="n">
        <v>95180.77393900001</v>
      </c>
      <c r="AC2054" s="3" t="n">
        <v>125735.372529</v>
      </c>
      <c r="AD2054" s="3" t="n">
        <v>140323.440756</v>
      </c>
      <c r="AE2054" s="3" t="n">
        <v>161192.912884</v>
      </c>
      <c r="AF2054" s="3" t="n">
        <v>173040.393086</v>
      </c>
      <c r="AG2054" s="3" t="n">
        <v>194262.272912</v>
      </c>
      <c r="AH2054" s="3" t="n">
        <v>217093.206723</v>
      </c>
      <c r="AI2054" s="3" t="n">
        <v>240373.549626</v>
      </c>
      <c r="AJ2054" s="3" t="n">
        <v>264741.364961</v>
      </c>
      <c r="AK2054" s="3" t="n">
        <v>290562.926241</v>
      </c>
      <c r="AL2054" s="3" t="n">
        <v>318907.679723</v>
      </c>
      <c r="AM2054" s="3" t="n"/>
      <c r="AN2054" s="3" t="n"/>
      <c r="AO2054" s="3" t="n"/>
      <c r="AP2054" s="3" t="n"/>
      <c r="AQ2054" s="3" t="n"/>
      <c r="AR2054" s="3" t="n"/>
      <c r="AS2054" s="3" t="n"/>
      <c r="AT2054" s="3" t="n"/>
      <c r="AU2054" s="3" t="n"/>
    </row>
    <row r="2055">
      <c r="A2055" s="3" t="n">
        <v>2031</v>
      </c>
      <c r="B2055" s="3" t="inlineStr">
        <is>
          <t>MMR</t>
        </is>
      </c>
      <c r="C2055" s="3" t="inlineStr">
        <is>
          <t>IMF.RES:WEO</t>
        </is>
      </c>
      <c r="D2055" s="3" t="inlineStr">
        <is>
          <t>MMR.NGDP_D.A</t>
        </is>
      </c>
      <c r="E2055" s="3" t="inlineStr">
        <is>
          <t>Myanmar</t>
        </is>
      </c>
      <c r="F2055" s="3" t="inlineStr">
        <is>
          <t>Gross domestic product (GDP), Price deflator, Index</t>
        </is>
      </c>
      <c r="G2055" s="3" t="n">
        <v>14.345941</v>
      </c>
      <c r="H2055" s="3" t="n">
        <v>16.408122</v>
      </c>
      <c r="I2055" s="3" t="n">
        <v>22.443085</v>
      </c>
      <c r="J2055" s="3" t="n">
        <v>28.835143</v>
      </c>
      <c r="K2055" s="3" t="n">
        <v>31.477779</v>
      </c>
      <c r="L2055" s="3" t="n">
        <v>35.259407</v>
      </c>
      <c r="M2055" s="3" t="n">
        <v>42.440859</v>
      </c>
      <c r="N2055" s="3" t="n">
        <v>52.029915</v>
      </c>
      <c r="O2055" s="3" t="n">
        <v>61.151597</v>
      </c>
      <c r="P2055" s="3" t="n">
        <v>66.60368200000001</v>
      </c>
      <c r="Q2055" s="3" t="n">
        <v>71.01843700000001</v>
      </c>
      <c r="R2055" s="3" t="n">
        <v>77.306057</v>
      </c>
      <c r="S2055" s="3" t="n">
        <v>83.702562</v>
      </c>
      <c r="T2055" s="3" t="n">
        <v>90.300642</v>
      </c>
      <c r="U2055" s="3" t="n">
        <v>95.82355</v>
      </c>
      <c r="V2055" s="3" t="n">
        <v>100.852667</v>
      </c>
      <c r="W2055" s="3" t="n">
        <v>103.53139</v>
      </c>
      <c r="X2055" s="3" t="n">
        <v>109.612212</v>
      </c>
      <c r="Y2055" s="3" t="n">
        <v>115.466465</v>
      </c>
      <c r="Z2055" s="3" t="n">
        <v>121.657463</v>
      </c>
      <c r="AA2055" s="3" t="n">
        <v>124.759728</v>
      </c>
      <c r="AB2055" s="3" t="n">
        <v>128.50252</v>
      </c>
      <c r="AC2055" s="3" t="n">
        <v>163.198201</v>
      </c>
      <c r="AD2055" s="3" t="n">
        <v>180.334012</v>
      </c>
      <c r="AE2055" s="3" t="n">
        <v>209.187454</v>
      </c>
      <c r="AF2055" s="3" t="n">
        <v>229.060262</v>
      </c>
      <c r="AG2055" s="3" t="n">
        <v>249.675685</v>
      </c>
      <c r="AH2055" s="3" t="n">
        <v>270.898119</v>
      </c>
      <c r="AI2055" s="3" t="n">
        <v>292.569968</v>
      </c>
      <c r="AJ2055" s="3" t="n">
        <v>315.390425</v>
      </c>
      <c r="AK2055" s="3" t="n">
        <v>339.990879</v>
      </c>
      <c r="AL2055" s="3" t="n">
        <v>366.510167</v>
      </c>
      <c r="AM2055" s="3" t="n"/>
      <c r="AN2055" s="3" t="n"/>
      <c r="AO2055" s="3" t="n"/>
      <c r="AP2055" s="3" t="n"/>
      <c r="AQ2055" s="3" t="n"/>
      <c r="AR2055" s="3" t="n"/>
      <c r="AS2055" s="3" t="n"/>
      <c r="AT2055" s="3" t="n"/>
      <c r="AU2055" s="3" t="n"/>
    </row>
    <row r="2056">
      <c r="A2056" s="3" t="n">
        <v>2031</v>
      </c>
      <c r="B2056" s="3" t="inlineStr">
        <is>
          <t>MMR</t>
        </is>
      </c>
      <c r="C2056" s="3" t="inlineStr">
        <is>
          <t>IMF.RES:WEO</t>
        </is>
      </c>
      <c r="D2056" s="3" t="inlineStr">
        <is>
          <t>MMR.NGDP_R.A</t>
        </is>
      </c>
      <c r="E2056" s="3" t="inlineStr">
        <is>
          <t>Myanmar</t>
        </is>
      </c>
      <c r="F2056" s="3" t="inlineStr">
        <is>
          <t>Gross domestic product (GDP), Constant prices, Domestic currency</t>
        </is>
      </c>
      <c r="G2056" s="3" t="n">
        <v>18814.986616</v>
      </c>
      <c r="H2056" s="3" t="n">
        <v>21160.784601</v>
      </c>
      <c r="I2056" s="3" t="n">
        <v>23261.532118</v>
      </c>
      <c r="J2056" s="3" t="n">
        <v>26331.140957</v>
      </c>
      <c r="K2056" s="3" t="n">
        <v>30364.425889</v>
      </c>
      <c r="L2056" s="3" t="n">
        <v>34483.953504</v>
      </c>
      <c r="M2056" s="3" t="n">
        <v>39072.691699</v>
      </c>
      <c r="N2056" s="3" t="n">
        <v>43956.969196</v>
      </c>
      <c r="O2056" s="3" t="n">
        <v>47279.406529</v>
      </c>
      <c r="P2056" s="3" t="n">
        <v>49352.810785</v>
      </c>
      <c r="Q2056" s="3" t="n">
        <v>51942.183478</v>
      </c>
      <c r="R2056" s="3" t="n">
        <v>54784.099607</v>
      </c>
      <c r="S2056" s="3" t="n">
        <v>58337.261541</v>
      </c>
      <c r="T2056" s="3" t="n">
        <v>62945.129013</v>
      </c>
      <c r="U2056" s="3" t="n">
        <v>68106.527671</v>
      </c>
      <c r="V2056" s="3" t="n">
        <v>72099.254409</v>
      </c>
      <c r="W2056" s="3" t="n">
        <v>76972.17539999999</v>
      </c>
      <c r="X2056" s="3" t="n">
        <v>81695.2714</v>
      </c>
      <c r="Y2056" s="3" t="n">
        <v>86823.6854</v>
      </c>
      <c r="Z2056" s="3" t="n">
        <v>92521.34742400001</v>
      </c>
      <c r="AA2056" s="3" t="n">
        <v>84164.900239</v>
      </c>
      <c r="AB2056" s="3" t="n">
        <v>74069.188513</v>
      </c>
      <c r="AC2056" s="3" t="n">
        <v>77044.582609</v>
      </c>
      <c r="AD2056" s="3" t="n">
        <v>77813.075528</v>
      </c>
      <c r="AE2056" s="3" t="n">
        <v>77056.68294</v>
      </c>
      <c r="AF2056" s="3" t="n">
        <v>75543.61100999999</v>
      </c>
      <c r="AG2056" s="3" t="n">
        <v>77805.84349100001</v>
      </c>
      <c r="AH2056" s="3" t="n">
        <v>80138.32208100001</v>
      </c>
      <c r="AI2056" s="3" t="n">
        <v>82159.338252</v>
      </c>
      <c r="AJ2056" s="3" t="n">
        <v>83940.83762799999</v>
      </c>
      <c r="AK2056" s="3" t="n">
        <v>85461.97691100001</v>
      </c>
      <c r="AL2056" s="3" t="n">
        <v>87011.959898</v>
      </c>
      <c r="AM2056" s="3" t="n"/>
      <c r="AN2056" s="3" t="n"/>
      <c r="AO2056" s="3" t="n"/>
      <c r="AP2056" s="3" t="n"/>
      <c r="AQ2056" s="3" t="n"/>
      <c r="AR2056" s="3" t="n"/>
      <c r="AS2056" s="3" t="n"/>
      <c r="AT2056" s="3" t="n"/>
      <c r="AU2056" s="3" t="n"/>
    </row>
    <row r="2057">
      <c r="A2057" s="3" t="n">
        <v>2031</v>
      </c>
      <c r="B2057" s="3" t="inlineStr">
        <is>
          <t>MMR</t>
        </is>
      </c>
      <c r="C2057" s="3" t="inlineStr">
        <is>
          <t>IMF.RES:WEO</t>
        </is>
      </c>
      <c r="D2057" s="3" t="inlineStr">
        <is>
          <t>MMR.NGDP_RPCH.A</t>
        </is>
      </c>
      <c r="E2057" s="3" t="inlineStr">
        <is>
          <t>Myanmar</t>
        </is>
      </c>
      <c r="F2057" s="3" t="inlineStr">
        <is>
          <t>Gross domestic product (GDP), Constant prices, Percent change</t>
        </is>
      </c>
      <c r="G2057" s="3" t="n">
        <v>12.418191</v>
      </c>
      <c r="H2057" s="3" t="n">
        <v>12.46771</v>
      </c>
      <c r="I2057" s="3" t="n">
        <v>9.92755</v>
      </c>
      <c r="J2057" s="3" t="n">
        <v>13.196073</v>
      </c>
      <c r="K2057" s="3" t="n">
        <v>15.317547</v>
      </c>
      <c r="L2057" s="3" t="n">
        <v>13.566954</v>
      </c>
      <c r="M2057" s="3" t="n">
        <v>13.30688</v>
      </c>
      <c r="N2057" s="3" t="n">
        <v>12.500489</v>
      </c>
      <c r="O2057" s="3" t="n">
        <v>7.558386</v>
      </c>
      <c r="P2057" s="3" t="n">
        <v>4.385428</v>
      </c>
      <c r="Q2057" s="3" t="n">
        <v>5.246657</v>
      </c>
      <c r="R2057" s="3" t="n">
        <v>5.471307</v>
      </c>
      <c r="S2057" s="3" t="n">
        <v>6.485754</v>
      </c>
      <c r="T2057" s="3" t="n">
        <v>7.898669</v>
      </c>
      <c r="U2057" s="3" t="n">
        <v>8.199838</v>
      </c>
      <c r="V2057" s="3" t="n">
        <v>5.862473</v>
      </c>
      <c r="W2057" s="3" t="n">
        <v>6.758629</v>
      </c>
      <c r="X2057" s="3" t="n">
        <v>6.136108</v>
      </c>
      <c r="Y2057" s="3" t="n">
        <v>6.277492</v>
      </c>
      <c r="Z2057" s="3" t="n">
        <v>6.562336</v>
      </c>
      <c r="AA2057" s="3" t="n">
        <v>-9.031912999999999</v>
      </c>
      <c r="AB2057" s="3" t="n">
        <v>-11.995157</v>
      </c>
      <c r="AC2057" s="3" t="n">
        <v>4.017047</v>
      </c>
      <c r="AD2057" s="3" t="n">
        <v>0.997465</v>
      </c>
      <c r="AE2057" s="3" t="n">
        <v>-0.972064</v>
      </c>
      <c r="AF2057" s="3" t="n">
        <v>-1.963583</v>
      </c>
      <c r="AG2057" s="3" t="n">
        <v>2.994605</v>
      </c>
      <c r="AH2057" s="3" t="n">
        <v>2.997819</v>
      </c>
      <c r="AI2057" s="3" t="n">
        <v>2.52191</v>
      </c>
      <c r="AJ2057" s="3" t="n">
        <v>2.168347</v>
      </c>
      <c r="AK2057" s="3" t="n">
        <v>1.812156</v>
      </c>
      <c r="AL2057" s="3" t="n">
        <v>1.813652</v>
      </c>
      <c r="AM2057" s="3" t="n"/>
      <c r="AN2057" s="3" t="n"/>
      <c r="AO2057" s="3" t="n"/>
      <c r="AP2057" s="3" t="n"/>
      <c r="AQ2057" s="3" t="n"/>
      <c r="AR2057" s="3" t="n"/>
      <c r="AS2057" s="3" t="n"/>
      <c r="AT2057" s="3" t="n"/>
      <c r="AU2057" s="3" t="n"/>
    </row>
    <row r="2058">
      <c r="A2058" s="3" t="n">
        <v>2031</v>
      </c>
      <c r="B2058" s="3" t="inlineStr">
        <is>
          <t>MMR</t>
        </is>
      </c>
      <c r="C2058" s="3" t="inlineStr">
        <is>
          <t>IMF.RES:WEO</t>
        </is>
      </c>
      <c r="D2058" s="3" t="inlineStr">
        <is>
          <t>MMR.NGDPD.A</t>
        </is>
      </c>
      <c r="E2058" s="3" t="inlineStr">
        <is>
          <t>Myanmar</t>
        </is>
      </c>
      <c r="F2058" s="3" t="inlineStr">
        <is>
          <t>Gross domestic product (GDP), Current prices, US dollar</t>
        </is>
      </c>
      <c r="G2058" s="3" t="n">
        <v>7.688129</v>
      </c>
      <c r="H2058" s="3" t="n">
        <v>7.086857</v>
      </c>
      <c r="I2058" s="3" t="n">
        <v>6.878419</v>
      </c>
      <c r="J2058" s="3" t="n">
        <v>8.826065</v>
      </c>
      <c r="K2058" s="3" t="n">
        <v>10.688339</v>
      </c>
      <c r="L2058" s="3" t="n">
        <v>12.051379</v>
      </c>
      <c r="M2058" s="3" t="n">
        <v>13.502065</v>
      </c>
      <c r="N2058" s="3" t="n">
        <v>17.745331</v>
      </c>
      <c r="O2058" s="3" t="n">
        <v>25.313391</v>
      </c>
      <c r="P2058" s="3" t="n">
        <v>30.674972</v>
      </c>
      <c r="Q2058" s="3" t="n">
        <v>37.850562</v>
      </c>
      <c r="R2058" s="3" t="n">
        <v>53.249909</v>
      </c>
      <c r="S2058" s="3" t="n">
        <v>58.373918</v>
      </c>
      <c r="T2058" s="3" t="n">
        <v>62.656464</v>
      </c>
      <c r="U2058" s="3" t="n">
        <v>65.403801</v>
      </c>
      <c r="V2058" s="3" t="n">
        <v>59.330132</v>
      </c>
      <c r="W2058" s="3" t="n">
        <v>62.83903</v>
      </c>
      <c r="X2058" s="3" t="n">
        <v>66.083016</v>
      </c>
      <c r="Y2058" s="3" t="n">
        <v>67.49136799999999</v>
      </c>
      <c r="Z2058" s="3" t="n">
        <v>75.281991</v>
      </c>
      <c r="AA2058" s="3" t="n">
        <v>77.02609699999999</v>
      </c>
      <c r="AB2058" s="3" t="n">
        <v>55.260284</v>
      </c>
      <c r="AC2058" s="3" t="n">
        <v>67.43651</v>
      </c>
      <c r="AD2058" s="3" t="n">
        <v>66.82068599999999</v>
      </c>
      <c r="AE2058" s="3" t="n">
        <v>76.75852999999999</v>
      </c>
      <c r="AF2058" s="3" t="n">
        <v>82.400187</v>
      </c>
      <c r="AG2058" s="3" t="n">
        <v>83.83175799999999</v>
      </c>
      <c r="AH2058" s="3" t="n">
        <v>86.885012</v>
      </c>
      <c r="AI2058" s="3" t="n">
        <v>94.086894</v>
      </c>
      <c r="AJ2058" s="3" t="n">
        <v>103.414637</v>
      </c>
      <c r="AK2058" s="3" t="n">
        <v>107.607308</v>
      </c>
      <c r="AL2058" s="3" t="n">
        <v>111.971604</v>
      </c>
      <c r="AM2058" s="3" t="n"/>
      <c r="AN2058" s="3" t="n"/>
      <c r="AO2058" s="3" t="n"/>
      <c r="AP2058" s="3" t="n"/>
      <c r="AQ2058" s="3" t="n"/>
      <c r="AR2058" s="3" t="n"/>
      <c r="AS2058" s="3" t="n"/>
      <c r="AT2058" s="3" t="n"/>
      <c r="AU2058" s="3" t="n"/>
    </row>
    <row r="2059">
      <c r="A2059" s="3" t="n">
        <v>2031</v>
      </c>
      <c r="B2059" s="3" t="inlineStr">
        <is>
          <t>MMR</t>
        </is>
      </c>
      <c r="C2059" s="3" t="inlineStr">
        <is>
          <t>IMF.RES:WEO</t>
        </is>
      </c>
      <c r="D2059" s="3" t="inlineStr">
        <is>
          <t>MMR.NGDPPC.A</t>
        </is>
      </c>
      <c r="E2059" s="3" t="inlineStr">
        <is>
          <t>Myanmar</t>
        </is>
      </c>
      <c r="F2059" s="3" t="inlineStr">
        <is>
          <t>Gross domestic product (GDP), Current prices, Per capita, Domestic currency</t>
        </is>
      </c>
      <c r="G2059" s="3" t="n">
        <v>59301.875246</v>
      </c>
      <c r="H2059" s="3" t="n">
        <v>75386.905858</v>
      </c>
      <c r="I2059" s="3" t="n">
        <v>112223.394381</v>
      </c>
      <c r="J2059" s="3" t="n">
        <v>161868.780456</v>
      </c>
      <c r="K2059" s="3" t="n">
        <v>202362.097506</v>
      </c>
      <c r="L2059" s="3" t="n">
        <v>255836.88007</v>
      </c>
      <c r="M2059" s="3" t="n">
        <v>346816.343606</v>
      </c>
      <c r="N2059" s="3" t="n">
        <v>475355.981507</v>
      </c>
      <c r="O2059" s="3" t="n">
        <v>597079.211607</v>
      </c>
      <c r="P2059" s="3" t="n">
        <v>674346.793073</v>
      </c>
      <c r="Q2059" s="3" t="n">
        <v>751528.645217</v>
      </c>
      <c r="R2059" s="3" t="n">
        <v>856509.916509</v>
      </c>
      <c r="S2059" s="3" t="n">
        <v>979854.245288</v>
      </c>
      <c r="T2059" s="3" t="n">
        <v>1131195.392067</v>
      </c>
      <c r="U2059" s="3" t="n">
        <v>1287687.22216</v>
      </c>
      <c r="V2059" s="3" t="n">
        <v>1423279.79597</v>
      </c>
      <c r="W2059" s="3" t="n">
        <v>1547515.019508</v>
      </c>
      <c r="X2059" s="3" t="n">
        <v>1725563.173853</v>
      </c>
      <c r="Y2059" s="3" t="n">
        <v>1917886.558426</v>
      </c>
      <c r="Z2059" s="3" t="n">
        <v>2138252.269834</v>
      </c>
      <c r="AA2059" s="3" t="n">
        <v>1980588.257236</v>
      </c>
      <c r="AB2059" s="3" t="n">
        <v>1782842.116784</v>
      </c>
      <c r="AC2059" s="3" t="n">
        <v>2338967.403864</v>
      </c>
      <c r="AD2059" s="3" t="n">
        <v>2592159.536931</v>
      </c>
      <c r="AE2059" s="3" t="n">
        <v>2957663.187828</v>
      </c>
      <c r="AF2059" s="3" t="n">
        <v>3154755.67555</v>
      </c>
      <c r="AG2059" s="3" t="n">
        <v>3520212.196611</v>
      </c>
      <c r="AH2059" s="3" t="n">
        <v>3911414.389046</v>
      </c>
      <c r="AI2059" s="3" t="n">
        <v>4307555.563922</v>
      </c>
      <c r="AJ2059" s="3" t="n">
        <v>4720347.759864</v>
      </c>
      <c r="AK2059" s="3" t="n">
        <v>5156301.865014</v>
      </c>
      <c r="AL2059" s="3" t="n">
        <v>5634249.243202</v>
      </c>
      <c r="AM2059" s="3" t="n"/>
      <c r="AN2059" s="3" t="n"/>
      <c r="AO2059" s="3" t="n"/>
      <c r="AP2059" s="3" t="n"/>
      <c r="AQ2059" s="3" t="n"/>
      <c r="AR2059" s="3" t="n"/>
      <c r="AS2059" s="3" t="n"/>
      <c r="AT2059" s="3" t="n"/>
      <c r="AU2059" s="3" t="n"/>
    </row>
    <row r="2060">
      <c r="A2060" s="3" t="n">
        <v>2031</v>
      </c>
      <c r="B2060" s="3" t="inlineStr">
        <is>
          <t>MMR</t>
        </is>
      </c>
      <c r="C2060" s="3" t="inlineStr">
        <is>
          <t>IMF.RES:WEO</t>
        </is>
      </c>
      <c r="D2060" s="3" t="inlineStr">
        <is>
          <t>MMR.NGDPRPC.A</t>
        </is>
      </c>
      <c r="E2060" s="3" t="inlineStr">
        <is>
          <t>Myanmar</t>
        </is>
      </c>
      <c r="F2060" s="3" t="inlineStr">
        <is>
          <t>Gross domestic product (GDP), Constant prices, Per capita, Domestic currency</t>
        </is>
      </c>
      <c r="G2060" s="3" t="n">
        <v>413370.40469</v>
      </c>
      <c r="H2060" s="3" t="n">
        <v>459448.70612</v>
      </c>
      <c r="I2060" s="3" t="n">
        <v>500035.517403</v>
      </c>
      <c r="J2060" s="3" t="n">
        <v>561359.378208</v>
      </c>
      <c r="K2060" s="3" t="n">
        <v>642872.868104</v>
      </c>
      <c r="L2060" s="3" t="n">
        <v>725584.743989</v>
      </c>
      <c r="M2060" s="3" t="n">
        <v>817175.595849</v>
      </c>
      <c r="N2060" s="3" t="n">
        <v>913620.523034</v>
      </c>
      <c r="O2060" s="3" t="n">
        <v>976391.8607289999</v>
      </c>
      <c r="P2060" s="3" t="n">
        <v>1012476.752115</v>
      </c>
      <c r="Q2060" s="3" t="n">
        <v>1058216.251078</v>
      </c>
      <c r="R2060" s="3" t="n">
        <v>1107946.706108</v>
      </c>
      <c r="S2060" s="3" t="n">
        <v>1170638.294408</v>
      </c>
      <c r="T2060" s="3" t="n">
        <v>1252699.1647</v>
      </c>
      <c r="U2060" s="3" t="n">
        <v>1343810.810662</v>
      </c>
      <c r="V2060" s="3" t="n">
        <v>1411246.557568</v>
      </c>
      <c r="W2060" s="3" t="n">
        <v>1494730.26639</v>
      </c>
      <c r="X2060" s="3" t="n">
        <v>1574243.549535</v>
      </c>
      <c r="Y2060" s="3" t="n">
        <v>1660990.112019</v>
      </c>
      <c r="Z2060" s="3" t="n">
        <v>1757600.574749</v>
      </c>
      <c r="AA2060" s="3" t="n">
        <v>1587522.098091</v>
      </c>
      <c r="AB2060" s="3" t="n">
        <v>1387398.56141</v>
      </c>
      <c r="AC2060" s="3" t="n">
        <v>1433206.612751</v>
      </c>
      <c r="AD2060" s="3" t="n">
        <v>1437421.32277</v>
      </c>
      <c r="AE2060" s="3" t="n">
        <v>1413881.729855</v>
      </c>
      <c r="AF2060" s="3" t="n">
        <v>1377260.137573</v>
      </c>
      <c r="AG2060" s="3" t="n">
        <v>1409913.902066</v>
      </c>
      <c r="AH2060" s="3" t="n">
        <v>1443869.160312</v>
      </c>
      <c r="AI2060" s="3" t="n">
        <v>1472316.380757</v>
      </c>
      <c r="AJ2060" s="3" t="n">
        <v>1496668.059105</v>
      </c>
      <c r="AK2060" s="3" t="n">
        <v>1516600.058499</v>
      </c>
      <c r="AL2060" s="3" t="n">
        <v>1537269.562238</v>
      </c>
      <c r="AM2060" s="3" t="n"/>
      <c r="AN2060" s="3" t="n"/>
      <c r="AO2060" s="3" t="n"/>
      <c r="AP2060" s="3" t="n"/>
      <c r="AQ2060" s="3" t="n"/>
      <c r="AR2060" s="3" t="n"/>
      <c r="AS2060" s="3" t="n"/>
      <c r="AT2060" s="3" t="n"/>
      <c r="AU2060" s="3" t="n"/>
    </row>
    <row r="2061">
      <c r="A2061" s="3" t="n">
        <v>2031</v>
      </c>
      <c r="B2061" s="3" t="inlineStr">
        <is>
          <t>MMR</t>
        </is>
      </c>
      <c r="C2061" s="3" t="inlineStr">
        <is>
          <t>IMF.RES:WEO</t>
        </is>
      </c>
      <c r="D2061" s="3" t="inlineStr">
        <is>
          <t>MMR.PCPI.A</t>
        </is>
      </c>
      <c r="E2061" s="3" t="inlineStr">
        <is>
          <t>Myanmar</t>
        </is>
      </c>
      <c r="F2061" s="3" t="inlineStr">
        <is>
          <t>All Items, Consumer price index (CPI), Period average</t>
        </is>
      </c>
      <c r="G2061" s="3" t="n">
        <v>19.201147</v>
      </c>
      <c r="H2061" s="3" t="n">
        <v>15.401004</v>
      </c>
      <c r="I2061" s="3" t="n">
        <v>18.776339</v>
      </c>
      <c r="J2061" s="3" t="n">
        <v>27.689344</v>
      </c>
      <c r="K2061" s="3" t="n">
        <v>29.905924</v>
      </c>
      <c r="L2061" s="3" t="n">
        <v>31.965245</v>
      </c>
      <c r="M2061" s="3" t="n">
        <v>37.255673</v>
      </c>
      <c r="N2061" s="3" t="n">
        <v>50.085269</v>
      </c>
      <c r="O2061" s="3" t="n">
        <v>60.558749</v>
      </c>
      <c r="P2061" s="3" t="n">
        <v>62.794729</v>
      </c>
      <c r="Q2061" s="3" t="n">
        <v>66.514606</v>
      </c>
      <c r="R2061" s="3" t="n">
        <v>71.05689</v>
      </c>
      <c r="S2061" s="3" t="n">
        <v>71.312911</v>
      </c>
      <c r="T2061" s="3" t="n">
        <v>75.863972</v>
      </c>
      <c r="U2061" s="3" t="n">
        <v>80.217789</v>
      </c>
      <c r="V2061" s="3" t="n">
        <v>88.274463</v>
      </c>
      <c r="W2061" s="3" t="n">
        <v>94.24759299999999</v>
      </c>
      <c r="X2061" s="3" t="n">
        <v>98.05033</v>
      </c>
      <c r="Y2061" s="3" t="n">
        <v>105.18786</v>
      </c>
      <c r="Z2061" s="3" t="n">
        <v>114.732878</v>
      </c>
      <c r="AA2061" s="3" t="n">
        <v>117.371734</v>
      </c>
      <c r="AB2061" s="3" t="n">
        <v>128.63942</v>
      </c>
      <c r="AC2061" s="3" t="n">
        <v>163.629342</v>
      </c>
      <c r="AD2061" s="3" t="n">
        <v>208.791041</v>
      </c>
      <c r="AE2061" s="3" t="n">
        <v>270.593189</v>
      </c>
      <c r="AF2061" s="3" t="n">
        <v>330.123691</v>
      </c>
      <c r="AG2061" s="3" t="n">
        <v>392.847192</v>
      </c>
      <c r="AH2061" s="3" t="n">
        <v>455.702743</v>
      </c>
      <c r="AI2061" s="3" t="n">
        <v>501.273017</v>
      </c>
      <c r="AJ2061" s="3" t="n">
        <v>540.372312</v>
      </c>
      <c r="AK2061" s="3" t="n">
        <v>582.521353</v>
      </c>
      <c r="AL2061" s="3" t="n">
        <v>627.958018</v>
      </c>
      <c r="AM2061" s="3" t="n"/>
      <c r="AN2061" s="3" t="n"/>
      <c r="AO2061" s="3" t="n"/>
      <c r="AP2061" s="3" t="n"/>
      <c r="AQ2061" s="3" t="n"/>
      <c r="AR2061" s="3" t="n"/>
      <c r="AS2061" s="3" t="n"/>
      <c r="AT2061" s="3" t="n"/>
      <c r="AU2061" s="3" t="n"/>
    </row>
    <row r="2062">
      <c r="A2062" s="3" t="n">
        <v>2031</v>
      </c>
      <c r="B2062" s="3" t="inlineStr">
        <is>
          <t>MMR</t>
        </is>
      </c>
      <c r="C2062" s="3" t="inlineStr">
        <is>
          <t>IMF.RES:WEO</t>
        </is>
      </c>
      <c r="D2062" s="3" t="inlineStr">
        <is>
          <t>MMR.PCPIPCH.A</t>
        </is>
      </c>
      <c r="E2062" s="3" t="inlineStr">
        <is>
          <t>Myanmar</t>
        </is>
      </c>
      <c r="F2062" s="3" t="inlineStr">
        <is>
          <t>All Items, Consumer price index (CPI), Period average, percent change</t>
        </is>
      </c>
      <c r="G2062" s="3" t="n">
        <v>4.253906</v>
      </c>
      <c r="H2062" s="3" t="n">
        <v>-19.791229</v>
      </c>
      <c r="I2062" s="3" t="n">
        <v>21.916326</v>
      </c>
      <c r="J2062" s="3" t="n">
        <v>47.469344</v>
      </c>
      <c r="K2062" s="3" t="n">
        <v>8.005174999999999</v>
      </c>
      <c r="L2062" s="3" t="n">
        <v>6.885997</v>
      </c>
      <c r="M2062" s="3" t="n">
        <v>16.550563</v>
      </c>
      <c r="N2062" s="3" t="n">
        <v>34.436624</v>
      </c>
      <c r="O2062" s="3" t="n">
        <v>20.911298</v>
      </c>
      <c r="P2062" s="3" t="n">
        <v>3.692249</v>
      </c>
      <c r="Q2062" s="3" t="n">
        <v>5.923868</v>
      </c>
      <c r="R2062" s="3" t="n">
        <v>6.829002</v>
      </c>
      <c r="S2062" s="3" t="n">
        <v>0.360304</v>
      </c>
      <c r="T2062" s="3" t="n">
        <v>6.381819</v>
      </c>
      <c r="U2062" s="3" t="n">
        <v>5.738979</v>
      </c>
      <c r="V2062" s="3" t="n">
        <v>10.0435</v>
      </c>
      <c r="W2062" s="3" t="n">
        <v>6.766544</v>
      </c>
      <c r="X2062" s="3" t="n">
        <v>4.034837</v>
      </c>
      <c r="Y2062" s="3" t="n">
        <v>7.279456</v>
      </c>
      <c r="Z2062" s="3" t="n">
        <v>9.074256999999999</v>
      </c>
      <c r="AA2062" s="3" t="n">
        <v>2.3</v>
      </c>
      <c r="AB2062" s="3" t="n">
        <v>9.6</v>
      </c>
      <c r="AC2062" s="3" t="n">
        <v>27.2</v>
      </c>
      <c r="AD2062" s="3" t="n">
        <v>27.6</v>
      </c>
      <c r="AE2062" s="3" t="n">
        <v>29.6</v>
      </c>
      <c r="AF2062" s="3" t="n">
        <v>22</v>
      </c>
      <c r="AG2062" s="3" t="n">
        <v>19</v>
      </c>
      <c r="AH2062" s="3" t="n">
        <v>16</v>
      </c>
      <c r="AI2062" s="3" t="n">
        <v>10</v>
      </c>
      <c r="AJ2062" s="3" t="n">
        <v>7.8</v>
      </c>
      <c r="AK2062" s="3" t="n">
        <v>7.8</v>
      </c>
      <c r="AL2062" s="3" t="n">
        <v>7.8</v>
      </c>
      <c r="AM2062" s="3" t="n"/>
      <c r="AN2062" s="3" t="n"/>
      <c r="AO2062" s="3" t="n"/>
      <c r="AP2062" s="3" t="n"/>
      <c r="AQ2062" s="3" t="n"/>
      <c r="AR2062" s="3" t="n"/>
      <c r="AS2062" s="3" t="n"/>
      <c r="AT2062" s="3" t="n"/>
      <c r="AU2062" s="3" t="n"/>
    </row>
    <row r="2063">
      <c r="A2063" s="3" t="n">
        <v>2031</v>
      </c>
      <c r="B2063" s="3" t="inlineStr">
        <is>
          <t>MMR</t>
        </is>
      </c>
      <c r="C2063" s="3" t="inlineStr">
        <is>
          <t>IMF.RES:WEO</t>
        </is>
      </c>
      <c r="D2063" s="3" t="inlineStr">
        <is>
          <t>MMR.PPPPC.A</t>
        </is>
      </c>
      <c r="E2063" s="3" t="inlineStr">
        <is>
          <t>Myanmar</t>
        </is>
      </c>
      <c r="F2063" s="3" t="inlineStr">
        <is>
          <t>Gross domestic product (GDP), Per capita, purchasing power parity (PPP) international dollar, ICP benchmarks 2017-2021</t>
        </is>
      </c>
      <c r="G2063" s="3" t="n">
        <v>898.724839</v>
      </c>
      <c r="H2063" s="3" t="n">
        <v>1021.397044</v>
      </c>
      <c r="I2063" s="3" t="n">
        <v>1128.900341</v>
      </c>
      <c r="J2063" s="3" t="n">
        <v>1292.367736</v>
      </c>
      <c r="K2063" s="3" t="n">
        <v>1519.82521</v>
      </c>
      <c r="L2063" s="3" t="n">
        <v>1769.156365</v>
      </c>
      <c r="M2063" s="3" t="n">
        <v>2053.923343</v>
      </c>
      <c r="N2063" s="3" t="n">
        <v>2358.545897</v>
      </c>
      <c r="O2063" s="3" t="n">
        <v>2569.149454</v>
      </c>
      <c r="P2063" s="3" t="n">
        <v>2680.529116</v>
      </c>
      <c r="Q2063" s="3" t="n">
        <v>2835.67453</v>
      </c>
      <c r="R2063" s="3" t="n">
        <v>3030.192457</v>
      </c>
      <c r="S2063" s="3" t="n">
        <v>3261.264167</v>
      </c>
      <c r="T2063" s="3" t="n">
        <v>3549.274216</v>
      </c>
      <c r="U2063" s="3" t="n">
        <v>3873.735381</v>
      </c>
      <c r="V2063" s="3" t="n">
        <v>4105.883396</v>
      </c>
      <c r="W2063" s="3" t="n">
        <v>4390.094104</v>
      </c>
      <c r="X2063" s="3" t="n">
        <v>4706.432491</v>
      </c>
      <c r="Y2063" s="3" t="n">
        <v>5581.718622</v>
      </c>
      <c r="Z2063" s="3" t="n">
        <v>6097.353003</v>
      </c>
      <c r="AA2063" s="3" t="n">
        <v>5586.04592</v>
      </c>
      <c r="AB2063" s="3" t="n">
        <v>4343.388907</v>
      </c>
      <c r="AC2063" s="3" t="n">
        <v>4805.915036</v>
      </c>
      <c r="AD2063" s="3" t="n">
        <v>4998.391443</v>
      </c>
      <c r="AE2063" s="3" t="n">
        <v>5038.591679</v>
      </c>
      <c r="AF2063" s="3" t="n">
        <v>5047.315737</v>
      </c>
      <c r="AG2063" s="3" t="n">
        <v>5315.010034</v>
      </c>
      <c r="AH2063" s="3" t="n">
        <v>5562.535781</v>
      </c>
      <c r="AI2063" s="3" t="n">
        <v>5765.231078</v>
      </c>
      <c r="AJ2063" s="3" t="n">
        <v>5964.793885</v>
      </c>
      <c r="AK2063" s="3" t="n">
        <v>6155.294873</v>
      </c>
      <c r="AL2063" s="3" t="n">
        <v>6351.820528</v>
      </c>
      <c r="AM2063" s="3" t="n"/>
      <c r="AN2063" s="3" t="n"/>
      <c r="AO2063" s="3" t="n"/>
      <c r="AP2063" s="3" t="n"/>
      <c r="AQ2063" s="3" t="n"/>
      <c r="AR2063" s="3" t="n"/>
      <c r="AS2063" s="3" t="n"/>
      <c r="AT2063" s="3" t="n"/>
      <c r="AU2063" s="3" t="n"/>
    </row>
    <row r="2064">
      <c r="A2064" s="3" t="n">
        <v>2025</v>
      </c>
      <c r="B2064" s="3" t="inlineStr">
        <is>
          <t>MMR</t>
        </is>
      </c>
      <c r="C2064" s="3" t="inlineStr">
        <is>
          <t>IMF.STA:ER</t>
        </is>
      </c>
      <c r="D2064" s="3" t="inlineStr">
        <is>
          <t>MMR.XDC_USD.PA_RT.A</t>
        </is>
      </c>
      <c r="E2064" s="3" t="inlineStr">
        <is>
          <t>Myanmar</t>
        </is>
      </c>
      <c r="F2064" s="3" t="inlineStr">
        <is>
          <t>Domestic currency per US Dollar</t>
        </is>
      </c>
      <c r="G2064" s="3" t="n">
        <v>6.516725</v>
      </c>
      <c r="H2064" s="3" t="n">
        <v>6.74890833333333</v>
      </c>
      <c r="I2064" s="3" t="n">
        <v>6.64208333333333</v>
      </c>
      <c r="J2064" s="3" t="n">
        <v>6.138925</v>
      </c>
      <c r="K2064" s="3" t="n">
        <v>5.80583333333333</v>
      </c>
      <c r="L2064" s="3" t="n">
        <v>5.81816666666666</v>
      </c>
      <c r="M2064" s="3" t="n">
        <v>5.84294166666666</v>
      </c>
      <c r="N2064" s="3" t="n">
        <v>5.61688333333333</v>
      </c>
      <c r="O2064" s="3" t="n">
        <v>5.44145</v>
      </c>
      <c r="P2064" s="3" t="n">
        <v>5.57636666666666</v>
      </c>
      <c r="Q2064" s="3" t="n">
        <v>5.63488333333333</v>
      </c>
      <c r="R2064" s="3" t="n">
        <v>5.44410833333333</v>
      </c>
      <c r="S2064" s="3" t="n">
        <v>640.653416666666</v>
      </c>
      <c r="T2064" s="3" t="n">
        <v>933.570456356879</v>
      </c>
      <c r="U2064" s="3" t="n">
        <v>984.345747560046</v>
      </c>
      <c r="V2064" s="3" t="n">
        <v>1162.61532862554</v>
      </c>
      <c r="W2064" s="3" t="n">
        <v>1234.86951666666</v>
      </c>
      <c r="X2064" s="3" t="n">
        <v>1360.35870704085</v>
      </c>
      <c r="Y2064" s="3" t="n">
        <v>1429.80797520107</v>
      </c>
      <c r="Z2064" s="3" t="n">
        <v>1518.25511666666</v>
      </c>
      <c r="AA2064" s="3" t="n">
        <v>1381.61916666666</v>
      </c>
      <c r="AB2064" s="3" t="n">
        <v>1381.61916666666</v>
      </c>
      <c r="AC2064" s="3" t="n">
        <v>1381.61916666666</v>
      </c>
      <c r="AD2064" s="3" t="n">
        <v>1381.61916666666</v>
      </c>
      <c r="AE2064" s="3" t="n">
        <v>1381.61916666666</v>
      </c>
      <c r="AF2064" s="3" t="n">
        <v>1381.61916666666</v>
      </c>
      <c r="AG2064" s="3" t="n"/>
      <c r="AH2064" s="3" t="n"/>
      <c r="AI2064" s="3" t="n"/>
      <c r="AJ2064" s="3" t="n"/>
      <c r="AK2064" s="3" t="n"/>
      <c r="AL2064" s="3" t="n"/>
      <c r="AM2064" s="3" t="n"/>
      <c r="AN2064" s="3" t="n"/>
      <c r="AO2064" s="3" t="n"/>
      <c r="AP2064" s="3" t="n"/>
      <c r="AQ2064" s="3" t="n"/>
      <c r="AR2064" s="3" t="n"/>
      <c r="AS2064" s="3" t="n"/>
      <c r="AT2064" s="3" t="n"/>
      <c r="AU2064" s="3" t="n"/>
    </row>
    <row r="2065">
      <c r="A2065" s="3" t="n">
        <v>2031</v>
      </c>
      <c r="B2065" s="3" t="inlineStr">
        <is>
          <t>MNE</t>
        </is>
      </c>
      <c r="C2065" s="3" t="inlineStr">
        <is>
          <t>IMF.RES:WEO</t>
        </is>
      </c>
      <c r="D2065" s="3" t="inlineStr">
        <is>
          <t>MNE.BCA.A</t>
        </is>
      </c>
      <c r="E2065" s="3" t="inlineStr">
        <is>
          <t>Montenegro</t>
        </is>
      </c>
      <c r="F2065" s="3" t="inlineStr">
        <is>
          <t>Current account balance (credit less debit), US dollar</t>
        </is>
      </c>
      <c r="G2065" s="3" t="n"/>
      <c r="H2065" s="3" t="n">
        <v>-0.156751</v>
      </c>
      <c r="I2065" s="3" t="n">
        <v>-0.146002</v>
      </c>
      <c r="J2065" s="3" t="n">
        <v>-0.115413</v>
      </c>
      <c r="K2065" s="3" t="n">
        <v>-0.148755</v>
      </c>
      <c r="L2065" s="3" t="n">
        <v>-0.375824</v>
      </c>
      <c r="M2065" s="3" t="n">
        <v>-0.862368</v>
      </c>
      <c r="N2065" s="3" t="n">
        <v>-1.476924</v>
      </c>
      <c r="O2065" s="3" t="n">
        <v>-2.257723</v>
      </c>
      <c r="P2065" s="3" t="n">
        <v>-1.156781</v>
      </c>
      <c r="Q2065" s="3" t="n">
        <v>-0.842139</v>
      </c>
      <c r="R2065" s="3" t="n">
        <v>-0.671403</v>
      </c>
      <c r="S2065" s="3" t="n">
        <v>-0.624983</v>
      </c>
      <c r="T2065" s="3" t="n">
        <v>-0.508695</v>
      </c>
      <c r="U2065" s="3" t="n">
        <v>-0.570246</v>
      </c>
      <c r="V2065" s="3" t="n">
        <v>-0.445708</v>
      </c>
      <c r="W2065" s="3" t="n">
        <v>-0.710408</v>
      </c>
      <c r="X2065" s="3" t="n">
        <v>-0.780894</v>
      </c>
      <c r="Y2065" s="3" t="n">
        <v>-0.936678</v>
      </c>
      <c r="Z2065" s="3" t="n">
        <v>-0.79131</v>
      </c>
      <c r="AA2065" s="3" t="n">
        <v>-1.244487</v>
      </c>
      <c r="AB2065" s="3" t="n">
        <v>-0.539592</v>
      </c>
      <c r="AC2065" s="3" t="n">
        <v>-0.807308</v>
      </c>
      <c r="AD2065" s="3" t="n">
        <v>-0.855865</v>
      </c>
      <c r="AE2065" s="3" t="n">
        <v>-1.413759</v>
      </c>
      <c r="AF2065" s="3" t="n">
        <v>-1.896149</v>
      </c>
      <c r="AG2065" s="3" t="n">
        <v>-1.985251</v>
      </c>
      <c r="AH2065" s="3" t="n">
        <v>-1.978338</v>
      </c>
      <c r="AI2065" s="3" t="n">
        <v>-2.003257</v>
      </c>
      <c r="AJ2065" s="3" t="n">
        <v>-1.977771</v>
      </c>
      <c r="AK2065" s="3" t="n">
        <v>-2.02174</v>
      </c>
      <c r="AL2065" s="3" t="n">
        <v>-2.087697</v>
      </c>
      <c r="AM2065" s="3" t="n"/>
      <c r="AN2065" s="3" t="n"/>
      <c r="AO2065" s="3" t="n"/>
      <c r="AP2065" s="3" t="n"/>
      <c r="AQ2065" s="3" t="n"/>
      <c r="AR2065" s="3" t="n"/>
      <c r="AS2065" s="3" t="n"/>
      <c r="AT2065" s="3" t="n"/>
      <c r="AU2065" s="3" t="n"/>
    </row>
    <row r="2066">
      <c r="A2066" s="3" t="n">
        <v>2031</v>
      </c>
      <c r="B2066" s="3" t="inlineStr">
        <is>
          <t>MNE</t>
        </is>
      </c>
      <c r="C2066" s="3" t="inlineStr">
        <is>
          <t>IMF.RES:WEO</t>
        </is>
      </c>
      <c r="D2066" s="3" t="inlineStr">
        <is>
          <t>MNE.BCA_NGDPD.A</t>
        </is>
      </c>
      <c r="E2066" s="3" t="inlineStr">
        <is>
          <t>Montenegro</t>
        </is>
      </c>
      <c r="F2066" s="3" t="inlineStr">
        <is>
          <t>Current account balance (credit less debit), Percent of GDP</t>
        </is>
      </c>
      <c r="G2066" s="3" t="n"/>
      <c r="H2066" s="3" t="n">
        <v>-13.648664</v>
      </c>
      <c r="I2066" s="3" t="n">
        <v>-11.52287</v>
      </c>
      <c r="J2066" s="3" t="n">
        <v>-6.875403</v>
      </c>
      <c r="K2066" s="3" t="n">
        <v>-7.18669</v>
      </c>
      <c r="L2066" s="3" t="n">
        <v>-16.65125</v>
      </c>
      <c r="M2066" s="3" t="n">
        <v>-31.70327</v>
      </c>
      <c r="N2066" s="3" t="n">
        <v>-40.100881</v>
      </c>
      <c r="O2066" s="3" t="n">
        <v>-49.523303</v>
      </c>
      <c r="P2066" s="3" t="n">
        <v>-27.843741</v>
      </c>
      <c r="Q2066" s="3" t="n">
        <v>-20.339981</v>
      </c>
      <c r="R2066" s="3" t="n">
        <v>-14.899084</v>
      </c>
      <c r="S2066" s="3" t="n">
        <v>-15.339232</v>
      </c>
      <c r="T2066" s="3" t="n">
        <v>-11.503323</v>
      </c>
      <c r="U2066" s="3" t="n">
        <v>-12.448563</v>
      </c>
      <c r="V2066" s="3" t="n">
        <v>-11.111351</v>
      </c>
      <c r="W2066" s="3" t="n">
        <v>-16.307722</v>
      </c>
      <c r="X2066" s="3" t="n">
        <v>-16.260944</v>
      </c>
      <c r="Y2066" s="3" t="n">
        <v>-17.231232</v>
      </c>
      <c r="Z2066" s="3" t="n">
        <v>-14.428823</v>
      </c>
      <c r="AA2066" s="3" t="n">
        <v>-26.308261</v>
      </c>
      <c r="AB2066" s="3" t="n">
        <v>-9.260557</v>
      </c>
      <c r="AC2066" s="3" t="n">
        <v>-12.886724</v>
      </c>
      <c r="AD2066" s="3" t="n">
        <v>-11.194335</v>
      </c>
      <c r="AE2066" s="3" t="n">
        <v>-17.091319</v>
      </c>
      <c r="AF2066" s="3" t="n">
        <v>-20.548741</v>
      </c>
      <c r="AG2066" s="3" t="n">
        <v>-19.412024</v>
      </c>
      <c r="AH2066" s="3" t="n">
        <v>-18.304221</v>
      </c>
      <c r="AI2066" s="3" t="n">
        <v>-17.600553</v>
      </c>
      <c r="AJ2066" s="3" t="n">
        <v>-16.489424</v>
      </c>
      <c r="AK2066" s="3" t="n">
        <v>-16.020377</v>
      </c>
      <c r="AL2066" s="3" t="n">
        <v>-15.719961</v>
      </c>
      <c r="AM2066" s="3" t="n"/>
      <c r="AN2066" s="3" t="n"/>
      <c r="AO2066" s="3" t="n"/>
      <c r="AP2066" s="3" t="n"/>
      <c r="AQ2066" s="3" t="n"/>
      <c r="AR2066" s="3" t="n"/>
      <c r="AS2066" s="3" t="n"/>
      <c r="AT2066" s="3" t="n"/>
      <c r="AU2066" s="3" t="n"/>
    </row>
    <row r="2067">
      <c r="A2067" s="3" t="n">
        <v>2031</v>
      </c>
      <c r="B2067" s="3" t="inlineStr">
        <is>
          <t>MNE</t>
        </is>
      </c>
      <c r="C2067" s="3" t="inlineStr">
        <is>
          <t>IMF.RES:WEO</t>
        </is>
      </c>
      <c r="D2067" s="3" t="inlineStr">
        <is>
          <t>MNE.GGR_NGDP.A</t>
        </is>
      </c>
      <c r="E2067" s="3" t="inlineStr">
        <is>
          <t>Montenegro</t>
        </is>
      </c>
      <c r="F2067" s="3" t="inlineStr">
        <is>
          <t>Revenue, General government, Percent of GDP</t>
        </is>
      </c>
      <c r="G2067" s="3" t="n"/>
      <c r="H2067" s="3" t="n"/>
      <c r="I2067" s="3" t="n">
        <v>36.066941</v>
      </c>
      <c r="J2067" s="3" t="n">
        <v>39.238924</v>
      </c>
      <c r="K2067" s="3" t="n">
        <v>37.505048</v>
      </c>
      <c r="L2067" s="3" t="n">
        <v>36.812519</v>
      </c>
      <c r="M2067" s="3" t="n">
        <v>46.92613</v>
      </c>
      <c r="N2067" s="3" t="n">
        <v>52.329132</v>
      </c>
      <c r="O2067" s="3" t="n">
        <v>48.854278</v>
      </c>
      <c r="P2067" s="3" t="n">
        <v>44.806357</v>
      </c>
      <c r="Q2067" s="3" t="n">
        <v>41.838138</v>
      </c>
      <c r="R2067" s="3" t="n">
        <v>38.864055</v>
      </c>
      <c r="S2067" s="3" t="n">
        <v>40.017654</v>
      </c>
      <c r="T2067" s="3" t="n">
        <v>41.744634</v>
      </c>
      <c r="U2067" s="3" t="n">
        <v>43.6459</v>
      </c>
      <c r="V2067" s="3" t="n">
        <v>40.861698</v>
      </c>
      <c r="W2067" s="3" t="n">
        <v>41.522358</v>
      </c>
      <c r="X2067" s="3" t="n">
        <v>40.722714</v>
      </c>
      <c r="Y2067" s="3" t="n">
        <v>41.526677</v>
      </c>
      <c r="Z2067" s="3" t="n">
        <v>42.708256</v>
      </c>
      <c r="AA2067" s="3" t="n">
        <v>44.026431</v>
      </c>
      <c r="AB2067" s="3" t="n">
        <v>43.729121</v>
      </c>
      <c r="AC2067" s="3" t="n">
        <v>38.104517</v>
      </c>
      <c r="AD2067" s="3" t="n">
        <v>40.737733</v>
      </c>
      <c r="AE2067" s="3" t="n">
        <v>40.66418</v>
      </c>
      <c r="AF2067" s="3" t="n">
        <v>40.270459</v>
      </c>
      <c r="AG2067" s="3" t="n">
        <v>40.64717</v>
      </c>
      <c r="AH2067" s="3" t="n">
        <v>40.701597</v>
      </c>
      <c r="AI2067" s="3" t="n">
        <v>40.804685</v>
      </c>
      <c r="AJ2067" s="3" t="n">
        <v>40.804685</v>
      </c>
      <c r="AK2067" s="3" t="n">
        <v>40.804685</v>
      </c>
      <c r="AL2067" s="3" t="n">
        <v>40.804685</v>
      </c>
      <c r="AM2067" s="3" t="n"/>
      <c r="AN2067" s="3" t="n"/>
      <c r="AO2067" s="3" t="n"/>
      <c r="AP2067" s="3" t="n"/>
      <c r="AQ2067" s="3" t="n"/>
      <c r="AR2067" s="3" t="n"/>
      <c r="AS2067" s="3" t="n"/>
      <c r="AT2067" s="3" t="n"/>
      <c r="AU2067" s="3" t="n"/>
    </row>
    <row r="2068">
      <c r="A2068" s="3" t="n">
        <v>2031</v>
      </c>
      <c r="B2068" s="3" t="inlineStr">
        <is>
          <t>MNE</t>
        </is>
      </c>
      <c r="C2068" s="3" t="inlineStr">
        <is>
          <t>IMF.RES:WEO</t>
        </is>
      </c>
      <c r="D2068" s="3" t="inlineStr">
        <is>
          <t>MNE.GGX_NGDP.A</t>
        </is>
      </c>
      <c r="E2068" s="3" t="inlineStr">
        <is>
          <t>Montenegro</t>
        </is>
      </c>
      <c r="F2068" s="3" t="inlineStr">
        <is>
          <t>Expenditure, General government, Percent of GDP</t>
        </is>
      </c>
      <c r="G2068" s="3" t="n"/>
      <c r="H2068" s="3" t="n"/>
      <c r="I2068" s="3" t="n">
        <v>37.5084</v>
      </c>
      <c r="J2068" s="3" t="n">
        <v>43.295027</v>
      </c>
      <c r="K2068" s="3" t="n">
        <v>39.958767</v>
      </c>
      <c r="L2068" s="3" t="n">
        <v>38.229053</v>
      </c>
      <c r="M2068" s="3" t="n">
        <v>42.588349</v>
      </c>
      <c r="N2068" s="3" t="n">
        <v>43.891645</v>
      </c>
      <c r="O2068" s="3" t="n">
        <v>51.152346</v>
      </c>
      <c r="P2068" s="3" t="n">
        <v>51.545758</v>
      </c>
      <c r="Q2068" s="3" t="n">
        <v>46.714722</v>
      </c>
      <c r="R2068" s="3" t="n">
        <v>45.65371</v>
      </c>
      <c r="S2068" s="3" t="n">
        <v>45.883349</v>
      </c>
      <c r="T2068" s="3" t="n">
        <v>46.279764</v>
      </c>
      <c r="U2068" s="3" t="n">
        <v>44.346194</v>
      </c>
      <c r="V2068" s="3" t="n">
        <v>46.887445</v>
      </c>
      <c r="W2068" s="3" t="n">
        <v>47.727999</v>
      </c>
      <c r="X2068" s="3" t="n">
        <v>47.609334</v>
      </c>
      <c r="Y2068" s="3" t="n">
        <v>47.823894</v>
      </c>
      <c r="Z2068" s="3" t="n">
        <v>44.44422</v>
      </c>
      <c r="AA2068" s="3" t="n">
        <v>54.945564</v>
      </c>
      <c r="AB2068" s="3" t="n">
        <v>45.10138</v>
      </c>
      <c r="AC2068" s="3" t="n">
        <v>42.151004</v>
      </c>
      <c r="AD2068" s="3" t="n">
        <v>40.359734</v>
      </c>
      <c r="AE2068" s="3" t="n">
        <v>44.106437</v>
      </c>
      <c r="AF2068" s="3" t="n">
        <v>43.882848</v>
      </c>
      <c r="AG2068" s="3" t="n">
        <v>44.604679</v>
      </c>
      <c r="AH2068" s="3" t="n">
        <v>44.700536</v>
      </c>
      <c r="AI2068" s="3" t="n">
        <v>44.601537</v>
      </c>
      <c r="AJ2068" s="3" t="n">
        <v>44.698024</v>
      </c>
      <c r="AK2068" s="3" t="n">
        <v>44.845665</v>
      </c>
      <c r="AL2068" s="3" t="n">
        <v>45.135499</v>
      </c>
      <c r="AM2068" s="3" t="n"/>
      <c r="AN2068" s="3" t="n"/>
      <c r="AO2068" s="3" t="n"/>
      <c r="AP2068" s="3" t="n"/>
      <c r="AQ2068" s="3" t="n"/>
      <c r="AR2068" s="3" t="n"/>
      <c r="AS2068" s="3" t="n"/>
      <c r="AT2068" s="3" t="n"/>
      <c r="AU2068" s="3" t="n"/>
    </row>
    <row r="2069">
      <c r="A2069" s="3" t="n">
        <v>2031</v>
      </c>
      <c r="B2069" s="3" t="inlineStr">
        <is>
          <t>MNE</t>
        </is>
      </c>
      <c r="C2069" s="3" t="inlineStr">
        <is>
          <t>IMF.RES:WEO</t>
        </is>
      </c>
      <c r="D2069" s="3" t="inlineStr">
        <is>
          <t>MNE.LP.A</t>
        </is>
      </c>
      <c r="E2069" s="3" t="inlineStr">
        <is>
          <t>Montenegro</t>
        </is>
      </c>
      <c r="F2069" s="3" t="inlineStr">
        <is>
          <t>Population, Persons for countries / Index for country groups</t>
        </is>
      </c>
      <c r="G2069" s="3" t="n">
        <v>0.60495</v>
      </c>
      <c r="H2069" s="3" t="n">
        <v>0.607389</v>
      </c>
      <c r="I2069" s="3" t="n">
        <v>0.609828</v>
      </c>
      <c r="J2069" s="3" t="n">
        <v>0.612267</v>
      </c>
      <c r="K2069" s="3" t="n">
        <v>0.613353</v>
      </c>
      <c r="L2069" s="3" t="n">
        <v>0.6142609999999999</v>
      </c>
      <c r="M2069" s="3" t="n">
        <v>0.615025</v>
      </c>
      <c r="N2069" s="3" t="n">
        <v>0.6158</v>
      </c>
      <c r="O2069" s="3" t="n">
        <v>0.616969</v>
      </c>
      <c r="P2069" s="3" t="n">
        <v>0.618294</v>
      </c>
      <c r="Q2069" s="3" t="n">
        <v>0.619428</v>
      </c>
      <c r="R2069" s="3" t="n">
        <v>0.620345</v>
      </c>
      <c r="S2069" s="3" t="n">
        <v>0.621418</v>
      </c>
      <c r="T2069" s="3" t="n">
        <v>0.622587</v>
      </c>
      <c r="U2069" s="3" t="n">
        <v>0.623744</v>
      </c>
      <c r="V2069" s="3" t="n">
        <v>0.624651</v>
      </c>
      <c r="W2069" s="3" t="n">
        <v>0.625353</v>
      </c>
      <c r="X2069" s="3" t="n">
        <v>0.625982</v>
      </c>
      <c r="Y2069" s="3" t="n">
        <v>0.6264380000000001</v>
      </c>
      <c r="Z2069" s="3" t="n">
        <v>0.626753</v>
      </c>
      <c r="AA2069" s="3" t="n">
        <v>0.62659</v>
      </c>
      <c r="AB2069" s="3" t="n">
        <v>0.625053</v>
      </c>
      <c r="AC2069" s="3" t="n">
        <v>0.623591</v>
      </c>
      <c r="AD2069" s="3" t="n">
        <v>0.623529</v>
      </c>
      <c r="AE2069" s="3" t="n">
        <v>0.623841</v>
      </c>
      <c r="AF2069" s="3" t="n">
        <v>0.624153</v>
      </c>
      <c r="AG2069" s="3" t="n">
        <v>0.624465</v>
      </c>
      <c r="AH2069" s="3" t="n">
        <v>0.624777</v>
      </c>
      <c r="AI2069" s="3" t="n">
        <v>0.625089</v>
      </c>
      <c r="AJ2069" s="3" t="n">
        <v>0.625402</v>
      </c>
      <c r="AK2069" s="3" t="n">
        <v>0.625715</v>
      </c>
      <c r="AL2069" s="3" t="n">
        <v>0.626027</v>
      </c>
      <c r="AM2069" s="3" t="n"/>
      <c r="AN2069" s="3" t="n"/>
      <c r="AO2069" s="3" t="n"/>
      <c r="AP2069" s="3" t="n"/>
      <c r="AQ2069" s="3" t="n"/>
      <c r="AR2069" s="3" t="n"/>
      <c r="AS2069" s="3" t="n"/>
      <c r="AT2069" s="3" t="n"/>
      <c r="AU2069" s="3" t="n"/>
    </row>
    <row r="2070">
      <c r="A2070" s="3" t="n">
        <v>2031</v>
      </c>
      <c r="B2070" s="3" t="inlineStr">
        <is>
          <t>MNE</t>
        </is>
      </c>
      <c r="C2070" s="3" t="inlineStr">
        <is>
          <t>IMF.RES:WEO</t>
        </is>
      </c>
      <c r="D2070" s="3" t="inlineStr">
        <is>
          <t>MNE.NGDP.A</t>
        </is>
      </c>
      <c r="E2070" s="3" t="inlineStr">
        <is>
          <t>Montenegro</t>
        </is>
      </c>
      <c r="F2070" s="3" t="inlineStr">
        <is>
          <t>Gross domestic product (GDP), Current prices, Domestic currency</t>
        </is>
      </c>
      <c r="G2070" s="3" t="n">
        <v>1.043774</v>
      </c>
      <c r="H2070" s="3" t="n">
        <v>1.282294</v>
      </c>
      <c r="I2070" s="3" t="n">
        <v>1.340942</v>
      </c>
      <c r="J2070" s="3" t="n">
        <v>1.484364</v>
      </c>
      <c r="K2070" s="3" t="n">
        <v>1.664772</v>
      </c>
      <c r="L2070" s="3" t="n">
        <v>1.8132</v>
      </c>
      <c r="M2070" s="3" t="n">
        <v>2.166281</v>
      </c>
      <c r="N2070" s="3" t="n">
        <v>2.687082</v>
      </c>
      <c r="O2070" s="3" t="n">
        <v>3.100046</v>
      </c>
      <c r="P2070" s="3" t="n">
        <v>2.981872</v>
      </c>
      <c r="Q2070" s="3" t="n">
        <v>3.120528</v>
      </c>
      <c r="R2070" s="3" t="n">
        <v>3.237983</v>
      </c>
      <c r="S2070" s="3" t="n">
        <v>3.16926</v>
      </c>
      <c r="T2070" s="3" t="n">
        <v>3.329596</v>
      </c>
      <c r="U2070" s="3" t="n">
        <v>3.447221</v>
      </c>
      <c r="V2070" s="3" t="n">
        <v>3.614995</v>
      </c>
      <c r="W2070" s="3" t="n">
        <v>3.936629</v>
      </c>
      <c r="X2070" s="3" t="n">
        <v>4.252496</v>
      </c>
      <c r="Y2070" s="3" t="n">
        <v>4.600913</v>
      </c>
      <c r="Z2070" s="3" t="n">
        <v>4.89839</v>
      </c>
      <c r="AA2070" s="3" t="n">
        <v>4.144816</v>
      </c>
      <c r="AB2070" s="3" t="n">
        <v>4.923235</v>
      </c>
      <c r="AC2070" s="3" t="n">
        <v>5.944381</v>
      </c>
      <c r="AD2070" s="3" t="n">
        <v>7.068843</v>
      </c>
      <c r="AE2070" s="3" t="n">
        <v>7.64453</v>
      </c>
      <c r="AF2070" s="3" t="n">
        <v>8.170743999999999</v>
      </c>
      <c r="AG2070" s="3" t="n">
        <v>8.672618</v>
      </c>
      <c r="AH2070" s="3" t="n">
        <v>9.18662</v>
      </c>
      <c r="AI2070" s="3" t="n">
        <v>9.700462999999999</v>
      </c>
      <c r="AJ2070" s="3" t="n">
        <v>10.227818</v>
      </c>
      <c r="AK2070" s="3" t="n">
        <v>10.762987</v>
      </c>
      <c r="AL2070" s="3" t="n">
        <v>11.328385</v>
      </c>
      <c r="AM2070" s="3" t="n"/>
      <c r="AN2070" s="3" t="n"/>
      <c r="AO2070" s="3" t="n"/>
      <c r="AP2070" s="3" t="n"/>
      <c r="AQ2070" s="3" t="n"/>
      <c r="AR2070" s="3" t="n"/>
      <c r="AS2070" s="3" t="n"/>
      <c r="AT2070" s="3" t="n"/>
      <c r="AU2070" s="3" t="n"/>
    </row>
    <row r="2071">
      <c r="A2071" s="3" t="n">
        <v>2031</v>
      </c>
      <c r="B2071" s="3" t="inlineStr">
        <is>
          <t>MNE</t>
        </is>
      </c>
      <c r="C2071" s="3" t="inlineStr">
        <is>
          <t>IMF.RES:WEO</t>
        </is>
      </c>
      <c r="D2071" s="3" t="inlineStr">
        <is>
          <t>MNE.NGDP_D.A</t>
        </is>
      </c>
      <c r="E2071" s="3" t="inlineStr">
        <is>
          <t>Montenegro</t>
        </is>
      </c>
      <c r="F2071" s="3" t="inlineStr">
        <is>
          <t>Gross domestic product (GDP), Price deflator, Index</t>
        </is>
      </c>
      <c r="G2071" s="3" t="n">
        <v>60.237779</v>
      </c>
      <c r="H2071" s="3" t="n">
        <v>73.197952</v>
      </c>
      <c r="I2071" s="3" t="n">
        <v>75.118538</v>
      </c>
      <c r="J2071" s="3" t="n">
        <v>81.124808</v>
      </c>
      <c r="K2071" s="3" t="n">
        <v>87.15002800000001</v>
      </c>
      <c r="L2071" s="3" t="n">
        <v>91.094207</v>
      </c>
      <c r="M2071" s="3" t="n">
        <v>100.214374</v>
      </c>
      <c r="N2071" s="3" t="n">
        <v>116.066443</v>
      </c>
      <c r="O2071" s="3" t="n">
        <v>125.26109</v>
      </c>
      <c r="P2071" s="3" t="n">
        <v>128.176731</v>
      </c>
      <c r="Q2071" s="3" t="n">
        <v>130.48337</v>
      </c>
      <c r="R2071" s="3" t="n">
        <v>130.942644</v>
      </c>
      <c r="S2071" s="3" t="n">
        <v>131.432667</v>
      </c>
      <c r="T2071" s="3" t="n">
        <v>133.559489</v>
      </c>
      <c r="U2071" s="3" t="n">
        <v>135.076028</v>
      </c>
      <c r="V2071" s="3" t="n">
        <v>138.164144</v>
      </c>
      <c r="W2071" s="3" t="n">
        <v>145.454243</v>
      </c>
      <c r="X2071" s="3" t="n">
        <v>152.228479</v>
      </c>
      <c r="Y2071" s="3" t="n">
        <v>157.258029</v>
      </c>
      <c r="Z2071" s="3" t="n">
        <v>160.378781</v>
      </c>
      <c r="AA2071" s="3" t="n">
        <v>159.640206</v>
      </c>
      <c r="AB2071" s="3" t="n">
        <v>167.73799</v>
      </c>
      <c r="AC2071" s="3" t="n">
        <v>187.980312</v>
      </c>
      <c r="AD2071" s="3" t="n">
        <v>209.938814</v>
      </c>
      <c r="AE2071" s="3" t="n">
        <v>220.072894</v>
      </c>
      <c r="AF2071" s="3" t="n">
        <v>229.037675</v>
      </c>
      <c r="AG2071" s="3" t="n">
        <v>236.484352</v>
      </c>
      <c r="AH2071" s="3" t="n">
        <v>243.914442</v>
      </c>
      <c r="AI2071" s="3" t="n">
        <v>249.571246</v>
      </c>
      <c r="AJ2071" s="3" t="n">
        <v>255.46226</v>
      </c>
      <c r="AK2071" s="3" t="n">
        <v>261.024657</v>
      </c>
      <c r="AL2071" s="3" t="n">
        <v>266.734675</v>
      </c>
      <c r="AM2071" s="3" t="n"/>
      <c r="AN2071" s="3" t="n"/>
      <c r="AO2071" s="3" t="n"/>
      <c r="AP2071" s="3" t="n"/>
      <c r="AQ2071" s="3" t="n"/>
      <c r="AR2071" s="3" t="n"/>
      <c r="AS2071" s="3" t="n"/>
      <c r="AT2071" s="3" t="n"/>
      <c r="AU2071" s="3" t="n"/>
    </row>
    <row r="2072">
      <c r="A2072" s="3" t="n">
        <v>2031</v>
      </c>
      <c r="B2072" s="3" t="inlineStr">
        <is>
          <t>MNE</t>
        </is>
      </c>
      <c r="C2072" s="3" t="inlineStr">
        <is>
          <t>IMF.RES:WEO</t>
        </is>
      </c>
      <c r="D2072" s="3" t="inlineStr">
        <is>
          <t>MNE.NGDP_R.A</t>
        </is>
      </c>
      <c r="E2072" s="3" t="inlineStr">
        <is>
          <t>Montenegro</t>
        </is>
      </c>
      <c r="F2072" s="3" t="inlineStr">
        <is>
          <t>Gross domestic product (GDP), Constant prices, Domestic currency</t>
        </is>
      </c>
      <c r="G2072" s="3" t="n">
        <v>1.732756</v>
      </c>
      <c r="H2072" s="3" t="n">
        <v>1.751817</v>
      </c>
      <c r="I2072" s="3" t="n">
        <v>1.785101</v>
      </c>
      <c r="J2072" s="3" t="n">
        <v>1.829729</v>
      </c>
      <c r="K2072" s="3" t="n">
        <v>1.910237</v>
      </c>
      <c r="L2072" s="3" t="n">
        <v>1.990467</v>
      </c>
      <c r="M2072" s="3" t="n">
        <v>2.161647</v>
      </c>
      <c r="N2072" s="3" t="n">
        <v>2.315124</v>
      </c>
      <c r="O2072" s="3" t="n">
        <v>2.474867</v>
      </c>
      <c r="P2072" s="3" t="n">
        <v>2.326375</v>
      </c>
      <c r="Q2072" s="3" t="n">
        <v>2.391514</v>
      </c>
      <c r="R2072" s="3" t="n">
        <v>2.472825</v>
      </c>
      <c r="S2072" s="3" t="n">
        <v>2.411318</v>
      </c>
      <c r="T2072" s="3" t="n">
        <v>2.492969</v>
      </c>
      <c r="U2072" s="3" t="n">
        <v>2.55206</v>
      </c>
      <c r="V2072" s="3" t="n">
        <v>2.616449</v>
      </c>
      <c r="W2072" s="3" t="n">
        <v>2.706438</v>
      </c>
      <c r="X2072" s="3" t="n">
        <v>2.793496</v>
      </c>
      <c r="Y2072" s="3" t="n">
        <v>2.925709</v>
      </c>
      <c r="Z2072" s="3" t="n">
        <v>3.054263</v>
      </c>
      <c r="AA2072" s="3" t="n">
        <v>2.596348</v>
      </c>
      <c r="AB2072" s="3" t="n">
        <v>2.935075</v>
      </c>
      <c r="AC2072" s="3" t="n">
        <v>3.162236</v>
      </c>
      <c r="AD2072" s="3" t="n">
        <v>3.367097</v>
      </c>
      <c r="AE2072" s="3" t="n">
        <v>3.473635</v>
      </c>
      <c r="AF2072" s="3" t="n">
        <v>3.567424</v>
      </c>
      <c r="AG2072" s="3" t="n">
        <v>3.667311</v>
      </c>
      <c r="AH2072" s="3" t="n">
        <v>3.766329</v>
      </c>
      <c r="AI2072" s="3" t="n">
        <v>3.886851</v>
      </c>
      <c r="AJ2072" s="3" t="n">
        <v>4.003651</v>
      </c>
      <c r="AK2072" s="3" t="n">
        <v>4.12336</v>
      </c>
      <c r="AL2072" s="3" t="n">
        <v>4.247061</v>
      </c>
      <c r="AM2072" s="3" t="n"/>
      <c r="AN2072" s="3" t="n"/>
      <c r="AO2072" s="3" t="n"/>
      <c r="AP2072" s="3" t="n"/>
      <c r="AQ2072" s="3" t="n"/>
      <c r="AR2072" s="3" t="n"/>
      <c r="AS2072" s="3" t="n"/>
      <c r="AT2072" s="3" t="n"/>
      <c r="AU2072" s="3" t="n"/>
    </row>
    <row r="2073">
      <c r="A2073" s="3" t="n">
        <v>2031</v>
      </c>
      <c r="B2073" s="3" t="inlineStr">
        <is>
          <t>MNE</t>
        </is>
      </c>
      <c r="C2073" s="3" t="inlineStr">
        <is>
          <t>IMF.RES:WEO</t>
        </is>
      </c>
      <c r="D2073" s="3" t="inlineStr">
        <is>
          <t>MNE.NGDP_RPCH.A</t>
        </is>
      </c>
      <c r="E2073" s="3" t="inlineStr">
        <is>
          <t>Montenegro</t>
        </is>
      </c>
      <c r="F2073" s="3" t="inlineStr">
        <is>
          <t>Gross domestic product (GDP), Constant prices, Percent change</t>
        </is>
      </c>
      <c r="G2073" s="3" t="n"/>
      <c r="H2073" s="3" t="n">
        <v>1.1</v>
      </c>
      <c r="I2073" s="3" t="n">
        <v>1.9</v>
      </c>
      <c r="J2073" s="3" t="n">
        <v>2.5</v>
      </c>
      <c r="K2073" s="3" t="n">
        <v>4.4</v>
      </c>
      <c r="L2073" s="3" t="n">
        <v>4.2</v>
      </c>
      <c r="M2073" s="3" t="n">
        <v>8.6</v>
      </c>
      <c r="N2073" s="3" t="n">
        <v>7.1</v>
      </c>
      <c r="O2073" s="3" t="n">
        <v>6.9</v>
      </c>
      <c r="P2073" s="3" t="n">
        <v>-6</v>
      </c>
      <c r="Q2073" s="3" t="n">
        <v>2.8</v>
      </c>
      <c r="R2073" s="3" t="n">
        <v>3.4</v>
      </c>
      <c r="S2073" s="3" t="n">
        <v>-2.48732</v>
      </c>
      <c r="T2073" s="3" t="n">
        <v>3.386122</v>
      </c>
      <c r="U2073" s="3" t="n">
        <v>2.370318</v>
      </c>
      <c r="V2073" s="3" t="n">
        <v>2.523047</v>
      </c>
      <c r="W2073" s="3" t="n">
        <v>3.439341</v>
      </c>
      <c r="X2073" s="3" t="n">
        <v>3.216686</v>
      </c>
      <c r="Y2073" s="3" t="n">
        <v>4.732915</v>
      </c>
      <c r="Z2073" s="3" t="n">
        <v>4.393932</v>
      </c>
      <c r="AA2073" s="3" t="n">
        <v>-14.99264</v>
      </c>
      <c r="AB2073" s="3" t="n">
        <v>13.046249</v>
      </c>
      <c r="AC2073" s="3" t="n">
        <v>7.739545</v>
      </c>
      <c r="AD2073" s="3" t="n">
        <v>6.478353</v>
      </c>
      <c r="AE2073" s="3" t="n">
        <v>3.16411</v>
      </c>
      <c r="AF2073" s="3" t="n">
        <v>2.7</v>
      </c>
      <c r="AG2073" s="3" t="n">
        <v>2.8</v>
      </c>
      <c r="AH2073" s="3" t="n">
        <v>2.7</v>
      </c>
      <c r="AI2073" s="3" t="n">
        <v>3.2</v>
      </c>
      <c r="AJ2073" s="3" t="n">
        <v>3.005</v>
      </c>
      <c r="AK2073" s="3" t="n">
        <v>2.99</v>
      </c>
      <c r="AL2073" s="3" t="n">
        <v>3</v>
      </c>
      <c r="AM2073" s="3" t="n"/>
      <c r="AN2073" s="3" t="n"/>
      <c r="AO2073" s="3" t="n"/>
      <c r="AP2073" s="3" t="n"/>
      <c r="AQ2073" s="3" t="n"/>
      <c r="AR2073" s="3" t="n"/>
      <c r="AS2073" s="3" t="n"/>
      <c r="AT2073" s="3" t="n"/>
      <c r="AU2073" s="3" t="n"/>
    </row>
    <row r="2074">
      <c r="A2074" s="3" t="n">
        <v>2031</v>
      </c>
      <c r="B2074" s="3" t="inlineStr">
        <is>
          <t>MNE</t>
        </is>
      </c>
      <c r="C2074" s="3" t="inlineStr">
        <is>
          <t>IMF.RES:WEO</t>
        </is>
      </c>
      <c r="D2074" s="3" t="inlineStr">
        <is>
          <t>MNE.NGDPD.A</t>
        </is>
      </c>
      <c r="E2074" s="3" t="inlineStr">
        <is>
          <t>Montenegro</t>
        </is>
      </c>
      <c r="F2074" s="3" t="inlineStr">
        <is>
          <t>Gross domestic product (GDP), Current prices, US dollar</t>
        </is>
      </c>
      <c r="G2074" s="3" t="n">
        <v>0.96447</v>
      </c>
      <c r="H2074" s="3" t="n">
        <v>1.148468</v>
      </c>
      <c r="I2074" s="3" t="n">
        <v>1.267064</v>
      </c>
      <c r="J2074" s="3" t="n">
        <v>1.678633</v>
      </c>
      <c r="K2074" s="3" t="n">
        <v>2.069874</v>
      </c>
      <c r="L2074" s="3" t="n">
        <v>2.257031</v>
      </c>
      <c r="M2074" s="3" t="n">
        <v>2.720124</v>
      </c>
      <c r="N2074" s="3" t="n">
        <v>3.683021</v>
      </c>
      <c r="O2074" s="3" t="n">
        <v>4.55891</v>
      </c>
      <c r="P2074" s="3" t="n">
        <v>4.154547</v>
      </c>
      <c r="Q2074" s="3" t="n">
        <v>4.140315</v>
      </c>
      <c r="R2074" s="3" t="n">
        <v>4.506334</v>
      </c>
      <c r="S2074" s="3" t="n">
        <v>4.074408</v>
      </c>
      <c r="T2074" s="3" t="n">
        <v>4.422161</v>
      </c>
      <c r="U2074" s="3" t="n">
        <v>4.580816</v>
      </c>
      <c r="V2074" s="3" t="n">
        <v>4.01129</v>
      </c>
      <c r="W2074" s="3" t="n">
        <v>4.356264</v>
      </c>
      <c r="X2074" s="3" t="n">
        <v>4.802269</v>
      </c>
      <c r="Y2074" s="3" t="n">
        <v>5.435933</v>
      </c>
      <c r="Z2074" s="3" t="n">
        <v>5.484228</v>
      </c>
      <c r="AA2074" s="3" t="n">
        <v>4.730403</v>
      </c>
      <c r="AB2074" s="3" t="n">
        <v>5.82678</v>
      </c>
      <c r="AC2074" s="3" t="n">
        <v>6.264647</v>
      </c>
      <c r="AD2074" s="3" t="n">
        <v>7.645523</v>
      </c>
      <c r="AE2074" s="3" t="n">
        <v>8.271799</v>
      </c>
      <c r="AF2074" s="3" t="n">
        <v>9.227568</v>
      </c>
      <c r="AG2074" s="3" t="n">
        <v>10.226914</v>
      </c>
      <c r="AH2074" s="3" t="n">
        <v>10.808098</v>
      </c>
      <c r="AI2074" s="3" t="n">
        <v>11.381784</v>
      </c>
      <c r="AJ2074" s="3" t="n">
        <v>11.99418</v>
      </c>
      <c r="AK2074" s="3" t="n">
        <v>12.6198</v>
      </c>
      <c r="AL2074" s="3" t="n">
        <v>13.280551</v>
      </c>
      <c r="AM2074" s="3" t="n"/>
      <c r="AN2074" s="3" t="n"/>
      <c r="AO2074" s="3" t="n"/>
      <c r="AP2074" s="3" t="n"/>
      <c r="AQ2074" s="3" t="n"/>
      <c r="AR2074" s="3" t="n"/>
      <c r="AS2074" s="3" t="n"/>
      <c r="AT2074" s="3" t="n"/>
      <c r="AU2074" s="3" t="n"/>
    </row>
    <row r="2075">
      <c r="A2075" s="3" t="n">
        <v>2031</v>
      </c>
      <c r="B2075" s="3" t="inlineStr">
        <is>
          <t>MNE</t>
        </is>
      </c>
      <c r="C2075" s="3" t="inlineStr">
        <is>
          <t>IMF.RES:WEO</t>
        </is>
      </c>
      <c r="D2075" s="3" t="inlineStr">
        <is>
          <t>MNE.NGDPPC.A</t>
        </is>
      </c>
      <c r="E2075" s="3" t="inlineStr">
        <is>
          <t>Montenegro</t>
        </is>
      </c>
      <c r="F2075" s="3" t="inlineStr">
        <is>
          <t>Gross domestic product (GDP), Current prices, Per capita, Domestic currency</t>
        </is>
      </c>
      <c r="G2075" s="3" t="n">
        <v>1725.388875</v>
      </c>
      <c r="H2075" s="3" t="n">
        <v>2111.157759</v>
      </c>
      <c r="I2075" s="3" t="n">
        <v>2198.885587</v>
      </c>
      <c r="J2075" s="3" t="n">
        <v>2424.37368</v>
      </c>
      <c r="K2075" s="3" t="n">
        <v>2714.215142</v>
      </c>
      <c r="L2075" s="3" t="n">
        <v>2951.83969</v>
      </c>
      <c r="M2075" s="3" t="n">
        <v>3522.264949</v>
      </c>
      <c r="N2075" s="3" t="n">
        <v>4363.562845</v>
      </c>
      <c r="O2075" s="3" t="n">
        <v>5024.638191</v>
      </c>
      <c r="P2075" s="3" t="n">
        <v>4822.741285</v>
      </c>
      <c r="Q2075" s="3" t="n">
        <v>5037.757415</v>
      </c>
      <c r="R2075" s="3" t="n">
        <v>5219.648744</v>
      </c>
      <c r="S2075" s="3" t="n">
        <v>5100.04538</v>
      </c>
      <c r="T2075" s="3" t="n">
        <v>5348.001163</v>
      </c>
      <c r="U2075" s="3" t="n">
        <v>5526.659976</v>
      </c>
      <c r="V2075" s="3" t="n">
        <v>5787.223586</v>
      </c>
      <c r="W2075" s="3" t="n">
        <v>6295.050955</v>
      </c>
      <c r="X2075" s="3" t="n">
        <v>6793.319936</v>
      </c>
      <c r="Y2075" s="3" t="n">
        <v>7344.562431</v>
      </c>
      <c r="Z2075" s="3" t="n">
        <v>7815.503077</v>
      </c>
      <c r="AA2075" s="3" t="n">
        <v>6614.877352</v>
      </c>
      <c r="AB2075" s="3" t="n">
        <v>7876.508072</v>
      </c>
      <c r="AC2075" s="3" t="n">
        <v>9532.499667</v>
      </c>
      <c r="AD2075" s="3" t="n">
        <v>11336.831166</v>
      </c>
      <c r="AE2075" s="3" t="n">
        <v>12253.976391</v>
      </c>
      <c r="AF2075" s="3" t="n">
        <v>13090.937839</v>
      </c>
      <c r="AG2075" s="3" t="n">
        <v>13888.081822</v>
      </c>
      <c r="AH2075" s="3" t="n">
        <v>14703.838435</v>
      </c>
      <c r="AI2075" s="3" t="n">
        <v>15518.522098</v>
      </c>
      <c r="AJ2075" s="3" t="n">
        <v>16353.991768</v>
      </c>
      <c r="AK2075" s="3" t="n">
        <v>17201.112033</v>
      </c>
      <c r="AL2075" s="3" t="n">
        <v>18095.667135</v>
      </c>
      <c r="AM2075" s="3" t="n"/>
      <c r="AN2075" s="3" t="n"/>
      <c r="AO2075" s="3" t="n"/>
      <c r="AP2075" s="3" t="n"/>
      <c r="AQ2075" s="3" t="n"/>
      <c r="AR2075" s="3" t="n"/>
      <c r="AS2075" s="3" t="n"/>
      <c r="AT2075" s="3" t="n"/>
      <c r="AU2075" s="3" t="n"/>
    </row>
    <row r="2076">
      <c r="A2076" s="3" t="n">
        <v>2031</v>
      </c>
      <c r="B2076" s="3" t="inlineStr">
        <is>
          <t>MNE</t>
        </is>
      </c>
      <c r="C2076" s="3" t="inlineStr">
        <is>
          <t>IMF.RES:WEO</t>
        </is>
      </c>
      <c r="D2076" s="3" t="inlineStr">
        <is>
          <t>MNE.NGDPRPC.A</t>
        </is>
      </c>
      <c r="E2076" s="3" t="inlineStr">
        <is>
          <t>Montenegro</t>
        </is>
      </c>
      <c r="F2076" s="3" t="inlineStr">
        <is>
          <t>Gross domestic product (GDP), Constant prices, Per capita, Domestic currency</t>
        </is>
      </c>
      <c r="G2076" s="3" t="n">
        <v>2864.296983</v>
      </c>
      <c r="H2076" s="3" t="n">
        <v>2884.176008</v>
      </c>
      <c r="I2076" s="3" t="n">
        <v>2927.220954</v>
      </c>
      <c r="J2076" s="3" t="n">
        <v>2988.44921</v>
      </c>
      <c r="K2076" s="3" t="n">
        <v>3114.416822</v>
      </c>
      <c r="L2076" s="3" t="n">
        <v>3240.425244</v>
      </c>
      <c r="M2076" s="3" t="n">
        <v>3514.730296</v>
      </c>
      <c r="N2076" s="3" t="n">
        <v>3759.538709</v>
      </c>
      <c r="O2076" s="3" t="n">
        <v>4011.331993</v>
      </c>
      <c r="P2076" s="3" t="n">
        <v>3762.571591</v>
      </c>
      <c r="Q2076" s="3" t="n">
        <v>3860.842506</v>
      </c>
      <c r="R2076" s="3" t="n">
        <v>3986.209973</v>
      </c>
      <c r="S2076" s="3" t="n">
        <v>3880.348403</v>
      </c>
      <c r="T2076" s="3" t="n">
        <v>4004.209077</v>
      </c>
      <c r="U2076" s="3" t="n">
        <v>4091.517976</v>
      </c>
      <c r="V2076" s="3" t="n">
        <v>4188.65807</v>
      </c>
      <c r="W2076" s="3" t="n">
        <v>4327.856534</v>
      </c>
      <c r="X2076" s="3" t="n">
        <v>4462.581489</v>
      </c>
      <c r="Y2076" s="3" t="n">
        <v>4670.389485</v>
      </c>
      <c r="Z2076" s="3" t="n">
        <v>4873.152803</v>
      </c>
      <c r="AA2076" s="3" t="n">
        <v>4143.616158</v>
      </c>
      <c r="AB2076" s="3" t="n">
        <v>4695.721038</v>
      </c>
      <c r="AC2076" s="3" t="n">
        <v>5071.009592</v>
      </c>
      <c r="AD2076" s="3" t="n">
        <v>5400.064403</v>
      </c>
      <c r="AE2076" s="3" t="n">
        <v>5568.144333</v>
      </c>
      <c r="AF2076" s="3" t="n">
        <v>5715.626417</v>
      </c>
      <c r="AG2076" s="3" t="n">
        <v>5872.727593</v>
      </c>
      <c r="AH2076" s="3" t="n">
        <v>6028.277099</v>
      </c>
      <c r="AI2076" s="3" t="n">
        <v>6218.07293</v>
      </c>
      <c r="AJ2076" s="3" t="n">
        <v>6401.725159</v>
      </c>
      <c r="AK2076" s="3" t="n">
        <v>6589.84182</v>
      </c>
      <c r="AL2076" s="3" t="n">
        <v>6784.145003</v>
      </c>
      <c r="AM2076" s="3" t="n"/>
      <c r="AN2076" s="3" t="n"/>
      <c r="AO2076" s="3" t="n"/>
      <c r="AP2076" s="3" t="n"/>
      <c r="AQ2076" s="3" t="n"/>
      <c r="AR2076" s="3" t="n"/>
      <c r="AS2076" s="3" t="n"/>
      <c r="AT2076" s="3" t="n"/>
      <c r="AU2076" s="3" t="n"/>
    </row>
    <row r="2077">
      <c r="A2077" s="3" t="n">
        <v>2031</v>
      </c>
      <c r="B2077" s="3" t="inlineStr">
        <is>
          <t>MNE</t>
        </is>
      </c>
      <c r="C2077" s="3" t="inlineStr">
        <is>
          <t>IMF.RES:WEO</t>
        </is>
      </c>
      <c r="D2077" s="3" t="inlineStr">
        <is>
          <t>MNE.PCPI.A</t>
        </is>
      </c>
      <c r="E2077" s="3" t="inlineStr">
        <is>
          <t>Montenegro</t>
        </is>
      </c>
      <c r="F2077" s="3" t="inlineStr">
        <is>
          <t>All Items, Consumer price index (CPI), Period average</t>
        </is>
      </c>
      <c r="G2077" s="3" t="n">
        <v>129.864265</v>
      </c>
      <c r="H2077" s="3" t="n">
        <v>160.680061</v>
      </c>
      <c r="I2077" s="3" t="n">
        <v>192.335721</v>
      </c>
      <c r="J2077" s="3" t="n">
        <v>206.764277</v>
      </c>
      <c r="K2077" s="3" t="n">
        <v>213.171827</v>
      </c>
      <c r="L2077" s="3" t="n">
        <v>220.517881</v>
      </c>
      <c r="M2077" s="3" t="n">
        <v>225.183203</v>
      </c>
      <c r="N2077" s="3" t="n">
        <v>232.76157</v>
      </c>
      <c r="O2077" s="3" t="n">
        <v>253.710112</v>
      </c>
      <c r="P2077" s="3" t="n">
        <v>262.718944</v>
      </c>
      <c r="Q2077" s="3" t="n">
        <v>263.72424</v>
      </c>
      <c r="R2077" s="3" t="n">
        <v>272.828024</v>
      </c>
      <c r="S2077" s="3" t="n">
        <v>284.140042</v>
      </c>
      <c r="T2077" s="3" t="n">
        <v>290.401181</v>
      </c>
      <c r="U2077" s="3" t="n">
        <v>288.339348</v>
      </c>
      <c r="V2077" s="3" t="n">
        <v>292.807059</v>
      </c>
      <c r="W2077" s="3" t="n">
        <v>292.009166</v>
      </c>
      <c r="X2077" s="3" t="n">
        <v>298.963276</v>
      </c>
      <c r="Y2077" s="3" t="n">
        <v>306.764079</v>
      </c>
      <c r="Z2077" s="3" t="n">
        <v>307.876737</v>
      </c>
      <c r="AA2077" s="3" t="n">
        <v>307.083724</v>
      </c>
      <c r="AB2077" s="3" t="n">
        <v>314.499001</v>
      </c>
      <c r="AC2077" s="3" t="n">
        <v>355.506288</v>
      </c>
      <c r="AD2077" s="3" t="n">
        <v>386.026289</v>
      </c>
      <c r="AE2077" s="3" t="n">
        <v>398.899932</v>
      </c>
      <c r="AF2077" s="3" t="n">
        <v>414.457618</v>
      </c>
      <c r="AG2077" s="3" t="n">
        <v>427.863353</v>
      </c>
      <c r="AH2077" s="3" t="n">
        <v>440.081895</v>
      </c>
      <c r="AI2077" s="3" t="n">
        <v>449.985718</v>
      </c>
      <c r="AJ2077" s="3" t="n">
        <v>459.922715</v>
      </c>
      <c r="AK2077" s="3" t="n">
        <v>470.123824</v>
      </c>
      <c r="AL2077" s="3" t="n">
        <v>480.551195</v>
      </c>
      <c r="AM2077" s="3" t="n"/>
      <c r="AN2077" s="3" t="n"/>
      <c r="AO2077" s="3" t="n"/>
      <c r="AP2077" s="3" t="n"/>
      <c r="AQ2077" s="3" t="n"/>
      <c r="AR2077" s="3" t="n"/>
      <c r="AS2077" s="3" t="n"/>
      <c r="AT2077" s="3" t="n"/>
      <c r="AU2077" s="3" t="n"/>
    </row>
    <row r="2078">
      <c r="A2078" s="3" t="n">
        <v>2031</v>
      </c>
      <c r="B2078" s="3" t="inlineStr">
        <is>
          <t>MNE</t>
        </is>
      </c>
      <c r="C2078" s="3" t="inlineStr">
        <is>
          <t>IMF.RES:WEO</t>
        </is>
      </c>
      <c r="D2078" s="3" t="inlineStr">
        <is>
          <t>MNE.PCPIPCH.A</t>
        </is>
      </c>
      <c r="E2078" s="3" t="inlineStr">
        <is>
          <t>Montenegro</t>
        </is>
      </c>
      <c r="F2078" s="3" t="inlineStr">
        <is>
          <t>All Items, Consumer price index (CPI), Period average, percent change</t>
        </is>
      </c>
      <c r="G2078" s="3" t="n">
        <v>29.864265</v>
      </c>
      <c r="H2078" s="3" t="n">
        <v>23.729234</v>
      </c>
      <c r="I2078" s="3" t="n">
        <v>19.701051</v>
      </c>
      <c r="J2078" s="3" t="n">
        <v>7.501756</v>
      </c>
      <c r="K2078" s="3" t="n">
        <v>3.098964</v>
      </c>
      <c r="L2078" s="3" t="n">
        <v>3.446072</v>
      </c>
      <c r="M2078" s="3" t="n">
        <v>2.115621</v>
      </c>
      <c r="N2078" s="3" t="n">
        <v>3.365423</v>
      </c>
      <c r="O2078" s="3" t="n">
        <v>9</v>
      </c>
      <c r="P2078" s="3" t="n">
        <v>3.550837</v>
      </c>
      <c r="Q2078" s="3" t="n">
        <v>0.382651</v>
      </c>
      <c r="R2078" s="3" t="n">
        <v>3.452009</v>
      </c>
      <c r="S2078" s="3" t="n">
        <v>4.146208</v>
      </c>
      <c r="T2078" s="3" t="n">
        <v>2.20354</v>
      </c>
      <c r="U2078" s="3" t="n">
        <v>-0.709995</v>
      </c>
      <c r="V2078" s="3" t="n">
        <v>1.549463</v>
      </c>
      <c r="W2078" s="3" t="n">
        <v>-0.272498</v>
      </c>
      <c r="X2078" s="3" t="n">
        <v>2.38147</v>
      </c>
      <c r="Y2078" s="3" t="n">
        <v>2.609285</v>
      </c>
      <c r="Z2078" s="3" t="n">
        <v>0.362708</v>
      </c>
      <c r="AA2078" s="3" t="n">
        <v>-0.257575</v>
      </c>
      <c r="AB2078" s="3" t="n">
        <v>2.414741</v>
      </c>
      <c r="AC2078" s="3" t="n">
        <v>13.038924</v>
      </c>
      <c r="AD2078" s="3" t="n">
        <v>8.58494</v>
      </c>
      <c r="AE2078" s="3" t="n">
        <v>3.334914</v>
      </c>
      <c r="AF2078" s="3" t="n">
        <v>3.900147</v>
      </c>
      <c r="AG2078" s="3" t="n">
        <v>3.234525</v>
      </c>
      <c r="AH2078" s="3" t="n">
        <v>2.855711</v>
      </c>
      <c r="AI2078" s="3" t="n">
        <v>2.25045</v>
      </c>
      <c r="AJ2078" s="3" t="n">
        <v>2.208292</v>
      </c>
      <c r="AK2078" s="3" t="n">
        <v>2.218005</v>
      </c>
      <c r="AL2078" s="3" t="n">
        <v>2.218005</v>
      </c>
      <c r="AM2078" s="3" t="n"/>
      <c r="AN2078" s="3" t="n"/>
      <c r="AO2078" s="3" t="n"/>
      <c r="AP2078" s="3" t="n"/>
      <c r="AQ2078" s="3" t="n"/>
      <c r="AR2078" s="3" t="n"/>
      <c r="AS2078" s="3" t="n"/>
      <c r="AT2078" s="3" t="n"/>
      <c r="AU2078" s="3" t="n"/>
    </row>
    <row r="2079">
      <c r="A2079" s="3" t="n">
        <v>2031</v>
      </c>
      <c r="B2079" s="3" t="inlineStr">
        <is>
          <t>MNE</t>
        </is>
      </c>
      <c r="C2079" s="3" t="inlineStr">
        <is>
          <t>IMF.RES:WEO</t>
        </is>
      </c>
      <c r="D2079" s="3" t="inlineStr">
        <is>
          <t>MNE.PPPPC.A</t>
        </is>
      </c>
      <c r="E2079" s="3" t="inlineStr">
        <is>
          <t>Montenegro</t>
        </is>
      </c>
      <c r="F2079" s="3" t="inlineStr">
        <is>
          <t>Gross domestic product (GDP), Per capita, purchasing power parity (PPP) international dollar, ICP benchmarks 2017-2021</t>
        </is>
      </c>
      <c r="G2079" s="3" t="n">
        <v>9035.065951</v>
      </c>
      <c r="H2079" s="3" t="n">
        <v>9302.619127</v>
      </c>
      <c r="I2079" s="3" t="n">
        <v>9588.179872999999</v>
      </c>
      <c r="J2079" s="3" t="n">
        <v>9981.985171</v>
      </c>
      <c r="K2079" s="3" t="n">
        <v>10682.458143</v>
      </c>
      <c r="L2079" s="3" t="n">
        <v>11463.203433</v>
      </c>
      <c r="M2079" s="3" t="n">
        <v>12817.011195</v>
      </c>
      <c r="N2079" s="3" t="n">
        <v>14081.177156</v>
      </c>
      <c r="O2079" s="3" t="n">
        <v>15313.68616</v>
      </c>
      <c r="P2079" s="3" t="n">
        <v>14452.605805</v>
      </c>
      <c r="Q2079" s="3" t="n">
        <v>15010.320246</v>
      </c>
      <c r="R2079" s="3" t="n">
        <v>15817.484955</v>
      </c>
      <c r="S2079" s="3" t="n">
        <v>15684.110355</v>
      </c>
      <c r="T2079" s="3" t="n">
        <v>16460.21216</v>
      </c>
      <c r="U2079" s="3" t="n">
        <v>17112.056274</v>
      </c>
      <c r="V2079" s="3" t="n">
        <v>17680.907082</v>
      </c>
      <c r="W2079" s="3" t="n">
        <v>18442.074552</v>
      </c>
      <c r="X2079" s="3" t="n">
        <v>19356.729772</v>
      </c>
      <c r="Y2079" s="3" t="n">
        <v>21083.625634</v>
      </c>
      <c r="Z2079" s="3" t="n">
        <v>23705.445893</v>
      </c>
      <c r="AA2079" s="3" t="n">
        <v>20624.823545</v>
      </c>
      <c r="AB2079" s="3" t="n">
        <v>24125.820628</v>
      </c>
      <c r="AC2079" s="3" t="n">
        <v>27907.057379</v>
      </c>
      <c r="AD2079" s="3" t="n">
        <v>30817.503137</v>
      </c>
      <c r="AE2079" s="3" t="n">
        <v>32565.585796</v>
      </c>
      <c r="AF2079" s="3" t="n">
        <v>34376.420903</v>
      </c>
      <c r="AG2079" s="3" t="n">
        <v>36333.202592</v>
      </c>
      <c r="AH2079" s="3" t="n">
        <v>38114.525056</v>
      </c>
      <c r="AI2079" s="3" t="n">
        <v>39959.837602</v>
      </c>
      <c r="AJ2079" s="3" t="n">
        <v>41871.575627</v>
      </c>
      <c r="AK2079" s="3" t="n">
        <v>43893.995284</v>
      </c>
      <c r="AL2079" s="3" t="n">
        <v>46004.004796</v>
      </c>
      <c r="AM2079" s="3" t="n"/>
      <c r="AN2079" s="3" t="n"/>
      <c r="AO2079" s="3" t="n"/>
      <c r="AP2079" s="3" t="n"/>
      <c r="AQ2079" s="3" t="n"/>
      <c r="AR2079" s="3" t="n"/>
      <c r="AS2079" s="3" t="n"/>
      <c r="AT2079" s="3" t="n"/>
      <c r="AU2079" s="3" t="n"/>
    </row>
    <row r="2080">
      <c r="A2080" s="3" t="n">
        <v>2025</v>
      </c>
      <c r="B2080" s="3" t="inlineStr">
        <is>
          <t>MNE</t>
        </is>
      </c>
      <c r="C2080" s="3" t="inlineStr">
        <is>
          <t>IMF.STA:ER</t>
        </is>
      </c>
      <c r="D2080" s="3" t="inlineStr">
        <is>
          <t>MNE.XDC_USD.PA_RT.A</t>
        </is>
      </c>
      <c r="E2080" s="3" t="inlineStr">
        <is>
          <t>Montenegro</t>
        </is>
      </c>
      <c r="F2080" s="3" t="inlineStr">
        <is>
          <t>Domestic currency per US Dollar</t>
        </is>
      </c>
      <c r="G2080" s="3" t="n">
        <v>1.08270508132601</v>
      </c>
      <c r="H2080" s="3" t="n">
        <v>1.11653308564468</v>
      </c>
      <c r="I2080" s="3" t="n">
        <v>1.05755899623965</v>
      </c>
      <c r="J2080" s="3" t="n">
        <v>0.8840479271849609</v>
      </c>
      <c r="K2080" s="3" t="n">
        <v>0.803921647747605</v>
      </c>
      <c r="L2080" s="3" t="n">
        <v>0.803800192161416</v>
      </c>
      <c r="M2080" s="3" t="n">
        <v>0.7964327309490959</v>
      </c>
      <c r="N2080" s="3" t="n">
        <v>0.7296723999840879</v>
      </c>
      <c r="O2080" s="3" t="n">
        <v>0.679922680042729</v>
      </c>
      <c r="P2080" s="3" t="n">
        <v>0.716957702016136</v>
      </c>
      <c r="Q2080" s="3" t="n">
        <v>0.754308990105979</v>
      </c>
      <c r="R2080" s="3" t="n">
        <v>0.7184138986533219</v>
      </c>
      <c r="S2080" s="3" t="n">
        <v>0.7783381204168121</v>
      </c>
      <c r="T2080" s="3" t="n">
        <v>0.752945122702002</v>
      </c>
      <c r="U2080" s="3" t="n">
        <v>0.752728196932591</v>
      </c>
      <c r="V2080" s="3" t="n">
        <v>0.901296423367096</v>
      </c>
      <c r="W2080" s="3" t="n">
        <v>0.903421436257288</v>
      </c>
      <c r="X2080" s="3" t="n">
        <v>0.88520550826938</v>
      </c>
      <c r="Y2080" s="3" t="n">
        <v>0.846772667108096</v>
      </c>
      <c r="Z2080" s="3" t="n">
        <v>0.893215581479226</v>
      </c>
      <c r="AA2080" s="3" t="n">
        <v>0.877475207233012</v>
      </c>
      <c r="AB2080" s="3" t="n">
        <v>0.8453765643679449</v>
      </c>
      <c r="AC2080" s="3" t="n">
        <v>0.950915533962108</v>
      </c>
      <c r="AD2080" s="3" t="n">
        <v>0.924709622987356</v>
      </c>
      <c r="AE2080" s="3" t="n">
        <v>0.924367447270266</v>
      </c>
      <c r="AF2080" s="3" t="n">
        <v>0.887144250370587</v>
      </c>
      <c r="AG2080" s="3" t="n"/>
      <c r="AH2080" s="3" t="n"/>
      <c r="AI2080" s="3" t="n"/>
      <c r="AJ2080" s="3" t="n"/>
      <c r="AK2080" s="3" t="n"/>
      <c r="AL2080" s="3" t="n"/>
      <c r="AM2080" s="3" t="n"/>
      <c r="AN2080" s="3" t="n"/>
      <c r="AO2080" s="3" t="n"/>
      <c r="AP2080" s="3" t="n"/>
      <c r="AQ2080" s="3" t="n"/>
      <c r="AR2080" s="3" t="n"/>
      <c r="AS2080" s="3" t="n"/>
      <c r="AT2080" s="3" t="n"/>
      <c r="AU2080" s="3" t="n"/>
    </row>
    <row r="2081">
      <c r="A2081" s="3" t="n">
        <v>2031</v>
      </c>
      <c r="B2081" s="3" t="inlineStr">
        <is>
          <t>MNG</t>
        </is>
      </c>
      <c r="C2081" s="3" t="inlineStr">
        <is>
          <t>IMF.RES:WEO</t>
        </is>
      </c>
      <c r="D2081" s="3" t="inlineStr">
        <is>
          <t>MNG.BCA.A</t>
        </is>
      </c>
      <c r="E2081" s="3" t="inlineStr">
        <is>
          <t>Mongolia</t>
        </is>
      </c>
      <c r="F2081" s="3" t="inlineStr">
        <is>
          <t>Current account balance (credit less debit), US dollar</t>
        </is>
      </c>
      <c r="G2081" s="3" t="n">
        <v>-0.06988</v>
      </c>
      <c r="H2081" s="3" t="n">
        <v>-0.0617</v>
      </c>
      <c r="I2081" s="3" t="n">
        <v>-0.10516</v>
      </c>
      <c r="J2081" s="3" t="n">
        <v>-0.09866</v>
      </c>
      <c r="K2081" s="3" t="n">
        <v>0.06301</v>
      </c>
      <c r="L2081" s="3" t="n">
        <v>0.08751</v>
      </c>
      <c r="M2081" s="3" t="n">
        <v>0.37215</v>
      </c>
      <c r="N2081" s="3" t="n">
        <v>0.17178</v>
      </c>
      <c r="O2081" s="3" t="n">
        <v>-0.69074</v>
      </c>
      <c r="P2081" s="3" t="n">
        <v>-0.34178</v>
      </c>
      <c r="Q2081" s="3" t="n">
        <v>-0.88548</v>
      </c>
      <c r="R2081" s="3" t="n">
        <v>-4.51217</v>
      </c>
      <c r="S2081" s="3" t="n">
        <v>-5.3807</v>
      </c>
      <c r="T2081" s="3" t="n">
        <v>-4.73183</v>
      </c>
      <c r="U2081" s="3" t="n">
        <v>-1.93433</v>
      </c>
      <c r="V2081" s="3" t="n">
        <v>-0.94846</v>
      </c>
      <c r="W2081" s="3" t="n">
        <v>-0.69967</v>
      </c>
      <c r="X2081" s="3" t="n">
        <v>-1.15545</v>
      </c>
      <c r="Y2081" s="3" t="n">
        <v>-2.20676</v>
      </c>
      <c r="Z2081" s="3" t="n">
        <v>-2.16168</v>
      </c>
      <c r="AA2081" s="3" t="n">
        <v>-0.67462</v>
      </c>
      <c r="AB2081" s="3" t="n">
        <v>-2.10844</v>
      </c>
      <c r="AC2081" s="3" t="n">
        <v>-2.303499</v>
      </c>
      <c r="AD2081" s="3" t="n">
        <v>0.121266</v>
      </c>
      <c r="AE2081" s="3" t="n">
        <v>-2.485435</v>
      </c>
      <c r="AF2081" s="3" t="n">
        <v>-2.190555</v>
      </c>
      <c r="AG2081" s="3" t="n">
        <v>-2.251051</v>
      </c>
      <c r="AH2081" s="3" t="n">
        <v>-2.639754</v>
      </c>
      <c r="AI2081" s="3" t="n">
        <v>-2.877582</v>
      </c>
      <c r="AJ2081" s="3" t="n">
        <v>-3.10324</v>
      </c>
      <c r="AK2081" s="3" t="n">
        <v>-3.509073</v>
      </c>
      <c r="AL2081" s="3" t="n">
        <v>-3.782608</v>
      </c>
      <c r="AM2081" s="3" t="n"/>
      <c r="AN2081" s="3" t="n"/>
      <c r="AO2081" s="3" t="n"/>
      <c r="AP2081" s="3" t="n"/>
      <c r="AQ2081" s="3" t="n"/>
      <c r="AR2081" s="3" t="n"/>
      <c r="AS2081" s="3" t="n"/>
      <c r="AT2081" s="3" t="n"/>
      <c r="AU2081" s="3" t="n"/>
    </row>
    <row r="2082">
      <c r="A2082" s="3" t="n">
        <v>2031</v>
      </c>
      <c r="B2082" s="3" t="inlineStr">
        <is>
          <t>MNG</t>
        </is>
      </c>
      <c r="C2082" s="3" t="inlineStr">
        <is>
          <t>IMF.RES:WEO</t>
        </is>
      </c>
      <c r="D2082" s="3" t="inlineStr">
        <is>
          <t>MNG.BCA_NGDPD.A</t>
        </is>
      </c>
      <c r="E2082" s="3" t="inlineStr">
        <is>
          <t>Mongolia</t>
        </is>
      </c>
      <c r="F2082" s="3" t="inlineStr">
        <is>
          <t>Current account balance (credit less debit), Percent of GDP</t>
        </is>
      </c>
      <c r="G2082" s="3" t="n">
        <v>-6.145222</v>
      </c>
      <c r="H2082" s="3" t="n">
        <v>-4.865743</v>
      </c>
      <c r="I2082" s="3" t="n">
        <v>-7.529953</v>
      </c>
      <c r="J2082" s="3" t="n">
        <v>-6.184441</v>
      </c>
      <c r="K2082" s="3" t="n">
        <v>3.163051</v>
      </c>
      <c r="L2082" s="3" t="n">
        <v>3.467842</v>
      </c>
      <c r="M2082" s="3" t="n">
        <v>10.900564</v>
      </c>
      <c r="N2082" s="3" t="n">
        <v>4.056196</v>
      </c>
      <c r="O2082" s="3" t="n">
        <v>-12.283717</v>
      </c>
      <c r="P2082" s="3" t="n">
        <v>-7.456177</v>
      </c>
      <c r="Q2082" s="3" t="n">
        <v>-12.323888</v>
      </c>
      <c r="R2082" s="3" t="n">
        <v>-43.345417</v>
      </c>
      <c r="S2082" s="3" t="n">
        <v>-43.824777</v>
      </c>
      <c r="T2082" s="3" t="n">
        <v>-37.607566</v>
      </c>
      <c r="U2082" s="3" t="n">
        <v>-15.820784</v>
      </c>
      <c r="V2082" s="3" t="n">
        <v>-8.162381999999999</v>
      </c>
      <c r="W2082" s="3" t="n">
        <v>-6.272781</v>
      </c>
      <c r="X2082" s="3" t="n">
        <v>-10.064154</v>
      </c>
      <c r="Y2082" s="3" t="n">
        <v>-16.708881</v>
      </c>
      <c r="Z2082" s="3" t="n">
        <v>-15.216286</v>
      </c>
      <c r="AA2082" s="3" t="n">
        <v>-5.067385</v>
      </c>
      <c r="AB2082" s="3" t="n">
        <v>-13.793043</v>
      </c>
      <c r="AC2082" s="3" t="n">
        <v>-13.434247</v>
      </c>
      <c r="AD2082" s="3" t="n">
        <v>0.596925</v>
      </c>
      <c r="AE2082" s="3" t="n">
        <v>-10.445396</v>
      </c>
      <c r="AF2082" s="3" t="n">
        <v>-8.634582</v>
      </c>
      <c r="AG2082" s="3" t="n">
        <v>-7.912257</v>
      </c>
      <c r="AH2082" s="3" t="n">
        <v>-8.625583000000001</v>
      </c>
      <c r="AI2082" s="3" t="n">
        <v>-8.765981</v>
      </c>
      <c r="AJ2082" s="3" t="n">
        <v>-8.815194</v>
      </c>
      <c r="AK2082" s="3" t="n">
        <v>-9.297129</v>
      </c>
      <c r="AL2082" s="3" t="n">
        <v>-9.346031</v>
      </c>
      <c r="AM2082" s="3" t="n"/>
      <c r="AN2082" s="3" t="n"/>
      <c r="AO2082" s="3" t="n"/>
      <c r="AP2082" s="3" t="n"/>
      <c r="AQ2082" s="3" t="n"/>
      <c r="AR2082" s="3" t="n"/>
      <c r="AS2082" s="3" t="n"/>
      <c r="AT2082" s="3" t="n"/>
      <c r="AU2082" s="3" t="n"/>
    </row>
    <row r="2083">
      <c r="A2083" s="3" t="n">
        <v>2031</v>
      </c>
      <c r="B2083" s="3" t="inlineStr">
        <is>
          <t>MNG</t>
        </is>
      </c>
      <c r="C2083" s="3" t="inlineStr">
        <is>
          <t>IMF.RES:WEO</t>
        </is>
      </c>
      <c r="D2083" s="3" t="inlineStr">
        <is>
          <t>MNG.GGR_NGDP.A</t>
        </is>
      </c>
      <c r="E2083" s="3" t="inlineStr">
        <is>
          <t>Mongolia</t>
        </is>
      </c>
      <c r="F2083" s="3" t="inlineStr">
        <is>
          <t>Revenue, General government, Percent of GDP</t>
        </is>
      </c>
      <c r="G2083" s="3" t="n">
        <v>28.707349</v>
      </c>
      <c r="H2083" s="3" t="n">
        <v>30.857499</v>
      </c>
      <c r="I2083" s="3" t="n">
        <v>30.765249</v>
      </c>
      <c r="J2083" s="3" t="n">
        <v>30.282479</v>
      </c>
      <c r="K2083" s="3" t="n">
        <v>30.201863</v>
      </c>
      <c r="L2083" s="3" t="n">
        <v>27.54839</v>
      </c>
      <c r="M2083" s="3" t="n">
        <v>33.777531</v>
      </c>
      <c r="N2083" s="3" t="n">
        <v>37.938729</v>
      </c>
      <c r="O2083" s="3" t="n">
        <v>33.107269</v>
      </c>
      <c r="P2083" s="3" t="n">
        <v>30.254974</v>
      </c>
      <c r="Q2083" s="3" t="n">
        <v>32.000861</v>
      </c>
      <c r="R2083" s="3" t="n">
        <v>33.917949</v>
      </c>
      <c r="S2083" s="3" t="n">
        <v>29.816055</v>
      </c>
      <c r="T2083" s="3" t="n">
        <v>31.22379</v>
      </c>
      <c r="U2083" s="3" t="n">
        <v>28.418172</v>
      </c>
      <c r="V2083" s="3" t="n">
        <v>26.134331</v>
      </c>
      <c r="W2083" s="3" t="n">
        <v>24.382433</v>
      </c>
      <c r="X2083" s="3" t="n">
        <v>28.460903</v>
      </c>
      <c r="Y2083" s="3" t="n">
        <v>31.259839</v>
      </c>
      <c r="Z2083" s="3" t="n">
        <v>31.821788</v>
      </c>
      <c r="AA2083" s="3" t="n">
        <v>27.883895</v>
      </c>
      <c r="AB2083" s="3" t="n">
        <v>32.846236</v>
      </c>
      <c r="AC2083" s="3" t="n">
        <v>34.393736</v>
      </c>
      <c r="AD2083" s="3" t="n">
        <v>34.620285</v>
      </c>
      <c r="AE2083" s="3" t="n">
        <v>38.896012</v>
      </c>
      <c r="AF2083" s="3" t="n">
        <v>36.298553</v>
      </c>
      <c r="AG2083" s="3" t="n">
        <v>32.979526</v>
      </c>
      <c r="AH2083" s="3" t="n">
        <v>30.854538</v>
      </c>
      <c r="AI2083" s="3" t="n">
        <v>29.697443</v>
      </c>
      <c r="AJ2083" s="3" t="n">
        <v>29.495115</v>
      </c>
      <c r="AK2083" s="3" t="n">
        <v>29.520872</v>
      </c>
      <c r="AL2083" s="3" t="n">
        <v>29.36474</v>
      </c>
      <c r="AM2083" s="3" t="n"/>
      <c r="AN2083" s="3" t="n"/>
      <c r="AO2083" s="3" t="n"/>
      <c r="AP2083" s="3" t="n"/>
      <c r="AQ2083" s="3" t="n"/>
      <c r="AR2083" s="3" t="n"/>
      <c r="AS2083" s="3" t="n"/>
      <c r="AT2083" s="3" t="n"/>
      <c r="AU2083" s="3" t="n"/>
    </row>
    <row r="2084">
      <c r="A2084" s="3" t="n">
        <v>2031</v>
      </c>
      <c r="B2084" s="3" t="inlineStr">
        <is>
          <t>MNG</t>
        </is>
      </c>
      <c r="C2084" s="3" t="inlineStr">
        <is>
          <t>IMF.RES:WEO</t>
        </is>
      </c>
      <c r="D2084" s="3" t="inlineStr">
        <is>
          <t>MNG.GGX_NGDP.A</t>
        </is>
      </c>
      <c r="E2084" s="3" t="inlineStr">
        <is>
          <t>Mongolia</t>
        </is>
      </c>
      <c r="F2084" s="3" t="inlineStr">
        <is>
          <t>Expenditure, General government, Percent of GDP</t>
        </is>
      </c>
      <c r="G2084" s="3" t="n">
        <v>34.528461</v>
      </c>
      <c r="H2084" s="3" t="n">
        <v>35.184869</v>
      </c>
      <c r="I2084" s="3" t="n">
        <v>35.500954</v>
      </c>
      <c r="J2084" s="3" t="n">
        <v>33.664751</v>
      </c>
      <c r="K2084" s="3" t="n">
        <v>31.819824</v>
      </c>
      <c r="L2084" s="3" t="n">
        <v>25.113717</v>
      </c>
      <c r="M2084" s="3" t="n">
        <v>26.192655</v>
      </c>
      <c r="N2084" s="3" t="n">
        <v>35.300092</v>
      </c>
      <c r="O2084" s="3" t="n">
        <v>37.628682</v>
      </c>
      <c r="P2084" s="3" t="n">
        <v>35.453775</v>
      </c>
      <c r="Q2084" s="3" t="n">
        <v>31.575434</v>
      </c>
      <c r="R2084" s="3" t="n">
        <v>37.931757</v>
      </c>
      <c r="S2084" s="3" t="n">
        <v>36.059739</v>
      </c>
      <c r="T2084" s="3" t="n">
        <v>32.150868</v>
      </c>
      <c r="U2084" s="3" t="n">
        <v>32.143567</v>
      </c>
      <c r="V2084" s="3" t="n">
        <v>31.177296</v>
      </c>
      <c r="W2084" s="3" t="n">
        <v>39.677393</v>
      </c>
      <c r="X2084" s="3" t="n">
        <v>32.176951</v>
      </c>
      <c r="Y2084" s="3" t="n">
        <v>28.405554</v>
      </c>
      <c r="Z2084" s="3" t="n">
        <v>30.819079</v>
      </c>
      <c r="AA2084" s="3" t="n">
        <v>37.124314</v>
      </c>
      <c r="AB2084" s="3" t="n">
        <v>35.891672</v>
      </c>
      <c r="AC2084" s="3" t="n">
        <v>33.721723</v>
      </c>
      <c r="AD2084" s="3" t="n">
        <v>31.887293</v>
      </c>
      <c r="AE2084" s="3" t="n">
        <v>37.506245</v>
      </c>
      <c r="AF2084" s="3" t="n">
        <v>34.596642</v>
      </c>
      <c r="AG2084" s="3" t="n">
        <v>33.52702</v>
      </c>
      <c r="AH2084" s="3" t="n">
        <v>33.449854</v>
      </c>
      <c r="AI2084" s="3" t="n">
        <v>32.699634</v>
      </c>
      <c r="AJ2084" s="3" t="n">
        <v>32.46161</v>
      </c>
      <c r="AK2084" s="3" t="n">
        <v>32.521306</v>
      </c>
      <c r="AL2084" s="3" t="n">
        <v>32.441187</v>
      </c>
      <c r="AM2084" s="3" t="n"/>
      <c r="AN2084" s="3" t="n"/>
      <c r="AO2084" s="3" t="n"/>
      <c r="AP2084" s="3" t="n"/>
      <c r="AQ2084" s="3" t="n"/>
      <c r="AR2084" s="3" t="n"/>
      <c r="AS2084" s="3" t="n"/>
      <c r="AT2084" s="3" t="n"/>
      <c r="AU2084" s="3" t="n"/>
    </row>
    <row r="2085">
      <c r="A2085" s="3" t="n">
        <v>2031</v>
      </c>
      <c r="B2085" s="3" t="inlineStr">
        <is>
          <t>MNG</t>
        </is>
      </c>
      <c r="C2085" s="3" t="inlineStr">
        <is>
          <t>IMF.RES:WEO</t>
        </is>
      </c>
      <c r="D2085" s="3" t="inlineStr">
        <is>
          <t>MNG.LP.A</t>
        </is>
      </c>
      <c r="E2085" s="3" t="inlineStr">
        <is>
          <t>Mongolia</t>
        </is>
      </c>
      <c r="F2085" s="3" t="inlineStr">
        <is>
          <t>Population, Persons for countries / Index for country groups</t>
        </is>
      </c>
      <c r="G2085" s="3" t="n">
        <v>2.403105</v>
      </c>
      <c r="H2085" s="3" t="n">
        <v>2.432397</v>
      </c>
      <c r="I2085" s="3" t="n">
        <v>2.465657</v>
      </c>
      <c r="J2085" s="3" t="n">
        <v>2.495091</v>
      </c>
      <c r="K2085" s="3" t="n">
        <v>2.521733</v>
      </c>
      <c r="L2085" s="3" t="n">
        <v>2.551081</v>
      </c>
      <c r="M2085" s="3" t="n">
        <v>2.583254</v>
      </c>
      <c r="N2085" s="3" t="n">
        <v>2.620446</v>
      </c>
      <c r="O2085" s="3" t="n">
        <v>2.665955</v>
      </c>
      <c r="P2085" s="3" t="n">
        <v>2.716275</v>
      </c>
      <c r="Q2085" s="3" t="n">
        <v>2.760968</v>
      </c>
      <c r="R2085" s="3" t="n">
        <v>2.811666</v>
      </c>
      <c r="S2085" s="3" t="n">
        <v>2.867744</v>
      </c>
      <c r="T2085" s="3" t="n">
        <v>2.930277</v>
      </c>
      <c r="U2085" s="3" t="n">
        <v>2.995949</v>
      </c>
      <c r="V2085" s="3" t="n">
        <v>3.057778</v>
      </c>
      <c r="W2085" s="3" t="n">
        <v>3.119935</v>
      </c>
      <c r="X2085" s="3" t="n">
        <v>3.177899</v>
      </c>
      <c r="Y2085" s="3" t="n">
        <v>3.238479</v>
      </c>
      <c r="Z2085" s="3" t="n">
        <v>3.296866</v>
      </c>
      <c r="AA2085" s="3" t="n">
        <v>3.357542</v>
      </c>
      <c r="AB2085" s="3" t="n">
        <v>3.409939</v>
      </c>
      <c r="AC2085" s="3" t="n">
        <v>3.457548</v>
      </c>
      <c r="AD2085" s="3" t="n">
        <v>3.504741</v>
      </c>
      <c r="AE2085" s="3" t="n">
        <v>3.544835</v>
      </c>
      <c r="AF2085" s="3" t="n">
        <v>3.583615</v>
      </c>
      <c r="AG2085" s="3" t="n">
        <v>3.62282</v>
      </c>
      <c r="AH2085" s="3" t="n">
        <v>3.662453</v>
      </c>
      <c r="AI2085" s="3" t="n">
        <v>3.70252</v>
      </c>
      <c r="AJ2085" s="3" t="n">
        <v>3.743025</v>
      </c>
      <c r="AK2085" s="3" t="n">
        <v>3.783974</v>
      </c>
      <c r="AL2085" s="3" t="n">
        <v>3.82537</v>
      </c>
      <c r="AM2085" s="3" t="n"/>
      <c r="AN2085" s="3" t="n"/>
      <c r="AO2085" s="3" t="n"/>
      <c r="AP2085" s="3" t="n"/>
      <c r="AQ2085" s="3" t="n"/>
      <c r="AR2085" s="3" t="n"/>
      <c r="AS2085" s="3" t="n"/>
      <c r="AT2085" s="3" t="n"/>
      <c r="AU2085" s="3" t="n"/>
    </row>
    <row r="2086">
      <c r="A2086" s="3" t="n">
        <v>2031</v>
      </c>
      <c r="B2086" s="3" t="inlineStr">
        <is>
          <t>MNG</t>
        </is>
      </c>
      <c r="C2086" s="3" t="inlineStr">
        <is>
          <t>IMF.RES:WEO</t>
        </is>
      </c>
      <c r="D2086" s="3" t="inlineStr">
        <is>
          <t>MNG.NGDP.A</t>
        </is>
      </c>
      <c r="E2086" s="3" t="inlineStr">
        <is>
          <t>Mongolia</t>
        </is>
      </c>
      <c r="F2086" s="3" t="inlineStr">
        <is>
          <t>Gross domestic product (GDP), Current prices, Domestic currency</t>
        </is>
      </c>
      <c r="G2086" s="3" t="n">
        <v>1224.0621</v>
      </c>
      <c r="H2086" s="3" t="n">
        <v>1391.8781</v>
      </c>
      <c r="I2086" s="3" t="n">
        <v>1550.6099</v>
      </c>
      <c r="J2086" s="3" t="n">
        <v>1829.0722</v>
      </c>
      <c r="K2086" s="3" t="n">
        <v>2361.157</v>
      </c>
      <c r="L2086" s="3" t="n">
        <v>3041.4058</v>
      </c>
      <c r="M2086" s="3" t="n">
        <v>4027.5585</v>
      </c>
      <c r="N2086" s="3" t="n">
        <v>4956.6471</v>
      </c>
      <c r="O2086" s="3" t="n">
        <v>6555.5694</v>
      </c>
      <c r="P2086" s="3" t="n">
        <v>6590.6372</v>
      </c>
      <c r="Q2086" s="3" t="n">
        <v>9756.5885</v>
      </c>
      <c r="R2086" s="3" t="n">
        <v>13173.7633</v>
      </c>
      <c r="S2086" s="3" t="n">
        <v>16688.4195</v>
      </c>
      <c r="T2086" s="3" t="n">
        <v>19174.2425</v>
      </c>
      <c r="U2086" s="3" t="n">
        <v>22227.0543</v>
      </c>
      <c r="V2086" s="3" t="n">
        <v>22894.781</v>
      </c>
      <c r="W2086" s="3" t="n">
        <v>23931.3426</v>
      </c>
      <c r="X2086" s="3" t="n">
        <v>28010.7105</v>
      </c>
      <c r="Y2086" s="3" t="n">
        <v>32582.6291</v>
      </c>
      <c r="Z2086" s="3" t="n">
        <v>37839.2254</v>
      </c>
      <c r="AA2086" s="3" t="n">
        <v>37453.2754</v>
      </c>
      <c r="AB2086" s="3" t="n">
        <v>43555.4845</v>
      </c>
      <c r="AC2086" s="3" t="n">
        <v>53851.5444</v>
      </c>
      <c r="AD2086" s="3" t="n">
        <v>70441.5159</v>
      </c>
      <c r="AE2086" s="3" t="n">
        <v>80663.05100000001</v>
      </c>
      <c r="AF2086" s="3" t="n">
        <v>89937.1277</v>
      </c>
      <c r="AG2086" s="3" t="n">
        <v>103569.883367</v>
      </c>
      <c r="AH2086" s="3" t="n">
        <v>116703.075162</v>
      </c>
      <c r="AI2086" s="3" t="n">
        <v>131060.373073</v>
      </c>
      <c r="AJ2086" s="3" t="n">
        <v>146798.702974</v>
      </c>
      <c r="AK2086" s="3" t="n">
        <v>163998.97068</v>
      </c>
      <c r="AL2086" s="3" t="n">
        <v>182978.337473</v>
      </c>
      <c r="AM2086" s="3" t="n"/>
      <c r="AN2086" s="3" t="n"/>
      <c r="AO2086" s="3" t="n"/>
      <c r="AP2086" s="3" t="n"/>
      <c r="AQ2086" s="3" t="n"/>
      <c r="AR2086" s="3" t="n"/>
      <c r="AS2086" s="3" t="n"/>
      <c r="AT2086" s="3" t="n"/>
      <c r="AU2086" s="3" t="n"/>
    </row>
    <row r="2087">
      <c r="A2087" s="3" t="n">
        <v>2031</v>
      </c>
      <c r="B2087" s="3" t="inlineStr">
        <is>
          <t>MNG</t>
        </is>
      </c>
      <c r="C2087" s="3" t="inlineStr">
        <is>
          <t>IMF.RES:WEO</t>
        </is>
      </c>
      <c r="D2087" s="3" t="inlineStr">
        <is>
          <t>MNG.NGDP_D.A</t>
        </is>
      </c>
      <c r="E2087" s="3" t="inlineStr">
        <is>
          <t>Mongolia</t>
        </is>
      </c>
      <c r="F2087" s="3" t="inlineStr">
        <is>
          <t>Gross domestic product (GDP), Price deflator, Index</t>
        </is>
      </c>
      <c r="G2087" s="3" t="n">
        <v>15.960964</v>
      </c>
      <c r="H2087" s="3" t="n">
        <v>17.344626</v>
      </c>
      <c r="I2087" s="3" t="n">
        <v>18.355845</v>
      </c>
      <c r="J2087" s="3" t="n">
        <v>20.168367</v>
      </c>
      <c r="K2087" s="3" t="n">
        <v>23.792947</v>
      </c>
      <c r="L2087" s="3" t="n">
        <v>28.775207</v>
      </c>
      <c r="M2087" s="3" t="n">
        <v>35.229588</v>
      </c>
      <c r="N2087" s="3" t="n">
        <v>39.865524</v>
      </c>
      <c r="O2087" s="3" t="n">
        <v>48.901803</v>
      </c>
      <c r="P2087" s="3" t="n">
        <v>50.202325</v>
      </c>
      <c r="Q2087" s="3" t="n">
        <v>69.25353</v>
      </c>
      <c r="R2087" s="3" t="n">
        <v>79.724153</v>
      </c>
      <c r="S2087" s="3" t="n">
        <v>89.916392</v>
      </c>
      <c r="T2087" s="3" t="n">
        <v>92.531023</v>
      </c>
      <c r="U2087" s="3" t="n">
        <v>99.423509</v>
      </c>
      <c r="V2087" s="3" t="n">
        <v>100</v>
      </c>
      <c r="W2087" s="3" t="n">
        <v>102.993127</v>
      </c>
      <c r="X2087" s="3" t="n">
        <v>114.116844</v>
      </c>
      <c r="Y2087" s="3" t="n">
        <v>123.201248</v>
      </c>
      <c r="Z2087" s="3" t="n">
        <v>135.487139</v>
      </c>
      <c r="AA2087" s="3" t="n">
        <v>140.509271</v>
      </c>
      <c r="AB2087" s="3" t="n">
        <v>160.7708</v>
      </c>
      <c r="AC2087" s="3" t="n">
        <v>189.250883</v>
      </c>
      <c r="AD2087" s="3" t="n">
        <v>230.448962</v>
      </c>
      <c r="AE2087" s="3" t="n">
        <v>251.030739</v>
      </c>
      <c r="AF2087" s="3" t="n">
        <v>261.963922</v>
      </c>
      <c r="AG2087" s="3" t="n">
        <v>286.595814</v>
      </c>
      <c r="AH2087" s="3" t="n">
        <v>306.721889</v>
      </c>
      <c r="AI2087" s="3" t="n">
        <v>327.43505</v>
      </c>
      <c r="AJ2087" s="3" t="n">
        <v>349.283274</v>
      </c>
      <c r="AK2087" s="3" t="n">
        <v>371.597834</v>
      </c>
      <c r="AL2087" s="3" t="n">
        <v>394.805107</v>
      </c>
      <c r="AM2087" s="3" t="n"/>
      <c r="AN2087" s="3" t="n"/>
      <c r="AO2087" s="3" t="n"/>
      <c r="AP2087" s="3" t="n"/>
      <c r="AQ2087" s="3" t="n"/>
      <c r="AR2087" s="3" t="n"/>
      <c r="AS2087" s="3" t="n"/>
      <c r="AT2087" s="3" t="n"/>
      <c r="AU2087" s="3" t="n"/>
    </row>
    <row r="2088">
      <c r="A2088" s="3" t="n">
        <v>2031</v>
      </c>
      <c r="B2088" s="3" t="inlineStr">
        <is>
          <t>MNG</t>
        </is>
      </c>
      <c r="C2088" s="3" t="inlineStr">
        <is>
          <t>IMF.RES:WEO</t>
        </is>
      </c>
      <c r="D2088" s="3" t="inlineStr">
        <is>
          <t>MNG.NGDP_R.A</t>
        </is>
      </c>
      <c r="E2088" s="3" t="inlineStr">
        <is>
          <t>Mongolia</t>
        </is>
      </c>
      <c r="F2088" s="3" t="inlineStr">
        <is>
          <t>Gross domestic product (GDP), Constant prices, Domestic currency</t>
        </is>
      </c>
      <c r="G2088" s="3" t="n">
        <v>7669.098757</v>
      </c>
      <c r="H2088" s="3" t="n">
        <v>8024.837985</v>
      </c>
      <c r="I2088" s="3" t="n">
        <v>8447.499419</v>
      </c>
      <c r="J2088" s="3" t="n">
        <v>9069.014923000001</v>
      </c>
      <c r="K2088" s="3" t="n">
        <v>9923.768625999999</v>
      </c>
      <c r="L2088" s="3" t="n">
        <v>10569.535614</v>
      </c>
      <c r="M2088" s="3" t="n">
        <v>11432.31798</v>
      </c>
      <c r="N2088" s="3" t="n">
        <v>12433.417771</v>
      </c>
      <c r="O2088" s="3" t="n">
        <v>13405.577994</v>
      </c>
      <c r="P2088" s="3" t="n">
        <v>13128.151207</v>
      </c>
      <c r="Q2088" s="3" t="n">
        <v>14088.218418</v>
      </c>
      <c r="R2088" s="3" t="n">
        <v>16524.180981</v>
      </c>
      <c r="S2088" s="3" t="n">
        <v>18559.930159</v>
      </c>
      <c r="T2088" s="3" t="n">
        <v>20721.961062</v>
      </c>
      <c r="U2088" s="3" t="n">
        <v>22355.934229</v>
      </c>
      <c r="V2088" s="3" t="n">
        <v>22894.7809</v>
      </c>
      <c r="W2088" s="3" t="n">
        <v>23235.8638</v>
      </c>
      <c r="X2088" s="3" t="n">
        <v>24545.6407</v>
      </c>
      <c r="Y2088" s="3" t="n">
        <v>26446.6713</v>
      </c>
      <c r="Z2088" s="3" t="n">
        <v>27928.2785</v>
      </c>
      <c r="AA2088" s="3" t="n">
        <v>26655.3767</v>
      </c>
      <c r="AB2088" s="3" t="n">
        <v>27091.6638</v>
      </c>
      <c r="AC2088" s="3" t="n">
        <v>28455.1086</v>
      </c>
      <c r="AD2088" s="3" t="n">
        <v>30567.0789</v>
      </c>
      <c r="AE2088" s="3" t="n">
        <v>32132.7385</v>
      </c>
      <c r="AF2088" s="3" t="n">
        <v>34331.8756</v>
      </c>
      <c r="AG2088" s="3" t="n">
        <v>36137.960982</v>
      </c>
      <c r="AH2088" s="3" t="n">
        <v>38048.499134</v>
      </c>
      <c r="AI2088" s="3" t="n">
        <v>40026.372631</v>
      </c>
      <c r="AJ2088" s="3" t="n">
        <v>42028.552213</v>
      </c>
      <c r="AK2088" s="3" t="n">
        <v>44133.45707</v>
      </c>
      <c r="AL2088" s="3" t="n">
        <v>46346.49713</v>
      </c>
      <c r="AM2088" s="3" t="n"/>
      <c r="AN2088" s="3" t="n"/>
      <c r="AO2088" s="3" t="n"/>
      <c r="AP2088" s="3" t="n"/>
      <c r="AQ2088" s="3" t="n"/>
      <c r="AR2088" s="3" t="n"/>
      <c r="AS2088" s="3" t="n"/>
      <c r="AT2088" s="3" t="n"/>
      <c r="AU2088" s="3" t="n"/>
    </row>
    <row r="2089">
      <c r="A2089" s="3" t="n">
        <v>2031</v>
      </c>
      <c r="B2089" s="3" t="inlineStr">
        <is>
          <t>MNG</t>
        </is>
      </c>
      <c r="C2089" s="3" t="inlineStr">
        <is>
          <t>IMF.RES:WEO</t>
        </is>
      </c>
      <c r="D2089" s="3" t="inlineStr">
        <is>
          <t>MNG.NGDP_RPCH.A</t>
        </is>
      </c>
      <c r="E2089" s="3" t="inlineStr">
        <is>
          <t>Mongolia</t>
        </is>
      </c>
      <c r="F2089" s="3" t="inlineStr">
        <is>
          <t>Gross domestic product (GDP), Constant prices, Percent change</t>
        </is>
      </c>
      <c r="G2089" s="3" t="n">
        <v>1.146062</v>
      </c>
      <c r="H2089" s="3" t="n">
        <v>4.638605</v>
      </c>
      <c r="I2089" s="3" t="n">
        <v>5.266915</v>
      </c>
      <c r="J2089" s="3" t="n">
        <v>7.35739</v>
      </c>
      <c r="K2089" s="3" t="n">
        <v>9.424989</v>
      </c>
      <c r="L2089" s="3" t="n">
        <v>6.507276</v>
      </c>
      <c r="M2089" s="3" t="n">
        <v>8.162915999999999</v>
      </c>
      <c r="N2089" s="3" t="n">
        <v>8.756753</v>
      </c>
      <c r="O2089" s="3" t="n">
        <v>7.81893</v>
      </c>
      <c r="P2089" s="3" t="n">
        <v>-2.069488</v>
      </c>
      <c r="Q2089" s="3" t="n">
        <v>7.313042</v>
      </c>
      <c r="R2089" s="3" t="n">
        <v>17.290778</v>
      </c>
      <c r="S2089" s="3" t="n">
        <v>12.319819</v>
      </c>
      <c r="T2089" s="3" t="n">
        <v>11.648917</v>
      </c>
      <c r="U2089" s="3" t="n">
        <v>7.885225</v>
      </c>
      <c r="V2089" s="3" t="n">
        <v>2.410307</v>
      </c>
      <c r="W2089" s="3" t="n">
        <v>1.489785</v>
      </c>
      <c r="X2089" s="3" t="n">
        <v>5.636876</v>
      </c>
      <c r="Y2089" s="3" t="n">
        <v>7.744881</v>
      </c>
      <c r="Z2089" s="3" t="n">
        <v>5.602245</v>
      </c>
      <c r="AA2089" s="3" t="n">
        <v>-4.557752</v>
      </c>
      <c r="AB2089" s="3" t="n">
        <v>1.63677</v>
      </c>
      <c r="AC2089" s="3" t="n">
        <v>5.03271</v>
      </c>
      <c r="AD2089" s="3" t="n">
        <v>7.422113</v>
      </c>
      <c r="AE2089" s="3" t="n">
        <v>5.122045</v>
      </c>
      <c r="AF2089" s="3" t="n">
        <v>6.843914</v>
      </c>
      <c r="AG2089" s="3" t="n">
        <v>5.260666</v>
      </c>
      <c r="AH2089" s="3" t="n">
        <v>5.28679</v>
      </c>
      <c r="AI2089" s="3" t="n">
        <v>5.198296</v>
      </c>
      <c r="AJ2089" s="3" t="n">
        <v>5.002151</v>
      </c>
      <c r="AK2089" s="3" t="n">
        <v>5.008274</v>
      </c>
      <c r="AL2089" s="3" t="n">
        <v>5.014427</v>
      </c>
      <c r="AM2089" s="3" t="n"/>
      <c r="AN2089" s="3" t="n"/>
      <c r="AO2089" s="3" t="n"/>
      <c r="AP2089" s="3" t="n"/>
      <c r="AQ2089" s="3" t="n"/>
      <c r="AR2089" s="3" t="n"/>
      <c r="AS2089" s="3" t="n"/>
      <c r="AT2089" s="3" t="n"/>
      <c r="AU2089" s="3" t="n"/>
    </row>
    <row r="2090">
      <c r="A2090" s="3" t="n">
        <v>2031</v>
      </c>
      <c r="B2090" s="3" t="inlineStr">
        <is>
          <t>MNG</t>
        </is>
      </c>
      <c r="C2090" s="3" t="inlineStr">
        <is>
          <t>IMF.RES:WEO</t>
        </is>
      </c>
      <c r="D2090" s="3" t="inlineStr">
        <is>
          <t>MNG.NGDPD.A</t>
        </is>
      </c>
      <c r="E2090" s="3" t="inlineStr">
        <is>
          <t>Mongolia</t>
        </is>
      </c>
      <c r="F2090" s="3" t="inlineStr">
        <is>
          <t>Gross domestic product (GDP), Current prices, US dollar</t>
        </is>
      </c>
      <c r="G2090" s="3" t="n">
        <v>1.137144</v>
      </c>
      <c r="H2090" s="3" t="n">
        <v>1.268049</v>
      </c>
      <c r="I2090" s="3" t="n">
        <v>1.396556</v>
      </c>
      <c r="J2090" s="3" t="n">
        <v>1.595294</v>
      </c>
      <c r="K2090" s="3" t="n">
        <v>1.992064</v>
      </c>
      <c r="L2090" s="3" t="n">
        <v>2.523472</v>
      </c>
      <c r="M2090" s="3" t="n">
        <v>3.414044</v>
      </c>
      <c r="N2090" s="3" t="n">
        <v>4.235003</v>
      </c>
      <c r="O2090" s="3" t="n">
        <v>5.623217</v>
      </c>
      <c r="P2090" s="3" t="n">
        <v>4.58385</v>
      </c>
      <c r="Q2090" s="3" t="n">
        <v>7.18507</v>
      </c>
      <c r="R2090" s="3" t="n">
        <v>10.409797</v>
      </c>
      <c r="S2090" s="3" t="n">
        <v>12.277758</v>
      </c>
      <c r="T2090" s="3" t="n">
        <v>12.582123</v>
      </c>
      <c r="U2090" s="3" t="n">
        <v>12.226512</v>
      </c>
      <c r="V2090" s="3" t="n">
        <v>11.619893</v>
      </c>
      <c r="W2090" s="3" t="n">
        <v>11.154064</v>
      </c>
      <c r="X2090" s="3" t="n">
        <v>11.480846</v>
      </c>
      <c r="Y2090" s="3" t="n">
        <v>13.207108</v>
      </c>
      <c r="Z2090" s="3" t="n">
        <v>14.206358</v>
      </c>
      <c r="AA2090" s="3" t="n">
        <v>13.312981</v>
      </c>
      <c r="AB2090" s="3" t="n">
        <v>15.286256</v>
      </c>
      <c r="AC2090" s="3" t="n">
        <v>17.146469</v>
      </c>
      <c r="AD2090" s="3" t="n">
        <v>20.315146</v>
      </c>
      <c r="AE2090" s="3" t="n">
        <v>23.794545</v>
      </c>
      <c r="AF2090" s="3" t="n">
        <v>25.369556</v>
      </c>
      <c r="AG2090" s="3" t="n">
        <v>28.450177</v>
      </c>
      <c r="AH2090" s="3" t="n">
        <v>30.603775</v>
      </c>
      <c r="AI2090" s="3" t="n">
        <v>32.826693</v>
      </c>
      <c r="AJ2090" s="3" t="n">
        <v>35.203313</v>
      </c>
      <c r="AK2090" s="3" t="n">
        <v>37.743615</v>
      </c>
      <c r="AL2090" s="3" t="n">
        <v>40.472884</v>
      </c>
      <c r="AM2090" s="3" t="n"/>
      <c r="AN2090" s="3" t="n"/>
      <c r="AO2090" s="3" t="n"/>
      <c r="AP2090" s="3" t="n"/>
      <c r="AQ2090" s="3" t="n"/>
      <c r="AR2090" s="3" t="n"/>
      <c r="AS2090" s="3" t="n"/>
      <c r="AT2090" s="3" t="n"/>
      <c r="AU2090" s="3" t="n"/>
    </row>
    <row r="2091">
      <c r="A2091" s="3" t="n">
        <v>2031</v>
      </c>
      <c r="B2091" s="3" t="inlineStr">
        <is>
          <t>MNG</t>
        </is>
      </c>
      <c r="C2091" s="3" t="inlineStr">
        <is>
          <t>IMF.RES:WEO</t>
        </is>
      </c>
      <c r="D2091" s="3" t="inlineStr">
        <is>
          <t>MNG.NGDPPC.A</t>
        </is>
      </c>
      <c r="E2091" s="3" t="inlineStr">
        <is>
          <t>Mongolia</t>
        </is>
      </c>
      <c r="F2091" s="3" t="inlineStr">
        <is>
          <t>Gross domestic product (GDP), Current prices, Per capita, Domestic currency</t>
        </is>
      </c>
      <c r="G2091" s="3" t="n">
        <v>509366.881597</v>
      </c>
      <c r="H2091" s="3" t="n">
        <v>572224.887631</v>
      </c>
      <c r="I2091" s="3" t="n">
        <v>628883.052266</v>
      </c>
      <c r="J2091" s="3" t="n">
        <v>733068.3329790001</v>
      </c>
      <c r="K2091" s="3" t="n">
        <v>936323.155544</v>
      </c>
      <c r="L2091" s="3" t="n">
        <v>1192202.7564</v>
      </c>
      <c r="M2091" s="3" t="n">
        <v>1559102.782769</v>
      </c>
      <c r="N2091" s="3" t="n">
        <v>1891528.045226</v>
      </c>
      <c r="O2091" s="3" t="n">
        <v>2458994.769229</v>
      </c>
      <c r="P2091" s="3" t="n">
        <v>2426351.234687</v>
      </c>
      <c r="Q2091" s="3" t="n">
        <v>3533756.45788</v>
      </c>
      <c r="R2091" s="3" t="n">
        <v>4685394.104421</v>
      </c>
      <c r="S2091" s="3" t="n">
        <v>5819354.691353</v>
      </c>
      <c r="T2091" s="3" t="n">
        <v>6543491.451491</v>
      </c>
      <c r="U2091" s="3" t="n">
        <v>7419036.271979</v>
      </c>
      <c r="V2091" s="3" t="n">
        <v>7487391.498009</v>
      </c>
      <c r="W2091" s="3" t="n">
        <v>7670461.916675</v>
      </c>
      <c r="X2091" s="3" t="n">
        <v>8814223.013381001</v>
      </c>
      <c r="Y2091" s="3" t="n">
        <v>10061090.129039</v>
      </c>
      <c r="Z2091" s="3" t="n">
        <v>11477331.926745</v>
      </c>
      <c r="AA2091" s="3" t="n">
        <v>11154968.545442</v>
      </c>
      <c r="AB2091" s="3" t="n">
        <v>12773097.847205</v>
      </c>
      <c r="AC2091" s="3" t="n">
        <v>15575067.764786</v>
      </c>
      <c r="AD2091" s="3" t="n">
        <v>20098921.974548</v>
      </c>
      <c r="AE2091" s="3" t="n">
        <v>22755093.255398</v>
      </c>
      <c r="AF2091" s="3" t="n">
        <v>25096758.802663</v>
      </c>
      <c r="AG2091" s="3" t="n">
        <v>28588196.521761</v>
      </c>
      <c r="AH2091" s="3" t="n">
        <v>31864728.324195</v>
      </c>
      <c r="AI2091" s="3" t="n">
        <v>35397612.308055</v>
      </c>
      <c r="AJ2091" s="3" t="n">
        <v>39219263.635912</v>
      </c>
      <c r="AK2091" s="3" t="n">
        <v>43340407.21248</v>
      </c>
      <c r="AL2091" s="3" t="n">
        <v>47832842.614161</v>
      </c>
      <c r="AM2091" s="3" t="n"/>
      <c r="AN2091" s="3" t="n"/>
      <c r="AO2091" s="3" t="n"/>
      <c r="AP2091" s="3" t="n"/>
      <c r="AQ2091" s="3" t="n"/>
      <c r="AR2091" s="3" t="n"/>
      <c r="AS2091" s="3" t="n"/>
      <c r="AT2091" s="3" t="n"/>
      <c r="AU2091" s="3" t="n"/>
    </row>
    <row r="2092">
      <c r="A2092" s="3" t="n">
        <v>2031</v>
      </c>
      <c r="B2092" s="3" t="inlineStr">
        <is>
          <t>MNG</t>
        </is>
      </c>
      <c r="C2092" s="3" t="inlineStr">
        <is>
          <t>IMF.RES:WEO</t>
        </is>
      </c>
      <c r="D2092" s="3" t="inlineStr">
        <is>
          <t>MNG.NGDPRPC.A</t>
        </is>
      </c>
      <c r="E2092" s="3" t="inlineStr">
        <is>
          <t>Mongolia</t>
        </is>
      </c>
      <c r="F2092" s="3" t="inlineStr">
        <is>
          <t>Gross domestic product (GDP), Constant prices, Per capita, Domestic currency</t>
        </is>
      </c>
      <c r="G2092" s="3" t="n">
        <v>3191329.033512</v>
      </c>
      <c r="H2092" s="3" t="n">
        <v>3299148.118057</v>
      </c>
      <c r="I2092" s="3" t="n">
        <v>3426064.29823</v>
      </c>
      <c r="J2092" s="3" t="n">
        <v>3634743.151021</v>
      </c>
      <c r="K2092" s="3" t="n">
        <v>3935297.125606</v>
      </c>
      <c r="L2092" s="3" t="n">
        <v>4143159.552167</v>
      </c>
      <c r="M2092" s="3" t="n">
        <v>4425549.318655</v>
      </c>
      <c r="N2092" s="3" t="n">
        <v>4744771.604283</v>
      </c>
      <c r="O2092" s="3" t="n">
        <v>5028433.711016</v>
      </c>
      <c r="P2092" s="3" t="n">
        <v>4833145.100362</v>
      </c>
      <c r="Q2092" s="3" t="n">
        <v>5102637.342306</v>
      </c>
      <c r="R2092" s="3" t="n">
        <v>5877007.077458</v>
      </c>
      <c r="S2092" s="3" t="n">
        <v>6471961.987929</v>
      </c>
      <c r="T2092" s="3" t="n">
        <v>7071673.108587</v>
      </c>
      <c r="U2092" s="3" t="n">
        <v>7462054.336958</v>
      </c>
      <c r="V2092" s="3" t="n">
        <v>7487391.465306</v>
      </c>
      <c r="W2092" s="3" t="n">
        <v>7447547.400827</v>
      </c>
      <c r="X2092" s="3" t="n">
        <v>7723858.026954</v>
      </c>
      <c r="Y2092" s="3" t="n">
        <v>8166386.53516</v>
      </c>
      <c r="Z2092" s="3" t="n">
        <v>8471159.731697001</v>
      </c>
      <c r="AA2092" s="3" t="n">
        <v>7938955.551412</v>
      </c>
      <c r="AB2092" s="3" t="n">
        <v>7944911.565867</v>
      </c>
      <c r="AC2092" s="3" t="n">
        <v>8229852.080145</v>
      </c>
      <c r="AD2092" s="3" t="n">
        <v>8721637.033949001</v>
      </c>
      <c r="AE2092" s="3" t="n">
        <v>9064664.081684999</v>
      </c>
      <c r="AF2092" s="3" t="n">
        <v>9580234.806367001</v>
      </c>
      <c r="AG2092" s="3" t="n">
        <v>9975092.149048001</v>
      </c>
      <c r="AH2092" s="3" t="n">
        <v>10388801.549322</v>
      </c>
      <c r="AI2092" s="3" t="n">
        <v>10810575.212688</v>
      </c>
      <c r="AJ2092" s="3" t="n">
        <v>11228497.500823</v>
      </c>
      <c r="AK2092" s="3" t="n">
        <v>11663256.136095</v>
      </c>
      <c r="AL2092" s="3" t="n">
        <v>12115558.232419</v>
      </c>
      <c r="AM2092" s="3" t="n"/>
      <c r="AN2092" s="3" t="n"/>
      <c r="AO2092" s="3" t="n"/>
      <c r="AP2092" s="3" t="n"/>
      <c r="AQ2092" s="3" t="n"/>
      <c r="AR2092" s="3" t="n"/>
      <c r="AS2092" s="3" t="n"/>
      <c r="AT2092" s="3" t="n"/>
      <c r="AU2092" s="3" t="n"/>
    </row>
    <row r="2093">
      <c r="A2093" s="3" t="n">
        <v>2031</v>
      </c>
      <c r="B2093" s="3" t="inlineStr">
        <is>
          <t>MNG</t>
        </is>
      </c>
      <c r="C2093" s="3" t="inlineStr">
        <is>
          <t>IMF.RES:WEO</t>
        </is>
      </c>
      <c r="D2093" s="3" t="inlineStr">
        <is>
          <t>MNG.PCPI.A</t>
        </is>
      </c>
      <c r="E2093" s="3" t="inlineStr">
        <is>
          <t>Mongolia</t>
        </is>
      </c>
      <c r="F2093" s="3" t="inlineStr">
        <is>
          <t>All Items, Consumer price index (CPI), Period average</t>
        </is>
      </c>
      <c r="G2093" s="3" t="n">
        <v>15.12025</v>
      </c>
      <c r="H2093" s="3" t="n">
        <v>16.083958</v>
      </c>
      <c r="I2093" s="3" t="n">
        <v>16.233499</v>
      </c>
      <c r="J2093" s="3" t="n">
        <v>17.07259</v>
      </c>
      <c r="K2093" s="3" t="n">
        <v>18.484921</v>
      </c>
      <c r="L2093" s="3" t="n">
        <v>20.811113</v>
      </c>
      <c r="M2093" s="3" t="n">
        <v>21.716667</v>
      </c>
      <c r="N2093" s="3" t="n">
        <v>23.808333</v>
      </c>
      <c r="O2093" s="3" t="n">
        <v>30.475</v>
      </c>
      <c r="P2093" s="3" t="n">
        <v>32.791667</v>
      </c>
      <c r="Q2093" s="3" t="n">
        <v>35.516667</v>
      </c>
      <c r="R2093" s="3" t="n">
        <v>38.633333</v>
      </c>
      <c r="S2093" s="3" t="n">
        <v>43.983333</v>
      </c>
      <c r="T2093" s="3" t="n">
        <v>48.65</v>
      </c>
      <c r="U2093" s="3" t="n">
        <v>54.941667</v>
      </c>
      <c r="V2093" s="3" t="n">
        <v>58.666667</v>
      </c>
      <c r="W2093" s="3" t="n">
        <v>59.125</v>
      </c>
      <c r="X2093" s="3" t="n">
        <v>61.658333</v>
      </c>
      <c r="Y2093" s="3" t="n">
        <v>65.833333</v>
      </c>
      <c r="Z2093" s="3" t="n">
        <v>70.658333</v>
      </c>
      <c r="AA2093" s="3" t="n">
        <v>73.3</v>
      </c>
      <c r="AB2093" s="3" t="n">
        <v>78.7</v>
      </c>
      <c r="AC2093" s="3" t="n">
        <v>90.61666700000001</v>
      </c>
      <c r="AD2093" s="3" t="n">
        <v>100</v>
      </c>
      <c r="AE2093" s="3" t="n">
        <v>106.191667</v>
      </c>
      <c r="AF2093" s="3" t="n">
        <v>115.333333</v>
      </c>
      <c r="AG2093" s="3" t="n">
        <v>123.874523</v>
      </c>
      <c r="AH2093" s="3" t="n">
        <v>132.731552</v>
      </c>
      <c r="AI2093" s="3" t="n">
        <v>141.890029</v>
      </c>
      <c r="AJ2093" s="3" t="n">
        <v>151.325716</v>
      </c>
      <c r="AK2093" s="3" t="n">
        <v>161.010562</v>
      </c>
      <c r="AL2093" s="3" t="n">
        <v>171.073722</v>
      </c>
      <c r="AM2093" s="3" t="n"/>
      <c r="AN2093" s="3" t="n"/>
      <c r="AO2093" s="3" t="n"/>
      <c r="AP2093" s="3" t="n"/>
      <c r="AQ2093" s="3" t="n"/>
      <c r="AR2093" s="3" t="n"/>
      <c r="AS2093" s="3" t="n"/>
      <c r="AT2093" s="3" t="n"/>
      <c r="AU2093" s="3" t="n"/>
    </row>
    <row r="2094">
      <c r="A2094" s="3" t="n">
        <v>2031</v>
      </c>
      <c r="B2094" s="3" t="inlineStr">
        <is>
          <t>MNG</t>
        </is>
      </c>
      <c r="C2094" s="3" t="inlineStr">
        <is>
          <t>IMF.RES:WEO</t>
        </is>
      </c>
      <c r="D2094" s="3" t="inlineStr">
        <is>
          <t>MNG.PCPIPCH.A</t>
        </is>
      </c>
      <c r="E2094" s="3" t="inlineStr">
        <is>
          <t>Mongolia</t>
        </is>
      </c>
      <c r="F2094" s="3" t="inlineStr">
        <is>
          <t>All Items, Consumer price index (CPI), Period average, percent change</t>
        </is>
      </c>
      <c r="G2094" s="3" t="n">
        <v>11.314985</v>
      </c>
      <c r="H2094" s="3" t="n">
        <v>6.373626</v>
      </c>
      <c r="I2094" s="3" t="n">
        <v>0.929752</v>
      </c>
      <c r="J2094" s="3" t="n">
        <v>5.168884</v>
      </c>
      <c r="K2094" s="3" t="n">
        <v>8.272506</v>
      </c>
      <c r="L2094" s="3" t="n">
        <v>12.58427</v>
      </c>
      <c r="M2094" s="3" t="n">
        <v>4.351297</v>
      </c>
      <c r="N2094" s="3" t="n">
        <v>9.631619000000001</v>
      </c>
      <c r="O2094" s="3" t="n">
        <v>28.0014</v>
      </c>
      <c r="P2094" s="3" t="n">
        <v>7.601859</v>
      </c>
      <c r="Q2094" s="3" t="n">
        <v>8.310038</v>
      </c>
      <c r="R2094" s="3" t="n">
        <v>8.775223</v>
      </c>
      <c r="S2094" s="3" t="n">
        <v>13.848145</v>
      </c>
      <c r="T2094" s="3" t="n">
        <v>10.61008</v>
      </c>
      <c r="U2094" s="3" t="n">
        <v>12.932511</v>
      </c>
      <c r="V2094" s="3" t="n">
        <v>6.779918</v>
      </c>
      <c r="W2094" s="3" t="n">
        <v>0.78125</v>
      </c>
      <c r="X2094" s="3" t="n">
        <v>4.284708</v>
      </c>
      <c r="Y2094" s="3" t="n">
        <v>6.771185</v>
      </c>
      <c r="Z2094" s="3" t="n">
        <v>7.329114</v>
      </c>
      <c r="AA2094" s="3" t="n">
        <v>3.738648</v>
      </c>
      <c r="AB2094" s="3" t="n">
        <v>7.366985</v>
      </c>
      <c r="AC2094" s="3" t="n">
        <v>15.141889</v>
      </c>
      <c r="AD2094" s="3" t="n">
        <v>10.354975</v>
      </c>
      <c r="AE2094" s="3" t="n">
        <v>6.191667</v>
      </c>
      <c r="AF2094" s="3" t="n">
        <v>8.608648000000001</v>
      </c>
      <c r="AG2094" s="3" t="n">
        <v>7.405656</v>
      </c>
      <c r="AH2094" s="3" t="n">
        <v>7.15</v>
      </c>
      <c r="AI2094" s="3" t="n">
        <v>6.9</v>
      </c>
      <c r="AJ2094" s="3" t="n">
        <v>6.65</v>
      </c>
      <c r="AK2094" s="3" t="n">
        <v>6.4</v>
      </c>
      <c r="AL2094" s="3" t="n">
        <v>6.25</v>
      </c>
      <c r="AM2094" s="3" t="n"/>
      <c r="AN2094" s="3" t="n"/>
      <c r="AO2094" s="3" t="n"/>
      <c r="AP2094" s="3" t="n"/>
      <c r="AQ2094" s="3" t="n"/>
      <c r="AR2094" s="3" t="n"/>
      <c r="AS2094" s="3" t="n"/>
      <c r="AT2094" s="3" t="n"/>
      <c r="AU2094" s="3" t="n"/>
    </row>
    <row r="2095">
      <c r="A2095" s="3" t="n">
        <v>2031</v>
      </c>
      <c r="B2095" s="3" t="inlineStr">
        <is>
          <t>MNG</t>
        </is>
      </c>
      <c r="C2095" s="3" t="inlineStr">
        <is>
          <t>IMF.RES:WEO</t>
        </is>
      </c>
      <c r="D2095" s="3" t="inlineStr">
        <is>
          <t>MNG.PPPPC.A</t>
        </is>
      </c>
      <c r="E2095" s="3" t="inlineStr">
        <is>
          <t>Mongolia</t>
        </is>
      </c>
      <c r="F2095" s="3" t="inlineStr">
        <is>
          <t>Gross domestic product (GDP), Per capita, purchasing power parity (PPP) international dollar, ICP benchmarks 2017-2021</t>
        </is>
      </c>
      <c r="G2095" s="3" t="n">
        <v>3303.64821</v>
      </c>
      <c r="H2095" s="3" t="n">
        <v>3492.160734</v>
      </c>
      <c r="I2095" s="3" t="n">
        <v>3682.859128</v>
      </c>
      <c r="J2095" s="3" t="n">
        <v>3984.315294</v>
      </c>
      <c r="K2095" s="3" t="n">
        <v>4429.767393</v>
      </c>
      <c r="L2095" s="3" t="n">
        <v>4809.994519</v>
      </c>
      <c r="M2095" s="3" t="n">
        <v>5296.279233</v>
      </c>
      <c r="N2095" s="3" t="n">
        <v>5832.149445</v>
      </c>
      <c r="O2095" s="3" t="n">
        <v>6299.887508</v>
      </c>
      <c r="P2095" s="3" t="n">
        <v>6092.564695</v>
      </c>
      <c r="Q2095" s="3" t="n">
        <v>6510.45746</v>
      </c>
      <c r="R2095" s="3" t="n">
        <v>7653.188368</v>
      </c>
      <c r="S2095" s="3" t="n">
        <v>8584.876592000001</v>
      </c>
      <c r="T2095" s="3" t="n">
        <v>9540.031095</v>
      </c>
      <c r="U2095" s="3" t="n">
        <v>10242.007128</v>
      </c>
      <c r="V2095" s="3" t="n">
        <v>10372.157503</v>
      </c>
      <c r="W2095" s="3" t="n">
        <v>10414.996397</v>
      </c>
      <c r="X2095" s="3" t="n">
        <v>10994.843204</v>
      </c>
      <c r="Y2095" s="3" t="n">
        <v>12202.275121</v>
      </c>
      <c r="Z2095" s="3" t="n">
        <v>13484.509958</v>
      </c>
      <c r="AA2095" s="3" t="n">
        <v>13569.451317</v>
      </c>
      <c r="AB2095" s="3" t="n">
        <v>14678.604511</v>
      </c>
      <c r="AC2095" s="3" t="n">
        <v>16286.491562</v>
      </c>
      <c r="AD2095" s="3" t="n">
        <v>17898.326001</v>
      </c>
      <c r="AE2095" s="3" t="n">
        <v>19064.087429</v>
      </c>
      <c r="AF2095" s="3" t="n">
        <v>20719.958095</v>
      </c>
      <c r="AG2095" s="3" t="n">
        <v>22192.009833</v>
      </c>
      <c r="AH2095" s="3" t="n">
        <v>23619.932459</v>
      </c>
      <c r="AI2095" s="3" t="n">
        <v>24982.310489</v>
      </c>
      <c r="AJ2095" s="3" t="n">
        <v>26409.478249</v>
      </c>
      <c r="AK2095" s="3" t="n">
        <v>27936.103538</v>
      </c>
      <c r="AL2095" s="3" t="n">
        <v>29543.357062</v>
      </c>
      <c r="AM2095" s="3" t="n"/>
      <c r="AN2095" s="3" t="n"/>
      <c r="AO2095" s="3" t="n"/>
      <c r="AP2095" s="3" t="n"/>
      <c r="AQ2095" s="3" t="n"/>
      <c r="AR2095" s="3" t="n"/>
      <c r="AS2095" s="3" t="n"/>
      <c r="AT2095" s="3" t="n"/>
      <c r="AU2095" s="3" t="n"/>
    </row>
    <row r="2096">
      <c r="A2096" s="3" t="n">
        <v>2025</v>
      </c>
      <c r="B2096" s="3" t="inlineStr">
        <is>
          <t>MNG</t>
        </is>
      </c>
      <c r="C2096" s="3" t="inlineStr">
        <is>
          <t>IMF.STA:ER</t>
        </is>
      </c>
      <c r="D2096" s="3" t="inlineStr">
        <is>
          <t>MNG.XDC_USD.PA_RT.A</t>
        </is>
      </c>
      <c r="E2096" s="3" t="inlineStr">
        <is>
          <t>Mongolia</t>
        </is>
      </c>
      <c r="F2096" s="3" t="inlineStr">
        <is>
          <t>Domestic currency per US Dollar</t>
        </is>
      </c>
      <c r="G2096" s="3" t="n">
        <v>1076.66666666666</v>
      </c>
      <c r="H2096" s="3" t="n">
        <v>1097.6975</v>
      </c>
      <c r="I2096" s="3" t="n">
        <v>1110.31</v>
      </c>
      <c r="J2096" s="3" t="n">
        <v>1146.5425</v>
      </c>
      <c r="K2096" s="3" t="n">
        <v>1185.2975</v>
      </c>
      <c r="L2096" s="3" t="n">
        <v>1205.24666666666</v>
      </c>
      <c r="M2096" s="3" t="n">
        <v>1179.69916666666</v>
      </c>
      <c r="N2096" s="3" t="n">
        <v>1170.40083333333</v>
      </c>
      <c r="O2096" s="3" t="n">
        <v>1165.80416666666</v>
      </c>
      <c r="P2096" s="3" t="n">
        <v>1437.795</v>
      </c>
      <c r="Q2096" s="3" t="n">
        <v>1357.06416666666</v>
      </c>
      <c r="R2096" s="3" t="n">
        <v>1265.51583333333</v>
      </c>
      <c r="S2096" s="3" t="n">
        <v>1357.58</v>
      </c>
      <c r="T2096" s="3" t="n">
        <v>1523.9275</v>
      </c>
      <c r="U2096" s="3" t="n">
        <v>1817.93870833333</v>
      </c>
      <c r="V2096" s="3" t="n">
        <v>1970.30916666666</v>
      </c>
      <c r="W2096" s="3" t="n">
        <v>2140.29086406116</v>
      </c>
      <c r="X2096" s="3" t="n">
        <v>2439.77720111244</v>
      </c>
      <c r="Y2096" s="3" t="n">
        <v>2472.48405114234</v>
      </c>
      <c r="Z2096" s="3" t="n">
        <v>2663.54139820162</v>
      </c>
      <c r="AA2096" s="3" t="n">
        <v>2813.28983532639</v>
      </c>
      <c r="AB2096" s="3" t="n">
        <v>2849.2886145414</v>
      </c>
      <c r="AC2096" s="3" t="n">
        <v>3140.67788364809</v>
      </c>
      <c r="AD2096" s="3" t="n">
        <v>3465.73653626198</v>
      </c>
      <c r="AE2096" s="3" t="n">
        <v>3389.981520221</v>
      </c>
      <c r="AF2096" s="3" t="n">
        <v>3545.14356555046</v>
      </c>
      <c r="AG2096" s="3" t="n"/>
      <c r="AH2096" s="3" t="n"/>
      <c r="AI2096" s="3" t="n"/>
      <c r="AJ2096" s="3" t="n"/>
      <c r="AK2096" s="3" t="n"/>
      <c r="AL2096" s="3" t="n"/>
      <c r="AM2096" s="3" t="n"/>
      <c r="AN2096" s="3" t="n"/>
      <c r="AO2096" s="3" t="n"/>
      <c r="AP2096" s="3" t="n"/>
      <c r="AQ2096" s="3" t="n"/>
      <c r="AR2096" s="3" t="n"/>
      <c r="AS2096" s="3" t="n"/>
      <c r="AT2096" s="3" t="n"/>
      <c r="AU2096" s="3" t="n"/>
    </row>
    <row r="2097">
      <c r="A2097" s="3" t="n">
        <v>2031</v>
      </c>
      <c r="B2097" s="3" t="inlineStr">
        <is>
          <t>MOZ</t>
        </is>
      </c>
      <c r="C2097" s="3" t="inlineStr">
        <is>
          <t>IMF.RES:WEO</t>
        </is>
      </c>
      <c r="D2097" s="3" t="inlineStr">
        <is>
          <t>MOZ.BCA.A</t>
        </is>
      </c>
      <c r="E2097" s="3" t="inlineStr">
        <is>
          <t>Mozambique, Republic of</t>
        </is>
      </c>
      <c r="F2097" s="3" t="inlineStr">
        <is>
          <t>Current account balance (credit less debit), US dollar</t>
        </is>
      </c>
      <c r="G2097" s="3" t="n">
        <v>-0.696871</v>
      </c>
      <c r="H2097" s="3" t="n">
        <v>-0.6493910000000001</v>
      </c>
      <c r="I2097" s="3" t="n">
        <v>-0.86916</v>
      </c>
      <c r="J2097" s="3" t="n">
        <v>-0.816558</v>
      </c>
      <c r="K2097" s="3" t="n">
        <v>-0.479288</v>
      </c>
      <c r="L2097" s="3" t="n">
        <v>-0.760593</v>
      </c>
      <c r="M2097" s="3" t="n">
        <v>-0.755428</v>
      </c>
      <c r="N2097" s="3" t="n">
        <v>-0.786197</v>
      </c>
      <c r="O2097" s="3" t="n">
        <v>-1.147203</v>
      </c>
      <c r="P2097" s="3" t="n">
        <v>-1.226188</v>
      </c>
      <c r="Q2097" s="3" t="n">
        <v>-1.679441</v>
      </c>
      <c r="R2097" s="3" t="n">
        <v>-3.328708</v>
      </c>
      <c r="S2097" s="3" t="n">
        <v>-6.789977</v>
      </c>
      <c r="T2097" s="3" t="n">
        <v>-6.875446</v>
      </c>
      <c r="U2097" s="3" t="n">
        <v>-6.437246</v>
      </c>
      <c r="V2097" s="3" t="n">
        <v>-5.96785</v>
      </c>
      <c r="W2097" s="3" t="n">
        <v>-3.845983</v>
      </c>
      <c r="X2097" s="3" t="n">
        <v>-2.585534</v>
      </c>
      <c r="Y2097" s="3" t="n">
        <v>-4.425237</v>
      </c>
      <c r="Z2097" s="3" t="n">
        <v>-2.503431</v>
      </c>
      <c r="AA2097" s="3" t="n">
        <v>-3.77532</v>
      </c>
      <c r="AB2097" s="3" t="n">
        <v>-3.426462</v>
      </c>
      <c r="AC2097" s="3" t="n">
        <v>-6.366772</v>
      </c>
      <c r="AD2097" s="3" t="n">
        <v>-2.207225</v>
      </c>
      <c r="AE2097" s="3" t="n">
        <v>-2.49313</v>
      </c>
      <c r="AF2097" s="3" t="n">
        <v>-3.174909</v>
      </c>
      <c r="AG2097" s="3" t="n">
        <v>-10.018555</v>
      </c>
      <c r="AH2097" s="3" t="n">
        <v>-9.761328000000001</v>
      </c>
      <c r="AI2097" s="3" t="n">
        <v>-9.359700999999999</v>
      </c>
      <c r="AJ2097" s="3" t="n">
        <v>-8.349322000000001</v>
      </c>
      <c r="AK2097" s="3" t="n">
        <v>-5.026977</v>
      </c>
      <c r="AL2097" s="3" t="n">
        <v>-0.622822</v>
      </c>
      <c r="AM2097" s="3" t="n"/>
      <c r="AN2097" s="3" t="n"/>
      <c r="AO2097" s="3" t="n"/>
      <c r="AP2097" s="3" t="n"/>
      <c r="AQ2097" s="3" t="n"/>
      <c r="AR2097" s="3" t="n"/>
      <c r="AS2097" s="3" t="n"/>
      <c r="AT2097" s="3" t="n"/>
      <c r="AU2097" s="3" t="n"/>
    </row>
    <row r="2098">
      <c r="A2098" s="3" t="n">
        <v>2031</v>
      </c>
      <c r="B2098" s="3" t="inlineStr">
        <is>
          <t>MOZ</t>
        </is>
      </c>
      <c r="C2098" s="3" t="inlineStr">
        <is>
          <t>IMF.RES:WEO</t>
        </is>
      </c>
      <c r="D2098" s="3" t="inlineStr">
        <is>
          <t>MOZ.BCA_NGDPD.A</t>
        </is>
      </c>
      <c r="E2098" s="3" t="inlineStr">
        <is>
          <t>Mozambique, Republic of</t>
        </is>
      </c>
      <c r="F2098" s="3" t="inlineStr">
        <is>
          <t>Current account balance (credit less debit), Percent of GDP</t>
        </is>
      </c>
      <c r="G2098" s="3" t="n">
        <v>-11.750265</v>
      </c>
      <c r="H2098" s="3" t="n">
        <v>-11.493315</v>
      </c>
      <c r="I2098" s="3" t="n">
        <v>-14.605854</v>
      </c>
      <c r="J2098" s="3" t="n">
        <v>-12.403067</v>
      </c>
      <c r="K2098" s="3" t="n">
        <v>-6.038452</v>
      </c>
      <c r="L2098" s="3" t="n">
        <v>-8.576345</v>
      </c>
      <c r="M2098" s="3" t="n">
        <v>-7.943661</v>
      </c>
      <c r="N2098" s="3" t="n">
        <v>-7.271877</v>
      </c>
      <c r="O2098" s="3" t="n">
        <v>-8.879033</v>
      </c>
      <c r="P2098" s="3" t="n">
        <v>-9.998340000000001</v>
      </c>
      <c r="Q2098" s="3" t="n">
        <v>-14.716585</v>
      </c>
      <c r="R2098" s="3" t="n">
        <v>-22.769323</v>
      </c>
      <c r="S2098" s="3" t="n">
        <v>-40.687472</v>
      </c>
      <c r="T2098" s="3" t="n">
        <v>-39.97798</v>
      </c>
      <c r="U2098" s="3" t="n">
        <v>-35.80577</v>
      </c>
      <c r="V2098" s="3" t="n">
        <v>-36.81818</v>
      </c>
      <c r="W2098" s="3" t="n">
        <v>-31.866482</v>
      </c>
      <c r="X2098" s="3" t="n">
        <v>-19.491931</v>
      </c>
      <c r="Y2098" s="3" t="n">
        <v>-29.46749</v>
      </c>
      <c r="Z2098" s="3" t="n">
        <v>-16.137885</v>
      </c>
      <c r="AA2098" s="3" t="n">
        <v>-26.520622</v>
      </c>
      <c r="AB2098" s="3" t="n">
        <v>-21.192787</v>
      </c>
      <c r="AC2098" s="3" t="n">
        <v>-33.71601</v>
      </c>
      <c r="AD2098" s="3" t="n">
        <v>-10.550239</v>
      </c>
      <c r="AE2098" s="3" t="n">
        <v>-10.961059</v>
      </c>
      <c r="AF2098" s="3" t="n">
        <v>-14.212734</v>
      </c>
      <c r="AG2098" s="3" t="n">
        <v>-43.043535</v>
      </c>
      <c r="AH2098" s="3" t="n">
        <v>-39.600201</v>
      </c>
      <c r="AI2098" s="3" t="n">
        <v>-36.426304</v>
      </c>
      <c r="AJ2098" s="3" t="n">
        <v>-30.874742</v>
      </c>
      <c r="AK2098" s="3" t="n">
        <v>-16.267485</v>
      </c>
      <c r="AL2098" s="3" t="n">
        <v>-1.750994</v>
      </c>
      <c r="AM2098" s="3" t="n"/>
      <c r="AN2098" s="3" t="n"/>
      <c r="AO2098" s="3" t="n"/>
      <c r="AP2098" s="3" t="n"/>
      <c r="AQ2098" s="3" t="n"/>
      <c r="AR2098" s="3" t="n"/>
      <c r="AS2098" s="3" t="n"/>
      <c r="AT2098" s="3" t="n"/>
      <c r="AU2098" s="3" t="n"/>
    </row>
    <row r="2099">
      <c r="A2099" s="3" t="n">
        <v>2031</v>
      </c>
      <c r="B2099" s="3" t="inlineStr">
        <is>
          <t>MOZ</t>
        </is>
      </c>
      <c r="C2099" s="3" t="inlineStr">
        <is>
          <t>IMF.RES:WEO</t>
        </is>
      </c>
      <c r="D2099" s="3" t="inlineStr">
        <is>
          <t>MOZ.GGR_NGDP.A</t>
        </is>
      </c>
      <c r="E2099" s="3" t="inlineStr">
        <is>
          <t>Mozambique, Republic of</t>
        </is>
      </c>
      <c r="F2099" s="3" t="inlineStr">
        <is>
          <t>Revenue, General government, Percent of GDP</t>
        </is>
      </c>
      <c r="G2099" s="3" t="n">
        <v>15.933915</v>
      </c>
      <c r="H2099" s="3" t="n">
        <v>16.333485</v>
      </c>
      <c r="I2099" s="3" t="n">
        <v>15.252288</v>
      </c>
      <c r="J2099" s="3" t="n">
        <v>15.971954</v>
      </c>
      <c r="K2099" s="3" t="n">
        <v>14.599639</v>
      </c>
      <c r="L2099" s="3" t="n">
        <v>14.924797</v>
      </c>
      <c r="M2099" s="3" t="n">
        <v>17.105922</v>
      </c>
      <c r="N2099" s="3" t="n">
        <v>18.729873</v>
      </c>
      <c r="O2099" s="3" t="n">
        <v>19.397687</v>
      </c>
      <c r="P2099" s="3" t="n">
        <v>21.344204</v>
      </c>
      <c r="Q2099" s="3" t="n">
        <v>23.2144</v>
      </c>
      <c r="R2099" s="3" t="n">
        <v>24.563673</v>
      </c>
      <c r="S2099" s="3" t="n">
        <v>24.665035</v>
      </c>
      <c r="T2099" s="3" t="n">
        <v>29.248785</v>
      </c>
      <c r="U2099" s="3" t="n">
        <v>29.980191</v>
      </c>
      <c r="V2099" s="3" t="n">
        <v>25.611129</v>
      </c>
      <c r="W2099" s="3" t="n">
        <v>23.674331</v>
      </c>
      <c r="X2099" s="3" t="n">
        <v>26.604749</v>
      </c>
      <c r="Y2099" s="3" t="n">
        <v>25.465694</v>
      </c>
      <c r="Z2099" s="3" t="n">
        <v>29.708495</v>
      </c>
      <c r="AA2099" s="3" t="n">
        <v>27.665723</v>
      </c>
      <c r="AB2099" s="3" t="n">
        <v>26.889592</v>
      </c>
      <c r="AC2099" s="3" t="n">
        <v>27.679326</v>
      </c>
      <c r="AD2099" s="3" t="n">
        <v>29.073973</v>
      </c>
      <c r="AE2099" s="3" t="n">
        <v>27.069351</v>
      </c>
      <c r="AF2099" s="3" t="n">
        <v>26.302553</v>
      </c>
      <c r="AG2099" s="3" t="n">
        <v>26.45391</v>
      </c>
      <c r="AH2099" s="3" t="n">
        <v>25.870295</v>
      </c>
      <c r="AI2099" s="3" t="n">
        <v>25.948099</v>
      </c>
      <c r="AJ2099" s="3" t="n">
        <v>26.031276</v>
      </c>
      <c r="AK2099" s="3" t="n">
        <v>28.254319</v>
      </c>
      <c r="AL2099" s="3" t="n">
        <v>26.854237</v>
      </c>
      <c r="AM2099" s="3" t="n"/>
      <c r="AN2099" s="3" t="n"/>
      <c r="AO2099" s="3" t="n"/>
      <c r="AP2099" s="3" t="n"/>
      <c r="AQ2099" s="3" t="n"/>
      <c r="AR2099" s="3" t="n"/>
      <c r="AS2099" s="3" t="n"/>
      <c r="AT2099" s="3" t="n"/>
      <c r="AU2099" s="3" t="n"/>
    </row>
    <row r="2100">
      <c r="A2100" s="3" t="n">
        <v>2031</v>
      </c>
      <c r="B2100" s="3" t="inlineStr">
        <is>
          <t>MOZ</t>
        </is>
      </c>
      <c r="C2100" s="3" t="inlineStr">
        <is>
          <t>IMF.RES:WEO</t>
        </is>
      </c>
      <c r="D2100" s="3" t="inlineStr">
        <is>
          <t>MOZ.GGX_NGDP.A</t>
        </is>
      </c>
      <c r="E2100" s="3" t="inlineStr">
        <is>
          <t>Mozambique, Republic of</t>
        </is>
      </c>
      <c r="F2100" s="3" t="inlineStr">
        <is>
          <t>Expenditure, General government, Percent of GDP</t>
        </is>
      </c>
      <c r="G2100" s="3" t="n">
        <v>17.193715</v>
      </c>
      <c r="H2100" s="3" t="n">
        <v>20.76783</v>
      </c>
      <c r="I2100" s="3" t="n">
        <v>18.616703</v>
      </c>
      <c r="J2100" s="3" t="n">
        <v>18.607462</v>
      </c>
      <c r="K2100" s="3" t="n">
        <v>17.767553</v>
      </c>
      <c r="L2100" s="3" t="n">
        <v>16.983415</v>
      </c>
      <c r="M2100" s="3" t="n">
        <v>20.139597</v>
      </c>
      <c r="N2100" s="3" t="n">
        <v>20.920694</v>
      </c>
      <c r="O2100" s="3" t="n">
        <v>21.295361</v>
      </c>
      <c r="P2100" s="3" t="n">
        <v>25.690545</v>
      </c>
      <c r="Q2100" s="3" t="n">
        <v>26.618003</v>
      </c>
      <c r="R2100" s="3" t="n">
        <v>28.899619</v>
      </c>
      <c r="S2100" s="3" t="n">
        <v>28.114778</v>
      </c>
      <c r="T2100" s="3" t="n">
        <v>31.712253</v>
      </c>
      <c r="U2100" s="3" t="n">
        <v>39.733435</v>
      </c>
      <c r="V2100" s="3" t="n">
        <v>32.165794</v>
      </c>
      <c r="W2100" s="3" t="n">
        <v>28.738213</v>
      </c>
      <c r="X2100" s="3" t="n">
        <v>28.590971</v>
      </c>
      <c r="Y2100" s="3" t="n">
        <v>31.166645</v>
      </c>
      <c r="Z2100" s="3" t="n">
        <v>28.004325</v>
      </c>
      <c r="AA2100" s="3" t="n">
        <v>33.858037</v>
      </c>
      <c r="AB2100" s="3" t="n">
        <v>32.122157</v>
      </c>
      <c r="AC2100" s="3" t="n">
        <v>32.898309</v>
      </c>
      <c r="AD2100" s="3" t="n">
        <v>33.331813</v>
      </c>
      <c r="AE2100" s="3" t="n">
        <v>33.300801</v>
      </c>
      <c r="AF2100" s="3" t="n">
        <v>30.269405</v>
      </c>
      <c r="AG2100" s="3" t="n">
        <v>32.932808</v>
      </c>
      <c r="AH2100" s="3" t="n">
        <v>33.13248</v>
      </c>
      <c r="AI2100" s="3" t="n">
        <v>34.298887</v>
      </c>
      <c r="AJ2100" s="3" t="n">
        <v>35.452173</v>
      </c>
      <c r="AK2100" s="3" t="n">
        <v>38.041926</v>
      </c>
      <c r="AL2100" s="3" t="n">
        <v>37.816665</v>
      </c>
      <c r="AM2100" s="3" t="n"/>
      <c r="AN2100" s="3" t="n"/>
      <c r="AO2100" s="3" t="n"/>
      <c r="AP2100" s="3" t="n"/>
      <c r="AQ2100" s="3" t="n"/>
      <c r="AR2100" s="3" t="n"/>
      <c r="AS2100" s="3" t="n"/>
      <c r="AT2100" s="3" t="n"/>
      <c r="AU2100" s="3" t="n"/>
    </row>
    <row r="2101">
      <c r="A2101" s="3" t="n">
        <v>2031</v>
      </c>
      <c r="B2101" s="3" t="inlineStr">
        <is>
          <t>MOZ</t>
        </is>
      </c>
      <c r="C2101" s="3" t="inlineStr">
        <is>
          <t>IMF.RES:WEO</t>
        </is>
      </c>
      <c r="D2101" s="3" t="inlineStr">
        <is>
          <t>MOZ.LP.A</t>
        </is>
      </c>
      <c r="E2101" s="3" t="inlineStr">
        <is>
          <t>Mozambique, Republic of</t>
        </is>
      </c>
      <c r="F2101" s="3" t="inlineStr">
        <is>
          <t>Population, Persons for countries / Index for country groups</t>
        </is>
      </c>
      <c r="G2101" s="3" t="n">
        <v>17.711925</v>
      </c>
      <c r="H2101" s="3" t="n">
        <v>18.221884</v>
      </c>
      <c r="I2101" s="3" t="n">
        <v>18.764147</v>
      </c>
      <c r="J2101" s="3" t="n">
        <v>19.331097</v>
      </c>
      <c r="K2101" s="3" t="n">
        <v>19.910549</v>
      </c>
      <c r="L2101" s="3" t="n">
        <v>20.493927</v>
      </c>
      <c r="M2101" s="3" t="n">
        <v>21.080108</v>
      </c>
      <c r="N2101" s="3" t="n">
        <v>21.673319</v>
      </c>
      <c r="O2101" s="3" t="n">
        <v>22.276596</v>
      </c>
      <c r="P2101" s="3" t="n">
        <v>22.894718</v>
      </c>
      <c r="Q2101" s="3" t="n">
        <v>23.531567</v>
      </c>
      <c r="R2101" s="3" t="n">
        <v>24.1875</v>
      </c>
      <c r="S2101" s="3" t="n">
        <v>24.862673</v>
      </c>
      <c r="T2101" s="3" t="n">
        <v>25.560752</v>
      </c>
      <c r="U2101" s="3" t="n">
        <v>26.286192</v>
      </c>
      <c r="V2101" s="3" t="n">
        <v>27.042001</v>
      </c>
      <c r="W2101" s="3" t="n">
        <v>27.82993</v>
      </c>
      <c r="X2101" s="3" t="n">
        <v>28.649007</v>
      </c>
      <c r="Y2101" s="3" t="n">
        <v>29.423878</v>
      </c>
      <c r="Z2101" s="3" t="n">
        <v>30.285595</v>
      </c>
      <c r="AA2101" s="3" t="n">
        <v>31.178239</v>
      </c>
      <c r="AB2101" s="3" t="n">
        <v>32.077072</v>
      </c>
      <c r="AC2101" s="3" t="n">
        <v>32.969518</v>
      </c>
      <c r="AD2101" s="3" t="n">
        <v>33.897354</v>
      </c>
      <c r="AE2101" s="3" t="n">
        <v>34.858402</v>
      </c>
      <c r="AF2101" s="3" t="n">
        <v>35.834558</v>
      </c>
      <c r="AG2101" s="3" t="n">
        <v>36.825701</v>
      </c>
      <c r="AH2101" s="3" t="n">
        <v>37.831124</v>
      </c>
      <c r="AI2101" s="3" t="n">
        <v>38.849522</v>
      </c>
      <c r="AJ2101" s="3" t="n">
        <v>39.880166</v>
      </c>
      <c r="AK2101" s="3" t="n">
        <v>40.920707</v>
      </c>
      <c r="AL2101" s="3" t="n">
        <v>41.972677</v>
      </c>
      <c r="AM2101" s="3" t="n"/>
      <c r="AN2101" s="3" t="n"/>
      <c r="AO2101" s="3" t="n"/>
      <c r="AP2101" s="3" t="n"/>
      <c r="AQ2101" s="3" t="n"/>
      <c r="AR2101" s="3" t="n"/>
      <c r="AS2101" s="3" t="n"/>
      <c r="AT2101" s="3" t="n"/>
      <c r="AU2101" s="3" t="n"/>
    </row>
    <row r="2102">
      <c r="A2102" s="3" t="n">
        <v>2031</v>
      </c>
      <c r="B2102" s="3" t="inlineStr">
        <is>
          <t>MOZ</t>
        </is>
      </c>
      <c r="C2102" s="3" t="inlineStr">
        <is>
          <t>IMF.RES:WEO</t>
        </is>
      </c>
      <c r="D2102" s="3" t="inlineStr">
        <is>
          <t>MOZ.NGDP.A</t>
        </is>
      </c>
      <c r="E2102" s="3" t="inlineStr">
        <is>
          <t>Mozambique, Republic of</t>
        </is>
      </c>
      <c r="F2102" s="3" t="inlineStr">
        <is>
          <t>Gross domestic product (GDP), Current prices, Domestic currency</t>
        </is>
      </c>
      <c r="G2102" s="3" t="n">
        <v>90.30800000000001</v>
      </c>
      <c r="H2102" s="3" t="n">
        <v>116.979</v>
      </c>
      <c r="I2102" s="3" t="n">
        <v>140.902</v>
      </c>
      <c r="J2102" s="3" t="n">
        <v>156.571</v>
      </c>
      <c r="K2102" s="3" t="n">
        <v>179.234</v>
      </c>
      <c r="L2102" s="3" t="n">
        <v>204.516</v>
      </c>
      <c r="M2102" s="3" t="n">
        <v>241.557</v>
      </c>
      <c r="N2102" s="3" t="n">
        <v>279.372</v>
      </c>
      <c r="O2102" s="3" t="n">
        <v>313.973</v>
      </c>
      <c r="P2102" s="3" t="n">
        <v>337.482</v>
      </c>
      <c r="Q2102" s="3" t="n">
        <v>387.549</v>
      </c>
      <c r="R2102" s="3" t="n">
        <v>424.947</v>
      </c>
      <c r="S2102" s="3" t="n">
        <v>473.492</v>
      </c>
      <c r="T2102" s="3" t="n">
        <v>517.7329999999999</v>
      </c>
      <c r="U2102" s="3" t="n">
        <v>563.6660000000001</v>
      </c>
      <c r="V2102" s="3" t="n">
        <v>648.075</v>
      </c>
      <c r="W2102" s="3" t="n">
        <v>761.029</v>
      </c>
      <c r="X2102" s="3" t="n">
        <v>843.423</v>
      </c>
      <c r="Y2102" s="3" t="n">
        <v>905.9400000000001</v>
      </c>
      <c r="Z2102" s="3" t="n">
        <v>970.297</v>
      </c>
      <c r="AA2102" s="3" t="n">
        <v>988.8630000000001</v>
      </c>
      <c r="AB2102" s="3" t="n">
        <v>1058.442</v>
      </c>
      <c r="AC2102" s="3" t="n">
        <v>1205.729</v>
      </c>
      <c r="AD2102" s="3" t="n">
        <v>1336.561</v>
      </c>
      <c r="AE2102" s="3" t="n">
        <v>1453.541</v>
      </c>
      <c r="AF2102" s="3" t="n">
        <v>1431.561811</v>
      </c>
      <c r="AG2102" s="3" t="n">
        <v>1511.151953</v>
      </c>
      <c r="AH2102" s="3" t="n">
        <v>1642.523523</v>
      </c>
      <c r="AI2102" s="3" t="n">
        <v>1764.593508</v>
      </c>
      <c r="AJ2102" s="3" t="n">
        <v>1911.766458</v>
      </c>
      <c r="AK2102" s="3" t="n">
        <v>2248.860755</v>
      </c>
      <c r="AL2102" s="3" t="n">
        <v>2664.676621</v>
      </c>
      <c r="AM2102" s="3" t="n"/>
      <c r="AN2102" s="3" t="n"/>
      <c r="AO2102" s="3" t="n"/>
      <c r="AP2102" s="3" t="n"/>
      <c r="AQ2102" s="3" t="n"/>
      <c r="AR2102" s="3" t="n"/>
      <c r="AS2102" s="3" t="n"/>
      <c r="AT2102" s="3" t="n"/>
      <c r="AU2102" s="3" t="n"/>
    </row>
    <row r="2103">
      <c r="A2103" s="3" t="n">
        <v>2031</v>
      </c>
      <c r="B2103" s="3" t="inlineStr">
        <is>
          <t>MOZ</t>
        </is>
      </c>
      <c r="C2103" s="3" t="inlineStr">
        <is>
          <t>IMF.RES:WEO</t>
        </is>
      </c>
      <c r="D2103" s="3" t="inlineStr">
        <is>
          <t>MOZ.NGDP_D.A</t>
        </is>
      </c>
      <c r="E2103" s="3" t="inlineStr">
        <is>
          <t>Mozambique, Republic of</t>
        </is>
      </c>
      <c r="F2103" s="3" t="inlineStr">
        <is>
          <t>Gross domestic product (GDP), Price deflator, Index</t>
        </is>
      </c>
      <c r="G2103" s="3" t="n">
        <v>32.944816</v>
      </c>
      <c r="H2103" s="3" t="n">
        <v>37.814694</v>
      </c>
      <c r="I2103" s="3" t="n">
        <v>41.532525</v>
      </c>
      <c r="J2103" s="3" t="n">
        <v>43.044284</v>
      </c>
      <c r="K2103" s="3" t="n">
        <v>45.538482</v>
      </c>
      <c r="L2103" s="3" t="n">
        <v>48.876876</v>
      </c>
      <c r="M2103" s="3" t="n">
        <v>52.523695</v>
      </c>
      <c r="N2103" s="3" t="n">
        <v>56.429668</v>
      </c>
      <c r="O2103" s="3" t="n">
        <v>59.337368</v>
      </c>
      <c r="P2103" s="3" t="n">
        <v>60.210453</v>
      </c>
      <c r="Q2103" s="3" t="n">
        <v>64.81359500000001</v>
      </c>
      <c r="R2103" s="3" t="n">
        <v>66.335572</v>
      </c>
      <c r="S2103" s="3" t="n">
        <v>68.441997</v>
      </c>
      <c r="T2103" s="3" t="n">
        <v>70.222318</v>
      </c>
      <c r="U2103" s="3" t="n">
        <v>70.98478</v>
      </c>
      <c r="V2103" s="3" t="n">
        <v>75.99628</v>
      </c>
      <c r="W2103" s="3" t="n">
        <v>85.23812599999999</v>
      </c>
      <c r="X2103" s="3" t="n">
        <v>92.038364</v>
      </c>
      <c r="Y2103" s="3" t="n">
        <v>95.531347</v>
      </c>
      <c r="Z2103" s="3" t="n">
        <v>100</v>
      </c>
      <c r="AA2103" s="3" t="n">
        <v>103.171637</v>
      </c>
      <c r="AB2103" s="3" t="n">
        <v>107.866591</v>
      </c>
      <c r="AC2103" s="3" t="n">
        <v>117.732486</v>
      </c>
      <c r="AD2103" s="3" t="n">
        <v>123.699411</v>
      </c>
      <c r="AE2103" s="3" t="n">
        <v>131.695916</v>
      </c>
      <c r="AF2103" s="3" t="n">
        <v>130.387111</v>
      </c>
      <c r="AG2103" s="3" t="n">
        <v>136.925396</v>
      </c>
      <c r="AH2103" s="3" t="n">
        <v>144.871926</v>
      </c>
      <c r="AI2103" s="3" t="n">
        <v>152.312398</v>
      </c>
      <c r="AJ2103" s="3" t="n">
        <v>160.096796</v>
      </c>
      <c r="AK2103" s="3" t="n">
        <v>167.995843</v>
      </c>
      <c r="AL2103" s="3" t="n">
        <v>176.098878</v>
      </c>
      <c r="AM2103" s="3" t="n"/>
      <c r="AN2103" s="3" t="n"/>
      <c r="AO2103" s="3" t="n"/>
      <c r="AP2103" s="3" t="n"/>
      <c r="AQ2103" s="3" t="n"/>
      <c r="AR2103" s="3" t="n"/>
      <c r="AS2103" s="3" t="n"/>
      <c r="AT2103" s="3" t="n"/>
      <c r="AU2103" s="3" t="n"/>
    </row>
    <row r="2104">
      <c r="A2104" s="3" t="n">
        <v>2031</v>
      </c>
      <c r="B2104" s="3" t="inlineStr">
        <is>
          <t>MOZ</t>
        </is>
      </c>
      <c r="C2104" s="3" t="inlineStr">
        <is>
          <t>IMF.RES:WEO</t>
        </is>
      </c>
      <c r="D2104" s="3" t="inlineStr">
        <is>
          <t>MOZ.NGDP_R.A</t>
        </is>
      </c>
      <c r="E2104" s="3" t="inlineStr">
        <is>
          <t>Mozambique, Republic of</t>
        </is>
      </c>
      <c r="F2104" s="3" t="inlineStr">
        <is>
          <t>Gross domestic product (GDP), Constant prices, Domestic currency</t>
        </is>
      </c>
      <c r="G2104" s="3" t="n">
        <v>274.119</v>
      </c>
      <c r="H2104" s="3" t="n">
        <v>309.348</v>
      </c>
      <c r="I2104" s="3" t="n">
        <v>339.257</v>
      </c>
      <c r="J2104" s="3" t="n">
        <v>363.744</v>
      </c>
      <c r="K2104" s="3" t="n">
        <v>393.588</v>
      </c>
      <c r="L2104" s="3" t="n">
        <v>418.431</v>
      </c>
      <c r="M2104" s="3" t="n">
        <v>459.901</v>
      </c>
      <c r="N2104" s="3" t="n">
        <v>495.08</v>
      </c>
      <c r="O2104" s="3" t="n">
        <v>529.1319999999999</v>
      </c>
      <c r="P2104" s="3" t="n">
        <v>560.504</v>
      </c>
      <c r="Q2104" s="3" t="n">
        <v>597.944</v>
      </c>
      <c r="R2104" s="3" t="n">
        <v>640.602</v>
      </c>
      <c r="S2104" s="3" t="n">
        <v>691.8150000000001</v>
      </c>
      <c r="T2104" s="3" t="n">
        <v>737.277</v>
      </c>
      <c r="U2104" s="3" t="n">
        <v>794.066</v>
      </c>
      <c r="V2104" s="3" t="n">
        <v>852.772</v>
      </c>
      <c r="W2104" s="3" t="n">
        <v>892.827</v>
      </c>
      <c r="X2104" s="3" t="n">
        <v>916.3819999999999</v>
      </c>
      <c r="Y2104" s="3" t="n">
        <v>948.317</v>
      </c>
      <c r="Z2104" s="3" t="n">
        <v>970.297</v>
      </c>
      <c r="AA2104" s="3" t="n">
        <v>958.4640000000001</v>
      </c>
      <c r="AB2104" s="3" t="n">
        <v>981.251</v>
      </c>
      <c r="AC2104" s="3" t="n">
        <v>1024.126</v>
      </c>
      <c r="AD2104" s="3" t="n">
        <v>1080.491</v>
      </c>
      <c r="AE2104" s="3" t="n">
        <v>1103.71</v>
      </c>
      <c r="AF2104" s="3" t="n">
        <v>1097.932</v>
      </c>
      <c r="AG2104" s="3" t="n">
        <v>1103.631613</v>
      </c>
      <c r="AH2104" s="3" t="n">
        <v>1133.776274</v>
      </c>
      <c r="AI2104" s="3" t="n">
        <v>1158.535699</v>
      </c>
      <c r="AJ2104" s="3" t="n">
        <v>1194.131614</v>
      </c>
      <c r="AK2104" s="3" t="n">
        <v>1338.640715</v>
      </c>
      <c r="AL2104" s="3" t="n">
        <v>1513.170694</v>
      </c>
      <c r="AM2104" s="3" t="n"/>
      <c r="AN2104" s="3" t="n"/>
      <c r="AO2104" s="3" t="n"/>
      <c r="AP2104" s="3" t="n"/>
      <c r="AQ2104" s="3" t="n"/>
      <c r="AR2104" s="3" t="n"/>
      <c r="AS2104" s="3" t="n"/>
      <c r="AT2104" s="3" t="n"/>
      <c r="AU2104" s="3" t="n"/>
    </row>
    <row r="2105">
      <c r="A2105" s="3" t="n">
        <v>2031</v>
      </c>
      <c r="B2105" s="3" t="inlineStr">
        <is>
          <t>MOZ</t>
        </is>
      </c>
      <c r="C2105" s="3" t="inlineStr">
        <is>
          <t>IMF.RES:WEO</t>
        </is>
      </c>
      <c r="D2105" s="3" t="inlineStr">
        <is>
          <t>MOZ.NGDP_RPCH.A</t>
        </is>
      </c>
      <c r="E2105" s="3" t="inlineStr">
        <is>
          <t>Mozambique, Republic of</t>
        </is>
      </c>
      <c r="F2105" s="3" t="inlineStr">
        <is>
          <t>Gross domestic product (GDP), Constant prices, Percent change</t>
        </is>
      </c>
      <c r="G2105" s="3" t="n">
        <v>0.766078</v>
      </c>
      <c r="H2105" s="3" t="n">
        <v>12.851718</v>
      </c>
      <c r="I2105" s="3" t="n">
        <v>9.668399000000001</v>
      </c>
      <c r="J2105" s="3" t="n">
        <v>7.217832</v>
      </c>
      <c r="K2105" s="3" t="n">
        <v>8.204670999999999</v>
      </c>
      <c r="L2105" s="3" t="n">
        <v>6.31193</v>
      </c>
      <c r="M2105" s="3" t="n">
        <v>9.910833999999999</v>
      </c>
      <c r="N2105" s="3" t="n">
        <v>7.649255</v>
      </c>
      <c r="O2105" s="3" t="n">
        <v>6.87808</v>
      </c>
      <c r="P2105" s="3" t="n">
        <v>5.928955</v>
      </c>
      <c r="Q2105" s="3" t="n">
        <v>6.679703</v>
      </c>
      <c r="R2105" s="3" t="n">
        <v>7.134113</v>
      </c>
      <c r="S2105" s="3" t="n">
        <v>7.994511</v>
      </c>
      <c r="T2105" s="3" t="n">
        <v>6.57141</v>
      </c>
      <c r="U2105" s="3" t="n">
        <v>7.702532</v>
      </c>
      <c r="V2105" s="3" t="n">
        <v>7.393088</v>
      </c>
      <c r="W2105" s="3" t="n">
        <v>4.697035</v>
      </c>
      <c r="X2105" s="3" t="n">
        <v>2.638249</v>
      </c>
      <c r="Y2105" s="3" t="n">
        <v>3.4849</v>
      </c>
      <c r="Z2105" s="3" t="n">
        <v>2.31779</v>
      </c>
      <c r="AA2105" s="3" t="n">
        <v>-1.219524</v>
      </c>
      <c r="AB2105" s="3" t="n">
        <v>2.37745</v>
      </c>
      <c r="AC2105" s="3" t="n">
        <v>4.369422</v>
      </c>
      <c r="AD2105" s="3" t="n">
        <v>5.503717</v>
      </c>
      <c r="AE2105" s="3" t="n">
        <v>2.14893</v>
      </c>
      <c r="AF2105" s="3" t="n">
        <v>-0.5235069999999999</v>
      </c>
      <c r="AG2105" s="3" t="n">
        <v>0.519123</v>
      </c>
      <c r="AH2105" s="3" t="n">
        <v>2.731406</v>
      </c>
      <c r="AI2105" s="3" t="n">
        <v>2.183802</v>
      </c>
      <c r="AJ2105" s="3" t="n">
        <v>3.072492</v>
      </c>
      <c r="AK2105" s="3" t="n">
        <v>12.101606</v>
      </c>
      <c r="AL2105" s="3" t="n">
        <v>13.037851</v>
      </c>
      <c r="AM2105" s="3" t="n"/>
      <c r="AN2105" s="3" t="n"/>
      <c r="AO2105" s="3" t="n"/>
      <c r="AP2105" s="3" t="n"/>
      <c r="AQ2105" s="3" t="n"/>
      <c r="AR2105" s="3" t="n"/>
      <c r="AS2105" s="3" t="n"/>
      <c r="AT2105" s="3" t="n"/>
      <c r="AU2105" s="3" t="n"/>
    </row>
    <row r="2106">
      <c r="A2106" s="3" t="n">
        <v>2031</v>
      </c>
      <c r="B2106" s="3" t="inlineStr">
        <is>
          <t>MOZ</t>
        </is>
      </c>
      <c r="C2106" s="3" t="inlineStr">
        <is>
          <t>IMF.RES:WEO</t>
        </is>
      </c>
      <c r="D2106" s="3" t="inlineStr">
        <is>
          <t>MOZ.NGDPD.A</t>
        </is>
      </c>
      <c r="E2106" s="3" t="inlineStr">
        <is>
          <t>Mozambique, Republic of</t>
        </is>
      </c>
      <c r="F2106" s="3" t="inlineStr">
        <is>
          <t>Gross domestic product (GDP), Current prices, US dollar</t>
        </is>
      </c>
      <c r="G2106" s="3" t="n">
        <v>5.930683</v>
      </c>
      <c r="H2106" s="3" t="n">
        <v>5.650166</v>
      </c>
      <c r="I2106" s="3" t="n">
        <v>5.950767</v>
      </c>
      <c r="J2106" s="3" t="n">
        <v>6.583519</v>
      </c>
      <c r="K2106" s="3" t="n">
        <v>7.937261</v>
      </c>
      <c r="L2106" s="3" t="n">
        <v>8.868493000000001</v>
      </c>
      <c r="M2106" s="3" t="n">
        <v>9.509826</v>
      </c>
      <c r="N2106" s="3" t="n">
        <v>10.811467</v>
      </c>
      <c r="O2106" s="3" t="n">
        <v>12.920358</v>
      </c>
      <c r="P2106" s="3" t="n">
        <v>12.263912</v>
      </c>
      <c r="Q2106" s="3" t="n">
        <v>11.411893</v>
      </c>
      <c r="R2106" s="3" t="n">
        <v>14.619267</v>
      </c>
      <c r="S2106" s="3" t="n">
        <v>16.688128</v>
      </c>
      <c r="T2106" s="3" t="n">
        <v>17.198083</v>
      </c>
      <c r="U2106" s="3" t="n">
        <v>17.978235</v>
      </c>
      <c r="V2106" s="3" t="n">
        <v>16.208977</v>
      </c>
      <c r="W2106" s="3" t="n">
        <v>12.069053</v>
      </c>
      <c r="X2106" s="3" t="n">
        <v>13.264638</v>
      </c>
      <c r="Y2106" s="3" t="n">
        <v>15.017354</v>
      </c>
      <c r="Z2106" s="3" t="n">
        <v>15.512755</v>
      </c>
      <c r="AA2106" s="3" t="n">
        <v>14.235414</v>
      </c>
      <c r="AB2106" s="3" t="n">
        <v>16.168059</v>
      </c>
      <c r="AC2106" s="3" t="n">
        <v>18.883528</v>
      </c>
      <c r="AD2106" s="3" t="n">
        <v>20.921086</v>
      </c>
      <c r="AE2106" s="3" t="n">
        <v>22.745341</v>
      </c>
      <c r="AF2106" s="3" t="n">
        <v>22.338485</v>
      </c>
      <c r="AG2106" s="3" t="n">
        <v>23.2754</v>
      </c>
      <c r="AH2106" s="3" t="n">
        <v>24.649693</v>
      </c>
      <c r="AI2106" s="3" t="n">
        <v>25.694895</v>
      </c>
      <c r="AJ2106" s="3" t="n">
        <v>27.042565</v>
      </c>
      <c r="AK2106" s="3" t="n">
        <v>30.901993</v>
      </c>
      <c r="AL2106" s="3" t="n">
        <v>35.569626</v>
      </c>
      <c r="AM2106" s="3" t="n"/>
      <c r="AN2106" s="3" t="n"/>
      <c r="AO2106" s="3" t="n"/>
      <c r="AP2106" s="3" t="n"/>
      <c r="AQ2106" s="3" t="n"/>
      <c r="AR2106" s="3" t="n"/>
      <c r="AS2106" s="3" t="n"/>
      <c r="AT2106" s="3" t="n"/>
      <c r="AU2106" s="3" t="n"/>
    </row>
    <row r="2107">
      <c r="A2107" s="3" t="n">
        <v>2031</v>
      </c>
      <c r="B2107" s="3" t="inlineStr">
        <is>
          <t>MOZ</t>
        </is>
      </c>
      <c r="C2107" s="3" t="inlineStr">
        <is>
          <t>IMF.RES:WEO</t>
        </is>
      </c>
      <c r="D2107" s="3" t="inlineStr">
        <is>
          <t>MOZ.NGDPPC.A</t>
        </is>
      </c>
      <c r="E2107" s="3" t="inlineStr">
        <is>
          <t>Mozambique, Republic of</t>
        </is>
      </c>
      <c r="F2107" s="3" t="inlineStr">
        <is>
          <t>Gross domestic product (GDP), Current prices, Per capita, Domestic currency</t>
        </is>
      </c>
      <c r="G2107" s="3" t="n">
        <v>5098.711744</v>
      </c>
      <c r="H2107" s="3" t="n">
        <v>6419.698424</v>
      </c>
      <c r="I2107" s="3" t="n">
        <v>7509.107662</v>
      </c>
      <c r="J2107" s="3" t="n">
        <v>8099.436881</v>
      </c>
      <c r="K2107" s="3" t="n">
        <v>9001.961724000001</v>
      </c>
      <c r="L2107" s="3" t="n">
        <v>9979.346563999999</v>
      </c>
      <c r="M2107" s="3" t="n">
        <v>11459.002013</v>
      </c>
      <c r="N2107" s="3" t="n">
        <v>12890.13464</v>
      </c>
      <c r="O2107" s="3" t="n">
        <v>14094.298788</v>
      </c>
      <c r="P2107" s="3" t="n">
        <v>14740.605235</v>
      </c>
      <c r="Q2107" s="3" t="n">
        <v>16469.323951</v>
      </c>
      <c r="R2107" s="3" t="n">
        <v>17568.868217</v>
      </c>
      <c r="S2107" s="3" t="n">
        <v>19044.291819</v>
      </c>
      <c r="T2107" s="3" t="n">
        <v>20254.998757</v>
      </c>
      <c r="U2107" s="3" t="n">
        <v>21443.425506</v>
      </c>
      <c r="V2107" s="3" t="n">
        <v>23965.497228</v>
      </c>
      <c r="W2107" s="3" t="n">
        <v>27345.70299</v>
      </c>
      <c r="X2107" s="3" t="n">
        <v>29439.868544</v>
      </c>
      <c r="Y2107" s="3" t="n">
        <v>30789.279374</v>
      </c>
      <c r="Z2107" s="3" t="n">
        <v>32038.234679</v>
      </c>
      <c r="AA2107" s="3" t="n">
        <v>31716.448129</v>
      </c>
      <c r="AB2107" s="3" t="n">
        <v>32996.839612</v>
      </c>
      <c r="AC2107" s="3" t="n">
        <v>36571.022967</v>
      </c>
      <c r="AD2107" s="3" t="n">
        <v>39429.655778</v>
      </c>
      <c r="AE2107" s="3" t="n">
        <v>41698.440451</v>
      </c>
      <c r="AF2107" s="3" t="n">
        <v>39949.196825</v>
      </c>
      <c r="AG2107" s="3" t="n">
        <v>41035.252879</v>
      </c>
      <c r="AH2107" s="3" t="n">
        <v>43417.254075</v>
      </c>
      <c r="AI2107" s="3" t="n">
        <v>45421.241156</v>
      </c>
      <c r="AJ2107" s="3" t="n">
        <v>47937.775842</v>
      </c>
      <c r="AK2107" s="3" t="n">
        <v>54956.546939</v>
      </c>
      <c r="AL2107" s="3" t="n">
        <v>63485.982108</v>
      </c>
      <c r="AM2107" s="3" t="n"/>
      <c r="AN2107" s="3" t="n"/>
      <c r="AO2107" s="3" t="n"/>
      <c r="AP2107" s="3" t="n"/>
      <c r="AQ2107" s="3" t="n"/>
      <c r="AR2107" s="3" t="n"/>
      <c r="AS2107" s="3" t="n"/>
      <c r="AT2107" s="3" t="n"/>
      <c r="AU2107" s="3" t="n"/>
    </row>
    <row r="2108">
      <c r="A2108" s="3" t="n">
        <v>2031</v>
      </c>
      <c r="B2108" s="3" t="inlineStr">
        <is>
          <t>MOZ</t>
        </is>
      </c>
      <c r="C2108" s="3" t="inlineStr">
        <is>
          <t>IMF.RES:WEO</t>
        </is>
      </c>
      <c r="D2108" s="3" t="inlineStr">
        <is>
          <t>MOZ.NGDPRPC.A</t>
        </is>
      </c>
      <c r="E2108" s="3" t="inlineStr">
        <is>
          <t>Mozambique, Republic of</t>
        </is>
      </c>
      <c r="F2108" s="3" t="inlineStr">
        <is>
          <t>Gross domestic product (GDP), Constant prices, Per capita, Domestic currency</t>
        </is>
      </c>
      <c r="G2108" s="3" t="n">
        <v>15476.522174</v>
      </c>
      <c r="H2108" s="3" t="n">
        <v>16976.729739</v>
      </c>
      <c r="I2108" s="3" t="n">
        <v>18080.065137</v>
      </c>
      <c r="J2108" s="3" t="n">
        <v>18816.52138</v>
      </c>
      <c r="K2108" s="3" t="n">
        <v>19767.81253</v>
      </c>
      <c r="L2108" s="3" t="n">
        <v>20417.316798</v>
      </c>
      <c r="M2108" s="3" t="n">
        <v>21816.823709</v>
      </c>
      <c r="N2108" s="3" t="n">
        <v>22842.832701</v>
      </c>
      <c r="O2108" s="3" t="n">
        <v>23752.821122</v>
      </c>
      <c r="P2108" s="3" t="n">
        <v>24481.804056</v>
      </c>
      <c r="Q2108" s="3" t="n">
        <v>25410.292481</v>
      </c>
      <c r="R2108" s="3" t="n">
        <v>26484.837209</v>
      </c>
      <c r="S2108" s="3" t="n">
        <v>27825.447409</v>
      </c>
      <c r="T2108" s="3" t="n">
        <v>28844.10443</v>
      </c>
      <c r="U2108" s="3" t="n">
        <v>30208.483602</v>
      </c>
      <c r="V2108" s="3" t="n">
        <v>31535.092392</v>
      </c>
      <c r="W2108" s="3" t="n">
        <v>32081.539551</v>
      </c>
      <c r="X2108" s="3" t="n">
        <v>31986.518765</v>
      </c>
      <c r="Y2108" s="3" t="n">
        <v>32229.504214</v>
      </c>
      <c r="Z2108" s="3" t="n">
        <v>32038.234679</v>
      </c>
      <c r="AA2108" s="3" t="n">
        <v>30741.44117</v>
      </c>
      <c r="AB2108" s="3" t="n">
        <v>30590.416731</v>
      </c>
      <c r="AC2108" s="3" t="n">
        <v>31062.813839</v>
      </c>
      <c r="AD2108" s="3" t="n">
        <v>31875.378828</v>
      </c>
      <c r="AE2108" s="3" t="n">
        <v>31662.667726</v>
      </c>
      <c r="AF2108" s="3" t="n">
        <v>30638.915652</v>
      </c>
      <c r="AG2108" s="3" t="n">
        <v>29969.059194</v>
      </c>
      <c r="AH2108" s="3" t="n">
        <v>29969.404923</v>
      </c>
      <c r="AI2108" s="3" t="n">
        <v>29821.105627</v>
      </c>
      <c r="AJ2108" s="3" t="n">
        <v>29942.995061</v>
      </c>
      <c r="AK2108" s="3" t="n">
        <v>32713.039747</v>
      </c>
      <c r="AL2108" s="3" t="n">
        <v>36051.326782</v>
      </c>
      <c r="AM2108" s="3" t="n"/>
      <c r="AN2108" s="3" t="n"/>
      <c r="AO2108" s="3" t="n"/>
      <c r="AP2108" s="3" t="n"/>
      <c r="AQ2108" s="3" t="n"/>
      <c r="AR2108" s="3" t="n"/>
      <c r="AS2108" s="3" t="n"/>
      <c r="AT2108" s="3" t="n"/>
      <c r="AU2108" s="3" t="n"/>
    </row>
    <row r="2109">
      <c r="A2109" s="3" t="n">
        <v>2031</v>
      </c>
      <c r="B2109" s="3" t="inlineStr">
        <is>
          <t>MOZ</t>
        </is>
      </c>
      <c r="C2109" s="3" t="inlineStr">
        <is>
          <t>IMF.RES:WEO</t>
        </is>
      </c>
      <c r="D2109" s="3" t="inlineStr">
        <is>
          <t>MOZ.PCPI.A</t>
        </is>
      </c>
      <c r="E2109" s="3" t="inlineStr">
        <is>
          <t>Mozambique, Republic of</t>
        </is>
      </c>
      <c r="F2109" s="3" t="inlineStr">
        <is>
          <t>All Items, Consumer price index (CPI), Period average</t>
        </is>
      </c>
      <c r="G2109" s="3" t="n">
        <v>14.407928</v>
      </c>
      <c r="H2109" s="3" t="n">
        <v>15.713415</v>
      </c>
      <c r="I2109" s="3" t="n">
        <v>18.348467</v>
      </c>
      <c r="J2109" s="3" t="n">
        <v>20.817341</v>
      </c>
      <c r="K2109" s="3" t="n">
        <v>23.447481</v>
      </c>
      <c r="L2109" s="3" t="n">
        <v>24.95458</v>
      </c>
      <c r="M2109" s="3" t="n">
        <v>28.259836</v>
      </c>
      <c r="N2109" s="3" t="n">
        <v>31.2</v>
      </c>
      <c r="O2109" s="3" t="n">
        <v>35.7275</v>
      </c>
      <c r="P2109" s="3" t="n">
        <v>37.078333</v>
      </c>
      <c r="Q2109" s="3" t="n">
        <v>41.685833</v>
      </c>
      <c r="R2109" s="3" t="n">
        <v>46.3425</v>
      </c>
      <c r="S2109" s="3" t="n">
        <v>47.546667</v>
      </c>
      <c r="T2109" s="3" t="n">
        <v>49.575</v>
      </c>
      <c r="U2109" s="3" t="n">
        <v>50.841667</v>
      </c>
      <c r="V2109" s="3" t="n">
        <v>52.651667</v>
      </c>
      <c r="W2109" s="3" t="n">
        <v>62.3325</v>
      </c>
      <c r="X2109" s="3" t="n">
        <v>72.171667</v>
      </c>
      <c r="Y2109" s="3" t="n">
        <v>74.4575</v>
      </c>
      <c r="Z2109" s="3" t="n">
        <v>78.691667</v>
      </c>
      <c r="AA2109" s="3" t="n">
        <v>79.423333</v>
      </c>
      <c r="AB2109" s="3" t="n">
        <v>84.68083300000001</v>
      </c>
      <c r="AC2109" s="3" t="n">
        <v>93.46166700000001</v>
      </c>
      <c r="AD2109" s="3" t="n">
        <v>100</v>
      </c>
      <c r="AE2109" s="3" t="n">
        <v>103.201667</v>
      </c>
      <c r="AF2109" s="3" t="n">
        <v>107.71</v>
      </c>
      <c r="AG2109" s="3" t="n">
        <v>112.414213</v>
      </c>
      <c r="AH2109" s="3" t="n">
        <v>118.315959</v>
      </c>
      <c r="AI2109" s="3" t="n">
        <v>124.231757</v>
      </c>
      <c r="AJ2109" s="3" t="n">
        <v>130.443345</v>
      </c>
      <c r="AK2109" s="3" t="n">
        <v>136.965512</v>
      </c>
      <c r="AL2109" s="3" t="n">
        <v>143.813788</v>
      </c>
      <c r="AM2109" s="3" t="n"/>
      <c r="AN2109" s="3" t="n"/>
      <c r="AO2109" s="3" t="n"/>
      <c r="AP2109" s="3" t="n"/>
      <c r="AQ2109" s="3" t="n"/>
      <c r="AR2109" s="3" t="n"/>
      <c r="AS2109" s="3" t="n"/>
      <c r="AT2109" s="3" t="n"/>
      <c r="AU2109" s="3" t="n"/>
    </row>
    <row r="2110">
      <c r="A2110" s="3" t="n">
        <v>2031</v>
      </c>
      <c r="B2110" s="3" t="inlineStr">
        <is>
          <t>MOZ</t>
        </is>
      </c>
      <c r="C2110" s="3" t="inlineStr">
        <is>
          <t>IMF.RES:WEO</t>
        </is>
      </c>
      <c r="D2110" s="3" t="inlineStr">
        <is>
          <t>MOZ.PCPIPCH.A</t>
        </is>
      </c>
      <c r="E2110" s="3" t="inlineStr">
        <is>
          <t>Mozambique, Republic of</t>
        </is>
      </c>
      <c r="F2110" s="3" t="inlineStr">
        <is>
          <t>All Items, Consumer price index (CPI), Period average, percent change</t>
        </is>
      </c>
      <c r="G2110" s="3" t="n">
        <v>12.712718</v>
      </c>
      <c r="H2110" s="3" t="n">
        <v>9.060893999999999</v>
      </c>
      <c r="I2110" s="3" t="n">
        <v>16.769446</v>
      </c>
      <c r="J2110" s="3" t="n">
        <v>13.455476</v>
      </c>
      <c r="K2110" s="3" t="n">
        <v>12.634369</v>
      </c>
      <c r="L2110" s="3" t="n">
        <v>6.427553</v>
      </c>
      <c r="M2110" s="3" t="n">
        <v>13.245088</v>
      </c>
      <c r="N2110" s="3" t="n">
        <v>10.404037</v>
      </c>
      <c r="O2110" s="3" t="n">
        <v>14.511218</v>
      </c>
      <c r="P2110" s="3" t="n">
        <v>3.780934</v>
      </c>
      <c r="Q2110" s="3" t="n">
        <v>12.426395</v>
      </c>
      <c r="R2110" s="3" t="n">
        <v>11.170861</v>
      </c>
      <c r="S2110" s="3" t="n">
        <v>2.598407</v>
      </c>
      <c r="T2110" s="3" t="n">
        <v>4.265984</v>
      </c>
      <c r="U2110" s="3" t="n">
        <v>2.555051</v>
      </c>
      <c r="V2110" s="3" t="n">
        <v>3.560072</v>
      </c>
      <c r="W2110" s="3" t="n">
        <v>18.386566</v>
      </c>
      <c r="X2110" s="3" t="n">
        <v>15.78497</v>
      </c>
      <c r="Y2110" s="3" t="n">
        <v>3.167217</v>
      </c>
      <c r="Z2110" s="3" t="n">
        <v>5.686689</v>
      </c>
      <c r="AA2110" s="3" t="n">
        <v>0.929789</v>
      </c>
      <c r="AB2110" s="3" t="n">
        <v>6.619591</v>
      </c>
      <c r="AC2110" s="3" t="n">
        <v>10.369328</v>
      </c>
      <c r="AD2110" s="3" t="n">
        <v>6.995738</v>
      </c>
      <c r="AE2110" s="3" t="n">
        <v>3.201667</v>
      </c>
      <c r="AF2110" s="3" t="n">
        <v>4.36847</v>
      </c>
      <c r="AG2110" s="3" t="n">
        <v>4.36748</v>
      </c>
      <c r="AH2110" s="3" t="n">
        <v>5.25</v>
      </c>
      <c r="AI2110" s="3" t="n">
        <v>5</v>
      </c>
      <c r="AJ2110" s="3" t="n">
        <v>5</v>
      </c>
      <c r="AK2110" s="3" t="n">
        <v>5</v>
      </c>
      <c r="AL2110" s="3" t="n">
        <v>5</v>
      </c>
      <c r="AM2110" s="3" t="n"/>
      <c r="AN2110" s="3" t="n"/>
      <c r="AO2110" s="3" t="n"/>
      <c r="AP2110" s="3" t="n"/>
      <c r="AQ2110" s="3" t="n"/>
      <c r="AR2110" s="3" t="n"/>
      <c r="AS2110" s="3" t="n"/>
      <c r="AT2110" s="3" t="n"/>
      <c r="AU2110" s="3" t="n"/>
    </row>
    <row r="2111">
      <c r="A2111" s="3" t="n">
        <v>2031</v>
      </c>
      <c r="B2111" s="3" t="inlineStr">
        <is>
          <t>MOZ</t>
        </is>
      </c>
      <c r="C2111" s="3" t="inlineStr">
        <is>
          <t>IMF.RES:WEO</t>
        </is>
      </c>
      <c r="D2111" s="3" t="inlineStr">
        <is>
          <t>MOZ.PPPPC.A</t>
        </is>
      </c>
      <c r="E2111" s="3" t="inlineStr">
        <is>
          <t>Mozambique, Republic of</t>
        </is>
      </c>
      <c r="F2111" s="3" t="inlineStr">
        <is>
          <t>Gross domestic product (GDP), Per capita, purchasing power parity (PPP) international dollar, ICP benchmarks 2017-2021</t>
        </is>
      </c>
      <c r="G2111" s="3" t="n">
        <v>443.748932</v>
      </c>
      <c r="H2111" s="3" t="n">
        <v>497.723539</v>
      </c>
      <c r="I2111" s="3" t="n">
        <v>538.3086060000001</v>
      </c>
      <c r="J2111" s="3" t="n">
        <v>571.2958170000001</v>
      </c>
      <c r="K2111" s="3" t="n">
        <v>616.316425</v>
      </c>
      <c r="L2111" s="3" t="n">
        <v>656.528109</v>
      </c>
      <c r="M2111" s="3" t="n">
        <v>723.164246</v>
      </c>
      <c r="N2111" s="3" t="n">
        <v>777.687333</v>
      </c>
      <c r="O2111" s="3" t="n">
        <v>824.2462839999999</v>
      </c>
      <c r="P2111" s="3" t="n">
        <v>854.782196</v>
      </c>
      <c r="Q2111" s="3" t="n">
        <v>897.983177</v>
      </c>
      <c r="R2111" s="3" t="n">
        <v>955.268003</v>
      </c>
      <c r="S2111" s="3" t="n">
        <v>1022.308541</v>
      </c>
      <c r="T2111" s="3" t="n">
        <v>1077.770784</v>
      </c>
      <c r="U2111" s="3" t="n">
        <v>1148.410953</v>
      </c>
      <c r="V2111" s="3" t="n">
        <v>1209.969449</v>
      </c>
      <c r="W2111" s="3" t="n">
        <v>1242.632716</v>
      </c>
      <c r="X2111" s="3" t="n">
        <v>1261.140488</v>
      </c>
      <c r="Y2111" s="3" t="n">
        <v>1307.330134</v>
      </c>
      <c r="Z2111" s="3" t="n">
        <v>1370.398371</v>
      </c>
      <c r="AA2111" s="3" t="n">
        <v>1393.75613</v>
      </c>
      <c r="AB2111" s="3" t="n">
        <v>1440.460019</v>
      </c>
      <c r="AC2111" s="3" t="n">
        <v>1566.738143</v>
      </c>
      <c r="AD2111" s="3" t="n">
        <v>1667.208338</v>
      </c>
      <c r="AE2111" s="3" t="n">
        <v>1697.195702</v>
      </c>
      <c r="AF2111" s="3" t="n">
        <v>1688.908898</v>
      </c>
      <c r="AG2111" s="3" t="n">
        <v>1699.31129</v>
      </c>
      <c r="AH2111" s="3" t="n">
        <v>1736.646535</v>
      </c>
      <c r="AI2111" s="3" t="n">
        <v>1756.417087</v>
      </c>
      <c r="AJ2111" s="3" t="n">
        <v>1794.954841</v>
      </c>
      <c r="AK2111" s="3" t="n">
        <v>1997.041239</v>
      </c>
      <c r="AL2111" s="3" t="n">
        <v>2240.566199</v>
      </c>
      <c r="AM2111" s="3" t="n"/>
      <c r="AN2111" s="3" t="n"/>
      <c r="AO2111" s="3" t="n"/>
      <c r="AP2111" s="3" t="n"/>
      <c r="AQ2111" s="3" t="n"/>
      <c r="AR2111" s="3" t="n"/>
      <c r="AS2111" s="3" t="n"/>
      <c r="AT2111" s="3" t="n"/>
      <c r="AU2111" s="3" t="n"/>
    </row>
    <row r="2112">
      <c r="A2112" s="3" t="n">
        <v>2025</v>
      </c>
      <c r="B2112" s="3" t="inlineStr">
        <is>
          <t>MOZ</t>
        </is>
      </c>
      <c r="C2112" s="3" t="inlineStr">
        <is>
          <t>IMF.STA:ER</t>
        </is>
      </c>
      <c r="D2112" s="3" t="inlineStr">
        <is>
          <t>MOZ.XDC_USD.PA_RT.A</t>
        </is>
      </c>
      <c r="E2112" s="3" t="inlineStr">
        <is>
          <t>Mozambique, Republic of</t>
        </is>
      </c>
      <c r="F2112" s="3" t="inlineStr">
        <is>
          <t>Domestic currency per US Dollar</t>
        </is>
      </c>
      <c r="G2112" s="3" t="n">
        <v>15.22725</v>
      </c>
      <c r="H2112" s="3" t="n">
        <v>20.7036408333333</v>
      </c>
      <c r="I2112" s="3" t="n">
        <v>23.6779566666666</v>
      </c>
      <c r="J2112" s="3" t="n">
        <v>23.7822675</v>
      </c>
      <c r="K2112" s="3" t="n">
        <v>22.5813425</v>
      </c>
      <c r="L2112" s="3" t="n">
        <v>23.060965</v>
      </c>
      <c r="M2112" s="3" t="n">
        <v>25.4007791666666</v>
      </c>
      <c r="N2112" s="3" t="n">
        <v>25.8403414502164</v>
      </c>
      <c r="O2112" s="3" t="n">
        <v>24.3006424728653</v>
      </c>
      <c r="P2112" s="3" t="n">
        <v>27.5182999639249</v>
      </c>
      <c r="Q2112" s="3" t="n">
        <v>33.9600988006907</v>
      </c>
      <c r="R2112" s="3" t="n">
        <v>29.0675999319775</v>
      </c>
      <c r="S2112" s="3" t="n">
        <v>28.3729844798921</v>
      </c>
      <c r="T2112" s="3" t="n">
        <v>30.1041110929497</v>
      </c>
      <c r="U2112" s="3" t="n">
        <v>31.3526877009442</v>
      </c>
      <c r="V2112" s="3" t="n">
        <v>39.9824741465406</v>
      </c>
      <c r="W2112" s="3" t="n">
        <v>63.056232731037</v>
      </c>
      <c r="X2112" s="3" t="n">
        <v>63.584322913399</v>
      </c>
      <c r="Y2112" s="3" t="n">
        <v>60.3262076432022</v>
      </c>
      <c r="Z2112" s="3" t="n">
        <v>62.5483333333333</v>
      </c>
      <c r="AA2112" s="3" t="n">
        <v>69.4649999999999</v>
      </c>
      <c r="AB2112" s="3" t="n">
        <v>65.465</v>
      </c>
      <c r="AC2112" s="3" t="n">
        <v>63.8508333333333</v>
      </c>
      <c r="AD2112" s="3" t="n">
        <v>63.8858333333333</v>
      </c>
      <c r="AE2112" s="3" t="n">
        <v>63.905</v>
      </c>
      <c r="AF2112" s="3" t="n">
        <v>63.905</v>
      </c>
      <c r="AG2112" s="3" t="n"/>
      <c r="AH2112" s="3" t="n"/>
      <c r="AI2112" s="3" t="n"/>
      <c r="AJ2112" s="3" t="n"/>
      <c r="AK2112" s="3" t="n"/>
      <c r="AL2112" s="3" t="n"/>
      <c r="AM2112" s="3" t="n"/>
      <c r="AN2112" s="3" t="n"/>
      <c r="AO2112" s="3" t="n"/>
      <c r="AP2112" s="3" t="n"/>
      <c r="AQ2112" s="3" t="n"/>
      <c r="AR2112" s="3" t="n"/>
      <c r="AS2112" s="3" t="n"/>
      <c r="AT2112" s="3" t="n"/>
      <c r="AU2112" s="3" t="n"/>
    </row>
    <row r="2113">
      <c r="A2113" s="3" t="n">
        <v>2031</v>
      </c>
      <c r="B2113" s="3" t="inlineStr">
        <is>
          <t>MRT</t>
        </is>
      </c>
      <c r="C2113" s="3" t="inlineStr">
        <is>
          <t>IMF.RES:WEO</t>
        </is>
      </c>
      <c r="D2113" s="3" t="inlineStr">
        <is>
          <t>MRT.BCA.A</t>
        </is>
      </c>
      <c r="E2113" s="3" t="inlineStr">
        <is>
          <t>Mauritania, Islamic Republic of</t>
        </is>
      </c>
      <c r="F2113" s="3" t="inlineStr">
        <is>
          <t>Current account balance (credit less debit), US dollar</t>
        </is>
      </c>
      <c r="G2113" s="3" t="n">
        <v>-0.097626</v>
      </c>
      <c r="H2113" s="3" t="n">
        <v>-0.130672</v>
      </c>
      <c r="I2113" s="3" t="n">
        <v>0.034984</v>
      </c>
      <c r="J2113" s="3" t="n">
        <v>-0.175339</v>
      </c>
      <c r="K2113" s="3" t="n">
        <v>-0.517086</v>
      </c>
      <c r="L2113" s="3" t="n">
        <v>-0.876795</v>
      </c>
      <c r="M2113" s="3" t="n">
        <v>0.147566</v>
      </c>
      <c r="N2113" s="3" t="n">
        <v>-0.405719</v>
      </c>
      <c r="O2113" s="3" t="n">
        <v>-0.47934</v>
      </c>
      <c r="P2113" s="3" t="n">
        <v>-0.491734</v>
      </c>
      <c r="Q2113" s="3" t="n">
        <v>-0.357128</v>
      </c>
      <c r="R2113" s="3" t="n">
        <v>-0.259498</v>
      </c>
      <c r="S2113" s="3" t="n">
        <v>-1.263632</v>
      </c>
      <c r="T2113" s="3" t="n">
        <v>-1.261981</v>
      </c>
      <c r="U2113" s="3" t="n">
        <v>-1.470718</v>
      </c>
      <c r="V2113" s="3" t="n">
        <v>-0.956128</v>
      </c>
      <c r="W2113" s="3" t="n">
        <v>-0.706781</v>
      </c>
      <c r="X2113" s="3" t="n">
        <v>-0.681043</v>
      </c>
      <c r="Y2113" s="3" t="n">
        <v>-0.975616</v>
      </c>
      <c r="Z2113" s="3" t="n">
        <v>-0.831134</v>
      </c>
      <c r="AA2113" s="3" t="n">
        <v>-0.576304</v>
      </c>
      <c r="AB2113" s="3" t="n">
        <v>-0.782389</v>
      </c>
      <c r="AC2113" s="3" t="n">
        <v>-1.424111</v>
      </c>
      <c r="AD2113" s="3" t="n">
        <v>-0.935319</v>
      </c>
      <c r="AE2113" s="3" t="n">
        <v>-1.039382</v>
      </c>
      <c r="AF2113" s="3" t="n">
        <v>-0.717105</v>
      </c>
      <c r="AG2113" s="3" t="n">
        <v>-0.93564</v>
      </c>
      <c r="AH2113" s="3" t="n">
        <v>-0.968804</v>
      </c>
      <c r="AI2113" s="3" t="n">
        <v>-0.867092</v>
      </c>
      <c r="AJ2113" s="3" t="n">
        <v>-0.992387</v>
      </c>
      <c r="AK2113" s="3" t="n">
        <v>-1.094366</v>
      </c>
      <c r="AL2113" s="3" t="n">
        <v>-1.073161</v>
      </c>
      <c r="AM2113" s="3" t="n"/>
      <c r="AN2113" s="3" t="n"/>
      <c r="AO2113" s="3" t="n"/>
      <c r="AP2113" s="3" t="n"/>
      <c r="AQ2113" s="3" t="n"/>
      <c r="AR2113" s="3" t="n"/>
      <c r="AS2113" s="3" t="n"/>
      <c r="AT2113" s="3" t="n"/>
      <c r="AU2113" s="3" t="n"/>
    </row>
    <row r="2114">
      <c r="A2114" s="3" t="n">
        <v>2031</v>
      </c>
      <c r="B2114" s="3" t="inlineStr">
        <is>
          <t>MRT</t>
        </is>
      </c>
      <c r="C2114" s="3" t="inlineStr">
        <is>
          <t>IMF.RES:WEO</t>
        </is>
      </c>
      <c r="D2114" s="3" t="inlineStr">
        <is>
          <t>MRT.BCA_NGDPD.A</t>
        </is>
      </c>
      <c r="E2114" s="3" t="inlineStr">
        <is>
          <t>Mauritania, Islamic Republic of</t>
        </is>
      </c>
      <c r="F2114" s="3" t="inlineStr">
        <is>
          <t>Current account balance (credit less debit), Percent of GDP</t>
        </is>
      </c>
      <c r="G2114" s="3" t="n">
        <v>-5.486072</v>
      </c>
      <c r="H2114" s="3" t="n">
        <v>-7.483791</v>
      </c>
      <c r="I2114" s="3" t="n">
        <v>1.968663</v>
      </c>
      <c r="J2114" s="3" t="n">
        <v>-8.548336000000001</v>
      </c>
      <c r="K2114" s="3" t="n">
        <v>-21.887239</v>
      </c>
      <c r="L2114" s="3" t="n">
        <v>-29.86338</v>
      </c>
      <c r="M2114" s="3" t="n">
        <v>3.68125</v>
      </c>
      <c r="N2114" s="3" t="n">
        <v>-9.374154000000001</v>
      </c>
      <c r="O2114" s="3" t="n">
        <v>-9.328450999999999</v>
      </c>
      <c r="P2114" s="3" t="n">
        <v>-10.406628</v>
      </c>
      <c r="Q2114" s="3" t="n">
        <v>-6.335979</v>
      </c>
      <c r="R2114" s="3" t="n">
        <v>-3.826211</v>
      </c>
      <c r="S2114" s="3" t="n">
        <v>-18.801671</v>
      </c>
      <c r="T2114" s="3" t="n">
        <v>-17.213914</v>
      </c>
      <c r="U2114" s="3" t="n">
        <v>-22.231479</v>
      </c>
      <c r="V2114" s="3" t="n">
        <v>-15.466926</v>
      </c>
      <c r="W2114" s="3" t="n">
        <v>-11.019133</v>
      </c>
      <c r="X2114" s="3" t="n">
        <v>-9.977539</v>
      </c>
      <c r="Y2114" s="3" t="n">
        <v>-13.05692</v>
      </c>
      <c r="Z2114" s="3" t="n">
        <v>-10.528792</v>
      </c>
      <c r="AA2114" s="3" t="n">
        <v>-6.809279</v>
      </c>
      <c r="AB2114" s="3" t="n">
        <v>-8.573216</v>
      </c>
      <c r="AC2114" s="3" t="n">
        <v>-14.889641</v>
      </c>
      <c r="AD2114" s="3" t="n">
        <v>-8.722016</v>
      </c>
      <c r="AE2114" s="3" t="n">
        <v>-9.446139000000001</v>
      </c>
      <c r="AF2114" s="3" t="n">
        <v>-5.835511</v>
      </c>
      <c r="AG2114" s="3" t="n">
        <v>-6.519034</v>
      </c>
      <c r="AH2114" s="3" t="n">
        <v>-6.418247</v>
      </c>
      <c r="AI2114" s="3" t="n">
        <v>-5.430922</v>
      </c>
      <c r="AJ2114" s="3" t="n">
        <v>-5.878374</v>
      </c>
      <c r="AK2114" s="3" t="n">
        <v>-6.297544</v>
      </c>
      <c r="AL2114" s="3" t="n">
        <v>-6.297048</v>
      </c>
      <c r="AM2114" s="3" t="n"/>
      <c r="AN2114" s="3" t="n"/>
      <c r="AO2114" s="3" t="n"/>
      <c r="AP2114" s="3" t="n"/>
      <c r="AQ2114" s="3" t="n"/>
      <c r="AR2114" s="3" t="n"/>
      <c r="AS2114" s="3" t="n"/>
      <c r="AT2114" s="3" t="n"/>
      <c r="AU2114" s="3" t="n"/>
    </row>
    <row r="2115">
      <c r="A2115" s="3" t="n">
        <v>2031</v>
      </c>
      <c r="B2115" s="3" t="inlineStr">
        <is>
          <t>MRT</t>
        </is>
      </c>
      <c r="C2115" s="3" t="inlineStr">
        <is>
          <t>IMF.RES:WEO</t>
        </is>
      </c>
      <c r="D2115" s="3" t="inlineStr">
        <is>
          <t>MRT.GGR_NGDP.A</t>
        </is>
      </c>
      <c r="E2115" s="3" t="inlineStr">
        <is>
          <t>Mauritania, Islamic Republic of</t>
        </is>
      </c>
      <c r="F2115" s="3" t="inlineStr">
        <is>
          <t>Revenue, General government, Percent of GDP</t>
        </is>
      </c>
      <c r="G2115" s="3" t="n">
        <v>15.0066</v>
      </c>
      <c r="H2115" s="3" t="n">
        <v>15.848474</v>
      </c>
      <c r="I2115" s="3" t="n">
        <v>22.483323</v>
      </c>
      <c r="J2115" s="3" t="n">
        <v>22.183767</v>
      </c>
      <c r="K2115" s="3" t="n">
        <v>20.804677</v>
      </c>
      <c r="L2115" s="3" t="n">
        <v>18.161385</v>
      </c>
      <c r="M2115" s="3" t="n">
        <v>21.045207</v>
      </c>
      <c r="N2115" s="3" t="n">
        <v>18.277005</v>
      </c>
      <c r="O2115" s="3" t="n">
        <v>16.493518</v>
      </c>
      <c r="P2115" s="3" t="n">
        <v>16.042233</v>
      </c>
      <c r="Q2115" s="3" t="n">
        <v>16.871058</v>
      </c>
      <c r="R2115" s="3" t="n">
        <v>17.110707</v>
      </c>
      <c r="S2115" s="3" t="n">
        <v>23.209878</v>
      </c>
      <c r="T2115" s="3" t="n">
        <v>19.447696</v>
      </c>
      <c r="U2115" s="3" t="n">
        <v>21.256993</v>
      </c>
      <c r="V2115" s="3" t="n">
        <v>23.213532</v>
      </c>
      <c r="W2115" s="3" t="n">
        <v>20.967452</v>
      </c>
      <c r="X2115" s="3" t="n">
        <v>20.82931</v>
      </c>
      <c r="Y2115" s="3" t="n">
        <v>22.216438</v>
      </c>
      <c r="Z2115" s="3" t="n">
        <v>20.473309</v>
      </c>
      <c r="AA2115" s="3" t="n">
        <v>21.315996</v>
      </c>
      <c r="AB2115" s="3" t="n">
        <v>23.378136</v>
      </c>
      <c r="AC2115" s="3" t="n">
        <v>25.606678</v>
      </c>
      <c r="AD2115" s="3" t="n">
        <v>22.339418</v>
      </c>
      <c r="AE2115" s="3" t="n">
        <v>22.203473</v>
      </c>
      <c r="AF2115" s="3" t="n">
        <v>23.106308</v>
      </c>
      <c r="AG2115" s="3" t="n">
        <v>24.50169</v>
      </c>
      <c r="AH2115" s="3" t="n">
        <v>24.958029</v>
      </c>
      <c r="AI2115" s="3" t="n">
        <v>25.078212</v>
      </c>
      <c r="AJ2115" s="3" t="n">
        <v>25.752231</v>
      </c>
      <c r="AK2115" s="3" t="n">
        <v>26.179372</v>
      </c>
      <c r="AL2115" s="3" t="n">
        <v>26.639172</v>
      </c>
      <c r="AM2115" s="3" t="n"/>
      <c r="AN2115" s="3" t="n"/>
      <c r="AO2115" s="3" t="n"/>
      <c r="AP2115" s="3" t="n"/>
      <c r="AQ2115" s="3" t="n"/>
      <c r="AR2115" s="3" t="n"/>
      <c r="AS2115" s="3" t="n"/>
      <c r="AT2115" s="3" t="n"/>
      <c r="AU2115" s="3" t="n"/>
    </row>
    <row r="2116">
      <c r="A2116" s="3" t="n">
        <v>2031</v>
      </c>
      <c r="B2116" s="3" t="inlineStr">
        <is>
          <t>MRT</t>
        </is>
      </c>
      <c r="C2116" s="3" t="inlineStr">
        <is>
          <t>IMF.RES:WEO</t>
        </is>
      </c>
      <c r="D2116" s="3" t="inlineStr">
        <is>
          <t>MRT.GGX_NGDP.A</t>
        </is>
      </c>
      <c r="E2116" s="3" t="inlineStr">
        <is>
          <t>Mauritania, Islamic Republic of</t>
        </is>
      </c>
      <c r="F2116" s="3" t="inlineStr">
        <is>
          <t>Expenditure, General government, Percent of GDP</t>
        </is>
      </c>
      <c r="G2116" s="3" t="n"/>
      <c r="H2116" s="3" t="n"/>
      <c r="I2116" s="3" t="n"/>
      <c r="J2116" s="3" t="n"/>
      <c r="K2116" s="3" t="n">
        <v>23.860501</v>
      </c>
      <c r="L2116" s="3" t="n">
        <v>21.319384</v>
      </c>
      <c r="M2116" s="3" t="n">
        <v>18.995612</v>
      </c>
      <c r="N2116" s="3" t="n">
        <v>19.658913</v>
      </c>
      <c r="O2116" s="3" t="n">
        <v>19.814611</v>
      </c>
      <c r="P2116" s="3" t="n">
        <v>19.634153</v>
      </c>
      <c r="Q2116" s="3" t="n">
        <v>17.321901</v>
      </c>
      <c r="R2116" s="3" t="n">
        <v>17.036262</v>
      </c>
      <c r="S2116" s="3" t="n">
        <v>21.543908</v>
      </c>
      <c r="T2116" s="3" t="n">
        <v>20.109266</v>
      </c>
      <c r="U2116" s="3" t="n">
        <v>23.896522</v>
      </c>
      <c r="V2116" s="3" t="n">
        <v>25.656064</v>
      </c>
      <c r="W2116" s="3" t="n">
        <v>20.83541</v>
      </c>
      <c r="X2116" s="3" t="n">
        <v>20.298569</v>
      </c>
      <c r="Y2116" s="3" t="n">
        <v>18.989921</v>
      </c>
      <c r="Z2116" s="3" t="n">
        <v>17.825491</v>
      </c>
      <c r="AA2116" s="3" t="n">
        <v>18.532279</v>
      </c>
      <c r="AB2116" s="3" t="n">
        <v>20.779851</v>
      </c>
      <c r="AC2116" s="3" t="n">
        <v>28.701564</v>
      </c>
      <c r="AD2116" s="3" t="n">
        <v>24.78814</v>
      </c>
      <c r="AE2116" s="3" t="n">
        <v>23.556815</v>
      </c>
      <c r="AF2116" s="3" t="n">
        <v>23.404617</v>
      </c>
      <c r="AG2116" s="3" t="n">
        <v>23.971942</v>
      </c>
      <c r="AH2116" s="3" t="n">
        <v>24.438936</v>
      </c>
      <c r="AI2116" s="3" t="n">
        <v>24.481788</v>
      </c>
      <c r="AJ2116" s="3" t="n">
        <v>25.032589</v>
      </c>
      <c r="AK2116" s="3" t="n">
        <v>25.528413</v>
      </c>
      <c r="AL2116" s="3" t="n">
        <v>25.948715</v>
      </c>
      <c r="AM2116" s="3" t="n"/>
      <c r="AN2116" s="3" t="n"/>
      <c r="AO2116" s="3" t="n"/>
      <c r="AP2116" s="3" t="n"/>
      <c r="AQ2116" s="3" t="n"/>
      <c r="AR2116" s="3" t="n"/>
      <c r="AS2116" s="3" t="n"/>
      <c r="AT2116" s="3" t="n"/>
      <c r="AU2116" s="3" t="n"/>
    </row>
    <row r="2117">
      <c r="A2117" s="3" t="n">
        <v>2031</v>
      </c>
      <c r="B2117" s="3" t="inlineStr">
        <is>
          <t>MRT</t>
        </is>
      </c>
      <c r="C2117" s="3" t="inlineStr">
        <is>
          <t>IMF.RES:WEO</t>
        </is>
      </c>
      <c r="D2117" s="3" t="inlineStr">
        <is>
          <t>MRT.LP.A</t>
        </is>
      </c>
      <c r="E2117" s="3" t="inlineStr">
        <is>
          <t>Mauritania, Islamic Republic of</t>
        </is>
      </c>
      <c r="F2117" s="3" t="inlineStr">
        <is>
          <t>Population, Persons for countries / Index for country groups</t>
        </is>
      </c>
      <c r="G2117" s="3" t="n">
        <v>2.642743</v>
      </c>
      <c r="H2117" s="3" t="n">
        <v>2.720367</v>
      </c>
      <c r="I2117" s="3" t="n">
        <v>2.800333</v>
      </c>
      <c r="J2117" s="3" t="n">
        <v>2.882003</v>
      </c>
      <c r="K2117" s="3" t="n">
        <v>2.964526</v>
      </c>
      <c r="L2117" s="3" t="n">
        <v>3.047249</v>
      </c>
      <c r="M2117" s="3" t="n">
        <v>2.953084</v>
      </c>
      <c r="N2117" s="3" t="n">
        <v>3.036242</v>
      </c>
      <c r="O2117" s="3" t="n">
        <v>3.119351</v>
      </c>
      <c r="P2117" s="3" t="n">
        <v>3.202239</v>
      </c>
      <c r="Q2117" s="3" t="n">
        <v>3.284822</v>
      </c>
      <c r="R2117" s="3" t="n">
        <v>3.369441</v>
      </c>
      <c r="S2117" s="3" t="n">
        <v>3.453534</v>
      </c>
      <c r="T2117" s="3" t="n">
        <v>3.537368</v>
      </c>
      <c r="U2117" s="3" t="n">
        <v>3.621385</v>
      </c>
      <c r="V2117" s="3" t="n">
        <v>3.705946</v>
      </c>
      <c r="W2117" s="3" t="n">
        <v>3.793513</v>
      </c>
      <c r="X2117" s="3" t="n">
        <v>3.881491</v>
      </c>
      <c r="Y2117" s="3" t="n">
        <v>3.969826</v>
      </c>
      <c r="Z2117" s="3" t="n">
        <v>4.058467</v>
      </c>
      <c r="AA2117" s="3" t="n">
        <v>4.147403</v>
      </c>
      <c r="AB2117" s="3" t="n">
        <v>4.240029</v>
      </c>
      <c r="AC2117" s="3" t="n">
        <v>4.334124</v>
      </c>
      <c r="AD2117" s="3" t="n">
        <v>4.430109</v>
      </c>
      <c r="AE2117" s="3" t="n">
        <v>4.528563</v>
      </c>
      <c r="AF2117" s="3" t="n">
        <v>4.629041</v>
      </c>
      <c r="AG2117" s="3" t="n">
        <v>4.73174</v>
      </c>
      <c r="AH2117" s="3" t="n">
        <v>4.836781</v>
      </c>
      <c r="AI2117" s="3" t="n">
        <v>4.944113</v>
      </c>
      <c r="AJ2117" s="3" t="n">
        <v>5.053832</v>
      </c>
      <c r="AK2117" s="3" t="n">
        <v>5.165997</v>
      </c>
      <c r="AL2117" s="3" t="n">
        <v>5.280642</v>
      </c>
      <c r="AM2117" s="3" t="n"/>
      <c r="AN2117" s="3" t="n"/>
      <c r="AO2117" s="3" t="n"/>
      <c r="AP2117" s="3" t="n"/>
      <c r="AQ2117" s="3" t="n"/>
      <c r="AR2117" s="3" t="n"/>
      <c r="AS2117" s="3" t="n"/>
      <c r="AT2117" s="3" t="n"/>
      <c r="AU2117" s="3" t="n"/>
    </row>
    <row r="2118">
      <c r="A2118" s="3" t="n">
        <v>2031</v>
      </c>
      <c r="B2118" s="3" t="inlineStr">
        <is>
          <t>MRT</t>
        </is>
      </c>
      <c r="C2118" s="3" t="inlineStr">
        <is>
          <t>IMF.RES:WEO</t>
        </is>
      </c>
      <c r="D2118" s="3" t="inlineStr">
        <is>
          <t>MRT.NGDP.A</t>
        </is>
      </c>
      <c r="E2118" s="3" t="inlineStr">
        <is>
          <t>Mauritania, Islamic Republic of</t>
        </is>
      </c>
      <c r="F2118" s="3" t="inlineStr">
        <is>
          <t>Gross domestic product (GDP), Current prices, Domestic currency</t>
        </is>
      </c>
      <c r="G2118" s="3" t="n">
        <v>42.516906</v>
      </c>
      <c r="H2118" s="3" t="n">
        <v>44.634478</v>
      </c>
      <c r="I2118" s="3" t="n">
        <v>48.289613</v>
      </c>
      <c r="J2118" s="3" t="n">
        <v>53.951335</v>
      </c>
      <c r="K2118" s="3" t="n">
        <v>62.684948</v>
      </c>
      <c r="L2118" s="3" t="n">
        <v>77.98067899999999</v>
      </c>
      <c r="M2118" s="3" t="n">
        <v>105.279846</v>
      </c>
      <c r="N2118" s="3" t="n">
        <v>112.387258</v>
      </c>
      <c r="O2118" s="3" t="n">
        <v>124.019068</v>
      </c>
      <c r="P2118" s="3" t="n">
        <v>123.694877</v>
      </c>
      <c r="Q2118" s="3" t="n">
        <v>155.297484</v>
      </c>
      <c r="R2118" s="3" t="n">
        <v>190.166085</v>
      </c>
      <c r="S2118" s="3" t="n">
        <v>199.57213</v>
      </c>
      <c r="T2118" s="3" t="n">
        <v>217.184508</v>
      </c>
      <c r="U2118" s="3" t="n">
        <v>199.5726</v>
      </c>
      <c r="V2118" s="3" t="n">
        <v>200.2206</v>
      </c>
      <c r="W2118" s="3" t="n">
        <v>225.4732</v>
      </c>
      <c r="X2118" s="3" t="n">
        <v>243.4059</v>
      </c>
      <c r="Y2118" s="3" t="n">
        <v>266.6376</v>
      </c>
      <c r="Z2118" s="3" t="n">
        <v>289.6645</v>
      </c>
      <c r="AA2118" s="3" t="n">
        <v>307.2117</v>
      </c>
      <c r="AB2118" s="3" t="n">
        <v>332.5959</v>
      </c>
      <c r="AC2118" s="3" t="n">
        <v>353.0235</v>
      </c>
      <c r="AD2118" s="3" t="n">
        <v>391.4134</v>
      </c>
      <c r="AE2118" s="3" t="n">
        <v>432.1495</v>
      </c>
      <c r="AF2118" s="3" t="n">
        <v>480.058294</v>
      </c>
      <c r="AG2118" s="3" t="n">
        <v>563.3757880000001</v>
      </c>
      <c r="AH2118" s="3" t="n">
        <v>604.326556</v>
      </c>
      <c r="AI2118" s="3" t="n">
        <v>651.874906</v>
      </c>
      <c r="AJ2118" s="3" t="n">
        <v>702.491258</v>
      </c>
      <c r="AK2118" s="3" t="n">
        <v>737.198308</v>
      </c>
      <c r="AL2118" s="3" t="n">
        <v>737.080619</v>
      </c>
      <c r="AM2118" s="3" t="n"/>
      <c r="AN2118" s="3" t="n"/>
      <c r="AO2118" s="3" t="n"/>
      <c r="AP2118" s="3" t="n"/>
      <c r="AQ2118" s="3" t="n"/>
      <c r="AR2118" s="3" t="n"/>
      <c r="AS2118" s="3" t="n"/>
      <c r="AT2118" s="3" t="n"/>
      <c r="AU2118" s="3" t="n"/>
    </row>
    <row r="2119">
      <c r="A2119" s="3" t="n">
        <v>2031</v>
      </c>
      <c r="B2119" s="3" t="inlineStr">
        <is>
          <t>MRT</t>
        </is>
      </c>
      <c r="C2119" s="3" t="inlineStr">
        <is>
          <t>IMF.RES:WEO</t>
        </is>
      </c>
      <c r="D2119" s="3" t="inlineStr">
        <is>
          <t>MRT.NGDP_D.A</t>
        </is>
      </c>
      <c r="E2119" s="3" t="inlineStr">
        <is>
          <t>Mauritania, Islamic Republic of</t>
        </is>
      </c>
      <c r="F2119" s="3" t="inlineStr">
        <is>
          <t>Gross domestic product (GDP), Price deflator, Index</t>
        </is>
      </c>
      <c r="G2119" s="3" t="n">
        <v>36.565973</v>
      </c>
      <c r="H2119" s="3" t="n">
        <v>38.696533</v>
      </c>
      <c r="I2119" s="3" t="n">
        <v>41.294925</v>
      </c>
      <c r="J2119" s="3" t="n">
        <v>43.1472</v>
      </c>
      <c r="K2119" s="3" t="n">
        <v>47.866443</v>
      </c>
      <c r="L2119" s="3" t="n">
        <v>54.847887</v>
      </c>
      <c r="M2119" s="3" t="n">
        <v>62.576538</v>
      </c>
      <c r="N2119" s="3" t="n">
        <v>68.14308699999999</v>
      </c>
      <c r="O2119" s="3" t="n">
        <v>75.445516</v>
      </c>
      <c r="P2119" s="3" t="n">
        <v>75.17472100000001</v>
      </c>
      <c r="Q2119" s="3" t="n">
        <v>91.971136</v>
      </c>
      <c r="R2119" s="3" t="n">
        <v>108.110015</v>
      </c>
      <c r="S2119" s="3" t="n">
        <v>108.602821</v>
      </c>
      <c r="T2119" s="3" t="n">
        <v>113.476881</v>
      </c>
      <c r="U2119" s="3" t="n">
        <v>100</v>
      </c>
      <c r="V2119" s="3" t="n">
        <v>95.206091</v>
      </c>
      <c r="W2119" s="3" t="n">
        <v>105.878818</v>
      </c>
      <c r="X2119" s="3" t="n">
        <v>107.555431</v>
      </c>
      <c r="Y2119" s="3" t="n">
        <v>112.453997</v>
      </c>
      <c r="Z2119" s="3" t="n">
        <v>118.439754</v>
      </c>
      <c r="AA2119" s="3" t="n">
        <v>126.155361</v>
      </c>
      <c r="AB2119" s="3" t="n">
        <v>135.580079</v>
      </c>
      <c r="AC2119" s="3" t="n">
        <v>134.749705</v>
      </c>
      <c r="AD2119" s="3" t="n">
        <v>139.878206</v>
      </c>
      <c r="AE2119" s="3" t="n">
        <v>145.272716</v>
      </c>
      <c r="AF2119" s="3" t="n">
        <v>154.851598</v>
      </c>
      <c r="AG2119" s="3" t="n">
        <v>174.039032</v>
      </c>
      <c r="AH2119" s="3" t="n">
        <v>178.697657</v>
      </c>
      <c r="AI2119" s="3" t="n">
        <v>182.410256</v>
      </c>
      <c r="AJ2119" s="3" t="n">
        <v>187.3415</v>
      </c>
      <c r="AK2119" s="3" t="n">
        <v>190.863018</v>
      </c>
      <c r="AL2119" s="3" t="n">
        <v>185.316897</v>
      </c>
      <c r="AM2119" s="3" t="n"/>
      <c r="AN2119" s="3" t="n"/>
      <c r="AO2119" s="3" t="n"/>
      <c r="AP2119" s="3" t="n"/>
      <c r="AQ2119" s="3" t="n"/>
      <c r="AR2119" s="3" t="n"/>
      <c r="AS2119" s="3" t="n"/>
      <c r="AT2119" s="3" t="n"/>
      <c r="AU2119" s="3" t="n"/>
    </row>
    <row r="2120">
      <c r="A2120" s="3" t="n">
        <v>2031</v>
      </c>
      <c r="B2120" s="3" t="inlineStr">
        <is>
          <t>MRT</t>
        </is>
      </c>
      <c r="C2120" s="3" t="inlineStr">
        <is>
          <t>IMF.RES:WEO</t>
        </is>
      </c>
      <c r="D2120" s="3" t="inlineStr">
        <is>
          <t>MRT.NGDP_R.A</t>
        </is>
      </c>
      <c r="E2120" s="3" t="inlineStr">
        <is>
          <t>Mauritania, Islamic Republic of</t>
        </is>
      </c>
      <c r="F2120" s="3" t="inlineStr">
        <is>
          <t>Gross domestic product (GDP), Constant prices, Domestic currency</t>
        </is>
      </c>
      <c r="G2120" s="3" t="n">
        <v>116.274508</v>
      </c>
      <c r="H2120" s="3" t="n">
        <v>115.3449</v>
      </c>
      <c r="I2120" s="3" t="n">
        <v>116.938372</v>
      </c>
      <c r="J2120" s="3" t="n">
        <v>125.040177</v>
      </c>
      <c r="K2120" s="3" t="n">
        <v>130.958026</v>
      </c>
      <c r="L2120" s="3" t="n">
        <v>142.176267</v>
      </c>
      <c r="M2120" s="3" t="n">
        <v>168.241724</v>
      </c>
      <c r="N2120" s="3" t="n">
        <v>164.928334</v>
      </c>
      <c r="O2120" s="3" t="n">
        <v>164.38229</v>
      </c>
      <c r="P2120" s="3" t="n">
        <v>164.543181</v>
      </c>
      <c r="Q2120" s="3" t="n">
        <v>168.85459</v>
      </c>
      <c r="R2120" s="3" t="n">
        <v>175.900526</v>
      </c>
      <c r="S2120" s="3" t="n">
        <v>183.763303</v>
      </c>
      <c r="T2120" s="3" t="n">
        <v>191.390974</v>
      </c>
      <c r="U2120" s="3" t="n">
        <v>199.5726</v>
      </c>
      <c r="V2120" s="3" t="n">
        <v>210.3023</v>
      </c>
      <c r="W2120" s="3" t="n">
        <v>212.954021</v>
      </c>
      <c r="X2120" s="3" t="n">
        <v>226.3074</v>
      </c>
      <c r="Y2120" s="3" t="n">
        <v>237.108157</v>
      </c>
      <c r="Z2120" s="3" t="n">
        <v>244.566956</v>
      </c>
      <c r="AA2120" s="3" t="n">
        <v>243.518545</v>
      </c>
      <c r="AB2120" s="3" t="n">
        <v>245.313252</v>
      </c>
      <c r="AC2120" s="3" t="n">
        <v>261.984618</v>
      </c>
      <c r="AD2120" s="3" t="n">
        <v>279.824435</v>
      </c>
      <c r="AE2120" s="3" t="n">
        <v>297.474647</v>
      </c>
      <c r="AF2120" s="3" t="n">
        <v>310.011843</v>
      </c>
      <c r="AG2120" s="3" t="n">
        <v>323.706575</v>
      </c>
      <c r="AH2120" s="3" t="n">
        <v>338.183816</v>
      </c>
      <c r="AI2120" s="3" t="n">
        <v>357.367464</v>
      </c>
      <c r="AJ2120" s="3" t="n">
        <v>374.978987</v>
      </c>
      <c r="AK2120" s="3" t="n">
        <v>386.244709</v>
      </c>
      <c r="AL2120" s="3" t="n">
        <v>397.740644</v>
      </c>
      <c r="AM2120" s="3" t="n"/>
      <c r="AN2120" s="3" t="n"/>
      <c r="AO2120" s="3" t="n"/>
      <c r="AP2120" s="3" t="n"/>
      <c r="AQ2120" s="3" t="n"/>
      <c r="AR2120" s="3" t="n"/>
      <c r="AS2120" s="3" t="n"/>
      <c r="AT2120" s="3" t="n"/>
      <c r="AU2120" s="3" t="n"/>
    </row>
    <row r="2121">
      <c r="A2121" s="3" t="n">
        <v>2031</v>
      </c>
      <c r="B2121" s="3" t="inlineStr">
        <is>
          <t>MRT</t>
        </is>
      </c>
      <c r="C2121" s="3" t="inlineStr">
        <is>
          <t>IMF.RES:WEO</t>
        </is>
      </c>
      <c r="D2121" s="3" t="inlineStr">
        <is>
          <t>MRT.NGDP_RPCH.A</t>
        </is>
      </c>
      <c r="E2121" s="3" t="inlineStr">
        <is>
          <t>Mauritania, Islamic Republic of</t>
        </is>
      </c>
      <c r="F2121" s="3" t="inlineStr">
        <is>
          <t>Gross domestic product (GDP), Constant prices, Percent change</t>
        </is>
      </c>
      <c r="G2121" s="3" t="n">
        <v>-3.918026</v>
      </c>
      <c r="H2121" s="3" t="n">
        <v>-0.799494</v>
      </c>
      <c r="I2121" s="3" t="n">
        <v>1.381484</v>
      </c>
      <c r="J2121" s="3" t="n">
        <v>6.92827</v>
      </c>
      <c r="K2121" s="3" t="n">
        <v>4.732758</v>
      </c>
      <c r="L2121" s="3" t="n">
        <v>8.566287000000001</v>
      </c>
      <c r="M2121" s="3" t="n">
        <v>18.333199</v>
      </c>
      <c r="N2121" s="3" t="n">
        <v>-1.969423</v>
      </c>
      <c r="O2121" s="3" t="n">
        <v>-0.331079</v>
      </c>
      <c r="P2121" s="3" t="n">
        <v>0.097876</v>
      </c>
      <c r="Q2121" s="3" t="n">
        <v>2.620229</v>
      </c>
      <c r="R2121" s="3" t="n">
        <v>4.172783</v>
      </c>
      <c r="S2121" s="3" t="n">
        <v>4.470013</v>
      </c>
      <c r="T2121" s="3" t="n">
        <v>4.150813</v>
      </c>
      <c r="U2121" s="3" t="n">
        <v>4.274823</v>
      </c>
      <c r="V2121" s="3" t="n">
        <v>5.376339</v>
      </c>
      <c r="W2121" s="3" t="n">
        <v>1.260909</v>
      </c>
      <c r="X2121" s="3" t="n">
        <v>6.270546</v>
      </c>
      <c r="Y2121" s="3" t="n">
        <v>4.772604</v>
      </c>
      <c r="Z2121" s="3" t="n">
        <v>3.145737</v>
      </c>
      <c r="AA2121" s="3" t="n">
        <v>-0.42868</v>
      </c>
      <c r="AB2121" s="3" t="n">
        <v>0.73699</v>
      </c>
      <c r="AC2121" s="3" t="n">
        <v>6.79595</v>
      </c>
      <c r="AD2121" s="3" t="n">
        <v>6.80949</v>
      </c>
      <c r="AE2121" s="3" t="n">
        <v>6.307602</v>
      </c>
      <c r="AF2121" s="3" t="n">
        <v>4.214543</v>
      </c>
      <c r="AG2121" s="3" t="n">
        <v>4.417486</v>
      </c>
      <c r="AH2121" s="3" t="n">
        <v>4.472335</v>
      </c>
      <c r="AI2121" s="3" t="n">
        <v>5.67255</v>
      </c>
      <c r="AJ2121" s="3" t="n">
        <v>4.928127</v>
      </c>
      <c r="AK2121" s="3" t="n">
        <v>3.004361</v>
      </c>
      <c r="AL2121" s="3" t="n">
        <v>2.976334</v>
      </c>
      <c r="AM2121" s="3" t="n"/>
      <c r="AN2121" s="3" t="n"/>
      <c r="AO2121" s="3" t="n"/>
      <c r="AP2121" s="3" t="n"/>
      <c r="AQ2121" s="3" t="n"/>
      <c r="AR2121" s="3" t="n"/>
      <c r="AS2121" s="3" t="n"/>
      <c r="AT2121" s="3" t="n"/>
      <c r="AU2121" s="3" t="n"/>
    </row>
    <row r="2122">
      <c r="A2122" s="3" t="n">
        <v>2031</v>
      </c>
      <c r="B2122" s="3" t="inlineStr">
        <is>
          <t>MRT</t>
        </is>
      </c>
      <c r="C2122" s="3" t="inlineStr">
        <is>
          <t>IMF.RES:WEO</t>
        </is>
      </c>
      <c r="D2122" s="3" t="inlineStr">
        <is>
          <t>MRT.NGDPD.A</t>
        </is>
      </c>
      <c r="E2122" s="3" t="inlineStr">
        <is>
          <t>Mauritania, Islamic Republic of</t>
        </is>
      </c>
      <c r="F2122" s="3" t="inlineStr">
        <is>
          <t>Gross domestic product (GDP), Current prices, US dollar</t>
        </is>
      </c>
      <c r="G2122" s="3" t="n">
        <v>1.779521</v>
      </c>
      <c r="H2122" s="3" t="n">
        <v>1.746064</v>
      </c>
      <c r="I2122" s="3" t="n">
        <v>1.777058</v>
      </c>
      <c r="J2122" s="3" t="n">
        <v>2.051148</v>
      </c>
      <c r="K2122" s="3" t="n">
        <v>2.362498</v>
      </c>
      <c r="L2122" s="3" t="n">
        <v>2.93602</v>
      </c>
      <c r="M2122" s="3" t="n">
        <v>4.00859</v>
      </c>
      <c r="N2122" s="3" t="n">
        <v>4.32806</v>
      </c>
      <c r="O2122" s="3" t="n">
        <v>5.138471</v>
      </c>
      <c r="P2122" s="3" t="n">
        <v>4.725195</v>
      </c>
      <c r="Q2122" s="3" t="n">
        <v>5.636501</v>
      </c>
      <c r="R2122" s="3" t="n">
        <v>6.782107</v>
      </c>
      <c r="S2122" s="3" t="n">
        <v>6.720849</v>
      </c>
      <c r="T2122" s="3" t="n">
        <v>7.331168</v>
      </c>
      <c r="U2122" s="3" t="n">
        <v>6.615473</v>
      </c>
      <c r="V2122" s="3" t="n">
        <v>6.181757</v>
      </c>
      <c r="W2122" s="3" t="n">
        <v>6.414121</v>
      </c>
      <c r="X2122" s="3" t="n">
        <v>6.825765</v>
      </c>
      <c r="Y2122" s="3" t="n">
        <v>7.472019</v>
      </c>
      <c r="Z2122" s="3" t="n">
        <v>7.893918</v>
      </c>
      <c r="AA2122" s="3" t="n">
        <v>8.463507999999999</v>
      </c>
      <c r="AB2122" s="3" t="n">
        <v>9.125968</v>
      </c>
      <c r="AC2122" s="3" t="n">
        <v>9.564441</v>
      </c>
      <c r="AD2122" s="3" t="n">
        <v>10.723655</v>
      </c>
      <c r="AE2122" s="3" t="n">
        <v>11.003248</v>
      </c>
      <c r="AF2122" s="3" t="n">
        <v>12.288636</v>
      </c>
      <c r="AG2122" s="3" t="n">
        <v>14.352431</v>
      </c>
      <c r="AH2122" s="3" t="n">
        <v>15.094529</v>
      </c>
      <c r="AI2122" s="3" t="n">
        <v>15.965838</v>
      </c>
      <c r="AJ2122" s="3" t="n">
        <v>16.881994</v>
      </c>
      <c r="AK2122" s="3" t="n">
        <v>17.377667</v>
      </c>
      <c r="AL2122" s="3" t="n">
        <v>17.042289</v>
      </c>
      <c r="AM2122" s="3" t="n"/>
      <c r="AN2122" s="3" t="n"/>
      <c r="AO2122" s="3" t="n"/>
      <c r="AP2122" s="3" t="n"/>
      <c r="AQ2122" s="3" t="n"/>
      <c r="AR2122" s="3" t="n"/>
      <c r="AS2122" s="3" t="n"/>
      <c r="AT2122" s="3" t="n"/>
      <c r="AU2122" s="3" t="n"/>
    </row>
    <row r="2123">
      <c r="A2123" s="3" t="n">
        <v>2031</v>
      </c>
      <c r="B2123" s="3" t="inlineStr">
        <is>
          <t>MRT</t>
        </is>
      </c>
      <c r="C2123" s="3" t="inlineStr">
        <is>
          <t>IMF.RES:WEO</t>
        </is>
      </c>
      <c r="D2123" s="3" t="inlineStr">
        <is>
          <t>MRT.NGDPPC.A</t>
        </is>
      </c>
      <c r="E2123" s="3" t="inlineStr">
        <is>
          <t>Mauritania, Islamic Republic of</t>
        </is>
      </c>
      <c r="F2123" s="3" t="inlineStr">
        <is>
          <t>Gross domestic product (GDP), Current prices, Per capita, Domestic currency</t>
        </is>
      </c>
      <c r="G2123" s="3" t="n">
        <v>16088.172627</v>
      </c>
      <c r="H2123" s="3" t="n">
        <v>16407.52066</v>
      </c>
      <c r="I2123" s="3" t="n">
        <v>17244.239354</v>
      </c>
      <c r="J2123" s="3" t="n">
        <v>18720.083035</v>
      </c>
      <c r="K2123" s="3" t="n">
        <v>21145.015553</v>
      </c>
      <c r="L2123" s="3" t="n">
        <v>25590.517417</v>
      </c>
      <c r="M2123" s="3" t="n">
        <v>35650.814795</v>
      </c>
      <c r="N2123" s="3" t="n">
        <v>37015.248371</v>
      </c>
      <c r="O2123" s="3" t="n">
        <v>39757.966816</v>
      </c>
      <c r="P2123" s="3" t="n">
        <v>38627.617489</v>
      </c>
      <c r="Q2123" s="3" t="n">
        <v>47277.290147</v>
      </c>
      <c r="R2123" s="3" t="n">
        <v>56438.464119</v>
      </c>
      <c r="S2123" s="3" t="n">
        <v>57787.807308</v>
      </c>
      <c r="T2123" s="3" t="n">
        <v>61397.204926</v>
      </c>
      <c r="U2123" s="3" t="n">
        <v>55109.469783</v>
      </c>
      <c r="V2123" s="3" t="n">
        <v>54026.85879</v>
      </c>
      <c r="W2123" s="3" t="n">
        <v>59436.513667</v>
      </c>
      <c r="X2123" s="3" t="n">
        <v>62709.381919</v>
      </c>
      <c r="Y2123" s="3" t="n">
        <v>67166.06996399999</v>
      </c>
      <c r="Z2123" s="3" t="n">
        <v>71372.89404299999</v>
      </c>
      <c r="AA2123" s="3" t="n">
        <v>74073.268666</v>
      </c>
      <c r="AB2123" s="3" t="n">
        <v>78441.89388</v>
      </c>
      <c r="AC2123" s="3" t="n">
        <v>81452.10870300001</v>
      </c>
      <c r="AD2123" s="3" t="n">
        <v>88352.99851200001</v>
      </c>
      <c r="AE2123" s="3" t="n">
        <v>95427.504227</v>
      </c>
      <c r="AF2123" s="3" t="n">
        <v>103705.785533</v>
      </c>
      <c r="AG2123" s="3" t="n">
        <v>119063.126678</v>
      </c>
      <c r="AH2123" s="3" t="n">
        <v>124943.965086</v>
      </c>
      <c r="AI2123" s="3" t="n">
        <v>131848.710504</v>
      </c>
      <c r="AJ2123" s="3" t="n">
        <v>139001.69181</v>
      </c>
      <c r="AK2123" s="3" t="n">
        <v>142702.038528</v>
      </c>
      <c r="AL2123" s="3" t="n">
        <v>139581.626037</v>
      </c>
      <c r="AM2123" s="3" t="n"/>
      <c r="AN2123" s="3" t="n"/>
      <c r="AO2123" s="3" t="n"/>
      <c r="AP2123" s="3" t="n"/>
      <c r="AQ2123" s="3" t="n"/>
      <c r="AR2123" s="3" t="n"/>
      <c r="AS2123" s="3" t="n"/>
      <c r="AT2123" s="3" t="n"/>
      <c r="AU2123" s="3" t="n"/>
    </row>
    <row r="2124">
      <c r="A2124" s="3" t="n">
        <v>2031</v>
      </c>
      <c r="B2124" s="3" t="inlineStr">
        <is>
          <t>MRT</t>
        </is>
      </c>
      <c r="C2124" s="3" t="inlineStr">
        <is>
          <t>IMF.RES:WEO</t>
        </is>
      </c>
      <c r="D2124" s="3" t="inlineStr">
        <is>
          <t>MRT.NGDPRPC.A</t>
        </is>
      </c>
      <c r="E2124" s="3" t="inlineStr">
        <is>
          <t>Mauritania, Islamic Republic of</t>
        </is>
      </c>
      <c r="F2124" s="3" t="inlineStr">
        <is>
          <t>Gross domestic product (GDP), Constant prices, Per capita, Domestic currency</t>
        </is>
      </c>
      <c r="G2124" s="3" t="n">
        <v>43997.659976</v>
      </c>
      <c r="H2124" s="3" t="n">
        <v>42400.492425</v>
      </c>
      <c r="I2124" s="3" t="n">
        <v>41758.737865</v>
      </c>
      <c r="J2124" s="3" t="n">
        <v>43386.553492</v>
      </c>
      <c r="K2124" s="3" t="n">
        <v>44175.030395</v>
      </c>
      <c r="L2124" s="3" t="n">
        <v>46657.252798</v>
      </c>
      <c r="M2124" s="3" t="n">
        <v>56971.536275</v>
      </c>
      <c r="N2124" s="3" t="n">
        <v>54319.887703</v>
      </c>
      <c r="O2124" s="3" t="n">
        <v>52697.587234</v>
      </c>
      <c r="P2124" s="3" t="n">
        <v>51383.785516</v>
      </c>
      <c r="Q2124" s="3" t="n">
        <v>51404.486488</v>
      </c>
      <c r="R2124" s="3" t="n">
        <v>52204.658356</v>
      </c>
      <c r="S2124" s="3" t="n">
        <v>53210.226804</v>
      </c>
      <c r="T2124" s="3" t="n">
        <v>54105.474483</v>
      </c>
      <c r="U2124" s="3" t="n">
        <v>55109.469783</v>
      </c>
      <c r="V2124" s="3" t="n">
        <v>56747.271087</v>
      </c>
      <c r="W2124" s="3" t="n">
        <v>56136.359375</v>
      </c>
      <c r="X2124" s="3" t="n">
        <v>58304.244858</v>
      </c>
      <c r="Y2124" s="3" t="n">
        <v>59727.596677</v>
      </c>
      <c r="Z2124" s="3" t="n">
        <v>60260.927457</v>
      </c>
      <c r="AA2124" s="3" t="n">
        <v>58715.910334</v>
      </c>
      <c r="AB2124" s="3" t="n">
        <v>57856.504107</v>
      </c>
      <c r="AC2124" s="3" t="n">
        <v>60446.966283</v>
      </c>
      <c r="AD2124" s="3" t="n">
        <v>63164.23469</v>
      </c>
      <c r="AE2124" s="3" t="n">
        <v>65688.524697</v>
      </c>
      <c r="AF2124" s="3" t="n">
        <v>66971.078523</v>
      </c>
      <c r="AG2124" s="3" t="n">
        <v>68411.73815999999</v>
      </c>
      <c r="AH2124" s="3" t="n">
        <v>69919.19593099999</v>
      </c>
      <c r="AI2124" s="3" t="n">
        <v>72281.412859</v>
      </c>
      <c r="AJ2124" s="3" t="n">
        <v>74196.956777</v>
      </c>
      <c r="AK2124" s="3" t="n">
        <v>74766.730763</v>
      </c>
      <c r="AL2124" s="3" t="n">
        <v>75320.506878</v>
      </c>
      <c r="AM2124" s="3" t="n"/>
      <c r="AN2124" s="3" t="n"/>
      <c r="AO2124" s="3" t="n"/>
      <c r="AP2124" s="3" t="n"/>
      <c r="AQ2124" s="3" t="n"/>
      <c r="AR2124" s="3" t="n"/>
      <c r="AS2124" s="3" t="n"/>
      <c r="AT2124" s="3" t="n"/>
      <c r="AU2124" s="3" t="n"/>
    </row>
    <row r="2125">
      <c r="A2125" s="3" t="n">
        <v>2031</v>
      </c>
      <c r="B2125" s="3" t="inlineStr">
        <is>
          <t>MRT</t>
        </is>
      </c>
      <c r="C2125" s="3" t="inlineStr">
        <is>
          <t>IMF.RES:WEO</t>
        </is>
      </c>
      <c r="D2125" s="3" t="inlineStr">
        <is>
          <t>MRT.PCPI.A</t>
        </is>
      </c>
      <c r="E2125" s="3" t="inlineStr">
        <is>
          <t>Mauritania, Islamic Republic of</t>
        </is>
      </c>
      <c r="F2125" s="3" t="inlineStr">
        <is>
          <t>All Items, Consumer price index (CPI), Period average</t>
        </is>
      </c>
      <c r="G2125" s="3" t="n">
        <v>70.63665899999999</v>
      </c>
      <c r="H2125" s="3" t="n">
        <v>73.96710400000001</v>
      </c>
      <c r="I2125" s="3" t="n">
        <v>76.84864399999999</v>
      </c>
      <c r="J2125" s="3" t="n">
        <v>80.807811</v>
      </c>
      <c r="K2125" s="3" t="n">
        <v>89.18566</v>
      </c>
      <c r="L2125" s="3" t="n">
        <v>100</v>
      </c>
      <c r="M2125" s="3" t="n">
        <v>106.241033</v>
      </c>
      <c r="N2125" s="3" t="n">
        <v>113.948211</v>
      </c>
      <c r="O2125" s="3" t="n">
        <v>122.437648</v>
      </c>
      <c r="P2125" s="3" t="n">
        <v>125.054159</v>
      </c>
      <c r="Q2125" s="3" t="n">
        <v>132.885034</v>
      </c>
      <c r="R2125" s="3" t="n">
        <v>140.441459</v>
      </c>
      <c r="S2125" s="3" t="n">
        <v>147.326448</v>
      </c>
      <c r="T2125" s="3" t="n">
        <v>153.412966</v>
      </c>
      <c r="U2125" s="3" t="n">
        <v>159.200243</v>
      </c>
      <c r="V2125" s="3" t="n">
        <v>163.467279</v>
      </c>
      <c r="W2125" s="3" t="n">
        <v>165.873044</v>
      </c>
      <c r="X2125" s="3" t="n">
        <v>169.637287</v>
      </c>
      <c r="Y2125" s="3" t="n">
        <v>174.816107</v>
      </c>
      <c r="Z2125" s="3" t="n">
        <v>178.847953</v>
      </c>
      <c r="AA2125" s="3" t="n">
        <v>183.108018</v>
      </c>
      <c r="AB2125" s="3" t="n">
        <v>189.623556</v>
      </c>
      <c r="AC2125" s="3" t="n">
        <v>207.739227</v>
      </c>
      <c r="AD2125" s="3" t="n">
        <v>218.020155</v>
      </c>
      <c r="AE2125" s="3" t="n">
        <v>223.454336</v>
      </c>
      <c r="AF2125" s="3" t="n">
        <v>226.923377</v>
      </c>
      <c r="AG2125" s="3" t="n">
        <v>236.293387</v>
      </c>
      <c r="AH2125" s="3" t="n">
        <v>245.981416</v>
      </c>
      <c r="AI2125" s="3" t="n">
        <v>255.820673</v>
      </c>
      <c r="AJ2125" s="3" t="n">
        <v>266.0535</v>
      </c>
      <c r="AK2125" s="3" t="n">
        <v>276.69564</v>
      </c>
      <c r="AL2125" s="3" t="n">
        <v>287.763465</v>
      </c>
      <c r="AM2125" s="3" t="n"/>
      <c r="AN2125" s="3" t="n"/>
      <c r="AO2125" s="3" t="n"/>
      <c r="AP2125" s="3" t="n"/>
      <c r="AQ2125" s="3" t="n"/>
      <c r="AR2125" s="3" t="n"/>
      <c r="AS2125" s="3" t="n"/>
      <c r="AT2125" s="3" t="n"/>
      <c r="AU2125" s="3" t="n"/>
    </row>
    <row r="2126">
      <c r="A2126" s="3" t="n">
        <v>2031</v>
      </c>
      <c r="B2126" s="3" t="inlineStr">
        <is>
          <t>MRT</t>
        </is>
      </c>
      <c r="C2126" s="3" t="inlineStr">
        <is>
          <t>IMF.RES:WEO</t>
        </is>
      </c>
      <c r="D2126" s="3" t="inlineStr">
        <is>
          <t>MRT.PCPIPCH.A</t>
        </is>
      </c>
      <c r="E2126" s="3" t="inlineStr">
        <is>
          <t>Mauritania, Islamic Republic of</t>
        </is>
      </c>
      <c r="F2126" s="3" t="inlineStr">
        <is>
          <t>All Items, Consumer price index (CPI), Period average, percent change</t>
        </is>
      </c>
      <c r="G2126" s="3" t="n">
        <v>3.254067</v>
      </c>
      <c r="H2126" s="3" t="n">
        <v>4.714896</v>
      </c>
      <c r="I2126" s="3" t="n">
        <v>3.895705</v>
      </c>
      <c r="J2126" s="3" t="n">
        <v>5.151902</v>
      </c>
      <c r="K2126" s="3" t="n">
        <v>10.367623</v>
      </c>
      <c r="L2126" s="3" t="n">
        <v>12.125649</v>
      </c>
      <c r="M2126" s="3" t="n">
        <v>6.241033</v>
      </c>
      <c r="N2126" s="3" t="n">
        <v>7.254426</v>
      </c>
      <c r="O2126" s="3" t="n">
        <v>7.450259</v>
      </c>
      <c r="P2126" s="3" t="n">
        <v>2.137015</v>
      </c>
      <c r="Q2126" s="3" t="n">
        <v>6.261987</v>
      </c>
      <c r="R2126" s="3" t="n">
        <v>5.686438</v>
      </c>
      <c r="S2126" s="3" t="n">
        <v>4.902391</v>
      </c>
      <c r="T2126" s="3" t="n">
        <v>4.131314</v>
      </c>
      <c r="U2126" s="3" t="n">
        <v>3.772352</v>
      </c>
      <c r="V2126" s="3" t="n">
        <v>2.680295</v>
      </c>
      <c r="W2126" s="3" t="n">
        <v>1.47171</v>
      </c>
      <c r="X2126" s="3" t="n">
        <v>2.269352</v>
      </c>
      <c r="Y2126" s="3" t="n">
        <v>3.052878</v>
      </c>
      <c r="Z2126" s="3" t="n">
        <v>2.306336</v>
      </c>
      <c r="AA2126" s="3" t="n">
        <v>2.381948</v>
      </c>
      <c r="AB2126" s="3" t="n">
        <v>3.558303</v>
      </c>
      <c r="AC2126" s="3" t="n">
        <v>9.553492</v>
      </c>
      <c r="AD2126" s="3" t="n">
        <v>4.948958</v>
      </c>
      <c r="AE2126" s="3" t="n">
        <v>2.492513</v>
      </c>
      <c r="AF2126" s="3" t="n">
        <v>1.552461</v>
      </c>
      <c r="AG2126" s="3" t="n">
        <v>4.129151</v>
      </c>
      <c r="AH2126" s="3" t="n">
        <v>4.1</v>
      </c>
      <c r="AI2126" s="3" t="n">
        <v>4</v>
      </c>
      <c r="AJ2126" s="3" t="n">
        <v>4</v>
      </c>
      <c r="AK2126" s="3" t="n">
        <v>4</v>
      </c>
      <c r="AL2126" s="3" t="n">
        <v>4</v>
      </c>
      <c r="AM2126" s="3" t="n"/>
      <c r="AN2126" s="3" t="n"/>
      <c r="AO2126" s="3" t="n"/>
      <c r="AP2126" s="3" t="n"/>
      <c r="AQ2126" s="3" t="n"/>
      <c r="AR2126" s="3" t="n"/>
      <c r="AS2126" s="3" t="n"/>
      <c r="AT2126" s="3" t="n"/>
      <c r="AU2126" s="3" t="n"/>
    </row>
    <row r="2127">
      <c r="A2127" s="3" t="n">
        <v>2031</v>
      </c>
      <c r="B2127" s="3" t="inlineStr">
        <is>
          <t>MRT</t>
        </is>
      </c>
      <c r="C2127" s="3" t="inlineStr">
        <is>
          <t>IMF.RES:WEO</t>
        </is>
      </c>
      <c r="D2127" s="3" t="inlineStr">
        <is>
          <t>MRT.PPPPC.A</t>
        </is>
      </c>
      <c r="E2127" s="3" t="inlineStr">
        <is>
          <t>Mauritania, Islamic Republic of</t>
        </is>
      </c>
      <c r="F2127" s="3" t="inlineStr">
        <is>
          <t>Gross domestic product (GDP), Per capita, purchasing power parity (PPP) international dollar, ICP benchmarks 2017-2021</t>
        </is>
      </c>
      <c r="G2127" s="3" t="n">
        <v>3186.713971</v>
      </c>
      <c r="H2127" s="3" t="n">
        <v>3140.180444</v>
      </c>
      <c r="I2127" s="3" t="n">
        <v>3140.713022</v>
      </c>
      <c r="J2127" s="3" t="n">
        <v>3327.564002</v>
      </c>
      <c r="K2127" s="3" t="n">
        <v>3479.137109</v>
      </c>
      <c r="L2127" s="3" t="n">
        <v>3789.861862</v>
      </c>
      <c r="M2127" s="3" t="n">
        <v>4770.379317</v>
      </c>
      <c r="N2127" s="3" t="n">
        <v>4671.576757</v>
      </c>
      <c r="O2127" s="3" t="n">
        <v>4619.362988</v>
      </c>
      <c r="P2127" s="3" t="n">
        <v>4531.977087</v>
      </c>
      <c r="Q2127" s="3" t="n">
        <v>4588.905571</v>
      </c>
      <c r="R2127" s="3" t="n">
        <v>4756.491669</v>
      </c>
      <c r="S2127" s="3" t="n">
        <v>4938.379967</v>
      </c>
      <c r="T2127" s="3" t="n">
        <v>5106.932488</v>
      </c>
      <c r="U2127" s="3" t="n">
        <v>5292.296807</v>
      </c>
      <c r="V2127" s="3" t="n">
        <v>5500.153854</v>
      </c>
      <c r="W2127" s="3" t="n">
        <v>5492.643162</v>
      </c>
      <c r="X2127" s="3" t="n">
        <v>5806.925125</v>
      </c>
      <c r="Y2127" s="3" t="n">
        <v>5932.32554</v>
      </c>
      <c r="Z2127" s="3" t="n">
        <v>6175.817069</v>
      </c>
      <c r="AA2127" s="3" t="n">
        <v>6367.420058</v>
      </c>
      <c r="AB2127" s="3" t="n">
        <v>6517.749205</v>
      </c>
      <c r="AC2127" s="3" t="n">
        <v>7293.899474</v>
      </c>
      <c r="AD2127" s="3" t="n">
        <v>7903.79011</v>
      </c>
      <c r="AE2127" s="3" t="n">
        <v>8423.713148999999</v>
      </c>
      <c r="AF2127" s="3" t="n">
        <v>8831.811011</v>
      </c>
      <c r="AG2127" s="3" t="n">
        <v>9280.259056000001</v>
      </c>
      <c r="AH2127" s="3" t="n">
        <v>9693.026082</v>
      </c>
      <c r="AI2127" s="3" t="n">
        <v>10184.980149</v>
      </c>
      <c r="AJ2127" s="3" t="n">
        <v>10640.793678</v>
      </c>
      <c r="AK2127" s="3" t="n">
        <v>10919.535499</v>
      </c>
      <c r="AL2127" s="3" t="n">
        <v>11199.004084</v>
      </c>
      <c r="AM2127" s="3" t="n"/>
      <c r="AN2127" s="3" t="n"/>
      <c r="AO2127" s="3" t="n"/>
      <c r="AP2127" s="3" t="n"/>
      <c r="AQ2127" s="3" t="n"/>
      <c r="AR2127" s="3" t="n"/>
      <c r="AS2127" s="3" t="n"/>
      <c r="AT2127" s="3" t="n"/>
      <c r="AU2127" s="3" t="n"/>
    </row>
    <row r="2128">
      <c r="A2128" s="3" t="n">
        <v>2025</v>
      </c>
      <c r="B2128" s="3" t="inlineStr">
        <is>
          <t>MRT</t>
        </is>
      </c>
      <c r="C2128" s="3" t="inlineStr">
        <is>
          <t>IMF.STA:ER</t>
        </is>
      </c>
      <c r="D2128" s="3" t="inlineStr">
        <is>
          <t>MRT.XDC_USD.PA_RT.A</t>
        </is>
      </c>
      <c r="E2128" s="3" t="inlineStr">
        <is>
          <t>Mauritania, Islamic Republic of</t>
        </is>
      </c>
      <c r="F2128" s="3" t="inlineStr">
        <is>
          <t>Domestic currency per US Dollar</t>
        </is>
      </c>
      <c r="G2128" s="3" t="n">
        <v>23.8923333333333</v>
      </c>
      <c r="H2128" s="3" t="n">
        <v>25.5629166666666</v>
      </c>
      <c r="I2128" s="3" t="n">
        <v>27.1739166666666</v>
      </c>
      <c r="J2128" s="3" t="n">
        <v>26.303</v>
      </c>
      <c r="K2128" s="3" t="n"/>
      <c r="L2128" s="3" t="n">
        <v>26.5528333333333</v>
      </c>
      <c r="M2128" s="3" t="n">
        <v>26.86</v>
      </c>
      <c r="N2128" s="3" t="n">
        <v>25.8586666666666</v>
      </c>
      <c r="O2128" s="3" t="n">
        <v>23.8203333333333</v>
      </c>
      <c r="P2128" s="3" t="n">
        <v>26.2365833333333</v>
      </c>
      <c r="Q2128" s="3" t="n">
        <v>27.5894166666666</v>
      </c>
      <c r="R2128" s="3" t="n">
        <v>28.1118333333333</v>
      </c>
      <c r="S2128" s="3" t="n">
        <v>29.662</v>
      </c>
      <c r="T2128" s="3" t="n">
        <v>30.0681666666666</v>
      </c>
      <c r="U2128" s="3" t="n">
        <v>30.2725</v>
      </c>
      <c r="V2128" s="3" t="n">
        <v>32.4671666666666</v>
      </c>
      <c r="W2128" s="3" t="n">
        <v>35.2370833333333</v>
      </c>
      <c r="X2128" s="3" t="n">
        <v>35.7944166666666</v>
      </c>
      <c r="Y2128" s="3" t="n">
        <v>35.6775</v>
      </c>
      <c r="Z2128" s="3" t="n">
        <v>36.6908333333333</v>
      </c>
      <c r="AA2128" s="3" t="n">
        <v>37.1891666666666</v>
      </c>
      <c r="AB2128" s="3" t="n">
        <v>36.0633333333333</v>
      </c>
      <c r="AC2128" s="3" t="n">
        <v>36.935</v>
      </c>
      <c r="AD2128" s="3" t="n">
        <v>36.4891666666666</v>
      </c>
      <c r="AE2128" s="3" t="n">
        <v>36.4891666666666</v>
      </c>
      <c r="AF2128" s="3" t="n">
        <v>36.4891666666666</v>
      </c>
      <c r="AG2128" s="3" t="n"/>
      <c r="AH2128" s="3" t="n"/>
      <c r="AI2128" s="3" t="n"/>
      <c r="AJ2128" s="3" t="n"/>
      <c r="AK2128" s="3" t="n"/>
      <c r="AL2128" s="3" t="n"/>
      <c r="AM2128" s="3" t="n"/>
      <c r="AN2128" s="3" t="n"/>
      <c r="AO2128" s="3" t="n"/>
      <c r="AP2128" s="3" t="n"/>
      <c r="AQ2128" s="3" t="n"/>
      <c r="AR2128" s="3" t="n"/>
      <c r="AS2128" s="3" t="n"/>
      <c r="AT2128" s="3" t="n"/>
      <c r="AU2128" s="3" t="n"/>
    </row>
    <row r="2129">
      <c r="A2129" s="3" t="n">
        <v>2025</v>
      </c>
      <c r="B2129" s="3" t="inlineStr">
        <is>
          <t>MSR</t>
        </is>
      </c>
      <c r="C2129" s="3" t="inlineStr">
        <is>
          <t>IMF.STA:ER</t>
        </is>
      </c>
      <c r="D2129" s="3" t="inlineStr">
        <is>
          <t>MSR.XDC_USD.PA_RT.A</t>
        </is>
      </c>
      <c r="E2129" s="3" t="inlineStr">
        <is>
          <t>Montserrat, United Kingdom-British Overseas Territory</t>
        </is>
      </c>
      <c r="F2129" s="3" t="inlineStr">
        <is>
          <t>Domestic currency per US Dollar</t>
        </is>
      </c>
      <c r="G2129" s="3" t="n">
        <v>2.7</v>
      </c>
      <c r="H2129" s="3" t="n">
        <v>2.7</v>
      </c>
      <c r="I2129" s="3" t="n">
        <v>2.7</v>
      </c>
      <c r="J2129" s="3" t="n">
        <v>2.7</v>
      </c>
      <c r="K2129" s="3" t="n">
        <v>2.7</v>
      </c>
      <c r="L2129" s="3" t="n">
        <v>2.7</v>
      </c>
      <c r="M2129" s="3" t="n">
        <v>2.7</v>
      </c>
      <c r="N2129" s="3" t="n">
        <v>2.7</v>
      </c>
      <c r="O2129" s="3" t="n">
        <v>2.7</v>
      </c>
      <c r="P2129" s="3" t="n">
        <v>2.7</v>
      </c>
      <c r="Q2129" s="3" t="n">
        <v>2.7</v>
      </c>
      <c r="R2129" s="3" t="n">
        <v>2.7</v>
      </c>
      <c r="S2129" s="3" t="n">
        <v>2.7</v>
      </c>
      <c r="T2129" s="3" t="n">
        <v>2.7</v>
      </c>
      <c r="U2129" s="3" t="n">
        <v>2.7</v>
      </c>
      <c r="V2129" s="3" t="n">
        <v>2.7</v>
      </c>
      <c r="W2129" s="3" t="n">
        <v>2.7</v>
      </c>
      <c r="X2129" s="3" t="n">
        <v>2.7</v>
      </c>
      <c r="Y2129" s="3" t="n">
        <v>2.7</v>
      </c>
      <c r="Z2129" s="3" t="n">
        <v>2.7</v>
      </c>
      <c r="AA2129" s="3" t="n">
        <v>2.7</v>
      </c>
      <c r="AB2129" s="3" t="n">
        <v>2.7</v>
      </c>
      <c r="AC2129" s="3" t="n">
        <v>2.7</v>
      </c>
      <c r="AD2129" s="3" t="n">
        <v>2.7</v>
      </c>
      <c r="AE2129" s="3" t="n">
        <v>2.7</v>
      </c>
      <c r="AF2129" s="3" t="n">
        <v>2.7</v>
      </c>
      <c r="AG2129" s="3" t="n"/>
      <c r="AH2129" s="3" t="n"/>
      <c r="AI2129" s="3" t="n"/>
      <c r="AJ2129" s="3" t="n"/>
      <c r="AK2129" s="3" t="n"/>
      <c r="AL2129" s="3" t="n"/>
      <c r="AM2129" s="3" t="n"/>
      <c r="AN2129" s="3" t="n"/>
      <c r="AO2129" s="3" t="n"/>
      <c r="AP2129" s="3" t="n"/>
      <c r="AQ2129" s="3" t="n"/>
      <c r="AR2129" s="3" t="n"/>
      <c r="AS2129" s="3" t="n"/>
      <c r="AT2129" s="3" t="n"/>
      <c r="AU2129" s="3" t="n"/>
    </row>
    <row r="2130">
      <c r="A2130" s="3" t="inlineStr">
        <is>
          <t>INDICATOR</t>
        </is>
      </c>
      <c r="B2130" s="3" t="inlineStr">
        <is>
          <t>MTQ</t>
        </is>
      </c>
      <c r="C2130" s="3" t="inlineStr">
        <is>
          <t>IMF.STA:ER</t>
        </is>
      </c>
      <c r="D2130" s="3" t="inlineStr">
        <is>
          <t>MTQ.XDC_USD.PA_RT.A</t>
        </is>
      </c>
      <c r="E2130" s="3" t="inlineStr">
        <is>
          <t>Martinique</t>
        </is>
      </c>
      <c r="F2130" s="3" t="inlineStr">
        <is>
          <t>Domestic currency per US Dollar</t>
        </is>
      </c>
      <c r="G2130" s="3" t="n"/>
      <c r="H2130" s="3" t="n"/>
      <c r="I2130" s="3" t="n"/>
      <c r="J2130" s="3" t="n"/>
      <c r="K2130" s="3" t="n"/>
      <c r="L2130" s="3" t="n"/>
      <c r="M2130" s="3" t="n"/>
      <c r="N2130" s="3" t="n"/>
      <c r="O2130" s="3" t="n"/>
      <c r="P2130" s="3" t="n"/>
      <c r="Q2130" s="3" t="n"/>
      <c r="R2130" s="3" t="n"/>
      <c r="S2130" s="3" t="n"/>
      <c r="T2130" s="3" t="n"/>
      <c r="U2130" s="3" t="n"/>
      <c r="V2130" s="3" t="n"/>
      <c r="W2130" s="3" t="n"/>
      <c r="X2130" s="3" t="n"/>
      <c r="Y2130" s="3" t="n"/>
      <c r="Z2130" s="3" t="n"/>
      <c r="AA2130" s="3" t="n"/>
      <c r="AB2130" s="3" t="n"/>
      <c r="AC2130" s="3" t="n"/>
      <c r="AD2130" s="3" t="n"/>
      <c r="AE2130" s="3" t="n"/>
      <c r="AF2130" s="3" t="n"/>
      <c r="AG2130" s="3" t="n"/>
      <c r="AH2130" s="3" t="n"/>
      <c r="AI2130" s="3" t="n"/>
      <c r="AJ2130" s="3" t="n"/>
      <c r="AK2130" s="3" t="n"/>
      <c r="AL2130" s="3" t="n"/>
      <c r="AM2130" s="3" t="n"/>
      <c r="AN2130" s="3" t="n"/>
      <c r="AO2130" s="3" t="n"/>
      <c r="AP2130" s="3" t="n"/>
      <c r="AQ2130" s="3" t="n"/>
      <c r="AR2130" s="3" t="n"/>
      <c r="AS2130" s="3" t="n"/>
      <c r="AT2130" s="3" t="n"/>
      <c r="AU2130" s="3" t="n"/>
    </row>
    <row r="2131">
      <c r="A2131" s="3" t="n">
        <v>2031</v>
      </c>
      <c r="B2131" s="3" t="inlineStr">
        <is>
          <t>MUS</t>
        </is>
      </c>
      <c r="C2131" s="3" t="inlineStr">
        <is>
          <t>IMF.RES:WEO</t>
        </is>
      </c>
      <c r="D2131" s="3" t="inlineStr">
        <is>
          <t>MUS.BCA.A</t>
        </is>
      </c>
      <c r="E2131" s="3" t="inlineStr">
        <is>
          <t>Mauritius</t>
        </is>
      </c>
      <c r="F2131" s="3" t="inlineStr">
        <is>
          <t>Current account balance (credit less debit), US dollar</t>
        </is>
      </c>
      <c r="G2131" s="3" t="n">
        <v>-0.034248</v>
      </c>
      <c r="H2131" s="3" t="n">
        <v>0.275942</v>
      </c>
      <c r="I2131" s="3" t="n">
        <v>0.249349</v>
      </c>
      <c r="J2131" s="3" t="n">
        <v>0.095264</v>
      </c>
      <c r="K2131" s="3" t="n">
        <v>-0.115606</v>
      </c>
      <c r="L2131" s="3" t="n">
        <v>-0.324448</v>
      </c>
      <c r="M2131" s="3" t="n">
        <v>-0.6118</v>
      </c>
      <c r="N2131" s="3" t="n">
        <v>-0.423074</v>
      </c>
      <c r="O2131" s="3" t="n">
        <v>-0.971186</v>
      </c>
      <c r="P2131" s="3" t="n">
        <v>-0.6555839999999999</v>
      </c>
      <c r="Q2131" s="3" t="n">
        <v>-1.00566</v>
      </c>
      <c r="R2131" s="3" t="n">
        <v>-1.53802</v>
      </c>
      <c r="S2131" s="3" t="n">
        <v>-0.8274319999999999</v>
      </c>
      <c r="T2131" s="3" t="n">
        <v>-0.750349</v>
      </c>
      <c r="U2131" s="3" t="n">
        <v>-0.690026</v>
      </c>
      <c r="V2131" s="3" t="n">
        <v>-0.416994</v>
      </c>
      <c r="W2131" s="3" t="n">
        <v>-0.491361</v>
      </c>
      <c r="X2131" s="3" t="n">
        <v>-0.612205</v>
      </c>
      <c r="Y2131" s="3" t="n">
        <v>-0.555444</v>
      </c>
      <c r="Z2131" s="3" t="n">
        <v>-0.718458</v>
      </c>
      <c r="AA2131" s="3" t="n">
        <v>-1.013472</v>
      </c>
      <c r="AB2131" s="3" t="n">
        <v>-1.504</v>
      </c>
      <c r="AC2131" s="3" t="n">
        <v>-1.434306</v>
      </c>
      <c r="AD2131" s="3" t="n">
        <v>-0.421528</v>
      </c>
      <c r="AE2131" s="3" t="n">
        <v>-0.964009</v>
      </c>
      <c r="AF2131" s="3" t="n">
        <v>-1.034905</v>
      </c>
      <c r="AG2131" s="3" t="n">
        <v>-1.185999</v>
      </c>
      <c r="AH2131" s="3" t="n">
        <v>-0.933096</v>
      </c>
      <c r="AI2131" s="3" t="n">
        <v>-0.670472</v>
      </c>
      <c r="AJ2131" s="3" t="n">
        <v>-0.66617</v>
      </c>
      <c r="AK2131" s="3" t="n">
        <v>-0.532013</v>
      </c>
      <c r="AL2131" s="3" t="n">
        <v>-0.546048</v>
      </c>
      <c r="AM2131" s="3" t="n"/>
      <c r="AN2131" s="3" t="n"/>
      <c r="AO2131" s="3" t="n"/>
      <c r="AP2131" s="3" t="n"/>
      <c r="AQ2131" s="3" t="n"/>
      <c r="AR2131" s="3" t="n"/>
      <c r="AS2131" s="3" t="n"/>
      <c r="AT2131" s="3" t="n"/>
      <c r="AU2131" s="3" t="n"/>
    </row>
    <row r="2132">
      <c r="A2132" s="3" t="n">
        <v>2031</v>
      </c>
      <c r="B2132" s="3" t="inlineStr">
        <is>
          <t>MUS</t>
        </is>
      </c>
      <c r="C2132" s="3" t="inlineStr">
        <is>
          <t>IMF.RES:WEO</t>
        </is>
      </c>
      <c r="D2132" s="3" t="inlineStr">
        <is>
          <t>MUS.BCA_NGDPD.A</t>
        </is>
      </c>
      <c r="E2132" s="3" t="inlineStr">
        <is>
          <t>Mauritius</t>
        </is>
      </c>
      <c r="F2132" s="3" t="inlineStr">
        <is>
          <t>Current account balance (credit less debit), Percent of GDP</t>
        </is>
      </c>
      <c r="G2132" s="3" t="n">
        <v>-0.694011</v>
      </c>
      <c r="H2132" s="3" t="n">
        <v>5.651963</v>
      </c>
      <c r="I2132" s="3" t="n">
        <v>4.867088</v>
      </c>
      <c r="J2132" s="3" t="n">
        <v>1.547697</v>
      </c>
      <c r="K2132" s="3" t="n">
        <v>-1.660566</v>
      </c>
      <c r="L2132" s="3" t="n">
        <v>-4.725078</v>
      </c>
      <c r="M2132" s="3" t="n">
        <v>-8.58854</v>
      </c>
      <c r="N2132" s="3" t="n">
        <v>-5.122035</v>
      </c>
      <c r="O2132" s="3" t="n">
        <v>-9.592086</v>
      </c>
      <c r="P2132" s="3" t="n">
        <v>-7.086049</v>
      </c>
      <c r="Q2132" s="3" t="n">
        <v>-9.919356000000001</v>
      </c>
      <c r="R2132" s="3" t="n">
        <v>-13.175309</v>
      </c>
      <c r="S2132" s="3" t="n">
        <v>-6.996835</v>
      </c>
      <c r="T2132" s="3" t="n">
        <v>-6.103889</v>
      </c>
      <c r="U2132" s="3" t="n">
        <v>-5.277796</v>
      </c>
      <c r="V2132" s="3" t="n">
        <v>-3.472838</v>
      </c>
      <c r="W2132" s="3" t="n">
        <v>-3.901498</v>
      </c>
      <c r="X2132" s="3" t="n">
        <v>-4.464245</v>
      </c>
      <c r="Y2132" s="3" t="n">
        <v>-3.769386</v>
      </c>
      <c r="Z2132" s="3" t="n">
        <v>-4.97673</v>
      </c>
      <c r="AA2132" s="3" t="n">
        <v>-8.883791</v>
      </c>
      <c r="AB2132" s="3" t="n">
        <v>-13.096086</v>
      </c>
      <c r="AC2132" s="3" t="n">
        <v>-11.111957</v>
      </c>
      <c r="AD2132" s="3" t="n">
        <v>-2.989355</v>
      </c>
      <c r="AE2132" s="3" t="n">
        <v>-6.432899</v>
      </c>
      <c r="AF2132" s="3" t="n">
        <v>-6.417755</v>
      </c>
      <c r="AG2132" s="3" t="n">
        <v>-6.927861</v>
      </c>
      <c r="AH2132" s="3" t="n">
        <v>-5.115372</v>
      </c>
      <c r="AI2132" s="3" t="n">
        <v>-3.452826</v>
      </c>
      <c r="AJ2132" s="3" t="n">
        <v>-3.227462</v>
      </c>
      <c r="AK2132" s="3" t="n">
        <v>-2.427457</v>
      </c>
      <c r="AL2132" s="3" t="n">
        <v>-2.346464</v>
      </c>
      <c r="AM2132" s="3" t="n"/>
      <c r="AN2132" s="3" t="n"/>
      <c r="AO2132" s="3" t="n"/>
      <c r="AP2132" s="3" t="n"/>
      <c r="AQ2132" s="3" t="n"/>
      <c r="AR2132" s="3" t="n"/>
      <c r="AS2132" s="3" t="n"/>
      <c r="AT2132" s="3" t="n"/>
      <c r="AU2132" s="3" t="n"/>
    </row>
    <row r="2133">
      <c r="A2133" s="3" t="n">
        <v>2031</v>
      </c>
      <c r="B2133" s="3" t="inlineStr">
        <is>
          <t>MUS</t>
        </is>
      </c>
      <c r="C2133" s="3" t="inlineStr">
        <is>
          <t>IMF.RES:WEO</t>
        </is>
      </c>
      <c r="D2133" s="3" t="inlineStr">
        <is>
          <t>MUS.GGR_NGDP.A</t>
        </is>
      </c>
      <c r="E2133" s="3" t="inlineStr">
        <is>
          <t>Mauritius</t>
        </is>
      </c>
      <c r="F2133" s="3" t="inlineStr">
        <is>
          <t>Revenue, General government, Percent of GDP</t>
        </is>
      </c>
      <c r="G2133" s="3" t="n">
        <v>17.002655</v>
      </c>
      <c r="H2133" s="3" t="n">
        <v>16.223682</v>
      </c>
      <c r="I2133" s="3" t="n">
        <v>17.08538</v>
      </c>
      <c r="J2133" s="3" t="n">
        <v>17.614937</v>
      </c>
      <c r="K2133" s="3" t="n">
        <v>17.697983</v>
      </c>
      <c r="L2133" s="3" t="n">
        <v>17.569691</v>
      </c>
      <c r="M2133" s="3" t="n">
        <v>16.797809</v>
      </c>
      <c r="N2133" s="3" t="n">
        <v>17.447492</v>
      </c>
      <c r="O2133" s="3" t="n">
        <v>19.774671</v>
      </c>
      <c r="P2133" s="3" t="n">
        <v>21.155729</v>
      </c>
      <c r="Q2133" s="3" t="n">
        <v>20.234622</v>
      </c>
      <c r="R2133" s="3" t="n">
        <v>20.051183</v>
      </c>
      <c r="S2133" s="3" t="n">
        <v>20.135209</v>
      </c>
      <c r="T2133" s="3" t="n">
        <v>20.115192</v>
      </c>
      <c r="U2133" s="3" t="n">
        <v>19.40225</v>
      </c>
      <c r="V2133" s="3" t="n">
        <v>20.248128</v>
      </c>
      <c r="W2133" s="3" t="n">
        <v>20.57843</v>
      </c>
      <c r="X2133" s="3" t="n">
        <v>21.981461</v>
      </c>
      <c r="Y2133" s="3" t="n">
        <v>21.793715</v>
      </c>
      <c r="Z2133" s="3" t="n">
        <v>22.05577</v>
      </c>
      <c r="AA2133" s="3" t="n">
        <v>21.631063</v>
      </c>
      <c r="AB2133" s="3" t="n">
        <v>24.202128</v>
      </c>
      <c r="AC2133" s="3" t="n">
        <v>24.489948</v>
      </c>
      <c r="AD2133" s="3" t="n">
        <v>24.010905</v>
      </c>
      <c r="AE2133" s="3" t="n">
        <v>25.759637</v>
      </c>
      <c r="AF2133" s="3" t="n">
        <v>27.666577</v>
      </c>
      <c r="AG2133" s="3" t="n">
        <v>28.155715</v>
      </c>
      <c r="AH2133" s="3" t="n">
        <v>28.05275</v>
      </c>
      <c r="AI2133" s="3" t="n">
        <v>27.916405</v>
      </c>
      <c r="AJ2133" s="3" t="n">
        <v>27.836885</v>
      </c>
      <c r="AK2133" s="3" t="n">
        <v>27.884932</v>
      </c>
      <c r="AL2133" s="3" t="n">
        <v>27.748112</v>
      </c>
      <c r="AM2133" s="3" t="n"/>
      <c r="AN2133" s="3" t="n"/>
      <c r="AO2133" s="3" t="n"/>
      <c r="AP2133" s="3" t="n"/>
      <c r="AQ2133" s="3" t="n"/>
      <c r="AR2133" s="3" t="n"/>
      <c r="AS2133" s="3" t="n"/>
      <c r="AT2133" s="3" t="n"/>
      <c r="AU2133" s="3" t="n"/>
    </row>
    <row r="2134">
      <c r="A2134" s="3" t="n">
        <v>2031</v>
      </c>
      <c r="B2134" s="3" t="inlineStr">
        <is>
          <t>MUS</t>
        </is>
      </c>
      <c r="C2134" s="3" t="inlineStr">
        <is>
          <t>IMF.RES:WEO</t>
        </is>
      </c>
      <c r="D2134" s="3" t="inlineStr">
        <is>
          <t>MUS.GGX_NGDP.A</t>
        </is>
      </c>
      <c r="E2134" s="3" t="inlineStr">
        <is>
          <t>Mauritius</t>
        </is>
      </c>
      <c r="F2134" s="3" t="inlineStr">
        <is>
          <t>Expenditure, General government, Percent of GDP</t>
        </is>
      </c>
      <c r="G2134" s="3" t="n">
        <v>21.195546</v>
      </c>
      <c r="H2134" s="3" t="n">
        <v>21.541648</v>
      </c>
      <c r="I2134" s="3" t="n">
        <v>21.976792</v>
      </c>
      <c r="J2134" s="3" t="n">
        <v>22.169733</v>
      </c>
      <c r="K2134" s="3" t="n">
        <v>21.917645</v>
      </c>
      <c r="L2134" s="3" t="n">
        <v>21.769551</v>
      </c>
      <c r="M2134" s="3" t="n">
        <v>20.661423</v>
      </c>
      <c r="N2134" s="3" t="n">
        <v>20.36865</v>
      </c>
      <c r="O2134" s="3" t="n">
        <v>22.402216</v>
      </c>
      <c r="P2134" s="3" t="n">
        <v>24.470999</v>
      </c>
      <c r="Q2134" s="3" t="n">
        <v>23.19178</v>
      </c>
      <c r="R2134" s="3" t="n">
        <v>23.048356</v>
      </c>
      <c r="S2134" s="3" t="n">
        <v>21.86616</v>
      </c>
      <c r="T2134" s="3" t="n">
        <v>23.412689</v>
      </c>
      <c r="U2134" s="3" t="n">
        <v>22.455999</v>
      </c>
      <c r="V2134" s="3" t="n">
        <v>23.727981</v>
      </c>
      <c r="W2134" s="3" t="n">
        <v>23.314107</v>
      </c>
      <c r="X2134" s="3" t="n">
        <v>23.596465</v>
      </c>
      <c r="Y2134" s="3" t="n">
        <v>23.947978</v>
      </c>
      <c r="Z2134" s="3" t="n">
        <v>30.247624</v>
      </c>
      <c r="AA2134" s="3" t="n">
        <v>32.081457</v>
      </c>
      <c r="AB2134" s="3" t="n">
        <v>28.286125</v>
      </c>
      <c r="AC2134" s="3" t="n">
        <v>27.636071</v>
      </c>
      <c r="AD2134" s="3" t="n">
        <v>28.489775</v>
      </c>
      <c r="AE2134" s="3" t="n">
        <v>32.59943</v>
      </c>
      <c r="AF2134" s="3" t="n">
        <v>31.358068</v>
      </c>
      <c r="AG2134" s="3" t="n">
        <v>31.283675</v>
      </c>
      <c r="AH2134" s="3" t="n">
        <v>29.903199</v>
      </c>
      <c r="AI2134" s="3" t="n">
        <v>29.425357</v>
      </c>
      <c r="AJ2134" s="3" t="n">
        <v>28.625283</v>
      </c>
      <c r="AK2134" s="3" t="n">
        <v>28.352281</v>
      </c>
      <c r="AL2134" s="3" t="n">
        <v>27.774892</v>
      </c>
      <c r="AM2134" s="3" t="n"/>
      <c r="AN2134" s="3" t="n"/>
      <c r="AO2134" s="3" t="n"/>
      <c r="AP2134" s="3" t="n"/>
      <c r="AQ2134" s="3" t="n"/>
      <c r="AR2134" s="3" t="n"/>
      <c r="AS2134" s="3" t="n"/>
      <c r="AT2134" s="3" t="n"/>
      <c r="AU2134" s="3" t="n"/>
    </row>
    <row r="2135">
      <c r="A2135" s="3" t="n">
        <v>2031</v>
      </c>
      <c r="B2135" s="3" t="inlineStr">
        <is>
          <t>MUS</t>
        </is>
      </c>
      <c r="C2135" s="3" t="inlineStr">
        <is>
          <t>IMF.RES:WEO</t>
        </is>
      </c>
      <c r="D2135" s="3" t="inlineStr">
        <is>
          <t>MUS.LP.A</t>
        </is>
      </c>
      <c r="E2135" s="3" t="inlineStr">
        <is>
          <t>Mauritius</t>
        </is>
      </c>
      <c r="F2135" s="3" t="inlineStr">
        <is>
          <t>Population, Persons for countries / Index for country groups</t>
        </is>
      </c>
      <c r="G2135" s="3" t="n">
        <v>1.186873</v>
      </c>
      <c r="H2135" s="3" t="n">
        <v>1.196287</v>
      </c>
      <c r="I2135" s="3" t="n">
        <v>1.204621</v>
      </c>
      <c r="J2135" s="3" t="n">
        <v>1.21337</v>
      </c>
      <c r="K2135" s="3" t="n">
        <v>1.221003</v>
      </c>
      <c r="L2135" s="3" t="n">
        <v>1.228254</v>
      </c>
      <c r="M2135" s="3" t="n">
        <v>1.233996</v>
      </c>
      <c r="N2135" s="3" t="n">
        <v>1.23963</v>
      </c>
      <c r="O2135" s="3" t="n">
        <v>1.244121</v>
      </c>
      <c r="P2135" s="3" t="n">
        <v>1.247429</v>
      </c>
      <c r="Q2135" s="3" t="n">
        <v>1.2504</v>
      </c>
      <c r="R2135" s="3" t="n">
        <v>1.252404</v>
      </c>
      <c r="S2135" s="3" t="n">
        <v>1.251602</v>
      </c>
      <c r="T2135" s="3" t="n">
        <v>1.253708</v>
      </c>
      <c r="U2135" s="3" t="n">
        <v>1.255126</v>
      </c>
      <c r="V2135" s="3" t="n">
        <v>1.256135</v>
      </c>
      <c r="W2135" s="3" t="n">
        <v>1.25634</v>
      </c>
      <c r="X2135" s="3" t="n">
        <v>1.256816</v>
      </c>
      <c r="Y2135" s="3" t="n">
        <v>1.256843</v>
      </c>
      <c r="Z2135" s="3" t="n">
        <v>1.256589</v>
      </c>
      <c r="AA2135" s="3" t="n">
        <v>1.255954</v>
      </c>
      <c r="AB2135" s="3" t="n">
        <v>1.255609</v>
      </c>
      <c r="AC2135" s="3" t="n">
        <v>1.251135</v>
      </c>
      <c r="AD2135" s="3" t="n">
        <v>1.248317</v>
      </c>
      <c r="AE2135" s="3" t="n">
        <v>1.245449</v>
      </c>
      <c r="AF2135" s="3" t="n">
        <v>1.242618</v>
      </c>
      <c r="AG2135" s="3" t="n">
        <v>1.239462</v>
      </c>
      <c r="AH2135" s="3" t="n">
        <v>1.236104</v>
      </c>
      <c r="AI2135" s="3" t="n">
        <v>1.232589</v>
      </c>
      <c r="AJ2135" s="3" t="n">
        <v>1.228905</v>
      </c>
      <c r="AK2135" s="3" t="n">
        <v>1.225132</v>
      </c>
      <c r="AL2135" s="3" t="n">
        <v>1.221173</v>
      </c>
      <c r="AM2135" s="3" t="n"/>
      <c r="AN2135" s="3" t="n"/>
      <c r="AO2135" s="3" t="n"/>
      <c r="AP2135" s="3" t="n"/>
      <c r="AQ2135" s="3" t="n"/>
      <c r="AR2135" s="3" t="n"/>
      <c r="AS2135" s="3" t="n"/>
      <c r="AT2135" s="3" t="n"/>
      <c r="AU2135" s="3" t="n"/>
    </row>
    <row r="2136">
      <c r="A2136" s="3" t="n">
        <v>2031</v>
      </c>
      <c r="B2136" s="3" t="inlineStr">
        <is>
          <t>MUS</t>
        </is>
      </c>
      <c r="C2136" s="3" t="inlineStr">
        <is>
          <t>IMF.RES:WEO</t>
        </is>
      </c>
      <c r="D2136" s="3" t="inlineStr">
        <is>
          <t>MUS.NGDP.A</t>
        </is>
      </c>
      <c r="E2136" s="3" t="inlineStr">
        <is>
          <t>Mauritius</t>
        </is>
      </c>
      <c r="F2136" s="3" t="inlineStr">
        <is>
          <t>Gross domestic product (GDP), Current prices, Domestic currency</t>
        </is>
      </c>
      <c r="G2136" s="3" t="n">
        <v>129.536784</v>
      </c>
      <c r="H2136" s="3" t="n">
        <v>142.216068</v>
      </c>
      <c r="I2136" s="3" t="n">
        <v>153.5004</v>
      </c>
      <c r="J2136" s="3" t="n">
        <v>171.739068</v>
      </c>
      <c r="K2136" s="3" t="n">
        <v>191.440766</v>
      </c>
      <c r="L2136" s="3" t="n">
        <v>202.536332</v>
      </c>
      <c r="M2136" s="3" t="n">
        <v>225.87075</v>
      </c>
      <c r="N2136" s="3" t="n">
        <v>258.647193</v>
      </c>
      <c r="O2136" s="3" t="n">
        <v>288.081232</v>
      </c>
      <c r="P2136" s="3" t="n">
        <v>295.684239</v>
      </c>
      <c r="Q2136" s="3" t="n">
        <v>312.103372</v>
      </c>
      <c r="R2136" s="3" t="n">
        <v>335.098873</v>
      </c>
      <c r="S2136" s="3" t="n">
        <v>355.365115</v>
      </c>
      <c r="T2136" s="3" t="n">
        <v>377.411</v>
      </c>
      <c r="U2136" s="3" t="n">
        <v>400.351</v>
      </c>
      <c r="V2136" s="3" t="n">
        <v>420.936</v>
      </c>
      <c r="W2136" s="3" t="n">
        <v>447.62</v>
      </c>
      <c r="X2136" s="3" t="n">
        <v>472.861</v>
      </c>
      <c r="Y2136" s="3" t="n">
        <v>500.047</v>
      </c>
      <c r="Z2136" s="3" t="n">
        <v>512.1079999999999</v>
      </c>
      <c r="AA2136" s="3" t="n">
        <v>448.874</v>
      </c>
      <c r="AB2136" s="3" t="n">
        <v>478.807</v>
      </c>
      <c r="AC2136" s="3" t="n">
        <v>570.301</v>
      </c>
      <c r="AD2136" s="3" t="n">
        <v>638.312</v>
      </c>
      <c r="AE2136" s="3" t="n">
        <v>695.552</v>
      </c>
      <c r="AF2136" s="3" t="n">
        <v>745.624739</v>
      </c>
      <c r="AG2136" s="3" t="n">
        <v>801.5200599999999</v>
      </c>
      <c r="AH2136" s="3" t="n">
        <v>859.530735</v>
      </c>
      <c r="AI2136" s="3" t="n">
        <v>920.828889</v>
      </c>
      <c r="AJ2136" s="3" t="n">
        <v>986.210048</v>
      </c>
      <c r="AK2136" s="3" t="n">
        <v>1056.233433</v>
      </c>
      <c r="AL2136" s="3" t="n">
        <v>1131.228654</v>
      </c>
      <c r="AM2136" s="3" t="n"/>
      <c r="AN2136" s="3" t="n"/>
      <c r="AO2136" s="3" t="n"/>
      <c r="AP2136" s="3" t="n"/>
      <c r="AQ2136" s="3" t="n"/>
      <c r="AR2136" s="3" t="n"/>
      <c r="AS2136" s="3" t="n"/>
      <c r="AT2136" s="3" t="n"/>
      <c r="AU2136" s="3" t="n"/>
    </row>
    <row r="2137">
      <c r="A2137" s="3" t="n">
        <v>2031</v>
      </c>
      <c r="B2137" s="3" t="inlineStr">
        <is>
          <t>MUS</t>
        </is>
      </c>
      <c r="C2137" s="3" t="inlineStr">
        <is>
          <t>IMF.RES:WEO</t>
        </is>
      </c>
      <c r="D2137" s="3" t="inlineStr">
        <is>
          <t>MUS.NGDP_D.A</t>
        </is>
      </c>
      <c r="E2137" s="3" t="inlineStr">
        <is>
          <t>Mauritius</t>
        </is>
      </c>
      <c r="F2137" s="3" t="inlineStr">
        <is>
          <t>Gross domestic product (GDP), Price deflator, Index</t>
        </is>
      </c>
      <c r="G2137" s="3" t="n">
        <v>51.50045</v>
      </c>
      <c r="H2137" s="3" t="n">
        <v>54.780617</v>
      </c>
      <c r="I2137" s="3" t="n">
        <v>58.1807</v>
      </c>
      <c r="J2137" s="3" t="n">
        <v>61.41834</v>
      </c>
      <c r="K2137" s="3" t="n">
        <v>65.641929</v>
      </c>
      <c r="L2137" s="3" t="n">
        <v>68.452112</v>
      </c>
      <c r="M2137" s="3" t="n">
        <v>73.04167200000001</v>
      </c>
      <c r="N2137" s="3" t="n">
        <v>79.11020499999999</v>
      </c>
      <c r="O2137" s="3" t="n">
        <v>83.608959</v>
      </c>
      <c r="P2137" s="3" t="n">
        <v>83.061989</v>
      </c>
      <c r="Q2137" s="3" t="n">
        <v>83.997615</v>
      </c>
      <c r="R2137" s="3" t="n">
        <v>86.65316900000001</v>
      </c>
      <c r="S2137" s="3" t="n">
        <v>88.78962300000001</v>
      </c>
      <c r="T2137" s="3" t="n">
        <v>91.23211999999999</v>
      </c>
      <c r="U2137" s="3" t="n">
        <v>93.21031000000001</v>
      </c>
      <c r="V2137" s="3" t="n">
        <v>94.51481699999999</v>
      </c>
      <c r="W2137" s="3" t="n">
        <v>96.768647</v>
      </c>
      <c r="X2137" s="3" t="n">
        <v>98.352272</v>
      </c>
      <c r="Y2137" s="3" t="n">
        <v>100.000055</v>
      </c>
      <c r="Z2137" s="3" t="n">
        <v>99.534038</v>
      </c>
      <c r="AA2137" s="3" t="n">
        <v>102.095268</v>
      </c>
      <c r="AB2137" s="3" t="n">
        <v>105.31862</v>
      </c>
      <c r="AC2137" s="3" t="n">
        <v>115.410935</v>
      </c>
      <c r="AD2137" s="3" t="n">
        <v>123.013785</v>
      </c>
      <c r="AE2137" s="3" t="n">
        <v>127.752936</v>
      </c>
      <c r="AF2137" s="3" t="n">
        <v>132.832067</v>
      </c>
      <c r="AG2137" s="3" t="n">
        <v>138.094531</v>
      </c>
      <c r="AH2137" s="3" t="n">
        <v>143.219764</v>
      </c>
      <c r="AI2137" s="3" t="n">
        <v>148.388396</v>
      </c>
      <c r="AJ2137" s="3" t="n">
        <v>153.698592</v>
      </c>
      <c r="AK2137" s="3" t="n">
        <v>159.198817</v>
      </c>
      <c r="AL2137" s="3" t="n">
        <v>164.895873</v>
      </c>
      <c r="AM2137" s="3" t="n"/>
      <c r="AN2137" s="3" t="n"/>
      <c r="AO2137" s="3" t="n"/>
      <c r="AP2137" s="3" t="n"/>
      <c r="AQ2137" s="3" t="n"/>
      <c r="AR2137" s="3" t="n"/>
      <c r="AS2137" s="3" t="n"/>
      <c r="AT2137" s="3" t="n"/>
      <c r="AU2137" s="3" t="n"/>
    </row>
    <row r="2138">
      <c r="A2138" s="3" t="n">
        <v>2031</v>
      </c>
      <c r="B2138" s="3" t="inlineStr">
        <is>
          <t>MUS</t>
        </is>
      </c>
      <c r="C2138" s="3" t="inlineStr">
        <is>
          <t>IMF.RES:WEO</t>
        </is>
      </c>
      <c r="D2138" s="3" t="inlineStr">
        <is>
          <t>MUS.NGDP_R.A</t>
        </is>
      </c>
      <c r="E2138" s="3" t="inlineStr">
        <is>
          <t>Mauritius</t>
        </is>
      </c>
      <c r="F2138" s="3" t="inlineStr">
        <is>
          <t>Gross domestic product (GDP), Constant prices, Domestic currency</t>
        </is>
      </c>
      <c r="G2138" s="3" t="n">
        <v>251.52554</v>
      </c>
      <c r="H2138" s="3" t="n">
        <v>259.610198</v>
      </c>
      <c r="I2138" s="3" t="n">
        <v>263.833882</v>
      </c>
      <c r="J2138" s="3" t="n">
        <v>279.621799</v>
      </c>
      <c r="K2138" s="3" t="n">
        <v>291.644027</v>
      </c>
      <c r="L2138" s="3" t="n">
        <v>295.880327</v>
      </c>
      <c r="M2138" s="3" t="n">
        <v>309.235457</v>
      </c>
      <c r="N2138" s="3" t="n">
        <v>326.945422</v>
      </c>
      <c r="O2138" s="3" t="n">
        <v>344.557849</v>
      </c>
      <c r="P2138" s="3" t="n">
        <v>355.980207</v>
      </c>
      <c r="Q2138" s="3" t="n">
        <v>371.562184</v>
      </c>
      <c r="R2138" s="3" t="n">
        <v>386.712774</v>
      </c>
      <c r="S2138" s="3" t="n">
        <v>400.23271</v>
      </c>
      <c r="T2138" s="3" t="n">
        <v>413.682154</v>
      </c>
      <c r="U2138" s="3" t="n">
        <v>429.513646</v>
      </c>
      <c r="V2138" s="3" t="n">
        <v>445.365091</v>
      </c>
      <c r="W2138" s="3" t="n">
        <v>462.567176</v>
      </c>
      <c r="X2138" s="3" t="n">
        <v>480.782997</v>
      </c>
      <c r="Y2138" s="3" t="n">
        <v>500.046724</v>
      </c>
      <c r="Z2138" s="3" t="n">
        <v>514.5054</v>
      </c>
      <c r="AA2138" s="3" t="n">
        <v>439.661907</v>
      </c>
      <c r="AB2138" s="3" t="n">
        <v>454.627113</v>
      </c>
      <c r="AC2138" s="3" t="n">
        <v>494.148151</v>
      </c>
      <c r="AD2138" s="3" t="n">
        <v>518.894691</v>
      </c>
      <c r="AE2138" s="3" t="n">
        <v>544.450893</v>
      </c>
      <c r="AF2138" s="3" t="n">
        <v>561.3288700000001</v>
      </c>
      <c r="AG2138" s="3" t="n">
        <v>580.414052</v>
      </c>
      <c r="AH2138" s="3" t="n">
        <v>600.14813</v>
      </c>
      <c r="AI2138" s="3" t="n">
        <v>620.553166</v>
      </c>
      <c r="AJ2138" s="3" t="n">
        <v>641.651974</v>
      </c>
      <c r="AK2138" s="3" t="n">
        <v>663.4681409999999</v>
      </c>
      <c r="AL2138" s="3" t="n">
        <v>686.026057</v>
      </c>
      <c r="AM2138" s="3" t="n"/>
      <c r="AN2138" s="3" t="n"/>
      <c r="AO2138" s="3" t="n"/>
      <c r="AP2138" s="3" t="n"/>
      <c r="AQ2138" s="3" t="n"/>
      <c r="AR2138" s="3" t="n"/>
      <c r="AS2138" s="3" t="n"/>
      <c r="AT2138" s="3" t="n"/>
      <c r="AU2138" s="3" t="n"/>
    </row>
    <row r="2139">
      <c r="A2139" s="3" t="n">
        <v>2031</v>
      </c>
      <c r="B2139" s="3" t="inlineStr">
        <is>
          <t>MUS</t>
        </is>
      </c>
      <c r="C2139" s="3" t="inlineStr">
        <is>
          <t>IMF.RES:WEO</t>
        </is>
      </c>
      <c r="D2139" s="3" t="inlineStr">
        <is>
          <t>MUS.NGDP_RPCH.A</t>
        </is>
      </c>
      <c r="E2139" s="3" t="inlineStr">
        <is>
          <t>Mauritius</t>
        </is>
      </c>
      <c r="F2139" s="3" t="inlineStr">
        <is>
          <t>Gross domestic product (GDP), Constant prices, Percent change</t>
        </is>
      </c>
      <c r="G2139" s="3" t="n">
        <v>8.192129</v>
      </c>
      <c r="H2139" s="3" t="n">
        <v>3.21425</v>
      </c>
      <c r="I2139" s="3" t="n">
        <v>1.626933</v>
      </c>
      <c r="J2139" s="3" t="n">
        <v>5.984037</v>
      </c>
      <c r="K2139" s="3" t="n">
        <v>4.29946</v>
      </c>
      <c r="L2139" s="3" t="n">
        <v>1.452559</v>
      </c>
      <c r="M2139" s="3" t="n">
        <v>4.513693</v>
      </c>
      <c r="N2139" s="3" t="n">
        <v>5.727016</v>
      </c>
      <c r="O2139" s="3" t="n">
        <v>5.386963</v>
      </c>
      <c r="P2139" s="3" t="n">
        <v>3.315077</v>
      </c>
      <c r="Q2139" s="3" t="n">
        <v>4.377203</v>
      </c>
      <c r="R2139" s="3" t="n">
        <v>4.077538</v>
      </c>
      <c r="S2139" s="3" t="n">
        <v>3.496118</v>
      </c>
      <c r="T2139" s="3" t="n">
        <v>3.360406</v>
      </c>
      <c r="U2139" s="3" t="n">
        <v>3.82697</v>
      </c>
      <c r="V2139" s="3" t="n">
        <v>3.690557</v>
      </c>
      <c r="W2139" s="3" t="n">
        <v>3.862468</v>
      </c>
      <c r="X2139" s="3" t="n">
        <v>3.937984</v>
      </c>
      <c r="Y2139" s="3" t="n">
        <v>4.006741</v>
      </c>
      <c r="Z2139" s="3" t="n">
        <v>2.891465</v>
      </c>
      <c r="AA2139" s="3" t="n">
        <v>-14.546688</v>
      </c>
      <c r="AB2139" s="3" t="n">
        <v>3.403799</v>
      </c>
      <c r="AC2139" s="3" t="n">
        <v>8.693066999999999</v>
      </c>
      <c r="AD2139" s="3" t="n">
        <v>5.007919</v>
      </c>
      <c r="AE2139" s="3" t="n">
        <v>4.925123</v>
      </c>
      <c r="AF2139" s="3" t="n">
        <v>3.1</v>
      </c>
      <c r="AG2139" s="3" t="n">
        <v>3.4</v>
      </c>
      <c r="AH2139" s="3" t="n">
        <v>3.4</v>
      </c>
      <c r="AI2139" s="3" t="n">
        <v>3.4</v>
      </c>
      <c r="AJ2139" s="3" t="n">
        <v>3.4</v>
      </c>
      <c r="AK2139" s="3" t="n">
        <v>3.4</v>
      </c>
      <c r="AL2139" s="3" t="n">
        <v>3.4</v>
      </c>
      <c r="AM2139" s="3" t="n"/>
      <c r="AN2139" s="3" t="n"/>
      <c r="AO2139" s="3" t="n"/>
      <c r="AP2139" s="3" t="n"/>
      <c r="AQ2139" s="3" t="n"/>
      <c r="AR2139" s="3" t="n"/>
      <c r="AS2139" s="3" t="n"/>
      <c r="AT2139" s="3" t="n"/>
      <c r="AU2139" s="3" t="n"/>
    </row>
    <row r="2140">
      <c r="A2140" s="3" t="n">
        <v>2031</v>
      </c>
      <c r="B2140" s="3" t="inlineStr">
        <is>
          <t>MUS</t>
        </is>
      </c>
      <c r="C2140" s="3" t="inlineStr">
        <is>
          <t>IMF.RES:WEO</t>
        </is>
      </c>
      <c r="D2140" s="3" t="inlineStr">
        <is>
          <t>MUS.NGDPD.A</t>
        </is>
      </c>
      <c r="E2140" s="3" t="inlineStr">
        <is>
          <t>Mauritius</t>
        </is>
      </c>
      <c r="F2140" s="3" t="inlineStr">
        <is>
          <t>Gross domestic product (GDP), Current prices, US dollar</t>
        </is>
      </c>
      <c r="G2140" s="3" t="n">
        <v>4.934818</v>
      </c>
      <c r="H2140" s="3" t="n">
        <v>4.882241</v>
      </c>
      <c r="I2140" s="3" t="n">
        <v>5.123169</v>
      </c>
      <c r="J2140" s="3" t="n">
        <v>6.155197</v>
      </c>
      <c r="K2140" s="3" t="n">
        <v>6.961858</v>
      </c>
      <c r="L2140" s="3" t="n">
        <v>6.866515</v>
      </c>
      <c r="M2140" s="3" t="n">
        <v>7.123448</v>
      </c>
      <c r="N2140" s="3" t="n">
        <v>8.259885000000001</v>
      </c>
      <c r="O2140" s="3" t="n">
        <v>10.124868</v>
      </c>
      <c r="P2140" s="3" t="n">
        <v>9.251754999999999</v>
      </c>
      <c r="Q2140" s="3" t="n">
        <v>10.138361</v>
      </c>
      <c r="R2140" s="3" t="n">
        <v>11.673499</v>
      </c>
      <c r="S2140" s="3" t="n">
        <v>11.825805</v>
      </c>
      <c r="T2140" s="3" t="n">
        <v>12.292974</v>
      </c>
      <c r="U2140" s="3" t="n">
        <v>13.07413</v>
      </c>
      <c r="V2140" s="3" t="n">
        <v>12.007291</v>
      </c>
      <c r="W2140" s="3" t="n">
        <v>12.594155</v>
      </c>
      <c r="X2140" s="3" t="n">
        <v>13.713506</v>
      </c>
      <c r="Y2140" s="3" t="n">
        <v>14.735674</v>
      </c>
      <c r="Z2140" s="3" t="n">
        <v>14.436347</v>
      </c>
      <c r="AA2140" s="3" t="n">
        <v>11.408106</v>
      </c>
      <c r="AB2140" s="3" t="n">
        <v>11.484349</v>
      </c>
      <c r="AC2140" s="3" t="n">
        <v>12.907768</v>
      </c>
      <c r="AD2140" s="3" t="n">
        <v>14.100975</v>
      </c>
      <c r="AE2140" s="3" t="n">
        <v>14.985605</v>
      </c>
      <c r="AF2140" s="3" t="n">
        <v>16.125659</v>
      </c>
      <c r="AG2140" s="3" t="n">
        <v>17.119273</v>
      </c>
      <c r="AH2140" s="3" t="n">
        <v>18.241015</v>
      </c>
      <c r="AI2140" s="3" t="n">
        <v>19.41808</v>
      </c>
      <c r="AJ2140" s="3" t="n">
        <v>20.640676</v>
      </c>
      <c r="AK2140" s="3" t="n">
        <v>21.91646</v>
      </c>
      <c r="AL2140" s="3" t="n">
        <v>23.271099</v>
      </c>
      <c r="AM2140" s="3" t="n"/>
      <c r="AN2140" s="3" t="n"/>
      <c r="AO2140" s="3" t="n"/>
      <c r="AP2140" s="3" t="n"/>
      <c r="AQ2140" s="3" t="n"/>
      <c r="AR2140" s="3" t="n"/>
      <c r="AS2140" s="3" t="n"/>
      <c r="AT2140" s="3" t="n"/>
      <c r="AU2140" s="3" t="n"/>
    </row>
    <row r="2141">
      <c r="A2141" s="3" t="n">
        <v>2031</v>
      </c>
      <c r="B2141" s="3" t="inlineStr">
        <is>
          <t>MUS</t>
        </is>
      </c>
      <c r="C2141" s="3" t="inlineStr">
        <is>
          <t>IMF.RES:WEO</t>
        </is>
      </c>
      <c r="D2141" s="3" t="inlineStr">
        <is>
          <t>MUS.NGDPPC.A</t>
        </is>
      </c>
      <c r="E2141" s="3" t="inlineStr">
        <is>
          <t>Mauritius</t>
        </is>
      </c>
      <c r="F2141" s="3" t="inlineStr">
        <is>
          <t>Gross domestic product (GDP), Current prices, Per capita, Domestic currency</t>
        </is>
      </c>
      <c r="G2141" s="3" t="n">
        <v>109141.234488</v>
      </c>
      <c r="H2141" s="3" t="n">
        <v>118881.228561</v>
      </c>
      <c r="I2141" s="3" t="n">
        <v>127426.30266</v>
      </c>
      <c r="J2141" s="3" t="n">
        <v>141538.910579</v>
      </c>
      <c r="K2141" s="3" t="n">
        <v>156789.758912</v>
      </c>
      <c r="L2141" s="3" t="n">
        <v>164897.758757</v>
      </c>
      <c r="M2141" s="3" t="n">
        <v>183040.098739</v>
      </c>
      <c r="N2141" s="3" t="n">
        <v>208648.704026</v>
      </c>
      <c r="O2141" s="3" t="n">
        <v>231554.030173</v>
      </c>
      <c r="P2141" s="3" t="n">
        <v>237034.924988</v>
      </c>
      <c r="Q2141" s="3" t="n">
        <v>249602.824491</v>
      </c>
      <c r="R2141" s="3" t="n">
        <v>267564.518122</v>
      </c>
      <c r="S2141" s="3" t="n">
        <v>283928.209506</v>
      </c>
      <c r="T2141" s="3" t="n">
        <v>301035.807381</v>
      </c>
      <c r="U2141" s="3" t="n">
        <v>318972.75652</v>
      </c>
      <c r="V2141" s="3" t="n">
        <v>335104.109033</v>
      </c>
      <c r="W2141" s="3" t="n">
        <v>356288.902686</v>
      </c>
      <c r="X2141" s="3" t="n">
        <v>376237.253504</v>
      </c>
      <c r="Y2141" s="3" t="n">
        <v>397859.557638</v>
      </c>
      <c r="Z2141" s="3" t="n">
        <v>407538.184721</v>
      </c>
      <c r="AA2141" s="3" t="n">
        <v>357396.847337</v>
      </c>
      <c r="AB2141" s="3" t="n">
        <v>381334.47594</v>
      </c>
      <c r="AC2141" s="3" t="n">
        <v>455826.909166</v>
      </c>
      <c r="AD2141" s="3" t="n">
        <v>511338.065571</v>
      </c>
      <c r="AE2141" s="3" t="n">
        <v>558474.895399</v>
      </c>
      <c r="AF2141" s="3" t="n">
        <v>600043.425197</v>
      </c>
      <c r="AG2141" s="3" t="n">
        <v>646667.6450050001</v>
      </c>
      <c r="AH2141" s="3" t="n">
        <v>695354.439399</v>
      </c>
      <c r="AI2141" s="3" t="n">
        <v>747069.136819</v>
      </c>
      <c r="AJ2141" s="3" t="n">
        <v>802511.4394039999</v>
      </c>
      <c r="AK2141" s="3" t="n">
        <v>862138.425756</v>
      </c>
      <c r="AL2141" s="3" t="n">
        <v>926345.699071</v>
      </c>
      <c r="AM2141" s="3" t="n"/>
      <c r="AN2141" s="3" t="n"/>
      <c r="AO2141" s="3" t="n"/>
      <c r="AP2141" s="3" t="n"/>
      <c r="AQ2141" s="3" t="n"/>
      <c r="AR2141" s="3" t="n"/>
      <c r="AS2141" s="3" t="n"/>
      <c r="AT2141" s="3" t="n"/>
      <c r="AU2141" s="3" t="n"/>
    </row>
    <row r="2142">
      <c r="A2142" s="3" t="n">
        <v>2031</v>
      </c>
      <c r="B2142" s="3" t="inlineStr">
        <is>
          <t>MUS</t>
        </is>
      </c>
      <c r="C2142" s="3" t="inlineStr">
        <is>
          <t>IMF.RES:WEO</t>
        </is>
      </c>
      <c r="D2142" s="3" t="inlineStr">
        <is>
          <t>MUS.NGDPRPC.A</t>
        </is>
      </c>
      <c r="E2142" s="3" t="inlineStr">
        <is>
          <t>Mauritius</t>
        </is>
      </c>
      <c r="F2142" s="3" t="inlineStr">
        <is>
          <t>Gross domestic product (GDP), Constant prices, Per capita, Domestic currency</t>
        </is>
      </c>
      <c r="G2142" s="3" t="n">
        <v>211922.876203</v>
      </c>
      <c r="H2142" s="3" t="n">
        <v>217013.307232</v>
      </c>
      <c r="I2142" s="3" t="n">
        <v>219018.165729</v>
      </c>
      <c r="J2142" s="3" t="n">
        <v>230450.562568</v>
      </c>
      <c r="K2142" s="3" t="n">
        <v>238856.110049</v>
      </c>
      <c r="L2142" s="3" t="n">
        <v>240895.064933</v>
      </c>
      <c r="M2142" s="3" t="n">
        <v>250596.806712</v>
      </c>
      <c r="N2142" s="3" t="n">
        <v>263744.36054</v>
      </c>
      <c r="O2142" s="3" t="n">
        <v>276948.824997</v>
      </c>
      <c r="P2142" s="3" t="n">
        <v>285371.116974</v>
      </c>
      <c r="Q2142" s="3" t="n">
        <v>297154.657859</v>
      </c>
      <c r="R2142" s="3" t="n">
        <v>308776.380244</v>
      </c>
      <c r="S2142" s="3" t="n">
        <v>319776.342644</v>
      </c>
      <c r="T2142" s="3" t="n">
        <v>329966.909679</v>
      </c>
      <c r="U2142" s="3" t="n">
        <v>342207.591588</v>
      </c>
      <c r="V2142" s="3" t="n">
        <v>354551.93203</v>
      </c>
      <c r="W2142" s="3" t="n">
        <v>368186.300199</v>
      </c>
      <c r="X2142" s="3" t="n">
        <v>382540.480795</v>
      </c>
      <c r="Y2142" s="3" t="n">
        <v>397859.338245</v>
      </c>
      <c r="Z2142" s="3" t="n">
        <v>409446.048043</v>
      </c>
      <c r="AA2142" s="3" t="n">
        <v>350062.109596</v>
      </c>
      <c r="AB2142" s="3" t="n">
        <v>362076.978535</v>
      </c>
      <c r="AC2142" s="3" t="n">
        <v>394959.897478</v>
      </c>
      <c r="AD2142" s="3" t="n">
        <v>415675.417811</v>
      </c>
      <c r="AE2142" s="3" t="n">
        <v>437152.298121</v>
      </c>
      <c r="AF2142" s="3" t="n">
        <v>451730.850802</v>
      </c>
      <c r="AG2142" s="3" t="n">
        <v>468278.969571</v>
      </c>
      <c r="AH2142" s="3" t="n">
        <v>485515.699882</v>
      </c>
      <c r="AI2142" s="3" t="n">
        <v>503455.227953</v>
      </c>
      <c r="AJ2142" s="3" t="n">
        <v>522133.241383</v>
      </c>
      <c r="AK2142" s="3" t="n">
        <v>541548.260499</v>
      </c>
      <c r="AL2142" s="3" t="n">
        <v>561776.158532</v>
      </c>
      <c r="AM2142" s="3" t="n"/>
      <c r="AN2142" s="3" t="n"/>
      <c r="AO2142" s="3" t="n"/>
      <c r="AP2142" s="3" t="n"/>
      <c r="AQ2142" s="3" t="n"/>
      <c r="AR2142" s="3" t="n"/>
      <c r="AS2142" s="3" t="n"/>
      <c r="AT2142" s="3" t="n"/>
      <c r="AU2142" s="3" t="n"/>
    </row>
    <row r="2143">
      <c r="A2143" s="3" t="n">
        <v>2031</v>
      </c>
      <c r="B2143" s="3" t="inlineStr">
        <is>
          <t>MUS</t>
        </is>
      </c>
      <c r="C2143" s="3" t="inlineStr">
        <is>
          <t>IMF.RES:WEO</t>
        </is>
      </c>
      <c r="D2143" s="3" t="inlineStr">
        <is>
          <t>MUS.PCPI.A</t>
        </is>
      </c>
      <c r="E2143" s="3" t="inlineStr">
        <is>
          <t>Mauritius</t>
        </is>
      </c>
      <c r="F2143" s="3" t="inlineStr">
        <is>
          <t>All Items, Consumer price index (CPI), Period average</t>
        </is>
      </c>
      <c r="G2143" s="3" t="n">
        <v>45.923604</v>
      </c>
      <c r="H2143" s="3" t="n">
        <v>48.39956</v>
      </c>
      <c r="I2143" s="3" t="n">
        <v>51.503743</v>
      </c>
      <c r="J2143" s="3" t="n">
        <v>52.887278</v>
      </c>
      <c r="K2143" s="3" t="n">
        <v>55.378465</v>
      </c>
      <c r="L2143" s="3" t="n">
        <v>58.112593</v>
      </c>
      <c r="M2143" s="3" t="n">
        <v>63.29246</v>
      </c>
      <c r="N2143" s="3" t="n">
        <v>68.87790699999999</v>
      </c>
      <c r="O2143" s="3" t="n">
        <v>75.574618</v>
      </c>
      <c r="P2143" s="3" t="n">
        <v>77.481982</v>
      </c>
      <c r="Q2143" s="3" t="n">
        <v>79.747181</v>
      </c>
      <c r="R2143" s="3" t="n">
        <v>84.95623000000001</v>
      </c>
      <c r="S2143" s="3" t="n">
        <v>88.23533500000001</v>
      </c>
      <c r="T2143" s="3" t="n">
        <v>91.354457</v>
      </c>
      <c r="U2143" s="3" t="n">
        <v>94.29979299999999</v>
      </c>
      <c r="V2143" s="3" t="n">
        <v>95.501688</v>
      </c>
      <c r="W2143" s="3" t="n">
        <v>96.455611</v>
      </c>
      <c r="X2143" s="3" t="n">
        <v>100</v>
      </c>
      <c r="Y2143" s="3" t="n">
        <v>103.231187</v>
      </c>
      <c r="Z2143" s="3" t="n">
        <v>103.7</v>
      </c>
      <c r="AA2143" s="3" t="n">
        <v>106.313546</v>
      </c>
      <c r="AB2143" s="3" t="n">
        <v>110.607382</v>
      </c>
      <c r="AC2143" s="3" t="n">
        <v>122.536024</v>
      </c>
      <c r="AD2143" s="3" t="n">
        <v>131.16874</v>
      </c>
      <c r="AE2143" s="3" t="n">
        <v>135.889557</v>
      </c>
      <c r="AF2143" s="3" t="n">
        <v>140.892636</v>
      </c>
      <c r="AG2143" s="3" t="n">
        <v>146.106938</v>
      </c>
      <c r="AH2143" s="3" t="n">
        <v>151.680303</v>
      </c>
      <c r="AI2143" s="3" t="n">
        <v>157.116703</v>
      </c>
      <c r="AJ2143" s="3" t="n">
        <v>162.633549</v>
      </c>
      <c r="AK2143" s="3" t="n">
        <v>168.301469</v>
      </c>
      <c r="AL2143" s="3" t="n">
        <v>174.151035</v>
      </c>
      <c r="AM2143" s="3" t="n"/>
      <c r="AN2143" s="3" t="n"/>
      <c r="AO2143" s="3" t="n"/>
      <c r="AP2143" s="3" t="n"/>
      <c r="AQ2143" s="3" t="n"/>
      <c r="AR2143" s="3" t="n"/>
      <c r="AS2143" s="3" t="n"/>
      <c r="AT2143" s="3" t="n"/>
      <c r="AU2143" s="3" t="n"/>
    </row>
    <row r="2144">
      <c r="A2144" s="3" t="n">
        <v>2031</v>
      </c>
      <c r="B2144" s="3" t="inlineStr">
        <is>
          <t>MUS</t>
        </is>
      </c>
      <c r="C2144" s="3" t="inlineStr">
        <is>
          <t>IMF.RES:WEO</t>
        </is>
      </c>
      <c r="D2144" s="3" t="inlineStr">
        <is>
          <t>MUS.PCPIPCH.A</t>
        </is>
      </c>
      <c r="E2144" s="3" t="inlineStr">
        <is>
          <t>Mauritius</t>
        </is>
      </c>
      <c r="F2144" s="3" t="inlineStr">
        <is>
          <t>All Items, Consumer price index (CPI), Period average, percent change</t>
        </is>
      </c>
      <c r="G2144" s="3" t="n">
        <v>4.217439</v>
      </c>
      <c r="H2144" s="3" t="n">
        <v>5.391465</v>
      </c>
      <c r="I2144" s="3" t="n">
        <v>6.41366</v>
      </c>
      <c r="J2144" s="3" t="n">
        <v>2.686281</v>
      </c>
      <c r="K2144" s="3" t="n">
        <v>4.710371</v>
      </c>
      <c r="L2144" s="3" t="n">
        <v>4.93717</v>
      </c>
      <c r="M2144" s="3" t="n">
        <v>8.913501</v>
      </c>
      <c r="N2144" s="3" t="n">
        <v>8.824821999999999</v>
      </c>
      <c r="O2144" s="3" t="n">
        <v>9.722581999999999</v>
      </c>
      <c r="P2144" s="3" t="n">
        <v>2.523816</v>
      </c>
      <c r="Q2144" s="3" t="n">
        <v>2.923516</v>
      </c>
      <c r="R2144" s="3" t="n">
        <v>6.531954</v>
      </c>
      <c r="S2144" s="3" t="n">
        <v>3.859758</v>
      </c>
      <c r="T2144" s="3" t="n">
        <v>3.535003</v>
      </c>
      <c r="U2144" s="3" t="n">
        <v>3.224075</v>
      </c>
      <c r="V2144" s="3" t="n">
        <v>1.274547</v>
      </c>
      <c r="W2144" s="3" t="n">
        <v>0.998854</v>
      </c>
      <c r="X2144" s="3" t="n">
        <v>3.674632</v>
      </c>
      <c r="Y2144" s="3" t="n">
        <v>3.231187</v>
      </c>
      <c r="Z2144" s="3" t="n">
        <v>0.454139</v>
      </c>
      <c r="AA2144" s="3" t="n">
        <v>2.520295</v>
      </c>
      <c r="AB2144" s="3" t="n">
        <v>4.038841</v>
      </c>
      <c r="AC2144" s="3" t="n">
        <v>10.784671</v>
      </c>
      <c r="AD2144" s="3" t="n">
        <v>7.045044</v>
      </c>
      <c r="AE2144" s="3" t="n">
        <v>3.599041</v>
      </c>
      <c r="AF2144" s="3" t="n">
        <v>3.681725</v>
      </c>
      <c r="AG2144" s="3" t="n">
        <v>3.700904</v>
      </c>
      <c r="AH2144" s="3" t="n">
        <v>3.81458</v>
      </c>
      <c r="AI2144" s="3" t="n">
        <v>3.584117</v>
      </c>
      <c r="AJ2144" s="3" t="n">
        <v>3.511304</v>
      </c>
      <c r="AK2144" s="3" t="n">
        <v>3.485087</v>
      </c>
      <c r="AL2144" s="3" t="n">
        <v>3.475648</v>
      </c>
      <c r="AM2144" s="3" t="n"/>
      <c r="AN2144" s="3" t="n"/>
      <c r="AO2144" s="3" t="n"/>
      <c r="AP2144" s="3" t="n"/>
      <c r="AQ2144" s="3" t="n"/>
      <c r="AR2144" s="3" t="n"/>
      <c r="AS2144" s="3" t="n"/>
      <c r="AT2144" s="3" t="n"/>
      <c r="AU2144" s="3" t="n"/>
    </row>
    <row r="2145">
      <c r="A2145" s="3" t="n">
        <v>2031</v>
      </c>
      <c r="B2145" s="3" t="inlineStr">
        <is>
          <t>MUS</t>
        </is>
      </c>
      <c r="C2145" s="3" t="inlineStr">
        <is>
          <t>IMF.RES:WEO</t>
        </is>
      </c>
      <c r="D2145" s="3" t="inlineStr">
        <is>
          <t>MUS.PPPPC.A</t>
        </is>
      </c>
      <c r="E2145" s="3" t="inlineStr">
        <is>
          <t>Mauritius</t>
        </is>
      </c>
      <c r="F2145" s="3" t="inlineStr">
        <is>
          <t>Gross domestic product (GDP), Per capita, purchasing power parity (PPP) international dollar, ICP benchmarks 2017-2021</t>
        </is>
      </c>
      <c r="G2145" s="3" t="n">
        <v>9161.662335000001</v>
      </c>
      <c r="H2145" s="3" t="n">
        <v>9592.968231000001</v>
      </c>
      <c r="I2145" s="3" t="n">
        <v>9832.047435</v>
      </c>
      <c r="J2145" s="3" t="n">
        <v>10549.502371</v>
      </c>
      <c r="K2145" s="3" t="n">
        <v>11228.299253</v>
      </c>
      <c r="L2145" s="3" t="n">
        <v>11679.252725</v>
      </c>
      <c r="M2145" s="3" t="n">
        <v>12524.299705</v>
      </c>
      <c r="N2145" s="3" t="n">
        <v>13538.506073</v>
      </c>
      <c r="O2145" s="3" t="n">
        <v>14490.181394</v>
      </c>
      <c r="P2145" s="3" t="n">
        <v>15022.927133</v>
      </c>
      <c r="Q2145" s="3" t="n">
        <v>15833.377797</v>
      </c>
      <c r="R2145" s="3" t="n">
        <v>16792.079844</v>
      </c>
      <c r="S2145" s="3" t="n">
        <v>17714.082363</v>
      </c>
      <c r="T2145" s="3" t="n">
        <v>18589.693634</v>
      </c>
      <c r="U2145" s="3" t="n">
        <v>19615.100436</v>
      </c>
      <c r="V2145" s="3" t="n">
        <v>20511.274609</v>
      </c>
      <c r="W2145" s="3" t="n">
        <v>21502.437933</v>
      </c>
      <c r="X2145" s="3" t="n">
        <v>22740.833957</v>
      </c>
      <c r="Y2145" s="3" t="n">
        <v>23228.545808</v>
      </c>
      <c r="Z2145" s="3" t="n">
        <v>24206.778954</v>
      </c>
      <c r="AA2145" s="3" t="n">
        <v>21497.044201</v>
      </c>
      <c r="AB2145" s="3" t="n">
        <v>22931.789827</v>
      </c>
      <c r="AC2145" s="3" t="n">
        <v>26793.5247</v>
      </c>
      <c r="AD2145" s="3" t="n">
        <v>29242.202863</v>
      </c>
      <c r="AE2145" s="3" t="n">
        <v>31516.531115</v>
      </c>
      <c r="AF2145" s="3" t="n">
        <v>33491.439093</v>
      </c>
      <c r="AG2145" s="3" t="n">
        <v>35712.948886</v>
      </c>
      <c r="AH2145" s="3" t="n">
        <v>37840.582884</v>
      </c>
      <c r="AI2145" s="3" t="n">
        <v>39882.832293</v>
      </c>
      <c r="AJ2145" s="3" t="n">
        <v>42097.941108</v>
      </c>
      <c r="AK2145" s="3" t="n">
        <v>44465.637376</v>
      </c>
      <c r="AL2145" s="3" t="n">
        <v>46959.239664</v>
      </c>
      <c r="AM2145" s="3" t="n"/>
      <c r="AN2145" s="3" t="n"/>
      <c r="AO2145" s="3" t="n"/>
      <c r="AP2145" s="3" t="n"/>
      <c r="AQ2145" s="3" t="n"/>
      <c r="AR2145" s="3" t="n"/>
      <c r="AS2145" s="3" t="n"/>
      <c r="AT2145" s="3" t="n"/>
      <c r="AU2145" s="3" t="n"/>
    </row>
    <row r="2146">
      <c r="A2146" s="3" t="n">
        <v>2025</v>
      </c>
      <c r="B2146" s="3" t="inlineStr">
        <is>
          <t>MUS</t>
        </is>
      </c>
      <c r="C2146" s="3" t="inlineStr">
        <is>
          <t>IMF.STA:ER</t>
        </is>
      </c>
      <c r="D2146" s="3" t="inlineStr">
        <is>
          <t>MUS.XDC_USD.PA_RT.A</t>
        </is>
      </c>
      <c r="E2146" s="3" t="inlineStr">
        <is>
          <t>Mauritius</t>
        </is>
      </c>
      <c r="F2146" s="3" t="inlineStr">
        <is>
          <t>Domestic currency per US Dollar</t>
        </is>
      </c>
      <c r="G2146" s="3" t="n">
        <v>26.2495583333333</v>
      </c>
      <c r="H2146" s="3" t="n">
        <v>29.1292583333333</v>
      </c>
      <c r="I2146" s="3" t="n">
        <v>29.962</v>
      </c>
      <c r="J2146" s="3" t="n">
        <v>27.901475</v>
      </c>
      <c r="K2146" s="3" t="n">
        <v>27.4985166666666</v>
      </c>
      <c r="L2146" s="3" t="n">
        <v>29.4962333333333</v>
      </c>
      <c r="M2146" s="3" t="n">
        <v>31.7080666666666</v>
      </c>
      <c r="N2146" s="3" t="n">
        <v>31.31365625</v>
      </c>
      <c r="O2146" s="3" t="n">
        <v>28.4528375</v>
      </c>
      <c r="P2146" s="3" t="n">
        <v>31.9598</v>
      </c>
      <c r="Q2146" s="3" t="n">
        <v>30.7844</v>
      </c>
      <c r="R2146" s="3" t="n">
        <v>28.70595</v>
      </c>
      <c r="S2146" s="3" t="n">
        <v>30.0499716666666</v>
      </c>
      <c r="T2146" s="3" t="n">
        <v>30.7013583333333</v>
      </c>
      <c r="U2146" s="3" t="n">
        <v>30.6216166666666</v>
      </c>
      <c r="V2146" s="3" t="n">
        <v>35.0567</v>
      </c>
      <c r="W2146" s="3" t="n">
        <v>35.5418833333333</v>
      </c>
      <c r="X2146" s="3" t="n">
        <v>34.4814083333333</v>
      </c>
      <c r="Y2146" s="3" t="n">
        <v>33.93445</v>
      </c>
      <c r="Z2146" s="3" t="n">
        <v>35.4735166666666</v>
      </c>
      <c r="AA2146" s="3" t="n">
        <v>39.3469333333333</v>
      </c>
      <c r="AB2146" s="3" t="n">
        <v>41.6921333333333</v>
      </c>
      <c r="AC2146" s="3" t="n">
        <v>44.182775</v>
      </c>
      <c r="AD2146" s="3" t="n">
        <v>45.267225</v>
      </c>
      <c r="AE2146" s="3" t="n">
        <v>46.414675</v>
      </c>
      <c r="AF2146" s="3" t="n">
        <v>45.9969666666666</v>
      </c>
      <c r="AG2146" s="3" t="n"/>
      <c r="AH2146" s="3" t="n"/>
      <c r="AI2146" s="3" t="n"/>
      <c r="AJ2146" s="3" t="n"/>
      <c r="AK2146" s="3" t="n"/>
      <c r="AL2146" s="3" t="n"/>
      <c r="AM2146" s="3" t="n"/>
      <c r="AN2146" s="3" t="n"/>
      <c r="AO2146" s="3" t="n"/>
      <c r="AP2146" s="3" t="n"/>
      <c r="AQ2146" s="3" t="n"/>
      <c r="AR2146" s="3" t="n"/>
      <c r="AS2146" s="3" t="n"/>
      <c r="AT2146" s="3" t="n"/>
      <c r="AU2146" s="3" t="n"/>
    </row>
    <row r="2147">
      <c r="A2147" s="3" t="n">
        <v>2031</v>
      </c>
      <c r="B2147" s="3" t="inlineStr">
        <is>
          <t>MWI</t>
        </is>
      </c>
      <c r="C2147" s="3" t="inlineStr">
        <is>
          <t>IMF.RES:WEO</t>
        </is>
      </c>
      <c r="D2147" s="3" t="inlineStr">
        <is>
          <t>MWI.BCA.A</t>
        </is>
      </c>
      <c r="E2147" s="3" t="inlineStr">
        <is>
          <t>Malawi</t>
        </is>
      </c>
      <c r="F2147" s="3" t="inlineStr">
        <is>
          <t>Current account balance (credit less debit), US dollar</t>
        </is>
      </c>
      <c r="G2147" s="3" t="n">
        <v>-0.07349600000000001</v>
      </c>
      <c r="H2147" s="3" t="n">
        <v>-0.059951</v>
      </c>
      <c r="I2147" s="3" t="n">
        <v>-0.472931</v>
      </c>
      <c r="J2147" s="3" t="n">
        <v>-0.330697</v>
      </c>
      <c r="K2147" s="3" t="n">
        <v>-0.362916</v>
      </c>
      <c r="L2147" s="3" t="n">
        <v>-0.485576</v>
      </c>
      <c r="M2147" s="3" t="n">
        <v>-0.6965479999999999</v>
      </c>
      <c r="N2147" s="3" t="n">
        <v>-0.364402</v>
      </c>
      <c r="O2147" s="3" t="n">
        <v>-0.8034559999999999</v>
      </c>
      <c r="P2147" s="3" t="n">
        <v>-0.63189</v>
      </c>
      <c r="Q2147" s="3" t="n">
        <v>-0.59721</v>
      </c>
      <c r="R2147" s="3" t="n">
        <v>-0.687605</v>
      </c>
      <c r="S2147" s="3" t="n">
        <v>-0.584356</v>
      </c>
      <c r="T2147" s="3" t="n">
        <v>-0.497057</v>
      </c>
      <c r="U2147" s="3" t="n">
        <v>-0.596262</v>
      </c>
      <c r="V2147" s="3" t="n">
        <v>-1.101025</v>
      </c>
      <c r="W2147" s="3" t="n">
        <v>-1.013326</v>
      </c>
      <c r="X2147" s="3" t="n">
        <v>-1.388849</v>
      </c>
      <c r="Y2147" s="3" t="n">
        <v>-1.190266</v>
      </c>
      <c r="Z2147" s="3" t="n">
        <v>-1.391053</v>
      </c>
      <c r="AA2147" s="3" t="n">
        <v>-1.669501</v>
      </c>
      <c r="AB2147" s="3" t="n">
        <v>-1.898662</v>
      </c>
      <c r="AC2147" s="3" t="n">
        <v>-2.280354</v>
      </c>
      <c r="AD2147" s="3" t="n">
        <v>-2.101573</v>
      </c>
      <c r="AE2147" s="3" t="n">
        <v>-2.178663</v>
      </c>
      <c r="AF2147" s="3" t="n">
        <v>-2.478471</v>
      </c>
      <c r="AG2147" s="3" t="n">
        <v>-2.7975</v>
      </c>
      <c r="AH2147" s="3" t="n">
        <v>-2.817775</v>
      </c>
      <c r="AI2147" s="3" t="n">
        <v>-2.816856</v>
      </c>
      <c r="AJ2147" s="3" t="n">
        <v>-2.942776</v>
      </c>
      <c r="AK2147" s="3" t="n">
        <v>-3.134625</v>
      </c>
      <c r="AL2147" s="3" t="n">
        <v>-3.149087</v>
      </c>
      <c r="AM2147" s="3" t="n"/>
      <c r="AN2147" s="3" t="n"/>
      <c r="AO2147" s="3" t="n"/>
      <c r="AP2147" s="3" t="n"/>
      <c r="AQ2147" s="3" t="n"/>
      <c r="AR2147" s="3" t="n"/>
      <c r="AS2147" s="3" t="n"/>
      <c r="AT2147" s="3" t="n"/>
      <c r="AU2147" s="3" t="n"/>
    </row>
    <row r="2148">
      <c r="A2148" s="3" t="n">
        <v>2031</v>
      </c>
      <c r="B2148" s="3" t="inlineStr">
        <is>
          <t>MWI</t>
        </is>
      </c>
      <c r="C2148" s="3" t="inlineStr">
        <is>
          <t>IMF.RES:WEO</t>
        </is>
      </c>
      <c r="D2148" s="3" t="inlineStr">
        <is>
          <t>MWI.BCA_NGDPD.A</t>
        </is>
      </c>
      <c r="E2148" s="3" t="inlineStr">
        <is>
          <t>Malawi</t>
        </is>
      </c>
      <c r="F2148" s="3" t="inlineStr">
        <is>
          <t>Current account balance (credit less debit), Percent of GDP</t>
        </is>
      </c>
      <c r="G2148" s="3" t="n">
        <v>-1.726622</v>
      </c>
      <c r="H2148" s="3" t="n">
        <v>-1.43492</v>
      </c>
      <c r="I2148" s="3" t="n">
        <v>-9.608399</v>
      </c>
      <c r="J2148" s="3" t="n">
        <v>-7.314502</v>
      </c>
      <c r="K2148" s="3" t="n">
        <v>-7.414381</v>
      </c>
      <c r="L2148" s="3" t="n">
        <v>-9.431768</v>
      </c>
      <c r="M2148" s="3" t="n">
        <v>-12.372918</v>
      </c>
      <c r="N2148" s="3" t="n">
        <v>-5.840232</v>
      </c>
      <c r="O2148" s="3" t="n">
        <v>-10.723999</v>
      </c>
      <c r="P2148" s="3" t="n">
        <v>-7.243922</v>
      </c>
      <c r="Q2148" s="3" t="n">
        <v>-6.096413</v>
      </c>
      <c r="R2148" s="3" t="n">
        <v>-6.117025</v>
      </c>
      <c r="S2148" s="3" t="n">
        <v>-6.93955</v>
      </c>
      <c r="T2148" s="3" t="n">
        <v>-6.498753</v>
      </c>
      <c r="U2148" s="3" t="n">
        <v>-6.993621</v>
      </c>
      <c r="V2148" s="3" t="n">
        <v>-12.214211</v>
      </c>
      <c r="W2148" s="3" t="n">
        <v>-13.10455</v>
      </c>
      <c r="X2148" s="3" t="n">
        <v>-15.52942</v>
      </c>
      <c r="Y2148" s="3" t="n">
        <v>-12.044377</v>
      </c>
      <c r="Z2148" s="3" t="n">
        <v>-12.610759</v>
      </c>
      <c r="AA2148" s="3" t="n">
        <v>-14.091787</v>
      </c>
      <c r="AB2148" s="3" t="n">
        <v>-15.219901</v>
      </c>
      <c r="AC2148" s="3" t="n">
        <v>-18.197677</v>
      </c>
      <c r="AD2148" s="3" t="n">
        <v>-15.637526</v>
      </c>
      <c r="AE2148" s="3" t="n">
        <v>-18.478211</v>
      </c>
      <c r="AF2148" s="3" t="n">
        <v>-16.471211</v>
      </c>
      <c r="AG2148" s="3" t="n">
        <v>-15.411605</v>
      </c>
      <c r="AH2148" s="3" t="n">
        <v>-13.428662</v>
      </c>
      <c r="AI2148" s="3" t="n">
        <v>-11.642976</v>
      </c>
      <c r="AJ2148" s="3" t="n">
        <v>-10.674877</v>
      </c>
      <c r="AK2148" s="3" t="n">
        <v>-9.974505000000001</v>
      </c>
      <c r="AL2148" s="3" t="n">
        <v>-9.440541</v>
      </c>
      <c r="AM2148" s="3" t="n"/>
      <c r="AN2148" s="3" t="n"/>
      <c r="AO2148" s="3" t="n"/>
      <c r="AP2148" s="3" t="n"/>
      <c r="AQ2148" s="3" t="n"/>
      <c r="AR2148" s="3" t="n"/>
      <c r="AS2148" s="3" t="n"/>
      <c r="AT2148" s="3" t="n"/>
      <c r="AU2148" s="3" t="n"/>
    </row>
    <row r="2149">
      <c r="A2149" s="3" t="n">
        <v>2031</v>
      </c>
      <c r="B2149" s="3" t="inlineStr">
        <is>
          <t>MWI</t>
        </is>
      </c>
      <c r="C2149" s="3" t="inlineStr">
        <is>
          <t>IMF.RES:WEO</t>
        </is>
      </c>
      <c r="D2149" s="3" t="inlineStr">
        <is>
          <t>MWI.GGR_NGDP.A</t>
        </is>
      </c>
      <c r="E2149" s="3" t="inlineStr">
        <is>
          <t>Malawi</t>
        </is>
      </c>
      <c r="F2149" s="3" t="inlineStr">
        <is>
          <t>Revenue, General government, Percent of GDP</t>
        </is>
      </c>
      <c r="G2149" s="3" t="n"/>
      <c r="H2149" s="3" t="n"/>
      <c r="I2149" s="3" t="n">
        <v>9.373844999999999</v>
      </c>
      <c r="J2149" s="3" t="n">
        <v>12.792053</v>
      </c>
      <c r="K2149" s="3" t="n">
        <v>14.558206</v>
      </c>
      <c r="L2149" s="3" t="n">
        <v>15.806401</v>
      </c>
      <c r="M2149" s="3" t="n">
        <v>17.782005</v>
      </c>
      <c r="N2149" s="3" t="n">
        <v>18.167839</v>
      </c>
      <c r="O2149" s="3" t="n">
        <v>17.717106</v>
      </c>
      <c r="P2149" s="3" t="n">
        <v>17.208343</v>
      </c>
      <c r="Q2149" s="3" t="n">
        <v>20.227863</v>
      </c>
      <c r="R2149" s="3" t="n">
        <v>14.147203</v>
      </c>
      <c r="S2149" s="3" t="n">
        <v>17.313507</v>
      </c>
      <c r="T2149" s="3" t="n">
        <v>16.9843</v>
      </c>
      <c r="U2149" s="3" t="n">
        <v>15.191809</v>
      </c>
      <c r="V2149" s="3" t="n">
        <v>15.351675</v>
      </c>
      <c r="W2149" s="3" t="n">
        <v>14.843765</v>
      </c>
      <c r="X2149" s="3" t="n">
        <v>15.842326</v>
      </c>
      <c r="Y2149" s="3" t="n">
        <v>15.035771</v>
      </c>
      <c r="Z2149" s="3" t="n">
        <v>14.765007</v>
      </c>
      <c r="AA2149" s="3" t="n">
        <v>14.696192</v>
      </c>
      <c r="AB2149" s="3" t="n">
        <v>15.309303</v>
      </c>
      <c r="AC2149" s="3" t="n">
        <v>17.358273</v>
      </c>
      <c r="AD2149" s="3" t="n">
        <v>17.640954</v>
      </c>
      <c r="AE2149" s="3" t="n">
        <v>18.496943</v>
      </c>
      <c r="AF2149" s="3" t="n">
        <v>19.100324</v>
      </c>
      <c r="AG2149" s="3" t="n">
        <v>18.578805</v>
      </c>
      <c r="AH2149" s="3" t="n">
        <v>18.705938</v>
      </c>
      <c r="AI2149" s="3" t="n">
        <v>18.401021</v>
      </c>
      <c r="AJ2149" s="3" t="n">
        <v>17.746712</v>
      </c>
      <c r="AK2149" s="3" t="n">
        <v>17.487107</v>
      </c>
      <c r="AL2149" s="3" t="n">
        <v>17.434832</v>
      </c>
      <c r="AM2149" s="3" t="n"/>
      <c r="AN2149" s="3" t="n"/>
      <c r="AO2149" s="3" t="n"/>
      <c r="AP2149" s="3" t="n"/>
      <c r="AQ2149" s="3" t="n"/>
      <c r="AR2149" s="3" t="n"/>
      <c r="AS2149" s="3" t="n"/>
      <c r="AT2149" s="3" t="n"/>
      <c r="AU2149" s="3" t="n"/>
    </row>
    <row r="2150">
      <c r="A2150" s="3" t="n">
        <v>2031</v>
      </c>
      <c r="B2150" s="3" t="inlineStr">
        <is>
          <t>MWI</t>
        </is>
      </c>
      <c r="C2150" s="3" t="inlineStr">
        <is>
          <t>IMF.RES:WEO</t>
        </is>
      </c>
      <c r="D2150" s="3" t="inlineStr">
        <is>
          <t>MWI.GGX_NGDP.A</t>
        </is>
      </c>
      <c r="E2150" s="3" t="inlineStr">
        <is>
          <t>Malawi</t>
        </is>
      </c>
      <c r="F2150" s="3" t="inlineStr">
        <is>
          <t>Expenditure, General government, Percent of GDP</t>
        </is>
      </c>
      <c r="G2150" s="3" t="n"/>
      <c r="H2150" s="3" t="n"/>
      <c r="I2150" s="3" t="n">
        <v>13.843356</v>
      </c>
      <c r="J2150" s="3" t="n">
        <v>15.394462</v>
      </c>
      <c r="K2150" s="3" t="n">
        <v>17.171136</v>
      </c>
      <c r="L2150" s="3" t="n">
        <v>17.435897</v>
      </c>
      <c r="M2150" s="3" t="n">
        <v>17.830305</v>
      </c>
      <c r="N2150" s="3" t="n">
        <v>20.724005</v>
      </c>
      <c r="O2150" s="3" t="n">
        <v>20.641282</v>
      </c>
      <c r="P2150" s="3" t="n">
        <v>20.17712</v>
      </c>
      <c r="Q2150" s="3" t="n">
        <v>19.602372</v>
      </c>
      <c r="R2150" s="3" t="n">
        <v>16.997002</v>
      </c>
      <c r="S2150" s="3" t="n">
        <v>18.767347</v>
      </c>
      <c r="T2150" s="3" t="n">
        <v>20.711556</v>
      </c>
      <c r="U2150" s="3" t="n">
        <v>18.274372</v>
      </c>
      <c r="V2150" s="3" t="n">
        <v>19.520583</v>
      </c>
      <c r="W2150" s="3" t="n">
        <v>19.746076</v>
      </c>
      <c r="X2150" s="3" t="n">
        <v>20.992405</v>
      </c>
      <c r="Y2150" s="3" t="n">
        <v>19.381367</v>
      </c>
      <c r="Z2150" s="3" t="n">
        <v>19.314479</v>
      </c>
      <c r="AA2150" s="3" t="n">
        <v>22.729131</v>
      </c>
      <c r="AB2150" s="3" t="n">
        <v>23.651474</v>
      </c>
      <c r="AC2150" s="3" t="n">
        <v>26.679248</v>
      </c>
      <c r="AD2150" s="3" t="n">
        <v>25.482121</v>
      </c>
      <c r="AE2150" s="3" t="n">
        <v>29.496008</v>
      </c>
      <c r="AF2150" s="3" t="n">
        <v>30.576112</v>
      </c>
      <c r="AG2150" s="3" t="n">
        <v>29.084956</v>
      </c>
      <c r="AH2150" s="3" t="n">
        <v>30.679104</v>
      </c>
      <c r="AI2150" s="3" t="n">
        <v>29.775149</v>
      </c>
      <c r="AJ2150" s="3" t="n">
        <v>29.214108</v>
      </c>
      <c r="AK2150" s="3" t="n">
        <v>28.987448</v>
      </c>
      <c r="AL2150" s="3" t="n">
        <v>28.723303</v>
      </c>
      <c r="AM2150" s="3" t="n"/>
      <c r="AN2150" s="3" t="n"/>
      <c r="AO2150" s="3" t="n"/>
      <c r="AP2150" s="3" t="n"/>
      <c r="AQ2150" s="3" t="n"/>
      <c r="AR2150" s="3" t="n"/>
      <c r="AS2150" s="3" t="n"/>
      <c r="AT2150" s="3" t="n"/>
      <c r="AU2150" s="3" t="n"/>
    </row>
    <row r="2151">
      <c r="A2151" s="3" t="n">
        <v>2031</v>
      </c>
      <c r="B2151" s="3" t="inlineStr">
        <is>
          <t>MWI</t>
        </is>
      </c>
      <c r="C2151" s="3" t="inlineStr">
        <is>
          <t>IMF.RES:WEO</t>
        </is>
      </c>
      <c r="D2151" s="3" t="inlineStr">
        <is>
          <t>MWI.LP.A</t>
        </is>
      </c>
      <c r="E2151" s="3" t="inlineStr">
        <is>
          <t>Malawi</t>
        </is>
      </c>
      <c r="F2151" s="3" t="inlineStr">
        <is>
          <t>Population, Persons for countries / Index for country groups</t>
        </is>
      </c>
      <c r="G2151" s="3" t="n">
        <v>12.070464</v>
      </c>
      <c r="H2151" s="3" t="n">
        <v>12.343477</v>
      </c>
      <c r="I2151" s="3" t="n">
        <v>12.81329</v>
      </c>
      <c r="J2151" s="3" t="n">
        <v>13.098479</v>
      </c>
      <c r="K2151" s="3" t="n">
        <v>13.384765</v>
      </c>
      <c r="L2151" s="3" t="n">
        <v>13.654475</v>
      </c>
      <c r="M2151" s="3" t="n">
        <v>14.042516</v>
      </c>
      <c r="N2151" s="3" t="n">
        <v>14.439496</v>
      </c>
      <c r="O2151" s="3" t="n">
        <v>14.846182</v>
      </c>
      <c r="P2151" s="3" t="n">
        <v>15.273752</v>
      </c>
      <c r="Q2151" s="3" t="n">
        <v>15.713636</v>
      </c>
      <c r="R2151" s="3" t="n">
        <v>16.166189</v>
      </c>
      <c r="S2151" s="3" t="n">
        <v>16.631775</v>
      </c>
      <c r="T2151" s="3" t="n">
        <v>17.11077</v>
      </c>
      <c r="U2151" s="3" t="n">
        <v>17.60356</v>
      </c>
      <c r="V2151" s="3" t="n">
        <v>18.110543</v>
      </c>
      <c r="W2151" s="3" t="n">
        <v>18.632127</v>
      </c>
      <c r="X2151" s="3" t="n">
        <v>19.168732</v>
      </c>
      <c r="Y2151" s="3" t="n">
        <v>19.720791</v>
      </c>
      <c r="Z2151" s="3" t="n">
        <v>20.28875</v>
      </c>
      <c r="AA2151" s="3" t="n">
        <v>20.873066</v>
      </c>
      <c r="AB2151" s="3" t="n">
        <v>21.47421</v>
      </c>
      <c r="AC2151" s="3" t="n">
        <v>22.092668</v>
      </c>
      <c r="AD2151" s="3" t="n">
        <v>22.728936</v>
      </c>
      <c r="AE2151" s="3" t="n">
        <v>23.38353</v>
      </c>
      <c r="AF2151" s="3" t="n">
        <v>24.056975</v>
      </c>
      <c r="AG2151" s="3" t="n">
        <v>24.749816</v>
      </c>
      <c r="AH2151" s="3" t="n">
        <v>25.462611</v>
      </c>
      <c r="AI2151" s="3" t="n">
        <v>26.195934</v>
      </c>
      <c r="AJ2151" s="3" t="n">
        <v>26.950377</v>
      </c>
      <c r="AK2151" s="3" t="n">
        <v>27.726548</v>
      </c>
      <c r="AL2151" s="3" t="n">
        <v>28.525073</v>
      </c>
      <c r="AM2151" s="3" t="n"/>
      <c r="AN2151" s="3" t="n"/>
      <c r="AO2151" s="3" t="n"/>
      <c r="AP2151" s="3" t="n"/>
      <c r="AQ2151" s="3" t="n"/>
      <c r="AR2151" s="3" t="n"/>
      <c r="AS2151" s="3" t="n"/>
      <c r="AT2151" s="3" t="n"/>
      <c r="AU2151" s="3" t="n"/>
    </row>
    <row r="2152">
      <c r="A2152" s="3" t="n">
        <v>2031</v>
      </c>
      <c r="B2152" s="3" t="inlineStr">
        <is>
          <t>MWI</t>
        </is>
      </c>
      <c r="C2152" s="3" t="inlineStr">
        <is>
          <t>IMF.RES:WEO</t>
        </is>
      </c>
      <c r="D2152" s="3" t="inlineStr">
        <is>
          <t>MWI.NGDP.A</t>
        </is>
      </c>
      <c r="E2152" s="3" t="inlineStr">
        <is>
          <t>Malawi</t>
        </is>
      </c>
      <c r="F2152" s="3" t="inlineStr">
        <is>
          <t>Gross domestic product (GDP), Current prices, Domestic currency</t>
        </is>
      </c>
      <c r="G2152" s="3" t="n">
        <v>253.47077</v>
      </c>
      <c r="H2152" s="3" t="n">
        <v>301.640149</v>
      </c>
      <c r="I2152" s="3" t="n">
        <v>377.436256</v>
      </c>
      <c r="J2152" s="3" t="n">
        <v>440.249367</v>
      </c>
      <c r="K2152" s="3" t="n">
        <v>533.0182119999999</v>
      </c>
      <c r="L2152" s="3" t="n">
        <v>609.565296</v>
      </c>
      <c r="M2152" s="3" t="n">
        <v>765.648882</v>
      </c>
      <c r="N2152" s="3" t="n">
        <v>873.554035</v>
      </c>
      <c r="O2152" s="3" t="n">
        <v>1052.793984</v>
      </c>
      <c r="P2152" s="3" t="n">
        <v>1230.567078</v>
      </c>
      <c r="Q2152" s="3" t="n">
        <v>1474.648525</v>
      </c>
      <c r="R2152" s="3" t="n">
        <v>1763.87225</v>
      </c>
      <c r="S2152" s="3" t="n">
        <v>2114.43938</v>
      </c>
      <c r="T2152" s="3" t="n">
        <v>2831.657579</v>
      </c>
      <c r="U2152" s="3" t="n">
        <v>3618.124264</v>
      </c>
      <c r="V2152" s="3" t="n">
        <v>4503.573901</v>
      </c>
      <c r="W2152" s="3" t="n">
        <v>5552.066422</v>
      </c>
      <c r="X2152" s="3" t="n">
        <v>6531.224085</v>
      </c>
      <c r="Y2152" s="3" t="n">
        <v>7235.940279</v>
      </c>
      <c r="Z2152" s="3" t="n">
        <v>8219.853300000001</v>
      </c>
      <c r="AA2152" s="3" t="n">
        <v>8815.339602</v>
      </c>
      <c r="AB2152" s="3" t="n">
        <v>9975.521930000001</v>
      </c>
      <c r="AC2152" s="3" t="n">
        <v>11795.662816</v>
      </c>
      <c r="AD2152" s="3" t="n">
        <v>15474.715445</v>
      </c>
      <c r="AE2152" s="3" t="n">
        <v>20310.689716</v>
      </c>
      <c r="AF2152" s="3" t="n">
        <v>26092.181853</v>
      </c>
      <c r="AG2152" s="3" t="n">
        <v>32310.992378</v>
      </c>
      <c r="AH2152" s="3" t="n">
        <v>39738.993695</v>
      </c>
      <c r="AI2152" s="3" t="n">
        <v>48511.383639</v>
      </c>
      <c r="AJ2152" s="3" t="n">
        <v>58266.674074</v>
      </c>
      <c r="AK2152" s="3" t="n">
        <v>69500.78097000001</v>
      </c>
      <c r="AL2152" s="3" t="n">
        <v>82062.312815</v>
      </c>
      <c r="AM2152" s="3" t="n"/>
      <c r="AN2152" s="3" t="n"/>
      <c r="AO2152" s="3" t="n"/>
      <c r="AP2152" s="3" t="n"/>
      <c r="AQ2152" s="3" t="n"/>
      <c r="AR2152" s="3" t="n"/>
      <c r="AS2152" s="3" t="n"/>
      <c r="AT2152" s="3" t="n"/>
      <c r="AU2152" s="3" t="n"/>
    </row>
    <row r="2153">
      <c r="A2153" s="3" t="n">
        <v>2031</v>
      </c>
      <c r="B2153" s="3" t="inlineStr">
        <is>
          <t>MWI</t>
        </is>
      </c>
      <c r="C2153" s="3" t="inlineStr">
        <is>
          <t>IMF.RES:WEO</t>
        </is>
      </c>
      <c r="D2153" s="3" t="inlineStr">
        <is>
          <t>MWI.NGDP_D.A</t>
        </is>
      </c>
      <c r="E2153" s="3" t="inlineStr">
        <is>
          <t>Malawi</t>
        </is>
      </c>
      <c r="F2153" s="3" t="inlineStr">
        <is>
          <t>Gross domestic product (GDP), Price deflator, Index</t>
        </is>
      </c>
      <c r="G2153" s="3" t="n">
        <v>8.109121999999999</v>
      </c>
      <c r="H2153" s="3" t="n">
        <v>10.060196</v>
      </c>
      <c r="I2153" s="3" t="n">
        <v>12.37035</v>
      </c>
      <c r="J2153" s="3" t="n">
        <v>13.650198</v>
      </c>
      <c r="K2153" s="3" t="n">
        <v>15.676792</v>
      </c>
      <c r="L2153" s="3" t="n">
        <v>17.360674</v>
      </c>
      <c r="M2153" s="3" t="n">
        <v>20.827124</v>
      </c>
      <c r="N2153" s="3" t="n">
        <v>21.680978</v>
      </c>
      <c r="O2153" s="3" t="n">
        <v>24.275035</v>
      </c>
      <c r="P2153" s="3" t="n">
        <v>26.19272</v>
      </c>
      <c r="Q2153" s="3" t="n">
        <v>29.369158</v>
      </c>
      <c r="R2153" s="3" t="n">
        <v>33.503091</v>
      </c>
      <c r="S2153" s="3" t="n">
        <v>39.41843</v>
      </c>
      <c r="T2153" s="3" t="n">
        <v>50.179818</v>
      </c>
      <c r="U2153" s="3" t="n">
        <v>60.659223</v>
      </c>
      <c r="V2153" s="3" t="n">
        <v>73.340574</v>
      </c>
      <c r="W2153" s="3" t="n">
        <v>88.40837500000001</v>
      </c>
      <c r="X2153" s="3" t="n">
        <v>100</v>
      </c>
      <c r="Y2153" s="3" t="n">
        <v>106.129093</v>
      </c>
      <c r="Z2153" s="3" t="n">
        <v>114.331128</v>
      </c>
      <c r="AA2153" s="3" t="n">
        <v>121.38363</v>
      </c>
      <c r="AB2153" s="3" t="n">
        <v>131.370611</v>
      </c>
      <c r="AC2153" s="3" t="n">
        <v>153.922781</v>
      </c>
      <c r="AD2153" s="3" t="n">
        <v>198.077016</v>
      </c>
      <c r="AE2153" s="3" t="n">
        <v>255.698743</v>
      </c>
      <c r="AF2153" s="3" t="n">
        <v>321.769658</v>
      </c>
      <c r="AG2153" s="3" t="n">
        <v>389.781117</v>
      </c>
      <c r="AH2153" s="3" t="n">
        <v>468.005152</v>
      </c>
      <c r="AI2153" s="3" t="n">
        <v>556.1946819999999</v>
      </c>
      <c r="AJ2153" s="3" t="n">
        <v>649.289997</v>
      </c>
      <c r="AK2153" s="3" t="n">
        <v>751.9188</v>
      </c>
      <c r="AL2153" s="3" t="n">
        <v>861.961339</v>
      </c>
      <c r="AM2153" s="3" t="n"/>
      <c r="AN2153" s="3" t="n"/>
      <c r="AO2153" s="3" t="n"/>
      <c r="AP2153" s="3" t="n"/>
      <c r="AQ2153" s="3" t="n"/>
      <c r="AR2153" s="3" t="n"/>
      <c r="AS2153" s="3" t="n"/>
      <c r="AT2153" s="3" t="n"/>
      <c r="AU2153" s="3" t="n"/>
    </row>
    <row r="2154">
      <c r="A2154" s="3" t="n">
        <v>2031</v>
      </c>
      <c r="B2154" s="3" t="inlineStr">
        <is>
          <t>MWI</t>
        </is>
      </c>
      <c r="C2154" s="3" t="inlineStr">
        <is>
          <t>IMF.RES:WEO</t>
        </is>
      </c>
      <c r="D2154" s="3" t="inlineStr">
        <is>
          <t>MWI.NGDP_R.A</t>
        </is>
      </c>
      <c r="E2154" s="3" t="inlineStr">
        <is>
          <t>Malawi</t>
        </is>
      </c>
      <c r="F2154" s="3" t="inlineStr">
        <is>
          <t>Gross domestic product (GDP), Constant prices, Domestic currency</t>
        </is>
      </c>
      <c r="G2154" s="3" t="n">
        <v>3125.74849</v>
      </c>
      <c r="H2154" s="3" t="n">
        <v>2998.352696</v>
      </c>
      <c r="I2154" s="3" t="n">
        <v>3051.136401</v>
      </c>
      <c r="J2154" s="3" t="n">
        <v>3225.223242</v>
      </c>
      <c r="K2154" s="3" t="n">
        <v>3400.046394</v>
      </c>
      <c r="L2154" s="3" t="n">
        <v>3511.184589</v>
      </c>
      <c r="M2154" s="3" t="n">
        <v>3676.210264</v>
      </c>
      <c r="N2154" s="3" t="n">
        <v>4029.12645</v>
      </c>
      <c r="O2154" s="3" t="n">
        <v>4336.941104</v>
      </c>
      <c r="P2154" s="3" t="n">
        <v>4698.126342</v>
      </c>
      <c r="Q2154" s="3" t="n">
        <v>5021.078631</v>
      </c>
      <c r="R2154" s="3" t="n">
        <v>5264.804555</v>
      </c>
      <c r="S2154" s="3" t="n">
        <v>5364.088213</v>
      </c>
      <c r="T2154" s="3" t="n">
        <v>5643.0208</v>
      </c>
      <c r="U2154" s="3" t="n">
        <v>5964.672986</v>
      </c>
      <c r="V2154" s="3" t="n">
        <v>6140.630839</v>
      </c>
      <c r="W2154" s="3" t="n">
        <v>6280.023159</v>
      </c>
      <c r="X2154" s="3" t="n">
        <v>6531.224085</v>
      </c>
      <c r="Y2154" s="3" t="n">
        <v>6818.055323</v>
      </c>
      <c r="Z2154" s="3" t="n">
        <v>7189.514756</v>
      </c>
      <c r="AA2154" s="3" t="n">
        <v>7262.379301</v>
      </c>
      <c r="AB2154" s="3" t="n">
        <v>7593.419764</v>
      </c>
      <c r="AC2154" s="3" t="n">
        <v>7663.363898</v>
      </c>
      <c r="AD2154" s="3" t="n">
        <v>7812.47402</v>
      </c>
      <c r="AE2154" s="3" t="n">
        <v>7943.21062</v>
      </c>
      <c r="AF2154" s="3" t="n">
        <v>8108.962795</v>
      </c>
      <c r="AG2154" s="3" t="n">
        <v>8289.522233</v>
      </c>
      <c r="AH2154" s="3" t="n">
        <v>8491.144485999999</v>
      </c>
      <c r="AI2154" s="3" t="n">
        <v>8722.015004000001</v>
      </c>
      <c r="AJ2154" s="3" t="n">
        <v>8973.906007</v>
      </c>
      <c r="AK2154" s="3" t="n">
        <v>9243.123186999999</v>
      </c>
      <c r="AL2154" s="3" t="n">
        <v>9520.416882</v>
      </c>
      <c r="AM2154" s="3" t="n"/>
      <c r="AN2154" s="3" t="n"/>
      <c r="AO2154" s="3" t="n"/>
      <c r="AP2154" s="3" t="n"/>
      <c r="AQ2154" s="3" t="n"/>
      <c r="AR2154" s="3" t="n"/>
      <c r="AS2154" s="3" t="n"/>
      <c r="AT2154" s="3" t="n"/>
      <c r="AU2154" s="3" t="n"/>
    </row>
    <row r="2155">
      <c r="A2155" s="3" t="n">
        <v>2031</v>
      </c>
      <c r="B2155" s="3" t="inlineStr">
        <is>
          <t>MWI</t>
        </is>
      </c>
      <c r="C2155" s="3" t="inlineStr">
        <is>
          <t>IMF.RES:WEO</t>
        </is>
      </c>
      <c r="D2155" s="3" t="inlineStr">
        <is>
          <t>MWI.NGDP_RPCH.A</t>
        </is>
      </c>
      <c r="E2155" s="3" t="inlineStr">
        <is>
          <t>Malawi</t>
        </is>
      </c>
      <c r="F2155" s="3" t="inlineStr">
        <is>
          <t>Gross domestic product (GDP), Constant prices, Percent change</t>
        </is>
      </c>
      <c r="G2155" s="3" t="n">
        <v>0.775448</v>
      </c>
      <c r="H2155" s="3" t="n">
        <v>-4.075689</v>
      </c>
      <c r="I2155" s="3" t="n">
        <v>1.760423</v>
      </c>
      <c r="J2155" s="3" t="n">
        <v>5.705639</v>
      </c>
      <c r="K2155" s="3" t="n">
        <v>5.420498</v>
      </c>
      <c r="L2155" s="3" t="n">
        <v>3.268726</v>
      </c>
      <c r="M2155" s="3" t="n">
        <v>4.7</v>
      </c>
      <c r="N2155" s="3" t="n">
        <v>9.6</v>
      </c>
      <c r="O2155" s="3" t="n">
        <v>7.639737</v>
      </c>
      <c r="P2155" s="3" t="n">
        <v>8.328110000000001</v>
      </c>
      <c r="Q2155" s="3" t="n">
        <v>6.874066</v>
      </c>
      <c r="R2155" s="3" t="n">
        <v>4.854055</v>
      </c>
      <c r="S2155" s="3" t="n">
        <v>1.8858</v>
      </c>
      <c r="T2155" s="3" t="n">
        <v>5.2</v>
      </c>
      <c r="U2155" s="3" t="n">
        <v>5.7</v>
      </c>
      <c r="V2155" s="3" t="n">
        <v>2.95</v>
      </c>
      <c r="W2155" s="3" t="n">
        <v>2.27</v>
      </c>
      <c r="X2155" s="3" t="n">
        <v>4</v>
      </c>
      <c r="Y2155" s="3" t="n">
        <v>4.391692</v>
      </c>
      <c r="Z2155" s="3" t="n">
        <v>5.448173</v>
      </c>
      <c r="AA2155" s="3" t="n">
        <v>1.013483</v>
      </c>
      <c r="AB2155" s="3" t="n">
        <v>4.558292</v>
      </c>
      <c r="AC2155" s="3" t="n">
        <v>0.921115</v>
      </c>
      <c r="AD2155" s="3" t="n">
        <v>1.945753</v>
      </c>
      <c r="AE2155" s="3" t="n">
        <v>1.673434</v>
      </c>
      <c r="AF2155" s="3" t="n">
        <v>2.086715</v>
      </c>
      <c r="AG2155" s="3" t="n">
        <v>2.226665</v>
      </c>
      <c r="AH2155" s="3" t="n">
        <v>2.432254</v>
      </c>
      <c r="AI2155" s="3" t="n">
        <v>2.718956</v>
      </c>
      <c r="AJ2155" s="3" t="n">
        <v>2.887991</v>
      </c>
      <c r="AK2155" s="3" t="n">
        <v>3</v>
      </c>
      <c r="AL2155" s="3" t="n">
        <v>3</v>
      </c>
      <c r="AM2155" s="3" t="n"/>
      <c r="AN2155" s="3" t="n"/>
      <c r="AO2155" s="3" t="n"/>
      <c r="AP2155" s="3" t="n"/>
      <c r="AQ2155" s="3" t="n"/>
      <c r="AR2155" s="3" t="n"/>
      <c r="AS2155" s="3" t="n"/>
      <c r="AT2155" s="3" t="n"/>
      <c r="AU2155" s="3" t="n"/>
    </row>
    <row r="2156">
      <c r="A2156" s="3" t="n">
        <v>2031</v>
      </c>
      <c r="B2156" s="3" t="inlineStr">
        <is>
          <t>MWI</t>
        </is>
      </c>
      <c r="C2156" s="3" t="inlineStr">
        <is>
          <t>IMF.RES:WEO</t>
        </is>
      </c>
      <c r="D2156" s="3" t="inlineStr">
        <is>
          <t>MWI.NGDPD.A</t>
        </is>
      </c>
      <c r="E2156" s="3" t="inlineStr">
        <is>
          <t>Malawi</t>
        </is>
      </c>
      <c r="F2156" s="3" t="inlineStr">
        <is>
          <t>Gross domestic product (GDP), Current prices, US dollar</t>
        </is>
      </c>
      <c r="G2156" s="3" t="n">
        <v>4.256651</v>
      </c>
      <c r="H2156" s="3" t="n">
        <v>4.177996</v>
      </c>
      <c r="I2156" s="3" t="n">
        <v>4.922057</v>
      </c>
      <c r="J2156" s="3" t="n">
        <v>4.521108</v>
      </c>
      <c r="K2156" s="3" t="n">
        <v>4.894758</v>
      </c>
      <c r="L2156" s="3" t="n">
        <v>5.148308</v>
      </c>
      <c r="M2156" s="3" t="n">
        <v>5.629617</v>
      </c>
      <c r="N2156" s="3" t="n">
        <v>6.239518</v>
      </c>
      <c r="O2156" s="3" t="n">
        <v>7.492131</v>
      </c>
      <c r="P2156" s="3" t="n">
        <v>8.723044</v>
      </c>
      <c r="Q2156" s="3" t="n">
        <v>9.796096</v>
      </c>
      <c r="R2156" s="3" t="n">
        <v>11.240845</v>
      </c>
      <c r="S2156" s="3" t="n">
        <v>8.420665</v>
      </c>
      <c r="T2156" s="3" t="n">
        <v>7.648495</v>
      </c>
      <c r="U2156" s="3" t="n">
        <v>8.525796</v>
      </c>
      <c r="V2156" s="3" t="n">
        <v>9.014294</v>
      </c>
      <c r="W2156" s="3" t="n">
        <v>7.732627</v>
      </c>
      <c r="X2156" s="3" t="n">
        <v>8.943341999999999</v>
      </c>
      <c r="Y2156" s="3" t="n">
        <v>9.882341</v>
      </c>
      <c r="Z2156" s="3" t="n">
        <v>11.030683</v>
      </c>
      <c r="AA2156" s="3" t="n">
        <v>11.847335</v>
      </c>
      <c r="AB2156" s="3" t="n">
        <v>12.474863</v>
      </c>
      <c r="AC2156" s="3" t="n">
        <v>12.531019</v>
      </c>
      <c r="AD2156" s="3" t="n">
        <v>13.439295</v>
      </c>
      <c r="AE2156" s="3" t="n">
        <v>11.790442</v>
      </c>
      <c r="AF2156" s="3" t="n">
        <v>15.047292</v>
      </c>
      <c r="AG2156" s="3" t="n">
        <v>18.151904</v>
      </c>
      <c r="AH2156" s="3" t="n">
        <v>20.983289</v>
      </c>
      <c r="AI2156" s="3" t="n">
        <v>24.193605</v>
      </c>
      <c r="AJ2156" s="3" t="n">
        <v>27.567305</v>
      </c>
      <c r="AK2156" s="3" t="n">
        <v>31.426369</v>
      </c>
      <c r="AL2156" s="3" t="n">
        <v>33.357057</v>
      </c>
      <c r="AM2156" s="3" t="n"/>
      <c r="AN2156" s="3" t="n"/>
      <c r="AO2156" s="3" t="n"/>
      <c r="AP2156" s="3" t="n"/>
      <c r="AQ2156" s="3" t="n"/>
      <c r="AR2156" s="3" t="n"/>
      <c r="AS2156" s="3" t="n"/>
      <c r="AT2156" s="3" t="n"/>
      <c r="AU2156" s="3" t="n"/>
    </row>
    <row r="2157">
      <c r="A2157" s="3" t="n">
        <v>2031</v>
      </c>
      <c r="B2157" s="3" t="inlineStr">
        <is>
          <t>MWI</t>
        </is>
      </c>
      <c r="C2157" s="3" t="inlineStr">
        <is>
          <t>IMF.RES:WEO</t>
        </is>
      </c>
      <c r="D2157" s="3" t="inlineStr">
        <is>
          <t>MWI.NGDPPC.A</t>
        </is>
      </c>
      <c r="E2157" s="3" t="inlineStr">
        <is>
          <t>Malawi</t>
        </is>
      </c>
      <c r="F2157" s="3" t="inlineStr">
        <is>
          <t>Gross domestic product (GDP), Current prices, Per capita, Domestic currency</t>
        </is>
      </c>
      <c r="G2157" s="3" t="n">
        <v>20999.255933</v>
      </c>
      <c r="H2157" s="3" t="n">
        <v>24437.211372</v>
      </c>
      <c r="I2157" s="3" t="n">
        <v>29456.622991</v>
      </c>
      <c r="J2157" s="3" t="n">
        <v>33610.724665</v>
      </c>
      <c r="K2157" s="3" t="n">
        <v>39822.753809</v>
      </c>
      <c r="L2157" s="3" t="n">
        <v>44642.162807</v>
      </c>
      <c r="M2157" s="3" t="n">
        <v>54523.625396</v>
      </c>
      <c r="N2157" s="3" t="n">
        <v>60497.543349</v>
      </c>
      <c r="O2157" s="3" t="n">
        <v>70913.449936</v>
      </c>
      <c r="P2157" s="3" t="n">
        <v>80567.43850800001</v>
      </c>
      <c r="Q2157" s="3" t="n">
        <v>93845.149231</v>
      </c>
      <c r="R2157" s="3" t="n">
        <v>109108.724972</v>
      </c>
      <c r="S2157" s="3" t="n">
        <v>127132.514256</v>
      </c>
      <c r="T2157" s="3" t="n">
        <v>165489.779219</v>
      </c>
      <c r="U2157" s="3" t="n">
        <v>205533.664229</v>
      </c>
      <c r="V2157" s="3" t="n">
        <v>248671.391329</v>
      </c>
      <c r="W2157" s="3" t="n">
        <v>297983.507751</v>
      </c>
      <c r="X2157" s="3" t="n">
        <v>340722.806301</v>
      </c>
      <c r="Y2157" s="3" t="n">
        <v>366919.368808</v>
      </c>
      <c r="Z2157" s="3" t="n">
        <v>405143.406236</v>
      </c>
      <c r="AA2157" s="3" t="n">
        <v>422330.844117</v>
      </c>
      <c r="AB2157" s="3" t="n">
        <v>464534.982641</v>
      </c>
      <c r="AC2157" s="3" t="n">
        <v>533917.5435039999</v>
      </c>
      <c r="AD2157" s="3" t="n">
        <v>680837.640243</v>
      </c>
      <c r="AE2157" s="3" t="n">
        <v>868589.553848</v>
      </c>
      <c r="AF2157" s="3" t="n">
        <v>1084599.429309</v>
      </c>
      <c r="AG2157" s="3" t="n">
        <v>1305504.328568</v>
      </c>
      <c r="AH2157" s="3" t="n">
        <v>1560680.230245</v>
      </c>
      <c r="AI2157" s="3" t="n">
        <v>1851866.902537</v>
      </c>
      <c r="AJ2157" s="3" t="n">
        <v>2161998.46525</v>
      </c>
      <c r="AK2157" s="3" t="n">
        <v>2506651.058573</v>
      </c>
      <c r="AL2157" s="3" t="n">
        <v>2876848.51595</v>
      </c>
      <c r="AM2157" s="3" t="n"/>
      <c r="AN2157" s="3" t="n"/>
      <c r="AO2157" s="3" t="n"/>
      <c r="AP2157" s="3" t="n"/>
      <c r="AQ2157" s="3" t="n"/>
      <c r="AR2157" s="3" t="n"/>
      <c r="AS2157" s="3" t="n"/>
      <c r="AT2157" s="3" t="n"/>
      <c r="AU2157" s="3" t="n"/>
    </row>
    <row r="2158">
      <c r="A2158" s="3" t="n">
        <v>2031</v>
      </c>
      <c r="B2158" s="3" t="inlineStr">
        <is>
          <t>MWI</t>
        </is>
      </c>
      <c r="C2158" s="3" t="inlineStr">
        <is>
          <t>IMF.RES:WEO</t>
        </is>
      </c>
      <c r="D2158" s="3" t="inlineStr">
        <is>
          <t>MWI.NGDPRPC.A</t>
        </is>
      </c>
      <c r="E2158" s="3" t="inlineStr">
        <is>
          <t>Malawi</t>
        </is>
      </c>
      <c r="F2158" s="3" t="inlineStr">
        <is>
          <t>Gross domestic product (GDP), Constant prices, Per capita, Domestic currency</t>
        </is>
      </c>
      <c r="G2158" s="3" t="n">
        <v>258958.429212</v>
      </c>
      <c r="H2158" s="3" t="n">
        <v>242909.900418</v>
      </c>
      <c r="I2158" s="3" t="n">
        <v>238122.790552</v>
      </c>
      <c r="J2158" s="3" t="n">
        <v>246228.838976</v>
      </c>
      <c r="K2158" s="3" t="n">
        <v>254023.609897</v>
      </c>
      <c r="L2158" s="3" t="n">
        <v>257145.337961</v>
      </c>
      <c r="M2158" s="3" t="n">
        <v>261791.424288</v>
      </c>
      <c r="N2158" s="3" t="n">
        <v>279035.116571</v>
      </c>
      <c r="O2158" s="3" t="n">
        <v>292125.012634</v>
      </c>
      <c r="P2158" s="3" t="n">
        <v>307594.776274</v>
      </c>
      <c r="Q2158" s="3" t="n">
        <v>319536.394925</v>
      </c>
      <c r="R2158" s="3" t="n">
        <v>325667.639609</v>
      </c>
      <c r="S2158" s="3" t="n">
        <v>322520.48829</v>
      </c>
      <c r="T2158" s="3" t="n">
        <v>329793.500857</v>
      </c>
      <c r="U2158" s="3" t="n">
        <v>338833.330488</v>
      </c>
      <c r="V2158" s="3" t="n">
        <v>339063.874161</v>
      </c>
      <c r="W2158" s="3" t="n">
        <v>337053.483772</v>
      </c>
      <c r="X2158" s="3" t="n">
        <v>340722.806301</v>
      </c>
      <c r="Y2158" s="3" t="n">
        <v>345729.29834</v>
      </c>
      <c r="Z2158" s="3" t="n">
        <v>354359.66933</v>
      </c>
      <c r="AA2158" s="3" t="n">
        <v>347930.643517</v>
      </c>
      <c r="AB2158" s="3" t="n">
        <v>353606.472221</v>
      </c>
      <c r="AC2158" s="3" t="n">
        <v>346873.634062</v>
      </c>
      <c r="AD2158" s="3" t="n">
        <v>343723.695292</v>
      </c>
      <c r="AE2158" s="3" t="n">
        <v>339692.539492</v>
      </c>
      <c r="AF2158" s="3" t="n">
        <v>337073.245513</v>
      </c>
      <c r="AG2158" s="3" t="n">
        <v>334932.676502</v>
      </c>
      <c r="AH2158" s="3" t="n">
        <v>333475.01029</v>
      </c>
      <c r="AI2158" s="3" t="n">
        <v>332953.00396</v>
      </c>
      <c r="AJ2158" s="3" t="n">
        <v>332978.865224</v>
      </c>
      <c r="AK2158" s="3" t="n">
        <v>333367.254258</v>
      </c>
      <c r="AL2158" s="3" t="n">
        <v>333756.096312</v>
      </c>
      <c r="AM2158" s="3" t="n"/>
      <c r="AN2158" s="3" t="n"/>
      <c r="AO2158" s="3" t="n"/>
      <c r="AP2158" s="3" t="n"/>
      <c r="AQ2158" s="3" t="n"/>
      <c r="AR2158" s="3" t="n"/>
      <c r="AS2158" s="3" t="n"/>
      <c r="AT2158" s="3" t="n"/>
      <c r="AU2158" s="3" t="n"/>
    </row>
    <row r="2159">
      <c r="A2159" s="3" t="n">
        <v>2031</v>
      </c>
      <c r="B2159" s="3" t="inlineStr">
        <is>
          <t>MWI</t>
        </is>
      </c>
      <c r="C2159" s="3" t="inlineStr">
        <is>
          <t>IMF.RES:WEO</t>
        </is>
      </c>
      <c r="D2159" s="3" t="inlineStr">
        <is>
          <t>MWI.PCPI.A</t>
        </is>
      </c>
      <c r="E2159" s="3" t="inlineStr">
        <is>
          <t>Malawi</t>
        </is>
      </c>
      <c r="F2159" s="3" t="inlineStr">
        <is>
          <t>All Items, Consumer price index (CPI), Period average</t>
        </is>
      </c>
      <c r="G2159" s="3" t="n">
        <v>6.650484</v>
      </c>
      <c r="H2159" s="3" t="n">
        <v>8.160144000000001</v>
      </c>
      <c r="I2159" s="3" t="n">
        <v>9.363372999999999</v>
      </c>
      <c r="J2159" s="3" t="n">
        <v>10.260115</v>
      </c>
      <c r="K2159" s="3" t="n">
        <v>11.432246</v>
      </c>
      <c r="L2159" s="3" t="n">
        <v>13.200388</v>
      </c>
      <c r="M2159" s="3" t="n">
        <v>15.037663</v>
      </c>
      <c r="N2159" s="3" t="n">
        <v>16.231915</v>
      </c>
      <c r="O2159" s="3" t="n">
        <v>17.646756</v>
      </c>
      <c r="P2159" s="3" t="n">
        <v>19.131956</v>
      </c>
      <c r="Q2159" s="3" t="n">
        <v>20.549484</v>
      </c>
      <c r="R2159" s="3" t="n">
        <v>22.115559</v>
      </c>
      <c r="S2159" s="3" t="n">
        <v>26.825222</v>
      </c>
      <c r="T2159" s="3" t="n">
        <v>34.411141</v>
      </c>
      <c r="U2159" s="3" t="n">
        <v>42.592307</v>
      </c>
      <c r="V2159" s="3" t="n">
        <v>51.902935</v>
      </c>
      <c r="W2159" s="3" t="n">
        <v>63.179768</v>
      </c>
      <c r="X2159" s="3" t="n">
        <v>70.47111700000001</v>
      </c>
      <c r="Y2159" s="3" t="n">
        <v>76.96505399999999</v>
      </c>
      <c r="Z2159" s="3" t="n">
        <v>84.182957</v>
      </c>
      <c r="AA2159" s="3" t="n">
        <v>91.45516000000001</v>
      </c>
      <c r="AB2159" s="3" t="n">
        <v>100</v>
      </c>
      <c r="AC2159" s="3" t="n">
        <v>120.838715</v>
      </c>
      <c r="AD2159" s="3" t="n">
        <v>155.639322</v>
      </c>
      <c r="AE2159" s="3" t="n">
        <v>205.696047</v>
      </c>
      <c r="AF2159" s="3" t="n">
        <v>264.075329</v>
      </c>
      <c r="AG2159" s="3" t="n">
        <v>328.485059</v>
      </c>
      <c r="AH2159" s="3" t="n">
        <v>400.910235</v>
      </c>
      <c r="AI2159" s="3" t="n">
        <v>484.830932</v>
      </c>
      <c r="AJ2159" s="3" t="n">
        <v>575.1406019999999</v>
      </c>
      <c r="AK2159" s="3" t="n">
        <v>676.397324</v>
      </c>
      <c r="AL2159" s="3" t="n">
        <v>787.1303789999999</v>
      </c>
      <c r="AM2159" s="3" t="n"/>
      <c r="AN2159" s="3" t="n"/>
      <c r="AO2159" s="3" t="n"/>
      <c r="AP2159" s="3" t="n"/>
      <c r="AQ2159" s="3" t="n"/>
      <c r="AR2159" s="3" t="n"/>
      <c r="AS2159" s="3" t="n"/>
      <c r="AT2159" s="3" t="n"/>
      <c r="AU2159" s="3" t="n"/>
    </row>
    <row r="2160">
      <c r="A2160" s="3" t="n">
        <v>2031</v>
      </c>
      <c r="B2160" s="3" t="inlineStr">
        <is>
          <t>MWI</t>
        </is>
      </c>
      <c r="C2160" s="3" t="inlineStr">
        <is>
          <t>IMF.RES:WEO</t>
        </is>
      </c>
      <c r="D2160" s="3" t="inlineStr">
        <is>
          <t>MWI.PCPIPCH.A</t>
        </is>
      </c>
      <c r="E2160" s="3" t="inlineStr">
        <is>
          <t>Malawi</t>
        </is>
      </c>
      <c r="F2160" s="3" t="inlineStr">
        <is>
          <t>All Items, Consumer price index (CPI), Period average, percent change</t>
        </is>
      </c>
      <c r="G2160" s="3" t="n">
        <v>29.597202</v>
      </c>
      <c r="H2160" s="3" t="n">
        <v>22.7</v>
      </c>
      <c r="I2160" s="3" t="n">
        <v>14.745185</v>
      </c>
      <c r="J2160" s="3" t="n">
        <v>9.577123</v>
      </c>
      <c r="K2160" s="3" t="n">
        <v>11.424151</v>
      </c>
      <c r="L2160" s="3" t="n">
        <v>15.466272</v>
      </c>
      <c r="M2160" s="3" t="n">
        <v>13.918342</v>
      </c>
      <c r="N2160" s="3" t="n">
        <v>7.941743</v>
      </c>
      <c r="O2160" s="3" t="n">
        <v>8.716412999999999</v>
      </c>
      <c r="P2160" s="3" t="n">
        <v>8.41628</v>
      </c>
      <c r="Q2160" s="3" t="n">
        <v>7.409215</v>
      </c>
      <c r="R2160" s="3" t="n">
        <v>7.620994</v>
      </c>
      <c r="S2160" s="3" t="n">
        <v>21.295697</v>
      </c>
      <c r="T2160" s="3" t="n">
        <v>28.279056</v>
      </c>
      <c r="U2160" s="3" t="n">
        <v>23.77476</v>
      </c>
      <c r="V2160" s="3" t="n">
        <v>21.85988</v>
      </c>
      <c r="W2160" s="3" t="n">
        <v>21.726774</v>
      </c>
      <c r="X2160" s="3" t="n">
        <v>11.54064</v>
      </c>
      <c r="Y2160" s="3" t="n">
        <v>9.215033</v>
      </c>
      <c r="Z2160" s="3" t="n">
        <v>9.378155</v>
      </c>
      <c r="AA2160" s="3" t="n">
        <v>8.638569</v>
      </c>
      <c r="AB2160" s="3" t="n">
        <v>9.343202</v>
      </c>
      <c r="AC2160" s="3" t="n">
        <v>20.838715</v>
      </c>
      <c r="AD2160" s="3" t="n">
        <v>28.799219</v>
      </c>
      <c r="AE2160" s="3" t="n">
        <v>32.162004</v>
      </c>
      <c r="AF2160" s="3" t="n">
        <v>28.381334</v>
      </c>
      <c r="AG2160" s="3" t="n">
        <v>24.390666</v>
      </c>
      <c r="AH2160" s="3" t="n">
        <v>22.048241</v>
      </c>
      <c r="AI2160" s="3" t="n">
        <v>20.93254</v>
      </c>
      <c r="AJ2160" s="3" t="n">
        <v>18.627044</v>
      </c>
      <c r="AK2160" s="3" t="n">
        <v>17.60556</v>
      </c>
      <c r="AL2160" s="3" t="n">
        <v>16.371007</v>
      </c>
      <c r="AM2160" s="3" t="n"/>
      <c r="AN2160" s="3" t="n"/>
      <c r="AO2160" s="3" t="n"/>
      <c r="AP2160" s="3" t="n"/>
      <c r="AQ2160" s="3" t="n"/>
      <c r="AR2160" s="3" t="n"/>
      <c r="AS2160" s="3" t="n"/>
      <c r="AT2160" s="3" t="n"/>
      <c r="AU2160" s="3" t="n"/>
    </row>
    <row r="2161">
      <c r="A2161" s="3" t="n">
        <v>2031</v>
      </c>
      <c r="B2161" s="3" t="inlineStr">
        <is>
          <t>MWI</t>
        </is>
      </c>
      <c r="C2161" s="3" t="inlineStr">
        <is>
          <t>IMF.RES:WEO</t>
        </is>
      </c>
      <c r="D2161" s="3" t="inlineStr">
        <is>
          <t>MWI.PPPPC.A</t>
        </is>
      </c>
      <c r="E2161" s="3" t="inlineStr">
        <is>
          <t>Malawi</t>
        </is>
      </c>
      <c r="F2161" s="3" t="inlineStr">
        <is>
          <t>Gross domestic product (GDP), Per capita, purchasing power parity (PPP) international dollar, ICP benchmarks 2017-2021</t>
        </is>
      </c>
      <c r="G2161" s="3" t="n">
        <v>717.934603</v>
      </c>
      <c r="H2161" s="3" t="n">
        <v>688.6051220000001</v>
      </c>
      <c r="I2161" s="3" t="n">
        <v>685.524819</v>
      </c>
      <c r="J2161" s="3" t="n">
        <v>722.855535</v>
      </c>
      <c r="K2161" s="3" t="n">
        <v>765.79072</v>
      </c>
      <c r="L2161" s="3" t="n">
        <v>799.510552</v>
      </c>
      <c r="M2161" s="3" t="n">
        <v>839.057506</v>
      </c>
      <c r="N2161" s="3" t="n">
        <v>918.554262</v>
      </c>
      <c r="O2161" s="3" t="n">
        <v>980.170057</v>
      </c>
      <c r="P2161" s="3" t="n">
        <v>1038.441159</v>
      </c>
      <c r="Q2161" s="3" t="n">
        <v>1091.867038</v>
      </c>
      <c r="R2161" s="3" t="n">
        <v>1135.777909</v>
      </c>
      <c r="S2161" s="3" t="n">
        <v>1145.745154</v>
      </c>
      <c r="T2161" s="3" t="n">
        <v>1191.52272</v>
      </c>
      <c r="U2161" s="3" t="n">
        <v>1245.504821</v>
      </c>
      <c r="V2161" s="3" t="n">
        <v>1257.919081</v>
      </c>
      <c r="W2161" s="3" t="n">
        <v>1262.34275</v>
      </c>
      <c r="X2161" s="3" t="n">
        <v>1298.938484</v>
      </c>
      <c r="Y2161" s="3" t="n">
        <v>1281.499747</v>
      </c>
      <c r="Z2161" s="3" t="n">
        <v>1356.485642</v>
      </c>
      <c r="AA2161" s="3" t="n">
        <v>1415.382141</v>
      </c>
      <c r="AB2161" s="3" t="n">
        <v>1575.45369</v>
      </c>
      <c r="AC2161" s="3" t="n">
        <v>1655.375541</v>
      </c>
      <c r="AD2161" s="3" t="n">
        <v>1701.036419</v>
      </c>
      <c r="AE2161" s="3" t="n">
        <v>1722.820574</v>
      </c>
      <c r="AF2161" s="3" t="n">
        <v>1758.03184</v>
      </c>
      <c r="AG2161" s="3" t="n">
        <v>1796.912684</v>
      </c>
      <c r="AH2161" s="3" t="n">
        <v>1828.379024</v>
      </c>
      <c r="AI2161" s="3" t="n">
        <v>1855.480826</v>
      </c>
      <c r="AJ2161" s="3" t="n">
        <v>1888.619972</v>
      </c>
      <c r="AK2161" s="3" t="n">
        <v>1925.56725</v>
      </c>
      <c r="AL2161" s="3" t="n">
        <v>1962.616093</v>
      </c>
      <c r="AM2161" s="3" t="n"/>
      <c r="AN2161" s="3" t="n"/>
      <c r="AO2161" s="3" t="n"/>
      <c r="AP2161" s="3" t="n"/>
      <c r="AQ2161" s="3" t="n"/>
      <c r="AR2161" s="3" t="n"/>
      <c r="AS2161" s="3" t="n"/>
      <c r="AT2161" s="3" t="n"/>
      <c r="AU2161" s="3" t="n"/>
    </row>
    <row r="2162">
      <c r="A2162" s="3" t="n">
        <v>2025</v>
      </c>
      <c r="B2162" s="3" t="inlineStr">
        <is>
          <t>MWI</t>
        </is>
      </c>
      <c r="C2162" s="3" t="inlineStr">
        <is>
          <t>IMF.STA:ER</t>
        </is>
      </c>
      <c r="D2162" s="3" t="inlineStr">
        <is>
          <t>MWI.XDC_USD.PA_RT.A</t>
        </is>
      </c>
      <c r="E2162" s="3" t="inlineStr">
        <is>
          <t>Malawi</t>
        </is>
      </c>
      <c r="F2162" s="3" t="inlineStr">
        <is>
          <t>Domestic currency per US Dollar</t>
        </is>
      </c>
      <c r="G2162" s="3" t="n">
        <v>59.5438083333333</v>
      </c>
      <c r="H2162" s="3" t="n">
        <v>72.1973333333333</v>
      </c>
      <c r="I2162" s="3" t="n">
        <v>76.6866083333333</v>
      </c>
      <c r="J2162" s="3" t="n">
        <v>97.432475</v>
      </c>
      <c r="K2162" s="3" t="n">
        <v>108.897508333333</v>
      </c>
      <c r="L2162" s="3" t="n">
        <v>118.42</v>
      </c>
      <c r="M2162" s="3" t="n">
        <v>136.0125</v>
      </c>
      <c r="N2162" s="3" t="n">
        <v>139.9575</v>
      </c>
      <c r="O2162" s="3" t="n">
        <v>140.521666666666</v>
      </c>
      <c r="P2162" s="3" t="n">
        <v>141.168333333333</v>
      </c>
      <c r="Q2162" s="3" t="n">
        <v>150.485833333333</v>
      </c>
      <c r="R2162" s="3" t="n">
        <v>156.515833333333</v>
      </c>
      <c r="S2162" s="3" t="n">
        <v>249.106666666666</v>
      </c>
      <c r="T2162" s="3" t="n">
        <v>364.405833333333</v>
      </c>
      <c r="U2162" s="3" t="n">
        <v>424.896666666666</v>
      </c>
      <c r="V2162" s="3" t="n">
        <v>499.605833333333</v>
      </c>
      <c r="W2162" s="3" t="n">
        <v>718.005</v>
      </c>
      <c r="X2162" s="3" t="n">
        <v>730.2725</v>
      </c>
      <c r="Y2162" s="3" t="n">
        <v>732.333333333333</v>
      </c>
      <c r="Z2162" s="3" t="n">
        <v>745.540667877371</v>
      </c>
      <c r="AA2162" s="3" t="n">
        <v>749.527493882201</v>
      </c>
      <c r="AB2162" s="3" t="n">
        <v>805.899650132837</v>
      </c>
      <c r="AC2162" s="3" t="n">
        <v>949.039016666666</v>
      </c>
      <c r="AD2162" s="3" t="n">
        <v>1161.09436666666</v>
      </c>
      <c r="AE2162" s="3" t="n">
        <v>1161.09436666666</v>
      </c>
      <c r="AF2162" s="3" t="n">
        <v>1161.09436666666</v>
      </c>
      <c r="AG2162" s="3" t="n"/>
      <c r="AH2162" s="3" t="n"/>
      <c r="AI2162" s="3" t="n"/>
      <c r="AJ2162" s="3" t="n"/>
      <c r="AK2162" s="3" t="n"/>
      <c r="AL2162" s="3" t="n"/>
      <c r="AM2162" s="3" t="n"/>
      <c r="AN2162" s="3" t="n"/>
      <c r="AO2162" s="3" t="n"/>
      <c r="AP2162" s="3" t="n"/>
      <c r="AQ2162" s="3" t="n"/>
      <c r="AR2162" s="3" t="n"/>
      <c r="AS2162" s="3" t="n"/>
      <c r="AT2162" s="3" t="n"/>
      <c r="AU2162" s="3" t="n"/>
    </row>
    <row r="2163">
      <c r="A2163" s="3" t="n">
        <v>2031</v>
      </c>
      <c r="B2163" s="3" t="inlineStr">
        <is>
          <t>MYS</t>
        </is>
      </c>
      <c r="C2163" s="3" t="inlineStr">
        <is>
          <t>IMF.RES:WEO</t>
        </is>
      </c>
      <c r="D2163" s="3" t="inlineStr">
        <is>
          <t>MYS.BCA.A</t>
        </is>
      </c>
      <c r="E2163" s="3" t="inlineStr">
        <is>
          <t>Malaysia</t>
        </is>
      </c>
      <c r="F2163" s="3" t="inlineStr">
        <is>
          <t>Current account balance (credit less debit), US dollar</t>
        </is>
      </c>
      <c r="G2163" s="3" t="n">
        <v>8.487895</v>
      </c>
      <c r="H2163" s="3" t="n">
        <v>7.286842</v>
      </c>
      <c r="I2163" s="3" t="n">
        <v>7.189737</v>
      </c>
      <c r="J2163" s="3" t="n">
        <v>13.381158</v>
      </c>
      <c r="K2163" s="3" t="n">
        <v>15.079434</v>
      </c>
      <c r="L2163" s="3" t="n">
        <v>20.693056</v>
      </c>
      <c r="M2163" s="3" t="n">
        <v>26.178613</v>
      </c>
      <c r="N2163" s="3" t="n">
        <v>29.727393</v>
      </c>
      <c r="O2163" s="3" t="n">
        <v>39.424474</v>
      </c>
      <c r="P2163" s="3" t="n">
        <v>31.415383</v>
      </c>
      <c r="Q2163" s="3" t="n">
        <v>25.710542</v>
      </c>
      <c r="R2163" s="3" t="n">
        <v>32.458695</v>
      </c>
      <c r="S2163" s="3" t="n">
        <v>16.244872</v>
      </c>
      <c r="T2163" s="3" t="n">
        <v>11.26194</v>
      </c>
      <c r="U2163" s="3" t="n">
        <v>14.835217</v>
      </c>
      <c r="V2163" s="3" t="n">
        <v>9.001366000000001</v>
      </c>
      <c r="W2163" s="3" t="n">
        <v>7.20954</v>
      </c>
      <c r="X2163" s="3" t="n">
        <v>8.905099999999999</v>
      </c>
      <c r="Y2163" s="3" t="n">
        <v>8.003342999999999</v>
      </c>
      <c r="Z2163" s="3" t="n">
        <v>12.774392</v>
      </c>
      <c r="AA2163" s="3" t="n">
        <v>14.057649</v>
      </c>
      <c r="AB2163" s="3" t="n">
        <v>14.524174</v>
      </c>
      <c r="AC2163" s="3" t="n">
        <v>13.001991</v>
      </c>
      <c r="AD2163" s="3" t="n">
        <v>4.395935</v>
      </c>
      <c r="AE2163" s="3" t="n">
        <v>6.056294</v>
      </c>
      <c r="AF2163" s="3" t="n">
        <v>7.4291</v>
      </c>
      <c r="AG2163" s="3" t="n">
        <v>7.195745</v>
      </c>
      <c r="AH2163" s="3" t="n">
        <v>8.961468</v>
      </c>
      <c r="AI2163" s="3" t="n">
        <v>10.471491</v>
      </c>
      <c r="AJ2163" s="3" t="n">
        <v>11.473768</v>
      </c>
      <c r="AK2163" s="3" t="n">
        <v>11.827113</v>
      </c>
      <c r="AL2163" s="3" t="n">
        <v>12.892023</v>
      </c>
      <c r="AM2163" s="3" t="n"/>
      <c r="AN2163" s="3" t="n"/>
      <c r="AO2163" s="3" t="n"/>
      <c r="AP2163" s="3" t="n"/>
      <c r="AQ2163" s="3" t="n"/>
      <c r="AR2163" s="3" t="n"/>
      <c r="AS2163" s="3" t="n"/>
      <c r="AT2163" s="3" t="n"/>
      <c r="AU2163" s="3" t="n"/>
    </row>
    <row r="2164">
      <c r="A2164" s="3" t="n">
        <v>2031</v>
      </c>
      <c r="B2164" s="3" t="inlineStr">
        <is>
          <t>MYS</t>
        </is>
      </c>
      <c r="C2164" s="3" t="inlineStr">
        <is>
          <t>IMF.RES:WEO</t>
        </is>
      </c>
      <c r="D2164" s="3" t="inlineStr">
        <is>
          <t>MYS.BCA_NGDPD.A</t>
        </is>
      </c>
      <c r="E2164" s="3" t="inlineStr">
        <is>
          <t>Malaysia</t>
        </is>
      </c>
      <c r="F2164" s="3" t="inlineStr">
        <is>
          <t>Current account balance (credit less debit), Percent of GDP</t>
        </is>
      </c>
      <c r="G2164" s="3" t="n">
        <v>8.309289</v>
      </c>
      <c r="H2164" s="3" t="n">
        <v>7.210825</v>
      </c>
      <c r="I2164" s="3" t="n">
        <v>6.546037</v>
      </c>
      <c r="J2164" s="3" t="n">
        <v>11.148642</v>
      </c>
      <c r="K2164" s="3" t="n">
        <v>11.098514</v>
      </c>
      <c r="L2164" s="3" t="n">
        <v>13.763748</v>
      </c>
      <c r="M2164" s="3" t="n">
        <v>15.362109</v>
      </c>
      <c r="N2164" s="3" t="n">
        <v>14.663357</v>
      </c>
      <c r="O2164" s="3" t="n">
        <v>16.294707</v>
      </c>
      <c r="P2164" s="3" t="n">
        <v>14.829251</v>
      </c>
      <c r="Q2164" s="3" t="n">
        <v>9.940643</v>
      </c>
      <c r="R2164" s="3" t="n">
        <v>10.741354</v>
      </c>
      <c r="S2164" s="3" t="n">
        <v>5.093875</v>
      </c>
      <c r="T2164" s="3" t="n">
        <v>3.43489</v>
      </c>
      <c r="U2164" s="3" t="n">
        <v>4.326798</v>
      </c>
      <c r="V2164" s="3" t="n">
        <v>2.986962</v>
      </c>
      <c r="W2164" s="3" t="n">
        <v>2.393161</v>
      </c>
      <c r="X2164" s="3" t="n">
        <v>2.790613</v>
      </c>
      <c r="Y2164" s="3" t="n">
        <v>2.230689</v>
      </c>
      <c r="Z2164" s="3" t="n">
        <v>3.49813</v>
      </c>
      <c r="AA2164" s="3" t="n">
        <v>4.16577</v>
      </c>
      <c r="AB2164" s="3" t="n">
        <v>3.885707</v>
      </c>
      <c r="AC2164" s="3" t="n">
        <v>3.188088</v>
      </c>
      <c r="AD2164" s="3" t="n">
        <v>1.099123</v>
      </c>
      <c r="AE2164" s="3" t="n">
        <v>1.434369</v>
      </c>
      <c r="AF2164" s="3" t="n">
        <v>1.573318</v>
      </c>
      <c r="AG2164" s="3" t="n">
        <v>1.393369</v>
      </c>
      <c r="AH2164" s="3" t="n">
        <v>1.620944</v>
      </c>
      <c r="AI2164" s="3" t="n">
        <v>1.771564</v>
      </c>
      <c r="AJ2164" s="3" t="n">
        <v>1.819709</v>
      </c>
      <c r="AK2164" s="3" t="n">
        <v>1.758693</v>
      </c>
      <c r="AL2164" s="3" t="n">
        <v>1.799441</v>
      </c>
      <c r="AM2164" s="3" t="n"/>
      <c r="AN2164" s="3" t="n"/>
      <c r="AO2164" s="3" t="n"/>
      <c r="AP2164" s="3" t="n"/>
      <c r="AQ2164" s="3" t="n"/>
      <c r="AR2164" s="3" t="n"/>
      <c r="AS2164" s="3" t="n"/>
      <c r="AT2164" s="3" t="n"/>
      <c r="AU2164" s="3" t="n"/>
    </row>
    <row r="2165">
      <c r="A2165" s="3" t="n">
        <v>2031</v>
      </c>
      <c r="B2165" s="3" t="inlineStr">
        <is>
          <t>MYS</t>
        </is>
      </c>
      <c r="C2165" s="3" t="inlineStr">
        <is>
          <t>IMF.RES:WEO</t>
        </is>
      </c>
      <c r="D2165" s="3" t="inlineStr">
        <is>
          <t>MYS.GGR_NGDP.A</t>
        </is>
      </c>
      <c r="E2165" s="3" t="inlineStr">
        <is>
          <t>Malaysia</t>
        </is>
      </c>
      <c r="F2165" s="3" t="inlineStr">
        <is>
          <t>Revenue, General government, Percent of GDP</t>
        </is>
      </c>
      <c r="G2165" s="3" t="n">
        <v>19.579592</v>
      </c>
      <c r="H2165" s="3" t="n">
        <v>23.862657</v>
      </c>
      <c r="I2165" s="3" t="n">
        <v>23.184272</v>
      </c>
      <c r="J2165" s="3" t="n">
        <v>23.472128</v>
      </c>
      <c r="K2165" s="3" t="n">
        <v>22.530999</v>
      </c>
      <c r="L2165" s="3" t="n">
        <v>21.704862</v>
      </c>
      <c r="M2165" s="3" t="n">
        <v>22.972324</v>
      </c>
      <c r="N2165" s="3" t="n">
        <v>23.317846</v>
      </c>
      <c r="O2165" s="3" t="n">
        <v>23.515275</v>
      </c>
      <c r="P2165" s="3" t="n">
        <v>25.009395</v>
      </c>
      <c r="Q2165" s="3" t="n">
        <v>22.285401</v>
      </c>
      <c r="R2165" s="3" t="n">
        <v>23.520192</v>
      </c>
      <c r="S2165" s="3" t="n">
        <v>25.402553</v>
      </c>
      <c r="T2165" s="3" t="n">
        <v>24.301876</v>
      </c>
      <c r="U2165" s="3" t="n">
        <v>23.32853</v>
      </c>
      <c r="V2165" s="3" t="n">
        <v>22.162296</v>
      </c>
      <c r="W2165" s="3" t="n">
        <v>20.254791</v>
      </c>
      <c r="X2165" s="3" t="n">
        <v>19.631233</v>
      </c>
      <c r="Y2165" s="3" t="n">
        <v>20.15528</v>
      </c>
      <c r="Z2165" s="3" t="n">
        <v>21.566858</v>
      </c>
      <c r="AA2165" s="3" t="n">
        <v>20.138515</v>
      </c>
      <c r="AB2165" s="3" t="n">
        <v>18.418341</v>
      </c>
      <c r="AC2165" s="3" t="n">
        <v>20.083142</v>
      </c>
      <c r="AD2165" s="3" t="n">
        <v>20.887398</v>
      </c>
      <c r="AE2165" s="3" t="n">
        <v>20.576864</v>
      </c>
      <c r="AF2165" s="3" t="n">
        <v>19.89461</v>
      </c>
      <c r="AG2165" s="3" t="n">
        <v>19.222717</v>
      </c>
      <c r="AH2165" s="3" t="n">
        <v>19.047514</v>
      </c>
      <c r="AI2165" s="3" t="n">
        <v>19.047466</v>
      </c>
      <c r="AJ2165" s="3" t="n">
        <v>18.956107</v>
      </c>
      <c r="AK2165" s="3" t="n">
        <v>18.898584</v>
      </c>
      <c r="AL2165" s="3" t="n">
        <v>18.849104</v>
      </c>
      <c r="AM2165" s="3" t="n"/>
      <c r="AN2165" s="3" t="n"/>
      <c r="AO2165" s="3" t="n"/>
      <c r="AP2165" s="3" t="n"/>
      <c r="AQ2165" s="3" t="n"/>
      <c r="AR2165" s="3" t="n"/>
      <c r="AS2165" s="3" t="n"/>
      <c r="AT2165" s="3" t="n"/>
      <c r="AU2165" s="3" t="n"/>
    </row>
    <row r="2166">
      <c r="A2166" s="3" t="n">
        <v>2031</v>
      </c>
      <c r="B2166" s="3" t="inlineStr">
        <is>
          <t>MYS</t>
        </is>
      </c>
      <c r="C2166" s="3" t="inlineStr">
        <is>
          <t>IMF.RES:WEO</t>
        </is>
      </c>
      <c r="D2166" s="3" t="inlineStr">
        <is>
          <t>MYS.GGX_NGDP.A</t>
        </is>
      </c>
      <c r="E2166" s="3" t="inlineStr">
        <is>
          <t>Malaysia</t>
        </is>
      </c>
      <c r="F2166" s="3" t="inlineStr">
        <is>
          <t>Expenditure, General government, Percent of GDP</t>
        </is>
      </c>
      <c r="G2166" s="3" t="n">
        <v>25.632123</v>
      </c>
      <c r="H2166" s="3" t="n">
        <v>28.223335</v>
      </c>
      <c r="I2166" s="3" t="n">
        <v>27.144072</v>
      </c>
      <c r="J2166" s="3" t="n">
        <v>28.069086</v>
      </c>
      <c r="K2166" s="3" t="n">
        <v>25.884463</v>
      </c>
      <c r="L2166" s="3" t="n">
        <v>24.537702</v>
      </c>
      <c r="M2166" s="3" t="n">
        <v>25.574288</v>
      </c>
      <c r="N2166" s="3" t="n">
        <v>25.888677</v>
      </c>
      <c r="O2166" s="3" t="n">
        <v>26.920013</v>
      </c>
      <c r="P2166" s="3" t="n">
        <v>30.889186</v>
      </c>
      <c r="Q2166" s="3" t="n">
        <v>26.604472</v>
      </c>
      <c r="R2166" s="3" t="n">
        <v>27.087816</v>
      </c>
      <c r="S2166" s="3" t="n">
        <v>28.505431</v>
      </c>
      <c r="T2166" s="3" t="n">
        <v>27.780103</v>
      </c>
      <c r="U2166" s="3" t="n">
        <v>25.956967</v>
      </c>
      <c r="V2166" s="3" t="n">
        <v>24.70818</v>
      </c>
      <c r="W2166" s="3" t="n">
        <v>22.857663</v>
      </c>
      <c r="X2166" s="3" t="n">
        <v>22.043063</v>
      </c>
      <c r="Y2166" s="3" t="n">
        <v>22.799949</v>
      </c>
      <c r="Z2166" s="3" t="n">
        <v>23.575005</v>
      </c>
      <c r="AA2166" s="3" t="n">
        <v>25.040251</v>
      </c>
      <c r="AB2166" s="3" t="n">
        <v>24.45076</v>
      </c>
      <c r="AC2166" s="3" t="n">
        <v>24.642444</v>
      </c>
      <c r="AD2166" s="3" t="n">
        <v>25.000811</v>
      </c>
      <c r="AE2166" s="3" t="n">
        <v>24.023928</v>
      </c>
      <c r="AF2166" s="3" t="n">
        <v>23.431943</v>
      </c>
      <c r="AG2166" s="3" t="n">
        <v>22.528388</v>
      </c>
      <c r="AH2166" s="3" t="n">
        <v>22.066551</v>
      </c>
      <c r="AI2166" s="3" t="n">
        <v>21.792254</v>
      </c>
      <c r="AJ2166" s="3" t="n">
        <v>21.696274</v>
      </c>
      <c r="AK2166" s="3" t="n">
        <v>21.632317</v>
      </c>
      <c r="AL2166" s="3" t="n">
        <v>21.571221</v>
      </c>
      <c r="AM2166" s="3" t="n"/>
      <c r="AN2166" s="3" t="n"/>
      <c r="AO2166" s="3" t="n"/>
      <c r="AP2166" s="3" t="n"/>
      <c r="AQ2166" s="3" t="n"/>
      <c r="AR2166" s="3" t="n"/>
      <c r="AS2166" s="3" t="n"/>
      <c r="AT2166" s="3" t="n"/>
      <c r="AU2166" s="3" t="n"/>
    </row>
    <row r="2167">
      <c r="A2167" s="3" t="n">
        <v>2031</v>
      </c>
      <c r="B2167" s="3" t="inlineStr">
        <is>
          <t>MYS</t>
        </is>
      </c>
      <c r="C2167" s="3" t="inlineStr">
        <is>
          <t>IMF.RES:WEO</t>
        </is>
      </c>
      <c r="D2167" s="3" t="inlineStr">
        <is>
          <t>MYS.LP.A</t>
        </is>
      </c>
      <c r="E2167" s="3" t="inlineStr">
        <is>
          <t>Malaysia</t>
        </is>
      </c>
      <c r="F2167" s="3" t="inlineStr">
        <is>
          <t>Population, Persons for countries / Index for country groups</t>
        </is>
      </c>
      <c r="G2167" s="3" t="n">
        <v>23.4949</v>
      </c>
      <c r="H2167" s="3" t="n">
        <v>24.1234</v>
      </c>
      <c r="I2167" s="3" t="n">
        <v>24.7271</v>
      </c>
      <c r="J2167" s="3" t="n">
        <v>25.32</v>
      </c>
      <c r="K2167" s="3" t="n">
        <v>25.9051</v>
      </c>
      <c r="L2167" s="3" t="n">
        <v>26.4769</v>
      </c>
      <c r="M2167" s="3" t="n">
        <v>26.8315</v>
      </c>
      <c r="N2167" s="3" t="n">
        <v>27.1</v>
      </c>
      <c r="O2167" s="3" t="n">
        <v>27.6</v>
      </c>
      <c r="P2167" s="3" t="n">
        <v>28.082</v>
      </c>
      <c r="Q2167" s="3" t="n">
        <v>28.5886</v>
      </c>
      <c r="R2167" s="3" t="n">
        <v>29.062</v>
      </c>
      <c r="S2167" s="3" t="n">
        <v>29.51</v>
      </c>
      <c r="T2167" s="3" t="n">
        <v>30.2137</v>
      </c>
      <c r="U2167" s="3" t="n">
        <v>30.7085</v>
      </c>
      <c r="V2167" s="3" t="n">
        <v>31.1861</v>
      </c>
      <c r="W2167" s="3" t="n">
        <v>31.6335</v>
      </c>
      <c r="X2167" s="3" t="n">
        <v>32.0226</v>
      </c>
      <c r="Y2167" s="3" t="n">
        <v>32.3823</v>
      </c>
      <c r="Z2167" s="3" t="n">
        <v>32.523</v>
      </c>
      <c r="AA2167" s="3" t="n">
        <v>32.447</v>
      </c>
      <c r="AB2167" s="3" t="n">
        <v>32.576</v>
      </c>
      <c r="AC2167" s="3" t="n">
        <v>32.652</v>
      </c>
      <c r="AD2167" s="3" t="n">
        <v>33.059156</v>
      </c>
      <c r="AE2167" s="3" t="n">
        <v>33.460369</v>
      </c>
      <c r="AF2167" s="3" t="n">
        <v>33.852033</v>
      </c>
      <c r="AG2167" s="3" t="n">
        <v>34.233667</v>
      </c>
      <c r="AH2167" s="3" t="n">
        <v>34.60603</v>
      </c>
      <c r="AI2167" s="3" t="n">
        <v>34.96821</v>
      </c>
      <c r="AJ2167" s="3" t="n">
        <v>35.319293</v>
      </c>
      <c r="AK2167" s="3" t="n">
        <v>35.65866</v>
      </c>
      <c r="AL2167" s="3" t="n">
        <v>35.98587</v>
      </c>
      <c r="AM2167" s="3" t="n"/>
      <c r="AN2167" s="3" t="n"/>
      <c r="AO2167" s="3" t="n"/>
      <c r="AP2167" s="3" t="n"/>
      <c r="AQ2167" s="3" t="n"/>
      <c r="AR2167" s="3" t="n"/>
      <c r="AS2167" s="3" t="n"/>
      <c r="AT2167" s="3" t="n"/>
      <c r="AU2167" s="3" t="n"/>
    </row>
    <row r="2168">
      <c r="A2168" s="3" t="n">
        <v>2031</v>
      </c>
      <c r="B2168" s="3" t="inlineStr">
        <is>
          <t>MYS</t>
        </is>
      </c>
      <c r="C2168" s="3" t="inlineStr">
        <is>
          <t>IMF.RES:WEO</t>
        </is>
      </c>
      <c r="D2168" s="3" t="inlineStr">
        <is>
          <t>MYS.NGDP.A</t>
        </is>
      </c>
      <c r="E2168" s="3" t="inlineStr">
        <is>
          <t>Malaysia</t>
        </is>
      </c>
      <c r="F2168" s="3" t="inlineStr">
        <is>
          <t>Gross domestic product (GDP), Current prices, Domestic currency</t>
        </is>
      </c>
      <c r="G2168" s="3" t="n">
        <v>388.168</v>
      </c>
      <c r="H2168" s="3" t="n">
        <v>384.006</v>
      </c>
      <c r="I2168" s="3" t="n">
        <v>417.367</v>
      </c>
      <c r="J2168" s="3" t="n">
        <v>456.095</v>
      </c>
      <c r="K2168" s="3" t="n">
        <v>516.302</v>
      </c>
      <c r="L2168" s="3" t="n">
        <v>569.371</v>
      </c>
      <c r="M2168" s="3" t="n">
        <v>625.1</v>
      </c>
      <c r="N2168" s="3" t="n">
        <v>696.91</v>
      </c>
      <c r="O2168" s="3" t="n">
        <v>806.48</v>
      </c>
      <c r="P2168" s="3" t="n">
        <v>746.679</v>
      </c>
      <c r="Q2168" s="3" t="n">
        <v>833.104</v>
      </c>
      <c r="R2168" s="3" t="n">
        <v>924.6849999999999</v>
      </c>
      <c r="S2168" s="3" t="n">
        <v>985.049</v>
      </c>
      <c r="T2168" s="3" t="n">
        <v>1033.085</v>
      </c>
      <c r="U2168" s="3" t="n">
        <v>1122.16</v>
      </c>
      <c r="V2168" s="3" t="n">
        <v>1176.941186</v>
      </c>
      <c r="W2168" s="3" t="n">
        <v>1249.697694</v>
      </c>
      <c r="X2168" s="3" t="n">
        <v>1372.309832</v>
      </c>
      <c r="Y2168" s="3" t="n">
        <v>1447.759635</v>
      </c>
      <c r="Z2168" s="3" t="n">
        <v>1512.737753</v>
      </c>
      <c r="AA2168" s="3" t="n">
        <v>1418.490911</v>
      </c>
      <c r="AB2168" s="3" t="n">
        <v>1548.70079</v>
      </c>
      <c r="AC2168" s="3" t="n">
        <v>1794.89314</v>
      </c>
      <c r="AD2168" s="3" t="n">
        <v>1824.018518</v>
      </c>
      <c r="AE2168" s="3" t="n">
        <v>1932.29149</v>
      </c>
      <c r="AF2168" s="3" t="n">
        <v>2023.075572</v>
      </c>
      <c r="AG2168" s="3" t="n">
        <v>2178.786233</v>
      </c>
      <c r="AH2168" s="3" t="n">
        <v>2323.323235</v>
      </c>
      <c r="AI2168" s="3" t="n">
        <v>2476.081137</v>
      </c>
      <c r="AJ2168" s="3" t="n">
        <v>2638.279811</v>
      </c>
      <c r="AK2168" s="3" t="n">
        <v>2807.985262</v>
      </c>
      <c r="AL2168" s="3" t="n">
        <v>2985.397972</v>
      </c>
      <c r="AM2168" s="3" t="n"/>
      <c r="AN2168" s="3" t="n"/>
      <c r="AO2168" s="3" t="n"/>
      <c r="AP2168" s="3" t="n"/>
      <c r="AQ2168" s="3" t="n"/>
      <c r="AR2168" s="3" t="n"/>
      <c r="AS2168" s="3" t="n"/>
      <c r="AT2168" s="3" t="n"/>
      <c r="AU2168" s="3" t="n"/>
    </row>
    <row r="2169">
      <c r="A2169" s="3" t="n">
        <v>2031</v>
      </c>
      <c r="B2169" s="3" t="inlineStr">
        <is>
          <t>MYS</t>
        </is>
      </c>
      <c r="C2169" s="3" t="inlineStr">
        <is>
          <t>IMF.RES:WEO</t>
        </is>
      </c>
      <c r="D2169" s="3" t="inlineStr">
        <is>
          <t>MYS.NGDP_D.A</t>
        </is>
      </c>
      <c r="E2169" s="3" t="inlineStr">
        <is>
          <t>Malaysia</t>
        </is>
      </c>
      <c r="F2169" s="3" t="inlineStr">
        <is>
          <t>Gross domestic product (GDP), Price deflator, Index</t>
        </is>
      </c>
      <c r="G2169" s="3" t="n">
        <v>66.815962</v>
      </c>
      <c r="H2169" s="3" t="n">
        <v>65.759181</v>
      </c>
      <c r="I2169" s="3" t="n">
        <v>67.816034</v>
      </c>
      <c r="J2169" s="3" t="n">
        <v>70.053574</v>
      </c>
      <c r="K2169" s="3" t="n">
        <v>74.263908</v>
      </c>
      <c r="L2169" s="3" t="n">
        <v>78.015264</v>
      </c>
      <c r="M2169" s="3" t="n">
        <v>81.121135</v>
      </c>
      <c r="N2169" s="3" t="n">
        <v>85.080849</v>
      </c>
      <c r="O2169" s="3" t="n">
        <v>93.919152</v>
      </c>
      <c r="P2169" s="3" t="n">
        <v>88.291551</v>
      </c>
      <c r="Q2169" s="3" t="n">
        <v>91.614221</v>
      </c>
      <c r="R2169" s="3" t="n">
        <v>96.573048</v>
      </c>
      <c r="S2169" s="3" t="n">
        <v>97.538489</v>
      </c>
      <c r="T2169" s="3" t="n">
        <v>97.708808</v>
      </c>
      <c r="U2169" s="3" t="n">
        <v>100.119645</v>
      </c>
      <c r="V2169" s="3" t="n">
        <v>100.000051</v>
      </c>
      <c r="W2169" s="3" t="n">
        <v>101.65826</v>
      </c>
      <c r="X2169" s="3" t="n">
        <v>105.499886</v>
      </c>
      <c r="Y2169" s="3" t="n">
        <v>106.158917</v>
      </c>
      <c r="Z2169" s="3" t="n">
        <v>106.235168</v>
      </c>
      <c r="AA2169" s="3" t="n">
        <v>105.366156</v>
      </c>
      <c r="AB2169" s="3" t="n">
        <v>111.346674</v>
      </c>
      <c r="AC2169" s="3" t="n">
        <v>118.357394</v>
      </c>
      <c r="AD2169" s="3" t="n">
        <v>116.168985</v>
      </c>
      <c r="AE2169" s="3" t="n">
        <v>117.086903</v>
      </c>
      <c r="AF2169" s="3" t="n">
        <v>116.560302</v>
      </c>
      <c r="AG2169" s="3" t="n">
        <v>119.896498</v>
      </c>
      <c r="AH2169" s="3" t="n">
        <v>122.579318</v>
      </c>
      <c r="AI2169" s="3" t="n">
        <v>125.252998</v>
      </c>
      <c r="AJ2169" s="3" t="n">
        <v>127.955749</v>
      </c>
      <c r="AK2169" s="3" t="n">
        <v>130.571822</v>
      </c>
      <c r="AL2169" s="3" t="n">
        <v>133.098318</v>
      </c>
      <c r="AM2169" s="3" t="n"/>
      <c r="AN2169" s="3" t="n"/>
      <c r="AO2169" s="3" t="n"/>
      <c r="AP2169" s="3" t="n"/>
      <c r="AQ2169" s="3" t="n"/>
      <c r="AR2169" s="3" t="n"/>
      <c r="AS2169" s="3" t="n"/>
      <c r="AT2169" s="3" t="n"/>
      <c r="AU2169" s="3" t="n"/>
    </row>
    <row r="2170">
      <c r="A2170" s="3" t="n">
        <v>2031</v>
      </c>
      <c r="B2170" s="3" t="inlineStr">
        <is>
          <t>MYS</t>
        </is>
      </c>
      <c r="C2170" s="3" t="inlineStr">
        <is>
          <t>IMF.RES:WEO</t>
        </is>
      </c>
      <c r="D2170" s="3" t="inlineStr">
        <is>
          <t>MYS.NGDP_R.A</t>
        </is>
      </c>
      <c r="E2170" s="3" t="inlineStr">
        <is>
          <t>Malaysia</t>
        </is>
      </c>
      <c r="F2170" s="3" t="inlineStr">
        <is>
          <t>Gross domestic product (GDP), Constant prices, Domestic currency</t>
        </is>
      </c>
      <c r="G2170" s="3" t="n">
        <v>580.951</v>
      </c>
      <c r="H2170" s="3" t="n">
        <v>583.958</v>
      </c>
      <c r="I2170" s="3" t="n">
        <v>615.4400000000001</v>
      </c>
      <c r="J2170" s="3" t="n">
        <v>651.066</v>
      </c>
      <c r="K2170" s="3" t="n">
        <v>695.226</v>
      </c>
      <c r="L2170" s="3" t="n">
        <v>729.8200000000001</v>
      </c>
      <c r="M2170" s="3" t="n">
        <v>770.576</v>
      </c>
      <c r="N2170" s="3" t="n">
        <v>819.115</v>
      </c>
      <c r="O2170" s="3" t="n">
        <v>858.696</v>
      </c>
      <c r="P2170" s="3" t="n">
        <v>845.697</v>
      </c>
      <c r="Q2170" s="3" t="n">
        <v>909.361</v>
      </c>
      <c r="R2170" s="3" t="n">
        <v>957.498</v>
      </c>
      <c r="S2170" s="3" t="n">
        <v>1009.908</v>
      </c>
      <c r="T2170" s="3" t="n">
        <v>1057.31</v>
      </c>
      <c r="U2170" s="3" t="n">
        <v>1120.819</v>
      </c>
      <c r="V2170" s="3" t="n">
        <v>1176.940588</v>
      </c>
      <c r="W2170" s="3" t="n">
        <v>1229.312497</v>
      </c>
      <c r="X2170" s="3" t="n">
        <v>1300.76902</v>
      </c>
      <c r="Y2170" s="3" t="n">
        <v>1363.766395</v>
      </c>
      <c r="Z2170" s="3" t="n">
        <v>1423.951962</v>
      </c>
      <c r="AA2170" s="3" t="n">
        <v>1346.249088</v>
      </c>
      <c r="AB2170" s="3" t="n">
        <v>1390.881951</v>
      </c>
      <c r="AC2170" s="3" t="n">
        <v>1516.502754</v>
      </c>
      <c r="AD2170" s="3" t="n">
        <v>1570.142424</v>
      </c>
      <c r="AE2170" s="3" t="n">
        <v>1650.305405</v>
      </c>
      <c r="AF2170" s="3" t="n">
        <v>1735.647168</v>
      </c>
      <c r="AG2170" s="3" t="n">
        <v>1817.222585</v>
      </c>
      <c r="AH2170" s="3" t="n">
        <v>1895.363156</v>
      </c>
      <c r="AI2170" s="3" t="n">
        <v>1976.863772</v>
      </c>
      <c r="AJ2170" s="3" t="n">
        <v>2061.868914</v>
      </c>
      <c r="AK2170" s="3" t="n">
        <v>2150.529277</v>
      </c>
      <c r="AL2170" s="3" t="n">
        <v>2243.002036</v>
      </c>
      <c r="AM2170" s="3" t="n"/>
      <c r="AN2170" s="3" t="n"/>
      <c r="AO2170" s="3" t="n"/>
      <c r="AP2170" s="3" t="n"/>
      <c r="AQ2170" s="3" t="n"/>
      <c r="AR2170" s="3" t="n"/>
      <c r="AS2170" s="3" t="n"/>
      <c r="AT2170" s="3" t="n"/>
      <c r="AU2170" s="3" t="n"/>
    </row>
    <row r="2171">
      <c r="A2171" s="3" t="n">
        <v>2031</v>
      </c>
      <c r="B2171" s="3" t="inlineStr">
        <is>
          <t>MYS</t>
        </is>
      </c>
      <c r="C2171" s="3" t="inlineStr">
        <is>
          <t>IMF.RES:WEO</t>
        </is>
      </c>
      <c r="D2171" s="3" t="inlineStr">
        <is>
          <t>MYS.NGDP_RPCH.A</t>
        </is>
      </c>
      <c r="E2171" s="3" t="inlineStr">
        <is>
          <t>Malaysia</t>
        </is>
      </c>
      <c r="F2171" s="3" t="inlineStr">
        <is>
          <t>Gross domestic product (GDP), Constant prices, Percent change</t>
        </is>
      </c>
      <c r="G2171" s="3" t="n">
        <v>8.670627</v>
      </c>
      <c r="H2171" s="3" t="n">
        <v>0.5175999999999999</v>
      </c>
      <c r="I2171" s="3" t="n">
        <v>5.391141</v>
      </c>
      <c r="J2171" s="3" t="n">
        <v>5.788704</v>
      </c>
      <c r="K2171" s="3" t="n">
        <v>6.782722</v>
      </c>
      <c r="L2171" s="3" t="n">
        <v>4.975936</v>
      </c>
      <c r="M2171" s="3" t="n">
        <v>5.584391</v>
      </c>
      <c r="N2171" s="3" t="n">
        <v>6.299054</v>
      </c>
      <c r="O2171" s="3" t="n">
        <v>4.832166</v>
      </c>
      <c r="P2171" s="3" t="n">
        <v>-1.513807</v>
      </c>
      <c r="Q2171" s="3" t="n">
        <v>7.527992</v>
      </c>
      <c r="R2171" s="3" t="n">
        <v>5.293497</v>
      </c>
      <c r="S2171" s="3" t="n">
        <v>5.473641</v>
      </c>
      <c r="T2171" s="3" t="n">
        <v>4.693695</v>
      </c>
      <c r="U2171" s="3" t="n">
        <v>6.006658</v>
      </c>
      <c r="V2171" s="3" t="n">
        <v>5.007195</v>
      </c>
      <c r="W2171" s="3" t="n">
        <v>4.449835</v>
      </c>
      <c r="X2171" s="3" t="n">
        <v>5.812722</v>
      </c>
      <c r="Y2171" s="3" t="n">
        <v>4.843087</v>
      </c>
      <c r="Z2171" s="3" t="n">
        <v>4.413187</v>
      </c>
      <c r="AA2171" s="3" t="n">
        <v>-5.456847</v>
      </c>
      <c r="AB2171" s="3" t="n">
        <v>3.31535</v>
      </c>
      <c r="AC2171" s="3" t="n">
        <v>9.031737</v>
      </c>
      <c r="AD2171" s="3" t="n">
        <v>3.537064</v>
      </c>
      <c r="AE2171" s="3" t="n">
        <v>5.105459</v>
      </c>
      <c r="AF2171" s="3" t="n">
        <v>5.171271</v>
      </c>
      <c r="AG2171" s="3" t="n">
        <v>4.7</v>
      </c>
      <c r="AH2171" s="3" t="n">
        <v>4.3</v>
      </c>
      <c r="AI2171" s="3" t="n">
        <v>4.3</v>
      </c>
      <c r="AJ2171" s="3" t="n">
        <v>4.3</v>
      </c>
      <c r="AK2171" s="3" t="n">
        <v>4.3</v>
      </c>
      <c r="AL2171" s="3" t="n">
        <v>4.3</v>
      </c>
      <c r="AM2171" s="3" t="n"/>
      <c r="AN2171" s="3" t="n"/>
      <c r="AO2171" s="3" t="n"/>
      <c r="AP2171" s="3" t="n"/>
      <c r="AQ2171" s="3" t="n"/>
      <c r="AR2171" s="3" t="n"/>
      <c r="AS2171" s="3" t="n"/>
      <c r="AT2171" s="3" t="n"/>
      <c r="AU2171" s="3" t="n"/>
    </row>
    <row r="2172">
      <c r="A2172" s="3" t="n">
        <v>2031</v>
      </c>
      <c r="B2172" s="3" t="inlineStr">
        <is>
          <t>MYS</t>
        </is>
      </c>
      <c r="C2172" s="3" t="inlineStr">
        <is>
          <t>IMF.RES:WEO</t>
        </is>
      </c>
      <c r="D2172" s="3" t="inlineStr">
        <is>
          <t>MYS.NGDPD.A</t>
        </is>
      </c>
      <c r="E2172" s="3" t="inlineStr">
        <is>
          <t>Malaysia</t>
        </is>
      </c>
      <c r="F2172" s="3" t="inlineStr">
        <is>
          <t>Gross domestic product (GDP), Current prices, US dollar</t>
        </is>
      </c>
      <c r="G2172" s="3" t="n">
        <v>102.149474</v>
      </c>
      <c r="H2172" s="3" t="n">
        <v>101.054211</v>
      </c>
      <c r="I2172" s="3" t="n">
        <v>109.833421</v>
      </c>
      <c r="J2172" s="3" t="n">
        <v>120.025</v>
      </c>
      <c r="K2172" s="3" t="n">
        <v>135.868947</v>
      </c>
      <c r="L2172" s="3" t="n">
        <v>150.344632</v>
      </c>
      <c r="M2172" s="3" t="n">
        <v>170.410284</v>
      </c>
      <c r="N2172" s="3" t="n">
        <v>202.73252</v>
      </c>
      <c r="O2172" s="3" t="n">
        <v>241.946503</v>
      </c>
      <c r="P2172" s="3" t="n">
        <v>211.847393</v>
      </c>
      <c r="Q2172" s="3" t="n">
        <v>258.640628</v>
      </c>
      <c r="R2172" s="3" t="n">
        <v>302.184381</v>
      </c>
      <c r="S2172" s="3" t="n">
        <v>318.909886</v>
      </c>
      <c r="T2172" s="3" t="n">
        <v>327.869004</v>
      </c>
      <c r="U2172" s="3" t="n">
        <v>342.868297</v>
      </c>
      <c r="V2172" s="3" t="n">
        <v>301.355201</v>
      </c>
      <c r="W2172" s="3" t="n">
        <v>301.256016</v>
      </c>
      <c r="X2172" s="3" t="n">
        <v>319.109103</v>
      </c>
      <c r="Y2172" s="3" t="n">
        <v>358.783421</v>
      </c>
      <c r="Z2172" s="3" t="n">
        <v>365.177745</v>
      </c>
      <c r="AA2172" s="3" t="n">
        <v>337.456169</v>
      </c>
      <c r="AB2172" s="3" t="n">
        <v>373.784589</v>
      </c>
      <c r="AC2172" s="3" t="n">
        <v>407.830417</v>
      </c>
      <c r="AD2172" s="3" t="n">
        <v>399.949327</v>
      </c>
      <c r="AE2172" s="3" t="n">
        <v>422.227014</v>
      </c>
      <c r="AF2172" s="3" t="n">
        <v>472.193112</v>
      </c>
      <c r="AG2172" s="3" t="n">
        <v>516.427837</v>
      </c>
      <c r="AH2172" s="3" t="n">
        <v>552.854741</v>
      </c>
      <c r="AI2172" s="3" t="n">
        <v>591.087322</v>
      </c>
      <c r="AJ2172" s="3" t="n">
        <v>630.527642</v>
      </c>
      <c r="AK2172" s="3" t="n">
        <v>672.494377</v>
      </c>
      <c r="AL2172" s="3" t="n">
        <v>716.445923</v>
      </c>
      <c r="AM2172" s="3" t="n"/>
      <c r="AN2172" s="3" t="n"/>
      <c r="AO2172" s="3" t="n"/>
      <c r="AP2172" s="3" t="n"/>
      <c r="AQ2172" s="3" t="n"/>
      <c r="AR2172" s="3" t="n"/>
      <c r="AS2172" s="3" t="n"/>
      <c r="AT2172" s="3" t="n"/>
      <c r="AU2172" s="3" t="n"/>
    </row>
    <row r="2173">
      <c r="A2173" s="3" t="n">
        <v>2031</v>
      </c>
      <c r="B2173" s="3" t="inlineStr">
        <is>
          <t>MYS</t>
        </is>
      </c>
      <c r="C2173" s="3" t="inlineStr">
        <is>
          <t>IMF.RES:WEO</t>
        </is>
      </c>
      <c r="D2173" s="3" t="inlineStr">
        <is>
          <t>MYS.NGDPPC.A</t>
        </is>
      </c>
      <c r="E2173" s="3" t="inlineStr">
        <is>
          <t>Malaysia</t>
        </is>
      </c>
      <c r="F2173" s="3" t="inlineStr">
        <is>
          <t>Gross domestic product (GDP), Current prices, Per capita, Domestic currency</t>
        </is>
      </c>
      <c r="G2173" s="3" t="n">
        <v>16521.372723</v>
      </c>
      <c r="H2173" s="3" t="n">
        <v>15918.402879</v>
      </c>
      <c r="I2173" s="3" t="n">
        <v>16878.930404</v>
      </c>
      <c r="J2173" s="3" t="n">
        <v>18013.230648</v>
      </c>
      <c r="K2173" s="3" t="n">
        <v>19930.515613</v>
      </c>
      <c r="L2173" s="3" t="n">
        <v>21504.443496</v>
      </c>
      <c r="M2173" s="3" t="n">
        <v>23297.243911</v>
      </c>
      <c r="N2173" s="3" t="n">
        <v>25716.236162</v>
      </c>
      <c r="O2173" s="3" t="n">
        <v>29220.289855</v>
      </c>
      <c r="P2173" s="3" t="n">
        <v>26589.238658</v>
      </c>
      <c r="Q2173" s="3" t="n">
        <v>29141.126183</v>
      </c>
      <c r="R2173" s="3" t="n">
        <v>31817.66568</v>
      </c>
      <c r="S2173" s="3" t="n">
        <v>33380.176211</v>
      </c>
      <c r="T2173" s="3" t="n">
        <v>34192.60137</v>
      </c>
      <c r="U2173" s="3" t="n">
        <v>36542.325415</v>
      </c>
      <c r="V2173" s="3" t="n">
        <v>37739.287247</v>
      </c>
      <c r="W2173" s="3" t="n">
        <v>39505.514534</v>
      </c>
      <c r="X2173" s="3" t="n">
        <v>42854.416318</v>
      </c>
      <c r="Y2173" s="3" t="n">
        <v>44708.363365</v>
      </c>
      <c r="Z2173" s="3" t="n">
        <v>46512.860222</v>
      </c>
      <c r="AA2173" s="3" t="n">
        <v>43717.166795</v>
      </c>
      <c r="AB2173" s="3" t="n">
        <v>47541.158829</v>
      </c>
      <c r="AC2173" s="3" t="n">
        <v>54970.38895</v>
      </c>
      <c r="AD2173" s="3" t="n">
        <v>55174.382338</v>
      </c>
      <c r="AE2173" s="3" t="n">
        <v>57748.660672</v>
      </c>
      <c r="AF2173" s="3" t="n">
        <v>59762.305889</v>
      </c>
      <c r="AG2173" s="3" t="n">
        <v>63644.547013</v>
      </c>
      <c r="AH2173" s="3" t="n">
        <v>67136.369273</v>
      </c>
      <c r="AI2173" s="3" t="n">
        <v>70809.490723</v>
      </c>
      <c r="AJ2173" s="3" t="n">
        <v>74697.978487</v>
      </c>
      <c r="AK2173" s="3" t="n">
        <v>78746.237005</v>
      </c>
      <c r="AL2173" s="3" t="n">
        <v>82960.283079</v>
      </c>
      <c r="AM2173" s="3" t="n"/>
      <c r="AN2173" s="3" t="n"/>
      <c r="AO2173" s="3" t="n"/>
      <c r="AP2173" s="3" t="n"/>
      <c r="AQ2173" s="3" t="n"/>
      <c r="AR2173" s="3" t="n"/>
      <c r="AS2173" s="3" t="n"/>
      <c r="AT2173" s="3" t="n"/>
      <c r="AU2173" s="3" t="n"/>
    </row>
    <row r="2174">
      <c r="A2174" s="3" t="n">
        <v>2031</v>
      </c>
      <c r="B2174" s="3" t="inlineStr">
        <is>
          <t>MYS</t>
        </is>
      </c>
      <c r="C2174" s="3" t="inlineStr">
        <is>
          <t>IMF.RES:WEO</t>
        </is>
      </c>
      <c r="D2174" s="3" t="inlineStr">
        <is>
          <t>MYS.NGDPRPC.A</t>
        </is>
      </c>
      <c r="E2174" s="3" t="inlineStr">
        <is>
          <t>Malaysia</t>
        </is>
      </c>
      <c r="F2174" s="3" t="inlineStr">
        <is>
          <t>Gross domestic product (GDP), Constant prices, Per capita, Domestic currency</t>
        </is>
      </c>
      <c r="G2174" s="3" t="n">
        <v>24726.685366</v>
      </c>
      <c r="H2174" s="3" t="n">
        <v>24207.1184</v>
      </c>
      <c r="I2174" s="3" t="n">
        <v>24889.291506</v>
      </c>
      <c r="J2174" s="3" t="n">
        <v>25713.507109</v>
      </c>
      <c r="K2174" s="3" t="n">
        <v>26837.418115</v>
      </c>
      <c r="L2174" s="3" t="n">
        <v>27564.405198</v>
      </c>
      <c r="M2174" s="3" t="n">
        <v>28719.080186</v>
      </c>
      <c r="N2174" s="3" t="n">
        <v>30225.645756</v>
      </c>
      <c r="O2174" s="3" t="n">
        <v>31112.173913</v>
      </c>
      <c r="P2174" s="3" t="n">
        <v>30115.269568</v>
      </c>
      <c r="Q2174" s="3" t="n">
        <v>31808.518081</v>
      </c>
      <c r="R2174" s="3" t="n">
        <v>32946.734567</v>
      </c>
      <c r="S2174" s="3" t="n">
        <v>34222.568621</v>
      </c>
      <c r="T2174" s="3" t="n">
        <v>34994.389962</v>
      </c>
      <c r="U2174" s="3" t="n">
        <v>36498.656724</v>
      </c>
      <c r="V2174" s="3" t="n">
        <v>37739.268071</v>
      </c>
      <c r="W2174" s="3" t="n">
        <v>38861.096527</v>
      </c>
      <c r="X2174" s="3" t="n">
        <v>40620.343757</v>
      </c>
      <c r="Y2174" s="3" t="n">
        <v>42114.562431</v>
      </c>
      <c r="Z2174" s="3" t="n">
        <v>43782.921686</v>
      </c>
      <c r="AA2174" s="3" t="n">
        <v>41490.710636</v>
      </c>
      <c r="AB2174" s="3" t="n">
        <v>42696.523545</v>
      </c>
      <c r="AC2174" s="3" t="n">
        <v>46444.406284</v>
      </c>
      <c r="AD2174" s="3" t="n">
        <v>47494.933616</v>
      </c>
      <c r="AE2174" s="3" t="n">
        <v>49321.195757</v>
      </c>
      <c r="AF2174" s="3" t="n">
        <v>51271.57799</v>
      </c>
      <c r="AG2174" s="3" t="n">
        <v>53082.907587</v>
      </c>
      <c r="AH2174" s="3" t="n">
        <v>54769.736232</v>
      </c>
      <c r="AI2174" s="3" t="n">
        <v>56533.170427</v>
      </c>
      <c r="AJ2174" s="3" t="n">
        <v>58377.977616</v>
      </c>
      <c r="AK2174" s="3" t="n">
        <v>60308.752484</v>
      </c>
      <c r="AL2174" s="3" t="n">
        <v>62330.076456</v>
      </c>
      <c r="AM2174" s="3" t="n"/>
      <c r="AN2174" s="3" t="n"/>
      <c r="AO2174" s="3" t="n"/>
      <c r="AP2174" s="3" t="n"/>
      <c r="AQ2174" s="3" t="n"/>
      <c r="AR2174" s="3" t="n"/>
      <c r="AS2174" s="3" t="n"/>
      <c r="AT2174" s="3" t="n"/>
      <c r="AU2174" s="3" t="n"/>
    </row>
    <row r="2175">
      <c r="A2175" s="3" t="n">
        <v>2031</v>
      </c>
      <c r="B2175" s="3" t="inlineStr">
        <is>
          <t>MYS</t>
        </is>
      </c>
      <c r="C2175" s="3" t="inlineStr">
        <is>
          <t>IMF.RES:WEO</t>
        </is>
      </c>
      <c r="D2175" s="3" t="inlineStr">
        <is>
          <t>MYS.PCPI.A</t>
        </is>
      </c>
      <c r="E2175" s="3" t="inlineStr">
        <is>
          <t>Malaysia</t>
        </is>
      </c>
      <c r="F2175" s="3" t="inlineStr">
        <is>
          <t>All Items, Consumer price index (CPI), Period average</t>
        </is>
      </c>
      <c r="G2175" s="3" t="n">
        <v>80.41183100000001</v>
      </c>
      <c r="H2175" s="3" t="n">
        <v>81.559527</v>
      </c>
      <c r="I2175" s="3" t="n">
        <v>83.02155999999999</v>
      </c>
      <c r="J2175" s="3" t="n">
        <v>83.91340099999999</v>
      </c>
      <c r="K2175" s="3" t="n">
        <v>85.104958</v>
      </c>
      <c r="L2175" s="3" t="n">
        <v>87.691667</v>
      </c>
      <c r="M2175" s="3" t="n">
        <v>90.86666700000001</v>
      </c>
      <c r="N2175" s="3" t="n">
        <v>92.708333</v>
      </c>
      <c r="O2175" s="3" t="n">
        <v>97.74166700000001</v>
      </c>
      <c r="P2175" s="3" t="n">
        <v>98.325</v>
      </c>
      <c r="Q2175" s="3" t="n">
        <v>100.016667</v>
      </c>
      <c r="R2175" s="3" t="n">
        <v>103.2</v>
      </c>
      <c r="S2175" s="3" t="n">
        <v>104.908333</v>
      </c>
      <c r="T2175" s="3" t="n">
        <v>107.116667</v>
      </c>
      <c r="U2175" s="3" t="n">
        <v>110.483333</v>
      </c>
      <c r="V2175" s="3" t="n">
        <v>112.808333</v>
      </c>
      <c r="W2175" s="3" t="n">
        <v>115.15</v>
      </c>
      <c r="X2175" s="3" t="n">
        <v>119.525</v>
      </c>
      <c r="Y2175" s="3" t="n">
        <v>120.683333</v>
      </c>
      <c r="Z2175" s="3" t="n">
        <v>121.483333</v>
      </c>
      <c r="AA2175" s="3" t="n">
        <v>120.1</v>
      </c>
      <c r="AB2175" s="3" t="n">
        <v>123.075</v>
      </c>
      <c r="AC2175" s="3" t="n">
        <v>127.233333</v>
      </c>
      <c r="AD2175" s="3" t="n">
        <v>130.4</v>
      </c>
      <c r="AE2175" s="3" t="n">
        <v>132.791667</v>
      </c>
      <c r="AF2175" s="3" t="n">
        <v>134.625</v>
      </c>
      <c r="AG2175" s="3" t="n">
        <v>137.175137</v>
      </c>
      <c r="AH2175" s="3" t="n">
        <v>139.93217</v>
      </c>
      <c r="AI2175" s="3" t="n">
        <v>142.722866</v>
      </c>
      <c r="AJ2175" s="3" t="n">
        <v>145.5693</v>
      </c>
      <c r="AK2175" s="3" t="n">
        <v>148.472585</v>
      </c>
      <c r="AL2175" s="3" t="n">
        <v>151.433857</v>
      </c>
      <c r="AM2175" s="3" t="n"/>
      <c r="AN2175" s="3" t="n"/>
      <c r="AO2175" s="3" t="n"/>
      <c r="AP2175" s="3" t="n"/>
      <c r="AQ2175" s="3" t="n"/>
      <c r="AR2175" s="3" t="n"/>
      <c r="AS2175" s="3" t="n"/>
      <c r="AT2175" s="3" t="n"/>
      <c r="AU2175" s="3" t="n"/>
    </row>
    <row r="2176">
      <c r="A2176" s="3" t="n">
        <v>2031</v>
      </c>
      <c r="B2176" s="3" t="inlineStr">
        <is>
          <t>MYS</t>
        </is>
      </c>
      <c r="C2176" s="3" t="inlineStr">
        <is>
          <t>IMF.RES:WEO</t>
        </is>
      </c>
      <c r="D2176" s="3" t="inlineStr">
        <is>
          <t>MYS.PCPIPCH.A</t>
        </is>
      </c>
      <c r="E2176" s="3" t="inlineStr">
        <is>
          <t>Malaysia</t>
        </is>
      </c>
      <c r="F2176" s="3" t="inlineStr">
        <is>
          <t>All Items, Consumer price index (CPI), Period average, percent change</t>
        </is>
      </c>
      <c r="G2176" s="3" t="n">
        <v>1.55096</v>
      </c>
      <c r="H2176" s="3" t="n">
        <v>1.427273</v>
      </c>
      <c r="I2176" s="3" t="n">
        <v>1.792597</v>
      </c>
      <c r="J2176" s="3" t="n">
        <v>1.074227</v>
      </c>
      <c r="K2176" s="3" t="n">
        <v>1.419984</v>
      </c>
      <c r="L2176" s="3" t="n">
        <v>3.039434</v>
      </c>
      <c r="M2176" s="3" t="n">
        <v>3.620641</v>
      </c>
      <c r="N2176" s="3" t="n">
        <v>2.026779</v>
      </c>
      <c r="O2176" s="3" t="n">
        <v>5.429213</v>
      </c>
      <c r="P2176" s="3" t="n">
        <v>0.596811</v>
      </c>
      <c r="Q2176" s="3" t="n">
        <v>1.720485</v>
      </c>
      <c r="R2176" s="3" t="n">
        <v>3.182803</v>
      </c>
      <c r="S2176" s="3" t="n">
        <v>1.655362</v>
      </c>
      <c r="T2176" s="3" t="n">
        <v>2.105012</v>
      </c>
      <c r="U2176" s="3" t="n">
        <v>3.142991</v>
      </c>
      <c r="V2176" s="3" t="n">
        <v>2.10439</v>
      </c>
      <c r="W2176" s="3" t="n">
        <v>2.075792</v>
      </c>
      <c r="X2176" s="3" t="n">
        <v>3.799392</v>
      </c>
      <c r="Y2176" s="3" t="n">
        <v>0.969114</v>
      </c>
      <c r="Z2176" s="3" t="n">
        <v>0.662892</v>
      </c>
      <c r="AA2176" s="3" t="n">
        <v>-1.138702</v>
      </c>
      <c r="AB2176" s="3" t="n">
        <v>2.477102</v>
      </c>
      <c r="AC2176" s="3" t="n">
        <v>3.378699</v>
      </c>
      <c r="AD2176" s="3" t="n">
        <v>2.488866</v>
      </c>
      <c r="AE2176" s="3" t="n">
        <v>1.8341</v>
      </c>
      <c r="AF2176" s="3" t="n">
        <v>1.380609</v>
      </c>
      <c r="AG2176" s="3" t="n">
        <v>1.894253</v>
      </c>
      <c r="AH2176" s="3" t="n">
        <v>2.009863</v>
      </c>
      <c r="AI2176" s="3" t="n">
        <v>1.994321</v>
      </c>
      <c r="AJ2176" s="3" t="n">
        <v>1.994378</v>
      </c>
      <c r="AK2176" s="3" t="n">
        <v>1.994435</v>
      </c>
      <c r="AL2176" s="3" t="n">
        <v>1.994491</v>
      </c>
      <c r="AM2176" s="3" t="n"/>
      <c r="AN2176" s="3" t="n"/>
      <c r="AO2176" s="3" t="n"/>
      <c r="AP2176" s="3" t="n"/>
      <c r="AQ2176" s="3" t="n"/>
      <c r="AR2176" s="3" t="n"/>
      <c r="AS2176" s="3" t="n"/>
      <c r="AT2176" s="3" t="n"/>
      <c r="AU2176" s="3" t="n"/>
    </row>
    <row r="2177">
      <c r="A2177" s="3" t="n">
        <v>2031</v>
      </c>
      <c r="B2177" s="3" t="inlineStr">
        <is>
          <t>MYS</t>
        </is>
      </c>
      <c r="C2177" s="3" t="inlineStr">
        <is>
          <t>IMF.RES:WEO</t>
        </is>
      </c>
      <c r="D2177" s="3" t="inlineStr">
        <is>
          <t>MYS.PPPPC.A</t>
        </is>
      </c>
      <c r="E2177" s="3" t="inlineStr">
        <is>
          <t>Malaysia</t>
        </is>
      </c>
      <c r="F2177" s="3" t="inlineStr">
        <is>
          <t>Gross domestic product (GDP), Per capita, purchasing power parity (PPP) international dollar, ICP benchmarks 2017-2021</t>
        </is>
      </c>
      <c r="G2177" s="3" t="n">
        <v>11815.269558</v>
      </c>
      <c r="H2177" s="3" t="n">
        <v>11827.447388</v>
      </c>
      <c r="I2177" s="3" t="n">
        <v>12349.735373</v>
      </c>
      <c r="J2177" s="3" t="n">
        <v>13010.584453</v>
      </c>
      <c r="K2177" s="3" t="n">
        <v>13944.394014</v>
      </c>
      <c r="L2177" s="3" t="n">
        <v>14771.243874</v>
      </c>
      <c r="M2177" s="3" t="n">
        <v>15864.62223</v>
      </c>
      <c r="N2177" s="3" t="n">
        <v>17149.222689</v>
      </c>
      <c r="O2177" s="3" t="n">
        <v>17992.269304</v>
      </c>
      <c r="P2177" s="3" t="n">
        <v>17523.166618</v>
      </c>
      <c r="Q2177" s="3" t="n">
        <v>18733.363427</v>
      </c>
      <c r="R2177" s="3" t="n">
        <v>19804.053266</v>
      </c>
      <c r="S2177" s="3" t="n">
        <v>20953.965347</v>
      </c>
      <c r="T2177" s="3" t="n">
        <v>21791.220739</v>
      </c>
      <c r="U2177" s="3" t="n">
        <v>23123.792706</v>
      </c>
      <c r="V2177" s="3" t="n">
        <v>24131.679887</v>
      </c>
      <c r="W2177" s="3" t="n">
        <v>25085.133605</v>
      </c>
      <c r="X2177" s="3" t="n">
        <v>26690.32561</v>
      </c>
      <c r="Y2177" s="3" t="n">
        <v>28247.319685</v>
      </c>
      <c r="Z2177" s="3" t="n">
        <v>29750.263083</v>
      </c>
      <c r="AA2177" s="3" t="n">
        <v>28696.232745</v>
      </c>
      <c r="AB2177" s="3" t="n">
        <v>31385.032366</v>
      </c>
      <c r="AC2177" s="3" t="n">
        <v>36568.175157</v>
      </c>
      <c r="AD2177" s="3" t="n">
        <v>38778.950751</v>
      </c>
      <c r="AE2177" s="3" t="n">
        <v>41269.790803</v>
      </c>
      <c r="AF2177" s="3" t="n">
        <v>44118.807677</v>
      </c>
      <c r="AG2177" s="3" t="n">
        <v>46986.033795</v>
      </c>
      <c r="AH2177" s="3" t="n">
        <v>49543.674572</v>
      </c>
      <c r="AI2177" s="3" t="n">
        <v>51978.232157</v>
      </c>
      <c r="AJ2177" s="3" t="n">
        <v>54628.790366</v>
      </c>
      <c r="AK2177" s="3" t="n">
        <v>57472.584462</v>
      </c>
      <c r="AL2177" s="3" t="n">
        <v>60471.179198</v>
      </c>
      <c r="AM2177" s="3" t="n"/>
      <c r="AN2177" s="3" t="n"/>
      <c r="AO2177" s="3" t="n"/>
      <c r="AP2177" s="3" t="n"/>
      <c r="AQ2177" s="3" t="n"/>
      <c r="AR2177" s="3" t="n"/>
      <c r="AS2177" s="3" t="n"/>
      <c r="AT2177" s="3" t="n"/>
      <c r="AU2177" s="3" t="n"/>
    </row>
    <row r="2178">
      <c r="A2178" s="3" t="n">
        <v>2025</v>
      </c>
      <c r="B2178" s="3" t="inlineStr">
        <is>
          <t>MYS</t>
        </is>
      </c>
      <c r="C2178" s="3" t="inlineStr">
        <is>
          <t>IMF.STA:ER</t>
        </is>
      </c>
      <c r="D2178" s="3" t="inlineStr">
        <is>
          <t>MYS.XDC_USD.PA_RT.A</t>
        </is>
      </c>
      <c r="E2178" s="3" t="inlineStr">
        <is>
          <t>Malaysia</t>
        </is>
      </c>
      <c r="F2178" s="3" t="inlineStr">
        <is>
          <t>Domestic currency per US Dollar</t>
        </is>
      </c>
      <c r="G2178" s="3" t="n">
        <v>3.8</v>
      </c>
      <c r="H2178" s="3" t="n">
        <v>3.8</v>
      </c>
      <c r="I2178" s="3" t="n">
        <v>3.8</v>
      </c>
      <c r="J2178" s="3" t="n">
        <v>3.8</v>
      </c>
      <c r="K2178" s="3" t="n">
        <v>3.8</v>
      </c>
      <c r="L2178" s="3" t="n">
        <v>3.78709166666666</v>
      </c>
      <c r="M2178" s="3" t="n">
        <v>3.66817695833333</v>
      </c>
      <c r="N2178" s="3" t="n">
        <v>3.43756938226247</v>
      </c>
      <c r="O2178" s="3" t="n">
        <v>3.33583333333333</v>
      </c>
      <c r="P2178" s="3" t="n">
        <v>3.52450291070644</v>
      </c>
      <c r="Q2178" s="3" t="n">
        <v>3.22108691472175</v>
      </c>
      <c r="R2178" s="3" t="n">
        <v>3.06000301052057</v>
      </c>
      <c r="S2178" s="3" t="n">
        <v>3.08880086662187</v>
      </c>
      <c r="T2178" s="3" t="n">
        <v>3.15090855009724</v>
      </c>
      <c r="U2178" s="3" t="n">
        <v>3.27285974643047</v>
      </c>
      <c r="V2178" s="3" t="n">
        <v>3.90550026302768</v>
      </c>
      <c r="W2178" s="3" t="n">
        <v>4.14830066287878</v>
      </c>
      <c r="X2178" s="3" t="n">
        <v>4.30044087761124</v>
      </c>
      <c r="Y2178" s="3" t="n">
        <v>4.03513013706806</v>
      </c>
      <c r="Z2178" s="3" t="n">
        <v>4.14246973569731</v>
      </c>
      <c r="AA2178" s="3" t="n">
        <v>4.20348194851883</v>
      </c>
      <c r="AB2178" s="3" t="n">
        <v>4.1432975981772</v>
      </c>
      <c r="AC2178" s="3" t="n">
        <v>4.40107634540072</v>
      </c>
      <c r="AD2178" s="3" t="n">
        <v>4.56062343240897</v>
      </c>
      <c r="AE2178" s="3" t="n">
        <v>4.5764279106858</v>
      </c>
      <c r="AF2178" s="3" t="n">
        <v>4.28442415048243</v>
      </c>
      <c r="AG2178" s="3" t="n"/>
      <c r="AH2178" s="3" t="n"/>
      <c r="AI2178" s="3" t="n"/>
      <c r="AJ2178" s="3" t="n"/>
      <c r="AK2178" s="3" t="n"/>
      <c r="AL2178" s="3" t="n"/>
      <c r="AM2178" s="3" t="n"/>
      <c r="AN2178" s="3" t="n"/>
      <c r="AO2178" s="3" t="n"/>
      <c r="AP2178" s="3" t="n"/>
      <c r="AQ2178" s="3" t="n"/>
      <c r="AR2178" s="3" t="n"/>
      <c r="AS2178" s="3" t="n"/>
      <c r="AT2178" s="3" t="n"/>
      <c r="AU2178" s="3" t="n"/>
    </row>
    <row r="2179">
      <c r="A2179" s="3" t="n">
        <v>2031</v>
      </c>
      <c r="B2179" s="3" t="inlineStr">
        <is>
          <t>NAM</t>
        </is>
      </c>
      <c r="C2179" s="3" t="inlineStr">
        <is>
          <t>IMF.RES:WEO</t>
        </is>
      </c>
      <c r="D2179" s="3" t="inlineStr">
        <is>
          <t>NAM.BCA.A</t>
        </is>
      </c>
      <c r="E2179" s="3" t="inlineStr">
        <is>
          <t>Namibia</t>
        </is>
      </c>
      <c r="F2179" s="3" t="inlineStr">
        <is>
          <t>Current account balance (credit less debit), US dollar</t>
        </is>
      </c>
      <c r="G2179" s="3" t="n">
        <v>0.191523</v>
      </c>
      <c r="H2179" s="3" t="n">
        <v>0.01054</v>
      </c>
      <c r="I2179" s="3" t="n">
        <v>0.085854</v>
      </c>
      <c r="J2179" s="3" t="n">
        <v>0.265693</v>
      </c>
      <c r="K2179" s="3" t="n">
        <v>0.446296</v>
      </c>
      <c r="L2179" s="3" t="n">
        <v>0.329443</v>
      </c>
      <c r="M2179" s="3" t="n">
        <v>1.082861</v>
      </c>
      <c r="N2179" s="3" t="n">
        <v>0.747824</v>
      </c>
      <c r="O2179" s="3" t="n">
        <v>-0.009214999999999999</v>
      </c>
      <c r="P2179" s="3" t="n">
        <v>-0.316871</v>
      </c>
      <c r="Q2179" s="3" t="n">
        <v>-0.448391</v>
      </c>
      <c r="R2179" s="3" t="n">
        <v>-0.8575739999999999</v>
      </c>
      <c r="S2179" s="3" t="n">
        <v>-1.119444</v>
      </c>
      <c r="T2179" s="3" t="n">
        <v>-0.992085</v>
      </c>
      <c r="U2179" s="3" t="n">
        <v>-1.17252</v>
      </c>
      <c r="V2179" s="3" t="n">
        <v>-1.559479</v>
      </c>
      <c r="W2179" s="3" t="n">
        <v>-1.768821</v>
      </c>
      <c r="X2179" s="3" t="n">
        <v>-0.570042</v>
      </c>
      <c r="Y2179" s="3" t="n">
        <v>-0.48592</v>
      </c>
      <c r="Z2179" s="3" t="n">
        <v>-0.221362</v>
      </c>
      <c r="AA2179" s="3" t="n">
        <v>0.414111</v>
      </c>
      <c r="AB2179" s="3" t="n">
        <v>-1.337325</v>
      </c>
      <c r="AC2179" s="3" t="n">
        <v>-1.58188</v>
      </c>
      <c r="AD2179" s="3" t="n">
        <v>-1.879873</v>
      </c>
      <c r="AE2179" s="3" t="n">
        <v>-1.893735</v>
      </c>
      <c r="AF2179" s="3" t="n">
        <v>-1.953554</v>
      </c>
      <c r="AG2179" s="3" t="n">
        <v>-2.710552</v>
      </c>
      <c r="AH2179" s="3" t="n">
        <v>-2.502621</v>
      </c>
      <c r="AI2179" s="3" t="n">
        <v>-2.565027</v>
      </c>
      <c r="AJ2179" s="3" t="n">
        <v>-2.577716</v>
      </c>
      <c r="AK2179" s="3" t="n">
        <v>-2.562672</v>
      </c>
      <c r="AL2179" s="3" t="n">
        <v>-2.7069</v>
      </c>
      <c r="AM2179" s="3" t="n"/>
      <c r="AN2179" s="3" t="n"/>
      <c r="AO2179" s="3" t="n"/>
      <c r="AP2179" s="3" t="n"/>
      <c r="AQ2179" s="3" t="n"/>
      <c r="AR2179" s="3" t="n"/>
      <c r="AS2179" s="3" t="n"/>
      <c r="AT2179" s="3" t="n"/>
      <c r="AU2179" s="3" t="n"/>
    </row>
    <row r="2180">
      <c r="A2180" s="3" t="n">
        <v>2031</v>
      </c>
      <c r="B2180" s="3" t="inlineStr">
        <is>
          <t>NAM</t>
        </is>
      </c>
      <c r="C2180" s="3" t="inlineStr">
        <is>
          <t>IMF.RES:WEO</t>
        </is>
      </c>
      <c r="D2180" s="3" t="inlineStr">
        <is>
          <t>NAM.BCA_NGDPD.A</t>
        </is>
      </c>
      <c r="E2180" s="3" t="inlineStr">
        <is>
          <t>Namibia</t>
        </is>
      </c>
      <c r="F2180" s="3" t="inlineStr">
        <is>
          <t>Current account balance (credit less debit), Percent of GDP</t>
        </is>
      </c>
      <c r="G2180" s="3" t="n">
        <v>4.859438</v>
      </c>
      <c r="H2180" s="3" t="n">
        <v>0.29462</v>
      </c>
      <c r="I2180" s="3" t="n">
        <v>2.527986</v>
      </c>
      <c r="J2180" s="3" t="n">
        <v>5.342099</v>
      </c>
      <c r="K2180" s="3" t="n">
        <v>6.688154</v>
      </c>
      <c r="L2180" s="3" t="n">
        <v>4.498014</v>
      </c>
      <c r="M2180" s="3" t="n">
        <v>14.04299</v>
      </c>
      <c r="N2180" s="3" t="n">
        <v>8.566438</v>
      </c>
      <c r="O2180" s="3" t="n">
        <v>-0.108455</v>
      </c>
      <c r="P2180" s="3" t="n">
        <v>-3.554472</v>
      </c>
      <c r="Q2180" s="3" t="n">
        <v>-3.974805</v>
      </c>
      <c r="R2180" s="3" t="n">
        <v>-6.902925</v>
      </c>
      <c r="S2180" s="3" t="n">
        <v>-8.600258</v>
      </c>
      <c r="T2180" s="3" t="n">
        <v>-8.153447999999999</v>
      </c>
      <c r="U2180" s="3" t="n">
        <v>-9.430270999999999</v>
      </c>
      <c r="V2180" s="3" t="n">
        <v>-13.619584</v>
      </c>
      <c r="W2180" s="3" t="n">
        <v>-16.501836</v>
      </c>
      <c r="X2180" s="3" t="n">
        <v>-4.424744</v>
      </c>
      <c r="Y2180" s="3" t="n">
        <v>-3.552991</v>
      </c>
      <c r="Z2180" s="3" t="n">
        <v>-1.765362</v>
      </c>
      <c r="AA2180" s="3" t="n">
        <v>3.912857</v>
      </c>
      <c r="AB2180" s="3" t="n">
        <v>-10.785507</v>
      </c>
      <c r="AC2180" s="3" t="n">
        <v>-12.590228</v>
      </c>
      <c r="AD2180" s="3" t="n">
        <v>-15.157643</v>
      </c>
      <c r="AE2180" s="3" t="n">
        <v>-14.164017</v>
      </c>
      <c r="AF2180" s="3" t="n">
        <v>-13.17634</v>
      </c>
      <c r="AG2180" s="3" t="n">
        <v>-15.655623</v>
      </c>
      <c r="AH2180" s="3" t="n">
        <v>-13.637516</v>
      </c>
      <c r="AI2180" s="3" t="n">
        <v>-13.328656</v>
      </c>
      <c r="AJ2180" s="3" t="n">
        <v>-12.692452</v>
      </c>
      <c r="AK2180" s="3" t="n">
        <v>-11.99379</v>
      </c>
      <c r="AL2180" s="3" t="n">
        <v>-12.057526</v>
      </c>
      <c r="AM2180" s="3" t="n"/>
      <c r="AN2180" s="3" t="n"/>
      <c r="AO2180" s="3" t="n"/>
      <c r="AP2180" s="3" t="n"/>
      <c r="AQ2180" s="3" t="n"/>
      <c r="AR2180" s="3" t="n"/>
      <c r="AS2180" s="3" t="n"/>
      <c r="AT2180" s="3" t="n"/>
      <c r="AU2180" s="3" t="n"/>
    </row>
    <row r="2181">
      <c r="A2181" s="3" t="n">
        <v>2031</v>
      </c>
      <c r="B2181" s="3" t="inlineStr">
        <is>
          <t>NAM</t>
        </is>
      </c>
      <c r="C2181" s="3" t="inlineStr">
        <is>
          <t>IMF.RES:WEO</t>
        </is>
      </c>
      <c r="D2181" s="3" t="inlineStr">
        <is>
          <t>NAM.GGR_NGDP.A</t>
        </is>
      </c>
      <c r="E2181" s="3" t="inlineStr">
        <is>
          <t>Namibia</t>
        </is>
      </c>
      <c r="F2181" s="3" t="inlineStr">
        <is>
          <t>Revenue, General government, Percent of GDP</t>
        </is>
      </c>
      <c r="G2181" s="3" t="n">
        <v>29.333971</v>
      </c>
      <c r="H2181" s="3" t="n">
        <v>28.711868</v>
      </c>
      <c r="I2181" s="3" t="n">
        <v>28.462466</v>
      </c>
      <c r="J2181" s="3" t="n">
        <v>26.615606</v>
      </c>
      <c r="K2181" s="3" t="n">
        <v>25.72111</v>
      </c>
      <c r="L2181" s="3" t="n">
        <v>27.388591</v>
      </c>
      <c r="M2181" s="3" t="n">
        <v>30.785393</v>
      </c>
      <c r="N2181" s="3" t="n">
        <v>32.086686</v>
      </c>
      <c r="O2181" s="3" t="n">
        <v>31.874195</v>
      </c>
      <c r="P2181" s="3" t="n">
        <v>31.557288</v>
      </c>
      <c r="Q2181" s="3" t="n">
        <v>28.487791</v>
      </c>
      <c r="R2181" s="3" t="n">
        <v>31.385212</v>
      </c>
      <c r="S2181" s="3" t="n">
        <v>31.939559</v>
      </c>
      <c r="T2181" s="3" t="n">
        <v>33.618258</v>
      </c>
      <c r="U2181" s="3" t="n">
        <v>35.348421</v>
      </c>
      <c r="V2181" s="3" t="n">
        <v>35.372471</v>
      </c>
      <c r="W2181" s="3" t="n">
        <v>32.459146</v>
      </c>
      <c r="X2181" s="3" t="n">
        <v>33.099126</v>
      </c>
      <c r="Y2181" s="3" t="n">
        <v>31.235513</v>
      </c>
      <c r="Z2181" s="3" t="n">
        <v>31.923462</v>
      </c>
      <c r="AA2181" s="3" t="n">
        <v>33.406601</v>
      </c>
      <c r="AB2181" s="3" t="n">
        <v>30.579414</v>
      </c>
      <c r="AC2181" s="3" t="n">
        <v>30.227384</v>
      </c>
      <c r="AD2181" s="3" t="n">
        <v>33.861654</v>
      </c>
      <c r="AE2181" s="3" t="n">
        <v>35.7788</v>
      </c>
      <c r="AF2181" s="3" t="n">
        <v>32.955317</v>
      </c>
      <c r="AG2181" s="3" t="n">
        <v>31.552416</v>
      </c>
      <c r="AH2181" s="3" t="n">
        <v>31.022214</v>
      </c>
      <c r="AI2181" s="3" t="n">
        <v>31.266336</v>
      </c>
      <c r="AJ2181" s="3" t="n">
        <v>31.29095</v>
      </c>
      <c r="AK2181" s="3" t="n">
        <v>31.281481</v>
      </c>
      <c r="AL2181" s="3" t="n">
        <v>31.283005</v>
      </c>
      <c r="AM2181" s="3" t="n"/>
      <c r="AN2181" s="3" t="n"/>
      <c r="AO2181" s="3" t="n"/>
      <c r="AP2181" s="3" t="n"/>
      <c r="AQ2181" s="3" t="n"/>
      <c r="AR2181" s="3" t="n"/>
      <c r="AS2181" s="3" t="n"/>
      <c r="AT2181" s="3" t="n"/>
      <c r="AU2181" s="3" t="n"/>
    </row>
    <row r="2182">
      <c r="A2182" s="3" t="n">
        <v>2031</v>
      </c>
      <c r="B2182" s="3" t="inlineStr">
        <is>
          <t>NAM</t>
        </is>
      </c>
      <c r="C2182" s="3" t="inlineStr">
        <is>
          <t>IMF.RES:WEO</t>
        </is>
      </c>
      <c r="D2182" s="3" t="inlineStr">
        <is>
          <t>NAM.GGX_NGDP.A</t>
        </is>
      </c>
      <c r="E2182" s="3" t="inlineStr">
        <is>
          <t>Namibia</t>
        </is>
      </c>
      <c r="F2182" s="3" t="inlineStr">
        <is>
          <t>Expenditure, General government, Percent of GDP</t>
        </is>
      </c>
      <c r="G2182" s="3" t="n">
        <v>30.122218</v>
      </c>
      <c r="H2182" s="3" t="n">
        <v>30.725952</v>
      </c>
      <c r="I2182" s="3" t="n">
        <v>29.840957</v>
      </c>
      <c r="J2182" s="3" t="n">
        <v>31.089673</v>
      </c>
      <c r="K2182" s="3" t="n">
        <v>28.392658</v>
      </c>
      <c r="L2182" s="3" t="n">
        <v>27.697735</v>
      </c>
      <c r="M2182" s="3" t="n">
        <v>27.37562</v>
      </c>
      <c r="N2182" s="3" t="n">
        <v>26.08014</v>
      </c>
      <c r="O2182" s="3" t="n">
        <v>28.393817</v>
      </c>
      <c r="P2182" s="3" t="n">
        <v>31.962155</v>
      </c>
      <c r="Q2182" s="3" t="n">
        <v>33.468726</v>
      </c>
      <c r="R2182" s="3" t="n">
        <v>38.472178</v>
      </c>
      <c r="S2182" s="3" t="n">
        <v>35.041268</v>
      </c>
      <c r="T2182" s="3" t="n">
        <v>38.308125</v>
      </c>
      <c r="U2182" s="3" t="n">
        <v>41.792083</v>
      </c>
      <c r="V2182" s="3" t="n">
        <v>43.673571</v>
      </c>
      <c r="W2182" s="3" t="n">
        <v>41.762279</v>
      </c>
      <c r="X2182" s="3" t="n">
        <v>38.093112</v>
      </c>
      <c r="Y2182" s="3" t="n">
        <v>36.329618</v>
      </c>
      <c r="Z2182" s="3" t="n">
        <v>37.414937</v>
      </c>
      <c r="AA2182" s="3" t="n">
        <v>41.476899</v>
      </c>
      <c r="AB2182" s="3" t="n">
        <v>39.261559</v>
      </c>
      <c r="AC2182" s="3" t="n">
        <v>36.557858</v>
      </c>
      <c r="AD2182" s="3" t="n">
        <v>37.005959</v>
      </c>
      <c r="AE2182" s="3" t="n">
        <v>39.622062</v>
      </c>
      <c r="AF2182" s="3" t="n">
        <v>39.416653</v>
      </c>
      <c r="AG2182" s="3" t="n">
        <v>37.627512</v>
      </c>
      <c r="AH2182" s="3" t="n">
        <v>36.409334</v>
      </c>
      <c r="AI2182" s="3" t="n">
        <v>36.298208</v>
      </c>
      <c r="AJ2182" s="3" t="n">
        <v>36.268919</v>
      </c>
      <c r="AK2182" s="3" t="n">
        <v>36.411809</v>
      </c>
      <c r="AL2182" s="3" t="n">
        <v>36.541499</v>
      </c>
      <c r="AM2182" s="3" t="n"/>
      <c r="AN2182" s="3" t="n"/>
      <c r="AO2182" s="3" t="n"/>
      <c r="AP2182" s="3" t="n"/>
      <c r="AQ2182" s="3" t="n"/>
      <c r="AR2182" s="3" t="n"/>
      <c r="AS2182" s="3" t="n"/>
      <c r="AT2182" s="3" t="n"/>
      <c r="AU2182" s="3" t="n"/>
    </row>
    <row r="2183">
      <c r="A2183" s="3" t="n">
        <v>2031</v>
      </c>
      <c r="B2183" s="3" t="inlineStr">
        <is>
          <t>NAM</t>
        </is>
      </c>
      <c r="C2183" s="3" t="inlineStr">
        <is>
          <t>IMF.RES:WEO</t>
        </is>
      </c>
      <c r="D2183" s="3" t="inlineStr">
        <is>
          <t>NAM.LP.A</t>
        </is>
      </c>
      <c r="E2183" s="3" t="inlineStr">
        <is>
          <t>Namibia</t>
        </is>
      </c>
      <c r="F2183" s="3" t="inlineStr">
        <is>
          <t>Population, Persons for countries / Index for country groups</t>
        </is>
      </c>
      <c r="G2183" s="3" t="n">
        <v>1.798155</v>
      </c>
      <c r="H2183" s="3" t="n">
        <v>1.839139</v>
      </c>
      <c r="I2183" s="3" t="n">
        <v>1.874957</v>
      </c>
      <c r="J2183" s="3" t="n">
        <v>1.904984</v>
      </c>
      <c r="K2183" s="3" t="n">
        <v>1.929943</v>
      </c>
      <c r="L2183" s="3" t="n">
        <v>1.954221</v>
      </c>
      <c r="M2183" s="3" t="n">
        <v>1.978942</v>
      </c>
      <c r="N2183" s="3" t="n">
        <v>2.004833</v>
      </c>
      <c r="O2183" s="3" t="n">
        <v>2.032367</v>
      </c>
      <c r="P2183" s="3" t="n">
        <v>2.061745</v>
      </c>
      <c r="Q2183" s="3" t="n">
        <v>2.093042</v>
      </c>
      <c r="R2183" s="3" t="n">
        <v>2.126579</v>
      </c>
      <c r="S2183" s="3" t="n">
        <v>2.166071</v>
      </c>
      <c r="T2183" s="3" t="n">
        <v>2.223237</v>
      </c>
      <c r="U2183" s="3" t="n">
        <v>2.281778</v>
      </c>
      <c r="V2183" s="3" t="n">
        <v>2.342499</v>
      </c>
      <c r="W2183" s="3" t="n">
        <v>2.4061</v>
      </c>
      <c r="X2183" s="3" t="n">
        <v>2.472326</v>
      </c>
      <c r="Y2183" s="3" t="n">
        <v>2.54138</v>
      </c>
      <c r="Z2183" s="3" t="n">
        <v>2.613273</v>
      </c>
      <c r="AA2183" s="3" t="n">
        <v>2.687716</v>
      </c>
      <c r="AB2183" s="3" t="n">
        <v>2.769807</v>
      </c>
      <c r="AC2183" s="3" t="n">
        <v>2.851288</v>
      </c>
      <c r="AD2183" s="3" t="n">
        <v>2.928037</v>
      </c>
      <c r="AE2183" s="3" t="n">
        <v>2.989848</v>
      </c>
      <c r="AF2183" s="3" t="n">
        <v>3.049226</v>
      </c>
      <c r="AG2183" s="3" t="n">
        <v>3.106704</v>
      </c>
      <c r="AH2183" s="3" t="n">
        <v>3.164613</v>
      </c>
      <c r="AI2183" s="3" t="n">
        <v>3.221323</v>
      </c>
      <c r="AJ2183" s="3" t="n">
        <v>3.27805</v>
      </c>
      <c r="AK2183" s="3" t="n">
        <v>3.335744</v>
      </c>
      <c r="AL2183" s="3" t="n">
        <v>3.394453</v>
      </c>
      <c r="AM2183" s="3" t="n"/>
      <c r="AN2183" s="3" t="n"/>
      <c r="AO2183" s="3" t="n"/>
      <c r="AP2183" s="3" t="n"/>
      <c r="AQ2183" s="3" t="n"/>
      <c r="AR2183" s="3" t="n"/>
      <c r="AS2183" s="3" t="n"/>
      <c r="AT2183" s="3" t="n"/>
      <c r="AU2183" s="3" t="n"/>
    </row>
    <row r="2184">
      <c r="A2184" s="3" t="n">
        <v>2031</v>
      </c>
      <c r="B2184" s="3" t="inlineStr">
        <is>
          <t>NAM</t>
        </is>
      </c>
      <c r="C2184" s="3" t="inlineStr">
        <is>
          <t>IMF.RES:WEO</t>
        </is>
      </c>
      <c r="D2184" s="3" t="inlineStr">
        <is>
          <t>NAM.NGDP.A</t>
        </is>
      </c>
      <c r="E2184" s="3" t="inlineStr">
        <is>
          <t>Namibia</t>
        </is>
      </c>
      <c r="F2184" s="3" t="inlineStr">
        <is>
          <t>Gross domestic product (GDP), Current prices, Domestic currency</t>
        </is>
      </c>
      <c r="G2184" s="3" t="n">
        <v>27.333351</v>
      </c>
      <c r="H2184" s="3" t="n">
        <v>30.776633</v>
      </c>
      <c r="I2184" s="3" t="n">
        <v>35.715592</v>
      </c>
      <c r="J2184" s="3" t="n">
        <v>37.624228</v>
      </c>
      <c r="K2184" s="3" t="n">
        <v>43.040933</v>
      </c>
      <c r="L2184" s="3" t="n">
        <v>46.595884</v>
      </c>
      <c r="M2184" s="3" t="n">
        <v>52.181928</v>
      </c>
      <c r="N2184" s="3" t="n">
        <v>61.582894</v>
      </c>
      <c r="O2184" s="3" t="n">
        <v>70.110507</v>
      </c>
      <c r="P2184" s="3" t="n">
        <v>75.214181</v>
      </c>
      <c r="Q2184" s="3" t="n">
        <v>82.599188</v>
      </c>
      <c r="R2184" s="3" t="n">
        <v>90.107563</v>
      </c>
      <c r="S2184" s="3" t="n">
        <v>106.8636</v>
      </c>
      <c r="T2184" s="3" t="n">
        <v>117.423149</v>
      </c>
      <c r="U2184" s="3" t="n">
        <v>134.835973</v>
      </c>
      <c r="V2184" s="3" t="n">
        <v>146.01865</v>
      </c>
      <c r="W2184" s="3" t="n">
        <v>157.707675</v>
      </c>
      <c r="X2184" s="3" t="n">
        <v>171.570013</v>
      </c>
      <c r="Y2184" s="3" t="n">
        <v>181.067044</v>
      </c>
      <c r="Z2184" s="3" t="n">
        <v>181.210794</v>
      </c>
      <c r="AA2184" s="3" t="n">
        <v>174.243071</v>
      </c>
      <c r="AB2184" s="3" t="n">
        <v>183.292314</v>
      </c>
      <c r="AC2184" s="3" t="n">
        <v>205.58412</v>
      </c>
      <c r="AD2184" s="3" t="n">
        <v>228.8868</v>
      </c>
      <c r="AE2184" s="3" t="n">
        <v>245.09732</v>
      </c>
      <c r="AF2184" s="3" t="n">
        <v>265.249882</v>
      </c>
      <c r="AG2184" s="3" t="n">
        <v>289.13712</v>
      </c>
      <c r="AH2184" s="3" t="n">
        <v>311.433944</v>
      </c>
      <c r="AI2184" s="3" t="n">
        <v>329.231055</v>
      </c>
      <c r="AJ2184" s="3" t="n">
        <v>350.105236</v>
      </c>
      <c r="AK2184" s="3" t="n">
        <v>371.145917</v>
      </c>
      <c r="AL2184" s="3" t="n">
        <v>392.952941</v>
      </c>
      <c r="AM2184" s="3" t="n"/>
      <c r="AN2184" s="3" t="n"/>
      <c r="AO2184" s="3" t="n"/>
      <c r="AP2184" s="3" t="n"/>
      <c r="AQ2184" s="3" t="n"/>
      <c r="AR2184" s="3" t="n"/>
      <c r="AS2184" s="3" t="n"/>
      <c r="AT2184" s="3" t="n"/>
      <c r="AU2184" s="3" t="n"/>
    </row>
    <row r="2185">
      <c r="A2185" s="3" t="n">
        <v>2031</v>
      </c>
      <c r="B2185" s="3" t="inlineStr">
        <is>
          <t>NAM</t>
        </is>
      </c>
      <c r="C2185" s="3" t="inlineStr">
        <is>
          <t>IMF.RES:WEO</t>
        </is>
      </c>
      <c r="D2185" s="3" t="inlineStr">
        <is>
          <t>NAM.NGDP_D.A</t>
        </is>
      </c>
      <c r="E2185" s="3" t="inlineStr">
        <is>
          <t>Namibia</t>
        </is>
      </c>
      <c r="F2185" s="3" t="inlineStr">
        <is>
          <t>Gross domestic product (GDP), Price deflator, Index</t>
        </is>
      </c>
      <c r="G2185" s="3" t="n">
        <v>35.828451</v>
      </c>
      <c r="H2185" s="3" t="n">
        <v>39.399015</v>
      </c>
      <c r="I2185" s="3" t="n">
        <v>42.858639</v>
      </c>
      <c r="J2185" s="3" t="n">
        <v>43.63174</v>
      </c>
      <c r="K2185" s="3" t="n">
        <v>46.808838</v>
      </c>
      <c r="L2185" s="3" t="n">
        <v>48.413908</v>
      </c>
      <c r="M2185" s="3" t="n">
        <v>52.158925</v>
      </c>
      <c r="N2185" s="3" t="n">
        <v>59.390319</v>
      </c>
      <c r="O2185" s="3" t="n">
        <v>65.868915</v>
      </c>
      <c r="P2185" s="3" t="n">
        <v>70.455296</v>
      </c>
      <c r="Q2185" s="3" t="n">
        <v>72.96642199999999</v>
      </c>
      <c r="R2185" s="3" t="n">
        <v>75.742842</v>
      </c>
      <c r="S2185" s="3" t="n">
        <v>85.499939</v>
      </c>
      <c r="T2185" s="3" t="n">
        <v>88.95395600000001</v>
      </c>
      <c r="U2185" s="3" t="n">
        <v>96.279218</v>
      </c>
      <c r="V2185" s="3" t="n">
        <v>100</v>
      </c>
      <c r="W2185" s="3" t="n">
        <v>107.968672</v>
      </c>
      <c r="X2185" s="3" t="n">
        <v>118.678125</v>
      </c>
      <c r="Y2185" s="3" t="n">
        <v>123.933768</v>
      </c>
      <c r="Z2185" s="3" t="n">
        <v>125.08179</v>
      </c>
      <c r="AA2185" s="3" t="n">
        <v>130.874991</v>
      </c>
      <c r="AB2185" s="3" t="n">
        <v>132.88304</v>
      </c>
      <c r="AC2185" s="3" t="n">
        <v>141.409811</v>
      </c>
      <c r="AD2185" s="3" t="n">
        <v>150.741279</v>
      </c>
      <c r="AE2185" s="3" t="n">
        <v>155.640596</v>
      </c>
      <c r="AF2185" s="3" t="n">
        <v>164.425303</v>
      </c>
      <c r="AG2185" s="3" t="n">
        <v>175.039048</v>
      </c>
      <c r="AH2185" s="3" t="n">
        <v>183.501707</v>
      </c>
      <c r="AI2185" s="3" t="n">
        <v>188.277459</v>
      </c>
      <c r="AJ2185" s="3" t="n">
        <v>194.112164</v>
      </c>
      <c r="AK2185" s="3" t="n">
        <v>199.790955</v>
      </c>
      <c r="AL2185" s="3" t="n">
        <v>205.355265</v>
      </c>
      <c r="AM2185" s="3" t="n"/>
      <c r="AN2185" s="3" t="n"/>
      <c r="AO2185" s="3" t="n"/>
      <c r="AP2185" s="3" t="n"/>
      <c r="AQ2185" s="3" t="n"/>
      <c r="AR2185" s="3" t="n"/>
      <c r="AS2185" s="3" t="n"/>
      <c r="AT2185" s="3" t="n"/>
      <c r="AU2185" s="3" t="n"/>
    </row>
    <row r="2186">
      <c r="A2186" s="3" t="n">
        <v>2031</v>
      </c>
      <c r="B2186" s="3" t="inlineStr">
        <is>
          <t>NAM</t>
        </is>
      </c>
      <c r="C2186" s="3" t="inlineStr">
        <is>
          <t>IMF.RES:WEO</t>
        </is>
      </c>
      <c r="D2186" s="3" t="inlineStr">
        <is>
          <t>NAM.NGDP_R.A</t>
        </is>
      </c>
      <c r="E2186" s="3" t="inlineStr">
        <is>
          <t>Namibia</t>
        </is>
      </c>
      <c r="F2186" s="3" t="inlineStr">
        <is>
          <t>Gross domestic product (GDP), Constant prices, Domestic currency</t>
        </is>
      </c>
      <c r="G2186" s="3" t="n">
        <v>76.289513</v>
      </c>
      <c r="H2186" s="3" t="n">
        <v>78.115235</v>
      </c>
      <c r="I2186" s="3" t="n">
        <v>83.333473</v>
      </c>
      <c r="J2186" s="3" t="n">
        <v>86.231326</v>
      </c>
      <c r="K2186" s="3" t="n">
        <v>91.950442</v>
      </c>
      <c r="L2186" s="3" t="n">
        <v>96.24482999999999</v>
      </c>
      <c r="M2186" s="3" t="n">
        <v>100.044101</v>
      </c>
      <c r="N2186" s="3" t="n">
        <v>103.691806</v>
      </c>
      <c r="O2186" s="3" t="n">
        <v>106.439444</v>
      </c>
      <c r="P2186" s="3" t="n">
        <v>106.754474</v>
      </c>
      <c r="Q2186" s="3" t="n">
        <v>113.201643</v>
      </c>
      <c r="R2186" s="3" t="n">
        <v>118.965121</v>
      </c>
      <c r="S2186" s="3" t="n">
        <v>124.986757</v>
      </c>
      <c r="T2186" s="3" t="n">
        <v>132.004415</v>
      </c>
      <c r="U2186" s="3" t="n">
        <v>140.04681</v>
      </c>
      <c r="V2186" s="3" t="n">
        <v>146.01865</v>
      </c>
      <c r="W2186" s="3" t="n">
        <v>146.067996</v>
      </c>
      <c r="X2186" s="3" t="n">
        <v>144.567512</v>
      </c>
      <c r="Y2186" s="3" t="n">
        <v>146.099845</v>
      </c>
      <c r="Z2186" s="3" t="n">
        <v>144.873842</v>
      </c>
      <c r="AA2186" s="3" t="n">
        <v>133.137026</v>
      </c>
      <c r="AB2186" s="3" t="n">
        <v>137.93507</v>
      </c>
      <c r="AC2186" s="3" t="n">
        <v>145.381794</v>
      </c>
      <c r="AD2186" s="3" t="n">
        <v>151.840824</v>
      </c>
      <c r="AE2186" s="3" t="n">
        <v>157.476473</v>
      </c>
      <c r="AF2186" s="3" t="n">
        <v>161.319382</v>
      </c>
      <c r="AG2186" s="3" t="n">
        <v>165.184354</v>
      </c>
      <c r="AH2186" s="3" t="n">
        <v>169.717192</v>
      </c>
      <c r="AI2186" s="3" t="n">
        <v>174.864828</v>
      </c>
      <c r="AJ2186" s="3" t="n">
        <v>180.362337</v>
      </c>
      <c r="AK2186" s="3" t="n">
        <v>185.767127</v>
      </c>
      <c r="AL2186" s="3" t="n">
        <v>191.352747</v>
      </c>
      <c r="AM2186" s="3" t="n"/>
      <c r="AN2186" s="3" t="n"/>
      <c r="AO2186" s="3" t="n"/>
      <c r="AP2186" s="3" t="n"/>
      <c r="AQ2186" s="3" t="n"/>
      <c r="AR2186" s="3" t="n"/>
      <c r="AS2186" s="3" t="n"/>
      <c r="AT2186" s="3" t="n"/>
      <c r="AU2186" s="3" t="n"/>
    </row>
    <row r="2187">
      <c r="A2187" s="3" t="n">
        <v>2031</v>
      </c>
      <c r="B2187" s="3" t="inlineStr">
        <is>
          <t>NAM</t>
        </is>
      </c>
      <c r="C2187" s="3" t="inlineStr">
        <is>
          <t>IMF.RES:WEO</t>
        </is>
      </c>
      <c r="D2187" s="3" t="inlineStr">
        <is>
          <t>NAM.NGDP_RPCH.A</t>
        </is>
      </c>
      <c r="E2187" s="3" t="inlineStr">
        <is>
          <t>Namibia</t>
        </is>
      </c>
      <c r="F2187" s="3" t="inlineStr">
        <is>
          <t>Gross domestic product (GDP), Constant prices, Percent change</t>
        </is>
      </c>
      <c r="G2187" s="3" t="n">
        <v>3.497415</v>
      </c>
      <c r="H2187" s="3" t="n">
        <v>2.393149</v>
      </c>
      <c r="I2187" s="3" t="n">
        <v>6.68018</v>
      </c>
      <c r="J2187" s="3" t="n">
        <v>3.477418</v>
      </c>
      <c r="K2187" s="3" t="n">
        <v>6.632294</v>
      </c>
      <c r="L2187" s="3" t="n">
        <v>4.67033</v>
      </c>
      <c r="M2187" s="3" t="n">
        <v>3.947507</v>
      </c>
      <c r="N2187" s="3" t="n">
        <v>3.646096</v>
      </c>
      <c r="O2187" s="3" t="n">
        <v>2.649812</v>
      </c>
      <c r="P2187" s="3" t="n">
        <v>0.295971</v>
      </c>
      <c r="Q2187" s="3" t="n">
        <v>6.039249</v>
      </c>
      <c r="R2187" s="3" t="n">
        <v>5.091338</v>
      </c>
      <c r="S2187" s="3" t="n">
        <v>5.061682</v>
      </c>
      <c r="T2187" s="3" t="n">
        <v>5.614721</v>
      </c>
      <c r="U2187" s="3" t="n">
        <v>6.092519</v>
      </c>
      <c r="V2187" s="3" t="n">
        <v>4.264175</v>
      </c>
      <c r="W2187" s="3" t="n">
        <v>0.033794</v>
      </c>
      <c r="X2187" s="3" t="n">
        <v>-1.027251</v>
      </c>
      <c r="Y2187" s="3" t="n">
        <v>1.059943</v>
      </c>
      <c r="Z2187" s="3" t="n">
        <v>-0.839155</v>
      </c>
      <c r="AA2187" s="3" t="n">
        <v>-8.101404</v>
      </c>
      <c r="AB2187" s="3" t="n">
        <v>3.603839</v>
      </c>
      <c r="AC2187" s="3" t="n">
        <v>5.398717</v>
      </c>
      <c r="AD2187" s="3" t="n">
        <v>4.442805</v>
      </c>
      <c r="AE2187" s="3" t="n">
        <v>3.71155</v>
      </c>
      <c r="AF2187" s="3" t="n">
        <v>2.440307</v>
      </c>
      <c r="AG2187" s="3" t="n">
        <v>2.395851</v>
      </c>
      <c r="AH2187" s="3" t="n">
        <v>2.744109</v>
      </c>
      <c r="AI2187" s="3" t="n">
        <v>3.033067</v>
      </c>
      <c r="AJ2187" s="3" t="n">
        <v>3.143862</v>
      </c>
      <c r="AK2187" s="3" t="n">
        <v>2.996629</v>
      </c>
      <c r="AL2187" s="3" t="n">
        <v>3.006786</v>
      </c>
      <c r="AM2187" s="3" t="n"/>
      <c r="AN2187" s="3" t="n"/>
      <c r="AO2187" s="3" t="n"/>
      <c r="AP2187" s="3" t="n"/>
      <c r="AQ2187" s="3" t="n"/>
      <c r="AR2187" s="3" t="n"/>
      <c r="AS2187" s="3" t="n"/>
      <c r="AT2187" s="3" t="n"/>
      <c r="AU2187" s="3" t="n"/>
    </row>
    <row r="2188">
      <c r="A2188" s="3" t="n">
        <v>2031</v>
      </c>
      <c r="B2188" s="3" t="inlineStr">
        <is>
          <t>NAM</t>
        </is>
      </c>
      <c r="C2188" s="3" t="inlineStr">
        <is>
          <t>IMF.RES:WEO</t>
        </is>
      </c>
      <c r="D2188" s="3" t="inlineStr">
        <is>
          <t>NAM.NGDPD.A</t>
        </is>
      </c>
      <c r="E2188" s="3" t="inlineStr">
        <is>
          <t>Namibia</t>
        </is>
      </c>
      <c r="F2188" s="3" t="inlineStr">
        <is>
          <t>Gross domestic product (GDP), Current prices, US dollar</t>
        </is>
      </c>
      <c r="G2188" s="3" t="n">
        <v>3.941268</v>
      </c>
      <c r="H2188" s="3" t="n">
        <v>3.57743</v>
      </c>
      <c r="I2188" s="3" t="n">
        <v>3.396148</v>
      </c>
      <c r="J2188" s="3" t="n">
        <v>4.97357</v>
      </c>
      <c r="K2188" s="3" t="n">
        <v>6.672927</v>
      </c>
      <c r="L2188" s="3" t="n">
        <v>7.32419</v>
      </c>
      <c r="M2188" s="3" t="n">
        <v>7.711045</v>
      </c>
      <c r="N2188" s="3" t="n">
        <v>8.729692999999999</v>
      </c>
      <c r="O2188" s="3" t="n">
        <v>8.496354999999999</v>
      </c>
      <c r="P2188" s="3" t="n">
        <v>8.914714</v>
      </c>
      <c r="Q2188" s="3" t="n">
        <v>11.280832</v>
      </c>
      <c r="R2188" s="3" t="n">
        <v>12.423346</v>
      </c>
      <c r="S2188" s="3" t="n">
        <v>13.016405</v>
      </c>
      <c r="T2188" s="3" t="n">
        <v>12.167677</v>
      </c>
      <c r="U2188" s="3" t="n">
        <v>12.433581</v>
      </c>
      <c r="V2188" s="3" t="n">
        <v>11.450273</v>
      </c>
      <c r="W2188" s="3" t="n">
        <v>10.718934</v>
      </c>
      <c r="X2188" s="3" t="n">
        <v>12.88305</v>
      </c>
      <c r="Y2188" s="3" t="n">
        <v>13.676361</v>
      </c>
      <c r="Z2188" s="3" t="n">
        <v>12.539165</v>
      </c>
      <c r="AA2188" s="3" t="n">
        <v>10.58333</v>
      </c>
      <c r="AB2188" s="3" t="n">
        <v>12.399277</v>
      </c>
      <c r="AC2188" s="3" t="n">
        <v>12.564346</v>
      </c>
      <c r="AD2188" s="3" t="n">
        <v>12.402148</v>
      </c>
      <c r="AE2188" s="3" t="n">
        <v>13.370039</v>
      </c>
      <c r="AF2188" s="3" t="n">
        <v>14.826229</v>
      </c>
      <c r="AG2188" s="3" t="n">
        <v>17.3136</v>
      </c>
      <c r="AH2188" s="3" t="n">
        <v>18.351005</v>
      </c>
      <c r="AI2188" s="3" t="n">
        <v>19.244452</v>
      </c>
      <c r="AJ2188" s="3" t="n">
        <v>20.309047</v>
      </c>
      <c r="AK2188" s="3" t="n">
        <v>21.366655</v>
      </c>
      <c r="AL2188" s="3" t="n">
        <v>22.449877</v>
      </c>
      <c r="AM2188" s="3" t="n"/>
      <c r="AN2188" s="3" t="n"/>
      <c r="AO2188" s="3" t="n"/>
      <c r="AP2188" s="3" t="n"/>
      <c r="AQ2188" s="3" t="n"/>
      <c r="AR2188" s="3" t="n"/>
      <c r="AS2188" s="3" t="n"/>
      <c r="AT2188" s="3" t="n"/>
      <c r="AU2188" s="3" t="n"/>
    </row>
    <row r="2189">
      <c r="A2189" s="3" t="n">
        <v>2031</v>
      </c>
      <c r="B2189" s="3" t="inlineStr">
        <is>
          <t>NAM</t>
        </is>
      </c>
      <c r="C2189" s="3" t="inlineStr">
        <is>
          <t>IMF.RES:WEO</t>
        </is>
      </c>
      <c r="D2189" s="3" t="inlineStr">
        <is>
          <t>NAM.NGDPPC.A</t>
        </is>
      </c>
      <c r="E2189" s="3" t="inlineStr">
        <is>
          <t>Namibia</t>
        </is>
      </c>
      <c r="F2189" s="3" t="inlineStr">
        <is>
          <t>Gross domestic product (GDP), Current prices, Per capita, Domestic currency</t>
        </is>
      </c>
      <c r="G2189" s="3" t="n">
        <v>15200.775557</v>
      </c>
      <c r="H2189" s="3" t="n">
        <v>16734.261391</v>
      </c>
      <c r="I2189" s="3" t="n">
        <v>19048.752611</v>
      </c>
      <c r="J2189" s="3" t="n">
        <v>19750.417054</v>
      </c>
      <c r="K2189" s="3" t="n">
        <v>22301.660412</v>
      </c>
      <c r="L2189" s="3" t="n">
        <v>23843.712665</v>
      </c>
      <c r="M2189" s="3" t="n">
        <v>26368.599006</v>
      </c>
      <c r="N2189" s="3" t="n">
        <v>30717.219071</v>
      </c>
      <c r="O2189" s="3" t="n">
        <v>34496.971826</v>
      </c>
      <c r="P2189" s="3" t="n">
        <v>36480.835769</v>
      </c>
      <c r="Q2189" s="3" t="n">
        <v>39463.703287</v>
      </c>
      <c r="R2189" s="3" t="n">
        <v>42372.074187</v>
      </c>
      <c r="S2189" s="3" t="n">
        <v>49335.225161</v>
      </c>
      <c r="T2189" s="3" t="n">
        <v>52816.298596</v>
      </c>
      <c r="U2189" s="3" t="n">
        <v>59092.502792</v>
      </c>
      <c r="V2189" s="3" t="n">
        <v>62334.562186</v>
      </c>
      <c r="W2189" s="3" t="n">
        <v>65544.93798800001</v>
      </c>
      <c r="X2189" s="3" t="n">
        <v>69396.193204</v>
      </c>
      <c r="Y2189" s="3" t="n">
        <v>71247.528359</v>
      </c>
      <c r="Z2189" s="3" t="n">
        <v>69342.465952</v>
      </c>
      <c r="AA2189" s="3" t="n">
        <v>64829.420418</v>
      </c>
      <c r="AB2189" s="3" t="n">
        <v>66175.121355</v>
      </c>
      <c r="AC2189" s="3" t="n">
        <v>72102.193648</v>
      </c>
      <c r="AD2189" s="3" t="n">
        <v>78170.733614</v>
      </c>
      <c r="AE2189" s="3" t="n">
        <v>81976.519014</v>
      </c>
      <c r="AF2189" s="3" t="n">
        <v>86989.24277700001</v>
      </c>
      <c r="AG2189" s="3" t="n">
        <v>93068.765476</v>
      </c>
      <c r="AH2189" s="3" t="n">
        <v>98411.379978</v>
      </c>
      <c r="AI2189" s="3" t="n">
        <v>102203.67725</v>
      </c>
      <c r="AJ2189" s="3" t="n">
        <v>106802.881206</v>
      </c>
      <c r="AK2189" s="3" t="n">
        <v>111263.303571</v>
      </c>
      <c r="AL2189" s="3" t="n">
        <v>115763.249473</v>
      </c>
      <c r="AM2189" s="3" t="n"/>
      <c r="AN2189" s="3" t="n"/>
      <c r="AO2189" s="3" t="n"/>
      <c r="AP2189" s="3" t="n"/>
      <c r="AQ2189" s="3" t="n"/>
      <c r="AR2189" s="3" t="n"/>
      <c r="AS2189" s="3" t="n"/>
      <c r="AT2189" s="3" t="n"/>
      <c r="AU2189" s="3" t="n"/>
    </row>
    <row r="2190">
      <c r="A2190" s="3" t="n">
        <v>2031</v>
      </c>
      <c r="B2190" s="3" t="inlineStr">
        <is>
          <t>NAM</t>
        </is>
      </c>
      <c r="C2190" s="3" t="inlineStr">
        <is>
          <t>IMF.RES:WEO</t>
        </is>
      </c>
      <c r="D2190" s="3" t="inlineStr">
        <is>
          <t>NAM.NGDPRPC.A</t>
        </is>
      </c>
      <c r="E2190" s="3" t="inlineStr">
        <is>
          <t>Namibia</t>
        </is>
      </c>
      <c r="F2190" s="3" t="inlineStr">
        <is>
          <t>Gross domestic product (GDP), Constant prices, Per capita, Domestic currency</t>
        </is>
      </c>
      <c r="G2190" s="3" t="n">
        <v>42426.550103</v>
      </c>
      <c r="H2190" s="3" t="n">
        <v>42473.806869</v>
      </c>
      <c r="I2190" s="3" t="n">
        <v>44445.5381</v>
      </c>
      <c r="J2190" s="3" t="n">
        <v>45266.16828</v>
      </c>
      <c r="K2190" s="3" t="n">
        <v>47644.123013</v>
      </c>
      <c r="L2190" s="3" t="n">
        <v>49249.716619</v>
      </c>
      <c r="M2190" s="3" t="n">
        <v>50554.337347</v>
      </c>
      <c r="N2190" s="3" t="n">
        <v>51720.919296</v>
      </c>
      <c r="O2190" s="3" t="n">
        <v>52372.157055</v>
      </c>
      <c r="P2190" s="3" t="n">
        <v>51778.698891</v>
      </c>
      <c r="Q2190" s="3" t="n">
        <v>54084.744857</v>
      </c>
      <c r="R2190" s="3" t="n">
        <v>55942.018104</v>
      </c>
      <c r="S2190" s="3" t="n">
        <v>57702.059227</v>
      </c>
      <c r="T2190" s="3" t="n">
        <v>59374.873394</v>
      </c>
      <c r="U2190" s="3" t="n">
        <v>61376.17668</v>
      </c>
      <c r="V2190" s="3" t="n">
        <v>62334.562388</v>
      </c>
      <c r="W2190" s="3" t="n">
        <v>60707.36724</v>
      </c>
      <c r="X2190" s="3" t="n">
        <v>58474.291667</v>
      </c>
      <c r="Y2190" s="3" t="n">
        <v>57488.390355</v>
      </c>
      <c r="Z2190" s="3" t="n">
        <v>55437.698929</v>
      </c>
      <c r="AA2190" s="3" t="n">
        <v>49535.377325</v>
      </c>
      <c r="AB2190" s="3" t="n">
        <v>49799.523838</v>
      </c>
      <c r="AC2190" s="3" t="n">
        <v>50988.112767</v>
      </c>
      <c r="AD2190" s="3" t="n">
        <v>51857.549645</v>
      </c>
      <c r="AE2190" s="3" t="n">
        <v>52670.396625</v>
      </c>
      <c r="AF2190" s="3" t="n">
        <v>52905.022117</v>
      </c>
      <c r="AG2190" s="3" t="n">
        <v>53170.287761</v>
      </c>
      <c r="AH2190" s="3" t="n">
        <v>53629.680895</v>
      </c>
      <c r="AI2190" s="3" t="n">
        <v>54283.544071</v>
      </c>
      <c r="AJ2190" s="3" t="n">
        <v>55021.220071</v>
      </c>
      <c r="AK2190" s="3" t="n">
        <v>55689.860206</v>
      </c>
      <c r="AL2190" s="3" t="n">
        <v>56372.184856</v>
      </c>
      <c r="AM2190" s="3" t="n"/>
      <c r="AN2190" s="3" t="n"/>
      <c r="AO2190" s="3" t="n"/>
      <c r="AP2190" s="3" t="n"/>
      <c r="AQ2190" s="3" t="n"/>
      <c r="AR2190" s="3" t="n"/>
      <c r="AS2190" s="3" t="n"/>
      <c r="AT2190" s="3" t="n"/>
      <c r="AU2190" s="3" t="n"/>
    </row>
    <row r="2191">
      <c r="A2191" s="3" t="n">
        <v>2031</v>
      </c>
      <c r="B2191" s="3" t="inlineStr">
        <is>
          <t>NAM</t>
        </is>
      </c>
      <c r="C2191" s="3" t="inlineStr">
        <is>
          <t>IMF.RES:WEO</t>
        </is>
      </c>
      <c r="D2191" s="3" t="inlineStr">
        <is>
          <t>NAM.PCPI.A</t>
        </is>
      </c>
      <c r="E2191" s="3" t="inlineStr">
        <is>
          <t>Namibia</t>
        </is>
      </c>
      <c r="F2191" s="3" t="inlineStr">
        <is>
          <t>All Items, Consumer price index (CPI), Period average</t>
        </is>
      </c>
      <c r="G2191" s="3" t="n">
        <v>43.838471</v>
      </c>
      <c r="H2191" s="3" t="n">
        <v>48.315271</v>
      </c>
      <c r="I2191" s="3" t="n">
        <v>54.459206</v>
      </c>
      <c r="J2191" s="3" t="n">
        <v>58.388524</v>
      </c>
      <c r="K2191" s="3" t="n">
        <v>60.803842</v>
      </c>
      <c r="L2191" s="3" t="n">
        <v>62.191353</v>
      </c>
      <c r="M2191" s="3" t="n">
        <v>65.27677</v>
      </c>
      <c r="N2191" s="3" t="n">
        <v>69.551016</v>
      </c>
      <c r="O2191" s="3" t="n">
        <v>75.87643199999999</v>
      </c>
      <c r="P2191" s="3" t="n">
        <v>83.04806499999999</v>
      </c>
      <c r="Q2191" s="3" t="n">
        <v>87.096592</v>
      </c>
      <c r="R2191" s="3" t="n">
        <v>91.456295</v>
      </c>
      <c r="S2191" s="3" t="n">
        <v>97.60398499999999</v>
      </c>
      <c r="T2191" s="3" t="n">
        <v>103.070711</v>
      </c>
      <c r="U2191" s="3" t="n">
        <v>108.583361</v>
      </c>
      <c r="V2191" s="3" t="n">
        <v>112.270566</v>
      </c>
      <c r="W2191" s="3" t="n">
        <v>119.823122</v>
      </c>
      <c r="X2191" s="3" t="n">
        <v>127.188975</v>
      </c>
      <c r="Y2191" s="3" t="n">
        <v>132.650011</v>
      </c>
      <c r="Z2191" s="3" t="n">
        <v>137.58596</v>
      </c>
      <c r="AA2191" s="3" t="n">
        <v>140.625528</v>
      </c>
      <c r="AB2191" s="3" t="n">
        <v>145.71657</v>
      </c>
      <c r="AC2191" s="3" t="n">
        <v>154.571344</v>
      </c>
      <c r="AD2191" s="3" t="n">
        <v>163.659464</v>
      </c>
      <c r="AE2191" s="3" t="n">
        <v>170.598612</v>
      </c>
      <c r="AF2191" s="3" t="n">
        <v>176.587895</v>
      </c>
      <c r="AG2191" s="3" t="n">
        <v>183.523903</v>
      </c>
      <c r="AH2191" s="3" t="n">
        <v>189.765406</v>
      </c>
      <c r="AI2191" s="3" t="n">
        <v>195.461102</v>
      </c>
      <c r="AJ2191" s="3" t="n">
        <v>201.324935</v>
      </c>
      <c r="AK2191" s="3" t="n">
        <v>207.364684</v>
      </c>
      <c r="AL2191" s="3" t="n">
        <v>213.585624</v>
      </c>
      <c r="AM2191" s="3" t="n"/>
      <c r="AN2191" s="3" t="n"/>
      <c r="AO2191" s="3" t="n"/>
      <c r="AP2191" s="3" t="n"/>
      <c r="AQ2191" s="3" t="n"/>
      <c r="AR2191" s="3" t="n"/>
      <c r="AS2191" s="3" t="n"/>
      <c r="AT2191" s="3" t="n"/>
      <c r="AU2191" s="3" t="n"/>
    </row>
    <row r="2192">
      <c r="A2192" s="3" t="n">
        <v>2031</v>
      </c>
      <c r="B2192" s="3" t="inlineStr">
        <is>
          <t>NAM</t>
        </is>
      </c>
      <c r="C2192" s="3" t="inlineStr">
        <is>
          <t>IMF.RES:WEO</t>
        </is>
      </c>
      <c r="D2192" s="3" t="inlineStr">
        <is>
          <t>NAM.PCPIPCH.A</t>
        </is>
      </c>
      <c r="E2192" s="3" t="inlineStr">
        <is>
          <t>Namibia</t>
        </is>
      </c>
      <c r="F2192" s="3" t="inlineStr">
        <is>
          <t>All Items, Consumer price index (CPI), Period average, percent change</t>
        </is>
      </c>
      <c r="G2192" s="3" t="n">
        <v>10.214849</v>
      </c>
      <c r="H2192" s="3" t="n">
        <v>10.212036</v>
      </c>
      <c r="I2192" s="3" t="n">
        <v>12.716342</v>
      </c>
      <c r="J2192" s="3" t="n">
        <v>7.215159</v>
      </c>
      <c r="K2192" s="3" t="n">
        <v>4.136632</v>
      </c>
      <c r="L2192" s="3" t="n">
        <v>2.281946</v>
      </c>
      <c r="M2192" s="3" t="n">
        <v>4.961167</v>
      </c>
      <c r="N2192" s="3" t="n">
        <v>6.547881</v>
      </c>
      <c r="O2192" s="3" t="n">
        <v>9.094643</v>
      </c>
      <c r="P2192" s="3" t="n">
        <v>9.451727</v>
      </c>
      <c r="Q2192" s="3" t="n">
        <v>4.87492</v>
      </c>
      <c r="R2192" s="3" t="n">
        <v>5.005595</v>
      </c>
      <c r="S2192" s="3" t="n">
        <v>6.721998</v>
      </c>
      <c r="T2192" s="3" t="n">
        <v>5.600925</v>
      </c>
      <c r="U2192" s="3" t="n">
        <v>5.348416</v>
      </c>
      <c r="V2192" s="3" t="n">
        <v>3.395736</v>
      </c>
      <c r="W2192" s="3" t="n">
        <v>6.727102</v>
      </c>
      <c r="X2192" s="3" t="n">
        <v>6.147272</v>
      </c>
      <c r="Y2192" s="3" t="n">
        <v>4.29364</v>
      </c>
      <c r="Z2192" s="3" t="n">
        <v>3.721031</v>
      </c>
      <c r="AA2192" s="3" t="n">
        <v>2.209214</v>
      </c>
      <c r="AB2192" s="3" t="n">
        <v>3.620283</v>
      </c>
      <c r="AC2192" s="3" t="n">
        <v>6.07671</v>
      </c>
      <c r="AD2192" s="3" t="n">
        <v>5.879563</v>
      </c>
      <c r="AE2192" s="3" t="n">
        <v>4.239992</v>
      </c>
      <c r="AF2192" s="3" t="n">
        <v>3.510745</v>
      </c>
      <c r="AG2192" s="3" t="n">
        <v>3.927794</v>
      </c>
      <c r="AH2192" s="3" t="n">
        <v>3.400921</v>
      </c>
      <c r="AI2192" s="3" t="n">
        <v>3.001441</v>
      </c>
      <c r="AJ2192" s="3" t="n">
        <v>3</v>
      </c>
      <c r="AK2192" s="3" t="n">
        <v>3</v>
      </c>
      <c r="AL2192" s="3" t="n">
        <v>3</v>
      </c>
      <c r="AM2192" s="3" t="n"/>
      <c r="AN2192" s="3" t="n"/>
      <c r="AO2192" s="3" t="n"/>
      <c r="AP2192" s="3" t="n"/>
      <c r="AQ2192" s="3" t="n"/>
      <c r="AR2192" s="3" t="n"/>
      <c r="AS2192" s="3" t="n"/>
      <c r="AT2192" s="3" t="n"/>
      <c r="AU2192" s="3" t="n"/>
    </row>
    <row r="2193">
      <c r="A2193" s="3" t="n">
        <v>2031</v>
      </c>
      <c r="B2193" s="3" t="inlineStr">
        <is>
          <t>NAM</t>
        </is>
      </c>
      <c r="C2193" s="3" t="inlineStr">
        <is>
          <t>IMF.RES:WEO</t>
        </is>
      </c>
      <c r="D2193" s="3" t="inlineStr">
        <is>
          <t>NAM.PPPPC.A</t>
        </is>
      </c>
      <c r="E2193" s="3" t="inlineStr">
        <is>
          <t>Namibia</t>
        </is>
      </c>
      <c r="F2193" s="3" t="inlineStr">
        <is>
          <t>Gross domestic product (GDP), Per capita, purchasing power parity (PPP) international dollar, ICP benchmarks 2017-2021</t>
        </is>
      </c>
      <c r="G2193" s="3" t="n">
        <v>5290.16383</v>
      </c>
      <c r="H2193" s="3" t="n">
        <v>5415.303355</v>
      </c>
      <c r="I2193" s="3" t="n">
        <v>5754.756572</v>
      </c>
      <c r="J2193" s="3" t="n">
        <v>5976.719809</v>
      </c>
      <c r="K2193" s="3" t="n">
        <v>6459.842393</v>
      </c>
      <c r="L2193" s="3" t="n">
        <v>6886.932881</v>
      </c>
      <c r="M2193" s="3" t="n">
        <v>7287.37809</v>
      </c>
      <c r="N2193" s="3" t="n">
        <v>7657.530914</v>
      </c>
      <c r="O2193" s="3" t="n">
        <v>7903.322759</v>
      </c>
      <c r="P2193" s="3" t="n">
        <v>7861.956565</v>
      </c>
      <c r="Q2193" s="3" t="n">
        <v>8311.908982999999</v>
      </c>
      <c r="R2193" s="3" t="n">
        <v>8774.724902</v>
      </c>
      <c r="S2193" s="3" t="n">
        <v>9219.313899000001</v>
      </c>
      <c r="T2193" s="3" t="n">
        <v>9648.049011999999</v>
      </c>
      <c r="U2193" s="3" t="n">
        <v>10146.953943</v>
      </c>
      <c r="V2193" s="3" t="n">
        <v>10401.037664</v>
      </c>
      <c r="W2193" s="3" t="n">
        <v>10225.779836</v>
      </c>
      <c r="X2193" s="3" t="n">
        <v>10026.028131</v>
      </c>
      <c r="Y2193" s="3" t="n">
        <v>9993.113062</v>
      </c>
      <c r="Z2193" s="3" t="n">
        <v>9746.353865999999</v>
      </c>
      <c r="AA2193" s="3" t="n">
        <v>9496.984469000001</v>
      </c>
      <c r="AB2193" s="3" t="n">
        <v>9851.910228000001</v>
      </c>
      <c r="AC2193" s="3" t="n">
        <v>10804.483249</v>
      </c>
      <c r="AD2193" s="3" t="n">
        <v>11395.304923</v>
      </c>
      <c r="AE2193" s="3" t="n">
        <v>11861.249706</v>
      </c>
      <c r="AF2193" s="3" t="n">
        <v>12252.061644</v>
      </c>
      <c r="AG2193" s="3" t="n">
        <v>12666.256668</v>
      </c>
      <c r="AH2193" s="3" t="n">
        <v>13056.23528</v>
      </c>
      <c r="AI2193" s="3" t="n">
        <v>13432.336002</v>
      </c>
      <c r="AJ2193" s="3" t="n">
        <v>13856.959409</v>
      </c>
      <c r="AK2193" s="3" t="n">
        <v>14283.074446</v>
      </c>
      <c r="AL2193" s="3" t="n">
        <v>14719.085743</v>
      </c>
      <c r="AM2193" s="3" t="n"/>
      <c r="AN2193" s="3" t="n"/>
      <c r="AO2193" s="3" t="n"/>
      <c r="AP2193" s="3" t="n"/>
      <c r="AQ2193" s="3" t="n"/>
      <c r="AR2193" s="3" t="n"/>
      <c r="AS2193" s="3" t="n"/>
      <c r="AT2193" s="3" t="n"/>
      <c r="AU2193" s="3" t="n"/>
    </row>
    <row r="2194">
      <c r="A2194" s="3" t="n">
        <v>2025</v>
      </c>
      <c r="B2194" s="3" t="inlineStr">
        <is>
          <t>NAM</t>
        </is>
      </c>
      <c r="C2194" s="3" t="inlineStr">
        <is>
          <t>IMF.STA:ER</t>
        </is>
      </c>
      <c r="D2194" s="3" t="inlineStr">
        <is>
          <t>NAM.XDC_USD.PA_RT.A</t>
        </is>
      </c>
      <c r="E2194" s="3" t="inlineStr">
        <is>
          <t>Namibia</t>
        </is>
      </c>
      <c r="F2194" s="3" t="inlineStr">
        <is>
          <t>Domestic currency per US Dollar</t>
        </is>
      </c>
      <c r="G2194" s="3" t="n">
        <v>6.93982833333333</v>
      </c>
      <c r="H2194" s="3" t="n">
        <v>8.60918083333333</v>
      </c>
      <c r="I2194" s="3" t="n">
        <v>10.5407466666666</v>
      </c>
      <c r="J2194" s="3" t="n">
        <v>7.56474916666666</v>
      </c>
      <c r="K2194" s="3" t="n">
        <v>6.4596925</v>
      </c>
      <c r="L2194" s="3" t="n">
        <v>6.37711666666666</v>
      </c>
      <c r="M2194" s="3" t="n">
        <v>6.76715</v>
      </c>
      <c r="N2194" s="3" t="n">
        <v>7.05439166666666</v>
      </c>
      <c r="O2194" s="3" t="n">
        <v>8.251741666666661</v>
      </c>
      <c r="P2194" s="3" t="n">
        <v>8.52281983333333</v>
      </c>
      <c r="Q2194" s="3" t="n">
        <v>7.33025</v>
      </c>
      <c r="R2194" s="3" t="n">
        <v>7.300025</v>
      </c>
      <c r="S2194" s="3" t="n">
        <v>8.19377083333333</v>
      </c>
      <c r="T2194" s="3" t="n">
        <v>9.750075000000001</v>
      </c>
      <c r="U2194" s="3" t="n">
        <v>10.8428875</v>
      </c>
      <c r="V2194" s="3" t="n">
        <v>12.8819208333333</v>
      </c>
      <c r="W2194" s="3" t="n">
        <v>14.7087666666666</v>
      </c>
      <c r="X2194" s="3" t="n">
        <v>13.3129</v>
      </c>
      <c r="Y2194" s="3" t="n">
        <v>13.2339416666666</v>
      </c>
      <c r="Z2194" s="3" t="n">
        <v>14.4486904166666</v>
      </c>
      <c r="AA2194" s="3" t="n">
        <v>16.4632666666666</v>
      </c>
      <c r="AB2194" s="3" t="n">
        <v>14.778675</v>
      </c>
      <c r="AC2194" s="3" t="n">
        <v>16.3558583333333</v>
      </c>
      <c r="AD2194" s="3" t="n">
        <v>18.4463083333333</v>
      </c>
      <c r="AE2194" s="3" t="n">
        <v>18.3286583333333</v>
      </c>
      <c r="AF2194" s="3" t="n">
        <v>17.8887333333333</v>
      </c>
      <c r="AG2194" s="3" t="n"/>
      <c r="AH2194" s="3" t="n"/>
      <c r="AI2194" s="3" t="n"/>
      <c r="AJ2194" s="3" t="n"/>
      <c r="AK2194" s="3" t="n"/>
      <c r="AL2194" s="3" t="n"/>
      <c r="AM2194" s="3" t="n"/>
      <c r="AN2194" s="3" t="n"/>
      <c r="AO2194" s="3" t="n"/>
      <c r="AP2194" s="3" t="n"/>
      <c r="AQ2194" s="3" t="n"/>
      <c r="AR2194" s="3" t="n"/>
      <c r="AS2194" s="3" t="n"/>
      <c r="AT2194" s="3" t="n"/>
      <c r="AU2194" s="3" t="n"/>
    </row>
    <row r="2195">
      <c r="A2195" s="3" t="n">
        <v>2025</v>
      </c>
      <c r="B2195" s="3" t="inlineStr">
        <is>
          <t>NCL</t>
        </is>
      </c>
      <c r="C2195" s="3" t="inlineStr">
        <is>
          <t>IMF.STA:ER</t>
        </is>
      </c>
      <c r="D2195" s="3" t="inlineStr">
        <is>
          <t>NCL.XDC_USD.PA_RT.A</t>
        </is>
      </c>
      <c r="E2195" s="3" t="inlineStr">
        <is>
          <t>New Caledonia</t>
        </is>
      </c>
      <c r="F2195" s="3" t="inlineStr">
        <is>
          <t>Domestic currency per US Dollar</t>
        </is>
      </c>
      <c r="G2195" s="3" t="n">
        <v>129.201037953271</v>
      </c>
      <c r="H2195" s="3" t="n">
        <v>133.237791216225</v>
      </c>
      <c r="I2195" s="3" t="n">
        <v>126.200312871571</v>
      </c>
      <c r="J2195" s="3" t="n">
        <v>105.494942032458</v>
      </c>
      <c r="K2195" s="3" t="n">
        <v>95.9333368925229</v>
      </c>
      <c r="L2195" s="3" t="n">
        <v>95.9188433909485</v>
      </c>
      <c r="M2195" s="3" t="n">
        <v>95.03967171979821</v>
      </c>
      <c r="N2195" s="3" t="n">
        <v>87.0730479331812</v>
      </c>
      <c r="O2195" s="3" t="n">
        <v>81.1363292780549</v>
      </c>
      <c r="P2195" s="3" t="n">
        <v>85.5557814096789</v>
      </c>
      <c r="Q2195" s="3" t="n">
        <v>90.0129741146296</v>
      </c>
      <c r="R2195" s="3" t="n">
        <v>85.7295518299287</v>
      </c>
      <c r="S2195" s="3" t="n">
        <v>92.88041108414291</v>
      </c>
      <c r="T2195" s="3" t="n">
        <v>89.85022149873851</v>
      </c>
      <c r="U2195" s="3" t="n">
        <v>89.82433537790089</v>
      </c>
      <c r="V2195" s="3" t="n">
        <v>107.553234404315</v>
      </c>
      <c r="W2195" s="3" t="n">
        <v>107.806815805024</v>
      </c>
      <c r="X2195" s="3" t="n">
        <v>105.633078151149</v>
      </c>
      <c r="Y2195" s="3" t="n">
        <v>101.046821879543</v>
      </c>
      <c r="Z2195" s="3" t="n">
        <v>106.588933804405</v>
      </c>
      <c r="AA2195" s="3" t="n">
        <v>104.710608186968</v>
      </c>
      <c r="AB2195" s="3" t="n">
        <v>100.880222566186</v>
      </c>
      <c r="AC2195" s="3" t="n">
        <v>113.474367224106</v>
      </c>
      <c r="AD2195" s="3" t="n">
        <v>110.34717131744</v>
      </c>
      <c r="AE2195" s="3" t="n">
        <v>110.306338907421</v>
      </c>
      <c r="AF2195" s="3" t="n">
        <v>105.864431541947</v>
      </c>
      <c r="AG2195" s="3" t="n"/>
      <c r="AH2195" s="3" t="n"/>
      <c r="AI2195" s="3" t="n"/>
      <c r="AJ2195" s="3" t="n"/>
      <c r="AK2195" s="3" t="n"/>
      <c r="AL2195" s="3" t="n"/>
      <c r="AM2195" s="3" t="n"/>
      <c r="AN2195" s="3" t="n"/>
      <c r="AO2195" s="3" t="n"/>
      <c r="AP2195" s="3" t="n"/>
      <c r="AQ2195" s="3" t="n"/>
      <c r="AR2195" s="3" t="n"/>
      <c r="AS2195" s="3" t="n"/>
      <c r="AT2195" s="3" t="n"/>
      <c r="AU2195" s="3" t="n"/>
    </row>
    <row r="2196">
      <c r="A2196" s="3" t="n">
        <v>2031</v>
      </c>
      <c r="B2196" s="3" t="inlineStr">
        <is>
          <t>NER</t>
        </is>
      </c>
      <c r="C2196" s="3" t="inlineStr">
        <is>
          <t>IMF.RES:WEO</t>
        </is>
      </c>
      <c r="D2196" s="3" t="inlineStr">
        <is>
          <t>NER.BCA.A</t>
        </is>
      </c>
      <c r="E2196" s="3" t="inlineStr">
        <is>
          <t>Niger</t>
        </is>
      </c>
      <c r="F2196" s="3" t="inlineStr">
        <is>
          <t>Current account balance (credit less debit), US dollar</t>
        </is>
      </c>
      <c r="G2196" s="3" t="n">
        <v>-0.104393</v>
      </c>
      <c r="H2196" s="3" t="n">
        <v>-0.09234199999999999</v>
      </c>
      <c r="I2196" s="3" t="n">
        <v>-0.165567</v>
      </c>
      <c r="J2196" s="3" t="n">
        <v>-0.219173</v>
      </c>
      <c r="K2196" s="3" t="n">
        <v>-0.231275</v>
      </c>
      <c r="L2196" s="3" t="n">
        <v>-0.311635</v>
      </c>
      <c r="M2196" s="3" t="n">
        <v>-0.314006</v>
      </c>
      <c r="N2196" s="3" t="n">
        <v>-0.35173</v>
      </c>
      <c r="O2196" s="3" t="n">
        <v>-0.654078</v>
      </c>
      <c r="P2196" s="3" t="n">
        <v>-1.32537</v>
      </c>
      <c r="Q2196" s="3" t="n">
        <v>-1.137081</v>
      </c>
      <c r="R2196" s="3" t="n">
        <v>-1.432934</v>
      </c>
      <c r="S2196" s="3" t="n">
        <v>-1.02163</v>
      </c>
      <c r="T2196" s="3" t="n">
        <v>-1.1506</v>
      </c>
      <c r="U2196" s="3" t="n">
        <v>-1.306931</v>
      </c>
      <c r="V2196" s="3" t="n">
        <v>-1.486216</v>
      </c>
      <c r="W2196" s="3" t="n">
        <v>-1.18166</v>
      </c>
      <c r="X2196" s="3" t="n">
        <v>-1.274369</v>
      </c>
      <c r="Y2196" s="3" t="n">
        <v>-1.625024</v>
      </c>
      <c r="Z2196" s="3" t="n">
        <v>-1.57244</v>
      </c>
      <c r="AA2196" s="3" t="n">
        <v>-1.815734</v>
      </c>
      <c r="AB2196" s="3" t="n">
        <v>-2.099092</v>
      </c>
      <c r="AC2196" s="3" t="n">
        <v>-2.500089</v>
      </c>
      <c r="AD2196" s="3" t="n">
        <v>-2.332754</v>
      </c>
      <c r="AE2196" s="3" t="n">
        <v>-1.117928</v>
      </c>
      <c r="AF2196" s="3" t="n">
        <v>-1.090203</v>
      </c>
      <c r="AG2196" s="3" t="n">
        <v>-1.522663</v>
      </c>
      <c r="AH2196" s="3" t="n">
        <v>-1.064036</v>
      </c>
      <c r="AI2196" s="3" t="n">
        <v>-1.034073</v>
      </c>
      <c r="AJ2196" s="3" t="n">
        <v>-0.929308</v>
      </c>
      <c r="AK2196" s="3" t="n">
        <v>-0.856877</v>
      </c>
      <c r="AL2196" s="3" t="n">
        <v>-0.738159</v>
      </c>
      <c r="AM2196" s="3" t="n"/>
      <c r="AN2196" s="3" t="n"/>
      <c r="AO2196" s="3" t="n"/>
      <c r="AP2196" s="3" t="n"/>
      <c r="AQ2196" s="3" t="n"/>
      <c r="AR2196" s="3" t="n"/>
      <c r="AS2196" s="3" t="n"/>
      <c r="AT2196" s="3" t="n"/>
      <c r="AU2196" s="3" t="n"/>
    </row>
    <row r="2197">
      <c r="A2197" s="3" t="n">
        <v>2031</v>
      </c>
      <c r="B2197" s="3" t="inlineStr">
        <is>
          <t>NER</t>
        </is>
      </c>
      <c r="C2197" s="3" t="inlineStr">
        <is>
          <t>IMF.RES:WEO</t>
        </is>
      </c>
      <c r="D2197" s="3" t="inlineStr">
        <is>
          <t>NER.BCA_NGDPD.A</t>
        </is>
      </c>
      <c r="E2197" s="3" t="inlineStr">
        <is>
          <t>Niger</t>
        </is>
      </c>
      <c r="F2197" s="3" t="inlineStr">
        <is>
          <t>Current account balance (credit less debit), Percent of GDP</t>
        </is>
      </c>
      <c r="G2197" s="3" t="n">
        <v>-4.669941</v>
      </c>
      <c r="H2197" s="3" t="n">
        <v>-3.782069</v>
      </c>
      <c r="I2197" s="3" t="n">
        <v>-5.97219</v>
      </c>
      <c r="J2197" s="3" t="n">
        <v>-6.480194</v>
      </c>
      <c r="K2197" s="3" t="n">
        <v>-6.173914</v>
      </c>
      <c r="L2197" s="3" t="n">
        <v>-7.127267</v>
      </c>
      <c r="M2197" s="3" t="n">
        <v>-6.620444</v>
      </c>
      <c r="N2197" s="3" t="n">
        <v>-6.153001</v>
      </c>
      <c r="O2197" s="3" t="n">
        <v>-8.986037</v>
      </c>
      <c r="P2197" s="3" t="n">
        <v>-18.09678</v>
      </c>
      <c r="Q2197" s="3" t="n">
        <v>-14.507403</v>
      </c>
      <c r="R2197" s="3" t="n">
        <v>-16.36884</v>
      </c>
      <c r="S2197" s="3" t="n">
        <v>-10.854258</v>
      </c>
      <c r="T2197" s="3" t="n">
        <v>-11.273579</v>
      </c>
      <c r="U2197" s="3" t="n">
        <v>-12.067621</v>
      </c>
      <c r="V2197" s="3" t="n">
        <v>-15.346709</v>
      </c>
      <c r="W2197" s="3" t="n">
        <v>-11.41654</v>
      </c>
      <c r="X2197" s="3" t="n">
        <v>-11.397477</v>
      </c>
      <c r="Y2197" s="3" t="n">
        <v>-12.681153</v>
      </c>
      <c r="Z2197" s="3" t="n">
        <v>-12.173403</v>
      </c>
      <c r="AA2197" s="3" t="n">
        <v>-13.191855</v>
      </c>
      <c r="AB2197" s="3" t="n">
        <v>-14.06641</v>
      </c>
      <c r="AC2197" s="3" t="n">
        <v>-16.173715</v>
      </c>
      <c r="AD2197" s="3" t="n">
        <v>-13.877839</v>
      </c>
      <c r="AE2197" s="3" t="n">
        <v>-5.627446</v>
      </c>
      <c r="AF2197" s="3" t="n">
        <v>-4.992764</v>
      </c>
      <c r="AG2197" s="3" t="n">
        <v>-6.136588</v>
      </c>
      <c r="AH2197" s="3" t="n">
        <v>-3.951356</v>
      </c>
      <c r="AI2197" s="3" t="n">
        <v>-3.561017</v>
      </c>
      <c r="AJ2197" s="3" t="n">
        <v>-2.961469</v>
      </c>
      <c r="AK2197" s="3" t="n">
        <v>-2.526603</v>
      </c>
      <c r="AL2197" s="3" t="n">
        <v>-2.014283</v>
      </c>
      <c r="AM2197" s="3" t="n"/>
      <c r="AN2197" s="3" t="n"/>
      <c r="AO2197" s="3" t="n"/>
      <c r="AP2197" s="3" t="n"/>
      <c r="AQ2197" s="3" t="n"/>
      <c r="AR2197" s="3" t="n"/>
      <c r="AS2197" s="3" t="n"/>
      <c r="AT2197" s="3" t="n"/>
      <c r="AU2197" s="3" t="n"/>
    </row>
    <row r="2198">
      <c r="A2198" s="3" t="n">
        <v>2031</v>
      </c>
      <c r="B2198" s="3" t="inlineStr">
        <is>
          <t>NER</t>
        </is>
      </c>
      <c r="C2198" s="3" t="inlineStr">
        <is>
          <t>IMF.RES:WEO</t>
        </is>
      </c>
      <c r="D2198" s="3" t="inlineStr">
        <is>
          <t>NER.GGR_NGDP.A</t>
        </is>
      </c>
      <c r="E2198" s="3" t="inlineStr">
        <is>
          <t>Niger</t>
        </is>
      </c>
      <c r="F2198" s="3" t="inlineStr">
        <is>
          <t>Revenue, General government, Percent of GDP</t>
        </is>
      </c>
      <c r="G2198" s="3" t="n">
        <v>10.675118</v>
      </c>
      <c r="H2198" s="3" t="n">
        <v>11.144555</v>
      </c>
      <c r="I2198" s="3" t="n">
        <v>12.23589</v>
      </c>
      <c r="J2198" s="3" t="n">
        <v>11.861427</v>
      </c>
      <c r="K2198" s="3" t="n">
        <v>13.307661</v>
      </c>
      <c r="L2198" s="3" t="n">
        <v>14.023668</v>
      </c>
      <c r="M2198" s="3" t="n">
        <v>46.242347</v>
      </c>
      <c r="N2198" s="3" t="n">
        <v>16.650516</v>
      </c>
      <c r="O2198" s="3" t="n">
        <v>17.985306</v>
      </c>
      <c r="P2198" s="3" t="n">
        <v>13.760721</v>
      </c>
      <c r="Q2198" s="3" t="n">
        <v>13.309351</v>
      </c>
      <c r="R2198" s="3" t="n">
        <v>13.135615</v>
      </c>
      <c r="S2198" s="3" t="n">
        <v>15.811152</v>
      </c>
      <c r="T2198" s="3" t="n">
        <v>18.515843</v>
      </c>
      <c r="U2198" s="3" t="n">
        <v>17.514037</v>
      </c>
      <c r="V2198" s="3" t="n">
        <v>17.49099</v>
      </c>
      <c r="W2198" s="3" t="n">
        <v>14.898079</v>
      </c>
      <c r="X2198" s="3" t="n">
        <v>15.392571</v>
      </c>
      <c r="Y2198" s="3" t="n">
        <v>18.150466</v>
      </c>
      <c r="Z2198" s="3" t="n">
        <v>18.003605</v>
      </c>
      <c r="AA2198" s="3" t="n">
        <v>17.549967</v>
      </c>
      <c r="AB2198" s="3" t="n">
        <v>18.160877</v>
      </c>
      <c r="AC2198" s="3" t="n">
        <v>14.801822</v>
      </c>
      <c r="AD2198" s="3" t="n">
        <v>10.429918</v>
      </c>
      <c r="AE2198" s="3" t="n">
        <v>9.156378</v>
      </c>
      <c r="AF2198" s="3" t="n">
        <v>11.503255</v>
      </c>
      <c r="AG2198" s="3" t="n">
        <v>11.744999</v>
      </c>
      <c r="AH2198" s="3" t="n">
        <v>12.06614</v>
      </c>
      <c r="AI2198" s="3" t="n">
        <v>12.13197</v>
      </c>
      <c r="AJ2198" s="3" t="n">
        <v>11.978143</v>
      </c>
      <c r="AK2198" s="3" t="n">
        <v>11.925407</v>
      </c>
      <c r="AL2198" s="3" t="n">
        <v>12.118128</v>
      </c>
      <c r="AM2198" s="3" t="n"/>
      <c r="AN2198" s="3" t="n"/>
      <c r="AO2198" s="3" t="n"/>
      <c r="AP2198" s="3" t="n"/>
      <c r="AQ2198" s="3" t="n"/>
      <c r="AR2198" s="3" t="n"/>
      <c r="AS2198" s="3" t="n"/>
      <c r="AT2198" s="3" t="n"/>
      <c r="AU2198" s="3" t="n"/>
    </row>
    <row r="2199">
      <c r="A2199" s="3" t="n">
        <v>2031</v>
      </c>
      <c r="B2199" s="3" t="inlineStr">
        <is>
          <t>NER</t>
        </is>
      </c>
      <c r="C2199" s="3" t="inlineStr">
        <is>
          <t>IMF.RES:WEO</t>
        </is>
      </c>
      <c r="D2199" s="3" t="inlineStr">
        <is>
          <t>NER.GGX_NGDP.A</t>
        </is>
      </c>
      <c r="E2199" s="3" t="inlineStr">
        <is>
          <t>Niger</t>
        </is>
      </c>
      <c r="F2199" s="3" t="inlineStr">
        <is>
          <t>Expenditure, General government, Percent of GDP</t>
        </is>
      </c>
      <c r="G2199" s="3" t="n">
        <v>13.503387</v>
      </c>
      <c r="H2199" s="3" t="n">
        <v>13.732498</v>
      </c>
      <c r="I2199" s="3" t="n">
        <v>14.449112</v>
      </c>
      <c r="J2199" s="3" t="n">
        <v>14.036192</v>
      </c>
      <c r="K2199" s="3" t="n">
        <v>16.071253</v>
      </c>
      <c r="L2199" s="3" t="n">
        <v>15.551284</v>
      </c>
      <c r="M2199" s="3" t="n">
        <v>15.197255</v>
      </c>
      <c r="N2199" s="3" t="n">
        <v>17.397184</v>
      </c>
      <c r="O2199" s="3" t="n">
        <v>16.874504</v>
      </c>
      <c r="P2199" s="3" t="n">
        <v>17.687507</v>
      </c>
      <c r="Q2199" s="3" t="n">
        <v>14.294549</v>
      </c>
      <c r="R2199" s="3" t="n">
        <v>15.32936</v>
      </c>
      <c r="S2199" s="3" t="n">
        <v>16.641312</v>
      </c>
      <c r="T2199" s="3" t="n">
        <v>20.448201</v>
      </c>
      <c r="U2199" s="3" t="n">
        <v>23.63868</v>
      </c>
      <c r="V2199" s="3" t="n">
        <v>24.237842</v>
      </c>
      <c r="W2199" s="3" t="n">
        <v>19.361605</v>
      </c>
      <c r="X2199" s="3" t="n">
        <v>19.509278</v>
      </c>
      <c r="Y2199" s="3" t="n">
        <v>21.158435</v>
      </c>
      <c r="Z2199" s="3" t="n">
        <v>21.561763</v>
      </c>
      <c r="AA2199" s="3" t="n">
        <v>22.366362</v>
      </c>
      <c r="AB2199" s="3" t="n">
        <v>24.260087</v>
      </c>
      <c r="AC2199" s="3" t="n">
        <v>21.573828</v>
      </c>
      <c r="AD2199" s="3" t="n">
        <v>15.803817</v>
      </c>
      <c r="AE2199" s="3" t="n">
        <v>13.423237</v>
      </c>
      <c r="AF2199" s="3" t="n">
        <v>14.786855</v>
      </c>
      <c r="AG2199" s="3" t="n">
        <v>15.397156</v>
      </c>
      <c r="AH2199" s="3" t="n">
        <v>15.050833</v>
      </c>
      <c r="AI2199" s="3" t="n">
        <v>15.125028</v>
      </c>
      <c r="AJ2199" s="3" t="n">
        <v>14.978143</v>
      </c>
      <c r="AK2199" s="3" t="n">
        <v>14.96369</v>
      </c>
      <c r="AL2199" s="3" t="n">
        <v>15.163515</v>
      </c>
      <c r="AM2199" s="3" t="n"/>
      <c r="AN2199" s="3" t="n"/>
      <c r="AO2199" s="3" t="n"/>
      <c r="AP2199" s="3" t="n"/>
      <c r="AQ2199" s="3" t="n"/>
      <c r="AR2199" s="3" t="n"/>
      <c r="AS2199" s="3" t="n"/>
      <c r="AT2199" s="3" t="n"/>
      <c r="AU2199" s="3" t="n"/>
    </row>
    <row r="2200">
      <c r="A2200" s="3" t="n">
        <v>2031</v>
      </c>
      <c r="B2200" s="3" t="inlineStr">
        <is>
          <t>NER</t>
        </is>
      </c>
      <c r="C2200" s="3" t="inlineStr">
        <is>
          <t>IMF.RES:WEO</t>
        </is>
      </c>
      <c r="D2200" s="3" t="inlineStr">
        <is>
          <t>NER.LP.A</t>
        </is>
      </c>
      <c r="E2200" s="3" t="inlineStr">
        <is>
          <t>Niger</t>
        </is>
      </c>
      <c r="F2200" s="3" t="inlineStr">
        <is>
          <t>Population, Persons for countries / Index for country groups</t>
        </is>
      </c>
      <c r="G2200" s="3" t="n">
        <v>11.331557</v>
      </c>
      <c r="H2200" s="3" t="n">
        <v>11.751365</v>
      </c>
      <c r="I2200" s="3" t="n">
        <v>12.189983</v>
      </c>
      <c r="J2200" s="3" t="n">
        <v>12.647984</v>
      </c>
      <c r="K2200" s="3" t="n">
        <v>13.125916</v>
      </c>
      <c r="L2200" s="3" t="n">
        <v>13.624467</v>
      </c>
      <c r="M2200" s="3" t="n">
        <v>14.143971</v>
      </c>
      <c r="N2200" s="3" t="n">
        <v>14.685399</v>
      </c>
      <c r="O2200" s="3" t="n">
        <v>15.250908</v>
      </c>
      <c r="P2200" s="3" t="n">
        <v>15.843133</v>
      </c>
      <c r="Q2200" s="3" t="n">
        <v>16.464025</v>
      </c>
      <c r="R2200" s="3" t="n">
        <v>17.114766</v>
      </c>
      <c r="S2200" s="3" t="n">
        <v>17.79521</v>
      </c>
      <c r="T2200" s="3" t="n">
        <v>18.504281</v>
      </c>
      <c r="U2200" s="3" t="n">
        <v>19.240179</v>
      </c>
      <c r="V2200" s="3" t="n">
        <v>20.001663</v>
      </c>
      <c r="W2200" s="3" t="n">
        <v>20.788798</v>
      </c>
      <c r="X2200" s="3" t="n">
        <v>21.602382</v>
      </c>
      <c r="Y2200" s="3" t="n">
        <v>22.442822</v>
      </c>
      <c r="Z2200" s="3" t="n">
        <v>23.310715</v>
      </c>
      <c r="AA2200" s="3" t="n">
        <v>24.206644</v>
      </c>
      <c r="AB2200" s="3" t="n">
        <v>25.130817</v>
      </c>
      <c r="AC2200" s="3" t="n">
        <v>26.08366</v>
      </c>
      <c r="AD2200" s="3" t="n">
        <v>27.066232</v>
      </c>
      <c r="AE2200" s="3" t="n">
        <v>28.079839</v>
      </c>
      <c r="AF2200" s="3" t="n">
        <v>29.12552</v>
      </c>
      <c r="AG2200" s="3" t="n">
        <v>30.203733</v>
      </c>
      <c r="AH2200" s="3" t="n">
        <v>31.31461</v>
      </c>
      <c r="AI2200" s="3" t="n">
        <v>32.458489</v>
      </c>
      <c r="AJ2200" s="3" t="n">
        <v>33.635577</v>
      </c>
      <c r="AK2200" s="3" t="n">
        <v>34.84602</v>
      </c>
      <c r="AL2200" s="3" t="n">
        <v>36.08992</v>
      </c>
      <c r="AM2200" s="3" t="n"/>
      <c r="AN2200" s="3" t="n"/>
      <c r="AO2200" s="3" t="n"/>
      <c r="AP2200" s="3" t="n"/>
      <c r="AQ2200" s="3" t="n"/>
      <c r="AR2200" s="3" t="n"/>
      <c r="AS2200" s="3" t="n"/>
      <c r="AT2200" s="3" t="n"/>
      <c r="AU2200" s="3" t="n"/>
    </row>
    <row r="2201">
      <c r="A2201" s="3" t="n">
        <v>2031</v>
      </c>
      <c r="B2201" s="3" t="inlineStr">
        <is>
          <t>NER</t>
        </is>
      </c>
      <c r="C2201" s="3" t="inlineStr">
        <is>
          <t>IMF.RES:WEO</t>
        </is>
      </c>
      <c r="D2201" s="3" t="inlineStr">
        <is>
          <t>NER.NGDP.A</t>
        </is>
      </c>
      <c r="E2201" s="3" t="inlineStr">
        <is>
          <t>Niger</t>
        </is>
      </c>
      <c r="F2201" s="3" t="inlineStr">
        <is>
          <t>Gross domestic product (GDP), Current prices, Domestic currency</t>
        </is>
      </c>
      <c r="G2201" s="3" t="n">
        <v>1586.92063</v>
      </c>
      <c r="H2201" s="3" t="n">
        <v>1788.188885</v>
      </c>
      <c r="I2201" s="3" t="n">
        <v>1924.540374</v>
      </c>
      <c r="J2201" s="3" t="n">
        <v>1961.821269</v>
      </c>
      <c r="K2201" s="3" t="n">
        <v>1976.30518</v>
      </c>
      <c r="L2201" s="3" t="n">
        <v>2304.126197</v>
      </c>
      <c r="M2201" s="3" t="n">
        <v>2477.723777</v>
      </c>
      <c r="N2201" s="3" t="n">
        <v>2735.740746</v>
      </c>
      <c r="O2201" s="3" t="n">
        <v>3246.714601</v>
      </c>
      <c r="P2201" s="3" t="n">
        <v>3448.075037</v>
      </c>
      <c r="Q2201" s="3" t="n">
        <v>3874.999928</v>
      </c>
      <c r="R2201" s="3" t="n">
        <v>4126.052027</v>
      </c>
      <c r="S2201" s="3" t="n">
        <v>4802.444529</v>
      </c>
      <c r="T2201" s="3" t="n">
        <v>5040.748112</v>
      </c>
      <c r="U2201" s="3" t="n">
        <v>5346.045876</v>
      </c>
      <c r="V2201" s="3" t="n">
        <v>5724.873</v>
      </c>
      <c r="W2201" s="3" t="n">
        <v>6135.41036</v>
      </c>
      <c r="X2201" s="3" t="n">
        <v>6494.70105</v>
      </c>
      <c r="Y2201" s="3" t="n">
        <v>7114.530648</v>
      </c>
      <c r="Z2201" s="3" t="n">
        <v>7567.900291</v>
      </c>
      <c r="AA2201" s="3" t="n">
        <v>7910.951035</v>
      </c>
      <c r="AB2201" s="3" t="n">
        <v>8270.763424999999</v>
      </c>
      <c r="AC2201" s="3" t="n">
        <v>9621.241</v>
      </c>
      <c r="AD2201" s="3" t="n">
        <v>10194.448044</v>
      </c>
      <c r="AE2201" s="3" t="n">
        <v>12042.834002</v>
      </c>
      <c r="AF2201" s="3" t="n">
        <v>12682.824236</v>
      </c>
      <c r="AG2201" s="3" t="n">
        <v>13806.832846</v>
      </c>
      <c r="AH2201" s="3" t="n">
        <v>15005.263176</v>
      </c>
      <c r="AI2201" s="3" t="n">
        <v>16224.918754</v>
      </c>
      <c r="AJ2201" s="3" t="n">
        <v>17543.580065</v>
      </c>
      <c r="AK2201" s="3" t="n">
        <v>18971.485147</v>
      </c>
      <c r="AL2201" s="3" t="n">
        <v>20511.969741</v>
      </c>
      <c r="AM2201" s="3" t="n"/>
      <c r="AN2201" s="3" t="n"/>
      <c r="AO2201" s="3" t="n"/>
      <c r="AP2201" s="3" t="n"/>
      <c r="AQ2201" s="3" t="n"/>
      <c r="AR2201" s="3" t="n"/>
      <c r="AS2201" s="3" t="n"/>
      <c r="AT2201" s="3" t="n"/>
      <c r="AU2201" s="3" t="n"/>
    </row>
    <row r="2202">
      <c r="A2202" s="3" t="n">
        <v>2031</v>
      </c>
      <c r="B2202" s="3" t="inlineStr">
        <is>
          <t>NER</t>
        </is>
      </c>
      <c r="C2202" s="3" t="inlineStr">
        <is>
          <t>IMF.RES:WEO</t>
        </is>
      </c>
      <c r="D2202" s="3" t="inlineStr">
        <is>
          <t>NER.NGDP_D.A</t>
        </is>
      </c>
      <c r="E2202" s="3" t="inlineStr">
        <is>
          <t>Niger</t>
        </is>
      </c>
      <c r="F2202" s="3" t="inlineStr">
        <is>
          <t>Gross domestic product (GDP), Price deflator, Index</t>
        </is>
      </c>
      <c r="G2202" s="3" t="n">
        <v>59.363588</v>
      </c>
      <c r="H2202" s="3" t="n">
        <v>62.359524</v>
      </c>
      <c r="I2202" s="3" t="n">
        <v>63.967399</v>
      </c>
      <c r="J2202" s="3" t="n">
        <v>63.813159</v>
      </c>
      <c r="K2202" s="3" t="n">
        <v>64.052678</v>
      </c>
      <c r="L2202" s="3" t="n">
        <v>69.57445300000001</v>
      </c>
      <c r="M2202" s="3" t="n">
        <v>70.62635</v>
      </c>
      <c r="N2202" s="3" t="n">
        <v>75.604375</v>
      </c>
      <c r="O2202" s="3" t="n">
        <v>83.285307</v>
      </c>
      <c r="P2202" s="3" t="n">
        <v>86.747985</v>
      </c>
      <c r="Q2202" s="3" t="n">
        <v>89.784498</v>
      </c>
      <c r="R2202" s="3" t="n">
        <v>93.400884</v>
      </c>
      <c r="S2202" s="3" t="n">
        <v>98.344988</v>
      </c>
      <c r="T2202" s="3" t="n">
        <v>98.019491</v>
      </c>
      <c r="U2202" s="3" t="n">
        <v>97.479606</v>
      </c>
      <c r="V2202" s="3" t="n">
        <v>99.99400900000001</v>
      </c>
      <c r="W2202" s="3" t="n">
        <v>101.346512</v>
      </c>
      <c r="X2202" s="3" t="n">
        <v>102.171398</v>
      </c>
      <c r="Y2202" s="3" t="n">
        <v>104.592979</v>
      </c>
      <c r="Z2202" s="3" t="n">
        <v>104.81942</v>
      </c>
      <c r="AA2202" s="3" t="n">
        <v>105.814529</v>
      </c>
      <c r="AB2202" s="3" t="n">
        <v>109.141507</v>
      </c>
      <c r="AC2202" s="3" t="n">
        <v>113.499469</v>
      </c>
      <c r="AD2202" s="3" t="n">
        <v>117.471639</v>
      </c>
      <c r="AE2202" s="3" t="n">
        <v>125.812126</v>
      </c>
      <c r="AF2202" s="3" t="n">
        <v>123.946165</v>
      </c>
      <c r="AG2202" s="3" t="n">
        <v>126.425295</v>
      </c>
      <c r="AH2202" s="3" t="n">
        <v>128.953521</v>
      </c>
      <c r="AI2202" s="3" t="n">
        <v>131.532534</v>
      </c>
      <c r="AJ2202" s="3" t="n">
        <v>134.163155</v>
      </c>
      <c r="AK2202" s="3" t="n">
        <v>136.849362</v>
      </c>
      <c r="AL2202" s="3" t="n">
        <v>139.585999</v>
      </c>
      <c r="AM2202" s="3" t="n"/>
      <c r="AN2202" s="3" t="n"/>
      <c r="AO2202" s="3" t="n"/>
      <c r="AP2202" s="3" t="n"/>
      <c r="AQ2202" s="3" t="n"/>
      <c r="AR2202" s="3" t="n"/>
      <c r="AS2202" s="3" t="n"/>
      <c r="AT2202" s="3" t="n"/>
      <c r="AU2202" s="3" t="n"/>
    </row>
    <row r="2203">
      <c r="A2203" s="3" t="n">
        <v>2031</v>
      </c>
      <c r="B2203" s="3" t="inlineStr">
        <is>
          <t>NER</t>
        </is>
      </c>
      <c r="C2203" s="3" t="inlineStr">
        <is>
          <t>IMF.RES:WEO</t>
        </is>
      </c>
      <c r="D2203" s="3" t="inlineStr">
        <is>
          <t>NER.NGDP_R.A</t>
        </is>
      </c>
      <c r="E2203" s="3" t="inlineStr">
        <is>
          <t>Niger</t>
        </is>
      </c>
      <c r="F2203" s="3" t="inlineStr">
        <is>
          <t>Gross domestic product (GDP), Constant prices, Domestic currency</t>
        </is>
      </c>
      <c r="G2203" s="3" t="n">
        <v>2673.222234</v>
      </c>
      <c r="H2203" s="3" t="n">
        <v>2867.547368</v>
      </c>
      <c r="I2203" s="3" t="n">
        <v>3008.626885</v>
      </c>
      <c r="J2203" s="3" t="n">
        <v>3074.32089</v>
      </c>
      <c r="K2203" s="3" t="n">
        <v>3085.43726</v>
      </c>
      <c r="L2203" s="3" t="n">
        <v>3311.741745</v>
      </c>
      <c r="M2203" s="3" t="n">
        <v>3508.214406</v>
      </c>
      <c r="N2203" s="3" t="n">
        <v>3618.495305</v>
      </c>
      <c r="O2203" s="3" t="n">
        <v>3898.30418</v>
      </c>
      <c r="P2203" s="3" t="n">
        <v>3974.818576</v>
      </c>
      <c r="Q2203" s="3" t="n">
        <v>4315.889752</v>
      </c>
      <c r="R2203" s="3" t="n">
        <v>4417.572787</v>
      </c>
      <c r="S2203" s="3" t="n">
        <v>4883.263118</v>
      </c>
      <c r="T2203" s="3" t="n">
        <v>5142.597733</v>
      </c>
      <c r="U2203" s="3" t="n">
        <v>5484.271123</v>
      </c>
      <c r="V2203" s="3" t="n">
        <v>5725.216</v>
      </c>
      <c r="W2203" s="3" t="n">
        <v>6053.893926</v>
      </c>
      <c r="X2203" s="3" t="n">
        <v>6356.672413</v>
      </c>
      <c r="Y2203" s="3" t="n">
        <v>6802.111098</v>
      </c>
      <c r="Z2203" s="3" t="n">
        <v>7219.941023</v>
      </c>
      <c r="AA2203" s="3" t="n">
        <v>7476.24274</v>
      </c>
      <c r="AB2203" s="3" t="n">
        <v>7578.018377</v>
      </c>
      <c r="AC2203" s="3" t="n">
        <v>8476.904</v>
      </c>
      <c r="AD2203" s="3" t="n">
        <v>8678.220633000001</v>
      </c>
      <c r="AE2203" s="3" t="n">
        <v>9572.077358</v>
      </c>
      <c r="AF2203" s="3" t="n">
        <v>10232.52658</v>
      </c>
      <c r="AG2203" s="3" t="n">
        <v>10920.941739</v>
      </c>
      <c r="AH2203" s="3" t="n">
        <v>11636.179539</v>
      </c>
      <c r="AI2203" s="3" t="n">
        <v>12335.2894</v>
      </c>
      <c r="AJ2203" s="3" t="n">
        <v>13076.302578</v>
      </c>
      <c r="AK2203" s="3" t="n">
        <v>13863.042483</v>
      </c>
      <c r="AL2203" s="3" t="n">
        <v>14694.861848</v>
      </c>
      <c r="AM2203" s="3" t="n"/>
      <c r="AN2203" s="3" t="n"/>
      <c r="AO2203" s="3" t="n"/>
      <c r="AP2203" s="3" t="n"/>
      <c r="AQ2203" s="3" t="n"/>
      <c r="AR2203" s="3" t="n"/>
      <c r="AS2203" s="3" t="n"/>
      <c r="AT2203" s="3" t="n"/>
      <c r="AU2203" s="3" t="n"/>
    </row>
    <row r="2204">
      <c r="A2204" s="3" t="n">
        <v>2031</v>
      </c>
      <c r="B2204" s="3" t="inlineStr">
        <is>
          <t>NER</t>
        </is>
      </c>
      <c r="C2204" s="3" t="inlineStr">
        <is>
          <t>IMF.RES:WEO</t>
        </is>
      </c>
      <c r="D2204" s="3" t="inlineStr">
        <is>
          <t>NER.NGDP_RPCH.A</t>
        </is>
      </c>
      <c r="E2204" s="3" t="inlineStr">
        <is>
          <t>Niger</t>
        </is>
      </c>
      <c r="F2204" s="3" t="inlineStr">
        <is>
          <t>Gross domestic product (GDP), Constant prices, Percent change</t>
        </is>
      </c>
      <c r="G2204" s="3" t="n">
        <v>-1.2086</v>
      </c>
      <c r="H2204" s="3" t="n">
        <v>7.269322</v>
      </c>
      <c r="I2204" s="3" t="n">
        <v>4.919867</v>
      </c>
      <c r="J2204" s="3" t="n">
        <v>2.183521</v>
      </c>
      <c r="K2204" s="3" t="n">
        <v>0.361588</v>
      </c>
      <c r="L2204" s="3" t="n">
        <v>7.3346</v>
      </c>
      <c r="M2204" s="3" t="n">
        <v>5.932608</v>
      </c>
      <c r="N2204" s="3" t="n">
        <v>3.143505</v>
      </c>
      <c r="O2204" s="3" t="n">
        <v>7.732741</v>
      </c>
      <c r="P2204" s="3" t="n">
        <v>1.962761</v>
      </c>
      <c r="Q2204" s="3" t="n">
        <v>8.580799000000001</v>
      </c>
      <c r="R2204" s="3" t="n">
        <v>2.356016</v>
      </c>
      <c r="S2204" s="3" t="n">
        <v>10.541769</v>
      </c>
      <c r="T2204" s="3" t="n">
        <v>5.310683</v>
      </c>
      <c r="U2204" s="3" t="n">
        <v>6.643984</v>
      </c>
      <c r="V2204" s="3" t="n">
        <v>4.39338</v>
      </c>
      <c r="W2204" s="3" t="n">
        <v>5.740883</v>
      </c>
      <c r="X2204" s="3" t="n">
        <v>5.001384</v>
      </c>
      <c r="Y2204" s="3" t="n">
        <v>7.007419</v>
      </c>
      <c r="Z2204" s="3" t="n">
        <v>6.142651</v>
      </c>
      <c r="AA2204" s="3" t="n">
        <v>3.549914</v>
      </c>
      <c r="AB2204" s="3" t="n">
        <v>1.361321</v>
      </c>
      <c r="AC2204" s="3" t="n">
        <v>11.86175</v>
      </c>
      <c r="AD2204" s="3" t="n">
        <v>2.374884</v>
      </c>
      <c r="AE2204" s="3" t="n">
        <v>10.3</v>
      </c>
      <c r="AF2204" s="3" t="n">
        <v>6.899748</v>
      </c>
      <c r="AG2204" s="3" t="n">
        <v>6.727714</v>
      </c>
      <c r="AH2204" s="3" t="n">
        <v>6.549232</v>
      </c>
      <c r="AI2204" s="3" t="n">
        <v>6.00807</v>
      </c>
      <c r="AJ2204" s="3" t="n">
        <v>6.007262</v>
      </c>
      <c r="AK2204" s="3" t="n">
        <v>6.016532</v>
      </c>
      <c r="AL2204" s="3" t="n">
        <v>6.000266</v>
      </c>
      <c r="AM2204" s="3" t="n"/>
      <c r="AN2204" s="3" t="n"/>
      <c r="AO2204" s="3" t="n"/>
      <c r="AP2204" s="3" t="n"/>
      <c r="AQ2204" s="3" t="n"/>
      <c r="AR2204" s="3" t="n"/>
      <c r="AS2204" s="3" t="n"/>
      <c r="AT2204" s="3" t="n"/>
      <c r="AU2204" s="3" t="n"/>
    </row>
    <row r="2205">
      <c r="A2205" s="3" t="n">
        <v>2031</v>
      </c>
      <c r="B2205" s="3" t="inlineStr">
        <is>
          <t>NER</t>
        </is>
      </c>
      <c r="C2205" s="3" t="inlineStr">
        <is>
          <t>IMF.RES:WEO</t>
        </is>
      </c>
      <c r="D2205" s="3" t="inlineStr">
        <is>
          <t>NER.NGDPD.A</t>
        </is>
      </c>
      <c r="E2205" s="3" t="inlineStr">
        <is>
          <t>Niger</t>
        </is>
      </c>
      <c r="F2205" s="3" t="inlineStr">
        <is>
          <t>Gross domestic product (GDP), Current prices, US dollar</t>
        </is>
      </c>
      <c r="G2205" s="3" t="n">
        <v>2.235432</v>
      </c>
      <c r="H2205" s="3" t="n">
        <v>2.441571</v>
      </c>
      <c r="I2205" s="3" t="n">
        <v>2.772299</v>
      </c>
      <c r="J2205" s="3" t="n">
        <v>3.382202</v>
      </c>
      <c r="K2205" s="3" t="n">
        <v>3.746</v>
      </c>
      <c r="L2205" s="3" t="n">
        <v>4.372429</v>
      </c>
      <c r="M2205" s="3" t="n">
        <v>4.742981</v>
      </c>
      <c r="N2205" s="3" t="n">
        <v>5.716403</v>
      </c>
      <c r="O2205" s="3" t="n">
        <v>7.278831</v>
      </c>
      <c r="P2205" s="3" t="n">
        <v>7.323792</v>
      </c>
      <c r="Q2205" s="3" t="n">
        <v>7.837934</v>
      </c>
      <c r="R2205" s="3" t="n">
        <v>8.754033</v>
      </c>
      <c r="S2205" s="3" t="n">
        <v>9.412253</v>
      </c>
      <c r="T2205" s="3" t="n">
        <v>10.206166</v>
      </c>
      <c r="U2205" s="3" t="n">
        <v>10.830064</v>
      </c>
      <c r="V2205" s="3" t="n">
        <v>9.684267999999999</v>
      </c>
      <c r="W2205" s="3" t="n">
        <v>10.350421</v>
      </c>
      <c r="X2205" s="3" t="n">
        <v>11.181148</v>
      </c>
      <c r="Y2205" s="3" t="n">
        <v>12.814479</v>
      </c>
      <c r="Z2205" s="3" t="n">
        <v>12.917015</v>
      </c>
      <c r="AA2205" s="3" t="n">
        <v>13.76405</v>
      </c>
      <c r="AB2205" s="3" t="n">
        <v>14.922729</v>
      </c>
      <c r="AC2205" s="3" t="n">
        <v>15.457729</v>
      </c>
      <c r="AD2205" s="3" t="n">
        <v>16.809206</v>
      </c>
      <c r="AE2205" s="3" t="n">
        <v>19.865637</v>
      </c>
      <c r="AF2205" s="3" t="n">
        <v>21.835657</v>
      </c>
      <c r="AG2205" s="3" t="n">
        <v>24.812852</v>
      </c>
      <c r="AH2205" s="3" t="n">
        <v>26.928366</v>
      </c>
      <c r="AI2205" s="3" t="n">
        <v>29.038712</v>
      </c>
      <c r="AJ2205" s="3" t="n">
        <v>31.379975</v>
      </c>
      <c r="AK2205" s="3" t="n">
        <v>33.914176</v>
      </c>
      <c r="AL2205" s="3" t="n">
        <v>36.64622</v>
      </c>
      <c r="AM2205" s="3" t="n"/>
      <c r="AN2205" s="3" t="n"/>
      <c r="AO2205" s="3" t="n"/>
      <c r="AP2205" s="3" t="n"/>
      <c r="AQ2205" s="3" t="n"/>
      <c r="AR2205" s="3" t="n"/>
      <c r="AS2205" s="3" t="n"/>
      <c r="AT2205" s="3" t="n"/>
      <c r="AU2205" s="3" t="n"/>
    </row>
    <row r="2206">
      <c r="A2206" s="3" t="n">
        <v>2031</v>
      </c>
      <c r="B2206" s="3" t="inlineStr">
        <is>
          <t>NER</t>
        </is>
      </c>
      <c r="C2206" s="3" t="inlineStr">
        <is>
          <t>IMF.RES:WEO</t>
        </is>
      </c>
      <c r="D2206" s="3" t="inlineStr">
        <is>
          <t>NER.NGDPPC.A</t>
        </is>
      </c>
      <c r="E2206" s="3" t="inlineStr">
        <is>
          <t>Niger</t>
        </is>
      </c>
      <c r="F2206" s="3" t="inlineStr">
        <is>
          <t>Gross domestic product (GDP), Current prices, Per capita, Domestic currency</t>
        </is>
      </c>
      <c r="G2206" s="3" t="n">
        <v>140044.358454</v>
      </c>
      <c r="H2206" s="3" t="n">
        <v>152168.610622</v>
      </c>
      <c r="I2206" s="3" t="n">
        <v>157878.839829</v>
      </c>
      <c r="J2206" s="3" t="n">
        <v>155109.404687</v>
      </c>
      <c r="K2206" s="3" t="n">
        <v>150565.124773</v>
      </c>
      <c r="L2206" s="3" t="n">
        <v>169116.795297</v>
      </c>
      <c r="M2206" s="3" t="n">
        <v>175178.79364</v>
      </c>
      <c r="N2206" s="3" t="n">
        <v>186289.847885</v>
      </c>
      <c r="O2206" s="3" t="n">
        <v>212886.642588</v>
      </c>
      <c r="P2206" s="3" t="n">
        <v>217638.458085</v>
      </c>
      <c r="Q2206" s="3" t="n">
        <v>235361.640178</v>
      </c>
      <c r="R2206" s="3" t="n">
        <v>241081.416306</v>
      </c>
      <c r="S2206" s="3" t="n">
        <v>269872.877521</v>
      </c>
      <c r="T2206" s="3" t="n">
        <v>272409.833791</v>
      </c>
      <c r="U2206" s="3" t="n">
        <v>277858.427196</v>
      </c>
      <c r="V2206" s="3" t="n">
        <v>286219.850819</v>
      </c>
      <c r="W2206" s="3" t="n">
        <v>295130.596762</v>
      </c>
      <c r="X2206" s="3" t="n">
        <v>300647.449412</v>
      </c>
      <c r="Y2206" s="3" t="n">
        <v>317006.954311</v>
      </c>
      <c r="Z2206" s="3" t="n">
        <v>324653.288885</v>
      </c>
      <c r="AA2206" s="3" t="n">
        <v>326809.07917</v>
      </c>
      <c r="AB2206" s="3" t="n">
        <v>329108.41798</v>
      </c>
      <c r="AC2206" s="3" t="n">
        <v>368860.850049</v>
      </c>
      <c r="AD2206" s="3" t="n">
        <v>376648.217746</v>
      </c>
      <c r="AE2206" s="3" t="n">
        <v>428878.3138</v>
      </c>
      <c r="AF2206" s="3" t="n">
        <v>435454.001714</v>
      </c>
      <c r="AG2206" s="3" t="n">
        <v>457123.390877</v>
      </c>
      <c r="AH2206" s="3" t="n">
        <v>479177.712122</v>
      </c>
      <c r="AI2206" s="3" t="n">
        <v>499866.729889</v>
      </c>
      <c r="AJ2206" s="3" t="n">
        <v>521578.091702</v>
      </c>
      <c r="AK2206" s="3" t="n">
        <v>544437.647302</v>
      </c>
      <c r="AL2206" s="3" t="n">
        <v>568357.306986</v>
      </c>
      <c r="AM2206" s="3" t="n"/>
      <c r="AN2206" s="3" t="n"/>
      <c r="AO2206" s="3" t="n"/>
      <c r="AP2206" s="3" t="n"/>
      <c r="AQ2206" s="3" t="n"/>
      <c r="AR2206" s="3" t="n"/>
      <c r="AS2206" s="3" t="n"/>
      <c r="AT2206" s="3" t="n"/>
      <c r="AU2206" s="3" t="n"/>
    </row>
    <row r="2207">
      <c r="A2207" s="3" t="n">
        <v>2031</v>
      </c>
      <c r="B2207" s="3" t="inlineStr">
        <is>
          <t>NER</t>
        </is>
      </c>
      <c r="C2207" s="3" t="inlineStr">
        <is>
          <t>IMF.RES:WEO</t>
        </is>
      </c>
      <c r="D2207" s="3" t="inlineStr">
        <is>
          <t>NER.NGDPRPC.A</t>
        </is>
      </c>
      <c r="E2207" s="3" t="inlineStr">
        <is>
          <t>Niger</t>
        </is>
      </c>
      <c r="F2207" s="3" t="inlineStr">
        <is>
          <t>Gross domestic product (GDP), Constant prices, Per capita, Domestic currency</t>
        </is>
      </c>
      <c r="G2207" s="3" t="n">
        <v>235909.525425</v>
      </c>
      <c r="H2207" s="3" t="n">
        <v>244018.236841</v>
      </c>
      <c r="I2207" s="3" t="n">
        <v>246811.409411</v>
      </c>
      <c r="J2207" s="3" t="n">
        <v>243068.056539</v>
      </c>
      <c r="K2207" s="3" t="n">
        <v>235064.528798</v>
      </c>
      <c r="L2207" s="3" t="n">
        <v>243073.123154</v>
      </c>
      <c r="M2207" s="3" t="n">
        <v>248036.029372</v>
      </c>
      <c r="N2207" s="3" t="n">
        <v>246400.884664</v>
      </c>
      <c r="O2207" s="3" t="n">
        <v>255611.284242</v>
      </c>
      <c r="P2207" s="3" t="n">
        <v>250885.893366</v>
      </c>
      <c r="Q2207" s="3" t="n">
        <v>262140.621862</v>
      </c>
      <c r="R2207" s="3" t="n">
        <v>258114.705546</v>
      </c>
      <c r="S2207" s="3" t="n">
        <v>274414.469837</v>
      </c>
      <c r="T2207" s="3" t="n">
        <v>277913.945023</v>
      </c>
      <c r="U2207" s="3" t="n">
        <v>285042.624773</v>
      </c>
      <c r="V2207" s="3" t="n">
        <v>286236.999394</v>
      </c>
      <c r="W2207" s="3" t="n">
        <v>291209.425672</v>
      </c>
      <c r="X2207" s="3" t="n">
        <v>294257.93936</v>
      </c>
      <c r="Y2207" s="3" t="n">
        <v>303086.265068</v>
      </c>
      <c r="Z2207" s="3" t="n">
        <v>309726.279237</v>
      </c>
      <c r="AA2207" s="3" t="n">
        <v>308850.856803</v>
      </c>
      <c r="AB2207" s="3" t="n">
        <v>301542.857813</v>
      </c>
      <c r="AC2207" s="3" t="n">
        <v>324989.05445</v>
      </c>
      <c r="AD2207" s="3" t="n">
        <v>320629.064016</v>
      </c>
      <c r="AE2207" s="3" t="n">
        <v>340887.90031</v>
      </c>
      <c r="AF2207" s="3" t="n">
        <v>351325.112139</v>
      </c>
      <c r="AG2207" s="3" t="n">
        <v>361575.893254</v>
      </c>
      <c r="AH2207" s="3" t="n">
        <v>371589.476567</v>
      </c>
      <c r="AI2207" s="3" t="n">
        <v>380032.767378</v>
      </c>
      <c r="AJ2207" s="3" t="n">
        <v>388764.03334</v>
      </c>
      <c r="AK2207" s="3" t="n">
        <v>397837.18435</v>
      </c>
      <c r="AL2207" s="3" t="n">
        <v>407173.577764</v>
      </c>
      <c r="AM2207" s="3" t="n"/>
      <c r="AN2207" s="3" t="n"/>
      <c r="AO2207" s="3" t="n"/>
      <c r="AP2207" s="3" t="n"/>
      <c r="AQ2207" s="3" t="n"/>
      <c r="AR2207" s="3" t="n"/>
      <c r="AS2207" s="3" t="n"/>
      <c r="AT2207" s="3" t="n"/>
      <c r="AU2207" s="3" t="n"/>
    </row>
    <row r="2208">
      <c r="A2208" s="3" t="n">
        <v>2031</v>
      </c>
      <c r="B2208" s="3" t="inlineStr">
        <is>
          <t>NER</t>
        </is>
      </c>
      <c r="C2208" s="3" t="inlineStr">
        <is>
          <t>IMF.RES:WEO</t>
        </is>
      </c>
      <c r="D2208" s="3" t="inlineStr">
        <is>
          <t>NER.PCPI.A</t>
        </is>
      </c>
      <c r="E2208" s="3" t="inlineStr">
        <is>
          <t>Niger</t>
        </is>
      </c>
      <c r="F2208" s="3" t="inlineStr">
        <is>
          <t>All Items, Consumer price index (CPI), Period average</t>
        </is>
      </c>
      <c r="G2208" s="3" t="n">
        <v>63.514818</v>
      </c>
      <c r="H2208" s="3" t="n">
        <v>66.02216</v>
      </c>
      <c r="I2208" s="3" t="n">
        <v>67.669168</v>
      </c>
      <c r="J2208" s="3" t="n">
        <v>66.673613</v>
      </c>
      <c r="K2208" s="3" t="n">
        <v>66.834073</v>
      </c>
      <c r="L2208" s="3" t="n">
        <v>72.061183</v>
      </c>
      <c r="M2208" s="3" t="n">
        <v>72.088413</v>
      </c>
      <c r="N2208" s="3" t="n">
        <v>72.131445</v>
      </c>
      <c r="O2208" s="3" t="n">
        <v>79.703416</v>
      </c>
      <c r="P2208" s="3" t="n">
        <v>80.620842</v>
      </c>
      <c r="Q2208" s="3" t="n">
        <v>81.38385599999999</v>
      </c>
      <c r="R2208" s="3" t="n">
        <v>83.77681699999999</v>
      </c>
      <c r="S2208" s="3" t="n">
        <v>84.161529</v>
      </c>
      <c r="T2208" s="3" t="n">
        <v>86.07813299999999</v>
      </c>
      <c r="U2208" s="3" t="n">
        <v>85.301867</v>
      </c>
      <c r="V2208" s="3" t="n">
        <v>86.146648</v>
      </c>
      <c r="W2208" s="3" t="n">
        <v>86.31601999999999</v>
      </c>
      <c r="X2208" s="3" t="n">
        <v>86.448691</v>
      </c>
      <c r="Y2208" s="3" t="n">
        <v>88.832487</v>
      </c>
      <c r="Z2208" s="3" t="n">
        <v>86.592302</v>
      </c>
      <c r="AA2208" s="3" t="n">
        <v>89.104068</v>
      </c>
      <c r="AB2208" s="3" t="n">
        <v>92.520866</v>
      </c>
      <c r="AC2208" s="3" t="n">
        <v>96.436747</v>
      </c>
      <c r="AD2208" s="3" t="n">
        <v>100.001422</v>
      </c>
      <c r="AE2208" s="3" t="n">
        <v>109.070686</v>
      </c>
      <c r="AF2208" s="3" t="n">
        <v>104.095995</v>
      </c>
      <c r="AG2208" s="3" t="n">
        <v>104.550626</v>
      </c>
      <c r="AH2208" s="3" t="n">
        <v>106.641639</v>
      </c>
      <c r="AI2208" s="3" t="n">
        <v>108.774472</v>
      </c>
      <c r="AJ2208" s="3" t="n">
        <v>110.949961</v>
      </c>
      <c r="AK2208" s="3" t="n">
        <v>113.16896</v>
      </c>
      <c r="AL2208" s="3" t="n">
        <v>115.432339</v>
      </c>
      <c r="AM2208" s="3" t="n"/>
      <c r="AN2208" s="3" t="n"/>
      <c r="AO2208" s="3" t="n"/>
      <c r="AP2208" s="3" t="n"/>
      <c r="AQ2208" s="3" t="n"/>
      <c r="AR2208" s="3" t="n"/>
      <c r="AS2208" s="3" t="n"/>
      <c r="AT2208" s="3" t="n"/>
      <c r="AU2208" s="3" t="n"/>
    </row>
    <row r="2209">
      <c r="A2209" s="3" t="n">
        <v>2031</v>
      </c>
      <c r="B2209" s="3" t="inlineStr">
        <is>
          <t>NER</t>
        </is>
      </c>
      <c r="C2209" s="3" t="inlineStr">
        <is>
          <t>IMF.RES:WEO</t>
        </is>
      </c>
      <c r="D2209" s="3" t="inlineStr">
        <is>
          <t>NER.PCPIPCH.A</t>
        </is>
      </c>
      <c r="E2209" s="3" t="inlineStr">
        <is>
          <t>Niger</t>
        </is>
      </c>
      <c r="F2209" s="3" t="inlineStr">
        <is>
          <t>All Items, Consumer price index (CPI), Period average, percent change</t>
        </is>
      </c>
      <c r="G2209" s="3" t="n">
        <v>2.692433</v>
      </c>
      <c r="H2209" s="3" t="n">
        <v>3.947648</v>
      </c>
      <c r="I2209" s="3" t="n">
        <v>2.49463</v>
      </c>
      <c r="J2209" s="3" t="n">
        <v>-1.47121</v>
      </c>
      <c r="K2209" s="3" t="n">
        <v>0.240665</v>
      </c>
      <c r="L2209" s="3" t="n">
        <v>7.821026</v>
      </c>
      <c r="M2209" s="3" t="n">
        <v>0.037787</v>
      </c>
      <c r="N2209" s="3" t="n">
        <v>0.059694</v>
      </c>
      <c r="O2209" s="3" t="n">
        <v>10.497461</v>
      </c>
      <c r="P2209" s="3" t="n">
        <v>1.15105</v>
      </c>
      <c r="Q2209" s="3" t="n">
        <v>0.946423</v>
      </c>
      <c r="R2209" s="3" t="n">
        <v>2.940339</v>
      </c>
      <c r="S2209" s="3" t="n">
        <v>0.45921</v>
      </c>
      <c r="T2209" s="3" t="n">
        <v>2.277293</v>
      </c>
      <c r="U2209" s="3" t="n">
        <v>-0.901816</v>
      </c>
      <c r="V2209" s="3" t="n">
        <v>0.990343</v>
      </c>
      <c r="W2209" s="3" t="n">
        <v>0.196608</v>
      </c>
      <c r="X2209" s="3" t="n">
        <v>0.153704</v>
      </c>
      <c r="Y2209" s="3" t="n">
        <v>2.757469</v>
      </c>
      <c r="Z2209" s="3" t="n">
        <v>-2.521809</v>
      </c>
      <c r="AA2209" s="3" t="n">
        <v>2.900681</v>
      </c>
      <c r="AB2209" s="3" t="n">
        <v>3.834615</v>
      </c>
      <c r="AC2209" s="3" t="n">
        <v>4.23243</v>
      </c>
      <c r="AD2209" s="3" t="n">
        <v>3.696386</v>
      </c>
      <c r="AE2209" s="3" t="n">
        <v>9.069136</v>
      </c>
      <c r="AF2209" s="3" t="n">
        <v>-4.560979</v>
      </c>
      <c r="AG2209" s="3" t="n">
        <v>0.436742</v>
      </c>
      <c r="AH2209" s="3" t="n">
        <v>2</v>
      </c>
      <c r="AI2209" s="3" t="n">
        <v>2</v>
      </c>
      <c r="AJ2209" s="3" t="n">
        <v>2</v>
      </c>
      <c r="AK2209" s="3" t="n">
        <v>2</v>
      </c>
      <c r="AL2209" s="3" t="n">
        <v>2</v>
      </c>
      <c r="AM2209" s="3" t="n"/>
      <c r="AN2209" s="3" t="n"/>
      <c r="AO2209" s="3" t="n"/>
      <c r="AP2209" s="3" t="n"/>
      <c r="AQ2209" s="3" t="n"/>
      <c r="AR2209" s="3" t="n"/>
      <c r="AS2209" s="3" t="n"/>
      <c r="AT2209" s="3" t="n"/>
      <c r="AU2209" s="3" t="n"/>
    </row>
    <row r="2210">
      <c r="A2210" s="3" t="n">
        <v>2031</v>
      </c>
      <c r="B2210" s="3" t="inlineStr">
        <is>
          <t>NER</t>
        </is>
      </c>
      <c r="C2210" s="3" t="inlineStr">
        <is>
          <t>IMF.RES:WEO</t>
        </is>
      </c>
      <c r="D2210" s="3" t="inlineStr">
        <is>
          <t>NER.PPPPC.A</t>
        </is>
      </c>
      <c r="E2210" s="3" t="inlineStr">
        <is>
          <t>Niger</t>
        </is>
      </c>
      <c r="F2210" s="3" t="inlineStr">
        <is>
          <t>Gross domestic product (GDP), Per capita, purchasing power parity (PPP) international dollar, ICP benchmarks 2017-2021</t>
        </is>
      </c>
      <c r="G2210" s="3" t="n">
        <v>698.931687</v>
      </c>
      <c r="H2210" s="3" t="n">
        <v>739.233666</v>
      </c>
      <c r="I2210" s="3" t="n">
        <v>759.314811</v>
      </c>
      <c r="J2210" s="3" t="n">
        <v>762.561547</v>
      </c>
      <c r="K2210" s="3" t="n">
        <v>757.281826</v>
      </c>
      <c r="L2210" s="3" t="n">
        <v>807.6383</v>
      </c>
      <c r="M2210" s="3" t="n">
        <v>849.543265</v>
      </c>
      <c r="N2210" s="3" t="n">
        <v>866.807452</v>
      </c>
      <c r="O2210" s="3" t="n">
        <v>916.530938</v>
      </c>
      <c r="P2210" s="3" t="n">
        <v>905.135503</v>
      </c>
      <c r="Q2210" s="3" t="n">
        <v>957.234118</v>
      </c>
      <c r="R2210" s="3" t="n">
        <v>961.979858</v>
      </c>
      <c r="S2210" s="3" t="n">
        <v>1041.770723</v>
      </c>
      <c r="T2210" s="3" t="n">
        <v>1073.013025</v>
      </c>
      <c r="U2210" s="3" t="n">
        <v>1119.70474</v>
      </c>
      <c r="V2210" s="3" t="n">
        <v>1134.831481</v>
      </c>
      <c r="W2210" s="3" t="n">
        <v>1165.516208</v>
      </c>
      <c r="X2210" s="3" t="n">
        <v>1198.808984</v>
      </c>
      <c r="Y2210" s="3" t="n">
        <v>1258.698208</v>
      </c>
      <c r="Z2210" s="3" t="n">
        <v>1399.987863</v>
      </c>
      <c r="AA2210" s="3" t="n">
        <v>1466.542243</v>
      </c>
      <c r="AB2210" s="3" t="n">
        <v>1545.921822</v>
      </c>
      <c r="AC2210" s="3" t="n">
        <v>1784.625207</v>
      </c>
      <c r="AD2210" s="3" t="n">
        <v>1825.828879</v>
      </c>
      <c r="AE2210" s="3" t="n">
        <v>1989.384236</v>
      </c>
      <c r="AF2210" s="3" t="n">
        <v>2108.456727</v>
      </c>
      <c r="AG2210" s="3" t="n">
        <v>2232.14276</v>
      </c>
      <c r="AH2210" s="3" t="n">
        <v>2344.333463</v>
      </c>
      <c r="AI2210" s="3" t="n">
        <v>2436.955633</v>
      </c>
      <c r="AJ2210" s="3" t="n">
        <v>2537.272037</v>
      </c>
      <c r="AK2210" s="3" t="n">
        <v>2644.199205</v>
      </c>
      <c r="AL2210" s="3" t="n">
        <v>2755.108975</v>
      </c>
      <c r="AM2210" s="3" t="n"/>
      <c r="AN2210" s="3" t="n"/>
      <c r="AO2210" s="3" t="n"/>
      <c r="AP2210" s="3" t="n"/>
      <c r="AQ2210" s="3" t="n"/>
      <c r="AR2210" s="3" t="n"/>
      <c r="AS2210" s="3" t="n"/>
      <c r="AT2210" s="3" t="n"/>
      <c r="AU2210" s="3" t="n"/>
    </row>
    <row r="2211">
      <c r="A2211" s="3" t="n">
        <v>2025</v>
      </c>
      <c r="B2211" s="3" t="inlineStr">
        <is>
          <t>NER</t>
        </is>
      </c>
      <c r="C2211" s="3" t="inlineStr">
        <is>
          <t>IMF.STA:ER</t>
        </is>
      </c>
      <c r="D2211" s="3" t="inlineStr">
        <is>
          <t>NER.XDC_USD.PA_RT.A</t>
        </is>
      </c>
      <c r="E2211" s="3" t="inlineStr">
        <is>
          <t>Niger</t>
        </is>
      </c>
      <c r="F2211" s="3" t="inlineStr">
        <is>
          <t>Domestic currency per US Dollar</t>
        </is>
      </c>
      <c r="G2211" s="3" t="n">
        <v>710.207977031367</v>
      </c>
      <c r="H2211" s="3" t="n">
        <v>732.397693260228</v>
      </c>
      <c r="I2211" s="3" t="n">
        <v>693.713226496374</v>
      </c>
      <c r="J2211" s="3" t="n">
        <v>579.897426172466</v>
      </c>
      <c r="K2211" s="3" t="n">
        <v>527.338032291576</v>
      </c>
      <c r="L2211" s="3" t="n">
        <v>527.258362649626</v>
      </c>
      <c r="M2211" s="3" t="n">
        <v>522.425624895176</v>
      </c>
      <c r="N2211" s="3" t="n">
        <v>478.633718476363</v>
      </c>
      <c r="O2211" s="3" t="n">
        <v>446.000041432788</v>
      </c>
      <c r="P2211" s="3" t="n">
        <v>470.293423341398</v>
      </c>
      <c r="Q2211" s="3" t="n">
        <v>494.794262222947</v>
      </c>
      <c r="R2211" s="3" t="n">
        <v>471.248625718937</v>
      </c>
      <c r="S2211" s="3" t="n">
        <v>510.556338454251</v>
      </c>
      <c r="T2211" s="3" t="n">
        <v>493.899623852237</v>
      </c>
      <c r="U2211" s="3" t="n">
        <v>493.757329875312</v>
      </c>
      <c r="V2211" s="3" t="n">
        <v>591.21169798261</v>
      </c>
      <c r="W2211" s="3" t="n">
        <v>592.605615063022</v>
      </c>
      <c r="X2211" s="3" t="n">
        <v>580.656749587858</v>
      </c>
      <c r="Y2211" s="3" t="n">
        <v>555.446458398226</v>
      </c>
      <c r="Z2211" s="3" t="n">
        <v>585.911013180369</v>
      </c>
      <c r="AA2211" s="3" t="n">
        <v>575.586004510945</v>
      </c>
      <c r="AB2211" s="3" t="n">
        <v>554.530675033104</v>
      </c>
      <c r="AC2211" s="3" t="n">
        <v>623.759700911182</v>
      </c>
      <c r="AD2211" s="3" t="n">
        <v>606.569750165917</v>
      </c>
      <c r="AE2211" s="3" t="n">
        <v>606.345297609062</v>
      </c>
      <c r="AF2211" s="3" t="n">
        <v>581.928481040339</v>
      </c>
      <c r="AG2211" s="3" t="n"/>
      <c r="AH2211" s="3" t="n"/>
      <c r="AI2211" s="3" t="n"/>
      <c r="AJ2211" s="3" t="n"/>
      <c r="AK2211" s="3" t="n"/>
      <c r="AL2211" s="3" t="n"/>
      <c r="AM2211" s="3" t="n"/>
      <c r="AN2211" s="3" t="n"/>
      <c r="AO2211" s="3" t="n"/>
      <c r="AP2211" s="3" t="n"/>
      <c r="AQ2211" s="3" t="n"/>
      <c r="AR2211" s="3" t="n"/>
      <c r="AS2211" s="3" t="n"/>
      <c r="AT2211" s="3" t="n"/>
      <c r="AU2211" s="3" t="n"/>
    </row>
    <row r="2212">
      <c r="A2212" s="3" t="n">
        <v>2031</v>
      </c>
      <c r="B2212" s="3" t="inlineStr">
        <is>
          <t>NGA</t>
        </is>
      </c>
      <c r="C2212" s="3" t="inlineStr">
        <is>
          <t>IMF.RES:WEO</t>
        </is>
      </c>
      <c r="D2212" s="3" t="inlineStr">
        <is>
          <t>NGA.BCA.A</t>
        </is>
      </c>
      <c r="E2212" s="3" t="inlineStr">
        <is>
          <t>Nigeria</t>
        </is>
      </c>
      <c r="F2212" s="3" t="inlineStr">
        <is>
          <t>Current account balance (credit less debit), US dollar</t>
        </is>
      </c>
      <c r="G2212" s="3" t="n">
        <v>7.427061</v>
      </c>
      <c r="H2212" s="3" t="n">
        <v>2.477763</v>
      </c>
      <c r="I2212" s="3" t="n">
        <v>1.083111</v>
      </c>
      <c r="J2212" s="3" t="n">
        <v>3.390606</v>
      </c>
      <c r="K2212" s="3" t="n">
        <v>16.840536</v>
      </c>
      <c r="L2212" s="3" t="n">
        <v>36.529017</v>
      </c>
      <c r="M2212" s="3" t="n">
        <v>36.517577</v>
      </c>
      <c r="N2212" s="3" t="n">
        <v>27.648256</v>
      </c>
      <c r="O2212" s="3" t="n">
        <v>29.145209</v>
      </c>
      <c r="P2212" s="3" t="n">
        <v>13.869493</v>
      </c>
      <c r="Q2212" s="3" t="n">
        <v>13.111277</v>
      </c>
      <c r="R2212" s="3" t="n">
        <v>10.668377</v>
      </c>
      <c r="S2212" s="3" t="n">
        <v>17.374275</v>
      </c>
      <c r="T2212" s="3" t="n">
        <v>19.048981</v>
      </c>
      <c r="U2212" s="3" t="n">
        <v>0.906536</v>
      </c>
      <c r="V2212" s="3" t="n">
        <v>-15.438643</v>
      </c>
      <c r="W2212" s="3" t="n">
        <v>5.077217</v>
      </c>
      <c r="X2212" s="3" t="n">
        <v>13.563765</v>
      </c>
      <c r="Y2212" s="3" t="n">
        <v>7.283154</v>
      </c>
      <c r="Z2212" s="3" t="n">
        <v>-13.685219</v>
      </c>
      <c r="AA2212" s="3" t="n">
        <v>-15.985928</v>
      </c>
      <c r="AB2212" s="3" t="n">
        <v>-3.254163</v>
      </c>
      <c r="AC2212" s="3" t="n">
        <v>1.018599</v>
      </c>
      <c r="AD2212" s="3" t="n">
        <v>6.423223</v>
      </c>
      <c r="AE2212" s="3" t="n">
        <v>17.215273</v>
      </c>
      <c r="AF2212" s="3" t="n">
        <v>14.875955</v>
      </c>
      <c r="AG2212" s="3" t="n">
        <v>21.927591</v>
      </c>
      <c r="AH2212" s="3" t="n">
        <v>12.088993</v>
      </c>
      <c r="AI2212" s="3" t="n">
        <v>10.899996</v>
      </c>
      <c r="AJ2212" s="3" t="n">
        <v>13.083204</v>
      </c>
      <c r="AK2212" s="3" t="n">
        <v>14.14516</v>
      </c>
      <c r="AL2212" s="3" t="n">
        <v>16.466282</v>
      </c>
      <c r="AM2212" s="3" t="n"/>
      <c r="AN2212" s="3" t="n"/>
      <c r="AO2212" s="3" t="n"/>
      <c r="AP2212" s="3" t="n"/>
      <c r="AQ2212" s="3" t="n"/>
      <c r="AR2212" s="3" t="n"/>
      <c r="AS2212" s="3" t="n"/>
      <c r="AT2212" s="3" t="n"/>
      <c r="AU2212" s="3" t="n"/>
    </row>
    <row r="2213">
      <c r="A2213" s="3" t="n">
        <v>2031</v>
      </c>
      <c r="B2213" s="3" t="inlineStr">
        <is>
          <t>NGA</t>
        </is>
      </c>
      <c r="C2213" s="3" t="inlineStr">
        <is>
          <t>IMF.RES:WEO</t>
        </is>
      </c>
      <c r="D2213" s="3" t="inlineStr">
        <is>
          <t>NGA.BCA_NGDPD.A</t>
        </is>
      </c>
      <c r="E2213" s="3" t="inlineStr">
        <is>
          <t>Nigeria</t>
        </is>
      </c>
      <c r="F2213" s="3" t="inlineStr">
        <is>
          <t>Current account balance (credit less debit), Percent of GDP</t>
        </is>
      </c>
      <c r="G2213" s="3" t="n">
        <v>7.776223</v>
      </c>
      <c r="H2213" s="3" t="n">
        <v>2.406066</v>
      </c>
      <c r="I2213" s="3" t="n">
        <v>0.8183859999999999</v>
      </c>
      <c r="J2213" s="3" t="n">
        <v>2.339081</v>
      </c>
      <c r="K2213" s="3" t="n">
        <v>9.174747999999999</v>
      </c>
      <c r="L2213" s="3" t="n">
        <v>15.29082</v>
      </c>
      <c r="M2213" s="3" t="n">
        <v>11.639559</v>
      </c>
      <c r="N2213" s="3" t="n">
        <v>7.371795</v>
      </c>
      <c r="O2213" s="3" t="n">
        <v>6.171134</v>
      </c>
      <c r="P2213" s="3" t="n">
        <v>3.256347</v>
      </c>
      <c r="Q2213" s="3" t="n">
        <v>2.488811</v>
      </c>
      <c r="R2213" s="3" t="n">
        <v>1.804021</v>
      </c>
      <c r="S2213" s="3" t="n">
        <v>2.641052</v>
      </c>
      <c r="T2213" s="3" t="n">
        <v>2.592087</v>
      </c>
      <c r="U2213" s="3" t="n">
        <v>0.111762</v>
      </c>
      <c r="V2213" s="3" t="n">
        <v>-2.217915</v>
      </c>
      <c r="W2213" s="3" t="n">
        <v>0.890192</v>
      </c>
      <c r="X2213" s="3" t="n">
        <v>2.563342</v>
      </c>
      <c r="Y2213" s="3" t="n">
        <v>1.226332</v>
      </c>
      <c r="Z2213" s="3" t="n">
        <v>-2.048014</v>
      </c>
      <c r="AA2213" s="3" t="n">
        <v>-2.669994</v>
      </c>
      <c r="AB2213" s="3" t="n">
        <v>-0.533925</v>
      </c>
      <c r="AC2213" s="3" t="n">
        <v>0.157755</v>
      </c>
      <c r="AD2213" s="3" t="n">
        <v>1.317997</v>
      </c>
      <c r="AE2213" s="3" t="n">
        <v>6.828493</v>
      </c>
      <c r="AF2213" s="3" t="n">
        <v>5.120971</v>
      </c>
      <c r="AG2213" s="3" t="n">
        <v>5.810717</v>
      </c>
      <c r="AH2213" s="3" t="n">
        <v>3.118571</v>
      </c>
      <c r="AI2213" s="3" t="n">
        <v>2.687494</v>
      </c>
      <c r="AJ2213" s="3" t="n">
        <v>3.008923</v>
      </c>
      <c r="AK2213" s="3" t="n">
        <v>3.043043</v>
      </c>
      <c r="AL2213" s="3" t="n">
        <v>3.317913</v>
      </c>
      <c r="AM2213" s="3" t="n"/>
      <c r="AN2213" s="3" t="n"/>
      <c r="AO2213" s="3" t="n"/>
      <c r="AP2213" s="3" t="n"/>
      <c r="AQ2213" s="3" t="n"/>
      <c r="AR2213" s="3" t="n"/>
      <c r="AS2213" s="3" t="n"/>
      <c r="AT2213" s="3" t="n"/>
      <c r="AU2213" s="3" t="n"/>
    </row>
    <row r="2214">
      <c r="A2214" s="3" t="n">
        <v>2031</v>
      </c>
      <c r="B2214" s="3" t="inlineStr">
        <is>
          <t>NGA</t>
        </is>
      </c>
      <c r="C2214" s="3" t="inlineStr">
        <is>
          <t>IMF.RES:WEO</t>
        </is>
      </c>
      <c r="D2214" s="3" t="inlineStr">
        <is>
          <t>NGA.GGR_NGDP.A</t>
        </is>
      </c>
      <c r="E2214" s="3" t="inlineStr">
        <is>
          <t>Nigeria</t>
        </is>
      </c>
      <c r="F2214" s="3" t="inlineStr">
        <is>
          <t>Revenue, General government, Percent of GDP</t>
        </is>
      </c>
      <c r="G2214" s="3" t="n">
        <v>20.456383</v>
      </c>
      <c r="H2214" s="3" t="n">
        <v>19.624333</v>
      </c>
      <c r="I2214" s="3" t="n">
        <v>14.716254</v>
      </c>
      <c r="J2214" s="3" t="n">
        <v>14.920243</v>
      </c>
      <c r="K2214" s="3" t="n">
        <v>16.920786</v>
      </c>
      <c r="L2214" s="3" t="n">
        <v>16.13365</v>
      </c>
      <c r="M2214" s="3" t="n">
        <v>14.966305</v>
      </c>
      <c r="N2214" s="3" t="n">
        <v>12.084822</v>
      </c>
      <c r="O2214" s="3" t="n">
        <v>14.256658</v>
      </c>
      <c r="P2214" s="3" t="n">
        <v>7.175778</v>
      </c>
      <c r="Q2214" s="3" t="n">
        <v>8.820081</v>
      </c>
      <c r="R2214" s="3" t="n">
        <v>12.589856</v>
      </c>
      <c r="S2214" s="3" t="n">
        <v>10.447606</v>
      </c>
      <c r="T2214" s="3" t="n">
        <v>8.154237</v>
      </c>
      <c r="U2214" s="3" t="n">
        <v>7.766544</v>
      </c>
      <c r="V2214" s="3" t="n">
        <v>5.149038</v>
      </c>
      <c r="W2214" s="3" t="n">
        <v>3.633578</v>
      </c>
      <c r="X2214" s="3" t="n">
        <v>4.669527</v>
      </c>
      <c r="Y2214" s="3" t="n">
        <v>6.039387</v>
      </c>
      <c r="Z2214" s="3" t="n">
        <v>5.561809</v>
      </c>
      <c r="AA2214" s="3" t="n">
        <v>4.706186</v>
      </c>
      <c r="AB2214" s="3" t="n">
        <v>5.121822</v>
      </c>
      <c r="AC2214" s="3" t="n">
        <v>6.610664</v>
      </c>
      <c r="AD2214" s="3" t="n">
        <v>7.288818</v>
      </c>
      <c r="AE2214" s="3" t="n">
        <v>10.755428</v>
      </c>
      <c r="AF2214" s="3" t="n">
        <v>9.966139999999999</v>
      </c>
      <c r="AG2214" s="3" t="n">
        <v>10.595725</v>
      </c>
      <c r="AH2214" s="3" t="n">
        <v>10.395734</v>
      </c>
      <c r="AI2214" s="3" t="n">
        <v>10.109948</v>
      </c>
      <c r="AJ2214" s="3" t="n">
        <v>10.260746</v>
      </c>
      <c r="AK2214" s="3" t="n">
        <v>10.325771</v>
      </c>
      <c r="AL2214" s="3" t="n">
        <v>10.399174</v>
      </c>
      <c r="AM2214" s="3" t="n"/>
      <c r="AN2214" s="3" t="n"/>
      <c r="AO2214" s="3" t="n"/>
      <c r="AP2214" s="3" t="n"/>
      <c r="AQ2214" s="3" t="n"/>
      <c r="AR2214" s="3" t="n"/>
      <c r="AS2214" s="3" t="n"/>
      <c r="AT2214" s="3" t="n"/>
      <c r="AU2214" s="3" t="n"/>
    </row>
    <row r="2215">
      <c r="A2215" s="3" t="n">
        <v>2031</v>
      </c>
      <c r="B2215" s="3" t="inlineStr">
        <is>
          <t>NGA</t>
        </is>
      </c>
      <c r="C2215" s="3" t="inlineStr">
        <is>
          <t>IMF.RES:WEO</t>
        </is>
      </c>
      <c r="D2215" s="3" t="inlineStr">
        <is>
          <t>NGA.GGX_NGDP.A</t>
        </is>
      </c>
      <c r="E2215" s="3" t="inlineStr">
        <is>
          <t>Nigeria</t>
        </is>
      </c>
      <c r="F2215" s="3" t="inlineStr">
        <is>
          <t>Expenditure, General government, Percent of GDP</t>
        </is>
      </c>
      <c r="G2215" s="3" t="n">
        <v>17.569699</v>
      </c>
      <c r="H2215" s="3" t="n">
        <v>21.912339</v>
      </c>
      <c r="I2215" s="3" t="n">
        <v>13.762932</v>
      </c>
      <c r="J2215" s="3" t="n">
        <v>16.479068</v>
      </c>
      <c r="K2215" s="3" t="n">
        <v>13.023388</v>
      </c>
      <c r="L2215" s="3" t="n">
        <v>12.6486</v>
      </c>
      <c r="M2215" s="3" t="n">
        <v>8.746314999999999</v>
      </c>
      <c r="N2215" s="3" t="n">
        <v>12.877591</v>
      </c>
      <c r="O2215" s="3" t="n">
        <v>10.211175</v>
      </c>
      <c r="P2215" s="3" t="n">
        <v>10.957846</v>
      </c>
      <c r="Q2215" s="3" t="n">
        <v>11.782339</v>
      </c>
      <c r="R2215" s="3" t="n">
        <v>12.283129</v>
      </c>
      <c r="S2215" s="3" t="n">
        <v>10.53894</v>
      </c>
      <c r="T2215" s="3" t="n">
        <v>10.04462</v>
      </c>
      <c r="U2215" s="3" t="n">
        <v>9.491301</v>
      </c>
      <c r="V2215" s="3" t="n">
        <v>7.846521</v>
      </c>
      <c r="W2215" s="3" t="n">
        <v>6.931288</v>
      </c>
      <c r="X2215" s="3" t="n">
        <v>8.514759</v>
      </c>
      <c r="Y2215" s="3" t="n">
        <v>9.10355</v>
      </c>
      <c r="Z2215" s="3" t="n">
        <v>8.868778000000001</v>
      </c>
      <c r="AA2215" s="3" t="n">
        <v>8.731863000000001</v>
      </c>
      <c r="AB2215" s="3" t="n">
        <v>9.088671</v>
      </c>
      <c r="AC2215" s="3" t="n">
        <v>10.612068</v>
      </c>
      <c r="AD2215" s="3" t="n">
        <v>10.413531</v>
      </c>
      <c r="AE2215" s="3" t="n">
        <v>12.027912</v>
      </c>
      <c r="AF2215" s="3" t="n">
        <v>11.72783</v>
      </c>
      <c r="AG2215" s="3" t="n">
        <v>14.983645</v>
      </c>
      <c r="AH2215" s="3" t="n">
        <v>13.301889</v>
      </c>
      <c r="AI2215" s="3" t="n">
        <v>12.455296</v>
      </c>
      <c r="AJ2215" s="3" t="n">
        <v>12.424772</v>
      </c>
      <c r="AK2215" s="3" t="n">
        <v>12.418028</v>
      </c>
      <c r="AL2215" s="3" t="n">
        <v>12.271179</v>
      </c>
      <c r="AM2215" s="3" t="n"/>
      <c r="AN2215" s="3" t="n"/>
      <c r="AO2215" s="3" t="n"/>
      <c r="AP2215" s="3" t="n"/>
      <c r="AQ2215" s="3" t="n"/>
      <c r="AR2215" s="3" t="n"/>
      <c r="AS2215" s="3" t="n"/>
      <c r="AT2215" s="3" t="n"/>
      <c r="AU2215" s="3" t="n"/>
    </row>
    <row r="2216">
      <c r="A2216" s="3" t="n">
        <v>2031</v>
      </c>
      <c r="B2216" s="3" t="inlineStr">
        <is>
          <t>NGA</t>
        </is>
      </c>
      <c r="C2216" s="3" t="inlineStr">
        <is>
          <t>IMF.RES:WEO</t>
        </is>
      </c>
      <c r="D2216" s="3" t="inlineStr">
        <is>
          <t>NGA.LP.A</t>
        </is>
      </c>
      <c r="E2216" s="3" t="inlineStr">
        <is>
          <t>Nigeria</t>
        </is>
      </c>
      <c r="F2216" s="3" t="inlineStr">
        <is>
          <t>Population, Persons for countries / Index for country groups</t>
        </is>
      </c>
      <c r="G2216" s="3" t="n">
        <v>124.897313</v>
      </c>
      <c r="H2216" s="3" t="n">
        <v>128.551297</v>
      </c>
      <c r="I2216" s="3" t="n">
        <v>132.312182</v>
      </c>
      <c r="J2216" s="3" t="n">
        <v>136.183095</v>
      </c>
      <c r="K2216" s="3" t="n">
        <v>140.167255</v>
      </c>
      <c r="L2216" s="3" t="n">
        <v>144.267975</v>
      </c>
      <c r="M2216" s="3" t="n">
        <v>148.488666</v>
      </c>
      <c r="N2216" s="3" t="n">
        <v>152.832837</v>
      </c>
      <c r="O2216" s="3" t="n">
        <v>157.3041</v>
      </c>
      <c r="P2216" s="3" t="n">
        <v>161.906174</v>
      </c>
      <c r="Q2216" s="3" t="n">
        <v>166.642886</v>
      </c>
      <c r="R2216" s="3" t="n">
        <v>171.379598</v>
      </c>
      <c r="S2216" s="3" t="n">
        <v>176.200625</v>
      </c>
      <c r="T2216" s="3" t="n">
        <v>181.049443</v>
      </c>
      <c r="U2216" s="3" t="n">
        <v>185.896915</v>
      </c>
      <c r="V2216" s="3" t="n">
        <v>190.671878</v>
      </c>
      <c r="W2216" s="3" t="n">
        <v>195.4437</v>
      </c>
      <c r="X2216" s="3" t="n">
        <v>200.254579</v>
      </c>
      <c r="Y2216" s="3" t="n">
        <v>204.938755</v>
      </c>
      <c r="Z2216" s="3" t="n">
        <v>209.485641</v>
      </c>
      <c r="AA2216" s="3" t="n">
        <v>213.996181</v>
      </c>
      <c r="AB2216" s="3" t="n">
        <v>218.529286</v>
      </c>
      <c r="AC2216" s="3" t="n">
        <v>223.150896</v>
      </c>
      <c r="AD2216" s="3" t="n">
        <v>227.882945</v>
      </c>
      <c r="AE2216" s="3" t="n">
        <v>232.679478</v>
      </c>
      <c r="AF2216" s="3" t="n">
        <v>237.57697</v>
      </c>
      <c r="AG2216" s="3" t="n">
        <v>242.577545</v>
      </c>
      <c r="AH2216" s="3" t="n">
        <v>247.683373</v>
      </c>
      <c r="AI2216" s="3" t="n">
        <v>252.89667</v>
      </c>
      <c r="AJ2216" s="3" t="n">
        <v>258.219698</v>
      </c>
      <c r="AK2216" s="3" t="n">
        <v>263.654766</v>
      </c>
      <c r="AL2216" s="3" t="n">
        <v>269.204232</v>
      </c>
      <c r="AM2216" s="3" t="n"/>
      <c r="AN2216" s="3" t="n"/>
      <c r="AO2216" s="3" t="n"/>
      <c r="AP2216" s="3" t="n"/>
      <c r="AQ2216" s="3" t="n"/>
      <c r="AR2216" s="3" t="n"/>
      <c r="AS2216" s="3" t="n"/>
      <c r="AT2216" s="3" t="n"/>
      <c r="AU2216" s="3" t="n"/>
    </row>
    <row r="2217">
      <c r="A2217" s="3" t="n">
        <v>2031</v>
      </c>
      <c r="B2217" s="3" t="inlineStr">
        <is>
          <t>NGA</t>
        </is>
      </c>
      <c r="C2217" s="3" t="inlineStr">
        <is>
          <t>IMF.RES:WEO</t>
        </is>
      </c>
      <c r="D2217" s="3" t="inlineStr">
        <is>
          <t>NGA.NGDP.A</t>
        </is>
      </c>
      <c r="E2217" s="3" t="inlineStr">
        <is>
          <t>Nigeria</t>
        </is>
      </c>
      <c r="F2217" s="3" t="inlineStr">
        <is>
          <t>Gross domestic product (GDP), Current prices, Domestic currency</t>
        </is>
      </c>
      <c r="G2217" s="3" t="n">
        <v>9713.099627</v>
      </c>
      <c r="H2217" s="3" t="n">
        <v>11454.574913</v>
      </c>
      <c r="I2217" s="3" t="n">
        <v>15958.184882</v>
      </c>
      <c r="J2217" s="3" t="n">
        <v>18731.380148</v>
      </c>
      <c r="K2217" s="3" t="n">
        <v>24392.010682</v>
      </c>
      <c r="L2217" s="3" t="n">
        <v>31360.791996</v>
      </c>
      <c r="M2217" s="3" t="n">
        <v>40362.757792</v>
      </c>
      <c r="N2217" s="3" t="n">
        <v>46464.410217</v>
      </c>
      <c r="O2217" s="3" t="n">
        <v>55142.500667</v>
      </c>
      <c r="P2217" s="3" t="n">
        <v>62363.342337</v>
      </c>
      <c r="Q2217" s="3" t="n">
        <v>78112.460763</v>
      </c>
      <c r="R2217" s="3" t="n">
        <v>89721.752953</v>
      </c>
      <c r="S2217" s="3" t="n">
        <v>102235.482412</v>
      </c>
      <c r="T2217" s="3" t="n">
        <v>114078.994184</v>
      </c>
      <c r="U2217" s="3" t="n">
        <v>126931.74921</v>
      </c>
      <c r="V2217" s="3" t="n">
        <v>134030.181842</v>
      </c>
      <c r="W2217" s="3" t="n">
        <v>144447.668963</v>
      </c>
      <c r="X2217" s="3" t="n">
        <v>161802.204539</v>
      </c>
      <c r="Y2217" s="3" t="n">
        <v>181781.396835</v>
      </c>
      <c r="Z2217" s="3" t="n">
        <v>205090.405579</v>
      </c>
      <c r="AA2217" s="3" t="n">
        <v>213636.372139</v>
      </c>
      <c r="AB2217" s="3" t="n">
        <v>243302.645827</v>
      </c>
      <c r="AC2217" s="3" t="n">
        <v>274233.711319</v>
      </c>
      <c r="AD2217" s="3" t="n">
        <v>314023.587898</v>
      </c>
      <c r="AE2217" s="3" t="n">
        <v>372832.985</v>
      </c>
      <c r="AF2217" s="3" t="n">
        <v>441535.40981</v>
      </c>
      <c r="AG2217" s="3" t="n">
        <v>529302.357412</v>
      </c>
      <c r="AH2217" s="3" t="n">
        <v>617762.132692</v>
      </c>
      <c r="AI2217" s="3" t="n">
        <v>710336.336079</v>
      </c>
      <c r="AJ2217" s="3" t="n">
        <v>813181.293482</v>
      </c>
      <c r="AK2217" s="3" t="n">
        <v>928155.268696</v>
      </c>
      <c r="AL2217" s="3" t="n">
        <v>1058005.723616</v>
      </c>
      <c r="AM2217" s="3" t="n"/>
      <c r="AN2217" s="3" t="n"/>
      <c r="AO2217" s="3" t="n"/>
      <c r="AP2217" s="3" t="n"/>
      <c r="AQ2217" s="3" t="n"/>
      <c r="AR2217" s="3" t="n"/>
      <c r="AS2217" s="3" t="n"/>
      <c r="AT2217" s="3" t="n"/>
      <c r="AU2217" s="3" t="n"/>
    </row>
    <row r="2218">
      <c r="A2218" s="3" t="n">
        <v>2031</v>
      </c>
      <c r="B2218" s="3" t="inlineStr">
        <is>
          <t>NGA</t>
        </is>
      </c>
      <c r="C2218" s="3" t="inlineStr">
        <is>
          <t>IMF.RES:WEO</t>
        </is>
      </c>
      <c r="D2218" s="3" t="inlineStr">
        <is>
          <t>NGA.NGDP_D.A</t>
        </is>
      </c>
      <c r="E2218" s="3" t="inlineStr">
        <is>
          <t>Nigeria</t>
        </is>
      </c>
      <c r="F2218" s="3" t="inlineStr">
        <is>
          <t>Gross domestic product (GDP), Price deflator, Index</t>
        </is>
      </c>
      <c r="G2218" s="3" t="n">
        <v>14.413806</v>
      </c>
      <c r="H2218" s="3" t="n">
        <v>15.93567</v>
      </c>
      <c r="I2218" s="3" t="n">
        <v>19.371963</v>
      </c>
      <c r="J2218" s="3" t="n">
        <v>20.765168</v>
      </c>
      <c r="K2218" s="3" t="n">
        <v>24.48381</v>
      </c>
      <c r="L2218" s="3" t="n">
        <v>29.417132</v>
      </c>
      <c r="M2218" s="3" t="n">
        <v>35.475131</v>
      </c>
      <c r="N2218" s="3" t="n">
        <v>38.053158</v>
      </c>
      <c r="O2218" s="3" t="n">
        <v>42.127417</v>
      </c>
      <c r="P2218" s="3" t="n">
        <v>43.970909</v>
      </c>
      <c r="Q2218" s="3" t="n">
        <v>49.501868</v>
      </c>
      <c r="R2218" s="3" t="n">
        <v>54.209543</v>
      </c>
      <c r="S2218" s="3" t="n">
        <v>59.235443</v>
      </c>
      <c r="T2218" s="3" t="n">
        <v>62.714515</v>
      </c>
      <c r="U2218" s="3" t="n">
        <v>65.63865699999999</v>
      </c>
      <c r="V2218" s="3" t="n">
        <v>67.518328</v>
      </c>
      <c r="W2218" s="3" t="n">
        <v>73.96205500000001</v>
      </c>
      <c r="X2218" s="3" t="n">
        <v>82.185835</v>
      </c>
      <c r="Y2218" s="3" t="n">
        <v>90.59220000000001</v>
      </c>
      <c r="Z2218" s="3" t="n">
        <v>100</v>
      </c>
      <c r="AA2218" s="3" t="n">
        <v>111.252484</v>
      </c>
      <c r="AB2218" s="3" t="n">
        <v>125.311363</v>
      </c>
      <c r="AC2218" s="3" t="n">
        <v>135.39473</v>
      </c>
      <c r="AD2218" s="3" t="n">
        <v>150.063824</v>
      </c>
      <c r="AE2218" s="3" t="n">
        <v>171.197754</v>
      </c>
      <c r="AF2218" s="3" t="n">
        <v>194.921677</v>
      </c>
      <c r="AG2218" s="3" t="n">
        <v>224.555319</v>
      </c>
      <c r="AH2218" s="3" t="n">
        <v>251.222513</v>
      </c>
      <c r="AI2218" s="3" t="n">
        <v>277.404193</v>
      </c>
      <c r="AJ2218" s="3" t="n">
        <v>304.663117</v>
      </c>
      <c r="AK2218" s="3" t="n">
        <v>333.767988</v>
      </c>
      <c r="AL2218" s="3" t="n">
        <v>365.193546</v>
      </c>
      <c r="AM2218" s="3" t="n"/>
      <c r="AN2218" s="3" t="n"/>
      <c r="AO2218" s="3" t="n"/>
      <c r="AP2218" s="3" t="n"/>
      <c r="AQ2218" s="3" t="n"/>
      <c r="AR2218" s="3" t="n"/>
      <c r="AS2218" s="3" t="n"/>
      <c r="AT2218" s="3" t="n"/>
      <c r="AU2218" s="3" t="n"/>
    </row>
    <row r="2219">
      <c r="A2219" s="3" t="n">
        <v>2031</v>
      </c>
      <c r="B2219" s="3" t="inlineStr">
        <is>
          <t>NGA</t>
        </is>
      </c>
      <c r="C2219" s="3" t="inlineStr">
        <is>
          <t>IMF.RES:WEO</t>
        </is>
      </c>
      <c r="D2219" s="3" t="inlineStr">
        <is>
          <t>NGA.NGDP_R.A</t>
        </is>
      </c>
      <c r="E2219" s="3" t="inlineStr">
        <is>
          <t>Nigeria</t>
        </is>
      </c>
      <c r="F2219" s="3" t="inlineStr">
        <is>
          <t>Gross domestic product (GDP), Constant prices, Domestic currency</t>
        </is>
      </c>
      <c r="G2219" s="3" t="n">
        <v>67387.47466399999</v>
      </c>
      <c r="H2219" s="3" t="n">
        <v>71880.09530299999</v>
      </c>
      <c r="I2219" s="3" t="n">
        <v>82377.73860900001</v>
      </c>
      <c r="J2219" s="3" t="n">
        <v>90205.77065200001</v>
      </c>
      <c r="K2219" s="3" t="n">
        <v>99625.060619</v>
      </c>
      <c r="L2219" s="3" t="n">
        <v>106607.24003</v>
      </c>
      <c r="M2219" s="3" t="n">
        <v>113777.615427</v>
      </c>
      <c r="N2219" s="3" t="n">
        <v>122103.953372</v>
      </c>
      <c r="O2219" s="3" t="n">
        <v>130894.567544</v>
      </c>
      <c r="P2219" s="3" t="n">
        <v>141828.641285</v>
      </c>
      <c r="Q2219" s="3" t="n">
        <v>157796.995511</v>
      </c>
      <c r="R2219" s="3" t="n">
        <v>165509.146963</v>
      </c>
      <c r="S2219" s="3" t="n">
        <v>172591.74248</v>
      </c>
      <c r="T2219" s="3" t="n">
        <v>181902.060526</v>
      </c>
      <c r="U2219" s="3" t="n">
        <v>193379.566029</v>
      </c>
      <c r="V2219" s="3" t="n">
        <v>198509.331314</v>
      </c>
      <c r="W2219" s="3" t="n">
        <v>195299.696881</v>
      </c>
      <c r="X2219" s="3" t="n">
        <v>196873.591698</v>
      </c>
      <c r="Y2219" s="3" t="n">
        <v>200658.992773</v>
      </c>
      <c r="Z2219" s="3" t="n">
        <v>205090.405579</v>
      </c>
      <c r="AA2219" s="3" t="n">
        <v>192028.406013</v>
      </c>
      <c r="AB2219" s="3" t="n">
        <v>194158.485985</v>
      </c>
      <c r="AC2219" s="3" t="n">
        <v>202543.859938</v>
      </c>
      <c r="AD2219" s="3" t="n">
        <v>209260.019245</v>
      </c>
      <c r="AE2219" s="3" t="n">
        <v>217779.13379</v>
      </c>
      <c r="AF2219" s="3" t="n">
        <v>226519.39837</v>
      </c>
      <c r="AG2219" s="3" t="n">
        <v>235711.342173</v>
      </c>
      <c r="AH2219" s="3" t="n">
        <v>245902.377621</v>
      </c>
      <c r="AI2219" s="3" t="n">
        <v>256065.464493</v>
      </c>
      <c r="AJ2219" s="3" t="n">
        <v>266911.630837</v>
      </c>
      <c r="AK2219" s="3" t="n">
        <v>278083.968996</v>
      </c>
      <c r="AL2219" s="3" t="n">
        <v>289710.958881</v>
      </c>
      <c r="AM2219" s="3" t="n"/>
      <c r="AN2219" s="3" t="n"/>
      <c r="AO2219" s="3" t="n"/>
      <c r="AP2219" s="3" t="n"/>
      <c r="AQ2219" s="3" t="n"/>
      <c r="AR2219" s="3" t="n"/>
      <c r="AS2219" s="3" t="n"/>
      <c r="AT2219" s="3" t="n"/>
      <c r="AU2219" s="3" t="n"/>
    </row>
    <row r="2220">
      <c r="A2220" s="3" t="n">
        <v>2031</v>
      </c>
      <c r="B2220" s="3" t="inlineStr">
        <is>
          <t>NGA</t>
        </is>
      </c>
      <c r="C2220" s="3" t="inlineStr">
        <is>
          <t>IMF.RES:WEO</t>
        </is>
      </c>
      <c r="D2220" s="3" t="inlineStr">
        <is>
          <t>NGA.NGDP_RPCH.A</t>
        </is>
      </c>
      <c r="E2220" s="3" t="inlineStr">
        <is>
          <t>Nigeria</t>
        </is>
      </c>
      <c r="F2220" s="3" t="inlineStr">
        <is>
          <t>Gross domestic product (GDP), Constant prices, Percent change</t>
        </is>
      </c>
      <c r="G2220" s="3" t="n">
        <v>5.5185</v>
      </c>
      <c r="H2220" s="3" t="n">
        <v>6.666848</v>
      </c>
      <c r="I2220" s="3" t="n">
        <v>14.604381</v>
      </c>
      <c r="J2220" s="3" t="n">
        <v>9.502606</v>
      </c>
      <c r="K2220" s="3" t="n">
        <v>10.442004</v>
      </c>
      <c r="L2220" s="3" t="n">
        <v>7.008457</v>
      </c>
      <c r="M2220" s="3" t="n">
        <v>6.725974</v>
      </c>
      <c r="N2220" s="3" t="n">
        <v>7.318081</v>
      </c>
      <c r="O2220" s="3" t="n">
        <v>7.199287</v>
      </c>
      <c r="P2220" s="3" t="n">
        <v>8.353344</v>
      </c>
      <c r="Q2220" s="3" t="n">
        <v>11.258907</v>
      </c>
      <c r="R2220" s="3" t="n">
        <v>4.887388</v>
      </c>
      <c r="S2220" s="3" t="n">
        <v>4.279277</v>
      </c>
      <c r="T2220" s="3" t="n">
        <v>5.394417</v>
      </c>
      <c r="U2220" s="3" t="n">
        <v>6.309717</v>
      </c>
      <c r="V2220" s="3" t="n">
        <v>2.652693</v>
      </c>
      <c r="W2220" s="3" t="n">
        <v>-1.616868</v>
      </c>
      <c r="X2220" s="3" t="n">
        <v>0.805887</v>
      </c>
      <c r="Y2220" s="3" t="n">
        <v>1.922757</v>
      </c>
      <c r="Z2220" s="3" t="n">
        <v>2.20843</v>
      </c>
      <c r="AA2220" s="3" t="n">
        <v>-6.368898</v>
      </c>
      <c r="AB2220" s="3" t="n">
        <v>1.109253</v>
      </c>
      <c r="AC2220" s="3" t="n">
        <v>4.318829</v>
      </c>
      <c r="AD2220" s="3" t="n">
        <v>3.315904</v>
      </c>
      <c r="AE2220" s="3" t="n">
        <v>4.071067</v>
      </c>
      <c r="AF2220" s="3" t="n">
        <v>4.013362</v>
      </c>
      <c r="AG2220" s="3" t="n">
        <v>4.057906</v>
      </c>
      <c r="AH2220" s="3" t="n">
        <v>4.323524</v>
      </c>
      <c r="AI2220" s="3" t="n">
        <v>4.132976</v>
      </c>
      <c r="AJ2220" s="3" t="n">
        <v>4.235701</v>
      </c>
      <c r="AK2220" s="3" t="n">
        <v>4.185782</v>
      </c>
      <c r="AL2220" s="3" t="n">
        <v>4.181108</v>
      </c>
      <c r="AM2220" s="3" t="n"/>
      <c r="AN2220" s="3" t="n"/>
      <c r="AO2220" s="3" t="n"/>
      <c r="AP2220" s="3" t="n"/>
      <c r="AQ2220" s="3" t="n"/>
      <c r="AR2220" s="3" t="n"/>
      <c r="AS2220" s="3" t="n"/>
      <c r="AT2220" s="3" t="n"/>
      <c r="AU2220" s="3" t="n"/>
    </row>
    <row r="2221">
      <c r="A2221" s="3" t="n">
        <v>2031</v>
      </c>
      <c r="B2221" s="3" t="inlineStr">
        <is>
          <t>NGA</t>
        </is>
      </c>
      <c r="C2221" s="3" t="inlineStr">
        <is>
          <t>IMF.RES:WEO</t>
        </is>
      </c>
      <c r="D2221" s="3" t="inlineStr">
        <is>
          <t>NGA.NGDPD.A</t>
        </is>
      </c>
      <c r="E2221" s="3" t="inlineStr">
        <is>
          <t>Nigeria</t>
        </is>
      </c>
      <c r="F2221" s="3" t="inlineStr">
        <is>
          <t>Gross domestic product (GDP), Current prices, US dollar</t>
        </is>
      </c>
      <c r="G2221" s="3" t="n">
        <v>95.50987499999999</v>
      </c>
      <c r="H2221" s="3" t="n">
        <v>102.979827</v>
      </c>
      <c r="I2221" s="3" t="n">
        <v>132.347227</v>
      </c>
      <c r="J2221" s="3" t="n">
        <v>144.954647</v>
      </c>
      <c r="K2221" s="3" t="n">
        <v>183.553113</v>
      </c>
      <c r="L2221" s="3" t="n">
        <v>238.895077</v>
      </c>
      <c r="M2221" s="3" t="n">
        <v>313.736766</v>
      </c>
      <c r="N2221" s="3" t="n">
        <v>375.054614</v>
      </c>
      <c r="O2221" s="3" t="n">
        <v>472.282875</v>
      </c>
      <c r="P2221" s="3" t="n">
        <v>425.921811</v>
      </c>
      <c r="Q2221" s="3" t="n">
        <v>526.80894</v>
      </c>
      <c r="R2221" s="3" t="n">
        <v>591.366728</v>
      </c>
      <c r="S2221" s="3" t="n">
        <v>657.85435</v>
      </c>
      <c r="T2221" s="3" t="n">
        <v>734.8897040000001</v>
      </c>
      <c r="U2221" s="3" t="n">
        <v>811.13425</v>
      </c>
      <c r="V2221" s="3" t="n">
        <v>696.0879629999999</v>
      </c>
      <c r="W2221" s="3" t="n">
        <v>570.350951</v>
      </c>
      <c r="X2221" s="3" t="n">
        <v>529.143733</v>
      </c>
      <c r="Y2221" s="3" t="n">
        <v>593.897424</v>
      </c>
      <c r="Z2221" s="3" t="n">
        <v>668.219084</v>
      </c>
      <c r="AA2221" s="3" t="n">
        <v>598.7252120000001</v>
      </c>
      <c r="AB2221" s="3" t="n">
        <v>609.4792629999999</v>
      </c>
      <c r="AC2221" s="3" t="n">
        <v>645.68207</v>
      </c>
      <c r="AD2221" s="3" t="n">
        <v>487.347141</v>
      </c>
      <c r="AE2221" s="3" t="n">
        <v>252.109392</v>
      </c>
      <c r="AF2221" s="3" t="n">
        <v>290.490877</v>
      </c>
      <c r="AG2221" s="3" t="n">
        <v>377.364624</v>
      </c>
      <c r="AH2221" s="3" t="n">
        <v>387.645325</v>
      </c>
      <c r="AI2221" s="3" t="n">
        <v>405.582207</v>
      </c>
      <c r="AJ2221" s="3" t="n">
        <v>434.813534</v>
      </c>
      <c r="AK2221" s="3" t="n">
        <v>464.835963</v>
      </c>
      <c r="AL2221" s="3" t="n">
        <v>496.284277</v>
      </c>
      <c r="AM2221" s="3" t="n"/>
      <c r="AN2221" s="3" t="n"/>
      <c r="AO2221" s="3" t="n"/>
      <c r="AP2221" s="3" t="n"/>
      <c r="AQ2221" s="3" t="n"/>
      <c r="AR2221" s="3" t="n"/>
      <c r="AS2221" s="3" t="n"/>
      <c r="AT2221" s="3" t="n"/>
      <c r="AU2221" s="3" t="n"/>
    </row>
    <row r="2222">
      <c r="A2222" s="3" t="n">
        <v>2031</v>
      </c>
      <c r="B2222" s="3" t="inlineStr">
        <is>
          <t>NGA</t>
        </is>
      </c>
      <c r="C2222" s="3" t="inlineStr">
        <is>
          <t>IMF.RES:WEO</t>
        </is>
      </c>
      <c r="D2222" s="3" t="inlineStr">
        <is>
          <t>NGA.NGDPPC.A</t>
        </is>
      </c>
      <c r="E2222" s="3" t="inlineStr">
        <is>
          <t>Nigeria</t>
        </is>
      </c>
      <c r="F2222" s="3" t="inlineStr">
        <is>
          <t>Gross domestic product (GDP), Current prices, Per capita, Domestic currency</t>
        </is>
      </c>
      <c r="G2222" s="3" t="n">
        <v>77768.683504</v>
      </c>
      <c r="H2222" s="3" t="n">
        <v>89105.08985400001</v>
      </c>
      <c r="I2222" s="3" t="n">
        <v>120610.095029</v>
      </c>
      <c r="J2222" s="3" t="n">
        <v>137545.560377</v>
      </c>
      <c r="K2222" s="3" t="n">
        <v>174020.748581</v>
      </c>
      <c r="L2222" s="3" t="n">
        <v>217378.748815</v>
      </c>
      <c r="M2222" s="3" t="n">
        <v>271823.829351</v>
      </c>
      <c r="N2222" s="3" t="n">
        <v>304021.120456</v>
      </c>
      <c r="O2222" s="3" t="n">
        <v>350547.129529</v>
      </c>
      <c r="P2222" s="3" t="n">
        <v>385181.990263</v>
      </c>
      <c r="Q2222" s="3" t="n">
        <v>468741.646511</v>
      </c>
      <c r="R2222" s="3" t="n">
        <v>523526.452388</v>
      </c>
      <c r="S2222" s="3" t="n">
        <v>580222.019144</v>
      </c>
      <c r="T2222" s="3" t="n">
        <v>630098.5647559999</v>
      </c>
      <c r="U2222" s="3" t="n">
        <v>682807.184888</v>
      </c>
      <c r="V2222" s="3" t="n">
        <v>702936.286401</v>
      </c>
      <c r="W2222" s="3" t="n">
        <v>739075.595494</v>
      </c>
      <c r="X2222" s="3" t="n">
        <v>807982.545754</v>
      </c>
      <c r="Y2222" s="3" t="n">
        <v>887003.518857</v>
      </c>
      <c r="Z2222" s="3" t="n">
        <v>979018.9179530001</v>
      </c>
      <c r="AA2222" s="3" t="n">
        <v>998318.620179</v>
      </c>
      <c r="AB2222" s="3" t="n">
        <v>1113364.026765</v>
      </c>
      <c r="AC2222" s="3" t="n">
        <v>1228916.021556</v>
      </c>
      <c r="AD2222" s="3" t="n">
        <v>1378003.904146</v>
      </c>
      <c r="AE2222" s="3" t="n">
        <v>1602345.802925</v>
      </c>
      <c r="AF2222" s="3" t="n">
        <v>1858494.157364</v>
      </c>
      <c r="AG2222" s="3" t="n">
        <v>2181992.394478</v>
      </c>
      <c r="AH2222" s="3" t="n">
        <v>2494160.6913</v>
      </c>
      <c r="AI2222" s="3" t="n">
        <v>2808800.670448</v>
      </c>
      <c r="AJ2222" s="3" t="n">
        <v>3149183.819029</v>
      </c>
      <c r="AK2222" s="3" t="n">
        <v>3520343.228205</v>
      </c>
      <c r="AL2222" s="3" t="n">
        <v>3930122.922194</v>
      </c>
      <c r="AM2222" s="3" t="n"/>
      <c r="AN2222" s="3" t="n"/>
      <c r="AO2222" s="3" t="n"/>
      <c r="AP2222" s="3" t="n"/>
      <c r="AQ2222" s="3" t="n"/>
      <c r="AR2222" s="3" t="n"/>
      <c r="AS2222" s="3" t="n"/>
      <c r="AT2222" s="3" t="n"/>
      <c r="AU2222" s="3" t="n"/>
    </row>
    <row r="2223">
      <c r="A2223" s="3" t="n">
        <v>2031</v>
      </c>
      <c r="B2223" s="3" t="inlineStr">
        <is>
          <t>NGA</t>
        </is>
      </c>
      <c r="C2223" s="3" t="inlineStr">
        <is>
          <t>IMF.RES:WEO</t>
        </is>
      </c>
      <c r="D2223" s="3" t="inlineStr">
        <is>
          <t>NGA.NGDPRPC.A</t>
        </is>
      </c>
      <c r="E2223" s="3" t="inlineStr">
        <is>
          <t>Nigeria</t>
        </is>
      </c>
      <c r="F2223" s="3" t="inlineStr">
        <is>
          <t>Gross domestic product (GDP), Constant prices, Per capita, Domestic currency</t>
        </is>
      </c>
      <c r="G2223" s="3" t="n">
        <v>539543.0285510001</v>
      </c>
      <c r="H2223" s="3" t="n">
        <v>559154.9576739999</v>
      </c>
      <c r="I2223" s="3" t="n">
        <v>622601.314329</v>
      </c>
      <c r="J2223" s="3" t="n">
        <v>662385.962774</v>
      </c>
      <c r="K2223" s="3" t="n">
        <v>710758.446786</v>
      </c>
      <c r="L2223" s="3" t="n">
        <v>738952.908318</v>
      </c>
      <c r="M2223" s="3" t="n">
        <v>766237.710504</v>
      </c>
      <c r="N2223" s="3" t="n">
        <v>798937.951499</v>
      </c>
      <c r="O2223" s="3" t="n">
        <v>832111.608443</v>
      </c>
      <c r="P2223" s="3" t="n">
        <v>875992.791263</v>
      </c>
      <c r="Q2223" s="3" t="n">
        <v>946917.082986</v>
      </c>
      <c r="R2223" s="3" t="n">
        <v>965745.916637</v>
      </c>
      <c r="S2223" s="3" t="n">
        <v>979518.333038</v>
      </c>
      <c r="T2223" s="3" t="n">
        <v>1004709.307646</v>
      </c>
      <c r="U2223" s="3" t="n">
        <v>1040251.614875</v>
      </c>
      <c r="V2223" s="3" t="n">
        <v>1041104.400902</v>
      </c>
      <c r="W2223" s="3" t="n">
        <v>999263.1989740001</v>
      </c>
      <c r="X2223" s="3" t="n">
        <v>983116.554342</v>
      </c>
      <c r="Y2223" s="3" t="n">
        <v>979116.872125</v>
      </c>
      <c r="Z2223" s="3" t="n">
        <v>979018.9179530001</v>
      </c>
      <c r="AA2223" s="3" t="n">
        <v>897345.013896</v>
      </c>
      <c r="AB2223" s="3" t="n">
        <v>888478.1053319999</v>
      </c>
      <c r="AC2223" s="3" t="n">
        <v>907654.25355</v>
      </c>
      <c r="AD2223" s="3" t="n">
        <v>918278.5453530001</v>
      </c>
      <c r="AE2223" s="3" t="n">
        <v>935961.932104</v>
      </c>
      <c r="AF2223" s="3" t="n">
        <v>953456.889406</v>
      </c>
      <c r="AG2223" s="3" t="n">
        <v>971694.814338</v>
      </c>
      <c r="AH2223" s="3" t="n">
        <v>992809.386821</v>
      </c>
      <c r="AI2223" s="3" t="n">
        <v>1012529.997151</v>
      </c>
      <c r="AJ2223" s="3" t="n">
        <v>1033660.999927</v>
      </c>
      <c r="AK2223" s="3" t="n">
        <v>1054727.6411</v>
      </c>
      <c r="AL2223" s="3" t="n">
        <v>1076175.350374</v>
      </c>
      <c r="AM2223" s="3" t="n"/>
      <c r="AN2223" s="3" t="n"/>
      <c r="AO2223" s="3" t="n"/>
      <c r="AP2223" s="3" t="n"/>
      <c r="AQ2223" s="3" t="n"/>
      <c r="AR2223" s="3" t="n"/>
      <c r="AS2223" s="3" t="n"/>
      <c r="AT2223" s="3" t="n"/>
      <c r="AU2223" s="3" t="n"/>
    </row>
    <row r="2224">
      <c r="A2224" s="3" t="n">
        <v>2031</v>
      </c>
      <c r="B2224" s="3" t="inlineStr">
        <is>
          <t>NGA</t>
        </is>
      </c>
      <c r="C2224" s="3" t="inlineStr">
        <is>
          <t>IMF.RES:WEO</t>
        </is>
      </c>
      <c r="D2224" s="3" t="inlineStr">
        <is>
          <t>NGA.PCPI.A</t>
        </is>
      </c>
      <c r="E2224" s="3" t="inlineStr">
        <is>
          <t>Nigeria</t>
        </is>
      </c>
      <c r="F2224" s="3" t="inlineStr">
        <is>
          <t>All Items, Consumer price index (CPI), Period average</t>
        </is>
      </c>
      <c r="G2224" s="3" t="n">
        <v>4.23219</v>
      </c>
      <c r="H2224" s="3" t="n">
        <v>5.030768</v>
      </c>
      <c r="I2224" s="3" t="n">
        <v>5.678874</v>
      </c>
      <c r="J2224" s="3" t="n">
        <v>6.475838</v>
      </c>
      <c r="K2224" s="3" t="n">
        <v>7.447271</v>
      </c>
      <c r="L2224" s="3" t="n">
        <v>8.777032</v>
      </c>
      <c r="M2224" s="3" t="n">
        <v>9.499155999999999</v>
      </c>
      <c r="N2224" s="3" t="n">
        <v>10.010791</v>
      </c>
      <c r="O2224" s="3" t="n">
        <v>11.170346</v>
      </c>
      <c r="P2224" s="3" t="n">
        <v>12.570876</v>
      </c>
      <c r="Q2224" s="3" t="n">
        <v>14.298121</v>
      </c>
      <c r="R2224" s="3" t="n">
        <v>15.846055</v>
      </c>
      <c r="S2224" s="3" t="n">
        <v>17.783115</v>
      </c>
      <c r="T2224" s="3" t="n">
        <v>19.293883</v>
      </c>
      <c r="U2224" s="3" t="n">
        <v>20.846541</v>
      </c>
      <c r="V2224" s="3" t="n">
        <v>22.724696</v>
      </c>
      <c r="W2224" s="3" t="n">
        <v>26.291749</v>
      </c>
      <c r="X2224" s="3" t="n">
        <v>30.630483</v>
      </c>
      <c r="Y2224" s="3" t="n">
        <v>34.335273</v>
      </c>
      <c r="Z2224" s="3" t="n">
        <v>38.248266</v>
      </c>
      <c r="AA2224" s="3" t="n">
        <v>43.31464</v>
      </c>
      <c r="AB2224" s="3" t="n">
        <v>50.657704</v>
      </c>
      <c r="AC2224" s="3" t="n">
        <v>60.205257</v>
      </c>
      <c r="AD2224" s="3" t="n">
        <v>75.051602</v>
      </c>
      <c r="AE2224" s="3" t="n">
        <v>100</v>
      </c>
      <c r="AF2224" s="3" t="n">
        <v>123.0066</v>
      </c>
      <c r="AG2224" s="3" t="n">
        <v>142.748044</v>
      </c>
      <c r="AH2224" s="3" t="n">
        <v>165.379556</v>
      </c>
      <c r="AI2224" s="3" t="n">
        <v>186.465447</v>
      </c>
      <c r="AJ2224" s="3" t="n">
        <v>205.111991</v>
      </c>
      <c r="AK2224" s="3" t="n">
        <v>225.623191</v>
      </c>
      <c r="AL2224" s="3" t="n">
        <v>248.18551</v>
      </c>
      <c r="AM2224" s="3" t="n"/>
      <c r="AN2224" s="3" t="n"/>
      <c r="AO2224" s="3" t="n"/>
      <c r="AP2224" s="3" t="n"/>
      <c r="AQ2224" s="3" t="n"/>
      <c r="AR2224" s="3" t="n"/>
      <c r="AS2224" s="3" t="n"/>
      <c r="AT2224" s="3" t="n"/>
      <c r="AU2224" s="3" t="n"/>
    </row>
    <row r="2225">
      <c r="A2225" s="3" t="n">
        <v>2031</v>
      </c>
      <c r="B2225" s="3" t="inlineStr">
        <is>
          <t>NGA</t>
        </is>
      </c>
      <c r="C2225" s="3" t="inlineStr">
        <is>
          <t>IMF.RES:WEO</t>
        </is>
      </c>
      <c r="D2225" s="3" t="inlineStr">
        <is>
          <t>NGA.PCPIPCH.A</t>
        </is>
      </c>
      <c r="E2225" s="3" t="inlineStr">
        <is>
          <t>Nigeria</t>
        </is>
      </c>
      <c r="F2225" s="3" t="inlineStr">
        <is>
          <t>All Items, Consumer price index (CPI), Period average, percent change</t>
        </is>
      </c>
      <c r="G2225" s="3" t="n">
        <v>6.937426</v>
      </c>
      <c r="H2225" s="3" t="n">
        <v>18.869122</v>
      </c>
      <c r="I2225" s="3" t="n">
        <v>12.882854</v>
      </c>
      <c r="J2225" s="3" t="n">
        <v>14.03383</v>
      </c>
      <c r="K2225" s="3" t="n">
        <v>15.000892</v>
      </c>
      <c r="L2225" s="3" t="n">
        <v>17.855677</v>
      </c>
      <c r="M2225" s="3" t="n">
        <v>8.227437</v>
      </c>
      <c r="N2225" s="3" t="n">
        <v>5.386104</v>
      </c>
      <c r="O2225" s="3" t="n">
        <v>11.583055</v>
      </c>
      <c r="P2225" s="3" t="n">
        <v>12.537924</v>
      </c>
      <c r="Q2225" s="3" t="n">
        <v>13.740052</v>
      </c>
      <c r="R2225" s="3" t="n">
        <v>10.826137</v>
      </c>
      <c r="S2225" s="3" t="n">
        <v>12.224241</v>
      </c>
      <c r="T2225" s="3" t="n">
        <v>8.495518000000001</v>
      </c>
      <c r="U2225" s="3" t="n">
        <v>8.047411</v>
      </c>
      <c r="V2225" s="3" t="n">
        <v>9.009435</v>
      </c>
      <c r="W2225" s="3" t="n">
        <v>15.696813</v>
      </c>
      <c r="X2225" s="3" t="n">
        <v>16.502266</v>
      </c>
      <c r="Y2225" s="3" t="n">
        <v>12.095107</v>
      </c>
      <c r="Z2225" s="3" t="n">
        <v>11.396422</v>
      </c>
      <c r="AA2225" s="3" t="n">
        <v>13.246023</v>
      </c>
      <c r="AB2225" s="3" t="n">
        <v>16.952846</v>
      </c>
      <c r="AC2225" s="3" t="n">
        <v>18.847188</v>
      </c>
      <c r="AD2225" s="3" t="n">
        <v>24.65955</v>
      </c>
      <c r="AE2225" s="3" t="n">
        <v>33.241659</v>
      </c>
      <c r="AF2225" s="3" t="n">
        <v>23.0066</v>
      </c>
      <c r="AG2225" s="3" t="n">
        <v>16.049093</v>
      </c>
      <c r="AH2225" s="3" t="n">
        <v>15.854167</v>
      </c>
      <c r="AI2225" s="3" t="n">
        <v>12.749998</v>
      </c>
      <c r="AJ2225" s="3" t="n">
        <v>10</v>
      </c>
      <c r="AK2225" s="3" t="n">
        <v>10</v>
      </c>
      <c r="AL2225" s="3" t="n">
        <v>10</v>
      </c>
      <c r="AM2225" s="3" t="n"/>
      <c r="AN2225" s="3" t="n"/>
      <c r="AO2225" s="3" t="n"/>
      <c r="AP2225" s="3" t="n"/>
      <c r="AQ2225" s="3" t="n"/>
      <c r="AR2225" s="3" t="n"/>
      <c r="AS2225" s="3" t="n"/>
      <c r="AT2225" s="3" t="n"/>
      <c r="AU2225" s="3" t="n"/>
    </row>
    <row r="2226">
      <c r="A2226" s="3" t="n">
        <v>2031</v>
      </c>
      <c r="B2226" s="3" t="inlineStr">
        <is>
          <t>NGA</t>
        </is>
      </c>
      <c r="C2226" s="3" t="inlineStr">
        <is>
          <t>IMF.RES:WEO</t>
        </is>
      </c>
      <c r="D2226" s="3" t="inlineStr">
        <is>
          <t>NGA.PPPPC.A</t>
        </is>
      </c>
      <c r="E2226" s="3" t="inlineStr">
        <is>
          <t>Nigeria</t>
        </is>
      </c>
      <c r="F2226" s="3" t="inlineStr">
        <is>
          <t>Gross domestic product (GDP), Per capita, purchasing power parity (PPP) international dollar, ICP benchmarks 2017-2021</t>
        </is>
      </c>
      <c r="G2226" s="3" t="n">
        <v>2808.380645</v>
      </c>
      <c r="H2226" s="3" t="n">
        <v>2975.995463</v>
      </c>
      <c r="I2226" s="3" t="n">
        <v>3365.172297</v>
      </c>
      <c r="J2226" s="3" t="n">
        <v>3650.890151</v>
      </c>
      <c r="K2226" s="3" t="n">
        <v>4022.843127</v>
      </c>
      <c r="L2226" s="3" t="n">
        <v>4313.575065</v>
      </c>
      <c r="M2226" s="3" t="n">
        <v>4610.785145</v>
      </c>
      <c r="N2226" s="3" t="n">
        <v>4937.806395</v>
      </c>
      <c r="O2226" s="3" t="n">
        <v>5241.907104</v>
      </c>
      <c r="P2226" s="3" t="n">
        <v>5552.371574</v>
      </c>
      <c r="Q2226" s="3" t="n">
        <v>6074.86216</v>
      </c>
      <c r="R2226" s="3" t="n">
        <v>6323.488653</v>
      </c>
      <c r="S2226" s="3" t="n">
        <v>6533.085494</v>
      </c>
      <c r="T2226" s="3" t="n">
        <v>6815.154611</v>
      </c>
      <c r="U2226" s="3" t="n">
        <v>7179.145236</v>
      </c>
      <c r="V2226" s="3" t="n">
        <v>7251.711523</v>
      </c>
      <c r="W2226" s="3" t="n">
        <v>7026.40883</v>
      </c>
      <c r="X2226" s="3" t="n">
        <v>7036.67416</v>
      </c>
      <c r="Y2226" s="3" t="n">
        <v>7158.171072</v>
      </c>
      <c r="Z2226" s="3" t="n">
        <v>7551.393804</v>
      </c>
      <c r="AA2226" s="3" t="n">
        <v>7414.774955</v>
      </c>
      <c r="AB2226" s="3" t="n">
        <v>7588.478856</v>
      </c>
      <c r="AC2226" s="3" t="n">
        <v>8303.635039999999</v>
      </c>
      <c r="AD2226" s="3" t="n">
        <v>8711.664452999999</v>
      </c>
      <c r="AE2226" s="3" t="n">
        <v>9099.86162</v>
      </c>
      <c r="AF2226" s="3" t="n">
        <v>9532.922818999999</v>
      </c>
      <c r="AG2226" s="3" t="n">
        <v>9993.598591</v>
      </c>
      <c r="AH2226" s="3" t="n">
        <v>10434.974024</v>
      </c>
      <c r="AI2226" s="3" t="n">
        <v>10816.929369</v>
      </c>
      <c r="AJ2226" s="3" t="n">
        <v>11239.024081</v>
      </c>
      <c r="AK2226" s="3" t="n">
        <v>11678.811331</v>
      </c>
      <c r="AL2226" s="3" t="n">
        <v>12131.423137</v>
      </c>
      <c r="AM2226" s="3" t="n"/>
      <c r="AN2226" s="3" t="n"/>
      <c r="AO2226" s="3" t="n"/>
      <c r="AP2226" s="3" t="n"/>
      <c r="AQ2226" s="3" t="n"/>
      <c r="AR2226" s="3" t="n"/>
      <c r="AS2226" s="3" t="n"/>
      <c r="AT2226" s="3" t="n"/>
      <c r="AU2226" s="3" t="n"/>
    </row>
    <row r="2227">
      <c r="A2227" s="3" t="n">
        <v>2025</v>
      </c>
      <c r="B2227" s="3" t="inlineStr">
        <is>
          <t>NGA</t>
        </is>
      </c>
      <c r="C2227" s="3" t="inlineStr">
        <is>
          <t>IMF.STA:ER</t>
        </is>
      </c>
      <c r="D2227" s="3" t="inlineStr">
        <is>
          <t>NGA.XDC_USD.PA_RT.A</t>
        </is>
      </c>
      <c r="E2227" s="3" t="inlineStr">
        <is>
          <t>Nigeria</t>
        </is>
      </c>
      <c r="F2227" s="3" t="inlineStr">
        <is>
          <t>Domestic currency per US Dollar</t>
        </is>
      </c>
      <c r="G2227" s="3" t="n">
        <v>101.697333333333</v>
      </c>
      <c r="H2227" s="3" t="n">
        <v>111.23125</v>
      </c>
      <c r="I2227" s="3" t="n">
        <v>120.578158333333</v>
      </c>
      <c r="J2227" s="3" t="n">
        <v>129.22235</v>
      </c>
      <c r="K2227" s="3" t="n">
        <v>132.888025</v>
      </c>
      <c r="L2227" s="3" t="n">
        <v>131.274333333333</v>
      </c>
      <c r="M2227" s="3" t="n">
        <v>128.651666666666</v>
      </c>
      <c r="N2227" s="3" t="n">
        <v>125.808108333333</v>
      </c>
      <c r="O2227" s="3" t="n">
        <v>118.566666666666</v>
      </c>
      <c r="P2227" s="3" t="n">
        <v>148.88</v>
      </c>
      <c r="Q2227" s="3" t="n">
        <v>150.2975</v>
      </c>
      <c r="R2227" s="3" t="n">
        <v>153.8625</v>
      </c>
      <c r="S2227" s="3" t="n">
        <v>157.5</v>
      </c>
      <c r="T2227" s="3" t="n">
        <v>157.311666666666</v>
      </c>
      <c r="U2227" s="3" t="n">
        <v>158.552641666666</v>
      </c>
      <c r="V2227" s="3" t="n">
        <v>192.440333333333</v>
      </c>
      <c r="W2227" s="3" t="n">
        <v>253.492</v>
      </c>
      <c r="X2227" s="3" t="n">
        <v>305.790109160004</v>
      </c>
      <c r="Y2227" s="3" t="n">
        <v>306.083688245234</v>
      </c>
      <c r="Z2227" s="3" t="n">
        <v>306.920951495222</v>
      </c>
      <c r="AA2227" s="3" t="n">
        <v>358.810797258297</v>
      </c>
      <c r="AB2227" s="3" t="n">
        <v>401.152029220779</v>
      </c>
      <c r="AC2227" s="3" t="n">
        <v>425.979158066857</v>
      </c>
      <c r="AD2227" s="3" t="n">
        <v>645.194067883201</v>
      </c>
      <c r="AE2227" s="3" t="n">
        <v>1478.96519740023</v>
      </c>
      <c r="AF2227" s="3" t="n">
        <v>1518.38094813367</v>
      </c>
      <c r="AG2227" s="3" t="n"/>
      <c r="AH2227" s="3" t="n"/>
      <c r="AI2227" s="3" t="n"/>
      <c r="AJ2227" s="3" t="n"/>
      <c r="AK2227" s="3" t="n"/>
      <c r="AL2227" s="3" t="n"/>
      <c r="AM2227" s="3" t="n"/>
      <c r="AN2227" s="3" t="n"/>
      <c r="AO2227" s="3" t="n"/>
      <c r="AP2227" s="3" t="n"/>
      <c r="AQ2227" s="3" t="n"/>
      <c r="AR2227" s="3" t="n"/>
      <c r="AS2227" s="3" t="n"/>
      <c r="AT2227" s="3" t="n"/>
      <c r="AU2227" s="3" t="n"/>
    </row>
    <row r="2228">
      <c r="A2228" s="3" t="n">
        <v>2031</v>
      </c>
      <c r="B2228" s="3" t="inlineStr">
        <is>
          <t>NIC</t>
        </is>
      </c>
      <c r="C2228" s="3" t="inlineStr">
        <is>
          <t>IMF.RES:WEO</t>
        </is>
      </c>
      <c r="D2228" s="3" t="inlineStr">
        <is>
          <t>NIC.BCA.A</t>
        </is>
      </c>
      <c r="E2228" s="3" t="inlineStr">
        <is>
          <t>Nicaragua</t>
        </is>
      </c>
      <c r="F2228" s="3" t="inlineStr">
        <is>
          <t>Current account balance (credit less debit), US dollar</t>
        </is>
      </c>
      <c r="G2228" s="3" t="n">
        <v>-0.9357</v>
      </c>
      <c r="H2228" s="3" t="n">
        <v>-0.8203</v>
      </c>
      <c r="I2228" s="3" t="n">
        <v>-0.7841</v>
      </c>
      <c r="J2228" s="3" t="n">
        <v>-0.7055</v>
      </c>
      <c r="K2228" s="3" t="n">
        <v>-0.6874</v>
      </c>
      <c r="L2228" s="3" t="n">
        <v>-0.78357</v>
      </c>
      <c r="M2228" s="3" t="n">
        <v>-0.8847</v>
      </c>
      <c r="N2228" s="3" t="n">
        <v>-1.207</v>
      </c>
      <c r="O2228" s="3" t="n">
        <v>-1.4503</v>
      </c>
      <c r="P2228" s="3" t="n">
        <v>-0.7015</v>
      </c>
      <c r="Q2228" s="3" t="n">
        <v>-0.7773</v>
      </c>
      <c r="R2228" s="3" t="n">
        <v>-1.1639</v>
      </c>
      <c r="S2228" s="3" t="n">
        <v>-1.2348</v>
      </c>
      <c r="T2228" s="3" t="n">
        <v>-1.3804</v>
      </c>
      <c r="U2228" s="3" t="n">
        <v>-0.9538</v>
      </c>
      <c r="V2228" s="3" t="n">
        <v>-1.2595</v>
      </c>
      <c r="W2228" s="3" t="n">
        <v>-1.1271</v>
      </c>
      <c r="X2228" s="3" t="n">
        <v>-0.9871</v>
      </c>
      <c r="Y2228" s="3" t="n">
        <v>-0.2341</v>
      </c>
      <c r="Z2228" s="3" t="n">
        <v>0.7541</v>
      </c>
      <c r="AA2228" s="3" t="n">
        <v>0.4802</v>
      </c>
      <c r="AB2228" s="3" t="n">
        <v>-0.393179</v>
      </c>
      <c r="AC2228" s="3" t="n">
        <v>-0.4516</v>
      </c>
      <c r="AD2228" s="3" t="n">
        <v>1.4654</v>
      </c>
      <c r="AE2228" s="3" t="n">
        <v>0.818618</v>
      </c>
      <c r="AF2228" s="3" t="n">
        <v>1.905335</v>
      </c>
      <c r="AG2228" s="3" t="n">
        <v>1.556006</v>
      </c>
      <c r="AH2228" s="3" t="n">
        <v>1.377039</v>
      </c>
      <c r="AI2228" s="3" t="n">
        <v>1.061929</v>
      </c>
      <c r="AJ2228" s="3" t="n">
        <v>0.698257</v>
      </c>
      <c r="AK2228" s="3" t="n">
        <v>0.372731</v>
      </c>
      <c r="AL2228" s="3" t="n">
        <v>-0.02374</v>
      </c>
      <c r="AM2228" s="3" t="n"/>
      <c r="AN2228" s="3" t="n"/>
      <c r="AO2228" s="3" t="n"/>
      <c r="AP2228" s="3" t="n"/>
      <c r="AQ2228" s="3" t="n"/>
      <c r="AR2228" s="3" t="n"/>
      <c r="AS2228" s="3" t="n"/>
      <c r="AT2228" s="3" t="n"/>
      <c r="AU2228" s="3" t="n"/>
    </row>
    <row r="2229">
      <c r="A2229" s="3" t="n">
        <v>2031</v>
      </c>
      <c r="B2229" s="3" t="inlineStr">
        <is>
          <t>NIC</t>
        </is>
      </c>
      <c r="C2229" s="3" t="inlineStr">
        <is>
          <t>IMF.RES:WEO</t>
        </is>
      </c>
      <c r="D2229" s="3" t="inlineStr">
        <is>
          <t>NIC.BCA_NGDPD.A</t>
        </is>
      </c>
      <c r="E2229" s="3" t="inlineStr">
        <is>
          <t>Nicaragua</t>
        </is>
      </c>
      <c r="F2229" s="3" t="inlineStr">
        <is>
          <t>Current account balance (credit less debit), Percent of GDP</t>
        </is>
      </c>
      <c r="G2229" s="3" t="n">
        <v>-18.313512</v>
      </c>
      <c r="H2229" s="3" t="n">
        <v>-15.375394</v>
      </c>
      <c r="I2229" s="3" t="n">
        <v>-15.010355</v>
      </c>
      <c r="J2229" s="3" t="n">
        <v>-13.257275</v>
      </c>
      <c r="K2229" s="3" t="n">
        <v>-11.866261</v>
      </c>
      <c r="L2229" s="3" t="n">
        <v>-12.395665</v>
      </c>
      <c r="M2229" s="3" t="n">
        <v>-13.08018</v>
      </c>
      <c r="N2229" s="3" t="n">
        <v>-16.25946</v>
      </c>
      <c r="O2229" s="3" t="n">
        <v>-17.068446</v>
      </c>
      <c r="P2229" s="3" t="n">
        <v>-8.454560000000001</v>
      </c>
      <c r="Q2229" s="3" t="n">
        <v>-8.874703999999999</v>
      </c>
      <c r="R2229" s="3" t="n">
        <v>-11.90776</v>
      </c>
      <c r="S2229" s="3" t="n">
        <v>-11.724247</v>
      </c>
      <c r="T2229" s="3" t="n">
        <v>-12.56853</v>
      </c>
      <c r="U2229" s="3" t="n">
        <v>-8.028323</v>
      </c>
      <c r="V2229" s="3" t="n">
        <v>-9.873248</v>
      </c>
      <c r="W2229" s="3" t="n">
        <v>-8.483355</v>
      </c>
      <c r="X2229" s="3" t="n">
        <v>-7.160155</v>
      </c>
      <c r="Y2229" s="3" t="n">
        <v>-1.797282</v>
      </c>
      <c r="Z2229" s="3" t="n">
        <v>5.931535</v>
      </c>
      <c r="AA2229" s="3" t="n">
        <v>3.772061</v>
      </c>
      <c r="AB2229" s="3" t="n">
        <v>-2.767244</v>
      </c>
      <c r="AC2229" s="3" t="n">
        <v>-2.888613</v>
      </c>
      <c r="AD2229" s="3" t="n">
        <v>8.226756999999999</v>
      </c>
      <c r="AE2229" s="3" t="n">
        <v>4.156144</v>
      </c>
      <c r="AF2229" s="3" t="n">
        <v>8.568246</v>
      </c>
      <c r="AG2229" s="3" t="n">
        <v>6.422715</v>
      </c>
      <c r="AH2229" s="3" t="n">
        <v>5.244237</v>
      </c>
      <c r="AI2229" s="3" t="n">
        <v>3.792521</v>
      </c>
      <c r="AJ2229" s="3" t="n">
        <v>2.338539</v>
      </c>
      <c r="AK2229" s="3" t="n">
        <v>1.170633</v>
      </c>
      <c r="AL2229" s="3" t="n">
        <v>-0.069921</v>
      </c>
      <c r="AM2229" s="3" t="n"/>
      <c r="AN2229" s="3" t="n"/>
      <c r="AO2229" s="3" t="n"/>
      <c r="AP2229" s="3" t="n"/>
      <c r="AQ2229" s="3" t="n"/>
      <c r="AR2229" s="3" t="n"/>
      <c r="AS2229" s="3" t="n"/>
      <c r="AT2229" s="3" t="n"/>
      <c r="AU2229" s="3" t="n"/>
    </row>
    <row r="2230">
      <c r="A2230" s="3" t="n">
        <v>2031</v>
      </c>
      <c r="B2230" s="3" t="inlineStr">
        <is>
          <t>NIC</t>
        </is>
      </c>
      <c r="C2230" s="3" t="inlineStr">
        <is>
          <t>IMF.RES:WEO</t>
        </is>
      </c>
      <c r="D2230" s="3" t="inlineStr">
        <is>
          <t>NIC.GGR_NGDP.A</t>
        </is>
      </c>
      <c r="E2230" s="3" t="inlineStr">
        <is>
          <t>Nicaragua</t>
        </is>
      </c>
      <c r="F2230" s="3" t="inlineStr">
        <is>
          <t>Revenue, General government, Percent of GDP</t>
        </is>
      </c>
      <c r="G2230" s="3" t="n">
        <v>22.717574</v>
      </c>
      <c r="H2230" s="3" t="n">
        <v>19.566937</v>
      </c>
      <c r="I2230" s="3" t="n">
        <v>20.796539</v>
      </c>
      <c r="J2230" s="3" t="n">
        <v>22.180002</v>
      </c>
      <c r="K2230" s="3" t="n">
        <v>22.514725</v>
      </c>
      <c r="L2230" s="3" t="n">
        <v>22.982735</v>
      </c>
      <c r="M2230" s="3" t="n">
        <v>22.715514</v>
      </c>
      <c r="N2230" s="3" t="n">
        <v>23.360347</v>
      </c>
      <c r="O2230" s="3" t="n">
        <v>22.145256</v>
      </c>
      <c r="P2230" s="3" t="n">
        <v>21.843695</v>
      </c>
      <c r="Q2230" s="3" t="n">
        <v>23.280443</v>
      </c>
      <c r="R2230" s="3" t="n">
        <v>24.125938</v>
      </c>
      <c r="S2230" s="3" t="n">
        <v>24.308328</v>
      </c>
      <c r="T2230" s="3" t="n">
        <v>23.903304</v>
      </c>
      <c r="U2230" s="3" t="n">
        <v>23.694599</v>
      </c>
      <c r="V2230" s="3" t="n">
        <v>23.808755</v>
      </c>
      <c r="W2230" s="3" t="n">
        <v>24.916096</v>
      </c>
      <c r="X2230" s="3" t="n">
        <v>25.552243</v>
      </c>
      <c r="Y2230" s="3" t="n">
        <v>23.339844</v>
      </c>
      <c r="Z2230" s="3" t="n">
        <v>26.532048</v>
      </c>
      <c r="AA2230" s="3" t="n">
        <v>26.351337</v>
      </c>
      <c r="AB2230" s="3" t="n">
        <v>28.745151</v>
      </c>
      <c r="AC2230" s="3" t="n">
        <v>29.222204</v>
      </c>
      <c r="AD2230" s="3" t="n">
        <v>28.308984</v>
      </c>
      <c r="AE2230" s="3" t="n">
        <v>28.454147</v>
      </c>
      <c r="AF2230" s="3" t="n">
        <v>28.201207</v>
      </c>
      <c r="AG2230" s="3" t="n">
        <v>28.461567</v>
      </c>
      <c r="AH2230" s="3" t="n">
        <v>28.242385</v>
      </c>
      <c r="AI2230" s="3" t="n">
        <v>28.293449</v>
      </c>
      <c r="AJ2230" s="3" t="n">
        <v>28.221402</v>
      </c>
      <c r="AK2230" s="3" t="n">
        <v>27.779556</v>
      </c>
      <c r="AL2230" s="3" t="n">
        <v>27.435172</v>
      </c>
      <c r="AM2230" s="3" t="n"/>
      <c r="AN2230" s="3" t="n"/>
      <c r="AO2230" s="3" t="n"/>
      <c r="AP2230" s="3" t="n"/>
      <c r="AQ2230" s="3" t="n"/>
      <c r="AR2230" s="3" t="n"/>
      <c r="AS2230" s="3" t="n"/>
      <c r="AT2230" s="3" t="n"/>
      <c r="AU2230" s="3" t="n"/>
    </row>
    <row r="2231">
      <c r="A2231" s="3" t="n">
        <v>2031</v>
      </c>
      <c r="B2231" s="3" t="inlineStr">
        <is>
          <t>NIC</t>
        </is>
      </c>
      <c r="C2231" s="3" t="inlineStr">
        <is>
          <t>IMF.RES:WEO</t>
        </is>
      </c>
      <c r="D2231" s="3" t="inlineStr">
        <is>
          <t>NIC.GGX_NGDP.A</t>
        </is>
      </c>
      <c r="E2231" s="3" t="inlineStr">
        <is>
          <t>Nicaragua</t>
        </is>
      </c>
      <c r="F2231" s="3" t="inlineStr">
        <is>
          <t>Expenditure, General government, Percent of GDP</t>
        </is>
      </c>
      <c r="G2231" s="3" t="n">
        <v>20.563648</v>
      </c>
      <c r="H2231" s="3" t="n">
        <v>19.226408</v>
      </c>
      <c r="I2231" s="3" t="n">
        <v>18.727756</v>
      </c>
      <c r="J2231" s="3" t="n">
        <v>20.883949</v>
      </c>
      <c r="K2231" s="3" t="n">
        <v>20.819887</v>
      </c>
      <c r="L2231" s="3" t="n">
        <v>21.267064</v>
      </c>
      <c r="M2231" s="3" t="n">
        <v>21.352714</v>
      </c>
      <c r="N2231" s="3" t="n">
        <v>21.480912</v>
      </c>
      <c r="O2231" s="3" t="n">
        <v>21.878385</v>
      </c>
      <c r="P2231" s="3" t="n">
        <v>22.739564</v>
      </c>
      <c r="Q2231" s="3" t="n">
        <v>22.588762</v>
      </c>
      <c r="R2231" s="3" t="n">
        <v>23.534916</v>
      </c>
      <c r="S2231" s="3" t="n">
        <v>24.084836</v>
      </c>
      <c r="T2231" s="3" t="n">
        <v>24.202785</v>
      </c>
      <c r="U2231" s="3" t="n">
        <v>24.587152</v>
      </c>
      <c r="V2231" s="3" t="n">
        <v>25.445427</v>
      </c>
      <c r="W2231" s="3" t="n">
        <v>26.83994</v>
      </c>
      <c r="X2231" s="3" t="n">
        <v>27.306888</v>
      </c>
      <c r="Y2231" s="3" t="n">
        <v>27.685826</v>
      </c>
      <c r="Z2231" s="3" t="n">
        <v>27.653846</v>
      </c>
      <c r="AA2231" s="3" t="n">
        <v>28.921494</v>
      </c>
      <c r="AB2231" s="3" t="n">
        <v>30.002072</v>
      </c>
      <c r="AC2231" s="3" t="n">
        <v>28.575033</v>
      </c>
      <c r="AD2231" s="3" t="n">
        <v>26.012864</v>
      </c>
      <c r="AE2231" s="3" t="n">
        <v>26.203302</v>
      </c>
      <c r="AF2231" s="3" t="n">
        <v>26.102599</v>
      </c>
      <c r="AG2231" s="3" t="n">
        <v>27.077838</v>
      </c>
      <c r="AH2231" s="3" t="n">
        <v>26.658957</v>
      </c>
      <c r="AI2231" s="3" t="n">
        <v>26.481943</v>
      </c>
      <c r="AJ2231" s="3" t="n">
        <v>26.210617</v>
      </c>
      <c r="AK2231" s="3" t="n">
        <v>25.764798</v>
      </c>
      <c r="AL2231" s="3" t="n">
        <v>25.318326</v>
      </c>
      <c r="AM2231" s="3" t="n"/>
      <c r="AN2231" s="3" t="n"/>
      <c r="AO2231" s="3" t="n"/>
      <c r="AP2231" s="3" t="n"/>
      <c r="AQ2231" s="3" t="n"/>
      <c r="AR2231" s="3" t="n"/>
      <c r="AS2231" s="3" t="n"/>
      <c r="AT2231" s="3" t="n"/>
      <c r="AU2231" s="3" t="n"/>
    </row>
    <row r="2232">
      <c r="A2232" s="3" t="n">
        <v>2031</v>
      </c>
      <c r="B2232" s="3" t="inlineStr">
        <is>
          <t>NIC</t>
        </is>
      </c>
      <c r="C2232" s="3" t="inlineStr">
        <is>
          <t>IMF.RES:WEO</t>
        </is>
      </c>
      <c r="D2232" s="3" t="inlineStr">
        <is>
          <t>NIC.LP.A</t>
        </is>
      </c>
      <c r="E2232" s="3" t="inlineStr">
        <is>
          <t>Nicaragua</t>
        </is>
      </c>
      <c r="F2232" s="3" t="inlineStr">
        <is>
          <t>Population, Persons for countries / Index for country groups</t>
        </is>
      </c>
      <c r="G2232" s="3" t="n">
        <v>4.956964</v>
      </c>
      <c r="H2232" s="3" t="n">
        <v>5.058643</v>
      </c>
      <c r="I2232" s="3" t="n">
        <v>5.162275</v>
      </c>
      <c r="J2232" s="3" t="n">
        <v>5.267714</v>
      </c>
      <c r="K2232" s="3" t="n">
        <v>5.37482</v>
      </c>
      <c r="L2232" s="3" t="n">
        <v>5.483447</v>
      </c>
      <c r="M2232" s="3" t="n">
        <v>5.5226</v>
      </c>
      <c r="N2232" s="3" t="n">
        <v>5.5955</v>
      </c>
      <c r="O2232" s="3" t="n">
        <v>5.6689</v>
      </c>
      <c r="P2232" s="3" t="n">
        <v>5.7423</v>
      </c>
      <c r="Q2232" s="3" t="n">
        <v>5.8155</v>
      </c>
      <c r="R2232" s="3" t="n">
        <v>5.9966</v>
      </c>
      <c r="S2232" s="3" t="n">
        <v>6.071</v>
      </c>
      <c r="T2232" s="3" t="n">
        <v>6.1343</v>
      </c>
      <c r="U2232" s="3" t="n">
        <v>6.1982</v>
      </c>
      <c r="V2232" s="3" t="n">
        <v>6.2627</v>
      </c>
      <c r="W2232" s="3" t="n">
        <v>6.3279</v>
      </c>
      <c r="X2232" s="3" t="n">
        <v>6.3938</v>
      </c>
      <c r="Y2232" s="3" t="n">
        <v>6.4604</v>
      </c>
      <c r="Z2232" s="3" t="n">
        <v>6.5277</v>
      </c>
      <c r="AA2232" s="3" t="n">
        <v>6.5957</v>
      </c>
      <c r="AB2232" s="3" t="n">
        <v>6.6644</v>
      </c>
      <c r="AC2232" s="3" t="n">
        <v>6.6644</v>
      </c>
      <c r="AD2232" s="3" t="n">
        <v>6.6644</v>
      </c>
      <c r="AE2232" s="3" t="n">
        <v>6.6644</v>
      </c>
      <c r="AF2232" s="3" t="n">
        <v>6.6644</v>
      </c>
      <c r="AG2232" s="3" t="n">
        <v>6.807511</v>
      </c>
      <c r="AH2232" s="3" t="n">
        <v>6.89428</v>
      </c>
      <c r="AI2232" s="3" t="n">
        <v>6.981952</v>
      </c>
      <c r="AJ2232" s="3" t="n">
        <v>7.070538</v>
      </c>
      <c r="AK2232" s="3" t="n">
        <v>7.160047</v>
      </c>
      <c r="AL2232" s="3" t="n">
        <v>7.234628</v>
      </c>
      <c r="AM2232" s="3" t="n"/>
      <c r="AN2232" s="3" t="n"/>
      <c r="AO2232" s="3" t="n"/>
      <c r="AP2232" s="3" t="n"/>
      <c r="AQ2232" s="3" t="n"/>
      <c r="AR2232" s="3" t="n"/>
      <c r="AS2232" s="3" t="n"/>
      <c r="AT2232" s="3" t="n"/>
      <c r="AU2232" s="3" t="n"/>
    </row>
    <row r="2233">
      <c r="A2233" s="3" t="n">
        <v>2031</v>
      </c>
      <c r="B2233" s="3" t="inlineStr">
        <is>
          <t>NIC</t>
        </is>
      </c>
      <c r="C2233" s="3" t="inlineStr">
        <is>
          <t>IMF.RES:WEO</t>
        </is>
      </c>
      <c r="D2233" s="3" t="inlineStr">
        <is>
          <t>NIC.NGDP.A</t>
        </is>
      </c>
      <c r="E2233" s="3" t="inlineStr">
        <is>
          <t>Nicaragua</t>
        </is>
      </c>
      <c r="F2233" s="3" t="inlineStr">
        <is>
          <t>Gross domestic product (GDP), Current prices, Domestic currency</t>
        </is>
      </c>
      <c r="G2233" s="3" t="n">
        <v>64.812005</v>
      </c>
      <c r="H2233" s="3" t="n">
        <v>71.563318</v>
      </c>
      <c r="I2233" s="3" t="n">
        <v>74.445036</v>
      </c>
      <c r="J2233" s="3" t="n">
        <v>80.390359</v>
      </c>
      <c r="K2233" s="3" t="n">
        <v>92.323401</v>
      </c>
      <c r="L2233" s="3" t="n">
        <v>105.776805</v>
      </c>
      <c r="M2233" s="3" t="n">
        <v>118.83771</v>
      </c>
      <c r="N2233" s="3" t="n">
        <v>136.950178</v>
      </c>
      <c r="O2233" s="3" t="n">
        <v>164.602373</v>
      </c>
      <c r="P2233" s="3" t="n">
        <v>168.79131</v>
      </c>
      <c r="Q2233" s="3" t="n">
        <v>187.052642</v>
      </c>
      <c r="R2233" s="3" t="n">
        <v>219.18221</v>
      </c>
      <c r="S2233" s="3" t="n">
        <v>247.993871</v>
      </c>
      <c r="T2233" s="3" t="n">
        <v>271.529826</v>
      </c>
      <c r="U2233" s="3" t="n">
        <v>308.403123</v>
      </c>
      <c r="V2233" s="3" t="n">
        <v>347.707293</v>
      </c>
      <c r="W2233" s="3" t="n">
        <v>380.260774</v>
      </c>
      <c r="X2233" s="3" t="n">
        <v>414.279057</v>
      </c>
      <c r="Y2233" s="3" t="n">
        <v>410.98759</v>
      </c>
      <c r="Z2233" s="3" t="n">
        <v>420.613822</v>
      </c>
      <c r="AA2233" s="3" t="n">
        <v>437.052352</v>
      </c>
      <c r="AB2233" s="3" t="n">
        <v>499.745663</v>
      </c>
      <c r="AC2233" s="3" t="n">
        <v>560.881274</v>
      </c>
      <c r="AD2233" s="3" t="n">
        <v>648.8661509999999</v>
      </c>
      <c r="AE2233" s="3" t="n">
        <v>721.363634</v>
      </c>
      <c r="AF2233" s="3" t="n">
        <v>814.4206799999999</v>
      </c>
      <c r="AG2233" s="3" t="n">
        <v>887.2828490000001</v>
      </c>
      <c r="AH2233" s="3" t="n">
        <v>961.68627</v>
      </c>
      <c r="AI2233" s="3" t="n">
        <v>1025.502809</v>
      </c>
      <c r="AJ2233" s="3" t="n">
        <v>1093.55415</v>
      </c>
      <c r="AK2233" s="3" t="n">
        <v>1166.121309</v>
      </c>
      <c r="AL2233" s="3" t="n">
        <v>1243.503953</v>
      </c>
      <c r="AM2233" s="3" t="n"/>
      <c r="AN2233" s="3" t="n"/>
      <c r="AO2233" s="3" t="n"/>
      <c r="AP2233" s="3" t="n"/>
      <c r="AQ2233" s="3" t="n"/>
      <c r="AR2233" s="3" t="n"/>
      <c r="AS2233" s="3" t="n"/>
      <c r="AT2233" s="3" t="n"/>
      <c r="AU2233" s="3" t="n"/>
    </row>
    <row r="2234">
      <c r="A2234" s="3" t="n">
        <v>2031</v>
      </c>
      <c r="B2234" s="3" t="inlineStr">
        <is>
          <t>NIC</t>
        </is>
      </c>
      <c r="C2234" s="3" t="inlineStr">
        <is>
          <t>IMF.RES:WEO</t>
        </is>
      </c>
      <c r="D2234" s="3" t="inlineStr">
        <is>
          <t>NIC.NGDP_D.A</t>
        </is>
      </c>
      <c r="E2234" s="3" t="inlineStr">
        <is>
          <t>Nicaragua</t>
        </is>
      </c>
      <c r="F2234" s="3" t="inlineStr">
        <is>
          <t>Gross domestic product (GDP), Price deflator, Index</t>
        </is>
      </c>
      <c r="G2234" s="3" t="n">
        <v>66.123265</v>
      </c>
      <c r="H2234" s="3" t="n">
        <v>70.91158799999999</v>
      </c>
      <c r="I2234" s="3" t="n">
        <v>73.215065</v>
      </c>
      <c r="J2234" s="3" t="n">
        <v>77.118216</v>
      </c>
      <c r="K2234" s="3" t="n">
        <v>84.06747900000001</v>
      </c>
      <c r="L2234" s="3" t="n">
        <v>92.39615000000001</v>
      </c>
      <c r="M2234" s="3" t="n">
        <v>100</v>
      </c>
      <c r="N2234" s="3" t="n">
        <v>109.673913</v>
      </c>
      <c r="O2234" s="3" t="n">
        <v>127.440158</v>
      </c>
      <c r="P2234" s="3" t="n">
        <v>135.132832</v>
      </c>
      <c r="Q2234" s="3" t="n">
        <v>143.427402</v>
      </c>
      <c r="R2234" s="3" t="n">
        <v>158.078264</v>
      </c>
      <c r="S2234" s="3" t="n">
        <v>167.947658</v>
      </c>
      <c r="T2234" s="3" t="n">
        <v>175.251967</v>
      </c>
      <c r="U2234" s="3" t="n">
        <v>189.960412</v>
      </c>
      <c r="V2234" s="3" t="n">
        <v>204.37553</v>
      </c>
      <c r="W2234" s="3" t="n">
        <v>213.755834</v>
      </c>
      <c r="X2234" s="3" t="n">
        <v>222.570802</v>
      </c>
      <c r="Y2234" s="3" t="n">
        <v>228.487309</v>
      </c>
      <c r="Z2234" s="3" t="n">
        <v>240.815083</v>
      </c>
      <c r="AA2234" s="3" t="n">
        <v>255.95113</v>
      </c>
      <c r="AB2234" s="3" t="n">
        <v>264.965693</v>
      </c>
      <c r="AC2234" s="3" t="n">
        <v>287.184038</v>
      </c>
      <c r="AD2234" s="3" t="n">
        <v>318.147396</v>
      </c>
      <c r="AE2234" s="3" t="n">
        <v>341.466128</v>
      </c>
      <c r="AF2234" s="3" t="n">
        <v>367.425507</v>
      </c>
      <c r="AG2234" s="3" t="n">
        <v>385.494261</v>
      </c>
      <c r="AH2234" s="3" t="n">
        <v>402.524104</v>
      </c>
      <c r="AI2234" s="3" t="n">
        <v>414.599828</v>
      </c>
      <c r="AJ2234" s="3" t="n">
        <v>427.037822</v>
      </c>
      <c r="AK2234" s="3" t="n">
        <v>439.848957</v>
      </c>
      <c r="AL2234" s="3" t="n">
        <v>453.044426</v>
      </c>
      <c r="AM2234" s="3" t="n"/>
      <c r="AN2234" s="3" t="n"/>
      <c r="AO2234" s="3" t="n"/>
      <c r="AP2234" s="3" t="n"/>
      <c r="AQ2234" s="3" t="n"/>
      <c r="AR2234" s="3" t="n"/>
      <c r="AS2234" s="3" t="n"/>
      <c r="AT2234" s="3" t="n"/>
      <c r="AU2234" s="3" t="n"/>
    </row>
    <row r="2235">
      <c r="A2235" s="3" t="n">
        <v>2031</v>
      </c>
      <c r="B2235" s="3" t="inlineStr">
        <is>
          <t>NIC</t>
        </is>
      </c>
      <c r="C2235" s="3" t="inlineStr">
        <is>
          <t>IMF.RES:WEO</t>
        </is>
      </c>
      <c r="D2235" s="3" t="inlineStr">
        <is>
          <t>NIC.NGDP_R.A</t>
        </is>
      </c>
      <c r="E2235" s="3" t="inlineStr">
        <is>
          <t>Nicaragua</t>
        </is>
      </c>
      <c r="F2235" s="3" t="inlineStr">
        <is>
          <t>Gross domestic product (GDP), Constant prices, Domestic currency</t>
        </is>
      </c>
      <c r="G2235" s="3" t="n">
        <v>98.016946</v>
      </c>
      <c r="H2235" s="3" t="n">
        <v>100.919074</v>
      </c>
      <c r="I2235" s="3" t="n">
        <v>101.679943</v>
      </c>
      <c r="J2235" s="3" t="n">
        <v>104.243022</v>
      </c>
      <c r="K2235" s="3" t="n">
        <v>109.820589</v>
      </c>
      <c r="L2235" s="3" t="n">
        <v>114.481832</v>
      </c>
      <c r="M2235" s="3" t="n">
        <v>118.83771</v>
      </c>
      <c r="N2235" s="3" t="n">
        <v>124.870331</v>
      </c>
      <c r="O2235" s="3" t="n">
        <v>129.160522</v>
      </c>
      <c r="P2235" s="3" t="n">
        <v>124.907698</v>
      </c>
      <c r="Q2235" s="3" t="n">
        <v>130.416252</v>
      </c>
      <c r="R2235" s="3" t="n">
        <v>138.654236</v>
      </c>
      <c r="S2235" s="3" t="n">
        <v>147.661405</v>
      </c>
      <c r="T2235" s="3" t="n">
        <v>154.936821</v>
      </c>
      <c r="U2235" s="3" t="n">
        <v>162.351261</v>
      </c>
      <c r="V2235" s="3" t="n">
        <v>170.131568</v>
      </c>
      <c r="W2235" s="3" t="n">
        <v>177.894922</v>
      </c>
      <c r="X2235" s="3" t="n">
        <v>186.133605</v>
      </c>
      <c r="Y2235" s="3" t="n">
        <v>179.873268</v>
      </c>
      <c r="Z2235" s="3" t="n">
        <v>174.662574</v>
      </c>
      <c r="AA2235" s="3" t="n">
        <v>170.756172</v>
      </c>
      <c r="AB2235" s="3" t="n">
        <v>188.607686</v>
      </c>
      <c r="AC2235" s="3" t="n">
        <v>195.303777</v>
      </c>
      <c r="AD2235" s="3" t="n">
        <v>203.951426</v>
      </c>
      <c r="AE2235" s="3" t="n">
        <v>211.254814</v>
      </c>
      <c r="AF2235" s="3" t="n">
        <v>221.655999</v>
      </c>
      <c r="AG2235" s="3" t="n">
        <v>230.16759</v>
      </c>
      <c r="AH2235" s="3" t="n">
        <v>238.913958</v>
      </c>
      <c r="AI2235" s="3" t="n">
        <v>247.347621</v>
      </c>
      <c r="AJ2235" s="3" t="n">
        <v>256.078992</v>
      </c>
      <c r="AK2235" s="3" t="n">
        <v>265.11858</v>
      </c>
      <c r="AL2235" s="3" t="n">
        <v>274.477266</v>
      </c>
      <c r="AM2235" s="3" t="n"/>
      <c r="AN2235" s="3" t="n"/>
      <c r="AO2235" s="3" t="n"/>
      <c r="AP2235" s="3" t="n"/>
      <c r="AQ2235" s="3" t="n"/>
      <c r="AR2235" s="3" t="n"/>
      <c r="AS2235" s="3" t="n"/>
      <c r="AT2235" s="3" t="n"/>
      <c r="AU2235" s="3" t="n"/>
    </row>
    <row r="2236">
      <c r="A2236" s="3" t="n">
        <v>2031</v>
      </c>
      <c r="B2236" s="3" t="inlineStr">
        <is>
          <t>NIC</t>
        </is>
      </c>
      <c r="C2236" s="3" t="inlineStr">
        <is>
          <t>IMF.RES:WEO</t>
        </is>
      </c>
      <c r="D2236" s="3" t="inlineStr">
        <is>
          <t>NIC.NGDP_RPCH.A</t>
        </is>
      </c>
      <c r="E2236" s="3" t="inlineStr">
        <is>
          <t>Nicaragua</t>
        </is>
      </c>
      <c r="F2236" s="3" t="inlineStr">
        <is>
          <t>Gross domestic product (GDP), Constant prices, Percent change</t>
        </is>
      </c>
      <c r="G2236" s="3" t="n">
        <v>4.10159</v>
      </c>
      <c r="H2236" s="3" t="n">
        <v>2.960843</v>
      </c>
      <c r="I2236" s="3" t="n">
        <v>0.753939</v>
      </c>
      <c r="J2236" s="3" t="n">
        <v>2.520733</v>
      </c>
      <c r="K2236" s="3" t="n">
        <v>5.350542</v>
      </c>
      <c r="L2236" s="3" t="n">
        <v>4.244415</v>
      </c>
      <c r="M2236" s="3" t="n">
        <v>3.804865</v>
      </c>
      <c r="N2236" s="3" t="n">
        <v>5.076352</v>
      </c>
      <c r="O2236" s="3" t="n">
        <v>3.435717</v>
      </c>
      <c r="P2236" s="3" t="n">
        <v>-3.292665</v>
      </c>
      <c r="Q2236" s="3" t="n">
        <v>4.410099</v>
      </c>
      <c r="R2236" s="3" t="n">
        <v>6.316686</v>
      </c>
      <c r="S2236" s="3" t="n">
        <v>6.496136</v>
      </c>
      <c r="T2236" s="3" t="n">
        <v>4.927094</v>
      </c>
      <c r="U2236" s="3" t="n">
        <v>4.78546</v>
      </c>
      <c r="V2236" s="3" t="n">
        <v>4.792268</v>
      </c>
      <c r="W2236" s="3" t="n">
        <v>4.563147</v>
      </c>
      <c r="X2236" s="3" t="n">
        <v>4.631208</v>
      </c>
      <c r="Y2236" s="3" t="n">
        <v>-3.363357</v>
      </c>
      <c r="Z2236" s="3" t="n">
        <v>-2.89687</v>
      </c>
      <c r="AA2236" s="3" t="n">
        <v>-2.236542</v>
      </c>
      <c r="AB2236" s="3" t="n">
        <v>10.454389</v>
      </c>
      <c r="AC2236" s="3" t="n">
        <v>3.550275</v>
      </c>
      <c r="AD2236" s="3" t="n">
        <v>4.427794</v>
      </c>
      <c r="AE2236" s="3" t="n">
        <v>3.580945</v>
      </c>
      <c r="AF2236" s="3" t="n">
        <v>4.923526</v>
      </c>
      <c r="AG2236" s="3" t="n">
        <v>3.84</v>
      </c>
      <c r="AH2236" s="3" t="n">
        <v>3.8</v>
      </c>
      <c r="AI2236" s="3" t="n">
        <v>3.53</v>
      </c>
      <c r="AJ2236" s="3" t="n">
        <v>3.53</v>
      </c>
      <c r="AK2236" s="3" t="n">
        <v>3.53</v>
      </c>
      <c r="AL2236" s="3" t="n">
        <v>3.53</v>
      </c>
      <c r="AM2236" s="3" t="n"/>
      <c r="AN2236" s="3" t="n"/>
      <c r="AO2236" s="3" t="n"/>
      <c r="AP2236" s="3" t="n"/>
      <c r="AQ2236" s="3" t="n"/>
      <c r="AR2236" s="3" t="n"/>
      <c r="AS2236" s="3" t="n"/>
      <c r="AT2236" s="3" t="n"/>
      <c r="AU2236" s="3" t="n"/>
    </row>
    <row r="2237">
      <c r="A2237" s="3" t="n">
        <v>2031</v>
      </c>
      <c r="B2237" s="3" t="inlineStr">
        <is>
          <t>NIC</t>
        </is>
      </c>
      <c r="C2237" s="3" t="inlineStr">
        <is>
          <t>IMF.RES:WEO</t>
        </is>
      </c>
      <c r="D2237" s="3" t="inlineStr">
        <is>
          <t>NIC.NGDPD.A</t>
        </is>
      </c>
      <c r="E2237" s="3" t="inlineStr">
        <is>
          <t>Nicaragua</t>
        </is>
      </c>
      <c r="F2237" s="3" t="inlineStr">
        <is>
          <t>Gross domestic product (GDP), Current prices, US dollar</t>
        </is>
      </c>
      <c r="G2237" s="3" t="n">
        <v>5.109342</v>
      </c>
      <c r="H2237" s="3" t="n">
        <v>5.335148</v>
      </c>
      <c r="I2237" s="3" t="n">
        <v>5.223727</v>
      </c>
      <c r="J2237" s="3" t="n">
        <v>5.321606</v>
      </c>
      <c r="K2237" s="3" t="n">
        <v>5.792895</v>
      </c>
      <c r="L2237" s="3" t="n">
        <v>6.321323</v>
      </c>
      <c r="M2237" s="3" t="n">
        <v>6.763668</v>
      </c>
      <c r="N2237" s="3" t="n">
        <v>7.423371</v>
      </c>
      <c r="O2237" s="3" t="n">
        <v>8.496966</v>
      </c>
      <c r="P2237" s="3" t="n">
        <v>8.297298</v>
      </c>
      <c r="Q2237" s="3" t="n">
        <v>8.758602</v>
      </c>
      <c r="R2237" s="3" t="n">
        <v>9.774298999999999</v>
      </c>
      <c r="S2237" s="3" t="n">
        <v>10.53202</v>
      </c>
      <c r="T2237" s="3" t="n">
        <v>10.982987</v>
      </c>
      <c r="U2237" s="3" t="n">
        <v>11.880438</v>
      </c>
      <c r="V2237" s="3" t="n">
        <v>12.756694</v>
      </c>
      <c r="W2237" s="3" t="n">
        <v>13.286018</v>
      </c>
      <c r="X2237" s="3" t="n">
        <v>13.786014</v>
      </c>
      <c r="Y2237" s="3" t="n">
        <v>13.025223</v>
      </c>
      <c r="Z2237" s="3" t="n">
        <v>12.713403</v>
      </c>
      <c r="AA2237" s="3" t="n">
        <v>12.730441</v>
      </c>
      <c r="AB2237" s="3" t="n">
        <v>14.208319</v>
      </c>
      <c r="AC2237" s="3" t="n">
        <v>15.633798</v>
      </c>
      <c r="AD2237" s="3" t="n">
        <v>17.812609</v>
      </c>
      <c r="AE2237" s="3" t="n">
        <v>19.696581</v>
      </c>
      <c r="AF2237" s="3" t="n">
        <v>22.237167</v>
      </c>
      <c r="AG2237" s="3" t="n">
        <v>24.226616</v>
      </c>
      <c r="AH2237" s="3" t="n">
        <v>26.258147</v>
      </c>
      <c r="AI2237" s="3" t="n">
        <v>28.000612</v>
      </c>
      <c r="AJ2237" s="3" t="n">
        <v>29.858704</v>
      </c>
      <c r="AK2237" s="3" t="n">
        <v>31.840098</v>
      </c>
      <c r="AL2237" s="3" t="n">
        <v>33.952975</v>
      </c>
      <c r="AM2237" s="3" t="n"/>
      <c r="AN2237" s="3" t="n"/>
      <c r="AO2237" s="3" t="n"/>
      <c r="AP2237" s="3" t="n"/>
      <c r="AQ2237" s="3" t="n"/>
      <c r="AR2237" s="3" t="n"/>
      <c r="AS2237" s="3" t="n"/>
      <c r="AT2237" s="3" t="n"/>
      <c r="AU2237" s="3" t="n"/>
    </row>
    <row r="2238">
      <c r="A2238" s="3" t="n">
        <v>2031</v>
      </c>
      <c r="B2238" s="3" t="inlineStr">
        <is>
          <t>NIC</t>
        </is>
      </c>
      <c r="C2238" s="3" t="inlineStr">
        <is>
          <t>IMF.RES:WEO</t>
        </is>
      </c>
      <c r="D2238" s="3" t="inlineStr">
        <is>
          <t>NIC.NGDPPC.A</t>
        </is>
      </c>
      <c r="E2238" s="3" t="inlineStr">
        <is>
          <t>Nicaragua</t>
        </is>
      </c>
      <c r="F2238" s="3" t="inlineStr">
        <is>
          <t>Gross domestic product (GDP), Current prices, Per capita, Domestic currency</t>
        </is>
      </c>
      <c r="G2238" s="3" t="n">
        <v>13074.939647</v>
      </c>
      <c r="H2238" s="3" t="n">
        <v>14146.742166</v>
      </c>
      <c r="I2238" s="3" t="n">
        <v>14420.97438</v>
      </c>
      <c r="J2238" s="3" t="n">
        <v>15260.957455</v>
      </c>
      <c r="K2238" s="3" t="n">
        <v>17177.022016</v>
      </c>
      <c r="L2238" s="3" t="n">
        <v>19290.202896</v>
      </c>
      <c r="M2238" s="3" t="n">
        <v>21518.435195</v>
      </c>
      <c r="N2238" s="3" t="n">
        <v>24475.056468</v>
      </c>
      <c r="O2238" s="3" t="n">
        <v>29036.033913</v>
      </c>
      <c r="P2238" s="3" t="n">
        <v>29394.373322</v>
      </c>
      <c r="Q2238" s="3" t="n">
        <v>32164.498642</v>
      </c>
      <c r="R2238" s="3" t="n">
        <v>36551.08058</v>
      </c>
      <c r="S2238" s="3" t="n">
        <v>40848.93279</v>
      </c>
      <c r="T2238" s="3" t="n">
        <v>44264.190935</v>
      </c>
      <c r="U2238" s="3" t="n">
        <v>49756.8848</v>
      </c>
      <c r="V2238" s="3" t="n">
        <v>55520.349486</v>
      </c>
      <c r="W2238" s="3" t="n">
        <v>60092.728075</v>
      </c>
      <c r="X2238" s="3" t="n">
        <v>64793.871779</v>
      </c>
      <c r="Y2238" s="3" t="n">
        <v>63616.430918</v>
      </c>
      <c r="Z2238" s="3" t="n">
        <v>64435.22556</v>
      </c>
      <c r="AA2238" s="3" t="n">
        <v>66263.224791</v>
      </c>
      <c r="AB2238" s="3" t="n">
        <v>74987.345095</v>
      </c>
      <c r="AC2238" s="3" t="n">
        <v>84160.80575299999</v>
      </c>
      <c r="AD2238" s="3" t="n">
        <v>97363.02602799999</v>
      </c>
      <c r="AE2238" s="3" t="n">
        <v>108241.347167</v>
      </c>
      <c r="AF2238" s="3" t="n">
        <v>122204.651512</v>
      </c>
      <c r="AG2238" s="3" t="n">
        <v>130338.806296</v>
      </c>
      <c r="AH2238" s="3" t="n">
        <v>139490.461674</v>
      </c>
      <c r="AI2238" s="3" t="n">
        <v>146879.088201</v>
      </c>
      <c r="AJ2238" s="3" t="n">
        <v>154663.492083</v>
      </c>
      <c r="AK2238" s="3" t="n">
        <v>162865.036375</v>
      </c>
      <c r="AL2238" s="3" t="n">
        <v>171882.213604</v>
      </c>
      <c r="AM2238" s="3" t="n"/>
      <c r="AN2238" s="3" t="n"/>
      <c r="AO2238" s="3" t="n"/>
      <c r="AP2238" s="3" t="n"/>
      <c r="AQ2238" s="3" t="n"/>
      <c r="AR2238" s="3" t="n"/>
      <c r="AS2238" s="3" t="n"/>
      <c r="AT2238" s="3" t="n"/>
      <c r="AU2238" s="3" t="n"/>
    </row>
    <row r="2239">
      <c r="A2239" s="3" t="n">
        <v>2031</v>
      </c>
      <c r="B2239" s="3" t="inlineStr">
        <is>
          <t>NIC</t>
        </is>
      </c>
      <c r="C2239" s="3" t="inlineStr">
        <is>
          <t>IMF.RES:WEO</t>
        </is>
      </c>
      <c r="D2239" s="3" t="inlineStr">
        <is>
          <t>NIC.NGDPRPC.A</t>
        </is>
      </c>
      <c r="E2239" s="3" t="inlineStr">
        <is>
          <t>Nicaragua</t>
        </is>
      </c>
      <c r="F2239" s="3" t="inlineStr">
        <is>
          <t>Gross domestic product (GDP), Constant prices, Per capita, Domestic currency</t>
        </is>
      </c>
      <c r="G2239" s="3" t="n">
        <v>19773.584381</v>
      </c>
      <c r="H2239" s="3" t="n">
        <v>19949.831269</v>
      </c>
      <c r="I2239" s="3" t="n">
        <v>19696.731092</v>
      </c>
      <c r="J2239" s="3" t="n">
        <v>19789.043653</v>
      </c>
      <c r="K2239" s="3" t="n">
        <v>20432.421811</v>
      </c>
      <c r="L2239" s="3" t="n">
        <v>20877.712778</v>
      </c>
      <c r="M2239" s="3" t="n">
        <v>21518.435195</v>
      </c>
      <c r="N2239" s="3" t="n">
        <v>22316.206004</v>
      </c>
      <c r="O2239" s="3" t="n">
        <v>22784.053655</v>
      </c>
      <c r="P2239" s="3" t="n">
        <v>21752.207009</v>
      </c>
      <c r="Q2239" s="3" t="n">
        <v>22425.630052</v>
      </c>
      <c r="R2239" s="3" t="n">
        <v>23122.141897</v>
      </c>
      <c r="S2239" s="3" t="n">
        <v>24322.418799</v>
      </c>
      <c r="T2239" s="3" t="n">
        <v>25257.457394</v>
      </c>
      <c r="U2239" s="3" t="n">
        <v>26193.291718</v>
      </c>
      <c r="V2239" s="3" t="n">
        <v>27165.849833</v>
      </c>
      <c r="W2239" s="3" t="n">
        <v>28112.789696</v>
      </c>
      <c r="X2239" s="3" t="n">
        <v>29111.577619</v>
      </c>
      <c r="Y2239" s="3" t="n">
        <v>27842.435142</v>
      </c>
      <c r="Z2239" s="3" t="n">
        <v>26757.138581</v>
      </c>
      <c r="AA2239" s="3" t="n">
        <v>25889.014374</v>
      </c>
      <c r="AB2239" s="3" t="n">
        <v>28300.775197</v>
      </c>
      <c r="AC2239" s="3" t="n">
        <v>29305.53047</v>
      </c>
      <c r="AD2239" s="3" t="n">
        <v>30603.118983</v>
      </c>
      <c r="AE2239" s="3" t="n">
        <v>31698.999815</v>
      </c>
      <c r="AF2239" s="3" t="n">
        <v>33259.708176</v>
      </c>
      <c r="AG2239" s="3" t="n">
        <v>33810.829217</v>
      </c>
      <c r="AH2239" s="3" t="n">
        <v>34653.94001</v>
      </c>
      <c r="AI2239" s="3" t="n">
        <v>35426.712323</v>
      </c>
      <c r="AJ2239" s="3" t="n">
        <v>36217.750273</v>
      </c>
      <c r="AK2239" s="3" t="n">
        <v>37027.49177</v>
      </c>
      <c r="AL2239" s="3" t="n">
        <v>37939.372792</v>
      </c>
      <c r="AM2239" s="3" t="n"/>
      <c r="AN2239" s="3" t="n"/>
      <c r="AO2239" s="3" t="n"/>
      <c r="AP2239" s="3" t="n"/>
      <c r="AQ2239" s="3" t="n"/>
      <c r="AR2239" s="3" t="n"/>
      <c r="AS2239" s="3" t="n"/>
      <c r="AT2239" s="3" t="n"/>
      <c r="AU2239" s="3" t="n"/>
    </row>
    <row r="2240">
      <c r="A2240" s="3" t="n">
        <v>2031</v>
      </c>
      <c r="B2240" s="3" t="inlineStr">
        <is>
          <t>NIC</t>
        </is>
      </c>
      <c r="C2240" s="3" t="inlineStr">
        <is>
          <t>IMF.RES:WEO</t>
        </is>
      </c>
      <c r="D2240" s="3" t="inlineStr">
        <is>
          <t>NIC.PCPI.A</t>
        </is>
      </c>
      <c r="E2240" s="3" t="inlineStr">
        <is>
          <t>Nicaragua</t>
        </is>
      </c>
      <c r="F2240" s="3" t="inlineStr">
        <is>
          <t>All Items, Consumer price index (CPI), Period average</t>
        </is>
      </c>
      <c r="G2240" s="3" t="n">
        <v>62.758128</v>
      </c>
      <c r="H2240" s="3" t="n">
        <v>67.375496</v>
      </c>
      <c r="I2240" s="3" t="n">
        <v>69.90219399999999</v>
      </c>
      <c r="J2240" s="3" t="n">
        <v>73.60868000000001</v>
      </c>
      <c r="K2240" s="3" t="n">
        <v>79.84349</v>
      </c>
      <c r="L2240" s="3" t="n">
        <v>87.507746</v>
      </c>
      <c r="M2240" s="3" t="n">
        <v>95.506129</v>
      </c>
      <c r="N2240" s="3" t="n">
        <v>106.133034</v>
      </c>
      <c r="O2240" s="3" t="n">
        <v>127.175185</v>
      </c>
      <c r="P2240" s="3" t="n">
        <v>131.864136</v>
      </c>
      <c r="Q2240" s="3" t="n">
        <v>139.057418</v>
      </c>
      <c r="R2240" s="3" t="n">
        <v>150.295854</v>
      </c>
      <c r="S2240" s="3" t="n">
        <v>161.108428</v>
      </c>
      <c r="T2240" s="3" t="n">
        <v>172.604361</v>
      </c>
      <c r="U2240" s="3" t="n">
        <v>183.022154</v>
      </c>
      <c r="V2240" s="3" t="n">
        <v>190.337881</v>
      </c>
      <c r="W2240" s="3" t="n">
        <v>197.044563</v>
      </c>
      <c r="X2240" s="3" t="n">
        <v>204.632103</v>
      </c>
      <c r="Y2240" s="3" t="n">
        <v>214.755738</v>
      </c>
      <c r="Z2240" s="3" t="n">
        <v>226.301629</v>
      </c>
      <c r="AA2240" s="3" t="n">
        <v>234.633633</v>
      </c>
      <c r="AB2240" s="3" t="n">
        <v>246.19735</v>
      </c>
      <c r="AC2240" s="3" t="n">
        <v>271.967871</v>
      </c>
      <c r="AD2240" s="3" t="n">
        <v>294.936734</v>
      </c>
      <c r="AE2240" s="3" t="n">
        <v>308.610008</v>
      </c>
      <c r="AF2240" s="3" t="n">
        <v>315.03893</v>
      </c>
      <c r="AG2240" s="3" t="n">
        <v>326.065292</v>
      </c>
      <c r="AH2240" s="3" t="n">
        <v>335.847251</v>
      </c>
      <c r="AI2240" s="3" t="n">
        <v>345.922669</v>
      </c>
      <c r="AJ2240" s="3" t="n">
        <v>356.300349</v>
      </c>
      <c r="AK2240" s="3" t="n">
        <v>366.989359</v>
      </c>
      <c r="AL2240" s="3" t="n">
        <v>377.99904</v>
      </c>
      <c r="AM2240" s="3" t="n"/>
      <c r="AN2240" s="3" t="n"/>
      <c r="AO2240" s="3" t="n"/>
      <c r="AP2240" s="3" t="n"/>
      <c r="AQ2240" s="3" t="n"/>
      <c r="AR2240" s="3" t="n"/>
      <c r="AS2240" s="3" t="n"/>
      <c r="AT2240" s="3" t="n"/>
      <c r="AU2240" s="3" t="n"/>
    </row>
    <row r="2241">
      <c r="A2241" s="3" t="n">
        <v>2031</v>
      </c>
      <c r="B2241" s="3" t="inlineStr">
        <is>
          <t>NIC</t>
        </is>
      </c>
      <c r="C2241" s="3" t="inlineStr">
        <is>
          <t>IMF.RES:WEO</t>
        </is>
      </c>
      <c r="D2241" s="3" t="inlineStr">
        <is>
          <t>NIC.PCPIPCH.A</t>
        </is>
      </c>
      <c r="E2241" s="3" t="inlineStr">
        <is>
          <t>Nicaragua</t>
        </is>
      </c>
      <c r="F2241" s="3" t="inlineStr">
        <is>
          <t>All Items, Consumer price index (CPI), Period average, percent change</t>
        </is>
      </c>
      <c r="G2241" s="3" t="n">
        <v>11.546803</v>
      </c>
      <c r="H2241" s="3" t="n">
        <v>7.357402</v>
      </c>
      <c r="I2241" s="3" t="n">
        <v>3.750175</v>
      </c>
      <c r="J2241" s="3" t="n">
        <v>5.302388</v>
      </c>
      <c r="K2241" s="3" t="n">
        <v>8.470211000000001</v>
      </c>
      <c r="L2241" s="3" t="n">
        <v>9.5991</v>
      </c>
      <c r="M2241" s="3" t="n">
        <v>9.1402</v>
      </c>
      <c r="N2241" s="3" t="n">
        <v>11.126935</v>
      </c>
      <c r="O2241" s="3" t="n">
        <v>19.826203</v>
      </c>
      <c r="P2241" s="3" t="n">
        <v>3.687002</v>
      </c>
      <c r="Q2241" s="3" t="n">
        <v>5.455071</v>
      </c>
      <c r="R2241" s="3" t="n">
        <v>8.081867000000001</v>
      </c>
      <c r="S2241" s="3" t="n">
        <v>7.194193</v>
      </c>
      <c r="T2241" s="3" t="n">
        <v>7.135526</v>
      </c>
      <c r="U2241" s="3" t="n">
        <v>6.035648</v>
      </c>
      <c r="V2241" s="3" t="n">
        <v>3.997181</v>
      </c>
      <c r="W2241" s="3" t="n">
        <v>3.523567</v>
      </c>
      <c r="X2241" s="3" t="n">
        <v>3.850672</v>
      </c>
      <c r="Y2241" s="3" t="n">
        <v>4.947237</v>
      </c>
      <c r="Z2241" s="3" t="n">
        <v>5.37629</v>
      </c>
      <c r="AA2241" s="3" t="n">
        <v>3.681813</v>
      </c>
      <c r="AB2241" s="3" t="n">
        <v>4.928414</v>
      </c>
      <c r="AC2241" s="3" t="n">
        <v>10.467424</v>
      </c>
      <c r="AD2241" s="3" t="n">
        <v>8.445432</v>
      </c>
      <c r="AE2241" s="3" t="n">
        <v>4.636002</v>
      </c>
      <c r="AF2241" s="3" t="n">
        <v>2.083187</v>
      </c>
      <c r="AG2241" s="3" t="n">
        <v>3.5</v>
      </c>
      <c r="AH2241" s="3" t="n">
        <v>3</v>
      </c>
      <c r="AI2241" s="3" t="n">
        <v>3</v>
      </c>
      <c r="AJ2241" s="3" t="n">
        <v>3</v>
      </c>
      <c r="AK2241" s="3" t="n">
        <v>3</v>
      </c>
      <c r="AL2241" s="3" t="n">
        <v>3</v>
      </c>
      <c r="AM2241" s="3" t="n"/>
      <c r="AN2241" s="3" t="n"/>
      <c r="AO2241" s="3" t="n"/>
      <c r="AP2241" s="3" t="n"/>
      <c r="AQ2241" s="3" t="n"/>
      <c r="AR2241" s="3" t="n"/>
      <c r="AS2241" s="3" t="n"/>
      <c r="AT2241" s="3" t="n"/>
      <c r="AU2241" s="3" t="n"/>
    </row>
    <row r="2242">
      <c r="A2242" s="3" t="n">
        <v>2031</v>
      </c>
      <c r="B2242" s="3" t="inlineStr">
        <is>
          <t>NIC</t>
        </is>
      </c>
      <c r="C2242" s="3" t="inlineStr">
        <is>
          <t>IMF.RES:WEO</t>
        </is>
      </c>
      <c r="D2242" s="3" t="inlineStr">
        <is>
          <t>NIC.PPPPC.A</t>
        </is>
      </c>
      <c r="E2242" s="3" t="inlineStr">
        <is>
          <t>Nicaragua</t>
        </is>
      </c>
      <c r="F2242" s="3" t="inlineStr">
        <is>
          <t>Gross domestic product (GDP), Per capita, purchasing power parity (PPP) international dollar, ICP benchmarks 2017-2021</t>
        </is>
      </c>
      <c r="G2242" s="3" t="n">
        <v>3037.733267</v>
      </c>
      <c r="H2242" s="3" t="n">
        <v>3133.817213</v>
      </c>
      <c r="I2242" s="3" t="n">
        <v>3142.141781</v>
      </c>
      <c r="J2242" s="3" t="n">
        <v>3219.191424</v>
      </c>
      <c r="K2242" s="3" t="n">
        <v>3413.227714</v>
      </c>
      <c r="L2242" s="3" t="n">
        <v>3596.978697</v>
      </c>
      <c r="M2242" s="3" t="n">
        <v>3821.698305</v>
      </c>
      <c r="N2242" s="3" t="n">
        <v>4070.762056</v>
      </c>
      <c r="O2242" s="3" t="n">
        <v>4236.16711</v>
      </c>
      <c r="P2242" s="3" t="n">
        <v>4069.262136</v>
      </c>
      <c r="Q2242" s="3" t="n">
        <v>4246.229663</v>
      </c>
      <c r="R2242" s="3" t="n">
        <v>4468.443541</v>
      </c>
      <c r="S2242" s="3" t="n">
        <v>4787.919994</v>
      </c>
      <c r="T2242" s="3" t="n">
        <v>5056.607753</v>
      </c>
      <c r="U2242" s="3" t="n">
        <v>5335.299088</v>
      </c>
      <c r="V2242" s="3" t="n">
        <v>5584.751874</v>
      </c>
      <c r="W2242" s="3" t="n">
        <v>5834.341093</v>
      </c>
      <c r="X2242" s="3" t="n">
        <v>6149.821682</v>
      </c>
      <c r="Y2242" s="3" t="n">
        <v>5879.750976</v>
      </c>
      <c r="Z2242" s="3" t="n">
        <v>5940.753666</v>
      </c>
      <c r="AA2242" s="3" t="n">
        <v>6245.145476</v>
      </c>
      <c r="AB2242" s="3" t="n">
        <v>7098.168248</v>
      </c>
      <c r="AC2242" s="3" t="n">
        <v>7872.947438</v>
      </c>
      <c r="AD2242" s="3" t="n">
        <v>8525.745251</v>
      </c>
      <c r="AE2242" s="3" t="n">
        <v>9050.282203000001</v>
      </c>
      <c r="AF2242" s="3" t="n">
        <v>9765.250969999999</v>
      </c>
      <c r="AG2242" s="3" t="n">
        <v>10211.458991</v>
      </c>
      <c r="AH2242" s="3" t="n">
        <v>10695.918279</v>
      </c>
      <c r="AI2242" s="3" t="n">
        <v>11113.910763</v>
      </c>
      <c r="AJ2242" s="3" t="n">
        <v>11564.101642</v>
      </c>
      <c r="AK2242" s="3" t="n">
        <v>12039.891361</v>
      </c>
      <c r="AL2242" s="3" t="n">
        <v>12559.108625</v>
      </c>
      <c r="AM2242" s="3" t="n"/>
      <c r="AN2242" s="3" t="n"/>
      <c r="AO2242" s="3" t="n"/>
      <c r="AP2242" s="3" t="n"/>
      <c r="AQ2242" s="3" t="n"/>
      <c r="AR2242" s="3" t="n"/>
      <c r="AS2242" s="3" t="n"/>
      <c r="AT2242" s="3" t="n"/>
      <c r="AU2242" s="3" t="n"/>
    </row>
    <row r="2243">
      <c r="A2243" s="3" t="n">
        <v>2025</v>
      </c>
      <c r="B2243" s="3" t="inlineStr">
        <is>
          <t>NIC</t>
        </is>
      </c>
      <c r="C2243" s="3" t="inlineStr">
        <is>
          <t>IMF.STA:ER</t>
        </is>
      </c>
      <c r="D2243" s="3" t="inlineStr">
        <is>
          <t>NIC.XDC_USD.PA_RT.A</t>
        </is>
      </c>
      <c r="E2243" s="3" t="inlineStr">
        <is>
          <t>Nicaragua</t>
        </is>
      </c>
      <c r="F2243" s="3" t="inlineStr">
        <is>
          <t>Domestic currency per US Dollar</t>
        </is>
      </c>
      <c r="G2243" s="3" t="n">
        <v>12.6843916666666</v>
      </c>
      <c r="H2243" s="3" t="n">
        <v>13.3719416666666</v>
      </c>
      <c r="I2243" s="3" t="n">
        <v>14.25132525</v>
      </c>
      <c r="J2243" s="3" t="n">
        <v>15.1046433333333</v>
      </c>
      <c r="K2243" s="3" t="n">
        <v>15.9372473164627</v>
      </c>
      <c r="L2243" s="3" t="n">
        <v>16.7333295340501</v>
      </c>
      <c r="M2243" s="3" t="n">
        <v>17.5699984318996</v>
      </c>
      <c r="N2243" s="3" t="n">
        <v>18.4485061597542</v>
      </c>
      <c r="O2243" s="3" t="n">
        <v>19.371896406501</v>
      </c>
      <c r="P2243" s="3" t="n">
        <v>20.3394818701997</v>
      </c>
      <c r="Q2243" s="3" t="n">
        <v>21.3564486834357</v>
      </c>
      <c r="R2243" s="3" t="n">
        <v>22.4242706163594</v>
      </c>
      <c r="S2243" s="3" t="n">
        <v>23.5466635310839</v>
      </c>
      <c r="T2243" s="3" t="n">
        <v>24.7227641666666</v>
      </c>
      <c r="U2243" s="3" t="n">
        <v>25.9589003667434</v>
      </c>
      <c r="V2243" s="3" t="n">
        <v>27.2568449404762</v>
      </c>
      <c r="W2243" s="3" t="n">
        <v>28.6209624101587</v>
      </c>
      <c r="X2243" s="3" t="n">
        <v>30.0509413442878</v>
      </c>
      <c r="Y2243" s="3" t="n">
        <v>31.5532123338753</v>
      </c>
      <c r="Z2243" s="3" t="n">
        <v>33.121745265284</v>
      </c>
      <c r="AA2243" s="3" t="n">
        <v>34.3421221197024</v>
      </c>
      <c r="AB2243" s="3" t="n">
        <v>35.1710166666666</v>
      </c>
      <c r="AC2243" s="3" t="n">
        <v>35.874421141967</v>
      </c>
      <c r="AD2243" s="3" t="n">
        <v>36.4411942796585</v>
      </c>
      <c r="AE2243" s="3" t="n">
        <v>36.6243</v>
      </c>
      <c r="AF2243" s="3" t="n">
        <v>36.6243</v>
      </c>
      <c r="AG2243" s="3" t="n"/>
      <c r="AH2243" s="3" t="n"/>
      <c r="AI2243" s="3" t="n"/>
      <c r="AJ2243" s="3" t="n"/>
      <c r="AK2243" s="3" t="n"/>
      <c r="AL2243" s="3" t="n"/>
      <c r="AM2243" s="3" t="n"/>
      <c r="AN2243" s="3" t="n"/>
      <c r="AO2243" s="3" t="n"/>
      <c r="AP2243" s="3" t="n"/>
      <c r="AQ2243" s="3" t="n"/>
      <c r="AR2243" s="3" t="n"/>
      <c r="AS2243" s="3" t="n"/>
      <c r="AT2243" s="3" t="n"/>
      <c r="AU2243" s="3" t="n"/>
    </row>
    <row r="2244">
      <c r="A2244" s="3" t="n">
        <v>2031</v>
      </c>
      <c r="B2244" s="3" t="inlineStr">
        <is>
          <t>NLD</t>
        </is>
      </c>
      <c r="C2244" s="3" t="inlineStr">
        <is>
          <t>IMF.RES:WEO</t>
        </is>
      </c>
      <c r="D2244" s="3" t="inlineStr">
        <is>
          <t>NLD.BCA.A</t>
        </is>
      </c>
      <c r="E2244" s="3" t="inlineStr">
        <is>
          <t>Netherlands, The</t>
        </is>
      </c>
      <c r="F2244" s="3" t="inlineStr">
        <is>
          <t>Current account balance (credit less debit), US dollar</t>
        </is>
      </c>
      <c r="G2244" s="3" t="n">
        <v>7.257328</v>
      </c>
      <c r="H2244" s="3" t="n">
        <v>9.813967</v>
      </c>
      <c r="I2244" s="3" t="n">
        <v>11.032389</v>
      </c>
      <c r="J2244" s="3" t="n">
        <v>29.892053</v>
      </c>
      <c r="K2244" s="3" t="n">
        <v>50.443454</v>
      </c>
      <c r="L2244" s="3" t="n">
        <v>45.652231</v>
      </c>
      <c r="M2244" s="3" t="n">
        <v>60.04215</v>
      </c>
      <c r="N2244" s="3" t="n">
        <v>45.359946</v>
      </c>
      <c r="O2244" s="3" t="n">
        <v>37.711921</v>
      </c>
      <c r="P2244" s="3" t="n">
        <v>28.858759</v>
      </c>
      <c r="Q2244" s="3" t="n">
        <v>54.734457</v>
      </c>
      <c r="R2244" s="3" t="n">
        <v>64.381911</v>
      </c>
      <c r="S2244" s="3" t="n">
        <v>63.350623</v>
      </c>
      <c r="T2244" s="3" t="n">
        <v>69.87065200000001</v>
      </c>
      <c r="U2244" s="3" t="n">
        <v>77.184527</v>
      </c>
      <c r="V2244" s="3" t="n">
        <v>37.301162</v>
      </c>
      <c r="W2244" s="3" t="n">
        <v>57.245404</v>
      </c>
      <c r="X2244" s="3" t="n">
        <v>68.277551</v>
      </c>
      <c r="Y2244" s="3" t="n">
        <v>82.30377799999999</v>
      </c>
      <c r="Z2244" s="3" t="n">
        <v>63.143091</v>
      </c>
      <c r="AA2244" s="3" t="n">
        <v>53.038792</v>
      </c>
      <c r="AB2244" s="3" t="n">
        <v>108.128173</v>
      </c>
      <c r="AC2244" s="3" t="n">
        <v>70.99548299999999</v>
      </c>
      <c r="AD2244" s="3" t="n">
        <v>107.021308</v>
      </c>
      <c r="AE2244" s="3" t="n">
        <v>111.084805</v>
      </c>
      <c r="AF2244" s="3" t="n">
        <v>116.844723</v>
      </c>
      <c r="AG2244" s="3" t="n">
        <v>127.503581</v>
      </c>
      <c r="AH2244" s="3" t="n">
        <v>130.725573</v>
      </c>
      <c r="AI2244" s="3" t="n">
        <v>134.988389</v>
      </c>
      <c r="AJ2244" s="3" t="n">
        <v>139.31199</v>
      </c>
      <c r="AK2244" s="3" t="n">
        <v>142.389537</v>
      </c>
      <c r="AL2244" s="3" t="n">
        <v>145.344685</v>
      </c>
      <c r="AM2244" s="3" t="n"/>
      <c r="AN2244" s="3" t="n"/>
      <c r="AO2244" s="3" t="n"/>
      <c r="AP2244" s="3" t="n"/>
      <c r="AQ2244" s="3" t="n"/>
      <c r="AR2244" s="3" t="n"/>
      <c r="AS2244" s="3" t="n"/>
      <c r="AT2244" s="3" t="n"/>
      <c r="AU2244" s="3" t="n"/>
    </row>
    <row r="2245">
      <c r="A2245" s="3" t="n">
        <v>2031</v>
      </c>
      <c r="B2245" s="3" t="inlineStr">
        <is>
          <t>NLD</t>
        </is>
      </c>
      <c r="C2245" s="3" t="inlineStr">
        <is>
          <t>IMF.RES:WEO</t>
        </is>
      </c>
      <c r="D2245" s="3" t="inlineStr">
        <is>
          <t>NLD.BCA_NGDPD.A</t>
        </is>
      </c>
      <c r="E2245" s="3" t="inlineStr">
        <is>
          <t>Netherlands, The</t>
        </is>
      </c>
      <c r="F2245" s="3" t="inlineStr">
        <is>
          <t>Current account balance (credit less debit), Percent of GDP</t>
        </is>
      </c>
      <c r="G2245" s="3" t="n">
        <v>1.736894</v>
      </c>
      <c r="H2245" s="3" t="n">
        <v>2.26892</v>
      </c>
      <c r="I2245" s="3" t="n">
        <v>2.32166</v>
      </c>
      <c r="J2245" s="3" t="n">
        <v>5.133536</v>
      </c>
      <c r="K2245" s="3" t="n">
        <v>7.632254</v>
      </c>
      <c r="L2245" s="3" t="n">
        <v>6.630544</v>
      </c>
      <c r="M2245" s="3" t="n">
        <v>8.13984</v>
      </c>
      <c r="N2245" s="3" t="n">
        <v>5.313958</v>
      </c>
      <c r="O2245" s="3" t="n">
        <v>3.937362</v>
      </c>
      <c r="P2245" s="3" t="n">
        <v>3.286875</v>
      </c>
      <c r="Q2245" s="3" t="n">
        <v>6.415488</v>
      </c>
      <c r="R2245" s="3" t="n">
        <v>7.051842</v>
      </c>
      <c r="S2245" s="3" t="n">
        <v>7.486266</v>
      </c>
      <c r="T2245" s="3" t="n">
        <v>7.904238</v>
      </c>
      <c r="U2245" s="3" t="n">
        <v>8.559046</v>
      </c>
      <c r="V2245" s="3" t="n">
        <v>4.807952</v>
      </c>
      <c r="W2245" s="3" t="n">
        <v>7.183115</v>
      </c>
      <c r="X2245" s="3" t="n">
        <v>8.052223</v>
      </c>
      <c r="Y2245" s="3" t="n">
        <v>8.848392</v>
      </c>
      <c r="Z2245" s="3" t="n">
        <v>6.796848</v>
      </c>
      <c r="AA2245" s="3" t="n">
        <v>5.691991</v>
      </c>
      <c r="AB2245" s="3" t="n">
        <v>10.247434</v>
      </c>
      <c r="AC2245" s="3" t="n">
        <v>6.778491</v>
      </c>
      <c r="AD2245" s="3" t="n">
        <v>9.422521</v>
      </c>
      <c r="AE2245" s="3" t="n">
        <v>9.14608</v>
      </c>
      <c r="AF2245" s="3" t="n">
        <v>8.770545</v>
      </c>
      <c r="AG2245" s="3" t="n">
        <v>8.795146000000001</v>
      </c>
      <c r="AH2245" s="3" t="n">
        <v>8.712576</v>
      </c>
      <c r="AI2245" s="3" t="n">
        <v>8.701342</v>
      </c>
      <c r="AJ2245" s="3" t="n">
        <v>8.688357999999999</v>
      </c>
      <c r="AK2245" s="3" t="n">
        <v>8.603823</v>
      </c>
      <c r="AL2245" s="3" t="n">
        <v>8.510573000000001</v>
      </c>
      <c r="AM2245" s="3" t="n"/>
      <c r="AN2245" s="3" t="n"/>
      <c r="AO2245" s="3" t="n"/>
      <c r="AP2245" s="3" t="n"/>
      <c r="AQ2245" s="3" t="n"/>
      <c r="AR2245" s="3" t="n"/>
      <c r="AS2245" s="3" t="n"/>
      <c r="AT2245" s="3" t="n"/>
      <c r="AU2245" s="3" t="n"/>
    </row>
    <row r="2246">
      <c r="A2246" s="3" t="n">
        <v>2031</v>
      </c>
      <c r="B2246" s="3" t="inlineStr">
        <is>
          <t>NLD</t>
        </is>
      </c>
      <c r="C2246" s="3" t="inlineStr">
        <is>
          <t>IMF.RES:WEO</t>
        </is>
      </c>
      <c r="D2246" s="3" t="inlineStr">
        <is>
          <t>NLD.GGR_NGDP.A</t>
        </is>
      </c>
      <c r="E2246" s="3" t="inlineStr">
        <is>
          <t>Netherlands, The</t>
        </is>
      </c>
      <c r="F2246" s="3" t="inlineStr">
        <is>
          <t>Revenue, General government, Percent of GDP</t>
        </is>
      </c>
      <c r="G2246" s="3" t="n">
        <v>44.346084</v>
      </c>
      <c r="H2246" s="3" t="n">
        <v>43.607604</v>
      </c>
      <c r="I2246" s="3" t="n">
        <v>42.551118</v>
      </c>
      <c r="J2246" s="3" t="n">
        <v>42.56022</v>
      </c>
      <c r="K2246" s="3" t="n">
        <v>42.848113</v>
      </c>
      <c r="L2246" s="3" t="n">
        <v>42.905543</v>
      </c>
      <c r="M2246" s="3" t="n">
        <v>44.003003</v>
      </c>
      <c r="N2246" s="3" t="n">
        <v>43.106098</v>
      </c>
      <c r="O2246" s="3" t="n">
        <v>44.201665</v>
      </c>
      <c r="P2246" s="3" t="n">
        <v>43.36698</v>
      </c>
      <c r="Q2246" s="3" t="n">
        <v>43.561807</v>
      </c>
      <c r="R2246" s="3" t="n">
        <v>43.354324</v>
      </c>
      <c r="S2246" s="3" t="n">
        <v>43.80887</v>
      </c>
      <c r="T2246" s="3" t="n">
        <v>44.669733</v>
      </c>
      <c r="U2246" s="3" t="n">
        <v>44.566308</v>
      </c>
      <c r="V2246" s="3" t="n">
        <v>43.416598</v>
      </c>
      <c r="W2246" s="3" t="n">
        <v>44.142188</v>
      </c>
      <c r="X2246" s="3" t="n">
        <v>44.112958</v>
      </c>
      <c r="Y2246" s="3" t="n">
        <v>43.937872</v>
      </c>
      <c r="Z2246" s="3" t="n">
        <v>44.006812</v>
      </c>
      <c r="AA2246" s="3" t="n">
        <v>44.096303</v>
      </c>
      <c r="AB2246" s="3" t="n">
        <v>43.634793</v>
      </c>
      <c r="AC2246" s="3" t="n">
        <v>43.267996</v>
      </c>
      <c r="AD2246" s="3" t="n">
        <v>43.629426</v>
      </c>
      <c r="AE2246" s="3" t="n">
        <v>43.467957</v>
      </c>
      <c r="AF2246" s="3" t="n">
        <v>43.305024</v>
      </c>
      <c r="AG2246" s="3" t="n">
        <v>43.499206</v>
      </c>
      <c r="AH2246" s="3" t="n">
        <v>43.74029</v>
      </c>
      <c r="AI2246" s="3" t="n">
        <v>43.852844</v>
      </c>
      <c r="AJ2246" s="3" t="n">
        <v>44.05791</v>
      </c>
      <c r="AK2246" s="3" t="n">
        <v>44.270047</v>
      </c>
      <c r="AL2246" s="3" t="n">
        <v>44.307147</v>
      </c>
      <c r="AM2246" s="3" t="n"/>
      <c r="AN2246" s="3" t="n"/>
      <c r="AO2246" s="3" t="n"/>
      <c r="AP2246" s="3" t="n"/>
      <c r="AQ2246" s="3" t="n"/>
      <c r="AR2246" s="3" t="n"/>
      <c r="AS2246" s="3" t="n"/>
      <c r="AT2246" s="3" t="n"/>
      <c r="AU2246" s="3" t="n"/>
    </row>
    <row r="2247">
      <c r="A2247" s="3" t="n">
        <v>2031</v>
      </c>
      <c r="B2247" s="3" t="inlineStr">
        <is>
          <t>NLD</t>
        </is>
      </c>
      <c r="C2247" s="3" t="inlineStr">
        <is>
          <t>IMF.RES:WEO</t>
        </is>
      </c>
      <c r="D2247" s="3" t="inlineStr">
        <is>
          <t>NLD.GGX_NGDP.A</t>
        </is>
      </c>
      <c r="E2247" s="3" t="inlineStr">
        <is>
          <t>Netherlands, The</t>
        </is>
      </c>
      <c r="F2247" s="3" t="inlineStr">
        <is>
          <t>Expenditure, General government, Percent of GDP</t>
        </is>
      </c>
      <c r="G2247" s="3" t="n">
        <v>43.210281</v>
      </c>
      <c r="H2247" s="3" t="n">
        <v>44.075363</v>
      </c>
      <c r="I2247" s="3" t="n">
        <v>44.78118</v>
      </c>
      <c r="J2247" s="3" t="n">
        <v>45.752096</v>
      </c>
      <c r="K2247" s="3" t="n">
        <v>44.673074</v>
      </c>
      <c r="L2247" s="3" t="n">
        <v>43.420258</v>
      </c>
      <c r="M2247" s="3" t="n">
        <v>43.961978</v>
      </c>
      <c r="N2247" s="3" t="n">
        <v>43.268596</v>
      </c>
      <c r="O2247" s="3" t="n">
        <v>44.259242</v>
      </c>
      <c r="P2247" s="3" t="n">
        <v>48.427337</v>
      </c>
      <c r="Q2247" s="3" t="n">
        <v>48.866602</v>
      </c>
      <c r="R2247" s="3" t="n">
        <v>47.775882</v>
      </c>
      <c r="S2247" s="3" t="n">
        <v>47.642473</v>
      </c>
      <c r="T2247" s="3" t="n">
        <v>47.542171</v>
      </c>
      <c r="U2247" s="3" t="n">
        <v>46.739372</v>
      </c>
      <c r="V2247" s="3" t="n">
        <v>45.251761</v>
      </c>
      <c r="W2247" s="3" t="n">
        <v>43.916965</v>
      </c>
      <c r="X2247" s="3" t="n">
        <v>42.75878</v>
      </c>
      <c r="Y2247" s="3" t="n">
        <v>42.443092</v>
      </c>
      <c r="Z2247" s="3" t="n">
        <v>42.098324</v>
      </c>
      <c r="AA2247" s="3" t="n">
        <v>47.813189</v>
      </c>
      <c r="AB2247" s="3" t="n">
        <v>45.894341</v>
      </c>
      <c r="AC2247" s="3" t="n">
        <v>43.265783</v>
      </c>
      <c r="AD2247" s="3" t="n">
        <v>44.000522</v>
      </c>
      <c r="AE2247" s="3" t="n">
        <v>44.412847</v>
      </c>
      <c r="AF2247" s="3" t="n">
        <v>45.146368</v>
      </c>
      <c r="AG2247" s="3" t="n">
        <v>46.155907</v>
      </c>
      <c r="AH2247" s="3" t="n">
        <v>45.804745</v>
      </c>
      <c r="AI2247" s="3" t="n">
        <v>45.91955</v>
      </c>
      <c r="AJ2247" s="3" t="n">
        <v>46.443955</v>
      </c>
      <c r="AK2247" s="3" t="n">
        <v>46.728983</v>
      </c>
      <c r="AL2247" s="3" t="n">
        <v>46.91836</v>
      </c>
      <c r="AM2247" s="3" t="n"/>
      <c r="AN2247" s="3" t="n"/>
      <c r="AO2247" s="3" t="n"/>
      <c r="AP2247" s="3" t="n"/>
      <c r="AQ2247" s="3" t="n"/>
      <c r="AR2247" s="3" t="n"/>
      <c r="AS2247" s="3" t="n"/>
      <c r="AT2247" s="3" t="n"/>
      <c r="AU2247" s="3" t="n"/>
    </row>
    <row r="2248">
      <c r="A2248" s="3" t="n">
        <v>2027</v>
      </c>
      <c r="B2248" s="3" t="inlineStr">
        <is>
          <t>NLD</t>
        </is>
      </c>
      <c r="C2248" s="3" t="inlineStr">
        <is>
          <t>IMF.RES:WEO</t>
        </is>
      </c>
      <c r="D2248" s="3" t="inlineStr">
        <is>
          <t>NLD.LE.A</t>
        </is>
      </c>
      <c r="E2248" s="3" t="inlineStr">
        <is>
          <t>Netherlands, The</t>
        </is>
      </c>
      <c r="F2248" s="3" t="inlineStr">
        <is>
          <t>Employed persons, Persons for countries / Index for country groups</t>
        </is>
      </c>
      <c r="G2248" s="3" t="n">
        <v>7.712</v>
      </c>
      <c r="H2248" s="3" t="n">
        <v>7.811</v>
      </c>
      <c r="I2248" s="3" t="n">
        <v>7.911</v>
      </c>
      <c r="J2248" s="3" t="n">
        <v>7.951</v>
      </c>
      <c r="K2248" s="3" t="n">
        <v>7.92575</v>
      </c>
      <c r="L2248" s="3" t="n">
        <v>7.982583</v>
      </c>
      <c r="M2248" s="3" t="n">
        <v>8.106083</v>
      </c>
      <c r="N2248" s="3" t="n">
        <v>8.331250000000001</v>
      </c>
      <c r="O2248" s="3" t="n">
        <v>8.522667</v>
      </c>
      <c r="P2248" s="3" t="n">
        <v>8.527749999999999</v>
      </c>
      <c r="Q2248" s="3" t="n">
        <v>8.440833</v>
      </c>
      <c r="R2248" s="3" t="n">
        <v>8.44375</v>
      </c>
      <c r="S2248" s="3" t="n">
        <v>8.4955</v>
      </c>
      <c r="T2248" s="3" t="n">
        <v>8.433083</v>
      </c>
      <c r="U2248" s="3" t="n">
        <v>8.382332999999999</v>
      </c>
      <c r="V2248" s="3" t="n">
        <v>8.457667000000001</v>
      </c>
      <c r="W2248" s="3" t="n">
        <v>8.569832999999999</v>
      </c>
      <c r="X2248" s="3" t="n">
        <v>8.7445</v>
      </c>
      <c r="Y2248" s="3" t="n">
        <v>8.939417000000001</v>
      </c>
      <c r="Z2248" s="3" t="n">
        <v>9.116833</v>
      </c>
      <c r="AA2248" s="3" t="n">
        <v>9.116</v>
      </c>
      <c r="AB2248" s="3" t="n">
        <v>9.254</v>
      </c>
      <c r="AC2248" s="3" t="n">
        <v>9.546250000000001</v>
      </c>
      <c r="AD2248" s="3" t="n">
        <v>9.735749999999999</v>
      </c>
      <c r="AE2248" s="3" t="n">
        <v>9.798166999999999</v>
      </c>
      <c r="AF2248" s="3" t="n">
        <v>9.83225</v>
      </c>
      <c r="AG2248" s="3" t="n">
        <v>9.857545</v>
      </c>
      <c r="AH2248" s="3" t="n">
        <v>9.877867</v>
      </c>
      <c r="AI2248" s="3" t="n"/>
      <c r="AJ2248" s="3" t="n"/>
      <c r="AK2248" s="3" t="n"/>
      <c r="AL2248" s="3" t="n"/>
      <c r="AM2248" s="3" t="n"/>
      <c r="AN2248" s="3" t="n"/>
      <c r="AO2248" s="3" t="n"/>
      <c r="AP2248" s="3" t="n"/>
      <c r="AQ2248" s="3" t="n"/>
      <c r="AR2248" s="3" t="n"/>
      <c r="AS2248" s="3" t="n"/>
      <c r="AT2248" s="3" t="n"/>
      <c r="AU2248" s="3" t="n"/>
    </row>
    <row r="2249">
      <c r="A2249" s="3" t="n">
        <v>2031</v>
      </c>
      <c r="B2249" s="3" t="inlineStr">
        <is>
          <t>NLD</t>
        </is>
      </c>
      <c r="C2249" s="3" t="inlineStr">
        <is>
          <t>IMF.RES:WEO</t>
        </is>
      </c>
      <c r="D2249" s="3" t="inlineStr">
        <is>
          <t>NLD.LP.A</t>
        </is>
      </c>
      <c r="E2249" s="3" t="inlineStr">
        <is>
          <t>Netherlands, The</t>
        </is>
      </c>
      <c r="F2249" s="3" t="inlineStr">
        <is>
          <t>Population, Persons for countries / Index for country groups</t>
        </is>
      </c>
      <c r="G2249" s="3" t="n">
        <v>15.863943</v>
      </c>
      <c r="H2249" s="3" t="n">
        <v>15.987074</v>
      </c>
      <c r="I2249" s="3" t="n">
        <v>16.105283</v>
      </c>
      <c r="J2249" s="3" t="n">
        <v>16.192572</v>
      </c>
      <c r="K2249" s="3" t="n">
        <v>16.258032</v>
      </c>
      <c r="L2249" s="3" t="n">
        <v>16.305526</v>
      </c>
      <c r="M2249" s="3" t="n">
        <v>16.33421</v>
      </c>
      <c r="N2249" s="3" t="n">
        <v>16.357992</v>
      </c>
      <c r="O2249" s="3" t="n">
        <v>16.405399</v>
      </c>
      <c r="P2249" s="3" t="n">
        <v>16.485787</v>
      </c>
      <c r="Q2249" s="3" t="n">
        <v>16.574989</v>
      </c>
      <c r="R2249" s="3" t="n">
        <v>16.655799</v>
      </c>
      <c r="S2249" s="3" t="n">
        <v>16.730348</v>
      </c>
      <c r="T2249" s="3" t="n">
        <v>16.779575</v>
      </c>
      <c r="U2249" s="3" t="n">
        <v>16.829289</v>
      </c>
      <c r="V2249" s="3" t="n">
        <v>16.900726</v>
      </c>
      <c r="W2249" s="3" t="n">
        <v>16.97912</v>
      </c>
      <c r="X2249" s="3" t="n">
        <v>17.081507</v>
      </c>
      <c r="Y2249" s="3" t="n">
        <v>17.181084</v>
      </c>
      <c r="Z2249" s="3" t="n">
        <v>17.282163</v>
      </c>
      <c r="AA2249" s="3" t="n">
        <v>17.407585</v>
      </c>
      <c r="AB2249" s="3" t="n">
        <v>17.475415</v>
      </c>
      <c r="AC2249" s="3" t="n">
        <v>17.590672</v>
      </c>
      <c r="AD2249" s="3" t="n">
        <v>17.811291</v>
      </c>
      <c r="AE2249" s="3" t="n">
        <v>17.942942</v>
      </c>
      <c r="AF2249" s="3" t="n">
        <v>18.044027</v>
      </c>
      <c r="AG2249" s="3" t="n">
        <v>18.140006</v>
      </c>
      <c r="AH2249" s="3" t="n">
        <v>18.224987</v>
      </c>
      <c r="AI2249" s="3" t="n">
        <v>18.30497</v>
      </c>
      <c r="AJ2249" s="3" t="n">
        <v>18.378953</v>
      </c>
      <c r="AK2249" s="3" t="n">
        <v>18.453236</v>
      </c>
      <c r="AL2249" s="3" t="n">
        <v>18.527819</v>
      </c>
      <c r="AM2249" s="3" t="n"/>
      <c r="AN2249" s="3" t="n"/>
      <c r="AO2249" s="3" t="n"/>
      <c r="AP2249" s="3" t="n"/>
      <c r="AQ2249" s="3" t="n"/>
      <c r="AR2249" s="3" t="n"/>
      <c r="AS2249" s="3" t="n"/>
      <c r="AT2249" s="3" t="n"/>
      <c r="AU2249" s="3" t="n"/>
    </row>
    <row r="2250">
      <c r="A2250" s="3" t="n">
        <v>2031</v>
      </c>
      <c r="B2250" s="3" t="inlineStr">
        <is>
          <t>NLD</t>
        </is>
      </c>
      <c r="C2250" s="3" t="inlineStr">
        <is>
          <t>IMF.RES:WEO</t>
        </is>
      </c>
      <c r="D2250" s="3" t="inlineStr">
        <is>
          <t>NLD.NGDP.A</t>
        </is>
      </c>
      <c r="E2250" s="3" t="inlineStr">
        <is>
          <t>Netherlands, The</t>
        </is>
      </c>
      <c r="F2250" s="3" t="inlineStr">
        <is>
          <t>Gross domestic product (GDP), Current prices, Domestic currency</t>
        </is>
      </c>
      <c r="G2250" s="3" t="n">
        <v>452.191</v>
      </c>
      <c r="H2250" s="3" t="n">
        <v>482.941</v>
      </c>
      <c r="I2250" s="3" t="n">
        <v>502.901</v>
      </c>
      <c r="J2250" s="3" t="n">
        <v>514.901</v>
      </c>
      <c r="K2250" s="3" t="n">
        <v>531.573</v>
      </c>
      <c r="L2250" s="3" t="n">
        <v>553.122</v>
      </c>
      <c r="M2250" s="3" t="n">
        <v>587.444</v>
      </c>
      <c r="N2250" s="3" t="n">
        <v>622.775</v>
      </c>
      <c r="O2250" s="3" t="n">
        <v>651.299</v>
      </c>
      <c r="P2250" s="3" t="n">
        <v>630.173</v>
      </c>
      <c r="Q2250" s="3" t="n">
        <v>643.022</v>
      </c>
      <c r="R2250" s="3" t="n">
        <v>656.013</v>
      </c>
      <c r="S2250" s="3" t="n">
        <v>658.232</v>
      </c>
      <c r="T2250" s="3" t="n">
        <v>665.567</v>
      </c>
      <c r="U2250" s="3" t="n">
        <v>678.627</v>
      </c>
      <c r="V2250" s="3" t="n">
        <v>699.175</v>
      </c>
      <c r="W2250" s="3" t="n">
        <v>720.175</v>
      </c>
      <c r="X2250" s="3" t="n">
        <v>750.861</v>
      </c>
      <c r="Y2250" s="3" t="n">
        <v>787.273</v>
      </c>
      <c r="Z2250" s="3" t="n">
        <v>829.7670000000001</v>
      </c>
      <c r="AA2250" s="3" t="n">
        <v>816.463</v>
      </c>
      <c r="AB2250" s="3" t="n">
        <v>891.55</v>
      </c>
      <c r="AC2250" s="3" t="n">
        <v>993.8200000000001</v>
      </c>
      <c r="AD2250" s="3" t="n">
        <v>1050.133</v>
      </c>
      <c r="AE2250" s="3" t="n">
        <v>1122.459</v>
      </c>
      <c r="AF2250" s="3" t="n">
        <v>1179.66</v>
      </c>
      <c r="AG2250" s="3" t="n">
        <v>1229.376485</v>
      </c>
      <c r="AH2250" s="3" t="n">
        <v>1275.323721</v>
      </c>
      <c r="AI2250" s="3" t="n">
        <v>1322.185368</v>
      </c>
      <c r="AJ2250" s="3" t="n">
        <v>1367.298158</v>
      </c>
      <c r="AK2250" s="3" t="n">
        <v>1411.454893</v>
      </c>
      <c r="AL2250" s="3" t="n">
        <v>1456.774231</v>
      </c>
      <c r="AM2250" s="3" t="n"/>
      <c r="AN2250" s="3" t="n"/>
      <c r="AO2250" s="3" t="n"/>
      <c r="AP2250" s="3" t="n"/>
      <c r="AQ2250" s="3" t="n"/>
      <c r="AR2250" s="3" t="n"/>
      <c r="AS2250" s="3" t="n"/>
      <c r="AT2250" s="3" t="n"/>
      <c r="AU2250" s="3" t="n"/>
    </row>
    <row r="2251">
      <c r="A2251" s="3" t="n">
        <v>2031</v>
      </c>
      <c r="B2251" s="3" t="inlineStr">
        <is>
          <t>NLD</t>
        </is>
      </c>
      <c r="C2251" s="3" t="inlineStr">
        <is>
          <t>IMF.RES:WEO</t>
        </is>
      </c>
      <c r="D2251" s="3" t="inlineStr">
        <is>
          <t>NLD.NGDP_D.A</t>
        </is>
      </c>
      <c r="E2251" s="3" t="inlineStr">
        <is>
          <t>Netherlands, The</t>
        </is>
      </c>
      <c r="F2251" s="3" t="inlineStr">
        <is>
          <t>Gross domestic product (GDP), Price deflator, Index</t>
        </is>
      </c>
      <c r="G2251" s="3" t="n">
        <v>68.353055</v>
      </c>
      <c r="H2251" s="3" t="n">
        <v>71.34040299999999</v>
      </c>
      <c r="I2251" s="3" t="n">
        <v>74.10642199999999</v>
      </c>
      <c r="J2251" s="3" t="n">
        <v>75.800437</v>
      </c>
      <c r="K2251" s="3" t="n">
        <v>76.710267</v>
      </c>
      <c r="L2251" s="3" t="n">
        <v>78.232533</v>
      </c>
      <c r="M2251" s="3" t="n">
        <v>80.247089</v>
      </c>
      <c r="N2251" s="3" t="n">
        <v>81.894296</v>
      </c>
      <c r="O2251" s="3" t="n">
        <v>83.861552</v>
      </c>
      <c r="P2251" s="3" t="n">
        <v>84.232975</v>
      </c>
      <c r="Q2251" s="3" t="n">
        <v>84.83330100000001</v>
      </c>
      <c r="R2251" s="3" t="n">
        <v>85.03625</v>
      </c>
      <c r="S2251" s="3" t="n">
        <v>86.166059</v>
      </c>
      <c r="T2251" s="3" t="n">
        <v>87.154087</v>
      </c>
      <c r="U2251" s="3" t="n">
        <v>87.4543</v>
      </c>
      <c r="V2251" s="3" t="n">
        <v>88.23087700000001</v>
      </c>
      <c r="W2251" s="3" t="n">
        <v>88.72942</v>
      </c>
      <c r="X2251" s="3" t="n">
        <v>90.005286</v>
      </c>
      <c r="Y2251" s="3" t="n">
        <v>92.284113</v>
      </c>
      <c r="Z2251" s="3" t="n">
        <v>95.078479</v>
      </c>
      <c r="AA2251" s="3" t="n">
        <v>97.32705</v>
      </c>
      <c r="AB2251" s="3" t="n">
        <v>100</v>
      </c>
      <c r="AC2251" s="3" t="n">
        <v>106.155575</v>
      </c>
      <c r="AD2251" s="3" t="n">
        <v>112.848483</v>
      </c>
      <c r="AE2251" s="3" t="n">
        <v>119.33157</v>
      </c>
      <c r="AF2251" s="3" t="n">
        <v>123.126991</v>
      </c>
      <c r="AG2251" s="3" t="n">
        <v>126.7537</v>
      </c>
      <c r="AH2251" s="3" t="n">
        <v>129.646933</v>
      </c>
      <c r="AI2251" s="3" t="n">
        <v>132.584898</v>
      </c>
      <c r="AJ2251" s="3" t="n">
        <v>135.375055</v>
      </c>
      <c r="AK2251" s="3" t="n">
        <v>138.102771</v>
      </c>
      <c r="AL2251" s="3" t="n">
        <v>140.86758</v>
      </c>
      <c r="AM2251" s="3" t="n"/>
      <c r="AN2251" s="3" t="n"/>
      <c r="AO2251" s="3" t="n"/>
      <c r="AP2251" s="3" t="n"/>
      <c r="AQ2251" s="3" t="n"/>
      <c r="AR2251" s="3" t="n"/>
      <c r="AS2251" s="3" t="n"/>
      <c r="AT2251" s="3" t="n"/>
      <c r="AU2251" s="3" t="n"/>
    </row>
    <row r="2252">
      <c r="A2252" s="3" t="n">
        <v>2031</v>
      </c>
      <c r="B2252" s="3" t="inlineStr">
        <is>
          <t>NLD</t>
        </is>
      </c>
      <c r="C2252" s="3" t="inlineStr">
        <is>
          <t>IMF.RES:WEO</t>
        </is>
      </c>
      <c r="D2252" s="3" t="inlineStr">
        <is>
          <t>NLD.NGDP_R.A</t>
        </is>
      </c>
      <c r="E2252" s="3" t="inlineStr">
        <is>
          <t>Netherlands, The</t>
        </is>
      </c>
      <c r="F2252" s="3" t="inlineStr">
        <is>
          <t>Gross domestic product (GDP), Constant prices, Domestic currency</t>
        </is>
      </c>
      <c r="G2252" s="3" t="n">
        <v>661.552</v>
      </c>
      <c r="H2252" s="3" t="n">
        <v>676.953</v>
      </c>
      <c r="I2252" s="3" t="n">
        <v>678.62</v>
      </c>
      <c r="J2252" s="3" t="n">
        <v>679.285</v>
      </c>
      <c r="K2252" s="3" t="n">
        <v>692.962</v>
      </c>
      <c r="L2252" s="3" t="n">
        <v>707.023</v>
      </c>
      <c r="M2252" s="3" t="n">
        <v>732.044</v>
      </c>
      <c r="N2252" s="3" t="n">
        <v>760.462</v>
      </c>
      <c r="O2252" s="3" t="n">
        <v>776.636</v>
      </c>
      <c r="P2252" s="3" t="n">
        <v>748.131</v>
      </c>
      <c r="Q2252" s="3" t="n">
        <v>757.9829999999999</v>
      </c>
      <c r="R2252" s="3" t="n">
        <v>771.451</v>
      </c>
      <c r="S2252" s="3" t="n">
        <v>763.9109999999999</v>
      </c>
      <c r="T2252" s="3" t="n">
        <v>763.667</v>
      </c>
      <c r="U2252" s="3" t="n">
        <v>775.979</v>
      </c>
      <c r="V2252" s="3" t="n">
        <v>792.438</v>
      </c>
      <c r="W2252" s="3" t="n">
        <v>811.653</v>
      </c>
      <c r="X2252" s="3" t="n">
        <v>834.241</v>
      </c>
      <c r="Y2252" s="3" t="n">
        <v>853.097</v>
      </c>
      <c r="Z2252" s="3" t="n">
        <v>872.718</v>
      </c>
      <c r="AA2252" s="3" t="n">
        <v>838.886</v>
      </c>
      <c r="AB2252" s="3" t="n">
        <v>891.55</v>
      </c>
      <c r="AC2252" s="3" t="n">
        <v>936.192</v>
      </c>
      <c r="AD2252" s="3" t="n">
        <v>930.569</v>
      </c>
      <c r="AE2252" s="3" t="n">
        <v>940.622</v>
      </c>
      <c r="AF2252" s="3" t="n">
        <v>958.0839999999999</v>
      </c>
      <c r="AG2252" s="3" t="n">
        <v>969.893963</v>
      </c>
      <c r="AH2252" s="3" t="n">
        <v>983.689851</v>
      </c>
      <c r="AI2252" s="3" t="n">
        <v>997.2367839999999</v>
      </c>
      <c r="AJ2252" s="3" t="n">
        <v>1010.00746</v>
      </c>
      <c r="AK2252" s="3" t="n">
        <v>1022.032278</v>
      </c>
      <c r="AL2252" s="3" t="n">
        <v>1034.144432</v>
      </c>
      <c r="AM2252" s="3" t="n"/>
      <c r="AN2252" s="3" t="n"/>
      <c r="AO2252" s="3" t="n"/>
      <c r="AP2252" s="3" t="n"/>
      <c r="AQ2252" s="3" t="n"/>
      <c r="AR2252" s="3" t="n"/>
      <c r="AS2252" s="3" t="n"/>
      <c r="AT2252" s="3" t="n"/>
      <c r="AU2252" s="3" t="n"/>
    </row>
    <row r="2253">
      <c r="A2253" s="3" t="n">
        <v>2031</v>
      </c>
      <c r="B2253" s="3" t="inlineStr">
        <is>
          <t>NLD</t>
        </is>
      </c>
      <c r="C2253" s="3" t="inlineStr">
        <is>
          <t>IMF.RES:WEO</t>
        </is>
      </c>
      <c r="D2253" s="3" t="inlineStr">
        <is>
          <t>NLD.NGDP_RPCH.A</t>
        </is>
      </c>
      <c r="E2253" s="3" t="inlineStr">
        <is>
          <t>Netherlands, The</t>
        </is>
      </c>
      <c r="F2253" s="3" t="inlineStr">
        <is>
          <t>Gross domestic product (GDP), Constant prices, Percent change</t>
        </is>
      </c>
      <c r="G2253" s="3" t="n">
        <v>4.227704</v>
      </c>
      <c r="H2253" s="3" t="n">
        <v>2.32801</v>
      </c>
      <c r="I2253" s="3" t="n">
        <v>0.24625</v>
      </c>
      <c r="J2253" s="3" t="n">
        <v>0.097993</v>
      </c>
      <c r="K2253" s="3" t="n">
        <v>2.013441</v>
      </c>
      <c r="L2253" s="3" t="n">
        <v>2.029116</v>
      </c>
      <c r="M2253" s="3" t="n">
        <v>3.538923</v>
      </c>
      <c r="N2253" s="3" t="n">
        <v>3.882007</v>
      </c>
      <c r="O2253" s="3" t="n">
        <v>2.126865</v>
      </c>
      <c r="P2253" s="3" t="n">
        <v>-3.670317</v>
      </c>
      <c r="Q2253" s="3" t="n">
        <v>1.316882</v>
      </c>
      <c r="R2253" s="3" t="n">
        <v>1.776821</v>
      </c>
      <c r="S2253" s="3" t="n">
        <v>-0.977379</v>
      </c>
      <c r="T2253" s="3" t="n">
        <v>-0.031941</v>
      </c>
      <c r="U2253" s="3" t="n">
        <v>1.612221</v>
      </c>
      <c r="V2253" s="3" t="n">
        <v>2.121063</v>
      </c>
      <c r="W2253" s="3" t="n">
        <v>2.424795</v>
      </c>
      <c r="X2253" s="3" t="n">
        <v>2.782963</v>
      </c>
      <c r="Y2253" s="3" t="n">
        <v>2.260258</v>
      </c>
      <c r="Z2253" s="3" t="n">
        <v>2.299973</v>
      </c>
      <c r="AA2253" s="3" t="n">
        <v>-3.876625</v>
      </c>
      <c r="AB2253" s="3" t="n">
        <v>6.277849</v>
      </c>
      <c r="AC2253" s="3" t="n">
        <v>5.007235</v>
      </c>
      <c r="AD2253" s="3" t="n">
        <v>-0.600625</v>
      </c>
      <c r="AE2253" s="3" t="n">
        <v>1.080307</v>
      </c>
      <c r="AF2253" s="3" t="n">
        <v>1.856431</v>
      </c>
      <c r="AG2253" s="3" t="n">
        <v>1.232665</v>
      </c>
      <c r="AH2253" s="3" t="n">
        <v>1.422412</v>
      </c>
      <c r="AI2253" s="3" t="n">
        <v>1.377155</v>
      </c>
      <c r="AJ2253" s="3" t="n">
        <v>1.280606</v>
      </c>
      <c r="AK2253" s="3" t="n">
        <v>1.190567</v>
      </c>
      <c r="AL2253" s="3" t="n">
        <v>1.185105</v>
      </c>
      <c r="AM2253" s="3" t="n"/>
      <c r="AN2253" s="3" t="n"/>
      <c r="AO2253" s="3" t="n"/>
      <c r="AP2253" s="3" t="n"/>
      <c r="AQ2253" s="3" t="n"/>
      <c r="AR2253" s="3" t="n"/>
      <c r="AS2253" s="3" t="n"/>
      <c r="AT2253" s="3" t="n"/>
      <c r="AU2253" s="3" t="n"/>
    </row>
    <row r="2254">
      <c r="A2254" s="3" t="n">
        <v>2031</v>
      </c>
      <c r="B2254" s="3" t="inlineStr">
        <is>
          <t>NLD</t>
        </is>
      </c>
      <c r="C2254" s="3" t="inlineStr">
        <is>
          <t>IMF.RES:WEO</t>
        </is>
      </c>
      <c r="D2254" s="3" t="inlineStr">
        <is>
          <t>NLD.NGDPD.A</t>
        </is>
      </c>
      <c r="E2254" s="3" t="inlineStr">
        <is>
          <t>Netherlands, The</t>
        </is>
      </c>
      <c r="F2254" s="3" t="inlineStr">
        <is>
          <t>Gross domestic product (GDP), Current prices, US dollar</t>
        </is>
      </c>
      <c r="G2254" s="3" t="n">
        <v>417.833798</v>
      </c>
      <c r="H2254" s="3" t="n">
        <v>432.539169</v>
      </c>
      <c r="I2254" s="3" t="n">
        <v>475.193953</v>
      </c>
      <c r="J2254" s="3" t="n">
        <v>582.289778</v>
      </c>
      <c r="K2254" s="3" t="n">
        <v>660.924752</v>
      </c>
      <c r="L2254" s="3" t="n">
        <v>688.514058</v>
      </c>
      <c r="M2254" s="3" t="n">
        <v>737.633076</v>
      </c>
      <c r="N2254" s="3" t="n">
        <v>853.600065</v>
      </c>
      <c r="O2254" s="3" t="n">
        <v>957.796621</v>
      </c>
      <c r="P2254" s="3" t="n">
        <v>877.999834</v>
      </c>
      <c r="Q2254" s="3" t="n">
        <v>853.161222</v>
      </c>
      <c r="R2254" s="3" t="n">
        <v>912.980054</v>
      </c>
      <c r="S2254" s="3" t="n">
        <v>846.224547</v>
      </c>
      <c r="T2254" s="3" t="n">
        <v>883.964422</v>
      </c>
      <c r="U2254" s="3" t="n">
        <v>901.788852</v>
      </c>
      <c r="V2254" s="3" t="n">
        <v>775.822218</v>
      </c>
      <c r="W2254" s="3" t="n">
        <v>796.943976</v>
      </c>
      <c r="X2254" s="3" t="n">
        <v>847.934209</v>
      </c>
      <c r="Y2254" s="3" t="n">
        <v>930.155209</v>
      </c>
      <c r="Z2254" s="3" t="n">
        <v>929.005523</v>
      </c>
      <c r="AA2254" s="3" t="n">
        <v>931.814411</v>
      </c>
      <c r="AB2254" s="3" t="n">
        <v>1055.173136</v>
      </c>
      <c r="AC2254" s="3" t="n">
        <v>1047.364114</v>
      </c>
      <c r="AD2254" s="3" t="n">
        <v>1135.803369</v>
      </c>
      <c r="AE2254" s="3" t="n">
        <v>1214.561899</v>
      </c>
      <c r="AF2254" s="3" t="n">
        <v>1332.240167</v>
      </c>
      <c r="AG2254" s="3" t="n">
        <v>1449.703928</v>
      </c>
      <c r="AH2254" s="3" t="n">
        <v>1500.423893</v>
      </c>
      <c r="AI2254" s="3" t="n">
        <v>1551.351417</v>
      </c>
      <c r="AJ2254" s="3" t="n">
        <v>1603.43297</v>
      </c>
      <c r="AK2254" s="3" t="n">
        <v>1654.956672</v>
      </c>
      <c r="AL2254" s="3" t="n">
        <v>1707.81308</v>
      </c>
      <c r="AM2254" s="3" t="n"/>
      <c r="AN2254" s="3" t="n"/>
      <c r="AO2254" s="3" t="n"/>
      <c r="AP2254" s="3" t="n"/>
      <c r="AQ2254" s="3" t="n"/>
      <c r="AR2254" s="3" t="n"/>
      <c r="AS2254" s="3" t="n"/>
      <c r="AT2254" s="3" t="n"/>
      <c r="AU2254" s="3" t="n"/>
    </row>
    <row r="2255">
      <c r="A2255" s="3" t="n">
        <v>2031</v>
      </c>
      <c r="B2255" s="3" t="inlineStr">
        <is>
          <t>NLD</t>
        </is>
      </c>
      <c r="C2255" s="3" t="inlineStr">
        <is>
          <t>IMF.RES:WEO</t>
        </is>
      </c>
      <c r="D2255" s="3" t="inlineStr">
        <is>
          <t>NLD.NGDPPC.A</t>
        </is>
      </c>
      <c r="E2255" s="3" t="inlineStr">
        <is>
          <t>Netherlands, The</t>
        </is>
      </c>
      <c r="F2255" s="3" t="inlineStr">
        <is>
          <t>Gross domestic product (GDP), Current prices, Per capita, Domestic currency</t>
        </is>
      </c>
      <c r="G2255" s="3" t="n">
        <v>28504.325816</v>
      </c>
      <c r="H2255" s="3" t="n">
        <v>30208.216963</v>
      </c>
      <c r="I2255" s="3" t="n">
        <v>31225.840614</v>
      </c>
      <c r="J2255" s="3" t="n">
        <v>31798.592589</v>
      </c>
      <c r="K2255" s="3" t="n">
        <v>32696.023725</v>
      </c>
      <c r="L2255" s="3" t="n">
        <v>33922.364725</v>
      </c>
      <c r="M2255" s="3" t="n">
        <v>35964.028869</v>
      </c>
      <c r="N2255" s="3" t="n">
        <v>38071.604388</v>
      </c>
      <c r="O2255" s="3" t="n">
        <v>39700.284035</v>
      </c>
      <c r="P2255" s="3" t="n">
        <v>38225.230012</v>
      </c>
      <c r="Q2255" s="3" t="n">
        <v>38794.716546</v>
      </c>
      <c r="R2255" s="3" t="n">
        <v>39386.462337</v>
      </c>
      <c r="S2255" s="3" t="n">
        <v>39343.592853</v>
      </c>
      <c r="T2255" s="3" t="n">
        <v>39665.307375</v>
      </c>
      <c r="U2255" s="3" t="n">
        <v>40324.163427</v>
      </c>
      <c r="V2255" s="3" t="n">
        <v>41369.524599</v>
      </c>
      <c r="W2255" s="3" t="n">
        <v>42415.331301</v>
      </c>
      <c r="X2255" s="3" t="n">
        <v>43957.538407</v>
      </c>
      <c r="Y2255" s="3" t="n">
        <v>45822.079678</v>
      </c>
      <c r="Z2255" s="3" t="n">
        <v>48012.913661</v>
      </c>
      <c r="AA2255" s="3" t="n">
        <v>46902.71511</v>
      </c>
      <c r="AB2255" s="3" t="n">
        <v>51017.386425</v>
      </c>
      <c r="AC2255" s="3" t="n">
        <v>56496.988859</v>
      </c>
      <c r="AD2255" s="3" t="n">
        <v>58958.836841</v>
      </c>
      <c r="AE2255" s="3" t="n">
        <v>62557.132493</v>
      </c>
      <c r="AF2255" s="3" t="n">
        <v>65376.758747</v>
      </c>
      <c r="AG2255" s="3" t="n">
        <v>67771.559371</v>
      </c>
      <c r="AH2255" s="3" t="n">
        <v>69976.659525</v>
      </c>
      <c r="AI2255" s="3" t="n">
        <v>72230.95155100001</v>
      </c>
      <c r="AJ2255" s="3" t="n">
        <v>74394.77858499999</v>
      </c>
      <c r="AK2255" s="3" t="n">
        <v>76488.20479800001</v>
      </c>
      <c r="AL2255" s="3" t="n">
        <v>78626.320508</v>
      </c>
      <c r="AM2255" s="3" t="n"/>
      <c r="AN2255" s="3" t="n"/>
      <c r="AO2255" s="3" t="n"/>
      <c r="AP2255" s="3" t="n"/>
      <c r="AQ2255" s="3" t="n"/>
      <c r="AR2255" s="3" t="n"/>
      <c r="AS2255" s="3" t="n"/>
      <c r="AT2255" s="3" t="n"/>
      <c r="AU2255" s="3" t="n"/>
    </row>
    <row r="2256">
      <c r="A2256" s="3" t="n">
        <v>2031</v>
      </c>
      <c r="B2256" s="3" t="inlineStr">
        <is>
          <t>NLD</t>
        </is>
      </c>
      <c r="C2256" s="3" t="inlineStr">
        <is>
          <t>IMF.RES:WEO</t>
        </is>
      </c>
      <c r="D2256" s="3" t="inlineStr">
        <is>
          <t>NLD.NGDPRPC.A</t>
        </is>
      </c>
      <c r="E2256" s="3" t="inlineStr">
        <is>
          <t>Netherlands, The</t>
        </is>
      </c>
      <c r="F2256" s="3" t="inlineStr">
        <is>
          <t>Gross domestic product (GDP), Constant prices, Per capita, Domestic currency</t>
        </is>
      </c>
      <c r="G2256" s="3" t="n">
        <v>41701.612266</v>
      </c>
      <c r="H2256" s="3" t="n">
        <v>42343.770974</v>
      </c>
      <c r="I2256" s="3" t="n">
        <v>42136.484034</v>
      </c>
      <c r="J2256" s="3" t="n">
        <v>41950.407878</v>
      </c>
      <c r="K2256" s="3" t="n">
        <v>42622.747944</v>
      </c>
      <c r="L2256" s="3" t="n">
        <v>43360.944014</v>
      </c>
      <c r="M2256" s="3" t="n">
        <v>44816.614945</v>
      </c>
      <c r="N2256" s="3" t="n">
        <v>46488.713285</v>
      </c>
      <c r="O2256" s="3" t="n">
        <v>47340.268896</v>
      </c>
      <c r="P2256" s="3" t="n">
        <v>45380.363097</v>
      </c>
      <c r="Q2256" s="3" t="n">
        <v>45730.528087</v>
      </c>
      <c r="R2256" s="3" t="n">
        <v>46317.261634</v>
      </c>
      <c r="S2256" s="3" t="n">
        <v>45660.197863</v>
      </c>
      <c r="T2256" s="3" t="n">
        <v>45511.700982</v>
      </c>
      <c r="U2256" s="3" t="n">
        <v>46108.840368</v>
      </c>
      <c r="V2256" s="3" t="n">
        <v>46887.808252</v>
      </c>
      <c r="W2256" s="3" t="n">
        <v>47803.007459</v>
      </c>
      <c r="X2256" s="3" t="n">
        <v>48838.840742</v>
      </c>
      <c r="Y2256" s="3" t="n">
        <v>49653.26984</v>
      </c>
      <c r="Z2256" s="3" t="n">
        <v>50498.192848</v>
      </c>
      <c r="AA2256" s="3" t="n">
        <v>48190.831755</v>
      </c>
      <c r="AB2256" s="3" t="n">
        <v>51017.386425</v>
      </c>
      <c r="AC2256" s="3" t="n">
        <v>53220.934368</v>
      </c>
      <c r="AD2256" s="3" t="n">
        <v>52246.016305</v>
      </c>
      <c r="AE2256" s="3" t="n">
        <v>52422.952713</v>
      </c>
      <c r="AF2256" s="3" t="n">
        <v>53097.016536</v>
      </c>
      <c r="AG2256" s="3" t="n">
        <v>53467.125118</v>
      </c>
      <c r="AH2256" s="3" t="n">
        <v>53974.789825</v>
      </c>
      <c r="AI2256" s="3" t="n">
        <v>54479.019</v>
      </c>
      <c r="AJ2256" s="3" t="n">
        <v>54954.569258</v>
      </c>
      <c r="AK2256" s="3" t="n">
        <v>55384.989324</v>
      </c>
      <c r="AL2256" s="3" t="n">
        <v>55815.767329</v>
      </c>
      <c r="AM2256" s="3" t="n"/>
      <c r="AN2256" s="3" t="n"/>
      <c r="AO2256" s="3" t="n"/>
      <c r="AP2256" s="3" t="n"/>
      <c r="AQ2256" s="3" t="n"/>
      <c r="AR2256" s="3" t="n"/>
      <c r="AS2256" s="3" t="n"/>
      <c r="AT2256" s="3" t="n"/>
      <c r="AU2256" s="3" t="n"/>
    </row>
    <row r="2257">
      <c r="A2257" s="3" t="n">
        <v>2031</v>
      </c>
      <c r="B2257" s="3" t="inlineStr">
        <is>
          <t>NLD</t>
        </is>
      </c>
      <c r="C2257" s="3" t="inlineStr">
        <is>
          <t>IMF.RES:WEO</t>
        </is>
      </c>
      <c r="D2257" s="3" t="inlineStr">
        <is>
          <t>NLD.PCPI.A</t>
        </is>
      </c>
      <c r="E2257" s="3" t="inlineStr">
        <is>
          <t>Netherlands, The</t>
        </is>
      </c>
      <c r="F2257" s="3" t="inlineStr">
        <is>
          <t>All Items, Consumer price index (CPI), Period average</t>
        </is>
      </c>
      <c r="G2257" s="3" t="n">
        <v>54.850833</v>
      </c>
      <c r="H2257" s="3" t="n">
        <v>57.659167</v>
      </c>
      <c r="I2257" s="3" t="n">
        <v>59.878333</v>
      </c>
      <c r="J2257" s="3" t="n">
        <v>61.21</v>
      </c>
      <c r="K2257" s="3" t="n">
        <v>62.06</v>
      </c>
      <c r="L2257" s="3" t="n">
        <v>62.985833</v>
      </c>
      <c r="M2257" s="3" t="n">
        <v>64.02333299999999</v>
      </c>
      <c r="N2257" s="3" t="n">
        <v>65.03916700000001</v>
      </c>
      <c r="O2257" s="3" t="n">
        <v>66.47833300000001</v>
      </c>
      <c r="P2257" s="3" t="n">
        <v>67.1275</v>
      </c>
      <c r="Q2257" s="3" t="n">
        <v>67.750833</v>
      </c>
      <c r="R2257" s="3" t="n">
        <v>69.425833</v>
      </c>
      <c r="S2257" s="3" t="n">
        <v>71.38166699999999</v>
      </c>
      <c r="T2257" s="3" t="n">
        <v>73.206667</v>
      </c>
      <c r="U2257" s="3" t="n">
        <v>73.440833</v>
      </c>
      <c r="V2257" s="3" t="n">
        <v>73.598333</v>
      </c>
      <c r="W2257" s="3" t="n">
        <v>73.68083300000001</v>
      </c>
      <c r="X2257" s="3" t="n">
        <v>74.6375</v>
      </c>
      <c r="Y2257" s="3" t="n">
        <v>75.829167</v>
      </c>
      <c r="Z2257" s="3" t="n">
        <v>77.854167</v>
      </c>
      <c r="AA2257" s="3" t="n">
        <v>78.718333</v>
      </c>
      <c r="AB2257" s="3" t="n">
        <v>80.939167</v>
      </c>
      <c r="AC2257" s="3" t="n">
        <v>90.34999999999999</v>
      </c>
      <c r="AD2257" s="3" t="n">
        <v>94.068333</v>
      </c>
      <c r="AE2257" s="3" t="n">
        <v>97.10250000000001</v>
      </c>
      <c r="AF2257" s="3" t="n">
        <v>100</v>
      </c>
      <c r="AG2257" s="3" t="n">
        <v>102.710527</v>
      </c>
      <c r="AH2257" s="3" t="n">
        <v>105.13878</v>
      </c>
      <c r="AI2257" s="3" t="n">
        <v>107.567486</v>
      </c>
      <c r="AJ2257" s="3" t="n">
        <v>109.718836</v>
      </c>
      <c r="AK2257" s="3" t="n">
        <v>111.913213</v>
      </c>
      <c r="AL2257" s="3" t="n">
        <v>114.151477</v>
      </c>
      <c r="AM2257" s="3" t="n"/>
      <c r="AN2257" s="3" t="n"/>
      <c r="AO2257" s="3" t="n"/>
      <c r="AP2257" s="3" t="n"/>
      <c r="AQ2257" s="3" t="n"/>
      <c r="AR2257" s="3" t="n"/>
      <c r="AS2257" s="3" t="n"/>
      <c r="AT2257" s="3" t="n"/>
      <c r="AU2257" s="3" t="n"/>
    </row>
    <row r="2258">
      <c r="A2258" s="3" t="n">
        <v>2031</v>
      </c>
      <c r="B2258" s="3" t="inlineStr">
        <is>
          <t>NLD</t>
        </is>
      </c>
      <c r="C2258" s="3" t="inlineStr">
        <is>
          <t>IMF.RES:WEO</t>
        </is>
      </c>
      <c r="D2258" s="3" t="inlineStr">
        <is>
          <t>NLD.PCPIPCH.A</t>
        </is>
      </c>
      <c r="E2258" s="3" t="inlineStr">
        <is>
          <t>Netherlands, The</t>
        </is>
      </c>
      <c r="F2258" s="3" t="inlineStr">
        <is>
          <t>All Items, Consumer price index (CPI), Period average, percent change</t>
        </is>
      </c>
      <c r="G2258" s="3" t="n">
        <v>2.340009</v>
      </c>
      <c r="H2258" s="3" t="n">
        <v>5.119947</v>
      </c>
      <c r="I2258" s="3" t="n">
        <v>3.848766</v>
      </c>
      <c r="J2258" s="3" t="n">
        <v>2.223954</v>
      </c>
      <c r="K2258" s="3" t="n">
        <v>1.388662</v>
      </c>
      <c r="L2258" s="3" t="n">
        <v>1.491836</v>
      </c>
      <c r="M2258" s="3" t="n">
        <v>1.647196</v>
      </c>
      <c r="N2258" s="3" t="n">
        <v>1.586661</v>
      </c>
      <c r="O2258" s="3" t="n">
        <v>2.212769</v>
      </c>
      <c r="P2258" s="3" t="n">
        <v>0.976509</v>
      </c>
      <c r="Q2258" s="3" t="n">
        <v>0.928581</v>
      </c>
      <c r="R2258" s="3" t="n">
        <v>2.472294</v>
      </c>
      <c r="S2258" s="3" t="n">
        <v>2.817155</v>
      </c>
      <c r="T2258" s="3" t="n">
        <v>2.556679</v>
      </c>
      <c r="U2258" s="3" t="n">
        <v>0.319871</v>
      </c>
      <c r="V2258" s="3" t="n">
        <v>0.214458</v>
      </c>
      <c r="W2258" s="3" t="n">
        <v>0.112095</v>
      </c>
      <c r="X2258" s="3" t="n">
        <v>1.298393</v>
      </c>
      <c r="Y2258" s="3" t="n">
        <v>1.596606</v>
      </c>
      <c r="Z2258" s="3" t="n">
        <v>2.670476</v>
      </c>
      <c r="AA2258" s="3" t="n">
        <v>1.109981</v>
      </c>
      <c r="AB2258" s="3" t="n">
        <v>2.82124</v>
      </c>
      <c r="AC2258" s="3" t="n">
        <v>11.627045</v>
      </c>
      <c r="AD2258" s="3" t="n">
        <v>4.115477</v>
      </c>
      <c r="AE2258" s="3" t="n">
        <v>3.225492</v>
      </c>
      <c r="AF2258" s="3" t="n">
        <v>2.98396</v>
      </c>
      <c r="AG2258" s="3" t="n">
        <v>2.710527</v>
      </c>
      <c r="AH2258" s="3" t="n">
        <v>2.364172</v>
      </c>
      <c r="AI2258" s="3" t="n">
        <v>2.31</v>
      </c>
      <c r="AJ2258" s="3" t="n">
        <v>2</v>
      </c>
      <c r="AK2258" s="3" t="n">
        <v>2</v>
      </c>
      <c r="AL2258" s="3" t="n">
        <v>2</v>
      </c>
      <c r="AM2258" s="3" t="n"/>
      <c r="AN2258" s="3" t="n"/>
      <c r="AO2258" s="3" t="n"/>
      <c r="AP2258" s="3" t="n"/>
      <c r="AQ2258" s="3" t="n"/>
      <c r="AR2258" s="3" t="n"/>
      <c r="AS2258" s="3" t="n"/>
      <c r="AT2258" s="3" t="n"/>
      <c r="AU2258" s="3" t="n"/>
    </row>
    <row r="2259">
      <c r="A2259" s="3" t="n">
        <v>2031</v>
      </c>
      <c r="B2259" s="3" t="inlineStr">
        <is>
          <t>NLD</t>
        </is>
      </c>
      <c r="C2259" s="3" t="inlineStr">
        <is>
          <t>IMF.RES:WEO</t>
        </is>
      </c>
      <c r="D2259" s="3" t="inlineStr">
        <is>
          <t>NLD.PPPPC.A</t>
        </is>
      </c>
      <c r="E2259" s="3" t="inlineStr">
        <is>
          <t>Netherlands, The</t>
        </is>
      </c>
      <c r="F2259" s="3" t="inlineStr">
        <is>
          <t>Gross domestic product (GDP), Per capita, purchasing power parity (PPP) international dollar, ICP benchmarks 2017-2021</t>
        </is>
      </c>
      <c r="G2259" s="3" t="n">
        <v>34897.816196</v>
      </c>
      <c r="H2259" s="3" t="n">
        <v>36233.070241</v>
      </c>
      <c r="I2259" s="3" t="n">
        <v>36616.015661</v>
      </c>
      <c r="J2259" s="3" t="n">
        <v>37174.00495</v>
      </c>
      <c r="K2259" s="3" t="n">
        <v>38785.378376</v>
      </c>
      <c r="L2259" s="3" t="n">
        <v>40694.418316</v>
      </c>
      <c r="M2259" s="3" t="n">
        <v>43357.669735</v>
      </c>
      <c r="N2259" s="3" t="n">
        <v>46193.838438</v>
      </c>
      <c r="O2259" s="3" t="n">
        <v>47946.176404</v>
      </c>
      <c r="P2259" s="3" t="n">
        <v>46244.647704</v>
      </c>
      <c r="Q2259" s="3" t="n">
        <v>47167.864272</v>
      </c>
      <c r="R2259" s="3" t="n">
        <v>48758.715637</v>
      </c>
      <c r="S2259" s="3" t="n">
        <v>48961.992259</v>
      </c>
      <c r="T2259" s="3" t="n">
        <v>49633.382553</v>
      </c>
      <c r="U2259" s="3" t="n">
        <v>51160.415101</v>
      </c>
      <c r="V2259" s="3" t="n">
        <v>52507.541989</v>
      </c>
      <c r="W2259" s="3" t="n">
        <v>54041.1101</v>
      </c>
      <c r="X2259" s="3" t="n">
        <v>56200.903552</v>
      </c>
      <c r="Y2259" s="3" t="n">
        <v>58992.325705</v>
      </c>
      <c r="Z2259" s="3" t="n">
        <v>62571.485066</v>
      </c>
      <c r="AA2259" s="3" t="n">
        <v>62718.575942</v>
      </c>
      <c r="AB2259" s="3" t="n">
        <v>69551.931103</v>
      </c>
      <c r="AC2259" s="3" t="n">
        <v>77716.509811</v>
      </c>
      <c r="AD2259" s="3" t="n">
        <v>79115.735772</v>
      </c>
      <c r="AE2259" s="3" t="n">
        <v>81354.40435500001</v>
      </c>
      <c r="AF2259" s="3" t="n">
        <v>84737.983099</v>
      </c>
      <c r="AG2259" s="3" t="n">
        <v>87773.180869</v>
      </c>
      <c r="AH2259" s="3" t="n">
        <v>90552.2916</v>
      </c>
      <c r="AI2259" s="3" t="n">
        <v>92898.42736</v>
      </c>
      <c r="AJ2259" s="3" t="n">
        <v>95375.596513</v>
      </c>
      <c r="AK2259" s="3" t="n">
        <v>97888.884423</v>
      </c>
      <c r="AL2259" s="3" t="n">
        <v>100431.187562</v>
      </c>
      <c r="AM2259" s="3" t="n"/>
      <c r="AN2259" s="3" t="n"/>
      <c r="AO2259" s="3" t="n"/>
      <c r="AP2259" s="3" t="n"/>
      <c r="AQ2259" s="3" t="n"/>
      <c r="AR2259" s="3" t="n"/>
      <c r="AS2259" s="3" t="n"/>
      <c r="AT2259" s="3" t="n"/>
      <c r="AU2259" s="3" t="n"/>
    </row>
    <row r="2260">
      <c r="A2260" s="3" t="inlineStr">
        <is>
          <t>INDICATOR</t>
        </is>
      </c>
      <c r="B2260" s="3" t="inlineStr">
        <is>
          <t>NLD</t>
        </is>
      </c>
      <c r="C2260" s="3" t="inlineStr">
        <is>
          <t>IMF.STA:ER</t>
        </is>
      </c>
      <c r="D2260" s="3" t="inlineStr">
        <is>
          <t>NLD.XDC_USD.PA_RT.A</t>
        </is>
      </c>
      <c r="E2260" s="3" t="inlineStr">
        <is>
          <t>Netherlands, The</t>
        </is>
      </c>
      <c r="F2260" s="3" t="inlineStr">
        <is>
          <t>Domestic currency per US Dollar</t>
        </is>
      </c>
      <c r="G2260" s="3" t="n"/>
      <c r="H2260" s="3" t="n"/>
      <c r="I2260" s="3" t="n"/>
      <c r="J2260" s="3" t="n"/>
      <c r="K2260" s="3" t="n"/>
      <c r="L2260" s="3" t="n"/>
      <c r="M2260" s="3" t="n"/>
      <c r="N2260" s="3" t="n"/>
      <c r="O2260" s="3" t="n"/>
      <c r="P2260" s="3" t="n"/>
      <c r="Q2260" s="3" t="n"/>
      <c r="R2260" s="3" t="n"/>
      <c r="S2260" s="3" t="n"/>
      <c r="T2260" s="3" t="n"/>
      <c r="U2260" s="3" t="n"/>
      <c r="V2260" s="3" t="n"/>
      <c r="W2260" s="3" t="n"/>
      <c r="X2260" s="3" t="n"/>
      <c r="Y2260" s="3" t="n"/>
      <c r="Z2260" s="3" t="n"/>
      <c r="AA2260" s="3" t="n"/>
      <c r="AB2260" s="3" t="n"/>
      <c r="AC2260" s="3" t="n"/>
      <c r="AD2260" s="3" t="n"/>
      <c r="AE2260" s="3" t="n"/>
      <c r="AF2260" s="3" t="n"/>
      <c r="AG2260" s="3" t="n"/>
      <c r="AH2260" s="3" t="n"/>
      <c r="AI2260" s="3" t="n"/>
      <c r="AJ2260" s="3" t="n"/>
      <c r="AK2260" s="3" t="n"/>
      <c r="AL2260" s="3" t="n"/>
      <c r="AM2260" s="3" t="n"/>
      <c r="AN2260" s="3" t="n"/>
      <c r="AO2260" s="3" t="n"/>
      <c r="AP2260" s="3" t="n"/>
      <c r="AQ2260" s="3" t="n"/>
      <c r="AR2260" s="3" t="n"/>
      <c r="AS2260" s="3" t="n"/>
      <c r="AT2260" s="3" t="n"/>
      <c r="AU2260" s="3" t="n"/>
    </row>
    <row r="2261">
      <c r="A2261" s="3" t="n">
        <v>2031</v>
      </c>
      <c r="B2261" s="3" t="inlineStr">
        <is>
          <t>NOR</t>
        </is>
      </c>
      <c r="C2261" s="3" t="inlineStr">
        <is>
          <t>IMF.RES:WEO</t>
        </is>
      </c>
      <c r="D2261" s="3" t="inlineStr">
        <is>
          <t>NOR.BCA.A</t>
        </is>
      </c>
      <c r="E2261" s="3" t="inlineStr">
        <is>
          <t>Norway</t>
        </is>
      </c>
      <c r="F2261" s="3" t="inlineStr">
        <is>
          <t>Current account balance (credit less debit), US dollar</t>
        </is>
      </c>
      <c r="G2261" s="3" t="n">
        <v>24.742776</v>
      </c>
      <c r="H2261" s="3" t="n">
        <v>27.128712</v>
      </c>
      <c r="I2261" s="3" t="n">
        <v>23.971731</v>
      </c>
      <c r="J2261" s="3" t="n">
        <v>27.435177</v>
      </c>
      <c r="K2261" s="3" t="n">
        <v>33.019508</v>
      </c>
      <c r="L2261" s="3" t="n">
        <v>50.472643</v>
      </c>
      <c r="M2261" s="3" t="n">
        <v>57.087786</v>
      </c>
      <c r="N2261" s="3" t="n">
        <v>50.241001</v>
      </c>
      <c r="O2261" s="3" t="n">
        <v>74.830674</v>
      </c>
      <c r="P2261" s="3" t="n">
        <v>43.82767</v>
      </c>
      <c r="Q2261" s="3" t="n">
        <v>50.244974</v>
      </c>
      <c r="R2261" s="3" t="n">
        <v>66.608949</v>
      </c>
      <c r="S2261" s="3" t="n">
        <v>71.97662200000001</v>
      </c>
      <c r="T2261" s="3" t="n">
        <v>60.805617</v>
      </c>
      <c r="U2261" s="3" t="n">
        <v>60.411955</v>
      </c>
      <c r="V2261" s="3" t="n">
        <v>36.743412</v>
      </c>
      <c r="W2261" s="3" t="n">
        <v>20.307619</v>
      </c>
      <c r="X2261" s="3" t="n">
        <v>22.596534</v>
      </c>
      <c r="Y2261" s="3" t="n">
        <v>38.99625</v>
      </c>
      <c r="Z2261" s="3" t="n">
        <v>15.447386</v>
      </c>
      <c r="AA2261" s="3" t="n">
        <v>6.842517</v>
      </c>
      <c r="AB2261" s="3" t="n">
        <v>75.280908</v>
      </c>
      <c r="AC2261" s="3" t="n">
        <v>171.804698</v>
      </c>
      <c r="AD2261" s="3" t="n">
        <v>85.95828299999999</v>
      </c>
      <c r="AE2261" s="3" t="n">
        <v>75.125863</v>
      </c>
      <c r="AF2261" s="3" t="n">
        <v>74.66222</v>
      </c>
      <c r="AG2261" s="3" t="n">
        <v>85.63498300000001</v>
      </c>
      <c r="AH2261" s="3" t="n">
        <v>82.408265</v>
      </c>
      <c r="AI2261" s="3" t="n">
        <v>77.820153</v>
      </c>
      <c r="AJ2261" s="3" t="n">
        <v>74.43016900000001</v>
      </c>
      <c r="AK2261" s="3" t="n">
        <v>71.846774</v>
      </c>
      <c r="AL2261" s="3" t="n">
        <v>68.920005</v>
      </c>
      <c r="AM2261" s="3" t="n"/>
      <c r="AN2261" s="3" t="n"/>
      <c r="AO2261" s="3" t="n"/>
      <c r="AP2261" s="3" t="n"/>
      <c r="AQ2261" s="3" t="n"/>
      <c r="AR2261" s="3" t="n"/>
      <c r="AS2261" s="3" t="n"/>
      <c r="AT2261" s="3" t="n"/>
      <c r="AU2261" s="3" t="n"/>
    </row>
    <row r="2262">
      <c r="A2262" s="3" t="n">
        <v>2031</v>
      </c>
      <c r="B2262" s="3" t="inlineStr">
        <is>
          <t>NOR</t>
        </is>
      </c>
      <c r="C2262" s="3" t="inlineStr">
        <is>
          <t>IMF.RES:WEO</t>
        </is>
      </c>
      <c r="D2262" s="3" t="inlineStr">
        <is>
          <t>NOR.BCA_NGDPD.A</t>
        </is>
      </c>
      <c r="E2262" s="3" t="inlineStr">
        <is>
          <t>Norway</t>
        </is>
      </c>
      <c r="F2262" s="3" t="inlineStr">
        <is>
          <t>Current account balance (credit less debit), Percent of GDP</t>
        </is>
      </c>
      <c r="G2262" s="3" t="n">
        <v>14.501746</v>
      </c>
      <c r="H2262" s="3" t="n">
        <v>15.627861</v>
      </c>
      <c r="I2262" s="3" t="n">
        <v>12.270487</v>
      </c>
      <c r="J2262" s="3" t="n">
        <v>11.970361</v>
      </c>
      <c r="K2262" s="3" t="n">
        <v>12.429137</v>
      </c>
      <c r="L2262" s="3" t="n">
        <v>16.207366</v>
      </c>
      <c r="M2262" s="3" t="n">
        <v>16.321431</v>
      </c>
      <c r="N2262" s="3" t="n">
        <v>12.319503</v>
      </c>
      <c r="O2262" s="3" t="n">
        <v>15.851908</v>
      </c>
      <c r="P2262" s="3" t="n">
        <v>11.077033</v>
      </c>
      <c r="Q2262" s="3" t="n">
        <v>11.415871</v>
      </c>
      <c r="R2262" s="3" t="n">
        <v>12.987514</v>
      </c>
      <c r="S2262" s="3" t="n">
        <v>13.70764</v>
      </c>
      <c r="T2262" s="3" t="n">
        <v>11.257525</v>
      </c>
      <c r="U2262" s="3" t="n">
        <v>11.711604</v>
      </c>
      <c r="V2262" s="3" t="n">
        <v>9.170526000000001</v>
      </c>
      <c r="W2262" s="3" t="n">
        <v>5.298323</v>
      </c>
      <c r="X2262" s="3" t="n">
        <v>5.436133</v>
      </c>
      <c r="Y2262" s="3" t="n">
        <v>8.578348999999999</v>
      </c>
      <c r="Z2262" s="3" t="n">
        <v>3.641147</v>
      </c>
      <c r="AA2262" s="3" t="n">
        <v>1.790052</v>
      </c>
      <c r="AB2262" s="3" t="n">
        <v>14.432905</v>
      </c>
      <c r="AC2262" s="3" t="n">
        <v>27.830648</v>
      </c>
      <c r="AD2262" s="3" t="n">
        <v>17.116429</v>
      </c>
      <c r="AE2262" s="3" t="n">
        <v>14.998585</v>
      </c>
      <c r="AF2262" s="3" t="n">
        <v>14.067153</v>
      </c>
      <c r="AG2262" s="3" t="n">
        <v>14.286636</v>
      </c>
      <c r="AH2262" s="3" t="n">
        <v>13.640499</v>
      </c>
      <c r="AI2262" s="3" t="n">
        <v>12.853851</v>
      </c>
      <c r="AJ2262" s="3" t="n">
        <v>12.251387</v>
      </c>
      <c r="AK2262" s="3" t="n">
        <v>11.743891</v>
      </c>
      <c r="AL2262" s="3" t="n">
        <v>11.157761</v>
      </c>
      <c r="AM2262" s="3" t="n"/>
      <c r="AN2262" s="3" t="n"/>
      <c r="AO2262" s="3" t="n"/>
      <c r="AP2262" s="3" t="n"/>
      <c r="AQ2262" s="3" t="n"/>
      <c r="AR2262" s="3" t="n"/>
      <c r="AS2262" s="3" t="n"/>
      <c r="AT2262" s="3" t="n"/>
      <c r="AU2262" s="3" t="n"/>
    </row>
    <row r="2263">
      <c r="A2263" s="3" t="n">
        <v>2031</v>
      </c>
      <c r="B2263" s="3" t="inlineStr">
        <is>
          <t>NOR</t>
        </is>
      </c>
      <c r="C2263" s="3" t="inlineStr">
        <is>
          <t>IMF.RES:WEO</t>
        </is>
      </c>
      <c r="D2263" s="3" t="inlineStr">
        <is>
          <t>NOR.GGR_NGDP.A</t>
        </is>
      </c>
      <c r="E2263" s="3" t="inlineStr">
        <is>
          <t>Norway</t>
        </is>
      </c>
      <c r="F2263" s="3" t="inlineStr">
        <is>
          <t>Revenue, General government, Percent of GDP</t>
        </is>
      </c>
      <c r="G2263" s="3" t="n">
        <v>56.649047</v>
      </c>
      <c r="H2263" s="3" t="n">
        <v>56.593432</v>
      </c>
      <c r="I2263" s="3" t="n">
        <v>55.332823</v>
      </c>
      <c r="J2263" s="3" t="n">
        <v>54.89375</v>
      </c>
      <c r="K2263" s="3" t="n">
        <v>55.500831</v>
      </c>
      <c r="L2263" s="3" t="n">
        <v>56.242106</v>
      </c>
      <c r="M2263" s="3" t="n">
        <v>57.884437</v>
      </c>
      <c r="N2263" s="3" t="n">
        <v>57.28149</v>
      </c>
      <c r="O2263" s="3" t="n">
        <v>57.40731</v>
      </c>
      <c r="P2263" s="3" t="n">
        <v>54.704834</v>
      </c>
      <c r="Q2263" s="3" t="n">
        <v>54.203332</v>
      </c>
      <c r="R2263" s="3" t="n">
        <v>55.269775</v>
      </c>
      <c r="S2263" s="3" t="n">
        <v>54.765546</v>
      </c>
      <c r="T2263" s="3" t="n">
        <v>52.649654</v>
      </c>
      <c r="U2263" s="3" t="n">
        <v>52.327517</v>
      </c>
      <c r="V2263" s="3" t="n">
        <v>52.49881</v>
      </c>
      <c r="W2263" s="3" t="n">
        <v>52.689896</v>
      </c>
      <c r="X2263" s="3" t="n">
        <v>52.36503</v>
      </c>
      <c r="Y2263" s="3" t="n">
        <v>53.700581</v>
      </c>
      <c r="Z2263" s="3" t="n">
        <v>54.652662</v>
      </c>
      <c r="AA2263" s="3" t="n">
        <v>52.079558</v>
      </c>
      <c r="AB2263" s="3" t="n">
        <v>54.624139</v>
      </c>
      <c r="AC2263" s="3" t="n">
        <v>60.918114</v>
      </c>
      <c r="AD2263" s="3" t="n">
        <v>60.102641</v>
      </c>
      <c r="AE2263" s="3" t="n">
        <v>59.691563</v>
      </c>
      <c r="AF2263" s="3" t="n">
        <v>58.895617</v>
      </c>
      <c r="AG2263" s="3" t="n">
        <v>59.504541</v>
      </c>
      <c r="AH2263" s="3" t="n">
        <v>58.129662</v>
      </c>
      <c r="AI2263" s="3" t="n">
        <v>57.88071</v>
      </c>
      <c r="AJ2263" s="3" t="n">
        <v>57.925607</v>
      </c>
      <c r="AK2263" s="3" t="n">
        <v>57.902267</v>
      </c>
      <c r="AL2263" s="3" t="n">
        <v>57.786938</v>
      </c>
      <c r="AM2263" s="3" t="n"/>
      <c r="AN2263" s="3" t="n"/>
      <c r="AO2263" s="3" t="n"/>
      <c r="AP2263" s="3" t="n"/>
      <c r="AQ2263" s="3" t="n"/>
      <c r="AR2263" s="3" t="n"/>
      <c r="AS2263" s="3" t="n"/>
      <c r="AT2263" s="3" t="n"/>
      <c r="AU2263" s="3" t="n"/>
    </row>
    <row r="2264">
      <c r="A2264" s="3" t="n">
        <v>2031</v>
      </c>
      <c r="B2264" s="3" t="inlineStr">
        <is>
          <t>NOR</t>
        </is>
      </c>
      <c r="C2264" s="3" t="inlineStr">
        <is>
          <t>IMF.RES:WEO</t>
        </is>
      </c>
      <c r="D2264" s="3" t="inlineStr">
        <is>
          <t>NOR.GGX_NGDP.A</t>
        </is>
      </c>
      <c r="E2264" s="3" t="inlineStr">
        <is>
          <t>Norway</t>
        </is>
      </c>
      <c r="F2264" s="3" t="inlineStr">
        <is>
          <t>Expenditure, General government, Percent of GDP</t>
        </is>
      </c>
      <c r="G2264" s="3" t="n">
        <v>41.528829</v>
      </c>
      <c r="H2264" s="3" t="n">
        <v>43.371075</v>
      </c>
      <c r="I2264" s="3" t="n">
        <v>46.280289</v>
      </c>
      <c r="J2264" s="3" t="n">
        <v>47.683137</v>
      </c>
      <c r="K2264" s="3" t="n">
        <v>44.682162</v>
      </c>
      <c r="L2264" s="3" t="n">
        <v>41.589286</v>
      </c>
      <c r="M2264" s="3" t="n">
        <v>40.14909</v>
      </c>
      <c r="N2264" s="3" t="n">
        <v>40.459806</v>
      </c>
      <c r="O2264" s="3" t="n">
        <v>39.156911</v>
      </c>
      <c r="P2264" s="3" t="n">
        <v>44.708403</v>
      </c>
      <c r="Q2264" s="3" t="n">
        <v>43.55619</v>
      </c>
      <c r="R2264" s="3" t="n">
        <v>42.294716</v>
      </c>
      <c r="S2264" s="3" t="n">
        <v>41.406617</v>
      </c>
      <c r="T2264" s="3" t="n">
        <v>42.318552</v>
      </c>
      <c r="U2264" s="3" t="n">
        <v>43.989734</v>
      </c>
      <c r="V2264" s="3" t="n">
        <v>46.698264</v>
      </c>
      <c r="W2264" s="3" t="n">
        <v>48.783461</v>
      </c>
      <c r="X2264" s="3" t="n">
        <v>47.57369</v>
      </c>
      <c r="Y2264" s="3" t="n">
        <v>46.141262</v>
      </c>
      <c r="Z2264" s="3" t="n">
        <v>48.368506</v>
      </c>
      <c r="AA2264" s="3" t="n">
        <v>54.541171</v>
      </c>
      <c r="AB2264" s="3" t="n">
        <v>44.697741</v>
      </c>
      <c r="AC2264" s="3" t="n">
        <v>36.249772</v>
      </c>
      <c r="AD2264" s="3" t="n">
        <v>44.245129</v>
      </c>
      <c r="AE2264" s="3" t="n">
        <v>46.904648</v>
      </c>
      <c r="AF2264" s="3" t="n">
        <v>49.551437</v>
      </c>
      <c r="AG2264" s="3" t="n">
        <v>49.339316</v>
      </c>
      <c r="AH2264" s="3" t="n">
        <v>49.865653</v>
      </c>
      <c r="AI2264" s="3" t="n">
        <v>50.307514</v>
      </c>
      <c r="AJ2264" s="3" t="n">
        <v>50.721991</v>
      </c>
      <c r="AK2264" s="3" t="n">
        <v>51.097071</v>
      </c>
      <c r="AL2264" s="3" t="n">
        <v>51.461114</v>
      </c>
      <c r="AM2264" s="3" t="n"/>
      <c r="AN2264" s="3" t="n"/>
      <c r="AO2264" s="3" t="n"/>
      <c r="AP2264" s="3" t="n"/>
      <c r="AQ2264" s="3" t="n"/>
      <c r="AR2264" s="3" t="n"/>
      <c r="AS2264" s="3" t="n"/>
      <c r="AT2264" s="3" t="n"/>
      <c r="AU2264" s="3" t="n"/>
    </row>
    <row r="2265">
      <c r="A2265" s="3" t="n">
        <v>2027</v>
      </c>
      <c r="B2265" s="3" t="inlineStr">
        <is>
          <t>NOR</t>
        </is>
      </c>
      <c r="C2265" s="3" t="inlineStr">
        <is>
          <t>IMF.RES:WEO</t>
        </is>
      </c>
      <c r="D2265" s="3" t="inlineStr">
        <is>
          <t>NOR.LE.A</t>
        </is>
      </c>
      <c r="E2265" s="3" t="inlineStr">
        <is>
          <t>Norway</t>
        </is>
      </c>
      <c r="F2265" s="3" t="inlineStr">
        <is>
          <t>Employed persons, Persons for countries / Index for country groups</t>
        </is>
      </c>
      <c r="G2265" s="3" t="n">
        <v>2.26925</v>
      </c>
      <c r="H2265" s="3" t="n">
        <v>2.27775</v>
      </c>
      <c r="I2265" s="3" t="n">
        <v>2.286</v>
      </c>
      <c r="J2265" s="3" t="n">
        <v>2.2685</v>
      </c>
      <c r="K2265" s="3" t="n">
        <v>2.2755</v>
      </c>
      <c r="L2265" s="3" t="n">
        <v>2.28875</v>
      </c>
      <c r="M2265" s="3" t="n">
        <v>2.35525</v>
      </c>
      <c r="N2265" s="3" t="n">
        <v>2.43725</v>
      </c>
      <c r="O2265" s="3" t="n">
        <v>2.5045</v>
      </c>
      <c r="P2265" s="3" t="n">
        <v>2.4955</v>
      </c>
      <c r="Q2265" s="3" t="n">
        <v>2.49775</v>
      </c>
      <c r="R2265" s="3" t="n">
        <v>2.542</v>
      </c>
      <c r="S2265" s="3" t="n">
        <v>2.5835</v>
      </c>
      <c r="T2265" s="3" t="n">
        <v>2.60175</v>
      </c>
      <c r="U2265" s="3" t="n">
        <v>2.6245</v>
      </c>
      <c r="V2265" s="3" t="n">
        <v>2.63925</v>
      </c>
      <c r="W2265" s="3" t="n">
        <v>2.63775</v>
      </c>
      <c r="X2265" s="3" t="n">
        <v>2.64675</v>
      </c>
      <c r="Y2265" s="3" t="n">
        <v>2.6945</v>
      </c>
      <c r="Z2265" s="3" t="n">
        <v>2.7245</v>
      </c>
      <c r="AA2265" s="3" t="n">
        <v>2.70975</v>
      </c>
      <c r="AB2265" s="3" t="n">
        <v>2.7745</v>
      </c>
      <c r="AC2265" s="3" t="n">
        <v>2.8485</v>
      </c>
      <c r="AD2265" s="3" t="n">
        <v>2.87625</v>
      </c>
      <c r="AE2265" s="3" t="n">
        <v>2.8885</v>
      </c>
      <c r="AF2265" s="3" t="n">
        <v>2.90275</v>
      </c>
      <c r="AG2265" s="3" t="n">
        <v>2.931048</v>
      </c>
      <c r="AH2265" s="3" t="n">
        <v>2.953798</v>
      </c>
      <c r="AI2265" s="3" t="n"/>
      <c r="AJ2265" s="3" t="n"/>
      <c r="AK2265" s="3" t="n"/>
      <c r="AL2265" s="3" t="n"/>
      <c r="AM2265" s="3" t="n"/>
      <c r="AN2265" s="3" t="n"/>
      <c r="AO2265" s="3" t="n"/>
      <c r="AP2265" s="3" t="n"/>
      <c r="AQ2265" s="3" t="n"/>
      <c r="AR2265" s="3" t="n"/>
      <c r="AS2265" s="3" t="n"/>
      <c r="AT2265" s="3" t="n"/>
      <c r="AU2265" s="3" t="n"/>
    </row>
    <row r="2266">
      <c r="A2266" s="3" t="n">
        <v>2031</v>
      </c>
      <c r="B2266" s="3" t="inlineStr">
        <is>
          <t>NOR</t>
        </is>
      </c>
      <c r="C2266" s="3" t="inlineStr">
        <is>
          <t>IMF.RES:WEO</t>
        </is>
      </c>
      <c r="D2266" s="3" t="inlineStr">
        <is>
          <t>NOR.LP.A</t>
        </is>
      </c>
      <c r="E2266" s="3" t="inlineStr">
        <is>
          <t>Norway</t>
        </is>
      </c>
      <c r="F2266" s="3" t="inlineStr">
        <is>
          <t>Population, Persons for countries / Index for country groups</t>
        </is>
      </c>
      <c r="G2266" s="3" t="n">
        <v>4.500806</v>
      </c>
      <c r="H2266" s="3" t="n">
        <v>4.519403</v>
      </c>
      <c r="I2266" s="3" t="n">
        <v>4.547302</v>
      </c>
      <c r="J2266" s="3" t="n">
        <v>4.572924</v>
      </c>
      <c r="K2266" s="3" t="n">
        <v>4.599202</v>
      </c>
      <c r="L2266" s="3" t="n">
        <v>4.631799</v>
      </c>
      <c r="M2266" s="3" t="n">
        <v>4.671871</v>
      </c>
      <c r="N2266" s="3" t="n">
        <v>4.72162</v>
      </c>
      <c r="O2266" s="3" t="n">
        <v>4.787021</v>
      </c>
      <c r="P2266" s="3" t="n">
        <v>4.842676</v>
      </c>
      <c r="Q2266" s="3" t="n">
        <v>4.908147</v>
      </c>
      <c r="R2266" s="3" t="n">
        <v>4.973029</v>
      </c>
      <c r="S2266" s="3" t="n">
        <v>5.038137</v>
      </c>
      <c r="T2266" s="3" t="n">
        <v>5.0963</v>
      </c>
      <c r="U2266" s="3" t="n">
        <v>5.156451</v>
      </c>
      <c r="V2266" s="3" t="n">
        <v>5.205434</v>
      </c>
      <c r="W2266" s="3" t="n">
        <v>5.252166</v>
      </c>
      <c r="X2266" s="3" t="n">
        <v>5.290288</v>
      </c>
      <c r="Y2266" s="3" t="n">
        <v>5.323933</v>
      </c>
      <c r="Z2266" s="3" t="n">
        <v>5.356789</v>
      </c>
      <c r="AA2266" s="3" t="n">
        <v>5.384576</v>
      </c>
      <c r="AB2266" s="3" t="n">
        <v>5.415166</v>
      </c>
      <c r="AC2266" s="3" t="n">
        <v>5.47524</v>
      </c>
      <c r="AD2266" s="3" t="n">
        <v>5.533582</v>
      </c>
      <c r="AE2266" s="3" t="n">
        <v>5.585044</v>
      </c>
      <c r="AF2266" s="3" t="n">
        <v>5.618354</v>
      </c>
      <c r="AG2266" s="3" t="n">
        <v>5.661353</v>
      </c>
      <c r="AH2266" s="3" t="n">
        <v>5.704681</v>
      </c>
      <c r="AI2266" s="3" t="n">
        <v>5.74834</v>
      </c>
      <c r="AJ2266" s="3" t="n">
        <v>5.792334</v>
      </c>
      <c r="AK2266" s="3" t="n">
        <v>5.836664</v>
      </c>
      <c r="AL2266" s="3" t="n">
        <v>5.881334</v>
      </c>
      <c r="AM2266" s="3" t="n"/>
      <c r="AN2266" s="3" t="n"/>
      <c r="AO2266" s="3" t="n"/>
      <c r="AP2266" s="3" t="n"/>
      <c r="AQ2266" s="3" t="n"/>
      <c r="AR2266" s="3" t="n"/>
      <c r="AS2266" s="3" t="n"/>
      <c r="AT2266" s="3" t="n"/>
      <c r="AU2266" s="3" t="n"/>
    </row>
    <row r="2267">
      <c r="A2267" s="3" t="n">
        <v>2031</v>
      </c>
      <c r="B2267" s="3" t="inlineStr">
        <is>
          <t>NOR</t>
        </is>
      </c>
      <c r="C2267" s="3" t="inlineStr">
        <is>
          <t>IMF.RES:WEO</t>
        </is>
      </c>
      <c r="D2267" s="3" t="inlineStr">
        <is>
          <t>NOR.NGDP.A</t>
        </is>
      </c>
      <c r="E2267" s="3" t="inlineStr">
        <is>
          <t>Norway</t>
        </is>
      </c>
      <c r="F2267" s="3" t="inlineStr">
        <is>
          <t>Gross domestic product (GDP), Current prices, Domestic currency</t>
        </is>
      </c>
      <c r="G2267" s="3" t="n">
        <v>1501.764</v>
      </c>
      <c r="H2267" s="3" t="n">
        <v>1560.879</v>
      </c>
      <c r="I2267" s="3" t="n">
        <v>1559.718</v>
      </c>
      <c r="J2267" s="3" t="n">
        <v>1622.733</v>
      </c>
      <c r="K2267" s="3" t="n">
        <v>1790.784</v>
      </c>
      <c r="L2267" s="3" t="n">
        <v>2006.31</v>
      </c>
      <c r="M2267" s="3" t="n">
        <v>2243.204</v>
      </c>
      <c r="N2267" s="3" t="n">
        <v>2390.486</v>
      </c>
      <c r="O2267" s="3" t="n">
        <v>2662.424</v>
      </c>
      <c r="P2267" s="3" t="n">
        <v>2488.058</v>
      </c>
      <c r="Q2267" s="3" t="n">
        <v>2660.235</v>
      </c>
      <c r="R2267" s="3" t="n">
        <v>2874.43</v>
      </c>
      <c r="S2267" s="3" t="n">
        <v>3054.676</v>
      </c>
      <c r="T2267" s="3" t="n">
        <v>3173.282</v>
      </c>
      <c r="U2267" s="3" t="n">
        <v>3250.588</v>
      </c>
      <c r="V2267" s="3" t="n">
        <v>3231.058</v>
      </c>
      <c r="W2267" s="3" t="n">
        <v>3219.585</v>
      </c>
      <c r="X2267" s="3" t="n">
        <v>3438.308</v>
      </c>
      <c r="Y2267" s="3" t="n">
        <v>3696.947</v>
      </c>
      <c r="Z2267" s="3" t="n">
        <v>3733.357</v>
      </c>
      <c r="AA2267" s="3" t="n">
        <v>3599.226</v>
      </c>
      <c r="AB2267" s="3" t="n">
        <v>4480.477</v>
      </c>
      <c r="AC2267" s="3" t="n">
        <v>5935.036</v>
      </c>
      <c r="AD2267" s="3" t="n">
        <v>5304.88</v>
      </c>
      <c r="AE2267" s="3" t="n">
        <v>5382.441</v>
      </c>
      <c r="AF2267" s="3" t="n">
        <v>5517.648</v>
      </c>
      <c r="AG2267" s="3" t="n">
        <v>5799.016351</v>
      </c>
      <c r="AH2267" s="3" t="n">
        <v>6003.547529</v>
      </c>
      <c r="AI2267" s="3" t="n">
        <v>6190.542381</v>
      </c>
      <c r="AJ2267" s="3" t="n">
        <v>6374.918362</v>
      </c>
      <c r="AK2267" s="3" t="n">
        <v>6570.220889</v>
      </c>
      <c r="AL2267" s="3" t="n">
        <v>6773.257281</v>
      </c>
      <c r="AM2267" s="3" t="n"/>
      <c r="AN2267" s="3" t="n"/>
      <c r="AO2267" s="3" t="n"/>
      <c r="AP2267" s="3" t="n"/>
      <c r="AQ2267" s="3" t="n"/>
      <c r="AR2267" s="3" t="n"/>
      <c r="AS2267" s="3" t="n"/>
      <c r="AT2267" s="3" t="n"/>
      <c r="AU2267" s="3" t="n"/>
    </row>
    <row r="2268">
      <c r="A2268" s="3" t="n">
        <v>2031</v>
      </c>
      <c r="B2268" s="3" t="inlineStr">
        <is>
          <t>NOR</t>
        </is>
      </c>
      <c r="C2268" s="3" t="inlineStr">
        <is>
          <t>IMF.RES:WEO</t>
        </is>
      </c>
      <c r="D2268" s="3" t="inlineStr">
        <is>
          <t>NOR.NGDP_D.A</t>
        </is>
      </c>
      <c r="E2268" s="3" t="inlineStr">
        <is>
          <t>Norway</t>
        </is>
      </c>
      <c r="F2268" s="3" t="inlineStr">
        <is>
          <t>Gross domestic product (GDP), Price deflator, Index</t>
        </is>
      </c>
      <c r="G2268" s="3" t="n">
        <v>42.7641</v>
      </c>
      <c r="H2268" s="3" t="n">
        <v>43.506239</v>
      </c>
      <c r="I2268" s="3" t="n">
        <v>42.84936</v>
      </c>
      <c r="J2268" s="3" t="n">
        <v>44.097072</v>
      </c>
      <c r="K2268" s="3" t="n">
        <v>46.644013</v>
      </c>
      <c r="L2268" s="3" t="n">
        <v>50.750606</v>
      </c>
      <c r="M2268" s="3" t="n">
        <v>55.172064</v>
      </c>
      <c r="N2268" s="3" t="n">
        <v>56.850062</v>
      </c>
      <c r="O2268" s="3" t="n">
        <v>62.800513</v>
      </c>
      <c r="P2268" s="3" t="n">
        <v>59.649924</v>
      </c>
      <c r="Q2268" s="3" t="n">
        <v>63.143245</v>
      </c>
      <c r="R2268" s="3" t="n">
        <v>67.29530200000001</v>
      </c>
      <c r="S2268" s="3" t="n">
        <v>69.551053</v>
      </c>
      <c r="T2268" s="3" t="n">
        <v>71.34344</v>
      </c>
      <c r="U2268" s="3" t="n">
        <v>71.5817</v>
      </c>
      <c r="V2268" s="3" t="n">
        <v>69.726206</v>
      </c>
      <c r="W2268" s="3" t="n">
        <v>68.592687</v>
      </c>
      <c r="X2268" s="3" t="n">
        <v>71.347809</v>
      </c>
      <c r="Y2268" s="3" t="n">
        <v>75.872303</v>
      </c>
      <c r="Z2268" s="3" t="n">
        <v>75.509753</v>
      </c>
      <c r="AA2268" s="3" t="n">
        <v>73.800984</v>
      </c>
      <c r="AB2268" s="3" t="n">
        <v>88.215836</v>
      </c>
      <c r="AC2268" s="3" t="n">
        <v>112.273362</v>
      </c>
      <c r="AD2268" s="3" t="n">
        <v>99.99998100000001</v>
      </c>
      <c r="AE2268" s="3" t="n">
        <v>100.037785</v>
      </c>
      <c r="AF2268" s="3" t="n">
        <v>101.449732</v>
      </c>
      <c r="AG2268" s="3" t="n">
        <v>105.073618</v>
      </c>
      <c r="AH2268" s="3" t="n">
        <v>107.351657</v>
      </c>
      <c r="AI2268" s="3" t="n">
        <v>109.454222</v>
      </c>
      <c r="AJ2268" s="3" t="n">
        <v>111.445748</v>
      </c>
      <c r="AK2268" s="3" t="n">
        <v>113.562803</v>
      </c>
      <c r="AL2268" s="3" t="n">
        <v>115.745285</v>
      </c>
      <c r="AM2268" s="3" t="n"/>
      <c r="AN2268" s="3" t="n"/>
      <c r="AO2268" s="3" t="n"/>
      <c r="AP2268" s="3" t="n"/>
      <c r="AQ2268" s="3" t="n"/>
      <c r="AR2268" s="3" t="n"/>
      <c r="AS2268" s="3" t="n"/>
      <c r="AT2268" s="3" t="n"/>
      <c r="AU2268" s="3" t="n"/>
    </row>
    <row r="2269">
      <c r="A2269" s="3" t="n">
        <v>2031</v>
      </c>
      <c r="B2269" s="3" t="inlineStr">
        <is>
          <t>NOR</t>
        </is>
      </c>
      <c r="C2269" s="3" t="inlineStr">
        <is>
          <t>IMF.RES:WEO</t>
        </is>
      </c>
      <c r="D2269" s="3" t="inlineStr">
        <is>
          <t>NOR.NGDP_R.A</t>
        </is>
      </c>
      <c r="E2269" s="3" t="inlineStr">
        <is>
          <t>Norway</t>
        </is>
      </c>
      <c r="F2269" s="3" t="inlineStr">
        <is>
          <t>Gross domestic product (GDP), Constant prices, Domestic currency</t>
        </is>
      </c>
      <c r="G2269" s="3" t="n">
        <v>3511.74</v>
      </c>
      <c r="H2269" s="3" t="n">
        <v>3587.713</v>
      </c>
      <c r="I2269" s="3" t="n">
        <v>3640.003</v>
      </c>
      <c r="J2269" s="3" t="n">
        <v>3679.911</v>
      </c>
      <c r="K2269" s="3" t="n">
        <v>3839.258</v>
      </c>
      <c r="L2269" s="3" t="n">
        <v>3953.273</v>
      </c>
      <c r="M2269" s="3" t="n">
        <v>4065.833</v>
      </c>
      <c r="N2269" s="3" t="n">
        <v>4204.896</v>
      </c>
      <c r="O2269" s="3" t="n">
        <v>4239.494</v>
      </c>
      <c r="P2269" s="3" t="n">
        <v>4171.1</v>
      </c>
      <c r="Q2269" s="3" t="n">
        <v>4213.016</v>
      </c>
      <c r="R2269" s="3" t="n">
        <v>4271.368</v>
      </c>
      <c r="S2269" s="3" t="n">
        <v>4391.991</v>
      </c>
      <c r="T2269" s="3" t="n">
        <v>4447.896</v>
      </c>
      <c r="U2269" s="3" t="n">
        <v>4541.088</v>
      </c>
      <c r="V2269" s="3" t="n">
        <v>4633.922</v>
      </c>
      <c r="W2269" s="3" t="n">
        <v>4693.773</v>
      </c>
      <c r="X2269" s="3" t="n">
        <v>4819.08</v>
      </c>
      <c r="Y2269" s="3" t="n">
        <v>4872.591</v>
      </c>
      <c r="Z2269" s="3" t="n">
        <v>4944.205</v>
      </c>
      <c r="AA2269" s="3" t="n">
        <v>4876.935</v>
      </c>
      <c r="AB2269" s="3" t="n">
        <v>5078.994</v>
      </c>
      <c r="AC2269" s="3" t="n">
        <v>5286.237</v>
      </c>
      <c r="AD2269" s="3" t="n">
        <v>5304.881</v>
      </c>
      <c r="AE2269" s="3" t="n">
        <v>5380.408</v>
      </c>
      <c r="AF2269" s="3" t="n">
        <v>5438.8</v>
      </c>
      <c r="AG2269" s="3" t="n">
        <v>5519.003226</v>
      </c>
      <c r="AH2269" s="3" t="n">
        <v>5592.412549</v>
      </c>
      <c r="AI2269" s="3" t="n">
        <v>5655.827858</v>
      </c>
      <c r="AJ2269" s="3" t="n">
        <v>5720.198798</v>
      </c>
      <c r="AK2269" s="3" t="n">
        <v>5785.539562</v>
      </c>
      <c r="AL2269" s="3" t="n">
        <v>5851.864554</v>
      </c>
      <c r="AM2269" s="3" t="n"/>
      <c r="AN2269" s="3" t="n"/>
      <c r="AO2269" s="3" t="n"/>
      <c r="AP2269" s="3" t="n"/>
      <c r="AQ2269" s="3" t="n"/>
      <c r="AR2269" s="3" t="n"/>
      <c r="AS2269" s="3" t="n"/>
      <c r="AT2269" s="3" t="n"/>
      <c r="AU2269" s="3" t="n"/>
    </row>
    <row r="2270">
      <c r="A2270" s="3" t="n">
        <v>2031</v>
      </c>
      <c r="B2270" s="3" t="inlineStr">
        <is>
          <t>NOR</t>
        </is>
      </c>
      <c r="C2270" s="3" t="inlineStr">
        <is>
          <t>IMF.RES:WEO</t>
        </is>
      </c>
      <c r="D2270" s="3" t="inlineStr">
        <is>
          <t>NOR.NGDP_RPCH.A</t>
        </is>
      </c>
      <c r="E2270" s="3" t="inlineStr">
        <is>
          <t>Norway</t>
        </is>
      </c>
      <c r="F2270" s="3" t="inlineStr">
        <is>
          <t>Gross domestic product (GDP), Constant prices, Percent change</t>
        </is>
      </c>
      <c r="G2270" s="3" t="n">
        <v>3.443431</v>
      </c>
      <c r="H2270" s="3" t="n">
        <v>2.1634</v>
      </c>
      <c r="I2270" s="3" t="n">
        <v>1.457474</v>
      </c>
      <c r="J2270" s="3" t="n">
        <v>1.096373</v>
      </c>
      <c r="K2270" s="3" t="n">
        <v>4.330186</v>
      </c>
      <c r="L2270" s="3" t="n">
        <v>2.969714</v>
      </c>
      <c r="M2270" s="3" t="n">
        <v>2.847261</v>
      </c>
      <c r="N2270" s="3" t="n">
        <v>3.420283</v>
      </c>
      <c r="O2270" s="3" t="n">
        <v>0.822803</v>
      </c>
      <c r="P2270" s="3" t="n">
        <v>-1.613259</v>
      </c>
      <c r="Q2270" s="3" t="n">
        <v>1.004915</v>
      </c>
      <c r="R2270" s="3" t="n">
        <v>1.385041</v>
      </c>
      <c r="S2270" s="3" t="n">
        <v>2.82399</v>
      </c>
      <c r="T2270" s="3" t="n">
        <v>1.272885</v>
      </c>
      <c r="U2270" s="3" t="n">
        <v>2.095193</v>
      </c>
      <c r="V2270" s="3" t="n">
        <v>2.044312</v>
      </c>
      <c r="W2270" s="3" t="n">
        <v>1.291584</v>
      </c>
      <c r="X2270" s="3" t="n">
        <v>2.669643</v>
      </c>
      <c r="Y2270" s="3" t="n">
        <v>1.110399</v>
      </c>
      <c r="Z2270" s="3" t="n">
        <v>1.469731</v>
      </c>
      <c r="AA2270" s="3" t="n">
        <v>-1.360583</v>
      </c>
      <c r="AB2270" s="3" t="n">
        <v>4.143155</v>
      </c>
      <c r="AC2270" s="3" t="n">
        <v>4.080395</v>
      </c>
      <c r="AD2270" s="3" t="n">
        <v>0.352689</v>
      </c>
      <c r="AE2270" s="3" t="n">
        <v>1.423727</v>
      </c>
      <c r="AF2270" s="3" t="n">
        <v>1.085271</v>
      </c>
      <c r="AG2270" s="3" t="n">
        <v>1.474649</v>
      </c>
      <c r="AH2270" s="3" t="n">
        <v>1.330119</v>
      </c>
      <c r="AI2270" s="3" t="n">
        <v>1.133953</v>
      </c>
      <c r="AJ2270" s="3" t="n">
        <v>1.138135</v>
      </c>
      <c r="AK2270" s="3" t="n">
        <v>1.142281</v>
      </c>
      <c r="AL2270" s="3" t="n">
        <v>1.146393</v>
      </c>
      <c r="AM2270" s="3" t="n"/>
      <c r="AN2270" s="3" t="n"/>
      <c r="AO2270" s="3" t="n"/>
      <c r="AP2270" s="3" t="n"/>
      <c r="AQ2270" s="3" t="n"/>
      <c r="AR2270" s="3" t="n"/>
      <c r="AS2270" s="3" t="n"/>
      <c r="AT2270" s="3" t="n"/>
      <c r="AU2270" s="3" t="n"/>
    </row>
    <row r="2271">
      <c r="A2271" s="3" t="n">
        <v>2031</v>
      </c>
      <c r="B2271" s="3" t="inlineStr">
        <is>
          <t>NOR</t>
        </is>
      </c>
      <c r="C2271" s="3" t="inlineStr">
        <is>
          <t>IMF.RES:WEO</t>
        </is>
      </c>
      <c r="D2271" s="3" t="inlineStr">
        <is>
          <t>NOR.NGDPD.A</t>
        </is>
      </c>
      <c r="E2271" s="3" t="inlineStr">
        <is>
          <t>Norway</t>
        </is>
      </c>
      <c r="F2271" s="3" t="inlineStr">
        <is>
          <t>Gross domestic product (GDP), Current prices, US dollar</t>
        </is>
      </c>
      <c r="G2271" s="3" t="n">
        <v>170.619293</v>
      </c>
      <c r="H2271" s="3" t="n">
        <v>173.591974</v>
      </c>
      <c r="I2271" s="3" t="n">
        <v>195.360873</v>
      </c>
      <c r="J2271" s="3" t="n">
        <v>229.192562</v>
      </c>
      <c r="K2271" s="3" t="n">
        <v>265.662109</v>
      </c>
      <c r="L2271" s="3" t="n">
        <v>311.417928</v>
      </c>
      <c r="M2271" s="3" t="n">
        <v>349.771933</v>
      </c>
      <c r="N2271" s="3" t="n">
        <v>407.816776</v>
      </c>
      <c r="O2271" s="3" t="n">
        <v>472.060993</v>
      </c>
      <c r="P2271" s="3" t="n">
        <v>395.66255</v>
      </c>
      <c r="Q2271" s="3" t="n">
        <v>440.132635</v>
      </c>
      <c r="R2271" s="3" t="n">
        <v>512.869117</v>
      </c>
      <c r="S2271" s="3" t="n">
        <v>525.083971</v>
      </c>
      <c r="T2271" s="3" t="n">
        <v>540.133106</v>
      </c>
      <c r="U2271" s="3" t="n">
        <v>515.829886</v>
      </c>
      <c r="V2271" s="3" t="n">
        <v>400.668554</v>
      </c>
      <c r="W2271" s="3" t="n">
        <v>383.283929</v>
      </c>
      <c r="X2271" s="3" t="n">
        <v>415.67294</v>
      </c>
      <c r="Y2271" s="3" t="n">
        <v>454.589241</v>
      </c>
      <c r="Z2271" s="3" t="n">
        <v>424.245114</v>
      </c>
      <c r="AA2271" s="3" t="n">
        <v>382.252518</v>
      </c>
      <c r="AB2271" s="3" t="n">
        <v>521.5922</v>
      </c>
      <c r="AC2271" s="3" t="n">
        <v>617.321938</v>
      </c>
      <c r="AD2271" s="3" t="n">
        <v>502.197539</v>
      </c>
      <c r="AE2271" s="3" t="n">
        <v>500.886328</v>
      </c>
      <c r="AF2271" s="3" t="n">
        <v>530.755719</v>
      </c>
      <c r="AG2271" s="3" t="n">
        <v>599.406223</v>
      </c>
      <c r="AH2271" s="3" t="n">
        <v>604.1440679999999</v>
      </c>
      <c r="AI2271" s="3" t="n">
        <v>605.422848</v>
      </c>
      <c r="AJ2271" s="3" t="n">
        <v>607.524435</v>
      </c>
      <c r="AK2271" s="3" t="n">
        <v>611.7799639999999</v>
      </c>
      <c r="AL2271" s="3" t="n">
        <v>617.68669</v>
      </c>
      <c r="AM2271" s="3" t="n"/>
      <c r="AN2271" s="3" t="n"/>
      <c r="AO2271" s="3" t="n"/>
      <c r="AP2271" s="3" t="n"/>
      <c r="AQ2271" s="3" t="n"/>
      <c r="AR2271" s="3" t="n"/>
      <c r="AS2271" s="3" t="n"/>
      <c r="AT2271" s="3" t="n"/>
      <c r="AU2271" s="3" t="n"/>
    </row>
    <row r="2272">
      <c r="A2272" s="3" t="n">
        <v>2031</v>
      </c>
      <c r="B2272" s="3" t="inlineStr">
        <is>
          <t>NOR</t>
        </is>
      </c>
      <c r="C2272" s="3" t="inlineStr">
        <is>
          <t>IMF.RES:WEO</t>
        </is>
      </c>
      <c r="D2272" s="3" t="inlineStr">
        <is>
          <t>NOR.NGDPPC.A</t>
        </is>
      </c>
      <c r="E2272" s="3" t="inlineStr">
        <is>
          <t>Norway</t>
        </is>
      </c>
      <c r="F2272" s="3" t="inlineStr">
        <is>
          <t>Gross domestic product (GDP), Current prices, Per capita, Domestic currency</t>
        </is>
      </c>
      <c r="G2272" s="3" t="n">
        <v>333665.570122</v>
      </c>
      <c r="H2272" s="3" t="n">
        <v>345372.82911</v>
      </c>
      <c r="I2272" s="3" t="n">
        <v>342998.551669</v>
      </c>
      <c r="J2272" s="3" t="n">
        <v>354856.761232</v>
      </c>
      <c r="K2272" s="3" t="n">
        <v>389368.416521</v>
      </c>
      <c r="L2272" s="3" t="n">
        <v>433159.98816</v>
      </c>
      <c r="M2272" s="3" t="n">
        <v>480151.100062</v>
      </c>
      <c r="N2272" s="3" t="n">
        <v>506285.130951</v>
      </c>
      <c r="O2272" s="3" t="n">
        <v>556175.5421589999</v>
      </c>
      <c r="P2272" s="3" t="n">
        <v>513777.506486</v>
      </c>
      <c r="Q2272" s="3" t="n">
        <v>542003.937535</v>
      </c>
      <c r="R2272" s="3" t="n">
        <v>578003.868467</v>
      </c>
      <c r="S2272" s="3" t="n">
        <v>606310.626329</v>
      </c>
      <c r="T2272" s="3" t="n">
        <v>622663.893413</v>
      </c>
      <c r="U2272" s="3" t="n">
        <v>630392.4928210001</v>
      </c>
      <c r="V2272" s="3" t="n">
        <v>620708.667135</v>
      </c>
      <c r="W2272" s="3" t="n">
        <v>613001.3788600001</v>
      </c>
      <c r="X2272" s="3" t="n">
        <v>649928.3214829999</v>
      </c>
      <c r="Y2272" s="3" t="n">
        <v>694401.488524</v>
      </c>
      <c r="Z2272" s="3" t="n">
        <v>696939.341833</v>
      </c>
      <c r="AA2272" s="3" t="n">
        <v>668432.574821</v>
      </c>
      <c r="AB2272" s="3" t="n">
        <v>827394.210999</v>
      </c>
      <c r="AC2272" s="3" t="n">
        <v>1083977.323368</v>
      </c>
      <c r="AD2272" s="3" t="n">
        <v>958670.170606</v>
      </c>
      <c r="AE2272" s="3" t="n">
        <v>963724.0100529999</v>
      </c>
      <c r="AF2272" s="3" t="n">
        <v>982075.5331539999</v>
      </c>
      <c r="AG2272" s="3" t="n">
        <v>1024316.366212</v>
      </c>
      <c r="AH2272" s="3" t="n">
        <v>1052389.750739</v>
      </c>
      <c r="AI2272" s="3" t="n">
        <v>1076926.926889</v>
      </c>
      <c r="AJ2272" s="3" t="n">
        <v>1100578.540187</v>
      </c>
      <c r="AK2272" s="3" t="n">
        <v>1125680.807875</v>
      </c>
      <c r="AL2272" s="3" t="n">
        <v>1151653.261077</v>
      </c>
      <c r="AM2272" s="3" t="n"/>
      <c r="AN2272" s="3" t="n"/>
      <c r="AO2272" s="3" t="n"/>
      <c r="AP2272" s="3" t="n"/>
      <c r="AQ2272" s="3" t="n"/>
      <c r="AR2272" s="3" t="n"/>
      <c r="AS2272" s="3" t="n"/>
      <c r="AT2272" s="3" t="n"/>
      <c r="AU2272" s="3" t="n"/>
    </row>
    <row r="2273">
      <c r="A2273" s="3" t="n">
        <v>2031</v>
      </c>
      <c r="B2273" s="3" t="inlineStr">
        <is>
          <t>NOR</t>
        </is>
      </c>
      <c r="C2273" s="3" t="inlineStr">
        <is>
          <t>IMF.RES:WEO</t>
        </is>
      </c>
      <c r="D2273" s="3" t="inlineStr">
        <is>
          <t>NOR.NGDPRPC.A</t>
        </is>
      </c>
      <c r="E2273" s="3" t="inlineStr">
        <is>
          <t>Norway</t>
        </is>
      </c>
      <c r="F2273" s="3" t="inlineStr">
        <is>
          <t>Gross domestic product (GDP), Constant prices, Per capita, Domestic currency</t>
        </is>
      </c>
      <c r="G2273" s="3" t="n">
        <v>780246.915775</v>
      </c>
      <c r="H2273" s="3" t="n">
        <v>793846.665146</v>
      </c>
      <c r="I2273" s="3" t="n">
        <v>800475.314813</v>
      </c>
      <c r="J2273" s="3" t="n">
        <v>804717.2881069999</v>
      </c>
      <c r="K2273" s="3" t="n">
        <v>834766.118122</v>
      </c>
      <c r="L2273" s="3" t="n">
        <v>853507.028263</v>
      </c>
      <c r="M2273" s="3" t="n">
        <v>870279.380574</v>
      </c>
      <c r="N2273" s="3" t="n">
        <v>890562.137571</v>
      </c>
      <c r="O2273" s="3" t="n">
        <v>885622.603285</v>
      </c>
      <c r="P2273" s="3" t="n">
        <v>861321.30252</v>
      </c>
      <c r="Q2273" s="3" t="n">
        <v>858372.008825</v>
      </c>
      <c r="R2273" s="3" t="n">
        <v>858906.7145999999</v>
      </c>
      <c r="S2273" s="3" t="n">
        <v>871749.021513</v>
      </c>
      <c r="T2273" s="3" t="n">
        <v>872769.656417</v>
      </c>
      <c r="U2273" s="3" t="n">
        <v>880661.524758</v>
      </c>
      <c r="V2273" s="3" t="n">
        <v>890208.57819</v>
      </c>
      <c r="W2273" s="3" t="n">
        <v>893683.291808</v>
      </c>
      <c r="X2273" s="3" t="n">
        <v>910929.612906</v>
      </c>
      <c r="Y2273" s="3" t="n">
        <v>915223.951917</v>
      </c>
      <c r="Z2273" s="3" t="n">
        <v>922979.232522</v>
      </c>
      <c r="AA2273" s="3" t="n">
        <v>905723.1247179999</v>
      </c>
      <c r="AB2273" s="3" t="n">
        <v>937920.277975</v>
      </c>
      <c r="AC2273" s="3" t="n">
        <v>965480.4172969999</v>
      </c>
      <c r="AD2273" s="3" t="n">
        <v>958670.35132</v>
      </c>
      <c r="AE2273" s="3" t="n">
        <v>963360.002177</v>
      </c>
      <c r="AF2273" s="3" t="n">
        <v>968041.529601</v>
      </c>
      <c r="AG2273" s="3" t="n">
        <v>974855.904372</v>
      </c>
      <c r="AH2273" s="3" t="n">
        <v>980319.989112</v>
      </c>
      <c r="AI2273" s="3" t="n">
        <v>983906.24582</v>
      </c>
      <c r="AJ2273" s="3" t="n">
        <v>987546.457201</v>
      </c>
      <c r="AK2273" s="3" t="n">
        <v>991240.775377</v>
      </c>
      <c r="AL2273" s="3" t="n">
        <v>994989.355587</v>
      </c>
      <c r="AM2273" s="3" t="n"/>
      <c r="AN2273" s="3" t="n"/>
      <c r="AO2273" s="3" t="n"/>
      <c r="AP2273" s="3" t="n"/>
      <c r="AQ2273" s="3" t="n"/>
      <c r="AR2273" s="3" t="n"/>
      <c r="AS2273" s="3" t="n"/>
      <c r="AT2273" s="3" t="n"/>
      <c r="AU2273" s="3" t="n"/>
    </row>
    <row r="2274">
      <c r="A2274" s="3" t="n">
        <v>2031</v>
      </c>
      <c r="B2274" s="3" t="inlineStr">
        <is>
          <t>NOR</t>
        </is>
      </c>
      <c r="C2274" s="3" t="inlineStr">
        <is>
          <t>IMF.RES:WEO</t>
        </is>
      </c>
      <c r="D2274" s="3" t="inlineStr">
        <is>
          <t>NOR.PCPI.A</t>
        </is>
      </c>
      <c r="E2274" s="3" t="inlineStr">
        <is>
          <t>Norway</t>
        </is>
      </c>
      <c r="F2274" s="3" t="inlineStr">
        <is>
          <t>All Items, Consumer price index (CPI), Period average</t>
        </is>
      </c>
      <c r="G2274" s="3" t="n">
        <v>54.783333</v>
      </c>
      <c r="H2274" s="3" t="n">
        <v>56.416667</v>
      </c>
      <c r="I2274" s="3" t="n">
        <v>57.15</v>
      </c>
      <c r="J2274" s="3" t="n">
        <v>58.583333</v>
      </c>
      <c r="K2274" s="3" t="n">
        <v>58.85</v>
      </c>
      <c r="L2274" s="3" t="n">
        <v>59.741667</v>
      </c>
      <c r="M2274" s="3" t="n">
        <v>61.116667</v>
      </c>
      <c r="N2274" s="3" t="n">
        <v>61.583333</v>
      </c>
      <c r="O2274" s="3" t="n">
        <v>63.891667</v>
      </c>
      <c r="P2274" s="3" t="n">
        <v>65.27500000000001</v>
      </c>
      <c r="Q2274" s="3" t="n">
        <v>66.84999999999999</v>
      </c>
      <c r="R2274" s="3" t="n">
        <v>67.72499999999999</v>
      </c>
      <c r="S2274" s="3" t="n">
        <v>68.191667</v>
      </c>
      <c r="T2274" s="3" t="n">
        <v>69.641667</v>
      </c>
      <c r="U2274" s="3" t="n">
        <v>71.075</v>
      </c>
      <c r="V2274" s="3" t="n">
        <v>72.608333</v>
      </c>
      <c r="W2274" s="3" t="n">
        <v>75.183333</v>
      </c>
      <c r="X2274" s="3" t="n">
        <v>76.61666700000001</v>
      </c>
      <c r="Y2274" s="3" t="n">
        <v>78.716667</v>
      </c>
      <c r="Z2274" s="3" t="n">
        <v>80.425</v>
      </c>
      <c r="AA2274" s="3" t="n">
        <v>81.466667</v>
      </c>
      <c r="AB2274" s="3" t="n">
        <v>84.291667</v>
      </c>
      <c r="AC2274" s="3" t="n">
        <v>89.158333</v>
      </c>
      <c r="AD2274" s="3" t="n">
        <v>94.058333</v>
      </c>
      <c r="AE2274" s="3" t="n">
        <v>97.05</v>
      </c>
      <c r="AF2274" s="3" t="n">
        <v>100</v>
      </c>
      <c r="AG2274" s="3" t="n">
        <v>103.3</v>
      </c>
      <c r="AH2274" s="3" t="n">
        <v>105.9858</v>
      </c>
      <c r="AI2274" s="3" t="n">
        <v>108.317488</v>
      </c>
      <c r="AJ2274" s="3" t="n">
        <v>110.483837</v>
      </c>
      <c r="AK2274" s="3" t="n">
        <v>112.693514</v>
      </c>
      <c r="AL2274" s="3" t="n">
        <v>114.947384</v>
      </c>
      <c r="AM2274" s="3" t="n"/>
      <c r="AN2274" s="3" t="n"/>
      <c r="AO2274" s="3" t="n"/>
      <c r="AP2274" s="3" t="n"/>
      <c r="AQ2274" s="3" t="n"/>
      <c r="AR2274" s="3" t="n"/>
      <c r="AS2274" s="3" t="n"/>
      <c r="AT2274" s="3" t="n"/>
      <c r="AU2274" s="3" t="n"/>
    </row>
    <row r="2275">
      <c r="A2275" s="3" t="n">
        <v>2031</v>
      </c>
      <c r="B2275" s="3" t="inlineStr">
        <is>
          <t>NOR</t>
        </is>
      </c>
      <c r="C2275" s="3" t="inlineStr">
        <is>
          <t>IMF.RES:WEO</t>
        </is>
      </c>
      <c r="D2275" s="3" t="inlineStr">
        <is>
          <t>NOR.PCPIPCH.A</t>
        </is>
      </c>
      <c r="E2275" s="3" t="inlineStr">
        <is>
          <t>Norway</t>
        </is>
      </c>
      <c r="F2275" s="3" t="inlineStr">
        <is>
          <t>All Items, Consumer price index (CPI), Period average, percent change</t>
        </is>
      </c>
      <c r="G2275" s="3" t="n">
        <v>3.105395</v>
      </c>
      <c r="H2275" s="3" t="n">
        <v>2.981442</v>
      </c>
      <c r="I2275" s="3" t="n">
        <v>1.299852</v>
      </c>
      <c r="J2275" s="3" t="n">
        <v>2.50802</v>
      </c>
      <c r="K2275" s="3" t="n">
        <v>0.455192</v>
      </c>
      <c r="L2275" s="3" t="n">
        <v>1.515152</v>
      </c>
      <c r="M2275" s="3" t="n">
        <v>2.301576</v>
      </c>
      <c r="N2275" s="3" t="n">
        <v>0.763567</v>
      </c>
      <c r="O2275" s="3" t="n">
        <v>3.748309</v>
      </c>
      <c r="P2275" s="3" t="n">
        <v>2.165123</v>
      </c>
      <c r="Q2275" s="3" t="n">
        <v>2.412869</v>
      </c>
      <c r="R2275" s="3" t="n">
        <v>1.308901</v>
      </c>
      <c r="S2275" s="3" t="n">
        <v>0.689061</v>
      </c>
      <c r="T2275" s="3" t="n">
        <v>2.12636</v>
      </c>
      <c r="U2275" s="3" t="n">
        <v>2.058155</v>
      </c>
      <c r="V2275" s="3" t="n">
        <v>2.157346</v>
      </c>
      <c r="W2275" s="3" t="n">
        <v>3.546425</v>
      </c>
      <c r="X2275" s="3" t="n">
        <v>1.906451</v>
      </c>
      <c r="Y2275" s="3" t="n">
        <v>2.740918</v>
      </c>
      <c r="Z2275" s="3" t="n">
        <v>2.170231</v>
      </c>
      <c r="AA2275" s="3" t="n">
        <v>1.295203</v>
      </c>
      <c r="AB2275" s="3" t="n">
        <v>3.467676</v>
      </c>
      <c r="AC2275" s="3" t="n">
        <v>5.773604</v>
      </c>
      <c r="AD2275" s="3" t="n">
        <v>5.495841</v>
      </c>
      <c r="AE2275" s="3" t="n">
        <v>3.18065</v>
      </c>
      <c r="AF2275" s="3" t="n">
        <v>3.03967</v>
      </c>
      <c r="AG2275" s="3" t="n">
        <v>3.3</v>
      </c>
      <c r="AH2275" s="3" t="n">
        <v>2.6</v>
      </c>
      <c r="AI2275" s="3" t="n">
        <v>2.2</v>
      </c>
      <c r="AJ2275" s="3" t="n">
        <v>2</v>
      </c>
      <c r="AK2275" s="3" t="n">
        <v>2</v>
      </c>
      <c r="AL2275" s="3" t="n">
        <v>2</v>
      </c>
      <c r="AM2275" s="3" t="n"/>
      <c r="AN2275" s="3" t="n"/>
      <c r="AO2275" s="3" t="n"/>
      <c r="AP2275" s="3" t="n"/>
      <c r="AQ2275" s="3" t="n"/>
      <c r="AR2275" s="3" t="n"/>
      <c r="AS2275" s="3" t="n"/>
      <c r="AT2275" s="3" t="n"/>
      <c r="AU2275" s="3" t="n"/>
    </row>
    <row r="2276">
      <c r="A2276" s="3" t="n">
        <v>2031</v>
      </c>
      <c r="B2276" s="3" t="inlineStr">
        <is>
          <t>NOR</t>
        </is>
      </c>
      <c r="C2276" s="3" t="inlineStr">
        <is>
          <t>IMF.RES:WEO</t>
        </is>
      </c>
      <c r="D2276" s="3" t="inlineStr">
        <is>
          <t>NOR.PPPPC.A</t>
        </is>
      </c>
      <c r="E2276" s="3" t="inlineStr">
        <is>
          <t>Norway</t>
        </is>
      </c>
      <c r="F2276" s="3" t="inlineStr">
        <is>
          <t>Gross domestic product (GDP), Per capita, purchasing power parity (PPP) international dollar, ICP benchmarks 2017-2021</t>
        </is>
      </c>
      <c r="G2276" s="3" t="n">
        <v>41522.462547</v>
      </c>
      <c r="H2276" s="3" t="n">
        <v>43197.425577</v>
      </c>
      <c r="I2276" s="3" t="n">
        <v>44235.03457</v>
      </c>
      <c r="J2276" s="3" t="n">
        <v>45347.372949</v>
      </c>
      <c r="K2276" s="3" t="n">
        <v>48305.5506</v>
      </c>
      <c r="L2276" s="3" t="n">
        <v>50938.816981</v>
      </c>
      <c r="M2276" s="3" t="n">
        <v>53541.583668</v>
      </c>
      <c r="N2276" s="3" t="n">
        <v>56273.818909</v>
      </c>
      <c r="O2276" s="3" t="n">
        <v>57039.746568</v>
      </c>
      <c r="P2276" s="3" t="n">
        <v>55816.722787</v>
      </c>
      <c r="Q2276" s="3" t="n">
        <v>56301.657313</v>
      </c>
      <c r="R2276" s="3" t="n">
        <v>57499.095962</v>
      </c>
      <c r="S2276" s="3" t="n">
        <v>59445.419589</v>
      </c>
      <c r="T2276" s="3" t="n">
        <v>60527.966211</v>
      </c>
      <c r="U2276" s="3" t="n">
        <v>62139.037072</v>
      </c>
      <c r="V2276" s="3" t="n">
        <v>63395.607423</v>
      </c>
      <c r="W2276" s="3" t="n">
        <v>64247.808154</v>
      </c>
      <c r="X2276" s="3" t="n">
        <v>66660.47562700001</v>
      </c>
      <c r="Y2276" s="3" t="n">
        <v>72454.25544199999</v>
      </c>
      <c r="Z2276" s="3" t="n">
        <v>73507.871464</v>
      </c>
      <c r="AA2276" s="3" t="n">
        <v>69713.184826</v>
      </c>
      <c r="AB2276" s="3" t="n">
        <v>92322.05521400001</v>
      </c>
      <c r="AC2276" s="3" t="n">
        <v>101794.148807</v>
      </c>
      <c r="AD2276" s="3" t="n">
        <v>104815.989373</v>
      </c>
      <c r="AE2276" s="3" t="n">
        <v>107943.564154</v>
      </c>
      <c r="AF2276" s="3" t="n">
        <v>111545.11228</v>
      </c>
      <c r="AG2276" s="3" t="n">
        <v>115548.412395</v>
      </c>
      <c r="AH2276" s="3" t="n">
        <v>118747.615024</v>
      </c>
      <c r="AI2276" s="3" t="n">
        <v>121138.266057</v>
      </c>
      <c r="AJ2276" s="3" t="n">
        <v>123748.386904</v>
      </c>
      <c r="AK2276" s="3" t="n">
        <v>126493.734254</v>
      </c>
      <c r="AL2276" s="3" t="n">
        <v>129264.325773</v>
      </c>
      <c r="AM2276" s="3" t="n"/>
      <c r="AN2276" s="3" t="n"/>
      <c r="AO2276" s="3" t="n"/>
      <c r="AP2276" s="3" t="n"/>
      <c r="AQ2276" s="3" t="n"/>
      <c r="AR2276" s="3" t="n"/>
      <c r="AS2276" s="3" t="n"/>
      <c r="AT2276" s="3" t="n"/>
      <c r="AU2276" s="3" t="n"/>
    </row>
    <row r="2277">
      <c r="A2277" s="3" t="n">
        <v>2025</v>
      </c>
      <c r="B2277" s="3" t="inlineStr">
        <is>
          <t>NOR</t>
        </is>
      </c>
      <c r="C2277" s="3" t="inlineStr">
        <is>
          <t>IMF.STA:ER</t>
        </is>
      </c>
      <c r="D2277" s="3" t="inlineStr">
        <is>
          <t>NOR.XDC_USD.PA_RT.A</t>
        </is>
      </c>
      <c r="E2277" s="3" t="inlineStr">
        <is>
          <t>Norway</t>
        </is>
      </c>
      <c r="F2277" s="3" t="inlineStr">
        <is>
          <t>Domestic currency per US Dollar</t>
        </is>
      </c>
      <c r="G2277" s="3" t="n">
        <v>8.801841666666659</v>
      </c>
      <c r="H2277" s="3" t="n">
        <v>8.99165416666666</v>
      </c>
      <c r="I2277" s="3" t="n">
        <v>7.98377883333333</v>
      </c>
      <c r="J2277" s="3" t="n">
        <v>7.08021666666666</v>
      </c>
      <c r="K2277" s="3" t="n">
        <v>6.74083333333333</v>
      </c>
      <c r="L2277" s="3" t="n">
        <v>6.4425</v>
      </c>
      <c r="M2277" s="3" t="n">
        <v>6.41333333333333</v>
      </c>
      <c r="N2277" s="3" t="n">
        <v>5.86166666666666</v>
      </c>
      <c r="O2277" s="3" t="n">
        <v>5.64</v>
      </c>
      <c r="P2277" s="3" t="n">
        <v>6.28833333333333</v>
      </c>
      <c r="Q2277" s="3" t="n">
        <v>6.04416666666666</v>
      </c>
      <c r="R2277" s="3" t="n">
        <v>5.60460730676328</v>
      </c>
      <c r="S2277" s="3" t="n">
        <v>5.8175</v>
      </c>
      <c r="T2277" s="3" t="n">
        <v>5.875</v>
      </c>
      <c r="U2277" s="3" t="n">
        <v>6.30166666666666</v>
      </c>
      <c r="V2277" s="3" t="n">
        <v>8.06416666666666</v>
      </c>
      <c r="W2277" s="3" t="n">
        <v>8.4</v>
      </c>
      <c r="X2277" s="3" t="n">
        <v>8.271666666666659</v>
      </c>
      <c r="Y2277" s="3" t="n">
        <v>8.1325</v>
      </c>
      <c r="Z2277" s="3" t="n">
        <v>8.79999999999999</v>
      </c>
      <c r="AA2277" s="3" t="n">
        <v>9.41583333333333</v>
      </c>
      <c r="AB2277" s="3" t="n">
        <v>8.59</v>
      </c>
      <c r="AC2277" s="3" t="n">
        <v>9.614166666666661</v>
      </c>
      <c r="AD2277" s="3" t="n">
        <v>10.5633333333333</v>
      </c>
      <c r="AE2277" s="3" t="n">
        <v>10.7458333333333</v>
      </c>
      <c r="AF2277" s="3" t="n">
        <v>10.3958333333333</v>
      </c>
      <c r="AG2277" s="3" t="n"/>
      <c r="AH2277" s="3" t="n"/>
      <c r="AI2277" s="3" t="n"/>
      <c r="AJ2277" s="3" t="n"/>
      <c r="AK2277" s="3" t="n"/>
      <c r="AL2277" s="3" t="n"/>
      <c r="AM2277" s="3" t="n"/>
      <c r="AN2277" s="3" t="n"/>
      <c r="AO2277" s="3" t="n"/>
      <c r="AP2277" s="3" t="n"/>
      <c r="AQ2277" s="3" t="n"/>
      <c r="AR2277" s="3" t="n"/>
      <c r="AS2277" s="3" t="n"/>
      <c r="AT2277" s="3" t="n"/>
      <c r="AU2277" s="3" t="n"/>
    </row>
    <row r="2278">
      <c r="A2278" s="3" t="n">
        <v>2031</v>
      </c>
      <c r="B2278" s="3" t="inlineStr">
        <is>
          <t>NPL</t>
        </is>
      </c>
      <c r="C2278" s="3" t="inlineStr">
        <is>
          <t>IMF.RES:WEO</t>
        </is>
      </c>
      <c r="D2278" s="3" t="inlineStr">
        <is>
          <t>NPL.BCA.A</t>
        </is>
      </c>
      <c r="E2278" s="3" t="inlineStr">
        <is>
          <t>Nepal</t>
        </is>
      </c>
      <c r="F2278" s="3" t="inlineStr">
        <is>
          <t>Current account balance (credit less debit), US dollar</t>
        </is>
      </c>
      <c r="G2278" s="3" t="n">
        <v>0.365601</v>
      </c>
      <c r="H2278" s="3" t="n">
        <v>0.450543</v>
      </c>
      <c r="I2278" s="3" t="n">
        <v>0.231943</v>
      </c>
      <c r="J2278" s="3" t="n">
        <v>0.153395</v>
      </c>
      <c r="K2278" s="3" t="n">
        <v>0.196455</v>
      </c>
      <c r="L2278" s="3" t="n">
        <v>0.163416</v>
      </c>
      <c r="M2278" s="3" t="n">
        <v>0.192422</v>
      </c>
      <c r="N2278" s="3" t="n">
        <v>-0.013835</v>
      </c>
      <c r="O2278" s="3" t="n">
        <v>0.343797</v>
      </c>
      <c r="P2278" s="3" t="n">
        <v>0.535893</v>
      </c>
      <c r="Q2278" s="3" t="n">
        <v>-0.378009</v>
      </c>
      <c r="R2278" s="3" t="n">
        <v>-0.180876</v>
      </c>
      <c r="S2278" s="3" t="n">
        <v>0.908944</v>
      </c>
      <c r="T2278" s="3" t="n">
        <v>0.634651</v>
      </c>
      <c r="U2278" s="3" t="n">
        <v>0.908454</v>
      </c>
      <c r="V2278" s="3" t="n">
        <v>1.067264</v>
      </c>
      <c r="W2278" s="3" t="n">
        <v>1.338778</v>
      </c>
      <c r="X2278" s="3" t="n">
        <v>-0.09347900000000001</v>
      </c>
      <c r="Y2278" s="3" t="n">
        <v>-2.350201</v>
      </c>
      <c r="Z2278" s="3" t="n">
        <v>-2.368756</v>
      </c>
      <c r="AA2278" s="3" t="n">
        <v>-0.338589</v>
      </c>
      <c r="AB2278" s="3" t="n">
        <v>-2.843851</v>
      </c>
      <c r="AC2278" s="3" t="n">
        <v>-5.174228</v>
      </c>
      <c r="AD2278" s="3" t="n">
        <v>-0.360737</v>
      </c>
      <c r="AE2278" s="3" t="n">
        <v>1.662504</v>
      </c>
      <c r="AF2278" s="3" t="n">
        <v>3.005903</v>
      </c>
      <c r="AG2278" s="3" t="n">
        <v>3.166338</v>
      </c>
      <c r="AH2278" s="3" t="n">
        <v>0.972462</v>
      </c>
      <c r="AI2278" s="3" t="n">
        <v>-0.162353</v>
      </c>
      <c r="AJ2278" s="3" t="n">
        <v>-0.987378</v>
      </c>
      <c r="AK2278" s="3" t="n">
        <v>-1.941697</v>
      </c>
      <c r="AL2278" s="3" t="n">
        <v>-2.824366</v>
      </c>
      <c r="AM2278" s="3" t="n"/>
      <c r="AN2278" s="3" t="n"/>
      <c r="AO2278" s="3" t="n"/>
      <c r="AP2278" s="3" t="n"/>
      <c r="AQ2278" s="3" t="n"/>
      <c r="AR2278" s="3" t="n"/>
      <c r="AS2278" s="3" t="n"/>
      <c r="AT2278" s="3" t="n"/>
      <c r="AU2278" s="3" t="n"/>
    </row>
    <row r="2279">
      <c r="A2279" s="3" t="n">
        <v>2031</v>
      </c>
      <c r="B2279" s="3" t="inlineStr">
        <is>
          <t>NPL</t>
        </is>
      </c>
      <c r="C2279" s="3" t="inlineStr">
        <is>
          <t>IMF.RES:WEO</t>
        </is>
      </c>
      <c r="D2279" s="3" t="inlineStr">
        <is>
          <t>NPL.BCA_NGDPD.A</t>
        </is>
      </c>
      <c r="E2279" s="3" t="inlineStr">
        <is>
          <t>Nepal</t>
        </is>
      </c>
      <c r="F2279" s="3" t="inlineStr">
        <is>
          <t>Current account balance (credit less debit), Percent of GDP</t>
        </is>
      </c>
      <c r="G2279" s="3" t="n">
        <v>5.593041</v>
      </c>
      <c r="H2279" s="3" t="n">
        <v>6.705093</v>
      </c>
      <c r="I2279" s="3" t="n">
        <v>3.402697</v>
      </c>
      <c r="J2279" s="3" t="n">
        <v>2.125194</v>
      </c>
      <c r="K2279" s="3" t="n">
        <v>2.367776</v>
      </c>
      <c r="L2279" s="3" t="n">
        <v>1.751416</v>
      </c>
      <c r="M2279" s="3" t="n">
        <v>1.865325</v>
      </c>
      <c r="N2279" s="3" t="n">
        <v>-0.117474</v>
      </c>
      <c r="O2279" s="3" t="n">
        <v>2.402516</v>
      </c>
      <c r="P2279" s="3" t="n">
        <v>3.654707</v>
      </c>
      <c r="Q2279" s="3" t="n">
        <v>-2.070997</v>
      </c>
      <c r="R2279" s="3" t="n">
        <v>-0.8340959999999999</v>
      </c>
      <c r="S2279" s="3" t="n">
        <v>4.188082</v>
      </c>
      <c r="T2279" s="3" t="n">
        <v>2.863664</v>
      </c>
      <c r="U2279" s="3" t="n">
        <v>3.998131</v>
      </c>
      <c r="V2279" s="3" t="n">
        <v>4.381072</v>
      </c>
      <c r="W2279" s="3" t="n">
        <v>5.459028</v>
      </c>
      <c r="X2279" s="3" t="n">
        <v>-0.322657</v>
      </c>
      <c r="Y2279" s="3" t="n">
        <v>-7.097832</v>
      </c>
      <c r="Z2279" s="3" t="n">
        <v>-6.928988</v>
      </c>
      <c r="AA2279" s="3" t="n">
        <v>-1.012717</v>
      </c>
      <c r="AB2279" s="3" t="n">
        <v>-7.701229</v>
      </c>
      <c r="AC2279" s="3" t="n">
        <v>-12.564009</v>
      </c>
      <c r="AD2279" s="3" t="n">
        <v>-0.878823</v>
      </c>
      <c r="AE2279" s="3" t="n">
        <v>3.874013</v>
      </c>
      <c r="AF2279" s="3" t="n">
        <v>6.708096</v>
      </c>
      <c r="AG2279" s="3" t="n">
        <v>6.906818</v>
      </c>
      <c r="AH2279" s="3" t="n">
        <v>2.02218</v>
      </c>
      <c r="AI2279" s="3" t="n">
        <v>-0.306741</v>
      </c>
      <c r="AJ2279" s="3" t="n">
        <v>-1.693796</v>
      </c>
      <c r="AK2279" s="3" t="n">
        <v>-3.025982</v>
      </c>
      <c r="AL2279" s="3" t="n">
        <v>-4.012124</v>
      </c>
      <c r="AM2279" s="3" t="n"/>
      <c r="AN2279" s="3" t="n"/>
      <c r="AO2279" s="3" t="n"/>
      <c r="AP2279" s="3" t="n"/>
      <c r="AQ2279" s="3" t="n"/>
      <c r="AR2279" s="3" t="n"/>
      <c r="AS2279" s="3" t="n"/>
      <c r="AT2279" s="3" t="n"/>
      <c r="AU2279" s="3" t="n"/>
    </row>
    <row r="2280">
      <c r="A2280" s="3" t="n">
        <v>2031</v>
      </c>
      <c r="B2280" s="3" t="inlineStr">
        <is>
          <t>NPL</t>
        </is>
      </c>
      <c r="C2280" s="3" t="inlineStr">
        <is>
          <t>IMF.RES:WEO</t>
        </is>
      </c>
      <c r="D2280" s="3" t="inlineStr">
        <is>
          <t>NPL.GGR_NGDP.A</t>
        </is>
      </c>
      <c r="E2280" s="3" t="inlineStr">
        <is>
          <t>Nepal</t>
        </is>
      </c>
      <c r="F2280" s="3" t="inlineStr">
        <is>
          <t>Revenue, General government, Percent of GDP</t>
        </is>
      </c>
      <c r="G2280" s="3" t="n">
        <v>9.95097</v>
      </c>
      <c r="H2280" s="3" t="n">
        <v>10.549395</v>
      </c>
      <c r="I2280" s="3" t="n">
        <v>10.528453</v>
      </c>
      <c r="J2280" s="3" t="n">
        <v>11.619235</v>
      </c>
      <c r="K2280" s="3" t="n">
        <v>11.655155</v>
      </c>
      <c r="L2280" s="3" t="n">
        <v>12.29375</v>
      </c>
      <c r="M2280" s="3" t="n">
        <v>11.404755</v>
      </c>
      <c r="N2280" s="3" t="n">
        <v>12.433158</v>
      </c>
      <c r="O2280" s="3" t="n">
        <v>13.099672</v>
      </c>
      <c r="P2280" s="3" t="n">
        <v>14.743182</v>
      </c>
      <c r="Q2280" s="3" t="n">
        <v>15.782399</v>
      </c>
      <c r="R2280" s="3" t="n">
        <v>15.62868</v>
      </c>
      <c r="S2280" s="3" t="n">
        <v>15.58967</v>
      </c>
      <c r="T2280" s="3" t="n">
        <v>17.069001</v>
      </c>
      <c r="U2280" s="3" t="n">
        <v>17.940626</v>
      </c>
      <c r="V2280" s="3" t="n">
        <v>18.130101</v>
      </c>
      <c r="W2280" s="3" t="n">
        <v>20.159264</v>
      </c>
      <c r="X2280" s="3" t="n">
        <v>20.945708</v>
      </c>
      <c r="Y2280" s="3" t="n">
        <v>22.165727</v>
      </c>
      <c r="Z2280" s="3" t="n">
        <v>22.868969</v>
      </c>
      <c r="AA2280" s="3" t="n">
        <v>21.02251</v>
      </c>
      <c r="AB2280" s="3" t="n">
        <v>23.268905</v>
      </c>
      <c r="AC2280" s="3" t="n">
        <v>22.934264</v>
      </c>
      <c r="AD2280" s="3" t="n">
        <v>19.266518</v>
      </c>
      <c r="AE2280" s="3" t="n">
        <v>19.375454</v>
      </c>
      <c r="AF2280" s="3" t="n">
        <v>19.971378</v>
      </c>
      <c r="AG2280" s="3" t="n">
        <v>19.893169</v>
      </c>
      <c r="AH2280" s="3" t="n">
        <v>21.562781</v>
      </c>
      <c r="AI2280" s="3" t="n">
        <v>21.658347</v>
      </c>
      <c r="AJ2280" s="3" t="n">
        <v>21.701801</v>
      </c>
      <c r="AK2280" s="3" t="n">
        <v>21.911711</v>
      </c>
      <c r="AL2280" s="3" t="n">
        <v>22.132651</v>
      </c>
      <c r="AM2280" s="3" t="n"/>
      <c r="AN2280" s="3" t="n"/>
      <c r="AO2280" s="3" t="n"/>
      <c r="AP2280" s="3" t="n"/>
      <c r="AQ2280" s="3" t="n"/>
      <c r="AR2280" s="3" t="n"/>
      <c r="AS2280" s="3" t="n"/>
      <c r="AT2280" s="3" t="n"/>
      <c r="AU2280" s="3" t="n"/>
    </row>
    <row r="2281">
      <c r="A2281" s="3" t="n">
        <v>2031</v>
      </c>
      <c r="B2281" s="3" t="inlineStr">
        <is>
          <t>NPL</t>
        </is>
      </c>
      <c r="C2281" s="3" t="inlineStr">
        <is>
          <t>IMF.RES:WEO</t>
        </is>
      </c>
      <c r="D2281" s="3" t="inlineStr">
        <is>
          <t>NPL.GGX_NGDP.A</t>
        </is>
      </c>
      <c r="E2281" s="3" t="inlineStr">
        <is>
          <t>Nepal</t>
        </is>
      </c>
      <c r="F2281" s="3" t="inlineStr">
        <is>
          <t>Expenditure, General government, Percent of GDP</t>
        </is>
      </c>
      <c r="G2281" s="3" t="n">
        <v>11.431684</v>
      </c>
      <c r="H2281" s="3" t="n">
        <v>12.903119</v>
      </c>
      <c r="I2281" s="3" t="n">
        <v>12.992693</v>
      </c>
      <c r="J2281" s="3" t="n">
        <v>11.957417</v>
      </c>
      <c r="K2281" s="3" t="n">
        <v>11.798998</v>
      </c>
      <c r="L2281" s="3" t="n">
        <v>12.048798</v>
      </c>
      <c r="M2281" s="3" t="n">
        <v>11.16943</v>
      </c>
      <c r="N2281" s="3" t="n">
        <v>13.104506</v>
      </c>
      <c r="O2281" s="3" t="n">
        <v>13.390592</v>
      </c>
      <c r="P2281" s="3" t="n">
        <v>16.98062</v>
      </c>
      <c r="Q2281" s="3" t="n">
        <v>16.454326</v>
      </c>
      <c r="R2281" s="3" t="n">
        <v>16.345418</v>
      </c>
      <c r="S2281" s="3" t="n">
        <v>16.768324</v>
      </c>
      <c r="T2281" s="3" t="n">
        <v>15.495547</v>
      </c>
      <c r="U2281" s="3" t="n">
        <v>16.583305</v>
      </c>
      <c r="V2281" s="3" t="n">
        <v>17.66976</v>
      </c>
      <c r="W2281" s="3" t="n">
        <v>18.96141</v>
      </c>
      <c r="X2281" s="3" t="n">
        <v>23.634771</v>
      </c>
      <c r="Y2281" s="3" t="n">
        <v>27.999093</v>
      </c>
      <c r="Z2281" s="3" t="n">
        <v>27.138781</v>
      </c>
      <c r="AA2281" s="3" t="n">
        <v>28.490809</v>
      </c>
      <c r="AB2281" s="3" t="n">
        <v>27.248276</v>
      </c>
      <c r="AC2281" s="3" t="n">
        <v>26.05735</v>
      </c>
      <c r="AD2281" s="3" t="n">
        <v>25.080877</v>
      </c>
      <c r="AE2281" s="3" t="n">
        <v>21.83226</v>
      </c>
      <c r="AF2281" s="3" t="n">
        <v>21.829166</v>
      </c>
      <c r="AG2281" s="3" t="n">
        <v>22.370946</v>
      </c>
      <c r="AH2281" s="3" t="n">
        <v>24.883048</v>
      </c>
      <c r="AI2281" s="3" t="n">
        <v>24.836743</v>
      </c>
      <c r="AJ2281" s="3" t="n">
        <v>24.797321</v>
      </c>
      <c r="AK2281" s="3" t="n">
        <v>24.905086</v>
      </c>
      <c r="AL2281" s="3" t="n">
        <v>25.110662</v>
      </c>
      <c r="AM2281" s="3" t="n"/>
      <c r="AN2281" s="3" t="n"/>
      <c r="AO2281" s="3" t="n"/>
      <c r="AP2281" s="3" t="n"/>
      <c r="AQ2281" s="3" t="n"/>
      <c r="AR2281" s="3" t="n"/>
      <c r="AS2281" s="3" t="n"/>
      <c r="AT2281" s="3" t="n"/>
      <c r="AU2281" s="3" t="n"/>
    </row>
    <row r="2282">
      <c r="A2282" s="3" t="n">
        <v>2031</v>
      </c>
      <c r="B2282" s="3" t="inlineStr">
        <is>
          <t>NPL</t>
        </is>
      </c>
      <c r="C2282" s="3" t="inlineStr">
        <is>
          <t>IMF.RES:WEO</t>
        </is>
      </c>
      <c r="D2282" s="3" t="inlineStr">
        <is>
          <t>NPL.LP.A</t>
        </is>
      </c>
      <c r="E2282" s="3" t="inlineStr">
        <is>
          <t>Nepal</t>
        </is>
      </c>
      <c r="F2282" s="3" t="inlineStr">
        <is>
          <t>Population, Persons for countries / Index for country groups</t>
        </is>
      </c>
      <c r="G2282" s="3" t="n">
        <v>24.546509</v>
      </c>
      <c r="H2282" s="3" t="n">
        <v>24.946748</v>
      </c>
      <c r="I2282" s="3" t="n">
        <v>25.328981</v>
      </c>
      <c r="J2282" s="3" t="n">
        <v>25.688758</v>
      </c>
      <c r="K2282" s="3" t="n">
        <v>26.016656</v>
      </c>
      <c r="L2282" s="3" t="n">
        <v>26.309458</v>
      </c>
      <c r="M2282" s="3" t="n">
        <v>26.565425</v>
      </c>
      <c r="N2282" s="3" t="n">
        <v>26.788492</v>
      </c>
      <c r="O2282" s="3" t="n">
        <v>26.990037</v>
      </c>
      <c r="P2282" s="3" t="n">
        <v>27.173035</v>
      </c>
      <c r="Q2282" s="3" t="n">
        <v>27.341952</v>
      </c>
      <c r="R2282" s="3" t="n">
        <v>27.464494</v>
      </c>
      <c r="S2282" s="3" t="n">
        <v>27.534915</v>
      </c>
      <c r="T2282" s="3" t="n">
        <v>27.589996</v>
      </c>
      <c r="U2282" s="3" t="n">
        <v>27.67237</v>
      </c>
      <c r="V2282" s="3" t="n">
        <v>27.823629</v>
      </c>
      <c r="W2282" s="3" t="n">
        <v>27.955462</v>
      </c>
      <c r="X2282" s="3" t="n">
        <v>28.011258</v>
      </c>
      <c r="Y2282" s="3" t="n">
        <v>28.079689</v>
      </c>
      <c r="Z2282" s="3" t="n">
        <v>28.414064</v>
      </c>
      <c r="AA2282" s="3" t="n">
        <v>28.966574</v>
      </c>
      <c r="AB2282" s="3" t="n">
        <v>29.47501</v>
      </c>
      <c r="AC2282" s="3" t="n">
        <v>29.715436</v>
      </c>
      <c r="AD2282" s="3" t="n">
        <v>29.694614</v>
      </c>
      <c r="AE2282" s="3" t="n">
        <v>29.651054</v>
      </c>
      <c r="AF2282" s="3" t="n">
        <v>29.645181</v>
      </c>
      <c r="AG2282" s="3" t="n">
        <v>29.622773</v>
      </c>
      <c r="AH2282" s="3" t="n">
        <v>29.604886</v>
      </c>
      <c r="AI2282" s="3" t="n">
        <v>29.58641</v>
      </c>
      <c r="AJ2282" s="3" t="n">
        <v>29.567795</v>
      </c>
      <c r="AK2282" s="3" t="n">
        <v>29.549327</v>
      </c>
      <c r="AL2282" s="3" t="n">
        <v>29.530818</v>
      </c>
      <c r="AM2282" s="3" t="n"/>
      <c r="AN2282" s="3" t="n"/>
      <c r="AO2282" s="3" t="n"/>
      <c r="AP2282" s="3" t="n"/>
      <c r="AQ2282" s="3" t="n"/>
      <c r="AR2282" s="3" t="n"/>
      <c r="AS2282" s="3" t="n"/>
      <c r="AT2282" s="3" t="n"/>
      <c r="AU2282" s="3" t="n"/>
    </row>
    <row r="2283">
      <c r="A2283" s="3" t="n">
        <v>2031</v>
      </c>
      <c r="B2283" s="3" t="inlineStr">
        <is>
          <t>NPL</t>
        </is>
      </c>
      <c r="C2283" s="3" t="inlineStr">
        <is>
          <t>IMF.RES:WEO</t>
        </is>
      </c>
      <c r="D2283" s="3" t="inlineStr">
        <is>
          <t>NPL.NGDP.A</t>
        </is>
      </c>
      <c r="E2283" s="3" t="inlineStr">
        <is>
          <t>Nepal</t>
        </is>
      </c>
      <c r="F2283" s="3" t="inlineStr">
        <is>
          <t>Gross domestic product (GDP), Current prices, Domestic currency</t>
        </is>
      </c>
      <c r="G2283" s="3" t="n">
        <v>464.695125</v>
      </c>
      <c r="H2283" s="3" t="n">
        <v>503.61994</v>
      </c>
      <c r="I2283" s="3" t="n">
        <v>524.06503</v>
      </c>
      <c r="J2283" s="3" t="n">
        <v>561.465057</v>
      </c>
      <c r="K2283" s="3" t="n">
        <v>612.245011</v>
      </c>
      <c r="L2283" s="3" t="n">
        <v>672.314843</v>
      </c>
      <c r="M2283" s="3" t="n">
        <v>746.083744</v>
      </c>
      <c r="N2283" s="3" t="n">
        <v>830.198815</v>
      </c>
      <c r="O2283" s="3" t="n">
        <v>930.383873</v>
      </c>
      <c r="P2283" s="3" t="n">
        <v>1127.275971</v>
      </c>
      <c r="Q2283" s="3" t="n">
        <v>1360.54207</v>
      </c>
      <c r="R2283" s="3" t="n">
        <v>1559.221764</v>
      </c>
      <c r="S2283" s="3" t="n">
        <v>1758.379178</v>
      </c>
      <c r="T2283" s="3" t="n">
        <v>1949.294819</v>
      </c>
      <c r="U2283" s="3" t="n">
        <v>2232.525284</v>
      </c>
      <c r="V2283" s="3" t="n">
        <v>2423.638483</v>
      </c>
      <c r="W2283" s="3" t="n">
        <v>2608.184438</v>
      </c>
      <c r="X2283" s="3" t="n">
        <v>3077.144919</v>
      </c>
      <c r="Y2283" s="3" t="n">
        <v>3455.94929</v>
      </c>
      <c r="Z2283" s="3" t="n">
        <v>3858.930402</v>
      </c>
      <c r="AA2283" s="3" t="n">
        <v>3888.703651</v>
      </c>
      <c r="AB2283" s="3" t="n">
        <v>4352.550241</v>
      </c>
      <c r="AC2283" s="3" t="n">
        <v>4976.557696</v>
      </c>
      <c r="AD2283" s="3" t="n">
        <v>5366.996232</v>
      </c>
      <c r="AE2283" s="3" t="n">
        <v>5709.097143</v>
      </c>
      <c r="AF2283" s="3" t="n">
        <v>6107.223687</v>
      </c>
      <c r="AG2283" s="3" t="n">
        <v>6504.734034</v>
      </c>
      <c r="AH2283" s="3" t="n">
        <v>7147.538662</v>
      </c>
      <c r="AI2283" s="3" t="n">
        <v>7900.366697</v>
      </c>
      <c r="AJ2283" s="3" t="n">
        <v>8719.917524</v>
      </c>
      <c r="AK2283" s="3" t="n">
        <v>9615.748605999999</v>
      </c>
      <c r="AL2283" s="3" t="n">
        <v>10603.812294</v>
      </c>
      <c r="AM2283" s="3" t="n"/>
      <c r="AN2283" s="3" t="n"/>
      <c r="AO2283" s="3" t="n"/>
      <c r="AP2283" s="3" t="n"/>
      <c r="AQ2283" s="3" t="n"/>
      <c r="AR2283" s="3" t="n"/>
      <c r="AS2283" s="3" t="n"/>
      <c r="AT2283" s="3" t="n"/>
      <c r="AU2283" s="3" t="n"/>
    </row>
    <row r="2284">
      <c r="A2284" s="3" t="n">
        <v>2031</v>
      </c>
      <c r="B2284" s="3" t="inlineStr">
        <is>
          <t>NPL</t>
        </is>
      </c>
      <c r="C2284" s="3" t="inlineStr">
        <is>
          <t>IMF.RES:WEO</t>
        </is>
      </c>
      <c r="D2284" s="3" t="inlineStr">
        <is>
          <t>NPL.NGDP_D.A</t>
        </is>
      </c>
      <c r="E2284" s="3" t="inlineStr">
        <is>
          <t>Nepal</t>
        </is>
      </c>
      <c r="F2284" s="3" t="inlineStr">
        <is>
          <t>Gross domestic product (GDP), Price deflator, Index</t>
        </is>
      </c>
      <c r="G2284" s="3" t="n">
        <v>45.610545</v>
      </c>
      <c r="H2284" s="3" t="n">
        <v>46.797049</v>
      </c>
      <c r="I2284" s="3" t="n">
        <v>48.638394</v>
      </c>
      <c r="J2284" s="3" t="n">
        <v>50.131732</v>
      </c>
      <c r="K2284" s="3" t="n">
        <v>52.220464</v>
      </c>
      <c r="L2284" s="3" t="n">
        <v>55.416043</v>
      </c>
      <c r="M2284" s="3" t="n">
        <v>59.494767</v>
      </c>
      <c r="N2284" s="3" t="n">
        <v>64.018246</v>
      </c>
      <c r="O2284" s="3" t="n">
        <v>67.61603100000001</v>
      </c>
      <c r="P2284" s="3" t="n">
        <v>78.372514</v>
      </c>
      <c r="Q2284" s="3" t="n">
        <v>90.243566</v>
      </c>
      <c r="R2284" s="3" t="n">
        <v>100</v>
      </c>
      <c r="S2284" s="3" t="n">
        <v>107.74115</v>
      </c>
      <c r="T2284" s="3" t="n">
        <v>115.37208</v>
      </c>
      <c r="U2284" s="3" t="n">
        <v>124.642649</v>
      </c>
      <c r="V2284" s="3" t="n">
        <v>130.1382</v>
      </c>
      <c r="W2284" s="3" t="n">
        <v>139.443517</v>
      </c>
      <c r="X2284" s="3" t="n">
        <v>150.963521</v>
      </c>
      <c r="Y2284" s="3" t="n">
        <v>157.539278</v>
      </c>
      <c r="Z2284" s="3" t="n">
        <v>164.929691</v>
      </c>
      <c r="AA2284" s="3" t="n">
        <v>170.236144</v>
      </c>
      <c r="AB2284" s="3" t="n">
        <v>181.748724</v>
      </c>
      <c r="AC2284" s="3" t="n">
        <v>196.726985</v>
      </c>
      <c r="AD2284" s="3" t="n">
        <v>208.036875</v>
      </c>
      <c r="AE2284" s="3" t="n">
        <v>213.472897</v>
      </c>
      <c r="AF2284" s="3" t="n">
        <v>218.309083</v>
      </c>
      <c r="AG2284" s="3" t="n">
        <v>225.842255</v>
      </c>
      <c r="AH2284" s="3" t="n">
        <v>237.328302</v>
      </c>
      <c r="AI2284" s="3" t="n">
        <v>249.104783</v>
      </c>
      <c r="AJ2284" s="3" t="n">
        <v>261.48178</v>
      </c>
      <c r="AK2284" s="3" t="n">
        <v>274.491735</v>
      </c>
      <c r="AL2284" s="3" t="n">
        <v>288.168926</v>
      </c>
      <c r="AM2284" s="3" t="n"/>
      <c r="AN2284" s="3" t="n"/>
      <c r="AO2284" s="3" t="n"/>
      <c r="AP2284" s="3" t="n"/>
      <c r="AQ2284" s="3" t="n"/>
      <c r="AR2284" s="3" t="n"/>
      <c r="AS2284" s="3" t="n"/>
      <c r="AT2284" s="3" t="n"/>
      <c r="AU2284" s="3" t="n"/>
    </row>
    <row r="2285">
      <c r="A2285" s="3" t="n">
        <v>2031</v>
      </c>
      <c r="B2285" s="3" t="inlineStr">
        <is>
          <t>NPL</t>
        </is>
      </c>
      <c r="C2285" s="3" t="inlineStr">
        <is>
          <t>IMF.RES:WEO</t>
        </is>
      </c>
      <c r="D2285" s="3" t="inlineStr">
        <is>
          <t>NPL.NGDP_R.A</t>
        </is>
      </c>
      <c r="E2285" s="3" t="inlineStr">
        <is>
          <t>Nepal</t>
        </is>
      </c>
      <c r="F2285" s="3" t="inlineStr">
        <is>
          <t>Gross domestic product (GDP), Constant prices, Domestic currency</t>
        </is>
      </c>
      <c r="G2285" s="3" t="n">
        <v>1018.832643</v>
      </c>
      <c r="H2285" s="3" t="n">
        <v>1076.178839</v>
      </c>
      <c r="I2285" s="3" t="n">
        <v>1077.47191</v>
      </c>
      <c r="J2285" s="3" t="n">
        <v>1119.979381</v>
      </c>
      <c r="K2285" s="3" t="n">
        <v>1172.423544</v>
      </c>
      <c r="L2285" s="3" t="n">
        <v>1213.213378</v>
      </c>
      <c r="M2285" s="3" t="n">
        <v>1254.032545</v>
      </c>
      <c r="N2285" s="3" t="n">
        <v>1296.815925</v>
      </c>
      <c r="O2285" s="3" t="n">
        <v>1375.981206</v>
      </c>
      <c r="P2285" s="3" t="n">
        <v>1438.356268</v>
      </c>
      <c r="Q2285" s="3" t="n">
        <v>1507.633315</v>
      </c>
      <c r="R2285" s="3" t="n">
        <v>1559.221764</v>
      </c>
      <c r="S2285" s="3" t="n">
        <v>1632.040476</v>
      </c>
      <c r="T2285" s="3" t="n">
        <v>1689.572403</v>
      </c>
      <c r="U2285" s="3" t="n">
        <v>1791.140758</v>
      </c>
      <c r="V2285" s="3" t="n">
        <v>1862.357469</v>
      </c>
      <c r="W2285" s="3" t="n">
        <v>1870.423594</v>
      </c>
      <c r="X2285" s="3" t="n">
        <v>2038.336745</v>
      </c>
      <c r="Y2285" s="3" t="n">
        <v>2193.706438</v>
      </c>
      <c r="Z2285" s="3" t="n">
        <v>2339.742704</v>
      </c>
      <c r="AA2285" s="3" t="n">
        <v>2284.299662</v>
      </c>
      <c r="AB2285" s="3" t="n">
        <v>2394.817502</v>
      </c>
      <c r="AC2285" s="3" t="n">
        <v>2529.677209</v>
      </c>
      <c r="AD2285" s="3" t="n">
        <v>2579.829285</v>
      </c>
      <c r="AE2285" s="3" t="n">
        <v>2674.389684</v>
      </c>
      <c r="AF2285" s="3" t="n">
        <v>2797.512411</v>
      </c>
      <c r="AG2285" s="3" t="n">
        <v>2880.211252</v>
      </c>
      <c r="AH2285" s="3" t="n">
        <v>3011.667209</v>
      </c>
      <c r="AI2285" s="3" t="n">
        <v>3171.503419</v>
      </c>
      <c r="AJ2285" s="3" t="n">
        <v>3334.808839</v>
      </c>
      <c r="AK2285" s="3" t="n">
        <v>3503.110432</v>
      </c>
      <c r="AL2285" s="3" t="n">
        <v>3679.720932</v>
      </c>
      <c r="AM2285" s="3" t="n"/>
      <c r="AN2285" s="3" t="n"/>
      <c r="AO2285" s="3" t="n"/>
      <c r="AP2285" s="3" t="n"/>
      <c r="AQ2285" s="3" t="n"/>
      <c r="AR2285" s="3" t="n"/>
      <c r="AS2285" s="3" t="n"/>
      <c r="AT2285" s="3" t="n"/>
      <c r="AU2285" s="3" t="n"/>
    </row>
    <row r="2286">
      <c r="A2286" s="3" t="n">
        <v>2031</v>
      </c>
      <c r="B2286" s="3" t="inlineStr">
        <is>
          <t>NPL</t>
        </is>
      </c>
      <c r="C2286" s="3" t="inlineStr">
        <is>
          <t>IMF.RES:WEO</t>
        </is>
      </c>
      <c r="D2286" s="3" t="inlineStr">
        <is>
          <t>NPL.NGDP_RPCH.A</t>
        </is>
      </c>
      <c r="E2286" s="3" t="inlineStr">
        <is>
          <t>Nepal</t>
        </is>
      </c>
      <c r="F2286" s="3" t="inlineStr">
        <is>
          <t>Gross domestic product (GDP), Constant prices, Percent change</t>
        </is>
      </c>
      <c r="G2286" s="3" t="n">
        <v>6.116218</v>
      </c>
      <c r="H2286" s="3" t="n">
        <v>5.628618</v>
      </c>
      <c r="I2286" s="3" t="n">
        <v>0.120154</v>
      </c>
      <c r="J2286" s="3" t="n">
        <v>3.945112</v>
      </c>
      <c r="K2286" s="3" t="n">
        <v>4.682601</v>
      </c>
      <c r="L2286" s="3" t="n">
        <v>3.479104</v>
      </c>
      <c r="M2286" s="3" t="n">
        <v>3.36455</v>
      </c>
      <c r="N2286" s="3" t="n">
        <v>3.411664</v>
      </c>
      <c r="O2286" s="3" t="n">
        <v>6.104589</v>
      </c>
      <c r="P2286" s="3" t="n">
        <v>4.533133</v>
      </c>
      <c r="Q2286" s="3" t="n">
        <v>4.816404</v>
      </c>
      <c r="R2286" s="3" t="n">
        <v>3.421817</v>
      </c>
      <c r="S2286" s="3" t="n">
        <v>4.670196</v>
      </c>
      <c r="T2286" s="3" t="n">
        <v>3.525153</v>
      </c>
      <c r="U2286" s="3" t="n">
        <v>6.011483</v>
      </c>
      <c r="V2286" s="3" t="n">
        <v>3.976053</v>
      </c>
      <c r="W2286" s="3" t="n">
        <v>0.433114</v>
      </c>
      <c r="X2286" s="3" t="n">
        <v>8.977278999999999</v>
      </c>
      <c r="Y2286" s="3" t="n">
        <v>7.622376</v>
      </c>
      <c r="Z2286" s="3" t="n">
        <v>6.657056</v>
      </c>
      <c r="AA2286" s="3" t="n">
        <v>-2.369621</v>
      </c>
      <c r="AB2286" s="3" t="n">
        <v>4.83815</v>
      </c>
      <c r="AC2286" s="3" t="n">
        <v>5.631315</v>
      </c>
      <c r="AD2286" s="3" t="n">
        <v>1.982548</v>
      </c>
      <c r="AE2286" s="3" t="n">
        <v>3.665374</v>
      </c>
      <c r="AF2286" s="3" t="n">
        <v>4.603769</v>
      </c>
      <c r="AG2286" s="3" t="n">
        <v>2.956156</v>
      </c>
      <c r="AH2286" s="3" t="n">
        <v>4.564108</v>
      </c>
      <c r="AI2286" s="3" t="n">
        <v>5.307233</v>
      </c>
      <c r="AJ2286" s="3" t="n">
        <v>5.149148</v>
      </c>
      <c r="AK2286" s="3" t="n">
        <v>5.046814</v>
      </c>
      <c r="AL2286" s="3" t="n">
        <v>5.041534</v>
      </c>
      <c r="AM2286" s="3" t="n"/>
      <c r="AN2286" s="3" t="n"/>
      <c r="AO2286" s="3" t="n"/>
      <c r="AP2286" s="3" t="n"/>
      <c r="AQ2286" s="3" t="n"/>
      <c r="AR2286" s="3" t="n"/>
      <c r="AS2286" s="3" t="n"/>
      <c r="AT2286" s="3" t="n"/>
      <c r="AU2286" s="3" t="n"/>
    </row>
    <row r="2287">
      <c r="A2287" s="3" t="n">
        <v>2031</v>
      </c>
      <c r="B2287" s="3" t="inlineStr">
        <is>
          <t>NPL</t>
        </is>
      </c>
      <c r="C2287" s="3" t="inlineStr">
        <is>
          <t>IMF.RES:WEO</t>
        </is>
      </c>
      <c r="D2287" s="3" t="inlineStr">
        <is>
          <t>NPL.NGDPD.A</t>
        </is>
      </c>
      <c r="E2287" s="3" t="inlineStr">
        <is>
          <t>Nepal</t>
        </is>
      </c>
      <c r="F2287" s="3" t="inlineStr">
        <is>
          <t>Gross domestic product (GDP), Current prices, US dollar</t>
        </is>
      </c>
      <c r="G2287" s="3" t="n">
        <v>6.536716</v>
      </c>
      <c r="H2287" s="3" t="n">
        <v>6.719412</v>
      </c>
      <c r="I2287" s="3" t="n">
        <v>6.816433</v>
      </c>
      <c r="J2287" s="3" t="n">
        <v>7.21791</v>
      </c>
      <c r="K2287" s="3" t="n">
        <v>8.297043</v>
      </c>
      <c r="L2287" s="3" t="n">
        <v>9.330505</v>
      </c>
      <c r="M2287" s="3" t="n">
        <v>10.315758</v>
      </c>
      <c r="N2287" s="3" t="n">
        <v>11.77688</v>
      </c>
      <c r="O2287" s="3" t="n">
        <v>14.309887</v>
      </c>
      <c r="P2287" s="3" t="n">
        <v>14.663083</v>
      </c>
      <c r="Q2287" s="3" t="n">
        <v>18.25251</v>
      </c>
      <c r="R2287" s="3" t="n">
        <v>21.685342</v>
      </c>
      <c r="S2287" s="3" t="n">
        <v>21.703101</v>
      </c>
      <c r="T2287" s="3" t="n">
        <v>22.162205</v>
      </c>
      <c r="U2287" s="3" t="n">
        <v>22.721979</v>
      </c>
      <c r="V2287" s="3" t="n">
        <v>24.360801</v>
      </c>
      <c r="W2287" s="3" t="n">
        <v>24.524109</v>
      </c>
      <c r="X2287" s="3" t="n">
        <v>28.971589</v>
      </c>
      <c r="Y2287" s="3" t="n">
        <v>33.111525</v>
      </c>
      <c r="Z2287" s="3" t="n">
        <v>34.186181</v>
      </c>
      <c r="AA2287" s="3" t="n">
        <v>33.43372</v>
      </c>
      <c r="AB2287" s="3" t="n">
        <v>36.927241</v>
      </c>
      <c r="AC2287" s="3" t="n">
        <v>41.18294</v>
      </c>
      <c r="AD2287" s="3" t="n">
        <v>41.047772</v>
      </c>
      <c r="AE2287" s="3" t="n">
        <v>42.914268</v>
      </c>
      <c r="AF2287" s="3" t="n">
        <v>44.810079</v>
      </c>
      <c r="AG2287" s="3" t="n">
        <v>45.843657</v>
      </c>
      <c r="AH2287" s="3" t="n">
        <v>48.089783</v>
      </c>
      <c r="AI2287" s="3" t="n">
        <v>52.928169</v>
      </c>
      <c r="AJ2287" s="3" t="n">
        <v>58.293808</v>
      </c>
      <c r="AK2287" s="3" t="n">
        <v>64.167514</v>
      </c>
      <c r="AL2287" s="3" t="n">
        <v>70.395787</v>
      </c>
      <c r="AM2287" s="3" t="n"/>
      <c r="AN2287" s="3" t="n"/>
      <c r="AO2287" s="3" t="n"/>
      <c r="AP2287" s="3" t="n"/>
      <c r="AQ2287" s="3" t="n"/>
      <c r="AR2287" s="3" t="n"/>
      <c r="AS2287" s="3" t="n"/>
      <c r="AT2287" s="3" t="n"/>
      <c r="AU2287" s="3" t="n"/>
    </row>
    <row r="2288">
      <c r="A2288" s="3" t="n">
        <v>2031</v>
      </c>
      <c r="B2288" s="3" t="inlineStr">
        <is>
          <t>NPL</t>
        </is>
      </c>
      <c r="C2288" s="3" t="inlineStr">
        <is>
          <t>IMF.RES:WEO</t>
        </is>
      </c>
      <c r="D2288" s="3" t="inlineStr">
        <is>
          <t>NPL.NGDPPC.A</t>
        </is>
      </c>
      <c r="E2288" s="3" t="inlineStr">
        <is>
          <t>Nepal</t>
        </is>
      </c>
      <c r="F2288" s="3" t="inlineStr">
        <is>
          <t>Gross domestic product (GDP), Current prices, Per capita, Domestic currency</t>
        </is>
      </c>
      <c r="G2288" s="3" t="n">
        <v>18931.210351</v>
      </c>
      <c r="H2288" s="3" t="n">
        <v>20187.799231</v>
      </c>
      <c r="I2288" s="3" t="n">
        <v>20690.33217</v>
      </c>
      <c r="J2288" s="3" t="n">
        <v>21856.450093</v>
      </c>
      <c r="K2288" s="3" t="n">
        <v>23532.809563</v>
      </c>
      <c r="L2288" s="3" t="n">
        <v>25554.11224</v>
      </c>
      <c r="M2288" s="3" t="n">
        <v>28084.76597</v>
      </c>
      <c r="N2288" s="3" t="n">
        <v>30990.875292</v>
      </c>
      <c r="O2288" s="3" t="n">
        <v>34471.381891</v>
      </c>
      <c r="P2288" s="3" t="n">
        <v>41485.096196</v>
      </c>
      <c r="Q2288" s="3" t="n">
        <v>49760.239122</v>
      </c>
      <c r="R2288" s="3" t="n">
        <v>56772.273459</v>
      </c>
      <c r="S2288" s="3" t="n">
        <v>63859.982058</v>
      </c>
      <c r="T2288" s="3" t="n">
        <v>70652.232733</v>
      </c>
      <c r="U2288" s="3" t="n">
        <v>80677.05381</v>
      </c>
      <c r="V2288" s="3" t="n">
        <v>87107.202402</v>
      </c>
      <c r="W2288" s="3" t="n">
        <v>93297.84776</v>
      </c>
      <c r="X2288" s="3" t="n">
        <v>109853.863733</v>
      </c>
      <c r="Y2288" s="3" t="n">
        <v>123076.480293</v>
      </c>
      <c r="Z2288" s="3" t="n">
        <v>135810.576142</v>
      </c>
      <c r="AA2288" s="3" t="n">
        <v>134247.966325</v>
      </c>
      <c r="AB2288" s="3" t="n">
        <v>147669.169272</v>
      </c>
      <c r="AC2288" s="3" t="n">
        <v>167473.823898</v>
      </c>
      <c r="AD2288" s="3" t="n">
        <v>180739.720418</v>
      </c>
      <c r="AE2288" s="3" t="n">
        <v>192542.806179</v>
      </c>
      <c r="AF2288" s="3" t="n">
        <v>206010.670205</v>
      </c>
      <c r="AG2288" s="3" t="n">
        <v>219585.585244</v>
      </c>
      <c r="AH2288" s="3" t="n">
        <v>241431.051517</v>
      </c>
      <c r="AI2288" s="3" t="n">
        <v>267026.880339</v>
      </c>
      <c r="AJ2288" s="3" t="n">
        <v>294912.676202</v>
      </c>
      <c r="AK2288" s="3" t="n">
        <v>325413.457809</v>
      </c>
      <c r="AL2288" s="3" t="n">
        <v>359076.148037</v>
      </c>
      <c r="AM2288" s="3" t="n"/>
      <c r="AN2288" s="3" t="n"/>
      <c r="AO2288" s="3" t="n"/>
      <c r="AP2288" s="3" t="n"/>
      <c r="AQ2288" s="3" t="n"/>
      <c r="AR2288" s="3" t="n"/>
      <c r="AS2288" s="3" t="n"/>
      <c r="AT2288" s="3" t="n"/>
      <c r="AU2288" s="3" t="n"/>
    </row>
    <row r="2289">
      <c r="A2289" s="3" t="n">
        <v>2031</v>
      </c>
      <c r="B2289" s="3" t="inlineStr">
        <is>
          <t>NPL</t>
        </is>
      </c>
      <c r="C2289" s="3" t="inlineStr">
        <is>
          <t>IMF.RES:WEO</t>
        </is>
      </c>
      <c r="D2289" s="3" t="inlineStr">
        <is>
          <t>NPL.NGDPRPC.A</t>
        </is>
      </c>
      <c r="E2289" s="3" t="inlineStr">
        <is>
          <t>Nepal</t>
        </is>
      </c>
      <c r="F2289" s="3" t="inlineStr">
        <is>
          <t>Gross domestic product (GDP), Constant prices, Per capita, Domestic currency</t>
        </is>
      </c>
      <c r="G2289" s="3" t="n">
        <v>41506.21347</v>
      </c>
      <c r="H2289" s="3" t="n">
        <v>43139.043186</v>
      </c>
      <c r="I2289" s="3" t="n">
        <v>42539.094246</v>
      </c>
      <c r="J2289" s="3" t="n">
        <v>43598.035429</v>
      </c>
      <c r="K2289" s="3" t="n">
        <v>45064.344335</v>
      </c>
      <c r="L2289" s="3" t="n">
        <v>46113.203024</v>
      </c>
      <c r="M2289" s="3" t="n">
        <v>47205.438843</v>
      </c>
      <c r="N2289" s="3" t="n">
        <v>48409.441069</v>
      </c>
      <c r="O2289" s="3" t="n">
        <v>50981.078907</v>
      </c>
      <c r="P2289" s="3" t="n">
        <v>52933.221056</v>
      </c>
      <c r="Q2289" s="3" t="n">
        <v>55139.929858</v>
      </c>
      <c r="R2289" s="3" t="n">
        <v>56772.273459</v>
      </c>
      <c r="S2289" s="3" t="n">
        <v>59271.672931</v>
      </c>
      <c r="T2289" s="3" t="n">
        <v>61238.588172</v>
      </c>
      <c r="U2289" s="3" t="n">
        <v>64726.684335</v>
      </c>
      <c r="V2289" s="3" t="n">
        <v>66934.384028</v>
      </c>
      <c r="W2289" s="3" t="n">
        <v>66907.268218</v>
      </c>
      <c r="X2289" s="3" t="n">
        <v>72768.48277800001</v>
      </c>
      <c r="Y2289" s="3" t="n">
        <v>78124.313928</v>
      </c>
      <c r="Z2289" s="3" t="n">
        <v>82344.528552</v>
      </c>
      <c r="AA2289" s="3" t="n">
        <v>78859.849351</v>
      </c>
      <c r="AB2289" s="3" t="n">
        <v>81249.081917</v>
      </c>
      <c r="AC2289" s="3" t="n">
        <v>85130.07208300001</v>
      </c>
      <c r="AD2289" s="3" t="n">
        <v>86878.694047</v>
      </c>
      <c r="AE2289" s="3" t="n">
        <v>90195.434008</v>
      </c>
      <c r="AF2289" s="3" t="n">
        <v>94366.51352199999</v>
      </c>
      <c r="AG2289" s="3" t="n">
        <v>97229.62848699999</v>
      </c>
      <c r="AH2289" s="3" t="n">
        <v>101728.723044</v>
      </c>
      <c r="AI2289" s="3" t="n">
        <v>107194.602039</v>
      </c>
      <c r="AJ2289" s="3" t="n">
        <v>112785.172192</v>
      </c>
      <c r="AK2289" s="3" t="n">
        <v>118551.277216</v>
      </c>
      <c r="AL2289" s="3" t="n">
        <v>124606.130468</v>
      </c>
      <c r="AM2289" s="3" t="n"/>
      <c r="AN2289" s="3" t="n"/>
      <c r="AO2289" s="3" t="n"/>
      <c r="AP2289" s="3" t="n"/>
      <c r="AQ2289" s="3" t="n"/>
      <c r="AR2289" s="3" t="n"/>
      <c r="AS2289" s="3" t="n"/>
      <c r="AT2289" s="3" t="n"/>
      <c r="AU2289" s="3" t="n"/>
    </row>
    <row r="2290">
      <c r="A2290" s="3" t="n">
        <v>2031</v>
      </c>
      <c r="B2290" s="3" t="inlineStr">
        <is>
          <t>NPL</t>
        </is>
      </c>
      <c r="C2290" s="3" t="inlineStr">
        <is>
          <t>IMF.RES:WEO</t>
        </is>
      </c>
      <c r="D2290" s="3" t="inlineStr">
        <is>
          <t>NPL.PCPI.A</t>
        </is>
      </c>
      <c r="E2290" s="3" t="inlineStr">
        <is>
          <t>Nepal</t>
        </is>
      </c>
      <c r="F2290" s="3" t="inlineStr">
        <is>
          <t>All Items, Consumer price index (CPI), Period average</t>
        </is>
      </c>
      <c r="G2290" s="3" t="n">
        <v>21.670042</v>
      </c>
      <c r="H2290" s="3" t="n">
        <v>22.197665</v>
      </c>
      <c r="I2290" s="3" t="n">
        <v>22.840455</v>
      </c>
      <c r="J2290" s="3" t="n">
        <v>23.923823</v>
      </c>
      <c r="K2290" s="3" t="n">
        <v>24.871938</v>
      </c>
      <c r="L2290" s="3" t="n">
        <v>26.000837</v>
      </c>
      <c r="M2290" s="3" t="n">
        <v>28.071155</v>
      </c>
      <c r="N2290" s="3" t="n">
        <v>29.812292</v>
      </c>
      <c r="O2290" s="3" t="n">
        <v>31.802857</v>
      </c>
      <c r="P2290" s="3" t="n">
        <v>35.817669</v>
      </c>
      <c r="Q2290" s="3" t="n">
        <v>39.243804</v>
      </c>
      <c r="R2290" s="3" t="n">
        <v>42.998045</v>
      </c>
      <c r="S2290" s="3" t="n">
        <v>46.569101</v>
      </c>
      <c r="T2290" s="3" t="n">
        <v>51.166859</v>
      </c>
      <c r="U2290" s="3" t="n">
        <v>55.791896</v>
      </c>
      <c r="V2290" s="3" t="n">
        <v>60.162722</v>
      </c>
      <c r="W2290" s="3" t="n">
        <v>66.133169</v>
      </c>
      <c r="X2290" s="3" t="n">
        <v>69.10692400000001</v>
      </c>
      <c r="Y2290" s="3" t="n">
        <v>71.960807</v>
      </c>
      <c r="Z2290" s="3" t="n">
        <v>75.288065</v>
      </c>
      <c r="AA2290" s="3" t="n">
        <v>79.916546</v>
      </c>
      <c r="AB2290" s="3" t="n">
        <v>82.77640100000001</v>
      </c>
      <c r="AC2290" s="3" t="n">
        <v>88.050218</v>
      </c>
      <c r="AD2290" s="3" t="n">
        <v>94.85622100000001</v>
      </c>
      <c r="AE2290" s="3" t="n">
        <v>100.000001</v>
      </c>
      <c r="AF2290" s="3" t="n">
        <v>104.057244</v>
      </c>
      <c r="AG2290" s="3" t="n">
        <v>107.328552</v>
      </c>
      <c r="AH2290" s="3" t="n">
        <v>112.72664</v>
      </c>
      <c r="AI2290" s="3" t="n">
        <v>118.362972</v>
      </c>
      <c r="AJ2290" s="3" t="n">
        <v>124.28112</v>
      </c>
      <c r="AK2290" s="3" t="n">
        <v>130.495176</v>
      </c>
      <c r="AL2290" s="3" t="n">
        <v>137.019935</v>
      </c>
      <c r="AM2290" s="3" t="n"/>
      <c r="AN2290" s="3" t="n"/>
      <c r="AO2290" s="3" t="n"/>
      <c r="AP2290" s="3" t="n"/>
      <c r="AQ2290" s="3" t="n"/>
      <c r="AR2290" s="3" t="n"/>
      <c r="AS2290" s="3" t="n"/>
      <c r="AT2290" s="3" t="n"/>
      <c r="AU2290" s="3" t="n"/>
    </row>
    <row r="2291">
      <c r="A2291" s="3" t="n">
        <v>2031</v>
      </c>
      <c r="B2291" s="3" t="inlineStr">
        <is>
          <t>NPL</t>
        </is>
      </c>
      <c r="C2291" s="3" t="inlineStr">
        <is>
          <t>IMF.RES:WEO</t>
        </is>
      </c>
      <c r="D2291" s="3" t="inlineStr">
        <is>
          <t>NPL.PCPIPCH.A</t>
        </is>
      </c>
      <c r="E2291" s="3" t="inlineStr">
        <is>
          <t>Nepal</t>
        </is>
      </c>
      <c r="F2291" s="3" t="inlineStr">
        <is>
          <t>All Items, Consumer price index (CPI), Period average, percent change</t>
        </is>
      </c>
      <c r="G2291" s="3" t="n">
        <v>3.392754</v>
      </c>
      <c r="H2291" s="3" t="n">
        <v>2.434804</v>
      </c>
      <c r="I2291" s="3" t="n">
        <v>2.895753</v>
      </c>
      <c r="J2291" s="3" t="n">
        <v>4.743199</v>
      </c>
      <c r="K2291" s="3" t="n">
        <v>3.963056</v>
      </c>
      <c r="L2291" s="3" t="n">
        <v>4.538847</v>
      </c>
      <c r="M2291" s="3" t="n">
        <v>7.962505</v>
      </c>
      <c r="N2291" s="3" t="n">
        <v>6.202583</v>
      </c>
      <c r="O2291" s="3" t="n">
        <v>6.676994</v>
      </c>
      <c r="P2291" s="3" t="n">
        <v>12.624061</v>
      </c>
      <c r="Q2291" s="3" t="n">
        <v>9.565488</v>
      </c>
      <c r="R2291" s="3" t="n">
        <v>9.566454999999999</v>
      </c>
      <c r="S2291" s="3" t="n">
        <v>8.305160000000001</v>
      </c>
      <c r="T2291" s="3" t="n">
        <v>9.87298</v>
      </c>
      <c r="U2291" s="3" t="n">
        <v>9.039125</v>
      </c>
      <c r="V2291" s="3" t="n">
        <v>7.834161</v>
      </c>
      <c r="W2291" s="3" t="n">
        <v>9.923830000000001</v>
      </c>
      <c r="X2291" s="3" t="n">
        <v>4.496617</v>
      </c>
      <c r="Y2291" s="3" t="n">
        <v>4.129663</v>
      </c>
      <c r="Z2291" s="3" t="n">
        <v>4.623708</v>
      </c>
      <c r="AA2291" s="3" t="n">
        <v>6.147696</v>
      </c>
      <c r="AB2291" s="3" t="n">
        <v>3.578551</v>
      </c>
      <c r="AC2291" s="3" t="n">
        <v>6.371161</v>
      </c>
      <c r="AD2291" s="3" t="n">
        <v>7.729683</v>
      </c>
      <c r="AE2291" s="3" t="n">
        <v>5.422712</v>
      </c>
      <c r="AF2291" s="3" t="n">
        <v>4.057243</v>
      </c>
      <c r="AG2291" s="3" t="n">
        <v>3.143759</v>
      </c>
      <c r="AH2291" s="3" t="n">
        <v>5.029498</v>
      </c>
      <c r="AI2291" s="3" t="n">
        <v>5</v>
      </c>
      <c r="AJ2291" s="3" t="n">
        <v>5</v>
      </c>
      <c r="AK2291" s="3" t="n">
        <v>5</v>
      </c>
      <c r="AL2291" s="3" t="n">
        <v>5</v>
      </c>
      <c r="AM2291" s="3" t="n"/>
      <c r="AN2291" s="3" t="n"/>
      <c r="AO2291" s="3" t="n"/>
      <c r="AP2291" s="3" t="n"/>
      <c r="AQ2291" s="3" t="n"/>
      <c r="AR2291" s="3" t="n"/>
      <c r="AS2291" s="3" t="n"/>
      <c r="AT2291" s="3" t="n"/>
      <c r="AU2291" s="3" t="n"/>
    </row>
    <row r="2292">
      <c r="A2292" s="3" t="n">
        <v>2031</v>
      </c>
      <c r="B2292" s="3" t="inlineStr">
        <is>
          <t>NPL</t>
        </is>
      </c>
      <c r="C2292" s="3" t="inlineStr">
        <is>
          <t>IMF.RES:WEO</t>
        </is>
      </c>
      <c r="D2292" s="3" t="inlineStr">
        <is>
          <t>NPL.PPPPC.A</t>
        </is>
      </c>
      <c r="E2292" s="3" t="inlineStr">
        <is>
          <t>Nepal</t>
        </is>
      </c>
      <c r="F2292" s="3" t="inlineStr">
        <is>
          <t>Gross domestic product (GDP), Per capita, purchasing power parity (PPP) international dollar, ICP benchmarks 2017-2021</t>
        </is>
      </c>
      <c r="G2292" s="3" t="n">
        <v>1495.227827</v>
      </c>
      <c r="H2292" s="3" t="n">
        <v>1589.040488</v>
      </c>
      <c r="I2292" s="3" t="n">
        <v>1591.292002</v>
      </c>
      <c r="J2292" s="3" t="n">
        <v>1663.102189</v>
      </c>
      <c r="K2292" s="3" t="n">
        <v>1765.259243</v>
      </c>
      <c r="L2292" s="3" t="n">
        <v>1862.988853</v>
      </c>
      <c r="M2292" s="3" t="n">
        <v>1965.928743</v>
      </c>
      <c r="N2292" s="3" t="n">
        <v>2070.691707</v>
      </c>
      <c r="O2292" s="3" t="n">
        <v>2222.701442</v>
      </c>
      <c r="P2292" s="3" t="n">
        <v>2322.045266</v>
      </c>
      <c r="Q2292" s="3" t="n">
        <v>2448.246011</v>
      </c>
      <c r="R2292" s="3" t="n">
        <v>2572.731824</v>
      </c>
      <c r="S2292" s="3" t="n">
        <v>2736.007778</v>
      </c>
      <c r="T2292" s="3" t="n">
        <v>2874.913794</v>
      </c>
      <c r="U2292" s="3" t="n">
        <v>3091.59126</v>
      </c>
      <c r="V2292" s="3" t="n">
        <v>3226.709574</v>
      </c>
      <c r="W2292" s="3" t="n">
        <v>3256.050935</v>
      </c>
      <c r="X2292" s="3" t="n">
        <v>3604.70826</v>
      </c>
      <c r="Y2292" s="3" t="n">
        <v>3956.124611</v>
      </c>
      <c r="Z2292" s="3" t="n">
        <v>4260.673732</v>
      </c>
      <c r="AA2292" s="3" t="n">
        <v>4235.574623</v>
      </c>
      <c r="AB2292" s="3" t="n">
        <v>4546.2297</v>
      </c>
      <c r="AC2292" s="3" t="n">
        <v>5102.179353</v>
      </c>
      <c r="AD2292" s="3" t="n">
        <v>5399.641169</v>
      </c>
      <c r="AE2292" s="3" t="n">
        <v>5744.947572</v>
      </c>
      <c r="AF2292" s="3" t="n">
        <v>6181.12946</v>
      </c>
      <c r="AG2292" s="3" t="n">
        <v>6551.120031</v>
      </c>
      <c r="AH2292" s="3" t="n">
        <v>7004.772014</v>
      </c>
      <c r="AI2292" s="3" t="n">
        <v>7502.29135</v>
      </c>
      <c r="AJ2292" s="3" t="n">
        <v>8033.917954</v>
      </c>
      <c r="AK2292" s="3" t="n">
        <v>8599.822079</v>
      </c>
      <c r="AL2292" s="3" t="n">
        <v>9202.228951999999</v>
      </c>
      <c r="AM2292" s="3" t="n"/>
      <c r="AN2292" s="3" t="n"/>
      <c r="AO2292" s="3" t="n"/>
      <c r="AP2292" s="3" t="n"/>
      <c r="AQ2292" s="3" t="n"/>
      <c r="AR2292" s="3" t="n"/>
      <c r="AS2292" s="3" t="n"/>
      <c r="AT2292" s="3" t="n"/>
      <c r="AU2292" s="3" t="n"/>
    </row>
    <row r="2293">
      <c r="A2293" s="3" t="n">
        <v>2025</v>
      </c>
      <c r="B2293" s="3" t="inlineStr">
        <is>
          <t>NPL</t>
        </is>
      </c>
      <c r="C2293" s="3" t="inlineStr">
        <is>
          <t>IMF.STA:ER</t>
        </is>
      </c>
      <c r="D2293" s="3" t="inlineStr">
        <is>
          <t>NPL.XDC_USD.PA_RT.A</t>
        </is>
      </c>
      <c r="E2293" s="3" t="inlineStr">
        <is>
          <t>Nepal</t>
        </is>
      </c>
      <c r="F2293" s="3" t="inlineStr">
        <is>
          <t>Domestic currency per US Dollar</t>
        </is>
      </c>
      <c r="G2293" s="3" t="n">
        <v>71.0937958333333</v>
      </c>
      <c r="H2293" s="3" t="n">
        <v>74.94925000000001</v>
      </c>
      <c r="I2293" s="3" t="n">
        <v>77.8766191666666</v>
      </c>
      <c r="J2293" s="3" t="n">
        <v>76.1414475</v>
      </c>
      <c r="K2293" s="3" t="n">
        <v>73.6735966666666</v>
      </c>
      <c r="L2293" s="3" t="n">
        <v>71.36750000000001</v>
      </c>
      <c r="M2293" s="3" t="n">
        <v>72.75560583333331</v>
      </c>
      <c r="N2293" s="3" t="n">
        <v>66.41502749999999</v>
      </c>
      <c r="O2293" s="3" t="n">
        <v>69.7616949999999</v>
      </c>
      <c r="P2293" s="3" t="n">
        <v>77.57343073901551</v>
      </c>
      <c r="Q2293" s="3" t="n">
        <v>73.26235901580461</v>
      </c>
      <c r="R2293" s="3" t="n">
        <v>74.0199999999999</v>
      </c>
      <c r="S2293" s="3" t="n">
        <v>85.2257559923835</v>
      </c>
      <c r="T2293" s="3" t="n">
        <v>93.08439380754849</v>
      </c>
      <c r="U2293" s="3" t="n">
        <v>97.55484215679451</v>
      </c>
      <c r="V2293" s="3" t="n">
        <v>102.405134331355</v>
      </c>
      <c r="W2293" s="3" t="n">
        <v>107.383815174653</v>
      </c>
      <c r="X2293" s="3" t="n">
        <v>104.511885242862</v>
      </c>
      <c r="Y2293" s="3" t="n">
        <v>108.930134109272</v>
      </c>
      <c r="Z2293" s="3" t="n">
        <v>112.60948275862</v>
      </c>
      <c r="AA2293" s="3" t="n">
        <v>118.345187275985</v>
      </c>
      <c r="AB2293" s="3" t="n">
        <v>118.134081604946</v>
      </c>
      <c r="AC2293" s="3" t="n">
        <v>125.199457792609</v>
      </c>
      <c r="AD2293" s="3" t="n">
        <v>132.115460088756</v>
      </c>
      <c r="AE2293" s="3" t="n">
        <v>133.726644315443</v>
      </c>
      <c r="AF2293" s="3" t="n">
        <v>139.115437592695</v>
      </c>
      <c r="AG2293" s="3" t="n"/>
      <c r="AH2293" s="3" t="n"/>
      <c r="AI2293" s="3" t="n"/>
      <c r="AJ2293" s="3" t="n"/>
      <c r="AK2293" s="3" t="n"/>
      <c r="AL2293" s="3" t="n"/>
      <c r="AM2293" s="3" t="n"/>
      <c r="AN2293" s="3" t="n"/>
      <c r="AO2293" s="3" t="n"/>
      <c r="AP2293" s="3" t="n"/>
      <c r="AQ2293" s="3" t="n"/>
      <c r="AR2293" s="3" t="n"/>
      <c r="AS2293" s="3" t="n"/>
      <c r="AT2293" s="3" t="n"/>
      <c r="AU2293" s="3" t="n"/>
    </row>
    <row r="2294">
      <c r="A2294" s="3" t="n">
        <v>2031</v>
      </c>
      <c r="B2294" s="3" t="inlineStr">
        <is>
          <t>NRU</t>
        </is>
      </c>
      <c r="C2294" s="3" t="inlineStr">
        <is>
          <t>IMF.RES:WEO</t>
        </is>
      </c>
      <c r="D2294" s="3" t="inlineStr">
        <is>
          <t>NRU.BCA.A</t>
        </is>
      </c>
      <c r="E2294" s="3" t="inlineStr">
        <is>
          <t>Nauru, Republic of</t>
        </is>
      </c>
      <c r="F2294" s="3" t="inlineStr">
        <is>
          <t>Current account balance (credit less debit), US dollar</t>
        </is>
      </c>
      <c r="G2294" s="3" t="n"/>
      <c r="H2294" s="3" t="n"/>
      <c r="I2294" s="3" t="n"/>
      <c r="J2294" s="3" t="n"/>
      <c r="K2294" s="3" t="n"/>
      <c r="L2294" s="3" t="n"/>
      <c r="M2294" s="3" t="n"/>
      <c r="N2294" s="3" t="n"/>
      <c r="O2294" s="3" t="n">
        <v>0.018994</v>
      </c>
      <c r="P2294" s="3" t="n">
        <v>0.030382</v>
      </c>
      <c r="Q2294" s="3" t="n">
        <v>0.023735</v>
      </c>
      <c r="R2294" s="3" t="n">
        <v>0.019773</v>
      </c>
      <c r="S2294" s="3" t="n">
        <v>0.034874</v>
      </c>
      <c r="T2294" s="3" t="n">
        <v>0.045999</v>
      </c>
      <c r="U2294" s="3" t="n">
        <v>0.028205</v>
      </c>
      <c r="V2294" s="3" t="n">
        <v>-0.015002</v>
      </c>
      <c r="W2294" s="3" t="n">
        <v>0.004174</v>
      </c>
      <c r="X2294" s="3" t="n">
        <v>0.013528</v>
      </c>
      <c r="Y2294" s="3" t="n">
        <v>0.00996</v>
      </c>
      <c r="Z2294" s="3" t="n">
        <v>0.005753</v>
      </c>
      <c r="AA2294" s="3" t="n">
        <v>0.003153</v>
      </c>
      <c r="AB2294" s="3" t="n">
        <v>0.006665</v>
      </c>
      <c r="AC2294" s="3" t="n">
        <v>0.002832</v>
      </c>
      <c r="AD2294" s="3" t="n">
        <v>0.001913</v>
      </c>
      <c r="AE2294" s="3" t="n">
        <v>0.010111</v>
      </c>
      <c r="AF2294" s="3" t="n">
        <v>0.004672</v>
      </c>
      <c r="AG2294" s="3" t="n">
        <v>0.004579</v>
      </c>
      <c r="AH2294" s="3" t="n">
        <v>0.004391</v>
      </c>
      <c r="AI2294" s="3" t="n">
        <v>0.004624</v>
      </c>
      <c r="AJ2294" s="3" t="n">
        <v>0.004635</v>
      </c>
      <c r="AK2294" s="3" t="n">
        <v>0.004849</v>
      </c>
      <c r="AL2294" s="3" t="n">
        <v>0.004964</v>
      </c>
      <c r="AM2294" s="3" t="n"/>
      <c r="AN2294" s="3" t="n"/>
      <c r="AO2294" s="3" t="n"/>
      <c r="AP2294" s="3" t="n"/>
      <c r="AQ2294" s="3" t="n"/>
      <c r="AR2294" s="3" t="n"/>
      <c r="AS2294" s="3" t="n"/>
      <c r="AT2294" s="3" t="n"/>
      <c r="AU2294" s="3" t="n"/>
    </row>
    <row r="2295">
      <c r="A2295" s="3" t="n">
        <v>2031</v>
      </c>
      <c r="B2295" s="3" t="inlineStr">
        <is>
          <t>NRU</t>
        </is>
      </c>
      <c r="C2295" s="3" t="inlineStr">
        <is>
          <t>IMF.RES:WEO</t>
        </is>
      </c>
      <c r="D2295" s="3" t="inlineStr">
        <is>
          <t>NRU.BCA_NGDPD.A</t>
        </is>
      </c>
      <c r="E2295" s="3" t="inlineStr">
        <is>
          <t>Nauru, Republic of</t>
        </is>
      </c>
      <c r="F2295" s="3" t="inlineStr">
        <is>
          <t>Current account balance (credit less debit), Percent of GDP</t>
        </is>
      </c>
      <c r="G2295" s="3" t="n"/>
      <c r="H2295" s="3" t="n"/>
      <c r="I2295" s="3" t="n"/>
      <c r="J2295" s="3" t="n"/>
      <c r="K2295" s="3" t="n"/>
      <c r="L2295" s="3" t="n"/>
      <c r="M2295" s="3" t="n"/>
      <c r="N2295" s="3" t="n"/>
      <c r="O2295" s="3" t="n">
        <v>53.406926</v>
      </c>
      <c r="P2295" s="3" t="n">
        <v>64.13386800000001</v>
      </c>
      <c r="Q2295" s="3" t="n">
        <v>47.865327</v>
      </c>
      <c r="R2295" s="3" t="n">
        <v>28.823823</v>
      </c>
      <c r="S2295" s="3" t="n">
        <v>34.403002</v>
      </c>
      <c r="T2295" s="3" t="n">
        <v>51.566505</v>
      </c>
      <c r="U2295" s="3" t="n">
        <v>29.012148</v>
      </c>
      <c r="V2295" s="3" t="n">
        <v>-19.629806</v>
      </c>
      <c r="W2295" s="3" t="n">
        <v>4.19399</v>
      </c>
      <c r="X2295" s="3" t="n">
        <v>12.410193</v>
      </c>
      <c r="Y2295" s="3" t="n">
        <v>7.594583</v>
      </c>
      <c r="Z2295" s="3" t="n">
        <v>4.600201</v>
      </c>
      <c r="AA2295" s="3" t="n">
        <v>2.525548</v>
      </c>
      <c r="AB2295" s="3" t="n">
        <v>4.460253</v>
      </c>
      <c r="AC2295" s="3" t="n">
        <v>1.568386</v>
      </c>
      <c r="AD2295" s="3" t="n">
        <v>1.18553</v>
      </c>
      <c r="AE2295" s="3" t="n">
        <v>6.033858</v>
      </c>
      <c r="AF2295" s="3" t="n">
        <v>2.652827</v>
      </c>
      <c r="AG2295" s="3" t="n">
        <v>2.337133</v>
      </c>
      <c r="AH2295" s="3" t="n">
        <v>2.05186</v>
      </c>
      <c r="AI2295" s="3" t="n">
        <v>2.071102</v>
      </c>
      <c r="AJ2295" s="3" t="n">
        <v>1.991235</v>
      </c>
      <c r="AK2295" s="3" t="n">
        <v>2.001744</v>
      </c>
      <c r="AL2295" s="3" t="n">
        <v>1.968014</v>
      </c>
      <c r="AM2295" s="3" t="n"/>
      <c r="AN2295" s="3" t="n"/>
      <c r="AO2295" s="3" t="n"/>
      <c r="AP2295" s="3" t="n"/>
      <c r="AQ2295" s="3" t="n"/>
      <c r="AR2295" s="3" t="n"/>
      <c r="AS2295" s="3" t="n"/>
      <c r="AT2295" s="3" t="n"/>
      <c r="AU2295" s="3" t="n"/>
    </row>
    <row r="2296">
      <c r="A2296" s="3" t="n">
        <v>2031</v>
      </c>
      <c r="B2296" s="3" t="inlineStr">
        <is>
          <t>NRU</t>
        </is>
      </c>
      <c r="C2296" s="3" t="inlineStr">
        <is>
          <t>IMF.RES:WEO</t>
        </is>
      </c>
      <c r="D2296" s="3" t="inlineStr">
        <is>
          <t>NRU.GGR_NGDP.A</t>
        </is>
      </c>
      <c r="E2296" s="3" t="inlineStr">
        <is>
          <t>Nauru, Republic of</t>
        </is>
      </c>
      <c r="F2296" s="3" t="inlineStr">
        <is>
          <t>Revenue, General government, Percent of GDP</t>
        </is>
      </c>
      <c r="G2296" s="3" t="n"/>
      <c r="H2296" s="3" t="n"/>
      <c r="I2296" s="3" t="n"/>
      <c r="J2296" s="3" t="n"/>
      <c r="K2296" s="3" t="n"/>
      <c r="L2296" s="3" t="n"/>
      <c r="M2296" s="3" t="n"/>
      <c r="N2296" s="3" t="n"/>
      <c r="O2296" s="3" t="n"/>
      <c r="P2296" s="3" t="n">
        <v>68.345197</v>
      </c>
      <c r="Q2296" s="3" t="n">
        <v>73.86425</v>
      </c>
      <c r="R2296" s="3" t="n">
        <v>47.430496</v>
      </c>
      <c r="S2296" s="3" t="n">
        <v>54.089547</v>
      </c>
      <c r="T2296" s="3" t="n">
        <v>67.730063</v>
      </c>
      <c r="U2296" s="3" t="n">
        <v>90.88958599999999</v>
      </c>
      <c r="V2296" s="3" t="n">
        <v>96.09944</v>
      </c>
      <c r="W2296" s="3" t="n">
        <v>114.897876</v>
      </c>
      <c r="X2296" s="3" t="n">
        <v>118.452938</v>
      </c>
      <c r="Y2296" s="3" t="n">
        <v>120.336044</v>
      </c>
      <c r="Z2296" s="3" t="n">
        <v>136.957563</v>
      </c>
      <c r="AA2296" s="3" t="n">
        <v>152.200643</v>
      </c>
      <c r="AB2296" s="3" t="n">
        <v>161.847275</v>
      </c>
      <c r="AC2296" s="3" t="n">
        <v>134.276138</v>
      </c>
      <c r="AD2296" s="3" t="n">
        <v>129.245312</v>
      </c>
      <c r="AE2296" s="3" t="n">
        <v>147.22992</v>
      </c>
      <c r="AF2296" s="3" t="n">
        <v>132.234769</v>
      </c>
      <c r="AG2296" s="3" t="n">
        <v>144.725929</v>
      </c>
      <c r="AH2296" s="3" t="n">
        <v>141.240387</v>
      </c>
      <c r="AI2296" s="3" t="n">
        <v>140.818722</v>
      </c>
      <c r="AJ2296" s="3" t="n">
        <v>140.819944</v>
      </c>
      <c r="AK2296" s="3" t="n">
        <v>141.200678</v>
      </c>
      <c r="AL2296" s="3" t="n">
        <v>141.554573</v>
      </c>
      <c r="AM2296" s="3" t="n"/>
      <c r="AN2296" s="3" t="n"/>
      <c r="AO2296" s="3" t="n"/>
      <c r="AP2296" s="3" t="n"/>
      <c r="AQ2296" s="3" t="n"/>
      <c r="AR2296" s="3" t="n"/>
      <c r="AS2296" s="3" t="n"/>
      <c r="AT2296" s="3" t="n"/>
      <c r="AU2296" s="3" t="n"/>
    </row>
    <row r="2297">
      <c r="A2297" s="3" t="n">
        <v>2031</v>
      </c>
      <c r="B2297" s="3" t="inlineStr">
        <is>
          <t>NRU</t>
        </is>
      </c>
      <c r="C2297" s="3" t="inlineStr">
        <is>
          <t>IMF.RES:WEO</t>
        </is>
      </c>
      <c r="D2297" s="3" t="inlineStr">
        <is>
          <t>NRU.GGX_NGDP.A</t>
        </is>
      </c>
      <c r="E2297" s="3" t="inlineStr">
        <is>
          <t>Nauru, Republic of</t>
        </is>
      </c>
      <c r="F2297" s="3" t="inlineStr">
        <is>
          <t>Expenditure, General government, Percent of GDP</t>
        </is>
      </c>
      <c r="G2297" s="3" t="n"/>
      <c r="H2297" s="3" t="n"/>
      <c r="I2297" s="3" t="n"/>
      <c r="J2297" s="3" t="n"/>
      <c r="K2297" s="3" t="n"/>
      <c r="L2297" s="3" t="n"/>
      <c r="M2297" s="3" t="n"/>
      <c r="N2297" s="3" t="n"/>
      <c r="O2297" s="3" t="n"/>
      <c r="P2297" s="3" t="n">
        <v>67.977715</v>
      </c>
      <c r="Q2297" s="3" t="n">
        <v>73.771534</v>
      </c>
      <c r="R2297" s="3" t="n">
        <v>44.697394</v>
      </c>
      <c r="S2297" s="3" t="n">
        <v>45.973964</v>
      </c>
      <c r="T2297" s="3" t="n">
        <v>66.019115</v>
      </c>
      <c r="U2297" s="3" t="n">
        <v>61.327716</v>
      </c>
      <c r="V2297" s="3" t="n">
        <v>85.35847099999999</v>
      </c>
      <c r="W2297" s="3" t="n">
        <v>96.008354</v>
      </c>
      <c r="X2297" s="3" t="n">
        <v>102.283309</v>
      </c>
      <c r="Y2297" s="3" t="n">
        <v>90.777005</v>
      </c>
      <c r="Z2297" s="3" t="n">
        <v>105.969582</v>
      </c>
      <c r="AA2297" s="3" t="n">
        <v>109.391344</v>
      </c>
      <c r="AB2297" s="3" t="n">
        <v>109.462695</v>
      </c>
      <c r="AC2297" s="3" t="n">
        <v>113.792164</v>
      </c>
      <c r="AD2297" s="3" t="n">
        <v>111.015504</v>
      </c>
      <c r="AE2297" s="3" t="n">
        <v>118.371236</v>
      </c>
      <c r="AF2297" s="3" t="n">
        <v>128.720305</v>
      </c>
      <c r="AG2297" s="3" t="n">
        <v>131.606829</v>
      </c>
      <c r="AH2297" s="3" t="n">
        <v>130.918599</v>
      </c>
      <c r="AI2297" s="3" t="n">
        <v>127.453211</v>
      </c>
      <c r="AJ2297" s="3" t="n">
        <v>126.951082</v>
      </c>
      <c r="AK2297" s="3" t="n">
        <v>126.200063</v>
      </c>
      <c r="AL2297" s="3" t="n">
        <v>126.039862</v>
      </c>
      <c r="AM2297" s="3" t="n"/>
      <c r="AN2297" s="3" t="n"/>
      <c r="AO2297" s="3" t="n"/>
      <c r="AP2297" s="3" t="n"/>
      <c r="AQ2297" s="3" t="n"/>
      <c r="AR2297" s="3" t="n"/>
      <c r="AS2297" s="3" t="n"/>
      <c r="AT2297" s="3" t="n"/>
      <c r="AU2297" s="3" t="n"/>
    </row>
    <row r="2298">
      <c r="A2298" s="3" t="n">
        <v>2031</v>
      </c>
      <c r="B2298" s="3" t="inlineStr">
        <is>
          <t>NRU</t>
        </is>
      </c>
      <c r="C2298" s="3" t="inlineStr">
        <is>
          <t>IMF.RES:WEO</t>
        </is>
      </c>
      <c r="D2298" s="3" t="inlineStr">
        <is>
          <t>NRU.LP.A</t>
        </is>
      </c>
      <c r="E2298" s="3" t="inlineStr">
        <is>
          <t>Nauru, Republic of</t>
        </is>
      </c>
      <c r="F2298" s="3" t="inlineStr">
        <is>
          <t>Population, Persons for countries / Index for country groups</t>
        </is>
      </c>
      <c r="G2298" s="3" t="n"/>
      <c r="H2298" s="3" t="n"/>
      <c r="I2298" s="3" t="n"/>
      <c r="J2298" s="3" t="n"/>
      <c r="K2298" s="3" t="n">
        <v>0.01006</v>
      </c>
      <c r="L2298" s="3" t="n">
        <v>0.010049</v>
      </c>
      <c r="M2298" s="3" t="n">
        <v>0.010034</v>
      </c>
      <c r="N2298" s="3" t="n">
        <v>0.01002</v>
      </c>
      <c r="O2298" s="3" t="n">
        <v>0.010009</v>
      </c>
      <c r="P2298" s="3" t="n">
        <v>0.010016</v>
      </c>
      <c r="Q2298" s="3" t="n">
        <v>0.010043</v>
      </c>
      <c r="R2298" s="3" t="n">
        <v>0.010098</v>
      </c>
      <c r="S2298" s="3" t="n">
        <v>0.010267</v>
      </c>
      <c r="T2298" s="3" t="n">
        <v>0.010517</v>
      </c>
      <c r="U2298" s="3" t="n">
        <v>0.010742</v>
      </c>
      <c r="V2298" s="3" t="n">
        <v>0.010954</v>
      </c>
      <c r="W2298" s="3" t="n">
        <v>0.01115</v>
      </c>
      <c r="X2298" s="3" t="n">
        <v>0.011324</v>
      </c>
      <c r="Y2298" s="3" t="n">
        <v>0.011477</v>
      </c>
      <c r="Z2298" s="3" t="n">
        <v>0.011587</v>
      </c>
      <c r="AA2298" s="3" t="n">
        <v>0.011643</v>
      </c>
      <c r="AB2298" s="3" t="n">
        <v>0.011709</v>
      </c>
      <c r="AC2298" s="3" t="n">
        <v>0.011801</v>
      </c>
      <c r="AD2298" s="3" t="n">
        <v>0.011875</v>
      </c>
      <c r="AE2298" s="3" t="n">
        <v>0.011947</v>
      </c>
      <c r="AF2298" s="3" t="n">
        <v>0.012075</v>
      </c>
      <c r="AG2298" s="3" t="n">
        <v>0.012204</v>
      </c>
      <c r="AH2298" s="3" t="n">
        <v>0.012335</v>
      </c>
      <c r="AI2298" s="3" t="n">
        <v>0.012467</v>
      </c>
      <c r="AJ2298" s="3" t="n">
        <v>0.0126</v>
      </c>
      <c r="AK2298" s="3" t="n">
        <v>0.012735</v>
      </c>
      <c r="AL2298" s="3" t="n">
        <v>0.012871</v>
      </c>
      <c r="AM2298" s="3" t="n"/>
      <c r="AN2298" s="3" t="n"/>
      <c r="AO2298" s="3" t="n"/>
      <c r="AP2298" s="3" t="n"/>
      <c r="AQ2298" s="3" t="n"/>
      <c r="AR2298" s="3" t="n"/>
      <c r="AS2298" s="3" t="n"/>
      <c r="AT2298" s="3" t="n"/>
      <c r="AU2298" s="3" t="n"/>
    </row>
    <row r="2299">
      <c r="A2299" s="3" t="n">
        <v>2031</v>
      </c>
      <c r="B2299" s="3" t="inlineStr">
        <is>
          <t>NRU</t>
        </is>
      </c>
      <c r="C2299" s="3" t="inlineStr">
        <is>
          <t>IMF.RES:WEO</t>
        </is>
      </c>
      <c r="D2299" s="3" t="inlineStr">
        <is>
          <t>NRU.NGDP.A</t>
        </is>
      </c>
      <c r="E2299" s="3" t="inlineStr">
        <is>
          <t>Nauru, Republic of</t>
        </is>
      </c>
      <c r="F2299" s="3" t="inlineStr">
        <is>
          <t>Gross domestic product (GDP), Current prices, Domestic currency</t>
        </is>
      </c>
      <c r="G2299" s="3" t="n"/>
      <c r="H2299" s="3" t="n"/>
      <c r="I2299" s="3" t="n"/>
      <c r="J2299" s="3" t="n"/>
      <c r="K2299" s="3" t="n">
        <v>0.043227</v>
      </c>
      <c r="L2299" s="3" t="n">
        <v>0.040331</v>
      </c>
      <c r="M2299" s="3" t="n">
        <v>0.039025</v>
      </c>
      <c r="N2299" s="3" t="n">
        <v>0.02942</v>
      </c>
      <c r="O2299" s="3" t="n">
        <v>0.041584</v>
      </c>
      <c r="P2299" s="3" t="n">
        <v>0.059867</v>
      </c>
      <c r="Q2299" s="3" t="n">
        <v>0.053928</v>
      </c>
      <c r="R2299" s="3" t="n">
        <v>0.066458</v>
      </c>
      <c r="S2299" s="3" t="n">
        <v>0.09786499999999999</v>
      </c>
      <c r="T2299" s="3" t="n">
        <v>0.092111</v>
      </c>
      <c r="U2299" s="3" t="n">
        <v>0.107698</v>
      </c>
      <c r="V2299" s="3" t="n">
        <v>0.101546</v>
      </c>
      <c r="W2299" s="3" t="n">
        <v>0.133797</v>
      </c>
      <c r="X2299" s="3" t="n">
        <v>0.144521</v>
      </c>
      <c r="Y2299" s="3" t="n">
        <v>0.16913</v>
      </c>
      <c r="Z2299" s="3" t="n">
        <v>0.174807</v>
      </c>
      <c r="AA2299" s="3" t="n">
        <v>0.185993</v>
      </c>
      <c r="AB2299" s="3" t="n">
        <v>0.199951</v>
      </c>
      <c r="AC2299" s="3" t="n">
        <v>0.248778</v>
      </c>
      <c r="AD2299" s="3" t="n">
        <v>0.239603</v>
      </c>
      <c r="AE2299" s="3" t="n">
        <v>0.255521</v>
      </c>
      <c r="AF2299" s="3" t="n">
        <v>0.271876</v>
      </c>
      <c r="AG2299" s="3" t="n">
        <v>0.288628</v>
      </c>
      <c r="AH2299" s="3" t="n">
        <v>0.303618</v>
      </c>
      <c r="AI2299" s="3" t="n">
        <v>0.318215</v>
      </c>
      <c r="AJ2299" s="3" t="n">
        <v>0.331824</v>
      </c>
      <c r="AK2299" s="3" t="n">
        <v>0.345323</v>
      </c>
      <c r="AL2299" s="3" t="n">
        <v>0.359565</v>
      </c>
      <c r="AM2299" s="3" t="n"/>
      <c r="AN2299" s="3" t="n"/>
      <c r="AO2299" s="3" t="n"/>
      <c r="AP2299" s="3" t="n"/>
      <c r="AQ2299" s="3" t="n"/>
      <c r="AR2299" s="3" t="n"/>
      <c r="AS2299" s="3" t="n"/>
      <c r="AT2299" s="3" t="n"/>
      <c r="AU2299" s="3" t="n"/>
    </row>
    <row r="2300">
      <c r="A2300" s="3" t="n">
        <v>2031</v>
      </c>
      <c r="B2300" s="3" t="inlineStr">
        <is>
          <t>NRU</t>
        </is>
      </c>
      <c r="C2300" s="3" t="inlineStr">
        <is>
          <t>IMF.RES:WEO</t>
        </is>
      </c>
      <c r="D2300" s="3" t="inlineStr">
        <is>
          <t>NRU.NGDP_D.A</t>
        </is>
      </c>
      <c r="E2300" s="3" t="inlineStr">
        <is>
          <t>Nauru, Republic of</t>
        </is>
      </c>
      <c r="F2300" s="3" t="inlineStr">
        <is>
          <t>Gross domestic product (GDP), Price deflator, Index</t>
        </is>
      </c>
      <c r="G2300" s="3" t="n"/>
      <c r="H2300" s="3" t="n"/>
      <c r="I2300" s="3" t="n"/>
      <c r="J2300" s="3" t="n"/>
      <c r="K2300" s="3" t="n">
        <v>60.674905</v>
      </c>
      <c r="L2300" s="3" t="n">
        <v>56.812101</v>
      </c>
      <c r="M2300" s="3" t="n">
        <v>50.745695</v>
      </c>
      <c r="N2300" s="3" t="n">
        <v>49.162766</v>
      </c>
      <c r="O2300" s="3" t="n">
        <v>57.72534</v>
      </c>
      <c r="P2300" s="3" t="n">
        <v>88.08314300000001</v>
      </c>
      <c r="Q2300" s="3" t="n">
        <v>79.472758</v>
      </c>
      <c r="R2300" s="3" t="n">
        <v>85.613556</v>
      </c>
      <c r="S2300" s="3" t="n">
        <v>100.634155</v>
      </c>
      <c r="T2300" s="3" t="n">
        <v>91.38387400000001</v>
      </c>
      <c r="U2300" s="3" t="n">
        <v>91.774722</v>
      </c>
      <c r="V2300" s="3" t="n">
        <v>84.25896899999999</v>
      </c>
      <c r="W2300" s="3" t="n">
        <v>106.377869</v>
      </c>
      <c r="X2300" s="3" t="n">
        <v>122.253235</v>
      </c>
      <c r="Y2300" s="3" t="n">
        <v>144.836388</v>
      </c>
      <c r="Z2300" s="3" t="n">
        <v>137.987791</v>
      </c>
      <c r="AA2300" s="3" t="n">
        <v>143.964116</v>
      </c>
      <c r="AB2300" s="3" t="n">
        <v>144.364136</v>
      </c>
      <c r="AC2300" s="3" t="n">
        <v>179.41791</v>
      </c>
      <c r="AD2300" s="3" t="n">
        <v>173.260899</v>
      </c>
      <c r="AE2300" s="3" t="n">
        <v>182.19432</v>
      </c>
      <c r="AF2300" s="3" t="n">
        <v>189.658935</v>
      </c>
      <c r="AG2300" s="3" t="n">
        <v>197.144905</v>
      </c>
      <c r="AH2300" s="3" t="n">
        <v>203.317603</v>
      </c>
      <c r="AI2300" s="3" t="n">
        <v>208.963626</v>
      </c>
      <c r="AJ2300" s="3" t="n">
        <v>213.628072</v>
      </c>
      <c r="AK2300" s="3" t="n">
        <v>217.993266</v>
      </c>
      <c r="AL2300" s="3" t="n">
        <v>222.471873</v>
      </c>
      <c r="AM2300" s="3" t="n"/>
      <c r="AN2300" s="3" t="n"/>
      <c r="AO2300" s="3" t="n"/>
      <c r="AP2300" s="3" t="n"/>
      <c r="AQ2300" s="3" t="n"/>
      <c r="AR2300" s="3" t="n"/>
      <c r="AS2300" s="3" t="n"/>
      <c r="AT2300" s="3" t="n"/>
      <c r="AU2300" s="3" t="n"/>
    </row>
    <row r="2301">
      <c r="A2301" s="3" t="n">
        <v>2031</v>
      </c>
      <c r="B2301" s="3" t="inlineStr">
        <is>
          <t>NRU</t>
        </is>
      </c>
      <c r="C2301" s="3" t="inlineStr">
        <is>
          <t>IMF.RES:WEO</t>
        </is>
      </c>
      <c r="D2301" s="3" t="inlineStr">
        <is>
          <t>NRU.NGDP_R.A</t>
        </is>
      </c>
      <c r="E2301" s="3" t="inlineStr">
        <is>
          <t>Nauru, Republic of</t>
        </is>
      </c>
      <c r="F2301" s="3" t="inlineStr">
        <is>
          <t>Gross domestic product (GDP), Constant prices, Domestic currency</t>
        </is>
      </c>
      <c r="G2301" s="3" t="n"/>
      <c r="H2301" s="3" t="n"/>
      <c r="I2301" s="3" t="n"/>
      <c r="J2301" s="3" t="n"/>
      <c r="K2301" s="3" t="n">
        <v>0.071244</v>
      </c>
      <c r="L2301" s="3" t="n">
        <v>0.07099</v>
      </c>
      <c r="M2301" s="3" t="n">
        <v>0.076903</v>
      </c>
      <c r="N2301" s="3" t="n">
        <v>0.059842</v>
      </c>
      <c r="O2301" s="3" t="n">
        <v>0.072038</v>
      </c>
      <c r="P2301" s="3" t="n">
        <v>0.067966</v>
      </c>
      <c r="Q2301" s="3" t="n">
        <v>0.067858</v>
      </c>
      <c r="R2301" s="3" t="n">
        <v>0.077626</v>
      </c>
      <c r="S2301" s="3" t="n">
        <v>0.097249</v>
      </c>
      <c r="T2301" s="3" t="n">
        <v>0.100796</v>
      </c>
      <c r="U2301" s="3" t="n">
        <v>0.11735</v>
      </c>
      <c r="V2301" s="3" t="n">
        <v>0.120516</v>
      </c>
      <c r="W2301" s="3" t="n">
        <v>0.125775</v>
      </c>
      <c r="X2301" s="3" t="n">
        <v>0.118214</v>
      </c>
      <c r="Y2301" s="3" t="n">
        <v>0.116773</v>
      </c>
      <c r="Z2301" s="3" t="n">
        <v>0.126683</v>
      </c>
      <c r="AA2301" s="3" t="n">
        <v>0.129194</v>
      </c>
      <c r="AB2301" s="3" t="n">
        <v>0.138504</v>
      </c>
      <c r="AC2301" s="3" t="n">
        <v>0.138658</v>
      </c>
      <c r="AD2301" s="3" t="n">
        <v>0.13829</v>
      </c>
      <c r="AE2301" s="3" t="n">
        <v>0.140246</v>
      </c>
      <c r="AF2301" s="3" t="n">
        <v>0.14335</v>
      </c>
      <c r="AG2301" s="3" t="n">
        <v>0.146404</v>
      </c>
      <c r="AH2301" s="3" t="n">
        <v>0.149332</v>
      </c>
      <c r="AI2301" s="3" t="n">
        <v>0.152283</v>
      </c>
      <c r="AJ2301" s="3" t="n">
        <v>0.155328</v>
      </c>
      <c r="AK2301" s="3" t="n">
        <v>0.15841</v>
      </c>
      <c r="AL2301" s="3" t="n">
        <v>0.161623</v>
      </c>
      <c r="AM2301" s="3" t="n"/>
      <c r="AN2301" s="3" t="n"/>
      <c r="AO2301" s="3" t="n"/>
      <c r="AP2301" s="3" t="n"/>
      <c r="AQ2301" s="3" t="n"/>
      <c r="AR2301" s="3" t="n"/>
      <c r="AS2301" s="3" t="n"/>
      <c r="AT2301" s="3" t="n"/>
      <c r="AU2301" s="3" t="n"/>
    </row>
    <row r="2302">
      <c r="A2302" s="3" t="n">
        <v>2031</v>
      </c>
      <c r="B2302" s="3" t="inlineStr">
        <is>
          <t>NRU</t>
        </is>
      </c>
      <c r="C2302" s="3" t="inlineStr">
        <is>
          <t>IMF.RES:WEO</t>
        </is>
      </c>
      <c r="D2302" s="3" t="inlineStr">
        <is>
          <t>NRU.NGDP_RPCH.A</t>
        </is>
      </c>
      <c r="E2302" s="3" t="inlineStr">
        <is>
          <t>Nauru, Republic of</t>
        </is>
      </c>
      <c r="F2302" s="3" t="inlineStr">
        <is>
          <t>Gross domestic product (GDP), Constant prices, Percent change</t>
        </is>
      </c>
      <c r="G2302" s="3" t="n"/>
      <c r="H2302" s="3" t="n"/>
      <c r="I2302" s="3" t="n"/>
      <c r="J2302" s="3" t="n"/>
      <c r="K2302" s="3" t="n"/>
      <c r="L2302" s="3" t="n">
        <v>-0.355649</v>
      </c>
      <c r="M2302" s="3" t="n">
        <v>8.328761</v>
      </c>
      <c r="N2302" s="3" t="n">
        <v>-22.185305</v>
      </c>
      <c r="O2302" s="3" t="n">
        <v>20.380908</v>
      </c>
      <c r="P2302" s="3" t="n">
        <v>-5.651933</v>
      </c>
      <c r="Q2302" s="3" t="n">
        <v>-0.159977</v>
      </c>
      <c r="R2302" s="3" t="n">
        <v>14.394633</v>
      </c>
      <c r="S2302" s="3" t="n">
        <v>25.279321</v>
      </c>
      <c r="T2302" s="3" t="n">
        <v>3.64774</v>
      </c>
      <c r="U2302" s="3" t="n">
        <v>16.423336</v>
      </c>
      <c r="V2302" s="3" t="n">
        <v>2.698017</v>
      </c>
      <c r="W2302" s="3" t="n">
        <v>4.363241</v>
      </c>
      <c r="X2302" s="3" t="n">
        <v>-6.01123</v>
      </c>
      <c r="Y2302" s="3" t="n">
        <v>-1.219122</v>
      </c>
      <c r="Z2302" s="3" t="n">
        <v>8.486737</v>
      </c>
      <c r="AA2302" s="3" t="n">
        <v>1.981819</v>
      </c>
      <c r="AB2302" s="3" t="n">
        <v>7.206595</v>
      </c>
      <c r="AC2302" s="3" t="n">
        <v>0.111215</v>
      </c>
      <c r="AD2302" s="3" t="n">
        <v>-0.265478</v>
      </c>
      <c r="AE2302" s="3" t="n">
        <v>1.414505</v>
      </c>
      <c r="AF2302" s="3" t="n">
        <v>2.213083</v>
      </c>
      <c r="AG2302" s="3" t="n">
        <v>2.130362</v>
      </c>
      <c r="AH2302" s="3" t="n">
        <v>1.999844</v>
      </c>
      <c r="AI2302" s="3" t="n">
        <v>1.975917</v>
      </c>
      <c r="AJ2302" s="3" t="n">
        <v>1.99989</v>
      </c>
      <c r="AK2302" s="3" t="n">
        <v>1.984209</v>
      </c>
      <c r="AL2302" s="3" t="n">
        <v>2.027987</v>
      </c>
      <c r="AM2302" s="3" t="n"/>
      <c r="AN2302" s="3" t="n"/>
      <c r="AO2302" s="3" t="n"/>
      <c r="AP2302" s="3" t="n"/>
      <c r="AQ2302" s="3" t="n"/>
      <c r="AR2302" s="3" t="n"/>
      <c r="AS2302" s="3" t="n"/>
      <c r="AT2302" s="3" t="n"/>
      <c r="AU2302" s="3" t="n"/>
    </row>
    <row r="2303">
      <c r="A2303" s="3" t="n">
        <v>2031</v>
      </c>
      <c r="B2303" s="3" t="inlineStr">
        <is>
          <t>NRU</t>
        </is>
      </c>
      <c r="C2303" s="3" t="inlineStr">
        <is>
          <t>IMF.RES:WEO</t>
        </is>
      </c>
      <c r="D2303" s="3" t="inlineStr">
        <is>
          <t>NRU.NGDPD.A</t>
        </is>
      </c>
      <c r="E2303" s="3" t="inlineStr">
        <is>
          <t>Nauru, Republic of</t>
        </is>
      </c>
      <c r="F2303" s="3" t="inlineStr">
        <is>
          <t>Gross domestic product (GDP), Current prices, US dollar</t>
        </is>
      </c>
      <c r="G2303" s="3" t="n"/>
      <c r="H2303" s="3" t="n"/>
      <c r="I2303" s="3" t="n"/>
      <c r="J2303" s="3" t="n"/>
      <c r="K2303" s="3" t="n">
        <v>0.03184</v>
      </c>
      <c r="L2303" s="3" t="n">
        <v>0.030807</v>
      </c>
      <c r="M2303" s="3" t="n">
        <v>0.029399</v>
      </c>
      <c r="N2303" s="3" t="n">
        <v>0.02467</v>
      </c>
      <c r="O2303" s="3" t="n">
        <v>0.035565</v>
      </c>
      <c r="P2303" s="3" t="n">
        <v>0.047373</v>
      </c>
      <c r="Q2303" s="3" t="n">
        <v>0.049587</v>
      </c>
      <c r="R2303" s="3" t="n">
        <v>0.06859899999999999</v>
      </c>
      <c r="S2303" s="3" t="n">
        <v>0.101369</v>
      </c>
      <c r="T2303" s="3" t="n">
        <v>0.089203</v>
      </c>
      <c r="U2303" s="3" t="n">
        <v>0.097218</v>
      </c>
      <c r="V2303" s="3" t="n">
        <v>0.07642500000000001</v>
      </c>
      <c r="W2303" s="3" t="n">
        <v>0.09952999999999999</v>
      </c>
      <c r="X2303" s="3" t="n">
        <v>0.10901</v>
      </c>
      <c r="Y2303" s="3" t="n">
        <v>0.131147</v>
      </c>
      <c r="Z2303" s="3" t="n">
        <v>0.125063</v>
      </c>
      <c r="AA2303" s="3" t="n">
        <v>0.124834</v>
      </c>
      <c r="AB2303" s="3" t="n">
        <v>0.149425</v>
      </c>
      <c r="AC2303" s="3" t="n">
        <v>0.180571</v>
      </c>
      <c r="AD2303" s="3" t="n">
        <v>0.161359</v>
      </c>
      <c r="AE2303" s="3" t="n">
        <v>0.167565</v>
      </c>
      <c r="AF2303" s="3" t="n">
        <v>0.1761</v>
      </c>
      <c r="AG2303" s="3" t="n">
        <v>0.19591</v>
      </c>
      <c r="AH2303" s="3" t="n">
        <v>0.214016</v>
      </c>
      <c r="AI2303" s="3" t="n">
        <v>0.223245</v>
      </c>
      <c r="AJ2303" s="3" t="n">
        <v>0.232793</v>
      </c>
      <c r="AK2303" s="3" t="n">
        <v>0.242263</v>
      </c>
      <c r="AL2303" s="3" t="n">
        <v>0.252255</v>
      </c>
      <c r="AM2303" s="3" t="n"/>
      <c r="AN2303" s="3" t="n"/>
      <c r="AO2303" s="3" t="n"/>
      <c r="AP2303" s="3" t="n"/>
      <c r="AQ2303" s="3" t="n"/>
      <c r="AR2303" s="3" t="n"/>
      <c r="AS2303" s="3" t="n"/>
      <c r="AT2303" s="3" t="n"/>
      <c r="AU2303" s="3" t="n"/>
    </row>
    <row r="2304">
      <c r="A2304" s="3" t="n">
        <v>2031</v>
      </c>
      <c r="B2304" s="3" t="inlineStr">
        <is>
          <t>NRU</t>
        </is>
      </c>
      <c r="C2304" s="3" t="inlineStr">
        <is>
          <t>IMF.RES:WEO</t>
        </is>
      </c>
      <c r="D2304" s="3" t="inlineStr">
        <is>
          <t>NRU.NGDPPC.A</t>
        </is>
      </c>
      <c r="E2304" s="3" t="inlineStr">
        <is>
          <t>Nauru, Republic of</t>
        </is>
      </c>
      <c r="F2304" s="3" t="inlineStr">
        <is>
          <t>Gross domestic product (GDP), Current prices, Per capita, Domestic currency</t>
        </is>
      </c>
      <c r="G2304" s="3" t="n"/>
      <c r="H2304" s="3" t="n"/>
      <c r="I2304" s="3" t="n"/>
      <c r="J2304" s="3" t="n"/>
      <c r="K2304" s="3" t="n">
        <v>4296.916527</v>
      </c>
      <c r="L2304" s="3" t="n">
        <v>4013.437284</v>
      </c>
      <c r="M2304" s="3" t="n">
        <v>3889.263378</v>
      </c>
      <c r="N2304" s="3" t="n">
        <v>2936.110921</v>
      </c>
      <c r="O2304" s="3" t="n">
        <v>4154.677243</v>
      </c>
      <c r="P2304" s="3" t="n">
        <v>5977.133808</v>
      </c>
      <c r="Q2304" s="3" t="n">
        <v>5369.748978</v>
      </c>
      <c r="R2304" s="3" t="n">
        <v>6581.304495</v>
      </c>
      <c r="S2304" s="3" t="n">
        <v>9532.04412</v>
      </c>
      <c r="T2304" s="3" t="n">
        <v>8758.338625</v>
      </c>
      <c r="U2304" s="3" t="n">
        <v>10025.868591</v>
      </c>
      <c r="V2304" s="3" t="n">
        <v>9270.209321</v>
      </c>
      <c r="W2304" s="3" t="n">
        <v>11999.692429</v>
      </c>
      <c r="X2304" s="3" t="n">
        <v>12762.33553</v>
      </c>
      <c r="Y2304" s="3" t="n">
        <v>14736.41514</v>
      </c>
      <c r="Z2304" s="3" t="n">
        <v>15086.511991</v>
      </c>
      <c r="AA2304" s="3" t="n">
        <v>15974.648189</v>
      </c>
      <c r="AB2304" s="3" t="n">
        <v>17076.660935</v>
      </c>
      <c r="AC2304" s="3" t="n">
        <v>21081.094822</v>
      </c>
      <c r="AD2304" s="3" t="n">
        <v>20177.094737</v>
      </c>
      <c r="AE2304" s="3" t="n">
        <v>21387.879802</v>
      </c>
      <c r="AF2304" s="3" t="n">
        <v>22515.908651</v>
      </c>
      <c r="AG2304" s="3" t="n">
        <v>23650.121717</v>
      </c>
      <c r="AH2304" s="3" t="n">
        <v>24614.957635</v>
      </c>
      <c r="AI2304" s="3" t="n">
        <v>25525.203133</v>
      </c>
      <c r="AJ2304" s="3" t="n">
        <v>26334.999502</v>
      </c>
      <c r="AK2304" s="3" t="n">
        <v>27116.1348</v>
      </c>
      <c r="AL2304" s="3" t="n">
        <v>27935.465716</v>
      </c>
      <c r="AM2304" s="3" t="n"/>
      <c r="AN2304" s="3" t="n"/>
      <c r="AO2304" s="3" t="n"/>
      <c r="AP2304" s="3" t="n"/>
      <c r="AQ2304" s="3" t="n"/>
      <c r="AR2304" s="3" t="n"/>
      <c r="AS2304" s="3" t="n"/>
      <c r="AT2304" s="3" t="n"/>
      <c r="AU2304" s="3" t="n"/>
    </row>
    <row r="2305">
      <c r="A2305" s="3" t="n">
        <v>2031</v>
      </c>
      <c r="B2305" s="3" t="inlineStr">
        <is>
          <t>NRU</t>
        </is>
      </c>
      <c r="C2305" s="3" t="inlineStr">
        <is>
          <t>IMF.RES:WEO</t>
        </is>
      </c>
      <c r="D2305" s="3" t="inlineStr">
        <is>
          <t>NRU.NGDPRPC.A</t>
        </is>
      </c>
      <c r="E2305" s="3" t="inlineStr">
        <is>
          <t>Nauru, Republic of</t>
        </is>
      </c>
      <c r="F2305" s="3" t="inlineStr">
        <is>
          <t>Gross domestic product (GDP), Constant prices, Per capita, Domestic currency</t>
        </is>
      </c>
      <c r="G2305" s="3" t="n"/>
      <c r="H2305" s="3" t="n"/>
      <c r="I2305" s="3" t="n"/>
      <c r="J2305" s="3" t="n"/>
      <c r="K2305" s="3" t="n">
        <v>7081.867713</v>
      </c>
      <c r="L2305" s="3" t="n">
        <v>7064.405629</v>
      </c>
      <c r="M2305" s="3" t="n">
        <v>7664.223354</v>
      </c>
      <c r="N2305" s="3" t="n">
        <v>5972.224812</v>
      </c>
      <c r="O2305" s="3" t="n">
        <v>7197.319681</v>
      </c>
      <c r="P2305" s="3" t="n">
        <v>6785.78623</v>
      </c>
      <c r="Q2305" s="3" t="n">
        <v>6756.716547</v>
      </c>
      <c r="R2305" s="3" t="n">
        <v>7687.222426</v>
      </c>
      <c r="S2305" s="3" t="n">
        <v>9471.977131</v>
      </c>
      <c r="T2305" s="3" t="n">
        <v>9584.118340999999</v>
      </c>
      <c r="U2305" s="3" t="n">
        <v>10924.433656</v>
      </c>
      <c r="V2305" s="3" t="n">
        <v>11002.044622</v>
      </c>
      <c r="W2305" s="3" t="n">
        <v>11280.252652</v>
      </c>
      <c r="X2305" s="3" t="n">
        <v>10439.262058</v>
      </c>
      <c r="Y2305" s="3" t="n">
        <v>10174.525413</v>
      </c>
      <c r="Z2305" s="3" t="n">
        <v>10933.22236</v>
      </c>
      <c r="AA2305" s="3" t="n">
        <v>11096.270787</v>
      </c>
      <c r="AB2305" s="3" t="n">
        <v>11828.880357</v>
      </c>
      <c r="AC2305" s="3" t="n">
        <v>11749.715951</v>
      </c>
      <c r="AD2305" s="3" t="n">
        <v>11645.498126</v>
      </c>
      <c r="AE2305" s="3" t="n">
        <v>11739.048603</v>
      </c>
      <c r="AF2305" s="3" t="n">
        <v>11871.78903</v>
      </c>
      <c r="AG2305" s="3" t="n">
        <v>11996.31392</v>
      </c>
      <c r="AH2305" s="3" t="n">
        <v>12106.653441</v>
      </c>
      <c r="AI2305" s="3" t="n">
        <v>12215.141745</v>
      </c>
      <c r="AJ2305" s="3" t="n">
        <v>12327.4995</v>
      </c>
      <c r="AK2305" s="3" t="n">
        <v>12438.978196</v>
      </c>
      <c r="AL2305" s="3" t="n">
        <v>12556.852832</v>
      </c>
      <c r="AM2305" s="3" t="n"/>
      <c r="AN2305" s="3" t="n"/>
      <c r="AO2305" s="3" t="n"/>
      <c r="AP2305" s="3" t="n"/>
      <c r="AQ2305" s="3" t="n"/>
      <c r="AR2305" s="3" t="n"/>
      <c r="AS2305" s="3" t="n"/>
      <c r="AT2305" s="3" t="n"/>
      <c r="AU2305" s="3" t="n"/>
    </row>
    <row r="2306">
      <c r="A2306" s="3" t="n">
        <v>2031</v>
      </c>
      <c r="B2306" s="3" t="inlineStr">
        <is>
          <t>NRU</t>
        </is>
      </c>
      <c r="C2306" s="3" t="inlineStr">
        <is>
          <t>IMF.RES:WEO</t>
        </is>
      </c>
      <c r="D2306" s="3" t="inlineStr">
        <is>
          <t>NRU.PCPI.A</t>
        </is>
      </c>
      <c r="E2306" s="3" t="inlineStr">
        <is>
          <t>Nauru, Republic of</t>
        </is>
      </c>
      <c r="F2306" s="3" t="inlineStr">
        <is>
          <t>All Items, Consumer price index (CPI), Period average</t>
        </is>
      </c>
      <c r="G2306" s="3" t="n"/>
      <c r="H2306" s="3" t="n"/>
      <c r="I2306" s="3" t="n"/>
      <c r="J2306" s="3" t="n"/>
      <c r="K2306" s="3" t="n">
        <v>52.555792</v>
      </c>
      <c r="L2306" s="3" t="n">
        <v>57.10836</v>
      </c>
      <c r="M2306" s="3" t="n">
        <v>68.131367</v>
      </c>
      <c r="N2306" s="3" t="n">
        <v>71.947165</v>
      </c>
      <c r="O2306" s="3" t="n">
        <v>72.691841</v>
      </c>
      <c r="P2306" s="3" t="n">
        <v>88.99082300000001</v>
      </c>
      <c r="Q2306" s="3" t="n">
        <v>87.239338</v>
      </c>
      <c r="R2306" s="3" t="n">
        <v>84.299312</v>
      </c>
      <c r="S2306" s="3" t="n">
        <v>84.520264</v>
      </c>
      <c r="T2306" s="3" t="n">
        <v>83.586561</v>
      </c>
      <c r="U2306" s="3" t="n">
        <v>83.816759</v>
      </c>
      <c r="V2306" s="3" t="n">
        <v>92.017449</v>
      </c>
      <c r="W2306" s="3" t="n">
        <v>99.50869299999999</v>
      </c>
      <c r="X2306" s="3" t="n">
        <v>103.950946</v>
      </c>
      <c r="Y2306" s="3" t="n">
        <v>105.062947</v>
      </c>
      <c r="Z2306" s="3" t="n">
        <v>109.364259</v>
      </c>
      <c r="AA2306" s="3" t="n">
        <v>110.382105</v>
      </c>
      <c r="AB2306" s="3" t="n">
        <v>112.597538</v>
      </c>
      <c r="AC2306" s="3" t="n">
        <v>113.887376</v>
      </c>
      <c r="AD2306" s="3" t="n">
        <v>119.333941</v>
      </c>
      <c r="AE2306" s="3" t="n">
        <v>130.400504</v>
      </c>
      <c r="AF2306" s="3" t="n">
        <v>138.389027</v>
      </c>
      <c r="AG2306" s="3" t="n">
        <v>145.944777</v>
      </c>
      <c r="AH2306" s="3" t="n">
        <v>152.011494</v>
      </c>
      <c r="AI2306" s="3" t="n">
        <v>157.241424</v>
      </c>
      <c r="AJ2306" s="3" t="n">
        <v>161.497584</v>
      </c>
      <c r="AK2306" s="3" t="n">
        <v>165.46944</v>
      </c>
      <c r="AL2306" s="3" t="n">
        <v>169.606176</v>
      </c>
      <c r="AM2306" s="3" t="n"/>
      <c r="AN2306" s="3" t="n"/>
      <c r="AO2306" s="3" t="n"/>
      <c r="AP2306" s="3" t="n"/>
      <c r="AQ2306" s="3" t="n"/>
      <c r="AR2306" s="3" t="n"/>
      <c r="AS2306" s="3" t="n"/>
      <c r="AT2306" s="3" t="n"/>
      <c r="AU2306" s="3" t="n"/>
    </row>
    <row r="2307">
      <c r="A2307" s="3" t="n">
        <v>2031</v>
      </c>
      <c r="B2307" s="3" t="inlineStr">
        <is>
          <t>NRU</t>
        </is>
      </c>
      <c r="C2307" s="3" t="inlineStr">
        <is>
          <t>IMF.RES:WEO</t>
        </is>
      </c>
      <c r="D2307" s="3" t="inlineStr">
        <is>
          <t>NRU.PCPIPCH.A</t>
        </is>
      </c>
      <c r="E2307" s="3" t="inlineStr">
        <is>
          <t>Nauru, Republic of</t>
        </is>
      </c>
      <c r="F2307" s="3" t="inlineStr">
        <is>
          <t>All Items, Consumer price index (CPI), Period average, percent change</t>
        </is>
      </c>
      <c r="G2307" s="3" t="n"/>
      <c r="H2307" s="3" t="n"/>
      <c r="I2307" s="3" t="n"/>
      <c r="J2307" s="3" t="n"/>
      <c r="K2307" s="3" t="n"/>
      <c r="L2307" s="3" t="n">
        <v>8.662353</v>
      </c>
      <c r="M2307" s="3" t="n">
        <v>19.301915</v>
      </c>
      <c r="N2307" s="3" t="n">
        <v>5.600647</v>
      </c>
      <c r="O2307" s="3" t="n">
        <v>1.035031</v>
      </c>
      <c r="P2307" s="3" t="n">
        <v>22.422024</v>
      </c>
      <c r="Q2307" s="3" t="n">
        <v>-1.968163</v>
      </c>
      <c r="R2307" s="3" t="n">
        <v>-3.370069</v>
      </c>
      <c r="S2307" s="3" t="n">
        <v>0.262104</v>
      </c>
      <c r="T2307" s="3" t="n">
        <v>-1.104708</v>
      </c>
      <c r="U2307" s="3" t="n">
        <v>0.2754</v>
      </c>
      <c r="V2307" s="3" t="n">
        <v>9.78407</v>
      </c>
      <c r="W2307" s="3" t="n">
        <v>8.141112</v>
      </c>
      <c r="X2307" s="3" t="n">
        <v>4.464186</v>
      </c>
      <c r="Y2307" s="3" t="n">
        <v>1.069737</v>
      </c>
      <c r="Z2307" s="3" t="n">
        <v>4.094033</v>
      </c>
      <c r="AA2307" s="3" t="n">
        <v>0.930694</v>
      </c>
      <c r="AB2307" s="3" t="n">
        <v>2.007058</v>
      </c>
      <c r="AC2307" s="3" t="n">
        <v>1.145529</v>
      </c>
      <c r="AD2307" s="3" t="n">
        <v>4.782414</v>
      </c>
      <c r="AE2307" s="3" t="n">
        <v>9.273609</v>
      </c>
      <c r="AF2307" s="3" t="n">
        <v>6.126144</v>
      </c>
      <c r="AG2307" s="3" t="n">
        <v>5.45979</v>
      </c>
      <c r="AH2307" s="3" t="n">
        <v>4.156858</v>
      </c>
      <c r="AI2307" s="3" t="n">
        <v>3.440483</v>
      </c>
      <c r="AJ2307" s="3" t="n">
        <v>2.706768</v>
      </c>
      <c r="AK2307" s="3" t="n">
        <v>2.45939</v>
      </c>
      <c r="AL2307" s="3" t="n">
        <v>2.5</v>
      </c>
      <c r="AM2307" s="3" t="n"/>
      <c r="AN2307" s="3" t="n"/>
      <c r="AO2307" s="3" t="n"/>
      <c r="AP2307" s="3" t="n"/>
      <c r="AQ2307" s="3" t="n"/>
      <c r="AR2307" s="3" t="n"/>
      <c r="AS2307" s="3" t="n"/>
      <c r="AT2307" s="3" t="n"/>
      <c r="AU2307" s="3" t="n"/>
    </row>
    <row r="2308">
      <c r="A2308" s="3" t="n">
        <v>2031</v>
      </c>
      <c r="B2308" s="3" t="inlineStr">
        <is>
          <t>NRU</t>
        </is>
      </c>
      <c r="C2308" s="3" t="inlineStr">
        <is>
          <t>IMF.RES:WEO</t>
        </is>
      </c>
      <c r="D2308" s="3" t="inlineStr">
        <is>
          <t>NRU.PPPPC.A</t>
        </is>
      </c>
      <c r="E2308" s="3" t="inlineStr">
        <is>
          <t>Nauru, Republic of</t>
        </is>
      </c>
      <c r="F2308" s="3" t="inlineStr">
        <is>
          <t>Gross domestic product (GDP), Per capita, purchasing power parity (PPP) international dollar, ICP benchmarks 2017-2021</t>
        </is>
      </c>
      <c r="G2308" s="3" t="n"/>
      <c r="H2308" s="3" t="n"/>
      <c r="I2308" s="3" t="n"/>
      <c r="J2308" s="3" t="n"/>
      <c r="K2308" s="3" t="n">
        <v>4335.647054</v>
      </c>
      <c r="L2308" s="3" t="n">
        <v>4460.579339</v>
      </c>
      <c r="M2308" s="3" t="n">
        <v>4988.552637</v>
      </c>
      <c r="N2308" s="3" t="n">
        <v>3992.566852</v>
      </c>
      <c r="O2308" s="3" t="n">
        <v>4904.261009</v>
      </c>
      <c r="P2308" s="3" t="n">
        <v>4652.358865</v>
      </c>
      <c r="Q2308" s="3" t="n">
        <v>4688.729947</v>
      </c>
      <c r="R2308" s="3" t="n">
        <v>5444.504405</v>
      </c>
      <c r="S2308" s="3" t="n">
        <v>6833.47259</v>
      </c>
      <c r="T2308" s="3" t="n">
        <v>7032.058873</v>
      </c>
      <c r="U2308" s="3" t="n">
        <v>8155.081682</v>
      </c>
      <c r="V2308" s="3" t="n">
        <v>8289.239390999999</v>
      </c>
      <c r="W2308" s="3" t="n">
        <v>8579.606947</v>
      </c>
      <c r="X2308" s="3" t="n">
        <v>8082.15686</v>
      </c>
      <c r="Y2308" s="3" t="n">
        <v>8057.645566</v>
      </c>
      <c r="Z2308" s="3" t="n">
        <v>8801.410683</v>
      </c>
      <c r="AA2308" s="3" t="n">
        <v>9052.779146000001</v>
      </c>
      <c r="AB2308" s="3" t="n">
        <v>10090.83951</v>
      </c>
      <c r="AC2308" s="3" t="n">
        <v>10736.205973</v>
      </c>
      <c r="AD2308" s="3" t="n">
        <v>11034.697526</v>
      </c>
      <c r="AE2308" s="3" t="n">
        <v>11399.483259</v>
      </c>
      <c r="AF2308" s="3" t="n">
        <v>11855.417357</v>
      </c>
      <c r="AG2308" s="3" t="n">
        <v>12322.973077</v>
      </c>
      <c r="AH2308" s="3" t="n">
        <v>12709.40648</v>
      </c>
      <c r="AI2308" s="3" t="n">
        <v>13033.776449</v>
      </c>
      <c r="AJ2308" s="3" t="n">
        <v>13387.550627</v>
      </c>
      <c r="AK2308" s="3" t="n">
        <v>13756.839896</v>
      </c>
      <c r="AL2308" s="3" t="n">
        <v>14137.908817</v>
      </c>
      <c r="AM2308" s="3" t="n"/>
      <c r="AN2308" s="3" t="n"/>
      <c r="AO2308" s="3" t="n"/>
      <c r="AP2308" s="3" t="n"/>
      <c r="AQ2308" s="3" t="n"/>
      <c r="AR2308" s="3" t="n"/>
      <c r="AS2308" s="3" t="n"/>
      <c r="AT2308" s="3" t="n"/>
      <c r="AU2308" s="3" t="n"/>
    </row>
    <row r="2309">
      <c r="A2309" s="3" t="n">
        <v>2025</v>
      </c>
      <c r="B2309" s="3" t="inlineStr">
        <is>
          <t>NRU</t>
        </is>
      </c>
      <c r="C2309" s="3" t="inlineStr">
        <is>
          <t>IMF.STA:ER</t>
        </is>
      </c>
      <c r="D2309" s="3" t="inlineStr">
        <is>
          <t>NRU.XDC_USD.PA_RT.A</t>
        </is>
      </c>
      <c r="E2309" s="3" t="inlineStr">
        <is>
          <t>Nauru, Republic of</t>
        </is>
      </c>
      <c r="F2309" s="3" t="inlineStr">
        <is>
          <t>Domestic currency per US Dollar</t>
        </is>
      </c>
      <c r="G2309" s="3" t="n">
        <v>1.72482666666667</v>
      </c>
      <c r="H2309" s="3" t="n">
        <v>1.9334425</v>
      </c>
      <c r="I2309" s="3" t="n">
        <v>1.8405625</v>
      </c>
      <c r="J2309" s="3" t="n">
        <v>1.54191416666667</v>
      </c>
      <c r="K2309" s="3" t="n">
        <v>1.3597525</v>
      </c>
      <c r="L2309" s="3" t="n">
        <v>1.30947333333333</v>
      </c>
      <c r="M2309" s="3" t="n">
        <v>1.3279734405</v>
      </c>
      <c r="N2309" s="3" t="n">
        <v>1.1950725</v>
      </c>
      <c r="O2309" s="3" t="n">
        <v>1.19217833333333</v>
      </c>
      <c r="P2309" s="3" t="n">
        <v>1.28218881008452</v>
      </c>
      <c r="Q2309" s="3" t="n">
        <v>1.09015948638677</v>
      </c>
      <c r="R2309" s="3" t="n">
        <v>0.969463201496735</v>
      </c>
      <c r="S2309" s="3" t="n">
        <v>0.965801030658708</v>
      </c>
      <c r="T2309" s="3" t="n">
        <v>1.03584309652054</v>
      </c>
      <c r="U2309" s="3" t="n">
        <v>1.10936329281692</v>
      </c>
      <c r="V2309" s="3" t="n">
        <v>1.33109026245502</v>
      </c>
      <c r="W2309" s="3" t="n">
        <v>1.34521397601947</v>
      </c>
      <c r="X2309" s="3" t="n">
        <v>1.30475807671592</v>
      </c>
      <c r="Y2309" s="3" t="n">
        <v>1.33841214646451</v>
      </c>
      <c r="Z2309" s="3" t="n">
        <v>1.43850654421382</v>
      </c>
      <c r="AA2309" s="3" t="n">
        <v>1.45308511847016</v>
      </c>
      <c r="AB2309" s="3" t="n">
        <v>1.33122425957081</v>
      </c>
      <c r="AC2309" s="3" t="n">
        <v>1.44166445896522</v>
      </c>
      <c r="AD2309" s="3" t="n">
        <v>1.50519106560508</v>
      </c>
      <c r="AE2309" s="3" t="n">
        <v>1.51535803855595</v>
      </c>
      <c r="AF2309" s="3" t="n">
        <v>1.5519978866485</v>
      </c>
      <c r="AG2309" s="3" t="n"/>
      <c r="AH2309" s="3" t="n"/>
      <c r="AI2309" s="3" t="n"/>
      <c r="AJ2309" s="3" t="n"/>
      <c r="AK2309" s="3" t="n"/>
      <c r="AL2309" s="3" t="n"/>
      <c r="AM2309" s="3" t="n"/>
      <c r="AN2309" s="3" t="n"/>
      <c r="AO2309" s="3" t="n"/>
      <c r="AP2309" s="3" t="n"/>
      <c r="AQ2309" s="3" t="n"/>
      <c r="AR2309" s="3" t="n"/>
      <c r="AS2309" s="3" t="n"/>
      <c r="AT2309" s="3" t="n"/>
      <c r="AU2309" s="3" t="n"/>
    </row>
    <row r="2310">
      <c r="A2310" s="3" t="n">
        <v>2031</v>
      </c>
      <c r="B2310" s="3" t="inlineStr">
        <is>
          <t>NZL</t>
        </is>
      </c>
      <c r="C2310" s="3" t="inlineStr">
        <is>
          <t>IMF.RES:WEO</t>
        </is>
      </c>
      <c r="D2310" s="3" t="inlineStr">
        <is>
          <t>NZL.BCA.A</t>
        </is>
      </c>
      <c r="E2310" s="3" t="inlineStr">
        <is>
          <t>New Zealand</t>
        </is>
      </c>
      <c r="F2310" s="3" t="inlineStr">
        <is>
          <t>Current account balance (credit less debit), US dollar</t>
        </is>
      </c>
      <c r="G2310" s="3" t="n">
        <v>-1.808905</v>
      </c>
      <c r="H2310" s="3" t="n">
        <v>-0.436632</v>
      </c>
      <c r="I2310" s="3" t="n">
        <v>-1.31979</v>
      </c>
      <c r="J2310" s="3" t="n">
        <v>-2.046082</v>
      </c>
      <c r="K2310" s="3" t="n">
        <v>-4.667979</v>
      </c>
      <c r="L2310" s="3" t="n">
        <v>-8.088851</v>
      </c>
      <c r="M2310" s="3" t="n">
        <v>-7.889477</v>
      </c>
      <c r="N2310" s="3" t="n">
        <v>-9.242765</v>
      </c>
      <c r="O2310" s="3" t="n">
        <v>-10.507825</v>
      </c>
      <c r="P2310" s="3" t="n">
        <v>-2.649984</v>
      </c>
      <c r="Q2310" s="3" t="n">
        <v>-3.326616</v>
      </c>
      <c r="R2310" s="3" t="n">
        <v>-4.671058</v>
      </c>
      <c r="S2310" s="3" t="n">
        <v>-6.885031</v>
      </c>
      <c r="T2310" s="3" t="n">
        <v>-5.934067</v>
      </c>
      <c r="U2310" s="3" t="n">
        <v>-6.267025</v>
      </c>
      <c r="V2310" s="3" t="n">
        <v>-4.972632</v>
      </c>
      <c r="W2310" s="3" t="n">
        <v>-3.861177</v>
      </c>
      <c r="X2310" s="3" t="n">
        <v>-5.981082</v>
      </c>
      <c r="Y2310" s="3" t="n">
        <v>-9.028460000000001</v>
      </c>
      <c r="Z2310" s="3" t="n">
        <v>-6.122107</v>
      </c>
      <c r="AA2310" s="3" t="n">
        <v>-2.089819</v>
      </c>
      <c r="AB2310" s="3" t="n">
        <v>-14.442783</v>
      </c>
      <c r="AC2310" s="3" t="n">
        <v>-22.110358</v>
      </c>
      <c r="AD2310" s="3" t="n">
        <v>-15.860185</v>
      </c>
      <c r="AE2310" s="3" t="n">
        <v>-12.104344</v>
      </c>
      <c r="AF2310" s="3" t="n">
        <v>-9.508093000000001</v>
      </c>
      <c r="AG2310" s="3" t="n">
        <v>-11.113675</v>
      </c>
      <c r="AH2310" s="3" t="n">
        <v>-10.994949</v>
      </c>
      <c r="AI2310" s="3" t="n">
        <v>-10.827807</v>
      </c>
      <c r="AJ2310" s="3" t="n">
        <v>-10.44058</v>
      </c>
      <c r="AK2310" s="3" t="n">
        <v>-10.212059</v>
      </c>
      <c r="AL2310" s="3" t="n">
        <v>-9.819146999999999</v>
      </c>
      <c r="AM2310" s="3" t="n"/>
      <c r="AN2310" s="3" t="n"/>
      <c r="AO2310" s="3" t="n"/>
      <c r="AP2310" s="3" t="n"/>
      <c r="AQ2310" s="3" t="n"/>
      <c r="AR2310" s="3" t="n"/>
      <c r="AS2310" s="3" t="n"/>
      <c r="AT2310" s="3" t="n"/>
      <c r="AU2310" s="3" t="n"/>
    </row>
    <row r="2311">
      <c r="A2311" s="3" t="n">
        <v>2031</v>
      </c>
      <c r="B2311" s="3" t="inlineStr">
        <is>
          <t>NZL</t>
        </is>
      </c>
      <c r="C2311" s="3" t="inlineStr">
        <is>
          <t>IMF.RES:WEO</t>
        </is>
      </c>
      <c r="D2311" s="3" t="inlineStr">
        <is>
          <t>NZL.BCA_NGDPD.A</t>
        </is>
      </c>
      <c r="E2311" s="3" t="inlineStr">
        <is>
          <t>New Zealand</t>
        </is>
      </c>
      <c r="F2311" s="3" t="inlineStr">
        <is>
          <t>Current account balance (credit less debit), Percent of GDP</t>
        </is>
      </c>
      <c r="G2311" s="3" t="n">
        <v>-3.341952</v>
      </c>
      <c r="H2311" s="3" t="n">
        <v>-0.821846</v>
      </c>
      <c r="I2311" s="3" t="n">
        <v>-2.126593</v>
      </c>
      <c r="J2311" s="3" t="n">
        <v>-2.482866</v>
      </c>
      <c r="K2311" s="3" t="n">
        <v>-4.594501</v>
      </c>
      <c r="L2311" s="3" t="n">
        <v>-7.141525</v>
      </c>
      <c r="M2311" s="3" t="n">
        <v>-7.189105</v>
      </c>
      <c r="N2311" s="3" t="n">
        <v>-6.854123</v>
      </c>
      <c r="O2311" s="3" t="n">
        <v>-7.748323</v>
      </c>
      <c r="P2311" s="3" t="n">
        <v>-2.17206</v>
      </c>
      <c r="Q2311" s="3" t="n">
        <v>-2.282536</v>
      </c>
      <c r="R2311" s="3" t="n">
        <v>-2.794515</v>
      </c>
      <c r="S2311" s="3" t="n">
        <v>-3.927226</v>
      </c>
      <c r="T2311" s="3" t="n">
        <v>-3.169469</v>
      </c>
      <c r="U2311" s="3" t="n">
        <v>-3.130005</v>
      </c>
      <c r="V2311" s="3" t="n">
        <v>-2.819345</v>
      </c>
      <c r="W2311" s="3" t="n">
        <v>-2.076143</v>
      </c>
      <c r="X2311" s="3" t="n">
        <v>-2.936752</v>
      </c>
      <c r="Y2311" s="3" t="n">
        <v>-4.309757</v>
      </c>
      <c r="Z2311" s="3" t="n">
        <v>-2.901993</v>
      </c>
      <c r="AA2311" s="3" t="n">
        <v>-0.991189</v>
      </c>
      <c r="AB2311" s="3" t="n">
        <v>-5.783584</v>
      </c>
      <c r="AC2311" s="3" t="n">
        <v>-9.018556999999999</v>
      </c>
      <c r="AD2311" s="3" t="n">
        <v>-6.252787</v>
      </c>
      <c r="AE2311" s="3" t="n">
        <v>-4.67662</v>
      </c>
      <c r="AF2311" s="3" t="n">
        <v>-3.673461</v>
      </c>
      <c r="AG2311" s="3" t="n">
        <v>-3.988593</v>
      </c>
      <c r="AH2311" s="3" t="n">
        <v>-3.785465</v>
      </c>
      <c r="AI2311" s="3" t="n">
        <v>-3.586182</v>
      </c>
      <c r="AJ2311" s="3" t="n">
        <v>-3.321185</v>
      </c>
      <c r="AK2311" s="3" t="n">
        <v>-3.1217</v>
      </c>
      <c r="AL2311" s="3" t="n">
        <v>-2.888533</v>
      </c>
      <c r="AM2311" s="3" t="n"/>
      <c r="AN2311" s="3" t="n"/>
      <c r="AO2311" s="3" t="n"/>
      <c r="AP2311" s="3" t="n"/>
      <c r="AQ2311" s="3" t="n"/>
      <c r="AR2311" s="3" t="n"/>
      <c r="AS2311" s="3" t="n"/>
      <c r="AT2311" s="3" t="n"/>
      <c r="AU2311" s="3" t="n"/>
    </row>
    <row r="2312">
      <c r="A2312" s="3" t="n">
        <v>2031</v>
      </c>
      <c r="B2312" s="3" t="inlineStr">
        <is>
          <t>NZL</t>
        </is>
      </c>
      <c r="C2312" s="3" t="inlineStr">
        <is>
          <t>IMF.RES:WEO</t>
        </is>
      </c>
      <c r="D2312" s="3" t="inlineStr">
        <is>
          <t>NZL.GGR_NGDP.A</t>
        </is>
      </c>
      <c r="E2312" s="3" t="inlineStr">
        <is>
          <t>New Zealand</t>
        </is>
      </c>
      <c r="F2312" s="3" t="inlineStr">
        <is>
          <t>Revenue, General government, Percent of GDP</t>
        </is>
      </c>
      <c r="G2312" s="3" t="n">
        <v>38.425726</v>
      </c>
      <c r="H2312" s="3" t="n">
        <v>38.47778</v>
      </c>
      <c r="I2312" s="3" t="n">
        <v>39.269519</v>
      </c>
      <c r="J2312" s="3" t="n">
        <v>40.311739</v>
      </c>
      <c r="K2312" s="3" t="n">
        <v>40.596495</v>
      </c>
      <c r="L2312" s="3" t="n">
        <v>42.185552</v>
      </c>
      <c r="M2312" s="3" t="n">
        <v>42.410732</v>
      </c>
      <c r="N2312" s="3" t="n">
        <v>40.626589</v>
      </c>
      <c r="O2312" s="3" t="n">
        <v>39.916427</v>
      </c>
      <c r="P2312" s="3" t="n">
        <v>38.482054</v>
      </c>
      <c r="Q2312" s="3" t="n">
        <v>37.362414</v>
      </c>
      <c r="R2312" s="3" t="n">
        <v>37.35676</v>
      </c>
      <c r="S2312" s="3" t="n">
        <v>37.475091</v>
      </c>
      <c r="T2312" s="3" t="n">
        <v>37.272381</v>
      </c>
      <c r="U2312" s="3" t="n">
        <v>37.279555</v>
      </c>
      <c r="V2312" s="3" t="n">
        <v>37.525559</v>
      </c>
      <c r="W2312" s="3" t="n">
        <v>37.359701</v>
      </c>
      <c r="X2312" s="3" t="n">
        <v>36.933653</v>
      </c>
      <c r="Y2312" s="3" t="n">
        <v>37.375213</v>
      </c>
      <c r="Z2312" s="3" t="n">
        <v>36.30335</v>
      </c>
      <c r="AA2312" s="3" t="n">
        <v>37.674113</v>
      </c>
      <c r="AB2312" s="3" t="n">
        <v>38.454613</v>
      </c>
      <c r="AC2312" s="3" t="n">
        <v>37.70918</v>
      </c>
      <c r="AD2312" s="3" t="n">
        <v>37.798574</v>
      </c>
      <c r="AE2312" s="3" t="n">
        <v>38.505157</v>
      </c>
      <c r="AF2312" s="3" t="n">
        <v>37.692698</v>
      </c>
      <c r="AG2312" s="3" t="n">
        <v>37.235405</v>
      </c>
      <c r="AH2312" s="3" t="n">
        <v>37.253403</v>
      </c>
      <c r="AI2312" s="3" t="n">
        <v>37.344162</v>
      </c>
      <c r="AJ2312" s="3" t="n">
        <v>37.524859</v>
      </c>
      <c r="AK2312" s="3" t="n">
        <v>36.798198</v>
      </c>
      <c r="AL2312" s="3" t="n">
        <v>36.843755</v>
      </c>
      <c r="AM2312" s="3" t="n"/>
      <c r="AN2312" s="3" t="n"/>
      <c r="AO2312" s="3" t="n"/>
      <c r="AP2312" s="3" t="n"/>
      <c r="AQ2312" s="3" t="n"/>
      <c r="AR2312" s="3" t="n"/>
      <c r="AS2312" s="3" t="n"/>
      <c r="AT2312" s="3" t="n"/>
      <c r="AU2312" s="3" t="n"/>
    </row>
    <row r="2313">
      <c r="A2313" s="3" t="n">
        <v>2031</v>
      </c>
      <c r="B2313" s="3" t="inlineStr">
        <is>
          <t>NZL</t>
        </is>
      </c>
      <c r="C2313" s="3" t="inlineStr">
        <is>
          <t>IMF.RES:WEO</t>
        </is>
      </c>
      <c r="D2313" s="3" t="inlineStr">
        <is>
          <t>NZL.GGX_NGDP.A</t>
        </is>
      </c>
      <c r="E2313" s="3" t="inlineStr">
        <is>
          <t>New Zealand</t>
        </is>
      </c>
      <c r="F2313" s="3" t="inlineStr">
        <is>
          <t>Expenditure, General government, Percent of GDP</t>
        </is>
      </c>
      <c r="G2313" s="3" t="n">
        <v>38.247148</v>
      </c>
      <c r="H2313" s="3" t="n">
        <v>37.18507</v>
      </c>
      <c r="I2313" s="3" t="n">
        <v>36.713974</v>
      </c>
      <c r="J2313" s="3" t="n">
        <v>36.625055</v>
      </c>
      <c r="K2313" s="3" t="n">
        <v>36.102007</v>
      </c>
      <c r="L2313" s="3" t="n">
        <v>37.054281</v>
      </c>
      <c r="M2313" s="3" t="n">
        <v>37.789384</v>
      </c>
      <c r="N2313" s="3" t="n">
        <v>37.026072</v>
      </c>
      <c r="O2313" s="3" t="n">
        <v>38.440015</v>
      </c>
      <c r="P2313" s="3" t="n">
        <v>40.282399</v>
      </c>
      <c r="Q2313" s="3" t="n">
        <v>42.853714</v>
      </c>
      <c r="R2313" s="3" t="n">
        <v>42.29828</v>
      </c>
      <c r="S2313" s="3" t="n">
        <v>39.65023</v>
      </c>
      <c r="T2313" s="3" t="n">
        <v>38.550336</v>
      </c>
      <c r="U2313" s="3" t="n">
        <v>37.60737</v>
      </c>
      <c r="V2313" s="3" t="n">
        <v>37.151949</v>
      </c>
      <c r="W2313" s="3" t="n">
        <v>36.376719</v>
      </c>
      <c r="X2313" s="3" t="n">
        <v>35.550615</v>
      </c>
      <c r="Y2313" s="3" t="n">
        <v>36.063497</v>
      </c>
      <c r="Z2313" s="3" t="n">
        <v>38.738918</v>
      </c>
      <c r="AA2313" s="3" t="n">
        <v>41.887821</v>
      </c>
      <c r="AB2313" s="3" t="n">
        <v>41.804264</v>
      </c>
      <c r="AC2313" s="3" t="n">
        <v>41.671529</v>
      </c>
      <c r="AD2313" s="3" t="n">
        <v>41.02356</v>
      </c>
      <c r="AE2313" s="3" t="n">
        <v>41.712263</v>
      </c>
      <c r="AF2313" s="3" t="n">
        <v>41.552608</v>
      </c>
      <c r="AG2313" s="3" t="n">
        <v>41.153399</v>
      </c>
      <c r="AH2313" s="3" t="n">
        <v>40.400058</v>
      </c>
      <c r="AI2313" s="3" t="n">
        <v>39.470734</v>
      </c>
      <c r="AJ2313" s="3" t="n">
        <v>38.829579</v>
      </c>
      <c r="AK2313" s="3" t="n">
        <v>37.71582</v>
      </c>
      <c r="AL2313" s="3" t="n">
        <v>37.46862</v>
      </c>
      <c r="AM2313" s="3" t="n"/>
      <c r="AN2313" s="3" t="n"/>
      <c r="AO2313" s="3" t="n"/>
      <c r="AP2313" s="3" t="n"/>
      <c r="AQ2313" s="3" t="n"/>
      <c r="AR2313" s="3" t="n"/>
      <c r="AS2313" s="3" t="n"/>
      <c r="AT2313" s="3" t="n"/>
      <c r="AU2313" s="3" t="n"/>
    </row>
    <row r="2314">
      <c r="A2314" s="3" t="n">
        <v>2027</v>
      </c>
      <c r="B2314" s="3" t="inlineStr">
        <is>
          <t>NZL</t>
        </is>
      </c>
      <c r="C2314" s="3" t="inlineStr">
        <is>
          <t>IMF.RES:WEO</t>
        </is>
      </c>
      <c r="D2314" s="3" t="inlineStr">
        <is>
          <t>NZL.LE.A</t>
        </is>
      </c>
      <c r="E2314" s="3" t="inlineStr">
        <is>
          <t>New Zealand</t>
        </is>
      </c>
      <c r="F2314" s="3" t="inlineStr">
        <is>
          <t>Employed persons, Persons for countries / Index for country groups</t>
        </is>
      </c>
      <c r="G2314" s="3" t="n">
        <v>1.799</v>
      </c>
      <c r="H2314" s="3" t="n">
        <v>1.8445</v>
      </c>
      <c r="I2314" s="3" t="n">
        <v>1.90475</v>
      </c>
      <c r="J2314" s="3" t="n">
        <v>1.953</v>
      </c>
      <c r="K2314" s="3" t="n">
        <v>2.02275</v>
      </c>
      <c r="L2314" s="3" t="n">
        <v>2.08225</v>
      </c>
      <c r="M2314" s="3" t="n">
        <v>2.1315</v>
      </c>
      <c r="N2314" s="3" t="n">
        <v>2.16775</v>
      </c>
      <c r="O2314" s="3" t="n">
        <v>2.18425</v>
      </c>
      <c r="P2314" s="3" t="n">
        <v>2.14525</v>
      </c>
      <c r="Q2314" s="3" t="n">
        <v>2.154</v>
      </c>
      <c r="R2314" s="3" t="n">
        <v>2.185</v>
      </c>
      <c r="S2314" s="3" t="n">
        <v>2.1895</v>
      </c>
      <c r="T2314" s="3" t="n">
        <v>2.22375</v>
      </c>
      <c r="U2314" s="3" t="n">
        <v>2.308</v>
      </c>
      <c r="V2314" s="3" t="n">
        <v>2.3685</v>
      </c>
      <c r="W2314" s="3" t="n">
        <v>2.483</v>
      </c>
      <c r="X2314" s="3" t="n">
        <v>2.5865</v>
      </c>
      <c r="Y2314" s="3" t="n">
        <v>2.66025</v>
      </c>
      <c r="Z2314" s="3" t="n">
        <v>2.689</v>
      </c>
      <c r="AA2314" s="3" t="n">
        <v>2.7175</v>
      </c>
      <c r="AB2314" s="3" t="n">
        <v>2.77175</v>
      </c>
      <c r="AC2314" s="3" t="n">
        <v>2.842</v>
      </c>
      <c r="AD2314" s="3" t="n">
        <v>2.918</v>
      </c>
      <c r="AE2314" s="3" t="n">
        <v>2.881</v>
      </c>
      <c r="AF2314" s="3" t="n">
        <v>2.886</v>
      </c>
      <c r="AG2314" s="3" t="n">
        <v>2.923308</v>
      </c>
      <c r="AH2314" s="3" t="n">
        <v>2.985006</v>
      </c>
      <c r="AI2314" s="3" t="n"/>
      <c r="AJ2314" s="3" t="n"/>
      <c r="AK2314" s="3" t="n"/>
      <c r="AL2314" s="3" t="n"/>
      <c r="AM2314" s="3" t="n"/>
      <c r="AN2314" s="3" t="n"/>
      <c r="AO2314" s="3" t="n"/>
      <c r="AP2314" s="3" t="n"/>
      <c r="AQ2314" s="3" t="n"/>
      <c r="AR2314" s="3" t="n"/>
      <c r="AS2314" s="3" t="n"/>
      <c r="AT2314" s="3" t="n"/>
      <c r="AU2314" s="3" t="n"/>
    </row>
    <row r="2315">
      <c r="A2315" s="3" t="n">
        <v>2031</v>
      </c>
      <c r="B2315" s="3" t="inlineStr">
        <is>
          <t>NZL</t>
        </is>
      </c>
      <c r="C2315" s="3" t="inlineStr">
        <is>
          <t>IMF.RES:WEO</t>
        </is>
      </c>
      <c r="D2315" s="3" t="inlineStr">
        <is>
          <t>NZL.LP.A</t>
        </is>
      </c>
      <c r="E2315" s="3" t="inlineStr">
        <is>
          <t>New Zealand</t>
        </is>
      </c>
      <c r="F2315" s="3" t="inlineStr">
        <is>
          <t>Population, Persons for countries / Index for country groups</t>
        </is>
      </c>
      <c r="G2315" s="3" t="n">
        <v>3.8602</v>
      </c>
      <c r="H2315" s="3" t="n">
        <v>3.8867</v>
      </c>
      <c r="I2315" s="3" t="n">
        <v>3.9512</v>
      </c>
      <c r="J2315" s="3" t="n">
        <v>4.0277</v>
      </c>
      <c r="K2315" s="3" t="n">
        <v>4.0887</v>
      </c>
      <c r="L2315" s="3" t="n">
        <v>4.136</v>
      </c>
      <c r="M2315" s="3" t="n">
        <v>4.1853</v>
      </c>
      <c r="N2315" s="3" t="n">
        <v>4.2262</v>
      </c>
      <c r="O2315" s="3" t="n">
        <v>4.262</v>
      </c>
      <c r="P2315" s="3" t="n">
        <v>4.3049</v>
      </c>
      <c r="Q2315" s="3" t="n">
        <v>4.353</v>
      </c>
      <c r="R2315" s="3" t="n">
        <v>4.3863</v>
      </c>
      <c r="S2315" s="3" t="n">
        <v>4.4107</v>
      </c>
      <c r="T2315" s="3" t="n">
        <v>4.4469</v>
      </c>
      <c r="U2315" s="3" t="n">
        <v>4.5197</v>
      </c>
      <c r="V2315" s="3" t="n">
        <v>4.6129</v>
      </c>
      <c r="W2315" s="3" t="n">
        <v>4.7165</v>
      </c>
      <c r="X2315" s="3" t="n">
        <v>4.815</v>
      </c>
      <c r="Y2315" s="3" t="n">
        <v>4.901</v>
      </c>
      <c r="Z2315" s="3" t="n">
        <v>4.9767</v>
      </c>
      <c r="AA2315" s="3" t="n">
        <v>5.0682</v>
      </c>
      <c r="AB2315" s="3" t="n">
        <v>5.0843</v>
      </c>
      <c r="AC2315" s="3" t="n">
        <v>5.0901</v>
      </c>
      <c r="AD2315" s="3" t="n">
        <v>5.1991</v>
      </c>
      <c r="AE2315" s="3" t="n">
        <v>5.2898</v>
      </c>
      <c r="AF2315" s="3" t="n">
        <v>5.3235</v>
      </c>
      <c r="AG2315" s="3" t="n">
        <v>5.356024</v>
      </c>
      <c r="AH2315" s="3" t="n">
        <v>5.388746</v>
      </c>
      <c r="AI2315" s="3" t="n">
        <v>5.421668</v>
      </c>
      <c r="AJ2315" s="3" t="n">
        <v>5.454792</v>
      </c>
      <c r="AK2315" s="3" t="n">
        <v>5.488117</v>
      </c>
      <c r="AL2315" s="3" t="n">
        <v>5.521647</v>
      </c>
      <c r="AM2315" s="3" t="n"/>
      <c r="AN2315" s="3" t="n"/>
      <c r="AO2315" s="3" t="n"/>
      <c r="AP2315" s="3" t="n"/>
      <c r="AQ2315" s="3" t="n"/>
      <c r="AR2315" s="3" t="n"/>
      <c r="AS2315" s="3" t="n"/>
      <c r="AT2315" s="3" t="n"/>
      <c r="AU2315" s="3" t="n"/>
    </row>
    <row r="2316">
      <c r="A2316" s="3" t="n">
        <v>2031</v>
      </c>
      <c r="B2316" s="3" t="inlineStr">
        <is>
          <t>NZL</t>
        </is>
      </c>
      <c r="C2316" s="3" t="inlineStr">
        <is>
          <t>IMF.RES:WEO</t>
        </is>
      </c>
      <c r="D2316" s="3" t="inlineStr">
        <is>
          <t>NZL.NGDP.A</t>
        </is>
      </c>
      <c r="E2316" s="3" t="inlineStr">
        <is>
          <t>New Zealand</t>
        </is>
      </c>
      <c r="F2316" s="3" t="inlineStr">
        <is>
          <t>Gross domestic product (GDP), Current prices, Domestic currency</t>
        </is>
      </c>
      <c r="G2316" s="3" t="n">
        <v>118.344</v>
      </c>
      <c r="H2316" s="3" t="n">
        <v>126.301</v>
      </c>
      <c r="I2316" s="3" t="n">
        <v>133.688</v>
      </c>
      <c r="J2316" s="3" t="n">
        <v>141.53</v>
      </c>
      <c r="K2316" s="3" t="n">
        <v>153.009</v>
      </c>
      <c r="L2316" s="3" t="n">
        <v>160.806</v>
      </c>
      <c r="M2316" s="3" t="n">
        <v>168.964</v>
      </c>
      <c r="N2316" s="3" t="n">
        <v>183.189</v>
      </c>
      <c r="O2316" s="3" t="n">
        <v>189.783</v>
      </c>
      <c r="P2316" s="3" t="n">
        <v>192.352</v>
      </c>
      <c r="Q2316" s="3" t="n">
        <v>202.056</v>
      </c>
      <c r="R2316" s="3" t="n">
        <v>211.271</v>
      </c>
      <c r="S2316" s="3" t="n">
        <v>216.285</v>
      </c>
      <c r="T2316" s="3" t="n">
        <v>228.177</v>
      </c>
      <c r="U2316" s="3" t="n">
        <v>240.99</v>
      </c>
      <c r="V2316" s="3" t="n">
        <v>251.867</v>
      </c>
      <c r="W2316" s="3" t="n">
        <v>266.841</v>
      </c>
      <c r="X2316" s="3" t="n">
        <v>286.507</v>
      </c>
      <c r="Y2316" s="3" t="n">
        <v>302.314</v>
      </c>
      <c r="Z2316" s="3" t="n">
        <v>319.987</v>
      </c>
      <c r="AA2316" s="3" t="n">
        <v>324.358</v>
      </c>
      <c r="AB2316" s="3" t="n">
        <v>352.947252</v>
      </c>
      <c r="AC2316" s="3" t="n">
        <v>385.516209</v>
      </c>
      <c r="AD2316" s="3" t="n">
        <v>412.807904</v>
      </c>
      <c r="AE2316" s="3" t="n">
        <v>427.488195</v>
      </c>
      <c r="AF2316" s="3" t="n">
        <v>445.002701</v>
      </c>
      <c r="AG2316" s="3" t="n">
        <v>466.43021</v>
      </c>
      <c r="AH2316" s="3" t="n">
        <v>487.71917</v>
      </c>
      <c r="AI2316" s="3" t="n">
        <v>510.247556</v>
      </c>
      <c r="AJ2316" s="3" t="n">
        <v>532.8223829999999</v>
      </c>
      <c r="AK2316" s="3" t="n">
        <v>555.6522629999999</v>
      </c>
      <c r="AL2316" s="3" t="n">
        <v>578.939691</v>
      </c>
      <c r="AM2316" s="3" t="n"/>
      <c r="AN2316" s="3" t="n"/>
      <c r="AO2316" s="3" t="n"/>
      <c r="AP2316" s="3" t="n"/>
      <c r="AQ2316" s="3" t="n"/>
      <c r="AR2316" s="3" t="n"/>
      <c r="AS2316" s="3" t="n"/>
      <c r="AT2316" s="3" t="n"/>
      <c r="AU2316" s="3" t="n"/>
    </row>
    <row r="2317">
      <c r="A2317" s="3" t="n">
        <v>2031</v>
      </c>
      <c r="B2317" s="3" t="inlineStr">
        <is>
          <t>NZL</t>
        </is>
      </c>
      <c r="C2317" s="3" t="inlineStr">
        <is>
          <t>IMF.RES:WEO</t>
        </is>
      </c>
      <c r="D2317" s="3" t="inlineStr">
        <is>
          <t>NZL.NGDP_D.A</t>
        </is>
      </c>
      <c r="E2317" s="3" t="inlineStr">
        <is>
          <t>New Zealand</t>
        </is>
      </c>
      <c r="F2317" s="3" t="inlineStr">
        <is>
          <t>Gross domestic product (GDP), Price deflator, Index</t>
        </is>
      </c>
      <c r="G2317" s="3" t="n">
        <v>77.859944</v>
      </c>
      <c r="H2317" s="3" t="n">
        <v>81.048423</v>
      </c>
      <c r="I2317" s="3" t="n">
        <v>81.932732</v>
      </c>
      <c r="J2317" s="3" t="n">
        <v>83.063361</v>
      </c>
      <c r="K2317" s="3" t="n">
        <v>85.651191</v>
      </c>
      <c r="L2317" s="3" t="n">
        <v>87.21208300000001</v>
      </c>
      <c r="M2317" s="3" t="n">
        <v>89.12731599999999</v>
      </c>
      <c r="N2317" s="3" t="n">
        <v>93.374212</v>
      </c>
      <c r="O2317" s="3" t="n">
        <v>96.889359</v>
      </c>
      <c r="P2317" s="3" t="n">
        <v>99.249765</v>
      </c>
      <c r="Q2317" s="3" t="n">
        <v>102.472348</v>
      </c>
      <c r="R2317" s="3" t="n">
        <v>105.35473</v>
      </c>
      <c r="S2317" s="3" t="n">
        <v>105.188287</v>
      </c>
      <c r="T2317" s="3" t="n">
        <v>108.656232</v>
      </c>
      <c r="U2317" s="3" t="n">
        <v>110.56971</v>
      </c>
      <c r="V2317" s="3" t="n">
        <v>111.493922</v>
      </c>
      <c r="W2317" s="3" t="n">
        <v>113.632531</v>
      </c>
      <c r="X2317" s="3" t="n">
        <v>118.120913</v>
      </c>
      <c r="Y2317" s="3" t="n">
        <v>120.615377</v>
      </c>
      <c r="Z2317" s="3" t="n">
        <v>123.976475</v>
      </c>
      <c r="AA2317" s="3" t="n">
        <v>127.221667</v>
      </c>
      <c r="AB2317" s="3" t="n">
        <v>131.2043</v>
      </c>
      <c r="AC2317" s="3" t="n">
        <v>139.657878</v>
      </c>
      <c r="AD2317" s="3" t="n">
        <v>146.352595</v>
      </c>
      <c r="AE2317" s="3" t="n">
        <v>151.993468</v>
      </c>
      <c r="AF2317" s="3" t="n">
        <v>157.942001</v>
      </c>
      <c r="AG2317" s="3" t="n">
        <v>162.092773</v>
      </c>
      <c r="AH2317" s="3" t="n">
        <v>165.54553</v>
      </c>
      <c r="AI2317" s="3" t="n">
        <v>169.187142</v>
      </c>
      <c r="AJ2317" s="3" t="n">
        <v>172.699631</v>
      </c>
      <c r="AK2317" s="3" t="n">
        <v>176.237605</v>
      </c>
      <c r="AL2317" s="3" t="n">
        <v>179.694534</v>
      </c>
      <c r="AM2317" s="3" t="n"/>
      <c r="AN2317" s="3" t="n"/>
      <c r="AO2317" s="3" t="n"/>
      <c r="AP2317" s="3" t="n"/>
      <c r="AQ2317" s="3" t="n"/>
      <c r="AR2317" s="3" t="n"/>
      <c r="AS2317" s="3" t="n"/>
      <c r="AT2317" s="3" t="n"/>
      <c r="AU2317" s="3" t="n"/>
    </row>
    <row r="2318">
      <c r="A2318" s="3" t="n">
        <v>2031</v>
      </c>
      <c r="B2318" s="3" t="inlineStr">
        <is>
          <t>NZL</t>
        </is>
      </c>
      <c r="C2318" s="3" t="inlineStr">
        <is>
          <t>IMF.RES:WEO</t>
        </is>
      </c>
      <c r="D2318" s="3" t="inlineStr">
        <is>
          <t>NZL.NGDP_R.A</t>
        </is>
      </c>
      <c r="E2318" s="3" t="inlineStr">
        <is>
          <t>New Zealand</t>
        </is>
      </c>
      <c r="F2318" s="3" t="inlineStr">
        <is>
          <t>Gross domestic product (GDP), Constant prices, Domestic currency</t>
        </is>
      </c>
      <c r="G2318" s="3" t="n">
        <v>151.996</v>
      </c>
      <c r="H2318" s="3" t="n">
        <v>155.834</v>
      </c>
      <c r="I2318" s="3" t="n">
        <v>163.168</v>
      </c>
      <c r="J2318" s="3" t="n">
        <v>170.388</v>
      </c>
      <c r="K2318" s="3" t="n">
        <v>178.642</v>
      </c>
      <c r="L2318" s="3" t="n">
        <v>184.385</v>
      </c>
      <c r="M2318" s="3" t="n">
        <v>189.576</v>
      </c>
      <c r="N2318" s="3" t="n">
        <v>196.188</v>
      </c>
      <c r="O2318" s="3" t="n">
        <v>195.876</v>
      </c>
      <c r="P2318" s="3" t="n">
        <v>193.806</v>
      </c>
      <c r="Q2318" s="3" t="n">
        <v>197.181</v>
      </c>
      <c r="R2318" s="3" t="n">
        <v>200.533</v>
      </c>
      <c r="S2318" s="3" t="n">
        <v>205.617</v>
      </c>
      <c r="T2318" s="3" t="n">
        <v>209.999</v>
      </c>
      <c r="U2318" s="3" t="n">
        <v>217.953</v>
      </c>
      <c r="V2318" s="3" t="n">
        <v>225.902</v>
      </c>
      <c r="W2318" s="3" t="n">
        <v>234.828</v>
      </c>
      <c r="X2318" s="3" t="n">
        <v>242.554</v>
      </c>
      <c r="Y2318" s="3" t="n">
        <v>250.643</v>
      </c>
      <c r="Z2318" s="3" t="n">
        <v>258.103</v>
      </c>
      <c r="AA2318" s="3" t="n">
        <v>254.955</v>
      </c>
      <c r="AB2318" s="3" t="n">
        <v>269.005857</v>
      </c>
      <c r="AC2318" s="3" t="n">
        <v>276.043295</v>
      </c>
      <c r="AD2318" s="3" t="n">
        <v>282.063947</v>
      </c>
      <c r="AE2318" s="3" t="n">
        <v>281.254321</v>
      </c>
      <c r="AF2318" s="3" t="n">
        <v>281.750705</v>
      </c>
      <c r="AG2318" s="3" t="n">
        <v>287.755094</v>
      </c>
      <c r="AH2318" s="3" t="n">
        <v>294.613314</v>
      </c>
      <c r="AI2318" s="3" t="n">
        <v>301.587668</v>
      </c>
      <c r="AJ2318" s="3" t="n">
        <v>308.52549</v>
      </c>
      <c r="AK2318" s="3" t="n">
        <v>315.285867</v>
      </c>
      <c r="AL2318" s="3" t="n">
        <v>322.179911</v>
      </c>
      <c r="AM2318" s="3" t="n"/>
      <c r="AN2318" s="3" t="n"/>
      <c r="AO2318" s="3" t="n"/>
      <c r="AP2318" s="3" t="n"/>
      <c r="AQ2318" s="3" t="n"/>
      <c r="AR2318" s="3" t="n"/>
      <c r="AS2318" s="3" t="n"/>
      <c r="AT2318" s="3" t="n"/>
      <c r="AU2318" s="3" t="n"/>
    </row>
    <row r="2319">
      <c r="A2319" s="3" t="n">
        <v>2031</v>
      </c>
      <c r="B2319" s="3" t="inlineStr">
        <is>
          <t>NZL</t>
        </is>
      </c>
      <c r="C2319" s="3" t="inlineStr">
        <is>
          <t>IMF.RES:WEO</t>
        </is>
      </c>
      <c r="D2319" s="3" t="inlineStr">
        <is>
          <t>NZL.NGDP_RPCH.A</t>
        </is>
      </c>
      <c r="E2319" s="3" t="inlineStr">
        <is>
          <t>New Zealand</t>
        </is>
      </c>
      <c r="F2319" s="3" t="inlineStr">
        <is>
          <t>Gross domestic product (GDP), Constant prices, Percent change</t>
        </is>
      </c>
      <c r="G2319" s="3" t="n">
        <v>4.212489</v>
      </c>
      <c r="H2319" s="3" t="n">
        <v>2.525066</v>
      </c>
      <c r="I2319" s="3" t="n">
        <v>4.70629</v>
      </c>
      <c r="J2319" s="3" t="n">
        <v>4.424887</v>
      </c>
      <c r="K2319" s="3" t="n">
        <v>4.844238</v>
      </c>
      <c r="L2319" s="3" t="n">
        <v>3.21481</v>
      </c>
      <c r="M2319" s="3" t="n">
        <v>2.815305</v>
      </c>
      <c r="N2319" s="3" t="n">
        <v>3.487783</v>
      </c>
      <c r="O2319" s="3" t="n">
        <v>-0.159031</v>
      </c>
      <c r="P2319" s="3" t="n">
        <v>-1.056791</v>
      </c>
      <c r="Q2319" s="3" t="n">
        <v>1.741432</v>
      </c>
      <c r="R2319" s="3" t="n">
        <v>1.699961</v>
      </c>
      <c r="S2319" s="3" t="n">
        <v>2.535244</v>
      </c>
      <c r="T2319" s="3" t="n">
        <v>2.131147</v>
      </c>
      <c r="U2319" s="3" t="n">
        <v>3.787637</v>
      </c>
      <c r="V2319" s="3" t="n">
        <v>3.647117</v>
      </c>
      <c r="W2319" s="3" t="n">
        <v>3.951271</v>
      </c>
      <c r="X2319" s="3" t="n">
        <v>3.290068</v>
      </c>
      <c r="Y2319" s="3" t="n">
        <v>3.334927</v>
      </c>
      <c r="Z2319" s="3" t="n">
        <v>2.976345</v>
      </c>
      <c r="AA2319" s="3" t="n">
        <v>-1.219668</v>
      </c>
      <c r="AB2319" s="3" t="n">
        <v>5.511113</v>
      </c>
      <c r="AC2319" s="3" t="n">
        <v>2.616091</v>
      </c>
      <c r="AD2319" s="3" t="n">
        <v>2.181054</v>
      </c>
      <c r="AE2319" s="3" t="n">
        <v>-0.287036</v>
      </c>
      <c r="AF2319" s="3" t="n">
        <v>0.176489</v>
      </c>
      <c r="AG2319" s="3" t="n">
        <v>2.1311</v>
      </c>
      <c r="AH2319" s="3" t="n">
        <v>2.383353</v>
      </c>
      <c r="AI2319" s="3" t="n">
        <v>2.367291</v>
      </c>
      <c r="AJ2319" s="3" t="n">
        <v>2.300433</v>
      </c>
      <c r="AK2319" s="3" t="n">
        <v>2.191189</v>
      </c>
      <c r="AL2319" s="3" t="n">
        <v>2.186601</v>
      </c>
      <c r="AM2319" s="3" t="n"/>
      <c r="AN2319" s="3" t="n"/>
      <c r="AO2319" s="3" t="n"/>
      <c r="AP2319" s="3" t="n"/>
      <c r="AQ2319" s="3" t="n"/>
      <c r="AR2319" s="3" t="n"/>
      <c r="AS2319" s="3" t="n"/>
      <c r="AT2319" s="3" t="n"/>
      <c r="AU2319" s="3" t="n"/>
    </row>
    <row r="2320">
      <c r="A2320" s="3" t="n">
        <v>2031</v>
      </c>
      <c r="B2320" s="3" t="inlineStr">
        <is>
          <t>NZL</t>
        </is>
      </c>
      <c r="C2320" s="3" t="inlineStr">
        <is>
          <t>IMF.RES:WEO</t>
        </is>
      </c>
      <c r="D2320" s="3" t="inlineStr">
        <is>
          <t>NZL.NGDPD.A</t>
        </is>
      </c>
      <c r="E2320" s="3" t="inlineStr">
        <is>
          <t>New Zealand</t>
        </is>
      </c>
      <c r="F2320" s="3" t="inlineStr">
        <is>
          <t>Gross domestic product (GDP), Current prices, US dollar</t>
        </is>
      </c>
      <c r="G2320" s="3" t="n">
        <v>54.12719</v>
      </c>
      <c r="H2320" s="3" t="n">
        <v>53.128233</v>
      </c>
      <c r="I2320" s="3" t="n">
        <v>62.061229</v>
      </c>
      <c r="J2320" s="3" t="n">
        <v>82.408074</v>
      </c>
      <c r="K2320" s="3" t="n">
        <v>101.599251</v>
      </c>
      <c r="L2320" s="3" t="n">
        <v>113.265046</v>
      </c>
      <c r="M2320" s="3" t="n">
        <v>109.742118</v>
      </c>
      <c r="N2320" s="3" t="n">
        <v>134.849704</v>
      </c>
      <c r="O2320" s="3" t="n">
        <v>135.614187</v>
      </c>
      <c r="P2320" s="3" t="n">
        <v>122.003264</v>
      </c>
      <c r="Q2320" s="3" t="n">
        <v>145.742155</v>
      </c>
      <c r="R2320" s="3" t="n">
        <v>167.150934</v>
      </c>
      <c r="S2320" s="3" t="n">
        <v>175.315397</v>
      </c>
      <c r="T2320" s="3" t="n">
        <v>187.225891</v>
      </c>
      <c r="U2320" s="3" t="n">
        <v>200.224086</v>
      </c>
      <c r="V2320" s="3" t="n">
        <v>176.375421</v>
      </c>
      <c r="W2320" s="3" t="n">
        <v>185.978423</v>
      </c>
      <c r="X2320" s="3" t="n">
        <v>203.663149</v>
      </c>
      <c r="Y2320" s="3" t="n">
        <v>209.488823</v>
      </c>
      <c r="Z2320" s="3" t="n">
        <v>210.962165</v>
      </c>
      <c r="AA2320" s="3" t="n">
        <v>210.839666</v>
      </c>
      <c r="AB2320" s="3" t="n">
        <v>249.720296</v>
      </c>
      <c r="AC2320" s="3" t="n">
        <v>245.165136</v>
      </c>
      <c r="AD2320" s="3" t="n">
        <v>253.649846</v>
      </c>
      <c r="AE2320" s="3" t="n">
        <v>258.826731</v>
      </c>
      <c r="AF2320" s="3" t="n">
        <v>258.832029</v>
      </c>
      <c r="AG2320" s="3" t="n">
        <v>278.636463</v>
      </c>
      <c r="AH2320" s="3" t="n">
        <v>290.451696</v>
      </c>
      <c r="AI2320" s="3" t="n">
        <v>301.931313</v>
      </c>
      <c r="AJ2320" s="3" t="n">
        <v>314.363081</v>
      </c>
      <c r="AK2320" s="3" t="n">
        <v>327.131322</v>
      </c>
      <c r="AL2320" s="3" t="n">
        <v>339.935397</v>
      </c>
      <c r="AM2320" s="3" t="n"/>
      <c r="AN2320" s="3" t="n"/>
      <c r="AO2320" s="3" t="n"/>
      <c r="AP2320" s="3" t="n"/>
      <c r="AQ2320" s="3" t="n"/>
      <c r="AR2320" s="3" t="n"/>
      <c r="AS2320" s="3" t="n"/>
      <c r="AT2320" s="3" t="n"/>
      <c r="AU2320" s="3" t="n"/>
    </row>
    <row r="2321">
      <c r="A2321" s="3" t="n">
        <v>2031</v>
      </c>
      <c r="B2321" s="3" t="inlineStr">
        <is>
          <t>NZL</t>
        </is>
      </c>
      <c r="C2321" s="3" t="inlineStr">
        <is>
          <t>IMF.RES:WEO</t>
        </is>
      </c>
      <c r="D2321" s="3" t="inlineStr">
        <is>
          <t>NZL.NGDPPC.A</t>
        </is>
      </c>
      <c r="E2321" s="3" t="inlineStr">
        <is>
          <t>New Zealand</t>
        </is>
      </c>
      <c r="F2321" s="3" t="inlineStr">
        <is>
          <t>Gross domestic product (GDP), Current prices, Per capita, Domestic currency</t>
        </is>
      </c>
      <c r="G2321" s="3" t="n">
        <v>30657.478887</v>
      </c>
      <c r="H2321" s="3" t="n">
        <v>32495.690431</v>
      </c>
      <c r="I2321" s="3" t="n">
        <v>33834.784369</v>
      </c>
      <c r="J2321" s="3" t="n">
        <v>35139.161308</v>
      </c>
      <c r="K2321" s="3" t="n">
        <v>37422.4081</v>
      </c>
      <c r="L2321" s="3" t="n">
        <v>38879.59381</v>
      </c>
      <c r="M2321" s="3" t="n">
        <v>40370.821685</v>
      </c>
      <c r="N2321" s="3" t="n">
        <v>43346.031896</v>
      </c>
      <c r="O2321" s="3" t="n">
        <v>44529.094322</v>
      </c>
      <c r="P2321" s="3" t="n">
        <v>44682.106437</v>
      </c>
      <c r="Q2321" s="3" t="n">
        <v>46417.643005</v>
      </c>
      <c r="R2321" s="3" t="n">
        <v>48166.108109</v>
      </c>
      <c r="S2321" s="3" t="n">
        <v>49036.434126</v>
      </c>
      <c r="T2321" s="3" t="n">
        <v>51311.47541</v>
      </c>
      <c r="U2321" s="3" t="n">
        <v>53319.910614</v>
      </c>
      <c r="V2321" s="3" t="n">
        <v>54600.576644</v>
      </c>
      <c r="W2321" s="3" t="n">
        <v>56576.062758</v>
      </c>
      <c r="X2321" s="3" t="n">
        <v>59503.011423</v>
      </c>
      <c r="Y2321" s="3" t="n">
        <v>61684.146093</v>
      </c>
      <c r="Z2321" s="3" t="n">
        <v>64297.024132</v>
      </c>
      <c r="AA2321" s="3" t="n">
        <v>63998.658301</v>
      </c>
      <c r="AB2321" s="3" t="n">
        <v>69419.04521900001</v>
      </c>
      <c r="AC2321" s="3" t="n">
        <v>75738.435132</v>
      </c>
      <c r="AD2321" s="3" t="n">
        <v>79399.87771299999</v>
      </c>
      <c r="AE2321" s="3" t="n">
        <v>80813.678266</v>
      </c>
      <c r="AF2321" s="3" t="n">
        <v>83592.129415</v>
      </c>
      <c r="AG2321" s="3" t="n">
        <v>87085.166614</v>
      </c>
      <c r="AH2321" s="3" t="n">
        <v>90506.989013</v>
      </c>
      <c r="AI2321" s="3" t="n">
        <v>94112.64930999999</v>
      </c>
      <c r="AJ2321" s="3" t="n">
        <v>97679.696295</v>
      </c>
      <c r="AK2321" s="3" t="n">
        <v>101246.426095</v>
      </c>
      <c r="AL2321" s="3" t="n">
        <v>104849.101772</v>
      </c>
      <c r="AM2321" s="3" t="n"/>
      <c r="AN2321" s="3" t="n"/>
      <c r="AO2321" s="3" t="n"/>
      <c r="AP2321" s="3" t="n"/>
      <c r="AQ2321" s="3" t="n"/>
      <c r="AR2321" s="3" t="n"/>
      <c r="AS2321" s="3" t="n"/>
      <c r="AT2321" s="3" t="n"/>
      <c r="AU2321" s="3" t="n"/>
    </row>
    <row r="2322">
      <c r="A2322" s="3" t="n">
        <v>2031</v>
      </c>
      <c r="B2322" s="3" t="inlineStr">
        <is>
          <t>NZL</t>
        </is>
      </c>
      <c r="C2322" s="3" t="inlineStr">
        <is>
          <t>IMF.RES:WEO</t>
        </is>
      </c>
      <c r="D2322" s="3" t="inlineStr">
        <is>
          <t>NZL.NGDPRPC.A</t>
        </is>
      </c>
      <c r="E2322" s="3" t="inlineStr">
        <is>
          <t>New Zealand</t>
        </is>
      </c>
      <c r="F2322" s="3" t="inlineStr">
        <is>
          <t>Gross domestic product (GDP), Constant prices, Per capita, Domestic currency</t>
        </is>
      </c>
      <c r="G2322" s="3" t="n">
        <v>39375.161909</v>
      </c>
      <c r="H2322" s="3" t="n">
        <v>40094.167288</v>
      </c>
      <c r="I2322" s="3" t="n">
        <v>41295.808868</v>
      </c>
      <c r="J2322" s="3" t="n">
        <v>42304.044492</v>
      </c>
      <c r="K2322" s="3" t="n">
        <v>43691.637929</v>
      </c>
      <c r="L2322" s="3" t="n">
        <v>44580.512573</v>
      </c>
      <c r="M2322" s="3" t="n">
        <v>45295.677729</v>
      </c>
      <c r="N2322" s="3" t="n">
        <v>46421.844683</v>
      </c>
      <c r="O2322" s="3" t="n">
        <v>45958.704833</v>
      </c>
      <c r="P2322" s="3" t="n">
        <v>45019.861089</v>
      </c>
      <c r="Q2322" s="3" t="n">
        <v>45297.725706</v>
      </c>
      <c r="R2322" s="3" t="n">
        <v>45718.031142</v>
      </c>
      <c r="S2322" s="3" t="n">
        <v>46617.770422</v>
      </c>
      <c r="T2322" s="3" t="n">
        <v>47223.683915</v>
      </c>
      <c r="U2322" s="3" t="n">
        <v>48222.8909</v>
      </c>
      <c r="V2322" s="3" t="n">
        <v>48971.796484</v>
      </c>
      <c r="W2322" s="3" t="n">
        <v>49788.614439</v>
      </c>
      <c r="X2322" s="3" t="n">
        <v>50374.662513</v>
      </c>
      <c r="Y2322" s="3" t="n">
        <v>51141.195674</v>
      </c>
      <c r="Z2322" s="3" t="n">
        <v>51862.278216</v>
      </c>
      <c r="AA2322" s="3" t="n">
        <v>50304.841956</v>
      </c>
      <c r="AB2322" s="3" t="n">
        <v>52909.123555</v>
      </c>
      <c r="AC2322" s="3" t="n">
        <v>54231.408934</v>
      </c>
      <c r="AD2322" s="3" t="n">
        <v>54252.456519</v>
      </c>
      <c r="AE2322" s="3" t="n">
        <v>53169.178627</v>
      </c>
      <c r="AF2322" s="3" t="n">
        <v>52925.839138</v>
      </c>
      <c r="AG2322" s="3" t="n">
        <v>53725.508668</v>
      </c>
      <c r="AH2322" s="3" t="n">
        <v>54671.961994</v>
      </c>
      <c r="AI2322" s="3" t="n">
        <v>55626.360367</v>
      </c>
      <c r="AJ2322" s="3" t="n">
        <v>56560.454593</v>
      </c>
      <c r="AK2322" s="3" t="n">
        <v>57448.82083</v>
      </c>
      <c r="AL2322" s="3" t="n">
        <v>58348.520258</v>
      </c>
      <c r="AM2322" s="3" t="n"/>
      <c r="AN2322" s="3" t="n"/>
      <c r="AO2322" s="3" t="n"/>
      <c r="AP2322" s="3" t="n"/>
      <c r="AQ2322" s="3" t="n"/>
      <c r="AR2322" s="3" t="n"/>
      <c r="AS2322" s="3" t="n"/>
      <c r="AT2322" s="3" t="n"/>
      <c r="AU2322" s="3" t="n"/>
    </row>
    <row r="2323">
      <c r="A2323" s="3" t="n">
        <v>2031</v>
      </c>
      <c r="B2323" s="3" t="inlineStr">
        <is>
          <t>NZL</t>
        </is>
      </c>
      <c r="C2323" s="3" t="inlineStr">
        <is>
          <t>IMF.RES:WEO</t>
        </is>
      </c>
      <c r="D2323" s="3" t="inlineStr">
        <is>
          <t>NZL.PCPI.A</t>
        </is>
      </c>
      <c r="E2323" s="3" t="inlineStr">
        <is>
          <t>New Zealand</t>
        </is>
      </c>
      <c r="F2323" s="3" t="inlineStr">
        <is>
          <t>All Items, Consumer price index (CPI), Period average</t>
        </is>
      </c>
      <c r="G2323" s="3" t="n">
        <v>100</v>
      </c>
      <c r="H2323" s="3" t="n">
        <v>102.62581</v>
      </c>
      <c r="I2323" s="3" t="n">
        <v>105.373187</v>
      </c>
      <c r="J2323" s="3" t="n">
        <v>107.221039</v>
      </c>
      <c r="K2323" s="3" t="n">
        <v>109.67666</v>
      </c>
      <c r="L2323" s="3" t="n">
        <v>113.007551</v>
      </c>
      <c r="M2323" s="3" t="n">
        <v>116.810706</v>
      </c>
      <c r="N2323" s="3" t="n">
        <v>119.586281</v>
      </c>
      <c r="O2323" s="3" t="n">
        <v>124.320671</v>
      </c>
      <c r="P2323" s="3" t="n">
        <v>126.950816</v>
      </c>
      <c r="Q2323" s="3" t="n">
        <v>129.87329</v>
      </c>
      <c r="R2323" s="3" t="n">
        <v>135.104451</v>
      </c>
      <c r="S2323" s="3" t="n">
        <v>136.53647</v>
      </c>
      <c r="T2323" s="3" t="n">
        <v>138.085363</v>
      </c>
      <c r="U2323" s="3" t="n">
        <v>139.780403</v>
      </c>
      <c r="V2323" s="3" t="n">
        <v>140.189536</v>
      </c>
      <c r="W2323" s="3" t="n">
        <v>141.095476</v>
      </c>
      <c r="X2323" s="3" t="n">
        <v>143.706846</v>
      </c>
      <c r="Y2323" s="3" t="n">
        <v>146.003708</v>
      </c>
      <c r="Z2323" s="3" t="n">
        <v>148.368431</v>
      </c>
      <c r="AA2323" s="3" t="n">
        <v>150.912299</v>
      </c>
      <c r="AB2323" s="3" t="n">
        <v>156.859935</v>
      </c>
      <c r="AC2323" s="3" t="n">
        <v>168.110282</v>
      </c>
      <c r="AD2323" s="3" t="n">
        <v>177.748318</v>
      </c>
      <c r="AE2323" s="3" t="n">
        <v>182.943542</v>
      </c>
      <c r="AF2323" s="3" t="n">
        <v>188.138766</v>
      </c>
      <c r="AG2323" s="3" t="n">
        <v>194.015957</v>
      </c>
      <c r="AH2323" s="3" t="n">
        <v>198.410189</v>
      </c>
      <c r="AI2323" s="3" t="n">
        <v>202.607847</v>
      </c>
      <c r="AJ2323" s="3" t="n">
        <v>206.690496</v>
      </c>
      <c r="AK2323" s="3" t="n">
        <v>210.855413</v>
      </c>
      <c r="AL2323" s="3" t="n">
        <v>215.104256</v>
      </c>
      <c r="AM2323" s="3" t="n"/>
      <c r="AN2323" s="3" t="n"/>
      <c r="AO2323" s="3" t="n"/>
      <c r="AP2323" s="3" t="n"/>
      <c r="AQ2323" s="3" t="n"/>
      <c r="AR2323" s="3" t="n"/>
      <c r="AS2323" s="3" t="n"/>
      <c r="AT2323" s="3" t="n"/>
      <c r="AU2323" s="3" t="n"/>
    </row>
    <row r="2324">
      <c r="A2324" s="3" t="n">
        <v>2031</v>
      </c>
      <c r="B2324" s="3" t="inlineStr">
        <is>
          <t>NZL</t>
        </is>
      </c>
      <c r="C2324" s="3" t="inlineStr">
        <is>
          <t>IMF.RES:WEO</t>
        </is>
      </c>
      <c r="D2324" s="3" t="inlineStr">
        <is>
          <t>NZL.PCPIPCH.A</t>
        </is>
      </c>
      <c r="E2324" s="3" t="inlineStr">
        <is>
          <t>New Zealand</t>
        </is>
      </c>
      <c r="F2324" s="3" t="inlineStr">
        <is>
          <t>All Items, Consumer price index (CPI), Period average, percent change</t>
        </is>
      </c>
      <c r="G2324" s="3" t="n">
        <v>2.615212</v>
      </c>
      <c r="H2324" s="3" t="n">
        <v>2.62581</v>
      </c>
      <c r="I2324" s="3" t="n">
        <v>2.677083</v>
      </c>
      <c r="J2324" s="3" t="n">
        <v>1.753626</v>
      </c>
      <c r="K2324" s="3" t="n">
        <v>2.290242</v>
      </c>
      <c r="L2324" s="3" t="n">
        <v>3.03701</v>
      </c>
      <c r="M2324" s="3" t="n">
        <v>3.365399</v>
      </c>
      <c r="N2324" s="3" t="n">
        <v>2.376131</v>
      </c>
      <c r="O2324" s="3" t="n">
        <v>3.958974</v>
      </c>
      <c r="P2324" s="3" t="n">
        <v>2.115613</v>
      </c>
      <c r="Q2324" s="3" t="n">
        <v>2.302053</v>
      </c>
      <c r="R2324" s="3" t="n">
        <v>4.027896</v>
      </c>
      <c r="S2324" s="3" t="n">
        <v>1.059935</v>
      </c>
      <c r="T2324" s="3" t="n">
        <v>1.134417</v>
      </c>
      <c r="U2324" s="3" t="n">
        <v>1.227531</v>
      </c>
      <c r="V2324" s="3" t="n">
        <v>0.292697</v>
      </c>
      <c r="W2324" s="3" t="n">
        <v>0.646225</v>
      </c>
      <c r="X2324" s="3" t="n">
        <v>1.850783</v>
      </c>
      <c r="Y2324" s="3" t="n">
        <v>1.598297</v>
      </c>
      <c r="Z2324" s="3" t="n">
        <v>1.619632</v>
      </c>
      <c r="AA2324" s="3" t="n">
        <v>1.714562</v>
      </c>
      <c r="AB2324" s="3" t="n">
        <v>3.941121</v>
      </c>
      <c r="AC2324" s="3" t="n">
        <v>7.172225</v>
      </c>
      <c r="AD2324" s="3" t="n">
        <v>5.733163</v>
      </c>
      <c r="AE2324" s="3" t="n">
        <v>2.922798</v>
      </c>
      <c r="AF2324" s="3" t="n">
        <v>2.839796</v>
      </c>
      <c r="AG2324" s="3" t="n">
        <v>3.123859</v>
      </c>
      <c r="AH2324" s="3" t="n">
        <v>2.264882</v>
      </c>
      <c r="AI2324" s="3" t="n">
        <v>2.115647</v>
      </c>
      <c r="AJ2324" s="3" t="n">
        <v>2.01505</v>
      </c>
      <c r="AK2324" s="3" t="n">
        <v>2.01505</v>
      </c>
      <c r="AL2324" s="3" t="n">
        <v>2.01505</v>
      </c>
      <c r="AM2324" s="3" t="n"/>
      <c r="AN2324" s="3" t="n"/>
      <c r="AO2324" s="3" t="n"/>
      <c r="AP2324" s="3" t="n"/>
      <c r="AQ2324" s="3" t="n"/>
      <c r="AR2324" s="3" t="n"/>
      <c r="AS2324" s="3" t="n"/>
      <c r="AT2324" s="3" t="n"/>
      <c r="AU2324" s="3" t="n"/>
    </row>
    <row r="2325">
      <c r="A2325" s="3" t="n">
        <v>2031</v>
      </c>
      <c r="B2325" s="3" t="inlineStr">
        <is>
          <t>NZL</t>
        </is>
      </c>
      <c r="C2325" s="3" t="inlineStr">
        <is>
          <t>IMF.RES:WEO</t>
        </is>
      </c>
      <c r="D2325" s="3" t="inlineStr">
        <is>
          <t>NZL.PPPPC.A</t>
        </is>
      </c>
      <c r="E2325" s="3" t="inlineStr">
        <is>
          <t>New Zealand</t>
        </is>
      </c>
      <c r="F2325" s="3" t="inlineStr">
        <is>
          <t>Gross domestic product (GDP), Per capita, purchasing power parity (PPP) international dollar, ICP benchmarks 2017-2021</t>
        </is>
      </c>
      <c r="G2325" s="3" t="n">
        <v>23636.836111</v>
      </c>
      <c r="H2325" s="3" t="n">
        <v>24610.383904</v>
      </c>
      <c r="I2325" s="3" t="n">
        <v>25741.885515</v>
      </c>
      <c r="J2325" s="3" t="n">
        <v>26890.98072</v>
      </c>
      <c r="K2325" s="3" t="n">
        <v>28519.801552</v>
      </c>
      <c r="L2325" s="3" t="n">
        <v>30012.540587</v>
      </c>
      <c r="M2325" s="3" t="n">
        <v>31434.404025</v>
      </c>
      <c r="N2325" s="3" t="n">
        <v>33088.761026</v>
      </c>
      <c r="O2325" s="3" t="n">
        <v>33389.708396</v>
      </c>
      <c r="P2325" s="3" t="n">
        <v>32909.345559</v>
      </c>
      <c r="Q2325" s="3" t="n">
        <v>33514.903994</v>
      </c>
      <c r="R2325" s="3" t="n">
        <v>34523.791705</v>
      </c>
      <c r="S2325" s="3" t="n">
        <v>35858.686469</v>
      </c>
      <c r="T2325" s="3" t="n">
        <v>36943.008179</v>
      </c>
      <c r="U2325" s="3" t="n">
        <v>38381.742575</v>
      </c>
      <c r="V2325" s="3" t="n">
        <v>39339.549154</v>
      </c>
      <c r="W2325" s="3" t="n">
        <v>40375.756082</v>
      </c>
      <c r="X2325" s="3" t="n">
        <v>41582.604448</v>
      </c>
      <c r="Y2325" s="3" t="n">
        <v>41960.308753</v>
      </c>
      <c r="Z2325" s="3" t="n">
        <v>44754.47437</v>
      </c>
      <c r="AA2325" s="3" t="n">
        <v>44976.1235</v>
      </c>
      <c r="AB2325" s="3" t="n">
        <v>47685.97895</v>
      </c>
      <c r="AC2325" s="3" t="n">
        <v>52354.115906</v>
      </c>
      <c r="AD2325" s="3" t="n">
        <v>54312.306466</v>
      </c>
      <c r="AE2325" s="3" t="n">
        <v>54549.238347</v>
      </c>
      <c r="AF2325" s="3" t="n">
        <v>55839.935128</v>
      </c>
      <c r="AG2325" s="3" t="n">
        <v>58307.53602</v>
      </c>
      <c r="AH2325" s="3" t="n">
        <v>60637.640521</v>
      </c>
      <c r="AI2325" s="3" t="n">
        <v>62708.855906</v>
      </c>
      <c r="AJ2325" s="3" t="n">
        <v>64895.636947</v>
      </c>
      <c r="AK2325" s="3" t="n">
        <v>67126.123985</v>
      </c>
      <c r="AL2325" s="3" t="n">
        <v>69408.18599100001</v>
      </c>
      <c r="AM2325" s="3" t="n"/>
      <c r="AN2325" s="3" t="n"/>
      <c r="AO2325" s="3" t="n"/>
      <c r="AP2325" s="3" t="n"/>
      <c r="AQ2325" s="3" t="n"/>
      <c r="AR2325" s="3" t="n"/>
      <c r="AS2325" s="3" t="n"/>
      <c r="AT2325" s="3" t="n"/>
      <c r="AU2325" s="3" t="n"/>
    </row>
    <row r="2326">
      <c r="A2326" s="3" t="n">
        <v>2025</v>
      </c>
      <c r="B2326" s="3" t="inlineStr">
        <is>
          <t>NZL</t>
        </is>
      </c>
      <c r="C2326" s="3" t="inlineStr">
        <is>
          <t>IMF.STA:ER</t>
        </is>
      </c>
      <c r="D2326" s="3" t="inlineStr">
        <is>
          <t>NZL.XDC_USD.PA_RT.A</t>
        </is>
      </c>
      <c r="E2326" s="3" t="inlineStr">
        <is>
          <t>New Zealand</t>
        </is>
      </c>
      <c r="F2326" s="3" t="inlineStr">
        <is>
          <t>Domestic currency per US Dollar</t>
        </is>
      </c>
      <c r="G2326" s="3" t="n">
        <v>2.20114916666666</v>
      </c>
      <c r="H2326" s="3" t="n">
        <v>2.37875083333333</v>
      </c>
      <c r="I2326" s="3" t="n">
        <v>2.16219083333333</v>
      </c>
      <c r="J2326" s="3" t="n">
        <v>1.72209914639778</v>
      </c>
      <c r="K2326" s="3" t="n">
        <v>1.50868127077322</v>
      </c>
      <c r="L2326" s="3" t="n">
        <v>1.42027345661432</v>
      </c>
      <c r="M2326" s="3" t="n">
        <v>1.54205575669681</v>
      </c>
      <c r="N2326" s="3" t="n">
        <v>1.36067522852426</v>
      </c>
      <c r="O2326" s="3" t="n">
        <v>1.42272680952649</v>
      </c>
      <c r="P2326" s="3" t="n">
        <v>1.60087729521946</v>
      </c>
      <c r="Q2326" s="3" t="n">
        <v>1.38783382768108</v>
      </c>
      <c r="R2326" s="3" t="n">
        <v>1.26581069673446</v>
      </c>
      <c r="S2326" s="3" t="n">
        <v>1.23428365501328</v>
      </c>
      <c r="T2326" s="3" t="n">
        <v>1.21940797394828</v>
      </c>
      <c r="U2326" s="3" t="n">
        <v>1.20543333333333</v>
      </c>
      <c r="V2326" s="3" t="n">
        <v>1.433975</v>
      </c>
      <c r="W2326" s="3" t="n">
        <v>1.436525</v>
      </c>
      <c r="X2326" s="3" t="n">
        <v>1.40740833333333</v>
      </c>
      <c r="Y2326" s="3" t="n">
        <v>1.44525833333333</v>
      </c>
      <c r="Z2326" s="3" t="n">
        <v>1.517875</v>
      </c>
      <c r="AA2326" s="3" t="n">
        <v>1.54205833333333</v>
      </c>
      <c r="AB2326" s="3" t="n">
        <v>1.4138</v>
      </c>
      <c r="AC2326" s="3" t="n">
        <v>1.57718333333333</v>
      </c>
      <c r="AD2326" s="3" t="n">
        <v>1.62843333333333</v>
      </c>
      <c r="AE2326" s="3" t="n">
        <v>1.65230833333333</v>
      </c>
      <c r="AF2326" s="3" t="n">
        <v>1.72010833333333</v>
      </c>
      <c r="AG2326" s="3" t="n"/>
      <c r="AH2326" s="3" t="n"/>
      <c r="AI2326" s="3" t="n"/>
      <c r="AJ2326" s="3" t="n"/>
      <c r="AK2326" s="3" t="n"/>
      <c r="AL2326" s="3" t="n"/>
      <c r="AM2326" s="3" t="n"/>
      <c r="AN2326" s="3" t="n"/>
      <c r="AO2326" s="3" t="n"/>
      <c r="AP2326" s="3" t="n"/>
      <c r="AQ2326" s="3" t="n"/>
      <c r="AR2326" s="3" t="n"/>
      <c r="AS2326" s="3" t="n"/>
      <c r="AT2326" s="3" t="n"/>
      <c r="AU2326" s="3" t="n"/>
    </row>
    <row r="2327">
      <c r="A2327" s="3" t="n">
        <v>2031</v>
      </c>
      <c r="B2327" s="3" t="inlineStr">
        <is>
          <t>OMN</t>
        </is>
      </c>
      <c r="C2327" s="3" t="inlineStr">
        <is>
          <t>IMF.RES:WEO</t>
        </is>
      </c>
      <c r="D2327" s="3" t="inlineStr">
        <is>
          <t>OMN.BCA.A</t>
        </is>
      </c>
      <c r="E2327" s="3" t="inlineStr">
        <is>
          <t>Oman</t>
        </is>
      </c>
      <c r="F2327" s="3" t="inlineStr">
        <is>
          <t>Current account balance (credit less debit), US dollar</t>
        </is>
      </c>
      <c r="G2327" s="3" t="n">
        <v>3.130299</v>
      </c>
      <c r="H2327" s="3" t="n">
        <v>1.976593</v>
      </c>
      <c r="I2327" s="3" t="n">
        <v>1.69883</v>
      </c>
      <c r="J2327" s="3" t="n">
        <v>1.453056</v>
      </c>
      <c r="K2327" s="3" t="n">
        <v>0.902471</v>
      </c>
      <c r="L2327" s="3" t="n">
        <v>5.177893</v>
      </c>
      <c r="M2327" s="3" t="n">
        <v>5.662473</v>
      </c>
      <c r="N2327" s="3" t="n">
        <v>2.461901</v>
      </c>
      <c r="O2327" s="3" t="n">
        <v>5.046679</v>
      </c>
      <c r="P2327" s="3" t="n">
        <v>-0.499806</v>
      </c>
      <c r="Q2327" s="3" t="n">
        <v>4.936103</v>
      </c>
      <c r="R2327" s="3" t="n">
        <v>8.868485</v>
      </c>
      <c r="S2327" s="3" t="n">
        <v>7.858654</v>
      </c>
      <c r="T2327" s="3" t="n">
        <v>5.288167</v>
      </c>
      <c r="U2327" s="3" t="n">
        <v>4.291929</v>
      </c>
      <c r="V2327" s="3" t="n">
        <v>-10.832915</v>
      </c>
      <c r="W2327" s="3" t="n">
        <v>-12.437447</v>
      </c>
      <c r="X2327" s="3" t="n">
        <v>-11.00815</v>
      </c>
      <c r="Y2327" s="3" t="n">
        <v>-4.459389</v>
      </c>
      <c r="Z2327" s="3" t="n">
        <v>-4.330999</v>
      </c>
      <c r="AA2327" s="3" t="n">
        <v>-12.562016</v>
      </c>
      <c r="AB2327" s="3" t="n">
        <v>-4.835685</v>
      </c>
      <c r="AC2327" s="3" t="n">
        <v>4.010403</v>
      </c>
      <c r="AD2327" s="3" t="n">
        <v>2.43173</v>
      </c>
      <c r="AE2327" s="3" t="n">
        <v>3.469441</v>
      </c>
      <c r="AF2327" s="3" t="n">
        <v>1.397501</v>
      </c>
      <c r="AG2327" s="3" t="n">
        <v>8.796943000000001</v>
      </c>
      <c r="AH2327" s="3" t="n">
        <v>6.667318</v>
      </c>
      <c r="AI2327" s="3" t="n">
        <v>7.413787</v>
      </c>
      <c r="AJ2327" s="3" t="n">
        <v>7.681772</v>
      </c>
      <c r="AK2327" s="3" t="n">
        <v>7.795346</v>
      </c>
      <c r="AL2327" s="3" t="n">
        <v>7.835843</v>
      </c>
      <c r="AM2327" s="3" t="n"/>
      <c r="AN2327" s="3" t="n"/>
      <c r="AO2327" s="3" t="n"/>
      <c r="AP2327" s="3" t="n"/>
      <c r="AQ2327" s="3" t="n"/>
      <c r="AR2327" s="3" t="n"/>
      <c r="AS2327" s="3" t="n"/>
      <c r="AT2327" s="3" t="n"/>
      <c r="AU2327" s="3" t="n"/>
    </row>
    <row r="2328">
      <c r="A2328" s="3" t="n">
        <v>2031</v>
      </c>
      <c r="B2328" s="3" t="inlineStr">
        <is>
          <t>OMN</t>
        </is>
      </c>
      <c r="C2328" s="3" t="inlineStr">
        <is>
          <t>IMF.RES:WEO</t>
        </is>
      </c>
      <c r="D2328" s="3" t="inlineStr">
        <is>
          <t>OMN.BCA_NGDPD.A</t>
        </is>
      </c>
      <c r="E2328" s="3" t="inlineStr">
        <is>
          <t>Oman</t>
        </is>
      </c>
      <c r="F2328" s="3" t="inlineStr">
        <is>
          <t>Current account balance (credit less debit), Percent of GDP</t>
        </is>
      </c>
      <c r="G2328" s="3" t="n">
        <v>14.062757</v>
      </c>
      <c r="H2328" s="3" t="n">
        <v>8.901303</v>
      </c>
      <c r="I2328" s="3" t="n">
        <v>7.365215</v>
      </c>
      <c r="J2328" s="3" t="n">
        <v>5.874787</v>
      </c>
      <c r="K2328" s="3" t="n">
        <v>3.180077</v>
      </c>
      <c r="L2328" s="3" t="n">
        <v>14.582795</v>
      </c>
      <c r="M2328" s="3" t="n">
        <v>13.29917</v>
      </c>
      <c r="N2328" s="3" t="n">
        <v>5.097073</v>
      </c>
      <c r="O2328" s="3" t="n">
        <v>7.229717</v>
      </c>
      <c r="P2328" s="3" t="n">
        <v>-0.901297</v>
      </c>
      <c r="Q2328" s="3" t="n">
        <v>7.594758</v>
      </c>
      <c r="R2328" s="3" t="n">
        <v>11.443589</v>
      </c>
      <c r="S2328" s="3" t="n">
        <v>8.990690000000001</v>
      </c>
      <c r="T2328" s="3" t="n">
        <v>5.879914</v>
      </c>
      <c r="U2328" s="3" t="n">
        <v>4.629956</v>
      </c>
      <c r="V2328" s="3" t="n">
        <v>-13.76292</v>
      </c>
      <c r="W2328" s="3" t="n">
        <v>-16.554821</v>
      </c>
      <c r="X2328" s="3" t="n">
        <v>-13.614415</v>
      </c>
      <c r="Y2328" s="3" t="n">
        <v>-4.873321</v>
      </c>
      <c r="Z2328" s="3" t="n">
        <v>-4.918194</v>
      </c>
      <c r="AA2328" s="3" t="n">
        <v>-16.548847</v>
      </c>
      <c r="AB2328" s="3" t="n">
        <v>-5.537642</v>
      </c>
      <c r="AC2328" s="3" t="n">
        <v>3.650704</v>
      </c>
      <c r="AD2328" s="3" t="n">
        <v>2.290308</v>
      </c>
      <c r="AE2328" s="3" t="n">
        <v>3.23832</v>
      </c>
      <c r="AF2328" s="3" t="n">
        <v>1.316815</v>
      </c>
      <c r="AG2328" s="3" t="n">
        <v>7.507474</v>
      </c>
      <c r="AH2328" s="3" t="n">
        <v>5.627482</v>
      </c>
      <c r="AI2328" s="3" t="n">
        <v>6.041176</v>
      </c>
      <c r="AJ2328" s="3" t="n">
        <v>5.984547</v>
      </c>
      <c r="AK2328" s="3" t="n">
        <v>5.812342</v>
      </c>
      <c r="AL2328" s="3" t="n">
        <v>5.624081</v>
      </c>
      <c r="AM2328" s="3" t="n"/>
      <c r="AN2328" s="3" t="n"/>
      <c r="AO2328" s="3" t="n"/>
      <c r="AP2328" s="3" t="n"/>
      <c r="AQ2328" s="3" t="n"/>
      <c r="AR2328" s="3" t="n"/>
      <c r="AS2328" s="3" t="n"/>
      <c r="AT2328" s="3" t="n"/>
      <c r="AU2328" s="3" t="n"/>
    </row>
    <row r="2329">
      <c r="A2329" s="3" t="n">
        <v>2031</v>
      </c>
      <c r="B2329" s="3" t="inlineStr">
        <is>
          <t>OMN</t>
        </is>
      </c>
      <c r="C2329" s="3" t="inlineStr">
        <is>
          <t>IMF.RES:WEO</t>
        </is>
      </c>
      <c r="D2329" s="3" t="inlineStr">
        <is>
          <t>OMN.GGR_NGDP.A</t>
        </is>
      </c>
      <c r="E2329" s="3" t="inlineStr">
        <is>
          <t>Oman</t>
        </is>
      </c>
      <c r="F2329" s="3" t="inlineStr">
        <is>
          <t>Revenue, General government, Percent of GDP</t>
        </is>
      </c>
      <c r="G2329" s="3" t="n">
        <v>43.381995</v>
      </c>
      <c r="H2329" s="3" t="n">
        <v>40.823803</v>
      </c>
      <c r="I2329" s="3" t="n">
        <v>39.451114</v>
      </c>
      <c r="J2329" s="3" t="n">
        <v>39.87642</v>
      </c>
      <c r="K2329" s="3" t="n">
        <v>39.507234</v>
      </c>
      <c r="L2329" s="3" t="n">
        <v>41.83625</v>
      </c>
      <c r="M2329" s="3" t="n">
        <v>42.281816</v>
      </c>
      <c r="N2329" s="3" t="n">
        <v>41.212153</v>
      </c>
      <c r="O2329" s="3" t="n">
        <v>40.242346</v>
      </c>
      <c r="P2329" s="3" t="n">
        <v>33.100813</v>
      </c>
      <c r="Q2329" s="3" t="n">
        <v>35.531049</v>
      </c>
      <c r="R2329" s="3" t="n">
        <v>42.733539</v>
      </c>
      <c r="S2329" s="3" t="n">
        <v>42.70236</v>
      </c>
      <c r="T2329" s="3" t="n">
        <v>42.070601</v>
      </c>
      <c r="U2329" s="3" t="n">
        <v>39.838476</v>
      </c>
      <c r="V2329" s="3" t="n">
        <v>31.067747</v>
      </c>
      <c r="W2329" s="3" t="n">
        <v>24.99164</v>
      </c>
      <c r="X2329" s="3" t="n">
        <v>28.969261</v>
      </c>
      <c r="Y2329" s="3" t="n">
        <v>31.601395</v>
      </c>
      <c r="Z2329" s="3" t="n">
        <v>33.948494</v>
      </c>
      <c r="AA2329" s="3" t="n">
        <v>28.864985</v>
      </c>
      <c r="AB2329" s="3" t="n">
        <v>33.319761</v>
      </c>
      <c r="AC2329" s="3" t="n">
        <v>41.446676</v>
      </c>
      <c r="AD2329" s="3" t="n">
        <v>34.247168</v>
      </c>
      <c r="AE2329" s="3" t="n">
        <v>31.945071</v>
      </c>
      <c r="AF2329" s="3" t="n">
        <v>29.94834</v>
      </c>
      <c r="AG2329" s="3" t="n">
        <v>31.801183</v>
      </c>
      <c r="AH2329" s="3" t="n">
        <v>30.297493</v>
      </c>
      <c r="AI2329" s="3" t="n">
        <v>29.77148</v>
      </c>
      <c r="AJ2329" s="3" t="n">
        <v>29.144405</v>
      </c>
      <c r="AK2329" s="3" t="n">
        <v>28.55445</v>
      </c>
      <c r="AL2329" s="3" t="n">
        <v>27.679296</v>
      </c>
      <c r="AM2329" s="3" t="n"/>
      <c r="AN2329" s="3" t="n"/>
      <c r="AO2329" s="3" t="n"/>
      <c r="AP2329" s="3" t="n"/>
      <c r="AQ2329" s="3" t="n"/>
      <c r="AR2329" s="3" t="n"/>
      <c r="AS2329" s="3" t="n"/>
      <c r="AT2329" s="3" t="n"/>
      <c r="AU2329" s="3" t="n"/>
    </row>
    <row r="2330">
      <c r="A2330" s="3" t="n">
        <v>2031</v>
      </c>
      <c r="B2330" s="3" t="inlineStr">
        <is>
          <t>OMN</t>
        </is>
      </c>
      <c r="C2330" s="3" t="inlineStr">
        <is>
          <t>IMF.RES:WEO</t>
        </is>
      </c>
      <c r="D2330" s="3" t="inlineStr">
        <is>
          <t>OMN.GGX_NGDP.A</t>
        </is>
      </c>
      <c r="E2330" s="3" t="inlineStr">
        <is>
          <t>Oman</t>
        </is>
      </c>
      <c r="F2330" s="3" t="inlineStr">
        <is>
          <t>Expenditure, General government, Percent of GDP</t>
        </is>
      </c>
      <c r="G2330" s="3" t="n">
        <v>31.221806</v>
      </c>
      <c r="H2330" s="3" t="n">
        <v>33.278703</v>
      </c>
      <c r="I2330" s="3" t="n">
        <v>34.137514</v>
      </c>
      <c r="J2330" s="3" t="n">
        <v>33.956804</v>
      </c>
      <c r="K2330" s="3" t="n">
        <v>34.077225</v>
      </c>
      <c r="L2330" s="3" t="n">
        <v>30.626873</v>
      </c>
      <c r="M2330" s="3" t="n">
        <v>30.055395</v>
      </c>
      <c r="N2330" s="3" t="n">
        <v>30.722942</v>
      </c>
      <c r="O2330" s="3" t="n">
        <v>25.586546</v>
      </c>
      <c r="P2330" s="3" t="n">
        <v>33.371467</v>
      </c>
      <c r="Q2330" s="3" t="n">
        <v>30.58541</v>
      </c>
      <c r="R2330" s="3" t="n">
        <v>34.49488</v>
      </c>
      <c r="S2330" s="3" t="n">
        <v>38.629008</v>
      </c>
      <c r="T2330" s="3" t="n">
        <v>39.292884</v>
      </c>
      <c r="U2330" s="3" t="n">
        <v>41.415331</v>
      </c>
      <c r="V2330" s="3" t="n">
        <v>44.541334</v>
      </c>
      <c r="W2330" s="3" t="n">
        <v>44.614022</v>
      </c>
      <c r="X2330" s="3" t="n">
        <v>39.4285</v>
      </c>
      <c r="Y2330" s="3" t="n">
        <v>38.320635</v>
      </c>
      <c r="Z2330" s="3" t="n">
        <v>38.778544</v>
      </c>
      <c r="AA2330" s="3" t="n">
        <v>44.538278</v>
      </c>
      <c r="AB2330" s="3" t="n">
        <v>36.492865</v>
      </c>
      <c r="AC2330" s="3" t="n">
        <v>31.098885</v>
      </c>
      <c r="AD2330" s="3" t="n">
        <v>27.527392</v>
      </c>
      <c r="AE2330" s="3" t="n">
        <v>28.723703</v>
      </c>
      <c r="AF2330" s="3" t="n">
        <v>28.908776</v>
      </c>
      <c r="AG2330" s="3" t="n">
        <v>26.557402</v>
      </c>
      <c r="AH2330" s="3" t="n">
        <v>26.000729</v>
      </c>
      <c r="AI2330" s="3" t="n">
        <v>25.116249</v>
      </c>
      <c r="AJ2330" s="3" t="n">
        <v>24.600533</v>
      </c>
      <c r="AK2330" s="3" t="n">
        <v>23.817407</v>
      </c>
      <c r="AL2330" s="3" t="n">
        <v>23.059846</v>
      </c>
      <c r="AM2330" s="3" t="n"/>
      <c r="AN2330" s="3" t="n"/>
      <c r="AO2330" s="3" t="n"/>
      <c r="AP2330" s="3" t="n"/>
      <c r="AQ2330" s="3" t="n"/>
      <c r="AR2330" s="3" t="n"/>
      <c r="AS2330" s="3" t="n"/>
      <c r="AT2330" s="3" t="n"/>
      <c r="AU2330" s="3" t="n"/>
    </row>
    <row r="2331">
      <c r="A2331" s="3" t="n">
        <v>2031</v>
      </c>
      <c r="B2331" s="3" t="inlineStr">
        <is>
          <t>OMN</t>
        </is>
      </c>
      <c r="C2331" s="3" t="inlineStr">
        <is>
          <t>IMF.RES:WEO</t>
        </is>
      </c>
      <c r="D2331" s="3" t="inlineStr">
        <is>
          <t>OMN.LP.A</t>
        </is>
      </c>
      <c r="E2331" s="3" t="inlineStr">
        <is>
          <t>Oman</t>
        </is>
      </c>
      <c r="F2331" s="3" t="inlineStr">
        <is>
          <t>Population, Persons for countries / Index for country groups</t>
        </is>
      </c>
      <c r="G2331" s="3" t="n">
        <v>2.402184</v>
      </c>
      <c r="H2331" s="3" t="n">
        <v>2.443347</v>
      </c>
      <c r="I2331" s="3" t="n">
        <v>2.484085</v>
      </c>
      <c r="J2331" s="3" t="n">
        <v>2.525751</v>
      </c>
      <c r="K2331" s="3" t="n">
        <v>2.569963</v>
      </c>
      <c r="L2331" s="3" t="n">
        <v>2.617833</v>
      </c>
      <c r="M2331" s="3" t="n">
        <v>2.670055</v>
      </c>
      <c r="N2331" s="3" t="n">
        <v>2.726301</v>
      </c>
      <c r="O2331" s="3" t="n">
        <v>2.785361</v>
      </c>
      <c r="P2331" s="3" t="n">
        <v>2.882849</v>
      </c>
      <c r="Q2331" s="3" t="n">
        <v>2.998163</v>
      </c>
      <c r="R2331" s="3" t="n">
        <v>3.295158</v>
      </c>
      <c r="S2331" s="3" t="n">
        <v>3.62256</v>
      </c>
      <c r="T2331" s="3" t="n">
        <v>3.855206</v>
      </c>
      <c r="U2331" s="3" t="n">
        <v>3.992263</v>
      </c>
      <c r="V2331" s="3" t="n">
        <v>4.159102</v>
      </c>
      <c r="W2331" s="3" t="n">
        <v>4.414051</v>
      </c>
      <c r="X2331" s="3" t="n">
        <v>4.559963</v>
      </c>
      <c r="Y2331" s="3" t="n">
        <v>4.601706</v>
      </c>
      <c r="Z2331" s="3" t="n">
        <v>4.617927</v>
      </c>
      <c r="AA2331" s="3" t="n">
        <v>4.445262</v>
      </c>
      <c r="AB2331" s="3" t="n">
        <v>4.487678</v>
      </c>
      <c r="AC2331" s="3" t="n">
        <v>4.93385</v>
      </c>
      <c r="AD2331" s="3" t="n">
        <v>5.166</v>
      </c>
      <c r="AE2331" s="3" t="n">
        <v>5.218693</v>
      </c>
      <c r="AF2331" s="3" t="n">
        <v>5.307411</v>
      </c>
      <c r="AG2331" s="3" t="n">
        <v>5.413559</v>
      </c>
      <c r="AH2331" s="3" t="n">
        <v>5.52183</v>
      </c>
      <c r="AI2331" s="3" t="n">
        <v>5.632267</v>
      </c>
      <c r="AJ2331" s="3" t="n">
        <v>5.744912</v>
      </c>
      <c r="AK2331" s="3" t="n">
        <v>5.859811</v>
      </c>
      <c r="AL2331" s="3" t="n">
        <v>5.977007</v>
      </c>
      <c r="AM2331" s="3" t="n"/>
      <c r="AN2331" s="3" t="n"/>
      <c r="AO2331" s="3" t="n"/>
      <c r="AP2331" s="3" t="n"/>
      <c r="AQ2331" s="3" t="n"/>
      <c r="AR2331" s="3" t="n"/>
      <c r="AS2331" s="3" t="n"/>
      <c r="AT2331" s="3" t="n"/>
      <c r="AU2331" s="3" t="n"/>
    </row>
    <row r="2332">
      <c r="A2332" s="3" t="n">
        <v>2031</v>
      </c>
      <c r="B2332" s="3" t="inlineStr">
        <is>
          <t>OMN</t>
        </is>
      </c>
      <c r="C2332" s="3" t="inlineStr">
        <is>
          <t>IMF.RES:WEO</t>
        </is>
      </c>
      <c r="D2332" s="3" t="inlineStr">
        <is>
          <t>OMN.NGDP.A</t>
        </is>
      </c>
      <c r="E2332" s="3" t="inlineStr">
        <is>
          <t>Oman</t>
        </is>
      </c>
      <c r="F2332" s="3" t="inlineStr">
        <is>
          <t>Gross domestic product (GDP), Current prices, Domestic currency</t>
        </is>
      </c>
      <c r="G2332" s="3" t="n">
        <v>8.558776999999999</v>
      </c>
      <c r="H2332" s="3" t="n">
        <v>8.538076</v>
      </c>
      <c r="I2332" s="3" t="n">
        <v>8.868715999999999</v>
      </c>
      <c r="J2332" s="3" t="n">
        <v>9.510132</v>
      </c>
      <c r="K2332" s="3" t="n">
        <v>10.911687</v>
      </c>
      <c r="L2332" s="3" t="n">
        <v>13.65239</v>
      </c>
      <c r="M2332" s="3" t="n">
        <v>16.371104</v>
      </c>
      <c r="N2332" s="3" t="n">
        <v>18.571463</v>
      </c>
      <c r="O2332" s="3" t="n">
        <v>26.839887</v>
      </c>
      <c r="P2332" s="3" t="n">
        <v>21.322107</v>
      </c>
      <c r="Q2332" s="3" t="n">
        <v>24.990019</v>
      </c>
      <c r="R2332" s="3" t="n">
        <v>29.797756</v>
      </c>
      <c r="S2332" s="3" t="n">
        <v>33.608681</v>
      </c>
      <c r="T2332" s="3" t="n">
        <v>34.580443</v>
      </c>
      <c r="U2332" s="3" t="n">
        <v>35.642813</v>
      </c>
      <c r="V2332" s="3" t="n">
        <v>30.264334</v>
      </c>
      <c r="W2332" s="3" t="n">
        <v>28.887045</v>
      </c>
      <c r="X2332" s="3" t="n">
        <v>31.089353</v>
      </c>
      <c r="Y2332" s="3" t="n">
        <v>35.184123</v>
      </c>
      <c r="Z2332" s="3" t="n">
        <v>33.859365</v>
      </c>
      <c r="AA2332" s="3" t="n">
        <v>29.1869</v>
      </c>
      <c r="AB2332" s="3" t="n">
        <v>33.576041</v>
      </c>
      <c r="AC2332" s="3" t="n">
        <v>42.238429</v>
      </c>
      <c r="AD2332" s="3" t="n">
        <v>40.8242</v>
      </c>
      <c r="AE2332" s="3" t="n">
        <v>41.1942</v>
      </c>
      <c r="AF2332" s="3" t="n">
        <v>40.805947</v>
      </c>
      <c r="AG2332" s="3" t="n">
        <v>45.054097</v>
      </c>
      <c r="AH2332" s="3" t="n">
        <v>45.554725</v>
      </c>
      <c r="AI2332" s="3" t="n">
        <v>47.186197</v>
      </c>
      <c r="AJ2332" s="3" t="n">
        <v>49.354464</v>
      </c>
      <c r="AK2332" s="3" t="n">
        <v>51.568039</v>
      </c>
      <c r="AL2332" s="3" t="n">
        <v>53.571091</v>
      </c>
      <c r="AM2332" s="3" t="n"/>
      <c r="AN2332" s="3" t="n"/>
      <c r="AO2332" s="3" t="n"/>
      <c r="AP2332" s="3" t="n"/>
      <c r="AQ2332" s="3" t="n"/>
      <c r="AR2332" s="3" t="n"/>
      <c r="AS2332" s="3" t="n"/>
      <c r="AT2332" s="3" t="n"/>
      <c r="AU2332" s="3" t="n"/>
    </row>
    <row r="2333">
      <c r="A2333" s="3" t="n">
        <v>2031</v>
      </c>
      <c r="B2333" s="3" t="inlineStr">
        <is>
          <t>OMN</t>
        </is>
      </c>
      <c r="C2333" s="3" t="inlineStr">
        <is>
          <t>IMF.RES:WEO</t>
        </is>
      </c>
      <c r="D2333" s="3" t="inlineStr">
        <is>
          <t>OMN.NGDP_D.A</t>
        </is>
      </c>
      <c r="E2333" s="3" t="inlineStr">
        <is>
          <t>Oman</t>
        </is>
      </c>
      <c r="F2333" s="3" t="inlineStr">
        <is>
          <t>Gross domestic product (GDP), Price deflator, Index</t>
        </is>
      </c>
      <c r="G2333" s="3" t="n">
        <v>45.035885</v>
      </c>
      <c r="H2333" s="3" t="n">
        <v>42.945992</v>
      </c>
      <c r="I2333" s="3" t="n">
        <v>44.961625</v>
      </c>
      <c r="J2333" s="3" t="n">
        <v>49.295266</v>
      </c>
      <c r="K2333" s="3" t="n">
        <v>55.455235</v>
      </c>
      <c r="L2333" s="3" t="n">
        <v>67.507527</v>
      </c>
      <c r="M2333" s="3" t="n">
        <v>77.33924</v>
      </c>
      <c r="N2333" s="3" t="n">
        <v>83.57179499999999</v>
      </c>
      <c r="O2333" s="3" t="n">
        <v>110.857775</v>
      </c>
      <c r="P2333" s="3" t="n">
        <v>83.09674800000001</v>
      </c>
      <c r="Q2333" s="3" t="n">
        <v>95.04179499999999</v>
      </c>
      <c r="R2333" s="3" t="n">
        <v>110.138656</v>
      </c>
      <c r="S2333" s="3" t="n">
        <v>114.110532</v>
      </c>
      <c r="T2333" s="3" t="n">
        <v>111.577284</v>
      </c>
      <c r="U2333" s="3" t="n">
        <v>113.537996</v>
      </c>
      <c r="V2333" s="3" t="n">
        <v>91.799316</v>
      </c>
      <c r="W2333" s="3" t="n">
        <v>83.412487</v>
      </c>
      <c r="X2333" s="3" t="n">
        <v>89.49956400000001</v>
      </c>
      <c r="Y2333" s="3" t="n">
        <v>99.999475</v>
      </c>
      <c r="Z2333" s="3" t="n">
        <v>97.333339</v>
      </c>
      <c r="AA2333" s="3" t="n">
        <v>86.83656999999999</v>
      </c>
      <c r="AB2333" s="3" t="n">
        <v>97.38085599999999</v>
      </c>
      <c r="AC2333" s="3" t="n">
        <v>113.445012</v>
      </c>
      <c r="AD2333" s="3" t="n">
        <v>108.120459</v>
      </c>
      <c r="AE2333" s="3" t="n">
        <v>107.346319</v>
      </c>
      <c r="AF2333" s="3" t="n">
        <v>103.846195</v>
      </c>
      <c r="AG2333" s="3" t="n">
        <v>110.8316</v>
      </c>
      <c r="AH2333" s="3" t="n">
        <v>108.361655</v>
      </c>
      <c r="AI2333" s="3" t="n">
        <v>108.220158</v>
      </c>
      <c r="AJ2333" s="3" t="n">
        <v>109.391093</v>
      </c>
      <c r="AK2333" s="3" t="n">
        <v>110.678005</v>
      </c>
      <c r="AL2333" s="3" t="n">
        <v>111.98063</v>
      </c>
      <c r="AM2333" s="3" t="n"/>
      <c r="AN2333" s="3" t="n"/>
      <c r="AO2333" s="3" t="n"/>
      <c r="AP2333" s="3" t="n"/>
      <c r="AQ2333" s="3" t="n"/>
      <c r="AR2333" s="3" t="n"/>
      <c r="AS2333" s="3" t="n"/>
      <c r="AT2333" s="3" t="n"/>
      <c r="AU2333" s="3" t="n"/>
    </row>
    <row r="2334">
      <c r="A2334" s="3" t="n">
        <v>2031</v>
      </c>
      <c r="B2334" s="3" t="inlineStr">
        <is>
          <t>OMN</t>
        </is>
      </c>
      <c r="C2334" s="3" t="inlineStr">
        <is>
          <t>IMF.RES:WEO</t>
        </is>
      </c>
      <c r="D2334" s="3" t="inlineStr">
        <is>
          <t>OMN.NGDP_R.A</t>
        </is>
      </c>
      <c r="E2334" s="3" t="inlineStr">
        <is>
          <t>Oman</t>
        </is>
      </c>
      <c r="F2334" s="3" t="inlineStr">
        <is>
          <t>Gross domestic product (GDP), Constant prices, Domestic currency</t>
        </is>
      </c>
      <c r="G2334" s="3" t="n">
        <v>19.004349</v>
      </c>
      <c r="H2334" s="3" t="n">
        <v>19.880961</v>
      </c>
      <c r="I2334" s="3" t="n">
        <v>19.725078</v>
      </c>
      <c r="J2334" s="3" t="n">
        <v>19.29218</v>
      </c>
      <c r="K2334" s="3" t="n">
        <v>19.676567</v>
      </c>
      <c r="L2334" s="3" t="n">
        <v>20.223507</v>
      </c>
      <c r="M2334" s="3" t="n">
        <v>21.167914</v>
      </c>
      <c r="N2334" s="3" t="n">
        <v>22.222166</v>
      </c>
      <c r="O2334" s="3" t="n">
        <v>24.2111</v>
      </c>
      <c r="P2334" s="3" t="n">
        <v>25.659377</v>
      </c>
      <c r="Q2334" s="3" t="n">
        <v>26.293716</v>
      </c>
      <c r="R2334" s="3" t="n">
        <v>27.054766</v>
      </c>
      <c r="S2334" s="3" t="n">
        <v>29.452742</v>
      </c>
      <c r="T2334" s="3" t="n">
        <v>30.992368</v>
      </c>
      <c r="U2334" s="3" t="n">
        <v>31.39285</v>
      </c>
      <c r="V2334" s="3" t="n">
        <v>32.967929</v>
      </c>
      <c r="W2334" s="3" t="n">
        <v>34.631559</v>
      </c>
      <c r="X2334" s="3" t="n">
        <v>34.736877</v>
      </c>
      <c r="Y2334" s="3" t="n">
        <v>35.184308</v>
      </c>
      <c r="Z2334" s="3" t="n">
        <v>34.787017</v>
      </c>
      <c r="AA2334" s="3" t="n">
        <v>33.6113</v>
      </c>
      <c r="AB2334" s="3" t="n">
        <v>34.479098</v>
      </c>
      <c r="AC2334" s="3" t="n">
        <v>37.232513</v>
      </c>
      <c r="AD2334" s="3" t="n">
        <v>37.758071</v>
      </c>
      <c r="AE2334" s="3" t="n">
        <v>38.375046</v>
      </c>
      <c r="AF2334" s="3" t="n">
        <v>39.2946</v>
      </c>
      <c r="AG2334" s="3" t="n">
        <v>40.650949</v>
      </c>
      <c r="AH2334" s="3" t="n">
        <v>42.039525</v>
      </c>
      <c r="AI2334" s="3" t="n">
        <v>43.60204</v>
      </c>
      <c r="AJ2334" s="3" t="n">
        <v>45.117443</v>
      </c>
      <c r="AK2334" s="3" t="n">
        <v>46.592852</v>
      </c>
      <c r="AL2334" s="3" t="n">
        <v>47.839605</v>
      </c>
      <c r="AM2334" s="3" t="n"/>
      <c r="AN2334" s="3" t="n"/>
      <c r="AO2334" s="3" t="n"/>
      <c r="AP2334" s="3" t="n"/>
      <c r="AQ2334" s="3" t="n"/>
      <c r="AR2334" s="3" t="n"/>
      <c r="AS2334" s="3" t="n"/>
      <c r="AT2334" s="3" t="n"/>
      <c r="AU2334" s="3" t="n"/>
    </row>
    <row r="2335">
      <c r="A2335" s="3" t="n">
        <v>2031</v>
      </c>
      <c r="B2335" s="3" t="inlineStr">
        <is>
          <t>OMN</t>
        </is>
      </c>
      <c r="C2335" s="3" t="inlineStr">
        <is>
          <t>IMF.RES:WEO</t>
        </is>
      </c>
      <c r="D2335" s="3" t="inlineStr">
        <is>
          <t>OMN.NGDP_RPCH.A</t>
        </is>
      </c>
      <c r="E2335" s="3" t="inlineStr">
        <is>
          <t>Oman</t>
        </is>
      </c>
      <c r="F2335" s="3" t="inlineStr">
        <is>
          <t>Gross domestic product (GDP), Constant prices, Percent change</t>
        </is>
      </c>
      <c r="G2335" s="3" t="n">
        <v>6.192545</v>
      </c>
      <c r="H2335" s="3" t="n">
        <v>4.612689</v>
      </c>
      <c r="I2335" s="3" t="n">
        <v>-0.784081</v>
      </c>
      <c r="J2335" s="3" t="n">
        <v>-2.194658</v>
      </c>
      <c r="K2335" s="3" t="n">
        <v>1.992451</v>
      </c>
      <c r="L2335" s="3" t="n">
        <v>2.779652</v>
      </c>
      <c r="M2335" s="3" t="n">
        <v>4.669848</v>
      </c>
      <c r="N2335" s="3" t="n">
        <v>4.980425</v>
      </c>
      <c r="O2335" s="3" t="n">
        <v>8.950222999999999</v>
      </c>
      <c r="P2335" s="3" t="n">
        <v>5.981871</v>
      </c>
      <c r="Q2335" s="3" t="n">
        <v>2.472153</v>
      </c>
      <c r="R2335" s="3" t="n">
        <v>2.894419</v>
      </c>
      <c r="S2335" s="3" t="n">
        <v>8.863416000000001</v>
      </c>
      <c r="T2335" s="3" t="n">
        <v>5.227444</v>
      </c>
      <c r="U2335" s="3" t="n">
        <v>1.292196</v>
      </c>
      <c r="V2335" s="3" t="n">
        <v>5.017318</v>
      </c>
      <c r="W2335" s="3" t="n">
        <v>5.046207</v>
      </c>
      <c r="X2335" s="3" t="n">
        <v>0.304109</v>
      </c>
      <c r="Y2335" s="3" t="n">
        <v>1.288057</v>
      </c>
      <c r="Z2335" s="3" t="n">
        <v>-1.129171</v>
      </c>
      <c r="AA2335" s="3" t="n">
        <v>-3.379758</v>
      </c>
      <c r="AB2335" s="3" t="n">
        <v>2.581863</v>
      </c>
      <c r="AC2335" s="3" t="n">
        <v>7.985752</v>
      </c>
      <c r="AD2335" s="3" t="n">
        <v>1.411557</v>
      </c>
      <c r="AE2335" s="3" t="n">
        <v>1.634022</v>
      </c>
      <c r="AF2335" s="3" t="n">
        <v>2.396228</v>
      </c>
      <c r="AG2335" s="3" t="n">
        <v>3.451743</v>
      </c>
      <c r="AH2335" s="3" t="n">
        <v>3.415852</v>
      </c>
      <c r="AI2335" s="3" t="n">
        <v>3.716777</v>
      </c>
      <c r="AJ2335" s="3" t="n">
        <v>3.475532</v>
      </c>
      <c r="AK2335" s="3" t="n">
        <v>3.270151</v>
      </c>
      <c r="AL2335" s="3" t="n">
        <v>2.675848</v>
      </c>
      <c r="AM2335" s="3" t="n"/>
      <c r="AN2335" s="3" t="n"/>
      <c r="AO2335" s="3" t="n"/>
      <c r="AP2335" s="3" t="n"/>
      <c r="AQ2335" s="3" t="n"/>
      <c r="AR2335" s="3" t="n"/>
      <c r="AS2335" s="3" t="n"/>
      <c r="AT2335" s="3" t="n"/>
      <c r="AU2335" s="3" t="n"/>
    </row>
    <row r="2336">
      <c r="A2336" s="3" t="n">
        <v>2031</v>
      </c>
      <c r="B2336" s="3" t="inlineStr">
        <is>
          <t>OMN</t>
        </is>
      </c>
      <c r="C2336" s="3" t="inlineStr">
        <is>
          <t>IMF.RES:WEO</t>
        </is>
      </c>
      <c r="D2336" s="3" t="inlineStr">
        <is>
          <t>OMN.NGDPD.A</t>
        </is>
      </c>
      <c r="E2336" s="3" t="inlineStr">
        <is>
          <t>Oman</t>
        </is>
      </c>
      <c r="F2336" s="3" t="inlineStr">
        <is>
          <t>Gross domestic product (GDP), Current prices, US dollar</t>
        </is>
      </c>
      <c r="G2336" s="3" t="n">
        <v>22.259498</v>
      </c>
      <c r="H2336" s="3" t="n">
        <v>22.205659</v>
      </c>
      <c r="I2336" s="3" t="n">
        <v>23.06558</v>
      </c>
      <c r="J2336" s="3" t="n">
        <v>24.733762</v>
      </c>
      <c r="K2336" s="3" t="n">
        <v>28.378899</v>
      </c>
      <c r="L2336" s="3" t="n">
        <v>35.506865</v>
      </c>
      <c r="M2336" s="3" t="n">
        <v>42.577644</v>
      </c>
      <c r="N2336" s="3" t="n">
        <v>48.300295</v>
      </c>
      <c r="O2336" s="3" t="n">
        <v>69.804647</v>
      </c>
      <c r="P2336" s="3" t="n">
        <v>55.454116</v>
      </c>
      <c r="Q2336" s="3" t="n">
        <v>64.993548</v>
      </c>
      <c r="R2336" s="3" t="n">
        <v>77.49741400000001</v>
      </c>
      <c r="S2336" s="3" t="n">
        <v>87.408794</v>
      </c>
      <c r="T2336" s="3" t="n">
        <v>89.936131</v>
      </c>
      <c r="U2336" s="3" t="n">
        <v>92.699123</v>
      </c>
      <c r="V2336" s="3" t="n">
        <v>78.710881</v>
      </c>
      <c r="W2336" s="3" t="n">
        <v>75.128855</v>
      </c>
      <c r="X2336" s="3" t="n">
        <v>80.856576</v>
      </c>
      <c r="Y2336" s="3" t="n">
        <v>91.50617200000001</v>
      </c>
      <c r="Z2336" s="3" t="n">
        <v>88.060767</v>
      </c>
      <c r="AA2336" s="3" t="n">
        <v>75.90871300000001</v>
      </c>
      <c r="AB2336" s="3" t="n">
        <v>87.323903</v>
      </c>
      <c r="AC2336" s="3" t="n">
        <v>109.852871</v>
      </c>
      <c r="AD2336" s="3" t="n">
        <v>106.174772</v>
      </c>
      <c r="AE2336" s="3" t="n">
        <v>107.137061</v>
      </c>
      <c r="AF2336" s="3" t="n">
        <v>106.127301</v>
      </c>
      <c r="AG2336" s="3" t="n">
        <v>117.175804</v>
      </c>
      <c r="AH2336" s="3" t="n">
        <v>118.477829</v>
      </c>
      <c r="AI2336" s="3" t="n">
        <v>122.720928</v>
      </c>
      <c r="AJ2336" s="3" t="n">
        <v>128.360115</v>
      </c>
      <c r="AK2336" s="3" t="n">
        <v>134.117136</v>
      </c>
      <c r="AL2336" s="3" t="n">
        <v>139.326636</v>
      </c>
      <c r="AM2336" s="3" t="n"/>
      <c r="AN2336" s="3" t="n"/>
      <c r="AO2336" s="3" t="n"/>
      <c r="AP2336" s="3" t="n"/>
      <c r="AQ2336" s="3" t="n"/>
      <c r="AR2336" s="3" t="n"/>
      <c r="AS2336" s="3" t="n"/>
      <c r="AT2336" s="3" t="n"/>
      <c r="AU2336" s="3" t="n"/>
    </row>
    <row r="2337">
      <c r="A2337" s="3" t="n">
        <v>2031</v>
      </c>
      <c r="B2337" s="3" t="inlineStr">
        <is>
          <t>OMN</t>
        </is>
      </c>
      <c r="C2337" s="3" t="inlineStr">
        <is>
          <t>IMF.RES:WEO</t>
        </is>
      </c>
      <c r="D2337" s="3" t="inlineStr">
        <is>
          <t>OMN.NGDPPC.A</t>
        </is>
      </c>
      <c r="E2337" s="3" t="inlineStr">
        <is>
          <t>Oman</t>
        </is>
      </c>
      <c r="F2337" s="3" t="inlineStr">
        <is>
          <t>Gross domestic product (GDP), Current prices, Per capita, Domestic currency</t>
        </is>
      </c>
      <c r="G2337" s="3" t="n">
        <v>3562.914751</v>
      </c>
      <c r="H2337" s="3" t="n">
        <v>3494.41809</v>
      </c>
      <c r="I2337" s="3" t="n">
        <v>3570.214231</v>
      </c>
      <c r="J2337" s="3" t="n">
        <v>3765.268838</v>
      </c>
      <c r="K2337" s="3" t="n">
        <v>4245.853642</v>
      </c>
      <c r="L2337" s="3" t="n">
        <v>5215.149219</v>
      </c>
      <c r="M2337" s="3" t="n">
        <v>6131.373327</v>
      </c>
      <c r="N2337" s="3" t="n">
        <v>6811.963691</v>
      </c>
      <c r="O2337" s="3" t="n">
        <v>9636.053148000001</v>
      </c>
      <c r="P2337" s="3" t="n">
        <v>7396.193877</v>
      </c>
      <c r="Q2337" s="3" t="n">
        <v>8335.111489999999</v>
      </c>
      <c r="R2337" s="3" t="n">
        <v>9042.891313</v>
      </c>
      <c r="S2337" s="3" t="n">
        <v>9277.605097</v>
      </c>
      <c r="T2337" s="3" t="n">
        <v>8969.804086</v>
      </c>
      <c r="U2337" s="3" t="n">
        <v>8927.972141</v>
      </c>
      <c r="V2337" s="3" t="n">
        <v>7276.650964</v>
      </c>
      <c r="W2337" s="3" t="n">
        <v>6544.338691</v>
      </c>
      <c r="X2337" s="3" t="n">
        <v>6817.895952</v>
      </c>
      <c r="Y2337" s="3" t="n">
        <v>7645.886759</v>
      </c>
      <c r="Z2337" s="3" t="n">
        <v>7332.156835</v>
      </c>
      <c r="AA2337" s="3" t="n">
        <v>6565.844713</v>
      </c>
      <c r="AB2337" s="3" t="n">
        <v>7481.829287</v>
      </c>
      <c r="AC2337" s="3" t="n">
        <v>8560.947135</v>
      </c>
      <c r="AD2337" s="3" t="n">
        <v>7902.477739</v>
      </c>
      <c r="AE2337" s="3" t="n">
        <v>7893.585314</v>
      </c>
      <c r="AF2337" s="3" t="n">
        <v>7688.484503</v>
      </c>
      <c r="AG2337" s="3" t="n">
        <v>8322.453831999999</v>
      </c>
      <c r="AH2337" s="3" t="n">
        <v>8249.931986</v>
      </c>
      <c r="AI2337" s="3" t="n">
        <v>8377.833817999999</v>
      </c>
      <c r="AJ2337" s="3" t="n">
        <v>8590.986500000001</v>
      </c>
      <c r="AK2337" s="3" t="n">
        <v>8800.291062</v>
      </c>
      <c r="AL2337" s="3" t="n">
        <v>8962.862719000001</v>
      </c>
      <c r="AM2337" s="3" t="n"/>
      <c r="AN2337" s="3" t="n"/>
      <c r="AO2337" s="3" t="n"/>
      <c r="AP2337" s="3" t="n"/>
      <c r="AQ2337" s="3" t="n"/>
      <c r="AR2337" s="3" t="n"/>
      <c r="AS2337" s="3" t="n"/>
      <c r="AT2337" s="3" t="n"/>
      <c r="AU2337" s="3" t="n"/>
    </row>
    <row r="2338">
      <c r="A2338" s="3" t="n">
        <v>2031</v>
      </c>
      <c r="B2338" s="3" t="inlineStr">
        <is>
          <t>OMN</t>
        </is>
      </c>
      <c r="C2338" s="3" t="inlineStr">
        <is>
          <t>IMF.RES:WEO</t>
        </is>
      </c>
      <c r="D2338" s="3" t="inlineStr">
        <is>
          <t>OMN.NGDPRPC.A</t>
        </is>
      </c>
      <c r="E2338" s="3" t="inlineStr">
        <is>
          <t>Oman</t>
        </is>
      </c>
      <c r="F2338" s="3" t="inlineStr">
        <is>
          <t>Gross domestic product (GDP), Constant prices, Per capita, Domestic currency</t>
        </is>
      </c>
      <c r="G2338" s="3" t="n">
        <v>7911.279616</v>
      </c>
      <c r="H2338" s="3" t="n">
        <v>8136.773411</v>
      </c>
      <c r="I2338" s="3" t="n">
        <v>7940.580999</v>
      </c>
      <c r="J2338" s="3" t="n">
        <v>7638.1956</v>
      </c>
      <c r="K2338" s="3" t="n">
        <v>7656.362119</v>
      </c>
      <c r="L2338" s="3" t="n">
        <v>7725.285527</v>
      </c>
      <c r="M2338" s="3" t="n">
        <v>7927.894516</v>
      </c>
      <c r="N2338" s="3" t="n">
        <v>8151.031926</v>
      </c>
      <c r="O2338" s="3" t="n">
        <v>8692.266435</v>
      </c>
      <c r="P2338" s="3" t="n">
        <v>8900.701998</v>
      </c>
      <c r="Q2338" s="3" t="n">
        <v>8769.943232</v>
      </c>
      <c r="R2338" s="3" t="n">
        <v>8210.460943</v>
      </c>
      <c r="S2338" s="3" t="n">
        <v>8130.367036</v>
      </c>
      <c r="T2338" s="3" t="n">
        <v>8039.095224</v>
      </c>
      <c r="U2338" s="3" t="n">
        <v>7863.422365</v>
      </c>
      <c r="V2338" s="3" t="n">
        <v>7926.694109</v>
      </c>
      <c r="W2338" s="3" t="n">
        <v>7845.754226</v>
      </c>
      <c r="X2338" s="3" t="n">
        <v>7617.797991</v>
      </c>
      <c r="Y2338" s="3" t="n">
        <v>7645.926904</v>
      </c>
      <c r="Z2338" s="3" t="n">
        <v>7533.037417</v>
      </c>
      <c r="AA2338" s="3" t="n">
        <v>7561.151626</v>
      </c>
      <c r="AB2338" s="3" t="n">
        <v>7683.059671</v>
      </c>
      <c r="AC2338" s="3" t="n">
        <v>7546.34072</v>
      </c>
      <c r="AD2338" s="3" t="n">
        <v>7308.956884</v>
      </c>
      <c r="AE2338" s="3" t="n">
        <v>7353.382353</v>
      </c>
      <c r="AF2338" s="3" t="n">
        <v>7403.722854</v>
      </c>
      <c r="AG2338" s="3" t="n">
        <v>7509.098368</v>
      </c>
      <c r="AH2338" s="3" t="n">
        <v>7613.331452</v>
      </c>
      <c r="AI2338" s="3" t="n">
        <v>7741.472529</v>
      </c>
      <c r="AJ2338" s="3" t="n">
        <v>7853.460694</v>
      </c>
      <c r="AK2338" s="3" t="n">
        <v>7951.255607</v>
      </c>
      <c r="AL2338" s="3" t="n">
        <v>8003.940279</v>
      </c>
      <c r="AM2338" s="3" t="n"/>
      <c r="AN2338" s="3" t="n"/>
      <c r="AO2338" s="3" t="n"/>
      <c r="AP2338" s="3" t="n"/>
      <c r="AQ2338" s="3" t="n"/>
      <c r="AR2338" s="3" t="n"/>
      <c r="AS2338" s="3" t="n"/>
      <c r="AT2338" s="3" t="n"/>
      <c r="AU2338" s="3" t="n"/>
    </row>
    <row r="2339">
      <c r="A2339" s="3" t="n">
        <v>2031</v>
      </c>
      <c r="B2339" s="3" t="inlineStr">
        <is>
          <t>OMN</t>
        </is>
      </c>
      <c r="C2339" s="3" t="inlineStr">
        <is>
          <t>IMF.RES:WEO</t>
        </is>
      </c>
      <c r="D2339" s="3" t="inlineStr">
        <is>
          <t>OMN.PCPI.A</t>
        </is>
      </c>
      <c r="E2339" s="3" t="inlineStr">
        <is>
          <t>Oman</t>
        </is>
      </c>
      <c r="F2339" s="3" t="inlineStr">
        <is>
          <t>All Items, Consumer price index (CPI), Period average</t>
        </is>
      </c>
      <c r="G2339" s="3" t="n">
        <v>65.963908</v>
      </c>
      <c r="H2339" s="3" t="n">
        <v>65.409217</v>
      </c>
      <c r="I2339" s="3" t="n">
        <v>65.222365</v>
      </c>
      <c r="J2339" s="3" t="n">
        <v>65.34326900000001</v>
      </c>
      <c r="K2339" s="3" t="n">
        <v>65.83787700000001</v>
      </c>
      <c r="L2339" s="3" t="n">
        <v>67.063407</v>
      </c>
      <c r="M2339" s="3" t="n">
        <v>69.21220599999999</v>
      </c>
      <c r="N2339" s="3" t="n">
        <v>73.289978</v>
      </c>
      <c r="O2339" s="3" t="n">
        <v>82.49518999999999</v>
      </c>
      <c r="P2339" s="3" t="n">
        <v>85.41338</v>
      </c>
      <c r="Q2339" s="3" t="n">
        <v>88.19417799999999</v>
      </c>
      <c r="R2339" s="3" t="n">
        <v>91.77553899999999</v>
      </c>
      <c r="S2339" s="3" t="n">
        <v>94.47505099999999</v>
      </c>
      <c r="T2339" s="3" t="n">
        <v>95.73250899999999</v>
      </c>
      <c r="U2339" s="3" t="n">
        <v>96.878651</v>
      </c>
      <c r="V2339" s="3" t="n">
        <v>97.015739</v>
      </c>
      <c r="W2339" s="3" t="n">
        <v>97.87691100000001</v>
      </c>
      <c r="X2339" s="3" t="n">
        <v>99.304203</v>
      </c>
      <c r="Y2339" s="3" t="n">
        <v>100.003353</v>
      </c>
      <c r="Z2339" s="3" t="n">
        <v>100.475358</v>
      </c>
      <c r="AA2339" s="3" t="n">
        <v>100.078459</v>
      </c>
      <c r="AB2339" s="3" t="n">
        <v>101.743597</v>
      </c>
      <c r="AC2339" s="3" t="n">
        <v>104.299051</v>
      </c>
      <c r="AD2339" s="3" t="n">
        <v>105.291659</v>
      </c>
      <c r="AE2339" s="3" t="n">
        <v>105.909855</v>
      </c>
      <c r="AF2339" s="3" t="n">
        <v>106.968953</v>
      </c>
      <c r="AG2339" s="3" t="n">
        <v>108.787425</v>
      </c>
      <c r="AH2339" s="3" t="n">
        <v>110.854386</v>
      </c>
      <c r="AI2339" s="3" t="n">
        <v>113.071474</v>
      </c>
      <c r="AJ2339" s="3" t="n">
        <v>115.332904</v>
      </c>
      <c r="AK2339" s="3" t="n">
        <v>117.639562</v>
      </c>
      <c r="AL2339" s="3" t="n">
        <v>119.992353</v>
      </c>
      <c r="AM2339" s="3" t="n"/>
      <c r="AN2339" s="3" t="n"/>
      <c r="AO2339" s="3" t="n"/>
      <c r="AP2339" s="3" t="n"/>
      <c r="AQ2339" s="3" t="n"/>
      <c r="AR2339" s="3" t="n"/>
      <c r="AS2339" s="3" t="n"/>
      <c r="AT2339" s="3" t="n"/>
      <c r="AU2339" s="3" t="n"/>
    </row>
    <row r="2340">
      <c r="A2340" s="3" t="n">
        <v>2031</v>
      </c>
      <c r="B2340" s="3" t="inlineStr">
        <is>
          <t>OMN</t>
        </is>
      </c>
      <c r="C2340" s="3" t="inlineStr">
        <is>
          <t>IMF.RES:WEO</t>
        </is>
      </c>
      <c r="D2340" s="3" t="inlineStr">
        <is>
          <t>OMN.PCPIPCH.A</t>
        </is>
      </c>
      <c r="E2340" s="3" t="inlineStr">
        <is>
          <t>Oman</t>
        </is>
      </c>
      <c r="F2340" s="3" t="inlineStr">
        <is>
          <t>All Items, Consumer price index (CPI), Period average, percent change</t>
        </is>
      </c>
      <c r="G2340" s="3" t="n">
        <v>-1.197213</v>
      </c>
      <c r="H2340" s="3" t="n">
        <v>-0.840901</v>
      </c>
      <c r="I2340" s="3" t="n">
        <v>-0.285666</v>
      </c>
      <c r="J2340" s="3" t="n">
        <v>0.185372</v>
      </c>
      <c r="K2340" s="3" t="n">
        <v>0.756939</v>
      </c>
      <c r="L2340" s="3" t="n">
        <v>1.861436</v>
      </c>
      <c r="M2340" s="3" t="n">
        <v>3.20413</v>
      </c>
      <c r="N2340" s="3" t="n">
        <v>5.891694</v>
      </c>
      <c r="O2340" s="3" t="n">
        <v>12.559988</v>
      </c>
      <c r="P2340" s="3" t="n">
        <v>3.537406</v>
      </c>
      <c r="Q2340" s="3" t="n">
        <v>3.255694</v>
      </c>
      <c r="R2340" s="3" t="n">
        <v>4.060768</v>
      </c>
      <c r="S2340" s="3" t="n">
        <v>2.941429</v>
      </c>
      <c r="T2340" s="3" t="n">
        <v>1.330995</v>
      </c>
      <c r="U2340" s="3" t="n">
        <v>1.197233</v>
      </c>
      <c r="V2340" s="3" t="n">
        <v>0.141506</v>
      </c>
      <c r="W2340" s="3" t="n">
        <v>0.887662</v>
      </c>
      <c r="X2340" s="3" t="n">
        <v>1.458252</v>
      </c>
      <c r="Y2340" s="3" t="n">
        <v>0.704048</v>
      </c>
      <c r="Z2340" s="3" t="n">
        <v>0.47199</v>
      </c>
      <c r="AA2340" s="3" t="n">
        <v>-0.395021</v>
      </c>
      <c r="AB2340" s="3" t="n">
        <v>1.663832</v>
      </c>
      <c r="AC2340" s="3" t="n">
        <v>2.511661</v>
      </c>
      <c r="AD2340" s="3" t="n">
        <v>0.951694</v>
      </c>
      <c r="AE2340" s="3" t="n">
        <v>0.587127</v>
      </c>
      <c r="AF2340" s="3" t="n">
        <v>1</v>
      </c>
      <c r="AG2340" s="3" t="n">
        <v>1.7</v>
      </c>
      <c r="AH2340" s="3" t="n">
        <v>1.9</v>
      </c>
      <c r="AI2340" s="3" t="n">
        <v>2</v>
      </c>
      <c r="AJ2340" s="3" t="n">
        <v>2</v>
      </c>
      <c r="AK2340" s="3" t="n">
        <v>2</v>
      </c>
      <c r="AL2340" s="3" t="n">
        <v>2</v>
      </c>
      <c r="AM2340" s="3" t="n"/>
      <c r="AN2340" s="3" t="n"/>
      <c r="AO2340" s="3" t="n"/>
      <c r="AP2340" s="3" t="n"/>
      <c r="AQ2340" s="3" t="n"/>
      <c r="AR2340" s="3" t="n"/>
      <c r="AS2340" s="3" t="n"/>
      <c r="AT2340" s="3" t="n"/>
      <c r="AU2340" s="3" t="n"/>
    </row>
    <row r="2341">
      <c r="A2341" s="3" t="n">
        <v>2031</v>
      </c>
      <c r="B2341" s="3" t="inlineStr">
        <is>
          <t>OMN</t>
        </is>
      </c>
      <c r="C2341" s="3" t="inlineStr">
        <is>
          <t>IMF.RES:WEO</t>
        </is>
      </c>
      <c r="D2341" s="3" t="inlineStr">
        <is>
          <t>OMN.PPPPC.A</t>
        </is>
      </c>
      <c r="E2341" s="3" t="inlineStr">
        <is>
          <t>Oman</t>
        </is>
      </c>
      <c r="F2341" s="3" t="inlineStr">
        <is>
          <t>Gross domestic product (GDP), Per capita, purchasing power parity (PPP) international dollar, ICP benchmarks 2017-2021</t>
        </is>
      </c>
      <c r="G2341" s="3" t="n">
        <v>25265.080419</v>
      </c>
      <c r="H2341" s="3" t="n">
        <v>26570.294712</v>
      </c>
      <c r="I2341" s="3" t="n">
        <v>26332.592388</v>
      </c>
      <c r="J2341" s="3" t="n">
        <v>25829.885787</v>
      </c>
      <c r="K2341" s="3" t="n">
        <v>26587.50583</v>
      </c>
      <c r="L2341" s="3" t="n">
        <v>27668.091412</v>
      </c>
      <c r="M2341" s="3" t="n">
        <v>29269.364348</v>
      </c>
      <c r="N2341" s="3" t="n">
        <v>30908.481192</v>
      </c>
      <c r="O2341" s="3" t="n">
        <v>33595.788138</v>
      </c>
      <c r="P2341" s="3" t="n">
        <v>34613.563699</v>
      </c>
      <c r="Q2341" s="3" t="n">
        <v>34519.565714</v>
      </c>
      <c r="R2341" s="3" t="n">
        <v>32984.162935</v>
      </c>
      <c r="S2341" s="3" t="n">
        <v>33270.550667</v>
      </c>
      <c r="T2341" s="3" t="n">
        <v>33456.96367</v>
      </c>
      <c r="U2341" s="3" t="n">
        <v>33295.842503</v>
      </c>
      <c r="V2341" s="3" t="n">
        <v>33875.241547</v>
      </c>
      <c r="W2341" s="3" t="n">
        <v>33847.943394</v>
      </c>
      <c r="X2341" s="3" t="n">
        <v>33453.067621</v>
      </c>
      <c r="Y2341" s="3" t="n">
        <v>37749.026414</v>
      </c>
      <c r="Z2341" s="3" t="n">
        <v>37035.3096</v>
      </c>
      <c r="AA2341" s="3" t="n">
        <v>35773.91201</v>
      </c>
      <c r="AB2341" s="3" t="n">
        <v>38829.477669</v>
      </c>
      <c r="AC2341" s="3" t="n">
        <v>40851.081581</v>
      </c>
      <c r="AD2341" s="3" t="n">
        <v>41029.993265</v>
      </c>
      <c r="AE2341" s="3" t="n">
        <v>42304.161883</v>
      </c>
      <c r="AF2341" s="3" t="n">
        <v>43802.0577</v>
      </c>
      <c r="AG2341" s="3" t="n">
        <v>45698.206285</v>
      </c>
      <c r="AH2341" s="3" t="n">
        <v>47349.955929</v>
      </c>
      <c r="AI2341" s="3" t="n">
        <v>48937.188662</v>
      </c>
      <c r="AJ2341" s="3" t="n">
        <v>50527.858197</v>
      </c>
      <c r="AK2341" s="3" t="n">
        <v>52097.078986</v>
      </c>
      <c r="AL2341" s="3" t="n">
        <v>53389.01323</v>
      </c>
      <c r="AM2341" s="3" t="n"/>
      <c r="AN2341" s="3" t="n"/>
      <c r="AO2341" s="3" t="n"/>
      <c r="AP2341" s="3" t="n"/>
      <c r="AQ2341" s="3" t="n"/>
      <c r="AR2341" s="3" t="n"/>
      <c r="AS2341" s="3" t="n"/>
      <c r="AT2341" s="3" t="n"/>
      <c r="AU2341" s="3" t="n"/>
    </row>
    <row r="2342">
      <c r="A2342" s="3" t="n">
        <v>2025</v>
      </c>
      <c r="B2342" s="3" t="inlineStr">
        <is>
          <t>OMN</t>
        </is>
      </c>
      <c r="C2342" s="3" t="inlineStr">
        <is>
          <t>IMF.STA:ER</t>
        </is>
      </c>
      <c r="D2342" s="3" t="inlineStr">
        <is>
          <t>OMN.XDC_USD.PA_RT.A</t>
        </is>
      </c>
      <c r="E2342" s="3" t="inlineStr">
        <is>
          <t>Oman</t>
        </is>
      </c>
      <c r="F2342" s="3" t="inlineStr">
        <is>
          <t>Domestic currency per US Dollar</t>
        </is>
      </c>
      <c r="G2342" s="3" t="n">
        <v>0.3845</v>
      </c>
      <c r="H2342" s="3" t="n">
        <v>0.3845</v>
      </c>
      <c r="I2342" s="3" t="n">
        <v>0.3845</v>
      </c>
      <c r="J2342" s="3" t="n">
        <v>0.3845</v>
      </c>
      <c r="K2342" s="3" t="n">
        <v>0.3845</v>
      </c>
      <c r="L2342" s="3" t="n">
        <v>0.3845</v>
      </c>
      <c r="M2342" s="3" t="n">
        <v>0.3845</v>
      </c>
      <c r="N2342" s="3" t="n">
        <v>0.3845</v>
      </c>
      <c r="O2342" s="3" t="n">
        <v>0.3845</v>
      </c>
      <c r="P2342" s="3" t="n">
        <v>0.3845</v>
      </c>
      <c r="Q2342" s="3" t="n">
        <v>0.3845</v>
      </c>
      <c r="R2342" s="3" t="n">
        <v>0.3845</v>
      </c>
      <c r="S2342" s="3" t="n">
        <v>0.3845</v>
      </c>
      <c r="T2342" s="3" t="n">
        <v>0.3845</v>
      </c>
      <c r="U2342" s="3" t="n">
        <v>0.3845</v>
      </c>
      <c r="V2342" s="3" t="n">
        <v>0.3845</v>
      </c>
      <c r="W2342" s="3" t="n">
        <v>0.3845</v>
      </c>
      <c r="X2342" s="3" t="n">
        <v>0.3845</v>
      </c>
      <c r="Y2342" s="3" t="n">
        <v>0.3845</v>
      </c>
      <c r="Z2342" s="3" t="n">
        <v>0.3845</v>
      </c>
      <c r="AA2342" s="3" t="n">
        <v>0.3845</v>
      </c>
      <c r="AB2342" s="3" t="n">
        <v>0.3845</v>
      </c>
      <c r="AC2342" s="3" t="n">
        <v>0.3845</v>
      </c>
      <c r="AD2342" s="3" t="n">
        <v>0.3845</v>
      </c>
      <c r="AE2342" s="3" t="n">
        <v>0.3845</v>
      </c>
      <c r="AF2342" s="3" t="n">
        <v>0.3845</v>
      </c>
      <c r="AG2342" s="3" t="n"/>
      <c r="AH2342" s="3" t="n"/>
      <c r="AI2342" s="3" t="n"/>
      <c r="AJ2342" s="3" t="n"/>
      <c r="AK2342" s="3" t="n"/>
      <c r="AL2342" s="3" t="n"/>
      <c r="AM2342" s="3" t="n"/>
      <c r="AN2342" s="3" t="n"/>
      <c r="AO2342" s="3" t="n"/>
      <c r="AP2342" s="3" t="n"/>
      <c r="AQ2342" s="3" t="n"/>
      <c r="AR2342" s="3" t="n"/>
      <c r="AS2342" s="3" t="n"/>
      <c r="AT2342" s="3" t="n"/>
      <c r="AU2342" s="3" t="n"/>
    </row>
    <row r="2343">
      <c r="A2343" s="3" t="n">
        <v>2025</v>
      </c>
      <c r="B2343" s="3" t="inlineStr">
        <is>
          <t>PAK</t>
        </is>
      </c>
      <c r="C2343" s="3" t="inlineStr">
        <is>
          <t>IMF.RES:WEO</t>
        </is>
      </c>
      <c r="D2343" s="3" t="inlineStr">
        <is>
          <t>PAK.BCA.A</t>
        </is>
      </c>
      <c r="E2343" s="3" t="inlineStr">
        <is>
          <t>Pakistan</t>
        </is>
      </c>
      <c r="F2343" s="3" t="inlineStr">
        <is>
          <t>Current account balance (credit less debit), US dollar</t>
        </is>
      </c>
      <c r="G2343" s="3" t="n">
        <v>-0.215</v>
      </c>
      <c r="H2343" s="3" t="n">
        <v>0.324</v>
      </c>
      <c r="I2343" s="3" t="n">
        <v>2.833</v>
      </c>
      <c r="J2343" s="3" t="n">
        <v>4.07</v>
      </c>
      <c r="K2343" s="3" t="n">
        <v>1.8314</v>
      </c>
      <c r="L2343" s="3" t="n">
        <v>-1.474</v>
      </c>
      <c r="M2343" s="3" t="n">
        <v>-4.899</v>
      </c>
      <c r="N2343" s="3" t="n">
        <v>-6.772</v>
      </c>
      <c r="O2343" s="3" t="n">
        <v>-13.788</v>
      </c>
      <c r="P2343" s="3" t="n">
        <v>-9.26</v>
      </c>
      <c r="Q2343" s="3" t="n">
        <v>-3.946</v>
      </c>
      <c r="R2343" s="3" t="n">
        <v>0.214</v>
      </c>
      <c r="S2343" s="3" t="n">
        <v>-4.658</v>
      </c>
      <c r="T2343" s="3" t="n">
        <v>-2.496</v>
      </c>
      <c r="U2343" s="3" t="n">
        <v>-3.13</v>
      </c>
      <c r="V2343" s="3" t="n">
        <v>-2.815</v>
      </c>
      <c r="W2343" s="3" t="n">
        <v>-4.961</v>
      </c>
      <c r="X2343" s="3" t="n">
        <v>-12.27</v>
      </c>
      <c r="Y2343" s="3" t="n">
        <v>-19.195</v>
      </c>
      <c r="Z2343" s="3" t="n">
        <v>-13.434</v>
      </c>
      <c r="AA2343" s="3" t="n">
        <v>-4.449</v>
      </c>
      <c r="AB2343" s="3" t="n">
        <v>-2.82</v>
      </c>
      <c r="AC2343" s="3" t="n">
        <v>-17.481</v>
      </c>
      <c r="AD2343" s="3" t="n">
        <v>-3.275</v>
      </c>
      <c r="AE2343" s="3" t="n">
        <v>-2.072</v>
      </c>
      <c r="AF2343" s="3" t="n">
        <v>1.932</v>
      </c>
      <c r="AG2343" s="3" t="n"/>
      <c r="AH2343" s="3" t="n"/>
      <c r="AI2343" s="3" t="n"/>
      <c r="AJ2343" s="3" t="n"/>
      <c r="AK2343" s="3" t="n"/>
      <c r="AL2343" s="3" t="n"/>
      <c r="AM2343" s="3" t="n"/>
      <c r="AN2343" s="3" t="n"/>
      <c r="AO2343" s="3" t="n"/>
      <c r="AP2343" s="3" t="n"/>
      <c r="AQ2343" s="3" t="n"/>
      <c r="AR2343" s="3" t="n"/>
      <c r="AS2343" s="3" t="n"/>
      <c r="AT2343" s="3" t="n"/>
      <c r="AU2343" s="3" t="n"/>
    </row>
    <row r="2344">
      <c r="A2344" s="3" t="n">
        <v>2031</v>
      </c>
      <c r="B2344" s="3" t="inlineStr">
        <is>
          <t>PAK</t>
        </is>
      </c>
      <c r="C2344" s="3" t="inlineStr">
        <is>
          <t>IMF.RES:WEO</t>
        </is>
      </c>
      <c r="D2344" s="3" t="inlineStr">
        <is>
          <t>PAK.BCA_NGDPD.A</t>
        </is>
      </c>
      <c r="E2344" s="3" t="inlineStr">
        <is>
          <t>Pakistan</t>
        </is>
      </c>
      <c r="F2344" s="3" t="inlineStr">
        <is>
          <t>Current account balance (credit less debit), Percent of GDP</t>
        </is>
      </c>
      <c r="G2344" s="3" t="n">
        <v>-0.216253</v>
      </c>
      <c r="H2344" s="3" t="n">
        <v>0.334768</v>
      </c>
      <c r="I2344" s="3" t="n">
        <v>2.885836</v>
      </c>
      <c r="J2344" s="3" t="n">
        <v>3.617543</v>
      </c>
      <c r="K2344" s="3" t="n">
        <v>1.385265</v>
      </c>
      <c r="L2344" s="3" t="n">
        <v>-1.015091</v>
      </c>
      <c r="M2344" s="3" t="n">
        <v>-3.026476</v>
      </c>
      <c r="N2344" s="3" t="n">
        <v>-3.677618</v>
      </c>
      <c r="O2344" s="3" t="n">
        <v>-6.81886</v>
      </c>
      <c r="P2344" s="3" t="n">
        <v>-4.949926</v>
      </c>
      <c r="Q2344" s="3" t="n">
        <v>-2.005977</v>
      </c>
      <c r="R2344" s="3" t="n">
        <v>0.092811</v>
      </c>
      <c r="S2344" s="3" t="n">
        <v>-1.862501</v>
      </c>
      <c r="T2344" s="3" t="n">
        <v>-0.96492</v>
      </c>
      <c r="U2344" s="3" t="n">
        <v>-1.153187</v>
      </c>
      <c r="V2344" s="3" t="n">
        <v>-0.9385520000000001</v>
      </c>
      <c r="W2344" s="3" t="n">
        <v>-1.581838</v>
      </c>
      <c r="X2344" s="3" t="n">
        <v>-3.617022</v>
      </c>
      <c r="Y2344" s="3" t="n">
        <v>-5.389392</v>
      </c>
      <c r="Z2344" s="3" t="n">
        <v>-4.184119</v>
      </c>
      <c r="AA2344" s="3" t="n">
        <v>-1.480976</v>
      </c>
      <c r="AB2344" s="3" t="n">
        <v>-0.809226</v>
      </c>
      <c r="AC2344" s="3" t="n">
        <v>-4.66346</v>
      </c>
      <c r="AD2344" s="3" t="n">
        <v>-0.973094</v>
      </c>
      <c r="AE2344" s="3" t="n">
        <v>-0.556625</v>
      </c>
      <c r="AF2344" s="3" t="n">
        <v>0.473777</v>
      </c>
      <c r="AG2344" s="3" t="n">
        <v>-0.43576</v>
      </c>
      <c r="AH2344" s="3" t="n">
        <v>-0.856048</v>
      </c>
      <c r="AI2344" s="3" t="n">
        <v>-0.779118</v>
      </c>
      <c r="AJ2344" s="3" t="n">
        <v>-0.845267</v>
      </c>
      <c r="AK2344" s="3" t="n">
        <v>-0.938391</v>
      </c>
      <c r="AL2344" s="3" t="n">
        <v>-0.954028</v>
      </c>
      <c r="AM2344" s="3" t="n"/>
      <c r="AN2344" s="3" t="n"/>
      <c r="AO2344" s="3" t="n"/>
      <c r="AP2344" s="3" t="n"/>
      <c r="AQ2344" s="3" t="n"/>
      <c r="AR2344" s="3" t="n"/>
      <c r="AS2344" s="3" t="n"/>
      <c r="AT2344" s="3" t="n"/>
      <c r="AU2344" s="3" t="n"/>
    </row>
    <row r="2345">
      <c r="A2345" s="3" t="n">
        <v>2031</v>
      </c>
      <c r="B2345" s="3" t="inlineStr">
        <is>
          <t>PAK</t>
        </is>
      </c>
      <c r="C2345" s="3" t="inlineStr">
        <is>
          <t>IMF.RES:WEO</t>
        </is>
      </c>
      <c r="D2345" s="3" t="inlineStr">
        <is>
          <t>PAK.GGR_NGDP.A</t>
        </is>
      </c>
      <c r="E2345" s="3" t="inlineStr">
        <is>
          <t>Pakistan</t>
        </is>
      </c>
      <c r="F2345" s="3" t="inlineStr">
        <is>
          <t>Revenue, General government, Percent of GDP</t>
        </is>
      </c>
      <c r="G2345" s="3" t="n">
        <v>10.607789</v>
      </c>
      <c r="H2345" s="3" t="n">
        <v>10.493725</v>
      </c>
      <c r="I2345" s="3" t="n">
        <v>11.727965</v>
      </c>
      <c r="J2345" s="3" t="n">
        <v>12.735764</v>
      </c>
      <c r="K2345" s="3" t="n">
        <v>10.83405</v>
      </c>
      <c r="L2345" s="3" t="n">
        <v>10.666751</v>
      </c>
      <c r="M2345" s="3" t="n">
        <v>11.68176</v>
      </c>
      <c r="N2345" s="3" t="n">
        <v>11.887104</v>
      </c>
      <c r="O2345" s="3" t="n">
        <v>12.097615</v>
      </c>
      <c r="P2345" s="3" t="n">
        <v>12.769968</v>
      </c>
      <c r="Q2345" s="3" t="n">
        <v>12.90131</v>
      </c>
      <c r="R2345" s="3" t="n">
        <v>11.688984</v>
      </c>
      <c r="S2345" s="3" t="n">
        <v>11.685264</v>
      </c>
      <c r="T2345" s="3" t="n">
        <v>12.025244</v>
      </c>
      <c r="U2345" s="3" t="n">
        <v>13.724972</v>
      </c>
      <c r="V2345" s="3" t="n">
        <v>13.094165</v>
      </c>
      <c r="W2345" s="3" t="n">
        <v>13.788752</v>
      </c>
      <c r="X2345" s="3" t="n">
        <v>13.956674</v>
      </c>
      <c r="Y2345" s="3" t="n">
        <v>13.434536</v>
      </c>
      <c r="Z2345" s="3" t="n">
        <v>11.264619</v>
      </c>
      <c r="AA2345" s="3" t="n">
        <v>13.264829</v>
      </c>
      <c r="AB2345" s="3" t="n">
        <v>12.417082</v>
      </c>
      <c r="AC2345" s="3" t="n">
        <v>12.116272</v>
      </c>
      <c r="AD2345" s="3" t="n">
        <v>11.534075</v>
      </c>
      <c r="AE2345" s="3" t="n">
        <v>12.640993</v>
      </c>
      <c r="AF2345" s="3" t="n">
        <v>15.839281</v>
      </c>
      <c r="AG2345" s="3" t="n">
        <v>15.809684</v>
      </c>
      <c r="AH2345" s="3" t="n">
        <v>15.26068</v>
      </c>
      <c r="AI2345" s="3" t="n">
        <v>15.49791</v>
      </c>
      <c r="AJ2345" s="3" t="n">
        <v>15.496922</v>
      </c>
      <c r="AK2345" s="3" t="n">
        <v>15.501559</v>
      </c>
      <c r="AL2345" s="3" t="n">
        <v>15.490475</v>
      </c>
      <c r="AM2345" s="3" t="n"/>
      <c r="AN2345" s="3" t="n"/>
      <c r="AO2345" s="3" t="n"/>
      <c r="AP2345" s="3" t="n"/>
      <c r="AQ2345" s="3" t="n"/>
      <c r="AR2345" s="3" t="n"/>
      <c r="AS2345" s="3" t="n"/>
      <c r="AT2345" s="3" t="n"/>
      <c r="AU2345" s="3" t="n"/>
    </row>
    <row r="2346">
      <c r="A2346" s="3" t="n">
        <v>2031</v>
      </c>
      <c r="B2346" s="3" t="inlineStr">
        <is>
          <t>PAK</t>
        </is>
      </c>
      <c r="C2346" s="3" t="inlineStr">
        <is>
          <t>IMF.RES:WEO</t>
        </is>
      </c>
      <c r="D2346" s="3" t="inlineStr">
        <is>
          <t>PAK.GGX_NGDP.A</t>
        </is>
      </c>
      <c r="E2346" s="3" t="inlineStr">
        <is>
          <t>Pakistan</t>
        </is>
      </c>
      <c r="F2346" s="3" t="inlineStr">
        <is>
          <t>Expenditure, General government, Percent of GDP</t>
        </is>
      </c>
      <c r="G2346" s="3" t="n">
        <v>13.820009</v>
      </c>
      <c r="H2346" s="3" t="n">
        <v>12.948525</v>
      </c>
      <c r="I2346" s="3" t="n">
        <v>14.364912</v>
      </c>
      <c r="J2346" s="3" t="n">
        <v>12.853638</v>
      </c>
      <c r="K2346" s="3" t="n">
        <v>12.125395</v>
      </c>
      <c r="L2346" s="3" t="n">
        <v>12.954043</v>
      </c>
      <c r="M2346" s="3" t="n">
        <v>14.468033</v>
      </c>
      <c r="N2346" s="3" t="n">
        <v>16.121498</v>
      </c>
      <c r="O2346" s="3" t="n">
        <v>18.035481</v>
      </c>
      <c r="P2346" s="3" t="n">
        <v>17.300777</v>
      </c>
      <c r="Q2346" s="3" t="n">
        <v>18.316552</v>
      </c>
      <c r="R2346" s="3" t="n">
        <v>17.922835</v>
      </c>
      <c r="S2346" s="3" t="n">
        <v>19.428459</v>
      </c>
      <c r="T2346" s="3" t="n">
        <v>19.50627</v>
      </c>
      <c r="U2346" s="3" t="n">
        <v>18.093867</v>
      </c>
      <c r="V2346" s="3" t="n">
        <v>17.832934</v>
      </c>
      <c r="W2346" s="3" t="n">
        <v>17.712013</v>
      </c>
      <c r="X2346" s="3" t="n">
        <v>19.12794</v>
      </c>
      <c r="Y2346" s="3" t="n">
        <v>19.107829</v>
      </c>
      <c r="Z2346" s="3" t="n">
        <v>19.05375</v>
      </c>
      <c r="AA2346" s="3" t="n">
        <v>20.296418</v>
      </c>
      <c r="AB2346" s="3" t="n">
        <v>18.458268</v>
      </c>
      <c r="AC2346" s="3" t="n">
        <v>19.954556</v>
      </c>
      <c r="AD2346" s="3" t="n">
        <v>19.290404</v>
      </c>
      <c r="AE2346" s="3" t="n">
        <v>19.430875</v>
      </c>
      <c r="AF2346" s="3" t="n">
        <v>21.21002</v>
      </c>
      <c r="AG2346" s="3" t="n">
        <v>19.015539</v>
      </c>
      <c r="AH2346" s="3" t="n">
        <v>18.488776</v>
      </c>
      <c r="AI2346" s="3" t="n">
        <v>18.507211</v>
      </c>
      <c r="AJ2346" s="3" t="n">
        <v>18.30254</v>
      </c>
      <c r="AK2346" s="3" t="n">
        <v>19.149379</v>
      </c>
      <c r="AL2346" s="3" t="n">
        <v>20.084418</v>
      </c>
      <c r="AM2346" s="3" t="n"/>
      <c r="AN2346" s="3" t="n"/>
      <c r="AO2346" s="3" t="n"/>
      <c r="AP2346" s="3" t="n"/>
      <c r="AQ2346" s="3" t="n"/>
      <c r="AR2346" s="3" t="n"/>
      <c r="AS2346" s="3" t="n"/>
      <c r="AT2346" s="3" t="n"/>
      <c r="AU2346" s="3" t="n"/>
    </row>
    <row r="2347">
      <c r="A2347" s="3" t="n">
        <v>2031</v>
      </c>
      <c r="B2347" s="3" t="inlineStr">
        <is>
          <t>PAK</t>
        </is>
      </c>
      <c r="C2347" s="3" t="inlineStr">
        <is>
          <t>IMF.RES:WEO</t>
        </is>
      </c>
      <c r="D2347" s="3" t="inlineStr">
        <is>
          <t>PAK.LP.A</t>
        </is>
      </c>
      <c r="E2347" s="3" t="inlineStr">
        <is>
          <t>Pakistan</t>
        </is>
      </c>
      <c r="F2347" s="3" t="inlineStr">
        <is>
          <t>Population, Persons for countries / Index for country groups</t>
        </is>
      </c>
      <c r="G2347" s="3" t="n">
        <v>135.55</v>
      </c>
      <c r="H2347" s="3" t="n">
        <v>138.87</v>
      </c>
      <c r="I2347" s="3" t="n">
        <v>142.28</v>
      </c>
      <c r="J2347" s="3" t="n">
        <v>145.78</v>
      </c>
      <c r="K2347" s="3" t="n">
        <v>149.36</v>
      </c>
      <c r="L2347" s="3" t="n">
        <v>153.04</v>
      </c>
      <c r="M2347" s="3" t="n">
        <v>156.81</v>
      </c>
      <c r="N2347" s="3" t="n">
        <v>160.67</v>
      </c>
      <c r="O2347" s="3" t="n">
        <v>164.63</v>
      </c>
      <c r="P2347" s="3" t="n">
        <v>168.69</v>
      </c>
      <c r="Q2347" s="3" t="n">
        <v>172.86</v>
      </c>
      <c r="R2347" s="3" t="n">
        <v>177.13</v>
      </c>
      <c r="S2347" s="3" t="n">
        <v>181.52</v>
      </c>
      <c r="T2347" s="3" t="n">
        <v>186.01</v>
      </c>
      <c r="U2347" s="3" t="n">
        <v>190.62</v>
      </c>
      <c r="V2347" s="3" t="n">
        <v>195.35</v>
      </c>
      <c r="W2347" s="3" t="n">
        <v>200.19</v>
      </c>
      <c r="X2347" s="3" t="n">
        <v>205.17</v>
      </c>
      <c r="Y2347" s="3" t="n">
        <v>209.75</v>
      </c>
      <c r="Z2347" s="3" t="n">
        <v>213.95</v>
      </c>
      <c r="AA2347" s="3" t="n">
        <v>218.24</v>
      </c>
      <c r="AB2347" s="3" t="n">
        <v>222.59</v>
      </c>
      <c r="AC2347" s="3" t="n">
        <v>227</v>
      </c>
      <c r="AD2347" s="3" t="n">
        <v>231.45</v>
      </c>
      <c r="AE2347" s="3" t="n">
        <v>235.95</v>
      </c>
      <c r="AF2347" s="3" t="n">
        <v>240.49</v>
      </c>
      <c r="AG2347" s="3" t="n">
        <v>245.117356</v>
      </c>
      <c r="AH2347" s="3" t="n">
        <v>249.833748</v>
      </c>
      <c r="AI2347" s="3" t="n">
        <v>254.64089</v>
      </c>
      <c r="AJ2347" s="3" t="n">
        <v>259.540529</v>
      </c>
      <c r="AK2347" s="3" t="n">
        <v>264.534443</v>
      </c>
      <c r="AL2347" s="3" t="n">
        <v>269.624446</v>
      </c>
      <c r="AM2347" s="3" t="n"/>
      <c r="AN2347" s="3" t="n"/>
      <c r="AO2347" s="3" t="n"/>
      <c r="AP2347" s="3" t="n"/>
      <c r="AQ2347" s="3" t="n"/>
      <c r="AR2347" s="3" t="n"/>
      <c r="AS2347" s="3" t="n"/>
      <c r="AT2347" s="3" t="n"/>
      <c r="AU2347" s="3" t="n"/>
    </row>
    <row r="2348">
      <c r="A2348" s="3" t="n">
        <v>2031</v>
      </c>
      <c r="B2348" s="3" t="inlineStr">
        <is>
          <t>PAK</t>
        </is>
      </c>
      <c r="C2348" s="3" t="inlineStr">
        <is>
          <t>IMF.RES:WEO</t>
        </is>
      </c>
      <c r="D2348" s="3" t="inlineStr">
        <is>
          <t>PAK.NGDP.A</t>
        </is>
      </c>
      <c r="E2348" s="3" t="inlineStr">
        <is>
          <t>Pakistan</t>
        </is>
      </c>
      <c r="F2348" s="3" t="inlineStr">
        <is>
          <t>Gross domestic product (GDP), Current prices, Domestic currency</t>
        </is>
      </c>
      <c r="G2348" s="3" t="n">
        <v>5147.095</v>
      </c>
      <c r="H2348" s="3" t="n">
        <v>5655.818</v>
      </c>
      <c r="I2348" s="3" t="n">
        <v>6030.117</v>
      </c>
      <c r="J2348" s="3" t="n">
        <v>6581.623</v>
      </c>
      <c r="K2348" s="3" t="n">
        <v>7611.678</v>
      </c>
      <c r="L2348" s="3" t="n">
        <v>8619.232</v>
      </c>
      <c r="M2348" s="3" t="n">
        <v>9689.071</v>
      </c>
      <c r="N2348" s="3" t="n">
        <v>11165.234</v>
      </c>
      <c r="O2348" s="3" t="n">
        <v>12647.137</v>
      </c>
      <c r="P2348" s="3" t="n">
        <v>14705.698</v>
      </c>
      <c r="Q2348" s="3" t="n">
        <v>16507.053</v>
      </c>
      <c r="R2348" s="3" t="n">
        <v>19731.03</v>
      </c>
      <c r="S2348" s="3" t="n">
        <v>22344.639</v>
      </c>
      <c r="T2348" s="3" t="n">
        <v>25042.169</v>
      </c>
      <c r="U2348" s="3" t="n">
        <v>27952.815</v>
      </c>
      <c r="V2348" s="3" t="n">
        <v>30425.88</v>
      </c>
      <c r="W2348" s="3" t="n">
        <v>32725.049</v>
      </c>
      <c r="X2348" s="3" t="n">
        <v>35552.819</v>
      </c>
      <c r="Y2348" s="3" t="n">
        <v>39189.81</v>
      </c>
      <c r="Z2348" s="3" t="n">
        <v>43798.401</v>
      </c>
      <c r="AA2348" s="3" t="n">
        <v>47540.409</v>
      </c>
      <c r="AB2348" s="3" t="n">
        <v>55836.225</v>
      </c>
      <c r="AC2348" s="3" t="n">
        <v>66657.868</v>
      </c>
      <c r="AD2348" s="3" t="n">
        <v>83650.83</v>
      </c>
      <c r="AE2348" s="3" t="n">
        <v>105379.298</v>
      </c>
      <c r="AF2348" s="3" t="n">
        <v>113934.97</v>
      </c>
      <c r="AG2348" s="3" t="n">
        <v>127325.540997</v>
      </c>
      <c r="AH2348" s="3" t="n">
        <v>143303.657252</v>
      </c>
      <c r="AI2348" s="3" t="n">
        <v>159543.870505</v>
      </c>
      <c r="AJ2348" s="3" t="n">
        <v>177508.999861</v>
      </c>
      <c r="AK2348" s="3" t="n">
        <v>197387.905673</v>
      </c>
      <c r="AL2348" s="3" t="n">
        <v>219630.14996</v>
      </c>
      <c r="AM2348" s="3" t="n"/>
      <c r="AN2348" s="3" t="n"/>
      <c r="AO2348" s="3" t="n"/>
      <c r="AP2348" s="3" t="n"/>
      <c r="AQ2348" s="3" t="n"/>
      <c r="AR2348" s="3" t="n"/>
      <c r="AS2348" s="3" t="n"/>
      <c r="AT2348" s="3" t="n"/>
      <c r="AU2348" s="3" t="n"/>
    </row>
    <row r="2349">
      <c r="A2349" s="3" t="n">
        <v>2031</v>
      </c>
      <c r="B2349" s="3" t="inlineStr">
        <is>
          <t>PAK</t>
        </is>
      </c>
      <c r="C2349" s="3" t="inlineStr">
        <is>
          <t>IMF.RES:WEO</t>
        </is>
      </c>
      <c r="D2349" s="3" t="inlineStr">
        <is>
          <t>PAK.NGDP_D.A</t>
        </is>
      </c>
      <c r="E2349" s="3" t="inlineStr">
        <is>
          <t>Pakistan</t>
        </is>
      </c>
      <c r="F2349" s="3" t="inlineStr">
        <is>
          <t>Gross domestic product (GDP), Price deflator, Index</t>
        </is>
      </c>
      <c r="G2349" s="3" t="n">
        <v>32.561966</v>
      </c>
      <c r="H2349" s="3" t="n">
        <v>34.524348</v>
      </c>
      <c r="I2349" s="3" t="n">
        <v>35.868239</v>
      </c>
      <c r="J2349" s="3" t="n">
        <v>37.225204</v>
      </c>
      <c r="K2349" s="3" t="n">
        <v>39.976595</v>
      </c>
      <c r="L2349" s="3" t="n">
        <v>41.916047</v>
      </c>
      <c r="M2349" s="3" t="n">
        <v>44.593065</v>
      </c>
      <c r="N2349" s="3" t="n">
        <v>48.888451</v>
      </c>
      <c r="O2349" s="3" t="n">
        <v>53.020447</v>
      </c>
      <c r="P2349" s="3" t="n">
        <v>61.001993</v>
      </c>
      <c r="Q2349" s="3" t="n">
        <v>66.958083</v>
      </c>
      <c r="R2349" s="3" t="n">
        <v>77.55055400000001</v>
      </c>
      <c r="S2349" s="3" t="n">
        <v>85.102891</v>
      </c>
      <c r="T2349" s="3" t="n">
        <v>91.835356</v>
      </c>
      <c r="U2349" s="3" t="n">
        <v>98.989001</v>
      </c>
      <c r="V2349" s="3" t="n">
        <v>103.790776</v>
      </c>
      <c r="W2349" s="3" t="n">
        <v>107.266386</v>
      </c>
      <c r="X2349" s="3" t="n">
        <v>111.40123</v>
      </c>
      <c r="Y2349" s="3" t="n">
        <v>115.742025</v>
      </c>
      <c r="Z2349" s="3" t="n">
        <v>125.439196</v>
      </c>
      <c r="AA2349" s="3" t="n">
        <v>137.453001</v>
      </c>
      <c r="AB2349" s="3" t="n">
        <v>152.631046</v>
      </c>
      <c r="AC2349" s="3" t="n">
        <v>171.607296</v>
      </c>
      <c r="AD2349" s="3" t="n">
        <v>215.813122</v>
      </c>
      <c r="AE2349" s="3" t="n">
        <v>264.893804</v>
      </c>
      <c r="AF2349" s="3" t="n">
        <v>277.806504</v>
      </c>
      <c r="AG2349" s="3" t="n">
        <v>299.659993</v>
      </c>
      <c r="AH2349" s="3" t="n">
        <v>325.859352</v>
      </c>
      <c r="AI2349" s="3" t="n">
        <v>347.831192</v>
      </c>
      <c r="AJ2349" s="3" t="n">
        <v>370.33275</v>
      </c>
      <c r="AK2349" s="3" t="n">
        <v>394.072443</v>
      </c>
      <c r="AL2349" s="3" t="n">
        <v>419.595807</v>
      </c>
      <c r="AM2349" s="3" t="n"/>
      <c r="AN2349" s="3" t="n"/>
      <c r="AO2349" s="3" t="n"/>
      <c r="AP2349" s="3" t="n"/>
      <c r="AQ2349" s="3" t="n"/>
      <c r="AR2349" s="3" t="n"/>
      <c r="AS2349" s="3" t="n"/>
      <c r="AT2349" s="3" t="n"/>
      <c r="AU2349" s="3" t="n"/>
    </row>
    <row r="2350">
      <c r="A2350" s="3" t="n">
        <v>2031</v>
      </c>
      <c r="B2350" s="3" t="inlineStr">
        <is>
          <t>PAK</t>
        </is>
      </c>
      <c r="C2350" s="3" t="inlineStr">
        <is>
          <t>IMF.RES:WEO</t>
        </is>
      </c>
      <c r="D2350" s="3" t="inlineStr">
        <is>
          <t>PAK.NGDP_R.A</t>
        </is>
      </c>
      <c r="E2350" s="3" t="inlineStr">
        <is>
          <t>Pakistan</t>
        </is>
      </c>
      <c r="F2350" s="3" t="inlineStr">
        <is>
          <t>Gross domestic product (GDP), Constant prices, Domestic currency</t>
        </is>
      </c>
      <c r="G2350" s="3" t="n">
        <v>15807.077</v>
      </c>
      <c r="H2350" s="3" t="n">
        <v>16382.114</v>
      </c>
      <c r="I2350" s="3" t="n">
        <v>16811.857</v>
      </c>
      <c r="J2350" s="3" t="n">
        <v>17680.556</v>
      </c>
      <c r="K2350" s="3" t="n">
        <v>19040.336</v>
      </c>
      <c r="L2350" s="3" t="n">
        <v>20563.084</v>
      </c>
      <c r="M2350" s="3" t="n">
        <v>21727.753</v>
      </c>
      <c r="N2350" s="3" t="n">
        <v>22838.183</v>
      </c>
      <c r="O2350" s="3" t="n">
        <v>23853.32</v>
      </c>
      <c r="P2350" s="3" t="n">
        <v>24106.914</v>
      </c>
      <c r="Q2350" s="3" t="n">
        <v>24652.816</v>
      </c>
      <c r="R2350" s="3" t="n">
        <v>25442.797</v>
      </c>
      <c r="S2350" s="3" t="n">
        <v>26256.028</v>
      </c>
      <c r="T2350" s="3" t="n">
        <v>27268.549</v>
      </c>
      <c r="U2350" s="3" t="n">
        <v>28238.304</v>
      </c>
      <c r="V2350" s="3" t="n">
        <v>29314.628</v>
      </c>
      <c r="W2350" s="3" t="n">
        <v>30508.205</v>
      </c>
      <c r="X2350" s="3" t="n">
        <v>31914.207</v>
      </c>
      <c r="Y2350" s="3" t="n">
        <v>33859.62</v>
      </c>
      <c r="Z2350" s="3" t="n">
        <v>34916.041</v>
      </c>
      <c r="AA2350" s="3" t="n">
        <v>34586.665</v>
      </c>
      <c r="AB2350" s="3" t="n">
        <v>36582.482</v>
      </c>
      <c r="AC2350" s="3" t="n">
        <v>38843.26</v>
      </c>
      <c r="AD2350" s="3" t="n">
        <v>38760.771</v>
      </c>
      <c r="AE2350" s="3" t="n">
        <v>39781.715</v>
      </c>
      <c r="AF2350" s="3" t="n">
        <v>41012.348</v>
      </c>
      <c r="AG2350" s="3" t="n">
        <v>42490.003353</v>
      </c>
      <c r="AH2350" s="3" t="n">
        <v>43977.150424</v>
      </c>
      <c r="AI2350" s="3" t="n">
        <v>45868.189506</v>
      </c>
      <c r="AJ2350" s="3" t="n">
        <v>47932.298673</v>
      </c>
      <c r="AK2350" s="3" t="n">
        <v>50089.243564</v>
      </c>
      <c r="AL2350" s="3" t="n">
        <v>52343.266183</v>
      </c>
      <c r="AM2350" s="3" t="n"/>
      <c r="AN2350" s="3" t="n"/>
      <c r="AO2350" s="3" t="n"/>
      <c r="AP2350" s="3" t="n"/>
      <c r="AQ2350" s="3" t="n"/>
      <c r="AR2350" s="3" t="n"/>
      <c r="AS2350" s="3" t="n"/>
      <c r="AT2350" s="3" t="n"/>
      <c r="AU2350" s="3" t="n"/>
    </row>
    <row r="2351">
      <c r="A2351" s="3" t="n">
        <v>2031</v>
      </c>
      <c r="B2351" s="3" t="inlineStr">
        <is>
          <t>PAK</t>
        </is>
      </c>
      <c r="C2351" s="3" t="inlineStr">
        <is>
          <t>IMF.RES:WEO</t>
        </is>
      </c>
      <c r="D2351" s="3" t="inlineStr">
        <is>
          <t>PAK.NGDP_RPCH.A</t>
        </is>
      </c>
      <c r="E2351" s="3" t="inlineStr">
        <is>
          <t>Pakistan</t>
        </is>
      </c>
      <c r="F2351" s="3" t="inlineStr">
        <is>
          <t>Gross domestic product (GDP), Constant prices, Percent change</t>
        </is>
      </c>
      <c r="G2351" s="3" t="n">
        <v>3.907886</v>
      </c>
      <c r="H2351" s="3" t="n">
        <v>3.637845</v>
      </c>
      <c r="I2351" s="3" t="n">
        <v>2.623245</v>
      </c>
      <c r="J2351" s="3" t="n">
        <v>5.167181</v>
      </c>
      <c r="K2351" s="3" t="n">
        <v>7.690821</v>
      </c>
      <c r="L2351" s="3" t="n">
        <v>7.997485</v>
      </c>
      <c r="M2351" s="3" t="n">
        <v>5.663883</v>
      </c>
      <c r="N2351" s="3" t="n">
        <v>5.110653</v>
      </c>
      <c r="O2351" s="3" t="n">
        <v>4.444911</v>
      </c>
      <c r="P2351" s="3" t="n">
        <v>1.063139</v>
      </c>
      <c r="Q2351" s="3" t="n">
        <v>2.264504</v>
      </c>
      <c r="R2351" s="3" t="n">
        <v>3.204425</v>
      </c>
      <c r="S2351" s="3" t="n">
        <v>3.196311</v>
      </c>
      <c r="T2351" s="3" t="n">
        <v>3.856337</v>
      </c>
      <c r="U2351" s="3" t="n">
        <v>3.556313</v>
      </c>
      <c r="V2351" s="3" t="n">
        <v>3.811575</v>
      </c>
      <c r="W2351" s="3" t="n">
        <v>4.071609</v>
      </c>
      <c r="X2351" s="3" t="n">
        <v>4.608603</v>
      </c>
      <c r="Y2351" s="3" t="n">
        <v>6.095759</v>
      </c>
      <c r="Z2351" s="3" t="n">
        <v>3.120003</v>
      </c>
      <c r="AA2351" s="3" t="n">
        <v>-0.943337</v>
      </c>
      <c r="AB2351" s="3" t="n">
        <v>5.770481</v>
      </c>
      <c r="AC2351" s="3" t="n">
        <v>6.179947</v>
      </c>
      <c r="AD2351" s="3" t="n">
        <v>-0.212364</v>
      </c>
      <c r="AE2351" s="3" t="n">
        <v>2.633962</v>
      </c>
      <c r="AF2351" s="3" t="n">
        <v>3.093464</v>
      </c>
      <c r="AG2351" s="3" t="n">
        <v>3.602952</v>
      </c>
      <c r="AH2351" s="3" t="n">
        <v>3.499993</v>
      </c>
      <c r="AI2351" s="3" t="n">
        <v>4.300049</v>
      </c>
      <c r="AJ2351" s="3" t="n">
        <v>4.500089</v>
      </c>
      <c r="AK2351" s="3" t="n">
        <v>4.499982</v>
      </c>
      <c r="AL2351" s="3" t="n">
        <v>4.500013</v>
      </c>
      <c r="AM2351" s="3" t="n"/>
      <c r="AN2351" s="3" t="n"/>
      <c r="AO2351" s="3" t="n"/>
      <c r="AP2351" s="3" t="n"/>
      <c r="AQ2351" s="3" t="n"/>
      <c r="AR2351" s="3" t="n"/>
      <c r="AS2351" s="3" t="n"/>
      <c r="AT2351" s="3" t="n"/>
      <c r="AU2351" s="3" t="n"/>
    </row>
    <row r="2352">
      <c r="A2352" s="3" t="n">
        <v>2025</v>
      </c>
      <c r="B2352" s="3" t="inlineStr">
        <is>
          <t>PAK</t>
        </is>
      </c>
      <c r="C2352" s="3" t="inlineStr">
        <is>
          <t>IMF.RES:WEO</t>
        </is>
      </c>
      <c r="D2352" s="3" t="inlineStr">
        <is>
          <t>PAK.NGDPD.A</t>
        </is>
      </c>
      <c r="E2352" s="3" t="inlineStr">
        <is>
          <t>Pakistan</t>
        </is>
      </c>
      <c r="F2352" s="3" t="inlineStr">
        <is>
          <t>Gross domestic product (GDP), Current prices, US dollar</t>
        </is>
      </c>
      <c r="G2352" s="3" t="n">
        <v>99.420636</v>
      </c>
      <c r="H2352" s="3" t="n">
        <v>96.783554</v>
      </c>
      <c r="I2352" s="3" t="n">
        <v>98.169138</v>
      </c>
      <c r="J2352" s="3" t="n">
        <v>112.50729</v>
      </c>
      <c r="K2352" s="3" t="n">
        <v>132.205793</v>
      </c>
      <c r="L2352" s="3" t="n">
        <v>145.208628</v>
      </c>
      <c r="M2352" s="3" t="n">
        <v>161.871412</v>
      </c>
      <c r="N2352" s="3" t="n">
        <v>184.14094</v>
      </c>
      <c r="O2352" s="3" t="n">
        <v>202.203887</v>
      </c>
      <c r="P2352" s="3" t="n">
        <v>187.073518</v>
      </c>
      <c r="Q2352" s="3" t="n">
        <v>196.712117</v>
      </c>
      <c r="R2352" s="3" t="n">
        <v>230.576538</v>
      </c>
      <c r="S2352" s="3" t="n">
        <v>250.093824</v>
      </c>
      <c r="T2352" s="3" t="n">
        <v>258.67435</v>
      </c>
      <c r="U2352" s="3" t="n">
        <v>271.421777</v>
      </c>
      <c r="V2352" s="3" t="n">
        <v>299.930158</v>
      </c>
      <c r="W2352" s="3" t="n">
        <v>313.622595</v>
      </c>
      <c r="X2352" s="3" t="n">
        <v>339.229324</v>
      </c>
      <c r="Y2352" s="3" t="n">
        <v>356.162613</v>
      </c>
      <c r="Z2352" s="3" t="n">
        <v>321.071144</v>
      </c>
      <c r="AA2352" s="3" t="n">
        <v>300.410021</v>
      </c>
      <c r="AB2352" s="3" t="n">
        <v>348.481345</v>
      </c>
      <c r="AC2352" s="3" t="n">
        <v>374.850411</v>
      </c>
      <c r="AD2352" s="3" t="n">
        <v>336.555488</v>
      </c>
      <c r="AE2352" s="3" t="n">
        <v>372.243385</v>
      </c>
      <c r="AF2352" s="3" t="n">
        <v>407.786438</v>
      </c>
      <c r="AG2352" s="3" t="n"/>
      <c r="AH2352" s="3" t="n"/>
      <c r="AI2352" s="3" t="n"/>
      <c r="AJ2352" s="3" t="n"/>
      <c r="AK2352" s="3" t="n"/>
      <c r="AL2352" s="3" t="n"/>
      <c r="AM2352" s="3" t="n"/>
      <c r="AN2352" s="3" t="n"/>
      <c r="AO2352" s="3" t="n"/>
      <c r="AP2352" s="3" t="n"/>
      <c r="AQ2352" s="3" t="n"/>
      <c r="AR2352" s="3" t="n"/>
      <c r="AS2352" s="3" t="n"/>
      <c r="AT2352" s="3" t="n"/>
      <c r="AU2352" s="3" t="n"/>
    </row>
    <row r="2353">
      <c r="A2353" s="3" t="n">
        <v>2031</v>
      </c>
      <c r="B2353" s="3" t="inlineStr">
        <is>
          <t>PAK</t>
        </is>
      </c>
      <c r="C2353" s="3" t="inlineStr">
        <is>
          <t>IMF.RES:WEO</t>
        </is>
      </c>
      <c r="D2353" s="3" t="inlineStr">
        <is>
          <t>PAK.NGDPPC.A</t>
        </is>
      </c>
      <c r="E2353" s="3" t="inlineStr">
        <is>
          <t>Pakistan</t>
        </is>
      </c>
      <c r="F2353" s="3" t="inlineStr">
        <is>
          <t>Gross domestic product (GDP), Current prices, Per capita, Domestic currency</t>
        </is>
      </c>
      <c r="G2353" s="3" t="n">
        <v>37971.929177</v>
      </c>
      <c r="H2353" s="3" t="n">
        <v>40727.42853</v>
      </c>
      <c r="I2353" s="3" t="n">
        <v>42382.042452</v>
      </c>
      <c r="J2353" s="3" t="n">
        <v>45147.64028</v>
      </c>
      <c r="K2353" s="3" t="n">
        <v>50961.957686</v>
      </c>
      <c r="L2353" s="3" t="n">
        <v>56320.125457</v>
      </c>
      <c r="M2353" s="3" t="n">
        <v>61788.604043</v>
      </c>
      <c r="N2353" s="3" t="n">
        <v>69491.71593999999</v>
      </c>
      <c r="O2353" s="3" t="n">
        <v>76821.581729</v>
      </c>
      <c r="P2353" s="3" t="n">
        <v>87175.872903</v>
      </c>
      <c r="Q2353" s="3" t="n">
        <v>95493.769524</v>
      </c>
      <c r="R2353" s="3" t="n">
        <v>111392.931745</v>
      </c>
      <c r="S2353" s="3" t="n">
        <v>123097.394227</v>
      </c>
      <c r="T2353" s="3" t="n">
        <v>134628.079136</v>
      </c>
      <c r="U2353" s="3" t="n">
        <v>146641.564369</v>
      </c>
      <c r="V2353" s="3" t="n">
        <v>155750.601485</v>
      </c>
      <c r="W2353" s="3" t="n">
        <v>163469.948549</v>
      </c>
      <c r="X2353" s="3" t="n">
        <v>173284.68587</v>
      </c>
      <c r="Y2353" s="3" t="n">
        <v>186840.57211</v>
      </c>
      <c r="Z2353" s="3" t="n">
        <v>204713.255434</v>
      </c>
      <c r="AA2353" s="3" t="n">
        <v>217835.451796</v>
      </c>
      <c r="AB2353" s="3" t="n">
        <v>250847.859293</v>
      </c>
      <c r="AC2353" s="3" t="n">
        <v>293646.995595</v>
      </c>
      <c r="AD2353" s="3" t="n">
        <v>361420.73882</v>
      </c>
      <c r="AE2353" s="3" t="n">
        <v>446617.071413</v>
      </c>
      <c r="AF2353" s="3" t="n">
        <v>473761.778037</v>
      </c>
      <c r="AG2353" s="3" t="n">
        <v>519447.268775</v>
      </c>
      <c r="AH2353" s="3" t="n">
        <v>573596.074454</v>
      </c>
      <c r="AI2353" s="3" t="n">
        <v>626544.582824</v>
      </c>
      <c r="AJ2353" s="3" t="n">
        <v>683935.571549</v>
      </c>
      <c r="AK2353" s="3" t="n">
        <v>746170.909379</v>
      </c>
      <c r="AL2353" s="3" t="n">
        <v>814578.028443</v>
      </c>
      <c r="AM2353" s="3" t="n"/>
      <c r="AN2353" s="3" t="n"/>
      <c r="AO2353" s="3" t="n"/>
      <c r="AP2353" s="3" t="n"/>
      <c r="AQ2353" s="3" t="n"/>
      <c r="AR2353" s="3" t="n"/>
      <c r="AS2353" s="3" t="n"/>
      <c r="AT2353" s="3" t="n"/>
      <c r="AU2353" s="3" t="n"/>
    </row>
    <row r="2354">
      <c r="A2354" s="3" t="n">
        <v>2031</v>
      </c>
      <c r="B2354" s="3" t="inlineStr">
        <is>
          <t>PAK</t>
        </is>
      </c>
      <c r="C2354" s="3" t="inlineStr">
        <is>
          <t>IMF.RES:WEO</t>
        </is>
      </c>
      <c r="D2354" s="3" t="inlineStr">
        <is>
          <t>PAK.NGDPRPC.A</t>
        </is>
      </c>
      <c r="E2354" s="3" t="inlineStr">
        <is>
          <t>Pakistan</t>
        </is>
      </c>
      <c r="F2354" s="3" t="inlineStr">
        <is>
          <t>Gross domestic product (GDP), Constant prices, Per capita, Domestic currency</t>
        </is>
      </c>
      <c r="G2354" s="3" t="n">
        <v>116614.363703</v>
      </c>
      <c r="H2354" s="3" t="n">
        <v>117967.264348</v>
      </c>
      <c r="I2354" s="3" t="n">
        <v>118160.366882</v>
      </c>
      <c r="J2354" s="3" t="n">
        <v>121282.453011</v>
      </c>
      <c r="K2354" s="3" t="n">
        <v>127479.485806</v>
      </c>
      <c r="L2354" s="3" t="n">
        <v>134364.113957</v>
      </c>
      <c r="M2354" s="3" t="n">
        <v>138561.016517</v>
      </c>
      <c r="N2354" s="3" t="n">
        <v>142143.418186</v>
      </c>
      <c r="O2354" s="3" t="n">
        <v>144890.481686</v>
      </c>
      <c r="P2354" s="3" t="n">
        <v>142906.597901</v>
      </c>
      <c r="Q2354" s="3" t="n">
        <v>142617.239384</v>
      </c>
      <c r="R2354" s="3" t="n">
        <v>143639.118162</v>
      </c>
      <c r="S2354" s="3" t="n">
        <v>144645.372411</v>
      </c>
      <c r="T2354" s="3" t="n">
        <v>146597.22058</v>
      </c>
      <c r="U2354" s="3" t="n">
        <v>148139.250866</v>
      </c>
      <c r="V2354" s="3" t="n">
        <v>150062.08344</v>
      </c>
      <c r="W2354" s="3" t="n">
        <v>152396.248564</v>
      </c>
      <c r="X2354" s="3" t="n">
        <v>155550.065799</v>
      </c>
      <c r="Y2354" s="3" t="n">
        <v>161428.462455</v>
      </c>
      <c r="Z2354" s="3" t="n">
        <v>163197.20028</v>
      </c>
      <c r="AA2354" s="3" t="n">
        <v>158479.953262</v>
      </c>
      <c r="AB2354" s="3" t="n">
        <v>164349.171122</v>
      </c>
      <c r="AC2354" s="3" t="n">
        <v>171115.682819</v>
      </c>
      <c r="AD2354" s="3" t="n">
        <v>167469.306546</v>
      </c>
      <c r="AE2354" s="3" t="n">
        <v>168602.309811</v>
      </c>
      <c r="AF2354" s="3" t="n">
        <v>170536.604433</v>
      </c>
      <c r="AG2354" s="3" t="n">
        <v>173345.552033</v>
      </c>
      <c r="AH2354" s="3" t="n">
        <v>176025.660005</v>
      </c>
      <c r="AI2354" s="3" t="n">
        <v>180128.923587</v>
      </c>
      <c r="AJ2354" s="3" t="n">
        <v>184681.363281</v>
      </c>
      <c r="AK2354" s="3" t="n">
        <v>189348.664967</v>
      </c>
      <c r="AL2354" s="3" t="n">
        <v>194133.977404</v>
      </c>
      <c r="AM2354" s="3" t="n"/>
      <c r="AN2354" s="3" t="n"/>
      <c r="AO2354" s="3" t="n"/>
      <c r="AP2354" s="3" t="n"/>
      <c r="AQ2354" s="3" t="n"/>
      <c r="AR2354" s="3" t="n"/>
      <c r="AS2354" s="3" t="n"/>
      <c r="AT2354" s="3" t="n"/>
      <c r="AU2354" s="3" t="n"/>
    </row>
    <row r="2355">
      <c r="A2355" s="3" t="n">
        <v>2031</v>
      </c>
      <c r="B2355" s="3" t="inlineStr">
        <is>
          <t>PAK</t>
        </is>
      </c>
      <c r="C2355" s="3" t="inlineStr">
        <is>
          <t>IMF.RES:WEO</t>
        </is>
      </c>
      <c r="D2355" s="3" t="inlineStr">
        <is>
          <t>PAK.PCPI.A</t>
        </is>
      </c>
      <c r="E2355" s="3" t="inlineStr">
        <is>
          <t>Pakistan</t>
        </is>
      </c>
      <c r="F2355" s="3" t="inlineStr">
        <is>
          <t>All Items, Consumer price index (CPI), Period average</t>
        </is>
      </c>
      <c r="G2355" s="3" t="n">
        <v>28.950833</v>
      </c>
      <c r="H2355" s="3" t="n">
        <v>30.224167</v>
      </c>
      <c r="I2355" s="3" t="n">
        <v>31.294167</v>
      </c>
      <c r="J2355" s="3" t="n">
        <v>32.265</v>
      </c>
      <c r="K2355" s="3" t="n">
        <v>33.739167</v>
      </c>
      <c r="L2355" s="3" t="n">
        <v>36.868333</v>
      </c>
      <c r="M2355" s="3" t="n">
        <v>39.7875</v>
      </c>
      <c r="N2355" s="3" t="n">
        <v>42.881667</v>
      </c>
      <c r="O2355" s="3" t="n">
        <v>48.025833</v>
      </c>
      <c r="P2355" s="3" t="n">
        <v>57.42</v>
      </c>
      <c r="Q2355" s="3" t="n">
        <v>63.224167</v>
      </c>
      <c r="R2355" s="3" t="n">
        <v>71.859167</v>
      </c>
      <c r="S2355" s="3" t="n">
        <v>79.766667</v>
      </c>
      <c r="T2355" s="3" t="n">
        <v>85.638333</v>
      </c>
      <c r="U2355" s="3" t="n">
        <v>93.020833</v>
      </c>
      <c r="V2355" s="3" t="n">
        <v>97.230833</v>
      </c>
      <c r="W2355" s="3" t="n">
        <v>100.015833</v>
      </c>
      <c r="X2355" s="3" t="n">
        <v>104.791667</v>
      </c>
      <c r="Y2355" s="3" t="n">
        <v>109.716667</v>
      </c>
      <c r="Z2355" s="3" t="n">
        <v>117.18</v>
      </c>
      <c r="AA2355" s="3" t="n">
        <v>129.764167</v>
      </c>
      <c r="AB2355" s="3" t="n">
        <v>141.308333</v>
      </c>
      <c r="AC2355" s="3" t="n">
        <v>158.480833</v>
      </c>
      <c r="AD2355" s="3" t="n">
        <v>204.7275</v>
      </c>
      <c r="AE2355" s="3" t="n">
        <v>252.655833</v>
      </c>
      <c r="AF2355" s="3" t="n">
        <v>264.0125</v>
      </c>
      <c r="AG2355" s="3" t="n">
        <v>282.899773</v>
      </c>
      <c r="AH2355" s="3" t="n">
        <v>306.537149</v>
      </c>
      <c r="AI2355" s="3" t="n">
        <v>326.624865</v>
      </c>
      <c r="AJ2355" s="3" t="n">
        <v>347.745709</v>
      </c>
      <c r="AK2355" s="3" t="n">
        <v>370.232309</v>
      </c>
      <c r="AL2355" s="3" t="n">
        <v>394.172982</v>
      </c>
      <c r="AM2355" s="3" t="n"/>
      <c r="AN2355" s="3" t="n"/>
      <c r="AO2355" s="3" t="n"/>
      <c r="AP2355" s="3" t="n"/>
      <c r="AQ2355" s="3" t="n"/>
      <c r="AR2355" s="3" t="n"/>
      <c r="AS2355" s="3" t="n"/>
      <c r="AT2355" s="3" t="n"/>
      <c r="AU2355" s="3" t="n"/>
    </row>
    <row r="2356">
      <c r="A2356" s="3" t="n">
        <v>2031</v>
      </c>
      <c r="B2356" s="3" t="inlineStr">
        <is>
          <t>PAK</t>
        </is>
      </c>
      <c r="C2356" s="3" t="inlineStr">
        <is>
          <t>IMF.RES:WEO</t>
        </is>
      </c>
      <c r="D2356" s="3" t="inlineStr">
        <is>
          <t>PAK.PCPIPCH.A</t>
        </is>
      </c>
      <c r="E2356" s="3" t="inlineStr">
        <is>
          <t>Pakistan</t>
        </is>
      </c>
      <c r="F2356" s="3" t="inlineStr">
        <is>
          <t>All Items, Consumer price index (CPI), Period average, percent change</t>
        </is>
      </c>
      <c r="G2356" s="3" t="n">
        <v>3.596243</v>
      </c>
      <c r="H2356" s="3" t="n">
        <v>4.398261</v>
      </c>
      <c r="I2356" s="3" t="n">
        <v>3.540213</v>
      </c>
      <c r="J2356" s="3" t="n">
        <v>3.102282</v>
      </c>
      <c r="K2356" s="3" t="n">
        <v>4.568934</v>
      </c>
      <c r="L2356" s="3" t="n">
        <v>9.274582000000001</v>
      </c>
      <c r="M2356" s="3" t="n">
        <v>7.917816</v>
      </c>
      <c r="N2356" s="3" t="n">
        <v>7.776731</v>
      </c>
      <c r="O2356" s="3" t="n">
        <v>11.996191</v>
      </c>
      <c r="P2356" s="3" t="n">
        <v>19.560653</v>
      </c>
      <c r="Q2356" s="3" t="n">
        <v>10.108267</v>
      </c>
      <c r="R2356" s="3" t="n">
        <v>13.657752</v>
      </c>
      <c r="S2356" s="3" t="n">
        <v>11.004163</v>
      </c>
      <c r="T2356" s="3" t="n">
        <v>7.361053</v>
      </c>
      <c r="U2356" s="3" t="n">
        <v>8.620555</v>
      </c>
      <c r="V2356" s="3" t="n">
        <v>4.525868</v>
      </c>
      <c r="W2356" s="3" t="n">
        <v>2.864318</v>
      </c>
      <c r="X2356" s="3" t="n">
        <v>4.775077</v>
      </c>
      <c r="Y2356" s="3" t="n">
        <v>4.699801</v>
      </c>
      <c r="Z2356" s="3" t="n">
        <v>6.80237</v>
      </c>
      <c r="AA2356" s="3" t="n">
        <v>10.739176</v>
      </c>
      <c r="AB2356" s="3" t="n">
        <v>8.896267</v>
      </c>
      <c r="AC2356" s="3" t="n">
        <v>12.152503</v>
      </c>
      <c r="AD2356" s="3" t="n">
        <v>29.181236</v>
      </c>
      <c r="AE2356" s="3" t="n">
        <v>23.410794</v>
      </c>
      <c r="AF2356" s="3" t="n">
        <v>4.494916</v>
      </c>
      <c r="AG2356" s="3" t="n">
        <v>7.153931</v>
      </c>
      <c r="AH2356" s="3" t="n">
        <v>8.355389000000001</v>
      </c>
      <c r="AI2356" s="3" t="n">
        <v>6.55311</v>
      </c>
      <c r="AJ2356" s="3" t="n">
        <v>6.466392</v>
      </c>
      <c r="AK2356" s="3" t="n">
        <v>6.466392</v>
      </c>
      <c r="AL2356" s="3" t="n">
        <v>6.466392</v>
      </c>
      <c r="AM2356" s="3" t="n"/>
      <c r="AN2356" s="3" t="n"/>
      <c r="AO2356" s="3" t="n"/>
      <c r="AP2356" s="3" t="n"/>
      <c r="AQ2356" s="3" t="n"/>
      <c r="AR2356" s="3" t="n"/>
      <c r="AS2356" s="3" t="n"/>
      <c r="AT2356" s="3" t="n"/>
      <c r="AU2356" s="3" t="n"/>
    </row>
    <row r="2357">
      <c r="A2357" s="3" t="n">
        <v>2031</v>
      </c>
      <c r="B2357" s="3" t="inlineStr">
        <is>
          <t>PAK</t>
        </is>
      </c>
      <c r="C2357" s="3" t="inlineStr">
        <is>
          <t>IMF.RES:WEO</t>
        </is>
      </c>
      <c r="D2357" s="3" t="inlineStr">
        <is>
          <t>PAK.PPPPC.A</t>
        </is>
      </c>
      <c r="E2357" s="3" t="inlineStr">
        <is>
          <t>Pakistan</t>
        </is>
      </c>
      <c r="F2357" s="3" t="inlineStr">
        <is>
          <t>Gross domestic product (GDP), Per capita, purchasing power parity (PPP) international dollar, ICP benchmarks 2017-2021</t>
        </is>
      </c>
      <c r="G2357" s="3" t="n">
        <v>2841.626643</v>
      </c>
      <c r="H2357" s="3" t="n">
        <v>2939.318692</v>
      </c>
      <c r="I2357" s="3" t="n">
        <v>2989.882945</v>
      </c>
      <c r="J2357" s="3" t="n">
        <v>3129.469341</v>
      </c>
      <c r="K2357" s="3" t="n">
        <v>3377.819621</v>
      </c>
      <c r="L2357" s="3" t="n">
        <v>3671.884173</v>
      </c>
      <c r="M2357" s="3" t="n">
        <v>3903.350113</v>
      </c>
      <c r="N2357" s="3" t="n">
        <v>4112.75505</v>
      </c>
      <c r="O2357" s="3" t="n">
        <v>4272.997896</v>
      </c>
      <c r="P2357" s="3" t="n">
        <v>4240.483263</v>
      </c>
      <c r="Q2357" s="3" t="n">
        <v>4283.330498</v>
      </c>
      <c r="R2357" s="3" t="n">
        <v>4403.030325</v>
      </c>
      <c r="S2357" s="3" t="n">
        <v>4516.431211</v>
      </c>
      <c r="T2357" s="3" t="n">
        <v>4655.283209</v>
      </c>
      <c r="U2357" s="3" t="n">
        <v>4786.185955</v>
      </c>
      <c r="V2357" s="3" t="n">
        <v>4893.305066</v>
      </c>
      <c r="W2357" s="3" t="n">
        <v>5016.639366</v>
      </c>
      <c r="X2357" s="3" t="n">
        <v>5212.159705</v>
      </c>
      <c r="Y2357" s="3" t="n">
        <v>5387.192898</v>
      </c>
      <c r="Z2357" s="3" t="n">
        <v>5434.294833</v>
      </c>
      <c r="AA2357" s="3" t="n">
        <v>5435.730484</v>
      </c>
      <c r="AB2357" s="3" t="n">
        <v>5774.486232</v>
      </c>
      <c r="AC2357" s="3" t="n">
        <v>6439.845586</v>
      </c>
      <c r="AD2357" s="3" t="n">
        <v>6535.815102</v>
      </c>
      <c r="AE2357" s="3" t="n">
        <v>6743.385018</v>
      </c>
      <c r="AF2357" s="3" t="n">
        <v>7014.237403</v>
      </c>
      <c r="AG2357" s="3" t="n">
        <v>7334.027809</v>
      </c>
      <c r="AH2357" s="3" t="n">
        <v>7610.957778</v>
      </c>
      <c r="AI2357" s="3" t="n">
        <v>7916.211392</v>
      </c>
      <c r="AJ2357" s="3" t="n">
        <v>8260.595884</v>
      </c>
      <c r="AK2357" s="3" t="n">
        <v>8624.985945</v>
      </c>
      <c r="AL2357" s="3" t="n">
        <v>9002.602955</v>
      </c>
      <c r="AM2357" s="3" t="n"/>
      <c r="AN2357" s="3" t="n"/>
      <c r="AO2357" s="3" t="n"/>
      <c r="AP2357" s="3" t="n"/>
      <c r="AQ2357" s="3" t="n"/>
      <c r="AR2357" s="3" t="n"/>
      <c r="AS2357" s="3" t="n"/>
      <c r="AT2357" s="3" t="n"/>
      <c r="AU2357" s="3" t="n"/>
    </row>
    <row r="2358">
      <c r="A2358" s="3" t="n">
        <v>2025</v>
      </c>
      <c r="B2358" s="3" t="inlineStr">
        <is>
          <t>PAK</t>
        </is>
      </c>
      <c r="C2358" s="3" t="inlineStr">
        <is>
          <t>IMF.STA:ER</t>
        </is>
      </c>
      <c r="D2358" s="3" t="inlineStr">
        <is>
          <t>PAK.XDC_USD.PA_RT.A</t>
        </is>
      </c>
      <c r="E2358" s="3" t="inlineStr">
        <is>
          <t>Pakistan</t>
        </is>
      </c>
      <c r="F2358" s="3" t="inlineStr">
        <is>
          <t>Domestic currency per US Dollar</t>
        </is>
      </c>
      <c r="G2358" s="3" t="n">
        <v>53.6481865</v>
      </c>
      <c r="H2358" s="3" t="n">
        <v>61.9271616666666</v>
      </c>
      <c r="I2358" s="3" t="n">
        <v>59.7237816666666</v>
      </c>
      <c r="J2358" s="3" t="n">
        <v>57.7519966666666</v>
      </c>
      <c r="K2358" s="3" t="n">
        <v>58.2578633333333</v>
      </c>
      <c r="L2358" s="3" t="n">
        <v>59.514475</v>
      </c>
      <c r="M2358" s="3" t="n">
        <v>60.271335</v>
      </c>
      <c r="N2358" s="3" t="n">
        <v>60.7385158333333</v>
      </c>
      <c r="O2358" s="3" t="n">
        <v>70.40803333333329</v>
      </c>
      <c r="P2358" s="3" t="n">
        <v>81.71289166666659</v>
      </c>
      <c r="Q2358" s="3" t="n">
        <v>85.1938163257575</v>
      </c>
      <c r="R2358" s="3" t="n">
        <v>86.34338333333331</v>
      </c>
      <c r="S2358" s="3" t="n">
        <v>93.39519722222219</v>
      </c>
      <c r="T2358" s="3" t="n">
        <v>101.628899206349</v>
      </c>
      <c r="U2358" s="3" t="n">
        <v>101.100088423521</v>
      </c>
      <c r="V2358" s="3" t="n">
        <v>102.769271604674</v>
      </c>
      <c r="W2358" s="3" t="n">
        <v>104.769117033301</v>
      </c>
      <c r="X2358" s="3" t="n">
        <v>105.455162087937</v>
      </c>
      <c r="Y2358" s="3" t="n">
        <v>121.824068875756</v>
      </c>
      <c r="Z2358" s="3" t="n">
        <v>150.036253839864</v>
      </c>
      <c r="AA2358" s="3" t="n">
        <v>161.838479684718</v>
      </c>
      <c r="AB2358" s="3" t="n">
        <v>162.906253747418</v>
      </c>
      <c r="AC2358" s="3" t="n">
        <v>204.867187469982</v>
      </c>
      <c r="AD2358" s="3" t="n">
        <v>280.356111655149</v>
      </c>
      <c r="AE2358" s="3" t="n">
        <v>278.580716167562</v>
      </c>
      <c r="AF2358" s="3" t="n">
        <v>281.143001173202</v>
      </c>
      <c r="AG2358" s="3" t="n"/>
      <c r="AH2358" s="3" t="n"/>
      <c r="AI2358" s="3" t="n"/>
      <c r="AJ2358" s="3" t="n"/>
      <c r="AK2358" s="3" t="n"/>
      <c r="AL2358" s="3" t="n"/>
      <c r="AM2358" s="3" t="n"/>
      <c r="AN2358" s="3" t="n"/>
      <c r="AO2358" s="3" t="n"/>
      <c r="AP2358" s="3" t="n"/>
      <c r="AQ2358" s="3" t="n"/>
      <c r="AR2358" s="3" t="n"/>
      <c r="AS2358" s="3" t="n"/>
      <c r="AT2358" s="3" t="n"/>
      <c r="AU2358" s="3" t="n"/>
    </row>
    <row r="2359">
      <c r="A2359" s="3" t="n">
        <v>2031</v>
      </c>
      <c r="B2359" s="3" t="inlineStr">
        <is>
          <t>PAN</t>
        </is>
      </c>
      <c r="C2359" s="3" t="inlineStr">
        <is>
          <t>IMF.RES:WEO</t>
        </is>
      </c>
      <c r="D2359" s="3" t="inlineStr">
        <is>
          <t>PAN.BCA.A</t>
        </is>
      </c>
      <c r="E2359" s="3" t="inlineStr">
        <is>
          <t>Panama</t>
        </is>
      </c>
      <c r="F2359" s="3" t="inlineStr">
        <is>
          <t>Current account balance (credit less debit), US dollar</t>
        </is>
      </c>
      <c r="G2359" s="3" t="n">
        <v>-0.6989</v>
      </c>
      <c r="H2359" s="3" t="n">
        <v>-0.191</v>
      </c>
      <c r="I2359" s="3" t="n">
        <v>-0.1131</v>
      </c>
      <c r="J2359" s="3" t="n">
        <v>-0.5752</v>
      </c>
      <c r="K2359" s="3" t="n">
        <v>-1.0454</v>
      </c>
      <c r="L2359" s="3" t="n">
        <v>-1.0641</v>
      </c>
      <c r="M2359" s="3" t="n">
        <v>-0.4628</v>
      </c>
      <c r="N2359" s="3" t="n">
        <v>-1.1796</v>
      </c>
      <c r="O2359" s="3" t="n">
        <v>-2.2872</v>
      </c>
      <c r="P2359" s="3" t="n">
        <v>-0.2123</v>
      </c>
      <c r="Q2359" s="3" t="n">
        <v>-3.1214</v>
      </c>
      <c r="R2359" s="3" t="n">
        <v>-4.5174</v>
      </c>
      <c r="S2359" s="3" t="n">
        <v>-3.7351</v>
      </c>
      <c r="T2359" s="3" t="n">
        <v>-4.0837</v>
      </c>
      <c r="U2359" s="3" t="n">
        <v>-6.6772</v>
      </c>
      <c r="V2359" s="3" t="n">
        <v>-4.8484</v>
      </c>
      <c r="W2359" s="3" t="n">
        <v>-4.50767</v>
      </c>
      <c r="X2359" s="3" t="n">
        <v>-3.745436</v>
      </c>
      <c r="Y2359" s="3" t="n">
        <v>-5.307361</v>
      </c>
      <c r="Z2359" s="3" t="n">
        <v>-3.589766</v>
      </c>
      <c r="AA2359" s="3" t="n">
        <v>0.122857</v>
      </c>
      <c r="AB2359" s="3" t="n">
        <v>-0.818191</v>
      </c>
      <c r="AC2359" s="3" t="n">
        <v>0.028769</v>
      </c>
      <c r="AD2359" s="3" t="n">
        <v>-2.581001</v>
      </c>
      <c r="AE2359" s="3" t="n">
        <v>0.5682</v>
      </c>
      <c r="AF2359" s="3" t="n">
        <v>0.271388</v>
      </c>
      <c r="AG2359" s="3" t="n">
        <v>-1.425357</v>
      </c>
      <c r="AH2359" s="3" t="n">
        <v>-2.533116</v>
      </c>
      <c r="AI2359" s="3" t="n">
        <v>-2.701082</v>
      </c>
      <c r="AJ2359" s="3" t="n">
        <v>-2.886081</v>
      </c>
      <c r="AK2359" s="3" t="n">
        <v>-3.077452</v>
      </c>
      <c r="AL2359" s="3" t="n">
        <v>-3.281511</v>
      </c>
      <c r="AM2359" s="3" t="n"/>
      <c r="AN2359" s="3" t="n"/>
      <c r="AO2359" s="3" t="n"/>
      <c r="AP2359" s="3" t="n"/>
      <c r="AQ2359" s="3" t="n"/>
      <c r="AR2359" s="3" t="n"/>
      <c r="AS2359" s="3" t="n"/>
      <c r="AT2359" s="3" t="n"/>
      <c r="AU2359" s="3" t="n"/>
    </row>
    <row r="2360">
      <c r="A2360" s="3" t="n">
        <v>2031</v>
      </c>
      <c r="B2360" s="3" t="inlineStr">
        <is>
          <t>PAN</t>
        </is>
      </c>
      <c r="C2360" s="3" t="inlineStr">
        <is>
          <t>IMF.RES:WEO</t>
        </is>
      </c>
      <c r="D2360" s="3" t="inlineStr">
        <is>
          <t>PAN.BCA_NGDPD.A</t>
        </is>
      </c>
      <c r="E2360" s="3" t="inlineStr">
        <is>
          <t>Panama</t>
        </is>
      </c>
      <c r="F2360" s="3" t="inlineStr">
        <is>
          <t>Current account balance (credit less debit), Percent of GDP</t>
        </is>
      </c>
      <c r="G2360" s="3" t="n">
        <v>-5.840473</v>
      </c>
      <c r="H2360" s="3" t="n">
        <v>-1.558814</v>
      </c>
      <c r="I2360" s="3" t="n">
        <v>-0.883535</v>
      </c>
      <c r="J2360" s="3" t="n">
        <v>-4.228337</v>
      </c>
      <c r="K2360" s="3" t="n">
        <v>-6.923086</v>
      </c>
      <c r="L2360" s="3" t="n">
        <v>-6.401022</v>
      </c>
      <c r="M2360" s="3" t="n">
        <v>-2.480209</v>
      </c>
      <c r="N2360" s="3" t="n">
        <v>-5.431581</v>
      </c>
      <c r="O2360" s="3" t="n">
        <v>-8.892231000000001</v>
      </c>
      <c r="P2360" s="3" t="n">
        <v>-0.76391</v>
      </c>
      <c r="Q2360" s="3" t="n">
        <v>-10.32516</v>
      </c>
      <c r="R2360" s="3" t="n">
        <v>-12.658129</v>
      </c>
      <c r="S2360" s="3" t="n">
        <v>-8.97959</v>
      </c>
      <c r="T2360" s="3" t="n">
        <v>-8.69807</v>
      </c>
      <c r="U2360" s="3" t="n">
        <v>-12.983815</v>
      </c>
      <c r="V2360" s="3" t="n">
        <v>-8.693905000000001</v>
      </c>
      <c r="W2360" s="3" t="n">
        <v>-7.542846</v>
      </c>
      <c r="X2360" s="3" t="n">
        <v>-5.822431</v>
      </c>
      <c r="Y2360" s="3" t="n">
        <v>-7.884193</v>
      </c>
      <c r="Z2360" s="3" t="n">
        <v>-5.14448</v>
      </c>
      <c r="AA2360" s="3" t="n">
        <v>0.215312</v>
      </c>
      <c r="AB2360" s="3" t="n">
        <v>-1.213999</v>
      </c>
      <c r="AC2360" s="3" t="n">
        <v>0.037616</v>
      </c>
      <c r="AD2360" s="3" t="n">
        <v>-3.079507</v>
      </c>
      <c r="AE2360" s="3" t="n">
        <v>0.6566959999999999</v>
      </c>
      <c r="AF2360" s="3" t="n">
        <v>0.3</v>
      </c>
      <c r="AG2360" s="3" t="n">
        <v>-1.5</v>
      </c>
      <c r="AH2360" s="3" t="n">
        <v>-2.5</v>
      </c>
      <c r="AI2360" s="3" t="n">
        <v>-2.5</v>
      </c>
      <c r="AJ2360" s="3" t="n">
        <v>-2.5</v>
      </c>
      <c r="AK2360" s="3" t="n">
        <v>-2.5</v>
      </c>
      <c r="AL2360" s="3" t="n">
        <v>-2.5</v>
      </c>
      <c r="AM2360" s="3" t="n"/>
      <c r="AN2360" s="3" t="n"/>
      <c r="AO2360" s="3" t="n"/>
      <c r="AP2360" s="3" t="n"/>
      <c r="AQ2360" s="3" t="n"/>
      <c r="AR2360" s="3" t="n"/>
      <c r="AS2360" s="3" t="n"/>
      <c r="AT2360" s="3" t="n"/>
      <c r="AU2360" s="3" t="n"/>
    </row>
    <row r="2361">
      <c r="A2361" s="3" t="n">
        <v>2031</v>
      </c>
      <c r="B2361" s="3" t="inlineStr">
        <is>
          <t>PAN</t>
        </is>
      </c>
      <c r="C2361" s="3" t="inlineStr">
        <is>
          <t>IMF.RES:WEO</t>
        </is>
      </c>
      <c r="D2361" s="3" t="inlineStr">
        <is>
          <t>PAN.GGR_NGDP.A</t>
        </is>
      </c>
      <c r="E2361" s="3" t="inlineStr">
        <is>
          <t>Panama</t>
        </is>
      </c>
      <c r="F2361" s="3" t="inlineStr">
        <is>
          <t>Revenue, General government, Percent of GDP</t>
        </is>
      </c>
      <c r="G2361" s="3" t="n">
        <v>26.898327</v>
      </c>
      <c r="H2361" s="3" t="n">
        <v>24.733392</v>
      </c>
      <c r="I2361" s="3" t="n">
        <v>24.065012</v>
      </c>
      <c r="J2361" s="3" t="n">
        <v>23.267939</v>
      </c>
      <c r="K2361" s="3" t="n">
        <v>19.871918</v>
      </c>
      <c r="L2361" s="3" t="n">
        <v>20.898818</v>
      </c>
      <c r="M2361" s="3" t="n">
        <v>22.951575</v>
      </c>
      <c r="N2361" s="3" t="n">
        <v>25.34968</v>
      </c>
      <c r="O2361" s="3" t="n">
        <v>23.406257</v>
      </c>
      <c r="P2361" s="3" t="n">
        <v>22.037539</v>
      </c>
      <c r="Q2361" s="3" t="n">
        <v>22.736919</v>
      </c>
      <c r="R2361" s="3" t="n">
        <v>21.748927</v>
      </c>
      <c r="S2361" s="3" t="n">
        <v>21.668722</v>
      </c>
      <c r="T2361" s="3" t="n">
        <v>21.192347</v>
      </c>
      <c r="U2361" s="3" t="n">
        <v>19.882511</v>
      </c>
      <c r="V2361" s="3" t="n">
        <v>19.18849</v>
      </c>
      <c r="W2361" s="3" t="n">
        <v>19.489345</v>
      </c>
      <c r="X2361" s="3" t="n">
        <v>19.341593</v>
      </c>
      <c r="Y2361" s="3" t="n">
        <v>18.948854</v>
      </c>
      <c r="Z2361" s="3" t="n">
        <v>17.745742</v>
      </c>
      <c r="AA2361" s="3" t="n">
        <v>17.34004</v>
      </c>
      <c r="AB2361" s="3" t="n">
        <v>17.301816</v>
      </c>
      <c r="AC2361" s="3" t="n">
        <v>17.366397</v>
      </c>
      <c r="AD2361" s="3" t="n">
        <v>17.481832</v>
      </c>
      <c r="AE2361" s="3" t="n">
        <v>16.879371</v>
      </c>
      <c r="AF2361" s="3" t="n">
        <v>17.260605</v>
      </c>
      <c r="AG2361" s="3" t="n">
        <v>17.961835</v>
      </c>
      <c r="AH2361" s="3" t="n">
        <v>18.237606</v>
      </c>
      <c r="AI2361" s="3" t="n">
        <v>18.503431</v>
      </c>
      <c r="AJ2361" s="3" t="n">
        <v>18.89737</v>
      </c>
      <c r="AK2361" s="3" t="n">
        <v>19.16487</v>
      </c>
      <c r="AL2361" s="3" t="n">
        <v>19.438833</v>
      </c>
      <c r="AM2361" s="3" t="n"/>
      <c r="AN2361" s="3" t="n"/>
      <c r="AO2361" s="3" t="n"/>
      <c r="AP2361" s="3" t="n"/>
      <c r="AQ2361" s="3" t="n"/>
      <c r="AR2361" s="3" t="n"/>
      <c r="AS2361" s="3" t="n"/>
      <c r="AT2361" s="3" t="n"/>
      <c r="AU2361" s="3" t="n"/>
    </row>
    <row r="2362">
      <c r="A2362" s="3" t="n">
        <v>2031</v>
      </c>
      <c r="B2362" s="3" t="inlineStr">
        <is>
          <t>PAN</t>
        </is>
      </c>
      <c r="C2362" s="3" t="inlineStr">
        <is>
          <t>IMF.RES:WEO</t>
        </is>
      </c>
      <c r="D2362" s="3" t="inlineStr">
        <is>
          <t>PAN.GGX_NGDP.A</t>
        </is>
      </c>
      <c r="E2362" s="3" t="inlineStr">
        <is>
          <t>Panama</t>
        </is>
      </c>
      <c r="F2362" s="3" t="inlineStr">
        <is>
          <t>Expenditure, General government, Percent of GDP</t>
        </is>
      </c>
      <c r="G2362" s="3" t="n">
        <v>24.679888</v>
      </c>
      <c r="H2362" s="3" t="n">
        <v>25.181374</v>
      </c>
      <c r="I2362" s="3" t="n">
        <v>25.094762</v>
      </c>
      <c r="J2362" s="3" t="n">
        <v>25.677289</v>
      </c>
      <c r="K2362" s="3" t="n">
        <v>24.408314</v>
      </c>
      <c r="L2362" s="3" t="n">
        <v>23.193465</v>
      </c>
      <c r="M2362" s="3" t="n">
        <v>22.424863</v>
      </c>
      <c r="N2362" s="3" t="n">
        <v>22.176515</v>
      </c>
      <c r="O2362" s="3" t="n">
        <v>23.026027</v>
      </c>
      <c r="P2362" s="3" t="n">
        <v>22.948978</v>
      </c>
      <c r="Q2362" s="3" t="n">
        <v>24.429551</v>
      </c>
      <c r="R2362" s="3" t="n">
        <v>23.719071</v>
      </c>
      <c r="S2362" s="3" t="n">
        <v>22.992424</v>
      </c>
      <c r="T2362" s="3" t="n">
        <v>23.590668</v>
      </c>
      <c r="U2362" s="3" t="n">
        <v>22.921765</v>
      </c>
      <c r="V2362" s="3" t="n">
        <v>21.354614</v>
      </c>
      <c r="W2362" s="3" t="n">
        <v>21.251368</v>
      </c>
      <c r="X2362" s="3" t="n">
        <v>21.14486</v>
      </c>
      <c r="Y2362" s="3" t="n">
        <v>21.709694</v>
      </c>
      <c r="Z2362" s="3" t="n">
        <v>20.487685</v>
      </c>
      <c r="AA2362" s="3" t="n">
        <v>27.016722</v>
      </c>
      <c r="AB2362" s="3" t="n">
        <v>23.749046</v>
      </c>
      <c r="AC2362" s="3" t="n">
        <v>21.347474</v>
      </c>
      <c r="AD2362" s="3" t="n">
        <v>21.38413</v>
      </c>
      <c r="AE2362" s="3" t="n">
        <v>23.109206</v>
      </c>
      <c r="AF2362" s="3" t="n">
        <v>20.931512</v>
      </c>
      <c r="AG2362" s="3" t="n">
        <v>21.349789</v>
      </c>
      <c r="AH2362" s="3" t="n">
        <v>21.214391</v>
      </c>
      <c r="AI2362" s="3" t="n">
        <v>21.028555</v>
      </c>
      <c r="AJ2362" s="3" t="n">
        <v>20.921165</v>
      </c>
      <c r="AK2362" s="3" t="n">
        <v>20.663973</v>
      </c>
      <c r="AL2362" s="3" t="n">
        <v>20.885311</v>
      </c>
      <c r="AM2362" s="3" t="n"/>
      <c r="AN2362" s="3" t="n"/>
      <c r="AO2362" s="3" t="n"/>
      <c r="AP2362" s="3" t="n"/>
      <c r="AQ2362" s="3" t="n"/>
      <c r="AR2362" s="3" t="n"/>
      <c r="AS2362" s="3" t="n"/>
      <c r="AT2362" s="3" t="n"/>
      <c r="AU2362" s="3" t="n"/>
    </row>
    <row r="2363">
      <c r="A2363" s="3" t="n">
        <v>2031</v>
      </c>
      <c r="B2363" s="3" t="inlineStr">
        <is>
          <t>PAN</t>
        </is>
      </c>
      <c r="C2363" s="3" t="inlineStr">
        <is>
          <t>IMF.RES:WEO</t>
        </is>
      </c>
      <c r="D2363" s="3" t="inlineStr">
        <is>
          <t>PAN.LP.A</t>
        </is>
      </c>
      <c r="E2363" s="3" t="inlineStr">
        <is>
          <t>Panama</t>
        </is>
      </c>
      <c r="F2363" s="3" t="inlineStr">
        <is>
          <t>Population, Persons for countries / Index for country groups</t>
        </is>
      </c>
      <c r="G2363" s="3" t="n">
        <v>3.040701</v>
      </c>
      <c r="H2363" s="3" t="n">
        <v>3.102268</v>
      </c>
      <c r="I2363" s="3" t="n">
        <v>3.164354</v>
      </c>
      <c r="J2363" s="3" t="n">
        <v>3.226535</v>
      </c>
      <c r="K2363" s="3" t="n">
        <v>3.288733</v>
      </c>
      <c r="L2363" s="3" t="n">
        <v>3.351007</v>
      </c>
      <c r="M2363" s="3" t="n">
        <v>3.413399</v>
      </c>
      <c r="N2363" s="3" t="n">
        <v>3.475741</v>
      </c>
      <c r="O2363" s="3" t="n">
        <v>3.537986</v>
      </c>
      <c r="P2363" s="3" t="n">
        <v>3.6</v>
      </c>
      <c r="Q2363" s="3" t="n">
        <v>3.661835</v>
      </c>
      <c r="R2363" s="3" t="n">
        <v>3.723821</v>
      </c>
      <c r="S2363" s="3" t="n">
        <v>3.787511</v>
      </c>
      <c r="T2363" s="3" t="n">
        <v>3.850735</v>
      </c>
      <c r="U2363" s="3" t="n">
        <v>3.913275</v>
      </c>
      <c r="V2363" s="3" t="n">
        <v>3.975404</v>
      </c>
      <c r="W2363" s="3" t="n">
        <v>4.037043</v>
      </c>
      <c r="X2363" s="3" t="n">
        <v>4.098135</v>
      </c>
      <c r="Y2363" s="3" t="n">
        <v>4.158783</v>
      </c>
      <c r="Z2363" s="3" t="n">
        <v>4.218808</v>
      </c>
      <c r="AA2363" s="3" t="n">
        <v>4.2785</v>
      </c>
      <c r="AB2363" s="3" t="n">
        <v>4.337406</v>
      </c>
      <c r="AC2363" s="3" t="n">
        <v>4.395414</v>
      </c>
      <c r="AD2363" s="3" t="n">
        <v>4.452823</v>
      </c>
      <c r="AE2363" s="3" t="n">
        <v>4.50953</v>
      </c>
      <c r="AF2363" s="3" t="n">
        <v>4.565559</v>
      </c>
      <c r="AG2363" s="3" t="n">
        <v>4.620975</v>
      </c>
      <c r="AH2363" s="3" t="n">
        <v>4.677064</v>
      </c>
      <c r="AI2363" s="3" t="n">
        <v>4.733833</v>
      </c>
      <c r="AJ2363" s="3" t="n">
        <v>4.791292</v>
      </c>
      <c r="AK2363" s="3" t="n">
        <v>4.791292</v>
      </c>
      <c r="AL2363" s="3" t="n">
        <v>4.791292</v>
      </c>
      <c r="AM2363" s="3" t="n"/>
      <c r="AN2363" s="3" t="n"/>
      <c r="AO2363" s="3" t="n"/>
      <c r="AP2363" s="3" t="n"/>
      <c r="AQ2363" s="3" t="n"/>
      <c r="AR2363" s="3" t="n"/>
      <c r="AS2363" s="3" t="n"/>
      <c r="AT2363" s="3" t="n"/>
      <c r="AU2363" s="3" t="n"/>
    </row>
    <row r="2364">
      <c r="A2364" s="3" t="n">
        <v>2031</v>
      </c>
      <c r="B2364" s="3" t="inlineStr">
        <is>
          <t>PAN</t>
        </is>
      </c>
      <c r="C2364" s="3" t="inlineStr">
        <is>
          <t>IMF.RES:WEO</t>
        </is>
      </c>
      <c r="D2364" s="3" t="inlineStr">
        <is>
          <t>PAN.NGDP.A</t>
        </is>
      </c>
      <c r="E2364" s="3" t="inlineStr">
        <is>
          <t>Panama</t>
        </is>
      </c>
      <c r="F2364" s="3" t="inlineStr">
        <is>
          <t>Gross domestic product (GDP), Current prices, Domestic currency</t>
        </is>
      </c>
      <c r="G2364" s="3" t="n">
        <v>11.966497</v>
      </c>
      <c r="H2364" s="3" t="n">
        <v>12.252906</v>
      </c>
      <c r="I2364" s="3" t="n">
        <v>12.800851</v>
      </c>
      <c r="J2364" s="3" t="n">
        <v>13.603456</v>
      </c>
      <c r="K2364" s="3" t="n">
        <v>15.100203</v>
      </c>
      <c r="L2364" s="3" t="n">
        <v>16.623907</v>
      </c>
      <c r="M2364" s="3" t="n">
        <v>18.659722</v>
      </c>
      <c r="N2364" s="3" t="n">
        <v>21.717434</v>
      </c>
      <c r="O2364" s="3" t="n">
        <v>25.721328</v>
      </c>
      <c r="P2364" s="3" t="n">
        <v>27.791216</v>
      </c>
      <c r="Q2364" s="3" t="n">
        <v>30.23101</v>
      </c>
      <c r="R2364" s="3" t="n">
        <v>35.687738</v>
      </c>
      <c r="S2364" s="3" t="n">
        <v>41.59544</v>
      </c>
      <c r="T2364" s="3" t="n">
        <v>46.949496</v>
      </c>
      <c r="U2364" s="3" t="n">
        <v>51.427105</v>
      </c>
      <c r="V2364" s="3" t="n">
        <v>55.767806</v>
      </c>
      <c r="W2364" s="3" t="n">
        <v>59.760859</v>
      </c>
      <c r="X2364" s="3" t="n">
        <v>64.32768900000001</v>
      </c>
      <c r="Y2364" s="3" t="n">
        <v>67.31647100000001</v>
      </c>
      <c r="Z2364" s="3" t="n">
        <v>69.778991</v>
      </c>
      <c r="AA2364" s="3" t="n">
        <v>57.059847</v>
      </c>
      <c r="AB2364" s="3" t="n">
        <v>67.396393</v>
      </c>
      <c r="AC2364" s="3" t="n">
        <v>76.479304</v>
      </c>
      <c r="AD2364" s="3" t="n">
        <v>83.812155</v>
      </c>
      <c r="AE2364" s="3" t="n">
        <v>86.523959</v>
      </c>
      <c r="AF2364" s="3" t="n">
        <v>90.46264600000001</v>
      </c>
      <c r="AG2364" s="3" t="n">
        <v>95.02381099999999</v>
      </c>
      <c r="AH2364" s="3" t="n">
        <v>101.32465</v>
      </c>
      <c r="AI2364" s="3" t="n">
        <v>108.043285</v>
      </c>
      <c r="AJ2364" s="3" t="n">
        <v>115.443256</v>
      </c>
      <c r="AK2364" s="3" t="n">
        <v>123.098068</v>
      </c>
      <c r="AL2364" s="3" t="n">
        <v>131.260454</v>
      </c>
      <c r="AM2364" s="3" t="n"/>
      <c r="AN2364" s="3" t="n"/>
      <c r="AO2364" s="3" t="n"/>
      <c r="AP2364" s="3" t="n"/>
      <c r="AQ2364" s="3" t="n"/>
      <c r="AR2364" s="3" t="n"/>
      <c r="AS2364" s="3" t="n"/>
      <c r="AT2364" s="3" t="n"/>
      <c r="AU2364" s="3" t="n"/>
    </row>
    <row r="2365">
      <c r="A2365" s="3" t="n">
        <v>2031</v>
      </c>
      <c r="B2365" s="3" t="inlineStr">
        <is>
          <t>PAN</t>
        </is>
      </c>
      <c r="C2365" s="3" t="inlineStr">
        <is>
          <t>IMF.RES:WEO</t>
        </is>
      </c>
      <c r="D2365" s="3" t="inlineStr">
        <is>
          <t>PAN.NGDP_D.A</t>
        </is>
      </c>
      <c r="E2365" s="3" t="inlineStr">
        <is>
          <t>Panama</t>
        </is>
      </c>
      <c r="F2365" s="3" t="inlineStr">
        <is>
          <t>Gross domestic product (GDP), Price deflator, Index</t>
        </is>
      </c>
      <c r="G2365" s="3" t="n">
        <v>55.194033</v>
      </c>
      <c r="H2365" s="3" t="n">
        <v>55.983272</v>
      </c>
      <c r="I2365" s="3" t="n">
        <v>57.05539</v>
      </c>
      <c r="J2365" s="3" t="n">
        <v>57.692232</v>
      </c>
      <c r="K2365" s="3" t="n">
        <v>59.199952</v>
      </c>
      <c r="L2365" s="3" t="n">
        <v>60.191991</v>
      </c>
      <c r="M2365" s="3" t="n">
        <v>61.500989</v>
      </c>
      <c r="N2365" s="3" t="n">
        <v>63.258534</v>
      </c>
      <c r="O2365" s="3" t="n">
        <v>67.988041</v>
      </c>
      <c r="P2365" s="3" t="n">
        <v>72.29400099999999</v>
      </c>
      <c r="Q2365" s="3" t="n">
        <v>74.138007</v>
      </c>
      <c r="R2365" s="3" t="n">
        <v>78.206481</v>
      </c>
      <c r="S2365" s="3" t="n">
        <v>83.147797</v>
      </c>
      <c r="T2365" s="3" t="n">
        <v>88.267985</v>
      </c>
      <c r="U2365" s="3" t="n">
        <v>92.41139</v>
      </c>
      <c r="V2365" s="3" t="n">
        <v>95.197399</v>
      </c>
      <c r="W2365" s="3" t="n">
        <v>97.553549</v>
      </c>
      <c r="X2365" s="3" t="n">
        <v>99.304337</v>
      </c>
      <c r="Y2365" s="3" t="n">
        <v>100</v>
      </c>
      <c r="Z2365" s="3" t="n">
        <v>100.538351</v>
      </c>
      <c r="AA2365" s="3" t="n">
        <v>100.041002</v>
      </c>
      <c r="AB2365" s="3" t="n">
        <v>101.456699</v>
      </c>
      <c r="AC2365" s="3" t="n">
        <v>103.684595</v>
      </c>
      <c r="AD2365" s="3" t="n">
        <v>106.027607</v>
      </c>
      <c r="AE2365" s="3" t="n">
        <v>106.530862</v>
      </c>
      <c r="AF2365" s="3" t="n">
        <v>106.736964</v>
      </c>
      <c r="AG2365" s="3" t="n">
        <v>107.972541</v>
      </c>
      <c r="AH2365" s="3" t="n">
        <v>110.131992</v>
      </c>
      <c r="AI2365" s="3" t="n">
        <v>112.334632</v>
      </c>
      <c r="AJ2365" s="3" t="n">
        <v>114.581325</v>
      </c>
      <c r="AK2365" s="3" t="n">
        <v>116.872951</v>
      </c>
      <c r="AL2365" s="3" t="n">
        <v>119.21041</v>
      </c>
      <c r="AM2365" s="3" t="n"/>
      <c r="AN2365" s="3" t="n"/>
      <c r="AO2365" s="3" t="n"/>
      <c r="AP2365" s="3" t="n"/>
      <c r="AQ2365" s="3" t="n"/>
      <c r="AR2365" s="3" t="n"/>
      <c r="AS2365" s="3" t="n"/>
      <c r="AT2365" s="3" t="n"/>
      <c r="AU2365" s="3" t="n"/>
    </row>
    <row r="2366">
      <c r="A2366" s="3" t="n">
        <v>2031</v>
      </c>
      <c r="B2366" s="3" t="inlineStr">
        <is>
          <t>PAN</t>
        </is>
      </c>
      <c r="C2366" s="3" t="inlineStr">
        <is>
          <t>IMF.RES:WEO</t>
        </is>
      </c>
      <c r="D2366" s="3" t="inlineStr">
        <is>
          <t>PAN.NGDP_R.A</t>
        </is>
      </c>
      <c r="E2366" s="3" t="inlineStr">
        <is>
          <t>Panama</t>
        </is>
      </c>
      <c r="F2366" s="3" t="inlineStr">
        <is>
          <t>Gross domestic product (GDP), Constant prices, Domestic currency</t>
        </is>
      </c>
      <c r="G2366" s="3" t="n">
        <v>21.68078</v>
      </c>
      <c r="H2366" s="3" t="n">
        <v>21.886728</v>
      </c>
      <c r="I2366" s="3" t="n">
        <v>22.435832</v>
      </c>
      <c r="J2366" s="3" t="n">
        <v>23.579355</v>
      </c>
      <c r="K2366" s="3" t="n">
        <v>25.507121</v>
      </c>
      <c r="L2366" s="3" t="n">
        <v>27.618137</v>
      </c>
      <c r="M2366" s="3" t="n">
        <v>30.340523</v>
      </c>
      <c r="N2366" s="3" t="n">
        <v>34.331232</v>
      </c>
      <c r="O2366" s="3" t="n">
        <v>37.832136</v>
      </c>
      <c r="P2366" s="3" t="n">
        <v>38.441938</v>
      </c>
      <c r="Q2366" s="3" t="n">
        <v>40.776669</v>
      </c>
      <c r="R2366" s="3" t="n">
        <v>45.632712</v>
      </c>
      <c r="S2366" s="3" t="n">
        <v>50.025907</v>
      </c>
      <c r="T2366" s="3" t="n">
        <v>53.189722</v>
      </c>
      <c r="U2366" s="3" t="n">
        <v>55.65018</v>
      </c>
      <c r="V2366" s="3" t="n">
        <v>58.581229</v>
      </c>
      <c r="W2366" s="3" t="n">
        <v>61.259543</v>
      </c>
      <c r="X2366" s="3" t="n">
        <v>64.778328</v>
      </c>
      <c r="Y2366" s="3" t="n">
        <v>67.31647100000001</v>
      </c>
      <c r="Z2366" s="3" t="n">
        <v>69.40534700000001</v>
      </c>
      <c r="AA2366" s="3" t="n">
        <v>57.036461</v>
      </c>
      <c r="AB2366" s="3" t="n">
        <v>66.428726</v>
      </c>
      <c r="AC2366" s="3" t="n">
        <v>73.761492</v>
      </c>
      <c r="AD2366" s="3" t="n">
        <v>79.047484</v>
      </c>
      <c r="AE2366" s="3" t="n">
        <v>81.219618</v>
      </c>
      <c r="AF2366" s="3" t="n">
        <v>84.752876</v>
      </c>
      <c r="AG2366" s="3" t="n">
        <v>88.007386</v>
      </c>
      <c r="AH2366" s="3" t="n">
        <v>92.002921</v>
      </c>
      <c r="AI2366" s="3" t="n">
        <v>96.17985400000001</v>
      </c>
      <c r="AJ2366" s="3" t="n">
        <v>100.752244</v>
      </c>
      <c r="AK2366" s="3" t="n">
        <v>105.326396</v>
      </c>
      <c r="AL2366" s="3" t="n">
        <v>110.108215</v>
      </c>
      <c r="AM2366" s="3" t="n"/>
      <c r="AN2366" s="3" t="n"/>
      <c r="AO2366" s="3" t="n"/>
      <c r="AP2366" s="3" t="n"/>
      <c r="AQ2366" s="3" t="n"/>
      <c r="AR2366" s="3" t="n"/>
      <c r="AS2366" s="3" t="n"/>
      <c r="AT2366" s="3" t="n"/>
      <c r="AU2366" s="3" t="n"/>
    </row>
    <row r="2367">
      <c r="A2367" s="3" t="n">
        <v>2031</v>
      </c>
      <c r="B2367" s="3" t="inlineStr">
        <is>
          <t>PAN</t>
        </is>
      </c>
      <c r="C2367" s="3" t="inlineStr">
        <is>
          <t>IMF.RES:WEO</t>
        </is>
      </c>
      <c r="D2367" s="3" t="inlineStr">
        <is>
          <t>PAN.NGDP_RPCH.A</t>
        </is>
      </c>
      <c r="E2367" s="3" t="inlineStr">
        <is>
          <t>Panama</t>
        </is>
      </c>
      <c r="F2367" s="3" t="inlineStr">
        <is>
          <t>Gross domestic product (GDP), Constant prices, Percent change</t>
        </is>
      </c>
      <c r="G2367" s="3" t="n">
        <v>4.209006</v>
      </c>
      <c r="H2367" s="3" t="n">
        <v>0.949908</v>
      </c>
      <c r="I2367" s="3" t="n">
        <v>2.508844</v>
      </c>
      <c r="J2367" s="3" t="n">
        <v>5.09686</v>
      </c>
      <c r="K2367" s="3" t="n">
        <v>8.175654</v>
      </c>
      <c r="L2367" s="3" t="n">
        <v>8.276183</v>
      </c>
      <c r="M2367" s="3" t="n">
        <v>9.857239</v>
      </c>
      <c r="N2367" s="3" t="n">
        <v>13.153065</v>
      </c>
      <c r="O2367" s="3" t="n">
        <v>10.197433</v>
      </c>
      <c r="P2367" s="3" t="n">
        <v>1.611864</v>
      </c>
      <c r="Q2367" s="3" t="n">
        <v>6.073393</v>
      </c>
      <c r="R2367" s="3" t="n">
        <v>11.908877</v>
      </c>
      <c r="S2367" s="3" t="n">
        <v>9.627293999999999</v>
      </c>
      <c r="T2367" s="3" t="n">
        <v>6.324354</v>
      </c>
      <c r="U2367" s="3" t="n">
        <v>4.625814</v>
      </c>
      <c r="V2367" s="3" t="n">
        <v>5.266917</v>
      </c>
      <c r="W2367" s="3" t="n">
        <v>4.571967</v>
      </c>
      <c r="X2367" s="3" t="n">
        <v>5.744059</v>
      </c>
      <c r="Y2367" s="3" t="n">
        <v>3.918198</v>
      </c>
      <c r="Z2367" s="3" t="n">
        <v>3.103068</v>
      </c>
      <c r="AA2367" s="3" t="n">
        <v>-17.82123</v>
      </c>
      <c r="AB2367" s="3" t="n">
        <v>16.467125</v>
      </c>
      <c r="AC2367" s="3" t="n">
        <v>11.038548</v>
      </c>
      <c r="AD2367" s="3" t="n">
        <v>7.166329</v>
      </c>
      <c r="AE2367" s="3" t="n">
        <v>2.747885</v>
      </c>
      <c r="AF2367" s="3" t="n">
        <v>4.350252</v>
      </c>
      <c r="AG2367" s="3" t="n">
        <v>3.84</v>
      </c>
      <c r="AH2367" s="3" t="n">
        <v>4.54</v>
      </c>
      <c r="AI2367" s="3" t="n">
        <v>4.54</v>
      </c>
      <c r="AJ2367" s="3" t="n">
        <v>4.754</v>
      </c>
      <c r="AK2367" s="3" t="n">
        <v>4.54</v>
      </c>
      <c r="AL2367" s="3" t="n">
        <v>4.54</v>
      </c>
      <c r="AM2367" s="3" t="n"/>
      <c r="AN2367" s="3" t="n"/>
      <c r="AO2367" s="3" t="n"/>
      <c r="AP2367" s="3" t="n"/>
      <c r="AQ2367" s="3" t="n"/>
      <c r="AR2367" s="3" t="n"/>
      <c r="AS2367" s="3" t="n"/>
      <c r="AT2367" s="3" t="n"/>
      <c r="AU2367" s="3" t="n"/>
    </row>
    <row r="2368">
      <c r="A2368" s="3" t="n">
        <v>2031</v>
      </c>
      <c r="B2368" s="3" t="inlineStr">
        <is>
          <t>PAN</t>
        </is>
      </c>
      <c r="C2368" s="3" t="inlineStr">
        <is>
          <t>IMF.RES:WEO</t>
        </is>
      </c>
      <c r="D2368" s="3" t="inlineStr">
        <is>
          <t>PAN.NGDPD.A</t>
        </is>
      </c>
      <c r="E2368" s="3" t="inlineStr">
        <is>
          <t>Panama</t>
        </is>
      </c>
      <c r="F2368" s="3" t="inlineStr">
        <is>
          <t>Gross domestic product (GDP), Current prices, US dollar</t>
        </is>
      </c>
      <c r="G2368" s="3" t="n">
        <v>11.966497</v>
      </c>
      <c r="H2368" s="3" t="n">
        <v>12.252906</v>
      </c>
      <c r="I2368" s="3" t="n">
        <v>12.800851</v>
      </c>
      <c r="J2368" s="3" t="n">
        <v>13.603456</v>
      </c>
      <c r="K2368" s="3" t="n">
        <v>15.100203</v>
      </c>
      <c r="L2368" s="3" t="n">
        <v>16.623907</v>
      </c>
      <c r="M2368" s="3" t="n">
        <v>18.659722</v>
      </c>
      <c r="N2368" s="3" t="n">
        <v>21.717434</v>
      </c>
      <c r="O2368" s="3" t="n">
        <v>25.721328</v>
      </c>
      <c r="P2368" s="3" t="n">
        <v>27.791216</v>
      </c>
      <c r="Q2368" s="3" t="n">
        <v>30.23101</v>
      </c>
      <c r="R2368" s="3" t="n">
        <v>35.687738</v>
      </c>
      <c r="S2368" s="3" t="n">
        <v>41.59544</v>
      </c>
      <c r="T2368" s="3" t="n">
        <v>46.949496</v>
      </c>
      <c r="U2368" s="3" t="n">
        <v>51.427105</v>
      </c>
      <c r="V2368" s="3" t="n">
        <v>55.767806</v>
      </c>
      <c r="W2368" s="3" t="n">
        <v>59.760859</v>
      </c>
      <c r="X2368" s="3" t="n">
        <v>64.32768900000001</v>
      </c>
      <c r="Y2368" s="3" t="n">
        <v>67.31647100000001</v>
      </c>
      <c r="Z2368" s="3" t="n">
        <v>69.778991</v>
      </c>
      <c r="AA2368" s="3" t="n">
        <v>57.059847</v>
      </c>
      <c r="AB2368" s="3" t="n">
        <v>67.396393</v>
      </c>
      <c r="AC2368" s="3" t="n">
        <v>76.479304</v>
      </c>
      <c r="AD2368" s="3" t="n">
        <v>83.812155</v>
      </c>
      <c r="AE2368" s="3" t="n">
        <v>86.523959</v>
      </c>
      <c r="AF2368" s="3" t="n">
        <v>90.46264600000001</v>
      </c>
      <c r="AG2368" s="3" t="n">
        <v>95.02381099999999</v>
      </c>
      <c r="AH2368" s="3" t="n">
        <v>101.32465</v>
      </c>
      <c r="AI2368" s="3" t="n">
        <v>108.043285</v>
      </c>
      <c r="AJ2368" s="3" t="n">
        <v>115.443256</v>
      </c>
      <c r="AK2368" s="3" t="n">
        <v>123.098068</v>
      </c>
      <c r="AL2368" s="3" t="n">
        <v>131.260454</v>
      </c>
      <c r="AM2368" s="3" t="n"/>
      <c r="AN2368" s="3" t="n"/>
      <c r="AO2368" s="3" t="n"/>
      <c r="AP2368" s="3" t="n"/>
      <c r="AQ2368" s="3" t="n"/>
      <c r="AR2368" s="3" t="n"/>
      <c r="AS2368" s="3" t="n"/>
      <c r="AT2368" s="3" t="n"/>
      <c r="AU2368" s="3" t="n"/>
    </row>
    <row r="2369">
      <c r="A2369" s="3" t="n">
        <v>2031</v>
      </c>
      <c r="B2369" s="3" t="inlineStr">
        <is>
          <t>PAN</t>
        </is>
      </c>
      <c r="C2369" s="3" t="inlineStr">
        <is>
          <t>IMF.RES:WEO</t>
        </is>
      </c>
      <c r="D2369" s="3" t="inlineStr">
        <is>
          <t>PAN.NGDPPC.A</t>
        </is>
      </c>
      <c r="E2369" s="3" t="inlineStr">
        <is>
          <t>Panama</t>
        </is>
      </c>
      <c r="F2369" s="3" t="inlineStr">
        <is>
          <t>Gross domestic product (GDP), Current prices, Per capita, Domestic currency</t>
        </is>
      </c>
      <c r="G2369" s="3" t="n">
        <v>3935.440232</v>
      </c>
      <c r="H2369" s="3" t="n">
        <v>3949.66081</v>
      </c>
      <c r="I2369" s="3" t="n">
        <v>4045.328453</v>
      </c>
      <c r="J2369" s="3" t="n">
        <v>4216.119151</v>
      </c>
      <c r="K2369" s="3" t="n">
        <v>4591.49568</v>
      </c>
      <c r="L2369" s="3" t="n">
        <v>4960.868998</v>
      </c>
      <c r="M2369" s="3" t="n">
        <v>5466.610119</v>
      </c>
      <c r="N2369" s="3" t="n">
        <v>6248.288871</v>
      </c>
      <c r="O2369" s="3" t="n">
        <v>7270.047975</v>
      </c>
      <c r="P2369" s="3" t="n">
        <v>7719.782096</v>
      </c>
      <c r="Q2369" s="3" t="n">
        <v>8255.699542</v>
      </c>
      <c r="R2369" s="3" t="n">
        <v>9583.634190000001</v>
      </c>
      <c r="S2369" s="3" t="n">
        <v>10982.26242</v>
      </c>
      <c r="T2369" s="3" t="n">
        <v>12192.34678</v>
      </c>
      <c r="U2369" s="3" t="n">
        <v>13141.704808</v>
      </c>
      <c r="V2369" s="3" t="n">
        <v>14028.210988</v>
      </c>
      <c r="W2369" s="3" t="n">
        <v>14803.126625</v>
      </c>
      <c r="X2369" s="3" t="n">
        <v>15696.820341</v>
      </c>
      <c r="Y2369" s="3" t="n">
        <v>16186.579387</v>
      </c>
      <c r="Z2369" s="3" t="n">
        <v>16539.977926</v>
      </c>
      <c r="AA2369" s="3" t="n">
        <v>13336.413818</v>
      </c>
      <c r="AB2369" s="3" t="n">
        <v>15538.40994</v>
      </c>
      <c r="AC2369" s="3" t="n">
        <v>17399.795439</v>
      </c>
      <c r="AD2369" s="3" t="n">
        <v>18822.251692</v>
      </c>
      <c r="AE2369" s="3" t="n">
        <v>19186.912856</v>
      </c>
      <c r="AF2369" s="3" t="n">
        <v>19814.144554</v>
      </c>
      <c r="AG2369" s="3" t="n">
        <v>20563.584839</v>
      </c>
      <c r="AH2369" s="3" t="n">
        <v>21664.159044</v>
      </c>
      <c r="AI2369" s="3" t="n">
        <v>22823.636576</v>
      </c>
      <c r="AJ2369" s="3" t="n">
        <v>24094.391959</v>
      </c>
      <c r="AK2369" s="3" t="n">
        <v>25692.042901</v>
      </c>
      <c r="AL2369" s="3" t="n">
        <v>27395.630882</v>
      </c>
      <c r="AM2369" s="3" t="n"/>
      <c r="AN2369" s="3" t="n"/>
      <c r="AO2369" s="3" t="n"/>
      <c r="AP2369" s="3" t="n"/>
      <c r="AQ2369" s="3" t="n"/>
      <c r="AR2369" s="3" t="n"/>
      <c r="AS2369" s="3" t="n"/>
      <c r="AT2369" s="3" t="n"/>
      <c r="AU2369" s="3" t="n"/>
    </row>
    <row r="2370">
      <c r="A2370" s="3" t="n">
        <v>2031</v>
      </c>
      <c r="B2370" s="3" t="inlineStr">
        <is>
          <t>PAN</t>
        </is>
      </c>
      <c r="C2370" s="3" t="inlineStr">
        <is>
          <t>IMF.RES:WEO</t>
        </is>
      </c>
      <c r="D2370" s="3" t="inlineStr">
        <is>
          <t>PAN.NGDPRPC.A</t>
        </is>
      </c>
      <c r="E2370" s="3" t="inlineStr">
        <is>
          <t>Panama</t>
        </is>
      </c>
      <c r="F2370" s="3" t="inlineStr">
        <is>
          <t>Gross domestic product (GDP), Constant prices, Per capita, Domestic currency</t>
        </is>
      </c>
      <c r="G2370" s="3" t="n">
        <v>7130.191498</v>
      </c>
      <c r="H2370" s="3" t="n">
        <v>7055.07321</v>
      </c>
      <c r="I2370" s="3" t="n">
        <v>7090.177564</v>
      </c>
      <c r="J2370" s="3" t="n">
        <v>7307.949457</v>
      </c>
      <c r="K2370" s="3" t="n">
        <v>7755.911179</v>
      </c>
      <c r="L2370" s="3" t="n">
        <v>8241.74259</v>
      </c>
      <c r="M2370" s="3" t="n">
        <v>8888.654043</v>
      </c>
      <c r="N2370" s="3" t="n">
        <v>9877.384882</v>
      </c>
      <c r="O2370" s="3" t="n">
        <v>10693.127614</v>
      </c>
      <c r="P2370" s="3" t="n">
        <v>10678.316232</v>
      </c>
      <c r="Q2370" s="3" t="n">
        <v>11135.583278</v>
      </c>
      <c r="R2370" s="3" t="n">
        <v>12254.271081</v>
      </c>
      <c r="S2370" s="3" t="n">
        <v>13208.121938</v>
      </c>
      <c r="T2370" s="3" t="n">
        <v>13812.875323</v>
      </c>
      <c r="U2370" s="3" t="n">
        <v>14220.871265</v>
      </c>
      <c r="V2370" s="3" t="n">
        <v>14735.918397</v>
      </c>
      <c r="W2370" s="3" t="n">
        <v>15174.35989</v>
      </c>
      <c r="X2370" s="3" t="n">
        <v>15806.782347</v>
      </c>
      <c r="Y2370" s="3" t="n">
        <v>16186.579387</v>
      </c>
      <c r="Z2370" s="3" t="n">
        <v>16451.411634</v>
      </c>
      <c r="AA2370" s="3" t="n">
        <v>13330.947885</v>
      </c>
      <c r="AB2370" s="3" t="n">
        <v>15315.311893</v>
      </c>
      <c r="AC2370" s="3" t="n">
        <v>16781.466354</v>
      </c>
      <c r="AD2370" s="3" t="n">
        <v>17752.217795</v>
      </c>
      <c r="AE2370" s="3" t="n">
        <v>18010.661422</v>
      </c>
      <c r="AF2370" s="3" t="n">
        <v>18563.526544</v>
      </c>
      <c r="AG2370" s="3" t="n">
        <v>19045.198494</v>
      </c>
      <c r="AH2370" s="3" t="n">
        <v>19671.086116</v>
      </c>
      <c r="AI2370" s="3" t="n">
        <v>20317.542456</v>
      </c>
      <c r="AJ2370" s="3" t="n">
        <v>21028.201592</v>
      </c>
      <c r="AK2370" s="3" t="n">
        <v>21982.881944</v>
      </c>
      <c r="AL2370" s="3" t="n">
        <v>22980.904784</v>
      </c>
      <c r="AM2370" s="3" t="n"/>
      <c r="AN2370" s="3" t="n"/>
      <c r="AO2370" s="3" t="n"/>
      <c r="AP2370" s="3" t="n"/>
      <c r="AQ2370" s="3" t="n"/>
      <c r="AR2370" s="3" t="n"/>
      <c r="AS2370" s="3" t="n"/>
      <c r="AT2370" s="3" t="n"/>
      <c r="AU2370" s="3" t="n"/>
    </row>
    <row r="2371">
      <c r="A2371" s="3" t="n">
        <v>2031</v>
      </c>
      <c r="B2371" s="3" t="inlineStr">
        <is>
          <t>PAN</t>
        </is>
      </c>
      <c r="C2371" s="3" t="inlineStr">
        <is>
          <t>IMF.RES:WEO</t>
        </is>
      </c>
      <c r="D2371" s="3" t="inlineStr">
        <is>
          <t>PAN.PCPI.A</t>
        </is>
      </c>
      <c r="E2371" s="3" t="inlineStr">
        <is>
          <t>Panama</t>
        </is>
      </c>
      <c r="F2371" s="3" t="inlineStr">
        <is>
          <t>All Items, Consumer price index (CPI), Period average</t>
        </is>
      </c>
      <c r="G2371" s="3" t="n">
        <v>60.436825</v>
      </c>
      <c r="H2371" s="3" t="n">
        <v>60.622417</v>
      </c>
      <c r="I2371" s="3" t="n">
        <v>61.159233</v>
      </c>
      <c r="J2371" s="3" t="n">
        <v>61.267858</v>
      </c>
      <c r="K2371" s="3" t="n">
        <v>61.558708</v>
      </c>
      <c r="L2371" s="3" t="n">
        <v>63.316758</v>
      </c>
      <c r="M2371" s="3" t="n">
        <v>64.873017</v>
      </c>
      <c r="N2371" s="3" t="n">
        <v>67.577308</v>
      </c>
      <c r="O2371" s="3" t="n">
        <v>73.496217</v>
      </c>
      <c r="P2371" s="3" t="n">
        <v>75.266758</v>
      </c>
      <c r="Q2371" s="3" t="n">
        <v>77.89455</v>
      </c>
      <c r="R2371" s="3" t="n">
        <v>82.47150000000001</v>
      </c>
      <c r="S2371" s="3" t="n">
        <v>87.170867</v>
      </c>
      <c r="T2371" s="3" t="n">
        <v>90.681383</v>
      </c>
      <c r="U2371" s="3" t="n">
        <v>93.06316700000001</v>
      </c>
      <c r="V2371" s="3" t="n">
        <v>93.190217</v>
      </c>
      <c r="W2371" s="3" t="n">
        <v>93.8779</v>
      </c>
      <c r="X2371" s="3" t="n">
        <v>94.70157500000001</v>
      </c>
      <c r="Y2371" s="3" t="n">
        <v>95.422808</v>
      </c>
      <c r="Z2371" s="3" t="n">
        <v>95.083983</v>
      </c>
      <c r="AA2371" s="3" t="n">
        <v>93.609925</v>
      </c>
      <c r="AB2371" s="3" t="n">
        <v>95.13641699999999</v>
      </c>
      <c r="AC2371" s="3" t="n">
        <v>97.85699200000001</v>
      </c>
      <c r="AD2371" s="3" t="n">
        <v>99.31155800000001</v>
      </c>
      <c r="AE2371" s="3" t="n">
        <v>100.000008</v>
      </c>
      <c r="AF2371" s="3" t="n">
        <v>100.006308</v>
      </c>
      <c r="AG2371" s="3" t="n">
        <v>101.447181</v>
      </c>
      <c r="AH2371" s="3" t="n">
        <v>103.476124</v>
      </c>
      <c r="AI2371" s="3" t="n">
        <v>105.545647</v>
      </c>
      <c r="AJ2371" s="3" t="n">
        <v>107.65656</v>
      </c>
      <c r="AK2371" s="3" t="n">
        <v>109.809691</v>
      </c>
      <c r="AL2371" s="3" t="n">
        <v>112.005885</v>
      </c>
      <c r="AM2371" s="3" t="n"/>
      <c r="AN2371" s="3" t="n"/>
      <c r="AO2371" s="3" t="n"/>
      <c r="AP2371" s="3" t="n"/>
      <c r="AQ2371" s="3" t="n"/>
      <c r="AR2371" s="3" t="n"/>
      <c r="AS2371" s="3" t="n"/>
      <c r="AT2371" s="3" t="n"/>
      <c r="AU2371" s="3" t="n"/>
    </row>
    <row r="2372">
      <c r="A2372" s="3" t="n">
        <v>2031</v>
      </c>
      <c r="B2372" s="3" t="inlineStr">
        <is>
          <t>PAN</t>
        </is>
      </c>
      <c r="C2372" s="3" t="inlineStr">
        <is>
          <t>IMF.RES:WEO</t>
        </is>
      </c>
      <c r="D2372" s="3" t="inlineStr">
        <is>
          <t>PAN.PCPIPCH.A</t>
        </is>
      </c>
      <c r="E2372" s="3" t="inlineStr">
        <is>
          <t>Panama</t>
        </is>
      </c>
      <c r="F2372" s="3" t="inlineStr">
        <is>
          <t>All Items, Consumer price index (CPI), Period average, percent change</t>
        </is>
      </c>
      <c r="G2372" s="3" t="n">
        <v>1.446338</v>
      </c>
      <c r="H2372" s="3" t="n">
        <v>0.307084</v>
      </c>
      <c r="I2372" s="3" t="n">
        <v>0.885509</v>
      </c>
      <c r="J2372" s="3" t="n">
        <v>0.17761</v>
      </c>
      <c r="K2372" s="3" t="n">
        <v>0.474719</v>
      </c>
      <c r="L2372" s="3" t="n">
        <v>2.855892</v>
      </c>
      <c r="M2372" s="3" t="n">
        <v>2.457893</v>
      </c>
      <c r="N2372" s="3" t="n">
        <v>4.168592</v>
      </c>
      <c r="O2372" s="3" t="n">
        <v>8.758722000000001</v>
      </c>
      <c r="P2372" s="3" t="n">
        <v>2.409024</v>
      </c>
      <c r="Q2372" s="3" t="n">
        <v>3.491304</v>
      </c>
      <c r="R2372" s="3" t="n">
        <v>5.875828</v>
      </c>
      <c r="S2372" s="3" t="n">
        <v>5.69817</v>
      </c>
      <c r="T2372" s="3" t="n">
        <v>4.027167</v>
      </c>
      <c r="U2372" s="3" t="n">
        <v>2.626541</v>
      </c>
      <c r="V2372" s="3" t="n">
        <v>0.13652</v>
      </c>
      <c r="W2372" s="3" t="n">
        <v>0.737935</v>
      </c>
      <c r="X2372" s="3" t="n">
        <v>0.87739</v>
      </c>
      <c r="Y2372" s="3" t="n">
        <v>0.761585</v>
      </c>
      <c r="Z2372" s="3" t="n">
        <v>-0.355078</v>
      </c>
      <c r="AA2372" s="3" t="n">
        <v>-1.55027</v>
      </c>
      <c r="AB2372" s="3" t="n">
        <v>1.630694</v>
      </c>
      <c r="AC2372" s="3" t="n">
        <v>2.859657</v>
      </c>
      <c r="AD2372" s="3" t="n">
        <v>1.486421</v>
      </c>
      <c r="AE2372" s="3" t="n">
        <v>0.693222</v>
      </c>
      <c r="AF2372" s="3" t="n">
        <v>0.0063</v>
      </c>
      <c r="AG2372" s="3" t="n">
        <v>1.440781</v>
      </c>
      <c r="AH2372" s="3" t="n">
        <v>2</v>
      </c>
      <c r="AI2372" s="3" t="n">
        <v>2</v>
      </c>
      <c r="AJ2372" s="3" t="n">
        <v>2</v>
      </c>
      <c r="AK2372" s="3" t="n">
        <v>2</v>
      </c>
      <c r="AL2372" s="3" t="n">
        <v>2</v>
      </c>
      <c r="AM2372" s="3" t="n"/>
      <c r="AN2372" s="3" t="n"/>
      <c r="AO2372" s="3" t="n"/>
      <c r="AP2372" s="3" t="n"/>
      <c r="AQ2372" s="3" t="n"/>
      <c r="AR2372" s="3" t="n"/>
      <c r="AS2372" s="3" t="n"/>
      <c r="AT2372" s="3" t="n"/>
      <c r="AU2372" s="3" t="n"/>
    </row>
    <row r="2373">
      <c r="A2373" s="3" t="n">
        <v>2031</v>
      </c>
      <c r="B2373" s="3" t="inlineStr">
        <is>
          <t>PAN</t>
        </is>
      </c>
      <c r="C2373" s="3" t="inlineStr">
        <is>
          <t>IMF.RES:WEO</t>
        </is>
      </c>
      <c r="D2373" s="3" t="inlineStr">
        <is>
          <t>PAN.PPPPC.A</t>
        </is>
      </c>
      <c r="E2373" s="3" t="inlineStr">
        <is>
          <t>Panama</t>
        </is>
      </c>
      <c r="F2373" s="3" t="inlineStr">
        <is>
          <t>Gross domestic product (GDP), Per capita, purchasing power parity (PPP) international dollar, ICP benchmarks 2017-2021</t>
        </is>
      </c>
      <c r="G2373" s="3" t="n">
        <v>11001.766382</v>
      </c>
      <c r="H2373" s="3" t="n">
        <v>11130.968363</v>
      </c>
      <c r="I2373" s="3" t="n">
        <v>11360.193328</v>
      </c>
      <c r="J2373" s="3" t="n">
        <v>11940.280226</v>
      </c>
      <c r="K2373" s="3" t="n">
        <v>13012.934188</v>
      </c>
      <c r="L2373" s="3" t="n">
        <v>14261.689681</v>
      </c>
      <c r="M2373" s="3" t="n">
        <v>15855.45485</v>
      </c>
      <c r="N2373" s="3" t="n">
        <v>18096.488936</v>
      </c>
      <c r="O2373" s="3" t="n">
        <v>19968.42576</v>
      </c>
      <c r="P2373" s="3" t="n">
        <v>20063.74995</v>
      </c>
      <c r="Q2373" s="3" t="n">
        <v>21177.212057</v>
      </c>
      <c r="R2373" s="3" t="n">
        <v>23785.521899</v>
      </c>
      <c r="S2373" s="3" t="n">
        <v>26114.287505</v>
      </c>
      <c r="T2373" s="3" t="n">
        <v>27774.785767</v>
      </c>
      <c r="U2373" s="3" t="n">
        <v>29093.226249</v>
      </c>
      <c r="V2373" s="3" t="n">
        <v>30426.695173</v>
      </c>
      <c r="W2373" s="3" t="n">
        <v>31629.712239</v>
      </c>
      <c r="X2373" s="3" t="n">
        <v>33538.006459</v>
      </c>
      <c r="Y2373" s="3" t="n">
        <v>32534.395587</v>
      </c>
      <c r="Z2373" s="3" t="n">
        <v>33364.945335</v>
      </c>
      <c r="AA2373" s="3" t="n">
        <v>27110.213146</v>
      </c>
      <c r="AB2373" s="3" t="n">
        <v>30989.808667</v>
      </c>
      <c r="AC2373" s="3" t="n">
        <v>36371.629892</v>
      </c>
      <c r="AD2373" s="3" t="n">
        <v>39899.216744</v>
      </c>
      <c r="AE2373" s="3" t="n">
        <v>41485.021163</v>
      </c>
      <c r="AF2373" s="3" t="n">
        <v>43971.425996</v>
      </c>
      <c r="AG2373" s="3" t="n">
        <v>46404.764246</v>
      </c>
      <c r="AH2373" s="3" t="n">
        <v>48982.267783</v>
      </c>
      <c r="AI2373" s="3" t="n">
        <v>51422.397642</v>
      </c>
      <c r="AJ2373" s="3" t="n">
        <v>54167.358052</v>
      </c>
      <c r="AK2373" s="3" t="n">
        <v>57667.084274</v>
      </c>
      <c r="AL2373" s="3" t="n">
        <v>61373.499153</v>
      </c>
      <c r="AM2373" s="3" t="n"/>
      <c r="AN2373" s="3" t="n"/>
      <c r="AO2373" s="3" t="n"/>
      <c r="AP2373" s="3" t="n"/>
      <c r="AQ2373" s="3" t="n"/>
      <c r="AR2373" s="3" t="n"/>
      <c r="AS2373" s="3" t="n"/>
      <c r="AT2373" s="3" t="n"/>
      <c r="AU2373" s="3" t="n"/>
    </row>
    <row r="2374">
      <c r="A2374" s="3" t="n">
        <v>2025</v>
      </c>
      <c r="B2374" s="3" t="inlineStr">
        <is>
          <t>PAN</t>
        </is>
      </c>
      <c r="C2374" s="3" t="inlineStr">
        <is>
          <t>IMF.STA:ER</t>
        </is>
      </c>
      <c r="D2374" s="3" t="inlineStr">
        <is>
          <t>PAN.XDC_USD.PA_RT.A</t>
        </is>
      </c>
      <c r="E2374" s="3" t="inlineStr">
        <is>
          <t>Panama</t>
        </is>
      </c>
      <c r="F2374" s="3" t="inlineStr">
        <is>
          <t>Domestic currency per US Dollar</t>
        </is>
      </c>
      <c r="G2374" s="3" t="n">
        <v>1</v>
      </c>
      <c r="H2374" s="3" t="n">
        <v>1</v>
      </c>
      <c r="I2374" s="3" t="n">
        <v>1</v>
      </c>
      <c r="J2374" s="3" t="n">
        <v>1</v>
      </c>
      <c r="K2374" s="3" t="n">
        <v>1</v>
      </c>
      <c r="L2374" s="3" t="n">
        <v>1</v>
      </c>
      <c r="M2374" s="3" t="n">
        <v>1</v>
      </c>
      <c r="N2374" s="3" t="n">
        <v>1</v>
      </c>
      <c r="O2374" s="3" t="n">
        <v>1</v>
      </c>
      <c r="P2374" s="3" t="n">
        <v>1</v>
      </c>
      <c r="Q2374" s="3" t="n">
        <v>1</v>
      </c>
      <c r="R2374" s="3" t="n">
        <v>1</v>
      </c>
      <c r="S2374" s="3" t="n">
        <v>1</v>
      </c>
      <c r="T2374" s="3" t="n">
        <v>1</v>
      </c>
      <c r="U2374" s="3" t="n">
        <v>1</v>
      </c>
      <c r="V2374" s="3" t="n">
        <v>1</v>
      </c>
      <c r="W2374" s="3" t="n">
        <v>1</v>
      </c>
      <c r="X2374" s="3" t="n">
        <v>1</v>
      </c>
      <c r="Y2374" s="3" t="n">
        <v>1</v>
      </c>
      <c r="Z2374" s="3" t="n">
        <v>1</v>
      </c>
      <c r="AA2374" s="3" t="n">
        <v>1</v>
      </c>
      <c r="AB2374" s="3" t="n">
        <v>1</v>
      </c>
      <c r="AC2374" s="3" t="n">
        <v>1</v>
      </c>
      <c r="AD2374" s="3" t="n">
        <v>1</v>
      </c>
      <c r="AE2374" s="3" t="n">
        <v>1</v>
      </c>
      <c r="AF2374" s="3" t="n">
        <v>1</v>
      </c>
      <c r="AG2374" s="3" t="n"/>
      <c r="AH2374" s="3" t="n"/>
      <c r="AI2374" s="3" t="n"/>
      <c r="AJ2374" s="3" t="n"/>
      <c r="AK2374" s="3" t="n"/>
      <c r="AL2374" s="3" t="n"/>
      <c r="AM2374" s="3" t="n"/>
      <c r="AN2374" s="3" t="n"/>
      <c r="AO2374" s="3" t="n"/>
      <c r="AP2374" s="3" t="n"/>
      <c r="AQ2374" s="3" t="n"/>
      <c r="AR2374" s="3" t="n"/>
      <c r="AS2374" s="3" t="n"/>
      <c r="AT2374" s="3" t="n"/>
      <c r="AU2374" s="3" t="n"/>
    </row>
    <row r="2375">
      <c r="A2375" s="3" t="n">
        <v>2031</v>
      </c>
      <c r="B2375" s="3" t="inlineStr">
        <is>
          <t>PER</t>
        </is>
      </c>
      <c r="C2375" s="3" t="inlineStr">
        <is>
          <t>IMF.RES:WEO</t>
        </is>
      </c>
      <c r="D2375" s="3" t="inlineStr">
        <is>
          <t>PER.BCA.A</t>
        </is>
      </c>
      <c r="E2375" s="3" t="inlineStr">
        <is>
          <t>Peru</t>
        </is>
      </c>
      <c r="F2375" s="3" t="inlineStr">
        <is>
          <t>Current account balance (credit less debit), US dollar</t>
        </is>
      </c>
      <c r="G2375" s="3" t="n">
        <v>-1.54469</v>
      </c>
      <c r="H2375" s="3" t="n">
        <v>-1.19973</v>
      </c>
      <c r="I2375" s="3" t="n">
        <v>-1.0959</v>
      </c>
      <c r="J2375" s="3" t="n">
        <v>-0.93208</v>
      </c>
      <c r="K2375" s="3" t="n">
        <v>0.06244</v>
      </c>
      <c r="L2375" s="3" t="n">
        <v>1.16005</v>
      </c>
      <c r="M2375" s="3" t="n">
        <v>2.91301</v>
      </c>
      <c r="N2375" s="3" t="n">
        <v>1.52046</v>
      </c>
      <c r="O2375" s="3" t="n">
        <v>-5.28565</v>
      </c>
      <c r="P2375" s="3" t="n">
        <v>-0.63317</v>
      </c>
      <c r="Q2375" s="3" t="n">
        <v>-3.56222</v>
      </c>
      <c r="R2375" s="3" t="n">
        <v>-3.37559</v>
      </c>
      <c r="S2375" s="3" t="n">
        <v>-5.53424</v>
      </c>
      <c r="T2375" s="3" t="n">
        <v>-9.759370000000001</v>
      </c>
      <c r="U2375" s="3" t="n">
        <v>-8.765610000000001</v>
      </c>
      <c r="V2375" s="3" t="n">
        <v>-8.93657</v>
      </c>
      <c r="W2375" s="3" t="n">
        <v>-4.40266</v>
      </c>
      <c r="X2375" s="3" t="n">
        <v>-2.01052</v>
      </c>
      <c r="Y2375" s="3" t="n">
        <v>-2.84607</v>
      </c>
      <c r="Z2375" s="3" t="n">
        <v>-1.65726</v>
      </c>
      <c r="AA2375" s="3" t="n">
        <v>1.57442</v>
      </c>
      <c r="AB2375" s="3" t="n">
        <v>-5.09108</v>
      </c>
      <c r="AC2375" s="3" t="n">
        <v>-9.971030000000001</v>
      </c>
      <c r="AD2375" s="3" t="n">
        <v>0.87969</v>
      </c>
      <c r="AE2375" s="3" t="n">
        <v>6.61219</v>
      </c>
      <c r="AF2375" s="3" t="n">
        <v>10.7184</v>
      </c>
      <c r="AG2375" s="3" t="n">
        <v>12.996582</v>
      </c>
      <c r="AH2375" s="3" t="n">
        <v>9.780253</v>
      </c>
      <c r="AI2375" s="3" t="n">
        <v>4.867485</v>
      </c>
      <c r="AJ2375" s="3" t="n">
        <v>0.956998</v>
      </c>
      <c r="AK2375" s="3" t="n">
        <v>-1.772193</v>
      </c>
      <c r="AL2375" s="3" t="n">
        <v>-3.803874</v>
      </c>
      <c r="AM2375" s="3" t="n"/>
      <c r="AN2375" s="3" t="n"/>
      <c r="AO2375" s="3" t="n"/>
      <c r="AP2375" s="3" t="n"/>
      <c r="AQ2375" s="3" t="n"/>
      <c r="AR2375" s="3" t="n"/>
      <c r="AS2375" s="3" t="n"/>
      <c r="AT2375" s="3" t="n"/>
      <c r="AU2375" s="3" t="n"/>
    </row>
    <row r="2376">
      <c r="A2376" s="3" t="n">
        <v>2031</v>
      </c>
      <c r="B2376" s="3" t="inlineStr">
        <is>
          <t>PER</t>
        </is>
      </c>
      <c r="C2376" s="3" t="inlineStr">
        <is>
          <t>IMF.RES:WEO</t>
        </is>
      </c>
      <c r="D2376" s="3" t="inlineStr">
        <is>
          <t>PER.BCA_NGDPD.A</t>
        </is>
      </c>
      <c r="E2376" s="3" t="inlineStr">
        <is>
          <t>Peru</t>
        </is>
      </c>
      <c r="F2376" s="3" t="inlineStr">
        <is>
          <t>Current account balance (credit less debit), Percent of GDP</t>
        </is>
      </c>
      <c r="G2376" s="3" t="n">
        <v>-3.067796</v>
      </c>
      <c r="H2376" s="3" t="n">
        <v>-2.349967</v>
      </c>
      <c r="I2376" s="3" t="n">
        <v>-2.032434</v>
      </c>
      <c r="J2376" s="3" t="n">
        <v>-1.59118</v>
      </c>
      <c r="K2376" s="3" t="n">
        <v>0.09429999999999999</v>
      </c>
      <c r="L2376" s="3" t="n">
        <v>1.566484</v>
      </c>
      <c r="M2376" s="3" t="n">
        <v>3.322802</v>
      </c>
      <c r="N2376" s="3" t="n">
        <v>1.485774</v>
      </c>
      <c r="O2376" s="3" t="n">
        <v>-4.395902</v>
      </c>
      <c r="P2376" s="3" t="n">
        <v>-0.517181</v>
      </c>
      <c r="Q2376" s="3" t="n">
        <v>-2.386482</v>
      </c>
      <c r="R2376" s="3" t="n">
        <v>-1.976651</v>
      </c>
      <c r="S2376" s="3" t="n">
        <v>-2.863506</v>
      </c>
      <c r="T2376" s="3" t="n">
        <v>-4.841737</v>
      </c>
      <c r="U2376" s="3" t="n">
        <v>-4.30381</v>
      </c>
      <c r="V2376" s="3" t="n">
        <v>-4.622099</v>
      </c>
      <c r="W2376" s="3" t="n">
        <v>-2.21442</v>
      </c>
      <c r="X2376" s="3" t="n">
        <v>-0.913497</v>
      </c>
      <c r="Y2376" s="3" t="n">
        <v>-1.239847</v>
      </c>
      <c r="Z2376" s="3" t="n">
        <v>-0.701448</v>
      </c>
      <c r="AA2376" s="3" t="n">
        <v>0.753105</v>
      </c>
      <c r="AB2376" s="3" t="n">
        <v>-2.226055</v>
      </c>
      <c r="AC2376" s="3" t="n">
        <v>-4.017682</v>
      </c>
      <c r="AD2376" s="3" t="n">
        <v>0.32252</v>
      </c>
      <c r="AE2376" s="3" t="n">
        <v>2.239751</v>
      </c>
      <c r="AF2376" s="3" t="n">
        <v>3.142993</v>
      </c>
      <c r="AG2376" s="3" t="n">
        <v>3.412074</v>
      </c>
      <c r="AH2376" s="3" t="n">
        <v>2.531284</v>
      </c>
      <c r="AI2376" s="3" t="n">
        <v>1.208653</v>
      </c>
      <c r="AJ2376" s="3" t="n">
        <v>0.228449</v>
      </c>
      <c r="AK2376" s="3" t="n">
        <v>-0.405445</v>
      </c>
      <c r="AL2376" s="3" t="n">
        <v>-0.82979</v>
      </c>
      <c r="AM2376" s="3" t="n"/>
      <c r="AN2376" s="3" t="n"/>
      <c r="AO2376" s="3" t="n"/>
      <c r="AP2376" s="3" t="n"/>
      <c r="AQ2376" s="3" t="n"/>
      <c r="AR2376" s="3" t="n"/>
      <c r="AS2376" s="3" t="n"/>
      <c r="AT2376" s="3" t="n"/>
      <c r="AU2376" s="3" t="n"/>
    </row>
    <row r="2377">
      <c r="A2377" s="3" t="n">
        <v>2031</v>
      </c>
      <c r="B2377" s="3" t="inlineStr">
        <is>
          <t>PER</t>
        </is>
      </c>
      <c r="C2377" s="3" t="inlineStr">
        <is>
          <t>IMF.RES:WEO</t>
        </is>
      </c>
      <c r="D2377" s="3" t="inlineStr">
        <is>
          <t>PER.GGR_NGDP.A</t>
        </is>
      </c>
      <c r="E2377" s="3" t="inlineStr">
        <is>
          <t>Peru</t>
        </is>
      </c>
      <c r="F2377" s="3" t="inlineStr">
        <is>
          <t>Revenue, General government, Percent of GDP</t>
        </is>
      </c>
      <c r="G2377" s="3" t="n">
        <v>19.619247</v>
      </c>
      <c r="H2377" s="3" t="n">
        <v>18.779885</v>
      </c>
      <c r="I2377" s="3" t="n">
        <v>18.245196</v>
      </c>
      <c r="J2377" s="3" t="n">
        <v>18.491002</v>
      </c>
      <c r="K2377" s="3" t="n">
        <v>18.525158</v>
      </c>
      <c r="L2377" s="3" t="n">
        <v>19.943062</v>
      </c>
      <c r="M2377" s="3" t="n">
        <v>21.191192</v>
      </c>
      <c r="N2377" s="3" t="n">
        <v>21.941508</v>
      </c>
      <c r="O2377" s="3" t="n">
        <v>22.378942</v>
      </c>
      <c r="P2377" s="3" t="n">
        <v>19.865873</v>
      </c>
      <c r="Q2377" s="3" t="n">
        <v>20.986336</v>
      </c>
      <c r="R2377" s="3" t="n">
        <v>21.842367</v>
      </c>
      <c r="S2377" s="3" t="n">
        <v>22.375053</v>
      </c>
      <c r="T2377" s="3" t="n">
        <v>22.211208</v>
      </c>
      <c r="U2377" s="3" t="n">
        <v>22.209145</v>
      </c>
      <c r="V2377" s="3" t="n">
        <v>19.973413</v>
      </c>
      <c r="W2377" s="3" t="n">
        <v>18.38625</v>
      </c>
      <c r="X2377" s="3" t="n">
        <v>17.834307</v>
      </c>
      <c r="Y2377" s="3" t="n">
        <v>19.024165</v>
      </c>
      <c r="Z2377" s="3" t="n">
        <v>19.45212</v>
      </c>
      <c r="AA2377" s="3" t="n">
        <v>17.484578</v>
      </c>
      <c r="AB2377" s="3" t="n">
        <v>20.637422</v>
      </c>
      <c r="AC2377" s="3" t="n">
        <v>21.721255</v>
      </c>
      <c r="AD2377" s="3" t="n">
        <v>19.316751</v>
      </c>
      <c r="AE2377" s="3" t="n">
        <v>18.687355</v>
      </c>
      <c r="AF2377" s="3" t="n">
        <v>19.065027</v>
      </c>
      <c r="AG2377" s="3" t="n">
        <v>19.36069</v>
      </c>
      <c r="AH2377" s="3" t="n">
        <v>19.307158</v>
      </c>
      <c r="AI2377" s="3" t="n">
        <v>19.271807</v>
      </c>
      <c r="AJ2377" s="3" t="n">
        <v>19.344064</v>
      </c>
      <c r="AK2377" s="3" t="n">
        <v>19.343824</v>
      </c>
      <c r="AL2377" s="3" t="n">
        <v>19.314512</v>
      </c>
      <c r="AM2377" s="3" t="n"/>
      <c r="AN2377" s="3" t="n"/>
      <c r="AO2377" s="3" t="n"/>
      <c r="AP2377" s="3" t="n"/>
      <c r="AQ2377" s="3" t="n"/>
      <c r="AR2377" s="3" t="n"/>
      <c r="AS2377" s="3" t="n"/>
      <c r="AT2377" s="3" t="n"/>
      <c r="AU2377" s="3" t="n"/>
    </row>
    <row r="2378">
      <c r="A2378" s="3" t="n">
        <v>2031</v>
      </c>
      <c r="B2378" s="3" t="inlineStr">
        <is>
          <t>PER</t>
        </is>
      </c>
      <c r="C2378" s="3" t="inlineStr">
        <is>
          <t>IMF.RES:WEO</t>
        </is>
      </c>
      <c r="D2378" s="3" t="inlineStr">
        <is>
          <t>PER.GGX_NGDP.A</t>
        </is>
      </c>
      <c r="E2378" s="3" t="inlineStr">
        <is>
          <t>Peru</t>
        </is>
      </c>
      <c r="F2378" s="3" t="inlineStr">
        <is>
          <t>Expenditure, General government, Percent of GDP</t>
        </is>
      </c>
      <c r="G2378" s="3" t="n">
        <v>21.734997</v>
      </c>
      <c r="H2378" s="3" t="n">
        <v>20.93365</v>
      </c>
      <c r="I2378" s="3" t="n">
        <v>19.648997</v>
      </c>
      <c r="J2378" s="3" t="n">
        <v>20.113009</v>
      </c>
      <c r="K2378" s="3" t="n">
        <v>19.557893</v>
      </c>
      <c r="L2378" s="3" t="n">
        <v>20.378744</v>
      </c>
      <c r="M2378" s="3" t="n">
        <v>19.162065</v>
      </c>
      <c r="N2378" s="3" t="n">
        <v>18.593149</v>
      </c>
      <c r="O2378" s="3" t="n">
        <v>19.894421</v>
      </c>
      <c r="P2378" s="3" t="n">
        <v>21.344815</v>
      </c>
      <c r="Q2378" s="3" t="n">
        <v>21.001836</v>
      </c>
      <c r="R2378" s="3" t="n">
        <v>19.791224</v>
      </c>
      <c r="S2378" s="3" t="n">
        <v>20.301997</v>
      </c>
      <c r="T2378" s="3" t="n">
        <v>21.456996</v>
      </c>
      <c r="U2378" s="3" t="n">
        <v>22.397545</v>
      </c>
      <c r="V2378" s="3" t="n">
        <v>21.993031</v>
      </c>
      <c r="W2378" s="3" t="n">
        <v>20.504311</v>
      </c>
      <c r="X2378" s="3" t="n">
        <v>20.622785</v>
      </c>
      <c r="Y2378" s="3" t="n">
        <v>20.968539</v>
      </c>
      <c r="Z2378" s="3" t="n">
        <v>20.819973</v>
      </c>
      <c r="AA2378" s="3" t="n">
        <v>25.670268</v>
      </c>
      <c r="AB2378" s="3" t="n">
        <v>23.126723</v>
      </c>
      <c r="AC2378" s="3" t="n">
        <v>23.101831</v>
      </c>
      <c r="AD2378" s="3" t="n">
        <v>22.059956</v>
      </c>
      <c r="AE2378" s="3" t="n">
        <v>22.217833</v>
      </c>
      <c r="AF2378" s="3" t="n">
        <v>21.425692</v>
      </c>
      <c r="AG2378" s="3" t="n">
        <v>21.329259</v>
      </c>
      <c r="AH2378" s="3" t="n">
        <v>21.275443</v>
      </c>
      <c r="AI2378" s="3" t="n">
        <v>21.199234</v>
      </c>
      <c r="AJ2378" s="3" t="n">
        <v>21.143082</v>
      </c>
      <c r="AK2378" s="3" t="n">
        <v>21.106282</v>
      </c>
      <c r="AL2378" s="3" t="n">
        <v>21.010594</v>
      </c>
      <c r="AM2378" s="3" t="n"/>
      <c r="AN2378" s="3" t="n"/>
      <c r="AO2378" s="3" t="n"/>
      <c r="AP2378" s="3" t="n"/>
      <c r="AQ2378" s="3" t="n"/>
      <c r="AR2378" s="3" t="n"/>
      <c r="AS2378" s="3" t="n"/>
      <c r="AT2378" s="3" t="n"/>
      <c r="AU2378" s="3" t="n"/>
    </row>
    <row r="2379">
      <c r="A2379" s="3" t="n">
        <v>2031</v>
      </c>
      <c r="B2379" s="3" t="inlineStr">
        <is>
          <t>PER</t>
        </is>
      </c>
      <c r="C2379" s="3" t="inlineStr">
        <is>
          <t>IMF.RES:WEO</t>
        </is>
      </c>
      <c r="D2379" s="3" t="inlineStr">
        <is>
          <t>PER.LP.A</t>
        </is>
      </c>
      <c r="E2379" s="3" t="inlineStr">
        <is>
          <t>Peru</t>
        </is>
      </c>
      <c r="F2379" s="3" t="inlineStr">
        <is>
          <t>Population, Persons for countries / Index for country groups</t>
        </is>
      </c>
      <c r="G2379" s="3" t="n">
        <v>26.39</v>
      </c>
      <c r="H2379" s="3" t="n">
        <v>26.715</v>
      </c>
      <c r="I2379" s="3" t="n">
        <v>26.999</v>
      </c>
      <c r="J2379" s="3" t="n">
        <v>27.255</v>
      </c>
      <c r="K2379" s="3" t="n">
        <v>27.492</v>
      </c>
      <c r="L2379" s="3" t="n">
        <v>27.722</v>
      </c>
      <c r="M2379" s="3" t="n">
        <v>27.935</v>
      </c>
      <c r="N2379" s="3" t="n">
        <v>28.122</v>
      </c>
      <c r="O2379" s="3" t="n">
        <v>28.3</v>
      </c>
      <c r="P2379" s="3" t="n">
        <v>28.485</v>
      </c>
      <c r="Q2379" s="3" t="n">
        <v>28.693</v>
      </c>
      <c r="R2379" s="3" t="n">
        <v>28.906</v>
      </c>
      <c r="S2379" s="3" t="n">
        <v>29.113</v>
      </c>
      <c r="T2379" s="3" t="n">
        <v>29.341</v>
      </c>
      <c r="U2379" s="3" t="n">
        <v>29.616</v>
      </c>
      <c r="V2379" s="3" t="n">
        <v>29.964</v>
      </c>
      <c r="W2379" s="3" t="n">
        <v>30.423</v>
      </c>
      <c r="X2379" s="3" t="n">
        <v>30.974</v>
      </c>
      <c r="Y2379" s="3" t="n">
        <v>31.562</v>
      </c>
      <c r="Z2379" s="3" t="n">
        <v>32.131</v>
      </c>
      <c r="AA2379" s="3" t="n">
        <v>32.626</v>
      </c>
      <c r="AB2379" s="3" t="n">
        <v>33.035</v>
      </c>
      <c r="AC2379" s="3" t="n">
        <v>33.397</v>
      </c>
      <c r="AD2379" s="3" t="n">
        <v>33.73097</v>
      </c>
      <c r="AE2379" s="3" t="n">
        <v>34.06828</v>
      </c>
      <c r="AF2379" s="3" t="n">
        <v>34.408962</v>
      </c>
      <c r="AG2379" s="3" t="n">
        <v>34.753052</v>
      </c>
      <c r="AH2379" s="3" t="n">
        <v>35.100583</v>
      </c>
      <c r="AI2379" s="3" t="n">
        <v>35.451588</v>
      </c>
      <c r="AJ2379" s="3" t="n">
        <v>35.806104</v>
      </c>
      <c r="AK2379" s="3" t="n">
        <v>36.164165</v>
      </c>
      <c r="AL2379" s="3" t="n">
        <v>36.525807</v>
      </c>
      <c r="AM2379" s="3" t="n"/>
      <c r="AN2379" s="3" t="n"/>
      <c r="AO2379" s="3" t="n"/>
      <c r="AP2379" s="3" t="n"/>
      <c r="AQ2379" s="3" t="n"/>
      <c r="AR2379" s="3" t="n"/>
      <c r="AS2379" s="3" t="n"/>
      <c r="AT2379" s="3" t="n"/>
      <c r="AU2379" s="3" t="n"/>
    </row>
    <row r="2380">
      <c r="A2380" s="3" t="n">
        <v>2031</v>
      </c>
      <c r="B2380" s="3" t="inlineStr">
        <is>
          <t>PER</t>
        </is>
      </c>
      <c r="C2380" s="3" t="inlineStr">
        <is>
          <t>IMF.RES:WEO</t>
        </is>
      </c>
      <c r="D2380" s="3" t="inlineStr">
        <is>
          <t>PER.NGDP.A</t>
        </is>
      </c>
      <c r="E2380" s="3" t="inlineStr">
        <is>
          <t>Peru</t>
        </is>
      </c>
      <c r="F2380" s="3" t="inlineStr">
        <is>
          <t>Gross domestic product (GDP), Current prices, Domestic currency</t>
        </is>
      </c>
      <c r="G2380" s="3" t="n">
        <v>175.862</v>
      </c>
      <c r="H2380" s="3" t="n">
        <v>178.975</v>
      </c>
      <c r="I2380" s="3" t="n">
        <v>189.742</v>
      </c>
      <c r="J2380" s="3" t="n">
        <v>203.612</v>
      </c>
      <c r="K2380" s="3" t="n">
        <v>225.692</v>
      </c>
      <c r="L2380" s="3" t="n">
        <v>244.651</v>
      </c>
      <c r="M2380" s="3" t="n">
        <v>286.314</v>
      </c>
      <c r="N2380" s="3" t="n">
        <v>319.693</v>
      </c>
      <c r="O2380" s="3" t="n">
        <v>353.627</v>
      </c>
      <c r="P2380" s="3" t="n">
        <v>368.021</v>
      </c>
      <c r="Q2380" s="3" t="n">
        <v>421.734</v>
      </c>
      <c r="R2380" s="3" t="n">
        <v>470.039</v>
      </c>
      <c r="S2380" s="3" t="n">
        <v>509.084</v>
      </c>
      <c r="T2380" s="3" t="n">
        <v>548.734</v>
      </c>
      <c r="U2380" s="3" t="n">
        <v>579.673</v>
      </c>
      <c r="V2380" s="3" t="n">
        <v>619.266</v>
      </c>
      <c r="W2380" s="3" t="n">
        <v>671.54</v>
      </c>
      <c r="X2380" s="3" t="n">
        <v>715.8440000000001</v>
      </c>
      <c r="Y2380" s="3" t="n">
        <v>755.4589999999999</v>
      </c>
      <c r="Z2380" s="3" t="n">
        <v>788.901</v>
      </c>
      <c r="AA2380" s="3" t="n">
        <v>734.008</v>
      </c>
      <c r="AB2380" s="3" t="n">
        <v>892.213</v>
      </c>
      <c r="AC2380" s="3" t="n">
        <v>952.241</v>
      </c>
      <c r="AD2380" s="3" t="n">
        <v>1018.444</v>
      </c>
      <c r="AE2380" s="3" t="n">
        <v>1108.809</v>
      </c>
      <c r="AF2380" s="3" t="n">
        <v>1210.597</v>
      </c>
      <c r="AG2380" s="3" t="n">
        <v>1325.208394</v>
      </c>
      <c r="AH2380" s="3" t="n">
        <v>1393.190606</v>
      </c>
      <c r="AI2380" s="3" t="n">
        <v>1454.228455</v>
      </c>
      <c r="AJ2380" s="3" t="n">
        <v>1515.01923</v>
      </c>
      <c r="AK2380" s="3" t="n">
        <v>1581.07365</v>
      </c>
      <c r="AL2380" s="3" t="n">
        <v>1658.469755</v>
      </c>
      <c r="AM2380" s="3" t="n"/>
      <c r="AN2380" s="3" t="n"/>
      <c r="AO2380" s="3" t="n"/>
      <c r="AP2380" s="3" t="n"/>
      <c r="AQ2380" s="3" t="n"/>
      <c r="AR2380" s="3" t="n"/>
      <c r="AS2380" s="3" t="n"/>
      <c r="AT2380" s="3" t="n"/>
      <c r="AU2380" s="3" t="n"/>
    </row>
    <row r="2381">
      <c r="A2381" s="3" t="n">
        <v>2031</v>
      </c>
      <c r="B2381" s="3" t="inlineStr">
        <is>
          <t>PER</t>
        </is>
      </c>
      <c r="C2381" s="3" t="inlineStr">
        <is>
          <t>IMF.RES:WEO</t>
        </is>
      </c>
      <c r="D2381" s="3" t="inlineStr">
        <is>
          <t>PER.NGDP_D.A</t>
        </is>
      </c>
      <c r="E2381" s="3" t="inlineStr">
        <is>
          <t>Peru</t>
        </is>
      </c>
      <c r="F2381" s="3" t="inlineStr">
        <is>
          <t>Gross domestic product (GDP), Price deflator, Index</t>
        </is>
      </c>
      <c r="G2381" s="3" t="n">
        <v>79.142965</v>
      </c>
      <c r="H2381" s="3" t="n">
        <v>80.050005</v>
      </c>
      <c r="I2381" s="3" t="n">
        <v>80.47656000000001</v>
      </c>
      <c r="J2381" s="3" t="n">
        <v>82.906609</v>
      </c>
      <c r="K2381" s="3" t="n">
        <v>87.555233</v>
      </c>
      <c r="L2381" s="3" t="n">
        <v>89.298137</v>
      </c>
      <c r="M2381" s="3" t="n">
        <v>97.188033</v>
      </c>
      <c r="N2381" s="3" t="n">
        <v>100</v>
      </c>
      <c r="O2381" s="3" t="n">
        <v>101.363545</v>
      </c>
      <c r="P2381" s="3" t="n">
        <v>104.346285</v>
      </c>
      <c r="Q2381" s="3" t="n">
        <v>110.381344</v>
      </c>
      <c r="R2381" s="3" t="n">
        <v>115.702762</v>
      </c>
      <c r="S2381" s="3" t="n">
        <v>118.06489</v>
      </c>
      <c r="T2381" s="3" t="n">
        <v>120.224879</v>
      </c>
      <c r="U2381" s="3" t="n">
        <v>124.046762</v>
      </c>
      <c r="V2381" s="3" t="n">
        <v>128.346615</v>
      </c>
      <c r="W2381" s="3" t="n">
        <v>133.887059</v>
      </c>
      <c r="X2381" s="3" t="n">
        <v>139.213467</v>
      </c>
      <c r="Y2381" s="3" t="n">
        <v>141.308451</v>
      </c>
      <c r="Z2381" s="3" t="n">
        <v>144.330344</v>
      </c>
      <c r="AA2381" s="3" t="n">
        <v>150.779774</v>
      </c>
      <c r="AB2381" s="3" t="n">
        <v>161.590636</v>
      </c>
      <c r="AC2381" s="3" t="n">
        <v>167.733998</v>
      </c>
      <c r="AD2381" s="3" t="n">
        <v>180.026161</v>
      </c>
      <c r="AE2381" s="3" t="n">
        <v>189.346446</v>
      </c>
      <c r="AF2381" s="3" t="n">
        <v>199.854888</v>
      </c>
      <c r="AG2381" s="3" t="n">
        <v>212.775568</v>
      </c>
      <c r="AH2381" s="3" t="n">
        <v>217.598052</v>
      </c>
      <c r="AI2381" s="3" t="n">
        <v>220.939822</v>
      </c>
      <c r="AJ2381" s="3" t="n">
        <v>223.915038</v>
      </c>
      <c r="AK2381" s="3" t="n">
        <v>227.306007</v>
      </c>
      <c r="AL2381" s="3" t="n">
        <v>231.936835</v>
      </c>
      <c r="AM2381" s="3" t="n"/>
      <c r="AN2381" s="3" t="n"/>
      <c r="AO2381" s="3" t="n"/>
      <c r="AP2381" s="3" t="n"/>
      <c r="AQ2381" s="3" t="n"/>
      <c r="AR2381" s="3" t="n"/>
      <c r="AS2381" s="3" t="n"/>
      <c r="AT2381" s="3" t="n"/>
      <c r="AU2381" s="3" t="n"/>
    </row>
    <row r="2382">
      <c r="A2382" s="3" t="n">
        <v>2031</v>
      </c>
      <c r="B2382" s="3" t="inlineStr">
        <is>
          <t>PER</t>
        </is>
      </c>
      <c r="C2382" s="3" t="inlineStr">
        <is>
          <t>IMF.RES:WEO</t>
        </is>
      </c>
      <c r="D2382" s="3" t="inlineStr">
        <is>
          <t>PER.NGDP_R.A</t>
        </is>
      </c>
      <c r="E2382" s="3" t="inlineStr">
        <is>
          <t>Peru</t>
        </is>
      </c>
      <c r="F2382" s="3" t="inlineStr">
        <is>
          <t>Gross domestic product (GDP), Constant prices, Domestic currency</t>
        </is>
      </c>
      <c r="G2382" s="3" t="n">
        <v>222.208</v>
      </c>
      <c r="H2382" s="3" t="n">
        <v>223.579</v>
      </c>
      <c r="I2382" s="3" t="n">
        <v>235.773</v>
      </c>
      <c r="J2382" s="3" t="n">
        <v>245.592</v>
      </c>
      <c r="K2382" s="3" t="n">
        <v>257.771</v>
      </c>
      <c r="L2382" s="3" t="n">
        <v>273.971</v>
      </c>
      <c r="M2382" s="3" t="n">
        <v>294.598</v>
      </c>
      <c r="N2382" s="3" t="n">
        <v>319.693</v>
      </c>
      <c r="O2382" s="3" t="n">
        <v>348.87</v>
      </c>
      <c r="P2382" s="3" t="n">
        <v>352.692</v>
      </c>
      <c r="Q2382" s="3" t="n">
        <v>382.07</v>
      </c>
      <c r="R2382" s="3" t="n">
        <v>406.247</v>
      </c>
      <c r="S2382" s="3" t="n">
        <v>431.19</v>
      </c>
      <c r="T2382" s="3" t="n">
        <v>456.423</v>
      </c>
      <c r="U2382" s="3" t="n">
        <v>467.302</v>
      </c>
      <c r="V2382" s="3" t="n">
        <v>482.495</v>
      </c>
      <c r="W2382" s="3" t="n">
        <v>501.572</v>
      </c>
      <c r="X2382" s="3" t="n">
        <v>514.206</v>
      </c>
      <c r="Y2382" s="3" t="n">
        <v>534.617</v>
      </c>
      <c r="Z2382" s="3" t="n">
        <v>546.5940000000001</v>
      </c>
      <c r="AA2382" s="3" t="n">
        <v>486.808</v>
      </c>
      <c r="AB2382" s="3" t="n">
        <v>552.144</v>
      </c>
      <c r="AC2382" s="3" t="n">
        <v>567.7089999999999</v>
      </c>
      <c r="AD2382" s="3" t="n">
        <v>565.72</v>
      </c>
      <c r="AE2382" s="3" t="n">
        <v>585.598</v>
      </c>
      <c r="AF2382" s="3" t="n">
        <v>605.7380000000001</v>
      </c>
      <c r="AG2382" s="3" t="n">
        <v>622.819812</v>
      </c>
      <c r="AH2382" s="3" t="n">
        <v>640.258766</v>
      </c>
      <c r="AI2382" s="3" t="n">
        <v>658.201151</v>
      </c>
      <c r="AJ2382" s="3" t="n">
        <v>676.604503</v>
      </c>
      <c r="AK2382" s="3" t="n">
        <v>695.570554</v>
      </c>
      <c r="AL2382" s="3" t="n">
        <v>715.052334</v>
      </c>
      <c r="AM2382" s="3" t="n"/>
      <c r="AN2382" s="3" t="n"/>
      <c r="AO2382" s="3" t="n"/>
      <c r="AP2382" s="3" t="n"/>
      <c r="AQ2382" s="3" t="n"/>
      <c r="AR2382" s="3" t="n"/>
      <c r="AS2382" s="3" t="n"/>
      <c r="AT2382" s="3" t="n"/>
      <c r="AU2382" s="3" t="n"/>
    </row>
    <row r="2383">
      <c r="A2383" s="3" t="n">
        <v>2031</v>
      </c>
      <c r="B2383" s="3" t="inlineStr">
        <is>
          <t>PER</t>
        </is>
      </c>
      <c r="C2383" s="3" t="inlineStr">
        <is>
          <t>IMF.RES:WEO</t>
        </is>
      </c>
      <c r="D2383" s="3" t="inlineStr">
        <is>
          <t>PER.NGDP_RPCH.A</t>
        </is>
      </c>
      <c r="E2383" s="3" t="inlineStr">
        <is>
          <t>Peru</t>
        </is>
      </c>
      <c r="F2383" s="3" t="inlineStr">
        <is>
          <t>Gross domestic product (GDP), Constant prices, Percent change</t>
        </is>
      </c>
      <c r="G2383" s="3" t="n">
        <v>2.694834</v>
      </c>
      <c r="H2383" s="3" t="n">
        <v>0.616989</v>
      </c>
      <c r="I2383" s="3" t="n">
        <v>5.454001</v>
      </c>
      <c r="J2383" s="3" t="n">
        <v>4.164599</v>
      </c>
      <c r="K2383" s="3" t="n">
        <v>4.959038</v>
      </c>
      <c r="L2383" s="3" t="n">
        <v>6.284648</v>
      </c>
      <c r="M2383" s="3" t="n">
        <v>7.528899</v>
      </c>
      <c r="N2383" s="3" t="n">
        <v>8.518388</v>
      </c>
      <c r="O2383" s="3" t="n">
        <v>9.126568000000001</v>
      </c>
      <c r="P2383" s="3" t="n">
        <v>1.095537</v>
      </c>
      <c r="Q2383" s="3" t="n">
        <v>8.329647</v>
      </c>
      <c r="R2383" s="3" t="n">
        <v>6.327898</v>
      </c>
      <c r="S2383" s="3" t="n">
        <v>6.139861</v>
      </c>
      <c r="T2383" s="3" t="n">
        <v>5.851945</v>
      </c>
      <c r="U2383" s="3" t="n">
        <v>2.383535</v>
      </c>
      <c r="V2383" s="3" t="n">
        <v>3.251217</v>
      </c>
      <c r="W2383" s="3" t="n">
        <v>3.953823</v>
      </c>
      <c r="X2383" s="3" t="n">
        <v>2.518881</v>
      </c>
      <c r="Y2383" s="3" t="n">
        <v>3.969421</v>
      </c>
      <c r="Z2383" s="3" t="n">
        <v>2.240295</v>
      </c>
      <c r="AA2383" s="3" t="n">
        <v>-10.937917</v>
      </c>
      <c r="AB2383" s="3" t="n">
        <v>13.421308</v>
      </c>
      <c r="AC2383" s="3" t="n">
        <v>2.819011</v>
      </c>
      <c r="AD2383" s="3" t="n">
        <v>-0.350356</v>
      </c>
      <c r="AE2383" s="3" t="n">
        <v>3.513752</v>
      </c>
      <c r="AF2383" s="3" t="n">
        <v>3.439219</v>
      </c>
      <c r="AG2383" s="3" t="n">
        <v>2.82</v>
      </c>
      <c r="AH2383" s="3" t="n">
        <v>2.8</v>
      </c>
      <c r="AI2383" s="3" t="n">
        <v>2.802365</v>
      </c>
      <c r="AJ2383" s="3" t="n">
        <v>2.796007</v>
      </c>
      <c r="AK2383" s="3" t="n">
        <v>2.803122</v>
      </c>
      <c r="AL2383" s="3" t="n">
        <v>2.800834</v>
      </c>
      <c r="AM2383" s="3" t="n"/>
      <c r="AN2383" s="3" t="n"/>
      <c r="AO2383" s="3" t="n"/>
      <c r="AP2383" s="3" t="n"/>
      <c r="AQ2383" s="3" t="n"/>
      <c r="AR2383" s="3" t="n"/>
      <c r="AS2383" s="3" t="n"/>
      <c r="AT2383" s="3" t="n"/>
      <c r="AU2383" s="3" t="n"/>
    </row>
    <row r="2384">
      <c r="A2384" s="3" t="n">
        <v>2031</v>
      </c>
      <c r="B2384" s="3" t="inlineStr">
        <is>
          <t>PER</t>
        </is>
      </c>
      <c r="C2384" s="3" t="inlineStr">
        <is>
          <t>IMF.RES:WEO</t>
        </is>
      </c>
      <c r="D2384" s="3" t="inlineStr">
        <is>
          <t>PER.NGDPD.A</t>
        </is>
      </c>
      <c r="E2384" s="3" t="inlineStr">
        <is>
          <t>Peru</t>
        </is>
      </c>
      <c r="F2384" s="3" t="inlineStr">
        <is>
          <t>Gross domestic product (GDP), Current prices, US dollar</t>
        </is>
      </c>
      <c r="G2384" s="3" t="n">
        <v>50.351785</v>
      </c>
      <c r="H2384" s="3" t="n">
        <v>51.053057</v>
      </c>
      <c r="I2384" s="3" t="n">
        <v>53.920572</v>
      </c>
      <c r="J2384" s="3" t="n">
        <v>58.577929</v>
      </c>
      <c r="K2384" s="3" t="n">
        <v>66.21446400000001</v>
      </c>
      <c r="L2384" s="3" t="n">
        <v>74.054384</v>
      </c>
      <c r="M2384" s="3" t="n">
        <v>87.667271</v>
      </c>
      <c r="N2384" s="3" t="n">
        <v>102.334507</v>
      </c>
      <c r="O2384" s="3" t="n">
        <v>120.240394</v>
      </c>
      <c r="P2384" s="3" t="n">
        <v>122.427112</v>
      </c>
      <c r="Q2384" s="3" t="n">
        <v>149.266558</v>
      </c>
      <c r="R2384" s="3" t="n">
        <v>170.773199</v>
      </c>
      <c r="S2384" s="3" t="n">
        <v>193.267993</v>
      </c>
      <c r="T2384" s="3" t="n">
        <v>201.567528</v>
      </c>
      <c r="U2384" s="3" t="n">
        <v>203.670956</v>
      </c>
      <c r="V2384" s="3" t="n">
        <v>193.3444</v>
      </c>
      <c r="W2384" s="3" t="n">
        <v>198.817724</v>
      </c>
      <c r="X2384" s="3" t="n">
        <v>220.090392</v>
      </c>
      <c r="Y2384" s="3" t="n">
        <v>229.550117</v>
      </c>
      <c r="Z2384" s="3" t="n">
        <v>236.262747</v>
      </c>
      <c r="AA2384" s="3" t="n">
        <v>209.057046</v>
      </c>
      <c r="AB2384" s="3" t="n">
        <v>228.704148</v>
      </c>
      <c r="AC2384" s="3" t="n">
        <v>248.178703</v>
      </c>
      <c r="AD2384" s="3" t="n">
        <v>272.754882</v>
      </c>
      <c r="AE2384" s="3" t="n">
        <v>295.219889</v>
      </c>
      <c r="AF2384" s="3" t="n">
        <v>341.025247</v>
      </c>
      <c r="AG2384" s="3" t="n">
        <v>380.899772</v>
      </c>
      <c r="AH2384" s="3" t="n">
        <v>386.375218</v>
      </c>
      <c r="AI2384" s="3" t="n">
        <v>402.719833</v>
      </c>
      <c r="AJ2384" s="3" t="n">
        <v>418.911809</v>
      </c>
      <c r="AK2384" s="3" t="n">
        <v>437.098779</v>
      </c>
      <c r="AL2384" s="3" t="n">
        <v>458.414221</v>
      </c>
      <c r="AM2384" s="3" t="n"/>
      <c r="AN2384" s="3" t="n"/>
      <c r="AO2384" s="3" t="n"/>
      <c r="AP2384" s="3" t="n"/>
      <c r="AQ2384" s="3" t="n"/>
      <c r="AR2384" s="3" t="n"/>
      <c r="AS2384" s="3" t="n"/>
      <c r="AT2384" s="3" t="n"/>
      <c r="AU2384" s="3" t="n"/>
    </row>
    <row r="2385">
      <c r="A2385" s="3" t="n">
        <v>2031</v>
      </c>
      <c r="B2385" s="3" t="inlineStr">
        <is>
          <t>PER</t>
        </is>
      </c>
      <c r="C2385" s="3" t="inlineStr">
        <is>
          <t>IMF.RES:WEO</t>
        </is>
      </c>
      <c r="D2385" s="3" t="inlineStr">
        <is>
          <t>PER.NGDPPC.A</t>
        </is>
      </c>
      <c r="E2385" s="3" t="inlineStr">
        <is>
          <t>Peru</t>
        </is>
      </c>
      <c r="F2385" s="3" t="inlineStr">
        <is>
          <t>Gross domestic product (GDP), Current prices, Per capita, Domestic currency</t>
        </is>
      </c>
      <c r="G2385" s="3" t="n">
        <v>6663.963623</v>
      </c>
      <c r="H2385" s="3" t="n">
        <v>6699.419802</v>
      </c>
      <c r="I2385" s="3" t="n">
        <v>7027.741768</v>
      </c>
      <c r="J2385" s="3" t="n">
        <v>7470.629242</v>
      </c>
      <c r="K2385" s="3" t="n">
        <v>8209.369999</v>
      </c>
      <c r="L2385" s="3" t="n">
        <v>8825.156915</v>
      </c>
      <c r="M2385" s="3" t="n">
        <v>10249.293002</v>
      </c>
      <c r="N2385" s="3" t="n">
        <v>11368.074817</v>
      </c>
      <c r="O2385" s="3" t="n">
        <v>12495.65371</v>
      </c>
      <c r="P2385" s="3" t="n">
        <v>12919.817448</v>
      </c>
      <c r="Q2385" s="3" t="n">
        <v>14698.149374</v>
      </c>
      <c r="R2385" s="3" t="n">
        <v>16260.949284</v>
      </c>
      <c r="S2385" s="3" t="n">
        <v>17486.483701</v>
      </c>
      <c r="T2385" s="3" t="n">
        <v>18701.952899</v>
      </c>
      <c r="U2385" s="3" t="n">
        <v>19572.967315</v>
      </c>
      <c r="V2385" s="3" t="n">
        <v>20667.0004</v>
      </c>
      <c r="W2385" s="3" t="n">
        <v>22073.431286</v>
      </c>
      <c r="X2385" s="3" t="n">
        <v>23111.12546</v>
      </c>
      <c r="Y2385" s="3" t="n">
        <v>23935.713833</v>
      </c>
      <c r="Z2385" s="3" t="n">
        <v>24552.643864</v>
      </c>
      <c r="AA2385" s="3" t="n">
        <v>22497.639919</v>
      </c>
      <c r="AB2385" s="3" t="n">
        <v>27008.112608</v>
      </c>
      <c r="AC2385" s="3" t="n">
        <v>28512.770608</v>
      </c>
      <c r="AD2385" s="3" t="n">
        <v>30193.142978</v>
      </c>
      <c r="AE2385" s="3" t="n">
        <v>32546.668331</v>
      </c>
      <c r="AF2385" s="3" t="n">
        <v>35182.60686</v>
      </c>
      <c r="AG2385" s="3" t="n">
        <v>38132.144175</v>
      </c>
      <c r="AH2385" s="3" t="n">
        <v>39691.381207</v>
      </c>
      <c r="AI2385" s="3" t="n">
        <v>41020.121175</v>
      </c>
      <c r="AJ2385" s="3" t="n">
        <v>42311.758215</v>
      </c>
      <c r="AK2385" s="3" t="n">
        <v>43719.345715</v>
      </c>
      <c r="AL2385" s="3" t="n">
        <v>45405.423976</v>
      </c>
      <c r="AM2385" s="3" t="n"/>
      <c r="AN2385" s="3" t="n"/>
      <c r="AO2385" s="3" t="n"/>
      <c r="AP2385" s="3" t="n"/>
      <c r="AQ2385" s="3" t="n"/>
      <c r="AR2385" s="3" t="n"/>
      <c r="AS2385" s="3" t="n"/>
      <c r="AT2385" s="3" t="n"/>
      <c r="AU2385" s="3" t="n"/>
    </row>
    <row r="2386">
      <c r="A2386" s="3" t="n">
        <v>2031</v>
      </c>
      <c r="B2386" s="3" t="inlineStr">
        <is>
          <t>PER</t>
        </is>
      </c>
      <c r="C2386" s="3" t="inlineStr">
        <is>
          <t>IMF.RES:WEO</t>
        </is>
      </c>
      <c r="D2386" s="3" t="inlineStr">
        <is>
          <t>PER.NGDPRPC.A</t>
        </is>
      </c>
      <c r="E2386" s="3" t="inlineStr">
        <is>
          <t>Peru</t>
        </is>
      </c>
      <c r="F2386" s="3" t="inlineStr">
        <is>
          <t>Gross domestic product (GDP), Constant prices, Per capita, Domestic currency</t>
        </is>
      </c>
      <c r="G2386" s="3" t="n">
        <v>8420.159151</v>
      </c>
      <c r="H2386" s="3" t="n">
        <v>8369.043608</v>
      </c>
      <c r="I2386" s="3" t="n">
        <v>8732.656765</v>
      </c>
      <c r="J2386" s="3" t="n">
        <v>9010.897083</v>
      </c>
      <c r="K2386" s="3" t="n">
        <v>9376.218536</v>
      </c>
      <c r="L2386" s="3" t="n">
        <v>9882.800664</v>
      </c>
      <c r="M2386" s="3" t="n">
        <v>10545.838554</v>
      </c>
      <c r="N2386" s="3" t="n">
        <v>11368.074817</v>
      </c>
      <c r="O2386" s="3" t="n">
        <v>12327.561837</v>
      </c>
      <c r="P2386" s="3" t="n">
        <v>12381.674566</v>
      </c>
      <c r="Q2386" s="3" t="n">
        <v>13315.791308</v>
      </c>
      <c r="R2386" s="3" t="n">
        <v>14054.071819</v>
      </c>
      <c r="S2386" s="3" t="n">
        <v>14810.909216</v>
      </c>
      <c r="T2386" s="3" t="n">
        <v>15555.809277</v>
      </c>
      <c r="U2386" s="3" t="n">
        <v>15778.700702</v>
      </c>
      <c r="V2386" s="3" t="n">
        <v>16102.489654</v>
      </c>
      <c r="W2386" s="3" t="n">
        <v>16486.605529</v>
      </c>
      <c r="X2386" s="3" t="n">
        <v>16601.213921</v>
      </c>
      <c r="Y2386" s="3" t="n">
        <v>16938.628731</v>
      </c>
      <c r="Z2386" s="3" t="n">
        <v>17011.421991</v>
      </c>
      <c r="AA2386" s="3" t="n">
        <v>14920.860663</v>
      </c>
      <c r="AB2386" s="3" t="n">
        <v>16713.90949</v>
      </c>
      <c r="AC2386" s="3" t="n">
        <v>16998.802288</v>
      </c>
      <c r="AD2386" s="3" t="n">
        <v>16771.530733</v>
      </c>
      <c r="AE2386" s="3" t="n">
        <v>17188.951281</v>
      </c>
      <c r="AF2386" s="3" t="n">
        <v>17604.076265</v>
      </c>
      <c r="AG2386" s="3" t="n">
        <v>17921.298233</v>
      </c>
      <c r="AH2386" s="3" t="n">
        <v>18240.687707</v>
      </c>
      <c r="AI2386" s="3" t="n">
        <v>18566.196322</v>
      </c>
      <c r="AJ2386" s="3" t="n">
        <v>18896.34506</v>
      </c>
      <c r="AK2386" s="3" t="n">
        <v>19233.695741</v>
      </c>
      <c r="AL2386" s="3" t="n">
        <v>19576.633388</v>
      </c>
      <c r="AM2386" s="3" t="n"/>
      <c r="AN2386" s="3" t="n"/>
      <c r="AO2386" s="3" t="n"/>
      <c r="AP2386" s="3" t="n"/>
      <c r="AQ2386" s="3" t="n"/>
      <c r="AR2386" s="3" t="n"/>
      <c r="AS2386" s="3" t="n"/>
      <c r="AT2386" s="3" t="n"/>
      <c r="AU2386" s="3" t="n"/>
    </row>
    <row r="2387">
      <c r="A2387" s="3" t="n">
        <v>2031</v>
      </c>
      <c r="B2387" s="3" t="inlineStr">
        <is>
          <t>PER</t>
        </is>
      </c>
      <c r="C2387" s="3" t="inlineStr">
        <is>
          <t>IMF.RES:WEO</t>
        </is>
      </c>
      <c r="D2387" s="3" t="inlineStr">
        <is>
          <t>PER.PCPI.A</t>
        </is>
      </c>
      <c r="E2387" s="3" t="inlineStr">
        <is>
          <t>Peru</t>
        </is>
      </c>
      <c r="F2387" s="3" t="inlineStr">
        <is>
          <t>All Items, Consumer price index (CPI), Period average</t>
        </is>
      </c>
      <c r="G2387" s="3" t="n">
        <v>55.807125</v>
      </c>
      <c r="H2387" s="3" t="n">
        <v>56.909567</v>
      </c>
      <c r="I2387" s="3" t="n">
        <v>57.018758</v>
      </c>
      <c r="J2387" s="3" t="n">
        <v>58.308075</v>
      </c>
      <c r="K2387" s="3" t="n">
        <v>60.44305</v>
      </c>
      <c r="L2387" s="3" t="n">
        <v>61.42085</v>
      </c>
      <c r="M2387" s="3" t="n">
        <v>62.650092</v>
      </c>
      <c r="N2387" s="3" t="n">
        <v>63.764458</v>
      </c>
      <c r="O2387" s="3" t="n">
        <v>67.45505</v>
      </c>
      <c r="P2387" s="3" t="n">
        <v>69.435075</v>
      </c>
      <c r="Q2387" s="3" t="n">
        <v>70.49686699999999</v>
      </c>
      <c r="R2387" s="3" t="n">
        <v>72.872117</v>
      </c>
      <c r="S2387" s="3" t="n">
        <v>75.536125</v>
      </c>
      <c r="T2387" s="3" t="n">
        <v>77.656217</v>
      </c>
      <c r="U2387" s="3" t="n">
        <v>80.176117</v>
      </c>
      <c r="V2387" s="3" t="n">
        <v>83.0211</v>
      </c>
      <c r="W2387" s="3" t="n">
        <v>86.004108</v>
      </c>
      <c r="X2387" s="3" t="n">
        <v>88.415525</v>
      </c>
      <c r="Y2387" s="3" t="n">
        <v>89.5797</v>
      </c>
      <c r="Z2387" s="3" t="n">
        <v>91.49299999999999</v>
      </c>
      <c r="AA2387" s="3" t="n">
        <v>93.164833</v>
      </c>
      <c r="AB2387" s="3" t="n">
        <v>96.87163700000001</v>
      </c>
      <c r="AC2387" s="3" t="n">
        <v>104.496266</v>
      </c>
      <c r="AD2387" s="3" t="n">
        <v>111.046818</v>
      </c>
      <c r="AE2387" s="3" t="n">
        <v>113.657189</v>
      </c>
      <c r="AF2387" s="3" t="n">
        <v>115.363262</v>
      </c>
      <c r="AG2387" s="3" t="n">
        <v>118.299077</v>
      </c>
      <c r="AH2387" s="3" t="n">
        <v>120.390257</v>
      </c>
      <c r="AI2387" s="3" t="n">
        <v>122.754934</v>
      </c>
      <c r="AJ2387" s="3" t="n">
        <v>125.15566</v>
      </c>
      <c r="AK2387" s="3" t="n">
        <v>127.680956</v>
      </c>
      <c r="AL2387" s="3" t="n">
        <v>130.257205</v>
      </c>
      <c r="AM2387" s="3" t="n"/>
      <c r="AN2387" s="3" t="n"/>
      <c r="AO2387" s="3" t="n"/>
      <c r="AP2387" s="3" t="n"/>
      <c r="AQ2387" s="3" t="n"/>
      <c r="AR2387" s="3" t="n"/>
      <c r="AS2387" s="3" t="n"/>
      <c r="AT2387" s="3" t="n"/>
      <c r="AU2387" s="3" t="n"/>
    </row>
    <row r="2388">
      <c r="A2388" s="3" t="n">
        <v>2031</v>
      </c>
      <c r="B2388" s="3" t="inlineStr">
        <is>
          <t>PER</t>
        </is>
      </c>
      <c r="C2388" s="3" t="inlineStr">
        <is>
          <t>IMF.RES:WEO</t>
        </is>
      </c>
      <c r="D2388" s="3" t="inlineStr">
        <is>
          <t>PER.PCPIPCH.A</t>
        </is>
      </c>
      <c r="E2388" s="3" t="inlineStr">
        <is>
          <t>Peru</t>
        </is>
      </c>
      <c r="F2388" s="3" t="inlineStr">
        <is>
          <t>All Items, Consumer price index (CPI), Period average, percent change</t>
        </is>
      </c>
      <c r="G2388" s="3" t="n">
        <v>3.758503</v>
      </c>
      <c r="H2388" s="3" t="n">
        <v>1.97545</v>
      </c>
      <c r="I2388" s="3" t="n">
        <v>0.191869</v>
      </c>
      <c r="J2388" s="3" t="n">
        <v>2.261215</v>
      </c>
      <c r="K2388" s="3" t="n">
        <v>3.661543</v>
      </c>
      <c r="L2388" s="3" t="n">
        <v>1.617721</v>
      </c>
      <c r="M2388" s="3" t="n">
        <v>2.001343</v>
      </c>
      <c r="N2388" s="3" t="n">
        <v>1.778715</v>
      </c>
      <c r="O2388" s="3" t="n">
        <v>5.787851</v>
      </c>
      <c r="P2388" s="3" t="n">
        <v>2.935325</v>
      </c>
      <c r="Q2388" s="3" t="n">
        <v>1.529186</v>
      </c>
      <c r="R2388" s="3" t="n">
        <v>3.369299</v>
      </c>
      <c r="S2388" s="3" t="n">
        <v>3.655731</v>
      </c>
      <c r="T2388" s="3" t="n">
        <v>2.806725</v>
      </c>
      <c r="U2388" s="3" t="n">
        <v>3.244943</v>
      </c>
      <c r="V2388" s="3" t="n">
        <v>3.548417</v>
      </c>
      <c r="W2388" s="3" t="n">
        <v>3.593073</v>
      </c>
      <c r="X2388" s="3" t="n">
        <v>2.803839</v>
      </c>
      <c r="Y2388" s="3" t="n">
        <v>1.316709</v>
      </c>
      <c r="Z2388" s="3" t="n">
        <v>2.135863</v>
      </c>
      <c r="AA2388" s="3" t="n">
        <v>1.82728</v>
      </c>
      <c r="AB2388" s="3" t="n">
        <v>3.978758</v>
      </c>
      <c r="AC2388" s="3" t="n">
        <v>7.870858</v>
      </c>
      <c r="AD2388" s="3" t="n">
        <v>6.268695</v>
      </c>
      <c r="AE2388" s="3" t="n">
        <v>2.350694</v>
      </c>
      <c r="AF2388" s="3" t="n">
        <v>1.501069</v>
      </c>
      <c r="AG2388" s="3" t="n">
        <v>2.544844</v>
      </c>
      <c r="AH2388" s="3" t="n">
        <v>1.767706</v>
      </c>
      <c r="AI2388" s="3" t="n">
        <v>1.964176</v>
      </c>
      <c r="AJ2388" s="3" t="n">
        <v>1.955706</v>
      </c>
      <c r="AK2388" s="3" t="n">
        <v>2.017724</v>
      </c>
      <c r="AL2388" s="3" t="n">
        <v>2.017724</v>
      </c>
      <c r="AM2388" s="3" t="n"/>
      <c r="AN2388" s="3" t="n"/>
      <c r="AO2388" s="3" t="n"/>
      <c r="AP2388" s="3" t="n"/>
      <c r="AQ2388" s="3" t="n"/>
      <c r="AR2388" s="3" t="n"/>
      <c r="AS2388" s="3" t="n"/>
      <c r="AT2388" s="3" t="n"/>
      <c r="AU2388" s="3" t="n"/>
    </row>
    <row r="2389">
      <c r="A2389" s="3" t="n">
        <v>2031</v>
      </c>
      <c r="B2389" s="3" t="inlineStr">
        <is>
          <t>PER</t>
        </is>
      </c>
      <c r="C2389" s="3" t="inlineStr">
        <is>
          <t>IMF.RES:WEO</t>
        </is>
      </c>
      <c r="D2389" s="3" t="inlineStr">
        <is>
          <t>PER.PPPPC.A</t>
        </is>
      </c>
      <c r="E2389" s="3" t="inlineStr">
        <is>
          <t>Peru</t>
        </is>
      </c>
      <c r="F2389" s="3" t="inlineStr">
        <is>
          <t>Gross domestic product (GDP), Per capita, purchasing power parity (PPP) international dollar, ICP benchmarks 2017-2021</t>
        </is>
      </c>
      <c r="G2389" s="3" t="n">
        <v>4887.236035</v>
      </c>
      <c r="H2389" s="3" t="n">
        <v>4966.941487</v>
      </c>
      <c r="I2389" s="3" t="n">
        <v>5263.283831</v>
      </c>
      <c r="J2389" s="3" t="n">
        <v>5538.202141</v>
      </c>
      <c r="K2389" s="3" t="n">
        <v>5917.685997</v>
      </c>
      <c r="L2389" s="3" t="n">
        <v>6433.003108</v>
      </c>
      <c r="M2389" s="3" t="n">
        <v>7076.289788</v>
      </c>
      <c r="N2389" s="3" t="n">
        <v>7834.676293</v>
      </c>
      <c r="O2389" s="3" t="n">
        <v>8659.604497</v>
      </c>
      <c r="P2389" s="3" t="n">
        <v>8751.258308</v>
      </c>
      <c r="Q2389" s="3" t="n">
        <v>9525.868559</v>
      </c>
      <c r="R2389" s="3" t="n">
        <v>10261.460074</v>
      </c>
      <c r="S2389" s="3" t="n">
        <v>11015.40884</v>
      </c>
      <c r="T2389" s="3" t="n">
        <v>11766.330019</v>
      </c>
      <c r="U2389" s="3" t="n">
        <v>12142.796229</v>
      </c>
      <c r="V2389" s="3" t="n">
        <v>12506.978229</v>
      </c>
      <c r="W2389" s="3" t="n">
        <v>12927.004411</v>
      </c>
      <c r="X2389" s="3" t="n">
        <v>13249.985591</v>
      </c>
      <c r="Y2389" s="3" t="n">
        <v>13648.554219</v>
      </c>
      <c r="Z2389" s="3" t="n">
        <v>14181.780224</v>
      </c>
      <c r="AA2389" s="3" t="n">
        <v>13185.753713</v>
      </c>
      <c r="AB2389" s="3" t="n">
        <v>15579.74532</v>
      </c>
      <c r="AC2389" s="3" t="n">
        <v>16972.289772</v>
      </c>
      <c r="AD2389" s="3" t="n">
        <v>17364.957062</v>
      </c>
      <c r="AE2389" s="3" t="n">
        <v>18238.969337</v>
      </c>
      <c r="AF2389" s="3" t="n">
        <v>19209.34545</v>
      </c>
      <c r="AG2389" s="3" t="n">
        <v>20115.729783</v>
      </c>
      <c r="AH2389" s="3" t="n">
        <v>20923.821925</v>
      </c>
      <c r="AI2389" s="3" t="n">
        <v>21646.782003</v>
      </c>
      <c r="AJ2389" s="3" t="n">
        <v>22423.458213</v>
      </c>
      <c r="AK2389" s="3" t="n">
        <v>23243.170402</v>
      </c>
      <c r="AL2389" s="3" t="n">
        <v>24084.688186</v>
      </c>
      <c r="AM2389" s="3" t="n"/>
      <c r="AN2389" s="3" t="n"/>
      <c r="AO2389" s="3" t="n"/>
      <c r="AP2389" s="3" t="n"/>
      <c r="AQ2389" s="3" t="n"/>
      <c r="AR2389" s="3" t="n"/>
      <c r="AS2389" s="3" t="n"/>
      <c r="AT2389" s="3" t="n"/>
      <c r="AU2389" s="3" t="n"/>
    </row>
    <row r="2390">
      <c r="A2390" s="3" t="n">
        <v>2025</v>
      </c>
      <c r="B2390" s="3" t="inlineStr">
        <is>
          <t>PER</t>
        </is>
      </c>
      <c r="C2390" s="3" t="inlineStr">
        <is>
          <t>IMF.STA:ER</t>
        </is>
      </c>
      <c r="D2390" s="3" t="inlineStr">
        <is>
          <t>PER.XDC_USD.PA_RT.A</t>
        </is>
      </c>
      <c r="E2390" s="3" t="inlineStr">
        <is>
          <t>Peru</t>
        </is>
      </c>
      <c r="F2390" s="3" t="inlineStr">
        <is>
          <t>Domestic currency per US Dollar</t>
        </is>
      </c>
      <c r="G2390" s="3" t="n">
        <v>3.49</v>
      </c>
      <c r="H2390" s="3" t="n">
        <v>3.50683333333333</v>
      </c>
      <c r="I2390" s="3" t="n">
        <v>3.5165</v>
      </c>
      <c r="J2390" s="3" t="n">
        <v>3.478467</v>
      </c>
      <c r="K2390" s="3" t="n">
        <v>3.413175</v>
      </c>
      <c r="L2390" s="3" t="n">
        <v>3.29584166666666</v>
      </c>
      <c r="M2390" s="3" t="n">
        <v>3.27403250265816</v>
      </c>
      <c r="N2390" s="3" t="n">
        <v>3.12804457735247</v>
      </c>
      <c r="O2390" s="3" t="n">
        <v>2.92440833333333</v>
      </c>
      <c r="P2390" s="3" t="n">
        <v>3.01150833333333</v>
      </c>
      <c r="Q2390" s="3" t="n">
        <v>2.825125</v>
      </c>
      <c r="R2390" s="3" t="n">
        <v>2.7541</v>
      </c>
      <c r="S2390" s="3" t="n">
        <v>2.63758641774891</v>
      </c>
      <c r="T2390" s="3" t="n">
        <v>2.70189902597402</v>
      </c>
      <c r="U2390" s="3" t="n">
        <v>2.83904413780663</v>
      </c>
      <c r="V2390" s="3" t="n">
        <v>3.18443924152236</v>
      </c>
      <c r="W2390" s="3" t="n">
        <v>3.37506158720665</v>
      </c>
      <c r="X2390" s="3" t="n">
        <v>3.26048849083209</v>
      </c>
      <c r="Y2390" s="3" t="n">
        <v>3.28660269803296</v>
      </c>
      <c r="Z2390" s="3" t="n">
        <v>3.33726554653679</v>
      </c>
      <c r="AA2390" s="3" t="n">
        <v>3.4949411976912</v>
      </c>
      <c r="AB2390" s="3" t="n">
        <v>3.88055413137587</v>
      </c>
      <c r="AC2390" s="3" t="n">
        <v>3.83518137473542</v>
      </c>
      <c r="AD2390" s="3" t="n">
        <v>3.74382620959376</v>
      </c>
      <c r="AE2390" s="3" t="n">
        <v>3.7525</v>
      </c>
      <c r="AF2390" s="3" t="n">
        <v>3.56706380329909</v>
      </c>
      <c r="AG2390" s="3" t="n"/>
      <c r="AH2390" s="3" t="n"/>
      <c r="AI2390" s="3" t="n"/>
      <c r="AJ2390" s="3" t="n"/>
      <c r="AK2390" s="3" t="n"/>
      <c r="AL2390" s="3" t="n"/>
      <c r="AM2390" s="3" t="n"/>
      <c r="AN2390" s="3" t="n"/>
      <c r="AO2390" s="3" t="n"/>
      <c r="AP2390" s="3" t="n"/>
      <c r="AQ2390" s="3" t="n"/>
      <c r="AR2390" s="3" t="n"/>
      <c r="AS2390" s="3" t="n"/>
      <c r="AT2390" s="3" t="n"/>
      <c r="AU2390" s="3" t="n"/>
    </row>
    <row r="2391">
      <c r="A2391" s="3" t="n">
        <v>2031</v>
      </c>
      <c r="B2391" s="3" t="inlineStr">
        <is>
          <t>PHL</t>
        </is>
      </c>
      <c r="C2391" s="3" t="inlineStr">
        <is>
          <t>IMF.RES:WEO</t>
        </is>
      </c>
      <c r="D2391" s="3" t="inlineStr">
        <is>
          <t>PHL.BCA.A</t>
        </is>
      </c>
      <c r="E2391" s="3" t="inlineStr">
        <is>
          <t>Philippines</t>
        </is>
      </c>
      <c r="F2391" s="3" t="inlineStr">
        <is>
          <t>Current account balance (credit less debit), US dollar</t>
        </is>
      </c>
      <c r="G2391" s="3" t="n">
        <v>-2.228</v>
      </c>
      <c r="H2391" s="3" t="n">
        <v>-1.75</v>
      </c>
      <c r="I2391" s="3" t="n">
        <v>-0.282</v>
      </c>
      <c r="J2391" s="3" t="n">
        <v>0.285</v>
      </c>
      <c r="K2391" s="3" t="n">
        <v>1.625</v>
      </c>
      <c r="L2391" s="3" t="n">
        <v>1.990393</v>
      </c>
      <c r="M2391" s="3" t="n">
        <v>6.962858</v>
      </c>
      <c r="N2391" s="3" t="n">
        <v>8.071944999999999</v>
      </c>
      <c r="O2391" s="3" t="n">
        <v>0.144021</v>
      </c>
      <c r="P2391" s="3" t="n">
        <v>8.448167</v>
      </c>
      <c r="Q2391" s="3" t="n">
        <v>7.179161</v>
      </c>
      <c r="R2391" s="3" t="n">
        <v>5.642728</v>
      </c>
      <c r="S2391" s="3" t="n">
        <v>6.949481</v>
      </c>
      <c r="T2391" s="3" t="n">
        <v>11.383509</v>
      </c>
      <c r="U2391" s="3" t="n">
        <v>10.755932</v>
      </c>
      <c r="V2391" s="3" t="n">
        <v>7.265678</v>
      </c>
      <c r="W2391" s="3" t="n">
        <v>-1.198874</v>
      </c>
      <c r="X2391" s="3" t="n">
        <v>-2.142969</v>
      </c>
      <c r="Y2391" s="3" t="n">
        <v>-8.877046999999999</v>
      </c>
      <c r="Z2391" s="3" t="n">
        <v>-3.046835</v>
      </c>
      <c r="AA2391" s="3" t="n">
        <v>11.578388</v>
      </c>
      <c r="AB2391" s="3" t="n">
        <v>-5.942749</v>
      </c>
      <c r="AC2391" s="3" t="n">
        <v>-18.260831</v>
      </c>
      <c r="AD2391" s="3" t="n">
        <v>-12.386686</v>
      </c>
      <c r="AE2391" s="3" t="n">
        <v>-18.565085</v>
      </c>
      <c r="AF2391" s="3" t="n">
        <v>-16.290588</v>
      </c>
      <c r="AG2391" s="3" t="n">
        <v>-22.282871</v>
      </c>
      <c r="AH2391" s="3" t="n">
        <v>-19.312974</v>
      </c>
      <c r="AI2391" s="3" t="n">
        <v>-18.064173</v>
      </c>
      <c r="AJ2391" s="3" t="n">
        <v>-18.736095</v>
      </c>
      <c r="AK2391" s="3" t="n">
        <v>-20.393073</v>
      </c>
      <c r="AL2391" s="3" t="n">
        <v>-20.86109</v>
      </c>
      <c r="AM2391" s="3" t="n"/>
      <c r="AN2391" s="3" t="n"/>
      <c r="AO2391" s="3" t="n"/>
      <c r="AP2391" s="3" t="n"/>
      <c r="AQ2391" s="3" t="n"/>
      <c r="AR2391" s="3" t="n"/>
      <c r="AS2391" s="3" t="n"/>
      <c r="AT2391" s="3" t="n"/>
      <c r="AU2391" s="3" t="n"/>
    </row>
    <row r="2392">
      <c r="A2392" s="3" t="n">
        <v>2031</v>
      </c>
      <c r="B2392" s="3" t="inlineStr">
        <is>
          <t>PHL</t>
        </is>
      </c>
      <c r="C2392" s="3" t="inlineStr">
        <is>
          <t>IMF.RES:WEO</t>
        </is>
      </c>
      <c r="D2392" s="3" t="inlineStr">
        <is>
          <t>PHL.BCA_NGDPD.A</t>
        </is>
      </c>
      <c r="E2392" s="3" t="inlineStr">
        <is>
          <t>Philippines</t>
        </is>
      </c>
      <c r="F2392" s="3" t="inlineStr">
        <is>
          <t>Current account balance (credit less debit), Percent of GDP</t>
        </is>
      </c>
      <c r="G2392" s="3" t="n">
        <v>-2.662946</v>
      </c>
      <c r="H2392" s="3" t="n">
        <v>-2.217406</v>
      </c>
      <c r="I2392" s="3" t="n">
        <v>-0.33449</v>
      </c>
      <c r="J2392" s="3" t="n">
        <v>0.327439</v>
      </c>
      <c r="K2392" s="3" t="n">
        <v>1.71049</v>
      </c>
      <c r="L2392" s="3" t="n">
        <v>1.852908</v>
      </c>
      <c r="M2392" s="3" t="n">
        <v>5.454523</v>
      </c>
      <c r="N2392" s="3" t="n">
        <v>5.174975</v>
      </c>
      <c r="O2392" s="3" t="n">
        <v>0.079567</v>
      </c>
      <c r="P2392" s="3" t="n">
        <v>4.796508</v>
      </c>
      <c r="Q2392" s="3" t="n">
        <v>3.44541</v>
      </c>
      <c r="R2392" s="3" t="n">
        <v>2.409191</v>
      </c>
      <c r="S2392" s="3" t="n">
        <v>2.653279</v>
      </c>
      <c r="T2392" s="3" t="n">
        <v>4.009649</v>
      </c>
      <c r="U2392" s="3" t="n">
        <v>3.61564</v>
      </c>
      <c r="V2392" s="3" t="n">
        <v>2.370949</v>
      </c>
      <c r="W2392" s="3" t="n">
        <v>-0.376263</v>
      </c>
      <c r="X2392" s="3" t="n">
        <v>-0.652388</v>
      </c>
      <c r="Y2392" s="3" t="n">
        <v>-2.559393</v>
      </c>
      <c r="Z2392" s="3" t="n">
        <v>-0.808558</v>
      </c>
      <c r="AA2392" s="3" t="n">
        <v>3.20065</v>
      </c>
      <c r="AB2392" s="3" t="n">
        <v>-1.507978</v>
      </c>
      <c r="AC2392" s="3" t="n">
        <v>-4.516059</v>
      </c>
      <c r="AD2392" s="3" t="n">
        <v>-2.834123</v>
      </c>
      <c r="AE2392" s="3" t="n">
        <v>-4.021748</v>
      </c>
      <c r="AF2392" s="3" t="n">
        <v>-3.343982</v>
      </c>
      <c r="AG2392" s="3" t="n">
        <v>-4.350235</v>
      </c>
      <c r="AH2392" s="3" t="n">
        <v>-3.468894</v>
      </c>
      <c r="AI2392" s="3" t="n">
        <v>-2.982659</v>
      </c>
      <c r="AJ2392" s="3" t="n">
        <v>-2.845467</v>
      </c>
      <c r="AK2392" s="3" t="n">
        <v>-2.850017</v>
      </c>
      <c r="AL2392" s="3" t="n">
        <v>-2.682837</v>
      </c>
      <c r="AM2392" s="3" t="n"/>
      <c r="AN2392" s="3" t="n"/>
      <c r="AO2392" s="3" t="n"/>
      <c r="AP2392" s="3" t="n"/>
      <c r="AQ2392" s="3" t="n"/>
      <c r="AR2392" s="3" t="n"/>
      <c r="AS2392" s="3" t="n"/>
      <c r="AT2392" s="3" t="n"/>
      <c r="AU2392" s="3" t="n"/>
    </row>
    <row r="2393">
      <c r="A2393" s="3" t="n">
        <v>2031</v>
      </c>
      <c r="B2393" s="3" t="inlineStr">
        <is>
          <t>PHL</t>
        </is>
      </c>
      <c r="C2393" s="3" t="inlineStr">
        <is>
          <t>IMF.RES:WEO</t>
        </is>
      </c>
      <c r="D2393" s="3" t="inlineStr">
        <is>
          <t>PHL.GGR_NGDP.A</t>
        </is>
      </c>
      <c r="E2393" s="3" t="inlineStr">
        <is>
          <t>Philippines</t>
        </is>
      </c>
      <c r="F2393" s="3" t="inlineStr">
        <is>
          <t>Revenue, General government, Percent of GDP</t>
        </is>
      </c>
      <c r="G2393" s="3" t="n">
        <v>17.535414</v>
      </c>
      <c r="H2393" s="3" t="n">
        <v>17.522408</v>
      </c>
      <c r="I2393" s="3" t="n">
        <v>16.850672</v>
      </c>
      <c r="J2393" s="3" t="n">
        <v>16.920162</v>
      </c>
      <c r="K2393" s="3" t="n">
        <v>16.562864</v>
      </c>
      <c r="L2393" s="3" t="n">
        <v>17.116337</v>
      </c>
      <c r="M2393" s="3" t="n">
        <v>18.235929</v>
      </c>
      <c r="N2393" s="3" t="n">
        <v>17.898893</v>
      </c>
      <c r="O2393" s="3" t="n">
        <v>17.90063</v>
      </c>
      <c r="P2393" s="3" t="n">
        <v>16.640421</v>
      </c>
      <c r="Q2393" s="3" t="n">
        <v>16.094578</v>
      </c>
      <c r="R2393" s="3" t="n">
        <v>16.838294</v>
      </c>
      <c r="S2393" s="3" t="n">
        <v>17.486032</v>
      </c>
      <c r="T2393" s="3" t="n">
        <v>17.694163</v>
      </c>
      <c r="U2393" s="3" t="n">
        <v>18.152891</v>
      </c>
      <c r="V2393" s="3" t="n">
        <v>17.930359</v>
      </c>
      <c r="W2393" s="3" t="n">
        <v>18.266508</v>
      </c>
      <c r="X2393" s="3" t="n">
        <v>18.705604</v>
      </c>
      <c r="Y2393" s="3" t="n">
        <v>19.429486</v>
      </c>
      <c r="Z2393" s="3" t="n">
        <v>20.217079</v>
      </c>
      <c r="AA2393" s="3" t="n">
        <v>20.374466</v>
      </c>
      <c r="AB2393" s="3" t="n">
        <v>20.96676</v>
      </c>
      <c r="AC2393" s="3" t="n">
        <v>20.405731</v>
      </c>
      <c r="AD2393" s="3" t="n">
        <v>20.282316</v>
      </c>
      <c r="AE2393" s="3" t="n">
        <v>21.206087</v>
      </c>
      <c r="AF2393" s="3" t="n">
        <v>20.28949</v>
      </c>
      <c r="AG2393" s="3" t="n">
        <v>20.303684</v>
      </c>
      <c r="AH2393" s="3" t="n">
        <v>20.219826</v>
      </c>
      <c r="AI2393" s="3" t="n">
        <v>20.212056</v>
      </c>
      <c r="AJ2393" s="3" t="n">
        <v>20.177882</v>
      </c>
      <c r="AK2393" s="3" t="n">
        <v>20.179306</v>
      </c>
      <c r="AL2393" s="3" t="n">
        <v>20.118753</v>
      </c>
      <c r="AM2393" s="3" t="n"/>
      <c r="AN2393" s="3" t="n"/>
      <c r="AO2393" s="3" t="n"/>
      <c r="AP2393" s="3" t="n"/>
      <c r="AQ2393" s="3" t="n"/>
      <c r="AR2393" s="3" t="n"/>
      <c r="AS2393" s="3" t="n"/>
      <c r="AT2393" s="3" t="n"/>
      <c r="AU2393" s="3" t="n"/>
    </row>
    <row r="2394">
      <c r="A2394" s="3" t="n">
        <v>2031</v>
      </c>
      <c r="B2394" s="3" t="inlineStr">
        <is>
          <t>PHL</t>
        </is>
      </c>
      <c r="C2394" s="3" t="inlineStr">
        <is>
          <t>IMF.RES:WEO</t>
        </is>
      </c>
      <c r="D2394" s="3" t="inlineStr">
        <is>
          <t>PHL.GGX_NGDP.A</t>
        </is>
      </c>
      <c r="E2394" s="3" t="inlineStr">
        <is>
          <t>Philippines</t>
        </is>
      </c>
      <c r="F2394" s="3" t="inlineStr">
        <is>
          <t>Expenditure, General government, Percent of GDP</t>
        </is>
      </c>
      <c r="G2394" s="3" t="n">
        <v>20.809183</v>
      </c>
      <c r="H2394" s="3" t="n">
        <v>21.016529</v>
      </c>
      <c r="I2394" s="3" t="n">
        <v>20.557496</v>
      </c>
      <c r="J2394" s="3" t="n">
        <v>20.411223</v>
      </c>
      <c r="K2394" s="3" t="n">
        <v>19.369884</v>
      </c>
      <c r="L2394" s="3" t="n">
        <v>18.740976</v>
      </c>
      <c r="M2394" s="3" t="n">
        <v>18.282287</v>
      </c>
      <c r="N2394" s="3" t="n">
        <v>18.183817</v>
      </c>
      <c r="O2394" s="3" t="n">
        <v>17.884154</v>
      </c>
      <c r="P2394" s="3" t="n">
        <v>19.20931</v>
      </c>
      <c r="Q2394" s="3" t="n">
        <v>18.348217</v>
      </c>
      <c r="R2394" s="3" t="n">
        <v>17.217893</v>
      </c>
      <c r="S2394" s="3" t="n">
        <v>17.706023</v>
      </c>
      <c r="T2394" s="3" t="n">
        <v>17.325329</v>
      </c>
      <c r="U2394" s="3" t="n">
        <v>16.831493</v>
      </c>
      <c r="V2394" s="3" t="n">
        <v>17.786458</v>
      </c>
      <c r="W2394" s="3" t="n">
        <v>19.0111</v>
      </c>
      <c r="X2394" s="3" t="n">
        <v>19.457405</v>
      </c>
      <c r="Y2394" s="3" t="n">
        <v>20.91343</v>
      </c>
      <c r="Z2394" s="3" t="n">
        <v>21.7205</v>
      </c>
      <c r="AA2394" s="3" t="n">
        <v>25.920112</v>
      </c>
      <c r="AB2394" s="3" t="n">
        <v>27.19962</v>
      </c>
      <c r="AC2394" s="3" t="n">
        <v>25.88663</v>
      </c>
      <c r="AD2394" s="3" t="n">
        <v>24.659007</v>
      </c>
      <c r="AE2394" s="3" t="n">
        <v>25.643548</v>
      </c>
      <c r="AF2394" s="3" t="n">
        <v>24.26212</v>
      </c>
      <c r="AG2394" s="3" t="n">
        <v>23.981342</v>
      </c>
      <c r="AH2394" s="3" t="n">
        <v>23.060939</v>
      </c>
      <c r="AI2394" s="3" t="n">
        <v>22.733469</v>
      </c>
      <c r="AJ2394" s="3" t="n">
        <v>22.274479</v>
      </c>
      <c r="AK2394" s="3" t="n">
        <v>21.827156</v>
      </c>
      <c r="AL2394" s="3" t="n">
        <v>21.655575</v>
      </c>
      <c r="AM2394" s="3" t="n"/>
      <c r="AN2394" s="3" t="n"/>
      <c r="AO2394" s="3" t="n"/>
      <c r="AP2394" s="3" t="n"/>
      <c r="AQ2394" s="3" t="n"/>
      <c r="AR2394" s="3" t="n"/>
      <c r="AS2394" s="3" t="n"/>
      <c r="AT2394" s="3" t="n"/>
      <c r="AU2394" s="3" t="n"/>
    </row>
    <row r="2395">
      <c r="A2395" s="3" t="n">
        <v>2031</v>
      </c>
      <c r="B2395" s="3" t="inlineStr">
        <is>
          <t>PHL</t>
        </is>
      </c>
      <c r="C2395" s="3" t="inlineStr">
        <is>
          <t>IMF.RES:WEO</t>
        </is>
      </c>
      <c r="D2395" s="3" t="inlineStr">
        <is>
          <t>PHL.LP.A</t>
        </is>
      </c>
      <c r="E2395" s="3" t="inlineStr">
        <is>
          <t>Philippines</t>
        </is>
      </c>
      <c r="F2395" s="3" t="inlineStr">
        <is>
          <t>Population, Persons for countries / Index for country groups</t>
        </is>
      </c>
      <c r="G2395" s="3" t="n">
        <v>76.95</v>
      </c>
      <c r="H2395" s="3" t="n">
        <v>78.61</v>
      </c>
      <c r="I2395" s="3" t="n">
        <v>80.27</v>
      </c>
      <c r="J2395" s="3" t="n">
        <v>81.91</v>
      </c>
      <c r="K2395" s="3" t="n">
        <v>83.55</v>
      </c>
      <c r="L2395" s="3" t="n">
        <v>85.17</v>
      </c>
      <c r="M2395" s="3" t="n">
        <v>86.79000000000001</v>
      </c>
      <c r="N2395" s="3" t="n">
        <v>88.39</v>
      </c>
      <c r="O2395" s="3" t="n">
        <v>89.98</v>
      </c>
      <c r="P2395" s="3" t="n">
        <v>91.56</v>
      </c>
      <c r="Q2395" s="3" t="n">
        <v>93.14</v>
      </c>
      <c r="R2395" s="3" t="n">
        <v>94.7</v>
      </c>
      <c r="S2395" s="3" t="n">
        <v>96.25</v>
      </c>
      <c r="T2395" s="3" t="n">
        <v>97.79000000000001</v>
      </c>
      <c r="U2395" s="3" t="n">
        <v>99.31</v>
      </c>
      <c r="V2395" s="3" t="n">
        <v>100.83</v>
      </c>
      <c r="W2395" s="3" t="n">
        <v>102.53</v>
      </c>
      <c r="X2395" s="3" t="n">
        <v>104.17</v>
      </c>
      <c r="Y2395" s="3" t="n">
        <v>105.76</v>
      </c>
      <c r="Z2395" s="3" t="n">
        <v>107.29</v>
      </c>
      <c r="AA2395" s="3" t="n">
        <v>109.2</v>
      </c>
      <c r="AB2395" s="3" t="n">
        <v>110.08</v>
      </c>
      <c r="AC2395" s="3" t="n">
        <v>110.94</v>
      </c>
      <c r="AD2395" s="3" t="n">
        <v>111.91</v>
      </c>
      <c r="AE2395" s="3" t="n">
        <v>112.885</v>
      </c>
      <c r="AF2395" s="3" t="n">
        <v>114.085672</v>
      </c>
      <c r="AG2395" s="3" t="n">
        <v>115.299115</v>
      </c>
      <c r="AH2395" s="3" t="n">
        <v>116.525464</v>
      </c>
      <c r="AI2395" s="3" t="n">
        <v>117.764858</v>
      </c>
      <c r="AJ2395" s="3" t="n">
        <v>119.017433</v>
      </c>
      <c r="AK2395" s="3" t="n">
        <v>120.283331</v>
      </c>
      <c r="AL2395" s="3" t="n">
        <v>121.562694</v>
      </c>
      <c r="AM2395" s="3" t="n"/>
      <c r="AN2395" s="3" t="n"/>
      <c r="AO2395" s="3" t="n"/>
      <c r="AP2395" s="3" t="n"/>
      <c r="AQ2395" s="3" t="n"/>
      <c r="AR2395" s="3" t="n"/>
      <c r="AS2395" s="3" t="n"/>
      <c r="AT2395" s="3" t="n"/>
      <c r="AU2395" s="3" t="n"/>
    </row>
    <row r="2396">
      <c r="A2396" s="3" t="n">
        <v>2031</v>
      </c>
      <c r="B2396" s="3" t="inlineStr">
        <is>
          <t>PHL</t>
        </is>
      </c>
      <c r="C2396" s="3" t="inlineStr">
        <is>
          <t>IMF.RES:WEO</t>
        </is>
      </c>
      <c r="D2396" s="3" t="inlineStr">
        <is>
          <t>PHL.NGDP.A</t>
        </is>
      </c>
      <c r="E2396" s="3" t="inlineStr">
        <is>
          <t>Philippines</t>
        </is>
      </c>
      <c r="F2396" s="3" t="inlineStr">
        <is>
          <t>Gross domestic product (GDP), Current prices, Domestic currency</t>
        </is>
      </c>
      <c r="G2396" s="3" t="n">
        <v>3697.555</v>
      </c>
      <c r="H2396" s="3" t="n">
        <v>4024.399</v>
      </c>
      <c r="I2396" s="3" t="n">
        <v>4350.559</v>
      </c>
      <c r="J2396" s="3" t="n">
        <v>4717.811</v>
      </c>
      <c r="K2396" s="3" t="n">
        <v>5323.904</v>
      </c>
      <c r="L2396" s="3" t="n">
        <v>5917.28</v>
      </c>
      <c r="M2396" s="3" t="n">
        <v>6550.417</v>
      </c>
      <c r="N2396" s="3" t="n">
        <v>7198.243</v>
      </c>
      <c r="O2396" s="3" t="n">
        <v>8050.199</v>
      </c>
      <c r="P2396" s="3" t="n">
        <v>8390.421</v>
      </c>
      <c r="Q2396" s="3" t="n">
        <v>9399.450999999999</v>
      </c>
      <c r="R2396" s="3" t="n">
        <v>10144.662</v>
      </c>
      <c r="S2396" s="3" t="n">
        <v>11060.589</v>
      </c>
      <c r="T2396" s="3" t="n">
        <v>12050.593</v>
      </c>
      <c r="U2396" s="3" t="n">
        <v>13206.828</v>
      </c>
      <c r="V2396" s="3" t="n">
        <v>13944.159</v>
      </c>
      <c r="W2396" s="3" t="n">
        <v>15132.382</v>
      </c>
      <c r="X2396" s="3" t="n">
        <v>16556.651</v>
      </c>
      <c r="Y2396" s="3" t="n">
        <v>18265.191</v>
      </c>
      <c r="Z2396" s="3" t="n">
        <v>19517.864</v>
      </c>
      <c r="AA2396" s="3" t="n">
        <v>17951.575</v>
      </c>
      <c r="AB2396" s="3" t="n">
        <v>19410.616</v>
      </c>
      <c r="AC2396" s="3" t="n">
        <v>22028.276</v>
      </c>
      <c r="AD2396" s="3" t="n">
        <v>24313.564</v>
      </c>
      <c r="AE2396" s="3" t="n">
        <v>26446.369</v>
      </c>
      <c r="AF2396" s="3" t="n">
        <v>28014.264</v>
      </c>
      <c r="AG2396" s="3" t="n">
        <v>30221.109942</v>
      </c>
      <c r="AH2396" s="3" t="n">
        <v>32848.088374</v>
      </c>
      <c r="AI2396" s="3" t="n">
        <v>35732.754716</v>
      </c>
      <c r="AJ2396" s="3" t="n">
        <v>38848.79895</v>
      </c>
      <c r="AK2396" s="3" t="n">
        <v>42216.989185</v>
      </c>
      <c r="AL2396" s="3" t="n">
        <v>45876.96125</v>
      </c>
      <c r="AM2396" s="3" t="n"/>
      <c r="AN2396" s="3" t="n"/>
      <c r="AO2396" s="3" t="n"/>
      <c r="AP2396" s="3" t="n"/>
      <c r="AQ2396" s="3" t="n"/>
      <c r="AR2396" s="3" t="n"/>
      <c r="AS2396" s="3" t="n"/>
      <c r="AT2396" s="3" t="n"/>
      <c r="AU2396" s="3" t="n"/>
    </row>
    <row r="2397">
      <c r="A2397" s="3" t="n">
        <v>2031</v>
      </c>
      <c r="B2397" s="3" t="inlineStr">
        <is>
          <t>PHL</t>
        </is>
      </c>
      <c r="C2397" s="3" t="inlineStr">
        <is>
          <t>IMF.RES:WEO</t>
        </is>
      </c>
      <c r="D2397" s="3" t="inlineStr">
        <is>
          <t>PHL.NGDP_D.A</t>
        </is>
      </c>
      <c r="E2397" s="3" t="inlineStr">
        <is>
          <t>Philippines</t>
        </is>
      </c>
      <c r="F2397" s="3" t="inlineStr">
        <is>
          <t>Gross domestic product (GDP), Price deflator, Index</t>
        </is>
      </c>
      <c r="G2397" s="3" t="n">
        <v>52.932738</v>
      </c>
      <c r="H2397" s="3" t="n">
        <v>55.906994</v>
      </c>
      <c r="I2397" s="3" t="n">
        <v>58.272445</v>
      </c>
      <c r="J2397" s="3" t="n">
        <v>60.132618</v>
      </c>
      <c r="K2397" s="3" t="n">
        <v>63.674851</v>
      </c>
      <c r="L2397" s="3" t="n">
        <v>67.438586</v>
      </c>
      <c r="M2397" s="3" t="n">
        <v>70.885791</v>
      </c>
      <c r="N2397" s="3" t="n">
        <v>73.128804</v>
      </c>
      <c r="O2397" s="3" t="n">
        <v>78.378879</v>
      </c>
      <c r="P2397" s="3" t="n">
        <v>80.52511800000001</v>
      </c>
      <c r="Q2397" s="3" t="n">
        <v>84.04478400000001</v>
      </c>
      <c r="R2397" s="3" t="n">
        <v>87.338335</v>
      </c>
      <c r="S2397" s="3" t="n">
        <v>89.08000199999999</v>
      </c>
      <c r="T2397" s="3" t="n">
        <v>90.916006</v>
      </c>
      <c r="U2397" s="3" t="n">
        <v>93.691714</v>
      </c>
      <c r="V2397" s="3" t="n">
        <v>93.017447</v>
      </c>
      <c r="W2397" s="3" t="n">
        <v>94.20835</v>
      </c>
      <c r="X2397" s="3" t="n">
        <v>96.39422</v>
      </c>
      <c r="Y2397" s="3" t="n">
        <v>99.999995</v>
      </c>
      <c r="Z2397" s="3" t="n">
        <v>100.697079</v>
      </c>
      <c r="AA2397" s="3" t="n">
        <v>102.359087</v>
      </c>
      <c r="AB2397" s="3" t="n">
        <v>104.695416</v>
      </c>
      <c r="AC2397" s="3" t="n">
        <v>110.441759</v>
      </c>
      <c r="AD2397" s="3" t="n">
        <v>115.523657</v>
      </c>
      <c r="AE2397" s="3" t="n">
        <v>118.890243</v>
      </c>
      <c r="AF2397" s="3" t="n">
        <v>120.627064</v>
      </c>
      <c r="AG2397" s="3" t="n">
        <v>125.045193</v>
      </c>
      <c r="AH2397" s="3" t="n">
        <v>128.494907</v>
      </c>
      <c r="AI2397" s="3" t="n">
        <v>131.770551</v>
      </c>
      <c r="AJ2397" s="3" t="n">
        <v>135.081211</v>
      </c>
      <c r="AK2397" s="3" t="n">
        <v>138.475049</v>
      </c>
      <c r="AL2397" s="3" t="n">
        <v>141.954156</v>
      </c>
      <c r="AM2397" s="3" t="n"/>
      <c r="AN2397" s="3" t="n"/>
      <c r="AO2397" s="3" t="n"/>
      <c r="AP2397" s="3" t="n"/>
      <c r="AQ2397" s="3" t="n"/>
      <c r="AR2397" s="3" t="n"/>
      <c r="AS2397" s="3" t="n"/>
      <c r="AT2397" s="3" t="n"/>
      <c r="AU2397" s="3" t="n"/>
    </row>
    <row r="2398">
      <c r="A2398" s="3" t="n">
        <v>2031</v>
      </c>
      <c r="B2398" s="3" t="inlineStr">
        <is>
          <t>PHL</t>
        </is>
      </c>
      <c r="C2398" s="3" t="inlineStr">
        <is>
          <t>IMF.RES:WEO</t>
        </is>
      </c>
      <c r="D2398" s="3" t="inlineStr">
        <is>
          <t>PHL.NGDP_R.A</t>
        </is>
      </c>
      <c r="E2398" s="3" t="inlineStr">
        <is>
          <t>Philippines</t>
        </is>
      </c>
      <c r="F2398" s="3" t="inlineStr">
        <is>
          <t>Gross domestic product (GDP), Constant prices, Domestic currency</t>
        </is>
      </c>
      <c r="G2398" s="3" t="n">
        <v>6985.384</v>
      </c>
      <c r="H2398" s="3" t="n">
        <v>7198.382</v>
      </c>
      <c r="I2398" s="3" t="n">
        <v>7465.894</v>
      </c>
      <c r="J2398" s="3" t="n">
        <v>7845.677</v>
      </c>
      <c r="K2398" s="3" t="n">
        <v>8361.078</v>
      </c>
      <c r="L2398" s="3" t="n">
        <v>8774.324000000001</v>
      </c>
      <c r="M2398" s="3" t="n">
        <v>9240.804</v>
      </c>
      <c r="N2398" s="3" t="n">
        <v>9843.239</v>
      </c>
      <c r="O2398" s="3" t="n">
        <v>10270.878</v>
      </c>
      <c r="P2398" s="3" t="n">
        <v>10419.632</v>
      </c>
      <c r="Q2398" s="3" t="n">
        <v>11183.86</v>
      </c>
      <c r="R2398" s="3" t="n">
        <v>11615.36</v>
      </c>
      <c r="S2398" s="3" t="n">
        <v>12416.467</v>
      </c>
      <c r="T2398" s="3" t="n">
        <v>13254.644</v>
      </c>
      <c r="U2398" s="3" t="n">
        <v>14096.047</v>
      </c>
      <c r="V2398" s="3" t="n">
        <v>14990.907</v>
      </c>
      <c r="W2398" s="3" t="n">
        <v>16062.676</v>
      </c>
      <c r="X2398" s="3" t="n">
        <v>17175.979</v>
      </c>
      <c r="Y2398" s="3" t="n">
        <v>18265.192</v>
      </c>
      <c r="Z2398" s="3" t="n">
        <v>19382.751</v>
      </c>
      <c r="AA2398" s="3" t="n">
        <v>17537.842</v>
      </c>
      <c r="AB2398" s="3" t="n">
        <v>18540.082</v>
      </c>
      <c r="AC2398" s="3" t="n">
        <v>19945.604</v>
      </c>
      <c r="AD2398" s="3" t="n">
        <v>21046.394</v>
      </c>
      <c r="AE2398" s="3" t="n">
        <v>22244.356</v>
      </c>
      <c r="AF2398" s="3" t="n">
        <v>23223.863</v>
      </c>
      <c r="AG2398" s="3" t="n">
        <v>24168.150033</v>
      </c>
      <c r="AH2398" s="3" t="n">
        <v>25563.727905</v>
      </c>
      <c r="AI2398" s="3" t="n">
        <v>27117.405545</v>
      </c>
      <c r="AJ2398" s="3" t="n">
        <v>28759.587426</v>
      </c>
      <c r="AK2398" s="3" t="n">
        <v>30487.072885</v>
      </c>
      <c r="AL2398" s="3" t="n">
        <v>32318.152995</v>
      </c>
      <c r="AM2398" s="3" t="n"/>
      <c r="AN2398" s="3" t="n"/>
      <c r="AO2398" s="3" t="n"/>
      <c r="AP2398" s="3" t="n"/>
      <c r="AQ2398" s="3" t="n"/>
      <c r="AR2398" s="3" t="n"/>
      <c r="AS2398" s="3" t="n"/>
      <c r="AT2398" s="3" t="n"/>
      <c r="AU2398" s="3" t="n"/>
    </row>
    <row r="2399">
      <c r="A2399" s="3" t="n">
        <v>2031</v>
      </c>
      <c r="B2399" s="3" t="inlineStr">
        <is>
          <t>PHL</t>
        </is>
      </c>
      <c r="C2399" s="3" t="inlineStr">
        <is>
          <t>IMF.RES:WEO</t>
        </is>
      </c>
      <c r="D2399" s="3" t="inlineStr">
        <is>
          <t>PHL.NGDP_RPCH.A</t>
        </is>
      </c>
      <c r="E2399" s="3" t="inlineStr">
        <is>
          <t>Philippines</t>
        </is>
      </c>
      <c r="F2399" s="3" t="inlineStr">
        <is>
          <t>Gross domestic product (GDP), Constant prices, Percent change</t>
        </is>
      </c>
      <c r="G2399" s="3" t="n">
        <v>4.382541</v>
      </c>
      <c r="H2399" s="3" t="n">
        <v>3.049195</v>
      </c>
      <c r="I2399" s="3" t="n">
        <v>3.71628</v>
      </c>
      <c r="J2399" s="3" t="n">
        <v>5.086906</v>
      </c>
      <c r="K2399" s="3" t="n">
        <v>6.569236</v>
      </c>
      <c r="L2399" s="3" t="n">
        <v>4.942497</v>
      </c>
      <c r="M2399" s="3" t="n">
        <v>5.316421</v>
      </c>
      <c r="N2399" s="3" t="n">
        <v>6.519292</v>
      </c>
      <c r="O2399" s="3" t="n">
        <v>4.344495</v>
      </c>
      <c r="P2399" s="3" t="n">
        <v>1.448309</v>
      </c>
      <c r="Q2399" s="3" t="n">
        <v>7.334501</v>
      </c>
      <c r="R2399" s="3" t="n">
        <v>3.858239</v>
      </c>
      <c r="S2399" s="3" t="n">
        <v>6.896962</v>
      </c>
      <c r="T2399" s="3" t="n">
        <v>6.750527</v>
      </c>
      <c r="U2399" s="3" t="n">
        <v>6.347986</v>
      </c>
      <c r="V2399" s="3" t="n">
        <v>6.348305</v>
      </c>
      <c r="W2399" s="3" t="n">
        <v>7.149461</v>
      </c>
      <c r="X2399" s="3" t="n">
        <v>6.930993</v>
      </c>
      <c r="Y2399" s="3" t="n">
        <v>6.34149</v>
      </c>
      <c r="Z2399" s="3" t="n">
        <v>6.118518</v>
      </c>
      <c r="AA2399" s="3" t="n">
        <v>-9.518303</v>
      </c>
      <c r="AB2399" s="3" t="n">
        <v>5.714728</v>
      </c>
      <c r="AC2399" s="3" t="n">
        <v>7.580991</v>
      </c>
      <c r="AD2399" s="3" t="n">
        <v>5.51896</v>
      </c>
      <c r="AE2399" s="3" t="n">
        <v>5.692006</v>
      </c>
      <c r="AF2399" s="3" t="n">
        <v>4.403396</v>
      </c>
      <c r="AG2399" s="3" t="n">
        <v>4.066021</v>
      </c>
      <c r="AH2399" s="3" t="n">
        <v>5.774451</v>
      </c>
      <c r="AI2399" s="3" t="n">
        <v>6.077665</v>
      </c>
      <c r="AJ2399" s="3" t="n">
        <v>6.055822</v>
      </c>
      <c r="AK2399" s="3" t="n">
        <v>6.006642</v>
      </c>
      <c r="AL2399" s="3" t="n">
        <v>6.006087</v>
      </c>
      <c r="AM2399" s="3" t="n"/>
      <c r="AN2399" s="3" t="n"/>
      <c r="AO2399" s="3" t="n"/>
      <c r="AP2399" s="3" t="n"/>
      <c r="AQ2399" s="3" t="n"/>
      <c r="AR2399" s="3" t="n"/>
      <c r="AS2399" s="3" t="n"/>
      <c r="AT2399" s="3" t="n"/>
      <c r="AU2399" s="3" t="n"/>
    </row>
    <row r="2400">
      <c r="A2400" s="3" t="n">
        <v>2031</v>
      </c>
      <c r="B2400" s="3" t="inlineStr">
        <is>
          <t>PHL</t>
        </is>
      </c>
      <c r="C2400" s="3" t="inlineStr">
        <is>
          <t>IMF.RES:WEO</t>
        </is>
      </c>
      <c r="D2400" s="3" t="inlineStr">
        <is>
          <t>PHL.NGDPD.A</t>
        </is>
      </c>
      <c r="E2400" s="3" t="inlineStr">
        <is>
          <t>Philippines</t>
        </is>
      </c>
      <c r="F2400" s="3" t="inlineStr">
        <is>
          <t>Gross domestic product (GDP), Current prices, US dollar</t>
        </is>
      </c>
      <c r="G2400" s="3" t="n">
        <v>83.666748</v>
      </c>
      <c r="H2400" s="3" t="n">
        <v>78.921055</v>
      </c>
      <c r="I2400" s="3" t="n">
        <v>84.307331</v>
      </c>
      <c r="J2400" s="3" t="n">
        <v>87.03913</v>
      </c>
      <c r="K2400" s="3" t="n">
        <v>95.001997</v>
      </c>
      <c r="L2400" s="3" t="n">
        <v>107.419936</v>
      </c>
      <c r="M2400" s="3" t="n">
        <v>127.652919</v>
      </c>
      <c r="N2400" s="3" t="n">
        <v>155.980366</v>
      </c>
      <c r="O2400" s="3" t="n">
        <v>181.0068</v>
      </c>
      <c r="P2400" s="3" t="n">
        <v>176.131607</v>
      </c>
      <c r="Q2400" s="3" t="n">
        <v>208.368848</v>
      </c>
      <c r="R2400" s="3" t="n">
        <v>234.216721</v>
      </c>
      <c r="S2400" s="3" t="n">
        <v>261.920462</v>
      </c>
      <c r="T2400" s="3" t="n">
        <v>283.902864</v>
      </c>
      <c r="U2400" s="3" t="n">
        <v>297.483521</v>
      </c>
      <c r="V2400" s="3" t="n">
        <v>306.44595</v>
      </c>
      <c r="W2400" s="3" t="n">
        <v>318.62694</v>
      </c>
      <c r="X2400" s="3" t="n">
        <v>328.480757</v>
      </c>
      <c r="Y2400" s="3" t="n">
        <v>346.841889</v>
      </c>
      <c r="Z2400" s="3" t="n">
        <v>376.823416</v>
      </c>
      <c r="AA2400" s="3" t="n">
        <v>361.751145</v>
      </c>
      <c r="AB2400" s="3" t="n">
        <v>394.087375</v>
      </c>
      <c r="AC2400" s="3" t="n">
        <v>404.353259</v>
      </c>
      <c r="AD2400" s="3" t="n">
        <v>437.055417</v>
      </c>
      <c r="AE2400" s="3" t="n">
        <v>461.617273</v>
      </c>
      <c r="AF2400" s="3" t="n">
        <v>487.161382</v>
      </c>
      <c r="AG2400" s="3" t="n">
        <v>512.222202</v>
      </c>
      <c r="AH2400" s="3" t="n">
        <v>556.747261</v>
      </c>
      <c r="AI2400" s="3" t="n">
        <v>605.63991</v>
      </c>
      <c r="AJ2400" s="3" t="n">
        <v>658.454219</v>
      </c>
      <c r="AK2400" s="3" t="n">
        <v>715.54219</v>
      </c>
      <c r="AL2400" s="3" t="n">
        <v>777.575614</v>
      </c>
      <c r="AM2400" s="3" t="n"/>
      <c r="AN2400" s="3" t="n"/>
      <c r="AO2400" s="3" t="n"/>
      <c r="AP2400" s="3" t="n"/>
      <c r="AQ2400" s="3" t="n"/>
      <c r="AR2400" s="3" t="n"/>
      <c r="AS2400" s="3" t="n"/>
      <c r="AT2400" s="3" t="n"/>
      <c r="AU2400" s="3" t="n"/>
    </row>
    <row r="2401">
      <c r="A2401" s="3" t="n">
        <v>2031</v>
      </c>
      <c r="B2401" s="3" t="inlineStr">
        <is>
          <t>PHL</t>
        </is>
      </c>
      <c r="C2401" s="3" t="inlineStr">
        <is>
          <t>IMF.RES:WEO</t>
        </is>
      </c>
      <c r="D2401" s="3" t="inlineStr">
        <is>
          <t>PHL.NGDPPC.A</t>
        </is>
      </c>
      <c r="E2401" s="3" t="inlineStr">
        <is>
          <t>Philippines</t>
        </is>
      </c>
      <c r="F2401" s="3" t="inlineStr">
        <is>
          <t>Gross domestic product (GDP), Current prices, Per capita, Domestic currency</t>
        </is>
      </c>
      <c r="G2401" s="3" t="n">
        <v>48051.397011</v>
      </c>
      <c r="H2401" s="3" t="n">
        <v>51194.491795</v>
      </c>
      <c r="I2401" s="3" t="n">
        <v>54199.065653</v>
      </c>
      <c r="J2401" s="3" t="n">
        <v>57597.497253</v>
      </c>
      <c r="K2401" s="3" t="n">
        <v>63721.17295</v>
      </c>
      <c r="L2401" s="3" t="n">
        <v>69476.10661</v>
      </c>
      <c r="M2401" s="3" t="n">
        <v>75474.32884</v>
      </c>
      <c r="N2401" s="3" t="n">
        <v>81437.3006</v>
      </c>
      <c r="O2401" s="3" t="n">
        <v>89466.537008</v>
      </c>
      <c r="P2401" s="3" t="n">
        <v>91638.499345</v>
      </c>
      <c r="Q2401" s="3" t="n">
        <v>100917.446854</v>
      </c>
      <c r="R2401" s="3" t="n">
        <v>107124.202746</v>
      </c>
      <c r="S2401" s="3" t="n">
        <v>114915.21039</v>
      </c>
      <c r="T2401" s="3" t="n">
        <v>123229.297474</v>
      </c>
      <c r="U2401" s="3" t="n">
        <v>132985.88259</v>
      </c>
      <c r="V2401" s="3" t="n">
        <v>138293.75186</v>
      </c>
      <c r="W2401" s="3" t="n">
        <v>147589.798108</v>
      </c>
      <c r="X2401" s="3" t="n">
        <v>158938.76356</v>
      </c>
      <c r="Y2401" s="3" t="n">
        <v>172704.150908</v>
      </c>
      <c r="Z2401" s="3" t="n">
        <v>181916.898127</v>
      </c>
      <c r="AA2401" s="3" t="n">
        <v>164391.712454</v>
      </c>
      <c r="AB2401" s="3" t="n">
        <v>176331.90407</v>
      </c>
      <c r="AC2401" s="3" t="n">
        <v>198560.266811</v>
      </c>
      <c r="AD2401" s="3" t="n">
        <v>217259.976767</v>
      </c>
      <c r="AE2401" s="3" t="n">
        <v>234277.087301</v>
      </c>
      <c r="AF2401" s="3" t="n">
        <v>245554.620938</v>
      </c>
      <c r="AG2401" s="3" t="n">
        <v>262110.510679</v>
      </c>
      <c r="AH2401" s="3" t="n">
        <v>281896.223516</v>
      </c>
      <c r="AI2401" s="3" t="n">
        <v>303424.599301</v>
      </c>
      <c r="AJ2401" s="3" t="n">
        <v>326412.676908</v>
      </c>
      <c r="AK2401" s="3" t="n">
        <v>350979.547094</v>
      </c>
      <c r="AL2401" s="3" t="n">
        <v>377393.423113</v>
      </c>
      <c r="AM2401" s="3" t="n"/>
      <c r="AN2401" s="3" t="n"/>
      <c r="AO2401" s="3" t="n"/>
      <c r="AP2401" s="3" t="n"/>
      <c r="AQ2401" s="3" t="n"/>
      <c r="AR2401" s="3" t="n"/>
      <c r="AS2401" s="3" t="n"/>
      <c r="AT2401" s="3" t="n"/>
      <c r="AU2401" s="3" t="n"/>
    </row>
    <row r="2402">
      <c r="A2402" s="3" t="n">
        <v>2031</v>
      </c>
      <c r="B2402" s="3" t="inlineStr">
        <is>
          <t>PHL</t>
        </is>
      </c>
      <c r="C2402" s="3" t="inlineStr">
        <is>
          <t>IMF.RES:WEO</t>
        </is>
      </c>
      <c r="D2402" s="3" t="inlineStr">
        <is>
          <t>PHL.NGDPRPC.A</t>
        </is>
      </c>
      <c r="E2402" s="3" t="inlineStr">
        <is>
          <t>Philippines</t>
        </is>
      </c>
      <c r="F2402" s="3" t="inlineStr">
        <is>
          <t>Gross domestic product (GDP), Constant prices, Per capita, Domestic currency</t>
        </is>
      </c>
      <c r="G2402" s="3" t="n">
        <v>90778.219623</v>
      </c>
      <c r="H2402" s="3" t="n">
        <v>91570.817962</v>
      </c>
      <c r="I2402" s="3" t="n">
        <v>93009.767036</v>
      </c>
      <c r="J2402" s="3" t="n">
        <v>95784.116713</v>
      </c>
      <c r="K2402" s="3" t="n">
        <v>100072.746858</v>
      </c>
      <c r="L2402" s="3" t="n">
        <v>103021.298579</v>
      </c>
      <c r="M2402" s="3" t="n">
        <v>106473.142067</v>
      </c>
      <c r="N2402" s="3" t="n">
        <v>111361.454916</v>
      </c>
      <c r="O2402" s="3" t="n">
        <v>114146.232496</v>
      </c>
      <c r="P2402" s="3" t="n">
        <v>113801.135867</v>
      </c>
      <c r="Q2402" s="3" t="n">
        <v>120075.799871</v>
      </c>
      <c r="R2402" s="3" t="n">
        <v>122654.276663</v>
      </c>
      <c r="S2402" s="3" t="n">
        <v>129002.254545</v>
      </c>
      <c r="T2402" s="3" t="n">
        <v>135541.916351</v>
      </c>
      <c r="U2402" s="3" t="n">
        <v>141939.854999</v>
      </c>
      <c r="V2402" s="3" t="n">
        <v>148675.066944</v>
      </c>
      <c r="W2402" s="3" t="n">
        <v>156663.181508</v>
      </c>
      <c r="X2402" s="3" t="n">
        <v>164884.122108</v>
      </c>
      <c r="Y2402" s="3" t="n">
        <v>172704.160363</v>
      </c>
      <c r="Z2402" s="3" t="n">
        <v>180657.572933</v>
      </c>
      <c r="AA2402" s="3" t="n">
        <v>160602.948718</v>
      </c>
      <c r="AB2402" s="3" t="n">
        <v>168423.710029</v>
      </c>
      <c r="AC2402" s="3" t="n">
        <v>179787.308455</v>
      </c>
      <c r="AD2402" s="3" t="n">
        <v>188065.35609</v>
      </c>
      <c r="AE2402" s="3" t="n">
        <v>197053.248882</v>
      </c>
      <c r="AF2402" s="3" t="n">
        <v>203565.115103</v>
      </c>
      <c r="AG2402" s="3" t="n">
        <v>209612.623737</v>
      </c>
      <c r="AH2402" s="3" t="n">
        <v>219383.188245</v>
      </c>
      <c r="AI2402" s="3" t="n">
        <v>230267.382884</v>
      </c>
      <c r="AJ2402" s="3" t="n">
        <v>241641.805473</v>
      </c>
      <c r="AK2402" s="3" t="n">
        <v>253460.496356</v>
      </c>
      <c r="AL2402" s="3" t="n">
        <v>265855.84693</v>
      </c>
      <c r="AM2402" s="3" t="n"/>
      <c r="AN2402" s="3" t="n"/>
      <c r="AO2402" s="3" t="n"/>
      <c r="AP2402" s="3" t="n"/>
      <c r="AQ2402" s="3" t="n"/>
      <c r="AR2402" s="3" t="n"/>
      <c r="AS2402" s="3" t="n"/>
      <c r="AT2402" s="3" t="n"/>
      <c r="AU2402" s="3" t="n"/>
    </row>
    <row r="2403">
      <c r="A2403" s="3" t="n">
        <v>2031</v>
      </c>
      <c r="B2403" s="3" t="inlineStr">
        <is>
          <t>PHL</t>
        </is>
      </c>
      <c r="C2403" s="3" t="inlineStr">
        <is>
          <t>IMF.RES:WEO</t>
        </is>
      </c>
      <c r="D2403" s="3" t="inlineStr">
        <is>
          <t>PHL.PCPI.A</t>
        </is>
      </c>
      <c r="E2403" s="3" t="inlineStr">
        <is>
          <t>Philippines</t>
        </is>
      </c>
      <c r="F2403" s="3" t="inlineStr">
        <is>
          <t>All Items, Consumer price index (CPI), Period average</t>
        </is>
      </c>
      <c r="G2403" s="3" t="n">
        <v>50.191667</v>
      </c>
      <c r="H2403" s="3" t="n">
        <v>52.9</v>
      </c>
      <c r="I2403" s="3" t="n">
        <v>54.358333</v>
      </c>
      <c r="J2403" s="3" t="n">
        <v>55.566667</v>
      </c>
      <c r="K2403" s="3" t="n">
        <v>58.233333</v>
      </c>
      <c r="L2403" s="3" t="n">
        <v>62.1</v>
      </c>
      <c r="M2403" s="3" t="n">
        <v>65.483333</v>
      </c>
      <c r="N2403" s="3" t="n">
        <v>67.391667</v>
      </c>
      <c r="O2403" s="3" t="n">
        <v>72.925</v>
      </c>
      <c r="P2403" s="3" t="n">
        <v>76.016667</v>
      </c>
      <c r="Q2403" s="3" t="n">
        <v>78.858333</v>
      </c>
      <c r="R2403" s="3" t="n">
        <v>82.59999999999999</v>
      </c>
      <c r="S2403" s="3" t="n">
        <v>85.208333</v>
      </c>
      <c r="T2403" s="3" t="n">
        <v>87.416667</v>
      </c>
      <c r="U2403" s="3" t="n">
        <v>90.558333</v>
      </c>
      <c r="V2403" s="3" t="n">
        <v>91.183333</v>
      </c>
      <c r="W2403" s="3" t="n">
        <v>92.308333</v>
      </c>
      <c r="X2403" s="3" t="n">
        <v>94.941667</v>
      </c>
      <c r="Y2403" s="3" t="n">
        <v>99.983333</v>
      </c>
      <c r="Z2403" s="3" t="n">
        <v>102.375</v>
      </c>
      <c r="AA2403" s="3" t="n">
        <v>104.825</v>
      </c>
      <c r="AB2403" s="3" t="n">
        <v>108.941667</v>
      </c>
      <c r="AC2403" s="3" t="n">
        <v>115.283333</v>
      </c>
      <c r="AD2403" s="3" t="n">
        <v>122.175</v>
      </c>
      <c r="AE2403" s="3" t="n">
        <v>126.1</v>
      </c>
      <c r="AF2403" s="3" t="n">
        <v>128.191667</v>
      </c>
      <c r="AG2403" s="3" t="n">
        <v>133.668885</v>
      </c>
      <c r="AH2403" s="3" t="n">
        <v>138.004235</v>
      </c>
      <c r="AI2403" s="3" t="n">
        <v>142.204999</v>
      </c>
      <c r="AJ2403" s="3" t="n">
        <v>146.471149</v>
      </c>
      <c r="AK2403" s="3" t="n">
        <v>150.865283</v>
      </c>
      <c r="AL2403" s="3" t="n">
        <v>155.391242</v>
      </c>
      <c r="AM2403" s="3" t="n"/>
      <c r="AN2403" s="3" t="n"/>
      <c r="AO2403" s="3" t="n"/>
      <c r="AP2403" s="3" t="n"/>
      <c r="AQ2403" s="3" t="n"/>
      <c r="AR2403" s="3" t="n"/>
      <c r="AS2403" s="3" t="n"/>
      <c r="AT2403" s="3" t="n"/>
      <c r="AU2403" s="3" t="n"/>
    </row>
    <row r="2404">
      <c r="A2404" s="3" t="n">
        <v>2031</v>
      </c>
      <c r="B2404" s="3" t="inlineStr">
        <is>
          <t>PHL</t>
        </is>
      </c>
      <c r="C2404" s="3" t="inlineStr">
        <is>
          <t>IMF.RES:WEO</t>
        </is>
      </c>
      <c r="D2404" s="3" t="inlineStr">
        <is>
          <t>PHL.PCPIPCH.A</t>
        </is>
      </c>
      <c r="E2404" s="3" t="inlineStr">
        <is>
          <t>Philippines</t>
        </is>
      </c>
      <c r="F2404" s="3" t="inlineStr">
        <is>
          <t>All Items, Consumer price index (CPI), Period average, percent change</t>
        </is>
      </c>
      <c r="G2404" s="3" t="n">
        <v>6.545197</v>
      </c>
      <c r="H2404" s="3" t="n">
        <v>5.395982</v>
      </c>
      <c r="I2404" s="3" t="n">
        <v>2.756774</v>
      </c>
      <c r="J2404" s="3" t="n">
        <v>2.222904</v>
      </c>
      <c r="K2404" s="3" t="n">
        <v>4.79904</v>
      </c>
      <c r="L2404" s="3" t="n">
        <v>6.639954</v>
      </c>
      <c r="M2404" s="3" t="n">
        <v>5.448202</v>
      </c>
      <c r="N2404" s="3" t="n">
        <v>2.914228</v>
      </c>
      <c r="O2404" s="3" t="n">
        <v>8.210709</v>
      </c>
      <c r="P2404" s="3" t="n">
        <v>4.239515</v>
      </c>
      <c r="Q2404" s="3" t="n">
        <v>3.738215</v>
      </c>
      <c r="R2404" s="3" t="n">
        <v>4.744796</v>
      </c>
      <c r="S2404" s="3" t="n">
        <v>3.157789</v>
      </c>
      <c r="T2404" s="3" t="n">
        <v>2.591687</v>
      </c>
      <c r="U2404" s="3" t="n">
        <v>3.593899</v>
      </c>
      <c r="V2404" s="3" t="n">
        <v>0.690163</v>
      </c>
      <c r="W2404" s="3" t="n">
        <v>1.233778</v>
      </c>
      <c r="X2404" s="3" t="n">
        <v>2.852758</v>
      </c>
      <c r="Y2404" s="3" t="n">
        <v>5.310278</v>
      </c>
      <c r="Z2404" s="3" t="n">
        <v>2.392065</v>
      </c>
      <c r="AA2404" s="3" t="n">
        <v>2.393162</v>
      </c>
      <c r="AB2404" s="3" t="n">
        <v>3.92718</v>
      </c>
      <c r="AC2404" s="3" t="n">
        <v>5.821158</v>
      </c>
      <c r="AD2404" s="3" t="n">
        <v>5.978025</v>
      </c>
      <c r="AE2404" s="3" t="n">
        <v>3.212605</v>
      </c>
      <c r="AF2404" s="3" t="n">
        <v>1.658736</v>
      </c>
      <c r="AG2404" s="3" t="n">
        <v>4.272679</v>
      </c>
      <c r="AH2404" s="3" t="n">
        <v>3.24335</v>
      </c>
      <c r="AI2404" s="3" t="n">
        <v>3.043938</v>
      </c>
      <c r="AJ2404" s="3" t="n">
        <v>3</v>
      </c>
      <c r="AK2404" s="3" t="n">
        <v>3</v>
      </c>
      <c r="AL2404" s="3" t="n">
        <v>3</v>
      </c>
      <c r="AM2404" s="3" t="n"/>
      <c r="AN2404" s="3" t="n"/>
      <c r="AO2404" s="3" t="n"/>
      <c r="AP2404" s="3" t="n"/>
      <c r="AQ2404" s="3" t="n"/>
      <c r="AR2404" s="3" t="n"/>
      <c r="AS2404" s="3" t="n"/>
      <c r="AT2404" s="3" t="n"/>
      <c r="AU2404" s="3" t="n"/>
    </row>
    <row r="2405">
      <c r="A2405" s="3" t="n">
        <v>2031</v>
      </c>
      <c r="B2405" s="3" t="inlineStr">
        <is>
          <t>PHL</t>
        </is>
      </c>
      <c r="C2405" s="3" t="inlineStr">
        <is>
          <t>IMF.RES:WEO</t>
        </is>
      </c>
      <c r="D2405" s="3" t="inlineStr">
        <is>
          <t>PHL.PPPPC.A</t>
        </is>
      </c>
      <c r="E2405" s="3" t="inlineStr">
        <is>
          <t>Philippines</t>
        </is>
      </c>
      <c r="F2405" s="3" t="inlineStr">
        <is>
          <t>Gross domestic product (GDP), Per capita, purchasing power parity (PPP) international dollar, ICP benchmarks 2017-2021</t>
        </is>
      </c>
      <c r="G2405" s="3" t="n">
        <v>3230.46989</v>
      </c>
      <c r="H2405" s="3" t="n">
        <v>3332.048614</v>
      </c>
      <c r="I2405" s="3" t="n">
        <v>3437.003537</v>
      </c>
      <c r="J2405" s="3" t="n">
        <v>3609.402335</v>
      </c>
      <c r="K2405" s="3" t="n">
        <v>3872.40738</v>
      </c>
      <c r="L2405" s="3" t="n">
        <v>4111.513947</v>
      </c>
      <c r="M2405" s="3" t="n">
        <v>4380.317435</v>
      </c>
      <c r="N2405" s="3" t="n">
        <v>4705.546321</v>
      </c>
      <c r="O2405" s="3" t="n">
        <v>4916.131281</v>
      </c>
      <c r="P2405" s="3" t="n">
        <v>4931.496591</v>
      </c>
      <c r="Q2405" s="3" t="n">
        <v>5266.645848</v>
      </c>
      <c r="R2405" s="3" t="n">
        <v>5490.737851</v>
      </c>
      <c r="S2405" s="3" t="n">
        <v>5882.436176</v>
      </c>
      <c r="T2405" s="3" t="n">
        <v>6285.836196</v>
      </c>
      <c r="U2405" s="3" t="n">
        <v>6697.193522</v>
      </c>
      <c r="V2405" s="3" t="n">
        <v>7080.085956</v>
      </c>
      <c r="W2405" s="3" t="n">
        <v>7531.380934</v>
      </c>
      <c r="X2405" s="3" t="n">
        <v>8068.548593</v>
      </c>
      <c r="Y2405" s="3" t="n">
        <v>8650.556323000001</v>
      </c>
      <c r="Z2405" s="3" t="n">
        <v>9216.443681000001</v>
      </c>
      <c r="AA2405" s="3" t="n">
        <v>8455.739694</v>
      </c>
      <c r="AB2405" s="3" t="n">
        <v>9100.876967</v>
      </c>
      <c r="AC2405" s="3" t="n">
        <v>10405.880916</v>
      </c>
      <c r="AD2405" s="3" t="n">
        <v>11287.75352</v>
      </c>
      <c r="AE2405" s="3" t="n">
        <v>12120.826024</v>
      </c>
      <c r="AF2405" s="3" t="n">
        <v>12876.575718</v>
      </c>
      <c r="AG2405" s="3" t="n">
        <v>13638.96659</v>
      </c>
      <c r="AH2405" s="3" t="n">
        <v>14588.171371</v>
      </c>
      <c r="AI2405" s="3" t="n">
        <v>15563.258665</v>
      </c>
      <c r="AJ2405" s="3" t="n">
        <v>16622.431741</v>
      </c>
      <c r="AK2405" s="3" t="n">
        <v>17755.814985</v>
      </c>
      <c r="AL2405" s="3" t="n">
        <v>18960.37584</v>
      </c>
      <c r="AM2405" s="3" t="n"/>
      <c r="AN2405" s="3" t="n"/>
      <c r="AO2405" s="3" t="n"/>
      <c r="AP2405" s="3" t="n"/>
      <c r="AQ2405" s="3" t="n"/>
      <c r="AR2405" s="3" t="n"/>
      <c r="AS2405" s="3" t="n"/>
      <c r="AT2405" s="3" t="n"/>
      <c r="AU2405" s="3" t="n"/>
    </row>
    <row r="2406">
      <c r="A2406" s="3" t="n">
        <v>2025</v>
      </c>
      <c r="B2406" s="3" t="inlineStr">
        <is>
          <t>PHL</t>
        </is>
      </c>
      <c r="C2406" s="3" t="inlineStr">
        <is>
          <t>IMF.STA:ER</t>
        </is>
      </c>
      <c r="D2406" s="3" t="inlineStr">
        <is>
          <t>PHL.XDC_USD.PA_RT.A</t>
        </is>
      </c>
      <c r="E2406" s="3" t="inlineStr">
        <is>
          <t>Philippines</t>
        </is>
      </c>
      <c r="F2406" s="3" t="inlineStr">
        <is>
          <t>Domestic currency per US Dollar</t>
        </is>
      </c>
      <c r="G2406" s="3" t="n">
        <v>44.19225</v>
      </c>
      <c r="H2406" s="3" t="n">
        <v>50.99265</v>
      </c>
      <c r="I2406" s="3" t="n">
        <v>51.6035666666666</v>
      </c>
      <c r="J2406" s="3" t="n">
        <v>54.2033333333333</v>
      </c>
      <c r="K2406" s="3" t="n">
        <v>56.0399166666666</v>
      </c>
      <c r="L2406" s="3" t="n">
        <v>55.0854916666666</v>
      </c>
      <c r="M2406" s="3" t="n">
        <v>51.3142725</v>
      </c>
      <c r="N2406" s="3" t="n">
        <v>46.148391177755</v>
      </c>
      <c r="O2406" s="3" t="n">
        <v>44.3232876094099</v>
      </c>
      <c r="P2406" s="3" t="n">
        <v>47.679688453509</v>
      </c>
      <c r="Q2406" s="3" t="n">
        <v>45.1096641800895</v>
      </c>
      <c r="R2406" s="3" t="n">
        <v>43.3131369237487</v>
      </c>
      <c r="S2406" s="3" t="n">
        <v>42.2287947349434</v>
      </c>
      <c r="T2406" s="3" t="n">
        <v>42.4461848306739</v>
      </c>
      <c r="U2406" s="3" t="n">
        <v>44.3951543042097</v>
      </c>
      <c r="V2406" s="3" t="n">
        <v>45.5028399421431</v>
      </c>
      <c r="W2406" s="3" t="n">
        <v>47.4924638585099</v>
      </c>
      <c r="X2406" s="3" t="n">
        <v>50.4037197937177</v>
      </c>
      <c r="Y2406" s="3" t="n">
        <v>52.6614299539682</v>
      </c>
      <c r="Z2406" s="3" t="n">
        <v>51.7957826517332</v>
      </c>
      <c r="AA2406" s="3" t="n">
        <v>49.6240960026328</v>
      </c>
      <c r="AB2406" s="3" t="n">
        <v>49.2545977288412</v>
      </c>
      <c r="AC2406" s="3" t="n">
        <v>54.4777858372049</v>
      </c>
      <c r="AD2406" s="3" t="n">
        <v>55.630363223193</v>
      </c>
      <c r="AE2406" s="3" t="n">
        <v>57.2906550699734</v>
      </c>
      <c r="AF2406" s="3" t="n">
        <v>57.5050971489714</v>
      </c>
      <c r="AG2406" s="3" t="n"/>
      <c r="AH2406" s="3" t="n"/>
      <c r="AI2406" s="3" t="n"/>
      <c r="AJ2406" s="3" t="n"/>
      <c r="AK2406" s="3" t="n"/>
      <c r="AL2406" s="3" t="n"/>
      <c r="AM2406" s="3" t="n"/>
      <c r="AN2406" s="3" t="n"/>
      <c r="AO2406" s="3" t="n"/>
      <c r="AP2406" s="3" t="n"/>
      <c r="AQ2406" s="3" t="n"/>
      <c r="AR2406" s="3" t="n"/>
      <c r="AS2406" s="3" t="n"/>
      <c r="AT2406" s="3" t="n"/>
      <c r="AU2406" s="3" t="n"/>
    </row>
    <row r="2407">
      <c r="A2407" s="3" t="n">
        <v>2031</v>
      </c>
      <c r="B2407" s="3" t="inlineStr">
        <is>
          <t>PLW</t>
        </is>
      </c>
      <c r="C2407" s="3" t="inlineStr">
        <is>
          <t>IMF.RES:WEO</t>
        </is>
      </c>
      <c r="D2407" s="3" t="inlineStr">
        <is>
          <t>PLW.BCA.A</t>
        </is>
      </c>
      <c r="E2407" s="3" t="inlineStr">
        <is>
          <t>Palau, Republic of</t>
        </is>
      </c>
      <c r="F2407" s="3" t="inlineStr">
        <is>
          <t>Current account balance (credit less debit), US dollar</t>
        </is>
      </c>
      <c r="G2407" s="3" t="n">
        <v>-0.075616</v>
      </c>
      <c r="H2407" s="3" t="n">
        <v>-0.051942</v>
      </c>
      <c r="I2407" s="3" t="n">
        <v>-0.048776</v>
      </c>
      <c r="J2407" s="3" t="n">
        <v>-0.042532</v>
      </c>
      <c r="K2407" s="3" t="n">
        <v>-0.057726</v>
      </c>
      <c r="L2407" s="3" t="n">
        <v>-0.050028</v>
      </c>
      <c r="M2407" s="3" t="n">
        <v>-0.053632</v>
      </c>
      <c r="N2407" s="3" t="n">
        <v>-0.04154</v>
      </c>
      <c r="O2407" s="3" t="n">
        <v>-0.045779</v>
      </c>
      <c r="P2407" s="3" t="n">
        <v>-0.02509</v>
      </c>
      <c r="Q2407" s="3" t="n">
        <v>-0.022319</v>
      </c>
      <c r="R2407" s="3" t="n">
        <v>-0.032762</v>
      </c>
      <c r="S2407" s="3" t="n">
        <v>-0.041495</v>
      </c>
      <c r="T2407" s="3" t="n">
        <v>-0.040537</v>
      </c>
      <c r="U2407" s="3" t="n">
        <v>-0.055744</v>
      </c>
      <c r="V2407" s="3" t="n">
        <v>-0.037744</v>
      </c>
      <c r="W2407" s="3" t="n">
        <v>-0.048619</v>
      </c>
      <c r="X2407" s="3" t="n">
        <v>-0.066053</v>
      </c>
      <c r="Y2407" s="3" t="n">
        <v>-0.053495</v>
      </c>
      <c r="Z2407" s="3" t="n">
        <v>-0.09499</v>
      </c>
      <c r="AA2407" s="3" t="n">
        <v>-0.112861</v>
      </c>
      <c r="AB2407" s="3" t="n">
        <v>-0.102346</v>
      </c>
      <c r="AC2407" s="3" t="n">
        <v>-0.111577</v>
      </c>
      <c r="AD2407" s="3" t="n">
        <v>-0.105363</v>
      </c>
      <c r="AE2407" s="3" t="n">
        <v>-0.065092</v>
      </c>
      <c r="AF2407" s="3" t="n">
        <v>-0.06564399999999999</v>
      </c>
      <c r="AG2407" s="3" t="n">
        <v>-0.064958</v>
      </c>
      <c r="AH2407" s="3" t="n">
        <v>-0.060287</v>
      </c>
      <c r="AI2407" s="3" t="n">
        <v>-0.055618</v>
      </c>
      <c r="AJ2407" s="3" t="n">
        <v>-0.051436</v>
      </c>
      <c r="AK2407" s="3" t="n">
        <v>-0.059592</v>
      </c>
      <c r="AL2407" s="3" t="n">
        <v>-0.059388</v>
      </c>
      <c r="AM2407" s="3" t="n"/>
      <c r="AN2407" s="3" t="n"/>
      <c r="AO2407" s="3" t="n"/>
      <c r="AP2407" s="3" t="n"/>
      <c r="AQ2407" s="3" t="n"/>
      <c r="AR2407" s="3" t="n"/>
      <c r="AS2407" s="3" t="n"/>
      <c r="AT2407" s="3" t="n"/>
      <c r="AU2407" s="3" t="n"/>
    </row>
    <row r="2408">
      <c r="A2408" s="3" t="n">
        <v>2031</v>
      </c>
      <c r="B2408" s="3" t="inlineStr">
        <is>
          <t>PLW</t>
        </is>
      </c>
      <c r="C2408" s="3" t="inlineStr">
        <is>
          <t>IMF.RES:WEO</t>
        </is>
      </c>
      <c r="D2408" s="3" t="inlineStr">
        <is>
          <t>PLW.BCA_NGDPD.A</t>
        </is>
      </c>
      <c r="E2408" s="3" t="inlineStr">
        <is>
          <t>Palau, Republic of</t>
        </is>
      </c>
      <c r="F2408" s="3" t="inlineStr">
        <is>
          <t>Current account balance (credit less debit), Percent of GDP</t>
        </is>
      </c>
      <c r="G2408" s="3" t="n">
        <v>-50.561774</v>
      </c>
      <c r="H2408" s="3" t="n">
        <v>-32.576232</v>
      </c>
      <c r="I2408" s="3" t="n">
        <v>-29.98683</v>
      </c>
      <c r="J2408" s="3" t="n">
        <v>-27.516729</v>
      </c>
      <c r="K2408" s="3" t="n">
        <v>-34.698717</v>
      </c>
      <c r="L2408" s="3" t="n">
        <v>-26.946431</v>
      </c>
      <c r="M2408" s="3" t="n">
        <v>-28.111803</v>
      </c>
      <c r="N2408" s="3" t="n">
        <v>-21.192392</v>
      </c>
      <c r="O2408" s="3" t="n">
        <v>-22.99913</v>
      </c>
      <c r="P2408" s="3" t="n">
        <v>-13.63212</v>
      </c>
      <c r="Q2408" s="3" t="n">
        <v>-12.110702</v>
      </c>
      <c r="R2408" s="3" t="n">
        <v>-16.786871</v>
      </c>
      <c r="S2408" s="3" t="n">
        <v>-19.306244</v>
      </c>
      <c r="T2408" s="3" t="n">
        <v>-17.916087</v>
      </c>
      <c r="U2408" s="3" t="n">
        <v>-22.712099</v>
      </c>
      <c r="V2408" s="3" t="n">
        <v>-13.32638</v>
      </c>
      <c r="W2408" s="3" t="n">
        <v>-16.02865</v>
      </c>
      <c r="X2408" s="3" t="n">
        <v>-22.778016</v>
      </c>
      <c r="Y2408" s="3" t="n">
        <v>-18.559902</v>
      </c>
      <c r="Z2408" s="3" t="n">
        <v>-33.68989</v>
      </c>
      <c r="AA2408" s="3" t="n">
        <v>-43.578046</v>
      </c>
      <c r="AB2408" s="3" t="n">
        <v>-43.37874</v>
      </c>
      <c r="AC2408" s="3" t="n">
        <v>-45.086974</v>
      </c>
      <c r="AD2408" s="3" t="n">
        <v>-38.153348</v>
      </c>
      <c r="AE2408" s="3" t="n">
        <v>-20.246179</v>
      </c>
      <c r="AF2408" s="3" t="n">
        <v>-19.004088</v>
      </c>
      <c r="AG2408" s="3" t="n">
        <v>-17.212883</v>
      </c>
      <c r="AH2408" s="3" t="n">
        <v>-15.154438</v>
      </c>
      <c r="AI2408" s="3" t="n">
        <v>-13.283497</v>
      </c>
      <c r="AJ2408" s="3" t="n">
        <v>-11.731503</v>
      </c>
      <c r="AK2408" s="3" t="n">
        <v>-13.067879</v>
      </c>
      <c r="AL2408" s="3" t="n">
        <v>-12.520879</v>
      </c>
      <c r="AM2408" s="3" t="n"/>
      <c r="AN2408" s="3" t="n"/>
      <c r="AO2408" s="3" t="n"/>
      <c r="AP2408" s="3" t="n"/>
      <c r="AQ2408" s="3" t="n"/>
      <c r="AR2408" s="3" t="n"/>
      <c r="AS2408" s="3" t="n"/>
      <c r="AT2408" s="3" t="n"/>
      <c r="AU2408" s="3" t="n"/>
    </row>
    <row r="2409">
      <c r="A2409" s="3" t="n">
        <v>2031</v>
      </c>
      <c r="B2409" s="3" t="inlineStr">
        <is>
          <t>PLW</t>
        </is>
      </c>
      <c r="C2409" s="3" t="inlineStr">
        <is>
          <t>IMF.RES:WEO</t>
        </is>
      </c>
      <c r="D2409" s="3" t="inlineStr">
        <is>
          <t>PLW.GGR_NGDP.A</t>
        </is>
      </c>
      <c r="E2409" s="3" t="inlineStr">
        <is>
          <t>Palau, Republic of</t>
        </is>
      </c>
      <c r="F2409" s="3" t="inlineStr">
        <is>
          <t>Revenue, General government, Percent of GDP</t>
        </is>
      </c>
      <c r="G2409" s="3" t="n">
        <v>43.159478</v>
      </c>
      <c r="H2409" s="3" t="n">
        <v>32.868053</v>
      </c>
      <c r="I2409" s="3" t="n">
        <v>35.857747</v>
      </c>
      <c r="J2409" s="3" t="n">
        <v>45.049082</v>
      </c>
      <c r="K2409" s="3" t="n">
        <v>43.72477</v>
      </c>
      <c r="L2409" s="3" t="n">
        <v>41.679033</v>
      </c>
      <c r="M2409" s="3" t="n">
        <v>45.675244</v>
      </c>
      <c r="N2409" s="3" t="n">
        <v>46.985013</v>
      </c>
      <c r="O2409" s="3" t="n">
        <v>42.623065</v>
      </c>
      <c r="P2409" s="3" t="n">
        <v>40.191237</v>
      </c>
      <c r="Q2409" s="3" t="n">
        <v>46.506974</v>
      </c>
      <c r="R2409" s="3" t="n">
        <v>44.698724</v>
      </c>
      <c r="S2409" s="3" t="n">
        <v>44.217189</v>
      </c>
      <c r="T2409" s="3" t="n">
        <v>40.669342</v>
      </c>
      <c r="U2409" s="3" t="n">
        <v>43.435389</v>
      </c>
      <c r="V2409" s="3" t="n">
        <v>40.555682</v>
      </c>
      <c r="W2409" s="3" t="n">
        <v>41.111239</v>
      </c>
      <c r="X2409" s="3" t="n">
        <v>39.644276</v>
      </c>
      <c r="Y2409" s="3" t="n">
        <v>43.969668</v>
      </c>
      <c r="Z2409" s="3" t="n">
        <v>42.354898</v>
      </c>
      <c r="AA2409" s="3" t="n">
        <v>45.193608</v>
      </c>
      <c r="AB2409" s="3" t="n">
        <v>55.974721</v>
      </c>
      <c r="AC2409" s="3" t="n">
        <v>59.450995</v>
      </c>
      <c r="AD2409" s="3" t="n">
        <v>48.143257</v>
      </c>
      <c r="AE2409" s="3" t="n">
        <v>53.81629</v>
      </c>
      <c r="AF2409" s="3" t="n">
        <v>53.844476</v>
      </c>
      <c r="AG2409" s="3" t="n">
        <v>52.254957</v>
      </c>
      <c r="AH2409" s="3" t="n">
        <v>52.033527</v>
      </c>
      <c r="AI2409" s="3" t="n">
        <v>51.663976</v>
      </c>
      <c r="AJ2409" s="3" t="n">
        <v>51.399508</v>
      </c>
      <c r="AK2409" s="3" t="n">
        <v>50.827429</v>
      </c>
      <c r="AL2409" s="3" t="n">
        <v>50.68707</v>
      </c>
      <c r="AM2409" s="3" t="n"/>
      <c r="AN2409" s="3" t="n"/>
      <c r="AO2409" s="3" t="n"/>
      <c r="AP2409" s="3" t="n"/>
      <c r="AQ2409" s="3" t="n"/>
      <c r="AR2409" s="3" t="n"/>
      <c r="AS2409" s="3" t="n"/>
      <c r="AT2409" s="3" t="n"/>
      <c r="AU2409" s="3" t="n"/>
    </row>
    <row r="2410">
      <c r="A2410" s="3" t="n">
        <v>2031</v>
      </c>
      <c r="B2410" s="3" t="inlineStr">
        <is>
          <t>PLW</t>
        </is>
      </c>
      <c r="C2410" s="3" t="inlineStr">
        <is>
          <t>IMF.RES:WEO</t>
        </is>
      </c>
      <c r="D2410" s="3" t="inlineStr">
        <is>
          <t>PLW.GGX_NGDP.A</t>
        </is>
      </c>
      <c r="E2410" s="3" t="inlineStr">
        <is>
          <t>Palau, Republic of</t>
        </is>
      </c>
      <c r="F2410" s="3" t="inlineStr">
        <is>
          <t>Expenditure, General government, Percent of GDP</t>
        </is>
      </c>
      <c r="G2410" s="3" t="n">
        <v>56.585821</v>
      </c>
      <c r="H2410" s="3" t="n">
        <v>49.551927</v>
      </c>
      <c r="I2410" s="3" t="n">
        <v>48.556857</v>
      </c>
      <c r="J2410" s="3" t="n">
        <v>51.957823</v>
      </c>
      <c r="K2410" s="3" t="n">
        <v>48.540556</v>
      </c>
      <c r="L2410" s="3" t="n">
        <v>40.297128</v>
      </c>
      <c r="M2410" s="3" t="n">
        <v>45.532186</v>
      </c>
      <c r="N2410" s="3" t="n">
        <v>49.063404</v>
      </c>
      <c r="O2410" s="3" t="n">
        <v>44.328803</v>
      </c>
      <c r="P2410" s="3" t="n">
        <v>42.327466</v>
      </c>
      <c r="Q2410" s="3" t="n">
        <v>47.780793</v>
      </c>
      <c r="R2410" s="3" t="n">
        <v>43.412192</v>
      </c>
      <c r="S2410" s="3" t="n">
        <v>43.2343</v>
      </c>
      <c r="T2410" s="3" t="n">
        <v>40.124822</v>
      </c>
      <c r="U2410" s="3" t="n">
        <v>39.842345</v>
      </c>
      <c r="V2410" s="3" t="n">
        <v>35.476848</v>
      </c>
      <c r="W2410" s="3" t="n">
        <v>37.59578</v>
      </c>
      <c r="X2410" s="3" t="n">
        <v>34.888655</v>
      </c>
      <c r="Y2410" s="3" t="n">
        <v>37.784913</v>
      </c>
      <c r="Z2410" s="3" t="n">
        <v>42.714704</v>
      </c>
      <c r="AA2410" s="3" t="n">
        <v>58.215673</v>
      </c>
      <c r="AB2410" s="3" t="n">
        <v>65.914778</v>
      </c>
      <c r="AC2410" s="3" t="n">
        <v>63.706933</v>
      </c>
      <c r="AD2410" s="3" t="n">
        <v>50.425227</v>
      </c>
      <c r="AE2410" s="3" t="n">
        <v>52.583529</v>
      </c>
      <c r="AF2410" s="3" t="n">
        <v>52.119318</v>
      </c>
      <c r="AG2410" s="3" t="n">
        <v>51.502877</v>
      </c>
      <c r="AH2410" s="3" t="n">
        <v>51.085282</v>
      </c>
      <c r="AI2410" s="3" t="n">
        <v>50.921186</v>
      </c>
      <c r="AJ2410" s="3" t="n">
        <v>50.856427</v>
      </c>
      <c r="AK2410" s="3" t="n">
        <v>50.756704</v>
      </c>
      <c r="AL2410" s="3" t="n">
        <v>50.578044</v>
      </c>
      <c r="AM2410" s="3" t="n"/>
      <c r="AN2410" s="3" t="n"/>
      <c r="AO2410" s="3" t="n"/>
      <c r="AP2410" s="3" t="n"/>
      <c r="AQ2410" s="3" t="n"/>
      <c r="AR2410" s="3" t="n"/>
      <c r="AS2410" s="3" t="n"/>
      <c r="AT2410" s="3" t="n"/>
      <c r="AU2410" s="3" t="n"/>
    </row>
    <row r="2411">
      <c r="A2411" s="3" t="n">
        <v>2031</v>
      </c>
      <c r="B2411" s="3" t="inlineStr">
        <is>
          <t>PLW</t>
        </is>
      </c>
      <c r="C2411" s="3" t="inlineStr">
        <is>
          <t>IMF.RES:WEO</t>
        </is>
      </c>
      <c r="D2411" s="3" t="inlineStr">
        <is>
          <t>PLW.LP.A</t>
        </is>
      </c>
      <c r="E2411" s="3" t="inlineStr">
        <is>
          <t>Palau, Republic of</t>
        </is>
      </c>
      <c r="F2411" s="3" t="inlineStr">
        <is>
          <t>Population, Persons for countries / Index for country groups</t>
        </is>
      </c>
      <c r="G2411" s="3" t="n">
        <v>0.019129</v>
      </c>
      <c r="H2411" s="3" t="n">
        <v>0.019282</v>
      </c>
      <c r="I2411" s="3" t="n">
        <v>0.019436</v>
      </c>
      <c r="J2411" s="3" t="n">
        <v>0.019592</v>
      </c>
      <c r="K2411" s="3" t="n">
        <v>0.019749</v>
      </c>
      <c r="L2411" s="3" t="n">
        <v>0.019907</v>
      </c>
      <c r="M2411" s="3" t="n">
        <v>0.019535</v>
      </c>
      <c r="N2411" s="3" t="n">
        <v>0.01917</v>
      </c>
      <c r="O2411" s="3" t="n">
        <v>0.018812</v>
      </c>
      <c r="P2411" s="3" t="n">
        <v>0.01846</v>
      </c>
      <c r="Q2411" s="3" t="n">
        <v>0.018116</v>
      </c>
      <c r="R2411" s="3" t="n">
        <v>0.017777</v>
      </c>
      <c r="S2411" s="3" t="n">
        <v>0.017445</v>
      </c>
      <c r="T2411" s="3" t="n">
        <v>0.017517</v>
      </c>
      <c r="U2411" s="3" t="n">
        <v>0.017589</v>
      </c>
      <c r="V2411" s="3" t="n">
        <v>0.017661</v>
      </c>
      <c r="W2411" s="3" t="n">
        <v>0.017653</v>
      </c>
      <c r="X2411" s="3" t="n">
        <v>0.017645</v>
      </c>
      <c r="Y2411" s="3" t="n">
        <v>0.017637</v>
      </c>
      <c r="Z2411" s="3" t="n">
        <v>0.01763</v>
      </c>
      <c r="AA2411" s="3" t="n">
        <v>0.017622</v>
      </c>
      <c r="AB2411" s="3" t="n">
        <v>0.017614</v>
      </c>
      <c r="AC2411" s="3" t="n">
        <v>0.017606</v>
      </c>
      <c r="AD2411" s="3" t="n">
        <v>0.017598</v>
      </c>
      <c r="AE2411" s="3" t="n">
        <v>0.017591</v>
      </c>
      <c r="AF2411" s="3" t="n">
        <v>0.017548</v>
      </c>
      <c r="AG2411" s="3" t="n">
        <v>0.017495</v>
      </c>
      <c r="AH2411" s="3" t="n">
        <v>0.017446</v>
      </c>
      <c r="AI2411" s="3" t="n">
        <v>0.017376</v>
      </c>
      <c r="AJ2411" s="3" t="n">
        <v>0.017318</v>
      </c>
      <c r="AK2411" s="3" t="n">
        <v>0.01725</v>
      </c>
      <c r="AL2411" s="3" t="n">
        <v>0.01717</v>
      </c>
      <c r="AM2411" s="3" t="n"/>
      <c r="AN2411" s="3" t="n"/>
      <c r="AO2411" s="3" t="n"/>
      <c r="AP2411" s="3" t="n"/>
      <c r="AQ2411" s="3" t="n"/>
      <c r="AR2411" s="3" t="n"/>
      <c r="AS2411" s="3" t="n"/>
      <c r="AT2411" s="3" t="n"/>
      <c r="AU2411" s="3" t="n"/>
    </row>
    <row r="2412">
      <c r="A2412" s="3" t="n">
        <v>2031</v>
      </c>
      <c r="B2412" s="3" t="inlineStr">
        <is>
          <t>PLW</t>
        </is>
      </c>
      <c r="C2412" s="3" t="inlineStr">
        <is>
          <t>IMF.RES:WEO</t>
        </is>
      </c>
      <c r="D2412" s="3" t="inlineStr">
        <is>
          <t>PLW.NGDP.A</t>
        </is>
      </c>
      <c r="E2412" s="3" t="inlineStr">
        <is>
          <t>Palau, Republic of</t>
        </is>
      </c>
      <c r="F2412" s="3" t="inlineStr">
        <is>
          <t>Gross domestic product (GDP), Current prices, Domestic currency</t>
        </is>
      </c>
      <c r="G2412" s="3" t="n">
        <v>0.149552</v>
      </c>
      <c r="H2412" s="3" t="n">
        <v>0.159446</v>
      </c>
      <c r="I2412" s="3" t="n">
        <v>0.162659</v>
      </c>
      <c r="J2412" s="3" t="n">
        <v>0.154567</v>
      </c>
      <c r="K2412" s="3" t="n">
        <v>0.166364</v>
      </c>
      <c r="L2412" s="3" t="n">
        <v>0.185658</v>
      </c>
      <c r="M2412" s="3" t="n">
        <v>0.19078</v>
      </c>
      <c r="N2412" s="3" t="n">
        <v>0.196013</v>
      </c>
      <c r="O2412" s="3" t="n">
        <v>0.199047</v>
      </c>
      <c r="P2412" s="3" t="n">
        <v>0.184051</v>
      </c>
      <c r="Q2412" s="3" t="n">
        <v>0.184292</v>
      </c>
      <c r="R2412" s="3" t="n">
        <v>0.195164</v>
      </c>
      <c r="S2412" s="3" t="n">
        <v>0.214928</v>
      </c>
      <c r="T2412" s="3" t="n">
        <v>0.226258</v>
      </c>
      <c r="U2412" s="3" t="n">
        <v>0.245437</v>
      </c>
      <c r="V2412" s="3" t="n">
        <v>0.283225</v>
      </c>
      <c r="W2412" s="3" t="n">
        <v>0.303326</v>
      </c>
      <c r="X2412" s="3" t="n">
        <v>0.289984</v>
      </c>
      <c r="Y2412" s="3" t="n">
        <v>0.288228</v>
      </c>
      <c r="Z2412" s="3" t="n">
        <v>0.281954</v>
      </c>
      <c r="AA2412" s="3" t="n">
        <v>0.258986</v>
      </c>
      <c r="AB2412" s="3" t="n">
        <v>0.235936</v>
      </c>
      <c r="AC2412" s="3" t="n">
        <v>0.247471</v>
      </c>
      <c r="AD2412" s="3" t="n">
        <v>0.276157</v>
      </c>
      <c r="AE2412" s="3" t="n">
        <v>0.321502</v>
      </c>
      <c r="AF2412" s="3" t="n">
        <v>0.345423</v>
      </c>
      <c r="AG2412" s="3" t="n">
        <v>0.377378</v>
      </c>
      <c r="AH2412" s="3" t="n">
        <v>0.397817</v>
      </c>
      <c r="AI2412" s="3" t="n">
        <v>0.418703</v>
      </c>
      <c r="AJ2412" s="3" t="n">
        <v>0.438447</v>
      </c>
      <c r="AK2412" s="3" t="n">
        <v>0.456017</v>
      </c>
      <c r="AL2412" s="3" t="n">
        <v>0.47431</v>
      </c>
      <c r="AM2412" s="3" t="n"/>
      <c r="AN2412" s="3" t="n"/>
      <c r="AO2412" s="3" t="n"/>
      <c r="AP2412" s="3" t="n"/>
      <c r="AQ2412" s="3" t="n"/>
      <c r="AR2412" s="3" t="n"/>
      <c r="AS2412" s="3" t="n"/>
      <c r="AT2412" s="3" t="n"/>
      <c r="AU2412" s="3" t="n"/>
    </row>
    <row r="2413">
      <c r="A2413" s="3" t="n">
        <v>2031</v>
      </c>
      <c r="B2413" s="3" t="inlineStr">
        <is>
          <t>PLW</t>
        </is>
      </c>
      <c r="C2413" s="3" t="inlineStr">
        <is>
          <t>IMF.RES:WEO</t>
        </is>
      </c>
      <c r="D2413" s="3" t="inlineStr">
        <is>
          <t>PLW.NGDP_D.A</t>
        </is>
      </c>
      <c r="E2413" s="3" t="inlineStr">
        <is>
          <t>Palau, Republic of</t>
        </is>
      </c>
      <c r="F2413" s="3" t="inlineStr">
        <is>
          <t>Gross domestic product (GDP), Price deflator, Index</t>
        </is>
      </c>
      <c r="G2413" s="3" t="n">
        <v>62.881401</v>
      </c>
      <c r="H2413" s="3" t="n">
        <v>62.453921</v>
      </c>
      <c r="I2413" s="3" t="n">
        <v>60.84347</v>
      </c>
      <c r="J2413" s="3" t="n">
        <v>59.07358</v>
      </c>
      <c r="K2413" s="3" t="n">
        <v>61.448425</v>
      </c>
      <c r="L2413" s="3" t="n">
        <v>66.65225599999999</v>
      </c>
      <c r="M2413" s="3" t="n">
        <v>68.334298</v>
      </c>
      <c r="N2413" s="3" t="n">
        <v>69.730363</v>
      </c>
      <c r="O2413" s="3" t="n">
        <v>74.973113</v>
      </c>
      <c r="P2413" s="3" t="n">
        <v>73.902947</v>
      </c>
      <c r="Q2413" s="3" t="n">
        <v>76.30979499999999</v>
      </c>
      <c r="R2413" s="3" t="n">
        <v>77.29779600000001</v>
      </c>
      <c r="S2413" s="3" t="n">
        <v>83.40665799999999</v>
      </c>
      <c r="T2413" s="3" t="n">
        <v>89.044274</v>
      </c>
      <c r="U2413" s="3" t="n">
        <v>92.686369</v>
      </c>
      <c r="V2413" s="3" t="n">
        <v>98.51400599999999</v>
      </c>
      <c r="W2413" s="3" t="n">
        <v>103.776422</v>
      </c>
      <c r="X2413" s="3" t="n">
        <v>102.726297</v>
      </c>
      <c r="Y2413" s="3" t="n">
        <v>102.532683</v>
      </c>
      <c r="Z2413" s="3" t="n">
        <v>100</v>
      </c>
      <c r="AA2413" s="3" t="n">
        <v>97.724659</v>
      </c>
      <c r="AB2413" s="3" t="n">
        <v>101.069031</v>
      </c>
      <c r="AC2413" s="3" t="n">
        <v>106.503355</v>
      </c>
      <c r="AD2413" s="3" t="n">
        <v>117.413341</v>
      </c>
      <c r="AE2413" s="3" t="n">
        <v>122.040224</v>
      </c>
      <c r="AF2413" s="3" t="n">
        <v>123.321924</v>
      </c>
      <c r="AG2413" s="3" t="n">
        <v>130.426553</v>
      </c>
      <c r="AH2413" s="3" t="n">
        <v>133.745653</v>
      </c>
      <c r="AI2413" s="3" t="n">
        <v>136.43848</v>
      </c>
      <c r="AJ2413" s="3" t="n">
        <v>139.222343</v>
      </c>
      <c r="AK2413" s="3" t="n">
        <v>142.007231</v>
      </c>
      <c r="AL2413" s="3" t="n">
        <v>144.847375</v>
      </c>
      <c r="AM2413" s="3" t="n"/>
      <c r="AN2413" s="3" t="n"/>
      <c r="AO2413" s="3" t="n"/>
      <c r="AP2413" s="3" t="n"/>
      <c r="AQ2413" s="3" t="n"/>
      <c r="AR2413" s="3" t="n"/>
      <c r="AS2413" s="3" t="n"/>
      <c r="AT2413" s="3" t="n"/>
      <c r="AU2413" s="3" t="n"/>
    </row>
    <row r="2414">
      <c r="A2414" s="3" t="n">
        <v>2031</v>
      </c>
      <c r="B2414" s="3" t="inlineStr">
        <is>
          <t>PLW</t>
        </is>
      </c>
      <c r="C2414" s="3" t="inlineStr">
        <is>
          <t>IMF.RES:WEO</t>
        </is>
      </c>
      <c r="D2414" s="3" t="inlineStr">
        <is>
          <t>PLW.NGDP_R.A</t>
        </is>
      </c>
      <c r="E2414" s="3" t="inlineStr">
        <is>
          <t>Palau, Republic of</t>
        </is>
      </c>
      <c r="F2414" s="3" t="inlineStr">
        <is>
          <t>Gross domestic product (GDP), Constant prices, Domestic currency</t>
        </is>
      </c>
      <c r="G2414" s="3" t="n">
        <v>0.237832</v>
      </c>
      <c r="H2414" s="3" t="n">
        <v>0.255302</v>
      </c>
      <c r="I2414" s="3" t="n">
        <v>0.26734</v>
      </c>
      <c r="J2414" s="3" t="n">
        <v>0.261652</v>
      </c>
      <c r="K2414" s="3" t="n">
        <v>0.270737</v>
      </c>
      <c r="L2414" s="3" t="n">
        <v>0.278547</v>
      </c>
      <c r="M2414" s="3" t="n">
        <v>0.279187</v>
      </c>
      <c r="N2414" s="3" t="n">
        <v>0.281102</v>
      </c>
      <c r="O2414" s="3" t="n">
        <v>0.265491</v>
      </c>
      <c r="P2414" s="3" t="n">
        <v>0.249044</v>
      </c>
      <c r="Q2414" s="3" t="n">
        <v>0.241505</v>
      </c>
      <c r="R2414" s="3" t="n">
        <v>0.252483</v>
      </c>
      <c r="S2414" s="3" t="n">
        <v>0.257687</v>
      </c>
      <c r="T2414" s="3" t="n">
        <v>0.254096</v>
      </c>
      <c r="U2414" s="3" t="n">
        <v>0.264803</v>
      </c>
      <c r="V2414" s="3" t="n">
        <v>0.287497</v>
      </c>
      <c r="W2414" s="3" t="n">
        <v>0.292288</v>
      </c>
      <c r="X2414" s="3" t="n">
        <v>0.282288</v>
      </c>
      <c r="Y2414" s="3" t="n">
        <v>0.281109</v>
      </c>
      <c r="Z2414" s="3" t="n">
        <v>0.281954</v>
      </c>
      <c r="AA2414" s="3" t="n">
        <v>0.265016</v>
      </c>
      <c r="AB2414" s="3" t="n">
        <v>0.23344</v>
      </c>
      <c r="AC2414" s="3" t="n">
        <v>0.23236</v>
      </c>
      <c r="AD2414" s="3" t="n">
        <v>0.235201</v>
      </c>
      <c r="AE2414" s="3" t="n">
        <v>0.263439</v>
      </c>
      <c r="AF2414" s="3" t="n">
        <v>0.280098</v>
      </c>
      <c r="AG2414" s="3" t="n">
        <v>0.289342</v>
      </c>
      <c r="AH2414" s="3" t="n">
        <v>0.297443</v>
      </c>
      <c r="AI2414" s="3" t="n">
        <v>0.306881</v>
      </c>
      <c r="AJ2414" s="3" t="n">
        <v>0.314925</v>
      </c>
      <c r="AK2414" s="3" t="n">
        <v>0.321123</v>
      </c>
      <c r="AL2414" s="3" t="n">
        <v>0.327455</v>
      </c>
      <c r="AM2414" s="3" t="n"/>
      <c r="AN2414" s="3" t="n"/>
      <c r="AO2414" s="3" t="n"/>
      <c r="AP2414" s="3" t="n"/>
      <c r="AQ2414" s="3" t="n"/>
      <c r="AR2414" s="3" t="n"/>
      <c r="AS2414" s="3" t="n"/>
      <c r="AT2414" s="3" t="n"/>
      <c r="AU2414" s="3" t="n"/>
    </row>
    <row r="2415">
      <c r="A2415" s="3" t="n">
        <v>2031</v>
      </c>
      <c r="B2415" s="3" t="inlineStr">
        <is>
          <t>PLW</t>
        </is>
      </c>
      <c r="C2415" s="3" t="inlineStr">
        <is>
          <t>IMF.RES:WEO</t>
        </is>
      </c>
      <c r="D2415" s="3" t="inlineStr">
        <is>
          <t>PLW.NGDP_RPCH.A</t>
        </is>
      </c>
      <c r="E2415" s="3" t="inlineStr">
        <is>
          <t>Palau, Republic of</t>
        </is>
      </c>
      <c r="F2415" s="3" t="inlineStr">
        <is>
          <t>Gross domestic product (GDP), Constant prices, Percent change</t>
        </is>
      </c>
      <c r="G2415" s="3" t="n"/>
      <c r="H2415" s="3" t="n">
        <v>7.345756</v>
      </c>
      <c r="I2415" s="3" t="n">
        <v>4.71501</v>
      </c>
      <c r="J2415" s="3" t="n">
        <v>-2.127751</v>
      </c>
      <c r="K2415" s="3" t="n">
        <v>3.472396</v>
      </c>
      <c r="L2415" s="3" t="n">
        <v>2.884832</v>
      </c>
      <c r="M2415" s="3" t="n">
        <v>0.229517</v>
      </c>
      <c r="N2415" s="3" t="n">
        <v>0.685842</v>
      </c>
      <c r="O2415" s="3" t="n">
        <v>-5.553298</v>
      </c>
      <c r="P2415" s="3" t="n">
        <v>-6.195157</v>
      </c>
      <c r="Q2415" s="3" t="n">
        <v>-3.026817</v>
      </c>
      <c r="R2415" s="3" t="n">
        <v>4.545342</v>
      </c>
      <c r="S2415" s="3" t="n">
        <v>2.061329</v>
      </c>
      <c r="T2415" s="3" t="n">
        <v>-1.393683</v>
      </c>
      <c r="U2415" s="3" t="n">
        <v>4.213924</v>
      </c>
      <c r="V2415" s="3" t="n">
        <v>8.570005999999999</v>
      </c>
      <c r="W2415" s="3" t="n">
        <v>1.666507</v>
      </c>
      <c r="X2415" s="3" t="n">
        <v>-3.421432</v>
      </c>
      <c r="Y2415" s="3" t="n">
        <v>-0.417626</v>
      </c>
      <c r="Z2415" s="3" t="n">
        <v>0.300684</v>
      </c>
      <c r="AA2415" s="3" t="n">
        <v>-6.007407</v>
      </c>
      <c r="AB2415" s="3" t="n">
        <v>-11.91464</v>
      </c>
      <c r="AC2415" s="3" t="n">
        <v>-0.46288</v>
      </c>
      <c r="AD2415" s="3" t="n">
        <v>1.222848</v>
      </c>
      <c r="AE2415" s="3" t="n">
        <v>12.005972</v>
      </c>
      <c r="AF2415" s="3" t="n">
        <v>6.323744</v>
      </c>
      <c r="AG2415" s="3" t="n">
        <v>3.3</v>
      </c>
      <c r="AH2415" s="3" t="n">
        <v>2.8</v>
      </c>
      <c r="AI2415" s="3" t="n">
        <v>3.172861</v>
      </c>
      <c r="AJ2415" s="3" t="n">
        <v>2.621457</v>
      </c>
      <c r="AK2415" s="3" t="n">
        <v>1.967825</v>
      </c>
      <c r="AL2415" s="3" t="n">
        <v>1.971953</v>
      </c>
      <c r="AM2415" s="3" t="n"/>
      <c r="AN2415" s="3" t="n"/>
      <c r="AO2415" s="3" t="n"/>
      <c r="AP2415" s="3" t="n"/>
      <c r="AQ2415" s="3" t="n"/>
      <c r="AR2415" s="3" t="n"/>
      <c r="AS2415" s="3" t="n"/>
      <c r="AT2415" s="3" t="n"/>
      <c r="AU2415" s="3" t="n"/>
    </row>
    <row r="2416">
      <c r="A2416" s="3" t="n">
        <v>2031</v>
      </c>
      <c r="B2416" s="3" t="inlineStr">
        <is>
          <t>PLW</t>
        </is>
      </c>
      <c r="C2416" s="3" t="inlineStr">
        <is>
          <t>IMF.RES:WEO</t>
        </is>
      </c>
      <c r="D2416" s="3" t="inlineStr">
        <is>
          <t>PLW.NGDPD.A</t>
        </is>
      </c>
      <c r="E2416" s="3" t="inlineStr">
        <is>
          <t>Palau, Republic of</t>
        </is>
      </c>
      <c r="F2416" s="3" t="inlineStr">
        <is>
          <t>Gross domestic product (GDP), Current prices, US dollar</t>
        </is>
      </c>
      <c r="G2416" s="3" t="n">
        <v>0.149552</v>
      </c>
      <c r="H2416" s="3" t="n">
        <v>0.159446</v>
      </c>
      <c r="I2416" s="3" t="n">
        <v>0.162659</v>
      </c>
      <c r="J2416" s="3" t="n">
        <v>0.154567</v>
      </c>
      <c r="K2416" s="3" t="n">
        <v>0.166364</v>
      </c>
      <c r="L2416" s="3" t="n">
        <v>0.185658</v>
      </c>
      <c r="M2416" s="3" t="n">
        <v>0.19078</v>
      </c>
      <c r="N2416" s="3" t="n">
        <v>0.196013</v>
      </c>
      <c r="O2416" s="3" t="n">
        <v>0.199047</v>
      </c>
      <c r="P2416" s="3" t="n">
        <v>0.184051</v>
      </c>
      <c r="Q2416" s="3" t="n">
        <v>0.184292</v>
      </c>
      <c r="R2416" s="3" t="n">
        <v>0.195164</v>
      </c>
      <c r="S2416" s="3" t="n">
        <v>0.214928</v>
      </c>
      <c r="T2416" s="3" t="n">
        <v>0.226258</v>
      </c>
      <c r="U2416" s="3" t="n">
        <v>0.245437</v>
      </c>
      <c r="V2416" s="3" t="n">
        <v>0.283225</v>
      </c>
      <c r="W2416" s="3" t="n">
        <v>0.303326</v>
      </c>
      <c r="X2416" s="3" t="n">
        <v>0.289984</v>
      </c>
      <c r="Y2416" s="3" t="n">
        <v>0.288228</v>
      </c>
      <c r="Z2416" s="3" t="n">
        <v>0.281954</v>
      </c>
      <c r="AA2416" s="3" t="n">
        <v>0.258986</v>
      </c>
      <c r="AB2416" s="3" t="n">
        <v>0.235936</v>
      </c>
      <c r="AC2416" s="3" t="n">
        <v>0.247471</v>
      </c>
      <c r="AD2416" s="3" t="n">
        <v>0.276157</v>
      </c>
      <c r="AE2416" s="3" t="n">
        <v>0.321502</v>
      </c>
      <c r="AF2416" s="3" t="n">
        <v>0.345423</v>
      </c>
      <c r="AG2416" s="3" t="n">
        <v>0.377378</v>
      </c>
      <c r="AH2416" s="3" t="n">
        <v>0.397817</v>
      </c>
      <c r="AI2416" s="3" t="n">
        <v>0.418703</v>
      </c>
      <c r="AJ2416" s="3" t="n">
        <v>0.438447</v>
      </c>
      <c r="AK2416" s="3" t="n">
        <v>0.456017</v>
      </c>
      <c r="AL2416" s="3" t="n">
        <v>0.47431</v>
      </c>
      <c r="AM2416" s="3" t="n"/>
      <c r="AN2416" s="3" t="n"/>
      <c r="AO2416" s="3" t="n"/>
      <c r="AP2416" s="3" t="n"/>
      <c r="AQ2416" s="3" t="n"/>
      <c r="AR2416" s="3" t="n"/>
      <c r="AS2416" s="3" t="n"/>
      <c r="AT2416" s="3" t="n"/>
      <c r="AU2416" s="3" t="n"/>
    </row>
    <row r="2417">
      <c r="A2417" s="3" t="n">
        <v>2031</v>
      </c>
      <c r="B2417" s="3" t="inlineStr">
        <is>
          <t>PLW</t>
        </is>
      </c>
      <c r="C2417" s="3" t="inlineStr">
        <is>
          <t>IMF.RES:WEO</t>
        </is>
      </c>
      <c r="D2417" s="3" t="inlineStr">
        <is>
          <t>PLW.NGDPPC.A</t>
        </is>
      </c>
      <c r="E2417" s="3" t="inlineStr">
        <is>
          <t>Palau, Republic of</t>
        </is>
      </c>
      <c r="F2417" s="3" t="inlineStr">
        <is>
          <t>Gross domestic product (GDP), Current prices, Per capita, Domestic currency</t>
        </is>
      </c>
      <c r="G2417" s="3" t="n">
        <v>7818.076448</v>
      </c>
      <c r="H2417" s="3" t="n">
        <v>8269.125496000001</v>
      </c>
      <c r="I2417" s="3" t="n">
        <v>8368.740365</v>
      </c>
      <c r="J2417" s="3" t="n">
        <v>7889.259269</v>
      </c>
      <c r="K2417" s="3" t="n">
        <v>8423.945113</v>
      </c>
      <c r="L2417" s="3" t="n">
        <v>9326.275776</v>
      </c>
      <c r="M2417" s="3" t="n">
        <v>9766.039633</v>
      </c>
      <c r="N2417" s="3" t="n">
        <v>10224.940123</v>
      </c>
      <c r="O2417" s="3" t="n">
        <v>10580.881477</v>
      </c>
      <c r="P2417" s="3" t="n">
        <v>9969.97408</v>
      </c>
      <c r="Q2417" s="3" t="n">
        <v>10173.137575</v>
      </c>
      <c r="R2417" s="3" t="n">
        <v>10978.350762</v>
      </c>
      <c r="S2417" s="3" t="n">
        <v>12320.338027</v>
      </c>
      <c r="T2417" s="3" t="n">
        <v>12916.68879</v>
      </c>
      <c r="U2417" s="3" t="n">
        <v>13954.213558</v>
      </c>
      <c r="V2417" s="3" t="n">
        <v>16036.733481</v>
      </c>
      <c r="W2417" s="3" t="n">
        <v>17182.541589</v>
      </c>
      <c r="X2417" s="3" t="n">
        <v>16434.026196</v>
      </c>
      <c r="Y2417" s="3" t="n">
        <v>16341.80576</v>
      </c>
      <c r="Z2417" s="3" t="n">
        <v>15993.16847</v>
      </c>
      <c r="AA2417" s="3" t="n">
        <v>14696.881331</v>
      </c>
      <c r="AB2417" s="3" t="n">
        <v>13394.784511</v>
      </c>
      <c r="AC2417" s="3" t="n">
        <v>14055.906329</v>
      </c>
      <c r="AD2417" s="3" t="n">
        <v>15692.226248</v>
      </c>
      <c r="AE2417" s="3" t="n">
        <v>18276.975314</v>
      </c>
      <c r="AF2417" s="3" t="n">
        <v>19684.686452</v>
      </c>
      <c r="AG2417" s="3" t="n">
        <v>21570.675422</v>
      </c>
      <c r="AH2417" s="3" t="n">
        <v>22802.575084</v>
      </c>
      <c r="AI2417" s="3" t="n">
        <v>24096.126108</v>
      </c>
      <c r="AJ2417" s="3" t="n">
        <v>25317.911061</v>
      </c>
      <c r="AK2417" s="3" t="n">
        <v>26435.891666</v>
      </c>
      <c r="AL2417" s="3" t="n">
        <v>27623.961711</v>
      </c>
      <c r="AM2417" s="3" t="n"/>
      <c r="AN2417" s="3" t="n"/>
      <c r="AO2417" s="3" t="n"/>
      <c r="AP2417" s="3" t="n"/>
      <c r="AQ2417" s="3" t="n"/>
      <c r="AR2417" s="3" t="n"/>
      <c r="AS2417" s="3" t="n"/>
      <c r="AT2417" s="3" t="n"/>
      <c r="AU2417" s="3" t="n"/>
    </row>
    <row r="2418">
      <c r="A2418" s="3" t="n">
        <v>2031</v>
      </c>
      <c r="B2418" s="3" t="inlineStr">
        <is>
          <t>PLW</t>
        </is>
      </c>
      <c r="C2418" s="3" t="inlineStr">
        <is>
          <t>IMF.RES:WEO</t>
        </is>
      </c>
      <c r="D2418" s="3" t="inlineStr">
        <is>
          <t>PLW.NGDPRPC.A</t>
        </is>
      </c>
      <c r="E2418" s="3" t="inlineStr">
        <is>
          <t>Palau, Republic of</t>
        </is>
      </c>
      <c r="F2418" s="3" t="inlineStr">
        <is>
          <t>Gross domestic product (GDP), Constant prices, Per capita, Domestic currency</t>
        </is>
      </c>
      <c r="G2418" s="3" t="n">
        <v>12433.050767</v>
      </c>
      <c r="H2418" s="3" t="n">
        <v>13240.362423</v>
      </c>
      <c r="I2418" s="3" t="n">
        <v>13754.541611</v>
      </c>
      <c r="J2418" s="3" t="n">
        <v>13354.97075</v>
      </c>
      <c r="K2418" s="3" t="n">
        <v>13708.968287</v>
      </c>
      <c r="L2418" s="3" t="n">
        <v>13992.438275</v>
      </c>
      <c r="M2418" s="3" t="n">
        <v>14291.563483</v>
      </c>
      <c r="N2418" s="3" t="n">
        <v>14663.540596</v>
      </c>
      <c r="O2418" s="3" t="n">
        <v>14112.901365</v>
      </c>
      <c r="P2418" s="3" t="n">
        <v>13490.631329</v>
      </c>
      <c r="Q2418" s="3" t="n">
        <v>13331.365357</v>
      </c>
      <c r="R2418" s="3" t="n">
        <v>14202.669753</v>
      </c>
      <c r="S2418" s="3" t="n">
        <v>14771.408355</v>
      </c>
      <c r="T2418" s="3" t="n">
        <v>14505.917287</v>
      </c>
      <c r="U2418" s="3" t="n">
        <v>15055.302825</v>
      </c>
      <c r="V2418" s="3" t="n">
        <v>16278.633005</v>
      </c>
      <c r="W2418" s="3" t="n">
        <v>16557.269265</v>
      </c>
      <c r="X2418" s="3" t="n">
        <v>15997.876562</v>
      </c>
      <c r="Y2418" s="3" t="n">
        <v>15938.143106</v>
      </c>
      <c r="Z2418" s="3" t="n">
        <v>15993.16847</v>
      </c>
      <c r="AA2418" s="3" t="n">
        <v>15039.071535</v>
      </c>
      <c r="AB2418" s="3" t="n">
        <v>13253.104775</v>
      </c>
      <c r="AC2418" s="3" t="n">
        <v>13197.618379</v>
      </c>
      <c r="AD2418" s="3" t="n">
        <v>13364.943173</v>
      </c>
      <c r="AE2418" s="3" t="n">
        <v>14976.189591</v>
      </c>
      <c r="AF2418" s="3" t="n">
        <v>15962.033197</v>
      </c>
      <c r="AG2418" s="3" t="n">
        <v>16538.561362</v>
      </c>
      <c r="AH2418" s="3" t="n">
        <v>17049.208372</v>
      </c>
      <c r="AI2418" s="3" t="n">
        <v>17660.799261</v>
      </c>
      <c r="AJ2418" s="3" t="n">
        <v>18185.235528</v>
      </c>
      <c r="AK2418" s="3" t="n">
        <v>18615.877192</v>
      </c>
      <c r="AL2418" s="3" t="n">
        <v>19071.081997</v>
      </c>
      <c r="AM2418" s="3" t="n"/>
      <c r="AN2418" s="3" t="n"/>
      <c r="AO2418" s="3" t="n"/>
      <c r="AP2418" s="3" t="n"/>
      <c r="AQ2418" s="3" t="n"/>
      <c r="AR2418" s="3" t="n"/>
      <c r="AS2418" s="3" t="n"/>
      <c r="AT2418" s="3" t="n"/>
      <c r="AU2418" s="3" t="n"/>
    </row>
    <row r="2419">
      <c r="A2419" s="3" t="n">
        <v>2031</v>
      </c>
      <c r="B2419" s="3" t="inlineStr">
        <is>
          <t>PLW</t>
        </is>
      </c>
      <c r="C2419" s="3" t="inlineStr">
        <is>
          <t>IMF.RES:WEO</t>
        </is>
      </c>
      <c r="D2419" s="3" t="inlineStr">
        <is>
          <t>PLW.PCPI.A</t>
        </is>
      </c>
      <c r="E2419" s="3" t="inlineStr">
        <is>
          <t>Palau, Republic of</t>
        </is>
      </c>
      <c r="F2419" s="3" t="inlineStr">
        <is>
          <t>All Items, Consumer price index (CPI), Period average</t>
        </is>
      </c>
      <c r="G2419" s="3" t="n">
        <v>65.658113</v>
      </c>
      <c r="H2419" s="3" t="n">
        <v>65.18128400000001</v>
      </c>
      <c r="I2419" s="3" t="n">
        <v>65.003207</v>
      </c>
      <c r="J2419" s="3" t="n">
        <v>65.42361099999999</v>
      </c>
      <c r="K2419" s="3" t="n">
        <v>65.77518499999999</v>
      </c>
      <c r="L2419" s="3" t="n">
        <v>68.115185</v>
      </c>
      <c r="M2419" s="3" t="n">
        <v>71.00267599999999</v>
      </c>
      <c r="N2419" s="3" t="n">
        <v>73.147058</v>
      </c>
      <c r="O2419" s="3" t="n">
        <v>80.411309</v>
      </c>
      <c r="P2419" s="3" t="n">
        <v>84.17664499999999</v>
      </c>
      <c r="Q2419" s="3" t="n">
        <v>85.09734899999999</v>
      </c>
      <c r="R2419" s="3" t="n">
        <v>87.33811300000001</v>
      </c>
      <c r="S2419" s="3" t="n">
        <v>92.088275</v>
      </c>
      <c r="T2419" s="3" t="n">
        <v>94.708209</v>
      </c>
      <c r="U2419" s="3" t="n">
        <v>98.460885</v>
      </c>
      <c r="V2419" s="3" t="n">
        <v>100.626389</v>
      </c>
      <c r="W2419" s="3" t="n">
        <v>99.281609</v>
      </c>
      <c r="X2419" s="3" t="n">
        <v>100.375</v>
      </c>
      <c r="Y2419" s="3" t="n">
        <v>102.825</v>
      </c>
      <c r="Z2419" s="3" t="n">
        <v>103.275</v>
      </c>
      <c r="AA2419" s="3" t="n">
        <v>104</v>
      </c>
      <c r="AB2419" s="3" t="n">
        <v>103.5</v>
      </c>
      <c r="AC2419" s="3" t="n">
        <v>117.145615</v>
      </c>
      <c r="AD2419" s="3" t="n">
        <v>131.691645</v>
      </c>
      <c r="AE2419" s="3" t="n">
        <v>136.471112</v>
      </c>
      <c r="AF2419" s="3" t="n">
        <v>136.8126</v>
      </c>
      <c r="AG2419" s="3" t="n">
        <v>144.831245</v>
      </c>
      <c r="AH2419" s="3" t="n">
        <v>148.661748</v>
      </c>
      <c r="AI2419" s="3" t="n">
        <v>151.803557</v>
      </c>
      <c r="AJ2419" s="3" t="n">
        <v>155.05273</v>
      </c>
      <c r="AK2419" s="3" t="n">
        <v>158.309327</v>
      </c>
      <c r="AL2419" s="3" t="n">
        <v>161.633823</v>
      </c>
      <c r="AM2419" s="3" t="n"/>
      <c r="AN2419" s="3" t="n"/>
      <c r="AO2419" s="3" t="n"/>
      <c r="AP2419" s="3" t="n"/>
      <c r="AQ2419" s="3" t="n"/>
      <c r="AR2419" s="3" t="n"/>
      <c r="AS2419" s="3" t="n"/>
      <c r="AT2419" s="3" t="n"/>
      <c r="AU2419" s="3" t="n"/>
    </row>
    <row r="2420">
      <c r="A2420" s="3" t="n">
        <v>2031</v>
      </c>
      <c r="B2420" s="3" t="inlineStr">
        <is>
          <t>PLW</t>
        </is>
      </c>
      <c r="C2420" s="3" t="inlineStr">
        <is>
          <t>IMF.RES:WEO</t>
        </is>
      </c>
      <c r="D2420" s="3" t="inlineStr">
        <is>
          <t>PLW.PCPIPCH.A</t>
        </is>
      </c>
      <c r="E2420" s="3" t="inlineStr">
        <is>
          <t>Palau, Republic of</t>
        </is>
      </c>
      <c r="F2420" s="3" t="inlineStr">
        <is>
          <t>All Items, Consumer price index (CPI), Period average, percent change</t>
        </is>
      </c>
      <c r="G2420" s="3" t="n"/>
      <c r="H2420" s="3" t="n">
        <v>-0.72623</v>
      </c>
      <c r="I2420" s="3" t="n">
        <v>-0.273202</v>
      </c>
      <c r="J2420" s="3" t="n">
        <v>0.646743</v>
      </c>
      <c r="K2420" s="3" t="n">
        <v>0.537381</v>
      </c>
      <c r="L2420" s="3" t="n">
        <v>3.557572</v>
      </c>
      <c r="M2420" s="3" t="n">
        <v>4.239129</v>
      </c>
      <c r="N2420" s="3" t="n">
        <v>3.020143</v>
      </c>
      <c r="O2420" s="3" t="n">
        <v>9.931023</v>
      </c>
      <c r="P2420" s="3" t="n">
        <v>4.682594</v>
      </c>
      <c r="Q2420" s="3" t="n">
        <v>1.093777</v>
      </c>
      <c r="R2420" s="3" t="n">
        <v>2.633177</v>
      </c>
      <c r="S2420" s="3" t="n">
        <v>5.438819</v>
      </c>
      <c r="T2420" s="3" t="n">
        <v>2.845025</v>
      </c>
      <c r="U2420" s="3" t="n">
        <v>3.962356</v>
      </c>
      <c r="V2420" s="3" t="n">
        <v>2.199354</v>
      </c>
      <c r="W2420" s="3" t="n">
        <v>-1.336409</v>
      </c>
      <c r="X2420" s="3" t="n">
        <v>1.101302</v>
      </c>
      <c r="Y2420" s="3" t="n">
        <v>2.440847</v>
      </c>
      <c r="Z2420" s="3" t="n">
        <v>0.437637</v>
      </c>
      <c r="AA2420" s="3" t="n">
        <v>0.702009</v>
      </c>
      <c r="AB2420" s="3" t="n">
        <v>-0.480769</v>
      </c>
      <c r="AC2420" s="3" t="n">
        <v>13.184169</v>
      </c>
      <c r="AD2420" s="3" t="n">
        <v>12.41705</v>
      </c>
      <c r="AE2420" s="3" t="n">
        <v>3.629287</v>
      </c>
      <c r="AF2420" s="3" t="n">
        <v>0.250228</v>
      </c>
      <c r="AG2420" s="3" t="n">
        <v>5.861043</v>
      </c>
      <c r="AH2420" s="3" t="n">
        <v>2.644804</v>
      </c>
      <c r="AI2420" s="3" t="n">
        <v>2.113394</v>
      </c>
      <c r="AJ2420" s="3" t="n">
        <v>2.14038</v>
      </c>
      <c r="AK2420" s="3" t="n">
        <v>2.100316</v>
      </c>
      <c r="AL2420" s="3" t="n">
        <v>2.1</v>
      </c>
      <c r="AM2420" s="3" t="n"/>
      <c r="AN2420" s="3" t="n"/>
      <c r="AO2420" s="3" t="n"/>
      <c r="AP2420" s="3" t="n"/>
      <c r="AQ2420" s="3" t="n"/>
      <c r="AR2420" s="3" t="n"/>
      <c r="AS2420" s="3" t="n"/>
      <c r="AT2420" s="3" t="n"/>
      <c r="AU2420" s="3" t="n"/>
    </row>
    <row r="2421">
      <c r="A2421" s="3" t="n">
        <v>2031</v>
      </c>
      <c r="B2421" s="3" t="inlineStr">
        <is>
          <t>PLW</t>
        </is>
      </c>
      <c r="C2421" s="3" t="inlineStr">
        <is>
          <t>IMF.RES:WEO</t>
        </is>
      </c>
      <c r="D2421" s="3" t="inlineStr">
        <is>
          <t>PLW.PPPPC.A</t>
        </is>
      </c>
      <c r="E2421" s="3" t="inlineStr">
        <is>
          <t>Palau, Republic of</t>
        </is>
      </c>
      <c r="F2421" s="3" t="inlineStr">
        <is>
          <t>Gross domestic product (GDP), Per capita, purchasing power parity (PPP) international dollar, ICP benchmarks 2017-2021</t>
        </is>
      </c>
      <c r="G2421" s="3" t="n">
        <v>8504.952773999999</v>
      </c>
      <c r="H2421" s="3" t="n">
        <v>9261.136203</v>
      </c>
      <c r="I2421" s="3" t="n">
        <v>9770.295677</v>
      </c>
      <c r="J2421" s="3" t="n">
        <v>9673.750905000001</v>
      </c>
      <c r="K2421" s="3" t="n">
        <v>10197.181586</v>
      </c>
      <c r="L2421" s="3" t="n">
        <v>10734.413251</v>
      </c>
      <c r="M2421" s="3" t="n">
        <v>11302.003034</v>
      </c>
      <c r="N2421" s="3" t="n">
        <v>11910.34017</v>
      </c>
      <c r="O2421" s="3" t="n">
        <v>11683.914204</v>
      </c>
      <c r="P2421" s="3" t="n">
        <v>11237.626082</v>
      </c>
      <c r="Q2421" s="3" t="n">
        <v>11239.925194</v>
      </c>
      <c r="R2421" s="3" t="n">
        <v>12221.602806</v>
      </c>
      <c r="S2421" s="3" t="n">
        <v>12947.680992</v>
      </c>
      <c r="T2421" s="3" t="n">
        <v>12931.377723</v>
      </c>
      <c r="U2421" s="3" t="n">
        <v>13654.888227</v>
      </c>
      <c r="V2421" s="3" t="n">
        <v>14901.448383</v>
      </c>
      <c r="W2421" s="3" t="n">
        <v>15300.532553</v>
      </c>
      <c r="X2421" s="3" t="n">
        <v>15048.357047</v>
      </c>
      <c r="Y2421" s="3" t="n">
        <v>15335.607741</v>
      </c>
      <c r="Z2421" s="3" t="n">
        <v>15642.562097</v>
      </c>
      <c r="AA2421" s="3" t="n">
        <v>14907.168976</v>
      </c>
      <c r="AB2421" s="3" t="n">
        <v>13736.325125</v>
      </c>
      <c r="AC2421" s="3" t="n">
        <v>14651.709648</v>
      </c>
      <c r="AD2421" s="3" t="n">
        <v>15386.461345</v>
      </c>
      <c r="AE2421" s="3" t="n">
        <v>17669.443195</v>
      </c>
      <c r="AF2421" s="3" t="n">
        <v>19366.812914</v>
      </c>
      <c r="AG2421" s="3" t="n">
        <v>20641.187414</v>
      </c>
      <c r="AH2421" s="3" t="n">
        <v>21745.762881</v>
      </c>
      <c r="AI2421" s="3" t="n">
        <v>22895.56586</v>
      </c>
      <c r="AJ2421" s="3" t="n">
        <v>23994.645234</v>
      </c>
      <c r="AK2421" s="3" t="n">
        <v>25014.207724</v>
      </c>
      <c r="AL2421" s="3" t="n">
        <v>26088.491978</v>
      </c>
      <c r="AM2421" s="3" t="n"/>
      <c r="AN2421" s="3" t="n"/>
      <c r="AO2421" s="3" t="n"/>
      <c r="AP2421" s="3" t="n"/>
      <c r="AQ2421" s="3" t="n"/>
      <c r="AR2421" s="3" t="n"/>
      <c r="AS2421" s="3" t="n"/>
      <c r="AT2421" s="3" t="n"/>
      <c r="AU2421" s="3" t="n"/>
    </row>
    <row r="2422">
      <c r="A2422" s="3" t="n">
        <v>2025</v>
      </c>
      <c r="B2422" s="3" t="inlineStr">
        <is>
          <t>PLW</t>
        </is>
      </c>
      <c r="C2422" s="3" t="inlineStr">
        <is>
          <t>IMF.STA:ER</t>
        </is>
      </c>
      <c r="D2422" s="3" t="inlineStr">
        <is>
          <t>PLW.XDC_USD.PA_RT.A</t>
        </is>
      </c>
      <c r="E2422" s="3" t="inlineStr">
        <is>
          <t>Palau, Republic of</t>
        </is>
      </c>
      <c r="F2422" s="3" t="inlineStr">
        <is>
          <t>Domestic currency per US Dollar</t>
        </is>
      </c>
      <c r="G2422" s="3" t="n"/>
      <c r="H2422" s="3" t="n"/>
      <c r="I2422" s="3" t="n"/>
      <c r="J2422" s="3" t="n"/>
      <c r="K2422" s="3" t="n"/>
      <c r="L2422" s="3" t="n">
        <v>1</v>
      </c>
      <c r="M2422" s="3" t="n">
        <v>1</v>
      </c>
      <c r="N2422" s="3" t="n">
        <v>1</v>
      </c>
      <c r="O2422" s="3" t="n">
        <v>1</v>
      </c>
      <c r="P2422" s="3" t="n">
        <v>1</v>
      </c>
      <c r="Q2422" s="3" t="n">
        <v>1</v>
      </c>
      <c r="R2422" s="3" t="n">
        <v>1</v>
      </c>
      <c r="S2422" s="3" t="n">
        <v>1</v>
      </c>
      <c r="T2422" s="3" t="n">
        <v>1</v>
      </c>
      <c r="U2422" s="3" t="n">
        <v>1</v>
      </c>
      <c r="V2422" s="3" t="n">
        <v>1</v>
      </c>
      <c r="W2422" s="3" t="n">
        <v>1</v>
      </c>
      <c r="X2422" s="3" t="n">
        <v>1</v>
      </c>
      <c r="Y2422" s="3" t="n">
        <v>1</v>
      </c>
      <c r="Z2422" s="3" t="n">
        <v>1</v>
      </c>
      <c r="AA2422" s="3" t="n">
        <v>1</v>
      </c>
      <c r="AB2422" s="3" t="n">
        <v>1</v>
      </c>
      <c r="AC2422" s="3" t="n">
        <v>1</v>
      </c>
      <c r="AD2422" s="3" t="n">
        <v>1</v>
      </c>
      <c r="AE2422" s="3" t="n">
        <v>1</v>
      </c>
      <c r="AF2422" s="3" t="n">
        <v>1</v>
      </c>
      <c r="AG2422" s="3" t="n"/>
      <c r="AH2422" s="3" t="n"/>
      <c r="AI2422" s="3" t="n"/>
      <c r="AJ2422" s="3" t="n"/>
      <c r="AK2422" s="3" t="n"/>
      <c r="AL2422" s="3" t="n"/>
      <c r="AM2422" s="3" t="n"/>
      <c r="AN2422" s="3" t="n"/>
      <c r="AO2422" s="3" t="n"/>
      <c r="AP2422" s="3" t="n"/>
      <c r="AQ2422" s="3" t="n"/>
      <c r="AR2422" s="3" t="n"/>
      <c r="AS2422" s="3" t="n"/>
      <c r="AT2422" s="3" t="n"/>
      <c r="AU2422" s="3" t="n"/>
    </row>
    <row r="2423">
      <c r="A2423" s="3" t="n">
        <v>2031</v>
      </c>
      <c r="B2423" s="3" t="inlineStr">
        <is>
          <t>PNG</t>
        </is>
      </c>
      <c r="C2423" s="3" t="inlineStr">
        <is>
          <t>IMF.RES:WEO</t>
        </is>
      </c>
      <c r="D2423" s="3" t="inlineStr">
        <is>
          <t>PNG.BCA.A</t>
        </is>
      </c>
      <c r="E2423" s="3" t="inlineStr">
        <is>
          <t>Papua New Guinea</t>
        </is>
      </c>
      <c r="F2423" s="3" t="inlineStr">
        <is>
          <t>Current account balance (credit less debit), US dollar</t>
        </is>
      </c>
      <c r="G2423" s="3" t="n">
        <v>0.228854</v>
      </c>
      <c r="H2423" s="3" t="n">
        <v>0.222974</v>
      </c>
      <c r="I2423" s="3" t="n">
        <v>0.061826</v>
      </c>
      <c r="J2423" s="3" t="n">
        <v>0.079862</v>
      </c>
      <c r="K2423" s="3" t="n">
        <v>-0.016535</v>
      </c>
      <c r="L2423" s="3" t="n">
        <v>0.625132</v>
      </c>
      <c r="M2423" s="3" t="n">
        <v>-0.09662999999999999</v>
      </c>
      <c r="N2423" s="3" t="n">
        <v>0.235749</v>
      </c>
      <c r="O2423" s="3" t="n">
        <v>0.633409</v>
      </c>
      <c r="P2423" s="3" t="n">
        <v>-1.274539</v>
      </c>
      <c r="Q2423" s="3" t="n">
        <v>-1.404005</v>
      </c>
      <c r="R2423" s="3" t="n">
        <v>-1.727511</v>
      </c>
      <c r="S2423" s="3" t="n">
        <v>-4.255009</v>
      </c>
      <c r="T2423" s="3" t="n">
        <v>-5.08298</v>
      </c>
      <c r="U2423" s="3" t="n">
        <v>2.873914</v>
      </c>
      <c r="V2423" s="3" t="n">
        <v>2.404042</v>
      </c>
      <c r="W2423" s="3" t="n">
        <v>2.831164</v>
      </c>
      <c r="X2423" s="3" t="n">
        <v>3.615034</v>
      </c>
      <c r="Y2423" s="3" t="n">
        <v>3.284509</v>
      </c>
      <c r="Z2423" s="3" t="n">
        <v>3.558453</v>
      </c>
      <c r="AA2423" s="3" t="n">
        <v>3.424132</v>
      </c>
      <c r="AB2423" s="3" t="n">
        <v>3.283769</v>
      </c>
      <c r="AC2423" s="3" t="n">
        <v>4.567441</v>
      </c>
      <c r="AD2423" s="3" t="n">
        <v>2.799219</v>
      </c>
      <c r="AE2423" s="3" t="n">
        <v>4.783636</v>
      </c>
      <c r="AF2423" s="3" t="n">
        <v>4.783659</v>
      </c>
      <c r="AG2423" s="3" t="n">
        <v>4.704412</v>
      </c>
      <c r="AH2423" s="3" t="n">
        <v>4.049519</v>
      </c>
      <c r="AI2423" s="3" t="n">
        <v>4.175871</v>
      </c>
      <c r="AJ2423" s="3" t="n">
        <v>4.091727</v>
      </c>
      <c r="AK2423" s="3" t="n">
        <v>4.246704</v>
      </c>
      <c r="AL2423" s="3" t="n">
        <v>4.464944</v>
      </c>
      <c r="AM2423" s="3" t="n"/>
      <c r="AN2423" s="3" t="n"/>
      <c r="AO2423" s="3" t="n"/>
      <c r="AP2423" s="3" t="n"/>
      <c r="AQ2423" s="3" t="n"/>
      <c r="AR2423" s="3" t="n"/>
      <c r="AS2423" s="3" t="n"/>
      <c r="AT2423" s="3" t="n"/>
      <c r="AU2423" s="3" t="n"/>
    </row>
    <row r="2424">
      <c r="A2424" s="3" t="n">
        <v>2031</v>
      </c>
      <c r="B2424" s="3" t="inlineStr">
        <is>
          <t>PNG</t>
        </is>
      </c>
      <c r="C2424" s="3" t="inlineStr">
        <is>
          <t>IMF.RES:WEO</t>
        </is>
      </c>
      <c r="D2424" s="3" t="inlineStr">
        <is>
          <t>PNG.BCA_NGDPD.A</t>
        </is>
      </c>
      <c r="E2424" s="3" t="inlineStr">
        <is>
          <t>Papua New Guinea</t>
        </is>
      </c>
      <c r="F2424" s="3" t="inlineStr">
        <is>
          <t>Current account balance (credit less debit), Percent of GDP</t>
        </is>
      </c>
      <c r="G2424" s="3" t="n">
        <v>4.427806</v>
      </c>
      <c r="H2424" s="3" t="n">
        <v>4.920757</v>
      </c>
      <c r="I2424" s="3" t="n">
        <v>1.409419</v>
      </c>
      <c r="J2424" s="3" t="n">
        <v>1.455077</v>
      </c>
      <c r="K2424" s="3" t="n">
        <v>-0.263348</v>
      </c>
      <c r="L2424" s="3" t="n">
        <v>8.517602999999999</v>
      </c>
      <c r="M2424" s="3" t="n">
        <v>-1.156565</v>
      </c>
      <c r="N2424" s="3" t="n">
        <v>2.469858</v>
      </c>
      <c r="O2424" s="3" t="n">
        <v>5.427257</v>
      </c>
      <c r="P2424" s="3" t="n">
        <v>-10.969013</v>
      </c>
      <c r="Q2424" s="3" t="n">
        <v>-9.852126</v>
      </c>
      <c r="R2424" s="3" t="n">
        <v>-9.605214999999999</v>
      </c>
      <c r="S2424" s="3" t="n">
        <v>-19.981104</v>
      </c>
      <c r="T2424" s="3" t="n">
        <v>-23.907104</v>
      </c>
      <c r="U2424" s="3" t="n">
        <v>12.381783</v>
      </c>
      <c r="V2424" s="3" t="n">
        <v>11.066635</v>
      </c>
      <c r="W2424" s="3" t="n">
        <v>13.638308</v>
      </c>
      <c r="X2424" s="3" t="n">
        <v>15.895362</v>
      </c>
      <c r="Y2424" s="3" t="n">
        <v>13.62314</v>
      </c>
      <c r="Z2424" s="3" t="n">
        <v>14.377223</v>
      </c>
      <c r="AA2424" s="3" t="n">
        <v>14.357884</v>
      </c>
      <c r="AB2424" s="3" t="n">
        <v>12.575066</v>
      </c>
      <c r="AC2424" s="3" t="n">
        <v>14.429639</v>
      </c>
      <c r="AD2424" s="3" t="n">
        <v>9.109425</v>
      </c>
      <c r="AE2424" s="3" t="n">
        <v>15.553488</v>
      </c>
      <c r="AF2424" s="3" t="n">
        <v>14.723081</v>
      </c>
      <c r="AG2424" s="3" t="n">
        <v>13.674338</v>
      </c>
      <c r="AH2424" s="3" t="n">
        <v>11.577383</v>
      </c>
      <c r="AI2424" s="3" t="n">
        <v>11.392316</v>
      </c>
      <c r="AJ2424" s="3" t="n">
        <v>10.669703</v>
      </c>
      <c r="AK2424" s="3" t="n">
        <v>10.534538</v>
      </c>
      <c r="AL2424" s="3" t="n">
        <v>10.435788</v>
      </c>
      <c r="AM2424" s="3" t="n"/>
      <c r="AN2424" s="3" t="n"/>
      <c r="AO2424" s="3" t="n"/>
      <c r="AP2424" s="3" t="n"/>
      <c r="AQ2424" s="3" t="n"/>
      <c r="AR2424" s="3" t="n"/>
      <c r="AS2424" s="3" t="n"/>
      <c r="AT2424" s="3" t="n"/>
      <c r="AU2424" s="3" t="n"/>
    </row>
    <row r="2425">
      <c r="A2425" s="3" t="n">
        <v>2031</v>
      </c>
      <c r="B2425" s="3" t="inlineStr">
        <is>
          <t>PNG</t>
        </is>
      </c>
      <c r="C2425" s="3" t="inlineStr">
        <is>
          <t>IMF.RES:WEO</t>
        </is>
      </c>
      <c r="D2425" s="3" t="inlineStr">
        <is>
          <t>PNG.GGR_NGDP.A</t>
        </is>
      </c>
      <c r="E2425" s="3" t="inlineStr">
        <is>
          <t>Papua New Guinea</t>
        </is>
      </c>
      <c r="F2425" s="3" t="inlineStr">
        <is>
          <t>Revenue, General government, Percent of GDP</t>
        </is>
      </c>
      <c r="G2425" s="3" t="n">
        <v>20.760493</v>
      </c>
      <c r="H2425" s="3" t="n">
        <v>20.235573</v>
      </c>
      <c r="I2425" s="3" t="n">
        <v>19.067118</v>
      </c>
      <c r="J2425" s="3" t="n">
        <v>18.85666</v>
      </c>
      <c r="K2425" s="3" t="n">
        <v>21.462187</v>
      </c>
      <c r="L2425" s="3" t="n">
        <v>23.460906</v>
      </c>
      <c r="M2425" s="3" t="n">
        <v>24.782459</v>
      </c>
      <c r="N2425" s="3" t="n">
        <v>24.920637</v>
      </c>
      <c r="O2425" s="3" t="n">
        <v>22.488035</v>
      </c>
      <c r="P2425" s="3" t="n">
        <v>19.168567</v>
      </c>
      <c r="Q2425" s="3" t="n">
        <v>21.456063</v>
      </c>
      <c r="R2425" s="3" t="n">
        <v>21.903412</v>
      </c>
      <c r="S2425" s="3" t="n">
        <v>21.227098</v>
      </c>
      <c r="T2425" s="3" t="n">
        <v>20.740024</v>
      </c>
      <c r="U2425" s="3" t="n">
        <v>20.785405</v>
      </c>
      <c r="V2425" s="3" t="n">
        <v>18.296135</v>
      </c>
      <c r="W2425" s="3" t="n">
        <v>16.122106</v>
      </c>
      <c r="X2425" s="3" t="n">
        <v>15.891945</v>
      </c>
      <c r="Y2425" s="3" t="n">
        <v>17.739259</v>
      </c>
      <c r="Z2425" s="3" t="n">
        <v>16.316673</v>
      </c>
      <c r="AA2425" s="3" t="n">
        <v>14.655758</v>
      </c>
      <c r="AB2425" s="3" t="n">
        <v>15.12717</v>
      </c>
      <c r="AC2425" s="3" t="n">
        <v>16.641973</v>
      </c>
      <c r="AD2425" s="3" t="n">
        <v>17.908249</v>
      </c>
      <c r="AE2425" s="3" t="n">
        <v>17.548171</v>
      </c>
      <c r="AF2425" s="3" t="n">
        <v>17.337601</v>
      </c>
      <c r="AG2425" s="3" t="n">
        <v>18.174746</v>
      </c>
      <c r="AH2425" s="3" t="n">
        <v>18.527972</v>
      </c>
      <c r="AI2425" s="3" t="n">
        <v>18.478349</v>
      </c>
      <c r="AJ2425" s="3" t="n">
        <v>18.814835</v>
      </c>
      <c r="AK2425" s="3" t="n">
        <v>18.686567</v>
      </c>
      <c r="AL2425" s="3" t="n">
        <v>18.58804</v>
      </c>
      <c r="AM2425" s="3" t="n"/>
      <c r="AN2425" s="3" t="n"/>
      <c r="AO2425" s="3" t="n"/>
      <c r="AP2425" s="3" t="n"/>
      <c r="AQ2425" s="3" t="n"/>
      <c r="AR2425" s="3" t="n"/>
      <c r="AS2425" s="3" t="n"/>
      <c r="AT2425" s="3" t="n"/>
      <c r="AU2425" s="3" t="n"/>
    </row>
    <row r="2426">
      <c r="A2426" s="3" t="n">
        <v>2031</v>
      </c>
      <c r="B2426" s="3" t="inlineStr">
        <is>
          <t>PNG</t>
        </is>
      </c>
      <c r="C2426" s="3" t="inlineStr">
        <is>
          <t>IMF.RES:WEO</t>
        </is>
      </c>
      <c r="D2426" s="3" t="inlineStr">
        <is>
          <t>PNG.GGX_NGDP.A</t>
        </is>
      </c>
      <c r="E2426" s="3" t="inlineStr">
        <is>
          <t>Papua New Guinea</t>
        </is>
      </c>
      <c r="F2426" s="3" t="inlineStr">
        <is>
          <t>Expenditure, General government, Percent of GDP</t>
        </is>
      </c>
      <c r="G2426" s="3" t="n">
        <v>20.456972</v>
      </c>
      <c r="H2426" s="3" t="n">
        <v>21.564684</v>
      </c>
      <c r="I2426" s="3" t="n">
        <v>20.817109</v>
      </c>
      <c r="J2426" s="3" t="n">
        <v>18.668777</v>
      </c>
      <c r="K2426" s="3" t="n">
        <v>19.437127</v>
      </c>
      <c r="L2426" s="3" t="n">
        <v>20.611754</v>
      </c>
      <c r="M2426" s="3" t="n">
        <v>19.445087</v>
      </c>
      <c r="N2426" s="3" t="n">
        <v>18.021303</v>
      </c>
      <c r="O2426" s="3" t="n">
        <v>19.753894</v>
      </c>
      <c r="P2426" s="3" t="n">
        <v>24.651102</v>
      </c>
      <c r="Q2426" s="3" t="n">
        <v>18.393702</v>
      </c>
      <c r="R2426" s="3" t="n">
        <v>19.688022</v>
      </c>
      <c r="S2426" s="3" t="n">
        <v>22.41706</v>
      </c>
      <c r="T2426" s="3" t="n">
        <v>27.609755</v>
      </c>
      <c r="U2426" s="3" t="n">
        <v>27.050429</v>
      </c>
      <c r="V2426" s="3" t="n">
        <v>22.845857</v>
      </c>
      <c r="W2426" s="3" t="n">
        <v>20.868327</v>
      </c>
      <c r="X2426" s="3" t="n">
        <v>18.366654</v>
      </c>
      <c r="Y2426" s="3" t="n">
        <v>20.318956</v>
      </c>
      <c r="Z2426" s="3" t="n">
        <v>21.29248</v>
      </c>
      <c r="AA2426" s="3" t="n">
        <v>23.508087</v>
      </c>
      <c r="AB2426" s="3" t="n">
        <v>21.970575</v>
      </c>
      <c r="AC2426" s="3" t="n">
        <v>21.894999</v>
      </c>
      <c r="AD2426" s="3" t="n">
        <v>22.251661</v>
      </c>
      <c r="AE2426" s="3" t="n">
        <v>20.860498</v>
      </c>
      <c r="AF2426" s="3" t="n">
        <v>19.694476</v>
      </c>
      <c r="AG2426" s="3" t="n">
        <v>19.299057</v>
      </c>
      <c r="AH2426" s="3" t="n">
        <v>18.675435</v>
      </c>
      <c r="AI2426" s="3" t="n">
        <v>18.540555</v>
      </c>
      <c r="AJ2426" s="3" t="n">
        <v>18.614438</v>
      </c>
      <c r="AK2426" s="3" t="n">
        <v>18.531123</v>
      </c>
      <c r="AL2426" s="3" t="n">
        <v>18.415051</v>
      </c>
      <c r="AM2426" s="3" t="n"/>
      <c r="AN2426" s="3" t="n"/>
      <c r="AO2426" s="3" t="n"/>
      <c r="AP2426" s="3" t="n"/>
      <c r="AQ2426" s="3" t="n"/>
      <c r="AR2426" s="3" t="n"/>
      <c r="AS2426" s="3" t="n"/>
      <c r="AT2426" s="3" t="n"/>
      <c r="AU2426" s="3" t="n"/>
    </row>
    <row r="2427">
      <c r="A2427" s="3" t="n">
        <v>2031</v>
      </c>
      <c r="B2427" s="3" t="inlineStr">
        <is>
          <t>PNG</t>
        </is>
      </c>
      <c r="C2427" s="3" t="inlineStr">
        <is>
          <t>IMF.RES:WEO</t>
        </is>
      </c>
      <c r="D2427" s="3" t="inlineStr">
        <is>
          <t>PNG.LP.A</t>
        </is>
      </c>
      <c r="E2427" s="3" t="inlineStr">
        <is>
          <t>Papua New Guinea</t>
        </is>
      </c>
      <c r="F2427" s="3" t="inlineStr">
        <is>
          <t>Population, Persons for countries / Index for country groups</t>
        </is>
      </c>
      <c r="G2427" s="3" t="n">
        <v>5.13</v>
      </c>
      <c r="H2427" s="3" t="n">
        <v>5.25613</v>
      </c>
      <c r="I2427" s="3" t="n">
        <v>5.384309</v>
      </c>
      <c r="J2427" s="3" t="n">
        <v>5.514537</v>
      </c>
      <c r="K2427" s="3" t="n">
        <v>5.646813</v>
      </c>
      <c r="L2427" s="3" t="n">
        <v>5.781131</v>
      </c>
      <c r="M2427" s="3" t="n">
        <v>5.917489</v>
      </c>
      <c r="N2427" s="3" t="n">
        <v>6.055879</v>
      </c>
      <c r="O2427" s="3" t="n">
        <v>6.196295</v>
      </c>
      <c r="P2427" s="3" t="n">
        <v>6.338727</v>
      </c>
      <c r="Q2427" s="3" t="n">
        <v>6.738388</v>
      </c>
      <c r="R2427" s="3" t="n">
        <v>7.254442</v>
      </c>
      <c r="S2427" s="3" t="n">
        <v>7.614894</v>
      </c>
      <c r="T2427" s="3" t="n">
        <v>7.993257</v>
      </c>
      <c r="U2427" s="3" t="n">
        <v>8.390419</v>
      </c>
      <c r="V2427" s="3" t="n">
        <v>8.807314999999999</v>
      </c>
      <c r="W2427" s="3" t="n">
        <v>9.244925</v>
      </c>
      <c r="X2427" s="3" t="n">
        <v>9.704279</v>
      </c>
      <c r="Y2427" s="3" t="n">
        <v>10.186457</v>
      </c>
      <c r="Z2427" s="3" t="n">
        <v>10.692592</v>
      </c>
      <c r="AA2427" s="3" t="n">
        <v>11.223877</v>
      </c>
      <c r="AB2427" s="3" t="n">
        <v>11.781559</v>
      </c>
      <c r="AC2427" s="3" t="n">
        <v>12.028972</v>
      </c>
      <c r="AD2427" s="3" t="n">
        <v>12.28158</v>
      </c>
      <c r="AE2427" s="3" t="n">
        <v>12.539493</v>
      </c>
      <c r="AF2427" s="3" t="n">
        <v>12.802823</v>
      </c>
      <c r="AG2427" s="3" t="n">
        <v>13.071682</v>
      </c>
      <c r="AH2427" s="3" t="n">
        <v>13.346187</v>
      </c>
      <c r="AI2427" s="3" t="n">
        <v>13.626457</v>
      </c>
      <c r="AJ2427" s="3" t="n">
        <v>13.912613</v>
      </c>
      <c r="AK2427" s="3" t="n">
        <v>14.204778</v>
      </c>
      <c r="AL2427" s="3" t="n">
        <v>14.503078</v>
      </c>
      <c r="AM2427" s="3" t="n"/>
      <c r="AN2427" s="3" t="n"/>
      <c r="AO2427" s="3" t="n"/>
      <c r="AP2427" s="3" t="n"/>
      <c r="AQ2427" s="3" t="n"/>
      <c r="AR2427" s="3" t="n"/>
      <c r="AS2427" s="3" t="n"/>
      <c r="AT2427" s="3" t="n"/>
      <c r="AU2427" s="3" t="n"/>
    </row>
    <row r="2428">
      <c r="A2428" s="3" t="n">
        <v>2031</v>
      </c>
      <c r="B2428" s="3" t="inlineStr">
        <is>
          <t>PNG</t>
        </is>
      </c>
      <c r="C2428" s="3" t="inlineStr">
        <is>
          <t>IMF.RES:WEO</t>
        </is>
      </c>
      <c r="D2428" s="3" t="inlineStr">
        <is>
          <t>PNG.NGDP.A</t>
        </is>
      </c>
      <c r="E2428" s="3" t="inlineStr">
        <is>
          <t>Papua New Guinea</t>
        </is>
      </c>
      <c r="F2428" s="3" t="inlineStr">
        <is>
          <t>Gross domestic product (GDP), Current prices, Domestic currency</t>
        </is>
      </c>
      <c r="G2428" s="3" t="n">
        <v>14.379744</v>
      </c>
      <c r="H2428" s="3" t="n">
        <v>15.3553</v>
      </c>
      <c r="I2428" s="3" t="n">
        <v>17.086783</v>
      </c>
      <c r="J2428" s="3" t="n">
        <v>19.557946</v>
      </c>
      <c r="K2428" s="3" t="n">
        <v>20.234116</v>
      </c>
      <c r="L2428" s="3" t="n">
        <v>22.766131</v>
      </c>
      <c r="M2428" s="3" t="n">
        <v>25.538749</v>
      </c>
      <c r="N2428" s="3" t="n">
        <v>28.304313</v>
      </c>
      <c r="O2428" s="3" t="n">
        <v>31.512438</v>
      </c>
      <c r="P2428" s="3" t="n">
        <v>32.013264</v>
      </c>
      <c r="Q2428" s="3" t="n">
        <v>38.752079</v>
      </c>
      <c r="R2428" s="3" t="n">
        <v>42.642223</v>
      </c>
      <c r="S2428" s="3" t="n">
        <v>44.371636</v>
      </c>
      <c r="T2428" s="3" t="n">
        <v>47.721374</v>
      </c>
      <c r="U2428" s="3" t="n">
        <v>57.130774</v>
      </c>
      <c r="V2428" s="3" t="n">
        <v>60.139132</v>
      </c>
      <c r="W2428" s="3" t="n">
        <v>65.03827699999999</v>
      </c>
      <c r="X2428" s="3" t="n">
        <v>72.521646</v>
      </c>
      <c r="Y2428" s="3" t="n">
        <v>79.40467099999999</v>
      </c>
      <c r="Z2428" s="3" t="n">
        <v>83.84368600000001</v>
      </c>
      <c r="AA2428" s="3" t="n">
        <v>82.51501</v>
      </c>
      <c r="AB2428" s="3" t="n">
        <v>91.625733</v>
      </c>
      <c r="AC2428" s="3" t="n">
        <v>111.394842</v>
      </c>
      <c r="AD2428" s="3" t="n">
        <v>110.619128</v>
      </c>
      <c r="AE2428" s="3" t="n">
        <v>118.68043</v>
      </c>
      <c r="AF2428" s="3" t="n">
        <v>133.983019</v>
      </c>
      <c r="AG2428" s="3" t="n">
        <v>148.324888</v>
      </c>
      <c r="AH2428" s="3" t="n">
        <v>154.906322</v>
      </c>
      <c r="AI2428" s="3" t="n">
        <v>166.923872</v>
      </c>
      <c r="AJ2428" s="3" t="n">
        <v>179.66832</v>
      </c>
      <c r="AK2428" s="3" t="n">
        <v>193.391228</v>
      </c>
      <c r="AL2428" s="3" t="n">
        <v>208.177341</v>
      </c>
      <c r="AM2428" s="3" t="n"/>
      <c r="AN2428" s="3" t="n"/>
      <c r="AO2428" s="3" t="n"/>
      <c r="AP2428" s="3" t="n"/>
      <c r="AQ2428" s="3" t="n"/>
      <c r="AR2428" s="3" t="n"/>
      <c r="AS2428" s="3" t="n"/>
      <c r="AT2428" s="3" t="n"/>
      <c r="AU2428" s="3" t="n"/>
    </row>
    <row r="2429">
      <c r="A2429" s="3" t="n">
        <v>2031</v>
      </c>
      <c r="B2429" s="3" t="inlineStr">
        <is>
          <t>PNG</t>
        </is>
      </c>
      <c r="C2429" s="3" t="inlineStr">
        <is>
          <t>IMF.RES:WEO</t>
        </is>
      </c>
      <c r="D2429" s="3" t="inlineStr">
        <is>
          <t>PNG.NGDP_D.A</t>
        </is>
      </c>
      <c r="E2429" s="3" t="inlineStr">
        <is>
          <t>Papua New Guinea</t>
        </is>
      </c>
      <c r="F2429" s="3" t="inlineStr">
        <is>
          <t>Gross domestic product (GDP), Price deflator, Index</t>
        </is>
      </c>
      <c r="G2429" s="3" t="n">
        <v>48.933924</v>
      </c>
      <c r="H2429" s="3" t="n">
        <v>52.317848</v>
      </c>
      <c r="I2429" s="3" t="n">
        <v>58.30993</v>
      </c>
      <c r="J2429" s="3" t="n">
        <v>61.206323</v>
      </c>
      <c r="K2429" s="3" t="n">
        <v>62.958566</v>
      </c>
      <c r="L2429" s="3" t="n">
        <v>67.947867</v>
      </c>
      <c r="M2429" s="3" t="n">
        <v>74.336923</v>
      </c>
      <c r="N2429" s="3" t="n">
        <v>76.414827</v>
      </c>
      <c r="O2429" s="3" t="n">
        <v>85.328954</v>
      </c>
      <c r="P2429" s="3" t="n">
        <v>81.16549000000001</v>
      </c>
      <c r="Q2429" s="3" t="n">
        <v>89.21480200000001</v>
      </c>
      <c r="R2429" s="3" t="n">
        <v>97.095296</v>
      </c>
      <c r="S2429" s="3" t="n">
        <v>96.537271</v>
      </c>
      <c r="T2429" s="3" t="n">
        <v>100.000185</v>
      </c>
      <c r="U2429" s="3" t="n">
        <v>105.437393</v>
      </c>
      <c r="V2429" s="3" t="n">
        <v>104.141577</v>
      </c>
      <c r="W2429" s="3" t="n">
        <v>106.761588</v>
      </c>
      <c r="X2429" s="3" t="n">
        <v>114.981533</v>
      </c>
      <c r="Y2429" s="3" t="n">
        <v>126.24697</v>
      </c>
      <c r="Z2429" s="3" t="n">
        <v>127.588105</v>
      </c>
      <c r="AA2429" s="3" t="n">
        <v>129.673465</v>
      </c>
      <c r="AB2429" s="3" t="n">
        <v>144.730587</v>
      </c>
      <c r="AC2429" s="3" t="n">
        <v>166.457579</v>
      </c>
      <c r="AD2429" s="3" t="n">
        <v>159.23034</v>
      </c>
      <c r="AE2429" s="3" t="n">
        <v>164.440206</v>
      </c>
      <c r="AF2429" s="3" t="n">
        <v>175.736011</v>
      </c>
      <c r="AG2429" s="3" t="n">
        <v>187.510597</v>
      </c>
      <c r="AH2429" s="3" t="n">
        <v>188.665095</v>
      </c>
      <c r="AI2429" s="3" t="n">
        <v>196.936624</v>
      </c>
      <c r="AJ2429" s="3" t="n">
        <v>205.598945</v>
      </c>
      <c r="AK2429" s="3" t="n">
        <v>214.648313</v>
      </c>
      <c r="AL2429" s="3" t="n">
        <v>224.112201</v>
      </c>
      <c r="AM2429" s="3" t="n"/>
      <c r="AN2429" s="3" t="n"/>
      <c r="AO2429" s="3" t="n"/>
      <c r="AP2429" s="3" t="n"/>
      <c r="AQ2429" s="3" t="n"/>
      <c r="AR2429" s="3" t="n"/>
      <c r="AS2429" s="3" t="n"/>
      <c r="AT2429" s="3" t="n"/>
      <c r="AU2429" s="3" t="n"/>
    </row>
    <row r="2430">
      <c r="A2430" s="3" t="n">
        <v>2031</v>
      </c>
      <c r="B2430" s="3" t="inlineStr">
        <is>
          <t>PNG</t>
        </is>
      </c>
      <c r="C2430" s="3" t="inlineStr">
        <is>
          <t>IMF.RES:WEO</t>
        </is>
      </c>
      <c r="D2430" s="3" t="inlineStr">
        <is>
          <t>PNG.NGDP_R.A</t>
        </is>
      </c>
      <c r="E2430" s="3" t="inlineStr">
        <is>
          <t>Papua New Guinea</t>
        </is>
      </c>
      <c r="F2430" s="3" t="inlineStr">
        <is>
          <t>Gross domestic product (GDP), Constant prices, Domestic currency</t>
        </is>
      </c>
      <c r="G2430" s="3" t="n">
        <v>29.386043</v>
      </c>
      <c r="H2430" s="3" t="n">
        <v>29.350022</v>
      </c>
      <c r="I2430" s="3" t="n">
        <v>29.303385</v>
      </c>
      <c r="J2430" s="3" t="n">
        <v>31.954127</v>
      </c>
      <c r="K2430" s="3" t="n">
        <v>32.138781</v>
      </c>
      <c r="L2430" s="3" t="n">
        <v>33.505291</v>
      </c>
      <c r="M2430" s="3" t="n">
        <v>34.355402</v>
      </c>
      <c r="N2430" s="3" t="n">
        <v>37.040342</v>
      </c>
      <c r="O2430" s="3" t="n">
        <v>36.930533</v>
      </c>
      <c r="P2430" s="3" t="n">
        <v>39.441965</v>
      </c>
      <c r="Q2430" s="3" t="n">
        <v>43.436826</v>
      </c>
      <c r="R2430" s="3" t="n">
        <v>43.917908</v>
      </c>
      <c r="S2430" s="3" t="n">
        <v>45.963217</v>
      </c>
      <c r="T2430" s="3" t="n">
        <v>47.721286</v>
      </c>
      <c r="U2430" s="3" t="n">
        <v>54.184547</v>
      </c>
      <c r="V2430" s="3" t="n">
        <v>57.747476</v>
      </c>
      <c r="W2430" s="3" t="n">
        <v>60.919174</v>
      </c>
      <c r="X2430" s="3" t="n">
        <v>63.072429</v>
      </c>
      <c r="Y2430" s="3" t="n">
        <v>62.896298</v>
      </c>
      <c r="Z2430" s="3" t="n">
        <v>65.714344</v>
      </c>
      <c r="AA2430" s="3" t="n">
        <v>63.632918</v>
      </c>
      <c r="AB2430" s="3" t="n">
        <v>63.307787</v>
      </c>
      <c r="AC2430" s="3" t="n">
        <v>66.92085899999999</v>
      </c>
      <c r="AD2430" s="3" t="n">
        <v>69.471137</v>
      </c>
      <c r="AE2430" s="3" t="n">
        <v>72.172392</v>
      </c>
      <c r="AF2430" s="3" t="n">
        <v>76.241072</v>
      </c>
      <c r="AG2430" s="3" t="n">
        <v>79.102136</v>
      </c>
      <c r="AH2430" s="3" t="n">
        <v>82.10650800000001</v>
      </c>
      <c r="AI2430" s="3" t="n">
        <v>84.760198</v>
      </c>
      <c r="AJ2430" s="3" t="n">
        <v>87.387764</v>
      </c>
      <c r="AK2430" s="3" t="n">
        <v>90.096784</v>
      </c>
      <c r="AL2430" s="3" t="n">
        <v>92.889785</v>
      </c>
      <c r="AM2430" s="3" t="n"/>
      <c r="AN2430" s="3" t="n"/>
      <c r="AO2430" s="3" t="n"/>
      <c r="AP2430" s="3" t="n"/>
      <c r="AQ2430" s="3" t="n"/>
      <c r="AR2430" s="3" t="n"/>
      <c r="AS2430" s="3" t="n"/>
      <c r="AT2430" s="3" t="n"/>
      <c r="AU2430" s="3" t="n"/>
    </row>
    <row r="2431">
      <c r="A2431" s="3" t="n">
        <v>2031</v>
      </c>
      <c r="B2431" s="3" t="inlineStr">
        <is>
          <t>PNG</t>
        </is>
      </c>
      <c r="C2431" s="3" t="inlineStr">
        <is>
          <t>IMF.RES:WEO</t>
        </is>
      </c>
      <c r="D2431" s="3" t="inlineStr">
        <is>
          <t>PNG.NGDP_RPCH.A</t>
        </is>
      </c>
      <c r="E2431" s="3" t="inlineStr">
        <is>
          <t>Papua New Guinea</t>
        </is>
      </c>
      <c r="F2431" s="3" t="inlineStr">
        <is>
          <t>Gross domestic product (GDP), Constant prices, Percent change</t>
        </is>
      </c>
      <c r="G2431" s="3" t="n">
        <v>-2.493584</v>
      </c>
      <c r="H2431" s="3" t="n">
        <v>-0.122577</v>
      </c>
      <c r="I2431" s="3" t="n">
        <v>-0.1589</v>
      </c>
      <c r="J2431" s="3" t="n">
        <v>9.045857</v>
      </c>
      <c r="K2431" s="3" t="n">
        <v>0.57787</v>
      </c>
      <c r="L2431" s="3" t="n">
        <v>4.251905</v>
      </c>
      <c r="M2431" s="3" t="n">
        <v>2.537244</v>
      </c>
      <c r="N2431" s="3" t="n">
        <v>7.815189</v>
      </c>
      <c r="O2431" s="3" t="n">
        <v>-0.296458</v>
      </c>
      <c r="P2431" s="3" t="n">
        <v>6.800421</v>
      </c>
      <c r="Q2431" s="3" t="n">
        <v>10.128454</v>
      </c>
      <c r="R2431" s="3" t="n">
        <v>1.107544</v>
      </c>
      <c r="S2431" s="3" t="n">
        <v>4.65712</v>
      </c>
      <c r="T2431" s="3" t="n">
        <v>3.824946</v>
      </c>
      <c r="U2431" s="3" t="n">
        <v>13.543771</v>
      </c>
      <c r="V2431" s="3" t="n">
        <v>6.575544</v>
      </c>
      <c r="W2431" s="3" t="n">
        <v>5.492357</v>
      </c>
      <c r="X2431" s="3" t="n">
        <v>3.534611</v>
      </c>
      <c r="Y2431" s="3" t="n">
        <v>-0.279252</v>
      </c>
      <c r="Z2431" s="3" t="n">
        <v>4.480464</v>
      </c>
      <c r="AA2431" s="3" t="n">
        <v>-3.167385</v>
      </c>
      <c r="AB2431" s="3" t="n">
        <v>-0.510947</v>
      </c>
      <c r="AC2431" s="3" t="n">
        <v>5.707152</v>
      </c>
      <c r="AD2431" s="3" t="n">
        <v>3.810887</v>
      </c>
      <c r="AE2431" s="3" t="n">
        <v>3.888312</v>
      </c>
      <c r="AF2431" s="3" t="n">
        <v>5.637447</v>
      </c>
      <c r="AG2431" s="3" t="n">
        <v>3.752655</v>
      </c>
      <c r="AH2431" s="3" t="n">
        <v>3.798092</v>
      </c>
      <c r="AI2431" s="3" t="n">
        <v>3.232008</v>
      </c>
      <c r="AJ2431" s="3" t="n">
        <v>3.1</v>
      </c>
      <c r="AK2431" s="3" t="n">
        <v>3.1</v>
      </c>
      <c r="AL2431" s="3" t="n">
        <v>3.1</v>
      </c>
      <c r="AM2431" s="3" t="n"/>
      <c r="AN2431" s="3" t="n"/>
      <c r="AO2431" s="3" t="n"/>
      <c r="AP2431" s="3" t="n"/>
      <c r="AQ2431" s="3" t="n"/>
      <c r="AR2431" s="3" t="n"/>
      <c r="AS2431" s="3" t="n"/>
      <c r="AT2431" s="3" t="n"/>
      <c r="AU2431" s="3" t="n"/>
    </row>
    <row r="2432">
      <c r="A2432" s="3" t="n">
        <v>2031</v>
      </c>
      <c r="B2432" s="3" t="inlineStr">
        <is>
          <t>PNG</t>
        </is>
      </c>
      <c r="C2432" s="3" t="inlineStr">
        <is>
          <t>IMF.RES:WEO</t>
        </is>
      </c>
      <c r="D2432" s="3" t="inlineStr">
        <is>
          <t>PNG.NGDPD.A</t>
        </is>
      </c>
      <c r="E2432" s="3" t="inlineStr">
        <is>
          <t>Papua New Guinea</t>
        </is>
      </c>
      <c r="F2432" s="3" t="inlineStr">
        <is>
          <t>Gross domestic product (GDP), Current prices, US dollar</t>
        </is>
      </c>
      <c r="G2432" s="3" t="n">
        <v>5.16856</v>
      </c>
      <c r="H2432" s="3" t="n">
        <v>4.531305</v>
      </c>
      <c r="I2432" s="3" t="n">
        <v>4.386602</v>
      </c>
      <c r="J2432" s="3" t="n">
        <v>5.488482</v>
      </c>
      <c r="K2432" s="3" t="n">
        <v>6.278934</v>
      </c>
      <c r="L2432" s="3" t="n">
        <v>7.339297</v>
      </c>
      <c r="M2432" s="3" t="n">
        <v>8.354912000000001</v>
      </c>
      <c r="N2432" s="3" t="n">
        <v>9.545029</v>
      </c>
      <c r="O2432" s="3" t="n">
        <v>11.670891</v>
      </c>
      <c r="P2432" s="3" t="n">
        <v>11.619455</v>
      </c>
      <c r="Q2432" s="3" t="n">
        <v>14.250786</v>
      </c>
      <c r="R2432" s="3" t="n">
        <v>17.985138</v>
      </c>
      <c r="S2432" s="3" t="n">
        <v>21.295165</v>
      </c>
      <c r="T2432" s="3" t="n">
        <v>21.261377</v>
      </c>
      <c r="U2432" s="3" t="n">
        <v>23.210824</v>
      </c>
      <c r="V2432" s="3" t="n">
        <v>21.723334</v>
      </c>
      <c r="W2432" s="3" t="n">
        <v>20.758911</v>
      </c>
      <c r="X2432" s="3" t="n">
        <v>22.742696</v>
      </c>
      <c r="Y2432" s="3" t="n">
        <v>24.10978</v>
      </c>
      <c r="Z2432" s="3" t="n">
        <v>24.750628</v>
      </c>
      <c r="AA2432" s="3" t="n">
        <v>23.848445</v>
      </c>
      <c r="AB2432" s="3" t="n">
        <v>26.113334</v>
      </c>
      <c r="AC2432" s="3" t="n">
        <v>31.653189</v>
      </c>
      <c r="AD2432" s="3" t="n">
        <v>30.728822</v>
      </c>
      <c r="AE2432" s="3" t="n">
        <v>30.756033</v>
      </c>
      <c r="AF2432" s="3" t="n">
        <v>32.490882</v>
      </c>
      <c r="AG2432" s="3" t="n">
        <v>34.403216</v>
      </c>
      <c r="AH2432" s="3" t="n">
        <v>34.977845</v>
      </c>
      <c r="AI2432" s="3" t="n">
        <v>36.655152</v>
      </c>
      <c r="AJ2432" s="3" t="n">
        <v>38.349027</v>
      </c>
      <c r="AK2432" s="3" t="n">
        <v>40.312201</v>
      </c>
      <c r="AL2432" s="3" t="n">
        <v>42.784922</v>
      </c>
      <c r="AM2432" s="3" t="n"/>
      <c r="AN2432" s="3" t="n"/>
      <c r="AO2432" s="3" t="n"/>
      <c r="AP2432" s="3" t="n"/>
      <c r="AQ2432" s="3" t="n"/>
      <c r="AR2432" s="3" t="n"/>
      <c r="AS2432" s="3" t="n"/>
      <c r="AT2432" s="3" t="n"/>
      <c r="AU2432" s="3" t="n"/>
    </row>
    <row r="2433">
      <c r="A2433" s="3" t="n">
        <v>2031</v>
      </c>
      <c r="B2433" s="3" t="inlineStr">
        <is>
          <t>PNG</t>
        </is>
      </c>
      <c r="C2433" s="3" t="inlineStr">
        <is>
          <t>IMF.RES:WEO</t>
        </is>
      </c>
      <c r="D2433" s="3" t="inlineStr">
        <is>
          <t>PNG.NGDPPC.A</t>
        </is>
      </c>
      <c r="E2433" s="3" t="inlineStr">
        <is>
          <t>Papua New Guinea</t>
        </is>
      </c>
      <c r="F2433" s="3" t="inlineStr">
        <is>
          <t>Gross domestic product (GDP), Current prices, Per capita, Domestic currency</t>
        </is>
      </c>
      <c r="G2433" s="3" t="n">
        <v>2803.068996</v>
      </c>
      <c r="H2433" s="3" t="n">
        <v>2921.408263</v>
      </c>
      <c r="I2433" s="3" t="n">
        <v>3173.440384</v>
      </c>
      <c r="J2433" s="3" t="n">
        <v>3546.616022</v>
      </c>
      <c r="K2433" s="3" t="n">
        <v>3583.280847</v>
      </c>
      <c r="L2433" s="3" t="n">
        <v>3938.00613</v>
      </c>
      <c r="M2433" s="3" t="n">
        <v>4315.80849</v>
      </c>
      <c r="N2433" s="3" t="n">
        <v>4673.856997</v>
      </c>
      <c r="O2433" s="3" t="n">
        <v>5085.690523</v>
      </c>
      <c r="P2433" s="3" t="n">
        <v>5050.424942</v>
      </c>
      <c r="Q2433" s="3" t="n">
        <v>5750.942375</v>
      </c>
      <c r="R2433" s="3" t="n">
        <v>5878.08446</v>
      </c>
      <c r="S2433" s="3" t="n">
        <v>5826.953469</v>
      </c>
      <c r="T2433" s="3" t="n">
        <v>5970.204079</v>
      </c>
      <c r="U2433" s="3" t="n">
        <v>6809.049166</v>
      </c>
      <c r="V2433" s="3" t="n">
        <v>6828.316514</v>
      </c>
      <c r="W2433" s="3" t="n">
        <v>7035.024904</v>
      </c>
      <c r="X2433" s="3" t="n">
        <v>7473.161891</v>
      </c>
      <c r="Y2433" s="3" t="n">
        <v>7795.121908</v>
      </c>
      <c r="Z2433" s="3" t="n">
        <v>7841.287031</v>
      </c>
      <c r="AA2433" s="3" t="n">
        <v>7351.738765</v>
      </c>
      <c r="AB2433" s="3" t="n">
        <v>7777.046528</v>
      </c>
      <c r="AC2433" s="3" t="n">
        <v>9260.545624</v>
      </c>
      <c r="AD2433" s="3" t="n">
        <v>9006.913374</v>
      </c>
      <c r="AE2433" s="3" t="n">
        <v>9464.531547000001</v>
      </c>
      <c r="AF2433" s="3" t="n">
        <v>10465.11556</v>
      </c>
      <c r="AG2433" s="3" t="n">
        <v>11347.039234</v>
      </c>
      <c r="AH2433" s="3" t="n">
        <v>11606.784678</v>
      </c>
      <c r="AI2433" s="3" t="n">
        <v>12249.983167</v>
      </c>
      <c r="AJ2433" s="3" t="n">
        <v>12914.060271</v>
      </c>
      <c r="AK2433" s="3" t="n">
        <v>13614.519865</v>
      </c>
      <c r="AL2433" s="3" t="n">
        <v>14354.010995</v>
      </c>
      <c r="AM2433" s="3" t="n"/>
      <c r="AN2433" s="3" t="n"/>
      <c r="AO2433" s="3" t="n"/>
      <c r="AP2433" s="3" t="n"/>
      <c r="AQ2433" s="3" t="n"/>
      <c r="AR2433" s="3" t="n"/>
      <c r="AS2433" s="3" t="n"/>
      <c r="AT2433" s="3" t="n"/>
      <c r="AU2433" s="3" t="n"/>
    </row>
    <row r="2434">
      <c r="A2434" s="3" t="n">
        <v>2031</v>
      </c>
      <c r="B2434" s="3" t="inlineStr">
        <is>
          <t>PNG</t>
        </is>
      </c>
      <c r="C2434" s="3" t="inlineStr">
        <is>
          <t>IMF.RES:WEO</t>
        </is>
      </c>
      <c r="D2434" s="3" t="inlineStr">
        <is>
          <t>PNG.NGDPRPC.A</t>
        </is>
      </c>
      <c r="E2434" s="3" t="inlineStr">
        <is>
          <t>Papua New Guinea</t>
        </is>
      </c>
      <c r="F2434" s="3" t="inlineStr">
        <is>
          <t>Gross domestic product (GDP), Constant prices, Per capita, Domestic currency</t>
        </is>
      </c>
      <c r="G2434" s="3" t="n">
        <v>5728.273515</v>
      </c>
      <c r="H2434" s="3" t="n">
        <v>5583.961031</v>
      </c>
      <c r="I2434" s="3" t="n">
        <v>5442.366984</v>
      </c>
      <c r="J2434" s="3" t="n">
        <v>5794.525534</v>
      </c>
      <c r="K2434" s="3" t="n">
        <v>5691.490556</v>
      </c>
      <c r="L2434" s="3" t="n">
        <v>5795.628739</v>
      </c>
      <c r="M2434" s="3" t="n">
        <v>5805.740001</v>
      </c>
      <c r="N2434" s="3" t="n">
        <v>6116.426826</v>
      </c>
      <c r="O2434" s="3" t="n">
        <v>5960.099452</v>
      </c>
      <c r="P2434" s="3" t="n">
        <v>6222.379644</v>
      </c>
      <c r="Q2434" s="3" t="n">
        <v>6446.175093</v>
      </c>
      <c r="R2434" s="3" t="n">
        <v>6053.933297</v>
      </c>
      <c r="S2434" s="3" t="n">
        <v>6035.962522</v>
      </c>
      <c r="T2434" s="3" t="n">
        <v>5970.19305</v>
      </c>
      <c r="U2434" s="3" t="n">
        <v>6457.90738</v>
      </c>
      <c r="V2434" s="3" t="n">
        <v>6556.763124</v>
      </c>
      <c r="W2434" s="3" t="n">
        <v>6589.471975</v>
      </c>
      <c r="X2434" s="3" t="n">
        <v>6499.445343</v>
      </c>
      <c r="Y2434" s="3" t="n">
        <v>6174.502161</v>
      </c>
      <c r="Z2434" s="3" t="n">
        <v>6145.782201</v>
      </c>
      <c r="AA2434" s="3" t="n">
        <v>5669.424152</v>
      </c>
      <c r="AB2434" s="3" t="n">
        <v>5373.464363</v>
      </c>
      <c r="AC2434" s="3" t="n">
        <v>5563.306697</v>
      </c>
      <c r="AD2434" s="3" t="n">
        <v>5656.530876</v>
      </c>
      <c r="AE2434" s="3" t="n">
        <v>5755.606707</v>
      </c>
      <c r="AF2434" s="3" t="n">
        <v>5955.020546</v>
      </c>
      <c r="AG2434" s="3" t="n">
        <v>6051.412253</v>
      </c>
      <c r="AH2434" s="3" t="n">
        <v>6152.057267</v>
      </c>
      <c r="AI2434" s="3" t="n">
        <v>6220.266662</v>
      </c>
      <c r="AJ2434" s="3" t="n">
        <v>6281.189939</v>
      </c>
      <c r="AK2434" s="3" t="n">
        <v>6342.709919</v>
      </c>
      <c r="AL2434" s="3" t="n">
        <v>6404.832445</v>
      </c>
      <c r="AM2434" s="3" t="n"/>
      <c r="AN2434" s="3" t="n"/>
      <c r="AO2434" s="3" t="n"/>
      <c r="AP2434" s="3" t="n"/>
      <c r="AQ2434" s="3" t="n"/>
      <c r="AR2434" s="3" t="n"/>
      <c r="AS2434" s="3" t="n"/>
      <c r="AT2434" s="3" t="n"/>
      <c r="AU2434" s="3" t="n"/>
    </row>
    <row r="2435">
      <c r="A2435" s="3" t="n">
        <v>2031</v>
      </c>
      <c r="B2435" s="3" t="inlineStr">
        <is>
          <t>PNG</t>
        </is>
      </c>
      <c r="C2435" s="3" t="inlineStr">
        <is>
          <t>IMF.RES:WEO</t>
        </is>
      </c>
      <c r="D2435" s="3" t="inlineStr">
        <is>
          <t>PNG.PCPI.A</t>
        </is>
      </c>
      <c r="E2435" s="3" t="inlineStr">
        <is>
          <t>Papua New Guinea</t>
        </is>
      </c>
      <c r="F2435" s="3" t="inlineStr">
        <is>
          <t>All Items, Consumer price index (CPI), Period average</t>
        </is>
      </c>
      <c r="G2435" s="3" t="n">
        <v>49.268293</v>
      </c>
      <c r="H2435" s="3" t="n">
        <v>53.849344</v>
      </c>
      <c r="I2435" s="3" t="n">
        <v>60.203269</v>
      </c>
      <c r="J2435" s="3" t="n">
        <v>69.058615</v>
      </c>
      <c r="K2435" s="3" t="n">
        <v>70.549543</v>
      </c>
      <c r="L2435" s="3" t="n">
        <v>71.805892</v>
      </c>
      <c r="M2435" s="3" t="n">
        <v>73.50658799999999</v>
      </c>
      <c r="N2435" s="3" t="n">
        <v>74.17649</v>
      </c>
      <c r="O2435" s="3" t="n">
        <v>82.16278200000001</v>
      </c>
      <c r="P2435" s="3" t="n">
        <v>87.842955</v>
      </c>
      <c r="Q2435" s="3" t="n">
        <v>92.325</v>
      </c>
      <c r="R2435" s="3" t="n">
        <v>96.425</v>
      </c>
      <c r="S2435" s="3" t="n">
        <v>100.8</v>
      </c>
      <c r="T2435" s="3" t="n">
        <v>105.8</v>
      </c>
      <c r="U2435" s="3" t="n">
        <v>111.325</v>
      </c>
      <c r="V2435" s="3" t="n">
        <v>118</v>
      </c>
      <c r="W2435" s="3" t="n">
        <v>125.875</v>
      </c>
      <c r="X2435" s="3" t="n">
        <v>132.7</v>
      </c>
      <c r="Y2435" s="3" t="n">
        <v>138.554212</v>
      </c>
      <c r="Z2435" s="3" t="n">
        <v>143.946354</v>
      </c>
      <c r="AA2435" s="3" t="n">
        <v>150.958951</v>
      </c>
      <c r="AB2435" s="3" t="n">
        <v>157.727164</v>
      </c>
      <c r="AC2435" s="3" t="n">
        <v>166.013125</v>
      </c>
      <c r="AD2435" s="3" t="n">
        <v>169.829273</v>
      </c>
      <c r="AE2435" s="3" t="n">
        <v>170.825041</v>
      </c>
      <c r="AF2435" s="3" t="n">
        <v>178.341343</v>
      </c>
      <c r="AG2435" s="3" t="n">
        <v>187.25841</v>
      </c>
      <c r="AH2435" s="3" t="n">
        <v>195.49778</v>
      </c>
      <c r="AI2435" s="3" t="n">
        <v>204.29518</v>
      </c>
      <c r="AJ2435" s="3" t="n">
        <v>213.488463</v>
      </c>
      <c r="AK2435" s="3" t="n">
        <v>223.095444</v>
      </c>
      <c r="AL2435" s="3" t="n">
        <v>233.134739</v>
      </c>
      <c r="AM2435" s="3" t="n"/>
      <c r="AN2435" s="3" t="n"/>
      <c r="AO2435" s="3" t="n"/>
      <c r="AP2435" s="3" t="n"/>
      <c r="AQ2435" s="3" t="n"/>
      <c r="AR2435" s="3" t="n"/>
      <c r="AS2435" s="3" t="n"/>
      <c r="AT2435" s="3" t="n"/>
      <c r="AU2435" s="3" t="n"/>
    </row>
    <row r="2436">
      <c r="A2436" s="3" t="n">
        <v>2031</v>
      </c>
      <c r="B2436" s="3" t="inlineStr">
        <is>
          <t>PNG</t>
        </is>
      </c>
      <c r="C2436" s="3" t="inlineStr">
        <is>
          <t>IMF.RES:WEO</t>
        </is>
      </c>
      <c r="D2436" s="3" t="inlineStr">
        <is>
          <t>PNG.PCPIPCH.A</t>
        </is>
      </c>
      <c r="E2436" s="3" t="inlineStr">
        <is>
          <t>Papua New Guinea</t>
        </is>
      </c>
      <c r="F2436" s="3" t="inlineStr">
        <is>
          <t>All Items, Consumer price index (CPI), Period average, percent change</t>
        </is>
      </c>
      <c r="G2436" s="3" t="n">
        <v>15.595893</v>
      </c>
      <c r="H2436" s="3" t="n">
        <v>9.298173</v>
      </c>
      <c r="I2436" s="3" t="n">
        <v>11.799447</v>
      </c>
      <c r="J2436" s="3" t="n">
        <v>14.709078</v>
      </c>
      <c r="K2436" s="3" t="n">
        <v>2.158931</v>
      </c>
      <c r="L2436" s="3" t="n">
        <v>1.780804</v>
      </c>
      <c r="M2436" s="3" t="n">
        <v>2.368462</v>
      </c>
      <c r="N2436" s="3" t="n">
        <v>0.91135</v>
      </c>
      <c r="O2436" s="3" t="n">
        <v>10.766607</v>
      </c>
      <c r="P2436" s="3" t="n">
        <v>6.913317</v>
      </c>
      <c r="Q2436" s="3" t="n">
        <v>5.102338</v>
      </c>
      <c r="R2436" s="3" t="n">
        <v>4.440834</v>
      </c>
      <c r="S2436" s="3" t="n">
        <v>4.537205</v>
      </c>
      <c r="T2436" s="3" t="n">
        <v>4.960317</v>
      </c>
      <c r="U2436" s="3" t="n">
        <v>5.222117</v>
      </c>
      <c r="V2436" s="3" t="n">
        <v>5.995958</v>
      </c>
      <c r="W2436" s="3" t="n">
        <v>6.673729</v>
      </c>
      <c r="X2436" s="3" t="n">
        <v>5.422046</v>
      </c>
      <c r="Y2436" s="3" t="n">
        <v>4.411614</v>
      </c>
      <c r="Z2436" s="3" t="n">
        <v>3.89172</v>
      </c>
      <c r="AA2436" s="3" t="n">
        <v>4.871674</v>
      </c>
      <c r="AB2436" s="3" t="n">
        <v>4.483479</v>
      </c>
      <c r="AC2436" s="3" t="n">
        <v>5.253351</v>
      </c>
      <c r="AD2436" s="3" t="n">
        <v>2.298702</v>
      </c>
      <c r="AE2436" s="3" t="n">
        <v>0.5863350000000001</v>
      </c>
      <c r="AF2436" s="3" t="n">
        <v>4.4</v>
      </c>
      <c r="AG2436" s="3" t="n">
        <v>5</v>
      </c>
      <c r="AH2436" s="3" t="n">
        <v>4.4</v>
      </c>
      <c r="AI2436" s="3" t="n">
        <v>4.5</v>
      </c>
      <c r="AJ2436" s="3" t="n">
        <v>4.5</v>
      </c>
      <c r="AK2436" s="3" t="n">
        <v>4.5</v>
      </c>
      <c r="AL2436" s="3" t="n">
        <v>4.5</v>
      </c>
      <c r="AM2436" s="3" t="n"/>
      <c r="AN2436" s="3" t="n"/>
      <c r="AO2436" s="3" t="n"/>
      <c r="AP2436" s="3" t="n"/>
      <c r="AQ2436" s="3" t="n"/>
      <c r="AR2436" s="3" t="n"/>
      <c r="AS2436" s="3" t="n"/>
      <c r="AT2436" s="3" t="n"/>
      <c r="AU2436" s="3" t="n"/>
    </row>
    <row r="2437">
      <c r="A2437" s="3" t="n">
        <v>2031</v>
      </c>
      <c r="B2437" s="3" t="inlineStr">
        <is>
          <t>PNG</t>
        </is>
      </c>
      <c r="C2437" s="3" t="inlineStr">
        <is>
          <t>IMF.RES:WEO</t>
        </is>
      </c>
      <c r="D2437" s="3" t="inlineStr">
        <is>
          <t>PNG.PPPPC.A</t>
        </is>
      </c>
      <c r="E2437" s="3" t="inlineStr">
        <is>
          <t>Papua New Guinea</t>
        </is>
      </c>
      <c r="F2437" s="3" t="inlineStr">
        <is>
          <t>Gross domestic product (GDP), Per capita, purchasing power parity (PPP) international dollar, ICP benchmarks 2017-2021</t>
        </is>
      </c>
      <c r="G2437" s="3" t="n">
        <v>2068.108686</v>
      </c>
      <c r="H2437" s="3" t="n">
        <v>2061.399612</v>
      </c>
      <c r="I2437" s="3" t="n">
        <v>2040.3507</v>
      </c>
      <c r="J2437" s="3" t="n">
        <v>2215.262791</v>
      </c>
      <c r="K2437" s="3" t="n">
        <v>2234.378859</v>
      </c>
      <c r="L2437" s="3" t="n">
        <v>2346.609805</v>
      </c>
      <c r="M2437" s="3" t="n">
        <v>2423.196719</v>
      </c>
      <c r="N2437" s="3" t="n">
        <v>2622.035194</v>
      </c>
      <c r="O2437" s="3" t="n">
        <v>2604.239802</v>
      </c>
      <c r="P2437" s="3" t="n">
        <v>2735.610242</v>
      </c>
      <c r="Q2437" s="3" t="n">
        <v>2868.443504</v>
      </c>
      <c r="R2437" s="3" t="n">
        <v>2749.484152</v>
      </c>
      <c r="S2437" s="3" t="n">
        <v>2792.36402</v>
      </c>
      <c r="T2437" s="3" t="n">
        <v>2808.945986</v>
      </c>
      <c r="U2437" s="3" t="n">
        <v>3091.333632</v>
      </c>
      <c r="V2437" s="3" t="n">
        <v>3167.783245</v>
      </c>
      <c r="W2437" s="3" t="n">
        <v>3213.837127</v>
      </c>
      <c r="X2437" s="3" t="n">
        <v>3226.698997</v>
      </c>
      <c r="Y2437" s="3" t="n">
        <v>3135.599808</v>
      </c>
      <c r="Z2437" s="3" t="n">
        <v>3172.531578</v>
      </c>
      <c r="AA2437" s="3" t="n">
        <v>2965.982002</v>
      </c>
      <c r="AB2437" s="3" t="n">
        <v>2939.427249</v>
      </c>
      <c r="AC2437" s="3" t="n">
        <v>3259.726423</v>
      </c>
      <c r="AD2437" s="3" t="n">
        <v>3436.98161</v>
      </c>
      <c r="AE2437" s="3" t="n">
        <v>3584.000465</v>
      </c>
      <c r="AF2437" s="3" t="n">
        <v>3813.36718</v>
      </c>
      <c r="AG2437" s="3" t="n">
        <v>3986.108365</v>
      </c>
      <c r="AH2437" s="3" t="n">
        <v>4141.390773</v>
      </c>
      <c r="AI2437" s="3" t="n">
        <v>4256.037474</v>
      </c>
      <c r="AJ2437" s="3" t="n">
        <v>4374.140634</v>
      </c>
      <c r="AK2437" s="3" t="n">
        <v>4498.1456</v>
      </c>
      <c r="AL2437" s="3" t="n">
        <v>4624.202327</v>
      </c>
      <c r="AM2437" s="3" t="n"/>
      <c r="AN2437" s="3" t="n"/>
      <c r="AO2437" s="3" t="n"/>
      <c r="AP2437" s="3" t="n"/>
      <c r="AQ2437" s="3" t="n"/>
      <c r="AR2437" s="3" t="n"/>
      <c r="AS2437" s="3" t="n"/>
      <c r="AT2437" s="3" t="n"/>
      <c r="AU2437" s="3" t="n"/>
    </row>
    <row r="2438">
      <c r="A2438" s="3" t="n">
        <v>2025</v>
      </c>
      <c r="B2438" s="3" t="inlineStr">
        <is>
          <t>PNG</t>
        </is>
      </c>
      <c r="C2438" s="3" t="inlineStr">
        <is>
          <t>IMF.STA:ER</t>
        </is>
      </c>
      <c r="D2438" s="3" t="inlineStr">
        <is>
          <t>PNG.XDC_USD.PA_RT.A</t>
        </is>
      </c>
      <c r="E2438" s="3" t="inlineStr">
        <is>
          <t>Papua New Guinea</t>
        </is>
      </c>
      <c r="F2438" s="3" t="inlineStr">
        <is>
          <t>Domestic currency per US Dollar</t>
        </is>
      </c>
      <c r="G2438" s="3" t="n">
        <v>2.78215666666666</v>
      </c>
      <c r="H2438" s="3" t="n">
        <v>3.38871506458333</v>
      </c>
      <c r="I2438" s="3" t="n">
        <v>3.89522080166666</v>
      </c>
      <c r="J2438" s="3" t="n">
        <v>3.563452875</v>
      </c>
      <c r="K2438" s="3" t="n">
        <v>3.2225401036692</v>
      </c>
      <c r="L2438" s="3" t="n">
        <v>3.10194980033333</v>
      </c>
      <c r="M2438" s="3" t="n">
        <v>3.05673478733333</v>
      </c>
      <c r="N2438" s="3" t="n">
        <v>2.96534583333333</v>
      </c>
      <c r="O2438" s="3" t="n">
        <v>2.70008833333333</v>
      </c>
      <c r="P2438" s="3" t="n">
        <v>2.75514333333333</v>
      </c>
      <c r="Q2438" s="3" t="n">
        <v>2.71929416666666</v>
      </c>
      <c r="R2438" s="3" t="n">
        <v>2.37096994940422</v>
      </c>
      <c r="S2438" s="3" t="n">
        <v>2.08364833902548</v>
      </c>
      <c r="T2438" s="3" t="n">
        <v>2.24451</v>
      </c>
      <c r="U2438" s="3" t="n">
        <v>2.461385</v>
      </c>
      <c r="V2438" s="3" t="n">
        <v>2.76841166666666</v>
      </c>
      <c r="W2438" s="3" t="n">
        <v>3.13302930185604</v>
      </c>
      <c r="X2438" s="3" t="n">
        <v>3.18878838289616</v>
      </c>
      <c r="Y2438" s="3" t="n">
        <v>3.2934630812508</v>
      </c>
      <c r="Z2438" s="3" t="n">
        <v>3.38753768145423</v>
      </c>
      <c r="AA2438" s="3" t="n">
        <v>3.45997438644787</v>
      </c>
      <c r="AB2438" s="3" t="n">
        <v>3.50877192982456</v>
      </c>
      <c r="AC2438" s="3" t="n">
        <v>3.51922970506745</v>
      </c>
      <c r="AD2438" s="3" t="n">
        <v>3.58962274932015</v>
      </c>
      <c r="AE2438" s="3" t="n">
        <v>3.8527502682192</v>
      </c>
      <c r="AF2438" s="3" t="n">
        <v>4.12272372720281</v>
      </c>
      <c r="AG2438" s="3" t="n"/>
      <c r="AH2438" s="3" t="n"/>
      <c r="AI2438" s="3" t="n"/>
      <c r="AJ2438" s="3" t="n"/>
      <c r="AK2438" s="3" t="n"/>
      <c r="AL2438" s="3" t="n"/>
      <c r="AM2438" s="3" t="n"/>
      <c r="AN2438" s="3" t="n"/>
      <c r="AO2438" s="3" t="n"/>
      <c r="AP2438" s="3" t="n"/>
      <c r="AQ2438" s="3" t="n"/>
      <c r="AR2438" s="3" t="n"/>
      <c r="AS2438" s="3" t="n"/>
      <c r="AT2438" s="3" t="n"/>
      <c r="AU2438" s="3" t="n"/>
    </row>
    <row r="2439">
      <c r="A2439" s="3" t="n">
        <v>2031</v>
      </c>
      <c r="B2439" s="3" t="inlineStr">
        <is>
          <t>POL</t>
        </is>
      </c>
      <c r="C2439" s="3" t="inlineStr">
        <is>
          <t>IMF.RES:WEO</t>
        </is>
      </c>
      <c r="D2439" s="3" t="inlineStr">
        <is>
          <t>POL.BCA.A</t>
        </is>
      </c>
      <c r="E2439" s="3" t="inlineStr">
        <is>
          <t>Poland, Republic of</t>
        </is>
      </c>
      <c r="F2439" s="3" t="inlineStr">
        <is>
          <t>Current account balance (credit less debit), US dollar</t>
        </is>
      </c>
      <c r="G2439" s="3" t="n">
        <v>-10.343</v>
      </c>
      <c r="H2439" s="3" t="n">
        <v>-5.946</v>
      </c>
      <c r="I2439" s="3" t="n">
        <v>-5.544</v>
      </c>
      <c r="J2439" s="3" t="n">
        <v>-5.473</v>
      </c>
      <c r="K2439" s="3" t="n">
        <v>-15.297</v>
      </c>
      <c r="L2439" s="3" t="n">
        <v>-10.146</v>
      </c>
      <c r="M2439" s="3" t="n">
        <v>-16.081</v>
      </c>
      <c r="N2439" s="3" t="n">
        <v>-28.722</v>
      </c>
      <c r="O2439" s="3" t="n">
        <v>-36.135</v>
      </c>
      <c r="P2439" s="3" t="n">
        <v>-17.394</v>
      </c>
      <c r="Q2439" s="3" t="n">
        <v>-24.702</v>
      </c>
      <c r="R2439" s="3" t="n">
        <v>-26.976</v>
      </c>
      <c r="S2439" s="3" t="n">
        <v>-20.483</v>
      </c>
      <c r="T2439" s="3" t="n">
        <v>-10.268</v>
      </c>
      <c r="U2439" s="3" t="n">
        <v>-16.117</v>
      </c>
      <c r="V2439" s="3" t="n">
        <v>-6.363</v>
      </c>
      <c r="W2439" s="3" t="n">
        <v>-5.058</v>
      </c>
      <c r="X2439" s="3" t="n">
        <v>-6.268</v>
      </c>
      <c r="Y2439" s="3" t="n">
        <v>-11.69</v>
      </c>
      <c r="Z2439" s="3" t="n">
        <v>-1.645</v>
      </c>
      <c r="AA2439" s="3" t="n">
        <v>14.532</v>
      </c>
      <c r="AB2439" s="3" t="n">
        <v>-8.970000000000001</v>
      </c>
      <c r="AC2439" s="3" t="n">
        <v>-15.822</v>
      </c>
      <c r="AD2439" s="3" t="n">
        <v>12.486</v>
      </c>
      <c r="AE2439" s="3" t="n">
        <v>2.795</v>
      </c>
      <c r="AF2439" s="3" t="n">
        <v>-7.245</v>
      </c>
      <c r="AG2439" s="3" t="n">
        <v>-12.598776</v>
      </c>
      <c r="AH2439" s="3" t="n">
        <v>-10.89554</v>
      </c>
      <c r="AI2439" s="3" t="n">
        <v>-7.365699</v>
      </c>
      <c r="AJ2439" s="3" t="n">
        <v>-9.707086</v>
      </c>
      <c r="AK2439" s="3" t="n">
        <v>-11.830656</v>
      </c>
      <c r="AL2439" s="3" t="n">
        <v>-14.242943</v>
      </c>
      <c r="AM2439" s="3" t="n"/>
      <c r="AN2439" s="3" t="n"/>
      <c r="AO2439" s="3" t="n"/>
      <c r="AP2439" s="3" t="n"/>
      <c r="AQ2439" s="3" t="n"/>
      <c r="AR2439" s="3" t="n"/>
      <c r="AS2439" s="3" t="n"/>
      <c r="AT2439" s="3" t="n"/>
      <c r="AU2439" s="3" t="n"/>
    </row>
    <row r="2440">
      <c r="A2440" s="3" t="n">
        <v>2031</v>
      </c>
      <c r="B2440" s="3" t="inlineStr">
        <is>
          <t>POL</t>
        </is>
      </c>
      <c r="C2440" s="3" t="inlineStr">
        <is>
          <t>IMF.RES:WEO</t>
        </is>
      </c>
      <c r="D2440" s="3" t="inlineStr">
        <is>
          <t>POL.BCA_NGDPD.A</t>
        </is>
      </c>
      <c r="E2440" s="3" t="inlineStr">
        <is>
          <t>Poland, Republic of</t>
        </is>
      </c>
      <c r="F2440" s="3" t="inlineStr">
        <is>
          <t>Current account balance (credit less debit), Percent of GDP</t>
        </is>
      </c>
      <c r="G2440" s="3" t="n">
        <v>-6.008089</v>
      </c>
      <c r="H2440" s="3" t="n">
        <v>-3.106529</v>
      </c>
      <c r="I2440" s="3" t="n">
        <v>-2.776243</v>
      </c>
      <c r="J2440" s="3" t="n">
        <v>-2.504103</v>
      </c>
      <c r="K2440" s="3" t="n">
        <v>-5.964813</v>
      </c>
      <c r="L2440" s="3" t="n">
        <v>-3.303185</v>
      </c>
      <c r="M2440" s="3" t="n">
        <v>-4.649065</v>
      </c>
      <c r="N2440" s="3" t="n">
        <v>-6.683965</v>
      </c>
      <c r="O2440" s="3" t="n">
        <v>-6.746485</v>
      </c>
      <c r="P2440" s="3" t="n">
        <v>-3.94463</v>
      </c>
      <c r="Q2440" s="3" t="n">
        <v>-5.166577</v>
      </c>
      <c r="R2440" s="3" t="n">
        <v>-5.110559</v>
      </c>
      <c r="S2440" s="3" t="n">
        <v>-4.111824</v>
      </c>
      <c r="T2440" s="3" t="n">
        <v>-1.981552</v>
      </c>
      <c r="U2440" s="3" t="n">
        <v>-2.972157</v>
      </c>
      <c r="V2440" s="3" t="n">
        <v>-1.326375</v>
      </c>
      <c r="W2440" s="3" t="n">
        <v>-1.06961</v>
      </c>
      <c r="X2440" s="3" t="n">
        <v>-1.186006</v>
      </c>
      <c r="Y2440" s="3" t="n">
        <v>-1.965891</v>
      </c>
      <c r="Z2440" s="3" t="n">
        <v>-0.272987</v>
      </c>
      <c r="AA2440" s="3" t="n">
        <v>2.398298</v>
      </c>
      <c r="AB2440" s="3" t="n">
        <v>-1.301408</v>
      </c>
      <c r="AC2440" s="3" t="n">
        <v>-2.274146</v>
      </c>
      <c r="AD2440" s="3" t="n">
        <v>1.535871</v>
      </c>
      <c r="AE2440" s="3" t="n">
        <v>0.304591</v>
      </c>
      <c r="AF2440" s="3" t="n">
        <v>-0.699604</v>
      </c>
      <c r="AG2440" s="3" t="n">
        <v>-1.110761</v>
      </c>
      <c r="AH2440" s="3" t="n">
        <v>-0.91976</v>
      </c>
      <c r="AI2440" s="3" t="n">
        <v>-0.590043</v>
      </c>
      <c r="AJ2440" s="3" t="n">
        <v>-0.7366279999999999</v>
      </c>
      <c r="AK2440" s="3" t="n">
        <v>-0.852376</v>
      </c>
      <c r="AL2440" s="3" t="n">
        <v>-0.974674</v>
      </c>
      <c r="AM2440" s="3" t="n"/>
      <c r="AN2440" s="3" t="n"/>
      <c r="AO2440" s="3" t="n"/>
      <c r="AP2440" s="3" t="n"/>
      <c r="AQ2440" s="3" t="n"/>
      <c r="AR2440" s="3" t="n"/>
      <c r="AS2440" s="3" t="n"/>
      <c r="AT2440" s="3" t="n"/>
      <c r="AU2440" s="3" t="n"/>
    </row>
    <row r="2441">
      <c r="A2441" s="3" t="n">
        <v>2031</v>
      </c>
      <c r="B2441" s="3" t="inlineStr">
        <is>
          <t>POL</t>
        </is>
      </c>
      <c r="C2441" s="3" t="inlineStr">
        <is>
          <t>IMF.RES:WEO</t>
        </is>
      </c>
      <c r="D2441" s="3" t="inlineStr">
        <is>
          <t>POL.GGR_NGDP.A</t>
        </is>
      </c>
      <c r="E2441" s="3" t="inlineStr">
        <is>
          <t>Poland, Republic of</t>
        </is>
      </c>
      <c r="F2441" s="3" t="inlineStr">
        <is>
          <t>Revenue, General government, Percent of GDP</t>
        </is>
      </c>
      <c r="G2441" s="3" t="n">
        <v>38.925052</v>
      </c>
      <c r="H2441" s="3" t="n">
        <v>39.848893</v>
      </c>
      <c r="I2441" s="3" t="n">
        <v>40.114567</v>
      </c>
      <c r="J2441" s="3" t="n">
        <v>39.290127</v>
      </c>
      <c r="K2441" s="3" t="n">
        <v>38.361508</v>
      </c>
      <c r="L2441" s="3" t="n">
        <v>40.187715</v>
      </c>
      <c r="M2441" s="3" t="n">
        <v>40.765611</v>
      </c>
      <c r="N2441" s="3" t="n">
        <v>40.954084</v>
      </c>
      <c r="O2441" s="3" t="n">
        <v>40.430432</v>
      </c>
      <c r="P2441" s="3" t="n">
        <v>37.666904</v>
      </c>
      <c r="Q2441" s="3" t="n">
        <v>38.569011</v>
      </c>
      <c r="R2441" s="3" t="n">
        <v>39.143669</v>
      </c>
      <c r="S2441" s="3" t="n">
        <v>39.374767</v>
      </c>
      <c r="T2441" s="3" t="n">
        <v>38.963467</v>
      </c>
      <c r="U2441" s="3" t="n">
        <v>39.020486</v>
      </c>
      <c r="V2441" s="3" t="n">
        <v>38.901659</v>
      </c>
      <c r="W2441" s="3" t="n">
        <v>38.66926</v>
      </c>
      <c r="X2441" s="3" t="n">
        <v>39.644968</v>
      </c>
      <c r="Y2441" s="3" t="n">
        <v>40.795654</v>
      </c>
      <c r="Z2441" s="3" t="n">
        <v>40.688892</v>
      </c>
      <c r="AA2441" s="3" t="n">
        <v>40.881905</v>
      </c>
      <c r="AB2441" s="3" t="n">
        <v>41.892374</v>
      </c>
      <c r="AC2441" s="3" t="n">
        <v>39.878712</v>
      </c>
      <c r="AD2441" s="3" t="n">
        <v>41.663395</v>
      </c>
      <c r="AE2441" s="3" t="n">
        <v>42.966644</v>
      </c>
      <c r="AF2441" s="3" t="n">
        <v>42.941583</v>
      </c>
      <c r="AG2441" s="3" t="n">
        <v>44.40634</v>
      </c>
      <c r="AH2441" s="3" t="n">
        <v>44.335381</v>
      </c>
      <c r="AI2441" s="3" t="n">
        <v>43.541649</v>
      </c>
      <c r="AJ2441" s="3" t="n">
        <v>43.676416</v>
      </c>
      <c r="AK2441" s="3" t="n">
        <v>44.036852</v>
      </c>
      <c r="AL2441" s="3" t="n">
        <v>44.158587</v>
      </c>
      <c r="AM2441" s="3" t="n"/>
      <c r="AN2441" s="3" t="n"/>
      <c r="AO2441" s="3" t="n"/>
      <c r="AP2441" s="3" t="n"/>
      <c r="AQ2441" s="3" t="n"/>
      <c r="AR2441" s="3" t="n"/>
      <c r="AS2441" s="3" t="n"/>
      <c r="AT2441" s="3" t="n"/>
      <c r="AU2441" s="3" t="n"/>
    </row>
    <row r="2442">
      <c r="A2442" s="3" t="n">
        <v>2031</v>
      </c>
      <c r="B2442" s="3" t="inlineStr">
        <is>
          <t>POL</t>
        </is>
      </c>
      <c r="C2442" s="3" t="inlineStr">
        <is>
          <t>IMF.RES:WEO</t>
        </is>
      </c>
      <c r="D2442" s="3" t="inlineStr">
        <is>
          <t>POL.GGX_NGDP.A</t>
        </is>
      </c>
      <c r="E2442" s="3" t="inlineStr">
        <is>
          <t>Poland, Republic of</t>
        </is>
      </c>
      <c r="F2442" s="3" t="inlineStr">
        <is>
          <t>Expenditure, General government, Percent of GDP</t>
        </is>
      </c>
      <c r="G2442" s="3" t="n">
        <v>42.90951</v>
      </c>
      <c r="H2442" s="3" t="n">
        <v>44.562245</v>
      </c>
      <c r="I2442" s="3" t="n">
        <v>44.9009</v>
      </c>
      <c r="J2442" s="3" t="n">
        <v>45.285843</v>
      </c>
      <c r="K2442" s="3" t="n">
        <v>43.360596</v>
      </c>
      <c r="L2442" s="3" t="n">
        <v>44.113575</v>
      </c>
      <c r="M2442" s="3" t="n">
        <v>44.292646</v>
      </c>
      <c r="N2442" s="3" t="n">
        <v>42.833363</v>
      </c>
      <c r="O2442" s="3" t="n">
        <v>44.025791</v>
      </c>
      <c r="P2442" s="3" t="n">
        <v>44.903216</v>
      </c>
      <c r="Q2442" s="3" t="n">
        <v>45.998764</v>
      </c>
      <c r="R2442" s="3" t="n">
        <v>44.118127</v>
      </c>
      <c r="S2442" s="3" t="n">
        <v>43.170131</v>
      </c>
      <c r="T2442" s="3" t="n">
        <v>43.209552</v>
      </c>
      <c r="U2442" s="3" t="n">
        <v>42.682645</v>
      </c>
      <c r="V2442" s="3" t="n">
        <v>41.496185</v>
      </c>
      <c r="W2442" s="3" t="n">
        <v>41.052398</v>
      </c>
      <c r="X2442" s="3" t="n">
        <v>41.130864</v>
      </c>
      <c r="Y2442" s="3" t="n">
        <v>41.040501</v>
      </c>
      <c r="Z2442" s="3" t="n">
        <v>41.422502</v>
      </c>
      <c r="AA2442" s="3" t="n">
        <v>47.735077</v>
      </c>
      <c r="AB2442" s="3" t="n">
        <v>43.568035</v>
      </c>
      <c r="AC2442" s="3" t="n">
        <v>43.247917</v>
      </c>
      <c r="AD2442" s="3" t="n">
        <v>46.858996</v>
      </c>
      <c r="AE2442" s="3" t="n">
        <v>49.441734</v>
      </c>
      <c r="AF2442" s="3" t="n">
        <v>49.953044</v>
      </c>
      <c r="AG2442" s="3" t="n">
        <v>51.151978</v>
      </c>
      <c r="AH2442" s="3" t="n">
        <v>50.700491</v>
      </c>
      <c r="AI2442" s="3" t="n">
        <v>49.261299</v>
      </c>
      <c r="AJ2442" s="3" t="n">
        <v>49.068768</v>
      </c>
      <c r="AK2442" s="3" t="n">
        <v>49.060284</v>
      </c>
      <c r="AL2442" s="3" t="n">
        <v>48.970058</v>
      </c>
      <c r="AM2442" s="3" t="n"/>
      <c r="AN2442" s="3" t="n"/>
      <c r="AO2442" s="3" t="n"/>
      <c r="AP2442" s="3" t="n"/>
      <c r="AQ2442" s="3" t="n"/>
      <c r="AR2442" s="3" t="n"/>
      <c r="AS2442" s="3" t="n"/>
      <c r="AT2442" s="3" t="n"/>
      <c r="AU2442" s="3" t="n"/>
    </row>
    <row r="2443">
      <c r="A2443" s="3" t="n">
        <v>2031</v>
      </c>
      <c r="B2443" s="3" t="inlineStr">
        <is>
          <t>POL</t>
        </is>
      </c>
      <c r="C2443" s="3" t="inlineStr">
        <is>
          <t>IMF.RES:WEO</t>
        </is>
      </c>
      <c r="D2443" s="3" t="inlineStr">
        <is>
          <t>POL.LP.A</t>
        </is>
      </c>
      <c r="E2443" s="3" t="inlineStr">
        <is>
          <t>Poland, Republic of</t>
        </is>
      </c>
      <c r="F2443" s="3" t="inlineStr">
        <is>
          <t>Population, Persons for countries / Index for country groups</t>
        </is>
      </c>
      <c r="G2443" s="3" t="n">
        <v>38.263303</v>
      </c>
      <c r="H2443" s="3" t="n">
        <v>38.253955</v>
      </c>
      <c r="I2443" s="3" t="n">
        <v>38.242197</v>
      </c>
      <c r="J2443" s="3" t="n">
        <v>38.218531</v>
      </c>
      <c r="K2443" s="3" t="n">
        <v>38.190608</v>
      </c>
      <c r="L2443" s="3" t="n">
        <v>38.173835</v>
      </c>
      <c r="M2443" s="3" t="n">
        <v>38.157055</v>
      </c>
      <c r="N2443" s="3" t="n">
        <v>38.125479</v>
      </c>
      <c r="O2443" s="3" t="n">
        <v>38.115641</v>
      </c>
      <c r="P2443" s="3" t="n">
        <v>38.135876</v>
      </c>
      <c r="Q2443" s="3" t="n">
        <v>38.022869</v>
      </c>
      <c r="R2443" s="3" t="n">
        <v>38.062718</v>
      </c>
      <c r="S2443" s="3" t="n">
        <v>38.063792</v>
      </c>
      <c r="T2443" s="3" t="n">
        <v>38.062535</v>
      </c>
      <c r="U2443" s="3" t="n">
        <v>38.017856</v>
      </c>
      <c r="V2443" s="3" t="n">
        <v>38.005614</v>
      </c>
      <c r="W2443" s="3" t="n">
        <v>37.967209</v>
      </c>
      <c r="X2443" s="3" t="n">
        <v>37.972964</v>
      </c>
      <c r="Y2443" s="3" t="n">
        <v>37.976687</v>
      </c>
      <c r="Z2443" s="3" t="n">
        <v>37.972812</v>
      </c>
      <c r="AA2443" s="3" t="n">
        <v>37.958138</v>
      </c>
      <c r="AB2443" s="3" t="n">
        <v>37.073357</v>
      </c>
      <c r="AC2443" s="3" t="n">
        <v>36.889761</v>
      </c>
      <c r="AD2443" s="3" t="n">
        <v>36.753736</v>
      </c>
      <c r="AE2443" s="3" t="n">
        <v>36.62097</v>
      </c>
      <c r="AF2443" s="3" t="n">
        <v>36.497495</v>
      </c>
      <c r="AG2443" s="3" t="n">
        <v>36.196374</v>
      </c>
      <c r="AH2443" s="3" t="n">
        <v>36.123981</v>
      </c>
      <c r="AI2443" s="3" t="n">
        <v>36.051733</v>
      </c>
      <c r="AJ2443" s="3" t="n">
        <v>35.979629</v>
      </c>
      <c r="AK2443" s="3" t="n">
        <v>35.90767</v>
      </c>
      <c r="AL2443" s="3" t="n">
        <v>35.835855</v>
      </c>
      <c r="AM2443" s="3" t="n"/>
      <c r="AN2443" s="3" t="n"/>
      <c r="AO2443" s="3" t="n"/>
      <c r="AP2443" s="3" t="n"/>
      <c r="AQ2443" s="3" t="n"/>
      <c r="AR2443" s="3" t="n"/>
      <c r="AS2443" s="3" t="n"/>
      <c r="AT2443" s="3" t="n"/>
      <c r="AU2443" s="3" t="n"/>
    </row>
    <row r="2444">
      <c r="A2444" s="3" t="n">
        <v>2031</v>
      </c>
      <c r="B2444" s="3" t="inlineStr">
        <is>
          <t>POL</t>
        </is>
      </c>
      <c r="C2444" s="3" t="inlineStr">
        <is>
          <t>IMF.RES:WEO</t>
        </is>
      </c>
      <c r="D2444" s="3" t="inlineStr">
        <is>
          <t>POL.NGDP.A</t>
        </is>
      </c>
      <c r="E2444" s="3" t="inlineStr">
        <is>
          <t>Poland, Republic of</t>
        </is>
      </c>
      <c r="F2444" s="3" t="inlineStr">
        <is>
          <t>Gross domestic product (GDP), Current prices, Domestic currency</t>
        </is>
      </c>
      <c r="G2444" s="3" t="n">
        <v>748.182275</v>
      </c>
      <c r="H2444" s="3" t="n">
        <v>783.547898</v>
      </c>
      <c r="I2444" s="3" t="n">
        <v>814.7596</v>
      </c>
      <c r="J2444" s="3" t="n">
        <v>850.0014</v>
      </c>
      <c r="K2444" s="3" t="n">
        <v>937.3393</v>
      </c>
      <c r="L2444" s="3" t="n">
        <v>993.2931</v>
      </c>
      <c r="M2444" s="3" t="n">
        <v>1073.3748</v>
      </c>
      <c r="N2444" s="3" t="n">
        <v>1189.4296</v>
      </c>
      <c r="O2444" s="3" t="n">
        <v>1290.4193</v>
      </c>
      <c r="P2444" s="3" t="n">
        <v>1375.644</v>
      </c>
      <c r="Q2444" s="3" t="n">
        <v>1441.6496</v>
      </c>
      <c r="R2444" s="3" t="n">
        <v>1563.9354</v>
      </c>
      <c r="S2444" s="3" t="n">
        <v>1622.242</v>
      </c>
      <c r="T2444" s="3" t="n">
        <v>1637.7675</v>
      </c>
      <c r="U2444" s="3" t="n">
        <v>1710.185</v>
      </c>
      <c r="V2444" s="3" t="n">
        <v>1809.5642</v>
      </c>
      <c r="W2444" s="3" t="n">
        <v>1865.9602</v>
      </c>
      <c r="X2444" s="3" t="n">
        <v>1996.836</v>
      </c>
      <c r="Y2444" s="3" t="n">
        <v>2147.5866</v>
      </c>
      <c r="Z2444" s="3" t="n">
        <v>2313.9288</v>
      </c>
      <c r="AA2444" s="3" t="n">
        <v>2362.9085</v>
      </c>
      <c r="AB2444" s="3" t="n">
        <v>2661.5178</v>
      </c>
      <c r="AC2444" s="3" t="n">
        <v>3100.8499</v>
      </c>
      <c r="AD2444" s="3" t="n">
        <v>3415.2738</v>
      </c>
      <c r="AE2444" s="3" t="n">
        <v>3653.4317</v>
      </c>
      <c r="AF2444" s="3" t="n">
        <v>3894.0106</v>
      </c>
      <c r="AG2444" s="3" t="n">
        <v>4140.988068</v>
      </c>
      <c r="AH2444" s="3" t="n">
        <v>4343.606908</v>
      </c>
      <c r="AI2444" s="3" t="n">
        <v>4632.349096</v>
      </c>
      <c r="AJ2444" s="3" t="n">
        <v>4876.477315</v>
      </c>
      <c r="AK2444" s="3" t="n">
        <v>5120.212355</v>
      </c>
      <c r="AL2444" s="3" t="n">
        <v>5375.716327</v>
      </c>
      <c r="AM2444" s="3" t="n"/>
      <c r="AN2444" s="3" t="n"/>
      <c r="AO2444" s="3" t="n"/>
      <c r="AP2444" s="3" t="n"/>
      <c r="AQ2444" s="3" t="n"/>
      <c r="AR2444" s="3" t="n"/>
      <c r="AS2444" s="3" t="n"/>
      <c r="AT2444" s="3" t="n"/>
      <c r="AU2444" s="3" t="n"/>
    </row>
    <row r="2445">
      <c r="A2445" s="3" t="n">
        <v>2031</v>
      </c>
      <c r="B2445" s="3" t="inlineStr">
        <is>
          <t>POL</t>
        </is>
      </c>
      <c r="C2445" s="3" t="inlineStr">
        <is>
          <t>IMF.RES:WEO</t>
        </is>
      </c>
      <c r="D2445" s="3" t="inlineStr">
        <is>
          <t>POL.NGDP_D.A</t>
        </is>
      </c>
      <c r="E2445" s="3" t="inlineStr">
        <is>
          <t>Poland, Republic of</t>
        </is>
      </c>
      <c r="F2445" s="3" t="inlineStr">
        <is>
          <t>Gross domestic product (GDP), Price deflator, Index</t>
        </is>
      </c>
      <c r="G2445" s="3" t="n">
        <v>62.999824</v>
      </c>
      <c r="H2445" s="3" t="n">
        <v>65.19199399999999</v>
      </c>
      <c r="I2445" s="3" t="n">
        <v>66.82426700000001</v>
      </c>
      <c r="J2445" s="3" t="n">
        <v>67.341961</v>
      </c>
      <c r="K2445" s="3" t="n">
        <v>70.663991</v>
      </c>
      <c r="L2445" s="3" t="n">
        <v>72.517572</v>
      </c>
      <c r="M2445" s="3" t="n">
        <v>73.78771399999999</v>
      </c>
      <c r="N2445" s="3" t="n">
        <v>76.588054</v>
      </c>
      <c r="O2445" s="3" t="n">
        <v>79.60126</v>
      </c>
      <c r="P2445" s="3" t="n">
        <v>82.69588400000001</v>
      </c>
      <c r="Q2445" s="3" t="n">
        <v>84.001818</v>
      </c>
      <c r="R2445" s="3" t="n">
        <v>86.57714</v>
      </c>
      <c r="S2445" s="3" t="n">
        <v>88.467427</v>
      </c>
      <c r="T2445" s="3" t="n">
        <v>88.707116</v>
      </c>
      <c r="U2445" s="3" t="n">
        <v>89.134975</v>
      </c>
      <c r="V2445" s="3" t="n">
        <v>90.312186</v>
      </c>
      <c r="W2445" s="3" t="n">
        <v>90.387016</v>
      </c>
      <c r="X2445" s="3" t="n">
        <v>91.98704499999999</v>
      </c>
      <c r="Y2445" s="3" t="n">
        <v>93.115714</v>
      </c>
      <c r="Z2445" s="3" t="n">
        <v>95.933753</v>
      </c>
      <c r="AA2445" s="3" t="n">
        <v>100</v>
      </c>
      <c r="AB2445" s="3" t="n">
        <v>105.340217</v>
      </c>
      <c r="AC2445" s="3" t="n">
        <v>116.600638</v>
      </c>
      <c r="AD2445" s="3" t="n">
        <v>128.104094</v>
      </c>
      <c r="AE2445" s="3" t="n">
        <v>133.009148</v>
      </c>
      <c r="AF2445" s="3" t="n">
        <v>136.877499</v>
      </c>
      <c r="AG2445" s="3" t="n">
        <v>140.876441</v>
      </c>
      <c r="AH2445" s="3" t="n">
        <v>144.333938</v>
      </c>
      <c r="AI2445" s="3" t="n">
        <v>149.981962</v>
      </c>
      <c r="AJ2445" s="3" t="n">
        <v>153.95519</v>
      </c>
      <c r="AK2445" s="3" t="n">
        <v>157.735622</v>
      </c>
      <c r="AL2445" s="3" t="n">
        <v>161.597921</v>
      </c>
      <c r="AM2445" s="3" t="n"/>
      <c r="AN2445" s="3" t="n"/>
      <c r="AO2445" s="3" t="n"/>
      <c r="AP2445" s="3" t="n"/>
      <c r="AQ2445" s="3" t="n"/>
      <c r="AR2445" s="3" t="n"/>
      <c r="AS2445" s="3" t="n"/>
      <c r="AT2445" s="3" t="n"/>
      <c r="AU2445" s="3" t="n"/>
    </row>
    <row r="2446">
      <c r="A2446" s="3" t="n">
        <v>2031</v>
      </c>
      <c r="B2446" s="3" t="inlineStr">
        <is>
          <t>POL</t>
        </is>
      </c>
      <c r="C2446" s="3" t="inlineStr">
        <is>
          <t>IMF.RES:WEO</t>
        </is>
      </c>
      <c r="D2446" s="3" t="inlineStr">
        <is>
          <t>POL.NGDP_R.A</t>
        </is>
      </c>
      <c r="E2446" s="3" t="inlineStr">
        <is>
          <t>Poland, Republic of</t>
        </is>
      </c>
      <c r="F2446" s="3" t="inlineStr">
        <is>
          <t>Gross domestic product (GDP), Constant prices, Domestic currency</t>
        </is>
      </c>
      <c r="G2446" s="3" t="n">
        <v>1187.594223</v>
      </c>
      <c r="H2446" s="3" t="n">
        <v>1201.908156</v>
      </c>
      <c r="I2446" s="3" t="n">
        <v>1219.257078</v>
      </c>
      <c r="J2446" s="3" t="n">
        <v>1262.216591</v>
      </c>
      <c r="K2446" s="3" t="n">
        <v>1326.47377</v>
      </c>
      <c r="L2446" s="3" t="n">
        <v>1369.727461</v>
      </c>
      <c r="M2446" s="3" t="n">
        <v>1454.67956</v>
      </c>
      <c r="N2446" s="3" t="n">
        <v>1553.022354</v>
      </c>
      <c r="O2446" s="3" t="n">
        <v>1621.10412</v>
      </c>
      <c r="P2446" s="3" t="n">
        <v>1663.497545</v>
      </c>
      <c r="Q2446" s="3" t="n">
        <v>1716.212381</v>
      </c>
      <c r="R2446" s="3" t="n">
        <v>1806.406858</v>
      </c>
      <c r="S2446" s="3" t="n">
        <v>1833.716723</v>
      </c>
      <c r="T2446" s="3" t="n">
        <v>1846.26394</v>
      </c>
      <c r="U2446" s="3" t="n">
        <v>1918.646408</v>
      </c>
      <c r="V2446" s="3" t="n">
        <v>2003.676666</v>
      </c>
      <c r="W2446" s="3" t="n">
        <v>2064.41177</v>
      </c>
      <c r="X2446" s="3" t="n">
        <v>2170.779592</v>
      </c>
      <c r="Y2446" s="3" t="n">
        <v>2306.363249</v>
      </c>
      <c r="Z2446" s="3" t="n">
        <v>2412.006965</v>
      </c>
      <c r="AA2446" s="3" t="n">
        <v>2362.9085</v>
      </c>
      <c r="AB2446" s="3" t="n">
        <v>2526.5923</v>
      </c>
      <c r="AC2446" s="3" t="n">
        <v>2659.376439</v>
      </c>
      <c r="AD2446" s="3" t="n">
        <v>2666.014568</v>
      </c>
      <c r="AE2446" s="3" t="n">
        <v>2746.752191</v>
      </c>
      <c r="AF2446" s="3" t="n">
        <v>2844.88732</v>
      </c>
      <c r="AG2446" s="3" t="n">
        <v>2939.446826</v>
      </c>
      <c r="AH2446" s="3" t="n">
        <v>3009.414813</v>
      </c>
      <c r="AI2446" s="3" t="n">
        <v>3088.604137</v>
      </c>
      <c r="AJ2446" s="3" t="n">
        <v>3167.465368</v>
      </c>
      <c r="AK2446" s="3" t="n">
        <v>3246.072318</v>
      </c>
      <c r="AL2446" s="3" t="n">
        <v>3326.599927</v>
      </c>
      <c r="AM2446" s="3" t="n"/>
      <c r="AN2446" s="3" t="n"/>
      <c r="AO2446" s="3" t="n"/>
      <c r="AP2446" s="3" t="n"/>
      <c r="AQ2446" s="3" t="n"/>
      <c r="AR2446" s="3" t="n"/>
      <c r="AS2446" s="3" t="n"/>
      <c r="AT2446" s="3" t="n"/>
      <c r="AU2446" s="3" t="n"/>
    </row>
    <row r="2447">
      <c r="A2447" s="3" t="n">
        <v>2031</v>
      </c>
      <c r="B2447" s="3" t="inlineStr">
        <is>
          <t>POL</t>
        </is>
      </c>
      <c r="C2447" s="3" t="inlineStr">
        <is>
          <t>IMF.RES:WEO</t>
        </is>
      </c>
      <c r="D2447" s="3" t="inlineStr">
        <is>
          <t>POL.NGDP_RPCH.A</t>
        </is>
      </c>
      <c r="E2447" s="3" t="inlineStr">
        <is>
          <t>Poland, Republic of</t>
        </is>
      </c>
      <c r="F2447" s="3" t="inlineStr">
        <is>
          <t>Gross domestic product (GDP), Constant prices, Percent change</t>
        </is>
      </c>
      <c r="G2447" s="3" t="n">
        <v>4.259755</v>
      </c>
      <c r="H2447" s="3" t="n">
        <v>1.205288</v>
      </c>
      <c r="I2447" s="3" t="n">
        <v>1.443448</v>
      </c>
      <c r="J2447" s="3" t="n">
        <v>3.523417</v>
      </c>
      <c r="K2447" s="3" t="n">
        <v>5.09082</v>
      </c>
      <c r="L2447" s="3" t="n">
        <v>3.260803</v>
      </c>
      <c r="M2447" s="3" t="n">
        <v>6.202117</v>
      </c>
      <c r="N2447" s="3" t="n">
        <v>6.760444</v>
      </c>
      <c r="O2447" s="3" t="n">
        <v>4.383824</v>
      </c>
      <c r="P2447" s="3" t="n">
        <v>2.615096</v>
      </c>
      <c r="Q2447" s="3" t="n">
        <v>3.168916</v>
      </c>
      <c r="R2447" s="3" t="n">
        <v>5.255438</v>
      </c>
      <c r="S2447" s="3" t="n">
        <v>1.511834</v>
      </c>
      <c r="T2447" s="3" t="n">
        <v>0.6842510000000001</v>
      </c>
      <c r="U2447" s="3" t="n">
        <v>3.920483</v>
      </c>
      <c r="V2447" s="3" t="n">
        <v>4.431784</v>
      </c>
      <c r="W2447" s="3" t="n">
        <v>3.031183</v>
      </c>
      <c r="X2447" s="3" t="n">
        <v>5.152452</v>
      </c>
      <c r="Y2447" s="3" t="n">
        <v>6.245851</v>
      </c>
      <c r="Z2447" s="3" t="n">
        <v>4.580532</v>
      </c>
      <c r="AA2447" s="3" t="n">
        <v>-2.035586</v>
      </c>
      <c r="AB2447" s="3" t="n">
        <v>6.927217</v>
      </c>
      <c r="AC2447" s="3" t="n">
        <v>5.255464</v>
      </c>
      <c r="AD2447" s="3" t="n">
        <v>0.249612</v>
      </c>
      <c r="AE2447" s="3" t="n">
        <v>3.028401</v>
      </c>
      <c r="AF2447" s="3" t="n">
        <v>3.57277</v>
      </c>
      <c r="AG2447" s="3" t="n">
        <v>3.32384</v>
      </c>
      <c r="AH2447" s="3" t="n">
        <v>2.380311</v>
      </c>
      <c r="AI2447" s="3" t="n">
        <v>2.631386</v>
      </c>
      <c r="AJ2447" s="3" t="n">
        <v>2.553297</v>
      </c>
      <c r="AK2447" s="3" t="n">
        <v>2.481699</v>
      </c>
      <c r="AL2447" s="3" t="n">
        <v>2.480771</v>
      </c>
      <c r="AM2447" s="3" t="n"/>
      <c r="AN2447" s="3" t="n"/>
      <c r="AO2447" s="3" t="n"/>
      <c r="AP2447" s="3" t="n"/>
      <c r="AQ2447" s="3" t="n"/>
      <c r="AR2447" s="3" t="n"/>
      <c r="AS2447" s="3" t="n"/>
      <c r="AT2447" s="3" t="n"/>
      <c r="AU2447" s="3" t="n"/>
    </row>
    <row r="2448">
      <c r="A2448" s="3" t="n">
        <v>2031</v>
      </c>
      <c r="B2448" s="3" t="inlineStr">
        <is>
          <t>POL</t>
        </is>
      </c>
      <c r="C2448" s="3" t="inlineStr">
        <is>
          <t>IMF.RES:WEO</t>
        </is>
      </c>
      <c r="D2448" s="3" t="inlineStr">
        <is>
          <t>POL.NGDPD.A</t>
        </is>
      </c>
      <c r="E2448" s="3" t="inlineStr">
        <is>
          <t>Poland, Republic of</t>
        </is>
      </c>
      <c r="F2448" s="3" t="inlineStr">
        <is>
          <t>Gross domestic product (GDP), Current prices, US dollar</t>
        </is>
      </c>
      <c r="G2448" s="3" t="n">
        <v>172.151257</v>
      </c>
      <c r="H2448" s="3" t="n">
        <v>191.403351</v>
      </c>
      <c r="I2448" s="3" t="n">
        <v>199.694349</v>
      </c>
      <c r="J2448" s="3" t="n">
        <v>218.561329</v>
      </c>
      <c r="K2448" s="3" t="n">
        <v>256.453981</v>
      </c>
      <c r="L2448" s="3" t="n">
        <v>307.158136</v>
      </c>
      <c r="M2448" s="3" t="n">
        <v>345.897529</v>
      </c>
      <c r="N2448" s="3" t="n">
        <v>429.714988</v>
      </c>
      <c r="O2448" s="3" t="n">
        <v>535.612229</v>
      </c>
      <c r="P2448" s="3" t="n">
        <v>440.953938</v>
      </c>
      <c r="Q2448" s="3" t="n">
        <v>478.111498</v>
      </c>
      <c r="R2448" s="3" t="n">
        <v>527.8483220000001</v>
      </c>
      <c r="S2448" s="3" t="n">
        <v>498.148701</v>
      </c>
      <c r="T2448" s="3" t="n">
        <v>518.1797330000001</v>
      </c>
      <c r="U2448" s="3" t="n">
        <v>542.266015</v>
      </c>
      <c r="V2448" s="3" t="n">
        <v>479.728583</v>
      </c>
      <c r="W2448" s="3" t="n">
        <v>472.882835</v>
      </c>
      <c r="X2448" s="3" t="n">
        <v>528.496515</v>
      </c>
      <c r="Y2448" s="3" t="n">
        <v>594.641273</v>
      </c>
      <c r="Z2448" s="3" t="n">
        <v>602.592164</v>
      </c>
      <c r="AA2448" s="3" t="n">
        <v>605.929647</v>
      </c>
      <c r="AB2448" s="3" t="n">
        <v>689.253467</v>
      </c>
      <c r="AC2448" s="3" t="n">
        <v>695.733607</v>
      </c>
      <c r="AD2448" s="3" t="n">
        <v>812.958802</v>
      </c>
      <c r="AE2448" s="3" t="n">
        <v>917.62296</v>
      </c>
      <c r="AF2448" s="3" t="n">
        <v>1035.586033</v>
      </c>
      <c r="AG2448" s="3" t="n">
        <v>1134.247779</v>
      </c>
      <c r="AH2448" s="3" t="n">
        <v>1184.607147</v>
      </c>
      <c r="AI2448" s="3" t="n">
        <v>1248.331975</v>
      </c>
      <c r="AJ2448" s="3" t="n">
        <v>1317.773635</v>
      </c>
      <c r="AK2448" s="3" t="n">
        <v>1387.962479</v>
      </c>
      <c r="AL2448" s="3" t="n">
        <v>1461.30379</v>
      </c>
      <c r="AM2448" s="3" t="n"/>
      <c r="AN2448" s="3" t="n"/>
      <c r="AO2448" s="3" t="n"/>
      <c r="AP2448" s="3" t="n"/>
      <c r="AQ2448" s="3" t="n"/>
      <c r="AR2448" s="3" t="n"/>
      <c r="AS2448" s="3" t="n"/>
      <c r="AT2448" s="3" t="n"/>
      <c r="AU2448" s="3" t="n"/>
    </row>
    <row r="2449">
      <c r="A2449" s="3" t="n">
        <v>2031</v>
      </c>
      <c r="B2449" s="3" t="inlineStr">
        <is>
          <t>POL</t>
        </is>
      </c>
      <c r="C2449" s="3" t="inlineStr">
        <is>
          <t>IMF.RES:WEO</t>
        </is>
      </c>
      <c r="D2449" s="3" t="inlineStr">
        <is>
          <t>POL.NGDPPC.A</t>
        </is>
      </c>
      <c r="E2449" s="3" t="inlineStr">
        <is>
          <t>Poland, Republic of</t>
        </is>
      </c>
      <c r="F2449" s="3" t="inlineStr">
        <is>
          <t>Gross domestic product (GDP), Current prices, Per capita, Domestic currency</t>
        </is>
      </c>
      <c r="G2449" s="3" t="n">
        <v>19553.520378</v>
      </c>
      <c r="H2449" s="3" t="n">
        <v>20482.794476</v>
      </c>
      <c r="I2449" s="3" t="n">
        <v>21305.250846</v>
      </c>
      <c r="J2449" s="3" t="n">
        <v>22240.556551</v>
      </c>
      <c r="K2449" s="3" t="n">
        <v>24543.712423</v>
      </c>
      <c r="L2449" s="3" t="n">
        <v>26020.259688</v>
      </c>
      <c r="M2449" s="3" t="n">
        <v>28130.441409</v>
      </c>
      <c r="N2449" s="3" t="n">
        <v>31197.761476</v>
      </c>
      <c r="O2449" s="3" t="n">
        <v>33855.37449</v>
      </c>
      <c r="P2449" s="3" t="n">
        <v>36072.175187</v>
      </c>
      <c r="Q2449" s="3" t="n">
        <v>37915.329325</v>
      </c>
      <c r="R2449" s="3" t="n">
        <v>41088.379448</v>
      </c>
      <c r="S2449" s="3" t="n">
        <v>42619.032807</v>
      </c>
      <c r="T2449" s="3" t="n">
        <v>43028.334818</v>
      </c>
      <c r="U2449" s="3" t="n">
        <v>44983.730803</v>
      </c>
      <c r="V2449" s="3" t="n">
        <v>47613.076321</v>
      </c>
      <c r="W2449" s="3" t="n">
        <v>49146.625447</v>
      </c>
      <c r="X2449" s="3" t="n">
        <v>52585.729152</v>
      </c>
      <c r="Y2449" s="3" t="n">
        <v>56550.130347</v>
      </c>
      <c r="Z2449" s="3" t="n">
        <v>60936.461593</v>
      </c>
      <c r="AA2449" s="3" t="n">
        <v>62250.379616</v>
      </c>
      <c r="AB2449" s="3" t="n">
        <v>71790.57995699999</v>
      </c>
      <c r="AC2449" s="3" t="n">
        <v>84057.196792</v>
      </c>
      <c r="AD2449" s="3" t="n">
        <v>92923.173851</v>
      </c>
      <c r="AE2449" s="3" t="n">
        <v>99763.378742</v>
      </c>
      <c r="AF2449" s="3" t="n">
        <v>106692.544242</v>
      </c>
      <c r="AG2449" s="3" t="n">
        <v>114403.396379</v>
      </c>
      <c r="AH2449" s="3" t="n">
        <v>120241.645964</v>
      </c>
      <c r="AI2449" s="3" t="n">
        <v>128491.718257</v>
      </c>
      <c r="AJ2449" s="3" t="n">
        <v>135534.395508</v>
      </c>
      <c r="AK2449" s="3" t="n">
        <v>142593.834184</v>
      </c>
      <c r="AL2449" s="3" t="n">
        <v>150009.435063</v>
      </c>
      <c r="AM2449" s="3" t="n"/>
      <c r="AN2449" s="3" t="n"/>
      <c r="AO2449" s="3" t="n"/>
      <c r="AP2449" s="3" t="n"/>
      <c r="AQ2449" s="3" t="n"/>
      <c r="AR2449" s="3" t="n"/>
      <c r="AS2449" s="3" t="n"/>
      <c r="AT2449" s="3" t="n"/>
      <c r="AU2449" s="3" t="n"/>
    </row>
    <row r="2450">
      <c r="A2450" s="3" t="n">
        <v>2031</v>
      </c>
      <c r="B2450" s="3" t="inlineStr">
        <is>
          <t>POL</t>
        </is>
      </c>
      <c r="C2450" s="3" t="inlineStr">
        <is>
          <t>IMF.RES:WEO</t>
        </is>
      </c>
      <c r="D2450" s="3" t="inlineStr">
        <is>
          <t>POL.NGDPRPC.A</t>
        </is>
      </c>
      <c r="E2450" s="3" t="inlineStr">
        <is>
          <t>Poland, Republic of</t>
        </is>
      </c>
      <c r="F2450" s="3" t="inlineStr">
        <is>
          <t>Gross domestic product (GDP), Constant prices, Per capita, Domestic currency</t>
        </is>
      </c>
      <c r="G2450" s="3" t="n">
        <v>31037.420461</v>
      </c>
      <c r="H2450" s="3" t="n">
        <v>31419.186752</v>
      </c>
      <c r="I2450" s="3" t="n">
        <v>31882.50608</v>
      </c>
      <c r="J2450" s="3" t="n">
        <v>33026.297925</v>
      </c>
      <c r="K2450" s="3" t="n">
        <v>34732.983818</v>
      </c>
      <c r="L2450" s="3" t="n">
        <v>35881.316629</v>
      </c>
      <c r="M2450" s="3" t="n">
        <v>38123.475723</v>
      </c>
      <c r="N2450" s="3" t="n">
        <v>40734.500777</v>
      </c>
      <c r="O2450" s="3" t="n">
        <v>42531.204454</v>
      </c>
      <c r="P2450" s="3" t="n">
        <v>43620.278838</v>
      </c>
      <c r="Q2450" s="3" t="n">
        <v>45136.319969</v>
      </c>
      <c r="R2450" s="3" t="n">
        <v>47458.693252</v>
      </c>
      <c r="S2450" s="3" t="n">
        <v>48174.830367</v>
      </c>
      <c r="T2450" s="3" t="n">
        <v>48506.068755</v>
      </c>
      <c r="U2450" s="3" t="n">
        <v>50466.980769</v>
      </c>
      <c r="V2450" s="3" t="n">
        <v>52720.544557</v>
      </c>
      <c r="W2450" s="3" t="n">
        <v>54373.545607</v>
      </c>
      <c r="X2450" s="3" t="n">
        <v>57166.451153</v>
      </c>
      <c r="Y2450" s="3" t="n">
        <v>60731.028199</v>
      </c>
      <c r="Z2450" s="3" t="n">
        <v>63519.313896</v>
      </c>
      <c r="AA2450" s="3" t="n">
        <v>62250.379616</v>
      </c>
      <c r="AB2450" s="3" t="n">
        <v>68151.160414</v>
      </c>
      <c r="AC2450" s="3" t="n">
        <v>72089.825668</v>
      </c>
      <c r="AD2450" s="3" t="n">
        <v>72537.239963</v>
      </c>
      <c r="AE2450" s="3" t="n">
        <v>75004.899941</v>
      </c>
      <c r="AF2450" s="3" t="n">
        <v>77947.467901</v>
      </c>
      <c r="AG2450" s="3" t="n">
        <v>81208.323911</v>
      </c>
      <c r="AH2450" s="3" t="n">
        <v>83307.95079800001</v>
      </c>
      <c r="AI2450" s="3" t="n">
        <v>85671.44753200001</v>
      </c>
      <c r="AJ2450" s="3" t="n">
        <v>88034.96381099999</v>
      </c>
      <c r="AK2450" s="3" t="n">
        <v>90400.527519</v>
      </c>
      <c r="AL2450" s="3" t="n">
        <v>92828.814878</v>
      </c>
      <c r="AM2450" s="3" t="n"/>
      <c r="AN2450" s="3" t="n"/>
      <c r="AO2450" s="3" t="n"/>
      <c r="AP2450" s="3" t="n"/>
      <c r="AQ2450" s="3" t="n"/>
      <c r="AR2450" s="3" t="n"/>
      <c r="AS2450" s="3" t="n"/>
      <c r="AT2450" s="3" t="n"/>
      <c r="AU2450" s="3" t="n"/>
    </row>
    <row r="2451">
      <c r="A2451" s="3" t="n">
        <v>2031</v>
      </c>
      <c r="B2451" s="3" t="inlineStr">
        <is>
          <t>POL</t>
        </is>
      </c>
      <c r="C2451" s="3" t="inlineStr">
        <is>
          <t>IMF.RES:WEO</t>
        </is>
      </c>
      <c r="D2451" s="3" t="inlineStr">
        <is>
          <t>POL.PCPI.A</t>
        </is>
      </c>
      <c r="E2451" s="3" t="inlineStr">
        <is>
          <t>Poland, Republic of</t>
        </is>
      </c>
      <c r="F2451" s="3" t="inlineStr">
        <is>
          <t>All Items, Consumer price index (CPI), Period average</t>
        </is>
      </c>
      <c r="G2451" s="3" t="n">
        <v>44.999563</v>
      </c>
      <c r="H2451" s="3" t="n">
        <v>47.474539</v>
      </c>
      <c r="I2451" s="3" t="n">
        <v>48.376556</v>
      </c>
      <c r="J2451" s="3" t="n">
        <v>48.763568</v>
      </c>
      <c r="K2451" s="3" t="n">
        <v>50.470293</v>
      </c>
      <c r="L2451" s="3" t="n">
        <v>51.530169</v>
      </c>
      <c r="M2451" s="3" t="n">
        <v>52.045471</v>
      </c>
      <c r="N2451" s="3" t="n">
        <v>53.346607</v>
      </c>
      <c r="O2451" s="3" t="n">
        <v>55.587165</v>
      </c>
      <c r="P2451" s="3" t="n">
        <v>57.532716</v>
      </c>
      <c r="Q2451" s="3" t="n">
        <v>59.028566</v>
      </c>
      <c r="R2451" s="3" t="n">
        <v>61.566795</v>
      </c>
      <c r="S2451" s="3" t="n">
        <v>63.844766</v>
      </c>
      <c r="T2451" s="3" t="n">
        <v>64.419369</v>
      </c>
      <c r="U2451" s="3" t="n">
        <v>64.419369</v>
      </c>
      <c r="V2451" s="3" t="n">
        <v>63.839595</v>
      </c>
      <c r="W2451" s="3" t="n">
        <v>63.456557</v>
      </c>
      <c r="X2451" s="3" t="n">
        <v>64.72568800000001</v>
      </c>
      <c r="Y2451" s="3" t="n">
        <v>65.76129899999999</v>
      </c>
      <c r="Z2451" s="3" t="n">
        <v>67.273809</v>
      </c>
      <c r="AA2451" s="3" t="n">
        <v>69.56111900000001</v>
      </c>
      <c r="AB2451" s="3" t="n">
        <v>73.10873599999999</v>
      </c>
      <c r="AC2451" s="3" t="n">
        <v>83.636394</v>
      </c>
      <c r="AD2451" s="3" t="n">
        <v>93.17094299999999</v>
      </c>
      <c r="AE2451" s="3" t="n">
        <v>96.525097</v>
      </c>
      <c r="AF2451" s="3" t="n">
        <v>100</v>
      </c>
      <c r="AG2451" s="3" t="n">
        <v>103.345884</v>
      </c>
      <c r="AH2451" s="3" t="n">
        <v>106.739802</v>
      </c>
      <c r="AI2451" s="3" t="n">
        <v>110.849284</v>
      </c>
      <c r="AJ2451" s="3" t="n">
        <v>113.842215</v>
      </c>
      <c r="AK2451" s="3" t="n">
        <v>116.68827</v>
      </c>
      <c r="AL2451" s="3" t="n">
        <v>119.605477</v>
      </c>
      <c r="AM2451" s="3" t="n"/>
      <c r="AN2451" s="3" t="n"/>
      <c r="AO2451" s="3" t="n"/>
      <c r="AP2451" s="3" t="n"/>
      <c r="AQ2451" s="3" t="n"/>
      <c r="AR2451" s="3" t="n"/>
      <c r="AS2451" s="3" t="n"/>
      <c r="AT2451" s="3" t="n"/>
      <c r="AU2451" s="3" t="n"/>
    </row>
    <row r="2452">
      <c r="A2452" s="3" t="n">
        <v>2031</v>
      </c>
      <c r="B2452" s="3" t="inlineStr">
        <is>
          <t>POL</t>
        </is>
      </c>
      <c r="C2452" s="3" t="inlineStr">
        <is>
          <t>IMF.RES:WEO</t>
        </is>
      </c>
      <c r="D2452" s="3" t="inlineStr">
        <is>
          <t>POL.PCPIPCH.A</t>
        </is>
      </c>
      <c r="E2452" s="3" t="inlineStr">
        <is>
          <t>Poland, Republic of</t>
        </is>
      </c>
      <c r="F2452" s="3" t="inlineStr">
        <is>
          <t>All Items, Consumer price index (CPI), Period average, percent change</t>
        </is>
      </c>
      <c r="G2452" s="3" t="n">
        <v>10.1</v>
      </c>
      <c r="H2452" s="3" t="n">
        <v>5.5</v>
      </c>
      <c r="I2452" s="3" t="n">
        <v>1.9</v>
      </c>
      <c r="J2452" s="3" t="n">
        <v>0.8</v>
      </c>
      <c r="K2452" s="3" t="n">
        <v>3.5</v>
      </c>
      <c r="L2452" s="3" t="n">
        <v>2.1</v>
      </c>
      <c r="M2452" s="3" t="n">
        <v>1</v>
      </c>
      <c r="N2452" s="3" t="n">
        <v>2.5</v>
      </c>
      <c r="O2452" s="3" t="n">
        <v>4.2</v>
      </c>
      <c r="P2452" s="3" t="n">
        <v>3.5</v>
      </c>
      <c r="Q2452" s="3" t="n">
        <v>2.6</v>
      </c>
      <c r="R2452" s="3" t="n">
        <v>4.3</v>
      </c>
      <c r="S2452" s="3" t="n">
        <v>3.7</v>
      </c>
      <c r="T2452" s="3" t="n">
        <v>0.9</v>
      </c>
      <c r="U2452" s="3" t="n"/>
      <c r="V2452" s="3" t="n">
        <v>-0.9</v>
      </c>
      <c r="W2452" s="3" t="n">
        <v>-0.6</v>
      </c>
      <c r="X2452" s="3" t="n">
        <v>2</v>
      </c>
      <c r="Y2452" s="3" t="n">
        <v>1.6</v>
      </c>
      <c r="Z2452" s="3" t="n">
        <v>2.3</v>
      </c>
      <c r="AA2452" s="3" t="n">
        <v>3.4</v>
      </c>
      <c r="AB2452" s="3" t="n">
        <v>5.1</v>
      </c>
      <c r="AC2452" s="3" t="n">
        <v>14.4</v>
      </c>
      <c r="AD2452" s="3" t="n">
        <v>11.4</v>
      </c>
      <c r="AE2452" s="3" t="n">
        <v>3.6</v>
      </c>
      <c r="AF2452" s="3" t="n">
        <v>3.6</v>
      </c>
      <c r="AG2452" s="3" t="n">
        <v>3.345884</v>
      </c>
      <c r="AH2452" s="3" t="n">
        <v>3.284038</v>
      </c>
      <c r="AI2452" s="3" t="n">
        <v>3.85</v>
      </c>
      <c r="AJ2452" s="3" t="n">
        <v>2.7</v>
      </c>
      <c r="AK2452" s="3" t="n">
        <v>2.5</v>
      </c>
      <c r="AL2452" s="3" t="n">
        <v>2.5</v>
      </c>
      <c r="AM2452" s="3" t="n"/>
      <c r="AN2452" s="3" t="n"/>
      <c r="AO2452" s="3" t="n"/>
      <c r="AP2452" s="3" t="n"/>
      <c r="AQ2452" s="3" t="n"/>
      <c r="AR2452" s="3" t="n"/>
      <c r="AS2452" s="3" t="n"/>
      <c r="AT2452" s="3" t="n"/>
      <c r="AU2452" s="3" t="n"/>
    </row>
    <row r="2453">
      <c r="A2453" s="3" t="n">
        <v>2031</v>
      </c>
      <c r="B2453" s="3" t="inlineStr">
        <is>
          <t>POL</t>
        </is>
      </c>
      <c r="C2453" s="3" t="inlineStr">
        <is>
          <t>IMF.RES:WEO</t>
        </is>
      </c>
      <c r="D2453" s="3" t="inlineStr">
        <is>
          <t>POL.PPPPC.A</t>
        </is>
      </c>
      <c r="E2453" s="3" t="inlineStr">
        <is>
          <t>Poland, Republic of</t>
        </is>
      </c>
      <c r="F2453" s="3" t="inlineStr">
        <is>
          <t>Gross domestic product (GDP), Per capita, purchasing power parity (PPP) international dollar, ICP benchmarks 2017-2021</t>
        </is>
      </c>
      <c r="G2453" s="3" t="n">
        <v>11912.758767</v>
      </c>
      <c r="H2453" s="3" t="n">
        <v>12330.817396</v>
      </c>
      <c r="I2453" s="3" t="n">
        <v>12707.103433</v>
      </c>
      <c r="J2453" s="3" t="n">
        <v>13422.839023</v>
      </c>
      <c r="K2453" s="3" t="n">
        <v>14496.060861</v>
      </c>
      <c r="L2453" s="3" t="n">
        <v>15444.925221</v>
      </c>
      <c r="M2453" s="3" t="n">
        <v>16916.117521</v>
      </c>
      <c r="N2453" s="3" t="n">
        <v>18564.371307</v>
      </c>
      <c r="O2453" s="3" t="n">
        <v>19756.602554</v>
      </c>
      <c r="P2453" s="3" t="n">
        <v>20387.466911</v>
      </c>
      <c r="Q2453" s="3" t="n">
        <v>21352.437827</v>
      </c>
      <c r="R2453" s="3" t="n">
        <v>22914.294001</v>
      </c>
      <c r="S2453" s="3" t="n">
        <v>23693.150263</v>
      </c>
      <c r="T2453" s="3" t="n">
        <v>24262.089878</v>
      </c>
      <c r="U2453" s="3" t="n">
        <v>25682.57151</v>
      </c>
      <c r="V2453" s="3" t="n">
        <v>27078.397947</v>
      </c>
      <c r="W2453" s="3" t="n">
        <v>28192.787476</v>
      </c>
      <c r="X2453" s="3" t="n">
        <v>30171.750403</v>
      </c>
      <c r="Y2453" s="3" t="n">
        <v>32343.462578</v>
      </c>
      <c r="Z2453" s="3" t="n">
        <v>35875.431428</v>
      </c>
      <c r="AA2453" s="3" t="n">
        <v>36657.018112</v>
      </c>
      <c r="AB2453" s="3" t="n">
        <v>41671.129202</v>
      </c>
      <c r="AC2453" s="3" t="n">
        <v>47214.543683</v>
      </c>
      <c r="AD2453" s="3" t="n">
        <v>49265.369475</v>
      </c>
      <c r="AE2453" s="3" t="n">
        <v>52205.98024</v>
      </c>
      <c r="AF2453" s="3" t="n">
        <v>55793.170753</v>
      </c>
      <c r="AG2453" s="3" t="n">
        <v>59792.481668</v>
      </c>
      <c r="AH2453" s="3" t="n">
        <v>62685.337031</v>
      </c>
      <c r="AI2453" s="3" t="n">
        <v>65521.859801</v>
      </c>
      <c r="AJ2453" s="3" t="n">
        <v>68526.677694</v>
      </c>
      <c r="AK2453" s="3" t="n">
        <v>71661.071133</v>
      </c>
      <c r="AL2453" s="3" t="n">
        <v>74914.43910800001</v>
      </c>
      <c r="AM2453" s="3" t="n"/>
      <c r="AN2453" s="3" t="n"/>
      <c r="AO2453" s="3" t="n"/>
      <c r="AP2453" s="3" t="n"/>
      <c r="AQ2453" s="3" t="n"/>
      <c r="AR2453" s="3" t="n"/>
      <c r="AS2453" s="3" t="n"/>
      <c r="AT2453" s="3" t="n"/>
      <c r="AU2453" s="3" t="n"/>
    </row>
    <row r="2454">
      <c r="A2454" s="3" t="n">
        <v>2025</v>
      </c>
      <c r="B2454" s="3" t="inlineStr">
        <is>
          <t>POL</t>
        </is>
      </c>
      <c r="C2454" s="3" t="inlineStr">
        <is>
          <t>IMF.STA:ER</t>
        </is>
      </c>
      <c r="D2454" s="3" t="inlineStr">
        <is>
          <t>POL.XDC_USD.PA_RT.A</t>
        </is>
      </c>
      <c r="E2454" s="3" t="inlineStr">
        <is>
          <t>Poland, Republic of</t>
        </is>
      </c>
      <c r="F2454" s="3" t="inlineStr">
        <is>
          <t>Domestic currency per US Dollar</t>
        </is>
      </c>
      <c r="G2454" s="3" t="n">
        <v>4.346075</v>
      </c>
      <c r="H2454" s="3" t="n">
        <v>4.0939</v>
      </c>
      <c r="I2454" s="3" t="n">
        <v>4.08003333333333</v>
      </c>
      <c r="J2454" s="3" t="n">
        <v>3.889075</v>
      </c>
      <c r="K2454" s="3" t="n">
        <v>3.65764166666666</v>
      </c>
      <c r="L2454" s="3" t="n">
        <v>3.23548333333333</v>
      </c>
      <c r="M2454" s="3" t="n">
        <v>3.10315833333333</v>
      </c>
      <c r="N2454" s="3" t="n">
        <v>2.76795</v>
      </c>
      <c r="O2454" s="3" t="n">
        <v>2.40924166666666</v>
      </c>
      <c r="P2454" s="3" t="n">
        <v>3.12014166666666</v>
      </c>
      <c r="Q2454" s="3" t="n">
        <v>3.0153</v>
      </c>
      <c r="R2454" s="3" t="n">
        <v>2.96284777777777</v>
      </c>
      <c r="S2454" s="3" t="n">
        <v>3.25654166666666</v>
      </c>
      <c r="T2454" s="3" t="n">
        <v>3.16061666666666</v>
      </c>
      <c r="U2454" s="3" t="n">
        <v>3.15454166666666</v>
      </c>
      <c r="V2454" s="3" t="n">
        <v>3.7695</v>
      </c>
      <c r="W2454" s="3" t="n">
        <v>3.94278333333333</v>
      </c>
      <c r="X2454" s="3" t="n">
        <v>3.77933333333333</v>
      </c>
      <c r="Y2454" s="3" t="n">
        <v>3.61171666666666</v>
      </c>
      <c r="Z2454" s="3" t="n">
        <v>3.839375</v>
      </c>
      <c r="AA2454" s="3" t="n">
        <v>3.89974166666666</v>
      </c>
      <c r="AB2454" s="3" t="n">
        <v>3.86191666666666</v>
      </c>
      <c r="AC2454" s="3" t="n">
        <v>4.45775833333333</v>
      </c>
      <c r="AD2454" s="3" t="n">
        <v>4.20366666666666</v>
      </c>
      <c r="AE2454" s="3" t="n">
        <v>3.98078333333333</v>
      </c>
      <c r="AF2454" s="3" t="n">
        <v>3.76054166666666</v>
      </c>
      <c r="AG2454" s="3" t="n"/>
      <c r="AH2454" s="3" t="n"/>
      <c r="AI2454" s="3" t="n"/>
      <c r="AJ2454" s="3" t="n"/>
      <c r="AK2454" s="3" t="n"/>
      <c r="AL2454" s="3" t="n"/>
      <c r="AM2454" s="3" t="n"/>
      <c r="AN2454" s="3" t="n"/>
      <c r="AO2454" s="3" t="n"/>
      <c r="AP2454" s="3" t="n"/>
      <c r="AQ2454" s="3" t="n"/>
      <c r="AR2454" s="3" t="n"/>
      <c r="AS2454" s="3" t="n"/>
      <c r="AT2454" s="3" t="n"/>
      <c r="AU2454" s="3" t="n"/>
    </row>
    <row r="2455">
      <c r="A2455" s="3" t="n">
        <v>2031</v>
      </c>
      <c r="B2455" s="3" t="inlineStr">
        <is>
          <t>PRI</t>
        </is>
      </c>
      <c r="C2455" s="3" t="inlineStr">
        <is>
          <t>IMF.RES:WEO</t>
        </is>
      </c>
      <c r="D2455" s="3" t="inlineStr">
        <is>
          <t>PRI.GGR_NGDP.A</t>
        </is>
      </c>
      <c r="E2455" s="3" t="inlineStr">
        <is>
          <t>Puerto Rico</t>
        </is>
      </c>
      <c r="F2455" s="3" t="inlineStr">
        <is>
          <t>Revenue, General government, Percent of GDP</t>
        </is>
      </c>
      <c r="G2455" s="3" t="n"/>
      <c r="H2455" s="3" t="n"/>
      <c r="I2455" s="3" t="n"/>
      <c r="J2455" s="3" t="n"/>
      <c r="K2455" s="3" t="n"/>
      <c r="L2455" s="3" t="n"/>
      <c r="M2455" s="3" t="n"/>
      <c r="N2455" s="3" t="n"/>
      <c r="O2455" s="3" t="n"/>
      <c r="P2455" s="3" t="n"/>
      <c r="Q2455" s="3" t="n"/>
      <c r="R2455" s="3" t="n"/>
      <c r="S2455" s="3" t="n"/>
      <c r="T2455" s="3" t="n"/>
      <c r="U2455" s="3" t="n">
        <v>19.441679</v>
      </c>
      <c r="V2455" s="3" t="n">
        <v>19.397137</v>
      </c>
      <c r="W2455" s="3" t="n">
        <v>19.132556</v>
      </c>
      <c r="X2455" s="3" t="n">
        <v>20.817029</v>
      </c>
      <c r="Y2455" s="3" t="n">
        <v>22.153685</v>
      </c>
      <c r="Z2455" s="3" t="n">
        <v>22.967001</v>
      </c>
      <c r="AA2455" s="3" t="n">
        <v>20.811395</v>
      </c>
      <c r="AB2455" s="3" t="n">
        <v>20.968512</v>
      </c>
      <c r="AC2455" s="3" t="n">
        <v>22.360482</v>
      </c>
      <c r="AD2455" s="3" t="n">
        <v>22.499683</v>
      </c>
      <c r="AE2455" s="3" t="n">
        <v>21.557276</v>
      </c>
      <c r="AF2455" s="3" t="n">
        <v>22.512611</v>
      </c>
      <c r="AG2455" s="3" t="n">
        <v>22.152945</v>
      </c>
      <c r="AH2455" s="3" t="n">
        <v>21.713519</v>
      </c>
      <c r="AI2455" s="3" t="n">
        <v>19.730766</v>
      </c>
      <c r="AJ2455" s="3" t="n">
        <v>19.834222</v>
      </c>
      <c r="AK2455" s="3" t="n">
        <v>19.58573</v>
      </c>
      <c r="AL2455" s="3" t="n">
        <v>19.340219</v>
      </c>
      <c r="AM2455" s="3" t="n"/>
      <c r="AN2455" s="3" t="n"/>
      <c r="AO2455" s="3" t="n"/>
      <c r="AP2455" s="3" t="n"/>
      <c r="AQ2455" s="3" t="n"/>
      <c r="AR2455" s="3" t="n"/>
      <c r="AS2455" s="3" t="n"/>
      <c r="AT2455" s="3" t="n"/>
      <c r="AU2455" s="3" t="n"/>
    </row>
    <row r="2456">
      <c r="A2456" s="3" t="n">
        <v>2031</v>
      </c>
      <c r="B2456" s="3" t="inlineStr">
        <is>
          <t>PRI</t>
        </is>
      </c>
      <c r="C2456" s="3" t="inlineStr">
        <is>
          <t>IMF.RES:WEO</t>
        </is>
      </c>
      <c r="D2456" s="3" t="inlineStr">
        <is>
          <t>PRI.GGX_NGDP.A</t>
        </is>
      </c>
      <c r="E2456" s="3" t="inlineStr">
        <is>
          <t>Puerto Rico</t>
        </is>
      </c>
      <c r="F2456" s="3" t="inlineStr">
        <is>
          <t>Expenditure, General government, Percent of GDP</t>
        </is>
      </c>
      <c r="G2456" s="3" t="n"/>
      <c r="H2456" s="3" t="n"/>
      <c r="I2456" s="3" t="n"/>
      <c r="J2456" s="3" t="n"/>
      <c r="K2456" s="3" t="n"/>
      <c r="L2456" s="3" t="n"/>
      <c r="M2456" s="3" t="n"/>
      <c r="N2456" s="3" t="n"/>
      <c r="O2456" s="3" t="n"/>
      <c r="P2456" s="3" t="n"/>
      <c r="Q2456" s="3" t="n"/>
      <c r="R2456" s="3" t="n"/>
      <c r="S2456" s="3" t="n"/>
      <c r="T2456" s="3" t="n"/>
      <c r="U2456" s="3" t="n">
        <v>22.514233</v>
      </c>
      <c r="V2456" s="3" t="n">
        <v>21.513411</v>
      </c>
      <c r="W2456" s="3" t="n">
        <v>20.975504</v>
      </c>
      <c r="X2456" s="3" t="n">
        <v>21.926382</v>
      </c>
      <c r="Y2456" s="3" t="n">
        <v>22.128922</v>
      </c>
      <c r="Z2456" s="3" t="n">
        <v>21.068327</v>
      </c>
      <c r="AA2456" s="3" t="n">
        <v>21.362151</v>
      </c>
      <c r="AB2456" s="3" t="n">
        <v>21.225966</v>
      </c>
      <c r="AC2456" s="3" t="n">
        <v>20.571187</v>
      </c>
      <c r="AD2456" s="3" t="n">
        <v>22.172756</v>
      </c>
      <c r="AE2456" s="3" t="n">
        <v>22.095255</v>
      </c>
      <c r="AF2456" s="3" t="n">
        <v>22.930711</v>
      </c>
      <c r="AG2456" s="3" t="n">
        <v>22.544381</v>
      </c>
      <c r="AH2456" s="3" t="n">
        <v>22.065816</v>
      </c>
      <c r="AI2456" s="3" t="n">
        <v>20.283128</v>
      </c>
      <c r="AJ2456" s="3" t="n">
        <v>20.000217</v>
      </c>
      <c r="AK2456" s="3" t="n">
        <v>19.739337</v>
      </c>
      <c r="AL2456" s="3" t="n">
        <v>19.481882</v>
      </c>
      <c r="AM2456" s="3" t="n"/>
      <c r="AN2456" s="3" t="n"/>
      <c r="AO2456" s="3" t="n"/>
      <c r="AP2456" s="3" t="n"/>
      <c r="AQ2456" s="3" t="n"/>
      <c r="AR2456" s="3" t="n"/>
      <c r="AS2456" s="3" t="n"/>
      <c r="AT2456" s="3" t="n"/>
      <c r="AU2456" s="3" t="n"/>
    </row>
    <row r="2457">
      <c r="A2457" s="3" t="n">
        <v>2027</v>
      </c>
      <c r="B2457" s="3" t="inlineStr">
        <is>
          <t>PRI</t>
        </is>
      </c>
      <c r="C2457" s="3" t="inlineStr">
        <is>
          <t>IMF.RES:WEO</t>
        </is>
      </c>
      <c r="D2457" s="3" t="inlineStr">
        <is>
          <t>PRI.LE.A</t>
        </is>
      </c>
      <c r="E2457" s="3" t="inlineStr">
        <is>
          <t>Puerto Rico</t>
        </is>
      </c>
      <c r="F2457" s="3" t="inlineStr">
        <is>
          <t>Employed persons, Persons for countries / Index for country groups</t>
        </is>
      </c>
      <c r="G2457" s="3" t="n">
        <v>1.16</v>
      </c>
      <c r="H2457" s="3" t="n">
        <v>1.129</v>
      </c>
      <c r="I2457" s="3" t="n">
        <v>1.16</v>
      </c>
      <c r="J2457" s="3" t="n">
        <v>1.184</v>
      </c>
      <c r="K2457" s="3" t="n">
        <v>1.205</v>
      </c>
      <c r="L2457" s="3" t="n">
        <v>1.225</v>
      </c>
      <c r="M2457" s="3" t="n">
        <v>1.269</v>
      </c>
      <c r="N2457" s="3" t="n">
        <v>1.232</v>
      </c>
      <c r="O2457" s="3" t="n">
        <v>1.186</v>
      </c>
      <c r="P2457" s="3" t="n">
        <v>1.102</v>
      </c>
      <c r="Q2457" s="3" t="n">
        <v>1.061</v>
      </c>
      <c r="R2457" s="3" t="n">
        <v>1.025</v>
      </c>
      <c r="S2457" s="3" t="n">
        <v>1.022</v>
      </c>
      <c r="T2457" s="3" t="n">
        <v>1</v>
      </c>
      <c r="U2457" s="3" t="n">
        <v>0.976</v>
      </c>
      <c r="V2457" s="3" t="n">
        <v>0.984</v>
      </c>
      <c r="W2457" s="3" t="n">
        <v>0.986</v>
      </c>
      <c r="X2457" s="3" t="n">
        <v>0.973</v>
      </c>
      <c r="Y2457" s="3" t="n">
        <v>0.982</v>
      </c>
      <c r="Z2457" s="3" t="n">
        <v>1.001</v>
      </c>
      <c r="AA2457" s="3" t="n">
        <v>1.012</v>
      </c>
      <c r="AB2457" s="3" t="n">
        <v>1.078</v>
      </c>
      <c r="AC2457" s="3" t="n">
        <v>1.117</v>
      </c>
      <c r="AD2457" s="3" t="n">
        <v>1.131</v>
      </c>
      <c r="AE2457" s="3" t="n">
        <v>1.152</v>
      </c>
      <c r="AF2457" s="3" t="n">
        <v>1.130854</v>
      </c>
      <c r="AG2457" s="3" t="n">
        <v>1.123237</v>
      </c>
      <c r="AH2457" s="3" t="n">
        <v>1.112259</v>
      </c>
      <c r="AI2457" s="3" t="n"/>
      <c r="AJ2457" s="3" t="n"/>
      <c r="AK2457" s="3" t="n"/>
      <c r="AL2457" s="3" t="n"/>
      <c r="AM2457" s="3" t="n"/>
      <c r="AN2457" s="3" t="n"/>
      <c r="AO2457" s="3" t="n"/>
      <c r="AP2457" s="3" t="n"/>
      <c r="AQ2457" s="3" t="n"/>
      <c r="AR2457" s="3" t="n"/>
      <c r="AS2457" s="3" t="n"/>
      <c r="AT2457" s="3" t="n"/>
      <c r="AU2457" s="3" t="n"/>
    </row>
    <row r="2458">
      <c r="A2458" s="3" t="n">
        <v>2031</v>
      </c>
      <c r="B2458" s="3" t="inlineStr">
        <is>
          <t>PRI</t>
        </is>
      </c>
      <c r="C2458" s="3" t="inlineStr">
        <is>
          <t>IMF.RES:WEO</t>
        </is>
      </c>
      <c r="D2458" s="3" t="inlineStr">
        <is>
          <t>PRI.LP.A</t>
        </is>
      </c>
      <c r="E2458" s="3" t="inlineStr">
        <is>
          <t>Puerto Rico</t>
        </is>
      </c>
      <c r="F2458" s="3" t="inlineStr">
        <is>
          <t>Population, Persons for countries / Index for country groups</t>
        </is>
      </c>
      <c r="G2458" s="3" t="n">
        <v>3.810605</v>
      </c>
      <c r="H2458" s="3" t="n">
        <v>3.818774</v>
      </c>
      <c r="I2458" s="3" t="n">
        <v>3.823701</v>
      </c>
      <c r="J2458" s="3" t="n">
        <v>3.826095</v>
      </c>
      <c r="K2458" s="3" t="n">
        <v>3.826878</v>
      </c>
      <c r="L2458" s="3" t="n">
        <v>3.821362</v>
      </c>
      <c r="M2458" s="3" t="n">
        <v>3.805214</v>
      </c>
      <c r="N2458" s="3" t="n">
        <v>3.782995</v>
      </c>
      <c r="O2458" s="3" t="n">
        <v>3.760866</v>
      </c>
      <c r="P2458" s="3" t="n">
        <v>3.74041</v>
      </c>
      <c r="Q2458" s="3" t="n">
        <v>3.721526</v>
      </c>
      <c r="R2458" s="3" t="n">
        <v>3.678736</v>
      </c>
      <c r="S2458" s="3" t="n">
        <v>3.634487</v>
      </c>
      <c r="T2458" s="3" t="n">
        <v>3.593079</v>
      </c>
      <c r="U2458" s="3" t="n">
        <v>3.534888</v>
      </c>
      <c r="V2458" s="3" t="n">
        <v>3.474182</v>
      </c>
      <c r="W2458" s="3" t="n">
        <v>3.411307</v>
      </c>
      <c r="X2458" s="3" t="n">
        <v>3.3</v>
      </c>
      <c r="Y2458" s="3" t="n">
        <v>3.2</v>
      </c>
      <c r="Z2458" s="3" t="n">
        <v>3.2</v>
      </c>
      <c r="AA2458" s="3" t="n">
        <v>3.159343</v>
      </c>
      <c r="AB2458" s="3" t="n">
        <v>3.2</v>
      </c>
      <c r="AC2458" s="3" t="n">
        <v>3.2</v>
      </c>
      <c r="AD2458" s="3" t="n">
        <v>3.205691</v>
      </c>
      <c r="AE2458" s="3" t="n">
        <v>3.17684</v>
      </c>
      <c r="AF2458" s="3" t="n">
        <v>3.175283</v>
      </c>
      <c r="AG2458" s="3" t="n">
        <v>3.173727</v>
      </c>
      <c r="AH2458" s="3" t="n">
        <v>3.172172</v>
      </c>
      <c r="AI2458" s="3" t="n">
        <v>3.170618</v>
      </c>
      <c r="AJ2458" s="3" t="n">
        <v>3.169064</v>
      </c>
      <c r="AK2458" s="3" t="n">
        <v>3.167511</v>
      </c>
      <c r="AL2458" s="3" t="n">
        <v>3.165959</v>
      </c>
      <c r="AM2458" s="3" t="n"/>
      <c r="AN2458" s="3" t="n"/>
      <c r="AO2458" s="3" t="n"/>
      <c r="AP2458" s="3" t="n"/>
      <c r="AQ2458" s="3" t="n"/>
      <c r="AR2458" s="3" t="n"/>
      <c r="AS2458" s="3" t="n"/>
      <c r="AT2458" s="3" t="n"/>
      <c r="AU2458" s="3" t="n"/>
    </row>
    <row r="2459">
      <c r="A2459" s="3" t="n">
        <v>2031</v>
      </c>
      <c r="B2459" s="3" t="inlineStr">
        <is>
          <t>PRI</t>
        </is>
      </c>
      <c r="C2459" s="3" t="inlineStr">
        <is>
          <t>IMF.RES:WEO</t>
        </is>
      </c>
      <c r="D2459" s="3" t="inlineStr">
        <is>
          <t>PRI.NGDP.A</t>
        </is>
      </c>
      <c r="E2459" s="3" t="inlineStr">
        <is>
          <t>Puerto Rico</t>
        </is>
      </c>
      <c r="F2459" s="3" t="inlineStr">
        <is>
          <t>Gross domestic product (GDP), Current prices, Domestic currency</t>
        </is>
      </c>
      <c r="G2459" s="3" t="n">
        <v>61.7018</v>
      </c>
      <c r="H2459" s="3" t="n">
        <v>69.6686</v>
      </c>
      <c r="I2459" s="3" t="n">
        <v>72.5462</v>
      </c>
      <c r="J2459" s="3" t="n">
        <v>75.834</v>
      </c>
      <c r="K2459" s="3" t="n">
        <v>80.3223</v>
      </c>
      <c r="L2459" s="3" t="n">
        <v>83.9145</v>
      </c>
      <c r="M2459" s="3" t="n">
        <v>87.2762</v>
      </c>
      <c r="N2459" s="3" t="n">
        <v>89.5241</v>
      </c>
      <c r="O2459" s="3" t="n">
        <v>93.63930000000001</v>
      </c>
      <c r="P2459" s="3" t="n">
        <v>96.3856</v>
      </c>
      <c r="Q2459" s="3" t="n">
        <v>98.3813</v>
      </c>
      <c r="R2459" s="3" t="n">
        <v>100.3517</v>
      </c>
      <c r="S2459" s="3" t="n">
        <v>101.5648</v>
      </c>
      <c r="T2459" s="3" t="n">
        <v>102.45</v>
      </c>
      <c r="U2459" s="3" t="n">
        <v>102.4458</v>
      </c>
      <c r="V2459" s="3" t="n">
        <v>103.3755</v>
      </c>
      <c r="W2459" s="3" t="n">
        <v>104.3367</v>
      </c>
      <c r="X2459" s="3" t="n">
        <v>103.446</v>
      </c>
      <c r="Y2459" s="3" t="n">
        <v>100.958</v>
      </c>
      <c r="Z2459" s="3" t="n">
        <v>105.126</v>
      </c>
      <c r="AA2459" s="3" t="n">
        <v>103.131</v>
      </c>
      <c r="AB2459" s="3" t="n">
        <v>106.4266</v>
      </c>
      <c r="AC2459" s="3" t="n">
        <v>113.8437</v>
      </c>
      <c r="AD2459" s="3" t="n">
        <v>118.375</v>
      </c>
      <c r="AE2459" s="3" t="n">
        <v>125.8415</v>
      </c>
      <c r="AF2459" s="3" t="n">
        <v>126.52464</v>
      </c>
      <c r="AG2459" s="3" t="n">
        <v>129.012191</v>
      </c>
      <c r="AH2459" s="3" t="n">
        <v>133.409975</v>
      </c>
      <c r="AI2459" s="3" t="n">
        <v>137.40977</v>
      </c>
      <c r="AJ2459" s="3" t="n">
        <v>141.508102</v>
      </c>
      <c r="AK2459" s="3" t="n">
        <v>145.596331</v>
      </c>
      <c r="AL2459" s="3" t="n">
        <v>149.803691</v>
      </c>
      <c r="AM2459" s="3" t="n"/>
      <c r="AN2459" s="3" t="n"/>
      <c r="AO2459" s="3" t="n"/>
      <c r="AP2459" s="3" t="n"/>
      <c r="AQ2459" s="3" t="n"/>
      <c r="AR2459" s="3" t="n"/>
      <c r="AS2459" s="3" t="n"/>
      <c r="AT2459" s="3" t="n"/>
      <c r="AU2459" s="3" t="n"/>
    </row>
    <row r="2460">
      <c r="A2460" s="3" t="n">
        <v>2031</v>
      </c>
      <c r="B2460" s="3" t="inlineStr">
        <is>
          <t>PRI</t>
        </is>
      </c>
      <c r="C2460" s="3" t="inlineStr">
        <is>
          <t>IMF.RES:WEO</t>
        </is>
      </c>
      <c r="D2460" s="3" t="inlineStr">
        <is>
          <t>PRI.NGDP_D.A</t>
        </is>
      </c>
      <c r="E2460" s="3" t="inlineStr">
        <is>
          <t>Puerto Rico</t>
        </is>
      </c>
      <c r="F2460" s="3" t="inlineStr">
        <is>
          <t>Gross domestic product (GDP), Price deflator, Index</t>
        </is>
      </c>
      <c r="G2460" s="3" t="n">
        <v>59.374572</v>
      </c>
      <c r="H2460" s="3" t="n">
        <v>61.242622</v>
      </c>
      <c r="I2460" s="3" t="n">
        <v>62.417437</v>
      </c>
      <c r="J2460" s="3" t="n">
        <v>63.753706</v>
      </c>
      <c r="K2460" s="3" t="n">
        <v>66.21137</v>
      </c>
      <c r="L2460" s="3" t="n">
        <v>70.574888</v>
      </c>
      <c r="M2460" s="3" t="n">
        <v>74.451652</v>
      </c>
      <c r="N2460" s="3" t="n">
        <v>77.267346</v>
      </c>
      <c r="O2460" s="3" t="n">
        <v>82.33766199999999</v>
      </c>
      <c r="P2460" s="3" t="n">
        <v>86.44018199999999</v>
      </c>
      <c r="Q2460" s="3" t="n">
        <v>88.596085</v>
      </c>
      <c r="R2460" s="3" t="n">
        <v>90.69565900000001</v>
      </c>
      <c r="S2460" s="3" t="n">
        <v>91.76516700000001</v>
      </c>
      <c r="T2460" s="3" t="n">
        <v>92.849846</v>
      </c>
      <c r="U2460" s="3" t="n">
        <v>93.96455899999999</v>
      </c>
      <c r="V2460" s="3" t="n">
        <v>95.822751</v>
      </c>
      <c r="W2460" s="3" t="n">
        <v>97.95217700000001</v>
      </c>
      <c r="X2460" s="3" t="n">
        <v>100.000967</v>
      </c>
      <c r="Y2460" s="3" t="n">
        <v>102.04684</v>
      </c>
      <c r="Z2460" s="3" t="n">
        <v>104.508356</v>
      </c>
      <c r="AA2460" s="3" t="n">
        <v>106.999014</v>
      </c>
      <c r="AB2460" s="3" t="n">
        <v>109.993696</v>
      </c>
      <c r="AC2460" s="3" t="n">
        <v>114.279906</v>
      </c>
      <c r="AD2460" s="3" t="n">
        <v>118.239616</v>
      </c>
      <c r="AE2460" s="3" t="n">
        <v>121.768467</v>
      </c>
      <c r="AF2460" s="3" t="n">
        <v>123.41683</v>
      </c>
      <c r="AG2460" s="3" t="n">
        <v>125.969249</v>
      </c>
      <c r="AH2460" s="3" t="n">
        <v>128.973569</v>
      </c>
      <c r="AI2460" s="3" t="n">
        <v>132.048067</v>
      </c>
      <c r="AJ2460" s="3" t="n">
        <v>134.907225</v>
      </c>
      <c r="AK2460" s="3" t="n">
        <v>137.703127</v>
      </c>
      <c r="AL2460" s="3" t="n">
        <v>140.55793</v>
      </c>
      <c r="AM2460" s="3" t="n"/>
      <c r="AN2460" s="3" t="n"/>
      <c r="AO2460" s="3" t="n"/>
      <c r="AP2460" s="3" t="n"/>
      <c r="AQ2460" s="3" t="n"/>
      <c r="AR2460" s="3" t="n"/>
      <c r="AS2460" s="3" t="n"/>
      <c r="AT2460" s="3" t="n"/>
      <c r="AU2460" s="3" t="n"/>
    </row>
    <row r="2461">
      <c r="A2461" s="3" t="n">
        <v>2031</v>
      </c>
      <c r="B2461" s="3" t="inlineStr">
        <is>
          <t>PRI</t>
        </is>
      </c>
      <c r="C2461" s="3" t="inlineStr">
        <is>
          <t>IMF.RES:WEO</t>
        </is>
      </c>
      <c r="D2461" s="3" t="inlineStr">
        <is>
          <t>PRI.NGDP_R.A</t>
        </is>
      </c>
      <c r="E2461" s="3" t="inlineStr">
        <is>
          <t>Puerto Rico</t>
        </is>
      </c>
      <c r="F2461" s="3" t="inlineStr">
        <is>
          <t>Gross domestic product (GDP), Constant prices, Domestic currency</t>
        </is>
      </c>
      <c r="G2461" s="3" t="n">
        <v>103.91957</v>
      </c>
      <c r="H2461" s="3" t="n">
        <v>113.758356</v>
      </c>
      <c r="I2461" s="3" t="n">
        <v>116.227457</v>
      </c>
      <c r="J2461" s="3" t="n">
        <v>118.948379</v>
      </c>
      <c r="K2461" s="3" t="n">
        <v>121.311944</v>
      </c>
      <c r="L2461" s="3" t="n">
        <v>118.901358</v>
      </c>
      <c r="M2461" s="3" t="n">
        <v>117.225337</v>
      </c>
      <c r="N2461" s="3" t="n">
        <v>115.862786</v>
      </c>
      <c r="O2461" s="3" t="n">
        <v>113.725964</v>
      </c>
      <c r="P2461" s="3" t="n">
        <v>111.50555</v>
      </c>
      <c r="Q2461" s="3" t="n">
        <v>111.044748</v>
      </c>
      <c r="R2461" s="3" t="n">
        <v>110.646641</v>
      </c>
      <c r="S2461" s="3" t="n">
        <v>110.679033</v>
      </c>
      <c r="T2461" s="3" t="n">
        <v>110.33944</v>
      </c>
      <c r="U2461" s="3" t="n">
        <v>109.026</v>
      </c>
      <c r="V2461" s="3" t="n">
        <v>107.882</v>
      </c>
      <c r="W2461" s="3" t="n">
        <v>106.518</v>
      </c>
      <c r="X2461" s="3" t="n">
        <v>103.445</v>
      </c>
      <c r="Y2461" s="3" t="n">
        <v>98.93300000000001</v>
      </c>
      <c r="Z2461" s="3" t="n">
        <v>100.591</v>
      </c>
      <c r="AA2461" s="3" t="n">
        <v>96.38500000000001</v>
      </c>
      <c r="AB2461" s="3" t="n">
        <v>96.75700000000001</v>
      </c>
      <c r="AC2461" s="3" t="n">
        <v>99.6183</v>
      </c>
      <c r="AD2461" s="3" t="n">
        <v>100.1145</v>
      </c>
      <c r="AE2461" s="3" t="n">
        <v>103.3449</v>
      </c>
      <c r="AF2461" s="3" t="n">
        <v>102.518141</v>
      </c>
      <c r="AG2461" s="3" t="n">
        <v>102.415623</v>
      </c>
      <c r="AH2461" s="3" t="n">
        <v>103.439779</v>
      </c>
      <c r="AI2461" s="3" t="n">
        <v>104.060418</v>
      </c>
      <c r="AJ2461" s="3" t="n">
        <v>104.892901</v>
      </c>
      <c r="AK2461" s="3" t="n">
        <v>105.732044</v>
      </c>
      <c r="AL2461" s="3" t="n">
        <v>106.5779</v>
      </c>
      <c r="AM2461" s="3" t="n"/>
      <c r="AN2461" s="3" t="n"/>
      <c r="AO2461" s="3" t="n"/>
      <c r="AP2461" s="3" t="n"/>
      <c r="AQ2461" s="3" t="n"/>
      <c r="AR2461" s="3" t="n"/>
      <c r="AS2461" s="3" t="n"/>
      <c r="AT2461" s="3" t="n"/>
      <c r="AU2461" s="3" t="n"/>
    </row>
    <row r="2462">
      <c r="A2462" s="3" t="n">
        <v>2031</v>
      </c>
      <c r="B2462" s="3" t="inlineStr">
        <is>
          <t>PRI</t>
        </is>
      </c>
      <c r="C2462" s="3" t="inlineStr">
        <is>
          <t>IMF.RES:WEO</t>
        </is>
      </c>
      <c r="D2462" s="3" t="inlineStr">
        <is>
          <t>PRI.NGDP_RPCH.A</t>
        </is>
      </c>
      <c r="E2462" s="3" t="inlineStr">
        <is>
          <t>Puerto Rico</t>
        </is>
      </c>
      <c r="F2462" s="3" t="inlineStr">
        <is>
          <t>Gross domestic product (GDP), Constant prices, Percent change</t>
        </is>
      </c>
      <c r="G2462" s="3" t="n">
        <v>3.271965</v>
      </c>
      <c r="H2462" s="3" t="n">
        <v>9.467694</v>
      </c>
      <c r="I2462" s="3" t="n">
        <v>2.170479</v>
      </c>
      <c r="J2462" s="3" t="n">
        <v>2.341032</v>
      </c>
      <c r="K2462" s="3" t="n">
        <v>1.987052</v>
      </c>
      <c r="L2462" s="3" t="n">
        <v>-1.987097</v>
      </c>
      <c r="M2462" s="3" t="n">
        <v>-1.409589</v>
      </c>
      <c r="N2462" s="3" t="n">
        <v>-1.162335</v>
      </c>
      <c r="O2462" s="3" t="n">
        <v>-1.84427</v>
      </c>
      <c r="P2462" s="3" t="n">
        <v>-1.952425</v>
      </c>
      <c r="Q2462" s="3" t="n">
        <v>-0.413254</v>
      </c>
      <c r="R2462" s="3" t="n">
        <v>-0.358511</v>
      </c>
      <c r="S2462" s="3" t="n">
        <v>0.029275</v>
      </c>
      <c r="T2462" s="3" t="n">
        <v>-0.306827</v>
      </c>
      <c r="U2462" s="3" t="n">
        <v>-1.190363</v>
      </c>
      <c r="V2462" s="3" t="n">
        <v>-1.049291</v>
      </c>
      <c r="W2462" s="3" t="n">
        <v>-1.264344</v>
      </c>
      <c r="X2462" s="3" t="n">
        <v>-2.884958</v>
      </c>
      <c r="Y2462" s="3" t="n">
        <v>-4.361738</v>
      </c>
      <c r="Z2462" s="3" t="n">
        <v>1.675882</v>
      </c>
      <c r="AA2462" s="3" t="n">
        <v>-4.181289</v>
      </c>
      <c r="AB2462" s="3" t="n">
        <v>0.385952</v>
      </c>
      <c r="AC2462" s="3" t="n">
        <v>2.957202</v>
      </c>
      <c r="AD2462" s="3" t="n">
        <v>0.498101</v>
      </c>
      <c r="AE2462" s="3" t="n">
        <v>3.226705</v>
      </c>
      <c r="AF2462" s="3" t="n">
        <v>-0.8</v>
      </c>
      <c r="AG2462" s="3" t="n">
        <v>-0.1</v>
      </c>
      <c r="AH2462" s="3" t="n">
        <v>1</v>
      </c>
      <c r="AI2462" s="3" t="n">
        <v>0.6</v>
      </c>
      <c r="AJ2462" s="3" t="n">
        <v>0.8</v>
      </c>
      <c r="AK2462" s="3" t="n">
        <v>0.8</v>
      </c>
      <c r="AL2462" s="3" t="n">
        <v>0.8</v>
      </c>
      <c r="AM2462" s="3" t="n"/>
      <c r="AN2462" s="3" t="n"/>
      <c r="AO2462" s="3" t="n"/>
      <c r="AP2462" s="3" t="n"/>
      <c r="AQ2462" s="3" t="n"/>
      <c r="AR2462" s="3" t="n"/>
      <c r="AS2462" s="3" t="n"/>
      <c r="AT2462" s="3" t="n"/>
      <c r="AU2462" s="3" t="n"/>
    </row>
    <row r="2463">
      <c r="A2463" s="3" t="n">
        <v>2031</v>
      </c>
      <c r="B2463" s="3" t="inlineStr">
        <is>
          <t>PRI</t>
        </is>
      </c>
      <c r="C2463" s="3" t="inlineStr">
        <is>
          <t>IMF.RES:WEO</t>
        </is>
      </c>
      <c r="D2463" s="3" t="inlineStr">
        <is>
          <t>PRI.NGDPD.A</t>
        </is>
      </c>
      <c r="E2463" s="3" t="inlineStr">
        <is>
          <t>Puerto Rico</t>
        </is>
      </c>
      <c r="F2463" s="3" t="inlineStr">
        <is>
          <t>Gross domestic product (GDP), Current prices, US dollar</t>
        </is>
      </c>
      <c r="G2463" s="3" t="n">
        <v>61.7018</v>
      </c>
      <c r="H2463" s="3" t="n">
        <v>69.6686</v>
      </c>
      <c r="I2463" s="3" t="n">
        <v>72.5462</v>
      </c>
      <c r="J2463" s="3" t="n">
        <v>75.834</v>
      </c>
      <c r="K2463" s="3" t="n">
        <v>80.3223</v>
      </c>
      <c r="L2463" s="3" t="n">
        <v>83.9145</v>
      </c>
      <c r="M2463" s="3" t="n">
        <v>87.2762</v>
      </c>
      <c r="N2463" s="3" t="n">
        <v>89.5241</v>
      </c>
      <c r="O2463" s="3" t="n">
        <v>93.63930000000001</v>
      </c>
      <c r="P2463" s="3" t="n">
        <v>96.3856</v>
      </c>
      <c r="Q2463" s="3" t="n">
        <v>98.3813</v>
      </c>
      <c r="R2463" s="3" t="n">
        <v>100.3517</v>
      </c>
      <c r="S2463" s="3" t="n">
        <v>101.5648</v>
      </c>
      <c r="T2463" s="3" t="n">
        <v>102.45</v>
      </c>
      <c r="U2463" s="3" t="n">
        <v>102.4458</v>
      </c>
      <c r="V2463" s="3" t="n">
        <v>103.3755</v>
      </c>
      <c r="W2463" s="3" t="n">
        <v>104.3367</v>
      </c>
      <c r="X2463" s="3" t="n">
        <v>103.446</v>
      </c>
      <c r="Y2463" s="3" t="n">
        <v>100.958</v>
      </c>
      <c r="Z2463" s="3" t="n">
        <v>105.126</v>
      </c>
      <c r="AA2463" s="3" t="n">
        <v>103.131</v>
      </c>
      <c r="AB2463" s="3" t="n">
        <v>106.4266</v>
      </c>
      <c r="AC2463" s="3" t="n">
        <v>113.8437</v>
      </c>
      <c r="AD2463" s="3" t="n">
        <v>118.375</v>
      </c>
      <c r="AE2463" s="3" t="n">
        <v>125.8415</v>
      </c>
      <c r="AF2463" s="3" t="n">
        <v>126.52464</v>
      </c>
      <c r="AG2463" s="3" t="n">
        <v>129.012191</v>
      </c>
      <c r="AH2463" s="3" t="n">
        <v>133.409975</v>
      </c>
      <c r="AI2463" s="3" t="n">
        <v>137.40977</v>
      </c>
      <c r="AJ2463" s="3" t="n">
        <v>141.508102</v>
      </c>
      <c r="AK2463" s="3" t="n">
        <v>145.596331</v>
      </c>
      <c r="AL2463" s="3" t="n">
        <v>149.803691</v>
      </c>
      <c r="AM2463" s="3" t="n"/>
      <c r="AN2463" s="3" t="n"/>
      <c r="AO2463" s="3" t="n"/>
      <c r="AP2463" s="3" t="n"/>
      <c r="AQ2463" s="3" t="n"/>
      <c r="AR2463" s="3" t="n"/>
      <c r="AS2463" s="3" t="n"/>
      <c r="AT2463" s="3" t="n"/>
      <c r="AU2463" s="3" t="n"/>
    </row>
    <row r="2464">
      <c r="A2464" s="3" t="n">
        <v>2031</v>
      </c>
      <c r="B2464" s="3" t="inlineStr">
        <is>
          <t>PRI</t>
        </is>
      </c>
      <c r="C2464" s="3" t="inlineStr">
        <is>
          <t>IMF.RES:WEO</t>
        </is>
      </c>
      <c r="D2464" s="3" t="inlineStr">
        <is>
          <t>PRI.NGDPPC.A</t>
        </is>
      </c>
      <c r="E2464" s="3" t="inlineStr">
        <is>
          <t>Puerto Rico</t>
        </is>
      </c>
      <c r="F2464" s="3" t="inlineStr">
        <is>
          <t>Gross domestic product (GDP), Current prices, Per capita, Domestic currency</t>
        </is>
      </c>
      <c r="G2464" s="3" t="n">
        <v>16192.126972</v>
      </c>
      <c r="H2464" s="3" t="n">
        <v>18243.708583</v>
      </c>
      <c r="I2464" s="3" t="n">
        <v>18972.770099</v>
      </c>
      <c r="J2464" s="3" t="n">
        <v>19820.208333</v>
      </c>
      <c r="K2464" s="3" t="n">
        <v>20988.988936</v>
      </c>
      <c r="L2464" s="3" t="n">
        <v>21959.317123</v>
      </c>
      <c r="M2464" s="3" t="n">
        <v>22935.950514</v>
      </c>
      <c r="N2464" s="3" t="n">
        <v>23664.873995</v>
      </c>
      <c r="O2464" s="3" t="n">
        <v>24898.334586</v>
      </c>
      <c r="P2464" s="3" t="n">
        <v>25768.725888</v>
      </c>
      <c r="Q2464" s="3" t="n">
        <v>26435.741682</v>
      </c>
      <c r="R2464" s="3" t="n">
        <v>27278.853389</v>
      </c>
      <c r="S2464" s="3" t="n">
        <v>27944.741583</v>
      </c>
      <c r="T2464" s="3" t="n">
        <v>28513.149864</v>
      </c>
      <c r="U2464" s="3" t="n">
        <v>28981.342549</v>
      </c>
      <c r="V2464" s="3" t="n">
        <v>29755.349605</v>
      </c>
      <c r="W2464" s="3" t="n">
        <v>30585.549761</v>
      </c>
      <c r="X2464" s="3" t="n">
        <v>31347.272727</v>
      </c>
      <c r="Y2464" s="3" t="n">
        <v>31549.375</v>
      </c>
      <c r="Z2464" s="3" t="n">
        <v>32851.875</v>
      </c>
      <c r="AA2464" s="3" t="n">
        <v>32643.179294</v>
      </c>
      <c r="AB2464" s="3" t="n">
        <v>33258.3125</v>
      </c>
      <c r="AC2464" s="3" t="n">
        <v>35576.15625</v>
      </c>
      <c r="AD2464" s="3" t="n">
        <v>36926.515999</v>
      </c>
      <c r="AE2464" s="3" t="n">
        <v>39612.164502</v>
      </c>
      <c r="AF2464" s="3" t="n">
        <v>39846.726936</v>
      </c>
      <c r="AG2464" s="3" t="n">
        <v>40650.056328</v>
      </c>
      <c r="AH2464" s="3" t="n">
        <v>42056.348119</v>
      </c>
      <c r="AI2464" s="3" t="n">
        <v>43338.485091</v>
      </c>
      <c r="AJ2464" s="3" t="n">
        <v>44652.962377</v>
      </c>
      <c r="AK2464" s="3" t="n">
        <v>45965.528326</v>
      </c>
      <c r="AL2464" s="3" t="n">
        <v>47316.999379</v>
      </c>
      <c r="AM2464" s="3" t="n"/>
      <c r="AN2464" s="3" t="n"/>
      <c r="AO2464" s="3" t="n"/>
      <c r="AP2464" s="3" t="n"/>
      <c r="AQ2464" s="3" t="n"/>
      <c r="AR2464" s="3" t="n"/>
      <c r="AS2464" s="3" t="n"/>
      <c r="AT2464" s="3" t="n"/>
      <c r="AU2464" s="3" t="n"/>
    </row>
    <row r="2465">
      <c r="A2465" s="3" t="n">
        <v>2031</v>
      </c>
      <c r="B2465" s="3" t="inlineStr">
        <is>
          <t>PRI</t>
        </is>
      </c>
      <c r="C2465" s="3" t="inlineStr">
        <is>
          <t>IMF.RES:WEO</t>
        </is>
      </c>
      <c r="D2465" s="3" t="inlineStr">
        <is>
          <t>PRI.NGDPRPC.A</t>
        </is>
      </c>
      <c r="E2465" s="3" t="inlineStr">
        <is>
          <t>Puerto Rico</t>
        </is>
      </c>
      <c r="F2465" s="3" t="inlineStr">
        <is>
          <t>Gross domestic product (GDP), Constant prices, Per capita, Domestic currency</t>
        </is>
      </c>
      <c r="G2465" s="3" t="n">
        <v>27271.147108</v>
      </c>
      <c r="H2465" s="3" t="n">
        <v>29789.234966</v>
      </c>
      <c r="I2465" s="3" t="n">
        <v>30396.586105</v>
      </c>
      <c r="J2465" s="3" t="n">
        <v>31088.71539</v>
      </c>
      <c r="K2465" s="3" t="n">
        <v>31699.976911</v>
      </c>
      <c r="L2465" s="3" t="n">
        <v>31114.916088</v>
      </c>
      <c r="M2465" s="3" t="n">
        <v>30806.50313</v>
      </c>
      <c r="N2465" s="3" t="n">
        <v>30627.263924</v>
      </c>
      <c r="O2465" s="3" t="n">
        <v>30239.302342</v>
      </c>
      <c r="P2465" s="3" t="n">
        <v>29811.050052</v>
      </c>
      <c r="Q2465" s="3" t="n">
        <v>29838.498629</v>
      </c>
      <c r="R2465" s="3" t="n">
        <v>30077.352989</v>
      </c>
      <c r="S2465" s="3" t="n">
        <v>30452.449865</v>
      </c>
      <c r="T2465" s="3" t="n">
        <v>30708.882375</v>
      </c>
      <c r="U2465" s="3" t="n">
        <v>30842.844243</v>
      </c>
      <c r="V2465" s="3" t="n">
        <v>31052.489478</v>
      </c>
      <c r="W2465" s="3" t="n">
        <v>31224.982096</v>
      </c>
      <c r="X2465" s="3" t="n">
        <v>31346.969697</v>
      </c>
      <c r="Y2465" s="3" t="n">
        <v>30916.5625</v>
      </c>
      <c r="Z2465" s="3" t="n">
        <v>31434.6875</v>
      </c>
      <c r="AA2465" s="3" t="n">
        <v>30507.925224</v>
      </c>
      <c r="AB2465" s="3" t="n">
        <v>30236.5625</v>
      </c>
      <c r="AC2465" s="3" t="n">
        <v>31130.71875</v>
      </c>
      <c r="AD2465" s="3" t="n">
        <v>31230.24022</v>
      </c>
      <c r="AE2465" s="3" t="n">
        <v>32530.724596</v>
      </c>
      <c r="AF2465" s="3" t="n">
        <v>32286.299085</v>
      </c>
      <c r="AG2465" s="3" t="n">
        <v>32269.825001</v>
      </c>
      <c r="AH2465" s="3" t="n">
        <v>32608.501416</v>
      </c>
      <c r="AI2465" s="3" t="n">
        <v>32820.23434</v>
      </c>
      <c r="AJ2465" s="3" t="n">
        <v>33099.014731</v>
      </c>
      <c r="AK2465" s="3" t="n">
        <v>33380.163129</v>
      </c>
      <c r="AL2465" s="3" t="n">
        <v>33663.699647</v>
      </c>
      <c r="AM2465" s="3" t="n"/>
      <c r="AN2465" s="3" t="n"/>
      <c r="AO2465" s="3" t="n"/>
      <c r="AP2465" s="3" t="n"/>
      <c r="AQ2465" s="3" t="n"/>
      <c r="AR2465" s="3" t="n"/>
      <c r="AS2465" s="3" t="n"/>
      <c r="AT2465" s="3" t="n"/>
      <c r="AU2465" s="3" t="n"/>
    </row>
    <row r="2466">
      <c r="A2466" s="3" t="n">
        <v>2031</v>
      </c>
      <c r="B2466" s="3" t="inlineStr">
        <is>
          <t>PRI</t>
        </is>
      </c>
      <c r="C2466" s="3" t="inlineStr">
        <is>
          <t>IMF.RES:WEO</t>
        </is>
      </c>
      <c r="D2466" s="3" t="inlineStr">
        <is>
          <t>PRI.PCPI.A</t>
        </is>
      </c>
      <c r="E2466" s="3" t="inlineStr">
        <is>
          <t>Puerto Rico</t>
        </is>
      </c>
      <c r="F2466" s="3" t="inlineStr">
        <is>
          <t>All Items, Consumer price index (CPI), Period average</t>
        </is>
      </c>
      <c r="G2466" s="3" t="n">
        <v>84.244</v>
      </c>
      <c r="H2466" s="3" t="n">
        <v>84.735</v>
      </c>
      <c r="I2466" s="3" t="n">
        <v>84.896</v>
      </c>
      <c r="J2466" s="3" t="n">
        <v>86.074</v>
      </c>
      <c r="K2466" s="3" t="n">
        <v>88.25700000000001</v>
      </c>
      <c r="L2466" s="3" t="n">
        <v>93.209</v>
      </c>
      <c r="M2466" s="3" t="n">
        <v>98.041</v>
      </c>
      <c r="N2466" s="3" t="n">
        <v>102.186</v>
      </c>
      <c r="O2466" s="3" t="n">
        <v>107.51</v>
      </c>
      <c r="P2466" s="3" t="n">
        <v>107.809</v>
      </c>
      <c r="Q2466" s="3" t="n">
        <v>110.476</v>
      </c>
      <c r="R2466" s="3" t="n">
        <v>113.679</v>
      </c>
      <c r="S2466" s="3" t="n">
        <v>115.209</v>
      </c>
      <c r="T2466" s="3" t="n">
        <v>116.431</v>
      </c>
      <c r="U2466" s="3" t="n">
        <v>117.09</v>
      </c>
      <c r="V2466" s="3" t="n">
        <v>116.211</v>
      </c>
      <c r="W2466" s="3" t="n">
        <v>115.869917</v>
      </c>
      <c r="X2466" s="3" t="n">
        <v>117.9</v>
      </c>
      <c r="Y2466" s="3" t="n">
        <v>119.4</v>
      </c>
      <c r="Z2466" s="3" t="n">
        <v>119.5</v>
      </c>
      <c r="AA2466" s="3" t="n">
        <v>118.906</v>
      </c>
      <c r="AB2466" s="3" t="n">
        <v>121.772</v>
      </c>
      <c r="AC2466" s="3" t="n">
        <v>129.1</v>
      </c>
      <c r="AD2466" s="3" t="n">
        <v>133.59</v>
      </c>
      <c r="AE2466" s="3" t="n">
        <v>136.283</v>
      </c>
      <c r="AF2466" s="3" t="n">
        <v>138.127845</v>
      </c>
      <c r="AG2466" s="3" t="n">
        <v>140.984507</v>
      </c>
      <c r="AH2466" s="3" t="n">
        <v>144.346935</v>
      </c>
      <c r="AI2466" s="3" t="n">
        <v>147.787906</v>
      </c>
      <c r="AJ2466" s="3" t="n">
        <v>150.98787</v>
      </c>
      <c r="AK2466" s="3" t="n">
        <v>154.117037</v>
      </c>
      <c r="AL2466" s="3" t="n">
        <v>157.312126</v>
      </c>
      <c r="AM2466" s="3" t="n"/>
      <c r="AN2466" s="3" t="n"/>
      <c r="AO2466" s="3" t="n"/>
      <c r="AP2466" s="3" t="n"/>
      <c r="AQ2466" s="3" t="n"/>
      <c r="AR2466" s="3" t="n"/>
      <c r="AS2466" s="3" t="n"/>
      <c r="AT2466" s="3" t="n"/>
      <c r="AU2466" s="3" t="n"/>
    </row>
    <row r="2467">
      <c r="A2467" s="3" t="n">
        <v>2031</v>
      </c>
      <c r="B2467" s="3" t="inlineStr">
        <is>
          <t>PRI</t>
        </is>
      </c>
      <c r="C2467" s="3" t="inlineStr">
        <is>
          <t>IMF.RES:WEO</t>
        </is>
      </c>
      <c r="D2467" s="3" t="inlineStr">
        <is>
          <t>PRI.PCPIPCH.A</t>
        </is>
      </c>
      <c r="E2467" s="3" t="inlineStr">
        <is>
          <t>Puerto Rico</t>
        </is>
      </c>
      <c r="F2467" s="3" t="inlineStr">
        <is>
          <t>All Items, Consumer price index (CPI), Period average, percent change</t>
        </is>
      </c>
      <c r="G2467" s="3" t="n">
        <v>3.077243</v>
      </c>
      <c r="H2467" s="3" t="n">
        <v>0.582831</v>
      </c>
      <c r="I2467" s="3" t="n">
        <v>0.190004</v>
      </c>
      <c r="J2467" s="3" t="n">
        <v>1.38758</v>
      </c>
      <c r="K2467" s="3" t="n">
        <v>2.53619</v>
      </c>
      <c r="L2467" s="3" t="n">
        <v>5.610886</v>
      </c>
      <c r="M2467" s="3" t="n">
        <v>5.184049</v>
      </c>
      <c r="N2467" s="3" t="n">
        <v>4.227823</v>
      </c>
      <c r="O2467" s="3" t="n">
        <v>5.210107</v>
      </c>
      <c r="P2467" s="3" t="n">
        <v>0.278114</v>
      </c>
      <c r="Q2467" s="3" t="n">
        <v>2.473819</v>
      </c>
      <c r="R2467" s="3" t="n">
        <v>2.899272</v>
      </c>
      <c r="S2467" s="3" t="n">
        <v>1.345895</v>
      </c>
      <c r="T2467" s="3" t="n">
        <v>1.060681</v>
      </c>
      <c r="U2467" s="3" t="n">
        <v>0.5659999999999999</v>
      </c>
      <c r="V2467" s="3" t="n">
        <v>-0.750705</v>
      </c>
      <c r="W2467" s="3" t="n">
        <v>-0.293503</v>
      </c>
      <c r="X2467" s="3" t="n">
        <v>1.752037</v>
      </c>
      <c r="Y2467" s="3" t="n">
        <v>1.272265</v>
      </c>
      <c r="Z2467" s="3" t="n">
        <v>0.08375199999999999</v>
      </c>
      <c r="AA2467" s="3" t="n">
        <v>-0.497071</v>
      </c>
      <c r="AB2467" s="3" t="n">
        <v>2.410307</v>
      </c>
      <c r="AC2467" s="3" t="n">
        <v>6.017804</v>
      </c>
      <c r="AD2467" s="3" t="n">
        <v>3.477924</v>
      </c>
      <c r="AE2467" s="3" t="n">
        <v>2.015869</v>
      </c>
      <c r="AF2467" s="3" t="n">
        <v>1.353687</v>
      </c>
      <c r="AG2467" s="3" t="n">
        <v>2.068129</v>
      </c>
      <c r="AH2467" s="3" t="n">
        <v>2.384963</v>
      </c>
      <c r="AI2467" s="3" t="n">
        <v>2.38382</v>
      </c>
      <c r="AJ2467" s="3" t="n">
        <v>2.16524</v>
      </c>
      <c r="AK2467" s="3" t="n">
        <v>2.072462</v>
      </c>
      <c r="AL2467" s="3" t="n">
        <v>2.073158</v>
      </c>
      <c r="AM2467" s="3" t="n"/>
      <c r="AN2467" s="3" t="n"/>
      <c r="AO2467" s="3" t="n"/>
      <c r="AP2467" s="3" t="n"/>
      <c r="AQ2467" s="3" t="n"/>
      <c r="AR2467" s="3" t="n"/>
      <c r="AS2467" s="3" t="n"/>
      <c r="AT2467" s="3" t="n"/>
      <c r="AU2467" s="3" t="n"/>
    </row>
    <row r="2468">
      <c r="A2468" s="3" t="n">
        <v>2031</v>
      </c>
      <c r="B2468" s="3" t="inlineStr">
        <is>
          <t>PRI</t>
        </is>
      </c>
      <c r="C2468" s="3" t="inlineStr">
        <is>
          <t>IMF.RES:WEO</t>
        </is>
      </c>
      <c r="D2468" s="3" t="inlineStr">
        <is>
          <t>PRI.PPPPC.A</t>
        </is>
      </c>
      <c r="E2468" s="3" t="inlineStr">
        <is>
          <t>Puerto Rico</t>
        </is>
      </c>
      <c r="F2468" s="3" t="inlineStr">
        <is>
          <t>Gross domestic product (GDP), Per capita, purchasing power parity (PPP) international dollar, ICP benchmarks 2017-2021</t>
        </is>
      </c>
      <c r="G2468" s="3" t="n">
        <v>20838.207989</v>
      </c>
      <c r="H2468" s="3" t="n">
        <v>23274.829667</v>
      </c>
      <c r="I2468" s="3" t="n">
        <v>24118.436915</v>
      </c>
      <c r="J2468" s="3" t="n">
        <v>25154.604831</v>
      </c>
      <c r="K2468" s="3" t="n">
        <v>26338.867051</v>
      </c>
      <c r="L2468" s="3" t="n">
        <v>26663.447887</v>
      </c>
      <c r="M2468" s="3" t="n">
        <v>27213.27709</v>
      </c>
      <c r="N2468" s="3" t="n">
        <v>27787.935591</v>
      </c>
      <c r="O2468" s="3" t="n">
        <v>27964.469385</v>
      </c>
      <c r="P2468" s="3" t="n">
        <v>27738.459619</v>
      </c>
      <c r="Q2468" s="3" t="n">
        <v>28101.436452</v>
      </c>
      <c r="R2468" s="3" t="n">
        <v>28910.829487</v>
      </c>
      <c r="S2468" s="3" t="n">
        <v>29816.391765</v>
      </c>
      <c r="T2468" s="3" t="n">
        <v>30579.217975</v>
      </c>
      <c r="U2468" s="3" t="n">
        <v>31247.540368</v>
      </c>
      <c r="V2468" s="3" t="n">
        <v>31751.901362</v>
      </c>
      <c r="W2468" s="3" t="n">
        <v>32231.669158</v>
      </c>
      <c r="X2468" s="3" t="n">
        <v>32937.078324</v>
      </c>
      <c r="Y2468" s="3" t="n">
        <v>34661.823053</v>
      </c>
      <c r="Z2468" s="3" t="n">
        <v>37379.838813</v>
      </c>
      <c r="AA2468" s="3" t="n">
        <v>38284.845432</v>
      </c>
      <c r="AB2468" s="3" t="n">
        <v>41354.326445</v>
      </c>
      <c r="AC2468" s="3" t="n">
        <v>45605.528274</v>
      </c>
      <c r="AD2468" s="3" t="n">
        <v>47444.138368</v>
      </c>
      <c r="AE2468" s="3" t="n">
        <v>50646.667803</v>
      </c>
      <c r="AF2468" s="3" t="n">
        <v>51692.057472</v>
      </c>
      <c r="AG2468" s="3" t="n">
        <v>53145.826302</v>
      </c>
      <c r="AH2468" s="3" t="n">
        <v>54882.877758</v>
      </c>
      <c r="AI2468" s="3" t="n">
        <v>56145.933939</v>
      </c>
      <c r="AJ2468" s="3" t="n">
        <v>57629.662281</v>
      </c>
      <c r="AK2468" s="3" t="n">
        <v>59187.13347</v>
      </c>
      <c r="AL2468" s="3" t="n">
        <v>60767.461026</v>
      </c>
      <c r="AM2468" s="3" t="n"/>
      <c r="AN2468" s="3" t="n"/>
      <c r="AO2468" s="3" t="n"/>
      <c r="AP2468" s="3" t="n"/>
      <c r="AQ2468" s="3" t="n"/>
      <c r="AR2468" s="3" t="n"/>
      <c r="AS2468" s="3" t="n"/>
      <c r="AT2468" s="3" t="n"/>
      <c r="AU2468" s="3" t="n"/>
    </row>
    <row r="2469">
      <c r="A2469" s="3" t="n">
        <v>2031</v>
      </c>
      <c r="B2469" s="3" t="inlineStr">
        <is>
          <t>PRT</t>
        </is>
      </c>
      <c r="C2469" s="3" t="inlineStr">
        <is>
          <t>IMF.RES:WEO</t>
        </is>
      </c>
      <c r="D2469" s="3" t="inlineStr">
        <is>
          <t>PRT.BCA.A</t>
        </is>
      </c>
      <c r="E2469" s="3" t="inlineStr">
        <is>
          <t>Portugal</t>
        </is>
      </c>
      <c r="F2469" s="3" t="inlineStr">
        <is>
          <t>Current account balance (credit less debit), US dollar</t>
        </is>
      </c>
      <c r="G2469" s="3" t="n">
        <v>-12.809901</v>
      </c>
      <c r="H2469" s="3" t="n">
        <v>-12.706992</v>
      </c>
      <c r="I2469" s="3" t="n">
        <v>-11.292179</v>
      </c>
      <c r="J2469" s="3" t="n">
        <v>-10.95829</v>
      </c>
      <c r="K2469" s="3" t="n">
        <v>-15.062104</v>
      </c>
      <c r="L2469" s="3" t="n">
        <v>-18.917936</v>
      </c>
      <c r="M2469" s="3" t="n">
        <v>-21.419416</v>
      </c>
      <c r="N2469" s="3" t="n">
        <v>-23.138013</v>
      </c>
      <c r="O2469" s="3" t="n">
        <v>-31.180659</v>
      </c>
      <c r="P2469" s="3" t="n">
        <v>-25.309952</v>
      </c>
      <c r="Q2469" s="3" t="n">
        <v>-24.477552</v>
      </c>
      <c r="R2469" s="3" t="n">
        <v>-14.976696</v>
      </c>
      <c r="S2469" s="3" t="n">
        <v>-3.225435</v>
      </c>
      <c r="T2469" s="3" t="n">
        <v>3.47705</v>
      </c>
      <c r="U2469" s="3" t="n">
        <v>0.788695</v>
      </c>
      <c r="V2469" s="3" t="n">
        <v>1.004632</v>
      </c>
      <c r="W2469" s="3" t="n">
        <v>2.929939</v>
      </c>
      <c r="X2469" s="3" t="n">
        <v>3.275913</v>
      </c>
      <c r="Y2469" s="3" t="n">
        <v>1.822129</v>
      </c>
      <c r="Z2469" s="3" t="n">
        <v>1.873715</v>
      </c>
      <c r="AA2469" s="3" t="n">
        <v>-1.580036</v>
      </c>
      <c r="AB2469" s="3" t="n">
        <v>-1.69881</v>
      </c>
      <c r="AC2469" s="3" t="n">
        <v>-5.203444</v>
      </c>
      <c r="AD2469" s="3" t="n">
        <v>1.677055</v>
      </c>
      <c r="AE2469" s="3" t="n">
        <v>7.030985</v>
      </c>
      <c r="AF2469" s="3" t="n">
        <v>4.291219</v>
      </c>
      <c r="AG2469" s="3" t="n">
        <v>1.971697</v>
      </c>
      <c r="AH2469" s="3" t="n">
        <v>2.656803</v>
      </c>
      <c r="AI2469" s="3" t="n">
        <v>3.099586</v>
      </c>
      <c r="AJ2469" s="3" t="n">
        <v>2.862032</v>
      </c>
      <c r="AK2469" s="3" t="n">
        <v>2.681749</v>
      </c>
      <c r="AL2469" s="3" t="n">
        <v>2.488832</v>
      </c>
      <c r="AM2469" s="3" t="n"/>
      <c r="AN2469" s="3" t="n"/>
      <c r="AO2469" s="3" t="n"/>
      <c r="AP2469" s="3" t="n"/>
      <c r="AQ2469" s="3" t="n"/>
      <c r="AR2469" s="3" t="n"/>
      <c r="AS2469" s="3" t="n"/>
      <c r="AT2469" s="3" t="n"/>
      <c r="AU2469" s="3" t="n"/>
    </row>
    <row r="2470">
      <c r="A2470" s="3" t="n">
        <v>2031</v>
      </c>
      <c r="B2470" s="3" t="inlineStr">
        <is>
          <t>PRT</t>
        </is>
      </c>
      <c r="C2470" s="3" t="inlineStr">
        <is>
          <t>IMF.RES:WEO</t>
        </is>
      </c>
      <c r="D2470" s="3" t="inlineStr">
        <is>
          <t>PRT.BCA_NGDPD.A</t>
        </is>
      </c>
      <c r="E2470" s="3" t="inlineStr">
        <is>
          <t>Portugal</t>
        </is>
      </c>
      <c r="F2470" s="3" t="inlineStr">
        <is>
          <t>Current account balance (credit less debit), Percent of GDP</t>
        </is>
      </c>
      <c r="G2470" s="3" t="n">
        <v>-10.795681</v>
      </c>
      <c r="H2470" s="3" t="n">
        <v>-10.449398</v>
      </c>
      <c r="I2470" s="3" t="n">
        <v>-8.383190000000001</v>
      </c>
      <c r="J2470" s="3" t="n">
        <v>-6.63396</v>
      </c>
      <c r="K2470" s="3" t="n">
        <v>-7.956898</v>
      </c>
      <c r="L2470" s="3" t="n">
        <v>-9.585356000000001</v>
      </c>
      <c r="M2470" s="3" t="n">
        <v>-10.259942</v>
      </c>
      <c r="N2470" s="3" t="n">
        <v>-9.619816</v>
      </c>
      <c r="O2470" s="3" t="n">
        <v>-11.838319</v>
      </c>
      <c r="P2470" s="3" t="n">
        <v>-10.355862</v>
      </c>
      <c r="Q2470" s="3" t="n">
        <v>-10.257161</v>
      </c>
      <c r="R2470" s="3" t="n">
        <v>-6.103385</v>
      </c>
      <c r="S2470" s="3" t="n">
        <v>-1.488614</v>
      </c>
      <c r="T2470" s="3" t="n">
        <v>1.533898</v>
      </c>
      <c r="U2470" s="3" t="n">
        <v>0.342705</v>
      </c>
      <c r="V2470" s="3" t="n">
        <v>0.504692</v>
      </c>
      <c r="W2470" s="3" t="n">
        <v>1.420586</v>
      </c>
      <c r="X2470" s="3" t="n">
        <v>1.483757</v>
      </c>
      <c r="Y2470" s="3" t="n">
        <v>0.752316</v>
      </c>
      <c r="Z2470" s="3" t="n">
        <v>0.780251</v>
      </c>
      <c r="AA2470" s="3" t="n">
        <v>-0.6886640000000001</v>
      </c>
      <c r="AB2470" s="3" t="n">
        <v>-0.663012</v>
      </c>
      <c r="AC2470" s="3" t="n">
        <v>-2.023892</v>
      </c>
      <c r="AD2470" s="3" t="n">
        <v>0.573532</v>
      </c>
      <c r="AE2470" s="3" t="n">
        <v>2.242292</v>
      </c>
      <c r="AF2470" s="3" t="n">
        <v>1.23876</v>
      </c>
      <c r="AG2470" s="3" t="n">
        <v>0.517999</v>
      </c>
      <c r="AH2470" s="3" t="n">
        <v>0.67032</v>
      </c>
      <c r="AI2470" s="3" t="n">
        <v>0.751447</v>
      </c>
      <c r="AJ2470" s="3" t="n">
        <v>0.667306</v>
      </c>
      <c r="AK2470" s="3" t="n">
        <v>0.602812</v>
      </c>
      <c r="AL2470" s="3" t="n">
        <v>0.5396840000000001</v>
      </c>
      <c r="AM2470" s="3" t="n"/>
      <c r="AN2470" s="3" t="n"/>
      <c r="AO2470" s="3" t="n"/>
      <c r="AP2470" s="3" t="n"/>
      <c r="AQ2470" s="3" t="n"/>
      <c r="AR2470" s="3" t="n"/>
      <c r="AS2470" s="3" t="n"/>
      <c r="AT2470" s="3" t="n"/>
      <c r="AU2470" s="3" t="n"/>
    </row>
    <row r="2471">
      <c r="A2471" s="3" t="n">
        <v>2031</v>
      </c>
      <c r="B2471" s="3" t="inlineStr">
        <is>
          <t>PRT</t>
        </is>
      </c>
      <c r="C2471" s="3" t="inlineStr">
        <is>
          <t>IMF.RES:WEO</t>
        </is>
      </c>
      <c r="D2471" s="3" t="inlineStr">
        <is>
          <t>PRT.GGR_NGDP.A</t>
        </is>
      </c>
      <c r="E2471" s="3" t="inlineStr">
        <is>
          <t>Portugal</t>
        </is>
      </c>
      <c r="F2471" s="3" t="inlineStr">
        <is>
          <t>Revenue, General government, Percent of GDP</t>
        </is>
      </c>
      <c r="G2471" s="3" t="n">
        <v>39.512999</v>
      </c>
      <c r="H2471" s="3" t="n">
        <v>39.411306</v>
      </c>
      <c r="I2471" s="3" t="n">
        <v>40.472782</v>
      </c>
      <c r="J2471" s="3" t="n">
        <v>39.744222</v>
      </c>
      <c r="K2471" s="3" t="n">
        <v>40.083581</v>
      </c>
      <c r="L2471" s="3" t="n">
        <v>40.668831</v>
      </c>
      <c r="M2471" s="3" t="n">
        <v>41.102602</v>
      </c>
      <c r="N2471" s="3" t="n">
        <v>41.649449</v>
      </c>
      <c r="O2471" s="3" t="n">
        <v>41.67477</v>
      </c>
      <c r="P2471" s="3" t="n">
        <v>40.383242</v>
      </c>
      <c r="Q2471" s="3" t="n">
        <v>40.468791</v>
      </c>
      <c r="R2471" s="3" t="n">
        <v>42.300595</v>
      </c>
      <c r="S2471" s="3" t="n">
        <v>42.631568</v>
      </c>
      <c r="T2471" s="3" t="n">
        <v>44.743279</v>
      </c>
      <c r="U2471" s="3" t="n">
        <v>44.343575</v>
      </c>
      <c r="V2471" s="3" t="n">
        <v>43.843191</v>
      </c>
      <c r="W2471" s="3" t="n">
        <v>42.92234</v>
      </c>
      <c r="X2471" s="3" t="n">
        <v>42.4837</v>
      </c>
      <c r="Y2471" s="3" t="n">
        <v>42.855648</v>
      </c>
      <c r="Z2471" s="3" t="n">
        <v>42.596952</v>
      </c>
      <c r="AA2471" s="3" t="n">
        <v>43.370873</v>
      </c>
      <c r="AB2471" s="3" t="n">
        <v>44.517677</v>
      </c>
      <c r="AC2471" s="3" t="n">
        <v>43.563506</v>
      </c>
      <c r="AD2471" s="3" t="n">
        <v>43.154991</v>
      </c>
      <c r="AE2471" s="3" t="n">
        <v>43.006398</v>
      </c>
      <c r="AF2471" s="3" t="n">
        <v>44.051913</v>
      </c>
      <c r="AG2471" s="3" t="n">
        <v>43.772759</v>
      </c>
      <c r="AH2471" s="3" t="n">
        <v>42.372005</v>
      </c>
      <c r="AI2471" s="3" t="n">
        <v>42.156083</v>
      </c>
      <c r="AJ2471" s="3" t="n">
        <v>42.140003</v>
      </c>
      <c r="AK2471" s="3" t="n">
        <v>42.126248</v>
      </c>
      <c r="AL2471" s="3" t="n">
        <v>42.114033</v>
      </c>
      <c r="AM2471" s="3" t="n"/>
      <c r="AN2471" s="3" t="n"/>
      <c r="AO2471" s="3" t="n"/>
      <c r="AP2471" s="3" t="n"/>
      <c r="AQ2471" s="3" t="n"/>
      <c r="AR2471" s="3" t="n"/>
      <c r="AS2471" s="3" t="n"/>
      <c r="AT2471" s="3" t="n"/>
      <c r="AU2471" s="3" t="n"/>
    </row>
    <row r="2472">
      <c r="A2472" s="3" t="n">
        <v>2031</v>
      </c>
      <c r="B2472" s="3" t="inlineStr">
        <is>
          <t>PRT</t>
        </is>
      </c>
      <c r="C2472" s="3" t="inlineStr">
        <is>
          <t>IMF.RES:WEO</t>
        </is>
      </c>
      <c r="D2472" s="3" t="inlineStr">
        <is>
          <t>PRT.GGX_NGDP.A</t>
        </is>
      </c>
      <c r="E2472" s="3" t="inlineStr">
        <is>
          <t>Portugal</t>
        </is>
      </c>
      <c r="F2472" s="3" t="inlineStr">
        <is>
          <t>Expenditure, General government, Percent of GDP</t>
        </is>
      </c>
      <c r="G2472" s="3" t="n">
        <v>42.830816</v>
      </c>
      <c r="H2472" s="3" t="n">
        <v>44.090067</v>
      </c>
      <c r="I2472" s="3" t="n">
        <v>44.172379</v>
      </c>
      <c r="J2472" s="3" t="n">
        <v>45.312208</v>
      </c>
      <c r="K2472" s="3" t="n">
        <v>45.995949</v>
      </c>
      <c r="L2472" s="3" t="n">
        <v>46.720314</v>
      </c>
      <c r="M2472" s="3" t="n">
        <v>45.16674</v>
      </c>
      <c r="N2472" s="3" t="n">
        <v>44.558211</v>
      </c>
      <c r="O2472" s="3" t="n">
        <v>45.485492</v>
      </c>
      <c r="P2472" s="3" t="n">
        <v>50.257484</v>
      </c>
      <c r="Q2472" s="3" t="n">
        <v>51.887164</v>
      </c>
      <c r="R2472" s="3" t="n">
        <v>50.027547</v>
      </c>
      <c r="S2472" s="3" t="n">
        <v>48.834001</v>
      </c>
      <c r="T2472" s="3" t="n">
        <v>49.95686</v>
      </c>
      <c r="U2472" s="3" t="n">
        <v>51.659617</v>
      </c>
      <c r="V2472" s="3" t="n">
        <v>48.215055</v>
      </c>
      <c r="W2472" s="3" t="n">
        <v>44.865694</v>
      </c>
      <c r="X2472" s="3" t="n">
        <v>45.485903</v>
      </c>
      <c r="Y2472" s="3" t="n">
        <v>43.281424</v>
      </c>
      <c r="Z2472" s="3" t="n">
        <v>42.480886</v>
      </c>
      <c r="AA2472" s="3" t="n">
        <v>49.123113</v>
      </c>
      <c r="AB2472" s="3" t="n">
        <v>47.343194</v>
      </c>
      <c r="AC2472" s="3" t="n">
        <v>43.873917</v>
      </c>
      <c r="AD2472" s="3" t="n">
        <v>41.897825</v>
      </c>
      <c r="AE2472" s="3" t="n">
        <v>42.505526</v>
      </c>
      <c r="AF2472" s="3" t="n">
        <v>43.74318</v>
      </c>
      <c r="AG2472" s="3" t="n">
        <v>43.912284</v>
      </c>
      <c r="AH2472" s="3" t="n">
        <v>42.535292</v>
      </c>
      <c r="AI2472" s="3" t="n">
        <v>42.679672</v>
      </c>
      <c r="AJ2472" s="3" t="n">
        <v>43.000708</v>
      </c>
      <c r="AK2472" s="3" t="n">
        <v>43.339153</v>
      </c>
      <c r="AL2472" s="3" t="n">
        <v>43.696946</v>
      </c>
      <c r="AM2472" s="3" t="n"/>
      <c r="AN2472" s="3" t="n"/>
      <c r="AO2472" s="3" t="n"/>
      <c r="AP2472" s="3" t="n"/>
      <c r="AQ2472" s="3" t="n"/>
      <c r="AR2472" s="3" t="n"/>
      <c r="AS2472" s="3" t="n"/>
      <c r="AT2472" s="3" t="n"/>
      <c r="AU2472" s="3" t="n"/>
    </row>
    <row r="2473">
      <c r="A2473" s="3" t="n">
        <v>2027</v>
      </c>
      <c r="B2473" s="3" t="inlineStr">
        <is>
          <t>PRT</t>
        </is>
      </c>
      <c r="C2473" s="3" t="inlineStr">
        <is>
          <t>IMF.RES:WEO</t>
        </is>
      </c>
      <c r="D2473" s="3" t="inlineStr">
        <is>
          <t>PRT.LE.A</t>
        </is>
      </c>
      <c r="E2473" s="3" t="inlineStr">
        <is>
          <t>Portugal</t>
        </is>
      </c>
      <c r="F2473" s="3" t="inlineStr">
        <is>
          <t>Employed persons, Persons for countries / Index for country groups</t>
        </is>
      </c>
      <c r="G2473" s="3" t="n">
        <v>5.057278</v>
      </c>
      <c r="H2473" s="3" t="n">
        <v>5.144203</v>
      </c>
      <c r="I2473" s="3" t="n">
        <v>5.159883</v>
      </c>
      <c r="J2473" s="3" t="n">
        <v>5.109495</v>
      </c>
      <c r="K2473" s="3" t="n">
        <v>5.078338</v>
      </c>
      <c r="L2473" s="3" t="n">
        <v>5.063315</v>
      </c>
      <c r="M2473" s="3" t="n">
        <v>5.095013</v>
      </c>
      <c r="N2473" s="3" t="n">
        <v>5.10845</v>
      </c>
      <c r="O2473" s="3" t="n">
        <v>5.13246</v>
      </c>
      <c r="P2473" s="3" t="n">
        <v>4.984413</v>
      </c>
      <c r="Q2473" s="3" t="n">
        <v>4.914075</v>
      </c>
      <c r="R2473" s="3" t="n">
        <v>4.802298</v>
      </c>
      <c r="S2473" s="3" t="n">
        <v>4.610338</v>
      </c>
      <c r="T2473" s="3" t="n">
        <v>4.48498</v>
      </c>
      <c r="U2473" s="3" t="n">
        <v>4.557598</v>
      </c>
      <c r="V2473" s="3" t="n">
        <v>4.618363</v>
      </c>
      <c r="W2473" s="3" t="n">
        <v>4.693</v>
      </c>
      <c r="X2473" s="3" t="n">
        <v>4.85121</v>
      </c>
      <c r="Y2473" s="3" t="n">
        <v>4.966385</v>
      </c>
      <c r="Z2473" s="3" t="n">
        <v>5.00934</v>
      </c>
      <c r="AA2473" s="3" t="n">
        <v>4.906563</v>
      </c>
      <c r="AB2473" s="3" t="n">
        <v>4.971988</v>
      </c>
      <c r="AC2473" s="3" t="n">
        <v>5.163283</v>
      </c>
      <c r="AD2473" s="3" t="n">
        <v>5.264325</v>
      </c>
      <c r="AE2473" s="3" t="n">
        <v>5.309065</v>
      </c>
      <c r="AF2473" s="3" t="n">
        <v>5.425415</v>
      </c>
      <c r="AG2473" s="3" t="n">
        <v>5.517647</v>
      </c>
      <c r="AH2473" s="3" t="n">
        <v>5.586618</v>
      </c>
      <c r="AI2473" s="3" t="n"/>
      <c r="AJ2473" s="3" t="n"/>
      <c r="AK2473" s="3" t="n"/>
      <c r="AL2473" s="3" t="n"/>
      <c r="AM2473" s="3" t="n"/>
      <c r="AN2473" s="3" t="n"/>
      <c r="AO2473" s="3" t="n"/>
      <c r="AP2473" s="3" t="n"/>
      <c r="AQ2473" s="3" t="n"/>
      <c r="AR2473" s="3" t="n"/>
      <c r="AS2473" s="3" t="n"/>
      <c r="AT2473" s="3" t="n"/>
      <c r="AU2473" s="3" t="n"/>
    </row>
    <row r="2474">
      <c r="A2474" s="3" t="n">
        <v>2031</v>
      </c>
      <c r="B2474" s="3" t="inlineStr">
        <is>
          <t>PRT</t>
        </is>
      </c>
      <c r="C2474" s="3" t="inlineStr">
        <is>
          <t>IMF.RES:WEO</t>
        </is>
      </c>
      <c r="D2474" s="3" t="inlineStr">
        <is>
          <t>PRT.LP.A</t>
        </is>
      </c>
      <c r="E2474" s="3" t="inlineStr">
        <is>
          <t>Portugal</t>
        </is>
      </c>
      <c r="F2474" s="3" t="inlineStr">
        <is>
          <t>Population, Persons for countries / Index for country groups</t>
        </is>
      </c>
      <c r="G2474" s="3" t="n">
        <v>10.2899</v>
      </c>
      <c r="H2474" s="3" t="n">
        <v>10.36272</v>
      </c>
      <c r="I2474" s="3" t="n">
        <v>10.41963</v>
      </c>
      <c r="J2474" s="3" t="n">
        <v>10.45882</v>
      </c>
      <c r="K2474" s="3" t="n">
        <v>10.48386</v>
      </c>
      <c r="L2474" s="3" t="n">
        <v>10.50333</v>
      </c>
      <c r="M2474" s="3" t="n">
        <v>10.52229</v>
      </c>
      <c r="N2474" s="3" t="n">
        <v>10.54296</v>
      </c>
      <c r="O2474" s="3" t="n">
        <v>10.55818</v>
      </c>
      <c r="P2474" s="3" t="n">
        <v>10.56825</v>
      </c>
      <c r="Q2474" s="3" t="n">
        <v>10.5731</v>
      </c>
      <c r="R2474" s="3" t="n">
        <v>10.57454</v>
      </c>
      <c r="S2474" s="3" t="n">
        <v>10.53142</v>
      </c>
      <c r="T2474" s="3" t="n">
        <v>10.47399</v>
      </c>
      <c r="U2474" s="3" t="n">
        <v>10.41961</v>
      </c>
      <c r="V2474" s="3" t="n">
        <v>10.38184</v>
      </c>
      <c r="W2474" s="3" t="n">
        <v>10.35652</v>
      </c>
      <c r="X2474" s="3" t="n">
        <v>10.34012</v>
      </c>
      <c r="Y2474" s="3" t="n">
        <v>10.33463</v>
      </c>
      <c r="Z2474" s="3" t="n">
        <v>10.35445</v>
      </c>
      <c r="AA2474" s="3" t="n">
        <v>10.38485</v>
      </c>
      <c r="AB2474" s="3" t="n">
        <v>10.40771</v>
      </c>
      <c r="AC2474" s="3" t="n">
        <v>10.46887</v>
      </c>
      <c r="AD2474" s="3" t="n">
        <v>10.57817</v>
      </c>
      <c r="AE2474" s="3" t="n">
        <v>10.69468</v>
      </c>
      <c r="AF2474" s="3" t="n">
        <v>10.769543</v>
      </c>
      <c r="AG2474" s="3" t="n">
        <v>10.742283</v>
      </c>
      <c r="AH2474" s="3" t="n">
        <v>10.715093</v>
      </c>
      <c r="AI2474" s="3" t="n">
        <v>10.687971</v>
      </c>
      <c r="AJ2474" s="3" t="n">
        <v>10.666595</v>
      </c>
      <c r="AK2474" s="3" t="n">
        <v>10.645262</v>
      </c>
      <c r="AL2474" s="3" t="n">
        <v>10.623971</v>
      </c>
      <c r="AM2474" s="3" t="n"/>
      <c r="AN2474" s="3" t="n"/>
      <c r="AO2474" s="3" t="n"/>
      <c r="AP2474" s="3" t="n"/>
      <c r="AQ2474" s="3" t="n"/>
      <c r="AR2474" s="3" t="n"/>
      <c r="AS2474" s="3" t="n"/>
      <c r="AT2474" s="3" t="n"/>
      <c r="AU2474" s="3" t="n"/>
    </row>
    <row r="2475">
      <c r="A2475" s="3" t="n">
        <v>2031</v>
      </c>
      <c r="B2475" s="3" t="inlineStr">
        <is>
          <t>PRT</t>
        </is>
      </c>
      <c r="C2475" s="3" t="inlineStr">
        <is>
          <t>IMF.RES:WEO</t>
        </is>
      </c>
      <c r="D2475" s="3" t="inlineStr">
        <is>
          <t>PRT.NGDP.A</t>
        </is>
      </c>
      <c r="E2475" s="3" t="inlineStr">
        <is>
          <t>Portugal</t>
        </is>
      </c>
      <c r="F2475" s="3" t="inlineStr">
        <is>
          <t>Gross domestic product (GDP), Current prices, Domestic currency</t>
        </is>
      </c>
      <c r="G2475" s="3" t="n">
        <v>128.4145</v>
      </c>
      <c r="H2475" s="3" t="n">
        <v>135.7751</v>
      </c>
      <c r="I2475" s="3" t="n">
        <v>142.5542</v>
      </c>
      <c r="J2475" s="3" t="n">
        <v>146.0678</v>
      </c>
      <c r="K2475" s="3" t="n">
        <v>152.2484</v>
      </c>
      <c r="L2475" s="3" t="n">
        <v>158.5527</v>
      </c>
      <c r="M2475" s="3" t="n">
        <v>166.2604</v>
      </c>
      <c r="N2475" s="3" t="n">
        <v>175.4834</v>
      </c>
      <c r="O2475" s="3" t="n">
        <v>179.1028</v>
      </c>
      <c r="P2475" s="3" t="n">
        <v>175.4165</v>
      </c>
      <c r="Q2475" s="3" t="n">
        <v>179.8604</v>
      </c>
      <c r="R2475" s="3" t="n">
        <v>176.3179</v>
      </c>
      <c r="S2475" s="3" t="n">
        <v>168.5387</v>
      </c>
      <c r="T2475" s="3" t="n">
        <v>170.6756</v>
      </c>
      <c r="U2475" s="3" t="n">
        <v>173.1866</v>
      </c>
      <c r="V2475" s="3" t="n">
        <v>179.3926</v>
      </c>
      <c r="W2475" s="3" t="n">
        <v>186.3808</v>
      </c>
      <c r="X2475" s="3" t="n">
        <v>195.5091</v>
      </c>
      <c r="Y2475" s="3" t="n">
        <v>204.9976</v>
      </c>
      <c r="Z2475" s="3" t="n">
        <v>214.4899</v>
      </c>
      <c r="AA2475" s="3" t="n">
        <v>201.0328</v>
      </c>
      <c r="AB2475" s="3" t="n">
        <v>216.4938</v>
      </c>
      <c r="AC2475" s="3" t="n">
        <v>243.9572</v>
      </c>
      <c r="AD2475" s="3" t="n">
        <v>270.3526</v>
      </c>
      <c r="AE2475" s="3" t="n">
        <v>289.7843</v>
      </c>
      <c r="AF2475" s="3" t="n">
        <v>306.7381</v>
      </c>
      <c r="AG2475" s="3" t="n">
        <v>322.787547</v>
      </c>
      <c r="AH2475" s="3" t="n">
        <v>336.886605</v>
      </c>
      <c r="AI2475" s="3" t="n">
        <v>351.550222</v>
      </c>
      <c r="AJ2475" s="3" t="n">
        <v>365.731248</v>
      </c>
      <c r="AK2475" s="3" t="n">
        <v>379.416803</v>
      </c>
      <c r="AL2475" s="3" t="n">
        <v>393.376027</v>
      </c>
      <c r="AM2475" s="3" t="n"/>
      <c r="AN2475" s="3" t="n"/>
      <c r="AO2475" s="3" t="n"/>
      <c r="AP2475" s="3" t="n"/>
      <c r="AQ2475" s="3" t="n"/>
      <c r="AR2475" s="3" t="n"/>
      <c r="AS2475" s="3" t="n"/>
      <c r="AT2475" s="3" t="n"/>
      <c r="AU2475" s="3" t="n"/>
    </row>
    <row r="2476">
      <c r="A2476" s="3" t="n">
        <v>2031</v>
      </c>
      <c r="B2476" s="3" t="inlineStr">
        <is>
          <t>PRT</t>
        </is>
      </c>
      <c r="C2476" s="3" t="inlineStr">
        <is>
          <t>IMF.RES:WEO</t>
        </is>
      </c>
      <c r="D2476" s="3" t="inlineStr">
        <is>
          <t>PRT.NGDP_D.A</t>
        </is>
      </c>
      <c r="E2476" s="3" t="inlineStr">
        <is>
          <t>Portugal</t>
        </is>
      </c>
      <c r="F2476" s="3" t="inlineStr">
        <is>
          <t>Gross domestic product (GDP), Price deflator, Index</t>
        </is>
      </c>
      <c r="G2476" s="3" t="n">
        <v>65.84092800000001</v>
      </c>
      <c r="H2476" s="3" t="n">
        <v>68.28764700000001</v>
      </c>
      <c r="I2476" s="3" t="n">
        <v>71.14867700000001</v>
      </c>
      <c r="J2476" s="3" t="n">
        <v>73.58705399999999</v>
      </c>
      <c r="K2476" s="3" t="n">
        <v>75.35288799999999</v>
      </c>
      <c r="L2476" s="3" t="n">
        <v>77.86428100000001</v>
      </c>
      <c r="M2476" s="3" t="n">
        <v>80.343836</v>
      </c>
      <c r="N2476" s="3" t="n">
        <v>82.727191</v>
      </c>
      <c r="O2476" s="3" t="n">
        <v>84.164771</v>
      </c>
      <c r="P2476" s="3" t="n">
        <v>85.088998</v>
      </c>
      <c r="Q2476" s="3" t="n">
        <v>85.754554</v>
      </c>
      <c r="R2476" s="3" t="n">
        <v>85.53113399999999</v>
      </c>
      <c r="S2476" s="3" t="n">
        <v>85.209208</v>
      </c>
      <c r="T2476" s="3" t="n">
        <v>87.147194</v>
      </c>
      <c r="U2476" s="3" t="n">
        <v>87.77853</v>
      </c>
      <c r="V2476" s="3" t="n">
        <v>89.501098</v>
      </c>
      <c r="W2476" s="3" t="n">
        <v>91.160618</v>
      </c>
      <c r="X2476" s="3" t="n">
        <v>92.557405</v>
      </c>
      <c r="Y2476" s="3" t="n">
        <v>94.27188099999999</v>
      </c>
      <c r="Z2476" s="3" t="n">
        <v>96.00115099999999</v>
      </c>
      <c r="AA2476" s="3" t="n">
        <v>98.02026499999999</v>
      </c>
      <c r="AB2476" s="3" t="n">
        <v>99.999954</v>
      </c>
      <c r="AC2476" s="3" t="n">
        <v>105.327529</v>
      </c>
      <c r="AD2476" s="3" t="n">
        <v>113.214025</v>
      </c>
      <c r="AE2476" s="3" t="n">
        <v>118.722115</v>
      </c>
      <c r="AF2476" s="3" t="n">
        <v>123.368487</v>
      </c>
      <c r="AG2476" s="3" t="n">
        <v>127.365332</v>
      </c>
      <c r="AH2476" s="3" t="n">
        <v>130.578097</v>
      </c>
      <c r="AI2476" s="3" t="n">
        <v>133.905023</v>
      </c>
      <c r="AJ2476" s="3" t="n">
        <v>136.977933</v>
      </c>
      <c r="AK2476" s="3" t="n">
        <v>139.796957</v>
      </c>
      <c r="AL2476" s="3" t="n">
        <v>142.65774</v>
      </c>
      <c r="AM2476" s="3" t="n"/>
      <c r="AN2476" s="3" t="n"/>
      <c r="AO2476" s="3" t="n"/>
      <c r="AP2476" s="3" t="n"/>
      <c r="AQ2476" s="3" t="n"/>
      <c r="AR2476" s="3" t="n"/>
      <c r="AS2476" s="3" t="n"/>
      <c r="AT2476" s="3" t="n"/>
      <c r="AU2476" s="3" t="n"/>
    </row>
    <row r="2477">
      <c r="A2477" s="3" t="n">
        <v>2031</v>
      </c>
      <c r="B2477" s="3" t="inlineStr">
        <is>
          <t>PRT</t>
        </is>
      </c>
      <c r="C2477" s="3" t="inlineStr">
        <is>
          <t>IMF.RES:WEO</t>
        </is>
      </c>
      <c r="D2477" s="3" t="inlineStr">
        <is>
          <t>PRT.NGDP_R.A</t>
        </is>
      </c>
      <c r="E2477" s="3" t="inlineStr">
        <is>
          <t>Portugal</t>
        </is>
      </c>
      <c r="F2477" s="3" t="inlineStr">
        <is>
          <t>Gross domestic product (GDP), Constant prices, Domestic currency</t>
        </is>
      </c>
      <c r="G2477" s="3" t="n">
        <v>195.0375</v>
      </c>
      <c r="H2477" s="3" t="n">
        <v>198.8282</v>
      </c>
      <c r="I2477" s="3" t="n">
        <v>200.361</v>
      </c>
      <c r="J2477" s="3" t="n">
        <v>198.4966</v>
      </c>
      <c r="K2477" s="3" t="n">
        <v>202.0472</v>
      </c>
      <c r="L2477" s="3" t="n">
        <v>203.627</v>
      </c>
      <c r="M2477" s="3" t="n">
        <v>206.9361</v>
      </c>
      <c r="N2477" s="3" t="n">
        <v>212.123</v>
      </c>
      <c r="O2477" s="3" t="n">
        <v>212.8002</v>
      </c>
      <c r="P2477" s="3" t="n">
        <v>206.1565</v>
      </c>
      <c r="Q2477" s="3" t="n">
        <v>209.7386</v>
      </c>
      <c r="R2477" s="3" t="n">
        <v>206.1447</v>
      </c>
      <c r="S2477" s="3" t="n">
        <v>197.794</v>
      </c>
      <c r="T2477" s="3" t="n">
        <v>195.8475</v>
      </c>
      <c r="U2477" s="3" t="n">
        <v>197.2995</v>
      </c>
      <c r="V2477" s="3" t="n">
        <v>200.4362</v>
      </c>
      <c r="W2477" s="3" t="n">
        <v>204.4532</v>
      </c>
      <c r="X2477" s="3" t="n">
        <v>211.2301</v>
      </c>
      <c r="Y2477" s="3" t="n">
        <v>217.4536</v>
      </c>
      <c r="Z2477" s="3" t="n">
        <v>223.4243</v>
      </c>
      <c r="AA2477" s="3" t="n">
        <v>205.0931</v>
      </c>
      <c r="AB2477" s="3" t="n">
        <v>216.4939</v>
      </c>
      <c r="AC2477" s="3" t="n">
        <v>231.6177</v>
      </c>
      <c r="AD2477" s="3" t="n">
        <v>238.7978</v>
      </c>
      <c r="AE2477" s="3" t="n">
        <v>244.0862</v>
      </c>
      <c r="AF2477" s="3" t="n">
        <v>248.6357</v>
      </c>
      <c r="AG2477" s="3" t="n">
        <v>253.434387</v>
      </c>
      <c r="AH2477" s="3" t="n">
        <v>257.996259</v>
      </c>
      <c r="AI2477" s="3" t="n">
        <v>262.536994</v>
      </c>
      <c r="AJ2477" s="3" t="n">
        <v>267.000122</v>
      </c>
      <c r="AK2477" s="3" t="n">
        <v>271.405624</v>
      </c>
      <c r="AL2477" s="3" t="n">
        <v>275.748114</v>
      </c>
      <c r="AM2477" s="3" t="n"/>
      <c r="AN2477" s="3" t="n"/>
      <c r="AO2477" s="3" t="n"/>
      <c r="AP2477" s="3" t="n"/>
      <c r="AQ2477" s="3" t="n"/>
      <c r="AR2477" s="3" t="n"/>
      <c r="AS2477" s="3" t="n"/>
      <c r="AT2477" s="3" t="n"/>
      <c r="AU2477" s="3" t="n"/>
    </row>
    <row r="2478">
      <c r="A2478" s="3" t="n">
        <v>2031</v>
      </c>
      <c r="B2478" s="3" t="inlineStr">
        <is>
          <t>PRT</t>
        </is>
      </c>
      <c r="C2478" s="3" t="inlineStr">
        <is>
          <t>IMF.RES:WEO</t>
        </is>
      </c>
      <c r="D2478" s="3" t="inlineStr">
        <is>
          <t>PRT.NGDP_RPCH.A</t>
        </is>
      </c>
      <c r="E2478" s="3" t="inlineStr">
        <is>
          <t>Portugal</t>
        </is>
      </c>
      <c r="F2478" s="3" t="inlineStr">
        <is>
          <t>Gross domestic product (GDP), Constant prices, Percent change</t>
        </is>
      </c>
      <c r="G2478" s="3" t="n">
        <v>3.816243</v>
      </c>
      <c r="H2478" s="3" t="n">
        <v>1.943575</v>
      </c>
      <c r="I2478" s="3" t="n">
        <v>0.770917</v>
      </c>
      <c r="J2478" s="3" t="n">
        <v>-0.93052</v>
      </c>
      <c r="K2478" s="3" t="n">
        <v>1.788746</v>
      </c>
      <c r="L2478" s="3" t="n">
        <v>0.781897</v>
      </c>
      <c r="M2478" s="3" t="n">
        <v>1.625079</v>
      </c>
      <c r="N2478" s="3" t="n">
        <v>2.506523</v>
      </c>
      <c r="O2478" s="3" t="n">
        <v>0.319249</v>
      </c>
      <c r="P2478" s="3" t="n">
        <v>-3.122037</v>
      </c>
      <c r="Q2478" s="3" t="n">
        <v>1.737563</v>
      </c>
      <c r="R2478" s="3" t="n">
        <v>-1.713514</v>
      </c>
      <c r="S2478" s="3" t="n">
        <v>-4.050892</v>
      </c>
      <c r="T2478" s="3" t="n">
        <v>-0.984105</v>
      </c>
      <c r="U2478" s="3" t="n">
        <v>0.741393</v>
      </c>
      <c r="V2478" s="3" t="n">
        <v>1.589816</v>
      </c>
      <c r="W2478" s="3" t="n">
        <v>2.004129</v>
      </c>
      <c r="X2478" s="3" t="n">
        <v>3.314646</v>
      </c>
      <c r="Y2478" s="3" t="n">
        <v>2.946313</v>
      </c>
      <c r="Z2478" s="3" t="n">
        <v>2.745735</v>
      </c>
      <c r="AA2478" s="3" t="n">
        <v>-8.204658</v>
      </c>
      <c r="AB2478" s="3" t="n">
        <v>5.558841</v>
      </c>
      <c r="AC2478" s="3" t="n">
        <v>6.985786</v>
      </c>
      <c r="AD2478" s="3" t="n">
        <v>3.099979</v>
      </c>
      <c r="AE2478" s="3" t="n">
        <v>2.214593</v>
      </c>
      <c r="AF2478" s="3" t="n">
        <v>1.863891</v>
      </c>
      <c r="AG2478" s="3" t="n">
        <v>1.930007</v>
      </c>
      <c r="AH2478" s="3" t="n">
        <v>1.800021</v>
      </c>
      <c r="AI2478" s="3" t="n">
        <v>1.76</v>
      </c>
      <c r="AJ2478" s="3" t="n">
        <v>1.7</v>
      </c>
      <c r="AK2478" s="3" t="n">
        <v>1.65</v>
      </c>
      <c r="AL2478" s="3" t="n">
        <v>1.6</v>
      </c>
      <c r="AM2478" s="3" t="n"/>
      <c r="AN2478" s="3" t="n"/>
      <c r="AO2478" s="3" t="n"/>
      <c r="AP2478" s="3" t="n"/>
      <c r="AQ2478" s="3" t="n"/>
      <c r="AR2478" s="3" t="n"/>
      <c r="AS2478" s="3" t="n"/>
      <c r="AT2478" s="3" t="n"/>
      <c r="AU2478" s="3" t="n"/>
    </row>
    <row r="2479">
      <c r="A2479" s="3" t="n">
        <v>2031</v>
      </c>
      <c r="B2479" s="3" t="inlineStr">
        <is>
          <t>PRT</t>
        </is>
      </c>
      <c r="C2479" s="3" t="inlineStr">
        <is>
          <t>IMF.RES:WEO</t>
        </is>
      </c>
      <c r="D2479" s="3" t="inlineStr">
        <is>
          <t>PRT.NGDPD.A</t>
        </is>
      </c>
      <c r="E2479" s="3" t="inlineStr">
        <is>
          <t>Portugal</t>
        </is>
      </c>
      <c r="F2479" s="3" t="inlineStr">
        <is>
          <t>Gross domestic product (GDP), Current prices, US dollar</t>
        </is>
      </c>
      <c r="G2479" s="3" t="n">
        <v>118.657643</v>
      </c>
      <c r="H2479" s="3" t="n">
        <v>121.605018</v>
      </c>
      <c r="I2479" s="3" t="n">
        <v>134.700257</v>
      </c>
      <c r="J2479" s="3" t="n">
        <v>165.184738</v>
      </c>
      <c r="K2479" s="3" t="n">
        <v>189.296176</v>
      </c>
      <c r="L2479" s="3" t="n">
        <v>197.362902</v>
      </c>
      <c r="M2479" s="3" t="n">
        <v>208.767423</v>
      </c>
      <c r="N2479" s="3" t="n">
        <v>240.524494</v>
      </c>
      <c r="O2479" s="3" t="n">
        <v>263.387563</v>
      </c>
      <c r="P2479" s="3" t="n">
        <v>244.402185</v>
      </c>
      <c r="Q2479" s="3" t="n">
        <v>238.638676</v>
      </c>
      <c r="R2479" s="3" t="n">
        <v>245.383439</v>
      </c>
      <c r="S2479" s="3" t="n">
        <v>216.673734</v>
      </c>
      <c r="T2479" s="3" t="n">
        <v>226.680647</v>
      </c>
      <c r="U2479" s="3" t="n">
        <v>230.13783</v>
      </c>
      <c r="V2479" s="3" t="n">
        <v>199.058554</v>
      </c>
      <c r="W2479" s="3" t="n">
        <v>206.248559</v>
      </c>
      <c r="X2479" s="3" t="n">
        <v>220.785011</v>
      </c>
      <c r="Y2479" s="3" t="n">
        <v>242.202623</v>
      </c>
      <c r="Z2479" s="3" t="n">
        <v>240.142476</v>
      </c>
      <c r="AA2479" s="3" t="n">
        <v>229.435088</v>
      </c>
      <c r="AB2479" s="3" t="n">
        <v>256.22617</v>
      </c>
      <c r="AC2479" s="3" t="n">
        <v>257.1009</v>
      </c>
      <c r="AD2479" s="3" t="n">
        <v>292.408099</v>
      </c>
      <c r="AE2479" s="3" t="n">
        <v>313.562428</v>
      </c>
      <c r="AF2479" s="3" t="n">
        <v>346.412371</v>
      </c>
      <c r="AG2479" s="3" t="n">
        <v>380.637161</v>
      </c>
      <c r="AH2479" s="3" t="n">
        <v>396.348553</v>
      </c>
      <c r="AI2479" s="3" t="n">
        <v>412.482205</v>
      </c>
      <c r="AJ2479" s="3" t="n">
        <v>428.893681</v>
      </c>
      <c r="AK2479" s="3" t="n">
        <v>444.87314</v>
      </c>
      <c r="AL2479" s="3" t="n">
        <v>461.164613</v>
      </c>
      <c r="AM2479" s="3" t="n"/>
      <c r="AN2479" s="3" t="n"/>
      <c r="AO2479" s="3" t="n"/>
      <c r="AP2479" s="3" t="n"/>
      <c r="AQ2479" s="3" t="n"/>
      <c r="AR2479" s="3" t="n"/>
      <c r="AS2479" s="3" t="n"/>
      <c r="AT2479" s="3" t="n"/>
      <c r="AU2479" s="3" t="n"/>
    </row>
    <row r="2480">
      <c r="A2480" s="3" t="n">
        <v>2031</v>
      </c>
      <c r="B2480" s="3" t="inlineStr">
        <is>
          <t>PRT</t>
        </is>
      </c>
      <c r="C2480" s="3" t="inlineStr">
        <is>
          <t>IMF.RES:WEO</t>
        </is>
      </c>
      <c r="D2480" s="3" t="inlineStr">
        <is>
          <t>PRT.NGDPPC.A</t>
        </is>
      </c>
      <c r="E2480" s="3" t="inlineStr">
        <is>
          <t>Portugal</t>
        </is>
      </c>
      <c r="F2480" s="3" t="inlineStr">
        <is>
          <t>Gross domestic product (GDP), Current prices, Per capita, Domestic currency</t>
        </is>
      </c>
      <c r="G2480" s="3" t="n">
        <v>12479.664525</v>
      </c>
      <c r="H2480" s="3" t="n">
        <v>13102.264656</v>
      </c>
      <c r="I2480" s="3" t="n">
        <v>13681.311141</v>
      </c>
      <c r="J2480" s="3" t="n">
        <v>13965.992339</v>
      </c>
      <c r="K2480" s="3" t="n">
        <v>14522.170269</v>
      </c>
      <c r="L2480" s="3" t="n">
        <v>15095.469722</v>
      </c>
      <c r="M2480" s="3" t="n">
        <v>15800.781009</v>
      </c>
      <c r="N2480" s="3" t="n">
        <v>16644.604551</v>
      </c>
      <c r="O2480" s="3" t="n">
        <v>16963.416043</v>
      </c>
      <c r="P2480" s="3" t="n">
        <v>16598.443451</v>
      </c>
      <c r="Q2480" s="3" t="n">
        <v>17011.132024</v>
      </c>
      <c r="R2480" s="3" t="n">
        <v>16673.812762</v>
      </c>
      <c r="S2480" s="3" t="n">
        <v>16003.416443</v>
      </c>
      <c r="T2480" s="3" t="n">
        <v>16295.184548</v>
      </c>
      <c r="U2480" s="3" t="n">
        <v>16621.217109</v>
      </c>
      <c r="V2480" s="3" t="n">
        <v>17279.461059</v>
      </c>
      <c r="W2480" s="3" t="n">
        <v>17996.469857</v>
      </c>
      <c r="X2480" s="3" t="n">
        <v>18907.817317</v>
      </c>
      <c r="Y2480" s="3" t="n">
        <v>19835.988323</v>
      </c>
      <c r="Z2480" s="3" t="n">
        <v>20714.755492</v>
      </c>
      <c r="AA2480" s="3" t="n">
        <v>19358.27672</v>
      </c>
      <c r="AB2480" s="3" t="n">
        <v>20801.290582</v>
      </c>
      <c r="AC2480" s="3" t="n">
        <v>23303.107212</v>
      </c>
      <c r="AD2480" s="3" t="n">
        <v>25557.596446</v>
      </c>
      <c r="AE2480" s="3" t="n">
        <v>27096.116948</v>
      </c>
      <c r="AF2480" s="3" t="n">
        <v>28481.997797</v>
      </c>
      <c r="AG2480" s="3" t="n">
        <v>30048.317906</v>
      </c>
      <c r="AH2480" s="3" t="n">
        <v>31440.381428</v>
      </c>
      <c r="AI2480" s="3" t="n">
        <v>32892.138344</v>
      </c>
      <c r="AJ2480" s="3" t="n">
        <v>34287.534502</v>
      </c>
      <c r="AK2480" s="3" t="n">
        <v>35641.84767</v>
      </c>
      <c r="AL2480" s="3" t="n">
        <v>37027.210719</v>
      </c>
      <c r="AM2480" s="3" t="n"/>
      <c r="AN2480" s="3" t="n"/>
      <c r="AO2480" s="3" t="n"/>
      <c r="AP2480" s="3" t="n"/>
      <c r="AQ2480" s="3" t="n"/>
      <c r="AR2480" s="3" t="n"/>
      <c r="AS2480" s="3" t="n"/>
      <c r="AT2480" s="3" t="n"/>
      <c r="AU2480" s="3" t="n"/>
    </row>
    <row r="2481">
      <c r="A2481" s="3" t="n">
        <v>2031</v>
      </c>
      <c r="B2481" s="3" t="inlineStr">
        <is>
          <t>PRT</t>
        </is>
      </c>
      <c r="C2481" s="3" t="inlineStr">
        <is>
          <t>IMF.RES:WEO</t>
        </is>
      </c>
      <c r="D2481" s="3" t="inlineStr">
        <is>
          <t>PRT.NGDPRPC.A</t>
        </is>
      </c>
      <c r="E2481" s="3" t="inlineStr">
        <is>
          <t>Portugal</t>
        </is>
      </c>
      <c r="F2481" s="3" t="inlineStr">
        <is>
          <t>Gross domestic product (GDP), Constant prices, Per capita, Domestic currency</t>
        </is>
      </c>
      <c r="G2481" s="3" t="n">
        <v>18954.265833</v>
      </c>
      <c r="H2481" s="3" t="n">
        <v>19186.873717</v>
      </c>
      <c r="I2481" s="3" t="n">
        <v>19229.185681</v>
      </c>
      <c r="J2481" s="3" t="n">
        <v>18978.871421</v>
      </c>
      <c r="K2481" s="3" t="n">
        <v>19272.214623</v>
      </c>
      <c r="L2481" s="3" t="n">
        <v>19386.899202</v>
      </c>
      <c r="M2481" s="3" t="n">
        <v>19666.450934</v>
      </c>
      <c r="N2481" s="3" t="n">
        <v>20119.871459</v>
      </c>
      <c r="O2481" s="3" t="n">
        <v>20155.007776</v>
      </c>
      <c r="P2481" s="3" t="n">
        <v>19507.155868</v>
      </c>
      <c r="Q2481" s="3" t="n">
        <v>19837.001447</v>
      </c>
      <c r="R2481" s="3" t="n">
        <v>19494.436637</v>
      </c>
      <c r="S2481" s="3" t="n">
        <v>18781.322937</v>
      </c>
      <c r="T2481" s="3" t="n">
        <v>18698.461618</v>
      </c>
      <c r="U2481" s="3" t="n">
        <v>18935.401613</v>
      </c>
      <c r="V2481" s="3" t="n">
        <v>19306.423524</v>
      </c>
      <c r="W2481" s="3" t="n">
        <v>19741.496178</v>
      </c>
      <c r="X2481" s="3" t="n">
        <v>20428.205862</v>
      </c>
      <c r="Y2481" s="3" t="n">
        <v>21041.256436</v>
      </c>
      <c r="Z2481" s="3" t="n">
        <v>21577.611558</v>
      </c>
      <c r="AA2481" s="3" t="n">
        <v>19749.259739</v>
      </c>
      <c r="AB2481" s="3" t="n">
        <v>20801.30019</v>
      </c>
      <c r="AC2481" s="3" t="n">
        <v>22124.422216</v>
      </c>
      <c r="AD2481" s="3" t="n">
        <v>22574.585207</v>
      </c>
      <c r="AE2481" s="3" t="n">
        <v>22823.141973</v>
      </c>
      <c r="AF2481" s="3" t="n">
        <v>23086.931358</v>
      </c>
      <c r="AG2481" s="3" t="n">
        <v>23592.226802</v>
      </c>
      <c r="AH2481" s="3" t="n">
        <v>24077.837104</v>
      </c>
      <c r="AI2481" s="3" t="n">
        <v>24563.782256</v>
      </c>
      <c r="AJ2481" s="3" t="n">
        <v>25031.429413</v>
      </c>
      <c r="AK2481" s="3" t="n">
        <v>25495.438876</v>
      </c>
      <c r="AL2481" s="3" t="n">
        <v>25955.276451</v>
      </c>
      <c r="AM2481" s="3" t="n"/>
      <c r="AN2481" s="3" t="n"/>
      <c r="AO2481" s="3" t="n"/>
      <c r="AP2481" s="3" t="n"/>
      <c r="AQ2481" s="3" t="n"/>
      <c r="AR2481" s="3" t="n"/>
      <c r="AS2481" s="3" t="n"/>
      <c r="AT2481" s="3" t="n"/>
      <c r="AU2481" s="3" t="n"/>
    </row>
    <row r="2482">
      <c r="A2482" s="3" t="n">
        <v>2031</v>
      </c>
      <c r="B2482" s="3" t="inlineStr">
        <is>
          <t>PRT</t>
        </is>
      </c>
      <c r="C2482" s="3" t="inlineStr">
        <is>
          <t>IMF.RES:WEO</t>
        </is>
      </c>
      <c r="D2482" s="3" t="inlineStr">
        <is>
          <t>PRT.PCPI.A</t>
        </is>
      </c>
      <c r="E2482" s="3" t="inlineStr">
        <is>
          <t>Portugal</t>
        </is>
      </c>
      <c r="F2482" s="3" t="inlineStr">
        <is>
          <t>All Items, Consumer price index (CPI), Period average</t>
        </is>
      </c>
      <c r="G2482" s="3" t="n">
        <v>58.6225</v>
      </c>
      <c r="H2482" s="3" t="n">
        <v>61.206667</v>
      </c>
      <c r="I2482" s="3" t="n">
        <v>63.4725</v>
      </c>
      <c r="J2482" s="3" t="n">
        <v>65.526667</v>
      </c>
      <c r="K2482" s="3" t="n">
        <v>67.1725</v>
      </c>
      <c r="L2482" s="3" t="n">
        <v>68.60333300000001</v>
      </c>
      <c r="M2482" s="3" t="n">
        <v>70.6925</v>
      </c>
      <c r="N2482" s="3" t="n">
        <v>72.405</v>
      </c>
      <c r="O2482" s="3" t="n">
        <v>74.32333300000001</v>
      </c>
      <c r="P2482" s="3" t="n">
        <v>73.6525</v>
      </c>
      <c r="Q2482" s="3" t="n">
        <v>74.675833</v>
      </c>
      <c r="R2482" s="3" t="n">
        <v>77.333333</v>
      </c>
      <c r="S2482" s="3" t="n">
        <v>79.479167</v>
      </c>
      <c r="T2482" s="3" t="n">
        <v>79.8275</v>
      </c>
      <c r="U2482" s="3" t="n">
        <v>79.701667</v>
      </c>
      <c r="V2482" s="3" t="n">
        <v>80.105</v>
      </c>
      <c r="W2482" s="3" t="n">
        <v>80.61499999999999</v>
      </c>
      <c r="X2482" s="3" t="n">
        <v>81.871667</v>
      </c>
      <c r="Y2482" s="3" t="n">
        <v>82.8275</v>
      </c>
      <c r="Z2482" s="3" t="n">
        <v>83.074167</v>
      </c>
      <c r="AA2482" s="3" t="n">
        <v>82.97416699999999</v>
      </c>
      <c r="AB2482" s="3" t="n">
        <v>83.75666699999999</v>
      </c>
      <c r="AC2482" s="3" t="n">
        <v>90.54083300000001</v>
      </c>
      <c r="AD2482" s="3" t="n">
        <v>95.3075</v>
      </c>
      <c r="AE2482" s="3" t="n">
        <v>97.85333300000001</v>
      </c>
      <c r="AF2482" s="3" t="n">
        <v>100.000833</v>
      </c>
      <c r="AG2482" s="3" t="n">
        <v>103.113051</v>
      </c>
      <c r="AH2482" s="3" t="n">
        <v>105.458569</v>
      </c>
      <c r="AI2482" s="3" t="n">
        <v>107.984868</v>
      </c>
      <c r="AJ2482" s="3" t="n">
        <v>110.360586</v>
      </c>
      <c r="AK2482" s="3" t="n">
        <v>112.547513</v>
      </c>
      <c r="AL2482" s="3" t="n">
        <v>114.779291</v>
      </c>
      <c r="AM2482" s="3" t="n"/>
      <c r="AN2482" s="3" t="n"/>
      <c r="AO2482" s="3" t="n"/>
      <c r="AP2482" s="3" t="n"/>
      <c r="AQ2482" s="3" t="n"/>
      <c r="AR2482" s="3" t="n"/>
      <c r="AS2482" s="3" t="n"/>
      <c r="AT2482" s="3" t="n"/>
      <c r="AU2482" s="3" t="n"/>
    </row>
    <row r="2483">
      <c r="A2483" s="3" t="n">
        <v>2031</v>
      </c>
      <c r="B2483" s="3" t="inlineStr">
        <is>
          <t>PRT</t>
        </is>
      </c>
      <c r="C2483" s="3" t="inlineStr">
        <is>
          <t>IMF.RES:WEO</t>
        </is>
      </c>
      <c r="D2483" s="3" t="inlineStr">
        <is>
          <t>PRT.PCPIPCH.A</t>
        </is>
      </c>
      <c r="E2483" s="3" t="inlineStr">
        <is>
          <t>Portugal</t>
        </is>
      </c>
      <c r="F2483" s="3" t="inlineStr">
        <is>
          <t>All Items, Consumer price index (CPI), Period average, percent change</t>
        </is>
      </c>
      <c r="G2483" s="3" t="n">
        <v>2.804408</v>
      </c>
      <c r="H2483" s="3" t="n">
        <v>4.408148</v>
      </c>
      <c r="I2483" s="3" t="n">
        <v>3.701939</v>
      </c>
      <c r="J2483" s="3" t="n">
        <v>3.23631</v>
      </c>
      <c r="K2483" s="3" t="n">
        <v>2.5117</v>
      </c>
      <c r="L2483" s="3" t="n">
        <v>2.130088</v>
      </c>
      <c r="M2483" s="3" t="n">
        <v>3.045284</v>
      </c>
      <c r="N2483" s="3" t="n">
        <v>2.422463</v>
      </c>
      <c r="O2483" s="3" t="n">
        <v>2.649449</v>
      </c>
      <c r="P2483" s="3" t="n">
        <v>-0.9025879999999999</v>
      </c>
      <c r="Q2483" s="3" t="n">
        <v>1.389407</v>
      </c>
      <c r="R2483" s="3" t="n">
        <v>3.558715</v>
      </c>
      <c r="S2483" s="3" t="n">
        <v>2.774784</v>
      </c>
      <c r="T2483" s="3" t="n">
        <v>0.43827</v>
      </c>
      <c r="U2483" s="3" t="n">
        <v>-0.157632</v>
      </c>
      <c r="V2483" s="3" t="n">
        <v>0.506054</v>
      </c>
      <c r="W2483" s="3" t="n">
        <v>0.636664</v>
      </c>
      <c r="X2483" s="3" t="n">
        <v>1.55885</v>
      </c>
      <c r="Y2483" s="3" t="n">
        <v>1.167478</v>
      </c>
      <c r="Z2483" s="3" t="n">
        <v>0.297808</v>
      </c>
      <c r="AA2483" s="3" t="n">
        <v>-0.120374</v>
      </c>
      <c r="AB2483" s="3" t="n">
        <v>0.943065</v>
      </c>
      <c r="AC2483" s="3" t="n">
        <v>8.099853</v>
      </c>
      <c r="AD2483" s="3" t="n">
        <v>5.26466</v>
      </c>
      <c r="AE2483" s="3" t="n">
        <v>2.671178</v>
      </c>
      <c r="AF2483" s="3" t="n">
        <v>2.194611</v>
      </c>
      <c r="AG2483" s="3" t="n">
        <v>3.112192</v>
      </c>
      <c r="AH2483" s="3" t="n">
        <v>2.274705</v>
      </c>
      <c r="AI2483" s="3" t="n">
        <v>2.395537</v>
      </c>
      <c r="AJ2483" s="3" t="n">
        <v>2.200047</v>
      </c>
      <c r="AK2483" s="3" t="n">
        <v>1.98162</v>
      </c>
      <c r="AL2483" s="3" t="n">
        <v>1.982965</v>
      </c>
      <c r="AM2483" s="3" t="n"/>
      <c r="AN2483" s="3" t="n"/>
      <c r="AO2483" s="3" t="n"/>
      <c r="AP2483" s="3" t="n"/>
      <c r="AQ2483" s="3" t="n"/>
      <c r="AR2483" s="3" t="n"/>
      <c r="AS2483" s="3" t="n"/>
      <c r="AT2483" s="3" t="n"/>
      <c r="AU2483" s="3" t="n"/>
    </row>
    <row r="2484">
      <c r="A2484" s="3" t="n">
        <v>2031</v>
      </c>
      <c r="B2484" s="3" t="inlineStr">
        <is>
          <t>PRT</t>
        </is>
      </c>
      <c r="C2484" s="3" t="inlineStr">
        <is>
          <t>IMF.RES:WEO</t>
        </is>
      </c>
      <c r="D2484" s="3" t="inlineStr">
        <is>
          <t>PRT.PPPPC.A</t>
        </is>
      </c>
      <c r="E2484" s="3" t="inlineStr">
        <is>
          <t>Portugal</t>
        </is>
      </c>
      <c r="F2484" s="3" t="inlineStr">
        <is>
          <t>Gross domestic product (GDP), Per capita, purchasing power parity (PPP) international dollar, ICP benchmarks 2017-2021</t>
        </is>
      </c>
      <c r="G2484" s="3" t="n">
        <v>22161.448502</v>
      </c>
      <c r="H2484" s="3" t="n">
        <v>22938.530467</v>
      </c>
      <c r="I2484" s="3" t="n">
        <v>23346.374878</v>
      </c>
      <c r="J2484" s="3" t="n">
        <v>23497.373433</v>
      </c>
      <c r="K2484" s="3" t="n">
        <v>24502.137974</v>
      </c>
      <c r="L2484" s="3" t="n">
        <v>25420.860037</v>
      </c>
      <c r="M2484" s="3" t="n">
        <v>26582.67282</v>
      </c>
      <c r="N2484" s="3" t="n">
        <v>27932.351446</v>
      </c>
      <c r="O2484" s="3" t="n">
        <v>28520.16274</v>
      </c>
      <c r="P2484" s="3" t="n">
        <v>27773.667619</v>
      </c>
      <c r="Q2484" s="3" t="n">
        <v>28586.553039</v>
      </c>
      <c r="R2484" s="3" t="n">
        <v>28672.518531</v>
      </c>
      <c r="S2484" s="3" t="n">
        <v>28138.001135</v>
      </c>
      <c r="T2484" s="3" t="n">
        <v>28490.656347</v>
      </c>
      <c r="U2484" s="3" t="n">
        <v>29354.193399</v>
      </c>
      <c r="V2484" s="3" t="n">
        <v>30207.122435</v>
      </c>
      <c r="W2484" s="3" t="n">
        <v>31181.347266</v>
      </c>
      <c r="X2484" s="3" t="n">
        <v>32843.841497</v>
      </c>
      <c r="Y2484" s="3" t="n">
        <v>34725.231658</v>
      </c>
      <c r="Z2484" s="3" t="n">
        <v>37616.188428</v>
      </c>
      <c r="AA2484" s="3" t="n">
        <v>35662.773538</v>
      </c>
      <c r="AB2484" s="3" t="n">
        <v>38690.789114</v>
      </c>
      <c r="AC2484" s="3" t="n">
        <v>44078.707463</v>
      </c>
      <c r="AD2484" s="3" t="n">
        <v>46639.682849</v>
      </c>
      <c r="AE2484" s="3" t="n">
        <v>48323.807129</v>
      </c>
      <c r="AF2484" s="3" t="n">
        <v>50269.01031</v>
      </c>
      <c r="AG2484" s="3" t="n">
        <v>52840.88205</v>
      </c>
      <c r="AH2484" s="3" t="n">
        <v>55112.7494</v>
      </c>
      <c r="AI2484" s="3" t="n">
        <v>57147.921826</v>
      </c>
      <c r="AJ2484" s="3" t="n">
        <v>59271.405977</v>
      </c>
      <c r="AK2484" s="3" t="n">
        <v>61479.441664</v>
      </c>
      <c r="AL2484" s="3" t="n">
        <v>63718.196818</v>
      </c>
      <c r="AM2484" s="3" t="n"/>
      <c r="AN2484" s="3" t="n"/>
      <c r="AO2484" s="3" t="n"/>
      <c r="AP2484" s="3" t="n"/>
      <c r="AQ2484" s="3" t="n"/>
      <c r="AR2484" s="3" t="n"/>
      <c r="AS2484" s="3" t="n"/>
      <c r="AT2484" s="3" t="n"/>
      <c r="AU2484" s="3" t="n"/>
    </row>
    <row r="2485">
      <c r="A2485" s="3" t="inlineStr">
        <is>
          <t>INDICATOR</t>
        </is>
      </c>
      <c r="B2485" s="3" t="inlineStr">
        <is>
          <t>PRT</t>
        </is>
      </c>
      <c r="C2485" s="3" t="inlineStr">
        <is>
          <t>IMF.STA:ER</t>
        </is>
      </c>
      <c r="D2485" s="3" t="inlineStr">
        <is>
          <t>PRT.XDC_USD.PA_RT.A</t>
        </is>
      </c>
      <c r="E2485" s="3" t="inlineStr">
        <is>
          <t>Portugal</t>
        </is>
      </c>
      <c r="F2485" s="3" t="inlineStr">
        <is>
          <t>Domestic currency per US Dollar</t>
        </is>
      </c>
      <c r="G2485" s="3" t="n"/>
      <c r="H2485" s="3" t="n"/>
      <c r="I2485" s="3" t="n"/>
      <c r="J2485" s="3" t="n"/>
      <c r="K2485" s="3" t="n"/>
      <c r="L2485" s="3" t="n"/>
      <c r="M2485" s="3" t="n"/>
      <c r="N2485" s="3" t="n"/>
      <c r="O2485" s="3" t="n"/>
      <c r="P2485" s="3" t="n"/>
      <c r="Q2485" s="3" t="n"/>
      <c r="R2485" s="3" t="n"/>
      <c r="S2485" s="3" t="n"/>
      <c r="T2485" s="3" t="n"/>
      <c r="U2485" s="3" t="n"/>
      <c r="V2485" s="3" t="n"/>
      <c r="W2485" s="3" t="n"/>
      <c r="X2485" s="3" t="n"/>
      <c r="Y2485" s="3" t="n"/>
      <c r="Z2485" s="3" t="n"/>
      <c r="AA2485" s="3" t="n"/>
      <c r="AB2485" s="3" t="n"/>
      <c r="AC2485" s="3" t="n"/>
      <c r="AD2485" s="3" t="n"/>
      <c r="AE2485" s="3" t="n"/>
      <c r="AF2485" s="3" t="n"/>
      <c r="AG2485" s="3" t="n"/>
      <c r="AH2485" s="3" t="n"/>
      <c r="AI2485" s="3" t="n"/>
      <c r="AJ2485" s="3" t="n"/>
      <c r="AK2485" s="3" t="n"/>
      <c r="AL2485" s="3" t="n"/>
      <c r="AM2485" s="3" t="n"/>
      <c r="AN2485" s="3" t="n"/>
      <c r="AO2485" s="3" t="n"/>
      <c r="AP2485" s="3" t="n"/>
      <c r="AQ2485" s="3" t="n"/>
      <c r="AR2485" s="3" t="n"/>
      <c r="AS2485" s="3" t="n"/>
      <c r="AT2485" s="3" t="n"/>
      <c r="AU2485" s="3" t="n"/>
    </row>
    <row r="2486">
      <c r="A2486" s="3" t="n">
        <v>2031</v>
      </c>
      <c r="B2486" s="3" t="inlineStr">
        <is>
          <t>PRY</t>
        </is>
      </c>
      <c r="C2486" s="3" t="inlineStr">
        <is>
          <t>IMF.RES:WEO</t>
        </is>
      </c>
      <c r="D2486" s="3" t="inlineStr">
        <is>
          <t>PRY.BCA.A</t>
        </is>
      </c>
      <c r="E2486" s="3" t="inlineStr">
        <is>
          <t>Paraguay</t>
        </is>
      </c>
      <c r="F2486" s="3" t="inlineStr">
        <is>
          <t>Current account balance (credit less debit), US dollar</t>
        </is>
      </c>
      <c r="G2486" s="3" t="n">
        <v>-0.247118</v>
      </c>
      <c r="H2486" s="3" t="n">
        <v>-0.031921</v>
      </c>
      <c r="I2486" s="3" t="n">
        <v>0.619819</v>
      </c>
      <c r="J2486" s="3" t="n">
        <v>0.017011</v>
      </c>
      <c r="K2486" s="3" t="n">
        <v>-0.009809999999999999</v>
      </c>
      <c r="L2486" s="3" t="n">
        <v>-0.067506</v>
      </c>
      <c r="M2486" s="3" t="n">
        <v>0.167126</v>
      </c>
      <c r="N2486" s="3" t="n">
        <v>0.778965</v>
      </c>
      <c r="O2486" s="3" t="n">
        <v>0.092268</v>
      </c>
      <c r="P2486" s="3" t="n">
        <v>0.396892</v>
      </c>
      <c r="Q2486" s="3" t="n">
        <v>-0.309033</v>
      </c>
      <c r="R2486" s="3" t="n">
        <v>-0.247398</v>
      </c>
      <c r="S2486" s="3" t="n">
        <v>-0.627327</v>
      </c>
      <c r="T2486" s="3" t="n">
        <v>0.321078</v>
      </c>
      <c r="U2486" s="3" t="n">
        <v>-0.31774</v>
      </c>
      <c r="V2486" s="3" t="n">
        <v>-0.07889400000000001</v>
      </c>
      <c r="W2486" s="3" t="n">
        <v>1.656042</v>
      </c>
      <c r="X2486" s="3" t="n">
        <v>1.43392</v>
      </c>
      <c r="Y2486" s="3" t="n">
        <v>0.092803</v>
      </c>
      <c r="Z2486" s="3" t="n">
        <v>-0.061722</v>
      </c>
      <c r="AA2486" s="3" t="n">
        <v>0.845762</v>
      </c>
      <c r="AB2486" s="3" t="n">
        <v>-0.243175</v>
      </c>
      <c r="AC2486" s="3" t="n">
        <v>-2.699516</v>
      </c>
      <c r="AD2486" s="3" t="n">
        <v>0.061039</v>
      </c>
      <c r="AE2486" s="3" t="n">
        <v>-1.521679</v>
      </c>
      <c r="AF2486" s="3" t="n">
        <v>-1.737038</v>
      </c>
      <c r="AG2486" s="3" t="n">
        <v>-1.808565</v>
      </c>
      <c r="AH2486" s="3" t="n">
        <v>-1.325303</v>
      </c>
      <c r="AI2486" s="3" t="n">
        <v>-0.976461</v>
      </c>
      <c r="AJ2486" s="3" t="n">
        <v>-0.640525</v>
      </c>
      <c r="AK2486" s="3" t="n">
        <v>-0.416863</v>
      </c>
      <c r="AL2486" s="3" t="n">
        <v>-0.139451</v>
      </c>
      <c r="AM2486" s="3" t="n"/>
      <c r="AN2486" s="3" t="n"/>
      <c r="AO2486" s="3" t="n"/>
      <c r="AP2486" s="3" t="n"/>
      <c r="AQ2486" s="3" t="n"/>
      <c r="AR2486" s="3" t="n"/>
      <c r="AS2486" s="3" t="n"/>
      <c r="AT2486" s="3" t="n"/>
      <c r="AU2486" s="3" t="n"/>
    </row>
    <row r="2487">
      <c r="A2487" s="3" t="n">
        <v>2031</v>
      </c>
      <c r="B2487" s="3" t="inlineStr">
        <is>
          <t>PRY</t>
        </is>
      </c>
      <c r="C2487" s="3" t="inlineStr">
        <is>
          <t>IMF.RES:WEO</t>
        </is>
      </c>
      <c r="D2487" s="3" t="inlineStr">
        <is>
          <t>PRY.BCA_NGDPD.A</t>
        </is>
      </c>
      <c r="E2487" s="3" t="inlineStr">
        <is>
          <t>Paraguay</t>
        </is>
      </c>
      <c r="F2487" s="3" t="inlineStr">
        <is>
          <t>Current account balance (credit less debit), Percent of GDP</t>
        </is>
      </c>
      <c r="G2487" s="3" t="n">
        <v>-2.790498</v>
      </c>
      <c r="H2487" s="3" t="n">
        <v>-0.375729</v>
      </c>
      <c r="I2487" s="3" t="n">
        <v>8.613073</v>
      </c>
      <c r="J2487" s="3" t="n">
        <v>0.221164</v>
      </c>
      <c r="K2487" s="3" t="n">
        <v>-0.101928</v>
      </c>
      <c r="L2487" s="3" t="n">
        <v>-0.62869</v>
      </c>
      <c r="M2487" s="3" t="n">
        <v>1.244385</v>
      </c>
      <c r="N2487" s="3" t="n">
        <v>4.362386</v>
      </c>
      <c r="O2487" s="3" t="n">
        <v>0.374842</v>
      </c>
      <c r="P2487" s="3" t="n">
        <v>1.775393</v>
      </c>
      <c r="Q2487" s="3" t="n">
        <v>-1.139112</v>
      </c>
      <c r="R2487" s="3" t="n">
        <v>-0.733312</v>
      </c>
      <c r="S2487" s="3" t="n">
        <v>-1.884065</v>
      </c>
      <c r="T2487" s="3" t="n">
        <v>0.830703</v>
      </c>
      <c r="U2487" s="3" t="n">
        <v>-0.786914</v>
      </c>
      <c r="V2487" s="3" t="n">
        <v>-0.217871</v>
      </c>
      <c r="W2487" s="3" t="n">
        <v>4.588702</v>
      </c>
      <c r="X2487" s="3" t="n">
        <v>3.676988</v>
      </c>
      <c r="Y2487" s="3" t="n">
        <v>0.230707</v>
      </c>
      <c r="Z2487" s="3" t="n">
        <v>-0.162747</v>
      </c>
      <c r="AA2487" s="3" t="n">
        <v>2.38699</v>
      </c>
      <c r="AB2487" s="3" t="n">
        <v>-0.608891</v>
      </c>
      <c r="AC2487" s="3" t="n">
        <v>-6.451813</v>
      </c>
      <c r="AD2487" s="3" t="n">
        <v>0.141489</v>
      </c>
      <c r="AE2487" s="3" t="n">
        <v>-3.40125</v>
      </c>
      <c r="AF2487" s="3" t="n">
        <v>-3.519276</v>
      </c>
      <c r="AG2487" s="3" t="n">
        <v>-2.987284</v>
      </c>
      <c r="AH2487" s="3" t="n">
        <v>-2.069859</v>
      </c>
      <c r="AI2487" s="3" t="n">
        <v>-1.443537</v>
      </c>
      <c r="AJ2487" s="3" t="n">
        <v>-0.8961440000000001</v>
      </c>
      <c r="AK2487" s="3" t="n">
        <v>-0.551974</v>
      </c>
      <c r="AL2487" s="3" t="n">
        <v>-0.174778</v>
      </c>
      <c r="AM2487" s="3" t="n"/>
      <c r="AN2487" s="3" t="n"/>
      <c r="AO2487" s="3" t="n"/>
      <c r="AP2487" s="3" t="n"/>
      <c r="AQ2487" s="3" t="n"/>
      <c r="AR2487" s="3" t="n"/>
      <c r="AS2487" s="3" t="n"/>
      <c r="AT2487" s="3" t="n"/>
      <c r="AU2487" s="3" t="n"/>
    </row>
    <row r="2488">
      <c r="A2488" s="3" t="n">
        <v>2031</v>
      </c>
      <c r="B2488" s="3" t="inlineStr">
        <is>
          <t>PRY</t>
        </is>
      </c>
      <c r="C2488" s="3" t="inlineStr">
        <is>
          <t>IMF.RES:WEO</t>
        </is>
      </c>
      <c r="D2488" s="3" t="inlineStr">
        <is>
          <t>PRY.GGR_NGDP.A</t>
        </is>
      </c>
      <c r="E2488" s="3" t="inlineStr">
        <is>
          <t>Paraguay</t>
        </is>
      </c>
      <c r="F2488" s="3" t="inlineStr">
        <is>
          <t>Revenue, General government, Percent of GDP</t>
        </is>
      </c>
      <c r="G2488" s="3" t="n">
        <v>19.073042</v>
      </c>
      <c r="H2488" s="3" t="n">
        <v>19.113456</v>
      </c>
      <c r="I2488" s="3" t="n">
        <v>15.748442</v>
      </c>
      <c r="J2488" s="3" t="n">
        <v>14.529254</v>
      </c>
      <c r="K2488" s="3" t="n">
        <v>15.348194</v>
      </c>
      <c r="L2488" s="3" t="n">
        <v>14.781747</v>
      </c>
      <c r="M2488" s="3" t="n">
        <v>14.993001</v>
      </c>
      <c r="N2488" s="3" t="n">
        <v>14.359701</v>
      </c>
      <c r="O2488" s="3" t="n">
        <v>14.119194</v>
      </c>
      <c r="P2488" s="3" t="n">
        <v>14.84743</v>
      </c>
      <c r="Q2488" s="3" t="n">
        <v>14.871268</v>
      </c>
      <c r="R2488" s="3" t="n">
        <v>15.991704</v>
      </c>
      <c r="S2488" s="3" t="n">
        <v>17.000669</v>
      </c>
      <c r="T2488" s="3" t="n">
        <v>15.920969</v>
      </c>
      <c r="U2488" s="3" t="n">
        <v>16.864182</v>
      </c>
      <c r="V2488" s="3" t="n">
        <v>17.540824</v>
      </c>
      <c r="W2488" s="3" t="n">
        <v>17.325488</v>
      </c>
      <c r="X2488" s="3" t="n">
        <v>17.6182</v>
      </c>
      <c r="Y2488" s="3" t="n">
        <v>17.473814</v>
      </c>
      <c r="Z2488" s="3" t="n">
        <v>17.679067</v>
      </c>
      <c r="AA2488" s="3" t="n">
        <v>16.912599</v>
      </c>
      <c r="AB2488" s="3" t="n">
        <v>17.060823</v>
      </c>
      <c r="AC2488" s="3" t="n">
        <v>17.56882</v>
      </c>
      <c r="AD2488" s="3" t="n">
        <v>17.657297</v>
      </c>
      <c r="AE2488" s="3" t="n">
        <v>18.757624</v>
      </c>
      <c r="AF2488" s="3" t="n">
        <v>17.921325</v>
      </c>
      <c r="AG2488" s="3" t="n">
        <v>17.949034</v>
      </c>
      <c r="AH2488" s="3" t="n">
        <v>18.062818</v>
      </c>
      <c r="AI2488" s="3" t="n">
        <v>18.071935</v>
      </c>
      <c r="AJ2488" s="3" t="n">
        <v>18.106156</v>
      </c>
      <c r="AK2488" s="3" t="n">
        <v>18.217156</v>
      </c>
      <c r="AL2488" s="3" t="n">
        <v>18.195167</v>
      </c>
      <c r="AM2488" s="3" t="n"/>
      <c r="AN2488" s="3" t="n"/>
      <c r="AO2488" s="3" t="n"/>
      <c r="AP2488" s="3" t="n"/>
      <c r="AQ2488" s="3" t="n"/>
      <c r="AR2488" s="3" t="n"/>
      <c r="AS2488" s="3" t="n"/>
      <c r="AT2488" s="3" t="n"/>
      <c r="AU2488" s="3" t="n"/>
    </row>
    <row r="2489">
      <c r="A2489" s="3" t="n">
        <v>2031</v>
      </c>
      <c r="B2489" s="3" t="inlineStr">
        <is>
          <t>PRY</t>
        </is>
      </c>
      <c r="C2489" s="3" t="inlineStr">
        <is>
          <t>IMF.RES:WEO</t>
        </is>
      </c>
      <c r="D2489" s="3" t="inlineStr">
        <is>
          <t>PRY.GGX_NGDP.A</t>
        </is>
      </c>
      <c r="E2489" s="3" t="inlineStr">
        <is>
          <t>Paraguay</t>
        </is>
      </c>
      <c r="F2489" s="3" t="inlineStr">
        <is>
          <t>Expenditure, General government, Percent of GDP</t>
        </is>
      </c>
      <c r="G2489" s="3" t="n">
        <v>19.620319</v>
      </c>
      <c r="H2489" s="3" t="n">
        <v>19.039597</v>
      </c>
      <c r="I2489" s="3" t="n">
        <v>17.641641</v>
      </c>
      <c r="J2489" s="3" t="n">
        <v>14.596292</v>
      </c>
      <c r="K2489" s="3" t="n">
        <v>14.013393</v>
      </c>
      <c r="L2489" s="3" t="n">
        <v>14.04354</v>
      </c>
      <c r="M2489" s="3" t="n">
        <v>14.081694</v>
      </c>
      <c r="N2489" s="3" t="n">
        <v>13.085203</v>
      </c>
      <c r="O2489" s="3" t="n">
        <v>11.826776</v>
      </c>
      <c r="P2489" s="3" t="n">
        <v>14.259793</v>
      </c>
      <c r="Q2489" s="3" t="n">
        <v>13.332874</v>
      </c>
      <c r="R2489" s="3" t="n">
        <v>14.706543</v>
      </c>
      <c r="S2489" s="3" t="n">
        <v>17.583237</v>
      </c>
      <c r="T2489" s="3" t="n">
        <v>17.078105</v>
      </c>
      <c r="U2489" s="3" t="n">
        <v>17.135328</v>
      </c>
      <c r="V2489" s="3" t="n">
        <v>17.977579</v>
      </c>
      <c r="W2489" s="3" t="n">
        <v>17.6992</v>
      </c>
      <c r="X2489" s="3" t="n">
        <v>18.056896</v>
      </c>
      <c r="Y2489" s="3" t="n">
        <v>18.488113</v>
      </c>
      <c r="Z2489" s="3" t="n">
        <v>20.12088</v>
      </c>
      <c r="AA2489" s="3" t="n">
        <v>22.631885</v>
      </c>
      <c r="AB2489" s="3" t="n">
        <v>20.45433</v>
      </c>
      <c r="AC2489" s="3" t="n">
        <v>20.214129</v>
      </c>
      <c r="AD2489" s="3" t="n">
        <v>21.46478</v>
      </c>
      <c r="AE2489" s="3" t="n">
        <v>20.86242</v>
      </c>
      <c r="AF2489" s="3" t="n">
        <v>19.609181</v>
      </c>
      <c r="AG2489" s="3" t="n">
        <v>19.276427</v>
      </c>
      <c r="AH2489" s="3" t="n">
        <v>19.342746</v>
      </c>
      <c r="AI2489" s="3" t="n">
        <v>19.412116</v>
      </c>
      <c r="AJ2489" s="3" t="n">
        <v>19.490421</v>
      </c>
      <c r="AK2489" s="3" t="n">
        <v>19.649813</v>
      </c>
      <c r="AL2489" s="3" t="n">
        <v>19.616608</v>
      </c>
      <c r="AM2489" s="3" t="n"/>
      <c r="AN2489" s="3" t="n"/>
      <c r="AO2489" s="3" t="n"/>
      <c r="AP2489" s="3" t="n"/>
      <c r="AQ2489" s="3" t="n"/>
      <c r="AR2489" s="3" t="n"/>
      <c r="AS2489" s="3" t="n"/>
      <c r="AT2489" s="3" t="n"/>
      <c r="AU2489" s="3" t="n"/>
    </row>
    <row r="2490">
      <c r="A2490" s="3" t="n">
        <v>2031</v>
      </c>
      <c r="B2490" s="3" t="inlineStr">
        <is>
          <t>PRY</t>
        </is>
      </c>
      <c r="C2490" s="3" t="inlineStr">
        <is>
          <t>IMF.RES:WEO</t>
        </is>
      </c>
      <c r="D2490" s="3" t="inlineStr">
        <is>
          <t>PRY.LP.A</t>
        </is>
      </c>
      <c r="E2490" s="3" t="inlineStr">
        <is>
          <t>Paraguay</t>
        </is>
      </c>
      <c r="F2490" s="3" t="inlineStr">
        <is>
          <t>Population, Persons for countries / Index for country groups</t>
        </is>
      </c>
      <c r="G2490" s="3" t="n">
        <v>5.155046</v>
      </c>
      <c r="H2490" s="3" t="n">
        <v>5.237574</v>
      </c>
      <c r="I2490" s="3" t="n">
        <v>5.306173</v>
      </c>
      <c r="J2490" s="3" t="n">
        <v>5.364666</v>
      </c>
      <c r="K2490" s="3" t="n">
        <v>5.417957</v>
      </c>
      <c r="L2490" s="3" t="n">
        <v>5.467055</v>
      </c>
      <c r="M2490" s="3" t="n">
        <v>5.511383</v>
      </c>
      <c r="N2490" s="3" t="n">
        <v>5.551108</v>
      </c>
      <c r="O2490" s="3" t="n">
        <v>5.58847</v>
      </c>
      <c r="P2490" s="3" t="n">
        <v>5.627047</v>
      </c>
      <c r="Q2490" s="3" t="n">
        <v>5.668042</v>
      </c>
      <c r="R2490" s="3" t="n">
        <v>5.710913</v>
      </c>
      <c r="S2490" s="3" t="n">
        <v>5.756397</v>
      </c>
      <c r="T2490" s="3" t="n">
        <v>5.805006</v>
      </c>
      <c r="U2490" s="3" t="n">
        <v>5.856972</v>
      </c>
      <c r="V2490" s="3" t="n">
        <v>5.912082</v>
      </c>
      <c r="W2490" s="3" t="n">
        <v>5.969497</v>
      </c>
      <c r="X2490" s="3" t="n">
        <v>6.028083</v>
      </c>
      <c r="Y2490" s="3" t="n">
        <v>6.086887</v>
      </c>
      <c r="Z2490" s="3" t="n">
        <v>6.144832</v>
      </c>
      <c r="AA2490" s="3" t="n">
        <v>6.202478</v>
      </c>
      <c r="AB2490" s="3" t="n">
        <v>6.247916</v>
      </c>
      <c r="AC2490" s="3" t="n">
        <v>6.28402</v>
      </c>
      <c r="AD2490" s="3" t="n">
        <v>6.326825</v>
      </c>
      <c r="AE2490" s="3" t="n">
        <v>6.372623</v>
      </c>
      <c r="AF2490" s="3" t="n">
        <v>6.417076</v>
      </c>
      <c r="AG2490" s="3" t="n">
        <v>6.460159</v>
      </c>
      <c r="AH2490" s="3" t="n">
        <v>6.50186</v>
      </c>
      <c r="AI2490" s="3" t="n">
        <v>6.542162</v>
      </c>
      <c r="AJ2490" s="3" t="n">
        <v>6.581105</v>
      </c>
      <c r="AK2490" s="3" t="n">
        <v>6.618731</v>
      </c>
      <c r="AL2490" s="3" t="n">
        <v>6.655078</v>
      </c>
      <c r="AM2490" s="3" t="n"/>
      <c r="AN2490" s="3" t="n"/>
      <c r="AO2490" s="3" t="n"/>
      <c r="AP2490" s="3" t="n"/>
      <c r="AQ2490" s="3" t="n"/>
      <c r="AR2490" s="3" t="n"/>
      <c r="AS2490" s="3" t="n"/>
      <c r="AT2490" s="3" t="n"/>
      <c r="AU2490" s="3" t="n"/>
    </row>
    <row r="2491">
      <c r="A2491" s="3" t="n">
        <v>2031</v>
      </c>
      <c r="B2491" s="3" t="inlineStr">
        <is>
          <t>PRY</t>
        </is>
      </c>
      <c r="C2491" s="3" t="inlineStr">
        <is>
          <t>IMF.RES:WEO</t>
        </is>
      </c>
      <c r="D2491" s="3" t="inlineStr">
        <is>
          <t>PRY.NGDP.A</t>
        </is>
      </c>
      <c r="E2491" s="3" t="inlineStr">
        <is>
          <t>Paraguay</t>
        </is>
      </c>
      <c r="F2491" s="3" t="inlineStr">
        <is>
          <t>Gross domestic product (GDP), Current prices, Domestic currency</t>
        </is>
      </c>
      <c r="G2491" s="3" t="n">
        <v>30874.087613</v>
      </c>
      <c r="H2491" s="3" t="n">
        <v>34883.186504</v>
      </c>
      <c r="I2491" s="3" t="n">
        <v>41135.696942</v>
      </c>
      <c r="J2491" s="3" t="n">
        <v>49411.9597</v>
      </c>
      <c r="K2491" s="3" t="n">
        <v>57501.991732</v>
      </c>
      <c r="L2491" s="3" t="n">
        <v>66335.828408</v>
      </c>
      <c r="M2491" s="3" t="n">
        <v>75681.657798</v>
      </c>
      <c r="N2491" s="3" t="n">
        <v>89866.0488</v>
      </c>
      <c r="O2491" s="3" t="n">
        <v>107403.590628</v>
      </c>
      <c r="P2491" s="3" t="n">
        <v>111030.93359</v>
      </c>
      <c r="Q2491" s="3" t="n">
        <v>129092.88348</v>
      </c>
      <c r="R2491" s="3" t="n">
        <v>141486.449393</v>
      </c>
      <c r="S2491" s="3" t="n">
        <v>147225.506095</v>
      </c>
      <c r="T2491" s="3" t="n">
        <v>166350.805107</v>
      </c>
      <c r="U2491" s="3" t="n">
        <v>180174.060966</v>
      </c>
      <c r="V2491" s="3" t="n">
        <v>188477.326977</v>
      </c>
      <c r="W2491" s="3" t="n">
        <v>204647.273075</v>
      </c>
      <c r="X2491" s="3" t="n">
        <v>219122.277203</v>
      </c>
      <c r="Y2491" s="3" t="n">
        <v>230576.47747</v>
      </c>
      <c r="Z2491" s="3" t="n">
        <v>236681.497061</v>
      </c>
      <c r="AA2491" s="3" t="n">
        <v>239914.728794</v>
      </c>
      <c r="AB2491" s="3" t="n">
        <v>270542.155859</v>
      </c>
      <c r="AC2491" s="3" t="n">
        <v>292166.751078</v>
      </c>
      <c r="AD2491" s="3" t="n">
        <v>314445.334077</v>
      </c>
      <c r="AE2491" s="3" t="n">
        <v>338236.551174</v>
      </c>
      <c r="AF2491" s="3" t="n">
        <v>372426.770799</v>
      </c>
      <c r="AG2491" s="3" t="n">
        <v>400299.264977</v>
      </c>
      <c r="AH2491" s="3" t="n">
        <v>428220.138709</v>
      </c>
      <c r="AI2491" s="3" t="n">
        <v>458195.548419</v>
      </c>
      <c r="AJ2491" s="3" t="n">
        <v>490269.236808</v>
      </c>
      <c r="AK2491" s="3" t="n">
        <v>524588.083385</v>
      </c>
      <c r="AL2491" s="3" t="n">
        <v>561309.249222</v>
      </c>
      <c r="AM2491" s="3" t="n"/>
      <c r="AN2491" s="3" t="n"/>
      <c r="AO2491" s="3" t="n"/>
      <c r="AP2491" s="3" t="n"/>
      <c r="AQ2491" s="3" t="n"/>
      <c r="AR2491" s="3" t="n"/>
      <c r="AS2491" s="3" t="n"/>
      <c r="AT2491" s="3" t="n"/>
      <c r="AU2491" s="3" t="n"/>
    </row>
    <row r="2492">
      <c r="A2492" s="3" t="n">
        <v>2031</v>
      </c>
      <c r="B2492" s="3" t="inlineStr">
        <is>
          <t>PRY</t>
        </is>
      </c>
      <c r="C2492" s="3" t="inlineStr">
        <is>
          <t>IMF.RES:WEO</t>
        </is>
      </c>
      <c r="D2492" s="3" t="inlineStr">
        <is>
          <t>PRY.NGDP_D.A</t>
        </is>
      </c>
      <c r="E2492" s="3" t="inlineStr">
        <is>
          <t>Paraguay</t>
        </is>
      </c>
      <c r="F2492" s="3" t="inlineStr">
        <is>
          <t>Gross domestic product (GDP), Price deflator, Index</t>
        </is>
      </c>
      <c r="G2492" s="3" t="n">
        <v>28.998394</v>
      </c>
      <c r="H2492" s="3" t="n">
        <v>33.039495</v>
      </c>
      <c r="I2492" s="3" t="n">
        <v>38.969881</v>
      </c>
      <c r="J2492" s="3" t="n">
        <v>44.871607</v>
      </c>
      <c r="K2492" s="3" t="n">
        <v>50.182164</v>
      </c>
      <c r="L2492" s="3" t="n">
        <v>56.682171</v>
      </c>
      <c r="M2492" s="3" t="n">
        <v>61.701849</v>
      </c>
      <c r="N2492" s="3" t="n">
        <v>69.49818999999999</v>
      </c>
      <c r="O2492" s="3" t="n">
        <v>77.994173</v>
      </c>
      <c r="P2492" s="3" t="n">
        <v>80.83937299999999</v>
      </c>
      <c r="Q2492" s="3" t="n">
        <v>84.603013</v>
      </c>
      <c r="R2492" s="3" t="n">
        <v>88.91413799999999</v>
      </c>
      <c r="S2492" s="3" t="n">
        <v>93.18048400000001</v>
      </c>
      <c r="T2492" s="3" t="n">
        <v>97.222351</v>
      </c>
      <c r="U2492" s="3" t="n">
        <v>100</v>
      </c>
      <c r="V2492" s="3" t="n">
        <v>101.603888</v>
      </c>
      <c r="W2492" s="3" t="n">
        <v>105.804959</v>
      </c>
      <c r="X2492" s="3" t="n">
        <v>108.08951</v>
      </c>
      <c r="Y2492" s="3" t="n">
        <v>110.208333</v>
      </c>
      <c r="Z2492" s="3" t="n">
        <v>113.582779</v>
      </c>
      <c r="AA2492" s="3" t="n">
        <v>116.086054</v>
      </c>
      <c r="AB2492" s="3" t="n">
        <v>125.877246</v>
      </c>
      <c r="AC2492" s="3" t="n">
        <v>135.976868</v>
      </c>
      <c r="AD2492" s="3" t="n">
        <v>138.998273</v>
      </c>
      <c r="AE2492" s="3" t="n">
        <v>142.84535</v>
      </c>
      <c r="AF2492" s="3" t="n">
        <v>148.381787</v>
      </c>
      <c r="AG2492" s="3" t="n">
        <v>153.058263</v>
      </c>
      <c r="AH2492" s="3" t="n">
        <v>158.197175</v>
      </c>
      <c r="AI2492" s="3" t="n">
        <v>163.546838</v>
      </c>
      <c r="AJ2492" s="3" t="n">
        <v>169.077408</v>
      </c>
      <c r="AK2492" s="3" t="n">
        <v>174.795001</v>
      </c>
      <c r="AL2492" s="3" t="n">
        <v>180.705943</v>
      </c>
      <c r="AM2492" s="3" t="n"/>
      <c r="AN2492" s="3" t="n"/>
      <c r="AO2492" s="3" t="n"/>
      <c r="AP2492" s="3" t="n"/>
      <c r="AQ2492" s="3" t="n"/>
      <c r="AR2492" s="3" t="n"/>
      <c r="AS2492" s="3" t="n"/>
      <c r="AT2492" s="3" t="n"/>
      <c r="AU2492" s="3" t="n"/>
    </row>
    <row r="2493">
      <c r="A2493" s="3" t="n">
        <v>2031</v>
      </c>
      <c r="B2493" s="3" t="inlineStr">
        <is>
          <t>PRY</t>
        </is>
      </c>
      <c r="C2493" s="3" t="inlineStr">
        <is>
          <t>IMF.RES:WEO</t>
        </is>
      </c>
      <c r="D2493" s="3" t="inlineStr">
        <is>
          <t>PRY.NGDP_R.A</t>
        </is>
      </c>
      <c r="E2493" s="3" t="inlineStr">
        <is>
          <t>Paraguay</t>
        </is>
      </c>
      <c r="F2493" s="3" t="inlineStr">
        <is>
          <t>Gross domestic product (GDP), Constant prices, Domestic currency</t>
        </is>
      </c>
      <c r="G2493" s="3" t="n">
        <v>106468.267857</v>
      </c>
      <c r="H2493" s="3" t="n">
        <v>105580.264247</v>
      </c>
      <c r="I2493" s="3" t="n">
        <v>105557.66543</v>
      </c>
      <c r="J2493" s="3" t="n">
        <v>110118.543494</v>
      </c>
      <c r="K2493" s="3" t="n">
        <v>114586.5135</v>
      </c>
      <c r="L2493" s="3" t="n">
        <v>117031.206068</v>
      </c>
      <c r="M2493" s="3" t="n">
        <v>122657.033296</v>
      </c>
      <c r="N2493" s="3" t="n">
        <v>129307.035067</v>
      </c>
      <c r="O2493" s="3" t="n">
        <v>137707.197797</v>
      </c>
      <c r="P2493" s="3" t="n">
        <v>137347.5929</v>
      </c>
      <c r="Q2493" s="3" t="n">
        <v>152586.625974</v>
      </c>
      <c r="R2493" s="3" t="n">
        <v>159127.055175</v>
      </c>
      <c r="S2493" s="3" t="n">
        <v>158000.367021</v>
      </c>
      <c r="T2493" s="3" t="n">
        <v>171103.458312</v>
      </c>
      <c r="U2493" s="3" t="n">
        <v>180174.060966</v>
      </c>
      <c r="V2493" s="3" t="n">
        <v>185502.081244</v>
      </c>
      <c r="W2493" s="3" t="n">
        <v>193419.357992</v>
      </c>
      <c r="X2493" s="3" t="n">
        <v>202722.981633</v>
      </c>
      <c r="Y2493" s="3" t="n">
        <v>209218.733463</v>
      </c>
      <c r="Z2493" s="3" t="n">
        <v>208377.977311</v>
      </c>
      <c r="AA2493" s="3" t="n">
        <v>206669.725095</v>
      </c>
      <c r="AB2493" s="3" t="n">
        <v>214925.385156</v>
      </c>
      <c r="AC2493" s="3" t="n">
        <v>214865.040185</v>
      </c>
      <c r="AD2493" s="3" t="n">
        <v>226222.474994</v>
      </c>
      <c r="AE2493" s="3" t="n">
        <v>236785.132139</v>
      </c>
      <c r="AF2493" s="3" t="n">
        <v>250992.240067</v>
      </c>
      <c r="AG2493" s="3" t="n">
        <v>261533.91415</v>
      </c>
      <c r="AH2493" s="3" t="n">
        <v>270687.601145</v>
      </c>
      <c r="AI2493" s="3" t="n">
        <v>280161.667185</v>
      </c>
      <c r="AJ2493" s="3" t="n">
        <v>289967.325536</v>
      </c>
      <c r="AK2493" s="3" t="n">
        <v>300116.18193</v>
      </c>
      <c r="AL2493" s="3" t="n">
        <v>310620.248298</v>
      </c>
      <c r="AM2493" s="3" t="n"/>
      <c r="AN2493" s="3" t="n"/>
      <c r="AO2493" s="3" t="n"/>
      <c r="AP2493" s="3" t="n"/>
      <c r="AQ2493" s="3" t="n"/>
      <c r="AR2493" s="3" t="n"/>
      <c r="AS2493" s="3" t="n"/>
      <c r="AT2493" s="3" t="n"/>
      <c r="AU2493" s="3" t="n"/>
    </row>
    <row r="2494">
      <c r="A2494" s="3" t="n">
        <v>2031</v>
      </c>
      <c r="B2494" s="3" t="inlineStr">
        <is>
          <t>PRY</t>
        </is>
      </c>
      <c r="C2494" s="3" t="inlineStr">
        <is>
          <t>IMF.RES:WEO</t>
        </is>
      </c>
      <c r="D2494" s="3" t="inlineStr">
        <is>
          <t>PRY.NGDP_RPCH.A</t>
        </is>
      </c>
      <c r="E2494" s="3" t="inlineStr">
        <is>
          <t>Paraguay</t>
        </is>
      </c>
      <c r="F2494" s="3" t="inlineStr">
        <is>
          <t>Gross domestic product (GDP), Constant prices, Percent change</t>
        </is>
      </c>
      <c r="G2494" s="3" t="n">
        <v>-2.314141</v>
      </c>
      <c r="H2494" s="3" t="n">
        <v>-0.834055</v>
      </c>
      <c r="I2494" s="3" t="n">
        <v>-0.021404</v>
      </c>
      <c r="J2494" s="3" t="n">
        <v>4.320745</v>
      </c>
      <c r="K2494" s="3" t="n">
        <v>4.057418</v>
      </c>
      <c r="L2494" s="3" t="n">
        <v>2.133491</v>
      </c>
      <c r="M2494" s="3" t="n">
        <v>4.807117</v>
      </c>
      <c r="N2494" s="3" t="n">
        <v>5.421623</v>
      </c>
      <c r="O2494" s="3" t="n">
        <v>6.496292</v>
      </c>
      <c r="P2494" s="3" t="n">
        <v>-0.261137</v>
      </c>
      <c r="Q2494" s="3" t="n">
        <v>11.095231</v>
      </c>
      <c r="R2494" s="3" t="n">
        <v>4.286371</v>
      </c>
      <c r="S2494" s="3" t="n">
        <v>-0.708043</v>
      </c>
      <c r="T2494" s="3" t="n">
        <v>8.293075999999999</v>
      </c>
      <c r="U2494" s="3" t="n">
        <v>5.301239</v>
      </c>
      <c r="V2494" s="3" t="n">
        <v>2.957152</v>
      </c>
      <c r="W2494" s="3" t="n">
        <v>4.268026</v>
      </c>
      <c r="X2494" s="3" t="n">
        <v>4.810079</v>
      </c>
      <c r="Y2494" s="3" t="n">
        <v>3.20425</v>
      </c>
      <c r="Z2494" s="3" t="n">
        <v>-0.401855</v>
      </c>
      <c r="AA2494" s="3" t="n">
        <v>-0.819785</v>
      </c>
      <c r="AB2494" s="3" t="n">
        <v>3.994615</v>
      </c>
      <c r="AC2494" s="3" t="n">
        <v>-0.028077</v>
      </c>
      <c r="AD2494" s="3" t="n">
        <v>5.285846</v>
      </c>
      <c r="AE2494" s="3" t="n">
        <v>4.669146</v>
      </c>
      <c r="AF2494" s="3" t="n">
        <v>6</v>
      </c>
      <c r="AG2494" s="3" t="n">
        <v>4.2</v>
      </c>
      <c r="AH2494" s="3" t="n">
        <v>3.5</v>
      </c>
      <c r="AI2494" s="3" t="n">
        <v>3.5</v>
      </c>
      <c r="AJ2494" s="3" t="n">
        <v>3.5</v>
      </c>
      <c r="AK2494" s="3" t="n">
        <v>3.5</v>
      </c>
      <c r="AL2494" s="3" t="n">
        <v>3.5</v>
      </c>
      <c r="AM2494" s="3" t="n"/>
      <c r="AN2494" s="3" t="n"/>
      <c r="AO2494" s="3" t="n"/>
      <c r="AP2494" s="3" t="n"/>
      <c r="AQ2494" s="3" t="n"/>
      <c r="AR2494" s="3" t="n"/>
      <c r="AS2494" s="3" t="n"/>
      <c r="AT2494" s="3" t="n"/>
      <c r="AU2494" s="3" t="n"/>
    </row>
    <row r="2495">
      <c r="A2495" s="3" t="n">
        <v>2031</v>
      </c>
      <c r="B2495" s="3" t="inlineStr">
        <is>
          <t>PRY</t>
        </is>
      </c>
      <c r="C2495" s="3" t="inlineStr">
        <is>
          <t>IMF.RES:WEO</t>
        </is>
      </c>
      <c r="D2495" s="3" t="inlineStr">
        <is>
          <t>PRY.NGDPD.A</t>
        </is>
      </c>
      <c r="E2495" s="3" t="inlineStr">
        <is>
          <t>Paraguay</t>
        </is>
      </c>
      <c r="F2495" s="3" t="inlineStr">
        <is>
          <t>Gross domestic product (GDP), Current prices, US dollar</t>
        </is>
      </c>
      <c r="G2495" s="3" t="n">
        <v>8.855696999999999</v>
      </c>
      <c r="H2495" s="3" t="n">
        <v>8.495817000000001</v>
      </c>
      <c r="I2495" s="3" t="n">
        <v>7.196263</v>
      </c>
      <c r="J2495" s="3" t="n">
        <v>7.691368</v>
      </c>
      <c r="K2495" s="3" t="n">
        <v>9.624445</v>
      </c>
      <c r="L2495" s="3" t="n">
        <v>10.737541</v>
      </c>
      <c r="M2495" s="3" t="n">
        <v>13.430416</v>
      </c>
      <c r="N2495" s="3" t="n">
        <v>17.856388</v>
      </c>
      <c r="O2495" s="3" t="n">
        <v>24.615268</v>
      </c>
      <c r="P2495" s="3" t="n">
        <v>22.355151</v>
      </c>
      <c r="Q2495" s="3" t="n">
        <v>27.129301</v>
      </c>
      <c r="R2495" s="3" t="n">
        <v>33.737034</v>
      </c>
      <c r="S2495" s="3" t="n">
        <v>33.296438</v>
      </c>
      <c r="T2495" s="3" t="n">
        <v>38.651335</v>
      </c>
      <c r="U2495" s="3" t="n">
        <v>40.377987</v>
      </c>
      <c r="V2495" s="3" t="n">
        <v>36.211373</v>
      </c>
      <c r="W2495" s="3" t="n">
        <v>36.089551</v>
      </c>
      <c r="X2495" s="3" t="n">
        <v>38.99713</v>
      </c>
      <c r="Y2495" s="3" t="n">
        <v>40.225449</v>
      </c>
      <c r="Z2495" s="3" t="n">
        <v>37.925338</v>
      </c>
      <c r="AA2495" s="3" t="n">
        <v>35.432178</v>
      </c>
      <c r="AB2495" s="3" t="n">
        <v>39.937357</v>
      </c>
      <c r="AC2495" s="3" t="n">
        <v>41.841202</v>
      </c>
      <c r="AD2495" s="3" t="n">
        <v>43.140466</v>
      </c>
      <c r="AE2495" s="3" t="n">
        <v>44.738819</v>
      </c>
      <c r="AF2495" s="3" t="n">
        <v>49.357816</v>
      </c>
      <c r="AG2495" s="3" t="n">
        <v>60.542102</v>
      </c>
      <c r="AH2495" s="3" t="n">
        <v>64.028655</v>
      </c>
      <c r="AI2495" s="3" t="n">
        <v>67.643642</v>
      </c>
      <c r="AJ2495" s="3" t="n">
        <v>71.475706</v>
      </c>
      <c r="AK2495" s="3" t="n">
        <v>75.522296</v>
      </c>
      <c r="AL2495" s="3" t="n">
        <v>79.78755700000001</v>
      </c>
      <c r="AM2495" s="3" t="n"/>
      <c r="AN2495" s="3" t="n"/>
      <c r="AO2495" s="3" t="n"/>
      <c r="AP2495" s="3" t="n"/>
      <c r="AQ2495" s="3" t="n"/>
      <c r="AR2495" s="3" t="n"/>
      <c r="AS2495" s="3" t="n"/>
      <c r="AT2495" s="3" t="n"/>
      <c r="AU2495" s="3" t="n"/>
    </row>
    <row r="2496">
      <c r="A2496" s="3" t="n">
        <v>2031</v>
      </c>
      <c r="B2496" s="3" t="inlineStr">
        <is>
          <t>PRY</t>
        </is>
      </c>
      <c r="C2496" s="3" t="inlineStr">
        <is>
          <t>IMF.RES:WEO</t>
        </is>
      </c>
      <c r="D2496" s="3" t="inlineStr">
        <is>
          <t>PRY.NGDPPC.A</t>
        </is>
      </c>
      <c r="E2496" s="3" t="inlineStr">
        <is>
          <t>Paraguay</t>
        </is>
      </c>
      <c r="F2496" s="3" t="inlineStr">
        <is>
          <t>Gross domestic product (GDP), Current prices, Per capita, Domestic currency</t>
        </is>
      </c>
      <c r="G2496" s="3" t="n">
        <v>5989100.313228</v>
      </c>
      <c r="H2496" s="3" t="n">
        <v>6660180.17199</v>
      </c>
      <c r="I2496" s="3" t="n">
        <v>7752422.87469</v>
      </c>
      <c r="J2496" s="3" t="n">
        <v>9210631.137108</v>
      </c>
      <c r="K2496" s="3" t="n">
        <v>10613224.086443</v>
      </c>
      <c r="L2496" s="3" t="n">
        <v>12133740.818128</v>
      </c>
      <c r="M2496" s="3" t="n">
        <v>13731881.416668</v>
      </c>
      <c r="N2496" s="3" t="n">
        <v>16188848.92888</v>
      </c>
      <c r="O2496" s="3" t="n">
        <v>19218782.712991</v>
      </c>
      <c r="P2496" s="3" t="n">
        <v>19731652.070819</v>
      </c>
      <c r="Q2496" s="3" t="n">
        <v>22775569.320064</v>
      </c>
      <c r="R2496" s="3" t="n">
        <v>24774751.321299</v>
      </c>
      <c r="S2496" s="3" t="n">
        <v>25575982.006569</v>
      </c>
      <c r="T2496" s="3" t="n">
        <v>28656439.822363</v>
      </c>
      <c r="U2496" s="3" t="n">
        <v>30762322.402471</v>
      </c>
      <c r="V2496" s="3" t="n">
        <v>31880025.848327</v>
      </c>
      <c r="W2496" s="3" t="n">
        <v>34282163.652155</v>
      </c>
      <c r="X2496" s="3" t="n">
        <v>36350242.225071</v>
      </c>
      <c r="Y2496" s="3" t="n">
        <v>37880853.952178</v>
      </c>
      <c r="Z2496" s="3" t="n">
        <v>38517163.213045</v>
      </c>
      <c r="AA2496" s="3" t="n">
        <v>38680464.290847</v>
      </c>
      <c r="AB2496" s="3" t="n">
        <v>43301183.284044</v>
      </c>
      <c r="AC2496" s="3" t="n">
        <v>46493606.175329</v>
      </c>
      <c r="AD2496" s="3" t="n">
        <v>49700336.910975</v>
      </c>
      <c r="AE2496" s="3" t="n">
        <v>53076504.160693</v>
      </c>
      <c r="AF2496" s="3" t="n">
        <v>58036833.411232</v>
      </c>
      <c r="AG2496" s="3" t="n">
        <v>61964305.364167</v>
      </c>
      <c r="AH2496" s="3" t="n">
        <v>65861174.911367</v>
      </c>
      <c r="AI2496" s="3" t="n">
        <v>70037328.39677</v>
      </c>
      <c r="AJ2496" s="3" t="n">
        <v>74496492.125287</v>
      </c>
      <c r="AK2496" s="3" t="n">
        <v>79258106.03041001</v>
      </c>
      <c r="AL2496" s="3" t="n">
        <v>84343000.821582</v>
      </c>
      <c r="AM2496" s="3" t="n"/>
      <c r="AN2496" s="3" t="n"/>
      <c r="AO2496" s="3" t="n"/>
      <c r="AP2496" s="3" t="n"/>
      <c r="AQ2496" s="3" t="n"/>
      <c r="AR2496" s="3" t="n"/>
      <c r="AS2496" s="3" t="n"/>
      <c r="AT2496" s="3" t="n"/>
      <c r="AU2496" s="3" t="n"/>
    </row>
    <row r="2497">
      <c r="A2497" s="3" t="n">
        <v>2031</v>
      </c>
      <c r="B2497" s="3" t="inlineStr">
        <is>
          <t>PRY</t>
        </is>
      </c>
      <c r="C2497" s="3" t="inlineStr">
        <is>
          <t>IMF.RES:WEO</t>
        </is>
      </c>
      <c r="D2497" s="3" t="inlineStr">
        <is>
          <t>PRY.NGDPRPC.A</t>
        </is>
      </c>
      <c r="E2497" s="3" t="inlineStr">
        <is>
          <t>Paraguay</t>
        </is>
      </c>
      <c r="F2497" s="3" t="inlineStr">
        <is>
          <t>Gross domestic product (GDP), Constant prices, Per capita, Domestic currency</t>
        </is>
      </c>
      <c r="G2497" s="3" t="n">
        <v>20653213.930014</v>
      </c>
      <c r="H2497" s="3" t="n">
        <v>20158238.193329</v>
      </c>
      <c r="I2497" s="3" t="n">
        <v>19893370.500802</v>
      </c>
      <c r="J2497" s="3" t="n">
        <v>20526635.487481</v>
      </c>
      <c r="K2497" s="3" t="n">
        <v>21149395.15016</v>
      </c>
      <c r="L2497" s="3" t="n">
        <v>21406626.797788</v>
      </c>
      <c r="M2497" s="3" t="n">
        <v>22255218.571402</v>
      </c>
      <c r="N2497" s="3" t="n">
        <v>23293914.488285</v>
      </c>
      <c r="O2497" s="3" t="n">
        <v>24641305.723486</v>
      </c>
      <c r="P2497" s="3" t="n">
        <v>24408467.336345</v>
      </c>
      <c r="Q2497" s="3" t="n">
        <v>26920517.87435</v>
      </c>
      <c r="R2497" s="3" t="n">
        <v>27863680.496468</v>
      </c>
      <c r="S2497" s="3" t="n">
        <v>27447788.438002</v>
      </c>
      <c r="T2497" s="3" t="n">
        <v>29475156.151726</v>
      </c>
      <c r="U2497" s="3" t="n">
        <v>30762322.402471</v>
      </c>
      <c r="V2497" s="3" t="n">
        <v>31376777.460733</v>
      </c>
      <c r="W2497" s="3" t="n">
        <v>32401282.38478</v>
      </c>
      <c r="X2497" s="3" t="n">
        <v>33629759.516145</v>
      </c>
      <c r="Y2497" s="3" t="n">
        <v>34372041.646779</v>
      </c>
      <c r="Z2497" s="3" t="n">
        <v>33911094.283975</v>
      </c>
      <c r="AA2497" s="3" t="n">
        <v>33320509.173147</v>
      </c>
      <c r="AB2497" s="3" t="n">
        <v>34399531.804858</v>
      </c>
      <c r="AC2497" s="3" t="n">
        <v>34192290.951517</v>
      </c>
      <c r="AD2497" s="3" t="n">
        <v>35756082.236261</v>
      </c>
      <c r="AE2497" s="3" t="n">
        <v>37156620.145041</v>
      </c>
      <c r="AF2497" s="3" t="n">
        <v>39113178.660634</v>
      </c>
      <c r="AG2497" s="3" t="n">
        <v>40484129.593355</v>
      </c>
      <c r="AH2497" s="3" t="n">
        <v>41632333.077752</v>
      </c>
      <c r="AI2497" s="3" t="n">
        <v>42824018.601952</v>
      </c>
      <c r="AJ2497" s="3" t="n">
        <v>44060583.372619</v>
      </c>
      <c r="AK2497" s="3" t="n">
        <v>45343462.656246</v>
      </c>
      <c r="AL2497" s="3" t="n">
        <v>46674170.956042</v>
      </c>
      <c r="AM2497" s="3" t="n"/>
      <c r="AN2497" s="3" t="n"/>
      <c r="AO2497" s="3" t="n"/>
      <c r="AP2497" s="3" t="n"/>
      <c r="AQ2497" s="3" t="n"/>
      <c r="AR2497" s="3" t="n"/>
      <c r="AS2497" s="3" t="n"/>
      <c r="AT2497" s="3" t="n"/>
      <c r="AU2497" s="3" t="n"/>
    </row>
    <row r="2498">
      <c r="A2498" s="3" t="n">
        <v>2031</v>
      </c>
      <c r="B2498" s="3" t="inlineStr">
        <is>
          <t>PRY</t>
        </is>
      </c>
      <c r="C2498" s="3" t="inlineStr">
        <is>
          <t>IMF.RES:WEO</t>
        </is>
      </c>
      <c r="D2498" s="3" t="inlineStr">
        <is>
          <t>PRY.PCPI.A</t>
        </is>
      </c>
      <c r="E2498" s="3" t="inlineStr">
        <is>
          <t>Paraguay</t>
        </is>
      </c>
      <c r="F2498" s="3" t="inlineStr">
        <is>
          <t>All Items, Consumer price index (CPI), Period average</t>
        </is>
      </c>
      <c r="G2498" s="3" t="n">
        <v>34.408333</v>
      </c>
      <c r="H2498" s="3" t="n">
        <v>36.925</v>
      </c>
      <c r="I2498" s="3" t="n">
        <v>40.791667</v>
      </c>
      <c r="J2498" s="3" t="n">
        <v>46.6</v>
      </c>
      <c r="K2498" s="3" t="n">
        <v>48.608333</v>
      </c>
      <c r="L2498" s="3" t="n">
        <v>51.925</v>
      </c>
      <c r="M2498" s="3" t="n">
        <v>56.891667</v>
      </c>
      <c r="N2498" s="3" t="n">
        <v>61.525</v>
      </c>
      <c r="O2498" s="3" t="n">
        <v>67.791667</v>
      </c>
      <c r="P2498" s="3" t="n">
        <v>69.558333</v>
      </c>
      <c r="Q2498" s="3" t="n">
        <v>72.783333</v>
      </c>
      <c r="R2498" s="3" t="n">
        <v>78.783333</v>
      </c>
      <c r="S2498" s="3" t="n">
        <v>81.691667</v>
      </c>
      <c r="T2498" s="3" t="n">
        <v>83.86666700000001</v>
      </c>
      <c r="U2498" s="3" t="n">
        <v>88.083333</v>
      </c>
      <c r="V2498" s="3" t="n">
        <v>90.841667</v>
      </c>
      <c r="W2498" s="3" t="n">
        <v>94.55</v>
      </c>
      <c r="X2498" s="3" t="n">
        <v>97.966667</v>
      </c>
      <c r="Y2498" s="3" t="n">
        <v>101.858333</v>
      </c>
      <c r="Z2498" s="3" t="n">
        <v>104.666667</v>
      </c>
      <c r="AA2498" s="3" t="n">
        <v>106.516667</v>
      </c>
      <c r="AB2498" s="3" t="n">
        <v>111.616667</v>
      </c>
      <c r="AC2498" s="3" t="n">
        <v>122.516667</v>
      </c>
      <c r="AD2498" s="3" t="n">
        <v>128.191667</v>
      </c>
      <c r="AE2498" s="3" t="n">
        <v>133.108333</v>
      </c>
      <c r="AF2498" s="3" t="n">
        <v>138.576923</v>
      </c>
      <c r="AG2498" s="3" t="n">
        <v>143.127817</v>
      </c>
      <c r="AH2498" s="3" t="n">
        <v>148.101509</v>
      </c>
      <c r="AI2498" s="3" t="n">
        <v>153.285061</v>
      </c>
      <c r="AJ2498" s="3" t="n">
        <v>158.650039</v>
      </c>
      <c r="AK2498" s="3" t="n">
        <v>164.20279</v>
      </c>
      <c r="AL2498" s="3" t="n">
        <v>169.949888</v>
      </c>
      <c r="AM2498" s="3" t="n"/>
      <c r="AN2498" s="3" t="n"/>
      <c r="AO2498" s="3" t="n"/>
      <c r="AP2498" s="3" t="n"/>
      <c r="AQ2498" s="3" t="n"/>
      <c r="AR2498" s="3" t="n"/>
      <c r="AS2498" s="3" t="n"/>
      <c r="AT2498" s="3" t="n"/>
      <c r="AU2498" s="3" t="n"/>
    </row>
    <row r="2499">
      <c r="A2499" s="3" t="n">
        <v>2031</v>
      </c>
      <c r="B2499" s="3" t="inlineStr">
        <is>
          <t>PRY</t>
        </is>
      </c>
      <c r="C2499" s="3" t="inlineStr">
        <is>
          <t>IMF.RES:WEO</t>
        </is>
      </c>
      <c r="D2499" s="3" t="inlineStr">
        <is>
          <t>PRY.PCPIPCH.A</t>
        </is>
      </c>
      <c r="E2499" s="3" t="inlineStr">
        <is>
          <t>Paraguay</t>
        </is>
      </c>
      <c r="F2499" s="3" t="inlineStr">
        <is>
          <t>All Items, Consumer price index (CPI), Period average, percent change</t>
        </is>
      </c>
      <c r="G2499" s="3" t="n">
        <v>8.973344000000001</v>
      </c>
      <c r="H2499" s="3" t="n">
        <v>7.31412</v>
      </c>
      <c r="I2499" s="3" t="n">
        <v>10.471677</v>
      </c>
      <c r="J2499" s="3" t="n">
        <v>14.239019</v>
      </c>
      <c r="K2499" s="3" t="n">
        <v>4.309728</v>
      </c>
      <c r="L2499" s="3" t="n">
        <v>6.823247</v>
      </c>
      <c r="M2499" s="3" t="n">
        <v>9.565078</v>
      </c>
      <c r="N2499" s="3" t="n">
        <v>8.144133999999999</v>
      </c>
      <c r="O2499" s="3" t="n">
        <v>10.185561</v>
      </c>
      <c r="P2499" s="3" t="n">
        <v>2.606023</v>
      </c>
      <c r="Q2499" s="3" t="n">
        <v>4.636396</v>
      </c>
      <c r="R2499" s="3" t="n">
        <v>8.243646</v>
      </c>
      <c r="S2499" s="3" t="n">
        <v>3.691559</v>
      </c>
      <c r="T2499" s="3" t="n">
        <v>2.66245</v>
      </c>
      <c r="U2499" s="3" t="n">
        <v>5.027822</v>
      </c>
      <c r="V2499" s="3" t="n">
        <v>3.131504</v>
      </c>
      <c r="W2499" s="3" t="n">
        <v>4.082194</v>
      </c>
      <c r="X2499" s="3" t="n">
        <v>3.613608</v>
      </c>
      <c r="Y2499" s="3" t="n">
        <v>3.97244</v>
      </c>
      <c r="Z2499" s="3" t="n">
        <v>2.757097</v>
      </c>
      <c r="AA2499" s="3" t="n">
        <v>1.767516</v>
      </c>
      <c r="AB2499" s="3" t="n">
        <v>4.787983</v>
      </c>
      <c r="AC2499" s="3" t="n">
        <v>9.765567000000001</v>
      </c>
      <c r="AD2499" s="3" t="n">
        <v>4.632023</v>
      </c>
      <c r="AE2499" s="3" t="n">
        <v>3.835403</v>
      </c>
      <c r="AF2499" s="3" t="n">
        <v>4.108375</v>
      </c>
      <c r="AG2499" s="3" t="n">
        <v>3.28402</v>
      </c>
      <c r="AH2499" s="3" t="n">
        <v>3.475</v>
      </c>
      <c r="AI2499" s="3" t="n">
        <v>3.5</v>
      </c>
      <c r="AJ2499" s="3" t="n">
        <v>3.5</v>
      </c>
      <c r="AK2499" s="3" t="n">
        <v>3.5</v>
      </c>
      <c r="AL2499" s="3" t="n">
        <v>3.5</v>
      </c>
      <c r="AM2499" s="3" t="n"/>
      <c r="AN2499" s="3" t="n"/>
      <c r="AO2499" s="3" t="n"/>
      <c r="AP2499" s="3" t="n"/>
      <c r="AQ2499" s="3" t="n"/>
      <c r="AR2499" s="3" t="n"/>
      <c r="AS2499" s="3" t="n"/>
      <c r="AT2499" s="3" t="n"/>
      <c r="AU2499" s="3" t="n"/>
    </row>
    <row r="2500">
      <c r="A2500" s="3" t="n">
        <v>2031</v>
      </c>
      <c r="B2500" s="3" t="inlineStr">
        <is>
          <t>PRY</t>
        </is>
      </c>
      <c r="C2500" s="3" t="inlineStr">
        <is>
          <t>IMF.RES:WEO</t>
        </is>
      </c>
      <c r="D2500" s="3" t="inlineStr">
        <is>
          <t>PRY.PPPPC.A</t>
        </is>
      </c>
      <c r="E2500" s="3" t="inlineStr">
        <is>
          <t>Paraguay</t>
        </is>
      </c>
      <c r="F2500" s="3" t="inlineStr">
        <is>
          <t>Gross domestic product (GDP), Per capita, purchasing power parity (PPP) international dollar, ICP benchmarks 2017-2021</t>
        </is>
      </c>
      <c r="G2500" s="3" t="n">
        <v>6564.084837</v>
      </c>
      <c r="H2500" s="3" t="n">
        <v>6551.025854</v>
      </c>
      <c r="I2500" s="3" t="n">
        <v>6565.416753</v>
      </c>
      <c r="J2500" s="3" t="n">
        <v>6908.154974</v>
      </c>
      <c r="K2500" s="3" t="n">
        <v>7309.129814</v>
      </c>
      <c r="L2500" s="3" t="n">
        <v>7630.016743</v>
      </c>
      <c r="M2500" s="3" t="n">
        <v>8177.110812</v>
      </c>
      <c r="N2500" s="3" t="n">
        <v>8790.632793999999</v>
      </c>
      <c r="O2500" s="3" t="n">
        <v>9478.248971999999</v>
      </c>
      <c r="P2500" s="3" t="n">
        <v>9446.591939</v>
      </c>
      <c r="Q2500" s="3" t="n">
        <v>10545.436059</v>
      </c>
      <c r="R2500" s="3" t="n">
        <v>11140.097724</v>
      </c>
      <c r="S2500" s="3" t="n">
        <v>11178.146221</v>
      </c>
      <c r="T2500" s="3" t="n">
        <v>12208.09943</v>
      </c>
      <c r="U2500" s="3" t="n">
        <v>12963.137154</v>
      </c>
      <c r="V2500" s="3" t="n">
        <v>13344.774222</v>
      </c>
      <c r="W2500" s="3" t="n">
        <v>13911.449296</v>
      </c>
      <c r="X2500" s="3" t="n">
        <v>14697.479046</v>
      </c>
      <c r="Y2500" s="3" t="n">
        <v>14930.021316</v>
      </c>
      <c r="Z2500" s="3" t="n">
        <v>15002.111539</v>
      </c>
      <c r="AA2500" s="3" t="n">
        <v>15234.572506</v>
      </c>
      <c r="AB2500" s="3" t="n">
        <v>16476.328571</v>
      </c>
      <c r="AC2500" s="3" t="n">
        <v>17541.871288</v>
      </c>
      <c r="AD2500" s="3" t="n">
        <v>19022.892045</v>
      </c>
      <c r="AE2500" s="3" t="n">
        <v>20258.753474</v>
      </c>
      <c r="AF2500" s="3" t="n">
        <v>21930.475161</v>
      </c>
      <c r="AG2500" s="3" t="n">
        <v>23349.454388</v>
      </c>
      <c r="AH2500" s="3" t="n">
        <v>24538.960476</v>
      </c>
      <c r="AI2500" s="3" t="n">
        <v>25655.674003</v>
      </c>
      <c r="AJ2500" s="3" t="n">
        <v>26865.852633</v>
      </c>
      <c r="AK2500" s="3" t="n">
        <v>28156.126707</v>
      </c>
      <c r="AL2500" s="3" t="n">
        <v>29505.653449</v>
      </c>
      <c r="AM2500" s="3" t="n"/>
      <c r="AN2500" s="3" t="n"/>
      <c r="AO2500" s="3" t="n"/>
      <c r="AP2500" s="3" t="n"/>
      <c r="AQ2500" s="3" t="n"/>
      <c r="AR2500" s="3" t="n"/>
      <c r="AS2500" s="3" t="n"/>
      <c r="AT2500" s="3" t="n"/>
      <c r="AU2500" s="3" t="n"/>
    </row>
    <row r="2501">
      <c r="A2501" s="3" t="n">
        <v>2025</v>
      </c>
      <c r="B2501" s="3" t="inlineStr">
        <is>
          <t>PRY</t>
        </is>
      </c>
      <c r="C2501" s="3" t="inlineStr">
        <is>
          <t>IMF.STA:ER</t>
        </is>
      </c>
      <c r="D2501" s="3" t="inlineStr">
        <is>
          <t>PRY.XDC_USD.PA_RT.A</t>
        </is>
      </c>
      <c r="E2501" s="3" t="inlineStr">
        <is>
          <t>Paraguay</t>
        </is>
      </c>
      <c r="F2501" s="3" t="inlineStr">
        <is>
          <t>Domestic currency per US Dollar</t>
        </is>
      </c>
      <c r="G2501" s="3" t="n">
        <v>3486.35333333333</v>
      </c>
      <c r="H2501" s="3" t="n">
        <v>4105.925</v>
      </c>
      <c r="I2501" s="3" t="n">
        <v>5716.25833333333</v>
      </c>
      <c r="J2501" s="3" t="n">
        <v>6424.33916666666</v>
      </c>
      <c r="K2501" s="3" t="n">
        <v>5974.5775</v>
      </c>
      <c r="L2501" s="3" t="n">
        <v>6177.93494696969</v>
      </c>
      <c r="M2501" s="3" t="n">
        <v>5635.09393939394</v>
      </c>
      <c r="N2501" s="3" t="n">
        <v>5032.71157647907</v>
      </c>
      <c r="O2501" s="3" t="n">
        <v>4363.29160824492</v>
      </c>
      <c r="P2501" s="3" t="n">
        <v>4966.68229650212</v>
      </c>
      <c r="Q2501" s="3" t="n">
        <v>4758.43012878788</v>
      </c>
      <c r="R2501" s="3" t="n">
        <v>4193.80230759189</v>
      </c>
      <c r="S2501" s="3" t="n">
        <v>4421.65928640414</v>
      </c>
      <c r="T2501" s="3" t="n">
        <v>4303.88256599819</v>
      </c>
      <c r="U2501" s="3" t="n">
        <v>4462.18528829092</v>
      </c>
      <c r="V2501" s="3" t="n">
        <v>5204.92080811087</v>
      </c>
      <c r="W2501" s="3" t="n">
        <v>5670.54089799783</v>
      </c>
      <c r="X2501" s="3" t="n">
        <v>5618.9334516428</v>
      </c>
      <c r="Y2501" s="3" t="n">
        <v>5732.10455572912</v>
      </c>
      <c r="Z2501" s="3" t="n">
        <v>6240.72207844256</v>
      </c>
      <c r="AA2501" s="3" t="n">
        <v>6771.09742519651</v>
      </c>
      <c r="AB2501" s="3" t="n">
        <v>6774.16273484848</v>
      </c>
      <c r="AC2501" s="3" t="n">
        <v>6982.75237776692</v>
      </c>
      <c r="AD2501" s="3" t="n">
        <v>7288.87205374127</v>
      </c>
      <c r="AE2501" s="3" t="n">
        <v>7560.24758837744</v>
      </c>
      <c r="AF2501" s="3" t="n">
        <v>7545.4467553741</v>
      </c>
      <c r="AG2501" s="3" t="n"/>
      <c r="AH2501" s="3" t="n"/>
      <c r="AI2501" s="3" t="n"/>
      <c r="AJ2501" s="3" t="n"/>
      <c r="AK2501" s="3" t="n"/>
      <c r="AL2501" s="3" t="n"/>
      <c r="AM2501" s="3" t="n"/>
      <c r="AN2501" s="3" t="n"/>
      <c r="AO2501" s="3" t="n"/>
      <c r="AP2501" s="3" t="n"/>
      <c r="AQ2501" s="3" t="n"/>
      <c r="AR2501" s="3" t="n"/>
      <c r="AS2501" s="3" t="n"/>
      <c r="AT2501" s="3" t="n"/>
      <c r="AU2501" s="3" t="n"/>
    </row>
    <row r="2502">
      <c r="A2502" s="3" t="n">
        <v>2025</v>
      </c>
      <c r="B2502" s="3" t="inlineStr">
        <is>
          <t>PYF</t>
        </is>
      </c>
      <c r="C2502" s="3" t="inlineStr">
        <is>
          <t>IMF.STA:ER</t>
        </is>
      </c>
      <c r="D2502" s="3" t="inlineStr">
        <is>
          <t>PYF.XDC_USD.PA_RT.A</t>
        </is>
      </c>
      <c r="E2502" s="3" t="inlineStr">
        <is>
          <t>French Polynesia</t>
        </is>
      </c>
      <c r="F2502" s="3" t="inlineStr">
        <is>
          <t>Domestic currency per US Dollar</t>
        </is>
      </c>
      <c r="G2502" s="3" t="n">
        <v>129.201037953271</v>
      </c>
      <c r="H2502" s="3" t="n">
        <v>133.237791216225</v>
      </c>
      <c r="I2502" s="3" t="n">
        <v>126.200312871571</v>
      </c>
      <c r="J2502" s="3" t="n">
        <v>105.494942032458</v>
      </c>
      <c r="K2502" s="3" t="n">
        <v>95.9333368925229</v>
      </c>
      <c r="L2502" s="3" t="n">
        <v>95.9188433909485</v>
      </c>
      <c r="M2502" s="3" t="n">
        <v>95.03967171979821</v>
      </c>
      <c r="N2502" s="3" t="n">
        <v>87.0730479331812</v>
      </c>
      <c r="O2502" s="3" t="n">
        <v>81.1363292780549</v>
      </c>
      <c r="P2502" s="3" t="n">
        <v>85.5557814096789</v>
      </c>
      <c r="Q2502" s="3" t="n">
        <v>90.0129741146296</v>
      </c>
      <c r="R2502" s="3" t="n">
        <v>85.7295518299287</v>
      </c>
      <c r="S2502" s="3" t="n">
        <v>92.88041108414291</v>
      </c>
      <c r="T2502" s="3" t="n">
        <v>89.85022149873851</v>
      </c>
      <c r="U2502" s="3" t="n">
        <v>89.82433537790089</v>
      </c>
      <c r="V2502" s="3" t="n">
        <v>107.553234404315</v>
      </c>
      <c r="W2502" s="3" t="n">
        <v>107.806815805024</v>
      </c>
      <c r="X2502" s="3" t="n">
        <v>105.633078151149</v>
      </c>
      <c r="Y2502" s="3" t="n">
        <v>101.046821879543</v>
      </c>
      <c r="Z2502" s="3" t="n">
        <v>106.588933804405</v>
      </c>
      <c r="AA2502" s="3" t="n">
        <v>104.710608186968</v>
      </c>
      <c r="AB2502" s="3" t="n">
        <v>100.880222566186</v>
      </c>
      <c r="AC2502" s="3" t="n">
        <v>113.474367224106</v>
      </c>
      <c r="AD2502" s="3" t="n">
        <v>110.34717131744</v>
      </c>
      <c r="AE2502" s="3" t="n">
        <v>110.306338907421</v>
      </c>
      <c r="AF2502" s="3" t="n">
        <v>105.864431541947</v>
      </c>
      <c r="AG2502" s="3" t="n"/>
      <c r="AH2502" s="3" t="n"/>
      <c r="AI2502" s="3" t="n"/>
      <c r="AJ2502" s="3" t="n"/>
      <c r="AK2502" s="3" t="n"/>
      <c r="AL2502" s="3" t="n"/>
      <c r="AM2502" s="3" t="n"/>
      <c r="AN2502" s="3" t="n"/>
      <c r="AO2502" s="3" t="n"/>
      <c r="AP2502" s="3" t="n"/>
      <c r="AQ2502" s="3" t="n"/>
      <c r="AR2502" s="3" t="n"/>
      <c r="AS2502" s="3" t="n"/>
      <c r="AT2502" s="3" t="n"/>
      <c r="AU2502" s="3" t="n"/>
    </row>
    <row r="2503">
      <c r="A2503" s="3" t="n">
        <v>2031</v>
      </c>
      <c r="B2503" s="3" t="inlineStr">
        <is>
          <t>QAT</t>
        </is>
      </c>
      <c r="C2503" s="3" t="inlineStr">
        <is>
          <t>IMF.RES:WEO</t>
        </is>
      </c>
      <c r="D2503" s="3" t="inlineStr">
        <is>
          <t>QAT.BCA.A</t>
        </is>
      </c>
      <c r="E2503" s="3" t="inlineStr">
        <is>
          <t>Qatar</t>
        </is>
      </c>
      <c r="F2503" s="3" t="inlineStr">
        <is>
          <t>Current account balance (credit less debit), US dollar</t>
        </is>
      </c>
      <c r="G2503" s="3" t="n">
        <v>1.659297</v>
      </c>
      <c r="H2503" s="3" t="n">
        <v>4.151923</v>
      </c>
      <c r="I2503" s="3" t="n">
        <v>3.823901</v>
      </c>
      <c r="J2503" s="3" t="n">
        <v>5.753571</v>
      </c>
      <c r="K2503" s="3" t="n">
        <v>7.551648</v>
      </c>
      <c r="L2503" s="3" t="n">
        <v>7.481868</v>
      </c>
      <c r="M2503" s="3" t="n">
        <v>9.458791</v>
      </c>
      <c r="N2503" s="3" t="n">
        <v>11.457692</v>
      </c>
      <c r="O2503" s="3" t="n">
        <v>26.594505</v>
      </c>
      <c r="P2503" s="3" t="n">
        <v>6.388736</v>
      </c>
      <c r="Q2503" s="3" t="n">
        <v>23.951648</v>
      </c>
      <c r="R2503" s="3" t="n">
        <v>52.123626</v>
      </c>
      <c r="S2503" s="3" t="n">
        <v>62.000275</v>
      </c>
      <c r="T2503" s="3" t="n">
        <v>60.460989</v>
      </c>
      <c r="U2503" s="3" t="n">
        <v>49.40989</v>
      </c>
      <c r="V2503" s="3" t="n">
        <v>13.750824</v>
      </c>
      <c r="W2503" s="3" t="n">
        <v>-8.269505000000001</v>
      </c>
      <c r="X2503" s="3" t="n">
        <v>6.425549</v>
      </c>
      <c r="Y2503" s="3" t="n">
        <v>16.652198</v>
      </c>
      <c r="Z2503" s="3" t="n">
        <v>4.25989</v>
      </c>
      <c r="AA2503" s="3" t="n">
        <v>-2.985714</v>
      </c>
      <c r="AB2503" s="3" t="n">
        <v>26.319231</v>
      </c>
      <c r="AC2503" s="3" t="n">
        <v>63.117857</v>
      </c>
      <c r="AD2503" s="3" t="n">
        <v>36.452747</v>
      </c>
      <c r="AE2503" s="3" t="n">
        <v>37.884615</v>
      </c>
      <c r="AF2503" s="3" t="n">
        <v>32.112985</v>
      </c>
      <c r="AG2503" s="3" t="n">
        <v>24.018944</v>
      </c>
      <c r="AH2503" s="3" t="n">
        <v>23.362718</v>
      </c>
      <c r="AI2503" s="3" t="n">
        <v>25.976367</v>
      </c>
      <c r="AJ2503" s="3" t="n">
        <v>34.041718</v>
      </c>
      <c r="AK2503" s="3" t="n">
        <v>39.739979</v>
      </c>
      <c r="AL2503" s="3" t="n">
        <v>43.831578</v>
      </c>
      <c r="AM2503" s="3" t="n"/>
      <c r="AN2503" s="3" t="n"/>
      <c r="AO2503" s="3" t="n"/>
      <c r="AP2503" s="3" t="n"/>
      <c r="AQ2503" s="3" t="n"/>
      <c r="AR2503" s="3" t="n"/>
      <c r="AS2503" s="3" t="n"/>
      <c r="AT2503" s="3" t="n"/>
      <c r="AU2503" s="3" t="n"/>
    </row>
    <row r="2504">
      <c r="A2504" s="3" t="n">
        <v>2031</v>
      </c>
      <c r="B2504" s="3" t="inlineStr">
        <is>
          <t>QAT</t>
        </is>
      </c>
      <c r="C2504" s="3" t="inlineStr">
        <is>
          <t>IMF.RES:WEO</t>
        </is>
      </c>
      <c r="D2504" s="3" t="inlineStr">
        <is>
          <t>QAT.BCA_NGDPD.A</t>
        </is>
      </c>
      <c r="E2504" s="3" t="inlineStr">
        <is>
          <t>Qatar</t>
        </is>
      </c>
      <c r="F2504" s="3" t="inlineStr">
        <is>
          <t>Current account balance (credit less debit), Percent of GDP</t>
        </is>
      </c>
      <c r="G2504" s="3" t="n">
        <v>9.175160999999999</v>
      </c>
      <c r="H2504" s="3" t="n">
        <v>23.728357</v>
      </c>
      <c r="I2504" s="3" t="n">
        <v>19.778236</v>
      </c>
      <c r="J2504" s="3" t="n">
        <v>24.260715</v>
      </c>
      <c r="K2504" s="3" t="n">
        <v>24.637576</v>
      </c>
      <c r="L2504" s="3" t="n">
        <v>16.761816</v>
      </c>
      <c r="M2504" s="3" t="n">
        <v>16.133374</v>
      </c>
      <c r="N2504" s="3" t="n">
        <v>15.078582</v>
      </c>
      <c r="O2504" s="3" t="n">
        <v>23.614062</v>
      </c>
      <c r="P2504" s="3" t="n">
        <v>7.243825</v>
      </c>
      <c r="Q2504" s="3" t="n">
        <v>20.008525</v>
      </c>
      <c r="R2504" s="3" t="n">
        <v>31.067526</v>
      </c>
      <c r="S2504" s="3" t="n">
        <v>33.184771</v>
      </c>
      <c r="T2504" s="3" t="n">
        <v>30.42403</v>
      </c>
      <c r="U2504" s="3" t="n">
        <v>23.959246</v>
      </c>
      <c r="V2504" s="3" t="n">
        <v>8.501817000000001</v>
      </c>
      <c r="W2504" s="3" t="n">
        <v>-5.450068</v>
      </c>
      <c r="X2504" s="3" t="n">
        <v>3.988568</v>
      </c>
      <c r="Y2504" s="3" t="n">
        <v>9.082936999999999</v>
      </c>
      <c r="Z2504" s="3" t="n">
        <v>2.415297</v>
      </c>
      <c r="AA2504" s="3" t="n">
        <v>-2.067506</v>
      </c>
      <c r="AB2504" s="3" t="n">
        <v>14.643586</v>
      </c>
      <c r="AC2504" s="3" t="n">
        <v>26.777835</v>
      </c>
      <c r="AD2504" s="3" t="n">
        <v>16.774652</v>
      </c>
      <c r="AE2504" s="3" t="n">
        <v>17.286074</v>
      </c>
      <c r="AF2504" s="3" t="n">
        <v>14.515704</v>
      </c>
      <c r="AG2504" s="3" t="n">
        <v>11.047473</v>
      </c>
      <c r="AH2504" s="3" t="n">
        <v>9.856604000000001</v>
      </c>
      <c r="AI2504" s="3" t="n">
        <v>10.349294</v>
      </c>
      <c r="AJ2504" s="3" t="n">
        <v>12.540307</v>
      </c>
      <c r="AK2504" s="3" t="n">
        <v>13.756498</v>
      </c>
      <c r="AL2504" s="3" t="n">
        <v>14.371115</v>
      </c>
      <c r="AM2504" s="3" t="n"/>
      <c r="AN2504" s="3" t="n"/>
      <c r="AO2504" s="3" t="n"/>
      <c r="AP2504" s="3" t="n"/>
      <c r="AQ2504" s="3" t="n"/>
      <c r="AR2504" s="3" t="n"/>
      <c r="AS2504" s="3" t="n"/>
      <c r="AT2504" s="3" t="n"/>
      <c r="AU2504" s="3" t="n"/>
    </row>
    <row r="2505">
      <c r="A2505" s="3" t="n">
        <v>2031</v>
      </c>
      <c r="B2505" s="3" t="inlineStr">
        <is>
          <t>QAT</t>
        </is>
      </c>
      <c r="C2505" s="3" t="inlineStr">
        <is>
          <t>IMF.RES:WEO</t>
        </is>
      </c>
      <c r="D2505" s="3" t="inlineStr">
        <is>
          <t>QAT.GGR_NGDP.A</t>
        </is>
      </c>
      <c r="E2505" s="3" t="inlineStr">
        <is>
          <t>Qatar</t>
        </is>
      </c>
      <c r="F2505" s="3" t="inlineStr">
        <is>
          <t>Revenue, General government, Percent of GDP</t>
        </is>
      </c>
      <c r="G2505" s="3" t="n">
        <v>34.407373</v>
      </c>
      <c r="H2505" s="3" t="n">
        <v>36.590311</v>
      </c>
      <c r="I2505" s="3" t="n">
        <v>39.471925</v>
      </c>
      <c r="J2505" s="3" t="n">
        <v>35.217756</v>
      </c>
      <c r="K2505" s="3" t="n">
        <v>47.609873</v>
      </c>
      <c r="L2505" s="3" t="n">
        <v>38.793288</v>
      </c>
      <c r="M2505" s="3" t="n">
        <v>37.940255</v>
      </c>
      <c r="N2505" s="3" t="n">
        <v>39.79965</v>
      </c>
      <c r="O2505" s="3" t="n">
        <v>33.036183</v>
      </c>
      <c r="P2505" s="3" t="n">
        <v>50.561541</v>
      </c>
      <c r="Q2505" s="3" t="n">
        <v>36.596789</v>
      </c>
      <c r="R2505" s="3" t="n">
        <v>33.733024</v>
      </c>
      <c r="S2505" s="3" t="n">
        <v>39.537396</v>
      </c>
      <c r="T2505" s="3" t="n">
        <v>47.563243</v>
      </c>
      <c r="U2505" s="3" t="n">
        <v>45.667668</v>
      </c>
      <c r="V2505" s="3" t="n">
        <v>57.006657</v>
      </c>
      <c r="W2505" s="3" t="n">
        <v>30.935081</v>
      </c>
      <c r="X2505" s="3" t="n">
        <v>27.843063</v>
      </c>
      <c r="Y2505" s="3" t="n">
        <v>31.155819</v>
      </c>
      <c r="Z2505" s="3" t="n">
        <v>33.463064</v>
      </c>
      <c r="AA2505" s="3" t="n">
        <v>32.56589</v>
      </c>
      <c r="AB2505" s="3" t="n">
        <v>29.611525</v>
      </c>
      <c r="AC2505" s="3" t="n">
        <v>34.724378</v>
      </c>
      <c r="AD2505" s="3" t="n">
        <v>32.226215</v>
      </c>
      <c r="AE2505" s="3" t="n">
        <v>26.739821</v>
      </c>
      <c r="AF2505" s="3" t="n">
        <v>26.077346</v>
      </c>
      <c r="AG2505" s="3" t="n">
        <v>25.547546</v>
      </c>
      <c r="AH2505" s="3" t="n">
        <v>23.681212</v>
      </c>
      <c r="AI2505" s="3" t="n">
        <v>23.221569</v>
      </c>
      <c r="AJ2505" s="3" t="n">
        <v>26.310968</v>
      </c>
      <c r="AK2505" s="3" t="n">
        <v>28.078445</v>
      </c>
      <c r="AL2505" s="3" t="n">
        <v>28.833336</v>
      </c>
      <c r="AM2505" s="3" t="n"/>
      <c r="AN2505" s="3" t="n"/>
      <c r="AO2505" s="3" t="n"/>
      <c r="AP2505" s="3" t="n"/>
      <c r="AQ2505" s="3" t="n"/>
      <c r="AR2505" s="3" t="n"/>
      <c r="AS2505" s="3" t="n"/>
      <c r="AT2505" s="3" t="n"/>
      <c r="AU2505" s="3" t="n"/>
    </row>
    <row r="2506">
      <c r="A2506" s="3" t="n">
        <v>2031</v>
      </c>
      <c r="B2506" s="3" t="inlineStr">
        <is>
          <t>QAT</t>
        </is>
      </c>
      <c r="C2506" s="3" t="inlineStr">
        <is>
          <t>IMF.RES:WEO</t>
        </is>
      </c>
      <c r="D2506" s="3" t="inlineStr">
        <is>
          <t>QAT.GGX_NGDP.A</t>
        </is>
      </c>
      <c r="E2506" s="3" t="inlineStr">
        <is>
          <t>Qatar</t>
        </is>
      </c>
      <c r="F2506" s="3" t="inlineStr">
        <is>
          <t>Expenditure, General government, Percent of GDP</t>
        </is>
      </c>
      <c r="G2506" s="3" t="n">
        <v>29.785493</v>
      </c>
      <c r="H2506" s="3" t="n">
        <v>32.109744</v>
      </c>
      <c r="I2506" s="3" t="n">
        <v>31.581022</v>
      </c>
      <c r="J2506" s="3" t="n">
        <v>28.50718</v>
      </c>
      <c r="K2506" s="3" t="n">
        <v>29.918817</v>
      </c>
      <c r="L2506" s="3" t="n">
        <v>28.989897</v>
      </c>
      <c r="M2506" s="3" t="n">
        <v>29.545325</v>
      </c>
      <c r="N2506" s="3" t="n">
        <v>29.456309</v>
      </c>
      <c r="O2506" s="3" t="n">
        <v>23.547406</v>
      </c>
      <c r="P2506" s="3" t="n">
        <v>36.432188</v>
      </c>
      <c r="Q2506" s="3" t="n">
        <v>31.996668</v>
      </c>
      <c r="R2506" s="3" t="n">
        <v>28.497369</v>
      </c>
      <c r="S2506" s="3" t="n">
        <v>30.983617</v>
      </c>
      <c r="T2506" s="3" t="n">
        <v>28.293233</v>
      </c>
      <c r="U2506" s="3" t="n">
        <v>32.315249</v>
      </c>
      <c r="V2506" s="3" t="n">
        <v>38.559585</v>
      </c>
      <c r="W2506" s="3" t="n">
        <v>40.138148</v>
      </c>
      <c r="X2506" s="3" t="n">
        <v>34.66314</v>
      </c>
      <c r="Y2506" s="3" t="n">
        <v>28.896098</v>
      </c>
      <c r="Z2506" s="3" t="n">
        <v>32.464351</v>
      </c>
      <c r="AA2506" s="3" t="n">
        <v>34.699409</v>
      </c>
      <c r="AB2506" s="3" t="n">
        <v>29.368337</v>
      </c>
      <c r="AC2506" s="3" t="n">
        <v>24.33431</v>
      </c>
      <c r="AD2506" s="3" t="n">
        <v>26.719494</v>
      </c>
      <c r="AE2506" s="3" t="n">
        <v>26.031649</v>
      </c>
      <c r="AF2506" s="3" t="n">
        <v>27.079264</v>
      </c>
      <c r="AG2506" s="3" t="n">
        <v>28.980334</v>
      </c>
      <c r="AH2506" s="3" t="n">
        <v>28.496031</v>
      </c>
      <c r="AI2506" s="3" t="n">
        <v>27.888466</v>
      </c>
      <c r="AJ2506" s="3" t="n">
        <v>26.704355</v>
      </c>
      <c r="AK2506" s="3" t="n">
        <v>26.23494</v>
      </c>
      <c r="AL2506" s="3" t="n">
        <v>25.972454</v>
      </c>
      <c r="AM2506" s="3" t="n"/>
      <c r="AN2506" s="3" t="n"/>
      <c r="AO2506" s="3" t="n"/>
      <c r="AP2506" s="3" t="n"/>
      <c r="AQ2506" s="3" t="n"/>
      <c r="AR2506" s="3" t="n"/>
      <c r="AS2506" s="3" t="n"/>
      <c r="AT2506" s="3" t="n"/>
      <c r="AU2506" s="3" t="n"/>
    </row>
    <row r="2507">
      <c r="A2507" s="3" t="n">
        <v>2031</v>
      </c>
      <c r="B2507" s="3" t="inlineStr">
        <is>
          <t>QAT</t>
        </is>
      </c>
      <c r="C2507" s="3" t="inlineStr">
        <is>
          <t>IMF.RES:WEO</t>
        </is>
      </c>
      <c r="D2507" s="3" t="inlineStr">
        <is>
          <t>QAT.LP.A</t>
        </is>
      </c>
      <c r="E2507" s="3" t="inlineStr">
        <is>
          <t>Qatar</t>
        </is>
      </c>
      <c r="F2507" s="3" t="inlineStr">
        <is>
          <t>Population, Persons for countries / Index for country groups</t>
        </is>
      </c>
      <c r="G2507" s="3" t="n">
        <v>0.593693</v>
      </c>
      <c r="H2507" s="3" t="n">
        <v>0.611808</v>
      </c>
      <c r="I2507" s="3" t="n">
        <v>0.629745</v>
      </c>
      <c r="J2507" s="3" t="n">
        <v>0.660238</v>
      </c>
      <c r="K2507" s="3" t="n">
        <v>0.720383</v>
      </c>
      <c r="L2507" s="3" t="n">
        <v>0.821159</v>
      </c>
      <c r="M2507" s="3" t="n">
        <v>0.967602</v>
      </c>
      <c r="N2507" s="3" t="n">
        <v>1.152459</v>
      </c>
      <c r="O2507" s="3" t="n">
        <v>1.553729</v>
      </c>
      <c r="P2507" s="3" t="n">
        <v>1.638626</v>
      </c>
      <c r="Q2507" s="3" t="n">
        <v>1.715098</v>
      </c>
      <c r="R2507" s="3" t="n">
        <v>1.732717</v>
      </c>
      <c r="S2507" s="3" t="n">
        <v>1.832903</v>
      </c>
      <c r="T2507" s="3" t="n">
        <v>2.0037</v>
      </c>
      <c r="U2507" s="3" t="n">
        <v>2.21618</v>
      </c>
      <c r="V2507" s="3" t="n">
        <v>2.43779</v>
      </c>
      <c r="W2507" s="3" t="n">
        <v>2.617634</v>
      </c>
      <c r="X2507" s="3" t="n">
        <v>2.724606</v>
      </c>
      <c r="Y2507" s="3" t="n">
        <v>2.76017</v>
      </c>
      <c r="Z2507" s="3" t="n">
        <v>2.799202</v>
      </c>
      <c r="AA2507" s="3" t="n">
        <v>2.833679</v>
      </c>
      <c r="AB2507" s="3" t="n">
        <v>2.748162</v>
      </c>
      <c r="AC2507" s="3" t="n">
        <v>2.932241</v>
      </c>
      <c r="AD2507" s="3" t="n">
        <v>3.063005</v>
      </c>
      <c r="AE2507" s="3" t="n">
        <v>3.143491</v>
      </c>
      <c r="AF2507" s="3" t="n">
        <v>3.174926</v>
      </c>
      <c r="AG2507" s="3" t="n">
        <v>3.190801</v>
      </c>
      <c r="AH2507" s="3" t="n">
        <v>3.206755</v>
      </c>
      <c r="AI2507" s="3" t="n">
        <v>3.222788</v>
      </c>
      <c r="AJ2507" s="3" t="n">
        <v>3.238902</v>
      </c>
      <c r="AK2507" s="3" t="n">
        <v>3.255097</v>
      </c>
      <c r="AL2507" s="3" t="n">
        <v>3.271372</v>
      </c>
      <c r="AM2507" s="3" t="n"/>
      <c r="AN2507" s="3" t="n"/>
      <c r="AO2507" s="3" t="n"/>
      <c r="AP2507" s="3" t="n"/>
      <c r="AQ2507" s="3" t="n"/>
      <c r="AR2507" s="3" t="n"/>
      <c r="AS2507" s="3" t="n"/>
      <c r="AT2507" s="3" t="n"/>
      <c r="AU2507" s="3" t="n"/>
    </row>
    <row r="2508">
      <c r="A2508" s="3" t="n">
        <v>2031</v>
      </c>
      <c r="B2508" s="3" t="inlineStr">
        <is>
          <t>QAT</t>
        </is>
      </c>
      <c r="C2508" s="3" t="inlineStr">
        <is>
          <t>IMF.RES:WEO</t>
        </is>
      </c>
      <c r="D2508" s="3" t="inlineStr">
        <is>
          <t>QAT.NGDP.A</t>
        </is>
      </c>
      <c r="E2508" s="3" t="inlineStr">
        <is>
          <t>Qatar</t>
        </is>
      </c>
      <c r="F2508" s="3" t="inlineStr">
        <is>
          <t>Gross domestic product (GDP), Current prices, Domestic currency</t>
        </is>
      </c>
      <c r="G2508" s="3" t="n">
        <v>65.828187</v>
      </c>
      <c r="H2508" s="3" t="n">
        <v>63.691725</v>
      </c>
      <c r="I2508" s="3" t="n">
        <v>70.375336</v>
      </c>
      <c r="J2508" s="3" t="n">
        <v>86.324744</v>
      </c>
      <c r="K2508" s="3" t="n">
        <v>111.569417</v>
      </c>
      <c r="L2508" s="3" t="n">
        <v>162.476433</v>
      </c>
      <c r="M2508" s="3" t="n">
        <v>213.408554</v>
      </c>
      <c r="N2508" s="3" t="n">
        <v>276.591</v>
      </c>
      <c r="O2508" s="3" t="n">
        <v>409.942181</v>
      </c>
      <c r="P2508" s="3" t="n">
        <v>321.032047</v>
      </c>
      <c r="Q2508" s="3" t="n">
        <v>435.734271</v>
      </c>
      <c r="R2508" s="3" t="n">
        <v>610.702</v>
      </c>
      <c r="S2508" s="3" t="n">
        <v>680.074</v>
      </c>
      <c r="T2508" s="3" t="n">
        <v>723.369</v>
      </c>
      <c r="U2508" s="3" t="n">
        <v>750.658</v>
      </c>
      <c r="V2508" s="3" t="n">
        <v>588.7329999999999</v>
      </c>
      <c r="W2508" s="3" t="n">
        <v>552.3049999999999</v>
      </c>
      <c r="X2508" s="3" t="n">
        <v>586.401</v>
      </c>
      <c r="Y2508" s="3" t="n">
        <v>667.339232</v>
      </c>
      <c r="Z2508" s="3" t="n">
        <v>641.991414</v>
      </c>
      <c r="AA2508" s="3" t="n">
        <v>525.657363</v>
      </c>
      <c r="AB2508" s="3" t="n">
        <v>654.225</v>
      </c>
      <c r="AC2508" s="3" t="n">
        <v>857.982</v>
      </c>
      <c r="AD2508" s="3" t="n">
        <v>791.003</v>
      </c>
      <c r="AE2508" s="3" t="n">
        <v>797.752</v>
      </c>
      <c r="AF2508" s="3" t="n">
        <v>805.274484</v>
      </c>
      <c r="AG2508" s="3" t="n">
        <v>791.393265</v>
      </c>
      <c r="AH2508" s="3" t="n">
        <v>862.774739</v>
      </c>
      <c r="AI2508" s="3" t="n">
        <v>913.62733</v>
      </c>
      <c r="AJ2508" s="3" t="n">
        <v>988.108618</v>
      </c>
      <c r="AK2508" s="3" t="n">
        <v>1051.528728</v>
      </c>
      <c r="AL2508" s="3" t="n">
        <v>1110.191825</v>
      </c>
      <c r="AM2508" s="3" t="n"/>
      <c r="AN2508" s="3" t="n"/>
      <c r="AO2508" s="3" t="n"/>
      <c r="AP2508" s="3" t="n"/>
      <c r="AQ2508" s="3" t="n"/>
      <c r="AR2508" s="3" t="n"/>
      <c r="AS2508" s="3" t="n"/>
      <c r="AT2508" s="3" t="n"/>
      <c r="AU2508" s="3" t="n"/>
    </row>
    <row r="2509">
      <c r="A2509" s="3" t="n">
        <v>2031</v>
      </c>
      <c r="B2509" s="3" t="inlineStr">
        <is>
          <t>QAT</t>
        </is>
      </c>
      <c r="C2509" s="3" t="inlineStr">
        <is>
          <t>IMF.RES:WEO</t>
        </is>
      </c>
      <c r="D2509" s="3" t="inlineStr">
        <is>
          <t>QAT.NGDP_D.A</t>
        </is>
      </c>
      <c r="E2509" s="3" t="inlineStr">
        <is>
          <t>Qatar</t>
        </is>
      </c>
      <c r="F2509" s="3" t="inlineStr">
        <is>
          <t>Gross domestic product (GDP), Price deflator, Index</t>
        </is>
      </c>
      <c r="G2509" s="3" t="n">
        <v>48.642607</v>
      </c>
      <c r="H2509" s="3" t="n">
        <v>45.037403</v>
      </c>
      <c r="I2509" s="3" t="n">
        <v>46.56303</v>
      </c>
      <c r="J2509" s="3" t="n">
        <v>54.925857</v>
      </c>
      <c r="K2509" s="3" t="n">
        <v>59.5416</v>
      </c>
      <c r="L2509" s="3" t="n">
        <v>80.441281</v>
      </c>
      <c r="M2509" s="3" t="n">
        <v>82.491815</v>
      </c>
      <c r="N2509" s="3" t="n">
        <v>90.45947</v>
      </c>
      <c r="O2509" s="3" t="n">
        <v>114.109621</v>
      </c>
      <c r="P2509" s="3" t="n">
        <v>79.036751</v>
      </c>
      <c r="Q2509" s="3" t="n">
        <v>91.108107</v>
      </c>
      <c r="R2509" s="3" t="n">
        <v>114.725464</v>
      </c>
      <c r="S2509" s="3" t="n">
        <v>121.987462</v>
      </c>
      <c r="T2509" s="3" t="n">
        <v>122.923683</v>
      </c>
      <c r="U2509" s="3" t="n">
        <v>121.101021</v>
      </c>
      <c r="V2509" s="3" t="n">
        <v>90.668463</v>
      </c>
      <c r="W2509" s="3" t="n">
        <v>82.529538</v>
      </c>
      <c r="X2509" s="3" t="n">
        <v>88.956597</v>
      </c>
      <c r="Y2509" s="3" t="n">
        <v>100.000035</v>
      </c>
      <c r="Z2509" s="3" t="n">
        <v>95.544105</v>
      </c>
      <c r="AA2509" s="3" t="n">
        <v>81.11645799999999</v>
      </c>
      <c r="AB2509" s="3" t="n">
        <v>99.340086</v>
      </c>
      <c r="AC2509" s="3" t="n">
        <v>125.046201</v>
      </c>
      <c r="AD2509" s="3" t="n">
        <v>113.536157</v>
      </c>
      <c r="AE2509" s="3" t="n">
        <v>111.865025</v>
      </c>
      <c r="AF2509" s="3" t="n">
        <v>109.846416</v>
      </c>
      <c r="AG2509" s="3" t="n">
        <v>118.169504</v>
      </c>
      <c r="AH2509" s="3" t="n">
        <v>118.637236</v>
      </c>
      <c r="AI2509" s="3" t="n">
        <v>118.702883</v>
      </c>
      <c r="AJ2509" s="3" t="n">
        <v>119.05022</v>
      </c>
      <c r="AK2509" s="3" t="n">
        <v>119.611864</v>
      </c>
      <c r="AL2509" s="3" t="n">
        <v>120.297357</v>
      </c>
      <c r="AM2509" s="3" t="n"/>
      <c r="AN2509" s="3" t="n"/>
      <c r="AO2509" s="3" t="n"/>
      <c r="AP2509" s="3" t="n"/>
      <c r="AQ2509" s="3" t="n"/>
      <c r="AR2509" s="3" t="n"/>
      <c r="AS2509" s="3" t="n"/>
      <c r="AT2509" s="3" t="n"/>
      <c r="AU2509" s="3" t="n"/>
    </row>
    <row r="2510">
      <c r="A2510" s="3" t="n">
        <v>2031</v>
      </c>
      <c r="B2510" s="3" t="inlineStr">
        <is>
          <t>QAT</t>
        </is>
      </c>
      <c r="C2510" s="3" t="inlineStr">
        <is>
          <t>IMF.RES:WEO</t>
        </is>
      </c>
      <c r="D2510" s="3" t="inlineStr">
        <is>
          <t>QAT.NGDP_R.A</t>
        </is>
      </c>
      <c r="E2510" s="3" t="inlineStr">
        <is>
          <t>Qatar</t>
        </is>
      </c>
      <c r="F2510" s="3" t="inlineStr">
        <is>
          <t>Gross domestic product (GDP), Constant prices, Domestic currency</t>
        </is>
      </c>
      <c r="G2510" s="3" t="n">
        <v>135.330303</v>
      </c>
      <c r="H2510" s="3" t="n">
        <v>141.419623</v>
      </c>
      <c r="I2510" s="3" t="n">
        <v>151.139939</v>
      </c>
      <c r="J2510" s="3" t="n">
        <v>157.165947</v>
      </c>
      <c r="K2510" s="3" t="n">
        <v>187.380617</v>
      </c>
      <c r="L2510" s="3" t="n">
        <v>201.981409</v>
      </c>
      <c r="M2510" s="3" t="n">
        <v>258.702703</v>
      </c>
      <c r="N2510" s="3" t="n">
        <v>305.76235</v>
      </c>
      <c r="O2510" s="3" t="n">
        <v>359.25295</v>
      </c>
      <c r="P2510" s="3" t="n">
        <v>406.180726</v>
      </c>
      <c r="Q2510" s="3" t="n">
        <v>478.260701</v>
      </c>
      <c r="R2510" s="3" t="n">
        <v>532.316</v>
      </c>
      <c r="S2510" s="3" t="n">
        <v>557.495</v>
      </c>
      <c r="T2510" s="3" t="n">
        <v>588.47</v>
      </c>
      <c r="U2510" s="3" t="n">
        <v>619.861</v>
      </c>
      <c r="V2510" s="3" t="n">
        <v>649.325</v>
      </c>
      <c r="W2510" s="3" t="n">
        <v>669.221</v>
      </c>
      <c r="X2510" s="3" t="n">
        <v>659.199</v>
      </c>
      <c r="Y2510" s="3" t="n">
        <v>667.3390000000001</v>
      </c>
      <c r="Z2510" s="3" t="n">
        <v>671.932</v>
      </c>
      <c r="AA2510" s="3" t="n">
        <v>648.028</v>
      </c>
      <c r="AB2510" s="3" t="n">
        <v>658.571</v>
      </c>
      <c r="AC2510" s="3" t="n">
        <v>686.1319999999999</v>
      </c>
      <c r="AD2510" s="3" t="n">
        <v>696.697</v>
      </c>
      <c r="AE2510" s="3" t="n">
        <v>713.138</v>
      </c>
      <c r="AF2510" s="3" t="n">
        <v>733.09127</v>
      </c>
      <c r="AG2510" s="3" t="n">
        <v>669.710235</v>
      </c>
      <c r="AH2510" s="3" t="n">
        <v>727.2377300000001</v>
      </c>
      <c r="AI2510" s="3" t="n">
        <v>769.6757679999999</v>
      </c>
      <c r="AJ2510" s="3" t="n">
        <v>829.993103</v>
      </c>
      <c r="AK2510" s="3" t="n">
        <v>879.1174150000001</v>
      </c>
      <c r="AL2510" s="3" t="n">
        <v>922.8729949999999</v>
      </c>
      <c r="AM2510" s="3" t="n"/>
      <c r="AN2510" s="3" t="n"/>
      <c r="AO2510" s="3" t="n"/>
      <c r="AP2510" s="3" t="n"/>
      <c r="AQ2510" s="3" t="n"/>
      <c r="AR2510" s="3" t="n"/>
      <c r="AS2510" s="3" t="n"/>
      <c r="AT2510" s="3" t="n"/>
      <c r="AU2510" s="3" t="n"/>
    </row>
    <row r="2511">
      <c r="A2511" s="3" t="n">
        <v>2031</v>
      </c>
      <c r="B2511" s="3" t="inlineStr">
        <is>
          <t>QAT</t>
        </is>
      </c>
      <c r="C2511" s="3" t="inlineStr">
        <is>
          <t>IMF.RES:WEO</t>
        </is>
      </c>
      <c r="D2511" s="3" t="inlineStr">
        <is>
          <t>QAT.NGDP_RPCH.A</t>
        </is>
      </c>
      <c r="E2511" s="3" t="inlineStr">
        <is>
          <t>Qatar</t>
        </is>
      </c>
      <c r="F2511" s="3" t="inlineStr">
        <is>
          <t>Gross domestic product (GDP), Constant prices, Percent change</t>
        </is>
      </c>
      <c r="G2511" s="3" t="n">
        <v>6.945757</v>
      </c>
      <c r="H2511" s="3" t="n">
        <v>4.499598</v>
      </c>
      <c r="I2511" s="3" t="n">
        <v>6.873386</v>
      </c>
      <c r="J2511" s="3" t="n">
        <v>3.987039</v>
      </c>
      <c r="K2511" s="3" t="n">
        <v>19.224692</v>
      </c>
      <c r="L2511" s="3" t="n">
        <v>7.79205</v>
      </c>
      <c r="M2511" s="3" t="n">
        <v>28.082433</v>
      </c>
      <c r="N2511" s="3" t="n">
        <v>18.190628</v>
      </c>
      <c r="O2511" s="3" t="n">
        <v>17.494175</v>
      </c>
      <c r="P2511" s="3" t="n">
        <v>13.0626</v>
      </c>
      <c r="Q2511" s="3" t="n">
        <v>17.745789</v>
      </c>
      <c r="R2511" s="3" t="n">
        <v>11.302476</v>
      </c>
      <c r="S2511" s="3" t="n">
        <v>4.730085</v>
      </c>
      <c r="T2511" s="3" t="n">
        <v>5.556104</v>
      </c>
      <c r="U2511" s="3" t="n">
        <v>5.334342</v>
      </c>
      <c r="V2511" s="3" t="n">
        <v>4.753324</v>
      </c>
      <c r="W2511" s="3" t="n">
        <v>3.064105</v>
      </c>
      <c r="X2511" s="3" t="n">
        <v>-1.497562</v>
      </c>
      <c r="Y2511" s="3" t="n">
        <v>1.234832</v>
      </c>
      <c r="Z2511" s="3" t="n">
        <v>0.688256</v>
      </c>
      <c r="AA2511" s="3" t="n">
        <v>-3.557503</v>
      </c>
      <c r="AB2511" s="3" t="n">
        <v>1.626936</v>
      </c>
      <c r="AC2511" s="3" t="n">
        <v>4.18497</v>
      </c>
      <c r="AD2511" s="3" t="n">
        <v>1.539791</v>
      </c>
      <c r="AE2511" s="3" t="n">
        <v>2.359849</v>
      </c>
      <c r="AF2511" s="3" t="n">
        <v>2.797954</v>
      </c>
      <c r="AG2511" s="3" t="n">
        <v>-8.645721999999999</v>
      </c>
      <c r="AH2511" s="3" t="n">
        <v>8.589907999999999</v>
      </c>
      <c r="AI2511" s="3" t="n">
        <v>5.835511</v>
      </c>
      <c r="AJ2511" s="3" t="n">
        <v>7.83672</v>
      </c>
      <c r="AK2511" s="3" t="n">
        <v>5.918641</v>
      </c>
      <c r="AL2511" s="3" t="n">
        <v>4.977217</v>
      </c>
      <c r="AM2511" s="3" t="n"/>
      <c r="AN2511" s="3" t="n"/>
      <c r="AO2511" s="3" t="n"/>
      <c r="AP2511" s="3" t="n"/>
      <c r="AQ2511" s="3" t="n"/>
      <c r="AR2511" s="3" t="n"/>
      <c r="AS2511" s="3" t="n"/>
      <c r="AT2511" s="3" t="n"/>
      <c r="AU2511" s="3" t="n"/>
    </row>
    <row r="2512">
      <c r="A2512" s="3" t="n">
        <v>2031</v>
      </c>
      <c r="B2512" s="3" t="inlineStr">
        <is>
          <t>QAT</t>
        </is>
      </c>
      <c r="C2512" s="3" t="inlineStr">
        <is>
          <t>IMF.RES:WEO</t>
        </is>
      </c>
      <c r="D2512" s="3" t="inlineStr">
        <is>
          <t>QAT.NGDPD.A</t>
        </is>
      </c>
      <c r="E2512" s="3" t="inlineStr">
        <is>
          <t>Qatar</t>
        </is>
      </c>
      <c r="F2512" s="3" t="inlineStr">
        <is>
          <t>Gross domestic product (GDP), Current prices, US dollar</t>
        </is>
      </c>
      <c r="G2512" s="3" t="n">
        <v>18.084667</v>
      </c>
      <c r="H2512" s="3" t="n">
        <v>17.497727</v>
      </c>
      <c r="I2512" s="3" t="n">
        <v>19.333883</v>
      </c>
      <c r="J2512" s="3" t="n">
        <v>23.715589</v>
      </c>
      <c r="K2512" s="3" t="n">
        <v>30.650939</v>
      </c>
      <c r="L2512" s="3" t="n">
        <v>44.636383</v>
      </c>
      <c r="M2512" s="3" t="n">
        <v>58.628724</v>
      </c>
      <c r="N2512" s="3" t="n">
        <v>75.986538</v>
      </c>
      <c r="O2512" s="3" t="n">
        <v>112.621478</v>
      </c>
      <c r="P2512" s="3" t="n">
        <v>88.195617</v>
      </c>
      <c r="Q2512" s="3" t="n">
        <v>119.707217</v>
      </c>
      <c r="R2512" s="3" t="n">
        <v>167.775275</v>
      </c>
      <c r="S2512" s="3" t="n">
        <v>186.833516</v>
      </c>
      <c r="T2512" s="3" t="n">
        <v>198.727747</v>
      </c>
      <c r="U2512" s="3" t="n">
        <v>206.224725</v>
      </c>
      <c r="V2512" s="3" t="n">
        <v>161.739835</v>
      </c>
      <c r="W2512" s="3" t="n">
        <v>151.732143</v>
      </c>
      <c r="X2512" s="3" t="n">
        <v>161.099176</v>
      </c>
      <c r="Y2512" s="3" t="n">
        <v>183.334954</v>
      </c>
      <c r="Z2512" s="3" t="n">
        <v>176.371268</v>
      </c>
      <c r="AA2512" s="3" t="n">
        <v>144.411363</v>
      </c>
      <c r="AB2512" s="3" t="n">
        <v>179.732143</v>
      </c>
      <c r="AC2512" s="3" t="n">
        <v>235.709341</v>
      </c>
      <c r="AD2512" s="3" t="n">
        <v>217.308516</v>
      </c>
      <c r="AE2512" s="3" t="n">
        <v>219.162637</v>
      </c>
      <c r="AF2512" s="3" t="n">
        <v>221.229254</v>
      </c>
      <c r="AG2512" s="3" t="n">
        <v>217.415732</v>
      </c>
      <c r="AH2512" s="3" t="n">
        <v>237.026027</v>
      </c>
      <c r="AI2512" s="3" t="n">
        <v>250.996519</v>
      </c>
      <c r="AJ2512" s="3" t="n">
        <v>271.458411</v>
      </c>
      <c r="AK2512" s="3" t="n">
        <v>288.881519</v>
      </c>
      <c r="AL2512" s="3" t="n">
        <v>304.997754</v>
      </c>
      <c r="AM2512" s="3" t="n"/>
      <c r="AN2512" s="3" t="n"/>
      <c r="AO2512" s="3" t="n"/>
      <c r="AP2512" s="3" t="n"/>
      <c r="AQ2512" s="3" t="n"/>
      <c r="AR2512" s="3" t="n"/>
      <c r="AS2512" s="3" t="n"/>
      <c r="AT2512" s="3" t="n"/>
      <c r="AU2512" s="3" t="n"/>
    </row>
    <row r="2513">
      <c r="A2513" s="3" t="n">
        <v>2031</v>
      </c>
      <c r="B2513" s="3" t="inlineStr">
        <is>
          <t>QAT</t>
        </is>
      </c>
      <c r="C2513" s="3" t="inlineStr">
        <is>
          <t>IMF.RES:WEO</t>
        </is>
      </c>
      <c r="D2513" s="3" t="inlineStr">
        <is>
          <t>QAT.NGDPPC.A</t>
        </is>
      </c>
      <c r="E2513" s="3" t="inlineStr">
        <is>
          <t>Qatar</t>
        </is>
      </c>
      <c r="F2513" s="3" t="inlineStr">
        <is>
          <t>Gross domestic product (GDP), Current prices, Per capita, Domestic currency</t>
        </is>
      </c>
      <c r="G2513" s="3" t="n">
        <v>110879.170613</v>
      </c>
      <c r="H2513" s="3" t="n">
        <v>104104.106359</v>
      </c>
      <c r="I2513" s="3" t="n">
        <v>111752.115105</v>
      </c>
      <c r="J2513" s="3" t="n">
        <v>130747.917938</v>
      </c>
      <c r="K2513" s="3" t="n">
        <v>154875.138206</v>
      </c>
      <c r="L2513" s="3" t="n">
        <v>197862.329636</v>
      </c>
      <c r="M2513" s="3" t="n">
        <v>220554.064764</v>
      </c>
      <c r="N2513" s="3" t="n">
        <v>240000.728633</v>
      </c>
      <c r="O2513" s="3" t="n">
        <v>263844.06881</v>
      </c>
      <c r="P2513" s="3" t="n">
        <v>195915.387328</v>
      </c>
      <c r="Q2513" s="3" t="n">
        <v>254057.943643</v>
      </c>
      <c r="R2513" s="3" t="n">
        <v>352453.401219</v>
      </c>
      <c r="S2513" s="3" t="n">
        <v>371036.546942</v>
      </c>
      <c r="T2513" s="3" t="n">
        <v>361016.619254</v>
      </c>
      <c r="U2513" s="3" t="n">
        <v>338717.071718</v>
      </c>
      <c r="V2513" s="3" t="n">
        <v>241502.754544</v>
      </c>
      <c r="W2513" s="3" t="n">
        <v>210993.973947</v>
      </c>
      <c r="X2513" s="3" t="n">
        <v>215224.14617</v>
      </c>
      <c r="Y2513" s="3" t="n">
        <v>241774.684849</v>
      </c>
      <c r="Z2513" s="3" t="n">
        <v>229348.012179</v>
      </c>
      <c r="AA2513" s="3" t="n">
        <v>185503.496542</v>
      </c>
      <c r="AB2513" s="3" t="n">
        <v>238059.110052</v>
      </c>
      <c r="AC2513" s="3" t="n">
        <v>292602.824938</v>
      </c>
      <c r="AD2513" s="3" t="n">
        <v>258244.109951</v>
      </c>
      <c r="AE2513" s="3" t="n">
        <v>253778.999208</v>
      </c>
      <c r="AF2513" s="3" t="n">
        <v>253635.67745</v>
      </c>
      <c r="AG2513" s="3" t="n">
        <v>248023.420747</v>
      </c>
      <c r="AH2513" s="3" t="n">
        <v>269049.198335</v>
      </c>
      <c r="AI2513" s="3" t="n">
        <v>283489.711488</v>
      </c>
      <c r="AJ2513" s="3" t="n">
        <v>305075.158025</v>
      </c>
      <c r="AK2513" s="3" t="n">
        <v>323040.69669</v>
      </c>
      <c r="AL2513" s="3" t="n">
        <v>339365.788957</v>
      </c>
      <c r="AM2513" s="3" t="n"/>
      <c r="AN2513" s="3" t="n"/>
      <c r="AO2513" s="3" t="n"/>
      <c r="AP2513" s="3" t="n"/>
      <c r="AQ2513" s="3" t="n"/>
      <c r="AR2513" s="3" t="n"/>
      <c r="AS2513" s="3" t="n"/>
      <c r="AT2513" s="3" t="n"/>
      <c r="AU2513" s="3" t="n"/>
    </row>
    <row r="2514">
      <c r="A2514" s="3" t="n">
        <v>2031</v>
      </c>
      <c r="B2514" s="3" t="inlineStr">
        <is>
          <t>QAT</t>
        </is>
      </c>
      <c r="C2514" s="3" t="inlineStr">
        <is>
          <t>IMF.RES:WEO</t>
        </is>
      </c>
      <c r="D2514" s="3" t="inlineStr">
        <is>
          <t>QAT.NGDPRPC.A</t>
        </is>
      </c>
      <c r="E2514" s="3" t="inlineStr">
        <is>
          <t>Qatar</t>
        </is>
      </c>
      <c r="F2514" s="3" t="inlineStr">
        <is>
          <t>Gross domestic product (GDP), Constant prices, Per capita, Domestic currency</t>
        </is>
      </c>
      <c r="G2514" s="3" t="n">
        <v>227946.603208</v>
      </c>
      <c r="H2514" s="3" t="n">
        <v>231150.332727</v>
      </c>
      <c r="I2514" s="3" t="n">
        <v>240001.809331</v>
      </c>
      <c r="J2514" s="3" t="n">
        <v>238044.382795</v>
      </c>
      <c r="K2514" s="3" t="n">
        <v>260112.491897</v>
      </c>
      <c r="L2514" s="3" t="n">
        <v>245971.132368</v>
      </c>
      <c r="M2514" s="3" t="n">
        <v>267364.787077</v>
      </c>
      <c r="N2514" s="3" t="n">
        <v>265312.995829</v>
      </c>
      <c r="O2514" s="3" t="n">
        <v>231219.826647</v>
      </c>
      <c r="P2514" s="3" t="n">
        <v>247878.848802</v>
      </c>
      <c r="Q2514" s="3" t="n">
        <v>278853.278794</v>
      </c>
      <c r="R2514" s="3" t="n">
        <v>307214.623046</v>
      </c>
      <c r="S2514" s="3" t="n">
        <v>304159.576366</v>
      </c>
      <c r="T2514" s="3" t="n">
        <v>293691.67041</v>
      </c>
      <c r="U2514" s="3" t="n">
        <v>279697.948723</v>
      </c>
      <c r="V2514" s="3" t="n">
        <v>266358.053811</v>
      </c>
      <c r="W2514" s="3" t="n">
        <v>255658.736095</v>
      </c>
      <c r="X2514" s="3" t="n">
        <v>241942.87174</v>
      </c>
      <c r="Y2514" s="3" t="n">
        <v>241774.60084</v>
      </c>
      <c r="Z2514" s="3" t="n">
        <v>240044.126862</v>
      </c>
      <c r="AA2514" s="3" t="n">
        <v>228687.864786</v>
      </c>
      <c r="AB2514" s="3" t="n">
        <v>239640.530653</v>
      </c>
      <c r="AC2514" s="3" t="n">
        <v>233995.773199</v>
      </c>
      <c r="AD2514" s="3" t="n">
        <v>227455.391029</v>
      </c>
      <c r="AE2514" s="3" t="n">
        <v>226861.791556</v>
      </c>
      <c r="AF2514" s="3" t="n">
        <v>230900.276309</v>
      </c>
      <c r="AG2514" s="3" t="n">
        <v>209887.840604</v>
      </c>
      <c r="AH2514" s="3" t="n">
        <v>226783.098184</v>
      </c>
      <c r="AI2514" s="3" t="n">
        <v>238822.936035</v>
      </c>
      <c r="AJ2514" s="3" t="n">
        <v>256257.53326</v>
      </c>
      <c r="AK2514" s="3" t="n">
        <v>270074.125982</v>
      </c>
      <c r="AL2514" s="3" t="n">
        <v>282105.772112</v>
      </c>
      <c r="AM2514" s="3" t="n"/>
      <c r="AN2514" s="3" t="n"/>
      <c r="AO2514" s="3" t="n"/>
      <c r="AP2514" s="3" t="n"/>
      <c r="AQ2514" s="3" t="n"/>
      <c r="AR2514" s="3" t="n"/>
      <c r="AS2514" s="3" t="n"/>
      <c r="AT2514" s="3" t="n"/>
      <c r="AU2514" s="3" t="n"/>
    </row>
    <row r="2515">
      <c r="A2515" s="3" t="n">
        <v>2031</v>
      </c>
      <c r="B2515" s="3" t="inlineStr">
        <is>
          <t>QAT</t>
        </is>
      </c>
      <c r="C2515" s="3" t="inlineStr">
        <is>
          <t>IMF.RES:WEO</t>
        </is>
      </c>
      <c r="D2515" s="3" t="inlineStr">
        <is>
          <t>QAT.PCPI.A</t>
        </is>
      </c>
      <c r="E2515" s="3" t="inlineStr">
        <is>
          <t>Qatar</t>
        </is>
      </c>
      <c r="F2515" s="3" t="inlineStr">
        <is>
          <t>All Items, Consumer price index (CPI), Period average</t>
        </is>
      </c>
      <c r="G2515" s="3" t="n">
        <v>52.07502</v>
      </c>
      <c r="H2515" s="3" t="n">
        <v>52.972865</v>
      </c>
      <c r="I2515" s="3" t="n">
        <v>53.1</v>
      </c>
      <c r="J2515" s="3" t="n">
        <v>54.3</v>
      </c>
      <c r="K2515" s="3" t="n">
        <v>58</v>
      </c>
      <c r="L2515" s="3" t="n">
        <v>63.2</v>
      </c>
      <c r="M2515" s="3" t="n">
        <v>70.59999999999999</v>
      </c>
      <c r="N2515" s="3" t="n">
        <v>80.3</v>
      </c>
      <c r="O2515" s="3" t="n">
        <v>92.40000000000001</v>
      </c>
      <c r="P2515" s="3" t="n">
        <v>87.90000000000001</v>
      </c>
      <c r="Q2515" s="3" t="n">
        <v>85.8</v>
      </c>
      <c r="R2515" s="3" t="n">
        <v>87.5</v>
      </c>
      <c r="S2515" s="3" t="n">
        <v>89.09999999999999</v>
      </c>
      <c r="T2515" s="3" t="n">
        <v>91.90000000000001</v>
      </c>
      <c r="U2515" s="3" t="n">
        <v>95.8</v>
      </c>
      <c r="V2515" s="3" t="n">
        <v>96.7</v>
      </c>
      <c r="W2515" s="3" t="n">
        <v>99.3</v>
      </c>
      <c r="X2515" s="3" t="n">
        <v>99.90000000000001</v>
      </c>
      <c r="Y2515" s="3" t="n">
        <v>100</v>
      </c>
      <c r="Z2515" s="3" t="n">
        <v>99.09999999999999</v>
      </c>
      <c r="AA2515" s="3" t="n">
        <v>96.59999999999999</v>
      </c>
      <c r="AB2515" s="3" t="n">
        <v>98.8</v>
      </c>
      <c r="AC2515" s="3" t="n">
        <v>103.7</v>
      </c>
      <c r="AD2515" s="3" t="n">
        <v>106.9</v>
      </c>
      <c r="AE2515" s="3" t="n">
        <v>108.2</v>
      </c>
      <c r="AF2515" s="3" t="n">
        <v>108.8</v>
      </c>
      <c r="AG2515" s="3" t="n">
        <v>113.015589</v>
      </c>
      <c r="AH2515" s="3" t="n">
        <v>115.815303</v>
      </c>
      <c r="AI2515" s="3" t="n">
        <v>118.187506</v>
      </c>
      <c r="AJ2515" s="3" t="n">
        <v>120.527393</v>
      </c>
      <c r="AK2515" s="3" t="n">
        <v>122.903981</v>
      </c>
      <c r="AL2515" s="3" t="n">
        <v>125.321488</v>
      </c>
      <c r="AM2515" s="3" t="n"/>
      <c r="AN2515" s="3" t="n"/>
      <c r="AO2515" s="3" t="n"/>
      <c r="AP2515" s="3" t="n"/>
      <c r="AQ2515" s="3" t="n"/>
      <c r="AR2515" s="3" t="n"/>
      <c r="AS2515" s="3" t="n"/>
      <c r="AT2515" s="3" t="n"/>
      <c r="AU2515" s="3" t="n"/>
    </row>
    <row r="2516">
      <c r="A2516" s="3" t="n">
        <v>2031</v>
      </c>
      <c r="B2516" s="3" t="inlineStr">
        <is>
          <t>QAT</t>
        </is>
      </c>
      <c r="C2516" s="3" t="inlineStr">
        <is>
          <t>IMF.RES:WEO</t>
        </is>
      </c>
      <c r="D2516" s="3" t="inlineStr">
        <is>
          <t>QAT.PCPIPCH.A</t>
        </is>
      </c>
      <c r="E2516" s="3" t="inlineStr">
        <is>
          <t>Qatar</t>
        </is>
      </c>
      <c r="F2516" s="3" t="inlineStr">
        <is>
          <t>All Items, Consumer price index (CPI), Period average, percent change</t>
        </is>
      </c>
      <c r="G2516" s="3" t="n">
        <v>1.55642</v>
      </c>
      <c r="H2516" s="3" t="n">
        <v>1.724138</v>
      </c>
      <c r="I2516" s="3" t="n">
        <v>0.24</v>
      </c>
      <c r="J2516" s="3" t="n">
        <v>2.259887</v>
      </c>
      <c r="K2516" s="3" t="n">
        <v>6.813996</v>
      </c>
      <c r="L2516" s="3" t="n">
        <v>8.965517</v>
      </c>
      <c r="M2516" s="3" t="n">
        <v>11.708861</v>
      </c>
      <c r="N2516" s="3" t="n">
        <v>13.739377</v>
      </c>
      <c r="O2516" s="3" t="n">
        <v>15.068493</v>
      </c>
      <c r="P2516" s="3" t="n">
        <v>-4.87013</v>
      </c>
      <c r="Q2516" s="3" t="n">
        <v>-2.389078</v>
      </c>
      <c r="R2516" s="3" t="n">
        <v>1.981352</v>
      </c>
      <c r="S2516" s="3" t="n">
        <v>1.828571</v>
      </c>
      <c r="T2516" s="3" t="n">
        <v>3.142536</v>
      </c>
      <c r="U2516" s="3" t="n">
        <v>4.243743</v>
      </c>
      <c r="V2516" s="3" t="n">
        <v>0.939457</v>
      </c>
      <c r="W2516" s="3" t="n">
        <v>2.688728</v>
      </c>
      <c r="X2516" s="3" t="n">
        <v>0.60423</v>
      </c>
      <c r="Y2516" s="3" t="n">
        <v>0.1001</v>
      </c>
      <c r="Z2516" s="3" t="n">
        <v>-0.9</v>
      </c>
      <c r="AA2516" s="3" t="n">
        <v>-2.522704</v>
      </c>
      <c r="AB2516" s="3" t="n">
        <v>2.277433</v>
      </c>
      <c r="AC2516" s="3" t="n">
        <v>4.959514</v>
      </c>
      <c r="AD2516" s="3" t="n">
        <v>3.085824</v>
      </c>
      <c r="AE2516" s="3" t="n">
        <v>1.21609</v>
      </c>
      <c r="AF2516" s="3" t="n">
        <v>0.554529</v>
      </c>
      <c r="AG2516" s="3" t="n">
        <v>3.874623</v>
      </c>
      <c r="AH2516" s="3" t="n">
        <v>2.477281</v>
      </c>
      <c r="AI2516" s="3" t="n">
        <v>2.048264</v>
      </c>
      <c r="AJ2516" s="3" t="n">
        <v>1.979809</v>
      </c>
      <c r="AK2516" s="3" t="n">
        <v>1.971824</v>
      </c>
      <c r="AL2516" s="3" t="n">
        <v>1.966988</v>
      </c>
      <c r="AM2516" s="3" t="n"/>
      <c r="AN2516" s="3" t="n"/>
      <c r="AO2516" s="3" t="n"/>
      <c r="AP2516" s="3" t="n"/>
      <c r="AQ2516" s="3" t="n"/>
      <c r="AR2516" s="3" t="n"/>
      <c r="AS2516" s="3" t="n"/>
      <c r="AT2516" s="3" t="n"/>
      <c r="AU2516" s="3" t="n"/>
    </row>
    <row r="2517">
      <c r="A2517" s="3" t="n">
        <v>2031</v>
      </c>
      <c r="B2517" s="3" t="inlineStr">
        <is>
          <t>QAT</t>
        </is>
      </c>
      <c r="C2517" s="3" t="inlineStr">
        <is>
          <t>IMF.RES:WEO</t>
        </is>
      </c>
      <c r="D2517" s="3" t="inlineStr">
        <is>
          <t>QAT.PPPPC.A</t>
        </is>
      </c>
      <c r="E2517" s="3" t="inlineStr">
        <is>
          <t>Qatar</t>
        </is>
      </c>
      <c r="F2517" s="3" t="inlineStr">
        <is>
          <t>Gross domestic product (GDP), Per capita, purchasing power parity (PPP) international dollar, ICP benchmarks 2017-2021</t>
        </is>
      </c>
      <c r="G2517" s="3" t="n">
        <v>63608.654021</v>
      </c>
      <c r="H2517" s="3" t="n">
        <v>65955.011877</v>
      </c>
      <c r="I2517" s="3" t="n">
        <v>69544.851287</v>
      </c>
      <c r="J2517" s="3" t="n">
        <v>70339.41928</v>
      </c>
      <c r="K2517" s="3" t="n">
        <v>78926.97762400001</v>
      </c>
      <c r="L2517" s="3" t="n">
        <v>76976.459661</v>
      </c>
      <c r="M2517" s="3" t="n">
        <v>86251.919098</v>
      </c>
      <c r="N2517" s="3" t="n">
        <v>87908.875501</v>
      </c>
      <c r="O2517" s="3" t="n">
        <v>78088.306753</v>
      </c>
      <c r="P2517" s="3" t="n">
        <v>84230.747623</v>
      </c>
      <c r="Q2517" s="3" t="n">
        <v>95907.689148</v>
      </c>
      <c r="R2517" s="3" t="n">
        <v>107842.250396</v>
      </c>
      <c r="S2517" s="3" t="n">
        <v>108757.812162</v>
      </c>
      <c r="T2517" s="3" t="n">
        <v>106802.178606</v>
      </c>
      <c r="U2517" s="3" t="n">
        <v>103484.860136</v>
      </c>
      <c r="V2517" s="3" t="n">
        <v>99463.849856</v>
      </c>
      <c r="W2517" s="3" t="n">
        <v>96375.657677</v>
      </c>
      <c r="X2517" s="3" t="n">
        <v>92838.573408</v>
      </c>
      <c r="Y2517" s="3" t="n">
        <v>102879.592254</v>
      </c>
      <c r="Z2517" s="3" t="n">
        <v>101336.789711</v>
      </c>
      <c r="AA2517" s="3" t="n">
        <v>81003.339687</v>
      </c>
      <c r="AB2517" s="3" t="n">
        <v>106491.280609</v>
      </c>
      <c r="AC2517" s="3" t="n">
        <v>111378.559556</v>
      </c>
      <c r="AD2517" s="3" t="n">
        <v>112271.290635</v>
      </c>
      <c r="AE2517" s="3" t="n">
        <v>114758.203003</v>
      </c>
      <c r="AF2517" s="3" t="n">
        <v>120114.447234</v>
      </c>
      <c r="AG2517" s="3" t="n">
        <v>112311.718987</v>
      </c>
      <c r="AH2517" s="3" t="n">
        <v>124017.21101</v>
      </c>
      <c r="AI2517" s="3" t="n">
        <v>132744.919143</v>
      </c>
      <c r="AJ2517" s="3" t="n">
        <v>144968.248262</v>
      </c>
      <c r="AK2517" s="3" t="n">
        <v>155591.93177</v>
      </c>
      <c r="AL2517" s="3" t="n">
        <v>165457.501331</v>
      </c>
      <c r="AM2517" s="3" t="n"/>
      <c r="AN2517" s="3" t="n"/>
      <c r="AO2517" s="3" t="n"/>
      <c r="AP2517" s="3" t="n"/>
      <c r="AQ2517" s="3" t="n"/>
      <c r="AR2517" s="3" t="n"/>
      <c r="AS2517" s="3" t="n"/>
      <c r="AT2517" s="3" t="n"/>
      <c r="AU2517" s="3" t="n"/>
    </row>
    <row r="2518">
      <c r="A2518" s="3" t="n">
        <v>2025</v>
      </c>
      <c r="B2518" s="3" t="inlineStr">
        <is>
          <t>QAT</t>
        </is>
      </c>
      <c r="C2518" s="3" t="inlineStr">
        <is>
          <t>IMF.STA:ER</t>
        </is>
      </c>
      <c r="D2518" s="3" t="inlineStr">
        <is>
          <t>QAT.XDC_USD.PA_RT.A</t>
        </is>
      </c>
      <c r="E2518" s="3" t="inlineStr">
        <is>
          <t>Qatar</t>
        </is>
      </c>
      <c r="F2518" s="3" t="inlineStr">
        <is>
          <t>Domestic currency per US Dollar</t>
        </is>
      </c>
      <c r="G2518" s="3" t="n">
        <v>3.64</v>
      </c>
      <c r="H2518" s="3" t="n">
        <v>3.64</v>
      </c>
      <c r="I2518" s="3" t="n">
        <v>3.64</v>
      </c>
      <c r="J2518" s="3" t="n">
        <v>3.64</v>
      </c>
      <c r="K2518" s="3" t="n">
        <v>3.64</v>
      </c>
      <c r="L2518" s="3" t="n">
        <v>3.64</v>
      </c>
      <c r="M2518" s="3" t="n">
        <v>3.64</v>
      </c>
      <c r="N2518" s="3" t="n">
        <v>3.64</v>
      </c>
      <c r="O2518" s="3" t="n">
        <v>3.64</v>
      </c>
      <c r="P2518" s="3" t="n">
        <v>3.64</v>
      </c>
      <c r="Q2518" s="3" t="n">
        <v>3.64</v>
      </c>
      <c r="R2518" s="3" t="n">
        <v>3.64</v>
      </c>
      <c r="S2518" s="3" t="n">
        <v>3.64</v>
      </c>
      <c r="T2518" s="3" t="n">
        <v>3.64</v>
      </c>
      <c r="U2518" s="3" t="n">
        <v>3.64</v>
      </c>
      <c r="V2518" s="3" t="n">
        <v>3.64</v>
      </c>
      <c r="W2518" s="3" t="n">
        <v>3.64</v>
      </c>
      <c r="X2518" s="3" t="n">
        <v>3.64</v>
      </c>
      <c r="Y2518" s="3" t="n">
        <v>3.64</v>
      </c>
      <c r="Z2518" s="3" t="n">
        <v>3.64</v>
      </c>
      <c r="AA2518" s="3" t="n">
        <v>3.64</v>
      </c>
      <c r="AB2518" s="3" t="n">
        <v>3.64</v>
      </c>
      <c r="AC2518" s="3" t="n">
        <v>3.64</v>
      </c>
      <c r="AD2518" s="3" t="n">
        <v>3.64</v>
      </c>
      <c r="AE2518" s="3" t="n">
        <v>3.64</v>
      </c>
      <c r="AF2518" s="3" t="n">
        <v>3.64</v>
      </c>
      <c r="AG2518" s="3" t="n"/>
      <c r="AH2518" s="3" t="n"/>
      <c r="AI2518" s="3" t="n"/>
      <c r="AJ2518" s="3" t="n"/>
      <c r="AK2518" s="3" t="n"/>
      <c r="AL2518" s="3" t="n"/>
      <c r="AM2518" s="3" t="n"/>
      <c r="AN2518" s="3" t="n"/>
      <c r="AO2518" s="3" t="n"/>
      <c r="AP2518" s="3" t="n"/>
      <c r="AQ2518" s="3" t="n"/>
      <c r="AR2518" s="3" t="n"/>
      <c r="AS2518" s="3" t="n"/>
      <c r="AT2518" s="3" t="n"/>
      <c r="AU2518" s="3" t="n"/>
    </row>
    <row r="2519">
      <c r="A2519" s="3" t="inlineStr">
        <is>
          <t>INDICATOR</t>
        </is>
      </c>
      <c r="B2519" s="3" t="inlineStr">
        <is>
          <t>REU</t>
        </is>
      </c>
      <c r="C2519" s="3" t="inlineStr">
        <is>
          <t>IMF.STA:ER</t>
        </is>
      </c>
      <c r="D2519" s="3" t="inlineStr">
        <is>
          <t>REU.XDC_USD.PA_RT.A</t>
        </is>
      </c>
      <c r="E2519" s="3" t="inlineStr">
        <is>
          <t>Réunion</t>
        </is>
      </c>
      <c r="F2519" s="3" t="inlineStr">
        <is>
          <t>Domestic currency per US Dollar</t>
        </is>
      </c>
      <c r="G2519" s="3" t="n"/>
      <c r="H2519" s="3" t="n"/>
      <c r="I2519" s="3" t="n"/>
      <c r="J2519" s="3" t="n"/>
      <c r="K2519" s="3" t="n"/>
      <c r="L2519" s="3" t="n"/>
      <c r="M2519" s="3" t="n"/>
      <c r="N2519" s="3" t="n"/>
      <c r="O2519" s="3" t="n"/>
      <c r="P2519" s="3" t="n"/>
      <c r="Q2519" s="3" t="n"/>
      <c r="R2519" s="3" t="n"/>
      <c r="S2519" s="3" t="n"/>
      <c r="T2519" s="3" t="n"/>
      <c r="U2519" s="3" t="n"/>
      <c r="V2519" s="3" t="n"/>
      <c r="W2519" s="3" t="n"/>
      <c r="X2519" s="3" t="n"/>
      <c r="Y2519" s="3" t="n"/>
      <c r="Z2519" s="3" t="n"/>
      <c r="AA2519" s="3" t="n"/>
      <c r="AB2519" s="3" t="n"/>
      <c r="AC2519" s="3" t="n"/>
      <c r="AD2519" s="3" t="n"/>
      <c r="AE2519" s="3" t="n"/>
      <c r="AF2519" s="3" t="n"/>
      <c r="AG2519" s="3" t="n"/>
      <c r="AH2519" s="3" t="n"/>
      <c r="AI2519" s="3" t="n"/>
      <c r="AJ2519" s="3" t="n"/>
      <c r="AK2519" s="3" t="n"/>
      <c r="AL2519" s="3" t="n"/>
      <c r="AM2519" s="3" t="n"/>
      <c r="AN2519" s="3" t="n"/>
      <c r="AO2519" s="3" t="n"/>
      <c r="AP2519" s="3" t="n"/>
      <c r="AQ2519" s="3" t="n"/>
      <c r="AR2519" s="3" t="n"/>
      <c r="AS2519" s="3" t="n"/>
      <c r="AT2519" s="3" t="n"/>
      <c r="AU2519" s="3" t="n"/>
    </row>
    <row r="2520">
      <c r="A2520" s="3" t="n">
        <v>2031</v>
      </c>
      <c r="B2520" s="3" t="inlineStr">
        <is>
          <t>ROU</t>
        </is>
      </c>
      <c r="C2520" s="3" t="inlineStr">
        <is>
          <t>IMF.RES:WEO</t>
        </is>
      </c>
      <c r="D2520" s="3" t="inlineStr">
        <is>
          <t>ROU.BCA.A</t>
        </is>
      </c>
      <c r="E2520" s="3" t="inlineStr">
        <is>
          <t>Romania</t>
        </is>
      </c>
      <c r="F2520" s="3" t="inlineStr">
        <is>
          <t>Current account balance (credit less debit), US dollar</t>
        </is>
      </c>
      <c r="G2520" s="3" t="n">
        <v>-0.97207</v>
      </c>
      <c r="H2520" s="3" t="n">
        <v>-1.285237</v>
      </c>
      <c r="I2520" s="3" t="n">
        <v>-1.231212</v>
      </c>
      <c r="J2520" s="3" t="n">
        <v>-2.702796</v>
      </c>
      <c r="K2520" s="3" t="n">
        <v>-5.689513</v>
      </c>
      <c r="L2520" s="3" t="n">
        <v>-8.621332000000001</v>
      </c>
      <c r="M2520" s="3" t="n">
        <v>-12.826622</v>
      </c>
      <c r="N2520" s="3" t="n">
        <v>-23.707954</v>
      </c>
      <c r="O2520" s="3" t="n">
        <v>-24.695692</v>
      </c>
      <c r="P2520" s="3" t="n">
        <v>-8.106033</v>
      </c>
      <c r="Q2520" s="3" t="n">
        <v>-8.736974</v>
      </c>
      <c r="R2520" s="3" t="n">
        <v>-9.097611000000001</v>
      </c>
      <c r="S2520" s="3" t="n">
        <v>-8.317847</v>
      </c>
      <c r="T2520" s="3" t="n">
        <v>-2.12502</v>
      </c>
      <c r="U2520" s="3" t="n">
        <v>-0.641831</v>
      </c>
      <c r="V2520" s="3" t="n">
        <v>-1.152901</v>
      </c>
      <c r="W2520" s="3" t="n">
        <v>-3.864239</v>
      </c>
      <c r="X2520" s="3" t="n">
        <v>-6.701162</v>
      </c>
      <c r="Y2520" s="3" t="n">
        <v>-11.21943</v>
      </c>
      <c r="Z2520" s="3" t="n">
        <v>-12.206978</v>
      </c>
      <c r="AA2520" s="3" t="n">
        <v>-12.792628</v>
      </c>
      <c r="AB2520" s="3" t="n">
        <v>-20.624136</v>
      </c>
      <c r="AC2520" s="3" t="n">
        <v>-28.273414</v>
      </c>
      <c r="AD2520" s="3" t="n">
        <v>-23.249654</v>
      </c>
      <c r="AE2520" s="3" t="n">
        <v>-31.219439</v>
      </c>
      <c r="AF2520" s="3" t="n">
        <v>-34.023701</v>
      </c>
      <c r="AG2520" s="3" t="n">
        <v>-32.527887</v>
      </c>
      <c r="AH2520" s="3" t="n">
        <v>-31.928187</v>
      </c>
      <c r="AI2520" s="3" t="n">
        <v>-30.810168</v>
      </c>
      <c r="AJ2520" s="3" t="n">
        <v>-31.00573</v>
      </c>
      <c r="AK2520" s="3" t="n">
        <v>-31.047068</v>
      </c>
      <c r="AL2520" s="3" t="n">
        <v>-32.492969</v>
      </c>
      <c r="AM2520" s="3" t="n"/>
      <c r="AN2520" s="3" t="n"/>
      <c r="AO2520" s="3" t="n"/>
      <c r="AP2520" s="3" t="n"/>
      <c r="AQ2520" s="3" t="n"/>
      <c r="AR2520" s="3" t="n"/>
      <c r="AS2520" s="3" t="n"/>
      <c r="AT2520" s="3" t="n"/>
      <c r="AU2520" s="3" t="n"/>
    </row>
    <row r="2521">
      <c r="A2521" s="3" t="n">
        <v>2031</v>
      </c>
      <c r="B2521" s="3" t="inlineStr">
        <is>
          <t>ROU</t>
        </is>
      </c>
      <c r="C2521" s="3" t="inlineStr">
        <is>
          <t>IMF.RES:WEO</t>
        </is>
      </c>
      <c r="D2521" s="3" t="inlineStr">
        <is>
          <t>ROU.BCA_NGDPD.A</t>
        </is>
      </c>
      <c r="E2521" s="3" t="inlineStr">
        <is>
          <t>Romania</t>
        </is>
      </c>
      <c r="F2521" s="3" t="inlineStr">
        <is>
          <t>Current account balance (credit less debit), Percent of GDP</t>
        </is>
      </c>
      <c r="G2521" s="3" t="n">
        <v>-2.595851</v>
      </c>
      <c r="H2521" s="3" t="n">
        <v>-3.181557</v>
      </c>
      <c r="I2521" s="3" t="n">
        <v>-2.674531</v>
      </c>
      <c r="J2521" s="3" t="n">
        <v>-4.676926</v>
      </c>
      <c r="K2521" s="3" t="n">
        <v>-7.580029</v>
      </c>
      <c r="L2521" s="3" t="n">
        <v>-8.748445</v>
      </c>
      <c r="M2521" s="3" t="n">
        <v>-10.503828</v>
      </c>
      <c r="N2521" s="3" t="n">
        <v>-13.56047</v>
      </c>
      <c r="O2521" s="3" t="n">
        <v>-11.45617</v>
      </c>
      <c r="P2521" s="3" t="n">
        <v>-4.64337</v>
      </c>
      <c r="Q2521" s="3" t="n">
        <v>-5.129478</v>
      </c>
      <c r="R2521" s="3" t="n">
        <v>-4.717558</v>
      </c>
      <c r="S2521" s="3" t="n">
        <v>-4.640933</v>
      </c>
      <c r="T2521" s="3" t="n">
        <v>-1.119378</v>
      </c>
      <c r="U2521" s="3" t="n">
        <v>-0.320933</v>
      </c>
      <c r="V2521" s="3" t="n">
        <v>-0.648141</v>
      </c>
      <c r="W2521" s="3" t="n">
        <v>-2.084982</v>
      </c>
      <c r="X2521" s="3" t="n">
        <v>-3.183002</v>
      </c>
      <c r="Y2521" s="3" t="n">
        <v>-4.63665</v>
      </c>
      <c r="Z2521" s="3" t="n">
        <v>-4.881703</v>
      </c>
      <c r="AA2521" s="3" t="n">
        <v>-5.097458</v>
      </c>
      <c r="AB2521" s="3" t="n">
        <v>-7.229554</v>
      </c>
      <c r="AC2521" s="3" t="n">
        <v>-9.555351</v>
      </c>
      <c r="AD2521" s="3" t="n">
        <v>-6.684224</v>
      </c>
      <c r="AE2521" s="3" t="n">
        <v>-8.158738</v>
      </c>
      <c r="AF2521" s="3" t="n">
        <v>-7.95055</v>
      </c>
      <c r="AG2521" s="3" t="n">
        <v>-6.764889</v>
      </c>
      <c r="AH2521" s="3" t="n">
        <v>-6.244826</v>
      </c>
      <c r="AI2521" s="3" t="n">
        <v>-5.632705</v>
      </c>
      <c r="AJ2521" s="3" t="n">
        <v>-5.352747</v>
      </c>
      <c r="AK2521" s="3" t="n">
        <v>-5.058186</v>
      </c>
      <c r="AL2521" s="3" t="n">
        <v>-5.011334</v>
      </c>
      <c r="AM2521" s="3" t="n"/>
      <c r="AN2521" s="3" t="n"/>
      <c r="AO2521" s="3" t="n"/>
      <c r="AP2521" s="3" t="n"/>
      <c r="AQ2521" s="3" t="n"/>
      <c r="AR2521" s="3" t="n"/>
      <c r="AS2521" s="3" t="n"/>
      <c r="AT2521" s="3" t="n"/>
      <c r="AU2521" s="3" t="n"/>
    </row>
    <row r="2522">
      <c r="A2522" s="3" t="n">
        <v>2031</v>
      </c>
      <c r="B2522" s="3" t="inlineStr">
        <is>
          <t>ROU</t>
        </is>
      </c>
      <c r="C2522" s="3" t="inlineStr">
        <is>
          <t>IMF.RES:WEO</t>
        </is>
      </c>
      <c r="D2522" s="3" t="inlineStr">
        <is>
          <t>ROU.GGR_NGDP.A</t>
        </is>
      </c>
      <c r="E2522" s="3" t="inlineStr">
        <is>
          <t>Romania</t>
        </is>
      </c>
      <c r="F2522" s="3" t="inlineStr">
        <is>
          <t>Revenue, General government, Percent of GDP</t>
        </is>
      </c>
      <c r="G2522" s="3" t="n">
        <v>31.048074</v>
      </c>
      <c r="H2522" s="3" t="n">
        <v>29.963103</v>
      </c>
      <c r="I2522" s="3" t="n">
        <v>29.487578</v>
      </c>
      <c r="J2522" s="3" t="n">
        <v>29.529679</v>
      </c>
      <c r="K2522" s="3" t="n">
        <v>30.261128</v>
      </c>
      <c r="L2522" s="3" t="n">
        <v>31.610842</v>
      </c>
      <c r="M2522" s="3" t="n">
        <v>32.497186</v>
      </c>
      <c r="N2522" s="3" t="n">
        <v>31.518958</v>
      </c>
      <c r="O2522" s="3" t="n">
        <v>30.666834</v>
      </c>
      <c r="P2522" s="3" t="n">
        <v>29.453235</v>
      </c>
      <c r="Q2522" s="3" t="n">
        <v>31.204011</v>
      </c>
      <c r="R2522" s="3" t="n">
        <v>30.913423</v>
      </c>
      <c r="S2522" s="3" t="n">
        <v>31.085014</v>
      </c>
      <c r="T2522" s="3" t="n">
        <v>31.780991</v>
      </c>
      <c r="U2522" s="3" t="n">
        <v>31.998886</v>
      </c>
      <c r="V2522" s="3" t="n">
        <v>32.815166</v>
      </c>
      <c r="W2522" s="3" t="n">
        <v>29.31591</v>
      </c>
      <c r="X2522" s="3" t="n">
        <v>28.162472</v>
      </c>
      <c r="Y2522" s="3" t="n">
        <v>29.172734</v>
      </c>
      <c r="Z2522" s="3" t="n">
        <v>28.862793</v>
      </c>
      <c r="AA2522" s="3" t="n">
        <v>28.701419</v>
      </c>
      <c r="AB2522" s="3" t="n">
        <v>30.50468</v>
      </c>
      <c r="AC2522" s="3" t="n">
        <v>31.642979</v>
      </c>
      <c r="AD2522" s="3" t="n">
        <v>31.30889</v>
      </c>
      <c r="AE2522" s="3" t="n">
        <v>31.27013</v>
      </c>
      <c r="AF2522" s="3" t="n">
        <v>32.815193</v>
      </c>
      <c r="AG2522" s="3" t="n">
        <v>33.454673</v>
      </c>
      <c r="AH2522" s="3" t="n">
        <v>31.901199</v>
      </c>
      <c r="AI2522" s="3" t="n">
        <v>31.872174</v>
      </c>
      <c r="AJ2522" s="3" t="n">
        <v>31.921582</v>
      </c>
      <c r="AK2522" s="3" t="n">
        <v>32.093287</v>
      </c>
      <c r="AL2522" s="3" t="n">
        <v>31.727923</v>
      </c>
      <c r="AM2522" s="3" t="n"/>
      <c r="AN2522" s="3" t="n"/>
      <c r="AO2522" s="3" t="n"/>
      <c r="AP2522" s="3" t="n"/>
      <c r="AQ2522" s="3" t="n"/>
      <c r="AR2522" s="3" t="n"/>
      <c r="AS2522" s="3" t="n"/>
      <c r="AT2522" s="3" t="n"/>
      <c r="AU2522" s="3" t="n"/>
    </row>
    <row r="2523">
      <c r="A2523" s="3" t="n">
        <v>2031</v>
      </c>
      <c r="B2523" s="3" t="inlineStr">
        <is>
          <t>ROU</t>
        </is>
      </c>
      <c r="C2523" s="3" t="inlineStr">
        <is>
          <t>IMF.RES:WEO</t>
        </is>
      </c>
      <c r="D2523" s="3" t="inlineStr">
        <is>
          <t>ROU.GGX_NGDP.A</t>
        </is>
      </c>
      <c r="E2523" s="3" t="inlineStr">
        <is>
          <t>Romania</t>
        </is>
      </c>
      <c r="F2523" s="3" t="inlineStr">
        <is>
          <t>Expenditure, General government, Percent of GDP</t>
        </is>
      </c>
      <c r="G2523" s="3" t="n">
        <v>35.036545</v>
      </c>
      <c r="H2523" s="3" t="n">
        <v>33.164326</v>
      </c>
      <c r="I2523" s="3" t="n">
        <v>32.082391</v>
      </c>
      <c r="J2523" s="3" t="n">
        <v>31.815912</v>
      </c>
      <c r="K2523" s="3" t="n">
        <v>33.65456</v>
      </c>
      <c r="L2523" s="3" t="n">
        <v>32.301257</v>
      </c>
      <c r="M2523" s="3" t="n">
        <v>33.857165</v>
      </c>
      <c r="N2523" s="3" t="n">
        <v>34.565228</v>
      </c>
      <c r="O2523" s="3" t="n">
        <v>35.271605</v>
      </c>
      <c r="P2523" s="3" t="n">
        <v>36.311016</v>
      </c>
      <c r="Q2523" s="3" t="n">
        <v>37.423791</v>
      </c>
      <c r="R2523" s="3" t="n">
        <v>35.048748</v>
      </c>
      <c r="S2523" s="3" t="n">
        <v>33.470119</v>
      </c>
      <c r="T2523" s="3" t="n">
        <v>34.223668</v>
      </c>
      <c r="U2523" s="3" t="n">
        <v>33.757863</v>
      </c>
      <c r="V2523" s="3" t="n">
        <v>34.162709</v>
      </c>
      <c r="W2523" s="3" t="n">
        <v>31.812415</v>
      </c>
      <c r="X2523" s="3" t="n">
        <v>31.018652</v>
      </c>
      <c r="Y2523" s="3" t="n">
        <v>31.929346</v>
      </c>
      <c r="Z2523" s="3" t="n">
        <v>33.443806</v>
      </c>
      <c r="AA2523" s="3" t="n">
        <v>38.297156</v>
      </c>
      <c r="AB2523" s="3" t="n">
        <v>37.240847</v>
      </c>
      <c r="AC2523" s="3" t="n">
        <v>37.495979</v>
      </c>
      <c r="AD2523" s="3" t="n">
        <v>36.966832</v>
      </c>
      <c r="AE2523" s="3" t="n">
        <v>39.951273</v>
      </c>
      <c r="AF2523" s="3" t="n">
        <v>40.459343</v>
      </c>
      <c r="AG2523" s="3" t="n">
        <v>39.701942</v>
      </c>
      <c r="AH2523" s="3" t="n">
        <v>37.66404</v>
      </c>
      <c r="AI2523" s="3" t="n">
        <v>37.619686</v>
      </c>
      <c r="AJ2523" s="3" t="n">
        <v>37.55204</v>
      </c>
      <c r="AK2523" s="3" t="n">
        <v>37.470455</v>
      </c>
      <c r="AL2523" s="3" t="n">
        <v>36.970256</v>
      </c>
      <c r="AM2523" s="3" t="n"/>
      <c r="AN2523" s="3" t="n"/>
      <c r="AO2523" s="3" t="n"/>
      <c r="AP2523" s="3" t="n"/>
      <c r="AQ2523" s="3" t="n"/>
      <c r="AR2523" s="3" t="n"/>
      <c r="AS2523" s="3" t="n"/>
      <c r="AT2523" s="3" t="n"/>
      <c r="AU2523" s="3" t="n"/>
    </row>
    <row r="2524">
      <c r="A2524" s="3" t="n">
        <v>2031</v>
      </c>
      <c r="B2524" s="3" t="inlineStr">
        <is>
          <t>ROU</t>
        </is>
      </c>
      <c r="C2524" s="3" t="inlineStr">
        <is>
          <t>IMF.RES:WEO</t>
        </is>
      </c>
      <c r="D2524" s="3" t="inlineStr">
        <is>
          <t>ROU.LP.A</t>
        </is>
      </c>
      <c r="E2524" s="3" t="inlineStr">
        <is>
          <t>Romania</t>
        </is>
      </c>
      <c r="F2524" s="3" t="inlineStr">
        <is>
          <t>Population, Persons for countries / Index for country groups</t>
        </is>
      </c>
      <c r="G2524" s="3" t="n">
        <v>22.455485</v>
      </c>
      <c r="H2524" s="3" t="n">
        <v>22.430457</v>
      </c>
      <c r="I2524" s="3" t="n">
        <v>21.833483</v>
      </c>
      <c r="J2524" s="3" t="n">
        <v>21.627509</v>
      </c>
      <c r="K2524" s="3" t="n">
        <v>21.521142</v>
      </c>
      <c r="L2524" s="3" t="n">
        <v>21.382354</v>
      </c>
      <c r="M2524" s="3" t="n">
        <v>21.257016</v>
      </c>
      <c r="N2524" s="3" t="n">
        <v>21.130503</v>
      </c>
      <c r="O2524" s="3" t="n">
        <v>20.63546</v>
      </c>
      <c r="P2524" s="3" t="n">
        <v>20.44029</v>
      </c>
      <c r="Q2524" s="3" t="n">
        <v>20.294683</v>
      </c>
      <c r="R2524" s="3" t="n">
        <v>20.199059</v>
      </c>
      <c r="S2524" s="3" t="n">
        <v>20.095996</v>
      </c>
      <c r="T2524" s="3" t="n">
        <v>20.020074</v>
      </c>
      <c r="U2524" s="3" t="n">
        <v>19.947311</v>
      </c>
      <c r="V2524" s="3" t="n">
        <v>19.870647</v>
      </c>
      <c r="W2524" s="3" t="n">
        <v>19.760585</v>
      </c>
      <c r="X2524" s="3" t="n">
        <v>19.643949</v>
      </c>
      <c r="Y2524" s="3" t="n">
        <v>19.533481</v>
      </c>
      <c r="Z2524" s="3" t="n">
        <v>19.414458</v>
      </c>
      <c r="AA2524" s="3" t="n">
        <v>19.328838</v>
      </c>
      <c r="AB2524" s="3" t="n">
        <v>19.201662</v>
      </c>
      <c r="AC2524" s="3" t="n">
        <v>19.043098</v>
      </c>
      <c r="AD2524" s="3" t="n">
        <v>19.055232</v>
      </c>
      <c r="AE2524" s="3" t="n">
        <v>18.94388</v>
      </c>
      <c r="AF2524" s="3" t="n">
        <v>18.831698</v>
      </c>
      <c r="AG2524" s="3" t="n">
        <v>18.714611</v>
      </c>
      <c r="AH2524" s="3" t="n">
        <v>18.593302</v>
      </c>
      <c r="AI2524" s="3" t="n">
        <v>18.466574</v>
      </c>
      <c r="AJ2524" s="3" t="n">
        <v>18.341717</v>
      </c>
      <c r="AK2524" s="3" t="n">
        <v>18.218553</v>
      </c>
      <c r="AL2524" s="3" t="n">
        <v>18.097342</v>
      </c>
      <c r="AM2524" s="3" t="n"/>
      <c r="AN2524" s="3" t="n"/>
      <c r="AO2524" s="3" t="n"/>
      <c r="AP2524" s="3" t="n"/>
      <c r="AQ2524" s="3" t="n"/>
      <c r="AR2524" s="3" t="n"/>
      <c r="AS2524" s="3" t="n"/>
      <c r="AT2524" s="3" t="n"/>
      <c r="AU2524" s="3" t="n"/>
    </row>
    <row r="2525">
      <c r="A2525" s="3" t="n">
        <v>2031</v>
      </c>
      <c r="B2525" s="3" t="inlineStr">
        <is>
          <t>ROU</t>
        </is>
      </c>
      <c r="C2525" s="3" t="inlineStr">
        <is>
          <t>IMF.RES:WEO</t>
        </is>
      </c>
      <c r="D2525" s="3" t="inlineStr">
        <is>
          <t>ROU.NGDP.A</t>
        </is>
      </c>
      <c r="E2525" s="3" t="inlineStr">
        <is>
          <t>Romania</t>
        </is>
      </c>
      <c r="F2525" s="3" t="inlineStr">
        <is>
          <t>Gross domestic product (GDP), Current prices, Domestic currency</t>
        </is>
      </c>
      <c r="G2525" s="3" t="n">
        <v>80.87309999999999</v>
      </c>
      <c r="H2525" s="3" t="n">
        <v>117.3914</v>
      </c>
      <c r="I2525" s="3" t="n">
        <v>152.2715</v>
      </c>
      <c r="J2525" s="3" t="n">
        <v>191.9176</v>
      </c>
      <c r="K2525" s="3" t="n">
        <v>244.6883</v>
      </c>
      <c r="L2525" s="3" t="n">
        <v>286.8619</v>
      </c>
      <c r="M2525" s="3" t="n">
        <v>342.7626</v>
      </c>
      <c r="N2525" s="3" t="n">
        <v>425.6911</v>
      </c>
      <c r="O2525" s="3" t="n">
        <v>539.8314</v>
      </c>
      <c r="P2525" s="3" t="n">
        <v>530.9195999999999</v>
      </c>
      <c r="Q2525" s="3" t="n">
        <v>540.4475</v>
      </c>
      <c r="R2525" s="3" t="n">
        <v>587.235</v>
      </c>
      <c r="S2525" s="3" t="n">
        <v>621.2147</v>
      </c>
      <c r="T2525" s="3" t="n">
        <v>631.634</v>
      </c>
      <c r="U2525" s="3" t="n">
        <v>668.905</v>
      </c>
      <c r="V2525" s="3" t="n">
        <v>712.5486</v>
      </c>
      <c r="W2525" s="3" t="n">
        <v>752.1291</v>
      </c>
      <c r="X2525" s="3" t="n">
        <v>851.6206</v>
      </c>
      <c r="Y2525" s="3" t="n">
        <v>953.0492</v>
      </c>
      <c r="Z2525" s="3" t="n">
        <v>1059.8221</v>
      </c>
      <c r="AA2525" s="3" t="n">
        <v>1063.6507</v>
      </c>
      <c r="AB2525" s="3" t="n">
        <v>1186.0154</v>
      </c>
      <c r="AC2525" s="3" t="n">
        <v>1384.5978</v>
      </c>
      <c r="AD2525" s="3" t="n">
        <v>1590.7494</v>
      </c>
      <c r="AE2525" s="3" t="n">
        <v>1759.1833</v>
      </c>
      <c r="AF2525" s="3" t="n">
        <v>1910.3901</v>
      </c>
      <c r="AG2525" s="3" t="n">
        <v>2077.556116</v>
      </c>
      <c r="AH2525" s="3" t="n">
        <v>2214.267794</v>
      </c>
      <c r="AI2525" s="3" t="n">
        <v>2375.357422</v>
      </c>
      <c r="AJ2525" s="3" t="n">
        <v>2516.792485</v>
      </c>
      <c r="AK2525" s="3" t="n">
        <v>2667.325019</v>
      </c>
      <c r="AL2525" s="3" t="n">
        <v>2818.108874</v>
      </c>
      <c r="AM2525" s="3" t="n"/>
      <c r="AN2525" s="3" t="n"/>
      <c r="AO2525" s="3" t="n"/>
      <c r="AP2525" s="3" t="n"/>
      <c r="AQ2525" s="3" t="n"/>
      <c r="AR2525" s="3" t="n"/>
      <c r="AS2525" s="3" t="n"/>
      <c r="AT2525" s="3" t="n"/>
      <c r="AU2525" s="3" t="n"/>
    </row>
    <row r="2526">
      <c r="A2526" s="3" t="n">
        <v>2031</v>
      </c>
      <c r="B2526" s="3" t="inlineStr">
        <is>
          <t>ROU</t>
        </is>
      </c>
      <c r="C2526" s="3" t="inlineStr">
        <is>
          <t>IMF.RES:WEO</t>
        </is>
      </c>
      <c r="D2526" s="3" t="inlineStr">
        <is>
          <t>ROU.NGDP_D.A</t>
        </is>
      </c>
      <c r="E2526" s="3" t="inlineStr">
        <is>
          <t>Romania</t>
        </is>
      </c>
      <c r="F2526" s="3" t="inlineStr">
        <is>
          <t>Gross domestic product (GDP), Price deflator, Index</t>
        </is>
      </c>
      <c r="G2526" s="3" t="n">
        <v>15.503882</v>
      </c>
      <c r="H2526" s="3" t="n">
        <v>21.388577</v>
      </c>
      <c r="I2526" s="3" t="n">
        <v>26.246842</v>
      </c>
      <c r="J2526" s="3" t="n">
        <v>32.323846</v>
      </c>
      <c r="K2526" s="3" t="n">
        <v>37.320003</v>
      </c>
      <c r="L2526" s="3" t="n">
        <v>41.80101</v>
      </c>
      <c r="M2526" s="3" t="n">
        <v>46.23468</v>
      </c>
      <c r="N2526" s="3" t="n">
        <v>53.547249</v>
      </c>
      <c r="O2526" s="3" t="n">
        <v>62.122791</v>
      </c>
      <c r="P2526" s="3" t="n">
        <v>64.664602</v>
      </c>
      <c r="Q2526" s="3" t="n">
        <v>68.50055999999999</v>
      </c>
      <c r="R2526" s="3" t="n">
        <v>71.22862499999999</v>
      </c>
      <c r="S2526" s="3" t="n">
        <v>73.94260800000001</v>
      </c>
      <c r="T2526" s="3" t="n">
        <v>74.973806</v>
      </c>
      <c r="U2526" s="3" t="n">
        <v>76.259002</v>
      </c>
      <c r="V2526" s="3" t="n">
        <v>78.74850499999999</v>
      </c>
      <c r="W2526" s="3" t="n">
        <v>80.811629</v>
      </c>
      <c r="X2526" s="3" t="n">
        <v>84.570431</v>
      </c>
      <c r="Y2526" s="3" t="n">
        <v>89.79863</v>
      </c>
      <c r="Z2526" s="3" t="n">
        <v>96.054985</v>
      </c>
      <c r="AA2526" s="3" t="n">
        <v>99.99999099999999</v>
      </c>
      <c r="AB2526" s="3" t="n">
        <v>105.603756</v>
      </c>
      <c r="AC2526" s="3" t="n">
        <v>118.330365</v>
      </c>
      <c r="AD2526" s="3" t="n">
        <v>132.946888</v>
      </c>
      <c r="AE2526" s="3" t="n">
        <v>145.68924</v>
      </c>
      <c r="AF2526" s="3" t="n">
        <v>157.166592</v>
      </c>
      <c r="AG2526" s="3" t="n">
        <v>169.741728</v>
      </c>
      <c r="AH2526" s="3" t="n">
        <v>176.581208</v>
      </c>
      <c r="AI2526" s="3" t="n">
        <v>184.445798</v>
      </c>
      <c r="AJ2526" s="3" t="n">
        <v>189.989148</v>
      </c>
      <c r="AK2526" s="3" t="n">
        <v>195.329543</v>
      </c>
      <c r="AL2526" s="3" t="n">
        <v>200.227256</v>
      </c>
      <c r="AM2526" s="3" t="n"/>
      <c r="AN2526" s="3" t="n"/>
      <c r="AO2526" s="3" t="n"/>
      <c r="AP2526" s="3" t="n"/>
      <c r="AQ2526" s="3" t="n"/>
      <c r="AR2526" s="3" t="n"/>
      <c r="AS2526" s="3" t="n"/>
      <c r="AT2526" s="3" t="n"/>
      <c r="AU2526" s="3" t="n"/>
    </row>
    <row r="2527">
      <c r="A2527" s="3" t="n">
        <v>2031</v>
      </c>
      <c r="B2527" s="3" t="inlineStr">
        <is>
          <t>ROU</t>
        </is>
      </c>
      <c r="C2527" s="3" t="inlineStr">
        <is>
          <t>IMF.RES:WEO</t>
        </is>
      </c>
      <c r="D2527" s="3" t="inlineStr">
        <is>
          <t>ROU.NGDP_R.A</t>
        </is>
      </c>
      <c r="E2527" s="3" t="inlineStr">
        <is>
          <t>Romania</t>
        </is>
      </c>
      <c r="F2527" s="3" t="inlineStr">
        <is>
          <t>Gross domestic product (GDP), Constant prices, Domestic currency</t>
        </is>
      </c>
      <c r="G2527" s="3" t="n">
        <v>521.6313</v>
      </c>
      <c r="H2527" s="3" t="n">
        <v>548.8509</v>
      </c>
      <c r="I2527" s="3" t="n">
        <v>580.1517</v>
      </c>
      <c r="J2527" s="3" t="n">
        <v>593.7338</v>
      </c>
      <c r="K2527" s="3" t="n">
        <v>655.6492</v>
      </c>
      <c r="L2527" s="3" t="n">
        <v>686.2559</v>
      </c>
      <c r="M2527" s="3" t="n">
        <v>741.3539</v>
      </c>
      <c r="N2527" s="3" t="n">
        <v>794.9822</v>
      </c>
      <c r="O2527" s="3" t="n">
        <v>868.9748</v>
      </c>
      <c r="P2527" s="3" t="n">
        <v>821.0359</v>
      </c>
      <c r="Q2527" s="3" t="n">
        <v>788.968</v>
      </c>
      <c r="R2527" s="3" t="n">
        <v>824.4367999999999</v>
      </c>
      <c r="S2527" s="3" t="n">
        <v>840.1309</v>
      </c>
      <c r="T2527" s="3" t="n">
        <v>842.4729</v>
      </c>
      <c r="U2527" s="3" t="n">
        <v>877.1489</v>
      </c>
      <c r="V2527" s="3" t="n">
        <v>904.8407999999999</v>
      </c>
      <c r="W2527" s="3" t="n">
        <v>930.7189</v>
      </c>
      <c r="X2527" s="3" t="n">
        <v>1006.9957</v>
      </c>
      <c r="Y2527" s="3" t="n">
        <v>1061.3182</v>
      </c>
      <c r="Z2527" s="3" t="n">
        <v>1103.3494</v>
      </c>
      <c r="AA2527" s="3" t="n">
        <v>1063.6508</v>
      </c>
      <c r="AB2527" s="3" t="n">
        <v>1123.0807</v>
      </c>
      <c r="AC2527" s="3" t="n">
        <v>1170.112</v>
      </c>
      <c r="AD2527" s="3" t="n">
        <v>1196.53</v>
      </c>
      <c r="AE2527" s="3" t="n">
        <v>1207.4902</v>
      </c>
      <c r="AF2527" s="3" t="n">
        <v>1215.5192</v>
      </c>
      <c r="AG2527" s="3" t="n">
        <v>1223.951318</v>
      </c>
      <c r="AH2527" s="3" t="n">
        <v>1253.965711</v>
      </c>
      <c r="AI2527" s="3" t="n">
        <v>1287.834932</v>
      </c>
      <c r="AJ2527" s="3" t="n">
        <v>1324.703282</v>
      </c>
      <c r="AK2527" s="3" t="n">
        <v>1365.551252</v>
      </c>
      <c r="AL2527" s="3" t="n">
        <v>1407.455173</v>
      </c>
      <c r="AM2527" s="3" t="n"/>
      <c r="AN2527" s="3" t="n"/>
      <c r="AO2527" s="3" t="n"/>
      <c r="AP2527" s="3" t="n"/>
      <c r="AQ2527" s="3" t="n"/>
      <c r="AR2527" s="3" t="n"/>
      <c r="AS2527" s="3" t="n"/>
      <c r="AT2527" s="3" t="n"/>
      <c r="AU2527" s="3" t="n"/>
    </row>
    <row r="2528">
      <c r="A2528" s="3" t="n">
        <v>2031</v>
      </c>
      <c r="B2528" s="3" t="inlineStr">
        <is>
          <t>ROU</t>
        </is>
      </c>
      <c r="C2528" s="3" t="inlineStr">
        <is>
          <t>IMF.RES:WEO</t>
        </is>
      </c>
      <c r="D2528" s="3" t="inlineStr">
        <is>
          <t>ROU.NGDP_RPCH.A</t>
        </is>
      </c>
      <c r="E2528" s="3" t="inlineStr">
        <is>
          <t>Romania</t>
        </is>
      </c>
      <c r="F2528" s="3" t="inlineStr">
        <is>
          <t>Gross domestic product (GDP), Constant prices, Percent change</t>
        </is>
      </c>
      <c r="G2528" s="3" t="n">
        <v>2.92076</v>
      </c>
      <c r="H2528" s="3" t="n">
        <v>5.218168</v>
      </c>
      <c r="I2528" s="3" t="n">
        <v>5.70297</v>
      </c>
      <c r="J2528" s="3" t="n">
        <v>2.341129</v>
      </c>
      <c r="K2528" s="3" t="n">
        <v>10.428141</v>
      </c>
      <c r="L2528" s="3" t="n">
        <v>4.668152</v>
      </c>
      <c r="M2528" s="3" t="n">
        <v>8.028783000000001</v>
      </c>
      <c r="N2528" s="3" t="n">
        <v>7.233833</v>
      </c>
      <c r="O2528" s="3" t="n">
        <v>9.307454</v>
      </c>
      <c r="P2528" s="3" t="n">
        <v>-5.516719</v>
      </c>
      <c r="Q2528" s="3" t="n">
        <v>-3.905785</v>
      </c>
      <c r="R2528" s="3" t="n">
        <v>4.495594</v>
      </c>
      <c r="S2528" s="3" t="n">
        <v>1.903615</v>
      </c>
      <c r="T2528" s="3" t="n">
        <v>0.278766</v>
      </c>
      <c r="U2528" s="3" t="n">
        <v>4.115978</v>
      </c>
      <c r="V2528" s="3" t="n">
        <v>3.157035</v>
      </c>
      <c r="W2528" s="3" t="n">
        <v>2.859962</v>
      </c>
      <c r="X2528" s="3" t="n">
        <v>8.195471</v>
      </c>
      <c r="Y2528" s="3" t="n">
        <v>5.394512</v>
      </c>
      <c r="Z2528" s="3" t="n">
        <v>3.960283</v>
      </c>
      <c r="AA2528" s="3" t="n">
        <v>-3.598008</v>
      </c>
      <c r="AB2528" s="3" t="n">
        <v>5.587351</v>
      </c>
      <c r="AC2528" s="3" t="n">
        <v>4.187704</v>
      </c>
      <c r="AD2528" s="3" t="n">
        <v>2.257733</v>
      </c>
      <c r="AE2528" s="3" t="n">
        <v>0.915999</v>
      </c>
      <c r="AF2528" s="3" t="n">
        <v>0.664933</v>
      </c>
      <c r="AG2528" s="3" t="n">
        <v>0.693705</v>
      </c>
      <c r="AH2528" s="3" t="n">
        <v>2.452254</v>
      </c>
      <c r="AI2528" s="3" t="n">
        <v>2.700969</v>
      </c>
      <c r="AJ2528" s="3" t="n">
        <v>2.862816</v>
      </c>
      <c r="AK2528" s="3" t="n">
        <v>3.083556</v>
      </c>
      <c r="AL2528" s="3" t="n">
        <v>3.068645</v>
      </c>
      <c r="AM2528" s="3" t="n"/>
      <c r="AN2528" s="3" t="n"/>
      <c r="AO2528" s="3" t="n"/>
      <c r="AP2528" s="3" t="n"/>
      <c r="AQ2528" s="3" t="n"/>
      <c r="AR2528" s="3" t="n"/>
      <c r="AS2528" s="3" t="n"/>
      <c r="AT2528" s="3" t="n"/>
      <c r="AU2528" s="3" t="n"/>
    </row>
    <row r="2529">
      <c r="A2529" s="3" t="n">
        <v>2031</v>
      </c>
      <c r="B2529" s="3" t="inlineStr">
        <is>
          <t>ROU</t>
        </is>
      </c>
      <c r="C2529" s="3" t="inlineStr">
        <is>
          <t>IMF.RES:WEO</t>
        </is>
      </c>
      <c r="D2529" s="3" t="inlineStr">
        <is>
          <t>ROU.NGDPD.A</t>
        </is>
      </c>
      <c r="E2529" s="3" t="inlineStr">
        <is>
          <t>Romania</t>
        </is>
      </c>
      <c r="F2529" s="3" t="inlineStr">
        <is>
          <t>Gross domestic product (GDP), Current prices, US dollar</t>
        </is>
      </c>
      <c r="G2529" s="3" t="n">
        <v>37.447057</v>
      </c>
      <c r="H2529" s="3" t="n">
        <v>40.396481</v>
      </c>
      <c r="I2529" s="3" t="n">
        <v>46.034689</v>
      </c>
      <c r="J2529" s="3" t="n">
        <v>57.790018</v>
      </c>
      <c r="K2529" s="3" t="n">
        <v>75.059259</v>
      </c>
      <c r="L2529" s="3" t="n">
        <v>98.547015</v>
      </c>
      <c r="M2529" s="3" t="n">
        <v>122.113784</v>
      </c>
      <c r="N2529" s="3" t="n">
        <v>174.831361</v>
      </c>
      <c r="O2529" s="3" t="n">
        <v>215.566734</v>
      </c>
      <c r="P2529" s="3" t="n">
        <v>174.572183</v>
      </c>
      <c r="Q2529" s="3" t="n">
        <v>170.328714</v>
      </c>
      <c r="R2529" s="3" t="n">
        <v>192.84575</v>
      </c>
      <c r="S2529" s="3" t="n">
        <v>179.227896</v>
      </c>
      <c r="T2529" s="3" t="n">
        <v>189.839307</v>
      </c>
      <c r="U2529" s="3" t="n">
        <v>199.989464</v>
      </c>
      <c r="V2529" s="3" t="n">
        <v>177.878027</v>
      </c>
      <c r="W2529" s="3" t="n">
        <v>185.336797</v>
      </c>
      <c r="X2529" s="3" t="n">
        <v>210.5296</v>
      </c>
      <c r="Y2529" s="3" t="n">
        <v>241.972742</v>
      </c>
      <c r="Z2529" s="3" t="n">
        <v>250.055708</v>
      </c>
      <c r="AA2529" s="3" t="n">
        <v>250.960939</v>
      </c>
      <c r="AB2529" s="3" t="n">
        <v>285.27536</v>
      </c>
      <c r="AC2529" s="3" t="n">
        <v>295.890909</v>
      </c>
      <c r="AD2529" s="3" t="n">
        <v>347.828791</v>
      </c>
      <c r="AE2529" s="3" t="n">
        <v>382.650332</v>
      </c>
      <c r="AF2529" s="3" t="n">
        <v>427.941464</v>
      </c>
      <c r="AG2529" s="3" t="n">
        <v>480.834006</v>
      </c>
      <c r="AH2529" s="3" t="n">
        <v>511.274247</v>
      </c>
      <c r="AI2529" s="3" t="n">
        <v>546.9870550000001</v>
      </c>
      <c r="AJ2529" s="3" t="n">
        <v>579.248916</v>
      </c>
      <c r="AK2529" s="3" t="n">
        <v>613.7984729999999</v>
      </c>
      <c r="AL2529" s="3" t="n">
        <v>648.389679</v>
      </c>
      <c r="AM2529" s="3" t="n"/>
      <c r="AN2529" s="3" t="n"/>
      <c r="AO2529" s="3" t="n"/>
      <c r="AP2529" s="3" t="n"/>
      <c r="AQ2529" s="3" t="n"/>
      <c r="AR2529" s="3" t="n"/>
      <c r="AS2529" s="3" t="n"/>
      <c r="AT2529" s="3" t="n"/>
      <c r="AU2529" s="3" t="n"/>
    </row>
    <row r="2530">
      <c r="A2530" s="3" t="n">
        <v>2031</v>
      </c>
      <c r="B2530" s="3" t="inlineStr">
        <is>
          <t>ROU</t>
        </is>
      </c>
      <c r="C2530" s="3" t="inlineStr">
        <is>
          <t>IMF.RES:WEO</t>
        </is>
      </c>
      <c r="D2530" s="3" t="inlineStr">
        <is>
          <t>ROU.NGDPPC.A</t>
        </is>
      </c>
      <c r="E2530" s="3" t="inlineStr">
        <is>
          <t>Romania</t>
        </is>
      </c>
      <c r="F2530" s="3" t="inlineStr">
        <is>
          <t>Gross domestic product (GDP), Current prices, Per capita, Domestic currency</t>
        </is>
      </c>
      <c r="G2530" s="3" t="n">
        <v>3601.485339</v>
      </c>
      <c r="H2530" s="3" t="n">
        <v>5233.571478</v>
      </c>
      <c r="I2530" s="3" t="n">
        <v>6974.219368</v>
      </c>
      <c r="J2530" s="3" t="n">
        <v>8873.772749</v>
      </c>
      <c r="K2530" s="3" t="n">
        <v>11369.67081</v>
      </c>
      <c r="L2530" s="3" t="n">
        <v>13415.824095</v>
      </c>
      <c r="M2530" s="3" t="n">
        <v>16124.680905</v>
      </c>
      <c r="N2530" s="3" t="n">
        <v>20145.810064</v>
      </c>
      <c r="O2530" s="3" t="n">
        <v>26160.376362</v>
      </c>
      <c r="P2530" s="3" t="n">
        <v>25974.171599</v>
      </c>
      <c r="Q2530" s="3" t="n">
        <v>26630.004519</v>
      </c>
      <c r="R2530" s="3" t="n">
        <v>29072.393917</v>
      </c>
      <c r="S2530" s="3" t="n">
        <v>30912.361846</v>
      </c>
      <c r="T2530" s="3" t="n">
        <v>31550.033232</v>
      </c>
      <c r="U2530" s="3" t="n">
        <v>33533.592573</v>
      </c>
      <c r="V2530" s="3" t="n">
        <v>35859.355762</v>
      </c>
      <c r="W2530" s="3" t="n">
        <v>38062.086725</v>
      </c>
      <c r="X2530" s="3" t="n">
        <v>43352.820759</v>
      </c>
      <c r="Y2530" s="3" t="n">
        <v>48790.545833</v>
      </c>
      <c r="Z2530" s="3" t="n">
        <v>54589.32204</v>
      </c>
      <c r="AA2530" s="3" t="n">
        <v>55029.210758</v>
      </c>
      <c r="AB2530" s="3" t="n">
        <v>61766.288772</v>
      </c>
      <c r="AC2530" s="3" t="n">
        <v>72708.64225999999</v>
      </c>
      <c r="AD2530" s="3" t="n">
        <v>83480.97782299999</v>
      </c>
      <c r="AE2530" s="3" t="n">
        <v>92862.88236600001</v>
      </c>
      <c r="AF2530" s="3" t="n">
        <v>101445.451175</v>
      </c>
      <c r="AG2530" s="3" t="n">
        <v>111012.51936</v>
      </c>
      <c r="AH2530" s="3" t="n">
        <v>119089.540647</v>
      </c>
      <c r="AI2530" s="3" t="n">
        <v>128630.108773</v>
      </c>
      <c r="AJ2530" s="3" t="n">
        <v>137216.842063</v>
      </c>
      <c r="AK2530" s="3" t="n">
        <v>146407.072993</v>
      </c>
      <c r="AL2530" s="3" t="n">
        <v>155719.490411</v>
      </c>
      <c r="AM2530" s="3" t="n"/>
      <c r="AN2530" s="3" t="n"/>
      <c r="AO2530" s="3" t="n"/>
      <c r="AP2530" s="3" t="n"/>
      <c r="AQ2530" s="3" t="n"/>
      <c r="AR2530" s="3" t="n"/>
      <c r="AS2530" s="3" t="n"/>
      <c r="AT2530" s="3" t="n"/>
      <c r="AU2530" s="3" t="n"/>
    </row>
    <row r="2531">
      <c r="A2531" s="3" t="n">
        <v>2031</v>
      </c>
      <c r="B2531" s="3" t="inlineStr">
        <is>
          <t>ROU</t>
        </is>
      </c>
      <c r="C2531" s="3" t="inlineStr">
        <is>
          <t>IMF.RES:WEO</t>
        </is>
      </c>
      <c r="D2531" s="3" t="inlineStr">
        <is>
          <t>ROU.NGDPRPC.A</t>
        </is>
      </c>
      <c r="E2531" s="3" t="inlineStr">
        <is>
          <t>Romania</t>
        </is>
      </c>
      <c r="F2531" s="3" t="inlineStr">
        <is>
          <t>Gross domestic product (GDP), Constant prices, Per capita, Domestic currency</t>
        </is>
      </c>
      <c r="G2531" s="3" t="n">
        <v>23229.571751</v>
      </c>
      <c r="H2531" s="3" t="n">
        <v>24469.002125</v>
      </c>
      <c r="I2531" s="3" t="n">
        <v>26571.65144</v>
      </c>
      <c r="J2531" s="3" t="n">
        <v>27452.713116</v>
      </c>
      <c r="K2531" s="3" t="n">
        <v>30465.353558</v>
      </c>
      <c r="L2531" s="3" t="n">
        <v>32094.497173</v>
      </c>
      <c r="M2531" s="3" t="n">
        <v>34875.727619</v>
      </c>
      <c r="N2531" s="3" t="n">
        <v>37622.492943</v>
      </c>
      <c r="O2531" s="3" t="n">
        <v>42110.754982</v>
      </c>
      <c r="P2531" s="3" t="n">
        <v>40167.526977</v>
      </c>
      <c r="Q2531" s="3" t="n">
        <v>38875.601063</v>
      </c>
      <c r="R2531" s="3" t="n">
        <v>40815.604331</v>
      </c>
      <c r="S2531" s="3" t="n">
        <v>41805.885113</v>
      </c>
      <c r="T2531" s="3" t="n">
        <v>42081.407891</v>
      </c>
      <c r="U2531" s="3" t="n">
        <v>43973.290435</v>
      </c>
      <c r="V2531" s="3" t="n">
        <v>45536.554497</v>
      </c>
      <c r="W2531" s="3" t="n">
        <v>47099.764506</v>
      </c>
      <c r="X2531" s="3" t="n">
        <v>51262.386193</v>
      </c>
      <c r="Y2531" s="3" t="n">
        <v>54333.285501</v>
      </c>
      <c r="Z2531" s="3" t="n">
        <v>56831.326427</v>
      </c>
      <c r="AA2531" s="3" t="n">
        <v>55029.215931</v>
      </c>
      <c r="AB2531" s="3" t="n">
        <v>58488.723528</v>
      </c>
      <c r="AC2531" s="3" t="n">
        <v>61445.464388</v>
      </c>
      <c r="AD2531" s="3" t="n">
        <v>62792.728002</v>
      </c>
      <c r="AE2531" s="3" t="n">
        <v>63740.384758</v>
      </c>
      <c r="AF2531" s="3" t="n">
        <v>64546.447166</v>
      </c>
      <c r="AG2531" s="3" t="n">
        <v>65400.842034</v>
      </c>
      <c r="AH2531" s="3" t="n">
        <v>67441.797622</v>
      </c>
      <c r="AI2531" s="3" t="n">
        <v>69738.70366499999</v>
      </c>
      <c r="AJ2531" s="3" t="n">
        <v>72223.515493</v>
      </c>
      <c r="AK2531" s="3" t="n">
        <v>74953.880888</v>
      </c>
      <c r="AL2531" s="3" t="n">
        <v>77771.37508500001</v>
      </c>
      <c r="AM2531" s="3" t="n"/>
      <c r="AN2531" s="3" t="n"/>
      <c r="AO2531" s="3" t="n"/>
      <c r="AP2531" s="3" t="n"/>
      <c r="AQ2531" s="3" t="n"/>
      <c r="AR2531" s="3" t="n"/>
      <c r="AS2531" s="3" t="n"/>
      <c r="AT2531" s="3" t="n"/>
      <c r="AU2531" s="3" t="n"/>
    </row>
    <row r="2532">
      <c r="A2532" s="3" t="n">
        <v>2031</v>
      </c>
      <c r="B2532" s="3" t="inlineStr">
        <is>
          <t>ROU</t>
        </is>
      </c>
      <c r="C2532" s="3" t="inlineStr">
        <is>
          <t>IMF.RES:WEO</t>
        </is>
      </c>
      <c r="D2532" s="3" t="inlineStr">
        <is>
          <t>ROU.PCPI.A</t>
        </is>
      </c>
      <c r="E2532" s="3" t="inlineStr">
        <is>
          <t>Romania</t>
        </is>
      </c>
      <c r="F2532" s="3" t="inlineStr">
        <is>
          <t>All Items, Consumer price index (CPI), Period average</t>
        </is>
      </c>
      <c r="G2532" s="3" t="n">
        <v>31.970333</v>
      </c>
      <c r="H2532" s="3" t="n">
        <v>42.985417</v>
      </c>
      <c r="I2532" s="3" t="n">
        <v>52.656167</v>
      </c>
      <c r="J2532" s="3" t="n">
        <v>60.749583</v>
      </c>
      <c r="K2532" s="3" t="n">
        <v>67.95141700000001</v>
      </c>
      <c r="L2532" s="3" t="n">
        <v>74.06375</v>
      </c>
      <c r="M2532" s="3" t="n">
        <v>78.94541700000001</v>
      </c>
      <c r="N2532" s="3" t="n">
        <v>82.762</v>
      </c>
      <c r="O2532" s="3" t="n">
        <v>89.255167</v>
      </c>
      <c r="P2532" s="3" t="n">
        <v>94.239417</v>
      </c>
      <c r="Q2532" s="3" t="n">
        <v>100.000083</v>
      </c>
      <c r="R2532" s="3" t="n">
        <v>105.79475</v>
      </c>
      <c r="S2532" s="3" t="n">
        <v>109.32775</v>
      </c>
      <c r="T2532" s="3" t="n">
        <v>113.702833</v>
      </c>
      <c r="U2532" s="3" t="n">
        <v>114.92575</v>
      </c>
      <c r="V2532" s="3" t="n">
        <v>114.24075</v>
      </c>
      <c r="W2532" s="3" t="n">
        <v>112.464583</v>
      </c>
      <c r="X2532" s="3" t="n">
        <v>113.976583</v>
      </c>
      <c r="Y2532" s="3" t="n">
        <v>119.254417</v>
      </c>
      <c r="Z2532" s="3" t="n">
        <v>123.815667</v>
      </c>
      <c r="AA2532" s="3" t="n">
        <v>127.092083</v>
      </c>
      <c r="AB2532" s="3" t="n">
        <v>133.5055</v>
      </c>
      <c r="AC2532" s="3" t="n">
        <v>151.9295</v>
      </c>
      <c r="AD2532" s="3" t="n">
        <v>167.7255</v>
      </c>
      <c r="AE2532" s="3" t="n">
        <v>177.0915</v>
      </c>
      <c r="AF2532" s="3" t="n">
        <v>190.066917</v>
      </c>
      <c r="AG2532" s="3" t="n">
        <v>204.801777</v>
      </c>
      <c r="AH2532" s="3" t="n">
        <v>212.701923</v>
      </c>
      <c r="AI2532" s="3" t="n">
        <v>221.838334</v>
      </c>
      <c r="AJ2532" s="3" t="n">
        <v>228.480365</v>
      </c>
      <c r="AK2532" s="3" t="n">
        <v>234.870964</v>
      </c>
      <c r="AL2532" s="3" t="n">
        <v>240.830381</v>
      </c>
      <c r="AM2532" s="3" t="n"/>
      <c r="AN2532" s="3" t="n"/>
      <c r="AO2532" s="3" t="n"/>
      <c r="AP2532" s="3" t="n"/>
      <c r="AQ2532" s="3" t="n"/>
      <c r="AR2532" s="3" t="n"/>
      <c r="AS2532" s="3" t="n"/>
      <c r="AT2532" s="3" t="n"/>
      <c r="AU2532" s="3" t="n"/>
    </row>
    <row r="2533">
      <c r="A2533" s="3" t="n">
        <v>2031</v>
      </c>
      <c r="B2533" s="3" t="inlineStr">
        <is>
          <t>ROU</t>
        </is>
      </c>
      <c r="C2533" s="3" t="inlineStr">
        <is>
          <t>IMF.RES:WEO</t>
        </is>
      </c>
      <c r="D2533" s="3" t="inlineStr">
        <is>
          <t>ROU.PCPIPCH.A</t>
        </is>
      </c>
      <c r="E2533" s="3" t="inlineStr">
        <is>
          <t>Romania</t>
        </is>
      </c>
      <c r="F2533" s="3" t="inlineStr">
        <is>
          <t>All Items, Consumer price index (CPI), Period average, percent change</t>
        </is>
      </c>
      <c r="G2533" s="3" t="n">
        <v>45.666594</v>
      </c>
      <c r="H2533" s="3" t="n">
        <v>34.454077</v>
      </c>
      <c r="I2533" s="3" t="n">
        <v>22.497746</v>
      </c>
      <c r="J2533" s="3" t="n">
        <v>15.370311</v>
      </c>
      <c r="K2533" s="3" t="n">
        <v>11.854951</v>
      </c>
      <c r="L2533" s="3" t="n">
        <v>8.995151999999999</v>
      </c>
      <c r="M2533" s="3" t="n">
        <v>6.591169</v>
      </c>
      <c r="N2533" s="3" t="n">
        <v>4.834458</v>
      </c>
      <c r="O2533" s="3" t="n">
        <v>7.845589</v>
      </c>
      <c r="P2533" s="3" t="n">
        <v>5.584271</v>
      </c>
      <c r="Q2533" s="3" t="n">
        <v>6.1128</v>
      </c>
      <c r="R2533" s="3" t="n">
        <v>5.794662</v>
      </c>
      <c r="S2533" s="3" t="n">
        <v>3.339485</v>
      </c>
      <c r="T2533" s="3" t="n">
        <v>4.001805</v>
      </c>
      <c r="U2533" s="3" t="n">
        <v>1.075538</v>
      </c>
      <c r="V2533" s="3" t="n">
        <v>-0.596037</v>
      </c>
      <c r="W2533" s="3" t="n">
        <v>-1.554758</v>
      </c>
      <c r="X2533" s="3" t="n">
        <v>1.344423</v>
      </c>
      <c r="Y2533" s="3" t="n">
        <v>4.63063</v>
      </c>
      <c r="Z2533" s="3" t="n">
        <v>3.824806</v>
      </c>
      <c r="AA2533" s="3" t="n">
        <v>2.646205</v>
      </c>
      <c r="AB2533" s="3" t="n">
        <v>5.046276</v>
      </c>
      <c r="AC2533" s="3" t="n">
        <v>13.800181</v>
      </c>
      <c r="AD2533" s="3" t="n">
        <v>10.396928</v>
      </c>
      <c r="AE2533" s="3" t="n">
        <v>5.584124</v>
      </c>
      <c r="AF2533" s="3" t="n">
        <v>7.326956</v>
      </c>
      <c r="AG2533" s="3" t="n">
        <v>7.752459</v>
      </c>
      <c r="AH2533" s="3" t="n">
        <v>3.85746</v>
      </c>
      <c r="AI2533" s="3" t="n">
        <v>4.295405</v>
      </c>
      <c r="AJ2533" s="3" t="n">
        <v>2.994086</v>
      </c>
      <c r="AK2533" s="3" t="n">
        <v>2.797001</v>
      </c>
      <c r="AL2533" s="3" t="n">
        <v>2.537315</v>
      </c>
      <c r="AM2533" s="3" t="n"/>
      <c r="AN2533" s="3" t="n"/>
      <c r="AO2533" s="3" t="n"/>
      <c r="AP2533" s="3" t="n"/>
      <c r="AQ2533" s="3" t="n"/>
      <c r="AR2533" s="3" t="n"/>
      <c r="AS2533" s="3" t="n"/>
      <c r="AT2533" s="3" t="n"/>
      <c r="AU2533" s="3" t="n"/>
    </row>
    <row r="2534">
      <c r="A2534" s="3" t="n">
        <v>2031</v>
      </c>
      <c r="B2534" s="3" t="inlineStr">
        <is>
          <t>ROU</t>
        </is>
      </c>
      <c r="C2534" s="3" t="inlineStr">
        <is>
          <t>IMF.RES:WEO</t>
        </is>
      </c>
      <c r="D2534" s="3" t="inlineStr">
        <is>
          <t>ROU.PPPPC.A</t>
        </is>
      </c>
      <c r="E2534" s="3" t="inlineStr">
        <is>
          <t>Romania</t>
        </is>
      </c>
      <c r="F2534" s="3" t="inlineStr">
        <is>
          <t>Gross domestic product (GDP), Per capita, purchasing power parity (PPP) international dollar, ICP benchmarks 2017-2021</t>
        </is>
      </c>
      <c r="G2534" s="3" t="n">
        <v>8853.996854000001</v>
      </c>
      <c r="H2534" s="3" t="n">
        <v>9536.403479000001</v>
      </c>
      <c r="I2534" s="3" t="n">
        <v>10516.81157</v>
      </c>
      <c r="J2534" s="3" t="n">
        <v>11080.036506</v>
      </c>
      <c r="K2534" s="3" t="n">
        <v>12626.575047</v>
      </c>
      <c r="L2534" s="3" t="n">
        <v>13718.904954</v>
      </c>
      <c r="M2534" s="3" t="n">
        <v>15367.489122</v>
      </c>
      <c r="N2534" s="3" t="n">
        <v>17026.949559</v>
      </c>
      <c r="O2534" s="3" t="n">
        <v>19425.358437</v>
      </c>
      <c r="P2534" s="3" t="n">
        <v>18643.238602</v>
      </c>
      <c r="Q2534" s="3" t="n">
        <v>18262.905307</v>
      </c>
      <c r="R2534" s="3" t="n">
        <v>19569.889266</v>
      </c>
      <c r="S2534" s="3" t="n">
        <v>20417.918664</v>
      </c>
      <c r="T2534" s="3" t="n">
        <v>20902.28777</v>
      </c>
      <c r="U2534" s="3" t="n">
        <v>22222.431637</v>
      </c>
      <c r="V2534" s="3" t="n">
        <v>23226.013695</v>
      </c>
      <c r="W2534" s="3" t="n">
        <v>24251.607555</v>
      </c>
      <c r="X2534" s="3" t="n">
        <v>26867.640221</v>
      </c>
      <c r="Y2534" s="3" t="n">
        <v>29293.268967</v>
      </c>
      <c r="Z2534" s="3" t="n">
        <v>33351.574465</v>
      </c>
      <c r="AA2534" s="3" t="n">
        <v>34081.442053</v>
      </c>
      <c r="AB2534" s="3" t="n">
        <v>37715.773335</v>
      </c>
      <c r="AC2534" s="3" t="n">
        <v>42440.501964</v>
      </c>
      <c r="AD2534" s="3" t="n">
        <v>44975.803243</v>
      </c>
      <c r="AE2534" s="3" t="n">
        <v>46787.965277</v>
      </c>
      <c r="AF2534" s="3" t="n">
        <v>48723.696961</v>
      </c>
      <c r="AG2534" s="3" t="n">
        <v>50782.985775</v>
      </c>
      <c r="AH2534" s="3" t="n">
        <v>53517.70861</v>
      </c>
      <c r="AI2534" s="3" t="n">
        <v>56248.745515</v>
      </c>
      <c r="AJ2534" s="3" t="n">
        <v>59288.705814</v>
      </c>
      <c r="AK2534" s="3" t="n">
        <v>62660.710429</v>
      </c>
      <c r="AL2534" s="3" t="n">
        <v>66189.84494900001</v>
      </c>
      <c r="AM2534" s="3" t="n"/>
      <c r="AN2534" s="3" t="n"/>
      <c r="AO2534" s="3" t="n"/>
      <c r="AP2534" s="3" t="n"/>
      <c r="AQ2534" s="3" t="n"/>
      <c r="AR2534" s="3" t="n"/>
      <c r="AS2534" s="3" t="n"/>
      <c r="AT2534" s="3" t="n"/>
      <c r="AU2534" s="3" t="n"/>
    </row>
    <row r="2535">
      <c r="A2535" s="3" t="n">
        <v>2025</v>
      </c>
      <c r="B2535" s="3" t="inlineStr">
        <is>
          <t>ROU</t>
        </is>
      </c>
      <c r="C2535" s="3" t="inlineStr">
        <is>
          <t>IMF.STA:ER</t>
        </is>
      </c>
      <c r="D2535" s="3" t="inlineStr">
        <is>
          <t>ROU.XDC_USD.PA_RT.A</t>
        </is>
      </c>
      <c r="E2535" s="3" t="inlineStr">
        <is>
          <t>Romania</t>
        </is>
      </c>
      <c r="F2535" s="3" t="inlineStr">
        <is>
          <t>Domestic currency per US Dollar</t>
        </is>
      </c>
      <c r="G2535" s="3" t="n">
        <v>2.17087208333333</v>
      </c>
      <c r="H2535" s="3" t="n">
        <v>2.90607916666666</v>
      </c>
      <c r="I2535" s="3" t="n">
        <v>3.305543</v>
      </c>
      <c r="J2535" s="3" t="n">
        <v>3.32000708333333</v>
      </c>
      <c r="K2535" s="3" t="n">
        <v>3.26365683333333</v>
      </c>
      <c r="L2535" s="3" t="n">
        <v>2.91365316666666</v>
      </c>
      <c r="M2535" s="3" t="n">
        <v>2.80898333333333</v>
      </c>
      <c r="N2535" s="3" t="n">
        <v>2.43825</v>
      </c>
      <c r="O2535" s="3" t="n">
        <v>2.51885833333333</v>
      </c>
      <c r="P2535" s="3" t="n">
        <v>3.049325</v>
      </c>
      <c r="Q2535" s="3" t="n">
        <v>3.1779</v>
      </c>
      <c r="R2535" s="3" t="n">
        <v>3.04860833333333</v>
      </c>
      <c r="S2535" s="3" t="n">
        <v>3.4682</v>
      </c>
      <c r="T2535" s="3" t="n">
        <v>3.32791666666666</v>
      </c>
      <c r="U2535" s="3" t="n">
        <v>3.349175</v>
      </c>
      <c r="V2535" s="3" t="n">
        <v>4.00566666666666</v>
      </c>
      <c r="W2535" s="3" t="n">
        <v>4.05918333333333</v>
      </c>
      <c r="X2535" s="3" t="n">
        <v>4.05249166666666</v>
      </c>
      <c r="Y2535" s="3" t="n">
        <v>3.94161666666666</v>
      </c>
      <c r="Z2535" s="3" t="n">
        <v>4.237925</v>
      </c>
      <c r="AA2535" s="3" t="n">
        <v>4.24399166666666</v>
      </c>
      <c r="AB2535" s="3" t="n">
        <v>4.16041666666666</v>
      </c>
      <c r="AC2535" s="3" t="n">
        <v>4.688475</v>
      </c>
      <c r="AD2535" s="3" t="n">
        <v>4.57429166666666</v>
      </c>
      <c r="AE2535" s="3" t="n">
        <v>4.598375</v>
      </c>
      <c r="AF2535" s="3" t="n">
        <v>4.47053333333333</v>
      </c>
      <c r="AG2535" s="3" t="n"/>
      <c r="AH2535" s="3" t="n"/>
      <c r="AI2535" s="3" t="n"/>
      <c r="AJ2535" s="3" t="n"/>
      <c r="AK2535" s="3" t="n"/>
      <c r="AL2535" s="3" t="n"/>
      <c r="AM2535" s="3" t="n"/>
      <c r="AN2535" s="3" t="n"/>
      <c r="AO2535" s="3" t="n"/>
      <c r="AP2535" s="3" t="n"/>
      <c r="AQ2535" s="3" t="n"/>
      <c r="AR2535" s="3" t="n"/>
      <c r="AS2535" s="3" t="n"/>
      <c r="AT2535" s="3" t="n"/>
      <c r="AU2535" s="3" t="n"/>
    </row>
    <row r="2536">
      <c r="A2536" s="3" t="n">
        <v>2031</v>
      </c>
      <c r="B2536" s="3" t="inlineStr">
        <is>
          <t>RUS</t>
        </is>
      </c>
      <c r="C2536" s="3" t="inlineStr">
        <is>
          <t>IMF.RES:WEO</t>
        </is>
      </c>
      <c r="D2536" s="3" t="inlineStr">
        <is>
          <t>RUS.BCA.A</t>
        </is>
      </c>
      <c r="E2536" s="3" t="inlineStr">
        <is>
          <t>Russian Federation</t>
        </is>
      </c>
      <c r="F2536" s="3" t="inlineStr">
        <is>
          <t>Current account balance (credit less debit), US dollar</t>
        </is>
      </c>
      <c r="G2536" s="3" t="n">
        <v>45.3824</v>
      </c>
      <c r="H2536" s="3" t="n">
        <v>32.0538</v>
      </c>
      <c r="I2536" s="3" t="n">
        <v>27.4731</v>
      </c>
      <c r="J2536" s="3" t="n">
        <v>33.1281</v>
      </c>
      <c r="K2536" s="3" t="n">
        <v>58.5598</v>
      </c>
      <c r="L2536" s="3" t="n">
        <v>84.3887</v>
      </c>
      <c r="M2536" s="3" t="n">
        <v>92.3155</v>
      </c>
      <c r="N2536" s="3" t="n">
        <v>72.1931</v>
      </c>
      <c r="O2536" s="3" t="n">
        <v>103.9354</v>
      </c>
      <c r="P2536" s="3" t="n">
        <v>50.3836</v>
      </c>
      <c r="Q2536" s="3" t="n">
        <v>67.4522</v>
      </c>
      <c r="R2536" s="3" t="n">
        <v>97.274</v>
      </c>
      <c r="S2536" s="3" t="n">
        <v>71.2822</v>
      </c>
      <c r="T2536" s="3" t="n">
        <v>33.4282</v>
      </c>
      <c r="U2536" s="3" t="n">
        <v>57.5128</v>
      </c>
      <c r="V2536" s="3" t="n">
        <v>67.7773</v>
      </c>
      <c r="W2536" s="3" t="n">
        <v>24.4688</v>
      </c>
      <c r="X2536" s="3" t="n">
        <v>32.1786</v>
      </c>
      <c r="Y2536" s="3" t="n">
        <v>115.68</v>
      </c>
      <c r="Z2536" s="3" t="n">
        <v>65.6502</v>
      </c>
      <c r="AA2536" s="3" t="n">
        <v>35.3726</v>
      </c>
      <c r="AB2536" s="3" t="n">
        <v>124.953</v>
      </c>
      <c r="AC2536" s="3" t="n">
        <v>237.7348</v>
      </c>
      <c r="AD2536" s="3" t="n">
        <v>49.3965</v>
      </c>
      <c r="AE2536" s="3" t="n">
        <v>62.5749</v>
      </c>
      <c r="AF2536" s="3" t="n">
        <v>41.392</v>
      </c>
      <c r="AG2536" s="3" t="n">
        <v>78.334532</v>
      </c>
      <c r="AH2536" s="3" t="n">
        <v>57.910523</v>
      </c>
      <c r="AI2536" s="3" t="n">
        <v>44.991399</v>
      </c>
      <c r="AJ2536" s="3" t="n">
        <v>36.018088</v>
      </c>
      <c r="AK2536" s="3" t="n">
        <v>31.914011</v>
      </c>
      <c r="AL2536" s="3" t="n">
        <v>29.422225</v>
      </c>
      <c r="AM2536" s="3" t="n"/>
      <c r="AN2536" s="3" t="n"/>
      <c r="AO2536" s="3" t="n"/>
      <c r="AP2536" s="3" t="n"/>
      <c r="AQ2536" s="3" t="n"/>
      <c r="AR2536" s="3" t="n"/>
      <c r="AS2536" s="3" t="n"/>
      <c r="AT2536" s="3" t="n"/>
      <c r="AU2536" s="3" t="n"/>
    </row>
    <row r="2537">
      <c r="A2537" s="3" t="n">
        <v>2031</v>
      </c>
      <c r="B2537" s="3" t="inlineStr">
        <is>
          <t>RUS</t>
        </is>
      </c>
      <c r="C2537" s="3" t="inlineStr">
        <is>
          <t>IMF.RES:WEO</t>
        </is>
      </c>
      <c r="D2537" s="3" t="inlineStr">
        <is>
          <t>RUS.BCA_NGDPD.A</t>
        </is>
      </c>
      <c r="E2537" s="3" t="inlineStr">
        <is>
          <t>Russian Federation</t>
        </is>
      </c>
      <c r="F2537" s="3" t="inlineStr">
        <is>
          <t>Current account balance (credit less debit), Percent of GDP</t>
        </is>
      </c>
      <c r="G2537" s="3" t="n">
        <v>16.309129</v>
      </c>
      <c r="H2537" s="3" t="n">
        <v>9.758357999999999</v>
      </c>
      <c r="I2537" s="3" t="n">
        <v>7.423911</v>
      </c>
      <c r="J2537" s="3" t="n">
        <v>7.178066</v>
      </c>
      <c r="K2537" s="3" t="n">
        <v>9.246857</v>
      </c>
      <c r="L2537" s="3" t="n">
        <v>10.320039</v>
      </c>
      <c r="M2537" s="3" t="n">
        <v>8.701610000000001</v>
      </c>
      <c r="N2537" s="3" t="n">
        <v>5.181017</v>
      </c>
      <c r="O2537" s="3" t="n">
        <v>5.841992</v>
      </c>
      <c r="P2537" s="3" t="n">
        <v>3.852173</v>
      </c>
      <c r="Q2537" s="3" t="n">
        <v>4.130289</v>
      </c>
      <c r="R2537" s="3" t="n">
        <v>4.752908</v>
      </c>
      <c r="S2537" s="3" t="n">
        <v>3.252688</v>
      </c>
      <c r="T2537" s="3" t="n">
        <v>1.460749</v>
      </c>
      <c r="U2537" s="3" t="n">
        <v>2.807094</v>
      </c>
      <c r="V2537" s="3" t="n">
        <v>4.995734</v>
      </c>
      <c r="W2537" s="3" t="n">
        <v>1.910658</v>
      </c>
      <c r="X2537" s="3" t="n">
        <v>2.042905</v>
      </c>
      <c r="Y2537" s="3" t="n">
        <v>6.998164</v>
      </c>
      <c r="Z2537" s="3" t="n">
        <v>3.871514</v>
      </c>
      <c r="AA2537" s="3" t="n">
        <v>2.377003</v>
      </c>
      <c r="AB2537" s="3" t="n">
        <v>6.83204</v>
      </c>
      <c r="AC2537" s="3" t="n">
        <v>10.352453</v>
      </c>
      <c r="AD2537" s="3" t="n">
        <v>2.427727</v>
      </c>
      <c r="AE2537" s="3" t="n">
        <v>2.862729</v>
      </c>
      <c r="AF2537" s="3" t="n">
        <v>1.59942</v>
      </c>
      <c r="AG2537" s="3" t="n">
        <v>2.94884</v>
      </c>
      <c r="AH2537" s="3" t="n">
        <v>2.285851</v>
      </c>
      <c r="AI2537" s="3" t="n">
        <v>1.763273</v>
      </c>
      <c r="AJ2537" s="3" t="n">
        <v>1.402169</v>
      </c>
      <c r="AK2537" s="3" t="n">
        <v>1.231485</v>
      </c>
      <c r="AL2537" s="3" t="n">
        <v>1.125121</v>
      </c>
      <c r="AM2537" s="3" t="n"/>
      <c r="AN2537" s="3" t="n"/>
      <c r="AO2537" s="3" t="n"/>
      <c r="AP2537" s="3" t="n"/>
      <c r="AQ2537" s="3" t="n"/>
      <c r="AR2537" s="3" t="n"/>
      <c r="AS2537" s="3" t="n"/>
      <c r="AT2537" s="3" t="n"/>
      <c r="AU2537" s="3" t="n"/>
    </row>
    <row r="2538">
      <c r="A2538" s="3" t="n">
        <v>2031</v>
      </c>
      <c r="B2538" s="3" t="inlineStr">
        <is>
          <t>RUS</t>
        </is>
      </c>
      <c r="C2538" s="3" t="inlineStr">
        <is>
          <t>IMF.RES:WEO</t>
        </is>
      </c>
      <c r="D2538" s="3" t="inlineStr">
        <is>
          <t>RUS.GGR_NGDP.A</t>
        </is>
      </c>
      <c r="E2538" s="3" t="inlineStr">
        <is>
          <t>Russian Federation</t>
        </is>
      </c>
      <c r="F2538" s="3" t="inlineStr">
        <is>
          <t>Revenue, General government, Percent of GDP</t>
        </is>
      </c>
      <c r="G2538" s="3" t="n">
        <v>33.757791</v>
      </c>
      <c r="H2538" s="3" t="n">
        <v>34.455511</v>
      </c>
      <c r="I2538" s="3" t="n">
        <v>34.490523</v>
      </c>
      <c r="J2538" s="3" t="n">
        <v>33.948813</v>
      </c>
      <c r="K2538" s="3" t="n">
        <v>34.203146</v>
      </c>
      <c r="L2538" s="3" t="n">
        <v>37.054826</v>
      </c>
      <c r="M2538" s="3" t="n">
        <v>36.843293</v>
      </c>
      <c r="N2538" s="3" t="n">
        <v>37.526885</v>
      </c>
      <c r="O2538" s="3" t="n">
        <v>36.559902</v>
      </c>
      <c r="P2538" s="3" t="n">
        <v>32.707229</v>
      </c>
      <c r="Q2538" s="3" t="n">
        <v>32.310954</v>
      </c>
      <c r="R2538" s="3" t="n">
        <v>34.69303</v>
      </c>
      <c r="S2538" s="3" t="n">
        <v>34.411039</v>
      </c>
      <c r="T2538" s="3" t="n">
        <v>33.489691</v>
      </c>
      <c r="U2538" s="3" t="n">
        <v>33.868235</v>
      </c>
      <c r="V2538" s="3" t="n">
        <v>31.887027</v>
      </c>
      <c r="W2538" s="3" t="n">
        <v>32.916175</v>
      </c>
      <c r="X2538" s="3" t="n">
        <v>33.361246</v>
      </c>
      <c r="Y2538" s="3" t="n">
        <v>35.544302</v>
      </c>
      <c r="Z2538" s="3" t="n">
        <v>35.681877</v>
      </c>
      <c r="AA2538" s="3" t="n">
        <v>35.163816</v>
      </c>
      <c r="AB2538" s="3" t="n">
        <v>35.715377</v>
      </c>
      <c r="AC2538" s="3" t="n">
        <v>33.804916</v>
      </c>
      <c r="AD2538" s="3" t="n">
        <v>33.898482</v>
      </c>
      <c r="AE2538" s="3" t="n">
        <v>35.063655</v>
      </c>
      <c r="AF2538" s="3" t="n">
        <v>35.232509</v>
      </c>
      <c r="AG2538" s="3" t="n">
        <v>35.441962</v>
      </c>
      <c r="AH2538" s="3" t="n">
        <v>35.206799</v>
      </c>
      <c r="AI2538" s="3" t="n">
        <v>34.676436</v>
      </c>
      <c r="AJ2538" s="3" t="n">
        <v>34.649122</v>
      </c>
      <c r="AK2538" s="3" t="n">
        <v>34.661165</v>
      </c>
      <c r="AL2538" s="3" t="n">
        <v>34.785331</v>
      </c>
      <c r="AM2538" s="3" t="n"/>
      <c r="AN2538" s="3" t="n"/>
      <c r="AO2538" s="3" t="n"/>
      <c r="AP2538" s="3" t="n"/>
      <c r="AQ2538" s="3" t="n"/>
      <c r="AR2538" s="3" t="n"/>
      <c r="AS2538" s="3" t="n"/>
      <c r="AT2538" s="3" t="n"/>
      <c r="AU2538" s="3" t="n"/>
    </row>
    <row r="2539">
      <c r="A2539" s="3" t="n">
        <v>2031</v>
      </c>
      <c r="B2539" s="3" t="inlineStr">
        <is>
          <t>RUS</t>
        </is>
      </c>
      <c r="C2539" s="3" t="inlineStr">
        <is>
          <t>IMF.RES:WEO</t>
        </is>
      </c>
      <c r="D2539" s="3" t="inlineStr">
        <is>
          <t>RUS.GGX_NGDP.A</t>
        </is>
      </c>
      <c r="E2539" s="3" t="inlineStr">
        <is>
          <t>Russian Federation</t>
        </is>
      </c>
      <c r="F2539" s="3" t="inlineStr">
        <is>
          <t>Expenditure, General government, Percent of GDP</t>
        </is>
      </c>
      <c r="G2539" s="3" t="n">
        <v>30.650715</v>
      </c>
      <c r="H2539" s="3" t="n">
        <v>31.464267</v>
      </c>
      <c r="I2539" s="3" t="n">
        <v>33.81793</v>
      </c>
      <c r="J2539" s="3" t="n">
        <v>32.598689</v>
      </c>
      <c r="K2539" s="3" t="n">
        <v>29.628396</v>
      </c>
      <c r="L2539" s="3" t="n">
        <v>29.457867</v>
      </c>
      <c r="M2539" s="3" t="n">
        <v>29.039754</v>
      </c>
      <c r="N2539" s="3" t="n">
        <v>31.941518</v>
      </c>
      <c r="O2539" s="3" t="n">
        <v>32.010412</v>
      </c>
      <c r="P2539" s="3" t="n">
        <v>38.596139</v>
      </c>
      <c r="Q2539" s="3" t="n">
        <v>35.504831</v>
      </c>
      <c r="R2539" s="3" t="n">
        <v>33.261211</v>
      </c>
      <c r="S2539" s="3" t="n">
        <v>34.028698</v>
      </c>
      <c r="T2539" s="3" t="n">
        <v>34.651869</v>
      </c>
      <c r="U2539" s="3" t="n">
        <v>34.938191</v>
      </c>
      <c r="V2539" s="3" t="n">
        <v>35.273453</v>
      </c>
      <c r="W2539" s="3" t="n">
        <v>36.586208</v>
      </c>
      <c r="X2539" s="3" t="n">
        <v>34.830171</v>
      </c>
      <c r="Y2539" s="3" t="n">
        <v>32.620977</v>
      </c>
      <c r="Z2539" s="3" t="n">
        <v>33.752262</v>
      </c>
      <c r="AA2539" s="3" t="n">
        <v>39.152566</v>
      </c>
      <c r="AB2539" s="3" t="n">
        <v>34.939134</v>
      </c>
      <c r="AC2539" s="3" t="n">
        <v>35.147335</v>
      </c>
      <c r="AD2539" s="3" t="n">
        <v>36.142303</v>
      </c>
      <c r="AE2539" s="3" t="n">
        <v>36.657854</v>
      </c>
      <c r="AF2539" s="3" t="n">
        <v>39.137131</v>
      </c>
      <c r="AG2539" s="3" t="n">
        <v>37.491329</v>
      </c>
      <c r="AH2539" s="3" t="n">
        <v>37.631193</v>
      </c>
      <c r="AI2539" s="3" t="n">
        <v>37.809036</v>
      </c>
      <c r="AJ2539" s="3" t="n">
        <v>37.043983</v>
      </c>
      <c r="AK2539" s="3" t="n">
        <v>37.160816</v>
      </c>
      <c r="AL2539" s="3" t="n">
        <v>37.5409</v>
      </c>
      <c r="AM2539" s="3" t="n"/>
      <c r="AN2539" s="3" t="n"/>
      <c r="AO2539" s="3" t="n"/>
      <c r="AP2539" s="3" t="n"/>
      <c r="AQ2539" s="3" t="n"/>
      <c r="AR2539" s="3" t="n"/>
      <c r="AS2539" s="3" t="n"/>
      <c r="AT2539" s="3" t="n"/>
      <c r="AU2539" s="3" t="n"/>
    </row>
    <row r="2540">
      <c r="A2540" s="3" t="n">
        <v>2031</v>
      </c>
      <c r="B2540" s="3" t="inlineStr">
        <is>
          <t>RUS</t>
        </is>
      </c>
      <c r="C2540" s="3" t="inlineStr">
        <is>
          <t>IMF.RES:WEO</t>
        </is>
      </c>
      <c r="D2540" s="3" t="inlineStr">
        <is>
          <t>RUS.LP.A</t>
        </is>
      </c>
      <c r="E2540" s="3" t="inlineStr">
        <is>
          <t>Russian Federation</t>
        </is>
      </c>
      <c r="F2540" s="3" t="inlineStr">
        <is>
          <t>Population, Persons for countries / Index for country groups</t>
        </is>
      </c>
      <c r="G2540" s="3" t="n">
        <v>146.717783</v>
      </c>
      <c r="H2540" s="3" t="n">
        <v>146.117284</v>
      </c>
      <c r="I2540" s="3" t="n">
        <v>145.9395</v>
      </c>
      <c r="J2540" s="3" t="n">
        <v>145.79423</v>
      </c>
      <c r="K2540" s="3" t="n">
        <v>145.180097</v>
      </c>
      <c r="L2540" s="3" t="n">
        <v>144.597885</v>
      </c>
      <c r="M2540" s="3" t="n">
        <v>144.102948</v>
      </c>
      <c r="N2540" s="3" t="n">
        <v>143.859764</v>
      </c>
      <c r="O2540" s="3" t="n">
        <v>143.811841</v>
      </c>
      <c r="P2540" s="3" t="n">
        <v>143.869132</v>
      </c>
      <c r="Q2540" s="3" t="n">
        <v>143.934466</v>
      </c>
      <c r="R2540" s="3" t="n">
        <v>144.043749</v>
      </c>
      <c r="S2540" s="3" t="n">
        <v>144.291029</v>
      </c>
      <c r="T2540" s="3" t="n">
        <v>144.604098</v>
      </c>
      <c r="U2540" s="3" t="n">
        <v>144.925638</v>
      </c>
      <c r="V2540" s="3" t="n">
        <v>145.307616</v>
      </c>
      <c r="W2540" s="3" t="n">
        <v>145.778677</v>
      </c>
      <c r="X2540" s="3" t="n">
        <v>146.186799</v>
      </c>
      <c r="Y2540" s="3" t="n">
        <v>146.430146</v>
      </c>
      <c r="Z2540" s="3" t="n">
        <v>146.533067</v>
      </c>
      <c r="AA2540" s="3" t="n">
        <v>146.371299</v>
      </c>
      <c r="AB2540" s="3" t="n">
        <v>145.836175</v>
      </c>
      <c r="AC2540" s="3" t="n">
        <v>145.579899</v>
      </c>
      <c r="AD2540" s="3" t="n">
        <v>145.440501</v>
      </c>
      <c r="AE2540" s="3" t="n">
        <v>144.820423</v>
      </c>
      <c r="AF2540" s="3" t="n">
        <v>143.997393</v>
      </c>
      <c r="AG2540" s="3" t="n">
        <v>143.394458</v>
      </c>
      <c r="AH2540" s="3" t="n">
        <v>143.044125</v>
      </c>
      <c r="AI2540" s="3" t="n">
        <v>142.669792</v>
      </c>
      <c r="AJ2540" s="3" t="n">
        <v>142.285056</v>
      </c>
      <c r="AK2540" s="3" t="n">
        <v>141.88941</v>
      </c>
      <c r="AL2540" s="3" t="n">
        <v>141.475451</v>
      </c>
      <c r="AM2540" s="3" t="n"/>
      <c r="AN2540" s="3" t="n"/>
      <c r="AO2540" s="3" t="n"/>
      <c r="AP2540" s="3" t="n"/>
      <c r="AQ2540" s="3" t="n"/>
      <c r="AR2540" s="3" t="n"/>
      <c r="AS2540" s="3" t="n"/>
      <c r="AT2540" s="3" t="n"/>
      <c r="AU2540" s="3" t="n"/>
    </row>
    <row r="2541">
      <c r="A2541" s="3" t="n">
        <v>2031</v>
      </c>
      <c r="B2541" s="3" t="inlineStr">
        <is>
          <t>RUS</t>
        </is>
      </c>
      <c r="C2541" s="3" t="inlineStr">
        <is>
          <t>IMF.RES:WEO</t>
        </is>
      </c>
      <c r="D2541" s="3" t="inlineStr">
        <is>
          <t>RUS.NGDP.A</t>
        </is>
      </c>
      <c r="E2541" s="3" t="inlineStr">
        <is>
          <t>Russian Federation</t>
        </is>
      </c>
      <c r="F2541" s="3" t="inlineStr">
        <is>
          <t>Gross domestic product (GDP), Current prices, Domestic currency</t>
        </is>
      </c>
      <c r="G2541" s="3" t="n">
        <v>7827.47</v>
      </c>
      <c r="H2541" s="3" t="n">
        <v>9582.540000000001</v>
      </c>
      <c r="I2541" s="3" t="n">
        <v>11604.47</v>
      </c>
      <c r="J2541" s="3" t="n">
        <v>14152.13</v>
      </c>
      <c r="K2541" s="3" t="n">
        <v>18243.96</v>
      </c>
      <c r="L2541" s="3" t="n">
        <v>23153.9</v>
      </c>
      <c r="M2541" s="3" t="n">
        <v>28840.56</v>
      </c>
      <c r="N2541" s="3" t="n">
        <v>35623.16</v>
      </c>
      <c r="O2541" s="3" t="n">
        <v>44226.32</v>
      </c>
      <c r="P2541" s="3" t="n">
        <v>41580.16</v>
      </c>
      <c r="Q2541" s="3" t="n">
        <v>49617.63</v>
      </c>
      <c r="R2541" s="3" t="n">
        <v>60114.001</v>
      </c>
      <c r="S2541" s="3" t="n">
        <v>68103.45</v>
      </c>
      <c r="T2541" s="3" t="n">
        <v>72985.701</v>
      </c>
      <c r="U2541" s="3" t="n">
        <v>79030.03999999999</v>
      </c>
      <c r="V2541" s="3" t="n">
        <v>83087.36</v>
      </c>
      <c r="W2541" s="3" t="n">
        <v>85616.084</v>
      </c>
      <c r="X2541" s="3" t="n">
        <v>91843.15399999999</v>
      </c>
      <c r="Y2541" s="3" t="n">
        <v>103861.651</v>
      </c>
      <c r="Z2541" s="3" t="n">
        <v>109608.306</v>
      </c>
      <c r="AA2541" s="3" t="n">
        <v>107658.131</v>
      </c>
      <c r="AB2541" s="3" t="n">
        <v>134727.467</v>
      </c>
      <c r="AC2541" s="3" t="n">
        <v>157001.394</v>
      </c>
      <c r="AD2541" s="3" t="n">
        <v>174265.726</v>
      </c>
      <c r="AE2541" s="3" t="n">
        <v>202320.46</v>
      </c>
      <c r="AF2541" s="3" t="n">
        <v>213515.828</v>
      </c>
      <c r="AG2541" s="3" t="n">
        <v>222620.13316</v>
      </c>
      <c r="AH2541" s="3" t="n">
        <v>231220.805793</v>
      </c>
      <c r="AI2541" s="3" t="n">
        <v>242789.621401</v>
      </c>
      <c r="AJ2541" s="3" t="n">
        <v>254296.287363</v>
      </c>
      <c r="AK2541" s="3" t="n">
        <v>266836.98541</v>
      </c>
      <c r="AL2541" s="3" t="n">
        <v>280122.569777</v>
      </c>
      <c r="AM2541" s="3" t="n"/>
      <c r="AN2541" s="3" t="n"/>
      <c r="AO2541" s="3" t="n"/>
      <c r="AP2541" s="3" t="n"/>
      <c r="AQ2541" s="3" t="n"/>
      <c r="AR2541" s="3" t="n"/>
      <c r="AS2541" s="3" t="n"/>
      <c r="AT2541" s="3" t="n"/>
      <c r="AU2541" s="3" t="n"/>
    </row>
    <row r="2542">
      <c r="A2542" s="3" t="n">
        <v>2031</v>
      </c>
      <c r="B2542" s="3" t="inlineStr">
        <is>
          <t>RUS</t>
        </is>
      </c>
      <c r="C2542" s="3" t="inlineStr">
        <is>
          <t>IMF.RES:WEO</t>
        </is>
      </c>
      <c r="D2542" s="3" t="inlineStr">
        <is>
          <t>RUS.NGDP_D.A</t>
        </is>
      </c>
      <c r="E2542" s="3" t="inlineStr">
        <is>
          <t>Russian Federation</t>
        </is>
      </c>
      <c r="F2542" s="3" t="inlineStr">
        <is>
          <t>Gross domestic product (GDP), Price deflator, Index</t>
        </is>
      </c>
      <c r="G2542" s="3" t="n">
        <v>11.188297</v>
      </c>
      <c r="H2542" s="3" t="n">
        <v>13.034556</v>
      </c>
      <c r="I2542" s="3" t="n">
        <v>15.069637</v>
      </c>
      <c r="J2542" s="3" t="n">
        <v>17.11883</v>
      </c>
      <c r="K2542" s="3" t="n">
        <v>20.596701</v>
      </c>
      <c r="L2542" s="3" t="n">
        <v>24.568295</v>
      </c>
      <c r="M2542" s="3" t="n">
        <v>28.29221</v>
      </c>
      <c r="N2542" s="3" t="n">
        <v>32.193231</v>
      </c>
      <c r="O2542" s="3" t="n">
        <v>37.975442</v>
      </c>
      <c r="P2542" s="3" t="n">
        <v>38.732532</v>
      </c>
      <c r="Q2542" s="3" t="n">
        <v>44.224015</v>
      </c>
      <c r="R2542" s="3" t="n">
        <v>51.521268</v>
      </c>
      <c r="S2542" s="3" t="n">
        <v>56.110755</v>
      </c>
      <c r="T2542" s="3" t="n">
        <v>59.095883</v>
      </c>
      <c r="U2542" s="3" t="n">
        <v>63.522237</v>
      </c>
      <c r="V2542" s="3" t="n">
        <v>68.127365</v>
      </c>
      <c r="W2542" s="3" t="n">
        <v>70.065093</v>
      </c>
      <c r="X2542" s="3" t="n">
        <v>73.812759</v>
      </c>
      <c r="Y2542" s="3" t="n">
        <v>81.193258</v>
      </c>
      <c r="Z2542" s="3" t="n">
        <v>83.84274600000001</v>
      </c>
      <c r="AA2542" s="3" t="n">
        <v>84.59587999999999</v>
      </c>
      <c r="AB2542" s="3" t="n">
        <v>100</v>
      </c>
      <c r="AC2542" s="3" t="n">
        <v>118.229613</v>
      </c>
      <c r="AD2542" s="3" t="n">
        <v>126.10239</v>
      </c>
      <c r="AE2542" s="3" t="n">
        <v>139.535883</v>
      </c>
      <c r="AF2542" s="3" t="n">
        <v>145.826479</v>
      </c>
      <c r="AG2542" s="3" t="n">
        <v>150.403071</v>
      </c>
      <c r="AH2542" s="3" t="n">
        <v>154.532593</v>
      </c>
      <c r="AI2542" s="3" t="n">
        <v>160.657841</v>
      </c>
      <c r="AJ2542" s="3" t="n">
        <v>166.60593</v>
      </c>
      <c r="AK2542" s="3" t="n">
        <v>173.091239</v>
      </c>
      <c r="AL2542" s="3" t="n">
        <v>179.910201</v>
      </c>
      <c r="AM2542" s="3" t="n"/>
      <c r="AN2542" s="3" t="n"/>
      <c r="AO2542" s="3" t="n"/>
      <c r="AP2542" s="3" t="n"/>
      <c r="AQ2542" s="3" t="n"/>
      <c r="AR2542" s="3" t="n"/>
      <c r="AS2542" s="3" t="n"/>
      <c r="AT2542" s="3" t="n"/>
      <c r="AU2542" s="3" t="n"/>
    </row>
    <row r="2543">
      <c r="A2543" s="3" t="n">
        <v>2031</v>
      </c>
      <c r="B2543" s="3" t="inlineStr">
        <is>
          <t>RUS</t>
        </is>
      </c>
      <c r="C2543" s="3" t="inlineStr">
        <is>
          <t>IMF.RES:WEO</t>
        </is>
      </c>
      <c r="D2543" s="3" t="inlineStr">
        <is>
          <t>RUS.NGDP_R.A</t>
        </is>
      </c>
      <c r="E2543" s="3" t="inlineStr">
        <is>
          <t>Russian Federation</t>
        </is>
      </c>
      <c r="F2543" s="3" t="inlineStr">
        <is>
          <t>Gross domestic product (GDP), Constant prices, Domestic currency</t>
        </is>
      </c>
      <c r="G2543" s="3" t="n">
        <v>69961.23</v>
      </c>
      <c r="H2543" s="3" t="n">
        <v>73516.427</v>
      </c>
      <c r="I2543" s="3" t="n">
        <v>77005.63800000001</v>
      </c>
      <c r="J2543" s="3" t="n">
        <v>82669.961</v>
      </c>
      <c r="K2543" s="3" t="n">
        <v>88577.098</v>
      </c>
      <c r="L2543" s="3" t="n">
        <v>94243.00900000001</v>
      </c>
      <c r="M2543" s="3" t="n">
        <v>101938.165</v>
      </c>
      <c r="N2543" s="3" t="n">
        <v>110654.194</v>
      </c>
      <c r="O2543" s="3" t="n">
        <v>116460.316</v>
      </c>
      <c r="P2543" s="3" t="n">
        <v>107352.032</v>
      </c>
      <c r="Q2543" s="3" t="n">
        <v>112196.123</v>
      </c>
      <c r="R2543" s="3" t="n">
        <v>116678.031</v>
      </c>
      <c r="S2543" s="3" t="n">
        <v>121373.255</v>
      </c>
      <c r="T2543" s="3" t="n">
        <v>123503.868</v>
      </c>
      <c r="U2543" s="3" t="n">
        <v>124413.187</v>
      </c>
      <c r="V2543" s="3" t="n">
        <v>121958.864</v>
      </c>
      <c r="W2543" s="3" t="n">
        <v>122195.063</v>
      </c>
      <c r="X2543" s="3" t="n">
        <v>124427.207</v>
      </c>
      <c r="Y2543" s="3" t="n">
        <v>127919.058</v>
      </c>
      <c r="Z2543" s="3" t="n">
        <v>130730.816</v>
      </c>
      <c r="AA2543" s="3" t="n">
        <v>127261.672</v>
      </c>
      <c r="AB2543" s="3" t="n">
        <v>134727.467</v>
      </c>
      <c r="AC2543" s="3" t="n">
        <v>132793.629</v>
      </c>
      <c r="AD2543" s="3" t="n">
        <v>138193.833</v>
      </c>
      <c r="AE2543" s="3" t="n">
        <v>144995.291</v>
      </c>
      <c r="AF2543" s="3" t="n">
        <v>146417.735</v>
      </c>
      <c r="AG2543" s="3" t="n">
        <v>148015.683164</v>
      </c>
      <c r="AH2543" s="3" t="n">
        <v>149625.914313</v>
      </c>
      <c r="AI2543" s="3" t="n">
        <v>151122.173457</v>
      </c>
      <c r="AJ2543" s="3" t="n">
        <v>152633.395191</v>
      </c>
      <c r="AK2543" s="3" t="n">
        <v>154159.729143</v>
      </c>
      <c r="AL2543" s="3" t="n">
        <v>155701.326434</v>
      </c>
      <c r="AM2543" s="3" t="n"/>
      <c r="AN2543" s="3" t="n"/>
      <c r="AO2543" s="3" t="n"/>
      <c r="AP2543" s="3" t="n"/>
      <c r="AQ2543" s="3" t="n"/>
      <c r="AR2543" s="3" t="n"/>
      <c r="AS2543" s="3" t="n"/>
      <c r="AT2543" s="3" t="n"/>
      <c r="AU2543" s="3" t="n"/>
    </row>
    <row r="2544">
      <c r="A2544" s="3" t="n">
        <v>2031</v>
      </c>
      <c r="B2544" s="3" t="inlineStr">
        <is>
          <t>RUS</t>
        </is>
      </c>
      <c r="C2544" s="3" t="inlineStr">
        <is>
          <t>IMF.RES:WEO</t>
        </is>
      </c>
      <c r="D2544" s="3" t="inlineStr">
        <is>
          <t>RUS.NGDP_RPCH.A</t>
        </is>
      </c>
      <c r="E2544" s="3" t="inlineStr">
        <is>
          <t>Russian Federation</t>
        </is>
      </c>
      <c r="F2544" s="3" t="inlineStr">
        <is>
          <t>Gross domestic product (GDP), Constant prices, Percent change</t>
        </is>
      </c>
      <c r="G2544" s="3" t="n">
        <v>10.054447</v>
      </c>
      <c r="H2544" s="3" t="n">
        <v>5.081667</v>
      </c>
      <c r="I2544" s="3" t="n">
        <v>4.746165</v>
      </c>
      <c r="J2544" s="3" t="n">
        <v>7.355725</v>
      </c>
      <c r="K2544" s="3" t="n">
        <v>7.145445</v>
      </c>
      <c r="L2544" s="3" t="n">
        <v>6.396587</v>
      </c>
      <c r="M2544" s="3" t="n">
        <v>8.165227</v>
      </c>
      <c r="N2544" s="3" t="n">
        <v>8.55031</v>
      </c>
      <c r="O2544" s="3" t="n">
        <v>5.247087</v>
      </c>
      <c r="P2544" s="3" t="n">
        <v>-7.820934</v>
      </c>
      <c r="Q2544" s="3" t="n">
        <v>4.512342</v>
      </c>
      <c r="R2544" s="3" t="n">
        <v>3.994708</v>
      </c>
      <c r="S2544" s="3" t="n">
        <v>4.024086</v>
      </c>
      <c r="T2544" s="3" t="n">
        <v>1.755422</v>
      </c>
      <c r="U2544" s="3" t="n">
        <v>0.736268</v>
      </c>
      <c r="V2544" s="3" t="n">
        <v>-1.972719</v>
      </c>
      <c r="W2544" s="3" t="n">
        <v>0.193671</v>
      </c>
      <c r="X2544" s="3" t="n">
        <v>1.826706</v>
      </c>
      <c r="Y2544" s="3" t="n">
        <v>2.80634</v>
      </c>
      <c r="Z2544" s="3" t="n">
        <v>2.198076</v>
      </c>
      <c r="AA2544" s="3" t="n">
        <v>-2.653654</v>
      </c>
      <c r="AB2544" s="3" t="n">
        <v>5.866491</v>
      </c>
      <c r="AC2544" s="3" t="n">
        <v>-1.43537</v>
      </c>
      <c r="AD2544" s="3" t="n">
        <v>4.066614</v>
      </c>
      <c r="AE2544" s="3" t="n">
        <v>4.92168</v>
      </c>
      <c r="AF2544" s="3" t="n">
        <v>0.981028</v>
      </c>
      <c r="AG2544" s="3" t="n">
        <v>1.091362</v>
      </c>
      <c r="AH2544" s="3" t="n">
        <v>1.087879</v>
      </c>
      <c r="AI2544" s="3" t="n">
        <v>1</v>
      </c>
      <c r="AJ2544" s="3" t="n">
        <v>1</v>
      </c>
      <c r="AK2544" s="3" t="n">
        <v>1</v>
      </c>
      <c r="AL2544" s="3" t="n">
        <v>1</v>
      </c>
      <c r="AM2544" s="3" t="n"/>
      <c r="AN2544" s="3" t="n"/>
      <c r="AO2544" s="3" t="n"/>
      <c r="AP2544" s="3" t="n"/>
      <c r="AQ2544" s="3" t="n"/>
      <c r="AR2544" s="3" t="n"/>
      <c r="AS2544" s="3" t="n"/>
      <c r="AT2544" s="3" t="n"/>
      <c r="AU2544" s="3" t="n"/>
    </row>
    <row r="2545">
      <c r="A2545" s="3" t="n">
        <v>2031</v>
      </c>
      <c r="B2545" s="3" t="inlineStr">
        <is>
          <t>RUS</t>
        </is>
      </c>
      <c r="C2545" s="3" t="inlineStr">
        <is>
          <t>IMF.RES:WEO</t>
        </is>
      </c>
      <c r="D2545" s="3" t="inlineStr">
        <is>
          <t>RUS.NGDPD.A</t>
        </is>
      </c>
      <c r="E2545" s="3" t="inlineStr">
        <is>
          <t>Russian Federation</t>
        </is>
      </c>
      <c r="F2545" s="3" t="inlineStr">
        <is>
          <t>Gross domestic product (GDP), Current prices, US dollar</t>
        </is>
      </c>
      <c r="G2545" s="3" t="n">
        <v>278.26378</v>
      </c>
      <c r="H2545" s="3" t="n">
        <v>328.475355</v>
      </c>
      <c r="I2545" s="3" t="n">
        <v>370.062338</v>
      </c>
      <c r="J2545" s="3" t="n">
        <v>461.518452</v>
      </c>
      <c r="K2545" s="3" t="n">
        <v>633.294112</v>
      </c>
      <c r="L2545" s="3" t="n">
        <v>817.7169</v>
      </c>
      <c r="M2545" s="3" t="n">
        <v>1060.901349</v>
      </c>
      <c r="N2545" s="3" t="n">
        <v>1393.415741</v>
      </c>
      <c r="O2545" s="3" t="n">
        <v>1779.108799</v>
      </c>
      <c r="P2545" s="3" t="n">
        <v>1307.926595</v>
      </c>
      <c r="Q2545" s="3" t="n">
        <v>1633.110969</v>
      </c>
      <c r="R2545" s="3" t="n">
        <v>2046.620902</v>
      </c>
      <c r="S2545" s="3" t="n">
        <v>2191.485883</v>
      </c>
      <c r="T2545" s="3" t="n">
        <v>2288.428379</v>
      </c>
      <c r="U2545" s="3" t="n">
        <v>2048.837355</v>
      </c>
      <c r="V2545" s="3" t="n">
        <v>1356.703419</v>
      </c>
      <c r="W2545" s="3" t="n">
        <v>1280.647793</v>
      </c>
      <c r="X2545" s="3" t="n">
        <v>1575.139674</v>
      </c>
      <c r="Y2545" s="3" t="n">
        <v>1653.005101</v>
      </c>
      <c r="Z2545" s="3" t="n">
        <v>1695.724216</v>
      </c>
      <c r="AA2545" s="3" t="n">
        <v>1488.117698</v>
      </c>
      <c r="AB2545" s="3" t="n">
        <v>1828.926723</v>
      </c>
      <c r="AC2545" s="3" t="n">
        <v>2296.410367</v>
      </c>
      <c r="AD2545" s="3" t="n">
        <v>2034.681097</v>
      </c>
      <c r="AE2545" s="3" t="n">
        <v>2185.847663</v>
      </c>
      <c r="AF2545" s="3" t="n">
        <v>2587.938056</v>
      </c>
      <c r="AG2545" s="3" t="n">
        <v>2656.452195</v>
      </c>
      <c r="AH2545" s="3" t="n">
        <v>2533.434379</v>
      </c>
      <c r="AI2545" s="3" t="n">
        <v>2551.583788</v>
      </c>
      <c r="AJ2545" s="3" t="n">
        <v>2568.740966</v>
      </c>
      <c r="AK2545" s="3" t="n">
        <v>2591.505518</v>
      </c>
      <c r="AL2545" s="3" t="n">
        <v>2615.027437</v>
      </c>
      <c r="AM2545" s="3" t="n"/>
      <c r="AN2545" s="3" t="n"/>
      <c r="AO2545" s="3" t="n"/>
      <c r="AP2545" s="3" t="n"/>
      <c r="AQ2545" s="3" t="n"/>
      <c r="AR2545" s="3" t="n"/>
      <c r="AS2545" s="3" t="n"/>
      <c r="AT2545" s="3" t="n"/>
      <c r="AU2545" s="3" t="n"/>
    </row>
    <row r="2546">
      <c r="A2546" s="3" t="n">
        <v>2031</v>
      </c>
      <c r="B2546" s="3" t="inlineStr">
        <is>
          <t>RUS</t>
        </is>
      </c>
      <c r="C2546" s="3" t="inlineStr">
        <is>
          <t>IMF.RES:WEO</t>
        </is>
      </c>
      <c r="D2546" s="3" t="inlineStr">
        <is>
          <t>RUS.NGDPPC.A</t>
        </is>
      </c>
      <c r="E2546" s="3" t="inlineStr">
        <is>
          <t>Russian Federation</t>
        </is>
      </c>
      <c r="F2546" s="3" t="inlineStr">
        <is>
          <t>Gross domestic product (GDP), Current prices, Per capita, Domestic currency</t>
        </is>
      </c>
      <c r="G2546" s="3" t="n">
        <v>53350.520071</v>
      </c>
      <c r="H2546" s="3" t="n">
        <v>65581.153288</v>
      </c>
      <c r="I2546" s="3" t="n">
        <v>79515.621199</v>
      </c>
      <c r="J2546" s="3" t="n">
        <v>97069.20533500001</v>
      </c>
      <c r="K2546" s="3" t="n">
        <v>125664.333058</v>
      </c>
      <c r="L2546" s="3" t="n">
        <v>160126.132412</v>
      </c>
      <c r="M2546" s="3" t="n">
        <v>200138.584257</v>
      </c>
      <c r="N2546" s="3" t="n">
        <v>247624.208002</v>
      </c>
      <c r="O2546" s="3" t="n">
        <v>307529.059125</v>
      </c>
      <c r="P2546" s="3" t="n">
        <v>289013.768429</v>
      </c>
      <c r="Q2546" s="3" t="n">
        <v>344723.759022</v>
      </c>
      <c r="R2546" s="3" t="n">
        <v>417331.551185</v>
      </c>
      <c r="S2546" s="3" t="n">
        <v>471986.723443</v>
      </c>
      <c r="T2546" s="3" t="n">
        <v>504727.751577</v>
      </c>
      <c r="U2546" s="3" t="n">
        <v>545314.418419</v>
      </c>
      <c r="V2546" s="3" t="n">
        <v>571803.203253</v>
      </c>
      <c r="W2546" s="3" t="n">
        <v>587301.831529</v>
      </c>
      <c r="X2546" s="3" t="n">
        <v>628258.875824</v>
      </c>
      <c r="Y2546" s="3" t="n">
        <v>709291.45529</v>
      </c>
      <c r="Z2546" s="3" t="n">
        <v>748010.727162</v>
      </c>
      <c r="AA2546" s="3" t="n">
        <v>735513.943671</v>
      </c>
      <c r="AB2546" s="3" t="n">
        <v>923827.486562</v>
      </c>
      <c r="AC2546" s="3" t="n">
        <v>1078455.165022</v>
      </c>
      <c r="AD2546" s="3" t="n">
        <v>1198192.562601</v>
      </c>
      <c r="AE2546" s="3" t="n">
        <v>1397043.702876</v>
      </c>
      <c r="AF2546" s="3" t="n">
        <v>1482775.649973</v>
      </c>
      <c r="AG2546" s="3" t="n">
        <v>1552501.653588</v>
      </c>
      <c r="AH2546" s="3" t="n">
        <v>1616429.941467</v>
      </c>
      <c r="AI2546" s="3" t="n">
        <v>1701759.132032</v>
      </c>
      <c r="AJ2546" s="3" t="n">
        <v>1787231.171789</v>
      </c>
      <c r="AK2546" s="3" t="n">
        <v>1880598.321963</v>
      </c>
      <c r="AL2546" s="3" t="n">
        <v>1980008.325027</v>
      </c>
      <c r="AM2546" s="3" t="n"/>
      <c r="AN2546" s="3" t="n"/>
      <c r="AO2546" s="3" t="n"/>
      <c r="AP2546" s="3" t="n"/>
      <c r="AQ2546" s="3" t="n"/>
      <c r="AR2546" s="3" t="n"/>
      <c r="AS2546" s="3" t="n"/>
      <c r="AT2546" s="3" t="n"/>
      <c r="AU2546" s="3" t="n"/>
    </row>
    <row r="2547">
      <c r="A2547" s="3" t="n">
        <v>2031</v>
      </c>
      <c r="B2547" s="3" t="inlineStr">
        <is>
          <t>RUS</t>
        </is>
      </c>
      <c r="C2547" s="3" t="inlineStr">
        <is>
          <t>IMF.RES:WEO</t>
        </is>
      </c>
      <c r="D2547" s="3" t="inlineStr">
        <is>
          <t>RUS.NGDPRPC.A</t>
        </is>
      </c>
      <c r="E2547" s="3" t="inlineStr">
        <is>
          <t>Russian Federation</t>
        </is>
      </c>
      <c r="F2547" s="3" t="inlineStr">
        <is>
          <t>Gross domestic product (GDP), Constant prices, Per capita, Domestic currency</t>
        </is>
      </c>
      <c r="G2547" s="3" t="n">
        <v>476842.198729</v>
      </c>
      <c r="H2547" s="3" t="n">
        <v>503132.996915</v>
      </c>
      <c r="I2547" s="3" t="n">
        <v>527654.528075</v>
      </c>
      <c r="J2547" s="3" t="n">
        <v>567031.776796</v>
      </c>
      <c r="K2547" s="3" t="n">
        <v>610118.743102</v>
      </c>
      <c r="L2547" s="3" t="n">
        <v>651759.251706</v>
      </c>
      <c r="M2547" s="3" t="n">
        <v>707398.192853</v>
      </c>
      <c r="N2547" s="3" t="n">
        <v>769180.980893</v>
      </c>
      <c r="O2547" s="3" t="n">
        <v>809810.343815</v>
      </c>
      <c r="P2547" s="3" t="n">
        <v>746178.353255</v>
      </c>
      <c r="Q2547" s="3" t="n">
        <v>779494.49154</v>
      </c>
      <c r="R2547" s="3" t="n">
        <v>810018.013382</v>
      </c>
      <c r="S2547" s="3" t="n">
        <v>841169.7930299999</v>
      </c>
      <c r="T2547" s="3" t="n">
        <v>854082.768989</v>
      </c>
      <c r="U2547" s="3" t="n">
        <v>858462.234267</v>
      </c>
      <c r="V2547" s="3" t="n">
        <v>839315.018558</v>
      </c>
      <c r="W2547" s="3" t="n">
        <v>838223.157973</v>
      </c>
      <c r="X2547" s="3" t="n">
        <v>851152.141309</v>
      </c>
      <c r="Y2547" s="3" t="n">
        <v>873584.176012</v>
      </c>
      <c r="Z2547" s="3" t="n">
        <v>892159.146577</v>
      </c>
      <c r="AA2547" s="3" t="n">
        <v>869444.1690699999</v>
      </c>
      <c r="AB2547" s="3" t="n">
        <v>923827.486562</v>
      </c>
      <c r="AC2547" s="3" t="n">
        <v>912170.086064</v>
      </c>
      <c r="AD2547" s="3" t="n">
        <v>950174.349819</v>
      </c>
      <c r="AE2547" s="3" t="n">
        <v>1001207.481627</v>
      </c>
      <c r="AF2547" s="3" t="n">
        <v>1016808.234855</v>
      </c>
      <c r="AG2547" s="3" t="n">
        <v>1032227.362397</v>
      </c>
      <c r="AH2547" s="3" t="n">
        <v>1046012.3045</v>
      </c>
      <c r="AI2547" s="3" t="n">
        <v>1059244.366576</v>
      </c>
      <c r="AJ2547" s="3" t="n">
        <v>1072729.627988</v>
      </c>
      <c r="AK2547" s="3" t="n">
        <v>1086478.051366</v>
      </c>
      <c r="AL2547" s="3" t="n">
        <v>1100553.671214</v>
      </c>
      <c r="AM2547" s="3" t="n"/>
      <c r="AN2547" s="3" t="n"/>
      <c r="AO2547" s="3" t="n"/>
      <c r="AP2547" s="3" t="n"/>
      <c r="AQ2547" s="3" t="n"/>
      <c r="AR2547" s="3" t="n"/>
      <c r="AS2547" s="3" t="n"/>
      <c r="AT2547" s="3" t="n"/>
      <c r="AU2547" s="3" t="n"/>
    </row>
    <row r="2548">
      <c r="A2548" s="3" t="n">
        <v>2031</v>
      </c>
      <c r="B2548" s="3" t="inlineStr">
        <is>
          <t>RUS</t>
        </is>
      </c>
      <c r="C2548" s="3" t="inlineStr">
        <is>
          <t>IMF.RES:WEO</t>
        </is>
      </c>
      <c r="D2548" s="3" t="inlineStr">
        <is>
          <t>RUS.PCPI.A</t>
        </is>
      </c>
      <c r="E2548" s="3" t="inlineStr">
        <is>
          <t>Russian Federation</t>
        </is>
      </c>
      <c r="F2548" s="3" t="inlineStr">
        <is>
          <t>All Items, Consumer price index (CPI), Period average</t>
        </is>
      </c>
      <c r="G2548" s="3" t="n">
        <v>20.299388</v>
      </c>
      <c r="H2548" s="3" t="n">
        <v>24.65909</v>
      </c>
      <c r="I2548" s="3" t="n">
        <v>28.552446</v>
      </c>
      <c r="J2548" s="3" t="n">
        <v>32.453651</v>
      </c>
      <c r="K2548" s="3" t="n">
        <v>35.987403</v>
      </c>
      <c r="L2548" s="3" t="n">
        <v>40.552514</v>
      </c>
      <c r="M2548" s="3" t="n">
        <v>44.473398</v>
      </c>
      <c r="N2548" s="3" t="n">
        <v>48.479251</v>
      </c>
      <c r="O2548" s="3" t="n">
        <v>55.320045</v>
      </c>
      <c r="P2548" s="3" t="n">
        <v>61.76335</v>
      </c>
      <c r="Q2548" s="3" t="n">
        <v>65.993765</v>
      </c>
      <c r="R2548" s="3" t="n">
        <v>71.56394899999999</v>
      </c>
      <c r="S2548" s="3" t="n">
        <v>75.19563100000001</v>
      </c>
      <c r="T2548" s="3" t="n">
        <v>80.27413</v>
      </c>
      <c r="U2548" s="3" t="n">
        <v>86.55430800000001</v>
      </c>
      <c r="V2548" s="3" t="n">
        <v>99.99999800000001</v>
      </c>
      <c r="W2548" s="3" t="n">
        <v>107.042436</v>
      </c>
      <c r="X2548" s="3" t="n">
        <v>110.985166</v>
      </c>
      <c r="Y2548" s="3" t="n">
        <v>114.179658</v>
      </c>
      <c r="Z2548" s="3" t="n">
        <v>119.283909</v>
      </c>
      <c r="AA2548" s="3" t="n">
        <v>123.317686</v>
      </c>
      <c r="AB2548" s="3" t="n">
        <v>131.573133</v>
      </c>
      <c r="AC2548" s="3" t="n">
        <v>149.664428</v>
      </c>
      <c r="AD2548" s="3" t="n">
        <v>158.433948</v>
      </c>
      <c r="AE2548" s="3" t="n">
        <v>171.808448</v>
      </c>
      <c r="AF2548" s="3" t="n">
        <v>186.721054</v>
      </c>
      <c r="AG2548" s="3" t="n">
        <v>197.214048</v>
      </c>
      <c r="AH2548" s="3" t="n">
        <v>205.650166</v>
      </c>
      <c r="AI2548" s="3" t="n">
        <v>213.876173</v>
      </c>
      <c r="AJ2548" s="3" t="n">
        <v>222.43122</v>
      </c>
      <c r="AK2548" s="3" t="n">
        <v>231.328469</v>
      </c>
      <c r="AL2548" s="3" t="n">
        <v>240.581608</v>
      </c>
      <c r="AM2548" s="3" t="n"/>
      <c r="AN2548" s="3" t="n"/>
      <c r="AO2548" s="3" t="n"/>
      <c r="AP2548" s="3" t="n"/>
      <c r="AQ2548" s="3" t="n"/>
      <c r="AR2548" s="3" t="n"/>
      <c r="AS2548" s="3" t="n"/>
      <c r="AT2548" s="3" t="n"/>
      <c r="AU2548" s="3" t="n"/>
    </row>
    <row r="2549">
      <c r="A2549" s="3" t="n">
        <v>2031</v>
      </c>
      <c r="B2549" s="3" t="inlineStr">
        <is>
          <t>RUS</t>
        </is>
      </c>
      <c r="C2549" s="3" t="inlineStr">
        <is>
          <t>IMF.RES:WEO</t>
        </is>
      </c>
      <c r="D2549" s="3" t="inlineStr">
        <is>
          <t>RUS.PCPIPCH.A</t>
        </is>
      </c>
      <c r="E2549" s="3" t="inlineStr">
        <is>
          <t>Russian Federation</t>
        </is>
      </c>
      <c r="F2549" s="3" t="inlineStr">
        <is>
          <t>All Items, Consumer price index (CPI), Period average, percent change</t>
        </is>
      </c>
      <c r="G2549" s="3" t="n">
        <v>20.798757</v>
      </c>
      <c r="H2549" s="3" t="n">
        <v>21.477015</v>
      </c>
      <c r="I2549" s="3" t="n">
        <v>15.788725</v>
      </c>
      <c r="J2549" s="3" t="n">
        <v>13.663295</v>
      </c>
      <c r="K2549" s="3" t="n">
        <v>10.888613</v>
      </c>
      <c r="L2549" s="3" t="n">
        <v>12.685302</v>
      </c>
      <c r="M2549" s="3" t="n">
        <v>9.668657</v>
      </c>
      <c r="N2549" s="3" t="n">
        <v>9.007301999999999</v>
      </c>
      <c r="O2549" s="3" t="n">
        <v>14.110767</v>
      </c>
      <c r="P2549" s="3" t="n">
        <v>11.647324</v>
      </c>
      <c r="Q2549" s="3" t="n">
        <v>6.849394</v>
      </c>
      <c r="R2549" s="3" t="n">
        <v>8.440469999999999</v>
      </c>
      <c r="S2549" s="3" t="n">
        <v>5.074736</v>
      </c>
      <c r="T2549" s="3" t="n">
        <v>6.753716</v>
      </c>
      <c r="U2549" s="3" t="n">
        <v>7.823415</v>
      </c>
      <c r="V2549" s="3" t="n">
        <v>15.534397</v>
      </c>
      <c r="W2549" s="3" t="n">
        <v>7.042438</v>
      </c>
      <c r="X2549" s="3" t="n">
        <v>3.683334</v>
      </c>
      <c r="Y2549" s="3" t="n">
        <v>2.878306</v>
      </c>
      <c r="Z2549" s="3" t="n">
        <v>4.470368</v>
      </c>
      <c r="AA2549" s="3" t="n">
        <v>3.38166</v>
      </c>
      <c r="AB2549" s="3" t="n">
        <v>6.694455</v>
      </c>
      <c r="AC2549" s="3" t="n">
        <v>13.749991</v>
      </c>
      <c r="AD2549" s="3" t="n">
        <v>5.859455</v>
      </c>
      <c r="AE2549" s="3" t="n">
        <v>8.441687999999999</v>
      </c>
      <c r="AF2549" s="3" t="n">
        <v>8.679786999999999</v>
      </c>
      <c r="AG2549" s="3" t="n">
        <v>5.619609</v>
      </c>
      <c r="AH2549" s="3" t="n">
        <v>4.277646</v>
      </c>
      <c r="AI2549" s="3" t="n">
        <v>4</v>
      </c>
      <c r="AJ2549" s="3" t="n">
        <v>4</v>
      </c>
      <c r="AK2549" s="3" t="n">
        <v>4</v>
      </c>
      <c r="AL2549" s="3" t="n">
        <v>4</v>
      </c>
      <c r="AM2549" s="3" t="n"/>
      <c r="AN2549" s="3" t="n"/>
      <c r="AO2549" s="3" t="n"/>
      <c r="AP2549" s="3" t="n"/>
      <c r="AQ2549" s="3" t="n"/>
      <c r="AR2549" s="3" t="n"/>
      <c r="AS2549" s="3" t="n"/>
      <c r="AT2549" s="3" t="n"/>
      <c r="AU2549" s="3" t="n"/>
    </row>
    <row r="2550">
      <c r="A2550" s="3" t="n">
        <v>2031</v>
      </c>
      <c r="B2550" s="3" t="inlineStr">
        <is>
          <t>RUS</t>
        </is>
      </c>
      <c r="C2550" s="3" t="inlineStr">
        <is>
          <t>IMF.RES:WEO</t>
        </is>
      </c>
      <c r="D2550" s="3" t="inlineStr">
        <is>
          <t>RUS.PPPPC.A</t>
        </is>
      </c>
      <c r="E2550" s="3" t="inlineStr">
        <is>
          <t>Russian Federation</t>
        </is>
      </c>
      <c r="F2550" s="3" t="inlineStr">
        <is>
          <t>Gross domestic product (GDP), Per capita, purchasing power parity (PPP) international dollar, ICP benchmarks 2017-2021</t>
        </is>
      </c>
      <c r="G2550" s="3" t="n">
        <v>10610.136736</v>
      </c>
      <c r="H2550" s="3" t="n">
        <v>11447.200733</v>
      </c>
      <c r="I2550" s="3" t="n">
        <v>12191.674366</v>
      </c>
      <c r="J2550" s="3" t="n">
        <v>13360.15376</v>
      </c>
      <c r="K2550" s="3" t="n">
        <v>14761.886021</v>
      </c>
      <c r="L2550" s="3" t="n">
        <v>16263.882016</v>
      </c>
      <c r="M2550" s="3" t="n">
        <v>18196.661755</v>
      </c>
      <c r="N2550" s="3" t="n">
        <v>20321.977038</v>
      </c>
      <c r="O2550" s="3" t="n">
        <v>21807.579898</v>
      </c>
      <c r="P2550" s="3" t="n">
        <v>20217.946772</v>
      </c>
      <c r="Q2550" s="3" t="n">
        <v>21377.353562</v>
      </c>
      <c r="R2550" s="3" t="n">
        <v>22672.789351</v>
      </c>
      <c r="S2550" s="3" t="n">
        <v>23983.1296</v>
      </c>
      <c r="T2550" s="3" t="n">
        <v>24765.76003</v>
      </c>
      <c r="U2550" s="3" t="n">
        <v>25326.311724</v>
      </c>
      <c r="V2550" s="3" t="n">
        <v>24991.230747</v>
      </c>
      <c r="W2550" s="3" t="n">
        <v>25195.883423</v>
      </c>
      <c r="X2550" s="3" t="n">
        <v>26042.701983</v>
      </c>
      <c r="Y2550" s="3" t="n">
        <v>28718.336952</v>
      </c>
      <c r="Z2550" s="3" t="n">
        <v>31252.700881</v>
      </c>
      <c r="AA2550" s="3" t="n">
        <v>31778.293162</v>
      </c>
      <c r="AB2550" s="3" t="n">
        <v>39004.508295</v>
      </c>
      <c r="AC2550" s="3" t="n">
        <v>41251.482495</v>
      </c>
      <c r="AD2550" s="3" t="n">
        <v>44560.077094</v>
      </c>
      <c r="AE2550" s="3" t="n">
        <v>48119.002793</v>
      </c>
      <c r="AF2550" s="3" t="n">
        <v>50255.083613</v>
      </c>
      <c r="AG2550" s="3" t="n">
        <v>52478.729572</v>
      </c>
      <c r="AH2550" s="3" t="n">
        <v>54347.330945</v>
      </c>
      <c r="AI2550" s="3" t="n">
        <v>55938.161415</v>
      </c>
      <c r="AJ2550" s="3" t="n">
        <v>57657.615304</v>
      </c>
      <c r="AK2550" s="3" t="n">
        <v>59469.62522</v>
      </c>
      <c r="AL2550" s="3" t="n">
        <v>61327.585526</v>
      </c>
      <c r="AM2550" s="3" t="n"/>
      <c r="AN2550" s="3" t="n"/>
      <c r="AO2550" s="3" t="n"/>
      <c r="AP2550" s="3" t="n"/>
      <c r="AQ2550" s="3" t="n"/>
      <c r="AR2550" s="3" t="n"/>
      <c r="AS2550" s="3" t="n"/>
      <c r="AT2550" s="3" t="n"/>
      <c r="AU2550" s="3" t="n"/>
    </row>
    <row r="2551">
      <c r="A2551" s="3" t="n">
        <v>2025</v>
      </c>
      <c r="B2551" s="3" t="inlineStr">
        <is>
          <t>RUS</t>
        </is>
      </c>
      <c r="C2551" s="3" t="inlineStr">
        <is>
          <t>IMF.STA:ER</t>
        </is>
      </c>
      <c r="D2551" s="3" t="inlineStr">
        <is>
          <t>RUS.XDC_USD.PA_RT.A</t>
        </is>
      </c>
      <c r="E2551" s="3" t="inlineStr">
        <is>
          <t>Russian Federation</t>
        </is>
      </c>
      <c r="F2551" s="3" t="inlineStr">
        <is>
          <t>Domestic currency per US Dollar</t>
        </is>
      </c>
      <c r="G2551" s="3" t="n">
        <v>28.1291666666666</v>
      </c>
      <c r="H2551" s="3" t="n">
        <v>29.168525</v>
      </c>
      <c r="I2551" s="3" t="n">
        <v>31.3484833333333</v>
      </c>
      <c r="J2551" s="3" t="n">
        <v>30.692025</v>
      </c>
      <c r="K2551" s="3" t="n">
        <v>28.8137416666666</v>
      </c>
      <c r="L2551" s="3" t="n">
        <v>28.2844416666666</v>
      </c>
      <c r="M2551" s="3" t="n">
        <v>27.1909583333333</v>
      </c>
      <c r="N2551" s="3" t="n">
        <v>25.5808453675404</v>
      </c>
      <c r="O2551" s="3" t="n">
        <v>24.852875</v>
      </c>
      <c r="P2551" s="3" t="n">
        <v>31.7403583333333</v>
      </c>
      <c r="Q2551" s="3" t="n">
        <v>30.3679153383059</v>
      </c>
      <c r="R2551" s="3" t="n">
        <v>29.3823413709302</v>
      </c>
      <c r="S2551" s="3" t="n">
        <v>30.8398313519917</v>
      </c>
      <c r="T2551" s="3" t="n">
        <v>31.8371436402813</v>
      </c>
      <c r="U2551" s="3" t="n">
        <v>38.3782071444168</v>
      </c>
      <c r="V2551" s="3" t="n">
        <v>60.9376501088951</v>
      </c>
      <c r="W2551" s="3" t="n">
        <v>67.0559333333333</v>
      </c>
      <c r="X2551" s="3" t="n">
        <v>58.3428011851719</v>
      </c>
      <c r="Y2551" s="3" t="n">
        <v>62.6681333333333</v>
      </c>
      <c r="Z2551" s="3" t="n">
        <v>64.7376583333333</v>
      </c>
      <c r="AA2551" s="3" t="n">
        <v>72.1049083333333</v>
      </c>
      <c r="AB2551" s="3" t="n">
        <v>73.65434999999999</v>
      </c>
      <c r="AC2551" s="3" t="n">
        <v>68.4849416666666</v>
      </c>
      <c r="AD2551" s="3" t="n">
        <v>85.1620083333333</v>
      </c>
      <c r="AE2551" s="3" t="n">
        <v>92.55239999999991</v>
      </c>
      <c r="AF2551" s="3" t="n">
        <v>92.55239999999991</v>
      </c>
      <c r="AG2551" s="3" t="n"/>
      <c r="AH2551" s="3" t="n"/>
      <c r="AI2551" s="3" t="n"/>
      <c r="AJ2551" s="3" t="n"/>
      <c r="AK2551" s="3" t="n"/>
      <c r="AL2551" s="3" t="n"/>
      <c r="AM2551" s="3" t="n"/>
      <c r="AN2551" s="3" t="n"/>
      <c r="AO2551" s="3" t="n"/>
      <c r="AP2551" s="3" t="n"/>
      <c r="AQ2551" s="3" t="n"/>
      <c r="AR2551" s="3" t="n"/>
      <c r="AS2551" s="3" t="n"/>
      <c r="AT2551" s="3" t="n"/>
      <c r="AU2551" s="3" t="n"/>
    </row>
    <row r="2552">
      <c r="A2552" s="3" t="n">
        <v>2031</v>
      </c>
      <c r="B2552" s="3" t="inlineStr">
        <is>
          <t>RWA</t>
        </is>
      </c>
      <c r="C2552" s="3" t="inlineStr">
        <is>
          <t>IMF.RES:WEO</t>
        </is>
      </c>
      <c r="D2552" s="3" t="inlineStr">
        <is>
          <t>RWA.BCA.A</t>
        </is>
      </c>
      <c r="E2552" s="3" t="inlineStr">
        <is>
          <t>Rwanda</t>
        </is>
      </c>
      <c r="F2552" s="3" t="inlineStr">
        <is>
          <t>Current account balance (credit less debit), US dollar</t>
        </is>
      </c>
      <c r="G2552" s="3" t="n">
        <v>-0.09436899999999999</v>
      </c>
      <c r="H2552" s="3" t="n">
        <v>-0.102482</v>
      </c>
      <c r="I2552" s="3" t="n">
        <v>-0.136227</v>
      </c>
      <c r="J2552" s="3" t="n">
        <v>-0.105122</v>
      </c>
      <c r="K2552" s="3" t="n">
        <v>-0.044082</v>
      </c>
      <c r="L2552" s="3" t="n">
        <v>-0.065537</v>
      </c>
      <c r="M2552" s="3" t="n">
        <v>-0.138879</v>
      </c>
      <c r="N2552" s="3" t="n">
        <v>-0.085282</v>
      </c>
      <c r="O2552" s="3" t="n">
        <v>-0.242302</v>
      </c>
      <c r="P2552" s="3" t="n">
        <v>-0.378638</v>
      </c>
      <c r="Q2552" s="3" t="n">
        <v>-0.399142</v>
      </c>
      <c r="R2552" s="3" t="n">
        <v>-0.477011</v>
      </c>
      <c r="S2552" s="3" t="n">
        <v>-0.741016</v>
      </c>
      <c r="T2552" s="3" t="n">
        <v>-0.585106</v>
      </c>
      <c r="U2552" s="3" t="n">
        <v>-0.93462</v>
      </c>
      <c r="V2552" s="3" t="n">
        <v>-1.083671</v>
      </c>
      <c r="W2552" s="3" t="n">
        <v>-1.330822</v>
      </c>
      <c r="X2552" s="3" t="n">
        <v>-0.875363</v>
      </c>
      <c r="Y2552" s="3" t="n">
        <v>-0.9748019999999999</v>
      </c>
      <c r="Z2552" s="3" t="n">
        <v>-1.230865</v>
      </c>
      <c r="AA2552" s="3" t="n">
        <v>-1.227333</v>
      </c>
      <c r="AB2552" s="3" t="n">
        <v>-1.207206</v>
      </c>
      <c r="AC2552" s="3" t="n">
        <v>-1.240082</v>
      </c>
      <c r="AD2552" s="3" t="n">
        <v>-1.684221</v>
      </c>
      <c r="AE2552" s="3" t="n">
        <v>-1.82779</v>
      </c>
      <c r="AF2552" s="3" t="n">
        <v>-2.068847</v>
      </c>
      <c r="AG2552" s="3" t="n">
        <v>-2.319705</v>
      </c>
      <c r="AH2552" s="3" t="n">
        <v>-2.155362</v>
      </c>
      <c r="AI2552" s="3" t="n">
        <v>-1.672706</v>
      </c>
      <c r="AJ2552" s="3" t="n">
        <v>-1.651105</v>
      </c>
      <c r="AK2552" s="3" t="n">
        <v>-1.528281</v>
      </c>
      <c r="AL2552" s="3" t="n">
        <v>-1.488026</v>
      </c>
      <c r="AM2552" s="3" t="n"/>
      <c r="AN2552" s="3" t="n"/>
      <c r="AO2552" s="3" t="n"/>
      <c r="AP2552" s="3" t="n"/>
      <c r="AQ2552" s="3" t="n"/>
      <c r="AR2552" s="3" t="n"/>
      <c r="AS2552" s="3" t="n"/>
      <c r="AT2552" s="3" t="n"/>
      <c r="AU2552" s="3" t="n"/>
    </row>
    <row r="2553">
      <c r="A2553" s="3" t="n">
        <v>2031</v>
      </c>
      <c r="B2553" s="3" t="inlineStr">
        <is>
          <t>RWA</t>
        </is>
      </c>
      <c r="C2553" s="3" t="inlineStr">
        <is>
          <t>IMF.RES:WEO</t>
        </is>
      </c>
      <c r="D2553" s="3" t="inlineStr">
        <is>
          <t>RWA.BCA_NGDPD.A</t>
        </is>
      </c>
      <c r="E2553" s="3" t="inlineStr">
        <is>
          <t>Rwanda</t>
        </is>
      </c>
      <c r="F2553" s="3" t="inlineStr">
        <is>
          <t>Current account balance (credit less debit), Percent of GDP</t>
        </is>
      </c>
      <c r="G2553" s="3" t="n">
        <v>-4.672771</v>
      </c>
      <c r="H2553" s="3" t="n">
        <v>-5.284996</v>
      </c>
      <c r="I2553" s="3" t="n">
        <v>-7.03988</v>
      </c>
      <c r="J2553" s="3" t="n">
        <v>-4.985531</v>
      </c>
      <c r="K2553" s="3" t="n">
        <v>-1.872811</v>
      </c>
      <c r="L2553" s="3" t="n">
        <v>-2.257725</v>
      </c>
      <c r="M2553" s="3" t="n">
        <v>-4.24538</v>
      </c>
      <c r="N2553" s="3" t="n">
        <v>-2.123313</v>
      </c>
      <c r="O2553" s="3" t="n">
        <v>-4.73178</v>
      </c>
      <c r="P2553" s="3" t="n">
        <v>-6.755954</v>
      </c>
      <c r="Q2553" s="3" t="n">
        <v>-6.595294</v>
      </c>
      <c r="R2553" s="3" t="n">
        <v>-7.01157</v>
      </c>
      <c r="S2553" s="3" t="n">
        <v>-9.806217999999999</v>
      </c>
      <c r="T2553" s="3" t="n">
        <v>-7.585076</v>
      </c>
      <c r="U2553" s="3" t="n">
        <v>-11.496308</v>
      </c>
      <c r="V2553" s="3" t="n">
        <v>-12.823707</v>
      </c>
      <c r="W2553" s="3" t="n">
        <v>-15.480125</v>
      </c>
      <c r="X2553" s="3" t="n">
        <v>-9.55111</v>
      </c>
      <c r="Y2553" s="3" t="n">
        <v>-10.100839</v>
      </c>
      <c r="Z2553" s="3" t="n">
        <v>-11.70176</v>
      </c>
      <c r="AA2553" s="3" t="n">
        <v>-11.702196</v>
      </c>
      <c r="AB2553" s="3" t="n">
        <v>-10.730655</v>
      </c>
      <c r="AC2553" s="3" t="n">
        <v>-9.022983</v>
      </c>
      <c r="AD2553" s="3" t="n">
        <v>-11.375898</v>
      </c>
      <c r="AE2553" s="3" t="n">
        <v>-12.095968</v>
      </c>
      <c r="AF2553" s="3" t="n">
        <v>-12.952032</v>
      </c>
      <c r="AG2553" s="3" t="n">
        <v>-13.380556</v>
      </c>
      <c r="AH2553" s="3" t="n">
        <v>-11.695827</v>
      </c>
      <c r="AI2553" s="3" t="n">
        <v>-8.564520999999999</v>
      </c>
      <c r="AJ2553" s="3" t="n">
        <v>-7.896555</v>
      </c>
      <c r="AK2553" s="3" t="n">
        <v>-6.743652</v>
      </c>
      <c r="AL2553" s="3" t="n">
        <v>-6.02916</v>
      </c>
      <c r="AM2553" s="3" t="n"/>
      <c r="AN2553" s="3" t="n"/>
      <c r="AO2553" s="3" t="n"/>
      <c r="AP2553" s="3" t="n"/>
      <c r="AQ2553" s="3" t="n"/>
      <c r="AR2553" s="3" t="n"/>
      <c r="AS2553" s="3" t="n"/>
      <c r="AT2553" s="3" t="n"/>
      <c r="AU2553" s="3" t="n"/>
    </row>
    <row r="2554">
      <c r="A2554" s="3" t="n">
        <v>2031</v>
      </c>
      <c r="B2554" s="3" t="inlineStr">
        <is>
          <t>RWA</t>
        </is>
      </c>
      <c r="C2554" s="3" t="inlineStr">
        <is>
          <t>IMF.RES:WEO</t>
        </is>
      </c>
      <c r="D2554" s="3" t="inlineStr">
        <is>
          <t>RWA.GGR_NGDP.A</t>
        </is>
      </c>
      <c r="E2554" s="3" t="inlineStr">
        <is>
          <t>Rwanda</t>
        </is>
      </c>
      <c r="F2554" s="3" t="inlineStr">
        <is>
          <t>Revenue, General government, Percent of GDP</t>
        </is>
      </c>
      <c r="G2554" s="3" t="n">
        <v>18.278606</v>
      </c>
      <c r="H2554" s="3" t="n">
        <v>17.512652</v>
      </c>
      <c r="I2554" s="3" t="n">
        <v>18.686561</v>
      </c>
      <c r="J2554" s="3" t="n">
        <v>17.513043</v>
      </c>
      <c r="K2554" s="3" t="n">
        <v>20.43983</v>
      </c>
      <c r="L2554" s="3" t="n">
        <v>21.374324</v>
      </c>
      <c r="M2554" s="3" t="n">
        <v>20.843239</v>
      </c>
      <c r="N2554" s="3" t="n">
        <v>21.12885</v>
      </c>
      <c r="O2554" s="3" t="n">
        <v>23.566957</v>
      </c>
      <c r="P2554" s="3" t="n">
        <v>22.855912</v>
      </c>
      <c r="Q2554" s="3" t="n">
        <v>23.470096</v>
      </c>
      <c r="R2554" s="3" t="n">
        <v>24.113568</v>
      </c>
      <c r="S2554" s="3" t="n">
        <v>22.477476</v>
      </c>
      <c r="T2554" s="3" t="n">
        <v>25.229217</v>
      </c>
      <c r="U2554" s="3" t="n">
        <v>23.879959</v>
      </c>
      <c r="V2554" s="3" t="n">
        <v>24.182324</v>
      </c>
      <c r="W2554" s="3" t="n">
        <v>23.125897</v>
      </c>
      <c r="X2554" s="3" t="n">
        <v>22.791532</v>
      </c>
      <c r="Y2554" s="3" t="n">
        <v>23.771075</v>
      </c>
      <c r="Z2554" s="3" t="n">
        <v>22.74917</v>
      </c>
      <c r="AA2554" s="3" t="n">
        <v>23.201508</v>
      </c>
      <c r="AB2554" s="3" t="n">
        <v>24.16146</v>
      </c>
      <c r="AC2554" s="3" t="n">
        <v>23.169207</v>
      </c>
      <c r="AD2554" s="3" t="n">
        <v>21.27865</v>
      </c>
      <c r="AE2554" s="3" t="n">
        <v>20.950386</v>
      </c>
      <c r="AF2554" s="3" t="n">
        <v>19.643378</v>
      </c>
      <c r="AG2554" s="3" t="n">
        <v>20.307067</v>
      </c>
      <c r="AH2554" s="3" t="n">
        <v>20.56578</v>
      </c>
      <c r="AI2554" s="3" t="n">
        <v>20.911699</v>
      </c>
      <c r="AJ2554" s="3" t="n">
        <v>20.924626</v>
      </c>
      <c r="AK2554" s="3" t="n">
        <v>21.019033</v>
      </c>
      <c r="AL2554" s="3" t="n">
        <v>20.46429</v>
      </c>
      <c r="AM2554" s="3" t="n"/>
      <c r="AN2554" s="3" t="n"/>
      <c r="AO2554" s="3" t="n"/>
      <c r="AP2554" s="3" t="n"/>
      <c r="AQ2554" s="3" t="n"/>
      <c r="AR2554" s="3" t="n"/>
      <c r="AS2554" s="3" t="n"/>
      <c r="AT2554" s="3" t="n"/>
      <c r="AU2554" s="3" t="n"/>
    </row>
    <row r="2555">
      <c r="A2555" s="3" t="n">
        <v>2031</v>
      </c>
      <c r="B2555" s="3" t="inlineStr">
        <is>
          <t>RWA</t>
        </is>
      </c>
      <c r="C2555" s="3" t="inlineStr">
        <is>
          <t>IMF.RES:WEO</t>
        </is>
      </c>
      <c r="D2555" s="3" t="inlineStr">
        <is>
          <t>RWA.GGX_NGDP.A</t>
        </is>
      </c>
      <c r="E2555" s="3" t="inlineStr">
        <is>
          <t>Rwanda</t>
        </is>
      </c>
      <c r="F2555" s="3" t="inlineStr">
        <is>
          <t>Expenditure, General government, Percent of GDP</t>
        </is>
      </c>
      <c r="G2555" s="3" t="n">
        <v>18.500162</v>
      </c>
      <c r="H2555" s="3" t="n">
        <v>19.339905</v>
      </c>
      <c r="I2555" s="3" t="n">
        <v>20.747532</v>
      </c>
      <c r="J2555" s="3" t="n">
        <v>18.763468</v>
      </c>
      <c r="K2555" s="3" t="n">
        <v>18.132624</v>
      </c>
      <c r="L2555" s="3" t="n">
        <v>20.234502</v>
      </c>
      <c r="M2555" s="3" t="n">
        <v>20.872653</v>
      </c>
      <c r="N2555" s="3" t="n">
        <v>22.704378</v>
      </c>
      <c r="O2555" s="3" t="n">
        <v>22.731559</v>
      </c>
      <c r="P2555" s="3" t="n">
        <v>22.593595</v>
      </c>
      <c r="Q2555" s="3" t="n">
        <v>24.116211</v>
      </c>
      <c r="R2555" s="3" t="n">
        <v>24.984181</v>
      </c>
      <c r="S2555" s="3" t="n">
        <v>24.889013</v>
      </c>
      <c r="T2555" s="3" t="n">
        <v>26.516095</v>
      </c>
      <c r="U2555" s="3" t="n">
        <v>27.848511</v>
      </c>
      <c r="V2555" s="3" t="n">
        <v>26.893464</v>
      </c>
      <c r="W2555" s="3" t="n">
        <v>25.421482</v>
      </c>
      <c r="X2555" s="3" t="n">
        <v>25.33229</v>
      </c>
      <c r="Y2555" s="3" t="n">
        <v>26.340521</v>
      </c>
      <c r="Z2555" s="3" t="n">
        <v>27.74453</v>
      </c>
      <c r="AA2555" s="3" t="n">
        <v>32.459012</v>
      </c>
      <c r="AB2555" s="3" t="n">
        <v>31.04658</v>
      </c>
      <c r="AC2555" s="3" t="n">
        <v>28.724624</v>
      </c>
      <c r="AD2555" s="3" t="n">
        <v>26.157059</v>
      </c>
      <c r="AE2555" s="3" t="n">
        <v>27.144685</v>
      </c>
      <c r="AF2555" s="3" t="n">
        <v>24.138366</v>
      </c>
      <c r="AG2555" s="3" t="n">
        <v>24.642741</v>
      </c>
      <c r="AH2555" s="3" t="n">
        <v>23.570611</v>
      </c>
      <c r="AI2555" s="3" t="n">
        <v>23.708649</v>
      </c>
      <c r="AJ2555" s="3" t="n">
        <v>23.998585</v>
      </c>
      <c r="AK2555" s="3" t="n">
        <v>22.998435</v>
      </c>
      <c r="AL2555" s="3" t="n">
        <v>24.106478</v>
      </c>
      <c r="AM2555" s="3" t="n"/>
      <c r="AN2555" s="3" t="n"/>
      <c r="AO2555" s="3" t="n"/>
      <c r="AP2555" s="3" t="n"/>
      <c r="AQ2555" s="3" t="n"/>
      <c r="AR2555" s="3" t="n"/>
      <c r="AS2555" s="3" t="n"/>
      <c r="AT2555" s="3" t="n"/>
      <c r="AU2555" s="3" t="n"/>
    </row>
    <row r="2556">
      <c r="A2556" s="3" t="n">
        <v>2031</v>
      </c>
      <c r="B2556" s="3" t="inlineStr">
        <is>
          <t>RWA</t>
        </is>
      </c>
      <c r="C2556" s="3" t="inlineStr">
        <is>
          <t>IMF.RES:WEO</t>
        </is>
      </c>
      <c r="D2556" s="3" t="inlineStr">
        <is>
          <t>RWA.LP.A</t>
        </is>
      </c>
      <c r="E2556" s="3" t="inlineStr">
        <is>
          <t>Rwanda</t>
        </is>
      </c>
      <c r="F2556" s="3" t="inlineStr">
        <is>
          <t>Population, Persons for countries / Index for country groups</t>
        </is>
      </c>
      <c r="G2556" s="3" t="n">
        <v>7.7</v>
      </c>
      <c r="H2556" s="3" t="n">
        <v>7.9</v>
      </c>
      <c r="I2556" s="3" t="n">
        <v>8.1</v>
      </c>
      <c r="J2556" s="3" t="n">
        <v>8.300000000000001</v>
      </c>
      <c r="K2556" s="3" t="n">
        <v>8.6</v>
      </c>
      <c r="L2556" s="3" t="n">
        <v>8.800000000000001</v>
      </c>
      <c r="M2556" s="3" t="n">
        <v>9</v>
      </c>
      <c r="N2556" s="3" t="n">
        <v>9.199999999999999</v>
      </c>
      <c r="O2556" s="3" t="n">
        <v>9.5</v>
      </c>
      <c r="P2556" s="3" t="n">
        <v>9.699999999999999</v>
      </c>
      <c r="Q2556" s="3" t="n">
        <v>10</v>
      </c>
      <c r="R2556" s="3" t="n">
        <v>10.2</v>
      </c>
      <c r="S2556" s="3" t="n">
        <v>10.483</v>
      </c>
      <c r="T2556" s="3" t="n">
        <v>10.737</v>
      </c>
      <c r="U2556" s="3" t="n">
        <v>10.997</v>
      </c>
      <c r="V2556" s="3" t="n">
        <v>11.263</v>
      </c>
      <c r="W2556" s="3" t="n">
        <v>11.533</v>
      </c>
      <c r="X2556" s="3" t="n">
        <v>11.809</v>
      </c>
      <c r="Y2556" s="3" t="n">
        <v>12.09</v>
      </c>
      <c r="Z2556" s="3" t="n">
        <v>12.374</v>
      </c>
      <c r="AA2556" s="3" t="n">
        <v>12.663</v>
      </c>
      <c r="AB2556" s="3" t="n">
        <v>12.956</v>
      </c>
      <c r="AC2556" s="3" t="n">
        <v>13.246</v>
      </c>
      <c r="AD2556" s="3" t="n">
        <v>13.499</v>
      </c>
      <c r="AE2556" s="3" t="n">
        <v>13.857</v>
      </c>
      <c r="AF2556" s="3" t="n">
        <v>14.162</v>
      </c>
      <c r="AG2556" s="3" t="n">
        <v>14.471</v>
      </c>
      <c r="AH2556" s="3" t="n">
        <v>14.786</v>
      </c>
      <c r="AI2556" s="3" t="n">
        <v>15.053</v>
      </c>
      <c r="AJ2556" s="3" t="n">
        <v>15.322</v>
      </c>
      <c r="AK2556" s="3" t="n">
        <v>15.62182</v>
      </c>
      <c r="AL2556" s="3" t="n">
        <v>15.92972</v>
      </c>
      <c r="AM2556" s="3" t="n"/>
      <c r="AN2556" s="3" t="n"/>
      <c r="AO2556" s="3" t="n"/>
      <c r="AP2556" s="3" t="n"/>
      <c r="AQ2556" s="3" t="n"/>
      <c r="AR2556" s="3" t="n"/>
      <c r="AS2556" s="3" t="n"/>
      <c r="AT2556" s="3" t="n"/>
      <c r="AU2556" s="3" t="n"/>
    </row>
    <row r="2557">
      <c r="A2557" s="3" t="n">
        <v>2031</v>
      </c>
      <c r="B2557" s="3" t="inlineStr">
        <is>
          <t>RWA</t>
        </is>
      </c>
      <c r="C2557" s="3" t="inlineStr">
        <is>
          <t>IMF.RES:WEO</t>
        </is>
      </c>
      <c r="D2557" s="3" t="inlineStr">
        <is>
          <t>RWA.NGDP.A</t>
        </is>
      </c>
      <c r="E2557" s="3" t="inlineStr">
        <is>
          <t>Rwanda</t>
        </is>
      </c>
      <c r="F2557" s="3" t="inlineStr">
        <is>
          <t>Gross domestic product (GDP), Current prices, Domestic currency</t>
        </is>
      </c>
      <c r="G2557" s="3" t="n">
        <v>794.561135</v>
      </c>
      <c r="H2557" s="3" t="n">
        <v>858.638646</v>
      </c>
      <c r="I2557" s="3" t="n">
        <v>921.730349</v>
      </c>
      <c r="J2557" s="3" t="n">
        <v>1133.679039</v>
      </c>
      <c r="K2557" s="3" t="n">
        <v>1352.528384</v>
      </c>
      <c r="L2557" s="3" t="n">
        <v>1613.767467</v>
      </c>
      <c r="M2557" s="3" t="n">
        <v>1806</v>
      </c>
      <c r="N2557" s="3" t="n">
        <v>2197</v>
      </c>
      <c r="O2557" s="3" t="n">
        <v>2799</v>
      </c>
      <c r="P2557" s="3" t="n">
        <v>3185</v>
      </c>
      <c r="Q2557" s="3" t="n">
        <v>3529</v>
      </c>
      <c r="R2557" s="3" t="n">
        <v>4084</v>
      </c>
      <c r="S2557" s="3" t="n">
        <v>4642</v>
      </c>
      <c r="T2557" s="3" t="n">
        <v>4988</v>
      </c>
      <c r="U2557" s="3" t="n">
        <v>5548</v>
      </c>
      <c r="V2557" s="3" t="n">
        <v>6081</v>
      </c>
      <c r="W2557" s="3" t="n">
        <v>6768</v>
      </c>
      <c r="X2557" s="3" t="n">
        <v>7621</v>
      </c>
      <c r="Y2557" s="3" t="n">
        <v>8310</v>
      </c>
      <c r="Z2557" s="3" t="n">
        <v>9461</v>
      </c>
      <c r="AA2557" s="3" t="n">
        <v>9893</v>
      </c>
      <c r="AB2557" s="3" t="n">
        <v>11125</v>
      </c>
      <c r="AC2557" s="3" t="n">
        <v>14164</v>
      </c>
      <c r="AD2557" s="3" t="n">
        <v>17176</v>
      </c>
      <c r="AE2557" s="3" t="n">
        <v>19918</v>
      </c>
      <c r="AF2557" s="3" t="n">
        <v>22817.138292</v>
      </c>
      <c r="AG2557" s="3" t="n">
        <v>26009.779524</v>
      </c>
      <c r="AH2557" s="3" t="n">
        <v>29374.069208</v>
      </c>
      <c r="AI2557" s="3" t="n">
        <v>32918.646107</v>
      </c>
      <c r="AJ2557" s="3" t="n">
        <v>36909.084291</v>
      </c>
      <c r="AK2557" s="3" t="n">
        <v>41400.2812</v>
      </c>
      <c r="AL2557" s="3" t="n">
        <v>46439.359926</v>
      </c>
      <c r="AM2557" s="3" t="n"/>
      <c r="AN2557" s="3" t="n"/>
      <c r="AO2557" s="3" t="n"/>
      <c r="AP2557" s="3" t="n"/>
      <c r="AQ2557" s="3" t="n"/>
      <c r="AR2557" s="3" t="n"/>
      <c r="AS2557" s="3" t="n"/>
      <c r="AT2557" s="3" t="n"/>
      <c r="AU2557" s="3" t="n"/>
    </row>
    <row r="2558">
      <c r="A2558" s="3" t="n">
        <v>2031</v>
      </c>
      <c r="B2558" s="3" t="inlineStr">
        <is>
          <t>RWA</t>
        </is>
      </c>
      <c r="C2558" s="3" t="inlineStr">
        <is>
          <t>IMF.RES:WEO</t>
        </is>
      </c>
      <c r="D2558" s="3" t="inlineStr">
        <is>
          <t>RWA.NGDP_D.A</t>
        </is>
      </c>
      <c r="E2558" s="3" t="inlineStr">
        <is>
          <t>Rwanda</t>
        </is>
      </c>
      <c r="F2558" s="3" t="inlineStr">
        <is>
          <t>Gross domestic product (GDP), Price deflator, Index</t>
        </is>
      </c>
      <c r="G2558" s="3" t="n">
        <v>21.80998</v>
      </c>
      <c r="H2558" s="3" t="n">
        <v>21.725258</v>
      </c>
      <c r="I2558" s="3" t="n">
        <v>20.60683</v>
      </c>
      <c r="J2558" s="3" t="n">
        <v>24.795098</v>
      </c>
      <c r="K2558" s="3" t="n">
        <v>27.533746</v>
      </c>
      <c r="L2558" s="3" t="n">
        <v>30.027171</v>
      </c>
      <c r="M2558" s="3" t="n">
        <v>30.771852</v>
      </c>
      <c r="N2558" s="3" t="n">
        <v>34.773663</v>
      </c>
      <c r="O2558" s="3" t="n">
        <v>39.849089</v>
      </c>
      <c r="P2558" s="3" t="n">
        <v>42.682927</v>
      </c>
      <c r="Q2558" s="3" t="n">
        <v>44.057428</v>
      </c>
      <c r="R2558" s="3" t="n">
        <v>47.230253</v>
      </c>
      <c r="S2558" s="3" t="n">
        <v>49.41452</v>
      </c>
      <c r="T2558" s="3" t="n">
        <v>50.701362</v>
      </c>
      <c r="U2558" s="3" t="n">
        <v>53.371813</v>
      </c>
      <c r="V2558" s="3" t="n">
        <v>53.733322</v>
      </c>
      <c r="W2558" s="3" t="n">
        <v>56.598093</v>
      </c>
      <c r="X2558" s="3" t="n">
        <v>60.865746</v>
      </c>
      <c r="Y2558" s="3" t="n">
        <v>61.41453</v>
      </c>
      <c r="Z2558" s="3" t="n">
        <v>63.981876</v>
      </c>
      <c r="AA2558" s="3" t="n">
        <v>68.81608199999999</v>
      </c>
      <c r="AB2558" s="3" t="n">
        <v>71.37815999999999</v>
      </c>
      <c r="AC2558" s="3" t="n">
        <v>82.75781499999999</v>
      </c>
      <c r="AD2558" s="3" t="n">
        <v>92.443488</v>
      </c>
      <c r="AE2558" s="3" t="n">
        <v>99.99498</v>
      </c>
      <c r="AF2558" s="3" t="n">
        <v>107.077379</v>
      </c>
      <c r="AG2558" s="3" t="n">
        <v>113.826464</v>
      </c>
      <c r="AH2558" s="3" t="n">
        <v>119.470686</v>
      </c>
      <c r="AI2558" s="3" t="n">
        <v>125.418113</v>
      </c>
      <c r="AJ2558" s="3" t="n">
        <v>131.672501</v>
      </c>
      <c r="AK2558" s="3" t="n">
        <v>138.239203</v>
      </c>
      <c r="AL2558" s="3" t="n">
        <v>145.192072</v>
      </c>
      <c r="AM2558" s="3" t="n"/>
      <c r="AN2558" s="3" t="n"/>
      <c r="AO2558" s="3" t="n"/>
      <c r="AP2558" s="3" t="n"/>
      <c r="AQ2558" s="3" t="n"/>
      <c r="AR2558" s="3" t="n"/>
      <c r="AS2558" s="3" t="n"/>
      <c r="AT2558" s="3" t="n"/>
      <c r="AU2558" s="3" t="n"/>
    </row>
    <row r="2559">
      <c r="A2559" s="3" t="n">
        <v>2031</v>
      </c>
      <c r="B2559" s="3" t="inlineStr">
        <is>
          <t>RWA</t>
        </is>
      </c>
      <c r="C2559" s="3" t="inlineStr">
        <is>
          <t>IMF.RES:WEO</t>
        </is>
      </c>
      <c r="D2559" s="3" t="inlineStr">
        <is>
          <t>RWA.NGDP_R.A</t>
        </is>
      </c>
      <c r="E2559" s="3" t="inlineStr">
        <is>
          <t>Rwanda</t>
        </is>
      </c>
      <c r="F2559" s="3" t="inlineStr">
        <is>
          <t>Gross domestic product (GDP), Constant prices, Domestic currency</t>
        </is>
      </c>
      <c r="G2559" s="3" t="n">
        <v>3643.108123</v>
      </c>
      <c r="H2559" s="3" t="n">
        <v>3952.259773</v>
      </c>
      <c r="I2559" s="3" t="n">
        <v>4472.936235</v>
      </c>
      <c r="J2559" s="3" t="n">
        <v>4572.190186</v>
      </c>
      <c r="K2559" s="3" t="n">
        <v>4912.257</v>
      </c>
      <c r="L2559" s="3" t="n">
        <v>5374.357361</v>
      </c>
      <c r="M2559" s="3" t="n">
        <v>5869</v>
      </c>
      <c r="N2559" s="3" t="n">
        <v>6318</v>
      </c>
      <c r="O2559" s="3" t="n">
        <v>7024</v>
      </c>
      <c r="P2559" s="3" t="n">
        <v>7462</v>
      </c>
      <c r="Q2559" s="3" t="n">
        <v>8010</v>
      </c>
      <c r="R2559" s="3" t="n">
        <v>8647</v>
      </c>
      <c r="S2559" s="3" t="n">
        <v>9394</v>
      </c>
      <c r="T2559" s="3" t="n">
        <v>9838</v>
      </c>
      <c r="U2559" s="3" t="n">
        <v>10395</v>
      </c>
      <c r="V2559" s="3" t="n">
        <v>11317</v>
      </c>
      <c r="W2559" s="3" t="n">
        <v>11958</v>
      </c>
      <c r="X2559" s="3" t="n">
        <v>12521</v>
      </c>
      <c r="Y2559" s="3" t="n">
        <v>13531</v>
      </c>
      <c r="Z2559" s="3" t="n">
        <v>14787</v>
      </c>
      <c r="AA2559" s="3" t="n">
        <v>14376</v>
      </c>
      <c r="AB2559" s="3" t="n">
        <v>15586</v>
      </c>
      <c r="AC2559" s="3" t="n">
        <v>17115</v>
      </c>
      <c r="AD2559" s="3" t="n">
        <v>18580</v>
      </c>
      <c r="AE2559" s="3" t="n">
        <v>19919</v>
      </c>
      <c r="AF2559" s="3" t="n">
        <v>21309.018311</v>
      </c>
      <c r="AG2559" s="3" t="n">
        <v>22850.380045</v>
      </c>
      <c r="AH2559" s="3" t="n">
        <v>24586.842274</v>
      </c>
      <c r="AI2559" s="3" t="n">
        <v>26247.122838</v>
      </c>
      <c r="AJ2559" s="3" t="n">
        <v>28030.973763</v>
      </c>
      <c r="AK2559" s="3" t="n">
        <v>29948.292722</v>
      </c>
      <c r="AL2559" s="3" t="n">
        <v>31984.776627</v>
      </c>
      <c r="AM2559" s="3" t="n"/>
      <c r="AN2559" s="3" t="n"/>
      <c r="AO2559" s="3" t="n"/>
      <c r="AP2559" s="3" t="n"/>
      <c r="AQ2559" s="3" t="n"/>
      <c r="AR2559" s="3" t="n"/>
      <c r="AS2559" s="3" t="n"/>
      <c r="AT2559" s="3" t="n"/>
      <c r="AU2559" s="3" t="n"/>
    </row>
    <row r="2560">
      <c r="A2560" s="3" t="n">
        <v>2031</v>
      </c>
      <c r="B2560" s="3" t="inlineStr">
        <is>
          <t>RWA</t>
        </is>
      </c>
      <c r="C2560" s="3" t="inlineStr">
        <is>
          <t>IMF.RES:WEO</t>
        </is>
      </c>
      <c r="D2560" s="3" t="inlineStr">
        <is>
          <t>RWA.NGDP_RPCH.A</t>
        </is>
      </c>
      <c r="E2560" s="3" t="inlineStr">
        <is>
          <t>Rwanda</t>
        </is>
      </c>
      <c r="F2560" s="3" t="inlineStr">
        <is>
          <t>Gross domestic product (GDP), Constant prices, Percent change</t>
        </is>
      </c>
      <c r="G2560" s="3" t="n">
        <v>8.373669</v>
      </c>
      <c r="H2560" s="3" t="n">
        <v>8.485931000000001</v>
      </c>
      <c r="I2560" s="3" t="n">
        <v>13.174146</v>
      </c>
      <c r="J2560" s="3" t="n">
        <v>2.218989</v>
      </c>
      <c r="K2560" s="3" t="n">
        <v>7.437722</v>
      </c>
      <c r="L2560" s="3" t="n">
        <v>9.407088</v>
      </c>
      <c r="M2560" s="3" t="n">
        <v>9.203754</v>
      </c>
      <c r="N2560" s="3" t="n">
        <v>7.650366</v>
      </c>
      <c r="O2560" s="3" t="n">
        <v>11.174422</v>
      </c>
      <c r="P2560" s="3" t="n">
        <v>6.235763</v>
      </c>
      <c r="Q2560" s="3" t="n">
        <v>7.343876</v>
      </c>
      <c r="R2560" s="3" t="n">
        <v>7.952559</v>
      </c>
      <c r="S2560" s="3" t="n">
        <v>8.638833999999999</v>
      </c>
      <c r="T2560" s="3" t="n">
        <v>4.726421</v>
      </c>
      <c r="U2560" s="3" t="n">
        <v>5.66172</v>
      </c>
      <c r="V2560" s="3" t="n">
        <v>8.869649000000001</v>
      </c>
      <c r="W2560" s="3" t="n">
        <v>5.664045</v>
      </c>
      <c r="X2560" s="3" t="n">
        <v>4.708145</v>
      </c>
      <c r="Y2560" s="3" t="n">
        <v>8.066447999999999</v>
      </c>
      <c r="Z2560" s="3" t="n">
        <v>9.282389</v>
      </c>
      <c r="AA2560" s="3" t="n">
        <v>-2.779468</v>
      </c>
      <c r="AB2560" s="3" t="n">
        <v>8.416805999999999</v>
      </c>
      <c r="AC2560" s="3" t="n">
        <v>9.810086</v>
      </c>
      <c r="AD2560" s="3" t="n">
        <v>8.559742999999999</v>
      </c>
      <c r="AE2560" s="3" t="n">
        <v>7.206674</v>
      </c>
      <c r="AF2560" s="3" t="n">
        <v>6.978354</v>
      </c>
      <c r="AG2560" s="3" t="n">
        <v>7.233377</v>
      </c>
      <c r="AH2560" s="3" t="n">
        <v>7.599271</v>
      </c>
      <c r="AI2560" s="3" t="n">
        <v>6.75272</v>
      </c>
      <c r="AJ2560" s="3" t="n">
        <v>6.796367</v>
      </c>
      <c r="AK2560" s="3" t="n">
        <v>6.840001</v>
      </c>
      <c r="AL2560" s="3" t="n">
        <v>6.8</v>
      </c>
      <c r="AM2560" s="3" t="n"/>
      <c r="AN2560" s="3" t="n"/>
      <c r="AO2560" s="3" t="n"/>
      <c r="AP2560" s="3" t="n"/>
      <c r="AQ2560" s="3" t="n"/>
      <c r="AR2560" s="3" t="n"/>
      <c r="AS2560" s="3" t="n"/>
      <c r="AT2560" s="3" t="n"/>
      <c r="AU2560" s="3" t="n"/>
    </row>
    <row r="2561">
      <c r="A2561" s="3" t="n">
        <v>2031</v>
      </c>
      <c r="B2561" s="3" t="inlineStr">
        <is>
          <t>RWA</t>
        </is>
      </c>
      <c r="C2561" s="3" t="inlineStr">
        <is>
          <t>IMF.RES:WEO</t>
        </is>
      </c>
      <c r="D2561" s="3" t="inlineStr">
        <is>
          <t>RWA.NGDPD.A</t>
        </is>
      </c>
      <c r="E2561" s="3" t="inlineStr">
        <is>
          <t>Rwanda</t>
        </is>
      </c>
      <c r="F2561" s="3" t="inlineStr">
        <is>
          <t>Gross domestic product (GDP), Current prices, US dollar</t>
        </is>
      </c>
      <c r="G2561" s="3" t="n">
        <v>2.019549</v>
      </c>
      <c r="H2561" s="3" t="n">
        <v>1.939107</v>
      </c>
      <c r="I2561" s="3" t="n">
        <v>1.935079</v>
      </c>
      <c r="J2561" s="3" t="n">
        <v>2.10855</v>
      </c>
      <c r="K2561" s="3" t="n">
        <v>2.353771</v>
      </c>
      <c r="L2561" s="3" t="n">
        <v>2.902794</v>
      </c>
      <c r="M2561" s="3" t="n">
        <v>3.271289</v>
      </c>
      <c r="N2561" s="3" t="n">
        <v>4.016453</v>
      </c>
      <c r="O2561" s="3" t="n">
        <v>5.120746</v>
      </c>
      <c r="P2561" s="3" t="n">
        <v>5.604503</v>
      </c>
      <c r="Q2561" s="3" t="n">
        <v>6.051928</v>
      </c>
      <c r="R2561" s="3" t="n">
        <v>6.803191</v>
      </c>
      <c r="S2561" s="3" t="n">
        <v>7.556593</v>
      </c>
      <c r="T2561" s="3" t="n">
        <v>7.713906</v>
      </c>
      <c r="U2561" s="3" t="n">
        <v>8.129735999999999</v>
      </c>
      <c r="V2561" s="3" t="n">
        <v>8.450532000000001</v>
      </c>
      <c r="W2561" s="3" t="n">
        <v>8.596973999999999</v>
      </c>
      <c r="X2561" s="3" t="n">
        <v>9.165036000000001</v>
      </c>
      <c r="Y2561" s="3" t="n">
        <v>9.650702000000001</v>
      </c>
      <c r="Z2561" s="3" t="n">
        <v>10.518635</v>
      </c>
      <c r="AA2561" s="3" t="n">
        <v>10.48806</v>
      </c>
      <c r="AB2561" s="3" t="n">
        <v>11.250071</v>
      </c>
      <c r="AC2561" s="3" t="n">
        <v>13.74359</v>
      </c>
      <c r="AD2561" s="3" t="n">
        <v>14.805173</v>
      </c>
      <c r="AE2561" s="3" t="n">
        <v>15.110736</v>
      </c>
      <c r="AF2561" s="3" t="n">
        <v>15.973144</v>
      </c>
      <c r="AG2561" s="3" t="n">
        <v>17.336386</v>
      </c>
      <c r="AH2561" s="3" t="n">
        <v>18.428469</v>
      </c>
      <c r="AI2561" s="3" t="n">
        <v>19.530647</v>
      </c>
      <c r="AJ2561" s="3" t="n">
        <v>20.909186</v>
      </c>
      <c r="AK2561" s="3" t="n">
        <v>22.662507</v>
      </c>
      <c r="AL2561" s="3" t="n">
        <v>24.680483</v>
      </c>
      <c r="AM2561" s="3" t="n"/>
      <c r="AN2561" s="3" t="n"/>
      <c r="AO2561" s="3" t="n"/>
      <c r="AP2561" s="3" t="n"/>
      <c r="AQ2561" s="3" t="n"/>
      <c r="AR2561" s="3" t="n"/>
      <c r="AS2561" s="3" t="n"/>
      <c r="AT2561" s="3" t="n"/>
      <c r="AU2561" s="3" t="n"/>
    </row>
    <row r="2562">
      <c r="A2562" s="3" t="n">
        <v>2031</v>
      </c>
      <c r="B2562" s="3" t="inlineStr">
        <is>
          <t>RWA</t>
        </is>
      </c>
      <c r="C2562" s="3" t="inlineStr">
        <is>
          <t>IMF.RES:WEO</t>
        </is>
      </c>
      <c r="D2562" s="3" t="inlineStr">
        <is>
          <t>RWA.NGDPPC.A</t>
        </is>
      </c>
      <c r="E2562" s="3" t="inlineStr">
        <is>
          <t>Rwanda</t>
        </is>
      </c>
      <c r="F2562" s="3" t="inlineStr">
        <is>
          <t>Gross domestic product (GDP), Current prices, Per capita, Domestic currency</t>
        </is>
      </c>
      <c r="G2562" s="3" t="n">
        <v>103189.75784</v>
      </c>
      <c r="H2562" s="3" t="n">
        <v>108688.436239</v>
      </c>
      <c r="I2562" s="3" t="n">
        <v>113793.87029</v>
      </c>
      <c r="J2562" s="3" t="n">
        <v>136587.83606</v>
      </c>
      <c r="K2562" s="3" t="n">
        <v>157270.742358</v>
      </c>
      <c r="L2562" s="3" t="n">
        <v>183382.666733</v>
      </c>
      <c r="M2562" s="3" t="n">
        <v>200666.666667</v>
      </c>
      <c r="N2562" s="3" t="n">
        <v>238804.347826</v>
      </c>
      <c r="O2562" s="3" t="n">
        <v>294631.578947</v>
      </c>
      <c r="P2562" s="3" t="n">
        <v>328350.515464</v>
      </c>
      <c r="Q2562" s="3" t="n">
        <v>352900</v>
      </c>
      <c r="R2562" s="3" t="n">
        <v>400392.156863</v>
      </c>
      <c r="S2562" s="3" t="n">
        <v>442812.172088</v>
      </c>
      <c r="T2562" s="3" t="n">
        <v>464561.79566</v>
      </c>
      <c r="U2562" s="3" t="n">
        <v>504501.227608</v>
      </c>
      <c r="V2562" s="3" t="n">
        <v>539909.437983</v>
      </c>
      <c r="W2562" s="3" t="n">
        <v>586837.769878</v>
      </c>
      <c r="X2562" s="3" t="n">
        <v>645355.237531</v>
      </c>
      <c r="Y2562" s="3" t="n">
        <v>687344.913151</v>
      </c>
      <c r="Z2562" s="3" t="n">
        <v>764587.037336</v>
      </c>
      <c r="AA2562" s="3" t="n">
        <v>781252.46782</v>
      </c>
      <c r="AB2562" s="3" t="n">
        <v>858675.517135</v>
      </c>
      <c r="AC2562" s="3" t="n">
        <v>1069303.940812</v>
      </c>
      <c r="AD2562" s="3" t="n">
        <v>1272390.547448</v>
      </c>
      <c r="AE2562" s="3" t="n">
        <v>1437396.261817</v>
      </c>
      <c r="AF2562" s="3" t="n">
        <v>1611152.258988</v>
      </c>
      <c r="AG2562" s="3" t="n">
        <v>1797372.643523</v>
      </c>
      <c r="AH2562" s="3" t="n">
        <v>1986613.635093</v>
      </c>
      <c r="AI2562" s="3" t="n">
        <v>2186849.538753</v>
      </c>
      <c r="AJ2562" s="3" t="n">
        <v>2408894.680279</v>
      </c>
      <c r="AK2562" s="3" t="n">
        <v>2650157.412782</v>
      </c>
      <c r="AL2562" s="3" t="n">
        <v>2915265.263521</v>
      </c>
      <c r="AM2562" s="3" t="n"/>
      <c r="AN2562" s="3" t="n"/>
      <c r="AO2562" s="3" t="n"/>
      <c r="AP2562" s="3" t="n"/>
      <c r="AQ2562" s="3" t="n"/>
      <c r="AR2562" s="3" t="n"/>
      <c r="AS2562" s="3" t="n"/>
      <c r="AT2562" s="3" t="n"/>
      <c r="AU2562" s="3" t="n"/>
    </row>
    <row r="2563">
      <c r="A2563" s="3" t="n">
        <v>2031</v>
      </c>
      <c r="B2563" s="3" t="inlineStr">
        <is>
          <t>RWA</t>
        </is>
      </c>
      <c r="C2563" s="3" t="inlineStr">
        <is>
          <t>IMF.RES:WEO</t>
        </is>
      </c>
      <c r="D2563" s="3" t="inlineStr">
        <is>
          <t>RWA.NGDPRPC.A</t>
        </is>
      </c>
      <c r="E2563" s="3" t="inlineStr">
        <is>
          <t>Rwanda</t>
        </is>
      </c>
      <c r="F2563" s="3" t="inlineStr">
        <is>
          <t>Gross domestic product (GDP), Constant prices, Per capita, Domestic currency</t>
        </is>
      </c>
      <c r="G2563" s="3" t="n">
        <v>473130.925077</v>
      </c>
      <c r="H2563" s="3" t="n">
        <v>500286.047173</v>
      </c>
      <c r="I2563" s="3" t="n">
        <v>552214.350012</v>
      </c>
      <c r="J2563" s="3" t="n">
        <v>550866.28744</v>
      </c>
      <c r="K2563" s="3" t="n">
        <v>571192.6744510001</v>
      </c>
      <c r="L2563" s="3" t="n">
        <v>610722.427351</v>
      </c>
      <c r="M2563" s="3" t="n">
        <v>652111.1111109999</v>
      </c>
      <c r="N2563" s="3" t="n">
        <v>686739.1304350001</v>
      </c>
      <c r="O2563" s="3" t="n">
        <v>739368.421053</v>
      </c>
      <c r="P2563" s="3" t="n">
        <v>769278.3505150001</v>
      </c>
      <c r="Q2563" s="3" t="n">
        <v>801000</v>
      </c>
      <c r="R2563" s="3" t="n">
        <v>847745.0980389999</v>
      </c>
      <c r="S2563" s="3" t="n">
        <v>896117.52361</v>
      </c>
      <c r="T2563" s="3" t="n">
        <v>916270.839154</v>
      </c>
      <c r="U2563" s="3" t="n">
        <v>945257.797581</v>
      </c>
      <c r="V2563" s="3" t="n">
        <v>1004794.459735</v>
      </c>
      <c r="W2563" s="3" t="n">
        <v>1036850.776034</v>
      </c>
      <c r="X2563" s="3" t="n">
        <v>1060292.996867</v>
      </c>
      <c r="Y2563" s="3" t="n">
        <v>1119189.412738</v>
      </c>
      <c r="Z2563" s="3" t="n">
        <v>1195005.657023</v>
      </c>
      <c r="AA2563" s="3" t="n">
        <v>1135276.000948</v>
      </c>
      <c r="AB2563" s="3" t="n">
        <v>1202994.751467</v>
      </c>
      <c r="AC2563" s="3" t="n">
        <v>1292088.177563</v>
      </c>
      <c r="AD2563" s="3" t="n">
        <v>1376398.251722</v>
      </c>
      <c r="AE2563" s="3" t="n">
        <v>1437468.42751</v>
      </c>
      <c r="AF2563" s="3" t="n">
        <v>1504661.651645</v>
      </c>
      <c r="AG2563" s="3" t="n">
        <v>1579046.371701</v>
      </c>
      <c r="AH2563" s="3" t="n">
        <v>1662846.089109</v>
      </c>
      <c r="AI2563" s="3" t="n">
        <v>1743647.302097</v>
      </c>
      <c r="AJ2563" s="3" t="n">
        <v>1829459.193532</v>
      </c>
      <c r="AK2563" s="3" t="n">
        <v>1917080.938999</v>
      </c>
      <c r="AL2563" s="3" t="n">
        <v>2007868.075946</v>
      </c>
      <c r="AM2563" s="3" t="n"/>
      <c r="AN2563" s="3" t="n"/>
      <c r="AO2563" s="3" t="n"/>
      <c r="AP2563" s="3" t="n"/>
      <c r="AQ2563" s="3" t="n"/>
      <c r="AR2563" s="3" t="n"/>
      <c r="AS2563" s="3" t="n"/>
      <c r="AT2563" s="3" t="n"/>
      <c r="AU2563" s="3" t="n"/>
    </row>
    <row r="2564">
      <c r="A2564" s="3" t="n">
        <v>2031</v>
      </c>
      <c r="B2564" s="3" t="inlineStr">
        <is>
          <t>RWA</t>
        </is>
      </c>
      <c r="C2564" s="3" t="inlineStr">
        <is>
          <t>IMF.RES:WEO</t>
        </is>
      </c>
      <c r="D2564" s="3" t="inlineStr">
        <is>
          <t>RWA.PCPI.A</t>
        </is>
      </c>
      <c r="E2564" s="3" t="inlineStr">
        <is>
          <t>Rwanda</t>
        </is>
      </c>
      <c r="F2564" s="3" t="inlineStr">
        <is>
          <t>All Items, Consumer price index (CPI), Period average</t>
        </is>
      </c>
      <c r="G2564" s="3" t="n">
        <v>39.43993</v>
      </c>
      <c r="H2564" s="3" t="n">
        <v>40.764561</v>
      </c>
      <c r="I2564" s="3" t="n">
        <v>41.57229</v>
      </c>
      <c r="J2564" s="3" t="n">
        <v>44.667426</v>
      </c>
      <c r="K2564" s="3" t="n">
        <v>50.018584</v>
      </c>
      <c r="L2564" s="3" t="n">
        <v>54.581066</v>
      </c>
      <c r="M2564" s="3" t="n">
        <v>59.401305</v>
      </c>
      <c r="N2564" s="3" t="n">
        <v>64.795372</v>
      </c>
      <c r="O2564" s="3" t="n">
        <v>74.79953399999999</v>
      </c>
      <c r="P2564" s="3" t="n">
        <v>82.53617800000001</v>
      </c>
      <c r="Q2564" s="3" t="n">
        <v>84.45</v>
      </c>
      <c r="R2564" s="3" t="n">
        <v>89.233333</v>
      </c>
      <c r="S2564" s="3" t="n">
        <v>94.841667</v>
      </c>
      <c r="T2564" s="3" t="n">
        <v>98.841667</v>
      </c>
      <c r="U2564" s="3" t="n">
        <v>100.591667</v>
      </c>
      <c r="V2564" s="3" t="n">
        <v>103.141667</v>
      </c>
      <c r="W2564" s="3" t="n">
        <v>109.041667</v>
      </c>
      <c r="X2564" s="3" t="n">
        <v>114.300609</v>
      </c>
      <c r="Y2564" s="3" t="n">
        <v>115.849678</v>
      </c>
      <c r="Z2564" s="3" t="n">
        <v>118.65</v>
      </c>
      <c r="AA2564" s="3" t="n">
        <v>127.825</v>
      </c>
      <c r="AB2564" s="3" t="n">
        <v>128.883333</v>
      </c>
      <c r="AC2564" s="3" t="n">
        <v>146.775</v>
      </c>
      <c r="AD2564" s="3" t="n">
        <v>167.365973</v>
      </c>
      <c r="AE2564" s="3" t="n">
        <v>175.348061</v>
      </c>
      <c r="AF2564" s="3" t="n">
        <v>187.684795</v>
      </c>
      <c r="AG2564" s="3" t="n">
        <v>198.195143</v>
      </c>
      <c r="AH2564" s="3" t="n">
        <v>208.1049</v>
      </c>
      <c r="AI2564" s="3" t="n">
        <v>218.510145</v>
      </c>
      <c r="AJ2564" s="3" t="n">
        <v>229.435652</v>
      </c>
      <c r="AK2564" s="3" t="n">
        <v>240.907435</v>
      </c>
      <c r="AL2564" s="3" t="n">
        <v>252.952807</v>
      </c>
      <c r="AM2564" s="3" t="n"/>
      <c r="AN2564" s="3" t="n"/>
      <c r="AO2564" s="3" t="n"/>
      <c r="AP2564" s="3" t="n"/>
      <c r="AQ2564" s="3" t="n"/>
      <c r="AR2564" s="3" t="n"/>
      <c r="AS2564" s="3" t="n"/>
      <c r="AT2564" s="3" t="n"/>
      <c r="AU2564" s="3" t="n"/>
    </row>
    <row r="2565">
      <c r="A2565" s="3" t="n">
        <v>2031</v>
      </c>
      <c r="B2565" s="3" t="inlineStr">
        <is>
          <t>RWA</t>
        </is>
      </c>
      <c r="C2565" s="3" t="inlineStr">
        <is>
          <t>IMF.RES:WEO</t>
        </is>
      </c>
      <c r="D2565" s="3" t="inlineStr">
        <is>
          <t>RWA.PCPIPCH.A</t>
        </is>
      </c>
      <c r="E2565" s="3" t="inlineStr">
        <is>
          <t>Rwanda</t>
        </is>
      </c>
      <c r="F2565" s="3" t="inlineStr">
        <is>
          <t>All Items, Consumer price index (CPI), Period average, percent change</t>
        </is>
      </c>
      <c r="G2565" s="3" t="n">
        <v>3.908485</v>
      </c>
      <c r="H2565" s="3" t="n">
        <v>3.358605</v>
      </c>
      <c r="I2565" s="3" t="n">
        <v>1.981447</v>
      </c>
      <c r="J2565" s="3" t="n">
        <v>7.445191</v>
      </c>
      <c r="K2565" s="3" t="n">
        <v>11.98</v>
      </c>
      <c r="L2565" s="3" t="n">
        <v>9.121573</v>
      </c>
      <c r="M2565" s="3" t="n">
        <v>8.831339</v>
      </c>
      <c r="N2565" s="3" t="n">
        <v>9.080722</v>
      </c>
      <c r="O2565" s="3" t="n">
        <v>15.439624</v>
      </c>
      <c r="P2565" s="3" t="n">
        <v>10.343172</v>
      </c>
      <c r="Q2565" s="3" t="n">
        <v>2.318767</v>
      </c>
      <c r="R2565" s="3" t="n">
        <v>5.664101</v>
      </c>
      <c r="S2565" s="3" t="n">
        <v>6.285021</v>
      </c>
      <c r="T2565" s="3" t="n">
        <v>4.217556</v>
      </c>
      <c r="U2565" s="3" t="n">
        <v>1.770508</v>
      </c>
      <c r="V2565" s="3" t="n">
        <v>2.535001</v>
      </c>
      <c r="W2565" s="3" t="n">
        <v>5.720288</v>
      </c>
      <c r="X2565" s="3" t="n">
        <v>4.822874</v>
      </c>
      <c r="Y2565" s="3" t="n">
        <v>1.355259</v>
      </c>
      <c r="Z2565" s="3" t="n">
        <v>2.417203</v>
      </c>
      <c r="AA2565" s="3" t="n">
        <v>7.732828</v>
      </c>
      <c r="AB2565" s="3" t="n">
        <v>0.827955</v>
      </c>
      <c r="AC2565" s="3" t="n">
        <v>13.882064</v>
      </c>
      <c r="AD2565" s="3" t="n">
        <v>14.028938</v>
      </c>
      <c r="AE2565" s="3" t="n">
        <v>4.769242</v>
      </c>
      <c r="AF2565" s="3" t="n">
        <v>7.035569</v>
      </c>
      <c r="AG2565" s="3" t="n">
        <v>5.6</v>
      </c>
      <c r="AH2565" s="3" t="n">
        <v>5</v>
      </c>
      <c r="AI2565" s="3" t="n">
        <v>5</v>
      </c>
      <c r="AJ2565" s="3" t="n">
        <v>5</v>
      </c>
      <c r="AK2565" s="3" t="n">
        <v>5</v>
      </c>
      <c r="AL2565" s="3" t="n">
        <v>5</v>
      </c>
      <c r="AM2565" s="3" t="n"/>
      <c r="AN2565" s="3" t="n"/>
      <c r="AO2565" s="3" t="n"/>
      <c r="AP2565" s="3" t="n"/>
      <c r="AQ2565" s="3" t="n"/>
      <c r="AR2565" s="3" t="n"/>
      <c r="AS2565" s="3" t="n"/>
      <c r="AT2565" s="3" t="n"/>
      <c r="AU2565" s="3" t="n"/>
    </row>
    <row r="2566">
      <c r="A2566" s="3" t="n">
        <v>2031</v>
      </c>
      <c r="B2566" s="3" t="inlineStr">
        <is>
          <t>RWA</t>
        </is>
      </c>
      <c r="C2566" s="3" t="inlineStr">
        <is>
          <t>IMF.RES:WEO</t>
        </is>
      </c>
      <c r="D2566" s="3" t="inlineStr">
        <is>
          <t>RWA.PPPPC.A</t>
        </is>
      </c>
      <c r="E2566" s="3" t="inlineStr">
        <is>
          <t>Rwanda</t>
        </is>
      </c>
      <c r="F2566" s="3" t="inlineStr">
        <is>
          <t>Gross domestic product (GDP), Per capita, purchasing power parity (PPP) international dollar, ICP benchmarks 2017-2021</t>
        </is>
      </c>
      <c r="G2566" s="3" t="n">
        <v>653.584851</v>
      </c>
      <c r="H2566" s="3" t="n">
        <v>706.657921</v>
      </c>
      <c r="I2566" s="3" t="n">
        <v>792.12864</v>
      </c>
      <c r="J2566" s="3" t="n">
        <v>805.7950520000001</v>
      </c>
      <c r="K2566" s="3" t="n">
        <v>857.994398</v>
      </c>
      <c r="L2566" s="3" t="n">
        <v>946.139604</v>
      </c>
      <c r="M2566" s="3" t="n">
        <v>1041.414737</v>
      </c>
      <c r="N2566" s="3" t="n">
        <v>1126.428308</v>
      </c>
      <c r="O2566" s="3" t="n">
        <v>1236.116469</v>
      </c>
      <c r="P2566" s="3" t="n">
        <v>1294.053572</v>
      </c>
      <c r="Q2566" s="3" t="n">
        <v>1363.790775</v>
      </c>
      <c r="R2566" s="3" t="n">
        <v>1473.159959</v>
      </c>
      <c r="S2566" s="3" t="n">
        <v>1586.212977</v>
      </c>
      <c r="T2566" s="3" t="n">
        <v>1649.49084</v>
      </c>
      <c r="U2566" s="3" t="n">
        <v>1731.312103</v>
      </c>
      <c r="V2566" s="3" t="n">
        <v>1857.437565</v>
      </c>
      <c r="W2566" s="3" t="n">
        <v>1934.908956</v>
      </c>
      <c r="X2566" s="3" t="n">
        <v>2014.090962</v>
      </c>
      <c r="Y2566" s="3" t="n">
        <v>2198.339289</v>
      </c>
      <c r="Z2566" s="3" t="n">
        <v>2451.690119</v>
      </c>
      <c r="AA2566" s="3" t="n">
        <v>2430.231535</v>
      </c>
      <c r="AB2566" s="3" t="n">
        <v>2861.979803</v>
      </c>
      <c r="AC2566" s="3" t="n">
        <v>3292.568296</v>
      </c>
      <c r="AD2566" s="3" t="n">
        <v>3637.187148</v>
      </c>
      <c r="AE2566" s="3" t="n">
        <v>3892.868658</v>
      </c>
      <c r="AF2566" s="3" t="n">
        <v>4190.431077</v>
      </c>
      <c r="AG2566" s="3" t="n">
        <v>4523.574363</v>
      </c>
      <c r="AH2566" s="3" t="n">
        <v>4868.244531</v>
      </c>
      <c r="AI2566" s="3" t="n">
        <v>5188.592593</v>
      </c>
      <c r="AJ2566" s="3" t="n">
        <v>5540.743322</v>
      </c>
      <c r="AK2566" s="3" t="n">
        <v>5912.805561</v>
      </c>
      <c r="AL2566" s="3" t="n">
        <v>6304.617149</v>
      </c>
      <c r="AM2566" s="3" t="n"/>
      <c r="AN2566" s="3" t="n"/>
      <c r="AO2566" s="3" t="n"/>
      <c r="AP2566" s="3" t="n"/>
      <c r="AQ2566" s="3" t="n"/>
      <c r="AR2566" s="3" t="n"/>
      <c r="AS2566" s="3" t="n"/>
      <c r="AT2566" s="3" t="n"/>
      <c r="AU2566" s="3" t="n"/>
    </row>
    <row r="2567">
      <c r="A2567" s="3" t="n">
        <v>2025</v>
      </c>
      <c r="B2567" s="3" t="inlineStr">
        <is>
          <t>RWA</t>
        </is>
      </c>
      <c r="C2567" s="3" t="inlineStr">
        <is>
          <t>IMF.STA:ER</t>
        </is>
      </c>
      <c r="D2567" s="3" t="inlineStr">
        <is>
          <t>RWA.XDC_USD.PA_RT.A</t>
        </is>
      </c>
      <c r="E2567" s="3" t="inlineStr">
        <is>
          <t>Rwanda</t>
        </is>
      </c>
      <c r="F2567" s="3" t="inlineStr">
        <is>
          <t>Domestic currency per US Dollar</t>
        </is>
      </c>
      <c r="G2567" s="3" t="n">
        <v>389.696216666666</v>
      </c>
      <c r="H2567" s="3" t="n">
        <v>442.991891666666</v>
      </c>
      <c r="I2567" s="3" t="n">
        <v>475.365241666666</v>
      </c>
      <c r="J2567" s="3" t="n">
        <v>537.65498475</v>
      </c>
      <c r="K2567" s="3" t="n">
        <v>577.448974583333</v>
      </c>
      <c r="L2567" s="3" t="n">
        <v>557.822640749999</v>
      </c>
      <c r="M2567" s="3" t="n">
        <v>551.710333333333</v>
      </c>
      <c r="N2567" s="3" t="n">
        <v>546.955</v>
      </c>
      <c r="O2567" s="3" t="n">
        <v>546.8486531666661</v>
      </c>
      <c r="P2567" s="3" t="n">
        <v>568.281326833333</v>
      </c>
      <c r="Q2567" s="3" t="n">
        <v>583.1309065833329</v>
      </c>
      <c r="R2567" s="3" t="n">
        <v>600.30651975</v>
      </c>
      <c r="S2567" s="3" t="n">
        <v>614.295142416666</v>
      </c>
      <c r="T2567" s="3" t="n">
        <v>646.6359745</v>
      </c>
      <c r="U2567" s="3" t="n">
        <v>682.4377953875</v>
      </c>
      <c r="V2567" s="3" t="n">
        <v>719.8595555000001</v>
      </c>
      <c r="W2567" s="3" t="n">
        <v>787.2515217500001</v>
      </c>
      <c r="X2567" s="3" t="n">
        <v>831.5543397500001</v>
      </c>
      <c r="Y2567" s="3" t="n">
        <v>861.093412166666</v>
      </c>
      <c r="Z2567" s="3" t="n">
        <v>899.350509</v>
      </c>
      <c r="AA2567" s="3" t="n">
        <v>943.2780481666661</v>
      </c>
      <c r="AB2567" s="3" t="n">
        <v>988.624806551768</v>
      </c>
      <c r="AC2567" s="3" t="n">
        <v>1030.30829974206</v>
      </c>
      <c r="AD2567" s="3" t="n">
        <v>1160.09869425</v>
      </c>
      <c r="AE2567" s="3" t="n">
        <v>1318.12835733333</v>
      </c>
      <c r="AF2567" s="3" t="n">
        <v>1428.47827558333</v>
      </c>
      <c r="AG2567" s="3" t="n"/>
      <c r="AH2567" s="3" t="n"/>
      <c r="AI2567" s="3" t="n"/>
      <c r="AJ2567" s="3" t="n"/>
      <c r="AK2567" s="3" t="n"/>
      <c r="AL2567" s="3" t="n"/>
      <c r="AM2567" s="3" t="n"/>
      <c r="AN2567" s="3" t="n"/>
      <c r="AO2567" s="3" t="n"/>
      <c r="AP2567" s="3" t="n"/>
      <c r="AQ2567" s="3" t="n"/>
      <c r="AR2567" s="3" t="n"/>
      <c r="AS2567" s="3" t="n"/>
      <c r="AT2567" s="3" t="n"/>
      <c r="AU2567" s="3" t="n"/>
    </row>
    <row r="2568">
      <c r="A2568" s="3" t="n">
        <v>2031</v>
      </c>
      <c r="B2568" s="3" t="inlineStr">
        <is>
          <t>SAU</t>
        </is>
      </c>
      <c r="C2568" s="3" t="inlineStr">
        <is>
          <t>IMF.RES:WEO</t>
        </is>
      </c>
      <c r="D2568" s="3" t="inlineStr">
        <is>
          <t>SAU.BCA.A</t>
        </is>
      </c>
      <c r="E2568" s="3" t="inlineStr">
        <is>
          <t>Saudi Arabia</t>
        </is>
      </c>
      <c r="F2568" s="3" t="inlineStr">
        <is>
          <t>Current account balance (credit less debit), US dollar</t>
        </is>
      </c>
      <c r="G2568" s="3" t="n">
        <v>14.317267</v>
      </c>
      <c r="H2568" s="3" t="n">
        <v>9.353645999999999</v>
      </c>
      <c r="I2568" s="3" t="n">
        <v>11.872827</v>
      </c>
      <c r="J2568" s="3" t="n">
        <v>28.04784</v>
      </c>
      <c r="K2568" s="3" t="n">
        <v>51.926373</v>
      </c>
      <c r="L2568" s="3" t="n">
        <v>92.378187</v>
      </c>
      <c r="M2568" s="3" t="n">
        <v>103.09332</v>
      </c>
      <c r="N2568" s="3" t="n">
        <v>99.402208</v>
      </c>
      <c r="O2568" s="3" t="n">
        <v>139.743237</v>
      </c>
      <c r="P2568" s="3" t="n">
        <v>28.333226</v>
      </c>
      <c r="Q2568" s="3" t="n">
        <v>74.414822</v>
      </c>
      <c r="R2568" s="3" t="n">
        <v>164.95336</v>
      </c>
      <c r="S2568" s="3" t="n">
        <v>170.246327</v>
      </c>
      <c r="T2568" s="3" t="n">
        <v>141.06</v>
      </c>
      <c r="U2568" s="3" t="n">
        <v>77.6511</v>
      </c>
      <c r="V2568" s="3" t="n">
        <v>-55.0446</v>
      </c>
      <c r="W2568" s="3" t="n">
        <v>-26.9691</v>
      </c>
      <c r="X2568" s="3" t="n">
        <v>9.0839</v>
      </c>
      <c r="Y2568" s="3" t="n">
        <v>70.029</v>
      </c>
      <c r="Z2568" s="3" t="n">
        <v>32.3985</v>
      </c>
      <c r="AA2568" s="3" t="n">
        <v>-34.6876</v>
      </c>
      <c r="AB2568" s="3" t="n">
        <v>44.9054</v>
      </c>
      <c r="AC2568" s="3" t="n">
        <v>145.3366</v>
      </c>
      <c r="AD2568" s="3" t="n">
        <v>25.9481</v>
      </c>
      <c r="AE2568" s="3" t="n">
        <v>-16.2539</v>
      </c>
      <c r="AF2568" s="3" t="n">
        <v>-37.737473</v>
      </c>
      <c r="AG2568" s="3" t="n">
        <v>-22.335542</v>
      </c>
      <c r="AH2568" s="3" t="n">
        <v>-42.299243</v>
      </c>
      <c r="AI2568" s="3" t="n">
        <v>-52.378032</v>
      </c>
      <c r="AJ2568" s="3" t="n">
        <v>-56.799191</v>
      </c>
      <c r="AK2568" s="3" t="n">
        <v>-60.293559</v>
      </c>
      <c r="AL2568" s="3" t="n">
        <v>-64.968051</v>
      </c>
      <c r="AM2568" s="3" t="n"/>
      <c r="AN2568" s="3" t="n"/>
      <c r="AO2568" s="3" t="n"/>
      <c r="AP2568" s="3" t="n"/>
      <c r="AQ2568" s="3" t="n"/>
      <c r="AR2568" s="3" t="n"/>
      <c r="AS2568" s="3" t="n"/>
      <c r="AT2568" s="3" t="n"/>
      <c r="AU2568" s="3" t="n"/>
    </row>
    <row r="2569">
      <c r="A2569" s="3" t="n">
        <v>2031</v>
      </c>
      <c r="B2569" s="3" t="inlineStr">
        <is>
          <t>SAU</t>
        </is>
      </c>
      <c r="C2569" s="3" t="inlineStr">
        <is>
          <t>IMF.RES:WEO</t>
        </is>
      </c>
      <c r="D2569" s="3" t="inlineStr">
        <is>
          <t>SAU.BCA_NGDPD.A</t>
        </is>
      </c>
      <c r="E2569" s="3" t="inlineStr">
        <is>
          <t>Saudi Arabia</t>
        </is>
      </c>
      <c r="F2569" s="3" t="inlineStr">
        <is>
          <t>Current account balance (credit less debit), Percent of GDP</t>
        </is>
      </c>
      <c r="G2569" s="3" t="n">
        <v>7.554691</v>
      </c>
      <c r="H2569" s="3" t="n">
        <v>5.079705</v>
      </c>
      <c r="I2569" s="3" t="n">
        <v>6.261846</v>
      </c>
      <c r="J2569" s="3" t="n">
        <v>12.99668</v>
      </c>
      <c r="K2569" s="3" t="n">
        <v>20.068794</v>
      </c>
      <c r="L2569" s="3" t="n">
        <v>28.146461</v>
      </c>
      <c r="M2569" s="3" t="n">
        <v>27.389454</v>
      </c>
      <c r="N2569" s="3" t="n">
        <v>23.912727</v>
      </c>
      <c r="O2569" s="3" t="n">
        <v>26.884205</v>
      </c>
      <c r="P2569" s="3" t="n">
        <v>6.602975</v>
      </c>
      <c r="Q2569" s="3" t="n">
        <v>14.088188</v>
      </c>
      <c r="R2569" s="3" t="n">
        <v>24.234297</v>
      </c>
      <c r="S2569" s="3" t="n">
        <v>22.641516</v>
      </c>
      <c r="T2569" s="3" t="n">
        <v>18.3253</v>
      </c>
      <c r="U2569" s="3" t="n">
        <v>9.86481</v>
      </c>
      <c r="V2569" s="3" t="n">
        <v>-7.938191</v>
      </c>
      <c r="W2569" s="3" t="n">
        <v>-3.912651</v>
      </c>
      <c r="X2569" s="3" t="n">
        <v>1.225458</v>
      </c>
      <c r="Y2569" s="3" t="n">
        <v>7.898925</v>
      </c>
      <c r="Z2569" s="3" t="n">
        <v>3.644836</v>
      </c>
      <c r="AA2569" s="3" t="n">
        <v>-4.520718</v>
      </c>
      <c r="AB2569" s="3" t="n">
        <v>4.569775</v>
      </c>
      <c r="AC2569" s="3" t="n">
        <v>11.729439</v>
      </c>
      <c r="AD2569" s="3" t="n">
        <v>2.129364</v>
      </c>
      <c r="AE2569" s="3" t="n">
        <v>-1.296018</v>
      </c>
      <c r="AF2569" s="3" t="n">
        <v>-2.955298</v>
      </c>
      <c r="AG2569" s="3" t="n">
        <v>-1.608406</v>
      </c>
      <c r="AH2569" s="3" t="n">
        <v>-2.953141</v>
      </c>
      <c r="AI2569" s="3" t="n">
        <v>-3.496467</v>
      </c>
      <c r="AJ2569" s="3" t="n">
        <v>-3.612894</v>
      </c>
      <c r="AK2569" s="3" t="n">
        <v>-3.655247</v>
      </c>
      <c r="AL2569" s="3" t="n">
        <v>-3.755217</v>
      </c>
      <c r="AM2569" s="3" t="n"/>
      <c r="AN2569" s="3" t="n"/>
      <c r="AO2569" s="3" t="n"/>
      <c r="AP2569" s="3" t="n"/>
      <c r="AQ2569" s="3" t="n"/>
      <c r="AR2569" s="3" t="n"/>
      <c r="AS2569" s="3" t="n"/>
      <c r="AT2569" s="3" t="n"/>
      <c r="AU2569" s="3" t="n"/>
    </row>
    <row r="2570">
      <c r="A2570" s="3" t="n">
        <v>2031</v>
      </c>
      <c r="B2570" s="3" t="inlineStr">
        <is>
          <t>SAU</t>
        </is>
      </c>
      <c r="C2570" s="3" t="inlineStr">
        <is>
          <t>IMF.RES:WEO</t>
        </is>
      </c>
      <c r="D2570" s="3" t="inlineStr">
        <is>
          <t>SAU.GGR_NGDP.A</t>
        </is>
      </c>
      <c r="E2570" s="3" t="inlineStr">
        <is>
          <t>Saudi Arabia</t>
        </is>
      </c>
      <c r="F2570" s="3" t="inlineStr">
        <is>
          <t>Revenue, General government, Percent of GDP</t>
        </is>
      </c>
      <c r="G2570" s="3" t="n">
        <v>36.317279</v>
      </c>
      <c r="H2570" s="3" t="n">
        <v>33.033268</v>
      </c>
      <c r="I2570" s="3" t="n">
        <v>29.956879</v>
      </c>
      <c r="J2570" s="3" t="n">
        <v>34.314495</v>
      </c>
      <c r="K2570" s="3" t="n">
        <v>40.81195</v>
      </c>
      <c r="L2570" s="3" t="n">
        <v>46.137702</v>
      </c>
      <c r="M2570" s="3" t="n">
        <v>48.091877</v>
      </c>
      <c r="N2570" s="3" t="n">
        <v>41.236493</v>
      </c>
      <c r="O2570" s="3" t="n">
        <v>56.481558</v>
      </c>
      <c r="P2570" s="3" t="n">
        <v>31.682283</v>
      </c>
      <c r="Q2570" s="3" t="n">
        <v>37.403201</v>
      </c>
      <c r="R2570" s="3" t="n">
        <v>43.782199</v>
      </c>
      <c r="S2570" s="3" t="n">
        <v>44.20808</v>
      </c>
      <c r="T2570" s="3" t="n">
        <v>39.929841</v>
      </c>
      <c r="U2570" s="3" t="n">
        <v>35.237253</v>
      </c>
      <c r="V2570" s="3" t="n">
        <v>23.562381</v>
      </c>
      <c r="W2570" s="3" t="n">
        <v>20.096309</v>
      </c>
      <c r="X2570" s="3" t="n">
        <v>22.35815</v>
      </c>
      <c r="Y2570" s="3" t="n">
        <v>27.239523</v>
      </c>
      <c r="Z2570" s="3" t="n">
        <v>27.805386</v>
      </c>
      <c r="AA2570" s="3" t="n">
        <v>27.165712</v>
      </c>
      <c r="AB2570" s="3" t="n">
        <v>26.200572</v>
      </c>
      <c r="AC2570" s="3" t="n">
        <v>27.513001</v>
      </c>
      <c r="AD2570" s="3" t="n">
        <v>26.529709</v>
      </c>
      <c r="AE2570" s="3" t="n">
        <v>26.77062</v>
      </c>
      <c r="AF2570" s="3" t="n">
        <v>23.220479</v>
      </c>
      <c r="AG2570" s="3" t="n">
        <v>23.20116</v>
      </c>
      <c r="AH2570" s="3" t="n">
        <v>23.268662</v>
      </c>
      <c r="AI2570" s="3" t="n">
        <v>22.753183</v>
      </c>
      <c r="AJ2570" s="3" t="n">
        <v>22.532559</v>
      </c>
      <c r="AK2570" s="3" t="n">
        <v>22.225496</v>
      </c>
      <c r="AL2570" s="3" t="n">
        <v>21.843146</v>
      </c>
      <c r="AM2570" s="3" t="n"/>
      <c r="AN2570" s="3" t="n"/>
      <c r="AO2570" s="3" t="n"/>
      <c r="AP2570" s="3" t="n"/>
      <c r="AQ2570" s="3" t="n"/>
      <c r="AR2570" s="3" t="n"/>
      <c r="AS2570" s="3" t="n"/>
      <c r="AT2570" s="3" t="n"/>
      <c r="AU2570" s="3" t="n"/>
    </row>
    <row r="2571">
      <c r="A2571" s="3" t="n">
        <v>2031</v>
      </c>
      <c r="B2571" s="3" t="inlineStr">
        <is>
          <t>SAU</t>
        </is>
      </c>
      <c r="C2571" s="3" t="inlineStr">
        <is>
          <t>IMF.RES:WEO</t>
        </is>
      </c>
      <c r="D2571" s="3" t="inlineStr">
        <is>
          <t>SAU.GGX_NGDP.A</t>
        </is>
      </c>
      <c r="E2571" s="3" t="inlineStr">
        <is>
          <t>Saudi Arabia</t>
        </is>
      </c>
      <c r="F2571" s="3" t="inlineStr">
        <is>
          <t>Expenditure, General government, Percent of GDP</t>
        </is>
      </c>
      <c r="G2571" s="3" t="n">
        <v>33.13315</v>
      </c>
      <c r="H2571" s="3" t="n">
        <v>36.939188</v>
      </c>
      <c r="I2571" s="3" t="n">
        <v>35.863869</v>
      </c>
      <c r="J2571" s="3" t="n">
        <v>33.115897</v>
      </c>
      <c r="K2571" s="3" t="n">
        <v>31.094053</v>
      </c>
      <c r="L2571" s="3" t="n">
        <v>28.150751</v>
      </c>
      <c r="M2571" s="3" t="n">
        <v>27.269017</v>
      </c>
      <c r="N2571" s="3" t="n">
        <v>29.452897</v>
      </c>
      <c r="O2571" s="3" t="n">
        <v>26.679656</v>
      </c>
      <c r="P2571" s="3" t="n">
        <v>37.065732</v>
      </c>
      <c r="Q2571" s="3" t="n">
        <v>33.01157</v>
      </c>
      <c r="R2571" s="3" t="n">
        <v>32.388134</v>
      </c>
      <c r="S2571" s="3" t="n">
        <v>32.52817</v>
      </c>
      <c r="T2571" s="3" t="n">
        <v>34.460606</v>
      </c>
      <c r="U2571" s="3" t="n">
        <v>38.640643</v>
      </c>
      <c r="V2571" s="3" t="n">
        <v>38.506699</v>
      </c>
      <c r="W2571" s="3" t="n">
        <v>33.291244</v>
      </c>
      <c r="X2571" s="3" t="n">
        <v>30.930621</v>
      </c>
      <c r="Y2571" s="3" t="n">
        <v>32.447376</v>
      </c>
      <c r="Z2571" s="3" t="n">
        <v>31.770041</v>
      </c>
      <c r="AA2571" s="3" t="n">
        <v>37.385808</v>
      </c>
      <c r="AB2571" s="3" t="n">
        <v>28.193729</v>
      </c>
      <c r="AC2571" s="3" t="n">
        <v>25.272822</v>
      </c>
      <c r="AD2571" s="3" t="n">
        <v>28.300266</v>
      </c>
      <c r="AE2571" s="3" t="n">
        <v>29.230481</v>
      </c>
      <c r="AF2571" s="3" t="n">
        <v>28.994895</v>
      </c>
      <c r="AG2571" s="3" t="n">
        <v>26.673948</v>
      </c>
      <c r="AH2571" s="3" t="n">
        <v>26.670124</v>
      </c>
      <c r="AI2571" s="3" t="n">
        <v>26.314899</v>
      </c>
      <c r="AJ2571" s="3" t="n">
        <v>25.873053</v>
      </c>
      <c r="AK2571" s="3" t="n">
        <v>25.436632</v>
      </c>
      <c r="AL2571" s="3" t="n">
        <v>25.015942</v>
      </c>
      <c r="AM2571" s="3" t="n"/>
      <c r="AN2571" s="3" t="n"/>
      <c r="AO2571" s="3" t="n"/>
      <c r="AP2571" s="3" t="n"/>
      <c r="AQ2571" s="3" t="n"/>
      <c r="AR2571" s="3" t="n"/>
      <c r="AS2571" s="3" t="n"/>
      <c r="AT2571" s="3" t="n"/>
      <c r="AU2571" s="3" t="n"/>
    </row>
    <row r="2572">
      <c r="A2572" s="3" t="n">
        <v>2031</v>
      </c>
      <c r="B2572" s="3" t="inlineStr">
        <is>
          <t>SAU</t>
        </is>
      </c>
      <c r="C2572" s="3" t="inlineStr">
        <is>
          <t>IMF.RES:WEO</t>
        </is>
      </c>
      <c r="D2572" s="3" t="inlineStr">
        <is>
          <t>SAU.LP.A</t>
        </is>
      </c>
      <c r="E2572" s="3" t="inlineStr">
        <is>
          <t>Saudi Arabia</t>
        </is>
      </c>
      <c r="F2572" s="3" t="inlineStr">
        <is>
          <t>Population, Persons for countries / Index for country groups</t>
        </is>
      </c>
      <c r="G2572" s="3" t="n">
        <v>18.137897</v>
      </c>
      <c r="H2572" s="3" t="n">
        <v>18.602971</v>
      </c>
      <c r="I2572" s="3" t="n">
        <v>19.07997</v>
      </c>
      <c r="J2572" s="3" t="n">
        <v>19.5692</v>
      </c>
      <c r="K2572" s="3" t="n">
        <v>20.070975</v>
      </c>
      <c r="L2572" s="3" t="n">
        <v>20.585615</v>
      </c>
      <c r="M2572" s="3" t="n">
        <v>21.113451</v>
      </c>
      <c r="N2572" s="3" t="n">
        <v>21.654822</v>
      </c>
      <c r="O2572" s="3" t="n">
        <v>22.210074</v>
      </c>
      <c r="P2572" s="3" t="n">
        <v>22.779563</v>
      </c>
      <c r="Q2572" s="3" t="n">
        <v>23.978487</v>
      </c>
      <c r="R2572" s="3" t="n">
        <v>25.091867</v>
      </c>
      <c r="S2572" s="3" t="n">
        <v>26.168861</v>
      </c>
      <c r="T2572" s="3" t="n">
        <v>27.624004</v>
      </c>
      <c r="U2572" s="3" t="n">
        <v>28.309273</v>
      </c>
      <c r="V2572" s="3" t="n">
        <v>29.816382</v>
      </c>
      <c r="W2572" s="3" t="n">
        <v>30.954198</v>
      </c>
      <c r="X2572" s="3" t="n">
        <v>30.977355</v>
      </c>
      <c r="Y2572" s="3" t="n">
        <v>30.196281</v>
      </c>
      <c r="Z2572" s="3" t="n">
        <v>30.063799</v>
      </c>
      <c r="AA2572" s="3" t="n">
        <v>31.55251</v>
      </c>
      <c r="AB2572" s="3" t="n">
        <v>30.784383</v>
      </c>
      <c r="AC2572" s="3" t="n">
        <v>32.175224</v>
      </c>
      <c r="AD2572" s="3" t="n">
        <v>33.702731</v>
      </c>
      <c r="AE2572" s="3" t="n">
        <v>35.30028</v>
      </c>
      <c r="AF2572" s="3" t="n">
        <v>36.006286</v>
      </c>
      <c r="AG2572" s="3" t="n">
        <v>36.726411</v>
      </c>
      <c r="AH2572" s="3" t="n">
        <v>37.46094</v>
      </c>
      <c r="AI2572" s="3" t="n">
        <v>38.210158</v>
      </c>
      <c r="AJ2572" s="3" t="n">
        <v>38.974361</v>
      </c>
      <c r="AK2572" s="3" t="n">
        <v>39.753849</v>
      </c>
      <c r="AL2572" s="3" t="n">
        <v>40.548926</v>
      </c>
      <c r="AM2572" s="3" t="n"/>
      <c r="AN2572" s="3" t="n"/>
      <c r="AO2572" s="3" t="n"/>
      <c r="AP2572" s="3" t="n"/>
      <c r="AQ2572" s="3" t="n"/>
      <c r="AR2572" s="3" t="n"/>
      <c r="AS2572" s="3" t="n"/>
      <c r="AT2572" s="3" t="n"/>
      <c r="AU2572" s="3" t="n"/>
    </row>
    <row r="2573">
      <c r="A2573" s="3" t="n">
        <v>2031</v>
      </c>
      <c r="B2573" s="3" t="inlineStr">
        <is>
          <t>SAU</t>
        </is>
      </c>
      <c r="C2573" s="3" t="inlineStr">
        <is>
          <t>IMF.RES:WEO</t>
        </is>
      </c>
      <c r="D2573" s="3" t="inlineStr">
        <is>
          <t>SAU.NGDP.A</t>
        </is>
      </c>
      <c r="E2573" s="3" t="inlineStr">
        <is>
          <t>Saudi Arabia</t>
        </is>
      </c>
      <c r="F2573" s="3" t="inlineStr">
        <is>
          <t>Gross domestic product (GDP), Current prices, Domestic currency</t>
        </is>
      </c>
      <c r="G2573" s="3" t="n">
        <v>710.681</v>
      </c>
      <c r="H2573" s="3" t="n">
        <v>690.516</v>
      </c>
      <c r="I2573" s="3" t="n">
        <v>711.022</v>
      </c>
      <c r="J2573" s="3" t="n">
        <v>809.279</v>
      </c>
      <c r="K2573" s="3" t="n">
        <v>970.282</v>
      </c>
      <c r="L2573" s="3" t="n">
        <v>1230.77</v>
      </c>
      <c r="M2573" s="3" t="n">
        <v>1411.492</v>
      </c>
      <c r="N2573" s="3" t="n">
        <v>1558.828</v>
      </c>
      <c r="O2573" s="3" t="n">
        <v>1949.238</v>
      </c>
      <c r="P2573" s="3" t="n">
        <v>1609.117</v>
      </c>
      <c r="Q2573" s="3" t="n">
        <v>1980.777</v>
      </c>
      <c r="R2573" s="3" t="n">
        <v>2552.478</v>
      </c>
      <c r="S2573" s="3" t="n">
        <v>2819.704</v>
      </c>
      <c r="T2573" s="3" t="n">
        <v>2886.583</v>
      </c>
      <c r="U2573" s="3" t="n">
        <v>2951.822</v>
      </c>
      <c r="V2573" s="3" t="n">
        <v>2600.306</v>
      </c>
      <c r="W2573" s="3" t="n">
        <v>2584.798</v>
      </c>
      <c r="X2573" s="3" t="n">
        <v>2779.747</v>
      </c>
      <c r="Y2573" s="3" t="n">
        <v>3324.614</v>
      </c>
      <c r="Z2573" s="3" t="n">
        <v>3333.329</v>
      </c>
      <c r="AA2573" s="3" t="n">
        <v>2877.386</v>
      </c>
      <c r="AB2573" s="3" t="n">
        <v>3684.979</v>
      </c>
      <c r="AC2573" s="3" t="n">
        <v>4646.533</v>
      </c>
      <c r="AD2573" s="3" t="n">
        <v>4569.692</v>
      </c>
      <c r="AE2573" s="3" t="n">
        <v>4703.029</v>
      </c>
      <c r="AF2573" s="3" t="n">
        <v>4788.536</v>
      </c>
      <c r="AG2573" s="3" t="n">
        <v>5207.535062</v>
      </c>
      <c r="AH2573" s="3" t="n">
        <v>5371.304051</v>
      </c>
      <c r="AI2573" s="3" t="n">
        <v>5617.602717</v>
      </c>
      <c r="AJ2573" s="3" t="n">
        <v>5895.467047</v>
      </c>
      <c r="AK2573" s="3" t="n">
        <v>6185.650868</v>
      </c>
      <c r="AL2573" s="3" t="n">
        <v>6487.779924</v>
      </c>
      <c r="AM2573" s="3" t="n"/>
      <c r="AN2573" s="3" t="n"/>
      <c r="AO2573" s="3" t="n"/>
      <c r="AP2573" s="3" t="n"/>
      <c r="AQ2573" s="3" t="n"/>
      <c r="AR2573" s="3" t="n"/>
      <c r="AS2573" s="3" t="n"/>
      <c r="AT2573" s="3" t="n"/>
      <c r="AU2573" s="3" t="n"/>
    </row>
    <row r="2574">
      <c r="A2574" s="3" t="n">
        <v>2031</v>
      </c>
      <c r="B2574" s="3" t="inlineStr">
        <is>
          <t>SAU</t>
        </is>
      </c>
      <c r="C2574" s="3" t="inlineStr">
        <is>
          <t>IMF.RES:WEO</t>
        </is>
      </c>
      <c r="D2574" s="3" t="inlineStr">
        <is>
          <t>SAU.NGDP_D.A</t>
        </is>
      </c>
      <c r="E2574" s="3" t="inlineStr">
        <is>
          <t>Saudi Arabia</t>
        </is>
      </c>
      <c r="F2574" s="3" t="inlineStr">
        <is>
          <t>Gross domestic product (GDP), Price deflator, Index</t>
        </is>
      </c>
      <c r="G2574" s="3" t="n">
        <v>37.331683</v>
      </c>
      <c r="H2574" s="3" t="n">
        <v>36.147863</v>
      </c>
      <c r="I2574" s="3" t="n">
        <v>37.479337</v>
      </c>
      <c r="J2574" s="3" t="n">
        <v>39.219591</v>
      </c>
      <c r="K2574" s="3" t="n">
        <v>43.28615</v>
      </c>
      <c r="L2574" s="3" t="n">
        <v>51.826019</v>
      </c>
      <c r="M2574" s="3" t="n">
        <v>57.529733</v>
      </c>
      <c r="N2574" s="3" t="n">
        <v>62.158886</v>
      </c>
      <c r="O2574" s="3" t="n">
        <v>73.162756</v>
      </c>
      <c r="P2574" s="3" t="n">
        <v>61.047852</v>
      </c>
      <c r="Q2574" s="3" t="n">
        <v>71.54275199999999</v>
      </c>
      <c r="R2574" s="3" t="n">
        <v>82.491674</v>
      </c>
      <c r="S2574" s="3" t="n">
        <v>86.16363200000001</v>
      </c>
      <c r="T2574" s="3" t="n">
        <v>85.68332599999999</v>
      </c>
      <c r="U2574" s="3" t="n">
        <v>84.229885</v>
      </c>
      <c r="V2574" s="3" t="n">
        <v>70.898983</v>
      </c>
      <c r="W2574" s="3" t="n">
        <v>69.295304</v>
      </c>
      <c r="X2574" s="3" t="n">
        <v>73.651037</v>
      </c>
      <c r="Y2574" s="3" t="n">
        <v>85.33392499999999</v>
      </c>
      <c r="Z2574" s="3" t="n">
        <v>84.167536</v>
      </c>
      <c r="AA2574" s="3" t="n">
        <v>75.528524</v>
      </c>
      <c r="AB2574" s="3" t="n">
        <v>90.8068</v>
      </c>
      <c r="AC2574" s="3" t="n">
        <v>102.23323</v>
      </c>
      <c r="AD2574" s="3" t="n">
        <v>99.999978</v>
      </c>
      <c r="AE2574" s="3" t="n">
        <v>100.261963</v>
      </c>
      <c r="AF2574" s="3" t="n">
        <v>97.686549</v>
      </c>
      <c r="AG2574" s="3" t="n">
        <v>103.025418</v>
      </c>
      <c r="AH2574" s="3" t="n">
        <v>101.733848</v>
      </c>
      <c r="AI2574" s="3" t="n">
        <v>102.657277</v>
      </c>
      <c r="AJ2574" s="3" t="n">
        <v>104.048384</v>
      </c>
      <c r="AK2574" s="3" t="n">
        <v>105.457335</v>
      </c>
      <c r="AL2574" s="3" t="n">
        <v>106.815759</v>
      </c>
      <c r="AM2574" s="3" t="n"/>
      <c r="AN2574" s="3" t="n"/>
      <c r="AO2574" s="3" t="n"/>
      <c r="AP2574" s="3" t="n"/>
      <c r="AQ2574" s="3" t="n"/>
      <c r="AR2574" s="3" t="n"/>
      <c r="AS2574" s="3" t="n"/>
      <c r="AT2574" s="3" t="n"/>
      <c r="AU2574" s="3" t="n"/>
    </row>
    <row r="2575">
      <c r="A2575" s="3" t="n">
        <v>2031</v>
      </c>
      <c r="B2575" s="3" t="inlineStr">
        <is>
          <t>SAU</t>
        </is>
      </c>
      <c r="C2575" s="3" t="inlineStr">
        <is>
          <t>IMF.RES:WEO</t>
        </is>
      </c>
      <c r="D2575" s="3" t="inlineStr">
        <is>
          <t>SAU.NGDP_R.A</t>
        </is>
      </c>
      <c r="E2575" s="3" t="inlineStr">
        <is>
          <t>Saudi Arabia</t>
        </is>
      </c>
      <c r="F2575" s="3" t="inlineStr">
        <is>
          <t>Gross domestic product (GDP), Constant prices, Domestic currency</t>
        </is>
      </c>
      <c r="G2575" s="3" t="n">
        <v>1903.694</v>
      </c>
      <c r="H2575" s="3" t="n">
        <v>1910.254</v>
      </c>
      <c r="I2575" s="3" t="n">
        <v>1897.104</v>
      </c>
      <c r="J2575" s="3" t="n">
        <v>2063.456</v>
      </c>
      <c r="K2575" s="3" t="n">
        <v>2241.553</v>
      </c>
      <c r="L2575" s="3" t="n">
        <v>2374.811</v>
      </c>
      <c r="M2575" s="3" t="n">
        <v>2453.5</v>
      </c>
      <c r="N2575" s="3" t="n">
        <v>2507.812</v>
      </c>
      <c r="O2575" s="3" t="n">
        <v>2664.249</v>
      </c>
      <c r="P2575" s="3" t="n">
        <v>2635.829</v>
      </c>
      <c r="Q2575" s="3" t="n">
        <v>2768.662</v>
      </c>
      <c r="R2575" s="3" t="n">
        <v>3094.225</v>
      </c>
      <c r="S2575" s="3" t="n">
        <v>3272.499</v>
      </c>
      <c r="T2575" s="3" t="n">
        <v>3368.897</v>
      </c>
      <c r="U2575" s="3" t="n">
        <v>3504.483</v>
      </c>
      <c r="V2575" s="3" t="n">
        <v>3667.621</v>
      </c>
      <c r="W2575" s="3" t="n">
        <v>3730.12</v>
      </c>
      <c r="X2575" s="3" t="n">
        <v>3774.213</v>
      </c>
      <c r="Y2575" s="3" t="n">
        <v>3896.005</v>
      </c>
      <c r="Z2575" s="3" t="n">
        <v>3960.35</v>
      </c>
      <c r="AA2575" s="3" t="n">
        <v>3809.668</v>
      </c>
      <c r="AB2575" s="3" t="n">
        <v>4058.043</v>
      </c>
      <c r="AC2575" s="3" t="n">
        <v>4545.032</v>
      </c>
      <c r="AD2575" s="3" t="n">
        <v>4569.693</v>
      </c>
      <c r="AE2575" s="3" t="n">
        <v>4690.741</v>
      </c>
      <c r="AF2575" s="3" t="n">
        <v>4901.94</v>
      </c>
      <c r="AG2575" s="3" t="n">
        <v>5054.611939</v>
      </c>
      <c r="AH2575" s="3" t="n">
        <v>5279.761005</v>
      </c>
      <c r="AI2575" s="3" t="n">
        <v>5472.191432</v>
      </c>
      <c r="AJ2575" s="3" t="n">
        <v>5666.082302</v>
      </c>
      <c r="AK2575" s="3" t="n">
        <v>5865.548238</v>
      </c>
      <c r="AL2575" s="3" t="n">
        <v>6073.804087</v>
      </c>
      <c r="AM2575" s="3" t="n"/>
      <c r="AN2575" s="3" t="n"/>
      <c r="AO2575" s="3" t="n"/>
      <c r="AP2575" s="3" t="n"/>
      <c r="AQ2575" s="3" t="n"/>
      <c r="AR2575" s="3" t="n"/>
      <c r="AS2575" s="3" t="n"/>
      <c r="AT2575" s="3" t="n"/>
      <c r="AU2575" s="3" t="n"/>
    </row>
    <row r="2576">
      <c r="A2576" s="3" t="n">
        <v>2031</v>
      </c>
      <c r="B2576" s="3" t="inlineStr">
        <is>
          <t>SAU</t>
        </is>
      </c>
      <c r="C2576" s="3" t="inlineStr">
        <is>
          <t>IMF.RES:WEO</t>
        </is>
      </c>
      <c r="D2576" s="3" t="inlineStr">
        <is>
          <t>SAU.NGDP_RPCH.A</t>
        </is>
      </c>
      <c r="E2576" s="3" t="inlineStr">
        <is>
          <t>Saudi Arabia</t>
        </is>
      </c>
      <c r="F2576" s="3" t="inlineStr">
        <is>
          <t>Gross domestic product (GDP), Constant prices, Percent change</t>
        </is>
      </c>
      <c r="G2576" s="3" t="n">
        <v>4.718134</v>
      </c>
      <c r="H2576" s="3" t="n">
        <v>0.344593</v>
      </c>
      <c r="I2576" s="3" t="n">
        <v>-0.6883899999999999</v>
      </c>
      <c r="J2576" s="3" t="n">
        <v>8.768734</v>
      </c>
      <c r="K2576" s="3" t="n">
        <v>8.631005</v>
      </c>
      <c r="L2576" s="3" t="n">
        <v>5.944896</v>
      </c>
      <c r="M2576" s="3" t="n">
        <v>3.313485</v>
      </c>
      <c r="N2576" s="3" t="n">
        <v>2.213654</v>
      </c>
      <c r="O2576" s="3" t="n">
        <v>6.237988</v>
      </c>
      <c r="P2576" s="3" t="n">
        <v>-1.066717</v>
      </c>
      <c r="Q2576" s="3" t="n">
        <v>5.039515</v>
      </c>
      <c r="R2576" s="3" t="n">
        <v>11.758857</v>
      </c>
      <c r="S2576" s="3" t="n">
        <v>5.761507</v>
      </c>
      <c r="T2576" s="3" t="n">
        <v>2.9457</v>
      </c>
      <c r="U2576" s="3" t="n">
        <v>4.024641</v>
      </c>
      <c r="V2576" s="3" t="n">
        <v>4.655123</v>
      </c>
      <c r="W2576" s="3" t="n">
        <v>1.704075</v>
      </c>
      <c r="X2576" s="3" t="n">
        <v>1.18208</v>
      </c>
      <c r="Y2576" s="3" t="n">
        <v>3.226951</v>
      </c>
      <c r="Z2576" s="3" t="n">
        <v>1.651564</v>
      </c>
      <c r="AA2576" s="3" t="n">
        <v>-3.804765</v>
      </c>
      <c r="AB2576" s="3" t="n">
        <v>6.519597</v>
      </c>
      <c r="AC2576" s="3" t="n">
        <v>12.000587</v>
      </c>
      <c r="AD2576" s="3" t="n">
        <v>0.542592</v>
      </c>
      <c r="AE2576" s="3" t="n">
        <v>2.648931</v>
      </c>
      <c r="AF2576" s="3" t="n">
        <v>4.502466</v>
      </c>
      <c r="AG2576" s="3" t="n">
        <v>3.114521</v>
      </c>
      <c r="AH2576" s="3" t="n">
        <v>4.454329</v>
      </c>
      <c r="AI2576" s="3" t="n">
        <v>3.644681</v>
      </c>
      <c r="AJ2576" s="3" t="n">
        <v>3.543203</v>
      </c>
      <c r="AK2576" s="3" t="n">
        <v>3.52035</v>
      </c>
      <c r="AL2576" s="3" t="n">
        <v>3.550492</v>
      </c>
      <c r="AM2576" s="3" t="n"/>
      <c r="AN2576" s="3" t="n"/>
      <c r="AO2576" s="3" t="n"/>
      <c r="AP2576" s="3" t="n"/>
      <c r="AQ2576" s="3" t="n"/>
      <c r="AR2576" s="3" t="n"/>
      <c r="AS2576" s="3" t="n"/>
      <c r="AT2576" s="3" t="n"/>
      <c r="AU2576" s="3" t="n"/>
    </row>
    <row r="2577">
      <c r="A2577" s="3" t="n">
        <v>2031</v>
      </c>
      <c r="B2577" s="3" t="inlineStr">
        <is>
          <t>SAU</t>
        </is>
      </c>
      <c r="C2577" s="3" t="inlineStr">
        <is>
          <t>IMF.RES:WEO</t>
        </is>
      </c>
      <c r="D2577" s="3" t="inlineStr">
        <is>
          <t>SAU.NGDPD.A</t>
        </is>
      </c>
      <c r="E2577" s="3" t="inlineStr">
        <is>
          <t>Saudi Arabia</t>
        </is>
      </c>
      <c r="F2577" s="3" t="inlineStr">
        <is>
          <t>Gross domestic product (GDP), Current prices, US dollar</t>
        </is>
      </c>
      <c r="G2577" s="3" t="n">
        <v>189.514933</v>
      </c>
      <c r="H2577" s="3" t="n">
        <v>184.1376</v>
      </c>
      <c r="I2577" s="3" t="n">
        <v>189.605867</v>
      </c>
      <c r="J2577" s="3" t="n">
        <v>215.807733</v>
      </c>
      <c r="K2577" s="3" t="n">
        <v>258.741867</v>
      </c>
      <c r="L2577" s="3" t="n">
        <v>328.205333</v>
      </c>
      <c r="M2577" s="3" t="n">
        <v>376.397867</v>
      </c>
      <c r="N2577" s="3" t="n">
        <v>415.687467</v>
      </c>
      <c r="O2577" s="3" t="n">
        <v>519.7968</v>
      </c>
      <c r="P2577" s="3" t="n">
        <v>429.097867</v>
      </c>
      <c r="Q2577" s="3" t="n">
        <v>528.2071999999999</v>
      </c>
      <c r="R2577" s="3" t="n">
        <v>680.6608</v>
      </c>
      <c r="S2577" s="3" t="n">
        <v>751.921067</v>
      </c>
      <c r="T2577" s="3" t="n">
        <v>769.755467</v>
      </c>
      <c r="U2577" s="3" t="n">
        <v>787.1525329999999</v>
      </c>
      <c r="V2577" s="3" t="n">
        <v>693.414933</v>
      </c>
      <c r="W2577" s="3" t="n">
        <v>689.279467</v>
      </c>
      <c r="X2577" s="3" t="n">
        <v>741.265867</v>
      </c>
      <c r="Y2577" s="3" t="n">
        <v>886.563733</v>
      </c>
      <c r="Z2577" s="3" t="n">
        <v>888.887733</v>
      </c>
      <c r="AA2577" s="3" t="n">
        <v>767.3029330000001</v>
      </c>
      <c r="AB2577" s="3" t="n">
        <v>982.661067</v>
      </c>
      <c r="AC2577" s="3" t="n">
        <v>1239.075467</v>
      </c>
      <c r="AD2577" s="3" t="n">
        <v>1218.584533</v>
      </c>
      <c r="AE2577" s="3" t="n">
        <v>1254.141067</v>
      </c>
      <c r="AF2577" s="3" t="n">
        <v>1276.942933</v>
      </c>
      <c r="AG2577" s="3" t="n">
        <v>1388.676017</v>
      </c>
      <c r="AH2577" s="3" t="n">
        <v>1432.347747</v>
      </c>
      <c r="AI2577" s="3" t="n">
        <v>1498.027391</v>
      </c>
      <c r="AJ2577" s="3" t="n">
        <v>1572.124546</v>
      </c>
      <c r="AK2577" s="3" t="n">
        <v>1649.506898</v>
      </c>
      <c r="AL2577" s="3" t="n">
        <v>1730.074646</v>
      </c>
      <c r="AM2577" s="3" t="n"/>
      <c r="AN2577" s="3" t="n"/>
      <c r="AO2577" s="3" t="n"/>
      <c r="AP2577" s="3" t="n"/>
      <c r="AQ2577" s="3" t="n"/>
      <c r="AR2577" s="3" t="n"/>
      <c r="AS2577" s="3" t="n"/>
      <c r="AT2577" s="3" t="n"/>
      <c r="AU2577" s="3" t="n"/>
    </row>
    <row r="2578">
      <c r="A2578" s="3" t="n">
        <v>2031</v>
      </c>
      <c r="B2578" s="3" t="inlineStr">
        <is>
          <t>SAU</t>
        </is>
      </c>
      <c r="C2578" s="3" t="inlineStr">
        <is>
          <t>IMF.RES:WEO</t>
        </is>
      </c>
      <c r="D2578" s="3" t="inlineStr">
        <is>
          <t>SAU.NGDPPC.A</t>
        </is>
      </c>
      <c r="E2578" s="3" t="inlineStr">
        <is>
          <t>Saudi Arabia</t>
        </is>
      </c>
      <c r="F2578" s="3" t="inlineStr">
        <is>
          <t>Gross domestic product (GDP), Current prices, Per capita, Domestic currency</t>
        </is>
      </c>
      <c r="G2578" s="3" t="n">
        <v>39182.106594</v>
      </c>
      <c r="H2578" s="3" t="n">
        <v>37118.587283</v>
      </c>
      <c r="I2578" s="3" t="n">
        <v>37265.362226</v>
      </c>
      <c r="J2578" s="3" t="n">
        <v>41354.730515</v>
      </c>
      <c r="K2578" s="3" t="n">
        <v>48342.545485</v>
      </c>
      <c r="L2578" s="3" t="n">
        <v>59787.866661</v>
      </c>
      <c r="M2578" s="3" t="n">
        <v>66852.736987</v>
      </c>
      <c r="N2578" s="3" t="n">
        <v>71985.26122299999</v>
      </c>
      <c r="O2578" s="3" t="n">
        <v>87763.68942</v>
      </c>
      <c r="P2578" s="3" t="n">
        <v>70638.625716</v>
      </c>
      <c r="Q2578" s="3" t="n">
        <v>82606.42133100001</v>
      </c>
      <c r="R2578" s="3" t="n">
        <v>101725.31203</v>
      </c>
      <c r="S2578" s="3" t="n">
        <v>107750.352604</v>
      </c>
      <c r="T2578" s="3" t="n">
        <v>104495.459818</v>
      </c>
      <c r="U2578" s="3" t="n">
        <v>104270.498222</v>
      </c>
      <c r="V2578" s="3" t="n">
        <v>87210.64816</v>
      </c>
      <c r="W2578" s="3" t="n">
        <v>83503.95639399999</v>
      </c>
      <c r="X2578" s="3" t="n">
        <v>89734.807894</v>
      </c>
      <c r="Y2578" s="3" t="n">
        <v>110100.114647</v>
      </c>
      <c r="Z2578" s="3" t="n">
        <v>110875.175822</v>
      </c>
      <c r="AA2578" s="3" t="n">
        <v>91193.569069</v>
      </c>
      <c r="AB2578" s="3" t="n">
        <v>119702.870121</v>
      </c>
      <c r="AC2578" s="3" t="n">
        <v>144413.384659</v>
      </c>
      <c r="AD2578" s="3" t="n">
        <v>135588.181266</v>
      </c>
      <c r="AE2578" s="3" t="n">
        <v>133229.22651</v>
      </c>
      <c r="AF2578" s="3" t="n">
        <v>132991.668544</v>
      </c>
      <c r="AG2578" s="3" t="n">
        <v>141792.646665</v>
      </c>
      <c r="AH2578" s="3" t="n">
        <v>143384.125375</v>
      </c>
      <c r="AI2578" s="3" t="n">
        <v>147018.566869</v>
      </c>
      <c r="AJ2578" s="3" t="n">
        <v>151265.263124</v>
      </c>
      <c r="AK2578" s="3" t="n">
        <v>155598.792722</v>
      </c>
      <c r="AL2578" s="3" t="n">
        <v>159998.811606</v>
      </c>
      <c r="AM2578" s="3" t="n"/>
      <c r="AN2578" s="3" t="n"/>
      <c r="AO2578" s="3" t="n"/>
      <c r="AP2578" s="3" t="n"/>
      <c r="AQ2578" s="3" t="n"/>
      <c r="AR2578" s="3" t="n"/>
      <c r="AS2578" s="3" t="n"/>
      <c r="AT2578" s="3" t="n"/>
      <c r="AU2578" s="3" t="n"/>
    </row>
    <row r="2579">
      <c r="A2579" s="3" t="n">
        <v>2031</v>
      </c>
      <c r="B2579" s="3" t="inlineStr">
        <is>
          <t>SAU</t>
        </is>
      </c>
      <c r="C2579" s="3" t="inlineStr">
        <is>
          <t>IMF.RES:WEO</t>
        </is>
      </c>
      <c r="D2579" s="3" t="inlineStr">
        <is>
          <t>SAU.NGDPRPC.A</t>
        </is>
      </c>
      <c r="E2579" s="3" t="inlineStr">
        <is>
          <t>Saudi Arabia</t>
        </is>
      </c>
      <c r="F2579" s="3" t="inlineStr">
        <is>
          <t>Gross domestic product (GDP), Constant prices, Per capita, Domestic currency</t>
        </is>
      </c>
      <c r="G2579" s="3" t="n">
        <v>104956.712267</v>
      </c>
      <c r="H2579" s="3" t="n">
        <v>102685.426308</v>
      </c>
      <c r="I2579" s="3" t="n">
        <v>99429.086219</v>
      </c>
      <c r="J2579" s="3" t="n">
        <v>105444.064173</v>
      </c>
      <c r="K2579" s="3" t="n">
        <v>111681.32343</v>
      </c>
      <c r="L2579" s="3" t="n">
        <v>115362.645671</v>
      </c>
      <c r="M2579" s="3" t="n">
        <v>116205.540094</v>
      </c>
      <c r="N2579" s="3" t="n">
        <v>115808.480422</v>
      </c>
      <c r="O2579" s="3" t="n">
        <v>119956.784022</v>
      </c>
      <c r="P2579" s="3" t="n">
        <v>115710.254867</v>
      </c>
      <c r="Q2579" s="3" t="n">
        <v>115464.416083</v>
      </c>
      <c r="R2579" s="3" t="n">
        <v>123315.853699</v>
      </c>
      <c r="S2579" s="3" t="n">
        <v>125053.169108</v>
      </c>
      <c r="T2579" s="3" t="n">
        <v>121955.419642</v>
      </c>
      <c r="U2579" s="3" t="n">
        <v>123792.758648</v>
      </c>
      <c r="V2579" s="3" t="n">
        <v>123006.909423</v>
      </c>
      <c r="W2579" s="3" t="n">
        <v>120504.495061</v>
      </c>
      <c r="X2579" s="3" t="n">
        <v>121837.807005</v>
      </c>
      <c r="Y2579" s="3" t="n">
        <v>129022.676667</v>
      </c>
      <c r="Z2579" s="3" t="n">
        <v>131731.522021</v>
      </c>
      <c r="AA2579" s="3" t="n">
        <v>120740.568658</v>
      </c>
      <c r="AB2579" s="3" t="n">
        <v>131821.482341</v>
      </c>
      <c r="AC2579" s="3" t="n">
        <v>141258.752387</v>
      </c>
      <c r="AD2579" s="3" t="n">
        <v>135588.210938</v>
      </c>
      <c r="AE2579" s="3" t="n">
        <v>132881.127289</v>
      </c>
      <c r="AF2579" s="3" t="n">
        <v>136141.229741</v>
      </c>
      <c r="AG2579" s="3" t="n">
        <v>137628.800602</v>
      </c>
      <c r="AH2579" s="3" t="n">
        <v>140940.432086</v>
      </c>
      <c r="AI2579" s="3" t="n">
        <v>143213.000724</v>
      </c>
      <c r="AJ2579" s="3" t="n">
        <v>145379.733861</v>
      </c>
      <c r="AK2579" s="3" t="n">
        <v>147546.676003</v>
      </c>
      <c r="AL2579" s="3" t="n">
        <v>149789.519248</v>
      </c>
      <c r="AM2579" s="3" t="n"/>
      <c r="AN2579" s="3" t="n"/>
      <c r="AO2579" s="3" t="n"/>
      <c r="AP2579" s="3" t="n"/>
      <c r="AQ2579" s="3" t="n"/>
      <c r="AR2579" s="3" t="n"/>
      <c r="AS2579" s="3" t="n"/>
      <c r="AT2579" s="3" t="n"/>
      <c r="AU2579" s="3" t="n"/>
    </row>
    <row r="2580">
      <c r="A2580" s="3" t="n">
        <v>2031</v>
      </c>
      <c r="B2580" s="3" t="inlineStr">
        <is>
          <t>SAU</t>
        </is>
      </c>
      <c r="C2580" s="3" t="inlineStr">
        <is>
          <t>IMF.RES:WEO</t>
        </is>
      </c>
      <c r="D2580" s="3" t="inlineStr">
        <is>
          <t>SAU.PCPI.A</t>
        </is>
      </c>
      <c r="E2580" s="3" t="inlineStr">
        <is>
          <t>Saudi Arabia</t>
        </is>
      </c>
      <c r="F2580" s="3" t="inlineStr">
        <is>
          <t>All Items, Consumer price index (CPI), Period average</t>
        </is>
      </c>
      <c r="G2580" s="3" t="n">
        <v>62.524167</v>
      </c>
      <c r="H2580" s="3" t="n">
        <v>61.823333</v>
      </c>
      <c r="I2580" s="3" t="n">
        <v>61.891667</v>
      </c>
      <c r="J2580" s="3" t="n">
        <v>62.189167</v>
      </c>
      <c r="K2580" s="3" t="n">
        <v>62.371667</v>
      </c>
      <c r="L2580" s="3" t="n">
        <v>62.728333</v>
      </c>
      <c r="M2580" s="3" t="n">
        <v>63.924167</v>
      </c>
      <c r="N2580" s="3" t="n">
        <v>67.106667</v>
      </c>
      <c r="O2580" s="3" t="n">
        <v>71.21083299999999</v>
      </c>
      <c r="P2580" s="3" t="n">
        <v>74.2475</v>
      </c>
      <c r="Q2580" s="3" t="n">
        <v>76.99250000000001</v>
      </c>
      <c r="R2580" s="3" t="n">
        <v>79.875833</v>
      </c>
      <c r="S2580" s="3" t="n">
        <v>82.16583300000001</v>
      </c>
      <c r="T2580" s="3" t="n">
        <v>84.7325</v>
      </c>
      <c r="U2580" s="3" t="n">
        <v>86.28749999999999</v>
      </c>
      <c r="V2580" s="3" t="n">
        <v>87.308333</v>
      </c>
      <c r="W2580" s="3" t="n">
        <v>89.855833</v>
      </c>
      <c r="X2580" s="3" t="n">
        <v>89.08416699999999</v>
      </c>
      <c r="Y2580" s="3" t="n">
        <v>91.285</v>
      </c>
      <c r="Z2580" s="3" t="n">
        <v>89.425833</v>
      </c>
      <c r="AA2580" s="3" t="n">
        <v>92.2775</v>
      </c>
      <c r="AB2580" s="3" t="n">
        <v>95.16416700000001</v>
      </c>
      <c r="AC2580" s="3" t="n">
        <v>97.58750000000001</v>
      </c>
      <c r="AD2580" s="3" t="n">
        <v>100.001667</v>
      </c>
      <c r="AE2580" s="3" t="n">
        <v>101.5025</v>
      </c>
      <c r="AF2580" s="3" t="n">
        <v>103.5675</v>
      </c>
      <c r="AG2580" s="3" t="n">
        <v>105.970266</v>
      </c>
      <c r="AH2580" s="3" t="n">
        <v>108.210019</v>
      </c>
      <c r="AI2580" s="3" t="n">
        <v>110.37422</v>
      </c>
      <c r="AJ2580" s="3" t="n">
        <v>112.581704</v>
      </c>
      <c r="AK2580" s="3" t="n">
        <v>114.833338</v>
      </c>
      <c r="AL2580" s="3" t="n">
        <v>117.130005</v>
      </c>
      <c r="AM2580" s="3" t="n"/>
      <c r="AN2580" s="3" t="n"/>
      <c r="AO2580" s="3" t="n"/>
      <c r="AP2580" s="3" t="n"/>
      <c r="AQ2580" s="3" t="n"/>
      <c r="AR2580" s="3" t="n"/>
      <c r="AS2580" s="3" t="n"/>
      <c r="AT2580" s="3" t="n"/>
      <c r="AU2580" s="3" t="n"/>
    </row>
    <row r="2581">
      <c r="A2581" s="3" t="n">
        <v>2031</v>
      </c>
      <c r="B2581" s="3" t="inlineStr">
        <is>
          <t>SAU</t>
        </is>
      </c>
      <c r="C2581" s="3" t="inlineStr">
        <is>
          <t>IMF.RES:WEO</t>
        </is>
      </c>
      <c r="D2581" s="3" t="inlineStr">
        <is>
          <t>SAU.PCPIPCH.A</t>
        </is>
      </c>
      <c r="E2581" s="3" t="inlineStr">
        <is>
          <t>Saudi Arabia</t>
        </is>
      </c>
      <c r="F2581" s="3" t="inlineStr">
        <is>
          <t>All Items, Consumer price index (CPI), Period average, percent change</t>
        </is>
      </c>
      <c r="G2581" s="3" t="n">
        <v>-1.034123</v>
      </c>
      <c r="H2581" s="3" t="n">
        <v>-1.1209</v>
      </c>
      <c r="I2581" s="3" t="n">
        <v>0.11053</v>
      </c>
      <c r="J2581" s="3" t="n">
        <v>0.480679</v>
      </c>
      <c r="K2581" s="3" t="n">
        <v>0.293459</v>
      </c>
      <c r="L2581" s="3" t="n">
        <v>0.571841</v>
      </c>
      <c r="M2581" s="3" t="n">
        <v>1.906369</v>
      </c>
      <c r="N2581" s="3" t="n">
        <v>4.978555</v>
      </c>
      <c r="O2581" s="3" t="n">
        <v>6.115885</v>
      </c>
      <c r="P2581" s="3" t="n">
        <v>4.264332</v>
      </c>
      <c r="Q2581" s="3" t="n">
        <v>3.697094</v>
      </c>
      <c r="R2581" s="3" t="n">
        <v>3.744954</v>
      </c>
      <c r="S2581" s="3" t="n">
        <v>2.86695</v>
      </c>
      <c r="T2581" s="3" t="n">
        <v>3.123764</v>
      </c>
      <c r="U2581" s="3" t="n">
        <v>1.835187</v>
      </c>
      <c r="V2581" s="3" t="n">
        <v>1.183061</v>
      </c>
      <c r="W2581" s="3" t="n">
        <v>2.91782</v>
      </c>
      <c r="X2581" s="3" t="n">
        <v>-0.858783</v>
      </c>
      <c r="Y2581" s="3" t="n">
        <v>2.47051</v>
      </c>
      <c r="Z2581" s="3" t="n">
        <v>-2.036662</v>
      </c>
      <c r="AA2581" s="3" t="n">
        <v>3.188862</v>
      </c>
      <c r="AB2581" s="3" t="n">
        <v>3.128245</v>
      </c>
      <c r="AC2581" s="3" t="n">
        <v>2.546477</v>
      </c>
      <c r="AD2581" s="3" t="n">
        <v>2.473848</v>
      </c>
      <c r="AE2581" s="3" t="n">
        <v>1.500808</v>
      </c>
      <c r="AF2581" s="3" t="n">
        <v>2.034433</v>
      </c>
      <c r="AG2581" s="3" t="n">
        <v>2.32</v>
      </c>
      <c r="AH2581" s="3" t="n">
        <v>2.113568</v>
      </c>
      <c r="AI2581" s="3" t="n">
        <v>2</v>
      </c>
      <c r="AJ2581" s="3" t="n">
        <v>2</v>
      </c>
      <c r="AK2581" s="3" t="n">
        <v>2</v>
      </c>
      <c r="AL2581" s="3" t="n">
        <v>2</v>
      </c>
      <c r="AM2581" s="3" t="n"/>
      <c r="AN2581" s="3" t="n"/>
      <c r="AO2581" s="3" t="n"/>
      <c r="AP2581" s="3" t="n"/>
      <c r="AQ2581" s="3" t="n"/>
      <c r="AR2581" s="3" t="n"/>
      <c r="AS2581" s="3" t="n"/>
      <c r="AT2581" s="3" t="n"/>
      <c r="AU2581" s="3" t="n"/>
    </row>
    <row r="2582">
      <c r="A2582" s="3" t="n">
        <v>2031</v>
      </c>
      <c r="B2582" s="3" t="inlineStr">
        <is>
          <t>SAU</t>
        </is>
      </c>
      <c r="C2582" s="3" t="inlineStr">
        <is>
          <t>IMF.RES:WEO</t>
        </is>
      </c>
      <c r="D2582" s="3" t="inlineStr">
        <is>
          <t>SAU.PPPPC.A</t>
        </is>
      </c>
      <c r="E2582" s="3" t="inlineStr">
        <is>
          <t>Saudi Arabia</t>
        </is>
      </c>
      <c r="F2582" s="3" t="inlineStr">
        <is>
          <t>Gross domestic product (GDP), Per capita, purchasing power parity (PPP) international dollar, ICP benchmarks 2017-2021</t>
        </is>
      </c>
      <c r="G2582" s="3" t="n">
        <v>33278.002271</v>
      </c>
      <c r="H2582" s="3" t="n">
        <v>33290.938491</v>
      </c>
      <c r="I2582" s="3" t="n">
        <v>32736.169676</v>
      </c>
      <c r="J2582" s="3" t="n">
        <v>35401.92889</v>
      </c>
      <c r="K2582" s="3" t="n">
        <v>38504.258338</v>
      </c>
      <c r="L2582" s="3" t="n">
        <v>41020.688724</v>
      </c>
      <c r="M2582" s="3" t="n">
        <v>42594.67803</v>
      </c>
      <c r="N2582" s="3" t="n">
        <v>43599.199166</v>
      </c>
      <c r="O2582" s="3" t="n">
        <v>46030.924396</v>
      </c>
      <c r="P2582" s="3" t="n">
        <v>44675.249131</v>
      </c>
      <c r="Q2582" s="3" t="n">
        <v>45122.149819</v>
      </c>
      <c r="R2582" s="3" t="n">
        <v>49184.687899</v>
      </c>
      <c r="S2582" s="3" t="n">
        <v>50806.305801</v>
      </c>
      <c r="T2582" s="3" t="n">
        <v>50391.064776</v>
      </c>
      <c r="U2582" s="3" t="n">
        <v>52041.130791</v>
      </c>
      <c r="V2582" s="3" t="n">
        <v>52190.671768</v>
      </c>
      <c r="W2582" s="3" t="n">
        <v>51614.76001</v>
      </c>
      <c r="X2582" s="3" t="n">
        <v>53120.438136</v>
      </c>
      <c r="Y2582" s="3" t="n">
        <v>59377.731097</v>
      </c>
      <c r="Z2582" s="3" t="n">
        <v>59560.092978</v>
      </c>
      <c r="AA2582" s="3" t="n">
        <v>47478.374976</v>
      </c>
      <c r="AB2582" s="3" t="n">
        <v>62690.496665</v>
      </c>
      <c r="AC2582" s="3" t="n">
        <v>71956.609708</v>
      </c>
      <c r="AD2582" s="3" t="n">
        <v>71623.601192</v>
      </c>
      <c r="AE2582" s="3" t="n">
        <v>71936.189262</v>
      </c>
      <c r="AF2582" s="3" t="n">
        <v>75791.79733099999</v>
      </c>
      <c r="AG2582" s="3" t="n">
        <v>78814.99686299999</v>
      </c>
      <c r="AH2582" s="3" t="n">
        <v>82483.791805</v>
      </c>
      <c r="AI2582" s="3" t="n">
        <v>85189.49841499999</v>
      </c>
      <c r="AJ2582" s="3" t="n">
        <v>88016.047456</v>
      </c>
      <c r="AK2582" s="3" t="n">
        <v>90969.38654199999</v>
      </c>
      <c r="AL2582" s="3" t="n">
        <v>94019.439681</v>
      </c>
      <c r="AM2582" s="3" t="n"/>
      <c r="AN2582" s="3" t="n"/>
      <c r="AO2582" s="3" t="n"/>
      <c r="AP2582" s="3" t="n"/>
      <c r="AQ2582" s="3" t="n"/>
      <c r="AR2582" s="3" t="n"/>
      <c r="AS2582" s="3" t="n"/>
      <c r="AT2582" s="3" t="n"/>
      <c r="AU2582" s="3" t="n"/>
    </row>
    <row r="2583">
      <c r="A2583" s="3" t="n">
        <v>2025</v>
      </c>
      <c r="B2583" s="3" t="inlineStr">
        <is>
          <t>SAU</t>
        </is>
      </c>
      <c r="C2583" s="3" t="inlineStr">
        <is>
          <t>IMF.STA:ER</t>
        </is>
      </c>
      <c r="D2583" s="3" t="inlineStr">
        <is>
          <t>SAU.XDC_USD.PA_RT.A</t>
        </is>
      </c>
      <c r="E2583" s="3" t="inlineStr">
        <is>
          <t>Saudi Arabia</t>
        </is>
      </c>
      <c r="F2583" s="3" t="inlineStr">
        <is>
          <t>Domestic currency per US Dollar</t>
        </is>
      </c>
      <c r="G2583" s="3" t="n">
        <v>3.75</v>
      </c>
      <c r="H2583" s="3" t="n">
        <v>3.75</v>
      </c>
      <c r="I2583" s="3" t="n">
        <v>3.75</v>
      </c>
      <c r="J2583" s="3" t="n">
        <v>3.75</v>
      </c>
      <c r="K2583" s="3" t="n">
        <v>3.75</v>
      </c>
      <c r="L2583" s="3" t="n">
        <v>3.75</v>
      </c>
      <c r="M2583" s="3" t="n">
        <v>3.75</v>
      </c>
      <c r="N2583" s="3" t="n">
        <v>3.75</v>
      </c>
      <c r="O2583" s="3" t="n">
        <v>3.75</v>
      </c>
      <c r="P2583" s="3" t="n">
        <v>3.75</v>
      </c>
      <c r="Q2583" s="3" t="n">
        <v>3.75</v>
      </c>
      <c r="R2583" s="3" t="n">
        <v>3.75</v>
      </c>
      <c r="S2583" s="3" t="n">
        <v>3.75</v>
      </c>
      <c r="T2583" s="3" t="n">
        <v>3.75</v>
      </c>
      <c r="U2583" s="3" t="n">
        <v>3.75</v>
      </c>
      <c r="V2583" s="3" t="n">
        <v>3.75</v>
      </c>
      <c r="W2583" s="3" t="n">
        <v>3.75</v>
      </c>
      <c r="X2583" s="3" t="n">
        <v>3.75</v>
      </c>
      <c r="Y2583" s="3" t="n">
        <v>3.75</v>
      </c>
      <c r="Z2583" s="3" t="n">
        <v>3.75</v>
      </c>
      <c r="AA2583" s="3" t="n">
        <v>3.75</v>
      </c>
      <c r="AB2583" s="3" t="n">
        <v>3.75</v>
      </c>
      <c r="AC2583" s="3" t="n">
        <v>3.75</v>
      </c>
      <c r="AD2583" s="3" t="n">
        <v>3.75</v>
      </c>
      <c r="AE2583" s="3" t="n">
        <v>3.75</v>
      </c>
      <c r="AF2583" s="3" t="n">
        <v>3.75</v>
      </c>
      <c r="AG2583" s="3" t="n"/>
      <c r="AH2583" s="3" t="n"/>
      <c r="AI2583" s="3" t="n"/>
      <c r="AJ2583" s="3" t="n"/>
      <c r="AK2583" s="3" t="n"/>
      <c r="AL2583" s="3" t="n"/>
      <c r="AM2583" s="3" t="n"/>
      <c r="AN2583" s="3" t="n"/>
      <c r="AO2583" s="3" t="n"/>
      <c r="AP2583" s="3" t="n"/>
      <c r="AQ2583" s="3" t="n"/>
      <c r="AR2583" s="3" t="n"/>
      <c r="AS2583" s="3" t="n"/>
      <c r="AT2583" s="3" t="n"/>
      <c r="AU2583" s="3" t="n"/>
    </row>
    <row r="2584">
      <c r="A2584" s="3" t="n">
        <v>2031</v>
      </c>
      <c r="B2584" s="3" t="inlineStr">
        <is>
          <t>SDN</t>
        </is>
      </c>
      <c r="C2584" s="3" t="inlineStr">
        <is>
          <t>IMF.RES:WEO</t>
        </is>
      </c>
      <c r="D2584" s="3" t="inlineStr">
        <is>
          <t>SDN.BCA.A</t>
        </is>
      </c>
      <c r="E2584" s="3" t="inlineStr">
        <is>
          <t>Sudan</t>
        </is>
      </c>
      <c r="F2584" s="3" t="inlineStr">
        <is>
          <t>Current account balance (credit less debit), US dollar</t>
        </is>
      </c>
      <c r="G2584" s="3" t="n">
        <v>-0.5177</v>
      </c>
      <c r="H2584" s="3" t="n">
        <v>-0.5219</v>
      </c>
      <c r="I2584" s="3" t="n">
        <v>-0.97356</v>
      </c>
      <c r="J2584" s="3" t="n">
        <v>-0.93858</v>
      </c>
      <c r="K2584" s="3" t="n">
        <v>-0.81823</v>
      </c>
      <c r="L2584" s="3" t="n">
        <v>-2.47273</v>
      </c>
      <c r="M2584" s="3" t="n">
        <v>-6.49585</v>
      </c>
      <c r="N2584" s="3" t="n">
        <v>-3.597152</v>
      </c>
      <c r="O2584" s="3" t="n">
        <v>-3.593873</v>
      </c>
      <c r="P2584" s="3" t="n">
        <v>-4.926572</v>
      </c>
      <c r="Q2584" s="3" t="n">
        <v>-1.725369</v>
      </c>
      <c r="R2584" s="3" t="n">
        <v>-2.652932</v>
      </c>
      <c r="S2584" s="3" t="n">
        <v>-6.259061</v>
      </c>
      <c r="T2584" s="3" t="n">
        <v>-5.822074</v>
      </c>
      <c r="U2584" s="3" t="n">
        <v>-3.545467</v>
      </c>
      <c r="V2584" s="3" t="n">
        <v>-5.46076</v>
      </c>
      <c r="W2584" s="3" t="n">
        <v>-4.213357</v>
      </c>
      <c r="X2584" s="3" t="n">
        <v>-4.611259</v>
      </c>
      <c r="Y2584" s="3" t="n">
        <v>-4.678502</v>
      </c>
      <c r="Z2584" s="3" t="n">
        <v>-4.779839</v>
      </c>
      <c r="AA2584" s="3" t="n">
        <v>-5.841224</v>
      </c>
      <c r="AB2584" s="3" t="n">
        <v>-2.620163</v>
      </c>
      <c r="AC2584" s="3" t="n">
        <v>-3.79413</v>
      </c>
      <c r="AD2584" s="3" t="n">
        <v>-1.388576</v>
      </c>
      <c r="AE2584" s="3" t="n">
        <v>-0.955318</v>
      </c>
      <c r="AF2584" s="3" t="n">
        <v>-3.205095</v>
      </c>
      <c r="AG2584" s="3" t="n">
        <v>-2.014886</v>
      </c>
      <c r="AH2584" s="3" t="n">
        <v>-4.916581</v>
      </c>
      <c r="AI2584" s="3" t="n">
        <v>-5.9336</v>
      </c>
      <c r="AJ2584" s="3" t="n">
        <v>-6.174216</v>
      </c>
      <c r="AK2584" s="3" t="n">
        <v>-6.043398</v>
      </c>
      <c r="AL2584" s="3" t="n">
        <v>-6.105263</v>
      </c>
      <c r="AM2584" s="3" t="n"/>
      <c r="AN2584" s="3" t="n"/>
      <c r="AO2584" s="3" t="n"/>
      <c r="AP2584" s="3" t="n"/>
      <c r="AQ2584" s="3" t="n"/>
      <c r="AR2584" s="3" t="n"/>
      <c r="AS2584" s="3" t="n"/>
      <c r="AT2584" s="3" t="n"/>
      <c r="AU2584" s="3" t="n"/>
    </row>
    <row r="2585">
      <c r="A2585" s="3" t="n">
        <v>2031</v>
      </c>
      <c r="B2585" s="3" t="inlineStr">
        <is>
          <t>SDN</t>
        </is>
      </c>
      <c r="C2585" s="3" t="inlineStr">
        <is>
          <t>IMF.RES:WEO</t>
        </is>
      </c>
      <c r="D2585" s="3" t="inlineStr">
        <is>
          <t>SDN.BCA_NGDPD.A</t>
        </is>
      </c>
      <c r="E2585" s="3" t="inlineStr">
        <is>
          <t>Sudan</t>
        </is>
      </c>
      <c r="F2585" s="3" t="inlineStr">
        <is>
          <t>Current account balance (credit less debit), Percent of GDP</t>
        </is>
      </c>
      <c r="G2585" s="3" t="n">
        <v>-3.941666</v>
      </c>
      <c r="H2585" s="3" t="n">
        <v>-3.320743</v>
      </c>
      <c r="I2585" s="3" t="n">
        <v>-5.367774</v>
      </c>
      <c r="J2585" s="3" t="n">
        <v>-4.395067</v>
      </c>
      <c r="K2585" s="3" t="n">
        <v>-3.070742</v>
      </c>
      <c r="L2585" s="3" t="n">
        <v>-7.028255</v>
      </c>
      <c r="M2585" s="3" t="n">
        <v>-14.351085</v>
      </c>
      <c r="N2585" s="3" t="n">
        <v>-6.051722</v>
      </c>
      <c r="O2585" s="3" t="n">
        <v>-5.543269</v>
      </c>
      <c r="P2585" s="3" t="n">
        <v>-8.988080999999999</v>
      </c>
      <c r="Q2585" s="3" t="n">
        <v>-2.625492</v>
      </c>
      <c r="R2585" s="3" t="n">
        <v>-3.992486</v>
      </c>
      <c r="S2585" s="3" t="n">
        <v>-12.787222</v>
      </c>
      <c r="T2585" s="3" t="n">
        <v>-11.007373</v>
      </c>
      <c r="U2585" s="3" t="n">
        <v>-5.838495</v>
      </c>
      <c r="V2585" s="3" t="n">
        <v>-8.461865</v>
      </c>
      <c r="W2585" s="3" t="n">
        <v>-6.493283</v>
      </c>
      <c r="X2585" s="3" t="n">
        <v>-9.428874</v>
      </c>
      <c r="Y2585" s="3" t="n">
        <v>-13.928143</v>
      </c>
      <c r="Z2585" s="3" t="n">
        <v>-15.182029</v>
      </c>
      <c r="AA2585" s="3" t="n">
        <v>-16.587285</v>
      </c>
      <c r="AB2585" s="3" t="n">
        <v>-7.458318</v>
      </c>
      <c r="AC2585" s="3" t="n">
        <v>-11.338627</v>
      </c>
      <c r="AD2585" s="3" t="n">
        <v>-3.758303</v>
      </c>
      <c r="AE2585" s="3" t="n">
        <v>-3.276574</v>
      </c>
      <c r="AF2585" s="3" t="n">
        <v>-8.069577000000001</v>
      </c>
      <c r="AG2585" s="3" t="n">
        <v>-4.508779</v>
      </c>
      <c r="AH2585" s="3" t="n">
        <v>-10.324173</v>
      </c>
      <c r="AI2585" s="3" t="n">
        <v>-11.104782</v>
      </c>
      <c r="AJ2585" s="3" t="n">
        <v>-10.585037</v>
      </c>
      <c r="AK2585" s="3" t="n">
        <v>-9.724921999999999</v>
      </c>
      <c r="AL2585" s="3" t="n">
        <v>-9.025715999999999</v>
      </c>
      <c r="AM2585" s="3" t="n"/>
      <c r="AN2585" s="3" t="n"/>
      <c r="AO2585" s="3" t="n"/>
      <c r="AP2585" s="3" t="n"/>
      <c r="AQ2585" s="3" t="n"/>
      <c r="AR2585" s="3" t="n"/>
      <c r="AS2585" s="3" t="n"/>
      <c r="AT2585" s="3" t="n"/>
      <c r="AU2585" s="3" t="n"/>
    </row>
    <row r="2586">
      <c r="A2586" s="3" t="n">
        <v>2031</v>
      </c>
      <c r="B2586" s="3" t="inlineStr">
        <is>
          <t>SDN</t>
        </is>
      </c>
      <c r="C2586" s="3" t="inlineStr">
        <is>
          <t>IMF.RES:WEO</t>
        </is>
      </c>
      <c r="D2586" s="3" t="inlineStr">
        <is>
          <t>SDN.GGR_NGDP.A</t>
        </is>
      </c>
      <c r="E2586" s="3" t="inlineStr">
        <is>
          <t>Sudan</t>
        </is>
      </c>
      <c r="F2586" s="3" t="inlineStr">
        <is>
          <t>Revenue, General government, Percent of GDP</t>
        </is>
      </c>
      <c r="G2586" s="3" t="n">
        <v>9.663567</v>
      </c>
      <c r="H2586" s="3" t="n">
        <v>9.09943</v>
      </c>
      <c r="I2586" s="3" t="n">
        <v>9.855352999999999</v>
      </c>
      <c r="J2586" s="3" t="n">
        <v>13.311871</v>
      </c>
      <c r="K2586" s="3" t="n">
        <v>16.667726</v>
      </c>
      <c r="L2586" s="3" t="n">
        <v>17.873989</v>
      </c>
      <c r="M2586" s="3" t="n">
        <v>17.500235</v>
      </c>
      <c r="N2586" s="3" t="n">
        <v>16.741347</v>
      </c>
      <c r="O2586" s="3" t="n">
        <v>20.203306</v>
      </c>
      <c r="P2586" s="3" t="n">
        <v>14.959018</v>
      </c>
      <c r="Q2586" s="3" t="n">
        <v>17.461667</v>
      </c>
      <c r="R2586" s="3" t="n">
        <v>15.906053</v>
      </c>
      <c r="S2586" s="3" t="n">
        <v>9.11318</v>
      </c>
      <c r="T2586" s="3" t="n">
        <v>9.562768</v>
      </c>
      <c r="U2586" s="3" t="n">
        <v>8.791961000000001</v>
      </c>
      <c r="V2586" s="3" t="n">
        <v>8.509043</v>
      </c>
      <c r="W2586" s="3" t="n">
        <v>6.057881</v>
      </c>
      <c r="X2586" s="3" t="n">
        <v>6.743009</v>
      </c>
      <c r="Y2586" s="3" t="n">
        <v>8.910511</v>
      </c>
      <c r="Z2586" s="3" t="n">
        <v>7.904165</v>
      </c>
      <c r="AA2586" s="3" t="n">
        <v>4.866994</v>
      </c>
      <c r="AB2586" s="3" t="n">
        <v>9.551345</v>
      </c>
      <c r="AC2586" s="3" t="n">
        <v>15.745427</v>
      </c>
      <c r="AD2586" s="3" t="n">
        <v>4.532072</v>
      </c>
      <c r="AE2586" s="3" t="n">
        <v>2.932581</v>
      </c>
      <c r="AF2586" s="3" t="n">
        <v>2.892393</v>
      </c>
      <c r="AG2586" s="3" t="n">
        <v>4.082772</v>
      </c>
      <c r="AH2586" s="3" t="n">
        <v>8.377656999999999</v>
      </c>
      <c r="AI2586" s="3" t="n">
        <v>8.993605000000001</v>
      </c>
      <c r="AJ2586" s="3" t="n">
        <v>9.646319</v>
      </c>
      <c r="AK2586" s="3" t="n">
        <v>10.146566</v>
      </c>
      <c r="AL2586" s="3" t="n">
        <v>10.221675</v>
      </c>
      <c r="AM2586" s="3" t="n"/>
      <c r="AN2586" s="3" t="n"/>
      <c r="AO2586" s="3" t="n"/>
      <c r="AP2586" s="3" t="n"/>
      <c r="AQ2586" s="3" t="n"/>
      <c r="AR2586" s="3" t="n"/>
      <c r="AS2586" s="3" t="n"/>
      <c r="AT2586" s="3" t="n"/>
      <c r="AU2586" s="3" t="n"/>
    </row>
    <row r="2587">
      <c r="A2587" s="3" t="n">
        <v>2031</v>
      </c>
      <c r="B2587" s="3" t="inlineStr">
        <is>
          <t>SDN</t>
        </is>
      </c>
      <c r="C2587" s="3" t="inlineStr">
        <is>
          <t>IMF.RES:WEO</t>
        </is>
      </c>
      <c r="D2587" s="3" t="inlineStr">
        <is>
          <t>SDN.GGX_NGDP.A</t>
        </is>
      </c>
      <c r="E2587" s="3" t="inlineStr">
        <is>
          <t>Sudan</t>
        </is>
      </c>
      <c r="F2587" s="3" t="inlineStr">
        <is>
          <t>Expenditure, General government, Percent of GDP</t>
        </is>
      </c>
      <c r="G2587" s="3" t="n">
        <v>10.361638</v>
      </c>
      <c r="H2587" s="3" t="n">
        <v>9.866311</v>
      </c>
      <c r="I2587" s="3" t="n">
        <v>10.540643</v>
      </c>
      <c r="J2587" s="3" t="n">
        <v>12.54346</v>
      </c>
      <c r="K2587" s="3" t="n">
        <v>16.511695</v>
      </c>
      <c r="L2587" s="3" t="n">
        <v>19.749661</v>
      </c>
      <c r="M2587" s="3" t="n">
        <v>18.823586</v>
      </c>
      <c r="N2587" s="3" t="n">
        <v>19.583315</v>
      </c>
      <c r="O2587" s="3" t="n">
        <v>19.711835</v>
      </c>
      <c r="P2587" s="3" t="n">
        <v>18.754799</v>
      </c>
      <c r="Q2587" s="3" t="n">
        <v>17.351099</v>
      </c>
      <c r="R2587" s="3" t="n">
        <v>18.232959</v>
      </c>
      <c r="S2587" s="3" t="n">
        <v>16.481621</v>
      </c>
      <c r="T2587" s="3" t="n">
        <v>15.323524</v>
      </c>
      <c r="U2587" s="3" t="n">
        <v>13.510413</v>
      </c>
      <c r="V2587" s="3" t="n">
        <v>12.378446</v>
      </c>
      <c r="W2587" s="3" t="n">
        <v>9.976238</v>
      </c>
      <c r="X2587" s="3" t="n">
        <v>12.812408</v>
      </c>
      <c r="Y2587" s="3" t="n">
        <v>16.832678</v>
      </c>
      <c r="Z2587" s="3" t="n">
        <v>18.683475</v>
      </c>
      <c r="AA2587" s="3" t="n">
        <v>10.90322</v>
      </c>
      <c r="AB2587" s="3" t="n">
        <v>9.838644</v>
      </c>
      <c r="AC2587" s="3" t="n">
        <v>17.894449</v>
      </c>
      <c r="AD2587" s="3" t="n">
        <v>8.228510999999999</v>
      </c>
      <c r="AE2587" s="3" t="n">
        <v>6.390002</v>
      </c>
      <c r="AF2587" s="3" t="n">
        <v>5.993521</v>
      </c>
      <c r="AG2587" s="3" t="n">
        <v>8.453003000000001</v>
      </c>
      <c r="AH2587" s="3" t="n">
        <v>13.379813</v>
      </c>
      <c r="AI2587" s="3" t="n">
        <v>13.09847</v>
      </c>
      <c r="AJ2587" s="3" t="n">
        <v>13.350042</v>
      </c>
      <c r="AK2587" s="3" t="n">
        <v>13.258116</v>
      </c>
      <c r="AL2587" s="3" t="n">
        <v>12.92203</v>
      </c>
      <c r="AM2587" s="3" t="n"/>
      <c r="AN2587" s="3" t="n"/>
      <c r="AO2587" s="3" t="n"/>
      <c r="AP2587" s="3" t="n"/>
      <c r="AQ2587" s="3" t="n"/>
      <c r="AR2587" s="3" t="n"/>
      <c r="AS2587" s="3" t="n"/>
      <c r="AT2587" s="3" t="n"/>
      <c r="AU2587" s="3" t="n"/>
    </row>
    <row r="2588">
      <c r="A2588" s="3" t="n">
        <v>2031</v>
      </c>
      <c r="B2588" s="3" t="inlineStr">
        <is>
          <t>SDN</t>
        </is>
      </c>
      <c r="C2588" s="3" t="inlineStr">
        <is>
          <t>IMF.RES:WEO</t>
        </is>
      </c>
      <c r="D2588" s="3" t="inlineStr">
        <is>
          <t>SDN.LP.A</t>
        </is>
      </c>
      <c r="E2588" s="3" t="inlineStr">
        <is>
          <t>Sudan</t>
        </is>
      </c>
      <c r="F2588" s="3" t="inlineStr">
        <is>
          <t>Population, Persons for countries / Index for country groups</t>
        </is>
      </c>
      <c r="G2588" s="3" t="n">
        <v>31.1</v>
      </c>
      <c r="H2588" s="3" t="n">
        <v>31.9</v>
      </c>
      <c r="I2588" s="3" t="n">
        <v>32.7</v>
      </c>
      <c r="J2588" s="3" t="n">
        <v>33.6</v>
      </c>
      <c r="K2588" s="3" t="n">
        <v>34.4736</v>
      </c>
      <c r="L2588" s="3" t="n">
        <v>35.3</v>
      </c>
      <c r="M2588" s="3" t="n">
        <v>36.2178</v>
      </c>
      <c r="N2588" s="3" t="n">
        <v>37.159463</v>
      </c>
      <c r="O2588" s="3" t="n">
        <v>38.125609</v>
      </c>
      <c r="P2588" s="3" t="n">
        <v>39.116875</v>
      </c>
      <c r="Q2588" s="3" t="n">
        <v>40.133913</v>
      </c>
      <c r="R2588" s="3" t="n">
        <v>32.661283</v>
      </c>
      <c r="S2588" s="3" t="n">
        <v>35.055538</v>
      </c>
      <c r="T2588" s="3" t="n">
        <v>36.163778</v>
      </c>
      <c r="U2588" s="3" t="n">
        <v>37.289406</v>
      </c>
      <c r="V2588" s="3" t="n">
        <v>38.435252</v>
      </c>
      <c r="W2588" s="3" t="n">
        <v>39.5987</v>
      </c>
      <c r="X2588" s="3" t="n">
        <v>40.782742</v>
      </c>
      <c r="Y2588" s="3" t="n">
        <v>41.984512</v>
      </c>
      <c r="Z2588" s="3" t="n">
        <v>43.221695</v>
      </c>
      <c r="AA2588" s="3" t="n">
        <v>44.345459</v>
      </c>
      <c r="AB2588" s="3" t="n">
        <v>45.498441</v>
      </c>
      <c r="AC2588" s="3" t="n">
        <v>46.681401</v>
      </c>
      <c r="AD2588" s="3" t="n">
        <v>47.895117</v>
      </c>
      <c r="AE2588" s="3" t="n">
        <v>49.14039</v>
      </c>
      <c r="AF2588" s="3" t="n">
        <v>50.41804</v>
      </c>
      <c r="AG2588" s="3" t="n">
        <v>51.728909</v>
      </c>
      <c r="AH2588" s="3" t="n">
        <v>53.073861</v>
      </c>
      <c r="AI2588" s="3" t="n">
        <v>54.453781</v>
      </c>
      <c r="AJ2588" s="3" t="n">
        <v>55.86958</v>
      </c>
      <c r="AK2588" s="3" t="n">
        <v>57.322189</v>
      </c>
      <c r="AL2588" s="3" t="n">
        <v>58.812566</v>
      </c>
      <c r="AM2588" s="3" t="n"/>
      <c r="AN2588" s="3" t="n"/>
      <c r="AO2588" s="3" t="n"/>
      <c r="AP2588" s="3" t="n"/>
      <c r="AQ2588" s="3" t="n"/>
      <c r="AR2588" s="3" t="n"/>
      <c r="AS2588" s="3" t="n"/>
      <c r="AT2588" s="3" t="n"/>
      <c r="AU2588" s="3" t="n"/>
    </row>
    <row r="2589">
      <c r="A2589" s="3" t="n">
        <v>2031</v>
      </c>
      <c r="B2589" s="3" t="inlineStr">
        <is>
          <t>SDN</t>
        </is>
      </c>
      <c r="C2589" s="3" t="inlineStr">
        <is>
          <t>IMF.RES:WEO</t>
        </is>
      </c>
      <c r="D2589" s="3" t="inlineStr">
        <is>
          <t>SDN.NGDP.A</t>
        </is>
      </c>
      <c r="E2589" s="3" t="inlineStr">
        <is>
          <t>Sudan</t>
        </is>
      </c>
      <c r="F2589" s="3" t="inlineStr">
        <is>
          <t>Gross domestic product (GDP), Current prices, Domestic currency</t>
        </is>
      </c>
      <c r="G2589" s="3" t="n">
        <v>33.770571</v>
      </c>
      <c r="H2589" s="3" t="n">
        <v>40.658558</v>
      </c>
      <c r="I2589" s="3" t="n">
        <v>47.756111</v>
      </c>
      <c r="J2589" s="3" t="n">
        <v>55.733808</v>
      </c>
      <c r="K2589" s="3" t="n">
        <v>68.721379</v>
      </c>
      <c r="L2589" s="3" t="n">
        <v>85.70712899999999</v>
      </c>
      <c r="M2589" s="3" t="n">
        <v>98.291904</v>
      </c>
      <c r="N2589" s="3" t="n">
        <v>119.837267</v>
      </c>
      <c r="O2589" s="3" t="n">
        <v>135.511713</v>
      </c>
      <c r="P2589" s="3" t="n">
        <v>134.214716</v>
      </c>
      <c r="Q2589" s="3" t="n">
        <v>170.992987</v>
      </c>
      <c r="R2589" s="3" t="n">
        <v>209.071438</v>
      </c>
      <c r="S2589" s="3" t="n">
        <v>225.798138</v>
      </c>
      <c r="T2589" s="3" t="n">
        <v>314.075679</v>
      </c>
      <c r="U2589" s="3" t="n">
        <v>440.70029</v>
      </c>
      <c r="V2589" s="3" t="n">
        <v>506.351074</v>
      </c>
      <c r="W2589" s="3" t="n">
        <v>743.952346</v>
      </c>
      <c r="X2589" s="3" t="n">
        <v>886.328256</v>
      </c>
      <c r="Y2589" s="3" t="n">
        <v>1362.493461</v>
      </c>
      <c r="Z2589" s="3" t="n">
        <v>2014.631652</v>
      </c>
      <c r="AA2589" s="3" t="n">
        <v>5122.913785</v>
      </c>
      <c r="AB2589" s="3" t="n">
        <v>14662.608413</v>
      </c>
      <c r="AC2589" s="3" t="n">
        <v>18805.004038</v>
      </c>
      <c r="AD2589" s="3" t="n">
        <v>26027.437862</v>
      </c>
      <c r="AE2589" s="3" t="n">
        <v>57578.559278</v>
      </c>
      <c r="AF2589" s="3" t="n">
        <v>121078.882459</v>
      </c>
      <c r="AG2589" s="3" t="n">
        <v>218550.24246</v>
      </c>
      <c r="AH2589" s="3" t="n">
        <v>341331.413555</v>
      </c>
      <c r="AI2589" s="3" t="n">
        <v>490426.121983</v>
      </c>
      <c r="AJ2589" s="3" t="n">
        <v>617306.846164</v>
      </c>
      <c r="AK2589" s="3" t="n">
        <v>742906.120982</v>
      </c>
      <c r="AL2589" s="3" t="n">
        <v>871084.9567</v>
      </c>
      <c r="AM2589" s="3" t="n"/>
      <c r="AN2589" s="3" t="n"/>
      <c r="AO2589" s="3" t="n"/>
      <c r="AP2589" s="3" t="n"/>
      <c r="AQ2589" s="3" t="n"/>
      <c r="AR2589" s="3" t="n"/>
      <c r="AS2589" s="3" t="n"/>
      <c r="AT2589" s="3" t="n"/>
      <c r="AU2589" s="3" t="n"/>
    </row>
    <row r="2590">
      <c r="A2590" s="3" t="n">
        <v>2031</v>
      </c>
      <c r="B2590" s="3" t="inlineStr">
        <is>
          <t>SDN</t>
        </is>
      </c>
      <c r="C2590" s="3" t="inlineStr">
        <is>
          <t>IMF.RES:WEO</t>
        </is>
      </c>
      <c r="D2590" s="3" t="inlineStr">
        <is>
          <t>SDN.NGDP_D.A</t>
        </is>
      </c>
      <c r="E2590" s="3" t="inlineStr">
        <is>
          <t>Sudan</t>
        </is>
      </c>
      <c r="F2590" s="3" t="inlineStr">
        <is>
          <t>Gross domestic product (GDP), Price deflator, Index</t>
        </is>
      </c>
      <c r="G2590" s="3" t="n">
        <v>230.179608</v>
      </c>
      <c r="H2590" s="3" t="n">
        <v>249.96347</v>
      </c>
      <c r="I2590" s="3" t="n">
        <v>277.132989</v>
      </c>
      <c r="J2590" s="3" t="n">
        <v>304.291942</v>
      </c>
      <c r="K2590" s="3" t="n">
        <v>356.871821</v>
      </c>
      <c r="L2590" s="3" t="n">
        <v>421.283254</v>
      </c>
      <c r="M2590" s="3" t="n">
        <v>453.520909</v>
      </c>
      <c r="N2590" s="3" t="n">
        <v>522.941469</v>
      </c>
      <c r="O2590" s="3" t="n">
        <v>569.436282</v>
      </c>
      <c r="P2590" s="3" t="n">
        <v>580.039934</v>
      </c>
      <c r="Q2590" s="3" t="n">
        <v>711.5330729999999</v>
      </c>
      <c r="R2590" s="3" t="n">
        <v>898.869942</v>
      </c>
      <c r="S2590" s="3" t="n">
        <v>1169.685078</v>
      </c>
      <c r="T2590" s="3" t="n">
        <v>1595.782707</v>
      </c>
      <c r="U2590" s="3" t="n">
        <v>2139.42136</v>
      </c>
      <c r="V2590" s="3" t="n">
        <v>2343.172343</v>
      </c>
      <c r="W2590" s="3" t="n">
        <v>3288.14542</v>
      </c>
      <c r="X2590" s="3" t="n">
        <v>3887.572111</v>
      </c>
      <c r="Y2590" s="3" t="n">
        <v>6116.163041</v>
      </c>
      <c r="Z2590" s="3" t="n">
        <v>9275.445411000001</v>
      </c>
      <c r="AA2590" s="3" t="n">
        <v>24474.478842</v>
      </c>
      <c r="AB2590" s="3" t="n">
        <v>69701.412665</v>
      </c>
      <c r="AC2590" s="3" t="n">
        <v>91685.183655</v>
      </c>
      <c r="AD2590" s="3" t="n">
        <v>160134.244436</v>
      </c>
      <c r="AE2590" s="3" t="n">
        <v>462247.14455</v>
      </c>
      <c r="AF2590" s="3" t="n">
        <v>941668.049373</v>
      </c>
      <c r="AG2590" s="3" t="n">
        <v>1687691.554573</v>
      </c>
      <c r="AH2590" s="3" t="n">
        <v>2437751.204117</v>
      </c>
      <c r="AI2590" s="3" t="n">
        <v>3103806.49631</v>
      </c>
      <c r="AJ2590" s="3" t="n">
        <v>3606042.923938</v>
      </c>
      <c r="AK2590" s="3" t="n">
        <v>4094067.280309</v>
      </c>
      <c r="AL2590" s="3" t="n">
        <v>4593439.946496</v>
      </c>
      <c r="AM2590" s="3" t="n"/>
      <c r="AN2590" s="3" t="n"/>
      <c r="AO2590" s="3" t="n"/>
      <c r="AP2590" s="3" t="n"/>
      <c r="AQ2590" s="3" t="n"/>
      <c r="AR2590" s="3" t="n"/>
      <c r="AS2590" s="3" t="n"/>
      <c r="AT2590" s="3" t="n"/>
      <c r="AU2590" s="3" t="n"/>
    </row>
    <row r="2591">
      <c r="A2591" s="3" t="n">
        <v>2031</v>
      </c>
      <c r="B2591" s="3" t="inlineStr">
        <is>
          <t>SDN</t>
        </is>
      </c>
      <c r="C2591" s="3" t="inlineStr">
        <is>
          <t>IMF.RES:WEO</t>
        </is>
      </c>
      <c r="D2591" s="3" t="inlineStr">
        <is>
          <t>SDN.NGDP_R.A</t>
        </is>
      </c>
      <c r="E2591" s="3" t="inlineStr">
        <is>
          <t>Sudan</t>
        </is>
      </c>
      <c r="F2591" s="3" t="inlineStr">
        <is>
          <t>Gross domestic product (GDP), Constant prices, Domestic currency</t>
        </is>
      </c>
      <c r="G2591" s="3" t="n">
        <v>14.6714</v>
      </c>
      <c r="H2591" s="3" t="n">
        <v>16.2658</v>
      </c>
      <c r="I2591" s="3" t="n">
        <v>17.2322</v>
      </c>
      <c r="J2591" s="3" t="n">
        <v>18.3159</v>
      </c>
      <c r="K2591" s="3" t="n">
        <v>19.2566</v>
      </c>
      <c r="L2591" s="3" t="n">
        <v>20.3443</v>
      </c>
      <c r="M2591" s="3" t="n">
        <v>21.67307</v>
      </c>
      <c r="N2591" s="3" t="n">
        <v>22.916</v>
      </c>
      <c r="O2591" s="3" t="n">
        <v>23.79752</v>
      </c>
      <c r="P2591" s="3" t="n">
        <v>23.138875</v>
      </c>
      <c r="Q2591" s="3" t="n">
        <v>24.031629</v>
      </c>
      <c r="R2591" s="3" t="n">
        <v>23.259365</v>
      </c>
      <c r="S2591" s="3" t="n">
        <v>19.304182</v>
      </c>
      <c r="T2591" s="3" t="n">
        <v>19.681607</v>
      </c>
      <c r="U2591" s="3" t="n">
        <v>20.599041</v>
      </c>
      <c r="V2591" s="3" t="n">
        <v>21.609639</v>
      </c>
      <c r="W2591" s="3" t="n">
        <v>22.625287</v>
      </c>
      <c r="X2591" s="3" t="n">
        <v>22.799018</v>
      </c>
      <c r="Y2591" s="3" t="n">
        <v>22.276932</v>
      </c>
      <c r="Z2591" s="3" t="n">
        <v>21.720053</v>
      </c>
      <c r="AA2591" s="3" t="n">
        <v>20.931656</v>
      </c>
      <c r="AB2591" s="3" t="n">
        <v>21.036315</v>
      </c>
      <c r="AC2591" s="3" t="n">
        <v>20.510407</v>
      </c>
      <c r="AD2591" s="3" t="n">
        <v>16.253512</v>
      </c>
      <c r="AE2591" s="3" t="n">
        <v>12.456228</v>
      </c>
      <c r="AF2591" s="3" t="n">
        <v>12.857916</v>
      </c>
      <c r="AG2591" s="3" t="n">
        <v>12.949656</v>
      </c>
      <c r="AH2591" s="3" t="n">
        <v>14.001897</v>
      </c>
      <c r="AI2591" s="3" t="n">
        <v>15.800796</v>
      </c>
      <c r="AJ2591" s="3" t="n">
        <v>17.118677</v>
      </c>
      <c r="AK2591" s="3" t="n">
        <v>18.145919</v>
      </c>
      <c r="AL2591" s="3" t="n">
        <v>18.963674</v>
      </c>
      <c r="AM2591" s="3" t="n"/>
      <c r="AN2591" s="3" t="n"/>
      <c r="AO2591" s="3" t="n"/>
      <c r="AP2591" s="3" t="n"/>
      <c r="AQ2591" s="3" t="n"/>
      <c r="AR2591" s="3" t="n"/>
      <c r="AS2591" s="3" t="n"/>
      <c r="AT2591" s="3" t="n"/>
      <c r="AU2591" s="3" t="n"/>
    </row>
    <row r="2592">
      <c r="A2592" s="3" t="n">
        <v>2031</v>
      </c>
      <c r="B2592" s="3" t="inlineStr">
        <is>
          <t>SDN</t>
        </is>
      </c>
      <c r="C2592" s="3" t="inlineStr">
        <is>
          <t>IMF.RES:WEO</t>
        </is>
      </c>
      <c r="D2592" s="3" t="inlineStr">
        <is>
          <t>SDN.NGDP_RPCH.A</t>
        </is>
      </c>
      <c r="E2592" s="3" t="inlineStr">
        <is>
          <t>Sudan</t>
        </is>
      </c>
      <c r="F2592" s="3" t="inlineStr">
        <is>
          <t>Gross domestic product (GDP), Constant prices, Percent change</t>
        </is>
      </c>
      <c r="G2592" s="3" t="n">
        <v>8.3848</v>
      </c>
      <c r="H2592" s="3" t="n">
        <v>10.867402</v>
      </c>
      <c r="I2592" s="3" t="n">
        <v>5.9413</v>
      </c>
      <c r="J2592" s="3" t="n">
        <v>6.288808</v>
      </c>
      <c r="K2592" s="3" t="n">
        <v>5.135975</v>
      </c>
      <c r="L2592" s="3" t="n">
        <v>5.648453</v>
      </c>
      <c r="M2592" s="3" t="n">
        <v>6.531412</v>
      </c>
      <c r="N2592" s="3" t="n">
        <v>5.734905</v>
      </c>
      <c r="O2592" s="3" t="n">
        <v>3.846745</v>
      </c>
      <c r="P2592" s="3" t="n">
        <v>-2.767704</v>
      </c>
      <c r="Q2592" s="3" t="n">
        <v>3.858242</v>
      </c>
      <c r="R2592" s="3" t="n">
        <v>-3.213532</v>
      </c>
      <c r="S2592" s="3" t="n">
        <v>-17.004689</v>
      </c>
      <c r="T2592" s="3" t="n">
        <v>1.955145</v>
      </c>
      <c r="U2592" s="3" t="n">
        <v>4.66138</v>
      </c>
      <c r="V2592" s="3" t="n">
        <v>4.90604</v>
      </c>
      <c r="W2592" s="3" t="n">
        <v>4.69998</v>
      </c>
      <c r="X2592" s="3" t="n">
        <v>0.76786</v>
      </c>
      <c r="Y2592" s="3" t="n">
        <v>-2.28995</v>
      </c>
      <c r="Z2592" s="3" t="n">
        <v>-2.4998</v>
      </c>
      <c r="AA2592" s="3" t="n">
        <v>-3.62981</v>
      </c>
      <c r="AB2592" s="3" t="n">
        <v>0.5</v>
      </c>
      <c r="AC2592" s="3" t="n">
        <v>-2.5</v>
      </c>
      <c r="AD2592" s="3" t="n">
        <v>-20.754806</v>
      </c>
      <c r="AE2592" s="3" t="n">
        <v>-23.362849</v>
      </c>
      <c r="AF2592" s="3" t="n">
        <v>3.224791</v>
      </c>
      <c r="AG2592" s="3" t="n">
        <v>0.71349</v>
      </c>
      <c r="AH2592" s="3" t="n">
        <v>8.125633000000001</v>
      </c>
      <c r="AI2592" s="3" t="n">
        <v>12.847535</v>
      </c>
      <c r="AJ2592" s="3" t="n">
        <v>8.340602000000001</v>
      </c>
      <c r="AK2592" s="3" t="n">
        <v>6.000706</v>
      </c>
      <c r="AL2592" s="3" t="n">
        <v>4.50655</v>
      </c>
      <c r="AM2592" s="3" t="n"/>
      <c r="AN2592" s="3" t="n"/>
      <c r="AO2592" s="3" t="n"/>
      <c r="AP2592" s="3" t="n"/>
      <c r="AQ2592" s="3" t="n"/>
      <c r="AR2592" s="3" t="n"/>
      <c r="AS2592" s="3" t="n"/>
      <c r="AT2592" s="3" t="n"/>
      <c r="AU2592" s="3" t="n"/>
    </row>
    <row r="2593">
      <c r="A2593" s="3" t="n">
        <v>2031</v>
      </c>
      <c r="B2593" s="3" t="inlineStr">
        <is>
          <t>SDN</t>
        </is>
      </c>
      <c r="C2593" s="3" t="inlineStr">
        <is>
          <t>IMF.RES:WEO</t>
        </is>
      </c>
      <c r="D2593" s="3" t="inlineStr">
        <is>
          <t>SDN.NGDPD.A</t>
        </is>
      </c>
      <c r="E2593" s="3" t="inlineStr">
        <is>
          <t>Sudan</t>
        </is>
      </c>
      <c r="F2593" s="3" t="inlineStr">
        <is>
          <t>Gross domestic product (GDP), Current prices, US dollar</t>
        </is>
      </c>
      <c r="G2593" s="3" t="n">
        <v>13.13404</v>
      </c>
      <c r="H2593" s="3" t="n">
        <v>15.716362</v>
      </c>
      <c r="I2593" s="3" t="n">
        <v>18.137126</v>
      </c>
      <c r="J2593" s="3" t="n">
        <v>21.355305</v>
      </c>
      <c r="K2593" s="3" t="n">
        <v>26.646005</v>
      </c>
      <c r="L2593" s="3" t="n">
        <v>35.182708</v>
      </c>
      <c r="M2593" s="3" t="n">
        <v>45.263825</v>
      </c>
      <c r="N2593" s="3" t="n">
        <v>59.44014</v>
      </c>
      <c r="O2593" s="3" t="n">
        <v>64.833089</v>
      </c>
      <c r="P2593" s="3" t="n">
        <v>54.81228</v>
      </c>
      <c r="Q2593" s="3" t="n">
        <v>65.716024</v>
      </c>
      <c r="R2593" s="3" t="n">
        <v>66.448117</v>
      </c>
      <c r="S2593" s="3" t="n">
        <v>48.947781</v>
      </c>
      <c r="T2593" s="3" t="n">
        <v>52.892494</v>
      </c>
      <c r="U2593" s="3" t="n">
        <v>60.725693</v>
      </c>
      <c r="V2593" s="3" t="n">
        <v>64.53376299999999</v>
      </c>
      <c r="W2593" s="3" t="n">
        <v>64.88793</v>
      </c>
      <c r="X2593" s="3" t="n">
        <v>48.905718</v>
      </c>
      <c r="Y2593" s="3" t="n">
        <v>33.590278</v>
      </c>
      <c r="Z2593" s="3" t="n">
        <v>31.483534</v>
      </c>
      <c r="AA2593" s="3" t="n">
        <v>35.21507</v>
      </c>
      <c r="AB2593" s="3" t="n">
        <v>35.13075</v>
      </c>
      <c r="AC2593" s="3" t="n">
        <v>33.461985</v>
      </c>
      <c r="AD2593" s="3" t="n">
        <v>36.946889</v>
      </c>
      <c r="AE2593" s="3" t="n">
        <v>29.156</v>
      </c>
      <c r="AF2593" s="3" t="n">
        <v>39.718251</v>
      </c>
      <c r="AG2593" s="3" t="n">
        <v>44.688059</v>
      </c>
      <c r="AH2593" s="3" t="n">
        <v>47.622034</v>
      </c>
      <c r="AI2593" s="3" t="n">
        <v>53.432835</v>
      </c>
      <c r="AJ2593" s="3" t="n">
        <v>58.329656</v>
      </c>
      <c r="AK2593" s="3" t="n">
        <v>62.143412</v>
      </c>
      <c r="AL2593" s="3" t="n">
        <v>67.64298100000001</v>
      </c>
      <c r="AM2593" s="3" t="n"/>
      <c r="AN2593" s="3" t="n"/>
      <c r="AO2593" s="3" t="n"/>
      <c r="AP2593" s="3" t="n"/>
      <c r="AQ2593" s="3" t="n"/>
      <c r="AR2593" s="3" t="n"/>
      <c r="AS2593" s="3" t="n"/>
      <c r="AT2593" s="3" t="n"/>
      <c r="AU2593" s="3" t="n"/>
    </row>
    <row r="2594">
      <c r="A2594" s="3" t="n">
        <v>2031</v>
      </c>
      <c r="B2594" s="3" t="inlineStr">
        <is>
          <t>SDN</t>
        </is>
      </c>
      <c r="C2594" s="3" t="inlineStr">
        <is>
          <t>IMF.RES:WEO</t>
        </is>
      </c>
      <c r="D2594" s="3" t="inlineStr">
        <is>
          <t>SDN.NGDPPC.A</t>
        </is>
      </c>
      <c r="E2594" s="3" t="inlineStr">
        <is>
          <t>Sudan</t>
        </is>
      </c>
      <c r="F2594" s="3" t="inlineStr">
        <is>
          <t>Gross domestic product (GDP), Current prices, Per capita, Domestic currency</t>
        </is>
      </c>
      <c r="G2594" s="3" t="n">
        <v>1085.87045</v>
      </c>
      <c r="H2594" s="3" t="n">
        <v>1274.562949</v>
      </c>
      <c r="I2594" s="3" t="n">
        <v>1460.431529</v>
      </c>
      <c r="J2594" s="3" t="n">
        <v>1658.744279</v>
      </c>
      <c r="K2594" s="3" t="n">
        <v>1993.449455</v>
      </c>
      <c r="L2594" s="3" t="n">
        <v>2427.963994</v>
      </c>
      <c r="M2594" s="3" t="n">
        <v>2713.911502</v>
      </c>
      <c r="N2594" s="3" t="n">
        <v>3224.946164</v>
      </c>
      <c r="O2594" s="3" t="n">
        <v>3554.348826</v>
      </c>
      <c r="P2594" s="3" t="n">
        <v>3431.12063</v>
      </c>
      <c r="Q2594" s="3" t="n">
        <v>4260.561016</v>
      </c>
      <c r="R2594" s="3" t="n">
        <v>6401.200993</v>
      </c>
      <c r="S2594" s="3" t="n">
        <v>6441.154559</v>
      </c>
      <c r="T2594" s="3" t="n">
        <v>8684.813812</v>
      </c>
      <c r="U2594" s="3" t="n">
        <v>11818.37786</v>
      </c>
      <c r="V2594" s="3" t="n">
        <v>13174.131753</v>
      </c>
      <c r="W2594" s="3" t="n">
        <v>18787.292161</v>
      </c>
      <c r="X2594" s="3" t="n">
        <v>21732.924584</v>
      </c>
      <c r="Y2594" s="3" t="n">
        <v>32452.28766</v>
      </c>
      <c r="Z2594" s="3" t="n">
        <v>46611.583335</v>
      </c>
      <c r="AA2594" s="3" t="n">
        <v>115522.848509</v>
      </c>
      <c r="AB2594" s="3" t="n">
        <v>322266.169805</v>
      </c>
      <c r="AC2594" s="3" t="n">
        <v>402837.184012</v>
      </c>
      <c r="AD2594" s="3" t="n">
        <v>543425.70559</v>
      </c>
      <c r="AE2594" s="3" t="n">
        <v>1171715.547667</v>
      </c>
      <c r="AF2594" s="3" t="n">
        <v>2401499.175683</v>
      </c>
      <c r="AG2594" s="3" t="n">
        <v>4224914.941842</v>
      </c>
      <c r="AH2594" s="3" t="n">
        <v>6431252.720434</v>
      </c>
      <c r="AI2594" s="3" t="n">
        <v>9006282.183114</v>
      </c>
      <c r="AJ2594" s="3" t="n">
        <v>11049069.070217</v>
      </c>
      <c r="AK2594" s="3" t="n">
        <v>12960184.101997</v>
      </c>
      <c r="AL2594" s="3" t="n">
        <v>14811204.799921</v>
      </c>
      <c r="AM2594" s="3" t="n"/>
      <c r="AN2594" s="3" t="n"/>
      <c r="AO2594" s="3" t="n"/>
      <c r="AP2594" s="3" t="n"/>
      <c r="AQ2594" s="3" t="n"/>
      <c r="AR2594" s="3" t="n"/>
      <c r="AS2594" s="3" t="n"/>
      <c r="AT2594" s="3" t="n"/>
      <c r="AU2594" s="3" t="n"/>
    </row>
    <row r="2595">
      <c r="A2595" s="3" t="n">
        <v>2031</v>
      </c>
      <c r="B2595" s="3" t="inlineStr">
        <is>
          <t>SDN</t>
        </is>
      </c>
      <c r="C2595" s="3" t="inlineStr">
        <is>
          <t>IMF.RES:WEO</t>
        </is>
      </c>
      <c r="D2595" s="3" t="inlineStr">
        <is>
          <t>SDN.NGDPRPC.A</t>
        </is>
      </c>
      <c r="E2595" s="3" t="inlineStr">
        <is>
          <t>Sudan</t>
        </is>
      </c>
      <c r="F2595" s="3" t="inlineStr">
        <is>
          <t>Gross domestic product (GDP), Constant prices, Per capita, Domestic currency</t>
        </is>
      </c>
      <c r="G2595" s="3" t="n">
        <v>471.749196</v>
      </c>
      <c r="H2595" s="3" t="n">
        <v>509.899687</v>
      </c>
      <c r="I2595" s="3" t="n">
        <v>526.978593</v>
      </c>
      <c r="J2595" s="3" t="n">
        <v>545.116071</v>
      </c>
      <c r="K2595" s="3" t="n">
        <v>558.589761</v>
      </c>
      <c r="L2595" s="3" t="n">
        <v>576.325779</v>
      </c>
      <c r="M2595" s="3" t="n">
        <v>598.409346</v>
      </c>
      <c r="N2595" s="3" t="n">
        <v>616.693522</v>
      </c>
      <c r="O2595" s="3" t="n">
        <v>624.187278</v>
      </c>
      <c r="P2595" s="3" t="n">
        <v>591.531794</v>
      </c>
      <c r="Q2595" s="3" t="n">
        <v>598.786083</v>
      </c>
      <c r="R2595" s="3" t="n">
        <v>712.13873</v>
      </c>
      <c r="S2595" s="3" t="n">
        <v>550.674252</v>
      </c>
      <c r="T2595" s="3" t="n">
        <v>544.235363</v>
      </c>
      <c r="U2595" s="3" t="n">
        <v>552.410015</v>
      </c>
      <c r="V2595" s="3" t="n">
        <v>562.23486</v>
      </c>
      <c r="W2595" s="3" t="n">
        <v>571.3643939999999</v>
      </c>
      <c r="X2595" s="3" t="n">
        <v>559.035922</v>
      </c>
      <c r="Y2595" s="3" t="n">
        <v>530.598799</v>
      </c>
      <c r="Z2595" s="3" t="n">
        <v>502.526631</v>
      </c>
      <c r="AA2595" s="3" t="n">
        <v>472.013518</v>
      </c>
      <c r="AB2595" s="3" t="n">
        <v>462.352422</v>
      </c>
      <c r="AC2595" s="3" t="n">
        <v>439.369992</v>
      </c>
      <c r="AD2595" s="3" t="n">
        <v>339.356337</v>
      </c>
      <c r="AE2595" s="3" t="n">
        <v>253.482485</v>
      </c>
      <c r="AF2595" s="3" t="n">
        <v>255.026087</v>
      </c>
      <c r="AG2595" s="3" t="n">
        <v>250.336913</v>
      </c>
      <c r="AH2595" s="3" t="n">
        <v>263.819077</v>
      </c>
      <c r="AI2595" s="3" t="n">
        <v>290.168933</v>
      </c>
      <c r="AJ2595" s="3" t="n">
        <v>306.404258</v>
      </c>
      <c r="AK2595" s="3" t="n">
        <v>316.560115</v>
      </c>
      <c r="AL2595" s="3" t="n">
        <v>322.442548</v>
      </c>
      <c r="AM2595" s="3" t="n"/>
      <c r="AN2595" s="3" t="n"/>
      <c r="AO2595" s="3" t="n"/>
      <c r="AP2595" s="3" t="n"/>
      <c r="AQ2595" s="3" t="n"/>
      <c r="AR2595" s="3" t="n"/>
      <c r="AS2595" s="3" t="n"/>
      <c r="AT2595" s="3" t="n"/>
      <c r="AU2595" s="3" t="n"/>
    </row>
    <row r="2596">
      <c r="A2596" s="3" t="n">
        <v>2031</v>
      </c>
      <c r="B2596" s="3" t="inlineStr">
        <is>
          <t>SDN</t>
        </is>
      </c>
      <c r="C2596" s="3" t="inlineStr">
        <is>
          <t>IMF.RES:WEO</t>
        </is>
      </c>
      <c r="D2596" s="3" t="inlineStr">
        <is>
          <t>SDN.PCPI.A</t>
        </is>
      </c>
      <c r="E2596" s="3" t="inlineStr">
        <is>
          <t>Sudan</t>
        </is>
      </c>
      <c r="F2596" s="3" t="inlineStr">
        <is>
          <t>All Items, Consumer price index (CPI), Period average</t>
        </is>
      </c>
      <c r="G2596" s="3" t="n">
        <v>51.489444</v>
      </c>
      <c r="H2596" s="3" t="n">
        <v>52.485917</v>
      </c>
      <c r="I2596" s="3" t="n">
        <v>64.150767</v>
      </c>
      <c r="J2596" s="3" t="n">
        <v>68.313788</v>
      </c>
      <c r="K2596" s="3" t="n">
        <v>74.91122300000001</v>
      </c>
      <c r="L2596" s="3" t="n">
        <v>81.28306000000001</v>
      </c>
      <c r="M2596" s="3" t="n">
        <v>87.134733</v>
      </c>
      <c r="N2596" s="3" t="n">
        <v>99.99083299999999</v>
      </c>
      <c r="O2596" s="3" t="n">
        <v>114.286645</v>
      </c>
      <c r="P2596" s="3" t="n">
        <v>127.151617</v>
      </c>
      <c r="Q2596" s="3" t="n">
        <v>143.65293</v>
      </c>
      <c r="R2596" s="3" t="n">
        <v>169.64925</v>
      </c>
      <c r="S2596" s="3" t="n">
        <v>229.974925</v>
      </c>
      <c r="T2596" s="3" t="n">
        <v>313.96716</v>
      </c>
      <c r="U2596" s="3" t="n">
        <v>429.841898</v>
      </c>
      <c r="V2596" s="3" t="n">
        <v>502.526318</v>
      </c>
      <c r="W2596" s="3" t="n">
        <v>591.726015</v>
      </c>
      <c r="X2596" s="3" t="n">
        <v>783.159002</v>
      </c>
      <c r="Y2596" s="3" t="n">
        <v>1278.839971</v>
      </c>
      <c r="Z2596" s="3" t="n">
        <v>1930.972285</v>
      </c>
      <c r="AA2596" s="3" t="n">
        <v>5083.444824</v>
      </c>
      <c r="AB2596" s="3" t="n">
        <v>23337.695679</v>
      </c>
      <c r="AC2596" s="3" t="n">
        <v>55732.391209</v>
      </c>
      <c r="AD2596" s="3" t="n">
        <v>98784.873779</v>
      </c>
      <c r="AE2596" s="3" t="n">
        <v>282210.058374</v>
      </c>
      <c r="AF2596" s="3" t="n">
        <v>565046.32667</v>
      </c>
      <c r="AG2596" s="3" t="n">
        <v>989299.779124</v>
      </c>
      <c r="AH2596" s="3" t="n">
        <v>1430584.20888</v>
      </c>
      <c r="AI2596" s="3" t="n">
        <v>1825086.72061</v>
      </c>
      <c r="AJ2596" s="3" t="n">
        <v>2124674.943769</v>
      </c>
      <c r="AK2596" s="3" t="n">
        <v>2417406.091113</v>
      </c>
      <c r="AL2596" s="3" t="n">
        <v>2719273.218404</v>
      </c>
      <c r="AM2596" s="3" t="n"/>
      <c r="AN2596" s="3" t="n"/>
      <c r="AO2596" s="3" t="n"/>
      <c r="AP2596" s="3" t="n"/>
      <c r="AQ2596" s="3" t="n"/>
      <c r="AR2596" s="3" t="n"/>
      <c r="AS2596" s="3" t="n"/>
      <c r="AT2596" s="3" t="n"/>
      <c r="AU2596" s="3" t="n"/>
    </row>
    <row r="2597">
      <c r="A2597" s="3" t="n">
        <v>2031</v>
      </c>
      <c r="B2597" s="3" t="inlineStr">
        <is>
          <t>SDN</t>
        </is>
      </c>
      <c r="C2597" s="3" t="inlineStr">
        <is>
          <t>IMF.RES:WEO</t>
        </is>
      </c>
      <c r="D2597" s="3" t="inlineStr">
        <is>
          <t>SDN.PCPIPCH.A</t>
        </is>
      </c>
      <c r="E2597" s="3" t="inlineStr">
        <is>
          <t>Sudan</t>
        </is>
      </c>
      <c r="F2597" s="3" t="inlineStr">
        <is>
          <t>All Items, Consumer price index (CPI), Period average, percent change</t>
        </is>
      </c>
      <c r="G2597" s="3" t="n">
        <v>7.121259</v>
      </c>
      <c r="H2597" s="3" t="n">
        <v>1.935296</v>
      </c>
      <c r="I2597" s="3" t="n">
        <v>22.224724</v>
      </c>
      <c r="J2597" s="3" t="n">
        <v>6.489432</v>
      </c>
      <c r="K2597" s="3" t="n">
        <v>9.657546</v>
      </c>
      <c r="L2597" s="3" t="n">
        <v>8.505851</v>
      </c>
      <c r="M2597" s="3" t="n">
        <v>7.19913</v>
      </c>
      <c r="N2597" s="3" t="n">
        <v>14.754277</v>
      </c>
      <c r="O2597" s="3" t="n">
        <v>14.297122</v>
      </c>
      <c r="P2597" s="3" t="n">
        <v>11.256759</v>
      </c>
      <c r="Q2597" s="3" t="n">
        <v>12.977666</v>
      </c>
      <c r="R2597" s="3" t="n">
        <v>18.096617</v>
      </c>
      <c r="S2597" s="3" t="n">
        <v>35.559057</v>
      </c>
      <c r="T2597" s="3" t="n">
        <v>36.522345</v>
      </c>
      <c r="U2597" s="3" t="n">
        <v>36.906643</v>
      </c>
      <c r="V2597" s="3" t="n">
        <v>16.909571</v>
      </c>
      <c r="W2597" s="3" t="n">
        <v>17.750254</v>
      </c>
      <c r="X2597" s="3" t="n">
        <v>32.351626</v>
      </c>
      <c r="Y2597" s="3" t="n">
        <v>63.292507</v>
      </c>
      <c r="Z2597" s="3" t="n">
        <v>50.994052</v>
      </c>
      <c r="AA2597" s="3" t="n">
        <v>163.258301</v>
      </c>
      <c r="AB2597" s="3" t="n">
        <v>359.092141</v>
      </c>
      <c r="AC2597" s="3" t="n">
        <v>138.808458</v>
      </c>
      <c r="AD2597" s="3" t="n">
        <v>77.248583</v>
      </c>
      <c r="AE2597" s="3" t="n">
        <v>185.681449</v>
      </c>
      <c r="AF2597" s="3" t="n">
        <v>100.221895</v>
      </c>
      <c r="AG2597" s="3" t="n">
        <v>75.08295</v>
      </c>
      <c r="AH2597" s="3" t="n">
        <v>44.605734</v>
      </c>
      <c r="AI2597" s="3" t="n">
        <v>27.576322</v>
      </c>
      <c r="AJ2597" s="3" t="n">
        <v>16.415013</v>
      </c>
      <c r="AK2597" s="3" t="n">
        <v>13.777691</v>
      </c>
      <c r="AL2597" s="3" t="n">
        <v>12.487233</v>
      </c>
      <c r="AM2597" s="3" t="n"/>
      <c r="AN2597" s="3" t="n"/>
      <c r="AO2597" s="3" t="n"/>
      <c r="AP2597" s="3" t="n"/>
      <c r="AQ2597" s="3" t="n"/>
      <c r="AR2597" s="3" t="n"/>
      <c r="AS2597" s="3" t="n"/>
      <c r="AT2597" s="3" t="n"/>
      <c r="AU2597" s="3" t="n"/>
    </row>
    <row r="2598">
      <c r="A2598" s="3" t="n">
        <v>2031</v>
      </c>
      <c r="B2598" s="3" t="inlineStr">
        <is>
          <t>SDN</t>
        </is>
      </c>
      <c r="C2598" s="3" t="inlineStr">
        <is>
          <t>IMF.RES:WEO</t>
        </is>
      </c>
      <c r="D2598" s="3" t="inlineStr">
        <is>
          <t>SDN.PPPPC.A</t>
        </is>
      </c>
      <c r="E2598" s="3" t="inlineStr">
        <is>
          <t>Sudan</t>
        </is>
      </c>
      <c r="F2598" s="3" t="inlineStr">
        <is>
          <t>Gross domestic product (GDP), Per capita, purchasing power parity (PPP) international dollar, ICP benchmarks 2017-2021</t>
        </is>
      </c>
      <c r="G2598" s="3" t="n">
        <v>2794.278587</v>
      </c>
      <c r="H2598" s="3" t="n">
        <v>3088.257309</v>
      </c>
      <c r="I2598" s="3" t="n">
        <v>3241.297496</v>
      </c>
      <c r="J2598" s="3" t="n">
        <v>3419.048646</v>
      </c>
      <c r="K2598" s="3" t="n">
        <v>3597.764125</v>
      </c>
      <c r="L2598" s="3" t="n">
        <v>3828.399858</v>
      </c>
      <c r="M2598" s="3" t="n">
        <v>4097.683197</v>
      </c>
      <c r="N2598" s="3" t="n">
        <v>4337.295791</v>
      </c>
      <c r="O2598" s="3" t="n">
        <v>4474.569935</v>
      </c>
      <c r="P2598" s="3" t="n">
        <v>4266.627518</v>
      </c>
      <c r="Q2598" s="3" t="n">
        <v>4371.443024</v>
      </c>
      <c r="R2598" s="3" t="n">
        <v>5306.242784</v>
      </c>
      <c r="S2598" s="3" t="n">
        <v>4179.546791</v>
      </c>
      <c r="T2598" s="3" t="n">
        <v>4200.980766</v>
      </c>
      <c r="U2598" s="3" t="n">
        <v>4338.349464</v>
      </c>
      <c r="V2598" s="3" t="n">
        <v>4456.487112</v>
      </c>
      <c r="W2598" s="3" t="n">
        <v>4571.885477</v>
      </c>
      <c r="X2598" s="3" t="n">
        <v>4553.347493</v>
      </c>
      <c r="Y2598" s="3" t="n">
        <v>4580.247804</v>
      </c>
      <c r="Z2598" s="3" t="n">
        <v>4247.575346</v>
      </c>
      <c r="AA2598" s="3" t="n">
        <v>4451.502011</v>
      </c>
      <c r="AB2598" s="3" t="n">
        <v>3759.403513</v>
      </c>
      <c r="AC2598" s="3" t="n">
        <v>3826.625887</v>
      </c>
      <c r="AD2598" s="3" t="n">
        <v>3064.929379</v>
      </c>
      <c r="AE2598" s="3" t="n">
        <v>2346.185605</v>
      </c>
      <c r="AF2598" s="3" t="n">
        <v>2427.433996</v>
      </c>
      <c r="AG2598" s="3" t="n">
        <v>2451.064368</v>
      </c>
      <c r="AH2598" s="3" t="n">
        <v>2639.79074</v>
      </c>
      <c r="AI2598" s="3" t="n">
        <v>2951.106041</v>
      </c>
      <c r="AJ2598" s="3" t="n">
        <v>3171.634074</v>
      </c>
      <c r="AK2598" s="3" t="n">
        <v>3336.970118</v>
      </c>
      <c r="AL2598" s="3" t="n">
        <v>3460.34071</v>
      </c>
      <c r="AM2598" s="3" t="n"/>
      <c r="AN2598" s="3" t="n"/>
      <c r="AO2598" s="3" t="n"/>
      <c r="AP2598" s="3" t="n"/>
      <c r="AQ2598" s="3" t="n"/>
      <c r="AR2598" s="3" t="n"/>
      <c r="AS2598" s="3" t="n"/>
      <c r="AT2598" s="3" t="n"/>
      <c r="AU2598" s="3" t="n"/>
    </row>
    <row r="2599">
      <c r="A2599" s="3" t="n">
        <v>2025</v>
      </c>
      <c r="B2599" s="3" t="inlineStr">
        <is>
          <t>SDN</t>
        </is>
      </c>
      <c r="C2599" s="3" t="inlineStr">
        <is>
          <t>IMF.STA:ER</t>
        </is>
      </c>
      <c r="D2599" s="3" t="inlineStr">
        <is>
          <t>SDN.XDC_USD.PA_RT.A</t>
        </is>
      </c>
      <c r="E2599" s="3" t="inlineStr">
        <is>
          <t>Sudan</t>
        </is>
      </c>
      <c r="F2599" s="3" t="inlineStr">
        <is>
          <t>Domestic currency per US Dollar</t>
        </is>
      </c>
      <c r="G2599" s="3" t="n">
        <v>2.571225</v>
      </c>
      <c r="H2599" s="3" t="n">
        <v>2.58702104166667</v>
      </c>
      <c r="I2599" s="3" t="n">
        <v>2.63305833333333</v>
      </c>
      <c r="J2599" s="3" t="n">
        <v>2.60983433333333</v>
      </c>
      <c r="K2599" s="3" t="n">
        <v>2.57905</v>
      </c>
      <c r="L2599" s="3" t="n">
        <v>2.43605833333333</v>
      </c>
      <c r="M2599" s="3" t="n">
        <v>2.17153333333333</v>
      </c>
      <c r="N2599" s="3" t="n">
        <v>2.0161</v>
      </c>
      <c r="O2599" s="3" t="n">
        <v>2.09016282876984</v>
      </c>
      <c r="P2599" s="3" t="n">
        <v>2.30153333333333</v>
      </c>
      <c r="Q2599" s="3" t="n">
        <v>2.30600092016667</v>
      </c>
      <c r="R2599" s="3" t="n">
        <v>2.66661962177469</v>
      </c>
      <c r="S2599" s="3" t="n">
        <v>3.57295833333333</v>
      </c>
      <c r="T2599" s="3" t="n">
        <v>4.75676054708821</v>
      </c>
      <c r="U2599" s="3" t="n">
        <v>5.73686666666667</v>
      </c>
      <c r="V2599" s="3" t="n">
        <v>6.02573259791667</v>
      </c>
      <c r="W2599" s="3" t="n">
        <v>6.21171364583333</v>
      </c>
      <c r="X2599" s="3" t="n">
        <v>6.68336</v>
      </c>
      <c r="Y2599" s="3" t="n">
        <v>24.3289109018116</v>
      </c>
      <c r="Z2599" s="3" t="n">
        <v>45.7670454545455</v>
      </c>
      <c r="AA2599" s="3" t="n">
        <v>53.9960119047619</v>
      </c>
      <c r="AB2599" s="3" t="n">
        <v>370.790583333333</v>
      </c>
      <c r="AC2599" s="3" t="n">
        <v>546.7588500000001</v>
      </c>
      <c r="AD2599" s="3" t="n">
        <v>546.7588500000001</v>
      </c>
      <c r="AE2599" s="3" t="n">
        <v>546.7588500000001</v>
      </c>
      <c r="AF2599" s="3" t="n">
        <v>546.7588500000001</v>
      </c>
      <c r="AG2599" s="3" t="n"/>
      <c r="AH2599" s="3" t="n"/>
      <c r="AI2599" s="3" t="n"/>
      <c r="AJ2599" s="3" t="n"/>
      <c r="AK2599" s="3" t="n"/>
      <c r="AL2599" s="3" t="n"/>
      <c r="AM2599" s="3" t="n"/>
      <c r="AN2599" s="3" t="n"/>
      <c r="AO2599" s="3" t="n"/>
      <c r="AP2599" s="3" t="n"/>
      <c r="AQ2599" s="3" t="n"/>
      <c r="AR2599" s="3" t="n"/>
      <c r="AS2599" s="3" t="n"/>
      <c r="AT2599" s="3" t="n"/>
      <c r="AU2599" s="3" t="n"/>
    </row>
    <row r="2600">
      <c r="A2600" s="3" t="n">
        <v>2031</v>
      </c>
      <c r="B2600" s="3" t="inlineStr">
        <is>
          <t>SEN</t>
        </is>
      </c>
      <c r="C2600" s="3" t="inlineStr">
        <is>
          <t>IMF.RES:WEO</t>
        </is>
      </c>
      <c r="D2600" s="3" t="inlineStr">
        <is>
          <t>SEN.BCA.A</t>
        </is>
      </c>
      <c r="E2600" s="3" t="inlineStr">
        <is>
          <t>Senegal</t>
        </is>
      </c>
      <c r="F2600" s="3" t="inlineStr">
        <is>
          <t>Current account balance (credit less debit), US dollar</t>
        </is>
      </c>
      <c r="G2600" s="3" t="n">
        <v>-0.328011</v>
      </c>
      <c r="H2600" s="3" t="n">
        <v>-0.246003</v>
      </c>
      <c r="I2600" s="3" t="n">
        <v>-0.323401</v>
      </c>
      <c r="J2600" s="3" t="n">
        <v>-0.43748</v>
      </c>
      <c r="K2600" s="3" t="n">
        <v>-0.513418</v>
      </c>
      <c r="L2600" s="3" t="n">
        <v>-0.677823</v>
      </c>
      <c r="M2600" s="3" t="n">
        <v>-0.724214</v>
      </c>
      <c r="N2600" s="3" t="n">
        <v>-1.336734</v>
      </c>
      <c r="O2600" s="3" t="n">
        <v>-1.906253</v>
      </c>
      <c r="P2600" s="3" t="n">
        <v>-0.855996</v>
      </c>
      <c r="Q2600" s="3" t="n">
        <v>-0.5683</v>
      </c>
      <c r="R2600" s="3" t="n">
        <v>-1.158356</v>
      </c>
      <c r="S2600" s="3" t="n">
        <v>-1.547846</v>
      </c>
      <c r="T2600" s="3" t="n">
        <v>-1.563453</v>
      </c>
      <c r="U2600" s="3" t="n">
        <v>-1.38233</v>
      </c>
      <c r="V2600" s="3" t="n">
        <v>-1.015913</v>
      </c>
      <c r="W2600" s="3" t="n">
        <v>-0.797154</v>
      </c>
      <c r="X2600" s="3" t="n">
        <v>-1.527091</v>
      </c>
      <c r="Y2600" s="3" t="n">
        <v>-2.037109</v>
      </c>
      <c r="Z2600" s="3" t="n">
        <v>-1.853328</v>
      </c>
      <c r="AA2600" s="3" t="n">
        <v>-2.916429</v>
      </c>
      <c r="AB2600" s="3" t="n">
        <v>-3.32894</v>
      </c>
      <c r="AC2600" s="3" t="n">
        <v>-5.554103</v>
      </c>
      <c r="AD2600" s="3" t="n">
        <v>-6.072549</v>
      </c>
      <c r="AE2600" s="3" t="n">
        <v>-3.702651</v>
      </c>
      <c r="AF2600" s="3" t="n">
        <v>-2.075797</v>
      </c>
      <c r="AG2600" s="3" t="n">
        <v>-2.515104</v>
      </c>
      <c r="AH2600" s="3" t="n">
        <v>-2.444869</v>
      </c>
      <c r="AI2600" s="3" t="n">
        <v>-2.515025</v>
      </c>
      <c r="AJ2600" s="3" t="n">
        <v>-2.607201</v>
      </c>
      <c r="AK2600" s="3" t="n">
        <v>-2.690596</v>
      </c>
      <c r="AL2600" s="3" t="n">
        <v>-2.80239</v>
      </c>
      <c r="AM2600" s="3" t="n"/>
      <c r="AN2600" s="3" t="n"/>
      <c r="AO2600" s="3" t="n"/>
      <c r="AP2600" s="3" t="n"/>
      <c r="AQ2600" s="3" t="n"/>
      <c r="AR2600" s="3" t="n"/>
      <c r="AS2600" s="3" t="n"/>
      <c r="AT2600" s="3" t="n"/>
      <c r="AU2600" s="3" t="n"/>
    </row>
    <row r="2601">
      <c r="A2601" s="3" t="n">
        <v>2031</v>
      </c>
      <c r="B2601" s="3" t="inlineStr">
        <is>
          <t>SEN</t>
        </is>
      </c>
      <c r="C2601" s="3" t="inlineStr">
        <is>
          <t>IMF.RES:WEO</t>
        </is>
      </c>
      <c r="D2601" s="3" t="inlineStr">
        <is>
          <t>SEN.BCA_NGDPD.A</t>
        </is>
      </c>
      <c r="E2601" s="3" t="inlineStr">
        <is>
          <t>Senegal</t>
        </is>
      </c>
      <c r="F2601" s="3" t="inlineStr">
        <is>
          <t>Current account balance (credit less debit), Percent of GDP</t>
        </is>
      </c>
      <c r="G2601" s="3" t="n">
        <v>-5.452446</v>
      </c>
      <c r="H2601" s="3" t="n">
        <v>-3.780079</v>
      </c>
      <c r="I2601" s="3" t="n">
        <v>-4.619057</v>
      </c>
      <c r="J2601" s="3" t="n">
        <v>-4.990346</v>
      </c>
      <c r="K2601" s="3" t="n">
        <v>-5.097355</v>
      </c>
      <c r="L2601" s="3" t="n">
        <v>-6.153568</v>
      </c>
      <c r="M2601" s="3" t="n">
        <v>-6.190638</v>
      </c>
      <c r="N2601" s="3" t="n">
        <v>-9.550919</v>
      </c>
      <c r="O2601" s="3" t="n">
        <v>-11.311635</v>
      </c>
      <c r="P2601" s="3" t="n">
        <v>-5.307406</v>
      </c>
      <c r="Q2601" s="3" t="n">
        <v>-3.522268</v>
      </c>
      <c r="R2601" s="3" t="n">
        <v>-6.503546</v>
      </c>
      <c r="S2601" s="3" t="n">
        <v>-8.758724000000001</v>
      </c>
      <c r="T2601" s="3" t="n">
        <v>-8.263954</v>
      </c>
      <c r="U2601" s="3" t="n">
        <v>-6.980634</v>
      </c>
      <c r="V2601" s="3" t="n">
        <v>-5.7149</v>
      </c>
      <c r="W2601" s="3" t="n">
        <v>-4.18782</v>
      </c>
      <c r="X2601" s="3" t="n">
        <v>-7.27562</v>
      </c>
      <c r="Y2601" s="3" t="n">
        <v>-8.808287</v>
      </c>
      <c r="Z2601" s="3" t="n">
        <v>-7.918519</v>
      </c>
      <c r="AA2601" s="3" t="n">
        <v>-11.871812</v>
      </c>
      <c r="AB2601" s="3" t="n">
        <v>-12.08974</v>
      </c>
      <c r="AC2601" s="3" t="n">
        <v>-19.947925</v>
      </c>
      <c r="AD2601" s="3" t="n">
        <v>-19.779729</v>
      </c>
      <c r="AE2601" s="3" t="n">
        <v>-11.278523</v>
      </c>
      <c r="AF2601" s="3" t="n">
        <v>-5.592655</v>
      </c>
      <c r="AG2601" s="3" t="n">
        <v>-6.214867</v>
      </c>
      <c r="AH2601" s="3" t="n">
        <v>-5.798289</v>
      </c>
      <c r="AI2601" s="3" t="n">
        <v>-5.691943</v>
      </c>
      <c r="AJ2601" s="3" t="n">
        <v>-5.624742</v>
      </c>
      <c r="AK2601" s="3" t="n">
        <v>-5.45624</v>
      </c>
      <c r="AL2601" s="3" t="n">
        <v>-5.326733</v>
      </c>
      <c r="AM2601" s="3" t="n"/>
      <c r="AN2601" s="3" t="n"/>
      <c r="AO2601" s="3" t="n"/>
      <c r="AP2601" s="3" t="n"/>
      <c r="AQ2601" s="3" t="n"/>
      <c r="AR2601" s="3" t="n"/>
      <c r="AS2601" s="3" t="n"/>
      <c r="AT2601" s="3" t="n"/>
      <c r="AU2601" s="3" t="n"/>
    </row>
    <row r="2602">
      <c r="A2602" s="3" t="n">
        <v>2031</v>
      </c>
      <c r="B2602" s="3" t="inlineStr">
        <is>
          <t>SEN</t>
        </is>
      </c>
      <c r="C2602" s="3" t="inlineStr">
        <is>
          <t>IMF.RES:WEO</t>
        </is>
      </c>
      <c r="D2602" s="3" t="inlineStr">
        <is>
          <t>SEN.GGR_NGDP.A</t>
        </is>
      </c>
      <c r="E2602" s="3" t="inlineStr">
        <is>
          <t>Senegal</t>
        </is>
      </c>
      <c r="F2602" s="3" t="inlineStr">
        <is>
          <t>Revenue, General government, Percent of GDP</t>
        </is>
      </c>
      <c r="G2602" s="3" t="n">
        <v>14.763458</v>
      </c>
      <c r="H2602" s="3" t="n">
        <v>14.27098</v>
      </c>
      <c r="I2602" s="3" t="n">
        <v>15.705787</v>
      </c>
      <c r="J2602" s="3" t="n">
        <v>16.553777</v>
      </c>
      <c r="K2602" s="3" t="n">
        <v>18.329326</v>
      </c>
      <c r="L2602" s="3" t="n">
        <v>18.40599</v>
      </c>
      <c r="M2602" s="3" t="n">
        <v>17.618369</v>
      </c>
      <c r="N2602" s="3" t="n">
        <v>19.374137</v>
      </c>
      <c r="O2602" s="3" t="n">
        <v>17.407488</v>
      </c>
      <c r="P2602" s="3" t="n">
        <v>17.455768</v>
      </c>
      <c r="Q2602" s="3" t="n">
        <v>17.761027</v>
      </c>
      <c r="R2602" s="3" t="n">
        <v>18.326992</v>
      </c>
      <c r="S2602" s="3" t="n">
        <v>18.787008</v>
      </c>
      <c r="T2602" s="3" t="n">
        <v>17.754855</v>
      </c>
      <c r="U2602" s="3" t="n">
        <v>19.203591</v>
      </c>
      <c r="V2602" s="3" t="n">
        <v>19.283508</v>
      </c>
      <c r="W2602" s="3" t="n">
        <v>20.690987</v>
      </c>
      <c r="X2602" s="3" t="n">
        <v>19.49499</v>
      </c>
      <c r="Y2602" s="3" t="n">
        <v>18.889664</v>
      </c>
      <c r="Z2602" s="3" t="n">
        <v>20.337618</v>
      </c>
      <c r="AA2602" s="3" t="n">
        <v>19.971229</v>
      </c>
      <c r="AB2602" s="3" t="n">
        <v>19.95421</v>
      </c>
      <c r="AC2602" s="3" t="n">
        <v>20.016524</v>
      </c>
      <c r="AD2602" s="3" t="n">
        <v>20.729651</v>
      </c>
      <c r="AE2602" s="3" t="n">
        <v>20.125106</v>
      </c>
      <c r="AF2602" s="3" t="n">
        <v>21.270453</v>
      </c>
      <c r="AG2602" s="3" t="n">
        <v>22.381348</v>
      </c>
      <c r="AH2602" s="3" t="n">
        <v>22.63724</v>
      </c>
      <c r="AI2602" s="3" t="n">
        <v>23.148449</v>
      </c>
      <c r="AJ2602" s="3" t="n">
        <v>23.417986</v>
      </c>
      <c r="AK2602" s="3" t="n">
        <v>23.41449</v>
      </c>
      <c r="AL2602" s="3" t="n">
        <v>23.455367</v>
      </c>
      <c r="AM2602" s="3" t="n"/>
      <c r="AN2602" s="3" t="n"/>
      <c r="AO2602" s="3" t="n"/>
      <c r="AP2602" s="3" t="n"/>
      <c r="AQ2602" s="3" t="n"/>
      <c r="AR2602" s="3" t="n"/>
      <c r="AS2602" s="3" t="n"/>
      <c r="AT2602" s="3" t="n"/>
      <c r="AU2602" s="3" t="n"/>
    </row>
    <row r="2603">
      <c r="A2603" s="3" t="n">
        <v>2031</v>
      </c>
      <c r="B2603" s="3" t="inlineStr">
        <is>
          <t>SEN</t>
        </is>
      </c>
      <c r="C2603" s="3" t="inlineStr">
        <is>
          <t>IMF.RES:WEO</t>
        </is>
      </c>
      <c r="D2603" s="3" t="inlineStr">
        <is>
          <t>SEN.GGX_NGDP.A</t>
        </is>
      </c>
      <c r="E2603" s="3" t="inlineStr">
        <is>
          <t>Senegal</t>
        </is>
      </c>
      <c r="F2603" s="3" t="inlineStr">
        <is>
          <t>Expenditure, General government, Percent of GDP</t>
        </is>
      </c>
      <c r="G2603" s="3" t="n">
        <v>13.981603</v>
      </c>
      <c r="H2603" s="3" t="n">
        <v>15.712345</v>
      </c>
      <c r="I2603" s="3" t="n">
        <v>15.515076</v>
      </c>
      <c r="J2603" s="3" t="n">
        <v>17.069951</v>
      </c>
      <c r="K2603" s="3" t="n">
        <v>18.144904</v>
      </c>
      <c r="L2603" s="3" t="n">
        <v>18.669022</v>
      </c>
      <c r="M2603" s="3" t="n">
        <v>21.283551</v>
      </c>
      <c r="N2603" s="3" t="n">
        <v>22.171958</v>
      </c>
      <c r="O2603" s="3" t="n">
        <v>20.938587</v>
      </c>
      <c r="P2603" s="3" t="n">
        <v>21.118597</v>
      </c>
      <c r="Q2603" s="3" t="n">
        <v>21.698691</v>
      </c>
      <c r="R2603" s="3" t="n">
        <v>23.251461</v>
      </c>
      <c r="S2603" s="3" t="n">
        <v>22.971517</v>
      </c>
      <c r="T2603" s="3" t="n">
        <v>22.090294</v>
      </c>
      <c r="U2603" s="3" t="n">
        <v>23.099865</v>
      </c>
      <c r="V2603" s="3" t="n">
        <v>22.946906</v>
      </c>
      <c r="W2603" s="3" t="n">
        <v>23.963092</v>
      </c>
      <c r="X2603" s="3" t="n">
        <v>22.463022</v>
      </c>
      <c r="Y2603" s="3" t="n">
        <v>22.55235</v>
      </c>
      <c r="Z2603" s="3" t="n">
        <v>34.269559</v>
      </c>
      <c r="AA2603" s="3" t="n">
        <v>29.593873</v>
      </c>
      <c r="AB2603" s="3" t="n">
        <v>33.651437</v>
      </c>
      <c r="AC2603" s="3" t="n">
        <v>36.092586</v>
      </c>
      <c r="AD2603" s="3" t="n">
        <v>35.495301</v>
      </c>
      <c r="AE2603" s="3" t="n">
        <v>33.535635</v>
      </c>
      <c r="AF2603" s="3" t="n">
        <v>29.170453</v>
      </c>
      <c r="AG2603" s="3" t="n">
        <v>29.081255</v>
      </c>
      <c r="AH2603" s="3" t="n">
        <v>28.339348</v>
      </c>
      <c r="AI2603" s="3" t="n">
        <v>27.148449</v>
      </c>
      <c r="AJ2603" s="3" t="n">
        <v>26.417986</v>
      </c>
      <c r="AK2603" s="3" t="n">
        <v>26.41449</v>
      </c>
      <c r="AL2603" s="3" t="n">
        <v>26.455367</v>
      </c>
      <c r="AM2603" s="3" t="n"/>
      <c r="AN2603" s="3" t="n"/>
      <c r="AO2603" s="3" t="n"/>
      <c r="AP2603" s="3" t="n"/>
      <c r="AQ2603" s="3" t="n"/>
      <c r="AR2603" s="3" t="n"/>
      <c r="AS2603" s="3" t="n"/>
      <c r="AT2603" s="3" t="n"/>
      <c r="AU2603" s="3" t="n"/>
    </row>
    <row r="2604">
      <c r="A2604" s="3" t="n">
        <v>2031</v>
      </c>
      <c r="B2604" s="3" t="inlineStr">
        <is>
          <t>SEN</t>
        </is>
      </c>
      <c r="C2604" s="3" t="inlineStr">
        <is>
          <t>IMF.RES:WEO</t>
        </is>
      </c>
      <c r="D2604" s="3" t="inlineStr">
        <is>
          <t>SEN.LP.A</t>
        </is>
      </c>
      <c r="E2604" s="3" t="inlineStr">
        <is>
          <t>Senegal</t>
        </is>
      </c>
      <c r="F2604" s="3" t="inlineStr">
        <is>
          <t>Population, Persons for countries / Index for country groups</t>
        </is>
      </c>
      <c r="G2604" s="3" t="n">
        <v>9.797731000000001</v>
      </c>
      <c r="H2604" s="3" t="n">
        <v>10.036102</v>
      </c>
      <c r="I2604" s="3" t="n">
        <v>10.283694</v>
      </c>
      <c r="J2604" s="3" t="n">
        <v>10.54147</v>
      </c>
      <c r="K2604" s="3" t="n">
        <v>10.810086</v>
      </c>
      <c r="L2604" s="3" t="n">
        <v>11.090123</v>
      </c>
      <c r="M2604" s="3" t="n">
        <v>11.382272</v>
      </c>
      <c r="N2604" s="3" t="n">
        <v>11.687078</v>
      </c>
      <c r="O2604" s="3" t="n">
        <v>12.0047</v>
      </c>
      <c r="P2604" s="3" t="n">
        <v>12.335092</v>
      </c>
      <c r="Q2604" s="3" t="n">
        <v>12.678143</v>
      </c>
      <c r="R2604" s="3" t="n">
        <v>13.033814</v>
      </c>
      <c r="S2604" s="3" t="n">
        <v>13.40199</v>
      </c>
      <c r="T2604" s="3" t="n">
        <v>13.782429</v>
      </c>
      <c r="U2604" s="3" t="n">
        <v>14.17474</v>
      </c>
      <c r="V2604" s="3" t="n">
        <v>14.57845</v>
      </c>
      <c r="W2604" s="3" t="n">
        <v>14.993514</v>
      </c>
      <c r="X2604" s="3" t="n">
        <v>15.419354</v>
      </c>
      <c r="Y2604" s="3" t="n">
        <v>15.854324</v>
      </c>
      <c r="Z2604" s="3" t="n">
        <v>16.296362</v>
      </c>
      <c r="AA2604" s="3" t="n">
        <v>16.74393</v>
      </c>
      <c r="AB2604" s="3" t="n">
        <v>17.20379</v>
      </c>
      <c r="AC2604" s="3" t="n">
        <v>17.67628</v>
      </c>
      <c r="AD2604" s="3" t="n">
        <v>18.161746</v>
      </c>
      <c r="AE2604" s="3" t="n">
        <v>18.660546</v>
      </c>
      <c r="AF2604" s="3" t="n">
        <v>19.173045</v>
      </c>
      <c r="AG2604" s="3" t="n">
        <v>19.699619</v>
      </c>
      <c r="AH2604" s="3" t="n">
        <v>20.240655</v>
      </c>
      <c r="AI2604" s="3" t="n">
        <v>20.79655</v>
      </c>
      <c r="AJ2604" s="3" t="n">
        <v>21.367712</v>
      </c>
      <c r="AK2604" s="3" t="n">
        <v>21.954561</v>
      </c>
      <c r="AL2604" s="3" t="n">
        <v>22.557528</v>
      </c>
      <c r="AM2604" s="3" t="n"/>
      <c r="AN2604" s="3" t="n"/>
      <c r="AO2604" s="3" t="n"/>
      <c r="AP2604" s="3" t="n"/>
      <c r="AQ2604" s="3" t="n"/>
      <c r="AR2604" s="3" t="n"/>
      <c r="AS2604" s="3" t="n"/>
      <c r="AT2604" s="3" t="n"/>
      <c r="AU2604" s="3" t="n"/>
    </row>
    <row r="2605">
      <c r="A2605" s="3" t="n">
        <v>2031</v>
      </c>
      <c r="B2605" s="3" t="inlineStr">
        <is>
          <t>SEN</t>
        </is>
      </c>
      <c r="C2605" s="3" t="inlineStr">
        <is>
          <t>IMF.RES:WEO</t>
        </is>
      </c>
      <c r="D2605" s="3" t="inlineStr">
        <is>
          <t>SEN.NGDP.A</t>
        </is>
      </c>
      <c r="E2605" s="3" t="inlineStr">
        <is>
          <t>Senegal</t>
        </is>
      </c>
      <c r="F2605" s="3" t="inlineStr">
        <is>
          <t>Gross domestic product (GDP), Current prices, Domestic currency</t>
        </is>
      </c>
      <c r="G2605" s="3" t="n">
        <v>4270.611957</v>
      </c>
      <c r="H2605" s="3" t="n">
        <v>4766.315891</v>
      </c>
      <c r="I2605" s="3" t="n">
        <v>4860.433963</v>
      </c>
      <c r="J2605" s="3" t="n">
        <v>5084.959064</v>
      </c>
      <c r="K2605" s="3" t="n">
        <v>5313.88867</v>
      </c>
      <c r="L2605" s="3" t="n">
        <v>5804.604949</v>
      </c>
      <c r="M2605" s="3" t="n">
        <v>6111.292249</v>
      </c>
      <c r="N2605" s="3" t="n">
        <v>6698.10479</v>
      </c>
      <c r="O2605" s="3" t="n">
        <v>7516.880065</v>
      </c>
      <c r="P2605" s="3" t="n">
        <v>7593.295292</v>
      </c>
      <c r="Q2605" s="3" t="n">
        <v>7976.734608</v>
      </c>
      <c r="R2605" s="3" t="n">
        <v>8394.956688</v>
      </c>
      <c r="S2605" s="3" t="n">
        <v>9016.869323000001</v>
      </c>
      <c r="T2605" s="3" t="n">
        <v>9343.922876000001</v>
      </c>
      <c r="U2605" s="3" t="n">
        <v>9775.039000000001</v>
      </c>
      <c r="V2605" s="3" t="n">
        <v>10508.65</v>
      </c>
      <c r="W2605" s="3" t="n">
        <v>11283.396</v>
      </c>
      <c r="X2605" s="3" t="n">
        <v>12191.796</v>
      </c>
      <c r="Y2605" s="3" t="n">
        <v>12840.09</v>
      </c>
      <c r="Z2605" s="3" t="n">
        <v>13712.659</v>
      </c>
      <c r="AA2605" s="3" t="n">
        <v>14119.42</v>
      </c>
      <c r="AB2605" s="3" t="n">
        <v>15261.119</v>
      </c>
      <c r="AC2605" s="3" t="n">
        <v>17330.123</v>
      </c>
      <c r="AD2605" s="3" t="n">
        <v>18619.466</v>
      </c>
      <c r="AE2605" s="3" t="n">
        <v>19901.541825</v>
      </c>
      <c r="AF2605" s="3" t="n">
        <v>21558.398636</v>
      </c>
      <c r="AG2605" s="3" t="n">
        <v>22511.530663</v>
      </c>
      <c r="AH2605" s="3" t="n">
        <v>23509.180784</v>
      </c>
      <c r="AI2605" s="3" t="n">
        <v>24702.407172</v>
      </c>
      <c r="AJ2605" s="3" t="n">
        <v>25927.442946</v>
      </c>
      <c r="AK2605" s="3" t="n">
        <v>27587.402393</v>
      </c>
      <c r="AL2605" s="3" t="n">
        <v>29437.098416</v>
      </c>
      <c r="AM2605" s="3" t="n"/>
      <c r="AN2605" s="3" t="n"/>
      <c r="AO2605" s="3" t="n"/>
      <c r="AP2605" s="3" t="n"/>
      <c r="AQ2605" s="3" t="n"/>
      <c r="AR2605" s="3" t="n"/>
      <c r="AS2605" s="3" t="n"/>
      <c r="AT2605" s="3" t="n"/>
      <c r="AU2605" s="3" t="n"/>
    </row>
    <row r="2606">
      <c r="A2606" s="3" t="n">
        <v>2031</v>
      </c>
      <c r="B2606" s="3" t="inlineStr">
        <is>
          <t>SEN</t>
        </is>
      </c>
      <c r="C2606" s="3" t="inlineStr">
        <is>
          <t>IMF.RES:WEO</t>
        </is>
      </c>
      <c r="D2606" s="3" t="inlineStr">
        <is>
          <t>SEN.NGDP_D.A</t>
        </is>
      </c>
      <c r="E2606" s="3" t="inlineStr">
        <is>
          <t>Senegal</t>
        </is>
      </c>
      <c r="F2606" s="3" t="inlineStr">
        <is>
          <t>Gross domestic product (GDP), Price deflator, Index</t>
        </is>
      </c>
      <c r="G2606" s="3" t="n">
        <v>69.860635</v>
      </c>
      <c r="H2606" s="3" t="n">
        <v>74.74734100000001</v>
      </c>
      <c r="I2606" s="3" t="n">
        <v>76.171013</v>
      </c>
      <c r="J2606" s="3" t="n">
        <v>75.468046</v>
      </c>
      <c r="K2606" s="3" t="n">
        <v>75.366213</v>
      </c>
      <c r="L2606" s="3" t="n">
        <v>78.92416</v>
      </c>
      <c r="M2606" s="3" t="n">
        <v>81.201511</v>
      </c>
      <c r="N2606" s="3" t="n">
        <v>86.55164499999999</v>
      </c>
      <c r="O2606" s="3" t="n">
        <v>93.66319799999999</v>
      </c>
      <c r="P2606" s="3" t="n">
        <v>92.08119000000001</v>
      </c>
      <c r="Q2606" s="3" t="n">
        <v>93.558555</v>
      </c>
      <c r="R2606" s="3" t="n">
        <v>97.16754899999999</v>
      </c>
      <c r="S2606" s="3" t="n">
        <v>100.348923</v>
      </c>
      <c r="T2606" s="3" t="n">
        <v>101.539192</v>
      </c>
      <c r="U2606" s="3" t="n">
        <v>100</v>
      </c>
      <c r="V2606" s="3" t="n">
        <v>101.069785</v>
      </c>
      <c r="W2606" s="3" t="n">
        <v>102.035658</v>
      </c>
      <c r="X2606" s="3" t="n">
        <v>102.646766</v>
      </c>
      <c r="Y2606" s="3" t="n">
        <v>101.784898</v>
      </c>
      <c r="Z2606" s="3" t="n">
        <v>103.90793</v>
      </c>
      <c r="AA2606" s="3" t="n">
        <v>105.573297</v>
      </c>
      <c r="AB2606" s="3" t="n">
        <v>107.101266</v>
      </c>
      <c r="AC2606" s="3" t="n">
        <v>117.112045</v>
      </c>
      <c r="AD2606" s="3" t="n">
        <v>120.686897</v>
      </c>
      <c r="AE2606" s="3" t="n">
        <v>121.531705</v>
      </c>
      <c r="AF2606" s="3" t="n">
        <v>122.032482</v>
      </c>
      <c r="AG2606" s="3" t="n">
        <v>124.717196</v>
      </c>
      <c r="AH2606" s="3" t="n">
        <v>127.336257</v>
      </c>
      <c r="AI2606" s="3" t="n">
        <v>129.882982</v>
      </c>
      <c r="AJ2606" s="3" t="n">
        <v>132.480642</v>
      </c>
      <c r="AK2606" s="3" t="n">
        <v>135.191543</v>
      </c>
      <c r="AL2606" s="3" t="n">
        <v>137.926889</v>
      </c>
      <c r="AM2606" s="3" t="n"/>
      <c r="AN2606" s="3" t="n"/>
      <c r="AO2606" s="3" t="n"/>
      <c r="AP2606" s="3" t="n"/>
      <c r="AQ2606" s="3" t="n"/>
      <c r="AR2606" s="3" t="n"/>
      <c r="AS2606" s="3" t="n"/>
      <c r="AT2606" s="3" t="n"/>
      <c r="AU2606" s="3" t="n"/>
    </row>
    <row r="2607">
      <c r="A2607" s="3" t="n">
        <v>2031</v>
      </c>
      <c r="B2607" s="3" t="inlineStr">
        <is>
          <t>SEN</t>
        </is>
      </c>
      <c r="C2607" s="3" t="inlineStr">
        <is>
          <t>IMF.RES:WEO</t>
        </is>
      </c>
      <c r="D2607" s="3" t="inlineStr">
        <is>
          <t>SEN.NGDP_R.A</t>
        </is>
      </c>
      <c r="E2607" s="3" t="inlineStr">
        <is>
          <t>Senegal</t>
        </is>
      </c>
      <c r="F2607" s="3" t="inlineStr">
        <is>
          <t>Gross domestic product (GDP), Constant prices, Domestic currency</t>
        </is>
      </c>
      <c r="G2607" s="3" t="n">
        <v>6113.044877</v>
      </c>
      <c r="H2607" s="3" t="n">
        <v>6376.569162</v>
      </c>
      <c r="I2607" s="3" t="n">
        <v>6380.949646</v>
      </c>
      <c r="J2607" s="3" t="n">
        <v>6737.896839</v>
      </c>
      <c r="K2607" s="3" t="n">
        <v>7050.757194</v>
      </c>
      <c r="L2607" s="3" t="n">
        <v>7354.661647</v>
      </c>
      <c r="M2607" s="3" t="n">
        <v>7526.081967</v>
      </c>
      <c r="N2607" s="3" t="n">
        <v>7738.853275</v>
      </c>
      <c r="O2607" s="3" t="n">
        <v>8025.436096</v>
      </c>
      <c r="P2607" s="3" t="n">
        <v>8246.304483</v>
      </c>
      <c r="Q2607" s="3" t="n">
        <v>8525.927535000001</v>
      </c>
      <c r="R2607" s="3" t="n">
        <v>8639.671173999999</v>
      </c>
      <c r="S2607" s="3" t="n">
        <v>8985.516825999999</v>
      </c>
      <c r="T2607" s="3" t="n">
        <v>9202.282111</v>
      </c>
      <c r="U2607" s="3" t="n">
        <v>9775.039000000001</v>
      </c>
      <c r="V2607" s="3" t="n">
        <v>10397.42</v>
      </c>
      <c r="W2607" s="3" t="n">
        <v>11058.287145</v>
      </c>
      <c r="X2607" s="3" t="n">
        <v>11877.428238</v>
      </c>
      <c r="Y2607" s="3" t="n">
        <v>12614.926385</v>
      </c>
      <c r="Z2607" s="3" t="n">
        <v>13196.932174</v>
      </c>
      <c r="AA2607" s="3" t="n">
        <v>13374.044739</v>
      </c>
      <c r="AB2607" s="3" t="n">
        <v>14249.242374</v>
      </c>
      <c r="AC2607" s="3" t="n">
        <v>14797.899753</v>
      </c>
      <c r="AD2607" s="3" t="n">
        <v>15427.9101</v>
      </c>
      <c r="AE2607" s="3" t="n">
        <v>16375.596597</v>
      </c>
      <c r="AF2607" s="3" t="n">
        <v>17666.11508</v>
      </c>
      <c r="AG2607" s="3" t="n">
        <v>18050.061539</v>
      </c>
      <c r="AH2607" s="3" t="n">
        <v>18462.283468</v>
      </c>
      <c r="AI2607" s="3" t="n">
        <v>19018.97131</v>
      </c>
      <c r="AJ2607" s="3" t="n">
        <v>19570.7407</v>
      </c>
      <c r="AK2607" s="3" t="n">
        <v>20406.159859</v>
      </c>
      <c r="AL2607" s="3" t="n">
        <v>21342.537775</v>
      </c>
      <c r="AM2607" s="3" t="n"/>
      <c r="AN2607" s="3" t="n"/>
      <c r="AO2607" s="3" t="n"/>
      <c r="AP2607" s="3" t="n"/>
      <c r="AQ2607" s="3" t="n"/>
      <c r="AR2607" s="3" t="n"/>
      <c r="AS2607" s="3" t="n"/>
      <c r="AT2607" s="3" t="n"/>
      <c r="AU2607" s="3" t="n"/>
    </row>
    <row r="2608">
      <c r="A2608" s="3" t="n">
        <v>2031</v>
      </c>
      <c r="B2608" s="3" t="inlineStr">
        <is>
          <t>SEN</t>
        </is>
      </c>
      <c r="C2608" s="3" t="inlineStr">
        <is>
          <t>IMF.RES:WEO</t>
        </is>
      </c>
      <c r="D2608" s="3" t="inlineStr">
        <is>
          <t>SEN.NGDP_RPCH.A</t>
        </is>
      </c>
      <c r="E2608" s="3" t="inlineStr">
        <is>
          <t>Senegal</t>
        </is>
      </c>
      <c r="F2608" s="3" t="inlineStr">
        <is>
          <t>Gross domestic product (GDP), Constant prices, Percent change</t>
        </is>
      </c>
      <c r="G2608" s="3" t="n">
        <v>3.887211</v>
      </c>
      <c r="H2608" s="3" t="n">
        <v>4.310851</v>
      </c>
      <c r="I2608" s="3" t="n">
        <v>0.06869699999999999</v>
      </c>
      <c r="J2608" s="3" t="n">
        <v>5.593951</v>
      </c>
      <c r="K2608" s="3" t="n">
        <v>4.643294</v>
      </c>
      <c r="L2608" s="3" t="n">
        <v>4.310239</v>
      </c>
      <c r="M2608" s="3" t="n">
        <v>2.330771</v>
      </c>
      <c r="N2608" s="3" t="n">
        <v>2.827119</v>
      </c>
      <c r="O2608" s="3" t="n">
        <v>3.703169</v>
      </c>
      <c r="P2608" s="3" t="n">
        <v>2.752104</v>
      </c>
      <c r="Q2608" s="3" t="n">
        <v>3.390889</v>
      </c>
      <c r="R2608" s="3" t="n">
        <v>1.334091</v>
      </c>
      <c r="S2608" s="3" t="n">
        <v>4.002996</v>
      </c>
      <c r="T2608" s="3" t="n">
        <v>2.412385</v>
      </c>
      <c r="U2608" s="3" t="n">
        <v>6.224074</v>
      </c>
      <c r="V2608" s="3" t="n">
        <v>6.367044</v>
      </c>
      <c r="W2608" s="3" t="n">
        <v>6.356069</v>
      </c>
      <c r="X2608" s="3" t="n">
        <v>7.407486</v>
      </c>
      <c r="Y2608" s="3" t="n">
        <v>6.209241</v>
      </c>
      <c r="Z2608" s="3" t="n">
        <v>4.613628</v>
      </c>
      <c r="AA2608" s="3" t="n">
        <v>1.342074</v>
      </c>
      <c r="AB2608" s="3" t="n">
        <v>6.544001</v>
      </c>
      <c r="AC2608" s="3" t="n">
        <v>3.850432</v>
      </c>
      <c r="AD2608" s="3" t="n">
        <v>4.257431</v>
      </c>
      <c r="AE2608" s="3" t="n">
        <v>6.142676</v>
      </c>
      <c r="AF2608" s="3" t="n">
        <v>7.880742</v>
      </c>
      <c r="AG2608" s="3" t="n">
        <v>2.17335</v>
      </c>
      <c r="AH2608" s="3" t="n">
        <v>2.28377</v>
      </c>
      <c r="AI2608" s="3" t="n">
        <v>3.015271</v>
      </c>
      <c r="AJ2608" s="3" t="n">
        <v>2.901153</v>
      </c>
      <c r="AK2608" s="3" t="n">
        <v>4.268715</v>
      </c>
      <c r="AL2608" s="3" t="n">
        <v>4.588702</v>
      </c>
      <c r="AM2608" s="3" t="n"/>
      <c r="AN2608" s="3" t="n"/>
      <c r="AO2608" s="3" t="n"/>
      <c r="AP2608" s="3" t="n"/>
      <c r="AQ2608" s="3" t="n"/>
      <c r="AR2608" s="3" t="n"/>
      <c r="AS2608" s="3" t="n"/>
      <c r="AT2608" s="3" t="n"/>
      <c r="AU2608" s="3" t="n"/>
    </row>
    <row r="2609">
      <c r="A2609" s="3" t="n">
        <v>2031</v>
      </c>
      <c r="B2609" s="3" t="inlineStr">
        <is>
          <t>SEN</t>
        </is>
      </c>
      <c r="C2609" s="3" t="inlineStr">
        <is>
          <t>IMF.RES:WEO</t>
        </is>
      </c>
      <c r="D2609" s="3" t="inlineStr">
        <is>
          <t>SEN.NGDPD.A</t>
        </is>
      </c>
      <c r="E2609" s="3" t="inlineStr">
        <is>
          <t>Senegal</t>
        </is>
      </c>
      <c r="F2609" s="3" t="inlineStr">
        <is>
          <t>Gross domestic product (GDP), Current prices, US dollar</t>
        </is>
      </c>
      <c r="G2609" s="3" t="n">
        <v>6.015842</v>
      </c>
      <c r="H2609" s="3" t="n">
        <v>6.507869</v>
      </c>
      <c r="I2609" s="3" t="n">
        <v>7.001451</v>
      </c>
      <c r="J2609" s="3" t="n">
        <v>8.766526000000001</v>
      </c>
      <c r="K2609" s="3" t="n">
        <v>10.072243</v>
      </c>
      <c r="L2609" s="3" t="n">
        <v>11.015119</v>
      </c>
      <c r="M2609" s="3" t="n">
        <v>11.698538</v>
      </c>
      <c r="N2609" s="3" t="n">
        <v>13.995868</v>
      </c>
      <c r="O2609" s="3" t="n">
        <v>16.852143</v>
      </c>
      <c r="P2609" s="3" t="n">
        <v>16.128336</v>
      </c>
      <c r="Q2609" s="3" t="n">
        <v>16.134483</v>
      </c>
      <c r="R2609" s="3" t="n">
        <v>17.811149</v>
      </c>
      <c r="S2609" s="3" t="n">
        <v>17.672054</v>
      </c>
      <c r="T2609" s="3" t="n">
        <v>18.918943</v>
      </c>
      <c r="U2609" s="3" t="n">
        <v>19.802356</v>
      </c>
      <c r="V2609" s="3" t="n">
        <v>17.776566</v>
      </c>
      <c r="W2609" s="3" t="n">
        <v>19.035058</v>
      </c>
      <c r="X2609" s="3" t="n">
        <v>20.989154</v>
      </c>
      <c r="Y2609" s="3" t="n">
        <v>23.127184</v>
      </c>
      <c r="Z2609" s="3" t="n">
        <v>23.404989</v>
      </c>
      <c r="AA2609" s="3" t="n">
        <v>24.565997</v>
      </c>
      <c r="AB2609" s="3" t="n">
        <v>27.53525</v>
      </c>
      <c r="AC2609" s="3" t="n">
        <v>27.843013</v>
      </c>
      <c r="AD2609" s="3" t="n">
        <v>30.700871</v>
      </c>
      <c r="AE2609" s="3" t="n">
        <v>32.829217</v>
      </c>
      <c r="AF2609" s="3" t="n">
        <v>37.116481</v>
      </c>
      <c r="AG2609" s="3" t="n">
        <v>40.469149</v>
      </c>
      <c r="AH2609" s="3" t="n">
        <v>42.165345</v>
      </c>
      <c r="AI2609" s="3" t="n">
        <v>44.185701</v>
      </c>
      <c r="AJ2609" s="3" t="n">
        <v>46.352365</v>
      </c>
      <c r="AK2609" s="3" t="n">
        <v>49.312278</v>
      </c>
      <c r="AL2609" s="3" t="n">
        <v>52.609929</v>
      </c>
      <c r="AM2609" s="3" t="n"/>
      <c r="AN2609" s="3" t="n"/>
      <c r="AO2609" s="3" t="n"/>
      <c r="AP2609" s="3" t="n"/>
      <c r="AQ2609" s="3" t="n"/>
      <c r="AR2609" s="3" t="n"/>
      <c r="AS2609" s="3" t="n"/>
      <c r="AT2609" s="3" t="n"/>
      <c r="AU2609" s="3" t="n"/>
    </row>
    <row r="2610">
      <c r="A2610" s="3" t="n">
        <v>2031</v>
      </c>
      <c r="B2610" s="3" t="inlineStr">
        <is>
          <t>SEN</t>
        </is>
      </c>
      <c r="C2610" s="3" t="inlineStr">
        <is>
          <t>IMF.RES:WEO</t>
        </is>
      </c>
      <c r="D2610" s="3" t="inlineStr">
        <is>
          <t>SEN.NGDPPC.A</t>
        </is>
      </c>
      <c r="E2610" s="3" t="inlineStr">
        <is>
          <t>Senegal</t>
        </is>
      </c>
      <c r="F2610" s="3" t="inlineStr">
        <is>
          <t>Gross domestic product (GDP), Current prices, Per capita, Domestic currency</t>
        </is>
      </c>
      <c r="G2610" s="3" t="n">
        <v>435877.649321</v>
      </c>
      <c r="H2610" s="3" t="n">
        <v>474917.043629</v>
      </c>
      <c r="I2610" s="3" t="n">
        <v>472635.024232</v>
      </c>
      <c r="J2610" s="3" t="n">
        <v>482376.657511</v>
      </c>
      <c r="K2610" s="3" t="n">
        <v>491567.659107</v>
      </c>
      <c r="L2610" s="3" t="n">
        <v>523403.117237</v>
      </c>
      <c r="M2610" s="3" t="n">
        <v>536913.214627</v>
      </c>
      <c r="N2610" s="3" t="n">
        <v>573120.568675</v>
      </c>
      <c r="O2610" s="3" t="n">
        <v>626161.425517</v>
      </c>
      <c r="P2610" s="3" t="n">
        <v>615584.812136</v>
      </c>
      <c r="Q2610" s="3" t="n">
        <v>629172.159337</v>
      </c>
      <c r="R2610" s="3" t="n">
        <v>644090.569976</v>
      </c>
      <c r="S2610" s="3" t="n">
        <v>672800.779822</v>
      </c>
      <c r="T2610" s="3" t="n">
        <v>677959.079337</v>
      </c>
      <c r="U2610" s="3" t="n">
        <v>689609.756511</v>
      </c>
      <c r="V2610" s="3" t="n">
        <v>720834.519445</v>
      </c>
      <c r="W2610" s="3" t="n">
        <v>752551.8034</v>
      </c>
      <c r="X2610" s="3" t="n">
        <v>790681.373552</v>
      </c>
      <c r="Y2610" s="3" t="n">
        <v>809879.374233</v>
      </c>
      <c r="Z2610" s="3" t="n">
        <v>841455.22786</v>
      </c>
      <c r="AA2610" s="3" t="n">
        <v>843256.033679</v>
      </c>
      <c r="AB2610" s="3" t="n">
        <v>887078.8865969999</v>
      </c>
      <c r="AC2610" s="3" t="n">
        <v>980416.8634039999</v>
      </c>
      <c r="AD2610" s="3" t="n">
        <v>1025202.39601</v>
      </c>
      <c r="AE2610" s="3" t="n">
        <v>1066503.729164</v>
      </c>
      <c r="AF2610" s="3" t="n">
        <v>1124411.856686</v>
      </c>
      <c r="AG2610" s="3" t="n">
        <v>1142739.416149</v>
      </c>
      <c r="AH2610" s="3" t="n">
        <v>1161483.223488</v>
      </c>
      <c r="AI2610" s="3" t="n">
        <v>1187812.756543</v>
      </c>
      <c r="AJ2610" s="3" t="n">
        <v>1213393.488388</v>
      </c>
      <c r="AK2610" s="3" t="n">
        <v>1256568.145352</v>
      </c>
      <c r="AL2610" s="3" t="n">
        <v>1304978.930288</v>
      </c>
      <c r="AM2610" s="3" t="n"/>
      <c r="AN2610" s="3" t="n"/>
      <c r="AO2610" s="3" t="n"/>
      <c r="AP2610" s="3" t="n"/>
      <c r="AQ2610" s="3" t="n"/>
      <c r="AR2610" s="3" t="n"/>
      <c r="AS2610" s="3" t="n"/>
      <c r="AT2610" s="3" t="n"/>
      <c r="AU2610" s="3" t="n"/>
    </row>
    <row r="2611">
      <c r="A2611" s="3" t="n">
        <v>2031</v>
      </c>
      <c r="B2611" s="3" t="inlineStr">
        <is>
          <t>SEN</t>
        </is>
      </c>
      <c r="C2611" s="3" t="inlineStr">
        <is>
          <t>IMF.RES:WEO</t>
        </is>
      </c>
      <c r="D2611" s="3" t="inlineStr">
        <is>
          <t>SEN.NGDPRPC.A</t>
        </is>
      </c>
      <c r="E2611" s="3" t="inlineStr">
        <is>
          <t>Senegal</t>
        </is>
      </c>
      <c r="F2611" s="3" t="inlineStr">
        <is>
          <t>Gross domestic product (GDP), Constant prices, Per capita, Domestic currency</t>
        </is>
      </c>
      <c r="G2611" s="3" t="n">
        <v>623924.547106</v>
      </c>
      <c r="H2611" s="3" t="n">
        <v>635363.128185</v>
      </c>
      <c r="I2611" s="3" t="n">
        <v>620491.9794440001</v>
      </c>
      <c r="J2611" s="3" t="n">
        <v>639180.004224</v>
      </c>
      <c r="K2611" s="3" t="n">
        <v>652238.7698360001</v>
      </c>
      <c r="L2611" s="3" t="n">
        <v>663172.2341990001</v>
      </c>
      <c r="M2611" s="3" t="n">
        <v>661210.869594</v>
      </c>
      <c r="N2611" s="3" t="n">
        <v>662171.782842</v>
      </c>
      <c r="O2611" s="3" t="n">
        <v>668524.5025600001</v>
      </c>
      <c r="P2611" s="3" t="n">
        <v>668523.954468</v>
      </c>
      <c r="Q2611" s="3" t="n">
        <v>672490.24838</v>
      </c>
      <c r="R2611" s="3" t="n">
        <v>662865.925034</v>
      </c>
      <c r="S2611" s="3" t="n">
        <v>670461.388681</v>
      </c>
      <c r="T2611" s="3" t="n">
        <v>667682.170641</v>
      </c>
      <c r="U2611" s="3" t="n">
        <v>689609.756511</v>
      </c>
      <c r="V2611" s="3" t="n">
        <v>713204.764567</v>
      </c>
      <c r="W2611" s="3" t="n">
        <v>737538.0544500001</v>
      </c>
      <c r="X2611" s="3" t="n">
        <v>770293.5050060001</v>
      </c>
      <c r="Y2611" s="3" t="n">
        <v>795677.342376</v>
      </c>
      <c r="Z2611" s="3" t="n">
        <v>809808.482022</v>
      </c>
      <c r="AA2611" s="3" t="n">
        <v>798739.88599</v>
      </c>
      <c r="AB2611" s="3" t="n">
        <v>828261.810943</v>
      </c>
      <c r="AC2611" s="3" t="n">
        <v>837161.424705</v>
      </c>
      <c r="AD2611" s="3" t="n">
        <v>849472.825905</v>
      </c>
      <c r="AE2611" s="3" t="n">
        <v>877551.849606</v>
      </c>
      <c r="AF2611" s="3" t="n">
        <v>921403.745861</v>
      </c>
      <c r="AG2611" s="3" t="n">
        <v>916264.517608</v>
      </c>
      <c r="AH2611" s="3" t="n">
        <v>912138.653922</v>
      </c>
      <c r="AI2611" s="3" t="n">
        <v>914525.316536</v>
      </c>
      <c r="AJ2611" s="3" t="n">
        <v>915902.4812940001</v>
      </c>
      <c r="AK2611" s="3" t="n">
        <v>929472.4484399999</v>
      </c>
      <c r="AL2611" s="3" t="n">
        <v>946138.159474</v>
      </c>
      <c r="AM2611" s="3" t="n"/>
      <c r="AN2611" s="3" t="n"/>
      <c r="AO2611" s="3" t="n"/>
      <c r="AP2611" s="3" t="n"/>
      <c r="AQ2611" s="3" t="n"/>
      <c r="AR2611" s="3" t="n"/>
      <c r="AS2611" s="3" t="n"/>
      <c r="AT2611" s="3" t="n"/>
      <c r="AU2611" s="3" t="n"/>
    </row>
    <row r="2612">
      <c r="A2612" s="3" t="n">
        <v>2031</v>
      </c>
      <c r="B2612" s="3" t="inlineStr">
        <is>
          <t>SEN</t>
        </is>
      </c>
      <c r="C2612" s="3" t="inlineStr">
        <is>
          <t>IMF.RES:WEO</t>
        </is>
      </c>
      <c r="D2612" s="3" t="inlineStr">
        <is>
          <t>SEN.PCPI.A</t>
        </is>
      </c>
      <c r="E2612" s="3" t="inlineStr">
        <is>
          <t>Senegal</t>
        </is>
      </c>
      <c r="F2612" s="3" t="inlineStr">
        <is>
          <t>All Items, Consumer price index (CPI), Period average</t>
        </is>
      </c>
      <c r="G2612" s="3" t="n">
        <v>61.845285</v>
      </c>
      <c r="H2612" s="3" t="n">
        <v>63.733419</v>
      </c>
      <c r="I2612" s="3" t="n">
        <v>65.261968</v>
      </c>
      <c r="J2612" s="3" t="n">
        <v>65.23032499999999</v>
      </c>
      <c r="K2612" s="3" t="n">
        <v>65.19869799999999</v>
      </c>
      <c r="L2612" s="3" t="n">
        <v>66.250089</v>
      </c>
      <c r="M2612" s="3" t="n">
        <v>67.68678</v>
      </c>
      <c r="N2612" s="3" t="n">
        <v>71.40245400000001</v>
      </c>
      <c r="O2612" s="3" t="n">
        <v>75.854939</v>
      </c>
      <c r="P2612" s="3" t="n">
        <v>75.06094299999999</v>
      </c>
      <c r="Q2612" s="3" t="n">
        <v>75.060894</v>
      </c>
      <c r="R2612" s="3" t="n">
        <v>77.615387</v>
      </c>
      <c r="S2612" s="3" t="n">
        <v>78.716151</v>
      </c>
      <c r="T2612" s="3" t="n">
        <v>79.275229</v>
      </c>
      <c r="U2612" s="3" t="n">
        <v>78.410927</v>
      </c>
      <c r="V2612" s="3" t="n">
        <v>78.516947</v>
      </c>
      <c r="W2612" s="3" t="n">
        <v>79.175622</v>
      </c>
      <c r="X2612" s="3" t="n">
        <v>80.940986</v>
      </c>
      <c r="Y2612" s="3" t="n">
        <v>81.308864</v>
      </c>
      <c r="Z2612" s="3" t="n">
        <v>82.13802800000001</v>
      </c>
      <c r="AA2612" s="3" t="n">
        <v>84.215577</v>
      </c>
      <c r="AB2612" s="3" t="n">
        <v>86.04570099999999</v>
      </c>
      <c r="AC2612" s="3" t="n">
        <v>94.393518</v>
      </c>
      <c r="AD2612" s="3" t="n">
        <v>100</v>
      </c>
      <c r="AE2612" s="3" t="n">
        <v>100.801922</v>
      </c>
      <c r="AF2612" s="3" t="n">
        <v>102.254104</v>
      </c>
      <c r="AG2612" s="3" t="n">
        <v>104.766916</v>
      </c>
      <c r="AH2612" s="3" t="n">
        <v>107.116327</v>
      </c>
      <c r="AI2612" s="3" t="n">
        <v>109.258654</v>
      </c>
      <c r="AJ2612" s="3" t="n">
        <v>111.443827</v>
      </c>
      <c r="AK2612" s="3" t="n">
        <v>113.672704</v>
      </c>
      <c r="AL2612" s="3" t="n">
        <v>115.946127</v>
      </c>
      <c r="AM2612" s="3" t="n"/>
      <c r="AN2612" s="3" t="n"/>
      <c r="AO2612" s="3" t="n"/>
      <c r="AP2612" s="3" t="n"/>
      <c r="AQ2612" s="3" t="n"/>
      <c r="AR2612" s="3" t="n"/>
      <c r="AS2612" s="3" t="n"/>
      <c r="AT2612" s="3" t="n"/>
      <c r="AU2612" s="3" t="n"/>
    </row>
    <row r="2613">
      <c r="A2613" s="3" t="n">
        <v>2031</v>
      </c>
      <c r="B2613" s="3" t="inlineStr">
        <is>
          <t>SEN</t>
        </is>
      </c>
      <c r="C2613" s="3" t="inlineStr">
        <is>
          <t>IMF.RES:WEO</t>
        </is>
      </c>
      <c r="D2613" s="3" t="inlineStr">
        <is>
          <t>SEN.PCPIPCH.A</t>
        </is>
      </c>
      <c r="E2613" s="3" t="inlineStr">
        <is>
          <t>Senegal</t>
        </is>
      </c>
      <c r="F2613" s="3" t="inlineStr">
        <is>
          <t>All Items, Consumer price index (CPI), Period average, percent change</t>
        </is>
      </c>
      <c r="G2613" s="3" t="n">
        <v>0.75383</v>
      </c>
      <c r="H2613" s="3" t="n">
        <v>3.052995</v>
      </c>
      <c r="I2613" s="3" t="n">
        <v>2.398348</v>
      </c>
      <c r="J2613" s="3" t="n">
        <v>-0.048486</v>
      </c>
      <c r="K2613" s="3" t="n">
        <v>-0.048486</v>
      </c>
      <c r="L2613" s="3" t="n">
        <v>1.612596</v>
      </c>
      <c r="M2613" s="3" t="n">
        <v>2.168586</v>
      </c>
      <c r="N2613" s="3" t="n">
        <v>5.489512</v>
      </c>
      <c r="O2613" s="3" t="n">
        <v>6.23576</v>
      </c>
      <c r="P2613" s="3" t="n">
        <v>-1.046729</v>
      </c>
      <c r="Q2613" s="3" t="n">
        <v>-6.600000000000001e-05</v>
      </c>
      <c r="R2613" s="3" t="n">
        <v>3.403228</v>
      </c>
      <c r="S2613" s="3" t="n">
        <v>1.418229</v>
      </c>
      <c r="T2613" s="3" t="n">
        <v>0.710245</v>
      </c>
      <c r="U2613" s="3" t="n">
        <v>-1.090255</v>
      </c>
      <c r="V2613" s="3" t="n">
        <v>0.135212</v>
      </c>
      <c r="W2613" s="3" t="n">
        <v>0.8388949999999999</v>
      </c>
      <c r="X2613" s="3" t="n">
        <v>2.229681</v>
      </c>
      <c r="Y2613" s="3" t="n">
        <v>0.454501</v>
      </c>
      <c r="Z2613" s="3" t="n">
        <v>1.019771</v>
      </c>
      <c r="AA2613" s="3" t="n">
        <v>2.529339</v>
      </c>
      <c r="AB2613" s="3" t="n">
        <v>2.173142</v>
      </c>
      <c r="AC2613" s="3" t="n">
        <v>9.701608</v>
      </c>
      <c r="AD2613" s="3" t="n">
        <v>5.939478</v>
      </c>
      <c r="AE2613" s="3" t="n">
        <v>0.801922</v>
      </c>
      <c r="AF2613" s="3" t="n">
        <v>1.440629</v>
      </c>
      <c r="AG2613" s="3" t="n">
        <v>2.45742</v>
      </c>
      <c r="AH2613" s="3" t="n">
        <v>2.242513</v>
      </c>
      <c r="AI2613" s="3" t="n">
        <v>2</v>
      </c>
      <c r="AJ2613" s="3" t="n">
        <v>2</v>
      </c>
      <c r="AK2613" s="3" t="n">
        <v>2</v>
      </c>
      <c r="AL2613" s="3" t="n">
        <v>1.999973</v>
      </c>
      <c r="AM2613" s="3" t="n"/>
      <c r="AN2613" s="3" t="n"/>
      <c r="AO2613" s="3" t="n"/>
      <c r="AP2613" s="3" t="n"/>
      <c r="AQ2613" s="3" t="n"/>
      <c r="AR2613" s="3" t="n"/>
      <c r="AS2613" s="3" t="n"/>
      <c r="AT2613" s="3" t="n"/>
      <c r="AU2613" s="3" t="n"/>
    </row>
    <row r="2614">
      <c r="A2614" s="3" t="n">
        <v>2031</v>
      </c>
      <c r="B2614" s="3" t="inlineStr">
        <is>
          <t>SEN</t>
        </is>
      </c>
      <c r="C2614" s="3" t="inlineStr">
        <is>
          <t>IMF.RES:WEO</t>
        </is>
      </c>
      <c r="D2614" s="3" t="inlineStr">
        <is>
          <t>SEN.PPPPC.A</t>
        </is>
      </c>
      <c r="E2614" s="3" t="inlineStr">
        <is>
          <t>Senegal</t>
        </is>
      </c>
      <c r="F2614" s="3" t="inlineStr">
        <is>
          <t>Gross domestic product (GDP), Per capita, purchasing power parity (PPP) international dollar, ICP benchmarks 2017-2021</t>
        </is>
      </c>
      <c r="G2614" s="3" t="n">
        <v>1912.037452</v>
      </c>
      <c r="H2614" s="3" t="n">
        <v>1990.932469</v>
      </c>
      <c r="I2614" s="3" t="n">
        <v>1974.54884</v>
      </c>
      <c r="J2614" s="3" t="n">
        <v>2074.174364</v>
      </c>
      <c r="K2614" s="3" t="n">
        <v>2173.462315</v>
      </c>
      <c r="L2614" s="3" t="n">
        <v>2279.194397</v>
      </c>
      <c r="M2614" s="3" t="n">
        <v>2342.533358</v>
      </c>
      <c r="N2614" s="3" t="n">
        <v>2409.495462</v>
      </c>
      <c r="O2614" s="3" t="n">
        <v>2479.473696</v>
      </c>
      <c r="P2614" s="3" t="n">
        <v>2494.763605</v>
      </c>
      <c r="Q2614" s="3" t="n">
        <v>2540.065432</v>
      </c>
      <c r="R2614" s="3" t="n">
        <v>2555.371189</v>
      </c>
      <c r="S2614" s="3" t="n">
        <v>2632.776431</v>
      </c>
      <c r="T2614" s="3" t="n">
        <v>2666.487198</v>
      </c>
      <c r="U2614" s="3" t="n">
        <v>2802.026087</v>
      </c>
      <c r="V2614" s="3" t="n">
        <v>2924.791482</v>
      </c>
      <c r="W2614" s="3" t="n">
        <v>3053.320488</v>
      </c>
      <c r="X2614" s="3" t="n">
        <v>3246.034299</v>
      </c>
      <c r="Y2614" s="3" t="n">
        <v>3393.045343</v>
      </c>
      <c r="Z2614" s="3" t="n">
        <v>3660.612367</v>
      </c>
      <c r="AA2614" s="3" t="n">
        <v>3763.070376</v>
      </c>
      <c r="AB2614" s="3" t="n">
        <v>4177.820299</v>
      </c>
      <c r="AC2614" s="3" t="n">
        <v>4523.047345</v>
      </c>
      <c r="AD2614" s="3" t="n">
        <v>4759.379242</v>
      </c>
      <c r="AE2614" s="3" t="n">
        <v>5038.75809</v>
      </c>
      <c r="AF2614" s="3" t="n">
        <v>5440.62896</v>
      </c>
      <c r="AG2614" s="3" t="n">
        <v>5565.279813</v>
      </c>
      <c r="AH2614" s="3" t="n">
        <v>5661.877615</v>
      </c>
      <c r="AI2614" s="3" t="n">
        <v>5769.868928</v>
      </c>
      <c r="AJ2614" s="3" t="n">
        <v>5881.306682</v>
      </c>
      <c r="AK2614" s="3" t="n">
        <v>6078.115597</v>
      </c>
      <c r="AL2614" s="3" t="n">
        <v>6298.793766</v>
      </c>
      <c r="AM2614" s="3" t="n"/>
      <c r="AN2614" s="3" t="n"/>
      <c r="AO2614" s="3" t="n"/>
      <c r="AP2614" s="3" t="n"/>
      <c r="AQ2614" s="3" t="n"/>
      <c r="AR2614" s="3" t="n"/>
      <c r="AS2614" s="3" t="n"/>
      <c r="AT2614" s="3" t="n"/>
      <c r="AU2614" s="3" t="n"/>
    </row>
    <row r="2615">
      <c r="A2615" s="3" t="n">
        <v>2025</v>
      </c>
      <c r="B2615" s="3" t="inlineStr">
        <is>
          <t>SEN</t>
        </is>
      </c>
      <c r="C2615" s="3" t="inlineStr">
        <is>
          <t>IMF.STA:ER</t>
        </is>
      </c>
      <c r="D2615" s="3" t="inlineStr">
        <is>
          <t>SEN.XDC_USD.PA_RT.A</t>
        </is>
      </c>
      <c r="E2615" s="3" t="inlineStr">
        <is>
          <t>Senegal</t>
        </is>
      </c>
      <c r="F2615" s="3" t="inlineStr">
        <is>
          <t>Domestic currency per US Dollar</t>
        </is>
      </c>
      <c r="G2615" s="3" t="n">
        <v>710.207977031367</v>
      </c>
      <c r="H2615" s="3" t="n">
        <v>732.397693260228</v>
      </c>
      <c r="I2615" s="3" t="n">
        <v>693.713226496374</v>
      </c>
      <c r="J2615" s="3" t="n">
        <v>579.897426172466</v>
      </c>
      <c r="K2615" s="3" t="n">
        <v>527.338032291576</v>
      </c>
      <c r="L2615" s="3" t="n">
        <v>527.258362649626</v>
      </c>
      <c r="M2615" s="3" t="n">
        <v>522.425624895176</v>
      </c>
      <c r="N2615" s="3" t="n">
        <v>478.633718476363</v>
      </c>
      <c r="O2615" s="3" t="n">
        <v>446.000041432788</v>
      </c>
      <c r="P2615" s="3" t="n">
        <v>470.293423341398</v>
      </c>
      <c r="Q2615" s="3" t="n">
        <v>494.794262222947</v>
      </c>
      <c r="R2615" s="3" t="n">
        <v>471.248625718937</v>
      </c>
      <c r="S2615" s="3" t="n">
        <v>510.556338454251</v>
      </c>
      <c r="T2615" s="3" t="n">
        <v>493.899623852237</v>
      </c>
      <c r="U2615" s="3" t="n">
        <v>493.757329875312</v>
      </c>
      <c r="V2615" s="3" t="n">
        <v>591.21169798261</v>
      </c>
      <c r="W2615" s="3" t="n">
        <v>592.605615063022</v>
      </c>
      <c r="X2615" s="3" t="n">
        <v>580.656749587858</v>
      </c>
      <c r="Y2615" s="3" t="n">
        <v>555.446458398226</v>
      </c>
      <c r="Z2615" s="3" t="n">
        <v>585.911013180369</v>
      </c>
      <c r="AA2615" s="3" t="n">
        <v>575.586004510945</v>
      </c>
      <c r="AB2615" s="3" t="n">
        <v>554.530675033104</v>
      </c>
      <c r="AC2615" s="3" t="n">
        <v>623.759700911182</v>
      </c>
      <c r="AD2615" s="3" t="n">
        <v>606.569750165917</v>
      </c>
      <c r="AE2615" s="3" t="n">
        <v>606.345297609062</v>
      </c>
      <c r="AF2615" s="3" t="n">
        <v>581.928481040339</v>
      </c>
      <c r="AG2615" s="3" t="n"/>
      <c r="AH2615" s="3" t="n"/>
      <c r="AI2615" s="3" t="n"/>
      <c r="AJ2615" s="3" t="n"/>
      <c r="AK2615" s="3" t="n"/>
      <c r="AL2615" s="3" t="n"/>
      <c r="AM2615" s="3" t="n"/>
      <c r="AN2615" s="3" t="n"/>
      <c r="AO2615" s="3" t="n"/>
      <c r="AP2615" s="3" t="n"/>
      <c r="AQ2615" s="3" t="n"/>
      <c r="AR2615" s="3" t="n"/>
      <c r="AS2615" s="3" t="n"/>
      <c r="AT2615" s="3" t="n"/>
      <c r="AU2615" s="3" t="n"/>
    </row>
    <row r="2616">
      <c r="A2616" s="3" t="n">
        <v>2031</v>
      </c>
      <c r="B2616" s="3" t="inlineStr">
        <is>
          <t>SGP</t>
        </is>
      </c>
      <c r="C2616" s="3" t="inlineStr">
        <is>
          <t>IMF.RES:WEO</t>
        </is>
      </c>
      <c r="D2616" s="3" t="inlineStr">
        <is>
          <t>SGP.BCA.A</t>
        </is>
      </c>
      <c r="E2616" s="3" t="inlineStr">
        <is>
          <t>Singapore</t>
        </is>
      </c>
      <c r="F2616" s="3" t="inlineStr">
        <is>
          <t>Current account balance (credit less debit), US dollar</t>
        </is>
      </c>
      <c r="G2616" s="3" t="n">
        <v>10.637117</v>
      </c>
      <c r="H2616" s="3" t="n">
        <v>12.959875</v>
      </c>
      <c r="I2616" s="3" t="n">
        <v>13.766983</v>
      </c>
      <c r="J2616" s="3" t="n">
        <v>23.730109</v>
      </c>
      <c r="K2616" s="3" t="n">
        <v>22.214277</v>
      </c>
      <c r="L2616" s="3" t="n">
        <v>29.728716</v>
      </c>
      <c r="M2616" s="3" t="n">
        <v>39.970903</v>
      </c>
      <c r="N2616" s="3" t="n">
        <v>49.113608</v>
      </c>
      <c r="O2616" s="3" t="n">
        <v>29.204144</v>
      </c>
      <c r="P2616" s="3" t="n">
        <v>31.827179</v>
      </c>
      <c r="Q2616" s="3" t="n">
        <v>54.995997</v>
      </c>
      <c r="R2616" s="3" t="n">
        <v>62.068689</v>
      </c>
      <c r="S2616" s="3" t="n">
        <v>52.064047</v>
      </c>
      <c r="T2616" s="3" t="n">
        <v>48.311596</v>
      </c>
      <c r="U2616" s="3" t="n">
        <v>56.518685</v>
      </c>
      <c r="V2616" s="3" t="n">
        <v>57.574237</v>
      </c>
      <c r="W2616" s="3" t="n">
        <v>57.822019</v>
      </c>
      <c r="X2616" s="3" t="n">
        <v>63.747778</v>
      </c>
      <c r="Y2616" s="3" t="n">
        <v>59.253211</v>
      </c>
      <c r="Z2616" s="3" t="n">
        <v>58.233636</v>
      </c>
      <c r="AA2616" s="3" t="n">
        <v>62.158375</v>
      </c>
      <c r="AB2616" s="3" t="n">
        <v>84.92610000000001</v>
      </c>
      <c r="AC2616" s="3" t="n">
        <v>97.310469</v>
      </c>
      <c r="AD2616" s="3" t="n">
        <v>83.79110300000001</v>
      </c>
      <c r="AE2616" s="3" t="n">
        <v>98.54109800000001</v>
      </c>
      <c r="AF2616" s="3" t="n">
        <v>100.926154</v>
      </c>
      <c r="AG2616" s="3" t="n">
        <v>109.290214</v>
      </c>
      <c r="AH2616" s="3" t="n">
        <v>114.36582</v>
      </c>
      <c r="AI2616" s="3" t="n">
        <v>119.455277</v>
      </c>
      <c r="AJ2616" s="3" t="n">
        <v>123.358571</v>
      </c>
      <c r="AK2616" s="3" t="n">
        <v>128.265498</v>
      </c>
      <c r="AL2616" s="3" t="n">
        <v>134.295459</v>
      </c>
      <c r="AM2616" s="3" t="n"/>
      <c r="AN2616" s="3" t="n"/>
      <c r="AO2616" s="3" t="n"/>
      <c r="AP2616" s="3" t="n"/>
      <c r="AQ2616" s="3" t="n"/>
      <c r="AR2616" s="3" t="n"/>
      <c r="AS2616" s="3" t="n"/>
      <c r="AT2616" s="3" t="n"/>
      <c r="AU2616" s="3" t="n"/>
    </row>
    <row r="2617">
      <c r="A2617" s="3" t="n">
        <v>2031</v>
      </c>
      <c r="B2617" s="3" t="inlineStr">
        <is>
          <t>SGP</t>
        </is>
      </c>
      <c r="C2617" s="3" t="inlineStr">
        <is>
          <t>IMF.RES:WEO</t>
        </is>
      </c>
      <c r="D2617" s="3" t="inlineStr">
        <is>
          <t>SGP.BCA_NGDPD.A</t>
        </is>
      </c>
      <c r="E2617" s="3" t="inlineStr">
        <is>
          <t>Singapore</t>
        </is>
      </c>
      <c r="F2617" s="3" t="inlineStr">
        <is>
          <t>Current account balance (credit less debit), Percent of GDP</t>
        </is>
      </c>
      <c r="G2617" s="3" t="n">
        <v>11.071505</v>
      </c>
      <c r="H2617" s="3" t="n">
        <v>14.432926</v>
      </c>
      <c r="I2617" s="3" t="n">
        <v>14.877057</v>
      </c>
      <c r="J2617" s="3" t="n">
        <v>24.302087</v>
      </c>
      <c r="K2617" s="3" t="n">
        <v>19.311125</v>
      </c>
      <c r="L2617" s="3" t="n">
        <v>23.260484</v>
      </c>
      <c r="M2617" s="3" t="n">
        <v>26.893387</v>
      </c>
      <c r="N2617" s="3" t="n">
        <v>27.143327</v>
      </c>
      <c r="O2617" s="3" t="n">
        <v>15.083434</v>
      </c>
      <c r="P2617" s="3" t="n">
        <v>16.39306</v>
      </c>
      <c r="Q2617" s="3" t="n">
        <v>22.933353</v>
      </c>
      <c r="R2617" s="3" t="n">
        <v>22.21845</v>
      </c>
      <c r="S2617" s="3" t="n">
        <v>17.643277</v>
      </c>
      <c r="T2617" s="3" t="n">
        <v>15.707188</v>
      </c>
      <c r="U2617" s="3" t="n">
        <v>17.950214</v>
      </c>
      <c r="V2617" s="3" t="n">
        <v>18.693022</v>
      </c>
      <c r="W2617" s="3" t="n">
        <v>18.026617</v>
      </c>
      <c r="X2617" s="3" t="n">
        <v>18.488596</v>
      </c>
      <c r="Y2617" s="3" t="n">
        <v>15.676429</v>
      </c>
      <c r="Z2617" s="3" t="n">
        <v>15.453667</v>
      </c>
      <c r="AA2617" s="3" t="n">
        <v>17.697513</v>
      </c>
      <c r="AB2617" s="3" t="n">
        <v>19.252782</v>
      </c>
      <c r="AC2617" s="3" t="n">
        <v>18.922696</v>
      </c>
      <c r="AD2617" s="3" t="n">
        <v>16.391642</v>
      </c>
      <c r="AE2617" s="3" t="n">
        <v>17.201088</v>
      </c>
      <c r="AF2617" s="3" t="n">
        <v>16.713239</v>
      </c>
      <c r="AG2617" s="3" t="n">
        <v>16.569866</v>
      </c>
      <c r="AH2617" s="3" t="n">
        <v>16.541928</v>
      </c>
      <c r="AI2617" s="3" t="n">
        <v>16.539802</v>
      </c>
      <c r="AJ2617" s="3" t="n">
        <v>16.356402</v>
      </c>
      <c r="AK2617" s="3" t="n">
        <v>16.282933</v>
      </c>
      <c r="AL2617" s="3" t="n">
        <v>16.324265</v>
      </c>
      <c r="AM2617" s="3" t="n"/>
      <c r="AN2617" s="3" t="n"/>
      <c r="AO2617" s="3" t="n"/>
      <c r="AP2617" s="3" t="n"/>
      <c r="AQ2617" s="3" t="n"/>
      <c r="AR2617" s="3" t="n"/>
      <c r="AS2617" s="3" t="n"/>
      <c r="AT2617" s="3" t="n"/>
      <c r="AU2617" s="3" t="n"/>
    </row>
    <row r="2618">
      <c r="A2618" s="3" t="n">
        <v>2031</v>
      </c>
      <c r="B2618" s="3" t="inlineStr">
        <is>
          <t>SGP</t>
        </is>
      </c>
      <c r="C2618" s="3" t="inlineStr">
        <is>
          <t>IMF.RES:WEO</t>
        </is>
      </c>
      <c r="D2618" s="3" t="inlineStr">
        <is>
          <t>SGP.GGR_NGDP.A</t>
        </is>
      </c>
      <c r="E2618" s="3" t="inlineStr">
        <is>
          <t>Singapore</t>
        </is>
      </c>
      <c r="F2618" s="3" t="inlineStr">
        <is>
          <t>Revenue, General government, Percent of GDP</t>
        </is>
      </c>
      <c r="G2618" s="3" t="n">
        <v>20.715431</v>
      </c>
      <c r="H2618" s="3" t="n">
        <v>19.409755</v>
      </c>
      <c r="I2618" s="3" t="n">
        <v>18.16349</v>
      </c>
      <c r="J2618" s="3" t="n">
        <v>16.323327</v>
      </c>
      <c r="K2618" s="3" t="n">
        <v>16.12512</v>
      </c>
      <c r="L2618" s="3" t="n">
        <v>14.934351</v>
      </c>
      <c r="M2618" s="3" t="n">
        <v>14.439578</v>
      </c>
      <c r="N2618" s="3" t="n">
        <v>16.134961</v>
      </c>
      <c r="O2618" s="3" t="n">
        <v>17.564215</v>
      </c>
      <c r="P2618" s="3" t="n">
        <v>15.758647</v>
      </c>
      <c r="Q2618" s="3" t="n">
        <v>15.91502</v>
      </c>
      <c r="R2618" s="3" t="n">
        <v>17.622208</v>
      </c>
      <c r="S2618" s="3" t="n">
        <v>17.161122</v>
      </c>
      <c r="T2618" s="3" t="n">
        <v>16.877229</v>
      </c>
      <c r="U2618" s="3" t="n">
        <v>17.174447</v>
      </c>
      <c r="V2618" s="3" t="n">
        <v>17.275846</v>
      </c>
      <c r="W2618" s="3" t="n">
        <v>18.462762</v>
      </c>
      <c r="X2618" s="3" t="n">
        <v>18.784969</v>
      </c>
      <c r="Y2618" s="3" t="n">
        <v>17.526638</v>
      </c>
      <c r="Z2618" s="3" t="n">
        <v>17.765341</v>
      </c>
      <c r="AA2618" s="3" t="n">
        <v>17.284425</v>
      </c>
      <c r="AB2618" s="3" t="n">
        <v>16.465376</v>
      </c>
      <c r="AC2618" s="3" t="n">
        <v>16.077522</v>
      </c>
      <c r="AD2618" s="3" t="n">
        <v>18.064262</v>
      </c>
      <c r="AE2618" s="3" t="n">
        <v>18.039292</v>
      </c>
      <c r="AF2618" s="3" t="n">
        <v>19.608555</v>
      </c>
      <c r="AG2618" s="3" t="n">
        <v>19.394808</v>
      </c>
      <c r="AH2618" s="3" t="n">
        <v>19.457289</v>
      </c>
      <c r="AI2618" s="3" t="n">
        <v>19.472909</v>
      </c>
      <c r="AJ2618" s="3" t="n">
        <v>19.50415</v>
      </c>
      <c r="AK2618" s="3" t="n">
        <v>19.53539</v>
      </c>
      <c r="AL2618" s="3" t="n">
        <v>19.566631</v>
      </c>
      <c r="AM2618" s="3" t="n"/>
      <c r="AN2618" s="3" t="n"/>
      <c r="AO2618" s="3" t="n"/>
      <c r="AP2618" s="3" t="n"/>
      <c r="AQ2618" s="3" t="n"/>
      <c r="AR2618" s="3" t="n"/>
      <c r="AS2618" s="3" t="n"/>
      <c r="AT2618" s="3" t="n"/>
      <c r="AU2618" s="3" t="n"/>
    </row>
    <row r="2619">
      <c r="A2619" s="3" t="n">
        <v>2031</v>
      </c>
      <c r="B2619" s="3" t="inlineStr">
        <is>
          <t>SGP</t>
        </is>
      </c>
      <c r="C2619" s="3" t="inlineStr">
        <is>
          <t>IMF.RES:WEO</t>
        </is>
      </c>
      <c r="D2619" s="3" t="inlineStr">
        <is>
          <t>SGP.GGX_NGDP.A</t>
        </is>
      </c>
      <c r="E2619" s="3" t="inlineStr">
        <is>
          <t>Singapore</t>
        </is>
      </c>
      <c r="F2619" s="3" t="inlineStr">
        <is>
          <t>Expenditure, General government, Percent of GDP</t>
        </is>
      </c>
      <c r="G2619" s="3" t="n">
        <v>16.122585</v>
      </c>
      <c r="H2619" s="3" t="n">
        <v>18.213162</v>
      </c>
      <c r="I2619" s="3" t="n">
        <v>15.9314</v>
      </c>
      <c r="J2619" s="3" t="n">
        <v>15.645276</v>
      </c>
      <c r="K2619" s="3" t="n">
        <v>14.065353</v>
      </c>
      <c r="L2619" s="3" t="n">
        <v>12.378836</v>
      </c>
      <c r="M2619" s="3" t="n">
        <v>12.279688</v>
      </c>
      <c r="N2619" s="3" t="n">
        <v>9.014742999999999</v>
      </c>
      <c r="O2619" s="3" t="n">
        <v>13.974991</v>
      </c>
      <c r="P2619" s="3" t="n">
        <v>15.85239</v>
      </c>
      <c r="Q2619" s="3" t="n">
        <v>10.230914</v>
      </c>
      <c r="R2619" s="3" t="n">
        <v>9.660466</v>
      </c>
      <c r="S2619" s="3" t="n">
        <v>9.825141</v>
      </c>
      <c r="T2619" s="3" t="n">
        <v>10.91457</v>
      </c>
      <c r="U2619" s="3" t="n">
        <v>12.574839</v>
      </c>
      <c r="V2619" s="3" t="n">
        <v>14.418109</v>
      </c>
      <c r="W2619" s="3" t="n">
        <v>15.220051</v>
      </c>
      <c r="X2619" s="3" t="n">
        <v>13.559007</v>
      </c>
      <c r="Y2619" s="3" t="n">
        <v>13.85247</v>
      </c>
      <c r="Z2619" s="3" t="n">
        <v>14.003328</v>
      </c>
      <c r="AA2619" s="3" t="n">
        <v>23.968872</v>
      </c>
      <c r="AB2619" s="3" t="n">
        <v>15.354054</v>
      </c>
      <c r="AC2619" s="3" t="n">
        <v>14.876801</v>
      </c>
      <c r="AD2619" s="3" t="n">
        <v>14.643755</v>
      </c>
      <c r="AE2619" s="3" t="n">
        <v>14.252126</v>
      </c>
      <c r="AF2619" s="3" t="n">
        <v>15.452187</v>
      </c>
      <c r="AG2619" s="3" t="n">
        <v>16.081339</v>
      </c>
      <c r="AH2619" s="3" t="n">
        <v>16.531339</v>
      </c>
      <c r="AI2619" s="3" t="n">
        <v>16.981339</v>
      </c>
      <c r="AJ2619" s="3" t="n">
        <v>17.431339</v>
      </c>
      <c r="AK2619" s="3" t="n">
        <v>17.731339</v>
      </c>
      <c r="AL2619" s="3" t="n">
        <v>17.731339</v>
      </c>
      <c r="AM2619" s="3" t="n"/>
      <c r="AN2619" s="3" t="n"/>
      <c r="AO2619" s="3" t="n"/>
      <c r="AP2619" s="3" t="n"/>
      <c r="AQ2619" s="3" t="n"/>
      <c r="AR2619" s="3" t="n"/>
      <c r="AS2619" s="3" t="n"/>
      <c r="AT2619" s="3" t="n"/>
      <c r="AU2619" s="3" t="n"/>
    </row>
    <row r="2620">
      <c r="A2620" s="3" t="n">
        <v>2027</v>
      </c>
      <c r="B2620" s="3" t="inlineStr">
        <is>
          <t>SGP</t>
        </is>
      </c>
      <c r="C2620" s="3" t="inlineStr">
        <is>
          <t>IMF.RES:WEO</t>
        </is>
      </c>
      <c r="D2620" s="3" t="inlineStr">
        <is>
          <t>SGP.LE.A</t>
        </is>
      </c>
      <c r="E2620" s="3" t="inlineStr">
        <is>
          <t>Singapore</t>
        </is>
      </c>
      <c r="F2620" s="3" t="inlineStr">
        <is>
          <t>Employed persons, Persons for countries / Index for country groups</t>
        </is>
      </c>
      <c r="G2620" s="3" t="n">
        <v>2.12245</v>
      </c>
      <c r="H2620" s="3" t="n">
        <v>2.1871</v>
      </c>
      <c r="I2620" s="3" t="n">
        <v>2.153625</v>
      </c>
      <c r="J2620" s="3" t="n">
        <v>2.1291</v>
      </c>
      <c r="K2620" s="3" t="n">
        <v>2.1723</v>
      </c>
      <c r="L2620" s="3" t="n">
        <v>2.27125</v>
      </c>
      <c r="M2620" s="3" t="n">
        <v>2.426575</v>
      </c>
      <c r="N2620" s="3" t="n">
        <v>2.638425</v>
      </c>
      <c r="O2620" s="3" t="n">
        <v>2.890625</v>
      </c>
      <c r="P2620" s="3" t="n">
        <v>2.9567</v>
      </c>
      <c r="Q2620" s="3" t="n">
        <v>3.0638</v>
      </c>
      <c r="R2620" s="3" t="n">
        <v>3.17795</v>
      </c>
      <c r="S2620" s="3" t="n">
        <v>3.303375</v>
      </c>
      <c r="T2620" s="3" t="n">
        <v>3.438275</v>
      </c>
      <c r="U2620" s="3" t="n">
        <v>3.56965</v>
      </c>
      <c r="V2620" s="3" t="n">
        <v>3.6353</v>
      </c>
      <c r="W2620" s="3" t="n">
        <v>3.67145</v>
      </c>
      <c r="X2620" s="3" t="n">
        <v>3.66285</v>
      </c>
      <c r="Y2620" s="3" t="n">
        <v>3.6916</v>
      </c>
      <c r="Z2620" s="3" t="n">
        <v>3.75265</v>
      </c>
      <c r="AA2620" s="3" t="n">
        <v>3.654625</v>
      </c>
      <c r="AB2620" s="3" t="n">
        <v>3.602075</v>
      </c>
      <c r="AC2620" s="3" t="n">
        <v>3.79025</v>
      </c>
      <c r="AD2620" s="3" t="n">
        <v>3.961575</v>
      </c>
      <c r="AE2620" s="3" t="n">
        <v>4.021</v>
      </c>
      <c r="AF2620" s="3" t="n">
        <v>4.08345</v>
      </c>
      <c r="AG2620" s="3" t="n">
        <v>4.115664</v>
      </c>
      <c r="AH2620" s="3" t="n">
        <v>4.149925</v>
      </c>
      <c r="AI2620" s="3" t="n"/>
      <c r="AJ2620" s="3" t="n"/>
      <c r="AK2620" s="3" t="n"/>
      <c r="AL2620" s="3" t="n"/>
      <c r="AM2620" s="3" t="n"/>
      <c r="AN2620" s="3" t="n"/>
      <c r="AO2620" s="3" t="n"/>
      <c r="AP2620" s="3" t="n"/>
      <c r="AQ2620" s="3" t="n"/>
      <c r="AR2620" s="3" t="n"/>
      <c r="AS2620" s="3" t="n"/>
      <c r="AT2620" s="3" t="n"/>
      <c r="AU2620" s="3" t="n"/>
    </row>
    <row r="2621">
      <c r="A2621" s="3" t="n">
        <v>2031</v>
      </c>
      <c r="B2621" s="3" t="inlineStr">
        <is>
          <t>SGP</t>
        </is>
      </c>
      <c r="C2621" s="3" t="inlineStr">
        <is>
          <t>IMF.RES:WEO</t>
        </is>
      </c>
      <c r="D2621" s="3" t="inlineStr">
        <is>
          <t>SGP.LP.A</t>
        </is>
      </c>
      <c r="E2621" s="3" t="inlineStr">
        <is>
          <t>Singapore</t>
        </is>
      </c>
      <c r="F2621" s="3" t="inlineStr">
        <is>
          <t>Population, Persons for countries / Index for country groups</t>
        </is>
      </c>
      <c r="G2621" s="3" t="n">
        <v>4.027887</v>
      </c>
      <c r="H2621" s="3" t="n">
        <v>4.138012</v>
      </c>
      <c r="I2621" s="3" t="n">
        <v>4.17595</v>
      </c>
      <c r="J2621" s="3" t="n">
        <v>4.114826</v>
      </c>
      <c r="K2621" s="3" t="n">
        <v>4.166664</v>
      </c>
      <c r="L2621" s="3" t="n">
        <v>4.265762</v>
      </c>
      <c r="M2621" s="3" t="n">
        <v>4.401365</v>
      </c>
      <c r="N2621" s="3" t="n">
        <v>4.588599</v>
      </c>
      <c r="O2621" s="3" t="n">
        <v>4.839396</v>
      </c>
      <c r="P2621" s="3" t="n">
        <v>4.987573</v>
      </c>
      <c r="Q2621" s="3" t="n">
        <v>5.076732</v>
      </c>
      <c r="R2621" s="3" t="n">
        <v>5.183688</v>
      </c>
      <c r="S2621" s="3" t="n">
        <v>5.312437</v>
      </c>
      <c r="T2621" s="3" t="n">
        <v>5.399162</v>
      </c>
      <c r="U2621" s="3" t="n">
        <v>5.469724</v>
      </c>
      <c r="V2621" s="3" t="n">
        <v>5.535002</v>
      </c>
      <c r="W2621" s="3" t="n">
        <v>5.607283</v>
      </c>
      <c r="X2621" s="3" t="n">
        <v>5.612253</v>
      </c>
      <c r="Y2621" s="3" t="n">
        <v>5.638676</v>
      </c>
      <c r="Z2621" s="3" t="n">
        <v>5.703569</v>
      </c>
      <c r="AA2621" s="3" t="n">
        <v>5.685807</v>
      </c>
      <c r="AB2621" s="3" t="n">
        <v>5.453566</v>
      </c>
      <c r="AC2621" s="3" t="n">
        <v>5.637022</v>
      </c>
      <c r="AD2621" s="3" t="n">
        <v>5.917648</v>
      </c>
      <c r="AE2621" s="3" t="n">
        <v>6.03686</v>
      </c>
      <c r="AF2621" s="3" t="n">
        <v>6.077268</v>
      </c>
      <c r="AG2621" s="3" t="n">
        <v>6.120863</v>
      </c>
      <c r="AH2621" s="3" t="n">
        <v>6.169371</v>
      </c>
      <c r="AI2621" s="3" t="n">
        <v>6.220796</v>
      </c>
      <c r="AJ2621" s="3" t="n">
        <v>6.264935</v>
      </c>
      <c r="AK2621" s="3" t="n">
        <v>6.313832</v>
      </c>
      <c r="AL2621" s="3" t="n">
        <v>6.365261</v>
      </c>
      <c r="AM2621" s="3" t="n"/>
      <c r="AN2621" s="3" t="n"/>
      <c r="AO2621" s="3" t="n"/>
      <c r="AP2621" s="3" t="n"/>
      <c r="AQ2621" s="3" t="n"/>
      <c r="AR2621" s="3" t="n"/>
      <c r="AS2621" s="3" t="n"/>
      <c r="AT2621" s="3" t="n"/>
      <c r="AU2621" s="3" t="n"/>
    </row>
    <row r="2622">
      <c r="A2622" s="3" t="n">
        <v>2031</v>
      </c>
      <c r="B2622" s="3" t="inlineStr">
        <is>
          <t>SGP</t>
        </is>
      </c>
      <c r="C2622" s="3" t="inlineStr">
        <is>
          <t>IMF.RES:WEO</t>
        </is>
      </c>
      <c r="D2622" s="3" t="inlineStr">
        <is>
          <t>SGP.NGDP.A</t>
        </is>
      </c>
      <c r="E2622" s="3" t="inlineStr">
        <is>
          <t>Singapore</t>
        </is>
      </c>
      <c r="F2622" s="3" t="inlineStr">
        <is>
          <t>Gross domestic product (GDP), Current prices, Domestic currency</t>
        </is>
      </c>
      <c r="G2622" s="3" t="n">
        <v>165.6324</v>
      </c>
      <c r="H2622" s="3" t="n">
        <v>160.8856</v>
      </c>
      <c r="I2622" s="3" t="n">
        <v>165.6981</v>
      </c>
      <c r="J2622" s="3" t="n">
        <v>170.1179</v>
      </c>
      <c r="K2622" s="3" t="n">
        <v>194.433</v>
      </c>
      <c r="L2622" s="3" t="n">
        <v>212.723</v>
      </c>
      <c r="M2622" s="3" t="n">
        <v>236.1588</v>
      </c>
      <c r="N2622" s="3" t="n">
        <v>272.6976</v>
      </c>
      <c r="O2622" s="3" t="n">
        <v>273.9416</v>
      </c>
      <c r="P2622" s="3" t="n">
        <v>282.3945</v>
      </c>
      <c r="Q2622" s="3" t="n">
        <v>326.9801</v>
      </c>
      <c r="R2622" s="3" t="n">
        <v>351.3679</v>
      </c>
      <c r="S2622" s="3" t="n">
        <v>368.7705</v>
      </c>
      <c r="T2622" s="3" t="n">
        <v>384.8703</v>
      </c>
      <c r="U2622" s="3" t="n">
        <v>398.9479</v>
      </c>
      <c r="V2622" s="3" t="n">
        <v>423.4441</v>
      </c>
      <c r="W2622" s="3" t="n">
        <v>443.1436</v>
      </c>
      <c r="X2622" s="3" t="n">
        <v>476.1362</v>
      </c>
      <c r="Y2622" s="3" t="n">
        <v>509.8304</v>
      </c>
      <c r="Z2622" s="3" t="n">
        <v>514.0521</v>
      </c>
      <c r="AA2622" s="3" t="n">
        <v>484.602</v>
      </c>
      <c r="AB2622" s="3" t="n">
        <v>592.625</v>
      </c>
      <c r="AC2622" s="3" t="n">
        <v>708.9829999999999</v>
      </c>
      <c r="AD2622" s="3" t="n">
        <v>686.398</v>
      </c>
      <c r="AE2622" s="3" t="n">
        <v>765.4974999999999</v>
      </c>
      <c r="AF2622" s="3" t="n">
        <v>789.5291999999999</v>
      </c>
      <c r="AG2622" s="3" t="n">
        <v>835.794075</v>
      </c>
      <c r="AH2622" s="3" t="n">
        <v>874.0200589999999</v>
      </c>
      <c r="AI2622" s="3" t="n">
        <v>912.827265</v>
      </c>
      <c r="AJ2622" s="3" t="n">
        <v>953.0215480000001</v>
      </c>
      <c r="AK2622" s="3" t="n">
        <v>995.2094990000001</v>
      </c>
      <c r="AL2622" s="3" t="n">
        <v>1039.165462</v>
      </c>
      <c r="AM2622" s="3" t="n"/>
      <c r="AN2622" s="3" t="n"/>
      <c r="AO2622" s="3" t="n"/>
      <c r="AP2622" s="3" t="n"/>
      <c r="AQ2622" s="3" t="n"/>
      <c r="AR2622" s="3" t="n"/>
      <c r="AS2622" s="3" t="n"/>
      <c r="AT2622" s="3" t="n"/>
      <c r="AU2622" s="3" t="n"/>
    </row>
    <row r="2623">
      <c r="A2623" s="3" t="n">
        <v>2031</v>
      </c>
      <c r="B2623" s="3" t="inlineStr">
        <is>
          <t>SGP</t>
        </is>
      </c>
      <c r="C2623" s="3" t="inlineStr">
        <is>
          <t>IMF.RES:WEO</t>
        </is>
      </c>
      <c r="D2623" s="3" t="inlineStr">
        <is>
          <t>SGP.NGDP_D.A</t>
        </is>
      </c>
      <c r="E2623" s="3" t="inlineStr">
        <is>
          <t>Singapore</t>
        </is>
      </c>
      <c r="F2623" s="3" t="inlineStr">
        <is>
          <t>Gross domestic product (GDP), Price deflator, Index</t>
        </is>
      </c>
      <c r="G2623" s="3" t="n">
        <v>85.72719600000001</v>
      </c>
      <c r="H2623" s="3" t="n">
        <v>84.171734</v>
      </c>
      <c r="I2623" s="3" t="n">
        <v>83.416785</v>
      </c>
      <c r="J2623" s="3" t="n">
        <v>81.916076</v>
      </c>
      <c r="K2623" s="3" t="n">
        <v>85.159566</v>
      </c>
      <c r="L2623" s="3" t="n">
        <v>86.77803900000001</v>
      </c>
      <c r="M2623" s="3" t="n">
        <v>88.37838499999999</v>
      </c>
      <c r="N2623" s="3" t="n">
        <v>93.607579</v>
      </c>
      <c r="O2623" s="3" t="n">
        <v>92.314339</v>
      </c>
      <c r="P2623" s="3" t="n">
        <v>95.041235</v>
      </c>
      <c r="Q2623" s="3" t="n">
        <v>96.09411</v>
      </c>
      <c r="R2623" s="3" t="n">
        <v>97.219178</v>
      </c>
      <c r="S2623" s="3" t="n">
        <v>97.700749</v>
      </c>
      <c r="T2623" s="3" t="n">
        <v>97.279601</v>
      </c>
      <c r="U2623" s="3" t="n">
        <v>97.01960099999999</v>
      </c>
      <c r="V2623" s="3" t="n">
        <v>100</v>
      </c>
      <c r="W2623" s="3" t="n">
        <v>100.713356</v>
      </c>
      <c r="X2623" s="3" t="n">
        <v>103.723682</v>
      </c>
      <c r="Y2623" s="3" t="n">
        <v>107.633909</v>
      </c>
      <c r="Z2623" s="3" t="n">
        <v>107.28202</v>
      </c>
      <c r="AA2623" s="3" t="n">
        <v>104.92448</v>
      </c>
      <c r="AB2623" s="3" t="n">
        <v>116.499012</v>
      </c>
      <c r="AC2623" s="3" t="n">
        <v>133.999086</v>
      </c>
      <c r="AD2623" s="3" t="n">
        <v>127.875936</v>
      </c>
      <c r="AE2623" s="3" t="n">
        <v>135.37822</v>
      </c>
      <c r="AF2623" s="3" t="n">
        <v>132.949828</v>
      </c>
      <c r="AG2623" s="3" t="n">
        <v>135.971272</v>
      </c>
      <c r="AH2623" s="3" t="n">
        <v>138.495826</v>
      </c>
      <c r="AI2623" s="3" t="n">
        <v>141.092778</v>
      </c>
      <c r="AJ2623" s="3" t="n">
        <v>143.731874</v>
      </c>
      <c r="AK2623" s="3" t="n">
        <v>146.423446</v>
      </c>
      <c r="AL2623" s="3" t="n">
        <v>149.161333</v>
      </c>
      <c r="AM2623" s="3" t="n"/>
      <c r="AN2623" s="3" t="n"/>
      <c r="AO2623" s="3" t="n"/>
      <c r="AP2623" s="3" t="n"/>
      <c r="AQ2623" s="3" t="n"/>
      <c r="AR2623" s="3" t="n"/>
      <c r="AS2623" s="3" t="n"/>
      <c r="AT2623" s="3" t="n"/>
      <c r="AU2623" s="3" t="n"/>
    </row>
    <row r="2624">
      <c r="A2624" s="3" t="n">
        <v>2031</v>
      </c>
      <c r="B2624" s="3" t="inlineStr">
        <is>
          <t>SGP</t>
        </is>
      </c>
      <c r="C2624" s="3" t="inlineStr">
        <is>
          <t>IMF.RES:WEO</t>
        </is>
      </c>
      <c r="D2624" s="3" t="inlineStr">
        <is>
          <t>SGP.NGDP_R.A</t>
        </is>
      </c>
      <c r="E2624" s="3" t="inlineStr">
        <is>
          <t>Singapore</t>
        </is>
      </c>
      <c r="F2624" s="3" t="inlineStr">
        <is>
          <t>Gross domestic product (GDP), Constant prices, Domestic currency</t>
        </is>
      </c>
      <c r="G2624" s="3" t="n">
        <v>193.2087</v>
      </c>
      <c r="H2624" s="3" t="n">
        <v>191.1397</v>
      </c>
      <c r="I2624" s="3" t="n">
        <v>198.6388</v>
      </c>
      <c r="J2624" s="3" t="n">
        <v>207.6734</v>
      </c>
      <c r="K2624" s="3" t="n">
        <v>228.3161</v>
      </c>
      <c r="L2624" s="3" t="n">
        <v>245.1346</v>
      </c>
      <c r="M2624" s="3" t="n">
        <v>267.2133</v>
      </c>
      <c r="N2624" s="3" t="n">
        <v>291.32</v>
      </c>
      <c r="O2624" s="3" t="n">
        <v>296.7487</v>
      </c>
      <c r="P2624" s="3" t="n">
        <v>297.1284</v>
      </c>
      <c r="Q2624" s="3" t="n">
        <v>340.2707</v>
      </c>
      <c r="R2624" s="3" t="n">
        <v>361.4183</v>
      </c>
      <c r="S2624" s="3" t="n">
        <v>377.449</v>
      </c>
      <c r="T2624" s="3" t="n">
        <v>395.6331</v>
      </c>
      <c r="U2624" s="3" t="n">
        <v>411.2034</v>
      </c>
      <c r="V2624" s="3" t="n">
        <v>423.4441</v>
      </c>
      <c r="W2624" s="3" t="n">
        <v>440.0048</v>
      </c>
      <c r="X2624" s="3" t="n">
        <v>459.0429</v>
      </c>
      <c r="Y2624" s="3" t="n">
        <v>473.6708</v>
      </c>
      <c r="Z2624" s="3" t="n">
        <v>479.1596</v>
      </c>
      <c r="AA2624" s="3" t="n">
        <v>461.8579</v>
      </c>
      <c r="AB2624" s="3" t="n">
        <v>508.6953</v>
      </c>
      <c r="AC2624" s="3" t="n">
        <v>529.0954</v>
      </c>
      <c r="AD2624" s="3" t="n">
        <v>536.7687</v>
      </c>
      <c r="AE2624" s="3" t="n">
        <v>565.451</v>
      </c>
      <c r="AF2624" s="3" t="n">
        <v>593.855</v>
      </c>
      <c r="AG2624" s="3" t="n">
        <v>614.68431</v>
      </c>
      <c r="AH2624" s="3" t="n">
        <v>631.080434</v>
      </c>
      <c r="AI2624" s="3" t="n">
        <v>646.969518</v>
      </c>
      <c r="AJ2624" s="3" t="n">
        <v>663.05512</v>
      </c>
      <c r="AK2624" s="3" t="n">
        <v>679.6790590000001</v>
      </c>
      <c r="AL2624" s="3" t="n">
        <v>696.672147</v>
      </c>
      <c r="AM2624" s="3" t="n"/>
      <c r="AN2624" s="3" t="n"/>
      <c r="AO2624" s="3" t="n"/>
      <c r="AP2624" s="3" t="n"/>
      <c r="AQ2624" s="3" t="n"/>
      <c r="AR2624" s="3" t="n"/>
      <c r="AS2624" s="3" t="n"/>
      <c r="AT2624" s="3" t="n"/>
      <c r="AU2624" s="3" t="n"/>
    </row>
    <row r="2625">
      <c r="A2625" s="3" t="n">
        <v>2031</v>
      </c>
      <c r="B2625" s="3" t="inlineStr">
        <is>
          <t>SGP</t>
        </is>
      </c>
      <c r="C2625" s="3" t="inlineStr">
        <is>
          <t>IMF.RES:WEO</t>
        </is>
      </c>
      <c r="D2625" s="3" t="inlineStr">
        <is>
          <t>SGP.NGDP_RPCH.A</t>
        </is>
      </c>
      <c r="E2625" s="3" t="inlineStr">
        <is>
          <t>Singapore</t>
        </is>
      </c>
      <c r="F2625" s="3" t="inlineStr">
        <is>
          <t>Gross domestic product (GDP), Constant prices, Percent change</t>
        </is>
      </c>
      <c r="G2625" s="3" t="n">
        <v>9.038316</v>
      </c>
      <c r="H2625" s="3" t="n">
        <v>-1.070863</v>
      </c>
      <c r="I2625" s="3" t="n">
        <v>3.923361</v>
      </c>
      <c r="J2625" s="3" t="n">
        <v>4.548255</v>
      </c>
      <c r="K2625" s="3" t="n">
        <v>9.939983</v>
      </c>
      <c r="L2625" s="3" t="n">
        <v>7.366322</v>
      </c>
      <c r="M2625" s="3" t="n">
        <v>9.006766000000001</v>
      </c>
      <c r="N2625" s="3" t="n">
        <v>9.021520000000001</v>
      </c>
      <c r="O2625" s="3" t="n">
        <v>1.863483</v>
      </c>
      <c r="P2625" s="3" t="n">
        <v>0.127953</v>
      </c>
      <c r="Q2625" s="3" t="n">
        <v>14.51975</v>
      </c>
      <c r="R2625" s="3" t="n">
        <v>6.214934</v>
      </c>
      <c r="S2625" s="3" t="n">
        <v>4.435498</v>
      </c>
      <c r="T2625" s="3" t="n">
        <v>4.817631</v>
      </c>
      <c r="U2625" s="3" t="n">
        <v>3.93554</v>
      </c>
      <c r="V2625" s="3" t="n">
        <v>2.976799</v>
      </c>
      <c r="W2625" s="3" t="n">
        <v>3.910953</v>
      </c>
      <c r="X2625" s="3" t="n">
        <v>4.326794</v>
      </c>
      <c r="Y2625" s="3" t="n">
        <v>3.186608</v>
      </c>
      <c r="Z2625" s="3" t="n">
        <v>1.158779</v>
      </c>
      <c r="AA2625" s="3" t="n">
        <v>-3.610843</v>
      </c>
      <c r="AB2625" s="3" t="n">
        <v>10.141085</v>
      </c>
      <c r="AC2625" s="3" t="n">
        <v>4.010279</v>
      </c>
      <c r="AD2625" s="3" t="n">
        <v>1.450268</v>
      </c>
      <c r="AE2625" s="3" t="n">
        <v>5.343512</v>
      </c>
      <c r="AF2625" s="3" t="n">
        <v>5.023247</v>
      </c>
      <c r="AG2625" s="3" t="n">
        <v>3.507474</v>
      </c>
      <c r="AH2625" s="3" t="n">
        <v>2.667406</v>
      </c>
      <c r="AI2625" s="3" t="n">
        <v>2.517759</v>
      </c>
      <c r="AJ2625" s="3" t="n">
        <v>2.4863</v>
      </c>
      <c r="AK2625" s="3" t="n">
        <v>2.507173</v>
      </c>
      <c r="AL2625" s="3" t="n">
        <v>2.500163</v>
      </c>
      <c r="AM2625" s="3" t="n"/>
      <c r="AN2625" s="3" t="n"/>
      <c r="AO2625" s="3" t="n"/>
      <c r="AP2625" s="3" t="n"/>
      <c r="AQ2625" s="3" t="n"/>
      <c r="AR2625" s="3" t="n"/>
      <c r="AS2625" s="3" t="n"/>
      <c r="AT2625" s="3" t="n"/>
      <c r="AU2625" s="3" t="n"/>
    </row>
    <row r="2626">
      <c r="A2626" s="3" t="n">
        <v>2031</v>
      </c>
      <c r="B2626" s="3" t="inlineStr">
        <is>
          <t>SGP</t>
        </is>
      </c>
      <c r="C2626" s="3" t="inlineStr">
        <is>
          <t>IMF.RES:WEO</t>
        </is>
      </c>
      <c r="D2626" s="3" t="inlineStr">
        <is>
          <t>SGP.NGDPD.A</t>
        </is>
      </c>
      <c r="E2626" s="3" t="inlineStr">
        <is>
          <t>Singapore</t>
        </is>
      </c>
      <c r="F2626" s="3" t="inlineStr">
        <is>
          <t>Gross domestic product (GDP), Current prices, US dollar</t>
        </is>
      </c>
      <c r="G2626" s="3" t="n">
        <v>96.076521</v>
      </c>
      <c r="H2626" s="3" t="n">
        <v>89.79381600000001</v>
      </c>
      <c r="I2626" s="3" t="n">
        <v>92.53835599999999</v>
      </c>
      <c r="J2626" s="3" t="n">
        <v>97.646382</v>
      </c>
      <c r="K2626" s="3" t="n">
        <v>115.03357</v>
      </c>
      <c r="L2626" s="3" t="n">
        <v>127.80781</v>
      </c>
      <c r="M2626" s="3" t="n">
        <v>148.627255</v>
      </c>
      <c r="N2626" s="3" t="n">
        <v>180.941741</v>
      </c>
      <c r="O2626" s="3" t="n">
        <v>193.617346</v>
      </c>
      <c r="P2626" s="3" t="n">
        <v>194.150322</v>
      </c>
      <c r="Q2626" s="3" t="n">
        <v>239.807922</v>
      </c>
      <c r="R2626" s="3" t="n">
        <v>279.356526</v>
      </c>
      <c r="S2626" s="3" t="n">
        <v>295.09284</v>
      </c>
      <c r="T2626" s="3" t="n">
        <v>307.576361</v>
      </c>
      <c r="U2626" s="3" t="n">
        <v>314.863581</v>
      </c>
      <c r="V2626" s="3" t="n">
        <v>307.998545</v>
      </c>
      <c r="W2626" s="3" t="n">
        <v>320.759123</v>
      </c>
      <c r="X2626" s="3" t="n">
        <v>344.795119</v>
      </c>
      <c r="Y2626" s="3" t="n">
        <v>377.976461</v>
      </c>
      <c r="Z2626" s="3" t="n">
        <v>376.827299</v>
      </c>
      <c r="AA2626" s="3" t="n">
        <v>351.226619</v>
      </c>
      <c r="AB2626" s="3" t="n">
        <v>441.110794</v>
      </c>
      <c r="AC2626" s="3" t="n">
        <v>514.25266</v>
      </c>
      <c r="AD2626" s="3" t="n">
        <v>511.181888</v>
      </c>
      <c r="AE2626" s="3" t="n">
        <v>572.877117</v>
      </c>
      <c r="AF2626" s="3" t="n">
        <v>603.869517</v>
      </c>
      <c r="AG2626" s="3" t="n">
        <v>659.572122</v>
      </c>
      <c r="AH2626" s="3" t="n">
        <v>691.3693479999999</v>
      </c>
      <c r="AI2626" s="3" t="n">
        <v>722.229205</v>
      </c>
      <c r="AJ2626" s="3" t="n">
        <v>754.191353</v>
      </c>
      <c r="AK2626" s="3" t="n">
        <v>787.729706</v>
      </c>
      <c r="AL2626" s="3" t="n">
        <v>822.67386</v>
      </c>
      <c r="AM2626" s="3" t="n"/>
      <c r="AN2626" s="3" t="n"/>
      <c r="AO2626" s="3" t="n"/>
      <c r="AP2626" s="3" t="n"/>
      <c r="AQ2626" s="3" t="n"/>
      <c r="AR2626" s="3" t="n"/>
      <c r="AS2626" s="3" t="n"/>
      <c r="AT2626" s="3" t="n"/>
      <c r="AU2626" s="3" t="n"/>
    </row>
    <row r="2627">
      <c r="A2627" s="3" t="n">
        <v>2031</v>
      </c>
      <c r="B2627" s="3" t="inlineStr">
        <is>
          <t>SGP</t>
        </is>
      </c>
      <c r="C2627" s="3" t="inlineStr">
        <is>
          <t>IMF.RES:WEO</t>
        </is>
      </c>
      <c r="D2627" s="3" t="inlineStr">
        <is>
          <t>SGP.NGDPPC.A</t>
        </is>
      </c>
      <c r="E2627" s="3" t="inlineStr">
        <is>
          <t>Singapore</t>
        </is>
      </c>
      <c r="F2627" s="3" t="inlineStr">
        <is>
          <t>Gross domestic product (GDP), Current prices, Per capita, Domestic currency</t>
        </is>
      </c>
      <c r="G2627" s="3" t="n">
        <v>41121.411797</v>
      </c>
      <c r="H2627" s="3" t="n">
        <v>38879.925916</v>
      </c>
      <c r="I2627" s="3" t="n">
        <v>39679.138879</v>
      </c>
      <c r="J2627" s="3" t="n">
        <v>41342.671598</v>
      </c>
      <c r="K2627" s="3" t="n">
        <v>46663.949865</v>
      </c>
      <c r="L2627" s="3" t="n">
        <v>49867.526599</v>
      </c>
      <c r="M2627" s="3" t="n">
        <v>53655.80905</v>
      </c>
      <c r="N2627" s="3" t="n">
        <v>59429.381386</v>
      </c>
      <c r="O2627" s="3" t="n">
        <v>56606.568258</v>
      </c>
      <c r="P2627" s="3" t="n">
        <v>56619.62241</v>
      </c>
      <c r="Q2627" s="3" t="n">
        <v>64407.59528</v>
      </c>
      <c r="R2627" s="3" t="n">
        <v>67783.381253</v>
      </c>
      <c r="S2627" s="3" t="n">
        <v>69416.446727</v>
      </c>
      <c r="T2627" s="3" t="n">
        <v>71283.339896</v>
      </c>
      <c r="U2627" s="3" t="n">
        <v>72937.48276899999</v>
      </c>
      <c r="V2627" s="3" t="n">
        <v>76502.97145300001</v>
      </c>
      <c r="W2627" s="3" t="n">
        <v>79030.004371</v>
      </c>
      <c r="X2627" s="3" t="n">
        <v>84838.69134200001</v>
      </c>
      <c r="Y2627" s="3" t="n">
        <v>90416.68647</v>
      </c>
      <c r="Z2627" s="3" t="n">
        <v>90128.14607800001</v>
      </c>
      <c r="AA2627" s="3" t="n">
        <v>85230.11773</v>
      </c>
      <c r="AB2627" s="3" t="n">
        <v>108667.429715</v>
      </c>
      <c r="AC2627" s="3" t="n">
        <v>125772.615399</v>
      </c>
      <c r="AD2627" s="3" t="n">
        <v>115991.691294</v>
      </c>
      <c r="AE2627" s="3" t="n">
        <v>126803.917931</v>
      </c>
      <c r="AF2627" s="3" t="n">
        <v>129915.142336</v>
      </c>
      <c r="AG2627" s="3" t="n">
        <v>136548.4116</v>
      </c>
      <c r="AH2627" s="3" t="n">
        <v>141670.862336</v>
      </c>
      <c r="AI2627" s="3" t="n">
        <v>146738.012703</v>
      </c>
      <c r="AJ2627" s="3" t="n">
        <v>152119.95094</v>
      </c>
      <c r="AK2627" s="3" t="n">
        <v>157623.68616</v>
      </c>
      <c r="AL2627" s="3" t="n">
        <v>163255.746332</v>
      </c>
      <c r="AM2627" s="3" t="n"/>
      <c r="AN2627" s="3" t="n"/>
      <c r="AO2627" s="3" t="n"/>
      <c r="AP2627" s="3" t="n"/>
      <c r="AQ2627" s="3" t="n"/>
      <c r="AR2627" s="3" t="n"/>
      <c r="AS2627" s="3" t="n"/>
      <c r="AT2627" s="3" t="n"/>
      <c r="AU2627" s="3" t="n"/>
    </row>
    <row r="2628">
      <c r="A2628" s="3" t="n">
        <v>2031</v>
      </c>
      <c r="B2628" s="3" t="inlineStr">
        <is>
          <t>SGP</t>
        </is>
      </c>
      <c r="C2628" s="3" t="inlineStr">
        <is>
          <t>IMF.RES:WEO</t>
        </is>
      </c>
      <c r="D2628" s="3" t="inlineStr">
        <is>
          <t>SGP.NGDPRPC.A</t>
        </is>
      </c>
      <c r="E2628" s="3" t="inlineStr">
        <is>
          <t>Singapore</t>
        </is>
      </c>
      <c r="F2628" s="3" t="inlineStr">
        <is>
          <t>Gross domestic product (GDP), Constant prices, Per capita, Domestic currency</t>
        </is>
      </c>
      <c r="G2628" s="3" t="n">
        <v>47967.755799</v>
      </c>
      <c r="H2628" s="3" t="n">
        <v>46191.190359</v>
      </c>
      <c r="I2628" s="3" t="n">
        <v>47567.331984</v>
      </c>
      <c r="J2628" s="3" t="n">
        <v>50469.545978</v>
      </c>
      <c r="K2628" s="3" t="n">
        <v>54795.899069</v>
      </c>
      <c r="L2628" s="3" t="n">
        <v>57465.606379</v>
      </c>
      <c r="M2628" s="3" t="n">
        <v>60711.461104</v>
      </c>
      <c r="N2628" s="3" t="n">
        <v>63487.787885</v>
      </c>
      <c r="O2628" s="3" t="n">
        <v>61319.367128</v>
      </c>
      <c r="P2628" s="3" t="n">
        <v>59573.744585</v>
      </c>
      <c r="Q2628" s="3" t="n">
        <v>67025.53926400001</v>
      </c>
      <c r="R2628" s="3" t="n">
        <v>69722.23251099999</v>
      </c>
      <c r="S2628" s="3" t="n">
        <v>71050.0661</v>
      </c>
      <c r="T2628" s="3" t="n">
        <v>73276.76035700001</v>
      </c>
      <c r="U2628" s="3" t="n">
        <v>75178.089425</v>
      </c>
      <c r="V2628" s="3" t="n">
        <v>76502.97145300001</v>
      </c>
      <c r="W2628" s="3" t="n">
        <v>78470.23237500001</v>
      </c>
      <c r="X2628" s="3" t="n">
        <v>81792.98046599999</v>
      </c>
      <c r="Y2628" s="3" t="n">
        <v>84003.904463</v>
      </c>
      <c r="Z2628" s="3" t="n">
        <v>84010.485365</v>
      </c>
      <c r="AA2628" s="3" t="n">
        <v>81229.964366</v>
      </c>
      <c r="AB2628" s="3" t="n">
        <v>93277.55454</v>
      </c>
      <c r="AC2628" s="3" t="n">
        <v>93860.800969</v>
      </c>
      <c r="AD2628" s="3" t="n">
        <v>90706.42593100001</v>
      </c>
      <c r="AE2628" s="3" t="n">
        <v>93666.409359</v>
      </c>
      <c r="AF2628" s="3" t="n">
        <v>97717.420524</v>
      </c>
      <c r="AG2628" s="3" t="n">
        <v>100424.457051</v>
      </c>
      <c r="AH2628" s="3" t="n">
        <v>102292.514173</v>
      </c>
      <c r="AI2628" s="3" t="n">
        <v>104001.079865</v>
      </c>
      <c r="AJ2628" s="3" t="n">
        <v>105835.920085</v>
      </c>
      <c r="AK2628" s="3" t="n">
        <v>107649.212473</v>
      </c>
      <c r="AL2628" s="3" t="n">
        <v>109449.106464</v>
      </c>
      <c r="AM2628" s="3" t="n"/>
      <c r="AN2628" s="3" t="n"/>
      <c r="AO2628" s="3" t="n"/>
      <c r="AP2628" s="3" t="n"/>
      <c r="AQ2628" s="3" t="n"/>
      <c r="AR2628" s="3" t="n"/>
      <c r="AS2628" s="3" t="n"/>
      <c r="AT2628" s="3" t="n"/>
      <c r="AU2628" s="3" t="n"/>
    </row>
    <row r="2629">
      <c r="A2629" s="3" t="n">
        <v>2031</v>
      </c>
      <c r="B2629" s="3" t="inlineStr">
        <is>
          <t>SGP</t>
        </is>
      </c>
      <c r="C2629" s="3" t="inlineStr">
        <is>
          <t>IMF.RES:WEO</t>
        </is>
      </c>
      <c r="D2629" s="3" t="inlineStr">
        <is>
          <t>SGP.PCPI.A</t>
        </is>
      </c>
      <c r="E2629" s="3" t="inlineStr">
        <is>
          <t>Singapore</t>
        </is>
      </c>
      <c r="F2629" s="3" t="inlineStr">
        <is>
          <t>All Items, Consumer price index (CPI), Period average</t>
        </is>
      </c>
      <c r="G2629" s="3" t="n">
        <v>63.941667</v>
      </c>
      <c r="H2629" s="3" t="n">
        <v>64.590417</v>
      </c>
      <c r="I2629" s="3" t="n">
        <v>64.337417</v>
      </c>
      <c r="J2629" s="3" t="n">
        <v>64.651</v>
      </c>
      <c r="K2629" s="3" t="n">
        <v>65.731917</v>
      </c>
      <c r="L2629" s="3" t="n">
        <v>66.043083</v>
      </c>
      <c r="M2629" s="3" t="n">
        <v>66.68083300000001</v>
      </c>
      <c r="N2629" s="3" t="n">
        <v>68.087667</v>
      </c>
      <c r="O2629" s="3" t="n">
        <v>72.605583</v>
      </c>
      <c r="P2629" s="3" t="n">
        <v>73.033333</v>
      </c>
      <c r="Q2629" s="3" t="n">
        <v>75.099333</v>
      </c>
      <c r="R2629" s="3" t="n">
        <v>79.042917</v>
      </c>
      <c r="S2629" s="3" t="n">
        <v>82.66374999999999</v>
      </c>
      <c r="T2629" s="3" t="n">
        <v>84.61825</v>
      </c>
      <c r="U2629" s="3" t="n">
        <v>85.49250000000001</v>
      </c>
      <c r="V2629" s="3" t="n">
        <v>85.04625</v>
      </c>
      <c r="W2629" s="3" t="n">
        <v>84.59566700000001</v>
      </c>
      <c r="X2629" s="3" t="n">
        <v>85.083583</v>
      </c>
      <c r="Y2629" s="3" t="n">
        <v>85.456917</v>
      </c>
      <c r="Z2629" s="3" t="n">
        <v>85.942167</v>
      </c>
      <c r="AA2629" s="3" t="n">
        <v>85.79425000000001</v>
      </c>
      <c r="AB2629" s="3" t="n">
        <v>87.781333</v>
      </c>
      <c r="AC2629" s="3" t="n">
        <v>93.163167</v>
      </c>
      <c r="AD2629" s="3" t="n">
        <v>97.666417</v>
      </c>
      <c r="AE2629" s="3" t="n">
        <v>100.000167</v>
      </c>
      <c r="AF2629" s="3" t="n">
        <v>100.903167</v>
      </c>
      <c r="AG2629" s="3" t="n">
        <v>103.22394</v>
      </c>
      <c r="AH2629" s="3" t="n">
        <v>105.155489</v>
      </c>
      <c r="AI2629" s="3" t="n">
        <v>107.228338</v>
      </c>
      <c r="AJ2629" s="3" t="n">
        <v>109.342047</v>
      </c>
      <c r="AK2629" s="3" t="n">
        <v>111.497423</v>
      </c>
      <c r="AL2629" s="3" t="n">
        <v>113.695285</v>
      </c>
      <c r="AM2629" s="3" t="n"/>
      <c r="AN2629" s="3" t="n"/>
      <c r="AO2629" s="3" t="n"/>
      <c r="AP2629" s="3" t="n"/>
      <c r="AQ2629" s="3" t="n"/>
      <c r="AR2629" s="3" t="n"/>
      <c r="AS2629" s="3" t="n"/>
      <c r="AT2629" s="3" t="n"/>
      <c r="AU2629" s="3" t="n"/>
    </row>
    <row r="2630">
      <c r="A2630" s="3" t="n">
        <v>2031</v>
      </c>
      <c r="B2630" s="3" t="inlineStr">
        <is>
          <t>SGP</t>
        </is>
      </c>
      <c r="C2630" s="3" t="inlineStr">
        <is>
          <t>IMF.RES:WEO</t>
        </is>
      </c>
      <c r="D2630" s="3" t="inlineStr">
        <is>
          <t>SGP.PCPIPCH.A</t>
        </is>
      </c>
      <c r="E2630" s="3" t="inlineStr">
        <is>
          <t>Singapore</t>
        </is>
      </c>
      <c r="F2630" s="3" t="inlineStr">
        <is>
          <t>All Items, Consumer price index (CPI), Period average, percent change</t>
        </is>
      </c>
      <c r="G2630" s="3" t="n">
        <v>1.348049</v>
      </c>
      <c r="H2630" s="3" t="n">
        <v>1.014597</v>
      </c>
      <c r="I2630" s="3" t="n">
        <v>-0.391699</v>
      </c>
      <c r="J2630" s="3" t="n">
        <v>0.487404</v>
      </c>
      <c r="K2630" s="3" t="n">
        <v>1.671926</v>
      </c>
      <c r="L2630" s="3" t="n">
        <v>0.473387</v>
      </c>
      <c r="M2630" s="3" t="n">
        <v>0.965658</v>
      </c>
      <c r="N2630" s="3" t="n">
        <v>2.109802</v>
      </c>
      <c r="O2630" s="3" t="n">
        <v>6.635441</v>
      </c>
      <c r="P2630" s="3" t="n">
        <v>0.5891420000000001</v>
      </c>
      <c r="Q2630" s="3" t="n">
        <v>2.828845</v>
      </c>
      <c r="R2630" s="3" t="n">
        <v>5.251156</v>
      </c>
      <c r="S2630" s="3" t="n">
        <v>4.580845</v>
      </c>
      <c r="T2630" s="3" t="n">
        <v>2.364398</v>
      </c>
      <c r="U2630" s="3" t="n">
        <v>1.03317</v>
      </c>
      <c r="V2630" s="3" t="n">
        <v>-0.521976</v>
      </c>
      <c r="W2630" s="3" t="n">
        <v>-0.52981</v>
      </c>
      <c r="X2630" s="3" t="n">
        <v>0.576763</v>
      </c>
      <c r="Y2630" s="3" t="n">
        <v>0.438784</v>
      </c>
      <c r="Z2630" s="3" t="n">
        <v>0.5678299999999999</v>
      </c>
      <c r="AA2630" s="3" t="n">
        <v>-0.172112</v>
      </c>
      <c r="AB2630" s="3" t="n">
        <v>2.316103</v>
      </c>
      <c r="AC2630" s="3" t="n">
        <v>6.130954</v>
      </c>
      <c r="AD2630" s="3" t="n">
        <v>4.833724</v>
      </c>
      <c r="AE2630" s="3" t="n">
        <v>2.389511</v>
      </c>
      <c r="AF2630" s="3" t="n">
        <v>0.902998</v>
      </c>
      <c r="AG2630" s="3" t="n">
        <v>2.3</v>
      </c>
      <c r="AH2630" s="3" t="n">
        <v>1.871223</v>
      </c>
      <c r="AI2630" s="3" t="n">
        <v>1.971223</v>
      </c>
      <c r="AJ2630" s="3" t="n">
        <v>1.971223</v>
      </c>
      <c r="AK2630" s="3" t="n">
        <v>1.971223</v>
      </c>
      <c r="AL2630" s="3" t="n">
        <v>1.971223</v>
      </c>
      <c r="AM2630" s="3" t="n"/>
      <c r="AN2630" s="3" t="n"/>
      <c r="AO2630" s="3" t="n"/>
      <c r="AP2630" s="3" t="n"/>
      <c r="AQ2630" s="3" t="n"/>
      <c r="AR2630" s="3" t="n"/>
      <c r="AS2630" s="3" t="n"/>
      <c r="AT2630" s="3" t="n"/>
      <c r="AU2630" s="3" t="n"/>
    </row>
    <row r="2631">
      <c r="A2631" s="3" t="n">
        <v>2031</v>
      </c>
      <c r="B2631" s="3" t="inlineStr">
        <is>
          <t>SGP</t>
        </is>
      </c>
      <c r="C2631" s="3" t="inlineStr">
        <is>
          <t>IMF.RES:WEO</t>
        </is>
      </c>
      <c r="D2631" s="3" t="inlineStr">
        <is>
          <t>SGP.PPPPC.A</t>
        </is>
      </c>
      <c r="E2631" s="3" t="inlineStr">
        <is>
          <t>Singapore</t>
        </is>
      </c>
      <c r="F2631" s="3" t="inlineStr">
        <is>
          <t>Gross domestic product (GDP), Per capita, purchasing power parity (PPP) international dollar, ICP benchmarks 2017-2021</t>
        </is>
      </c>
      <c r="G2631" s="3" t="n">
        <v>40966.464635</v>
      </c>
      <c r="H2631" s="3" t="n">
        <v>40337.449939</v>
      </c>
      <c r="I2631" s="3" t="n">
        <v>42184.729149</v>
      </c>
      <c r="J2631" s="3" t="n">
        <v>45642.165748</v>
      </c>
      <c r="K2631" s="3" t="n">
        <v>50887.173057</v>
      </c>
      <c r="L2631" s="3" t="n">
        <v>55039.919672</v>
      </c>
      <c r="M2631" s="3" t="n">
        <v>59942.002634</v>
      </c>
      <c r="N2631" s="3" t="n">
        <v>64381.397801</v>
      </c>
      <c r="O2631" s="3" t="n">
        <v>63380.345695</v>
      </c>
      <c r="P2631" s="3" t="n">
        <v>61955.817128</v>
      </c>
      <c r="Q2631" s="3" t="n">
        <v>70552.757694</v>
      </c>
      <c r="R2631" s="3" t="n">
        <v>74905.61053200001</v>
      </c>
      <c r="S2631" s="3" t="n">
        <v>77753.412601</v>
      </c>
      <c r="T2631" s="3" t="n">
        <v>81555.02928800001</v>
      </c>
      <c r="U2631" s="3" t="n">
        <v>85128.469474</v>
      </c>
      <c r="V2631" s="3" t="n">
        <v>87432.67004</v>
      </c>
      <c r="W2631" s="3" t="n">
        <v>90533.156177</v>
      </c>
      <c r="X2631" s="3" t="n">
        <v>96056.700795</v>
      </c>
      <c r="Y2631" s="3" t="n">
        <v>104198.419111</v>
      </c>
      <c r="Z2631" s="3" t="n">
        <v>105521.61934</v>
      </c>
      <c r="AA2631" s="3" t="n">
        <v>102117.449504</v>
      </c>
      <c r="AB2631" s="3" t="n">
        <v>133990.186782</v>
      </c>
      <c r="AC2631" s="3" t="n">
        <v>144417.527088</v>
      </c>
      <c r="AD2631" s="3" t="n">
        <v>144728.01287</v>
      </c>
      <c r="AE2631" s="3" t="n">
        <v>153161.043842</v>
      </c>
      <c r="AF2631" s="3" t="n">
        <v>164317.891106</v>
      </c>
      <c r="AG2631" s="3" t="n">
        <v>173707.812468</v>
      </c>
      <c r="AH2631" s="3" t="n">
        <v>180824.466758</v>
      </c>
      <c r="AI2631" s="3" t="n">
        <v>186862.341556</v>
      </c>
      <c r="AJ2631" s="3" t="n">
        <v>193540.297062</v>
      </c>
      <c r="AK2631" s="3" t="n">
        <v>200473.519274</v>
      </c>
      <c r="AL2631" s="3" t="n">
        <v>207505.099179</v>
      </c>
      <c r="AM2631" s="3" t="n"/>
      <c r="AN2631" s="3" t="n"/>
      <c r="AO2631" s="3" t="n"/>
      <c r="AP2631" s="3" t="n"/>
      <c r="AQ2631" s="3" t="n"/>
      <c r="AR2631" s="3" t="n"/>
      <c r="AS2631" s="3" t="n"/>
      <c r="AT2631" s="3" t="n"/>
      <c r="AU2631" s="3" t="n"/>
    </row>
    <row r="2632">
      <c r="A2632" s="3" t="n">
        <v>2025</v>
      </c>
      <c r="B2632" s="3" t="inlineStr">
        <is>
          <t>SGP</t>
        </is>
      </c>
      <c r="C2632" s="3" t="inlineStr">
        <is>
          <t>IMF.STA:ER</t>
        </is>
      </c>
      <c r="D2632" s="3" t="inlineStr">
        <is>
          <t>SGP.XDC_USD.PA_RT.A</t>
        </is>
      </c>
      <c r="E2632" s="3" t="inlineStr">
        <is>
          <t>Singapore</t>
        </is>
      </c>
      <c r="F2632" s="3" t="inlineStr">
        <is>
          <t>Domestic currency per US Dollar</t>
        </is>
      </c>
      <c r="G2632" s="3" t="n">
        <v>1.72396333333333</v>
      </c>
      <c r="H2632" s="3" t="n">
        <v>1.7917225</v>
      </c>
      <c r="I2632" s="3" t="n">
        <v>1.79058833333333</v>
      </c>
      <c r="J2632" s="3" t="n">
        <v>1.74218333333333</v>
      </c>
      <c r="K2632" s="3" t="n">
        <v>1.69022833333333</v>
      </c>
      <c r="L2632" s="3" t="n">
        <v>1.6643975</v>
      </c>
      <c r="M2632" s="3" t="n">
        <v>1.58893333333333</v>
      </c>
      <c r="N2632" s="3" t="n">
        <v>1.50710166666666</v>
      </c>
      <c r="O2632" s="3" t="n">
        <v>1.41486083333333</v>
      </c>
      <c r="P2632" s="3" t="n">
        <v>1.45451471343873</v>
      </c>
      <c r="Q2632" s="3" t="n">
        <v>1.36350833333333</v>
      </c>
      <c r="R2632" s="3" t="n">
        <v>1.25777587719298</v>
      </c>
      <c r="S2632" s="3" t="n">
        <v>1.2496762037037</v>
      </c>
      <c r="T2632" s="3" t="n">
        <v>1.2513</v>
      </c>
      <c r="U2632" s="3" t="n">
        <v>1.26705</v>
      </c>
      <c r="V2632" s="3" t="n">
        <v>1.374825</v>
      </c>
      <c r="W2632" s="3" t="n">
        <v>1.38154636363636</v>
      </c>
      <c r="X2632" s="3" t="n">
        <v>1.380925</v>
      </c>
      <c r="Y2632" s="3" t="n">
        <v>1.34884166666666</v>
      </c>
      <c r="Z2632" s="3" t="n">
        <v>1.36415833333333</v>
      </c>
      <c r="AA2632" s="3" t="n">
        <v>1.37974166666666</v>
      </c>
      <c r="AB2632" s="3" t="n">
        <v>1.34348333333333</v>
      </c>
      <c r="AC2632" s="3" t="n">
        <v>1.37866666666666</v>
      </c>
      <c r="AD2632" s="3" t="n">
        <v>1.34276666666666</v>
      </c>
      <c r="AE2632" s="3" t="n">
        <v>1.33623333333333</v>
      </c>
      <c r="AF2632" s="3" t="n">
        <v>1.30745</v>
      </c>
      <c r="AG2632" s="3" t="n"/>
      <c r="AH2632" s="3" t="n"/>
      <c r="AI2632" s="3" t="n"/>
      <c r="AJ2632" s="3" t="n"/>
      <c r="AK2632" s="3" t="n"/>
      <c r="AL2632" s="3" t="n"/>
      <c r="AM2632" s="3" t="n"/>
      <c r="AN2632" s="3" t="n"/>
      <c r="AO2632" s="3" t="n"/>
      <c r="AP2632" s="3" t="n"/>
      <c r="AQ2632" s="3" t="n"/>
      <c r="AR2632" s="3" t="n"/>
      <c r="AS2632" s="3" t="n"/>
      <c r="AT2632" s="3" t="n"/>
      <c r="AU2632" s="3" t="n"/>
    </row>
    <row r="2633">
      <c r="A2633" s="3" t="n">
        <v>2031</v>
      </c>
      <c r="B2633" s="3" t="inlineStr">
        <is>
          <t>SLB</t>
        </is>
      </c>
      <c r="C2633" s="3" t="inlineStr">
        <is>
          <t>IMF.RES:WEO</t>
        </is>
      </c>
      <c r="D2633" s="3" t="inlineStr">
        <is>
          <t>SLB.BCA.A</t>
        </is>
      </c>
      <c r="E2633" s="3" t="inlineStr">
        <is>
          <t>Solomon Islands</t>
        </is>
      </c>
      <c r="F2633" s="3" t="inlineStr">
        <is>
          <t>Current account balance (credit less debit), US dollar</t>
        </is>
      </c>
      <c r="G2633" s="3" t="n">
        <v>-0.030521</v>
      </c>
      <c r="H2633" s="3" t="n">
        <v>-0.025789</v>
      </c>
      <c r="I2633" s="3" t="n">
        <v>-0.014659</v>
      </c>
      <c r="J2633" s="3" t="n">
        <v>0.020822</v>
      </c>
      <c r="K2633" s="3" t="n">
        <v>0.061079</v>
      </c>
      <c r="L2633" s="3" t="n">
        <v>-0.028854</v>
      </c>
      <c r="M2633" s="3" t="n">
        <v>-0.042028</v>
      </c>
      <c r="N2633" s="3" t="n">
        <v>-0.079944</v>
      </c>
      <c r="O2633" s="3" t="n">
        <v>-0.07655000000000001</v>
      </c>
      <c r="P2633" s="3" t="n">
        <v>-0.059455</v>
      </c>
      <c r="Q2633" s="3" t="n">
        <v>-0.144117</v>
      </c>
      <c r="R2633" s="3" t="n">
        <v>-0.020456</v>
      </c>
      <c r="S2633" s="3" t="n">
        <v>0.026483</v>
      </c>
      <c r="T2633" s="3" t="n">
        <v>-0.026829</v>
      </c>
      <c r="U2633" s="3" t="n">
        <v>-0.04983</v>
      </c>
      <c r="V2633" s="3" t="n">
        <v>-0.034724</v>
      </c>
      <c r="W2633" s="3" t="n">
        <v>-0.051405</v>
      </c>
      <c r="X2633" s="3" t="n">
        <v>-0.062967</v>
      </c>
      <c r="Y2633" s="3" t="n">
        <v>-0.047877</v>
      </c>
      <c r="Z2633" s="3" t="n">
        <v>-0.153982</v>
      </c>
      <c r="AA2633" s="3" t="n">
        <v>-0.025318</v>
      </c>
      <c r="AB2633" s="3" t="n">
        <v>-0.077446</v>
      </c>
      <c r="AC2633" s="3" t="n">
        <v>-0.214516</v>
      </c>
      <c r="AD2633" s="3" t="n">
        <v>-0.172129</v>
      </c>
      <c r="AE2633" s="3" t="n">
        <v>-0.065882</v>
      </c>
      <c r="AF2633" s="3" t="n">
        <v>-0.016504</v>
      </c>
      <c r="AG2633" s="3" t="n">
        <v>-0.08413900000000001</v>
      </c>
      <c r="AH2633" s="3" t="n">
        <v>-0.094593</v>
      </c>
      <c r="AI2633" s="3" t="n">
        <v>-0.102948</v>
      </c>
      <c r="AJ2633" s="3" t="n">
        <v>-0.108293</v>
      </c>
      <c r="AK2633" s="3" t="n">
        <v>-0.113727</v>
      </c>
      <c r="AL2633" s="3" t="n">
        <v>-0.119787</v>
      </c>
      <c r="AM2633" s="3" t="n"/>
      <c r="AN2633" s="3" t="n"/>
      <c r="AO2633" s="3" t="n"/>
      <c r="AP2633" s="3" t="n"/>
      <c r="AQ2633" s="3" t="n"/>
      <c r="AR2633" s="3" t="n"/>
      <c r="AS2633" s="3" t="n"/>
      <c r="AT2633" s="3" t="n"/>
      <c r="AU2633" s="3" t="n"/>
    </row>
    <row r="2634">
      <c r="A2634" s="3" t="n">
        <v>2031</v>
      </c>
      <c r="B2634" s="3" t="inlineStr">
        <is>
          <t>SLB</t>
        </is>
      </c>
      <c r="C2634" s="3" t="inlineStr">
        <is>
          <t>IMF.RES:WEO</t>
        </is>
      </c>
      <c r="D2634" s="3" t="inlineStr">
        <is>
          <t>SLB.BCA_NGDPD.A</t>
        </is>
      </c>
      <c r="E2634" s="3" t="inlineStr">
        <is>
          <t>Solomon Islands</t>
        </is>
      </c>
      <c r="F2634" s="3" t="inlineStr">
        <is>
          <t>Current account balance (credit less debit), Percent of GDP</t>
        </is>
      </c>
      <c r="G2634" s="3" t="n">
        <v>-6.135886</v>
      </c>
      <c r="H2634" s="3" t="n">
        <v>-5.315381</v>
      </c>
      <c r="I2634" s="3" t="n">
        <v>-3.571764</v>
      </c>
      <c r="J2634" s="3" t="n">
        <v>4.985259</v>
      </c>
      <c r="K2634" s="3" t="n">
        <v>13.051046</v>
      </c>
      <c r="L2634" s="3" t="n">
        <v>-5.218794</v>
      </c>
      <c r="M2634" s="3" t="n">
        <v>-6.808759</v>
      </c>
      <c r="N2634" s="3" t="n">
        <v>-11.497957</v>
      </c>
      <c r="O2634" s="3" t="n">
        <v>-9.860414</v>
      </c>
      <c r="P2634" s="3" t="n">
        <v>-7.380576</v>
      </c>
      <c r="Q2634" s="3" t="n">
        <v>-16.04634</v>
      </c>
      <c r="R2634" s="3" t="n">
        <v>-1.922783</v>
      </c>
      <c r="S2634" s="3" t="n">
        <v>2.23448</v>
      </c>
      <c r="T2634" s="3" t="n">
        <v>-2.086355</v>
      </c>
      <c r="U2634" s="3" t="n">
        <v>-3.730965</v>
      </c>
      <c r="V2634" s="3" t="n">
        <v>-2.654899</v>
      </c>
      <c r="W2634" s="3" t="n">
        <v>-3.726364</v>
      </c>
      <c r="X2634" s="3" t="n">
        <v>-4.28408</v>
      </c>
      <c r="Y2634" s="3" t="n">
        <v>-2.963644</v>
      </c>
      <c r="Z2634" s="3" t="n">
        <v>-9.510061</v>
      </c>
      <c r="AA2634" s="3" t="n">
        <v>-1.648153</v>
      </c>
      <c r="AB2634" s="3" t="n">
        <v>-4.969895</v>
      </c>
      <c r="AC2634" s="3" t="n">
        <v>-14.626082</v>
      </c>
      <c r="AD2634" s="3" t="n">
        <v>-11.428612</v>
      </c>
      <c r="AE2634" s="3" t="n">
        <v>-4.159298</v>
      </c>
      <c r="AF2634" s="3" t="n">
        <v>-0.968637</v>
      </c>
      <c r="AG2634" s="3" t="n">
        <v>-4.583331</v>
      </c>
      <c r="AH2634" s="3" t="n">
        <v>-4.854557</v>
      </c>
      <c r="AI2634" s="3" t="n">
        <v>-4.959611</v>
      </c>
      <c r="AJ2634" s="3" t="n">
        <v>-4.894658</v>
      </c>
      <c r="AK2634" s="3" t="n">
        <v>-4.819565</v>
      </c>
      <c r="AL2634" s="3" t="n">
        <v>-4.774434</v>
      </c>
      <c r="AM2634" s="3" t="n"/>
      <c r="AN2634" s="3" t="n"/>
      <c r="AO2634" s="3" t="n"/>
      <c r="AP2634" s="3" t="n"/>
      <c r="AQ2634" s="3" t="n"/>
      <c r="AR2634" s="3" t="n"/>
      <c r="AS2634" s="3" t="n"/>
      <c r="AT2634" s="3" t="n"/>
      <c r="AU2634" s="3" t="n"/>
    </row>
    <row r="2635">
      <c r="A2635" s="3" t="n">
        <v>2031</v>
      </c>
      <c r="B2635" s="3" t="inlineStr">
        <is>
          <t>SLB</t>
        </is>
      </c>
      <c r="C2635" s="3" t="inlineStr">
        <is>
          <t>IMF.RES:WEO</t>
        </is>
      </c>
      <c r="D2635" s="3" t="inlineStr">
        <is>
          <t>SLB.GGR_NGDP.A</t>
        </is>
      </c>
      <c r="E2635" s="3" t="inlineStr">
        <is>
          <t>Solomon Islands</t>
        </is>
      </c>
      <c r="F2635" s="3" t="inlineStr">
        <is>
          <t>Revenue, General government, Percent of GDP</t>
        </is>
      </c>
      <c r="G2635" s="3" t="n">
        <v>13.286263</v>
      </c>
      <c r="H2635" s="3" t="n">
        <v>13.287221</v>
      </c>
      <c r="I2635" s="3" t="n">
        <v>10.382879</v>
      </c>
      <c r="J2635" s="3" t="n">
        <v>21.482736</v>
      </c>
      <c r="K2635" s="3" t="n">
        <v>26.920851</v>
      </c>
      <c r="L2635" s="3" t="n">
        <v>26.218047</v>
      </c>
      <c r="M2635" s="3" t="n">
        <v>28.690279</v>
      </c>
      <c r="N2635" s="3" t="n">
        <v>34.802075</v>
      </c>
      <c r="O2635" s="3" t="n">
        <v>26.020341</v>
      </c>
      <c r="P2635" s="3" t="n">
        <v>24.830292</v>
      </c>
      <c r="Q2635" s="3" t="n">
        <v>28.246693</v>
      </c>
      <c r="R2635" s="3" t="n">
        <v>32.824683</v>
      </c>
      <c r="S2635" s="3" t="n">
        <v>33.996574</v>
      </c>
      <c r="T2635" s="3" t="n">
        <v>45.355456</v>
      </c>
      <c r="U2635" s="3" t="n">
        <v>41.967816</v>
      </c>
      <c r="V2635" s="3" t="n">
        <v>42.267213</v>
      </c>
      <c r="W2635" s="3" t="n">
        <v>36.05043</v>
      </c>
      <c r="X2635" s="3" t="n">
        <v>38.110969</v>
      </c>
      <c r="Y2635" s="3" t="n">
        <v>36.303091</v>
      </c>
      <c r="Z2635" s="3" t="n">
        <v>34.082486</v>
      </c>
      <c r="AA2635" s="3" t="n">
        <v>37.94643</v>
      </c>
      <c r="AB2635" s="3" t="n">
        <v>35.087419</v>
      </c>
      <c r="AC2635" s="3" t="n">
        <v>40.833565</v>
      </c>
      <c r="AD2635" s="3" t="n">
        <v>40.062015</v>
      </c>
      <c r="AE2635" s="3" t="n">
        <v>37.499398</v>
      </c>
      <c r="AF2635" s="3" t="n">
        <v>37.374225</v>
      </c>
      <c r="AG2635" s="3" t="n">
        <v>37.378688</v>
      </c>
      <c r="AH2635" s="3" t="n">
        <v>36.500397</v>
      </c>
      <c r="AI2635" s="3" t="n">
        <v>36.295149</v>
      </c>
      <c r="AJ2635" s="3" t="n">
        <v>36.459273</v>
      </c>
      <c r="AK2635" s="3" t="n">
        <v>36.590706</v>
      </c>
      <c r="AL2635" s="3" t="n">
        <v>36.687428</v>
      </c>
      <c r="AM2635" s="3" t="n"/>
      <c r="AN2635" s="3" t="n"/>
      <c r="AO2635" s="3" t="n"/>
      <c r="AP2635" s="3" t="n"/>
      <c r="AQ2635" s="3" t="n"/>
      <c r="AR2635" s="3" t="n"/>
      <c r="AS2635" s="3" t="n"/>
      <c r="AT2635" s="3" t="n"/>
      <c r="AU2635" s="3" t="n"/>
    </row>
    <row r="2636">
      <c r="A2636" s="3" t="n">
        <v>2031</v>
      </c>
      <c r="B2636" s="3" t="inlineStr">
        <is>
          <t>SLB</t>
        </is>
      </c>
      <c r="C2636" s="3" t="inlineStr">
        <is>
          <t>IMF.RES:WEO</t>
        </is>
      </c>
      <c r="D2636" s="3" t="inlineStr">
        <is>
          <t>SLB.GGX_NGDP.A</t>
        </is>
      </c>
      <c r="E2636" s="3" t="inlineStr">
        <is>
          <t>Solomon Islands</t>
        </is>
      </c>
      <c r="F2636" s="3" t="inlineStr">
        <is>
          <t>Expenditure, General government, Percent of GDP</t>
        </is>
      </c>
      <c r="G2636" s="3" t="n">
        <v>15.758597</v>
      </c>
      <c r="H2636" s="3" t="n">
        <v>15.309644</v>
      </c>
      <c r="I2636" s="3" t="n">
        <v>14.054164</v>
      </c>
      <c r="J2636" s="3" t="n">
        <v>12.568978</v>
      </c>
      <c r="K2636" s="3" t="n">
        <v>12.452564</v>
      </c>
      <c r="L2636" s="3" t="n">
        <v>14.670047</v>
      </c>
      <c r="M2636" s="3" t="n">
        <v>17.381602</v>
      </c>
      <c r="N2636" s="3" t="n">
        <v>21.144171</v>
      </c>
      <c r="O2636" s="3" t="n">
        <v>24.274933</v>
      </c>
      <c r="P2636" s="3" t="n">
        <v>22.682512</v>
      </c>
      <c r="Q2636" s="3" t="n">
        <v>22.574244</v>
      </c>
      <c r="R2636" s="3" t="n">
        <v>26.68185</v>
      </c>
      <c r="S2636" s="3" t="n">
        <v>29.363221</v>
      </c>
      <c r="T2636" s="3" t="n">
        <v>41.784325</v>
      </c>
      <c r="U2636" s="3" t="n">
        <v>39.840845</v>
      </c>
      <c r="V2636" s="3" t="n">
        <v>41.458784</v>
      </c>
      <c r="W2636" s="3" t="n">
        <v>39.608657</v>
      </c>
      <c r="X2636" s="3" t="n">
        <v>40.382441</v>
      </c>
      <c r="Y2636" s="3" t="n">
        <v>34.815598</v>
      </c>
      <c r="Z2636" s="3" t="n">
        <v>35.606579</v>
      </c>
      <c r="AA2636" s="3" t="n">
        <v>40.384323</v>
      </c>
      <c r="AB2636" s="3" t="n">
        <v>36.903712</v>
      </c>
      <c r="AC2636" s="3" t="n">
        <v>43.535327</v>
      </c>
      <c r="AD2636" s="3" t="n">
        <v>44.188949</v>
      </c>
      <c r="AE2636" s="3" t="n">
        <v>39.591816</v>
      </c>
      <c r="AF2636" s="3" t="n">
        <v>40.610091</v>
      </c>
      <c r="AG2636" s="3" t="n">
        <v>40.768012</v>
      </c>
      <c r="AH2636" s="3" t="n">
        <v>39.700973</v>
      </c>
      <c r="AI2636" s="3" t="n">
        <v>39.505826</v>
      </c>
      <c r="AJ2636" s="3" t="n">
        <v>39.470548</v>
      </c>
      <c r="AK2636" s="3" t="n">
        <v>39.465833</v>
      </c>
      <c r="AL2636" s="3" t="n">
        <v>39.635659</v>
      </c>
      <c r="AM2636" s="3" t="n"/>
      <c r="AN2636" s="3" t="n"/>
      <c r="AO2636" s="3" t="n"/>
      <c r="AP2636" s="3" t="n"/>
      <c r="AQ2636" s="3" t="n"/>
      <c r="AR2636" s="3" t="n"/>
      <c r="AS2636" s="3" t="n"/>
      <c r="AT2636" s="3" t="n"/>
      <c r="AU2636" s="3" t="n"/>
    </row>
    <row r="2637">
      <c r="A2637" s="3" t="n">
        <v>2031</v>
      </c>
      <c r="B2637" s="3" t="inlineStr">
        <is>
          <t>SLB</t>
        </is>
      </c>
      <c r="C2637" s="3" t="inlineStr">
        <is>
          <t>IMF.RES:WEO</t>
        </is>
      </c>
      <c r="D2637" s="3" t="inlineStr">
        <is>
          <t>SLB.LP.A</t>
        </is>
      </c>
      <c r="E2637" s="3" t="inlineStr">
        <is>
          <t>Solomon Islands</t>
        </is>
      </c>
      <c r="F2637" s="3" t="inlineStr">
        <is>
          <t>Population, Persons for countries / Index for country groups</t>
        </is>
      </c>
      <c r="G2637" s="3" t="n">
        <v>0.42329</v>
      </c>
      <c r="H2637" s="3" t="n">
        <v>0.437539</v>
      </c>
      <c r="I2637" s="3" t="n">
        <v>0.451787</v>
      </c>
      <c r="J2637" s="3" t="n">
        <v>0.466035</v>
      </c>
      <c r="K2637" s="3" t="n">
        <v>0.480284</v>
      </c>
      <c r="L2637" s="3" t="n">
        <v>0.494532</v>
      </c>
      <c r="M2637" s="3" t="n">
        <v>0.50878</v>
      </c>
      <c r="N2637" s="3" t="n">
        <v>0.523028</v>
      </c>
      <c r="O2637" s="3" t="n">
        <v>0.537277</v>
      </c>
      <c r="P2637" s="3" t="n">
        <v>0.551525</v>
      </c>
      <c r="Q2637" s="3" t="n">
        <v>0.567446</v>
      </c>
      <c r="R2637" s="3" t="n">
        <v>0.583368</v>
      </c>
      <c r="S2637" s="3" t="n">
        <v>0.599289</v>
      </c>
      <c r="T2637" s="3" t="n">
        <v>0.615211</v>
      </c>
      <c r="U2637" s="3" t="n">
        <v>0.631132</v>
      </c>
      <c r="V2637" s="3" t="n">
        <v>0.647053</v>
      </c>
      <c r="W2637" s="3" t="n">
        <v>0.662975</v>
      </c>
      <c r="X2637" s="3" t="n">
        <v>0.6788960000000001</v>
      </c>
      <c r="Y2637" s="3" t="n">
        <v>0.694818</v>
      </c>
      <c r="Z2637" s="3" t="n">
        <v>0.710739</v>
      </c>
      <c r="AA2637" s="3" t="n">
        <v>0.725082</v>
      </c>
      <c r="AB2637" s="3" t="n">
        <v>0.739568</v>
      </c>
      <c r="AC2637" s="3" t="n">
        <v>0.754104</v>
      </c>
      <c r="AD2637" s="3" t="n">
        <v>0.76869</v>
      </c>
      <c r="AE2637" s="3" t="n">
        <v>0.783313</v>
      </c>
      <c r="AF2637" s="3" t="n">
        <v>0.798079</v>
      </c>
      <c r="AG2637" s="3" t="n">
        <v>0.813005</v>
      </c>
      <c r="AH2637" s="3" t="n">
        <v>0.828056</v>
      </c>
      <c r="AI2637" s="3" t="n">
        <v>0.843208</v>
      </c>
      <c r="AJ2637" s="3" t="n">
        <v>0.85844</v>
      </c>
      <c r="AK2637" s="3" t="n">
        <v>0.873794</v>
      </c>
      <c r="AL2637" s="3" t="n">
        <v>0.889221</v>
      </c>
      <c r="AM2637" s="3" t="n"/>
      <c r="AN2637" s="3" t="n"/>
      <c r="AO2637" s="3" t="n"/>
      <c r="AP2637" s="3" t="n"/>
      <c r="AQ2637" s="3" t="n"/>
      <c r="AR2637" s="3" t="n"/>
      <c r="AS2637" s="3" t="n"/>
      <c r="AT2637" s="3" t="n"/>
      <c r="AU2637" s="3" t="n"/>
    </row>
    <row r="2638">
      <c r="A2638" s="3" t="n">
        <v>2031</v>
      </c>
      <c r="B2638" s="3" t="inlineStr">
        <is>
          <t>SLB</t>
        </is>
      </c>
      <c r="C2638" s="3" t="inlineStr">
        <is>
          <t>IMF.RES:WEO</t>
        </is>
      </c>
      <c r="D2638" s="3" t="inlineStr">
        <is>
          <t>SLB.NGDP.A</t>
        </is>
      </c>
      <c r="E2638" s="3" t="inlineStr">
        <is>
          <t>Solomon Islands</t>
        </is>
      </c>
      <c r="F2638" s="3" t="inlineStr">
        <is>
          <t>Gross domestic product (GDP), Current prices, Domestic currency</t>
        </is>
      </c>
      <c r="G2638" s="3" t="n">
        <v>2.531321</v>
      </c>
      <c r="H2638" s="3" t="n">
        <v>2.560739</v>
      </c>
      <c r="I2638" s="3" t="n">
        <v>2.76978</v>
      </c>
      <c r="J2638" s="3" t="n">
        <v>3.134982</v>
      </c>
      <c r="K2638" s="3" t="n">
        <v>3.502861</v>
      </c>
      <c r="L2638" s="3" t="n">
        <v>4.163126</v>
      </c>
      <c r="M2638" s="3" t="n">
        <v>4.696995</v>
      </c>
      <c r="N2638" s="3" t="n">
        <v>5.320368</v>
      </c>
      <c r="O2638" s="3" t="n">
        <v>6.014983</v>
      </c>
      <c r="P2638" s="3" t="n">
        <v>6.488798</v>
      </c>
      <c r="Q2638" s="3" t="n">
        <v>7.242959</v>
      </c>
      <c r="R2638" s="3" t="n">
        <v>8.129522</v>
      </c>
      <c r="S2638" s="3" t="n">
        <v>8.717516</v>
      </c>
      <c r="T2638" s="3" t="n">
        <v>9.389859</v>
      </c>
      <c r="U2638" s="3" t="n">
        <v>9.850339</v>
      </c>
      <c r="V2638" s="3" t="n">
        <v>10.351692</v>
      </c>
      <c r="W2638" s="3" t="n">
        <v>10.964368</v>
      </c>
      <c r="X2638" s="3" t="n">
        <v>11.592811</v>
      </c>
      <c r="Y2638" s="3" t="n">
        <v>12.847059</v>
      </c>
      <c r="Z2638" s="3" t="n">
        <v>13.233964</v>
      </c>
      <c r="AA2638" s="3" t="n">
        <v>12.61698</v>
      </c>
      <c r="AB2638" s="3" t="n">
        <v>12.513407</v>
      </c>
      <c r="AC2638" s="3" t="n">
        <v>11.961477</v>
      </c>
      <c r="AD2638" s="3" t="n">
        <v>12.614692</v>
      </c>
      <c r="AE2638" s="3" t="n">
        <v>13.392162</v>
      </c>
      <c r="AF2638" s="3" t="n">
        <v>14.18767</v>
      </c>
      <c r="AG2638" s="3" t="n">
        <v>15.286017</v>
      </c>
      <c r="AH2638" s="3" t="n">
        <v>16.225152</v>
      </c>
      <c r="AI2638" s="3" t="n">
        <v>17.28424</v>
      </c>
      <c r="AJ2638" s="3" t="n">
        <v>18.422849</v>
      </c>
      <c r="AK2638" s="3" t="n">
        <v>19.648774</v>
      </c>
      <c r="AL2638" s="3" t="n">
        <v>20.891421</v>
      </c>
      <c r="AM2638" s="3" t="n"/>
      <c r="AN2638" s="3" t="n"/>
      <c r="AO2638" s="3" t="n"/>
      <c r="AP2638" s="3" t="n"/>
      <c r="AQ2638" s="3" t="n"/>
      <c r="AR2638" s="3" t="n"/>
      <c r="AS2638" s="3" t="n"/>
      <c r="AT2638" s="3" t="n"/>
      <c r="AU2638" s="3" t="n"/>
    </row>
    <row r="2639">
      <c r="A2639" s="3" t="n">
        <v>2031</v>
      </c>
      <c r="B2639" s="3" t="inlineStr">
        <is>
          <t>SLB</t>
        </is>
      </c>
      <c r="C2639" s="3" t="inlineStr">
        <is>
          <t>IMF.RES:WEO</t>
        </is>
      </c>
      <c r="D2639" s="3" t="inlineStr">
        <is>
          <t>SLB.NGDP_D.A</t>
        </is>
      </c>
      <c r="E2639" s="3" t="inlineStr">
        <is>
          <t>Solomon Islands</t>
        </is>
      </c>
      <c r="F2639" s="3" t="inlineStr">
        <is>
          <t>Gross domestic product (GDP), Price deflator, Index</t>
        </is>
      </c>
      <c r="G2639" s="3" t="n">
        <v>45.564034</v>
      </c>
      <c r="H2639" s="3" t="n">
        <v>50.078062</v>
      </c>
      <c r="I2639" s="3" t="n">
        <v>55.726421</v>
      </c>
      <c r="J2639" s="3" t="n">
        <v>59.211457</v>
      </c>
      <c r="K2639" s="3" t="n">
        <v>61.438956</v>
      </c>
      <c r="L2639" s="3" t="n">
        <v>68.014535</v>
      </c>
      <c r="M2639" s="3" t="n">
        <v>73.687877</v>
      </c>
      <c r="N2639" s="3" t="n">
        <v>80.53624600000001</v>
      </c>
      <c r="O2639" s="3" t="n">
        <v>85.71437299999999</v>
      </c>
      <c r="P2639" s="3" t="n">
        <v>89.89104399999999</v>
      </c>
      <c r="Q2639" s="3" t="n">
        <v>91.459581</v>
      </c>
      <c r="R2639" s="3" t="n">
        <v>95.554616</v>
      </c>
      <c r="S2639" s="3" t="n">
        <v>100.103214</v>
      </c>
      <c r="T2639" s="3" t="n">
        <v>102.35192</v>
      </c>
      <c r="U2639" s="3" t="n">
        <v>106.109157</v>
      </c>
      <c r="V2639" s="3" t="n">
        <v>109.671922</v>
      </c>
      <c r="W2639" s="3" t="n">
        <v>110.049776</v>
      </c>
      <c r="X2639" s="3" t="n">
        <v>112.885724</v>
      </c>
      <c r="Y2639" s="3" t="n">
        <v>121.755808</v>
      </c>
      <c r="Z2639" s="3" t="n">
        <v>123.266389</v>
      </c>
      <c r="AA2639" s="3" t="n">
        <v>121.632265</v>
      </c>
      <c r="AB2639" s="3" t="n">
        <v>120.909421</v>
      </c>
      <c r="AC2639" s="3" t="n">
        <v>118.642766</v>
      </c>
      <c r="AD2639" s="3" t="n">
        <v>121.665183</v>
      </c>
      <c r="AE2639" s="3" t="n">
        <v>125.404581</v>
      </c>
      <c r="AF2639" s="3" t="n">
        <v>129.387048</v>
      </c>
      <c r="AG2639" s="3" t="n">
        <v>135.626457</v>
      </c>
      <c r="AH2639" s="3" t="n">
        <v>139.934651</v>
      </c>
      <c r="AI2639" s="3" t="n">
        <v>144.790659</v>
      </c>
      <c r="AJ2639" s="3" t="n">
        <v>149.871094</v>
      </c>
      <c r="AK2639" s="3" t="n">
        <v>155.132572</v>
      </c>
      <c r="AL2639" s="3" t="n">
        <v>160.173287</v>
      </c>
      <c r="AM2639" s="3" t="n"/>
      <c r="AN2639" s="3" t="n"/>
      <c r="AO2639" s="3" t="n"/>
      <c r="AP2639" s="3" t="n"/>
      <c r="AQ2639" s="3" t="n"/>
      <c r="AR2639" s="3" t="n"/>
      <c r="AS2639" s="3" t="n"/>
      <c r="AT2639" s="3" t="n"/>
      <c r="AU2639" s="3" t="n"/>
    </row>
    <row r="2640">
      <c r="A2640" s="3" t="n">
        <v>2031</v>
      </c>
      <c r="B2640" s="3" t="inlineStr">
        <is>
          <t>SLB</t>
        </is>
      </c>
      <c r="C2640" s="3" t="inlineStr">
        <is>
          <t>IMF.RES:WEO</t>
        </is>
      </c>
      <c r="D2640" s="3" t="inlineStr">
        <is>
          <t>SLB.NGDP_R.A</t>
        </is>
      </c>
      <c r="E2640" s="3" t="inlineStr">
        <is>
          <t>Solomon Islands</t>
        </is>
      </c>
      <c r="F2640" s="3" t="inlineStr">
        <is>
          <t>Gross domestic product (GDP), Constant prices, Domestic currency</t>
        </is>
      </c>
      <c r="G2640" s="3" t="n">
        <v>5.555525</v>
      </c>
      <c r="H2640" s="3" t="n">
        <v>5.113494</v>
      </c>
      <c r="I2640" s="3" t="n">
        <v>4.970317</v>
      </c>
      <c r="J2640" s="3" t="n">
        <v>5.294554</v>
      </c>
      <c r="K2640" s="3" t="n">
        <v>5.701368</v>
      </c>
      <c r="L2640" s="3" t="n">
        <v>6.120936</v>
      </c>
      <c r="M2640" s="3" t="n">
        <v>6.374176</v>
      </c>
      <c r="N2640" s="3" t="n">
        <v>6.606179</v>
      </c>
      <c r="O2640" s="3" t="n">
        <v>7.017473</v>
      </c>
      <c r="P2640" s="3" t="n">
        <v>7.218514</v>
      </c>
      <c r="Q2640" s="3" t="n">
        <v>7.9193</v>
      </c>
      <c r="R2640" s="3" t="n">
        <v>8.507723</v>
      </c>
      <c r="S2640" s="3" t="n">
        <v>8.708527999999999</v>
      </c>
      <c r="T2640" s="3" t="n">
        <v>9.174092</v>
      </c>
      <c r="U2640" s="3" t="n">
        <v>9.283213</v>
      </c>
      <c r="V2640" s="3" t="n">
        <v>9.43878</v>
      </c>
      <c r="W2640" s="3" t="n">
        <v>9.963099</v>
      </c>
      <c r="X2640" s="3" t="n">
        <v>10.26951</v>
      </c>
      <c r="Y2640" s="3" t="n">
        <v>10.551496</v>
      </c>
      <c r="Z2640" s="3" t="n">
        <v>10.736068</v>
      </c>
      <c r="AA2640" s="3" t="n">
        <v>10.373054</v>
      </c>
      <c r="AB2640" s="3" t="n">
        <v>10.349406</v>
      </c>
      <c r="AC2640" s="3" t="n">
        <v>10.081927</v>
      </c>
      <c r="AD2640" s="3" t="n">
        <v>10.368367</v>
      </c>
      <c r="AE2640" s="3" t="n">
        <v>10.679165</v>
      </c>
      <c r="AF2640" s="3" t="n">
        <v>10.965294</v>
      </c>
      <c r="AG2640" s="3" t="n">
        <v>11.270675</v>
      </c>
      <c r="AH2640" s="3" t="n">
        <v>11.594807</v>
      </c>
      <c r="AI2640" s="3" t="n">
        <v>11.9374</v>
      </c>
      <c r="AJ2640" s="3" t="n">
        <v>12.292463</v>
      </c>
      <c r="AK2640" s="3" t="n">
        <v>12.665795</v>
      </c>
      <c r="AL2640" s="3" t="n">
        <v>13.043012</v>
      </c>
      <c r="AM2640" s="3" t="n"/>
      <c r="AN2640" s="3" t="n"/>
      <c r="AO2640" s="3" t="n"/>
      <c r="AP2640" s="3" t="n"/>
      <c r="AQ2640" s="3" t="n"/>
      <c r="AR2640" s="3" t="n"/>
      <c r="AS2640" s="3" t="n"/>
      <c r="AT2640" s="3" t="n"/>
      <c r="AU2640" s="3" t="n"/>
    </row>
    <row r="2641">
      <c r="A2641" s="3" t="n">
        <v>2031</v>
      </c>
      <c r="B2641" s="3" t="inlineStr">
        <is>
          <t>SLB</t>
        </is>
      </c>
      <c r="C2641" s="3" t="inlineStr">
        <is>
          <t>IMF.RES:WEO</t>
        </is>
      </c>
      <c r="D2641" s="3" t="inlineStr">
        <is>
          <t>SLB.NGDP_RPCH.A</t>
        </is>
      </c>
      <c r="E2641" s="3" t="inlineStr">
        <is>
          <t>Solomon Islands</t>
        </is>
      </c>
      <c r="F2641" s="3" t="inlineStr">
        <is>
          <t>Gross domestic product (GDP), Constant prices, Percent change</t>
        </is>
      </c>
      <c r="G2641" s="3" t="n">
        <v>-14.276998</v>
      </c>
      <c r="H2641" s="3" t="n">
        <v>-7.956606</v>
      </c>
      <c r="I2641" s="3" t="n">
        <v>-2.799986</v>
      </c>
      <c r="J2641" s="3" t="n">
        <v>6.523469</v>
      </c>
      <c r="K2641" s="3" t="n">
        <v>7.683641</v>
      </c>
      <c r="L2641" s="3" t="n">
        <v>7.359079</v>
      </c>
      <c r="M2641" s="3" t="n">
        <v>4.137262</v>
      </c>
      <c r="N2641" s="3" t="n">
        <v>3.639735</v>
      </c>
      <c r="O2641" s="3" t="n">
        <v>6.225907</v>
      </c>
      <c r="P2641" s="3" t="n">
        <v>2.864863</v>
      </c>
      <c r="Q2641" s="3" t="n">
        <v>9.708171</v>
      </c>
      <c r="R2641" s="3" t="n">
        <v>7.430238</v>
      </c>
      <c r="S2641" s="3" t="n">
        <v>2.360268</v>
      </c>
      <c r="T2641" s="3" t="n">
        <v>5.346067</v>
      </c>
      <c r="U2641" s="3" t="n">
        <v>1.189455</v>
      </c>
      <c r="V2641" s="3" t="n">
        <v>1.675786</v>
      </c>
      <c r="W2641" s="3" t="n">
        <v>5.554943</v>
      </c>
      <c r="X2641" s="3" t="n">
        <v>3.075462</v>
      </c>
      <c r="Y2641" s="3" t="n">
        <v>2.745852</v>
      </c>
      <c r="Z2641" s="3" t="n">
        <v>1.749253</v>
      </c>
      <c r="AA2641" s="3" t="n">
        <v>-3.381259</v>
      </c>
      <c r="AB2641" s="3" t="n">
        <v>-0.227976</v>
      </c>
      <c r="AC2641" s="3" t="n">
        <v>-2.584483</v>
      </c>
      <c r="AD2641" s="3" t="n">
        <v>2.841118</v>
      </c>
      <c r="AE2641" s="3" t="n">
        <v>2.99756</v>
      </c>
      <c r="AF2641" s="3" t="n">
        <v>2.679321</v>
      </c>
      <c r="AG2641" s="3" t="n">
        <v>2.784979</v>
      </c>
      <c r="AH2641" s="3" t="n">
        <v>2.875885</v>
      </c>
      <c r="AI2641" s="3" t="n">
        <v>2.954717</v>
      </c>
      <c r="AJ2641" s="3" t="n">
        <v>2.974372</v>
      </c>
      <c r="AK2641" s="3" t="n">
        <v>3.037082</v>
      </c>
      <c r="AL2641" s="3" t="n">
        <v>2.978232</v>
      </c>
      <c r="AM2641" s="3" t="n"/>
      <c r="AN2641" s="3" t="n"/>
      <c r="AO2641" s="3" t="n"/>
      <c r="AP2641" s="3" t="n"/>
      <c r="AQ2641" s="3" t="n"/>
      <c r="AR2641" s="3" t="n"/>
      <c r="AS2641" s="3" t="n"/>
      <c r="AT2641" s="3" t="n"/>
      <c r="AU2641" s="3" t="n"/>
    </row>
    <row r="2642">
      <c r="A2642" s="3" t="n">
        <v>2031</v>
      </c>
      <c r="B2642" s="3" t="inlineStr">
        <is>
          <t>SLB</t>
        </is>
      </c>
      <c r="C2642" s="3" t="inlineStr">
        <is>
          <t>IMF.RES:WEO</t>
        </is>
      </c>
      <c r="D2642" s="3" t="inlineStr">
        <is>
          <t>SLB.NGDPD.A</t>
        </is>
      </c>
      <c r="E2642" s="3" t="inlineStr">
        <is>
          <t>Solomon Islands</t>
        </is>
      </c>
      <c r="F2642" s="3" t="inlineStr">
        <is>
          <t>Gross domestic product (GDP), Current prices, US dollar</t>
        </is>
      </c>
      <c r="G2642" s="3" t="n">
        <v>0.497417</v>
      </c>
      <c r="H2642" s="3" t="n">
        <v>0.485174</v>
      </c>
      <c r="I2642" s="3" t="n">
        <v>0.410412</v>
      </c>
      <c r="J2642" s="3" t="n">
        <v>0.417667</v>
      </c>
      <c r="K2642" s="3" t="n">
        <v>0.468</v>
      </c>
      <c r="L2642" s="3" t="n">
        <v>0.552881</v>
      </c>
      <c r="M2642" s="3" t="n">
        <v>0.6172569999999999</v>
      </c>
      <c r="N2642" s="3" t="n">
        <v>0.695291</v>
      </c>
      <c r="O2642" s="3" t="n">
        <v>0.776336</v>
      </c>
      <c r="P2642" s="3" t="n">
        <v>0.805557</v>
      </c>
      <c r="Q2642" s="3" t="n">
        <v>0.898129</v>
      </c>
      <c r="R2642" s="3" t="n">
        <v>1.063898</v>
      </c>
      <c r="S2642" s="3" t="n">
        <v>1.185218</v>
      </c>
      <c r="T2642" s="3" t="n">
        <v>1.285906</v>
      </c>
      <c r="U2642" s="3" t="n">
        <v>1.335577</v>
      </c>
      <c r="V2642" s="3" t="n">
        <v>1.307909</v>
      </c>
      <c r="W2642" s="3" t="n">
        <v>1.379486</v>
      </c>
      <c r="X2642" s="3" t="n">
        <v>1.46979</v>
      </c>
      <c r="Y2642" s="3" t="n">
        <v>1.615473</v>
      </c>
      <c r="Z2642" s="3" t="n">
        <v>1.619151</v>
      </c>
      <c r="AA2642" s="3" t="n">
        <v>1.536143</v>
      </c>
      <c r="AB2642" s="3" t="n">
        <v>1.558312</v>
      </c>
      <c r="AC2642" s="3" t="n">
        <v>1.466671</v>
      </c>
      <c r="AD2642" s="3" t="n">
        <v>1.506125</v>
      </c>
      <c r="AE2642" s="3" t="n">
        <v>1.583965</v>
      </c>
      <c r="AF2642" s="3" t="n">
        <v>1.703848</v>
      </c>
      <c r="AG2642" s="3" t="n">
        <v>1.835752</v>
      </c>
      <c r="AH2642" s="3" t="n">
        <v>1.948536</v>
      </c>
      <c r="AI2642" s="3" t="n">
        <v>2.075726</v>
      </c>
      <c r="AJ2642" s="3" t="n">
        <v>2.212465</v>
      </c>
      <c r="AK2642" s="3" t="n">
        <v>2.359691</v>
      </c>
      <c r="AL2642" s="3" t="n">
        <v>2.508925</v>
      </c>
      <c r="AM2642" s="3" t="n"/>
      <c r="AN2642" s="3" t="n"/>
      <c r="AO2642" s="3" t="n"/>
      <c r="AP2642" s="3" t="n"/>
      <c r="AQ2642" s="3" t="n"/>
      <c r="AR2642" s="3" t="n"/>
      <c r="AS2642" s="3" t="n"/>
      <c r="AT2642" s="3" t="n"/>
      <c r="AU2642" s="3" t="n"/>
    </row>
    <row r="2643">
      <c r="A2643" s="3" t="n">
        <v>2031</v>
      </c>
      <c r="B2643" s="3" t="inlineStr">
        <is>
          <t>SLB</t>
        </is>
      </c>
      <c r="C2643" s="3" t="inlineStr">
        <is>
          <t>IMF.RES:WEO</t>
        </is>
      </c>
      <c r="D2643" s="3" t="inlineStr">
        <is>
          <t>SLB.NGDPPC.A</t>
        </is>
      </c>
      <c r="E2643" s="3" t="inlineStr">
        <is>
          <t>Solomon Islands</t>
        </is>
      </c>
      <c r="F2643" s="3" t="inlineStr">
        <is>
          <t>Gross domestic product (GDP), Current prices, Per capita, Domestic currency</t>
        </is>
      </c>
      <c r="G2643" s="3" t="n">
        <v>5980.107011</v>
      </c>
      <c r="H2643" s="3" t="n">
        <v>5852.600394</v>
      </c>
      <c r="I2643" s="3" t="n">
        <v>6130.721291</v>
      </c>
      <c r="J2643" s="3" t="n">
        <v>6726.921904</v>
      </c>
      <c r="K2643" s="3" t="n">
        <v>7293.319658</v>
      </c>
      <c r="L2643" s="3" t="n">
        <v>8418.318974</v>
      </c>
      <c r="M2643" s="3" t="n">
        <v>9231.87573</v>
      </c>
      <c r="N2643" s="3" t="n">
        <v>10172.236083</v>
      </c>
      <c r="O2643" s="3" t="n">
        <v>11195.317457</v>
      </c>
      <c r="P2643" s="3" t="n">
        <v>11765.19257</v>
      </c>
      <c r="Q2643" s="3" t="n">
        <v>12764.128135</v>
      </c>
      <c r="R2643" s="3" t="n">
        <v>13935.499855</v>
      </c>
      <c r="S2643" s="3" t="n">
        <v>14546.426574</v>
      </c>
      <c r="T2643" s="3" t="n">
        <v>15262.836674</v>
      </c>
      <c r="U2643" s="3" t="n">
        <v>15607.415536</v>
      </c>
      <c r="V2643" s="3" t="n">
        <v>15998.202846</v>
      </c>
      <c r="W2643" s="3" t="n">
        <v>16538.137028</v>
      </c>
      <c r="X2643" s="3" t="n">
        <v>17075.969885</v>
      </c>
      <c r="Y2643" s="3" t="n">
        <v>18489.829666</v>
      </c>
      <c r="Z2643" s="3" t="n">
        <v>18620.004812</v>
      </c>
      <c r="AA2643" s="3" t="n">
        <v>17400.763496</v>
      </c>
      <c r="AB2643" s="3" t="n">
        <v>16919.886618</v>
      </c>
      <c r="AC2643" s="3" t="n">
        <v>15861.840412</v>
      </c>
      <c r="AD2643" s="3" t="n">
        <v>16410.636768</v>
      </c>
      <c r="AE2643" s="3" t="n">
        <v>17096.820584</v>
      </c>
      <c r="AF2643" s="3" t="n">
        <v>17777.275082</v>
      </c>
      <c r="AG2643" s="3" t="n">
        <v>18801.873335</v>
      </c>
      <c r="AH2643" s="3" t="n">
        <v>19594.269149</v>
      </c>
      <c r="AI2643" s="3" t="n">
        <v>20498.193128</v>
      </c>
      <c r="AJ2643" s="3" t="n">
        <v>21460.846176</v>
      </c>
      <c r="AK2643" s="3" t="n">
        <v>22486.73462</v>
      </c>
      <c r="AL2643" s="3" t="n">
        <v>23494.070444</v>
      </c>
      <c r="AM2643" s="3" t="n"/>
      <c r="AN2643" s="3" t="n"/>
      <c r="AO2643" s="3" t="n"/>
      <c r="AP2643" s="3" t="n"/>
      <c r="AQ2643" s="3" t="n"/>
      <c r="AR2643" s="3" t="n"/>
      <c r="AS2643" s="3" t="n"/>
      <c r="AT2643" s="3" t="n"/>
      <c r="AU2643" s="3" t="n"/>
    </row>
    <row r="2644">
      <c r="A2644" s="3" t="n">
        <v>2031</v>
      </c>
      <c r="B2644" s="3" t="inlineStr">
        <is>
          <t>SLB</t>
        </is>
      </c>
      <c r="C2644" s="3" t="inlineStr">
        <is>
          <t>IMF.RES:WEO</t>
        </is>
      </c>
      <c r="D2644" s="3" t="inlineStr">
        <is>
          <t>SLB.NGDPRPC.A</t>
        </is>
      </c>
      <c r="E2644" s="3" t="inlineStr">
        <is>
          <t>Solomon Islands</t>
        </is>
      </c>
      <c r="F2644" s="3" t="inlineStr">
        <is>
          <t>Gross domestic product (GDP), Constant prices, Per capita, Domestic currency</t>
        </is>
      </c>
      <c r="G2644" s="3" t="n">
        <v>13124.621494</v>
      </c>
      <c r="H2644" s="3" t="n">
        <v>11686.954571</v>
      </c>
      <c r="I2644" s="3" t="n">
        <v>11001.462516</v>
      </c>
      <c r="J2644" s="3" t="n">
        <v>11360.845039</v>
      </c>
      <c r="K2644" s="3" t="n">
        <v>11870.839215</v>
      </c>
      <c r="L2644" s="3" t="n">
        <v>12377.235241</v>
      </c>
      <c r="M2644" s="3" t="n">
        <v>12528.350868</v>
      </c>
      <c r="N2644" s="3" t="n">
        <v>12630.630988</v>
      </c>
      <c r="O2644" s="3" t="n">
        <v>13061.190327</v>
      </c>
      <c r="P2644" s="3" t="n">
        <v>13088.281128</v>
      </c>
      <c r="Q2644" s="3" t="n">
        <v>13956.031745</v>
      </c>
      <c r="R2644" s="3" t="n">
        <v>14583.806029</v>
      </c>
      <c r="S2644" s="3" t="n">
        <v>14531.428099</v>
      </c>
      <c r="T2644" s="3" t="n">
        <v>14912.115673</v>
      </c>
      <c r="U2644" s="3" t="n">
        <v>14708.830082</v>
      </c>
      <c r="V2644" s="3" t="n">
        <v>14587.327875</v>
      </c>
      <c r="W2644" s="3" t="n">
        <v>15027.869793</v>
      </c>
      <c r="X2644" s="3" t="n">
        <v>15126.775375</v>
      </c>
      <c r="Y2644" s="3" t="n">
        <v>15185.993981</v>
      </c>
      <c r="Z2644" s="3" t="n">
        <v>15105.500339</v>
      </c>
      <c r="AA2644" s="3" t="n">
        <v>14306.042461</v>
      </c>
      <c r="AB2644" s="3" t="n">
        <v>13993.852969</v>
      </c>
      <c r="AC2644" s="3" t="n">
        <v>13369.412232</v>
      </c>
      <c r="AD2644" s="3" t="n">
        <v>13488.359065</v>
      </c>
      <c r="AE2644" s="3" t="n">
        <v>13633.33013</v>
      </c>
      <c r="AF2644" s="3" t="n">
        <v>13739.609466</v>
      </c>
      <c r="AG2644" s="3" t="n">
        <v>13862.983496</v>
      </c>
      <c r="AH2644" s="3" t="n">
        <v>14002.442568</v>
      </c>
      <c r="AI2644" s="3" t="n">
        <v>14157.12404</v>
      </c>
      <c r="AJ2644" s="3" t="n">
        <v>14319.536576</v>
      </c>
      <c r="AK2644" s="3" t="n">
        <v>14495.17295</v>
      </c>
      <c r="AL2644" s="3" t="n">
        <v>14667.908076</v>
      </c>
      <c r="AM2644" s="3" t="n"/>
      <c r="AN2644" s="3" t="n"/>
      <c r="AO2644" s="3" t="n"/>
      <c r="AP2644" s="3" t="n"/>
      <c r="AQ2644" s="3" t="n"/>
      <c r="AR2644" s="3" t="n"/>
      <c r="AS2644" s="3" t="n"/>
      <c r="AT2644" s="3" t="n"/>
      <c r="AU2644" s="3" t="n"/>
    </row>
    <row r="2645">
      <c r="A2645" s="3" t="n">
        <v>2031</v>
      </c>
      <c r="B2645" s="3" t="inlineStr">
        <is>
          <t>SLB</t>
        </is>
      </c>
      <c r="C2645" s="3" t="inlineStr">
        <is>
          <t>IMF.RES:WEO</t>
        </is>
      </c>
      <c r="D2645" s="3" t="inlineStr">
        <is>
          <t>SLB.PCPI.A</t>
        </is>
      </c>
      <c r="E2645" s="3" t="inlineStr">
        <is>
          <t>Solomon Islands</t>
        </is>
      </c>
      <c r="F2645" s="3" t="inlineStr">
        <is>
          <t>All Items, Consumer price index (CPI), Period average</t>
        </is>
      </c>
      <c r="G2645" s="3" t="n">
        <v>34.892817</v>
      </c>
      <c r="H2645" s="3" t="n">
        <v>37.554599</v>
      </c>
      <c r="I2645" s="3" t="n">
        <v>41.072121</v>
      </c>
      <c r="J2645" s="3" t="n">
        <v>45.210809</v>
      </c>
      <c r="K2645" s="3" t="n">
        <v>48.337374</v>
      </c>
      <c r="L2645" s="3" t="n">
        <v>51.977251</v>
      </c>
      <c r="M2645" s="3" t="n">
        <v>57.816667</v>
      </c>
      <c r="N2645" s="3" t="n">
        <v>62.241667</v>
      </c>
      <c r="O2645" s="3" t="n">
        <v>73.033333</v>
      </c>
      <c r="P2645" s="3" t="n">
        <v>78.266667</v>
      </c>
      <c r="Q2645" s="3" t="n">
        <v>78.97499999999999</v>
      </c>
      <c r="R2645" s="3" t="n">
        <v>84.833333</v>
      </c>
      <c r="S2645" s="3" t="n">
        <v>89.84999999999999</v>
      </c>
      <c r="T2645" s="3" t="n">
        <v>94.566667</v>
      </c>
      <c r="U2645" s="3" t="n">
        <v>99.575</v>
      </c>
      <c r="V2645" s="3" t="n">
        <v>99.00833299999999</v>
      </c>
      <c r="W2645" s="3" t="n">
        <v>99.5</v>
      </c>
      <c r="X2645" s="3" t="n">
        <v>100</v>
      </c>
      <c r="Y2645" s="3" t="n">
        <v>103.6</v>
      </c>
      <c r="Z2645" s="3" t="n">
        <v>105.9</v>
      </c>
      <c r="AA2645" s="3" t="n">
        <v>109</v>
      </c>
      <c r="AB2645" s="3" t="n">
        <v>109.2</v>
      </c>
      <c r="AC2645" s="3" t="n">
        <v>115.1</v>
      </c>
      <c r="AD2645" s="3" t="n">
        <v>120.957175</v>
      </c>
      <c r="AE2645" s="3" t="n">
        <v>126.074125</v>
      </c>
      <c r="AF2645" s="3" t="n">
        <v>130.302542</v>
      </c>
      <c r="AG2645" s="3" t="n">
        <v>134.5</v>
      </c>
      <c r="AH2645" s="3" t="n">
        <v>137.8625</v>
      </c>
      <c r="AI2645" s="3" t="n">
        <v>141.309063</v>
      </c>
      <c r="AJ2645" s="3" t="n">
        <v>145.018425</v>
      </c>
      <c r="AK2645" s="3" t="n">
        <v>149.187705</v>
      </c>
      <c r="AL2645" s="3" t="n">
        <v>153.663336</v>
      </c>
      <c r="AM2645" s="3" t="n"/>
      <c r="AN2645" s="3" t="n"/>
      <c r="AO2645" s="3" t="n"/>
      <c r="AP2645" s="3" t="n"/>
      <c r="AQ2645" s="3" t="n"/>
      <c r="AR2645" s="3" t="n"/>
      <c r="AS2645" s="3" t="n"/>
      <c r="AT2645" s="3" t="n"/>
      <c r="AU2645" s="3" t="n"/>
    </row>
    <row r="2646">
      <c r="A2646" s="3" t="n">
        <v>2031</v>
      </c>
      <c r="B2646" s="3" t="inlineStr">
        <is>
          <t>SLB</t>
        </is>
      </c>
      <c r="C2646" s="3" t="inlineStr">
        <is>
          <t>IMF.RES:WEO</t>
        </is>
      </c>
      <c r="D2646" s="3" t="inlineStr">
        <is>
          <t>SLB.PCPIPCH.A</t>
        </is>
      </c>
      <c r="E2646" s="3" t="inlineStr">
        <is>
          <t>Solomon Islands</t>
        </is>
      </c>
      <c r="F2646" s="3" t="inlineStr">
        <is>
          <t>All Items, Consumer price index (CPI), Period average, percent change</t>
        </is>
      </c>
      <c r="G2646" s="3" t="n">
        <v>6.928416</v>
      </c>
      <c r="H2646" s="3" t="n">
        <v>7.628453</v>
      </c>
      <c r="I2646" s="3" t="n">
        <v>9.366421000000001</v>
      </c>
      <c r="J2646" s="3" t="n">
        <v>10.076635</v>
      </c>
      <c r="K2646" s="3" t="n">
        <v>6.915527</v>
      </c>
      <c r="L2646" s="3" t="n">
        <v>7.53015</v>
      </c>
      <c r="M2646" s="3" t="n">
        <v>11.23456</v>
      </c>
      <c r="N2646" s="3" t="n">
        <v>7.653502</v>
      </c>
      <c r="O2646" s="3" t="n">
        <v>17.338332</v>
      </c>
      <c r="P2646" s="3" t="n">
        <v>7.165678</v>
      </c>
      <c r="Q2646" s="3" t="n">
        <v>0.905026</v>
      </c>
      <c r="R2646" s="3" t="n">
        <v>7.417959</v>
      </c>
      <c r="S2646" s="3" t="n">
        <v>5.913556</v>
      </c>
      <c r="T2646" s="3" t="n">
        <v>5.24949</v>
      </c>
      <c r="U2646" s="3" t="n">
        <v>5.296087</v>
      </c>
      <c r="V2646" s="3" t="n">
        <v>-0.569085</v>
      </c>
      <c r="W2646" s="3" t="n">
        <v>0.496591</v>
      </c>
      <c r="X2646" s="3" t="n">
        <v>0.502513</v>
      </c>
      <c r="Y2646" s="3" t="n">
        <v>3.6</v>
      </c>
      <c r="Z2646" s="3" t="n">
        <v>2.220077</v>
      </c>
      <c r="AA2646" s="3" t="n">
        <v>2.92729</v>
      </c>
      <c r="AB2646" s="3" t="n">
        <v>0.183486</v>
      </c>
      <c r="AC2646" s="3" t="n">
        <v>5.40293</v>
      </c>
      <c r="AD2646" s="3" t="n">
        <v>5.088771</v>
      </c>
      <c r="AE2646" s="3" t="n">
        <v>4.230382</v>
      </c>
      <c r="AF2646" s="3" t="n">
        <v>3.353913</v>
      </c>
      <c r="AG2646" s="3" t="n">
        <v>3.221317</v>
      </c>
      <c r="AH2646" s="3" t="n">
        <v>2.5</v>
      </c>
      <c r="AI2646" s="3" t="n">
        <v>2.5</v>
      </c>
      <c r="AJ2646" s="3" t="n">
        <v>2.625</v>
      </c>
      <c r="AK2646" s="3" t="n">
        <v>2.875</v>
      </c>
      <c r="AL2646" s="3" t="n">
        <v>3</v>
      </c>
      <c r="AM2646" s="3" t="n"/>
      <c r="AN2646" s="3" t="n"/>
      <c r="AO2646" s="3" t="n"/>
      <c r="AP2646" s="3" t="n"/>
      <c r="AQ2646" s="3" t="n"/>
      <c r="AR2646" s="3" t="n"/>
      <c r="AS2646" s="3" t="n"/>
      <c r="AT2646" s="3" t="n"/>
      <c r="AU2646" s="3" t="n"/>
    </row>
    <row r="2647">
      <c r="A2647" s="3" t="n">
        <v>2031</v>
      </c>
      <c r="B2647" s="3" t="inlineStr">
        <is>
          <t>SLB</t>
        </is>
      </c>
      <c r="C2647" s="3" t="inlineStr">
        <is>
          <t>IMF.RES:WEO</t>
        </is>
      </c>
      <c r="D2647" s="3" t="inlineStr">
        <is>
          <t>SLB.PPPPC.A</t>
        </is>
      </c>
      <c r="E2647" s="3" t="inlineStr">
        <is>
          <t>Solomon Islands</t>
        </is>
      </c>
      <c r="F2647" s="3" t="inlineStr">
        <is>
          <t>Gross domestic product (GDP), Per capita, purchasing power parity (PPP) international dollar, ICP benchmarks 2017-2021</t>
        </is>
      </c>
      <c r="G2647" s="3" t="n">
        <v>1398.0398</v>
      </c>
      <c r="H2647" s="3" t="n">
        <v>1272.929357</v>
      </c>
      <c r="I2647" s="3" t="n">
        <v>1216.887856</v>
      </c>
      <c r="J2647" s="3" t="n">
        <v>1281.44846</v>
      </c>
      <c r="K2647" s="3" t="n">
        <v>1374.976742</v>
      </c>
      <c r="L2647" s="3" t="n">
        <v>1478.587752</v>
      </c>
      <c r="M2647" s="3" t="n">
        <v>1542.79468</v>
      </c>
      <c r="N2647" s="3" t="n">
        <v>1597.529604</v>
      </c>
      <c r="O2647" s="3" t="n">
        <v>1683.811065</v>
      </c>
      <c r="P2647" s="3" t="n">
        <v>1697.709842</v>
      </c>
      <c r="Q2647" s="3" t="n">
        <v>1832.269224</v>
      </c>
      <c r="R2647" s="3" t="n">
        <v>1954.193679</v>
      </c>
      <c r="S2647" s="3" t="n">
        <v>1983.430247</v>
      </c>
      <c r="T2647" s="3" t="n">
        <v>2070.033686</v>
      </c>
      <c r="U2647" s="3" t="n">
        <v>2077.377069</v>
      </c>
      <c r="V2647" s="3" t="n">
        <v>2079.336817</v>
      </c>
      <c r="W2647" s="3" t="n">
        <v>2162.488504</v>
      </c>
      <c r="X2647" s="3" t="n">
        <v>2215.70354</v>
      </c>
      <c r="Y2647" s="3" t="n">
        <v>2275.333396</v>
      </c>
      <c r="Z2647" s="3" t="n">
        <v>2300.631378</v>
      </c>
      <c r="AA2647" s="3" t="n">
        <v>2208.168484</v>
      </c>
      <c r="AB2647" s="3" t="n">
        <v>2258.545192</v>
      </c>
      <c r="AC2647" s="3" t="n">
        <v>2311.232311</v>
      </c>
      <c r="AD2647" s="3" t="n">
        <v>2418.072402</v>
      </c>
      <c r="AE2647" s="3" t="n">
        <v>2504.73644</v>
      </c>
      <c r="AF2647" s="3" t="n">
        <v>2595.869671</v>
      </c>
      <c r="AG2647" s="3" t="n">
        <v>2694.214707</v>
      </c>
      <c r="AH2647" s="3" t="n">
        <v>2781.075491</v>
      </c>
      <c r="AI2647" s="3" t="n">
        <v>2857.949909</v>
      </c>
      <c r="AJ2647" s="3" t="n">
        <v>2942.137153</v>
      </c>
      <c r="AK2647" s="3" t="n">
        <v>3032.949621</v>
      </c>
      <c r="AL2647" s="3" t="n">
        <v>3124.498857</v>
      </c>
      <c r="AM2647" s="3" t="n"/>
      <c r="AN2647" s="3" t="n"/>
      <c r="AO2647" s="3" t="n"/>
      <c r="AP2647" s="3" t="n"/>
      <c r="AQ2647" s="3" t="n"/>
      <c r="AR2647" s="3" t="n"/>
      <c r="AS2647" s="3" t="n"/>
      <c r="AT2647" s="3" t="n"/>
      <c r="AU2647" s="3" t="n"/>
    </row>
    <row r="2648">
      <c r="A2648" s="3" t="n">
        <v>2025</v>
      </c>
      <c r="B2648" s="3" t="inlineStr">
        <is>
          <t>SLB</t>
        </is>
      </c>
      <c r="C2648" s="3" t="inlineStr">
        <is>
          <t>IMF.STA:ER</t>
        </is>
      </c>
      <c r="D2648" s="3" t="inlineStr">
        <is>
          <t>SLB.XDC_USD.PA_RT.A</t>
        </is>
      </c>
      <c r="E2648" s="3" t="inlineStr">
        <is>
          <t>Solomon Islands</t>
        </is>
      </c>
      <c r="F2648" s="3" t="inlineStr">
        <is>
          <t>Domestic currency per US Dollar</t>
        </is>
      </c>
      <c r="G2648" s="3" t="n">
        <v>5.08893083333333</v>
      </c>
      <c r="H2648" s="3" t="n">
        <v>5.27798495317037</v>
      </c>
      <c r="I2648" s="3" t="n">
        <v>6.74877210289887</v>
      </c>
      <c r="J2648" s="3" t="n">
        <v>7.50594374859842</v>
      </c>
      <c r="K2648" s="3" t="n">
        <v>7.48474390550839</v>
      </c>
      <c r="L2648" s="3" t="n">
        <v>7.52987302483596</v>
      </c>
      <c r="M2648" s="3" t="n">
        <v>7.60945833333333</v>
      </c>
      <c r="N2648" s="3" t="n">
        <v>7.652</v>
      </c>
      <c r="O2648" s="3" t="n">
        <v>7.74791666666666</v>
      </c>
      <c r="P2648" s="3" t="n">
        <v>8.055041666666661</v>
      </c>
      <c r="Q2648" s="3" t="n">
        <v>8.06450134408602</v>
      </c>
      <c r="R2648" s="3" t="n">
        <v>7.64125903009874</v>
      </c>
      <c r="S2648" s="3" t="n">
        <v>7.35520284715203</v>
      </c>
      <c r="T2648" s="3" t="n">
        <v>7.30213510004205</v>
      </c>
      <c r="U2648" s="3" t="n">
        <v>7.3753453536421</v>
      </c>
      <c r="V2648" s="3" t="n">
        <v>7.91468897735788</v>
      </c>
      <c r="W2648" s="3" t="n">
        <v>7.94815293778867</v>
      </c>
      <c r="X2648" s="3" t="n">
        <v>7.88739036909183</v>
      </c>
      <c r="Y2648" s="3" t="n">
        <v>7.95250486131003</v>
      </c>
      <c r="Z2648" s="3" t="n">
        <v>8.17339929777839</v>
      </c>
      <c r="AA2648" s="3" t="n">
        <v>8.213412909672609</v>
      </c>
      <c r="AB2648" s="3" t="n">
        <v>8.03010299104932</v>
      </c>
      <c r="AC2648" s="3" t="n">
        <v>8.15552869762629</v>
      </c>
      <c r="AD2648" s="3" t="n">
        <v>8.37559677613045</v>
      </c>
      <c r="AE2648" s="3" t="n">
        <v>8.454835601716541</v>
      </c>
      <c r="AF2648" s="3" t="n">
        <v>8.32684233252032</v>
      </c>
      <c r="AG2648" s="3" t="n"/>
      <c r="AH2648" s="3" t="n"/>
      <c r="AI2648" s="3" t="n"/>
      <c r="AJ2648" s="3" t="n"/>
      <c r="AK2648" s="3" t="n"/>
      <c r="AL2648" s="3" t="n"/>
      <c r="AM2648" s="3" t="n"/>
      <c r="AN2648" s="3" t="n"/>
      <c r="AO2648" s="3" t="n"/>
      <c r="AP2648" s="3" t="n"/>
      <c r="AQ2648" s="3" t="n"/>
      <c r="AR2648" s="3" t="n"/>
      <c r="AS2648" s="3" t="n"/>
      <c r="AT2648" s="3" t="n"/>
      <c r="AU2648" s="3" t="n"/>
    </row>
    <row r="2649">
      <c r="A2649" s="3" t="n">
        <v>2031</v>
      </c>
      <c r="B2649" s="3" t="inlineStr">
        <is>
          <t>SLE</t>
        </is>
      </c>
      <c r="C2649" s="3" t="inlineStr">
        <is>
          <t>IMF.RES:WEO</t>
        </is>
      </c>
      <c r="D2649" s="3" t="inlineStr">
        <is>
          <t>SLE.BCA.A</t>
        </is>
      </c>
      <c r="E2649" s="3" t="inlineStr">
        <is>
          <t>Sierra Leone</t>
        </is>
      </c>
      <c r="F2649" s="3" t="inlineStr">
        <is>
          <t>Current account balance (credit less debit), US dollar</t>
        </is>
      </c>
      <c r="G2649" s="3" t="n">
        <v>-0.112284</v>
      </c>
      <c r="H2649" s="3" t="n">
        <v>-0.097875</v>
      </c>
      <c r="I2649" s="3" t="n">
        <v>-0.073229</v>
      </c>
      <c r="J2649" s="3" t="n">
        <v>-0.082819</v>
      </c>
      <c r="K2649" s="3" t="n">
        <v>-0.09902900000000001</v>
      </c>
      <c r="L2649" s="3" t="n">
        <v>-0.104938</v>
      </c>
      <c r="M2649" s="3" t="n">
        <v>-0.09501900000000001</v>
      </c>
      <c r="N2649" s="3" t="n">
        <v>-0.160134</v>
      </c>
      <c r="O2649" s="3" t="n">
        <v>-0.225444</v>
      </c>
      <c r="P2649" s="3" t="n">
        <v>-0.326985</v>
      </c>
      <c r="Q2649" s="3" t="n">
        <v>-0.585298</v>
      </c>
      <c r="R2649" s="3" t="n">
        <v>-1.913507</v>
      </c>
      <c r="S2649" s="3" t="n">
        <v>-1.210213</v>
      </c>
      <c r="T2649" s="3" t="n">
        <v>-0.7370949999999999</v>
      </c>
      <c r="U2649" s="3" t="n">
        <v>-0.47273</v>
      </c>
      <c r="V2649" s="3" t="n">
        <v>-1.003078</v>
      </c>
      <c r="W2649" s="3" t="n">
        <v>-0.293877</v>
      </c>
      <c r="X2649" s="3" t="n">
        <v>-0.679617</v>
      </c>
      <c r="Y2649" s="3" t="n">
        <v>-0.591445</v>
      </c>
      <c r="Z2649" s="3" t="n">
        <v>-0.508057</v>
      </c>
      <c r="AA2649" s="3" t="n">
        <v>-0.390415</v>
      </c>
      <c r="AB2649" s="3" t="n">
        <v>-0.522815</v>
      </c>
      <c r="AC2649" s="3" t="n">
        <v>-0.452094</v>
      </c>
      <c r="AD2649" s="3" t="n">
        <v>-0.606358</v>
      </c>
      <c r="AE2649" s="3" t="n">
        <v>-0.480449</v>
      </c>
      <c r="AF2649" s="3" t="n">
        <v>-0.391806</v>
      </c>
      <c r="AG2649" s="3" t="n">
        <v>-0.270075</v>
      </c>
      <c r="AH2649" s="3" t="n">
        <v>-0.250517</v>
      </c>
      <c r="AI2649" s="3" t="n">
        <v>-0.259426</v>
      </c>
      <c r="AJ2649" s="3" t="n">
        <v>-0.270981</v>
      </c>
      <c r="AK2649" s="3" t="n">
        <v>-0.339175</v>
      </c>
      <c r="AL2649" s="3" t="n">
        <v>-0.313199</v>
      </c>
      <c r="AM2649" s="3" t="n"/>
      <c r="AN2649" s="3" t="n"/>
      <c r="AO2649" s="3" t="n"/>
      <c r="AP2649" s="3" t="n"/>
      <c r="AQ2649" s="3" t="n"/>
      <c r="AR2649" s="3" t="n"/>
      <c r="AS2649" s="3" t="n"/>
      <c r="AT2649" s="3" t="n"/>
      <c r="AU2649" s="3" t="n"/>
    </row>
    <row r="2650">
      <c r="A2650" s="3" t="n">
        <v>2031</v>
      </c>
      <c r="B2650" s="3" t="inlineStr">
        <is>
          <t>SLE</t>
        </is>
      </c>
      <c r="C2650" s="3" t="inlineStr">
        <is>
          <t>IMF.RES:WEO</t>
        </is>
      </c>
      <c r="D2650" s="3" t="inlineStr">
        <is>
          <t>SLE.BCA_NGDPD.A</t>
        </is>
      </c>
      <c r="E2650" s="3" t="inlineStr">
        <is>
          <t>Sierra Leone</t>
        </is>
      </c>
      <c r="F2650" s="3" t="inlineStr">
        <is>
          <t>Current account balance (credit less debit), Percent of GDP</t>
        </is>
      </c>
      <c r="G2650" s="3" t="n">
        <v>-7.495472</v>
      </c>
      <c r="H2650" s="3" t="n">
        <v>-5.671155</v>
      </c>
      <c r="I2650" s="3" t="n">
        <v>-3.680209</v>
      </c>
      <c r="J2650" s="3" t="n">
        <v>-3.733923</v>
      </c>
      <c r="K2650" s="3" t="n">
        <v>-4.23366</v>
      </c>
      <c r="L2650" s="3" t="n">
        <v>-3.833224</v>
      </c>
      <c r="M2650" s="3" t="n">
        <v>-3.022463</v>
      </c>
      <c r="N2650" s="3" t="n">
        <v>-4.640585</v>
      </c>
      <c r="O2650" s="3" t="n">
        <v>-5.742289</v>
      </c>
      <c r="P2650" s="3" t="n">
        <v>-8.615864</v>
      </c>
      <c r="Q2650" s="3" t="n">
        <v>-14.022386</v>
      </c>
      <c r="R2650" s="3" t="n">
        <v>-39.875191</v>
      </c>
      <c r="S2650" s="3" t="n">
        <v>-21.060844</v>
      </c>
      <c r="T2650" s="3" t="n">
        <v>-10.943239</v>
      </c>
      <c r="U2650" s="3" t="n">
        <v>-7.249575</v>
      </c>
      <c r="V2650" s="3" t="n">
        <v>-14.859469</v>
      </c>
      <c r="W2650" s="3" t="n">
        <v>-4.867115</v>
      </c>
      <c r="X2650" s="3" t="n">
        <v>-11.670807</v>
      </c>
      <c r="Y2650" s="3" t="n">
        <v>-9.255373000000001</v>
      </c>
      <c r="Z2650" s="3" t="n">
        <v>-7.793366</v>
      </c>
      <c r="AA2650" s="3" t="n">
        <v>-5.842959</v>
      </c>
      <c r="AB2650" s="3" t="n">
        <v>-7.29547</v>
      </c>
      <c r="AC2650" s="3" t="n">
        <v>-6.348444</v>
      </c>
      <c r="AD2650" s="3" t="n">
        <v>-9.473592999999999</v>
      </c>
      <c r="AE2650" s="3" t="n">
        <v>-6.893211</v>
      </c>
      <c r="AF2650" s="3" t="n">
        <v>-5.082037</v>
      </c>
      <c r="AG2650" s="3" t="n">
        <v>-3.265675</v>
      </c>
      <c r="AH2650" s="3" t="n">
        <v>-2.895952</v>
      </c>
      <c r="AI2650" s="3" t="n">
        <v>-2.869898</v>
      </c>
      <c r="AJ2650" s="3" t="n">
        <v>-2.856657</v>
      </c>
      <c r="AK2650" s="3" t="n">
        <v>-3.407163</v>
      </c>
      <c r="AL2650" s="3" t="n">
        <v>-3.004922</v>
      </c>
      <c r="AM2650" s="3" t="n"/>
      <c r="AN2650" s="3" t="n"/>
      <c r="AO2650" s="3" t="n"/>
      <c r="AP2650" s="3" t="n"/>
      <c r="AQ2650" s="3" t="n"/>
      <c r="AR2650" s="3" t="n"/>
      <c r="AS2650" s="3" t="n"/>
      <c r="AT2650" s="3" t="n"/>
      <c r="AU2650" s="3" t="n"/>
    </row>
    <row r="2651">
      <c r="A2651" s="3" t="n">
        <v>2031</v>
      </c>
      <c r="B2651" s="3" t="inlineStr">
        <is>
          <t>SLE</t>
        </is>
      </c>
      <c r="C2651" s="3" t="inlineStr">
        <is>
          <t>IMF.RES:WEO</t>
        </is>
      </c>
      <c r="D2651" s="3" t="inlineStr">
        <is>
          <t>SLE.GGR_NGDP.A</t>
        </is>
      </c>
      <c r="E2651" s="3" t="inlineStr">
        <is>
          <t>Sierra Leone</t>
        </is>
      </c>
      <c r="F2651" s="3" t="inlineStr">
        <is>
          <t>Revenue, General government, Percent of GDP</t>
        </is>
      </c>
      <c r="G2651" s="3" t="n">
        <v>8.334777000000001</v>
      </c>
      <c r="H2651" s="3" t="n">
        <v>8.777373000000001</v>
      </c>
      <c r="I2651" s="3" t="n">
        <v>9.549966</v>
      </c>
      <c r="J2651" s="3" t="n">
        <v>8.928254000000001</v>
      </c>
      <c r="K2651" s="3" t="n">
        <v>9.687528</v>
      </c>
      <c r="L2651" s="3" t="n">
        <v>9.697357</v>
      </c>
      <c r="M2651" s="3" t="n">
        <v>9.040264000000001</v>
      </c>
      <c r="N2651" s="3" t="n">
        <v>20.672081</v>
      </c>
      <c r="O2651" s="3" t="n">
        <v>8.120792</v>
      </c>
      <c r="P2651" s="3" t="n">
        <v>9.790585</v>
      </c>
      <c r="Q2651" s="3" t="n">
        <v>9.399438</v>
      </c>
      <c r="R2651" s="3" t="n">
        <v>10.401091</v>
      </c>
      <c r="S2651" s="3" t="n">
        <v>10.04008</v>
      </c>
      <c r="T2651" s="3" t="n">
        <v>9.680161999999999</v>
      </c>
      <c r="U2651" s="3" t="n">
        <v>10.779998</v>
      </c>
      <c r="V2651" s="3" t="n">
        <v>10.199546</v>
      </c>
      <c r="W2651" s="3" t="n">
        <v>9.522627999999999</v>
      </c>
      <c r="X2651" s="3" t="n">
        <v>9.357467</v>
      </c>
      <c r="Y2651" s="3" t="n">
        <v>10.078975</v>
      </c>
      <c r="Z2651" s="3" t="n">
        <v>11.341369</v>
      </c>
      <c r="AA2651" s="3" t="n">
        <v>12.128429</v>
      </c>
      <c r="AB2651" s="3" t="n">
        <v>12.403431</v>
      </c>
      <c r="AC2651" s="3" t="n">
        <v>10.788274</v>
      </c>
      <c r="AD2651" s="3" t="n">
        <v>10.440113</v>
      </c>
      <c r="AE2651" s="3" t="n">
        <v>12.400617</v>
      </c>
      <c r="AF2651" s="3" t="n">
        <v>12.284986</v>
      </c>
      <c r="AG2651" s="3" t="n">
        <v>13.705442</v>
      </c>
      <c r="AH2651" s="3" t="n">
        <v>13.782474</v>
      </c>
      <c r="AI2651" s="3" t="n">
        <v>13.89235</v>
      </c>
      <c r="AJ2651" s="3" t="n">
        <v>12.871343</v>
      </c>
      <c r="AK2651" s="3" t="n">
        <v>12.825212</v>
      </c>
      <c r="AL2651" s="3" t="n">
        <v>12.774528</v>
      </c>
      <c r="AM2651" s="3" t="n"/>
      <c r="AN2651" s="3" t="n"/>
      <c r="AO2651" s="3" t="n"/>
      <c r="AP2651" s="3" t="n"/>
      <c r="AQ2651" s="3" t="n"/>
      <c r="AR2651" s="3" t="n"/>
      <c r="AS2651" s="3" t="n"/>
      <c r="AT2651" s="3" t="n"/>
      <c r="AU2651" s="3" t="n"/>
    </row>
    <row r="2652">
      <c r="A2652" s="3" t="n">
        <v>2031</v>
      </c>
      <c r="B2652" s="3" t="inlineStr">
        <is>
          <t>SLE</t>
        </is>
      </c>
      <c r="C2652" s="3" t="inlineStr">
        <is>
          <t>IMF.RES:WEO</t>
        </is>
      </c>
      <c r="D2652" s="3" t="inlineStr">
        <is>
          <t>SLE.GGX_NGDP.A</t>
        </is>
      </c>
      <c r="E2652" s="3" t="inlineStr">
        <is>
          <t>Sierra Leone</t>
        </is>
      </c>
      <c r="F2652" s="3" t="inlineStr">
        <is>
          <t>Expenditure, General government, Percent of GDP</t>
        </is>
      </c>
      <c r="G2652" s="3" t="n">
        <v>10.278645</v>
      </c>
      <c r="H2652" s="3" t="n">
        <v>11.996637</v>
      </c>
      <c r="I2652" s="3" t="n">
        <v>12.577489</v>
      </c>
      <c r="J2652" s="3" t="n">
        <v>11.711146</v>
      </c>
      <c r="K2652" s="3" t="n">
        <v>11.143444</v>
      </c>
      <c r="L2652" s="3" t="n">
        <v>10.864211</v>
      </c>
      <c r="M2652" s="3" t="n">
        <v>9.970568</v>
      </c>
      <c r="N2652" s="3" t="n">
        <v>8.10379</v>
      </c>
      <c r="O2652" s="3" t="n">
        <v>10.337818</v>
      </c>
      <c r="P2652" s="3" t="n">
        <v>11.300105</v>
      </c>
      <c r="Q2652" s="3" t="n">
        <v>12.489071</v>
      </c>
      <c r="R2652" s="3" t="n">
        <v>13.1858</v>
      </c>
      <c r="S2652" s="3" t="n">
        <v>13.452607</v>
      </c>
      <c r="T2652" s="3" t="n">
        <v>11.424419</v>
      </c>
      <c r="U2652" s="3" t="n">
        <v>13.548456</v>
      </c>
      <c r="V2652" s="3" t="n">
        <v>13.064507</v>
      </c>
      <c r="W2652" s="3" t="n">
        <v>14.936245</v>
      </c>
      <c r="X2652" s="3" t="n">
        <v>14.968227</v>
      </c>
      <c r="Y2652" s="3" t="n">
        <v>13.652283</v>
      </c>
      <c r="Z2652" s="3" t="n">
        <v>13.293878</v>
      </c>
      <c r="AA2652" s="3" t="n">
        <v>15.626752</v>
      </c>
      <c r="AB2652" s="3" t="n">
        <v>16.751461</v>
      </c>
      <c r="AC2652" s="3" t="n">
        <v>16.715872</v>
      </c>
      <c r="AD2652" s="3" t="n">
        <v>15.425732</v>
      </c>
      <c r="AE2652" s="3" t="n">
        <v>17.556173</v>
      </c>
      <c r="AF2652" s="3" t="n">
        <v>16.483893</v>
      </c>
      <c r="AG2652" s="3" t="n">
        <v>15.89506</v>
      </c>
      <c r="AH2652" s="3" t="n">
        <v>14.02069</v>
      </c>
      <c r="AI2652" s="3" t="n">
        <v>14.09532</v>
      </c>
      <c r="AJ2652" s="3" t="n">
        <v>13.551777</v>
      </c>
      <c r="AK2652" s="3" t="n">
        <v>13.25776</v>
      </c>
      <c r="AL2652" s="3" t="n">
        <v>12.878269</v>
      </c>
      <c r="AM2652" s="3" t="n"/>
      <c r="AN2652" s="3" t="n"/>
      <c r="AO2652" s="3" t="n"/>
      <c r="AP2652" s="3" t="n"/>
      <c r="AQ2652" s="3" t="n"/>
      <c r="AR2652" s="3" t="n"/>
      <c r="AS2652" s="3" t="n"/>
      <c r="AT2652" s="3" t="n"/>
      <c r="AU2652" s="3" t="n"/>
    </row>
    <row r="2653">
      <c r="A2653" s="3" t="n">
        <v>2031</v>
      </c>
      <c r="B2653" s="3" t="inlineStr">
        <is>
          <t>SLE</t>
        </is>
      </c>
      <c r="C2653" s="3" t="inlineStr">
        <is>
          <t>IMF.RES:WEO</t>
        </is>
      </c>
      <c r="D2653" s="3" t="inlineStr">
        <is>
          <t>SLE.LP.A</t>
        </is>
      </c>
      <c r="E2653" s="3" t="inlineStr">
        <is>
          <t>Sierra Leone</t>
        </is>
      </c>
      <c r="F2653" s="3" t="inlineStr">
        <is>
          <t>Population, Persons for countries / Index for country groups</t>
        </is>
      </c>
      <c r="G2653" s="3" t="n">
        <v>4.584571</v>
      </c>
      <c r="H2653" s="3" t="n">
        <v>4.754072</v>
      </c>
      <c r="I2653" s="3" t="n">
        <v>4.971435</v>
      </c>
      <c r="J2653" s="3" t="n">
        <v>5.177687</v>
      </c>
      <c r="K2653" s="3" t="n">
        <v>5.355717</v>
      </c>
      <c r="L2653" s="3" t="n">
        <v>5.501712</v>
      </c>
      <c r="M2653" s="3" t="n">
        <v>5.624466</v>
      </c>
      <c r="N2653" s="3" t="n">
        <v>5.749352</v>
      </c>
      <c r="O2653" s="3" t="n">
        <v>5.894722</v>
      </c>
      <c r="P2653" s="3" t="n">
        <v>6.055646</v>
      </c>
      <c r="Q2653" s="3" t="n">
        <v>6.222714</v>
      </c>
      <c r="R2653" s="3" t="n">
        <v>6.387251</v>
      </c>
      <c r="S2653" s="3" t="n">
        <v>6.55108</v>
      </c>
      <c r="T2653" s="3" t="n">
        <v>6.714051</v>
      </c>
      <c r="U2653" s="3" t="n">
        <v>6.876385</v>
      </c>
      <c r="V2653" s="3" t="n">
        <v>7.037655</v>
      </c>
      <c r="W2653" s="3" t="n">
        <v>7.205328</v>
      </c>
      <c r="X2653" s="3" t="n">
        <v>7.379299</v>
      </c>
      <c r="Y2653" s="3" t="n">
        <v>7.554563</v>
      </c>
      <c r="Z2653" s="3" t="n">
        <v>7.731991</v>
      </c>
      <c r="AA2653" s="3" t="n">
        <v>7.912558</v>
      </c>
      <c r="AB2653" s="3" t="n">
        <v>8.094602</v>
      </c>
      <c r="AC2653" s="3" t="n">
        <v>8.276807</v>
      </c>
      <c r="AD2653" s="3" t="n">
        <v>8.460512</v>
      </c>
      <c r="AE2653" s="3" t="n">
        <v>8.642022000000001</v>
      </c>
      <c r="AF2653" s="3" t="n">
        <v>8.820081999999999</v>
      </c>
      <c r="AG2653" s="3" t="n">
        <v>9.001811999999999</v>
      </c>
      <c r="AH2653" s="3" t="n">
        <v>9.187284999999999</v>
      </c>
      <c r="AI2653" s="3" t="n">
        <v>9.376580000000001</v>
      </c>
      <c r="AJ2653" s="3" t="n">
        <v>9.569775999999999</v>
      </c>
      <c r="AK2653" s="3" t="n">
        <v>9.766951000000001</v>
      </c>
      <c r="AL2653" s="3" t="n">
        <v>9.96819</v>
      </c>
      <c r="AM2653" s="3" t="n"/>
      <c r="AN2653" s="3" t="n"/>
      <c r="AO2653" s="3" t="n"/>
      <c r="AP2653" s="3" t="n"/>
      <c r="AQ2653" s="3" t="n"/>
      <c r="AR2653" s="3" t="n"/>
      <c r="AS2653" s="3" t="n"/>
      <c r="AT2653" s="3" t="n"/>
      <c r="AU2653" s="3" t="n"/>
    </row>
    <row r="2654">
      <c r="A2654" s="3" t="n">
        <v>2031</v>
      </c>
      <c r="B2654" s="3" t="inlineStr">
        <is>
          <t>SLE</t>
        </is>
      </c>
      <c r="C2654" s="3" t="inlineStr">
        <is>
          <t>IMF.RES:WEO</t>
        </is>
      </c>
      <c r="D2654" s="3" t="inlineStr">
        <is>
          <t>SLE.NGDP.A</t>
        </is>
      </c>
      <c r="E2654" s="3" t="inlineStr">
        <is>
          <t>Sierra Leone</t>
        </is>
      </c>
      <c r="F2654" s="3" t="inlineStr">
        <is>
          <t>Gross domestic product (GDP), Current prices, Domestic currency</t>
        </is>
      </c>
      <c r="G2654" s="3" t="n">
        <v>3090.536651</v>
      </c>
      <c r="H2654" s="3" t="n">
        <v>3448.502555</v>
      </c>
      <c r="I2654" s="3" t="n">
        <v>4188.777134</v>
      </c>
      <c r="J2654" s="3" t="n">
        <v>5230.596076</v>
      </c>
      <c r="K2654" s="3" t="n">
        <v>6362.228785</v>
      </c>
      <c r="L2654" s="3" t="n">
        <v>7918.163588</v>
      </c>
      <c r="M2654" s="3" t="n">
        <v>9316.030741</v>
      </c>
      <c r="N2654" s="3" t="n">
        <v>10300.279177</v>
      </c>
      <c r="O2654" s="3" t="n">
        <v>11678.789165</v>
      </c>
      <c r="P2654" s="3" t="n">
        <v>12849.047497</v>
      </c>
      <c r="Q2654" s="3" t="n">
        <v>16604.630241</v>
      </c>
      <c r="R2654" s="3" t="n">
        <v>20870.494245</v>
      </c>
      <c r="S2654" s="3" t="n">
        <v>24960.658552</v>
      </c>
      <c r="T2654" s="3" t="n">
        <v>29210.107086</v>
      </c>
      <c r="U2654" s="3" t="n">
        <v>29549.58616</v>
      </c>
      <c r="V2654" s="3" t="n">
        <v>34263.410684</v>
      </c>
      <c r="W2654" s="3" t="n">
        <v>37966.542179</v>
      </c>
      <c r="X2654" s="3" t="n">
        <v>42989.954826</v>
      </c>
      <c r="Y2654" s="3" t="n">
        <v>50687.210824</v>
      </c>
      <c r="Z2654" s="3" t="n">
        <v>58778.875835</v>
      </c>
      <c r="AA2654" s="3" t="n">
        <v>65748.39820700001</v>
      </c>
      <c r="AB2654" s="3" t="n">
        <v>74818.64599999999</v>
      </c>
      <c r="AC2654" s="3" t="n">
        <v>100035.072</v>
      </c>
      <c r="AD2654" s="3" t="n">
        <v>136688.941</v>
      </c>
      <c r="AE2654" s="3" t="n">
        <v>157455.699</v>
      </c>
      <c r="AF2654" s="3" t="n">
        <v>174683.390554</v>
      </c>
      <c r="AG2654" s="3" t="n">
        <v>193462.186224</v>
      </c>
      <c r="AH2654" s="3" t="n">
        <v>216251.339749</v>
      </c>
      <c r="AI2654" s="3" t="n">
        <v>241596.733657</v>
      </c>
      <c r="AJ2654" s="3" t="n">
        <v>271078.552319</v>
      </c>
      <c r="AK2654" s="3" t="n">
        <v>304167.37219</v>
      </c>
      <c r="AL2654" s="3" t="n">
        <v>340623.717067</v>
      </c>
      <c r="AM2654" s="3" t="n"/>
      <c r="AN2654" s="3" t="n"/>
      <c r="AO2654" s="3" t="n"/>
      <c r="AP2654" s="3" t="n"/>
      <c r="AQ2654" s="3" t="n"/>
      <c r="AR2654" s="3" t="n"/>
      <c r="AS2654" s="3" t="n"/>
      <c r="AT2654" s="3" t="n"/>
      <c r="AU2654" s="3" t="n"/>
    </row>
    <row r="2655">
      <c r="A2655" s="3" t="n">
        <v>2031</v>
      </c>
      <c r="B2655" s="3" t="inlineStr">
        <is>
          <t>SLE</t>
        </is>
      </c>
      <c r="C2655" s="3" t="inlineStr">
        <is>
          <t>IMF.RES:WEO</t>
        </is>
      </c>
      <c r="D2655" s="3" t="inlineStr">
        <is>
          <t>SLE.NGDP_D.A</t>
        </is>
      </c>
      <c r="E2655" s="3" t="inlineStr">
        <is>
          <t>Sierra Leone</t>
        </is>
      </c>
      <c r="F2655" s="3" t="inlineStr">
        <is>
          <t>Gross domestic product (GDP), Price deflator, Index</t>
        </is>
      </c>
      <c r="G2655" s="3" t="n">
        <v>19.69304</v>
      </c>
      <c r="H2655" s="3" t="n">
        <v>18.595266</v>
      </c>
      <c r="I2655" s="3" t="n">
        <v>17.865895</v>
      </c>
      <c r="J2655" s="3" t="n">
        <v>20.225494</v>
      </c>
      <c r="K2655" s="3" t="n">
        <v>22.819193</v>
      </c>
      <c r="L2655" s="3" t="n">
        <v>26.611332</v>
      </c>
      <c r="M2655" s="3" t="n">
        <v>29.934106</v>
      </c>
      <c r="N2655" s="3" t="n">
        <v>31.906257</v>
      </c>
      <c r="O2655" s="3" t="n">
        <v>34.836185</v>
      </c>
      <c r="P2655" s="3" t="n">
        <v>37.830145</v>
      </c>
      <c r="Q2655" s="3" t="n">
        <v>44.411907</v>
      </c>
      <c r="R2655" s="3" t="n">
        <v>52.116991</v>
      </c>
      <c r="S2655" s="3" t="n">
        <v>58.391979</v>
      </c>
      <c r="T2655" s="3" t="n">
        <v>62.445372</v>
      </c>
      <c r="U2655" s="3" t="n">
        <v>63.566492</v>
      </c>
      <c r="V2655" s="3" t="n">
        <v>76.051169</v>
      </c>
      <c r="W2655" s="3" t="n">
        <v>80.50675200000001</v>
      </c>
      <c r="X2655" s="3" t="n">
        <v>87.70242500000001</v>
      </c>
      <c r="Y2655" s="3" t="n">
        <v>100</v>
      </c>
      <c r="Z2655" s="3" t="n">
        <v>109.915583</v>
      </c>
      <c r="AA2655" s="3" t="n">
        <v>124.509014</v>
      </c>
      <c r="AB2655" s="3" t="n">
        <v>133.796352</v>
      </c>
      <c r="AC2655" s="3" t="n">
        <v>169.864782</v>
      </c>
      <c r="AD2655" s="3" t="n">
        <v>219.565906</v>
      </c>
      <c r="AE2655" s="3" t="n">
        <v>242.512681</v>
      </c>
      <c r="AF2655" s="3" t="n">
        <v>257.763823</v>
      </c>
      <c r="AG2655" s="3" t="n">
        <v>273.050373</v>
      </c>
      <c r="AH2655" s="3" t="n">
        <v>291.571302</v>
      </c>
      <c r="AI2655" s="3" t="n">
        <v>311.290951</v>
      </c>
      <c r="AJ2655" s="3" t="n">
        <v>334.064541</v>
      </c>
      <c r="AK2655" s="3" t="n">
        <v>358.417728</v>
      </c>
      <c r="AL2655" s="3" t="n">
        <v>384.223804</v>
      </c>
      <c r="AM2655" s="3" t="n"/>
      <c r="AN2655" s="3" t="n"/>
      <c r="AO2655" s="3" t="n"/>
      <c r="AP2655" s="3" t="n"/>
      <c r="AQ2655" s="3" t="n"/>
      <c r="AR2655" s="3" t="n"/>
      <c r="AS2655" s="3" t="n"/>
      <c r="AT2655" s="3" t="n"/>
      <c r="AU2655" s="3" t="n"/>
    </row>
    <row r="2656">
      <c r="A2656" s="3" t="n">
        <v>2031</v>
      </c>
      <c r="B2656" s="3" t="inlineStr">
        <is>
          <t>SLE</t>
        </is>
      </c>
      <c r="C2656" s="3" t="inlineStr">
        <is>
          <t>IMF.RES:WEO</t>
        </is>
      </c>
      <c r="D2656" s="3" t="inlineStr">
        <is>
          <t>SLE.NGDP_R.A</t>
        </is>
      </c>
      <c r="E2656" s="3" t="inlineStr">
        <is>
          <t>Sierra Leone</t>
        </is>
      </c>
      <c r="F2656" s="3" t="inlineStr">
        <is>
          <t>Gross domestic product (GDP), Constant prices, Domestic currency</t>
        </is>
      </c>
      <c r="G2656" s="3" t="n">
        <v>15693.548004</v>
      </c>
      <c r="H2656" s="3" t="n">
        <v>18545.055857</v>
      </c>
      <c r="I2656" s="3" t="n">
        <v>23445.660253</v>
      </c>
      <c r="J2656" s="3" t="n">
        <v>25861.401303</v>
      </c>
      <c r="K2656" s="3" t="n">
        <v>27881.041773</v>
      </c>
      <c r="L2656" s="3" t="n">
        <v>29754.856705</v>
      </c>
      <c r="M2656" s="3" t="n">
        <v>31121.794233</v>
      </c>
      <c r="N2656" s="3" t="n">
        <v>32282.944276</v>
      </c>
      <c r="O2656" s="3" t="n">
        <v>33524.879967</v>
      </c>
      <c r="P2656" s="3" t="n">
        <v>33965.102184</v>
      </c>
      <c r="Q2656" s="3" t="n">
        <v>37387.788976</v>
      </c>
      <c r="R2656" s="3" t="n">
        <v>40045.470535</v>
      </c>
      <c r="S2656" s="3" t="n">
        <v>42746.724586</v>
      </c>
      <c r="T2656" s="3" t="n">
        <v>46777.056761</v>
      </c>
      <c r="U2656" s="3" t="n">
        <v>46486.104778</v>
      </c>
      <c r="V2656" s="3" t="n">
        <v>45053.101875</v>
      </c>
      <c r="W2656" s="3" t="n">
        <v>47159.451028</v>
      </c>
      <c r="X2656" s="3" t="n">
        <v>49017.977332</v>
      </c>
      <c r="Y2656" s="3" t="n">
        <v>50687.210824</v>
      </c>
      <c r="Z2656" s="3" t="n">
        <v>53476.380669</v>
      </c>
      <c r="AA2656" s="3" t="n">
        <v>52806.135046</v>
      </c>
      <c r="AB2656" s="3" t="n">
        <v>55919.795</v>
      </c>
      <c r="AC2656" s="3" t="n">
        <v>58891.002</v>
      </c>
      <c r="AD2656" s="3" t="n">
        <v>62254.174</v>
      </c>
      <c r="AE2656" s="3" t="n">
        <v>64926.79</v>
      </c>
      <c r="AF2656" s="3" t="n">
        <v>67768.776954</v>
      </c>
      <c r="AG2656" s="3" t="n">
        <v>70852.196159</v>
      </c>
      <c r="AH2656" s="3" t="n">
        <v>74167.566563</v>
      </c>
      <c r="AI2656" s="3" t="n">
        <v>77611.22921600001</v>
      </c>
      <c r="AJ2656" s="3" t="n">
        <v>81145.56282200001</v>
      </c>
      <c r="AK2656" s="3" t="n">
        <v>84863.930766</v>
      </c>
      <c r="AL2656" s="3" t="n">
        <v>88652.424329</v>
      </c>
      <c r="AM2656" s="3" t="n"/>
      <c r="AN2656" s="3" t="n"/>
      <c r="AO2656" s="3" t="n"/>
      <c r="AP2656" s="3" t="n"/>
      <c r="AQ2656" s="3" t="n"/>
      <c r="AR2656" s="3" t="n"/>
      <c r="AS2656" s="3" t="n"/>
      <c r="AT2656" s="3" t="n"/>
      <c r="AU2656" s="3" t="n"/>
    </row>
    <row r="2657">
      <c r="A2657" s="3" t="n">
        <v>2031</v>
      </c>
      <c r="B2657" s="3" t="inlineStr">
        <is>
          <t>SLE</t>
        </is>
      </c>
      <c r="C2657" s="3" t="inlineStr">
        <is>
          <t>IMF.RES:WEO</t>
        </is>
      </c>
      <c r="D2657" s="3" t="inlineStr">
        <is>
          <t>SLE.NGDP_RPCH.A</t>
        </is>
      </c>
      <c r="E2657" s="3" t="inlineStr">
        <is>
          <t>Sierra Leone</t>
        </is>
      </c>
      <c r="F2657" s="3" t="inlineStr">
        <is>
          <t>Gross domestic product (GDP), Constant prices, Percent change</t>
        </is>
      </c>
      <c r="G2657" s="3" t="n">
        <v>3.807283</v>
      </c>
      <c r="H2657" s="3" t="n">
        <v>18.169937</v>
      </c>
      <c r="I2657" s="3" t="n">
        <v>26.425396</v>
      </c>
      <c r="J2657" s="3" t="n">
        <v>10.303574</v>
      </c>
      <c r="K2657" s="3" t="n">
        <v>7.809478</v>
      </c>
      <c r="L2657" s="3" t="n">
        <v>6.720749</v>
      </c>
      <c r="M2657" s="3" t="n">
        <v>4.593998</v>
      </c>
      <c r="N2657" s="3" t="n">
        <v>3.730987</v>
      </c>
      <c r="O2657" s="3" t="n">
        <v>3.847034</v>
      </c>
      <c r="P2657" s="3" t="n">
        <v>1.313121</v>
      </c>
      <c r="Q2657" s="3" t="n">
        <v>10.077069</v>
      </c>
      <c r="R2657" s="3" t="n">
        <v>7.108421</v>
      </c>
      <c r="S2657" s="3" t="n">
        <v>6.745467</v>
      </c>
      <c r="T2657" s="3" t="n">
        <v>9.4284</v>
      </c>
      <c r="U2657" s="3" t="n">
        <v>-0.621997</v>
      </c>
      <c r="V2657" s="3" t="n">
        <v>-3.082648</v>
      </c>
      <c r="W2657" s="3" t="n">
        <v>4.675259</v>
      </c>
      <c r="X2657" s="3" t="n">
        <v>3.940941</v>
      </c>
      <c r="Y2657" s="3" t="n">
        <v>3.40535</v>
      </c>
      <c r="Z2657" s="3" t="n">
        <v>5.502709</v>
      </c>
      <c r="AA2657" s="3" t="n">
        <v>-1.253349</v>
      </c>
      <c r="AB2657" s="3" t="n">
        <v>5.896398</v>
      </c>
      <c r="AC2657" s="3" t="n">
        <v>5.313337</v>
      </c>
      <c r="AD2657" s="3" t="n">
        <v>5.710842</v>
      </c>
      <c r="AE2657" s="3" t="n">
        <v>4.293071</v>
      </c>
      <c r="AF2657" s="3" t="n">
        <v>4.377218</v>
      </c>
      <c r="AG2657" s="3" t="n">
        <v>4.549911</v>
      </c>
      <c r="AH2657" s="3" t="n">
        <v>4.679277</v>
      </c>
      <c r="AI2657" s="3" t="n">
        <v>4.643084</v>
      </c>
      <c r="AJ2657" s="3" t="n">
        <v>4.553895</v>
      </c>
      <c r="AK2657" s="3" t="n">
        <v>4.582343</v>
      </c>
      <c r="AL2657" s="3" t="n">
        <v>4.464198</v>
      </c>
      <c r="AM2657" s="3" t="n"/>
      <c r="AN2657" s="3" t="n"/>
      <c r="AO2657" s="3" t="n"/>
      <c r="AP2657" s="3" t="n"/>
      <c r="AQ2657" s="3" t="n"/>
      <c r="AR2657" s="3" t="n"/>
      <c r="AS2657" s="3" t="n"/>
      <c r="AT2657" s="3" t="n"/>
      <c r="AU2657" s="3" t="n"/>
    </row>
    <row r="2658">
      <c r="A2658" s="3" t="n">
        <v>2031</v>
      </c>
      <c r="B2658" s="3" t="inlineStr">
        <is>
          <t>SLE</t>
        </is>
      </c>
      <c r="C2658" s="3" t="inlineStr">
        <is>
          <t>IMF.RES:WEO</t>
        </is>
      </c>
      <c r="D2658" s="3" t="inlineStr">
        <is>
          <t>SLE.NGDPD.A</t>
        </is>
      </c>
      <c r="E2658" s="3" t="inlineStr">
        <is>
          <t>Sierra Leone</t>
        </is>
      </c>
      <c r="F2658" s="3" t="inlineStr">
        <is>
          <t>Gross domestic product (GDP), Current prices, US dollar</t>
        </is>
      </c>
      <c r="G2658" s="3" t="n">
        <v>1.49803</v>
      </c>
      <c r="H2658" s="3" t="n">
        <v>1.725837</v>
      </c>
      <c r="I2658" s="3" t="n">
        <v>1.989818</v>
      </c>
      <c r="J2658" s="3" t="n">
        <v>2.218021</v>
      </c>
      <c r="K2658" s="3" t="n">
        <v>2.339085</v>
      </c>
      <c r="L2658" s="3" t="n">
        <v>2.737589</v>
      </c>
      <c r="M2658" s="3" t="n">
        <v>3.143763</v>
      </c>
      <c r="N2658" s="3" t="n">
        <v>3.450723</v>
      </c>
      <c r="O2658" s="3" t="n">
        <v>3.926038</v>
      </c>
      <c r="P2658" s="3" t="n">
        <v>3.795149</v>
      </c>
      <c r="Q2658" s="3" t="n">
        <v>4.174023</v>
      </c>
      <c r="R2658" s="3" t="n">
        <v>4.79874</v>
      </c>
      <c r="S2658" s="3" t="n">
        <v>5.746269</v>
      </c>
      <c r="T2658" s="3" t="n">
        <v>6.735624</v>
      </c>
      <c r="U2658" s="3" t="n">
        <v>6.520791</v>
      </c>
      <c r="V2658" s="3" t="n">
        <v>6.75043</v>
      </c>
      <c r="W2658" s="3" t="n">
        <v>6.038013</v>
      </c>
      <c r="X2658" s="3" t="n">
        <v>5.823224</v>
      </c>
      <c r="Y2658" s="3" t="n">
        <v>6.390289</v>
      </c>
      <c r="Z2658" s="3" t="n">
        <v>6.519092</v>
      </c>
      <c r="AA2658" s="3" t="n">
        <v>6.681808</v>
      </c>
      <c r="AB2658" s="3" t="n">
        <v>7.166296</v>
      </c>
      <c r="AC2658" s="3" t="n">
        <v>7.121338</v>
      </c>
      <c r="AD2658" s="3" t="n">
        <v>6.400511</v>
      </c>
      <c r="AE2658" s="3" t="n">
        <v>6.969893</v>
      </c>
      <c r="AF2658" s="3" t="n">
        <v>7.709616</v>
      </c>
      <c r="AG2658" s="3" t="n">
        <v>8.270116</v>
      </c>
      <c r="AH2658" s="3" t="n">
        <v>8.650603</v>
      </c>
      <c r="AI2658" s="3" t="n">
        <v>9.039558</v>
      </c>
      <c r="AJ2658" s="3" t="n">
        <v>9.485941</v>
      </c>
      <c r="AK2658" s="3" t="n">
        <v>9.954753</v>
      </c>
      <c r="AL2658" s="3" t="n">
        <v>10.422859</v>
      </c>
      <c r="AM2658" s="3" t="n"/>
      <c r="AN2658" s="3" t="n"/>
      <c r="AO2658" s="3" t="n"/>
      <c r="AP2658" s="3" t="n"/>
      <c r="AQ2658" s="3" t="n"/>
      <c r="AR2658" s="3" t="n"/>
      <c r="AS2658" s="3" t="n"/>
      <c r="AT2658" s="3" t="n"/>
      <c r="AU2658" s="3" t="n"/>
    </row>
    <row r="2659">
      <c r="A2659" s="3" t="n">
        <v>2031</v>
      </c>
      <c r="B2659" s="3" t="inlineStr">
        <is>
          <t>SLE</t>
        </is>
      </c>
      <c r="C2659" s="3" t="inlineStr">
        <is>
          <t>IMF.RES:WEO</t>
        </is>
      </c>
      <c r="D2659" s="3" t="inlineStr">
        <is>
          <t>SLE.NGDPPC.A</t>
        </is>
      </c>
      <c r="E2659" s="3" t="inlineStr">
        <is>
          <t>Sierra Leone</t>
        </is>
      </c>
      <c r="F2659" s="3" t="inlineStr">
        <is>
          <t>Gross domestic product (GDP), Current prices, Per capita, Domestic currency</t>
        </is>
      </c>
      <c r="G2659" s="3" t="n">
        <v>674116.869562</v>
      </c>
      <c r="H2659" s="3" t="n">
        <v>725378.697515</v>
      </c>
      <c r="I2659" s="3" t="n">
        <v>842569.023573</v>
      </c>
      <c r="J2659" s="3" t="n">
        <v>1010218.670194</v>
      </c>
      <c r="K2659" s="3" t="n">
        <v>1187932.219898</v>
      </c>
      <c r="L2659" s="3" t="n">
        <v>1439218.117596</v>
      </c>
      <c r="M2659" s="3" t="n">
        <v>1656340.484698</v>
      </c>
      <c r="N2659" s="3" t="n">
        <v>1791554.800863</v>
      </c>
      <c r="O2659" s="3" t="n">
        <v>1981228.150371</v>
      </c>
      <c r="P2659" s="3" t="n">
        <v>2121829.363429</v>
      </c>
      <c r="Q2659" s="3" t="n">
        <v>2668390.390518</v>
      </c>
      <c r="R2659" s="3" t="n">
        <v>3267523.735102</v>
      </c>
      <c r="S2659" s="3" t="n">
        <v>3810159.32511</v>
      </c>
      <c r="T2659" s="3" t="n">
        <v>4350593.566555</v>
      </c>
      <c r="U2659" s="3" t="n">
        <v>4297255.921603</v>
      </c>
      <c r="V2659" s="3" t="n">
        <v>4868583.453391</v>
      </c>
      <c r="W2659" s="3" t="n">
        <v>5269231.626834</v>
      </c>
      <c r="X2659" s="3" t="n">
        <v>5825750.498312</v>
      </c>
      <c r="Y2659" s="3" t="n">
        <v>6709482.841614</v>
      </c>
      <c r="Z2659" s="3" t="n">
        <v>7602036.245934</v>
      </c>
      <c r="AA2659" s="3" t="n">
        <v>8309373.303401</v>
      </c>
      <c r="AB2659" s="3" t="n">
        <v>9243029.614056</v>
      </c>
      <c r="AC2659" s="3" t="n">
        <v>12086191.20876</v>
      </c>
      <c r="AD2659" s="3" t="n">
        <v>16156107.455435</v>
      </c>
      <c r="AE2659" s="3" t="n">
        <v>18219775.302585</v>
      </c>
      <c r="AF2659" s="3" t="n">
        <v>19805187.962778</v>
      </c>
      <c r="AG2659" s="3" t="n">
        <v>21491472.379196</v>
      </c>
      <c r="AH2659" s="3" t="n">
        <v>23538111.116017</v>
      </c>
      <c r="AI2659" s="3" t="n">
        <v>25765975.145042</v>
      </c>
      <c r="AJ2659" s="3" t="n">
        <v>28326531.905836</v>
      </c>
      <c r="AK2659" s="3" t="n">
        <v>31142508.898279</v>
      </c>
      <c r="AL2659" s="3" t="n">
        <v>34171070.032039</v>
      </c>
      <c r="AM2659" s="3" t="n"/>
      <c r="AN2659" s="3" t="n"/>
      <c r="AO2659" s="3" t="n"/>
      <c r="AP2659" s="3" t="n"/>
      <c r="AQ2659" s="3" t="n"/>
      <c r="AR2659" s="3" t="n"/>
      <c r="AS2659" s="3" t="n"/>
      <c r="AT2659" s="3" t="n"/>
      <c r="AU2659" s="3" t="n"/>
    </row>
    <row r="2660">
      <c r="A2660" s="3" t="n">
        <v>2031</v>
      </c>
      <c r="B2660" s="3" t="inlineStr">
        <is>
          <t>SLE</t>
        </is>
      </c>
      <c r="C2660" s="3" t="inlineStr">
        <is>
          <t>IMF.RES:WEO</t>
        </is>
      </c>
      <c r="D2660" s="3" t="inlineStr">
        <is>
          <t>SLE.NGDPRPC.A</t>
        </is>
      </c>
      <c r="E2660" s="3" t="inlineStr">
        <is>
          <t>Sierra Leone</t>
        </is>
      </c>
      <c r="F2660" s="3" t="inlineStr">
        <is>
          <t>Gross domestic product (GDP), Constant prices, Per capita, Domestic currency</t>
        </is>
      </c>
      <c r="G2660" s="3" t="n">
        <v>3423122.469626</v>
      </c>
      <c r="H2660" s="3" t="n">
        <v>3900878.206604</v>
      </c>
      <c r="I2660" s="3" t="n">
        <v>4716074.987045</v>
      </c>
      <c r="J2660" s="3" t="n">
        <v>4994778.808139</v>
      </c>
      <c r="K2660" s="3" t="n">
        <v>5205846.719204</v>
      </c>
      <c r="L2660" s="3" t="n">
        <v>5408290.492985</v>
      </c>
      <c r="M2660" s="3" t="n">
        <v>5533288.712677</v>
      </c>
      <c r="N2660" s="3" t="n">
        <v>5615057.884134</v>
      </c>
      <c r="O2660" s="3" t="n">
        <v>5687270.742653</v>
      </c>
      <c r="P2660" s="3" t="n">
        <v>5608832.18479</v>
      </c>
      <c r="Q2660" s="3" t="n">
        <v>6008276.931238</v>
      </c>
      <c r="R2660" s="3" t="n">
        <v>6269593.998296</v>
      </c>
      <c r="S2660" s="3" t="n">
        <v>6525141.592896</v>
      </c>
      <c r="T2660" s="3" t="n">
        <v>6967039.237734</v>
      </c>
      <c r="U2660" s="3" t="n">
        <v>6760253.356637</v>
      </c>
      <c r="V2660" s="3" t="n">
        <v>6401720.725846</v>
      </c>
      <c r="W2660" s="3" t="n">
        <v>6545080.394341</v>
      </c>
      <c r="X2660" s="3" t="n">
        <v>6642633.308632</v>
      </c>
      <c r="Y2660" s="3" t="n">
        <v>6709482.841614</v>
      </c>
      <c r="Z2660" s="3" t="n">
        <v>6916249.73033</v>
      </c>
      <c r="AA2660" s="3" t="n">
        <v>6673712.223804</v>
      </c>
      <c r="AB2660" s="3" t="n">
        <v>6908282.210787</v>
      </c>
      <c r="AC2660" s="3" t="n">
        <v>7115183.669258</v>
      </c>
      <c r="AD2660" s="3" t="n">
        <v>7358204.089776</v>
      </c>
      <c r="AE2660" s="3" t="n">
        <v>7512916.537357</v>
      </c>
      <c r="AF2660" s="3" t="n">
        <v>7683462.985969</v>
      </c>
      <c r="AG2660" s="3" t="n">
        <v>7870881.883896</v>
      </c>
      <c r="AH2660" s="3" t="n">
        <v>8072849.05144</v>
      </c>
      <c r="AI2660" s="3" t="n">
        <v>8277135.922688</v>
      </c>
      <c r="AJ2660" s="3" t="n">
        <v>8479359.044186</v>
      </c>
      <c r="AK2660" s="3" t="n">
        <v>8688886.319374001</v>
      </c>
      <c r="AL2660" s="3" t="n">
        <v>8893532.800138</v>
      </c>
      <c r="AM2660" s="3" t="n"/>
      <c r="AN2660" s="3" t="n"/>
      <c r="AO2660" s="3" t="n"/>
      <c r="AP2660" s="3" t="n"/>
      <c r="AQ2660" s="3" t="n"/>
      <c r="AR2660" s="3" t="n"/>
      <c r="AS2660" s="3" t="n"/>
      <c r="AT2660" s="3" t="n"/>
      <c r="AU2660" s="3" t="n"/>
    </row>
    <row r="2661">
      <c r="A2661" s="3" t="n">
        <v>2031</v>
      </c>
      <c r="B2661" s="3" t="inlineStr">
        <is>
          <t>SLE</t>
        </is>
      </c>
      <c r="C2661" s="3" t="inlineStr">
        <is>
          <t>IMF.RES:WEO</t>
        </is>
      </c>
      <c r="D2661" s="3" t="inlineStr">
        <is>
          <t>SLE.PCPI.A</t>
        </is>
      </c>
      <c r="E2661" s="3" t="inlineStr">
        <is>
          <t>Sierra Leone</t>
        </is>
      </c>
      <c r="F2661" s="3" t="inlineStr">
        <is>
          <t>All Items, Consumer price index (CPI), Period average</t>
        </is>
      </c>
      <c r="G2661" s="3" t="n">
        <v>14.231326</v>
      </c>
      <c r="H2661" s="3" t="n">
        <v>14.596747</v>
      </c>
      <c r="I2661" s="3" t="n">
        <v>14.61439</v>
      </c>
      <c r="J2661" s="3" t="n">
        <v>15.197591</v>
      </c>
      <c r="K2661" s="3" t="n">
        <v>17.161355</v>
      </c>
      <c r="L2661" s="3" t="n">
        <v>19.512869</v>
      </c>
      <c r="M2661" s="3" t="n">
        <v>21.568133</v>
      </c>
      <c r="N2661" s="3" t="n">
        <v>25.23</v>
      </c>
      <c r="O2661" s="3" t="n">
        <v>27.301667</v>
      </c>
      <c r="P2661" s="3" t="n">
        <v>29.340833</v>
      </c>
      <c r="Q2661" s="3" t="n">
        <v>31.449167</v>
      </c>
      <c r="R2661" s="3" t="n">
        <v>33.585</v>
      </c>
      <c r="S2661" s="3" t="n">
        <v>35.7975</v>
      </c>
      <c r="T2661" s="3" t="n">
        <v>37.775</v>
      </c>
      <c r="U2661" s="3" t="n">
        <v>39.5275</v>
      </c>
      <c r="V2661" s="3" t="n">
        <v>42.171667</v>
      </c>
      <c r="W2661" s="3" t="n">
        <v>46.7625</v>
      </c>
      <c r="X2661" s="3" t="n">
        <v>55.283333</v>
      </c>
      <c r="Y2661" s="3" t="n">
        <v>64.145</v>
      </c>
      <c r="Z2661" s="3" t="n">
        <v>73.641667</v>
      </c>
      <c r="AA2661" s="3" t="n">
        <v>83.544167</v>
      </c>
      <c r="AB2661" s="3" t="n">
        <v>93.464167</v>
      </c>
      <c r="AC2661" s="3" t="n">
        <v>118.894598</v>
      </c>
      <c r="AD2661" s="3" t="n">
        <v>175.625833</v>
      </c>
      <c r="AE2661" s="3" t="n">
        <v>225.553695</v>
      </c>
      <c r="AF2661" s="3" t="n">
        <v>242.708333</v>
      </c>
      <c r="AG2661" s="3" t="n">
        <v>261.030715</v>
      </c>
      <c r="AH2661" s="3" t="n">
        <v>284.52348</v>
      </c>
      <c r="AI2661" s="3" t="n">
        <v>310.130593</v>
      </c>
      <c r="AJ2661" s="3" t="n">
        <v>338.042346</v>
      </c>
      <c r="AK2661" s="3" t="n">
        <v>368.466157</v>
      </c>
      <c r="AL2661" s="3" t="n">
        <v>401.628111</v>
      </c>
      <c r="AM2661" s="3" t="n"/>
      <c r="AN2661" s="3" t="n"/>
      <c r="AO2661" s="3" t="n"/>
      <c r="AP2661" s="3" t="n"/>
      <c r="AQ2661" s="3" t="n"/>
      <c r="AR2661" s="3" t="n"/>
      <c r="AS2661" s="3" t="n"/>
      <c r="AT2661" s="3" t="n"/>
      <c r="AU2661" s="3" t="n"/>
    </row>
    <row r="2662">
      <c r="A2662" s="3" t="n">
        <v>2031</v>
      </c>
      <c r="B2662" s="3" t="inlineStr">
        <is>
          <t>SLE</t>
        </is>
      </c>
      <c r="C2662" s="3" t="inlineStr">
        <is>
          <t>IMF.RES:WEO</t>
        </is>
      </c>
      <c r="D2662" s="3" t="inlineStr">
        <is>
          <t>SLE.PCPIPCH.A</t>
        </is>
      </c>
      <c r="E2662" s="3" t="inlineStr">
        <is>
          <t>Sierra Leone</t>
        </is>
      </c>
      <c r="F2662" s="3" t="inlineStr">
        <is>
          <t>All Items, Consumer price index (CPI), Period average, percent change</t>
        </is>
      </c>
      <c r="G2662" s="3" t="n">
        <v>-0.917535</v>
      </c>
      <c r="H2662" s="3" t="n">
        <v>2.567727</v>
      </c>
      <c r="I2662" s="3" t="n">
        <v>0.120869</v>
      </c>
      <c r="J2662" s="3" t="n">
        <v>3.99059</v>
      </c>
      <c r="K2662" s="3" t="n">
        <v>12.921549</v>
      </c>
      <c r="L2662" s="3" t="n">
        <v>13.702382</v>
      </c>
      <c r="M2662" s="3" t="n">
        <v>10.532864</v>
      </c>
      <c r="N2662" s="3" t="n">
        <v>16.978136</v>
      </c>
      <c r="O2662" s="3" t="n">
        <v>8.211124</v>
      </c>
      <c r="P2662" s="3" t="n">
        <v>7.469019</v>
      </c>
      <c r="Q2662" s="3" t="n">
        <v>7.185663</v>
      </c>
      <c r="R2662" s="3" t="n">
        <v>6.791383</v>
      </c>
      <c r="S2662" s="3" t="n">
        <v>6.587762</v>
      </c>
      <c r="T2662" s="3" t="n">
        <v>5.524129</v>
      </c>
      <c r="U2662" s="3" t="n">
        <v>4.639312</v>
      </c>
      <c r="V2662" s="3" t="n">
        <v>6.689436</v>
      </c>
      <c r="W2662" s="3" t="n">
        <v>10.886061</v>
      </c>
      <c r="X2662" s="3" t="n">
        <v>18.221509</v>
      </c>
      <c r="Y2662" s="3" t="n">
        <v>16.029545</v>
      </c>
      <c r="Z2662" s="3" t="n">
        <v>14.804999</v>
      </c>
      <c r="AA2662" s="3" t="n">
        <v>13.446871</v>
      </c>
      <c r="AB2662" s="3" t="n">
        <v>11.873959</v>
      </c>
      <c r="AC2662" s="3" t="n">
        <v>27.20875</v>
      </c>
      <c r="AD2662" s="3" t="n">
        <v>47.71557</v>
      </c>
      <c r="AE2662" s="3" t="n">
        <v>28.428541</v>
      </c>
      <c r="AF2662" s="3" t="n">
        <v>7.605567</v>
      </c>
      <c r="AG2662" s="3" t="n">
        <v>7.549136</v>
      </c>
      <c r="AH2662" s="3" t="n">
        <v>9</v>
      </c>
      <c r="AI2662" s="3" t="n">
        <v>9</v>
      </c>
      <c r="AJ2662" s="3" t="n">
        <v>9</v>
      </c>
      <c r="AK2662" s="3" t="n">
        <v>9</v>
      </c>
      <c r="AL2662" s="3" t="n">
        <v>9</v>
      </c>
      <c r="AM2662" s="3" t="n"/>
      <c r="AN2662" s="3" t="n"/>
      <c r="AO2662" s="3" t="n"/>
      <c r="AP2662" s="3" t="n"/>
      <c r="AQ2662" s="3" t="n"/>
      <c r="AR2662" s="3" t="n"/>
      <c r="AS2662" s="3" t="n"/>
      <c r="AT2662" s="3" t="n"/>
      <c r="AU2662" s="3" t="n"/>
    </row>
    <row r="2663">
      <c r="A2663" s="3" t="n">
        <v>2031</v>
      </c>
      <c r="B2663" s="3" t="inlineStr">
        <is>
          <t>SLE</t>
        </is>
      </c>
      <c r="C2663" s="3" t="inlineStr">
        <is>
          <t>IMF.RES:WEO</t>
        </is>
      </c>
      <c r="D2663" s="3" t="inlineStr">
        <is>
          <t>SLE.PPPPC.A</t>
        </is>
      </c>
      <c r="E2663" s="3" t="inlineStr">
        <is>
          <t>Sierra Leone</t>
        </is>
      </c>
      <c r="F2663" s="3" t="inlineStr">
        <is>
          <t>Gross domestic product (GDP), Per capita, purchasing power parity (PPP) international dollar, ICP benchmarks 2017-2021</t>
        </is>
      </c>
      <c r="G2663" s="3" t="n">
        <v>949.151693</v>
      </c>
      <c r="H2663" s="3" t="n">
        <v>1105.976195</v>
      </c>
      <c r="I2663" s="3" t="n">
        <v>1357.879643</v>
      </c>
      <c r="J2663" s="3" t="n">
        <v>1466.517365</v>
      </c>
      <c r="K2663" s="3" t="n">
        <v>1569.588283</v>
      </c>
      <c r="L2663" s="3" t="n">
        <v>1681.759585</v>
      </c>
      <c r="M2663" s="3" t="n">
        <v>1773.691146</v>
      </c>
      <c r="N2663" s="3" t="n">
        <v>1848.666398</v>
      </c>
      <c r="O2663" s="3" t="n">
        <v>1908.512226</v>
      </c>
      <c r="P2663" s="3" t="n">
        <v>1893.798375</v>
      </c>
      <c r="Q2663" s="3" t="n">
        <v>2053.325128</v>
      </c>
      <c r="R2663" s="3" t="n">
        <v>2186.837863</v>
      </c>
      <c r="S2663" s="3" t="n">
        <v>2318.350079</v>
      </c>
      <c r="T2663" s="3" t="n">
        <v>2517.484744</v>
      </c>
      <c r="U2663" s="3" t="n">
        <v>2485.310283</v>
      </c>
      <c r="V2663" s="3" t="n">
        <v>2375.34264</v>
      </c>
      <c r="W2663" s="3" t="n">
        <v>2451.61241</v>
      </c>
      <c r="X2663" s="3" t="n">
        <v>2532.713204</v>
      </c>
      <c r="Y2663" s="3" t="n">
        <v>2640.475669</v>
      </c>
      <c r="Z2663" s="3" t="n">
        <v>2704.058359</v>
      </c>
      <c r="AA2663" s="3" t="n">
        <v>2719.189568</v>
      </c>
      <c r="AB2663" s="3" t="n">
        <v>2849.388746</v>
      </c>
      <c r="AC2663" s="3" t="n">
        <v>3143.457237</v>
      </c>
      <c r="AD2663" s="3" t="n">
        <v>3371.104124</v>
      </c>
      <c r="AE2663" s="3" t="n">
        <v>3527.433237</v>
      </c>
      <c r="AF2663" s="3" t="n">
        <v>3709.84406</v>
      </c>
      <c r="AG2663" s="3" t="n">
        <v>3909.210414</v>
      </c>
      <c r="AH2663" s="3" t="n">
        <v>4097.566073</v>
      </c>
      <c r="AI2663" s="3" t="n">
        <v>4270.215751</v>
      </c>
      <c r="AJ2663" s="3" t="n">
        <v>4452.327804</v>
      </c>
      <c r="AK2663" s="3" t="n">
        <v>4646.180371</v>
      </c>
      <c r="AL2663" s="3" t="n">
        <v>4841.463447</v>
      </c>
      <c r="AM2663" s="3" t="n"/>
      <c r="AN2663" s="3" t="n"/>
      <c r="AO2663" s="3" t="n"/>
      <c r="AP2663" s="3" t="n"/>
      <c r="AQ2663" s="3" t="n"/>
      <c r="AR2663" s="3" t="n"/>
      <c r="AS2663" s="3" t="n"/>
      <c r="AT2663" s="3" t="n"/>
      <c r="AU2663" s="3" t="n"/>
    </row>
    <row r="2664">
      <c r="A2664" s="3" t="n">
        <v>2025</v>
      </c>
      <c r="B2664" s="3" t="inlineStr">
        <is>
          <t>SLE</t>
        </is>
      </c>
      <c r="C2664" s="3" t="inlineStr">
        <is>
          <t>IMF.STA:ER</t>
        </is>
      </c>
      <c r="D2664" s="3" t="inlineStr">
        <is>
          <t>SLE.XDC_USD.PA_RT.A</t>
        </is>
      </c>
      <c r="E2664" s="3" t="inlineStr">
        <is>
          <t>Sierra Leone</t>
        </is>
      </c>
      <c r="F2664" s="3" t="inlineStr">
        <is>
          <t>Domestic currency per US Dollar</t>
        </is>
      </c>
      <c r="G2664" s="3" t="n">
        <v>2.092125</v>
      </c>
      <c r="H2664" s="3" t="n">
        <v>1.98615416666666</v>
      </c>
      <c r="I2664" s="3" t="n">
        <v>2.09903386575</v>
      </c>
      <c r="J2664" s="3" t="n">
        <v>2.34794166666666</v>
      </c>
      <c r="K2664" s="3" t="n">
        <v>2.70129666666666</v>
      </c>
      <c r="L2664" s="3" t="n">
        <v>2.8895875</v>
      </c>
      <c r="M2664" s="3" t="n">
        <v>2.96190916666666</v>
      </c>
      <c r="N2664" s="3" t="n">
        <v>2.98518583333333</v>
      </c>
      <c r="O2664" s="3" t="n">
        <v>2.981515</v>
      </c>
      <c r="P2664" s="3" t="n">
        <v>3.38565</v>
      </c>
      <c r="Q2664" s="3" t="n">
        <v>3.97808666666666</v>
      </c>
      <c r="R2664" s="3" t="n">
        <v>4.34916166666666</v>
      </c>
      <c r="S2664" s="3" t="n">
        <v>4.34403666666666</v>
      </c>
      <c r="T2664" s="3" t="n">
        <v>4.33250083333333</v>
      </c>
      <c r="U2664" s="3" t="n">
        <v>4.52415916666666</v>
      </c>
      <c r="V2664" s="3" t="n">
        <v>5.0807475</v>
      </c>
      <c r="W2664" s="3" t="n">
        <v>6.29029741495227</v>
      </c>
      <c r="X2664" s="3" t="n">
        <v>7.38443222248692</v>
      </c>
      <c r="Y2664" s="3" t="n">
        <v>7.93163174973728</v>
      </c>
      <c r="Z2664" s="3" t="n">
        <v>9.010221144009151</v>
      </c>
      <c r="AA2664" s="3" t="n">
        <v>9.829926763323749</v>
      </c>
      <c r="AB2664" s="3" t="n">
        <v>10.4394253194586</v>
      </c>
      <c r="AC2664" s="3" t="n">
        <v>14.0476497942156</v>
      </c>
      <c r="AD2664" s="3" t="n">
        <v>21.3048751103817</v>
      </c>
      <c r="AE2664" s="3" t="n">
        <v>21.3048751103817</v>
      </c>
      <c r="AF2664" s="3" t="n">
        <v>21.3048751103817</v>
      </c>
      <c r="AG2664" s="3" t="n"/>
      <c r="AH2664" s="3" t="n"/>
      <c r="AI2664" s="3" t="n"/>
      <c r="AJ2664" s="3" t="n"/>
      <c r="AK2664" s="3" t="n"/>
      <c r="AL2664" s="3" t="n"/>
      <c r="AM2664" s="3" t="n"/>
      <c r="AN2664" s="3" t="n"/>
      <c r="AO2664" s="3" t="n"/>
      <c r="AP2664" s="3" t="n"/>
      <c r="AQ2664" s="3" t="n"/>
      <c r="AR2664" s="3" t="n"/>
      <c r="AS2664" s="3" t="n"/>
      <c r="AT2664" s="3" t="n"/>
      <c r="AU2664" s="3" t="n"/>
    </row>
    <row r="2665">
      <c r="A2665" s="3" t="n">
        <v>2031</v>
      </c>
      <c r="B2665" s="3" t="inlineStr">
        <is>
          <t>SLV</t>
        </is>
      </c>
      <c r="C2665" s="3" t="inlineStr">
        <is>
          <t>IMF.RES:WEO</t>
        </is>
      </c>
      <c r="D2665" s="3" t="inlineStr">
        <is>
          <t>SLV.BCA.A</t>
        </is>
      </c>
      <c r="E2665" s="3" t="inlineStr">
        <is>
          <t>El Salvador</t>
        </is>
      </c>
      <c r="F2665" s="3" t="inlineStr">
        <is>
          <t>Current account balance (credit less debit), US dollar</t>
        </is>
      </c>
      <c r="G2665" s="3" t="n">
        <v>-0.4305</v>
      </c>
      <c r="H2665" s="3" t="n">
        <v>-0.1503</v>
      </c>
      <c r="I2665" s="3" t="n">
        <v>-0.40515</v>
      </c>
      <c r="J2665" s="3" t="n">
        <v>-0.702198</v>
      </c>
      <c r="K2665" s="3" t="n">
        <v>-0.641875</v>
      </c>
      <c r="L2665" s="3" t="n">
        <v>-0.62159</v>
      </c>
      <c r="M2665" s="3" t="n">
        <v>-0.76556</v>
      </c>
      <c r="N2665" s="3" t="n">
        <v>-1.21656</v>
      </c>
      <c r="O2665" s="3" t="n">
        <v>-1.53217</v>
      </c>
      <c r="P2665" s="3" t="n">
        <v>-0.312196</v>
      </c>
      <c r="Q2665" s="3" t="n">
        <v>-0.532816</v>
      </c>
      <c r="R2665" s="3" t="n">
        <v>-1.111765</v>
      </c>
      <c r="S2665" s="3" t="n">
        <v>-1.239801</v>
      </c>
      <c r="T2665" s="3" t="n">
        <v>-1.51842</v>
      </c>
      <c r="U2665" s="3" t="n">
        <v>-1.213583</v>
      </c>
      <c r="V2665" s="3" t="n">
        <v>-0.753757</v>
      </c>
      <c r="W2665" s="3" t="n">
        <v>-0.550121</v>
      </c>
      <c r="X2665" s="3" t="n">
        <v>-0.46459</v>
      </c>
      <c r="Y2665" s="3" t="n">
        <v>-0.859155</v>
      </c>
      <c r="Z2665" s="3" t="n">
        <v>-0.113356</v>
      </c>
      <c r="AA2665" s="3" t="n">
        <v>0.276701</v>
      </c>
      <c r="AB2665" s="3" t="n">
        <v>-1.250461</v>
      </c>
      <c r="AC2665" s="3" t="n">
        <v>-2.143721</v>
      </c>
      <c r="AD2665" s="3" t="n">
        <v>-0.367831</v>
      </c>
      <c r="AE2665" s="3" t="n">
        <v>-0.632549</v>
      </c>
      <c r="AF2665" s="3" t="n">
        <v>-1.466032</v>
      </c>
      <c r="AG2665" s="3" t="n">
        <v>-1.31402</v>
      </c>
      <c r="AH2665" s="3" t="n">
        <v>-0.805608</v>
      </c>
      <c r="AI2665" s="3" t="n">
        <v>-0.591594</v>
      </c>
      <c r="AJ2665" s="3" t="n">
        <v>-0.596611</v>
      </c>
      <c r="AK2665" s="3" t="n">
        <v>-0.636115</v>
      </c>
      <c r="AL2665" s="3" t="n">
        <v>-0.680705</v>
      </c>
      <c r="AM2665" s="3" t="n"/>
      <c r="AN2665" s="3" t="n"/>
      <c r="AO2665" s="3" t="n"/>
      <c r="AP2665" s="3" t="n"/>
      <c r="AQ2665" s="3" t="n"/>
      <c r="AR2665" s="3" t="n"/>
      <c r="AS2665" s="3" t="n"/>
      <c r="AT2665" s="3" t="n"/>
      <c r="AU2665" s="3" t="n"/>
    </row>
    <row r="2666">
      <c r="A2666" s="3" t="n">
        <v>2031</v>
      </c>
      <c r="B2666" s="3" t="inlineStr">
        <is>
          <t>SLV</t>
        </is>
      </c>
      <c r="C2666" s="3" t="inlineStr">
        <is>
          <t>IMF.RES:WEO</t>
        </is>
      </c>
      <c r="D2666" s="3" t="inlineStr">
        <is>
          <t>SLV.BCA_NGDPD.A</t>
        </is>
      </c>
      <c r="E2666" s="3" t="inlineStr">
        <is>
          <t>El Salvador</t>
        </is>
      </c>
      <c r="F2666" s="3" t="inlineStr">
        <is>
          <t>Current account balance (credit less debit), Percent of GDP</t>
        </is>
      </c>
      <c r="G2666" s="3" t="n">
        <v>-3.652971</v>
      </c>
      <c r="H2666" s="3" t="n">
        <v>-1.223689</v>
      </c>
      <c r="I2666" s="3" t="n">
        <v>-3.199178</v>
      </c>
      <c r="J2666" s="3" t="n">
        <v>-5.302051</v>
      </c>
      <c r="K2666" s="3" t="n">
        <v>-4.676749</v>
      </c>
      <c r="L2666" s="3" t="n">
        <v>-4.229078</v>
      </c>
      <c r="M2666" s="3" t="n">
        <v>-4.784784</v>
      </c>
      <c r="N2666" s="3" t="n">
        <v>-7.151292</v>
      </c>
      <c r="O2666" s="3" t="n">
        <v>-8.518261000000001</v>
      </c>
      <c r="P2666" s="3" t="n">
        <v>-1.773681</v>
      </c>
      <c r="Q2666" s="3" t="n">
        <v>-2.888216</v>
      </c>
      <c r="R2666" s="3" t="n">
        <v>-5.481051</v>
      </c>
      <c r="S2666" s="3" t="n">
        <v>-5.797214</v>
      </c>
      <c r="T2666" s="3" t="n">
        <v>-6.904746</v>
      </c>
      <c r="U2666" s="3" t="n">
        <v>-5.371386</v>
      </c>
      <c r="V2666" s="3" t="n">
        <v>-3.21593</v>
      </c>
      <c r="W2666" s="3" t="n">
        <v>-2.274033</v>
      </c>
      <c r="X2666" s="3" t="n">
        <v>-1.859907</v>
      </c>
      <c r="Y2666" s="3" t="n">
        <v>-3.301793</v>
      </c>
      <c r="Z2666" s="3" t="n">
        <v>-0.421694</v>
      </c>
      <c r="AA2666" s="3" t="n">
        <v>1.110304</v>
      </c>
      <c r="AB2666" s="3" t="n">
        <v>-4.30553</v>
      </c>
      <c r="AC2666" s="3" t="n">
        <v>-6.726433</v>
      </c>
      <c r="AD2666" s="3" t="n">
        <v>-1.086523</v>
      </c>
      <c r="AE2666" s="3" t="n">
        <v>-1.788631</v>
      </c>
      <c r="AF2666" s="3" t="n">
        <v>-3.933764</v>
      </c>
      <c r="AG2666" s="3" t="n">
        <v>-3.298427</v>
      </c>
      <c r="AH2666" s="3" t="n">
        <v>-1.911784</v>
      </c>
      <c r="AI2666" s="3" t="n">
        <v>-1.326787</v>
      </c>
      <c r="AJ2666" s="3" t="n">
        <v>-1.267094</v>
      </c>
      <c r="AK2666" s="3" t="n">
        <v>-1.283328</v>
      </c>
      <c r="AL2666" s="3" t="n">
        <v>-1.302957</v>
      </c>
      <c r="AM2666" s="3" t="n"/>
      <c r="AN2666" s="3" t="n"/>
      <c r="AO2666" s="3" t="n"/>
      <c r="AP2666" s="3" t="n"/>
      <c r="AQ2666" s="3" t="n"/>
      <c r="AR2666" s="3" t="n"/>
      <c r="AS2666" s="3" t="n"/>
      <c r="AT2666" s="3" t="n"/>
      <c r="AU2666" s="3" t="n"/>
    </row>
    <row r="2667">
      <c r="A2667" s="3" t="n">
        <v>2031</v>
      </c>
      <c r="B2667" s="3" t="inlineStr">
        <is>
          <t>SLV</t>
        </is>
      </c>
      <c r="C2667" s="3" t="inlineStr">
        <is>
          <t>IMF.RES:WEO</t>
        </is>
      </c>
      <c r="D2667" s="3" t="inlineStr">
        <is>
          <t>SLV.GGR_NGDP.A</t>
        </is>
      </c>
      <c r="E2667" s="3" t="inlineStr">
        <is>
          <t>El Salvador</t>
        </is>
      </c>
      <c r="F2667" s="3" t="inlineStr">
        <is>
          <t>Revenue, General government, Percent of GDP</t>
        </is>
      </c>
      <c r="G2667" s="3" t="n">
        <v>17.51729</v>
      </c>
      <c r="H2667" s="3" t="n">
        <v>16.730262</v>
      </c>
      <c r="I2667" s="3" t="n">
        <v>17.005272</v>
      </c>
      <c r="J2667" s="3" t="n">
        <v>18.396254</v>
      </c>
      <c r="K2667" s="3" t="n">
        <v>18.737963</v>
      </c>
      <c r="L2667" s="3" t="n">
        <v>18.955843</v>
      </c>
      <c r="M2667" s="3" t="n">
        <v>19.995892</v>
      </c>
      <c r="N2667" s="3" t="n">
        <v>20.503063</v>
      </c>
      <c r="O2667" s="3" t="n">
        <v>20.747782</v>
      </c>
      <c r="P2667" s="3" t="n">
        <v>19.312374</v>
      </c>
      <c r="Q2667" s="3" t="n">
        <v>20.624436</v>
      </c>
      <c r="R2667" s="3" t="n">
        <v>20.805389</v>
      </c>
      <c r="S2667" s="3" t="n">
        <v>23.574787</v>
      </c>
      <c r="T2667" s="3" t="n">
        <v>24.037329</v>
      </c>
      <c r="U2667" s="3" t="n">
        <v>23.59084</v>
      </c>
      <c r="V2667" s="3" t="n">
        <v>23.475442</v>
      </c>
      <c r="W2667" s="3" t="n">
        <v>24.357427</v>
      </c>
      <c r="X2667" s="3" t="n">
        <v>25.563799</v>
      </c>
      <c r="Y2667" s="3" t="n">
        <v>24.899836</v>
      </c>
      <c r="Z2667" s="3" t="n">
        <v>24.710748</v>
      </c>
      <c r="AA2667" s="3" t="n">
        <v>24.560866</v>
      </c>
      <c r="AB2667" s="3" t="n">
        <v>25.557972</v>
      </c>
      <c r="AC2667" s="3" t="n">
        <v>25.976506</v>
      </c>
      <c r="AD2667" s="3" t="n">
        <v>25.83807</v>
      </c>
      <c r="AE2667" s="3" t="n">
        <v>26.81224</v>
      </c>
      <c r="AF2667" s="3" t="n">
        <v>27.41229</v>
      </c>
      <c r="AG2667" s="3" t="n">
        <v>27.577577</v>
      </c>
      <c r="AH2667" s="3" t="n">
        <v>27.717863</v>
      </c>
      <c r="AI2667" s="3" t="n">
        <v>27.68178</v>
      </c>
      <c r="AJ2667" s="3" t="n">
        <v>27.698405</v>
      </c>
      <c r="AK2667" s="3" t="n">
        <v>27.711118</v>
      </c>
      <c r="AL2667" s="3" t="n">
        <v>27.715415</v>
      </c>
      <c r="AM2667" s="3" t="n"/>
      <c r="AN2667" s="3" t="n"/>
      <c r="AO2667" s="3" t="n"/>
      <c r="AP2667" s="3" t="n"/>
      <c r="AQ2667" s="3" t="n"/>
      <c r="AR2667" s="3" t="n"/>
      <c r="AS2667" s="3" t="n"/>
      <c r="AT2667" s="3" t="n"/>
      <c r="AU2667" s="3" t="n"/>
    </row>
    <row r="2668">
      <c r="A2668" s="3" t="n">
        <v>2031</v>
      </c>
      <c r="B2668" s="3" t="inlineStr">
        <is>
          <t>SLV</t>
        </is>
      </c>
      <c r="C2668" s="3" t="inlineStr">
        <is>
          <t>IMF.RES:WEO</t>
        </is>
      </c>
      <c r="D2668" s="3" t="inlineStr">
        <is>
          <t>SLV.GGX_NGDP.A</t>
        </is>
      </c>
      <c r="E2668" s="3" t="inlineStr">
        <is>
          <t>El Salvador</t>
        </is>
      </c>
      <c r="F2668" s="3" t="inlineStr">
        <is>
          <t>Expenditure, General government, Percent of GDP</t>
        </is>
      </c>
      <c r="G2668" s="3" t="n">
        <v>20.962793</v>
      </c>
      <c r="H2668" s="3" t="n">
        <v>21.675333</v>
      </c>
      <c r="I2668" s="3" t="n">
        <v>22.509295</v>
      </c>
      <c r="J2668" s="3" t="n">
        <v>22.62643</v>
      </c>
      <c r="K2668" s="3" t="n">
        <v>21.49759</v>
      </c>
      <c r="L2668" s="3" t="n">
        <v>22.428419</v>
      </c>
      <c r="M2668" s="3" t="n">
        <v>23.412286</v>
      </c>
      <c r="N2668" s="3" t="n">
        <v>22.826998</v>
      </c>
      <c r="O2668" s="3" t="n">
        <v>24.548256</v>
      </c>
      <c r="P2668" s="3" t="n">
        <v>25.958019</v>
      </c>
      <c r="Q2668" s="3" t="n">
        <v>25.590637</v>
      </c>
      <c r="R2668" s="3" t="n">
        <v>25.275244</v>
      </c>
      <c r="S2668" s="3" t="n">
        <v>27.382718</v>
      </c>
      <c r="T2668" s="3" t="n">
        <v>28.494524</v>
      </c>
      <c r="U2668" s="3" t="n">
        <v>27.608328</v>
      </c>
      <c r="V2668" s="3" t="n">
        <v>27.107584</v>
      </c>
      <c r="W2668" s="3" t="n">
        <v>27.461626</v>
      </c>
      <c r="X2668" s="3" t="n">
        <v>28.092023</v>
      </c>
      <c r="Y2668" s="3" t="n">
        <v>27.605781</v>
      </c>
      <c r="Z2668" s="3" t="n">
        <v>27.781117</v>
      </c>
      <c r="AA2668" s="3" t="n">
        <v>32.70538</v>
      </c>
      <c r="AB2668" s="3" t="n">
        <v>31.088435</v>
      </c>
      <c r="AC2668" s="3" t="n">
        <v>28.660327</v>
      </c>
      <c r="AD2668" s="3" t="n">
        <v>30.524517</v>
      </c>
      <c r="AE2668" s="3" t="n">
        <v>31.361781</v>
      </c>
      <c r="AF2668" s="3" t="n">
        <v>30.230425</v>
      </c>
      <c r="AG2668" s="3" t="n">
        <v>29.569971</v>
      </c>
      <c r="AH2668" s="3" t="n">
        <v>29.64498</v>
      </c>
      <c r="AI2668" s="3" t="n">
        <v>29.941177</v>
      </c>
      <c r="AJ2668" s="3" t="n">
        <v>29.704021</v>
      </c>
      <c r="AK2668" s="3" t="n">
        <v>29.537607</v>
      </c>
      <c r="AL2668" s="3" t="n">
        <v>29.152168</v>
      </c>
      <c r="AM2668" s="3" t="n"/>
      <c r="AN2668" s="3" t="n"/>
      <c r="AO2668" s="3" t="n"/>
      <c r="AP2668" s="3" t="n"/>
      <c r="AQ2668" s="3" t="n"/>
      <c r="AR2668" s="3" t="n"/>
      <c r="AS2668" s="3" t="n"/>
      <c r="AT2668" s="3" t="n"/>
      <c r="AU2668" s="3" t="n"/>
    </row>
    <row r="2669">
      <c r="A2669" s="3" t="n">
        <v>2031</v>
      </c>
      <c r="B2669" s="3" t="inlineStr">
        <is>
          <t>SLV</t>
        </is>
      </c>
      <c r="C2669" s="3" t="inlineStr">
        <is>
          <t>IMF.RES:WEO</t>
        </is>
      </c>
      <c r="D2669" s="3" t="inlineStr">
        <is>
          <t>SLV.LP.A</t>
        </is>
      </c>
      <c r="E2669" s="3" t="inlineStr">
        <is>
          <t>El Salvador</t>
        </is>
      </c>
      <c r="F2669" s="3" t="inlineStr">
        <is>
          <t>Population, Persons for countries / Index for country groups</t>
        </is>
      </c>
      <c r="G2669" s="3" t="n">
        <v>5.9434</v>
      </c>
      <c r="H2669" s="3" t="n">
        <v>5.9681</v>
      </c>
      <c r="I2669" s="3" t="n">
        <v>5.9866</v>
      </c>
      <c r="J2669" s="3" t="n">
        <v>5.9986</v>
      </c>
      <c r="K2669" s="3" t="n">
        <v>6.0047</v>
      </c>
      <c r="L2669" s="3" t="n">
        <v>6.0056</v>
      </c>
      <c r="M2669" s="3" t="n">
        <v>6.0023</v>
      </c>
      <c r="N2669" s="3" t="n">
        <v>6.0098</v>
      </c>
      <c r="O2669" s="3" t="n">
        <v>6.0293</v>
      </c>
      <c r="P2669" s="3" t="n">
        <v>6.0483</v>
      </c>
      <c r="Q2669" s="3" t="n">
        <v>6.0682</v>
      </c>
      <c r="R2669" s="3" t="n">
        <v>6.0901</v>
      </c>
      <c r="S2669" s="3" t="n">
        <v>6.114</v>
      </c>
      <c r="T2669" s="3" t="n">
        <v>6.1388</v>
      </c>
      <c r="U2669" s="3" t="n">
        <v>6.163</v>
      </c>
      <c r="V2669" s="3" t="n">
        <v>6.1837</v>
      </c>
      <c r="W2669" s="3" t="n">
        <v>6.2008</v>
      </c>
      <c r="X2669" s="3" t="n">
        <v>6.2135</v>
      </c>
      <c r="Y2669" s="3" t="n">
        <v>6.2198</v>
      </c>
      <c r="Z2669" s="3" t="n">
        <v>6.2223</v>
      </c>
      <c r="AA2669" s="3" t="n">
        <v>6.2347</v>
      </c>
      <c r="AB2669" s="3" t="n">
        <v>6.2558</v>
      </c>
      <c r="AC2669" s="3" t="n">
        <v>6.2803</v>
      </c>
      <c r="AD2669" s="3" t="n">
        <v>6.3096</v>
      </c>
      <c r="AE2669" s="3" t="n">
        <v>6.3382</v>
      </c>
      <c r="AF2669" s="3" t="n">
        <v>6.382567</v>
      </c>
      <c r="AG2669" s="3" t="n">
        <v>6.429798</v>
      </c>
      <c r="AH2669" s="3" t="n">
        <v>6.474807</v>
      </c>
      <c r="AI2669" s="3" t="n">
        <v>6.520131</v>
      </c>
      <c r="AJ2669" s="3" t="n">
        <v>6.565772</v>
      </c>
      <c r="AK2669" s="3" t="n">
        <v>6.611732</v>
      </c>
      <c r="AL2669" s="3" t="n">
        <v>6.658014</v>
      </c>
      <c r="AM2669" s="3" t="n"/>
      <c r="AN2669" s="3" t="n"/>
      <c r="AO2669" s="3" t="n"/>
      <c r="AP2669" s="3" t="n"/>
      <c r="AQ2669" s="3" t="n"/>
      <c r="AR2669" s="3" t="n"/>
      <c r="AS2669" s="3" t="n"/>
      <c r="AT2669" s="3" t="n"/>
      <c r="AU2669" s="3" t="n"/>
    </row>
    <row r="2670">
      <c r="A2670" s="3" t="n">
        <v>2031</v>
      </c>
      <c r="B2670" s="3" t="inlineStr">
        <is>
          <t>SLV</t>
        </is>
      </c>
      <c r="C2670" s="3" t="inlineStr">
        <is>
          <t>IMF.RES:WEO</t>
        </is>
      </c>
      <c r="D2670" s="3" t="inlineStr">
        <is>
          <t>SLV.NGDP.A</t>
        </is>
      </c>
      <c r="E2670" s="3" t="inlineStr">
        <is>
          <t>El Salvador</t>
        </is>
      </c>
      <c r="F2670" s="3" t="inlineStr">
        <is>
          <t>Gross domestic product (GDP), Current prices, Domestic currency</t>
        </is>
      </c>
      <c r="G2670" s="3" t="n">
        <v>11.784928</v>
      </c>
      <c r="H2670" s="3" t="n">
        <v>12.282534</v>
      </c>
      <c r="I2670" s="3" t="n">
        <v>12.66419</v>
      </c>
      <c r="J2670" s="3" t="n">
        <v>13.243892</v>
      </c>
      <c r="K2670" s="3" t="n">
        <v>13.724811</v>
      </c>
      <c r="L2670" s="3" t="n">
        <v>14.698001</v>
      </c>
      <c r="M2670" s="3" t="n">
        <v>15.999886</v>
      </c>
      <c r="N2670" s="3" t="n">
        <v>17.011751</v>
      </c>
      <c r="O2670" s="3" t="n">
        <v>17.986886</v>
      </c>
      <c r="P2670" s="3" t="n">
        <v>17.601616</v>
      </c>
      <c r="Q2670" s="3" t="n">
        <v>18.447922</v>
      </c>
      <c r="R2670" s="3" t="n">
        <v>20.283784</v>
      </c>
      <c r="S2670" s="3" t="n">
        <v>21.386153</v>
      </c>
      <c r="T2670" s="3" t="n">
        <v>21.990962</v>
      </c>
      <c r="U2670" s="3" t="n">
        <v>22.593472</v>
      </c>
      <c r="V2670" s="3" t="n">
        <v>23.438238</v>
      </c>
      <c r="W2670" s="3" t="n">
        <v>24.19143</v>
      </c>
      <c r="X2670" s="3" t="n">
        <v>24.97919</v>
      </c>
      <c r="Y2670" s="3" t="n">
        <v>26.020854</v>
      </c>
      <c r="Z2670" s="3" t="n">
        <v>26.881137</v>
      </c>
      <c r="AA2670" s="3" t="n">
        <v>24.92119</v>
      </c>
      <c r="AB2670" s="3" t="n">
        <v>29.04314</v>
      </c>
      <c r="AC2670" s="3" t="n">
        <v>31.87011</v>
      </c>
      <c r="AD2670" s="3" t="n">
        <v>33.85394</v>
      </c>
      <c r="AE2670" s="3" t="n">
        <v>35.36497</v>
      </c>
      <c r="AF2670" s="3" t="n">
        <v>37.267923</v>
      </c>
      <c r="AG2670" s="3" t="n">
        <v>39.837774</v>
      </c>
      <c r="AH2670" s="3" t="n">
        <v>42.139073</v>
      </c>
      <c r="AI2670" s="3" t="n">
        <v>44.588495</v>
      </c>
      <c r="AJ2670" s="3" t="n">
        <v>47.084979</v>
      </c>
      <c r="AK2670" s="3" t="n">
        <v>49.567618</v>
      </c>
      <c r="AL2670" s="3" t="n">
        <v>52.243139</v>
      </c>
      <c r="AM2670" s="3" t="n"/>
      <c r="AN2670" s="3" t="n"/>
      <c r="AO2670" s="3" t="n"/>
      <c r="AP2670" s="3" t="n"/>
      <c r="AQ2670" s="3" t="n"/>
      <c r="AR2670" s="3" t="n"/>
      <c r="AS2670" s="3" t="n"/>
      <c r="AT2670" s="3" t="n"/>
      <c r="AU2670" s="3" t="n"/>
    </row>
    <row r="2671">
      <c r="A2671" s="3" t="n">
        <v>2031</v>
      </c>
      <c r="B2671" s="3" t="inlineStr">
        <is>
          <t>SLV</t>
        </is>
      </c>
      <c r="C2671" s="3" t="inlineStr">
        <is>
          <t>IMF.RES:WEO</t>
        </is>
      </c>
      <c r="D2671" s="3" t="inlineStr">
        <is>
          <t>SLV.NGDP_D.A</t>
        </is>
      </c>
      <c r="E2671" s="3" t="inlineStr">
        <is>
          <t>El Salvador</t>
        </is>
      </c>
      <c r="F2671" s="3" t="inlineStr">
        <is>
          <t>Gross domestic product (GDP), Price deflator, Index</t>
        </is>
      </c>
      <c r="G2671" s="3" t="n">
        <v>67.753485</v>
      </c>
      <c r="H2671" s="3" t="n">
        <v>70.00017800000001</v>
      </c>
      <c r="I2671" s="3" t="n">
        <v>71.05206699999999</v>
      </c>
      <c r="J2671" s="3" t="n">
        <v>73.16151499999999</v>
      </c>
      <c r="K2671" s="3" t="n">
        <v>75.148777</v>
      </c>
      <c r="L2671" s="3" t="n">
        <v>78.35592</v>
      </c>
      <c r="M2671" s="3" t="n">
        <v>81.746194</v>
      </c>
      <c r="N2671" s="3" t="n">
        <v>85.328383</v>
      </c>
      <c r="O2671" s="3" t="n">
        <v>88.340318</v>
      </c>
      <c r="P2671" s="3" t="n">
        <v>88.28748899999999</v>
      </c>
      <c r="Q2671" s="3" t="n">
        <v>90.623726</v>
      </c>
      <c r="R2671" s="3" t="n">
        <v>95.983512</v>
      </c>
      <c r="S2671" s="3" t="n">
        <v>98.430064</v>
      </c>
      <c r="T2671" s="3" t="n">
        <v>98.99750400000001</v>
      </c>
      <c r="U2671" s="3" t="n">
        <v>100</v>
      </c>
      <c r="V2671" s="3" t="n">
        <v>101.312088</v>
      </c>
      <c r="W2671" s="3" t="n">
        <v>101.975439</v>
      </c>
      <c r="X2671" s="3" t="n">
        <v>102.976013</v>
      </c>
      <c r="Y2671" s="3" t="n">
        <v>104.743334</v>
      </c>
      <c r="Z2671" s="3" t="n">
        <v>105.635663</v>
      </c>
      <c r="AA2671" s="3" t="n">
        <v>106.326018</v>
      </c>
      <c r="AB2671" s="3" t="n">
        <v>110.730121</v>
      </c>
      <c r="AC2671" s="3" t="n">
        <v>118.021192</v>
      </c>
      <c r="AD2671" s="3" t="n">
        <v>121.082403</v>
      </c>
      <c r="AE2671" s="3" t="n">
        <v>123.279025</v>
      </c>
      <c r="AF2671" s="3" t="n">
        <v>125.277284</v>
      </c>
      <c r="AG2671" s="3" t="n">
        <v>129.63787</v>
      </c>
      <c r="AH2671" s="3" t="n">
        <v>133.132649</v>
      </c>
      <c r="AI2671" s="3" t="n">
        <v>136.768215</v>
      </c>
      <c r="AJ2671" s="3" t="n">
        <v>140.219212</v>
      </c>
      <c r="AK2671" s="3" t="n">
        <v>143.313125</v>
      </c>
      <c r="AL2671" s="3" t="n">
        <v>146.649287</v>
      </c>
      <c r="AM2671" s="3" t="n"/>
      <c r="AN2671" s="3" t="n"/>
      <c r="AO2671" s="3" t="n"/>
      <c r="AP2671" s="3" t="n"/>
      <c r="AQ2671" s="3" t="n"/>
      <c r="AR2671" s="3" t="n"/>
      <c r="AS2671" s="3" t="n"/>
      <c r="AT2671" s="3" t="n"/>
      <c r="AU2671" s="3" t="n"/>
    </row>
    <row r="2672">
      <c r="A2672" s="3" t="n">
        <v>2031</v>
      </c>
      <c r="B2672" s="3" t="inlineStr">
        <is>
          <t>SLV</t>
        </is>
      </c>
      <c r="C2672" s="3" t="inlineStr">
        <is>
          <t>IMF.RES:WEO</t>
        </is>
      </c>
      <c r="D2672" s="3" t="inlineStr">
        <is>
          <t>SLV.NGDP_R.A</t>
        </is>
      </c>
      <c r="E2672" s="3" t="inlineStr">
        <is>
          <t>El Salvador</t>
        </is>
      </c>
      <c r="F2672" s="3" t="inlineStr">
        <is>
          <t>Gross domestic product (GDP), Constant prices, Domestic currency</t>
        </is>
      </c>
      <c r="G2672" s="3" t="n">
        <v>17.393833</v>
      </c>
      <c r="H2672" s="3" t="n">
        <v>17.546432</v>
      </c>
      <c r="I2672" s="3" t="n">
        <v>17.823817</v>
      </c>
      <c r="J2672" s="3" t="n">
        <v>18.102266</v>
      </c>
      <c r="K2672" s="3" t="n">
        <v>18.263519</v>
      </c>
      <c r="L2672" s="3" t="n">
        <v>18.757997</v>
      </c>
      <c r="M2672" s="3" t="n">
        <v>19.572638</v>
      </c>
      <c r="N2672" s="3" t="n">
        <v>19.936802</v>
      </c>
      <c r="O2672" s="3" t="n">
        <v>20.360903</v>
      </c>
      <c r="P2672" s="3" t="n">
        <v>19.936705</v>
      </c>
      <c r="Q2672" s="3" t="n">
        <v>20.356614</v>
      </c>
      <c r="R2672" s="3" t="n">
        <v>21.132571</v>
      </c>
      <c r="S2672" s="3" t="n">
        <v>21.727257</v>
      </c>
      <c r="T2672" s="3" t="n">
        <v>22.213653</v>
      </c>
      <c r="U2672" s="3" t="n">
        <v>22.593472</v>
      </c>
      <c r="V2672" s="3" t="n">
        <v>23.13469</v>
      </c>
      <c r="W2672" s="3" t="n">
        <v>23.7228</v>
      </c>
      <c r="X2672" s="3" t="n">
        <v>24.25729</v>
      </c>
      <c r="Y2672" s="3" t="n">
        <v>24.842491</v>
      </c>
      <c r="Z2672" s="3" t="n">
        <v>25.447028</v>
      </c>
      <c r="AA2672" s="3" t="n">
        <v>23.438468</v>
      </c>
      <c r="AB2672" s="3" t="n">
        <v>26.228762</v>
      </c>
      <c r="AC2672" s="3" t="n">
        <v>27.003718</v>
      </c>
      <c r="AD2672" s="3" t="n">
        <v>27.959422</v>
      </c>
      <c r="AE2672" s="3" t="n">
        <v>28.686932</v>
      </c>
      <c r="AF2672" s="3" t="n">
        <v>29.748348</v>
      </c>
      <c r="AG2672" s="3" t="n">
        <v>30.730044</v>
      </c>
      <c r="AH2672" s="3" t="n">
        <v>31.651945</v>
      </c>
      <c r="AI2672" s="3" t="n">
        <v>32.601504</v>
      </c>
      <c r="AJ2672" s="3" t="n">
        <v>33.579549</v>
      </c>
      <c r="AK2672" s="3" t="n">
        <v>34.586935</v>
      </c>
      <c r="AL2672" s="3" t="n">
        <v>35.624543</v>
      </c>
      <c r="AM2672" s="3" t="n"/>
      <c r="AN2672" s="3" t="n"/>
      <c r="AO2672" s="3" t="n"/>
      <c r="AP2672" s="3" t="n"/>
      <c r="AQ2672" s="3" t="n"/>
      <c r="AR2672" s="3" t="n"/>
      <c r="AS2672" s="3" t="n"/>
      <c r="AT2672" s="3" t="n"/>
      <c r="AU2672" s="3" t="n"/>
    </row>
    <row r="2673">
      <c r="A2673" s="3" t="n">
        <v>2031</v>
      </c>
      <c r="B2673" s="3" t="inlineStr">
        <is>
          <t>SLV</t>
        </is>
      </c>
      <c r="C2673" s="3" t="inlineStr">
        <is>
          <t>IMF.RES:WEO</t>
        </is>
      </c>
      <c r="D2673" s="3" t="inlineStr">
        <is>
          <t>SLV.NGDP_RPCH.A</t>
        </is>
      </c>
      <c r="E2673" s="3" t="inlineStr">
        <is>
          <t>El Salvador</t>
        </is>
      </c>
      <c r="F2673" s="3" t="inlineStr">
        <is>
          <t>Gross domestic product (GDP), Constant prices, Percent change</t>
        </is>
      </c>
      <c r="G2673" s="3" t="n">
        <v>1.126057</v>
      </c>
      <c r="H2673" s="3" t="n">
        <v>0.877319</v>
      </c>
      <c r="I2673" s="3" t="n">
        <v>1.580862</v>
      </c>
      <c r="J2673" s="3" t="n">
        <v>1.562231</v>
      </c>
      <c r="K2673" s="3" t="n">
        <v>0.890786</v>
      </c>
      <c r="L2673" s="3" t="n">
        <v>2.707467</v>
      </c>
      <c r="M2673" s="3" t="n">
        <v>4.342896</v>
      </c>
      <c r="N2673" s="3" t="n">
        <v>1.860579</v>
      </c>
      <c r="O2673" s="3" t="n">
        <v>2.127225</v>
      </c>
      <c r="P2673" s="3" t="n">
        <v>-2.083394</v>
      </c>
      <c r="Q2673" s="3" t="n">
        <v>2.106213</v>
      </c>
      <c r="R2673" s="3" t="n">
        <v>3.811815</v>
      </c>
      <c r="S2673" s="3" t="n">
        <v>2.814074</v>
      </c>
      <c r="T2673" s="3" t="n">
        <v>2.238644</v>
      </c>
      <c r="U2673" s="3" t="n">
        <v>1.709847</v>
      </c>
      <c r="V2673" s="3" t="n">
        <v>2.395462</v>
      </c>
      <c r="W2673" s="3" t="n">
        <v>2.542113</v>
      </c>
      <c r="X2673" s="3" t="n">
        <v>2.253064</v>
      </c>
      <c r="Y2673" s="3" t="n">
        <v>2.412475</v>
      </c>
      <c r="Z2673" s="3" t="n">
        <v>2.433478</v>
      </c>
      <c r="AA2673" s="3" t="n">
        <v>-7.893101</v>
      </c>
      <c r="AB2673" s="3" t="n">
        <v>11.904762</v>
      </c>
      <c r="AC2673" s="3" t="n">
        <v>2.954604</v>
      </c>
      <c r="AD2673" s="3" t="n">
        <v>3.539157</v>
      </c>
      <c r="AE2673" s="3" t="n">
        <v>2.60202</v>
      </c>
      <c r="AF2673" s="3" t="n">
        <v>3.7</v>
      </c>
      <c r="AG2673" s="3" t="n">
        <v>3.3</v>
      </c>
      <c r="AH2673" s="3" t="n">
        <v>3</v>
      </c>
      <c r="AI2673" s="3" t="n">
        <v>3</v>
      </c>
      <c r="AJ2673" s="3" t="n">
        <v>3</v>
      </c>
      <c r="AK2673" s="3" t="n">
        <v>3</v>
      </c>
      <c r="AL2673" s="3" t="n">
        <v>3</v>
      </c>
      <c r="AM2673" s="3" t="n"/>
      <c r="AN2673" s="3" t="n"/>
      <c r="AO2673" s="3" t="n"/>
      <c r="AP2673" s="3" t="n"/>
      <c r="AQ2673" s="3" t="n"/>
      <c r="AR2673" s="3" t="n"/>
      <c r="AS2673" s="3" t="n"/>
      <c r="AT2673" s="3" t="n"/>
      <c r="AU2673" s="3" t="n"/>
    </row>
    <row r="2674">
      <c r="A2674" s="3" t="n">
        <v>2031</v>
      </c>
      <c r="B2674" s="3" t="inlineStr">
        <is>
          <t>SLV</t>
        </is>
      </c>
      <c r="C2674" s="3" t="inlineStr">
        <is>
          <t>IMF.RES:WEO</t>
        </is>
      </c>
      <c r="D2674" s="3" t="inlineStr">
        <is>
          <t>SLV.NGDPD.A</t>
        </is>
      </c>
      <c r="E2674" s="3" t="inlineStr">
        <is>
          <t>El Salvador</t>
        </is>
      </c>
      <c r="F2674" s="3" t="inlineStr">
        <is>
          <t>Gross domestic product (GDP), Current prices, US dollar</t>
        </is>
      </c>
      <c r="G2674" s="3" t="n">
        <v>11.784928</v>
      </c>
      <c r="H2674" s="3" t="n">
        <v>12.282534</v>
      </c>
      <c r="I2674" s="3" t="n">
        <v>12.66419</v>
      </c>
      <c r="J2674" s="3" t="n">
        <v>13.243892</v>
      </c>
      <c r="K2674" s="3" t="n">
        <v>13.724811</v>
      </c>
      <c r="L2674" s="3" t="n">
        <v>14.698001</v>
      </c>
      <c r="M2674" s="3" t="n">
        <v>15.999886</v>
      </c>
      <c r="N2674" s="3" t="n">
        <v>17.011751</v>
      </c>
      <c r="O2674" s="3" t="n">
        <v>17.986886</v>
      </c>
      <c r="P2674" s="3" t="n">
        <v>17.601616</v>
      </c>
      <c r="Q2674" s="3" t="n">
        <v>18.447922</v>
      </c>
      <c r="R2674" s="3" t="n">
        <v>20.283784</v>
      </c>
      <c r="S2674" s="3" t="n">
        <v>21.386153</v>
      </c>
      <c r="T2674" s="3" t="n">
        <v>21.990962</v>
      </c>
      <c r="U2674" s="3" t="n">
        <v>22.593472</v>
      </c>
      <c r="V2674" s="3" t="n">
        <v>23.438238</v>
      </c>
      <c r="W2674" s="3" t="n">
        <v>24.19143</v>
      </c>
      <c r="X2674" s="3" t="n">
        <v>24.97919</v>
      </c>
      <c r="Y2674" s="3" t="n">
        <v>26.020854</v>
      </c>
      <c r="Z2674" s="3" t="n">
        <v>26.881137</v>
      </c>
      <c r="AA2674" s="3" t="n">
        <v>24.92119</v>
      </c>
      <c r="AB2674" s="3" t="n">
        <v>29.04314</v>
      </c>
      <c r="AC2674" s="3" t="n">
        <v>31.87011</v>
      </c>
      <c r="AD2674" s="3" t="n">
        <v>33.85394</v>
      </c>
      <c r="AE2674" s="3" t="n">
        <v>35.36497</v>
      </c>
      <c r="AF2674" s="3" t="n">
        <v>37.267923</v>
      </c>
      <c r="AG2674" s="3" t="n">
        <v>39.837774</v>
      </c>
      <c r="AH2674" s="3" t="n">
        <v>42.139073</v>
      </c>
      <c r="AI2674" s="3" t="n">
        <v>44.588495</v>
      </c>
      <c r="AJ2674" s="3" t="n">
        <v>47.084979</v>
      </c>
      <c r="AK2674" s="3" t="n">
        <v>49.567618</v>
      </c>
      <c r="AL2674" s="3" t="n">
        <v>52.243139</v>
      </c>
      <c r="AM2674" s="3" t="n"/>
      <c r="AN2674" s="3" t="n"/>
      <c r="AO2674" s="3" t="n"/>
      <c r="AP2674" s="3" t="n"/>
      <c r="AQ2674" s="3" t="n"/>
      <c r="AR2674" s="3" t="n"/>
      <c r="AS2674" s="3" t="n"/>
      <c r="AT2674" s="3" t="n"/>
      <c r="AU2674" s="3" t="n"/>
    </row>
    <row r="2675">
      <c r="A2675" s="3" t="n">
        <v>2031</v>
      </c>
      <c r="B2675" s="3" t="inlineStr">
        <is>
          <t>SLV</t>
        </is>
      </c>
      <c r="C2675" s="3" t="inlineStr">
        <is>
          <t>IMF.RES:WEO</t>
        </is>
      </c>
      <c r="D2675" s="3" t="inlineStr">
        <is>
          <t>SLV.NGDPPC.A</t>
        </is>
      </c>
      <c r="E2675" s="3" t="inlineStr">
        <is>
          <t>El Salvador</t>
        </is>
      </c>
      <c r="F2675" s="3" t="inlineStr">
        <is>
          <t>Gross domestic product (GDP), Current prices, Per capita, Domestic currency</t>
        </is>
      </c>
      <c r="G2675" s="3" t="n">
        <v>1982.859587</v>
      </c>
      <c r="H2675" s="3" t="n">
        <v>2058.030797</v>
      </c>
      <c r="I2675" s="3" t="n">
        <v>2115.422823</v>
      </c>
      <c r="J2675" s="3" t="n">
        <v>2207.830522</v>
      </c>
      <c r="K2675" s="3" t="n">
        <v>2285.678038</v>
      </c>
      <c r="L2675" s="3" t="n">
        <v>2447.382679</v>
      </c>
      <c r="M2675" s="3" t="n">
        <v>2665.625907</v>
      </c>
      <c r="N2675" s="3" t="n">
        <v>2830.668384</v>
      </c>
      <c r="O2675" s="3" t="n">
        <v>2983.246188</v>
      </c>
      <c r="P2675" s="3" t="n">
        <v>2910.175754</v>
      </c>
      <c r="Q2675" s="3" t="n">
        <v>3040.097959</v>
      </c>
      <c r="R2675" s="3" t="n">
        <v>3330.615862</v>
      </c>
      <c r="S2675" s="3" t="n">
        <v>3497.89876</v>
      </c>
      <c r="T2675" s="3" t="n">
        <v>3582.290032</v>
      </c>
      <c r="U2675" s="3" t="n">
        <v>3665.98611</v>
      </c>
      <c r="V2675" s="3" t="n">
        <v>3790.325847</v>
      </c>
      <c r="W2675" s="3" t="n">
        <v>3901.340146</v>
      </c>
      <c r="X2675" s="3" t="n">
        <v>4020.148125</v>
      </c>
      <c r="Y2675" s="3" t="n">
        <v>4183.551518</v>
      </c>
      <c r="Z2675" s="3" t="n">
        <v>4320.128693</v>
      </c>
      <c r="AA2675" s="3" t="n">
        <v>3997.175486</v>
      </c>
      <c r="AB2675" s="3" t="n">
        <v>4642.594073</v>
      </c>
      <c r="AC2675" s="3" t="n">
        <v>5074.615862</v>
      </c>
      <c r="AD2675" s="3" t="n">
        <v>5365.465323</v>
      </c>
      <c r="AE2675" s="3" t="n">
        <v>5579.655107</v>
      </c>
      <c r="AF2675" s="3" t="n">
        <v>5839.017528</v>
      </c>
      <c r="AG2675" s="3" t="n">
        <v>6195.804571</v>
      </c>
      <c r="AH2675" s="3" t="n">
        <v>6508.158946</v>
      </c>
      <c r="AI2675" s="3" t="n">
        <v>6838.589148</v>
      </c>
      <c r="AJ2675" s="3" t="n">
        <v>7171.278854</v>
      </c>
      <c r="AK2675" s="3" t="n">
        <v>7496.918796</v>
      </c>
      <c r="AL2675" s="3" t="n">
        <v>7846.654882</v>
      </c>
      <c r="AM2675" s="3" t="n"/>
      <c r="AN2675" s="3" t="n"/>
      <c r="AO2675" s="3" t="n"/>
      <c r="AP2675" s="3" t="n"/>
      <c r="AQ2675" s="3" t="n"/>
      <c r="AR2675" s="3" t="n"/>
      <c r="AS2675" s="3" t="n"/>
      <c r="AT2675" s="3" t="n"/>
      <c r="AU2675" s="3" t="n"/>
    </row>
    <row r="2676">
      <c r="A2676" s="3" t="n">
        <v>2031</v>
      </c>
      <c r="B2676" s="3" t="inlineStr">
        <is>
          <t>SLV</t>
        </is>
      </c>
      <c r="C2676" s="3" t="inlineStr">
        <is>
          <t>IMF.RES:WEO</t>
        </is>
      </c>
      <c r="D2676" s="3" t="inlineStr">
        <is>
          <t>SLV.NGDPRPC.A</t>
        </is>
      </c>
      <c r="E2676" s="3" t="inlineStr">
        <is>
          <t>El Salvador</t>
        </is>
      </c>
      <c r="F2676" s="3" t="inlineStr">
        <is>
          <t>Gross domestic product (GDP), Constant prices, Per capita, Domestic currency</t>
        </is>
      </c>
      <c r="G2676" s="3" t="n">
        <v>2926.579492</v>
      </c>
      <c r="H2676" s="3" t="n">
        <v>2940.036511</v>
      </c>
      <c r="I2676" s="3" t="n">
        <v>2977.285409</v>
      </c>
      <c r="J2676" s="3" t="n">
        <v>3017.748481</v>
      </c>
      <c r="K2676" s="3" t="n">
        <v>3041.537222</v>
      </c>
      <c r="L2676" s="3" t="n">
        <v>3123.417706</v>
      </c>
      <c r="M2676" s="3" t="n">
        <v>3260.856272</v>
      </c>
      <c r="N2676" s="3" t="n">
        <v>3317.381942</v>
      </c>
      <c r="O2676" s="3" t="n">
        <v>3376.992802</v>
      </c>
      <c r="P2676" s="3" t="n">
        <v>3296.24933</v>
      </c>
      <c r="Q2676" s="3" t="n">
        <v>3354.637994</v>
      </c>
      <c r="R2676" s="3" t="n">
        <v>3469.987482</v>
      </c>
      <c r="S2676" s="3" t="n">
        <v>3553.689401</v>
      </c>
      <c r="T2676" s="3" t="n">
        <v>3618.566004</v>
      </c>
      <c r="U2676" s="3" t="n">
        <v>3665.98611</v>
      </c>
      <c r="V2676" s="3" t="n">
        <v>3741.237525</v>
      </c>
      <c r="W2676" s="3" t="n">
        <v>3825.764493</v>
      </c>
      <c r="X2676" s="3" t="n">
        <v>3903.965617</v>
      </c>
      <c r="Y2676" s="3" t="n">
        <v>3994.098112</v>
      </c>
      <c r="Z2676" s="3" t="n">
        <v>4089.649801</v>
      </c>
      <c r="AA2676" s="3" t="n">
        <v>3759.35783</v>
      </c>
      <c r="AB2676" s="3" t="n">
        <v>4192.711101</v>
      </c>
      <c r="AC2676" s="3" t="n">
        <v>4299.749726</v>
      </c>
      <c r="AD2676" s="3" t="n">
        <v>4431.251124</v>
      </c>
      <c r="AE2676" s="3" t="n">
        <v>4526.037661</v>
      </c>
      <c r="AF2676" s="3" t="n">
        <v>4660.87493</v>
      </c>
      <c r="AG2676" s="3" t="n">
        <v>4779.316858</v>
      </c>
      <c r="AH2676" s="3" t="n">
        <v>4888.477024</v>
      </c>
      <c r="AI2676" s="3" t="n">
        <v>5000.130422</v>
      </c>
      <c r="AJ2676" s="3" t="n">
        <v>5114.333997</v>
      </c>
      <c r="AK2676" s="3" t="n">
        <v>5231.145994</v>
      </c>
      <c r="AL2676" s="3" t="n">
        <v>5350.625992</v>
      </c>
      <c r="AM2676" s="3" t="n"/>
      <c r="AN2676" s="3" t="n"/>
      <c r="AO2676" s="3" t="n"/>
      <c r="AP2676" s="3" t="n"/>
      <c r="AQ2676" s="3" t="n"/>
      <c r="AR2676" s="3" t="n"/>
      <c r="AS2676" s="3" t="n"/>
      <c r="AT2676" s="3" t="n"/>
      <c r="AU2676" s="3" t="n"/>
    </row>
    <row r="2677">
      <c r="A2677" s="3" t="n">
        <v>2031</v>
      </c>
      <c r="B2677" s="3" t="inlineStr">
        <is>
          <t>SLV</t>
        </is>
      </c>
      <c r="C2677" s="3" t="inlineStr">
        <is>
          <t>IMF.RES:WEO</t>
        </is>
      </c>
      <c r="D2677" s="3" t="inlineStr">
        <is>
          <t>SLV.PCPI.A</t>
        </is>
      </c>
      <c r="E2677" s="3" t="inlineStr">
        <is>
          <t>El Salvador</t>
        </is>
      </c>
      <c r="F2677" s="3" t="inlineStr">
        <is>
          <t>All Items, Consumer price index (CPI), Period average</t>
        </is>
      </c>
      <c r="G2677" s="3" t="n">
        <v>72.16</v>
      </c>
      <c r="H2677" s="3" t="n">
        <v>74.8625</v>
      </c>
      <c r="I2677" s="3" t="n">
        <v>76.261667</v>
      </c>
      <c r="J2677" s="3" t="n">
        <v>77.879167</v>
      </c>
      <c r="K2677" s="3" t="n">
        <v>81.346667</v>
      </c>
      <c r="L2677" s="3" t="n">
        <v>85.16166699999999</v>
      </c>
      <c r="M2677" s="3" t="n">
        <v>88.598333</v>
      </c>
      <c r="N2677" s="3" t="n">
        <v>92.655833</v>
      </c>
      <c r="O2677" s="3" t="n">
        <v>99.380833</v>
      </c>
      <c r="P2677" s="3" t="n">
        <v>99.91500000000001</v>
      </c>
      <c r="Q2677" s="3" t="n">
        <v>101.093333</v>
      </c>
      <c r="R2677" s="3" t="n">
        <v>106.278333</v>
      </c>
      <c r="S2677" s="3" t="n">
        <v>108.116667</v>
      </c>
      <c r="T2677" s="3" t="n">
        <v>108.935833</v>
      </c>
      <c r="U2677" s="3" t="n">
        <v>110.179167</v>
      </c>
      <c r="V2677" s="3" t="n">
        <v>109.373333</v>
      </c>
      <c r="W2677" s="3" t="n">
        <v>110.034167</v>
      </c>
      <c r="X2677" s="3" t="n">
        <v>111.15</v>
      </c>
      <c r="Y2677" s="3" t="n">
        <v>112.359167</v>
      </c>
      <c r="Z2677" s="3" t="n">
        <v>112.4425</v>
      </c>
      <c r="AA2677" s="3" t="n">
        <v>112.026667</v>
      </c>
      <c r="AB2677" s="3" t="n">
        <v>115.911667</v>
      </c>
      <c r="AC2677" s="3" t="n">
        <v>124.2525</v>
      </c>
      <c r="AD2677" s="3" t="n">
        <v>129.280833</v>
      </c>
      <c r="AE2677" s="3" t="n">
        <v>130.385</v>
      </c>
      <c r="AF2677" s="3" t="n">
        <v>130.720833</v>
      </c>
      <c r="AG2677" s="3" t="n">
        <v>133.988854</v>
      </c>
      <c r="AH2677" s="3" t="n">
        <v>136.668631</v>
      </c>
      <c r="AI2677" s="3" t="n">
        <v>139.128667</v>
      </c>
      <c r="AJ2677" s="3" t="n">
        <v>141.632983</v>
      </c>
      <c r="AK2677" s="3" t="n">
        <v>144.182376</v>
      </c>
      <c r="AL2677" s="3" t="n">
        <v>146.777659</v>
      </c>
      <c r="AM2677" s="3" t="n"/>
      <c r="AN2677" s="3" t="n"/>
      <c r="AO2677" s="3" t="n"/>
      <c r="AP2677" s="3" t="n"/>
      <c r="AQ2677" s="3" t="n"/>
      <c r="AR2677" s="3" t="n"/>
      <c r="AS2677" s="3" t="n"/>
      <c r="AT2677" s="3" t="n"/>
      <c r="AU2677" s="3" t="n"/>
    </row>
    <row r="2678">
      <c r="A2678" s="3" t="n">
        <v>2031</v>
      </c>
      <c r="B2678" s="3" t="inlineStr">
        <is>
          <t>SLV</t>
        </is>
      </c>
      <c r="C2678" s="3" t="inlineStr">
        <is>
          <t>IMF.RES:WEO</t>
        </is>
      </c>
      <c r="D2678" s="3" t="inlineStr">
        <is>
          <t>SLV.PCPIPCH.A</t>
        </is>
      </c>
      <c r="E2678" s="3" t="inlineStr">
        <is>
          <t>El Salvador</t>
        </is>
      </c>
      <c r="F2678" s="3" t="inlineStr">
        <is>
          <t>All Items, Consumer price index (CPI), Period average, percent change</t>
        </is>
      </c>
      <c r="G2678" s="3" t="n">
        <v>2.273613</v>
      </c>
      <c r="H2678" s="3" t="n">
        <v>3.74515</v>
      </c>
      <c r="I2678" s="3" t="n">
        <v>1.868982</v>
      </c>
      <c r="J2678" s="3" t="n">
        <v>2.120987</v>
      </c>
      <c r="K2678" s="3" t="n">
        <v>4.45241</v>
      </c>
      <c r="L2678" s="3" t="n">
        <v>4.689805</v>
      </c>
      <c r="M2678" s="3" t="n">
        <v>4.035462</v>
      </c>
      <c r="N2678" s="3" t="n">
        <v>4.579657</v>
      </c>
      <c r="O2678" s="3" t="n">
        <v>7.258043</v>
      </c>
      <c r="P2678" s="3" t="n">
        <v>0.5374949999999999</v>
      </c>
      <c r="Q2678" s="3" t="n">
        <v>1.179336</v>
      </c>
      <c r="R2678" s="3" t="n">
        <v>5.128924</v>
      </c>
      <c r="S2678" s="3" t="n">
        <v>1.729735</v>
      </c>
      <c r="T2678" s="3" t="n">
        <v>0.757669</v>
      </c>
      <c r="U2678" s="3" t="n">
        <v>1.141345</v>
      </c>
      <c r="V2678" s="3" t="n">
        <v>-0.731384</v>
      </c>
      <c r="W2678" s="3" t="n">
        <v>0.6042</v>
      </c>
      <c r="X2678" s="3" t="n">
        <v>1.014079</v>
      </c>
      <c r="Y2678" s="3" t="n">
        <v>1.087869</v>
      </c>
      <c r="Z2678" s="3" t="n">
        <v>0.074167</v>
      </c>
      <c r="AA2678" s="3" t="n">
        <v>-0.369819</v>
      </c>
      <c r="AB2678" s="3" t="n">
        <v>3.467924</v>
      </c>
      <c r="AC2678" s="3" t="n">
        <v>7.195853</v>
      </c>
      <c r="AD2678" s="3" t="n">
        <v>4.046867</v>
      </c>
      <c r="AE2678" s="3" t="n">
        <v>0.854084</v>
      </c>
      <c r="AF2678" s="3" t="n">
        <v>0.257571</v>
      </c>
      <c r="AG2678" s="3" t="n">
        <v>2.5</v>
      </c>
      <c r="AH2678" s="3" t="n">
        <v>2</v>
      </c>
      <c r="AI2678" s="3" t="n">
        <v>1.8</v>
      </c>
      <c r="AJ2678" s="3" t="n">
        <v>1.8</v>
      </c>
      <c r="AK2678" s="3" t="n">
        <v>1.8</v>
      </c>
      <c r="AL2678" s="3" t="n">
        <v>1.8</v>
      </c>
      <c r="AM2678" s="3" t="n"/>
      <c r="AN2678" s="3" t="n"/>
      <c r="AO2678" s="3" t="n"/>
      <c r="AP2678" s="3" t="n"/>
      <c r="AQ2678" s="3" t="n"/>
      <c r="AR2678" s="3" t="n"/>
      <c r="AS2678" s="3" t="n"/>
      <c r="AT2678" s="3" t="n"/>
      <c r="AU2678" s="3" t="n"/>
    </row>
    <row r="2679">
      <c r="A2679" s="3" t="n">
        <v>2031</v>
      </c>
      <c r="B2679" s="3" t="inlineStr">
        <is>
          <t>SLV</t>
        </is>
      </c>
      <c r="C2679" s="3" t="inlineStr">
        <is>
          <t>IMF.RES:WEO</t>
        </is>
      </c>
      <c r="D2679" s="3" t="inlineStr">
        <is>
          <t>SLV.PPPPC.A</t>
        </is>
      </c>
      <c r="E2679" s="3" t="inlineStr">
        <is>
          <t>El Salvador</t>
        </is>
      </c>
      <c r="F2679" s="3" t="inlineStr">
        <is>
          <t>Gross domestic product (GDP), Per capita, purchasing power parity (PPP) international dollar, ICP benchmarks 2017-2021</t>
        </is>
      </c>
      <c r="G2679" s="3" t="n">
        <v>4887.480146</v>
      </c>
      <c r="H2679" s="3" t="n">
        <v>5020.507313</v>
      </c>
      <c r="I2679" s="3" t="n">
        <v>5163.123774</v>
      </c>
      <c r="J2679" s="3" t="n">
        <v>5336.610187</v>
      </c>
      <c r="K2679" s="3" t="n">
        <v>5523.304656</v>
      </c>
      <c r="L2679" s="3" t="n">
        <v>5849.859839</v>
      </c>
      <c r="M2679" s="3" t="n">
        <v>6295.609986</v>
      </c>
      <c r="N2679" s="3" t="n">
        <v>6578.263684</v>
      </c>
      <c r="O2679" s="3" t="n">
        <v>6825.471691</v>
      </c>
      <c r="P2679" s="3" t="n">
        <v>6703.364571</v>
      </c>
      <c r="Q2679" s="3" t="n">
        <v>6905.01988</v>
      </c>
      <c r="R2679" s="3" t="n">
        <v>7289.816</v>
      </c>
      <c r="S2679" s="3" t="n">
        <v>7604.664086</v>
      </c>
      <c r="T2679" s="3" t="n">
        <v>7875.290473</v>
      </c>
      <c r="U2679" s="3" t="n">
        <v>8117.456147</v>
      </c>
      <c r="V2679" s="3" t="n">
        <v>8360.963239999999</v>
      </c>
      <c r="W2679" s="3" t="n">
        <v>8631.107974</v>
      </c>
      <c r="X2679" s="3" t="n">
        <v>8965.266657</v>
      </c>
      <c r="Y2679" s="3" t="n">
        <v>9203.773842000001</v>
      </c>
      <c r="Z2679" s="3" t="n">
        <v>9756.779237000001</v>
      </c>
      <c r="AA2679" s="3" t="n">
        <v>9392.648461999999</v>
      </c>
      <c r="AB2679" s="3" t="n">
        <v>10809.682296</v>
      </c>
      <c r="AC2679" s="3" t="n">
        <v>11874.107501</v>
      </c>
      <c r="AD2679" s="3" t="n">
        <v>12690.041948</v>
      </c>
      <c r="AE2679" s="3" t="n">
        <v>13283.262633</v>
      </c>
      <c r="AF2679" s="3" t="n">
        <v>14067.031441</v>
      </c>
      <c r="AG2679" s="3" t="n">
        <v>14837.742631</v>
      </c>
      <c r="AH2679" s="3" t="n">
        <v>15509.902553</v>
      </c>
      <c r="AI2679" s="3" t="n">
        <v>16124.543239</v>
      </c>
      <c r="AJ2679" s="3" t="n">
        <v>16786.090143</v>
      </c>
      <c r="AK2679" s="3" t="n">
        <v>17484.980364</v>
      </c>
      <c r="AL2679" s="3" t="n">
        <v>18207.205699</v>
      </c>
      <c r="AM2679" s="3" t="n"/>
      <c r="AN2679" s="3" t="n"/>
      <c r="AO2679" s="3" t="n"/>
      <c r="AP2679" s="3" t="n"/>
      <c r="AQ2679" s="3" t="n"/>
      <c r="AR2679" s="3" t="n"/>
      <c r="AS2679" s="3" t="n"/>
      <c r="AT2679" s="3" t="n"/>
      <c r="AU2679" s="3" t="n"/>
    </row>
    <row r="2680">
      <c r="A2680" s="3" t="n">
        <v>2025</v>
      </c>
      <c r="B2680" s="3" t="inlineStr">
        <is>
          <t>SLV</t>
        </is>
      </c>
      <c r="C2680" s="3" t="inlineStr">
        <is>
          <t>IMF.STA:ER</t>
        </is>
      </c>
      <c r="D2680" s="3" t="inlineStr">
        <is>
          <t>SLV.XDC_USD.PA_RT.A</t>
        </is>
      </c>
      <c r="E2680" s="3" t="inlineStr">
        <is>
          <t>El Salvador</t>
        </is>
      </c>
      <c r="F2680" s="3" t="inlineStr">
        <is>
          <t>Domestic currency per US Dollar</t>
        </is>
      </c>
      <c r="G2680" s="3" t="n">
        <v>8.755000000000001</v>
      </c>
      <c r="H2680" s="3" t="n">
        <v>1</v>
      </c>
      <c r="I2680" s="3" t="n">
        <v>1</v>
      </c>
      <c r="J2680" s="3" t="n">
        <v>1</v>
      </c>
      <c r="K2680" s="3" t="n">
        <v>1</v>
      </c>
      <c r="L2680" s="3" t="n">
        <v>1</v>
      </c>
      <c r="M2680" s="3" t="n">
        <v>1</v>
      </c>
      <c r="N2680" s="3" t="n">
        <v>1</v>
      </c>
      <c r="O2680" s="3" t="n">
        <v>1</v>
      </c>
      <c r="P2680" s="3" t="n">
        <v>1</v>
      </c>
      <c r="Q2680" s="3" t="n">
        <v>1</v>
      </c>
      <c r="R2680" s="3" t="n">
        <v>1</v>
      </c>
      <c r="S2680" s="3" t="n">
        <v>1</v>
      </c>
      <c r="T2680" s="3" t="n">
        <v>1</v>
      </c>
      <c r="U2680" s="3" t="n">
        <v>1</v>
      </c>
      <c r="V2680" s="3" t="n">
        <v>1</v>
      </c>
      <c r="W2680" s="3" t="n">
        <v>1</v>
      </c>
      <c r="X2680" s="3" t="n">
        <v>1</v>
      </c>
      <c r="Y2680" s="3" t="n">
        <v>1</v>
      </c>
      <c r="Z2680" s="3" t="n">
        <v>1</v>
      </c>
      <c r="AA2680" s="3" t="n">
        <v>1</v>
      </c>
      <c r="AB2680" s="3" t="n">
        <v>1</v>
      </c>
      <c r="AC2680" s="3" t="n">
        <v>1</v>
      </c>
      <c r="AD2680" s="3" t="n">
        <v>1</v>
      </c>
      <c r="AE2680" s="3" t="n">
        <v>1</v>
      </c>
      <c r="AF2680" s="3" t="n">
        <v>1</v>
      </c>
      <c r="AG2680" s="3" t="n"/>
      <c r="AH2680" s="3" t="n"/>
      <c r="AI2680" s="3" t="n"/>
      <c r="AJ2680" s="3" t="n"/>
      <c r="AK2680" s="3" t="n"/>
      <c r="AL2680" s="3" t="n"/>
      <c r="AM2680" s="3" t="n"/>
      <c r="AN2680" s="3" t="n"/>
      <c r="AO2680" s="3" t="n"/>
      <c r="AP2680" s="3" t="n"/>
      <c r="AQ2680" s="3" t="n"/>
      <c r="AR2680" s="3" t="n"/>
      <c r="AS2680" s="3" t="n"/>
      <c r="AT2680" s="3" t="n"/>
      <c r="AU2680" s="3" t="n"/>
    </row>
    <row r="2681">
      <c r="A2681" s="3" t="n">
        <v>2031</v>
      </c>
      <c r="B2681" s="3" t="inlineStr">
        <is>
          <t>SMR</t>
        </is>
      </c>
      <c r="C2681" s="3" t="inlineStr">
        <is>
          <t>IMF.RES:WEO</t>
        </is>
      </c>
      <c r="D2681" s="3" t="inlineStr">
        <is>
          <t>SMR.BCA.A</t>
        </is>
      </c>
      <c r="E2681" s="3" t="inlineStr">
        <is>
          <t>San Marino, Republic of</t>
        </is>
      </c>
      <c r="F2681" s="3" t="inlineStr">
        <is>
          <t>Current account balance (credit less debit), US dollar</t>
        </is>
      </c>
      <c r="G2681" s="3" t="n"/>
      <c r="H2681" s="3" t="n"/>
      <c r="I2681" s="3" t="n"/>
      <c r="J2681" s="3" t="n"/>
      <c r="K2681" s="3" t="n"/>
      <c r="L2681" s="3" t="n"/>
      <c r="M2681" s="3" t="n"/>
      <c r="N2681" s="3" t="n"/>
      <c r="O2681" s="3" t="n"/>
      <c r="P2681" s="3" t="n"/>
      <c r="Q2681" s="3" t="n"/>
      <c r="R2681" s="3" t="n"/>
      <c r="S2681" s="3" t="n"/>
      <c r="T2681" s="3" t="n"/>
      <c r="U2681" s="3" t="n"/>
      <c r="V2681" s="3" t="n"/>
      <c r="W2681" s="3" t="n"/>
      <c r="X2681" s="3" t="n">
        <v>-0.005979</v>
      </c>
      <c r="Y2681" s="3" t="n">
        <v>-0.031255</v>
      </c>
      <c r="Z2681" s="3" t="n">
        <v>0.032885</v>
      </c>
      <c r="AA2681" s="3" t="n">
        <v>0.042945</v>
      </c>
      <c r="AB2681" s="3" t="n">
        <v>0.100184</v>
      </c>
      <c r="AC2681" s="3" t="n">
        <v>0.249226</v>
      </c>
      <c r="AD2681" s="3" t="n">
        <v>0.445978</v>
      </c>
      <c r="AE2681" s="3" t="n">
        <v>0.384729</v>
      </c>
      <c r="AF2681" s="3" t="n">
        <v>0.385531</v>
      </c>
      <c r="AG2681" s="3" t="n">
        <v>0.414386</v>
      </c>
      <c r="AH2681" s="3" t="n">
        <v>0.420032</v>
      </c>
      <c r="AI2681" s="3" t="n">
        <v>0.412635</v>
      </c>
      <c r="AJ2681" s="3" t="n">
        <v>0.401894</v>
      </c>
      <c r="AK2681" s="3" t="n">
        <v>0.40506</v>
      </c>
      <c r="AL2681" s="3" t="n">
        <v>0.407454</v>
      </c>
      <c r="AM2681" s="3" t="n"/>
      <c r="AN2681" s="3" t="n"/>
      <c r="AO2681" s="3" t="n"/>
      <c r="AP2681" s="3" t="n"/>
      <c r="AQ2681" s="3" t="n"/>
      <c r="AR2681" s="3" t="n"/>
      <c r="AS2681" s="3" t="n"/>
      <c r="AT2681" s="3" t="n"/>
      <c r="AU2681" s="3" t="n"/>
    </row>
    <row r="2682">
      <c r="A2682" s="3" t="n">
        <v>2031</v>
      </c>
      <c r="B2682" s="3" t="inlineStr">
        <is>
          <t>SMR</t>
        </is>
      </c>
      <c r="C2682" s="3" t="inlineStr">
        <is>
          <t>IMF.RES:WEO</t>
        </is>
      </c>
      <c r="D2682" s="3" t="inlineStr">
        <is>
          <t>SMR.BCA_NGDPD.A</t>
        </is>
      </c>
      <c r="E2682" s="3" t="inlineStr">
        <is>
          <t>San Marino, Republic of</t>
        </is>
      </c>
      <c r="F2682" s="3" t="inlineStr">
        <is>
          <t>Current account balance (credit less debit), Percent of GDP</t>
        </is>
      </c>
      <c r="G2682" s="3" t="n"/>
      <c r="H2682" s="3" t="n"/>
      <c r="I2682" s="3" t="n"/>
      <c r="J2682" s="3" t="n"/>
      <c r="K2682" s="3" t="n"/>
      <c r="L2682" s="3" t="n"/>
      <c r="M2682" s="3" t="n"/>
      <c r="N2682" s="3" t="n"/>
      <c r="O2682" s="3" t="n"/>
      <c r="P2682" s="3" t="n"/>
      <c r="Q2682" s="3" t="n"/>
      <c r="R2682" s="3" t="n"/>
      <c r="S2682" s="3" t="n"/>
      <c r="T2682" s="3" t="n"/>
      <c r="U2682" s="3" t="n"/>
      <c r="V2682" s="3" t="n"/>
      <c r="W2682" s="3" t="n"/>
      <c r="X2682" s="3" t="n">
        <v>-0.391282</v>
      </c>
      <c r="Y2682" s="3" t="n">
        <v>-1.887275</v>
      </c>
      <c r="Z2682" s="3" t="n">
        <v>2.034467</v>
      </c>
      <c r="AA2682" s="3" t="n">
        <v>2.782361</v>
      </c>
      <c r="AB2682" s="3" t="n">
        <v>5.396033</v>
      </c>
      <c r="AC2682" s="3" t="n">
        <v>13.595541</v>
      </c>
      <c r="AD2682" s="3" t="n">
        <v>21.992875</v>
      </c>
      <c r="AE2682" s="3" t="n">
        <v>18.439463</v>
      </c>
      <c r="AF2682" s="3" t="n">
        <v>17.13069</v>
      </c>
      <c r="AG2682" s="3" t="n">
        <v>17.142956</v>
      </c>
      <c r="AH2682" s="3" t="n">
        <v>16.887802</v>
      </c>
      <c r="AI2682" s="3" t="n">
        <v>16.045562</v>
      </c>
      <c r="AJ2682" s="3" t="n">
        <v>15.140707</v>
      </c>
      <c r="AK2682" s="3" t="n">
        <v>14.783055</v>
      </c>
      <c r="AL2682" s="3" t="n">
        <v>14.405044</v>
      </c>
      <c r="AM2682" s="3" t="n"/>
      <c r="AN2682" s="3" t="n"/>
      <c r="AO2682" s="3" t="n"/>
      <c r="AP2682" s="3" t="n"/>
      <c r="AQ2682" s="3" t="n"/>
      <c r="AR2682" s="3" t="n"/>
      <c r="AS2682" s="3" t="n"/>
      <c r="AT2682" s="3" t="n"/>
      <c r="AU2682" s="3" t="n"/>
    </row>
    <row r="2683">
      <c r="A2683" s="3" t="n">
        <v>2031</v>
      </c>
      <c r="B2683" s="3" t="inlineStr">
        <is>
          <t>SMR</t>
        </is>
      </c>
      <c r="C2683" s="3" t="inlineStr">
        <is>
          <t>IMF.RES:WEO</t>
        </is>
      </c>
      <c r="D2683" s="3" t="inlineStr">
        <is>
          <t>SMR.GGR_NGDP.A</t>
        </is>
      </c>
      <c r="E2683" s="3" t="inlineStr">
        <is>
          <t>San Marino, Republic of</t>
        </is>
      </c>
      <c r="F2683" s="3" t="inlineStr">
        <is>
          <t>Revenue, General government, Percent of GDP</t>
        </is>
      </c>
      <c r="G2683" s="3" t="n"/>
      <c r="H2683" s="3" t="n"/>
      <c r="I2683" s="3" t="n"/>
      <c r="J2683" s="3" t="n"/>
      <c r="K2683" s="3" t="n">
        <v>21.419476</v>
      </c>
      <c r="L2683" s="3" t="n">
        <v>22.912795</v>
      </c>
      <c r="M2683" s="3" t="n">
        <v>21.161528</v>
      </c>
      <c r="N2683" s="3" t="n">
        <v>22.478261</v>
      </c>
      <c r="O2683" s="3" t="n">
        <v>22.207983</v>
      </c>
      <c r="P2683" s="3" t="n">
        <v>22.376915</v>
      </c>
      <c r="Q2683" s="3" t="n">
        <v>22.124609</v>
      </c>
      <c r="R2683" s="3" t="n">
        <v>21.326654</v>
      </c>
      <c r="S2683" s="3" t="n">
        <v>23.497003</v>
      </c>
      <c r="T2683" s="3" t="n">
        <v>22.419215</v>
      </c>
      <c r="U2683" s="3" t="n">
        <v>24.796372</v>
      </c>
      <c r="V2683" s="3" t="n">
        <v>22.96917</v>
      </c>
      <c r="W2683" s="3" t="n">
        <v>23.250977</v>
      </c>
      <c r="X2683" s="3" t="n">
        <v>22.079765</v>
      </c>
      <c r="Y2683" s="3" t="n">
        <v>22.951128</v>
      </c>
      <c r="Z2683" s="3" t="n">
        <v>22.340646</v>
      </c>
      <c r="AA2683" s="3" t="n">
        <v>21.58595</v>
      </c>
      <c r="AB2683" s="3" t="n">
        <v>20.670078</v>
      </c>
      <c r="AC2683" s="3" t="n">
        <v>22.086651</v>
      </c>
      <c r="AD2683" s="3" t="n">
        <v>20.954069</v>
      </c>
      <c r="AE2683" s="3" t="n">
        <v>21.297435</v>
      </c>
      <c r="AF2683" s="3" t="n">
        <v>20.962652</v>
      </c>
      <c r="AG2683" s="3" t="n">
        <v>21.108957</v>
      </c>
      <c r="AH2683" s="3" t="n">
        <v>21.108957</v>
      </c>
      <c r="AI2683" s="3" t="n">
        <v>21.108957</v>
      </c>
      <c r="AJ2683" s="3" t="n">
        <v>21.108957</v>
      </c>
      <c r="AK2683" s="3" t="n">
        <v>20.908957</v>
      </c>
      <c r="AL2683" s="3" t="n">
        <v>20.907909</v>
      </c>
      <c r="AM2683" s="3" t="n"/>
      <c r="AN2683" s="3" t="n"/>
      <c r="AO2683" s="3" t="n"/>
      <c r="AP2683" s="3" t="n"/>
      <c r="AQ2683" s="3" t="n"/>
      <c r="AR2683" s="3" t="n"/>
      <c r="AS2683" s="3" t="n"/>
      <c r="AT2683" s="3" t="n"/>
      <c r="AU2683" s="3" t="n"/>
    </row>
    <row r="2684">
      <c r="A2684" s="3" t="n">
        <v>2031</v>
      </c>
      <c r="B2684" s="3" t="inlineStr">
        <is>
          <t>SMR</t>
        </is>
      </c>
      <c r="C2684" s="3" t="inlineStr">
        <is>
          <t>IMF.RES:WEO</t>
        </is>
      </c>
      <c r="D2684" s="3" t="inlineStr">
        <is>
          <t>SMR.GGX_NGDP.A</t>
        </is>
      </c>
      <c r="E2684" s="3" t="inlineStr">
        <is>
          <t>San Marino, Republic of</t>
        </is>
      </c>
      <c r="F2684" s="3" t="inlineStr">
        <is>
          <t>Expenditure, General government, Percent of GDP</t>
        </is>
      </c>
      <c r="G2684" s="3" t="n"/>
      <c r="H2684" s="3" t="n"/>
      <c r="I2684" s="3" t="n"/>
      <c r="J2684" s="3" t="n"/>
      <c r="K2684" s="3" t="n">
        <v>18.974644</v>
      </c>
      <c r="L2684" s="3" t="n">
        <v>19.329702</v>
      </c>
      <c r="M2684" s="3" t="n">
        <v>19.654786</v>
      </c>
      <c r="N2684" s="3" t="n">
        <v>20.652945</v>
      </c>
      <c r="O2684" s="3" t="n">
        <v>22.031774</v>
      </c>
      <c r="P2684" s="3" t="n">
        <v>24.837494</v>
      </c>
      <c r="Q2684" s="3" t="n">
        <v>24.363018</v>
      </c>
      <c r="R2684" s="3" t="n">
        <v>25.37611</v>
      </c>
      <c r="S2684" s="3" t="n">
        <v>30.576262</v>
      </c>
      <c r="T2684" s="3" t="n">
        <v>30.159918</v>
      </c>
      <c r="U2684" s="3" t="n">
        <v>23.731917</v>
      </c>
      <c r="V2684" s="3" t="n">
        <v>26.292923</v>
      </c>
      <c r="W2684" s="3" t="n">
        <v>23.436197</v>
      </c>
      <c r="X2684" s="3" t="n">
        <v>25.565784</v>
      </c>
      <c r="Y2684" s="3" t="n">
        <v>24.506928</v>
      </c>
      <c r="Z2684" s="3" t="n">
        <v>22.448658</v>
      </c>
      <c r="AA2684" s="3" t="n">
        <v>59.177997</v>
      </c>
      <c r="AB2684" s="3" t="n">
        <v>37.08786</v>
      </c>
      <c r="AC2684" s="3" t="n">
        <v>21.66293</v>
      </c>
      <c r="AD2684" s="3" t="n">
        <v>21.678482</v>
      </c>
      <c r="AE2684" s="3" t="n">
        <v>20.910762</v>
      </c>
      <c r="AF2684" s="3" t="n">
        <v>21.966808</v>
      </c>
      <c r="AG2684" s="3" t="n">
        <v>22.707312</v>
      </c>
      <c r="AH2684" s="3" t="n">
        <v>21.231935</v>
      </c>
      <c r="AI2684" s="3" t="n">
        <v>20.565763</v>
      </c>
      <c r="AJ2684" s="3" t="n">
        <v>20.487119</v>
      </c>
      <c r="AK2684" s="3" t="n">
        <v>20.420174</v>
      </c>
      <c r="AL2684" s="3" t="n">
        <v>20.308578</v>
      </c>
      <c r="AM2684" s="3" t="n"/>
      <c r="AN2684" s="3" t="n"/>
      <c r="AO2684" s="3" t="n"/>
      <c r="AP2684" s="3" t="n"/>
      <c r="AQ2684" s="3" t="n"/>
      <c r="AR2684" s="3" t="n"/>
      <c r="AS2684" s="3" t="n"/>
      <c r="AT2684" s="3" t="n"/>
      <c r="AU2684" s="3" t="n"/>
    </row>
    <row r="2685">
      <c r="A2685" s="3" t="n">
        <v>2031</v>
      </c>
      <c r="B2685" s="3" t="inlineStr">
        <is>
          <t>SMR</t>
        </is>
      </c>
      <c r="C2685" s="3" t="inlineStr">
        <is>
          <t>IMF.RES:WEO</t>
        </is>
      </c>
      <c r="D2685" s="3" t="inlineStr">
        <is>
          <t>SMR.LP.A</t>
        </is>
      </c>
      <c r="E2685" s="3" t="inlineStr">
        <is>
          <t>San Marino, Republic of</t>
        </is>
      </c>
      <c r="F2685" s="3" t="inlineStr">
        <is>
          <t>Population, Persons for countries / Index for country groups</t>
        </is>
      </c>
      <c r="G2685" s="3" t="n"/>
      <c r="H2685" s="3" t="n"/>
      <c r="I2685" s="3" t="n"/>
      <c r="J2685" s="3" t="n"/>
      <c r="K2685" s="3" t="n">
        <v>0.028905</v>
      </c>
      <c r="L2685" s="3" t="n">
        <v>0.02924</v>
      </c>
      <c r="M2685" s="3" t="n">
        <v>0.029614</v>
      </c>
      <c r="N2685" s="3" t="n">
        <v>0.029993</v>
      </c>
      <c r="O2685" s="3" t="n">
        <v>0.030376</v>
      </c>
      <c r="P2685" s="3" t="n">
        <v>0.030765</v>
      </c>
      <c r="Q2685" s="3" t="n">
        <v>0.031158</v>
      </c>
      <c r="R2685" s="3" t="n">
        <v>0.031529</v>
      </c>
      <c r="S2685" s="3" t="n">
        <v>0.031904</v>
      </c>
      <c r="T2685" s="3" t="n">
        <v>0.032283</v>
      </c>
      <c r="U2685" s="3" t="n">
        <v>0.032667</v>
      </c>
      <c r="V2685" s="3" t="n">
        <v>0.03296</v>
      </c>
      <c r="W2685" s="3" t="n">
        <v>0.03313</v>
      </c>
      <c r="X2685" s="3" t="n">
        <v>0.0333</v>
      </c>
      <c r="Y2685" s="3" t="n">
        <v>0.033472</v>
      </c>
      <c r="Z2685" s="3" t="n">
        <v>0.033644</v>
      </c>
      <c r="AA2685" s="3" t="n">
        <v>0.033818</v>
      </c>
      <c r="AB2685" s="3" t="n">
        <v>0.033921</v>
      </c>
      <c r="AC2685" s="3" t="n">
        <v>0.034025</v>
      </c>
      <c r="AD2685" s="3" t="n">
        <v>0.03413</v>
      </c>
      <c r="AE2685" s="3" t="n">
        <v>0.034234</v>
      </c>
      <c r="AF2685" s="3" t="n">
        <v>0.034337</v>
      </c>
      <c r="AG2685" s="3" t="n">
        <v>0.03444</v>
      </c>
      <c r="AH2685" s="3" t="n">
        <v>0.034543</v>
      </c>
      <c r="AI2685" s="3" t="n">
        <v>0.034647</v>
      </c>
      <c r="AJ2685" s="3" t="n">
        <v>0.034751</v>
      </c>
      <c r="AK2685" s="3" t="n">
        <v>0.034855</v>
      </c>
      <c r="AL2685" s="3" t="n">
        <v>0.03496</v>
      </c>
      <c r="AM2685" s="3" t="n"/>
      <c r="AN2685" s="3" t="n"/>
      <c r="AO2685" s="3" t="n"/>
      <c r="AP2685" s="3" t="n"/>
      <c r="AQ2685" s="3" t="n"/>
      <c r="AR2685" s="3" t="n"/>
      <c r="AS2685" s="3" t="n"/>
      <c r="AT2685" s="3" t="n"/>
      <c r="AU2685" s="3" t="n"/>
    </row>
    <row r="2686">
      <c r="A2686" s="3" t="n">
        <v>2031</v>
      </c>
      <c r="B2686" s="3" t="inlineStr">
        <is>
          <t>SMR</t>
        </is>
      </c>
      <c r="C2686" s="3" t="inlineStr">
        <is>
          <t>IMF.RES:WEO</t>
        </is>
      </c>
      <c r="D2686" s="3" t="inlineStr">
        <is>
          <t>SMR.NGDP.A</t>
        </is>
      </c>
      <c r="E2686" s="3" t="inlineStr">
        <is>
          <t>San Marino, Republic of</t>
        </is>
      </c>
      <c r="F2686" s="3" t="inlineStr">
        <is>
          <t>Gross domestic product (GDP), Current prices, Domestic currency</t>
        </is>
      </c>
      <c r="G2686" s="3" t="n">
        <v>1.090797</v>
      </c>
      <c r="H2686" s="3" t="n">
        <v>1.183053</v>
      </c>
      <c r="I2686" s="3" t="n">
        <v>1.214601</v>
      </c>
      <c r="J2686" s="3" t="n">
        <v>1.293016</v>
      </c>
      <c r="K2686" s="3" t="n">
        <v>1.378909</v>
      </c>
      <c r="L2686" s="3" t="n">
        <v>1.436436</v>
      </c>
      <c r="M2686" s="3" t="n">
        <v>1.521153</v>
      </c>
      <c r="N2686" s="3" t="n">
        <v>1.597225</v>
      </c>
      <c r="O2686" s="3" t="n">
        <v>1.63409</v>
      </c>
      <c r="P2686" s="3" t="n">
        <v>1.479691</v>
      </c>
      <c r="Q2686" s="3" t="n">
        <v>1.419045</v>
      </c>
      <c r="R2686" s="3" t="n">
        <v>1.302948</v>
      </c>
      <c r="S2686" s="3" t="n">
        <v>1.249163</v>
      </c>
      <c r="T2686" s="3" t="n">
        <v>1.263653</v>
      </c>
      <c r="U2686" s="3" t="n">
        <v>1.259525</v>
      </c>
      <c r="V2686" s="3" t="n">
        <v>1.279301</v>
      </c>
      <c r="W2686" s="3" t="n">
        <v>1.326532</v>
      </c>
      <c r="X2686" s="3" t="n">
        <v>1.353144</v>
      </c>
      <c r="Y2686" s="3" t="n">
        <v>1.401709</v>
      </c>
      <c r="Z2686" s="3" t="n">
        <v>1.443741</v>
      </c>
      <c r="AA2686" s="3" t="n">
        <v>1.352407</v>
      </c>
      <c r="AB2686" s="3" t="n">
        <v>1.568726</v>
      </c>
      <c r="AC2686" s="3" t="n">
        <v>1.739427</v>
      </c>
      <c r="AD2686" s="3" t="n">
        <v>1.874875</v>
      </c>
      <c r="AE2686" s="3" t="n">
        <v>1.928226</v>
      </c>
      <c r="AF2686" s="3" t="n">
        <v>1.99278</v>
      </c>
      <c r="AG2686" s="3" t="n">
        <v>2.050509</v>
      </c>
      <c r="AH2686" s="3" t="n">
        <v>2.112846</v>
      </c>
      <c r="AI2686" s="3" t="n">
        <v>2.190488</v>
      </c>
      <c r="AJ2686" s="3" t="n">
        <v>2.262328</v>
      </c>
      <c r="AK2686" s="3" t="n">
        <v>2.336685</v>
      </c>
      <c r="AL2686" s="3" t="n">
        <v>2.413607</v>
      </c>
      <c r="AM2686" s="3" t="n"/>
      <c r="AN2686" s="3" t="n"/>
      <c r="AO2686" s="3" t="n"/>
      <c r="AP2686" s="3" t="n"/>
      <c r="AQ2686" s="3" t="n"/>
      <c r="AR2686" s="3" t="n"/>
      <c r="AS2686" s="3" t="n"/>
      <c r="AT2686" s="3" t="n"/>
      <c r="AU2686" s="3" t="n"/>
    </row>
    <row r="2687">
      <c r="A2687" s="3" t="n">
        <v>2031</v>
      </c>
      <c r="B2687" s="3" t="inlineStr">
        <is>
          <t>SMR</t>
        </is>
      </c>
      <c r="C2687" s="3" t="inlineStr">
        <is>
          <t>IMF.RES:WEO</t>
        </is>
      </c>
      <c r="D2687" s="3" t="inlineStr">
        <is>
          <t>SMR.NGDP_D.A</t>
        </is>
      </c>
      <c r="E2687" s="3" t="inlineStr">
        <is>
          <t>San Marino, Republic of</t>
        </is>
      </c>
      <c r="F2687" s="3" t="inlineStr">
        <is>
          <t>Gross domestic product (GDP), Price deflator, Index</t>
        </is>
      </c>
      <c r="G2687" s="3" t="n">
        <v>89.471355</v>
      </c>
      <c r="H2687" s="3" t="n">
        <v>91.94558499999999</v>
      </c>
      <c r="I2687" s="3" t="n">
        <v>94.10056</v>
      </c>
      <c r="J2687" s="3" t="n">
        <v>96.415162</v>
      </c>
      <c r="K2687" s="3" t="n">
        <v>98.33069500000001</v>
      </c>
      <c r="L2687" s="3" t="n">
        <v>100.006787</v>
      </c>
      <c r="M2687" s="3" t="n">
        <v>102.002134</v>
      </c>
      <c r="N2687" s="3" t="n">
        <v>100</v>
      </c>
      <c r="O2687" s="3" t="n">
        <v>102.708915</v>
      </c>
      <c r="P2687" s="3" t="n">
        <v>103.519709</v>
      </c>
      <c r="Q2687" s="3" t="n">
        <v>105.448297</v>
      </c>
      <c r="R2687" s="3" t="n">
        <v>105.885471</v>
      </c>
      <c r="S2687" s="3" t="n">
        <v>109.448945</v>
      </c>
      <c r="T2687" s="3" t="n">
        <v>111.627241</v>
      </c>
      <c r="U2687" s="3" t="n">
        <v>112.001541</v>
      </c>
      <c r="V2687" s="3" t="n">
        <v>110.751309</v>
      </c>
      <c r="W2687" s="3" t="n">
        <v>112.243413</v>
      </c>
      <c r="X2687" s="3" t="n">
        <v>114.190002</v>
      </c>
      <c r="Y2687" s="3" t="n">
        <v>116.56035</v>
      </c>
      <c r="Z2687" s="3" t="n">
        <v>117.675466</v>
      </c>
      <c r="AA2687" s="3" t="n">
        <v>118.310672</v>
      </c>
      <c r="AB2687" s="3" t="n">
        <v>119.855388</v>
      </c>
      <c r="AC2687" s="3" t="n">
        <v>123.295</v>
      </c>
      <c r="AD2687" s="3" t="n">
        <v>132.363873</v>
      </c>
      <c r="AE2687" s="3" t="n">
        <v>134.782591</v>
      </c>
      <c r="AF2687" s="3" t="n">
        <v>137.236321</v>
      </c>
      <c r="AG2687" s="3" t="n">
        <v>139.399743</v>
      </c>
      <c r="AH2687" s="3" t="n">
        <v>141.956306</v>
      </c>
      <c r="AI2687" s="3" t="n">
        <v>145.312848</v>
      </c>
      <c r="AJ2687" s="3" t="n">
        <v>148.181818</v>
      </c>
      <c r="AK2687" s="3" t="n">
        <v>151.117872</v>
      </c>
      <c r="AL2687" s="3" t="n">
        <v>154.119823</v>
      </c>
      <c r="AM2687" s="3" t="n"/>
      <c r="AN2687" s="3" t="n"/>
      <c r="AO2687" s="3" t="n"/>
      <c r="AP2687" s="3" t="n"/>
      <c r="AQ2687" s="3" t="n"/>
      <c r="AR2687" s="3" t="n"/>
      <c r="AS2687" s="3" t="n"/>
      <c r="AT2687" s="3" t="n"/>
      <c r="AU2687" s="3" t="n"/>
    </row>
    <row r="2688">
      <c r="A2688" s="3" t="n">
        <v>2031</v>
      </c>
      <c r="B2688" s="3" t="inlineStr">
        <is>
          <t>SMR</t>
        </is>
      </c>
      <c r="C2688" s="3" t="inlineStr">
        <is>
          <t>IMF.RES:WEO</t>
        </is>
      </c>
      <c r="D2688" s="3" t="inlineStr">
        <is>
          <t>SMR.NGDP_R.A</t>
        </is>
      </c>
      <c r="E2688" s="3" t="inlineStr">
        <is>
          <t>San Marino, Republic of</t>
        </is>
      </c>
      <c r="F2688" s="3" t="inlineStr">
        <is>
          <t>Gross domestic product (GDP), Constant prices, Domestic currency</t>
        </is>
      </c>
      <c r="G2688" s="3" t="n">
        <v>1.219158</v>
      </c>
      <c r="H2688" s="3" t="n">
        <v>1.286688</v>
      </c>
      <c r="I2688" s="3" t="n">
        <v>1.290748</v>
      </c>
      <c r="J2688" s="3" t="n">
        <v>1.341092</v>
      </c>
      <c r="K2688" s="3" t="n">
        <v>1.402318</v>
      </c>
      <c r="L2688" s="3" t="n">
        <v>1.436339</v>
      </c>
      <c r="M2688" s="3" t="n">
        <v>1.491295</v>
      </c>
      <c r="N2688" s="3" t="n">
        <v>1.597225</v>
      </c>
      <c r="O2688" s="3" t="n">
        <v>1.590992</v>
      </c>
      <c r="P2688" s="3" t="n">
        <v>1.429381</v>
      </c>
      <c r="Q2688" s="3" t="n">
        <v>1.345726</v>
      </c>
      <c r="R2688" s="3" t="n">
        <v>1.230525</v>
      </c>
      <c r="S2688" s="3" t="n">
        <v>1.14132</v>
      </c>
      <c r="T2688" s="3" t="n">
        <v>1.132029</v>
      </c>
      <c r="U2688" s="3" t="n">
        <v>1.12456</v>
      </c>
      <c r="V2688" s="3" t="n">
        <v>1.155111</v>
      </c>
      <c r="W2688" s="3" t="n">
        <v>1.181835</v>
      </c>
      <c r="X2688" s="3" t="n">
        <v>1.184993</v>
      </c>
      <c r="Y2688" s="3" t="n">
        <v>1.202561</v>
      </c>
      <c r="Z2688" s="3" t="n">
        <v>1.226884</v>
      </c>
      <c r="AA2688" s="3" t="n">
        <v>1.143098</v>
      </c>
      <c r="AB2688" s="3" t="n">
        <v>1.308849</v>
      </c>
      <c r="AC2688" s="3" t="n">
        <v>1.410785</v>
      </c>
      <c r="AD2688" s="3" t="n">
        <v>1.416455</v>
      </c>
      <c r="AE2688" s="3" t="n">
        <v>1.43062</v>
      </c>
      <c r="AF2688" s="3" t="n">
        <v>1.452079</v>
      </c>
      <c r="AG2688" s="3" t="n">
        <v>1.470956</v>
      </c>
      <c r="AH2688" s="3" t="n">
        <v>1.488378</v>
      </c>
      <c r="AI2688" s="3" t="n">
        <v>1.507429</v>
      </c>
      <c r="AJ2688" s="3" t="n">
        <v>1.526724</v>
      </c>
      <c r="AK2688" s="3" t="n">
        <v>1.546266</v>
      </c>
      <c r="AL2688" s="3" t="n">
        <v>1.566059</v>
      </c>
      <c r="AM2688" s="3" t="n"/>
      <c r="AN2688" s="3" t="n"/>
      <c r="AO2688" s="3" t="n"/>
      <c r="AP2688" s="3" t="n"/>
      <c r="AQ2688" s="3" t="n"/>
      <c r="AR2688" s="3" t="n"/>
      <c r="AS2688" s="3" t="n"/>
      <c r="AT2688" s="3" t="n"/>
      <c r="AU2688" s="3" t="n"/>
    </row>
    <row r="2689">
      <c r="A2689" s="3" t="n">
        <v>2031</v>
      </c>
      <c r="B2689" s="3" t="inlineStr">
        <is>
          <t>SMR</t>
        </is>
      </c>
      <c r="C2689" s="3" t="inlineStr">
        <is>
          <t>IMF.RES:WEO</t>
        </is>
      </c>
      <c r="D2689" s="3" t="inlineStr">
        <is>
          <t>SMR.NGDP_RPCH.A</t>
        </is>
      </c>
      <c r="E2689" s="3" t="inlineStr">
        <is>
          <t>San Marino, Republic of</t>
        </is>
      </c>
      <c r="F2689" s="3" t="inlineStr">
        <is>
          <t>Gross domestic product (GDP), Constant prices, Percent change</t>
        </is>
      </c>
      <c r="G2689" s="3" t="n">
        <v>2.202567</v>
      </c>
      <c r="H2689" s="3" t="n">
        <v>5.539117</v>
      </c>
      <c r="I2689" s="3" t="n">
        <v>0.315486</v>
      </c>
      <c r="J2689" s="3" t="n">
        <v>3.900423</v>
      </c>
      <c r="K2689" s="3" t="n">
        <v>4.565318</v>
      </c>
      <c r="L2689" s="3" t="n">
        <v>2.426055</v>
      </c>
      <c r="M2689" s="3" t="n">
        <v>3.826154</v>
      </c>
      <c r="N2689" s="3" t="n">
        <v>7.103188</v>
      </c>
      <c r="O2689" s="3" t="n">
        <v>-0.390224</v>
      </c>
      <c r="P2689" s="3" t="n">
        <v>-10.157842</v>
      </c>
      <c r="Q2689" s="3" t="n">
        <v>-5.852573</v>
      </c>
      <c r="R2689" s="3" t="n">
        <v>-8.560465000000001</v>
      </c>
      <c r="S2689" s="3" t="n">
        <v>-7.24938</v>
      </c>
      <c r="T2689" s="3" t="n">
        <v>-0.814024</v>
      </c>
      <c r="U2689" s="3" t="n">
        <v>-0.659816</v>
      </c>
      <c r="V2689" s="3" t="n">
        <v>2.716701</v>
      </c>
      <c r="W2689" s="3" t="n">
        <v>2.313554</v>
      </c>
      <c r="X2689" s="3" t="n">
        <v>0.267233</v>
      </c>
      <c r="Y2689" s="3" t="n">
        <v>1.482475</v>
      </c>
      <c r="Z2689" s="3" t="n">
        <v>2.022631</v>
      </c>
      <c r="AA2689" s="3" t="n">
        <v>-6.829172</v>
      </c>
      <c r="AB2689" s="3" t="n">
        <v>14.500177</v>
      </c>
      <c r="AC2689" s="3" t="n">
        <v>7.788174</v>
      </c>
      <c r="AD2689" s="3" t="n">
        <v>0.401935</v>
      </c>
      <c r="AE2689" s="3" t="n">
        <v>1</v>
      </c>
      <c r="AF2689" s="3" t="n">
        <v>1.5</v>
      </c>
      <c r="AG2689" s="3" t="n">
        <v>1.3</v>
      </c>
      <c r="AH2689" s="3" t="n">
        <v>1.184403</v>
      </c>
      <c r="AI2689" s="3" t="n">
        <v>1.28</v>
      </c>
      <c r="AJ2689" s="3" t="n">
        <v>1.28</v>
      </c>
      <c r="AK2689" s="3" t="n">
        <v>1.28</v>
      </c>
      <c r="AL2689" s="3" t="n">
        <v>1.28</v>
      </c>
      <c r="AM2689" s="3" t="n"/>
      <c r="AN2689" s="3" t="n"/>
      <c r="AO2689" s="3" t="n"/>
      <c r="AP2689" s="3" t="n"/>
      <c r="AQ2689" s="3" t="n"/>
      <c r="AR2689" s="3" t="n"/>
      <c r="AS2689" s="3" t="n"/>
      <c r="AT2689" s="3" t="n"/>
      <c r="AU2689" s="3" t="n"/>
    </row>
    <row r="2690">
      <c r="A2690" s="3" t="n">
        <v>2031</v>
      </c>
      <c r="B2690" s="3" t="inlineStr">
        <is>
          <t>SMR</t>
        </is>
      </c>
      <c r="C2690" s="3" t="inlineStr">
        <is>
          <t>IMF.RES:WEO</t>
        </is>
      </c>
      <c r="D2690" s="3" t="inlineStr">
        <is>
          <t>SMR.NGDPD.A</t>
        </is>
      </c>
      <c r="E2690" s="3" t="inlineStr">
        <is>
          <t>San Marino, Republic of</t>
        </is>
      </c>
      <c r="F2690" s="3" t="inlineStr">
        <is>
          <t>Gross domestic product (GDP), Current prices, US dollar</t>
        </is>
      </c>
      <c r="G2690" s="3" t="n">
        <v>1.007919</v>
      </c>
      <c r="H2690" s="3" t="n">
        <v>1.059585</v>
      </c>
      <c r="I2690" s="3" t="n">
        <v>1.147683</v>
      </c>
      <c r="J2690" s="3" t="n">
        <v>1.462243</v>
      </c>
      <c r="K2690" s="3" t="n">
        <v>1.714449</v>
      </c>
      <c r="L2690" s="3" t="n">
        <v>1.788044</v>
      </c>
      <c r="M2690" s="3" t="n">
        <v>1.910059</v>
      </c>
      <c r="N2690" s="3" t="n">
        <v>2.189219</v>
      </c>
      <c r="O2690" s="3" t="n">
        <v>2.403084</v>
      </c>
      <c r="P2690" s="3" t="n">
        <v>2.061607</v>
      </c>
      <c r="Q2690" s="3" t="n">
        <v>1.882788</v>
      </c>
      <c r="R2690" s="3" t="n">
        <v>1.813326</v>
      </c>
      <c r="S2690" s="3" t="n">
        <v>1.605926</v>
      </c>
      <c r="T2690" s="3" t="n">
        <v>1.678305</v>
      </c>
      <c r="U2690" s="3" t="n">
        <v>1.673711</v>
      </c>
      <c r="V2690" s="3" t="n">
        <v>1.419544</v>
      </c>
      <c r="W2690" s="3" t="n">
        <v>1.467937</v>
      </c>
      <c r="X2690" s="3" t="n">
        <v>1.528082</v>
      </c>
      <c r="Y2690" s="3" t="n">
        <v>1.656105</v>
      </c>
      <c r="Z2690" s="3" t="n">
        <v>1.61641</v>
      </c>
      <c r="AA2690" s="3" t="n">
        <v>1.543477</v>
      </c>
      <c r="AB2690" s="3" t="n">
        <v>1.856629</v>
      </c>
      <c r="AC2690" s="3" t="n">
        <v>1.833142</v>
      </c>
      <c r="AD2690" s="3" t="n">
        <v>2.027828</v>
      </c>
      <c r="AE2690" s="3" t="n">
        <v>2.086446</v>
      </c>
      <c r="AF2690" s="3" t="n">
        <v>2.250531</v>
      </c>
      <c r="AG2690" s="3" t="n">
        <v>2.417239</v>
      </c>
      <c r="AH2690" s="3" t="n">
        <v>2.487194</v>
      </c>
      <c r="AI2690" s="3" t="n">
        <v>2.571646</v>
      </c>
      <c r="AJ2690" s="3" t="n">
        <v>2.654393</v>
      </c>
      <c r="AK2690" s="3" t="n">
        <v>2.740031</v>
      </c>
      <c r="AL2690" s="3" t="n">
        <v>2.828549</v>
      </c>
      <c r="AM2690" s="3" t="n"/>
      <c r="AN2690" s="3" t="n"/>
      <c r="AO2690" s="3" t="n"/>
      <c r="AP2690" s="3" t="n"/>
      <c r="AQ2690" s="3" t="n"/>
      <c r="AR2690" s="3" t="n"/>
      <c r="AS2690" s="3" t="n"/>
      <c r="AT2690" s="3" t="n"/>
      <c r="AU2690" s="3" t="n"/>
    </row>
    <row r="2691">
      <c r="A2691" s="3" t="n">
        <v>2031</v>
      </c>
      <c r="B2691" s="3" t="inlineStr">
        <is>
          <t>SMR</t>
        </is>
      </c>
      <c r="C2691" s="3" t="inlineStr">
        <is>
          <t>IMF.RES:WEO</t>
        </is>
      </c>
      <c r="D2691" s="3" t="inlineStr">
        <is>
          <t>SMR.NGDPPC.A</t>
        </is>
      </c>
      <c r="E2691" s="3" t="inlineStr">
        <is>
          <t>San Marino, Republic of</t>
        </is>
      </c>
      <c r="F2691" s="3" t="inlineStr">
        <is>
          <t>Gross domestic product (GDP), Current prices, Per capita, Domestic currency</t>
        </is>
      </c>
      <c r="G2691" s="3" t="n"/>
      <c r="H2691" s="3" t="n"/>
      <c r="I2691" s="3" t="n"/>
      <c r="J2691" s="3" t="n"/>
      <c r="K2691" s="3" t="n">
        <v>47704.983968</v>
      </c>
      <c r="L2691" s="3" t="n">
        <v>49125.718583</v>
      </c>
      <c r="M2691" s="3" t="n">
        <v>51366.001618</v>
      </c>
      <c r="N2691" s="3" t="n">
        <v>53253.628148</v>
      </c>
      <c r="O2691" s="3" t="n">
        <v>53794.713809</v>
      </c>
      <c r="P2691" s="3" t="n">
        <v>48096.666343</v>
      </c>
      <c r="Q2691" s="3" t="n">
        <v>45542.855617</v>
      </c>
      <c r="R2691" s="3" t="n">
        <v>41325.332231</v>
      </c>
      <c r="S2691" s="3" t="n">
        <v>39153.777871</v>
      </c>
      <c r="T2691" s="3" t="n">
        <v>39142.435526</v>
      </c>
      <c r="U2691" s="3" t="n">
        <v>38555.993557</v>
      </c>
      <c r="V2691" s="3" t="n">
        <v>38813.728983</v>
      </c>
      <c r="W2691" s="3" t="n">
        <v>40040.447804</v>
      </c>
      <c r="X2691" s="3" t="n">
        <v>40634.372696</v>
      </c>
      <c r="Y2691" s="3" t="n">
        <v>41877.018809</v>
      </c>
      <c r="Z2691" s="3" t="n">
        <v>42911.703281</v>
      </c>
      <c r="AA2691" s="3" t="n">
        <v>39990.983911</v>
      </c>
      <c r="AB2691" s="3" t="n">
        <v>46245.888261</v>
      </c>
      <c r="AC2691" s="3" t="n">
        <v>51121.475699</v>
      </c>
      <c r="AD2691" s="3" t="n">
        <v>54933.934445</v>
      </c>
      <c r="AE2691" s="3" t="n">
        <v>56324.539486</v>
      </c>
      <c r="AF2691" s="3" t="n">
        <v>58036.074056</v>
      </c>
      <c r="AG2691" s="3" t="n">
        <v>59538.712972</v>
      </c>
      <c r="AH2691" s="3" t="n">
        <v>61165.256385</v>
      </c>
      <c r="AI2691" s="3" t="n">
        <v>63223.260158</v>
      </c>
      <c r="AJ2691" s="3" t="n">
        <v>65101.433473</v>
      </c>
      <c r="AK2691" s="3" t="n">
        <v>67040.03322899999</v>
      </c>
      <c r="AL2691" s="3" t="n">
        <v>69039.82086399999</v>
      </c>
      <c r="AM2691" s="3" t="n"/>
      <c r="AN2691" s="3" t="n"/>
      <c r="AO2691" s="3" t="n"/>
      <c r="AP2691" s="3" t="n"/>
      <c r="AQ2691" s="3" t="n"/>
      <c r="AR2691" s="3" t="n"/>
      <c r="AS2691" s="3" t="n"/>
      <c r="AT2691" s="3" t="n"/>
      <c r="AU2691" s="3" t="n"/>
    </row>
    <row r="2692">
      <c r="A2692" s="3" t="n">
        <v>2031</v>
      </c>
      <c r="B2692" s="3" t="inlineStr">
        <is>
          <t>SMR</t>
        </is>
      </c>
      <c r="C2692" s="3" t="inlineStr">
        <is>
          <t>IMF.RES:WEO</t>
        </is>
      </c>
      <c r="D2692" s="3" t="inlineStr">
        <is>
          <t>SMR.NGDPRPC.A</t>
        </is>
      </c>
      <c r="E2692" s="3" t="inlineStr">
        <is>
          <t>San Marino, Republic of</t>
        </is>
      </c>
      <c r="F2692" s="3" t="inlineStr">
        <is>
          <t>Gross domestic product (GDP), Constant prices, Per capita, Domestic currency</t>
        </is>
      </c>
      <c r="G2692" s="3" t="n"/>
      <c r="H2692" s="3" t="n"/>
      <c r="I2692" s="3" t="n"/>
      <c r="J2692" s="3" t="n"/>
      <c r="K2692" s="3" t="n">
        <v>48514.844557</v>
      </c>
      <c r="L2692" s="3" t="n">
        <v>49122.384803</v>
      </c>
      <c r="M2692" s="3" t="n">
        <v>50357.771758</v>
      </c>
      <c r="N2692" s="3" t="n">
        <v>53253.628148</v>
      </c>
      <c r="O2692" s="3" t="n">
        <v>52375.895574</v>
      </c>
      <c r="P2692" s="3" t="n">
        <v>46461.361659</v>
      </c>
      <c r="Q2692" s="3" t="n">
        <v>43189.74971</v>
      </c>
      <c r="R2692" s="3" t="n">
        <v>39028.331189</v>
      </c>
      <c r="S2692" s="3" t="n">
        <v>35773.554345</v>
      </c>
      <c r="T2692" s="3" t="n">
        <v>35065.30759</v>
      </c>
      <c r="U2692" s="3" t="n">
        <v>34424.520637</v>
      </c>
      <c r="V2692" s="3" t="n">
        <v>35045.842071</v>
      </c>
      <c r="W2692" s="3" t="n">
        <v>35672.870756</v>
      </c>
      <c r="X2692" s="3" t="n">
        <v>35584.87774</v>
      </c>
      <c r="Y2692" s="3" t="n">
        <v>35927.327732</v>
      </c>
      <c r="Z2692" s="3" t="n">
        <v>36466.142498</v>
      </c>
      <c r="AA2692" s="3" t="n">
        <v>33801.670852</v>
      </c>
      <c r="AB2692" s="3" t="n">
        <v>38584.738669</v>
      </c>
      <c r="AC2692" s="3" t="n">
        <v>41462.732227</v>
      </c>
      <c r="AD2692" s="3" t="n">
        <v>41502.211319</v>
      </c>
      <c r="AE2692" s="3" t="n">
        <v>41789.179983</v>
      </c>
      <c r="AF2692" s="3" t="n">
        <v>42289.150232</v>
      </c>
      <c r="AG2692" s="3" t="n">
        <v>42710.776855</v>
      </c>
      <c r="AH2692" s="3" t="n">
        <v>43087.382476</v>
      </c>
      <c r="AI2692" s="3" t="n">
        <v>43508.375908</v>
      </c>
      <c r="AJ2692" s="3" t="n">
        <v>43933.482738</v>
      </c>
      <c r="AK2692" s="3" t="n">
        <v>44362.743153</v>
      </c>
      <c r="AL2692" s="3" t="n">
        <v>44796.197739</v>
      </c>
      <c r="AM2692" s="3" t="n"/>
      <c r="AN2692" s="3" t="n"/>
      <c r="AO2692" s="3" t="n"/>
      <c r="AP2692" s="3" t="n"/>
      <c r="AQ2692" s="3" t="n"/>
      <c r="AR2692" s="3" t="n"/>
      <c r="AS2692" s="3" t="n"/>
      <c r="AT2692" s="3" t="n"/>
      <c r="AU2692" s="3" t="n"/>
    </row>
    <row r="2693">
      <c r="A2693" s="3" t="n">
        <v>2031</v>
      </c>
      <c r="B2693" s="3" t="inlineStr">
        <is>
          <t>SMR</t>
        </is>
      </c>
      <c r="C2693" s="3" t="inlineStr">
        <is>
          <t>IMF.RES:WEO</t>
        </is>
      </c>
      <c r="D2693" s="3" t="inlineStr">
        <is>
          <t>SMR.PCPI.A</t>
        </is>
      </c>
      <c r="E2693" s="3" t="inlineStr">
        <is>
          <t>San Marino, Republic of</t>
        </is>
      </c>
      <c r="F2693" s="3" t="inlineStr">
        <is>
          <t>All Items, Consumer price index (CPI), Period average</t>
        </is>
      </c>
      <c r="G2693" s="3" t="n"/>
      <c r="H2693" s="3" t="n"/>
      <c r="I2693" s="3" t="n">
        <v>77.30476</v>
      </c>
      <c r="J2693" s="3" t="n">
        <v>78.33805</v>
      </c>
      <c r="K2693" s="3" t="n">
        <v>79.457125</v>
      </c>
      <c r="L2693" s="3" t="n">
        <v>80.797704</v>
      </c>
      <c r="M2693" s="3" t="n">
        <v>82.49077699999999</v>
      </c>
      <c r="N2693" s="3" t="n">
        <v>84.532431</v>
      </c>
      <c r="O2693" s="3" t="n">
        <v>87.99503300000001</v>
      </c>
      <c r="P2693" s="3" t="n">
        <v>90.121757</v>
      </c>
      <c r="Q2693" s="3" t="n">
        <v>92.29682</v>
      </c>
      <c r="R2693" s="3" t="n">
        <v>94.308199</v>
      </c>
      <c r="S2693" s="3" t="n">
        <v>96.974232</v>
      </c>
      <c r="T2693" s="3" t="n">
        <v>98.52982</v>
      </c>
      <c r="U2693" s="3" t="n">
        <v>99.62642099999999</v>
      </c>
      <c r="V2693" s="3" t="n">
        <v>99.771563</v>
      </c>
      <c r="W2693" s="3" t="n">
        <v>100.414167</v>
      </c>
      <c r="X2693" s="3" t="n">
        <v>101.4325</v>
      </c>
      <c r="Y2693" s="3" t="n">
        <v>102.6125</v>
      </c>
      <c r="Z2693" s="3" t="n">
        <v>103.0975</v>
      </c>
      <c r="AA2693" s="3" t="n">
        <v>102.96</v>
      </c>
      <c r="AB2693" s="3" t="n">
        <v>104.623333</v>
      </c>
      <c r="AC2693" s="3" t="n">
        <v>110.195</v>
      </c>
      <c r="AD2693" s="3" t="n">
        <v>116.73</v>
      </c>
      <c r="AE2693" s="3" t="n">
        <v>118.181667</v>
      </c>
      <c r="AF2693" s="3" t="n">
        <v>120.940624</v>
      </c>
      <c r="AG2693" s="3" t="n">
        <v>124.270102</v>
      </c>
      <c r="AH2693" s="3" t="n">
        <v>127.501125</v>
      </c>
      <c r="AI2693" s="3" t="n">
        <v>130.051147</v>
      </c>
      <c r="AJ2693" s="3" t="n">
        <v>132.65217</v>
      </c>
      <c r="AK2693" s="3" t="n">
        <v>135.305213</v>
      </c>
      <c r="AL2693" s="3" t="n">
        <v>138.011318</v>
      </c>
      <c r="AM2693" s="3" t="n"/>
      <c r="AN2693" s="3" t="n"/>
      <c r="AO2693" s="3" t="n"/>
      <c r="AP2693" s="3" t="n"/>
      <c r="AQ2693" s="3" t="n"/>
      <c r="AR2693" s="3" t="n"/>
      <c r="AS2693" s="3" t="n"/>
      <c r="AT2693" s="3" t="n"/>
      <c r="AU2693" s="3" t="n"/>
    </row>
    <row r="2694">
      <c r="A2694" s="3" t="n">
        <v>2031</v>
      </c>
      <c r="B2694" s="3" t="inlineStr">
        <is>
          <t>SMR</t>
        </is>
      </c>
      <c r="C2694" s="3" t="inlineStr">
        <is>
          <t>IMF.RES:WEO</t>
        </is>
      </c>
      <c r="D2694" s="3" t="inlineStr">
        <is>
          <t>SMR.PCPIPCH.A</t>
        </is>
      </c>
      <c r="E2694" s="3" t="inlineStr">
        <is>
          <t>San Marino, Republic of</t>
        </is>
      </c>
      <c r="F2694" s="3" t="inlineStr">
        <is>
          <t>All Items, Consumer price index (CPI), Period average, percent change</t>
        </is>
      </c>
      <c r="G2694" s="3" t="n"/>
      <c r="H2694" s="3" t="n"/>
      <c r="I2694" s="3" t="n"/>
      <c r="J2694" s="3" t="n">
        <v>1.336644</v>
      </c>
      <c r="K2694" s="3" t="n">
        <v>1.428521</v>
      </c>
      <c r="L2694" s="3" t="n">
        <v>1.687173</v>
      </c>
      <c r="M2694" s="3" t="n">
        <v>2.095447</v>
      </c>
      <c r="N2694" s="3" t="n">
        <v>2.475009</v>
      </c>
      <c r="O2694" s="3" t="n">
        <v>4.096182</v>
      </c>
      <c r="P2694" s="3" t="n">
        <v>2.416869</v>
      </c>
      <c r="Q2694" s="3" t="n">
        <v>2.413471</v>
      </c>
      <c r="R2694" s="3" t="n">
        <v>2.17925</v>
      </c>
      <c r="S2694" s="3" t="n">
        <v>2.826937</v>
      </c>
      <c r="T2694" s="3" t="n">
        <v>1.604126</v>
      </c>
      <c r="U2694" s="3" t="n">
        <v>1.112963</v>
      </c>
      <c r="V2694" s="3" t="n">
        <v>0.145686</v>
      </c>
      <c r="W2694" s="3" t="n">
        <v>0.644075</v>
      </c>
      <c r="X2694" s="3" t="n">
        <v>1.014133</v>
      </c>
      <c r="Y2694" s="3" t="n">
        <v>1.163335</v>
      </c>
      <c r="Z2694" s="3" t="n">
        <v>0.472652</v>
      </c>
      <c r="AA2694" s="3" t="n">
        <v>-0.133369</v>
      </c>
      <c r="AB2694" s="3" t="n">
        <v>1.615514</v>
      </c>
      <c r="AC2694" s="3" t="n">
        <v>5.325453</v>
      </c>
      <c r="AD2694" s="3" t="n">
        <v>5.930396</v>
      </c>
      <c r="AE2694" s="3" t="n">
        <v>1.243611</v>
      </c>
      <c r="AF2694" s="3" t="n">
        <v>2.334505</v>
      </c>
      <c r="AG2694" s="3" t="n">
        <v>2.752986</v>
      </c>
      <c r="AH2694" s="3" t="n">
        <v>2.6</v>
      </c>
      <c r="AI2694" s="3" t="n">
        <v>2</v>
      </c>
      <c r="AJ2694" s="3" t="n">
        <v>2</v>
      </c>
      <c r="AK2694" s="3" t="n">
        <v>2</v>
      </c>
      <c r="AL2694" s="3" t="n">
        <v>2</v>
      </c>
      <c r="AM2694" s="3" t="n"/>
      <c r="AN2694" s="3" t="n"/>
      <c r="AO2694" s="3" t="n"/>
      <c r="AP2694" s="3" t="n"/>
      <c r="AQ2694" s="3" t="n"/>
      <c r="AR2694" s="3" t="n"/>
      <c r="AS2694" s="3" t="n"/>
      <c r="AT2694" s="3" t="n"/>
      <c r="AU2694" s="3" t="n"/>
    </row>
    <row r="2695">
      <c r="A2695" s="3" t="n">
        <v>2031</v>
      </c>
      <c r="B2695" s="3" t="inlineStr">
        <is>
          <t>SMR</t>
        </is>
      </c>
      <c r="C2695" s="3" t="inlineStr">
        <is>
          <t>IMF.RES:WEO</t>
        </is>
      </c>
      <c r="D2695" s="3" t="inlineStr">
        <is>
          <t>SMR.PPPPC.A</t>
        </is>
      </c>
      <c r="E2695" s="3" t="inlineStr">
        <is>
          <t>San Marino, Republic of</t>
        </is>
      </c>
      <c r="F2695" s="3" t="inlineStr">
        <is>
          <t>Gross domestic product (GDP), Per capita, purchasing power parity (PPP) international dollar, ICP benchmarks 2017-2021</t>
        </is>
      </c>
      <c r="G2695" s="3" t="n"/>
      <c r="H2695" s="3" t="n"/>
      <c r="I2695" s="3" t="n"/>
      <c r="J2695" s="3" t="n"/>
      <c r="K2695" s="3" t="n">
        <v>57451.553569</v>
      </c>
      <c r="L2695" s="3" t="n">
        <v>59995.144727</v>
      </c>
      <c r="M2695" s="3" t="n">
        <v>63400.682564</v>
      </c>
      <c r="N2695" s="3" t="n">
        <v>68863.052947</v>
      </c>
      <c r="O2695" s="3" t="n">
        <v>69032.76466099999</v>
      </c>
      <c r="P2695" s="3" t="n">
        <v>61614.934141</v>
      </c>
      <c r="Q2695" s="3" t="n">
        <v>57972.393168</v>
      </c>
      <c r="R2695" s="3" t="n">
        <v>53467.503913</v>
      </c>
      <c r="S2695" s="3" t="n">
        <v>49921.075158</v>
      </c>
      <c r="T2695" s="3" t="n">
        <v>49765.57258</v>
      </c>
      <c r="U2695" s="3" t="n">
        <v>49707.086353</v>
      </c>
      <c r="V2695" s="3" t="n">
        <v>51073.874104</v>
      </c>
      <c r="W2695" s="3" t="n">
        <v>52481.670175</v>
      </c>
      <c r="X2695" s="3" t="n">
        <v>53289.785872</v>
      </c>
      <c r="Y2695" s="3" t="n">
        <v>56169.269076</v>
      </c>
      <c r="Z2695" s="3" t="n">
        <v>59183.149877</v>
      </c>
      <c r="AA2695" s="3" t="n">
        <v>56761.032328</v>
      </c>
      <c r="AB2695" s="3" t="n">
        <v>65376.103636</v>
      </c>
      <c r="AC2695" s="3" t="n">
        <v>75249.079985</v>
      </c>
      <c r="AD2695" s="3" t="n">
        <v>78107.62114</v>
      </c>
      <c r="AE2695" s="3" t="n">
        <v>80600.163719</v>
      </c>
      <c r="AF2695" s="3" t="n">
        <v>83878.266427</v>
      </c>
      <c r="AG2695" s="3" t="n">
        <v>87141.48547299999</v>
      </c>
      <c r="AH2695" s="3" t="n">
        <v>89840.276801</v>
      </c>
      <c r="AI2695" s="3" t="n">
        <v>92207.116181</v>
      </c>
      <c r="AJ2695" s="3" t="n">
        <v>94763.605354</v>
      </c>
      <c r="AK2695" s="3" t="n">
        <v>97447.831561</v>
      </c>
      <c r="AL2695" s="3" t="n">
        <v>100176.380375</v>
      </c>
      <c r="AM2695" s="3" t="n"/>
      <c r="AN2695" s="3" t="n"/>
      <c r="AO2695" s="3" t="n"/>
      <c r="AP2695" s="3" t="n"/>
      <c r="AQ2695" s="3" t="n"/>
      <c r="AR2695" s="3" t="n"/>
      <c r="AS2695" s="3" t="n"/>
      <c r="AT2695" s="3" t="n"/>
      <c r="AU2695" s="3" t="n"/>
    </row>
    <row r="2696">
      <c r="A2696" s="3" t="n">
        <v>2025</v>
      </c>
      <c r="B2696" s="3" t="inlineStr">
        <is>
          <t>SMR</t>
        </is>
      </c>
      <c r="C2696" s="3" t="inlineStr">
        <is>
          <t>IMF.STA:ER</t>
        </is>
      </c>
      <c r="D2696" s="3" t="inlineStr">
        <is>
          <t>SMR.XDC_USD.PA_RT.A</t>
        </is>
      </c>
      <c r="E2696" s="3" t="inlineStr">
        <is>
          <t>San Marino, Republic of</t>
        </is>
      </c>
      <c r="F2696" s="3" t="inlineStr">
        <is>
          <t>Domestic currency per US Dollar</t>
        </is>
      </c>
      <c r="G2696" s="3" t="n">
        <v>1.08270508132601</v>
      </c>
      <c r="H2696" s="3" t="n">
        <v>1.11653308564468</v>
      </c>
      <c r="I2696" s="3" t="n">
        <v>1.05755899623965</v>
      </c>
      <c r="J2696" s="3" t="n">
        <v>0.8840479271849609</v>
      </c>
      <c r="K2696" s="3" t="n">
        <v>0.803921647747605</v>
      </c>
      <c r="L2696" s="3" t="n">
        <v>0.803800192161416</v>
      </c>
      <c r="M2696" s="3" t="n">
        <v>0.7964327309490959</v>
      </c>
      <c r="N2696" s="3" t="n">
        <v>0.7296723999840879</v>
      </c>
      <c r="O2696" s="3" t="n">
        <v>0.679922680042729</v>
      </c>
      <c r="P2696" s="3" t="n">
        <v>0.716957702016136</v>
      </c>
      <c r="Q2696" s="3" t="n">
        <v>0.754308990105979</v>
      </c>
      <c r="R2696" s="3" t="n">
        <v>0.7184138986533219</v>
      </c>
      <c r="S2696" s="3" t="n">
        <v>0.7783381204168121</v>
      </c>
      <c r="T2696" s="3" t="n">
        <v>0.752945122702002</v>
      </c>
      <c r="U2696" s="3" t="n">
        <v>0.752728196932591</v>
      </c>
      <c r="V2696" s="3" t="n">
        <v>0.901296423367096</v>
      </c>
      <c r="W2696" s="3" t="n">
        <v>0.903421436257288</v>
      </c>
      <c r="X2696" s="3" t="n">
        <v>0.88520550826938</v>
      </c>
      <c r="Y2696" s="3" t="n">
        <v>0.846772667108096</v>
      </c>
      <c r="Z2696" s="3" t="n">
        <v>0.893215581479226</v>
      </c>
      <c r="AA2696" s="3" t="n">
        <v>0.877475207233012</v>
      </c>
      <c r="AB2696" s="3" t="n">
        <v>0.8453765643679449</v>
      </c>
      <c r="AC2696" s="3" t="n">
        <v>0.950915533962108</v>
      </c>
      <c r="AD2696" s="3" t="n">
        <v>0.924709622987356</v>
      </c>
      <c r="AE2696" s="3" t="n">
        <v>0.924367447270266</v>
      </c>
      <c r="AF2696" s="3" t="n">
        <v>0.887144250370587</v>
      </c>
      <c r="AG2696" s="3" t="n"/>
      <c r="AH2696" s="3" t="n"/>
      <c r="AI2696" s="3" t="n"/>
      <c r="AJ2696" s="3" t="n"/>
      <c r="AK2696" s="3" t="n"/>
      <c r="AL2696" s="3" t="n"/>
      <c r="AM2696" s="3" t="n"/>
      <c r="AN2696" s="3" t="n"/>
      <c r="AO2696" s="3" t="n"/>
      <c r="AP2696" s="3" t="n"/>
      <c r="AQ2696" s="3" t="n"/>
      <c r="AR2696" s="3" t="n"/>
      <c r="AS2696" s="3" t="n"/>
      <c r="AT2696" s="3" t="n"/>
      <c r="AU2696" s="3" t="n"/>
    </row>
    <row r="2697">
      <c r="A2697" s="3" t="n">
        <v>2031</v>
      </c>
      <c r="B2697" s="3" t="inlineStr">
        <is>
          <t>SOM</t>
        </is>
      </c>
      <c r="C2697" s="3" t="inlineStr">
        <is>
          <t>IMF.RES:WEO</t>
        </is>
      </c>
      <c r="D2697" s="3" t="inlineStr">
        <is>
          <t>SOM.BCA.A</t>
        </is>
      </c>
      <c r="E2697" s="3" t="inlineStr">
        <is>
          <t>Somalia</t>
        </is>
      </c>
      <c r="F2697" s="3" t="inlineStr">
        <is>
          <t>Current account balance (credit less debit), US dollar</t>
        </is>
      </c>
      <c r="G2697" s="3" t="n"/>
      <c r="H2697" s="3" t="n"/>
      <c r="I2697" s="3" t="n"/>
      <c r="J2697" s="3" t="n"/>
      <c r="K2697" s="3" t="n"/>
      <c r="L2697" s="3" t="n"/>
      <c r="M2697" s="3" t="n"/>
      <c r="N2697" s="3" t="n"/>
      <c r="O2697" s="3" t="n"/>
      <c r="P2697" s="3" t="n"/>
      <c r="Q2697" s="3" t="n"/>
      <c r="R2697" s="3" t="n"/>
      <c r="S2697" s="3" t="n"/>
      <c r="T2697" s="3" t="n">
        <v>-0.372059</v>
      </c>
      <c r="U2697" s="3" t="n">
        <v>-0.147363</v>
      </c>
      <c r="V2697" s="3" t="n">
        <v>-0.14584</v>
      </c>
      <c r="W2697" s="3" t="n">
        <v>-0.408042</v>
      </c>
      <c r="X2697" s="3" t="n">
        <v>-0.293818</v>
      </c>
      <c r="Y2697" s="3" t="n">
        <v>-0.250204</v>
      </c>
      <c r="Z2697" s="3" t="n">
        <v>-0.836598</v>
      </c>
      <c r="AA2697" s="3" t="n">
        <v>-0.403597</v>
      </c>
      <c r="AB2697" s="3" t="n">
        <v>-0.6690970000000001</v>
      </c>
      <c r="AC2697" s="3" t="n">
        <v>-0.876679</v>
      </c>
      <c r="AD2697" s="3" t="n">
        <v>-0.973434</v>
      </c>
      <c r="AE2697" s="3" t="n">
        <v>-1.112228</v>
      </c>
      <c r="AF2697" s="3" t="n">
        <v>-1.228906</v>
      </c>
      <c r="AG2697" s="3" t="n">
        <v>-1.230487</v>
      </c>
      <c r="AH2697" s="3" t="n">
        <v>-1.492412</v>
      </c>
      <c r="AI2697" s="3" t="n">
        <v>-1.742756</v>
      </c>
      <c r="AJ2697" s="3" t="n">
        <v>-2.085448</v>
      </c>
      <c r="AK2697" s="3" t="n">
        <v>-2.304663</v>
      </c>
      <c r="AL2697" s="3" t="n">
        <v>-2.260641</v>
      </c>
      <c r="AM2697" s="3" t="n"/>
      <c r="AN2697" s="3" t="n"/>
      <c r="AO2697" s="3" t="n"/>
      <c r="AP2697" s="3" t="n"/>
      <c r="AQ2697" s="3" t="n"/>
      <c r="AR2697" s="3" t="n"/>
      <c r="AS2697" s="3" t="n"/>
      <c r="AT2697" s="3" t="n"/>
      <c r="AU2697" s="3" t="n"/>
    </row>
    <row r="2698">
      <c r="A2698" s="3" t="n">
        <v>2031</v>
      </c>
      <c r="B2698" s="3" t="inlineStr">
        <is>
          <t>SOM</t>
        </is>
      </c>
      <c r="C2698" s="3" t="inlineStr">
        <is>
          <t>IMF.RES:WEO</t>
        </is>
      </c>
      <c r="D2698" s="3" t="inlineStr">
        <is>
          <t>SOM.BCA_NGDPD.A</t>
        </is>
      </c>
      <c r="E2698" s="3" t="inlineStr">
        <is>
          <t>Somalia</t>
        </is>
      </c>
      <c r="F2698" s="3" t="inlineStr">
        <is>
          <t>Current account balance (credit less debit), Percent of GDP</t>
        </is>
      </c>
      <c r="G2698" s="3" t="n"/>
      <c r="H2698" s="3" t="n"/>
      <c r="I2698" s="3" t="n"/>
      <c r="J2698" s="3" t="n"/>
      <c r="K2698" s="3" t="n"/>
      <c r="L2698" s="3" t="n"/>
      <c r="M2698" s="3" t="n"/>
      <c r="N2698" s="3" t="n"/>
      <c r="O2698" s="3" t="n"/>
      <c r="P2698" s="3" t="n"/>
      <c r="Q2698" s="3" t="n"/>
      <c r="R2698" s="3" t="n"/>
      <c r="S2698" s="3" t="n"/>
      <c r="T2698" s="3" t="n">
        <v>-6.339508</v>
      </c>
      <c r="U2698" s="3" t="n">
        <v>-2.287042</v>
      </c>
      <c r="V2698" s="3" t="n">
        <v>-2.131889</v>
      </c>
      <c r="W2698" s="3" t="n">
        <v>-5.520948</v>
      </c>
      <c r="X2698" s="3" t="n">
        <v>-3.560397</v>
      </c>
      <c r="Y2698" s="3" t="n">
        <v>-3.177998</v>
      </c>
      <c r="Z2698" s="3" t="n">
        <v>-9.666060999999999</v>
      </c>
      <c r="AA2698" s="3" t="n">
        <v>-4.677763</v>
      </c>
      <c r="AB2698" s="3" t="n">
        <v>-7.055011</v>
      </c>
      <c r="AC2698" s="3" t="n">
        <v>-8.592366</v>
      </c>
      <c r="AD2698" s="3" t="n">
        <v>-8.874796999999999</v>
      </c>
      <c r="AE2698" s="3" t="n">
        <v>-9.145716999999999</v>
      </c>
      <c r="AF2698" s="3" t="n">
        <v>-9.485117000000001</v>
      </c>
      <c r="AG2698" s="3" t="n">
        <v>-8.681065</v>
      </c>
      <c r="AH2698" s="3" t="n">
        <v>-9.604172999999999</v>
      </c>
      <c r="AI2698" s="3" t="n">
        <v>-10.32738</v>
      </c>
      <c r="AJ2698" s="3" t="n">
        <v>-11.370499</v>
      </c>
      <c r="AK2698" s="3" t="n">
        <v>-11.609696</v>
      </c>
      <c r="AL2698" s="3" t="n">
        <v>-10.279837</v>
      </c>
      <c r="AM2698" s="3" t="n"/>
      <c r="AN2698" s="3" t="n"/>
      <c r="AO2698" s="3" t="n"/>
      <c r="AP2698" s="3" t="n"/>
      <c r="AQ2698" s="3" t="n"/>
      <c r="AR2698" s="3" t="n"/>
      <c r="AS2698" s="3" t="n"/>
      <c r="AT2698" s="3" t="n"/>
      <c r="AU2698" s="3" t="n"/>
    </row>
    <row r="2699">
      <c r="A2699" s="3" t="n">
        <v>2031</v>
      </c>
      <c r="B2699" s="3" t="inlineStr">
        <is>
          <t>SOM</t>
        </is>
      </c>
      <c r="C2699" s="3" t="inlineStr">
        <is>
          <t>IMF.RES:WEO</t>
        </is>
      </c>
      <c r="D2699" s="3" t="inlineStr">
        <is>
          <t>SOM.GGR_NGDP.A</t>
        </is>
      </c>
      <c r="E2699" s="3" t="inlineStr">
        <is>
          <t>Somalia</t>
        </is>
      </c>
      <c r="F2699" s="3" t="inlineStr">
        <is>
          <t>Revenue, General government, Percent of GDP</t>
        </is>
      </c>
      <c r="G2699" s="3" t="n"/>
      <c r="H2699" s="3" t="n"/>
      <c r="I2699" s="3" t="n"/>
      <c r="J2699" s="3" t="n"/>
      <c r="K2699" s="3" t="n"/>
      <c r="L2699" s="3" t="n"/>
      <c r="M2699" s="3" t="n"/>
      <c r="N2699" s="3" t="n"/>
      <c r="O2699" s="3" t="n"/>
      <c r="P2699" s="3" t="n"/>
      <c r="Q2699" s="3" t="n"/>
      <c r="R2699" s="3" t="n"/>
      <c r="S2699" s="3" t="n"/>
      <c r="T2699" s="3" t="n">
        <v>1.888444</v>
      </c>
      <c r="U2699" s="3" t="n">
        <v>2.254644</v>
      </c>
      <c r="V2699" s="3" t="n">
        <v>2.063964</v>
      </c>
      <c r="W2699" s="3" t="n">
        <v>2.31448</v>
      </c>
      <c r="X2699" s="3" t="n">
        <v>3.254151</v>
      </c>
      <c r="Y2699" s="3" t="n">
        <v>3.431567</v>
      </c>
      <c r="Z2699" s="3" t="n">
        <v>3.908797</v>
      </c>
      <c r="AA2699" s="3" t="n">
        <v>5.7594</v>
      </c>
      <c r="AB2699" s="3" t="n">
        <v>3.970225</v>
      </c>
      <c r="AC2699" s="3" t="n">
        <v>7.075673</v>
      </c>
      <c r="AD2699" s="3" t="n">
        <v>6.729347</v>
      </c>
      <c r="AE2699" s="3" t="n">
        <v>7.525587</v>
      </c>
      <c r="AF2699" s="3" t="n">
        <v>7.187865</v>
      </c>
      <c r="AG2699" s="3" t="n">
        <v>7.175981</v>
      </c>
      <c r="AH2699" s="3" t="n">
        <v>6.196634</v>
      </c>
      <c r="AI2699" s="3" t="n">
        <v>5.751905</v>
      </c>
      <c r="AJ2699" s="3" t="n">
        <v>5.201171</v>
      </c>
      <c r="AK2699" s="3" t="n">
        <v>5.219636</v>
      </c>
      <c r="AL2699" s="3" t="n">
        <v>5.120821</v>
      </c>
      <c r="AM2699" s="3" t="n"/>
      <c r="AN2699" s="3" t="n"/>
      <c r="AO2699" s="3" t="n"/>
      <c r="AP2699" s="3" t="n"/>
      <c r="AQ2699" s="3" t="n"/>
      <c r="AR2699" s="3" t="n"/>
      <c r="AS2699" s="3" t="n"/>
      <c r="AT2699" s="3" t="n"/>
      <c r="AU2699" s="3" t="n"/>
    </row>
    <row r="2700">
      <c r="A2700" s="3" t="n">
        <v>2031</v>
      </c>
      <c r="B2700" s="3" t="inlineStr">
        <is>
          <t>SOM</t>
        </is>
      </c>
      <c r="C2700" s="3" t="inlineStr">
        <is>
          <t>IMF.RES:WEO</t>
        </is>
      </c>
      <c r="D2700" s="3" t="inlineStr">
        <is>
          <t>SOM.GGX_NGDP.A</t>
        </is>
      </c>
      <c r="E2700" s="3" t="inlineStr">
        <is>
          <t>Somalia</t>
        </is>
      </c>
      <c r="F2700" s="3" t="inlineStr">
        <is>
          <t>Expenditure, General government, Percent of GDP</t>
        </is>
      </c>
      <c r="G2700" s="3" t="n"/>
      <c r="H2700" s="3" t="n"/>
      <c r="I2700" s="3" t="n"/>
      <c r="J2700" s="3" t="n"/>
      <c r="K2700" s="3" t="n"/>
      <c r="L2700" s="3" t="n"/>
      <c r="M2700" s="3" t="n"/>
      <c r="N2700" s="3" t="n"/>
      <c r="O2700" s="3" t="n"/>
      <c r="P2700" s="3" t="n"/>
      <c r="Q2700" s="3" t="n"/>
      <c r="R2700" s="3" t="n"/>
      <c r="S2700" s="3" t="n"/>
      <c r="T2700" s="3" t="n">
        <v>2.00144</v>
      </c>
      <c r="U2700" s="3" t="n">
        <v>2.310184</v>
      </c>
      <c r="V2700" s="3" t="n">
        <v>1.822235</v>
      </c>
      <c r="W2700" s="3" t="n">
        <v>1.853662</v>
      </c>
      <c r="X2700" s="3" t="n">
        <v>2.879955</v>
      </c>
      <c r="Y2700" s="3" t="n">
        <v>3.400925</v>
      </c>
      <c r="Z2700" s="3" t="n">
        <v>3.633241</v>
      </c>
      <c r="AA2700" s="3" t="n">
        <v>5.472849</v>
      </c>
      <c r="AB2700" s="3" t="n">
        <v>4.852286</v>
      </c>
      <c r="AC2700" s="3" t="n">
        <v>7.052157</v>
      </c>
      <c r="AD2700" s="3" t="n">
        <v>6.681556</v>
      </c>
      <c r="AE2700" s="3" t="n">
        <v>7.360118</v>
      </c>
      <c r="AF2700" s="3" t="n">
        <v>7.485157</v>
      </c>
      <c r="AG2700" s="3" t="n">
        <v>7.766587</v>
      </c>
      <c r="AH2700" s="3" t="n">
        <v>6.97404</v>
      </c>
      <c r="AI2700" s="3" t="n">
        <v>6.970329</v>
      </c>
      <c r="AJ2700" s="3" t="n">
        <v>7.172879</v>
      </c>
      <c r="AK2700" s="3" t="n">
        <v>7.210028</v>
      </c>
      <c r="AL2700" s="3" t="n">
        <v>7.229004</v>
      </c>
      <c r="AM2700" s="3" t="n"/>
      <c r="AN2700" s="3" t="n"/>
      <c r="AO2700" s="3" t="n"/>
      <c r="AP2700" s="3" t="n"/>
      <c r="AQ2700" s="3" t="n"/>
      <c r="AR2700" s="3" t="n"/>
      <c r="AS2700" s="3" t="n"/>
      <c r="AT2700" s="3" t="n"/>
      <c r="AU2700" s="3" t="n"/>
    </row>
    <row r="2701">
      <c r="A2701" s="3" t="n">
        <v>2031</v>
      </c>
      <c r="B2701" s="3" t="inlineStr">
        <is>
          <t>SOM</t>
        </is>
      </c>
      <c r="C2701" s="3" t="inlineStr">
        <is>
          <t>IMF.RES:WEO</t>
        </is>
      </c>
      <c r="D2701" s="3" t="inlineStr">
        <is>
          <t>SOM.LP.A</t>
        </is>
      </c>
      <c r="E2701" s="3" t="inlineStr">
        <is>
          <t>Somalia</t>
        </is>
      </c>
      <c r="F2701" s="3" t="inlineStr">
        <is>
          <t>Population, Persons for countries / Index for country groups</t>
        </is>
      </c>
      <c r="G2701" s="3" t="n"/>
      <c r="H2701" s="3" t="n"/>
      <c r="I2701" s="3" t="n"/>
      <c r="J2701" s="3" t="n"/>
      <c r="K2701" s="3" t="n"/>
      <c r="L2701" s="3" t="n"/>
      <c r="M2701" s="3" t="n"/>
      <c r="N2701" s="3" t="n"/>
      <c r="O2701" s="3" t="n"/>
      <c r="P2701" s="3" t="n"/>
      <c r="Q2701" s="3" t="n"/>
      <c r="R2701" s="3" t="n"/>
      <c r="S2701" s="3" t="n">
        <v>11.846355</v>
      </c>
      <c r="T2701" s="3" t="n">
        <v>12.178052</v>
      </c>
      <c r="U2701" s="3" t="n">
        <v>12.519038</v>
      </c>
      <c r="V2701" s="3" t="n">
        <v>12.869571</v>
      </c>
      <c r="W2701" s="3" t="n">
        <v>13.229919</v>
      </c>
      <c r="X2701" s="3" t="n">
        <v>13.600357</v>
      </c>
      <c r="Y2701" s="3" t="n">
        <v>13.981167</v>
      </c>
      <c r="Z2701" s="3" t="n">
        <v>14.372639</v>
      </c>
      <c r="AA2701" s="3" t="n">
        <v>14.775073</v>
      </c>
      <c r="AB2701" s="3" t="n">
        <v>15.188775</v>
      </c>
      <c r="AC2701" s="3" t="n">
        <v>15.614061</v>
      </c>
      <c r="AD2701" s="3" t="n">
        <v>16.051255</v>
      </c>
      <c r="AE2701" s="3" t="n">
        <v>16.50069</v>
      </c>
      <c r="AF2701" s="3" t="n">
        <v>16.962709</v>
      </c>
      <c r="AG2701" s="3" t="n">
        <v>17.437665</v>
      </c>
      <c r="AH2701" s="3" t="n">
        <v>17.92592</v>
      </c>
      <c r="AI2701" s="3" t="n">
        <v>18.427845</v>
      </c>
      <c r="AJ2701" s="3" t="n">
        <v>18.943825</v>
      </c>
      <c r="AK2701" s="3" t="n">
        <v>19.474252</v>
      </c>
      <c r="AL2701" s="3" t="n">
        <v>20.019531</v>
      </c>
      <c r="AM2701" s="3" t="n"/>
      <c r="AN2701" s="3" t="n"/>
      <c r="AO2701" s="3" t="n"/>
      <c r="AP2701" s="3" t="n"/>
      <c r="AQ2701" s="3" t="n"/>
      <c r="AR2701" s="3" t="n"/>
      <c r="AS2701" s="3" t="n"/>
      <c r="AT2701" s="3" t="n"/>
      <c r="AU2701" s="3" t="n"/>
    </row>
    <row r="2702">
      <c r="A2702" s="3" t="n">
        <v>2031</v>
      </c>
      <c r="B2702" s="3" t="inlineStr">
        <is>
          <t>SOM</t>
        </is>
      </c>
      <c r="C2702" s="3" t="inlineStr">
        <is>
          <t>IMF.RES:WEO</t>
        </is>
      </c>
      <c r="D2702" s="3" t="inlineStr">
        <is>
          <t>SOM.NGDP.A</t>
        </is>
      </c>
      <c r="E2702" s="3" t="inlineStr">
        <is>
          <t>Somalia</t>
        </is>
      </c>
      <c r="F2702" s="3" t="inlineStr">
        <is>
          <t>Gross domestic product (GDP), Current prices, Domestic currency</t>
        </is>
      </c>
      <c r="G2702" s="3" t="n"/>
      <c r="H2702" s="3" t="n"/>
      <c r="I2702" s="3" t="n"/>
      <c r="J2702" s="3" t="n"/>
      <c r="K2702" s="3" t="n"/>
      <c r="L2702" s="3" t="n"/>
      <c r="M2702" s="3" t="n"/>
      <c r="N2702" s="3" t="n"/>
      <c r="O2702" s="3" t="n"/>
      <c r="P2702" s="3" t="n"/>
      <c r="Q2702" s="3" t="n"/>
      <c r="R2702" s="3" t="n">
        <v>5.02219</v>
      </c>
      <c r="S2702" s="3" t="n">
        <v>5.1829</v>
      </c>
      <c r="T2702" s="3" t="n">
        <v>5.8689</v>
      </c>
      <c r="U2702" s="3" t="n">
        <v>6.4434</v>
      </c>
      <c r="V2702" s="3" t="n">
        <v>6.8409</v>
      </c>
      <c r="W2702" s="3" t="n">
        <v>7.390797</v>
      </c>
      <c r="X2702" s="3" t="n">
        <v>8.252394000000001</v>
      </c>
      <c r="Y2702" s="3" t="n">
        <v>7.873</v>
      </c>
      <c r="Z2702" s="3" t="n">
        <v>8.654999999999999</v>
      </c>
      <c r="AA2702" s="3" t="n">
        <v>8.628</v>
      </c>
      <c r="AB2702" s="3" t="n">
        <v>9.484</v>
      </c>
      <c r="AC2702" s="3" t="n">
        <v>10.203</v>
      </c>
      <c r="AD2702" s="3" t="n">
        <v>10.968517</v>
      </c>
      <c r="AE2702" s="3" t="n">
        <v>12.161191</v>
      </c>
      <c r="AF2702" s="3" t="n">
        <v>12.956145</v>
      </c>
      <c r="AG2702" s="3" t="n">
        <v>14.174384</v>
      </c>
      <c r="AH2702" s="3" t="n">
        <v>15.539203</v>
      </c>
      <c r="AI2702" s="3" t="n">
        <v>16.875104</v>
      </c>
      <c r="AJ2702" s="3" t="n">
        <v>18.34087</v>
      </c>
      <c r="AK2702" s="3" t="n">
        <v>19.851193</v>
      </c>
      <c r="AL2702" s="3" t="n">
        <v>21.991019</v>
      </c>
      <c r="AM2702" s="3" t="n"/>
      <c r="AN2702" s="3" t="n"/>
      <c r="AO2702" s="3" t="n"/>
      <c r="AP2702" s="3" t="n"/>
      <c r="AQ2702" s="3" t="n"/>
      <c r="AR2702" s="3" t="n"/>
      <c r="AS2702" s="3" t="n"/>
      <c r="AT2702" s="3" t="n"/>
      <c r="AU2702" s="3" t="n"/>
    </row>
    <row r="2703">
      <c r="A2703" s="3" t="n">
        <v>2031</v>
      </c>
      <c r="B2703" s="3" t="inlineStr">
        <is>
          <t>SOM</t>
        </is>
      </c>
      <c r="C2703" s="3" t="inlineStr">
        <is>
          <t>IMF.RES:WEO</t>
        </is>
      </c>
      <c r="D2703" s="3" t="inlineStr">
        <is>
          <t>SOM.NGDP_D.A</t>
        </is>
      </c>
      <c r="E2703" s="3" t="inlineStr">
        <is>
          <t>Somalia</t>
        </is>
      </c>
      <c r="F2703" s="3" t="inlineStr">
        <is>
          <t>Gross domestic product (GDP), Price deflator, Index</t>
        </is>
      </c>
      <c r="G2703" s="3" t="n"/>
      <c r="H2703" s="3" t="n"/>
      <c r="I2703" s="3" t="n"/>
      <c r="J2703" s="3" t="n"/>
      <c r="K2703" s="3" t="n"/>
      <c r="L2703" s="3" t="n"/>
      <c r="M2703" s="3" t="n"/>
      <c r="N2703" s="3" t="n"/>
      <c r="O2703" s="3" t="n"/>
      <c r="P2703" s="3" t="n"/>
      <c r="Q2703" s="3" t="n"/>
      <c r="R2703" s="3" t="n">
        <v>65.888694</v>
      </c>
      <c r="S2703" s="3" t="n">
        <v>67.190842</v>
      </c>
      <c r="T2703" s="3" t="n">
        <v>72.011927</v>
      </c>
      <c r="U2703" s="3" t="n">
        <v>76.94714500000001</v>
      </c>
      <c r="V2703" s="3" t="n">
        <v>78.109407</v>
      </c>
      <c r="W2703" s="3" t="n">
        <v>85.47765699999999</v>
      </c>
      <c r="X2703" s="3" t="n">
        <v>87.161855</v>
      </c>
      <c r="Y2703" s="3" t="n">
        <v>82.00621</v>
      </c>
      <c r="Z2703" s="3" t="n">
        <v>87.675398</v>
      </c>
      <c r="AA2703" s="3" t="n">
        <v>89.875699</v>
      </c>
      <c r="AB2703" s="3" t="n">
        <v>95.490167</v>
      </c>
      <c r="AC2703" s="3" t="n">
        <v>100.002281</v>
      </c>
      <c r="AD2703" s="3" t="n">
        <v>103.155869</v>
      </c>
      <c r="AE2703" s="3" t="n">
        <v>109.868048</v>
      </c>
      <c r="AF2703" s="3" t="n">
        <v>113.640694</v>
      </c>
      <c r="AG2703" s="3" t="n">
        <v>121.175518</v>
      </c>
      <c r="AH2703" s="3" t="n">
        <v>128.848918</v>
      </c>
      <c r="AI2703" s="3" t="n">
        <v>135.063728</v>
      </c>
      <c r="AJ2703" s="3" t="n">
        <v>141.149348</v>
      </c>
      <c r="AK2703" s="3" t="n">
        <v>146.75565</v>
      </c>
      <c r="AL2703" s="3" t="n">
        <v>156.022003</v>
      </c>
      <c r="AM2703" s="3" t="n"/>
      <c r="AN2703" s="3" t="n"/>
      <c r="AO2703" s="3" t="n"/>
      <c r="AP2703" s="3" t="n"/>
      <c r="AQ2703" s="3" t="n"/>
      <c r="AR2703" s="3" t="n"/>
      <c r="AS2703" s="3" t="n"/>
      <c r="AT2703" s="3" t="n"/>
      <c r="AU2703" s="3" t="n"/>
    </row>
    <row r="2704">
      <c r="A2704" s="3" t="n">
        <v>2031</v>
      </c>
      <c r="B2704" s="3" t="inlineStr">
        <is>
          <t>SOM</t>
        </is>
      </c>
      <c r="C2704" s="3" t="inlineStr">
        <is>
          <t>IMF.RES:WEO</t>
        </is>
      </c>
      <c r="D2704" s="3" t="inlineStr">
        <is>
          <t>SOM.NGDP_R.A</t>
        </is>
      </c>
      <c r="E2704" s="3" t="inlineStr">
        <is>
          <t>Somalia</t>
        </is>
      </c>
      <c r="F2704" s="3" t="inlineStr">
        <is>
          <t>Gross domestic product (GDP), Constant prices, Domestic currency</t>
        </is>
      </c>
      <c r="G2704" s="3" t="n"/>
      <c r="H2704" s="3" t="n"/>
      <c r="I2704" s="3" t="n"/>
      <c r="J2704" s="3" t="n"/>
      <c r="K2704" s="3" t="n"/>
      <c r="L2704" s="3" t="n"/>
      <c r="M2704" s="3" t="n"/>
      <c r="N2704" s="3" t="n"/>
      <c r="O2704" s="3" t="n"/>
      <c r="P2704" s="3" t="n"/>
      <c r="Q2704" s="3" t="n"/>
      <c r="R2704" s="3" t="n">
        <v>7.622233</v>
      </c>
      <c r="S2704" s="3" t="n">
        <v>7.7137</v>
      </c>
      <c r="T2704" s="3" t="n">
        <v>8.149900000000001</v>
      </c>
      <c r="U2704" s="3" t="n">
        <v>8.373799999999999</v>
      </c>
      <c r="V2704" s="3" t="n">
        <v>8.758100000000001</v>
      </c>
      <c r="W2704" s="3" t="n">
        <v>8.646466</v>
      </c>
      <c r="X2704" s="3" t="n">
        <v>9.467897000000001</v>
      </c>
      <c r="Y2704" s="3" t="n">
        <v>9.600491999999999</v>
      </c>
      <c r="Z2704" s="3" t="n">
        <v>9.871639999999999</v>
      </c>
      <c r="AA2704" s="3" t="n">
        <v>9.599925000000001</v>
      </c>
      <c r="AB2704" s="3" t="n">
        <v>9.931913</v>
      </c>
      <c r="AC2704" s="3" t="n">
        <v>10.202767</v>
      </c>
      <c r="AD2704" s="3" t="n">
        <v>10.632955</v>
      </c>
      <c r="AE2704" s="3" t="n">
        <v>11.068906</v>
      </c>
      <c r="AF2704" s="3" t="n">
        <v>11.400973</v>
      </c>
      <c r="AG2704" s="3" t="n">
        <v>11.697399</v>
      </c>
      <c r="AH2704" s="3" t="n">
        <v>12.060018</v>
      </c>
      <c r="AI2704" s="3" t="n">
        <v>12.494179</v>
      </c>
      <c r="AJ2704" s="3" t="n">
        <v>12.993946</v>
      </c>
      <c r="AK2704" s="3" t="n">
        <v>13.526698</v>
      </c>
      <c r="AL2704" s="3" t="n">
        <v>14.094819</v>
      </c>
      <c r="AM2704" s="3" t="n"/>
      <c r="AN2704" s="3" t="n"/>
      <c r="AO2704" s="3" t="n"/>
      <c r="AP2704" s="3" t="n"/>
      <c r="AQ2704" s="3" t="n"/>
      <c r="AR2704" s="3" t="n"/>
      <c r="AS2704" s="3" t="n"/>
      <c r="AT2704" s="3" t="n"/>
      <c r="AU2704" s="3" t="n"/>
    </row>
    <row r="2705">
      <c r="A2705" s="3" t="n">
        <v>2031</v>
      </c>
      <c r="B2705" s="3" t="inlineStr">
        <is>
          <t>SOM</t>
        </is>
      </c>
      <c r="C2705" s="3" t="inlineStr">
        <is>
          <t>IMF.RES:WEO</t>
        </is>
      </c>
      <c r="D2705" s="3" t="inlineStr">
        <is>
          <t>SOM.NGDP_RPCH.A</t>
        </is>
      </c>
      <c r="E2705" s="3" t="inlineStr">
        <is>
          <t>Somalia</t>
        </is>
      </c>
      <c r="F2705" s="3" t="inlineStr">
        <is>
          <t>Gross domestic product (GDP), Constant prices, Percent change</t>
        </is>
      </c>
      <c r="G2705" s="3" t="n"/>
      <c r="H2705" s="3" t="n"/>
      <c r="I2705" s="3" t="n"/>
      <c r="J2705" s="3" t="n"/>
      <c r="K2705" s="3" t="n"/>
      <c r="L2705" s="3" t="n"/>
      <c r="M2705" s="3" t="n"/>
      <c r="N2705" s="3" t="n"/>
      <c r="O2705" s="3" t="n"/>
      <c r="P2705" s="3" t="n"/>
      <c r="Q2705" s="3" t="n"/>
      <c r="R2705" s="3" t="n"/>
      <c r="S2705" s="3" t="n">
        <v>1.2</v>
      </c>
      <c r="T2705" s="3" t="n">
        <v>5.654874</v>
      </c>
      <c r="U2705" s="3" t="n">
        <v>2.747273</v>
      </c>
      <c r="V2705" s="3" t="n">
        <v>4.589314</v>
      </c>
      <c r="W2705" s="3" t="n">
        <v>-1.274637</v>
      </c>
      <c r="X2705" s="3" t="n">
        <v>9.50019</v>
      </c>
      <c r="Y2705" s="3" t="n">
        <v>1.400477</v>
      </c>
      <c r="Z2705" s="3" t="n">
        <v>2.824313</v>
      </c>
      <c r="AA2705" s="3" t="n">
        <v>-2.752481</v>
      </c>
      <c r="AB2705" s="3" t="n">
        <v>3.458228</v>
      </c>
      <c r="AC2705" s="3" t="n">
        <v>2.727114</v>
      </c>
      <c r="AD2705" s="3" t="n">
        <v>4.216384</v>
      </c>
      <c r="AE2705" s="3" t="n">
        <v>4.1</v>
      </c>
      <c r="AF2705" s="3" t="n">
        <v>3</v>
      </c>
      <c r="AG2705" s="3" t="n">
        <v>2.6</v>
      </c>
      <c r="AH2705" s="3" t="n">
        <v>3.1</v>
      </c>
      <c r="AI2705" s="3" t="n">
        <v>3.6</v>
      </c>
      <c r="AJ2705" s="3" t="n">
        <v>4</v>
      </c>
      <c r="AK2705" s="3" t="n">
        <v>4.1</v>
      </c>
      <c r="AL2705" s="3" t="n">
        <v>4.2</v>
      </c>
      <c r="AM2705" s="3" t="n"/>
      <c r="AN2705" s="3" t="n"/>
      <c r="AO2705" s="3" t="n"/>
      <c r="AP2705" s="3" t="n"/>
      <c r="AQ2705" s="3" t="n"/>
      <c r="AR2705" s="3" t="n"/>
      <c r="AS2705" s="3" t="n"/>
      <c r="AT2705" s="3" t="n"/>
      <c r="AU2705" s="3" t="n"/>
    </row>
    <row r="2706">
      <c r="A2706" s="3" t="n">
        <v>2031</v>
      </c>
      <c r="B2706" s="3" t="inlineStr">
        <is>
          <t>SOM</t>
        </is>
      </c>
      <c r="C2706" s="3" t="inlineStr">
        <is>
          <t>IMF.RES:WEO</t>
        </is>
      </c>
      <c r="D2706" s="3" t="inlineStr">
        <is>
          <t>SOM.NGDPD.A</t>
        </is>
      </c>
      <c r="E2706" s="3" t="inlineStr">
        <is>
          <t>Somalia</t>
        </is>
      </c>
      <c r="F2706" s="3" t="inlineStr">
        <is>
          <t>Gross domestic product (GDP), Current prices, US dollar</t>
        </is>
      </c>
      <c r="G2706" s="3" t="n"/>
      <c r="H2706" s="3" t="n"/>
      <c r="I2706" s="3" t="n"/>
      <c r="J2706" s="3" t="n"/>
      <c r="K2706" s="3" t="n"/>
      <c r="L2706" s="3" t="n"/>
      <c r="M2706" s="3" t="n"/>
      <c r="N2706" s="3" t="n"/>
      <c r="O2706" s="3" t="n"/>
      <c r="P2706" s="3" t="n"/>
      <c r="Q2706" s="3" t="n"/>
      <c r="R2706" s="3" t="n">
        <v>5.02219</v>
      </c>
      <c r="S2706" s="3" t="n">
        <v>5.1829</v>
      </c>
      <c r="T2706" s="3" t="n">
        <v>5.8689</v>
      </c>
      <c r="U2706" s="3" t="n">
        <v>6.4434</v>
      </c>
      <c r="V2706" s="3" t="n">
        <v>6.8409</v>
      </c>
      <c r="W2706" s="3" t="n">
        <v>7.390797</v>
      </c>
      <c r="X2706" s="3" t="n">
        <v>8.252394000000001</v>
      </c>
      <c r="Y2706" s="3" t="n">
        <v>7.873</v>
      </c>
      <c r="Z2706" s="3" t="n">
        <v>8.654999999999999</v>
      </c>
      <c r="AA2706" s="3" t="n">
        <v>8.628</v>
      </c>
      <c r="AB2706" s="3" t="n">
        <v>9.484</v>
      </c>
      <c r="AC2706" s="3" t="n">
        <v>10.203</v>
      </c>
      <c r="AD2706" s="3" t="n">
        <v>10.968517</v>
      </c>
      <c r="AE2706" s="3" t="n">
        <v>12.161191</v>
      </c>
      <c r="AF2706" s="3" t="n">
        <v>12.956145</v>
      </c>
      <c r="AG2706" s="3" t="n">
        <v>14.174384</v>
      </c>
      <c r="AH2706" s="3" t="n">
        <v>15.539203</v>
      </c>
      <c r="AI2706" s="3" t="n">
        <v>16.875104</v>
      </c>
      <c r="AJ2706" s="3" t="n">
        <v>18.34087</v>
      </c>
      <c r="AK2706" s="3" t="n">
        <v>19.851193</v>
      </c>
      <c r="AL2706" s="3" t="n">
        <v>21.991019</v>
      </c>
      <c r="AM2706" s="3" t="n"/>
      <c r="AN2706" s="3" t="n"/>
      <c r="AO2706" s="3" t="n"/>
      <c r="AP2706" s="3" t="n"/>
      <c r="AQ2706" s="3" t="n"/>
      <c r="AR2706" s="3" t="n"/>
      <c r="AS2706" s="3" t="n"/>
      <c r="AT2706" s="3" t="n"/>
      <c r="AU2706" s="3" t="n"/>
    </row>
    <row r="2707">
      <c r="A2707" s="3" t="n">
        <v>2031</v>
      </c>
      <c r="B2707" s="3" t="inlineStr">
        <is>
          <t>SOM</t>
        </is>
      </c>
      <c r="C2707" s="3" t="inlineStr">
        <is>
          <t>IMF.RES:WEO</t>
        </is>
      </c>
      <c r="D2707" s="3" t="inlineStr">
        <is>
          <t>SOM.NGDPPC.A</t>
        </is>
      </c>
      <c r="E2707" s="3" t="inlineStr">
        <is>
          <t>Somalia</t>
        </is>
      </c>
      <c r="F2707" s="3" t="inlineStr">
        <is>
          <t>Gross domestic product (GDP), Current prices, Per capita, Domestic currency</t>
        </is>
      </c>
      <c r="G2707" s="3" t="n"/>
      <c r="H2707" s="3" t="n"/>
      <c r="I2707" s="3" t="n"/>
      <c r="J2707" s="3" t="n"/>
      <c r="K2707" s="3" t="n"/>
      <c r="L2707" s="3" t="n"/>
      <c r="M2707" s="3" t="n"/>
      <c r="N2707" s="3" t="n"/>
      <c r="O2707" s="3" t="n"/>
      <c r="P2707" s="3" t="n"/>
      <c r="Q2707" s="3" t="n"/>
      <c r="R2707" s="3" t="n"/>
      <c r="S2707" s="3" t="n">
        <v>437.51012</v>
      </c>
      <c r="T2707" s="3" t="n">
        <v>481.924348</v>
      </c>
      <c r="U2707" s="3" t="n">
        <v>514.688111</v>
      </c>
      <c r="V2707" s="3" t="n">
        <v>531.556179</v>
      </c>
      <c r="W2707" s="3" t="n">
        <v>558.64262</v>
      </c>
      <c r="X2707" s="3" t="n">
        <v>606.777788</v>
      </c>
      <c r="Y2707" s="3" t="n">
        <v>563.1146639999999</v>
      </c>
      <c r="Z2707" s="3" t="n">
        <v>602.185845</v>
      </c>
      <c r="AA2707" s="3" t="n">
        <v>583.956494</v>
      </c>
      <c r="AB2707" s="3" t="n">
        <v>624.408472</v>
      </c>
      <c r="AC2707" s="3" t="n">
        <v>653.449475</v>
      </c>
      <c r="AD2707" s="3" t="n">
        <v>683.343295</v>
      </c>
      <c r="AE2707" s="3" t="n">
        <v>737.011077</v>
      </c>
      <c r="AF2707" s="3" t="n">
        <v>763.801659</v>
      </c>
      <c r="AG2707" s="3" t="n">
        <v>812.860184</v>
      </c>
      <c r="AH2707" s="3" t="n">
        <v>866.856662</v>
      </c>
      <c r="AI2707" s="3" t="n">
        <v>915.739378</v>
      </c>
      <c r="AJ2707" s="3" t="n">
        <v>968.171415</v>
      </c>
      <c r="AK2707" s="3" t="n">
        <v>1019.355866</v>
      </c>
      <c r="AL2707" s="3" t="n">
        <v>1098.478217</v>
      </c>
      <c r="AM2707" s="3" t="n"/>
      <c r="AN2707" s="3" t="n"/>
      <c r="AO2707" s="3" t="n"/>
      <c r="AP2707" s="3" t="n"/>
      <c r="AQ2707" s="3" t="n"/>
      <c r="AR2707" s="3" t="n"/>
      <c r="AS2707" s="3" t="n"/>
      <c r="AT2707" s="3" t="n"/>
      <c r="AU2707" s="3" t="n"/>
    </row>
    <row r="2708">
      <c r="A2708" s="3" t="n">
        <v>2031</v>
      </c>
      <c r="B2708" s="3" t="inlineStr">
        <is>
          <t>SOM</t>
        </is>
      </c>
      <c r="C2708" s="3" t="inlineStr">
        <is>
          <t>IMF.RES:WEO</t>
        </is>
      </c>
      <c r="D2708" s="3" t="inlineStr">
        <is>
          <t>SOM.NGDPRPC.A</t>
        </is>
      </c>
      <c r="E2708" s="3" t="inlineStr">
        <is>
          <t>Somalia</t>
        </is>
      </c>
      <c r="F2708" s="3" t="inlineStr">
        <is>
          <t>Gross domestic product (GDP), Constant prices, Per capita, Domestic currency</t>
        </is>
      </c>
      <c r="G2708" s="3" t="n"/>
      <c r="H2708" s="3" t="n"/>
      <c r="I2708" s="3" t="n"/>
      <c r="J2708" s="3" t="n"/>
      <c r="K2708" s="3" t="n"/>
      <c r="L2708" s="3" t="n"/>
      <c r="M2708" s="3" t="n"/>
      <c r="N2708" s="3" t="n"/>
      <c r="O2708" s="3" t="n"/>
      <c r="P2708" s="3" t="n"/>
      <c r="Q2708" s="3" t="n"/>
      <c r="R2708" s="3" t="n"/>
      <c r="S2708" s="3" t="n">
        <v>651.145461</v>
      </c>
      <c r="T2708" s="3" t="n">
        <v>669.228517</v>
      </c>
      <c r="U2708" s="3" t="n">
        <v>668.885264</v>
      </c>
      <c r="V2708" s="3" t="n">
        <v>680.527734</v>
      </c>
      <c r="W2708" s="3" t="n">
        <v>653.5539669999999</v>
      </c>
      <c r="X2708" s="3" t="n">
        <v>696.150616</v>
      </c>
      <c r="Y2708" s="3" t="n">
        <v>686.673193</v>
      </c>
      <c r="Z2708" s="3" t="n">
        <v>686.835599</v>
      </c>
      <c r="AA2708" s="3" t="n">
        <v>649.737918</v>
      </c>
      <c r="AB2708" s="3" t="n">
        <v>653.898187</v>
      </c>
      <c r="AC2708" s="3" t="n">
        <v>653.43457</v>
      </c>
      <c r="AD2708" s="3" t="n">
        <v>662.437628</v>
      </c>
      <c r="AE2708" s="3" t="n">
        <v>670.814758</v>
      </c>
      <c r="AF2708" s="3" t="n">
        <v>672.1198450000001</v>
      </c>
      <c r="AG2708" s="3" t="n">
        <v>670.812219</v>
      </c>
      <c r="AH2708" s="3" t="n">
        <v>672.769842</v>
      </c>
      <c r="AI2708" s="3" t="n">
        <v>678.005405</v>
      </c>
      <c r="AJ2708" s="3" t="n">
        <v>685.919865</v>
      </c>
      <c r="AK2708" s="3" t="n">
        <v>694.593949</v>
      </c>
      <c r="AL2708" s="3" t="n">
        <v>704.0534</v>
      </c>
      <c r="AM2708" s="3" t="n"/>
      <c r="AN2708" s="3" t="n"/>
      <c r="AO2708" s="3" t="n"/>
      <c r="AP2708" s="3" t="n"/>
      <c r="AQ2708" s="3" t="n"/>
      <c r="AR2708" s="3" t="n"/>
      <c r="AS2708" s="3" t="n"/>
      <c r="AT2708" s="3" t="n"/>
      <c r="AU2708" s="3" t="n"/>
    </row>
    <row r="2709">
      <c r="A2709" s="3" t="n">
        <v>2031</v>
      </c>
      <c r="B2709" s="3" t="inlineStr">
        <is>
          <t>SOM</t>
        </is>
      </c>
      <c r="C2709" s="3" t="inlineStr">
        <is>
          <t>IMF.RES:WEO</t>
        </is>
      </c>
      <c r="D2709" s="3" t="inlineStr">
        <is>
          <t>SOM.PCPI.A</t>
        </is>
      </c>
      <c r="E2709" s="3" t="inlineStr">
        <is>
          <t>Somalia</t>
        </is>
      </c>
      <c r="F2709" s="3" t="inlineStr">
        <is>
          <t>All Items, Consumer price index (CPI), Period average</t>
        </is>
      </c>
      <c r="G2709" s="3" t="n"/>
      <c r="H2709" s="3" t="n"/>
      <c r="I2709" s="3" t="n"/>
      <c r="J2709" s="3" t="n"/>
      <c r="K2709" s="3" t="n"/>
      <c r="L2709" s="3" t="n"/>
      <c r="M2709" s="3" t="n"/>
      <c r="N2709" s="3" t="n"/>
      <c r="O2709" s="3" t="n"/>
      <c r="P2709" s="3" t="n"/>
      <c r="Q2709" s="3" t="n"/>
      <c r="R2709" s="3" t="n"/>
      <c r="S2709" s="3" t="n">
        <v>96.027902</v>
      </c>
      <c r="T2709" s="3" t="n">
        <v>98.716683</v>
      </c>
      <c r="U2709" s="3" t="n">
        <v>100</v>
      </c>
      <c r="V2709" s="3" t="n">
        <v>100.912615</v>
      </c>
      <c r="W2709" s="3" t="n">
        <v>100.936767</v>
      </c>
      <c r="X2709" s="3" t="n">
        <v>104.930425</v>
      </c>
      <c r="Y2709" s="3" t="n">
        <v>109.406705</v>
      </c>
      <c r="Z2709" s="3" t="n">
        <v>114.558181</v>
      </c>
      <c r="AA2709" s="3" t="n">
        <v>119.270108</v>
      </c>
      <c r="AB2709" s="3" t="n">
        <v>124.78667</v>
      </c>
      <c r="AC2709" s="3" t="n">
        <v>133.246015</v>
      </c>
      <c r="AD2709" s="3" t="n">
        <v>141.471166</v>
      </c>
      <c r="AE2709" s="3" t="n">
        <v>149.292776</v>
      </c>
      <c r="AF2709" s="3" t="n">
        <v>154.816608</v>
      </c>
      <c r="AG2709" s="3" t="n">
        <v>163.950788</v>
      </c>
      <c r="AH2709" s="3" t="n">
        <v>171.328574</v>
      </c>
      <c r="AI2709" s="3" t="n">
        <v>178.181717</v>
      </c>
      <c r="AJ2709" s="3" t="n">
        <v>184.952622</v>
      </c>
      <c r="AK2709" s="3" t="n">
        <v>191.425964</v>
      </c>
      <c r="AL2709" s="3" t="n">
        <v>197.551595</v>
      </c>
      <c r="AM2709" s="3" t="n"/>
      <c r="AN2709" s="3" t="n"/>
      <c r="AO2709" s="3" t="n"/>
      <c r="AP2709" s="3" t="n"/>
      <c r="AQ2709" s="3" t="n"/>
      <c r="AR2709" s="3" t="n"/>
      <c r="AS2709" s="3" t="n"/>
      <c r="AT2709" s="3" t="n"/>
      <c r="AU2709" s="3" t="n"/>
    </row>
    <row r="2710">
      <c r="A2710" s="3" t="n">
        <v>2031</v>
      </c>
      <c r="B2710" s="3" t="inlineStr">
        <is>
          <t>SOM</t>
        </is>
      </c>
      <c r="C2710" s="3" t="inlineStr">
        <is>
          <t>IMF.RES:WEO</t>
        </is>
      </c>
      <c r="D2710" s="3" t="inlineStr">
        <is>
          <t>SOM.PCPIPCH.A</t>
        </is>
      </c>
      <c r="E2710" s="3" t="inlineStr">
        <is>
          <t>Somalia</t>
        </is>
      </c>
      <c r="F2710" s="3" t="inlineStr">
        <is>
          <t>All Items, Consumer price index (CPI), Period average, percent change</t>
        </is>
      </c>
      <c r="G2710" s="3" t="n"/>
      <c r="H2710" s="3" t="n"/>
      <c r="I2710" s="3" t="n"/>
      <c r="J2710" s="3" t="n"/>
      <c r="K2710" s="3" t="n"/>
      <c r="L2710" s="3" t="n"/>
      <c r="M2710" s="3" t="n"/>
      <c r="N2710" s="3" t="n"/>
      <c r="O2710" s="3" t="n"/>
      <c r="P2710" s="3" t="n"/>
      <c r="Q2710" s="3" t="n"/>
      <c r="R2710" s="3" t="n"/>
      <c r="S2710" s="3" t="n"/>
      <c r="T2710" s="3" t="n">
        <v>2.8</v>
      </c>
      <c r="U2710" s="3" t="n">
        <v>1.3</v>
      </c>
      <c r="V2710" s="3" t="n">
        <v>0.912615</v>
      </c>
      <c r="W2710" s="3" t="n">
        <v>0.023934</v>
      </c>
      <c r="X2710" s="3" t="n">
        <v>3.956593</v>
      </c>
      <c r="Y2710" s="3" t="n">
        <v>4.265951</v>
      </c>
      <c r="Z2710" s="3" t="n">
        <v>4.708557</v>
      </c>
      <c r="AA2710" s="3" t="n">
        <v>4.11313</v>
      </c>
      <c r="AB2710" s="3" t="n">
        <v>4.625268</v>
      </c>
      <c r="AC2710" s="3" t="n">
        <v>6.779045</v>
      </c>
      <c r="AD2710" s="3" t="n">
        <v>6.172906</v>
      </c>
      <c r="AE2710" s="3" t="n">
        <v>5.528766</v>
      </c>
      <c r="AF2710" s="3" t="n">
        <v>3.7</v>
      </c>
      <c r="AG2710" s="3" t="n">
        <v>5.9</v>
      </c>
      <c r="AH2710" s="3" t="n">
        <v>4.5</v>
      </c>
      <c r="AI2710" s="3" t="n">
        <v>4</v>
      </c>
      <c r="AJ2710" s="3" t="n">
        <v>3.8</v>
      </c>
      <c r="AK2710" s="3" t="n">
        <v>3.5</v>
      </c>
      <c r="AL2710" s="3" t="n">
        <v>3.2</v>
      </c>
      <c r="AM2710" s="3" t="n"/>
      <c r="AN2710" s="3" t="n"/>
      <c r="AO2710" s="3" t="n"/>
      <c r="AP2710" s="3" t="n"/>
      <c r="AQ2710" s="3" t="n"/>
      <c r="AR2710" s="3" t="n"/>
      <c r="AS2710" s="3" t="n"/>
      <c r="AT2710" s="3" t="n"/>
      <c r="AU2710" s="3" t="n"/>
    </row>
    <row r="2711">
      <c r="A2711" s="3" t="n">
        <v>2031</v>
      </c>
      <c r="B2711" s="3" t="inlineStr">
        <is>
          <t>SOM</t>
        </is>
      </c>
      <c r="C2711" s="3" t="inlineStr">
        <is>
          <t>IMF.RES:WEO</t>
        </is>
      </c>
      <c r="D2711" s="3" t="inlineStr">
        <is>
          <t>SOM.PPPPC.A</t>
        </is>
      </c>
      <c r="E2711" s="3" t="inlineStr">
        <is>
          <t>Somalia</t>
        </is>
      </c>
      <c r="F2711" s="3" t="inlineStr">
        <is>
          <t>Gross domestic product (GDP), Per capita, purchasing power parity (PPP) international dollar, ICP benchmarks 2017-2021</t>
        </is>
      </c>
      <c r="G2711" s="3" t="n"/>
      <c r="H2711" s="3" t="n"/>
      <c r="I2711" s="3" t="n"/>
      <c r="J2711" s="3" t="n"/>
      <c r="K2711" s="3" t="n"/>
      <c r="L2711" s="3" t="n"/>
      <c r="M2711" s="3" t="n"/>
      <c r="N2711" s="3" t="n"/>
      <c r="O2711" s="3" t="n"/>
      <c r="P2711" s="3" t="n"/>
      <c r="Q2711" s="3" t="n"/>
      <c r="R2711" s="3" t="n"/>
      <c r="S2711" s="3" t="n">
        <v>1652.845707</v>
      </c>
      <c r="T2711" s="3" t="n">
        <v>1727.659886</v>
      </c>
      <c r="U2711" s="3" t="n">
        <v>1756.849229</v>
      </c>
      <c r="V2711" s="3" t="n">
        <v>1804.01685</v>
      </c>
      <c r="W2711" s="3" t="n">
        <v>1748.974595</v>
      </c>
      <c r="X2711" s="3" t="n">
        <v>1896.331101</v>
      </c>
      <c r="Y2711" s="3" t="n">
        <v>1714.804115</v>
      </c>
      <c r="Z2711" s="3" t="n">
        <v>1726.714461</v>
      </c>
      <c r="AA2711" s="3" t="n">
        <v>1638.92788</v>
      </c>
      <c r="AB2711" s="3" t="n">
        <v>1583.396716</v>
      </c>
      <c r="AC2711" s="3" t="n">
        <v>1694.811964</v>
      </c>
      <c r="AD2711" s="3" t="n">
        <v>1781.73579</v>
      </c>
      <c r="AE2711" s="3" t="n">
        <v>1849.059217</v>
      </c>
      <c r="AF2711" s="3" t="n">
        <v>1905.212151</v>
      </c>
      <c r="AG2711" s="3" t="n">
        <v>1955.980809</v>
      </c>
      <c r="AH2711" s="3" t="n">
        <v>2004.765691</v>
      </c>
      <c r="AI2711" s="3" t="n">
        <v>2053.529093</v>
      </c>
      <c r="AJ2711" s="3" t="n">
        <v>2114.440459</v>
      </c>
      <c r="AK2711" s="3" t="n">
        <v>2180.52424</v>
      </c>
      <c r="AL2711" s="3" t="n">
        <v>2250.121238</v>
      </c>
      <c r="AM2711" s="3" t="n"/>
      <c r="AN2711" s="3" t="n"/>
      <c r="AO2711" s="3" t="n"/>
      <c r="AP2711" s="3" t="n"/>
      <c r="AQ2711" s="3" t="n"/>
      <c r="AR2711" s="3" t="n"/>
      <c r="AS2711" s="3" t="n"/>
      <c r="AT2711" s="3" t="n"/>
      <c r="AU2711" s="3" t="n"/>
    </row>
    <row r="2712">
      <c r="A2712" s="3" t="n">
        <v>2024</v>
      </c>
      <c r="B2712" s="3" t="inlineStr">
        <is>
          <t>SOM</t>
        </is>
      </c>
      <c r="C2712" s="3" t="inlineStr">
        <is>
          <t>IMF.STA:ER</t>
        </is>
      </c>
      <c r="D2712" s="3" t="inlineStr">
        <is>
          <t>SOM.XDC_USD.PA_RT.A</t>
        </is>
      </c>
      <c r="E2712" s="3" t="inlineStr">
        <is>
          <t>Somalia</t>
        </is>
      </c>
      <c r="F2712" s="3" t="inlineStr">
        <is>
          <t>Domestic currency per US Dollar</t>
        </is>
      </c>
      <c r="G2712" s="3" t="n"/>
      <c r="H2712" s="3" t="n"/>
      <c r="I2712" s="3" t="n"/>
      <c r="J2712" s="3" t="n"/>
      <c r="K2712" s="3" t="n"/>
      <c r="L2712" s="3" t="n"/>
      <c r="M2712" s="3" t="n"/>
      <c r="N2712" s="3" t="n"/>
      <c r="O2712" s="3" t="n"/>
      <c r="P2712" s="3" t="n">
        <v>31558.9054783951</v>
      </c>
      <c r="Q2712" s="3" t="n">
        <v>31269.6625712251</v>
      </c>
      <c r="R2712" s="3" t="n">
        <v>29966.8354404084</v>
      </c>
      <c r="S2712" s="3" t="n">
        <v>22516.0002967711</v>
      </c>
      <c r="T2712" s="3" t="n">
        <v>19283.7999504521</v>
      </c>
      <c r="U2712" s="3" t="n">
        <v>20230.9291310541</v>
      </c>
      <c r="V2712" s="3" t="n">
        <v>22254.2356837607</v>
      </c>
      <c r="W2712" s="3" t="n">
        <v>23061.7843138651</v>
      </c>
      <c r="X2712" s="3" t="n">
        <v>23097.9873219373</v>
      </c>
      <c r="Y2712" s="3" t="n"/>
      <c r="Z2712" s="3" t="n"/>
      <c r="AA2712" s="3" t="n">
        <v>571</v>
      </c>
      <c r="AB2712" s="3" t="n">
        <v>571</v>
      </c>
      <c r="AC2712" s="3" t="n">
        <v>571</v>
      </c>
      <c r="AD2712" s="3" t="n">
        <v>571</v>
      </c>
      <c r="AE2712" s="3" t="n">
        <v>571</v>
      </c>
      <c r="AF2712" s="3" t="n"/>
      <c r="AG2712" s="3" t="n"/>
      <c r="AH2712" s="3" t="n"/>
      <c r="AI2712" s="3" t="n"/>
      <c r="AJ2712" s="3" t="n"/>
      <c r="AK2712" s="3" t="n"/>
      <c r="AL2712" s="3" t="n"/>
      <c r="AM2712" s="3" t="n"/>
      <c r="AN2712" s="3" t="n"/>
      <c r="AO2712" s="3" t="n"/>
      <c r="AP2712" s="3" t="n"/>
      <c r="AQ2712" s="3" t="n"/>
      <c r="AR2712" s="3" t="n"/>
      <c r="AS2712" s="3" t="n"/>
      <c r="AT2712" s="3" t="n"/>
      <c r="AU2712" s="3" t="n"/>
    </row>
    <row r="2713">
      <c r="A2713" s="3" t="inlineStr">
        <is>
          <t>INDICATOR</t>
        </is>
      </c>
      <c r="B2713" s="3" t="inlineStr">
        <is>
          <t>SPM</t>
        </is>
      </c>
      <c r="C2713" s="3" t="inlineStr">
        <is>
          <t>IMF.STA:ER</t>
        </is>
      </c>
      <c r="D2713" s="3" t="inlineStr">
        <is>
          <t>SPM.XDC_USD.PA_RT.A</t>
        </is>
      </c>
      <c r="E2713" s="3" t="inlineStr">
        <is>
          <t>St. Pierre and Miquelon</t>
        </is>
      </c>
      <c r="F2713" s="3" t="inlineStr">
        <is>
          <t>Domestic currency per US Dollar</t>
        </is>
      </c>
      <c r="G2713" s="3" t="n"/>
      <c r="H2713" s="3" t="n"/>
      <c r="I2713" s="3" t="n"/>
      <c r="J2713" s="3" t="n"/>
      <c r="K2713" s="3" t="n"/>
      <c r="L2713" s="3" t="n"/>
      <c r="M2713" s="3" t="n"/>
      <c r="N2713" s="3" t="n"/>
      <c r="O2713" s="3" t="n"/>
      <c r="P2713" s="3" t="n"/>
      <c r="Q2713" s="3" t="n"/>
      <c r="R2713" s="3" t="n"/>
      <c r="S2713" s="3" t="n"/>
      <c r="T2713" s="3" t="n"/>
      <c r="U2713" s="3" t="n"/>
      <c r="V2713" s="3" t="n"/>
      <c r="W2713" s="3" t="n"/>
      <c r="X2713" s="3" t="n"/>
      <c r="Y2713" s="3" t="n"/>
      <c r="Z2713" s="3" t="n"/>
      <c r="AA2713" s="3" t="n"/>
      <c r="AB2713" s="3" t="n"/>
      <c r="AC2713" s="3" t="n"/>
      <c r="AD2713" s="3" t="n"/>
      <c r="AE2713" s="3" t="n"/>
      <c r="AF2713" s="3" t="n"/>
      <c r="AG2713" s="3" t="n"/>
      <c r="AH2713" s="3" t="n"/>
      <c r="AI2713" s="3" t="n"/>
      <c r="AJ2713" s="3" t="n"/>
      <c r="AK2713" s="3" t="n"/>
      <c r="AL2713" s="3" t="n"/>
      <c r="AM2713" s="3" t="n"/>
      <c r="AN2713" s="3" t="n"/>
      <c r="AO2713" s="3" t="n"/>
      <c r="AP2713" s="3" t="n"/>
      <c r="AQ2713" s="3" t="n"/>
      <c r="AR2713" s="3" t="n"/>
      <c r="AS2713" s="3" t="n"/>
      <c r="AT2713" s="3" t="n"/>
      <c r="AU2713" s="3" t="n"/>
    </row>
    <row r="2714">
      <c r="A2714" s="3" t="n">
        <v>2031</v>
      </c>
      <c r="B2714" s="3" t="inlineStr">
        <is>
          <t>SRB</t>
        </is>
      </c>
      <c r="C2714" s="3" t="inlineStr">
        <is>
          <t>IMF.RES:WEO</t>
        </is>
      </c>
      <c r="D2714" s="3" t="inlineStr">
        <is>
          <t>SRB.BCA.A</t>
        </is>
      </c>
      <c r="E2714" s="3" t="inlineStr">
        <is>
          <t>Serbia, Republic of</t>
        </is>
      </c>
      <c r="F2714" s="3" t="inlineStr">
        <is>
          <t>Current account balance (credit less debit), US dollar</t>
        </is>
      </c>
      <c r="G2714" s="3" t="n">
        <v>-0.178151</v>
      </c>
      <c r="H2714" s="3" t="n">
        <v>0.252945</v>
      </c>
      <c r="I2714" s="3" t="n">
        <v>-0.636011</v>
      </c>
      <c r="J2714" s="3" t="n">
        <v>-1.526936</v>
      </c>
      <c r="K2714" s="3" t="n">
        <v>-3.261686</v>
      </c>
      <c r="L2714" s="3" t="n">
        <v>-2.202272</v>
      </c>
      <c r="M2714" s="3" t="n">
        <v>-2.960055</v>
      </c>
      <c r="N2714" s="3" t="n">
        <v>-6.958314</v>
      </c>
      <c r="O2714" s="3" t="n">
        <v>-10.349245</v>
      </c>
      <c r="P2714" s="3" t="n">
        <v>-2.659806</v>
      </c>
      <c r="Q2714" s="3" t="n">
        <v>-2.485508</v>
      </c>
      <c r="R2714" s="3" t="n">
        <v>-3.995269</v>
      </c>
      <c r="S2714" s="3" t="n">
        <v>-4.676126</v>
      </c>
      <c r="T2714" s="3" t="n">
        <v>-2.778186</v>
      </c>
      <c r="U2714" s="3" t="n">
        <v>-2.632288</v>
      </c>
      <c r="V2714" s="3" t="n">
        <v>-1.36927</v>
      </c>
      <c r="W2714" s="3" t="n">
        <v>-1.189101</v>
      </c>
      <c r="X2714" s="3" t="n">
        <v>-2.310697</v>
      </c>
      <c r="Y2714" s="3" t="n">
        <v>-2.451219</v>
      </c>
      <c r="Z2714" s="3" t="n">
        <v>-3.53968</v>
      </c>
      <c r="AA2714" s="3" t="n">
        <v>-2.198263</v>
      </c>
      <c r="AB2714" s="3" t="n">
        <v>-2.702813</v>
      </c>
      <c r="AC2714" s="3" t="n">
        <v>-4.35433</v>
      </c>
      <c r="AD2714" s="3" t="n">
        <v>-1.907306</v>
      </c>
      <c r="AE2714" s="3" t="n">
        <v>-4.098336</v>
      </c>
      <c r="AF2714" s="3" t="n">
        <v>-4.849198</v>
      </c>
      <c r="AG2714" s="3" t="n">
        <v>-6.379316</v>
      </c>
      <c r="AH2714" s="3" t="n">
        <v>-5.343441</v>
      </c>
      <c r="AI2714" s="3" t="n">
        <v>-6.516815</v>
      </c>
      <c r="AJ2714" s="3" t="n">
        <v>-6.730758</v>
      </c>
      <c r="AK2714" s="3" t="n">
        <v>-7.153316</v>
      </c>
      <c r="AL2714" s="3" t="n">
        <v>-7.621877</v>
      </c>
      <c r="AM2714" s="3" t="n"/>
      <c r="AN2714" s="3" t="n"/>
      <c r="AO2714" s="3" t="n"/>
      <c r="AP2714" s="3" t="n"/>
      <c r="AQ2714" s="3" t="n"/>
      <c r="AR2714" s="3" t="n"/>
      <c r="AS2714" s="3" t="n"/>
      <c r="AT2714" s="3" t="n"/>
      <c r="AU2714" s="3" t="n"/>
    </row>
    <row r="2715">
      <c r="A2715" s="3" t="n">
        <v>2031</v>
      </c>
      <c r="B2715" s="3" t="inlineStr">
        <is>
          <t>SRB</t>
        </is>
      </c>
      <c r="C2715" s="3" t="inlineStr">
        <is>
          <t>IMF.RES:WEO</t>
        </is>
      </c>
      <c r="D2715" s="3" t="inlineStr">
        <is>
          <t>SRB.BCA_NGDPD.A</t>
        </is>
      </c>
      <c r="E2715" s="3" t="inlineStr">
        <is>
          <t>Serbia, Republic of</t>
        </is>
      </c>
      <c r="F2715" s="3" t="inlineStr">
        <is>
          <t>Current account balance (credit less debit), Percent of GDP</t>
        </is>
      </c>
      <c r="G2715" s="3" t="n">
        <v>-1.707864</v>
      </c>
      <c r="H2715" s="3" t="n">
        <v>1.853092</v>
      </c>
      <c r="I2715" s="3" t="n">
        <v>-3.533944</v>
      </c>
      <c r="J2715" s="3" t="n">
        <v>-6.462735</v>
      </c>
      <c r="K2715" s="3" t="n">
        <v>-12.208046</v>
      </c>
      <c r="L2715" s="3" t="n">
        <v>-7.825342</v>
      </c>
      <c r="M2715" s="3" t="n">
        <v>-8.856813000000001</v>
      </c>
      <c r="N2715" s="3" t="n">
        <v>-15.421341</v>
      </c>
      <c r="O2715" s="3" t="n">
        <v>-19.123871</v>
      </c>
      <c r="P2715" s="3" t="n">
        <v>-5.66528</v>
      </c>
      <c r="Q2715" s="3" t="n">
        <v>-5.771192</v>
      </c>
      <c r="R2715" s="3" t="n">
        <v>-7.79198</v>
      </c>
      <c r="S2715" s="3" t="n">
        <v>-10.365891</v>
      </c>
      <c r="T2715" s="3" t="n">
        <v>-5.506203</v>
      </c>
      <c r="U2715" s="3" t="n">
        <v>-5.359513</v>
      </c>
      <c r="V2715" s="3" t="n">
        <v>-3.315633</v>
      </c>
      <c r="W2715" s="3" t="n">
        <v>-2.816074</v>
      </c>
      <c r="X2715" s="3" t="n">
        <v>-5.026223</v>
      </c>
      <c r="Y2715" s="3" t="n">
        <v>-4.643558</v>
      </c>
      <c r="Z2715" s="3" t="n">
        <v>-6.571429</v>
      </c>
      <c r="AA2715" s="3" t="n">
        <v>-3.93432</v>
      </c>
      <c r="AB2715" s="3" t="n">
        <v>-4.105726</v>
      </c>
      <c r="AC2715" s="3" t="n">
        <v>-6.517492</v>
      </c>
      <c r="AD2715" s="3" t="n">
        <v>-2.344741</v>
      </c>
      <c r="AE2715" s="3" t="n">
        <v>-4.54924</v>
      </c>
      <c r="AF2715" s="3" t="n">
        <v>-4.851462</v>
      </c>
      <c r="AG2715" s="3" t="n">
        <v>-5.694523</v>
      </c>
      <c r="AH2715" s="3" t="n">
        <v>-4.379228</v>
      </c>
      <c r="AI2715" s="3" t="n">
        <v>-5.009739</v>
      </c>
      <c r="AJ2715" s="3" t="n">
        <v>-4.851171</v>
      </c>
      <c r="AK2715" s="3" t="n">
        <v>-4.831699</v>
      </c>
      <c r="AL2715" s="3" t="n">
        <v>-4.823996</v>
      </c>
      <c r="AM2715" s="3" t="n"/>
      <c r="AN2715" s="3" t="n"/>
      <c r="AO2715" s="3" t="n"/>
      <c r="AP2715" s="3" t="n"/>
      <c r="AQ2715" s="3" t="n"/>
      <c r="AR2715" s="3" t="n"/>
      <c r="AS2715" s="3" t="n"/>
      <c r="AT2715" s="3" t="n"/>
      <c r="AU2715" s="3" t="n"/>
    </row>
    <row r="2716">
      <c r="A2716" s="3" t="n">
        <v>2031</v>
      </c>
      <c r="B2716" s="3" t="inlineStr">
        <is>
          <t>SRB</t>
        </is>
      </c>
      <c r="C2716" s="3" t="inlineStr">
        <is>
          <t>IMF.RES:WEO</t>
        </is>
      </c>
      <c r="D2716" s="3" t="inlineStr">
        <is>
          <t>SRB.GGR_NGDP.A</t>
        </is>
      </c>
      <c r="E2716" s="3" t="inlineStr">
        <is>
          <t>Serbia, Republic of</t>
        </is>
      </c>
      <c r="F2716" s="3" t="inlineStr">
        <is>
          <t>Revenue, General government, Percent of GDP</t>
        </is>
      </c>
      <c r="G2716" s="3" t="n">
        <v>27.851513</v>
      </c>
      <c r="H2716" s="3" t="n">
        <v>30.822966</v>
      </c>
      <c r="I2716" s="3" t="n">
        <v>36.23424</v>
      </c>
      <c r="J2716" s="3" t="n">
        <v>35.245045</v>
      </c>
      <c r="K2716" s="3" t="n">
        <v>37.869643</v>
      </c>
      <c r="L2716" s="3" t="n">
        <v>39.922141</v>
      </c>
      <c r="M2716" s="3" t="n">
        <v>40.414766</v>
      </c>
      <c r="N2716" s="3" t="n">
        <v>39.780788</v>
      </c>
      <c r="O2716" s="3" t="n">
        <v>39.430397</v>
      </c>
      <c r="P2716" s="3" t="n">
        <v>37.841525</v>
      </c>
      <c r="Q2716" s="3" t="n">
        <v>37.819247</v>
      </c>
      <c r="R2716" s="3" t="n">
        <v>36.263698</v>
      </c>
      <c r="S2716" s="3" t="n">
        <v>37.22891</v>
      </c>
      <c r="T2716" s="3" t="n">
        <v>35.793668</v>
      </c>
      <c r="U2716" s="3" t="n">
        <v>37.327499</v>
      </c>
      <c r="V2716" s="3" t="n">
        <v>37.716423</v>
      </c>
      <c r="W2716" s="3" t="n">
        <v>39.215552</v>
      </c>
      <c r="X2716" s="3" t="n">
        <v>39.83423</v>
      </c>
      <c r="Y2716" s="3" t="n">
        <v>39.811743</v>
      </c>
      <c r="Z2716" s="3" t="n">
        <v>40.1911</v>
      </c>
      <c r="AA2716" s="3" t="n">
        <v>39.120408</v>
      </c>
      <c r="AB2716" s="3" t="n">
        <v>41.23966</v>
      </c>
      <c r="AC2716" s="3" t="n">
        <v>41.229472</v>
      </c>
      <c r="AD2716" s="3" t="n">
        <v>39.389442</v>
      </c>
      <c r="AE2716" s="3" t="n">
        <v>40.457083</v>
      </c>
      <c r="AF2716" s="3" t="n">
        <v>40.955661</v>
      </c>
      <c r="AG2716" s="3" t="n">
        <v>40.790518</v>
      </c>
      <c r="AH2716" s="3" t="n">
        <v>40.924203</v>
      </c>
      <c r="AI2716" s="3" t="n">
        <v>40.647449</v>
      </c>
      <c r="AJ2716" s="3" t="n">
        <v>40.556827</v>
      </c>
      <c r="AK2716" s="3" t="n">
        <v>40.547021</v>
      </c>
      <c r="AL2716" s="3" t="n">
        <v>40.50169</v>
      </c>
      <c r="AM2716" s="3" t="n"/>
      <c r="AN2716" s="3" t="n"/>
      <c r="AO2716" s="3" t="n"/>
      <c r="AP2716" s="3" t="n"/>
      <c r="AQ2716" s="3" t="n"/>
      <c r="AR2716" s="3" t="n"/>
      <c r="AS2716" s="3" t="n"/>
      <c r="AT2716" s="3" t="n"/>
      <c r="AU2716" s="3" t="n"/>
    </row>
    <row r="2717">
      <c r="A2717" s="3" t="n">
        <v>2031</v>
      </c>
      <c r="B2717" s="3" t="inlineStr">
        <is>
          <t>SRB</t>
        </is>
      </c>
      <c r="C2717" s="3" t="inlineStr">
        <is>
          <t>IMF.RES:WEO</t>
        </is>
      </c>
      <c r="D2717" s="3" t="inlineStr">
        <is>
          <t>SRB.GGX_NGDP.A</t>
        </is>
      </c>
      <c r="E2717" s="3" t="inlineStr">
        <is>
          <t>Serbia, Republic of</t>
        </is>
      </c>
      <c r="F2717" s="3" t="inlineStr">
        <is>
          <t>Expenditure, General government, Percent of GDP</t>
        </is>
      </c>
      <c r="G2717" s="3" t="n">
        <v>27.999797</v>
      </c>
      <c r="H2717" s="3" t="n">
        <v>30.498025</v>
      </c>
      <c r="I2717" s="3" t="n">
        <v>38.562339</v>
      </c>
      <c r="J2717" s="3" t="n">
        <v>37.630066</v>
      </c>
      <c r="K2717" s="3" t="n">
        <v>37.808583</v>
      </c>
      <c r="L2717" s="3" t="n">
        <v>38.901613</v>
      </c>
      <c r="M2717" s="3" t="n">
        <v>41.319763</v>
      </c>
      <c r="N2717" s="3" t="n">
        <v>40.582789</v>
      </c>
      <c r="O2717" s="3" t="n">
        <v>43.684921</v>
      </c>
      <c r="P2717" s="3" t="n">
        <v>41.143612</v>
      </c>
      <c r="Q2717" s="3" t="n">
        <v>41.166733</v>
      </c>
      <c r="R2717" s="3" t="n">
        <v>40.016903</v>
      </c>
      <c r="S2717" s="3" t="n">
        <v>43.335594</v>
      </c>
      <c r="T2717" s="3" t="n">
        <v>40.582281</v>
      </c>
      <c r="U2717" s="3" t="n">
        <v>42.935873</v>
      </c>
      <c r="V2717" s="3" t="n">
        <v>40.961592</v>
      </c>
      <c r="W2717" s="3" t="n">
        <v>40.293998</v>
      </c>
      <c r="X2717" s="3" t="n">
        <v>38.517919</v>
      </c>
      <c r="Y2717" s="3" t="n">
        <v>39.033566</v>
      </c>
      <c r="Z2717" s="3" t="n">
        <v>40.195464</v>
      </c>
      <c r="AA2717" s="3" t="n">
        <v>46.033515</v>
      </c>
      <c r="AB2717" s="3" t="n">
        <v>44.395308</v>
      </c>
      <c r="AC2717" s="3" t="n">
        <v>41.370615</v>
      </c>
      <c r="AD2717" s="3" t="n">
        <v>40.600135</v>
      </c>
      <c r="AE2717" s="3" t="n">
        <v>42.190732</v>
      </c>
      <c r="AF2717" s="3" t="n">
        <v>43.170232</v>
      </c>
      <c r="AG2717" s="3" t="n">
        <v>43.670663</v>
      </c>
      <c r="AH2717" s="3" t="n">
        <v>43.829558</v>
      </c>
      <c r="AI2717" s="3" t="n">
        <v>43.113922</v>
      </c>
      <c r="AJ2717" s="3" t="n">
        <v>42.969826</v>
      </c>
      <c r="AK2717" s="3" t="n">
        <v>42.474018</v>
      </c>
      <c r="AL2717" s="3" t="n">
        <v>42.429302</v>
      </c>
      <c r="AM2717" s="3" t="n"/>
      <c r="AN2717" s="3" t="n"/>
      <c r="AO2717" s="3" t="n"/>
      <c r="AP2717" s="3" t="n"/>
      <c r="AQ2717" s="3" t="n"/>
      <c r="AR2717" s="3" t="n"/>
      <c r="AS2717" s="3" t="n"/>
      <c r="AT2717" s="3" t="n"/>
      <c r="AU2717" s="3" t="n"/>
    </row>
    <row r="2718">
      <c r="A2718" s="3" t="n">
        <v>2031</v>
      </c>
      <c r="B2718" s="3" t="inlineStr">
        <is>
          <t>SRB</t>
        </is>
      </c>
      <c r="C2718" s="3" t="inlineStr">
        <is>
          <t>IMF.RES:WEO</t>
        </is>
      </c>
      <c r="D2718" s="3" t="inlineStr">
        <is>
          <t>SRB.LP.A</t>
        </is>
      </c>
      <c r="E2718" s="3" t="inlineStr">
        <is>
          <t>Serbia, Republic of</t>
        </is>
      </c>
      <c r="F2718" s="3" t="inlineStr">
        <is>
          <t>Population, Persons for countries / Index for country groups</t>
        </is>
      </c>
      <c r="G2718" s="3" t="n">
        <v>7.516346</v>
      </c>
      <c r="H2718" s="3" t="n">
        <v>7.503433</v>
      </c>
      <c r="I2718" s="3" t="n">
        <v>7.500031</v>
      </c>
      <c r="J2718" s="3" t="n">
        <v>7.480591</v>
      </c>
      <c r="K2718" s="3" t="n">
        <v>7.463157</v>
      </c>
      <c r="L2718" s="3" t="n">
        <v>7.440769</v>
      </c>
      <c r="M2718" s="3" t="n">
        <v>7.411569</v>
      </c>
      <c r="N2718" s="3" t="n">
        <v>7.381579</v>
      </c>
      <c r="O2718" s="3" t="n">
        <v>7.350222</v>
      </c>
      <c r="P2718" s="3" t="n">
        <v>7.320807</v>
      </c>
      <c r="Q2718" s="3" t="n">
        <v>7.291436</v>
      </c>
      <c r="R2718" s="3" t="n">
        <v>7.236519</v>
      </c>
      <c r="S2718" s="3" t="n">
        <v>7.201497</v>
      </c>
      <c r="T2718" s="3" t="n">
        <v>7.166553</v>
      </c>
      <c r="U2718" s="3" t="n">
        <v>7.131787</v>
      </c>
      <c r="V2718" s="3" t="n">
        <v>7.095383</v>
      </c>
      <c r="W2718" s="3" t="n">
        <v>7.058322</v>
      </c>
      <c r="X2718" s="3" t="n">
        <v>7.020858</v>
      </c>
      <c r="Y2718" s="3" t="n">
        <v>6.982604</v>
      </c>
      <c r="Z2718" s="3" t="n">
        <v>6.945235</v>
      </c>
      <c r="AA2718" s="3" t="n">
        <v>6.899126</v>
      </c>
      <c r="AB2718" s="3" t="n">
        <v>6.834326</v>
      </c>
      <c r="AC2718" s="3" t="n">
        <v>6.664449</v>
      </c>
      <c r="AD2718" s="3" t="n">
        <v>6.623183</v>
      </c>
      <c r="AE2718" s="3" t="n">
        <v>6.586476</v>
      </c>
      <c r="AF2718" s="3" t="n">
        <v>6.539768</v>
      </c>
      <c r="AG2718" s="3" t="n">
        <v>6.493391</v>
      </c>
      <c r="AH2718" s="3" t="n">
        <v>6.437298</v>
      </c>
      <c r="AI2718" s="3" t="n">
        <v>6.389258</v>
      </c>
      <c r="AJ2718" s="3" t="n">
        <v>6.341576</v>
      </c>
      <c r="AK2718" s="3" t="n">
        <v>6.29425</v>
      </c>
      <c r="AL2718" s="3" t="n">
        <v>6.247277</v>
      </c>
      <c r="AM2718" s="3" t="n"/>
      <c r="AN2718" s="3" t="n"/>
      <c r="AO2718" s="3" t="n"/>
      <c r="AP2718" s="3" t="n"/>
      <c r="AQ2718" s="3" t="n"/>
      <c r="AR2718" s="3" t="n"/>
      <c r="AS2718" s="3" t="n"/>
      <c r="AT2718" s="3" t="n"/>
      <c r="AU2718" s="3" t="n"/>
    </row>
    <row r="2719">
      <c r="A2719" s="3" t="n">
        <v>2031</v>
      </c>
      <c r="B2719" s="3" t="inlineStr">
        <is>
          <t>SRB</t>
        </is>
      </c>
      <c r="C2719" s="3" t="inlineStr">
        <is>
          <t>IMF.RES:WEO</t>
        </is>
      </c>
      <c r="D2719" s="3" t="inlineStr">
        <is>
          <t>SRB.NGDP.A</t>
        </is>
      </c>
      <c r="E2719" s="3" t="inlineStr">
        <is>
          <t>Serbia, Republic of</t>
        </is>
      </c>
      <c r="F2719" s="3" t="inlineStr">
        <is>
          <t>Gross domestic product (GDP), Current prices, Domestic currency</t>
        </is>
      </c>
      <c r="G2719" s="3" t="n">
        <v>462.777</v>
      </c>
      <c r="H2719" s="3" t="n">
        <v>909.9842</v>
      </c>
      <c r="I2719" s="3" t="n">
        <v>1154.6991</v>
      </c>
      <c r="J2719" s="3" t="n">
        <v>1358.6149</v>
      </c>
      <c r="K2719" s="3" t="n">
        <v>1567.2856</v>
      </c>
      <c r="L2719" s="3" t="n">
        <v>1890.2859</v>
      </c>
      <c r="M2719" s="3" t="n">
        <v>2235.8247</v>
      </c>
      <c r="N2719" s="3" t="n">
        <v>2623.8624</v>
      </c>
      <c r="O2719" s="3" t="n">
        <v>3021.3639</v>
      </c>
      <c r="P2719" s="3" t="n">
        <v>3173.3136</v>
      </c>
      <c r="Q2719" s="3" t="n">
        <v>3384.0543</v>
      </c>
      <c r="R2719" s="3" t="n">
        <v>3758.4173</v>
      </c>
      <c r="S2719" s="3" t="n">
        <v>3967.8835</v>
      </c>
      <c r="T2719" s="3" t="n">
        <v>4296.7374</v>
      </c>
      <c r="U2719" s="3" t="n">
        <v>4341.9667</v>
      </c>
      <c r="V2719" s="3" t="n">
        <v>4493.6301</v>
      </c>
      <c r="W2719" s="3" t="n">
        <v>4698.7624</v>
      </c>
      <c r="X2719" s="3" t="n">
        <v>4953.9798</v>
      </c>
      <c r="Y2719" s="3" t="n">
        <v>5287.9938</v>
      </c>
      <c r="Z2719" s="3" t="n">
        <v>5669.2352</v>
      </c>
      <c r="AA2719" s="3" t="n">
        <v>5764.1476</v>
      </c>
      <c r="AB2719" s="3" t="n">
        <v>6576.024</v>
      </c>
      <c r="AC2719" s="3" t="n">
        <v>7460.1388</v>
      </c>
      <c r="AD2719" s="3" t="n">
        <v>8817.9085</v>
      </c>
      <c r="AE2719" s="3" t="n">
        <v>9748.2587</v>
      </c>
      <c r="AF2719" s="3" t="n">
        <v>10392.6869</v>
      </c>
      <c r="AG2719" s="3" t="n">
        <v>11122.527335</v>
      </c>
      <c r="AH2719" s="3" t="n">
        <v>12116.125687</v>
      </c>
      <c r="AI2719" s="3" t="n">
        <v>12944.691001</v>
      </c>
      <c r="AJ2719" s="3" t="n">
        <v>13803.20861</v>
      </c>
      <c r="AK2719" s="3" t="n">
        <v>14724.912718</v>
      </c>
      <c r="AL2719" s="3" t="n">
        <v>15710.331305</v>
      </c>
      <c r="AM2719" s="3" t="n"/>
      <c r="AN2719" s="3" t="n"/>
      <c r="AO2719" s="3" t="n"/>
      <c r="AP2719" s="3" t="n"/>
      <c r="AQ2719" s="3" t="n"/>
      <c r="AR2719" s="3" t="n"/>
      <c r="AS2719" s="3" t="n"/>
      <c r="AT2719" s="3" t="n"/>
      <c r="AU2719" s="3" t="n"/>
    </row>
    <row r="2720">
      <c r="A2720" s="3" t="n">
        <v>2031</v>
      </c>
      <c r="B2720" s="3" t="inlineStr">
        <is>
          <t>SRB</t>
        </is>
      </c>
      <c r="C2720" s="3" t="inlineStr">
        <is>
          <t>IMF.RES:WEO</t>
        </is>
      </c>
      <c r="D2720" s="3" t="inlineStr">
        <is>
          <t>SRB.NGDP_D.A</t>
        </is>
      </c>
      <c r="E2720" s="3" t="inlineStr">
        <is>
          <t>Serbia, Republic of</t>
        </is>
      </c>
      <c r="F2720" s="3" t="inlineStr">
        <is>
          <t>Gross domestic product (GDP), Price deflator, Index</t>
        </is>
      </c>
      <c r="G2720" s="3" t="n">
        <v>13.485732</v>
      </c>
      <c r="H2720" s="3" t="n">
        <v>24.834345</v>
      </c>
      <c r="I2720" s="3" t="n">
        <v>29.578131</v>
      </c>
      <c r="J2720" s="3" t="n">
        <v>33.283883</v>
      </c>
      <c r="K2720" s="3" t="n">
        <v>35.989415</v>
      </c>
      <c r="L2720" s="3" t="n">
        <v>40.986783</v>
      </c>
      <c r="M2720" s="3" t="n">
        <v>46.659036</v>
      </c>
      <c r="N2720" s="3" t="n">
        <v>50.779816</v>
      </c>
      <c r="O2720" s="3" t="n">
        <v>55.603078</v>
      </c>
      <c r="P2720" s="3" t="n">
        <v>60.294269</v>
      </c>
      <c r="Q2720" s="3" t="n">
        <v>63.279021</v>
      </c>
      <c r="R2720" s="3" t="n">
        <v>70.241179</v>
      </c>
      <c r="S2720" s="3" t="n">
        <v>74.486587</v>
      </c>
      <c r="T2720" s="3" t="n">
        <v>80.297349</v>
      </c>
      <c r="U2720" s="3" t="n">
        <v>82.633526</v>
      </c>
      <c r="V2720" s="3" t="n">
        <v>84.425946</v>
      </c>
      <c r="W2720" s="3" t="n">
        <v>85.729337</v>
      </c>
      <c r="X2720" s="3" t="n">
        <v>88.298942</v>
      </c>
      <c r="Y2720" s="3" t="n">
        <v>90.06492</v>
      </c>
      <c r="Z2720" s="3" t="n">
        <v>92.179492</v>
      </c>
      <c r="AA2720" s="3" t="n">
        <v>94.621658</v>
      </c>
      <c r="AB2720" s="3" t="n">
        <v>100</v>
      </c>
      <c r="AC2720" s="3" t="n">
        <v>110.458304</v>
      </c>
      <c r="AD2720" s="3" t="n">
        <v>125.845473</v>
      </c>
      <c r="AE2720" s="3" t="n">
        <v>133.836593</v>
      </c>
      <c r="AF2720" s="3" t="n">
        <v>139.844735</v>
      </c>
      <c r="AG2720" s="3" t="n">
        <v>145.539601</v>
      </c>
      <c r="AH2720" s="3" t="n">
        <v>153.123505</v>
      </c>
      <c r="AI2720" s="3" t="n">
        <v>158.091654</v>
      </c>
      <c r="AJ2720" s="3" t="n">
        <v>162.890059</v>
      </c>
      <c r="AK2720" s="3" t="n">
        <v>167.815885</v>
      </c>
      <c r="AL2720" s="3" t="n">
        <v>172.914531</v>
      </c>
      <c r="AM2720" s="3" t="n"/>
      <c r="AN2720" s="3" t="n"/>
      <c r="AO2720" s="3" t="n"/>
      <c r="AP2720" s="3" t="n"/>
      <c r="AQ2720" s="3" t="n"/>
      <c r="AR2720" s="3" t="n"/>
      <c r="AS2720" s="3" t="n"/>
      <c r="AT2720" s="3" t="n"/>
      <c r="AU2720" s="3" t="n"/>
    </row>
    <row r="2721">
      <c r="A2721" s="3" t="n">
        <v>2031</v>
      </c>
      <c r="B2721" s="3" t="inlineStr">
        <is>
          <t>SRB</t>
        </is>
      </c>
      <c r="C2721" s="3" t="inlineStr">
        <is>
          <t>IMF.RES:WEO</t>
        </is>
      </c>
      <c r="D2721" s="3" t="inlineStr">
        <is>
          <t>SRB.NGDP_R.A</t>
        </is>
      </c>
      <c r="E2721" s="3" t="inlineStr">
        <is>
          <t>Serbia, Republic of</t>
        </is>
      </c>
      <c r="F2721" s="3" t="inlineStr">
        <is>
          <t>Gross domestic product (GDP), Constant prices, Domestic currency</t>
        </is>
      </c>
      <c r="G2721" s="3" t="n">
        <v>3431.6046</v>
      </c>
      <c r="H2721" s="3" t="n">
        <v>3664.2167</v>
      </c>
      <c r="I2721" s="3" t="n">
        <v>3903.8948</v>
      </c>
      <c r="J2721" s="3" t="n">
        <v>4081.9003</v>
      </c>
      <c r="K2721" s="3" t="n">
        <v>4354.8516</v>
      </c>
      <c r="L2721" s="3" t="n">
        <v>4611.9401</v>
      </c>
      <c r="M2721" s="3" t="n">
        <v>4791.8365</v>
      </c>
      <c r="N2721" s="3" t="n">
        <v>5167.1365</v>
      </c>
      <c r="O2721" s="3" t="n">
        <v>5433.8069</v>
      </c>
      <c r="P2721" s="3" t="n">
        <v>5263.0435</v>
      </c>
      <c r="Q2721" s="3" t="n">
        <v>5347.8297</v>
      </c>
      <c r="R2721" s="3" t="n">
        <v>5350.7321</v>
      </c>
      <c r="S2721" s="3" t="n">
        <v>5326.9772</v>
      </c>
      <c r="T2721" s="3" t="n">
        <v>5351.0327</v>
      </c>
      <c r="U2721" s="3" t="n">
        <v>5254.4856</v>
      </c>
      <c r="V2721" s="3" t="n">
        <v>5322.57</v>
      </c>
      <c r="W2721" s="3" t="n">
        <v>5480.927</v>
      </c>
      <c r="X2721" s="3" t="n">
        <v>5610.4634</v>
      </c>
      <c r="Y2721" s="3" t="n">
        <v>5871.3135</v>
      </c>
      <c r="Z2721" s="3" t="n">
        <v>6150.2131</v>
      </c>
      <c r="AA2721" s="3" t="n">
        <v>6091.7846</v>
      </c>
      <c r="AB2721" s="3" t="n">
        <v>6576.024</v>
      </c>
      <c r="AC2721" s="3" t="n">
        <v>6753.8053</v>
      </c>
      <c r="AD2721" s="3" t="n">
        <v>7006.9334</v>
      </c>
      <c r="AE2721" s="3" t="n">
        <v>7283.7021</v>
      </c>
      <c r="AF2721" s="3" t="n">
        <v>7431.5897</v>
      </c>
      <c r="AG2721" s="3" t="n">
        <v>7642.268664</v>
      </c>
      <c r="AH2721" s="3" t="n">
        <v>7912.649119</v>
      </c>
      <c r="AI2721" s="3" t="n">
        <v>8188.092562</v>
      </c>
      <c r="AJ2721" s="3" t="n">
        <v>8473.941699000001</v>
      </c>
      <c r="AK2721" s="3" t="n">
        <v>8774.445132999999</v>
      </c>
      <c r="AL2721" s="3" t="n">
        <v>9085.605036999999</v>
      </c>
      <c r="AM2721" s="3" t="n"/>
      <c r="AN2721" s="3" t="n"/>
      <c r="AO2721" s="3" t="n"/>
      <c r="AP2721" s="3" t="n"/>
      <c r="AQ2721" s="3" t="n"/>
      <c r="AR2721" s="3" t="n"/>
      <c r="AS2721" s="3" t="n"/>
      <c r="AT2721" s="3" t="n"/>
      <c r="AU2721" s="3" t="n"/>
    </row>
    <row r="2722">
      <c r="A2722" s="3" t="n">
        <v>2031</v>
      </c>
      <c r="B2722" s="3" t="inlineStr">
        <is>
          <t>SRB</t>
        </is>
      </c>
      <c r="C2722" s="3" t="inlineStr">
        <is>
          <t>IMF.RES:WEO</t>
        </is>
      </c>
      <c r="D2722" s="3" t="inlineStr">
        <is>
          <t>SRB.NGDP_RPCH.A</t>
        </is>
      </c>
      <c r="E2722" s="3" t="inlineStr">
        <is>
          <t>Serbia, Republic of</t>
        </is>
      </c>
      <c r="F2722" s="3" t="inlineStr">
        <is>
          <t>Gross domestic product (GDP), Constant prices, Percent change</t>
        </is>
      </c>
      <c r="G2722" s="3" t="n">
        <v>6.05509</v>
      </c>
      <c r="H2722" s="3" t="n">
        <v>6.778523</v>
      </c>
      <c r="I2722" s="3" t="n">
        <v>6.541046</v>
      </c>
      <c r="J2722" s="3" t="n">
        <v>4.55969</v>
      </c>
      <c r="K2722" s="3" t="n">
        <v>6.686868</v>
      </c>
      <c r="L2722" s="3" t="n">
        <v>5.903496</v>
      </c>
      <c r="M2722" s="3" t="n">
        <v>3.900666</v>
      </c>
      <c r="N2722" s="3" t="n">
        <v>7.83207</v>
      </c>
      <c r="O2722" s="3" t="n">
        <v>5.160893</v>
      </c>
      <c r="P2722" s="3" t="n">
        <v>-3.142611</v>
      </c>
      <c r="Q2722" s="3" t="n">
        <v>1.610973</v>
      </c>
      <c r="R2722" s="3" t="n">
        <v>0.054272</v>
      </c>
      <c r="S2722" s="3" t="n">
        <v>-0.443956</v>
      </c>
      <c r="T2722" s="3" t="n">
        <v>0.451579</v>
      </c>
      <c r="U2722" s="3" t="n">
        <v>-1.80427</v>
      </c>
      <c r="V2722" s="3" t="n">
        <v>1.295739</v>
      </c>
      <c r="W2722" s="3" t="n">
        <v>2.975198</v>
      </c>
      <c r="X2722" s="3" t="n">
        <v>2.363403</v>
      </c>
      <c r="Y2722" s="3" t="n">
        <v>4.64935</v>
      </c>
      <c r="Z2722" s="3" t="n">
        <v>4.750208</v>
      </c>
      <c r="AA2722" s="3" t="n">
        <v>-0.950024</v>
      </c>
      <c r="AB2722" s="3" t="n">
        <v>7.949057</v>
      </c>
      <c r="AC2722" s="3" t="n">
        <v>2.703477</v>
      </c>
      <c r="AD2722" s="3" t="n">
        <v>3.747933</v>
      </c>
      <c r="AE2722" s="3" t="n">
        <v>3.949926</v>
      </c>
      <c r="AF2722" s="3" t="n">
        <v>2.030391</v>
      </c>
      <c r="AG2722" s="3" t="n">
        <v>2.834911</v>
      </c>
      <c r="AH2722" s="3" t="n">
        <v>3.537961</v>
      </c>
      <c r="AI2722" s="3" t="n">
        <v>3.481052</v>
      </c>
      <c r="AJ2722" s="3" t="n">
        <v>3.491035</v>
      </c>
      <c r="AK2722" s="3" t="n">
        <v>3.546206</v>
      </c>
      <c r="AL2722" s="3" t="n">
        <v>3.546206</v>
      </c>
      <c r="AM2722" s="3" t="n"/>
      <c r="AN2722" s="3" t="n"/>
      <c r="AO2722" s="3" t="n"/>
      <c r="AP2722" s="3" t="n"/>
      <c r="AQ2722" s="3" t="n"/>
      <c r="AR2722" s="3" t="n"/>
      <c r="AS2722" s="3" t="n"/>
      <c r="AT2722" s="3" t="n"/>
      <c r="AU2722" s="3" t="n"/>
    </row>
    <row r="2723">
      <c r="A2723" s="3" t="n">
        <v>2031</v>
      </c>
      <c r="B2723" s="3" t="inlineStr">
        <is>
          <t>SRB</t>
        </is>
      </c>
      <c r="C2723" s="3" t="inlineStr">
        <is>
          <t>IMF.RES:WEO</t>
        </is>
      </c>
      <c r="D2723" s="3" t="inlineStr">
        <is>
          <t>SRB.NGDPD.A</t>
        </is>
      </c>
      <c r="E2723" s="3" t="inlineStr">
        <is>
          <t>Serbia, Republic of</t>
        </is>
      </c>
      <c r="F2723" s="3" t="inlineStr">
        <is>
          <t>Gross domestic product (GDP), Current prices, US dollar</t>
        </is>
      </c>
      <c r="G2723" s="3" t="n">
        <v>10.431188</v>
      </c>
      <c r="H2723" s="3" t="n">
        <v>13.649864</v>
      </c>
      <c r="I2723" s="3" t="n">
        <v>17.997195</v>
      </c>
      <c r="J2723" s="3" t="n">
        <v>23.62677</v>
      </c>
      <c r="K2723" s="3" t="n">
        <v>26.717513</v>
      </c>
      <c r="L2723" s="3" t="n">
        <v>28.142827</v>
      </c>
      <c r="M2723" s="3" t="n">
        <v>33.421223</v>
      </c>
      <c r="N2723" s="3" t="n">
        <v>45.121328</v>
      </c>
      <c r="O2723" s="3" t="n">
        <v>54.116896</v>
      </c>
      <c r="P2723" s="3" t="n">
        <v>46.94924</v>
      </c>
      <c r="Q2723" s="3" t="n">
        <v>43.067496</v>
      </c>
      <c r="R2723" s="3" t="n">
        <v>51.274117</v>
      </c>
      <c r="S2723" s="3" t="n">
        <v>45.110701</v>
      </c>
      <c r="T2723" s="3" t="n">
        <v>50.455564</v>
      </c>
      <c r="U2723" s="3" t="n">
        <v>49.114321</v>
      </c>
      <c r="V2723" s="3" t="n">
        <v>41.297411</v>
      </c>
      <c r="W2723" s="3" t="n">
        <v>42.225496</v>
      </c>
      <c r="X2723" s="3" t="n">
        <v>45.972835</v>
      </c>
      <c r="Y2723" s="3" t="n">
        <v>52.78752</v>
      </c>
      <c r="Z2723" s="3" t="n">
        <v>53.864693</v>
      </c>
      <c r="AA2723" s="3" t="n">
        <v>55.874018</v>
      </c>
      <c r="AB2723" s="3" t="n">
        <v>65.830336</v>
      </c>
      <c r="AC2723" s="3" t="n">
        <v>66.80989599999999</v>
      </c>
      <c r="AD2723" s="3" t="n">
        <v>81.34399999999999</v>
      </c>
      <c r="AE2723" s="3" t="n">
        <v>90.08836700000001</v>
      </c>
      <c r="AF2723" s="3" t="n">
        <v>99.95332500000001</v>
      </c>
      <c r="AG2723" s="3" t="n">
        <v>112.025469</v>
      </c>
      <c r="AH2723" s="3" t="n">
        <v>122.017892</v>
      </c>
      <c r="AI2723" s="3" t="n">
        <v>130.082931</v>
      </c>
      <c r="AJ2723" s="3" t="n">
        <v>138.745031</v>
      </c>
      <c r="AK2723" s="3" t="n">
        <v>148.049721</v>
      </c>
      <c r="AL2723" s="3" t="n">
        <v>157.999247</v>
      </c>
      <c r="AM2723" s="3" t="n"/>
      <c r="AN2723" s="3" t="n"/>
      <c r="AO2723" s="3" t="n"/>
      <c r="AP2723" s="3" t="n"/>
      <c r="AQ2723" s="3" t="n"/>
      <c r="AR2723" s="3" t="n"/>
      <c r="AS2723" s="3" t="n"/>
      <c r="AT2723" s="3" t="n"/>
      <c r="AU2723" s="3" t="n"/>
    </row>
    <row r="2724">
      <c r="A2724" s="3" t="n">
        <v>2031</v>
      </c>
      <c r="B2724" s="3" t="inlineStr">
        <is>
          <t>SRB</t>
        </is>
      </c>
      <c r="C2724" s="3" t="inlineStr">
        <is>
          <t>IMF.RES:WEO</t>
        </is>
      </c>
      <c r="D2724" s="3" t="inlineStr">
        <is>
          <t>SRB.NGDPPC.A</t>
        </is>
      </c>
      <c r="E2724" s="3" t="inlineStr">
        <is>
          <t>Serbia, Republic of</t>
        </is>
      </c>
      <c r="F2724" s="3" t="inlineStr">
        <is>
          <t>Gross domestic product (GDP), Current prices, Per capita, Domestic currency</t>
        </is>
      </c>
      <c r="G2724" s="3" t="n">
        <v>61569.41152</v>
      </c>
      <c r="H2724" s="3" t="n">
        <v>121275.71473</v>
      </c>
      <c r="I2724" s="3" t="n">
        <v>153959.243635</v>
      </c>
      <c r="J2724" s="3" t="n">
        <v>181618.658205</v>
      </c>
      <c r="K2724" s="3" t="n">
        <v>210003.032229</v>
      </c>
      <c r="L2724" s="3" t="n">
        <v>254044.427397</v>
      </c>
      <c r="M2724" s="3" t="n">
        <v>301666.853537</v>
      </c>
      <c r="N2724" s="3" t="n">
        <v>355460.857359</v>
      </c>
      <c r="O2724" s="3" t="n">
        <v>411057.502753</v>
      </c>
      <c r="P2724" s="3" t="n">
        <v>433464.999146</v>
      </c>
      <c r="Q2724" s="3" t="n">
        <v>464113.557329</v>
      </c>
      <c r="R2724" s="3" t="n">
        <v>519368.12437</v>
      </c>
      <c r="S2724" s="3" t="n">
        <v>550980.372553</v>
      </c>
      <c r="T2724" s="3" t="n">
        <v>599554.2626979999</v>
      </c>
      <c r="U2724" s="3" t="n">
        <v>608818.897704</v>
      </c>
      <c r="V2724" s="3" t="n">
        <v>633317.48265</v>
      </c>
      <c r="W2724" s="3" t="n">
        <v>665705.305029</v>
      </c>
      <c r="X2724" s="3" t="n">
        <v>705608.887119</v>
      </c>
      <c r="Y2724" s="3" t="n">
        <v>757309.708527</v>
      </c>
      <c r="Z2724" s="3" t="n">
        <v>816276.943833</v>
      </c>
      <c r="AA2724" s="3" t="n">
        <v>835489.53882</v>
      </c>
      <c r="AB2724" s="3" t="n">
        <v>962205.197703</v>
      </c>
      <c r="AC2724" s="3" t="n">
        <v>1119393.186143</v>
      </c>
      <c r="AD2724" s="3" t="n">
        <v>1331370.203722</v>
      </c>
      <c r="AE2724" s="3" t="n">
        <v>1480041.633796</v>
      </c>
      <c r="AF2724" s="3" t="n">
        <v>1589152.278781</v>
      </c>
      <c r="AG2724" s="3" t="n">
        <v>1712899.719996</v>
      </c>
      <c r="AH2724" s="3" t="n">
        <v>1882175.671696</v>
      </c>
      <c r="AI2724" s="3" t="n">
        <v>2026008.59254</v>
      </c>
      <c r="AJ2724" s="3" t="n">
        <v>2176621.204721</v>
      </c>
      <c r="AK2724" s="3" t="n">
        <v>2339422.931125</v>
      </c>
      <c r="AL2724" s="3" t="n">
        <v>2514748.549282</v>
      </c>
      <c r="AM2724" s="3" t="n"/>
      <c r="AN2724" s="3" t="n"/>
      <c r="AO2724" s="3" t="n"/>
      <c r="AP2724" s="3" t="n"/>
      <c r="AQ2724" s="3" t="n"/>
      <c r="AR2724" s="3" t="n"/>
      <c r="AS2724" s="3" t="n"/>
      <c r="AT2724" s="3" t="n"/>
      <c r="AU2724" s="3" t="n"/>
    </row>
    <row r="2725">
      <c r="A2725" s="3" t="n">
        <v>2031</v>
      </c>
      <c r="B2725" s="3" t="inlineStr">
        <is>
          <t>SRB</t>
        </is>
      </c>
      <c r="C2725" s="3" t="inlineStr">
        <is>
          <t>IMF.RES:WEO</t>
        </is>
      </c>
      <c r="D2725" s="3" t="inlineStr">
        <is>
          <t>SRB.NGDPRPC.A</t>
        </is>
      </c>
      <c r="E2725" s="3" t="inlineStr">
        <is>
          <t>Serbia, Republic of</t>
        </is>
      </c>
      <c r="F2725" s="3" t="inlineStr">
        <is>
          <t>Gross domestic product (GDP), Constant prices, Per capita, Domestic currency</t>
        </is>
      </c>
      <c r="G2725" s="3" t="n">
        <v>456552.239612</v>
      </c>
      <c r="H2725" s="3" t="n">
        <v>488338.697767</v>
      </c>
      <c r="I2725" s="3" t="n">
        <v>520517.155196</v>
      </c>
      <c r="J2725" s="3" t="n">
        <v>545665.482848</v>
      </c>
      <c r="K2725" s="3" t="n">
        <v>583513.330887</v>
      </c>
      <c r="L2725" s="3" t="n">
        <v>619820.357278</v>
      </c>
      <c r="M2725" s="3" t="n">
        <v>646534.694611</v>
      </c>
      <c r="N2725" s="3" t="n">
        <v>700004.2267380001</v>
      </c>
      <c r="O2725" s="3" t="n">
        <v>739271.126777</v>
      </c>
      <c r="P2725" s="3" t="n">
        <v>718915.756145</v>
      </c>
      <c r="Q2725" s="3" t="n">
        <v>733439.8464170001</v>
      </c>
      <c r="R2725" s="3" t="n">
        <v>739406.902683</v>
      </c>
      <c r="S2725" s="3" t="n">
        <v>739704.147624</v>
      </c>
      <c r="T2725" s="3" t="n">
        <v>746667.568076</v>
      </c>
      <c r="U2725" s="3" t="n">
        <v>736769.844641</v>
      </c>
      <c r="V2725" s="3" t="n">
        <v>750145.552397</v>
      </c>
      <c r="W2725" s="3" t="n">
        <v>776519.830067</v>
      </c>
      <c r="X2725" s="3" t="n">
        <v>799113.641096</v>
      </c>
      <c r="Y2725" s="3" t="n">
        <v>840848.700571</v>
      </c>
      <c r="Z2725" s="3" t="n">
        <v>885529.877679</v>
      </c>
      <c r="AA2725" s="3" t="n">
        <v>882979.177362</v>
      </c>
      <c r="AB2725" s="3" t="n">
        <v>962205.197703</v>
      </c>
      <c r="AC2725" s="3" t="n">
        <v>1013407.90514</v>
      </c>
      <c r="AD2725" s="3" t="n">
        <v>1057940.479676</v>
      </c>
      <c r="AE2725" s="3" t="n">
        <v>1105857.229268</v>
      </c>
      <c r="AF2725" s="3" t="n">
        <v>1136369.046846</v>
      </c>
      <c r="AG2725" s="3" t="n">
        <v>1176930.338001</v>
      </c>
      <c r="AH2725" s="3" t="n">
        <v>1229187.947978</v>
      </c>
      <c r="AI2725" s="3" t="n">
        <v>1281540.508474</v>
      </c>
      <c r="AJ2725" s="3" t="n">
        <v>1336251.715843</v>
      </c>
      <c r="AK2725" s="3" t="n">
        <v>1394041.414326</v>
      </c>
      <c r="AL2725" s="3" t="n">
        <v>1454330.379385</v>
      </c>
      <c r="AM2725" s="3" t="n"/>
      <c r="AN2725" s="3" t="n"/>
      <c r="AO2725" s="3" t="n"/>
      <c r="AP2725" s="3" t="n"/>
      <c r="AQ2725" s="3" t="n"/>
      <c r="AR2725" s="3" t="n"/>
      <c r="AS2725" s="3" t="n"/>
      <c r="AT2725" s="3" t="n"/>
      <c r="AU2725" s="3" t="n"/>
    </row>
    <row r="2726">
      <c r="A2726" s="3" t="n">
        <v>2031</v>
      </c>
      <c r="B2726" s="3" t="inlineStr">
        <is>
          <t>SRB</t>
        </is>
      </c>
      <c r="C2726" s="3" t="inlineStr">
        <is>
          <t>IMF.RES:WEO</t>
        </is>
      </c>
      <c r="D2726" s="3" t="inlineStr">
        <is>
          <t>SRB.PCPI.A</t>
        </is>
      </c>
      <c r="E2726" s="3" t="inlineStr">
        <is>
          <t>Serbia, Republic of</t>
        </is>
      </c>
      <c r="F2726" s="3" t="inlineStr">
        <is>
          <t>All Items, Consumer price index (CPI), Period average</t>
        </is>
      </c>
      <c r="G2726" s="3" t="n">
        <v>12.190169</v>
      </c>
      <c r="H2726" s="3" t="n">
        <v>22.033047</v>
      </c>
      <c r="I2726" s="3" t="n">
        <v>23.986869</v>
      </c>
      <c r="J2726" s="3" t="n">
        <v>24.682831</v>
      </c>
      <c r="K2726" s="3" t="n">
        <v>27.299683</v>
      </c>
      <c r="L2726" s="3" t="n">
        <v>31.736666</v>
      </c>
      <c r="M2726" s="3" t="n">
        <v>35.142535</v>
      </c>
      <c r="N2726" s="3" t="n">
        <v>37.202704</v>
      </c>
      <c r="O2726" s="3" t="n">
        <v>41.82592</v>
      </c>
      <c r="P2726" s="3" t="n">
        <v>45.205708</v>
      </c>
      <c r="Q2726" s="3" t="n">
        <v>47.984645</v>
      </c>
      <c r="R2726" s="3" t="n">
        <v>53.317199</v>
      </c>
      <c r="S2726" s="3" t="n">
        <v>57.231077</v>
      </c>
      <c r="T2726" s="3" t="n">
        <v>61.612284</v>
      </c>
      <c r="U2726" s="3" t="n">
        <v>62.939164</v>
      </c>
      <c r="V2726" s="3" t="n">
        <v>63.80706</v>
      </c>
      <c r="W2726" s="3" t="n">
        <v>64.524743</v>
      </c>
      <c r="X2726" s="3" t="n">
        <v>66.56930699999999</v>
      </c>
      <c r="Y2726" s="3" t="n">
        <v>67.871151</v>
      </c>
      <c r="Z2726" s="3" t="n">
        <v>69.13961399999999</v>
      </c>
      <c r="AA2726" s="3" t="n">
        <v>70.20779400000001</v>
      </c>
      <c r="AB2726" s="3" t="n">
        <v>73.07852800000001</v>
      </c>
      <c r="AC2726" s="3" t="n">
        <v>81.824251</v>
      </c>
      <c r="AD2726" s="3" t="n">
        <v>91.93858</v>
      </c>
      <c r="AE2726" s="3" t="n">
        <v>96.24468</v>
      </c>
      <c r="AF2726" s="3" t="n">
        <v>100</v>
      </c>
      <c r="AG2726" s="3" t="n">
        <v>105.211534</v>
      </c>
      <c r="AH2726" s="3" t="n">
        <v>110.330177</v>
      </c>
      <c r="AI2726" s="3" t="n">
        <v>113.618478</v>
      </c>
      <c r="AJ2726" s="3" t="n">
        <v>116.993408</v>
      </c>
      <c r="AK2726" s="3" t="n">
        <v>120.468587</v>
      </c>
      <c r="AL2726" s="3" t="n">
        <v>124.046993</v>
      </c>
      <c r="AM2726" s="3" t="n"/>
      <c r="AN2726" s="3" t="n"/>
      <c r="AO2726" s="3" t="n"/>
      <c r="AP2726" s="3" t="n"/>
      <c r="AQ2726" s="3" t="n"/>
      <c r="AR2726" s="3" t="n"/>
      <c r="AS2726" s="3" t="n"/>
      <c r="AT2726" s="3" t="n"/>
      <c r="AU2726" s="3" t="n"/>
    </row>
    <row r="2727">
      <c r="A2727" s="3" t="n">
        <v>2031</v>
      </c>
      <c r="B2727" s="3" t="inlineStr">
        <is>
          <t>SRB</t>
        </is>
      </c>
      <c r="C2727" s="3" t="inlineStr">
        <is>
          <t>IMF.RES:WEO</t>
        </is>
      </c>
      <c r="D2727" s="3" t="inlineStr">
        <is>
          <t>SRB.PCPIPCH.A</t>
        </is>
      </c>
      <c r="E2727" s="3" t="inlineStr">
        <is>
          <t>Serbia, Republic of</t>
        </is>
      </c>
      <c r="F2727" s="3" t="inlineStr">
        <is>
          <t>All Items, Consumer price index (CPI), Period average, percent change</t>
        </is>
      </c>
      <c r="G2727" s="3" t="n">
        <v>70</v>
      </c>
      <c r="H2727" s="3" t="n">
        <v>80.744398</v>
      </c>
      <c r="I2727" s="3" t="n">
        <v>8.867687999999999</v>
      </c>
      <c r="J2727" s="3" t="n">
        <v>2.90143</v>
      </c>
      <c r="K2727" s="3" t="n">
        <v>10.601912</v>
      </c>
      <c r="L2727" s="3" t="n">
        <v>16.252872</v>
      </c>
      <c r="M2727" s="3" t="n">
        <v>10.731655</v>
      </c>
      <c r="N2727" s="3" t="n">
        <v>5.862323</v>
      </c>
      <c r="O2727" s="3" t="n">
        <v>12.427097</v>
      </c>
      <c r="P2727" s="3" t="n">
        <v>8.080607000000001</v>
      </c>
      <c r="Q2727" s="3" t="n">
        <v>6.147314</v>
      </c>
      <c r="R2727" s="3" t="n">
        <v>11.113043</v>
      </c>
      <c r="S2727" s="3" t="n">
        <v>7.340742</v>
      </c>
      <c r="T2727" s="3" t="n">
        <v>7.655293</v>
      </c>
      <c r="U2727" s="3" t="n">
        <v>2.153596</v>
      </c>
      <c r="V2727" s="3" t="n">
        <v>1.378945</v>
      </c>
      <c r="W2727" s="3" t="n">
        <v>1.124771</v>
      </c>
      <c r="X2727" s="3" t="n">
        <v>3.16865</v>
      </c>
      <c r="Y2727" s="3" t="n">
        <v>1.955622</v>
      </c>
      <c r="Z2727" s="3" t="n">
        <v>1.868929</v>
      </c>
      <c r="AA2727" s="3" t="n">
        <v>1.544961</v>
      </c>
      <c r="AB2727" s="3" t="n">
        <v>4.08891</v>
      </c>
      <c r="AC2727" s="3" t="n">
        <v>11.967569</v>
      </c>
      <c r="AD2727" s="3" t="n">
        <v>12.36104</v>
      </c>
      <c r="AE2727" s="3" t="n">
        <v>4.683671</v>
      </c>
      <c r="AF2727" s="3" t="n">
        <v>3.901847</v>
      </c>
      <c r="AG2727" s="3" t="n">
        <v>5.211534</v>
      </c>
      <c r="AH2727" s="3" t="n">
        <v>4.865096</v>
      </c>
      <c r="AI2727" s="3" t="n">
        <v>2.980419</v>
      </c>
      <c r="AJ2727" s="3" t="n">
        <v>2.970406</v>
      </c>
      <c r="AK2727" s="3" t="n">
        <v>2.970406</v>
      </c>
      <c r="AL2727" s="3" t="n">
        <v>2.970406</v>
      </c>
      <c r="AM2727" s="3" t="n"/>
      <c r="AN2727" s="3" t="n"/>
      <c r="AO2727" s="3" t="n"/>
      <c r="AP2727" s="3" t="n"/>
      <c r="AQ2727" s="3" t="n"/>
      <c r="AR2727" s="3" t="n"/>
      <c r="AS2727" s="3" t="n"/>
      <c r="AT2727" s="3" t="n"/>
      <c r="AU2727" s="3" t="n"/>
    </row>
    <row r="2728">
      <c r="A2728" s="3" t="n">
        <v>2031</v>
      </c>
      <c r="B2728" s="3" t="inlineStr">
        <is>
          <t>SRB</t>
        </is>
      </c>
      <c r="C2728" s="3" t="inlineStr">
        <is>
          <t>IMF.RES:WEO</t>
        </is>
      </c>
      <c r="D2728" s="3" t="inlineStr">
        <is>
          <t>SRB.PPPPC.A</t>
        </is>
      </c>
      <c r="E2728" s="3" t="inlineStr">
        <is>
          <t>Serbia, Republic of</t>
        </is>
      </c>
      <c r="F2728" s="3" t="inlineStr">
        <is>
          <t>Gross domestic product (GDP), Per capita, purchasing power parity (PPP) international dollar, ICP benchmarks 2017-2021</t>
        </is>
      </c>
      <c r="G2728" s="3" t="n">
        <v>7181.766154</v>
      </c>
      <c r="H2728" s="3" t="n">
        <v>7854.745571</v>
      </c>
      <c r="I2728" s="3" t="n">
        <v>8502.432951999999</v>
      </c>
      <c r="J2728" s="3" t="n">
        <v>9089.186705</v>
      </c>
      <c r="K2728" s="3" t="n">
        <v>9980.969916</v>
      </c>
      <c r="L2728" s="3" t="n">
        <v>10934.459739</v>
      </c>
      <c r="M2728" s="3" t="n">
        <v>11757.475835</v>
      </c>
      <c r="N2728" s="3" t="n">
        <v>13074.725053</v>
      </c>
      <c r="O2728" s="3" t="n">
        <v>14074.156647</v>
      </c>
      <c r="P2728" s="3" t="n">
        <v>13771.044707</v>
      </c>
      <c r="Q2728" s="3" t="n">
        <v>14220.009079</v>
      </c>
      <c r="R2728" s="3" t="n">
        <v>14631.480071</v>
      </c>
      <c r="S2728" s="3" t="n">
        <v>14909.899738</v>
      </c>
      <c r="T2728" s="3" t="n">
        <v>15306.414561</v>
      </c>
      <c r="U2728" s="3" t="n">
        <v>15366.574977</v>
      </c>
      <c r="V2728" s="3" t="n">
        <v>15790.746883</v>
      </c>
      <c r="W2728" s="3" t="n">
        <v>16501.25476</v>
      </c>
      <c r="X2728" s="3" t="n">
        <v>17285.497065</v>
      </c>
      <c r="Y2728" s="3" t="n">
        <v>18469.062809</v>
      </c>
      <c r="Z2728" s="3" t="n">
        <v>20587.305187</v>
      </c>
      <c r="AA2728" s="3" t="n">
        <v>21013.089437</v>
      </c>
      <c r="AB2728" s="3" t="n">
        <v>23669.670713</v>
      </c>
      <c r="AC2728" s="3" t="n">
        <v>26702.296416</v>
      </c>
      <c r="AD2728" s="3" t="n">
        <v>28907.095401</v>
      </c>
      <c r="AE2728" s="3" t="n">
        <v>30966.504396</v>
      </c>
      <c r="AF2728" s="3" t="n">
        <v>32723.589086</v>
      </c>
      <c r="AG2728" s="3" t="n">
        <v>34862.561502</v>
      </c>
      <c r="AH2728" s="3" t="n">
        <v>37210.054853</v>
      </c>
      <c r="AI2728" s="3" t="n">
        <v>39431.650255</v>
      </c>
      <c r="AJ2728" s="3" t="n">
        <v>41846.126754</v>
      </c>
      <c r="AK2728" s="3" t="n">
        <v>44458.060256</v>
      </c>
      <c r="AL2728" s="3" t="n">
        <v>47218.078074</v>
      </c>
      <c r="AM2728" s="3" t="n"/>
      <c r="AN2728" s="3" t="n"/>
      <c r="AO2728" s="3" t="n"/>
      <c r="AP2728" s="3" t="n"/>
      <c r="AQ2728" s="3" t="n"/>
      <c r="AR2728" s="3" t="n"/>
      <c r="AS2728" s="3" t="n"/>
      <c r="AT2728" s="3" t="n"/>
      <c r="AU2728" s="3" t="n"/>
    </row>
    <row r="2729">
      <c r="A2729" s="3" t="n">
        <v>2025</v>
      </c>
      <c r="B2729" s="3" t="inlineStr">
        <is>
          <t>SRB</t>
        </is>
      </c>
      <c r="C2729" s="3" t="inlineStr">
        <is>
          <t>IMF.STA:ER</t>
        </is>
      </c>
      <c r="D2729" s="3" t="inlineStr">
        <is>
          <t>SRB.XDC_USD.PA_RT.A</t>
        </is>
      </c>
      <c r="E2729" s="3" t="inlineStr">
        <is>
          <t>Serbia, Republic of</t>
        </is>
      </c>
      <c r="F2729" s="3" t="inlineStr">
        <is>
          <t>Domestic currency per US Dollar</t>
        </is>
      </c>
      <c r="G2729" s="3" t="n">
        <v>63.1659</v>
      </c>
      <c r="H2729" s="3" t="n">
        <v>66.91365999999999</v>
      </c>
      <c r="I2729" s="3" t="n">
        <v>64.405225</v>
      </c>
      <c r="J2729" s="3" t="n">
        <v>57.5900416666666</v>
      </c>
      <c r="K2729" s="3" t="n">
        <v>58.3757083333333</v>
      </c>
      <c r="L2729" s="3" t="n">
        <v>66.717825</v>
      </c>
      <c r="M2729" s="3" t="n">
        <v>67.155125</v>
      </c>
      <c r="N2729" s="3" t="n">
        <v>58.4495666666666</v>
      </c>
      <c r="O2729" s="3" t="n">
        <v>55.72925</v>
      </c>
      <c r="P2729" s="3" t="n">
        <v>67.60493333333331</v>
      </c>
      <c r="Q2729" s="3" t="n">
        <v>77.7228416666666</v>
      </c>
      <c r="R2729" s="3" t="n">
        <v>73.35543333333329</v>
      </c>
      <c r="S2729" s="3" t="n">
        <v>87.95880833333329</v>
      </c>
      <c r="T2729" s="3" t="n">
        <v>85.1588416666666</v>
      </c>
      <c r="U2729" s="3" t="n">
        <v>88.40530833333329</v>
      </c>
      <c r="V2729" s="3" t="n">
        <v>108.811425</v>
      </c>
      <c r="W2729" s="3" t="n">
        <v>111.27785</v>
      </c>
      <c r="X2729" s="3" t="n">
        <v>107.75885</v>
      </c>
      <c r="Y2729" s="3" t="n">
        <v>100.175075</v>
      </c>
      <c r="Z2729" s="3" t="n">
        <v>105.249558333333</v>
      </c>
      <c r="AA2729" s="3" t="n">
        <v>103.163291666666</v>
      </c>
      <c r="AB2729" s="3" t="n">
        <v>99.3959416666666</v>
      </c>
      <c r="AC2729" s="3" t="n">
        <v>111.662183333333</v>
      </c>
      <c r="AD2729" s="3" t="n">
        <v>108.402691666666</v>
      </c>
      <c r="AE2729" s="3" t="n">
        <v>108.207741666666</v>
      </c>
      <c r="AF2729" s="3" t="n">
        <v>103.9754</v>
      </c>
      <c r="AG2729" s="3" t="n"/>
      <c r="AH2729" s="3" t="n"/>
      <c r="AI2729" s="3" t="n"/>
      <c r="AJ2729" s="3" t="n"/>
      <c r="AK2729" s="3" t="n"/>
      <c r="AL2729" s="3" t="n"/>
      <c r="AM2729" s="3" t="n"/>
      <c r="AN2729" s="3" t="n"/>
      <c r="AO2729" s="3" t="n"/>
      <c r="AP2729" s="3" t="n"/>
      <c r="AQ2729" s="3" t="n"/>
      <c r="AR2729" s="3" t="n"/>
      <c r="AS2729" s="3" t="n"/>
      <c r="AT2729" s="3" t="n"/>
      <c r="AU2729" s="3" t="n"/>
    </row>
    <row r="2730">
      <c r="A2730" s="3" t="n">
        <v>2031</v>
      </c>
      <c r="B2730" s="3" t="inlineStr">
        <is>
          <t>SSD</t>
        </is>
      </c>
      <c r="C2730" s="3" t="inlineStr">
        <is>
          <t>IMF.RES:WEO</t>
        </is>
      </c>
      <c r="D2730" s="3" t="inlineStr">
        <is>
          <t>SSD.BCA.A</t>
        </is>
      </c>
      <c r="E2730" s="3" t="inlineStr">
        <is>
          <t>South Sudan, Republic of</t>
        </is>
      </c>
      <c r="F2730" s="3" t="inlineStr">
        <is>
          <t>Current account balance (credit less debit), US dollar</t>
        </is>
      </c>
      <c r="G2730" s="3" t="n"/>
      <c r="H2730" s="3" t="n"/>
      <c r="I2730" s="3" t="n"/>
      <c r="J2730" s="3" t="n"/>
      <c r="K2730" s="3" t="n"/>
      <c r="L2730" s="3" t="n"/>
      <c r="M2730" s="3" t="n"/>
      <c r="N2730" s="3" t="n"/>
      <c r="O2730" s="3" t="n"/>
      <c r="P2730" s="3" t="n"/>
      <c r="Q2730" s="3" t="n"/>
      <c r="R2730" s="3" t="n">
        <v>3.124722</v>
      </c>
      <c r="S2730" s="3" t="n">
        <v>-1.792632</v>
      </c>
      <c r="T2730" s="3" t="n">
        <v>-0.581495</v>
      </c>
      <c r="U2730" s="3" t="n">
        <v>-0.790185</v>
      </c>
      <c r="V2730" s="3" t="n">
        <v>-0.50019</v>
      </c>
      <c r="W2730" s="3" t="n">
        <v>-0.215665</v>
      </c>
      <c r="X2730" s="3" t="n">
        <v>0.281712</v>
      </c>
      <c r="Y2730" s="3" t="n">
        <v>-0.31555</v>
      </c>
      <c r="Z2730" s="3" t="n">
        <v>-0.19395</v>
      </c>
      <c r="AA2730" s="3" t="n">
        <v>-1.7175</v>
      </c>
      <c r="AB2730" s="3" t="n">
        <v>-0.00655</v>
      </c>
      <c r="AC2730" s="3" t="n">
        <v>-0.5967479999999999</v>
      </c>
      <c r="AD2730" s="3" t="n">
        <v>-1.365004</v>
      </c>
      <c r="AE2730" s="3" t="n">
        <v>2.489639</v>
      </c>
      <c r="AF2730" s="3" t="n">
        <v>-0.23173</v>
      </c>
      <c r="AG2730" s="3" t="n">
        <v>0.193384</v>
      </c>
      <c r="AH2730" s="3" t="n">
        <v>0.330718</v>
      </c>
      <c r="AI2730" s="3" t="n">
        <v>0.372892</v>
      </c>
      <c r="AJ2730" s="3" t="n">
        <v>0.419573</v>
      </c>
      <c r="AK2730" s="3" t="n">
        <v>0.44941</v>
      </c>
      <c r="AL2730" s="3" t="n">
        <v>0.505027</v>
      </c>
      <c r="AM2730" s="3" t="n"/>
      <c r="AN2730" s="3" t="n"/>
      <c r="AO2730" s="3" t="n"/>
      <c r="AP2730" s="3" t="n"/>
      <c r="AQ2730" s="3" t="n"/>
      <c r="AR2730" s="3" t="n"/>
      <c r="AS2730" s="3" t="n"/>
      <c r="AT2730" s="3" t="n"/>
      <c r="AU2730" s="3" t="n"/>
    </row>
    <row r="2731">
      <c r="A2731" s="3" t="n">
        <v>2031</v>
      </c>
      <c r="B2731" s="3" t="inlineStr">
        <is>
          <t>SSD</t>
        </is>
      </c>
      <c r="C2731" s="3" t="inlineStr">
        <is>
          <t>IMF.RES:WEO</t>
        </is>
      </c>
      <c r="D2731" s="3" t="inlineStr">
        <is>
          <t>SSD.BCA_NGDPD.A</t>
        </is>
      </c>
      <c r="E2731" s="3" t="inlineStr">
        <is>
          <t>South Sudan, Republic of</t>
        </is>
      </c>
      <c r="F2731" s="3" t="inlineStr">
        <is>
          <t>Current account balance (credit less debit), Percent of GDP</t>
        </is>
      </c>
      <c r="G2731" s="3" t="n"/>
      <c r="H2731" s="3" t="n"/>
      <c r="I2731" s="3" t="n"/>
      <c r="J2731" s="3" t="n"/>
      <c r="K2731" s="3" t="n"/>
      <c r="L2731" s="3" t="n"/>
      <c r="M2731" s="3" t="n"/>
      <c r="N2731" s="3" t="n"/>
      <c r="O2731" s="3" t="n"/>
      <c r="P2731" s="3" t="n"/>
      <c r="Q2731" s="3" t="n"/>
      <c r="R2731" s="3" t="n">
        <v>18.019935</v>
      </c>
      <c r="S2731" s="3" t="n">
        <v>-15.910733</v>
      </c>
      <c r="T2731" s="3" t="n">
        <v>-3.890405</v>
      </c>
      <c r="U2731" s="3" t="n">
        <v>-5.409352</v>
      </c>
      <c r="V2731" s="3" t="n">
        <v>-3.316425</v>
      </c>
      <c r="W2731" s="3" t="n">
        <v>-7.634233</v>
      </c>
      <c r="X2731" s="3" t="n">
        <v>10.29603</v>
      </c>
      <c r="Y2731" s="3" t="n">
        <v>-12.329624</v>
      </c>
      <c r="Z2731" s="3" t="n">
        <v>-4.796466</v>
      </c>
      <c r="AA2731" s="3" t="n">
        <v>-31.668778</v>
      </c>
      <c r="AB2731" s="3" t="n">
        <v>-0.110261</v>
      </c>
      <c r="AC2731" s="3" t="n">
        <v>-7.922272</v>
      </c>
      <c r="AD2731" s="3" t="n">
        <v>-18.443837</v>
      </c>
      <c r="AE2731" s="3" t="n">
        <v>53.692176</v>
      </c>
      <c r="AF2731" s="3" t="n">
        <v>-4.042366</v>
      </c>
      <c r="AG2731" s="3" t="n">
        <v>3.186658</v>
      </c>
      <c r="AH2731" s="3" t="n">
        <v>4.84505</v>
      </c>
      <c r="AI2731" s="3" t="n">
        <v>5.207422</v>
      </c>
      <c r="AJ2731" s="3" t="n">
        <v>5.603486</v>
      </c>
      <c r="AK2731" s="3" t="n">
        <v>5.731602</v>
      </c>
      <c r="AL2731" s="3" t="n">
        <v>6.201081</v>
      </c>
      <c r="AM2731" s="3" t="n"/>
      <c r="AN2731" s="3" t="n"/>
      <c r="AO2731" s="3" t="n"/>
      <c r="AP2731" s="3" t="n"/>
      <c r="AQ2731" s="3" t="n"/>
      <c r="AR2731" s="3" t="n"/>
      <c r="AS2731" s="3" t="n"/>
      <c r="AT2731" s="3" t="n"/>
      <c r="AU2731" s="3" t="n"/>
    </row>
    <row r="2732">
      <c r="A2732" s="3" t="n">
        <v>2031</v>
      </c>
      <c r="B2732" s="3" t="inlineStr">
        <is>
          <t>SSD</t>
        </is>
      </c>
      <c r="C2732" s="3" t="inlineStr">
        <is>
          <t>IMF.RES:WEO</t>
        </is>
      </c>
      <c r="D2732" s="3" t="inlineStr">
        <is>
          <t>SSD.GGR_NGDP.A</t>
        </is>
      </c>
      <c r="E2732" s="3" t="inlineStr">
        <is>
          <t>South Sudan, Republic of</t>
        </is>
      </c>
      <c r="F2732" s="3" t="inlineStr">
        <is>
          <t>Revenue, General government, Percent of GDP</t>
        </is>
      </c>
      <c r="G2732" s="3" t="n"/>
      <c r="H2732" s="3" t="n"/>
      <c r="I2732" s="3" t="n"/>
      <c r="J2732" s="3" t="n"/>
      <c r="K2732" s="3" t="n"/>
      <c r="L2732" s="3" t="n"/>
      <c r="M2732" s="3" t="n"/>
      <c r="N2732" s="3" t="n"/>
      <c r="O2732" s="3" t="n"/>
      <c r="P2732" s="3" t="n"/>
      <c r="Q2732" s="3" t="n"/>
      <c r="R2732" s="3" t="n">
        <v>25.417191</v>
      </c>
      <c r="S2732" s="3" t="n">
        <v>16.808179</v>
      </c>
      <c r="T2732" s="3" t="n">
        <v>21.88634</v>
      </c>
      <c r="U2732" s="3" t="n">
        <v>28.095819</v>
      </c>
      <c r="V2732" s="3" t="n">
        <v>17.412474</v>
      </c>
      <c r="W2732" s="3" t="n">
        <v>36.521627</v>
      </c>
      <c r="X2732" s="3" t="n">
        <v>46.330618</v>
      </c>
      <c r="Y2732" s="3" t="n">
        <v>58.055008</v>
      </c>
      <c r="Z2732" s="3" t="n">
        <v>47.96815</v>
      </c>
      <c r="AA2732" s="3" t="n">
        <v>28.600769</v>
      </c>
      <c r="AB2732" s="3" t="n">
        <v>34.815942</v>
      </c>
      <c r="AC2732" s="3" t="n">
        <v>33.876599</v>
      </c>
      <c r="AD2732" s="3" t="n">
        <v>30.406356</v>
      </c>
      <c r="AE2732" s="3" t="n">
        <v>30.471623</v>
      </c>
      <c r="AF2732" s="3" t="n">
        <v>21.876654</v>
      </c>
      <c r="AG2732" s="3" t="n">
        <v>28.131541</v>
      </c>
      <c r="AH2732" s="3" t="n">
        <v>26.566378</v>
      </c>
      <c r="AI2732" s="3" t="n">
        <v>25.886441</v>
      </c>
      <c r="AJ2732" s="3" t="n">
        <v>25.532734</v>
      </c>
      <c r="AK2732" s="3" t="n">
        <v>25.49919</v>
      </c>
      <c r="AL2732" s="3" t="n">
        <v>25.621683</v>
      </c>
      <c r="AM2732" s="3" t="n"/>
      <c r="AN2732" s="3" t="n"/>
      <c r="AO2732" s="3" t="n"/>
      <c r="AP2732" s="3" t="n"/>
      <c r="AQ2732" s="3" t="n"/>
      <c r="AR2732" s="3" t="n"/>
      <c r="AS2732" s="3" t="n"/>
      <c r="AT2732" s="3" t="n"/>
      <c r="AU2732" s="3" t="n"/>
    </row>
    <row r="2733">
      <c r="A2733" s="3" t="n">
        <v>2031</v>
      </c>
      <c r="B2733" s="3" t="inlineStr">
        <is>
          <t>SSD</t>
        </is>
      </c>
      <c r="C2733" s="3" t="inlineStr">
        <is>
          <t>IMF.RES:WEO</t>
        </is>
      </c>
      <c r="D2733" s="3" t="inlineStr">
        <is>
          <t>SSD.GGX_NGDP.A</t>
        </is>
      </c>
      <c r="E2733" s="3" t="inlineStr">
        <is>
          <t>South Sudan, Republic of</t>
        </is>
      </c>
      <c r="F2733" s="3" t="inlineStr">
        <is>
          <t>Expenditure, General government, Percent of GDP</t>
        </is>
      </c>
      <c r="G2733" s="3" t="n"/>
      <c r="H2733" s="3" t="n"/>
      <c r="I2733" s="3" t="n"/>
      <c r="J2733" s="3" t="n"/>
      <c r="K2733" s="3" t="n"/>
      <c r="L2733" s="3" t="n"/>
      <c r="M2733" s="3" t="n"/>
      <c r="N2733" s="3" t="n"/>
      <c r="O2733" s="3" t="n"/>
      <c r="P2733" s="3" t="n"/>
      <c r="Q2733" s="3" t="n"/>
      <c r="R2733" s="3" t="n">
        <v>20.846695</v>
      </c>
      <c r="S2733" s="3" t="n">
        <v>31.618036</v>
      </c>
      <c r="T2733" s="3" t="n">
        <v>25.33592</v>
      </c>
      <c r="U2733" s="3" t="n">
        <v>37.630223</v>
      </c>
      <c r="V2733" s="3" t="n">
        <v>33.694848</v>
      </c>
      <c r="W2733" s="3" t="n">
        <v>52.038558</v>
      </c>
      <c r="X2733" s="3" t="n">
        <v>42.170686</v>
      </c>
      <c r="Y2733" s="3" t="n">
        <v>59.206556</v>
      </c>
      <c r="Z2733" s="3" t="n">
        <v>47.926235</v>
      </c>
      <c r="AA2733" s="3" t="n">
        <v>34.099859</v>
      </c>
      <c r="AB2733" s="3" t="n">
        <v>44.114079</v>
      </c>
      <c r="AC2733" s="3" t="n">
        <v>29.450817</v>
      </c>
      <c r="AD2733" s="3" t="n">
        <v>21.287011</v>
      </c>
      <c r="AE2733" s="3" t="n">
        <v>18.947183</v>
      </c>
      <c r="AF2733" s="3" t="n">
        <v>18.424635</v>
      </c>
      <c r="AG2733" s="3" t="n">
        <v>26.763915</v>
      </c>
      <c r="AH2733" s="3" t="n">
        <v>26.78888</v>
      </c>
      <c r="AI2733" s="3" t="n">
        <v>26.913465</v>
      </c>
      <c r="AJ2733" s="3" t="n">
        <v>26.637029</v>
      </c>
      <c r="AK2733" s="3" t="n">
        <v>26.553851</v>
      </c>
      <c r="AL2733" s="3" t="n">
        <v>26.55648</v>
      </c>
      <c r="AM2733" s="3" t="n"/>
      <c r="AN2733" s="3" t="n"/>
      <c r="AO2733" s="3" t="n"/>
      <c r="AP2733" s="3" t="n"/>
      <c r="AQ2733" s="3" t="n"/>
      <c r="AR2733" s="3" t="n"/>
      <c r="AS2733" s="3" t="n"/>
      <c r="AT2733" s="3" t="n"/>
      <c r="AU2733" s="3" t="n"/>
    </row>
    <row r="2734">
      <c r="A2734" s="3" t="n">
        <v>2031</v>
      </c>
      <c r="B2734" s="3" t="inlineStr">
        <is>
          <t>SSD</t>
        </is>
      </c>
      <c r="C2734" s="3" t="inlineStr">
        <is>
          <t>IMF.RES:WEO</t>
        </is>
      </c>
      <c r="D2734" s="3" t="inlineStr">
        <is>
          <t>SSD.LP.A</t>
        </is>
      </c>
      <c r="E2734" s="3" t="inlineStr">
        <is>
          <t>South Sudan, Republic of</t>
        </is>
      </c>
      <c r="F2734" s="3" t="inlineStr">
        <is>
          <t>Population, Persons for countries / Index for country groups</t>
        </is>
      </c>
      <c r="G2734" s="3" t="n"/>
      <c r="H2734" s="3" t="n"/>
      <c r="I2734" s="3" t="n"/>
      <c r="J2734" s="3" t="n"/>
      <c r="K2734" s="3" t="n"/>
      <c r="L2734" s="3" t="n"/>
      <c r="M2734" s="3" t="n"/>
      <c r="N2734" s="3" t="n"/>
      <c r="O2734" s="3" t="n"/>
      <c r="P2734" s="3" t="n"/>
      <c r="Q2734" s="3" t="n"/>
      <c r="R2734" s="3" t="n">
        <v>10.288109</v>
      </c>
      <c r="S2734" s="3" t="n">
        <v>10.75624</v>
      </c>
      <c r="T2734" s="3" t="n">
        <v>11.166276</v>
      </c>
      <c r="U2734" s="3" t="n">
        <v>11.235073</v>
      </c>
      <c r="V2734" s="3" t="n">
        <v>11.107562</v>
      </c>
      <c r="W2734" s="3" t="n">
        <v>10.830102</v>
      </c>
      <c r="X2734" s="3" t="n">
        <v>10.259154</v>
      </c>
      <c r="Y2734" s="3" t="n">
        <v>10.122977</v>
      </c>
      <c r="Z2734" s="3" t="n">
        <v>10.423384</v>
      </c>
      <c r="AA2734" s="3" t="n">
        <v>10.698467</v>
      </c>
      <c r="AB2734" s="3" t="n">
        <v>10.86578</v>
      </c>
      <c r="AC2734" s="3" t="n">
        <v>11.021178</v>
      </c>
      <c r="AD2734" s="3" t="n">
        <v>11.483374</v>
      </c>
      <c r="AE2734" s="3" t="n">
        <v>11.943409</v>
      </c>
      <c r="AF2734" s="3" t="n">
        <v>12.188788</v>
      </c>
      <c r="AG2734" s="3" t="n">
        <v>12.436037</v>
      </c>
      <c r="AH2734" s="3" t="n">
        <v>12.687303</v>
      </c>
      <c r="AI2734" s="3" t="n">
        <v>12.9415</v>
      </c>
      <c r="AJ2734" s="3" t="n">
        <v>13.198085</v>
      </c>
      <c r="AK2734" s="3" t="n">
        <v>13.457454</v>
      </c>
      <c r="AL2734" s="3" t="n">
        <v>13.725412</v>
      </c>
      <c r="AM2734" s="3" t="n"/>
      <c r="AN2734" s="3" t="n"/>
      <c r="AO2734" s="3" t="n"/>
      <c r="AP2734" s="3" t="n"/>
      <c r="AQ2734" s="3" t="n"/>
      <c r="AR2734" s="3" t="n"/>
      <c r="AS2734" s="3" t="n"/>
      <c r="AT2734" s="3" t="n"/>
      <c r="AU2734" s="3" t="n"/>
    </row>
    <row r="2735">
      <c r="A2735" s="3" t="n">
        <v>2031</v>
      </c>
      <c r="B2735" s="3" t="inlineStr">
        <is>
          <t>SSD</t>
        </is>
      </c>
      <c r="C2735" s="3" t="inlineStr">
        <is>
          <t>IMF.RES:WEO</t>
        </is>
      </c>
      <c r="D2735" s="3" t="inlineStr">
        <is>
          <t>SSD.NGDP.A</t>
        </is>
      </c>
      <c r="E2735" s="3" t="inlineStr">
        <is>
          <t>South Sudan, Republic of</t>
        </is>
      </c>
      <c r="F2735" s="3" t="inlineStr">
        <is>
          <t>Gross domestic product (GDP), Current prices, Domestic currency</t>
        </is>
      </c>
      <c r="G2735" s="3" t="n"/>
      <c r="H2735" s="3" t="n"/>
      <c r="I2735" s="3" t="n"/>
      <c r="J2735" s="3" t="n"/>
      <c r="K2735" s="3" t="n"/>
      <c r="L2735" s="3" t="n"/>
      <c r="M2735" s="3" t="n"/>
      <c r="N2735" s="3" t="n"/>
      <c r="O2735" s="3" t="n"/>
      <c r="P2735" s="3" t="n"/>
      <c r="Q2735" s="3" t="n"/>
      <c r="R2735" s="3" t="n">
        <v>52.094588</v>
      </c>
      <c r="S2735" s="3" t="n">
        <v>33.237093</v>
      </c>
      <c r="T2735" s="3" t="n">
        <v>44.093331</v>
      </c>
      <c r="U2735" s="3" t="n">
        <v>43.0929</v>
      </c>
      <c r="V2735" s="3" t="n">
        <v>53.879462</v>
      </c>
      <c r="W2735" s="3" t="n">
        <v>132.652162</v>
      </c>
      <c r="X2735" s="3" t="n">
        <v>310.918186</v>
      </c>
      <c r="Y2735" s="3" t="n">
        <v>362.72155</v>
      </c>
      <c r="Z2735" s="3" t="n">
        <v>639.088341</v>
      </c>
      <c r="AA2735" s="3" t="n">
        <v>899.751878</v>
      </c>
      <c r="AB2735" s="3" t="n">
        <v>1837.781831</v>
      </c>
      <c r="AC2735" s="3" t="n">
        <v>4034.988452</v>
      </c>
      <c r="AD2735" s="3" t="n">
        <v>6895.260014</v>
      </c>
      <c r="AE2735" s="3" t="n">
        <v>10445.695879</v>
      </c>
      <c r="AF2735" s="3" t="n">
        <v>25306.275745</v>
      </c>
      <c r="AG2735" s="3" t="n">
        <v>33106.090916</v>
      </c>
      <c r="AH2735" s="3" t="n">
        <v>42716.067833</v>
      </c>
      <c r="AI2735" s="3" t="n">
        <v>47066.419648</v>
      </c>
      <c r="AJ2735" s="3" t="n">
        <v>51691.514504</v>
      </c>
      <c r="AK2735" s="3" t="n">
        <v>56853.360173</v>
      </c>
      <c r="AL2735" s="3" t="n">
        <v>61985.179448</v>
      </c>
      <c r="AM2735" s="3" t="n"/>
      <c r="AN2735" s="3" t="n"/>
      <c r="AO2735" s="3" t="n"/>
      <c r="AP2735" s="3" t="n"/>
      <c r="AQ2735" s="3" t="n"/>
      <c r="AR2735" s="3" t="n"/>
      <c r="AS2735" s="3" t="n"/>
      <c r="AT2735" s="3" t="n"/>
      <c r="AU2735" s="3" t="n"/>
    </row>
    <row r="2736">
      <c r="A2736" s="3" t="n">
        <v>2031</v>
      </c>
      <c r="B2736" s="3" t="inlineStr">
        <is>
          <t>SSD</t>
        </is>
      </c>
      <c r="C2736" s="3" t="inlineStr">
        <is>
          <t>IMF.RES:WEO</t>
        </is>
      </c>
      <c r="D2736" s="3" t="inlineStr">
        <is>
          <t>SSD.NGDP_D.A</t>
        </is>
      </c>
      <c r="E2736" s="3" t="inlineStr">
        <is>
          <t>South Sudan, Republic of</t>
        </is>
      </c>
      <c r="F2736" s="3" t="inlineStr">
        <is>
          <t>Gross domestic product (GDP), Price deflator, Index</t>
        </is>
      </c>
      <c r="G2736" s="3" t="n"/>
      <c r="H2736" s="3" t="n"/>
      <c r="I2736" s="3" t="n"/>
      <c r="J2736" s="3" t="n"/>
      <c r="K2736" s="3" t="n"/>
      <c r="L2736" s="3" t="n"/>
      <c r="M2736" s="3" t="n"/>
      <c r="N2736" s="3" t="n"/>
      <c r="O2736" s="3" t="n"/>
      <c r="P2736" s="3" t="n"/>
      <c r="Q2736" s="3" t="n"/>
      <c r="R2736" s="3" t="n">
        <v>165.396302</v>
      </c>
      <c r="S2736" s="3" t="n">
        <v>212.405823</v>
      </c>
      <c r="T2736" s="3" t="n">
        <v>221.402721</v>
      </c>
      <c r="U2736" s="3" t="n">
        <v>213.064786</v>
      </c>
      <c r="V2736" s="3" t="n">
        <v>267.014327</v>
      </c>
      <c r="W2736" s="3" t="n">
        <v>758.228983</v>
      </c>
      <c r="X2736" s="3" t="n">
        <v>1886.476403</v>
      </c>
      <c r="Y2736" s="3" t="n">
        <v>2249.129935</v>
      </c>
      <c r="Z2736" s="3" t="n">
        <v>3929.15193</v>
      </c>
      <c r="AA2736" s="3" t="n">
        <v>5915.887992</v>
      </c>
      <c r="AB2736" s="3" t="n">
        <v>11472.086768</v>
      </c>
      <c r="AC2736" s="3" t="n">
        <v>26565.384689</v>
      </c>
      <c r="AD2736" s="3" t="n">
        <v>44083.064809</v>
      </c>
      <c r="AE2736" s="3" t="n">
        <v>90418.18788699999</v>
      </c>
      <c r="AF2736" s="3" t="n">
        <v>149939.256891</v>
      </c>
      <c r="AG2736" s="3" t="n">
        <v>188353.90507</v>
      </c>
      <c r="AH2736" s="3" t="n">
        <v>235194.546483</v>
      </c>
      <c r="AI2736" s="3" t="n">
        <v>250050.788076</v>
      </c>
      <c r="AJ2736" s="3" t="n">
        <v>265384.983732</v>
      </c>
      <c r="AK2736" s="3" t="n">
        <v>281248.066894</v>
      </c>
      <c r="AL2736" s="3" t="n">
        <v>297597.973529</v>
      </c>
      <c r="AM2736" s="3" t="n"/>
      <c r="AN2736" s="3" t="n"/>
      <c r="AO2736" s="3" t="n"/>
      <c r="AP2736" s="3" t="n"/>
      <c r="AQ2736" s="3" t="n"/>
      <c r="AR2736" s="3" t="n"/>
      <c r="AS2736" s="3" t="n"/>
      <c r="AT2736" s="3" t="n"/>
      <c r="AU2736" s="3" t="n"/>
    </row>
    <row r="2737">
      <c r="A2737" s="3" t="n">
        <v>2031</v>
      </c>
      <c r="B2737" s="3" t="inlineStr">
        <is>
          <t>SSD</t>
        </is>
      </c>
      <c r="C2737" s="3" t="inlineStr">
        <is>
          <t>IMF.RES:WEO</t>
        </is>
      </c>
      <c r="D2737" s="3" t="inlineStr">
        <is>
          <t>SSD.NGDP_R.A</t>
        </is>
      </c>
      <c r="E2737" s="3" t="inlineStr">
        <is>
          <t>South Sudan, Republic of</t>
        </is>
      </c>
      <c r="F2737" s="3" t="inlineStr">
        <is>
          <t>Gross domestic product (GDP), Constant prices, Domestic currency</t>
        </is>
      </c>
      <c r="G2737" s="3" t="n"/>
      <c r="H2737" s="3" t="n"/>
      <c r="I2737" s="3" t="n"/>
      <c r="J2737" s="3" t="n"/>
      <c r="K2737" s="3" t="n"/>
      <c r="L2737" s="3" t="n"/>
      <c r="M2737" s="3" t="n"/>
      <c r="N2737" s="3" t="n"/>
      <c r="O2737" s="3" t="n"/>
      <c r="P2737" s="3" t="n"/>
      <c r="Q2737" s="3" t="n"/>
      <c r="R2737" s="3" t="n">
        <v>31.496827</v>
      </c>
      <c r="S2737" s="3" t="n">
        <v>15.64792</v>
      </c>
      <c r="T2737" s="3" t="n">
        <v>19.915442</v>
      </c>
      <c r="U2737" s="3" t="n">
        <v>20.225257</v>
      </c>
      <c r="V2737" s="3" t="n">
        <v>20.178491</v>
      </c>
      <c r="W2737" s="3" t="n">
        <v>17.495</v>
      </c>
      <c r="X2737" s="3" t="n">
        <v>16.481425</v>
      </c>
      <c r="Y2737" s="3" t="n">
        <v>16.127194</v>
      </c>
      <c r="Z2737" s="3" t="n">
        <v>16.2653</v>
      </c>
      <c r="AA2737" s="3" t="n">
        <v>15.209076</v>
      </c>
      <c r="AB2737" s="3" t="n">
        <v>16.019595</v>
      </c>
      <c r="AC2737" s="3" t="n">
        <v>15.188895</v>
      </c>
      <c r="AD2737" s="3" t="n">
        <v>15.641517</v>
      </c>
      <c r="AE2737" s="3" t="n">
        <v>11.552649</v>
      </c>
      <c r="AF2737" s="3" t="n">
        <v>16.877685</v>
      </c>
      <c r="AG2737" s="3" t="n">
        <v>17.576535</v>
      </c>
      <c r="AH2737" s="3" t="n">
        <v>18.162015</v>
      </c>
      <c r="AI2737" s="3" t="n">
        <v>18.822744</v>
      </c>
      <c r="AJ2737" s="3" t="n">
        <v>19.477935</v>
      </c>
      <c r="AK2737" s="3" t="n">
        <v>20.214667</v>
      </c>
      <c r="AL2737" s="3" t="n">
        <v>20.828495</v>
      </c>
      <c r="AM2737" s="3" t="n"/>
      <c r="AN2737" s="3" t="n"/>
      <c r="AO2737" s="3" t="n"/>
      <c r="AP2737" s="3" t="n"/>
      <c r="AQ2737" s="3" t="n"/>
      <c r="AR2737" s="3" t="n"/>
      <c r="AS2737" s="3" t="n"/>
      <c r="AT2737" s="3" t="n"/>
      <c r="AU2737" s="3" t="n"/>
    </row>
    <row r="2738">
      <c r="A2738" s="3" t="n">
        <v>2031</v>
      </c>
      <c r="B2738" s="3" t="inlineStr">
        <is>
          <t>SSD</t>
        </is>
      </c>
      <c r="C2738" s="3" t="inlineStr">
        <is>
          <t>IMF.RES:WEO</t>
        </is>
      </c>
      <c r="D2738" s="3" t="inlineStr">
        <is>
          <t>SSD.NGDP_RPCH.A</t>
        </is>
      </c>
      <c r="E2738" s="3" t="inlineStr">
        <is>
          <t>South Sudan, Republic of</t>
        </is>
      </c>
      <c r="F2738" s="3" t="inlineStr">
        <is>
          <t>Gross domestic product (GDP), Constant prices, Percent change</t>
        </is>
      </c>
      <c r="G2738" s="3" t="n"/>
      <c r="H2738" s="3" t="n"/>
      <c r="I2738" s="3" t="n"/>
      <c r="J2738" s="3" t="n"/>
      <c r="K2738" s="3" t="n"/>
      <c r="L2738" s="3" t="n"/>
      <c r="M2738" s="3" t="n"/>
      <c r="N2738" s="3" t="n"/>
      <c r="O2738" s="3" t="n"/>
      <c r="P2738" s="3" t="n"/>
      <c r="Q2738" s="3" t="n"/>
      <c r="R2738" s="3" t="n"/>
      <c r="S2738" s="3" t="n">
        <v>-50.319061</v>
      </c>
      <c r="T2738" s="3" t="n">
        <v>27.272139</v>
      </c>
      <c r="U2738" s="3" t="n">
        <v>1.55565</v>
      </c>
      <c r="V2738" s="3" t="n">
        <v>-0.231224</v>
      </c>
      <c r="W2738" s="3" t="n">
        <v>-13.298769</v>
      </c>
      <c r="X2738" s="3" t="n">
        <v>-5.793515</v>
      </c>
      <c r="Y2738" s="3" t="n">
        <v>-2.149271</v>
      </c>
      <c r="Z2738" s="3" t="n">
        <v>0.856353</v>
      </c>
      <c r="AA2738" s="3" t="n">
        <v>-6.493727</v>
      </c>
      <c r="AB2738" s="3" t="n">
        <v>5.329182</v>
      </c>
      <c r="AC2738" s="3" t="n">
        <v>-5.185522</v>
      </c>
      <c r="AD2738" s="3" t="n">
        <v>2.979951</v>
      </c>
      <c r="AE2738" s="3" t="n">
        <v>-26.141121</v>
      </c>
      <c r="AF2738" s="3" t="n">
        <v>46.093638</v>
      </c>
      <c r="AG2738" s="3" t="n">
        <v>4.140676</v>
      </c>
      <c r="AH2738" s="3" t="n">
        <v>3.331027</v>
      </c>
      <c r="AI2738" s="3" t="n">
        <v>3.637974</v>
      </c>
      <c r="AJ2738" s="3" t="n">
        <v>3.480847</v>
      </c>
      <c r="AK2738" s="3" t="n">
        <v>3.782393</v>
      </c>
      <c r="AL2738" s="3" t="n">
        <v>3.036548</v>
      </c>
      <c r="AM2738" s="3" t="n"/>
      <c r="AN2738" s="3" t="n"/>
      <c r="AO2738" s="3" t="n"/>
      <c r="AP2738" s="3" t="n"/>
      <c r="AQ2738" s="3" t="n"/>
      <c r="AR2738" s="3" t="n"/>
      <c r="AS2738" s="3" t="n"/>
      <c r="AT2738" s="3" t="n"/>
      <c r="AU2738" s="3" t="n"/>
    </row>
    <row r="2739">
      <c r="A2739" s="3" t="n">
        <v>2031</v>
      </c>
      <c r="B2739" s="3" t="inlineStr">
        <is>
          <t>SSD</t>
        </is>
      </c>
      <c r="C2739" s="3" t="inlineStr">
        <is>
          <t>IMF.RES:WEO</t>
        </is>
      </c>
      <c r="D2739" s="3" t="inlineStr">
        <is>
          <t>SSD.NGDPD.A</t>
        </is>
      </c>
      <c r="E2739" s="3" t="inlineStr">
        <is>
          <t>South Sudan, Republic of</t>
        </is>
      </c>
      <c r="F2739" s="3" t="inlineStr">
        <is>
          <t>Gross domestic product (GDP), Current prices, US dollar</t>
        </is>
      </c>
      <c r="G2739" s="3" t="n"/>
      <c r="H2739" s="3" t="n"/>
      <c r="I2739" s="3" t="n"/>
      <c r="J2739" s="3" t="n"/>
      <c r="K2739" s="3" t="n"/>
      <c r="L2739" s="3" t="n"/>
      <c r="M2739" s="3" t="n"/>
      <c r="N2739" s="3" t="n"/>
      <c r="O2739" s="3" t="n"/>
      <c r="P2739" s="3" t="n"/>
      <c r="Q2739" s="3" t="n"/>
      <c r="R2739" s="3" t="n">
        <v>17.340362</v>
      </c>
      <c r="S2739" s="3" t="n">
        <v>11.266811</v>
      </c>
      <c r="T2739" s="3" t="n">
        <v>14.946892</v>
      </c>
      <c r="U2739" s="3" t="n">
        <v>14.607763</v>
      </c>
      <c r="V2739" s="3" t="n">
        <v>15.082206</v>
      </c>
      <c r="W2739" s="3" t="n">
        <v>2.824977</v>
      </c>
      <c r="X2739" s="3" t="n">
        <v>2.736123</v>
      </c>
      <c r="Y2739" s="3" t="n">
        <v>2.559283</v>
      </c>
      <c r="Z2739" s="3" t="n">
        <v>4.043603</v>
      </c>
      <c r="AA2739" s="3" t="n">
        <v>5.423323</v>
      </c>
      <c r="AB2739" s="3" t="n">
        <v>5.940453</v>
      </c>
      <c r="AC2739" s="3" t="n">
        <v>7.53254</v>
      </c>
      <c r="AD2739" s="3" t="n">
        <v>7.400865</v>
      </c>
      <c r="AE2739" s="3" t="n">
        <v>4.636874</v>
      </c>
      <c r="AF2739" s="3" t="n">
        <v>5.732531</v>
      </c>
      <c r="AG2739" s="3" t="n">
        <v>6.068562</v>
      </c>
      <c r="AH2739" s="3" t="n">
        <v>6.825887</v>
      </c>
      <c r="AI2739" s="3" t="n">
        <v>7.160774</v>
      </c>
      <c r="AJ2739" s="3" t="n">
        <v>7.487709</v>
      </c>
      <c r="AK2739" s="3" t="n">
        <v>7.840916</v>
      </c>
      <c r="AL2739" s="3" t="n">
        <v>8.144173</v>
      </c>
      <c r="AM2739" s="3" t="n"/>
      <c r="AN2739" s="3" t="n"/>
      <c r="AO2739" s="3" t="n"/>
      <c r="AP2739" s="3" t="n"/>
      <c r="AQ2739" s="3" t="n"/>
      <c r="AR2739" s="3" t="n"/>
      <c r="AS2739" s="3" t="n"/>
      <c r="AT2739" s="3" t="n"/>
      <c r="AU2739" s="3" t="n"/>
    </row>
    <row r="2740">
      <c r="A2740" s="3" t="n">
        <v>2031</v>
      </c>
      <c r="B2740" s="3" t="inlineStr">
        <is>
          <t>SSD</t>
        </is>
      </c>
      <c r="C2740" s="3" t="inlineStr">
        <is>
          <t>IMF.RES:WEO</t>
        </is>
      </c>
      <c r="D2740" s="3" t="inlineStr">
        <is>
          <t>SSD.NGDPPC.A</t>
        </is>
      </c>
      <c r="E2740" s="3" t="inlineStr">
        <is>
          <t>South Sudan, Republic of</t>
        </is>
      </c>
      <c r="F2740" s="3" t="inlineStr">
        <is>
          <t>Gross domestic product (GDP), Current prices, Per capita, Domestic currency</t>
        </is>
      </c>
      <c r="G2740" s="3" t="n"/>
      <c r="H2740" s="3" t="n"/>
      <c r="I2740" s="3" t="n"/>
      <c r="J2740" s="3" t="n"/>
      <c r="K2740" s="3" t="n"/>
      <c r="L2740" s="3" t="n"/>
      <c r="M2740" s="3" t="n"/>
      <c r="N2740" s="3" t="n"/>
      <c r="O2740" s="3" t="n"/>
      <c r="P2740" s="3" t="n"/>
      <c r="Q2740" s="3" t="n"/>
      <c r="R2740" s="3" t="n">
        <v>5063.572688</v>
      </c>
      <c r="S2740" s="3" t="n">
        <v>3090.028938</v>
      </c>
      <c r="T2740" s="3" t="n">
        <v>3948.794823</v>
      </c>
      <c r="U2740" s="3" t="n">
        <v>3835.569361</v>
      </c>
      <c r="V2740" s="3" t="n">
        <v>4850.701201</v>
      </c>
      <c r="W2740" s="3" t="n">
        <v>12248.468352</v>
      </c>
      <c r="X2740" s="3" t="n">
        <v>30306.41717</v>
      </c>
      <c r="Y2740" s="3" t="n">
        <v>35831.509861</v>
      </c>
      <c r="Z2740" s="3" t="n">
        <v>61312.942199</v>
      </c>
      <c r="AA2740" s="3" t="n">
        <v>84101.009829</v>
      </c>
      <c r="AB2740" s="3" t="n">
        <v>169134.827999</v>
      </c>
      <c r="AC2740" s="3" t="n">
        <v>366112.282619</v>
      </c>
      <c r="AD2740" s="3" t="n">
        <v>600455.929965</v>
      </c>
      <c r="AE2740" s="3" t="n">
        <v>874599.230095</v>
      </c>
      <c r="AF2740" s="3" t="n">
        <v>2076192.952501</v>
      </c>
      <c r="AG2740" s="3" t="n">
        <v>2662109.393549</v>
      </c>
      <c r="AH2740" s="3" t="n">
        <v>3366835.948713</v>
      </c>
      <c r="AI2740" s="3" t="n">
        <v>3636859.687682</v>
      </c>
      <c r="AJ2740" s="3" t="n">
        <v>3916592.176981</v>
      </c>
      <c r="AK2740" s="3" t="n">
        <v>4224674.465563</v>
      </c>
      <c r="AL2740" s="3" t="n">
        <v>4516088.802888</v>
      </c>
      <c r="AM2740" s="3" t="n"/>
      <c r="AN2740" s="3" t="n"/>
      <c r="AO2740" s="3" t="n"/>
      <c r="AP2740" s="3" t="n"/>
      <c r="AQ2740" s="3" t="n"/>
      <c r="AR2740" s="3" t="n"/>
      <c r="AS2740" s="3" t="n"/>
      <c r="AT2740" s="3" t="n"/>
      <c r="AU2740" s="3" t="n"/>
    </row>
    <row r="2741">
      <c r="A2741" s="3" t="n">
        <v>2031</v>
      </c>
      <c r="B2741" s="3" t="inlineStr">
        <is>
          <t>SSD</t>
        </is>
      </c>
      <c r="C2741" s="3" t="inlineStr">
        <is>
          <t>IMF.RES:WEO</t>
        </is>
      </c>
      <c r="D2741" s="3" t="inlineStr">
        <is>
          <t>SSD.NGDPRPC.A</t>
        </is>
      </c>
      <c r="E2741" s="3" t="inlineStr">
        <is>
          <t>South Sudan, Republic of</t>
        </is>
      </c>
      <c r="F2741" s="3" t="inlineStr">
        <is>
          <t>Gross domestic product (GDP), Constant prices, Per capita, Domestic currency</t>
        </is>
      </c>
      <c r="G2741" s="3" t="n"/>
      <c r="H2741" s="3" t="n"/>
      <c r="I2741" s="3" t="n"/>
      <c r="J2741" s="3" t="n"/>
      <c r="K2741" s="3" t="n"/>
      <c r="L2741" s="3" t="n"/>
      <c r="M2741" s="3" t="n"/>
      <c r="N2741" s="3" t="n"/>
      <c r="O2741" s="3" t="n"/>
      <c r="P2741" s="3" t="n"/>
      <c r="Q2741" s="3" t="n"/>
      <c r="R2741" s="3" t="n">
        <v>3061.478789</v>
      </c>
      <c r="S2741" s="3" t="n">
        <v>1454.775999</v>
      </c>
      <c r="T2741" s="3" t="n">
        <v>1783.53491</v>
      </c>
      <c r="U2741" s="3" t="n">
        <v>1800.189248</v>
      </c>
      <c r="V2741" s="3" t="n">
        <v>1816.644543</v>
      </c>
      <c r="W2741" s="3" t="n">
        <v>1615.404927</v>
      </c>
      <c r="X2741" s="3" t="n">
        <v>1606.509211</v>
      </c>
      <c r="Y2741" s="3" t="n">
        <v>1593.127604</v>
      </c>
      <c r="Z2741" s="3" t="n">
        <v>1560.462494</v>
      </c>
      <c r="AA2741" s="3" t="n">
        <v>1421.612612</v>
      </c>
      <c r="AB2741" s="3" t="n">
        <v>1474.31615</v>
      </c>
      <c r="AC2741" s="3" t="n">
        <v>1378.155396</v>
      </c>
      <c r="AD2741" s="3" t="n">
        <v>1362.101144</v>
      </c>
      <c r="AE2741" s="3" t="n">
        <v>967.282414</v>
      </c>
      <c r="AF2741" s="3" t="n">
        <v>1384.689371</v>
      </c>
      <c r="AG2741" s="3" t="n">
        <v>1413.355031</v>
      </c>
      <c r="AH2741" s="3" t="n">
        <v>1431.511061</v>
      </c>
      <c r="AI2741" s="3" t="n">
        <v>1454.448401</v>
      </c>
      <c r="AJ2741" s="3" t="n">
        <v>1475.815294</v>
      </c>
      <c r="AK2741" s="3" t="n">
        <v>1502.116801</v>
      </c>
      <c r="AL2741" s="3" t="n">
        <v>1517.513291</v>
      </c>
      <c r="AM2741" s="3" t="n"/>
      <c r="AN2741" s="3" t="n"/>
      <c r="AO2741" s="3" t="n"/>
      <c r="AP2741" s="3" t="n"/>
      <c r="AQ2741" s="3" t="n"/>
      <c r="AR2741" s="3" t="n"/>
      <c r="AS2741" s="3" t="n"/>
      <c r="AT2741" s="3" t="n"/>
      <c r="AU2741" s="3" t="n"/>
    </row>
    <row r="2742">
      <c r="A2742" s="3" t="n">
        <v>2031</v>
      </c>
      <c r="B2742" s="3" t="inlineStr">
        <is>
          <t>SSD</t>
        </is>
      </c>
      <c r="C2742" s="3" t="inlineStr">
        <is>
          <t>IMF.RES:WEO</t>
        </is>
      </c>
      <c r="D2742" s="3" t="inlineStr">
        <is>
          <t>SSD.PCPI.A</t>
        </is>
      </c>
      <c r="E2742" s="3" t="inlineStr">
        <is>
          <t>South Sudan, Republic of</t>
        </is>
      </c>
      <c r="F2742" s="3" t="inlineStr">
        <is>
          <t>All Items, Consumer price index (CPI), Period average</t>
        </is>
      </c>
      <c r="G2742" s="3" t="n"/>
      <c r="H2742" s="3" t="n"/>
      <c r="I2742" s="3" t="n"/>
      <c r="J2742" s="3" t="n"/>
      <c r="K2742" s="3" t="n"/>
      <c r="L2742" s="3" t="n"/>
      <c r="M2742" s="3" t="n"/>
      <c r="N2742" s="3" t="n"/>
      <c r="O2742" s="3" t="n"/>
      <c r="P2742" s="3" t="n"/>
      <c r="Q2742" s="3" t="n"/>
      <c r="R2742" s="3" t="n">
        <v>105.911423</v>
      </c>
      <c r="S2742" s="3" t="n">
        <v>150.772092</v>
      </c>
      <c r="T2742" s="3" t="n">
        <v>146.637232</v>
      </c>
      <c r="U2742" s="3" t="n">
        <v>152.872235</v>
      </c>
      <c r="V2742" s="3" t="n">
        <v>233.875953</v>
      </c>
      <c r="W2742" s="3" t="n">
        <v>1043.212733</v>
      </c>
      <c r="X2742" s="3" t="n">
        <v>3265.249576</v>
      </c>
      <c r="Y2742" s="3" t="n">
        <v>5988.34915</v>
      </c>
      <c r="Z2742" s="3" t="n">
        <v>8939.902297000001</v>
      </c>
      <c r="AA2742" s="3" t="n">
        <v>11084.050769</v>
      </c>
      <c r="AB2742" s="3" t="n">
        <v>14434.593594</v>
      </c>
      <c r="AC2742" s="3" t="n">
        <v>13971.20232</v>
      </c>
      <c r="AD2742" s="3" t="n">
        <v>19512.987941</v>
      </c>
      <c r="AE2742" s="3" t="n">
        <v>38988.953154</v>
      </c>
      <c r="AF2742" s="3" t="n">
        <v>77048.386722</v>
      </c>
      <c r="AG2742" s="3" t="n">
        <v>87851.091006</v>
      </c>
      <c r="AH2742" s="3" t="n">
        <v>96619.55446</v>
      </c>
      <c r="AI2742" s="3" t="n">
        <v>102185.990547</v>
      </c>
      <c r="AJ2742" s="3" t="n">
        <v>108199.142062</v>
      </c>
      <c r="AK2742" s="3" t="n">
        <v>113353.582599</v>
      </c>
      <c r="AL2742" s="3" t="n">
        <v>118509.908961</v>
      </c>
      <c r="AM2742" s="3" t="n"/>
      <c r="AN2742" s="3" t="n"/>
      <c r="AO2742" s="3" t="n"/>
      <c r="AP2742" s="3" t="n"/>
      <c r="AQ2742" s="3" t="n"/>
      <c r="AR2742" s="3" t="n"/>
      <c r="AS2742" s="3" t="n"/>
      <c r="AT2742" s="3" t="n"/>
      <c r="AU2742" s="3" t="n"/>
    </row>
    <row r="2743">
      <c r="A2743" s="3" t="n">
        <v>2031</v>
      </c>
      <c r="B2743" s="3" t="inlineStr">
        <is>
          <t>SSD</t>
        </is>
      </c>
      <c r="C2743" s="3" t="inlineStr">
        <is>
          <t>IMF.RES:WEO</t>
        </is>
      </c>
      <c r="D2743" s="3" t="inlineStr">
        <is>
          <t>SSD.PCPIPCH.A</t>
        </is>
      </c>
      <c r="E2743" s="3" t="inlineStr">
        <is>
          <t>South Sudan, Republic of</t>
        </is>
      </c>
      <c r="F2743" s="3" t="inlineStr">
        <is>
          <t>All Items, Consumer price index (CPI), Period average, percent change</t>
        </is>
      </c>
      <c r="G2743" s="3" t="n"/>
      <c r="H2743" s="3" t="n"/>
      <c r="I2743" s="3" t="n"/>
      <c r="J2743" s="3" t="n"/>
      <c r="K2743" s="3" t="n"/>
      <c r="L2743" s="3" t="n"/>
      <c r="M2743" s="3" t="n"/>
      <c r="N2743" s="3" t="n"/>
      <c r="O2743" s="3" t="n"/>
      <c r="P2743" s="3" t="n"/>
      <c r="Q2743" s="3" t="n"/>
      <c r="R2743" s="3" t="n"/>
      <c r="S2743" s="3" t="n">
        <v>42.356781</v>
      </c>
      <c r="T2743" s="3" t="n">
        <v>-2.742457</v>
      </c>
      <c r="U2743" s="3" t="n">
        <v>4.251991</v>
      </c>
      <c r="V2743" s="3" t="n">
        <v>52.987855</v>
      </c>
      <c r="W2743" s="3" t="n">
        <v>346.053867</v>
      </c>
      <c r="X2743" s="3" t="n">
        <v>212.999398</v>
      </c>
      <c r="Y2743" s="3" t="n">
        <v>83.39636900000001</v>
      </c>
      <c r="Z2743" s="3" t="n">
        <v>49.288261</v>
      </c>
      <c r="AA2743" s="3" t="n">
        <v>23.984026</v>
      </c>
      <c r="AB2743" s="3" t="n">
        <v>30.228505</v>
      </c>
      <c r="AC2743" s="3" t="n">
        <v>-3.210283</v>
      </c>
      <c r="AD2743" s="3" t="n">
        <v>39.665775</v>
      </c>
      <c r="AE2743" s="3" t="n">
        <v>99.810266</v>
      </c>
      <c r="AF2743" s="3" t="n">
        <v>97.61594100000001</v>
      </c>
      <c r="AG2743" s="3" t="n">
        <v>14.020676</v>
      </c>
      <c r="AH2743" s="3" t="n">
        <v>9.981052</v>
      </c>
      <c r="AI2743" s="3" t="n">
        <v>5.76119</v>
      </c>
      <c r="AJ2743" s="3" t="n">
        <v>5.884517</v>
      </c>
      <c r="AK2743" s="3" t="n">
        <v>4.763846</v>
      </c>
      <c r="AL2743" s="3" t="n">
        <v>4.548887</v>
      </c>
      <c r="AM2743" s="3" t="n"/>
      <c r="AN2743" s="3" t="n"/>
      <c r="AO2743" s="3" t="n"/>
      <c r="AP2743" s="3" t="n"/>
      <c r="AQ2743" s="3" t="n"/>
      <c r="AR2743" s="3" t="n"/>
      <c r="AS2743" s="3" t="n"/>
      <c r="AT2743" s="3" t="n"/>
      <c r="AU2743" s="3" t="n"/>
    </row>
    <row r="2744">
      <c r="A2744" s="3" t="n">
        <v>2031</v>
      </c>
      <c r="B2744" s="3" t="inlineStr">
        <is>
          <t>SSD</t>
        </is>
      </c>
      <c r="C2744" s="3" t="inlineStr">
        <is>
          <t>IMF.RES:WEO</t>
        </is>
      </c>
      <c r="D2744" s="3" t="inlineStr">
        <is>
          <t>SSD.PPPPC.A</t>
        </is>
      </c>
      <c r="E2744" s="3" t="inlineStr">
        <is>
          <t>South Sudan, Republic of</t>
        </is>
      </c>
      <c r="F2744" s="3" t="inlineStr">
        <is>
          <t>Gross domestic product (GDP), Per capita, purchasing power parity (PPP) international dollar, ICP benchmarks 2017-2021</t>
        </is>
      </c>
      <c r="G2744" s="3" t="n"/>
      <c r="H2744" s="3" t="n"/>
      <c r="I2744" s="3" t="n"/>
      <c r="J2744" s="3" t="n"/>
      <c r="K2744" s="3" t="n"/>
      <c r="L2744" s="3" t="n"/>
      <c r="M2744" s="3" t="n"/>
      <c r="N2744" s="3" t="n"/>
      <c r="O2744" s="3" t="n"/>
      <c r="P2744" s="3" t="n"/>
      <c r="Q2744" s="3" t="n"/>
      <c r="R2744" s="3" t="n">
        <v>1420.623636</v>
      </c>
      <c r="S2744" s="3" t="n">
        <v>687.631587</v>
      </c>
      <c r="T2744" s="3" t="n">
        <v>857.375008</v>
      </c>
      <c r="U2744" s="3" t="n">
        <v>880.453496</v>
      </c>
      <c r="V2744" s="3" t="n">
        <v>896.747374</v>
      </c>
      <c r="W2744" s="3" t="n">
        <v>804.986956</v>
      </c>
      <c r="X2744" s="3" t="n">
        <v>814.891091</v>
      </c>
      <c r="Y2744" s="3" t="n">
        <v>601.413445</v>
      </c>
      <c r="Z2744" s="3" t="n">
        <v>748.020719</v>
      </c>
      <c r="AA2744" s="3" t="n">
        <v>805.912785</v>
      </c>
      <c r="AB2744" s="3" t="n">
        <v>1334.470241</v>
      </c>
      <c r="AC2744" s="3" t="n">
        <v>1336.153235</v>
      </c>
      <c r="AD2744" s="3" t="n">
        <v>1369.450476</v>
      </c>
      <c r="AE2744" s="3" t="n">
        <v>996.644253</v>
      </c>
      <c r="AF2744" s="3" t="n">
        <v>1467.194351</v>
      </c>
      <c r="AG2744" s="3" t="n">
        <v>1540.471108</v>
      </c>
      <c r="AH2744" s="3" t="n">
        <v>1594.521861</v>
      </c>
      <c r="AI2744" s="3" t="n">
        <v>1646.662844</v>
      </c>
      <c r="AJ2744" s="3" t="n">
        <v>1700.563094</v>
      </c>
      <c r="AK2744" s="3" t="n">
        <v>1762.675185</v>
      </c>
      <c r="AL2744" s="3" t="n">
        <v>1812.890137</v>
      </c>
      <c r="AM2744" s="3" t="n"/>
      <c r="AN2744" s="3" t="n"/>
      <c r="AO2744" s="3" t="n"/>
      <c r="AP2744" s="3" t="n"/>
      <c r="AQ2744" s="3" t="n"/>
      <c r="AR2744" s="3" t="n"/>
      <c r="AS2744" s="3" t="n"/>
      <c r="AT2744" s="3" t="n"/>
      <c r="AU2744" s="3" t="n"/>
    </row>
    <row r="2745">
      <c r="A2745" s="3" t="n">
        <v>2024</v>
      </c>
      <c r="B2745" s="3" t="inlineStr">
        <is>
          <t>SSD</t>
        </is>
      </c>
      <c r="C2745" s="3" t="inlineStr">
        <is>
          <t>IMF.STA:ER</t>
        </is>
      </c>
      <c r="D2745" s="3" t="inlineStr">
        <is>
          <t>SSD.XDC_USD.PA_RT.A</t>
        </is>
      </c>
      <c r="E2745" s="3" t="inlineStr">
        <is>
          <t>South Sudan, Republic of</t>
        </is>
      </c>
      <c r="F2745" s="3" t="inlineStr">
        <is>
          <t>Domestic currency per US Dollar</t>
        </is>
      </c>
      <c r="G2745" s="3" t="n"/>
      <c r="H2745" s="3" t="n"/>
      <c r="I2745" s="3" t="n"/>
      <c r="J2745" s="3" t="n"/>
      <c r="K2745" s="3" t="n"/>
      <c r="L2745" s="3" t="n"/>
      <c r="M2745" s="3" t="n"/>
      <c r="N2745" s="3" t="n"/>
      <c r="O2745" s="3" t="n"/>
      <c r="P2745" s="3" t="n"/>
      <c r="Q2745" s="3" t="n"/>
      <c r="R2745" s="3" t="n">
        <v>2.98895</v>
      </c>
      <c r="S2745" s="3" t="n">
        <v>2.95</v>
      </c>
      <c r="T2745" s="3" t="n">
        <v>2.95</v>
      </c>
      <c r="U2745" s="3" t="n">
        <v>2.95</v>
      </c>
      <c r="V2745" s="3" t="n">
        <v>3.60416666666666</v>
      </c>
      <c r="W2745" s="3" t="n">
        <v>46.7291666666666</v>
      </c>
      <c r="X2745" s="3" t="n">
        <v>113.6475</v>
      </c>
      <c r="Y2745" s="3" t="n">
        <v>141.385833333333</v>
      </c>
      <c r="Z2745" s="3" t="n">
        <v>157.999166666666</v>
      </c>
      <c r="AA2745" s="3" t="n">
        <v>165.907316666666</v>
      </c>
      <c r="AB2745" s="3" t="n">
        <v>306.354619937276</v>
      </c>
      <c r="AC2745" s="3" t="n">
        <v>534.511188691756</v>
      </c>
      <c r="AD2745" s="3" t="n">
        <v>930.331429534051</v>
      </c>
      <c r="AE2745" s="3" t="n">
        <v>2163.10387269883</v>
      </c>
      <c r="AF2745" s="3" t="n"/>
      <c r="AG2745" s="3" t="n"/>
      <c r="AH2745" s="3" t="n"/>
      <c r="AI2745" s="3" t="n"/>
      <c r="AJ2745" s="3" t="n"/>
      <c r="AK2745" s="3" t="n"/>
      <c r="AL2745" s="3" t="n"/>
      <c r="AM2745" s="3" t="n"/>
      <c r="AN2745" s="3" t="n"/>
      <c r="AO2745" s="3" t="n"/>
      <c r="AP2745" s="3" t="n"/>
      <c r="AQ2745" s="3" t="n"/>
      <c r="AR2745" s="3" t="n"/>
      <c r="AS2745" s="3" t="n"/>
      <c r="AT2745" s="3" t="n"/>
      <c r="AU2745" s="3" t="n"/>
    </row>
    <row r="2746">
      <c r="A2746" s="3" t="n">
        <v>2031</v>
      </c>
      <c r="B2746" s="3" t="inlineStr">
        <is>
          <t>STP</t>
        </is>
      </c>
      <c r="C2746" s="3" t="inlineStr">
        <is>
          <t>IMF.RES:WEO</t>
        </is>
      </c>
      <c r="D2746" s="3" t="inlineStr">
        <is>
          <t>STP.BCA.A</t>
        </is>
      </c>
      <c r="E2746" s="3" t="inlineStr">
        <is>
          <t>São Tomé and Príncipe, Democratic Republic of</t>
        </is>
      </c>
      <c r="F2746" s="3" t="inlineStr">
        <is>
          <t>Current account balance (credit less debit), US dollar</t>
        </is>
      </c>
      <c r="G2746" s="3" t="n">
        <v>-0.016134</v>
      </c>
      <c r="H2746" s="3" t="n">
        <v>-0.016132</v>
      </c>
      <c r="I2746" s="3" t="n">
        <v>-0.016665</v>
      </c>
      <c r="J2746" s="3" t="n">
        <v>-0.015168</v>
      </c>
      <c r="K2746" s="3" t="n">
        <v>-0.023227</v>
      </c>
      <c r="L2746" s="3" t="n">
        <v>-0.026145</v>
      </c>
      <c r="M2746" s="3" t="n">
        <v>-0.045251</v>
      </c>
      <c r="N2746" s="3" t="n">
        <v>0.122706</v>
      </c>
      <c r="O2746" s="3" t="n">
        <v>-0.033113</v>
      </c>
      <c r="P2746" s="3" t="n">
        <v>-0.048645</v>
      </c>
      <c r="Q2746" s="3" t="n">
        <v>-0.045007</v>
      </c>
      <c r="R2746" s="3" t="n">
        <v>-0.06517100000000001</v>
      </c>
      <c r="S2746" s="3" t="n">
        <v>-0.055178</v>
      </c>
      <c r="T2746" s="3" t="n">
        <v>-0.044009</v>
      </c>
      <c r="U2746" s="3" t="n">
        <v>-0.07445300000000001</v>
      </c>
      <c r="V2746" s="3" t="n">
        <v>-0.03525</v>
      </c>
      <c r="W2746" s="3" t="n">
        <v>-0.018697</v>
      </c>
      <c r="X2746" s="3" t="n">
        <v>-0.04475</v>
      </c>
      <c r="Y2746" s="3" t="n">
        <v>-0.050069</v>
      </c>
      <c r="Z2746" s="3" t="n">
        <v>-0.05317</v>
      </c>
      <c r="AA2746" s="3" t="n">
        <v>-0.053237</v>
      </c>
      <c r="AB2746" s="3" t="n">
        <v>-0.06901</v>
      </c>
      <c r="AC2746" s="3" t="n">
        <v>-0.079217</v>
      </c>
      <c r="AD2746" s="3" t="n">
        <v>-0.08554200000000001</v>
      </c>
      <c r="AE2746" s="3" t="n">
        <v>-0.018435</v>
      </c>
      <c r="AF2746" s="3" t="n">
        <v>-0.061841</v>
      </c>
      <c r="AG2746" s="3" t="n">
        <v>-0.054924</v>
      </c>
      <c r="AH2746" s="3" t="n">
        <v>-0.06625</v>
      </c>
      <c r="AI2746" s="3" t="n">
        <v>-0.063846</v>
      </c>
      <c r="AJ2746" s="3" t="n">
        <v>-0.081584</v>
      </c>
      <c r="AK2746" s="3" t="n">
        <v>-0.093233</v>
      </c>
      <c r="AL2746" s="3" t="n">
        <v>-0.103396</v>
      </c>
      <c r="AM2746" s="3" t="n"/>
      <c r="AN2746" s="3" t="n"/>
      <c r="AO2746" s="3" t="n"/>
      <c r="AP2746" s="3" t="n"/>
      <c r="AQ2746" s="3" t="n"/>
      <c r="AR2746" s="3" t="n"/>
      <c r="AS2746" s="3" t="n"/>
      <c r="AT2746" s="3" t="n"/>
      <c r="AU2746" s="3" t="n"/>
    </row>
    <row r="2747">
      <c r="A2747" s="3" t="n">
        <v>2031</v>
      </c>
      <c r="B2747" s="3" t="inlineStr">
        <is>
          <t>STP</t>
        </is>
      </c>
      <c r="C2747" s="3" t="inlineStr">
        <is>
          <t>IMF.RES:WEO</t>
        </is>
      </c>
      <c r="D2747" s="3" t="inlineStr">
        <is>
          <t>STP.BCA_NGDPD.A</t>
        </is>
      </c>
      <c r="E2747" s="3" t="inlineStr">
        <is>
          <t>São Tomé and Príncipe, Democratic Republic of</t>
        </is>
      </c>
      <c r="F2747" s="3" t="inlineStr">
        <is>
          <t>Current account balance (credit less debit), Percent of GDP</t>
        </is>
      </c>
      <c r="G2747" s="3" t="n">
        <v>-21.019676</v>
      </c>
      <c r="H2747" s="3" t="n">
        <v>-22.520506</v>
      </c>
      <c r="I2747" s="3" t="n">
        <v>-20.867238</v>
      </c>
      <c r="J2747" s="3" t="n">
        <v>-15.87511</v>
      </c>
      <c r="K2747" s="3" t="n">
        <v>-22.229797</v>
      </c>
      <c r="L2747" s="3" t="n">
        <v>-20.891523</v>
      </c>
      <c r="M2747" s="3" t="n">
        <v>-33.94048</v>
      </c>
      <c r="N2747" s="3" t="n">
        <v>84.848967</v>
      </c>
      <c r="O2747" s="3" t="n">
        <v>-17.611301</v>
      </c>
      <c r="P2747" s="3" t="n">
        <v>-24.241424</v>
      </c>
      <c r="Q2747" s="3" t="n">
        <v>-23.589157</v>
      </c>
      <c r="R2747" s="3" t="n">
        <v>-28.56817</v>
      </c>
      <c r="S2747" s="3" t="n">
        <v>-23.877128</v>
      </c>
      <c r="T2747" s="3" t="n">
        <v>-16.353226</v>
      </c>
      <c r="U2747" s="3" t="n">
        <v>-25.226207</v>
      </c>
      <c r="V2747" s="3" t="n">
        <v>-13.464497</v>
      </c>
      <c r="W2747" s="3" t="n">
        <v>-6.359599</v>
      </c>
      <c r="X2747" s="3" t="n">
        <v>-13.758678</v>
      </c>
      <c r="Y2747" s="3" t="n">
        <v>-12.942181</v>
      </c>
      <c r="Z2747" s="3" t="n">
        <v>-12.777927</v>
      </c>
      <c r="AA2747" s="3" t="n">
        <v>-11.192569</v>
      </c>
      <c r="AB2747" s="3" t="n">
        <v>-13.055705</v>
      </c>
      <c r="AC2747" s="3" t="n">
        <v>-14.512096</v>
      </c>
      <c r="AD2747" s="3" t="n">
        <v>-12.293554</v>
      </c>
      <c r="AE2747" s="3" t="n">
        <v>-2.225505</v>
      </c>
      <c r="AF2747" s="3" t="n">
        <v>-6.300746</v>
      </c>
      <c r="AG2747" s="3" t="n">
        <v>-4.730404</v>
      </c>
      <c r="AH2747" s="3" t="n">
        <v>-5.120532</v>
      </c>
      <c r="AI2747" s="3" t="n">
        <v>-4.522121</v>
      </c>
      <c r="AJ2747" s="3" t="n">
        <v>-5.304107</v>
      </c>
      <c r="AK2747" s="3" t="n">
        <v>-5.553859</v>
      </c>
      <c r="AL2747" s="3" t="n">
        <v>-5.681316</v>
      </c>
      <c r="AM2747" s="3" t="n"/>
      <c r="AN2747" s="3" t="n"/>
      <c r="AO2747" s="3" t="n"/>
      <c r="AP2747" s="3" t="n"/>
      <c r="AQ2747" s="3" t="n"/>
      <c r="AR2747" s="3" t="n"/>
      <c r="AS2747" s="3" t="n"/>
      <c r="AT2747" s="3" t="n"/>
      <c r="AU2747" s="3" t="n"/>
    </row>
    <row r="2748">
      <c r="A2748" s="3" t="n">
        <v>2031</v>
      </c>
      <c r="B2748" s="3" t="inlineStr">
        <is>
          <t>STP</t>
        </is>
      </c>
      <c r="C2748" s="3" t="inlineStr">
        <is>
          <t>IMF.RES:WEO</t>
        </is>
      </c>
      <c r="D2748" s="3" t="inlineStr">
        <is>
          <t>STP.GGR_NGDP.A</t>
        </is>
      </c>
      <c r="E2748" s="3" t="inlineStr">
        <is>
          <t>São Tomé and Príncipe, Democratic Republic of</t>
        </is>
      </c>
      <c r="F2748" s="3" t="inlineStr">
        <is>
          <t>Revenue, General government, Percent of GDP</t>
        </is>
      </c>
      <c r="G2748" s="3" t="n">
        <v>62.253585</v>
      </c>
      <c r="H2748" s="3" t="n">
        <v>39.279746</v>
      </c>
      <c r="I2748" s="3" t="n">
        <v>33.842154</v>
      </c>
      <c r="J2748" s="3" t="n">
        <v>35.938356</v>
      </c>
      <c r="K2748" s="3" t="n">
        <v>35.522824</v>
      </c>
      <c r="L2748" s="3" t="n">
        <v>70.477844</v>
      </c>
      <c r="M2748" s="3" t="n">
        <v>50.457822</v>
      </c>
      <c r="N2748" s="3" t="n">
        <v>164.054205</v>
      </c>
      <c r="O2748" s="3" t="n">
        <v>44.094769</v>
      </c>
      <c r="P2748" s="3" t="n">
        <v>30.587358</v>
      </c>
      <c r="Q2748" s="3" t="n">
        <v>39.570064</v>
      </c>
      <c r="R2748" s="3" t="n">
        <v>40.335843</v>
      </c>
      <c r="S2748" s="3" t="n">
        <v>38.243292</v>
      </c>
      <c r="T2748" s="3" t="n">
        <v>37.642809</v>
      </c>
      <c r="U2748" s="3" t="n">
        <v>29.69359</v>
      </c>
      <c r="V2748" s="3" t="n">
        <v>33.984698</v>
      </c>
      <c r="W2748" s="3" t="n">
        <v>33.289841</v>
      </c>
      <c r="X2748" s="3" t="n">
        <v>28.822512</v>
      </c>
      <c r="Y2748" s="3" t="n">
        <v>25.938149</v>
      </c>
      <c r="Z2748" s="3" t="n">
        <v>22.765634</v>
      </c>
      <c r="AA2748" s="3" t="n">
        <v>26.120651</v>
      </c>
      <c r="AB2748" s="3" t="n">
        <v>24.116992</v>
      </c>
      <c r="AC2748" s="3" t="n">
        <v>25.46494</v>
      </c>
      <c r="AD2748" s="3" t="n">
        <v>21.788358</v>
      </c>
      <c r="AE2748" s="3" t="n">
        <v>24.719175</v>
      </c>
      <c r="AF2748" s="3" t="n">
        <v>18.662024</v>
      </c>
      <c r="AG2748" s="3" t="n">
        <v>21.626088</v>
      </c>
      <c r="AH2748" s="3" t="n">
        <v>21.291456</v>
      </c>
      <c r="AI2748" s="3" t="n">
        <v>22.10066</v>
      </c>
      <c r="AJ2748" s="3" t="n">
        <v>21.66298</v>
      </c>
      <c r="AK2748" s="3" t="n">
        <v>21.711377</v>
      </c>
      <c r="AL2748" s="3" t="n">
        <v>21.536054</v>
      </c>
      <c r="AM2748" s="3" t="n"/>
      <c r="AN2748" s="3" t="n"/>
      <c r="AO2748" s="3" t="n"/>
      <c r="AP2748" s="3" t="n"/>
      <c r="AQ2748" s="3" t="n"/>
      <c r="AR2748" s="3" t="n"/>
      <c r="AS2748" s="3" t="n"/>
      <c r="AT2748" s="3" t="n"/>
      <c r="AU2748" s="3" t="n"/>
    </row>
    <row r="2749">
      <c r="A2749" s="3" t="n">
        <v>2031</v>
      </c>
      <c r="B2749" s="3" t="inlineStr">
        <is>
          <t>STP</t>
        </is>
      </c>
      <c r="C2749" s="3" t="inlineStr">
        <is>
          <t>IMF.RES:WEO</t>
        </is>
      </c>
      <c r="D2749" s="3" t="inlineStr">
        <is>
          <t>STP.GGX_NGDP.A</t>
        </is>
      </c>
      <c r="E2749" s="3" t="inlineStr">
        <is>
          <t>São Tomé and Príncipe, Democratic Republic of</t>
        </is>
      </c>
      <c r="F2749" s="3" t="inlineStr">
        <is>
          <t>Expenditure, General government, Percent of GDP</t>
        </is>
      </c>
      <c r="G2749" s="3" t="n">
        <v>10.736945</v>
      </c>
      <c r="H2749" s="3" t="n">
        <v>52.799409</v>
      </c>
      <c r="I2749" s="3" t="n">
        <v>44.265482</v>
      </c>
      <c r="J2749" s="3" t="n">
        <v>51.864221</v>
      </c>
      <c r="K2749" s="3" t="n">
        <v>60.637986</v>
      </c>
      <c r="L2749" s="3" t="n">
        <v>43.665744</v>
      </c>
      <c r="M2749" s="3" t="n">
        <v>32.465826</v>
      </c>
      <c r="N2749" s="3" t="n">
        <v>38.918921</v>
      </c>
      <c r="O2749" s="3" t="n">
        <v>30.44668</v>
      </c>
      <c r="P2749" s="3" t="n">
        <v>48.611514</v>
      </c>
      <c r="Q2749" s="3" t="n">
        <v>51.689516</v>
      </c>
      <c r="R2749" s="3" t="n">
        <v>53.360423</v>
      </c>
      <c r="S2749" s="3" t="n">
        <v>50.500191</v>
      </c>
      <c r="T2749" s="3" t="n">
        <v>35.50868</v>
      </c>
      <c r="U2749" s="3" t="n">
        <v>35.967819</v>
      </c>
      <c r="V2749" s="3" t="n">
        <v>41.584919</v>
      </c>
      <c r="W2749" s="3" t="n">
        <v>38.296236</v>
      </c>
      <c r="X2749" s="3" t="n">
        <v>31.92985</v>
      </c>
      <c r="Y2749" s="3" t="n">
        <v>27.961267</v>
      </c>
      <c r="Z2749" s="3" t="n">
        <v>22.831833</v>
      </c>
      <c r="AA2749" s="3" t="n">
        <v>23.180791</v>
      </c>
      <c r="AB2749" s="3" t="n">
        <v>25.632504</v>
      </c>
      <c r="AC2749" s="3" t="n">
        <v>27.705457</v>
      </c>
      <c r="AD2749" s="3" t="n">
        <v>23.919487</v>
      </c>
      <c r="AE2749" s="3" t="n">
        <v>23.798367</v>
      </c>
      <c r="AF2749" s="3" t="n">
        <v>21.18973</v>
      </c>
      <c r="AG2749" s="3" t="n">
        <v>20.607066</v>
      </c>
      <c r="AH2749" s="3" t="n">
        <v>19.680335</v>
      </c>
      <c r="AI2749" s="3" t="n">
        <v>19.200736</v>
      </c>
      <c r="AJ2749" s="3" t="n">
        <v>18.964434</v>
      </c>
      <c r="AK2749" s="3" t="n">
        <v>18.817481</v>
      </c>
      <c r="AL2749" s="3" t="n">
        <v>18.884817</v>
      </c>
      <c r="AM2749" s="3" t="n"/>
      <c r="AN2749" s="3" t="n"/>
      <c r="AO2749" s="3" t="n"/>
      <c r="AP2749" s="3" t="n"/>
      <c r="AQ2749" s="3" t="n"/>
      <c r="AR2749" s="3" t="n"/>
      <c r="AS2749" s="3" t="n"/>
      <c r="AT2749" s="3" t="n"/>
      <c r="AU2749" s="3" t="n"/>
    </row>
    <row r="2750">
      <c r="A2750" s="3" t="n">
        <v>2031</v>
      </c>
      <c r="B2750" s="3" t="inlineStr">
        <is>
          <t>STP</t>
        </is>
      </c>
      <c r="C2750" s="3" t="inlineStr">
        <is>
          <t>IMF.RES:WEO</t>
        </is>
      </c>
      <c r="D2750" s="3" t="inlineStr">
        <is>
          <t>STP.LP.A</t>
        </is>
      </c>
      <c r="E2750" s="3" t="inlineStr">
        <is>
          <t>São Tomé and Príncipe, Democratic Republic of</t>
        </is>
      </c>
      <c r="F2750" s="3" t="inlineStr">
        <is>
          <t>Population, Persons for countries / Index for country groups</t>
        </is>
      </c>
      <c r="G2750" s="3" t="n">
        <v>0.144019</v>
      </c>
      <c r="H2750" s="3" t="n">
        <v>0.146375</v>
      </c>
      <c r="I2750" s="3" t="n">
        <v>0.149922</v>
      </c>
      <c r="J2750" s="3" t="n">
        <v>0.153814</v>
      </c>
      <c r="K2750" s="3" t="n">
        <v>0.157705</v>
      </c>
      <c r="L2750" s="3" t="n">
        <v>0.16164</v>
      </c>
      <c r="M2750" s="3" t="n">
        <v>0.165638</v>
      </c>
      <c r="N2750" s="3" t="n">
        <v>0.1697</v>
      </c>
      <c r="O2750" s="3" t="n">
        <v>0.173793</v>
      </c>
      <c r="P2750" s="3" t="n">
        <v>0.177854</v>
      </c>
      <c r="Q2750" s="3" t="n">
        <v>0.181802</v>
      </c>
      <c r="R2750" s="3" t="n">
        <v>0.18565</v>
      </c>
      <c r="S2750" s="3" t="n">
        <v>0.189439</v>
      </c>
      <c r="T2750" s="3" t="n">
        <v>0.193148</v>
      </c>
      <c r="U2750" s="3" t="n">
        <v>0.196767</v>
      </c>
      <c r="V2750" s="3" t="n">
        <v>0.200291</v>
      </c>
      <c r="W2750" s="3" t="n">
        <v>0.203689</v>
      </c>
      <c r="X2750" s="3" t="n">
        <v>0.206971</v>
      </c>
      <c r="Y2750" s="3" t="n">
        <v>0.210187</v>
      </c>
      <c r="Z2750" s="3" t="n">
        <v>0.213392</v>
      </c>
      <c r="AA2750" s="3" t="n">
        <v>0.217435</v>
      </c>
      <c r="AB2750" s="3" t="n">
        <v>0.221961</v>
      </c>
      <c r="AC2750" s="3" t="n">
        <v>0.226305</v>
      </c>
      <c r="AD2750" s="3" t="n">
        <v>0.230872</v>
      </c>
      <c r="AE2750" s="3" t="n">
        <v>0.235537</v>
      </c>
      <c r="AF2750" s="3" t="n">
        <v>0.240254</v>
      </c>
      <c r="AG2750" s="3" t="n">
        <v>0.244994</v>
      </c>
      <c r="AH2750" s="3" t="n">
        <v>0.249788</v>
      </c>
      <c r="AI2750" s="3" t="n">
        <v>0.254661</v>
      </c>
      <c r="AJ2750" s="3" t="n">
        <v>0.259597</v>
      </c>
      <c r="AK2750" s="3" t="n">
        <v>0.264565</v>
      </c>
      <c r="AL2750" s="3" t="n">
        <v>0.26957</v>
      </c>
      <c r="AM2750" s="3" t="n"/>
      <c r="AN2750" s="3" t="n"/>
      <c r="AO2750" s="3" t="n"/>
      <c r="AP2750" s="3" t="n"/>
      <c r="AQ2750" s="3" t="n"/>
      <c r="AR2750" s="3" t="n"/>
      <c r="AS2750" s="3" t="n"/>
      <c r="AT2750" s="3" t="n"/>
      <c r="AU2750" s="3" t="n"/>
    </row>
    <row r="2751">
      <c r="A2751" s="3" t="n">
        <v>2031</v>
      </c>
      <c r="B2751" s="3" t="inlineStr">
        <is>
          <t>STP</t>
        </is>
      </c>
      <c r="C2751" s="3" t="inlineStr">
        <is>
          <t>IMF.RES:WEO</t>
        </is>
      </c>
      <c r="D2751" s="3" t="inlineStr">
        <is>
          <t>STP.NGDP.A</t>
        </is>
      </c>
      <c r="E2751" s="3" t="inlineStr">
        <is>
          <t>São Tomé and Príncipe, Democratic Republic of</t>
        </is>
      </c>
      <c r="F2751" s="3" t="inlineStr">
        <is>
          <t>Gross domestic product (GDP), Current prices, Domestic currency</t>
        </is>
      </c>
      <c r="G2751" s="3" t="n">
        <v>0.612383</v>
      </c>
      <c r="H2751" s="3" t="n">
        <v>0.633366</v>
      </c>
      <c r="I2751" s="3" t="n">
        <v>0.725824</v>
      </c>
      <c r="J2751" s="3" t="n">
        <v>0.893106</v>
      </c>
      <c r="K2751" s="3" t="n">
        <v>1.034655</v>
      </c>
      <c r="L2751" s="3" t="n">
        <v>1.321292</v>
      </c>
      <c r="M2751" s="3" t="n">
        <v>1.659714</v>
      </c>
      <c r="N2751" s="3" t="n">
        <v>1.957641</v>
      </c>
      <c r="O2751" s="3" t="n">
        <v>2.763009</v>
      </c>
      <c r="P2751" s="3" t="n">
        <v>3.252519</v>
      </c>
      <c r="Q2751" s="3" t="n">
        <v>3.52946</v>
      </c>
      <c r="R2751" s="3" t="n">
        <v>4.020538</v>
      </c>
      <c r="S2751" s="3" t="n">
        <v>4.406552</v>
      </c>
      <c r="T2751" s="3" t="n">
        <v>4.965786</v>
      </c>
      <c r="U2751" s="3" t="n">
        <v>5.450234</v>
      </c>
      <c r="V2751" s="3" t="n">
        <v>5.783393</v>
      </c>
      <c r="W2751" s="3" t="n">
        <v>6.511837</v>
      </c>
      <c r="X2751" s="3" t="n">
        <v>7.05633</v>
      </c>
      <c r="Y2751" s="3" t="n">
        <v>8.022221999999999</v>
      </c>
      <c r="Z2751" s="3" t="n">
        <v>9.10567</v>
      </c>
      <c r="AA2751" s="3" t="n">
        <v>10.210772</v>
      </c>
      <c r="AB2751" s="3" t="n">
        <v>10.942039</v>
      </c>
      <c r="AC2751" s="3" t="n">
        <v>12.690136</v>
      </c>
      <c r="AD2751" s="3" t="n">
        <v>15.761834</v>
      </c>
      <c r="AE2751" s="3" t="n">
        <v>18.755601</v>
      </c>
      <c r="AF2751" s="3" t="n">
        <v>21.292263</v>
      </c>
      <c r="AG2751" s="3" t="n">
        <v>24.130868</v>
      </c>
      <c r="AH2751" s="3" t="n">
        <v>26.927298</v>
      </c>
      <c r="AI2751" s="3" t="n">
        <v>29.463633</v>
      </c>
      <c r="AJ2751" s="3" t="n">
        <v>32.117892</v>
      </c>
      <c r="AK2751" s="3" t="n">
        <v>35.074112</v>
      </c>
      <c r="AL2751" s="3" t="n">
        <v>38.024721</v>
      </c>
      <c r="AM2751" s="3" t="n"/>
      <c r="AN2751" s="3" t="n"/>
      <c r="AO2751" s="3" t="n"/>
      <c r="AP2751" s="3" t="n"/>
      <c r="AQ2751" s="3" t="n"/>
      <c r="AR2751" s="3" t="n"/>
      <c r="AS2751" s="3" t="n"/>
      <c r="AT2751" s="3" t="n"/>
      <c r="AU2751" s="3" t="n"/>
    </row>
    <row r="2752">
      <c r="A2752" s="3" t="n">
        <v>2031</v>
      </c>
      <c r="B2752" s="3" t="inlineStr">
        <is>
          <t>STP</t>
        </is>
      </c>
      <c r="C2752" s="3" t="inlineStr">
        <is>
          <t>IMF.RES:WEO</t>
        </is>
      </c>
      <c r="D2752" s="3" t="inlineStr">
        <is>
          <t>STP.NGDP_D.A</t>
        </is>
      </c>
      <c r="E2752" s="3" t="inlineStr">
        <is>
          <t>São Tomé and Príncipe, Democratic Republic of</t>
        </is>
      </c>
      <c r="F2752" s="3" t="inlineStr">
        <is>
          <t>Gross domestic product (GDP), Price deflator, Index</t>
        </is>
      </c>
      <c r="G2752" s="3" t="n">
        <v>33.562343</v>
      </c>
      <c r="H2752" s="3" t="n">
        <v>33.898736</v>
      </c>
      <c r="I2752" s="3" t="n">
        <v>37.945363</v>
      </c>
      <c r="J2752" s="3" t="n">
        <v>43.810771</v>
      </c>
      <c r="K2752" s="3" t="n">
        <v>48.881142</v>
      </c>
      <c r="L2752" s="3" t="n">
        <v>58.288199</v>
      </c>
      <c r="M2752" s="3" t="n">
        <v>67.100847</v>
      </c>
      <c r="N2752" s="3" t="n">
        <v>76.65181800000001</v>
      </c>
      <c r="O2752" s="3" t="n">
        <v>100</v>
      </c>
      <c r="P2752" s="3" t="n">
        <v>113.953349</v>
      </c>
      <c r="Q2752" s="3" t="n">
        <v>121.890569</v>
      </c>
      <c r="R2752" s="3" t="n">
        <v>136.128248</v>
      </c>
      <c r="S2752" s="3" t="n">
        <v>144.932698</v>
      </c>
      <c r="T2752" s="3" t="n">
        <v>155.371561</v>
      </c>
      <c r="U2752" s="3" t="n">
        <v>162.553918</v>
      </c>
      <c r="V2752" s="3" t="n">
        <v>169.874856</v>
      </c>
      <c r="W2752" s="3" t="n">
        <v>181.856932</v>
      </c>
      <c r="X2752" s="3" t="n">
        <v>189.2781</v>
      </c>
      <c r="Y2752" s="3" t="n">
        <v>206.161063</v>
      </c>
      <c r="Z2752" s="3" t="n">
        <v>229.383787</v>
      </c>
      <c r="AA2752" s="3" t="n">
        <v>250.643706</v>
      </c>
      <c r="AB2752" s="3" t="n">
        <v>263.587796</v>
      </c>
      <c r="AC2752" s="3" t="n">
        <v>305.183682</v>
      </c>
      <c r="AD2752" s="3" t="n">
        <v>377.648831</v>
      </c>
      <c r="AE2752" s="3" t="n">
        <v>444.446336</v>
      </c>
      <c r="AF2752" s="3" t="n">
        <v>494.17907</v>
      </c>
      <c r="AG2752" s="3" t="n">
        <v>541.645248</v>
      </c>
      <c r="AH2752" s="3" t="n">
        <v>581.726996</v>
      </c>
      <c r="AI2752" s="3" t="n">
        <v>616.47926</v>
      </c>
      <c r="AJ2752" s="3" t="n">
        <v>650.856036</v>
      </c>
      <c r="AK2752" s="3" t="n">
        <v>688.349959</v>
      </c>
      <c r="AL2752" s="3" t="n">
        <v>722.767457</v>
      </c>
      <c r="AM2752" s="3" t="n"/>
      <c r="AN2752" s="3" t="n"/>
      <c r="AO2752" s="3" t="n"/>
      <c r="AP2752" s="3" t="n"/>
      <c r="AQ2752" s="3" t="n"/>
      <c r="AR2752" s="3" t="n"/>
      <c r="AS2752" s="3" t="n"/>
      <c r="AT2752" s="3" t="n"/>
      <c r="AU2752" s="3" t="n"/>
    </row>
    <row r="2753">
      <c r="A2753" s="3" t="n">
        <v>2031</v>
      </c>
      <c r="B2753" s="3" t="inlineStr">
        <is>
          <t>STP</t>
        </is>
      </c>
      <c r="C2753" s="3" t="inlineStr">
        <is>
          <t>IMF.RES:WEO</t>
        </is>
      </c>
      <c r="D2753" s="3" t="inlineStr">
        <is>
          <t>STP.NGDP_R.A</t>
        </is>
      </c>
      <c r="E2753" s="3" t="inlineStr">
        <is>
          <t>São Tomé and Príncipe, Democratic Republic of</t>
        </is>
      </c>
      <c r="F2753" s="3" t="inlineStr">
        <is>
          <t>Gross domestic product (GDP), Constant prices, Domestic currency</t>
        </is>
      </c>
      <c r="G2753" s="3" t="n">
        <v>1.824614</v>
      </c>
      <c r="H2753" s="3" t="n">
        <v>1.868405</v>
      </c>
      <c r="I2753" s="3" t="n">
        <v>1.912814</v>
      </c>
      <c r="J2753" s="3" t="n">
        <v>2.038553</v>
      </c>
      <c r="K2753" s="3" t="n">
        <v>2.116675</v>
      </c>
      <c r="L2753" s="3" t="n">
        <v>2.266827</v>
      </c>
      <c r="M2753" s="3" t="n">
        <v>2.473462</v>
      </c>
      <c r="N2753" s="3" t="n">
        <v>2.553939</v>
      </c>
      <c r="O2753" s="3" t="n">
        <v>2.763009</v>
      </c>
      <c r="P2753" s="3" t="n">
        <v>2.854255</v>
      </c>
      <c r="Q2753" s="3" t="n">
        <v>2.895597</v>
      </c>
      <c r="R2753" s="3" t="n">
        <v>2.953493</v>
      </c>
      <c r="S2753" s="3" t="n">
        <v>3.040412</v>
      </c>
      <c r="T2753" s="3" t="n">
        <v>3.196072</v>
      </c>
      <c r="U2753" s="3" t="n">
        <v>3.352878</v>
      </c>
      <c r="V2753" s="3" t="n">
        <v>3.404502</v>
      </c>
      <c r="W2753" s="3" t="n">
        <v>3.580747</v>
      </c>
      <c r="X2753" s="3" t="n">
        <v>3.728022</v>
      </c>
      <c r="Y2753" s="3" t="n">
        <v>3.89124</v>
      </c>
      <c r="Z2753" s="3" t="n">
        <v>3.969622</v>
      </c>
      <c r="AA2753" s="3" t="n">
        <v>4.073819</v>
      </c>
      <c r="AB2753" s="3" t="n">
        <v>4.151193</v>
      </c>
      <c r="AC2753" s="3" t="n">
        <v>4.158196</v>
      </c>
      <c r="AD2753" s="3" t="n">
        <v>4.173675</v>
      </c>
      <c r="AE2753" s="3" t="n">
        <v>4.219992</v>
      </c>
      <c r="AF2753" s="3" t="n">
        <v>4.308613</v>
      </c>
      <c r="AG2753" s="3" t="n">
        <v>4.455106</v>
      </c>
      <c r="AH2753" s="3" t="n">
        <v>4.628855</v>
      </c>
      <c r="AI2753" s="3" t="n">
        <v>4.779339</v>
      </c>
      <c r="AJ2753" s="3" t="n">
        <v>4.934715</v>
      </c>
      <c r="AK2753" s="3" t="n">
        <v>5.09539</v>
      </c>
      <c r="AL2753" s="3" t="n">
        <v>5.26099</v>
      </c>
      <c r="AM2753" s="3" t="n"/>
      <c r="AN2753" s="3" t="n"/>
      <c r="AO2753" s="3" t="n"/>
      <c r="AP2753" s="3" t="n"/>
      <c r="AQ2753" s="3" t="n"/>
      <c r="AR2753" s="3" t="n"/>
      <c r="AS2753" s="3" t="n"/>
      <c r="AT2753" s="3" t="n"/>
      <c r="AU2753" s="3" t="n"/>
    </row>
    <row r="2754">
      <c r="A2754" s="3" t="n">
        <v>2031</v>
      </c>
      <c r="B2754" s="3" t="inlineStr">
        <is>
          <t>STP</t>
        </is>
      </c>
      <c r="C2754" s="3" t="inlineStr">
        <is>
          <t>IMF.RES:WEO</t>
        </is>
      </c>
      <c r="D2754" s="3" t="inlineStr">
        <is>
          <t>STP.NGDP_RPCH.A</t>
        </is>
      </c>
      <c r="E2754" s="3" t="inlineStr">
        <is>
          <t>São Tomé and Príncipe, Democratic Republic of</t>
        </is>
      </c>
      <c r="F2754" s="3" t="inlineStr">
        <is>
          <t>Gross domestic product (GDP), Constant prices, Percent change</t>
        </is>
      </c>
      <c r="G2754" s="3" t="n">
        <v>0.448368</v>
      </c>
      <c r="H2754" s="3" t="n">
        <v>2.4</v>
      </c>
      <c r="I2754" s="3" t="n">
        <v>2.376877</v>
      </c>
      <c r="J2754" s="3" t="n">
        <v>6.573473</v>
      </c>
      <c r="K2754" s="3" t="n">
        <v>3.832227</v>
      </c>
      <c r="L2754" s="3" t="n">
        <v>7.09377</v>
      </c>
      <c r="M2754" s="3" t="n">
        <v>9.115646999999999</v>
      </c>
      <c r="N2754" s="3" t="n">
        <v>3.253605</v>
      </c>
      <c r="O2754" s="3" t="n">
        <v>8.186171999999999</v>
      </c>
      <c r="P2754" s="3" t="n">
        <v>3.3024</v>
      </c>
      <c r="Q2754" s="3" t="n">
        <v>1.448455</v>
      </c>
      <c r="R2754" s="3" t="n">
        <v>1.99943</v>
      </c>
      <c r="S2754" s="3" t="n">
        <v>2.942945</v>
      </c>
      <c r="T2754" s="3" t="n">
        <v>5.119677</v>
      </c>
      <c r="U2754" s="3" t="n">
        <v>4.90621</v>
      </c>
      <c r="V2754" s="3" t="n">
        <v>1.539704</v>
      </c>
      <c r="W2754" s="3" t="n">
        <v>5.176825</v>
      </c>
      <c r="X2754" s="3" t="n">
        <v>4.11298</v>
      </c>
      <c r="Y2754" s="3" t="n">
        <v>4.378129</v>
      </c>
      <c r="Z2754" s="3" t="n">
        <v>2.01432</v>
      </c>
      <c r="AA2754" s="3" t="n">
        <v>2.624867</v>
      </c>
      <c r="AB2754" s="3" t="n">
        <v>1.899296</v>
      </c>
      <c r="AC2754" s="3" t="n">
        <v>0.168691</v>
      </c>
      <c r="AD2754" s="3" t="n">
        <v>0.372249</v>
      </c>
      <c r="AE2754" s="3" t="n">
        <v>1.109754</v>
      </c>
      <c r="AF2754" s="3" t="n">
        <v>2.100015</v>
      </c>
      <c r="AG2754" s="3" t="n">
        <v>3.4</v>
      </c>
      <c r="AH2754" s="3" t="n">
        <v>3.9</v>
      </c>
      <c r="AI2754" s="3" t="n">
        <v>3.251</v>
      </c>
      <c r="AJ2754" s="3" t="n">
        <v>3.251</v>
      </c>
      <c r="AK2754" s="3" t="n">
        <v>3.256</v>
      </c>
      <c r="AL2754" s="3" t="n">
        <v>3.25</v>
      </c>
      <c r="AM2754" s="3" t="n"/>
      <c r="AN2754" s="3" t="n"/>
      <c r="AO2754" s="3" t="n"/>
      <c r="AP2754" s="3" t="n"/>
      <c r="AQ2754" s="3" t="n"/>
      <c r="AR2754" s="3" t="n"/>
      <c r="AS2754" s="3" t="n"/>
      <c r="AT2754" s="3" t="n"/>
      <c r="AU2754" s="3" t="n"/>
    </row>
    <row r="2755">
      <c r="A2755" s="3" t="n">
        <v>2031</v>
      </c>
      <c r="B2755" s="3" t="inlineStr">
        <is>
          <t>STP</t>
        </is>
      </c>
      <c r="C2755" s="3" t="inlineStr">
        <is>
          <t>IMF.RES:WEO</t>
        </is>
      </c>
      <c r="D2755" s="3" t="inlineStr">
        <is>
          <t>STP.NGDPD.A</t>
        </is>
      </c>
      <c r="E2755" s="3" t="inlineStr">
        <is>
          <t>São Tomé and Príncipe, Democratic Republic of</t>
        </is>
      </c>
      <c r="F2755" s="3" t="inlineStr">
        <is>
          <t>Gross domestic product (GDP), Current prices, US dollar</t>
        </is>
      </c>
      <c r="G2755" s="3" t="n">
        <v>0.07675700000000001</v>
      </c>
      <c r="H2755" s="3" t="n">
        <v>0.071631</v>
      </c>
      <c r="I2755" s="3" t="n">
        <v>0.079863</v>
      </c>
      <c r="J2755" s="3" t="n">
        <v>0.095544</v>
      </c>
      <c r="K2755" s="3" t="n">
        <v>0.104486</v>
      </c>
      <c r="L2755" s="3" t="n">
        <v>0.125146</v>
      </c>
      <c r="M2755" s="3" t="n">
        <v>0.133325</v>
      </c>
      <c r="N2755" s="3" t="n">
        <v>0.144617</v>
      </c>
      <c r="O2755" s="3" t="n">
        <v>0.188021</v>
      </c>
      <c r="P2755" s="3" t="n">
        <v>0.200668</v>
      </c>
      <c r="Q2755" s="3" t="n">
        <v>0.190796</v>
      </c>
      <c r="R2755" s="3" t="n">
        <v>0.228126</v>
      </c>
      <c r="S2755" s="3" t="n">
        <v>0.231092</v>
      </c>
      <c r="T2755" s="3" t="n">
        <v>0.269113</v>
      </c>
      <c r="U2755" s="3" t="n">
        <v>0.295143</v>
      </c>
      <c r="V2755" s="3" t="n">
        <v>0.261803</v>
      </c>
      <c r="W2755" s="3" t="n">
        <v>0.294003</v>
      </c>
      <c r="X2755" s="3" t="n">
        <v>0.325249</v>
      </c>
      <c r="Y2755" s="3" t="n">
        <v>0.386864</v>
      </c>
      <c r="Z2755" s="3" t="n">
        <v>0.41611</v>
      </c>
      <c r="AA2755" s="3" t="n">
        <v>0.475648</v>
      </c>
      <c r="AB2755" s="3" t="n">
        <v>0.528579</v>
      </c>
      <c r="AC2755" s="3" t="n">
        <v>0.545871</v>
      </c>
      <c r="AD2755" s="3" t="n">
        <v>0.695824</v>
      </c>
      <c r="AE2755" s="3" t="n">
        <v>0.82835</v>
      </c>
      <c r="AF2755" s="3" t="n">
        <v>0.98148</v>
      </c>
      <c r="AG2755" s="3" t="n">
        <v>1.161087</v>
      </c>
      <c r="AH2755" s="3" t="n">
        <v>1.293804</v>
      </c>
      <c r="AI2755" s="3" t="n">
        <v>1.411856</v>
      </c>
      <c r="AJ2755" s="3" t="n">
        <v>1.538122</v>
      </c>
      <c r="AK2755" s="3" t="n">
        <v>1.678711</v>
      </c>
      <c r="AL2755" s="3" t="n">
        <v>1.819932</v>
      </c>
      <c r="AM2755" s="3" t="n"/>
      <c r="AN2755" s="3" t="n"/>
      <c r="AO2755" s="3" t="n"/>
      <c r="AP2755" s="3" t="n"/>
      <c r="AQ2755" s="3" t="n"/>
      <c r="AR2755" s="3" t="n"/>
      <c r="AS2755" s="3" t="n"/>
      <c r="AT2755" s="3" t="n"/>
      <c r="AU2755" s="3" t="n"/>
    </row>
    <row r="2756">
      <c r="A2756" s="3" t="n">
        <v>2031</v>
      </c>
      <c r="B2756" s="3" t="inlineStr">
        <is>
          <t>STP</t>
        </is>
      </c>
      <c r="C2756" s="3" t="inlineStr">
        <is>
          <t>IMF.RES:WEO</t>
        </is>
      </c>
      <c r="D2756" s="3" t="inlineStr">
        <is>
          <t>STP.NGDPPC.A</t>
        </is>
      </c>
      <c r="E2756" s="3" t="inlineStr">
        <is>
          <t>São Tomé and Príncipe, Democratic Republic of</t>
        </is>
      </c>
      <c r="F2756" s="3" t="inlineStr">
        <is>
          <t>Gross domestic product (GDP), Current prices, Per capita, Domestic currency</t>
        </is>
      </c>
      <c r="G2756" s="3" t="n">
        <v>4252.1145</v>
      </c>
      <c r="H2756" s="3" t="n">
        <v>4327.006104</v>
      </c>
      <c r="I2756" s="3" t="n">
        <v>4841.36236</v>
      </c>
      <c r="J2756" s="3" t="n">
        <v>5806.399935</v>
      </c>
      <c r="K2756" s="3" t="n">
        <v>6560.696724</v>
      </c>
      <c r="L2756" s="3" t="n">
        <v>8174.316196</v>
      </c>
      <c r="M2756" s="3" t="n">
        <v>10020.129761</v>
      </c>
      <c r="N2756" s="3" t="n">
        <v>11535.925522</v>
      </c>
      <c r="O2756" s="3" t="n">
        <v>15898.275535</v>
      </c>
      <c r="P2756" s="3" t="n">
        <v>18287.62844</v>
      </c>
      <c r="Q2756" s="3" t="n">
        <v>19413.757421</v>
      </c>
      <c r="R2756" s="3" t="n">
        <v>21656.604455</v>
      </c>
      <c r="S2756" s="3" t="n">
        <v>23261.058201</v>
      </c>
      <c r="T2756" s="3" t="n">
        <v>25709.814114</v>
      </c>
      <c r="U2756" s="3" t="n">
        <v>27698.922453</v>
      </c>
      <c r="V2756" s="3" t="n">
        <v>28874.950968</v>
      </c>
      <c r="W2756" s="3" t="n">
        <v>31969.584556</v>
      </c>
      <c r="X2756" s="3" t="n">
        <v>34093.410026</v>
      </c>
      <c r="Y2756" s="3" t="n">
        <v>38167.070279</v>
      </c>
      <c r="Z2756" s="3" t="n">
        <v>42671.09164</v>
      </c>
      <c r="AA2756" s="3" t="n">
        <v>46960.220272</v>
      </c>
      <c r="AB2756" s="3" t="n">
        <v>49297.123961</v>
      </c>
      <c r="AC2756" s="3" t="n">
        <v>56075.36574</v>
      </c>
      <c r="AD2756" s="3" t="n">
        <v>68271.02654599999</v>
      </c>
      <c r="AE2756" s="3" t="n">
        <v>79629.27816</v>
      </c>
      <c r="AF2756" s="3" t="n">
        <v>88623.96845499999</v>
      </c>
      <c r="AG2756" s="3" t="n">
        <v>98495.95293299999</v>
      </c>
      <c r="AH2756" s="3" t="n">
        <v>107800.607084</v>
      </c>
      <c r="AI2756" s="3" t="n">
        <v>115697.468355</v>
      </c>
      <c r="AJ2756" s="3" t="n">
        <v>123722.12192</v>
      </c>
      <c r="AK2756" s="3" t="n">
        <v>132573.008316</v>
      </c>
      <c r="AL2756" s="3" t="n">
        <v>141056.947368</v>
      </c>
      <c r="AM2756" s="3" t="n"/>
      <c r="AN2756" s="3" t="n"/>
      <c r="AO2756" s="3" t="n"/>
      <c r="AP2756" s="3" t="n"/>
      <c r="AQ2756" s="3" t="n"/>
      <c r="AR2756" s="3" t="n"/>
      <c r="AS2756" s="3" t="n"/>
      <c r="AT2756" s="3" t="n"/>
      <c r="AU2756" s="3" t="n"/>
    </row>
    <row r="2757">
      <c r="A2757" s="3" t="n">
        <v>2031</v>
      </c>
      <c r="B2757" s="3" t="inlineStr">
        <is>
          <t>STP</t>
        </is>
      </c>
      <c r="C2757" s="3" t="inlineStr">
        <is>
          <t>IMF.RES:WEO</t>
        </is>
      </c>
      <c r="D2757" s="3" t="inlineStr">
        <is>
          <t>STP.NGDPRPC.A</t>
        </is>
      </c>
      <c r="E2757" s="3" t="inlineStr">
        <is>
          <t>São Tomé and Príncipe, Democratic Republic of</t>
        </is>
      </c>
      <c r="F2757" s="3" t="inlineStr">
        <is>
          <t>Gross domestic product (GDP), Constant prices, Per capita, Domestic currency</t>
        </is>
      </c>
      <c r="G2757" s="3" t="n">
        <v>12669.301676</v>
      </c>
      <c r="H2757" s="3" t="n">
        <v>12764.505928</v>
      </c>
      <c r="I2757" s="3" t="n">
        <v>12758.772039</v>
      </c>
      <c r="J2757" s="3" t="n">
        <v>13253.36162</v>
      </c>
      <c r="K2757" s="3" t="n">
        <v>13421.733792</v>
      </c>
      <c r="L2757" s="3" t="n">
        <v>14023.964191</v>
      </c>
      <c r="M2757" s="3" t="n">
        <v>14932.940852</v>
      </c>
      <c r="N2757" s="3" t="n">
        <v>15049.774176</v>
      </c>
      <c r="O2757" s="3" t="n">
        <v>15898.275535</v>
      </c>
      <c r="P2757" s="3" t="n">
        <v>16048.346637</v>
      </c>
      <c r="Q2757" s="3" t="n">
        <v>15927.202214</v>
      </c>
      <c r="R2757" s="3" t="n">
        <v>15908.971747</v>
      </c>
      <c r="S2757" s="3" t="n">
        <v>16049.558492</v>
      </c>
      <c r="T2757" s="3" t="n">
        <v>16547.310195</v>
      </c>
      <c r="U2757" s="3" t="n">
        <v>17039.836843</v>
      </c>
      <c r="V2757" s="3" t="n">
        <v>16997.778</v>
      </c>
      <c r="W2757" s="3" t="n">
        <v>17579.524883</v>
      </c>
      <c r="X2757" s="3" t="n">
        <v>18012.337405</v>
      </c>
      <c r="Y2757" s="3" t="n">
        <v>18513.229256</v>
      </c>
      <c r="Z2757" s="3" t="n">
        <v>18602.488101</v>
      </c>
      <c r="AA2757" s="3" t="n">
        <v>18735.846592</v>
      </c>
      <c r="AB2757" s="3" t="n">
        <v>18702.3545</v>
      </c>
      <c r="AC2757" s="3" t="n">
        <v>18374.300165</v>
      </c>
      <c r="AD2757" s="3" t="n">
        <v>18077.912855</v>
      </c>
      <c r="AE2757" s="3" t="n">
        <v>17916.511336</v>
      </c>
      <c r="AF2757" s="3" t="n">
        <v>17933.573855</v>
      </c>
      <c r="AG2757" s="3" t="n">
        <v>18184.587305</v>
      </c>
      <c r="AH2757" s="3" t="n">
        <v>18531.133649</v>
      </c>
      <c r="AI2757" s="3" t="n">
        <v>18767.455095</v>
      </c>
      <c r="AJ2757" s="3" t="n">
        <v>19009.137967</v>
      </c>
      <c r="AK2757" s="3" t="n">
        <v>19259.536013</v>
      </c>
      <c r="AL2757" s="3" t="n">
        <v>19516.228344</v>
      </c>
      <c r="AM2757" s="3" t="n"/>
      <c r="AN2757" s="3" t="n"/>
      <c r="AO2757" s="3" t="n"/>
      <c r="AP2757" s="3" t="n"/>
      <c r="AQ2757" s="3" t="n"/>
      <c r="AR2757" s="3" t="n"/>
      <c r="AS2757" s="3" t="n"/>
      <c r="AT2757" s="3" t="n"/>
      <c r="AU2757" s="3" t="n"/>
    </row>
    <row r="2758">
      <c r="A2758" s="3" t="n">
        <v>2031</v>
      </c>
      <c r="B2758" s="3" t="inlineStr">
        <is>
          <t>STP</t>
        </is>
      </c>
      <c r="C2758" s="3" t="inlineStr">
        <is>
          <t>IMF.RES:WEO</t>
        </is>
      </c>
      <c r="D2758" s="3" t="inlineStr">
        <is>
          <t>STP.PCPI.A</t>
        </is>
      </c>
      <c r="E2758" s="3" t="inlineStr">
        <is>
          <t>São Tomé and Príncipe, Democratic Republic of</t>
        </is>
      </c>
      <c r="F2758" s="3" t="inlineStr">
        <is>
          <t>All Items, Consumer price index (CPI), Period average</t>
        </is>
      </c>
      <c r="G2758" s="3" t="n">
        <v>14.227359</v>
      </c>
      <c r="H2758" s="3" t="n">
        <v>15.538977</v>
      </c>
      <c r="I2758" s="3" t="n">
        <v>17.113125</v>
      </c>
      <c r="J2758" s="3" t="n">
        <v>18.789038</v>
      </c>
      <c r="K2758" s="3" t="n">
        <v>21.285184</v>
      </c>
      <c r="L2758" s="3" t="n">
        <v>24.93595</v>
      </c>
      <c r="M2758" s="3" t="n">
        <v>30.689884</v>
      </c>
      <c r="N2758" s="3" t="n">
        <v>36.382918</v>
      </c>
      <c r="O2758" s="3" t="n">
        <v>48.022166</v>
      </c>
      <c r="P2758" s="3" t="n">
        <v>56.165148</v>
      </c>
      <c r="Q2758" s="3" t="n">
        <v>63.657274</v>
      </c>
      <c r="R2758" s="3" t="n">
        <v>72.77346900000001</v>
      </c>
      <c r="S2758" s="3" t="n">
        <v>80.515039</v>
      </c>
      <c r="T2758" s="3" t="n">
        <v>87.041675</v>
      </c>
      <c r="U2758" s="3" t="n">
        <v>93.12398899999999</v>
      </c>
      <c r="V2758" s="3" t="n">
        <v>98.83273800000001</v>
      </c>
      <c r="W2758" s="3" t="n">
        <v>104.176919</v>
      </c>
      <c r="X2758" s="3" t="n">
        <v>110.104283</v>
      </c>
      <c r="Y2758" s="3" t="n">
        <v>118.772407</v>
      </c>
      <c r="Z2758" s="3" t="n">
        <v>127.936618</v>
      </c>
      <c r="AA2758" s="3" t="n">
        <v>140.500467</v>
      </c>
      <c r="AB2758" s="3" t="n">
        <v>151.934384</v>
      </c>
      <c r="AC2758" s="3" t="n">
        <v>179.454255</v>
      </c>
      <c r="AD2758" s="3" t="n">
        <v>217.406036</v>
      </c>
      <c r="AE2758" s="3" t="n">
        <v>248.607993</v>
      </c>
      <c r="AF2758" s="3" t="n">
        <v>250.895834</v>
      </c>
      <c r="AG2758" s="3" t="n">
        <v>274.874473</v>
      </c>
      <c r="AH2758" s="3" t="n">
        <v>296.452119</v>
      </c>
      <c r="AI2758" s="3" t="n">
        <v>314.09102</v>
      </c>
      <c r="AJ2758" s="3" t="n">
        <v>329.795571</v>
      </c>
      <c r="AK2758" s="3" t="n">
        <v>346.28535</v>
      </c>
      <c r="AL2758" s="3" t="n">
        <v>363.599617</v>
      </c>
      <c r="AM2758" s="3" t="n"/>
      <c r="AN2758" s="3" t="n"/>
      <c r="AO2758" s="3" t="n"/>
      <c r="AP2758" s="3" t="n"/>
      <c r="AQ2758" s="3" t="n"/>
      <c r="AR2758" s="3" t="n"/>
      <c r="AS2758" s="3" t="n"/>
      <c r="AT2758" s="3" t="n"/>
      <c r="AU2758" s="3" t="n"/>
    </row>
    <row r="2759">
      <c r="A2759" s="3" t="n">
        <v>2031</v>
      </c>
      <c r="B2759" s="3" t="inlineStr">
        <is>
          <t>STP</t>
        </is>
      </c>
      <c r="C2759" s="3" t="inlineStr">
        <is>
          <t>IMF.RES:WEO</t>
        </is>
      </c>
      <c r="D2759" s="3" t="inlineStr">
        <is>
          <t>STP.PCPIPCH.A</t>
        </is>
      </c>
      <c r="E2759" s="3" t="inlineStr">
        <is>
          <t>São Tomé and Príncipe, Democratic Republic of</t>
        </is>
      </c>
      <c r="F2759" s="3" t="inlineStr">
        <is>
          <t>All Items, Consumer price index (CPI), Period average, percent change</t>
        </is>
      </c>
      <c r="G2759" s="3" t="n">
        <v>11.011101</v>
      </c>
      <c r="H2759" s="3" t="n">
        <v>9.218989000000001</v>
      </c>
      <c r="I2759" s="3" t="n">
        <v>10.130318</v>
      </c>
      <c r="J2759" s="3" t="n">
        <v>9.793145000000001</v>
      </c>
      <c r="K2759" s="3" t="n">
        <v>13.285118</v>
      </c>
      <c r="L2759" s="3" t="n">
        <v>17.151677</v>
      </c>
      <c r="M2759" s="3" t="n">
        <v>23.074854</v>
      </c>
      <c r="N2759" s="3" t="n">
        <v>18.550197</v>
      </c>
      <c r="O2759" s="3" t="n">
        <v>31.990968</v>
      </c>
      <c r="P2759" s="3" t="n">
        <v>16.956716</v>
      </c>
      <c r="Q2759" s="3" t="n">
        <v>13.339456</v>
      </c>
      <c r="R2759" s="3" t="n">
        <v>14.320744</v>
      </c>
      <c r="S2759" s="3" t="n">
        <v>10.637901</v>
      </c>
      <c r="T2759" s="3" t="n">
        <v>8.106108000000001</v>
      </c>
      <c r="U2759" s="3" t="n">
        <v>6.987818</v>
      </c>
      <c r="V2759" s="3" t="n">
        <v>6.130267</v>
      </c>
      <c r="W2759" s="3" t="n">
        <v>5.407298</v>
      </c>
      <c r="X2759" s="3" t="n">
        <v>5.689709</v>
      </c>
      <c r="Y2759" s="3" t="n">
        <v>7.872649</v>
      </c>
      <c r="Z2759" s="3" t="n">
        <v>7.715774</v>
      </c>
      <c r="AA2759" s="3" t="n">
        <v>9.82037</v>
      </c>
      <c r="AB2759" s="3" t="n">
        <v>8.137993</v>
      </c>
      <c r="AC2759" s="3" t="n">
        <v>18.112997</v>
      </c>
      <c r="AD2759" s="3" t="n">
        <v>21.148443</v>
      </c>
      <c r="AE2759" s="3" t="n">
        <v>14.351927</v>
      </c>
      <c r="AF2759" s="3" t="n">
        <v>0.920261</v>
      </c>
      <c r="AG2759" s="3" t="n">
        <v>9.557209</v>
      </c>
      <c r="AH2759" s="3" t="n">
        <v>7.85</v>
      </c>
      <c r="AI2759" s="3" t="n">
        <v>5.95</v>
      </c>
      <c r="AJ2759" s="3" t="n">
        <v>5</v>
      </c>
      <c r="AK2759" s="3" t="n">
        <v>5</v>
      </c>
      <c r="AL2759" s="3" t="n">
        <v>5</v>
      </c>
      <c r="AM2759" s="3" t="n"/>
      <c r="AN2759" s="3" t="n"/>
      <c r="AO2759" s="3" t="n"/>
      <c r="AP2759" s="3" t="n"/>
      <c r="AQ2759" s="3" t="n"/>
      <c r="AR2759" s="3" t="n"/>
      <c r="AS2759" s="3" t="n"/>
      <c r="AT2759" s="3" t="n"/>
      <c r="AU2759" s="3" t="n"/>
    </row>
    <row r="2760">
      <c r="A2760" s="3" t="n">
        <v>2031</v>
      </c>
      <c r="B2760" s="3" t="inlineStr">
        <is>
          <t>STP</t>
        </is>
      </c>
      <c r="C2760" s="3" t="inlineStr">
        <is>
          <t>IMF.RES:WEO</t>
        </is>
      </c>
      <c r="D2760" s="3" t="inlineStr">
        <is>
          <t>STP.PPPPC.A</t>
        </is>
      </c>
      <c r="E2760" s="3" t="inlineStr">
        <is>
          <t>São Tomé and Príncipe, Democratic Republic of</t>
        </is>
      </c>
      <c r="F2760" s="3" t="inlineStr">
        <is>
          <t>Gross domestic product (GDP), Per capita, purchasing power parity (PPP) international dollar, ICP benchmarks 2017-2021</t>
        </is>
      </c>
      <c r="G2760" s="3" t="n">
        <v>1757.686264</v>
      </c>
      <c r="H2760" s="3" t="n">
        <v>1810.768327</v>
      </c>
      <c r="I2760" s="3" t="n">
        <v>1838.082267</v>
      </c>
      <c r="J2760" s="3" t="n">
        <v>1947.029308</v>
      </c>
      <c r="K2760" s="3" t="n">
        <v>2024.78299</v>
      </c>
      <c r="L2760" s="3" t="n">
        <v>2181.977092</v>
      </c>
      <c r="M2760" s="3" t="n">
        <v>2395.055069</v>
      </c>
      <c r="N2760" s="3" t="n">
        <v>2479.189847</v>
      </c>
      <c r="O2760" s="3" t="n">
        <v>2669.417813</v>
      </c>
      <c r="P2760" s="3" t="n">
        <v>2711.234495</v>
      </c>
      <c r="Q2760" s="3" t="n">
        <v>2723.471066</v>
      </c>
      <c r="R2760" s="3" t="n">
        <v>2776.481403</v>
      </c>
      <c r="S2760" s="3" t="n">
        <v>2853.170059</v>
      </c>
      <c r="T2760" s="3" t="n">
        <v>2991.723761</v>
      </c>
      <c r="U2760" s="3" t="n">
        <v>3134.429947</v>
      </c>
      <c r="V2760" s="3" t="n">
        <v>3155.710719</v>
      </c>
      <c r="W2760" s="3" t="n">
        <v>3294.72712</v>
      </c>
      <c r="X2760" s="3" t="n">
        <v>3436.301809</v>
      </c>
      <c r="Y2760" s="3" t="n">
        <v>3941.032809</v>
      </c>
      <c r="Z2760" s="3" t="n">
        <v>4655.484754</v>
      </c>
      <c r="AA2760" s="3" t="n">
        <v>5144.54744</v>
      </c>
      <c r="AB2760" s="3" t="n">
        <v>5732.694525</v>
      </c>
      <c r="AC2760" s="3" t="n">
        <v>6032.719459</v>
      </c>
      <c r="AD2760" s="3" t="n">
        <v>6155.020555</v>
      </c>
      <c r="AE2760" s="3" t="n">
        <v>6251.504798</v>
      </c>
      <c r="AF2760" s="3" t="n">
        <v>6434.967808</v>
      </c>
      <c r="AG2760" s="3" t="n">
        <v>6711.969632</v>
      </c>
      <c r="AH2760" s="3" t="n">
        <v>6990.077698</v>
      </c>
      <c r="AI2760" s="3" t="n">
        <v>7195.4175</v>
      </c>
      <c r="AJ2760" s="3" t="n">
        <v>7417.66834</v>
      </c>
      <c r="AK2760" s="3" t="n">
        <v>7653.474726</v>
      </c>
      <c r="AL2760" s="3" t="n">
        <v>7895.49056</v>
      </c>
      <c r="AM2760" s="3" t="n"/>
      <c r="AN2760" s="3" t="n"/>
      <c r="AO2760" s="3" t="n"/>
      <c r="AP2760" s="3" t="n"/>
      <c r="AQ2760" s="3" t="n"/>
      <c r="AR2760" s="3" t="n"/>
      <c r="AS2760" s="3" t="n"/>
      <c r="AT2760" s="3" t="n"/>
      <c r="AU2760" s="3" t="n"/>
    </row>
    <row r="2761">
      <c r="A2761" s="3" t="n">
        <v>2025</v>
      </c>
      <c r="B2761" s="3" t="inlineStr">
        <is>
          <t>STP</t>
        </is>
      </c>
      <c r="C2761" s="3" t="inlineStr">
        <is>
          <t>IMF.STA:ER</t>
        </is>
      </c>
      <c r="D2761" s="3" t="inlineStr">
        <is>
          <t>STP.XDC_USD.PA_RT.A</t>
        </is>
      </c>
      <c r="E2761" s="3" t="inlineStr">
        <is>
          <t>São Tomé and Príncipe, Democratic Republic of</t>
        </is>
      </c>
      <c r="F2761" s="3" t="inlineStr">
        <is>
          <t>Domestic currency per US Dollar</t>
        </is>
      </c>
      <c r="G2761" s="3" t="n">
        <v>7.97817166666666</v>
      </c>
      <c r="H2761" s="3" t="n">
        <v>8.84210916666666</v>
      </c>
      <c r="I2761" s="3" t="n">
        <v>9.088324999999999</v>
      </c>
      <c r="J2761" s="3" t="n">
        <v>9.347583333333329</v>
      </c>
      <c r="K2761" s="3" t="n">
        <v>9.902324166666659</v>
      </c>
      <c r="L2761" s="3" t="n">
        <v>10.5579703333333</v>
      </c>
      <c r="M2761" s="3" t="n">
        <v>12.4486425</v>
      </c>
      <c r="N2761" s="3" t="n">
        <v>13.536755</v>
      </c>
      <c r="O2761" s="3" t="n">
        <v>14.6952016666666</v>
      </c>
      <c r="P2761" s="3" t="n">
        <v>16.2084512541666</v>
      </c>
      <c r="Q2761" s="3" t="n">
        <v>18.4986013237509</v>
      </c>
      <c r="R2761" s="3" t="n">
        <v>17.6229350058196</v>
      </c>
      <c r="S2761" s="3" t="n">
        <v>19.0684168084153</v>
      </c>
      <c r="T2761" s="3" t="n">
        <v>18.4499526248781</v>
      </c>
      <c r="U2761" s="3" t="n">
        <v>18.4664030495763</v>
      </c>
      <c r="V2761" s="3" t="n">
        <v>22.0906445602113</v>
      </c>
      <c r="W2761" s="3" t="n">
        <v>22.1488606347838</v>
      </c>
      <c r="X2761" s="3" t="n">
        <v>21.7411383607115</v>
      </c>
      <c r="Y2761" s="3" t="n">
        <v>20.7508592370914</v>
      </c>
      <c r="Z2761" s="3" t="n">
        <v>21.8847418164688</v>
      </c>
      <c r="AA2761" s="3" t="n">
        <v>21.5070590993582</v>
      </c>
      <c r="AB2761" s="3" t="n">
        <v>20.7104015163031</v>
      </c>
      <c r="AC2761" s="3" t="n">
        <v>23.290403954864</v>
      </c>
      <c r="AD2761" s="3" t="n">
        <v>22.6584247888495</v>
      </c>
      <c r="AE2761" s="3" t="n">
        <v>22.6430098947811</v>
      </c>
      <c r="AF2761" s="3" t="n">
        <v>22.6430098947811</v>
      </c>
      <c r="AG2761" s="3" t="n"/>
      <c r="AH2761" s="3" t="n"/>
      <c r="AI2761" s="3" t="n"/>
      <c r="AJ2761" s="3" t="n"/>
      <c r="AK2761" s="3" t="n"/>
      <c r="AL2761" s="3" t="n"/>
      <c r="AM2761" s="3" t="n"/>
      <c r="AN2761" s="3" t="n"/>
      <c r="AO2761" s="3" t="n"/>
      <c r="AP2761" s="3" t="n"/>
      <c r="AQ2761" s="3" t="n"/>
      <c r="AR2761" s="3" t="n"/>
      <c r="AS2761" s="3" t="n"/>
      <c r="AT2761" s="3" t="n"/>
      <c r="AU2761" s="3" t="n"/>
    </row>
    <row r="2762">
      <c r="A2762" s="3" t="n">
        <v>2031</v>
      </c>
      <c r="B2762" s="3" t="inlineStr">
        <is>
          <t>SUR</t>
        </is>
      </c>
      <c r="C2762" s="3" t="inlineStr">
        <is>
          <t>IMF.RES:WEO</t>
        </is>
      </c>
      <c r="D2762" s="3" t="inlineStr">
        <is>
          <t>SUR.BCA.A</t>
        </is>
      </c>
      <c r="E2762" s="3" t="inlineStr">
        <is>
          <t>Suriname</t>
        </is>
      </c>
      <c r="F2762" s="3" t="inlineStr">
        <is>
          <t>Current account balance (credit less debit), US dollar</t>
        </is>
      </c>
      <c r="G2762" s="3" t="n">
        <v>-0.0095</v>
      </c>
      <c r="H2762" s="3" t="n">
        <v>-0.2809</v>
      </c>
      <c r="I2762" s="3" t="n">
        <v>-0.201</v>
      </c>
      <c r="J2762" s="3" t="n">
        <v>-0.0873</v>
      </c>
      <c r="K2762" s="3" t="n">
        <v>-0.1377</v>
      </c>
      <c r="L2762" s="3" t="n">
        <v>-0.1467</v>
      </c>
      <c r="M2762" s="3" t="n">
        <v>0.2206</v>
      </c>
      <c r="N2762" s="3" t="n">
        <v>0.3245</v>
      </c>
      <c r="O2762" s="3" t="n">
        <v>0.3247</v>
      </c>
      <c r="P2762" s="3" t="n">
        <v>0.1113</v>
      </c>
      <c r="Q2762" s="3" t="n">
        <v>0.6508</v>
      </c>
      <c r="R2762" s="3" t="n">
        <v>0.4313</v>
      </c>
      <c r="S2762" s="3" t="n">
        <v>0.1623</v>
      </c>
      <c r="T2762" s="3" t="n">
        <v>-0.196</v>
      </c>
      <c r="U2762" s="3" t="n">
        <v>-0.4163</v>
      </c>
      <c r="V2762" s="3" t="n">
        <v>-0.7864</v>
      </c>
      <c r="W2762" s="3" t="n">
        <v>-0.1605</v>
      </c>
      <c r="X2762" s="3" t="n">
        <v>0.06950000000000001</v>
      </c>
      <c r="Y2762" s="3" t="n">
        <v>-0.1186</v>
      </c>
      <c r="Z2762" s="3" t="n">
        <v>-0.4483</v>
      </c>
      <c r="AA2762" s="3" t="n">
        <v>0.2598</v>
      </c>
      <c r="AB2762" s="3" t="n">
        <v>-0.079252</v>
      </c>
      <c r="AC2762" s="3" t="n">
        <v>0.051296</v>
      </c>
      <c r="AD2762" s="3" t="n">
        <v>-0.12797</v>
      </c>
      <c r="AE2762" s="3" t="n">
        <v>-0.57039</v>
      </c>
      <c r="AF2762" s="3" t="n">
        <v>-2.484233</v>
      </c>
      <c r="AG2762" s="3" t="n">
        <v>-2.649174</v>
      </c>
      <c r="AH2762" s="3" t="n">
        <v>-2.855391</v>
      </c>
      <c r="AI2762" s="3" t="n">
        <v>-0.66453</v>
      </c>
      <c r="AJ2762" s="3" t="n">
        <v>4.25226</v>
      </c>
      <c r="AK2762" s="3" t="n">
        <v>4.09858</v>
      </c>
      <c r="AL2762" s="3" t="n">
        <v>4.075975</v>
      </c>
      <c r="AM2762" s="3" t="n"/>
      <c r="AN2762" s="3" t="n"/>
      <c r="AO2762" s="3" t="n"/>
      <c r="AP2762" s="3" t="n"/>
      <c r="AQ2762" s="3" t="n"/>
      <c r="AR2762" s="3" t="n"/>
      <c r="AS2762" s="3" t="n"/>
      <c r="AT2762" s="3" t="n"/>
      <c r="AU2762" s="3" t="n"/>
    </row>
    <row r="2763">
      <c r="A2763" s="3" t="n">
        <v>2031</v>
      </c>
      <c r="B2763" s="3" t="inlineStr">
        <is>
          <t>SUR</t>
        </is>
      </c>
      <c r="C2763" s="3" t="inlineStr">
        <is>
          <t>IMF.RES:WEO</t>
        </is>
      </c>
      <c r="D2763" s="3" t="inlineStr">
        <is>
          <t>SUR.BCA_NGDPD.A</t>
        </is>
      </c>
      <c r="E2763" s="3" t="inlineStr">
        <is>
          <t>Suriname</t>
        </is>
      </c>
      <c r="F2763" s="3" t="inlineStr">
        <is>
          <t>Current account balance (credit less debit), Percent of GDP</t>
        </is>
      </c>
      <c r="G2763" s="3" t="n">
        <v>-0.700944</v>
      </c>
      <c r="H2763" s="3" t="n">
        <v>-24.067885</v>
      </c>
      <c r="I2763" s="3" t="n">
        <v>-13.637871</v>
      </c>
      <c r="J2763" s="3" t="n">
        <v>-5.04983</v>
      </c>
      <c r="K2763" s="3" t="n">
        <v>-6.885775</v>
      </c>
      <c r="L2763" s="3" t="n">
        <v>-6.129346</v>
      </c>
      <c r="M2763" s="3" t="n">
        <v>7.844105</v>
      </c>
      <c r="N2763" s="3" t="n">
        <v>10.320495</v>
      </c>
      <c r="O2763" s="3" t="n">
        <v>8.583157999999999</v>
      </c>
      <c r="P2763" s="3" t="n">
        <v>2.682053</v>
      </c>
      <c r="Q2763" s="3" t="n">
        <v>13.913439</v>
      </c>
      <c r="R2763" s="3" t="n">
        <v>9.108444</v>
      </c>
      <c r="S2763" s="3" t="n">
        <v>3.043721</v>
      </c>
      <c r="T2763" s="3" t="n">
        <v>-3.557316</v>
      </c>
      <c r="U2763" s="3" t="n">
        <v>-7.41859</v>
      </c>
      <c r="V2763" s="3" t="n">
        <v>-15.340684</v>
      </c>
      <c r="W2763" s="3" t="n">
        <v>-4.838095</v>
      </c>
      <c r="X2763" s="3" t="n">
        <v>1.935028</v>
      </c>
      <c r="Y2763" s="3" t="n">
        <v>-2.96782</v>
      </c>
      <c r="Z2763" s="3" t="n">
        <v>-11.162802</v>
      </c>
      <c r="AA2763" s="3" t="n">
        <v>8.922267</v>
      </c>
      <c r="AB2763" s="3" t="n">
        <v>-2.570012</v>
      </c>
      <c r="AC2763" s="3" t="n">
        <v>1.349194</v>
      </c>
      <c r="AD2763" s="3" t="n">
        <v>-3.696126</v>
      </c>
      <c r="AE2763" s="3" t="n">
        <v>-12.863547</v>
      </c>
      <c r="AF2763" s="3" t="n">
        <v>-53.262477</v>
      </c>
      <c r="AG2763" s="3" t="n">
        <v>-44.841536</v>
      </c>
      <c r="AH2763" s="3" t="n">
        <v>-42.200369</v>
      </c>
      <c r="AI2763" s="3" t="n">
        <v>-7.408564</v>
      </c>
      <c r="AJ2763" s="3" t="n">
        <v>32.482552</v>
      </c>
      <c r="AK2763" s="3" t="n">
        <v>30.126482</v>
      </c>
      <c r="AL2763" s="3" t="n">
        <v>28.936667</v>
      </c>
      <c r="AM2763" s="3" t="n"/>
      <c r="AN2763" s="3" t="n"/>
      <c r="AO2763" s="3" t="n"/>
      <c r="AP2763" s="3" t="n"/>
      <c r="AQ2763" s="3" t="n"/>
      <c r="AR2763" s="3" t="n"/>
      <c r="AS2763" s="3" t="n"/>
      <c r="AT2763" s="3" t="n"/>
      <c r="AU2763" s="3" t="n"/>
    </row>
    <row r="2764">
      <c r="A2764" s="3" t="n">
        <v>2031</v>
      </c>
      <c r="B2764" s="3" t="inlineStr">
        <is>
          <t>SUR</t>
        </is>
      </c>
      <c r="C2764" s="3" t="inlineStr">
        <is>
          <t>IMF.RES:WEO</t>
        </is>
      </c>
      <c r="D2764" s="3" t="inlineStr">
        <is>
          <t>SUR.GGR_NGDP.A</t>
        </is>
      </c>
      <c r="E2764" s="3" t="inlineStr">
        <is>
          <t>Suriname</t>
        </is>
      </c>
      <c r="F2764" s="3" t="inlineStr">
        <is>
          <t>Revenue, General government, Percent of GDP</t>
        </is>
      </c>
      <c r="G2764" s="3" t="n">
        <v>16.604308</v>
      </c>
      <c r="H2764" s="3" t="n">
        <v>25.327237</v>
      </c>
      <c r="I2764" s="3" t="n">
        <v>18.903105</v>
      </c>
      <c r="J2764" s="3" t="n">
        <v>19.063149</v>
      </c>
      <c r="K2764" s="3" t="n">
        <v>19.610435</v>
      </c>
      <c r="L2764" s="3" t="n">
        <v>18.81477</v>
      </c>
      <c r="M2764" s="3" t="n">
        <v>22.801229</v>
      </c>
      <c r="N2764" s="3" t="n">
        <v>27.596003</v>
      </c>
      <c r="O2764" s="3" t="n">
        <v>22.892855</v>
      </c>
      <c r="P2764" s="3" t="n">
        <v>26.04933</v>
      </c>
      <c r="Q2764" s="3" t="n">
        <v>20.873086</v>
      </c>
      <c r="R2764" s="3" t="n">
        <v>23.367646</v>
      </c>
      <c r="S2764" s="3" t="n">
        <v>24.683924</v>
      </c>
      <c r="T2764" s="3" t="n">
        <v>23.537519</v>
      </c>
      <c r="U2764" s="3" t="n">
        <v>22.506593</v>
      </c>
      <c r="V2764" s="3" t="n">
        <v>21.589644</v>
      </c>
      <c r="W2764" s="3" t="n">
        <v>17.722772</v>
      </c>
      <c r="X2764" s="3" t="n">
        <v>20.119898</v>
      </c>
      <c r="Y2764" s="3" t="n">
        <v>20.90258</v>
      </c>
      <c r="Z2764" s="3" t="n">
        <v>20.276977</v>
      </c>
      <c r="AA2764" s="3" t="n">
        <v>18.249217</v>
      </c>
      <c r="AB2764" s="3" t="n">
        <v>26.361082</v>
      </c>
      <c r="AC2764" s="3" t="n">
        <v>25.639811</v>
      </c>
      <c r="AD2764" s="3" t="n">
        <v>27.209676</v>
      </c>
      <c r="AE2764" s="3" t="n">
        <v>25.90678</v>
      </c>
      <c r="AF2764" s="3" t="n">
        <v>27.681868</v>
      </c>
      <c r="AG2764" s="3" t="n">
        <v>25.480697</v>
      </c>
      <c r="AH2764" s="3" t="n">
        <v>23.50718</v>
      </c>
      <c r="AI2764" s="3" t="n">
        <v>23.142592</v>
      </c>
      <c r="AJ2764" s="3" t="n">
        <v>23.274513</v>
      </c>
      <c r="AK2764" s="3" t="n">
        <v>24.468886</v>
      </c>
      <c r="AL2764" s="3" t="n">
        <v>23.987781</v>
      </c>
      <c r="AM2764" s="3" t="n"/>
      <c r="AN2764" s="3" t="n"/>
      <c r="AO2764" s="3" t="n"/>
      <c r="AP2764" s="3" t="n"/>
      <c r="AQ2764" s="3" t="n"/>
      <c r="AR2764" s="3" t="n"/>
      <c r="AS2764" s="3" t="n"/>
      <c r="AT2764" s="3" t="n"/>
      <c r="AU2764" s="3" t="n"/>
    </row>
    <row r="2765">
      <c r="A2765" s="3" t="n">
        <v>2031</v>
      </c>
      <c r="B2765" s="3" t="inlineStr">
        <is>
          <t>SUR</t>
        </is>
      </c>
      <c r="C2765" s="3" t="inlineStr">
        <is>
          <t>IMF.RES:WEO</t>
        </is>
      </c>
      <c r="D2765" s="3" t="inlineStr">
        <is>
          <t>SUR.GGX_NGDP.A</t>
        </is>
      </c>
      <c r="E2765" s="3" t="inlineStr">
        <is>
          <t>Suriname</t>
        </is>
      </c>
      <c r="F2765" s="3" t="inlineStr">
        <is>
          <t>Expenditure, General government, Percent of GDP</t>
        </is>
      </c>
      <c r="G2765" s="3" t="n">
        <v>24.362342</v>
      </c>
      <c r="H2765" s="3" t="n">
        <v>21.837551</v>
      </c>
      <c r="I2765" s="3" t="n">
        <v>22.198725</v>
      </c>
      <c r="J2765" s="3" t="n">
        <v>19.177031</v>
      </c>
      <c r="K2765" s="3" t="n">
        <v>20.812807</v>
      </c>
      <c r="L2765" s="3" t="n">
        <v>22.205455</v>
      </c>
      <c r="M2765" s="3" t="n">
        <v>22.208745</v>
      </c>
      <c r="N2765" s="3" t="n">
        <v>22.581932</v>
      </c>
      <c r="O2765" s="3" t="n">
        <v>20.499418</v>
      </c>
      <c r="P2765" s="3" t="n">
        <v>24.021346</v>
      </c>
      <c r="Q2765" s="3" t="n">
        <v>21.026825</v>
      </c>
      <c r="R2765" s="3" t="n">
        <v>21.048812</v>
      </c>
      <c r="S2765" s="3" t="n">
        <v>25.063999</v>
      </c>
      <c r="T2765" s="3" t="n">
        <v>26.179051</v>
      </c>
      <c r="U2765" s="3" t="n">
        <v>25.15697</v>
      </c>
      <c r="V2765" s="3" t="n">
        <v>29.880833</v>
      </c>
      <c r="W2765" s="3" t="n">
        <v>27.909287</v>
      </c>
      <c r="X2765" s="3" t="n">
        <v>28.739918</v>
      </c>
      <c r="Y2765" s="3" t="n">
        <v>29.461372</v>
      </c>
      <c r="Z2765" s="3" t="n">
        <v>40.502319</v>
      </c>
      <c r="AA2765" s="3" t="n">
        <v>30.203652</v>
      </c>
      <c r="AB2765" s="3" t="n">
        <v>32.021497</v>
      </c>
      <c r="AC2765" s="3" t="n">
        <v>28.20791</v>
      </c>
      <c r="AD2765" s="3" t="n">
        <v>28.880423</v>
      </c>
      <c r="AE2765" s="3" t="n">
        <v>29.264988</v>
      </c>
      <c r="AF2765" s="3" t="n">
        <v>37.293418</v>
      </c>
      <c r="AG2765" s="3" t="n">
        <v>30.168365</v>
      </c>
      <c r="AH2765" s="3" t="n">
        <v>27.743595</v>
      </c>
      <c r="AI2765" s="3" t="n">
        <v>23.240759</v>
      </c>
      <c r="AJ2765" s="3" t="n">
        <v>18.139991</v>
      </c>
      <c r="AK2765" s="3" t="n">
        <v>19.541445</v>
      </c>
      <c r="AL2765" s="3" t="n">
        <v>20.915215</v>
      </c>
      <c r="AM2765" s="3" t="n"/>
      <c r="AN2765" s="3" t="n"/>
      <c r="AO2765" s="3" t="n"/>
      <c r="AP2765" s="3" t="n"/>
      <c r="AQ2765" s="3" t="n"/>
      <c r="AR2765" s="3" t="n"/>
      <c r="AS2765" s="3" t="n"/>
      <c r="AT2765" s="3" t="n"/>
      <c r="AU2765" s="3" t="n"/>
    </row>
    <row r="2766">
      <c r="A2766" s="3" t="n">
        <v>2031</v>
      </c>
      <c r="B2766" s="3" t="inlineStr">
        <is>
          <t>SUR</t>
        </is>
      </c>
      <c r="C2766" s="3" t="inlineStr">
        <is>
          <t>IMF.RES:WEO</t>
        </is>
      </c>
      <c r="D2766" s="3" t="inlineStr">
        <is>
          <t>SUR.LP.A</t>
        </is>
      </c>
      <c r="E2766" s="3" t="inlineStr">
        <is>
          <t>Suriname</t>
        </is>
      </c>
      <c r="F2766" s="3" t="inlineStr">
        <is>
          <t>Population, Persons for countries / Index for country groups</t>
        </is>
      </c>
      <c r="G2766" s="3" t="n">
        <v>0.466951</v>
      </c>
      <c r="H2766" s="3" t="n">
        <v>0.473219</v>
      </c>
      <c r="I2766" s="3" t="n">
        <v>0.47876</v>
      </c>
      <c r="J2766" s="3" t="n">
        <v>0.486988</v>
      </c>
      <c r="K2766" s="3" t="n">
        <v>0.495686</v>
      </c>
      <c r="L2766" s="3" t="n">
        <v>0.5014</v>
      </c>
      <c r="M2766" s="3" t="n">
        <v>0.507114</v>
      </c>
      <c r="N2766" s="3" t="n">
        <v>0.5135110000000001</v>
      </c>
      <c r="O2766" s="3" t="n">
        <v>0.520598</v>
      </c>
      <c r="P2766" s="3" t="n">
        <v>0.527657</v>
      </c>
      <c r="Q2766" s="3" t="n">
        <v>0.53554</v>
      </c>
      <c r="R2766" s="3" t="n">
        <v>0.540774</v>
      </c>
      <c r="S2766" s="3" t="n">
        <v>0.54593</v>
      </c>
      <c r="T2766" s="3" t="n">
        <v>0.554498</v>
      </c>
      <c r="U2766" s="3" t="n">
        <v>0.563032</v>
      </c>
      <c r="V2766" s="3" t="n">
        <v>0.5673</v>
      </c>
      <c r="W2766" s="3" t="n">
        <v>0.5757</v>
      </c>
      <c r="X2766" s="3" t="n">
        <v>0.5832000000000001</v>
      </c>
      <c r="Y2766" s="3" t="n">
        <v>0.5901</v>
      </c>
      <c r="Z2766" s="3" t="n">
        <v>0.598</v>
      </c>
      <c r="AA2766" s="3" t="n">
        <v>0.6089</v>
      </c>
      <c r="AB2766" s="3" t="n">
        <v>0.618234</v>
      </c>
      <c r="AC2766" s="3" t="n">
        <v>0.62771</v>
      </c>
      <c r="AD2766" s="3" t="n">
        <v>0.637332</v>
      </c>
      <c r="AE2766" s="3" t="n">
        <v>0.647101</v>
      </c>
      <c r="AF2766" s="3" t="n">
        <v>0.65702</v>
      </c>
      <c r="AG2766" s="3" t="n">
        <v>0.667092</v>
      </c>
      <c r="AH2766" s="3" t="n">
        <v>0.6773169999999999</v>
      </c>
      <c r="AI2766" s="3" t="n">
        <v>0.6876989999999999</v>
      </c>
      <c r="AJ2766" s="3" t="n">
        <v>0.698241</v>
      </c>
      <c r="AK2766" s="3" t="n">
        <v>0.708944</v>
      </c>
      <c r="AL2766" s="3" t="n">
        <v>0.719811</v>
      </c>
      <c r="AM2766" s="3" t="n"/>
      <c r="AN2766" s="3" t="n"/>
      <c r="AO2766" s="3" t="n"/>
      <c r="AP2766" s="3" t="n"/>
      <c r="AQ2766" s="3" t="n"/>
      <c r="AR2766" s="3" t="n"/>
      <c r="AS2766" s="3" t="n"/>
      <c r="AT2766" s="3" t="n"/>
      <c r="AU2766" s="3" t="n"/>
    </row>
    <row r="2767">
      <c r="A2767" s="3" t="n">
        <v>2031</v>
      </c>
      <c r="B2767" s="3" t="inlineStr">
        <is>
          <t>SUR</t>
        </is>
      </c>
      <c r="C2767" s="3" t="inlineStr">
        <is>
          <t>IMF.RES:WEO</t>
        </is>
      </c>
      <c r="D2767" s="3" t="inlineStr">
        <is>
          <t>SUR.NGDP.A</t>
        </is>
      </c>
      <c r="E2767" s="3" t="inlineStr">
        <is>
          <t>Suriname</t>
        </is>
      </c>
      <c r="F2767" s="3" t="inlineStr">
        <is>
          <t>Gross domestic product (GDP), Current prices, Domestic currency</t>
        </is>
      </c>
      <c r="G2767" s="3" t="n">
        <v>1.792391</v>
      </c>
      <c r="H2767" s="3" t="n">
        <v>2.54219</v>
      </c>
      <c r="I2767" s="3" t="n">
        <v>3.458727</v>
      </c>
      <c r="J2767" s="3" t="n">
        <v>4.49711</v>
      </c>
      <c r="K2767" s="3" t="n">
        <v>5.46655</v>
      </c>
      <c r="L2767" s="3" t="n">
        <v>6.537981</v>
      </c>
      <c r="M2767" s="3" t="n">
        <v>7.716256</v>
      </c>
      <c r="N2767" s="3" t="n">
        <v>8.630909000000001</v>
      </c>
      <c r="O2767" s="3" t="n">
        <v>10.384307</v>
      </c>
      <c r="P2767" s="3" t="n">
        <v>11.391219</v>
      </c>
      <c r="Q2767" s="3" t="n">
        <v>12.841665</v>
      </c>
      <c r="R2767" s="3" t="n">
        <v>15.474524</v>
      </c>
      <c r="S2767" s="3" t="n">
        <v>17.596554</v>
      </c>
      <c r="T2767" s="3" t="n">
        <v>18.182248</v>
      </c>
      <c r="U2767" s="3" t="n">
        <v>18.518208</v>
      </c>
      <c r="V2767" s="3" t="n">
        <v>17.514647</v>
      </c>
      <c r="W2767" s="3" t="n">
        <v>20.662992</v>
      </c>
      <c r="X2767" s="3" t="n">
        <v>26.893278</v>
      </c>
      <c r="Y2767" s="3" t="n">
        <v>29.821678</v>
      </c>
      <c r="Z2767" s="3" t="n">
        <v>31.732343</v>
      </c>
      <c r="AA2767" s="3" t="n">
        <v>38.719469</v>
      </c>
      <c r="AB2767" s="3" t="n">
        <v>60.733614</v>
      </c>
      <c r="AC2767" s="3" t="n">
        <v>93.687387</v>
      </c>
      <c r="AD2767" s="3" t="n">
        <v>127.711318</v>
      </c>
      <c r="AE2767" s="3" t="n">
        <v>146.551036</v>
      </c>
      <c r="AF2767" s="3" t="n">
        <v>173.800905</v>
      </c>
      <c r="AG2767" s="3" t="n">
        <v>233.011959</v>
      </c>
      <c r="AH2767" s="3" t="n">
        <v>279.324968</v>
      </c>
      <c r="AI2767" s="3" t="n">
        <v>376.113302</v>
      </c>
      <c r="AJ2767" s="3" t="n">
        <v>547.365337</v>
      </c>
      <c r="AK2767" s="3" t="n">
        <v>568.843256</v>
      </c>
      <c r="AL2767" s="3" t="n">
        <v>588.9665670000001</v>
      </c>
      <c r="AM2767" s="3" t="n"/>
      <c r="AN2767" s="3" t="n"/>
      <c r="AO2767" s="3" t="n"/>
      <c r="AP2767" s="3" t="n"/>
      <c r="AQ2767" s="3" t="n"/>
      <c r="AR2767" s="3" t="n"/>
      <c r="AS2767" s="3" t="n"/>
      <c r="AT2767" s="3" t="n"/>
      <c r="AU2767" s="3" t="n"/>
    </row>
    <row r="2768">
      <c r="A2768" s="3" t="n">
        <v>2031</v>
      </c>
      <c r="B2768" s="3" t="inlineStr">
        <is>
          <t>SUR</t>
        </is>
      </c>
      <c r="C2768" s="3" t="inlineStr">
        <is>
          <t>IMF.RES:WEO</t>
        </is>
      </c>
      <c r="D2768" s="3" t="inlineStr">
        <is>
          <t>SUR.NGDP_D.A</t>
        </is>
      </c>
      <c r="E2768" s="3" t="inlineStr">
        <is>
          <t>Suriname</t>
        </is>
      </c>
      <c r="F2768" s="3" t="inlineStr">
        <is>
          <t>Gross domestic product (GDP), Price deflator, Index</t>
        </is>
      </c>
      <c r="G2768" s="3" t="n">
        <v>18.093702</v>
      </c>
      <c r="H2768" s="3" t="n">
        <v>24.463524</v>
      </c>
      <c r="I2768" s="3" t="n">
        <v>32.0812</v>
      </c>
      <c r="J2768" s="3" t="n">
        <v>39.281078</v>
      </c>
      <c r="K2768" s="3" t="n">
        <v>44.498133</v>
      </c>
      <c r="L2768" s="3" t="n">
        <v>50.724693</v>
      </c>
      <c r="M2768" s="3" t="n">
        <v>56.602055</v>
      </c>
      <c r="N2768" s="3" t="n">
        <v>60.239842</v>
      </c>
      <c r="O2768" s="3" t="n">
        <v>69.590217</v>
      </c>
      <c r="P2768" s="3" t="n">
        <v>74.10212900000001</v>
      </c>
      <c r="Q2768" s="3" t="n">
        <v>79.436224</v>
      </c>
      <c r="R2768" s="3" t="n">
        <v>90.43489599999999</v>
      </c>
      <c r="S2768" s="3" t="n">
        <v>100.135683</v>
      </c>
      <c r="T2768" s="3" t="n">
        <v>100.522433</v>
      </c>
      <c r="U2768" s="3" t="n">
        <v>102.120437</v>
      </c>
      <c r="V2768" s="3" t="n">
        <v>100</v>
      </c>
      <c r="W2768" s="3" t="n">
        <v>124.069364</v>
      </c>
      <c r="X2768" s="3" t="n">
        <v>158.988817</v>
      </c>
      <c r="Y2768" s="3" t="n">
        <v>167.988528</v>
      </c>
      <c r="Z2768" s="3" t="n">
        <v>176.688503</v>
      </c>
      <c r="AA2768" s="3" t="n">
        <v>256.583078</v>
      </c>
      <c r="AB2768" s="3" t="n">
        <v>412.510881</v>
      </c>
      <c r="AC2768" s="3" t="n">
        <v>621.385428</v>
      </c>
      <c r="AD2768" s="3" t="n">
        <v>827.063778</v>
      </c>
      <c r="AE2768" s="3" t="n">
        <v>933.013813</v>
      </c>
      <c r="AF2768" s="3" t="n">
        <v>1090.026695</v>
      </c>
      <c r="AG2768" s="3" t="n">
        <v>1406.162447</v>
      </c>
      <c r="AH2768" s="3" t="n">
        <v>1614.949036</v>
      </c>
      <c r="AI2768" s="3" t="n">
        <v>1691.752467</v>
      </c>
      <c r="AJ2768" s="3" t="n">
        <v>1716.238172</v>
      </c>
      <c r="AK2768" s="3" t="n">
        <v>1730.373741</v>
      </c>
      <c r="AL2768" s="3" t="n">
        <v>1741.812672</v>
      </c>
      <c r="AM2768" s="3" t="n"/>
      <c r="AN2768" s="3" t="n"/>
      <c r="AO2768" s="3" t="n"/>
      <c r="AP2768" s="3" t="n"/>
      <c r="AQ2768" s="3" t="n"/>
      <c r="AR2768" s="3" t="n"/>
      <c r="AS2768" s="3" t="n"/>
      <c r="AT2768" s="3" t="n"/>
      <c r="AU2768" s="3" t="n"/>
    </row>
    <row r="2769">
      <c r="A2769" s="3" t="n">
        <v>2031</v>
      </c>
      <c r="B2769" s="3" t="inlineStr">
        <is>
          <t>SUR</t>
        </is>
      </c>
      <c r="C2769" s="3" t="inlineStr">
        <is>
          <t>IMF.RES:WEO</t>
        </is>
      </c>
      <c r="D2769" s="3" t="inlineStr">
        <is>
          <t>SUR.NGDP_R.A</t>
        </is>
      </c>
      <c r="E2769" s="3" t="inlineStr">
        <is>
          <t>Suriname</t>
        </is>
      </c>
      <c r="F2769" s="3" t="inlineStr">
        <is>
          <t>Gross domestic product (GDP), Constant prices, Domestic currency</t>
        </is>
      </c>
      <c r="G2769" s="3" t="n">
        <v>9.906161000000001</v>
      </c>
      <c r="H2769" s="3" t="n">
        <v>10.391758</v>
      </c>
      <c r="I2769" s="3" t="n">
        <v>10.781165</v>
      </c>
      <c r="J2769" s="3" t="n">
        <v>11.448541</v>
      </c>
      <c r="K2769" s="3" t="n">
        <v>12.284898</v>
      </c>
      <c r="L2769" s="3" t="n">
        <v>12.889149</v>
      </c>
      <c r="M2769" s="3" t="n">
        <v>13.632467</v>
      </c>
      <c r="N2769" s="3" t="n">
        <v>14.327575</v>
      </c>
      <c r="O2769" s="3" t="n">
        <v>14.922079</v>
      </c>
      <c r="P2769" s="3" t="n">
        <v>15.372323</v>
      </c>
      <c r="Q2769" s="3" t="n">
        <v>16.166006</v>
      </c>
      <c r="R2769" s="3" t="n">
        <v>17.111231</v>
      </c>
      <c r="S2769" s="3" t="n">
        <v>17.572711</v>
      </c>
      <c r="T2769" s="3" t="n">
        <v>18.087751</v>
      </c>
      <c r="U2769" s="3" t="n">
        <v>18.133694</v>
      </c>
      <c r="V2769" s="3" t="n">
        <v>17.514647</v>
      </c>
      <c r="W2769" s="3" t="n">
        <v>16.654387</v>
      </c>
      <c r="X2769" s="3" t="n">
        <v>16.915201</v>
      </c>
      <c r="Y2769" s="3" t="n">
        <v>17.752211</v>
      </c>
      <c r="Z2769" s="3" t="n">
        <v>17.959484</v>
      </c>
      <c r="AA2769" s="3" t="n">
        <v>15.090422</v>
      </c>
      <c r="AB2769" s="3" t="n">
        <v>14.722912</v>
      </c>
      <c r="AC2769" s="3" t="n">
        <v>15.077178</v>
      </c>
      <c r="AD2769" s="3" t="n">
        <v>15.441532</v>
      </c>
      <c r="AE2769" s="3" t="n">
        <v>15.707274</v>
      </c>
      <c r="AF2769" s="3" t="n">
        <v>15.944647</v>
      </c>
      <c r="AG2769" s="3" t="n">
        <v>16.570771</v>
      </c>
      <c r="AH2769" s="3" t="n">
        <v>17.296209</v>
      </c>
      <c r="AI2769" s="3" t="n">
        <v>22.232171</v>
      </c>
      <c r="AJ2769" s="3" t="n">
        <v>31.89332</v>
      </c>
      <c r="AK2769" s="3" t="n">
        <v>32.874011</v>
      </c>
      <c r="AL2769" s="3" t="n">
        <v>33.813428</v>
      </c>
      <c r="AM2769" s="3" t="n"/>
      <c r="AN2769" s="3" t="n"/>
      <c r="AO2769" s="3" t="n"/>
      <c r="AP2769" s="3" t="n"/>
      <c r="AQ2769" s="3" t="n"/>
      <c r="AR2769" s="3" t="n"/>
      <c r="AS2769" s="3" t="n"/>
      <c r="AT2769" s="3" t="n"/>
      <c r="AU2769" s="3" t="n"/>
    </row>
    <row r="2770">
      <c r="A2770" s="3" t="n">
        <v>2031</v>
      </c>
      <c r="B2770" s="3" t="inlineStr">
        <is>
          <t>SUR</t>
        </is>
      </c>
      <c r="C2770" s="3" t="inlineStr">
        <is>
          <t>IMF.RES:WEO</t>
        </is>
      </c>
      <c r="D2770" s="3" t="inlineStr">
        <is>
          <t>SUR.NGDP_RPCH.A</t>
        </is>
      </c>
      <c r="E2770" s="3" t="inlineStr">
        <is>
          <t>Suriname</t>
        </is>
      </c>
      <c r="F2770" s="3" t="inlineStr">
        <is>
          <t>Gross domestic product (GDP), Constant prices, Percent change</t>
        </is>
      </c>
      <c r="G2770" s="3" t="n">
        <v>-0.1</v>
      </c>
      <c r="H2770" s="3" t="n">
        <v>4.901964</v>
      </c>
      <c r="I2770" s="3" t="n">
        <v>3.747269</v>
      </c>
      <c r="J2770" s="3" t="n">
        <v>6.190201</v>
      </c>
      <c r="K2770" s="3" t="n">
        <v>7.305361</v>
      </c>
      <c r="L2770" s="3" t="n">
        <v>4.918653</v>
      </c>
      <c r="M2770" s="3" t="n">
        <v>5.767003</v>
      </c>
      <c r="N2770" s="3" t="n">
        <v>5.098918</v>
      </c>
      <c r="O2770" s="3" t="n">
        <v>4.149367</v>
      </c>
      <c r="P2770" s="3" t="n">
        <v>3.017299</v>
      </c>
      <c r="Q2770" s="3" t="n">
        <v>5.163065</v>
      </c>
      <c r="R2770" s="3" t="n">
        <v>5.846994</v>
      </c>
      <c r="S2770" s="3" t="n">
        <v>2.696938</v>
      </c>
      <c r="T2770" s="3" t="n">
        <v>2.930912</v>
      </c>
      <c r="U2770" s="3" t="n">
        <v>0.254001</v>
      </c>
      <c r="V2770" s="3" t="n">
        <v>-3.413797</v>
      </c>
      <c r="W2770" s="3" t="n">
        <v>-4.911661</v>
      </c>
      <c r="X2770" s="3" t="n">
        <v>1.566038</v>
      </c>
      <c r="Y2770" s="3" t="n">
        <v>4.948271</v>
      </c>
      <c r="Z2770" s="3" t="n">
        <v>1.16759</v>
      </c>
      <c r="AA2770" s="3" t="n">
        <v>-15.975192</v>
      </c>
      <c r="AB2770" s="3" t="n">
        <v>-2.435386</v>
      </c>
      <c r="AC2770" s="3" t="n">
        <v>2.406222</v>
      </c>
      <c r="AD2770" s="3" t="n">
        <v>2.416593</v>
      </c>
      <c r="AE2770" s="3" t="n">
        <v>1.720956</v>
      </c>
      <c r="AF2770" s="3" t="n">
        <v>1.511228</v>
      </c>
      <c r="AG2770" s="3" t="n">
        <v>3.926862</v>
      </c>
      <c r="AH2770" s="3" t="n">
        <v>4.377819</v>
      </c>
      <c r="AI2770" s="3" t="n">
        <v>28.537823</v>
      </c>
      <c r="AJ2770" s="3" t="n">
        <v>43.455717</v>
      </c>
      <c r="AK2770" s="3" t="n">
        <v>3.07491</v>
      </c>
      <c r="AL2770" s="3" t="n">
        <v>2.857627</v>
      </c>
      <c r="AM2770" s="3" t="n"/>
      <c r="AN2770" s="3" t="n"/>
      <c r="AO2770" s="3" t="n"/>
      <c r="AP2770" s="3" t="n"/>
      <c r="AQ2770" s="3" t="n"/>
      <c r="AR2770" s="3" t="n"/>
      <c r="AS2770" s="3" t="n"/>
      <c r="AT2770" s="3" t="n"/>
      <c r="AU2770" s="3" t="n"/>
    </row>
    <row r="2771">
      <c r="A2771" s="3" t="n">
        <v>2031</v>
      </c>
      <c r="B2771" s="3" t="inlineStr">
        <is>
          <t>SUR</t>
        </is>
      </c>
      <c r="C2771" s="3" t="inlineStr">
        <is>
          <t>IMF.RES:WEO</t>
        </is>
      </c>
      <c r="D2771" s="3" t="inlineStr">
        <is>
          <t>SUR.NGDPD.A</t>
        </is>
      </c>
      <c r="E2771" s="3" t="inlineStr">
        <is>
          <t>Suriname</t>
        </is>
      </c>
      <c r="F2771" s="3" t="inlineStr">
        <is>
          <t>Gross domestic product (GDP), Current prices, US dollar</t>
        </is>
      </c>
      <c r="G2771" s="3" t="n">
        <v>1.355315</v>
      </c>
      <c r="H2771" s="3" t="n">
        <v>1.167115</v>
      </c>
      <c r="I2771" s="3" t="n">
        <v>1.473837</v>
      </c>
      <c r="J2771" s="3" t="n">
        <v>1.728771</v>
      </c>
      <c r="K2771" s="3" t="n">
        <v>1.999775</v>
      </c>
      <c r="L2771" s="3" t="n">
        <v>2.393404</v>
      </c>
      <c r="M2771" s="3" t="n">
        <v>2.812303</v>
      </c>
      <c r="N2771" s="3" t="n">
        <v>3.144229</v>
      </c>
      <c r="O2771" s="3" t="n">
        <v>3.78299</v>
      </c>
      <c r="P2771" s="3" t="n">
        <v>4.149806</v>
      </c>
      <c r="Q2771" s="3" t="n">
        <v>4.677492</v>
      </c>
      <c r="R2771" s="3" t="n">
        <v>4.735167</v>
      </c>
      <c r="S2771" s="3" t="n">
        <v>5.332289</v>
      </c>
      <c r="T2771" s="3" t="n">
        <v>5.509772</v>
      </c>
      <c r="U2771" s="3" t="n">
        <v>5.611578</v>
      </c>
      <c r="V2771" s="3" t="n">
        <v>5.126238</v>
      </c>
      <c r="W2771" s="3" t="n">
        <v>3.317421</v>
      </c>
      <c r="X2771" s="3" t="n">
        <v>3.591679</v>
      </c>
      <c r="Y2771" s="3" t="n">
        <v>3.996199</v>
      </c>
      <c r="Z2771" s="3" t="n">
        <v>4.016017</v>
      </c>
      <c r="AA2771" s="3" t="n">
        <v>2.911816</v>
      </c>
      <c r="AB2771" s="3" t="n">
        <v>3.08374</v>
      </c>
      <c r="AC2771" s="3" t="n">
        <v>3.801965</v>
      </c>
      <c r="AD2771" s="3" t="n">
        <v>3.462272</v>
      </c>
      <c r="AE2771" s="3" t="n">
        <v>4.434161</v>
      </c>
      <c r="AF2771" s="3" t="n">
        <v>4.664133</v>
      </c>
      <c r="AG2771" s="3" t="n">
        <v>5.907858</v>
      </c>
      <c r="AH2771" s="3" t="n">
        <v>6.76627</v>
      </c>
      <c r="AI2771" s="3" t="n">
        <v>8.969752</v>
      </c>
      <c r="AJ2771" s="3" t="n">
        <v>13.090904</v>
      </c>
      <c r="AK2771" s="3" t="n">
        <v>13.604574</v>
      </c>
      <c r="AL2771" s="3" t="n">
        <v>14.085848</v>
      </c>
      <c r="AM2771" s="3" t="n"/>
      <c r="AN2771" s="3" t="n"/>
      <c r="AO2771" s="3" t="n"/>
      <c r="AP2771" s="3" t="n"/>
      <c r="AQ2771" s="3" t="n"/>
      <c r="AR2771" s="3" t="n"/>
      <c r="AS2771" s="3" t="n"/>
      <c r="AT2771" s="3" t="n"/>
      <c r="AU2771" s="3" t="n"/>
    </row>
    <row r="2772">
      <c r="A2772" s="3" t="n">
        <v>2031</v>
      </c>
      <c r="B2772" s="3" t="inlineStr">
        <is>
          <t>SUR</t>
        </is>
      </c>
      <c r="C2772" s="3" t="inlineStr">
        <is>
          <t>IMF.RES:WEO</t>
        </is>
      </c>
      <c r="D2772" s="3" t="inlineStr">
        <is>
          <t>SUR.NGDPPC.A</t>
        </is>
      </c>
      <c r="E2772" s="3" t="inlineStr">
        <is>
          <t>Suriname</t>
        </is>
      </c>
      <c r="F2772" s="3" t="inlineStr">
        <is>
          <t>Gross domestic product (GDP), Current prices, Per capita, Domestic currency</t>
        </is>
      </c>
      <c r="G2772" s="3" t="n">
        <v>3838.499663</v>
      </c>
      <c r="H2772" s="3" t="n">
        <v>5372.121933</v>
      </c>
      <c r="I2772" s="3" t="n">
        <v>7224.344268</v>
      </c>
      <c r="J2772" s="3" t="n">
        <v>9234.540153</v>
      </c>
      <c r="K2772" s="3" t="n">
        <v>11028.252297</v>
      </c>
      <c r="L2772" s="3" t="n">
        <v>13039.452419</v>
      </c>
      <c r="M2772" s="3" t="n">
        <v>15216.019391</v>
      </c>
      <c r="N2772" s="3" t="n">
        <v>16807.641529</v>
      </c>
      <c r="O2772" s="3" t="n">
        <v>19946.88262</v>
      </c>
      <c r="P2772" s="3" t="n">
        <v>21588.301758</v>
      </c>
      <c r="Q2772" s="3" t="n">
        <v>23978.908676</v>
      </c>
      <c r="R2772" s="3" t="n">
        <v>28615.511039</v>
      </c>
      <c r="S2772" s="3" t="n">
        <v>32232.252971</v>
      </c>
      <c r="T2772" s="3" t="n">
        <v>32790.465973</v>
      </c>
      <c r="U2772" s="3" t="n">
        <v>32890.151765</v>
      </c>
      <c r="V2772" s="3" t="n">
        <v>30873.694694</v>
      </c>
      <c r="W2772" s="3" t="n">
        <v>35891.943721</v>
      </c>
      <c r="X2772" s="3" t="n">
        <v>46113.302469</v>
      </c>
      <c r="Y2772" s="3" t="n">
        <v>50536.651415</v>
      </c>
      <c r="Z2772" s="3" t="n">
        <v>53064.11942</v>
      </c>
      <c r="AA2772" s="3" t="n">
        <v>63589.208838</v>
      </c>
      <c r="AB2772" s="3" t="n">
        <v>98237.33269700001</v>
      </c>
      <c r="AC2772" s="3" t="n">
        <v>149252.62391</v>
      </c>
      <c r="AD2772" s="3" t="n">
        <v>200384.27921</v>
      </c>
      <c r="AE2772" s="3" t="n">
        <v>226473.068297</v>
      </c>
      <c r="AF2772" s="3" t="n">
        <v>264528.894648</v>
      </c>
      <c r="AG2772" s="3" t="n">
        <v>349295.27069</v>
      </c>
      <c r="AH2772" s="3" t="n">
        <v>412399.055557</v>
      </c>
      <c r="AI2772" s="3" t="n">
        <v>546915.220066</v>
      </c>
      <c r="AJ2772" s="3" t="n">
        <v>783920.495638</v>
      </c>
      <c r="AK2772" s="3" t="n">
        <v>802381.214872</v>
      </c>
      <c r="AL2772" s="3" t="n">
        <v>818223.959773</v>
      </c>
      <c r="AM2772" s="3" t="n"/>
      <c r="AN2772" s="3" t="n"/>
      <c r="AO2772" s="3" t="n"/>
      <c r="AP2772" s="3" t="n"/>
      <c r="AQ2772" s="3" t="n"/>
      <c r="AR2772" s="3" t="n"/>
      <c r="AS2772" s="3" t="n"/>
      <c r="AT2772" s="3" t="n"/>
      <c r="AU2772" s="3" t="n"/>
    </row>
    <row r="2773">
      <c r="A2773" s="3" t="n">
        <v>2031</v>
      </c>
      <c r="B2773" s="3" t="inlineStr">
        <is>
          <t>SUR</t>
        </is>
      </c>
      <c r="C2773" s="3" t="inlineStr">
        <is>
          <t>IMF.RES:WEO</t>
        </is>
      </c>
      <c r="D2773" s="3" t="inlineStr">
        <is>
          <t>SUR.NGDPRPC.A</t>
        </is>
      </c>
      <c r="E2773" s="3" t="inlineStr">
        <is>
          <t>Suriname</t>
        </is>
      </c>
      <c r="F2773" s="3" t="inlineStr">
        <is>
          <t>Gross domestic product (GDP), Constant prices, Per capita, Domestic currency</t>
        </is>
      </c>
      <c r="G2773" s="3" t="n">
        <v>21214.562765</v>
      </c>
      <c r="H2773" s="3" t="n">
        <v>21959.722107</v>
      </c>
      <c r="I2773" s="3" t="n">
        <v>22518.934066</v>
      </c>
      <c r="J2773" s="3" t="n">
        <v>23508.876385</v>
      </c>
      <c r="K2773" s="3" t="n">
        <v>24783.628968</v>
      </c>
      <c r="L2773" s="3" t="n">
        <v>25706.321189</v>
      </c>
      <c r="M2773" s="3" t="n">
        <v>26882.450663</v>
      </c>
      <c r="N2773" s="3" t="n">
        <v>27901.204508</v>
      </c>
      <c r="O2773" s="3" t="n">
        <v>28663.343241</v>
      </c>
      <c r="P2773" s="3" t="n">
        <v>29133.173532</v>
      </c>
      <c r="Q2773" s="3" t="n">
        <v>30186.365149</v>
      </c>
      <c r="R2773" s="3" t="n">
        <v>31642.111864</v>
      </c>
      <c r="S2773" s="3" t="n">
        <v>32188.578659</v>
      </c>
      <c r="T2773" s="3" t="n">
        <v>32620.048114</v>
      </c>
      <c r="U2773" s="3" t="n">
        <v>32207.218112</v>
      </c>
      <c r="V2773" s="3" t="n">
        <v>30873.694694</v>
      </c>
      <c r="W2773" s="3" t="n">
        <v>28928.933472</v>
      </c>
      <c r="X2773" s="3" t="n">
        <v>29004.116941</v>
      </c>
      <c r="Y2773" s="3" t="n">
        <v>30083.39434</v>
      </c>
      <c r="Z2773" s="3" t="n">
        <v>30032.58194</v>
      </c>
      <c r="AA2773" s="3" t="n">
        <v>24783.087535</v>
      </c>
      <c r="AB2773" s="3" t="n">
        <v>23814.482774</v>
      </c>
      <c r="AC2773" s="3" t="n">
        <v>24019.331201</v>
      </c>
      <c r="AD2773" s="3" t="n">
        <v>24228.39501</v>
      </c>
      <c r="AE2773" s="3" t="n">
        <v>24273.281407</v>
      </c>
      <c r="AF2773" s="3" t="n">
        <v>24268.111588</v>
      </c>
      <c r="AG2773" s="3" t="n">
        <v>24840.321356</v>
      </c>
      <c r="AH2773" s="3" t="n">
        <v>25536.351079</v>
      </c>
      <c r="AI2773" s="3" t="n">
        <v>32328.32407</v>
      </c>
      <c r="AJ2773" s="3" t="n">
        <v>45676.67289</v>
      </c>
      <c r="AK2773" s="3" t="n">
        <v>46370.399392</v>
      </c>
      <c r="AL2773" s="3" t="n">
        <v>46975.42813</v>
      </c>
      <c r="AM2773" s="3" t="n"/>
      <c r="AN2773" s="3" t="n"/>
      <c r="AO2773" s="3" t="n"/>
      <c r="AP2773" s="3" t="n"/>
      <c r="AQ2773" s="3" t="n"/>
      <c r="AR2773" s="3" t="n"/>
      <c r="AS2773" s="3" t="n"/>
      <c r="AT2773" s="3" t="n"/>
      <c r="AU2773" s="3" t="n"/>
    </row>
    <row r="2774">
      <c r="A2774" s="3" t="n">
        <v>2031</v>
      </c>
      <c r="B2774" s="3" t="inlineStr">
        <is>
          <t>SUR</t>
        </is>
      </c>
      <c r="C2774" s="3" t="inlineStr">
        <is>
          <t>IMF.RES:WEO</t>
        </is>
      </c>
      <c r="D2774" s="3" t="inlineStr">
        <is>
          <t>SUR.PCPI.A</t>
        </is>
      </c>
      <c r="E2774" s="3" t="inlineStr">
        <is>
          <t>Suriname</t>
        </is>
      </c>
      <c r="F2774" s="3" t="inlineStr">
        <is>
          <t>All Items, Consumer price index (CPI), Period average</t>
        </is>
      </c>
      <c r="G2774" s="3" t="n">
        <v>13.871559</v>
      </c>
      <c r="H2774" s="3" t="n">
        <v>18.638656</v>
      </c>
      <c r="I2774" s="3" t="n">
        <v>21.530541</v>
      </c>
      <c r="J2774" s="3" t="n">
        <v>26.482683</v>
      </c>
      <c r="K2774" s="3" t="n">
        <v>28.899603</v>
      </c>
      <c r="L2774" s="3" t="n">
        <v>32.940077</v>
      </c>
      <c r="M2774" s="3" t="n">
        <v>36.656147</v>
      </c>
      <c r="N2774" s="3" t="n">
        <v>39.011773</v>
      </c>
      <c r="O2774" s="3" t="n">
        <v>44.733686</v>
      </c>
      <c r="P2774" s="3" t="n">
        <v>44.599452</v>
      </c>
      <c r="Q2774" s="3" t="n">
        <v>47.698174</v>
      </c>
      <c r="R2774" s="3" t="n">
        <v>56.133251</v>
      </c>
      <c r="S2774" s="3" t="n">
        <v>58.944885</v>
      </c>
      <c r="T2774" s="3" t="n">
        <v>60.074513</v>
      </c>
      <c r="U2774" s="3" t="n">
        <v>62.107673</v>
      </c>
      <c r="V2774" s="3" t="n">
        <v>66.390631</v>
      </c>
      <c r="W2774" s="3" t="n">
        <v>103.237903</v>
      </c>
      <c r="X2774" s="3" t="n">
        <v>125.975</v>
      </c>
      <c r="Y2774" s="3" t="n">
        <v>134.716667</v>
      </c>
      <c r="Z2774" s="3" t="n">
        <v>140.633333</v>
      </c>
      <c r="AA2774" s="3" t="n">
        <v>189.7</v>
      </c>
      <c r="AB2774" s="3" t="n">
        <v>301.85</v>
      </c>
      <c r="AC2774" s="3" t="n">
        <v>460.163569</v>
      </c>
      <c r="AD2774" s="3" t="n">
        <v>697.528744</v>
      </c>
      <c r="AE2774" s="3" t="n">
        <v>810.683496</v>
      </c>
      <c r="AF2774" s="3" t="n">
        <v>885.371413</v>
      </c>
      <c r="AG2774" s="3" t="n">
        <v>989.922174</v>
      </c>
      <c r="AH2774" s="3" t="n">
        <v>1094.598951</v>
      </c>
      <c r="AI2774" s="3" t="n">
        <v>1158.008034</v>
      </c>
      <c r="AJ2774" s="3" t="n">
        <v>1215.908436</v>
      </c>
      <c r="AK2774" s="3" t="n">
        <v>1276.703858</v>
      </c>
      <c r="AL2774" s="3" t="n">
        <v>1340.539051</v>
      </c>
      <c r="AM2774" s="3" t="n"/>
      <c r="AN2774" s="3" t="n"/>
      <c r="AO2774" s="3" t="n"/>
      <c r="AP2774" s="3" t="n"/>
      <c r="AQ2774" s="3" t="n"/>
      <c r="AR2774" s="3" t="n"/>
      <c r="AS2774" s="3" t="n"/>
      <c r="AT2774" s="3" t="n"/>
      <c r="AU2774" s="3" t="n"/>
    </row>
    <row r="2775">
      <c r="A2775" s="3" t="n">
        <v>2031</v>
      </c>
      <c r="B2775" s="3" t="inlineStr">
        <is>
          <t>SUR</t>
        </is>
      </c>
      <c r="C2775" s="3" t="inlineStr">
        <is>
          <t>IMF.RES:WEO</t>
        </is>
      </c>
      <c r="D2775" s="3" t="inlineStr">
        <is>
          <t>SUR.PCPIPCH.A</t>
        </is>
      </c>
      <c r="E2775" s="3" t="inlineStr">
        <is>
          <t>Suriname</t>
        </is>
      </c>
      <c r="F2775" s="3" t="inlineStr">
        <is>
          <t>All Items, Consumer price index (CPI), Period average, percent change</t>
        </is>
      </c>
      <c r="G2775" s="3" t="n">
        <v>29.557455</v>
      </c>
      <c r="H2775" s="3" t="n">
        <v>34.365977</v>
      </c>
      <c r="I2775" s="3" t="n">
        <v>15.515523</v>
      </c>
      <c r="J2775" s="3" t="n">
        <v>23.000547</v>
      </c>
      <c r="K2775" s="3" t="n">
        <v>9.126417999999999</v>
      </c>
      <c r="L2775" s="3" t="n">
        <v>13.981068</v>
      </c>
      <c r="M2775" s="3" t="n">
        <v>11.281304</v>
      </c>
      <c r="N2775" s="3" t="n">
        <v>6.426279</v>
      </c>
      <c r="O2775" s="3" t="n">
        <v>14.667143</v>
      </c>
      <c r="P2775" s="3" t="n">
        <v>-0.300074</v>
      </c>
      <c r="Q2775" s="3" t="n">
        <v>6.947894</v>
      </c>
      <c r="R2775" s="3" t="n">
        <v>17.684276</v>
      </c>
      <c r="S2775" s="3" t="n">
        <v>5.008857</v>
      </c>
      <c r="T2775" s="3" t="n">
        <v>1.916413</v>
      </c>
      <c r="U2775" s="3" t="n">
        <v>3.384397</v>
      </c>
      <c r="V2775" s="3" t="n">
        <v>6.896022</v>
      </c>
      <c r="W2775" s="3" t="n">
        <v>55.500711</v>
      </c>
      <c r="X2775" s="3" t="n">
        <v>22.023982</v>
      </c>
      <c r="Y2775" s="3" t="n">
        <v>6.939208</v>
      </c>
      <c r="Z2775" s="3" t="n">
        <v>4.391934</v>
      </c>
      <c r="AA2775" s="3" t="n">
        <v>34.889784</v>
      </c>
      <c r="AB2775" s="3" t="n">
        <v>59.119663</v>
      </c>
      <c r="AC2775" s="3" t="n">
        <v>52.447762</v>
      </c>
      <c r="AD2775" s="3" t="n">
        <v>51.582783</v>
      </c>
      <c r="AE2775" s="3" t="n">
        <v>16.222235</v>
      </c>
      <c r="AF2775" s="3" t="n">
        <v>9.212956</v>
      </c>
      <c r="AG2775" s="3" t="n">
        <v>11.808689</v>
      </c>
      <c r="AH2775" s="3" t="n">
        <v>10.574243</v>
      </c>
      <c r="AI2775" s="3" t="n">
        <v>5.792906</v>
      </c>
      <c r="AJ2775" s="3" t="n">
        <v>5</v>
      </c>
      <c r="AK2775" s="3" t="n">
        <v>5</v>
      </c>
      <c r="AL2775" s="3" t="n">
        <v>5</v>
      </c>
      <c r="AM2775" s="3" t="n"/>
      <c r="AN2775" s="3" t="n"/>
      <c r="AO2775" s="3" t="n"/>
      <c r="AP2775" s="3" t="n"/>
      <c r="AQ2775" s="3" t="n"/>
      <c r="AR2775" s="3" t="n"/>
      <c r="AS2775" s="3" t="n"/>
      <c r="AT2775" s="3" t="n"/>
      <c r="AU2775" s="3" t="n"/>
    </row>
    <row r="2776">
      <c r="A2776" s="3" t="n">
        <v>2031</v>
      </c>
      <c r="B2776" s="3" t="inlineStr">
        <is>
          <t>SUR</t>
        </is>
      </c>
      <c r="C2776" s="3" t="inlineStr">
        <is>
          <t>IMF.RES:WEO</t>
        </is>
      </c>
      <c r="D2776" s="3" t="inlineStr">
        <is>
          <t>SUR.PPPPC.A</t>
        </is>
      </c>
      <c r="E2776" s="3" t="inlineStr">
        <is>
          <t>Suriname</t>
        </is>
      </c>
      <c r="F2776" s="3" t="inlineStr">
        <is>
          <t>Gross domestic product (GDP), Per capita, purchasing power parity (PPP) international dollar, ICP benchmarks 2017-2021</t>
        </is>
      </c>
      <c r="G2776" s="3" t="n">
        <v>9512.953038</v>
      </c>
      <c r="H2776" s="3" t="n">
        <v>10068.813725</v>
      </c>
      <c r="I2776" s="3" t="n">
        <v>10485.677173</v>
      </c>
      <c r="J2776" s="3" t="n">
        <v>11162.742318</v>
      </c>
      <c r="K2776" s="3" t="n">
        <v>12084.462769</v>
      </c>
      <c r="L2776" s="3" t="n">
        <v>12927.421477</v>
      </c>
      <c r="M2776" s="3" t="n">
        <v>13935.790288</v>
      </c>
      <c r="N2776" s="3" t="n">
        <v>14855.775921</v>
      </c>
      <c r="O2776" s="3" t="n">
        <v>15555.571284</v>
      </c>
      <c r="P2776" s="3" t="n">
        <v>15908.058051</v>
      </c>
      <c r="Q2776" s="3" t="n">
        <v>16683.481315</v>
      </c>
      <c r="R2776" s="3" t="n">
        <v>17848.869169</v>
      </c>
      <c r="S2776" s="3" t="n">
        <v>18495.196697</v>
      </c>
      <c r="T2776" s="3" t="n">
        <v>19062.122937</v>
      </c>
      <c r="U2776" s="3" t="n">
        <v>19148.68419</v>
      </c>
      <c r="V2776" s="3" t="n">
        <v>18526.19469</v>
      </c>
      <c r="W2776" s="3" t="n">
        <v>17524.164706</v>
      </c>
      <c r="X2776" s="3" t="n">
        <v>17884.362377</v>
      </c>
      <c r="Y2776" s="3" t="n">
        <v>18140.300983</v>
      </c>
      <c r="Z2776" s="3" t="n">
        <v>20028.379389</v>
      </c>
      <c r="AA2776" s="3" t="n">
        <v>17041.996236</v>
      </c>
      <c r="AB2776" s="3" t="n">
        <v>18299.769207</v>
      </c>
      <c r="AC2776" s="3" t="n">
        <v>19769.932065</v>
      </c>
      <c r="AD2776" s="3" t="n">
        <v>20679.870177</v>
      </c>
      <c r="AE2776" s="3" t="n">
        <v>21232.520612</v>
      </c>
      <c r="AF2776" s="3" t="n">
        <v>21830.187182</v>
      </c>
      <c r="AG2776" s="3" t="n">
        <v>22985.062388</v>
      </c>
      <c r="AH2776" s="3" t="n">
        <v>24147.979514</v>
      </c>
      <c r="AI2776" s="3" t="n">
        <v>31072.467831</v>
      </c>
      <c r="AJ2776" s="3" t="n">
        <v>44682.90433</v>
      </c>
      <c r="AK2776" s="3" t="n">
        <v>46195.068141</v>
      </c>
      <c r="AL2776" s="3" t="n">
        <v>47642.650891</v>
      </c>
      <c r="AM2776" s="3" t="n"/>
      <c r="AN2776" s="3" t="n"/>
      <c r="AO2776" s="3" t="n"/>
      <c r="AP2776" s="3" t="n"/>
      <c r="AQ2776" s="3" t="n"/>
      <c r="AR2776" s="3" t="n"/>
      <c r="AS2776" s="3" t="n"/>
      <c r="AT2776" s="3" t="n"/>
      <c r="AU2776" s="3" t="n"/>
    </row>
    <row r="2777">
      <c r="A2777" s="3" t="n">
        <v>2025</v>
      </c>
      <c r="B2777" s="3" t="inlineStr">
        <is>
          <t>SUR</t>
        </is>
      </c>
      <c r="C2777" s="3" t="inlineStr">
        <is>
          <t>IMF.STA:ER</t>
        </is>
      </c>
      <c r="D2777" s="3" t="inlineStr">
        <is>
          <t>SUR.XDC_USD.PA_RT.A</t>
        </is>
      </c>
      <c r="E2777" s="3" t="inlineStr">
        <is>
          <t>Suriname</t>
        </is>
      </c>
      <c r="F2777" s="3" t="inlineStr">
        <is>
          <t>Domestic currency per US Dollar</t>
        </is>
      </c>
      <c r="G2777" s="3" t="n">
        <v>1.32249051547874</v>
      </c>
      <c r="H2777" s="3" t="n">
        <v>2.17818225423408</v>
      </c>
      <c r="I2777" s="3" t="n">
        <v>2.34675</v>
      </c>
      <c r="J2777" s="3" t="n">
        <v>2.60133333333333</v>
      </c>
      <c r="K2777" s="3" t="n">
        <v>2.7335829756752</v>
      </c>
      <c r="L2777" s="3" t="n">
        <v>2.73166666547869</v>
      </c>
      <c r="M2777" s="3" t="n">
        <v>2.74375</v>
      </c>
      <c r="N2777" s="3" t="n">
        <v>2.745</v>
      </c>
      <c r="O2777" s="3" t="n">
        <v>2.745</v>
      </c>
      <c r="P2777" s="3" t="n">
        <v>2.745</v>
      </c>
      <c r="Q2777" s="3" t="n">
        <v>2.74541666666666</v>
      </c>
      <c r="R2777" s="3" t="n">
        <v>3.268</v>
      </c>
      <c r="S2777" s="3" t="n">
        <v>3.3</v>
      </c>
      <c r="T2777" s="3" t="n">
        <v>3.3</v>
      </c>
      <c r="U2777" s="3" t="n">
        <v>3.3</v>
      </c>
      <c r="V2777" s="3" t="n">
        <v>3.41666666666666</v>
      </c>
      <c r="W2777" s="3" t="n">
        <v>6.22863027848978</v>
      </c>
      <c r="X2777" s="3" t="n">
        <v>7.487661125</v>
      </c>
      <c r="Y2777" s="3" t="n">
        <v>7.46251119841269</v>
      </c>
      <c r="Z2777" s="3" t="n">
        <v>7.458</v>
      </c>
      <c r="AA2777" s="3" t="n">
        <v>9.30954545454545</v>
      </c>
      <c r="AB2777" s="3" t="n">
        <v>18.2386666666666</v>
      </c>
      <c r="AC2777" s="3" t="n">
        <v>24.7091747565789</v>
      </c>
      <c r="AD2777" s="3" t="n">
        <v>36.7758691666666</v>
      </c>
      <c r="AE2777" s="3" t="n">
        <v>33.1805516666666</v>
      </c>
      <c r="AF2777" s="3" t="n">
        <v>37.2601791666666</v>
      </c>
      <c r="AG2777" s="3" t="n"/>
      <c r="AH2777" s="3" t="n"/>
      <c r="AI2777" s="3" t="n"/>
      <c r="AJ2777" s="3" t="n"/>
      <c r="AK2777" s="3" t="n"/>
      <c r="AL2777" s="3" t="n"/>
      <c r="AM2777" s="3" t="n"/>
      <c r="AN2777" s="3" t="n"/>
      <c r="AO2777" s="3" t="n"/>
      <c r="AP2777" s="3" t="n"/>
      <c r="AQ2777" s="3" t="n"/>
      <c r="AR2777" s="3" t="n"/>
      <c r="AS2777" s="3" t="n"/>
      <c r="AT2777" s="3" t="n"/>
      <c r="AU2777" s="3" t="n"/>
    </row>
    <row r="2778">
      <c r="A2778" s="3" t="n">
        <v>2031</v>
      </c>
      <c r="B2778" s="3" t="inlineStr">
        <is>
          <t>SVK</t>
        </is>
      </c>
      <c r="C2778" s="3" t="inlineStr">
        <is>
          <t>IMF.RES:WEO</t>
        </is>
      </c>
      <c r="D2778" s="3" t="inlineStr">
        <is>
          <t>SVK.BCA.A</t>
        </is>
      </c>
      <c r="E2778" s="3" t="inlineStr">
        <is>
          <t>Slovak Republic</t>
        </is>
      </c>
      <c r="F2778" s="3" t="inlineStr">
        <is>
          <t>Current account balance (credit less debit), US dollar</t>
        </is>
      </c>
      <c r="G2778" s="3" t="n">
        <v>-0.639029</v>
      </c>
      <c r="H2778" s="3" t="n">
        <v>-1.709258</v>
      </c>
      <c r="I2778" s="3" t="n">
        <v>-1.892319</v>
      </c>
      <c r="J2778" s="3" t="n">
        <v>-1.667913</v>
      </c>
      <c r="K2778" s="3" t="n">
        <v>-2.52643</v>
      </c>
      <c r="L2778" s="3" t="n">
        <v>-3.578896</v>
      </c>
      <c r="M2778" s="3" t="n">
        <v>-4.03928</v>
      </c>
      <c r="N2778" s="3" t="n">
        <v>-3.707294</v>
      </c>
      <c r="O2778" s="3" t="n">
        <v>-6.178087</v>
      </c>
      <c r="P2778" s="3" t="n">
        <v>-3.074942</v>
      </c>
      <c r="Q2778" s="3" t="n">
        <v>-4.223733</v>
      </c>
      <c r="R2778" s="3" t="n">
        <v>-4.866811</v>
      </c>
      <c r="S2778" s="3" t="n">
        <v>0.879223</v>
      </c>
      <c r="T2778" s="3" t="n">
        <v>2.909949</v>
      </c>
      <c r="U2778" s="3" t="n">
        <v>1.768956</v>
      </c>
      <c r="V2778" s="3" t="n">
        <v>-1.83987</v>
      </c>
      <c r="W2778" s="3" t="n">
        <v>-1.313531</v>
      </c>
      <c r="X2778" s="3" t="n">
        <v>-1.664224</v>
      </c>
      <c r="Y2778" s="3" t="n">
        <v>-1.741634</v>
      </c>
      <c r="Z2778" s="3" t="n">
        <v>-3.733524</v>
      </c>
      <c r="AA2778" s="3" t="n">
        <v>-0.5011370000000001</v>
      </c>
      <c r="AB2778" s="3" t="n">
        <v>-5.829105</v>
      </c>
      <c r="AC2778" s="3" t="n">
        <v>-11.159083</v>
      </c>
      <c r="AD2778" s="3" t="n">
        <v>-4.041109</v>
      </c>
      <c r="AE2778" s="3" t="n">
        <v>-6.515051</v>
      </c>
      <c r="AF2778" s="3" t="n">
        <v>-5.592756</v>
      </c>
      <c r="AG2778" s="3" t="n">
        <v>-5.086898</v>
      </c>
      <c r="AH2778" s="3" t="n">
        <v>-3.048888</v>
      </c>
      <c r="AI2778" s="3" t="n">
        <v>-2.574522</v>
      </c>
      <c r="AJ2778" s="3" t="n">
        <v>-2.155418</v>
      </c>
      <c r="AK2778" s="3" t="n">
        <v>-2.284036</v>
      </c>
      <c r="AL2778" s="3" t="n">
        <v>-2.271308</v>
      </c>
      <c r="AM2778" s="3" t="n"/>
      <c r="AN2778" s="3" t="n"/>
      <c r="AO2778" s="3" t="n"/>
      <c r="AP2778" s="3" t="n"/>
      <c r="AQ2778" s="3" t="n"/>
      <c r="AR2778" s="3" t="n"/>
      <c r="AS2778" s="3" t="n"/>
      <c r="AT2778" s="3" t="n"/>
      <c r="AU2778" s="3" t="n"/>
    </row>
    <row r="2779">
      <c r="A2779" s="3" t="n">
        <v>2031</v>
      </c>
      <c r="B2779" s="3" t="inlineStr">
        <is>
          <t>SVK</t>
        </is>
      </c>
      <c r="C2779" s="3" t="inlineStr">
        <is>
          <t>IMF.RES:WEO</t>
        </is>
      </c>
      <c r="D2779" s="3" t="inlineStr">
        <is>
          <t>SVK.BCA_NGDPD.A</t>
        </is>
      </c>
      <c r="E2779" s="3" t="inlineStr">
        <is>
          <t>Slovak Republic</t>
        </is>
      </c>
      <c r="F2779" s="3" t="inlineStr">
        <is>
          <t>Current account balance (credit less debit), Percent of GDP</t>
        </is>
      </c>
      <c r="G2779" s="3" t="n">
        <v>-3.085489</v>
      </c>
      <c r="H2779" s="3" t="n">
        <v>-7.993008</v>
      </c>
      <c r="I2779" s="3" t="n">
        <v>-7.615161</v>
      </c>
      <c r="J2779" s="3" t="n">
        <v>-4.925285</v>
      </c>
      <c r="K2779" s="3" t="n">
        <v>-5.872227</v>
      </c>
      <c r="L2779" s="3" t="n">
        <v>-7.316996</v>
      </c>
      <c r="M2779" s="3" t="n">
        <v>-7.027327</v>
      </c>
      <c r="N2779" s="3" t="n">
        <v>-4.798478</v>
      </c>
      <c r="O2779" s="3" t="n">
        <v>-6.361143</v>
      </c>
      <c r="P2779" s="3" t="n">
        <v>-3.445471</v>
      </c>
      <c r="Q2779" s="3" t="n">
        <v>-4.631963</v>
      </c>
      <c r="R2779" s="3" t="n">
        <v>-4.882067</v>
      </c>
      <c r="S2779" s="3" t="n">
        <v>0.927604</v>
      </c>
      <c r="T2779" s="3" t="n">
        <v>2.935321</v>
      </c>
      <c r="U2779" s="3" t="n">
        <v>1.738715</v>
      </c>
      <c r="V2779" s="3" t="n">
        <v>-2.062922</v>
      </c>
      <c r="W2779" s="3" t="n">
        <v>-1.454272</v>
      </c>
      <c r="X2779" s="3" t="n">
        <v>-1.734573</v>
      </c>
      <c r="Y2779" s="3" t="n">
        <v>-1.632885</v>
      </c>
      <c r="Z2779" s="3" t="n">
        <v>-3.527014</v>
      </c>
      <c r="AA2779" s="3" t="n">
        <v>-0.46554</v>
      </c>
      <c r="AB2779" s="3" t="n">
        <v>-4.833765</v>
      </c>
      <c r="AC2779" s="3" t="n">
        <v>-9.629528000000001</v>
      </c>
      <c r="AD2779" s="3" t="n">
        <v>-3.024396</v>
      </c>
      <c r="AE2779" s="3" t="n">
        <v>-4.624158</v>
      </c>
      <c r="AF2779" s="3" t="n">
        <v>-3.621256</v>
      </c>
      <c r="AG2779" s="3" t="n">
        <v>-3.011831</v>
      </c>
      <c r="AH2779" s="3" t="n">
        <v>-1.722495</v>
      </c>
      <c r="AI2779" s="3" t="n">
        <v>-1.381303</v>
      </c>
      <c r="AJ2779" s="3" t="n">
        <v>-1.103127</v>
      </c>
      <c r="AK2779" s="3" t="n">
        <v>-1.121168</v>
      </c>
      <c r="AL2779" s="3" t="n">
        <v>-1.073988</v>
      </c>
      <c r="AM2779" s="3" t="n"/>
      <c r="AN2779" s="3" t="n"/>
      <c r="AO2779" s="3" t="n"/>
      <c r="AP2779" s="3" t="n"/>
      <c r="AQ2779" s="3" t="n"/>
      <c r="AR2779" s="3" t="n"/>
      <c r="AS2779" s="3" t="n"/>
      <c r="AT2779" s="3" t="n"/>
      <c r="AU2779" s="3" t="n"/>
    </row>
    <row r="2780">
      <c r="A2780" s="3" t="n">
        <v>2031</v>
      </c>
      <c r="B2780" s="3" t="inlineStr">
        <is>
          <t>SVK</t>
        </is>
      </c>
      <c r="C2780" s="3" t="inlineStr">
        <is>
          <t>IMF.RES:WEO</t>
        </is>
      </c>
      <c r="D2780" s="3" t="inlineStr">
        <is>
          <t>SVK.GGR_NGDP.A</t>
        </is>
      </c>
      <c r="E2780" s="3" t="inlineStr">
        <is>
          <t>Slovak Republic</t>
        </is>
      </c>
      <c r="F2780" s="3" t="inlineStr">
        <is>
          <t>Revenue, General government, Percent of GDP</t>
        </is>
      </c>
      <c r="G2780" s="3" t="n">
        <v>40.548683</v>
      </c>
      <c r="H2780" s="3" t="n">
        <v>38.495597</v>
      </c>
      <c r="I2780" s="3" t="n">
        <v>37.640822</v>
      </c>
      <c r="J2780" s="3" t="n">
        <v>37.768406</v>
      </c>
      <c r="K2780" s="3" t="n">
        <v>36.047508</v>
      </c>
      <c r="L2780" s="3" t="n">
        <v>36.27809</v>
      </c>
      <c r="M2780" s="3" t="n">
        <v>34.611555</v>
      </c>
      <c r="N2780" s="3" t="n">
        <v>33.667771</v>
      </c>
      <c r="O2780" s="3" t="n">
        <v>33.943924</v>
      </c>
      <c r="P2780" s="3" t="n">
        <v>35.051385</v>
      </c>
      <c r="Q2780" s="3" t="n">
        <v>33.60334</v>
      </c>
      <c r="R2780" s="3" t="n">
        <v>36.428706</v>
      </c>
      <c r="S2780" s="3" t="n">
        <v>35.673886</v>
      </c>
      <c r="T2780" s="3" t="n">
        <v>38.23929</v>
      </c>
      <c r="U2780" s="3" t="n">
        <v>38.727938</v>
      </c>
      <c r="V2780" s="3" t="n">
        <v>41.344401</v>
      </c>
      <c r="W2780" s="3" t="n">
        <v>38.305669</v>
      </c>
      <c r="X2780" s="3" t="n">
        <v>38.798899</v>
      </c>
      <c r="Y2780" s="3" t="n">
        <v>38.644133</v>
      </c>
      <c r="Z2780" s="3" t="n">
        <v>39.443813</v>
      </c>
      <c r="AA2780" s="3" t="n">
        <v>39.203737</v>
      </c>
      <c r="AB2780" s="3" t="n">
        <v>39.752639</v>
      </c>
      <c r="AC2780" s="3" t="n">
        <v>41.518211</v>
      </c>
      <c r="AD2780" s="3" t="n">
        <v>42.945166</v>
      </c>
      <c r="AE2780" s="3" t="n">
        <v>41.970931</v>
      </c>
      <c r="AF2780" s="3" t="n">
        <v>43.696976</v>
      </c>
      <c r="AG2780" s="3" t="n">
        <v>44.126242</v>
      </c>
      <c r="AH2780" s="3" t="n">
        <v>41.755969</v>
      </c>
      <c r="AI2780" s="3" t="n">
        <v>41.247699</v>
      </c>
      <c r="AJ2780" s="3" t="n">
        <v>41.179919</v>
      </c>
      <c r="AK2780" s="3" t="n">
        <v>41.120653</v>
      </c>
      <c r="AL2780" s="3" t="n">
        <v>41.065722</v>
      </c>
      <c r="AM2780" s="3" t="n"/>
      <c r="AN2780" s="3" t="n"/>
      <c r="AO2780" s="3" t="n"/>
      <c r="AP2780" s="3" t="n"/>
      <c r="AQ2780" s="3" t="n"/>
      <c r="AR2780" s="3" t="n"/>
      <c r="AS2780" s="3" t="n"/>
      <c r="AT2780" s="3" t="n"/>
      <c r="AU2780" s="3" t="n"/>
    </row>
    <row r="2781">
      <c r="A2781" s="3" t="n">
        <v>2031</v>
      </c>
      <c r="B2781" s="3" t="inlineStr">
        <is>
          <t>SVK</t>
        </is>
      </c>
      <c r="C2781" s="3" t="inlineStr">
        <is>
          <t>IMF.RES:WEO</t>
        </is>
      </c>
      <c r="D2781" s="3" t="inlineStr">
        <is>
          <t>SVK.GGX_NGDP.A</t>
        </is>
      </c>
      <c r="E2781" s="3" t="inlineStr">
        <is>
          <t>Slovak Republic</t>
        </is>
      </c>
      <c r="F2781" s="3" t="inlineStr">
        <is>
          <t>Expenditure, General government, Percent of GDP</t>
        </is>
      </c>
      <c r="G2781" s="3" t="n">
        <v>53.23864</v>
      </c>
      <c r="H2781" s="3" t="n">
        <v>46.238847</v>
      </c>
      <c r="I2781" s="3" t="n">
        <v>45.993942</v>
      </c>
      <c r="J2781" s="3" t="n">
        <v>40.049841</v>
      </c>
      <c r="K2781" s="3" t="n">
        <v>38.406802</v>
      </c>
      <c r="L2781" s="3" t="n">
        <v>39.135131</v>
      </c>
      <c r="M2781" s="3" t="n">
        <v>38.181621</v>
      </c>
      <c r="N2781" s="3" t="n">
        <v>35.92606</v>
      </c>
      <c r="O2781" s="3" t="n">
        <v>36.484744</v>
      </c>
      <c r="P2781" s="3" t="n">
        <v>43.235902</v>
      </c>
      <c r="Q2781" s="3" t="n">
        <v>41.047743</v>
      </c>
      <c r="R2781" s="3" t="n">
        <v>40.784314</v>
      </c>
      <c r="S2781" s="3" t="n">
        <v>40.040094</v>
      </c>
      <c r="T2781" s="3" t="n">
        <v>41.100524</v>
      </c>
      <c r="U2781" s="3" t="n">
        <v>41.973008</v>
      </c>
      <c r="V2781" s="3" t="n">
        <v>44.12644</v>
      </c>
      <c r="W2781" s="3" t="n">
        <v>40.899223</v>
      </c>
      <c r="X2781" s="3" t="n">
        <v>39.783593</v>
      </c>
      <c r="Y2781" s="3" t="n">
        <v>39.65005</v>
      </c>
      <c r="Z2781" s="3" t="n">
        <v>40.648817</v>
      </c>
      <c r="AA2781" s="3" t="n">
        <v>44.499717</v>
      </c>
      <c r="AB2781" s="3" t="n">
        <v>44.842362</v>
      </c>
      <c r="AC2781" s="3" t="n">
        <v>43.081875</v>
      </c>
      <c r="AD2781" s="3" t="n">
        <v>48.240592</v>
      </c>
      <c r="AE2781" s="3" t="n">
        <v>47.467619</v>
      </c>
      <c r="AF2781" s="3" t="n">
        <v>48.714473</v>
      </c>
      <c r="AG2781" s="3" t="n">
        <v>48.487796</v>
      </c>
      <c r="AH2781" s="3" t="n">
        <v>46.733493</v>
      </c>
      <c r="AI2781" s="3" t="n">
        <v>46.346892</v>
      </c>
      <c r="AJ2781" s="3" t="n">
        <v>46.306214</v>
      </c>
      <c r="AK2781" s="3" t="n">
        <v>46.409338</v>
      </c>
      <c r="AL2781" s="3" t="n">
        <v>46.514299</v>
      </c>
      <c r="AM2781" s="3" t="n"/>
      <c r="AN2781" s="3" t="n"/>
      <c r="AO2781" s="3" t="n"/>
      <c r="AP2781" s="3" t="n"/>
      <c r="AQ2781" s="3" t="n"/>
      <c r="AR2781" s="3" t="n"/>
      <c r="AS2781" s="3" t="n"/>
      <c r="AT2781" s="3" t="n"/>
      <c r="AU2781" s="3" t="n"/>
    </row>
    <row r="2782">
      <c r="A2782" s="3" t="n">
        <v>2027</v>
      </c>
      <c r="B2782" s="3" t="inlineStr">
        <is>
          <t>SVK</t>
        </is>
      </c>
      <c r="C2782" s="3" t="inlineStr">
        <is>
          <t>IMF.RES:WEO</t>
        </is>
      </c>
      <c r="D2782" s="3" t="inlineStr">
        <is>
          <t>SVK.LE.A</t>
        </is>
      </c>
      <c r="E2782" s="3" t="inlineStr">
        <is>
          <t>Slovak Republic</t>
        </is>
      </c>
      <c r="F2782" s="3" t="inlineStr">
        <is>
          <t>Employed persons, Persons for countries / Index for country groups</t>
        </is>
      </c>
      <c r="G2782" s="3" t="n">
        <v>2.02485</v>
      </c>
      <c r="H2782" s="3" t="n">
        <v>2.036513</v>
      </c>
      <c r="I2782" s="3" t="n">
        <v>2.038415</v>
      </c>
      <c r="J2782" s="3" t="n">
        <v>2.060465</v>
      </c>
      <c r="K2782" s="3" t="n">
        <v>2.055728</v>
      </c>
      <c r="L2782" s="3" t="n">
        <v>2.088908</v>
      </c>
      <c r="M2782" s="3" t="n">
        <v>2.13239</v>
      </c>
      <c r="N2782" s="3" t="n">
        <v>2.176968</v>
      </c>
      <c r="O2782" s="3" t="n">
        <v>2.24714</v>
      </c>
      <c r="P2782" s="3" t="n">
        <v>2.20316</v>
      </c>
      <c r="Q2782" s="3" t="n">
        <v>2.169823</v>
      </c>
      <c r="R2782" s="3" t="n">
        <v>2.208313</v>
      </c>
      <c r="S2782" s="3" t="n">
        <v>2.209433</v>
      </c>
      <c r="T2782" s="3" t="n">
        <v>2.192248</v>
      </c>
      <c r="U2782" s="3" t="n">
        <v>2.22315</v>
      </c>
      <c r="V2782" s="3" t="n">
        <v>2.267098</v>
      </c>
      <c r="W2782" s="3" t="n">
        <v>2.32105</v>
      </c>
      <c r="X2782" s="3" t="n">
        <v>2.372258</v>
      </c>
      <c r="Y2782" s="3" t="n">
        <v>2.419903</v>
      </c>
      <c r="Z2782" s="3" t="n">
        <v>2.44519</v>
      </c>
      <c r="AA2782" s="3" t="n">
        <v>2.399073</v>
      </c>
      <c r="AB2782" s="3" t="n">
        <v>2.38512</v>
      </c>
      <c r="AC2782" s="3" t="n">
        <v>2.427298</v>
      </c>
      <c r="AD2782" s="3" t="n">
        <v>2.434058</v>
      </c>
      <c r="AE2782" s="3" t="n">
        <v>2.43029</v>
      </c>
      <c r="AF2782" s="3" t="n">
        <v>2.427058</v>
      </c>
      <c r="AG2782" s="3" t="n">
        <v>2.410007</v>
      </c>
      <c r="AH2782" s="3" t="n">
        <v>2.407593</v>
      </c>
      <c r="AI2782" s="3" t="n"/>
      <c r="AJ2782" s="3" t="n"/>
      <c r="AK2782" s="3" t="n"/>
      <c r="AL2782" s="3" t="n"/>
      <c r="AM2782" s="3" t="n"/>
      <c r="AN2782" s="3" t="n"/>
      <c r="AO2782" s="3" t="n"/>
      <c r="AP2782" s="3" t="n"/>
      <c r="AQ2782" s="3" t="n"/>
      <c r="AR2782" s="3" t="n"/>
      <c r="AS2782" s="3" t="n"/>
      <c r="AT2782" s="3" t="n"/>
      <c r="AU2782" s="3" t="n"/>
    </row>
    <row r="2783">
      <c r="A2783" s="3" t="n">
        <v>2031</v>
      </c>
      <c r="B2783" s="3" t="inlineStr">
        <is>
          <t>SVK</t>
        </is>
      </c>
      <c r="C2783" s="3" t="inlineStr">
        <is>
          <t>IMF.RES:WEO</t>
        </is>
      </c>
      <c r="D2783" s="3" t="inlineStr">
        <is>
          <t>SVK.LP.A</t>
        </is>
      </c>
      <c r="E2783" s="3" t="inlineStr">
        <is>
          <t>Slovak Republic</t>
        </is>
      </c>
      <c r="F2783" s="3" t="inlineStr">
        <is>
          <t>Population, Persons for countries / Index for country groups</t>
        </is>
      </c>
      <c r="G2783" s="3" t="n">
        <v>5.398657</v>
      </c>
      <c r="H2783" s="3" t="n">
        <v>5.378783</v>
      </c>
      <c r="I2783" s="3" t="n">
        <v>5.378951</v>
      </c>
      <c r="J2783" s="3" t="n">
        <v>5.374873</v>
      </c>
      <c r="K2783" s="3" t="n">
        <v>5.371875</v>
      </c>
      <c r="L2783" s="3" t="n">
        <v>5.372685</v>
      </c>
      <c r="M2783" s="3" t="n">
        <v>5.372928</v>
      </c>
      <c r="N2783" s="3" t="n">
        <v>5.37318</v>
      </c>
      <c r="O2783" s="3" t="n">
        <v>5.376064</v>
      </c>
      <c r="P2783" s="3" t="n">
        <v>5.382401</v>
      </c>
      <c r="Q2783" s="3" t="n">
        <v>5.39041</v>
      </c>
      <c r="R2783" s="3" t="n">
        <v>5.392446</v>
      </c>
      <c r="S2783" s="3" t="n">
        <v>5.404322</v>
      </c>
      <c r="T2783" s="3" t="n">
        <v>5.410836</v>
      </c>
      <c r="U2783" s="3" t="n">
        <v>5.415949</v>
      </c>
      <c r="V2783" s="3" t="n">
        <v>5.421349</v>
      </c>
      <c r="W2783" s="3" t="n">
        <v>5.426252</v>
      </c>
      <c r="X2783" s="3" t="n">
        <v>5.435343</v>
      </c>
      <c r="Y2783" s="3" t="n">
        <v>5.44312</v>
      </c>
      <c r="Z2783" s="3" t="n">
        <v>5.450421</v>
      </c>
      <c r="AA2783" s="3" t="n">
        <v>5.457873</v>
      </c>
      <c r="AB2783" s="3" t="n">
        <v>5.459781</v>
      </c>
      <c r="AC2783" s="3" t="n">
        <v>5.434712</v>
      </c>
      <c r="AD2783" s="3" t="n">
        <v>5.428792</v>
      </c>
      <c r="AE2783" s="3" t="n">
        <v>5.424687</v>
      </c>
      <c r="AF2783" s="3" t="n">
        <v>5.419451</v>
      </c>
      <c r="AG2783" s="3" t="n">
        <v>5.406135</v>
      </c>
      <c r="AH2783" s="3" t="n">
        <v>5.392662</v>
      </c>
      <c r="AI2783" s="3" t="n">
        <v>5.378694</v>
      </c>
      <c r="AJ2783" s="3" t="n">
        <v>5.364432</v>
      </c>
      <c r="AK2783" s="3" t="n">
        <v>5.34958</v>
      </c>
      <c r="AL2783" s="3" t="n">
        <v>5.333896</v>
      </c>
      <c r="AM2783" s="3" t="n"/>
      <c r="AN2783" s="3" t="n"/>
      <c r="AO2783" s="3" t="n"/>
      <c r="AP2783" s="3" t="n"/>
      <c r="AQ2783" s="3" t="n"/>
      <c r="AR2783" s="3" t="n"/>
      <c r="AS2783" s="3" t="n"/>
      <c r="AT2783" s="3" t="n"/>
      <c r="AU2783" s="3" t="n"/>
    </row>
    <row r="2784">
      <c r="A2784" s="3" t="n">
        <v>2031</v>
      </c>
      <c r="B2784" s="3" t="inlineStr">
        <is>
          <t>SVK</t>
        </is>
      </c>
      <c r="C2784" s="3" t="inlineStr">
        <is>
          <t>IMF.RES:WEO</t>
        </is>
      </c>
      <c r="D2784" s="3" t="inlineStr">
        <is>
          <t>SVK.NGDP.A</t>
        </is>
      </c>
      <c r="E2784" s="3" t="inlineStr">
        <is>
          <t>Slovak Republic</t>
        </is>
      </c>
      <c r="F2784" s="3" t="inlineStr">
        <is>
          <t>Gross domestic product (GDP), Current prices, Domestic currency</t>
        </is>
      </c>
      <c r="G2784" s="3" t="n">
        <v>31.6321</v>
      </c>
      <c r="H2784" s="3" t="n">
        <v>34.3073</v>
      </c>
      <c r="I2784" s="3" t="n">
        <v>37.2723</v>
      </c>
      <c r="J2784" s="3" t="n">
        <v>41.2109</v>
      </c>
      <c r="K2784" s="3" t="n">
        <v>45.9968</v>
      </c>
      <c r="L2784" s="3" t="n">
        <v>50.2758</v>
      </c>
      <c r="M2784" s="3" t="n">
        <v>56.3491</v>
      </c>
      <c r="N2784" s="3" t="n">
        <v>63.1806</v>
      </c>
      <c r="O2784" s="3" t="n">
        <v>68.5566</v>
      </c>
      <c r="P2784" s="3" t="n">
        <v>64.0551</v>
      </c>
      <c r="Q2784" s="3" t="n">
        <v>68.7268</v>
      </c>
      <c r="R2784" s="3" t="n">
        <v>71.62949999999999</v>
      </c>
      <c r="S2784" s="3" t="n">
        <v>73.7276</v>
      </c>
      <c r="T2784" s="3" t="n">
        <v>74.6426</v>
      </c>
      <c r="U2784" s="3" t="n">
        <v>76.56229999999999</v>
      </c>
      <c r="V2784" s="3" t="n">
        <v>80.3763</v>
      </c>
      <c r="W2784" s="3" t="n">
        <v>81.6216</v>
      </c>
      <c r="X2784" s="3" t="n">
        <v>84.96040000000001</v>
      </c>
      <c r="Y2784" s="3" t="n">
        <v>90.2758</v>
      </c>
      <c r="Z2784" s="3" t="n">
        <v>94.5474</v>
      </c>
      <c r="AA2784" s="3" t="n">
        <v>94.3206</v>
      </c>
      <c r="AB2784" s="3" t="n">
        <v>101.8916</v>
      </c>
      <c r="AC2784" s="3" t="n">
        <v>109.9597</v>
      </c>
      <c r="AD2784" s="3" t="n">
        <v>123.5387</v>
      </c>
      <c r="AE2784" s="3" t="n">
        <v>130.2075</v>
      </c>
      <c r="AF2784" s="3" t="n">
        <v>136.7543</v>
      </c>
      <c r="AG2784" s="3" t="n">
        <v>143.228035</v>
      </c>
      <c r="AH2784" s="3" t="n">
        <v>150.44919</v>
      </c>
      <c r="AI2784" s="3" t="n">
        <v>158.85089</v>
      </c>
      <c r="AJ2784" s="3" t="n">
        <v>166.61669</v>
      </c>
      <c r="AK2784" s="3" t="n">
        <v>173.745051</v>
      </c>
      <c r="AL2784" s="3" t="n">
        <v>180.396697</v>
      </c>
      <c r="AM2784" s="3" t="n"/>
      <c r="AN2784" s="3" t="n"/>
      <c r="AO2784" s="3" t="n"/>
      <c r="AP2784" s="3" t="n"/>
      <c r="AQ2784" s="3" t="n"/>
      <c r="AR2784" s="3" t="n"/>
      <c r="AS2784" s="3" t="n"/>
      <c r="AT2784" s="3" t="n"/>
      <c r="AU2784" s="3" t="n"/>
    </row>
    <row r="2785">
      <c r="A2785" s="3" t="n">
        <v>2031</v>
      </c>
      <c r="B2785" s="3" t="inlineStr">
        <is>
          <t>SVK</t>
        </is>
      </c>
      <c r="C2785" s="3" t="inlineStr">
        <is>
          <t>IMF.RES:WEO</t>
        </is>
      </c>
      <c r="D2785" s="3" t="inlineStr">
        <is>
          <t>SVK.NGDP_D.A</t>
        </is>
      </c>
      <c r="E2785" s="3" t="inlineStr">
        <is>
          <t>Slovak Republic</t>
        </is>
      </c>
      <c r="F2785" s="3" t="inlineStr">
        <is>
          <t>Gross domestic product (GDP), Price deflator, Index</t>
        </is>
      </c>
      <c r="G2785" s="3" t="n">
        <v>67.075568</v>
      </c>
      <c r="H2785" s="3" t="n">
        <v>70.680885</v>
      </c>
      <c r="I2785" s="3" t="n">
        <v>73.540914</v>
      </c>
      <c r="J2785" s="3" t="n">
        <v>77.54587100000001</v>
      </c>
      <c r="K2785" s="3" t="n">
        <v>82.125117</v>
      </c>
      <c r="L2785" s="3" t="n">
        <v>84.29850999999999</v>
      </c>
      <c r="M2785" s="3" t="n">
        <v>86.739631</v>
      </c>
      <c r="N2785" s="3" t="n">
        <v>87.761072</v>
      </c>
      <c r="O2785" s="3" t="n">
        <v>90.381107</v>
      </c>
      <c r="P2785" s="3" t="n">
        <v>89.366449</v>
      </c>
      <c r="Q2785" s="3" t="n">
        <v>89.787077</v>
      </c>
      <c r="R2785" s="3" t="n">
        <v>91.24126200000001</v>
      </c>
      <c r="S2785" s="3" t="n">
        <v>92.46301</v>
      </c>
      <c r="T2785" s="3" t="n">
        <v>92.956754</v>
      </c>
      <c r="U2785" s="3" t="n">
        <v>92.833507</v>
      </c>
      <c r="V2785" s="3" t="n">
        <v>92.66101999999999</v>
      </c>
      <c r="W2785" s="3" t="n">
        <v>92.299029</v>
      </c>
      <c r="X2785" s="3" t="n">
        <v>93.38976</v>
      </c>
      <c r="Y2785" s="3" t="n">
        <v>95.35900700000001</v>
      </c>
      <c r="Z2785" s="3" t="n">
        <v>97.648824</v>
      </c>
      <c r="AA2785" s="3" t="n">
        <v>100</v>
      </c>
      <c r="AB2785" s="3" t="n">
        <v>102.244138</v>
      </c>
      <c r="AC2785" s="3" t="n">
        <v>109.74241</v>
      </c>
      <c r="AD2785" s="3" t="n">
        <v>120.743842</v>
      </c>
      <c r="AE2785" s="3" t="n">
        <v>124.84144</v>
      </c>
      <c r="AF2785" s="3" t="n">
        <v>130.068271</v>
      </c>
      <c r="AG2785" s="3" t="n">
        <v>135.41223</v>
      </c>
      <c r="AH2785" s="3" t="n">
        <v>139.931219</v>
      </c>
      <c r="AI2785" s="3" t="n">
        <v>144.039086</v>
      </c>
      <c r="AJ2785" s="3" t="n">
        <v>147.418131</v>
      </c>
      <c r="AK2785" s="3" t="n">
        <v>150.377499</v>
      </c>
      <c r="AL2785" s="3" t="n">
        <v>153.373814</v>
      </c>
      <c r="AM2785" s="3" t="n"/>
      <c r="AN2785" s="3" t="n"/>
      <c r="AO2785" s="3" t="n"/>
      <c r="AP2785" s="3" t="n"/>
      <c r="AQ2785" s="3" t="n"/>
      <c r="AR2785" s="3" t="n"/>
      <c r="AS2785" s="3" t="n"/>
      <c r="AT2785" s="3" t="n"/>
      <c r="AU2785" s="3" t="n"/>
    </row>
    <row r="2786">
      <c r="A2786" s="3" t="n">
        <v>2031</v>
      </c>
      <c r="B2786" s="3" t="inlineStr">
        <is>
          <t>SVK</t>
        </is>
      </c>
      <c r="C2786" s="3" t="inlineStr">
        <is>
          <t>IMF.RES:WEO</t>
        </is>
      </c>
      <c r="D2786" s="3" t="inlineStr">
        <is>
          <t>SVK.NGDP_R.A</t>
        </is>
      </c>
      <c r="E2786" s="3" t="inlineStr">
        <is>
          <t>Slovak Republic</t>
        </is>
      </c>
      <c r="F2786" s="3" t="inlineStr">
        <is>
          <t>Gross domestic product (GDP), Constant prices, Domestic currency</t>
        </is>
      </c>
      <c r="G2786" s="3" t="n">
        <v>47.1589</v>
      </c>
      <c r="H2786" s="3" t="n">
        <v>48.5383</v>
      </c>
      <c r="I2786" s="3" t="n">
        <v>50.6824</v>
      </c>
      <c r="J2786" s="3" t="n">
        <v>53.1439</v>
      </c>
      <c r="K2786" s="3" t="n">
        <v>56.0082</v>
      </c>
      <c r="L2786" s="3" t="n">
        <v>59.6402</v>
      </c>
      <c r="M2786" s="3" t="n">
        <v>64.9635</v>
      </c>
      <c r="N2786" s="3" t="n">
        <v>71.99160000000001</v>
      </c>
      <c r="O2786" s="3" t="n">
        <v>75.8528</v>
      </c>
      <c r="P2786" s="3" t="n">
        <v>71.6769</v>
      </c>
      <c r="Q2786" s="3" t="n">
        <v>76.5442</v>
      </c>
      <c r="R2786" s="3" t="n">
        <v>78.5056</v>
      </c>
      <c r="S2786" s="3" t="n">
        <v>79.73739999999999</v>
      </c>
      <c r="T2786" s="3" t="n">
        <v>80.29819999999999</v>
      </c>
      <c r="U2786" s="3" t="n">
        <v>82.4727</v>
      </c>
      <c r="V2786" s="3" t="n">
        <v>86.7423</v>
      </c>
      <c r="W2786" s="3" t="n">
        <v>88.43170000000001</v>
      </c>
      <c r="X2786" s="3" t="n">
        <v>90.974</v>
      </c>
      <c r="Y2786" s="3" t="n">
        <v>94.6694</v>
      </c>
      <c r="Z2786" s="3" t="n">
        <v>96.82389999999999</v>
      </c>
      <c r="AA2786" s="3" t="n">
        <v>94.3206</v>
      </c>
      <c r="AB2786" s="3" t="n">
        <v>99.65519999999999</v>
      </c>
      <c r="AC2786" s="3" t="n">
        <v>100.198</v>
      </c>
      <c r="AD2786" s="3" t="n">
        <v>102.3147</v>
      </c>
      <c r="AE2786" s="3" t="n">
        <v>104.2983</v>
      </c>
      <c r="AF2786" s="3" t="n">
        <v>105.1404</v>
      </c>
      <c r="AG2786" s="3" t="n">
        <v>105.771861</v>
      </c>
      <c r="AH2786" s="3" t="n">
        <v>107.516529</v>
      </c>
      <c r="AI2786" s="3" t="n">
        <v>110.283184</v>
      </c>
      <c r="AJ2786" s="3" t="n">
        <v>113.023201</v>
      </c>
      <c r="AK2786" s="3" t="n">
        <v>115.539262</v>
      </c>
      <c r="AL2786" s="3" t="n">
        <v>117.618968</v>
      </c>
      <c r="AM2786" s="3" t="n"/>
      <c r="AN2786" s="3" t="n"/>
      <c r="AO2786" s="3" t="n"/>
      <c r="AP2786" s="3" t="n"/>
      <c r="AQ2786" s="3" t="n"/>
      <c r="AR2786" s="3" t="n"/>
      <c r="AS2786" s="3" t="n"/>
      <c r="AT2786" s="3" t="n"/>
      <c r="AU2786" s="3" t="n"/>
    </row>
    <row r="2787">
      <c r="A2787" s="3" t="n">
        <v>2031</v>
      </c>
      <c r="B2787" s="3" t="inlineStr">
        <is>
          <t>SVK</t>
        </is>
      </c>
      <c r="C2787" s="3" t="inlineStr">
        <is>
          <t>IMF.RES:WEO</t>
        </is>
      </c>
      <c r="D2787" s="3" t="inlineStr">
        <is>
          <t>SVK.NGDP_RPCH.A</t>
        </is>
      </c>
      <c r="E2787" s="3" t="inlineStr">
        <is>
          <t>Slovak Republic</t>
        </is>
      </c>
      <c r="F2787" s="3" t="inlineStr">
        <is>
          <t>Gross domestic product (GDP), Constant prices, Percent change</t>
        </is>
      </c>
      <c r="G2787" s="3" t="n">
        <v>0.789278</v>
      </c>
      <c r="H2787" s="3" t="n">
        <v>2.925005</v>
      </c>
      <c r="I2787" s="3" t="n">
        <v>4.417336</v>
      </c>
      <c r="J2787" s="3" t="n">
        <v>4.856716</v>
      </c>
      <c r="K2787" s="3" t="n">
        <v>5.389706</v>
      </c>
      <c r="L2787" s="3" t="n">
        <v>6.484765</v>
      </c>
      <c r="M2787" s="3" t="n">
        <v>8.925691</v>
      </c>
      <c r="N2787" s="3" t="n">
        <v>10.818537</v>
      </c>
      <c r="O2787" s="3" t="n">
        <v>5.363404</v>
      </c>
      <c r="P2787" s="3" t="n">
        <v>-5.505268</v>
      </c>
      <c r="Q2787" s="3" t="n">
        <v>6.790612</v>
      </c>
      <c r="R2787" s="3" t="n">
        <v>2.562441</v>
      </c>
      <c r="S2787" s="3" t="n">
        <v>1.56906</v>
      </c>
      <c r="T2787" s="3" t="n">
        <v>0.703309</v>
      </c>
      <c r="U2787" s="3" t="n">
        <v>2.708031</v>
      </c>
      <c r="V2787" s="3" t="n">
        <v>5.176986</v>
      </c>
      <c r="W2787" s="3" t="n">
        <v>1.947608</v>
      </c>
      <c r="X2787" s="3" t="n">
        <v>2.874874</v>
      </c>
      <c r="Y2787" s="3" t="n">
        <v>4.06204</v>
      </c>
      <c r="Z2787" s="3" t="n">
        <v>2.275815</v>
      </c>
      <c r="AA2787" s="3" t="n">
        <v>-2.585415</v>
      </c>
      <c r="AB2787" s="3" t="n">
        <v>5.655816</v>
      </c>
      <c r="AC2787" s="3" t="n">
        <v>0.544678</v>
      </c>
      <c r="AD2787" s="3" t="n">
        <v>2.112517</v>
      </c>
      <c r="AE2787" s="3" t="n">
        <v>1.938724</v>
      </c>
      <c r="AF2787" s="3" t="n">
        <v>0.807396</v>
      </c>
      <c r="AG2787" s="3" t="n">
        <v>0.600588</v>
      </c>
      <c r="AH2787" s="3" t="n">
        <v>1.649463</v>
      </c>
      <c r="AI2787" s="3" t="n">
        <v>2.573237</v>
      </c>
      <c r="AJ2787" s="3" t="n">
        <v>2.484528</v>
      </c>
      <c r="AK2787" s="3" t="n">
        <v>2.226146</v>
      </c>
      <c r="AL2787" s="3" t="n">
        <v>1.8</v>
      </c>
      <c r="AM2787" s="3" t="n"/>
      <c r="AN2787" s="3" t="n"/>
      <c r="AO2787" s="3" t="n"/>
      <c r="AP2787" s="3" t="n"/>
      <c r="AQ2787" s="3" t="n"/>
      <c r="AR2787" s="3" t="n"/>
      <c r="AS2787" s="3" t="n"/>
      <c r="AT2787" s="3" t="n"/>
      <c r="AU2787" s="3" t="n"/>
    </row>
    <row r="2788">
      <c r="A2788" s="3" t="n">
        <v>2031</v>
      </c>
      <c r="B2788" s="3" t="inlineStr">
        <is>
          <t>SVK</t>
        </is>
      </c>
      <c r="C2788" s="3" t="inlineStr">
        <is>
          <t>IMF.RES:WEO</t>
        </is>
      </c>
      <c r="D2788" s="3" t="inlineStr">
        <is>
          <t>SVK.NGDPD.A</t>
        </is>
      </c>
      <c r="E2788" s="3" t="inlineStr">
        <is>
          <t>Slovak Republic</t>
        </is>
      </c>
      <c r="F2788" s="3" t="inlineStr">
        <is>
          <t>Gross domestic product (GDP), Current prices, US dollar</t>
        </is>
      </c>
      <c r="G2788" s="3" t="n">
        <v>20.710792</v>
      </c>
      <c r="H2788" s="3" t="n">
        <v>21.384414</v>
      </c>
      <c r="I2788" s="3" t="n">
        <v>24.849368</v>
      </c>
      <c r="J2788" s="3" t="n">
        <v>33.864299</v>
      </c>
      <c r="K2788" s="3" t="n">
        <v>43.023363</v>
      </c>
      <c r="L2788" s="3" t="n">
        <v>48.912101</v>
      </c>
      <c r="M2788" s="3" t="n">
        <v>57.479615</v>
      </c>
      <c r="N2788" s="3" t="n">
        <v>77.259783</v>
      </c>
      <c r="O2788" s="3" t="n">
        <v>97.12227</v>
      </c>
      <c r="P2788" s="3" t="n">
        <v>89.24591700000001</v>
      </c>
      <c r="Q2788" s="3" t="n">
        <v>91.186679</v>
      </c>
      <c r="R2788" s="3" t="n">
        <v>99.687513</v>
      </c>
      <c r="S2788" s="3" t="n">
        <v>94.784369</v>
      </c>
      <c r="T2788" s="3" t="n">
        <v>99.135628</v>
      </c>
      <c r="U2788" s="3" t="n">
        <v>101.739289</v>
      </c>
      <c r="V2788" s="3" t="n">
        <v>89.18756999999999</v>
      </c>
      <c r="W2788" s="3" t="n">
        <v>90.322272</v>
      </c>
      <c r="X2788" s="3" t="n">
        <v>95.944295</v>
      </c>
      <c r="Y2788" s="3" t="n">
        <v>106.659959</v>
      </c>
      <c r="Z2788" s="3" t="n">
        <v>105.855086</v>
      </c>
      <c r="AA2788" s="3" t="n">
        <v>107.64639</v>
      </c>
      <c r="AB2788" s="3" t="n">
        <v>120.591418</v>
      </c>
      <c r="AC2788" s="3" t="n">
        <v>115.884007</v>
      </c>
      <c r="AD2788" s="3" t="n">
        <v>133.617048</v>
      </c>
      <c r="AE2788" s="3" t="n">
        <v>140.891621</v>
      </c>
      <c r="AF2788" s="3" t="n">
        <v>154.442442</v>
      </c>
      <c r="AG2788" s="3" t="n">
        <v>168.897199</v>
      </c>
      <c r="AH2788" s="3" t="n">
        <v>177.004125</v>
      </c>
      <c r="AI2788" s="3" t="n">
        <v>186.383513</v>
      </c>
      <c r="AJ2788" s="3" t="n">
        <v>195.391687</v>
      </c>
      <c r="AK2788" s="3" t="n">
        <v>203.71925</v>
      </c>
      <c r="AL2788" s="3" t="n">
        <v>211.483587</v>
      </c>
      <c r="AM2788" s="3" t="n"/>
      <c r="AN2788" s="3" t="n"/>
      <c r="AO2788" s="3" t="n"/>
      <c r="AP2788" s="3" t="n"/>
      <c r="AQ2788" s="3" t="n"/>
      <c r="AR2788" s="3" t="n"/>
      <c r="AS2788" s="3" t="n"/>
      <c r="AT2788" s="3" t="n"/>
      <c r="AU2788" s="3" t="n"/>
    </row>
    <row r="2789">
      <c r="A2789" s="3" t="n">
        <v>2031</v>
      </c>
      <c r="B2789" s="3" t="inlineStr">
        <is>
          <t>SVK</t>
        </is>
      </c>
      <c r="C2789" s="3" t="inlineStr">
        <is>
          <t>IMF.RES:WEO</t>
        </is>
      </c>
      <c r="D2789" s="3" t="inlineStr">
        <is>
          <t>SVK.NGDPPC.A</t>
        </is>
      </c>
      <c r="E2789" s="3" t="inlineStr">
        <is>
          <t>Slovak Republic</t>
        </is>
      </c>
      <c r="F2789" s="3" t="inlineStr">
        <is>
          <t>Gross domestic product (GDP), Current prices, Per capita, Domestic currency</t>
        </is>
      </c>
      <c r="G2789" s="3" t="n">
        <v>5859.253514</v>
      </c>
      <c r="H2789" s="3" t="n">
        <v>6378.264377</v>
      </c>
      <c r="I2789" s="3" t="n">
        <v>6929.287885</v>
      </c>
      <c r="J2789" s="3" t="n">
        <v>7667.325349</v>
      </c>
      <c r="K2789" s="3" t="n">
        <v>8562.522397000001</v>
      </c>
      <c r="L2789" s="3" t="n">
        <v>9357.667535</v>
      </c>
      <c r="M2789" s="3" t="n">
        <v>10487.596335</v>
      </c>
      <c r="N2789" s="3" t="n">
        <v>11758.511719</v>
      </c>
      <c r="O2789" s="3" t="n">
        <v>12752.191938</v>
      </c>
      <c r="P2789" s="3" t="n">
        <v>11900.841279</v>
      </c>
      <c r="Q2789" s="3" t="n">
        <v>12749.827935</v>
      </c>
      <c r="R2789" s="3" t="n">
        <v>13283.304089</v>
      </c>
      <c r="S2789" s="3" t="n">
        <v>13642.340334</v>
      </c>
      <c r="T2789" s="3" t="n">
        <v>13795.021694</v>
      </c>
      <c r="U2789" s="3" t="n">
        <v>14136.451433</v>
      </c>
      <c r="V2789" s="3" t="n">
        <v>14825.885587</v>
      </c>
      <c r="W2789" s="3" t="n">
        <v>15041.984781</v>
      </c>
      <c r="X2789" s="3" t="n">
        <v>15631.101846</v>
      </c>
      <c r="Y2789" s="3" t="n">
        <v>16585.304017</v>
      </c>
      <c r="Z2789" s="3" t="n">
        <v>17346.806788</v>
      </c>
      <c r="AA2789" s="3" t="n">
        <v>17281.56738</v>
      </c>
      <c r="AB2789" s="3" t="n">
        <v>18662.213741</v>
      </c>
      <c r="AC2789" s="3" t="n">
        <v>20232.847665</v>
      </c>
      <c r="AD2789" s="3" t="n">
        <v>22756.204327</v>
      </c>
      <c r="AE2789" s="3" t="n">
        <v>24002.767349</v>
      </c>
      <c r="AF2789" s="3" t="n">
        <v>25233.976652</v>
      </c>
      <c r="AG2789" s="3" t="n">
        <v>26493.608538</v>
      </c>
      <c r="AH2789" s="3" t="n">
        <v>27898.873591</v>
      </c>
      <c r="AI2789" s="3" t="n">
        <v>29533.35452</v>
      </c>
      <c r="AJ2789" s="3" t="n">
        <v>31059.523152</v>
      </c>
      <c r="AK2789" s="3" t="n">
        <v>32478.260371</v>
      </c>
      <c r="AL2789" s="3" t="n">
        <v>33820.8131</v>
      </c>
      <c r="AM2789" s="3" t="n"/>
      <c r="AN2789" s="3" t="n"/>
      <c r="AO2789" s="3" t="n"/>
      <c r="AP2789" s="3" t="n"/>
      <c r="AQ2789" s="3" t="n"/>
      <c r="AR2789" s="3" t="n"/>
      <c r="AS2789" s="3" t="n"/>
      <c r="AT2789" s="3" t="n"/>
      <c r="AU2789" s="3" t="n"/>
    </row>
    <row r="2790">
      <c r="A2790" s="3" t="n">
        <v>2031</v>
      </c>
      <c r="B2790" s="3" t="inlineStr">
        <is>
          <t>SVK</t>
        </is>
      </c>
      <c r="C2790" s="3" t="inlineStr">
        <is>
          <t>IMF.RES:WEO</t>
        </is>
      </c>
      <c r="D2790" s="3" t="inlineStr">
        <is>
          <t>SVK.NGDPRPC.A</t>
        </is>
      </c>
      <c r="E2790" s="3" t="inlineStr">
        <is>
          <t>Slovak Republic</t>
        </is>
      </c>
      <c r="F2790" s="3" t="inlineStr">
        <is>
          <t>Gross domestic product (GDP), Constant prices, Per capita, Domestic currency</t>
        </is>
      </c>
      <c r="G2790" s="3" t="n">
        <v>8735.302132000001</v>
      </c>
      <c r="H2790" s="3" t="n">
        <v>9024.030156999999</v>
      </c>
      <c r="I2790" s="3" t="n">
        <v>9422.357631000001</v>
      </c>
      <c r="J2790" s="3" t="n">
        <v>9887.47083</v>
      </c>
      <c r="K2790" s="3" t="n">
        <v>10426.191972</v>
      </c>
      <c r="L2790" s="3" t="n">
        <v>11100.632179</v>
      </c>
      <c r="M2790" s="3" t="n">
        <v>12090.893457</v>
      </c>
      <c r="N2790" s="3" t="n">
        <v>13398.322781</v>
      </c>
      <c r="O2790" s="3" t="n">
        <v>14109.355841</v>
      </c>
      <c r="P2790" s="3" t="n">
        <v>13316.900766</v>
      </c>
      <c r="Q2790" s="3" t="n">
        <v>14200.070125</v>
      </c>
      <c r="R2790" s="3" t="n">
        <v>14558.439714</v>
      </c>
      <c r="S2790" s="3" t="n">
        <v>14754.37622</v>
      </c>
      <c r="T2790" s="3" t="n">
        <v>14840.257587</v>
      </c>
      <c r="U2790" s="3" t="n">
        <v>15227.74679</v>
      </c>
      <c r="V2790" s="3" t="n">
        <v>16000.13207</v>
      </c>
      <c r="W2790" s="3" t="n">
        <v>16297.013113</v>
      </c>
      <c r="X2790" s="3" t="n">
        <v>16737.490164</v>
      </c>
      <c r="Y2790" s="3" t="n">
        <v>17392.488132</v>
      </c>
      <c r="Z2790" s="3" t="n">
        <v>17764.480946</v>
      </c>
      <c r="AA2790" s="3" t="n">
        <v>17281.56738</v>
      </c>
      <c r="AB2790" s="3" t="n">
        <v>18252.600242</v>
      </c>
      <c r="AC2790" s="3" t="n">
        <v>18436.671529</v>
      </c>
      <c r="AD2790" s="3" t="n">
        <v>18846.678967</v>
      </c>
      <c r="AE2790" s="3" t="n">
        <v>19226.602383</v>
      </c>
      <c r="AF2790" s="3" t="n">
        <v>19400.562898</v>
      </c>
      <c r="AG2790" s="3" t="n">
        <v>19565.151994</v>
      </c>
      <c r="AH2790" s="3" t="n">
        <v>19937.562077</v>
      </c>
      <c r="AI2790" s="3" t="n">
        <v>20503.708672</v>
      </c>
      <c r="AJ2790" s="3" t="n">
        <v>21068.998032</v>
      </c>
      <c r="AK2790" s="3" t="n">
        <v>21597.819281</v>
      </c>
      <c r="AL2790" s="3" t="n">
        <v>22051.230446</v>
      </c>
      <c r="AM2790" s="3" t="n"/>
      <c r="AN2790" s="3" t="n"/>
      <c r="AO2790" s="3" t="n"/>
      <c r="AP2790" s="3" t="n"/>
      <c r="AQ2790" s="3" t="n"/>
      <c r="AR2790" s="3" t="n"/>
      <c r="AS2790" s="3" t="n"/>
      <c r="AT2790" s="3" t="n"/>
      <c r="AU2790" s="3" t="n"/>
    </row>
    <row r="2791">
      <c r="A2791" s="3" t="n">
        <v>2031</v>
      </c>
      <c r="B2791" s="3" t="inlineStr">
        <is>
          <t>SVK</t>
        </is>
      </c>
      <c r="C2791" s="3" t="inlineStr">
        <is>
          <t>IMF.RES:WEO</t>
        </is>
      </c>
      <c r="D2791" s="3" t="inlineStr">
        <is>
          <t>SVK.PCPI.A</t>
        </is>
      </c>
      <c r="E2791" s="3" t="inlineStr">
        <is>
          <t>Slovak Republic</t>
        </is>
      </c>
      <c r="F2791" s="3" t="inlineStr">
        <is>
          <t>All Items, Consumer price index (CPI), Period average</t>
        </is>
      </c>
      <c r="G2791" s="3" t="n">
        <v>41.226667</v>
      </c>
      <c r="H2791" s="3" t="n">
        <v>44.171667</v>
      </c>
      <c r="I2791" s="3" t="n">
        <v>45.711667</v>
      </c>
      <c r="J2791" s="3" t="n">
        <v>49.559167</v>
      </c>
      <c r="K2791" s="3" t="n">
        <v>53.254167</v>
      </c>
      <c r="L2791" s="3" t="n">
        <v>54.733333</v>
      </c>
      <c r="M2791" s="3" t="n">
        <v>57.069167</v>
      </c>
      <c r="N2791" s="3" t="n">
        <v>58.153333</v>
      </c>
      <c r="O2791" s="3" t="n">
        <v>60.449167</v>
      </c>
      <c r="P2791" s="3" t="n">
        <v>61.0125</v>
      </c>
      <c r="Q2791" s="3" t="n">
        <v>61.441667</v>
      </c>
      <c r="R2791" s="3" t="n">
        <v>63.9425</v>
      </c>
      <c r="S2791" s="3" t="n">
        <v>66.330833</v>
      </c>
      <c r="T2791" s="3" t="n">
        <v>67.2975</v>
      </c>
      <c r="U2791" s="3" t="n">
        <v>67.2375</v>
      </c>
      <c r="V2791" s="3" t="n">
        <v>67.01083300000001</v>
      </c>
      <c r="W2791" s="3" t="n">
        <v>66.69416699999999</v>
      </c>
      <c r="X2791" s="3" t="n">
        <v>67.625</v>
      </c>
      <c r="Y2791" s="3" t="n">
        <v>69.33833300000001</v>
      </c>
      <c r="Z2791" s="3" t="n">
        <v>71.25916700000001</v>
      </c>
      <c r="AA2791" s="3" t="n">
        <v>72.693333</v>
      </c>
      <c r="AB2791" s="3" t="n">
        <v>74.748333</v>
      </c>
      <c r="AC2791" s="3" t="n">
        <v>83.816667</v>
      </c>
      <c r="AD2791" s="3" t="n">
        <v>93.005833</v>
      </c>
      <c r="AE2791" s="3" t="n">
        <v>95.934167</v>
      </c>
      <c r="AF2791" s="3" t="n">
        <v>100.001667</v>
      </c>
      <c r="AG2791" s="3" t="n">
        <v>104.160916</v>
      </c>
      <c r="AH2791" s="3" t="n">
        <v>107.570296</v>
      </c>
      <c r="AI2791" s="3" t="n">
        <v>110.738416</v>
      </c>
      <c r="AJ2791" s="3" t="n">
        <v>113.357229</v>
      </c>
      <c r="AK2791" s="3" t="n">
        <v>115.624373</v>
      </c>
      <c r="AL2791" s="3" t="n">
        <v>117.907622</v>
      </c>
      <c r="AM2791" s="3" t="n"/>
      <c r="AN2791" s="3" t="n"/>
      <c r="AO2791" s="3" t="n"/>
      <c r="AP2791" s="3" t="n"/>
      <c r="AQ2791" s="3" t="n"/>
      <c r="AR2791" s="3" t="n"/>
      <c r="AS2791" s="3" t="n"/>
      <c r="AT2791" s="3" t="n"/>
      <c r="AU2791" s="3" t="n"/>
    </row>
    <row r="2792">
      <c r="A2792" s="3" t="n">
        <v>2031</v>
      </c>
      <c r="B2792" s="3" t="inlineStr">
        <is>
          <t>SVK</t>
        </is>
      </c>
      <c r="C2792" s="3" t="inlineStr">
        <is>
          <t>IMF.RES:WEO</t>
        </is>
      </c>
      <c r="D2792" s="3" t="inlineStr">
        <is>
          <t>SVK.PCPIPCH.A</t>
        </is>
      </c>
      <c r="E2792" s="3" t="inlineStr">
        <is>
          <t>Slovak Republic</t>
        </is>
      </c>
      <c r="F2792" s="3" t="inlineStr">
        <is>
          <t>All Items, Consumer price index (CPI), Period average, percent change</t>
        </is>
      </c>
      <c r="G2792" s="3" t="n">
        <v>12.161059</v>
      </c>
      <c r="H2792" s="3" t="n">
        <v>7.143435</v>
      </c>
      <c r="I2792" s="3" t="n">
        <v>3.486398</v>
      </c>
      <c r="J2792" s="3" t="n">
        <v>8.416888</v>
      </c>
      <c r="K2792" s="3" t="n">
        <v>7.455735</v>
      </c>
      <c r="L2792" s="3" t="n">
        <v>2.77756</v>
      </c>
      <c r="M2792" s="3" t="n">
        <v>4.267661</v>
      </c>
      <c r="N2792" s="3" t="n">
        <v>1.899742</v>
      </c>
      <c r="O2792" s="3" t="n">
        <v>3.947896</v>
      </c>
      <c r="P2792" s="3" t="n">
        <v>0.931912</v>
      </c>
      <c r="Q2792" s="3" t="n">
        <v>0.703408</v>
      </c>
      <c r="R2792" s="3" t="n">
        <v>4.070256</v>
      </c>
      <c r="S2792" s="3" t="n">
        <v>3.735127</v>
      </c>
      <c r="T2792" s="3" t="n">
        <v>1.457341</v>
      </c>
      <c r="U2792" s="3" t="n">
        <v>-0.089156</v>
      </c>
      <c r="V2792" s="3" t="n">
        <v>-0.337113</v>
      </c>
      <c r="W2792" s="3" t="n">
        <v>-0.47256</v>
      </c>
      <c r="X2792" s="3" t="n">
        <v>1.395674</v>
      </c>
      <c r="Y2792" s="3" t="n">
        <v>2.53358</v>
      </c>
      <c r="Z2792" s="3" t="n">
        <v>2.770233</v>
      </c>
      <c r="AA2792" s="3" t="n">
        <v>2.012607</v>
      </c>
      <c r="AB2792" s="3" t="n">
        <v>2.826944</v>
      </c>
      <c r="AC2792" s="3" t="n">
        <v>12.13182</v>
      </c>
      <c r="AD2792" s="3" t="n">
        <v>10.963412</v>
      </c>
      <c r="AE2792" s="3" t="n">
        <v>3.148548</v>
      </c>
      <c r="AF2792" s="3" t="n">
        <v>4.239887</v>
      </c>
      <c r="AG2792" s="3" t="n">
        <v>4.15918</v>
      </c>
      <c r="AH2792" s="3" t="n">
        <v>3.273185</v>
      </c>
      <c r="AI2792" s="3" t="n">
        <v>2.945162</v>
      </c>
      <c r="AJ2792" s="3" t="n">
        <v>2.364863</v>
      </c>
      <c r="AK2792" s="3" t="n">
        <v>2</v>
      </c>
      <c r="AL2792" s="3" t="n">
        <v>1.974713</v>
      </c>
      <c r="AM2792" s="3" t="n"/>
      <c r="AN2792" s="3" t="n"/>
      <c r="AO2792" s="3" t="n"/>
      <c r="AP2792" s="3" t="n"/>
      <c r="AQ2792" s="3" t="n"/>
      <c r="AR2792" s="3" t="n"/>
      <c r="AS2792" s="3" t="n"/>
      <c r="AT2792" s="3" t="n"/>
      <c r="AU2792" s="3" t="n"/>
    </row>
    <row r="2793">
      <c r="A2793" s="3" t="n">
        <v>2031</v>
      </c>
      <c r="B2793" s="3" t="inlineStr">
        <is>
          <t>SVK</t>
        </is>
      </c>
      <c r="C2793" s="3" t="inlineStr">
        <is>
          <t>IMF.RES:WEO</t>
        </is>
      </c>
      <c r="D2793" s="3" t="inlineStr">
        <is>
          <t>SVK.PPPPC.A</t>
        </is>
      </c>
      <c r="E2793" s="3" t="inlineStr">
        <is>
          <t>Slovak Republic</t>
        </is>
      </c>
      <c r="F2793" s="3" t="inlineStr">
        <is>
          <t>Gross domestic product (GDP), Per capita, purchasing power parity (PPP) international dollar, ICP benchmarks 2017-2021</t>
        </is>
      </c>
      <c r="G2793" s="3" t="n">
        <v>11487.626463</v>
      </c>
      <c r="H2793" s="3" t="n">
        <v>12134.534245</v>
      </c>
      <c r="I2793" s="3" t="n">
        <v>12867.060553</v>
      </c>
      <c r="J2793" s="3" t="n">
        <v>13768.776477</v>
      </c>
      <c r="K2793" s="3" t="n">
        <v>14909.36935</v>
      </c>
      <c r="L2793" s="3" t="n">
        <v>16371.58769</v>
      </c>
      <c r="M2793" s="3" t="n">
        <v>18381.978182</v>
      </c>
      <c r="N2793" s="3" t="n">
        <v>20921.553587</v>
      </c>
      <c r="O2793" s="3" t="n">
        <v>22456.259323</v>
      </c>
      <c r="P2793" s="3" t="n">
        <v>21325.717022</v>
      </c>
      <c r="Q2793" s="3" t="n">
        <v>23016.403068</v>
      </c>
      <c r="R2793" s="3" t="n">
        <v>24084.142283</v>
      </c>
      <c r="S2793" s="3" t="n">
        <v>24862.747236</v>
      </c>
      <c r="T2793" s="3" t="n">
        <v>25433.095103</v>
      </c>
      <c r="U2793" s="3" t="n">
        <v>26551.708781</v>
      </c>
      <c r="V2793" s="3" t="n">
        <v>28157.383327</v>
      </c>
      <c r="W2793" s="3" t="n">
        <v>28952.363708</v>
      </c>
      <c r="X2793" s="3" t="n">
        <v>30267.409713</v>
      </c>
      <c r="Y2793" s="3" t="n">
        <v>31530.948409</v>
      </c>
      <c r="Z2793" s="3" t="n">
        <v>34008.911531</v>
      </c>
      <c r="AA2793" s="3" t="n">
        <v>35334.151528</v>
      </c>
      <c r="AB2793" s="3" t="n">
        <v>38323.498189</v>
      </c>
      <c r="AC2793" s="3" t="n">
        <v>41463.191566</v>
      </c>
      <c r="AD2793" s="3" t="n">
        <v>43953.548115</v>
      </c>
      <c r="AE2793" s="3" t="n">
        <v>45952.754827</v>
      </c>
      <c r="AF2793" s="3" t="n">
        <v>47683.898065</v>
      </c>
      <c r="AG2793" s="3" t="n">
        <v>49466.097213</v>
      </c>
      <c r="AH2793" s="3" t="n">
        <v>51514.555221</v>
      </c>
      <c r="AI2793" s="3" t="n">
        <v>53846.926841</v>
      </c>
      <c r="AJ2793" s="3" t="n">
        <v>56315.346153</v>
      </c>
      <c r="AK2793" s="3" t="n">
        <v>58789.615802</v>
      </c>
      <c r="AL2793" s="3" t="n">
        <v>61107.419267</v>
      </c>
      <c r="AM2793" s="3" t="n"/>
      <c r="AN2793" s="3" t="n"/>
      <c r="AO2793" s="3" t="n"/>
      <c r="AP2793" s="3" t="n"/>
      <c r="AQ2793" s="3" t="n"/>
      <c r="AR2793" s="3" t="n"/>
      <c r="AS2793" s="3" t="n"/>
      <c r="AT2793" s="3" t="n"/>
      <c r="AU2793" s="3" t="n"/>
    </row>
    <row r="2794">
      <c r="A2794" s="3" t="n">
        <v>2008</v>
      </c>
      <c r="B2794" s="3" t="inlineStr">
        <is>
          <t>SVK</t>
        </is>
      </c>
      <c r="C2794" s="3" t="inlineStr">
        <is>
          <t>IMF.STA:ER</t>
        </is>
      </c>
      <c r="D2794" s="3" t="inlineStr">
        <is>
          <t>SVK.XDC_USD.PA_RT.A</t>
        </is>
      </c>
      <c r="E2794" s="3" t="inlineStr">
        <is>
          <t>Slovak Republic</t>
        </is>
      </c>
      <c r="F2794" s="3" t="inlineStr">
        <is>
          <t>Domestic currency per US Dollar</t>
        </is>
      </c>
      <c r="G2794" s="3" t="n">
        <v>46.0351666666667</v>
      </c>
      <c r="H2794" s="3" t="n">
        <v>48.3548333333333</v>
      </c>
      <c r="I2794" s="3" t="n">
        <v>45.32675</v>
      </c>
      <c r="J2794" s="3" t="n">
        <v>36.7729166666667</v>
      </c>
      <c r="K2794" s="3" t="n">
        <v>32.2569166666667</v>
      </c>
      <c r="L2794" s="3" t="n">
        <v>31.01825</v>
      </c>
      <c r="M2794" s="3" t="n">
        <v>29.69725</v>
      </c>
      <c r="N2794" s="3" t="n">
        <v>24.6943333333333</v>
      </c>
      <c r="O2794" s="3" t="n">
        <v>21.3614166666667</v>
      </c>
      <c r="P2794" s="3" t="n"/>
      <c r="Q2794" s="3" t="n"/>
      <c r="R2794" s="3" t="n"/>
      <c r="S2794" s="3" t="n"/>
      <c r="T2794" s="3" t="n"/>
      <c r="U2794" s="3" t="n"/>
      <c r="V2794" s="3" t="n"/>
      <c r="W2794" s="3" t="n"/>
      <c r="X2794" s="3" t="n"/>
      <c r="Y2794" s="3" t="n"/>
      <c r="Z2794" s="3" t="n"/>
      <c r="AA2794" s="3" t="n"/>
      <c r="AB2794" s="3" t="n"/>
      <c r="AC2794" s="3" t="n"/>
      <c r="AD2794" s="3" t="n"/>
      <c r="AE2794" s="3" t="n"/>
      <c r="AF2794" s="3" t="n"/>
      <c r="AG2794" s="3" t="n"/>
      <c r="AH2794" s="3" t="n"/>
      <c r="AI2794" s="3" t="n"/>
      <c r="AJ2794" s="3" t="n"/>
      <c r="AK2794" s="3" t="n"/>
      <c r="AL2794" s="3" t="n"/>
      <c r="AM2794" s="3" t="n"/>
      <c r="AN2794" s="3" t="n"/>
      <c r="AO2794" s="3" t="n"/>
      <c r="AP2794" s="3" t="n"/>
      <c r="AQ2794" s="3" t="n"/>
      <c r="AR2794" s="3" t="n"/>
      <c r="AS2794" s="3" t="n"/>
      <c r="AT2794" s="3" t="n"/>
      <c r="AU2794" s="3" t="n"/>
    </row>
    <row r="2795">
      <c r="A2795" s="3" t="n">
        <v>2031</v>
      </c>
      <c r="B2795" s="3" t="inlineStr">
        <is>
          <t>SVN</t>
        </is>
      </c>
      <c r="C2795" s="3" t="inlineStr">
        <is>
          <t>IMF.RES:WEO</t>
        </is>
      </c>
      <c r="D2795" s="3" t="inlineStr">
        <is>
          <t>SVN.BCA.A</t>
        </is>
      </c>
      <c r="E2795" s="3" t="inlineStr">
        <is>
          <t>Slovenia, Republic of</t>
        </is>
      </c>
      <c r="F2795" s="3" t="inlineStr">
        <is>
          <t>Current account balance (credit less debit), US dollar</t>
        </is>
      </c>
      <c r="G2795" s="3" t="n">
        <v>-0.564022</v>
      </c>
      <c r="H2795" s="3" t="n">
        <v>0.008329</v>
      </c>
      <c r="I2795" s="3" t="n">
        <v>0.205989</v>
      </c>
      <c r="J2795" s="3" t="n">
        <v>-0.240311</v>
      </c>
      <c r="K2795" s="3" t="n">
        <v>-0.927281</v>
      </c>
      <c r="L2795" s="3" t="n">
        <v>-0.652637</v>
      </c>
      <c r="M2795" s="3" t="n">
        <v>-0.725398</v>
      </c>
      <c r="N2795" s="3" t="n">
        <v>-1.989209</v>
      </c>
      <c r="O2795" s="3" t="n">
        <v>-2.96663</v>
      </c>
      <c r="P2795" s="3" t="n">
        <v>-0.51523</v>
      </c>
      <c r="Q2795" s="3" t="n">
        <v>-0.333159</v>
      </c>
      <c r="R2795" s="3" t="n">
        <v>-0.394967</v>
      </c>
      <c r="S2795" s="3" t="n">
        <v>0.651286</v>
      </c>
      <c r="T2795" s="3" t="n">
        <v>1.688461</v>
      </c>
      <c r="U2795" s="3" t="n">
        <v>2.638551</v>
      </c>
      <c r="V2795" s="3" t="n">
        <v>1.758201</v>
      </c>
      <c r="W2795" s="3" t="n">
        <v>2.339458</v>
      </c>
      <c r="X2795" s="3" t="n">
        <v>3.26995</v>
      </c>
      <c r="Y2795" s="3" t="n">
        <v>3.496974</v>
      </c>
      <c r="Z2795" s="3" t="n">
        <v>3.4768</v>
      </c>
      <c r="AA2795" s="3" t="n">
        <v>3.907064</v>
      </c>
      <c r="AB2795" s="3" t="n">
        <v>2.139343</v>
      </c>
      <c r="AC2795" s="3" t="n">
        <v>-0.558028</v>
      </c>
      <c r="AD2795" s="3" t="n">
        <v>3.291141</v>
      </c>
      <c r="AE2795" s="3" t="n">
        <v>3.313359</v>
      </c>
      <c r="AF2795" s="3" t="n">
        <v>2.814096</v>
      </c>
      <c r="AG2795" s="3" t="n">
        <v>2.736542</v>
      </c>
      <c r="AH2795" s="3" t="n">
        <v>2.494381</v>
      </c>
      <c r="AI2795" s="3" t="n">
        <v>2.688717</v>
      </c>
      <c r="AJ2795" s="3" t="n">
        <v>2.798797</v>
      </c>
      <c r="AK2795" s="3" t="n">
        <v>2.882576</v>
      </c>
      <c r="AL2795" s="3" t="n">
        <v>2.985207</v>
      </c>
      <c r="AM2795" s="3" t="n"/>
      <c r="AN2795" s="3" t="n"/>
      <c r="AO2795" s="3" t="n"/>
      <c r="AP2795" s="3" t="n"/>
      <c r="AQ2795" s="3" t="n"/>
      <c r="AR2795" s="3" t="n"/>
      <c r="AS2795" s="3" t="n"/>
      <c r="AT2795" s="3" t="n"/>
      <c r="AU2795" s="3" t="n"/>
    </row>
    <row r="2796">
      <c r="A2796" s="3" t="n">
        <v>2031</v>
      </c>
      <c r="B2796" s="3" t="inlineStr">
        <is>
          <t>SVN</t>
        </is>
      </c>
      <c r="C2796" s="3" t="inlineStr">
        <is>
          <t>IMF.RES:WEO</t>
        </is>
      </c>
      <c r="D2796" s="3" t="inlineStr">
        <is>
          <t>SVN.BCA_NGDPD.A</t>
        </is>
      </c>
      <c r="E2796" s="3" t="inlineStr">
        <is>
          <t>Slovenia, Republic of</t>
        </is>
      </c>
      <c r="F2796" s="3" t="inlineStr">
        <is>
          <t>Current account balance (credit less debit), Percent of GDP</t>
        </is>
      </c>
      <c r="G2796" s="3" t="n">
        <v>-2.78361</v>
      </c>
      <c r="H2796" s="3" t="n">
        <v>0.040252</v>
      </c>
      <c r="I2796" s="3" t="n">
        <v>0.885476</v>
      </c>
      <c r="J2796" s="3" t="n">
        <v>-0.817419</v>
      </c>
      <c r="K2796" s="3" t="n">
        <v>-2.712171</v>
      </c>
      <c r="L2796" s="3" t="n">
        <v>-1.812796</v>
      </c>
      <c r="M2796" s="3" t="n">
        <v>-1.846121</v>
      </c>
      <c r="N2796" s="3" t="n">
        <v>-4.154072</v>
      </c>
      <c r="O2796" s="3" t="n">
        <v>-5.344974</v>
      </c>
      <c r="P2796" s="3" t="n">
        <v>-1.032087</v>
      </c>
      <c r="Q2796" s="3" t="n">
        <v>-0.696515</v>
      </c>
      <c r="R2796" s="3" t="n">
        <v>-0.771571</v>
      </c>
      <c r="S2796" s="3" t="n">
        <v>1.409823</v>
      </c>
      <c r="T2796" s="3" t="n">
        <v>3.527342</v>
      </c>
      <c r="U2796" s="3" t="n">
        <v>5.327481</v>
      </c>
      <c r="V2796" s="3" t="n">
        <v>4.116237</v>
      </c>
      <c r="W2796" s="3" t="n">
        <v>5.283506</v>
      </c>
      <c r="X2796" s="3" t="n">
        <v>6.793117</v>
      </c>
      <c r="Y2796" s="3" t="n">
        <v>6.510435</v>
      </c>
      <c r="Z2796" s="3" t="n">
        <v>6.448572</v>
      </c>
      <c r="AA2796" s="3" t="n">
        <v>7.324551</v>
      </c>
      <c r="AB2796" s="3" t="n">
        <v>3.473989</v>
      </c>
      <c r="AC2796" s="3" t="n">
        <v>-0.930881</v>
      </c>
      <c r="AD2796" s="3" t="n">
        <v>4.75082</v>
      </c>
      <c r="AE2796" s="3" t="n">
        <v>4.541962</v>
      </c>
      <c r="AF2796" s="3" t="n">
        <v>3.53516</v>
      </c>
      <c r="AG2796" s="3" t="n">
        <v>3.155171</v>
      </c>
      <c r="AH2796" s="3" t="n">
        <v>2.76601</v>
      </c>
      <c r="AI2796" s="3" t="n">
        <v>2.857604</v>
      </c>
      <c r="AJ2796" s="3" t="n">
        <v>2.849899</v>
      </c>
      <c r="AK2796" s="3" t="n">
        <v>2.813177</v>
      </c>
      <c r="AL2796" s="3" t="n">
        <v>2.794026</v>
      </c>
      <c r="AM2796" s="3" t="n"/>
      <c r="AN2796" s="3" t="n"/>
      <c r="AO2796" s="3" t="n"/>
      <c r="AP2796" s="3" t="n"/>
      <c r="AQ2796" s="3" t="n"/>
      <c r="AR2796" s="3" t="n"/>
      <c r="AS2796" s="3" t="n"/>
      <c r="AT2796" s="3" t="n"/>
      <c r="AU2796" s="3" t="n"/>
    </row>
    <row r="2797">
      <c r="A2797" s="3" t="n">
        <v>2031</v>
      </c>
      <c r="B2797" s="3" t="inlineStr">
        <is>
          <t>SVN</t>
        </is>
      </c>
      <c r="C2797" s="3" t="inlineStr">
        <is>
          <t>IMF.RES:WEO</t>
        </is>
      </c>
      <c r="D2797" s="3" t="inlineStr">
        <is>
          <t>SVN.GGR_NGDP.A</t>
        </is>
      </c>
      <c r="E2797" s="3" t="inlineStr">
        <is>
          <t>Slovenia, Republic of</t>
        </is>
      </c>
      <c r="F2797" s="3" t="inlineStr">
        <is>
          <t>Revenue, General government, Percent of GDP</t>
        </is>
      </c>
      <c r="G2797" s="3" t="n">
        <v>44.038245</v>
      </c>
      <c r="H2797" s="3" t="n">
        <v>44.580563</v>
      </c>
      <c r="I2797" s="3" t="n">
        <v>45.31681</v>
      </c>
      <c r="J2797" s="3" t="n">
        <v>44.913955</v>
      </c>
      <c r="K2797" s="3" t="n">
        <v>44.933244</v>
      </c>
      <c r="L2797" s="3" t="n">
        <v>45.272921</v>
      </c>
      <c r="M2797" s="3" t="n">
        <v>44.447107</v>
      </c>
      <c r="N2797" s="3" t="n">
        <v>43.410101</v>
      </c>
      <c r="O2797" s="3" t="n">
        <v>43.738011</v>
      </c>
      <c r="P2797" s="3" t="n">
        <v>44.128015</v>
      </c>
      <c r="Q2797" s="3" t="n">
        <v>45.167527</v>
      </c>
      <c r="R2797" s="3" t="n">
        <v>44.725016</v>
      </c>
      <c r="S2797" s="3" t="n">
        <v>45.809771</v>
      </c>
      <c r="T2797" s="3" t="n">
        <v>46.498045</v>
      </c>
      <c r="U2797" s="3" t="n">
        <v>46.029476</v>
      </c>
      <c r="V2797" s="3" t="n">
        <v>46.657263</v>
      </c>
      <c r="W2797" s="3" t="n">
        <v>44.91018</v>
      </c>
      <c r="X2797" s="3" t="n">
        <v>44.664344</v>
      </c>
      <c r="Y2797" s="3" t="n">
        <v>44.954952</v>
      </c>
      <c r="Z2797" s="3" t="n">
        <v>44.463249</v>
      </c>
      <c r="AA2797" s="3" t="n">
        <v>44.120611</v>
      </c>
      <c r="AB2797" s="3" t="n">
        <v>45.273138</v>
      </c>
      <c r="AC2797" s="3" t="n">
        <v>44.657851</v>
      </c>
      <c r="AD2797" s="3" t="n">
        <v>43.965183</v>
      </c>
      <c r="AE2797" s="3" t="n">
        <v>45.532795</v>
      </c>
      <c r="AF2797" s="3" t="n">
        <v>46.11</v>
      </c>
      <c r="AG2797" s="3" t="n">
        <v>46.975</v>
      </c>
      <c r="AH2797" s="3" t="n">
        <v>46.775</v>
      </c>
      <c r="AI2797" s="3" t="n">
        <v>46.845</v>
      </c>
      <c r="AJ2797" s="3" t="n">
        <v>46.515</v>
      </c>
      <c r="AK2797" s="3" t="n">
        <v>46.515</v>
      </c>
      <c r="AL2797" s="3" t="n">
        <v>46.515</v>
      </c>
      <c r="AM2797" s="3" t="n"/>
      <c r="AN2797" s="3" t="n"/>
      <c r="AO2797" s="3" t="n"/>
      <c r="AP2797" s="3" t="n"/>
      <c r="AQ2797" s="3" t="n"/>
      <c r="AR2797" s="3" t="n"/>
      <c r="AS2797" s="3" t="n"/>
      <c r="AT2797" s="3" t="n"/>
      <c r="AU2797" s="3" t="n"/>
    </row>
    <row r="2798">
      <c r="A2798" s="3" t="n">
        <v>2031</v>
      </c>
      <c r="B2798" s="3" t="inlineStr">
        <is>
          <t>SVN</t>
        </is>
      </c>
      <c r="C2798" s="3" t="inlineStr">
        <is>
          <t>IMF.RES:WEO</t>
        </is>
      </c>
      <c r="D2798" s="3" t="inlineStr">
        <is>
          <t>SVN.GGX_NGDP.A</t>
        </is>
      </c>
      <c r="E2798" s="3" t="inlineStr">
        <is>
          <t>Slovenia, Republic of</t>
        </is>
      </c>
      <c r="F2798" s="3" t="inlineStr">
        <is>
          <t>Expenditure, General government, Percent of GDP</t>
        </is>
      </c>
      <c r="G2798" s="3" t="n">
        <v>47.81042</v>
      </c>
      <c r="H2798" s="3" t="n">
        <v>49.160362</v>
      </c>
      <c r="I2798" s="3" t="n">
        <v>47.790964</v>
      </c>
      <c r="J2798" s="3" t="n">
        <v>47.577858</v>
      </c>
      <c r="K2798" s="3" t="n">
        <v>46.914215</v>
      </c>
      <c r="L2798" s="3" t="n">
        <v>46.651537</v>
      </c>
      <c r="M2798" s="3" t="n">
        <v>45.705156</v>
      </c>
      <c r="N2798" s="3" t="n">
        <v>43.487383</v>
      </c>
      <c r="O2798" s="3" t="n">
        <v>45.178581</v>
      </c>
      <c r="P2798" s="3" t="n">
        <v>49.99986</v>
      </c>
      <c r="Q2798" s="3" t="n">
        <v>50.723283</v>
      </c>
      <c r="R2798" s="3" t="n">
        <v>51.410876</v>
      </c>
      <c r="S2798" s="3" t="n">
        <v>50.006957</v>
      </c>
      <c r="T2798" s="3" t="n">
        <v>57.725165</v>
      </c>
      <c r="U2798" s="3" t="n">
        <v>50.555796</v>
      </c>
      <c r="V2798" s="3" t="n">
        <v>49.494595</v>
      </c>
      <c r="W2798" s="3" t="n">
        <v>46.90927</v>
      </c>
      <c r="X2798" s="3" t="n">
        <v>44.61062</v>
      </c>
      <c r="Y2798" s="3" t="n">
        <v>44.058607</v>
      </c>
      <c r="Z2798" s="3" t="n">
        <v>43.78255</v>
      </c>
      <c r="AA2798" s="3" t="n">
        <v>51.797333</v>
      </c>
      <c r="AB2798" s="3" t="n">
        <v>49.883726</v>
      </c>
      <c r="AC2798" s="3" t="n">
        <v>47.671831</v>
      </c>
      <c r="AD2798" s="3" t="n">
        <v>46.548478</v>
      </c>
      <c r="AE2798" s="3" t="n">
        <v>46.477054</v>
      </c>
      <c r="AF2798" s="3" t="n">
        <v>48.464067</v>
      </c>
      <c r="AG2798" s="3" t="n">
        <v>49.628716</v>
      </c>
      <c r="AH2798" s="3" t="n">
        <v>49.538307</v>
      </c>
      <c r="AI2798" s="3" t="n">
        <v>49.634213</v>
      </c>
      <c r="AJ2798" s="3" t="n">
        <v>49.39981</v>
      </c>
      <c r="AK2798" s="3" t="n">
        <v>49.442752</v>
      </c>
      <c r="AL2798" s="3" t="n">
        <v>49.45446</v>
      </c>
      <c r="AM2798" s="3" t="n"/>
      <c r="AN2798" s="3" t="n"/>
      <c r="AO2798" s="3" t="n"/>
      <c r="AP2798" s="3" t="n"/>
      <c r="AQ2798" s="3" t="n"/>
      <c r="AR2798" s="3" t="n"/>
      <c r="AS2798" s="3" t="n"/>
      <c r="AT2798" s="3" t="n"/>
      <c r="AU2798" s="3" t="n"/>
    </row>
    <row r="2799">
      <c r="A2799" s="3" t="n">
        <v>2027</v>
      </c>
      <c r="B2799" s="3" t="inlineStr">
        <is>
          <t>SVN</t>
        </is>
      </c>
      <c r="C2799" s="3" t="inlineStr">
        <is>
          <t>IMF.RES:WEO</t>
        </is>
      </c>
      <c r="D2799" s="3" t="inlineStr">
        <is>
          <t>SVN.LE.A</t>
        </is>
      </c>
      <c r="E2799" s="3" t="inlineStr">
        <is>
          <t>Slovenia, Republic of</t>
        </is>
      </c>
      <c r="F2799" s="3" t="inlineStr">
        <is>
          <t>Employed persons, Persons for countries / Index for country groups</t>
        </is>
      </c>
      <c r="G2799" s="3" t="n">
        <v>0.914743</v>
      </c>
      <c r="H2799" s="3" t="n">
        <v>0.919973</v>
      </c>
      <c r="I2799" s="3" t="n">
        <v>0.93264</v>
      </c>
      <c r="J2799" s="3" t="n">
        <v>0.929248</v>
      </c>
      <c r="K2799" s="3" t="n">
        <v>0.934365</v>
      </c>
      <c r="L2799" s="3" t="n">
        <v>0.929843</v>
      </c>
      <c r="M2799" s="3" t="n">
        <v>0.944458</v>
      </c>
      <c r="N2799" s="3" t="n">
        <v>0.976108</v>
      </c>
      <c r="O2799" s="3" t="n">
        <v>1.000518</v>
      </c>
      <c r="P2799" s="3" t="n">
        <v>0.98412</v>
      </c>
      <c r="Q2799" s="3" t="n">
        <v>0.96341</v>
      </c>
      <c r="R2799" s="3" t="n">
        <v>0.94724</v>
      </c>
      <c r="S2799" s="3" t="n">
        <v>0.9385829999999999</v>
      </c>
      <c r="T2799" s="3" t="n">
        <v>0.92802</v>
      </c>
      <c r="U2799" s="3" t="n">
        <v>0.931893</v>
      </c>
      <c r="V2799" s="3" t="n">
        <v>0.944095</v>
      </c>
      <c r="W2799" s="3" t="n">
        <v>0.9615899999999999</v>
      </c>
      <c r="X2799" s="3" t="n">
        <v>0.98953</v>
      </c>
      <c r="Y2799" s="3" t="n">
        <v>1.020883</v>
      </c>
      <c r="Z2799" s="3" t="n">
        <v>1.045708</v>
      </c>
      <c r="AA2799" s="3" t="n">
        <v>1.03844</v>
      </c>
      <c r="AB2799" s="3" t="n">
        <v>1.051923</v>
      </c>
      <c r="AC2799" s="3" t="n">
        <v>1.08259</v>
      </c>
      <c r="AD2799" s="3" t="n">
        <v>1.098668</v>
      </c>
      <c r="AE2799" s="3" t="n">
        <v>1.10388</v>
      </c>
      <c r="AF2799" s="3" t="n">
        <v>1.099015</v>
      </c>
      <c r="AG2799" s="3" t="n">
        <v>1.103047</v>
      </c>
      <c r="AH2799" s="3" t="n">
        <v>1.104304</v>
      </c>
      <c r="AI2799" s="3" t="n"/>
      <c r="AJ2799" s="3" t="n"/>
      <c r="AK2799" s="3" t="n"/>
      <c r="AL2799" s="3" t="n"/>
      <c r="AM2799" s="3" t="n"/>
      <c r="AN2799" s="3" t="n"/>
      <c r="AO2799" s="3" t="n"/>
      <c r="AP2799" s="3" t="n"/>
      <c r="AQ2799" s="3" t="n"/>
      <c r="AR2799" s="3" t="n"/>
      <c r="AS2799" s="3" t="n"/>
      <c r="AT2799" s="3" t="n"/>
      <c r="AU2799" s="3" t="n"/>
    </row>
    <row r="2800">
      <c r="A2800" s="3" t="n">
        <v>2031</v>
      </c>
      <c r="B2800" s="3" t="inlineStr">
        <is>
          <t>SVN</t>
        </is>
      </c>
      <c r="C2800" s="3" t="inlineStr">
        <is>
          <t>IMF.RES:WEO</t>
        </is>
      </c>
      <c r="D2800" s="3" t="inlineStr">
        <is>
          <t>SVN.LP.A</t>
        </is>
      </c>
      <c r="E2800" s="3" t="inlineStr">
        <is>
          <t>Slovenia, Republic of</t>
        </is>
      </c>
      <c r="F2800" s="3" t="inlineStr">
        <is>
          <t>Population, Persons for countries / Index for country groups</t>
        </is>
      </c>
      <c r="G2800" s="3" t="n">
        <v>1.987755</v>
      </c>
      <c r="H2800" s="3" t="n">
        <v>1.990094</v>
      </c>
      <c r="I2800" s="3" t="n">
        <v>1.994026</v>
      </c>
      <c r="J2800" s="3" t="n">
        <v>1.995033</v>
      </c>
      <c r="K2800" s="3" t="n">
        <v>1.996433</v>
      </c>
      <c r="L2800" s="3" t="n">
        <v>1.99759</v>
      </c>
      <c r="M2800" s="3" t="n">
        <v>2.003358</v>
      </c>
      <c r="N2800" s="3" t="n">
        <v>2.010377</v>
      </c>
      <c r="O2800" s="3" t="n">
        <v>2.010269</v>
      </c>
      <c r="P2800" s="3" t="n">
        <v>2.032362</v>
      </c>
      <c r="Q2800" s="3" t="n">
        <v>2.046976</v>
      </c>
      <c r="R2800" s="3" t="n">
        <v>2.050189</v>
      </c>
      <c r="S2800" s="3" t="n">
        <v>2.055496</v>
      </c>
      <c r="T2800" s="3" t="n">
        <v>2.058821</v>
      </c>
      <c r="U2800" s="3" t="n">
        <v>2.061085</v>
      </c>
      <c r="V2800" s="3" t="n">
        <v>2.062874</v>
      </c>
      <c r="W2800" s="3" t="n">
        <v>2.064188</v>
      </c>
      <c r="X2800" s="3" t="n">
        <v>2.065895</v>
      </c>
      <c r="Y2800" s="3" t="n">
        <v>2.06688</v>
      </c>
      <c r="Z2800" s="3" t="n">
        <v>2.080908</v>
      </c>
      <c r="AA2800" s="3" t="n">
        <v>2.095861</v>
      </c>
      <c r="AB2800" s="3" t="n">
        <v>2.108977</v>
      </c>
      <c r="AC2800" s="3" t="n">
        <v>2.10718</v>
      </c>
      <c r="AD2800" s="3" t="n">
        <v>2.116972</v>
      </c>
      <c r="AE2800" s="3" t="n">
        <v>2.123949</v>
      </c>
      <c r="AF2800" s="3" t="n">
        <v>2.13085</v>
      </c>
      <c r="AG2800" s="3" t="n">
        <v>2.134675</v>
      </c>
      <c r="AH2800" s="3" t="n">
        <v>2.13737</v>
      </c>
      <c r="AI2800" s="3" t="n">
        <v>2.138928</v>
      </c>
      <c r="AJ2800" s="3" t="n">
        <v>2.139509</v>
      </c>
      <c r="AK2800" s="3" t="n">
        <v>2.139988</v>
      </c>
      <c r="AL2800" s="3" t="n">
        <v>2.140376</v>
      </c>
      <c r="AM2800" s="3" t="n"/>
      <c r="AN2800" s="3" t="n"/>
      <c r="AO2800" s="3" t="n"/>
      <c r="AP2800" s="3" t="n"/>
      <c r="AQ2800" s="3" t="n"/>
      <c r="AR2800" s="3" t="n"/>
      <c r="AS2800" s="3" t="n"/>
      <c r="AT2800" s="3" t="n"/>
      <c r="AU2800" s="3" t="n"/>
    </row>
    <row r="2801">
      <c r="A2801" s="3" t="n">
        <v>2031</v>
      </c>
      <c r="B2801" s="3" t="inlineStr">
        <is>
          <t>SVN</t>
        </is>
      </c>
      <c r="C2801" s="3" t="inlineStr">
        <is>
          <t>IMF.RES:WEO</t>
        </is>
      </c>
      <c r="D2801" s="3" t="inlineStr">
        <is>
          <t>SVN.NGDP.A</t>
        </is>
      </c>
      <c r="E2801" s="3" t="inlineStr">
        <is>
          <t>Slovenia, Republic of</t>
        </is>
      </c>
      <c r="F2801" s="3" t="inlineStr">
        <is>
          <t>Gross domestic product (GDP), Current prices, Domestic currency</t>
        </is>
      </c>
      <c r="G2801" s="3" t="n">
        <v>18.7319</v>
      </c>
      <c r="H2801" s="3" t="n">
        <v>20.9376</v>
      </c>
      <c r="I2801" s="3" t="n">
        <v>23.2726</v>
      </c>
      <c r="J2801" s="3" t="n">
        <v>25.3763</v>
      </c>
      <c r="K2801" s="3" t="n">
        <v>27.4209</v>
      </c>
      <c r="L2801" s="3" t="n">
        <v>28.9058</v>
      </c>
      <c r="M2801" s="3" t="n">
        <v>31.2945</v>
      </c>
      <c r="N2801" s="3" t="n">
        <v>34.9368</v>
      </c>
      <c r="O2801" s="3" t="n">
        <v>37.742</v>
      </c>
      <c r="P2801" s="3" t="n">
        <v>35.8303</v>
      </c>
      <c r="Q2801" s="3" t="n">
        <v>36.0509</v>
      </c>
      <c r="R2801" s="3" t="n">
        <v>36.7821</v>
      </c>
      <c r="S2801" s="3" t="n">
        <v>35.9336</v>
      </c>
      <c r="T2801" s="3" t="n">
        <v>36.0413</v>
      </c>
      <c r="U2801" s="3" t="n">
        <v>37.2709</v>
      </c>
      <c r="V2801" s="3" t="n">
        <v>38.4939</v>
      </c>
      <c r="W2801" s="3" t="n">
        <v>40.0132</v>
      </c>
      <c r="X2801" s="3" t="n">
        <v>42.6255</v>
      </c>
      <c r="Y2801" s="3" t="n">
        <v>45.4624</v>
      </c>
      <c r="Z2801" s="3" t="n">
        <v>48.1564</v>
      </c>
      <c r="AA2801" s="3" t="n">
        <v>46.7387</v>
      </c>
      <c r="AB2801" s="3" t="n">
        <v>52.0324</v>
      </c>
      <c r="AC2801" s="3" t="n">
        <v>56.8816</v>
      </c>
      <c r="AD2801" s="3" t="n">
        <v>64.05</v>
      </c>
      <c r="AE2801" s="3" t="n">
        <v>67.41800000000001</v>
      </c>
      <c r="AF2801" s="3" t="n">
        <v>70.4862</v>
      </c>
      <c r="AG2801" s="3" t="n">
        <v>73.55036</v>
      </c>
      <c r="AH2801" s="3" t="n">
        <v>76.65057899999999</v>
      </c>
      <c r="AI2801" s="3" t="n">
        <v>80.190904</v>
      </c>
      <c r="AJ2801" s="3" t="n">
        <v>83.744134</v>
      </c>
      <c r="AK2801" s="3" t="n">
        <v>87.390478</v>
      </c>
      <c r="AL2801" s="3" t="n">
        <v>91.137253</v>
      </c>
      <c r="AM2801" s="3" t="n"/>
      <c r="AN2801" s="3" t="n"/>
      <c r="AO2801" s="3" t="n"/>
      <c r="AP2801" s="3" t="n"/>
      <c r="AQ2801" s="3" t="n"/>
      <c r="AR2801" s="3" t="n"/>
      <c r="AS2801" s="3" t="n"/>
      <c r="AT2801" s="3" t="n"/>
      <c r="AU2801" s="3" t="n"/>
    </row>
    <row r="2802">
      <c r="A2802" s="3" t="n">
        <v>2031</v>
      </c>
      <c r="B2802" s="3" t="inlineStr">
        <is>
          <t>SVN</t>
        </is>
      </c>
      <c r="C2802" s="3" t="inlineStr">
        <is>
          <t>IMF.RES:WEO</t>
        </is>
      </c>
      <c r="D2802" s="3" t="inlineStr">
        <is>
          <t>SVN.NGDP_D.A</t>
        </is>
      </c>
      <c r="E2802" s="3" t="inlineStr">
        <is>
          <t>Slovenia, Republic of</t>
        </is>
      </c>
      <c r="F2802" s="3" t="inlineStr">
        <is>
          <t>Gross domestic product (GDP), Price deflator, Index</t>
        </is>
      </c>
      <c r="G2802" s="3" t="n">
        <v>67.764365</v>
      </c>
      <c r="H2802" s="3" t="n">
        <v>73.660399</v>
      </c>
      <c r="I2802" s="3" t="n">
        <v>79.272829</v>
      </c>
      <c r="J2802" s="3" t="n">
        <v>83.76260499999999</v>
      </c>
      <c r="K2802" s="3" t="n">
        <v>86.575547</v>
      </c>
      <c r="L2802" s="3" t="n">
        <v>87.87666900000001</v>
      </c>
      <c r="M2802" s="3" t="n">
        <v>89.830698</v>
      </c>
      <c r="N2802" s="3" t="n">
        <v>93.603363</v>
      </c>
      <c r="O2802" s="3" t="n">
        <v>97.820537</v>
      </c>
      <c r="P2802" s="3" t="n">
        <v>100.493629</v>
      </c>
      <c r="Q2802" s="3" t="n">
        <v>100.000277</v>
      </c>
      <c r="R2802" s="3" t="n">
        <v>101.364121</v>
      </c>
      <c r="S2802" s="3" t="n">
        <v>101.999478</v>
      </c>
      <c r="T2802" s="3" t="n">
        <v>103.155222</v>
      </c>
      <c r="U2802" s="3" t="n">
        <v>103.806808</v>
      </c>
      <c r="V2802" s="3" t="n">
        <v>104.706842</v>
      </c>
      <c r="W2802" s="3" t="n">
        <v>105.633978</v>
      </c>
      <c r="X2802" s="3" t="n">
        <v>106.994402</v>
      </c>
      <c r="Y2802" s="3" t="n">
        <v>109.327716</v>
      </c>
      <c r="Z2802" s="3" t="n">
        <v>111.884167</v>
      </c>
      <c r="AA2802" s="3" t="n">
        <v>113.215367</v>
      </c>
      <c r="AB2802" s="3" t="n">
        <v>116.253776</v>
      </c>
      <c r="AC2802" s="3" t="n">
        <v>123.78455</v>
      </c>
      <c r="AD2802" s="3" t="n">
        <v>136.149426</v>
      </c>
      <c r="AE2802" s="3" t="n">
        <v>140.869732</v>
      </c>
      <c r="AF2802" s="3" t="n">
        <v>145.735924</v>
      </c>
      <c r="AG2802" s="3" t="n">
        <v>149.089533</v>
      </c>
      <c r="AH2802" s="3" t="n">
        <v>152.178061</v>
      </c>
      <c r="AI2802" s="3" t="n">
        <v>155.779686</v>
      </c>
      <c r="AJ2802" s="3" t="n">
        <v>159.336168</v>
      </c>
      <c r="AK2802" s="3" t="n">
        <v>162.853967</v>
      </c>
      <c r="AL2802" s="3" t="n">
        <v>166.342958</v>
      </c>
      <c r="AM2802" s="3" t="n"/>
      <c r="AN2802" s="3" t="n"/>
      <c r="AO2802" s="3" t="n"/>
      <c r="AP2802" s="3" t="n"/>
      <c r="AQ2802" s="3" t="n"/>
      <c r="AR2802" s="3" t="n"/>
      <c r="AS2802" s="3" t="n"/>
      <c r="AT2802" s="3" t="n"/>
      <c r="AU2802" s="3" t="n"/>
    </row>
    <row r="2803">
      <c r="A2803" s="3" t="n">
        <v>2031</v>
      </c>
      <c r="B2803" s="3" t="inlineStr">
        <is>
          <t>SVN</t>
        </is>
      </c>
      <c r="C2803" s="3" t="inlineStr">
        <is>
          <t>IMF.RES:WEO</t>
        </is>
      </c>
      <c r="D2803" s="3" t="inlineStr">
        <is>
          <t>SVN.NGDP_R.A</t>
        </is>
      </c>
      <c r="E2803" s="3" t="inlineStr">
        <is>
          <t>Slovenia, Republic of</t>
        </is>
      </c>
      <c r="F2803" s="3" t="inlineStr">
        <is>
          <t>Gross domestic product (GDP), Constant prices, Domestic currency</t>
        </is>
      </c>
      <c r="G2803" s="3" t="n">
        <v>27.6427</v>
      </c>
      <c r="H2803" s="3" t="n">
        <v>28.4245</v>
      </c>
      <c r="I2803" s="3" t="n">
        <v>29.3576</v>
      </c>
      <c r="J2803" s="3" t="n">
        <v>30.2955</v>
      </c>
      <c r="K2803" s="3" t="n">
        <v>31.6728</v>
      </c>
      <c r="L2803" s="3" t="n">
        <v>32.8936</v>
      </c>
      <c r="M2803" s="3" t="n">
        <v>34.8372</v>
      </c>
      <c r="N2803" s="3" t="n">
        <v>37.3243</v>
      </c>
      <c r="O2803" s="3" t="n">
        <v>38.5829</v>
      </c>
      <c r="P2803" s="3" t="n">
        <v>35.6543</v>
      </c>
      <c r="Q2803" s="3" t="n">
        <v>36.0508</v>
      </c>
      <c r="R2803" s="3" t="n">
        <v>36.2871</v>
      </c>
      <c r="S2803" s="3" t="n">
        <v>35.2292</v>
      </c>
      <c r="T2803" s="3" t="n">
        <v>34.9389</v>
      </c>
      <c r="U2803" s="3" t="n">
        <v>35.9041</v>
      </c>
      <c r="V2803" s="3" t="n">
        <v>36.7635</v>
      </c>
      <c r="W2803" s="3" t="n">
        <v>37.8791</v>
      </c>
      <c r="X2803" s="3" t="n">
        <v>39.839</v>
      </c>
      <c r="Y2803" s="3" t="n">
        <v>41.5836</v>
      </c>
      <c r="Z2803" s="3" t="n">
        <v>43.0413</v>
      </c>
      <c r="AA2803" s="3" t="n">
        <v>41.283</v>
      </c>
      <c r="AB2803" s="3" t="n">
        <v>44.7576</v>
      </c>
      <c r="AC2803" s="3" t="n">
        <v>45.9521</v>
      </c>
      <c r="AD2803" s="3" t="n">
        <v>47.0439</v>
      </c>
      <c r="AE2803" s="3" t="n">
        <v>47.8584</v>
      </c>
      <c r="AF2803" s="3" t="n">
        <v>48.3657</v>
      </c>
      <c r="AG2803" s="3" t="n">
        <v>49.333014</v>
      </c>
      <c r="AH2803" s="3" t="n">
        <v>50.369007</v>
      </c>
      <c r="AI2803" s="3" t="n">
        <v>51.477125</v>
      </c>
      <c r="AJ2803" s="3" t="n">
        <v>52.558145</v>
      </c>
      <c r="AK2803" s="3" t="n">
        <v>53.661866</v>
      </c>
      <c r="AL2803" s="3" t="n">
        <v>54.788765</v>
      </c>
      <c r="AM2803" s="3" t="n"/>
      <c r="AN2803" s="3" t="n"/>
      <c r="AO2803" s="3" t="n"/>
      <c r="AP2803" s="3" t="n"/>
      <c r="AQ2803" s="3" t="n"/>
      <c r="AR2803" s="3" t="n"/>
      <c r="AS2803" s="3" t="n"/>
      <c r="AT2803" s="3" t="n"/>
      <c r="AU2803" s="3" t="n"/>
    </row>
    <row r="2804">
      <c r="A2804" s="3" t="n">
        <v>2031</v>
      </c>
      <c r="B2804" s="3" t="inlineStr">
        <is>
          <t>SVN</t>
        </is>
      </c>
      <c r="C2804" s="3" t="inlineStr">
        <is>
          <t>IMF.RES:WEO</t>
        </is>
      </c>
      <c r="D2804" s="3" t="inlineStr">
        <is>
          <t>SVN.NGDP_RPCH.A</t>
        </is>
      </c>
      <c r="E2804" s="3" t="inlineStr">
        <is>
          <t>Slovenia, Republic of</t>
        </is>
      </c>
      <c r="F2804" s="3" t="inlineStr">
        <is>
          <t>Gross domestic product (GDP), Constant prices, Percent change</t>
        </is>
      </c>
      <c r="G2804" s="3" t="n">
        <v>3.498538</v>
      </c>
      <c r="H2804" s="3" t="n">
        <v>2.828233</v>
      </c>
      <c r="I2804" s="3" t="n">
        <v>3.282731</v>
      </c>
      <c r="J2804" s="3" t="n">
        <v>3.194743</v>
      </c>
      <c r="K2804" s="3" t="n">
        <v>4.54622</v>
      </c>
      <c r="L2804" s="3" t="n">
        <v>3.854411</v>
      </c>
      <c r="M2804" s="3" t="n">
        <v>5.908748</v>
      </c>
      <c r="N2804" s="3" t="n">
        <v>7.139208</v>
      </c>
      <c r="O2804" s="3" t="n">
        <v>3.372066</v>
      </c>
      <c r="P2804" s="3" t="n">
        <v>-7.590409</v>
      </c>
      <c r="Q2804" s="3" t="n">
        <v>1.112068</v>
      </c>
      <c r="R2804" s="3" t="n">
        <v>0.655464</v>
      </c>
      <c r="S2804" s="3" t="n">
        <v>-2.915361</v>
      </c>
      <c r="T2804" s="3" t="n">
        <v>-0.824032</v>
      </c>
      <c r="U2804" s="3" t="n">
        <v>2.762537</v>
      </c>
      <c r="V2804" s="3" t="n">
        <v>2.393599</v>
      </c>
      <c r="W2804" s="3" t="n">
        <v>3.034532</v>
      </c>
      <c r="X2804" s="3" t="n">
        <v>5.174093</v>
      </c>
      <c r="Y2804" s="3" t="n">
        <v>4.379126</v>
      </c>
      <c r="Z2804" s="3" t="n">
        <v>3.505469</v>
      </c>
      <c r="AA2804" s="3" t="n">
        <v>-4.085146</v>
      </c>
      <c r="AB2804" s="3" t="n">
        <v>8.416539</v>
      </c>
      <c r="AC2804" s="3" t="n">
        <v>2.66882</v>
      </c>
      <c r="AD2804" s="3" t="n">
        <v>2.375952</v>
      </c>
      <c r="AE2804" s="3" t="n">
        <v>1.731362</v>
      </c>
      <c r="AF2804" s="3" t="n">
        <v>1.060002</v>
      </c>
      <c r="AG2804" s="3" t="n">
        <v>2</v>
      </c>
      <c r="AH2804" s="3" t="n">
        <v>2.1</v>
      </c>
      <c r="AI2804" s="3" t="n">
        <v>2.2</v>
      </c>
      <c r="AJ2804" s="3" t="n">
        <v>2.1</v>
      </c>
      <c r="AK2804" s="3" t="n">
        <v>2.1</v>
      </c>
      <c r="AL2804" s="3" t="n">
        <v>2.1</v>
      </c>
      <c r="AM2804" s="3" t="n"/>
      <c r="AN2804" s="3" t="n"/>
      <c r="AO2804" s="3" t="n"/>
      <c r="AP2804" s="3" t="n"/>
      <c r="AQ2804" s="3" t="n"/>
      <c r="AR2804" s="3" t="n"/>
      <c r="AS2804" s="3" t="n"/>
      <c r="AT2804" s="3" t="n"/>
      <c r="AU2804" s="3" t="n"/>
    </row>
    <row r="2805">
      <c r="A2805" s="3" t="n">
        <v>2031</v>
      </c>
      <c r="B2805" s="3" t="inlineStr">
        <is>
          <t>SVN</t>
        </is>
      </c>
      <c r="C2805" s="3" t="inlineStr">
        <is>
          <t>IMF.RES:WEO</t>
        </is>
      </c>
      <c r="D2805" s="3" t="inlineStr">
        <is>
          <t>SVN.NGDPD.A</t>
        </is>
      </c>
      <c r="E2805" s="3" t="inlineStr">
        <is>
          <t>Slovenia, Republic of</t>
        </is>
      </c>
      <c r="F2805" s="3" t="inlineStr">
        <is>
          <t>Gross domestic product (GDP), Current prices, US dollar</t>
        </is>
      </c>
      <c r="G2805" s="3" t="n">
        <v>20.262258</v>
      </c>
      <c r="H2805" s="3" t="n">
        <v>20.692961</v>
      </c>
      <c r="I2805" s="3" t="n">
        <v>23.263127</v>
      </c>
      <c r="J2805" s="3" t="n">
        <v>29.39881</v>
      </c>
      <c r="K2805" s="3" t="n">
        <v>34.189634</v>
      </c>
      <c r="L2805" s="3" t="n">
        <v>36.001691</v>
      </c>
      <c r="M2805" s="3" t="n">
        <v>39.293092</v>
      </c>
      <c r="N2805" s="3" t="n">
        <v>47.885761</v>
      </c>
      <c r="O2805" s="3" t="n">
        <v>55.503171</v>
      </c>
      <c r="P2805" s="3" t="n">
        <v>49.921208</v>
      </c>
      <c r="Q2805" s="3" t="n">
        <v>47.832314</v>
      </c>
      <c r="R2805" s="3" t="n">
        <v>51.190028</v>
      </c>
      <c r="S2805" s="3" t="n">
        <v>46.196317</v>
      </c>
      <c r="T2805" s="3" t="n">
        <v>47.867798</v>
      </c>
      <c r="U2805" s="3" t="n">
        <v>49.527181</v>
      </c>
      <c r="V2805" s="3" t="n">
        <v>42.713803</v>
      </c>
      <c r="W2805" s="3" t="n">
        <v>44.278514</v>
      </c>
      <c r="X2805" s="3" t="n">
        <v>48.136232</v>
      </c>
      <c r="Y2805" s="3" t="n">
        <v>53.713373</v>
      </c>
      <c r="Z2805" s="3" t="n">
        <v>53.915812</v>
      </c>
      <c r="AA2805" s="3" t="n">
        <v>53.34203</v>
      </c>
      <c r="AB2805" s="3" t="n">
        <v>61.581729</v>
      </c>
      <c r="AC2805" s="3" t="n">
        <v>59.946214</v>
      </c>
      <c r="AD2805" s="3" t="n">
        <v>69.27523100000001</v>
      </c>
      <c r="AE2805" s="3" t="n">
        <v>72.949955</v>
      </c>
      <c r="AF2805" s="3" t="n">
        <v>79.603061</v>
      </c>
      <c r="AG2805" s="3" t="n">
        <v>86.731971</v>
      </c>
      <c r="AH2805" s="3" t="n">
        <v>90.179739</v>
      </c>
      <c r="AI2805" s="3" t="n">
        <v>94.089888</v>
      </c>
      <c r="AJ2805" s="3" t="n">
        <v>98.206895</v>
      </c>
      <c r="AK2805" s="3" t="n">
        <v>102.466933</v>
      </c>
      <c r="AL2805" s="3" t="n">
        <v>106.842494</v>
      </c>
      <c r="AM2805" s="3" t="n"/>
      <c r="AN2805" s="3" t="n"/>
      <c r="AO2805" s="3" t="n"/>
      <c r="AP2805" s="3" t="n"/>
      <c r="AQ2805" s="3" t="n"/>
      <c r="AR2805" s="3" t="n"/>
      <c r="AS2805" s="3" t="n"/>
      <c r="AT2805" s="3" t="n"/>
      <c r="AU2805" s="3" t="n"/>
    </row>
    <row r="2806">
      <c r="A2806" s="3" t="n">
        <v>2031</v>
      </c>
      <c r="B2806" s="3" t="inlineStr">
        <is>
          <t>SVN</t>
        </is>
      </c>
      <c r="C2806" s="3" t="inlineStr">
        <is>
          <t>IMF.RES:WEO</t>
        </is>
      </c>
      <c r="D2806" s="3" t="inlineStr">
        <is>
          <t>SVN.NGDPPC.A</t>
        </is>
      </c>
      <c r="E2806" s="3" t="inlineStr">
        <is>
          <t>Slovenia, Republic of</t>
        </is>
      </c>
      <c r="F2806" s="3" t="inlineStr">
        <is>
          <t>Gross domestic product (GDP), Current prices, Per capita, Domestic currency</t>
        </is>
      </c>
      <c r="G2806" s="3" t="n">
        <v>9423.646274000001</v>
      </c>
      <c r="H2806" s="3" t="n">
        <v>10520.910068</v>
      </c>
      <c r="I2806" s="3" t="n">
        <v>11671.16176</v>
      </c>
      <c r="J2806" s="3" t="n">
        <v>12719.739473</v>
      </c>
      <c r="K2806" s="3" t="n">
        <v>13734.946277</v>
      </c>
      <c r="L2806" s="3" t="n">
        <v>14470.336756</v>
      </c>
      <c r="M2806" s="3" t="n">
        <v>15621.022304</v>
      </c>
      <c r="N2806" s="3" t="n">
        <v>17378.233038</v>
      </c>
      <c r="O2806" s="3" t="n">
        <v>18774.601807</v>
      </c>
      <c r="P2806" s="3" t="n">
        <v>17629.880897</v>
      </c>
      <c r="Q2806" s="3" t="n">
        <v>17611.784408</v>
      </c>
      <c r="R2806" s="3" t="n">
        <v>17940.833748</v>
      </c>
      <c r="S2806" s="3" t="n">
        <v>17481.717308</v>
      </c>
      <c r="T2806" s="3" t="n">
        <v>17505.795793</v>
      </c>
      <c r="U2806" s="3" t="n">
        <v>18083.145528</v>
      </c>
      <c r="V2806" s="3" t="n">
        <v>18660.325352</v>
      </c>
      <c r="W2806" s="3" t="n">
        <v>19384.47467</v>
      </c>
      <c r="X2806" s="3" t="n">
        <v>20632.946011</v>
      </c>
      <c r="Y2806" s="3" t="n">
        <v>21995.664964</v>
      </c>
      <c r="Z2806" s="3" t="n">
        <v>23142.013006</v>
      </c>
      <c r="AA2806" s="3" t="n">
        <v>22300.476988</v>
      </c>
      <c r="AB2806" s="3" t="n">
        <v>24671.866976</v>
      </c>
      <c r="AC2806" s="3" t="n">
        <v>26994.181797</v>
      </c>
      <c r="AD2806" s="3" t="n">
        <v>30255.478107</v>
      </c>
      <c r="AE2806" s="3" t="n">
        <v>31741.816776</v>
      </c>
      <c r="AF2806" s="3" t="n">
        <v>33078.912171</v>
      </c>
      <c r="AG2806" s="3" t="n">
        <v>34455.058709</v>
      </c>
      <c r="AH2806" s="3" t="n">
        <v>35862.109348</v>
      </c>
      <c r="AI2806" s="3" t="n">
        <v>37491.168998</v>
      </c>
      <c r="AJ2806" s="3" t="n">
        <v>39141.748161</v>
      </c>
      <c r="AK2806" s="3" t="n">
        <v>40836.906267</v>
      </c>
      <c r="AL2806" s="3" t="n">
        <v>42580.019154</v>
      </c>
      <c r="AM2806" s="3" t="n"/>
      <c r="AN2806" s="3" t="n"/>
      <c r="AO2806" s="3" t="n"/>
      <c r="AP2806" s="3" t="n"/>
      <c r="AQ2806" s="3" t="n"/>
      <c r="AR2806" s="3" t="n"/>
      <c r="AS2806" s="3" t="n"/>
      <c r="AT2806" s="3" t="n"/>
      <c r="AU2806" s="3" t="n"/>
    </row>
    <row r="2807">
      <c r="A2807" s="3" t="n">
        <v>2031</v>
      </c>
      <c r="B2807" s="3" t="inlineStr">
        <is>
          <t>SVN</t>
        </is>
      </c>
      <c r="C2807" s="3" t="inlineStr">
        <is>
          <t>IMF.RES:WEO</t>
        </is>
      </c>
      <c r="D2807" s="3" t="inlineStr">
        <is>
          <t>SVN.NGDPRPC.A</t>
        </is>
      </c>
      <c r="E2807" s="3" t="inlineStr">
        <is>
          <t>Slovenia, Republic of</t>
        </is>
      </c>
      <c r="F2807" s="3" t="inlineStr">
        <is>
          <t>Gross domestic product (GDP), Constant prices, Per capita, Domestic currency</t>
        </is>
      </c>
      <c r="G2807" s="3" t="n">
        <v>13906.4925</v>
      </c>
      <c r="H2807" s="3" t="n">
        <v>14282.993668</v>
      </c>
      <c r="I2807" s="3" t="n">
        <v>14722.776935</v>
      </c>
      <c r="J2807" s="3" t="n">
        <v>15185.463098</v>
      </c>
      <c r="K2807" s="3" t="n">
        <v>15864.694683</v>
      </c>
      <c r="L2807" s="3" t="n">
        <v>16466.642304</v>
      </c>
      <c r="M2807" s="3" t="n">
        <v>17389.403192</v>
      </c>
      <c r="N2807" s="3" t="n">
        <v>18565.821237</v>
      </c>
      <c r="O2807" s="3" t="n">
        <v>19192.904034</v>
      </c>
      <c r="P2807" s="3" t="n">
        <v>17543.282152</v>
      </c>
      <c r="Q2807" s="3" t="n">
        <v>17611.735555</v>
      </c>
      <c r="R2807" s="3" t="n">
        <v>17699.392593</v>
      </c>
      <c r="S2807" s="3" t="n">
        <v>17139.026298</v>
      </c>
      <c r="T2807" s="3" t="n">
        <v>16970.343706</v>
      </c>
      <c r="U2807" s="3" t="n">
        <v>17419.99966</v>
      </c>
      <c r="V2807" s="3" t="n">
        <v>17821.495642</v>
      </c>
      <c r="W2807" s="3" t="n">
        <v>18350.605662</v>
      </c>
      <c r="X2807" s="3" t="n">
        <v>19284.135931</v>
      </c>
      <c r="Y2807" s="3" t="n">
        <v>20119.019972</v>
      </c>
      <c r="Z2807" s="3" t="n">
        <v>20683.903373</v>
      </c>
      <c r="AA2807" s="3" t="n">
        <v>19697.394054</v>
      </c>
      <c r="AB2807" s="3" t="n">
        <v>21222.422056</v>
      </c>
      <c r="AC2807" s="3" t="n">
        <v>21807.39187</v>
      </c>
      <c r="AD2807" s="3" t="n">
        <v>22222.258962</v>
      </c>
      <c r="AE2807" s="3" t="n">
        <v>22532.74443</v>
      </c>
      <c r="AF2807" s="3" t="n">
        <v>22697.843584</v>
      </c>
      <c r="AG2807" s="3" t="n">
        <v>23110.313625</v>
      </c>
      <c r="AH2807" s="3" t="n">
        <v>23565.886604</v>
      </c>
      <c r="AI2807" s="3" t="n">
        <v>24066.789477</v>
      </c>
      <c r="AJ2807" s="3" t="n">
        <v>24565.513655</v>
      </c>
      <c r="AK2807" s="3" t="n">
        <v>25075.782387</v>
      </c>
      <c r="AL2807" s="3" t="n">
        <v>25597.728788</v>
      </c>
      <c r="AM2807" s="3" t="n"/>
      <c r="AN2807" s="3" t="n"/>
      <c r="AO2807" s="3" t="n"/>
      <c r="AP2807" s="3" t="n"/>
      <c r="AQ2807" s="3" t="n"/>
      <c r="AR2807" s="3" t="n"/>
      <c r="AS2807" s="3" t="n"/>
      <c r="AT2807" s="3" t="n"/>
      <c r="AU2807" s="3" t="n"/>
    </row>
    <row r="2808">
      <c r="A2808" s="3" t="n">
        <v>2031</v>
      </c>
      <c r="B2808" s="3" t="inlineStr">
        <is>
          <t>SVN</t>
        </is>
      </c>
      <c r="C2808" s="3" t="inlineStr">
        <is>
          <t>IMF.RES:WEO</t>
        </is>
      </c>
      <c r="D2808" s="3" t="inlineStr">
        <is>
          <t>SVN.PCPI.A</t>
        </is>
      </c>
      <c r="E2808" s="3" t="inlineStr">
        <is>
          <t>Slovenia, Republic of</t>
        </is>
      </c>
      <c r="F2808" s="3" t="inlineStr">
        <is>
          <t>All Items, Consumer price index (CPI), Period average</t>
        </is>
      </c>
      <c r="G2808" s="3" t="n">
        <v>47.3025</v>
      </c>
      <c r="H2808" s="3" t="n">
        <v>51.379167</v>
      </c>
      <c r="I2808" s="3" t="n">
        <v>55.229167</v>
      </c>
      <c r="J2808" s="3" t="n">
        <v>58.3475</v>
      </c>
      <c r="K2808" s="3" t="n">
        <v>60.484167</v>
      </c>
      <c r="L2808" s="3" t="n">
        <v>61.953333</v>
      </c>
      <c r="M2808" s="3" t="n">
        <v>63.531667</v>
      </c>
      <c r="N2808" s="3" t="n">
        <v>65.95</v>
      </c>
      <c r="O2808" s="3" t="n">
        <v>69.59</v>
      </c>
      <c r="P2808" s="3" t="n">
        <v>70.183333</v>
      </c>
      <c r="Q2808" s="3" t="n">
        <v>71.624167</v>
      </c>
      <c r="R2808" s="3" t="n">
        <v>73.1125</v>
      </c>
      <c r="S2808" s="3" t="n">
        <v>75.1675</v>
      </c>
      <c r="T2808" s="3" t="n">
        <v>76.61750000000001</v>
      </c>
      <c r="U2808" s="3" t="n">
        <v>76.89916700000001</v>
      </c>
      <c r="V2808" s="3" t="n">
        <v>76.311667</v>
      </c>
      <c r="W2808" s="3" t="n">
        <v>76.193333</v>
      </c>
      <c r="X2808" s="3" t="n">
        <v>77.380833</v>
      </c>
      <c r="Y2808" s="3" t="n">
        <v>78.876667</v>
      </c>
      <c r="Z2808" s="3" t="n">
        <v>80.21083299999999</v>
      </c>
      <c r="AA2808" s="3" t="n">
        <v>79.99083299999999</v>
      </c>
      <c r="AB2808" s="3" t="n">
        <v>81.629167</v>
      </c>
      <c r="AC2808" s="3" t="n">
        <v>89.238333</v>
      </c>
      <c r="AD2808" s="3" t="n">
        <v>95.67749999999999</v>
      </c>
      <c r="AE2808" s="3" t="n">
        <v>97.579167</v>
      </c>
      <c r="AF2808" s="3" t="n">
        <v>99.999167</v>
      </c>
      <c r="AG2808" s="3" t="n">
        <v>102.94272</v>
      </c>
      <c r="AH2808" s="3" t="n">
        <v>105.090307</v>
      </c>
      <c r="AI2808" s="3" t="n">
        <v>107.488214</v>
      </c>
      <c r="AJ2808" s="3" t="n">
        <v>109.741469</v>
      </c>
      <c r="AK2808" s="3" t="n">
        <v>112.041957</v>
      </c>
      <c r="AL2808" s="3" t="n">
        <v>114.390671</v>
      </c>
      <c r="AM2808" s="3" t="n"/>
      <c r="AN2808" s="3" t="n"/>
      <c r="AO2808" s="3" t="n"/>
      <c r="AP2808" s="3" t="n"/>
      <c r="AQ2808" s="3" t="n"/>
      <c r="AR2808" s="3" t="n"/>
      <c r="AS2808" s="3" t="n"/>
      <c r="AT2808" s="3" t="n"/>
      <c r="AU2808" s="3" t="n"/>
    </row>
    <row r="2809">
      <c r="A2809" s="3" t="n">
        <v>2031</v>
      </c>
      <c r="B2809" s="3" t="inlineStr">
        <is>
          <t>SVN</t>
        </is>
      </c>
      <c r="C2809" s="3" t="inlineStr">
        <is>
          <t>IMF.RES:WEO</t>
        </is>
      </c>
      <c r="D2809" s="3" t="inlineStr">
        <is>
          <t>SVN.PCPIPCH.A</t>
        </is>
      </c>
      <c r="E2809" s="3" t="inlineStr">
        <is>
          <t>Slovenia, Republic of</t>
        </is>
      </c>
      <c r="F2809" s="3" t="inlineStr">
        <is>
          <t>All Items, Consumer price index (CPI), Period average, percent change</t>
        </is>
      </c>
      <c r="G2809" s="3" t="n">
        <v>8.95637</v>
      </c>
      <c r="H2809" s="3" t="n">
        <v>8.61829</v>
      </c>
      <c r="I2809" s="3" t="n">
        <v>7.49331</v>
      </c>
      <c r="J2809" s="3" t="n">
        <v>5.646171</v>
      </c>
      <c r="K2809" s="3" t="n">
        <v>3.661968</v>
      </c>
      <c r="L2809" s="3" t="n">
        <v>2.42901</v>
      </c>
      <c r="M2809" s="3" t="n">
        <v>2.547616</v>
      </c>
      <c r="N2809" s="3" t="n">
        <v>3.806501</v>
      </c>
      <c r="O2809" s="3" t="n">
        <v>5.519333</v>
      </c>
      <c r="P2809" s="3" t="n">
        <v>0.852613</v>
      </c>
      <c r="Q2809" s="3" t="n">
        <v>2.052957</v>
      </c>
      <c r="R2809" s="3" t="n">
        <v>2.077976</v>
      </c>
      <c r="S2809" s="3" t="n">
        <v>2.810737</v>
      </c>
      <c r="T2809" s="3" t="n">
        <v>1.929025</v>
      </c>
      <c r="U2809" s="3" t="n">
        <v>0.367627</v>
      </c>
      <c r="V2809" s="3" t="n">
        <v>-0.763987</v>
      </c>
      <c r="W2809" s="3" t="n">
        <v>-0.155066</v>
      </c>
      <c r="X2809" s="3" t="n">
        <v>1.558535</v>
      </c>
      <c r="Y2809" s="3" t="n">
        <v>1.93308</v>
      </c>
      <c r="Z2809" s="3" t="n">
        <v>1.691459</v>
      </c>
      <c r="AA2809" s="3" t="n">
        <v>-0.274277</v>
      </c>
      <c r="AB2809" s="3" t="n">
        <v>2.048151</v>
      </c>
      <c r="AC2809" s="3" t="n">
        <v>9.321626999999999</v>
      </c>
      <c r="AD2809" s="3" t="n">
        <v>7.215696</v>
      </c>
      <c r="AE2809" s="3" t="n">
        <v>1.98758</v>
      </c>
      <c r="AF2809" s="3" t="n">
        <v>2.480038</v>
      </c>
      <c r="AG2809" s="3" t="n">
        <v>2.943578</v>
      </c>
      <c r="AH2809" s="3" t="n">
        <v>2.086196</v>
      </c>
      <c r="AI2809" s="3" t="n">
        <v>2.281759</v>
      </c>
      <c r="AJ2809" s="3" t="n">
        <v>2.09628</v>
      </c>
      <c r="AK2809" s="3" t="n">
        <v>2.09628</v>
      </c>
      <c r="AL2809" s="3" t="n">
        <v>2.09628</v>
      </c>
      <c r="AM2809" s="3" t="n"/>
      <c r="AN2809" s="3" t="n"/>
      <c r="AO2809" s="3" t="n"/>
      <c r="AP2809" s="3" t="n"/>
      <c r="AQ2809" s="3" t="n"/>
      <c r="AR2809" s="3" t="n"/>
      <c r="AS2809" s="3" t="n"/>
      <c r="AT2809" s="3" t="n"/>
      <c r="AU2809" s="3" t="n"/>
    </row>
    <row r="2810">
      <c r="A2810" s="3" t="n">
        <v>2031</v>
      </c>
      <c r="B2810" s="3" t="inlineStr">
        <is>
          <t>SVN</t>
        </is>
      </c>
      <c r="C2810" s="3" t="inlineStr">
        <is>
          <t>IMF.RES:WEO</t>
        </is>
      </c>
      <c r="D2810" s="3" t="inlineStr">
        <is>
          <t>SVN.PPPPC.A</t>
        </is>
      </c>
      <c r="E2810" s="3" t="inlineStr">
        <is>
          <t>Slovenia, Republic of</t>
        </is>
      </c>
      <c r="F2810" s="3" t="inlineStr">
        <is>
          <t>Gross domestic product (GDP), Per capita, purchasing power parity (PPP) international dollar, ICP benchmarks 2017-2021</t>
        </is>
      </c>
      <c r="G2810" s="3" t="n">
        <v>18978.303342</v>
      </c>
      <c r="H2810" s="3" t="n">
        <v>19931.006035</v>
      </c>
      <c r="I2810" s="3" t="n">
        <v>20863.967432</v>
      </c>
      <c r="J2810" s="3" t="n">
        <v>21944.494366</v>
      </c>
      <c r="K2810" s="3" t="n">
        <v>23542.505383</v>
      </c>
      <c r="L2810" s="3" t="n">
        <v>25202.030983</v>
      </c>
      <c r="M2810" s="3" t="n">
        <v>27435.061152</v>
      </c>
      <c r="N2810" s="3" t="n">
        <v>30084.656882</v>
      </c>
      <c r="O2810" s="3" t="n">
        <v>31699.931473</v>
      </c>
      <c r="P2810" s="3" t="n">
        <v>29154.038987</v>
      </c>
      <c r="Q2810" s="3" t="n">
        <v>29623.510613</v>
      </c>
      <c r="R2810" s="3" t="n">
        <v>30385.201289</v>
      </c>
      <c r="S2810" s="3" t="n">
        <v>29971.039775</v>
      </c>
      <c r="T2810" s="3" t="n">
        <v>30181.152359</v>
      </c>
      <c r="U2810" s="3" t="n">
        <v>31520.447526</v>
      </c>
      <c r="V2810" s="3" t="n">
        <v>32546.19917</v>
      </c>
      <c r="W2810" s="3" t="n">
        <v>33830.920681</v>
      </c>
      <c r="X2810" s="3" t="n">
        <v>36188.660497</v>
      </c>
      <c r="Y2810" s="3" t="n">
        <v>38751.25811</v>
      </c>
      <c r="Z2810" s="3" t="n">
        <v>42525.473471</v>
      </c>
      <c r="AA2810" s="3" t="n">
        <v>41897.915197</v>
      </c>
      <c r="AB2810" s="3" t="n">
        <v>46263.201939</v>
      </c>
      <c r="AC2810" s="3" t="n">
        <v>50919.516991</v>
      </c>
      <c r="AD2810" s="3" t="n">
        <v>53808.098878</v>
      </c>
      <c r="AE2810" s="3" t="n">
        <v>55914.369977</v>
      </c>
      <c r="AF2810" s="3" t="n">
        <v>57921.840925</v>
      </c>
      <c r="AG2810" s="3" t="n">
        <v>60663.937778</v>
      </c>
      <c r="AH2810" s="3" t="n">
        <v>63218.185021</v>
      </c>
      <c r="AI2810" s="3" t="n">
        <v>65621.62738400001</v>
      </c>
      <c r="AJ2810" s="3" t="n">
        <v>68172.47519899999</v>
      </c>
      <c r="AK2810" s="3" t="n">
        <v>70867.244918</v>
      </c>
      <c r="AL2810" s="3" t="n">
        <v>73648.32700999999</v>
      </c>
      <c r="AM2810" s="3" t="n"/>
      <c r="AN2810" s="3" t="n"/>
      <c r="AO2810" s="3" t="n"/>
      <c r="AP2810" s="3" t="n"/>
      <c r="AQ2810" s="3" t="n"/>
      <c r="AR2810" s="3" t="n"/>
      <c r="AS2810" s="3" t="n"/>
      <c r="AT2810" s="3" t="n"/>
      <c r="AU2810" s="3" t="n"/>
    </row>
    <row r="2811">
      <c r="A2811" s="3" t="n">
        <v>2006</v>
      </c>
      <c r="B2811" s="3" t="inlineStr">
        <is>
          <t>SVN</t>
        </is>
      </c>
      <c r="C2811" s="3" t="inlineStr">
        <is>
          <t>IMF.STA:ER</t>
        </is>
      </c>
      <c r="D2811" s="3" t="inlineStr">
        <is>
          <t>SVN.XDC_USD.PA_RT.A</t>
        </is>
      </c>
      <c r="E2811" s="3" t="inlineStr">
        <is>
          <t>Slovenia, Republic of</t>
        </is>
      </c>
      <c r="F2811" s="3" t="inlineStr">
        <is>
          <t>Domestic currency per US Dollar</t>
        </is>
      </c>
      <c r="G2811" s="3" t="n">
        <v>222.656085833333</v>
      </c>
      <c r="H2811" s="3" t="n">
        <v>242.748835</v>
      </c>
      <c r="I2811" s="3" t="n">
        <v>240.248215</v>
      </c>
      <c r="J2811" s="3" t="n">
        <v>207.113715696581</v>
      </c>
      <c r="K2811" s="3" t="n">
        <v>192.381124333333</v>
      </c>
      <c r="L2811" s="3" t="n">
        <v>192.705468</v>
      </c>
      <c r="M2811" s="3" t="n">
        <v>191.028257833333</v>
      </c>
      <c r="N2811" s="3" t="n"/>
      <c r="O2811" s="3" t="n"/>
      <c r="P2811" s="3" t="n"/>
      <c r="Q2811" s="3" t="n"/>
      <c r="R2811" s="3" t="n"/>
      <c r="S2811" s="3" t="n"/>
      <c r="T2811" s="3" t="n"/>
      <c r="U2811" s="3" t="n"/>
      <c r="V2811" s="3" t="n"/>
      <c r="W2811" s="3" t="n"/>
      <c r="X2811" s="3" t="n"/>
      <c r="Y2811" s="3" t="n"/>
      <c r="Z2811" s="3" t="n"/>
      <c r="AA2811" s="3" t="n"/>
      <c r="AB2811" s="3" t="n"/>
      <c r="AC2811" s="3" t="n"/>
      <c r="AD2811" s="3" t="n"/>
      <c r="AE2811" s="3" t="n"/>
      <c r="AF2811" s="3" t="n"/>
      <c r="AG2811" s="3" t="n"/>
      <c r="AH2811" s="3" t="n"/>
      <c r="AI2811" s="3" t="n"/>
      <c r="AJ2811" s="3" t="n"/>
      <c r="AK2811" s="3" t="n"/>
      <c r="AL2811" s="3" t="n"/>
      <c r="AM2811" s="3" t="n"/>
      <c r="AN2811" s="3" t="n"/>
      <c r="AO2811" s="3" t="n"/>
      <c r="AP2811" s="3" t="n"/>
      <c r="AQ2811" s="3" t="n"/>
      <c r="AR2811" s="3" t="n"/>
      <c r="AS2811" s="3" t="n"/>
      <c r="AT2811" s="3" t="n"/>
      <c r="AU2811" s="3" t="n"/>
    </row>
    <row r="2812">
      <c r="A2812" s="3" t="n">
        <v>2031</v>
      </c>
      <c r="B2812" s="3" t="inlineStr">
        <is>
          <t>SWE</t>
        </is>
      </c>
      <c r="C2812" s="3" t="inlineStr">
        <is>
          <t>IMF.RES:WEO</t>
        </is>
      </c>
      <c r="D2812" s="3" t="inlineStr">
        <is>
          <t>SWE.BCA.A</t>
        </is>
      </c>
      <c r="E2812" s="3" t="inlineStr">
        <is>
          <t>Sweden</t>
        </is>
      </c>
      <c r="F2812" s="3" t="inlineStr">
        <is>
          <t>Current account balance (credit less debit), US dollar</t>
        </is>
      </c>
      <c r="G2812" s="3" t="n">
        <v>10.030294</v>
      </c>
      <c r="H2812" s="3" t="n">
        <v>11.152918</v>
      </c>
      <c r="I2812" s="3" t="n">
        <v>11.63588</v>
      </c>
      <c r="J2812" s="3" t="n">
        <v>19.378445</v>
      </c>
      <c r="K2812" s="3" t="n">
        <v>22.819783</v>
      </c>
      <c r="L2812" s="3" t="n">
        <v>23.310309</v>
      </c>
      <c r="M2812" s="3" t="n">
        <v>34.140891</v>
      </c>
      <c r="N2812" s="3" t="n">
        <v>39.548616</v>
      </c>
      <c r="O2812" s="3" t="n">
        <v>39.902298</v>
      </c>
      <c r="P2812" s="3" t="n">
        <v>25.738784</v>
      </c>
      <c r="Q2812" s="3" t="n">
        <v>28.955852</v>
      </c>
      <c r="R2812" s="3" t="n">
        <v>31.184823</v>
      </c>
      <c r="S2812" s="3" t="n">
        <v>30.213952</v>
      </c>
      <c r="T2812" s="3" t="n">
        <v>27.464043</v>
      </c>
      <c r="U2812" s="3" t="n">
        <v>20.056014</v>
      </c>
      <c r="V2812" s="3" t="n">
        <v>13.645782</v>
      </c>
      <c r="W2812" s="3" t="n">
        <v>10.499893</v>
      </c>
      <c r="X2812" s="3" t="n">
        <v>11.62728</v>
      </c>
      <c r="Y2812" s="3" t="n">
        <v>11.607683</v>
      </c>
      <c r="Z2812" s="3" t="n">
        <v>27.689821</v>
      </c>
      <c r="AA2812" s="3" t="n">
        <v>30.813298</v>
      </c>
      <c r="AB2812" s="3" t="n">
        <v>39.293112</v>
      </c>
      <c r="AC2812" s="3" t="n">
        <v>22.918157</v>
      </c>
      <c r="AD2812" s="3" t="n">
        <v>36.022073</v>
      </c>
      <c r="AE2812" s="3" t="n">
        <v>41.523003</v>
      </c>
      <c r="AF2812" s="3" t="n">
        <v>40.771001</v>
      </c>
      <c r="AG2812" s="3" t="n">
        <v>39.958159</v>
      </c>
      <c r="AH2812" s="3" t="n">
        <v>37.731004</v>
      </c>
      <c r="AI2812" s="3" t="n">
        <v>38.677969</v>
      </c>
      <c r="AJ2812" s="3" t="n">
        <v>40.610229</v>
      </c>
      <c r="AK2812" s="3" t="n">
        <v>43.14485</v>
      </c>
      <c r="AL2812" s="3" t="n">
        <v>45.844873</v>
      </c>
      <c r="AM2812" s="3" t="n"/>
      <c r="AN2812" s="3" t="n"/>
      <c r="AO2812" s="3" t="n"/>
      <c r="AP2812" s="3" t="n"/>
      <c r="AQ2812" s="3" t="n"/>
      <c r="AR2812" s="3" t="n"/>
      <c r="AS2812" s="3" t="n"/>
      <c r="AT2812" s="3" t="n"/>
      <c r="AU2812" s="3" t="n"/>
    </row>
    <row r="2813">
      <c r="A2813" s="3" t="n">
        <v>2031</v>
      </c>
      <c r="B2813" s="3" t="inlineStr">
        <is>
          <t>SWE</t>
        </is>
      </c>
      <c r="C2813" s="3" t="inlineStr">
        <is>
          <t>IMF.RES:WEO</t>
        </is>
      </c>
      <c r="D2813" s="3" t="inlineStr">
        <is>
          <t>SWE.BCA_NGDPD.A</t>
        </is>
      </c>
      <c r="E2813" s="3" t="inlineStr">
        <is>
          <t>Sweden</t>
        </is>
      </c>
      <c r="F2813" s="3" t="inlineStr">
        <is>
          <t>Current account balance (credit less debit), Percent of GDP</t>
        </is>
      </c>
      <c r="G2813" s="3" t="n">
        <v>3.815217</v>
      </c>
      <c r="H2813" s="3" t="n">
        <v>4.599199</v>
      </c>
      <c r="I2813" s="3" t="n">
        <v>4.351956</v>
      </c>
      <c r="J2813" s="3" t="n">
        <v>5.800674</v>
      </c>
      <c r="K2813" s="3" t="n">
        <v>5.934212</v>
      </c>
      <c r="L2813" s="3" t="n">
        <v>5.951228</v>
      </c>
      <c r="M2813" s="3" t="n">
        <v>8.080195</v>
      </c>
      <c r="N2813" s="3" t="n">
        <v>8.070323</v>
      </c>
      <c r="O2813" s="3" t="n">
        <v>7.753828</v>
      </c>
      <c r="P2813" s="3" t="n">
        <v>5.926354</v>
      </c>
      <c r="Q2813" s="3" t="n">
        <v>5.876367</v>
      </c>
      <c r="R2813" s="3" t="n">
        <v>5.465857</v>
      </c>
      <c r="S2813" s="3" t="n">
        <v>5.496047</v>
      </c>
      <c r="T2813" s="3" t="n">
        <v>4.701738</v>
      </c>
      <c r="U2813" s="3" t="n">
        <v>3.471534</v>
      </c>
      <c r="V2813" s="3" t="n">
        <v>2.720438</v>
      </c>
      <c r="W2813" s="3" t="n">
        <v>2.04653</v>
      </c>
      <c r="X2813" s="3" t="n">
        <v>2.172623</v>
      </c>
      <c r="Y2813" s="3" t="n">
        <v>2.111834</v>
      </c>
      <c r="Z2813" s="3" t="n">
        <v>5.215696</v>
      </c>
      <c r="AA2813" s="3" t="n">
        <v>5.661444</v>
      </c>
      <c r="AB2813" s="3" t="n">
        <v>6.220283</v>
      </c>
      <c r="AC2813" s="3" t="n">
        <v>3.985273</v>
      </c>
      <c r="AD2813" s="3" t="n">
        <v>6.221526</v>
      </c>
      <c r="AE2813" s="3" t="n">
        <v>6.865265</v>
      </c>
      <c r="AF2813" s="3" t="n">
        <v>6.094332</v>
      </c>
      <c r="AG2813" s="3" t="n">
        <v>5.254329</v>
      </c>
      <c r="AH2813" s="3" t="n">
        <v>4.748607</v>
      </c>
      <c r="AI2813" s="3" t="n">
        <v>4.636056</v>
      </c>
      <c r="AJ2813" s="3" t="n">
        <v>4.662921</v>
      </c>
      <c r="AK2813" s="3" t="n">
        <v>4.741774</v>
      </c>
      <c r="AL2813" s="3" t="n">
        <v>4.831946</v>
      </c>
      <c r="AM2813" s="3" t="n"/>
      <c r="AN2813" s="3" t="n"/>
      <c r="AO2813" s="3" t="n"/>
      <c r="AP2813" s="3" t="n"/>
      <c r="AQ2813" s="3" t="n"/>
      <c r="AR2813" s="3" t="n"/>
      <c r="AS2813" s="3" t="n"/>
      <c r="AT2813" s="3" t="n"/>
      <c r="AU2813" s="3" t="n"/>
    </row>
    <row r="2814">
      <c r="A2814" s="3" t="n">
        <v>2031</v>
      </c>
      <c r="B2814" s="3" t="inlineStr">
        <is>
          <t>SWE</t>
        </is>
      </c>
      <c r="C2814" s="3" t="inlineStr">
        <is>
          <t>IMF.RES:WEO</t>
        </is>
      </c>
      <c r="D2814" s="3" t="inlineStr">
        <is>
          <t>SWE.GGR_NGDP.A</t>
        </is>
      </c>
      <c r="E2814" s="3" t="inlineStr">
        <is>
          <t>Sweden</t>
        </is>
      </c>
      <c r="F2814" s="3" t="inlineStr">
        <is>
          <t>Revenue, General government, Percent of GDP</t>
        </is>
      </c>
      <c r="G2814" s="3" t="n">
        <v>55.348632</v>
      </c>
      <c r="H2814" s="3" t="n">
        <v>53.111326</v>
      </c>
      <c r="I2814" s="3" t="n">
        <v>51.224521</v>
      </c>
      <c r="J2814" s="3" t="n">
        <v>51.714956</v>
      </c>
      <c r="K2814" s="3" t="n">
        <v>51.842118</v>
      </c>
      <c r="L2814" s="3" t="n">
        <v>53.256931</v>
      </c>
      <c r="M2814" s="3" t="n">
        <v>52.327106</v>
      </c>
      <c r="N2814" s="3" t="n">
        <v>51.832006</v>
      </c>
      <c r="O2814" s="3" t="n">
        <v>51.260528</v>
      </c>
      <c r="P2814" s="3" t="n">
        <v>50.788401</v>
      </c>
      <c r="Q2814" s="3" t="n">
        <v>49.601043</v>
      </c>
      <c r="R2814" s="3" t="n">
        <v>48.692257</v>
      </c>
      <c r="S2814" s="3" t="n">
        <v>49.054355</v>
      </c>
      <c r="T2814" s="3" t="n">
        <v>49.733244</v>
      </c>
      <c r="U2814" s="3" t="n">
        <v>48.868901</v>
      </c>
      <c r="V2814" s="3" t="n">
        <v>49.086443</v>
      </c>
      <c r="W2814" s="3" t="n">
        <v>50.377447</v>
      </c>
      <c r="X2814" s="3" t="n">
        <v>50.536555</v>
      </c>
      <c r="Y2814" s="3" t="n">
        <v>50.44067</v>
      </c>
      <c r="Z2814" s="3" t="n">
        <v>49.226209</v>
      </c>
      <c r="AA2814" s="3" t="n">
        <v>48.846715</v>
      </c>
      <c r="AB2814" s="3" t="n">
        <v>49.168346</v>
      </c>
      <c r="AC2814" s="3" t="n">
        <v>49.317011</v>
      </c>
      <c r="AD2814" s="3" t="n">
        <v>48.276896</v>
      </c>
      <c r="AE2814" s="3" t="n">
        <v>47.8</v>
      </c>
      <c r="AF2814" s="3" t="n">
        <v>48</v>
      </c>
      <c r="AG2814" s="3" t="n">
        <v>47</v>
      </c>
      <c r="AH2814" s="3" t="n">
        <v>47</v>
      </c>
      <c r="AI2814" s="3" t="n">
        <v>47.8</v>
      </c>
      <c r="AJ2814" s="3" t="n">
        <v>47.8</v>
      </c>
      <c r="AK2814" s="3" t="n">
        <v>47.8</v>
      </c>
      <c r="AL2814" s="3" t="n">
        <v>47.8</v>
      </c>
      <c r="AM2814" s="3" t="n"/>
      <c r="AN2814" s="3" t="n"/>
      <c r="AO2814" s="3" t="n"/>
      <c r="AP2814" s="3" t="n"/>
      <c r="AQ2814" s="3" t="n"/>
      <c r="AR2814" s="3" t="n"/>
      <c r="AS2814" s="3" t="n"/>
      <c r="AT2814" s="3" t="n"/>
      <c r="AU2814" s="3" t="n"/>
    </row>
    <row r="2815">
      <c r="A2815" s="3" t="n">
        <v>2031</v>
      </c>
      <c r="B2815" s="3" t="inlineStr">
        <is>
          <t>SWE</t>
        </is>
      </c>
      <c r="C2815" s="3" t="inlineStr">
        <is>
          <t>IMF.RES:WEO</t>
        </is>
      </c>
      <c r="D2815" s="3" t="inlineStr">
        <is>
          <t>SWE.GGX_NGDP.A</t>
        </is>
      </c>
      <c r="E2815" s="3" t="inlineStr">
        <is>
          <t>Sweden</t>
        </is>
      </c>
      <c r="F2815" s="3" t="inlineStr">
        <is>
          <t>Expenditure, General government, Percent of GDP</t>
        </is>
      </c>
      <c r="G2815" s="3" t="n">
        <v>52.241035</v>
      </c>
      <c r="H2815" s="3" t="n">
        <v>51.737076</v>
      </c>
      <c r="I2815" s="3" t="n">
        <v>52.680525</v>
      </c>
      <c r="J2815" s="3" t="n">
        <v>52.960121</v>
      </c>
      <c r="K2815" s="3" t="n">
        <v>51.675946</v>
      </c>
      <c r="L2815" s="3" t="n">
        <v>51.174479</v>
      </c>
      <c r="M2815" s="3" t="n">
        <v>50.132077</v>
      </c>
      <c r="N2815" s="3" t="n">
        <v>48.464027</v>
      </c>
      <c r="O2815" s="3" t="n">
        <v>49.38761</v>
      </c>
      <c r="P2815" s="3" t="n">
        <v>51.677534</v>
      </c>
      <c r="Q2815" s="3" t="n">
        <v>49.744757</v>
      </c>
      <c r="R2815" s="3" t="n">
        <v>49.099753</v>
      </c>
      <c r="S2815" s="3" t="n">
        <v>50.245765</v>
      </c>
      <c r="T2815" s="3" t="n">
        <v>51.363241</v>
      </c>
      <c r="U2815" s="3" t="n">
        <v>50.709621</v>
      </c>
      <c r="V2815" s="3" t="n">
        <v>49.358038</v>
      </c>
      <c r="W2815" s="3" t="n">
        <v>49.515582</v>
      </c>
      <c r="X2815" s="3" t="n">
        <v>49.247166</v>
      </c>
      <c r="Y2815" s="3" t="n">
        <v>49.768106</v>
      </c>
      <c r="Z2815" s="3" t="n">
        <v>48.786012</v>
      </c>
      <c r="AA2815" s="3" t="n">
        <v>52.026859</v>
      </c>
      <c r="AB2815" s="3" t="n">
        <v>49.316895</v>
      </c>
      <c r="AC2815" s="3" t="n">
        <v>48.314228</v>
      </c>
      <c r="AD2815" s="3" t="n">
        <v>48.907171</v>
      </c>
      <c r="AE2815" s="3" t="n">
        <v>49.302554</v>
      </c>
      <c r="AF2815" s="3" t="n">
        <v>49.409062</v>
      </c>
      <c r="AG2815" s="3" t="n">
        <v>49.418053</v>
      </c>
      <c r="AH2815" s="3" t="n">
        <v>48.869833</v>
      </c>
      <c r="AI2815" s="3" t="n">
        <v>48.991026</v>
      </c>
      <c r="AJ2815" s="3" t="n">
        <v>48.347956</v>
      </c>
      <c r="AK2815" s="3" t="n">
        <v>48.347956</v>
      </c>
      <c r="AL2815" s="3" t="n">
        <v>48.347956</v>
      </c>
      <c r="AM2815" s="3" t="n"/>
      <c r="AN2815" s="3" t="n"/>
      <c r="AO2815" s="3" t="n"/>
      <c r="AP2815" s="3" t="n"/>
      <c r="AQ2815" s="3" t="n"/>
      <c r="AR2815" s="3" t="n"/>
      <c r="AS2815" s="3" t="n"/>
      <c r="AT2815" s="3" t="n"/>
      <c r="AU2815" s="3" t="n"/>
    </row>
    <row r="2816">
      <c r="A2816" s="3" t="n">
        <v>2027</v>
      </c>
      <c r="B2816" s="3" t="inlineStr">
        <is>
          <t>SWE</t>
        </is>
      </c>
      <c r="C2816" s="3" t="inlineStr">
        <is>
          <t>IMF.RES:WEO</t>
        </is>
      </c>
      <c r="D2816" s="3" t="inlineStr">
        <is>
          <t>SWE.LE.A</t>
        </is>
      </c>
      <c r="E2816" s="3" t="inlineStr">
        <is>
          <t>Sweden</t>
        </is>
      </c>
      <c r="F2816" s="3" t="inlineStr">
        <is>
          <t>Employed persons, Persons for countries / Index for country groups</t>
        </is>
      </c>
      <c r="G2816" s="3" t="n">
        <v>4.2384</v>
      </c>
      <c r="H2816" s="3" t="n">
        <v>4.3167</v>
      </c>
      <c r="I2816" s="3" t="n">
        <v>4.3307</v>
      </c>
      <c r="J2816" s="3" t="n">
        <v>4.3197</v>
      </c>
      <c r="K2816" s="3" t="n">
        <v>4.302</v>
      </c>
      <c r="L2816" s="3" t="n">
        <v>4.3169</v>
      </c>
      <c r="M2816" s="3" t="n">
        <v>4.3981</v>
      </c>
      <c r="N2816" s="3" t="n">
        <v>4.5086</v>
      </c>
      <c r="O2816" s="3" t="n">
        <v>4.5605</v>
      </c>
      <c r="P2816" s="3" t="n">
        <v>4.4643</v>
      </c>
      <c r="Q2816" s="3" t="n">
        <v>4.4899</v>
      </c>
      <c r="R2816" s="3" t="n">
        <v>4.5932</v>
      </c>
      <c r="S2816" s="3" t="n">
        <v>4.6264</v>
      </c>
      <c r="T2816" s="3" t="n">
        <v>4.6719</v>
      </c>
      <c r="U2816" s="3" t="n">
        <v>4.7403</v>
      </c>
      <c r="V2816" s="3" t="n">
        <v>4.8031</v>
      </c>
      <c r="W2816" s="3" t="n">
        <v>4.8744</v>
      </c>
      <c r="X2816" s="3" t="n">
        <v>4.9848</v>
      </c>
      <c r="Y2816" s="3" t="n">
        <v>5.0586</v>
      </c>
      <c r="Z2816" s="3" t="n">
        <v>5.0922</v>
      </c>
      <c r="AA2816" s="3" t="n">
        <v>5.0106</v>
      </c>
      <c r="AB2816" s="3" t="n">
        <v>5.0439</v>
      </c>
      <c r="AC2816" s="3" t="n">
        <v>5.199</v>
      </c>
      <c r="AD2816" s="3" t="n">
        <v>5.2701</v>
      </c>
      <c r="AE2816" s="3" t="n">
        <v>5.2413</v>
      </c>
      <c r="AF2816" s="3" t="n">
        <v>5.2585</v>
      </c>
      <c r="AG2816" s="3" t="n">
        <v>5.277867</v>
      </c>
      <c r="AH2816" s="3" t="n">
        <v>5.319051</v>
      </c>
      <c r="AI2816" s="3" t="n"/>
      <c r="AJ2816" s="3" t="n"/>
      <c r="AK2816" s="3" t="n"/>
      <c r="AL2816" s="3" t="n"/>
      <c r="AM2816" s="3" t="n"/>
      <c r="AN2816" s="3" t="n"/>
      <c r="AO2816" s="3" t="n"/>
      <c r="AP2816" s="3" t="n"/>
      <c r="AQ2816" s="3" t="n"/>
      <c r="AR2816" s="3" t="n"/>
      <c r="AS2816" s="3" t="n"/>
      <c r="AT2816" s="3" t="n"/>
      <c r="AU2816" s="3" t="n"/>
    </row>
    <row r="2817">
      <c r="A2817" s="3" t="n">
        <v>2031</v>
      </c>
      <c r="B2817" s="3" t="inlineStr">
        <is>
          <t>SWE</t>
        </is>
      </c>
      <c r="C2817" s="3" t="inlineStr">
        <is>
          <t>IMF.RES:WEO</t>
        </is>
      </c>
      <c r="D2817" s="3" t="inlineStr">
        <is>
          <t>SWE.LP.A</t>
        </is>
      </c>
      <c r="E2817" s="3" t="inlineStr">
        <is>
          <t>Sweden</t>
        </is>
      </c>
      <c r="F2817" s="3" t="inlineStr">
        <is>
          <t>Population, Persons for countries / Index for country groups</t>
        </is>
      </c>
      <c r="G2817" s="3" t="n">
        <v>8.882792</v>
      </c>
      <c r="H2817" s="3" t="n">
        <v>8.909128000000001</v>
      </c>
      <c r="I2817" s="3" t="n">
        <v>8.940788</v>
      </c>
      <c r="J2817" s="3" t="n">
        <v>8.975669999999999</v>
      </c>
      <c r="K2817" s="3" t="n">
        <v>9.011392000000001</v>
      </c>
      <c r="L2817" s="3" t="n">
        <v>9.047751999999999</v>
      </c>
      <c r="M2817" s="3" t="n">
        <v>9.113257000000001</v>
      </c>
      <c r="N2817" s="3" t="n">
        <v>9.182926999999999</v>
      </c>
      <c r="O2817" s="3" t="n">
        <v>9.256347</v>
      </c>
      <c r="P2817" s="3" t="n">
        <v>9.340681999999999</v>
      </c>
      <c r="Q2817" s="3" t="n">
        <v>9.415570000000001</v>
      </c>
      <c r="R2817" s="3" t="n">
        <v>9.482855000000001</v>
      </c>
      <c r="S2817" s="3" t="n">
        <v>9.555892999999999</v>
      </c>
      <c r="T2817" s="3" t="n">
        <v>9.644864</v>
      </c>
      <c r="U2817" s="3" t="n">
        <v>9.747355000000001</v>
      </c>
      <c r="V2817" s="3" t="n">
        <v>9.851017000000001</v>
      </c>
      <c r="W2817" s="3" t="n">
        <v>9.995153</v>
      </c>
      <c r="X2817" s="3" t="n">
        <v>10.120242</v>
      </c>
      <c r="Y2817" s="3" t="n">
        <v>10.230185</v>
      </c>
      <c r="Z2817" s="3" t="n">
        <v>10.327589</v>
      </c>
      <c r="AA2817" s="3" t="n">
        <v>10.379295</v>
      </c>
      <c r="AB2817" s="3" t="n">
        <v>10.452326</v>
      </c>
      <c r="AC2817" s="3" t="n">
        <v>10.521556</v>
      </c>
      <c r="AD2817" s="3" t="n">
        <v>10.551707</v>
      </c>
      <c r="AE2817" s="3" t="n">
        <v>10.58771</v>
      </c>
      <c r="AF2817" s="3" t="n">
        <v>10.676341</v>
      </c>
      <c r="AG2817" s="3" t="n">
        <v>10.760151</v>
      </c>
      <c r="AH2817" s="3" t="n">
        <v>10.838885</v>
      </c>
      <c r="AI2817" s="3" t="n">
        <v>10.913063</v>
      </c>
      <c r="AJ2817" s="3" t="n">
        <v>10.982982</v>
      </c>
      <c r="AK2817" s="3" t="n">
        <v>11.048881</v>
      </c>
      <c r="AL2817" s="3" t="n">
        <v>11.111325</v>
      </c>
      <c r="AM2817" s="3" t="n"/>
      <c r="AN2817" s="3" t="n"/>
      <c r="AO2817" s="3" t="n"/>
      <c r="AP2817" s="3" t="n"/>
      <c r="AQ2817" s="3" t="n"/>
      <c r="AR2817" s="3" t="n"/>
      <c r="AS2817" s="3" t="n"/>
      <c r="AT2817" s="3" t="n"/>
      <c r="AU2817" s="3" t="n"/>
    </row>
    <row r="2818">
      <c r="A2818" s="3" t="n">
        <v>2031</v>
      </c>
      <c r="B2818" s="3" t="inlineStr">
        <is>
          <t>SWE</t>
        </is>
      </c>
      <c r="C2818" s="3" t="inlineStr">
        <is>
          <t>IMF.RES:WEO</t>
        </is>
      </c>
      <c r="D2818" s="3" t="inlineStr">
        <is>
          <t>SWE.NGDP.A</t>
        </is>
      </c>
      <c r="E2818" s="3" t="inlineStr">
        <is>
          <t>Sweden</t>
        </is>
      </c>
      <c r="F2818" s="3" t="inlineStr">
        <is>
          <t>Gross domestic product (GDP), Current prices, Domestic currency</t>
        </is>
      </c>
      <c r="G2818" s="3" t="n">
        <v>2408.775</v>
      </c>
      <c r="H2818" s="3" t="n">
        <v>2504.784</v>
      </c>
      <c r="I2818" s="3" t="n">
        <v>2603.427</v>
      </c>
      <c r="J2818" s="3" t="n">
        <v>2701.41</v>
      </c>
      <c r="K2818" s="3" t="n">
        <v>2825.986</v>
      </c>
      <c r="L2818" s="3" t="n">
        <v>2927.127</v>
      </c>
      <c r="M2818" s="3" t="n">
        <v>3117.499</v>
      </c>
      <c r="N2818" s="3" t="n">
        <v>3312.135</v>
      </c>
      <c r="O2818" s="3" t="n">
        <v>3391.873</v>
      </c>
      <c r="P2818" s="3" t="n">
        <v>3324.135</v>
      </c>
      <c r="Q2818" s="3" t="n">
        <v>3551.514</v>
      </c>
      <c r="R2818" s="3" t="n">
        <v>3704.817</v>
      </c>
      <c r="S2818" s="3" t="n">
        <v>3724.495</v>
      </c>
      <c r="T2818" s="3" t="n">
        <v>3804.976</v>
      </c>
      <c r="U2818" s="3" t="n">
        <v>3963.666</v>
      </c>
      <c r="V2818" s="3" t="n">
        <v>4230.936</v>
      </c>
      <c r="W2818" s="3" t="n">
        <v>4392.801</v>
      </c>
      <c r="X2818" s="3" t="n">
        <v>4575.114</v>
      </c>
      <c r="Y2818" s="3" t="n">
        <v>4777.837</v>
      </c>
      <c r="Z2818" s="3" t="n">
        <v>5021.382</v>
      </c>
      <c r="AA2818" s="3" t="n">
        <v>5012.855</v>
      </c>
      <c r="AB2818" s="3" t="n">
        <v>5417.76</v>
      </c>
      <c r="AC2818" s="3" t="n">
        <v>5816.415</v>
      </c>
      <c r="AD2818" s="3" t="n">
        <v>6143.187</v>
      </c>
      <c r="AE2818" s="3" t="n">
        <v>6391.596</v>
      </c>
      <c r="AF2818" s="3" t="n">
        <v>6570.039</v>
      </c>
      <c r="AG2818" s="3" t="n">
        <v>6851.406061</v>
      </c>
      <c r="AH2818" s="3" t="n">
        <v>7129.212435</v>
      </c>
      <c r="AI2818" s="3" t="n">
        <v>7466.171787</v>
      </c>
      <c r="AJ2818" s="3" t="n">
        <v>7775.195319</v>
      </c>
      <c r="AK2818" s="3" t="n">
        <v>8104.333649</v>
      </c>
      <c r="AL2818" s="3" t="n">
        <v>8438.638166999999</v>
      </c>
      <c r="AM2818" s="3" t="n"/>
      <c r="AN2818" s="3" t="n"/>
      <c r="AO2818" s="3" t="n"/>
      <c r="AP2818" s="3" t="n"/>
      <c r="AQ2818" s="3" t="n"/>
      <c r="AR2818" s="3" t="n"/>
      <c r="AS2818" s="3" t="n"/>
      <c r="AT2818" s="3" t="n"/>
      <c r="AU2818" s="3" t="n"/>
    </row>
    <row r="2819">
      <c r="A2819" s="3" t="n">
        <v>2031</v>
      </c>
      <c r="B2819" s="3" t="inlineStr">
        <is>
          <t>SWE</t>
        </is>
      </c>
      <c r="C2819" s="3" t="inlineStr">
        <is>
          <t>IMF.RES:WEO</t>
        </is>
      </c>
      <c r="D2819" s="3" t="inlineStr">
        <is>
          <t>SWE.NGDP_D.A</t>
        </is>
      </c>
      <c r="E2819" s="3" t="inlineStr">
        <is>
          <t>Sweden</t>
        </is>
      </c>
      <c r="F2819" s="3" t="inlineStr">
        <is>
          <t>Gross domestic product (GDP), Price deflator, Index</t>
        </is>
      </c>
      <c r="G2819" s="3" t="n">
        <v>58.67582</v>
      </c>
      <c r="H2819" s="3" t="n">
        <v>60.195367</v>
      </c>
      <c r="I2819" s="3" t="n">
        <v>61.17263</v>
      </c>
      <c r="J2819" s="3" t="n">
        <v>62.302998</v>
      </c>
      <c r="K2819" s="3" t="n">
        <v>62.561303</v>
      </c>
      <c r="L2819" s="3" t="n">
        <v>63.039555</v>
      </c>
      <c r="M2819" s="3" t="n">
        <v>64.14021</v>
      </c>
      <c r="N2819" s="3" t="n">
        <v>66.015777</v>
      </c>
      <c r="O2819" s="3" t="n">
        <v>68.23497</v>
      </c>
      <c r="P2819" s="3" t="n">
        <v>69.844585</v>
      </c>
      <c r="Q2819" s="3" t="n">
        <v>70.56414700000001</v>
      </c>
      <c r="R2819" s="3" t="n">
        <v>71.352577</v>
      </c>
      <c r="S2819" s="3" t="n">
        <v>72.03005899999999</v>
      </c>
      <c r="T2819" s="3" t="n">
        <v>72.758786</v>
      </c>
      <c r="U2819" s="3" t="n">
        <v>74.09225600000001</v>
      </c>
      <c r="V2819" s="3" t="n">
        <v>75.763606</v>
      </c>
      <c r="W2819" s="3" t="n">
        <v>77.020674</v>
      </c>
      <c r="X2819" s="3" t="n">
        <v>78.734802</v>
      </c>
      <c r="Y2819" s="3" t="n">
        <v>80.79328599999999</v>
      </c>
      <c r="Z2819" s="3" t="n">
        <v>82.753237</v>
      </c>
      <c r="AA2819" s="3" t="n">
        <v>84.241764</v>
      </c>
      <c r="AB2819" s="3" t="n">
        <v>86.52459500000001</v>
      </c>
      <c r="AC2819" s="3" t="n">
        <v>91.739594</v>
      </c>
      <c r="AD2819" s="3" t="n">
        <v>97.091746</v>
      </c>
      <c r="AE2819" s="3" t="n">
        <v>100</v>
      </c>
      <c r="AF2819" s="3" t="n">
        <v>101.229695</v>
      </c>
      <c r="AG2819" s="3" t="n">
        <v>103.53272</v>
      </c>
      <c r="AH2819" s="3" t="n">
        <v>105.71537</v>
      </c>
      <c r="AI2819" s="3" t="n">
        <v>108.409987</v>
      </c>
      <c r="AJ2819" s="3" t="n">
        <v>110.832663</v>
      </c>
      <c r="AK2819" s="3" t="n">
        <v>113.444682</v>
      </c>
      <c r="AL2819" s="3" t="n">
        <v>116.087738</v>
      </c>
      <c r="AM2819" s="3" t="n"/>
      <c r="AN2819" s="3" t="n"/>
      <c r="AO2819" s="3" t="n"/>
      <c r="AP2819" s="3" t="n"/>
      <c r="AQ2819" s="3" t="n"/>
      <c r="AR2819" s="3" t="n"/>
      <c r="AS2819" s="3" t="n"/>
      <c r="AT2819" s="3" t="n"/>
      <c r="AU2819" s="3" t="n"/>
    </row>
    <row r="2820">
      <c r="A2820" s="3" t="n">
        <v>2031</v>
      </c>
      <c r="B2820" s="3" t="inlineStr">
        <is>
          <t>SWE</t>
        </is>
      </c>
      <c r="C2820" s="3" t="inlineStr">
        <is>
          <t>IMF.RES:WEO</t>
        </is>
      </c>
      <c r="D2820" s="3" t="inlineStr">
        <is>
          <t>SWE.NGDP_R.A</t>
        </is>
      </c>
      <c r="E2820" s="3" t="inlineStr">
        <is>
          <t>Sweden</t>
        </is>
      </c>
      <c r="F2820" s="3" t="inlineStr">
        <is>
          <t>Gross domestic product (GDP), Constant prices, Domestic currency</t>
        </is>
      </c>
      <c r="G2820" s="3" t="n">
        <v>4105.226</v>
      </c>
      <c r="H2820" s="3" t="n">
        <v>4161.091</v>
      </c>
      <c r="I2820" s="3" t="n">
        <v>4255.869</v>
      </c>
      <c r="J2820" s="3" t="n">
        <v>4335.923</v>
      </c>
      <c r="K2820" s="3" t="n">
        <v>4517.147</v>
      </c>
      <c r="L2820" s="3" t="n">
        <v>4643.318</v>
      </c>
      <c r="M2820" s="3" t="n">
        <v>4860.444</v>
      </c>
      <c r="N2820" s="3" t="n">
        <v>5017.187</v>
      </c>
      <c r="O2820" s="3" t="n">
        <v>4970.872</v>
      </c>
      <c r="P2820" s="3" t="n">
        <v>4759.331</v>
      </c>
      <c r="Q2820" s="3" t="n">
        <v>5033.029</v>
      </c>
      <c r="R2820" s="3" t="n">
        <v>5192.268</v>
      </c>
      <c r="S2820" s="3" t="n">
        <v>5170.751</v>
      </c>
      <c r="T2820" s="3" t="n">
        <v>5229.576</v>
      </c>
      <c r="U2820" s="3" t="n">
        <v>5349.636</v>
      </c>
      <c r="V2820" s="3" t="n">
        <v>5584.391</v>
      </c>
      <c r="W2820" s="3" t="n">
        <v>5703.405</v>
      </c>
      <c r="X2820" s="3" t="n">
        <v>5810.79</v>
      </c>
      <c r="Y2820" s="3" t="n">
        <v>5913.656</v>
      </c>
      <c r="Z2820" s="3" t="n">
        <v>6067.898</v>
      </c>
      <c r="AA2820" s="3" t="n">
        <v>5950.558</v>
      </c>
      <c r="AB2820" s="3" t="n">
        <v>6261.526</v>
      </c>
      <c r="AC2820" s="3" t="n">
        <v>6340.136</v>
      </c>
      <c r="AD2820" s="3" t="n">
        <v>6327.198</v>
      </c>
      <c r="AE2820" s="3" t="n">
        <v>6391.596</v>
      </c>
      <c r="AF2820" s="3" t="n">
        <v>6490.229</v>
      </c>
      <c r="AG2820" s="3" t="n">
        <v>6617.623917</v>
      </c>
      <c r="AH2820" s="3" t="n">
        <v>6743.780435</v>
      </c>
      <c r="AI2820" s="3" t="n">
        <v>6886.977813</v>
      </c>
      <c r="AJ2820" s="3" t="n">
        <v>7015.256235</v>
      </c>
      <c r="AK2820" s="3" t="n">
        <v>7143.863895</v>
      </c>
      <c r="AL2820" s="3" t="n">
        <v>7269.189962</v>
      </c>
      <c r="AM2820" s="3" t="n"/>
      <c r="AN2820" s="3" t="n"/>
      <c r="AO2820" s="3" t="n"/>
      <c r="AP2820" s="3" t="n"/>
      <c r="AQ2820" s="3" t="n"/>
      <c r="AR2820" s="3" t="n"/>
      <c r="AS2820" s="3" t="n"/>
      <c r="AT2820" s="3" t="n"/>
      <c r="AU2820" s="3" t="n"/>
    </row>
    <row r="2821">
      <c r="A2821" s="3" t="n">
        <v>2031</v>
      </c>
      <c r="B2821" s="3" t="inlineStr">
        <is>
          <t>SWE</t>
        </is>
      </c>
      <c r="C2821" s="3" t="inlineStr">
        <is>
          <t>IMF.RES:WEO</t>
        </is>
      </c>
      <c r="D2821" s="3" t="inlineStr">
        <is>
          <t>SWE.NGDP_RPCH.A</t>
        </is>
      </c>
      <c r="E2821" s="3" t="inlineStr">
        <is>
          <t>Sweden</t>
        </is>
      </c>
      <c r="F2821" s="3" t="inlineStr">
        <is>
          <t>Gross domestic product (GDP), Constant prices, Percent change</t>
        </is>
      </c>
      <c r="G2821" s="3" t="n">
        <v>4.631145</v>
      </c>
      <c r="H2821" s="3" t="n">
        <v>1.360826</v>
      </c>
      <c r="I2821" s="3" t="n">
        <v>2.27772</v>
      </c>
      <c r="J2821" s="3" t="n">
        <v>1.881026</v>
      </c>
      <c r="K2821" s="3" t="n">
        <v>4.179595</v>
      </c>
      <c r="L2821" s="3" t="n">
        <v>2.793157</v>
      </c>
      <c r="M2821" s="3" t="n">
        <v>4.676096</v>
      </c>
      <c r="N2821" s="3" t="n">
        <v>3.22487</v>
      </c>
      <c r="O2821" s="3" t="n">
        <v>-0.923127</v>
      </c>
      <c r="P2821" s="3" t="n">
        <v>-4.255611</v>
      </c>
      <c r="Q2821" s="3" t="n">
        <v>5.750766</v>
      </c>
      <c r="R2821" s="3" t="n">
        <v>3.16388</v>
      </c>
      <c r="S2821" s="3" t="n">
        <v>-0.414405</v>
      </c>
      <c r="T2821" s="3" t="n">
        <v>1.137649</v>
      </c>
      <c r="U2821" s="3" t="n">
        <v>2.295788</v>
      </c>
      <c r="V2821" s="3" t="n">
        <v>4.388242</v>
      </c>
      <c r="W2821" s="3" t="n">
        <v>2.13119</v>
      </c>
      <c r="X2821" s="3" t="n">
        <v>1.882823</v>
      </c>
      <c r="Y2821" s="3" t="n">
        <v>1.770258</v>
      </c>
      <c r="Z2821" s="3" t="n">
        <v>2.608234</v>
      </c>
      <c r="AA2821" s="3" t="n">
        <v>-1.933783</v>
      </c>
      <c r="AB2821" s="3" t="n">
        <v>5.225863</v>
      </c>
      <c r="AC2821" s="3" t="n">
        <v>1.255445</v>
      </c>
      <c r="AD2821" s="3" t="n">
        <v>-0.204065</v>
      </c>
      <c r="AE2821" s="3" t="n">
        <v>1.017797</v>
      </c>
      <c r="AF2821" s="3" t="n">
        <v>1.543167</v>
      </c>
      <c r="AG2821" s="3" t="n">
        <v>1.962872</v>
      </c>
      <c r="AH2821" s="3" t="n">
        <v>1.906372</v>
      </c>
      <c r="AI2821" s="3" t="n">
        <v>2.123399</v>
      </c>
      <c r="AJ2821" s="3" t="n">
        <v>1.862623</v>
      </c>
      <c r="AK2821" s="3" t="n">
        <v>1.833257</v>
      </c>
      <c r="AL2821" s="3" t="n">
        <v>1.754318</v>
      </c>
      <c r="AM2821" s="3" t="n"/>
      <c r="AN2821" s="3" t="n"/>
      <c r="AO2821" s="3" t="n"/>
      <c r="AP2821" s="3" t="n"/>
      <c r="AQ2821" s="3" t="n"/>
      <c r="AR2821" s="3" t="n"/>
      <c r="AS2821" s="3" t="n"/>
      <c r="AT2821" s="3" t="n"/>
      <c r="AU2821" s="3" t="n"/>
    </row>
    <row r="2822">
      <c r="A2822" s="3" t="n">
        <v>2031</v>
      </c>
      <c r="B2822" s="3" t="inlineStr">
        <is>
          <t>SWE</t>
        </is>
      </c>
      <c r="C2822" s="3" t="inlineStr">
        <is>
          <t>IMF.RES:WEO</t>
        </is>
      </c>
      <c r="D2822" s="3" t="inlineStr">
        <is>
          <t>SWE.NGDPD.A</t>
        </is>
      </c>
      <c r="E2822" s="3" t="inlineStr">
        <is>
          <t>Sweden</t>
        </is>
      </c>
      <c r="F2822" s="3" t="inlineStr">
        <is>
          <t>Gross domestic product (GDP), Current prices, US dollar</t>
        </is>
      </c>
      <c r="G2822" s="3" t="n">
        <v>262.902293</v>
      </c>
      <c r="H2822" s="3" t="n">
        <v>242.496956</v>
      </c>
      <c r="I2822" s="3" t="n">
        <v>267.371267</v>
      </c>
      <c r="J2822" s="3" t="n">
        <v>334.072271</v>
      </c>
      <c r="K2822" s="3" t="n">
        <v>384.54614</v>
      </c>
      <c r="L2822" s="3" t="n">
        <v>391.689067</v>
      </c>
      <c r="M2822" s="3" t="n">
        <v>422.525579</v>
      </c>
      <c r="N2822" s="3" t="n">
        <v>490.049965</v>
      </c>
      <c r="O2822" s="3" t="n">
        <v>514.614166</v>
      </c>
      <c r="P2822" s="3" t="n">
        <v>434.310627</v>
      </c>
      <c r="Q2822" s="3" t="n">
        <v>492.750897</v>
      </c>
      <c r="R2822" s="3" t="n">
        <v>570.538581</v>
      </c>
      <c r="S2822" s="3" t="n">
        <v>549.739675</v>
      </c>
      <c r="T2822" s="3" t="n">
        <v>584.125353</v>
      </c>
      <c r="U2822" s="3" t="n">
        <v>577.727767</v>
      </c>
      <c r="V2822" s="3" t="n">
        <v>501.602352</v>
      </c>
      <c r="W2822" s="3" t="n">
        <v>513.058313</v>
      </c>
      <c r="X2822" s="3" t="n">
        <v>535.172357</v>
      </c>
      <c r="Y2822" s="3" t="n">
        <v>549.649344</v>
      </c>
      <c r="Z2822" s="3" t="n">
        <v>530.894124</v>
      </c>
      <c r="AA2822" s="3" t="n">
        <v>544.265668</v>
      </c>
      <c r="AB2822" s="3" t="n">
        <v>631.6933309999999</v>
      </c>
      <c r="AC2822" s="3" t="n">
        <v>575.071238</v>
      </c>
      <c r="AD2822" s="3" t="n">
        <v>578.990915</v>
      </c>
      <c r="AE2822" s="3" t="n">
        <v>604.827393</v>
      </c>
      <c r="AF2822" s="3" t="n">
        <v>668.998664</v>
      </c>
      <c r="AG2822" s="3" t="n">
        <v>760.480743</v>
      </c>
      <c r="AH2822" s="3" t="n">
        <v>794.569885</v>
      </c>
      <c r="AI2822" s="3" t="n">
        <v>834.286008</v>
      </c>
      <c r="AJ2822" s="3" t="n">
        <v>870.918139</v>
      </c>
      <c r="AK2822" s="3" t="n">
        <v>909.8883939999999</v>
      </c>
      <c r="AL2822" s="3" t="n">
        <v>948.786971</v>
      </c>
      <c r="AM2822" s="3" t="n"/>
      <c r="AN2822" s="3" t="n"/>
      <c r="AO2822" s="3" t="n"/>
      <c r="AP2822" s="3" t="n"/>
      <c r="AQ2822" s="3" t="n"/>
      <c r="AR2822" s="3" t="n"/>
      <c r="AS2822" s="3" t="n"/>
      <c r="AT2822" s="3" t="n"/>
      <c r="AU2822" s="3" t="n"/>
    </row>
    <row r="2823">
      <c r="A2823" s="3" t="n">
        <v>2031</v>
      </c>
      <c r="B2823" s="3" t="inlineStr">
        <is>
          <t>SWE</t>
        </is>
      </c>
      <c r="C2823" s="3" t="inlineStr">
        <is>
          <t>IMF.RES:WEO</t>
        </is>
      </c>
      <c r="D2823" s="3" t="inlineStr">
        <is>
          <t>SWE.NGDPPC.A</t>
        </is>
      </c>
      <c r="E2823" s="3" t="inlineStr">
        <is>
          <t>Sweden</t>
        </is>
      </c>
      <c r="F2823" s="3" t="inlineStr">
        <is>
          <t>Gross domestic product (GDP), Current prices, Per capita, Domestic currency</t>
        </is>
      </c>
      <c r="G2823" s="3" t="n">
        <v>271173.185188</v>
      </c>
      <c r="H2823" s="3" t="n">
        <v>281148.053996</v>
      </c>
      <c r="I2823" s="3" t="n">
        <v>291185.407819</v>
      </c>
      <c r="J2823" s="3" t="n">
        <v>300970.289683</v>
      </c>
      <c r="K2823" s="3" t="n">
        <v>313601.494641</v>
      </c>
      <c r="L2823" s="3" t="n">
        <v>323519.809119</v>
      </c>
      <c r="M2823" s="3" t="n">
        <v>342083.955275</v>
      </c>
      <c r="N2823" s="3" t="n">
        <v>360684.017198</v>
      </c>
      <c r="O2823" s="3" t="n">
        <v>366437.5374</v>
      </c>
      <c r="P2823" s="3" t="n">
        <v>355877.119037</v>
      </c>
      <c r="Q2823" s="3" t="n">
        <v>377195.8575</v>
      </c>
      <c r="R2823" s="3" t="n">
        <v>390685.821939</v>
      </c>
      <c r="S2823" s="3" t="n">
        <v>389758.968628</v>
      </c>
      <c r="T2823" s="3" t="n">
        <v>394507.999283</v>
      </c>
      <c r="U2823" s="3" t="n">
        <v>406640.160331</v>
      </c>
      <c r="V2823" s="3" t="n">
        <v>429492.305211</v>
      </c>
      <c r="W2823" s="3" t="n">
        <v>439493.122316</v>
      </c>
      <c r="X2823" s="3" t="n">
        <v>452075.553134</v>
      </c>
      <c r="Y2823" s="3" t="n">
        <v>467033.294119</v>
      </c>
      <c r="Z2823" s="3" t="n">
        <v>486210.479522</v>
      </c>
      <c r="AA2823" s="3" t="n">
        <v>482966.810366</v>
      </c>
      <c r="AB2823" s="3" t="n">
        <v>518330.561064</v>
      </c>
      <c r="AC2823" s="3" t="n">
        <v>552809.394352</v>
      </c>
      <c r="AD2823" s="3" t="n">
        <v>582198.4063809999</v>
      </c>
      <c r="AE2823" s="3" t="n">
        <v>603680.682603</v>
      </c>
      <c r="AF2823" s="3" t="n">
        <v>615383.040836</v>
      </c>
      <c r="AG2823" s="3" t="n">
        <v>636738.83479</v>
      </c>
      <c r="AH2823" s="3" t="n">
        <v>657744.08152</v>
      </c>
      <c r="AI2823" s="3" t="n">
        <v>684149.945643</v>
      </c>
      <c r="AJ2823" s="3" t="n">
        <v>707931.194374</v>
      </c>
      <c r="AK2823" s="3" t="n">
        <v>733498.1304049999</v>
      </c>
      <c r="AL2823" s="3" t="n">
        <v>759462.831024</v>
      </c>
      <c r="AM2823" s="3" t="n"/>
      <c r="AN2823" s="3" t="n"/>
      <c r="AO2823" s="3" t="n"/>
      <c r="AP2823" s="3" t="n"/>
      <c r="AQ2823" s="3" t="n"/>
      <c r="AR2823" s="3" t="n"/>
      <c r="AS2823" s="3" t="n"/>
      <c r="AT2823" s="3" t="n"/>
      <c r="AU2823" s="3" t="n"/>
    </row>
    <row r="2824">
      <c r="A2824" s="3" t="n">
        <v>2031</v>
      </c>
      <c r="B2824" s="3" t="inlineStr">
        <is>
          <t>SWE</t>
        </is>
      </c>
      <c r="C2824" s="3" t="inlineStr">
        <is>
          <t>IMF.RES:WEO</t>
        </is>
      </c>
      <c r="D2824" s="3" t="inlineStr">
        <is>
          <t>SWE.NGDPRPC.A</t>
        </is>
      </c>
      <c r="E2824" s="3" t="inlineStr">
        <is>
          <t>Sweden</t>
        </is>
      </c>
      <c r="F2824" s="3" t="inlineStr">
        <is>
          <t>Gross domestic product (GDP), Constant prices, Per capita, Domestic currency</t>
        </is>
      </c>
      <c r="G2824" s="3" t="n">
        <v>462154.917058</v>
      </c>
      <c r="H2824" s="3" t="n">
        <v>467059.290202</v>
      </c>
      <c r="I2824" s="3" t="n">
        <v>476006.029894</v>
      </c>
      <c r="J2824" s="3" t="n">
        <v>483075.135338</v>
      </c>
      <c r="K2824" s="3" t="n">
        <v>501270.724878</v>
      </c>
      <c r="L2824" s="3" t="n">
        <v>513201.290221</v>
      </c>
      <c r="M2824" s="3" t="n">
        <v>533337.751805</v>
      </c>
      <c r="N2824" s="3" t="n">
        <v>546360.327159</v>
      </c>
      <c r="O2824" s="3" t="n">
        <v>537023.082648</v>
      </c>
      <c r="P2824" s="3" t="n">
        <v>509527.141594</v>
      </c>
      <c r="Q2824" s="3" t="n">
        <v>534543.208749</v>
      </c>
      <c r="R2824" s="3" t="n">
        <v>547542.696793</v>
      </c>
      <c r="S2824" s="3" t="n">
        <v>541105.996059</v>
      </c>
      <c r="T2824" s="3" t="n">
        <v>542213.555318</v>
      </c>
      <c r="U2824" s="3" t="n">
        <v>548829.502978</v>
      </c>
      <c r="V2824" s="3" t="n">
        <v>566884.718603</v>
      </c>
      <c r="W2824" s="3" t="n">
        <v>570617.078098</v>
      </c>
      <c r="X2824" s="3" t="n">
        <v>574175.004906</v>
      </c>
      <c r="Y2824" s="3" t="n">
        <v>578059.536558</v>
      </c>
      <c r="Z2824" s="3" t="n">
        <v>587542.552284</v>
      </c>
      <c r="AA2824" s="3" t="n">
        <v>573310.422336</v>
      </c>
      <c r="AB2824" s="3" t="n">
        <v>599055.750844</v>
      </c>
      <c r="AC2824" s="3" t="n">
        <v>602585.397065</v>
      </c>
      <c r="AD2824" s="3" t="n">
        <v>599637.385686</v>
      </c>
      <c r="AE2824" s="3" t="n">
        <v>603680.682603</v>
      </c>
      <c r="AF2824" s="3" t="n">
        <v>607907.6330809999</v>
      </c>
      <c r="AG2824" s="3" t="n">
        <v>615012.174791</v>
      </c>
      <c r="AH2824" s="3" t="n">
        <v>622183.966102</v>
      </c>
      <c r="AI2824" s="3" t="n">
        <v>631076.49159</v>
      </c>
      <c r="AJ2824" s="3" t="n">
        <v>638738.773992</v>
      </c>
      <c r="AK2824" s="3" t="n">
        <v>646568.988597</v>
      </c>
      <c r="AL2824" s="3" t="n">
        <v>654214.516424</v>
      </c>
      <c r="AM2824" s="3" t="n"/>
      <c r="AN2824" s="3" t="n"/>
      <c r="AO2824" s="3" t="n"/>
      <c r="AP2824" s="3" t="n"/>
      <c r="AQ2824" s="3" t="n"/>
      <c r="AR2824" s="3" t="n"/>
      <c r="AS2824" s="3" t="n"/>
      <c r="AT2824" s="3" t="n"/>
      <c r="AU2824" s="3" t="n"/>
    </row>
    <row r="2825">
      <c r="A2825" s="3" t="n">
        <v>2031</v>
      </c>
      <c r="B2825" s="3" t="inlineStr">
        <is>
          <t>SWE</t>
        </is>
      </c>
      <c r="C2825" s="3" t="inlineStr">
        <is>
          <t>IMF.RES:WEO</t>
        </is>
      </c>
      <c r="D2825" s="3" t="inlineStr">
        <is>
          <t>SWE.PCPI.A</t>
        </is>
      </c>
      <c r="E2825" s="3" t="inlineStr">
        <is>
          <t>Sweden</t>
        </is>
      </c>
      <c r="F2825" s="3" t="inlineStr">
        <is>
          <t>All Items, Consumer price index (CPI), Period average</t>
        </is>
      </c>
      <c r="G2825" s="3" t="n">
        <v>60.275651</v>
      </c>
      <c r="H2825" s="3" t="n">
        <v>61.889723</v>
      </c>
      <c r="I2825" s="3" t="n">
        <v>63.087153</v>
      </c>
      <c r="J2825" s="3" t="n">
        <v>64.55123500000001</v>
      </c>
      <c r="K2825" s="3" t="n">
        <v>65.212863</v>
      </c>
      <c r="L2825" s="3" t="n">
        <v>65.757831</v>
      </c>
      <c r="M2825" s="3" t="n">
        <v>66.741107</v>
      </c>
      <c r="N2825" s="3" t="n">
        <v>67.863541</v>
      </c>
      <c r="O2825" s="3" t="n">
        <v>70.133409</v>
      </c>
      <c r="P2825" s="3" t="n">
        <v>71.491663</v>
      </c>
      <c r="Q2825" s="3" t="n">
        <v>72.851584</v>
      </c>
      <c r="R2825" s="3" t="n">
        <v>73.844026</v>
      </c>
      <c r="S2825" s="3" t="n">
        <v>74.534819</v>
      </c>
      <c r="T2825" s="3" t="n">
        <v>74.867299</v>
      </c>
      <c r="U2825" s="3" t="n">
        <v>75.021457</v>
      </c>
      <c r="V2825" s="3" t="n">
        <v>75.55059300000001</v>
      </c>
      <c r="W2825" s="3" t="n">
        <v>76.40970900000001</v>
      </c>
      <c r="X2825" s="3" t="n">
        <v>77.83546</v>
      </c>
      <c r="Y2825" s="3" t="n">
        <v>79.420367</v>
      </c>
      <c r="Z2825" s="3" t="n">
        <v>80.78778699999999</v>
      </c>
      <c r="AA2825" s="3" t="n">
        <v>81.321923</v>
      </c>
      <c r="AB2825" s="3" t="n">
        <v>83.483463</v>
      </c>
      <c r="AC2825" s="3" t="n">
        <v>90.209738</v>
      </c>
      <c r="AD2825" s="3" t="n">
        <v>95.53776000000001</v>
      </c>
      <c r="AE2825" s="3" t="n">
        <v>97.45598200000001</v>
      </c>
      <c r="AF2825" s="3" t="n">
        <v>100</v>
      </c>
      <c r="AG2825" s="3" t="n">
        <v>101.4578</v>
      </c>
      <c r="AH2825" s="3" t="n">
        <v>103.317194</v>
      </c>
      <c r="AI2825" s="3" t="n">
        <v>106.03627</v>
      </c>
      <c r="AJ2825" s="3" t="n">
        <v>108.156995</v>
      </c>
      <c r="AK2825" s="3" t="n">
        <v>110.320135</v>
      </c>
      <c r="AL2825" s="3" t="n">
        <v>112.526538</v>
      </c>
      <c r="AM2825" s="3" t="n"/>
      <c r="AN2825" s="3" t="n"/>
      <c r="AO2825" s="3" t="n"/>
      <c r="AP2825" s="3" t="n"/>
      <c r="AQ2825" s="3" t="n"/>
      <c r="AR2825" s="3" t="n"/>
      <c r="AS2825" s="3" t="n"/>
      <c r="AT2825" s="3" t="n"/>
      <c r="AU2825" s="3" t="n"/>
    </row>
    <row r="2826">
      <c r="A2826" s="3" t="n">
        <v>2031</v>
      </c>
      <c r="B2826" s="3" t="inlineStr">
        <is>
          <t>SWE</t>
        </is>
      </c>
      <c r="C2826" s="3" t="inlineStr">
        <is>
          <t>IMF.RES:WEO</t>
        </is>
      </c>
      <c r="D2826" s="3" t="inlineStr">
        <is>
          <t>SWE.PCPIPCH.A</t>
        </is>
      </c>
      <c r="E2826" s="3" t="inlineStr">
        <is>
          <t>Sweden</t>
        </is>
      </c>
      <c r="F2826" s="3" t="inlineStr">
        <is>
          <t>All Items, Consumer price index (CPI), Period average, percent change</t>
        </is>
      </c>
      <c r="G2826" s="3" t="n">
        <v>1.299592</v>
      </c>
      <c r="H2826" s="3" t="n">
        <v>2.677818</v>
      </c>
      <c r="I2826" s="3" t="n">
        <v>1.93478</v>
      </c>
      <c r="J2826" s="3" t="n">
        <v>2.320728</v>
      </c>
      <c r="K2826" s="3" t="n">
        <v>1.024966</v>
      </c>
      <c r="L2826" s="3" t="n">
        <v>0.835676</v>
      </c>
      <c r="M2826" s="3" t="n">
        <v>1.495299</v>
      </c>
      <c r="N2826" s="3" t="n">
        <v>1.681774</v>
      </c>
      <c r="O2826" s="3" t="n">
        <v>3.344753</v>
      </c>
      <c r="P2826" s="3" t="n">
        <v>1.936672</v>
      </c>
      <c r="Q2826" s="3" t="n">
        <v>1.902209</v>
      </c>
      <c r="R2826" s="3" t="n">
        <v>1.362279</v>
      </c>
      <c r="S2826" s="3" t="n">
        <v>0.935476</v>
      </c>
      <c r="T2826" s="3" t="n">
        <v>0.446074</v>
      </c>
      <c r="U2826" s="3" t="n">
        <v>0.205908</v>
      </c>
      <c r="V2826" s="3" t="n">
        <v>0.705313</v>
      </c>
      <c r="W2826" s="3" t="n">
        <v>1.137141</v>
      </c>
      <c r="X2826" s="3" t="n">
        <v>1.865928</v>
      </c>
      <c r="Y2826" s="3" t="n">
        <v>2.036228</v>
      </c>
      <c r="Z2826" s="3" t="n">
        <v>1.72175</v>
      </c>
      <c r="AA2826" s="3" t="n">
        <v>0.6611590000000001</v>
      </c>
      <c r="AB2826" s="3" t="n">
        <v>2.658005</v>
      </c>
      <c r="AC2826" s="3" t="n">
        <v>8.057014000000001</v>
      </c>
      <c r="AD2826" s="3" t="n">
        <v>5.906261</v>
      </c>
      <c r="AE2826" s="3" t="n">
        <v>2.007815</v>
      </c>
      <c r="AF2826" s="3" t="n">
        <v>2.610428</v>
      </c>
      <c r="AG2826" s="3" t="n">
        <v>1.4578</v>
      </c>
      <c r="AH2826" s="3" t="n">
        <v>1.832678</v>
      </c>
      <c r="AI2826" s="3" t="n">
        <v>2.631775</v>
      </c>
      <c r="AJ2826" s="3" t="n">
        <v>2</v>
      </c>
      <c r="AK2826" s="3" t="n">
        <v>2</v>
      </c>
      <c r="AL2826" s="3" t="n">
        <v>2</v>
      </c>
      <c r="AM2826" s="3" t="n"/>
      <c r="AN2826" s="3" t="n"/>
      <c r="AO2826" s="3" t="n"/>
      <c r="AP2826" s="3" t="n"/>
      <c r="AQ2826" s="3" t="n"/>
      <c r="AR2826" s="3" t="n"/>
      <c r="AS2826" s="3" t="n"/>
      <c r="AT2826" s="3" t="n"/>
      <c r="AU2826" s="3" t="n"/>
    </row>
    <row r="2827">
      <c r="A2827" s="3" t="n">
        <v>2031</v>
      </c>
      <c r="B2827" s="3" t="inlineStr">
        <is>
          <t>SWE</t>
        </is>
      </c>
      <c r="C2827" s="3" t="inlineStr">
        <is>
          <t>IMF.RES:WEO</t>
        </is>
      </c>
      <c r="D2827" s="3" t="inlineStr">
        <is>
          <t>SWE.PPPPC.A</t>
        </is>
      </c>
      <c r="E2827" s="3" t="inlineStr">
        <is>
          <t>Sweden</t>
        </is>
      </c>
      <c r="F2827" s="3" t="inlineStr">
        <is>
          <t>Gross domestic product (GDP), Per capita, purchasing power parity (PPP) international dollar, ICP benchmarks 2017-2021</t>
        </is>
      </c>
      <c r="G2827" s="3" t="n">
        <v>29892.909664</v>
      </c>
      <c r="H2827" s="3" t="n">
        <v>30890.349754</v>
      </c>
      <c r="I2827" s="3" t="n">
        <v>31971.3115</v>
      </c>
      <c r="J2827" s="3" t="n">
        <v>33086.669672</v>
      </c>
      <c r="K2827" s="3" t="n">
        <v>35256.089118</v>
      </c>
      <c r="L2827" s="3" t="n">
        <v>37227.087722</v>
      </c>
      <c r="M2827" s="3" t="n">
        <v>39880.850811</v>
      </c>
      <c r="N2827" s="3" t="n">
        <v>41961.488764</v>
      </c>
      <c r="O2827" s="3" t="n">
        <v>42038.907237</v>
      </c>
      <c r="P2827" s="3" t="n">
        <v>40132.48376</v>
      </c>
      <c r="Q2827" s="3" t="n">
        <v>42614.560975</v>
      </c>
      <c r="R2827" s="3" t="n">
        <v>44551.525507</v>
      </c>
      <c r="S2827" s="3" t="n">
        <v>44847.562618</v>
      </c>
      <c r="T2827" s="3" t="n">
        <v>45704.22865</v>
      </c>
      <c r="U2827" s="3" t="n">
        <v>47067.650042</v>
      </c>
      <c r="V2827" s="3" t="n">
        <v>49067.249354</v>
      </c>
      <c r="W2827" s="3" t="n">
        <v>49859.625645</v>
      </c>
      <c r="X2827" s="3" t="n">
        <v>51069.010192</v>
      </c>
      <c r="Y2827" s="3" t="n">
        <v>52677.601486</v>
      </c>
      <c r="Z2827" s="3" t="n">
        <v>56641.383503</v>
      </c>
      <c r="AA2827" s="3" t="n">
        <v>57253.291535</v>
      </c>
      <c r="AB2827" s="3" t="n">
        <v>62361.737811</v>
      </c>
      <c r="AC2827" s="3" t="n">
        <v>67190.732773</v>
      </c>
      <c r="AD2827" s="3" t="n">
        <v>69335.934419</v>
      </c>
      <c r="AE2827" s="3" t="n">
        <v>71536.362091</v>
      </c>
      <c r="AF2827" s="3" t="n">
        <v>74080.78593699999</v>
      </c>
      <c r="AG2827" s="3" t="n">
        <v>77093.66607799999</v>
      </c>
      <c r="AH2827" s="3" t="n">
        <v>79705.314831</v>
      </c>
      <c r="AI2827" s="3" t="n">
        <v>82171.471993</v>
      </c>
      <c r="AJ2827" s="3" t="n">
        <v>84648.00371200001</v>
      </c>
      <c r="AK2827" s="3" t="n">
        <v>87260.19005</v>
      </c>
      <c r="AL2827" s="3" t="n">
        <v>89885.958938</v>
      </c>
      <c r="AM2827" s="3" t="n"/>
      <c r="AN2827" s="3" t="n"/>
      <c r="AO2827" s="3" t="n"/>
      <c r="AP2827" s="3" t="n"/>
      <c r="AQ2827" s="3" t="n"/>
      <c r="AR2827" s="3" t="n"/>
      <c r="AS2827" s="3" t="n"/>
      <c r="AT2827" s="3" t="n"/>
      <c r="AU2827" s="3" t="n"/>
    </row>
    <row r="2828">
      <c r="A2828" s="3" t="n">
        <v>2025</v>
      </c>
      <c r="B2828" s="3" t="inlineStr">
        <is>
          <t>SWE</t>
        </is>
      </c>
      <c r="C2828" s="3" t="inlineStr">
        <is>
          <t>IMF.STA:ER</t>
        </is>
      </c>
      <c r="D2828" s="3" t="inlineStr">
        <is>
          <t>SWE.XDC_USD.PA_RT.A</t>
        </is>
      </c>
      <c r="E2828" s="3" t="inlineStr">
        <is>
          <t>Sweden</t>
        </is>
      </c>
      <c r="F2828" s="3" t="inlineStr">
        <is>
          <t>Domestic currency per US Dollar</t>
        </is>
      </c>
      <c r="G2828" s="3" t="n">
        <v>9.16224416666666</v>
      </c>
      <c r="H2828" s="3" t="n">
        <v>10.3291358333333</v>
      </c>
      <c r="I2828" s="3" t="n">
        <v>9.737123333333329</v>
      </c>
      <c r="J2828" s="3" t="n">
        <v>8.086304166666659</v>
      </c>
      <c r="K2828" s="3" t="n">
        <v>7.34888666666666</v>
      </c>
      <c r="L2828" s="3" t="n">
        <v>7.47308833333333</v>
      </c>
      <c r="M2828" s="3" t="n">
        <v>7.37824916666666</v>
      </c>
      <c r="N2828" s="3" t="n">
        <v>6.75877</v>
      </c>
      <c r="O2828" s="3" t="n">
        <v>6.59109916666666</v>
      </c>
      <c r="P2828" s="3" t="n">
        <v>7.65381916666666</v>
      </c>
      <c r="Q2828" s="3" t="n">
        <v>7.20752416666666</v>
      </c>
      <c r="R2828" s="3" t="n">
        <v>6.49354333333333</v>
      </c>
      <c r="S2828" s="3" t="n">
        <v>6.77501583333333</v>
      </c>
      <c r="T2828" s="3" t="n">
        <v>6.51397166666666</v>
      </c>
      <c r="U2828" s="3" t="n">
        <v>6.860785</v>
      </c>
      <c r="V2828" s="3" t="n">
        <v>8.434840833333331</v>
      </c>
      <c r="W2828" s="3" t="n">
        <v>8.56199166666666</v>
      </c>
      <c r="X2828" s="3" t="n">
        <v>8.548860833333331</v>
      </c>
      <c r="Y2828" s="3" t="n">
        <v>8.69251833333333</v>
      </c>
      <c r="Z2828" s="3" t="n">
        <v>9.458349166666659</v>
      </c>
      <c r="AA2828" s="3" t="n">
        <v>9.21030902842085</v>
      </c>
      <c r="AB2828" s="3" t="n">
        <v>8.57656671607378</v>
      </c>
      <c r="AC2828" s="3" t="n">
        <v>10.1142512775639</v>
      </c>
      <c r="AD2828" s="3" t="n">
        <v>10.6101612965535</v>
      </c>
      <c r="AE2828" s="3" t="n">
        <v>10.5676364344775</v>
      </c>
      <c r="AF2828" s="3" t="n">
        <v>9.82070570950185</v>
      </c>
      <c r="AG2828" s="3" t="n"/>
      <c r="AH2828" s="3" t="n"/>
      <c r="AI2828" s="3" t="n"/>
      <c r="AJ2828" s="3" t="n"/>
      <c r="AK2828" s="3" t="n"/>
      <c r="AL2828" s="3" t="n"/>
      <c r="AM2828" s="3" t="n"/>
      <c r="AN2828" s="3" t="n"/>
      <c r="AO2828" s="3" t="n"/>
      <c r="AP2828" s="3" t="n"/>
      <c r="AQ2828" s="3" t="n"/>
      <c r="AR2828" s="3" t="n"/>
      <c r="AS2828" s="3" t="n"/>
      <c r="AT2828" s="3" t="n"/>
      <c r="AU2828" s="3" t="n"/>
    </row>
    <row r="2829">
      <c r="A2829" s="3" t="n">
        <v>2031</v>
      </c>
      <c r="B2829" s="3" t="inlineStr">
        <is>
          <t>SWZ</t>
        </is>
      </c>
      <c r="C2829" s="3" t="inlineStr">
        <is>
          <t>IMF.RES:WEO</t>
        </is>
      </c>
      <c r="D2829" s="3" t="inlineStr">
        <is>
          <t>SWZ.BCA.A</t>
        </is>
      </c>
      <c r="E2829" s="3" t="inlineStr">
        <is>
          <t>Eswatini, Kingdom of</t>
        </is>
      </c>
      <c r="F2829" s="3" t="inlineStr">
        <is>
          <t>Current account balance (credit less debit), US dollar</t>
        </is>
      </c>
      <c r="G2829" s="3" t="n">
        <v>-0.045895</v>
      </c>
      <c r="H2829" s="3" t="n">
        <v>0.009006999999999999</v>
      </c>
      <c r="I2829" s="3" t="n">
        <v>0.033283</v>
      </c>
      <c r="J2829" s="3" t="n">
        <v>0.08939999999999999</v>
      </c>
      <c r="K2829" s="3" t="n">
        <v>0.071406</v>
      </c>
      <c r="L2829" s="3" t="n">
        <v>-0.102604</v>
      </c>
      <c r="M2829" s="3" t="n">
        <v>-0.196752</v>
      </c>
      <c r="N2829" s="3" t="n">
        <v>-0.065458</v>
      </c>
      <c r="O2829" s="3" t="n">
        <v>-0.231499</v>
      </c>
      <c r="P2829" s="3" t="n">
        <v>-0.41611</v>
      </c>
      <c r="Q2829" s="3" t="n">
        <v>-0.388264</v>
      </c>
      <c r="R2829" s="3" t="n">
        <v>-0.281815</v>
      </c>
      <c r="S2829" s="3" t="n">
        <v>0.245582</v>
      </c>
      <c r="T2829" s="3" t="n">
        <v>0.498621</v>
      </c>
      <c r="U2829" s="3" t="n">
        <v>0.5120980000000001</v>
      </c>
      <c r="V2829" s="3" t="n">
        <v>0.526627</v>
      </c>
      <c r="W2829" s="3" t="n">
        <v>0.30038</v>
      </c>
      <c r="X2829" s="3" t="n">
        <v>0.275213</v>
      </c>
      <c r="Y2829" s="3" t="n">
        <v>0.06274399999999999</v>
      </c>
      <c r="Z2829" s="3" t="n">
        <v>0.174846</v>
      </c>
      <c r="AA2829" s="3" t="n">
        <v>0.281404</v>
      </c>
      <c r="AB2829" s="3" t="n">
        <v>0.127079</v>
      </c>
      <c r="AC2829" s="3" t="n">
        <v>-0.129385</v>
      </c>
      <c r="AD2829" s="3" t="n">
        <v>0.100225</v>
      </c>
      <c r="AE2829" s="3" t="n">
        <v>0.078306</v>
      </c>
      <c r="AF2829" s="3" t="n">
        <v>-0.029127</v>
      </c>
      <c r="AG2829" s="3" t="n">
        <v>-0.102966</v>
      </c>
      <c r="AH2829" s="3" t="n">
        <v>-0.0296</v>
      </c>
      <c r="AI2829" s="3" t="n">
        <v>-0.003539</v>
      </c>
      <c r="AJ2829" s="3" t="n">
        <v>0.026872</v>
      </c>
      <c r="AK2829" s="3" t="n">
        <v>0.042398</v>
      </c>
      <c r="AL2829" s="3" t="n">
        <v>0.06478399999999999</v>
      </c>
      <c r="AM2829" s="3" t="n"/>
      <c r="AN2829" s="3" t="n"/>
      <c r="AO2829" s="3" t="n"/>
      <c r="AP2829" s="3" t="n"/>
      <c r="AQ2829" s="3" t="n"/>
      <c r="AR2829" s="3" t="n"/>
      <c r="AS2829" s="3" t="n"/>
      <c r="AT2829" s="3" t="n"/>
      <c r="AU2829" s="3" t="n"/>
    </row>
    <row r="2830">
      <c r="A2830" s="3" t="n">
        <v>2031</v>
      </c>
      <c r="B2830" s="3" t="inlineStr">
        <is>
          <t>SWZ</t>
        </is>
      </c>
      <c r="C2830" s="3" t="inlineStr">
        <is>
          <t>IMF.RES:WEO</t>
        </is>
      </c>
      <c r="D2830" s="3" t="inlineStr">
        <is>
          <t>SWZ.BCA_NGDPD.A</t>
        </is>
      </c>
      <c r="E2830" s="3" t="inlineStr">
        <is>
          <t>Eswatini, Kingdom of</t>
        </is>
      </c>
      <c r="F2830" s="3" t="inlineStr">
        <is>
          <t>Current account balance (credit less debit), Percent of GDP</t>
        </is>
      </c>
      <c r="G2830" s="3" t="n">
        <v>-2.718056</v>
      </c>
      <c r="H2830" s="3" t="n">
        <v>0.601077</v>
      </c>
      <c r="I2830" s="3" t="n">
        <v>2.388192</v>
      </c>
      <c r="J2830" s="3" t="n">
        <v>4.190398</v>
      </c>
      <c r="K2830" s="3" t="n">
        <v>2.65133</v>
      </c>
      <c r="L2830" s="3" t="n">
        <v>-3.326861</v>
      </c>
      <c r="M2830" s="3" t="n">
        <v>-6.153577</v>
      </c>
      <c r="N2830" s="3" t="n">
        <v>-1.945951</v>
      </c>
      <c r="O2830" s="3" t="n">
        <v>-7.23073</v>
      </c>
      <c r="P2830" s="3" t="n">
        <v>-11.919422</v>
      </c>
      <c r="Q2830" s="3" t="n">
        <v>-9.011086000000001</v>
      </c>
      <c r="R2830" s="3" t="n">
        <v>-6.015244</v>
      </c>
      <c r="S2830" s="3" t="n">
        <v>5.176698</v>
      </c>
      <c r="T2830" s="3" t="n">
        <v>11.165961</v>
      </c>
      <c r="U2830" s="3" t="n">
        <v>11.941787</v>
      </c>
      <c r="V2830" s="3" t="n">
        <v>13.481324</v>
      </c>
      <c r="W2830" s="3" t="n">
        <v>8.071586999999999</v>
      </c>
      <c r="X2830" s="3" t="n">
        <v>6.16154</v>
      </c>
      <c r="Y2830" s="3" t="n">
        <v>1.351083</v>
      </c>
      <c r="Z2830" s="3" t="n">
        <v>3.786936</v>
      </c>
      <c r="AA2830" s="3" t="n">
        <v>6.803321</v>
      </c>
      <c r="AB2830" s="3" t="n">
        <v>2.643427</v>
      </c>
      <c r="AC2830" s="3" t="n">
        <v>-2.725855</v>
      </c>
      <c r="AD2830" s="3" t="n">
        <v>2.169028</v>
      </c>
      <c r="AE2830" s="3" t="n">
        <v>1.612854</v>
      </c>
      <c r="AF2830" s="3" t="n">
        <v>-0.563808</v>
      </c>
      <c r="AG2830" s="3" t="n">
        <v>-1.777662</v>
      </c>
      <c r="AH2830" s="3" t="n">
        <v>-0.496554</v>
      </c>
      <c r="AI2830" s="3" t="n">
        <v>-0.057172</v>
      </c>
      <c r="AJ2830" s="3" t="n">
        <v>0.414934</v>
      </c>
      <c r="AK2830" s="3" t="n">
        <v>0.625781</v>
      </c>
      <c r="AL2830" s="3" t="n">
        <v>0.91427</v>
      </c>
      <c r="AM2830" s="3" t="n"/>
      <c r="AN2830" s="3" t="n"/>
      <c r="AO2830" s="3" t="n"/>
      <c r="AP2830" s="3" t="n"/>
      <c r="AQ2830" s="3" t="n"/>
      <c r="AR2830" s="3" t="n"/>
      <c r="AS2830" s="3" t="n"/>
      <c r="AT2830" s="3" t="n"/>
      <c r="AU2830" s="3" t="n"/>
    </row>
    <row r="2831">
      <c r="A2831" s="3" t="n">
        <v>2031</v>
      </c>
      <c r="B2831" s="3" t="inlineStr">
        <is>
          <t>SWZ</t>
        </is>
      </c>
      <c r="C2831" s="3" t="inlineStr">
        <is>
          <t>IMF.RES:WEO</t>
        </is>
      </c>
      <c r="D2831" s="3" t="inlineStr">
        <is>
          <t>SWZ.GGR_NGDP.A</t>
        </is>
      </c>
      <c r="E2831" s="3" t="inlineStr">
        <is>
          <t>Eswatini, Kingdom of</t>
        </is>
      </c>
      <c r="F2831" s="3" t="inlineStr">
        <is>
          <t>Revenue, General government, Percent of GDP</t>
        </is>
      </c>
      <c r="G2831" s="3" t="n">
        <v>23.533081</v>
      </c>
      <c r="H2831" s="3" t="n">
        <v>23.334926</v>
      </c>
      <c r="I2831" s="3" t="n">
        <v>22.798357</v>
      </c>
      <c r="J2831" s="3" t="n">
        <v>23.763101</v>
      </c>
      <c r="K2831" s="3" t="n">
        <v>26.997879</v>
      </c>
      <c r="L2831" s="3" t="n">
        <v>27.324627</v>
      </c>
      <c r="M2831" s="3" t="n">
        <v>36.239454</v>
      </c>
      <c r="N2831" s="3" t="n">
        <v>32.760482</v>
      </c>
      <c r="O2831" s="3" t="n">
        <v>35.00791</v>
      </c>
      <c r="P2831" s="3" t="n">
        <v>30.865544</v>
      </c>
      <c r="Q2831" s="3" t="n">
        <v>21.720725</v>
      </c>
      <c r="R2831" s="3" t="n">
        <v>21.261647</v>
      </c>
      <c r="S2831" s="3" t="n">
        <v>30.456374</v>
      </c>
      <c r="T2831" s="3" t="n">
        <v>29.377427</v>
      </c>
      <c r="U2831" s="3" t="n">
        <v>31.519539</v>
      </c>
      <c r="V2831" s="3" t="n">
        <v>28.590228</v>
      </c>
      <c r="W2831" s="3" t="n">
        <v>25.626258</v>
      </c>
      <c r="X2831" s="3" t="n">
        <v>27.982405</v>
      </c>
      <c r="Y2831" s="3" t="n">
        <v>24.977144</v>
      </c>
      <c r="Z2831" s="3" t="n">
        <v>26.529795</v>
      </c>
      <c r="AA2831" s="3" t="n">
        <v>28.020375</v>
      </c>
      <c r="AB2831" s="3" t="n">
        <v>24.71203</v>
      </c>
      <c r="AC2831" s="3" t="n">
        <v>23.634847</v>
      </c>
      <c r="AD2831" s="3" t="n">
        <v>30.861376</v>
      </c>
      <c r="AE2831" s="3" t="n">
        <v>32.494651</v>
      </c>
      <c r="AF2831" s="3" t="n">
        <v>29.57908</v>
      </c>
      <c r="AG2831" s="3" t="n">
        <v>31.462366</v>
      </c>
      <c r="AH2831" s="3" t="n">
        <v>32.357016</v>
      </c>
      <c r="AI2831" s="3" t="n">
        <v>32.323649</v>
      </c>
      <c r="AJ2831" s="3" t="n">
        <v>32.442373</v>
      </c>
      <c r="AK2831" s="3" t="n">
        <v>32.442373</v>
      </c>
      <c r="AL2831" s="3" t="n">
        <v>32.442373</v>
      </c>
      <c r="AM2831" s="3" t="n"/>
      <c r="AN2831" s="3" t="n"/>
      <c r="AO2831" s="3" t="n"/>
      <c r="AP2831" s="3" t="n"/>
      <c r="AQ2831" s="3" t="n"/>
      <c r="AR2831" s="3" t="n"/>
      <c r="AS2831" s="3" t="n"/>
      <c r="AT2831" s="3" t="n"/>
      <c r="AU2831" s="3" t="n"/>
    </row>
    <row r="2832">
      <c r="A2832" s="3" t="n">
        <v>2031</v>
      </c>
      <c r="B2832" s="3" t="inlineStr">
        <is>
          <t>SWZ</t>
        </is>
      </c>
      <c r="C2832" s="3" t="inlineStr">
        <is>
          <t>IMF.RES:WEO</t>
        </is>
      </c>
      <c r="D2832" s="3" t="inlineStr">
        <is>
          <t>SWZ.GGX_NGDP.A</t>
        </is>
      </c>
      <c r="E2832" s="3" t="inlineStr">
        <is>
          <t>Eswatini, Kingdom of</t>
        </is>
      </c>
      <c r="F2832" s="3" t="inlineStr">
        <is>
          <t>Expenditure, General government, Percent of GDP</t>
        </is>
      </c>
      <c r="G2832" s="3" t="n">
        <v>24.726206</v>
      </c>
      <c r="H2832" s="3" t="n">
        <v>25.572166</v>
      </c>
      <c r="I2832" s="3" t="n">
        <v>26.488928</v>
      </c>
      <c r="J2832" s="3" t="n">
        <v>25.870652</v>
      </c>
      <c r="K2832" s="3" t="n">
        <v>30.969376</v>
      </c>
      <c r="L2832" s="3" t="n">
        <v>28.9865</v>
      </c>
      <c r="M2832" s="3" t="n">
        <v>27.568733</v>
      </c>
      <c r="N2832" s="3" t="n">
        <v>30.391747</v>
      </c>
      <c r="O2832" s="3" t="n">
        <v>33.425582</v>
      </c>
      <c r="P2832" s="3" t="n">
        <v>33.868108</v>
      </c>
      <c r="Q2832" s="3" t="n">
        <v>31.059075</v>
      </c>
      <c r="R2832" s="3" t="n">
        <v>25.138193</v>
      </c>
      <c r="S2832" s="3" t="n">
        <v>27.062413</v>
      </c>
      <c r="T2832" s="3" t="n">
        <v>28.802938</v>
      </c>
      <c r="U2832" s="3" t="n">
        <v>32.683762</v>
      </c>
      <c r="V2832" s="3" t="n">
        <v>34.475259</v>
      </c>
      <c r="W2832" s="3" t="n">
        <v>33.988028</v>
      </c>
      <c r="X2832" s="3" t="n">
        <v>33.618508</v>
      </c>
      <c r="Y2832" s="3" t="n">
        <v>31.562327</v>
      </c>
      <c r="Z2832" s="3" t="n">
        <v>32.758323</v>
      </c>
      <c r="AA2832" s="3" t="n">
        <v>32.227955</v>
      </c>
      <c r="AB2832" s="3" t="n">
        <v>29.263602</v>
      </c>
      <c r="AC2832" s="3" t="n">
        <v>28.900849</v>
      </c>
      <c r="AD2832" s="3" t="n">
        <v>31.519029</v>
      </c>
      <c r="AE2832" s="3" t="n">
        <v>33.559243</v>
      </c>
      <c r="AF2832" s="3" t="n">
        <v>35.715413</v>
      </c>
      <c r="AG2832" s="3" t="n">
        <v>38.338579</v>
      </c>
      <c r="AH2832" s="3" t="n">
        <v>37.423657</v>
      </c>
      <c r="AI2832" s="3" t="n">
        <v>36.441501</v>
      </c>
      <c r="AJ2832" s="3" t="n">
        <v>35.962644</v>
      </c>
      <c r="AK2832" s="3" t="n">
        <v>35.552906</v>
      </c>
      <c r="AL2832" s="3" t="n">
        <v>35.1014</v>
      </c>
      <c r="AM2832" s="3" t="n"/>
      <c r="AN2832" s="3" t="n"/>
      <c r="AO2832" s="3" t="n"/>
      <c r="AP2832" s="3" t="n"/>
      <c r="AQ2832" s="3" t="n"/>
      <c r="AR2832" s="3" t="n"/>
      <c r="AS2832" s="3" t="n"/>
      <c r="AT2832" s="3" t="n"/>
      <c r="AU2832" s="3" t="n"/>
    </row>
    <row r="2833">
      <c r="A2833" s="3" t="n">
        <v>2031</v>
      </c>
      <c r="B2833" s="3" t="inlineStr">
        <is>
          <t>SWZ</t>
        </is>
      </c>
      <c r="C2833" s="3" t="inlineStr">
        <is>
          <t>IMF.RES:WEO</t>
        </is>
      </c>
      <c r="D2833" s="3" t="inlineStr">
        <is>
          <t>SWZ.LP.A</t>
        </is>
      </c>
      <c r="E2833" s="3" t="inlineStr">
        <is>
          <t>Eswatini, Kingdom of</t>
        </is>
      </c>
      <c r="F2833" s="3" t="inlineStr">
        <is>
          <t>Population, Persons for countries / Index for country groups</t>
        </is>
      </c>
      <c r="G2833" s="3" t="n">
        <v>0.96184</v>
      </c>
      <c r="H2833" s="3" t="n">
        <v>0.9707519999999999</v>
      </c>
      <c r="I2833" s="3" t="n">
        <v>0.9784890000000001</v>
      </c>
      <c r="J2833" s="3" t="n">
        <v>0.985193</v>
      </c>
      <c r="K2833" s="3" t="n">
        <v>0.991159</v>
      </c>
      <c r="L2833" s="3" t="n">
        <v>0.996574</v>
      </c>
      <c r="M2833" s="3" t="n">
        <v>1.001574</v>
      </c>
      <c r="N2833" s="3" t="n">
        <v>1.007364</v>
      </c>
      <c r="O2833" s="3" t="n">
        <v>1.014186</v>
      </c>
      <c r="P2833" s="3" t="n">
        <v>1.020708</v>
      </c>
      <c r="Q2833" s="3" t="n">
        <v>1.026709</v>
      </c>
      <c r="R2833" s="3" t="n">
        <v>1.032419</v>
      </c>
      <c r="S2833" s="3" t="n">
        <v>1.037989</v>
      </c>
      <c r="T2833" s="3" t="n">
        <v>1.043647</v>
      </c>
      <c r="U2833" s="3" t="n">
        <v>1.049474</v>
      </c>
      <c r="V2833" s="3" t="n">
        <v>1.055491</v>
      </c>
      <c r="W2833" s="3" t="n">
        <v>1.061673</v>
      </c>
      <c r="X2833" s="3" t="n">
        <v>1.069697</v>
      </c>
      <c r="Y2833" s="3" t="n">
        <v>1.079611</v>
      </c>
      <c r="Z2833" s="3" t="n">
        <v>1.08972</v>
      </c>
      <c r="AA2833" s="3" t="n">
        <v>1.101593</v>
      </c>
      <c r="AB2833" s="3" t="n">
        <v>1.113595</v>
      </c>
      <c r="AC2833" s="3" t="n">
        <v>1.125728</v>
      </c>
      <c r="AD2833" s="3" t="n">
        <v>1.137993</v>
      </c>
      <c r="AE2833" s="3" t="n">
        <v>1.150391</v>
      </c>
      <c r="AF2833" s="3" t="n">
        <v>1.162925</v>
      </c>
      <c r="AG2833" s="3" t="n">
        <v>1.175595</v>
      </c>
      <c r="AH2833" s="3" t="n">
        <v>1.188404</v>
      </c>
      <c r="AI2833" s="3" t="n">
        <v>1.201352</v>
      </c>
      <c r="AJ2833" s="3" t="n">
        <v>1.214441</v>
      </c>
      <c r="AK2833" s="3" t="n">
        <v>1.227672</v>
      </c>
      <c r="AL2833" s="3" t="n">
        <v>1.241048</v>
      </c>
      <c r="AM2833" s="3" t="n"/>
      <c r="AN2833" s="3" t="n"/>
      <c r="AO2833" s="3" t="n"/>
      <c r="AP2833" s="3" t="n"/>
      <c r="AQ2833" s="3" t="n"/>
      <c r="AR2833" s="3" t="n"/>
      <c r="AS2833" s="3" t="n"/>
      <c r="AT2833" s="3" t="n"/>
      <c r="AU2833" s="3" t="n"/>
    </row>
    <row r="2834">
      <c r="A2834" s="3" t="n">
        <v>2031</v>
      </c>
      <c r="B2834" s="3" t="inlineStr">
        <is>
          <t>SWZ</t>
        </is>
      </c>
      <c r="C2834" s="3" t="inlineStr">
        <is>
          <t>IMF.RES:WEO</t>
        </is>
      </c>
      <c r="D2834" s="3" t="inlineStr">
        <is>
          <t>SWZ.NGDP.A</t>
        </is>
      </c>
      <c r="E2834" s="3" t="inlineStr">
        <is>
          <t>Eswatini, Kingdom of</t>
        </is>
      </c>
      <c r="F2834" s="3" t="inlineStr">
        <is>
          <t>Gross domestic product (GDP), Current prices, Domestic currency</t>
        </is>
      </c>
      <c r="G2834" s="3" t="n">
        <v>11.710101</v>
      </c>
      <c r="H2834" s="3" t="n">
        <v>12.89185</v>
      </c>
      <c r="I2834" s="3" t="n">
        <v>14.656165</v>
      </c>
      <c r="J2834" s="3" t="n">
        <v>16.139184</v>
      </c>
      <c r="K2834" s="3" t="n">
        <v>17.37149</v>
      </c>
      <c r="L2834" s="3" t="n">
        <v>19.620912</v>
      </c>
      <c r="M2834" s="3" t="n">
        <v>21.637055</v>
      </c>
      <c r="N2834" s="3" t="n">
        <v>23.729808</v>
      </c>
      <c r="O2834" s="3" t="n">
        <v>26.419084</v>
      </c>
      <c r="P2834" s="3" t="n">
        <v>29.454076</v>
      </c>
      <c r="Q2834" s="3" t="n">
        <v>31.548915</v>
      </c>
      <c r="R2834" s="3" t="n">
        <v>33.980768</v>
      </c>
      <c r="S2834" s="3" t="n">
        <v>38.947779</v>
      </c>
      <c r="T2834" s="3" t="n">
        <v>43.09434</v>
      </c>
      <c r="U2834" s="3" t="n">
        <v>46.504344</v>
      </c>
      <c r="V2834" s="3" t="n">
        <v>49.815318</v>
      </c>
      <c r="W2834" s="3" t="n">
        <v>54.753675</v>
      </c>
      <c r="X2834" s="3" t="n">
        <v>59.484322</v>
      </c>
      <c r="Y2834" s="3" t="n">
        <v>61.483728</v>
      </c>
      <c r="Z2834" s="3" t="n">
        <v>66.72418399999999</v>
      </c>
      <c r="AA2834" s="3" t="n">
        <v>68.09920200000001</v>
      </c>
      <c r="AB2834" s="3" t="n">
        <v>71.06499599999999</v>
      </c>
      <c r="AC2834" s="3" t="n">
        <v>77.66619900000001</v>
      </c>
      <c r="AD2834" s="3" t="n">
        <v>85.27757800000001</v>
      </c>
      <c r="AE2834" s="3" t="n">
        <v>89.00355</v>
      </c>
      <c r="AF2834" s="3" t="n">
        <v>92.424347</v>
      </c>
      <c r="AG2834" s="3" t="n">
        <v>96.729747</v>
      </c>
      <c r="AH2834" s="3" t="n">
        <v>101.165271</v>
      </c>
      <c r="AI2834" s="3" t="n">
        <v>105.904381</v>
      </c>
      <c r="AJ2834" s="3" t="n">
        <v>111.642839</v>
      </c>
      <c r="AK2834" s="3" t="n">
        <v>117.688007</v>
      </c>
      <c r="AL2834" s="3" t="n">
        <v>124.027633</v>
      </c>
      <c r="AM2834" s="3" t="n"/>
      <c r="AN2834" s="3" t="n"/>
      <c r="AO2834" s="3" t="n"/>
      <c r="AP2834" s="3" t="n"/>
      <c r="AQ2834" s="3" t="n"/>
      <c r="AR2834" s="3" t="n"/>
      <c r="AS2834" s="3" t="n"/>
      <c r="AT2834" s="3" t="n"/>
      <c r="AU2834" s="3" t="n"/>
    </row>
    <row r="2835">
      <c r="A2835" s="3" t="n">
        <v>2031</v>
      </c>
      <c r="B2835" s="3" t="inlineStr">
        <is>
          <t>SWZ</t>
        </is>
      </c>
      <c r="C2835" s="3" t="inlineStr">
        <is>
          <t>IMF.RES:WEO</t>
        </is>
      </c>
      <c r="D2835" s="3" t="inlineStr">
        <is>
          <t>SWZ.NGDP_D.A</t>
        </is>
      </c>
      <c r="E2835" s="3" t="inlineStr">
        <is>
          <t>Eswatini, Kingdom of</t>
        </is>
      </c>
      <c r="F2835" s="3" t="inlineStr">
        <is>
          <t>Gross domestic product (GDP), Price deflator, Index</t>
        </is>
      </c>
      <c r="G2835" s="3" t="n">
        <v>32.768627</v>
      </c>
      <c r="H2835" s="3" t="n">
        <v>35.699001</v>
      </c>
      <c r="I2835" s="3" t="n">
        <v>38.881541</v>
      </c>
      <c r="J2835" s="3" t="n">
        <v>41.21657</v>
      </c>
      <c r="K2835" s="3" t="n">
        <v>42.812182</v>
      </c>
      <c r="L2835" s="3" t="n">
        <v>45.619301</v>
      </c>
      <c r="M2835" s="3" t="n">
        <v>47.462851</v>
      </c>
      <c r="N2835" s="3" t="n">
        <v>49.84278</v>
      </c>
      <c r="O2835" s="3" t="n">
        <v>55.039177</v>
      </c>
      <c r="P2835" s="3" t="n">
        <v>60.416463</v>
      </c>
      <c r="Q2835" s="3" t="n">
        <v>62.348083</v>
      </c>
      <c r="R2835" s="3" t="n">
        <v>65.67806</v>
      </c>
      <c r="S2835" s="3" t="n">
        <v>71.423822</v>
      </c>
      <c r="T2835" s="3" t="n">
        <v>76.089939</v>
      </c>
      <c r="U2835" s="3" t="n">
        <v>80.455566</v>
      </c>
      <c r="V2835" s="3" t="n">
        <v>84.739588</v>
      </c>
      <c r="W2835" s="3" t="n">
        <v>90.471934</v>
      </c>
      <c r="X2835" s="3" t="n">
        <v>94.94560199999999</v>
      </c>
      <c r="Y2835" s="3" t="n">
        <v>98.07280900000001</v>
      </c>
      <c r="Z2835" s="3" t="n">
        <v>100</v>
      </c>
      <c r="AA2835" s="3" t="n">
        <v>105.165048</v>
      </c>
      <c r="AB2835" s="3" t="n">
        <v>105.284997</v>
      </c>
      <c r="AC2835" s="3" t="n">
        <v>114.622359</v>
      </c>
      <c r="AD2835" s="3" t="n">
        <v>121.561242</v>
      </c>
      <c r="AE2835" s="3" t="n">
        <v>123.208421</v>
      </c>
      <c r="AF2835" s="3" t="n">
        <v>123.482978</v>
      </c>
      <c r="AG2835" s="3" t="n">
        <v>124.220635</v>
      </c>
      <c r="AH2835" s="3" t="n">
        <v>125.574665</v>
      </c>
      <c r="AI2835" s="3" t="n">
        <v>127.728627</v>
      </c>
      <c r="AJ2835" s="3" t="n">
        <v>130.872564</v>
      </c>
      <c r="AK2835" s="3" t="n">
        <v>134.226718</v>
      </c>
      <c r="AL2835" s="3" t="n">
        <v>137.69737</v>
      </c>
      <c r="AM2835" s="3" t="n"/>
      <c r="AN2835" s="3" t="n"/>
      <c r="AO2835" s="3" t="n"/>
      <c r="AP2835" s="3" t="n"/>
      <c r="AQ2835" s="3" t="n"/>
      <c r="AR2835" s="3" t="n"/>
      <c r="AS2835" s="3" t="n"/>
      <c r="AT2835" s="3" t="n"/>
      <c r="AU2835" s="3" t="n"/>
    </row>
    <row r="2836">
      <c r="A2836" s="3" t="n">
        <v>2031</v>
      </c>
      <c r="B2836" s="3" t="inlineStr">
        <is>
          <t>SWZ</t>
        </is>
      </c>
      <c r="C2836" s="3" t="inlineStr">
        <is>
          <t>IMF.RES:WEO</t>
        </is>
      </c>
      <c r="D2836" s="3" t="inlineStr">
        <is>
          <t>SWZ.NGDP_R.A</t>
        </is>
      </c>
      <c r="E2836" s="3" t="inlineStr">
        <is>
          <t>Eswatini, Kingdom of</t>
        </is>
      </c>
      <c r="F2836" s="3" t="inlineStr">
        <is>
          <t>Gross domestic product (GDP), Constant prices, Domestic currency</t>
        </is>
      </c>
      <c r="G2836" s="3" t="n">
        <v>35.735707</v>
      </c>
      <c r="H2836" s="3" t="n">
        <v>36.112635</v>
      </c>
      <c r="I2836" s="3" t="n">
        <v>37.694404</v>
      </c>
      <c r="J2836" s="3" t="n">
        <v>39.157027</v>
      </c>
      <c r="K2836" s="3" t="n">
        <v>40.576044</v>
      </c>
      <c r="L2836" s="3" t="n">
        <v>43.010111</v>
      </c>
      <c r="M2836" s="3" t="n">
        <v>45.587348</v>
      </c>
      <c r="N2836" s="3" t="n">
        <v>47.609318</v>
      </c>
      <c r="O2836" s="3" t="n">
        <v>48.000507</v>
      </c>
      <c r="P2836" s="3" t="n">
        <v>48.751738</v>
      </c>
      <c r="Q2836" s="3" t="n">
        <v>50.60126</v>
      </c>
      <c r="R2836" s="3" t="n">
        <v>51.738386</v>
      </c>
      <c r="S2836" s="3" t="n">
        <v>54.530516</v>
      </c>
      <c r="T2836" s="3" t="n">
        <v>56.636056</v>
      </c>
      <c r="U2836" s="3" t="n">
        <v>57.801276</v>
      </c>
      <c r="V2836" s="3" t="n">
        <v>58.786359</v>
      </c>
      <c r="W2836" s="3" t="n">
        <v>60.520067</v>
      </c>
      <c r="X2836" s="3" t="n">
        <v>62.650951</v>
      </c>
      <c r="Y2836" s="3" t="n">
        <v>62.691922</v>
      </c>
      <c r="Z2836" s="3" t="n">
        <v>66.72418399999999</v>
      </c>
      <c r="AA2836" s="3" t="n">
        <v>64.75459600000001</v>
      </c>
      <c r="AB2836" s="3" t="n">
        <v>67.497743</v>
      </c>
      <c r="AC2836" s="3" t="n">
        <v>67.758332</v>
      </c>
      <c r="AD2836" s="3" t="n">
        <v>70.15194700000001</v>
      </c>
      <c r="AE2836" s="3" t="n">
        <v>72.238203</v>
      </c>
      <c r="AF2836" s="3" t="n">
        <v>74.84784399999999</v>
      </c>
      <c r="AG2836" s="3" t="n">
        <v>77.86930599999999</v>
      </c>
      <c r="AH2836" s="3" t="n">
        <v>80.561849</v>
      </c>
      <c r="AI2836" s="3" t="n">
        <v>82.913583</v>
      </c>
      <c r="AJ2836" s="3" t="n">
        <v>85.306527</v>
      </c>
      <c r="AK2836" s="3" t="n">
        <v>87.67852600000001</v>
      </c>
      <c r="AL2836" s="3" t="n">
        <v>90.07262299999999</v>
      </c>
      <c r="AM2836" s="3" t="n"/>
      <c r="AN2836" s="3" t="n"/>
      <c r="AO2836" s="3" t="n"/>
      <c r="AP2836" s="3" t="n"/>
      <c r="AQ2836" s="3" t="n"/>
      <c r="AR2836" s="3" t="n"/>
      <c r="AS2836" s="3" t="n"/>
      <c r="AT2836" s="3" t="n"/>
      <c r="AU2836" s="3" t="n"/>
    </row>
    <row r="2837">
      <c r="A2837" s="3" t="n">
        <v>2031</v>
      </c>
      <c r="B2837" s="3" t="inlineStr">
        <is>
          <t>SWZ</t>
        </is>
      </c>
      <c r="C2837" s="3" t="inlineStr">
        <is>
          <t>IMF.RES:WEO</t>
        </is>
      </c>
      <c r="D2837" s="3" t="inlineStr">
        <is>
          <t>SWZ.NGDP_RPCH.A</t>
        </is>
      </c>
      <c r="E2837" s="3" t="inlineStr">
        <is>
          <t>Eswatini, Kingdom of</t>
        </is>
      </c>
      <c r="F2837" s="3" t="inlineStr">
        <is>
          <t>Gross domestic product (GDP), Constant prices, Percent change</t>
        </is>
      </c>
      <c r="G2837" s="3" t="n">
        <v>1.760212</v>
      </c>
      <c r="H2837" s="3" t="n">
        <v>1.054765</v>
      </c>
      <c r="I2837" s="3" t="n">
        <v>4.380099</v>
      </c>
      <c r="J2837" s="3" t="n">
        <v>3.880214</v>
      </c>
      <c r="K2837" s="3" t="n">
        <v>3.623914</v>
      </c>
      <c r="L2837" s="3" t="n">
        <v>5.998776</v>
      </c>
      <c r="M2837" s="3" t="n">
        <v>5.992167</v>
      </c>
      <c r="N2837" s="3" t="n">
        <v>4.435376</v>
      </c>
      <c r="O2837" s="3" t="n">
        <v>0.8216639999999999</v>
      </c>
      <c r="P2837" s="3" t="n">
        <v>1.565049</v>
      </c>
      <c r="Q2837" s="3" t="n">
        <v>3.793755</v>
      </c>
      <c r="R2837" s="3" t="n">
        <v>2.24723</v>
      </c>
      <c r="S2837" s="3" t="n">
        <v>5.396631</v>
      </c>
      <c r="T2837" s="3" t="n">
        <v>3.861214</v>
      </c>
      <c r="U2837" s="3" t="n">
        <v>2.057382</v>
      </c>
      <c r="V2837" s="3" t="n">
        <v>1.704258</v>
      </c>
      <c r="W2837" s="3" t="n">
        <v>2.949168</v>
      </c>
      <c r="X2837" s="3" t="n">
        <v>3.520953</v>
      </c>
      <c r="Y2837" s="3" t="n">
        <v>0.065396</v>
      </c>
      <c r="Z2837" s="3" t="n">
        <v>6.431869</v>
      </c>
      <c r="AA2837" s="3" t="n">
        <v>-2.951835</v>
      </c>
      <c r="AB2837" s="3" t="n">
        <v>4.236219</v>
      </c>
      <c r="AC2837" s="3" t="n">
        <v>0.386071</v>
      </c>
      <c r="AD2837" s="3" t="n">
        <v>3.532577</v>
      </c>
      <c r="AE2837" s="3" t="n">
        <v>2.973911</v>
      </c>
      <c r="AF2837" s="3" t="n">
        <v>3.612549</v>
      </c>
      <c r="AG2837" s="3" t="n">
        <v>4.036806</v>
      </c>
      <c r="AH2837" s="3" t="n">
        <v>3.457771</v>
      </c>
      <c r="AI2837" s="3" t="n">
        <v>2.919166</v>
      </c>
      <c r="AJ2837" s="3" t="n">
        <v>2.88607</v>
      </c>
      <c r="AK2837" s="3" t="n">
        <v>2.78056</v>
      </c>
      <c r="AL2837" s="3" t="n">
        <v>2.730541</v>
      </c>
      <c r="AM2837" s="3" t="n"/>
      <c r="AN2837" s="3" t="n"/>
      <c r="AO2837" s="3" t="n"/>
      <c r="AP2837" s="3" t="n"/>
      <c r="AQ2837" s="3" t="n"/>
      <c r="AR2837" s="3" t="n"/>
      <c r="AS2837" s="3" t="n"/>
      <c r="AT2837" s="3" t="n"/>
      <c r="AU2837" s="3" t="n"/>
    </row>
    <row r="2838">
      <c r="A2838" s="3" t="n">
        <v>2031</v>
      </c>
      <c r="B2838" s="3" t="inlineStr">
        <is>
          <t>SWZ</t>
        </is>
      </c>
      <c r="C2838" s="3" t="inlineStr">
        <is>
          <t>IMF.RES:WEO</t>
        </is>
      </c>
      <c r="D2838" s="3" t="inlineStr">
        <is>
          <t>SWZ.NGDPD.A</t>
        </is>
      </c>
      <c r="E2838" s="3" t="inlineStr">
        <is>
          <t>Eswatini, Kingdom of</t>
        </is>
      </c>
      <c r="F2838" s="3" t="inlineStr">
        <is>
          <t>Gross domestic product (GDP), Current prices, US dollar</t>
        </is>
      </c>
      <c r="G2838" s="3" t="n">
        <v>1.68851</v>
      </c>
      <c r="H2838" s="3" t="n">
        <v>1.49853</v>
      </c>
      <c r="I2838" s="3" t="n">
        <v>1.393635</v>
      </c>
      <c r="J2838" s="3" t="n">
        <v>2.133449</v>
      </c>
      <c r="K2838" s="3" t="n">
        <v>2.693219</v>
      </c>
      <c r="L2838" s="3" t="n">
        <v>3.08412</v>
      </c>
      <c r="M2838" s="3" t="n">
        <v>3.197358</v>
      </c>
      <c r="N2838" s="3" t="n">
        <v>3.363823</v>
      </c>
      <c r="O2838" s="3" t="n">
        <v>3.201602</v>
      </c>
      <c r="P2838" s="3" t="n">
        <v>3.491026</v>
      </c>
      <c r="Q2838" s="3" t="n">
        <v>4.308735</v>
      </c>
      <c r="R2838" s="3" t="n">
        <v>4.68501</v>
      </c>
      <c r="S2838" s="3" t="n">
        <v>4.743992</v>
      </c>
      <c r="T2838" s="3" t="n">
        <v>4.465542</v>
      </c>
      <c r="U2838" s="3" t="n">
        <v>4.288288</v>
      </c>
      <c r="V2838" s="3" t="n">
        <v>3.906343</v>
      </c>
      <c r="W2838" s="3" t="n">
        <v>3.721449</v>
      </c>
      <c r="X2838" s="3" t="n">
        <v>4.466628</v>
      </c>
      <c r="Y2838" s="3" t="n">
        <v>4.643991</v>
      </c>
      <c r="Z2838" s="3" t="n">
        <v>4.617085</v>
      </c>
      <c r="AA2838" s="3" t="n">
        <v>4.13627</v>
      </c>
      <c r="AB2838" s="3" t="n">
        <v>4.807373</v>
      </c>
      <c r="AC2838" s="3" t="n">
        <v>4.746597</v>
      </c>
      <c r="AD2838" s="3" t="n">
        <v>4.620734</v>
      </c>
      <c r="AE2838" s="3" t="n">
        <v>4.855136</v>
      </c>
      <c r="AF2838" s="3" t="n">
        <v>5.166089</v>
      </c>
      <c r="AG2838" s="3" t="n">
        <v>5.7922</v>
      </c>
      <c r="AH2838" s="3" t="n">
        <v>5.961086</v>
      </c>
      <c r="AI2838" s="3" t="n">
        <v>6.190399</v>
      </c>
      <c r="AJ2838" s="3" t="n">
        <v>6.476223</v>
      </c>
      <c r="AK2838" s="3" t="n">
        <v>6.77523</v>
      </c>
      <c r="AL2838" s="3" t="n">
        <v>7.085849</v>
      </c>
      <c r="AM2838" s="3" t="n"/>
      <c r="AN2838" s="3" t="n"/>
      <c r="AO2838" s="3" t="n"/>
      <c r="AP2838" s="3" t="n"/>
      <c r="AQ2838" s="3" t="n"/>
      <c r="AR2838" s="3" t="n"/>
      <c r="AS2838" s="3" t="n"/>
      <c r="AT2838" s="3" t="n"/>
      <c r="AU2838" s="3" t="n"/>
    </row>
    <row r="2839">
      <c r="A2839" s="3" t="n">
        <v>2031</v>
      </c>
      <c r="B2839" s="3" t="inlineStr">
        <is>
          <t>SWZ</t>
        </is>
      </c>
      <c r="C2839" s="3" t="inlineStr">
        <is>
          <t>IMF.RES:WEO</t>
        </is>
      </c>
      <c r="D2839" s="3" t="inlineStr">
        <is>
          <t>SWZ.NGDPPC.A</t>
        </is>
      </c>
      <c r="E2839" s="3" t="inlineStr">
        <is>
          <t>Eswatini, Kingdom of</t>
        </is>
      </c>
      <c r="F2839" s="3" t="inlineStr">
        <is>
          <t>Gross domestic product (GDP), Current prices, Per capita, Domestic currency</t>
        </is>
      </c>
      <c r="G2839" s="3" t="n">
        <v>12174.692484</v>
      </c>
      <c r="H2839" s="3" t="n">
        <v>13280.268642</v>
      </c>
      <c r="I2839" s="3" t="n">
        <v>14978.36331</v>
      </c>
      <c r="J2839" s="3" t="n">
        <v>16381.741012</v>
      </c>
      <c r="K2839" s="3" t="n">
        <v>17526.443065</v>
      </c>
      <c r="L2839" s="3" t="n">
        <v>19688.366139</v>
      </c>
      <c r="M2839" s="3" t="n">
        <v>21603.047197</v>
      </c>
      <c r="N2839" s="3" t="n">
        <v>23556.33396</v>
      </c>
      <c r="O2839" s="3" t="n">
        <v>26049.549002</v>
      </c>
      <c r="P2839" s="3" t="n">
        <v>28856.50836</v>
      </c>
      <c r="Q2839" s="3" t="n">
        <v>30728.202005</v>
      </c>
      <c r="R2839" s="3" t="n">
        <v>32913.726555</v>
      </c>
      <c r="S2839" s="3" t="n">
        <v>37522.356584</v>
      </c>
      <c r="T2839" s="3" t="n">
        <v>41292.048049</v>
      </c>
      <c r="U2839" s="3" t="n">
        <v>44312.033647</v>
      </c>
      <c r="V2839" s="3" t="n">
        <v>47196.361862</v>
      </c>
      <c r="W2839" s="3" t="n">
        <v>51573.005465</v>
      </c>
      <c r="X2839" s="3" t="n">
        <v>55608.556217</v>
      </c>
      <c r="Y2839" s="3" t="n">
        <v>56949.88477</v>
      </c>
      <c r="Z2839" s="3" t="n">
        <v>61230.587486</v>
      </c>
      <c r="AA2839" s="3" t="n">
        <v>61818.865581</v>
      </c>
      <c r="AB2839" s="3" t="n">
        <v>63815.855825</v>
      </c>
      <c r="AC2839" s="3" t="n">
        <v>68992.004329</v>
      </c>
      <c r="AD2839" s="3" t="n">
        <v>74936.848203</v>
      </c>
      <c r="AE2839" s="3" t="n">
        <v>77368.06697499999</v>
      </c>
      <c r="AF2839" s="3" t="n">
        <v>79475.75457999999</v>
      </c>
      <c r="AG2839" s="3" t="n">
        <v>82281.494907</v>
      </c>
      <c r="AH2839" s="3" t="n">
        <v>85127.018769</v>
      </c>
      <c r="AI2839" s="3" t="n">
        <v>88154.35073200001</v>
      </c>
      <c r="AJ2839" s="3" t="n">
        <v>91929.426185</v>
      </c>
      <c r="AK2839" s="3" t="n">
        <v>95862.718134</v>
      </c>
      <c r="AL2839" s="3" t="n">
        <v>99937.81249500001</v>
      </c>
      <c r="AM2839" s="3" t="n"/>
      <c r="AN2839" s="3" t="n"/>
      <c r="AO2839" s="3" t="n"/>
      <c r="AP2839" s="3" t="n"/>
      <c r="AQ2839" s="3" t="n"/>
      <c r="AR2839" s="3" t="n"/>
      <c r="AS2839" s="3" t="n"/>
      <c r="AT2839" s="3" t="n"/>
      <c r="AU2839" s="3" t="n"/>
    </row>
    <row r="2840">
      <c r="A2840" s="3" t="n">
        <v>2031</v>
      </c>
      <c r="B2840" s="3" t="inlineStr">
        <is>
          <t>SWZ</t>
        </is>
      </c>
      <c r="C2840" s="3" t="inlineStr">
        <is>
          <t>IMF.RES:WEO</t>
        </is>
      </c>
      <c r="D2840" s="3" t="inlineStr">
        <is>
          <t>SWZ.NGDPRPC.A</t>
        </is>
      </c>
      <c r="E2840" s="3" t="inlineStr">
        <is>
          <t>Eswatini, Kingdom of</t>
        </is>
      </c>
      <c r="F2840" s="3" t="inlineStr">
        <is>
          <t>Gross domestic product (GDP), Constant prices, Per capita, Domestic currency</t>
        </is>
      </c>
      <c r="G2840" s="3" t="n">
        <v>37153.501939</v>
      </c>
      <c r="H2840" s="3" t="n">
        <v>37200.673397</v>
      </c>
      <c r="I2840" s="3" t="n">
        <v>38523.070117</v>
      </c>
      <c r="J2840" s="3" t="n">
        <v>39745.522082</v>
      </c>
      <c r="K2840" s="3" t="n">
        <v>40937.981217</v>
      </c>
      <c r="L2840" s="3" t="n">
        <v>43157.973774</v>
      </c>
      <c r="M2840" s="3" t="n">
        <v>45515.696224</v>
      </c>
      <c r="N2840" s="3" t="n">
        <v>47261.276383</v>
      </c>
      <c r="O2840" s="3" t="n">
        <v>47329.103567</v>
      </c>
      <c r="P2840" s="3" t="n">
        <v>47762.657857</v>
      </c>
      <c r="Q2840" s="3" t="n">
        <v>49284.918571</v>
      </c>
      <c r="R2840" s="3" t="n">
        <v>50113.73136</v>
      </c>
      <c r="S2840" s="3" t="n">
        <v>52534.792427</v>
      </c>
      <c r="T2840" s="3" t="n">
        <v>54267.421658</v>
      </c>
      <c r="U2840" s="3" t="n">
        <v>55076.405156</v>
      </c>
      <c r="V2840" s="3" t="n">
        <v>55695.765193</v>
      </c>
      <c r="W2840" s="3" t="n">
        <v>57004.424908</v>
      </c>
      <c r="X2840" s="3" t="n">
        <v>58568.859386</v>
      </c>
      <c r="Y2840" s="3" t="n">
        <v>58068.985089</v>
      </c>
      <c r="Z2840" s="3" t="n">
        <v>61230.587486</v>
      </c>
      <c r="AA2840" s="3" t="n">
        <v>58782.710609</v>
      </c>
      <c r="AB2840" s="3" t="n">
        <v>60612.487949</v>
      </c>
      <c r="AC2840" s="3" t="n">
        <v>60190.70349</v>
      </c>
      <c r="AD2840" s="3" t="n">
        <v>61645.345937</v>
      </c>
      <c r="AE2840" s="3" t="n">
        <v>62794.463332</v>
      </c>
      <c r="AF2840" s="3" t="n">
        <v>64361.708655</v>
      </c>
      <c r="AG2840" s="3" t="n">
        <v>66238.18556899999</v>
      </c>
      <c r="AH2840" s="3" t="n">
        <v>67789.96311700001</v>
      </c>
      <c r="AI2840" s="3" t="n">
        <v>69016.90932399999</v>
      </c>
      <c r="AJ2840" s="3" t="n">
        <v>70243.46685300001</v>
      </c>
      <c r="AK2840" s="3" t="n">
        <v>71418.50717300001</v>
      </c>
      <c r="AL2840" s="3" t="n">
        <v>72577.866056</v>
      </c>
      <c r="AM2840" s="3" t="n"/>
      <c r="AN2840" s="3" t="n"/>
      <c r="AO2840" s="3" t="n"/>
      <c r="AP2840" s="3" t="n"/>
      <c r="AQ2840" s="3" t="n"/>
      <c r="AR2840" s="3" t="n"/>
      <c r="AS2840" s="3" t="n"/>
      <c r="AT2840" s="3" t="n"/>
      <c r="AU2840" s="3" t="n"/>
    </row>
    <row r="2841">
      <c r="A2841" s="3" t="n">
        <v>2031</v>
      </c>
      <c r="B2841" s="3" t="inlineStr">
        <is>
          <t>SWZ</t>
        </is>
      </c>
      <c r="C2841" s="3" t="inlineStr">
        <is>
          <t>IMF.RES:WEO</t>
        </is>
      </c>
      <c r="D2841" s="3" t="inlineStr">
        <is>
          <t>SWZ.PCPI.A</t>
        </is>
      </c>
      <c r="E2841" s="3" t="inlineStr">
        <is>
          <t>Eswatini, Kingdom of</t>
        </is>
      </c>
      <c r="F2841" s="3" t="inlineStr">
        <is>
          <t>All Items, Consumer price index (CPI), Period average</t>
        </is>
      </c>
      <c r="G2841" s="3" t="n">
        <v>29.769079</v>
      </c>
      <c r="H2841" s="3" t="n">
        <v>31.998494</v>
      </c>
      <c r="I2841" s="3" t="n">
        <v>35.796463</v>
      </c>
      <c r="J2841" s="3" t="n">
        <v>38.400877</v>
      </c>
      <c r="K2841" s="3" t="n">
        <v>39.733335</v>
      </c>
      <c r="L2841" s="3" t="n">
        <v>41.678133</v>
      </c>
      <c r="M2841" s="3" t="n">
        <v>43.843503</v>
      </c>
      <c r="N2841" s="3" t="n">
        <v>47.384343</v>
      </c>
      <c r="O2841" s="3" t="n">
        <v>53.381997</v>
      </c>
      <c r="P2841" s="3" t="n">
        <v>57.358014</v>
      </c>
      <c r="Q2841" s="3" t="n">
        <v>59.944422</v>
      </c>
      <c r="R2841" s="3" t="n">
        <v>63.605484</v>
      </c>
      <c r="S2841" s="3" t="n">
        <v>69.291566</v>
      </c>
      <c r="T2841" s="3" t="n">
        <v>73.186387</v>
      </c>
      <c r="U2841" s="3" t="n">
        <v>77.34436100000001</v>
      </c>
      <c r="V2841" s="3" t="n">
        <v>81.173869</v>
      </c>
      <c r="W2841" s="3" t="n">
        <v>87.543806</v>
      </c>
      <c r="X2841" s="3" t="n">
        <v>92.990234</v>
      </c>
      <c r="Y2841" s="3" t="n">
        <v>97.46777</v>
      </c>
      <c r="Z2841" s="3" t="n">
        <v>100</v>
      </c>
      <c r="AA2841" s="3" t="n">
        <v>103.87175</v>
      </c>
      <c r="AB2841" s="3" t="n">
        <v>107.734485</v>
      </c>
      <c r="AC2841" s="3" t="n">
        <v>112.908424</v>
      </c>
      <c r="AD2841" s="3" t="n">
        <v>118.496182</v>
      </c>
      <c r="AE2841" s="3" t="n">
        <v>123.276489</v>
      </c>
      <c r="AF2841" s="3" t="n">
        <v>127.076574</v>
      </c>
      <c r="AG2841" s="3" t="n">
        <v>131.524254</v>
      </c>
      <c r="AH2841" s="3" t="n">
        <v>136.522176</v>
      </c>
      <c r="AI2841" s="3" t="n">
        <v>141.16393</v>
      </c>
      <c r="AJ2841" s="3" t="n">
        <v>145.681175</v>
      </c>
      <c r="AK2841" s="3" t="n">
        <v>150.051611</v>
      </c>
      <c r="AL2841" s="3" t="n">
        <v>154.553159</v>
      </c>
      <c r="AM2841" s="3" t="n"/>
      <c r="AN2841" s="3" t="n"/>
      <c r="AO2841" s="3" t="n"/>
      <c r="AP2841" s="3" t="n"/>
      <c r="AQ2841" s="3" t="n"/>
      <c r="AR2841" s="3" t="n"/>
      <c r="AS2841" s="3" t="n"/>
      <c r="AT2841" s="3" t="n"/>
      <c r="AU2841" s="3" t="n"/>
    </row>
    <row r="2842">
      <c r="A2842" s="3" t="n">
        <v>2031</v>
      </c>
      <c r="B2842" s="3" t="inlineStr">
        <is>
          <t>SWZ</t>
        </is>
      </c>
      <c r="C2842" s="3" t="inlineStr">
        <is>
          <t>IMF.RES:WEO</t>
        </is>
      </c>
      <c r="D2842" s="3" t="inlineStr">
        <is>
          <t>SWZ.PCPIPCH.A</t>
        </is>
      </c>
      <c r="E2842" s="3" t="inlineStr">
        <is>
          <t>Eswatini, Kingdom of</t>
        </is>
      </c>
      <c r="F2842" s="3" t="inlineStr">
        <is>
          <t>All Items, Consumer price index (CPI), Period average, percent change</t>
        </is>
      </c>
      <c r="G2842" s="3" t="n">
        <v>9.910517</v>
      </c>
      <c r="H2842" s="3" t="n">
        <v>7.489027</v>
      </c>
      <c r="I2842" s="3" t="n">
        <v>11.869214</v>
      </c>
      <c r="J2842" s="3" t="n">
        <v>7.275618</v>
      </c>
      <c r="K2842" s="3" t="n">
        <v>3.469862</v>
      </c>
      <c r="L2842" s="3" t="n">
        <v>4.894625</v>
      </c>
      <c r="M2842" s="3" t="n">
        <v>5.195459</v>
      </c>
      <c r="N2842" s="3" t="n">
        <v>8.076088</v>
      </c>
      <c r="O2842" s="3" t="n">
        <v>12.65746</v>
      </c>
      <c r="P2842" s="3" t="n">
        <v>7.448234</v>
      </c>
      <c r="Q2842" s="3" t="n">
        <v>4.509237</v>
      </c>
      <c r="R2842" s="3" t="n">
        <v>6.107427</v>
      </c>
      <c r="S2842" s="3" t="n">
        <v>8.939609000000001</v>
      </c>
      <c r="T2842" s="3" t="n">
        <v>5.620916</v>
      </c>
      <c r="U2842" s="3" t="n">
        <v>5.681349</v>
      </c>
      <c r="V2842" s="3" t="n">
        <v>4.951245</v>
      </c>
      <c r="W2842" s="3" t="n">
        <v>7.847275</v>
      </c>
      <c r="X2842" s="3" t="n">
        <v>6.221375</v>
      </c>
      <c r="Y2842" s="3" t="n">
        <v>4.81506</v>
      </c>
      <c r="Z2842" s="3" t="n">
        <v>2.598018</v>
      </c>
      <c r="AA2842" s="3" t="n">
        <v>3.87175</v>
      </c>
      <c r="AB2842" s="3" t="n">
        <v>3.718755</v>
      </c>
      <c r="AC2842" s="3" t="n">
        <v>4.80249</v>
      </c>
      <c r="AD2842" s="3" t="n">
        <v>4.94893</v>
      </c>
      <c r="AE2842" s="3" t="n">
        <v>4.034144</v>
      </c>
      <c r="AF2842" s="3" t="n">
        <v>3.082571</v>
      </c>
      <c r="AG2842" s="3" t="n">
        <v>3.5</v>
      </c>
      <c r="AH2842" s="3" t="n">
        <v>3.8</v>
      </c>
      <c r="AI2842" s="3" t="n">
        <v>3.4</v>
      </c>
      <c r="AJ2842" s="3" t="n">
        <v>3.2</v>
      </c>
      <c r="AK2842" s="3" t="n">
        <v>3</v>
      </c>
      <c r="AL2842" s="3" t="n">
        <v>3</v>
      </c>
      <c r="AM2842" s="3" t="n"/>
      <c r="AN2842" s="3" t="n"/>
      <c r="AO2842" s="3" t="n"/>
      <c r="AP2842" s="3" t="n"/>
      <c r="AQ2842" s="3" t="n"/>
      <c r="AR2842" s="3" t="n"/>
      <c r="AS2842" s="3" t="n"/>
      <c r="AT2842" s="3" t="n"/>
      <c r="AU2842" s="3" t="n"/>
    </row>
    <row r="2843">
      <c r="A2843" s="3" t="n">
        <v>2031</v>
      </c>
      <c r="B2843" s="3" t="inlineStr">
        <is>
          <t>SWZ</t>
        </is>
      </c>
      <c r="C2843" s="3" t="inlineStr">
        <is>
          <t>IMF.RES:WEO</t>
        </is>
      </c>
      <c r="D2843" s="3" t="inlineStr">
        <is>
          <t>SWZ.PPPPC.A</t>
        </is>
      </c>
      <c r="E2843" s="3" t="inlineStr">
        <is>
          <t>Eswatini, Kingdom of</t>
        </is>
      </c>
      <c r="F2843" s="3" t="inlineStr">
        <is>
          <t>Gross domestic product (GDP), Per capita, purchasing power parity (PPP) international dollar, ICP benchmarks 2017-2021</t>
        </is>
      </c>
      <c r="G2843" s="3" t="n">
        <v>4287.72253</v>
      </c>
      <c r="H2843" s="3" t="n">
        <v>4389.83219</v>
      </c>
      <c r="I2843" s="3" t="n">
        <v>4616.52504</v>
      </c>
      <c r="J2843" s="3" t="n">
        <v>4857.053466</v>
      </c>
      <c r="K2843" s="3" t="n">
        <v>5137.295208</v>
      </c>
      <c r="L2843" s="3" t="n">
        <v>5585.713761</v>
      </c>
      <c r="M2843" s="3" t="n">
        <v>6072.528838</v>
      </c>
      <c r="N2843" s="3" t="n">
        <v>6476.248206</v>
      </c>
      <c r="O2843" s="3" t="n">
        <v>6610.480839</v>
      </c>
      <c r="P2843" s="3" t="n">
        <v>6712.17867</v>
      </c>
      <c r="Q2843" s="3" t="n">
        <v>7010.28303</v>
      </c>
      <c r="R2843" s="3" t="n">
        <v>7275.245217</v>
      </c>
      <c r="S2843" s="3" t="n">
        <v>7768.726385</v>
      </c>
      <c r="T2843" s="3" t="n">
        <v>8161.528616</v>
      </c>
      <c r="U2843" s="3" t="n">
        <v>8427.465031</v>
      </c>
      <c r="V2843" s="3" t="n">
        <v>8601.326717</v>
      </c>
      <c r="W2843" s="3" t="n">
        <v>8887.080685999999</v>
      </c>
      <c r="X2843" s="3" t="n">
        <v>9294.50426</v>
      </c>
      <c r="Y2843" s="3" t="n">
        <v>9241.390788000001</v>
      </c>
      <c r="Z2843" s="3" t="n">
        <v>10013.44998</v>
      </c>
      <c r="AA2843" s="3" t="n">
        <v>10101.132247</v>
      </c>
      <c r="AB2843" s="3" t="n">
        <v>10824.754541</v>
      </c>
      <c r="AC2843" s="3" t="n">
        <v>11513.972105</v>
      </c>
      <c r="AD2843" s="3" t="n">
        <v>12228.549445</v>
      </c>
      <c r="AE2843" s="3" t="n">
        <v>12765.73733</v>
      </c>
      <c r="AF2843" s="3" t="n">
        <v>13455.521324</v>
      </c>
      <c r="AG2843" s="3" t="n">
        <v>14244.538779</v>
      </c>
      <c r="AH2843" s="3" t="n">
        <v>14898.373003</v>
      </c>
      <c r="AI2843" s="3" t="n">
        <v>15416.988575</v>
      </c>
      <c r="AJ2843" s="3" t="n">
        <v>15969.979443</v>
      </c>
      <c r="AK2843" s="3" t="n">
        <v>16535.488555</v>
      </c>
      <c r="AL2843" s="3" t="n">
        <v>17107.27566</v>
      </c>
      <c r="AM2843" s="3" t="n"/>
      <c r="AN2843" s="3" t="n"/>
      <c r="AO2843" s="3" t="n"/>
      <c r="AP2843" s="3" t="n"/>
      <c r="AQ2843" s="3" t="n"/>
      <c r="AR2843" s="3" t="n"/>
      <c r="AS2843" s="3" t="n"/>
      <c r="AT2843" s="3" t="n"/>
      <c r="AU2843" s="3" t="n"/>
    </row>
    <row r="2844">
      <c r="A2844" s="3" t="n">
        <v>2025</v>
      </c>
      <c r="B2844" s="3" t="inlineStr">
        <is>
          <t>SWZ</t>
        </is>
      </c>
      <c r="C2844" s="3" t="inlineStr">
        <is>
          <t>IMF.STA:ER</t>
        </is>
      </c>
      <c r="D2844" s="3" t="inlineStr">
        <is>
          <t>SWZ.XDC_USD.PA_RT.A</t>
        </is>
      </c>
      <c r="E2844" s="3" t="inlineStr">
        <is>
          <t>Eswatini, Kingdom of</t>
        </is>
      </c>
      <c r="F2844" s="3" t="inlineStr">
        <is>
          <t>Domestic currency per US Dollar</t>
        </is>
      </c>
      <c r="G2844" s="3" t="n">
        <v>6.93982833333333</v>
      </c>
      <c r="H2844" s="3" t="n">
        <v>8.60918083333333</v>
      </c>
      <c r="I2844" s="3" t="n">
        <v>10.5407466666667</v>
      </c>
      <c r="J2844" s="3" t="n">
        <v>7.56474916666667</v>
      </c>
      <c r="K2844" s="3" t="n">
        <v>6.4596925</v>
      </c>
      <c r="L2844" s="3" t="n">
        <v>6.35932833333333</v>
      </c>
      <c r="M2844" s="3" t="n">
        <v>6.77154916666667</v>
      </c>
      <c r="N2844" s="3" t="n">
        <v>7.045365</v>
      </c>
      <c r="O2844" s="3" t="n">
        <v>8.26122333333333</v>
      </c>
      <c r="P2844" s="3" t="n">
        <v>8.47367415824888</v>
      </c>
      <c r="Q2844" s="3" t="n">
        <v>7.32122196115288</v>
      </c>
      <c r="R2844" s="3" t="n">
        <v>7.26113213232735</v>
      </c>
      <c r="S2844" s="3" t="n">
        <v>8.209968626593311</v>
      </c>
      <c r="T2844" s="3" t="n">
        <v>9.655056069135259</v>
      </c>
      <c r="U2844" s="3" t="n">
        <v>10.8526555687831</v>
      </c>
      <c r="V2844" s="3" t="n">
        <v>12.7589308811644</v>
      </c>
      <c r="W2844" s="3" t="n">
        <v>14.7096108855267</v>
      </c>
      <c r="X2844" s="3" t="n">
        <v>13.3238014244992</v>
      </c>
      <c r="Y2844" s="3" t="n">
        <v>13.2339264715833</v>
      </c>
      <c r="Z2844" s="3" t="n">
        <v>14.4517892288824</v>
      </c>
      <c r="AA2844" s="3" t="n">
        <v>16.4702558654325</v>
      </c>
      <c r="AB2844" s="3" t="n">
        <v>14.7834351395784</v>
      </c>
      <c r="AC2844" s="3" t="n">
        <v>16.3622830559282</v>
      </c>
      <c r="AD2844" s="3" t="n">
        <v>18.4535924917449</v>
      </c>
      <c r="AE2844" s="3" t="n">
        <v>18.3176868310856</v>
      </c>
      <c r="AF2844" s="3" t="n">
        <v>17.8889209208377</v>
      </c>
      <c r="AG2844" s="3" t="n"/>
      <c r="AH2844" s="3" t="n"/>
      <c r="AI2844" s="3" t="n"/>
      <c r="AJ2844" s="3" t="n"/>
      <c r="AK2844" s="3" t="n"/>
      <c r="AL2844" s="3" t="n"/>
      <c r="AM2844" s="3" t="n"/>
      <c r="AN2844" s="3" t="n"/>
      <c r="AO2844" s="3" t="n"/>
      <c r="AP2844" s="3" t="n"/>
      <c r="AQ2844" s="3" t="n"/>
      <c r="AR2844" s="3" t="n"/>
      <c r="AS2844" s="3" t="n"/>
      <c r="AT2844" s="3" t="n"/>
      <c r="AU2844" s="3" t="n"/>
    </row>
    <row r="2845">
      <c r="A2845" s="3" t="n">
        <v>2025</v>
      </c>
      <c r="B2845" s="3" t="inlineStr">
        <is>
          <t>SXM</t>
        </is>
      </c>
      <c r="C2845" s="3" t="inlineStr">
        <is>
          <t>IMF.STA:ER</t>
        </is>
      </c>
      <c r="D2845" s="3" t="inlineStr">
        <is>
          <t>SXM.XDC_USD.PA_RT.A</t>
        </is>
      </c>
      <c r="E2845" s="3" t="inlineStr">
        <is>
          <t>Sint Maarten, Kingdom of the Netherlands</t>
        </is>
      </c>
      <c r="F2845" s="3" t="inlineStr">
        <is>
          <t>Domestic currency per US Dollar</t>
        </is>
      </c>
      <c r="G2845" s="3" t="n"/>
      <c r="H2845" s="3" t="n"/>
      <c r="I2845" s="3" t="n"/>
      <c r="J2845" s="3" t="n"/>
      <c r="K2845" s="3" t="n"/>
      <c r="L2845" s="3" t="n"/>
      <c r="M2845" s="3" t="n"/>
      <c r="N2845" s="3" t="n"/>
      <c r="O2845" s="3" t="n"/>
      <c r="P2845" s="3" t="n"/>
      <c r="Q2845" s="3" t="n"/>
      <c r="R2845" s="3" t="n">
        <v>1.79</v>
      </c>
      <c r="S2845" s="3" t="n">
        <v>1.79</v>
      </c>
      <c r="T2845" s="3" t="n">
        <v>1.79</v>
      </c>
      <c r="U2845" s="3" t="n">
        <v>1.79</v>
      </c>
      <c r="V2845" s="3" t="n">
        <v>1.79</v>
      </c>
      <c r="W2845" s="3" t="n">
        <v>1.79</v>
      </c>
      <c r="X2845" s="3" t="n">
        <v>1.79</v>
      </c>
      <c r="Y2845" s="3" t="n">
        <v>1.79</v>
      </c>
      <c r="Z2845" s="3" t="n">
        <v>1.79</v>
      </c>
      <c r="AA2845" s="3" t="n">
        <v>1.79</v>
      </c>
      <c r="AB2845" s="3" t="n">
        <v>1.79</v>
      </c>
      <c r="AC2845" s="3" t="n">
        <v>1.79</v>
      </c>
      <c r="AD2845" s="3" t="n">
        <v>1.79</v>
      </c>
      <c r="AE2845" s="3" t="n">
        <v>1.79</v>
      </c>
      <c r="AF2845" s="3" t="n">
        <v>1.79</v>
      </c>
      <c r="AG2845" s="3" t="n"/>
      <c r="AH2845" s="3" t="n"/>
      <c r="AI2845" s="3" t="n"/>
      <c r="AJ2845" s="3" t="n"/>
      <c r="AK2845" s="3" t="n"/>
      <c r="AL2845" s="3" t="n"/>
      <c r="AM2845" s="3" t="n"/>
      <c r="AN2845" s="3" t="n"/>
      <c r="AO2845" s="3" t="n"/>
      <c r="AP2845" s="3" t="n"/>
      <c r="AQ2845" s="3" t="n"/>
      <c r="AR2845" s="3" t="n"/>
      <c r="AS2845" s="3" t="n"/>
      <c r="AT2845" s="3" t="n"/>
      <c r="AU2845" s="3" t="n"/>
    </row>
    <row r="2846">
      <c r="A2846" s="3" t="n">
        <v>2031</v>
      </c>
      <c r="B2846" s="3" t="inlineStr">
        <is>
          <t>SYC</t>
        </is>
      </c>
      <c r="C2846" s="3" t="inlineStr">
        <is>
          <t>IMF.RES:WEO</t>
        </is>
      </c>
      <c r="D2846" s="3" t="inlineStr">
        <is>
          <t>SYC.BCA.A</t>
        </is>
      </c>
      <c r="E2846" s="3" t="inlineStr">
        <is>
          <t>Seychelles</t>
        </is>
      </c>
      <c r="F2846" s="3" t="inlineStr">
        <is>
          <t>Current account balance (credit less debit), US dollar</t>
        </is>
      </c>
      <c r="G2846" s="3" t="n">
        <v>-0.042923</v>
      </c>
      <c r="H2846" s="3" t="n">
        <v>-0.153059</v>
      </c>
      <c r="I2846" s="3" t="n">
        <v>-0.101269</v>
      </c>
      <c r="J2846" s="3" t="n">
        <v>-0.009362000000000001</v>
      </c>
      <c r="K2846" s="3" t="n">
        <v>-0.060318</v>
      </c>
      <c r="L2846" s="3" t="n">
        <v>-0.174069</v>
      </c>
      <c r="M2846" s="3" t="n">
        <v>-0.133767</v>
      </c>
      <c r="N2846" s="3" t="n">
        <v>-0.111354</v>
      </c>
      <c r="O2846" s="3" t="n">
        <v>-0.184462</v>
      </c>
      <c r="P2846" s="3" t="n">
        <v>-0.12542</v>
      </c>
      <c r="Q2846" s="3" t="n">
        <v>-0.185701</v>
      </c>
      <c r="R2846" s="3" t="n">
        <v>-0.229792</v>
      </c>
      <c r="S2846" s="3" t="n">
        <v>-0.160561</v>
      </c>
      <c r="T2846" s="3" t="n">
        <v>-0.15861</v>
      </c>
      <c r="U2846" s="3" t="n">
        <v>-0.310404</v>
      </c>
      <c r="V2846" s="3" t="n">
        <v>-0.256181</v>
      </c>
      <c r="W2846" s="3" t="n">
        <v>-0.044969</v>
      </c>
      <c r="X2846" s="3" t="n">
        <v>0.004701</v>
      </c>
      <c r="Y2846" s="3" t="n">
        <v>-0.041791</v>
      </c>
      <c r="Z2846" s="3" t="n">
        <v>-0.053153</v>
      </c>
      <c r="AA2846" s="3" t="n">
        <v>-0.173268</v>
      </c>
      <c r="AB2846" s="3" t="n">
        <v>-0.156384</v>
      </c>
      <c r="AC2846" s="3" t="n">
        <v>-0.151961</v>
      </c>
      <c r="AD2846" s="3" t="n">
        <v>-0.13913</v>
      </c>
      <c r="AE2846" s="3" t="n">
        <v>-0.175674</v>
      </c>
      <c r="AF2846" s="3" t="n">
        <v>-0.14961</v>
      </c>
      <c r="AG2846" s="3" t="n">
        <v>-0.175992</v>
      </c>
      <c r="AH2846" s="3" t="n">
        <v>-0.136271</v>
      </c>
      <c r="AI2846" s="3" t="n">
        <v>-0.147504</v>
      </c>
      <c r="AJ2846" s="3" t="n">
        <v>-0.141896</v>
      </c>
      <c r="AK2846" s="3" t="n">
        <v>-0.127867</v>
      </c>
      <c r="AL2846" s="3" t="n">
        <v>-0.128592</v>
      </c>
      <c r="AM2846" s="3" t="n"/>
      <c r="AN2846" s="3" t="n"/>
      <c r="AO2846" s="3" t="n"/>
      <c r="AP2846" s="3" t="n"/>
      <c r="AQ2846" s="3" t="n"/>
      <c r="AR2846" s="3" t="n"/>
      <c r="AS2846" s="3" t="n"/>
      <c r="AT2846" s="3" t="n"/>
      <c r="AU2846" s="3" t="n"/>
    </row>
    <row r="2847">
      <c r="A2847" s="3" t="n">
        <v>2031</v>
      </c>
      <c r="B2847" s="3" t="inlineStr">
        <is>
          <t>SYC</t>
        </is>
      </c>
      <c r="C2847" s="3" t="inlineStr">
        <is>
          <t>IMF.RES:WEO</t>
        </is>
      </c>
      <c r="D2847" s="3" t="inlineStr">
        <is>
          <t>SYC.BCA_NGDPD.A</t>
        </is>
      </c>
      <c r="E2847" s="3" t="inlineStr">
        <is>
          <t>Seychelles</t>
        </is>
      </c>
      <c r="F2847" s="3" t="inlineStr">
        <is>
          <t>Current account balance (credit less debit), Percent of GDP</t>
        </is>
      </c>
      <c r="G2847" s="3" t="n">
        <v>-6.980763</v>
      </c>
      <c r="H2847" s="3" t="n">
        <v>-24.597383</v>
      </c>
      <c r="I2847" s="3" t="n">
        <v>-14.518579</v>
      </c>
      <c r="J2847" s="3" t="n">
        <v>-1.326582</v>
      </c>
      <c r="K2847" s="3" t="n">
        <v>-7.186568</v>
      </c>
      <c r="L2847" s="3" t="n">
        <v>-18.939051</v>
      </c>
      <c r="M2847" s="3" t="n">
        <v>-13.16064</v>
      </c>
      <c r="N2847" s="3" t="n">
        <v>-10.773035</v>
      </c>
      <c r="O2847" s="3" t="n">
        <v>-18.477777</v>
      </c>
      <c r="P2847" s="3" t="n">
        <v>-14.800159</v>
      </c>
      <c r="Q2847" s="3" t="n">
        <v>-19.144933</v>
      </c>
      <c r="R2847" s="3" t="n">
        <v>-22.563401</v>
      </c>
      <c r="S2847" s="3" t="n">
        <v>-15.152565</v>
      </c>
      <c r="T2847" s="3" t="n">
        <v>-11.944918</v>
      </c>
      <c r="U2847" s="3" t="n">
        <v>-22.36838</v>
      </c>
      <c r="V2847" s="3" t="n">
        <v>-17.88841</v>
      </c>
      <c r="W2847" s="3" t="n">
        <v>-2.867204</v>
      </c>
      <c r="X2847" s="3" t="n">
        <v>0.280608</v>
      </c>
      <c r="Y2847" s="3" t="n">
        <v>-2.352408</v>
      </c>
      <c r="Z2847" s="3" t="n">
        <v>-2.846759</v>
      </c>
      <c r="AA2847" s="3" t="n">
        <v>-12.520711</v>
      </c>
      <c r="AB2847" s="3" t="n">
        <v>-10.496541</v>
      </c>
      <c r="AC2847" s="3" t="n">
        <v>-7.598568</v>
      </c>
      <c r="AD2847" s="3" t="n">
        <v>-6.407004</v>
      </c>
      <c r="AE2847" s="3" t="n">
        <v>-7.882581</v>
      </c>
      <c r="AF2847" s="3" t="n">
        <v>-6.454261</v>
      </c>
      <c r="AG2847" s="3" t="n">
        <v>-7.818845</v>
      </c>
      <c r="AH2847" s="3" t="n">
        <v>-5.564315</v>
      </c>
      <c r="AI2847" s="3" t="n">
        <v>-5.823018</v>
      </c>
      <c r="AJ2847" s="3" t="n">
        <v>-5.413966</v>
      </c>
      <c r="AK2847" s="3" t="n">
        <v>-4.716678</v>
      </c>
      <c r="AL2847" s="3" t="n">
        <v>-4.563876</v>
      </c>
      <c r="AM2847" s="3" t="n"/>
      <c r="AN2847" s="3" t="n"/>
      <c r="AO2847" s="3" t="n"/>
      <c r="AP2847" s="3" t="n"/>
      <c r="AQ2847" s="3" t="n"/>
      <c r="AR2847" s="3" t="n"/>
      <c r="AS2847" s="3" t="n"/>
      <c r="AT2847" s="3" t="n"/>
      <c r="AU2847" s="3" t="n"/>
    </row>
    <row r="2848">
      <c r="A2848" s="3" t="n">
        <v>2031</v>
      </c>
      <c r="B2848" s="3" t="inlineStr">
        <is>
          <t>SYC</t>
        </is>
      </c>
      <c r="C2848" s="3" t="inlineStr">
        <is>
          <t>IMF.RES:WEO</t>
        </is>
      </c>
      <c r="D2848" s="3" t="inlineStr">
        <is>
          <t>SYC.GGR_NGDP.A</t>
        </is>
      </c>
      <c r="E2848" s="3" t="inlineStr">
        <is>
          <t>Seychelles</t>
        </is>
      </c>
      <c r="F2848" s="3" t="inlineStr">
        <is>
          <t>Revenue, General government, Percent of GDP</t>
        </is>
      </c>
      <c r="G2848" s="3" t="n">
        <v>40.668887</v>
      </c>
      <c r="H2848" s="3" t="n">
        <v>37.915526</v>
      </c>
      <c r="I2848" s="3" t="n">
        <v>40.055028</v>
      </c>
      <c r="J2848" s="3" t="n">
        <v>48.024019</v>
      </c>
      <c r="K2848" s="3" t="n">
        <v>40.332932</v>
      </c>
      <c r="L2848" s="3" t="n">
        <v>39.401607</v>
      </c>
      <c r="M2848" s="3" t="n">
        <v>41.013263</v>
      </c>
      <c r="N2848" s="3" t="n">
        <v>31.967025</v>
      </c>
      <c r="O2848" s="3" t="n">
        <v>34.870563</v>
      </c>
      <c r="P2848" s="3" t="n">
        <v>36.956107</v>
      </c>
      <c r="Q2848" s="3" t="n">
        <v>35.097398</v>
      </c>
      <c r="R2848" s="3" t="n">
        <v>39.764251</v>
      </c>
      <c r="S2848" s="3" t="n">
        <v>41.49098</v>
      </c>
      <c r="T2848" s="3" t="n">
        <v>38.160702</v>
      </c>
      <c r="U2848" s="3" t="n">
        <v>36.25491</v>
      </c>
      <c r="V2848" s="3" t="n">
        <v>32.9101</v>
      </c>
      <c r="W2848" s="3" t="n">
        <v>34.49042</v>
      </c>
      <c r="X2848" s="3" t="n">
        <v>32.581271</v>
      </c>
      <c r="Y2848" s="3" t="n">
        <v>32.219689</v>
      </c>
      <c r="Z2848" s="3" t="n">
        <v>32.166619</v>
      </c>
      <c r="AA2848" s="3" t="n">
        <v>30.966021</v>
      </c>
      <c r="AB2848" s="3" t="n">
        <v>33.072775</v>
      </c>
      <c r="AC2848" s="3" t="n">
        <v>30.823349</v>
      </c>
      <c r="AD2848" s="3" t="n">
        <v>31.951122</v>
      </c>
      <c r="AE2848" s="3" t="n">
        <v>32.324045</v>
      </c>
      <c r="AF2848" s="3" t="n">
        <v>31.740939</v>
      </c>
      <c r="AG2848" s="3" t="n">
        <v>33.258961</v>
      </c>
      <c r="AH2848" s="3" t="n">
        <v>32.146362</v>
      </c>
      <c r="AI2848" s="3" t="n">
        <v>32.598412</v>
      </c>
      <c r="AJ2848" s="3" t="n">
        <v>32.665456</v>
      </c>
      <c r="AK2848" s="3" t="n">
        <v>32.712727</v>
      </c>
      <c r="AL2848" s="3" t="n">
        <v>32.832949</v>
      </c>
      <c r="AM2848" s="3" t="n"/>
      <c r="AN2848" s="3" t="n"/>
      <c r="AO2848" s="3" t="n"/>
      <c r="AP2848" s="3" t="n"/>
      <c r="AQ2848" s="3" t="n"/>
      <c r="AR2848" s="3" t="n"/>
      <c r="AS2848" s="3" t="n"/>
      <c r="AT2848" s="3" t="n"/>
      <c r="AU2848" s="3" t="n"/>
    </row>
    <row r="2849">
      <c r="A2849" s="3" t="n">
        <v>2031</v>
      </c>
      <c r="B2849" s="3" t="inlineStr">
        <is>
          <t>SYC</t>
        </is>
      </c>
      <c r="C2849" s="3" t="inlineStr">
        <is>
          <t>IMF.RES:WEO</t>
        </is>
      </c>
      <c r="D2849" s="3" t="inlineStr">
        <is>
          <t>SYC.GGX_NGDP.A</t>
        </is>
      </c>
      <c r="E2849" s="3" t="inlineStr">
        <is>
          <t>Seychelles</t>
        </is>
      </c>
      <c r="F2849" s="3" t="inlineStr">
        <is>
          <t>Expenditure, General government, Percent of GDP</t>
        </is>
      </c>
      <c r="G2849" s="3" t="n">
        <v>55.409076</v>
      </c>
      <c r="H2849" s="3" t="n">
        <v>46.842383</v>
      </c>
      <c r="I2849" s="3" t="n">
        <v>56.315462</v>
      </c>
      <c r="J2849" s="3" t="n">
        <v>44.6277</v>
      </c>
      <c r="K2849" s="3" t="n">
        <v>39.895501</v>
      </c>
      <c r="L2849" s="3" t="n">
        <v>38.97971</v>
      </c>
      <c r="M2849" s="3" t="n">
        <v>43.550891</v>
      </c>
      <c r="N2849" s="3" t="n">
        <v>41.896454</v>
      </c>
      <c r="O2849" s="3" t="n">
        <v>26.988634</v>
      </c>
      <c r="P2849" s="3" t="n">
        <v>32.117411</v>
      </c>
      <c r="Q2849" s="3" t="n">
        <v>34.575913</v>
      </c>
      <c r="R2849" s="3" t="n">
        <v>36.404418</v>
      </c>
      <c r="S2849" s="3" t="n">
        <v>38.55694</v>
      </c>
      <c r="T2849" s="3" t="n">
        <v>37.832121</v>
      </c>
      <c r="U2849" s="3" t="n">
        <v>33.381142</v>
      </c>
      <c r="V2849" s="3" t="n">
        <v>31.52108</v>
      </c>
      <c r="W2849" s="3" t="n">
        <v>34.472799</v>
      </c>
      <c r="X2849" s="3" t="n">
        <v>34.25201</v>
      </c>
      <c r="Y2849" s="3" t="n">
        <v>33.021757</v>
      </c>
      <c r="Z2849" s="3" t="n">
        <v>31.743434</v>
      </c>
      <c r="AA2849" s="3" t="n">
        <v>46.712219</v>
      </c>
      <c r="AB2849" s="3" t="n">
        <v>38.827999</v>
      </c>
      <c r="AC2849" s="3" t="n">
        <v>31.588384</v>
      </c>
      <c r="AD2849" s="3" t="n">
        <v>33.104274</v>
      </c>
      <c r="AE2849" s="3" t="n">
        <v>33.001559</v>
      </c>
      <c r="AF2849" s="3" t="n">
        <v>32.726024</v>
      </c>
      <c r="AG2849" s="3" t="n">
        <v>35.336982</v>
      </c>
      <c r="AH2849" s="3" t="n">
        <v>33.364773</v>
      </c>
      <c r="AI2849" s="3" t="n">
        <v>33.371992</v>
      </c>
      <c r="AJ2849" s="3" t="n">
        <v>33.53627</v>
      </c>
      <c r="AK2849" s="3" t="n">
        <v>33.519611</v>
      </c>
      <c r="AL2849" s="3" t="n">
        <v>33.465563</v>
      </c>
      <c r="AM2849" s="3" t="n"/>
      <c r="AN2849" s="3" t="n"/>
      <c r="AO2849" s="3" t="n"/>
      <c r="AP2849" s="3" t="n"/>
      <c r="AQ2849" s="3" t="n"/>
      <c r="AR2849" s="3" t="n"/>
      <c r="AS2849" s="3" t="n"/>
      <c r="AT2849" s="3" t="n"/>
      <c r="AU2849" s="3" t="n"/>
    </row>
    <row r="2850">
      <c r="A2850" s="3" t="n">
        <v>2031</v>
      </c>
      <c r="B2850" s="3" t="inlineStr">
        <is>
          <t>SYC</t>
        </is>
      </c>
      <c r="C2850" s="3" t="inlineStr">
        <is>
          <t>IMF.RES:WEO</t>
        </is>
      </c>
      <c r="D2850" s="3" t="inlineStr">
        <is>
          <t>SYC.LP.A</t>
        </is>
      </c>
      <c r="E2850" s="3" t="inlineStr">
        <is>
          <t>Seychelles</t>
        </is>
      </c>
      <c r="F2850" s="3" t="inlineStr">
        <is>
          <t>Population, Persons for countries / Index for country groups</t>
        </is>
      </c>
      <c r="G2850" s="3" t="n">
        <v>0.08113099999999999</v>
      </c>
      <c r="H2850" s="3" t="n">
        <v>0.081202</v>
      </c>
      <c r="I2850" s="3" t="n">
        <v>0.082723</v>
      </c>
      <c r="J2850" s="3" t="n">
        <v>0.08278099999999999</v>
      </c>
      <c r="K2850" s="3" t="n">
        <v>0.08247500000000001</v>
      </c>
      <c r="L2850" s="3" t="n">
        <v>0.082852</v>
      </c>
      <c r="M2850" s="3" t="n">
        <v>0.08459999999999999</v>
      </c>
      <c r="N2850" s="3" t="n">
        <v>0.086642</v>
      </c>
      <c r="O2850" s="3" t="n">
        <v>0.08766500000000001</v>
      </c>
      <c r="P2850" s="3" t="n">
        <v>0.088688</v>
      </c>
      <c r="Q2850" s="3" t="n">
        <v>0.089961</v>
      </c>
      <c r="R2850" s="3" t="n">
        <v>0.091905</v>
      </c>
      <c r="S2850" s="3" t="n">
        <v>0.094291</v>
      </c>
      <c r="T2850" s="3" t="n">
        <v>0.096706</v>
      </c>
      <c r="U2850" s="3" t="n">
        <v>0.099133</v>
      </c>
      <c r="V2850" s="3" t="n">
        <v>0.101572</v>
      </c>
      <c r="W2850" s="3" t="n">
        <v>0.104027</v>
      </c>
      <c r="X2850" s="3" t="n">
        <v>0.106495</v>
      </c>
      <c r="Y2850" s="3" t="n">
        <v>0.108971</v>
      </c>
      <c r="Z2850" s="3" t="n">
        <v>0.111444</v>
      </c>
      <c r="AA2850" s="3" t="n">
        <v>0.113945</v>
      </c>
      <c r="AB2850" s="3" t="n">
        <v>0.116499</v>
      </c>
      <c r="AC2850" s="3" t="n">
        <v>0.1189</v>
      </c>
      <c r="AD2850" s="3" t="n">
        <v>0.1212</v>
      </c>
      <c r="AE2850" s="3" t="n">
        <v>0.123538</v>
      </c>
      <c r="AF2850" s="3" t="n">
        <v>0.125439</v>
      </c>
      <c r="AG2850" s="3" t="n">
        <v>0.12735</v>
      </c>
      <c r="AH2850" s="3" t="n">
        <v>0.129271</v>
      </c>
      <c r="AI2850" s="3" t="n">
        <v>0.131202</v>
      </c>
      <c r="AJ2850" s="3" t="n">
        <v>0.133143</v>
      </c>
      <c r="AK2850" s="3" t="n">
        <v>0.135092</v>
      </c>
      <c r="AL2850" s="3" t="n">
        <v>0.13705</v>
      </c>
      <c r="AM2850" s="3" t="n"/>
      <c r="AN2850" s="3" t="n"/>
      <c r="AO2850" s="3" t="n"/>
      <c r="AP2850" s="3" t="n"/>
      <c r="AQ2850" s="3" t="n"/>
      <c r="AR2850" s="3" t="n"/>
      <c r="AS2850" s="3" t="n"/>
      <c r="AT2850" s="3" t="n"/>
      <c r="AU2850" s="3" t="n"/>
    </row>
    <row r="2851">
      <c r="A2851" s="3" t="n">
        <v>2031</v>
      </c>
      <c r="B2851" s="3" t="inlineStr">
        <is>
          <t>SYC</t>
        </is>
      </c>
      <c r="C2851" s="3" t="inlineStr">
        <is>
          <t>IMF.RES:WEO</t>
        </is>
      </c>
      <c r="D2851" s="3" t="inlineStr">
        <is>
          <t>SYC.NGDP.A</t>
        </is>
      </c>
      <c r="E2851" s="3" t="inlineStr">
        <is>
          <t>Seychelles</t>
        </is>
      </c>
      <c r="F2851" s="3" t="inlineStr">
        <is>
          <t>Gross domestic product (GDP), Current prices, Domestic currency</t>
        </is>
      </c>
      <c r="G2851" s="3" t="n">
        <v>3.5133</v>
      </c>
      <c r="H2851" s="3" t="n">
        <v>3.6449</v>
      </c>
      <c r="I2851" s="3" t="n">
        <v>3.8224</v>
      </c>
      <c r="J2851" s="3" t="n">
        <v>3.8113</v>
      </c>
      <c r="K2851" s="3" t="n">
        <v>4.61626</v>
      </c>
      <c r="L2851" s="3" t="n">
        <v>5.055068</v>
      </c>
      <c r="M2851" s="3" t="n">
        <v>5.610324</v>
      </c>
      <c r="N2851" s="3" t="n">
        <v>6.926455</v>
      </c>
      <c r="O2851" s="3" t="n">
        <v>9.147159</v>
      </c>
      <c r="P2851" s="3" t="n">
        <v>11.533402</v>
      </c>
      <c r="Q2851" s="3" t="n">
        <v>11.705407</v>
      </c>
      <c r="R2851" s="3" t="n">
        <v>12.609174</v>
      </c>
      <c r="S2851" s="3" t="n">
        <v>14.519373</v>
      </c>
      <c r="T2851" s="3" t="n">
        <v>16.014526</v>
      </c>
      <c r="U2851" s="3" t="n">
        <v>17.687501</v>
      </c>
      <c r="V2851" s="3" t="n">
        <v>19.070496</v>
      </c>
      <c r="W2851" s="3" t="n">
        <v>20.890979</v>
      </c>
      <c r="X2851" s="3" t="n">
        <v>22.865075</v>
      </c>
      <c r="Y2851" s="3" t="n">
        <v>24.821435</v>
      </c>
      <c r="Z2851" s="3" t="n">
        <v>26.22408</v>
      </c>
      <c r="AA2851" s="3" t="n">
        <v>24.355727</v>
      </c>
      <c r="AB2851" s="3" t="n">
        <v>25.163737</v>
      </c>
      <c r="AC2851" s="3" t="n">
        <v>28.543631</v>
      </c>
      <c r="AD2851" s="3" t="n">
        <v>30.440651</v>
      </c>
      <c r="AE2851" s="3" t="n">
        <v>32.381396</v>
      </c>
      <c r="AF2851" s="3" t="n">
        <v>34.133722</v>
      </c>
      <c r="AG2851" s="3" t="n">
        <v>35.373492</v>
      </c>
      <c r="AH2851" s="3" t="n">
        <v>37.303489</v>
      </c>
      <c r="AI2851" s="3" t="n">
        <v>39.006766</v>
      </c>
      <c r="AJ2851" s="3" t="n">
        <v>40.86249</v>
      </c>
      <c r="AK2851" s="3" t="n">
        <v>42.841345</v>
      </c>
      <c r="AL2851" s="3" t="n">
        <v>45.137581</v>
      </c>
      <c r="AM2851" s="3" t="n"/>
      <c r="AN2851" s="3" t="n"/>
      <c r="AO2851" s="3" t="n"/>
      <c r="AP2851" s="3" t="n"/>
      <c r="AQ2851" s="3" t="n"/>
      <c r="AR2851" s="3" t="n"/>
      <c r="AS2851" s="3" t="n"/>
      <c r="AT2851" s="3" t="n"/>
      <c r="AU2851" s="3" t="n"/>
    </row>
    <row r="2852">
      <c r="A2852" s="3" t="n">
        <v>2031</v>
      </c>
      <c r="B2852" s="3" t="inlineStr">
        <is>
          <t>SYC</t>
        </is>
      </c>
      <c r="C2852" s="3" t="inlineStr">
        <is>
          <t>IMF.RES:WEO</t>
        </is>
      </c>
      <c r="D2852" s="3" t="inlineStr">
        <is>
          <t>SYC.NGDP_D.A</t>
        </is>
      </c>
      <c r="E2852" s="3" t="inlineStr">
        <is>
          <t>Seychelles</t>
        </is>
      </c>
      <c r="F2852" s="3" t="inlineStr">
        <is>
          <t>Gross domestic product (GDP), Price deflator, Index</t>
        </is>
      </c>
      <c r="G2852" s="3" t="n">
        <v>29.773719</v>
      </c>
      <c r="H2852" s="3" t="n">
        <v>31.606816</v>
      </c>
      <c r="I2852" s="3" t="n">
        <v>32.748822</v>
      </c>
      <c r="J2852" s="3" t="n">
        <v>34.696339</v>
      </c>
      <c r="K2852" s="3" t="n">
        <v>43.257356</v>
      </c>
      <c r="L2852" s="3" t="n">
        <v>43.455754</v>
      </c>
      <c r="M2852" s="3" t="n">
        <v>44.082535</v>
      </c>
      <c r="N2852" s="3" t="n">
        <v>49.289118</v>
      </c>
      <c r="O2852" s="3" t="n">
        <v>66.485097</v>
      </c>
      <c r="P2852" s="3" t="n">
        <v>84.75737599999999</v>
      </c>
      <c r="Q2852" s="3" t="n">
        <v>80.907078</v>
      </c>
      <c r="R2852" s="3" t="n">
        <v>82.466162</v>
      </c>
      <c r="S2852" s="3" t="n">
        <v>91.46510499999999</v>
      </c>
      <c r="T2852" s="3" t="n">
        <v>94.812589</v>
      </c>
      <c r="U2852" s="3" t="n">
        <v>100</v>
      </c>
      <c r="V2852" s="3" t="n">
        <v>98.997626</v>
      </c>
      <c r="W2852" s="3" t="n">
        <v>96.72577699999999</v>
      </c>
      <c r="X2852" s="3" t="n">
        <v>98.981583</v>
      </c>
      <c r="Y2852" s="3" t="n">
        <v>102.393343</v>
      </c>
      <c r="Z2852" s="3" t="n">
        <v>102.524193</v>
      </c>
      <c r="AA2852" s="3" t="n">
        <v>107.900106</v>
      </c>
      <c r="AB2852" s="3" t="n">
        <v>110.85298</v>
      </c>
      <c r="AC2852" s="3" t="n">
        <v>114.439626</v>
      </c>
      <c r="AD2852" s="3" t="n">
        <v>116.039053</v>
      </c>
      <c r="AE2852" s="3" t="n">
        <v>119.434302</v>
      </c>
      <c r="AF2852" s="3" t="n">
        <v>119.797024</v>
      </c>
      <c r="AG2852" s="3" t="n">
        <v>122.287621</v>
      </c>
      <c r="AH2852" s="3" t="n">
        <v>123.984605</v>
      </c>
      <c r="AI2852" s="3" t="n">
        <v>125.514691</v>
      </c>
      <c r="AJ2852" s="3" t="n">
        <v>127.296288</v>
      </c>
      <c r="AK2852" s="3" t="n">
        <v>129.208267</v>
      </c>
      <c r="AL2852" s="3" t="n">
        <v>131.795864</v>
      </c>
      <c r="AM2852" s="3" t="n"/>
      <c r="AN2852" s="3" t="n"/>
      <c r="AO2852" s="3" t="n"/>
      <c r="AP2852" s="3" t="n"/>
      <c r="AQ2852" s="3" t="n"/>
      <c r="AR2852" s="3" t="n"/>
      <c r="AS2852" s="3" t="n"/>
      <c r="AT2852" s="3" t="n"/>
      <c r="AU2852" s="3" t="n"/>
    </row>
    <row r="2853">
      <c r="A2853" s="3" t="n">
        <v>2031</v>
      </c>
      <c r="B2853" s="3" t="inlineStr">
        <is>
          <t>SYC</t>
        </is>
      </c>
      <c r="C2853" s="3" t="inlineStr">
        <is>
          <t>IMF.RES:WEO</t>
        </is>
      </c>
      <c r="D2853" s="3" t="inlineStr">
        <is>
          <t>SYC.NGDP_R.A</t>
        </is>
      </c>
      <c r="E2853" s="3" t="inlineStr">
        <is>
          <t>Seychelles</t>
        </is>
      </c>
      <c r="F2853" s="3" t="inlineStr">
        <is>
          <t>Gross domestic product (GDP), Constant prices, Domestic currency</t>
        </is>
      </c>
      <c r="G2853" s="3" t="n">
        <v>11.800004</v>
      </c>
      <c r="H2853" s="3" t="n">
        <v>11.532006</v>
      </c>
      <c r="I2853" s="3" t="n">
        <v>11.67187</v>
      </c>
      <c r="J2853" s="3" t="n">
        <v>10.984732</v>
      </c>
      <c r="K2853" s="3" t="n">
        <v>10.671618</v>
      </c>
      <c r="L2853" s="3" t="n">
        <v>11.632678</v>
      </c>
      <c r="M2853" s="3" t="n">
        <v>12.726863</v>
      </c>
      <c r="N2853" s="3" t="n">
        <v>14.052706</v>
      </c>
      <c r="O2853" s="3" t="n">
        <v>13.75821</v>
      </c>
      <c r="P2853" s="3" t="n">
        <v>13.607549</v>
      </c>
      <c r="Q2853" s="3" t="n">
        <v>14.467717</v>
      </c>
      <c r="R2853" s="3" t="n">
        <v>15.290119</v>
      </c>
      <c r="S2853" s="3" t="n">
        <v>15.874221</v>
      </c>
      <c r="T2853" s="3" t="n">
        <v>16.890717</v>
      </c>
      <c r="U2853" s="3" t="n">
        <v>17.687501</v>
      </c>
      <c r="V2853" s="3" t="n">
        <v>19.263589</v>
      </c>
      <c r="W2853" s="3" t="n">
        <v>21.598151</v>
      </c>
      <c r="X2853" s="3" t="n">
        <v>23.100332</v>
      </c>
      <c r="Y2853" s="3" t="n">
        <v>24.241259</v>
      </c>
      <c r="Z2853" s="3" t="n">
        <v>25.578431</v>
      </c>
      <c r="AA2853" s="3" t="n">
        <v>22.572477</v>
      </c>
      <c r="AB2853" s="3" t="n">
        <v>22.7001</v>
      </c>
      <c r="AC2853" s="3" t="n">
        <v>24.942087</v>
      </c>
      <c r="AD2853" s="3" t="n">
        <v>26.233109</v>
      </c>
      <c r="AE2853" s="3" t="n">
        <v>27.112308</v>
      </c>
      <c r="AF2853" s="3" t="n">
        <v>28.492964</v>
      </c>
      <c r="AG2853" s="3" t="n">
        <v>28.92647</v>
      </c>
      <c r="AH2853" s="3" t="n">
        <v>30.087194</v>
      </c>
      <c r="AI2853" s="3" t="n">
        <v>31.077451</v>
      </c>
      <c r="AJ2853" s="3" t="n">
        <v>32.1003</v>
      </c>
      <c r="AK2853" s="3" t="n">
        <v>33.156814</v>
      </c>
      <c r="AL2853" s="3" t="n">
        <v>34.248101</v>
      </c>
      <c r="AM2853" s="3" t="n"/>
      <c r="AN2853" s="3" t="n"/>
      <c r="AO2853" s="3" t="n"/>
      <c r="AP2853" s="3" t="n"/>
      <c r="AQ2853" s="3" t="n"/>
      <c r="AR2853" s="3" t="n"/>
      <c r="AS2853" s="3" t="n"/>
      <c r="AT2853" s="3" t="n"/>
      <c r="AU2853" s="3" t="n"/>
    </row>
    <row r="2854">
      <c r="A2854" s="3" t="n">
        <v>2031</v>
      </c>
      <c r="B2854" s="3" t="inlineStr">
        <is>
          <t>SYC</t>
        </is>
      </c>
      <c r="C2854" s="3" t="inlineStr">
        <is>
          <t>IMF.RES:WEO</t>
        </is>
      </c>
      <c r="D2854" s="3" t="inlineStr">
        <is>
          <t>SYC.NGDP_RPCH.A</t>
        </is>
      </c>
      <c r="E2854" s="3" t="inlineStr">
        <is>
          <t>Seychelles</t>
        </is>
      </c>
      <c r="F2854" s="3" t="inlineStr">
        <is>
          <t>Gross domestic product (GDP), Constant prices, Percent change</t>
        </is>
      </c>
      <c r="G2854" s="3" t="n">
        <v>4.253199</v>
      </c>
      <c r="H2854" s="3" t="n">
        <v>-2.271163</v>
      </c>
      <c r="I2854" s="3" t="n">
        <v>1.212833</v>
      </c>
      <c r="J2854" s="3" t="n">
        <v>-5.887128</v>
      </c>
      <c r="K2854" s="3" t="n">
        <v>-2.850454</v>
      </c>
      <c r="L2854" s="3" t="n">
        <v>9.005761</v>
      </c>
      <c r="M2854" s="3" t="n">
        <v>9.406128000000001</v>
      </c>
      <c r="N2854" s="3" t="n">
        <v>10.417677</v>
      </c>
      <c r="O2854" s="3" t="n">
        <v>-2.095657</v>
      </c>
      <c r="P2854" s="3" t="n">
        <v>-1.095057</v>
      </c>
      <c r="Q2854" s="3" t="n">
        <v>6.321257</v>
      </c>
      <c r="R2854" s="3" t="n">
        <v>5.684392</v>
      </c>
      <c r="S2854" s="3" t="n">
        <v>3.820124</v>
      </c>
      <c r="T2854" s="3" t="n">
        <v>6.40344</v>
      </c>
      <c r="U2854" s="3" t="n">
        <v>4.717289</v>
      </c>
      <c r="V2854" s="3" t="n">
        <v>8.910743999999999</v>
      </c>
      <c r="W2854" s="3" t="n">
        <v>12.119042</v>
      </c>
      <c r="X2854" s="3" t="n">
        <v>6.955138</v>
      </c>
      <c r="Y2854" s="3" t="n">
        <v>4.939005</v>
      </c>
      <c r="Z2854" s="3" t="n">
        <v>5.516101</v>
      </c>
      <c r="AA2854" s="3" t="n">
        <v>-11.751909</v>
      </c>
      <c r="AB2854" s="3" t="n">
        <v>0.565391</v>
      </c>
      <c r="AC2854" s="3" t="n">
        <v>9.87655</v>
      </c>
      <c r="AD2854" s="3" t="n">
        <v>5.176079</v>
      </c>
      <c r="AE2854" s="3" t="n">
        <v>3.351486</v>
      </c>
      <c r="AF2854" s="3" t="n">
        <v>5.092357</v>
      </c>
      <c r="AG2854" s="3" t="n">
        <v>1.521452</v>
      </c>
      <c r="AH2854" s="3" t="n">
        <v>4.01267</v>
      </c>
      <c r="AI2854" s="3" t="n">
        <v>3.29129</v>
      </c>
      <c r="AJ2854" s="3" t="n">
        <v>3.29129</v>
      </c>
      <c r="AK2854" s="3" t="n">
        <v>3.29129</v>
      </c>
      <c r="AL2854" s="3" t="n">
        <v>3.29129</v>
      </c>
      <c r="AM2854" s="3" t="n"/>
      <c r="AN2854" s="3" t="n"/>
      <c r="AO2854" s="3" t="n"/>
      <c r="AP2854" s="3" t="n"/>
      <c r="AQ2854" s="3" t="n"/>
      <c r="AR2854" s="3" t="n"/>
      <c r="AS2854" s="3" t="n"/>
      <c r="AT2854" s="3" t="n"/>
      <c r="AU2854" s="3" t="n"/>
    </row>
    <row r="2855">
      <c r="A2855" s="3" t="n">
        <v>2031</v>
      </c>
      <c r="B2855" s="3" t="inlineStr">
        <is>
          <t>SYC</t>
        </is>
      </c>
      <c r="C2855" s="3" t="inlineStr">
        <is>
          <t>IMF.RES:WEO</t>
        </is>
      </c>
      <c r="D2855" s="3" t="inlineStr">
        <is>
          <t>SYC.NGDPD.A</t>
        </is>
      </c>
      <c r="E2855" s="3" t="inlineStr">
        <is>
          <t>Seychelles</t>
        </is>
      </c>
      <c r="F2855" s="3" t="inlineStr">
        <is>
          <t>Gross domestic product (GDP), Current prices, US dollar</t>
        </is>
      </c>
      <c r="G2855" s="3" t="n">
        <v>0.614878</v>
      </c>
      <c r="H2855" s="3" t="n">
        <v>0.622258</v>
      </c>
      <c r="I2855" s="3" t="n">
        <v>0.697514</v>
      </c>
      <c r="J2855" s="3" t="n">
        <v>0.705703</v>
      </c>
      <c r="K2855" s="3" t="n">
        <v>0.83932</v>
      </c>
      <c r="L2855" s="3" t="n">
        <v>0.919103</v>
      </c>
      <c r="M2855" s="3" t="n">
        <v>1.01642</v>
      </c>
      <c r="N2855" s="3" t="n">
        <v>1.033636</v>
      </c>
      <c r="O2855" s="3" t="n">
        <v>0.998293</v>
      </c>
      <c r="P2855" s="3" t="n">
        <v>0.847425</v>
      </c>
      <c r="Q2855" s="3" t="n">
        <v>0.969974</v>
      </c>
      <c r="R2855" s="3" t="n">
        <v>1.018427</v>
      </c>
      <c r="S2855" s="3" t="n">
        <v>1.059627</v>
      </c>
      <c r="T2855" s="3" t="n">
        <v>1.327847</v>
      </c>
      <c r="U2855" s="3" t="n">
        <v>1.38769</v>
      </c>
      <c r="V2855" s="3" t="n">
        <v>1.432108</v>
      </c>
      <c r="W2855" s="3" t="n">
        <v>1.568404</v>
      </c>
      <c r="X2855" s="3" t="n">
        <v>1.675435</v>
      </c>
      <c r="Y2855" s="3" t="n">
        <v>1.776499</v>
      </c>
      <c r="Z2855" s="3" t="n">
        <v>1.867138</v>
      </c>
      <c r="AA2855" s="3" t="n">
        <v>1.383848</v>
      </c>
      <c r="AB2855" s="3" t="n">
        <v>1.48986</v>
      </c>
      <c r="AC2855" s="3" t="n">
        <v>1.999863</v>
      </c>
      <c r="AD2855" s="3" t="n">
        <v>2.171523</v>
      </c>
      <c r="AE2855" s="3" t="n">
        <v>2.228636</v>
      </c>
      <c r="AF2855" s="3" t="n">
        <v>2.318007</v>
      </c>
      <c r="AG2855" s="3" t="n">
        <v>2.250866</v>
      </c>
      <c r="AH2855" s="3" t="n">
        <v>2.449025</v>
      </c>
      <c r="AI2855" s="3" t="n">
        <v>2.53312</v>
      </c>
      <c r="AJ2855" s="3" t="n">
        <v>2.620927</v>
      </c>
      <c r="AK2855" s="3" t="n">
        <v>2.710955</v>
      </c>
      <c r="AL2855" s="3" t="n">
        <v>2.817597</v>
      </c>
      <c r="AM2855" s="3" t="n"/>
      <c r="AN2855" s="3" t="n"/>
      <c r="AO2855" s="3" t="n"/>
      <c r="AP2855" s="3" t="n"/>
      <c r="AQ2855" s="3" t="n"/>
      <c r="AR2855" s="3" t="n"/>
      <c r="AS2855" s="3" t="n"/>
      <c r="AT2855" s="3" t="n"/>
      <c r="AU2855" s="3" t="n"/>
    </row>
    <row r="2856">
      <c r="A2856" s="3" t="n">
        <v>2031</v>
      </c>
      <c r="B2856" s="3" t="inlineStr">
        <is>
          <t>SYC</t>
        </is>
      </c>
      <c r="C2856" s="3" t="inlineStr">
        <is>
          <t>IMF.RES:WEO</t>
        </is>
      </c>
      <c r="D2856" s="3" t="inlineStr">
        <is>
          <t>SYC.NGDPPC.A</t>
        </is>
      </c>
      <c r="E2856" s="3" t="inlineStr">
        <is>
          <t>Seychelles</t>
        </is>
      </c>
      <c r="F2856" s="3" t="inlineStr">
        <is>
          <t>Gross domestic product (GDP), Current prices, Per capita, Domestic currency</t>
        </is>
      </c>
      <c r="G2856" s="3" t="n">
        <v>43304.039147</v>
      </c>
      <c r="H2856" s="3" t="n">
        <v>44886.825448</v>
      </c>
      <c r="I2856" s="3" t="n">
        <v>46207.221692</v>
      </c>
      <c r="J2856" s="3" t="n">
        <v>46040.758145</v>
      </c>
      <c r="K2856" s="3" t="n">
        <v>55971.623445</v>
      </c>
      <c r="L2856" s="3" t="n">
        <v>61013.227694</v>
      </c>
      <c r="M2856" s="3" t="n">
        <v>66315.883329</v>
      </c>
      <c r="N2856" s="3" t="n">
        <v>79943.003296</v>
      </c>
      <c r="O2856" s="3" t="n">
        <v>104342.24322</v>
      </c>
      <c r="P2856" s="3" t="n">
        <v>130043.99697</v>
      </c>
      <c r="Q2856" s="3" t="n">
        <v>130117.035433</v>
      </c>
      <c r="R2856" s="3" t="n">
        <v>137197.473449</v>
      </c>
      <c r="S2856" s="3" t="n">
        <v>153984.058934</v>
      </c>
      <c r="T2856" s="3" t="n">
        <v>165599.448256</v>
      </c>
      <c r="U2856" s="3" t="n">
        <v>178421.507066</v>
      </c>
      <c r="V2856" s="3" t="n">
        <v>187752.761892</v>
      </c>
      <c r="W2856" s="3" t="n">
        <v>200822.349272</v>
      </c>
      <c r="X2856" s="3" t="n">
        <v>214705.203676</v>
      </c>
      <c r="Y2856" s="3" t="n">
        <v>227780.559801</v>
      </c>
      <c r="Z2856" s="3" t="n">
        <v>235312.569656</v>
      </c>
      <c r="AA2856" s="3" t="n">
        <v>213750.233066</v>
      </c>
      <c r="AB2856" s="3" t="n">
        <v>215999.530119</v>
      </c>
      <c r="AC2856" s="3" t="n">
        <v>240063.576943</v>
      </c>
      <c r="AD2856" s="3" t="n">
        <v>251160.067075</v>
      </c>
      <c r="AE2856" s="3" t="n">
        <v>262116.886423</v>
      </c>
      <c r="AF2856" s="3" t="n">
        <v>272114.114438</v>
      </c>
      <c r="AG2856" s="3" t="n">
        <v>277765.940039</v>
      </c>
      <c r="AH2856" s="3" t="n">
        <v>288568.112969</v>
      </c>
      <c r="AI2856" s="3" t="n">
        <v>297303.13882</v>
      </c>
      <c r="AJ2856" s="3" t="n">
        <v>306906.787159</v>
      </c>
      <c r="AK2856" s="3" t="n">
        <v>317127.180725</v>
      </c>
      <c r="AL2856" s="3" t="n">
        <v>329351.191702</v>
      </c>
      <c r="AM2856" s="3" t="n"/>
      <c r="AN2856" s="3" t="n"/>
      <c r="AO2856" s="3" t="n"/>
      <c r="AP2856" s="3" t="n"/>
      <c r="AQ2856" s="3" t="n"/>
      <c r="AR2856" s="3" t="n"/>
      <c r="AS2856" s="3" t="n"/>
      <c r="AT2856" s="3" t="n"/>
      <c r="AU2856" s="3" t="n"/>
    </row>
    <row r="2857">
      <c r="A2857" s="3" t="n">
        <v>2031</v>
      </c>
      <c r="B2857" s="3" t="inlineStr">
        <is>
          <t>SYC</t>
        </is>
      </c>
      <c r="C2857" s="3" t="inlineStr">
        <is>
          <t>IMF.RES:WEO</t>
        </is>
      </c>
      <c r="D2857" s="3" t="inlineStr">
        <is>
          <t>SYC.NGDPRPC.A</t>
        </is>
      </c>
      <c r="E2857" s="3" t="inlineStr">
        <is>
          <t>Seychelles</t>
        </is>
      </c>
      <c r="F2857" s="3" t="inlineStr">
        <is>
          <t>Gross domestic product (GDP), Constant prices, Per capita, Domestic currency</t>
        </is>
      </c>
      <c r="G2857" s="3" t="n">
        <v>145443.834781</v>
      </c>
      <c r="H2857" s="3" t="n">
        <v>142016.285647</v>
      </c>
      <c r="I2857" s="3" t="n">
        <v>141095.830118</v>
      </c>
      <c r="J2857" s="3" t="n">
        <v>132696.300035</v>
      </c>
      <c r="K2857" s="3" t="n">
        <v>129392.151375</v>
      </c>
      <c r="L2857" s="3" t="n">
        <v>140403.105384</v>
      </c>
      <c r="M2857" s="3" t="n">
        <v>150435.729553</v>
      </c>
      <c r="N2857" s="3" t="n">
        <v>162191.995226</v>
      </c>
      <c r="O2857" s="3" t="n">
        <v>156940.800542</v>
      </c>
      <c r="P2857" s="3" t="n">
        <v>153430.89066</v>
      </c>
      <c r="Q2857" s="3" t="n">
        <v>160822.808624</v>
      </c>
      <c r="R2857" s="3" t="n">
        <v>166368.204595</v>
      </c>
      <c r="S2857" s="3" t="n">
        <v>168352.792529</v>
      </c>
      <c r="T2857" s="3" t="n">
        <v>174659.768678</v>
      </c>
      <c r="U2857" s="3" t="n">
        <v>178421.507066</v>
      </c>
      <c r="V2857" s="3" t="n">
        <v>189653.801813</v>
      </c>
      <c r="W2857" s="3" t="n">
        <v>207620.301736</v>
      </c>
      <c r="X2857" s="3" t="n">
        <v>216914.295395</v>
      </c>
      <c r="Y2857" s="3" t="n">
        <v>222456.415799</v>
      </c>
      <c r="Z2857" s="3" t="n">
        <v>229519.064569</v>
      </c>
      <c r="AA2857" s="3" t="n">
        <v>198100.113784</v>
      </c>
      <c r="AB2857" s="3" t="n">
        <v>194852.254486</v>
      </c>
      <c r="AC2857" s="3" t="n">
        <v>209773.123287</v>
      </c>
      <c r="AD2857" s="3" t="n">
        <v>216444.429922</v>
      </c>
      <c r="AE2857" s="3" t="n">
        <v>219465.330811</v>
      </c>
      <c r="AF2857" s="3" t="n">
        <v>227145.971539</v>
      </c>
      <c r="AG2857" s="3" t="n">
        <v>227141.501842</v>
      </c>
      <c r="AH2857" s="3" t="n">
        <v>232745.116168</v>
      </c>
      <c r="AI2857" s="3" t="n">
        <v>236867.203656</v>
      </c>
      <c r="AJ2857" s="3" t="n">
        <v>241096.415345</v>
      </c>
      <c r="AK2857" s="3" t="n">
        <v>245438.768688</v>
      </c>
      <c r="AL2857" s="3" t="n">
        <v>249894.937608</v>
      </c>
      <c r="AM2857" s="3" t="n"/>
      <c r="AN2857" s="3" t="n"/>
      <c r="AO2857" s="3" t="n"/>
      <c r="AP2857" s="3" t="n"/>
      <c r="AQ2857" s="3" t="n"/>
      <c r="AR2857" s="3" t="n"/>
      <c r="AS2857" s="3" t="n"/>
      <c r="AT2857" s="3" t="n"/>
      <c r="AU2857" s="3" t="n"/>
    </row>
    <row r="2858">
      <c r="A2858" s="3" t="n">
        <v>2031</v>
      </c>
      <c r="B2858" s="3" t="inlineStr">
        <is>
          <t>SYC</t>
        </is>
      </c>
      <c r="C2858" s="3" t="inlineStr">
        <is>
          <t>IMF.RES:WEO</t>
        </is>
      </c>
      <c r="D2858" s="3" t="inlineStr">
        <is>
          <t>SYC.PCPI.A</t>
        </is>
      </c>
      <c r="E2858" s="3" t="inlineStr">
        <is>
          <t>Seychelles</t>
        </is>
      </c>
      <c r="F2858" s="3" t="inlineStr">
        <is>
          <t>All Items, Consumer price index (CPI), Period average</t>
        </is>
      </c>
      <c r="G2858" s="3" t="n">
        <v>41.199102</v>
      </c>
      <c r="H2858" s="3" t="n">
        <v>43.671049</v>
      </c>
      <c r="I2858" s="3" t="n">
        <v>43.758391</v>
      </c>
      <c r="J2858" s="3" t="n">
        <v>45.202418</v>
      </c>
      <c r="K2858" s="3" t="n">
        <v>46.965312</v>
      </c>
      <c r="L2858" s="3" t="n">
        <v>47.269736</v>
      </c>
      <c r="M2858" s="3" t="n">
        <v>46.39139</v>
      </c>
      <c r="N2858" s="3" t="n">
        <v>48.861478</v>
      </c>
      <c r="O2858" s="3" t="n">
        <v>66.923005</v>
      </c>
      <c r="P2858" s="3" t="n">
        <v>88.174031</v>
      </c>
      <c r="Q2858" s="3" t="n">
        <v>86.053764</v>
      </c>
      <c r="R2858" s="3" t="n">
        <v>88.25611000000001</v>
      </c>
      <c r="S2858" s="3" t="n">
        <v>94.531447</v>
      </c>
      <c r="T2858" s="3" t="n">
        <v>98.63310799999999</v>
      </c>
      <c r="U2858" s="3" t="n">
        <v>100</v>
      </c>
      <c r="V2858" s="3" t="n">
        <v>104.042594</v>
      </c>
      <c r="W2858" s="3" t="n">
        <v>102.985089</v>
      </c>
      <c r="X2858" s="3" t="n">
        <v>105.927963</v>
      </c>
      <c r="Y2858" s="3" t="n">
        <v>109.849517</v>
      </c>
      <c r="Z2858" s="3" t="n">
        <v>111.834562</v>
      </c>
      <c r="AA2858" s="3" t="n">
        <v>113.180079</v>
      </c>
      <c r="AB2858" s="3" t="n">
        <v>124.238267</v>
      </c>
      <c r="AC2858" s="3" t="n">
        <v>127.499648</v>
      </c>
      <c r="AD2858" s="3" t="n">
        <v>126.179586</v>
      </c>
      <c r="AE2858" s="3" t="n">
        <v>126.5725</v>
      </c>
      <c r="AF2858" s="3" t="n">
        <v>126.949167</v>
      </c>
      <c r="AG2858" s="3" t="n">
        <v>130.207551</v>
      </c>
      <c r="AH2858" s="3" t="n">
        <v>132.466161</v>
      </c>
      <c r="AI2858" s="3" t="n">
        <v>135.190755</v>
      </c>
      <c r="AJ2858" s="3" t="n">
        <v>138.388992</v>
      </c>
      <c r="AK2858" s="3" t="n">
        <v>141.853311</v>
      </c>
      <c r="AL2858" s="3" t="n">
        <v>145.40247</v>
      </c>
      <c r="AM2858" s="3" t="n"/>
      <c r="AN2858" s="3" t="n"/>
      <c r="AO2858" s="3" t="n"/>
      <c r="AP2858" s="3" t="n"/>
      <c r="AQ2858" s="3" t="n"/>
      <c r="AR2858" s="3" t="n"/>
      <c r="AS2858" s="3" t="n"/>
      <c r="AT2858" s="3" t="n"/>
      <c r="AU2858" s="3" t="n"/>
    </row>
    <row r="2859">
      <c r="A2859" s="3" t="n">
        <v>2031</v>
      </c>
      <c r="B2859" s="3" t="inlineStr">
        <is>
          <t>SYC</t>
        </is>
      </c>
      <c r="C2859" s="3" t="inlineStr">
        <is>
          <t>IMF.RES:WEO</t>
        </is>
      </c>
      <c r="D2859" s="3" t="inlineStr">
        <is>
          <t>SYC.PCPIPCH.A</t>
        </is>
      </c>
      <c r="E2859" s="3" t="inlineStr">
        <is>
          <t>Seychelles</t>
        </is>
      </c>
      <c r="F2859" s="3" t="inlineStr">
        <is>
          <t>All Items, Consumer price index (CPI), Period average, percent change</t>
        </is>
      </c>
      <c r="G2859" s="3" t="n">
        <v>6.3</v>
      </c>
      <c r="H2859" s="3" t="n">
        <v>6</v>
      </c>
      <c r="I2859" s="3" t="n">
        <v>0.2</v>
      </c>
      <c r="J2859" s="3" t="n">
        <v>3.3</v>
      </c>
      <c r="K2859" s="3" t="n">
        <v>3.9</v>
      </c>
      <c r="L2859" s="3" t="n">
        <v>0.64819</v>
      </c>
      <c r="M2859" s="3" t="n">
        <v>-1.858157</v>
      </c>
      <c r="N2859" s="3" t="n">
        <v>5.324452</v>
      </c>
      <c r="O2859" s="3" t="n">
        <v>36.964758</v>
      </c>
      <c r="P2859" s="3" t="n">
        <v>31.754441</v>
      </c>
      <c r="Q2859" s="3" t="n">
        <v>-2.404639</v>
      </c>
      <c r="R2859" s="3" t="n">
        <v>2.559268</v>
      </c>
      <c r="S2859" s="3" t="n">
        <v>7.110371</v>
      </c>
      <c r="T2859" s="3" t="n">
        <v>4.338938</v>
      </c>
      <c r="U2859" s="3" t="n">
        <v>1.385835</v>
      </c>
      <c r="V2859" s="3" t="n">
        <v>4.042594</v>
      </c>
      <c r="W2859" s="3" t="n">
        <v>-1.016415</v>
      </c>
      <c r="X2859" s="3" t="n">
        <v>2.857573</v>
      </c>
      <c r="Y2859" s="3" t="n">
        <v>3.702095</v>
      </c>
      <c r="Z2859" s="3" t="n">
        <v>1.807058</v>
      </c>
      <c r="AA2859" s="3" t="n">
        <v>1.203132</v>
      </c>
      <c r="AB2859" s="3" t="n">
        <v>9.770436999999999</v>
      </c>
      <c r="AC2859" s="3" t="n">
        <v>2.625102</v>
      </c>
      <c r="AD2859" s="3" t="n">
        <v>-1.035346</v>
      </c>
      <c r="AE2859" s="3" t="n">
        <v>0.311393</v>
      </c>
      <c r="AF2859" s="3" t="n">
        <v>0.29759</v>
      </c>
      <c r="AG2859" s="3" t="n">
        <v>2.566684</v>
      </c>
      <c r="AH2859" s="3" t="n">
        <v>1.734623</v>
      </c>
      <c r="AI2859" s="3" t="n">
        <v>2.056823</v>
      </c>
      <c r="AJ2859" s="3" t="n">
        <v>2.365722</v>
      </c>
      <c r="AK2859" s="3" t="n">
        <v>2.503319</v>
      </c>
      <c r="AL2859" s="3" t="n">
        <v>2.501992</v>
      </c>
      <c r="AM2859" s="3" t="n"/>
      <c r="AN2859" s="3" t="n"/>
      <c r="AO2859" s="3" t="n"/>
      <c r="AP2859" s="3" t="n"/>
      <c r="AQ2859" s="3" t="n"/>
      <c r="AR2859" s="3" t="n"/>
      <c r="AS2859" s="3" t="n"/>
      <c r="AT2859" s="3" t="n"/>
      <c r="AU2859" s="3" t="n"/>
    </row>
    <row r="2860">
      <c r="A2860" s="3" t="n">
        <v>2031</v>
      </c>
      <c r="B2860" s="3" t="inlineStr">
        <is>
          <t>SYC</t>
        </is>
      </c>
      <c r="C2860" s="3" t="inlineStr">
        <is>
          <t>IMF.RES:WEO</t>
        </is>
      </c>
      <c r="D2860" s="3" t="inlineStr">
        <is>
          <t>SYC.PPPPC.A</t>
        </is>
      </c>
      <c r="E2860" s="3" t="inlineStr">
        <is>
          <t>Seychelles</t>
        </is>
      </c>
      <c r="F2860" s="3" t="inlineStr">
        <is>
          <t>Gross domestic product (GDP), Per capita, purchasing power parity (PPP) international dollar, ICP benchmarks 2017-2021</t>
        </is>
      </c>
      <c r="G2860" s="3" t="n">
        <v>13461.153513</v>
      </c>
      <c r="H2860" s="3" t="n">
        <v>13439.877463</v>
      </c>
      <c r="I2860" s="3" t="n">
        <v>13560.275884</v>
      </c>
      <c r="J2860" s="3" t="n">
        <v>13004.795692</v>
      </c>
      <c r="K2860" s="3" t="n">
        <v>13021.951578</v>
      </c>
      <c r="L2860" s="3" t="n">
        <v>14573.181886</v>
      </c>
      <c r="M2860" s="3" t="n">
        <v>16096.054515</v>
      </c>
      <c r="N2860" s="3" t="n">
        <v>17824.095357</v>
      </c>
      <c r="O2860" s="3" t="n">
        <v>17579.263564</v>
      </c>
      <c r="P2860" s="3" t="n">
        <v>17292.105257</v>
      </c>
      <c r="Q2860" s="3" t="n">
        <v>18345.48482</v>
      </c>
      <c r="R2860" s="3" t="n">
        <v>19369.627436</v>
      </c>
      <c r="S2860" s="3" t="n">
        <v>19965.637044</v>
      </c>
      <c r="T2860" s="3" t="n">
        <v>21066.153403</v>
      </c>
      <c r="U2860" s="3" t="n">
        <v>21894.680823</v>
      </c>
      <c r="V2860" s="3" t="n">
        <v>23489.018204</v>
      </c>
      <c r="W2860" s="3" t="n">
        <v>25958.549077</v>
      </c>
      <c r="X2860" s="3" t="n">
        <v>27606.266803</v>
      </c>
      <c r="Y2860" s="3" t="n">
        <v>28495.449946</v>
      </c>
      <c r="Z2860" s="3" t="n">
        <v>29976.347854</v>
      </c>
      <c r="AA2860" s="3" t="n">
        <v>26836.043953</v>
      </c>
      <c r="AB2860" s="3" t="n">
        <v>25543.002506</v>
      </c>
      <c r="AC2860" s="3" t="n">
        <v>29454.805728</v>
      </c>
      <c r="AD2860" s="3" t="n">
        <v>31516.038935</v>
      </c>
      <c r="AE2860" s="3" t="n">
        <v>32749.22594</v>
      </c>
      <c r="AF2860" s="3" t="n">
        <v>34856.884489</v>
      </c>
      <c r="AG2860" s="3" t="n">
        <v>35854.77668</v>
      </c>
      <c r="AH2860" s="3" t="n">
        <v>37546.078764</v>
      </c>
      <c r="AI2860" s="3" t="n">
        <v>38838.239992</v>
      </c>
      <c r="AJ2860" s="3" t="n">
        <v>40234.60453</v>
      </c>
      <c r="AK2860" s="3" t="n">
        <v>41711.901761</v>
      </c>
      <c r="AL2860" s="3" t="n">
        <v>43235.917689</v>
      </c>
      <c r="AM2860" s="3" t="n"/>
      <c r="AN2860" s="3" t="n"/>
      <c r="AO2860" s="3" t="n"/>
      <c r="AP2860" s="3" t="n"/>
      <c r="AQ2860" s="3" t="n"/>
      <c r="AR2860" s="3" t="n"/>
      <c r="AS2860" s="3" t="n"/>
      <c r="AT2860" s="3" t="n"/>
      <c r="AU2860" s="3" t="n"/>
    </row>
    <row r="2861">
      <c r="A2861" s="3" t="n">
        <v>2025</v>
      </c>
      <c r="B2861" s="3" t="inlineStr">
        <is>
          <t>SYC</t>
        </is>
      </c>
      <c r="C2861" s="3" t="inlineStr">
        <is>
          <t>IMF.STA:ER</t>
        </is>
      </c>
      <c r="D2861" s="3" t="inlineStr">
        <is>
          <t>SYC.XDC_USD.PA_RT.A</t>
        </is>
      </c>
      <c r="E2861" s="3" t="inlineStr">
        <is>
          <t>Seychelles</t>
        </is>
      </c>
      <c r="F2861" s="3" t="inlineStr">
        <is>
          <t>Domestic currency per US Dollar</t>
        </is>
      </c>
      <c r="G2861" s="3" t="n">
        <v>5.71381666666666</v>
      </c>
      <c r="H2861" s="3" t="n">
        <v>5.85754166666666</v>
      </c>
      <c r="I2861" s="3" t="n">
        <v>5.48003333333333</v>
      </c>
      <c r="J2861" s="3" t="n">
        <v>5.40071666666666</v>
      </c>
      <c r="K2861" s="3" t="n">
        <v>5.5</v>
      </c>
      <c r="L2861" s="3" t="n">
        <v>5.5</v>
      </c>
      <c r="M2861" s="3" t="n">
        <v>5.51969166666666</v>
      </c>
      <c r="N2861" s="3" t="n">
        <v>6.70105953763059</v>
      </c>
      <c r="O2861" s="3" t="n">
        <v>9.457243283449211</v>
      </c>
      <c r="P2861" s="3" t="n">
        <v>13.6099404524899</v>
      </c>
      <c r="Q2861" s="3" t="n">
        <v>12.0677566409499</v>
      </c>
      <c r="R2861" s="3" t="n">
        <v>12.3810319073843</v>
      </c>
      <c r="S2861" s="3" t="n">
        <v>13.7040312149325</v>
      </c>
      <c r="T2861" s="3" t="n">
        <v>12.0583166666666</v>
      </c>
      <c r="U2861" s="3" t="n">
        <v>12.7470333333333</v>
      </c>
      <c r="V2861" s="3" t="n">
        <v>13.313925</v>
      </c>
      <c r="W2861" s="3" t="n">
        <v>13.3191166666666</v>
      </c>
      <c r="X2861" s="3" t="n">
        <v>13.6478416666666</v>
      </c>
      <c r="Y2861" s="3" t="n">
        <v>13.9111166666666</v>
      </c>
      <c r="Z2861" s="3" t="n">
        <v>14.03325</v>
      </c>
      <c r="AA2861" s="3" t="n">
        <v>17.6165187554112</v>
      </c>
      <c r="AB2861" s="3" t="n">
        <v>16.9205225709613</v>
      </c>
      <c r="AC2861" s="3" t="n">
        <v>14.272794525529</v>
      </c>
      <c r="AD2861" s="3" t="n">
        <v>14.0181106992979</v>
      </c>
      <c r="AE2861" s="3" t="n">
        <v>14.5296931907517</v>
      </c>
      <c r="AF2861" s="3" t="n">
        <v>14.7254562696937</v>
      </c>
      <c r="AG2861" s="3" t="n"/>
      <c r="AH2861" s="3" t="n"/>
      <c r="AI2861" s="3" t="n"/>
      <c r="AJ2861" s="3" t="n"/>
      <c r="AK2861" s="3" t="n"/>
      <c r="AL2861" s="3" t="n"/>
      <c r="AM2861" s="3" t="n"/>
      <c r="AN2861" s="3" t="n"/>
      <c r="AO2861" s="3" t="n"/>
      <c r="AP2861" s="3" t="n"/>
      <c r="AQ2861" s="3" t="n"/>
      <c r="AR2861" s="3" t="n"/>
      <c r="AS2861" s="3" t="n"/>
      <c r="AT2861" s="3" t="n"/>
      <c r="AU2861" s="3" t="n"/>
    </row>
    <row r="2862">
      <c r="A2862" s="3" t="n">
        <v>2010</v>
      </c>
      <c r="B2862" s="3" t="inlineStr">
        <is>
          <t>SYR</t>
        </is>
      </c>
      <c r="C2862" s="3" t="inlineStr">
        <is>
          <t>IMF.RES:WEO</t>
        </is>
      </c>
      <c r="D2862" s="3" t="inlineStr">
        <is>
          <t>SYR.BCA.A</t>
        </is>
      </c>
      <c r="E2862" s="3" t="inlineStr">
        <is>
          <t>Syrian Arab Republic</t>
        </is>
      </c>
      <c r="F2862" s="3" t="inlineStr">
        <is>
          <t>Current account balance (credit less debit), US dollar</t>
        </is>
      </c>
      <c r="G2862" s="3" t="n">
        <v>1.03612</v>
      </c>
      <c r="H2862" s="3" t="n">
        <v>0.830302</v>
      </c>
      <c r="I2862" s="3" t="n">
        <v>1.12014</v>
      </c>
      <c r="J2862" s="3" t="n">
        <v>-1.663216</v>
      </c>
      <c r="K2862" s="3" t="n">
        <v>-0.781095</v>
      </c>
      <c r="L2862" s="3" t="n">
        <v>-0.648471</v>
      </c>
      <c r="M2862" s="3" t="n">
        <v>0.479903</v>
      </c>
      <c r="N2862" s="3" t="n">
        <v>-0.094754</v>
      </c>
      <c r="O2862" s="3" t="n">
        <v>-0.673446</v>
      </c>
      <c r="P2862" s="3" t="n">
        <v>-1.584132</v>
      </c>
      <c r="Q2862" s="3" t="n">
        <v>-1.707062</v>
      </c>
      <c r="R2862" s="3" t="n"/>
      <c r="S2862" s="3" t="n"/>
      <c r="T2862" s="3" t="n"/>
      <c r="U2862" s="3" t="n"/>
      <c r="V2862" s="3" t="n"/>
      <c r="W2862" s="3" t="n"/>
      <c r="X2862" s="3" t="n"/>
      <c r="Y2862" s="3" t="n"/>
      <c r="Z2862" s="3" t="n"/>
      <c r="AA2862" s="3" t="n"/>
      <c r="AB2862" s="3" t="n"/>
      <c r="AC2862" s="3" t="n"/>
      <c r="AD2862" s="3" t="n"/>
      <c r="AE2862" s="3" t="n"/>
      <c r="AF2862" s="3" t="n"/>
      <c r="AG2862" s="3" t="n"/>
      <c r="AH2862" s="3" t="n"/>
      <c r="AI2862" s="3" t="n"/>
      <c r="AJ2862" s="3" t="n"/>
      <c r="AK2862" s="3" t="n"/>
      <c r="AL2862" s="3" t="n"/>
      <c r="AM2862" s="3" t="n"/>
      <c r="AN2862" s="3" t="n"/>
      <c r="AO2862" s="3" t="n"/>
      <c r="AP2862" s="3" t="n"/>
      <c r="AQ2862" s="3" t="n"/>
      <c r="AR2862" s="3" t="n"/>
      <c r="AS2862" s="3" t="n"/>
      <c r="AT2862" s="3" t="n"/>
      <c r="AU2862" s="3" t="n"/>
    </row>
    <row r="2863">
      <c r="A2863" s="3" t="n">
        <v>2010</v>
      </c>
      <c r="B2863" s="3" t="inlineStr">
        <is>
          <t>SYR</t>
        </is>
      </c>
      <c r="C2863" s="3" t="inlineStr">
        <is>
          <t>IMF.RES:WEO</t>
        </is>
      </c>
      <c r="D2863" s="3" t="inlineStr">
        <is>
          <t>SYR.BCA_NGDPD.A</t>
        </is>
      </c>
      <c r="E2863" s="3" t="inlineStr">
        <is>
          <t>Syrian Arab Republic</t>
        </is>
      </c>
      <c r="F2863" s="3" t="inlineStr">
        <is>
          <t>Current account balance (credit less debit), Percent of GDP</t>
        </is>
      </c>
      <c r="G2863" s="3" t="n">
        <v>5.216915</v>
      </c>
      <c r="H2863" s="3" t="n">
        <v>3.957846</v>
      </c>
      <c r="I2863" s="3" t="n">
        <v>4.921872</v>
      </c>
      <c r="J2863" s="3" t="n">
        <v>-7.66397</v>
      </c>
      <c r="K2863" s="3" t="n">
        <v>-3.099134</v>
      </c>
      <c r="L2863" s="3" t="n">
        <v>-2.245329</v>
      </c>
      <c r="M2863" s="3" t="n">
        <v>1.418841</v>
      </c>
      <c r="N2863" s="3" t="n">
        <v>-0.234032</v>
      </c>
      <c r="O2863" s="3" t="n">
        <v>-1.279569</v>
      </c>
      <c r="P2863" s="3" t="n">
        <v>-2.936921</v>
      </c>
      <c r="Q2863" s="3" t="n">
        <v>-2.843071</v>
      </c>
      <c r="R2863" s="3" t="n"/>
      <c r="S2863" s="3" t="n"/>
      <c r="T2863" s="3" t="n"/>
      <c r="U2863" s="3" t="n"/>
      <c r="V2863" s="3" t="n"/>
      <c r="W2863" s="3" t="n"/>
      <c r="X2863" s="3" t="n"/>
      <c r="Y2863" s="3" t="n"/>
      <c r="Z2863" s="3" t="n"/>
      <c r="AA2863" s="3" t="n"/>
      <c r="AB2863" s="3" t="n"/>
      <c r="AC2863" s="3" t="n"/>
      <c r="AD2863" s="3" t="n"/>
      <c r="AE2863" s="3" t="n"/>
      <c r="AF2863" s="3" t="n"/>
      <c r="AG2863" s="3" t="n"/>
      <c r="AH2863" s="3" t="n"/>
      <c r="AI2863" s="3" t="n"/>
      <c r="AJ2863" s="3" t="n"/>
      <c r="AK2863" s="3" t="n"/>
      <c r="AL2863" s="3" t="n"/>
      <c r="AM2863" s="3" t="n"/>
      <c r="AN2863" s="3" t="n"/>
      <c r="AO2863" s="3" t="n"/>
      <c r="AP2863" s="3" t="n"/>
      <c r="AQ2863" s="3" t="n"/>
      <c r="AR2863" s="3" t="n"/>
      <c r="AS2863" s="3" t="n"/>
      <c r="AT2863" s="3" t="n"/>
      <c r="AU2863" s="3" t="n"/>
    </row>
    <row r="2864">
      <c r="A2864" s="3" t="n">
        <v>2010</v>
      </c>
      <c r="B2864" s="3" t="inlineStr">
        <is>
          <t>SYR</t>
        </is>
      </c>
      <c r="C2864" s="3" t="inlineStr">
        <is>
          <t>IMF.RES:WEO</t>
        </is>
      </c>
      <c r="D2864" s="3" t="inlineStr">
        <is>
          <t>SYR.GGR_NGDP.A</t>
        </is>
      </c>
      <c r="E2864" s="3" t="inlineStr">
        <is>
          <t>Syrian Arab Republic</t>
        </is>
      </c>
      <c r="F2864" s="3" t="inlineStr">
        <is>
          <t>Revenue, General government, Percent of GDP</t>
        </is>
      </c>
      <c r="G2864" s="3" t="n">
        <v>26.006039</v>
      </c>
      <c r="H2864" s="3" t="n">
        <v>30.294193</v>
      </c>
      <c r="I2864" s="3" t="n">
        <v>26.451338</v>
      </c>
      <c r="J2864" s="3" t="n">
        <v>29.936239</v>
      </c>
      <c r="K2864" s="3" t="n">
        <v>27.147008</v>
      </c>
      <c r="L2864" s="3" t="n">
        <v>23.767757</v>
      </c>
      <c r="M2864" s="3" t="n">
        <v>25.213913</v>
      </c>
      <c r="N2864" s="3" t="n">
        <v>22.716743</v>
      </c>
      <c r="O2864" s="3" t="n">
        <v>20.065078</v>
      </c>
      <c r="P2864" s="3" t="n">
        <v>23.849878</v>
      </c>
      <c r="Q2864" s="3" t="n">
        <v>20.847807</v>
      </c>
      <c r="R2864" s="3" t="n"/>
      <c r="S2864" s="3" t="n"/>
      <c r="T2864" s="3" t="n"/>
      <c r="U2864" s="3" t="n"/>
      <c r="V2864" s="3" t="n"/>
      <c r="W2864" s="3" t="n"/>
      <c r="X2864" s="3" t="n"/>
      <c r="Y2864" s="3" t="n"/>
      <c r="Z2864" s="3" t="n"/>
      <c r="AA2864" s="3" t="n"/>
      <c r="AB2864" s="3" t="n"/>
      <c r="AC2864" s="3" t="n"/>
      <c r="AD2864" s="3" t="n"/>
      <c r="AE2864" s="3" t="n"/>
      <c r="AF2864" s="3" t="n"/>
      <c r="AG2864" s="3" t="n"/>
      <c r="AH2864" s="3" t="n"/>
      <c r="AI2864" s="3" t="n"/>
      <c r="AJ2864" s="3" t="n"/>
      <c r="AK2864" s="3" t="n"/>
      <c r="AL2864" s="3" t="n"/>
      <c r="AM2864" s="3" t="n"/>
      <c r="AN2864" s="3" t="n"/>
      <c r="AO2864" s="3" t="n"/>
      <c r="AP2864" s="3" t="n"/>
      <c r="AQ2864" s="3" t="n"/>
      <c r="AR2864" s="3" t="n"/>
      <c r="AS2864" s="3" t="n"/>
      <c r="AT2864" s="3" t="n"/>
      <c r="AU2864" s="3" t="n"/>
    </row>
    <row r="2865">
      <c r="A2865" s="3" t="n">
        <v>2010</v>
      </c>
      <c r="B2865" s="3" t="inlineStr">
        <is>
          <t>SYR</t>
        </is>
      </c>
      <c r="C2865" s="3" t="inlineStr">
        <is>
          <t>IMF.RES:WEO</t>
        </is>
      </c>
      <c r="D2865" s="3" t="inlineStr">
        <is>
          <t>SYR.GGX_NGDP.A</t>
        </is>
      </c>
      <c r="E2865" s="3" t="inlineStr">
        <is>
          <t>Syrian Arab Republic</t>
        </is>
      </c>
      <c r="F2865" s="3" t="inlineStr">
        <is>
          <t>Expenditure, General government, Percent of GDP</t>
        </is>
      </c>
      <c r="G2865" s="3" t="n">
        <v>27.366571</v>
      </c>
      <c r="H2865" s="3" t="n">
        <v>27.989451</v>
      </c>
      <c r="I2865" s="3" t="n">
        <v>28.473955</v>
      </c>
      <c r="J2865" s="3" t="n">
        <v>32.640205</v>
      </c>
      <c r="K2865" s="3" t="n">
        <v>31.328978</v>
      </c>
      <c r="L2865" s="3" t="n">
        <v>28.176097</v>
      </c>
      <c r="M2865" s="3" t="n">
        <v>26.334404</v>
      </c>
      <c r="N2865" s="3" t="n">
        <v>25.703941</v>
      </c>
      <c r="O2865" s="3" t="n">
        <v>22.929463</v>
      </c>
      <c r="P2865" s="3" t="n">
        <v>26.741685</v>
      </c>
      <c r="Q2865" s="3" t="n">
        <v>28.637838</v>
      </c>
      <c r="R2865" s="3" t="n"/>
      <c r="S2865" s="3" t="n"/>
      <c r="T2865" s="3" t="n"/>
      <c r="U2865" s="3" t="n"/>
      <c r="V2865" s="3" t="n"/>
      <c r="W2865" s="3" t="n"/>
      <c r="X2865" s="3" t="n"/>
      <c r="Y2865" s="3" t="n"/>
      <c r="Z2865" s="3" t="n"/>
      <c r="AA2865" s="3" t="n"/>
      <c r="AB2865" s="3" t="n"/>
      <c r="AC2865" s="3" t="n"/>
      <c r="AD2865" s="3" t="n"/>
      <c r="AE2865" s="3" t="n"/>
      <c r="AF2865" s="3" t="n"/>
      <c r="AG2865" s="3" t="n"/>
      <c r="AH2865" s="3" t="n"/>
      <c r="AI2865" s="3" t="n"/>
      <c r="AJ2865" s="3" t="n"/>
      <c r="AK2865" s="3" t="n"/>
      <c r="AL2865" s="3" t="n"/>
      <c r="AM2865" s="3" t="n"/>
      <c r="AN2865" s="3" t="n"/>
      <c r="AO2865" s="3" t="n"/>
      <c r="AP2865" s="3" t="n"/>
      <c r="AQ2865" s="3" t="n"/>
      <c r="AR2865" s="3" t="n"/>
      <c r="AS2865" s="3" t="n"/>
      <c r="AT2865" s="3" t="n"/>
      <c r="AU2865" s="3" t="n"/>
    </row>
    <row r="2866">
      <c r="A2866" s="3" t="n">
        <v>2010</v>
      </c>
      <c r="B2866" s="3" t="inlineStr">
        <is>
          <t>SYR</t>
        </is>
      </c>
      <c r="C2866" s="3" t="inlineStr">
        <is>
          <t>IMF.RES:WEO</t>
        </is>
      </c>
      <c r="D2866" s="3" t="inlineStr">
        <is>
          <t>SYR.LP.A</t>
        </is>
      </c>
      <c r="E2866" s="3" t="inlineStr">
        <is>
          <t>Syrian Arab Republic</t>
        </is>
      </c>
      <c r="F2866" s="3" t="inlineStr">
        <is>
          <t>Population, Persons for countries / Index for country groups</t>
        </is>
      </c>
      <c r="G2866" s="3" t="n">
        <v>16.510861</v>
      </c>
      <c r="H2866" s="3" t="n">
        <v>16.960693</v>
      </c>
      <c r="I2866" s="3" t="n">
        <v>17.438241</v>
      </c>
      <c r="J2866" s="3" t="n">
        <v>17.951881</v>
      </c>
      <c r="K2866" s="3" t="n">
        <v>18.511689</v>
      </c>
      <c r="L2866" s="3" t="n">
        <v>19.121454</v>
      </c>
      <c r="M2866" s="3" t="n">
        <v>19.596182</v>
      </c>
      <c r="N2866" s="3" t="n">
        <v>20.082697</v>
      </c>
      <c r="O2866" s="3" t="n">
        <v>20.58129</v>
      </c>
      <c r="P2866" s="3" t="n">
        <v>21.092262</v>
      </c>
      <c r="Q2866" s="3" t="n">
        <v>21.392816</v>
      </c>
      <c r="R2866" s="3" t="n"/>
      <c r="S2866" s="3" t="n"/>
      <c r="T2866" s="3" t="n"/>
      <c r="U2866" s="3" t="n"/>
      <c r="V2866" s="3" t="n"/>
      <c r="W2866" s="3" t="n"/>
      <c r="X2866" s="3" t="n"/>
      <c r="Y2866" s="3" t="n"/>
      <c r="Z2866" s="3" t="n"/>
      <c r="AA2866" s="3" t="n"/>
      <c r="AB2866" s="3" t="n"/>
      <c r="AC2866" s="3" t="n"/>
      <c r="AD2866" s="3" t="n"/>
      <c r="AE2866" s="3" t="n"/>
      <c r="AF2866" s="3" t="n"/>
      <c r="AG2866" s="3" t="n"/>
      <c r="AH2866" s="3" t="n"/>
      <c r="AI2866" s="3" t="n"/>
      <c r="AJ2866" s="3" t="n"/>
      <c r="AK2866" s="3" t="n"/>
      <c r="AL2866" s="3" t="n"/>
      <c r="AM2866" s="3" t="n"/>
      <c r="AN2866" s="3" t="n"/>
      <c r="AO2866" s="3" t="n"/>
      <c r="AP2866" s="3" t="n"/>
      <c r="AQ2866" s="3" t="n"/>
      <c r="AR2866" s="3" t="n"/>
      <c r="AS2866" s="3" t="n"/>
      <c r="AT2866" s="3" t="n"/>
      <c r="AU2866" s="3" t="n"/>
    </row>
    <row r="2867">
      <c r="A2867" s="3" t="n">
        <v>2010</v>
      </c>
      <c r="B2867" s="3" t="inlineStr">
        <is>
          <t>SYR</t>
        </is>
      </c>
      <c r="C2867" s="3" t="inlineStr">
        <is>
          <t>IMF.RES:WEO</t>
        </is>
      </c>
      <c r="D2867" s="3" t="inlineStr">
        <is>
          <t>SYR.NGDP.A</t>
        </is>
      </c>
      <c r="E2867" s="3" t="inlineStr">
        <is>
          <t>Syrian Arab Republic</t>
        </is>
      </c>
      <c r="F2867" s="3" t="inlineStr">
        <is>
          <t>Gross domestic product (GDP), Current prices, Domestic currency</t>
        </is>
      </c>
      <c r="G2867" s="3" t="n">
        <v>947.13</v>
      </c>
      <c r="H2867" s="3" t="n">
        <v>1010.152</v>
      </c>
      <c r="I2867" s="3" t="n">
        <v>1118.106</v>
      </c>
      <c r="J2867" s="3" t="n">
        <v>1074.163</v>
      </c>
      <c r="K2867" s="3" t="n">
        <v>1266.891</v>
      </c>
      <c r="L2867" s="3" t="n">
        <v>1506.44</v>
      </c>
      <c r="M2867" s="3" t="n">
        <v>1726.404</v>
      </c>
      <c r="N2867" s="3" t="n">
        <v>2020.838</v>
      </c>
      <c r="O2867" s="3" t="n">
        <v>2448.06</v>
      </c>
      <c r="P2867" s="3" t="n">
        <v>2520.705</v>
      </c>
      <c r="Q2867" s="3" t="n">
        <v>2791.775</v>
      </c>
      <c r="R2867" s="3" t="n"/>
      <c r="S2867" s="3" t="n"/>
      <c r="T2867" s="3" t="n"/>
      <c r="U2867" s="3" t="n"/>
      <c r="V2867" s="3" t="n"/>
      <c r="W2867" s="3" t="n"/>
      <c r="X2867" s="3" t="n"/>
      <c r="Y2867" s="3" t="n"/>
      <c r="Z2867" s="3" t="n"/>
      <c r="AA2867" s="3" t="n"/>
      <c r="AB2867" s="3" t="n"/>
      <c r="AC2867" s="3" t="n"/>
      <c r="AD2867" s="3" t="n"/>
      <c r="AE2867" s="3" t="n"/>
      <c r="AF2867" s="3" t="n"/>
      <c r="AG2867" s="3" t="n"/>
      <c r="AH2867" s="3" t="n"/>
      <c r="AI2867" s="3" t="n"/>
      <c r="AJ2867" s="3" t="n"/>
      <c r="AK2867" s="3" t="n"/>
      <c r="AL2867" s="3" t="n"/>
      <c r="AM2867" s="3" t="n"/>
      <c r="AN2867" s="3" t="n"/>
      <c r="AO2867" s="3" t="n"/>
      <c r="AP2867" s="3" t="n"/>
      <c r="AQ2867" s="3" t="n"/>
      <c r="AR2867" s="3" t="n"/>
      <c r="AS2867" s="3" t="n"/>
      <c r="AT2867" s="3" t="n"/>
      <c r="AU2867" s="3" t="n"/>
    </row>
    <row r="2868">
      <c r="A2868" s="3" t="n">
        <v>2010</v>
      </c>
      <c r="B2868" s="3" t="inlineStr">
        <is>
          <t>SYR</t>
        </is>
      </c>
      <c r="C2868" s="3" t="inlineStr">
        <is>
          <t>IMF.RES:WEO</t>
        </is>
      </c>
      <c r="D2868" s="3" t="inlineStr">
        <is>
          <t>SYR.NGDP_D.A</t>
        </is>
      </c>
      <c r="E2868" s="3" t="inlineStr">
        <is>
          <t>Syrian Arab Republic</t>
        </is>
      </c>
      <c r="F2868" s="3" t="inlineStr">
        <is>
          <t>Gross domestic product (GDP), Price deflator, Index</t>
        </is>
      </c>
      <c r="G2868" s="3" t="n">
        <v>100</v>
      </c>
      <c r="H2868" s="3" t="n">
        <v>102.868583</v>
      </c>
      <c r="I2868" s="3" t="n">
        <v>107.521767</v>
      </c>
      <c r="J2868" s="3" t="n">
        <v>105.44366</v>
      </c>
      <c r="K2868" s="3" t="n">
        <v>116.332484</v>
      </c>
      <c r="L2868" s="3" t="n">
        <v>130.23444</v>
      </c>
      <c r="M2868" s="3" t="n">
        <v>142.081275</v>
      </c>
      <c r="N2868" s="3" t="n">
        <v>157.381847</v>
      </c>
      <c r="O2868" s="3" t="n">
        <v>182.484728</v>
      </c>
      <c r="P2868" s="3" t="n">
        <v>177.410489</v>
      </c>
      <c r="Q2868" s="3" t="n">
        <v>189.955045</v>
      </c>
      <c r="R2868" s="3" t="n"/>
      <c r="S2868" s="3" t="n"/>
      <c r="T2868" s="3" t="n"/>
      <c r="U2868" s="3" t="n"/>
      <c r="V2868" s="3" t="n"/>
      <c r="W2868" s="3" t="n"/>
      <c r="X2868" s="3" t="n"/>
      <c r="Y2868" s="3" t="n"/>
      <c r="Z2868" s="3" t="n"/>
      <c r="AA2868" s="3" t="n"/>
      <c r="AB2868" s="3" t="n"/>
      <c r="AC2868" s="3" t="n"/>
      <c r="AD2868" s="3" t="n"/>
      <c r="AE2868" s="3" t="n"/>
      <c r="AF2868" s="3" t="n"/>
      <c r="AG2868" s="3" t="n"/>
      <c r="AH2868" s="3" t="n"/>
      <c r="AI2868" s="3" t="n"/>
      <c r="AJ2868" s="3" t="n"/>
      <c r="AK2868" s="3" t="n"/>
      <c r="AL2868" s="3" t="n"/>
      <c r="AM2868" s="3" t="n"/>
      <c r="AN2868" s="3" t="n"/>
      <c r="AO2868" s="3" t="n"/>
      <c r="AP2868" s="3" t="n"/>
      <c r="AQ2868" s="3" t="n"/>
      <c r="AR2868" s="3" t="n"/>
      <c r="AS2868" s="3" t="n"/>
      <c r="AT2868" s="3" t="n"/>
      <c r="AU2868" s="3" t="n"/>
    </row>
    <row r="2869">
      <c r="A2869" s="3" t="n">
        <v>2010</v>
      </c>
      <c r="B2869" s="3" t="inlineStr">
        <is>
          <t>SYR</t>
        </is>
      </c>
      <c r="C2869" s="3" t="inlineStr">
        <is>
          <t>IMF.RES:WEO</t>
        </is>
      </c>
      <c r="D2869" s="3" t="inlineStr">
        <is>
          <t>SYR.NGDP_R.A</t>
        </is>
      </c>
      <c r="E2869" s="3" t="inlineStr">
        <is>
          <t>Syrian Arab Republic</t>
        </is>
      </c>
      <c r="F2869" s="3" t="inlineStr">
        <is>
          <t>Gross domestic product (GDP), Constant prices, Domestic currency</t>
        </is>
      </c>
      <c r="G2869" s="3" t="n">
        <v>947.13</v>
      </c>
      <c r="H2869" s="3" t="n">
        <v>981.9829999999999</v>
      </c>
      <c r="I2869" s="3" t="n">
        <v>1039.888047</v>
      </c>
      <c r="J2869" s="3" t="n">
        <v>1018.708</v>
      </c>
      <c r="K2869" s="3" t="n">
        <v>1089.026</v>
      </c>
      <c r="L2869" s="3" t="n">
        <v>1156.714</v>
      </c>
      <c r="M2869" s="3" t="n">
        <v>1215.082</v>
      </c>
      <c r="N2869" s="3" t="n">
        <v>1284.035</v>
      </c>
      <c r="O2869" s="3" t="n">
        <v>1341.515</v>
      </c>
      <c r="P2869" s="3" t="n">
        <v>1420.832</v>
      </c>
      <c r="Q2869" s="3" t="n">
        <v>1469.703</v>
      </c>
      <c r="R2869" s="3" t="n"/>
      <c r="S2869" s="3" t="n"/>
      <c r="T2869" s="3" t="n"/>
      <c r="U2869" s="3" t="n"/>
      <c r="V2869" s="3" t="n"/>
      <c r="W2869" s="3" t="n"/>
      <c r="X2869" s="3" t="n"/>
      <c r="Y2869" s="3" t="n"/>
      <c r="Z2869" s="3" t="n"/>
      <c r="AA2869" s="3" t="n"/>
      <c r="AB2869" s="3" t="n"/>
      <c r="AC2869" s="3" t="n"/>
      <c r="AD2869" s="3" t="n"/>
      <c r="AE2869" s="3" t="n"/>
      <c r="AF2869" s="3" t="n"/>
      <c r="AG2869" s="3" t="n"/>
      <c r="AH2869" s="3" t="n"/>
      <c r="AI2869" s="3" t="n"/>
      <c r="AJ2869" s="3" t="n"/>
      <c r="AK2869" s="3" t="n"/>
      <c r="AL2869" s="3" t="n"/>
      <c r="AM2869" s="3" t="n"/>
      <c r="AN2869" s="3" t="n"/>
      <c r="AO2869" s="3" t="n"/>
      <c r="AP2869" s="3" t="n"/>
      <c r="AQ2869" s="3" t="n"/>
      <c r="AR2869" s="3" t="n"/>
      <c r="AS2869" s="3" t="n"/>
      <c r="AT2869" s="3" t="n"/>
      <c r="AU2869" s="3" t="n"/>
    </row>
    <row r="2870">
      <c r="A2870" s="3" t="n">
        <v>2010</v>
      </c>
      <c r="B2870" s="3" t="inlineStr">
        <is>
          <t>SYR</t>
        </is>
      </c>
      <c r="C2870" s="3" t="inlineStr">
        <is>
          <t>IMF.RES:WEO</t>
        </is>
      </c>
      <c r="D2870" s="3" t="inlineStr">
        <is>
          <t>SYR.NGDP_RPCH.A</t>
        </is>
      </c>
      <c r="E2870" s="3" t="inlineStr">
        <is>
          <t>Syrian Arab Republic</t>
        </is>
      </c>
      <c r="F2870" s="3" t="inlineStr">
        <is>
          <t>Gross domestic product (GDP), Constant prices, Percent change</t>
        </is>
      </c>
      <c r="G2870" s="3" t="n">
        <v>2.294636</v>
      </c>
      <c r="H2870" s="3" t="n">
        <v>3.679854</v>
      </c>
      <c r="I2870" s="3" t="n">
        <v>5.896746</v>
      </c>
      <c r="J2870" s="3" t="n">
        <v>-2.036762</v>
      </c>
      <c r="K2870" s="3" t="n">
        <v>6.902665</v>
      </c>
      <c r="L2870" s="3" t="n">
        <v>6.215462</v>
      </c>
      <c r="M2870" s="3" t="n">
        <v>5.046018</v>
      </c>
      <c r="N2870" s="3" t="n">
        <v>5.674761</v>
      </c>
      <c r="O2870" s="3" t="n">
        <v>4.476513</v>
      </c>
      <c r="P2870" s="3" t="n">
        <v>5.912494</v>
      </c>
      <c r="Q2870" s="3" t="n">
        <v>3.439604</v>
      </c>
      <c r="R2870" s="3" t="n"/>
      <c r="S2870" s="3" t="n"/>
      <c r="T2870" s="3" t="n"/>
      <c r="U2870" s="3" t="n"/>
      <c r="V2870" s="3" t="n"/>
      <c r="W2870" s="3" t="n"/>
      <c r="X2870" s="3" t="n"/>
      <c r="Y2870" s="3" t="n"/>
      <c r="Z2870" s="3" t="n"/>
      <c r="AA2870" s="3" t="n"/>
      <c r="AB2870" s="3" t="n"/>
      <c r="AC2870" s="3" t="n"/>
      <c r="AD2870" s="3" t="n"/>
      <c r="AE2870" s="3" t="n"/>
      <c r="AF2870" s="3" t="n"/>
      <c r="AG2870" s="3" t="n"/>
      <c r="AH2870" s="3" t="n"/>
      <c r="AI2870" s="3" t="n"/>
      <c r="AJ2870" s="3" t="n"/>
      <c r="AK2870" s="3" t="n"/>
      <c r="AL2870" s="3" t="n"/>
      <c r="AM2870" s="3" t="n"/>
      <c r="AN2870" s="3" t="n"/>
      <c r="AO2870" s="3" t="n"/>
      <c r="AP2870" s="3" t="n"/>
      <c r="AQ2870" s="3" t="n"/>
      <c r="AR2870" s="3" t="n"/>
      <c r="AS2870" s="3" t="n"/>
      <c r="AT2870" s="3" t="n"/>
      <c r="AU2870" s="3" t="n"/>
    </row>
    <row r="2871">
      <c r="A2871" s="3" t="n">
        <v>2010</v>
      </c>
      <c r="B2871" s="3" t="inlineStr">
        <is>
          <t>SYR</t>
        </is>
      </c>
      <c r="C2871" s="3" t="inlineStr">
        <is>
          <t>IMF.RES:WEO</t>
        </is>
      </c>
      <c r="D2871" s="3" t="inlineStr">
        <is>
          <t>SYR.NGDPD.A</t>
        </is>
      </c>
      <c r="E2871" s="3" t="inlineStr">
        <is>
          <t>Syrian Arab Republic</t>
        </is>
      </c>
      <c r="F2871" s="3" t="inlineStr">
        <is>
          <t>Gross domestic product (GDP), Current prices, US dollar</t>
        </is>
      </c>
      <c r="G2871" s="3" t="n">
        <v>19.860774</v>
      </c>
      <c r="H2871" s="3" t="n">
        <v>20.978636</v>
      </c>
      <c r="I2871" s="3" t="n">
        <v>22.758421</v>
      </c>
      <c r="J2871" s="3" t="n">
        <v>21.701756</v>
      </c>
      <c r="K2871" s="3" t="n">
        <v>25.203648</v>
      </c>
      <c r="L2871" s="3" t="n">
        <v>28.880882</v>
      </c>
      <c r="M2871" s="3" t="n">
        <v>33.823553</v>
      </c>
      <c r="N2871" s="3" t="n">
        <v>40.487753</v>
      </c>
      <c r="O2871" s="3" t="n">
        <v>52.630697</v>
      </c>
      <c r="P2871" s="3" t="n">
        <v>53.938543</v>
      </c>
      <c r="Q2871" s="3" t="n">
        <v>60.042896</v>
      </c>
      <c r="R2871" s="3" t="n"/>
      <c r="S2871" s="3" t="n"/>
      <c r="T2871" s="3" t="n"/>
      <c r="U2871" s="3" t="n"/>
      <c r="V2871" s="3" t="n"/>
      <c r="W2871" s="3" t="n"/>
      <c r="X2871" s="3" t="n"/>
      <c r="Y2871" s="3" t="n"/>
      <c r="Z2871" s="3" t="n"/>
      <c r="AA2871" s="3" t="n"/>
      <c r="AB2871" s="3" t="n"/>
      <c r="AC2871" s="3" t="n"/>
      <c r="AD2871" s="3" t="n"/>
      <c r="AE2871" s="3" t="n"/>
      <c r="AF2871" s="3" t="n"/>
      <c r="AG2871" s="3" t="n"/>
      <c r="AH2871" s="3" t="n"/>
      <c r="AI2871" s="3" t="n"/>
      <c r="AJ2871" s="3" t="n"/>
      <c r="AK2871" s="3" t="n"/>
      <c r="AL2871" s="3" t="n"/>
      <c r="AM2871" s="3" t="n"/>
      <c r="AN2871" s="3" t="n"/>
      <c r="AO2871" s="3" t="n"/>
      <c r="AP2871" s="3" t="n"/>
      <c r="AQ2871" s="3" t="n"/>
      <c r="AR2871" s="3" t="n"/>
      <c r="AS2871" s="3" t="n"/>
      <c r="AT2871" s="3" t="n"/>
      <c r="AU2871" s="3" t="n"/>
    </row>
    <row r="2872">
      <c r="A2872" s="3" t="n">
        <v>2010</v>
      </c>
      <c r="B2872" s="3" t="inlineStr">
        <is>
          <t>SYR</t>
        </is>
      </c>
      <c r="C2872" s="3" t="inlineStr">
        <is>
          <t>IMF.RES:WEO</t>
        </is>
      </c>
      <c r="D2872" s="3" t="inlineStr">
        <is>
          <t>SYR.NGDPPC.A</t>
        </is>
      </c>
      <c r="E2872" s="3" t="inlineStr">
        <is>
          <t>Syrian Arab Republic</t>
        </is>
      </c>
      <c r="F2872" s="3" t="inlineStr">
        <is>
          <t>Gross domestic product (GDP), Current prices, Per capita, Domestic currency</t>
        </is>
      </c>
      <c r="G2872" s="3" t="n">
        <v>57364.058725</v>
      </c>
      <c r="H2872" s="3" t="n">
        <v>59558.415449</v>
      </c>
      <c r="I2872" s="3" t="n">
        <v>64118.049521</v>
      </c>
      <c r="J2872" s="3" t="n">
        <v>59835.679615</v>
      </c>
      <c r="K2872" s="3" t="n">
        <v>68437.353285</v>
      </c>
      <c r="L2872" s="3" t="n">
        <v>78782.711817</v>
      </c>
      <c r="M2872" s="3" t="n">
        <v>88098.99653800001</v>
      </c>
      <c r="N2872" s="3" t="n">
        <v>100625.828514</v>
      </c>
      <c r="O2872" s="3" t="n">
        <v>118945.89773</v>
      </c>
      <c r="P2872" s="3" t="n">
        <v>119508.521816</v>
      </c>
      <c r="Q2872" s="3" t="n">
        <v>130500.584869</v>
      </c>
      <c r="R2872" s="3" t="n"/>
      <c r="S2872" s="3" t="n"/>
      <c r="T2872" s="3" t="n"/>
      <c r="U2872" s="3" t="n"/>
      <c r="V2872" s="3" t="n"/>
      <c r="W2872" s="3" t="n"/>
      <c r="X2872" s="3" t="n"/>
      <c r="Y2872" s="3" t="n"/>
      <c r="Z2872" s="3" t="n"/>
      <c r="AA2872" s="3" t="n"/>
      <c r="AB2872" s="3" t="n"/>
      <c r="AC2872" s="3" t="n"/>
      <c r="AD2872" s="3" t="n"/>
      <c r="AE2872" s="3" t="n"/>
      <c r="AF2872" s="3" t="n"/>
      <c r="AG2872" s="3" t="n"/>
      <c r="AH2872" s="3" t="n"/>
      <c r="AI2872" s="3" t="n"/>
      <c r="AJ2872" s="3" t="n"/>
      <c r="AK2872" s="3" t="n"/>
      <c r="AL2872" s="3" t="n"/>
      <c r="AM2872" s="3" t="n"/>
      <c r="AN2872" s="3" t="n"/>
      <c r="AO2872" s="3" t="n"/>
      <c r="AP2872" s="3" t="n"/>
      <c r="AQ2872" s="3" t="n"/>
      <c r="AR2872" s="3" t="n"/>
      <c r="AS2872" s="3" t="n"/>
      <c r="AT2872" s="3" t="n"/>
      <c r="AU2872" s="3" t="n"/>
    </row>
    <row r="2873">
      <c r="A2873" s="3" t="n">
        <v>2010</v>
      </c>
      <c r="B2873" s="3" t="inlineStr">
        <is>
          <t>SYR</t>
        </is>
      </c>
      <c r="C2873" s="3" t="inlineStr">
        <is>
          <t>IMF.RES:WEO</t>
        </is>
      </c>
      <c r="D2873" s="3" t="inlineStr">
        <is>
          <t>SYR.NGDPRPC.A</t>
        </is>
      </c>
      <c r="E2873" s="3" t="inlineStr">
        <is>
          <t>Syrian Arab Republic</t>
        </is>
      </c>
      <c r="F2873" s="3" t="inlineStr">
        <is>
          <t>Gross domestic product (GDP), Constant prices, Per capita, Domestic currency</t>
        </is>
      </c>
      <c r="G2873" s="3" t="n">
        <v>57364.058725</v>
      </c>
      <c r="H2873" s="3" t="n">
        <v>57897.575294</v>
      </c>
      <c r="I2873" s="3" t="n">
        <v>59632.622761</v>
      </c>
      <c r="J2873" s="3" t="n">
        <v>56746.588282</v>
      </c>
      <c r="K2873" s="3" t="n">
        <v>58829.099819</v>
      </c>
      <c r="L2873" s="3" t="n">
        <v>60492.993891</v>
      </c>
      <c r="M2873" s="3" t="n">
        <v>62006.057048</v>
      </c>
      <c r="N2873" s="3" t="n">
        <v>63937.379303</v>
      </c>
      <c r="O2873" s="3" t="n">
        <v>65181.288855</v>
      </c>
      <c r="P2873" s="3" t="n">
        <v>67362.714823</v>
      </c>
      <c r="Q2873" s="3" t="n">
        <v>68700.77319399999</v>
      </c>
      <c r="R2873" s="3" t="n"/>
      <c r="S2873" s="3" t="n"/>
      <c r="T2873" s="3" t="n"/>
      <c r="U2873" s="3" t="n"/>
      <c r="V2873" s="3" t="n"/>
      <c r="W2873" s="3" t="n"/>
      <c r="X2873" s="3" t="n"/>
      <c r="Y2873" s="3" t="n"/>
      <c r="Z2873" s="3" t="n"/>
      <c r="AA2873" s="3" t="n"/>
      <c r="AB2873" s="3" t="n"/>
      <c r="AC2873" s="3" t="n"/>
      <c r="AD2873" s="3" t="n"/>
      <c r="AE2873" s="3" t="n"/>
      <c r="AF2873" s="3" t="n"/>
      <c r="AG2873" s="3" t="n"/>
      <c r="AH2873" s="3" t="n"/>
      <c r="AI2873" s="3" t="n"/>
      <c r="AJ2873" s="3" t="n"/>
      <c r="AK2873" s="3" t="n"/>
      <c r="AL2873" s="3" t="n"/>
      <c r="AM2873" s="3" t="n"/>
      <c r="AN2873" s="3" t="n"/>
      <c r="AO2873" s="3" t="n"/>
      <c r="AP2873" s="3" t="n"/>
      <c r="AQ2873" s="3" t="n"/>
      <c r="AR2873" s="3" t="n"/>
      <c r="AS2873" s="3" t="n"/>
      <c r="AT2873" s="3" t="n"/>
      <c r="AU2873" s="3" t="n"/>
    </row>
    <row r="2874">
      <c r="A2874" s="3" t="n">
        <v>2010</v>
      </c>
      <c r="B2874" s="3" t="inlineStr">
        <is>
          <t>SYR</t>
        </is>
      </c>
      <c r="C2874" s="3" t="inlineStr">
        <is>
          <t>IMF.RES:WEO</t>
        </is>
      </c>
      <c r="D2874" s="3" t="inlineStr">
        <is>
          <t>SYR.PCPI.A</t>
        </is>
      </c>
      <c r="E2874" s="3" t="inlineStr">
        <is>
          <t>Syrian Arab Republic</t>
        </is>
      </c>
      <c r="F2874" s="3" t="inlineStr">
        <is>
          <t>All Items, Consumer price index (CPI), Period average</t>
        </is>
      </c>
      <c r="G2874" s="3" t="n">
        <v>100</v>
      </c>
      <c r="H2874" s="3" t="n">
        <v>103.401032</v>
      </c>
      <c r="I2874" s="3" t="n">
        <v>102.865665</v>
      </c>
      <c r="J2874" s="3" t="n">
        <v>108.828612</v>
      </c>
      <c r="K2874" s="3" t="n">
        <v>113.653139</v>
      </c>
      <c r="L2874" s="3" t="n">
        <v>121.882023</v>
      </c>
      <c r="M2874" s="3" t="n">
        <v>134.545812</v>
      </c>
      <c r="N2874" s="3" t="n">
        <v>140.838684</v>
      </c>
      <c r="O2874" s="3" t="n">
        <v>162.179322</v>
      </c>
      <c r="P2874" s="3" t="n">
        <v>166.726395</v>
      </c>
      <c r="Q2874" s="3" t="n">
        <v>174.059045</v>
      </c>
      <c r="R2874" s="3" t="n"/>
      <c r="S2874" s="3" t="n"/>
      <c r="T2874" s="3" t="n"/>
      <c r="U2874" s="3" t="n"/>
      <c r="V2874" s="3" t="n"/>
      <c r="W2874" s="3" t="n"/>
      <c r="X2874" s="3" t="n"/>
      <c r="Y2874" s="3" t="n"/>
      <c r="Z2874" s="3" t="n"/>
      <c r="AA2874" s="3" t="n"/>
      <c r="AB2874" s="3" t="n"/>
      <c r="AC2874" s="3" t="n"/>
      <c r="AD2874" s="3" t="n"/>
      <c r="AE2874" s="3" t="n"/>
      <c r="AF2874" s="3" t="n"/>
      <c r="AG2874" s="3" t="n"/>
      <c r="AH2874" s="3" t="n"/>
      <c r="AI2874" s="3" t="n"/>
      <c r="AJ2874" s="3" t="n"/>
      <c r="AK2874" s="3" t="n"/>
      <c r="AL2874" s="3" t="n"/>
      <c r="AM2874" s="3" t="n"/>
      <c r="AN2874" s="3" t="n"/>
      <c r="AO2874" s="3" t="n"/>
      <c r="AP2874" s="3" t="n"/>
      <c r="AQ2874" s="3" t="n"/>
      <c r="AR2874" s="3" t="n"/>
      <c r="AS2874" s="3" t="n"/>
      <c r="AT2874" s="3" t="n"/>
      <c r="AU2874" s="3" t="n"/>
    </row>
    <row r="2875">
      <c r="A2875" s="3" t="n">
        <v>2010</v>
      </c>
      <c r="B2875" s="3" t="inlineStr">
        <is>
          <t>SYR</t>
        </is>
      </c>
      <c r="C2875" s="3" t="inlineStr">
        <is>
          <t>IMF.RES:WEO</t>
        </is>
      </c>
      <c r="D2875" s="3" t="inlineStr">
        <is>
          <t>SYR.PCPIPCH.A</t>
        </is>
      </c>
      <c r="E2875" s="3" t="inlineStr">
        <is>
          <t>Syrian Arab Republic</t>
        </is>
      </c>
      <c r="F2875" s="3" t="inlineStr">
        <is>
          <t>All Items, Consumer price index (CPI), Period average, percent change</t>
        </is>
      </c>
      <c r="G2875" s="3" t="n">
        <v>-3.9</v>
      </c>
      <c r="H2875" s="3" t="n">
        <v>3.401032</v>
      </c>
      <c r="I2875" s="3" t="n">
        <v>-0.517757</v>
      </c>
      <c r="J2875" s="3" t="n">
        <v>5.796829</v>
      </c>
      <c r="K2875" s="3" t="n">
        <v>4.433141</v>
      </c>
      <c r="L2875" s="3" t="n">
        <v>7.240349</v>
      </c>
      <c r="M2875" s="3" t="n">
        <v>10.390202</v>
      </c>
      <c r="N2875" s="3" t="n">
        <v>4.677122</v>
      </c>
      <c r="O2875" s="3" t="n">
        <v>15.15254</v>
      </c>
      <c r="P2875" s="3" t="n">
        <v>2.803731</v>
      </c>
      <c r="Q2875" s="3" t="n">
        <v>4.398014</v>
      </c>
      <c r="R2875" s="3" t="n"/>
      <c r="S2875" s="3" t="n"/>
      <c r="T2875" s="3" t="n"/>
      <c r="U2875" s="3" t="n"/>
      <c r="V2875" s="3" t="n"/>
      <c r="W2875" s="3" t="n"/>
      <c r="X2875" s="3" t="n"/>
      <c r="Y2875" s="3" t="n"/>
      <c r="Z2875" s="3" t="n"/>
      <c r="AA2875" s="3" t="n"/>
      <c r="AB2875" s="3" t="n"/>
      <c r="AC2875" s="3" t="n"/>
      <c r="AD2875" s="3" t="n"/>
      <c r="AE2875" s="3" t="n"/>
      <c r="AF2875" s="3" t="n"/>
      <c r="AG2875" s="3" t="n"/>
      <c r="AH2875" s="3" t="n"/>
      <c r="AI2875" s="3" t="n"/>
      <c r="AJ2875" s="3" t="n"/>
      <c r="AK2875" s="3" t="n"/>
      <c r="AL2875" s="3" t="n"/>
      <c r="AM2875" s="3" t="n"/>
      <c r="AN2875" s="3" t="n"/>
      <c r="AO2875" s="3" t="n"/>
      <c r="AP2875" s="3" t="n"/>
      <c r="AQ2875" s="3" t="n"/>
      <c r="AR2875" s="3" t="n"/>
      <c r="AS2875" s="3" t="n"/>
      <c r="AT2875" s="3" t="n"/>
      <c r="AU2875" s="3" t="n"/>
    </row>
    <row r="2876">
      <c r="A2876" s="3" t="n">
        <v>2010</v>
      </c>
      <c r="B2876" s="3" t="inlineStr">
        <is>
          <t>SYR</t>
        </is>
      </c>
      <c r="C2876" s="3" t="inlineStr">
        <is>
          <t>IMF.RES:WEO</t>
        </is>
      </c>
      <c r="D2876" s="3" t="inlineStr">
        <is>
          <t>SYR.PPPPC.A</t>
        </is>
      </c>
      <c r="E2876" s="3" t="inlineStr">
        <is>
          <t>Syrian Arab Republic</t>
        </is>
      </c>
      <c r="F2876" s="3" t="inlineStr">
        <is>
          <t>Gross domestic product (GDP), Per capita, purchasing power parity (PPP) international dollar, ICP benchmarks 2017-2021</t>
        </is>
      </c>
      <c r="G2876" s="3" t="n">
        <v>4318.786532</v>
      </c>
      <c r="H2876" s="3" t="n">
        <v>4457.100653</v>
      </c>
      <c r="I2876" s="3" t="n">
        <v>4662.0096</v>
      </c>
      <c r="J2876" s="3" t="n">
        <v>4523.966521</v>
      </c>
      <c r="K2876" s="3" t="n">
        <v>4816.09729</v>
      </c>
      <c r="L2876" s="3" t="n">
        <v>5107.609158</v>
      </c>
      <c r="M2876" s="3" t="n">
        <v>5396.814112</v>
      </c>
      <c r="N2876" s="3" t="n">
        <v>5715.678839</v>
      </c>
      <c r="O2876" s="3" t="n">
        <v>5939.127707</v>
      </c>
      <c r="P2876" s="3" t="n">
        <v>6175.747797</v>
      </c>
      <c r="Q2876" s="3" t="n">
        <v>6374.969071</v>
      </c>
      <c r="R2876" s="3" t="n"/>
      <c r="S2876" s="3" t="n"/>
      <c r="T2876" s="3" t="n"/>
      <c r="U2876" s="3" t="n"/>
      <c r="V2876" s="3" t="n"/>
      <c r="W2876" s="3" t="n"/>
      <c r="X2876" s="3" t="n"/>
      <c r="Y2876" s="3" t="n"/>
      <c r="Z2876" s="3" t="n"/>
      <c r="AA2876" s="3" t="n"/>
      <c r="AB2876" s="3" t="n"/>
      <c r="AC2876" s="3" t="n"/>
      <c r="AD2876" s="3" t="n"/>
      <c r="AE2876" s="3" t="n"/>
      <c r="AF2876" s="3" t="n"/>
      <c r="AG2876" s="3" t="n"/>
      <c r="AH2876" s="3" t="n"/>
      <c r="AI2876" s="3" t="n"/>
      <c r="AJ2876" s="3" t="n"/>
      <c r="AK2876" s="3" t="n"/>
      <c r="AL2876" s="3" t="n"/>
      <c r="AM2876" s="3" t="n"/>
      <c r="AN2876" s="3" t="n"/>
      <c r="AO2876" s="3" t="n"/>
      <c r="AP2876" s="3" t="n"/>
      <c r="AQ2876" s="3" t="n"/>
      <c r="AR2876" s="3" t="n"/>
      <c r="AS2876" s="3" t="n"/>
      <c r="AT2876" s="3" t="n"/>
      <c r="AU2876" s="3" t="n"/>
    </row>
    <row r="2877">
      <c r="A2877" s="3" t="n">
        <v>2025</v>
      </c>
      <c r="B2877" s="3" t="inlineStr">
        <is>
          <t>SYR</t>
        </is>
      </c>
      <c r="C2877" s="3" t="inlineStr">
        <is>
          <t>IMF.STA:ER</t>
        </is>
      </c>
      <c r="D2877" s="3" t="inlineStr">
        <is>
          <t>SYR.XDC_USD.PA_RT.A</t>
        </is>
      </c>
      <c r="E2877" s="3" t="inlineStr">
        <is>
          <t>Syrian Arab Republic</t>
        </is>
      </c>
      <c r="F2877" s="3" t="inlineStr">
        <is>
          <t>Domestic currency per US Dollar</t>
        </is>
      </c>
      <c r="G2877" s="3" t="n">
        <v>11.225</v>
      </c>
      <c r="H2877" s="3" t="n">
        <v>11.225</v>
      </c>
      <c r="I2877" s="3" t="n">
        <v>11.225</v>
      </c>
      <c r="J2877" s="3" t="n">
        <v>11.225</v>
      </c>
      <c r="K2877" s="3" t="n">
        <v>11.225</v>
      </c>
      <c r="L2877" s="3" t="n">
        <v>11.225</v>
      </c>
      <c r="M2877" s="3" t="n">
        <v>11.225</v>
      </c>
      <c r="N2877" s="3" t="n">
        <v>11.225</v>
      </c>
      <c r="O2877" s="3" t="n">
        <v>11.225</v>
      </c>
      <c r="P2877" s="3" t="n">
        <v>11.225</v>
      </c>
      <c r="Q2877" s="3" t="n">
        <v>11.225</v>
      </c>
      <c r="R2877" s="3" t="n">
        <v>48.3366666666667</v>
      </c>
      <c r="S2877" s="3" t="n">
        <v>64.5808333333333</v>
      </c>
      <c r="T2877" s="3" t="n">
        <v>108.733333333333</v>
      </c>
      <c r="U2877" s="3" t="n">
        <v>154.13</v>
      </c>
      <c r="V2877" s="3" t="n">
        <v>237.029166666667</v>
      </c>
      <c r="W2877" s="3" t="n">
        <v>460.275833333333</v>
      </c>
      <c r="X2877" s="3" t="n">
        <v>492.610833333333</v>
      </c>
      <c r="Y2877" s="3" t="n">
        <v>436.5</v>
      </c>
      <c r="Z2877" s="3" t="n">
        <v>436.5</v>
      </c>
      <c r="AA2877" s="3" t="n">
        <v>877.945250896057</v>
      </c>
      <c r="AB2877" s="3" t="n">
        <v>1256</v>
      </c>
      <c r="AC2877" s="3" t="n">
        <v>2505.74691085873</v>
      </c>
      <c r="AD2877" s="3" t="n">
        <v>2505.74691085873</v>
      </c>
      <c r="AE2877" s="3" t="n">
        <v>2505.74691085873</v>
      </c>
      <c r="AF2877" s="3" t="n">
        <v>2505.74691085873</v>
      </c>
      <c r="AG2877" s="3" t="n"/>
      <c r="AH2877" s="3" t="n"/>
      <c r="AI2877" s="3" t="n"/>
      <c r="AJ2877" s="3" t="n"/>
      <c r="AK2877" s="3" t="n"/>
      <c r="AL2877" s="3" t="n"/>
      <c r="AM2877" s="3" t="n"/>
      <c r="AN2877" s="3" t="n"/>
      <c r="AO2877" s="3" t="n"/>
      <c r="AP2877" s="3" t="n"/>
      <c r="AQ2877" s="3" t="n"/>
      <c r="AR2877" s="3" t="n"/>
      <c r="AS2877" s="3" t="n"/>
      <c r="AT2877" s="3" t="n"/>
      <c r="AU2877" s="3" t="n"/>
    </row>
    <row r="2878">
      <c r="A2878" s="3" t="n">
        <v>2031</v>
      </c>
      <c r="B2878" s="3" t="inlineStr">
        <is>
          <t>TCD</t>
        </is>
      </c>
      <c r="C2878" s="3" t="inlineStr">
        <is>
          <t>IMF.RES:WEO</t>
        </is>
      </c>
      <c r="D2878" s="3" t="inlineStr">
        <is>
          <t>TCD.BCA.A</t>
        </is>
      </c>
      <c r="E2878" s="3" t="inlineStr">
        <is>
          <t>Chad</t>
        </is>
      </c>
      <c r="F2878" s="3" t="inlineStr">
        <is>
          <t>Current account balance (credit less debit), US dollar</t>
        </is>
      </c>
      <c r="G2878" s="3" t="n">
        <v>-0.213701</v>
      </c>
      <c r="H2878" s="3" t="n">
        <v>-0.5761540000000001</v>
      </c>
      <c r="I2878" s="3" t="n">
        <v>-1.898396</v>
      </c>
      <c r="J2878" s="3" t="n">
        <v>-1.358716</v>
      </c>
      <c r="K2878" s="3" t="n">
        <v>-0.757709</v>
      </c>
      <c r="L2878" s="3" t="n">
        <v>-0.476916</v>
      </c>
      <c r="M2878" s="3" t="n">
        <v>-0.307152</v>
      </c>
      <c r="N2878" s="3" t="n">
        <v>0.6897219999999999</v>
      </c>
      <c r="O2878" s="3" t="n">
        <v>0.43173</v>
      </c>
      <c r="P2878" s="3" t="n">
        <v>-0.485327</v>
      </c>
      <c r="Q2878" s="3" t="n">
        <v>-0.401429</v>
      </c>
      <c r="R2878" s="3" t="n">
        <v>-0.026056</v>
      </c>
      <c r="S2878" s="3" t="n">
        <v>-0.352536</v>
      </c>
      <c r="T2878" s="3" t="n">
        <v>-0.6433</v>
      </c>
      <c r="U2878" s="3" t="n">
        <v>-0.356787</v>
      </c>
      <c r="V2878" s="3" t="n">
        <v>-0.661625</v>
      </c>
      <c r="W2878" s="3" t="n">
        <v>-0.534158</v>
      </c>
      <c r="X2878" s="3" t="n">
        <v>-0.760943</v>
      </c>
      <c r="Y2878" s="3" t="n">
        <v>-0.599903</v>
      </c>
      <c r="Z2878" s="3" t="n">
        <v>-0.444785</v>
      </c>
      <c r="AA2878" s="3" t="n">
        <v>-0.371115</v>
      </c>
      <c r="AB2878" s="3" t="n">
        <v>-0.09078700000000001</v>
      </c>
      <c r="AC2878" s="3" t="n">
        <v>1.145196</v>
      </c>
      <c r="AD2878" s="3" t="n">
        <v>0.296665</v>
      </c>
      <c r="AE2878" s="3" t="n">
        <v>0.280313</v>
      </c>
      <c r="AF2878" s="3" t="n">
        <v>0.05057</v>
      </c>
      <c r="AG2878" s="3" t="n">
        <v>0.213721</v>
      </c>
      <c r="AH2878" s="3" t="n">
        <v>0.085886</v>
      </c>
      <c r="AI2878" s="3" t="n">
        <v>0.187841</v>
      </c>
      <c r="AJ2878" s="3" t="n">
        <v>0.343544</v>
      </c>
      <c r="AK2878" s="3" t="n">
        <v>0.40845</v>
      </c>
      <c r="AL2878" s="3" t="n">
        <v>0.611957</v>
      </c>
      <c r="AM2878" s="3" t="n"/>
      <c r="AN2878" s="3" t="n"/>
      <c r="AO2878" s="3" t="n"/>
      <c r="AP2878" s="3" t="n"/>
      <c r="AQ2878" s="3" t="n"/>
      <c r="AR2878" s="3" t="n"/>
      <c r="AS2878" s="3" t="n"/>
      <c r="AT2878" s="3" t="n"/>
      <c r="AU2878" s="3" t="n"/>
    </row>
    <row r="2879">
      <c r="A2879" s="3" t="n">
        <v>2031</v>
      </c>
      <c r="B2879" s="3" t="inlineStr">
        <is>
          <t>TCD</t>
        </is>
      </c>
      <c r="C2879" s="3" t="inlineStr">
        <is>
          <t>IMF.RES:WEO</t>
        </is>
      </c>
      <c r="D2879" s="3" t="inlineStr">
        <is>
          <t>TCD.BCA_NGDPD.A</t>
        </is>
      </c>
      <c r="E2879" s="3" t="inlineStr">
        <is>
          <t>Chad</t>
        </is>
      </c>
      <c r="F2879" s="3" t="inlineStr">
        <is>
          <t>Current account balance (credit less debit), Percent of GDP</t>
        </is>
      </c>
      <c r="G2879" s="3" t="n">
        <v>-10.479075</v>
      </c>
      <c r="H2879" s="3" t="n">
        <v>-22.939744</v>
      </c>
      <c r="I2879" s="3" t="n">
        <v>-64.832865</v>
      </c>
      <c r="J2879" s="3" t="n">
        <v>-33.760535</v>
      </c>
      <c r="K2879" s="3" t="n">
        <v>-11.675739</v>
      </c>
      <c r="L2879" s="3" t="n">
        <v>-5.506908</v>
      </c>
      <c r="M2879" s="3" t="n">
        <v>-3.163206</v>
      </c>
      <c r="N2879" s="3" t="n">
        <v>6.347138</v>
      </c>
      <c r="O2879" s="3" t="n">
        <v>3.225685</v>
      </c>
      <c r="P2879" s="3" t="n">
        <v>-3.944386</v>
      </c>
      <c r="Q2879" s="3" t="n">
        <v>-2.853084</v>
      </c>
      <c r="R2879" s="3" t="n">
        <v>-0.156189</v>
      </c>
      <c r="S2879" s="3" t="n">
        <v>-1.971896</v>
      </c>
      <c r="T2879" s="3" t="n">
        <v>-3.601783</v>
      </c>
      <c r="U2879" s="3" t="n">
        <v>-1.961923</v>
      </c>
      <c r="V2879" s="3" t="n">
        <v>-4.542202</v>
      </c>
      <c r="W2879" s="3" t="n">
        <v>-4.085341</v>
      </c>
      <c r="X2879" s="3" t="n">
        <v>-5.739592</v>
      </c>
      <c r="Y2879" s="3" t="n">
        <v>-3.954709</v>
      </c>
      <c r="Z2879" s="3" t="n">
        <v>-3.001538</v>
      </c>
      <c r="AA2879" s="3" t="n">
        <v>-2.505497</v>
      </c>
      <c r="AB2879" s="3" t="n">
        <v>-0.534845</v>
      </c>
      <c r="AC2879" s="3" t="n">
        <v>6.344048</v>
      </c>
      <c r="AD2879" s="3" t="n">
        <v>1.591743</v>
      </c>
      <c r="AE2879" s="3" t="n">
        <v>1.35705</v>
      </c>
      <c r="AF2879" s="3" t="n">
        <v>0.228902</v>
      </c>
      <c r="AG2879" s="3" t="n">
        <v>0.833927</v>
      </c>
      <c r="AH2879" s="3" t="n">
        <v>0.3151</v>
      </c>
      <c r="AI2879" s="3" t="n">
        <v>0.647203</v>
      </c>
      <c r="AJ2879" s="3" t="n">
        <v>1.10252</v>
      </c>
      <c r="AK2879" s="3" t="n">
        <v>1.218751</v>
      </c>
      <c r="AL2879" s="3" t="n">
        <v>1.695891</v>
      </c>
      <c r="AM2879" s="3" t="n"/>
      <c r="AN2879" s="3" t="n"/>
      <c r="AO2879" s="3" t="n"/>
      <c r="AP2879" s="3" t="n"/>
      <c r="AQ2879" s="3" t="n"/>
      <c r="AR2879" s="3" t="n"/>
      <c r="AS2879" s="3" t="n"/>
      <c r="AT2879" s="3" t="n"/>
      <c r="AU2879" s="3" t="n"/>
    </row>
    <row r="2880">
      <c r="A2880" s="3" t="n">
        <v>2031</v>
      </c>
      <c r="B2880" s="3" t="inlineStr">
        <is>
          <t>TCD</t>
        </is>
      </c>
      <c r="C2880" s="3" t="inlineStr">
        <is>
          <t>IMF.RES:WEO</t>
        </is>
      </c>
      <c r="D2880" s="3" t="inlineStr">
        <is>
          <t>TCD.GGR_NGDP.A</t>
        </is>
      </c>
      <c r="E2880" s="3" t="inlineStr">
        <is>
          <t>Chad</t>
        </is>
      </c>
      <c r="F2880" s="3" t="inlineStr">
        <is>
          <t>Revenue, General government, Percent of GDP</t>
        </is>
      </c>
      <c r="G2880" s="3" t="n">
        <v>9.354884</v>
      </c>
      <c r="H2880" s="3" t="n">
        <v>8.45229</v>
      </c>
      <c r="I2880" s="3" t="n">
        <v>9.703154</v>
      </c>
      <c r="J2880" s="3" t="n">
        <v>10.595736</v>
      </c>
      <c r="K2880" s="3" t="n">
        <v>7.996181</v>
      </c>
      <c r="L2880" s="3" t="n">
        <v>8.820399</v>
      </c>
      <c r="M2880" s="3" t="n">
        <v>12.393669</v>
      </c>
      <c r="N2880" s="3" t="n">
        <v>15.657217</v>
      </c>
      <c r="O2880" s="3" t="n">
        <v>17.463398</v>
      </c>
      <c r="P2880" s="3" t="n">
        <v>11.306978</v>
      </c>
      <c r="Q2880" s="3" t="n">
        <v>15.365589</v>
      </c>
      <c r="R2880" s="3" t="n">
        <v>18.081788</v>
      </c>
      <c r="S2880" s="3" t="n">
        <v>16.905172</v>
      </c>
      <c r="T2880" s="3" t="n">
        <v>15.089011</v>
      </c>
      <c r="U2880" s="3" t="n">
        <v>13.703053</v>
      </c>
      <c r="V2880" s="3" t="n">
        <v>10.495944</v>
      </c>
      <c r="W2880" s="3" t="n">
        <v>9.697817000000001</v>
      </c>
      <c r="X2880" s="3" t="n">
        <v>11.136494</v>
      </c>
      <c r="Y2880" s="3" t="n">
        <v>11.120983</v>
      </c>
      <c r="Z2880" s="3" t="n">
        <v>10.514245</v>
      </c>
      <c r="AA2880" s="3" t="n">
        <v>15.320462</v>
      </c>
      <c r="AB2880" s="3" t="n">
        <v>11.688492</v>
      </c>
      <c r="AC2880" s="3" t="n">
        <v>16.403128</v>
      </c>
      <c r="AD2880" s="3" t="n">
        <v>15.837719</v>
      </c>
      <c r="AE2880" s="3" t="n">
        <v>16.042007</v>
      </c>
      <c r="AF2880" s="3" t="n">
        <v>17.332672</v>
      </c>
      <c r="AG2880" s="3" t="n">
        <v>17.197418</v>
      </c>
      <c r="AH2880" s="3" t="n">
        <v>18.150694</v>
      </c>
      <c r="AI2880" s="3" t="n">
        <v>17.885478</v>
      </c>
      <c r="AJ2880" s="3" t="n">
        <v>17.017949</v>
      </c>
      <c r="AK2880" s="3" t="n">
        <v>16.995158</v>
      </c>
      <c r="AL2880" s="3" t="n">
        <v>16.650206</v>
      </c>
      <c r="AM2880" s="3" t="n"/>
      <c r="AN2880" s="3" t="n"/>
      <c r="AO2880" s="3" t="n"/>
      <c r="AP2880" s="3" t="n"/>
      <c r="AQ2880" s="3" t="n"/>
      <c r="AR2880" s="3" t="n"/>
      <c r="AS2880" s="3" t="n"/>
      <c r="AT2880" s="3" t="n"/>
      <c r="AU2880" s="3" t="n"/>
    </row>
    <row r="2881">
      <c r="A2881" s="3" t="n">
        <v>2031</v>
      </c>
      <c r="B2881" s="3" t="inlineStr">
        <is>
          <t>TCD</t>
        </is>
      </c>
      <c r="C2881" s="3" t="inlineStr">
        <is>
          <t>IMF.RES:WEO</t>
        </is>
      </c>
      <c r="D2881" s="3" t="inlineStr">
        <is>
          <t>TCD.GGX_NGDP.A</t>
        </is>
      </c>
      <c r="E2881" s="3" t="inlineStr">
        <is>
          <t>Chad</t>
        </is>
      </c>
      <c r="F2881" s="3" t="inlineStr">
        <is>
          <t>Expenditure, General government, Percent of GDP</t>
        </is>
      </c>
      <c r="G2881" s="3" t="n">
        <v>14.036126</v>
      </c>
      <c r="H2881" s="3" t="n">
        <v>11.986944</v>
      </c>
      <c r="I2881" s="3" t="n">
        <v>13.782275</v>
      </c>
      <c r="J2881" s="3" t="n">
        <v>14.910963</v>
      </c>
      <c r="K2881" s="3" t="n">
        <v>9.836195</v>
      </c>
      <c r="L2881" s="3" t="n">
        <v>8.873175</v>
      </c>
      <c r="M2881" s="3" t="n">
        <v>10.690463</v>
      </c>
      <c r="N2881" s="3" t="n">
        <v>13.63887</v>
      </c>
      <c r="O2881" s="3" t="n">
        <v>14.646771</v>
      </c>
      <c r="P2881" s="3" t="n">
        <v>19.751123</v>
      </c>
      <c r="Q2881" s="3" t="n">
        <v>18.523403</v>
      </c>
      <c r="R2881" s="3" t="n">
        <v>16.335807</v>
      </c>
      <c r="S2881" s="3" t="n">
        <v>16.576592</v>
      </c>
      <c r="T2881" s="3" t="n">
        <v>16.591421</v>
      </c>
      <c r="U2881" s="3" t="n">
        <v>16.923585</v>
      </c>
      <c r="V2881" s="3" t="n">
        <v>13.789194</v>
      </c>
      <c r="W2881" s="3" t="n">
        <v>11.208821</v>
      </c>
      <c r="X2881" s="3" t="n">
        <v>11.312447</v>
      </c>
      <c r="Y2881" s="3" t="n">
        <v>9.734043</v>
      </c>
      <c r="Z2881" s="3" t="n">
        <v>10.624961</v>
      </c>
      <c r="AA2881" s="3" t="n">
        <v>14.085105</v>
      </c>
      <c r="AB2881" s="3" t="n">
        <v>12.981591</v>
      </c>
      <c r="AC2881" s="3" t="n">
        <v>12.616341</v>
      </c>
      <c r="AD2881" s="3" t="n">
        <v>17.095068</v>
      </c>
      <c r="AE2881" s="3" t="n">
        <v>18.069966</v>
      </c>
      <c r="AF2881" s="3" t="n">
        <v>18.593709</v>
      </c>
      <c r="AG2881" s="3" t="n">
        <v>18.579698</v>
      </c>
      <c r="AH2881" s="3" t="n">
        <v>19.452156</v>
      </c>
      <c r="AI2881" s="3" t="n">
        <v>18.141211</v>
      </c>
      <c r="AJ2881" s="3" t="n">
        <v>17.723134</v>
      </c>
      <c r="AK2881" s="3" t="n">
        <v>17.924058</v>
      </c>
      <c r="AL2881" s="3" t="n">
        <v>17.81819</v>
      </c>
      <c r="AM2881" s="3" t="n"/>
      <c r="AN2881" s="3" t="n"/>
      <c r="AO2881" s="3" t="n"/>
      <c r="AP2881" s="3" t="n"/>
      <c r="AQ2881" s="3" t="n"/>
      <c r="AR2881" s="3" t="n"/>
      <c r="AS2881" s="3" t="n"/>
      <c r="AT2881" s="3" t="n"/>
      <c r="AU2881" s="3" t="n"/>
    </row>
    <row r="2882">
      <c r="A2882" s="3" t="n">
        <v>2031</v>
      </c>
      <c r="B2882" s="3" t="inlineStr">
        <is>
          <t>TCD</t>
        </is>
      </c>
      <c r="C2882" s="3" t="inlineStr">
        <is>
          <t>IMF.RES:WEO</t>
        </is>
      </c>
      <c r="D2882" s="3" t="inlineStr">
        <is>
          <t>TCD.LP.A</t>
        </is>
      </c>
      <c r="E2882" s="3" t="inlineStr">
        <is>
          <t>Chad</t>
        </is>
      </c>
      <c r="F2882" s="3" t="inlineStr">
        <is>
          <t>Population, Persons for countries / Index for country groups</t>
        </is>
      </c>
      <c r="G2882" s="3" t="n">
        <v>8.355653999999999</v>
      </c>
      <c r="H2882" s="3" t="n">
        <v>8.678049</v>
      </c>
      <c r="I2882" s="3" t="n">
        <v>9.019226</v>
      </c>
      <c r="J2882" s="3" t="n">
        <v>9.373913</v>
      </c>
      <c r="K2882" s="3" t="n">
        <v>9.734761000000001</v>
      </c>
      <c r="L2882" s="3" t="n">
        <v>10.097</v>
      </c>
      <c r="M2882" s="3" t="n">
        <v>10.457</v>
      </c>
      <c r="N2882" s="3" t="n">
        <v>10.818</v>
      </c>
      <c r="O2882" s="3" t="n">
        <v>11.184</v>
      </c>
      <c r="P2882" s="3" t="n">
        <v>11.56</v>
      </c>
      <c r="Q2882" s="3" t="n">
        <v>11.952</v>
      </c>
      <c r="R2882" s="3" t="n">
        <v>12.361</v>
      </c>
      <c r="S2882" s="3" t="n">
        <v>12.785</v>
      </c>
      <c r="T2882" s="3" t="n">
        <v>13.22</v>
      </c>
      <c r="U2882" s="3" t="n">
        <v>13.664</v>
      </c>
      <c r="V2882" s="3" t="n">
        <v>14.111</v>
      </c>
      <c r="W2882" s="3" t="n">
        <v>14.562</v>
      </c>
      <c r="X2882" s="3" t="n">
        <v>15.017</v>
      </c>
      <c r="Y2882" s="3" t="n">
        <v>15.478</v>
      </c>
      <c r="Z2882" s="3" t="n">
        <v>15.947</v>
      </c>
      <c r="AA2882" s="3" t="n">
        <v>16.426</v>
      </c>
      <c r="AB2882" s="3" t="n">
        <v>16.915</v>
      </c>
      <c r="AC2882" s="3" t="n">
        <v>17.414</v>
      </c>
      <c r="AD2882" s="3" t="n">
        <v>17.921</v>
      </c>
      <c r="AE2882" s="3" t="n">
        <v>18.437</v>
      </c>
      <c r="AF2882" s="3" t="n">
        <v>18.961</v>
      </c>
      <c r="AG2882" s="3" t="n">
        <v>19.491</v>
      </c>
      <c r="AH2882" s="3" t="n">
        <v>20.03</v>
      </c>
      <c r="AI2882" s="3" t="n">
        <v>20.576</v>
      </c>
      <c r="AJ2882" s="3" t="n">
        <v>21.129</v>
      </c>
      <c r="AK2882" s="3" t="n">
        <v>21.69</v>
      </c>
      <c r="AL2882" s="3" t="n">
        <v>22.259</v>
      </c>
      <c r="AM2882" s="3" t="n"/>
      <c r="AN2882" s="3" t="n"/>
      <c r="AO2882" s="3" t="n"/>
      <c r="AP2882" s="3" t="n"/>
      <c r="AQ2882" s="3" t="n"/>
      <c r="AR2882" s="3" t="n"/>
      <c r="AS2882" s="3" t="n"/>
      <c r="AT2882" s="3" t="n"/>
      <c r="AU2882" s="3" t="n"/>
    </row>
    <row r="2883">
      <c r="A2883" s="3" t="n">
        <v>2031</v>
      </c>
      <c r="B2883" s="3" t="inlineStr">
        <is>
          <t>TCD</t>
        </is>
      </c>
      <c r="C2883" s="3" t="inlineStr">
        <is>
          <t>IMF.RES:WEO</t>
        </is>
      </c>
      <c r="D2883" s="3" t="inlineStr">
        <is>
          <t>TCD.NGDP.A</t>
        </is>
      </c>
      <c r="E2883" s="3" t="inlineStr">
        <is>
          <t>Chad</t>
        </is>
      </c>
      <c r="F2883" s="3" t="inlineStr">
        <is>
          <t>Gross domestic product (GDP), Current prices, Domestic currency</t>
        </is>
      </c>
      <c r="G2883" s="3" t="n">
        <v>1447.692954</v>
      </c>
      <c r="H2883" s="3" t="n">
        <v>1839.501444</v>
      </c>
      <c r="I2883" s="3" t="n">
        <v>2033.771674</v>
      </c>
      <c r="J2883" s="3" t="n">
        <v>2334.523997</v>
      </c>
      <c r="K2883" s="3" t="n">
        <v>3423.861214</v>
      </c>
      <c r="L2883" s="3" t="n">
        <v>4563.709029</v>
      </c>
      <c r="M2883" s="3" t="n">
        <v>5072.557743</v>
      </c>
      <c r="N2883" s="3" t="n">
        <v>5200.539683</v>
      </c>
      <c r="O2883" s="3" t="n">
        <v>5969.975468</v>
      </c>
      <c r="P2883" s="3" t="n">
        <v>5792.892877</v>
      </c>
      <c r="Q2883" s="3" t="n">
        <v>6956.06843</v>
      </c>
      <c r="R2883" s="3" t="n">
        <v>7862.948108</v>
      </c>
      <c r="S2883" s="3" t="n">
        <v>9121.965512999999</v>
      </c>
      <c r="T2883" s="3" t="n">
        <v>8821.20729</v>
      </c>
      <c r="U2883" s="3" t="n">
        <v>8976.939611</v>
      </c>
      <c r="V2883" s="3" t="n">
        <v>8610.81731</v>
      </c>
      <c r="W2883" s="3" t="n">
        <v>7750.449722</v>
      </c>
      <c r="X2883" s="3" t="n">
        <v>7700.942232</v>
      </c>
      <c r="Y2883" s="3" t="n">
        <v>8421.935937</v>
      </c>
      <c r="Z2883" s="3" t="n">
        <v>8682.000166</v>
      </c>
      <c r="AA2883" s="3" t="n">
        <v>8513.280564999999</v>
      </c>
      <c r="AB2883" s="3" t="n">
        <v>9407.948343</v>
      </c>
      <c r="AC2883" s="3" t="n">
        <v>11235.668164</v>
      </c>
      <c r="AD2883" s="3" t="n">
        <v>11303.414732</v>
      </c>
      <c r="AE2883" s="3" t="n">
        <v>12522</v>
      </c>
      <c r="AF2883" s="3" t="n">
        <v>12831.884686</v>
      </c>
      <c r="AG2883" s="3" t="n">
        <v>14256.056717</v>
      </c>
      <c r="AH2883" s="3" t="n">
        <v>15196.986067</v>
      </c>
      <c r="AI2883" s="3" t="n">
        <v>16225.836933</v>
      </c>
      <c r="AJ2883" s="3" t="n">
        <v>17429.430517</v>
      </c>
      <c r="AK2883" s="3" t="n">
        <v>18749.051144</v>
      </c>
      <c r="AL2883" s="3" t="n">
        <v>20190.639916</v>
      </c>
      <c r="AM2883" s="3" t="n"/>
      <c r="AN2883" s="3" t="n"/>
      <c r="AO2883" s="3" t="n"/>
      <c r="AP2883" s="3" t="n"/>
      <c r="AQ2883" s="3" t="n"/>
      <c r="AR2883" s="3" t="n"/>
      <c r="AS2883" s="3" t="n"/>
      <c r="AT2883" s="3" t="n"/>
      <c r="AU2883" s="3" t="n"/>
    </row>
    <row r="2884">
      <c r="A2884" s="3" t="n">
        <v>2031</v>
      </c>
      <c r="B2884" s="3" t="inlineStr">
        <is>
          <t>TCD</t>
        </is>
      </c>
      <c r="C2884" s="3" t="inlineStr">
        <is>
          <t>IMF.RES:WEO</t>
        </is>
      </c>
      <c r="D2884" s="3" t="inlineStr">
        <is>
          <t>TCD.NGDP_D.A</t>
        </is>
      </c>
      <c r="E2884" s="3" t="inlineStr">
        <is>
          <t>Chad</t>
        </is>
      </c>
      <c r="F2884" s="3" t="inlineStr">
        <is>
          <t>Gross domestic product (GDP), Price deflator, Index</t>
        </is>
      </c>
      <c r="G2884" s="3" t="n">
        <v>52.624817</v>
      </c>
      <c r="H2884" s="3" t="n">
        <v>59.885804</v>
      </c>
      <c r="I2884" s="3" t="n">
        <v>61.02832</v>
      </c>
      <c r="J2884" s="3" t="n">
        <v>61.063556</v>
      </c>
      <c r="K2884" s="3" t="n">
        <v>67.019008</v>
      </c>
      <c r="L2884" s="3" t="n">
        <v>83.09939</v>
      </c>
      <c r="M2884" s="3" t="n">
        <v>92.845398</v>
      </c>
      <c r="N2884" s="3" t="n">
        <v>91.214417</v>
      </c>
      <c r="O2884" s="3" t="n">
        <v>101.553228</v>
      </c>
      <c r="P2884" s="3" t="n">
        <v>99.877785</v>
      </c>
      <c r="Q2884" s="3" t="n">
        <v>105.394124</v>
      </c>
      <c r="R2884" s="3" t="n">
        <v>113.945981</v>
      </c>
      <c r="S2884" s="3" t="n">
        <v>121.381937</v>
      </c>
      <c r="T2884" s="3" t="n">
        <v>114.044587</v>
      </c>
      <c r="U2884" s="3" t="n">
        <v>113.432183</v>
      </c>
      <c r="V2884" s="3" t="n">
        <v>105.482937</v>
      </c>
      <c r="W2884" s="3" t="n">
        <v>98.54078800000001</v>
      </c>
      <c r="X2884" s="3" t="n">
        <v>100</v>
      </c>
      <c r="Y2884" s="3" t="n">
        <v>103.918463</v>
      </c>
      <c r="Z2884" s="3" t="n">
        <v>101.183507</v>
      </c>
      <c r="AA2884" s="3" t="n">
        <v>99.18489700000001</v>
      </c>
      <c r="AB2884" s="3" t="n">
        <v>107.4869</v>
      </c>
      <c r="AC2884" s="3" t="n">
        <v>122.643294</v>
      </c>
      <c r="AD2884" s="3" t="n">
        <v>117.532089</v>
      </c>
      <c r="AE2884" s="3" t="n">
        <v>123.987938</v>
      </c>
      <c r="AF2884" s="3" t="n">
        <v>120.311092</v>
      </c>
      <c r="AG2884" s="3" t="n">
        <v>127.021387</v>
      </c>
      <c r="AH2884" s="3" t="n">
        <v>129.03879</v>
      </c>
      <c r="AI2884" s="3" t="n">
        <v>131.426537</v>
      </c>
      <c r="AJ2884" s="3" t="n">
        <v>134.3865</v>
      </c>
      <c r="AK2884" s="3" t="n">
        <v>137.458325</v>
      </c>
      <c r="AL2884" s="3" t="n">
        <v>140.60328</v>
      </c>
      <c r="AM2884" s="3" t="n"/>
      <c r="AN2884" s="3" t="n"/>
      <c r="AO2884" s="3" t="n"/>
      <c r="AP2884" s="3" t="n"/>
      <c r="AQ2884" s="3" t="n"/>
      <c r="AR2884" s="3" t="n"/>
      <c r="AS2884" s="3" t="n"/>
      <c r="AT2884" s="3" t="n"/>
      <c r="AU2884" s="3" t="n"/>
    </row>
    <row r="2885">
      <c r="A2885" s="3" t="n">
        <v>2031</v>
      </c>
      <c r="B2885" s="3" t="inlineStr">
        <is>
          <t>TCD</t>
        </is>
      </c>
      <c r="C2885" s="3" t="inlineStr">
        <is>
          <t>IMF.RES:WEO</t>
        </is>
      </c>
      <c r="D2885" s="3" t="inlineStr">
        <is>
          <t>TCD.NGDP_R.A</t>
        </is>
      </c>
      <c r="E2885" s="3" t="inlineStr">
        <is>
          <t>Chad</t>
        </is>
      </c>
      <c r="F2885" s="3" t="inlineStr">
        <is>
          <t>Gross domestic product (GDP), Constant prices, Domestic currency</t>
        </is>
      </c>
      <c r="G2885" s="3" t="n">
        <v>2750.970058</v>
      </c>
      <c r="H2885" s="3" t="n">
        <v>3071.681947</v>
      </c>
      <c r="I2885" s="3" t="n">
        <v>3332.504767</v>
      </c>
      <c r="J2885" s="3" t="n">
        <v>3823.105213</v>
      </c>
      <c r="K2885" s="3" t="n">
        <v>5108.791222</v>
      </c>
      <c r="L2885" s="3" t="n">
        <v>5491.868244</v>
      </c>
      <c r="M2885" s="3" t="n">
        <v>5463.445549</v>
      </c>
      <c r="N2885" s="3" t="n">
        <v>5701.444825</v>
      </c>
      <c r="O2885" s="3" t="n">
        <v>5878.666382</v>
      </c>
      <c r="P2885" s="3" t="n">
        <v>5799.981352</v>
      </c>
      <c r="Q2885" s="3" t="n">
        <v>6600.053337</v>
      </c>
      <c r="R2885" s="3" t="n">
        <v>6900.592732</v>
      </c>
      <c r="S2885" s="3" t="n">
        <v>7515.093065</v>
      </c>
      <c r="T2885" s="3" t="n">
        <v>7734.875938</v>
      </c>
      <c r="U2885" s="3" t="n">
        <v>7913.926509</v>
      </c>
      <c r="V2885" s="3" t="n">
        <v>8163.232409</v>
      </c>
      <c r="W2885" s="3" t="n">
        <v>7865.219991</v>
      </c>
      <c r="X2885" s="3" t="n">
        <v>7700.942232</v>
      </c>
      <c r="Y2885" s="3" t="n">
        <v>8104.36925</v>
      </c>
      <c r="Z2885" s="3" t="n">
        <v>8580.449922</v>
      </c>
      <c r="AA2885" s="3" t="n">
        <v>8583.242834000001</v>
      </c>
      <c r="AB2885" s="3" t="n">
        <v>8752.646456</v>
      </c>
      <c r="AC2885" s="3" t="n">
        <v>9161.257635</v>
      </c>
      <c r="AD2885" s="3" t="n">
        <v>9617.300927</v>
      </c>
      <c r="AE2885" s="3" t="n">
        <v>10099.369501</v>
      </c>
      <c r="AF2885" s="3" t="n">
        <v>10665.587396</v>
      </c>
      <c r="AG2885" s="3" t="n">
        <v>11223.351511</v>
      </c>
      <c r="AH2885" s="3" t="n">
        <v>11777.068039</v>
      </c>
      <c r="AI2885" s="3" t="n">
        <v>12345.93659</v>
      </c>
      <c r="AJ2885" s="3" t="n">
        <v>12969.629025</v>
      </c>
      <c r="AK2885" s="3" t="n">
        <v>13639.807673</v>
      </c>
      <c r="AL2885" s="3" t="n">
        <v>14360.006308</v>
      </c>
      <c r="AM2885" s="3" t="n"/>
      <c r="AN2885" s="3" t="n"/>
      <c r="AO2885" s="3" t="n"/>
      <c r="AP2885" s="3" t="n"/>
      <c r="AQ2885" s="3" t="n"/>
      <c r="AR2885" s="3" t="n"/>
      <c r="AS2885" s="3" t="n"/>
      <c r="AT2885" s="3" t="n"/>
      <c r="AU2885" s="3" t="n"/>
    </row>
    <row r="2886">
      <c r="A2886" s="3" t="n">
        <v>2031</v>
      </c>
      <c r="B2886" s="3" t="inlineStr">
        <is>
          <t>TCD</t>
        </is>
      </c>
      <c r="C2886" s="3" t="inlineStr">
        <is>
          <t>IMF.RES:WEO</t>
        </is>
      </c>
      <c r="D2886" s="3" t="inlineStr">
        <is>
          <t>TCD.NGDP_RPCH.A</t>
        </is>
      </c>
      <c r="E2886" s="3" t="inlineStr">
        <is>
          <t>Chad</t>
        </is>
      </c>
      <c r="F2886" s="3" t="inlineStr">
        <is>
          <t>Gross domestic product (GDP), Constant prices, Percent change</t>
        </is>
      </c>
      <c r="G2886" s="3" t="n">
        <v>-0.879681</v>
      </c>
      <c r="H2886" s="3" t="n">
        <v>11.658138</v>
      </c>
      <c r="I2886" s="3" t="n">
        <v>8.491205000000001</v>
      </c>
      <c r="J2886" s="3" t="n">
        <v>14.721673</v>
      </c>
      <c r="K2886" s="3" t="n">
        <v>33.629365</v>
      </c>
      <c r="L2886" s="3" t="n">
        <v>7.498389</v>
      </c>
      <c r="M2886" s="3" t="n">
        <v>-0.517541</v>
      </c>
      <c r="N2886" s="3" t="n">
        <v>4.356212</v>
      </c>
      <c r="O2886" s="3" t="n">
        <v>3.108362</v>
      </c>
      <c r="P2886" s="3" t="n">
        <v>-1.338484</v>
      </c>
      <c r="Q2886" s="3" t="n">
        <v>13.794389</v>
      </c>
      <c r="R2886" s="3" t="n">
        <v>4.55359</v>
      </c>
      <c r="S2886" s="3" t="n">
        <v>8.905037</v>
      </c>
      <c r="T2886" s="3" t="n">
        <v>2.924553</v>
      </c>
      <c r="U2886" s="3" t="n">
        <v>2.314847</v>
      </c>
      <c r="V2886" s="3" t="n">
        <v>3.150218</v>
      </c>
      <c r="W2886" s="3" t="n">
        <v>-3.650667</v>
      </c>
      <c r="X2886" s="3" t="n">
        <v>-2.088661</v>
      </c>
      <c r="Y2886" s="3" t="n">
        <v>5.238671</v>
      </c>
      <c r="Z2886" s="3" t="n">
        <v>5.87437</v>
      </c>
      <c r="AA2886" s="3" t="n">
        <v>0.03255</v>
      </c>
      <c r="AB2886" s="3" t="n">
        <v>1.973655</v>
      </c>
      <c r="AC2886" s="3" t="n">
        <v>4.66843</v>
      </c>
      <c r="AD2886" s="3" t="n">
        <v>4.977955</v>
      </c>
      <c r="AE2886" s="3" t="n">
        <v>5.012514</v>
      </c>
      <c r="AF2886" s="3" t="n">
        <v>5.606468</v>
      </c>
      <c r="AG2886" s="3" t="n">
        <v>5.229568</v>
      </c>
      <c r="AH2886" s="3" t="n">
        <v>4.933611</v>
      </c>
      <c r="AI2886" s="3" t="n">
        <v>4.830307</v>
      </c>
      <c r="AJ2886" s="3" t="n">
        <v>5.051803</v>
      </c>
      <c r="AK2886" s="3" t="n">
        <v>5.167292</v>
      </c>
      <c r="AL2886" s="3" t="n">
        <v>5.280123</v>
      </c>
      <c r="AM2886" s="3" t="n"/>
      <c r="AN2886" s="3" t="n"/>
      <c r="AO2886" s="3" t="n"/>
      <c r="AP2886" s="3" t="n"/>
      <c r="AQ2886" s="3" t="n"/>
      <c r="AR2886" s="3" t="n"/>
      <c r="AS2886" s="3" t="n"/>
      <c r="AT2886" s="3" t="n"/>
      <c r="AU2886" s="3" t="n"/>
    </row>
    <row r="2887">
      <c r="A2887" s="3" t="n">
        <v>2031</v>
      </c>
      <c r="B2887" s="3" t="inlineStr">
        <is>
          <t>TCD</t>
        </is>
      </c>
      <c r="C2887" s="3" t="inlineStr">
        <is>
          <t>IMF.RES:WEO</t>
        </is>
      </c>
      <c r="D2887" s="3" t="inlineStr">
        <is>
          <t>TCD.NGDPD.A</t>
        </is>
      </c>
      <c r="E2887" s="3" t="inlineStr">
        <is>
          <t>Chad</t>
        </is>
      </c>
      <c r="F2887" s="3" t="inlineStr">
        <is>
          <t>Gross domestic product (GDP), Current prices, US dollar</t>
        </is>
      </c>
      <c r="G2887" s="3" t="n">
        <v>2.03931</v>
      </c>
      <c r="H2887" s="3" t="n">
        <v>2.511598</v>
      </c>
      <c r="I2887" s="3" t="n">
        <v>2.928139</v>
      </c>
      <c r="J2887" s="3" t="n">
        <v>4.024569</v>
      </c>
      <c r="K2887" s="3" t="n">
        <v>6.489604</v>
      </c>
      <c r="L2887" s="3" t="n">
        <v>8.66033</v>
      </c>
      <c r="M2887" s="3" t="n">
        <v>9.710141</v>
      </c>
      <c r="N2887" s="3" t="n">
        <v>10.866666</v>
      </c>
      <c r="O2887" s="3" t="n">
        <v>13.384127</v>
      </c>
      <c r="P2887" s="3" t="n">
        <v>12.304239</v>
      </c>
      <c r="Q2887" s="3" t="n">
        <v>14.069989</v>
      </c>
      <c r="R2887" s="3" t="n">
        <v>16.682414</v>
      </c>
      <c r="S2887" s="3" t="n">
        <v>17.878031</v>
      </c>
      <c r="T2887" s="3" t="n">
        <v>17.860584</v>
      </c>
      <c r="U2887" s="3" t="n">
        <v>18.185559</v>
      </c>
      <c r="V2887" s="3" t="n">
        <v>14.566168</v>
      </c>
      <c r="W2887" s="3" t="n">
        <v>13.074988</v>
      </c>
      <c r="X2887" s="3" t="n">
        <v>13.257789</v>
      </c>
      <c r="Y2887" s="3" t="n">
        <v>15.169338</v>
      </c>
      <c r="Z2887" s="3" t="n">
        <v>14.818579</v>
      </c>
      <c r="AA2887" s="3" t="n">
        <v>14.812027</v>
      </c>
      <c r="AB2887" s="3" t="n">
        <v>16.974523</v>
      </c>
      <c r="AC2887" s="3" t="n">
        <v>18.051508</v>
      </c>
      <c r="AD2887" s="3" t="n">
        <v>18.637735</v>
      </c>
      <c r="AE2887" s="3" t="n">
        <v>20.65606</v>
      </c>
      <c r="AF2887" s="3" t="n">
        <v>22.092291</v>
      </c>
      <c r="AG2887" s="3" t="n">
        <v>25.628221</v>
      </c>
      <c r="AH2887" s="3" t="n">
        <v>27.256848</v>
      </c>
      <c r="AI2887" s="3" t="n">
        <v>29.023486</v>
      </c>
      <c r="AJ2887" s="3" t="n">
        <v>31.159853</v>
      </c>
      <c r="AK2887" s="3" t="n">
        <v>33.51379</v>
      </c>
      <c r="AL2887" s="3" t="n">
        <v>36.084675</v>
      </c>
      <c r="AM2887" s="3" t="n"/>
      <c r="AN2887" s="3" t="n"/>
      <c r="AO2887" s="3" t="n"/>
      <c r="AP2887" s="3" t="n"/>
      <c r="AQ2887" s="3" t="n"/>
      <c r="AR2887" s="3" t="n"/>
      <c r="AS2887" s="3" t="n"/>
      <c r="AT2887" s="3" t="n"/>
      <c r="AU2887" s="3" t="n"/>
    </row>
    <row r="2888">
      <c r="A2888" s="3" t="n">
        <v>2031</v>
      </c>
      <c r="B2888" s="3" t="inlineStr">
        <is>
          <t>TCD</t>
        </is>
      </c>
      <c r="C2888" s="3" t="inlineStr">
        <is>
          <t>IMF.RES:WEO</t>
        </is>
      </c>
      <c r="D2888" s="3" t="inlineStr">
        <is>
          <t>TCD.NGDPPC.A</t>
        </is>
      </c>
      <c r="E2888" s="3" t="inlineStr">
        <is>
          <t>Chad</t>
        </is>
      </c>
      <c r="F2888" s="3" t="inlineStr">
        <is>
          <t>Gross domestic product (GDP), Current prices, Per capita, Domestic currency</t>
        </is>
      </c>
      <c r="G2888" s="3" t="n">
        <v>173259.08351</v>
      </c>
      <c r="H2888" s="3" t="n">
        <v>211971.774356</v>
      </c>
      <c r="I2888" s="3" t="n">
        <v>225492.927458</v>
      </c>
      <c r="J2888" s="3" t="n">
        <v>249044.768903</v>
      </c>
      <c r="K2888" s="3" t="n">
        <v>351714.974225</v>
      </c>
      <c r="L2888" s="3" t="n">
        <v>451986.63255</v>
      </c>
      <c r="M2888" s="3" t="n">
        <v>485087.285359</v>
      </c>
      <c r="N2888" s="3" t="n">
        <v>480730.235075</v>
      </c>
      <c r="O2888" s="3" t="n">
        <v>533796.089815</v>
      </c>
      <c r="P2888" s="3" t="n">
        <v>501115.300738</v>
      </c>
      <c r="Q2888" s="3" t="n">
        <v>582000.370609</v>
      </c>
      <c r="R2888" s="3" t="n">
        <v>636109.385014</v>
      </c>
      <c r="S2888" s="3" t="n">
        <v>713489.6764089999</v>
      </c>
      <c r="T2888" s="3" t="n">
        <v>667262.276108</v>
      </c>
      <c r="U2888" s="3" t="n">
        <v>656977.43057</v>
      </c>
      <c r="V2888" s="3" t="n">
        <v>610220.20479</v>
      </c>
      <c r="W2888" s="3" t="n">
        <v>532237.997682</v>
      </c>
      <c r="X2888" s="3" t="n">
        <v>512814.958538</v>
      </c>
      <c r="Y2888" s="3" t="n">
        <v>544123.009245</v>
      </c>
      <c r="Z2888" s="3" t="n">
        <v>544428.4295729999</v>
      </c>
      <c r="AA2888" s="3" t="n">
        <v>518280.808797</v>
      </c>
      <c r="AB2888" s="3" t="n">
        <v>556189.674408</v>
      </c>
      <c r="AC2888" s="3" t="n">
        <v>645208.921809</v>
      </c>
      <c r="AD2888" s="3" t="n">
        <v>630735.714088</v>
      </c>
      <c r="AE2888" s="3" t="n">
        <v>679177.740413</v>
      </c>
      <c r="AF2888" s="3" t="n">
        <v>676751.473319</v>
      </c>
      <c r="AG2888" s="3" t="n">
        <v>731417.408894</v>
      </c>
      <c r="AH2888" s="3" t="n">
        <v>758711.236511</v>
      </c>
      <c r="AI2888" s="3" t="n">
        <v>788580.721844</v>
      </c>
      <c r="AJ2888" s="3" t="n">
        <v>824905.6044759999</v>
      </c>
      <c r="AK2888" s="3" t="n">
        <v>864409.919053</v>
      </c>
      <c r="AL2888" s="3" t="n">
        <v>907077.582838</v>
      </c>
      <c r="AM2888" s="3" t="n"/>
      <c r="AN2888" s="3" t="n"/>
      <c r="AO2888" s="3" t="n"/>
      <c r="AP2888" s="3" t="n"/>
      <c r="AQ2888" s="3" t="n"/>
      <c r="AR2888" s="3" t="n"/>
      <c r="AS2888" s="3" t="n"/>
      <c r="AT2888" s="3" t="n"/>
      <c r="AU2888" s="3" t="n"/>
    </row>
    <row r="2889">
      <c r="A2889" s="3" t="n">
        <v>2031</v>
      </c>
      <c r="B2889" s="3" t="inlineStr">
        <is>
          <t>TCD</t>
        </is>
      </c>
      <c r="C2889" s="3" t="inlineStr">
        <is>
          <t>IMF.RES:WEO</t>
        </is>
      </c>
      <c r="D2889" s="3" t="inlineStr">
        <is>
          <t>TCD.NGDPRPC.A</t>
        </is>
      </c>
      <c r="E2889" s="3" t="inlineStr">
        <is>
          <t>Chad</t>
        </is>
      </c>
      <c r="F2889" s="3" t="inlineStr">
        <is>
          <t>Gross domestic product (GDP), Constant prices, Per capita, Domestic currency</t>
        </is>
      </c>
      <c r="G2889" s="3" t="n">
        <v>329234.558741</v>
      </c>
      <c r="H2889" s="3" t="n">
        <v>353959.968042</v>
      </c>
      <c r="I2889" s="3" t="n">
        <v>369488.996891</v>
      </c>
      <c r="J2889" s="3" t="n">
        <v>407845.177652</v>
      </c>
      <c r="K2889" s="3" t="n">
        <v>524798.834014</v>
      </c>
      <c r="L2889" s="3" t="n">
        <v>543910.888779</v>
      </c>
      <c r="M2889" s="3" t="n">
        <v>522467.777429</v>
      </c>
      <c r="N2889" s="3" t="n">
        <v>527033.1693</v>
      </c>
      <c r="O2889" s="3" t="n">
        <v>525631.829592</v>
      </c>
      <c r="P2889" s="3" t="n">
        <v>501728.490629</v>
      </c>
      <c r="Q2889" s="3" t="n">
        <v>552213.297955</v>
      </c>
      <c r="R2889" s="3" t="n">
        <v>558255.216597</v>
      </c>
      <c r="S2889" s="3" t="n">
        <v>587805.480241</v>
      </c>
      <c r="T2889" s="3" t="n">
        <v>585088.951469</v>
      </c>
      <c r="U2889" s="3" t="n">
        <v>579180.804198</v>
      </c>
      <c r="V2889" s="3" t="n">
        <v>578501.34003</v>
      </c>
      <c r="W2889" s="3" t="n">
        <v>540119.488458</v>
      </c>
      <c r="X2889" s="3" t="n">
        <v>512814.958538</v>
      </c>
      <c r="Y2889" s="3" t="n">
        <v>523605.71455</v>
      </c>
      <c r="Z2889" s="3" t="n">
        <v>538060.445372</v>
      </c>
      <c r="AA2889" s="3" t="n">
        <v>522540.048353</v>
      </c>
      <c r="AB2889" s="3" t="n">
        <v>517448.800239</v>
      </c>
      <c r="AC2889" s="3" t="n">
        <v>526085.7720849999</v>
      </c>
      <c r="AD2889" s="3" t="n">
        <v>536649.792274</v>
      </c>
      <c r="AE2889" s="3" t="n">
        <v>547777.268611</v>
      </c>
      <c r="AF2889" s="3" t="n">
        <v>562501.312989</v>
      </c>
      <c r="AG2889" s="3" t="n">
        <v>575822.251852</v>
      </c>
      <c r="AH2889" s="3" t="n">
        <v>587971.444798</v>
      </c>
      <c r="AI2889" s="3" t="n">
        <v>600016.358394</v>
      </c>
      <c r="AJ2889" s="3" t="n">
        <v>613830.707797</v>
      </c>
      <c r="AK2889" s="3" t="n">
        <v>628852.359295</v>
      </c>
      <c r="AL2889" s="3" t="n">
        <v>645132.589429</v>
      </c>
      <c r="AM2889" s="3" t="n"/>
      <c r="AN2889" s="3" t="n"/>
      <c r="AO2889" s="3" t="n"/>
      <c r="AP2889" s="3" t="n"/>
      <c r="AQ2889" s="3" t="n"/>
      <c r="AR2889" s="3" t="n"/>
      <c r="AS2889" s="3" t="n"/>
      <c r="AT2889" s="3" t="n"/>
      <c r="AU2889" s="3" t="n"/>
    </row>
    <row r="2890">
      <c r="A2890" s="3" t="n">
        <v>2031</v>
      </c>
      <c r="B2890" s="3" t="inlineStr">
        <is>
          <t>TCD</t>
        </is>
      </c>
      <c r="C2890" s="3" t="inlineStr">
        <is>
          <t>IMF.RES:WEO</t>
        </is>
      </c>
      <c r="D2890" s="3" t="inlineStr">
        <is>
          <t>TCD.PCPI.A</t>
        </is>
      </c>
      <c r="E2890" s="3" t="inlineStr">
        <is>
          <t>Chad</t>
        </is>
      </c>
      <c r="F2890" s="3" t="inlineStr">
        <is>
          <t>All Items, Consumer price index (CPI), Period average</t>
        </is>
      </c>
      <c r="G2890" s="3" t="n">
        <v>65.34060100000001</v>
      </c>
      <c r="H2890" s="3" t="n">
        <v>73.463278</v>
      </c>
      <c r="I2890" s="3" t="n">
        <v>77.27735800000001</v>
      </c>
      <c r="J2890" s="3" t="n">
        <v>75.923019</v>
      </c>
      <c r="K2890" s="3" t="n">
        <v>72.276515</v>
      </c>
      <c r="L2890" s="3" t="n">
        <v>75.492029</v>
      </c>
      <c r="M2890" s="3" t="n">
        <v>82.769673</v>
      </c>
      <c r="N2890" s="3" t="n">
        <v>76.611525</v>
      </c>
      <c r="O2890" s="3" t="n">
        <v>82.99545999999999</v>
      </c>
      <c r="P2890" s="3" t="n">
        <v>91.380207</v>
      </c>
      <c r="Q2890" s="3" t="n">
        <v>89.45194499999999</v>
      </c>
      <c r="R2890" s="3" t="n">
        <v>91.26714</v>
      </c>
      <c r="S2890" s="3" t="n">
        <v>98.127348</v>
      </c>
      <c r="T2890" s="3" t="n">
        <v>98.345849</v>
      </c>
      <c r="U2890" s="3" t="n">
        <v>92.938489</v>
      </c>
      <c r="V2890" s="3" t="n">
        <v>97.430392</v>
      </c>
      <c r="W2890" s="3" t="n">
        <v>95.859194</v>
      </c>
      <c r="X2890" s="3" t="n">
        <v>94.98449599999999</v>
      </c>
      <c r="Y2890" s="3" t="n">
        <v>98.80918800000001</v>
      </c>
      <c r="Z2890" s="3" t="n">
        <v>97.850177</v>
      </c>
      <c r="AA2890" s="3" t="n">
        <v>95.247955</v>
      </c>
      <c r="AB2890" s="3" t="n">
        <v>94.489347</v>
      </c>
      <c r="AC2890" s="3" t="n">
        <v>100</v>
      </c>
      <c r="AD2890" s="3" t="n">
        <v>104.109606</v>
      </c>
      <c r="AE2890" s="3" t="n">
        <v>110.050053</v>
      </c>
      <c r="AF2890" s="3" t="n">
        <v>107.217865</v>
      </c>
      <c r="AG2890" s="3" t="n">
        <v>107.760245</v>
      </c>
      <c r="AH2890" s="3" t="n">
        <v>112.007537</v>
      </c>
      <c r="AI2890" s="3" t="n">
        <v>115.079056</v>
      </c>
      <c r="AJ2890" s="3" t="n">
        <v>118.540806</v>
      </c>
      <c r="AK2890" s="3" t="n">
        <v>122.068828</v>
      </c>
      <c r="AL2890" s="3" t="n">
        <v>125.706307</v>
      </c>
      <c r="AM2890" s="3" t="n"/>
      <c r="AN2890" s="3" t="n"/>
      <c r="AO2890" s="3" t="n"/>
      <c r="AP2890" s="3" t="n"/>
      <c r="AQ2890" s="3" t="n"/>
      <c r="AR2890" s="3" t="n"/>
      <c r="AS2890" s="3" t="n"/>
      <c r="AT2890" s="3" t="n"/>
      <c r="AU2890" s="3" t="n"/>
    </row>
    <row r="2891">
      <c r="A2891" s="3" t="n">
        <v>2031</v>
      </c>
      <c r="B2891" s="3" t="inlineStr">
        <is>
          <t>TCD</t>
        </is>
      </c>
      <c r="C2891" s="3" t="inlineStr">
        <is>
          <t>IMF.RES:WEO</t>
        </is>
      </c>
      <c r="D2891" s="3" t="inlineStr">
        <is>
          <t>TCD.PCPIPCH.A</t>
        </is>
      </c>
      <c r="E2891" s="3" t="inlineStr">
        <is>
          <t>Chad</t>
        </is>
      </c>
      <c r="F2891" s="3" t="inlineStr">
        <is>
          <t>All Items, Consumer price index (CPI), Period average, percent change</t>
        </is>
      </c>
      <c r="G2891" s="3" t="n">
        <v>3.822601</v>
      </c>
      <c r="H2891" s="3" t="n">
        <v>12.431287</v>
      </c>
      <c r="I2891" s="3" t="n">
        <v>5.191819</v>
      </c>
      <c r="J2891" s="3" t="n">
        <v>-1.752569</v>
      </c>
      <c r="K2891" s="3" t="n">
        <v>-4.802896</v>
      </c>
      <c r="L2891" s="3" t="n">
        <v>4.448905</v>
      </c>
      <c r="M2891" s="3" t="n">
        <v>9.640283</v>
      </c>
      <c r="N2891" s="3" t="n">
        <v>-7.440102</v>
      </c>
      <c r="O2891" s="3" t="n">
        <v>8.332865</v>
      </c>
      <c r="P2891" s="3" t="n">
        <v>10.102657</v>
      </c>
      <c r="Q2891" s="3" t="n">
        <v>-2.110152</v>
      </c>
      <c r="R2891" s="3" t="n">
        <v>2.029241</v>
      </c>
      <c r="S2891" s="3" t="n">
        <v>7.516624</v>
      </c>
      <c r="T2891" s="3" t="n">
        <v>0.222672</v>
      </c>
      <c r="U2891" s="3" t="n">
        <v>-5.498311</v>
      </c>
      <c r="V2891" s="3" t="n">
        <v>4.8332</v>
      </c>
      <c r="W2891" s="3" t="n">
        <v>-1.612637</v>
      </c>
      <c r="X2891" s="3" t="n">
        <v>-0.912482</v>
      </c>
      <c r="Y2891" s="3" t="n">
        <v>4.026649</v>
      </c>
      <c r="Z2891" s="3" t="n">
        <v>-0.970568</v>
      </c>
      <c r="AA2891" s="3" t="n">
        <v>-2.659395</v>
      </c>
      <c r="AB2891" s="3" t="n">
        <v>-0.7964560000000001</v>
      </c>
      <c r="AC2891" s="3" t="n">
        <v>5.832036</v>
      </c>
      <c r="AD2891" s="3" t="n">
        <v>4.109606</v>
      </c>
      <c r="AE2891" s="3" t="n">
        <v>5.705955</v>
      </c>
      <c r="AF2891" s="3" t="n">
        <v>-2.573545</v>
      </c>
      <c r="AG2891" s="3" t="n">
        <v>0.505867</v>
      </c>
      <c r="AH2891" s="3" t="n">
        <v>3.941427</v>
      </c>
      <c r="AI2891" s="3" t="n">
        <v>2.742244</v>
      </c>
      <c r="AJ2891" s="3" t="n">
        <v>3.008149</v>
      </c>
      <c r="AK2891" s="3" t="n">
        <v>2.976209</v>
      </c>
      <c r="AL2891" s="3" t="n">
        <v>2.979859</v>
      </c>
      <c r="AM2891" s="3" t="n"/>
      <c r="AN2891" s="3" t="n"/>
      <c r="AO2891" s="3" t="n"/>
      <c r="AP2891" s="3" t="n"/>
      <c r="AQ2891" s="3" t="n"/>
      <c r="AR2891" s="3" t="n"/>
      <c r="AS2891" s="3" t="n"/>
      <c r="AT2891" s="3" t="n"/>
      <c r="AU2891" s="3" t="n"/>
    </row>
    <row r="2892">
      <c r="A2892" s="3" t="n">
        <v>2031</v>
      </c>
      <c r="B2892" s="3" t="inlineStr">
        <is>
          <t>TCD</t>
        </is>
      </c>
      <c r="C2892" s="3" t="inlineStr">
        <is>
          <t>IMF.RES:WEO</t>
        </is>
      </c>
      <c r="D2892" s="3" t="inlineStr">
        <is>
          <t>TCD.PPPPC.A</t>
        </is>
      </c>
      <c r="E2892" s="3" t="inlineStr">
        <is>
          <t>Chad</t>
        </is>
      </c>
      <c r="F2892" s="3" t="inlineStr">
        <is>
          <t>Gross domestic product (GDP), Per capita, purchasing power parity (PPP) international dollar, ICP benchmarks 2017-2021</t>
        </is>
      </c>
      <c r="G2892" s="3" t="n">
        <v>1012.02059</v>
      </c>
      <c r="H2892" s="3" t="n">
        <v>1112.521158</v>
      </c>
      <c r="I2892" s="3" t="n">
        <v>1179.377475</v>
      </c>
      <c r="J2892" s="3" t="n">
        <v>1327.507625</v>
      </c>
      <c r="K2892" s="3" t="n">
        <v>1754.114652</v>
      </c>
      <c r="L2892" s="3" t="n">
        <v>1875.00486</v>
      </c>
      <c r="M2892" s="3" t="n">
        <v>1856.628109</v>
      </c>
      <c r="N2892" s="3" t="n">
        <v>1923.592176</v>
      </c>
      <c r="O2892" s="3" t="n">
        <v>1955.435262</v>
      </c>
      <c r="P2892" s="3" t="n">
        <v>1878.022539</v>
      </c>
      <c r="Q2892" s="3" t="n">
        <v>2092.114186</v>
      </c>
      <c r="R2892" s="3" t="n">
        <v>2158.642385</v>
      </c>
      <c r="S2892" s="3" t="n">
        <v>2315.226318</v>
      </c>
      <c r="T2892" s="3" t="n">
        <v>2343.749711</v>
      </c>
      <c r="U2892" s="3" t="n">
        <v>2360.492078</v>
      </c>
      <c r="V2892" s="3" t="n">
        <v>2379.603798</v>
      </c>
      <c r="W2892" s="3" t="n">
        <v>2242.835476</v>
      </c>
      <c r="X2892" s="3" t="n">
        <v>2167.590126</v>
      </c>
      <c r="Y2892" s="3" t="n">
        <v>2300.512758</v>
      </c>
      <c r="Z2892" s="3" t="n">
        <v>2446.06164</v>
      </c>
      <c r="AA2892" s="3" t="n">
        <v>2270.440811</v>
      </c>
      <c r="AB2892" s="3" t="n">
        <v>2580.795541</v>
      </c>
      <c r="AC2892" s="3" t="n">
        <v>2810.493461</v>
      </c>
      <c r="AD2892" s="3" t="n">
        <v>2973.006676</v>
      </c>
      <c r="AE2892" s="3" t="n">
        <v>3109.988807</v>
      </c>
      <c r="AF2892" s="3" t="n">
        <v>3284.178648</v>
      </c>
      <c r="AG2892" s="3" t="n">
        <v>3458.268245</v>
      </c>
      <c r="AH2892" s="3" t="n">
        <v>3608.776196</v>
      </c>
      <c r="AI2892" s="3" t="n">
        <v>3743.151484</v>
      </c>
      <c r="AJ2892" s="3" t="n">
        <v>3897.420803</v>
      </c>
      <c r="AK2892" s="3" t="n">
        <v>4066.167141</v>
      </c>
      <c r="AL2892" s="3" t="n">
        <v>4246.742307</v>
      </c>
      <c r="AM2892" s="3" t="n"/>
      <c r="AN2892" s="3" t="n"/>
      <c r="AO2892" s="3" t="n"/>
      <c r="AP2892" s="3" t="n"/>
      <c r="AQ2892" s="3" t="n"/>
      <c r="AR2892" s="3" t="n"/>
      <c r="AS2892" s="3" t="n"/>
      <c r="AT2892" s="3" t="n"/>
      <c r="AU2892" s="3" t="n"/>
    </row>
    <row r="2893">
      <c r="A2893" s="3" t="n">
        <v>2025</v>
      </c>
      <c r="B2893" s="3" t="inlineStr">
        <is>
          <t>TCD</t>
        </is>
      </c>
      <c r="C2893" s="3" t="inlineStr">
        <is>
          <t>IMF.STA:ER</t>
        </is>
      </c>
      <c r="D2893" s="3" t="inlineStr">
        <is>
          <t>TCD.XDC_USD.PA_RT.A</t>
        </is>
      </c>
      <c r="E2893" s="3" t="inlineStr">
        <is>
          <t>Chad</t>
        </is>
      </c>
      <c r="F2893" s="3" t="inlineStr">
        <is>
          <t>Domestic currency per US Dollar</t>
        </is>
      </c>
      <c r="G2893" s="3" t="n">
        <v>710.207977031367</v>
      </c>
      <c r="H2893" s="3" t="n">
        <v>732.397693260228</v>
      </c>
      <c r="I2893" s="3" t="n">
        <v>693.713226496374</v>
      </c>
      <c r="J2893" s="3" t="n">
        <v>579.897426172466</v>
      </c>
      <c r="K2893" s="3" t="n">
        <v>527.338032291576</v>
      </c>
      <c r="L2893" s="3" t="n">
        <v>527.258362649626</v>
      </c>
      <c r="M2893" s="3" t="n">
        <v>522.425624895176</v>
      </c>
      <c r="N2893" s="3" t="n">
        <v>478.633718476363</v>
      </c>
      <c r="O2893" s="3" t="n">
        <v>446.000041432788</v>
      </c>
      <c r="P2893" s="3" t="n">
        <v>470.293423341398</v>
      </c>
      <c r="Q2893" s="3" t="n">
        <v>494.794262222947</v>
      </c>
      <c r="R2893" s="3" t="n">
        <v>471.248625718937</v>
      </c>
      <c r="S2893" s="3" t="n">
        <v>510.556338454251</v>
      </c>
      <c r="T2893" s="3" t="n">
        <v>493.899623852237</v>
      </c>
      <c r="U2893" s="3" t="n">
        <v>493.757329875312</v>
      </c>
      <c r="V2893" s="3" t="n">
        <v>591.21169798261</v>
      </c>
      <c r="W2893" s="3" t="n">
        <v>592.605615063022</v>
      </c>
      <c r="X2893" s="3" t="n">
        <v>580.656749587858</v>
      </c>
      <c r="Y2893" s="3" t="n">
        <v>555.446458398226</v>
      </c>
      <c r="Z2893" s="3" t="n">
        <v>585.911013180369</v>
      </c>
      <c r="AA2893" s="3" t="n">
        <v>575.586004510945</v>
      </c>
      <c r="AB2893" s="3" t="n">
        <v>554.530675033104</v>
      </c>
      <c r="AC2893" s="3" t="n">
        <v>623.759700911182</v>
      </c>
      <c r="AD2893" s="3" t="n">
        <v>606.569750165917</v>
      </c>
      <c r="AE2893" s="3" t="n">
        <v>606.345297609062</v>
      </c>
      <c r="AF2893" s="3" t="n">
        <v>581.928481040339</v>
      </c>
      <c r="AG2893" s="3" t="n"/>
      <c r="AH2893" s="3" t="n"/>
      <c r="AI2893" s="3" t="n"/>
      <c r="AJ2893" s="3" t="n"/>
      <c r="AK2893" s="3" t="n"/>
      <c r="AL2893" s="3" t="n"/>
      <c r="AM2893" s="3" t="n"/>
      <c r="AN2893" s="3" t="n"/>
      <c r="AO2893" s="3" t="n"/>
      <c r="AP2893" s="3" t="n"/>
      <c r="AQ2893" s="3" t="n"/>
      <c r="AR2893" s="3" t="n"/>
      <c r="AS2893" s="3" t="n"/>
      <c r="AT2893" s="3" t="n"/>
      <c r="AU2893" s="3" t="n"/>
    </row>
    <row r="2894">
      <c r="A2894" s="3" t="n">
        <v>2031</v>
      </c>
      <c r="B2894" s="3" t="inlineStr">
        <is>
          <t>TGO</t>
        </is>
      </c>
      <c r="C2894" s="3" t="inlineStr">
        <is>
          <t>IMF.RES:WEO</t>
        </is>
      </c>
      <c r="D2894" s="3" t="inlineStr">
        <is>
          <t>TGO.BCA.A</t>
        </is>
      </c>
      <c r="E2894" s="3" t="inlineStr">
        <is>
          <t>Togo</t>
        </is>
      </c>
      <c r="F2894" s="3" t="inlineStr">
        <is>
          <t>Current account balance (credit less debit), US dollar</t>
        </is>
      </c>
      <c r="G2894" s="3" t="n">
        <v>-0.14011</v>
      </c>
      <c r="H2894" s="3" t="n">
        <v>-0.16929</v>
      </c>
      <c r="I2894" s="3" t="n">
        <v>-0.140153</v>
      </c>
      <c r="J2894" s="3" t="n">
        <v>-0.162279</v>
      </c>
      <c r="K2894" s="3" t="n">
        <v>-0.207235</v>
      </c>
      <c r="L2894" s="3" t="n">
        <v>-0.204116</v>
      </c>
      <c r="M2894" s="3" t="n">
        <v>-0.176469</v>
      </c>
      <c r="N2894" s="3" t="n">
        <v>-0.216072</v>
      </c>
      <c r="O2894" s="3" t="n">
        <v>-0.222838</v>
      </c>
      <c r="P2894" s="3" t="n">
        <v>-0.177188</v>
      </c>
      <c r="Q2894" s="3" t="n">
        <v>-0.171812</v>
      </c>
      <c r="R2894" s="3" t="n">
        <v>-0.265816</v>
      </c>
      <c r="S2894" s="3" t="n">
        <v>-0.255277</v>
      </c>
      <c r="T2894" s="3" t="n">
        <v>-0.524853</v>
      </c>
      <c r="U2894" s="3" t="n">
        <v>-0.419359</v>
      </c>
      <c r="V2894" s="3" t="n">
        <v>-0.429891</v>
      </c>
      <c r="W2894" s="3" t="n">
        <v>-0.436506</v>
      </c>
      <c r="X2894" s="3" t="n">
        <v>-0.096608</v>
      </c>
      <c r="Y2894" s="3" t="n">
        <v>-0.184935</v>
      </c>
      <c r="Z2894" s="3" t="n">
        <v>-0.055446</v>
      </c>
      <c r="AA2894" s="3" t="n">
        <v>-0.020768</v>
      </c>
      <c r="AB2894" s="3" t="n">
        <v>-0.186856</v>
      </c>
      <c r="AC2894" s="3" t="n">
        <v>-0.28411</v>
      </c>
      <c r="AD2894" s="3" t="n">
        <v>-0.366035</v>
      </c>
      <c r="AE2894" s="3" t="n">
        <v>-0.259295</v>
      </c>
      <c r="AF2894" s="3" t="n">
        <v>-0.120902</v>
      </c>
      <c r="AG2894" s="3" t="n">
        <v>-0.427005</v>
      </c>
      <c r="AH2894" s="3" t="n">
        <v>-0.400555</v>
      </c>
      <c r="AI2894" s="3" t="n">
        <v>-0.40185</v>
      </c>
      <c r="AJ2894" s="3" t="n">
        <v>-0.401806</v>
      </c>
      <c r="AK2894" s="3" t="n">
        <v>-0.366891</v>
      </c>
      <c r="AL2894" s="3" t="n">
        <v>-0.325694</v>
      </c>
      <c r="AM2894" s="3" t="n"/>
      <c r="AN2894" s="3" t="n"/>
      <c r="AO2894" s="3" t="n"/>
      <c r="AP2894" s="3" t="n"/>
      <c r="AQ2894" s="3" t="n"/>
      <c r="AR2894" s="3" t="n"/>
      <c r="AS2894" s="3" t="n"/>
      <c r="AT2894" s="3" t="n"/>
      <c r="AU2894" s="3" t="n"/>
    </row>
    <row r="2895">
      <c r="A2895" s="3" t="n">
        <v>2031</v>
      </c>
      <c r="B2895" s="3" t="inlineStr">
        <is>
          <t>TGO</t>
        </is>
      </c>
      <c r="C2895" s="3" t="inlineStr">
        <is>
          <t>IMF.RES:WEO</t>
        </is>
      </c>
      <c r="D2895" s="3" t="inlineStr">
        <is>
          <t>TGO.BCA_NGDPD.A</t>
        </is>
      </c>
      <c r="E2895" s="3" t="inlineStr">
        <is>
          <t>Togo</t>
        </is>
      </c>
      <c r="F2895" s="3" t="inlineStr">
        <is>
          <t>Current account balance (credit less debit), Percent of GDP</t>
        </is>
      </c>
      <c r="G2895" s="3" t="n">
        <v>-6.956356</v>
      </c>
      <c r="H2895" s="3" t="n">
        <v>-8.465439</v>
      </c>
      <c r="I2895" s="3" t="n">
        <v>-6.090735</v>
      </c>
      <c r="J2895" s="3" t="n">
        <v>-5.686271</v>
      </c>
      <c r="K2895" s="3" t="n">
        <v>-6.798882</v>
      </c>
      <c r="L2895" s="3" t="n">
        <v>-6.627823</v>
      </c>
      <c r="M2895" s="3" t="n">
        <v>-5.562315</v>
      </c>
      <c r="N2895" s="3" t="n">
        <v>-5.745986</v>
      </c>
      <c r="O2895" s="3" t="n">
        <v>-4.867213</v>
      </c>
      <c r="P2895" s="3" t="n">
        <v>-3.756555</v>
      </c>
      <c r="Q2895" s="3" t="n">
        <v>-3.616891</v>
      </c>
      <c r="R2895" s="3" t="n">
        <v>-4.903012</v>
      </c>
      <c r="S2895" s="3" t="n">
        <v>-4.712546</v>
      </c>
      <c r="T2895" s="3" t="n">
        <v>-8.715852999999999</v>
      </c>
      <c r="U2895" s="3" t="n">
        <v>-6.557638</v>
      </c>
      <c r="V2895" s="3" t="n">
        <v>-7.468514</v>
      </c>
      <c r="W2895" s="3" t="n">
        <v>-7.191805</v>
      </c>
      <c r="X2895" s="3" t="n">
        <v>-1.513005</v>
      </c>
      <c r="Y2895" s="3" t="n">
        <v>-2.629761</v>
      </c>
      <c r="Z2895" s="3" t="n">
        <v>-0.79288</v>
      </c>
      <c r="AA2895" s="3" t="n">
        <v>-0.277019</v>
      </c>
      <c r="AB2895" s="3" t="n">
        <v>-2.186427</v>
      </c>
      <c r="AC2895" s="3" t="n">
        <v>-3.278807</v>
      </c>
      <c r="AD2895" s="3" t="n">
        <v>-3.763953</v>
      </c>
      <c r="AE2895" s="3" t="n">
        <v>-2.436173</v>
      </c>
      <c r="AF2895" s="3" t="n">
        <v>-1.016052</v>
      </c>
      <c r="AG2895" s="3" t="n">
        <v>-3.177815</v>
      </c>
      <c r="AH2895" s="3" t="n">
        <v>-2.773674</v>
      </c>
      <c r="AI2895" s="3" t="n">
        <v>-2.592867</v>
      </c>
      <c r="AJ2895" s="3" t="n">
        <v>-2.410517</v>
      </c>
      <c r="AK2895" s="3" t="n">
        <v>-2.045399</v>
      </c>
      <c r="AL2895" s="3" t="n">
        <v>-1.687323</v>
      </c>
      <c r="AM2895" s="3" t="n"/>
      <c r="AN2895" s="3" t="n"/>
      <c r="AO2895" s="3" t="n"/>
      <c r="AP2895" s="3" t="n"/>
      <c r="AQ2895" s="3" t="n"/>
      <c r="AR2895" s="3" t="n"/>
      <c r="AS2895" s="3" t="n"/>
      <c r="AT2895" s="3" t="n"/>
      <c r="AU2895" s="3" t="n"/>
    </row>
    <row r="2896">
      <c r="A2896" s="3" t="n">
        <v>2031</v>
      </c>
      <c r="B2896" s="3" t="inlineStr">
        <is>
          <t>TGO</t>
        </is>
      </c>
      <c r="C2896" s="3" t="inlineStr">
        <is>
          <t>IMF.RES:WEO</t>
        </is>
      </c>
      <c r="D2896" s="3" t="inlineStr">
        <is>
          <t>TGO.GGR_NGDP.A</t>
        </is>
      </c>
      <c r="E2896" s="3" t="inlineStr">
        <is>
          <t>Togo</t>
        </is>
      </c>
      <c r="F2896" s="3" t="inlineStr">
        <is>
          <t>Revenue, General government, Percent of GDP</t>
        </is>
      </c>
      <c r="G2896" s="3" t="n">
        <v>8.455615999999999</v>
      </c>
      <c r="H2896" s="3" t="n">
        <v>10.137715</v>
      </c>
      <c r="I2896" s="3" t="n">
        <v>8.14113</v>
      </c>
      <c r="J2896" s="3" t="n">
        <v>10.31848</v>
      </c>
      <c r="K2896" s="3" t="n">
        <v>11.17015</v>
      </c>
      <c r="L2896" s="3" t="n">
        <v>11.584121</v>
      </c>
      <c r="M2896" s="3" t="n">
        <v>12.78556</v>
      </c>
      <c r="N2896" s="3" t="n">
        <v>11.861242</v>
      </c>
      <c r="O2896" s="3" t="n">
        <v>11.80038</v>
      </c>
      <c r="P2896" s="3" t="n">
        <v>11.663155</v>
      </c>
      <c r="Q2896" s="3" t="n">
        <v>13.426832</v>
      </c>
      <c r="R2896" s="3" t="n">
        <v>13.730828</v>
      </c>
      <c r="S2896" s="3" t="n">
        <v>14.462739</v>
      </c>
      <c r="T2896" s="3" t="n">
        <v>15.402809</v>
      </c>
      <c r="U2896" s="3" t="n">
        <v>14.786733</v>
      </c>
      <c r="V2896" s="3" t="n">
        <v>15.855069</v>
      </c>
      <c r="W2896" s="3" t="n">
        <v>15.878173</v>
      </c>
      <c r="X2896" s="3" t="n">
        <v>16.063581</v>
      </c>
      <c r="Y2896" s="3" t="n">
        <v>18.205255</v>
      </c>
      <c r="Z2896" s="3" t="n">
        <v>18.230472</v>
      </c>
      <c r="AA2896" s="3" t="n">
        <v>16.430415</v>
      </c>
      <c r="AB2896" s="3" t="n">
        <v>16.717142</v>
      </c>
      <c r="AC2896" s="3" t="n">
        <v>16.585305</v>
      </c>
      <c r="AD2896" s="3" t="n">
        <v>18.532518</v>
      </c>
      <c r="AE2896" s="3" t="n">
        <v>17.439001</v>
      </c>
      <c r="AF2896" s="3" t="n">
        <v>16.579893</v>
      </c>
      <c r="AG2896" s="3" t="n">
        <v>16.708072</v>
      </c>
      <c r="AH2896" s="3" t="n">
        <v>17.192469</v>
      </c>
      <c r="AI2896" s="3" t="n">
        <v>17.801928</v>
      </c>
      <c r="AJ2896" s="3" t="n">
        <v>18.200676</v>
      </c>
      <c r="AK2896" s="3" t="n">
        <v>18.636027</v>
      </c>
      <c r="AL2896" s="3" t="n">
        <v>19.08144</v>
      </c>
      <c r="AM2896" s="3" t="n"/>
      <c r="AN2896" s="3" t="n"/>
      <c r="AO2896" s="3" t="n"/>
      <c r="AP2896" s="3" t="n"/>
      <c r="AQ2896" s="3" t="n"/>
      <c r="AR2896" s="3" t="n"/>
      <c r="AS2896" s="3" t="n"/>
      <c r="AT2896" s="3" t="n"/>
      <c r="AU2896" s="3" t="n"/>
    </row>
    <row r="2897">
      <c r="A2897" s="3" t="n">
        <v>2031</v>
      </c>
      <c r="B2897" s="3" t="inlineStr">
        <is>
          <t>TGO</t>
        </is>
      </c>
      <c r="C2897" s="3" t="inlineStr">
        <is>
          <t>IMF.RES:WEO</t>
        </is>
      </c>
      <c r="D2897" s="3" t="inlineStr">
        <is>
          <t>TGO.GGX_NGDP.A</t>
        </is>
      </c>
      <c r="E2897" s="3" t="inlineStr">
        <is>
          <t>Togo</t>
        </is>
      </c>
      <c r="F2897" s="3" t="inlineStr">
        <is>
          <t>Expenditure, General government, Percent of GDP</t>
        </is>
      </c>
      <c r="G2897" s="3" t="n">
        <v>11.901333</v>
      </c>
      <c r="H2897" s="3" t="n">
        <v>10.853295</v>
      </c>
      <c r="I2897" s="3" t="n">
        <v>8.421339</v>
      </c>
      <c r="J2897" s="3" t="n">
        <v>8.883649999999999</v>
      </c>
      <c r="K2897" s="3" t="n">
        <v>10.560164</v>
      </c>
      <c r="L2897" s="3" t="n">
        <v>13.250452</v>
      </c>
      <c r="M2897" s="3" t="n">
        <v>14.730444</v>
      </c>
      <c r="N2897" s="3" t="n">
        <v>13.693798</v>
      </c>
      <c r="O2897" s="3" t="n">
        <v>12.390984</v>
      </c>
      <c r="P2897" s="3" t="n">
        <v>14.289089</v>
      </c>
      <c r="Q2897" s="3" t="n">
        <v>15.088781</v>
      </c>
      <c r="R2897" s="3" t="n">
        <v>18.205998</v>
      </c>
      <c r="S2897" s="3" t="n">
        <v>19.097507</v>
      </c>
      <c r="T2897" s="3" t="n">
        <v>20.485334</v>
      </c>
      <c r="U2897" s="3" t="n">
        <v>21.901377</v>
      </c>
      <c r="V2897" s="3" t="n">
        <v>22.890834</v>
      </c>
      <c r="W2897" s="3" t="n">
        <v>22.902968</v>
      </c>
      <c r="X2897" s="3" t="n">
        <v>16.271675</v>
      </c>
      <c r="Y2897" s="3" t="n">
        <v>18.795823</v>
      </c>
      <c r="Z2897" s="3" t="n">
        <v>16.564521</v>
      </c>
      <c r="AA2897" s="3" t="n">
        <v>23.386739</v>
      </c>
      <c r="AB2897" s="3" t="n">
        <v>21.257298</v>
      </c>
      <c r="AC2897" s="3" t="n">
        <v>24.418402</v>
      </c>
      <c r="AD2897" s="3" t="n">
        <v>24.815096</v>
      </c>
      <c r="AE2897" s="3" t="n">
        <v>24.263783</v>
      </c>
      <c r="AF2897" s="3" t="n">
        <v>19.807846</v>
      </c>
      <c r="AG2897" s="3" t="n">
        <v>23.406876</v>
      </c>
      <c r="AH2897" s="3" t="n">
        <v>20.223014</v>
      </c>
      <c r="AI2897" s="3" t="n">
        <v>20.833691</v>
      </c>
      <c r="AJ2897" s="3" t="n">
        <v>21.231784</v>
      </c>
      <c r="AK2897" s="3" t="n">
        <v>21.659935</v>
      </c>
      <c r="AL2897" s="3" t="n">
        <v>22.082691</v>
      </c>
      <c r="AM2897" s="3" t="n"/>
      <c r="AN2897" s="3" t="n"/>
      <c r="AO2897" s="3" t="n"/>
      <c r="AP2897" s="3" t="n"/>
      <c r="AQ2897" s="3" t="n"/>
      <c r="AR2897" s="3" t="n"/>
      <c r="AS2897" s="3" t="n"/>
      <c r="AT2897" s="3" t="n"/>
      <c r="AU2897" s="3" t="n"/>
    </row>
    <row r="2898">
      <c r="A2898" s="3" t="n">
        <v>2031</v>
      </c>
      <c r="B2898" s="3" t="inlineStr">
        <is>
          <t>TGO</t>
        </is>
      </c>
      <c r="C2898" s="3" t="inlineStr">
        <is>
          <t>IMF.RES:WEO</t>
        </is>
      </c>
      <c r="D2898" s="3" t="inlineStr">
        <is>
          <t>TGO.LP.A</t>
        </is>
      </c>
      <c r="E2898" s="3" t="inlineStr">
        <is>
          <t>Togo</t>
        </is>
      </c>
      <c r="F2898" s="3" t="inlineStr">
        <is>
          <t>Population, Persons for countries / Index for country groups</t>
        </is>
      </c>
      <c r="G2898" s="3" t="n">
        <v>5.140037</v>
      </c>
      <c r="H2898" s="3" t="n">
        <v>5.277382</v>
      </c>
      <c r="I2898" s="3" t="n">
        <v>5.413274</v>
      </c>
      <c r="J2898" s="3" t="n">
        <v>5.552167</v>
      </c>
      <c r="K2898" s="3" t="n">
        <v>5.696508</v>
      </c>
      <c r="L2898" s="3" t="n">
        <v>5.844631</v>
      </c>
      <c r="M2898" s="3" t="n">
        <v>6.010668</v>
      </c>
      <c r="N2898" s="3" t="n">
        <v>6.188344</v>
      </c>
      <c r="O2898" s="3" t="n">
        <v>6.368812</v>
      </c>
      <c r="P2898" s="3" t="n">
        <v>6.551865</v>
      </c>
      <c r="Q2898" s="3" t="n">
        <v>6.73259</v>
      </c>
      <c r="R2898" s="3" t="n">
        <v>6.916474</v>
      </c>
      <c r="S2898" s="3" t="n">
        <v>7.100736</v>
      </c>
      <c r="T2898" s="3" t="n">
        <v>7.285442</v>
      </c>
      <c r="U2898" s="3" t="n">
        <v>7.47245</v>
      </c>
      <c r="V2898" s="3" t="n">
        <v>7.663195</v>
      </c>
      <c r="W2898" s="3" t="n">
        <v>7.858289</v>
      </c>
      <c r="X2898" s="3" t="n">
        <v>8.05714</v>
      </c>
      <c r="Y2898" s="3" t="n">
        <v>8.258778</v>
      </c>
      <c r="Z2898" s="3" t="n">
        <v>8.463068</v>
      </c>
      <c r="AA2898" s="3" t="n">
        <v>8.66972</v>
      </c>
      <c r="AB2898" s="3" t="n">
        <v>8.881418</v>
      </c>
      <c r="AC2898" s="3" t="n">
        <v>9.098285000000001</v>
      </c>
      <c r="AD2898" s="3" t="n">
        <v>9.320448000000001</v>
      </c>
      <c r="AE2898" s="3" t="n">
        <v>9.548036</v>
      </c>
      <c r="AF2898" s="3" t="n">
        <v>9.781181</v>
      </c>
      <c r="AG2898" s="3" t="n">
        <v>10.020018</v>
      </c>
      <c r="AH2898" s="3" t="n">
        <v>10.264688</v>
      </c>
      <c r="AI2898" s="3" t="n">
        <v>10.515332</v>
      </c>
      <c r="AJ2898" s="3" t="n">
        <v>10.772097</v>
      </c>
      <c r="AK2898" s="3" t="n">
        <v>11.035131</v>
      </c>
      <c r="AL2898" s="3" t="n">
        <v>11.304588</v>
      </c>
      <c r="AM2898" s="3" t="n"/>
      <c r="AN2898" s="3" t="n"/>
      <c r="AO2898" s="3" t="n"/>
      <c r="AP2898" s="3" t="n"/>
      <c r="AQ2898" s="3" t="n"/>
      <c r="AR2898" s="3" t="n"/>
      <c r="AS2898" s="3" t="n"/>
      <c r="AT2898" s="3" t="n"/>
      <c r="AU2898" s="3" t="n"/>
    </row>
    <row r="2899">
      <c r="A2899" s="3" t="n">
        <v>2031</v>
      </c>
      <c r="B2899" s="3" t="inlineStr">
        <is>
          <t>TGO</t>
        </is>
      </c>
      <c r="C2899" s="3" t="inlineStr">
        <is>
          <t>IMF.RES:WEO</t>
        </is>
      </c>
      <c r="D2899" s="3" t="inlineStr">
        <is>
          <t>TGO.NGDP.A</t>
        </is>
      </c>
      <c r="E2899" s="3" t="inlineStr">
        <is>
          <t>Togo</t>
        </is>
      </c>
      <c r="F2899" s="3" t="inlineStr">
        <is>
          <t>Gross domestic product (GDP), Current prices, Domestic currency</t>
        </is>
      </c>
      <c r="G2899" s="3" t="n">
        <v>1429.225273</v>
      </c>
      <c r="H2899" s="3" t="n">
        <v>1464.531185</v>
      </c>
      <c r="I2899" s="3" t="n">
        <v>1597.075669</v>
      </c>
      <c r="J2899" s="3" t="n">
        <v>1655.054093</v>
      </c>
      <c r="K2899" s="3" t="n">
        <v>1607.558483</v>
      </c>
      <c r="L2899" s="3" t="n">
        <v>1622.674015</v>
      </c>
      <c r="M2899" s="3" t="n">
        <v>1657.241555</v>
      </c>
      <c r="N2899" s="3" t="n">
        <v>1799.645</v>
      </c>
      <c r="O2899" s="3" t="n">
        <v>2042.166</v>
      </c>
      <c r="P2899" s="3" t="n">
        <v>2220.673</v>
      </c>
      <c r="Q2899" s="3" t="n">
        <v>2348.485</v>
      </c>
      <c r="R2899" s="3" t="n">
        <v>2555.317</v>
      </c>
      <c r="S2899" s="3" t="n">
        <v>2763.918</v>
      </c>
      <c r="T2899" s="3" t="n">
        <v>2974.13</v>
      </c>
      <c r="U2899" s="3" t="n">
        <v>3156.746</v>
      </c>
      <c r="V2899" s="3" t="n">
        <v>3402.694</v>
      </c>
      <c r="W2899" s="3" t="n">
        <v>3597.808</v>
      </c>
      <c r="X2899" s="3" t="n">
        <v>3708.901</v>
      </c>
      <c r="Y2899" s="3" t="n">
        <v>3904.353</v>
      </c>
      <c r="Z2899" s="3" t="n">
        <v>4097.073</v>
      </c>
      <c r="AA2899" s="3" t="n">
        <v>4308.855</v>
      </c>
      <c r="AB2899" s="3" t="n">
        <v>4736.617</v>
      </c>
      <c r="AC2899" s="3" t="n">
        <v>5393.309</v>
      </c>
      <c r="AD2899" s="3" t="n">
        <v>5897.86</v>
      </c>
      <c r="AE2899" s="3" t="n">
        <v>6452.25884</v>
      </c>
      <c r="AF2899" s="3" t="n">
        <v>6911.406157</v>
      </c>
      <c r="AG2899" s="3" t="n">
        <v>7474.547123</v>
      </c>
      <c r="AH2899" s="3" t="n">
        <v>8051.724177</v>
      </c>
      <c r="AI2899" s="3" t="n">
        <v>8664.460386999999</v>
      </c>
      <c r="AJ2899" s="3" t="n">
        <v>9323.825822000001</v>
      </c>
      <c r="AK2899" s="3" t="n">
        <v>10033.368967</v>
      </c>
      <c r="AL2899" s="3" t="n">
        <v>10796.908346</v>
      </c>
      <c r="AM2899" s="3" t="n"/>
      <c r="AN2899" s="3" t="n"/>
      <c r="AO2899" s="3" t="n"/>
      <c r="AP2899" s="3" t="n"/>
      <c r="AQ2899" s="3" t="n"/>
      <c r="AR2899" s="3" t="n"/>
      <c r="AS2899" s="3" t="n"/>
      <c r="AT2899" s="3" t="n"/>
      <c r="AU2899" s="3" t="n"/>
    </row>
    <row r="2900">
      <c r="A2900" s="3" t="n">
        <v>2031</v>
      </c>
      <c r="B2900" s="3" t="inlineStr">
        <is>
          <t>TGO</t>
        </is>
      </c>
      <c r="C2900" s="3" t="inlineStr">
        <is>
          <t>IMF.RES:WEO</t>
        </is>
      </c>
      <c r="D2900" s="3" t="inlineStr">
        <is>
          <t>TGO.NGDP_D.A</t>
        </is>
      </c>
      <c r="E2900" s="3" t="inlineStr">
        <is>
          <t>Togo</t>
        </is>
      </c>
      <c r="F2900" s="3" t="inlineStr">
        <is>
          <t>Gross domestic product (GDP), Price deflator, Index</t>
        </is>
      </c>
      <c r="G2900" s="3" t="n">
        <v>70.90553199999999</v>
      </c>
      <c r="H2900" s="3" t="n">
        <v>72.06615499999999</v>
      </c>
      <c r="I2900" s="3" t="n">
        <v>75.68945100000001</v>
      </c>
      <c r="J2900" s="3" t="n">
        <v>73.49811800000001</v>
      </c>
      <c r="K2900" s="3" t="n">
        <v>72.09545300000001</v>
      </c>
      <c r="L2900" s="3" t="n">
        <v>76.33835000000001</v>
      </c>
      <c r="M2900" s="3" t="n">
        <v>75.951846</v>
      </c>
      <c r="N2900" s="3" t="n">
        <v>81.460909</v>
      </c>
      <c r="O2900" s="3" t="n">
        <v>88.852834</v>
      </c>
      <c r="P2900" s="3" t="n">
        <v>91.62258199999999</v>
      </c>
      <c r="Q2900" s="3" t="n">
        <v>91.537065</v>
      </c>
      <c r="R2900" s="3" t="n">
        <v>94.118039</v>
      </c>
      <c r="S2900" s="3" t="n">
        <v>95.765474</v>
      </c>
      <c r="T2900" s="3" t="n">
        <v>97.377471</v>
      </c>
      <c r="U2900" s="3" t="n">
        <v>97.844762</v>
      </c>
      <c r="V2900" s="3" t="n">
        <v>100</v>
      </c>
      <c r="W2900" s="3" t="n">
        <v>100</v>
      </c>
      <c r="X2900" s="3" t="n">
        <v>99.115341</v>
      </c>
      <c r="Y2900" s="3" t="n">
        <v>99.56424199999999</v>
      </c>
      <c r="Z2900" s="3" t="n">
        <v>99.576764</v>
      </c>
      <c r="AA2900" s="3" t="n">
        <v>102.514046</v>
      </c>
      <c r="AB2900" s="3" t="n">
        <v>107.18644</v>
      </c>
      <c r="AC2900" s="3" t="n">
        <v>114.819683</v>
      </c>
      <c r="AD2900" s="3" t="n">
        <v>118.233535</v>
      </c>
      <c r="AE2900" s="3" t="n">
        <v>121.660051</v>
      </c>
      <c r="AF2900" s="3" t="n">
        <v>123.070005</v>
      </c>
      <c r="AG2900" s="3" t="n">
        <v>126.759754</v>
      </c>
      <c r="AH2900" s="3" t="n">
        <v>129.675228</v>
      </c>
      <c r="AI2900" s="3" t="n">
        <v>132.268733</v>
      </c>
      <c r="AJ2900" s="3" t="n">
        <v>134.914108</v>
      </c>
      <c r="AK2900" s="3" t="n">
        <v>137.61239</v>
      </c>
      <c r="AL2900" s="3" t="n">
        <v>140.364637</v>
      </c>
      <c r="AM2900" s="3" t="n"/>
      <c r="AN2900" s="3" t="n"/>
      <c r="AO2900" s="3" t="n"/>
      <c r="AP2900" s="3" t="n"/>
      <c r="AQ2900" s="3" t="n"/>
      <c r="AR2900" s="3" t="n"/>
      <c r="AS2900" s="3" t="n"/>
      <c r="AT2900" s="3" t="n"/>
      <c r="AU2900" s="3" t="n"/>
    </row>
    <row r="2901">
      <c r="A2901" s="3" t="n">
        <v>2031</v>
      </c>
      <c r="B2901" s="3" t="inlineStr">
        <is>
          <t>TGO</t>
        </is>
      </c>
      <c r="C2901" s="3" t="inlineStr">
        <is>
          <t>IMF.RES:WEO</t>
        </is>
      </c>
      <c r="D2901" s="3" t="inlineStr">
        <is>
          <t>TGO.NGDP_R.A</t>
        </is>
      </c>
      <c r="E2901" s="3" t="inlineStr">
        <is>
          <t>Togo</t>
        </is>
      </c>
      <c r="F2901" s="3" t="inlineStr">
        <is>
          <t>Gross domestic product (GDP), Constant prices, Domestic currency</t>
        </is>
      </c>
      <c r="G2901" s="3" t="n">
        <v>2015.675278</v>
      </c>
      <c r="H2901" s="3" t="n">
        <v>2032.203864</v>
      </c>
      <c r="I2901" s="3" t="n">
        <v>2110.037341</v>
      </c>
      <c r="J2901" s="3" t="n">
        <v>2251.831924</v>
      </c>
      <c r="K2901" s="3" t="n">
        <v>2229.764043</v>
      </c>
      <c r="L2901" s="3" t="n">
        <v>2125.634132</v>
      </c>
      <c r="M2901" s="3" t="n">
        <v>2181.963507</v>
      </c>
      <c r="N2901" s="3" t="n">
        <v>2209.213</v>
      </c>
      <c r="O2901" s="3" t="n">
        <v>2298.369</v>
      </c>
      <c r="P2901" s="3" t="n">
        <v>2423.718</v>
      </c>
      <c r="Q2901" s="3" t="n">
        <v>2565.611</v>
      </c>
      <c r="R2901" s="3" t="n">
        <v>2715.013</v>
      </c>
      <c r="S2901" s="3" t="n">
        <v>2886.132</v>
      </c>
      <c r="T2901" s="3" t="n">
        <v>3054.228</v>
      </c>
      <c r="U2901" s="3" t="n">
        <v>3226.28</v>
      </c>
      <c r="V2901" s="3" t="n">
        <v>3402.694</v>
      </c>
      <c r="W2901" s="3" t="n">
        <v>3597.808</v>
      </c>
      <c r="X2901" s="3" t="n">
        <v>3742.005</v>
      </c>
      <c r="Y2901" s="3" t="n">
        <v>3921.441</v>
      </c>
      <c r="Z2901" s="3" t="n">
        <v>4114.487</v>
      </c>
      <c r="AA2901" s="3" t="n">
        <v>4203.185</v>
      </c>
      <c r="AB2901" s="3" t="n">
        <v>4419.045</v>
      </c>
      <c r="AC2901" s="3" t="n">
        <v>4697.199</v>
      </c>
      <c r="AD2901" s="3" t="n">
        <v>4988.314</v>
      </c>
      <c r="AE2901" s="3" t="n">
        <v>5303.514806</v>
      </c>
      <c r="AF2901" s="3" t="n">
        <v>5615.833168</v>
      </c>
      <c r="AG2901" s="3" t="n">
        <v>5896.624826</v>
      </c>
      <c r="AH2901" s="3" t="n">
        <v>6209.145942</v>
      </c>
      <c r="AI2901" s="3" t="n">
        <v>6550.648969</v>
      </c>
      <c r="AJ2901" s="3" t="n">
        <v>6910.934662</v>
      </c>
      <c r="AK2901" s="3" t="n">
        <v>7291.036069</v>
      </c>
      <c r="AL2901" s="3" t="n">
        <v>7692.043052</v>
      </c>
      <c r="AM2901" s="3" t="n"/>
      <c r="AN2901" s="3" t="n"/>
      <c r="AO2901" s="3" t="n"/>
      <c r="AP2901" s="3" t="n"/>
      <c r="AQ2901" s="3" t="n"/>
      <c r="AR2901" s="3" t="n"/>
      <c r="AS2901" s="3" t="n"/>
      <c r="AT2901" s="3" t="n"/>
      <c r="AU2901" s="3" t="n"/>
    </row>
    <row r="2902">
      <c r="A2902" s="3" t="n">
        <v>2031</v>
      </c>
      <c r="B2902" s="3" t="inlineStr">
        <is>
          <t>TGO</t>
        </is>
      </c>
      <c r="C2902" s="3" t="inlineStr">
        <is>
          <t>IMF.RES:WEO</t>
        </is>
      </c>
      <c r="D2902" s="3" t="inlineStr">
        <is>
          <t>TGO.NGDP_RPCH.A</t>
        </is>
      </c>
      <c r="E2902" s="3" t="inlineStr">
        <is>
          <t>Togo</t>
        </is>
      </c>
      <c r="F2902" s="3" t="inlineStr">
        <is>
          <t>Gross domestic product (GDP), Constant prices, Percent change</t>
        </is>
      </c>
      <c r="G2902" s="3" t="n">
        <v>-0.969997</v>
      </c>
      <c r="H2902" s="3" t="n">
        <v>0.820002</v>
      </c>
      <c r="I2902" s="3" t="n">
        <v>3.830003</v>
      </c>
      <c r="J2902" s="3" t="n">
        <v>6.720003</v>
      </c>
      <c r="K2902" s="3" t="n">
        <v>-0.979997</v>
      </c>
      <c r="L2902" s="3" t="n">
        <v>-4.669997</v>
      </c>
      <c r="M2902" s="3" t="n">
        <v>2.650003</v>
      </c>
      <c r="N2902" s="3" t="n">
        <v>1.248852</v>
      </c>
      <c r="O2902" s="3" t="n">
        <v>4.035645</v>
      </c>
      <c r="P2902" s="3" t="n">
        <v>5.453824</v>
      </c>
      <c r="Q2902" s="3" t="n">
        <v>5.854353</v>
      </c>
      <c r="R2902" s="3" t="n">
        <v>5.823252</v>
      </c>
      <c r="S2902" s="3" t="n">
        <v>6.302695</v>
      </c>
      <c r="T2902" s="3" t="n">
        <v>5.824266</v>
      </c>
      <c r="U2902" s="3" t="n">
        <v>5.63324</v>
      </c>
      <c r="V2902" s="3" t="n">
        <v>5.468031</v>
      </c>
      <c r="W2902" s="3" t="n">
        <v>5.734104</v>
      </c>
      <c r="X2902" s="3" t="n">
        <v>4.007913</v>
      </c>
      <c r="Y2902" s="3" t="n">
        <v>4.795183</v>
      </c>
      <c r="Z2902" s="3" t="n">
        <v>4.922833</v>
      </c>
      <c r="AA2902" s="3" t="n">
        <v>2.155749</v>
      </c>
      <c r="AB2902" s="3" t="n">
        <v>5.135629</v>
      </c>
      <c r="AC2902" s="3" t="n">
        <v>6.294437</v>
      </c>
      <c r="AD2902" s="3" t="n">
        <v>6.19763</v>
      </c>
      <c r="AE2902" s="3" t="n">
        <v>6.318784</v>
      </c>
      <c r="AF2902" s="3" t="n">
        <v>5.888894</v>
      </c>
      <c r="AG2902" s="3" t="n">
        <v>5</v>
      </c>
      <c r="AH2902" s="3" t="n">
        <v>5.3</v>
      </c>
      <c r="AI2902" s="3" t="n">
        <v>5.5</v>
      </c>
      <c r="AJ2902" s="3" t="n">
        <v>5.5</v>
      </c>
      <c r="AK2902" s="3" t="n">
        <v>5.5</v>
      </c>
      <c r="AL2902" s="3" t="n">
        <v>5.5</v>
      </c>
      <c r="AM2902" s="3" t="n"/>
      <c r="AN2902" s="3" t="n"/>
      <c r="AO2902" s="3" t="n"/>
      <c r="AP2902" s="3" t="n"/>
      <c r="AQ2902" s="3" t="n"/>
      <c r="AR2902" s="3" t="n"/>
      <c r="AS2902" s="3" t="n"/>
      <c r="AT2902" s="3" t="n"/>
      <c r="AU2902" s="3" t="n"/>
    </row>
    <row r="2903">
      <c r="A2903" s="3" t="n">
        <v>2031</v>
      </c>
      <c r="B2903" s="3" t="inlineStr">
        <is>
          <t>TGO</t>
        </is>
      </c>
      <c r="C2903" s="3" t="inlineStr">
        <is>
          <t>IMF.RES:WEO</t>
        </is>
      </c>
      <c r="D2903" s="3" t="inlineStr">
        <is>
          <t>TGO.NGDPD.A</t>
        </is>
      </c>
      <c r="E2903" s="3" t="inlineStr">
        <is>
          <t>Togo</t>
        </is>
      </c>
      <c r="F2903" s="3" t="inlineStr">
        <is>
          <t>Gross domestic product (GDP), Current prices, US dollar</t>
        </is>
      </c>
      <c r="G2903" s="3" t="n">
        <v>2.014129</v>
      </c>
      <c r="H2903" s="3" t="n">
        <v>1.999773</v>
      </c>
      <c r="I2903" s="3" t="n">
        <v>2.301078</v>
      </c>
      <c r="J2903" s="3" t="n">
        <v>2.853881</v>
      </c>
      <c r="K2903" s="3" t="n">
        <v>3.048072</v>
      </c>
      <c r="L2903" s="3" t="n">
        <v>3.079683</v>
      </c>
      <c r="M2903" s="3" t="n">
        <v>3.172573</v>
      </c>
      <c r="N2903" s="3" t="n">
        <v>3.760406</v>
      </c>
      <c r="O2903" s="3" t="n">
        <v>4.578345</v>
      </c>
      <c r="P2903" s="3" t="n">
        <v>4.716761</v>
      </c>
      <c r="Q2903" s="3" t="n">
        <v>4.750263</v>
      </c>
      <c r="R2903" s="3" t="n">
        <v>5.421485</v>
      </c>
      <c r="S2903" s="3" t="n">
        <v>5.41697</v>
      </c>
      <c r="T2903" s="3" t="n">
        <v>6.021817</v>
      </c>
      <c r="U2903" s="3" t="n">
        <v>6.394962</v>
      </c>
      <c r="V2903" s="3" t="n">
        <v>5.756041</v>
      </c>
      <c r="W2903" s="3" t="n">
        <v>6.069492</v>
      </c>
      <c r="X2903" s="3" t="n">
        <v>6.38517</v>
      </c>
      <c r="Y2903" s="3" t="n">
        <v>7.032403</v>
      </c>
      <c r="Z2903" s="3" t="n">
        <v>6.992951</v>
      </c>
      <c r="AA2903" s="3" t="n">
        <v>7.49686</v>
      </c>
      <c r="AB2903" s="3" t="n">
        <v>8.546158</v>
      </c>
      <c r="AC2903" s="3" t="n">
        <v>8.665025999999999</v>
      </c>
      <c r="AD2903" s="3" t="n">
        <v>9.724739</v>
      </c>
      <c r="AE2903" s="3" t="n">
        <v>10.643527</v>
      </c>
      <c r="AF2903" s="3" t="n">
        <v>11.899171</v>
      </c>
      <c r="AG2903" s="3" t="n">
        <v>13.43705</v>
      </c>
      <c r="AH2903" s="3" t="n">
        <v>14.441325</v>
      </c>
      <c r="AI2903" s="3" t="n">
        <v>15.498297</v>
      </c>
      <c r="AJ2903" s="3" t="n">
        <v>16.668878</v>
      </c>
      <c r="AK2903" s="3" t="n">
        <v>17.937379</v>
      </c>
      <c r="AL2903" s="3" t="n">
        <v>19.302414</v>
      </c>
      <c r="AM2903" s="3" t="n"/>
      <c r="AN2903" s="3" t="n"/>
      <c r="AO2903" s="3" t="n"/>
      <c r="AP2903" s="3" t="n"/>
      <c r="AQ2903" s="3" t="n"/>
      <c r="AR2903" s="3" t="n"/>
      <c r="AS2903" s="3" t="n"/>
      <c r="AT2903" s="3" t="n"/>
      <c r="AU2903" s="3" t="n"/>
    </row>
    <row r="2904">
      <c r="A2904" s="3" t="n">
        <v>2031</v>
      </c>
      <c r="B2904" s="3" t="inlineStr">
        <is>
          <t>TGO</t>
        </is>
      </c>
      <c r="C2904" s="3" t="inlineStr">
        <is>
          <t>IMF.RES:WEO</t>
        </is>
      </c>
      <c r="D2904" s="3" t="inlineStr">
        <is>
          <t>TGO.NGDPPC.A</t>
        </is>
      </c>
      <c r="E2904" s="3" t="inlineStr">
        <is>
          <t>Togo</t>
        </is>
      </c>
      <c r="F2904" s="3" t="inlineStr">
        <is>
          <t>Gross domestic product (GDP), Current prices, Per capita, Domestic currency</t>
        </is>
      </c>
      <c r="G2904" s="3" t="n">
        <v>278057.390101</v>
      </c>
      <c r="H2904" s="3" t="n">
        <v>277510.929574</v>
      </c>
      <c r="I2904" s="3" t="n">
        <v>295029.527257</v>
      </c>
      <c r="J2904" s="3" t="n">
        <v>298091.554726</v>
      </c>
      <c r="K2904" s="3" t="n">
        <v>282200.689134</v>
      </c>
      <c r="L2904" s="3" t="n">
        <v>277634.980655</v>
      </c>
      <c r="M2904" s="3" t="n">
        <v>275716.701534</v>
      </c>
      <c r="N2904" s="3" t="n">
        <v>290812.049233</v>
      </c>
      <c r="O2904" s="3" t="n">
        <v>320651.009953</v>
      </c>
      <c r="P2904" s="3" t="n">
        <v>338937.539159</v>
      </c>
      <c r="Q2904" s="3" t="n">
        <v>348823.409713</v>
      </c>
      <c r="R2904" s="3" t="n">
        <v>369453.712976</v>
      </c>
      <c r="S2904" s="3" t="n">
        <v>389243.875564</v>
      </c>
      <c r="T2904" s="3" t="n">
        <v>408229.178134</v>
      </c>
      <c r="U2904" s="3" t="n">
        <v>422451.271002</v>
      </c>
      <c r="V2904" s="3" t="n">
        <v>444030.720868</v>
      </c>
      <c r="W2904" s="3" t="n">
        <v>457836.05057</v>
      </c>
      <c r="X2904" s="3" t="n">
        <v>460324.755434</v>
      </c>
      <c r="Y2904" s="3" t="n">
        <v>472751.901068</v>
      </c>
      <c r="Z2904" s="3" t="n">
        <v>484112.026513</v>
      </c>
      <c r="AA2904" s="3" t="n">
        <v>497000.479831</v>
      </c>
      <c r="AB2904" s="3" t="n">
        <v>533317.6497590001</v>
      </c>
      <c r="AC2904" s="3" t="n">
        <v>592783.012061</v>
      </c>
      <c r="AD2904" s="3" t="n">
        <v>632787.168639</v>
      </c>
      <c r="AE2904" s="3" t="n">
        <v>675768.190491</v>
      </c>
      <c r="AF2904" s="3" t="n">
        <v>706602.448589</v>
      </c>
      <c r="AG2904" s="3" t="n">
        <v>745961.4174480001</v>
      </c>
      <c r="AH2904" s="3" t="n">
        <v>784410.01376</v>
      </c>
      <c r="AI2904" s="3" t="n">
        <v>823983.508075</v>
      </c>
      <c r="AJ2904" s="3" t="n">
        <v>865553.4856369999</v>
      </c>
      <c r="AK2904" s="3" t="n">
        <v>909220.669051</v>
      </c>
      <c r="AL2904" s="3" t="n">
        <v>955090.862376</v>
      </c>
      <c r="AM2904" s="3" t="n"/>
      <c r="AN2904" s="3" t="n"/>
      <c r="AO2904" s="3" t="n"/>
      <c r="AP2904" s="3" t="n"/>
      <c r="AQ2904" s="3" t="n"/>
      <c r="AR2904" s="3" t="n"/>
      <c r="AS2904" s="3" t="n"/>
      <c r="AT2904" s="3" t="n"/>
      <c r="AU2904" s="3" t="n"/>
    </row>
    <row r="2905">
      <c r="A2905" s="3" t="n">
        <v>2031</v>
      </c>
      <c r="B2905" s="3" t="inlineStr">
        <is>
          <t>TGO</t>
        </is>
      </c>
      <c r="C2905" s="3" t="inlineStr">
        <is>
          <t>IMF.RES:WEO</t>
        </is>
      </c>
      <c r="D2905" s="3" t="inlineStr">
        <is>
          <t>TGO.NGDPRPC.A</t>
        </is>
      </c>
      <c r="E2905" s="3" t="inlineStr">
        <is>
          <t>Togo</t>
        </is>
      </c>
      <c r="F2905" s="3" t="inlineStr">
        <is>
          <t>Gross domestic product (GDP), Constant prices, Per capita, Domestic currency</t>
        </is>
      </c>
      <c r="G2905" s="3" t="n">
        <v>392151.90055</v>
      </c>
      <c r="H2905" s="3" t="n">
        <v>385078.030048</v>
      </c>
      <c r="I2905" s="3" t="n">
        <v>389789.49542</v>
      </c>
      <c r="J2905" s="3" t="n">
        <v>405577.123977</v>
      </c>
      <c r="K2905" s="3" t="n">
        <v>391426.474514</v>
      </c>
      <c r="L2905" s="3" t="n">
        <v>363690.048499</v>
      </c>
      <c r="M2905" s="3" t="n">
        <v>363015.143622</v>
      </c>
      <c r="N2905" s="3" t="n">
        <v>356995.829579</v>
      </c>
      <c r="O2905" s="3" t="n">
        <v>360878.763575</v>
      </c>
      <c r="P2905" s="3" t="n">
        <v>369927.951812</v>
      </c>
      <c r="Q2905" s="3" t="n">
        <v>381073.405628</v>
      </c>
      <c r="R2905" s="3" t="n">
        <v>392542.934449</v>
      </c>
      <c r="S2905" s="3" t="n">
        <v>406455.330828</v>
      </c>
      <c r="T2905" s="3" t="n">
        <v>419223.432154</v>
      </c>
      <c r="U2905" s="3" t="n">
        <v>431756.652771</v>
      </c>
      <c r="V2905" s="3" t="n">
        <v>444030.720868</v>
      </c>
      <c r="W2905" s="3" t="n">
        <v>457836.05057</v>
      </c>
      <c r="X2905" s="3" t="n">
        <v>464433.409374</v>
      </c>
      <c r="Y2905" s="3" t="n">
        <v>474820.972304</v>
      </c>
      <c r="Z2905" s="3" t="n">
        <v>486169.672748</v>
      </c>
      <c r="AA2905" s="3" t="n">
        <v>484812.08159</v>
      </c>
      <c r="AB2905" s="3" t="n">
        <v>497560.747171</v>
      </c>
      <c r="AC2905" s="3" t="n">
        <v>516272.991492</v>
      </c>
      <c r="AD2905" s="3" t="n">
        <v>535201.088588</v>
      </c>
      <c r="AE2905" s="3" t="n">
        <v>555456.1112010001</v>
      </c>
      <c r="AF2905" s="3" t="n">
        <v>574146.762167</v>
      </c>
      <c r="AG2905" s="3" t="n">
        <v>588484.431413</v>
      </c>
      <c r="AH2905" s="3" t="n">
        <v>604903.514677</v>
      </c>
      <c r="AI2905" s="3" t="n">
        <v>622961.6706130001</v>
      </c>
      <c r="AJ2905" s="3" t="n">
        <v>641558.915822</v>
      </c>
      <c r="AK2905" s="3" t="n">
        <v>660711.34371</v>
      </c>
      <c r="AL2905" s="3" t="n">
        <v>680435.52812</v>
      </c>
      <c r="AM2905" s="3" t="n"/>
      <c r="AN2905" s="3" t="n"/>
      <c r="AO2905" s="3" t="n"/>
      <c r="AP2905" s="3" t="n"/>
      <c r="AQ2905" s="3" t="n"/>
      <c r="AR2905" s="3" t="n"/>
      <c r="AS2905" s="3" t="n"/>
      <c r="AT2905" s="3" t="n"/>
      <c r="AU2905" s="3" t="n"/>
    </row>
    <row r="2906">
      <c r="A2906" s="3" t="n">
        <v>2031</v>
      </c>
      <c r="B2906" s="3" t="inlineStr">
        <is>
          <t>TGO</t>
        </is>
      </c>
      <c r="C2906" s="3" t="inlineStr">
        <is>
          <t>IMF.RES:WEO</t>
        </is>
      </c>
      <c r="D2906" s="3" t="inlineStr">
        <is>
          <t>TGO.PCPI.A</t>
        </is>
      </c>
      <c r="E2906" s="3" t="inlineStr">
        <is>
          <t>Togo</t>
        </is>
      </c>
      <c r="F2906" s="3" t="inlineStr">
        <is>
          <t>All Items, Consumer price index (CPI), Period average</t>
        </is>
      </c>
      <c r="G2906" s="3" t="n">
        <v>54.727415</v>
      </c>
      <c r="H2906" s="3" t="n">
        <v>56.872506</v>
      </c>
      <c r="I2906" s="3" t="n">
        <v>58.612701</v>
      </c>
      <c r="J2906" s="3" t="n">
        <v>58.067603</v>
      </c>
      <c r="K2906" s="3" t="n">
        <v>58.295854</v>
      </c>
      <c r="L2906" s="3" t="n">
        <v>62.25002</v>
      </c>
      <c r="M2906" s="3" t="n">
        <v>63.63756</v>
      </c>
      <c r="N2906" s="3" t="n">
        <v>64.239363</v>
      </c>
      <c r="O2906" s="3" t="n">
        <v>69.824865</v>
      </c>
      <c r="P2906" s="3" t="n">
        <v>71.179502</v>
      </c>
      <c r="Q2906" s="3" t="n">
        <v>73.468529</v>
      </c>
      <c r="R2906" s="3" t="n">
        <v>76.082379</v>
      </c>
      <c r="S2906" s="3" t="n">
        <v>78.090262</v>
      </c>
      <c r="T2906" s="3" t="n">
        <v>79.466936</v>
      </c>
      <c r="U2906" s="3" t="n">
        <v>79.615475</v>
      </c>
      <c r="V2906" s="3" t="n">
        <v>81.04048400000001</v>
      </c>
      <c r="W2906" s="3" t="n">
        <v>81.735242</v>
      </c>
      <c r="X2906" s="3" t="n">
        <v>81.55913700000001</v>
      </c>
      <c r="Y2906" s="3" t="n">
        <v>82.31580700000001</v>
      </c>
      <c r="Z2906" s="3" t="n">
        <v>82.88167199999999</v>
      </c>
      <c r="AA2906" s="3" t="n">
        <v>84.40853199999999</v>
      </c>
      <c r="AB2906" s="3" t="n">
        <v>88.24042</v>
      </c>
      <c r="AC2906" s="3" t="n">
        <v>94.96472</v>
      </c>
      <c r="AD2906" s="3" t="n">
        <v>100</v>
      </c>
      <c r="AE2906" s="3" t="n">
        <v>102.87555</v>
      </c>
      <c r="AF2906" s="3" t="n">
        <v>103.306446</v>
      </c>
      <c r="AG2906" s="3" t="n">
        <v>106.199026</v>
      </c>
      <c r="AH2906" s="3" t="n">
        <v>108.641604</v>
      </c>
      <c r="AI2906" s="3" t="n">
        <v>110.814436</v>
      </c>
      <c r="AJ2906" s="3" t="n">
        <v>113.030725</v>
      </c>
      <c r="AK2906" s="3" t="n">
        <v>115.291339</v>
      </c>
      <c r="AL2906" s="3" t="n">
        <v>117.597166</v>
      </c>
      <c r="AM2906" s="3" t="n"/>
      <c r="AN2906" s="3" t="n"/>
      <c r="AO2906" s="3" t="n"/>
      <c r="AP2906" s="3" t="n"/>
      <c r="AQ2906" s="3" t="n"/>
      <c r="AR2906" s="3" t="n"/>
      <c r="AS2906" s="3" t="n"/>
      <c r="AT2906" s="3" t="n"/>
      <c r="AU2906" s="3" t="n"/>
    </row>
    <row r="2907">
      <c r="A2907" s="3" t="n">
        <v>2031</v>
      </c>
      <c r="B2907" s="3" t="inlineStr">
        <is>
          <t>TGO</t>
        </is>
      </c>
      <c r="C2907" s="3" t="inlineStr">
        <is>
          <t>IMF.RES:WEO</t>
        </is>
      </c>
      <c r="D2907" s="3" t="inlineStr">
        <is>
          <t>TGO.PCPIPCH.A</t>
        </is>
      </c>
      <c r="E2907" s="3" t="inlineStr">
        <is>
          <t>Togo</t>
        </is>
      </c>
      <c r="F2907" s="3" t="inlineStr">
        <is>
          <t>All Items, Consumer price index (CPI), Period average, percent change</t>
        </is>
      </c>
      <c r="G2907" s="3" t="n">
        <v>1.862606</v>
      </c>
      <c r="H2907" s="3" t="n">
        <v>3.919591</v>
      </c>
      <c r="I2907" s="3" t="n">
        <v>3.059819</v>
      </c>
      <c r="J2907" s="3" t="n">
        <v>-0.930001</v>
      </c>
      <c r="K2907" s="3" t="n">
        <v>0.393079</v>
      </c>
      <c r="L2907" s="3" t="n">
        <v>6.782929</v>
      </c>
      <c r="M2907" s="3" t="n">
        <v>2.228978</v>
      </c>
      <c r="N2907" s="3" t="n">
        <v>0.945673</v>
      </c>
      <c r="O2907" s="3" t="n">
        <v>8.694827999999999</v>
      </c>
      <c r="P2907" s="3" t="n">
        <v>1.940049</v>
      </c>
      <c r="Q2907" s="3" t="n">
        <v>3.215851</v>
      </c>
      <c r="R2907" s="3" t="n">
        <v>3.557783</v>
      </c>
      <c r="S2907" s="3" t="n">
        <v>2.639091</v>
      </c>
      <c r="T2907" s="3" t="n">
        <v>1.762926</v>
      </c>
      <c r="U2907" s="3" t="n">
        <v>0.186919</v>
      </c>
      <c r="V2907" s="3" t="n">
        <v>1.789864</v>
      </c>
      <c r="W2907" s="3" t="n">
        <v>0.857297</v>
      </c>
      <c r="X2907" s="3" t="n">
        <v>-0.215457</v>
      </c>
      <c r="Y2907" s="3" t="n">
        <v>0.927755</v>
      </c>
      <c r="Z2907" s="3" t="n">
        <v>0.687432</v>
      </c>
      <c r="AA2907" s="3" t="n">
        <v>1.842216</v>
      </c>
      <c r="AB2907" s="3" t="n">
        <v>4.539693</v>
      </c>
      <c r="AC2907" s="3" t="n">
        <v>7.620431</v>
      </c>
      <c r="AD2907" s="3" t="n">
        <v>5.302264</v>
      </c>
      <c r="AE2907" s="3" t="n">
        <v>2.87555</v>
      </c>
      <c r="AF2907" s="3" t="n">
        <v>0.418852</v>
      </c>
      <c r="AG2907" s="3" t="n">
        <v>2.8</v>
      </c>
      <c r="AH2907" s="3" t="n">
        <v>2.3</v>
      </c>
      <c r="AI2907" s="3" t="n">
        <v>2</v>
      </c>
      <c r="AJ2907" s="3" t="n">
        <v>2</v>
      </c>
      <c r="AK2907" s="3" t="n">
        <v>2</v>
      </c>
      <c r="AL2907" s="3" t="n">
        <v>2</v>
      </c>
      <c r="AM2907" s="3" t="n"/>
      <c r="AN2907" s="3" t="n"/>
      <c r="AO2907" s="3" t="n"/>
      <c r="AP2907" s="3" t="n"/>
      <c r="AQ2907" s="3" t="n"/>
      <c r="AR2907" s="3" t="n"/>
      <c r="AS2907" s="3" t="n"/>
      <c r="AT2907" s="3" t="n"/>
      <c r="AU2907" s="3" t="n"/>
    </row>
    <row r="2908">
      <c r="A2908" s="3" t="n">
        <v>2031</v>
      </c>
      <c r="B2908" s="3" t="inlineStr">
        <is>
          <t>TGO</t>
        </is>
      </c>
      <c r="C2908" s="3" t="inlineStr">
        <is>
          <t>IMF.RES:WEO</t>
        </is>
      </c>
      <c r="D2908" s="3" t="inlineStr">
        <is>
          <t>TGO.PPPPC.A</t>
        </is>
      </c>
      <c r="E2908" s="3" t="inlineStr">
        <is>
          <t>Togo</t>
        </is>
      </c>
      <c r="F2908" s="3" t="inlineStr">
        <is>
          <t>Gross domestic product (GDP), Per capita, purchasing power parity (PPP) international dollar, ICP benchmarks 2017-2021</t>
        </is>
      </c>
      <c r="G2908" s="3" t="n">
        <v>1219.197185</v>
      </c>
      <c r="H2908" s="3" t="n">
        <v>1224.16108</v>
      </c>
      <c r="I2908" s="3" t="n">
        <v>1258.395464</v>
      </c>
      <c r="J2908" s="3" t="n">
        <v>1335.21388</v>
      </c>
      <c r="K2908" s="3" t="n">
        <v>1323.277735</v>
      </c>
      <c r="L2908" s="3" t="n">
        <v>1268.065703</v>
      </c>
      <c r="M2908" s="3" t="n">
        <v>1304.745619</v>
      </c>
      <c r="N2908" s="3" t="n">
        <v>1317.874</v>
      </c>
      <c r="O2908" s="3" t="n">
        <v>1357.871918</v>
      </c>
      <c r="P2908" s="3" t="n">
        <v>1400.505695</v>
      </c>
      <c r="Q2908" s="3" t="n">
        <v>1460.235354</v>
      </c>
      <c r="R2908" s="3" t="n">
        <v>1535.220529</v>
      </c>
      <c r="S2908" s="3" t="n">
        <v>1619.229241</v>
      </c>
      <c r="T2908" s="3" t="n">
        <v>1698.519659</v>
      </c>
      <c r="U2908" s="3" t="n">
        <v>1779.766878</v>
      </c>
      <c r="V2908" s="3" t="n">
        <v>1847.349199</v>
      </c>
      <c r="W2908" s="3" t="n">
        <v>1922.884727</v>
      </c>
      <c r="X2908" s="3" t="n">
        <v>1985.526221</v>
      </c>
      <c r="Y2908" s="3" t="n">
        <v>2067.06643</v>
      </c>
      <c r="Z2908" s="3" t="n">
        <v>2214.699156</v>
      </c>
      <c r="AA2908" s="3" t="n">
        <v>2384.066455</v>
      </c>
      <c r="AB2908" s="3" t="n">
        <v>2637.908003</v>
      </c>
      <c r="AC2908" s="3" t="n">
        <v>2931.789244</v>
      </c>
      <c r="AD2908" s="3" t="n">
        <v>3151.731597</v>
      </c>
      <c r="AE2908" s="3" t="n">
        <v>3352.215177</v>
      </c>
      <c r="AF2908" s="3" t="n">
        <v>3563.308891</v>
      </c>
      <c r="AG2908" s="3" t="n">
        <v>3756.925041</v>
      </c>
      <c r="AH2908" s="3" t="n">
        <v>3946.545746</v>
      </c>
      <c r="AI2908" s="3" t="n">
        <v>4131.073838</v>
      </c>
      <c r="AJ2908" s="3" t="n">
        <v>4330.046415</v>
      </c>
      <c r="AK2908" s="3" t="n">
        <v>4541.252123</v>
      </c>
      <c r="AL2908" s="3" t="n">
        <v>4761.252657</v>
      </c>
      <c r="AM2908" s="3" t="n"/>
      <c r="AN2908" s="3" t="n"/>
      <c r="AO2908" s="3" t="n"/>
      <c r="AP2908" s="3" t="n"/>
      <c r="AQ2908" s="3" t="n"/>
      <c r="AR2908" s="3" t="n"/>
      <c r="AS2908" s="3" t="n"/>
      <c r="AT2908" s="3" t="n"/>
      <c r="AU2908" s="3" t="n"/>
    </row>
    <row r="2909">
      <c r="A2909" s="3" t="n">
        <v>2025</v>
      </c>
      <c r="B2909" s="3" t="inlineStr">
        <is>
          <t>TGO</t>
        </is>
      </c>
      <c r="C2909" s="3" t="inlineStr">
        <is>
          <t>IMF.STA:ER</t>
        </is>
      </c>
      <c r="D2909" s="3" t="inlineStr">
        <is>
          <t>TGO.XDC_USD.PA_RT.A</t>
        </is>
      </c>
      <c r="E2909" s="3" t="inlineStr">
        <is>
          <t>Togo</t>
        </is>
      </c>
      <c r="F2909" s="3" t="inlineStr">
        <is>
          <t>Domestic currency per US Dollar</t>
        </is>
      </c>
      <c r="G2909" s="3" t="n">
        <v>710.207977031367</v>
      </c>
      <c r="H2909" s="3" t="n">
        <v>732.397693260228</v>
      </c>
      <c r="I2909" s="3" t="n">
        <v>693.713226496374</v>
      </c>
      <c r="J2909" s="3" t="n">
        <v>579.897426172466</v>
      </c>
      <c r="K2909" s="3" t="n">
        <v>527.338032291576</v>
      </c>
      <c r="L2909" s="3" t="n">
        <v>527.258362649626</v>
      </c>
      <c r="M2909" s="3" t="n">
        <v>522.425624895176</v>
      </c>
      <c r="N2909" s="3" t="n">
        <v>478.633718476363</v>
      </c>
      <c r="O2909" s="3" t="n">
        <v>446.000041432788</v>
      </c>
      <c r="P2909" s="3" t="n">
        <v>470.293423341398</v>
      </c>
      <c r="Q2909" s="3" t="n">
        <v>494.794262222947</v>
      </c>
      <c r="R2909" s="3" t="n">
        <v>471.248625718937</v>
      </c>
      <c r="S2909" s="3" t="n">
        <v>510.556338454251</v>
      </c>
      <c r="T2909" s="3" t="n">
        <v>493.899623852237</v>
      </c>
      <c r="U2909" s="3" t="n">
        <v>493.757329875312</v>
      </c>
      <c r="V2909" s="3" t="n">
        <v>591.21169798261</v>
      </c>
      <c r="W2909" s="3" t="n">
        <v>592.605615063022</v>
      </c>
      <c r="X2909" s="3" t="n">
        <v>580.656749587858</v>
      </c>
      <c r="Y2909" s="3" t="n">
        <v>555.446458398226</v>
      </c>
      <c r="Z2909" s="3" t="n">
        <v>585.911013180369</v>
      </c>
      <c r="AA2909" s="3" t="n">
        <v>575.586004510945</v>
      </c>
      <c r="AB2909" s="3" t="n">
        <v>554.530675033104</v>
      </c>
      <c r="AC2909" s="3" t="n">
        <v>623.759700911182</v>
      </c>
      <c r="AD2909" s="3" t="n">
        <v>606.569750165917</v>
      </c>
      <c r="AE2909" s="3" t="n">
        <v>606.345297609062</v>
      </c>
      <c r="AF2909" s="3" t="n">
        <v>581.928481040339</v>
      </c>
      <c r="AG2909" s="3" t="n"/>
      <c r="AH2909" s="3" t="n"/>
      <c r="AI2909" s="3" t="n"/>
      <c r="AJ2909" s="3" t="n"/>
      <c r="AK2909" s="3" t="n"/>
      <c r="AL2909" s="3" t="n"/>
      <c r="AM2909" s="3" t="n"/>
      <c r="AN2909" s="3" t="n"/>
      <c r="AO2909" s="3" t="n"/>
      <c r="AP2909" s="3" t="n"/>
      <c r="AQ2909" s="3" t="n"/>
      <c r="AR2909" s="3" t="n"/>
      <c r="AS2909" s="3" t="n"/>
      <c r="AT2909" s="3" t="n"/>
      <c r="AU2909" s="3" t="n"/>
    </row>
    <row r="2910">
      <c r="A2910" s="3" t="n">
        <v>2031</v>
      </c>
      <c r="B2910" s="3" t="inlineStr">
        <is>
          <t>THA</t>
        </is>
      </c>
      <c r="C2910" s="3" t="inlineStr">
        <is>
          <t>IMF.RES:WEO</t>
        </is>
      </c>
      <c r="D2910" s="3" t="inlineStr">
        <is>
          <t>THA.BCA.A</t>
        </is>
      </c>
      <c r="E2910" s="3" t="inlineStr">
        <is>
          <t>Thailand</t>
        </is>
      </c>
      <c r="F2910" s="3" t="inlineStr">
        <is>
          <t>Current account balance (credit less debit), US dollar</t>
        </is>
      </c>
      <c r="G2910" s="3" t="n">
        <v>9.313151</v>
      </c>
      <c r="H2910" s="3" t="n">
        <v>5.100898</v>
      </c>
      <c r="I2910" s="3" t="n">
        <v>4.654205</v>
      </c>
      <c r="J2910" s="3" t="n">
        <v>4.771811</v>
      </c>
      <c r="K2910" s="3" t="n">
        <v>2.759369</v>
      </c>
      <c r="L2910" s="3" t="n">
        <v>-7.64183</v>
      </c>
      <c r="M2910" s="3" t="n">
        <v>2.31473</v>
      </c>
      <c r="N2910" s="3" t="n">
        <v>15.58375</v>
      </c>
      <c r="O2910" s="3" t="n">
        <v>0.9308999999999999</v>
      </c>
      <c r="P2910" s="3" t="n">
        <v>22.18912</v>
      </c>
      <c r="Q2910" s="3" t="n">
        <v>11.48606</v>
      </c>
      <c r="R2910" s="3" t="n">
        <v>9.42684</v>
      </c>
      <c r="S2910" s="3" t="n">
        <v>-4.89926</v>
      </c>
      <c r="T2910" s="3" t="n">
        <v>-8.83347</v>
      </c>
      <c r="U2910" s="3" t="n">
        <v>11.64289</v>
      </c>
      <c r="V2910" s="3" t="n">
        <v>27.75291</v>
      </c>
      <c r="W2910" s="3" t="n">
        <v>43.43799</v>
      </c>
      <c r="X2910" s="3" t="n">
        <v>43.95188</v>
      </c>
      <c r="Y2910" s="3" t="n">
        <v>28.4789</v>
      </c>
      <c r="Z2910" s="3" t="n">
        <v>38.34246</v>
      </c>
      <c r="AA2910" s="3" t="n">
        <v>20.73225</v>
      </c>
      <c r="AB2910" s="3" t="n">
        <v>-10.83876</v>
      </c>
      <c r="AC2910" s="3" t="n">
        <v>-16.9956</v>
      </c>
      <c r="AD2910" s="3" t="n">
        <v>8.47921</v>
      </c>
      <c r="AE2910" s="3" t="n">
        <v>11.61912</v>
      </c>
      <c r="AF2910" s="3" t="n">
        <v>17.714817</v>
      </c>
      <c r="AG2910" s="3" t="n">
        <v>4.104923</v>
      </c>
      <c r="AH2910" s="3" t="n">
        <v>8.230525999999999</v>
      </c>
      <c r="AI2910" s="3" t="n">
        <v>11.41582</v>
      </c>
      <c r="AJ2910" s="3" t="n">
        <v>14.42284</v>
      </c>
      <c r="AK2910" s="3" t="n">
        <v>16.068161</v>
      </c>
      <c r="AL2910" s="3" t="n">
        <v>18.022224</v>
      </c>
      <c r="AM2910" s="3" t="n"/>
      <c r="AN2910" s="3" t="n"/>
      <c r="AO2910" s="3" t="n"/>
      <c r="AP2910" s="3" t="n"/>
      <c r="AQ2910" s="3" t="n"/>
      <c r="AR2910" s="3" t="n"/>
      <c r="AS2910" s="3" t="n"/>
      <c r="AT2910" s="3" t="n"/>
      <c r="AU2910" s="3" t="n"/>
    </row>
    <row r="2911">
      <c r="A2911" s="3" t="n">
        <v>2031</v>
      </c>
      <c r="B2911" s="3" t="inlineStr">
        <is>
          <t>THA</t>
        </is>
      </c>
      <c r="C2911" s="3" t="inlineStr">
        <is>
          <t>IMF.RES:WEO</t>
        </is>
      </c>
      <c r="D2911" s="3" t="inlineStr">
        <is>
          <t>THA.BCA_NGDPD.A</t>
        </is>
      </c>
      <c r="E2911" s="3" t="inlineStr">
        <is>
          <t>Thailand</t>
        </is>
      </c>
      <c r="F2911" s="3" t="inlineStr">
        <is>
          <t>Current account balance (credit less debit), Percent of GDP</t>
        </is>
      </c>
      <c r="G2911" s="3" t="n">
        <v>7.368452</v>
      </c>
      <c r="H2911" s="3" t="n">
        <v>4.240272</v>
      </c>
      <c r="I2911" s="3" t="n">
        <v>3.465505</v>
      </c>
      <c r="J2911" s="3" t="n">
        <v>3.133564</v>
      </c>
      <c r="K2911" s="3" t="n">
        <v>1.595973</v>
      </c>
      <c r="L2911" s="3" t="n">
        <v>-4.036496</v>
      </c>
      <c r="M2911" s="3" t="n">
        <v>1.043808</v>
      </c>
      <c r="N2911" s="3" t="n">
        <v>5.926673</v>
      </c>
      <c r="O2911" s="3" t="n">
        <v>0.319476</v>
      </c>
      <c r="P2911" s="3" t="n">
        <v>7.876565</v>
      </c>
      <c r="Q2911" s="3" t="n">
        <v>3.367311</v>
      </c>
      <c r="R2911" s="3" t="n">
        <v>2.542169</v>
      </c>
      <c r="S2911" s="3" t="n">
        <v>-1.232337</v>
      </c>
      <c r="T2911" s="3" t="n">
        <v>-2.101538</v>
      </c>
      <c r="U2911" s="3" t="n">
        <v>2.85828</v>
      </c>
      <c r="V2911" s="3" t="n">
        <v>6.915816</v>
      </c>
      <c r="W2911" s="3" t="n">
        <v>10.508352</v>
      </c>
      <c r="X2911" s="3" t="n">
        <v>9.631034</v>
      </c>
      <c r="Y2911" s="3" t="n">
        <v>5.619864</v>
      </c>
      <c r="Z2911" s="3" t="n">
        <v>7.048548</v>
      </c>
      <c r="AA2911" s="3" t="n">
        <v>4.144171</v>
      </c>
      <c r="AB2911" s="3" t="n">
        <v>-2.141837</v>
      </c>
      <c r="AC2911" s="3" t="n">
        <v>-3.428662</v>
      </c>
      <c r="AD2911" s="3" t="n">
        <v>1.640037</v>
      </c>
      <c r="AE2911" s="3" t="n">
        <v>2.194831</v>
      </c>
      <c r="AF2911" s="3" t="n">
        <v>3.070105</v>
      </c>
      <c r="AG2911" s="3" t="n">
        <v>0.707751</v>
      </c>
      <c r="AH2911" s="3" t="n">
        <v>1.409229</v>
      </c>
      <c r="AI2911" s="3" t="n">
        <v>1.905001</v>
      </c>
      <c r="AJ2911" s="3" t="n">
        <v>2.316498</v>
      </c>
      <c r="AK2911" s="3" t="n">
        <v>2.481489</v>
      </c>
      <c r="AL2911" s="3" t="n">
        <v>2.668577</v>
      </c>
      <c r="AM2911" s="3" t="n"/>
      <c r="AN2911" s="3" t="n"/>
      <c r="AO2911" s="3" t="n"/>
      <c r="AP2911" s="3" t="n"/>
      <c r="AQ2911" s="3" t="n"/>
      <c r="AR2911" s="3" t="n"/>
      <c r="AS2911" s="3" t="n"/>
      <c r="AT2911" s="3" t="n"/>
      <c r="AU2911" s="3" t="n"/>
    </row>
    <row r="2912">
      <c r="A2912" s="3" t="n">
        <v>2031</v>
      </c>
      <c r="B2912" s="3" t="inlineStr">
        <is>
          <t>THA</t>
        </is>
      </c>
      <c r="C2912" s="3" t="inlineStr">
        <is>
          <t>IMF.RES:WEO</t>
        </is>
      </c>
      <c r="D2912" s="3" t="inlineStr">
        <is>
          <t>THA.GGR_NGDP.A</t>
        </is>
      </c>
      <c r="E2912" s="3" t="inlineStr">
        <is>
          <t>Thailand</t>
        </is>
      </c>
      <c r="F2912" s="3" t="inlineStr">
        <is>
          <t>Revenue, General government, Percent of GDP</t>
        </is>
      </c>
      <c r="G2912" s="3" t="n">
        <v>17.554005</v>
      </c>
      <c r="H2912" s="3" t="n">
        <v>19.055671</v>
      </c>
      <c r="I2912" s="3" t="n">
        <v>18.989812</v>
      </c>
      <c r="J2912" s="3" t="n">
        <v>20.264063</v>
      </c>
      <c r="K2912" s="3" t="n">
        <v>20.437413</v>
      </c>
      <c r="L2912" s="3" t="n">
        <v>21.752803</v>
      </c>
      <c r="M2912" s="3" t="n">
        <v>20.605575</v>
      </c>
      <c r="N2912" s="3" t="n">
        <v>20.219001</v>
      </c>
      <c r="O2912" s="3" t="n">
        <v>20.027359</v>
      </c>
      <c r="P2912" s="3" t="n">
        <v>19.507863</v>
      </c>
      <c r="Q2912" s="3" t="n">
        <v>20.939153</v>
      </c>
      <c r="R2912" s="3" t="n">
        <v>21.207543</v>
      </c>
      <c r="S2912" s="3" t="n">
        <v>21.390819</v>
      </c>
      <c r="T2912" s="3" t="n">
        <v>22.235415</v>
      </c>
      <c r="U2912" s="3" t="n">
        <v>21.486866</v>
      </c>
      <c r="V2912" s="3" t="n">
        <v>22.465322</v>
      </c>
      <c r="W2912" s="3" t="n">
        <v>21.768673</v>
      </c>
      <c r="X2912" s="3" t="n">
        <v>21.100502</v>
      </c>
      <c r="Y2912" s="3" t="n">
        <v>21.362165</v>
      </c>
      <c r="Z2912" s="3" t="n">
        <v>20.979999</v>
      </c>
      <c r="AA2912" s="3" t="n">
        <v>20.414343</v>
      </c>
      <c r="AB2912" s="3" t="n">
        <v>20.048811</v>
      </c>
      <c r="AC2912" s="3" t="n">
        <v>20.04736</v>
      </c>
      <c r="AD2912" s="3" t="n">
        <v>20.81944</v>
      </c>
      <c r="AE2912" s="3" t="n">
        <v>21.318597</v>
      </c>
      <c r="AF2912" s="3" t="n">
        <v>21.05928</v>
      </c>
      <c r="AG2912" s="3" t="n">
        <v>21.037836</v>
      </c>
      <c r="AH2912" s="3" t="n">
        <v>21.131557</v>
      </c>
      <c r="AI2912" s="3" t="n">
        <v>21.112464</v>
      </c>
      <c r="AJ2912" s="3" t="n">
        <v>21.104096</v>
      </c>
      <c r="AK2912" s="3" t="n">
        <v>21.093104</v>
      </c>
      <c r="AL2912" s="3" t="n">
        <v>21.084001</v>
      </c>
      <c r="AM2912" s="3" t="n"/>
      <c r="AN2912" s="3" t="n"/>
      <c r="AO2912" s="3" t="n"/>
      <c r="AP2912" s="3" t="n"/>
      <c r="AQ2912" s="3" t="n"/>
      <c r="AR2912" s="3" t="n"/>
      <c r="AS2912" s="3" t="n"/>
      <c r="AT2912" s="3" t="n"/>
      <c r="AU2912" s="3" t="n"/>
    </row>
    <row r="2913">
      <c r="A2913" s="3" t="n">
        <v>2031</v>
      </c>
      <c r="B2913" s="3" t="inlineStr">
        <is>
          <t>THA</t>
        </is>
      </c>
      <c r="C2913" s="3" t="inlineStr">
        <is>
          <t>IMF.RES:WEO</t>
        </is>
      </c>
      <c r="D2913" s="3" t="inlineStr">
        <is>
          <t>THA.GGX_NGDP.A</t>
        </is>
      </c>
      <c r="E2913" s="3" t="inlineStr">
        <is>
          <t>Thailand</t>
        </is>
      </c>
      <c r="F2913" s="3" t="inlineStr">
        <is>
          <t>Expenditure, General government, Percent of GDP</t>
        </is>
      </c>
      <c r="G2913" s="3" t="n">
        <v>19.346073</v>
      </c>
      <c r="H2913" s="3" t="n">
        <v>20.823765</v>
      </c>
      <c r="I2913" s="3" t="n">
        <v>25.712311</v>
      </c>
      <c r="J2913" s="3" t="n">
        <v>18.285739</v>
      </c>
      <c r="K2913" s="3" t="n">
        <v>19.331488</v>
      </c>
      <c r="L2913" s="3" t="n">
        <v>19.579762</v>
      </c>
      <c r="M2913" s="3" t="n">
        <v>18.738915</v>
      </c>
      <c r="N2913" s="3" t="n">
        <v>19.999056</v>
      </c>
      <c r="O2913" s="3" t="n">
        <v>19.226326</v>
      </c>
      <c r="P2913" s="3" t="n">
        <v>21.721836</v>
      </c>
      <c r="Q2913" s="3" t="n">
        <v>22.008858</v>
      </c>
      <c r="R2913" s="3" t="n">
        <v>21.113401</v>
      </c>
      <c r="S2913" s="3" t="n">
        <v>22.251298</v>
      </c>
      <c r="T2913" s="3" t="n">
        <v>21.636004</v>
      </c>
      <c r="U2913" s="3" t="n">
        <v>22.187075</v>
      </c>
      <c r="V2913" s="3" t="n">
        <v>22.277666</v>
      </c>
      <c r="W2913" s="3" t="n">
        <v>21.355667</v>
      </c>
      <c r="X2913" s="3" t="n">
        <v>21.606198</v>
      </c>
      <c r="Y2913" s="3" t="n">
        <v>21.159265</v>
      </c>
      <c r="Z2913" s="3" t="n">
        <v>20.553137</v>
      </c>
      <c r="AA2913" s="3" t="n">
        <v>24.884718</v>
      </c>
      <c r="AB2913" s="3" t="n">
        <v>26.773605</v>
      </c>
      <c r="AC2913" s="3" t="n">
        <v>24.65672</v>
      </c>
      <c r="AD2913" s="3" t="n">
        <v>22.728392</v>
      </c>
      <c r="AE2913" s="3" t="n">
        <v>22.606048</v>
      </c>
      <c r="AF2913" s="3" t="n">
        <v>22.965529</v>
      </c>
      <c r="AG2913" s="3" t="n">
        <v>23.267394</v>
      </c>
      <c r="AH2913" s="3" t="n">
        <v>23.073683</v>
      </c>
      <c r="AI2913" s="3" t="n">
        <v>23.156805</v>
      </c>
      <c r="AJ2913" s="3" t="n">
        <v>23.293487</v>
      </c>
      <c r="AK2913" s="3" t="n">
        <v>23.29675</v>
      </c>
      <c r="AL2913" s="3" t="n">
        <v>23.299746</v>
      </c>
      <c r="AM2913" s="3" t="n"/>
      <c r="AN2913" s="3" t="n"/>
      <c r="AO2913" s="3" t="n"/>
      <c r="AP2913" s="3" t="n"/>
      <c r="AQ2913" s="3" t="n"/>
      <c r="AR2913" s="3" t="n"/>
      <c r="AS2913" s="3" t="n"/>
      <c r="AT2913" s="3" t="n"/>
      <c r="AU2913" s="3" t="n"/>
    </row>
    <row r="2914">
      <c r="A2914" s="3" t="n">
        <v>2031</v>
      </c>
      <c r="B2914" s="3" t="inlineStr">
        <is>
          <t>THA</t>
        </is>
      </c>
      <c r="C2914" s="3" t="inlineStr">
        <is>
          <t>IMF.RES:WEO</t>
        </is>
      </c>
      <c r="D2914" s="3" t="inlineStr">
        <is>
          <t>THA.LP.A</t>
        </is>
      </c>
      <c r="E2914" s="3" t="inlineStr">
        <is>
          <t>Thailand</t>
        </is>
      </c>
      <c r="F2914" s="3" t="inlineStr">
        <is>
          <t>Population, Persons for countries / Index for country groups</t>
        </is>
      </c>
      <c r="G2914" s="3" t="n">
        <v>63.007815</v>
      </c>
      <c r="H2914" s="3" t="n">
        <v>63.651141</v>
      </c>
      <c r="I2914" s="3" t="n">
        <v>64.266437</v>
      </c>
      <c r="J2914" s="3" t="n">
        <v>64.868166</v>
      </c>
      <c r="K2914" s="3" t="n">
        <v>65.45204699999999</v>
      </c>
      <c r="L2914" s="3" t="n">
        <v>66.01742</v>
      </c>
      <c r="M2914" s="3" t="n">
        <v>66.56768700000001</v>
      </c>
      <c r="N2914" s="3" t="n">
        <v>67.102394</v>
      </c>
      <c r="O2914" s="3" t="n">
        <v>67.61982999999999</v>
      </c>
      <c r="P2914" s="3" t="n">
        <v>68.12108000000001</v>
      </c>
      <c r="Q2914" s="3" t="n">
        <v>68.579447</v>
      </c>
      <c r="R2914" s="3" t="n">
        <v>69.00720800000001</v>
      </c>
      <c r="S2914" s="3" t="n">
        <v>69.436098</v>
      </c>
      <c r="T2914" s="3" t="n">
        <v>69.845114</v>
      </c>
      <c r="U2914" s="3" t="n">
        <v>70.21636700000001</v>
      </c>
      <c r="V2914" s="3" t="n">
        <v>70.540795</v>
      </c>
      <c r="W2914" s="3" t="n">
        <v>70.859841</v>
      </c>
      <c r="X2914" s="3" t="n">
        <v>71.16018699999999</v>
      </c>
      <c r="Y2914" s="3" t="n">
        <v>71.376079</v>
      </c>
      <c r="Z2914" s="3" t="n">
        <v>71.522271</v>
      </c>
      <c r="AA2914" s="3" t="n">
        <v>71.64148400000001</v>
      </c>
      <c r="AB2914" s="3" t="n">
        <v>71.727332</v>
      </c>
      <c r="AC2914" s="3" t="n">
        <v>71.73532899999999</v>
      </c>
      <c r="AD2914" s="3" t="n">
        <v>71.70243499999999</v>
      </c>
      <c r="AE2914" s="3" t="n">
        <v>71.66801100000001</v>
      </c>
      <c r="AF2914" s="3" t="n">
        <v>71.619863</v>
      </c>
      <c r="AG2914" s="3" t="n">
        <v>71.559614</v>
      </c>
      <c r="AH2914" s="3" t="n">
        <v>71.488156</v>
      </c>
      <c r="AI2914" s="3" t="n">
        <v>71.406994</v>
      </c>
      <c r="AJ2914" s="3" t="n">
        <v>71.316193</v>
      </c>
      <c r="AK2914" s="3" t="n">
        <v>71.215022</v>
      </c>
      <c r="AL2914" s="3" t="n">
        <v>71.104021</v>
      </c>
      <c r="AM2914" s="3" t="n"/>
      <c r="AN2914" s="3" t="n"/>
      <c r="AO2914" s="3" t="n"/>
      <c r="AP2914" s="3" t="n"/>
      <c r="AQ2914" s="3" t="n"/>
      <c r="AR2914" s="3" t="n"/>
      <c r="AS2914" s="3" t="n"/>
      <c r="AT2914" s="3" t="n"/>
      <c r="AU2914" s="3" t="n"/>
    </row>
    <row r="2915">
      <c r="A2915" s="3" t="n">
        <v>2031</v>
      </c>
      <c r="B2915" s="3" t="inlineStr">
        <is>
          <t>THA</t>
        </is>
      </c>
      <c r="C2915" s="3" t="inlineStr">
        <is>
          <t>IMF.RES:WEO</t>
        </is>
      </c>
      <c r="D2915" s="3" t="inlineStr">
        <is>
          <t>THA.NGDP.A</t>
        </is>
      </c>
      <c r="E2915" s="3" t="inlineStr">
        <is>
          <t>Thailand</t>
        </is>
      </c>
      <c r="F2915" s="3" t="inlineStr">
        <is>
          <t>Gross domestic product (GDP), Current prices, Domestic currency</t>
        </is>
      </c>
      <c r="G2915" s="3" t="n">
        <v>5069.82</v>
      </c>
      <c r="H2915" s="3" t="n">
        <v>5345.001</v>
      </c>
      <c r="I2915" s="3" t="n">
        <v>5769.578</v>
      </c>
      <c r="J2915" s="3" t="n">
        <v>6317.303</v>
      </c>
      <c r="K2915" s="3" t="n">
        <v>6954.282</v>
      </c>
      <c r="L2915" s="3" t="n">
        <v>7614.411</v>
      </c>
      <c r="M2915" s="3" t="n">
        <v>8400.644</v>
      </c>
      <c r="N2915" s="3" t="n">
        <v>9076.300999999999</v>
      </c>
      <c r="O2915" s="3" t="n">
        <v>9706.929</v>
      </c>
      <c r="P2915" s="3" t="n">
        <v>9658.666999999999</v>
      </c>
      <c r="Q2915" s="3" t="n">
        <v>10808.145</v>
      </c>
      <c r="R2915" s="3" t="n">
        <v>11306.906</v>
      </c>
      <c r="S2915" s="3" t="n">
        <v>12357.342</v>
      </c>
      <c r="T2915" s="3" t="n">
        <v>12915.158</v>
      </c>
      <c r="U2915" s="3" t="n">
        <v>13230.304</v>
      </c>
      <c r="V2915" s="3" t="n">
        <v>13743.48</v>
      </c>
      <c r="W2915" s="3" t="n">
        <v>14590.337</v>
      </c>
      <c r="X2915" s="3" t="n">
        <v>15488.664</v>
      </c>
      <c r="Y2915" s="3" t="n">
        <v>16373.343</v>
      </c>
      <c r="Z2915" s="3" t="n">
        <v>16889.174</v>
      </c>
      <c r="AA2915" s="3" t="n">
        <v>15655.44</v>
      </c>
      <c r="AB2915" s="3" t="n">
        <v>16182.001</v>
      </c>
      <c r="AC2915" s="3" t="n">
        <v>17379.625</v>
      </c>
      <c r="AD2915" s="3" t="n">
        <v>17993.197</v>
      </c>
      <c r="AE2915" s="3" t="n">
        <v>18683.888</v>
      </c>
      <c r="AF2915" s="3" t="n">
        <v>18973.709</v>
      </c>
      <c r="AG2915" s="3" t="n">
        <v>19429.850049</v>
      </c>
      <c r="AH2915" s="3" t="n">
        <v>20032.732855</v>
      </c>
      <c r="AI2915" s="3" t="n">
        <v>20734.235938</v>
      </c>
      <c r="AJ2915" s="3" t="n">
        <v>21542.441239</v>
      </c>
      <c r="AK2915" s="3" t="n">
        <v>22404.228469</v>
      </c>
      <c r="AL2915" s="3" t="n">
        <v>23367.092268</v>
      </c>
      <c r="AM2915" s="3" t="n"/>
      <c r="AN2915" s="3" t="n"/>
      <c r="AO2915" s="3" t="n"/>
      <c r="AP2915" s="3" t="n"/>
      <c r="AQ2915" s="3" t="n"/>
      <c r="AR2915" s="3" t="n"/>
      <c r="AS2915" s="3" t="n"/>
      <c r="AT2915" s="3" t="n"/>
      <c r="AU2915" s="3" t="n"/>
    </row>
    <row r="2916">
      <c r="A2916" s="3" t="n">
        <v>2031</v>
      </c>
      <c r="B2916" s="3" t="inlineStr">
        <is>
          <t>THA</t>
        </is>
      </c>
      <c r="C2916" s="3" t="inlineStr">
        <is>
          <t>IMF.RES:WEO</t>
        </is>
      </c>
      <c r="D2916" s="3" t="inlineStr">
        <is>
          <t>THA.NGDP_D.A</t>
        </is>
      </c>
      <c r="E2916" s="3" t="inlineStr">
        <is>
          <t>Thailand</t>
        </is>
      </c>
      <c r="F2916" s="3" t="inlineStr">
        <is>
          <t>Gross domestic product (GDP), Price deflator, Index</t>
        </is>
      </c>
      <c r="G2916" s="3" t="n">
        <v>96.487465</v>
      </c>
      <c r="H2916" s="3" t="n">
        <v>98.337643</v>
      </c>
      <c r="I2916" s="3" t="n">
        <v>100.000017</v>
      </c>
      <c r="J2916" s="3" t="n">
        <v>102.149549</v>
      </c>
      <c r="K2916" s="3" t="n">
        <v>105.795531</v>
      </c>
      <c r="L2916" s="3" t="n">
        <v>111.18217</v>
      </c>
      <c r="M2916" s="3" t="n">
        <v>116.857145</v>
      </c>
      <c r="N2916" s="3" t="n">
        <v>119.747417</v>
      </c>
      <c r="O2916" s="3" t="n">
        <v>125.894987</v>
      </c>
      <c r="P2916" s="3" t="n">
        <v>126.140195</v>
      </c>
      <c r="Q2916" s="3" t="n">
        <v>131.287963</v>
      </c>
      <c r="R2916" s="3" t="n">
        <v>136.2022</v>
      </c>
      <c r="S2916" s="3" t="n">
        <v>138.802497</v>
      </c>
      <c r="T2916" s="3" t="n">
        <v>141.271441</v>
      </c>
      <c r="U2916" s="3" t="n">
        <v>143.307819</v>
      </c>
      <c r="V2916" s="3" t="n">
        <v>144.342665</v>
      </c>
      <c r="W2916" s="3" t="n">
        <v>148.147779</v>
      </c>
      <c r="X2916" s="3" t="n">
        <v>150.962506</v>
      </c>
      <c r="Y2916" s="3" t="n">
        <v>153.119135</v>
      </c>
      <c r="Z2916" s="3" t="n">
        <v>154.672411</v>
      </c>
      <c r="AA2916" s="3" t="n">
        <v>152.676449</v>
      </c>
      <c r="AB2916" s="3" t="n">
        <v>155.398777</v>
      </c>
      <c r="AC2916" s="3" t="n">
        <v>162.536091</v>
      </c>
      <c r="AD2916" s="3" t="n">
        <v>164.587299</v>
      </c>
      <c r="AE2916" s="3" t="n">
        <v>166.016449</v>
      </c>
      <c r="AF2916" s="3" t="n">
        <v>164.620054</v>
      </c>
      <c r="AG2916" s="3" t="n">
        <v>166.086338</v>
      </c>
      <c r="AH2916" s="3" t="n">
        <v>167.716812</v>
      </c>
      <c r="AI2916" s="3" t="n">
        <v>169.700452</v>
      </c>
      <c r="AJ2916" s="3" t="n">
        <v>172.088168</v>
      </c>
      <c r="AK2916" s="3" t="n">
        <v>174.612457</v>
      </c>
      <c r="AL2916" s="3" t="n">
        <v>177.674863</v>
      </c>
      <c r="AM2916" s="3" t="n"/>
      <c r="AN2916" s="3" t="n"/>
      <c r="AO2916" s="3" t="n"/>
      <c r="AP2916" s="3" t="n"/>
      <c r="AQ2916" s="3" t="n"/>
      <c r="AR2916" s="3" t="n"/>
      <c r="AS2916" s="3" t="n"/>
      <c r="AT2916" s="3" t="n"/>
      <c r="AU2916" s="3" t="n"/>
    </row>
    <row r="2917">
      <c r="A2917" s="3" t="n">
        <v>2031</v>
      </c>
      <c r="B2917" s="3" t="inlineStr">
        <is>
          <t>THA</t>
        </is>
      </c>
      <c r="C2917" s="3" t="inlineStr">
        <is>
          <t>IMF.RES:WEO</t>
        </is>
      </c>
      <c r="D2917" s="3" t="inlineStr">
        <is>
          <t>THA.NGDP_R.A</t>
        </is>
      </c>
      <c r="E2917" s="3" t="inlineStr">
        <is>
          <t>Thailand</t>
        </is>
      </c>
      <c r="F2917" s="3" t="inlineStr">
        <is>
          <t>Gross domestic product (GDP), Constant prices, Domestic currency</t>
        </is>
      </c>
      <c r="G2917" s="3" t="n">
        <v>5254.382</v>
      </c>
      <c r="H2917" s="3" t="n">
        <v>5435.356</v>
      </c>
      <c r="I2917" s="3" t="n">
        <v>5769.577</v>
      </c>
      <c r="J2917" s="3" t="n">
        <v>6184.367</v>
      </c>
      <c r="K2917" s="3" t="n">
        <v>6573.323</v>
      </c>
      <c r="L2917" s="3" t="n">
        <v>6848.59</v>
      </c>
      <c r="M2917" s="3" t="n">
        <v>7188.815</v>
      </c>
      <c r="N2917" s="3" t="n">
        <v>7579.538</v>
      </c>
      <c r="O2917" s="3" t="n">
        <v>7710.338</v>
      </c>
      <c r="P2917" s="3" t="n">
        <v>7657.089</v>
      </c>
      <c r="Q2917" s="3" t="n">
        <v>8232.396000000001</v>
      </c>
      <c r="R2917" s="3" t="n">
        <v>8301.558999999999</v>
      </c>
      <c r="S2917" s="3" t="n">
        <v>8902.824000000001</v>
      </c>
      <c r="T2917" s="3" t="n">
        <v>9142.087</v>
      </c>
      <c r="U2917" s="3" t="n">
        <v>9232.088</v>
      </c>
      <c r="V2917" s="3" t="n">
        <v>9521.425999999999</v>
      </c>
      <c r="W2917" s="3" t="n">
        <v>9848.502</v>
      </c>
      <c r="X2917" s="3" t="n">
        <v>10259.941</v>
      </c>
      <c r="Y2917" s="3" t="n">
        <v>10693.205</v>
      </c>
      <c r="Z2917" s="3" t="n">
        <v>10919.319</v>
      </c>
      <c r="AA2917" s="3" t="n">
        <v>10253.998</v>
      </c>
      <c r="AB2917" s="3" t="n">
        <v>10413.21</v>
      </c>
      <c r="AC2917" s="3" t="n">
        <v>10692.779</v>
      </c>
      <c r="AD2917" s="3" t="n">
        <v>10932.312</v>
      </c>
      <c r="AE2917" s="3" t="n">
        <v>11254.239</v>
      </c>
      <c r="AF2917" s="3" t="n">
        <v>11525.758</v>
      </c>
      <c r="AG2917" s="3" t="n">
        <v>11698.64437</v>
      </c>
      <c r="AH2917" s="3" t="n">
        <v>11944.379702</v>
      </c>
      <c r="AI2917" s="3" t="n">
        <v>12218.138283</v>
      </c>
      <c r="AJ2917" s="3" t="n">
        <v>12518.258241</v>
      </c>
      <c r="AK2917" s="3" t="n">
        <v>12830.830522</v>
      </c>
      <c r="AL2917" s="3" t="n">
        <v>13151.60277</v>
      </c>
      <c r="AM2917" s="3" t="n"/>
      <c r="AN2917" s="3" t="n"/>
      <c r="AO2917" s="3" t="n"/>
      <c r="AP2917" s="3" t="n"/>
      <c r="AQ2917" s="3" t="n"/>
      <c r="AR2917" s="3" t="n"/>
      <c r="AS2917" s="3" t="n"/>
      <c r="AT2917" s="3" t="n"/>
      <c r="AU2917" s="3" t="n"/>
    </row>
    <row r="2918">
      <c r="A2918" s="3" t="n">
        <v>2031</v>
      </c>
      <c r="B2918" s="3" t="inlineStr">
        <is>
          <t>THA</t>
        </is>
      </c>
      <c r="C2918" s="3" t="inlineStr">
        <is>
          <t>IMF.RES:WEO</t>
        </is>
      </c>
      <c r="D2918" s="3" t="inlineStr">
        <is>
          <t>THA.NGDP_RPCH.A</t>
        </is>
      </c>
      <c r="E2918" s="3" t="inlineStr">
        <is>
          <t>Thailand</t>
        </is>
      </c>
      <c r="F2918" s="3" t="inlineStr">
        <is>
          <t>Gross domestic product (GDP), Constant prices, Percent change</t>
        </is>
      </c>
      <c r="G2918" s="3" t="n">
        <v>4.455247</v>
      </c>
      <c r="H2918" s="3" t="n">
        <v>3.444249</v>
      </c>
      <c r="I2918" s="3" t="n">
        <v>6.149018</v>
      </c>
      <c r="J2918" s="3" t="n">
        <v>7.189262</v>
      </c>
      <c r="K2918" s="3" t="n">
        <v>6.289342</v>
      </c>
      <c r="L2918" s="3" t="n">
        <v>4.187638</v>
      </c>
      <c r="M2918" s="3" t="n">
        <v>4.967811</v>
      </c>
      <c r="N2918" s="3" t="n">
        <v>5.435152</v>
      </c>
      <c r="O2918" s="3" t="n">
        <v>1.725699</v>
      </c>
      <c r="P2918" s="3" t="n">
        <v>-0.690618</v>
      </c>
      <c r="Q2918" s="3" t="n">
        <v>7.513391</v>
      </c>
      <c r="R2918" s="3" t="n">
        <v>0.840132</v>
      </c>
      <c r="S2918" s="3" t="n">
        <v>7.242796</v>
      </c>
      <c r="T2918" s="3" t="n">
        <v>2.687496</v>
      </c>
      <c r="U2918" s="3" t="n">
        <v>0.984469</v>
      </c>
      <c r="V2918" s="3" t="n">
        <v>3.134047</v>
      </c>
      <c r="W2918" s="3" t="n">
        <v>3.435158</v>
      </c>
      <c r="X2918" s="3" t="n">
        <v>4.177681</v>
      </c>
      <c r="Y2918" s="3" t="n">
        <v>4.22287</v>
      </c>
      <c r="Z2918" s="3" t="n">
        <v>2.114558</v>
      </c>
      <c r="AA2918" s="3" t="n">
        <v>-6.093063</v>
      </c>
      <c r="AB2918" s="3" t="n">
        <v>1.552682</v>
      </c>
      <c r="AC2918" s="3" t="n">
        <v>2.684753</v>
      </c>
      <c r="AD2918" s="3" t="n">
        <v>2.240138</v>
      </c>
      <c r="AE2918" s="3" t="n">
        <v>2.944729</v>
      </c>
      <c r="AF2918" s="3" t="n">
        <v>2.412593</v>
      </c>
      <c r="AG2918" s="3" t="n">
        <v>1.5</v>
      </c>
      <c r="AH2918" s="3" t="n">
        <v>2.100545</v>
      </c>
      <c r="AI2918" s="3" t="n">
        <v>2.291945</v>
      </c>
      <c r="AJ2918" s="3" t="n">
        <v>2.456348</v>
      </c>
      <c r="AK2918" s="3" t="n">
        <v>2.496931</v>
      </c>
      <c r="AL2918" s="3" t="n">
        <v>2.500012</v>
      </c>
      <c r="AM2918" s="3" t="n"/>
      <c r="AN2918" s="3" t="n"/>
      <c r="AO2918" s="3" t="n"/>
      <c r="AP2918" s="3" t="n"/>
      <c r="AQ2918" s="3" t="n"/>
      <c r="AR2918" s="3" t="n"/>
      <c r="AS2918" s="3" t="n"/>
      <c r="AT2918" s="3" t="n"/>
      <c r="AU2918" s="3" t="n"/>
    </row>
    <row r="2919">
      <c r="A2919" s="3" t="n">
        <v>2031</v>
      </c>
      <c r="B2919" s="3" t="inlineStr">
        <is>
          <t>THA</t>
        </is>
      </c>
      <c r="C2919" s="3" t="inlineStr">
        <is>
          <t>IMF.RES:WEO</t>
        </is>
      </c>
      <c r="D2919" s="3" t="inlineStr">
        <is>
          <t>THA.NGDPD.A</t>
        </is>
      </c>
      <c r="E2919" s="3" t="inlineStr">
        <is>
          <t>Thailand</t>
        </is>
      </c>
      <c r="F2919" s="3" t="inlineStr">
        <is>
          <t>Gross domestic product (GDP), Current prices, US dollar</t>
        </is>
      </c>
      <c r="G2919" s="3" t="n">
        <v>126.392223</v>
      </c>
      <c r="H2919" s="3" t="n">
        <v>120.296476</v>
      </c>
      <c r="I2919" s="3" t="n">
        <v>134.300903</v>
      </c>
      <c r="J2919" s="3" t="n">
        <v>152.280616</v>
      </c>
      <c r="K2919" s="3" t="n">
        <v>172.895686</v>
      </c>
      <c r="L2919" s="3" t="n">
        <v>189.318407</v>
      </c>
      <c r="M2919" s="3" t="n">
        <v>221.758295</v>
      </c>
      <c r="N2919" s="3" t="n">
        <v>262.942625</v>
      </c>
      <c r="O2919" s="3" t="n">
        <v>291.382986</v>
      </c>
      <c r="P2919" s="3" t="n">
        <v>281.710629</v>
      </c>
      <c r="Q2919" s="3" t="n">
        <v>341.104766</v>
      </c>
      <c r="R2919" s="3" t="n">
        <v>370.818736</v>
      </c>
      <c r="S2919" s="3" t="n">
        <v>397.55833</v>
      </c>
      <c r="T2919" s="3" t="n">
        <v>420.333659</v>
      </c>
      <c r="U2919" s="3" t="n">
        <v>407.339036</v>
      </c>
      <c r="V2919" s="3" t="n">
        <v>401.296242</v>
      </c>
      <c r="W2919" s="3" t="n">
        <v>413.366346</v>
      </c>
      <c r="X2919" s="3" t="n">
        <v>456.356813</v>
      </c>
      <c r="Y2919" s="3" t="n">
        <v>506.754212</v>
      </c>
      <c r="Z2919" s="3" t="n">
        <v>543.9766959999999</v>
      </c>
      <c r="AA2919" s="3" t="n">
        <v>500.274924</v>
      </c>
      <c r="AB2919" s="3" t="n">
        <v>506.049777</v>
      </c>
      <c r="AC2919" s="3" t="n">
        <v>495.691834</v>
      </c>
      <c r="AD2919" s="3" t="n">
        <v>517.013376</v>
      </c>
      <c r="AE2919" s="3" t="n">
        <v>529.38552</v>
      </c>
      <c r="AF2919" s="3" t="n">
        <v>577.010139</v>
      </c>
      <c r="AG2919" s="3" t="n">
        <v>579.995524</v>
      </c>
      <c r="AH2919" s="3" t="n">
        <v>584.0446899999999</v>
      </c>
      <c r="AI2919" s="3" t="n">
        <v>599.255374</v>
      </c>
      <c r="AJ2919" s="3" t="n">
        <v>622.613909</v>
      </c>
      <c r="AK2919" s="3" t="n">
        <v>647.521054</v>
      </c>
      <c r="AL2919" s="3" t="n">
        <v>675.349488</v>
      </c>
      <c r="AM2919" s="3" t="n"/>
      <c r="AN2919" s="3" t="n"/>
      <c r="AO2919" s="3" t="n"/>
      <c r="AP2919" s="3" t="n"/>
      <c r="AQ2919" s="3" t="n"/>
      <c r="AR2919" s="3" t="n"/>
      <c r="AS2919" s="3" t="n"/>
      <c r="AT2919" s="3" t="n"/>
      <c r="AU2919" s="3" t="n"/>
    </row>
    <row r="2920">
      <c r="A2920" s="3" t="n">
        <v>2031</v>
      </c>
      <c r="B2920" s="3" t="inlineStr">
        <is>
          <t>THA</t>
        </is>
      </c>
      <c r="C2920" s="3" t="inlineStr">
        <is>
          <t>IMF.RES:WEO</t>
        </is>
      </c>
      <c r="D2920" s="3" t="inlineStr">
        <is>
          <t>THA.NGDPPC.A</t>
        </is>
      </c>
      <c r="E2920" s="3" t="inlineStr">
        <is>
          <t>Thailand</t>
        </is>
      </c>
      <c r="F2920" s="3" t="inlineStr">
        <is>
          <t>Gross domestic product (GDP), Current prices, Per capita, Domestic currency</t>
        </is>
      </c>
      <c r="G2920" s="3" t="n">
        <v>80463.352046</v>
      </c>
      <c r="H2920" s="3" t="n">
        <v>83973.37291999999</v>
      </c>
      <c r="I2920" s="3" t="n">
        <v>89775.91211400001</v>
      </c>
      <c r="J2920" s="3" t="n">
        <v>97386.798326</v>
      </c>
      <c r="K2920" s="3" t="n">
        <v>106250.030652</v>
      </c>
      <c r="L2920" s="3" t="n">
        <v>115339.421019</v>
      </c>
      <c r="M2920" s="3" t="n">
        <v>126197.024091</v>
      </c>
      <c r="N2920" s="3" t="n">
        <v>135260.464776</v>
      </c>
      <c r="O2920" s="3" t="n">
        <v>143551.5144</v>
      </c>
      <c r="P2920" s="3" t="n">
        <v>141786.756757</v>
      </c>
      <c r="Q2920" s="3" t="n">
        <v>157600.352187</v>
      </c>
      <c r="R2920" s="3" t="n">
        <v>163851.086397</v>
      </c>
      <c r="S2920" s="3" t="n">
        <v>177967.114454</v>
      </c>
      <c r="T2920" s="3" t="n">
        <v>184911.402679</v>
      </c>
      <c r="U2920" s="3" t="n">
        <v>188421.93872</v>
      </c>
      <c r="V2920" s="3" t="n">
        <v>194830.239722</v>
      </c>
      <c r="W2920" s="3" t="n">
        <v>205904.173564</v>
      </c>
      <c r="X2920" s="3" t="n">
        <v>217659.124476</v>
      </c>
      <c r="Y2920" s="3" t="n">
        <v>229395.383291</v>
      </c>
      <c r="Z2920" s="3" t="n">
        <v>236138.670709</v>
      </c>
      <c r="AA2920" s="3" t="n">
        <v>218524.786561</v>
      </c>
      <c r="AB2920" s="3" t="n">
        <v>225604.390248</v>
      </c>
      <c r="AC2920" s="3" t="n">
        <v>242274.277434</v>
      </c>
      <c r="AD2920" s="3" t="n">
        <v>250942.621405</v>
      </c>
      <c r="AE2920" s="3" t="n">
        <v>260700.523697</v>
      </c>
      <c r="AF2920" s="3" t="n">
        <v>264922.441977</v>
      </c>
      <c r="AG2920" s="3" t="n">
        <v>271519.7716</v>
      </c>
      <c r="AH2920" s="3" t="n">
        <v>280224.501181</v>
      </c>
      <c r="AI2920" s="3" t="n">
        <v>290367.018368</v>
      </c>
      <c r="AJ2920" s="3" t="n">
        <v>302069.422565</v>
      </c>
      <c r="AK2920" s="3" t="n">
        <v>314599.754942</v>
      </c>
      <c r="AL2920" s="3" t="n">
        <v>328632.501222</v>
      </c>
      <c r="AM2920" s="3" t="n"/>
      <c r="AN2920" s="3" t="n"/>
      <c r="AO2920" s="3" t="n"/>
      <c r="AP2920" s="3" t="n"/>
      <c r="AQ2920" s="3" t="n"/>
      <c r="AR2920" s="3" t="n"/>
      <c r="AS2920" s="3" t="n"/>
      <c r="AT2920" s="3" t="n"/>
      <c r="AU2920" s="3" t="n"/>
    </row>
    <row r="2921">
      <c r="A2921" s="3" t="n">
        <v>2031</v>
      </c>
      <c r="B2921" s="3" t="inlineStr">
        <is>
          <t>THA</t>
        </is>
      </c>
      <c r="C2921" s="3" t="inlineStr">
        <is>
          <t>IMF.RES:WEO</t>
        </is>
      </c>
      <c r="D2921" s="3" t="inlineStr">
        <is>
          <t>THA.NGDPRPC.A</t>
        </is>
      </c>
      <c r="E2921" s="3" t="inlineStr">
        <is>
          <t>Thailand</t>
        </is>
      </c>
      <c r="F2921" s="3" t="inlineStr">
        <is>
          <t>Gross domestic product (GDP), Constant prices, Per capita, Domestic currency</t>
        </is>
      </c>
      <c r="G2921" s="3" t="n">
        <v>83392.544242</v>
      </c>
      <c r="H2921" s="3" t="n">
        <v>85392.907568</v>
      </c>
      <c r="I2921" s="3" t="n">
        <v>89775.89655400001</v>
      </c>
      <c r="J2921" s="3" t="n">
        <v>95337.47262099999</v>
      </c>
      <c r="K2921" s="3" t="n">
        <v>100429.601537</v>
      </c>
      <c r="L2921" s="3" t="n">
        <v>103739.134307</v>
      </c>
      <c r="M2921" s="3" t="n">
        <v>107992.561015</v>
      </c>
      <c r="N2921" s="3" t="n">
        <v>112954.807544</v>
      </c>
      <c r="O2921" s="3" t="n">
        <v>114024.806037</v>
      </c>
      <c r="P2921" s="3" t="n">
        <v>112404.104574</v>
      </c>
      <c r="Q2921" s="3" t="n">
        <v>120041.737869</v>
      </c>
      <c r="R2921" s="3" t="n">
        <v>120299.882296</v>
      </c>
      <c r="S2921" s="3" t="n">
        <v>128216.075736</v>
      </c>
      <c r="T2921" s="3" t="n">
        <v>130890.859452</v>
      </c>
      <c r="U2921" s="3" t="n">
        <v>131480.57062</v>
      </c>
      <c r="V2921" s="3" t="n">
        <v>134977.58283</v>
      </c>
      <c r="W2921" s="3" t="n">
        <v>138985.663262</v>
      </c>
      <c r="X2921" s="3" t="n">
        <v>144180.916781</v>
      </c>
      <c r="Y2921" s="3" t="n">
        <v>149814.968121</v>
      </c>
      <c r="Z2921" s="3" t="n">
        <v>152670.194155</v>
      </c>
      <c r="AA2921" s="3" t="n">
        <v>143129.335512</v>
      </c>
      <c r="AB2921" s="3" t="n">
        <v>145177.71273</v>
      </c>
      <c r="AC2921" s="3" t="n">
        <v>149058.757366</v>
      </c>
      <c r="AD2921" s="3" t="n">
        <v>152467.79276</v>
      </c>
      <c r="AE2921" s="3" t="n">
        <v>157032.947377</v>
      </c>
      <c r="AF2921" s="3" t="n">
        <v>160929.629257</v>
      </c>
      <c r="AG2921" s="3" t="n">
        <v>163481.099409</v>
      </c>
      <c r="AH2921" s="3" t="n">
        <v>167081.938754</v>
      </c>
      <c r="AI2921" s="3" t="n">
        <v>171105.624227</v>
      </c>
      <c r="AJ2921" s="3" t="n">
        <v>175531.779169</v>
      </c>
      <c r="AK2921" s="3" t="n">
        <v>180170.280962</v>
      </c>
      <c r="AL2921" s="3" t="n">
        <v>184962.855618</v>
      </c>
      <c r="AM2921" s="3" t="n"/>
      <c r="AN2921" s="3" t="n"/>
      <c r="AO2921" s="3" t="n"/>
      <c r="AP2921" s="3" t="n"/>
      <c r="AQ2921" s="3" t="n"/>
      <c r="AR2921" s="3" t="n"/>
      <c r="AS2921" s="3" t="n"/>
      <c r="AT2921" s="3" t="n"/>
      <c r="AU2921" s="3" t="n"/>
    </row>
    <row r="2922">
      <c r="A2922" s="3" t="n">
        <v>2031</v>
      </c>
      <c r="B2922" s="3" t="inlineStr">
        <is>
          <t>THA</t>
        </is>
      </c>
      <c r="C2922" s="3" t="inlineStr">
        <is>
          <t>IMF.RES:WEO</t>
        </is>
      </c>
      <c r="D2922" s="3" t="inlineStr">
        <is>
          <t>THA.PCPI.A</t>
        </is>
      </c>
      <c r="E2922" s="3" t="inlineStr">
        <is>
          <t>Thailand</t>
        </is>
      </c>
      <c r="F2922" s="3" t="inlineStr">
        <is>
          <t>All Items, Consumer price index (CPI), Period average</t>
        </is>
      </c>
      <c r="G2922" s="3" t="n">
        <v>63.376667</v>
      </c>
      <c r="H2922" s="3" t="n">
        <v>64.39833299999999</v>
      </c>
      <c r="I2922" s="3" t="n">
        <v>64.82250000000001</v>
      </c>
      <c r="J2922" s="3" t="n">
        <v>66.000833</v>
      </c>
      <c r="K2922" s="3" t="n">
        <v>67.855</v>
      </c>
      <c r="L2922" s="3" t="n">
        <v>70.88583300000001</v>
      </c>
      <c r="M2922" s="3" t="n">
        <v>74.22750000000001</v>
      </c>
      <c r="N2922" s="3" t="n">
        <v>75.833333</v>
      </c>
      <c r="O2922" s="3" t="n">
        <v>79.99333300000001</v>
      </c>
      <c r="P2922" s="3" t="n">
        <v>79.298333</v>
      </c>
      <c r="Q2922" s="3" t="n">
        <v>81.91500000000001</v>
      </c>
      <c r="R2922" s="3" t="n">
        <v>85.03666699999999</v>
      </c>
      <c r="S2922" s="3" t="n">
        <v>87.595833</v>
      </c>
      <c r="T2922" s="3" t="n">
        <v>89.51083300000001</v>
      </c>
      <c r="U2922" s="3" t="n">
        <v>91.206667</v>
      </c>
      <c r="V2922" s="3" t="n">
        <v>90.3875</v>
      </c>
      <c r="W2922" s="3" t="n">
        <v>90.55583300000001</v>
      </c>
      <c r="X2922" s="3" t="n">
        <v>91.1575</v>
      </c>
      <c r="Y2922" s="3" t="n">
        <v>92.13</v>
      </c>
      <c r="Z2922" s="3" t="n">
        <v>92.78</v>
      </c>
      <c r="AA2922" s="3" t="n">
        <v>91.995</v>
      </c>
      <c r="AB2922" s="3" t="n">
        <v>93.1275</v>
      </c>
      <c r="AC2922" s="3" t="n">
        <v>98.785833</v>
      </c>
      <c r="AD2922" s="3" t="n">
        <v>100</v>
      </c>
      <c r="AE2922" s="3" t="n">
        <v>100.398333</v>
      </c>
      <c r="AF2922" s="3" t="n">
        <v>100.264167</v>
      </c>
      <c r="AG2922" s="3" t="n">
        <v>101.18246</v>
      </c>
      <c r="AH2922" s="3" t="n">
        <v>102.200104</v>
      </c>
      <c r="AI2922" s="3" t="n">
        <v>103.426505</v>
      </c>
      <c r="AJ2922" s="3" t="n">
        <v>104.874477</v>
      </c>
      <c r="AK2922" s="3" t="n">
        <v>106.447594</v>
      </c>
      <c r="AL2922" s="3" t="n">
        <v>108.36365</v>
      </c>
      <c r="AM2922" s="3" t="n"/>
      <c r="AN2922" s="3" t="n"/>
      <c r="AO2922" s="3" t="n"/>
      <c r="AP2922" s="3" t="n"/>
      <c r="AQ2922" s="3" t="n"/>
      <c r="AR2922" s="3" t="n"/>
      <c r="AS2922" s="3" t="n"/>
      <c r="AT2922" s="3" t="n"/>
      <c r="AU2922" s="3" t="n"/>
    </row>
    <row r="2923">
      <c r="A2923" s="3" t="n">
        <v>2031</v>
      </c>
      <c r="B2923" s="3" t="inlineStr">
        <is>
          <t>THA</t>
        </is>
      </c>
      <c r="C2923" s="3" t="inlineStr">
        <is>
          <t>IMF.RES:WEO</t>
        </is>
      </c>
      <c r="D2923" s="3" t="inlineStr">
        <is>
          <t>THA.PCPIPCH.A</t>
        </is>
      </c>
      <c r="E2923" s="3" t="inlineStr">
        <is>
          <t>Thailand</t>
        </is>
      </c>
      <c r="F2923" s="3" t="inlineStr">
        <is>
          <t>All Items, Consumer price index (CPI), Period average, percent change</t>
        </is>
      </c>
      <c r="G2923" s="3" t="n">
        <v>1.69691</v>
      </c>
      <c r="H2923" s="3" t="n">
        <v>1.612055</v>
      </c>
      <c r="I2923" s="3" t="n">
        <v>0.6586610000000001</v>
      </c>
      <c r="J2923" s="3" t="n">
        <v>1.817784</v>
      </c>
      <c r="K2923" s="3" t="n">
        <v>2.809308</v>
      </c>
      <c r="L2923" s="3" t="n">
        <v>4.466632</v>
      </c>
      <c r="M2923" s="3" t="n">
        <v>4.714153</v>
      </c>
      <c r="N2923" s="3" t="n">
        <v>2.163394</v>
      </c>
      <c r="O2923" s="3" t="n">
        <v>5.485714</v>
      </c>
      <c r="P2923" s="3" t="n">
        <v>-0.868822</v>
      </c>
      <c r="Q2923" s="3" t="n">
        <v>3.299775</v>
      </c>
      <c r="R2923" s="3" t="n">
        <v>3.810861</v>
      </c>
      <c r="S2923" s="3" t="n">
        <v>3.009486</v>
      </c>
      <c r="T2923" s="3" t="n">
        <v>2.186177</v>
      </c>
      <c r="U2923" s="3" t="n">
        <v>1.894557</v>
      </c>
      <c r="V2923" s="3" t="n">
        <v>-0.898143</v>
      </c>
      <c r="W2923" s="3" t="n">
        <v>0.186235</v>
      </c>
      <c r="X2923" s="3" t="n">
        <v>0.664415</v>
      </c>
      <c r="Y2923" s="3" t="n">
        <v>1.066835</v>
      </c>
      <c r="Z2923" s="3" t="n">
        <v>0.705525</v>
      </c>
      <c r="AA2923" s="3" t="n">
        <v>-0.846088</v>
      </c>
      <c r="AB2923" s="3" t="n">
        <v>1.231045</v>
      </c>
      <c r="AC2923" s="3" t="n">
        <v>6.0759</v>
      </c>
      <c r="AD2923" s="3" t="n">
        <v>1.22909</v>
      </c>
      <c r="AE2923" s="3" t="n">
        <v>0.398333</v>
      </c>
      <c r="AF2923" s="3" t="n">
        <v>-0.133634</v>
      </c>
      <c r="AG2923" s="3" t="n">
        <v>0.915874</v>
      </c>
      <c r="AH2923" s="3" t="n">
        <v>1.005752</v>
      </c>
      <c r="AI2923" s="3" t="n">
        <v>1.2</v>
      </c>
      <c r="AJ2923" s="3" t="n">
        <v>1.4</v>
      </c>
      <c r="AK2923" s="3" t="n">
        <v>1.5</v>
      </c>
      <c r="AL2923" s="3" t="n">
        <v>1.8</v>
      </c>
      <c r="AM2923" s="3" t="n"/>
      <c r="AN2923" s="3" t="n"/>
      <c r="AO2923" s="3" t="n"/>
      <c r="AP2923" s="3" t="n"/>
      <c r="AQ2923" s="3" t="n"/>
      <c r="AR2923" s="3" t="n"/>
      <c r="AS2923" s="3" t="n"/>
      <c r="AT2923" s="3" t="n"/>
      <c r="AU2923" s="3" t="n"/>
    </row>
    <row r="2924">
      <c r="A2924" s="3" t="n">
        <v>2031</v>
      </c>
      <c r="B2924" s="3" t="inlineStr">
        <is>
          <t>THA</t>
        </is>
      </c>
      <c r="C2924" s="3" t="inlineStr">
        <is>
          <t>IMF.RES:WEO</t>
        </is>
      </c>
      <c r="D2924" s="3" t="inlineStr">
        <is>
          <t>THA.PPPPC.A</t>
        </is>
      </c>
      <c r="E2924" s="3" t="inlineStr">
        <is>
          <t>Thailand</t>
        </is>
      </c>
      <c r="F2924" s="3" t="inlineStr">
        <is>
          <t>Gross domestic product (GDP), Per capita, purchasing power parity (PPP) international dollar, ICP benchmarks 2017-2021</t>
        </is>
      </c>
      <c r="G2924" s="3" t="n">
        <v>7391.646728</v>
      </c>
      <c r="H2924" s="3" t="n">
        <v>7739.376572</v>
      </c>
      <c r="I2924" s="3" t="n">
        <v>8263.063974999999</v>
      </c>
      <c r="J2924" s="3" t="n">
        <v>8948.193619</v>
      </c>
      <c r="K2924" s="3" t="n">
        <v>9679.588608</v>
      </c>
      <c r="L2924" s="3" t="n">
        <v>10312.104592</v>
      </c>
      <c r="M2924" s="3" t="n">
        <v>11065.965098</v>
      </c>
      <c r="N2924" s="3" t="n">
        <v>11888.027975</v>
      </c>
      <c r="O2924" s="3" t="n">
        <v>12231.822605</v>
      </c>
      <c r="P2924" s="3" t="n">
        <v>12132.331058</v>
      </c>
      <c r="Q2924" s="3" t="n">
        <v>13114.171025</v>
      </c>
      <c r="R2924" s="3" t="n">
        <v>13413.532253</v>
      </c>
      <c r="S2924" s="3" t="n">
        <v>14562.379529</v>
      </c>
      <c r="T2924" s="3" t="n">
        <v>15119.196066</v>
      </c>
      <c r="U2924" s="3" t="n">
        <v>15451.833267</v>
      </c>
      <c r="V2924" s="3" t="n">
        <v>16010.02374</v>
      </c>
      <c r="W2924" s="3" t="n">
        <v>16642.080499</v>
      </c>
      <c r="X2924" s="3" t="n">
        <v>17573.339816</v>
      </c>
      <c r="Y2924" s="3" t="n">
        <v>18876.220877</v>
      </c>
      <c r="Z2924" s="3" t="n">
        <v>19963.391841</v>
      </c>
      <c r="AA2924" s="3" t="n">
        <v>19156.582013</v>
      </c>
      <c r="AB2924" s="3" t="n">
        <v>20236.976041</v>
      </c>
      <c r="AC2924" s="3" t="n">
        <v>22255.787776</v>
      </c>
      <c r="AD2924" s="3" t="n">
        <v>23607.091551</v>
      </c>
      <c r="AE2924" s="3" t="n">
        <v>24917.533701</v>
      </c>
      <c r="AF2924" s="3" t="n">
        <v>26260.240295</v>
      </c>
      <c r="AG2924" s="3" t="n">
        <v>27440.829494</v>
      </c>
      <c r="AH2924" s="3" t="n">
        <v>28661.088024</v>
      </c>
      <c r="AI2924" s="3" t="n">
        <v>29833.07705</v>
      </c>
      <c r="AJ2924" s="3" t="n">
        <v>31148.984687</v>
      </c>
      <c r="AK2924" s="3" t="n">
        <v>32559.605932</v>
      </c>
      <c r="AL2924" s="3" t="n">
        <v>34029.134369</v>
      </c>
      <c r="AM2924" s="3" t="n"/>
      <c r="AN2924" s="3" t="n"/>
      <c r="AO2924" s="3" t="n"/>
      <c r="AP2924" s="3" t="n"/>
      <c r="AQ2924" s="3" t="n"/>
      <c r="AR2924" s="3" t="n"/>
      <c r="AS2924" s="3" t="n"/>
      <c r="AT2924" s="3" t="n"/>
      <c r="AU2924" s="3" t="n"/>
    </row>
    <row r="2925">
      <c r="A2925" s="3" t="n">
        <v>2025</v>
      </c>
      <c r="B2925" s="3" t="inlineStr">
        <is>
          <t>THA</t>
        </is>
      </c>
      <c r="C2925" s="3" t="inlineStr">
        <is>
          <t>IMF.STA:ER</t>
        </is>
      </c>
      <c r="D2925" s="3" t="inlineStr">
        <is>
          <t>THA.XDC_USD.PA_RT.A</t>
        </is>
      </c>
      <c r="E2925" s="3" t="inlineStr">
        <is>
          <t>Thailand</t>
        </is>
      </c>
      <c r="F2925" s="3" t="inlineStr">
        <is>
          <t>Domestic currency per US Dollar</t>
        </is>
      </c>
      <c r="G2925" s="3" t="n">
        <v>40.1118033333333</v>
      </c>
      <c r="H2925" s="3" t="n">
        <v>44.4319</v>
      </c>
      <c r="I2925" s="3" t="n">
        <v>42.9600833333333</v>
      </c>
      <c r="J2925" s="3" t="n">
        <v>41.4846166666666</v>
      </c>
      <c r="K2925" s="3" t="n">
        <v>40.2224149175021</v>
      </c>
      <c r="L2925" s="3" t="n">
        <v>40.2201302083333</v>
      </c>
      <c r="M2925" s="3" t="n">
        <v>37.8819832215363</v>
      </c>
      <c r="N2925" s="3" t="n">
        <v>34.5181805917013</v>
      </c>
      <c r="O2925" s="3" t="n">
        <v>33.3133006412337</v>
      </c>
      <c r="P2925" s="3" t="n">
        <v>34.2857741234241</v>
      </c>
      <c r="Q2925" s="3" t="n">
        <v>31.685705</v>
      </c>
      <c r="R2925" s="3" t="n">
        <v>30.4917333333333</v>
      </c>
      <c r="S2925" s="3" t="n">
        <v>31.0830916666666</v>
      </c>
      <c r="T2925" s="3" t="n">
        <v>30.7259666666666</v>
      </c>
      <c r="U2925" s="3" t="n">
        <v>32.4798333333333</v>
      </c>
      <c r="V2925" s="3" t="n">
        <v>34.2477166666666</v>
      </c>
      <c r="W2925" s="3" t="n">
        <v>35.2963833333333</v>
      </c>
      <c r="X2925" s="3" t="n">
        <v>33.9398110566858</v>
      </c>
      <c r="Y2925" s="3" t="n">
        <v>32.3102257431457</v>
      </c>
      <c r="Z2925" s="3" t="n">
        <v>31.0476057805498</v>
      </c>
      <c r="AA2925" s="3" t="n">
        <v>31.2936732130832</v>
      </c>
      <c r="AB2925" s="3" t="n">
        <v>31.9770934417717</v>
      </c>
      <c r="AC2925" s="3" t="n">
        <v>35.0613502144776</v>
      </c>
      <c r="AD2925" s="3" t="n">
        <v>34.8021885808363</v>
      </c>
      <c r="AE2925" s="3" t="n">
        <v>35.293538080808</v>
      </c>
      <c r="AF2925" s="3" t="n">
        <v>32.882809252867</v>
      </c>
      <c r="AG2925" s="3" t="n"/>
      <c r="AH2925" s="3" t="n"/>
      <c r="AI2925" s="3" t="n"/>
      <c r="AJ2925" s="3" t="n"/>
      <c r="AK2925" s="3" t="n"/>
      <c r="AL2925" s="3" t="n"/>
      <c r="AM2925" s="3" t="n"/>
      <c r="AN2925" s="3" t="n"/>
      <c r="AO2925" s="3" t="n"/>
      <c r="AP2925" s="3" t="n"/>
      <c r="AQ2925" s="3" t="n"/>
      <c r="AR2925" s="3" t="n"/>
      <c r="AS2925" s="3" t="n"/>
      <c r="AT2925" s="3" t="n"/>
      <c r="AU2925" s="3" t="n"/>
    </row>
    <row r="2926">
      <c r="A2926" s="3" t="n">
        <v>2031</v>
      </c>
      <c r="B2926" s="3" t="inlineStr">
        <is>
          <t>TJK</t>
        </is>
      </c>
      <c r="C2926" s="3" t="inlineStr">
        <is>
          <t>IMF.RES:WEO</t>
        </is>
      </c>
      <c r="D2926" s="3" t="inlineStr">
        <is>
          <t>TJK.BCA.A</t>
        </is>
      </c>
      <c r="E2926" s="3" t="inlineStr">
        <is>
          <t>Tajikistan, Republic of</t>
        </is>
      </c>
      <c r="F2926" s="3" t="inlineStr">
        <is>
          <t>Current account balance (credit less debit), US dollar</t>
        </is>
      </c>
      <c r="G2926" s="3" t="n">
        <v>-0.01605</v>
      </c>
      <c r="H2926" s="3" t="n">
        <v>-0.052299</v>
      </c>
      <c r="I2926" s="3" t="n">
        <v>-0.015134</v>
      </c>
      <c r="J2926" s="3" t="n">
        <v>-0.004764</v>
      </c>
      <c r="K2926" s="3" t="n">
        <v>-0.057042</v>
      </c>
      <c r="L2926" s="3" t="n">
        <v>-0.296209</v>
      </c>
      <c r="M2926" s="3" t="n">
        <v>-0.372411</v>
      </c>
      <c r="N2926" s="3" t="n">
        <v>-1.193828</v>
      </c>
      <c r="O2926" s="3" t="n">
        <v>-1.058782</v>
      </c>
      <c r="P2926" s="3" t="n">
        <v>-0.717469</v>
      </c>
      <c r="Q2926" s="3" t="n">
        <v>-0.581079</v>
      </c>
      <c r="R2926" s="3" t="n">
        <v>-0.413318</v>
      </c>
      <c r="S2926" s="3" t="n">
        <v>-0.6813979999999999</v>
      </c>
      <c r="T2926" s="3" t="n">
        <v>-0.884792</v>
      </c>
      <c r="U2926" s="3" t="n">
        <v>-0.316455</v>
      </c>
      <c r="V2926" s="3" t="n">
        <v>-0.477075</v>
      </c>
      <c r="W2926" s="3" t="n">
        <v>-0.290827</v>
      </c>
      <c r="X2926" s="3" t="n">
        <v>0.158969</v>
      </c>
      <c r="Y2926" s="3" t="n">
        <v>-0.379682</v>
      </c>
      <c r="Z2926" s="3" t="n">
        <v>-0.185295</v>
      </c>
      <c r="AA2926" s="3" t="n">
        <v>0.353761</v>
      </c>
      <c r="AB2926" s="3" t="n">
        <v>0.735526</v>
      </c>
      <c r="AC2926" s="3" t="n">
        <v>1.634601</v>
      </c>
      <c r="AD2926" s="3" t="n">
        <v>0.584022</v>
      </c>
      <c r="AE2926" s="3" t="n">
        <v>0.887016</v>
      </c>
      <c r="AF2926" s="3" t="n">
        <v>2.908349</v>
      </c>
      <c r="AG2926" s="3" t="n">
        <v>1.294706</v>
      </c>
      <c r="AH2926" s="3" t="n">
        <v>0.540677</v>
      </c>
      <c r="AI2926" s="3" t="n">
        <v>0.274461</v>
      </c>
      <c r="AJ2926" s="3" t="n">
        <v>0.134768</v>
      </c>
      <c r="AK2926" s="3" t="n">
        <v>-0.103472</v>
      </c>
      <c r="AL2926" s="3" t="n">
        <v>-0.550332</v>
      </c>
      <c r="AM2926" s="3" t="n"/>
      <c r="AN2926" s="3" t="n"/>
      <c r="AO2926" s="3" t="n"/>
      <c r="AP2926" s="3" t="n"/>
      <c r="AQ2926" s="3" t="n"/>
      <c r="AR2926" s="3" t="n"/>
      <c r="AS2926" s="3" t="n"/>
      <c r="AT2926" s="3" t="n"/>
      <c r="AU2926" s="3" t="n"/>
    </row>
    <row r="2927">
      <c r="A2927" s="3" t="n">
        <v>2031</v>
      </c>
      <c r="B2927" s="3" t="inlineStr">
        <is>
          <t>TJK</t>
        </is>
      </c>
      <c r="C2927" s="3" t="inlineStr">
        <is>
          <t>IMF.RES:WEO</t>
        </is>
      </c>
      <c r="D2927" s="3" t="inlineStr">
        <is>
          <t>TJK.BCA_NGDPD.A</t>
        </is>
      </c>
      <c r="E2927" s="3" t="inlineStr">
        <is>
          <t>Tajikistan, Republic of</t>
        </is>
      </c>
      <c r="F2927" s="3" t="inlineStr">
        <is>
          <t>Current account balance (credit less debit), Percent of GDP</t>
        </is>
      </c>
      <c r="G2927" s="3" t="n">
        <v>-1.619666</v>
      </c>
      <c r="H2927" s="3" t="n">
        <v>-4.948612</v>
      </c>
      <c r="I2927" s="3" t="n">
        <v>-1.248775</v>
      </c>
      <c r="J2927" s="3" t="n">
        <v>-0.306399</v>
      </c>
      <c r="K2927" s="3" t="n">
        <v>-2.751379</v>
      </c>
      <c r="L2927" s="3" t="n">
        <v>-12.818792</v>
      </c>
      <c r="M2927" s="3" t="n">
        <v>-13.246816</v>
      </c>
      <c r="N2927" s="3" t="n">
        <v>-32.159038</v>
      </c>
      <c r="O2927" s="3" t="n">
        <v>-20.620193</v>
      </c>
      <c r="P2927" s="3" t="n">
        <v>-14.415473</v>
      </c>
      <c r="Q2927" s="3" t="n">
        <v>-10.29968</v>
      </c>
      <c r="R2927" s="3" t="n">
        <v>-6.336741</v>
      </c>
      <c r="S2927" s="3" t="n">
        <v>-8.974619000000001</v>
      </c>
      <c r="T2927" s="3" t="n">
        <v>-10.401799</v>
      </c>
      <c r="U2927" s="3" t="n">
        <v>-3.423915</v>
      </c>
      <c r="V2927" s="3" t="n">
        <v>-6.0721</v>
      </c>
      <c r="W2927" s="3" t="n">
        <v>-4.158471</v>
      </c>
      <c r="X2927" s="3" t="n">
        <v>2.109766</v>
      </c>
      <c r="Y2927" s="3" t="n">
        <v>-4.891274</v>
      </c>
      <c r="Z2927" s="3" t="n">
        <v>-2.232277</v>
      </c>
      <c r="AA2927" s="3" t="n">
        <v>4.349173</v>
      </c>
      <c r="AB2927" s="3" t="n">
        <v>8.23316</v>
      </c>
      <c r="AC2927" s="3" t="n">
        <v>15.25377</v>
      </c>
      <c r="AD2927" s="3" t="n">
        <v>4.770497</v>
      </c>
      <c r="AE2927" s="3" t="n">
        <v>6.148828</v>
      </c>
      <c r="AF2927" s="3" t="n">
        <v>16.579637</v>
      </c>
      <c r="AG2927" s="3" t="n">
        <v>6.341122</v>
      </c>
      <c r="AH2927" s="3" t="n">
        <v>2.526194</v>
      </c>
      <c r="AI2927" s="3" t="n">
        <v>1.210686</v>
      </c>
      <c r="AJ2927" s="3" t="n">
        <v>0.560581</v>
      </c>
      <c r="AK2927" s="3" t="n">
        <v>-0.403211</v>
      </c>
      <c r="AL2927" s="3" t="n">
        <v>-1.989872</v>
      </c>
      <c r="AM2927" s="3" t="n"/>
      <c r="AN2927" s="3" t="n"/>
      <c r="AO2927" s="3" t="n"/>
      <c r="AP2927" s="3" t="n"/>
      <c r="AQ2927" s="3" t="n"/>
      <c r="AR2927" s="3" t="n"/>
      <c r="AS2927" s="3" t="n"/>
      <c r="AT2927" s="3" t="n"/>
      <c r="AU2927" s="3" t="n"/>
    </row>
    <row r="2928">
      <c r="A2928" s="3" t="n">
        <v>2031</v>
      </c>
      <c r="B2928" s="3" t="inlineStr">
        <is>
          <t>TJK</t>
        </is>
      </c>
      <c r="C2928" s="3" t="inlineStr">
        <is>
          <t>IMF.RES:WEO</t>
        </is>
      </c>
      <c r="D2928" s="3" t="inlineStr">
        <is>
          <t>TJK.GGR_NGDP.A</t>
        </is>
      </c>
      <c r="E2928" s="3" t="inlineStr">
        <is>
          <t>Tajikistan, Republic of</t>
        </is>
      </c>
      <c r="F2928" s="3" t="inlineStr">
        <is>
          <t>Revenue, General government, Percent of GDP</t>
        </is>
      </c>
      <c r="G2928" s="3" t="n">
        <v>13.601787</v>
      </c>
      <c r="H2928" s="3" t="n">
        <v>15.203014</v>
      </c>
      <c r="I2928" s="3" t="n">
        <v>16.740254</v>
      </c>
      <c r="J2928" s="3" t="n">
        <v>17.326377</v>
      </c>
      <c r="K2928" s="3" t="n">
        <v>17.93218</v>
      </c>
      <c r="L2928" s="3" t="n">
        <v>20.083924</v>
      </c>
      <c r="M2928" s="3" t="n">
        <v>23.621677</v>
      </c>
      <c r="N2928" s="3" t="n">
        <v>22.462078</v>
      </c>
      <c r="O2928" s="3" t="n">
        <v>22.119567</v>
      </c>
      <c r="P2928" s="3" t="n">
        <v>23.414755</v>
      </c>
      <c r="Q2928" s="3" t="n">
        <v>23.159838</v>
      </c>
      <c r="R2928" s="3" t="n">
        <v>24.885181</v>
      </c>
      <c r="S2928" s="3" t="n">
        <v>25.134347</v>
      </c>
      <c r="T2928" s="3" t="n">
        <v>26.93865</v>
      </c>
      <c r="U2928" s="3" t="n">
        <v>28.394632</v>
      </c>
      <c r="V2928" s="3" t="n">
        <v>29.944274</v>
      </c>
      <c r="W2928" s="3" t="n">
        <v>29.739924</v>
      </c>
      <c r="X2928" s="3" t="n">
        <v>28.128616</v>
      </c>
      <c r="Y2928" s="3" t="n">
        <v>28.181419</v>
      </c>
      <c r="Z2928" s="3" t="n">
        <v>26.772702</v>
      </c>
      <c r="AA2928" s="3" t="n">
        <v>24.824259</v>
      </c>
      <c r="AB2928" s="3" t="n">
        <v>27.001542</v>
      </c>
      <c r="AC2928" s="3" t="n">
        <v>27.147062</v>
      </c>
      <c r="AD2928" s="3" t="n">
        <v>27.103344</v>
      </c>
      <c r="AE2928" s="3" t="n">
        <v>27.507806</v>
      </c>
      <c r="AF2928" s="3" t="n">
        <v>27.508198</v>
      </c>
      <c r="AG2928" s="3" t="n">
        <v>26.943272</v>
      </c>
      <c r="AH2928" s="3" t="n">
        <v>27.201057</v>
      </c>
      <c r="AI2928" s="3" t="n">
        <v>26.694387</v>
      </c>
      <c r="AJ2928" s="3" t="n">
        <v>26.634806</v>
      </c>
      <c r="AK2928" s="3" t="n">
        <v>26.652786</v>
      </c>
      <c r="AL2928" s="3" t="n">
        <v>26.637436</v>
      </c>
      <c r="AM2928" s="3" t="n"/>
      <c r="AN2928" s="3" t="n"/>
      <c r="AO2928" s="3" t="n"/>
      <c r="AP2928" s="3" t="n"/>
      <c r="AQ2928" s="3" t="n"/>
      <c r="AR2928" s="3" t="n"/>
      <c r="AS2928" s="3" t="n"/>
      <c r="AT2928" s="3" t="n"/>
      <c r="AU2928" s="3" t="n"/>
    </row>
    <row r="2929">
      <c r="A2929" s="3" t="n">
        <v>2031</v>
      </c>
      <c r="B2929" s="3" t="inlineStr">
        <is>
          <t>TJK</t>
        </is>
      </c>
      <c r="C2929" s="3" t="inlineStr">
        <is>
          <t>IMF.RES:WEO</t>
        </is>
      </c>
      <c r="D2929" s="3" t="inlineStr">
        <is>
          <t>TJK.GGX_NGDP.A</t>
        </is>
      </c>
      <c r="E2929" s="3" t="inlineStr">
        <is>
          <t>Tajikistan, Republic of</t>
        </is>
      </c>
      <c r="F2929" s="3" t="inlineStr">
        <is>
          <t>Expenditure, General government, Percent of GDP</t>
        </is>
      </c>
      <c r="G2929" s="3" t="n">
        <v>18.115471</v>
      </c>
      <c r="H2929" s="3" t="n">
        <v>17.317922</v>
      </c>
      <c r="I2929" s="3" t="n">
        <v>19.140317</v>
      </c>
      <c r="J2929" s="3" t="n">
        <v>19.071231</v>
      </c>
      <c r="K2929" s="3" t="n">
        <v>20.248991</v>
      </c>
      <c r="L2929" s="3" t="n">
        <v>22.911316</v>
      </c>
      <c r="M2929" s="3" t="n">
        <v>21.620036</v>
      </c>
      <c r="N2929" s="3" t="n">
        <v>20.330696</v>
      </c>
      <c r="O2929" s="3" t="n">
        <v>20.178026</v>
      </c>
      <c r="P2929" s="3" t="n">
        <v>23.616234</v>
      </c>
      <c r="Q2929" s="3" t="n">
        <v>25.866662</v>
      </c>
      <c r="R2929" s="3" t="n">
        <v>24.280775</v>
      </c>
      <c r="S2929" s="3" t="n">
        <v>24.727788</v>
      </c>
      <c r="T2929" s="3" t="n">
        <v>27.673328</v>
      </c>
      <c r="U2929" s="3" t="n">
        <v>27.472172</v>
      </c>
      <c r="V2929" s="3" t="n">
        <v>31.906788</v>
      </c>
      <c r="W2929" s="3" t="n">
        <v>32.650624</v>
      </c>
      <c r="X2929" s="3" t="n">
        <v>33.775607</v>
      </c>
      <c r="Y2929" s="3" t="n">
        <v>30.8718</v>
      </c>
      <c r="Z2929" s="3" t="n">
        <v>28.815702</v>
      </c>
      <c r="AA2929" s="3" t="n">
        <v>29.163668</v>
      </c>
      <c r="AB2929" s="3" t="n">
        <v>27.64227</v>
      </c>
      <c r="AC2929" s="3" t="n">
        <v>27.38116</v>
      </c>
      <c r="AD2929" s="3" t="n">
        <v>28.018948</v>
      </c>
      <c r="AE2929" s="3" t="n">
        <v>27.188827</v>
      </c>
      <c r="AF2929" s="3" t="n">
        <v>29.295082</v>
      </c>
      <c r="AG2929" s="3" t="n">
        <v>29.443272</v>
      </c>
      <c r="AH2929" s="3" t="n">
        <v>29.701057</v>
      </c>
      <c r="AI2929" s="3" t="n">
        <v>29.194387</v>
      </c>
      <c r="AJ2929" s="3" t="n">
        <v>29.134806</v>
      </c>
      <c r="AK2929" s="3" t="n">
        <v>29.152786</v>
      </c>
      <c r="AL2929" s="3" t="n">
        <v>29.137436</v>
      </c>
      <c r="AM2929" s="3" t="n"/>
      <c r="AN2929" s="3" t="n"/>
      <c r="AO2929" s="3" t="n"/>
      <c r="AP2929" s="3" t="n"/>
      <c r="AQ2929" s="3" t="n"/>
      <c r="AR2929" s="3" t="n"/>
      <c r="AS2929" s="3" t="n"/>
      <c r="AT2929" s="3" t="n"/>
      <c r="AU2929" s="3" t="n"/>
    </row>
    <row r="2930">
      <c r="A2930" s="3" t="n">
        <v>2031</v>
      </c>
      <c r="B2930" s="3" t="inlineStr">
        <is>
          <t>TJK</t>
        </is>
      </c>
      <c r="C2930" s="3" t="inlineStr">
        <is>
          <t>IMF.RES:WEO</t>
        </is>
      </c>
      <c r="D2930" s="3" t="inlineStr">
        <is>
          <t>TJK.LP.A</t>
        </is>
      </c>
      <c r="E2930" s="3" t="inlineStr">
        <is>
          <t>Tajikistan, Republic of</t>
        </is>
      </c>
      <c r="F2930" s="3" t="inlineStr">
        <is>
          <t>Population, Persons for countries / Index for country groups</t>
        </is>
      </c>
      <c r="G2930" s="3" t="n">
        <v>6.216205</v>
      </c>
      <c r="H2930" s="3" t="n">
        <v>6.327125</v>
      </c>
      <c r="I2930" s="3" t="n">
        <v>6.447688</v>
      </c>
      <c r="J2930" s="3" t="n">
        <v>6.576877</v>
      </c>
      <c r="K2930" s="3" t="n">
        <v>6.712841</v>
      </c>
      <c r="L2930" s="3" t="n">
        <v>6.854176</v>
      </c>
      <c r="M2930" s="3" t="n">
        <v>7.000557</v>
      </c>
      <c r="N2930" s="3" t="n">
        <v>7.152385</v>
      </c>
      <c r="O2930" s="3" t="n">
        <v>7.309728</v>
      </c>
      <c r="P2930" s="3" t="n">
        <v>7.472819</v>
      </c>
      <c r="Q2930" s="3" t="n">
        <v>7.64163</v>
      </c>
      <c r="R2930" s="3" t="n">
        <v>7.815949</v>
      </c>
      <c r="S2930" s="3" t="n">
        <v>7.995062</v>
      </c>
      <c r="T2930" s="3" t="n">
        <v>8.177809</v>
      </c>
      <c r="U2930" s="3" t="n">
        <v>8.362745</v>
      </c>
      <c r="V2930" s="3" t="n">
        <v>8.548651</v>
      </c>
      <c r="W2930" s="3" t="n">
        <v>8.734951000000001</v>
      </c>
      <c r="X2930" s="3" t="n">
        <v>8.921343</v>
      </c>
      <c r="Y2930" s="3" t="n">
        <v>9.107211</v>
      </c>
      <c r="Z2930" s="3" t="n">
        <v>9.292</v>
      </c>
      <c r="AA2930" s="3" t="n">
        <v>9.475246</v>
      </c>
      <c r="AB2930" s="3" t="n">
        <v>9.656648000000001</v>
      </c>
      <c r="AC2930" s="3" t="n">
        <v>9.835989</v>
      </c>
      <c r="AD2930" s="3" t="n">
        <v>10.013102</v>
      </c>
      <c r="AE2930" s="3" t="n">
        <v>10.187895</v>
      </c>
      <c r="AF2930" s="3" t="n">
        <v>10.360358</v>
      </c>
      <c r="AG2930" s="3" t="n">
        <v>10.5304</v>
      </c>
      <c r="AH2930" s="3" t="n">
        <v>10.698174</v>
      </c>
      <c r="AI2930" s="3" t="n">
        <v>10.864265</v>
      </c>
      <c r="AJ2930" s="3" t="n">
        <v>11.029469</v>
      </c>
      <c r="AK2930" s="3" t="n">
        <v>11.194411</v>
      </c>
      <c r="AL2930" s="3" t="n">
        <v>11.359262</v>
      </c>
      <c r="AM2930" s="3" t="n"/>
      <c r="AN2930" s="3" t="n"/>
      <c r="AO2930" s="3" t="n"/>
      <c r="AP2930" s="3" t="n"/>
      <c r="AQ2930" s="3" t="n"/>
      <c r="AR2930" s="3" t="n"/>
      <c r="AS2930" s="3" t="n"/>
      <c r="AT2930" s="3" t="n"/>
      <c r="AU2930" s="3" t="n"/>
    </row>
    <row r="2931">
      <c r="A2931" s="3" t="n">
        <v>2031</v>
      </c>
      <c r="B2931" s="3" t="inlineStr">
        <is>
          <t>TJK</t>
        </is>
      </c>
      <c r="C2931" s="3" t="inlineStr">
        <is>
          <t>IMF.RES:WEO</t>
        </is>
      </c>
      <c r="D2931" s="3" t="inlineStr">
        <is>
          <t>TJK.NGDP.A</t>
        </is>
      </c>
      <c r="E2931" s="3" t="inlineStr">
        <is>
          <t>Tajikistan, Republic of</t>
        </is>
      </c>
      <c r="F2931" s="3" t="inlineStr">
        <is>
          <t>Gross domestic product (GDP), Current prices, Domestic currency</t>
        </is>
      </c>
      <c r="G2931" s="3" t="n">
        <v>1.8067</v>
      </c>
      <c r="H2931" s="3" t="n">
        <v>2.5121</v>
      </c>
      <c r="I2931" s="3" t="n">
        <v>3.3446</v>
      </c>
      <c r="J2931" s="3" t="n">
        <v>4.7578</v>
      </c>
      <c r="K2931" s="3" t="n">
        <v>6.15753</v>
      </c>
      <c r="L2931" s="3" t="n">
        <v>7.201141</v>
      </c>
      <c r="M2931" s="3" t="n">
        <v>9.2722</v>
      </c>
      <c r="N2931" s="3" t="n">
        <v>12.7797</v>
      </c>
      <c r="O2931" s="3" t="n">
        <v>17.6093</v>
      </c>
      <c r="P2931" s="3" t="n">
        <v>20.6228</v>
      </c>
      <c r="Q2931" s="3" t="n">
        <v>24.7047</v>
      </c>
      <c r="R2931" s="3" t="n">
        <v>30.0693</v>
      </c>
      <c r="S2931" s="3" t="n">
        <v>36.1611</v>
      </c>
      <c r="T2931" s="3" t="n">
        <v>40.5245</v>
      </c>
      <c r="U2931" s="3" t="n">
        <v>45.6052</v>
      </c>
      <c r="V2931" s="3" t="n">
        <v>48.4016</v>
      </c>
      <c r="W2931" s="3" t="n">
        <v>54.7903</v>
      </c>
      <c r="X2931" s="3" t="n">
        <v>64.434</v>
      </c>
      <c r="Y2931" s="3" t="n">
        <v>71.0592</v>
      </c>
      <c r="Z2931" s="3" t="n">
        <v>79.10980000000001</v>
      </c>
      <c r="AA2931" s="3" t="n">
        <v>83.95829999999999</v>
      </c>
      <c r="AB2931" s="3" t="n">
        <v>101.0763</v>
      </c>
      <c r="AC2931" s="3" t="n">
        <v>118.182</v>
      </c>
      <c r="AD2931" s="3" t="n">
        <v>132.782</v>
      </c>
      <c r="AE2931" s="3" t="n">
        <v>155.783168</v>
      </c>
      <c r="AF2931" s="3" t="n">
        <v>175.623712</v>
      </c>
      <c r="AG2931" s="3" t="n">
        <v>194.910709</v>
      </c>
      <c r="AH2931" s="3" t="n">
        <v>214.479744</v>
      </c>
      <c r="AI2931" s="3" t="n">
        <v>235.337899</v>
      </c>
      <c r="AJ2931" s="3" t="n">
        <v>258.224509</v>
      </c>
      <c r="AK2931" s="3" t="n">
        <v>283.336843</v>
      </c>
      <c r="AL2931" s="3" t="n">
        <v>312.360654</v>
      </c>
      <c r="AM2931" s="3" t="n"/>
      <c r="AN2931" s="3" t="n"/>
      <c r="AO2931" s="3" t="n"/>
      <c r="AP2931" s="3" t="n"/>
      <c r="AQ2931" s="3" t="n"/>
      <c r="AR2931" s="3" t="n"/>
      <c r="AS2931" s="3" t="n"/>
      <c r="AT2931" s="3" t="n"/>
      <c r="AU2931" s="3" t="n"/>
    </row>
    <row r="2932">
      <c r="A2932" s="3" t="n">
        <v>2031</v>
      </c>
      <c r="B2932" s="3" t="inlineStr">
        <is>
          <t>TJK</t>
        </is>
      </c>
      <c r="C2932" s="3" t="inlineStr">
        <is>
          <t>IMF.RES:WEO</t>
        </is>
      </c>
      <c r="D2932" s="3" t="inlineStr">
        <is>
          <t>TJK.NGDP_D.A</t>
        </is>
      </c>
      <c r="E2932" s="3" t="inlineStr">
        <is>
          <t>Tajikistan, Republic of</t>
        </is>
      </c>
      <c r="F2932" s="3" t="inlineStr">
        <is>
          <t>Gross domestic product (GDP), Price deflator, Index</t>
        </is>
      </c>
      <c r="G2932" s="3" t="n">
        <v>2422.873313</v>
      </c>
      <c r="H2932" s="3" t="n">
        <v>3057.032042</v>
      </c>
      <c r="I2932" s="3" t="n">
        <v>3730.632782</v>
      </c>
      <c r="J2932" s="3" t="n">
        <v>4815.738589</v>
      </c>
      <c r="K2932" s="3" t="n">
        <v>5635.184667</v>
      </c>
      <c r="L2932" s="3" t="n">
        <v>6176.444154</v>
      </c>
      <c r="M2932" s="3" t="n">
        <v>7432.521752</v>
      </c>
      <c r="N2932" s="3" t="n">
        <v>9502.889319</v>
      </c>
      <c r="O2932" s="3" t="n">
        <v>12135.443699</v>
      </c>
      <c r="P2932" s="3" t="n">
        <v>13678.725987</v>
      </c>
      <c r="Q2932" s="3" t="n">
        <v>15386.080363</v>
      </c>
      <c r="R2932" s="3" t="n">
        <v>17436.826599</v>
      </c>
      <c r="S2932" s="3" t="n">
        <v>19506.407805</v>
      </c>
      <c r="T2932" s="3" t="n">
        <v>20353.966257</v>
      </c>
      <c r="U2932" s="3" t="n">
        <v>21467.493016</v>
      </c>
      <c r="V2932" s="3" t="n">
        <v>21494.176888</v>
      </c>
      <c r="W2932" s="3" t="n">
        <v>22760.776464</v>
      </c>
      <c r="X2932" s="3" t="n">
        <v>24992.460656</v>
      </c>
      <c r="Y2932" s="3" t="n">
        <v>25615.448646</v>
      </c>
      <c r="Z2932" s="3" t="n">
        <v>26552.636994</v>
      </c>
      <c r="AA2932" s="3" t="n">
        <v>26994.924079</v>
      </c>
      <c r="AB2932" s="3" t="n">
        <v>29706.431685</v>
      </c>
      <c r="AC2932" s="3" t="n">
        <v>32160.939855</v>
      </c>
      <c r="AD2932" s="3" t="n">
        <v>33380.181777</v>
      </c>
      <c r="AE2932" s="3" t="n">
        <v>36122.237221</v>
      </c>
      <c r="AF2932" s="3" t="n">
        <v>37567.126709</v>
      </c>
      <c r="AG2932" s="3" t="n">
        <v>39332.781665</v>
      </c>
      <c r="AH2932" s="3" t="n">
        <v>41299.420748</v>
      </c>
      <c r="AI2932" s="3" t="n">
        <v>43364.391785</v>
      </c>
      <c r="AJ2932" s="3" t="n">
        <v>45532.611375</v>
      </c>
      <c r="AK2932" s="3" t="n">
        <v>47809.241943</v>
      </c>
      <c r="AL2932" s="3" t="n">
        <v>50436.952847</v>
      </c>
      <c r="AM2932" s="3" t="n"/>
      <c r="AN2932" s="3" t="n"/>
      <c r="AO2932" s="3" t="n"/>
      <c r="AP2932" s="3" t="n"/>
      <c r="AQ2932" s="3" t="n"/>
      <c r="AR2932" s="3" t="n"/>
      <c r="AS2932" s="3" t="n"/>
      <c r="AT2932" s="3" t="n"/>
      <c r="AU2932" s="3" t="n"/>
    </row>
    <row r="2933">
      <c r="A2933" s="3" t="n">
        <v>2031</v>
      </c>
      <c r="B2933" s="3" t="inlineStr">
        <is>
          <t>TJK</t>
        </is>
      </c>
      <c r="C2933" s="3" t="inlineStr">
        <is>
          <t>IMF.RES:WEO</t>
        </is>
      </c>
      <c r="D2933" s="3" t="inlineStr">
        <is>
          <t>TJK.NGDP_R.A</t>
        </is>
      </c>
      <c r="E2933" s="3" t="inlineStr">
        <is>
          <t>Tajikistan, Republic of</t>
        </is>
      </c>
      <c r="F2933" s="3" t="inlineStr">
        <is>
          <t>Gross domestic product (GDP), Constant prices, Domestic currency</t>
        </is>
      </c>
      <c r="G2933" s="3" t="n">
        <v>0.074568</v>
      </c>
      <c r="H2933" s="3" t="n">
        <v>0.082174</v>
      </c>
      <c r="I2933" s="3" t="n">
        <v>0.089652</v>
      </c>
      <c r="J2933" s="3" t="n">
        <v>0.098797</v>
      </c>
      <c r="K2933" s="3" t="n">
        <v>0.109269</v>
      </c>
      <c r="L2933" s="3" t="n">
        <v>0.11659</v>
      </c>
      <c r="M2933" s="3" t="n">
        <v>0.124752</v>
      </c>
      <c r="N2933" s="3" t="n">
        <v>0.134482</v>
      </c>
      <c r="O2933" s="3" t="n">
        <v>0.145106</v>
      </c>
      <c r="P2933" s="3" t="n">
        <v>0.150766</v>
      </c>
      <c r="Q2933" s="3" t="n">
        <v>0.160565</v>
      </c>
      <c r="R2933" s="3" t="n">
        <v>0.172447</v>
      </c>
      <c r="S2933" s="3" t="n">
        <v>0.185381</v>
      </c>
      <c r="T2933" s="3" t="n">
        <v>0.199099</v>
      </c>
      <c r="U2933" s="3" t="n">
        <v>0.212438</v>
      </c>
      <c r="V2933" s="3" t="n">
        <v>0.225185</v>
      </c>
      <c r="W2933" s="3" t="n">
        <v>0.240722</v>
      </c>
      <c r="X2933" s="3" t="n">
        <v>0.257814</v>
      </c>
      <c r="Y2933" s="3" t="n">
        <v>0.277408</v>
      </c>
      <c r="Z2933" s="3" t="n">
        <v>0.297936</v>
      </c>
      <c r="AA2933" s="3" t="n">
        <v>0.311015</v>
      </c>
      <c r="AB2933" s="3" t="n">
        <v>0.340251</v>
      </c>
      <c r="AC2933" s="3" t="n">
        <v>0.367471</v>
      </c>
      <c r="AD2933" s="3" t="n">
        <v>0.397787</v>
      </c>
      <c r="AE2933" s="3" t="n">
        <v>0.431267</v>
      </c>
      <c r="AF2933" s="3" t="n">
        <v>0.467493</v>
      </c>
      <c r="AG2933" s="3" t="n">
        <v>0.495543</v>
      </c>
      <c r="AH2933" s="3" t="n">
        <v>0.519329</v>
      </c>
      <c r="AI2933" s="3" t="n">
        <v>0.542698</v>
      </c>
      <c r="AJ2933" s="3" t="n">
        <v>0.56712</v>
      </c>
      <c r="AK2933" s="3" t="n">
        <v>0.5926399999999999</v>
      </c>
      <c r="AL2933" s="3" t="n">
        <v>0.619309</v>
      </c>
      <c r="AM2933" s="3" t="n"/>
      <c r="AN2933" s="3" t="n"/>
      <c r="AO2933" s="3" t="n"/>
      <c r="AP2933" s="3" t="n"/>
      <c r="AQ2933" s="3" t="n"/>
      <c r="AR2933" s="3" t="n"/>
      <c r="AS2933" s="3" t="n"/>
      <c r="AT2933" s="3" t="n"/>
      <c r="AU2933" s="3" t="n"/>
    </row>
    <row r="2934">
      <c r="A2934" s="3" t="n">
        <v>2031</v>
      </c>
      <c r="B2934" s="3" t="inlineStr">
        <is>
          <t>TJK</t>
        </is>
      </c>
      <c r="C2934" s="3" t="inlineStr">
        <is>
          <t>IMF.RES:WEO</t>
        </is>
      </c>
      <c r="D2934" s="3" t="inlineStr">
        <is>
          <t>TJK.NGDP_RPCH.A</t>
        </is>
      </c>
      <c r="E2934" s="3" t="inlineStr">
        <is>
          <t>Tajikistan, Republic of</t>
        </is>
      </c>
      <c r="F2934" s="3" t="inlineStr">
        <is>
          <t>Gross domestic product (GDP), Constant prices, Percent change</t>
        </is>
      </c>
      <c r="G2934" s="3" t="n">
        <v>8.300000000000001</v>
      </c>
      <c r="H2934" s="3" t="n">
        <v>10.2</v>
      </c>
      <c r="I2934" s="3" t="n">
        <v>9.1</v>
      </c>
      <c r="J2934" s="3" t="n">
        <v>10.2</v>
      </c>
      <c r="K2934" s="3" t="n">
        <v>10.6</v>
      </c>
      <c r="L2934" s="3" t="n">
        <v>6.7</v>
      </c>
      <c r="M2934" s="3" t="n">
        <v>7</v>
      </c>
      <c r="N2934" s="3" t="n">
        <v>7.799907</v>
      </c>
      <c r="O2934" s="3" t="n">
        <v>7.9</v>
      </c>
      <c r="P2934" s="3" t="n">
        <v>3.9</v>
      </c>
      <c r="Q2934" s="3" t="n">
        <v>6.5</v>
      </c>
      <c r="R2934" s="3" t="n">
        <v>7.4</v>
      </c>
      <c r="S2934" s="3" t="n">
        <v>7.5</v>
      </c>
      <c r="T2934" s="3" t="n">
        <v>7.4</v>
      </c>
      <c r="U2934" s="3" t="n">
        <v>6.7</v>
      </c>
      <c r="V2934" s="3" t="n">
        <v>6</v>
      </c>
      <c r="W2934" s="3" t="n">
        <v>6.9</v>
      </c>
      <c r="X2934" s="3" t="n">
        <v>7.1</v>
      </c>
      <c r="Y2934" s="3" t="n">
        <v>7.6</v>
      </c>
      <c r="Z2934" s="3" t="n">
        <v>7.4</v>
      </c>
      <c r="AA2934" s="3" t="n">
        <v>4.39</v>
      </c>
      <c r="AB2934" s="3" t="n">
        <v>9.4</v>
      </c>
      <c r="AC2934" s="3" t="n">
        <v>8</v>
      </c>
      <c r="AD2934" s="3" t="n">
        <v>8.25</v>
      </c>
      <c r="AE2934" s="3" t="n">
        <v>8.416499999999999</v>
      </c>
      <c r="AF2934" s="3" t="n">
        <v>8.4</v>
      </c>
      <c r="AG2934" s="3" t="n">
        <v>6</v>
      </c>
      <c r="AH2934" s="3" t="n">
        <v>4.8</v>
      </c>
      <c r="AI2934" s="3" t="n">
        <v>4.5</v>
      </c>
      <c r="AJ2934" s="3" t="n">
        <v>4.5</v>
      </c>
      <c r="AK2934" s="3" t="n">
        <v>4.5</v>
      </c>
      <c r="AL2934" s="3" t="n">
        <v>4.5</v>
      </c>
      <c r="AM2934" s="3" t="n"/>
      <c r="AN2934" s="3" t="n"/>
      <c r="AO2934" s="3" t="n"/>
      <c r="AP2934" s="3" t="n"/>
      <c r="AQ2934" s="3" t="n"/>
      <c r="AR2934" s="3" t="n"/>
      <c r="AS2934" s="3" t="n"/>
      <c r="AT2934" s="3" t="n"/>
      <c r="AU2934" s="3" t="n"/>
    </row>
    <row r="2935">
      <c r="A2935" s="3" t="n">
        <v>2031</v>
      </c>
      <c r="B2935" s="3" t="inlineStr">
        <is>
          <t>TJK</t>
        </is>
      </c>
      <c r="C2935" s="3" t="inlineStr">
        <is>
          <t>IMF.RES:WEO</t>
        </is>
      </c>
      <c r="D2935" s="3" t="inlineStr">
        <is>
          <t>TJK.NGDPD.A</t>
        </is>
      </c>
      <c r="E2935" s="3" t="inlineStr">
        <is>
          <t>Tajikistan, Republic of</t>
        </is>
      </c>
      <c r="F2935" s="3" t="inlineStr">
        <is>
          <t>Gross domestic product (GDP), Current prices, US dollar</t>
        </is>
      </c>
      <c r="G2935" s="3" t="n">
        <v>0.990968</v>
      </c>
      <c r="H2935" s="3" t="n">
        <v>1.056849</v>
      </c>
      <c r="I2935" s="3" t="n">
        <v>1.211892</v>
      </c>
      <c r="J2935" s="3" t="n">
        <v>1.554735</v>
      </c>
      <c r="K2935" s="3" t="n">
        <v>2.073218</v>
      </c>
      <c r="L2935" s="3" t="n">
        <v>2.310744</v>
      </c>
      <c r="M2935" s="3" t="n">
        <v>2.811326</v>
      </c>
      <c r="N2935" s="3" t="n">
        <v>3.712264</v>
      </c>
      <c r="O2935" s="3" t="n">
        <v>5.134683</v>
      </c>
      <c r="P2935" s="3" t="n">
        <v>4.977075</v>
      </c>
      <c r="Q2935" s="3" t="n">
        <v>5.641715</v>
      </c>
      <c r="R2935" s="3" t="n">
        <v>6.522569</v>
      </c>
      <c r="S2935" s="3" t="n">
        <v>7.592498</v>
      </c>
      <c r="T2935" s="3" t="n">
        <v>8.506145</v>
      </c>
      <c r="U2935" s="3" t="n">
        <v>9.242478</v>
      </c>
      <c r="V2935" s="3" t="n">
        <v>7.85683</v>
      </c>
      <c r="W2935" s="3" t="n">
        <v>6.993598</v>
      </c>
      <c r="X2935" s="3" t="n">
        <v>7.534926</v>
      </c>
      <c r="Y2935" s="3" t="n">
        <v>7.762446</v>
      </c>
      <c r="Z2935" s="3" t="n">
        <v>8.300711</v>
      </c>
      <c r="AA2935" s="3" t="n">
        <v>8.133979</v>
      </c>
      <c r="AB2935" s="3" t="n">
        <v>8.9337</v>
      </c>
      <c r="AC2935" s="3" t="n">
        <v>10.716049</v>
      </c>
      <c r="AD2935" s="3" t="n">
        <v>12.242383</v>
      </c>
      <c r="AE2935" s="3" t="n">
        <v>14.425777</v>
      </c>
      <c r="AF2935" s="3" t="n">
        <v>17.541694</v>
      </c>
      <c r="AG2935" s="3" t="n">
        <v>20.417623</v>
      </c>
      <c r="AH2935" s="3" t="n">
        <v>21.402814</v>
      </c>
      <c r="AI2935" s="3" t="n">
        <v>22.669842</v>
      </c>
      <c r="AJ2935" s="3" t="n">
        <v>24.040788</v>
      </c>
      <c r="AK2935" s="3" t="n">
        <v>25.662012</v>
      </c>
      <c r="AL2935" s="3" t="n">
        <v>27.656669</v>
      </c>
      <c r="AM2935" s="3" t="n"/>
      <c r="AN2935" s="3" t="n"/>
      <c r="AO2935" s="3" t="n"/>
      <c r="AP2935" s="3" t="n"/>
      <c r="AQ2935" s="3" t="n"/>
      <c r="AR2935" s="3" t="n"/>
      <c r="AS2935" s="3" t="n"/>
      <c r="AT2935" s="3" t="n"/>
      <c r="AU2935" s="3" t="n"/>
    </row>
    <row r="2936">
      <c r="A2936" s="3" t="n">
        <v>2031</v>
      </c>
      <c r="B2936" s="3" t="inlineStr">
        <is>
          <t>TJK</t>
        </is>
      </c>
      <c r="C2936" s="3" t="inlineStr">
        <is>
          <t>IMF.RES:WEO</t>
        </is>
      </c>
      <c r="D2936" s="3" t="inlineStr">
        <is>
          <t>TJK.NGDPPC.A</t>
        </is>
      </c>
      <c r="E2936" s="3" t="inlineStr">
        <is>
          <t>Tajikistan, Republic of</t>
        </is>
      </c>
      <c r="F2936" s="3" t="inlineStr">
        <is>
          <t>Gross domestic product (GDP), Current prices, Per capita, Domestic currency</t>
        </is>
      </c>
      <c r="G2936" s="3" t="n">
        <v>290.643568</v>
      </c>
      <c r="H2936" s="3" t="n">
        <v>397.036569</v>
      </c>
      <c r="I2936" s="3" t="n">
        <v>518.728574</v>
      </c>
      <c r="J2936" s="3" t="n">
        <v>723.413255</v>
      </c>
      <c r="K2936" s="3" t="n">
        <v>917.276351</v>
      </c>
      <c r="L2936" s="3" t="n">
        <v>1050.621034</v>
      </c>
      <c r="M2936" s="3" t="n">
        <v>1324.494608</v>
      </c>
      <c r="N2936" s="3" t="n">
        <v>1786.774621</v>
      </c>
      <c r="O2936" s="3" t="n">
        <v>2409.022607</v>
      </c>
      <c r="P2936" s="3" t="n">
        <v>2759.708217</v>
      </c>
      <c r="Q2936" s="3" t="n">
        <v>3232.909733</v>
      </c>
      <c r="R2936" s="3" t="n">
        <v>3847.171981</v>
      </c>
      <c r="S2936" s="3" t="n">
        <v>4522.929278</v>
      </c>
      <c r="T2936" s="3" t="n">
        <v>4955.422657</v>
      </c>
      <c r="U2936" s="3" t="n">
        <v>5453.376852</v>
      </c>
      <c r="V2936" s="3" t="n">
        <v>5661.89917</v>
      </c>
      <c r="W2936" s="3" t="n">
        <v>6272.536618</v>
      </c>
      <c r="X2936" s="3" t="n">
        <v>7222.455184</v>
      </c>
      <c r="Y2936" s="3" t="n">
        <v>7802.520442</v>
      </c>
      <c r="Z2936" s="3" t="n">
        <v>8513.753767</v>
      </c>
      <c r="AA2936" s="3" t="n">
        <v>8860.804247</v>
      </c>
      <c r="AB2936" s="3" t="n">
        <v>10467.017126</v>
      </c>
      <c r="AC2936" s="3" t="n">
        <v>12015.263539</v>
      </c>
      <c r="AD2936" s="3" t="n">
        <v>13260.825666</v>
      </c>
      <c r="AE2936" s="3" t="n">
        <v>15291.006446</v>
      </c>
      <c r="AF2936" s="3" t="n">
        <v>16951.510017</v>
      </c>
      <c r="AG2936" s="3" t="n">
        <v>18509.335686</v>
      </c>
      <c r="AH2936" s="3" t="n">
        <v>20048.257174</v>
      </c>
      <c r="AI2936" s="3" t="n">
        <v>21661.649335</v>
      </c>
      <c r="AJ2936" s="3" t="n">
        <v>23412.234022</v>
      </c>
      <c r="AK2936" s="3" t="n">
        <v>25310.562824</v>
      </c>
      <c r="AL2936" s="3" t="n">
        <v>27498.322901</v>
      </c>
      <c r="AM2936" s="3" t="n"/>
      <c r="AN2936" s="3" t="n"/>
      <c r="AO2936" s="3" t="n"/>
      <c r="AP2936" s="3" t="n"/>
      <c r="AQ2936" s="3" t="n"/>
      <c r="AR2936" s="3" t="n"/>
      <c r="AS2936" s="3" t="n"/>
      <c r="AT2936" s="3" t="n"/>
      <c r="AU2936" s="3" t="n"/>
    </row>
    <row r="2937">
      <c r="A2937" s="3" t="n">
        <v>2031</v>
      </c>
      <c r="B2937" s="3" t="inlineStr">
        <is>
          <t>TJK</t>
        </is>
      </c>
      <c r="C2937" s="3" t="inlineStr">
        <is>
          <t>IMF.RES:WEO</t>
        </is>
      </c>
      <c r="D2937" s="3" t="inlineStr">
        <is>
          <t>TJK.NGDPRPC.A</t>
        </is>
      </c>
      <c r="E2937" s="3" t="inlineStr">
        <is>
          <t>Tajikistan, Republic of</t>
        </is>
      </c>
      <c r="F2937" s="3" t="inlineStr">
        <is>
          <t>Gross domestic product (GDP), Constant prices, Per capita, Domestic currency</t>
        </is>
      </c>
      <c r="G2937" s="3" t="n">
        <v>11.995822</v>
      </c>
      <c r="H2937" s="3" t="n">
        <v>12.987648</v>
      </c>
      <c r="I2937" s="3" t="n">
        <v>13.904573</v>
      </c>
      <c r="J2937" s="3" t="n">
        <v>15.021855</v>
      </c>
      <c r="K2937" s="3" t="n">
        <v>16.277663</v>
      </c>
      <c r="L2937" s="3" t="n">
        <v>17.010128</v>
      </c>
      <c r="M2937" s="3" t="n">
        <v>17.820259</v>
      </c>
      <c r="N2937" s="3" t="n">
        <v>18.802435</v>
      </c>
      <c r="O2937" s="3" t="n">
        <v>19.851129</v>
      </c>
      <c r="P2937" s="3" t="n">
        <v>20.175185</v>
      </c>
      <c r="Q2937" s="3" t="n">
        <v>21.011912</v>
      </c>
      <c r="R2937" s="3" t="n">
        <v>22.063487</v>
      </c>
      <c r="S2937" s="3" t="n">
        <v>23.18689</v>
      </c>
      <c r="T2937" s="3" t="n">
        <v>24.346226</v>
      </c>
      <c r="U2937" s="3" t="n">
        <v>25.402952</v>
      </c>
      <c r="V2937" s="3" t="n">
        <v>26.341549</v>
      </c>
      <c r="W2937" s="3" t="n">
        <v>27.558535</v>
      </c>
      <c r="X2937" s="3" t="n">
        <v>28.898536</v>
      </c>
      <c r="Y2937" s="3" t="n">
        <v>30.460214</v>
      </c>
      <c r="Z2937" s="3" t="n">
        <v>32.063685</v>
      </c>
      <c r="AA2937" s="3" t="n">
        <v>32.823964</v>
      </c>
      <c r="AB2937" s="3" t="n">
        <v>35.234852</v>
      </c>
      <c r="AC2937" s="3" t="n">
        <v>37.359802</v>
      </c>
      <c r="AD2937" s="3" t="n">
        <v>39.726643</v>
      </c>
      <c r="AE2937" s="3" t="n">
        <v>42.331283</v>
      </c>
      <c r="AF2937" s="3" t="n">
        <v>45.123254</v>
      </c>
      <c r="AG2937" s="3" t="n">
        <v>47.058293</v>
      </c>
      <c r="AH2937" s="3" t="n">
        <v>48.543676</v>
      </c>
      <c r="AI2937" s="3" t="n">
        <v>49.952619</v>
      </c>
      <c r="AJ2937" s="3" t="n">
        <v>51.418606</v>
      </c>
      <c r="AK2937" s="3" t="n">
        <v>52.940732</v>
      </c>
      <c r="AL2937" s="3" t="n">
        <v>54.520191</v>
      </c>
      <c r="AM2937" s="3" t="n"/>
      <c r="AN2937" s="3" t="n"/>
      <c r="AO2937" s="3" t="n"/>
      <c r="AP2937" s="3" t="n"/>
      <c r="AQ2937" s="3" t="n"/>
      <c r="AR2937" s="3" t="n"/>
      <c r="AS2937" s="3" t="n"/>
      <c r="AT2937" s="3" t="n"/>
      <c r="AU2937" s="3" t="n"/>
    </row>
    <row r="2938">
      <c r="A2938" s="3" t="n">
        <v>2031</v>
      </c>
      <c r="B2938" s="3" t="inlineStr">
        <is>
          <t>TJK</t>
        </is>
      </c>
      <c r="C2938" s="3" t="inlineStr">
        <is>
          <t>IMF.RES:WEO</t>
        </is>
      </c>
      <c r="D2938" s="3" t="inlineStr">
        <is>
          <t>TJK.PCPI.A</t>
        </is>
      </c>
      <c r="E2938" s="3" t="inlineStr">
        <is>
          <t>Tajikistan, Republic of</t>
        </is>
      </c>
      <c r="F2938" s="3" t="inlineStr">
        <is>
          <t>All Items, Consumer price index (CPI), Period average</t>
        </is>
      </c>
      <c r="G2938" s="3" t="n">
        <v>242.424799</v>
      </c>
      <c r="H2938" s="3" t="n">
        <v>335.981109</v>
      </c>
      <c r="I2938" s="3" t="n">
        <v>377.062252</v>
      </c>
      <c r="J2938" s="3" t="n">
        <v>438.733337</v>
      </c>
      <c r="K2938" s="3" t="n">
        <v>470.347301</v>
      </c>
      <c r="L2938" s="3" t="n">
        <v>504.572162</v>
      </c>
      <c r="M2938" s="3" t="n">
        <v>554.87405</v>
      </c>
      <c r="N2938" s="3" t="n">
        <v>627.940687</v>
      </c>
      <c r="O2938" s="3" t="n">
        <v>756.222063</v>
      </c>
      <c r="P2938" s="3" t="n">
        <v>804.7656950000001</v>
      </c>
      <c r="Q2938" s="3" t="n">
        <v>856.77585</v>
      </c>
      <c r="R2938" s="3" t="n">
        <v>963.205012</v>
      </c>
      <c r="S2938" s="3" t="n">
        <v>1019.032339</v>
      </c>
      <c r="T2938" s="3" t="n">
        <v>1070.340733</v>
      </c>
      <c r="U2938" s="3" t="n">
        <v>1135.383992</v>
      </c>
      <c r="V2938" s="3" t="n">
        <v>1201.015372</v>
      </c>
      <c r="W2938" s="3" t="n">
        <v>1272.040142</v>
      </c>
      <c r="X2938" s="3" t="n">
        <v>1365.029079</v>
      </c>
      <c r="Y2938" s="3" t="n">
        <v>1417.481496</v>
      </c>
      <c r="Z2938" s="3" t="n">
        <v>1527.905319</v>
      </c>
      <c r="AA2938" s="3" t="n">
        <v>1659.006509</v>
      </c>
      <c r="AB2938" s="3" t="n">
        <v>1807.884083</v>
      </c>
      <c r="AC2938" s="3" t="n">
        <v>1927.953648</v>
      </c>
      <c r="AD2938" s="3" t="n">
        <v>1998.36269</v>
      </c>
      <c r="AE2938" s="3" t="n">
        <v>2068.03206</v>
      </c>
      <c r="AF2938" s="3" t="n">
        <v>2137.900821</v>
      </c>
      <c r="AG2938" s="3" t="n">
        <v>2223.416853</v>
      </c>
      <c r="AH2938" s="3" t="n">
        <v>2329.029154</v>
      </c>
      <c r="AI2938" s="3" t="n">
        <v>2445.480612</v>
      </c>
      <c r="AJ2938" s="3" t="n">
        <v>2567.754642</v>
      </c>
      <c r="AK2938" s="3" t="n">
        <v>2696.142374</v>
      </c>
      <c r="AL2938" s="3" t="n">
        <v>2830.949493</v>
      </c>
      <c r="AM2938" s="3" t="n"/>
      <c r="AN2938" s="3" t="n"/>
      <c r="AO2938" s="3" t="n"/>
      <c r="AP2938" s="3" t="n"/>
      <c r="AQ2938" s="3" t="n"/>
      <c r="AR2938" s="3" t="n"/>
      <c r="AS2938" s="3" t="n"/>
      <c r="AT2938" s="3" t="n"/>
      <c r="AU2938" s="3" t="n"/>
    </row>
    <row r="2939">
      <c r="A2939" s="3" t="n">
        <v>2031</v>
      </c>
      <c r="B2939" s="3" t="inlineStr">
        <is>
          <t>TJK</t>
        </is>
      </c>
      <c r="C2939" s="3" t="inlineStr">
        <is>
          <t>IMF.RES:WEO</t>
        </is>
      </c>
      <c r="D2939" s="3" t="inlineStr">
        <is>
          <t>TJK.PCPIPCH.A</t>
        </is>
      </c>
      <c r="E2939" s="3" t="inlineStr">
        <is>
          <t>Tajikistan, Republic of</t>
        </is>
      </c>
      <c r="F2939" s="3" t="inlineStr">
        <is>
          <t>All Items, Consumer price index (CPI), Period average, percent change</t>
        </is>
      </c>
      <c r="G2939" s="3" t="n">
        <v>32.850949</v>
      </c>
      <c r="H2939" s="3" t="n">
        <v>38.591889</v>
      </c>
      <c r="I2939" s="3" t="n">
        <v>12.227218</v>
      </c>
      <c r="J2939" s="3" t="n">
        <v>16.355677</v>
      </c>
      <c r="K2939" s="3" t="n">
        <v>7.205736</v>
      </c>
      <c r="L2939" s="3" t="n">
        <v>7.276508</v>
      </c>
      <c r="M2939" s="3" t="n">
        <v>9.969215999999999</v>
      </c>
      <c r="N2939" s="3" t="n">
        <v>13.168148</v>
      </c>
      <c r="O2939" s="3" t="n">
        <v>20.4289</v>
      </c>
      <c r="P2939" s="3" t="n">
        <v>6.41923</v>
      </c>
      <c r="Q2939" s="3" t="n">
        <v>6.46277</v>
      </c>
      <c r="R2939" s="3" t="n">
        <v>12.422054</v>
      </c>
      <c r="S2939" s="3" t="n">
        <v>5.795996</v>
      </c>
      <c r="T2939" s="3" t="n">
        <v>5.035011</v>
      </c>
      <c r="U2939" s="3" t="n">
        <v>6.076874</v>
      </c>
      <c r="V2939" s="3" t="n">
        <v>5.780545</v>
      </c>
      <c r="W2939" s="3" t="n">
        <v>5.913727</v>
      </c>
      <c r="X2939" s="3" t="n">
        <v>7.31022</v>
      </c>
      <c r="Y2939" s="3" t="n">
        <v>3.842586</v>
      </c>
      <c r="Z2939" s="3" t="n">
        <v>7.790142</v>
      </c>
      <c r="AA2939" s="3" t="n">
        <v>8.580451999999999</v>
      </c>
      <c r="AB2939" s="3" t="n">
        <v>8.973898999999999</v>
      </c>
      <c r="AC2939" s="3" t="n">
        <v>6.641442</v>
      </c>
      <c r="AD2939" s="3" t="n">
        <v>3.652009</v>
      </c>
      <c r="AE2939" s="3" t="n">
        <v>3.486323</v>
      </c>
      <c r="AF2939" s="3" t="n">
        <v>3.378514</v>
      </c>
      <c r="AG2939" s="3" t="n">
        <v>4</v>
      </c>
      <c r="AH2939" s="3" t="n">
        <v>4.75</v>
      </c>
      <c r="AI2939" s="3" t="n">
        <v>5</v>
      </c>
      <c r="AJ2939" s="3" t="n">
        <v>5</v>
      </c>
      <c r="AK2939" s="3" t="n">
        <v>5</v>
      </c>
      <c r="AL2939" s="3" t="n">
        <v>5</v>
      </c>
      <c r="AM2939" s="3" t="n"/>
      <c r="AN2939" s="3" t="n"/>
      <c r="AO2939" s="3" t="n"/>
      <c r="AP2939" s="3" t="n"/>
      <c r="AQ2939" s="3" t="n"/>
      <c r="AR2939" s="3" t="n"/>
      <c r="AS2939" s="3" t="n"/>
      <c r="AT2939" s="3" t="n"/>
      <c r="AU2939" s="3" t="n"/>
    </row>
    <row r="2940">
      <c r="A2940" s="3" t="n">
        <v>2031</v>
      </c>
      <c r="B2940" s="3" t="inlineStr">
        <is>
          <t>TJK</t>
        </is>
      </c>
      <c r="C2940" s="3" t="inlineStr">
        <is>
          <t>IMF.RES:WEO</t>
        </is>
      </c>
      <c r="D2940" s="3" t="inlineStr">
        <is>
          <t>TJK.PPPPC.A</t>
        </is>
      </c>
      <c r="E2940" s="3" t="inlineStr">
        <is>
          <t>Tajikistan, Republic of</t>
        </is>
      </c>
      <c r="F2940" s="3" t="inlineStr">
        <is>
          <t>Gross domestic product (GDP), Per capita, purchasing power parity (PPP) international dollar, ICP benchmarks 2017-2021</t>
        </is>
      </c>
      <c r="G2940" s="3" t="n">
        <v>927.545624</v>
      </c>
      <c r="H2940" s="3" t="n">
        <v>1026.84759</v>
      </c>
      <c r="I2940" s="3" t="n">
        <v>1116.426988</v>
      </c>
      <c r="J2940" s="3" t="n">
        <v>1229.947541</v>
      </c>
      <c r="K2940" s="3" t="n">
        <v>1368.606181</v>
      </c>
      <c r="L2940" s="3" t="n">
        <v>1475.039175</v>
      </c>
      <c r="M2940" s="3" t="n">
        <v>1592.944901</v>
      </c>
      <c r="N2940" s="3" t="n">
        <v>1726.277044</v>
      </c>
      <c r="O2940" s="3" t="n">
        <v>1857.669028</v>
      </c>
      <c r="P2940" s="3" t="n">
        <v>1899.638189</v>
      </c>
      <c r="Q2940" s="3" t="n">
        <v>2002.467351</v>
      </c>
      <c r="R2940" s="3" t="n">
        <v>2146.067613</v>
      </c>
      <c r="S2940" s="3" t="n">
        <v>2297.331436</v>
      </c>
      <c r="T2940" s="3" t="n">
        <v>2453.252919</v>
      </c>
      <c r="U2940" s="3" t="n">
        <v>2604.317359</v>
      </c>
      <c r="V2940" s="3" t="n">
        <v>2725.605108</v>
      </c>
      <c r="W2940" s="3" t="n">
        <v>2878.624643</v>
      </c>
      <c r="X2940" s="3" t="n">
        <v>3072.653979</v>
      </c>
      <c r="Y2940" s="3" t="n">
        <v>3136.544388</v>
      </c>
      <c r="Z2940" s="3" t="n">
        <v>3548.582787</v>
      </c>
      <c r="AA2940" s="3" t="n">
        <v>3759.647665</v>
      </c>
      <c r="AB2940" s="3" t="n">
        <v>4113.9765</v>
      </c>
      <c r="AC2940" s="3" t="n">
        <v>4672.332444</v>
      </c>
      <c r="AD2940" s="3" t="n">
        <v>5152.166997</v>
      </c>
      <c r="AE2940" s="3" t="n">
        <v>5626.254784</v>
      </c>
      <c r="AF2940" s="3" t="n">
        <v>6167.46634</v>
      </c>
      <c r="AG2940" s="3" t="n">
        <v>6616.214064</v>
      </c>
      <c r="AH2940" s="3" t="n">
        <v>6974.924696</v>
      </c>
      <c r="AI2940" s="3" t="n">
        <v>7295.175066</v>
      </c>
      <c r="AJ2940" s="3" t="n">
        <v>7642.793584</v>
      </c>
      <c r="AK2940" s="3" t="n">
        <v>8013.636172</v>
      </c>
      <c r="AL2940" s="3" t="n">
        <v>8401.705191999999</v>
      </c>
      <c r="AM2940" s="3" t="n"/>
      <c r="AN2940" s="3" t="n"/>
      <c r="AO2940" s="3" t="n"/>
      <c r="AP2940" s="3" t="n"/>
      <c r="AQ2940" s="3" t="n"/>
      <c r="AR2940" s="3" t="n"/>
      <c r="AS2940" s="3" t="n"/>
      <c r="AT2940" s="3" t="n"/>
      <c r="AU2940" s="3" t="n"/>
    </row>
    <row r="2941">
      <c r="A2941" s="3" t="n">
        <v>2025</v>
      </c>
      <c r="B2941" s="3" t="inlineStr">
        <is>
          <t>TJK</t>
        </is>
      </c>
      <c r="C2941" s="3" t="inlineStr">
        <is>
          <t>IMF.STA:ER</t>
        </is>
      </c>
      <c r="D2941" s="3" t="inlineStr">
        <is>
          <t>TJK.XDC_USD.PA_RT.A</t>
        </is>
      </c>
      <c r="E2941" s="3" t="inlineStr">
        <is>
          <t>Tajikistan, Republic of</t>
        </is>
      </c>
      <c r="F2941" s="3" t="inlineStr">
        <is>
          <t>Domestic currency per US Dollar</t>
        </is>
      </c>
      <c r="G2941" s="3" t="n">
        <v>2.07625</v>
      </c>
      <c r="H2941" s="3" t="n">
        <v>2.37219166666666</v>
      </c>
      <c r="I2941" s="3" t="n">
        <v>2.76413333333333</v>
      </c>
      <c r="J2941" s="3" t="n">
        <v>3.06136666666666</v>
      </c>
      <c r="K2941" s="3" t="n">
        <v>2.97050833333333</v>
      </c>
      <c r="L2941" s="3" t="n">
        <v>3.11656666666666</v>
      </c>
      <c r="M2941" s="3" t="n">
        <v>3.29840833333333</v>
      </c>
      <c r="N2941" s="3" t="n">
        <v>3.44248333333333</v>
      </c>
      <c r="O2941" s="3" t="n">
        <v>3.430725</v>
      </c>
      <c r="P2941" s="3" t="n">
        <v>4.14270833333333</v>
      </c>
      <c r="Q2941" s="3" t="n">
        <v>4.37896666666666</v>
      </c>
      <c r="R2941" s="3" t="n">
        <v>4.61018333333333</v>
      </c>
      <c r="S2941" s="3" t="n">
        <v>4.73770833333333</v>
      </c>
      <c r="T2941" s="3" t="n">
        <v>4.76423333333333</v>
      </c>
      <c r="U2941" s="3" t="n">
        <v>4.93756666666666</v>
      </c>
      <c r="V2941" s="3" t="n">
        <v>6.16311666666666</v>
      </c>
      <c r="W2941" s="3" t="n">
        <v>7.835675</v>
      </c>
      <c r="X2941" s="3" t="n">
        <v>8.549741666666661</v>
      </c>
      <c r="Y2941" s="3" t="n">
        <v>9.151216666666659</v>
      </c>
      <c r="Z2941" s="3" t="n">
        <v>9.53036666666666</v>
      </c>
      <c r="AA2941" s="3" t="n">
        <v>10.3219416666666</v>
      </c>
      <c r="AB2941" s="3" t="n">
        <v>11.30885</v>
      </c>
      <c r="AC2941" s="3" t="n">
        <v>11.031075</v>
      </c>
      <c r="AD2941" s="3" t="n">
        <v>10.844525</v>
      </c>
      <c r="AE2941" s="3" t="n">
        <v>10.7994916666666</v>
      </c>
      <c r="AF2941" s="3" t="n">
        <v>10.0177083333333</v>
      </c>
      <c r="AG2941" s="3" t="n"/>
      <c r="AH2941" s="3" t="n"/>
      <c r="AI2941" s="3" t="n"/>
      <c r="AJ2941" s="3" t="n"/>
      <c r="AK2941" s="3" t="n"/>
      <c r="AL2941" s="3" t="n"/>
      <c r="AM2941" s="3" t="n"/>
      <c r="AN2941" s="3" t="n"/>
      <c r="AO2941" s="3" t="n"/>
      <c r="AP2941" s="3" t="n"/>
      <c r="AQ2941" s="3" t="n"/>
      <c r="AR2941" s="3" t="n"/>
      <c r="AS2941" s="3" t="n"/>
      <c r="AT2941" s="3" t="n"/>
      <c r="AU2941" s="3" t="n"/>
    </row>
    <row r="2942">
      <c r="A2942" s="3" t="n">
        <v>2031</v>
      </c>
      <c r="B2942" s="3" t="inlineStr">
        <is>
          <t>TKM</t>
        </is>
      </c>
      <c r="C2942" s="3" t="inlineStr">
        <is>
          <t>IMF.RES:WEO</t>
        </is>
      </c>
      <c r="D2942" s="3" t="inlineStr">
        <is>
          <t>TKM.BCA.A</t>
        </is>
      </c>
      <c r="E2942" s="3" t="inlineStr">
        <is>
          <t>Turkmenistan</t>
        </is>
      </c>
      <c r="F2942" s="3" t="inlineStr">
        <is>
          <t>Current account balance (credit less debit), US dollar</t>
        </is>
      </c>
      <c r="G2942" s="3" t="n">
        <v>0.412277</v>
      </c>
      <c r="H2942" s="3" t="n">
        <v>0.114611</v>
      </c>
      <c r="I2942" s="3" t="n">
        <v>0.582811</v>
      </c>
      <c r="J2942" s="3" t="n">
        <v>0.304213</v>
      </c>
      <c r="K2942" s="3" t="n">
        <v>0.08214299999999999</v>
      </c>
      <c r="L2942" s="3" t="n">
        <v>0.874645</v>
      </c>
      <c r="M2942" s="3" t="n">
        <v>3.350987</v>
      </c>
      <c r="N2942" s="3" t="n">
        <v>4.036631</v>
      </c>
      <c r="O2942" s="3" t="n">
        <v>3.560377</v>
      </c>
      <c r="P2942" s="3" t="n">
        <v>-3.91805</v>
      </c>
      <c r="Q2942" s="3" t="n">
        <v>-3.125319</v>
      </c>
      <c r="R2942" s="3" t="n">
        <v>-0.343727</v>
      </c>
      <c r="S2942" s="3" t="n">
        <v>-0.626929</v>
      </c>
      <c r="T2942" s="3" t="n">
        <v>-4.239456</v>
      </c>
      <c r="U2942" s="3" t="n">
        <v>-4.108947</v>
      </c>
      <c r="V2942" s="3" t="n">
        <v>-7.524787</v>
      </c>
      <c r="W2942" s="3" t="n">
        <v>-9.698741</v>
      </c>
      <c r="X2942" s="3" t="n">
        <v>-6.221293</v>
      </c>
      <c r="Y2942" s="3" t="n">
        <v>3.021808</v>
      </c>
      <c r="Z2942" s="3" t="n">
        <v>1.545025</v>
      </c>
      <c r="AA2942" s="3" t="n">
        <v>-0.613648</v>
      </c>
      <c r="AB2942" s="3" t="n">
        <v>2.257811</v>
      </c>
      <c r="AC2942" s="3" t="n">
        <v>5.478991</v>
      </c>
      <c r="AD2942" s="3" t="n">
        <v>3.408209</v>
      </c>
      <c r="AE2942" s="3" t="n">
        <v>3.219768</v>
      </c>
      <c r="AF2942" s="3" t="n">
        <v>2.569628</v>
      </c>
      <c r="AG2942" s="3" t="n">
        <v>3.098883</v>
      </c>
      <c r="AH2942" s="3" t="n">
        <v>1.404935</v>
      </c>
      <c r="AI2942" s="3" t="n">
        <v>0.7855220000000001</v>
      </c>
      <c r="AJ2942" s="3" t="n">
        <v>-0.060626</v>
      </c>
      <c r="AK2942" s="3" t="n">
        <v>-0.724155</v>
      </c>
      <c r="AL2942" s="3" t="n">
        <v>-1.457325</v>
      </c>
      <c r="AM2942" s="3" t="n"/>
      <c r="AN2942" s="3" t="n"/>
      <c r="AO2942" s="3" t="n"/>
      <c r="AP2942" s="3" t="n"/>
      <c r="AQ2942" s="3" t="n"/>
      <c r="AR2942" s="3" t="n"/>
      <c r="AS2942" s="3" t="n"/>
      <c r="AT2942" s="3" t="n"/>
      <c r="AU2942" s="3" t="n"/>
    </row>
    <row r="2943">
      <c r="A2943" s="3" t="n">
        <v>2031</v>
      </c>
      <c r="B2943" s="3" t="inlineStr">
        <is>
          <t>TKM</t>
        </is>
      </c>
      <c r="C2943" s="3" t="inlineStr">
        <is>
          <t>IMF.RES:WEO</t>
        </is>
      </c>
      <c r="D2943" s="3" t="inlineStr">
        <is>
          <t>TKM.BCA_NGDPD.A</t>
        </is>
      </c>
      <c r="E2943" s="3" t="inlineStr">
        <is>
          <t>Turkmenistan</t>
        </is>
      </c>
      <c r="F2943" s="3" t="inlineStr">
        <is>
          <t>Current account balance (credit less debit), Percent of GDP</t>
        </is>
      </c>
      <c r="G2943" s="3" t="n">
        <v>8.809907000000001</v>
      </c>
      <c r="H2943" s="3" t="n">
        <v>1.773968</v>
      </c>
      <c r="I2943" s="3" t="n">
        <v>7.189137</v>
      </c>
      <c r="J2943" s="3" t="n">
        <v>2.857723</v>
      </c>
      <c r="K2943" s="3" t="n">
        <v>0.620966</v>
      </c>
      <c r="L2943" s="3" t="n">
        <v>5.465567</v>
      </c>
      <c r="M2943" s="3" t="n">
        <v>16.80994</v>
      </c>
      <c r="N2943" s="3" t="n">
        <v>16.686069</v>
      </c>
      <c r="O2943" s="3" t="n">
        <v>17.757964</v>
      </c>
      <c r="P2943" s="3" t="n">
        <v>-20.800704</v>
      </c>
      <c r="Q2943" s="3" t="n">
        <v>-14.658611</v>
      </c>
      <c r="R2943" s="3" t="n">
        <v>-1.237476</v>
      </c>
      <c r="S2943" s="3" t="n">
        <v>-1.782859</v>
      </c>
      <c r="T2943" s="3" t="n">
        <v>-10.815616</v>
      </c>
      <c r="U2943" s="3" t="n">
        <v>-9.440602</v>
      </c>
      <c r="V2943" s="3" t="n">
        <v>-21.019177</v>
      </c>
      <c r="W2943" s="3" t="n">
        <v>-26.806913</v>
      </c>
      <c r="X2943" s="3" t="n">
        <v>-16.403657</v>
      </c>
      <c r="Y2943" s="3" t="n">
        <v>7.413292</v>
      </c>
      <c r="Z2943" s="3" t="n">
        <v>3.435353</v>
      </c>
      <c r="AA2943" s="3" t="n">
        <v>-1.350016</v>
      </c>
      <c r="AB2943" s="3" t="n">
        <v>4.563342</v>
      </c>
      <c r="AC2943" s="3" t="n">
        <v>9.666971999999999</v>
      </c>
      <c r="AD2943" s="3" t="n">
        <v>5.4259</v>
      </c>
      <c r="AE2943" s="3" t="n">
        <v>4.688412</v>
      </c>
      <c r="AF2943" s="3" t="n">
        <v>3.320016</v>
      </c>
      <c r="AG2943" s="3" t="n">
        <v>3.730683</v>
      </c>
      <c r="AH2943" s="3" t="n">
        <v>1.598174</v>
      </c>
      <c r="AI2943" s="3" t="n">
        <v>0.836875</v>
      </c>
      <c r="AJ2943" s="3" t="n">
        <v>-0.060424</v>
      </c>
      <c r="AK2943" s="3" t="n">
        <v>-0.675001</v>
      </c>
      <c r="AL2943" s="3" t="n">
        <v>-1.270202</v>
      </c>
      <c r="AM2943" s="3" t="n"/>
      <c r="AN2943" s="3" t="n"/>
      <c r="AO2943" s="3" t="n"/>
      <c r="AP2943" s="3" t="n"/>
      <c r="AQ2943" s="3" t="n"/>
      <c r="AR2943" s="3" t="n"/>
      <c r="AS2943" s="3" t="n"/>
      <c r="AT2943" s="3" t="n"/>
      <c r="AU2943" s="3" t="n"/>
    </row>
    <row r="2944">
      <c r="A2944" s="3" t="n">
        <v>2031</v>
      </c>
      <c r="B2944" s="3" t="inlineStr">
        <is>
          <t>TKM</t>
        </is>
      </c>
      <c r="C2944" s="3" t="inlineStr">
        <is>
          <t>IMF.RES:WEO</t>
        </is>
      </c>
      <c r="D2944" s="3" t="inlineStr">
        <is>
          <t>TKM.GGR_NGDP.A</t>
        </is>
      </c>
      <c r="E2944" s="3" t="inlineStr">
        <is>
          <t>Turkmenistan</t>
        </is>
      </c>
      <c r="F2944" s="3" t="inlineStr">
        <is>
          <t>Revenue, General government, Percent of GDP</t>
        </is>
      </c>
      <c r="G2944" s="3" t="n">
        <v>25.309395</v>
      </c>
      <c r="H2944" s="3" t="n">
        <v>23.409781</v>
      </c>
      <c r="I2944" s="3" t="n">
        <v>19.554282</v>
      </c>
      <c r="J2944" s="3" t="n">
        <v>24.756296</v>
      </c>
      <c r="K2944" s="3" t="n">
        <v>21.741802</v>
      </c>
      <c r="L2944" s="3" t="n">
        <v>21.972691</v>
      </c>
      <c r="M2944" s="3" t="n">
        <v>21.67969</v>
      </c>
      <c r="N2944" s="3" t="n">
        <v>18.618333</v>
      </c>
      <c r="O2944" s="3" t="n">
        <v>22.394094</v>
      </c>
      <c r="P2944" s="3" t="n">
        <v>21.92149</v>
      </c>
      <c r="Q2944" s="3" t="n">
        <v>16.736225</v>
      </c>
      <c r="R2944" s="3" t="n">
        <v>19.222869</v>
      </c>
      <c r="S2944" s="3" t="n">
        <v>22.192969</v>
      </c>
      <c r="T2944" s="3" t="n">
        <v>18.405826</v>
      </c>
      <c r="U2944" s="3" t="n">
        <v>17.898326</v>
      </c>
      <c r="V2944" s="3" t="n">
        <v>16.615655</v>
      </c>
      <c r="W2944" s="3" t="n">
        <v>11.736634</v>
      </c>
      <c r="X2944" s="3" t="n">
        <v>14.929423</v>
      </c>
      <c r="Y2944" s="3" t="n">
        <v>13.520006</v>
      </c>
      <c r="Z2944" s="3" t="n">
        <v>13.238104</v>
      </c>
      <c r="AA2944" s="3" t="n">
        <v>13.38848</v>
      </c>
      <c r="AB2944" s="3" t="n">
        <v>13.941676</v>
      </c>
      <c r="AC2944" s="3" t="n">
        <v>16.364489</v>
      </c>
      <c r="AD2944" s="3" t="n">
        <v>13.817046</v>
      </c>
      <c r="AE2944" s="3" t="n">
        <v>14.43927</v>
      </c>
      <c r="AF2944" s="3" t="n">
        <v>14.209347</v>
      </c>
      <c r="AG2944" s="3" t="n">
        <v>13.823025</v>
      </c>
      <c r="AH2944" s="3" t="n">
        <v>13.427629</v>
      </c>
      <c r="AI2944" s="3" t="n">
        <v>13.207721</v>
      </c>
      <c r="AJ2944" s="3" t="n">
        <v>13.011682</v>
      </c>
      <c r="AK2944" s="3" t="n">
        <v>12.820492</v>
      </c>
      <c r="AL2944" s="3" t="n">
        <v>12.63034</v>
      </c>
      <c r="AM2944" s="3" t="n"/>
      <c r="AN2944" s="3" t="n"/>
      <c r="AO2944" s="3" t="n"/>
      <c r="AP2944" s="3" t="n"/>
      <c r="AQ2944" s="3" t="n"/>
      <c r="AR2944" s="3" t="n"/>
      <c r="AS2944" s="3" t="n"/>
      <c r="AT2944" s="3" t="n"/>
      <c r="AU2944" s="3" t="n"/>
    </row>
    <row r="2945">
      <c r="A2945" s="3" t="n">
        <v>2031</v>
      </c>
      <c r="B2945" s="3" t="inlineStr">
        <is>
          <t>TKM</t>
        </is>
      </c>
      <c r="C2945" s="3" t="inlineStr">
        <is>
          <t>IMF.RES:WEO</t>
        </is>
      </c>
      <c r="D2945" s="3" t="inlineStr">
        <is>
          <t>TKM.GGX_NGDP.A</t>
        </is>
      </c>
      <c r="E2945" s="3" t="inlineStr">
        <is>
          <t>Turkmenistan</t>
        </is>
      </c>
      <c r="F2945" s="3" t="inlineStr">
        <is>
          <t>Expenditure, General government, Percent of GDP</t>
        </is>
      </c>
      <c r="G2945" s="3" t="n">
        <v>25.863342</v>
      </c>
      <c r="H2945" s="3" t="n">
        <v>22.635874</v>
      </c>
      <c r="I2945" s="3" t="n">
        <v>19.369016</v>
      </c>
      <c r="J2945" s="3" t="n">
        <v>20.768986</v>
      </c>
      <c r="K2945" s="3" t="n">
        <v>20.26698</v>
      </c>
      <c r="L2945" s="3" t="n">
        <v>21.10806</v>
      </c>
      <c r="M2945" s="3" t="n">
        <v>16.043362</v>
      </c>
      <c r="N2945" s="3" t="n">
        <v>14.425713</v>
      </c>
      <c r="O2945" s="3" t="n">
        <v>11.660612</v>
      </c>
      <c r="P2945" s="3" t="n">
        <v>14.38692</v>
      </c>
      <c r="Q2945" s="3" t="n">
        <v>14.610131</v>
      </c>
      <c r="R2945" s="3" t="n">
        <v>15.385723</v>
      </c>
      <c r="S2945" s="3" t="n">
        <v>14.662806</v>
      </c>
      <c r="T2945" s="3" t="n">
        <v>16.875584</v>
      </c>
      <c r="U2945" s="3" t="n">
        <v>17.011123</v>
      </c>
      <c r="V2945" s="3" t="n">
        <v>17.313161</v>
      </c>
      <c r="W2945" s="3" t="n">
        <v>14.117668</v>
      </c>
      <c r="X2945" s="3" t="n">
        <v>17.767864</v>
      </c>
      <c r="Y2945" s="3" t="n">
        <v>13.735262</v>
      </c>
      <c r="Z2945" s="3" t="n">
        <v>13.639667</v>
      </c>
      <c r="AA2945" s="3" t="n">
        <v>13.546313</v>
      </c>
      <c r="AB2945" s="3" t="n">
        <v>13.375758</v>
      </c>
      <c r="AC2945" s="3" t="n">
        <v>12.987533</v>
      </c>
      <c r="AD2945" s="3" t="n">
        <v>13.707152</v>
      </c>
      <c r="AE2945" s="3" t="n">
        <v>14.522686</v>
      </c>
      <c r="AF2945" s="3" t="n">
        <v>14.146275</v>
      </c>
      <c r="AG2945" s="3" t="n">
        <v>13.483335</v>
      </c>
      <c r="AH2945" s="3" t="n">
        <v>13.496012</v>
      </c>
      <c r="AI2945" s="3" t="n">
        <v>13.453941</v>
      </c>
      <c r="AJ2945" s="3" t="n">
        <v>13.408826</v>
      </c>
      <c r="AK2945" s="3" t="n">
        <v>13.368381</v>
      </c>
      <c r="AL2945" s="3" t="n">
        <v>13.331937</v>
      </c>
      <c r="AM2945" s="3" t="n"/>
      <c r="AN2945" s="3" t="n"/>
      <c r="AO2945" s="3" t="n"/>
      <c r="AP2945" s="3" t="n"/>
      <c r="AQ2945" s="3" t="n"/>
      <c r="AR2945" s="3" t="n"/>
      <c r="AS2945" s="3" t="n"/>
      <c r="AT2945" s="3" t="n"/>
      <c r="AU2945" s="3" t="n"/>
    </row>
    <row r="2946">
      <c r="A2946" s="3" t="n">
        <v>2031</v>
      </c>
      <c r="B2946" s="3" t="inlineStr">
        <is>
          <t>TKM</t>
        </is>
      </c>
      <c r="C2946" s="3" t="inlineStr">
        <is>
          <t>IMF.RES:WEO</t>
        </is>
      </c>
      <c r="D2946" s="3" t="inlineStr">
        <is>
          <t>TKM.LP.A</t>
        </is>
      </c>
      <c r="E2946" s="3" t="inlineStr">
        <is>
          <t>Turkmenistan</t>
        </is>
      </c>
      <c r="F2946" s="3" t="inlineStr">
        <is>
          <t>Population, Persons for countries / Index for country groups</t>
        </is>
      </c>
      <c r="G2946" s="3" t="n">
        <v>4.68404</v>
      </c>
      <c r="H2946" s="3" t="n">
        <v>4.736426</v>
      </c>
      <c r="I2946" s="3" t="n">
        <v>4.786799</v>
      </c>
      <c r="J2946" s="3" t="n">
        <v>4.836606</v>
      </c>
      <c r="K2946" s="3" t="n">
        <v>4.887427</v>
      </c>
      <c r="L2946" s="3" t="n">
        <v>4.940457</v>
      </c>
      <c r="M2946" s="3" t="n">
        <v>4.996394</v>
      </c>
      <c r="N2946" s="3" t="n">
        <v>5.055333</v>
      </c>
      <c r="O2946" s="3" t="n">
        <v>5.117046</v>
      </c>
      <c r="P2946" s="3" t="n">
        <v>5.180957</v>
      </c>
      <c r="Q2946" s="3" t="n">
        <v>5.26797</v>
      </c>
      <c r="R2946" s="3" t="n">
        <v>5.360811</v>
      </c>
      <c r="S2946" s="3" t="n">
        <v>5.458682</v>
      </c>
      <c r="T2946" s="3" t="n">
        <v>5.560095</v>
      </c>
      <c r="U2946" s="3" t="n">
        <v>5.663152</v>
      </c>
      <c r="V2946" s="3" t="n">
        <v>5.766431</v>
      </c>
      <c r="W2946" s="3" t="n">
        <v>5.868561</v>
      </c>
      <c r="X2946" s="3" t="n">
        <v>5.968383</v>
      </c>
      <c r="Y2946" s="3" t="n">
        <v>6.065066</v>
      </c>
      <c r="Z2946" s="3" t="n">
        <v>6.15842</v>
      </c>
      <c r="AA2946" s="3" t="n">
        <v>6.250438</v>
      </c>
      <c r="AB2946" s="3" t="n">
        <v>6.341855</v>
      </c>
      <c r="AC2946" s="3" t="n">
        <v>6.43077</v>
      </c>
      <c r="AD2946" s="3" t="n">
        <v>6.5161</v>
      </c>
      <c r="AE2946" s="3" t="n">
        <v>6.598071</v>
      </c>
      <c r="AF2946" s="3" t="n">
        <v>6.68</v>
      </c>
      <c r="AG2946" s="3" t="n">
        <v>6.752978</v>
      </c>
      <c r="AH2946" s="3" t="n">
        <v>6.82638</v>
      </c>
      <c r="AI2946" s="3" t="n">
        <v>6.897471</v>
      </c>
      <c r="AJ2946" s="3" t="n">
        <v>6.966778</v>
      </c>
      <c r="AK2946" s="3" t="n">
        <v>7.034758</v>
      </c>
      <c r="AL2946" s="3" t="n">
        <v>7.101497</v>
      </c>
      <c r="AM2946" s="3" t="n"/>
      <c r="AN2946" s="3" t="n"/>
      <c r="AO2946" s="3" t="n"/>
      <c r="AP2946" s="3" t="n"/>
      <c r="AQ2946" s="3" t="n"/>
      <c r="AR2946" s="3" t="n"/>
      <c r="AS2946" s="3" t="n"/>
      <c r="AT2946" s="3" t="n"/>
      <c r="AU2946" s="3" t="n"/>
    </row>
    <row r="2947">
      <c r="A2947" s="3" t="n">
        <v>2031</v>
      </c>
      <c r="B2947" s="3" t="inlineStr">
        <is>
          <t>TKM</t>
        </is>
      </c>
      <c r="C2947" s="3" t="inlineStr">
        <is>
          <t>IMF.RES:WEO</t>
        </is>
      </c>
      <c r="D2947" s="3" t="inlineStr">
        <is>
          <t>TKM.NGDP.A</t>
        </is>
      </c>
      <c r="E2947" s="3" t="inlineStr">
        <is>
          <t>Turkmenistan</t>
        </is>
      </c>
      <c r="F2947" s="3" t="inlineStr">
        <is>
          <t>Gross domestic product (GDP), Current prices, Domestic currency</t>
        </is>
      </c>
      <c r="G2947" s="3" t="n">
        <v>4.866888</v>
      </c>
      <c r="H2947" s="3" t="n">
        <v>6.719157</v>
      </c>
      <c r="I2947" s="3" t="n">
        <v>8.431094</v>
      </c>
      <c r="J2947" s="3" t="n">
        <v>11.071123</v>
      </c>
      <c r="K2947" s="3" t="n">
        <v>13.757369</v>
      </c>
      <c r="L2947" s="3" t="n">
        <v>16.642932</v>
      </c>
      <c r="M2947" s="3" t="n">
        <v>20.731938</v>
      </c>
      <c r="N2947" s="3" t="n">
        <v>25.159288</v>
      </c>
      <c r="O2947" s="3" t="n">
        <v>46.097065</v>
      </c>
      <c r="P2947" s="3" t="n">
        <v>53.683</v>
      </c>
      <c r="Q2947" s="3" t="n">
        <v>60.764</v>
      </c>
      <c r="R2947" s="3" t="n">
        <v>79.163</v>
      </c>
      <c r="S2947" s="3" t="n">
        <v>100.2182</v>
      </c>
      <c r="T2947" s="3" t="n">
        <v>111.713</v>
      </c>
      <c r="U2947" s="3" t="n">
        <v>124.044</v>
      </c>
      <c r="V2947" s="3" t="n">
        <v>125.2987</v>
      </c>
      <c r="W2947" s="3" t="n">
        <v>126.63</v>
      </c>
      <c r="X2947" s="3" t="n">
        <v>132.7419</v>
      </c>
      <c r="Y2947" s="3" t="n">
        <v>142.6671</v>
      </c>
      <c r="Z2947" s="3" t="n">
        <v>157.41</v>
      </c>
      <c r="AA2947" s="3" t="n">
        <v>159.092</v>
      </c>
      <c r="AB2947" s="3" t="n">
        <v>173.17</v>
      </c>
      <c r="AC2947" s="3" t="n">
        <v>198.371</v>
      </c>
      <c r="AD2947" s="3" t="n">
        <v>219.848</v>
      </c>
      <c r="AE2947" s="3" t="n">
        <v>240.362569</v>
      </c>
      <c r="AF2947" s="3" t="n">
        <v>270.89323</v>
      </c>
      <c r="AG2947" s="3" t="n">
        <v>290.726702</v>
      </c>
      <c r="AH2947" s="3" t="n">
        <v>307.680782</v>
      </c>
      <c r="AI2947" s="3" t="n">
        <v>328.522949</v>
      </c>
      <c r="AJ2947" s="3" t="n">
        <v>351.173142</v>
      </c>
      <c r="AK2947" s="3" t="n">
        <v>375.487002</v>
      </c>
      <c r="AL2947" s="3" t="n">
        <v>401.560986</v>
      </c>
      <c r="AM2947" s="3" t="n"/>
      <c r="AN2947" s="3" t="n"/>
      <c r="AO2947" s="3" t="n"/>
      <c r="AP2947" s="3" t="n"/>
      <c r="AQ2947" s="3" t="n"/>
      <c r="AR2947" s="3" t="n"/>
      <c r="AS2947" s="3" t="n"/>
      <c r="AT2947" s="3" t="n"/>
      <c r="AU2947" s="3" t="n"/>
    </row>
    <row r="2948">
      <c r="A2948" s="3" t="n">
        <v>2031</v>
      </c>
      <c r="B2948" s="3" t="inlineStr">
        <is>
          <t>TKM</t>
        </is>
      </c>
      <c r="C2948" s="3" t="inlineStr">
        <is>
          <t>IMF.RES:WEO</t>
        </is>
      </c>
      <c r="D2948" s="3" t="inlineStr">
        <is>
          <t>TKM.NGDP_D.A</t>
        </is>
      </c>
      <c r="E2948" s="3" t="inlineStr">
        <is>
          <t>Turkmenistan</t>
        </is>
      </c>
      <c r="F2948" s="3" t="inlineStr">
        <is>
          <t>Gross domestic product (GDP), Price deflator, Index</t>
        </is>
      </c>
      <c r="G2948" s="3" t="n">
        <v>18.982766</v>
      </c>
      <c r="H2948" s="3" t="n">
        <v>21.768596</v>
      </c>
      <c r="I2948" s="3" t="n">
        <v>23.594511</v>
      </c>
      <c r="J2948" s="3" t="n">
        <v>26.459311</v>
      </c>
      <c r="K2948" s="3" t="n">
        <v>28.667425</v>
      </c>
      <c r="L2948" s="3" t="n">
        <v>30.679591</v>
      </c>
      <c r="M2948" s="3" t="n">
        <v>34.440181</v>
      </c>
      <c r="N2948" s="3" t="n">
        <v>37.633727</v>
      </c>
      <c r="O2948" s="3" t="n">
        <v>60.091036</v>
      </c>
      <c r="P2948" s="3" t="n">
        <v>65.936018</v>
      </c>
      <c r="Q2948" s="3" t="n">
        <v>63.70806</v>
      </c>
      <c r="R2948" s="3" t="n">
        <v>68.305291</v>
      </c>
      <c r="S2948" s="3" t="n">
        <v>73.987088</v>
      </c>
      <c r="T2948" s="3" t="n">
        <v>74.864991</v>
      </c>
      <c r="U2948" s="3" t="n">
        <v>78.99751500000001</v>
      </c>
      <c r="V2948" s="3" t="n">
        <v>79.13355300000001</v>
      </c>
      <c r="W2948" s="3" t="n">
        <v>77.10633900000001</v>
      </c>
      <c r="X2948" s="3" t="n">
        <v>77.504594</v>
      </c>
      <c r="Y2948" s="3" t="n">
        <v>79.498977</v>
      </c>
      <c r="Z2948" s="3" t="n">
        <v>83.454018</v>
      </c>
      <c r="AA2948" s="3" t="n">
        <v>85.682771</v>
      </c>
      <c r="AB2948" s="3" t="n">
        <v>84.86992100000001</v>
      </c>
      <c r="AC2948" s="3" t="n">
        <v>94.072299</v>
      </c>
      <c r="AD2948" s="3" t="n">
        <v>100</v>
      </c>
      <c r="AE2948" s="3" t="n">
        <v>105.718639</v>
      </c>
      <c r="AF2948" s="3" t="n">
        <v>115.033217</v>
      </c>
      <c r="AG2948" s="3" t="n">
        <v>120.327172</v>
      </c>
      <c r="AH2948" s="3" t="n">
        <v>124.848964</v>
      </c>
      <c r="AI2948" s="3" t="n">
        <v>130.304559</v>
      </c>
      <c r="AJ2948" s="3" t="n">
        <v>136.15922</v>
      </c>
      <c r="AK2948" s="3" t="n">
        <v>142.317388</v>
      </c>
      <c r="AL2948" s="3" t="n">
        <v>148.771199</v>
      </c>
      <c r="AM2948" s="3" t="n"/>
      <c r="AN2948" s="3" t="n"/>
      <c r="AO2948" s="3" t="n"/>
      <c r="AP2948" s="3" t="n"/>
      <c r="AQ2948" s="3" t="n"/>
      <c r="AR2948" s="3" t="n"/>
      <c r="AS2948" s="3" t="n"/>
      <c r="AT2948" s="3" t="n"/>
      <c r="AU2948" s="3" t="n"/>
    </row>
    <row r="2949">
      <c r="A2949" s="3" t="n">
        <v>2031</v>
      </c>
      <c r="B2949" s="3" t="inlineStr">
        <is>
          <t>TKM</t>
        </is>
      </c>
      <c r="C2949" s="3" t="inlineStr">
        <is>
          <t>IMF.RES:WEO</t>
        </is>
      </c>
      <c r="D2949" s="3" t="inlineStr">
        <is>
          <t>TKM.NGDP_R.A</t>
        </is>
      </c>
      <c r="E2949" s="3" t="inlineStr">
        <is>
          <t>Turkmenistan</t>
        </is>
      </c>
      <c r="F2949" s="3" t="inlineStr">
        <is>
          <t>Gross domestic product (GDP), Constant prices, Domestic currency</t>
        </is>
      </c>
      <c r="G2949" s="3" t="n">
        <v>25.638457</v>
      </c>
      <c r="H2949" s="3" t="n">
        <v>30.866287</v>
      </c>
      <c r="I2949" s="3" t="n">
        <v>35.733288</v>
      </c>
      <c r="J2949" s="3" t="n">
        <v>41.842069</v>
      </c>
      <c r="K2949" s="3" t="n">
        <v>47.989555</v>
      </c>
      <c r="L2949" s="3" t="n">
        <v>54.247567</v>
      </c>
      <c r="M2949" s="3" t="n">
        <v>60.19695</v>
      </c>
      <c r="N2949" s="3" t="n">
        <v>66.853032</v>
      </c>
      <c r="O2949" s="3" t="n">
        <v>76.712048</v>
      </c>
      <c r="P2949" s="3" t="n">
        <v>81.41680599999999</v>
      </c>
      <c r="Q2949" s="3" t="n">
        <v>95.378826</v>
      </c>
      <c r="R2949" s="3" t="n">
        <v>115.895853</v>
      </c>
      <c r="S2949" s="3" t="n">
        <v>135.453635</v>
      </c>
      <c r="T2949" s="3" t="n">
        <v>149.21928</v>
      </c>
      <c r="U2949" s="3" t="n">
        <v>157.02266</v>
      </c>
      <c r="V2949" s="3" t="n">
        <v>158.338271</v>
      </c>
      <c r="W2949" s="3" t="n">
        <v>164.227743</v>
      </c>
      <c r="X2949" s="3" t="n">
        <v>171.269718</v>
      </c>
      <c r="Y2949" s="3" t="n">
        <v>179.457781</v>
      </c>
      <c r="Z2949" s="3" t="n">
        <v>188.618838</v>
      </c>
      <c r="AA2949" s="3" t="n">
        <v>185.675601</v>
      </c>
      <c r="AB2949" s="3" t="n">
        <v>204.041666</v>
      </c>
      <c r="AC2949" s="3" t="n">
        <v>210.87079</v>
      </c>
      <c r="AD2949" s="3" t="n">
        <v>219.848</v>
      </c>
      <c r="AE2949" s="3" t="n">
        <v>227.360635</v>
      </c>
      <c r="AF2949" s="3" t="n">
        <v>235.49131</v>
      </c>
      <c r="AG2949" s="3" t="n">
        <v>241.613509</v>
      </c>
      <c r="AH2949" s="3" t="n">
        <v>246.442398</v>
      </c>
      <c r="AI2949" s="3" t="n">
        <v>252.119305</v>
      </c>
      <c r="AJ2949" s="3" t="n">
        <v>257.913597</v>
      </c>
      <c r="AK2949" s="3" t="n">
        <v>263.837756</v>
      </c>
      <c r="AL2949" s="3" t="n">
        <v>269.918498</v>
      </c>
      <c r="AM2949" s="3" t="n"/>
      <c r="AN2949" s="3" t="n"/>
      <c r="AO2949" s="3" t="n"/>
      <c r="AP2949" s="3" t="n"/>
      <c r="AQ2949" s="3" t="n"/>
      <c r="AR2949" s="3" t="n"/>
      <c r="AS2949" s="3" t="n"/>
      <c r="AT2949" s="3" t="n"/>
      <c r="AU2949" s="3" t="n"/>
    </row>
    <row r="2950">
      <c r="A2950" s="3" t="n">
        <v>2031</v>
      </c>
      <c r="B2950" s="3" t="inlineStr">
        <is>
          <t>TKM</t>
        </is>
      </c>
      <c r="C2950" s="3" t="inlineStr">
        <is>
          <t>IMF.RES:WEO</t>
        </is>
      </c>
      <c r="D2950" s="3" t="inlineStr">
        <is>
          <t>TKM.NGDP_RPCH.A</t>
        </is>
      </c>
      <c r="E2950" s="3" t="inlineStr">
        <is>
          <t>Turkmenistan</t>
        </is>
      </c>
      <c r="F2950" s="3" t="inlineStr">
        <is>
          <t>Gross domestic product (GDP), Constant prices, Percent change</t>
        </is>
      </c>
      <c r="G2950" s="3" t="n">
        <v>18.587027</v>
      </c>
      <c r="H2950" s="3" t="n">
        <v>20.39058</v>
      </c>
      <c r="I2950" s="3" t="n">
        <v>15.768015</v>
      </c>
      <c r="J2950" s="3" t="n">
        <v>17.095491</v>
      </c>
      <c r="K2950" s="3" t="n">
        <v>14.692119</v>
      </c>
      <c r="L2950" s="3" t="n">
        <v>13.040363</v>
      </c>
      <c r="M2950" s="3" t="n">
        <v>10.967095</v>
      </c>
      <c r="N2950" s="3" t="n">
        <v>11.057176</v>
      </c>
      <c r="O2950" s="3" t="n">
        <v>14.747298</v>
      </c>
      <c r="P2950" s="3" t="n">
        <v>6.13301</v>
      </c>
      <c r="Q2950" s="3" t="n">
        <v>17.148818</v>
      </c>
      <c r="R2950" s="3" t="n">
        <v>21.511092</v>
      </c>
      <c r="S2950" s="3" t="n">
        <v>16.875308</v>
      </c>
      <c r="T2950" s="3" t="n">
        <v>10.162625</v>
      </c>
      <c r="U2950" s="3" t="n">
        <v>5.229472</v>
      </c>
      <c r="V2950" s="3" t="n">
        <v>0.837848</v>
      </c>
      <c r="W2950" s="3" t="n">
        <v>3.71955</v>
      </c>
      <c r="X2950" s="3" t="n">
        <v>4.287933</v>
      </c>
      <c r="Y2950" s="3" t="n">
        <v>4.780801</v>
      </c>
      <c r="Z2950" s="3" t="n">
        <v>5.104853</v>
      </c>
      <c r="AA2950" s="3" t="n">
        <v>-1.560415</v>
      </c>
      <c r="AB2950" s="3" t="n">
        <v>9.89148</v>
      </c>
      <c r="AC2950" s="3" t="n">
        <v>3.346926</v>
      </c>
      <c r="AD2950" s="3" t="n">
        <v>4.257209</v>
      </c>
      <c r="AE2950" s="3" t="n">
        <v>3.417195</v>
      </c>
      <c r="AF2950" s="3" t="n">
        <v>3.576114</v>
      </c>
      <c r="AG2950" s="3" t="n">
        <v>2.599756</v>
      </c>
      <c r="AH2950" s="3" t="n">
        <v>1.998601</v>
      </c>
      <c r="AI2950" s="3" t="n">
        <v>2.303543</v>
      </c>
      <c r="AJ2950" s="3" t="n">
        <v>2.298234</v>
      </c>
      <c r="AK2950" s="3" t="n">
        <v>2.296955</v>
      </c>
      <c r="AL2950" s="3" t="n">
        <v>2.304728</v>
      </c>
      <c r="AM2950" s="3" t="n"/>
      <c r="AN2950" s="3" t="n"/>
      <c r="AO2950" s="3" t="n"/>
      <c r="AP2950" s="3" t="n"/>
      <c r="AQ2950" s="3" t="n"/>
      <c r="AR2950" s="3" t="n"/>
      <c r="AS2950" s="3" t="n"/>
      <c r="AT2950" s="3" t="n"/>
      <c r="AU2950" s="3" t="n"/>
    </row>
    <row r="2951">
      <c r="A2951" s="3" t="n">
        <v>2031</v>
      </c>
      <c r="B2951" s="3" t="inlineStr">
        <is>
          <t>TKM</t>
        </is>
      </c>
      <c r="C2951" s="3" t="inlineStr">
        <is>
          <t>IMF.RES:WEO</t>
        </is>
      </c>
      <c r="D2951" s="3" t="inlineStr">
        <is>
          <t>TKM.NGDPD.A</t>
        </is>
      </c>
      <c r="E2951" s="3" t="inlineStr">
        <is>
          <t>Turkmenistan</t>
        </is>
      </c>
      <c r="F2951" s="3" t="inlineStr">
        <is>
          <t>Gross domestic product (GDP), Current prices, US dollar</t>
        </is>
      </c>
      <c r="G2951" s="3" t="n">
        <v>4.6797</v>
      </c>
      <c r="H2951" s="3" t="n">
        <v>6.460728</v>
      </c>
      <c r="I2951" s="3" t="n">
        <v>8.106821999999999</v>
      </c>
      <c r="J2951" s="3" t="n">
        <v>10.64531</v>
      </c>
      <c r="K2951" s="3" t="n">
        <v>13.22824</v>
      </c>
      <c r="L2951" s="3" t="n">
        <v>16.002819</v>
      </c>
      <c r="M2951" s="3" t="n">
        <v>19.934556</v>
      </c>
      <c r="N2951" s="3" t="n">
        <v>24.191623</v>
      </c>
      <c r="O2951" s="3" t="n">
        <v>20.049466</v>
      </c>
      <c r="P2951" s="3" t="n">
        <v>18.83614</v>
      </c>
      <c r="Q2951" s="3" t="n">
        <v>21.320702</v>
      </c>
      <c r="R2951" s="3" t="n">
        <v>27.776491</v>
      </c>
      <c r="S2951" s="3" t="n">
        <v>35.164281</v>
      </c>
      <c r="T2951" s="3" t="n">
        <v>39.197544</v>
      </c>
      <c r="U2951" s="3" t="n">
        <v>43.524211</v>
      </c>
      <c r="V2951" s="3" t="n">
        <v>35.799629</v>
      </c>
      <c r="W2951" s="3" t="n">
        <v>36.18</v>
      </c>
      <c r="X2951" s="3" t="n">
        <v>37.926257</v>
      </c>
      <c r="Y2951" s="3" t="n">
        <v>40.762029</v>
      </c>
      <c r="Z2951" s="3" t="n">
        <v>44.974286</v>
      </c>
      <c r="AA2951" s="3" t="n">
        <v>45.454857</v>
      </c>
      <c r="AB2951" s="3" t="n">
        <v>49.477143</v>
      </c>
      <c r="AC2951" s="3" t="n">
        <v>56.677429</v>
      </c>
      <c r="AD2951" s="3" t="n">
        <v>62.813714</v>
      </c>
      <c r="AE2951" s="3" t="n">
        <v>68.67502</v>
      </c>
      <c r="AF2951" s="3" t="n">
        <v>77.398066</v>
      </c>
      <c r="AG2951" s="3" t="n">
        <v>83.064772</v>
      </c>
      <c r="AH2951" s="3" t="n">
        <v>87.908795</v>
      </c>
      <c r="AI2951" s="3" t="n">
        <v>93.86369999999999</v>
      </c>
      <c r="AJ2951" s="3" t="n">
        <v>100.335183</v>
      </c>
      <c r="AK2951" s="3" t="n">
        <v>107.282001</v>
      </c>
      <c r="AL2951" s="3" t="n">
        <v>114.73171</v>
      </c>
      <c r="AM2951" s="3" t="n"/>
      <c r="AN2951" s="3" t="n"/>
      <c r="AO2951" s="3" t="n"/>
      <c r="AP2951" s="3" t="n"/>
      <c r="AQ2951" s="3" t="n"/>
      <c r="AR2951" s="3" t="n"/>
      <c r="AS2951" s="3" t="n"/>
      <c r="AT2951" s="3" t="n"/>
      <c r="AU2951" s="3" t="n"/>
    </row>
    <row r="2952">
      <c r="A2952" s="3" t="n">
        <v>2031</v>
      </c>
      <c r="B2952" s="3" t="inlineStr">
        <is>
          <t>TKM</t>
        </is>
      </c>
      <c r="C2952" s="3" t="inlineStr">
        <is>
          <t>IMF.RES:WEO</t>
        </is>
      </c>
      <c r="D2952" s="3" t="inlineStr">
        <is>
          <t>TKM.NGDPPC.A</t>
        </is>
      </c>
      <c r="E2952" s="3" t="inlineStr">
        <is>
          <t>Turkmenistan</t>
        </is>
      </c>
      <c r="F2952" s="3" t="inlineStr">
        <is>
          <t>Gross domestic product (GDP), Current prices, Per capita, Domestic currency</t>
        </is>
      </c>
      <c r="G2952" s="3" t="n">
        <v>1039.036428</v>
      </c>
      <c r="H2952" s="3" t="n">
        <v>1418.613512</v>
      </c>
      <c r="I2952" s="3" t="n">
        <v>1761.32218</v>
      </c>
      <c r="J2952" s="3" t="n">
        <v>2289.027014</v>
      </c>
      <c r="K2952" s="3" t="n">
        <v>2814.849177</v>
      </c>
      <c r="L2952" s="3" t="n">
        <v>3368.702666</v>
      </c>
      <c r="M2952" s="3" t="n">
        <v>4149.37997</v>
      </c>
      <c r="N2952" s="3" t="n">
        <v>4976.781355</v>
      </c>
      <c r="O2952" s="3" t="n">
        <v>9008.530063</v>
      </c>
      <c r="P2952" s="3" t="n">
        <v>10361.599218</v>
      </c>
      <c r="Q2952" s="3" t="n">
        <v>11534.613903</v>
      </c>
      <c r="R2952" s="3" t="n">
        <v>14766.982085</v>
      </c>
      <c r="S2952" s="3" t="n">
        <v>18359.413499</v>
      </c>
      <c r="T2952" s="3" t="n">
        <v>20091.92289</v>
      </c>
      <c r="U2952" s="3" t="n">
        <v>21903.703097</v>
      </c>
      <c r="V2952" s="3" t="n">
        <v>21728.986266</v>
      </c>
      <c r="W2952" s="3" t="n">
        <v>21577.691703</v>
      </c>
      <c r="X2952" s="3" t="n">
        <v>22240.848149</v>
      </c>
      <c r="Y2952" s="3" t="n">
        <v>23522.761335</v>
      </c>
      <c r="Z2952" s="3" t="n">
        <v>25560.127435</v>
      </c>
      <c r="AA2952" s="3" t="n">
        <v>25452.936258</v>
      </c>
      <c r="AB2952" s="3" t="n">
        <v>27305.890784</v>
      </c>
      <c r="AC2952" s="3" t="n">
        <v>30847.161382</v>
      </c>
      <c r="AD2952" s="3" t="n">
        <v>33739.199828</v>
      </c>
      <c r="AE2952" s="3" t="n">
        <v>36429.218328</v>
      </c>
      <c r="AF2952" s="3" t="n">
        <v>40552.878743</v>
      </c>
      <c r="AG2952" s="3" t="n">
        <v>43051.628712</v>
      </c>
      <c r="AH2952" s="3" t="n">
        <v>45072.319701</v>
      </c>
      <c r="AI2952" s="3" t="n">
        <v>47629.478779</v>
      </c>
      <c r="AJ2952" s="3" t="n">
        <v>50406.8225</v>
      </c>
      <c r="AK2952" s="3" t="n">
        <v>53375.965787</v>
      </c>
      <c r="AL2952" s="3" t="n">
        <v>56545.966897</v>
      </c>
      <c r="AM2952" s="3" t="n"/>
      <c r="AN2952" s="3" t="n"/>
      <c r="AO2952" s="3" t="n"/>
      <c r="AP2952" s="3" t="n"/>
      <c r="AQ2952" s="3" t="n"/>
      <c r="AR2952" s="3" t="n"/>
      <c r="AS2952" s="3" t="n"/>
      <c r="AT2952" s="3" t="n"/>
      <c r="AU2952" s="3" t="n"/>
    </row>
    <row r="2953">
      <c r="A2953" s="3" t="n">
        <v>2031</v>
      </c>
      <c r="B2953" s="3" t="inlineStr">
        <is>
          <t>TKM</t>
        </is>
      </c>
      <c r="C2953" s="3" t="inlineStr">
        <is>
          <t>IMF.RES:WEO</t>
        </is>
      </c>
      <c r="D2953" s="3" t="inlineStr">
        <is>
          <t>TKM.NGDPRPC.A</t>
        </is>
      </c>
      <c r="E2953" s="3" t="inlineStr">
        <is>
          <t>Turkmenistan</t>
        </is>
      </c>
      <c r="F2953" s="3" t="inlineStr">
        <is>
          <t>Gross domestic product (GDP), Constant prices, Per capita, Domestic currency</t>
        </is>
      </c>
      <c r="G2953" s="3" t="n">
        <v>5473.57746</v>
      </c>
      <c r="H2953" s="3" t="n">
        <v>6516.789148</v>
      </c>
      <c r="I2953" s="3" t="n">
        <v>7464.965845</v>
      </c>
      <c r="J2953" s="3" t="n">
        <v>8651.121176000001</v>
      </c>
      <c r="K2953" s="3" t="n">
        <v>9818.981738</v>
      </c>
      <c r="L2953" s="3" t="n">
        <v>10980.272237</v>
      </c>
      <c r="M2953" s="3" t="n">
        <v>12048.078366</v>
      </c>
      <c r="N2953" s="3" t="n">
        <v>13224.258411</v>
      </c>
      <c r="O2953" s="3" t="n">
        <v>14991.470593</v>
      </c>
      <c r="P2953" s="3" t="n">
        <v>15714.626834</v>
      </c>
      <c r="Q2953" s="3" t="n">
        <v>18105.423116</v>
      </c>
      <c r="R2953" s="3" t="n">
        <v>21619.089513</v>
      </c>
      <c r="S2953" s="3" t="n">
        <v>24814.348024</v>
      </c>
      <c r="T2953" s="3" t="n">
        <v>26837.541457</v>
      </c>
      <c r="U2953" s="3" t="n">
        <v>27727.078571</v>
      </c>
      <c r="V2953" s="3" t="n">
        <v>27458.625875</v>
      </c>
      <c r="W2953" s="3" t="n">
        <v>27984.329179</v>
      </c>
      <c r="X2953" s="3" t="n">
        <v>28696.167425</v>
      </c>
      <c r="Y2953" s="3" t="n">
        <v>29588.759854</v>
      </c>
      <c r="Z2953" s="3" t="n">
        <v>30627.797081</v>
      </c>
      <c r="AA2953" s="3" t="n">
        <v>29706.014408</v>
      </c>
      <c r="AB2953" s="3" t="n">
        <v>32173.814441</v>
      </c>
      <c r="AC2953" s="3" t="n">
        <v>32790.90839</v>
      </c>
      <c r="AD2953" s="3" t="n">
        <v>33739.199828</v>
      </c>
      <c r="AE2953" s="3" t="n">
        <v>34458.652398</v>
      </c>
      <c r="AF2953" s="3" t="n">
        <v>35253.19015</v>
      </c>
      <c r="AG2953" s="3" t="n">
        <v>35778.80883</v>
      </c>
      <c r="AH2953" s="3" t="n">
        <v>36101.476649</v>
      </c>
      <c r="AI2953" s="3" t="n">
        <v>36552.426978</v>
      </c>
      <c r="AJ2953" s="3" t="n">
        <v>37020.498849</v>
      </c>
      <c r="AK2953" s="3" t="n">
        <v>37504.880176</v>
      </c>
      <c r="AL2953" s="3" t="n">
        <v>38008.67856</v>
      </c>
      <c r="AM2953" s="3" t="n"/>
      <c r="AN2953" s="3" t="n"/>
      <c r="AO2953" s="3" t="n"/>
      <c r="AP2953" s="3" t="n"/>
      <c r="AQ2953" s="3" t="n"/>
      <c r="AR2953" s="3" t="n"/>
      <c r="AS2953" s="3" t="n"/>
      <c r="AT2953" s="3" t="n"/>
      <c r="AU2953" s="3" t="n"/>
    </row>
    <row r="2954">
      <c r="A2954" s="3" t="n">
        <v>2031</v>
      </c>
      <c r="B2954" s="3" t="inlineStr">
        <is>
          <t>TKM</t>
        </is>
      </c>
      <c r="C2954" s="3" t="inlineStr">
        <is>
          <t>IMF.RES:WEO</t>
        </is>
      </c>
      <c r="D2954" s="3" t="inlineStr">
        <is>
          <t>TKM.PCPI.A</t>
        </is>
      </c>
      <c r="E2954" s="3" t="inlineStr">
        <is>
          <t>Turkmenistan</t>
        </is>
      </c>
      <c r="F2954" s="3" t="inlineStr">
        <is>
          <t>All Items, Consumer price index (CPI), Period average</t>
        </is>
      </c>
      <c r="G2954" s="3" t="n">
        <v>119.425341</v>
      </c>
      <c r="H2954" s="3" t="n">
        <v>133.316722</v>
      </c>
      <c r="I2954" s="3" t="n">
        <v>144.986556</v>
      </c>
      <c r="J2954" s="3" t="n">
        <v>153.086999</v>
      </c>
      <c r="K2954" s="3" t="n">
        <v>162.096313</v>
      </c>
      <c r="L2954" s="3" t="n">
        <v>179.454166</v>
      </c>
      <c r="M2954" s="3" t="n">
        <v>194.092274</v>
      </c>
      <c r="N2954" s="3" t="n">
        <v>206.240782</v>
      </c>
      <c r="O2954" s="3" t="n">
        <v>236.225933</v>
      </c>
      <c r="P2954" s="3" t="n">
        <v>229.913836</v>
      </c>
      <c r="Q2954" s="3" t="n">
        <v>240.138214</v>
      </c>
      <c r="R2954" s="3" t="n">
        <v>252.810354</v>
      </c>
      <c r="S2954" s="3" t="n">
        <v>266.243758</v>
      </c>
      <c r="T2954" s="3" t="n">
        <v>284.385296</v>
      </c>
      <c r="U2954" s="3" t="n">
        <v>301.472775</v>
      </c>
      <c r="V2954" s="3" t="n">
        <v>323.795416</v>
      </c>
      <c r="W2954" s="3" t="n">
        <v>335.59941</v>
      </c>
      <c r="X2954" s="3" t="n">
        <v>362.584095</v>
      </c>
      <c r="Y2954" s="3" t="n">
        <v>410.80778</v>
      </c>
      <c r="Z2954" s="3" t="n">
        <v>431.724109</v>
      </c>
      <c r="AA2954" s="3" t="n">
        <v>458.060001</v>
      </c>
      <c r="AB2954" s="3" t="n">
        <v>547.285567</v>
      </c>
      <c r="AC2954" s="3" t="n">
        <v>608.642983</v>
      </c>
      <c r="AD2954" s="3" t="n">
        <v>598.980224</v>
      </c>
      <c r="AE2954" s="3" t="n">
        <v>626.414268</v>
      </c>
      <c r="AF2954" s="3" t="n">
        <v>643.133629</v>
      </c>
      <c r="AG2954" s="3" t="n">
        <v>667.92634</v>
      </c>
      <c r="AH2954" s="3" t="n">
        <v>699.652841</v>
      </c>
      <c r="AI2954" s="3" t="n">
        <v>734.635484</v>
      </c>
      <c r="AJ2954" s="3" t="n">
        <v>771.367258</v>
      </c>
      <c r="AK2954" s="3" t="n">
        <v>809.935621</v>
      </c>
      <c r="AL2954" s="3" t="n">
        <v>850.432402</v>
      </c>
      <c r="AM2954" s="3" t="n"/>
      <c r="AN2954" s="3" t="n"/>
      <c r="AO2954" s="3" t="n"/>
      <c r="AP2954" s="3" t="n"/>
      <c r="AQ2954" s="3" t="n"/>
      <c r="AR2954" s="3" t="n"/>
      <c r="AS2954" s="3" t="n"/>
      <c r="AT2954" s="3" t="n"/>
      <c r="AU2954" s="3" t="n"/>
    </row>
    <row r="2955">
      <c r="A2955" s="3" t="n">
        <v>2031</v>
      </c>
      <c r="B2955" s="3" t="inlineStr">
        <is>
          <t>TKM</t>
        </is>
      </c>
      <c r="C2955" s="3" t="inlineStr">
        <is>
          <t>IMF.RES:WEO</t>
        </is>
      </c>
      <c r="D2955" s="3" t="inlineStr">
        <is>
          <t>TKM.PCPIPCH.A</t>
        </is>
      </c>
      <c r="E2955" s="3" t="inlineStr">
        <is>
          <t>Turkmenistan</t>
        </is>
      </c>
      <c r="F2955" s="3" t="inlineStr">
        <is>
          <t>All Items, Consumer price index (CPI), Period average, percent change</t>
        </is>
      </c>
      <c r="G2955" s="3" t="n">
        <v>8.040141</v>
      </c>
      <c r="H2955" s="3" t="n">
        <v>11.631854</v>
      </c>
      <c r="I2955" s="3" t="n">
        <v>8.753466</v>
      </c>
      <c r="J2955" s="3" t="n">
        <v>5.58703</v>
      </c>
      <c r="K2955" s="3" t="n">
        <v>5.885095</v>
      </c>
      <c r="L2955" s="3" t="n">
        <v>10.708357</v>
      </c>
      <c r="M2955" s="3" t="n">
        <v>8.157018000000001</v>
      </c>
      <c r="N2955" s="3" t="n">
        <v>6.25914</v>
      </c>
      <c r="O2955" s="3" t="n">
        <v>14.538905</v>
      </c>
      <c r="P2955" s="3" t="n">
        <v>-2.67206</v>
      </c>
      <c r="Q2955" s="3" t="n">
        <v>4.447048</v>
      </c>
      <c r="R2955" s="3" t="n">
        <v>5.277019</v>
      </c>
      <c r="S2955" s="3" t="n">
        <v>5.313629</v>
      </c>
      <c r="T2955" s="3" t="n">
        <v>6.813883</v>
      </c>
      <c r="U2955" s="3" t="n">
        <v>6.008566</v>
      </c>
      <c r="V2955" s="3" t="n">
        <v>7.40453</v>
      </c>
      <c r="W2955" s="3" t="n">
        <v>3.64551</v>
      </c>
      <c r="X2955" s="3" t="n">
        <v>8.040743000000001</v>
      </c>
      <c r="Y2955" s="3" t="n">
        <v>13.3</v>
      </c>
      <c r="Z2955" s="3" t="n">
        <v>5.091512</v>
      </c>
      <c r="AA2955" s="3" t="n">
        <v>6.100167</v>
      </c>
      <c r="AB2955" s="3" t="n">
        <v>19.479013</v>
      </c>
      <c r="AC2955" s="3" t="n">
        <v>11.211225</v>
      </c>
      <c r="AD2955" s="3" t="n">
        <v>-1.587591</v>
      </c>
      <c r="AE2955" s="3" t="n">
        <v>4.580125</v>
      </c>
      <c r="AF2955" s="3" t="n">
        <v>2.669058</v>
      </c>
      <c r="AG2955" s="3" t="n">
        <v>3.854986</v>
      </c>
      <c r="AH2955" s="3" t="n">
        <v>4.75</v>
      </c>
      <c r="AI2955" s="3" t="n">
        <v>5</v>
      </c>
      <c r="AJ2955" s="3" t="n">
        <v>5</v>
      </c>
      <c r="AK2955" s="3" t="n">
        <v>5</v>
      </c>
      <c r="AL2955" s="3" t="n">
        <v>5</v>
      </c>
      <c r="AM2955" s="3" t="n"/>
      <c r="AN2955" s="3" t="n"/>
      <c r="AO2955" s="3" t="n"/>
      <c r="AP2955" s="3" t="n"/>
      <c r="AQ2955" s="3" t="n"/>
      <c r="AR2955" s="3" t="n"/>
      <c r="AS2955" s="3" t="n"/>
      <c r="AT2955" s="3" t="n"/>
      <c r="AU2955" s="3" t="n"/>
    </row>
    <row r="2956">
      <c r="A2956" s="3" t="n">
        <v>2031</v>
      </c>
      <c r="B2956" s="3" t="inlineStr">
        <is>
          <t>TKM</t>
        </is>
      </c>
      <c r="C2956" s="3" t="inlineStr">
        <is>
          <t>IMF.RES:WEO</t>
        </is>
      </c>
      <c r="D2956" s="3" t="inlineStr">
        <is>
          <t>TKM.PPPPC.A</t>
        </is>
      </c>
      <c r="E2956" s="3" t="inlineStr">
        <is>
          <t>Turkmenistan</t>
        </is>
      </c>
      <c r="F2956" s="3" t="inlineStr">
        <is>
          <t>Gross domestic product (GDP), Per capita, purchasing power parity (PPP) international dollar, ICP benchmarks 2017-2021</t>
        </is>
      </c>
      <c r="G2956" s="3" t="n">
        <v>2008.114803</v>
      </c>
      <c r="H2956" s="3" t="n">
        <v>2444.675035</v>
      </c>
      <c r="I2956" s="3" t="n">
        <v>2843.887943</v>
      </c>
      <c r="J2956" s="3" t="n">
        <v>3360.8368</v>
      </c>
      <c r="K2956" s="3" t="n">
        <v>3917.102204</v>
      </c>
      <c r="L2956" s="3" t="n">
        <v>4517.738492</v>
      </c>
      <c r="M2956" s="3" t="n">
        <v>5109.948582</v>
      </c>
      <c r="N2956" s="3" t="n">
        <v>5760.759124</v>
      </c>
      <c r="O2956" s="3" t="n">
        <v>6656.399201</v>
      </c>
      <c r="P2956" s="3" t="n">
        <v>7020.522661</v>
      </c>
      <c r="Q2956" s="3" t="n">
        <v>8186.919842</v>
      </c>
      <c r="R2956" s="3" t="n">
        <v>9977.428999</v>
      </c>
      <c r="S2956" s="3" t="n">
        <v>11665.303027</v>
      </c>
      <c r="T2956" s="3" t="n">
        <v>12831.144585</v>
      </c>
      <c r="U2956" s="3" t="n">
        <v>13487.32544</v>
      </c>
      <c r="V2956" s="3" t="n">
        <v>13480.699254</v>
      </c>
      <c r="W2956" s="3" t="n">
        <v>13869.340357</v>
      </c>
      <c r="X2956" s="3" t="n">
        <v>14476.837938</v>
      </c>
      <c r="Y2956" s="3" t="n">
        <v>15765.97332</v>
      </c>
      <c r="Z2956" s="3" t="n">
        <v>17002.342927</v>
      </c>
      <c r="AA2956" s="3" t="n">
        <v>16646.744012</v>
      </c>
      <c r="AB2956" s="3" t="n">
        <v>18183.275595</v>
      </c>
      <c r="AC2956" s="3" t="n">
        <v>19850.105697</v>
      </c>
      <c r="AD2956" s="3" t="n">
        <v>21179.858306</v>
      </c>
      <c r="AE2956" s="3" t="n">
        <v>22168.507857</v>
      </c>
      <c r="AF2956" s="3" t="n">
        <v>23323.032061</v>
      </c>
      <c r="AG2956" s="3" t="n">
        <v>24348.906615</v>
      </c>
      <c r="AH2956" s="3" t="n">
        <v>25107.995016</v>
      </c>
      <c r="AI2956" s="3" t="n">
        <v>25838.891822</v>
      </c>
      <c r="AJ2956" s="3" t="n">
        <v>26635.098532</v>
      </c>
      <c r="AK2956" s="3" t="n">
        <v>27479.426661</v>
      </c>
      <c r="AL2956" s="3" t="n">
        <v>28351.304828</v>
      </c>
      <c r="AM2956" s="3" t="n"/>
      <c r="AN2956" s="3" t="n"/>
      <c r="AO2956" s="3" t="n"/>
      <c r="AP2956" s="3" t="n"/>
      <c r="AQ2956" s="3" t="n"/>
      <c r="AR2956" s="3" t="n"/>
      <c r="AS2956" s="3" t="n"/>
      <c r="AT2956" s="3" t="n"/>
      <c r="AU2956" s="3" t="n"/>
    </row>
    <row r="2957">
      <c r="A2957" s="3" t="n">
        <v>2025</v>
      </c>
      <c r="B2957" s="3" t="inlineStr">
        <is>
          <t>TKM</t>
        </is>
      </c>
      <c r="C2957" s="3" t="inlineStr">
        <is>
          <t>IMF.STA:ER</t>
        </is>
      </c>
      <c r="D2957" s="3" t="inlineStr">
        <is>
          <t>TKM.XDC_USD.PA_RT.A</t>
        </is>
      </c>
      <c r="E2957" s="3" t="inlineStr">
        <is>
          <t>Turkmenistan</t>
        </is>
      </c>
      <c r="F2957" s="3" t="inlineStr">
        <is>
          <t>Domestic currency per US Dollar</t>
        </is>
      </c>
      <c r="G2957" s="3" t="n">
        <v>5200</v>
      </c>
      <c r="H2957" s="3" t="n">
        <v>5200</v>
      </c>
      <c r="I2957" s="3" t="n">
        <v>5200</v>
      </c>
      <c r="J2957" s="3" t="n">
        <v>5200</v>
      </c>
      <c r="K2957" s="3" t="n">
        <v>5200</v>
      </c>
      <c r="L2957" s="3" t="n">
        <v>5200</v>
      </c>
      <c r="M2957" s="3" t="n">
        <v>5200</v>
      </c>
      <c r="N2957" s="3" t="n">
        <v>5200</v>
      </c>
      <c r="O2957" s="3" t="n">
        <v>5200</v>
      </c>
      <c r="P2957" s="3" t="n">
        <v>5200</v>
      </c>
      <c r="Q2957" s="3" t="n">
        <v>5200</v>
      </c>
      <c r="R2957" s="3" t="n">
        <v>5200</v>
      </c>
      <c r="S2957" s="3" t="n">
        <v>5200</v>
      </c>
      <c r="T2957" s="3" t="n">
        <v>5200</v>
      </c>
      <c r="U2957" s="3" t="n">
        <v>5200</v>
      </c>
      <c r="V2957" s="3" t="n">
        <v>5200</v>
      </c>
      <c r="W2957" s="3" t="n">
        <v>5200</v>
      </c>
      <c r="X2957" s="3" t="n">
        <v>5200</v>
      </c>
      <c r="Y2957" s="3" t="n">
        <v>5200</v>
      </c>
      <c r="Z2957" s="3" t="n">
        <v>5200</v>
      </c>
      <c r="AA2957" s="3" t="n">
        <v>5200</v>
      </c>
      <c r="AB2957" s="3" t="n">
        <v>5200</v>
      </c>
      <c r="AC2957" s="3" t="n">
        <v>5200</v>
      </c>
      <c r="AD2957" s="3" t="n">
        <v>5200</v>
      </c>
      <c r="AE2957" s="3" t="n">
        <v>5200</v>
      </c>
      <c r="AF2957" s="3" t="n">
        <v>5200</v>
      </c>
      <c r="AG2957" s="3" t="n"/>
      <c r="AH2957" s="3" t="n"/>
      <c r="AI2957" s="3" t="n"/>
      <c r="AJ2957" s="3" t="n"/>
      <c r="AK2957" s="3" t="n"/>
      <c r="AL2957" s="3" t="n"/>
      <c r="AM2957" s="3" t="n"/>
      <c r="AN2957" s="3" t="n"/>
      <c r="AO2957" s="3" t="n"/>
      <c r="AP2957" s="3" t="n"/>
      <c r="AQ2957" s="3" t="n"/>
      <c r="AR2957" s="3" t="n"/>
      <c r="AS2957" s="3" t="n"/>
      <c r="AT2957" s="3" t="n"/>
      <c r="AU2957" s="3" t="n"/>
    </row>
    <row r="2958">
      <c r="A2958" s="3" t="n">
        <v>2031</v>
      </c>
      <c r="B2958" s="3" t="inlineStr">
        <is>
          <t>TLS</t>
        </is>
      </c>
      <c r="C2958" s="3" t="inlineStr">
        <is>
          <t>IMF.RES:WEO</t>
        </is>
      </c>
      <c r="D2958" s="3" t="inlineStr">
        <is>
          <t>TLS.BCA.A</t>
        </is>
      </c>
      <c r="E2958" s="3" t="inlineStr">
        <is>
          <t>Timor-Leste, Democratic Republic of</t>
        </is>
      </c>
      <c r="F2958" s="3" t="inlineStr">
        <is>
          <t>Current account balance (credit less debit), US dollar</t>
        </is>
      </c>
      <c r="G2958" s="3" t="n">
        <v>-0.0152</v>
      </c>
      <c r="H2958" s="3" t="n">
        <v>-0.031678</v>
      </c>
      <c r="I2958" s="3" t="n">
        <v>-0.042254</v>
      </c>
      <c r="J2958" s="3" t="n">
        <v>-0.044091</v>
      </c>
      <c r="K2958" s="3" t="n">
        <v>0.065576</v>
      </c>
      <c r="L2958" s="3" t="n">
        <v>0.262115</v>
      </c>
      <c r="M2958" s="3" t="n">
        <v>0.543579</v>
      </c>
      <c r="N2958" s="3" t="n">
        <v>1.167376</v>
      </c>
      <c r="O2958" s="3" t="n">
        <v>2.042144</v>
      </c>
      <c r="P2958" s="3" t="n">
        <v>1.19537</v>
      </c>
      <c r="Q2958" s="3" t="n">
        <v>1.588876</v>
      </c>
      <c r="R2958" s="3" t="n">
        <v>2.218794</v>
      </c>
      <c r="S2958" s="3" t="n">
        <v>2.64792</v>
      </c>
      <c r="T2958" s="3" t="n">
        <v>2.391665</v>
      </c>
      <c r="U2958" s="3" t="n">
        <v>1.09384</v>
      </c>
      <c r="V2958" s="3" t="n">
        <v>0.203619</v>
      </c>
      <c r="W2958" s="3" t="n">
        <v>-0.544484</v>
      </c>
      <c r="X2958" s="3" t="n">
        <v>-0.283529</v>
      </c>
      <c r="Y2958" s="3" t="n">
        <v>-0.191193</v>
      </c>
      <c r="Z2958" s="3" t="n">
        <v>0.450409</v>
      </c>
      <c r="AA2958" s="3" t="n">
        <v>0.48745</v>
      </c>
      <c r="AB2958" s="3" t="n">
        <v>1.985043</v>
      </c>
      <c r="AC2958" s="3" t="n">
        <v>0.488475</v>
      </c>
      <c r="AD2958" s="3" t="n">
        <v>-0.192566</v>
      </c>
      <c r="AE2958" s="3" t="n">
        <v>-0.604747</v>
      </c>
      <c r="AF2958" s="3" t="n">
        <v>-0.701359</v>
      </c>
      <c r="AG2958" s="3" t="n">
        <v>-0.694694</v>
      </c>
      <c r="AH2958" s="3" t="n">
        <v>-0.7669589999999999</v>
      </c>
      <c r="AI2958" s="3" t="n">
        <v>-0.835873</v>
      </c>
      <c r="AJ2958" s="3" t="n">
        <v>-0.902424</v>
      </c>
      <c r="AK2958" s="3" t="n">
        <v>-0.977432</v>
      </c>
      <c r="AL2958" s="3" t="n">
        <v>-1.043233</v>
      </c>
      <c r="AM2958" s="3" t="n"/>
      <c r="AN2958" s="3" t="n"/>
      <c r="AO2958" s="3" t="n"/>
      <c r="AP2958" s="3" t="n"/>
      <c r="AQ2958" s="3" t="n"/>
      <c r="AR2958" s="3" t="n"/>
      <c r="AS2958" s="3" t="n"/>
      <c r="AT2958" s="3" t="n"/>
      <c r="AU2958" s="3" t="n"/>
    </row>
    <row r="2959">
      <c r="A2959" s="3" t="n">
        <v>2031</v>
      </c>
      <c r="B2959" s="3" t="inlineStr">
        <is>
          <t>TLS</t>
        </is>
      </c>
      <c r="C2959" s="3" t="inlineStr">
        <is>
          <t>IMF.RES:WEO</t>
        </is>
      </c>
      <c r="D2959" s="3" t="inlineStr">
        <is>
          <t>TLS.BCA_NGDPD.A</t>
        </is>
      </c>
      <c r="E2959" s="3" t="inlineStr">
        <is>
          <t>Timor-Leste, Democratic Republic of</t>
        </is>
      </c>
      <c r="F2959" s="3" t="inlineStr">
        <is>
          <t>Current account balance (credit less debit), Percent of GDP</t>
        </is>
      </c>
      <c r="G2959" s="3" t="n">
        <v>-4.141367</v>
      </c>
      <c r="H2959" s="3" t="n">
        <v>-6.634977</v>
      </c>
      <c r="I2959" s="3" t="n">
        <v>-8.999749</v>
      </c>
      <c r="J2959" s="3" t="n">
        <v>-8.990035000000001</v>
      </c>
      <c r="K2959" s="3" t="n">
        <v>14.87784</v>
      </c>
      <c r="L2959" s="3" t="n">
        <v>56.700052</v>
      </c>
      <c r="M2959" s="3" t="n">
        <v>119.782388</v>
      </c>
      <c r="N2959" s="3" t="n">
        <v>215.067324</v>
      </c>
      <c r="O2959" s="3" t="n">
        <v>314.90621</v>
      </c>
      <c r="P2959" s="3" t="n">
        <v>164.451686</v>
      </c>
      <c r="Q2959" s="3" t="n">
        <v>180.179881</v>
      </c>
      <c r="R2959" s="3" t="n">
        <v>212.851994</v>
      </c>
      <c r="S2959" s="3" t="n">
        <v>228.192327</v>
      </c>
      <c r="T2959" s="3" t="n">
        <v>171.381664</v>
      </c>
      <c r="U2959" s="3" t="n">
        <v>75.565684</v>
      </c>
      <c r="V2959" s="3" t="n">
        <v>12.803952</v>
      </c>
      <c r="W2959" s="3" t="n">
        <v>-33.190826</v>
      </c>
      <c r="X2959" s="3" t="n">
        <v>-17.889639</v>
      </c>
      <c r="Y2959" s="3" t="n">
        <v>-12.287538</v>
      </c>
      <c r="Z2959" s="3" t="n">
        <v>22.159772</v>
      </c>
      <c r="AA2959" s="3" t="n">
        <v>22.539794</v>
      </c>
      <c r="AB2959" s="3" t="n">
        <v>54.759442</v>
      </c>
      <c r="AC2959" s="3" t="n">
        <v>15.223922</v>
      </c>
      <c r="AD2959" s="3" t="n">
        <v>-9.259010999999999</v>
      </c>
      <c r="AE2959" s="3" t="n">
        <v>-32.415561</v>
      </c>
      <c r="AF2959" s="3" t="n">
        <v>-33.988645</v>
      </c>
      <c r="AG2959" s="3" t="n">
        <v>-32.019248</v>
      </c>
      <c r="AH2959" s="3" t="n">
        <v>-33.128311</v>
      </c>
      <c r="AI2959" s="3" t="n">
        <v>-33.901149</v>
      </c>
      <c r="AJ2959" s="3" t="n">
        <v>-34.432723</v>
      </c>
      <c r="AK2959" s="3" t="n">
        <v>-35.119951</v>
      </c>
      <c r="AL2959" s="3" t="n">
        <v>-35.332612</v>
      </c>
      <c r="AM2959" s="3" t="n"/>
      <c r="AN2959" s="3" t="n"/>
      <c r="AO2959" s="3" t="n"/>
      <c r="AP2959" s="3" t="n"/>
      <c r="AQ2959" s="3" t="n"/>
      <c r="AR2959" s="3" t="n"/>
      <c r="AS2959" s="3" t="n"/>
      <c r="AT2959" s="3" t="n"/>
      <c r="AU2959" s="3" t="n"/>
    </row>
    <row r="2960">
      <c r="A2960" s="3" t="n">
        <v>2031</v>
      </c>
      <c r="B2960" s="3" t="inlineStr">
        <is>
          <t>TLS</t>
        </is>
      </c>
      <c r="C2960" s="3" t="inlineStr">
        <is>
          <t>IMF.RES:WEO</t>
        </is>
      </c>
      <c r="D2960" s="3" t="inlineStr">
        <is>
          <t>TLS.GGR_NGDP.A</t>
        </is>
      </c>
      <c r="E2960" s="3" t="inlineStr">
        <is>
          <t>Timor-Leste, Democratic Republic of</t>
        </is>
      </c>
      <c r="F2960" s="3" t="inlineStr">
        <is>
          <t>Revenue, General government, Percent of GDP</t>
        </is>
      </c>
      <c r="G2960" s="3" t="n">
        <v>109.206255</v>
      </c>
      <c r="H2960" s="3" t="n">
        <v>98.90033200000001</v>
      </c>
      <c r="I2960" s="3" t="n">
        <v>85.90625900000001</v>
      </c>
      <c r="J2960" s="3" t="n">
        <v>71.880838</v>
      </c>
      <c r="K2960" s="3" t="n">
        <v>66.67415699999999</v>
      </c>
      <c r="L2960" s="3" t="n">
        <v>47.838335</v>
      </c>
      <c r="M2960" s="3" t="n">
        <v>100.873286</v>
      </c>
      <c r="N2960" s="3" t="n">
        <v>45.895179</v>
      </c>
      <c r="O2960" s="3" t="n">
        <v>103.791323</v>
      </c>
      <c r="P2960" s="3" t="n">
        <v>104.665213</v>
      </c>
      <c r="Q2960" s="3" t="n">
        <v>101.49383</v>
      </c>
      <c r="R2960" s="3" t="n">
        <v>107.897516</v>
      </c>
      <c r="S2960" s="3" t="n">
        <v>90.637778</v>
      </c>
      <c r="T2960" s="3" t="n">
        <v>81.775991</v>
      </c>
      <c r="U2960" s="3" t="n">
        <v>73.448992</v>
      </c>
      <c r="V2960" s="3" t="n">
        <v>64.857601</v>
      </c>
      <c r="W2960" s="3" t="n">
        <v>56.435617</v>
      </c>
      <c r="X2960" s="3" t="n">
        <v>53.497163</v>
      </c>
      <c r="Y2960" s="3" t="n">
        <v>58.631782</v>
      </c>
      <c r="Z2960" s="3" t="n">
        <v>43.358079</v>
      </c>
      <c r="AA2960" s="3" t="n">
        <v>42.811982</v>
      </c>
      <c r="AB2960" s="3" t="n">
        <v>25.528792</v>
      </c>
      <c r="AC2960" s="3" t="n">
        <v>30.446302</v>
      </c>
      <c r="AD2960" s="3" t="n">
        <v>43.889528</v>
      </c>
      <c r="AE2960" s="3" t="n">
        <v>51.055728</v>
      </c>
      <c r="AF2960" s="3" t="n">
        <v>45.852534</v>
      </c>
      <c r="AG2960" s="3" t="n">
        <v>41.370358</v>
      </c>
      <c r="AH2960" s="3" t="n">
        <v>39.220134</v>
      </c>
      <c r="AI2960" s="3" t="n">
        <v>36.46269</v>
      </c>
      <c r="AJ2960" s="3" t="n">
        <v>33.890668</v>
      </c>
      <c r="AK2960" s="3" t="n">
        <v>31.499348</v>
      </c>
      <c r="AL2960" s="3" t="n">
        <v>29.249305</v>
      </c>
      <c r="AM2960" s="3" t="n"/>
      <c r="AN2960" s="3" t="n"/>
      <c r="AO2960" s="3" t="n"/>
      <c r="AP2960" s="3" t="n"/>
      <c r="AQ2960" s="3" t="n"/>
      <c r="AR2960" s="3" t="n"/>
      <c r="AS2960" s="3" t="n"/>
      <c r="AT2960" s="3" t="n"/>
      <c r="AU2960" s="3" t="n"/>
    </row>
    <row r="2961">
      <c r="A2961" s="3" t="n">
        <v>2031</v>
      </c>
      <c r="B2961" s="3" t="inlineStr">
        <is>
          <t>TLS</t>
        </is>
      </c>
      <c r="C2961" s="3" t="inlineStr">
        <is>
          <t>IMF.RES:WEO</t>
        </is>
      </c>
      <c r="D2961" s="3" t="inlineStr">
        <is>
          <t>TLS.GGX_NGDP.A</t>
        </is>
      </c>
      <c r="E2961" s="3" t="inlineStr">
        <is>
          <t>Timor-Leste, Democratic Republic of</t>
        </is>
      </c>
      <c r="F2961" s="3" t="inlineStr">
        <is>
          <t>Expenditure, General government, Percent of GDP</t>
        </is>
      </c>
      <c r="G2961" s="3" t="n"/>
      <c r="H2961" s="3" t="n">
        <v>95.658599</v>
      </c>
      <c r="I2961" s="3" t="n">
        <v>93.544775</v>
      </c>
      <c r="J2961" s="3" t="n">
        <v>80.119221</v>
      </c>
      <c r="K2961" s="3" t="n">
        <v>74.153203</v>
      </c>
      <c r="L2961" s="3" t="n">
        <v>58.335</v>
      </c>
      <c r="M2961" s="3" t="n">
        <v>59.841023</v>
      </c>
      <c r="N2961" s="3" t="n">
        <v>75.827241</v>
      </c>
      <c r="O2961" s="3" t="n">
        <v>122.35311</v>
      </c>
      <c r="P2961" s="3" t="n">
        <v>121.834978</v>
      </c>
      <c r="Q2961" s="3" t="n">
        <v>121.28715</v>
      </c>
      <c r="R2961" s="3" t="n">
        <v>133.277504</v>
      </c>
      <c r="S2961" s="3" t="n">
        <v>129.327266</v>
      </c>
      <c r="T2961" s="3" t="n">
        <v>96.143399</v>
      </c>
      <c r="U2961" s="3" t="n">
        <v>110.971396</v>
      </c>
      <c r="V2961" s="3" t="n">
        <v>98.062459</v>
      </c>
      <c r="W2961" s="3" t="n">
        <v>112.184681</v>
      </c>
      <c r="X2961" s="3" t="n">
        <v>87.271677</v>
      </c>
      <c r="Y2961" s="3" t="n">
        <v>85.536616</v>
      </c>
      <c r="Z2961" s="3" t="n">
        <v>68.79662</v>
      </c>
      <c r="AA2961" s="3" t="n">
        <v>61.710991</v>
      </c>
      <c r="AB2961" s="3" t="n">
        <v>45.6768</v>
      </c>
      <c r="AC2961" s="3" t="n">
        <v>59.914403</v>
      </c>
      <c r="AD2961" s="3" t="n">
        <v>78.61945299999999</v>
      </c>
      <c r="AE2961" s="3" t="n">
        <v>98.043836</v>
      </c>
      <c r="AF2961" s="3" t="n">
        <v>93.88616500000001</v>
      </c>
      <c r="AG2961" s="3" t="n">
        <v>92.961586</v>
      </c>
      <c r="AH2961" s="3" t="n">
        <v>89.866912</v>
      </c>
      <c r="AI2961" s="3" t="n">
        <v>87.494392</v>
      </c>
      <c r="AJ2961" s="3" t="n">
        <v>85.16279</v>
      </c>
      <c r="AK2961" s="3" t="n">
        <v>82.995816</v>
      </c>
      <c r="AL2961" s="3" t="n">
        <v>80.98253099999999</v>
      </c>
      <c r="AM2961" s="3" t="n"/>
      <c r="AN2961" s="3" t="n"/>
      <c r="AO2961" s="3" t="n"/>
      <c r="AP2961" s="3" t="n"/>
      <c r="AQ2961" s="3" t="n"/>
      <c r="AR2961" s="3" t="n"/>
      <c r="AS2961" s="3" t="n"/>
      <c r="AT2961" s="3" t="n"/>
      <c r="AU2961" s="3" t="n"/>
    </row>
    <row r="2962">
      <c r="A2962" s="3" t="n">
        <v>2031</v>
      </c>
      <c r="B2962" s="3" t="inlineStr">
        <is>
          <t>TLS</t>
        </is>
      </c>
      <c r="C2962" s="3" t="inlineStr">
        <is>
          <t>IMF.RES:WEO</t>
        </is>
      </c>
      <c r="D2962" s="3" t="inlineStr">
        <is>
          <t>TLS.LP.A</t>
        </is>
      </c>
      <c r="E2962" s="3" t="inlineStr">
        <is>
          <t>Timor-Leste, Democratic Republic of</t>
        </is>
      </c>
      <c r="F2962" s="3" t="inlineStr">
        <is>
          <t>Population, Persons for countries / Index for country groups</t>
        </is>
      </c>
      <c r="G2962" s="3" t="n">
        <v>0.714166</v>
      </c>
      <c r="H2962" s="3" t="n">
        <v>0.77601</v>
      </c>
      <c r="I2962" s="3" t="n">
        <v>0.848488</v>
      </c>
      <c r="J2962" s="3" t="n">
        <v>0.909829</v>
      </c>
      <c r="K2962" s="3" t="n">
        <v>0.923926</v>
      </c>
      <c r="L2962" s="3" t="n">
        <v>0.934222</v>
      </c>
      <c r="M2962" s="3" t="n">
        <v>0.962399</v>
      </c>
      <c r="N2962" s="3" t="n">
        <v>0.990795</v>
      </c>
      <c r="O2962" s="3" t="n">
        <v>1.018983</v>
      </c>
      <c r="P2962" s="3" t="n">
        <v>1.045876</v>
      </c>
      <c r="Q2962" s="3" t="n">
        <v>1.071688</v>
      </c>
      <c r="R2962" s="3" t="n">
        <v>1.097671</v>
      </c>
      <c r="S2962" s="3" t="n">
        <v>1.122744</v>
      </c>
      <c r="T2962" s="3" t="n">
        <v>1.147026</v>
      </c>
      <c r="U2962" s="3" t="n">
        <v>1.170364</v>
      </c>
      <c r="V2962" s="3" t="n">
        <v>1.193443</v>
      </c>
      <c r="W2962" s="3" t="n">
        <v>1.21682</v>
      </c>
      <c r="X2962" s="3" t="n">
        <v>1.239803</v>
      </c>
      <c r="Y2962" s="3" t="n">
        <v>1.263603</v>
      </c>
      <c r="Z2962" s="3" t="n">
        <v>1.288315</v>
      </c>
      <c r="AA2962" s="3" t="n">
        <v>1.313574</v>
      </c>
      <c r="AB2962" s="3" t="n">
        <v>1.338533</v>
      </c>
      <c r="AC2962" s="3" t="n">
        <v>1.361744</v>
      </c>
      <c r="AD2962" s="3" t="n">
        <v>1.376847</v>
      </c>
      <c r="AE2962" s="3" t="n">
        <v>1.391725</v>
      </c>
      <c r="AF2962" s="3" t="n">
        <v>1.409551</v>
      </c>
      <c r="AG2962" s="3" t="n">
        <v>1.427484</v>
      </c>
      <c r="AH2962" s="3" t="n">
        <v>1.446362</v>
      </c>
      <c r="AI2962" s="3" t="n">
        <v>1.466306</v>
      </c>
      <c r="AJ2962" s="3" t="n">
        <v>1.487381</v>
      </c>
      <c r="AK2962" s="3" t="n">
        <v>1.508837</v>
      </c>
      <c r="AL2962" s="3" t="n">
        <v>1.530772</v>
      </c>
      <c r="AM2962" s="3" t="n"/>
      <c r="AN2962" s="3" t="n"/>
      <c r="AO2962" s="3" t="n"/>
      <c r="AP2962" s="3" t="n"/>
      <c r="AQ2962" s="3" t="n"/>
      <c r="AR2962" s="3" t="n"/>
      <c r="AS2962" s="3" t="n"/>
      <c r="AT2962" s="3" t="n"/>
      <c r="AU2962" s="3" t="n"/>
    </row>
    <row r="2963">
      <c r="A2963" s="3" t="n">
        <v>2031</v>
      </c>
      <c r="B2963" s="3" t="inlineStr">
        <is>
          <t>TLS</t>
        </is>
      </c>
      <c r="C2963" s="3" t="inlineStr">
        <is>
          <t>IMF.RES:WEO</t>
        </is>
      </c>
      <c r="D2963" s="3" t="inlineStr">
        <is>
          <t>TLS.NGDP.A</t>
        </is>
      </c>
      <c r="E2963" s="3" t="inlineStr">
        <is>
          <t>Timor-Leste, Democratic Republic of</t>
        </is>
      </c>
      <c r="F2963" s="3" t="inlineStr">
        <is>
          <t>Gross domestic product (GDP), Current prices, Domestic currency</t>
        </is>
      </c>
      <c r="G2963" s="3" t="n">
        <v>0.367022</v>
      </c>
      <c r="H2963" s="3" t="n">
        <v>0.477444</v>
      </c>
      <c r="I2963" s="3" t="n">
        <v>0.469507</v>
      </c>
      <c r="J2963" s="3" t="n">
        <v>0.490439</v>
      </c>
      <c r="K2963" s="3" t="n">
        <v>0.440765</v>
      </c>
      <c r="L2963" s="3" t="n">
        <v>0.462284</v>
      </c>
      <c r="M2963" s="3" t="n">
        <v>0.453805</v>
      </c>
      <c r="N2963" s="3" t="n">
        <v>0.542795</v>
      </c>
      <c r="O2963" s="3" t="n">
        <v>0.648493</v>
      </c>
      <c r="P2963" s="3" t="n">
        <v>0.726882</v>
      </c>
      <c r="Q2963" s="3" t="n">
        <v>0.8818279999999999</v>
      </c>
      <c r="R2963" s="3" t="n">
        <v>1.042411</v>
      </c>
      <c r="S2963" s="3" t="n">
        <v>1.160389</v>
      </c>
      <c r="T2963" s="3" t="n">
        <v>1.39552</v>
      </c>
      <c r="U2963" s="3" t="n">
        <v>1.447535</v>
      </c>
      <c r="V2963" s="3" t="n">
        <v>1.590282</v>
      </c>
      <c r="W2963" s="3" t="n">
        <v>1.640465</v>
      </c>
      <c r="X2963" s="3" t="n">
        <v>1.584878</v>
      </c>
      <c r="Y2963" s="3" t="n">
        <v>1.555989</v>
      </c>
      <c r="Z2963" s="3" t="n">
        <v>2.03255</v>
      </c>
      <c r="AA2963" s="3" t="n">
        <v>2.162619</v>
      </c>
      <c r="AB2963" s="3" t="n">
        <v>3.625024</v>
      </c>
      <c r="AC2963" s="3" t="n">
        <v>3.2086</v>
      </c>
      <c r="AD2963" s="3" t="n">
        <v>2.079767</v>
      </c>
      <c r="AE2963" s="3" t="n">
        <v>1.865609</v>
      </c>
      <c r="AF2963" s="3" t="n">
        <v>2.06351</v>
      </c>
      <c r="AG2963" s="3" t="n">
        <v>2.169613</v>
      </c>
      <c r="AH2963" s="3" t="n">
        <v>2.315116</v>
      </c>
      <c r="AI2963" s="3" t="n">
        <v>2.465617</v>
      </c>
      <c r="AJ2963" s="3" t="n">
        <v>2.620833</v>
      </c>
      <c r="AK2963" s="3" t="n">
        <v>2.783125</v>
      </c>
      <c r="AL2963" s="3" t="n">
        <v>2.952606</v>
      </c>
      <c r="AM2963" s="3" t="n"/>
      <c r="AN2963" s="3" t="n"/>
      <c r="AO2963" s="3" t="n"/>
      <c r="AP2963" s="3" t="n"/>
      <c r="AQ2963" s="3" t="n"/>
      <c r="AR2963" s="3" t="n"/>
      <c r="AS2963" s="3" t="n"/>
      <c r="AT2963" s="3" t="n"/>
      <c r="AU2963" s="3" t="n"/>
    </row>
    <row r="2964">
      <c r="A2964" s="3" t="n">
        <v>2031</v>
      </c>
      <c r="B2964" s="3" t="inlineStr">
        <is>
          <t>TLS</t>
        </is>
      </c>
      <c r="C2964" s="3" t="inlineStr">
        <is>
          <t>IMF.RES:WEO</t>
        </is>
      </c>
      <c r="D2964" s="3" t="inlineStr">
        <is>
          <t>TLS.NGDP_D.A</t>
        </is>
      </c>
      <c r="E2964" s="3" t="inlineStr">
        <is>
          <t>Timor-Leste, Democratic Republic of</t>
        </is>
      </c>
      <c r="F2964" s="3" t="inlineStr">
        <is>
          <t>Gross domestic product (GDP), Price deflator, Index</t>
        </is>
      </c>
      <c r="G2964" s="3" t="n">
        <v>44.075648</v>
      </c>
      <c r="H2964" s="3" t="n">
        <v>49.279958</v>
      </c>
      <c r="I2964" s="3" t="n">
        <v>51.941169</v>
      </c>
      <c r="J2964" s="3" t="n">
        <v>55.467347</v>
      </c>
      <c r="K2964" s="3" t="n">
        <v>49.650692</v>
      </c>
      <c r="L2964" s="3" t="n">
        <v>50.564059</v>
      </c>
      <c r="M2964" s="3" t="n">
        <v>51.769281</v>
      </c>
      <c r="N2964" s="3" t="n">
        <v>56.157975</v>
      </c>
      <c r="O2964" s="3" t="n">
        <v>60.23266</v>
      </c>
      <c r="P2964" s="3" t="n">
        <v>61.295558</v>
      </c>
      <c r="Q2964" s="3" t="n">
        <v>68.016077</v>
      </c>
      <c r="R2964" s="3" t="n">
        <v>75.882426</v>
      </c>
      <c r="S2964" s="3" t="n">
        <v>80.560738</v>
      </c>
      <c r="T2964" s="3" t="n">
        <v>94.000607</v>
      </c>
      <c r="U2964" s="3" t="n">
        <v>93.281201</v>
      </c>
      <c r="V2964" s="3" t="n">
        <v>99.999993</v>
      </c>
      <c r="W2964" s="3" t="n">
        <v>100.14136</v>
      </c>
      <c r="X2964" s="3" t="n">
        <v>99.92826100000001</v>
      </c>
      <c r="Y2964" s="3" t="n">
        <v>98.566542</v>
      </c>
      <c r="Z2964" s="3" t="n">
        <v>104.159518</v>
      </c>
      <c r="AA2964" s="3" t="n">
        <v>106.629477</v>
      </c>
      <c r="AB2964" s="3" t="n">
        <v>102.310458</v>
      </c>
      <c r="AC2964" s="3" t="n">
        <v>105.503745</v>
      </c>
      <c r="AD2964" s="3" t="n">
        <v>110.809863</v>
      </c>
      <c r="AE2964" s="3" t="n">
        <v>111.266995</v>
      </c>
      <c r="AF2964" s="3" t="n">
        <v>114.382471</v>
      </c>
      <c r="AG2964" s="3" t="n">
        <v>117.58518</v>
      </c>
      <c r="AH2964" s="3" t="n">
        <v>120.877565</v>
      </c>
      <c r="AI2964" s="3" t="n">
        <v>124.262137</v>
      </c>
      <c r="AJ2964" s="3" t="n">
        <v>127.741477</v>
      </c>
      <c r="AK2964" s="3" t="n">
        <v>131.318238</v>
      </c>
      <c r="AL2964" s="3" t="n">
        <v>134.995149</v>
      </c>
      <c r="AM2964" s="3" t="n"/>
      <c r="AN2964" s="3" t="n"/>
      <c r="AO2964" s="3" t="n"/>
      <c r="AP2964" s="3" t="n"/>
      <c r="AQ2964" s="3" t="n"/>
      <c r="AR2964" s="3" t="n"/>
      <c r="AS2964" s="3" t="n"/>
      <c r="AT2964" s="3" t="n"/>
      <c r="AU2964" s="3" t="n"/>
    </row>
    <row r="2965">
      <c r="A2965" s="3" t="n">
        <v>2031</v>
      </c>
      <c r="B2965" s="3" t="inlineStr">
        <is>
          <t>TLS</t>
        </is>
      </c>
      <c r="C2965" s="3" t="inlineStr">
        <is>
          <t>IMF.RES:WEO</t>
        </is>
      </c>
      <c r="D2965" s="3" t="inlineStr">
        <is>
          <t>TLS.NGDP_R.A</t>
        </is>
      </c>
      <c r="E2965" s="3" t="inlineStr">
        <is>
          <t>Timor-Leste, Democratic Republic of</t>
        </is>
      </c>
      <c r="F2965" s="3" t="inlineStr">
        <is>
          <t>Gross domestic product (GDP), Constant prices, Domestic currency</t>
        </is>
      </c>
      <c r="G2965" s="3" t="n">
        <v>0.83271</v>
      </c>
      <c r="H2965" s="3" t="n">
        <v>0.968839</v>
      </c>
      <c r="I2965" s="3" t="n">
        <v>0.9039199999999999</v>
      </c>
      <c r="J2965" s="3" t="n">
        <v>0.884194</v>
      </c>
      <c r="K2965" s="3" t="n">
        <v>0.887731</v>
      </c>
      <c r="L2965" s="3" t="n">
        <v>0.914253</v>
      </c>
      <c r="M2965" s="3" t="n">
        <v>0.876591</v>
      </c>
      <c r="N2965" s="3" t="n">
        <v>0.966551</v>
      </c>
      <c r="O2965" s="3" t="n">
        <v>1.076646</v>
      </c>
      <c r="P2965" s="3" t="n">
        <v>1.185865</v>
      </c>
      <c r="Q2965" s="3" t="n">
        <v>1.296499</v>
      </c>
      <c r="R2965" s="3" t="n">
        <v>1.373719</v>
      </c>
      <c r="S2965" s="3" t="n">
        <v>1.440391</v>
      </c>
      <c r="T2965" s="3" t="n">
        <v>1.484586</v>
      </c>
      <c r="U2965" s="3" t="n">
        <v>1.551797</v>
      </c>
      <c r="V2965" s="3" t="n">
        <v>1.590282</v>
      </c>
      <c r="W2965" s="3" t="n">
        <v>1.638149</v>
      </c>
      <c r="X2965" s="3" t="n">
        <v>1.586016</v>
      </c>
      <c r="Y2965" s="3" t="n">
        <v>1.578617</v>
      </c>
      <c r="Z2965" s="3" t="n">
        <v>1.620727</v>
      </c>
      <c r="AA2965" s="3" t="n">
        <v>1.483098</v>
      </c>
      <c r="AB2965" s="3" t="n">
        <v>1.527361</v>
      </c>
      <c r="AC2965" s="3" t="n">
        <v>1.588455</v>
      </c>
      <c r="AD2965" s="3" t="n">
        <v>1.625818</v>
      </c>
      <c r="AE2965" s="3" t="n">
        <v>1.696144</v>
      </c>
      <c r="AF2965" s="3" t="n">
        <v>1.77247</v>
      </c>
      <c r="AG2965" s="3" t="n">
        <v>1.845142</v>
      </c>
      <c r="AH2965" s="3" t="n">
        <v>1.915257</v>
      </c>
      <c r="AI2965" s="3" t="n">
        <v>1.984206</v>
      </c>
      <c r="AJ2965" s="3" t="n">
        <v>2.051669</v>
      </c>
      <c r="AK2965" s="3" t="n">
        <v>2.119374</v>
      </c>
      <c r="AL2965" s="3" t="n">
        <v>2.187194</v>
      </c>
      <c r="AM2965" s="3" t="n"/>
      <c r="AN2965" s="3" t="n"/>
      <c r="AO2965" s="3" t="n"/>
      <c r="AP2965" s="3" t="n"/>
      <c r="AQ2965" s="3" t="n"/>
      <c r="AR2965" s="3" t="n"/>
      <c r="AS2965" s="3" t="n"/>
      <c r="AT2965" s="3" t="n"/>
      <c r="AU2965" s="3" t="n"/>
    </row>
    <row r="2966">
      <c r="A2966" s="3" t="n">
        <v>2031</v>
      </c>
      <c r="B2966" s="3" t="inlineStr">
        <is>
          <t>TLS</t>
        </is>
      </c>
      <c r="C2966" s="3" t="inlineStr">
        <is>
          <t>IMF.RES:WEO</t>
        </is>
      </c>
      <c r="D2966" s="3" t="inlineStr">
        <is>
          <t>TLS.NGDP_RPCH.A</t>
        </is>
      </c>
      <c r="E2966" s="3" t="inlineStr">
        <is>
          <t>Timor-Leste, Democratic Republic of</t>
        </is>
      </c>
      <c r="F2966" s="3" t="inlineStr">
        <is>
          <t>Gross domestic product (GDP), Constant prices, Percent change</t>
        </is>
      </c>
      <c r="G2966" s="3" t="n"/>
      <c r="H2966" s="3" t="n">
        <v>16.347692</v>
      </c>
      <c r="I2966" s="3" t="n">
        <v>-6.700695</v>
      </c>
      <c r="J2966" s="3" t="n">
        <v>-2.182267</v>
      </c>
      <c r="K2966" s="3" t="n">
        <v>0.4</v>
      </c>
      <c r="L2966" s="3" t="n">
        <v>2.987649</v>
      </c>
      <c r="M2966" s="3" t="n">
        <v>-4.119406</v>
      </c>
      <c r="N2966" s="3" t="n">
        <v>10.26242</v>
      </c>
      <c r="O2966" s="3" t="n">
        <v>11.390544</v>
      </c>
      <c r="P2966" s="3" t="n">
        <v>10.14431</v>
      </c>
      <c r="Q2966" s="3" t="n">
        <v>9.329423999999999</v>
      </c>
      <c r="R2966" s="3" t="n">
        <v>5.956054</v>
      </c>
      <c r="S2966" s="3" t="n">
        <v>4.853364</v>
      </c>
      <c r="T2966" s="3" t="n">
        <v>3.06826</v>
      </c>
      <c r="U2966" s="3" t="n">
        <v>4.527293</v>
      </c>
      <c r="V2966" s="3" t="n">
        <v>2.480038</v>
      </c>
      <c r="W2966" s="3" t="n">
        <v>3.009934</v>
      </c>
      <c r="X2966" s="3" t="n">
        <v>-3.182415</v>
      </c>
      <c r="Y2966" s="3" t="n">
        <v>-0.466502</v>
      </c>
      <c r="Z2966" s="3" t="n">
        <v>2.66747</v>
      </c>
      <c r="AA2966" s="3" t="n">
        <v>-8.491804999999999</v>
      </c>
      <c r="AB2966" s="3" t="n">
        <v>2.9845</v>
      </c>
      <c r="AC2966" s="3" t="n">
        <v>4.000017</v>
      </c>
      <c r="AD2966" s="3" t="n">
        <v>2.352164</v>
      </c>
      <c r="AE2966" s="3" t="n">
        <v>4.325547</v>
      </c>
      <c r="AF2966" s="3" t="n">
        <v>4.5</v>
      </c>
      <c r="AG2966" s="3" t="n">
        <v>4.1</v>
      </c>
      <c r="AH2966" s="3" t="n">
        <v>3.8</v>
      </c>
      <c r="AI2966" s="3" t="n">
        <v>3.6</v>
      </c>
      <c r="AJ2966" s="3" t="n">
        <v>3.4</v>
      </c>
      <c r="AK2966" s="3" t="n">
        <v>3.3</v>
      </c>
      <c r="AL2966" s="3" t="n">
        <v>3.2</v>
      </c>
      <c r="AM2966" s="3" t="n"/>
      <c r="AN2966" s="3" t="n"/>
      <c r="AO2966" s="3" t="n"/>
      <c r="AP2966" s="3" t="n"/>
      <c r="AQ2966" s="3" t="n"/>
      <c r="AR2966" s="3" t="n"/>
      <c r="AS2966" s="3" t="n"/>
      <c r="AT2966" s="3" t="n"/>
      <c r="AU2966" s="3" t="n"/>
    </row>
    <row r="2967">
      <c r="A2967" s="3" t="n">
        <v>2031</v>
      </c>
      <c r="B2967" s="3" t="inlineStr">
        <is>
          <t>TLS</t>
        </is>
      </c>
      <c r="C2967" s="3" t="inlineStr">
        <is>
          <t>IMF.RES:WEO</t>
        </is>
      </c>
      <c r="D2967" s="3" t="inlineStr">
        <is>
          <t>TLS.NGDPD.A</t>
        </is>
      </c>
      <c r="E2967" s="3" t="inlineStr">
        <is>
          <t>Timor-Leste, Democratic Republic of</t>
        </is>
      </c>
      <c r="F2967" s="3" t="inlineStr">
        <is>
          <t>Gross domestic product (GDP), Current prices, US dollar</t>
        </is>
      </c>
      <c r="G2967" s="3" t="n">
        <v>0.367022</v>
      </c>
      <c r="H2967" s="3" t="n">
        <v>0.477444</v>
      </c>
      <c r="I2967" s="3" t="n">
        <v>0.469507</v>
      </c>
      <c r="J2967" s="3" t="n">
        <v>0.490439</v>
      </c>
      <c r="K2967" s="3" t="n">
        <v>0.440765</v>
      </c>
      <c r="L2967" s="3" t="n">
        <v>0.462284</v>
      </c>
      <c r="M2967" s="3" t="n">
        <v>0.453805</v>
      </c>
      <c r="N2967" s="3" t="n">
        <v>0.542795</v>
      </c>
      <c r="O2967" s="3" t="n">
        <v>0.648493</v>
      </c>
      <c r="P2967" s="3" t="n">
        <v>0.726882</v>
      </c>
      <c r="Q2967" s="3" t="n">
        <v>0.8818279999999999</v>
      </c>
      <c r="R2967" s="3" t="n">
        <v>1.042411</v>
      </c>
      <c r="S2967" s="3" t="n">
        <v>1.160389</v>
      </c>
      <c r="T2967" s="3" t="n">
        <v>1.39552</v>
      </c>
      <c r="U2967" s="3" t="n">
        <v>1.447535</v>
      </c>
      <c r="V2967" s="3" t="n">
        <v>1.590282</v>
      </c>
      <c r="W2967" s="3" t="n">
        <v>1.640465</v>
      </c>
      <c r="X2967" s="3" t="n">
        <v>1.584878</v>
      </c>
      <c r="Y2967" s="3" t="n">
        <v>1.555989</v>
      </c>
      <c r="Z2967" s="3" t="n">
        <v>2.03255</v>
      </c>
      <c r="AA2967" s="3" t="n">
        <v>2.162619</v>
      </c>
      <c r="AB2967" s="3" t="n">
        <v>3.625024</v>
      </c>
      <c r="AC2967" s="3" t="n">
        <v>3.2086</v>
      </c>
      <c r="AD2967" s="3" t="n">
        <v>2.079767</v>
      </c>
      <c r="AE2967" s="3" t="n">
        <v>1.865609</v>
      </c>
      <c r="AF2967" s="3" t="n">
        <v>2.06351</v>
      </c>
      <c r="AG2967" s="3" t="n">
        <v>2.169613</v>
      </c>
      <c r="AH2967" s="3" t="n">
        <v>2.315116</v>
      </c>
      <c r="AI2967" s="3" t="n">
        <v>2.465617</v>
      </c>
      <c r="AJ2967" s="3" t="n">
        <v>2.620833</v>
      </c>
      <c r="AK2967" s="3" t="n">
        <v>2.783125</v>
      </c>
      <c r="AL2967" s="3" t="n">
        <v>2.952606</v>
      </c>
      <c r="AM2967" s="3" t="n"/>
      <c r="AN2967" s="3" t="n"/>
      <c r="AO2967" s="3" t="n"/>
      <c r="AP2967" s="3" t="n"/>
      <c r="AQ2967" s="3" t="n"/>
      <c r="AR2967" s="3" t="n"/>
      <c r="AS2967" s="3" t="n"/>
      <c r="AT2967" s="3" t="n"/>
      <c r="AU2967" s="3" t="n"/>
    </row>
    <row r="2968">
      <c r="A2968" s="3" t="n">
        <v>2031</v>
      </c>
      <c r="B2968" s="3" t="inlineStr">
        <is>
          <t>TLS</t>
        </is>
      </c>
      <c r="C2968" s="3" t="inlineStr">
        <is>
          <t>IMF.RES:WEO</t>
        </is>
      </c>
      <c r="D2968" s="3" t="inlineStr">
        <is>
          <t>TLS.NGDPPC.A</t>
        </is>
      </c>
      <c r="E2968" s="3" t="inlineStr">
        <is>
          <t>Timor-Leste, Democratic Republic of</t>
        </is>
      </c>
      <c r="F2968" s="3" t="inlineStr">
        <is>
          <t>Gross domestic product (GDP), Current prices, Per capita, Domestic currency</t>
        </is>
      </c>
      <c r="G2968" s="3" t="n">
        <v>513.917527</v>
      </c>
      <c r="H2968" s="3" t="n">
        <v>615.254317</v>
      </c>
      <c r="I2968" s="3" t="n">
        <v>553.345118</v>
      </c>
      <c r="J2968" s="3" t="n">
        <v>539.0453199999999</v>
      </c>
      <c r="K2968" s="3" t="n">
        <v>477.056141</v>
      </c>
      <c r="L2968" s="3" t="n">
        <v>494.832659</v>
      </c>
      <c r="M2968" s="3" t="n">
        <v>471.535296</v>
      </c>
      <c r="N2968" s="3" t="n">
        <v>547.838298</v>
      </c>
      <c r="O2968" s="3" t="n">
        <v>636.411742</v>
      </c>
      <c r="P2968" s="3" t="n">
        <v>694.998633</v>
      </c>
      <c r="Q2968" s="3" t="n">
        <v>822.840038</v>
      </c>
      <c r="R2968" s="3" t="n">
        <v>949.657483</v>
      </c>
      <c r="S2968" s="3" t="n">
        <v>1033.529897</v>
      </c>
      <c r="T2968" s="3" t="n">
        <v>1216.64167</v>
      </c>
      <c r="U2968" s="3" t="n">
        <v>1236.824768</v>
      </c>
      <c r="V2968" s="3" t="n">
        <v>1332.516401</v>
      </c>
      <c r="W2968" s="3" t="n">
        <v>1348.157174</v>
      </c>
      <c r="X2968" s="3" t="n">
        <v>1278.330864</v>
      </c>
      <c r="Y2968" s="3" t="n">
        <v>1231.390409</v>
      </c>
      <c r="Z2968" s="3" t="n">
        <v>1577.681227</v>
      </c>
      <c r="AA2968" s="3" t="n">
        <v>1646.362703</v>
      </c>
      <c r="AB2968" s="3" t="n">
        <v>2708.206926</v>
      </c>
      <c r="AC2968" s="3" t="n">
        <v>2356.243089</v>
      </c>
      <c r="AD2968" s="3" t="n">
        <v>1510.52889</v>
      </c>
      <c r="AE2968" s="3" t="n">
        <v>1340.500828</v>
      </c>
      <c r="AF2968" s="3" t="n">
        <v>1463.948802</v>
      </c>
      <c r="AG2968" s="3" t="n">
        <v>1519.886203</v>
      </c>
      <c r="AH2968" s="3" t="n">
        <v>1600.647818</v>
      </c>
      <c r="AI2968" s="3" t="n">
        <v>1681.516172</v>
      </c>
      <c r="AJ2968" s="3" t="n">
        <v>1762.04536</v>
      </c>
      <c r="AK2968" s="3" t="n">
        <v>1844.549967</v>
      </c>
      <c r="AL2968" s="3" t="n">
        <v>1928.834884</v>
      </c>
      <c r="AM2968" s="3" t="n"/>
      <c r="AN2968" s="3" t="n"/>
      <c r="AO2968" s="3" t="n"/>
      <c r="AP2968" s="3" t="n"/>
      <c r="AQ2968" s="3" t="n"/>
      <c r="AR2968" s="3" t="n"/>
      <c r="AS2968" s="3" t="n"/>
      <c r="AT2968" s="3" t="n"/>
      <c r="AU2968" s="3" t="n"/>
    </row>
    <row r="2969">
      <c r="A2969" s="3" t="n">
        <v>2031</v>
      </c>
      <c r="B2969" s="3" t="inlineStr">
        <is>
          <t>TLS</t>
        </is>
      </c>
      <c r="C2969" s="3" t="inlineStr">
        <is>
          <t>IMF.RES:WEO</t>
        </is>
      </c>
      <c r="D2969" s="3" t="inlineStr">
        <is>
          <t>TLS.NGDPRPC.A</t>
        </is>
      </c>
      <c r="E2969" s="3" t="inlineStr">
        <is>
          <t>Timor-Leste, Democratic Republic of</t>
        </is>
      </c>
      <c r="F2969" s="3" t="inlineStr">
        <is>
          <t>Gross domestic product (GDP), Constant prices, Per capita, Domestic currency</t>
        </is>
      </c>
      <c r="G2969" s="3" t="n">
        <v>1165.989713</v>
      </c>
      <c r="H2969" s="3" t="n">
        <v>1248.487914</v>
      </c>
      <c r="I2969" s="3" t="n">
        <v>1065.330512</v>
      </c>
      <c r="J2969" s="3" t="n">
        <v>971.824598</v>
      </c>
      <c r="K2969" s="3" t="n">
        <v>960.824762</v>
      </c>
      <c r="L2969" s="3" t="n">
        <v>978.625279</v>
      </c>
      <c r="M2969" s="3" t="n">
        <v>910.839955</v>
      </c>
      <c r="N2969" s="3" t="n">
        <v>975.530719</v>
      </c>
      <c r="O2969" s="3" t="n">
        <v>1056.589137</v>
      </c>
      <c r="P2969" s="3" t="n">
        <v>1133.848287</v>
      </c>
      <c r="Q2969" s="3" t="n">
        <v>1209.772862</v>
      </c>
      <c r="R2969" s="3" t="n">
        <v>1251.485409</v>
      </c>
      <c r="S2969" s="3" t="n">
        <v>1282.920095</v>
      </c>
      <c r="T2969" s="3" t="n">
        <v>1294.291297</v>
      </c>
      <c r="U2969" s="3" t="n">
        <v>1325.909991</v>
      </c>
      <c r="V2969" s="3" t="n">
        <v>1332.516493</v>
      </c>
      <c r="W2969" s="3" t="n">
        <v>1346.254111</v>
      </c>
      <c r="X2969" s="3" t="n">
        <v>1279.248581</v>
      </c>
      <c r="Y2969" s="3" t="n">
        <v>1249.298573</v>
      </c>
      <c r="Z2969" s="3" t="n">
        <v>1258.020411</v>
      </c>
      <c r="AA2969" s="3" t="n">
        <v>1129.055254</v>
      </c>
      <c r="AB2969" s="3" t="n">
        <v>1141.070617</v>
      </c>
      <c r="AC2969" s="3" t="n">
        <v>1166.486037</v>
      </c>
      <c r="AD2969" s="3" t="n">
        <v>1180.827233</v>
      </c>
      <c r="AE2969" s="3" t="n">
        <v>1218.735002</v>
      </c>
      <c r="AF2969" s="3" t="n">
        <v>1257.471669</v>
      </c>
      <c r="AG2969" s="3" t="n">
        <v>1292.58313</v>
      </c>
      <c r="AH2969" s="3" t="n">
        <v>1324.189327</v>
      </c>
      <c r="AI2969" s="3" t="n">
        <v>1353.20075</v>
      </c>
      <c r="AJ2969" s="3" t="n">
        <v>1379.383895</v>
      </c>
      <c r="AK2969" s="3" t="n">
        <v>1404.641115</v>
      </c>
      <c r="AL2969" s="3" t="n">
        <v>1428.817923</v>
      </c>
      <c r="AM2969" s="3" t="n"/>
      <c r="AN2969" s="3" t="n"/>
      <c r="AO2969" s="3" t="n"/>
      <c r="AP2969" s="3" t="n"/>
      <c r="AQ2969" s="3" t="n"/>
      <c r="AR2969" s="3" t="n"/>
      <c r="AS2969" s="3" t="n"/>
      <c r="AT2969" s="3" t="n"/>
      <c r="AU2969" s="3" t="n"/>
    </row>
    <row r="2970">
      <c r="A2970" s="3" t="n">
        <v>2031</v>
      </c>
      <c r="B2970" s="3" t="inlineStr">
        <is>
          <t>TLS</t>
        </is>
      </c>
      <c r="C2970" s="3" t="inlineStr">
        <is>
          <t>IMF.RES:WEO</t>
        </is>
      </c>
      <c r="D2970" s="3" t="inlineStr">
        <is>
          <t>TLS.PCPI.A</t>
        </is>
      </c>
      <c r="E2970" s="3" t="inlineStr">
        <is>
          <t>Timor-Leste, Democratic Republic of</t>
        </is>
      </c>
      <c r="F2970" s="3" t="inlineStr">
        <is>
          <t>All Items, Consumer price index (CPI), Period average</t>
        </is>
      </c>
      <c r="G2970" s="3" t="n">
        <v>45.362391</v>
      </c>
      <c r="H2970" s="3" t="n">
        <v>46.990447</v>
      </c>
      <c r="I2970" s="3" t="n">
        <v>48.910947</v>
      </c>
      <c r="J2970" s="3" t="n">
        <v>52.832137</v>
      </c>
      <c r="K2970" s="3" t="n">
        <v>53.999728</v>
      </c>
      <c r="L2970" s="3" t="n">
        <v>54.870311</v>
      </c>
      <c r="M2970" s="3" t="n">
        <v>57.740885</v>
      </c>
      <c r="N2970" s="3" t="n">
        <v>62.729095</v>
      </c>
      <c r="O2970" s="3" t="n">
        <v>67.387895</v>
      </c>
      <c r="P2970" s="3" t="n">
        <v>67.24672</v>
      </c>
      <c r="Q2970" s="3" t="n">
        <v>70.729055</v>
      </c>
      <c r="R2970" s="3" t="n">
        <v>80.046655</v>
      </c>
      <c r="S2970" s="3" t="n">
        <v>88.79955200000001</v>
      </c>
      <c r="T2970" s="3" t="n">
        <v>97.191667</v>
      </c>
      <c r="U2970" s="3" t="n">
        <v>98.016667</v>
      </c>
      <c r="V2970" s="3" t="n">
        <v>98.65000000000001</v>
      </c>
      <c r="W2970" s="3" t="n">
        <v>97.2</v>
      </c>
      <c r="X2970" s="3" t="n">
        <v>97.708333</v>
      </c>
      <c r="Y2970" s="3" t="n">
        <v>99.95</v>
      </c>
      <c r="Z2970" s="3" t="n">
        <v>100.841667</v>
      </c>
      <c r="AA2970" s="3" t="n">
        <v>101.333333</v>
      </c>
      <c r="AB2970" s="3" t="n">
        <v>105.158333</v>
      </c>
      <c r="AC2970" s="3" t="n">
        <v>112.525</v>
      </c>
      <c r="AD2970" s="3" t="n">
        <v>122</v>
      </c>
      <c r="AE2970" s="3" t="n">
        <v>124.516667</v>
      </c>
      <c r="AF2970" s="3" t="n">
        <v>125.1</v>
      </c>
      <c r="AG2970" s="3" t="n">
        <v>127.742327</v>
      </c>
      <c r="AH2970" s="3" t="n">
        <v>130.28304</v>
      </c>
      <c r="AI2970" s="3" t="n">
        <v>132.888701</v>
      </c>
      <c r="AJ2970" s="3" t="n">
        <v>135.546475</v>
      </c>
      <c r="AK2970" s="3" t="n">
        <v>138.257405</v>
      </c>
      <c r="AL2970" s="3" t="n">
        <v>141.022553</v>
      </c>
      <c r="AM2970" s="3" t="n"/>
      <c r="AN2970" s="3" t="n"/>
      <c r="AO2970" s="3" t="n"/>
      <c r="AP2970" s="3" t="n"/>
      <c r="AQ2970" s="3" t="n"/>
      <c r="AR2970" s="3" t="n"/>
      <c r="AS2970" s="3" t="n"/>
      <c r="AT2970" s="3" t="n"/>
      <c r="AU2970" s="3" t="n"/>
    </row>
    <row r="2971">
      <c r="A2971" s="3" t="n">
        <v>2031</v>
      </c>
      <c r="B2971" s="3" t="inlineStr">
        <is>
          <t>TLS</t>
        </is>
      </c>
      <c r="C2971" s="3" t="inlineStr">
        <is>
          <t>IMF.RES:WEO</t>
        </is>
      </c>
      <c r="D2971" s="3" t="inlineStr">
        <is>
          <t>TLS.PCPIPCH.A</t>
        </is>
      </c>
      <c r="E2971" s="3" t="inlineStr">
        <is>
          <t>Timor-Leste, Democratic Republic of</t>
        </is>
      </c>
      <c r="F2971" s="3" t="inlineStr">
        <is>
          <t>All Items, Consumer price index (CPI), Period average, percent change</t>
        </is>
      </c>
      <c r="G2971" s="3" t="n"/>
      <c r="H2971" s="3" t="n">
        <v>3.589</v>
      </c>
      <c r="I2971" s="3" t="n">
        <v>4.087</v>
      </c>
      <c r="J2971" s="3" t="n">
        <v>8.016999999999999</v>
      </c>
      <c r="K2971" s="3" t="n">
        <v>2.21</v>
      </c>
      <c r="L2971" s="3" t="n">
        <v>1.6122</v>
      </c>
      <c r="M2971" s="3" t="n">
        <v>5.231561</v>
      </c>
      <c r="N2971" s="3" t="n">
        <v>8.638957</v>
      </c>
      <c r="O2971" s="3" t="n">
        <v>7.426857</v>
      </c>
      <c r="P2971" s="3" t="n">
        <v>-0.209497</v>
      </c>
      <c r="Q2971" s="3" t="n">
        <v>5.178446</v>
      </c>
      <c r="R2971" s="3" t="n">
        <v>13.173653</v>
      </c>
      <c r="S2971" s="3" t="n">
        <v>10.934744</v>
      </c>
      <c r="T2971" s="3" t="n">
        <v>9.450627000000001</v>
      </c>
      <c r="U2971" s="3" t="n">
        <v>0.848838</v>
      </c>
      <c r="V2971" s="3" t="n">
        <v>0.646149</v>
      </c>
      <c r="W2971" s="3" t="n">
        <v>-1.469843</v>
      </c>
      <c r="X2971" s="3" t="n">
        <v>0.522977</v>
      </c>
      <c r="Y2971" s="3" t="n">
        <v>2.294243</v>
      </c>
      <c r="Z2971" s="3" t="n">
        <v>0.892113</v>
      </c>
      <c r="AA2971" s="3" t="n">
        <v>0.487563</v>
      </c>
      <c r="AB2971" s="3" t="n">
        <v>3.774671</v>
      </c>
      <c r="AC2971" s="3" t="n">
        <v>7.005309</v>
      </c>
      <c r="AD2971" s="3" t="n">
        <v>8.420351</v>
      </c>
      <c r="AE2971" s="3" t="n">
        <v>2.062842</v>
      </c>
      <c r="AF2971" s="3" t="n">
        <v>0.468478</v>
      </c>
      <c r="AG2971" s="3" t="n">
        <v>2.112171</v>
      </c>
      <c r="AH2971" s="3" t="n">
        <v>1.988936</v>
      </c>
      <c r="AI2971" s="3" t="n">
        <v>2</v>
      </c>
      <c r="AJ2971" s="3" t="n">
        <v>2</v>
      </c>
      <c r="AK2971" s="3" t="n">
        <v>2</v>
      </c>
      <c r="AL2971" s="3" t="n">
        <v>2</v>
      </c>
      <c r="AM2971" s="3" t="n"/>
      <c r="AN2971" s="3" t="n"/>
      <c r="AO2971" s="3" t="n"/>
      <c r="AP2971" s="3" t="n"/>
      <c r="AQ2971" s="3" t="n"/>
      <c r="AR2971" s="3" t="n"/>
      <c r="AS2971" s="3" t="n"/>
      <c r="AT2971" s="3" t="n"/>
      <c r="AU2971" s="3" t="n"/>
    </row>
    <row r="2972">
      <c r="A2972" s="3" t="n">
        <v>2031</v>
      </c>
      <c r="B2972" s="3" t="inlineStr">
        <is>
          <t>TLS</t>
        </is>
      </c>
      <c r="C2972" s="3" t="inlineStr">
        <is>
          <t>IMF.RES:WEO</t>
        </is>
      </c>
      <c r="D2972" s="3" t="inlineStr">
        <is>
          <t>TLS.PPPPC.A</t>
        </is>
      </c>
      <c r="E2972" s="3" t="inlineStr">
        <is>
          <t>Timor-Leste, Democratic Republic of</t>
        </is>
      </c>
      <c r="F2972" s="3" t="inlineStr">
        <is>
          <t>Gross domestic product (GDP), Per capita, purchasing power parity (PPP) international dollar, ICP benchmarks 2017-2021</t>
        </is>
      </c>
      <c r="G2972" s="3" t="n">
        <v>2317.517661</v>
      </c>
      <c r="H2972" s="3" t="n">
        <v>2537.364592</v>
      </c>
      <c r="I2972" s="3" t="n">
        <v>2198.771431</v>
      </c>
      <c r="J2972" s="3" t="n">
        <v>2045.379886</v>
      </c>
      <c r="K2972" s="3" t="n">
        <v>2076.604078</v>
      </c>
      <c r="L2972" s="3" t="n">
        <v>2181.400835</v>
      </c>
      <c r="M2972" s="3" t="n">
        <v>2092.916415</v>
      </c>
      <c r="N2972" s="3" t="n">
        <v>2302.291996</v>
      </c>
      <c r="O2972" s="3" t="n">
        <v>2541.630003</v>
      </c>
      <c r="P2972" s="3" t="n">
        <v>2744.298737</v>
      </c>
      <c r="Q2972" s="3" t="n">
        <v>2963.64897</v>
      </c>
      <c r="R2972" s="3" t="n">
        <v>3129.090335</v>
      </c>
      <c r="S2972" s="3" t="n">
        <v>3267.411462</v>
      </c>
      <c r="T2972" s="3" t="n">
        <v>3352.476683</v>
      </c>
      <c r="U2972" s="3" t="n">
        <v>3494.192533</v>
      </c>
      <c r="V2972" s="3" t="n">
        <v>3544.192301</v>
      </c>
      <c r="W2972" s="3" t="n">
        <v>3614.756208</v>
      </c>
      <c r="X2972" s="3" t="n">
        <v>3496.357427</v>
      </c>
      <c r="Y2972" s="3" t="n">
        <v>3596.11139</v>
      </c>
      <c r="Z2972" s="3" t="n">
        <v>4601.285039</v>
      </c>
      <c r="AA2972" s="3" t="n">
        <v>6190.338006</v>
      </c>
      <c r="AB2972" s="3" t="n">
        <v>6884.223719</v>
      </c>
      <c r="AC2972" s="3" t="n">
        <v>5760.666186</v>
      </c>
      <c r="AD2972" s="3" t="n">
        <v>4836.76357</v>
      </c>
      <c r="AE2972" s="3" t="n">
        <v>4457.563953</v>
      </c>
      <c r="AF2972" s="3" t="n">
        <v>5060.2217</v>
      </c>
      <c r="AG2972" s="3" t="n">
        <v>5269.825326</v>
      </c>
      <c r="AH2972" s="3" t="n">
        <v>5517.232695</v>
      </c>
      <c r="AI2972" s="3" t="n">
        <v>5730.652127</v>
      </c>
      <c r="AJ2972" s="3" t="n">
        <v>5945.40361</v>
      </c>
      <c r="AK2972" s="3" t="n">
        <v>6165.515755</v>
      </c>
      <c r="AL2972" s="3" t="n">
        <v>6384.85914</v>
      </c>
      <c r="AM2972" s="3" t="n"/>
      <c r="AN2972" s="3" t="n"/>
      <c r="AO2972" s="3" t="n"/>
      <c r="AP2972" s="3" t="n"/>
      <c r="AQ2972" s="3" t="n"/>
      <c r="AR2972" s="3" t="n"/>
      <c r="AS2972" s="3" t="n"/>
      <c r="AT2972" s="3" t="n"/>
      <c r="AU2972" s="3" t="n"/>
    </row>
    <row r="2973">
      <c r="A2973" s="3" t="n">
        <v>2025</v>
      </c>
      <c r="B2973" s="3" t="inlineStr">
        <is>
          <t>TLS</t>
        </is>
      </c>
      <c r="C2973" s="3" t="inlineStr">
        <is>
          <t>IMF.STA:ER</t>
        </is>
      </c>
      <c r="D2973" s="3" t="inlineStr">
        <is>
          <t>TLS.XDC_USD.PA_RT.A</t>
        </is>
      </c>
      <c r="E2973" s="3" t="inlineStr">
        <is>
          <t>Timor-Leste, Democratic Republic of</t>
        </is>
      </c>
      <c r="F2973" s="3" t="inlineStr">
        <is>
          <t>Domestic currency per US Dollar</t>
        </is>
      </c>
      <c r="G2973" s="3" t="n">
        <v>1</v>
      </c>
      <c r="H2973" s="3" t="n">
        <v>1</v>
      </c>
      <c r="I2973" s="3" t="n">
        <v>1</v>
      </c>
      <c r="J2973" s="3" t="n">
        <v>1</v>
      </c>
      <c r="K2973" s="3" t="n">
        <v>1</v>
      </c>
      <c r="L2973" s="3" t="n">
        <v>1</v>
      </c>
      <c r="M2973" s="3" t="n">
        <v>1</v>
      </c>
      <c r="N2973" s="3" t="n">
        <v>1</v>
      </c>
      <c r="O2973" s="3" t="n">
        <v>1</v>
      </c>
      <c r="P2973" s="3" t="n">
        <v>1</v>
      </c>
      <c r="Q2973" s="3" t="n">
        <v>1</v>
      </c>
      <c r="R2973" s="3" t="n">
        <v>1</v>
      </c>
      <c r="S2973" s="3" t="n">
        <v>1</v>
      </c>
      <c r="T2973" s="3" t="n">
        <v>1</v>
      </c>
      <c r="U2973" s="3" t="n">
        <v>1</v>
      </c>
      <c r="V2973" s="3" t="n">
        <v>1</v>
      </c>
      <c r="W2973" s="3" t="n">
        <v>1</v>
      </c>
      <c r="X2973" s="3" t="n">
        <v>1</v>
      </c>
      <c r="Y2973" s="3" t="n">
        <v>1</v>
      </c>
      <c r="Z2973" s="3" t="n">
        <v>1</v>
      </c>
      <c r="AA2973" s="3" t="n">
        <v>1</v>
      </c>
      <c r="AB2973" s="3" t="n">
        <v>1</v>
      </c>
      <c r="AC2973" s="3" t="n">
        <v>1</v>
      </c>
      <c r="AD2973" s="3" t="n">
        <v>1</v>
      </c>
      <c r="AE2973" s="3" t="n">
        <v>1</v>
      </c>
      <c r="AF2973" s="3" t="n">
        <v>1</v>
      </c>
      <c r="AG2973" s="3" t="n"/>
      <c r="AH2973" s="3" t="n"/>
      <c r="AI2973" s="3" t="n"/>
      <c r="AJ2973" s="3" t="n"/>
      <c r="AK2973" s="3" t="n"/>
      <c r="AL2973" s="3" t="n"/>
      <c r="AM2973" s="3" t="n"/>
      <c r="AN2973" s="3" t="n"/>
      <c r="AO2973" s="3" t="n"/>
      <c r="AP2973" s="3" t="n"/>
      <c r="AQ2973" s="3" t="n"/>
      <c r="AR2973" s="3" t="n"/>
      <c r="AS2973" s="3" t="n"/>
      <c r="AT2973" s="3" t="n"/>
      <c r="AU2973" s="3" t="n"/>
    </row>
    <row r="2974">
      <c r="A2974" s="3" t="n">
        <v>2031</v>
      </c>
      <c r="B2974" s="3" t="inlineStr">
        <is>
          <t>TON</t>
        </is>
      </c>
      <c r="C2974" s="3" t="inlineStr">
        <is>
          <t>IMF.RES:WEO</t>
        </is>
      </c>
      <c r="D2974" s="3" t="inlineStr">
        <is>
          <t>TON.BCA.A</t>
        </is>
      </c>
      <c r="E2974" s="3" t="inlineStr">
        <is>
          <t>Tonga</t>
        </is>
      </c>
      <c r="F2974" s="3" t="inlineStr">
        <is>
          <t>Current account balance (credit less debit), US dollar</t>
        </is>
      </c>
      <c r="G2974" s="3" t="n">
        <v>-0.010052</v>
      </c>
      <c r="H2974" s="3" t="n">
        <v>-0.02119</v>
      </c>
      <c r="I2974" s="3" t="n">
        <v>-0.014178</v>
      </c>
      <c r="J2974" s="3" t="n">
        <v>-0.005255</v>
      </c>
      <c r="K2974" s="3" t="n">
        <v>-0.010681</v>
      </c>
      <c r="L2974" s="3" t="n">
        <v>-0.024822</v>
      </c>
      <c r="M2974" s="3" t="n">
        <v>-0.019391</v>
      </c>
      <c r="N2974" s="3" t="n">
        <v>-0.037306</v>
      </c>
      <c r="O2974" s="3" t="n">
        <v>-0.021318</v>
      </c>
      <c r="P2974" s="3" t="n">
        <v>-0.056688</v>
      </c>
      <c r="Q2974" s="3" t="n">
        <v>-0.08738600000000001</v>
      </c>
      <c r="R2974" s="3" t="n">
        <v>-0.083939</v>
      </c>
      <c r="S2974" s="3" t="n">
        <v>-0.069952</v>
      </c>
      <c r="T2974" s="3" t="n">
        <v>-0.043362</v>
      </c>
      <c r="U2974" s="3" t="n">
        <v>-0.027583</v>
      </c>
      <c r="V2974" s="3" t="n">
        <v>-0.047798</v>
      </c>
      <c r="W2974" s="3" t="n">
        <v>-0.031477</v>
      </c>
      <c r="X2974" s="3" t="n">
        <v>-0.032806</v>
      </c>
      <c r="Y2974" s="3" t="n">
        <v>-0.033763</v>
      </c>
      <c r="Z2974" s="3" t="n">
        <v>-0.018874</v>
      </c>
      <c r="AA2974" s="3" t="n">
        <v>-0.028837</v>
      </c>
      <c r="AB2974" s="3" t="n">
        <v>-0.032621</v>
      </c>
      <c r="AC2974" s="3" t="n">
        <v>-0.027786</v>
      </c>
      <c r="AD2974" s="3" t="n">
        <v>-0.0304</v>
      </c>
      <c r="AE2974" s="3" t="n">
        <v>-0.021175</v>
      </c>
      <c r="AF2974" s="3" t="n">
        <v>-0.036114</v>
      </c>
      <c r="AG2974" s="3" t="n">
        <v>-0.053011</v>
      </c>
      <c r="AH2974" s="3" t="n">
        <v>-0.056585</v>
      </c>
      <c r="AI2974" s="3" t="n">
        <v>-0.052576</v>
      </c>
      <c r="AJ2974" s="3" t="n">
        <v>-0.049396</v>
      </c>
      <c r="AK2974" s="3" t="n">
        <v>-0.049654</v>
      </c>
      <c r="AL2974" s="3" t="n">
        <v>-0.050436</v>
      </c>
      <c r="AM2974" s="3" t="n"/>
      <c r="AN2974" s="3" t="n"/>
      <c r="AO2974" s="3" t="n"/>
      <c r="AP2974" s="3" t="n"/>
      <c r="AQ2974" s="3" t="n"/>
      <c r="AR2974" s="3" t="n"/>
      <c r="AS2974" s="3" t="n"/>
      <c r="AT2974" s="3" t="n"/>
      <c r="AU2974" s="3" t="n"/>
    </row>
    <row r="2975">
      <c r="A2975" s="3" t="n">
        <v>2031</v>
      </c>
      <c r="B2975" s="3" t="inlineStr">
        <is>
          <t>TON</t>
        </is>
      </c>
      <c r="C2975" s="3" t="inlineStr">
        <is>
          <t>IMF.RES:WEO</t>
        </is>
      </c>
      <c r="D2975" s="3" t="inlineStr">
        <is>
          <t>TON.BCA_NGDPD.A</t>
        </is>
      </c>
      <c r="E2975" s="3" t="inlineStr">
        <is>
          <t>Tonga</t>
        </is>
      </c>
      <c r="F2975" s="3" t="inlineStr">
        <is>
          <t>Current account balance (credit less debit), Percent of GDP</t>
        </is>
      </c>
      <c r="G2975" s="3" t="n">
        <v>-4.956743</v>
      </c>
      <c r="H2975" s="3" t="n">
        <v>-11.708788</v>
      </c>
      <c r="I2975" s="3" t="n">
        <v>-7.757759</v>
      </c>
      <c r="J2975" s="3" t="n">
        <v>-2.598229</v>
      </c>
      <c r="K2975" s="3" t="n">
        <v>-4.630852</v>
      </c>
      <c r="L2975" s="3" t="n">
        <v>-9.481275</v>
      </c>
      <c r="M2975" s="3" t="n">
        <v>-6.63555</v>
      </c>
      <c r="N2975" s="3" t="n">
        <v>-12.496962</v>
      </c>
      <c r="O2975" s="3" t="n">
        <v>-6.18919</v>
      </c>
      <c r="P2975" s="3" t="n">
        <v>-18.147127</v>
      </c>
      <c r="Q2975" s="3" t="n">
        <v>-23.82167</v>
      </c>
      <c r="R2975" s="3" t="n">
        <v>-20.248993</v>
      </c>
      <c r="S2975" s="3" t="n">
        <v>-16.395033</v>
      </c>
      <c r="T2975" s="3" t="n">
        <v>-9.597759</v>
      </c>
      <c r="U2975" s="3" t="n">
        <v>-6.25479</v>
      </c>
      <c r="V2975" s="3" t="n">
        <v>-10.924586</v>
      </c>
      <c r="W2975" s="3" t="n">
        <v>-7.479693</v>
      </c>
      <c r="X2975" s="3" t="n">
        <v>-7.132152</v>
      </c>
      <c r="Y2975" s="3" t="n">
        <v>-6.957853</v>
      </c>
      <c r="Z2975" s="3" t="n">
        <v>-3.734042</v>
      </c>
      <c r="AA2975" s="3" t="n">
        <v>-5.628571</v>
      </c>
      <c r="AB2975" s="3" t="n">
        <v>-6.263664</v>
      </c>
      <c r="AC2975" s="3" t="n">
        <v>-5.02179</v>
      </c>
      <c r="AD2975" s="3" t="n">
        <v>-5.098912</v>
      </c>
      <c r="AE2975" s="3" t="n">
        <v>-3.276595</v>
      </c>
      <c r="AF2975" s="3" t="n">
        <v>-5.307802</v>
      </c>
      <c r="AG2975" s="3" t="n">
        <v>-7.400418</v>
      </c>
      <c r="AH2975" s="3" t="n">
        <v>-7.517155</v>
      </c>
      <c r="AI2975" s="3" t="n">
        <v>-6.823477</v>
      </c>
      <c r="AJ2975" s="3" t="n">
        <v>-6.19409</v>
      </c>
      <c r="AK2975" s="3" t="n">
        <v>-6.019385</v>
      </c>
      <c r="AL2975" s="3" t="n">
        <v>-5.907311</v>
      </c>
      <c r="AM2975" s="3" t="n"/>
      <c r="AN2975" s="3" t="n"/>
      <c r="AO2975" s="3" t="n"/>
      <c r="AP2975" s="3" t="n"/>
      <c r="AQ2975" s="3" t="n"/>
      <c r="AR2975" s="3" t="n"/>
      <c r="AS2975" s="3" t="n"/>
      <c r="AT2975" s="3" t="n"/>
      <c r="AU2975" s="3" t="n"/>
    </row>
    <row r="2976">
      <c r="A2976" s="3" t="n">
        <v>2031</v>
      </c>
      <c r="B2976" s="3" t="inlineStr">
        <is>
          <t>TON</t>
        </is>
      </c>
      <c r="C2976" s="3" t="inlineStr">
        <is>
          <t>IMF.RES:WEO</t>
        </is>
      </c>
      <c r="D2976" s="3" t="inlineStr">
        <is>
          <t>TON.GGR_NGDP.A</t>
        </is>
      </c>
      <c r="E2976" s="3" t="inlineStr">
        <is>
          <t>Tonga</t>
        </is>
      </c>
      <c r="F2976" s="3" t="inlineStr">
        <is>
          <t>Revenue, General government, Percent of GDP</t>
        </is>
      </c>
      <c r="G2976" s="3" t="n">
        <v>21.391095</v>
      </c>
      <c r="H2976" s="3" t="n">
        <v>21.311597</v>
      </c>
      <c r="I2976" s="3" t="n">
        <v>23.906076</v>
      </c>
      <c r="J2976" s="3" t="n">
        <v>22.355874</v>
      </c>
      <c r="K2976" s="3" t="n">
        <v>23.53285</v>
      </c>
      <c r="L2976" s="3" t="n">
        <v>24.052594</v>
      </c>
      <c r="M2976" s="3" t="n">
        <v>26.926497</v>
      </c>
      <c r="N2976" s="3" t="n">
        <v>28.595039</v>
      </c>
      <c r="O2976" s="3" t="n">
        <v>26.131591</v>
      </c>
      <c r="P2976" s="3" t="n">
        <v>30.748991</v>
      </c>
      <c r="Q2976" s="3" t="n">
        <v>27.150899</v>
      </c>
      <c r="R2976" s="3" t="n">
        <v>26.581788</v>
      </c>
      <c r="S2976" s="3" t="n">
        <v>30.305732</v>
      </c>
      <c r="T2976" s="3" t="n">
        <v>32.976157</v>
      </c>
      <c r="U2976" s="3" t="n">
        <v>37.836224</v>
      </c>
      <c r="V2976" s="3" t="n">
        <v>34.633781</v>
      </c>
      <c r="W2976" s="3" t="n">
        <v>38.6405</v>
      </c>
      <c r="X2976" s="3" t="n">
        <v>43.262374</v>
      </c>
      <c r="Y2976" s="3" t="n">
        <v>42.228473</v>
      </c>
      <c r="Z2976" s="3" t="n">
        <v>42.20099</v>
      </c>
      <c r="AA2976" s="3" t="n">
        <v>42.293896</v>
      </c>
      <c r="AB2976" s="3" t="n">
        <v>43.660733</v>
      </c>
      <c r="AC2976" s="3" t="n">
        <v>41.228574</v>
      </c>
      <c r="AD2976" s="3" t="n">
        <v>46.746222</v>
      </c>
      <c r="AE2976" s="3" t="n">
        <v>47.934243</v>
      </c>
      <c r="AF2976" s="3" t="n">
        <v>51.630119</v>
      </c>
      <c r="AG2976" s="3" t="n">
        <v>37.921947</v>
      </c>
      <c r="AH2976" s="3" t="n">
        <v>36.994105</v>
      </c>
      <c r="AI2976" s="3" t="n">
        <v>35.589457</v>
      </c>
      <c r="AJ2976" s="3" t="n">
        <v>34.232733</v>
      </c>
      <c r="AK2976" s="3" t="n">
        <v>32.543153</v>
      </c>
      <c r="AL2976" s="3" t="n">
        <v>32.196678</v>
      </c>
      <c r="AM2976" s="3" t="n"/>
      <c r="AN2976" s="3" t="n"/>
      <c r="AO2976" s="3" t="n"/>
      <c r="AP2976" s="3" t="n"/>
      <c r="AQ2976" s="3" t="n"/>
      <c r="AR2976" s="3" t="n"/>
      <c r="AS2976" s="3" t="n"/>
      <c r="AT2976" s="3" t="n"/>
      <c r="AU2976" s="3" t="n"/>
    </row>
    <row r="2977">
      <c r="A2977" s="3" t="n">
        <v>2031</v>
      </c>
      <c r="B2977" s="3" t="inlineStr">
        <is>
          <t>TON</t>
        </is>
      </c>
      <c r="C2977" s="3" t="inlineStr">
        <is>
          <t>IMF.RES:WEO</t>
        </is>
      </c>
      <c r="D2977" s="3" t="inlineStr">
        <is>
          <t>TON.GGX_NGDP.A</t>
        </is>
      </c>
      <c r="E2977" s="3" t="inlineStr">
        <is>
          <t>Tonga</t>
        </is>
      </c>
      <c r="F2977" s="3" t="inlineStr">
        <is>
          <t>Expenditure, General government, Percent of GDP</t>
        </is>
      </c>
      <c r="G2977" s="3" t="n">
        <v>20.042419</v>
      </c>
      <c r="H2977" s="3" t="n">
        <v>19.079051</v>
      </c>
      <c r="I2977" s="3" t="n">
        <v>21.317145</v>
      </c>
      <c r="J2977" s="3" t="n">
        <v>19.985775</v>
      </c>
      <c r="K2977" s="3" t="n">
        <v>19.300161</v>
      </c>
      <c r="L2977" s="3" t="n">
        <v>19.822133</v>
      </c>
      <c r="M2977" s="3" t="n">
        <v>25.584969</v>
      </c>
      <c r="N2977" s="3" t="n">
        <v>23.204219</v>
      </c>
      <c r="O2977" s="3" t="n">
        <v>23.992637</v>
      </c>
      <c r="P2977" s="3" t="n">
        <v>23.898753</v>
      </c>
      <c r="Q2977" s="3" t="n">
        <v>28.367834</v>
      </c>
      <c r="R2977" s="3" t="n">
        <v>32.605258</v>
      </c>
      <c r="S2977" s="3" t="n">
        <v>32.043132</v>
      </c>
      <c r="T2977" s="3" t="n">
        <v>34.277019</v>
      </c>
      <c r="U2977" s="3" t="n">
        <v>31.455903</v>
      </c>
      <c r="V2977" s="3" t="n">
        <v>37.381988</v>
      </c>
      <c r="W2977" s="3" t="n">
        <v>37.172777</v>
      </c>
      <c r="X2977" s="3" t="n">
        <v>39.683734</v>
      </c>
      <c r="Y2977" s="3" t="n">
        <v>39.330144</v>
      </c>
      <c r="Z2977" s="3" t="n">
        <v>38.99985</v>
      </c>
      <c r="AA2977" s="3" t="n">
        <v>37.148087</v>
      </c>
      <c r="AB2977" s="3" t="n">
        <v>44.527512</v>
      </c>
      <c r="AC2977" s="3" t="n">
        <v>41.322245</v>
      </c>
      <c r="AD2977" s="3" t="n">
        <v>41.461995</v>
      </c>
      <c r="AE2977" s="3" t="n">
        <v>44.332315</v>
      </c>
      <c r="AF2977" s="3" t="n">
        <v>46.77421</v>
      </c>
      <c r="AG2977" s="3" t="n">
        <v>46.278957</v>
      </c>
      <c r="AH2977" s="3" t="n">
        <v>45.007119</v>
      </c>
      <c r="AI2977" s="3" t="n">
        <v>44.858419</v>
      </c>
      <c r="AJ2977" s="3" t="n">
        <v>44.581999</v>
      </c>
      <c r="AK2977" s="3" t="n">
        <v>44.252897</v>
      </c>
      <c r="AL2977" s="3" t="n">
        <v>43.832797</v>
      </c>
      <c r="AM2977" s="3" t="n"/>
      <c r="AN2977" s="3" t="n"/>
      <c r="AO2977" s="3" t="n"/>
      <c r="AP2977" s="3" t="n"/>
      <c r="AQ2977" s="3" t="n"/>
      <c r="AR2977" s="3" t="n"/>
      <c r="AS2977" s="3" t="n"/>
      <c r="AT2977" s="3" t="n"/>
      <c r="AU2977" s="3" t="n"/>
    </row>
    <row r="2978">
      <c r="A2978" s="3" t="n">
        <v>2031</v>
      </c>
      <c r="B2978" s="3" t="inlineStr">
        <is>
          <t>TON</t>
        </is>
      </c>
      <c r="C2978" s="3" t="inlineStr">
        <is>
          <t>IMF.RES:WEO</t>
        </is>
      </c>
      <c r="D2978" s="3" t="inlineStr">
        <is>
          <t>TON.LP.A</t>
        </is>
      </c>
      <c r="E2978" s="3" t="inlineStr">
        <is>
          <t>Tonga</t>
        </is>
      </c>
      <c r="F2978" s="3" t="inlineStr">
        <is>
          <t>Population, Persons for countries / Index for country groups</t>
        </is>
      </c>
      <c r="G2978" s="3" t="n">
        <v>0.09912600000000001</v>
      </c>
      <c r="H2978" s="3" t="n">
        <v>0.099535</v>
      </c>
      <c r="I2978" s="3" t="n">
        <v>0.09994599999999999</v>
      </c>
      <c r="J2978" s="3" t="n">
        <v>0.100358</v>
      </c>
      <c r="K2978" s="3" t="n">
        <v>0.100772</v>
      </c>
      <c r="L2978" s="3" t="n">
        <v>0.101398</v>
      </c>
      <c r="M2978" s="3" t="n">
        <v>0.101991</v>
      </c>
      <c r="N2978" s="3" t="n">
        <v>0.102243</v>
      </c>
      <c r="O2978" s="3" t="n">
        <v>0.102495</v>
      </c>
      <c r="P2978" s="3" t="n">
        <v>0.102748</v>
      </c>
      <c r="Q2978" s="3" t="n">
        <v>0.103</v>
      </c>
      <c r="R2978" s="3" t="n">
        <v>0.103252</v>
      </c>
      <c r="S2978" s="3" t="n">
        <v>0.102732</v>
      </c>
      <c r="T2978" s="3" t="n">
        <v>0.102212</v>
      </c>
      <c r="U2978" s="3" t="n">
        <v>0.101691</v>
      </c>
      <c r="V2978" s="3" t="n">
        <v>0.101171</v>
      </c>
      <c r="W2978" s="3" t="n">
        <v>0.100651</v>
      </c>
      <c r="X2978" s="3" t="n">
        <v>0.100563</v>
      </c>
      <c r="Y2978" s="3" t="n">
        <v>0.100474</v>
      </c>
      <c r="Z2978" s="3" t="n">
        <v>0.100386</v>
      </c>
      <c r="AA2978" s="3" t="n">
        <v>0.100297</v>
      </c>
      <c r="AB2978" s="3" t="n">
        <v>0.100209</v>
      </c>
      <c r="AC2978" s="3" t="n">
        <v>0.09995900000000001</v>
      </c>
      <c r="AD2978" s="3" t="n">
        <v>0.09970999999999999</v>
      </c>
      <c r="AE2978" s="3" t="n">
        <v>0.09946199999999999</v>
      </c>
      <c r="AF2978" s="3" t="n">
        <v>0.099214</v>
      </c>
      <c r="AG2978" s="3" t="n">
        <v>0.098967</v>
      </c>
      <c r="AH2978" s="3" t="n">
        <v>0.098721</v>
      </c>
      <c r="AI2978" s="3" t="n">
        <v>0.09847499999999999</v>
      </c>
      <c r="AJ2978" s="3" t="n">
        <v>0.098229</v>
      </c>
      <c r="AK2978" s="3" t="n">
        <v>0.097985</v>
      </c>
      <c r="AL2978" s="3" t="n">
        <v>0.09774099999999999</v>
      </c>
      <c r="AM2978" s="3" t="n"/>
      <c r="AN2978" s="3" t="n"/>
      <c r="AO2978" s="3" t="n"/>
      <c r="AP2978" s="3" t="n"/>
      <c r="AQ2978" s="3" t="n"/>
      <c r="AR2978" s="3" t="n"/>
      <c r="AS2978" s="3" t="n"/>
      <c r="AT2978" s="3" t="n"/>
      <c r="AU2978" s="3" t="n"/>
    </row>
    <row r="2979">
      <c r="A2979" s="3" t="n">
        <v>2031</v>
      </c>
      <c r="B2979" s="3" t="inlineStr">
        <is>
          <t>TON</t>
        </is>
      </c>
      <c r="C2979" s="3" t="inlineStr">
        <is>
          <t>IMF.RES:WEO</t>
        </is>
      </c>
      <c r="D2979" s="3" t="inlineStr">
        <is>
          <t>TON.NGDP.A</t>
        </is>
      </c>
      <c r="E2979" s="3" t="inlineStr">
        <is>
          <t>Tonga</t>
        </is>
      </c>
      <c r="F2979" s="3" t="inlineStr">
        <is>
          <t>Gross domestic product (GDP), Current prices, Domestic currency</t>
        </is>
      </c>
      <c r="G2979" s="3" t="n">
        <v>0.3324</v>
      </c>
      <c r="H2979" s="3" t="n">
        <v>0.3542</v>
      </c>
      <c r="I2979" s="3" t="n">
        <v>0.398388</v>
      </c>
      <c r="J2979" s="3" t="n">
        <v>0.444033</v>
      </c>
      <c r="K2979" s="3" t="n">
        <v>0.471857</v>
      </c>
      <c r="L2979" s="3" t="n">
        <v>0.5074419999999999</v>
      </c>
      <c r="M2979" s="3" t="n">
        <v>0.5870649999999999</v>
      </c>
      <c r="N2979" s="3" t="n">
        <v>0.5978329999999999</v>
      </c>
      <c r="O2979" s="3" t="n">
        <v>0.65469</v>
      </c>
      <c r="P2979" s="3" t="n">
        <v>0.651526</v>
      </c>
      <c r="Q2979" s="3" t="n">
        <v>0.7075979999999999</v>
      </c>
      <c r="R2979" s="3" t="n">
        <v>0.759448</v>
      </c>
      <c r="S2979" s="3" t="n">
        <v>0.72317</v>
      </c>
      <c r="T2979" s="3" t="n">
        <v>0.783299</v>
      </c>
      <c r="U2979" s="3" t="n">
        <v>0.799222</v>
      </c>
      <c r="V2979" s="3" t="n">
        <v>0.850162</v>
      </c>
      <c r="W2979" s="3" t="n">
        <v>0.93321</v>
      </c>
      <c r="X2979" s="3" t="n">
        <v>1.016789</v>
      </c>
      <c r="Y2979" s="3" t="n">
        <v>1.0827</v>
      </c>
      <c r="Z2979" s="3" t="n">
        <v>1.149661</v>
      </c>
      <c r="AA2979" s="3" t="n">
        <v>1.170255</v>
      </c>
      <c r="AB2979" s="3" t="n">
        <v>1.182936</v>
      </c>
      <c r="AC2979" s="3" t="n">
        <v>1.264262</v>
      </c>
      <c r="AD2979" s="3" t="n">
        <v>1.396049</v>
      </c>
      <c r="AE2979" s="3" t="n">
        <v>1.533626</v>
      </c>
      <c r="AF2979" s="3" t="n">
        <v>1.626957</v>
      </c>
      <c r="AG2979" s="3" t="n">
        <v>1.728004</v>
      </c>
      <c r="AH2979" s="3" t="n">
        <v>1.859635</v>
      </c>
      <c r="AI2979" s="3" t="n">
        <v>1.95154</v>
      </c>
      <c r="AJ2979" s="3" t="n">
        <v>2.04797</v>
      </c>
      <c r="AK2979" s="3" t="n">
        <v>2.147671</v>
      </c>
      <c r="AL2979" s="3" t="n">
        <v>2.253436</v>
      </c>
      <c r="AM2979" s="3" t="n"/>
      <c r="AN2979" s="3" t="n"/>
      <c r="AO2979" s="3" t="n"/>
      <c r="AP2979" s="3" t="n"/>
      <c r="AQ2979" s="3" t="n"/>
      <c r="AR2979" s="3" t="n"/>
      <c r="AS2979" s="3" t="n"/>
      <c r="AT2979" s="3" t="n"/>
      <c r="AU2979" s="3" t="n"/>
    </row>
    <row r="2980">
      <c r="A2980" s="3" t="n">
        <v>2031</v>
      </c>
      <c r="B2980" s="3" t="inlineStr">
        <is>
          <t>TON</t>
        </is>
      </c>
      <c r="C2980" s="3" t="inlineStr">
        <is>
          <t>IMF.RES:WEO</t>
        </is>
      </c>
      <c r="D2980" s="3" t="inlineStr">
        <is>
          <t>TON.NGDP_D.A</t>
        </is>
      </c>
      <c r="E2980" s="3" t="inlineStr">
        <is>
          <t>Tonga</t>
        </is>
      </c>
      <c r="F2980" s="3" t="inlineStr">
        <is>
          <t>Gross domestic product (GDP), Price deflator, Index</t>
        </is>
      </c>
      <c r="G2980" s="3" t="n">
        <v>39.678956</v>
      </c>
      <c r="H2980" s="3" t="n">
        <v>41.672832</v>
      </c>
      <c r="I2980" s="3" t="n">
        <v>44.855331</v>
      </c>
      <c r="J2980" s="3" t="n">
        <v>49.966626</v>
      </c>
      <c r="K2980" s="3" t="n">
        <v>54.117791</v>
      </c>
      <c r="L2980" s="3" t="n">
        <v>58.442321</v>
      </c>
      <c r="M2980" s="3" t="n">
        <v>69.129085</v>
      </c>
      <c r="N2980" s="3" t="n">
        <v>72.202179</v>
      </c>
      <c r="O2980" s="3" t="n">
        <v>75.483253</v>
      </c>
      <c r="P2980" s="3" t="n">
        <v>79.238086</v>
      </c>
      <c r="Q2980" s="3" t="n">
        <v>85.37159200000001</v>
      </c>
      <c r="R2980" s="3" t="n">
        <v>85.77873200000001</v>
      </c>
      <c r="S2980" s="3" t="n">
        <v>79.78451099999999</v>
      </c>
      <c r="T2980" s="3" t="n">
        <v>87.399276</v>
      </c>
      <c r="U2980" s="3" t="n">
        <v>87.435581</v>
      </c>
      <c r="V2980" s="3" t="n">
        <v>91.983943</v>
      </c>
      <c r="W2980" s="3" t="n">
        <v>94.719137</v>
      </c>
      <c r="X2980" s="3" t="n">
        <v>100</v>
      </c>
      <c r="Y2980" s="3" t="n">
        <v>105.923129</v>
      </c>
      <c r="Z2980" s="3" t="n">
        <v>112.795841</v>
      </c>
      <c r="AA2980" s="3" t="n">
        <v>112.779269</v>
      </c>
      <c r="AB2980" s="3" t="n">
        <v>115.077261</v>
      </c>
      <c r="AC2980" s="3" t="n">
        <v>125.663622</v>
      </c>
      <c r="AD2980" s="3" t="n">
        <v>134.996154</v>
      </c>
      <c r="AE2980" s="3" t="n">
        <v>145.797064</v>
      </c>
      <c r="AF2980" s="3" t="n">
        <v>150.456482</v>
      </c>
      <c r="AG2980" s="3" t="n">
        <v>156.173828</v>
      </c>
      <c r="AH2980" s="3" t="n">
        <v>165.856605</v>
      </c>
      <c r="AI2980" s="3" t="n">
        <v>171.812763</v>
      </c>
      <c r="AJ2980" s="3" t="n">
        <v>178.072066</v>
      </c>
      <c r="AK2980" s="3" t="n">
        <v>184.430221</v>
      </c>
      <c r="AL2980" s="3" t="n">
        <v>191.117045</v>
      </c>
      <c r="AM2980" s="3" t="n"/>
      <c r="AN2980" s="3" t="n"/>
      <c r="AO2980" s="3" t="n"/>
      <c r="AP2980" s="3" t="n"/>
      <c r="AQ2980" s="3" t="n"/>
      <c r="AR2980" s="3" t="n"/>
      <c r="AS2980" s="3" t="n"/>
      <c r="AT2980" s="3" t="n"/>
      <c r="AU2980" s="3" t="n"/>
    </row>
    <row r="2981">
      <c r="A2981" s="3" t="n">
        <v>2031</v>
      </c>
      <c r="B2981" s="3" t="inlineStr">
        <is>
          <t>TON</t>
        </is>
      </c>
      <c r="C2981" s="3" t="inlineStr">
        <is>
          <t>IMF.RES:WEO</t>
        </is>
      </c>
      <c r="D2981" s="3" t="inlineStr">
        <is>
          <t>TON.NGDP_R.A</t>
        </is>
      </c>
      <c r="E2981" s="3" t="inlineStr">
        <is>
          <t>Tonga</t>
        </is>
      </c>
      <c r="F2981" s="3" t="inlineStr">
        <is>
          <t>Gross domestic product (GDP), Constant prices, Domestic currency</t>
        </is>
      </c>
      <c r="G2981" s="3" t="n">
        <v>0.837724</v>
      </c>
      <c r="H2981" s="3" t="n">
        <v>0.849954</v>
      </c>
      <c r="I2981" s="3" t="n">
        <v>0.888163</v>
      </c>
      <c r="J2981" s="3" t="n">
        <v>0.88866</v>
      </c>
      <c r="K2981" s="3" t="n">
        <v>0.871907</v>
      </c>
      <c r="L2981" s="3" t="n">
        <v>0.868279</v>
      </c>
      <c r="M2981" s="3" t="n">
        <v>0.84923</v>
      </c>
      <c r="N2981" s="3" t="n">
        <v>0.827999</v>
      </c>
      <c r="O2981" s="3" t="n">
        <v>0.867331</v>
      </c>
      <c r="P2981" s="3" t="n">
        <v>0.822238</v>
      </c>
      <c r="Q2981" s="3" t="n">
        <v>0.828844</v>
      </c>
      <c r="R2981" s="3" t="n">
        <v>0.8853569999999999</v>
      </c>
      <c r="S2981" s="3" t="n">
        <v>0.906404</v>
      </c>
      <c r="T2981" s="3" t="n">
        <v>0.89623</v>
      </c>
      <c r="U2981" s="3" t="n">
        <v>0.91407</v>
      </c>
      <c r="V2981" s="3" t="n">
        <v>0.92425</v>
      </c>
      <c r="W2981" s="3" t="n">
        <v>0.985239</v>
      </c>
      <c r="X2981" s="3" t="n">
        <v>1.016789</v>
      </c>
      <c r="Y2981" s="3" t="n">
        <v>1.022156</v>
      </c>
      <c r="Z2981" s="3" t="n">
        <v>1.019241</v>
      </c>
      <c r="AA2981" s="3" t="n">
        <v>1.03765</v>
      </c>
      <c r="AB2981" s="3" t="n">
        <v>1.027949</v>
      </c>
      <c r="AC2981" s="3" t="n">
        <v>1.006069</v>
      </c>
      <c r="AD2981" s="3" t="n">
        <v>1.03414</v>
      </c>
      <c r="AE2981" s="3" t="n">
        <v>1.051891</v>
      </c>
      <c r="AF2981" s="3" t="n">
        <v>1.081347</v>
      </c>
      <c r="AG2981" s="3" t="n">
        <v>1.106462</v>
      </c>
      <c r="AH2981" s="3" t="n">
        <v>1.121231</v>
      </c>
      <c r="AI2981" s="3" t="n">
        <v>1.135853</v>
      </c>
      <c r="AJ2981" s="3" t="n">
        <v>1.150079</v>
      </c>
      <c r="AK2981" s="3" t="n">
        <v>1.16449</v>
      </c>
      <c r="AL2981" s="3" t="n">
        <v>1.179087</v>
      </c>
      <c r="AM2981" s="3" t="n"/>
      <c r="AN2981" s="3" t="n"/>
      <c r="AO2981" s="3" t="n"/>
      <c r="AP2981" s="3" t="n"/>
      <c r="AQ2981" s="3" t="n"/>
      <c r="AR2981" s="3" t="n"/>
      <c r="AS2981" s="3" t="n"/>
      <c r="AT2981" s="3" t="n"/>
      <c r="AU2981" s="3" t="n"/>
    </row>
    <row r="2982">
      <c r="A2982" s="3" t="n">
        <v>2031</v>
      </c>
      <c r="B2982" s="3" t="inlineStr">
        <is>
          <t>TON</t>
        </is>
      </c>
      <c r="C2982" s="3" t="inlineStr">
        <is>
          <t>IMF.RES:WEO</t>
        </is>
      </c>
      <c r="D2982" s="3" t="inlineStr">
        <is>
          <t>TON.NGDP_RPCH.A</t>
        </is>
      </c>
      <c r="E2982" s="3" t="inlineStr">
        <is>
          <t>Tonga</t>
        </is>
      </c>
      <c r="F2982" s="3" t="inlineStr">
        <is>
          <t>Gross domestic product (GDP), Constant prices, Percent change</t>
        </is>
      </c>
      <c r="G2982" s="3" t="n">
        <v>3.765852</v>
      </c>
      <c r="H2982" s="3" t="n">
        <v>1.459977</v>
      </c>
      <c r="I2982" s="3" t="n">
        <v>4.49534</v>
      </c>
      <c r="J2982" s="3" t="n">
        <v>0.055967</v>
      </c>
      <c r="K2982" s="3" t="n">
        <v>-1.885122</v>
      </c>
      <c r="L2982" s="3" t="n">
        <v>-0.41616</v>
      </c>
      <c r="M2982" s="3" t="n">
        <v>-2.193825</v>
      </c>
      <c r="N2982" s="3" t="n">
        <v>-2.500065</v>
      </c>
      <c r="O2982" s="3" t="n">
        <v>4.750284</v>
      </c>
      <c r="P2982" s="3" t="n">
        <v>-5.199106</v>
      </c>
      <c r="Q2982" s="3" t="n">
        <v>0.80349</v>
      </c>
      <c r="R2982" s="3" t="n">
        <v>6.818279</v>
      </c>
      <c r="S2982" s="3" t="n">
        <v>2.377195</v>
      </c>
      <c r="T2982" s="3" t="n">
        <v>-1.122439</v>
      </c>
      <c r="U2982" s="3" t="n">
        <v>1.99054</v>
      </c>
      <c r="V2982" s="3" t="n">
        <v>1.113744</v>
      </c>
      <c r="W2982" s="3" t="n">
        <v>6.598704</v>
      </c>
      <c r="X2982" s="3" t="n">
        <v>3.202317</v>
      </c>
      <c r="Y2982" s="3" t="n">
        <v>0.527827</v>
      </c>
      <c r="Z2982" s="3" t="n">
        <v>-0.285209</v>
      </c>
      <c r="AA2982" s="3" t="n">
        <v>1.806187</v>
      </c>
      <c r="AB2982" s="3" t="n">
        <v>-0.934926</v>
      </c>
      <c r="AC2982" s="3" t="n">
        <v>-2.128545</v>
      </c>
      <c r="AD2982" s="3" t="n">
        <v>2.790144</v>
      </c>
      <c r="AE2982" s="3" t="n">
        <v>1.716541</v>
      </c>
      <c r="AF2982" s="3" t="n">
        <v>2.800332</v>
      </c>
      <c r="AG2982" s="3" t="n">
        <v>2.322543</v>
      </c>
      <c r="AH2982" s="3" t="n">
        <v>1.334741</v>
      </c>
      <c r="AI2982" s="3" t="n">
        <v>1.304135</v>
      </c>
      <c r="AJ2982" s="3" t="n">
        <v>1.252464</v>
      </c>
      <c r="AK2982" s="3" t="n">
        <v>1.253002</v>
      </c>
      <c r="AL2982" s="3" t="n">
        <v>1.253542</v>
      </c>
      <c r="AM2982" s="3" t="n"/>
      <c r="AN2982" s="3" t="n"/>
      <c r="AO2982" s="3" t="n"/>
      <c r="AP2982" s="3" t="n"/>
      <c r="AQ2982" s="3" t="n"/>
      <c r="AR2982" s="3" t="n"/>
      <c r="AS2982" s="3" t="n"/>
      <c r="AT2982" s="3" t="n"/>
      <c r="AU2982" s="3" t="n"/>
    </row>
    <row r="2983">
      <c r="A2983" s="3" t="n">
        <v>2031</v>
      </c>
      <c r="B2983" s="3" t="inlineStr">
        <is>
          <t>TON</t>
        </is>
      </c>
      <c r="C2983" s="3" t="inlineStr">
        <is>
          <t>IMF.RES:WEO</t>
        </is>
      </c>
      <c r="D2983" s="3" t="inlineStr">
        <is>
          <t>TON.NGDPD.A</t>
        </is>
      </c>
      <c r="E2983" s="3" t="inlineStr">
        <is>
          <t>Tonga</t>
        </is>
      </c>
      <c r="F2983" s="3" t="inlineStr">
        <is>
          <t>Gross domestic product (GDP), Current prices, US dollar</t>
        </is>
      </c>
      <c r="G2983" s="3" t="n">
        <v>0.202793</v>
      </c>
      <c r="H2983" s="3" t="n">
        <v>0.180973</v>
      </c>
      <c r="I2983" s="3" t="n">
        <v>0.182764</v>
      </c>
      <c r="J2983" s="3" t="n">
        <v>0.202247</v>
      </c>
      <c r="K2983" s="3" t="n">
        <v>0.230658</v>
      </c>
      <c r="L2983" s="3" t="n">
        <v>0.261804</v>
      </c>
      <c r="M2983" s="3" t="n">
        <v>0.292231</v>
      </c>
      <c r="N2983" s="3" t="n">
        <v>0.298519</v>
      </c>
      <c r="O2983" s="3" t="n">
        <v>0.344436</v>
      </c>
      <c r="P2983" s="3" t="n">
        <v>0.312378</v>
      </c>
      <c r="Q2983" s="3" t="n">
        <v>0.366832</v>
      </c>
      <c r="R2983" s="3" t="n">
        <v>0.414533</v>
      </c>
      <c r="S2983" s="3" t="n">
        <v>0.426666</v>
      </c>
      <c r="T2983" s="3" t="n">
        <v>0.451789</v>
      </c>
      <c r="U2983" s="3" t="n">
        <v>0.440998</v>
      </c>
      <c r="V2983" s="3" t="n">
        <v>0.437525</v>
      </c>
      <c r="W2983" s="3" t="n">
        <v>0.420828</v>
      </c>
      <c r="X2983" s="3" t="n">
        <v>0.459977</v>
      </c>
      <c r="Y2983" s="3" t="n">
        <v>0.485252</v>
      </c>
      <c r="Z2983" s="3" t="n">
        <v>0.505449</v>
      </c>
      <c r="AA2983" s="3" t="n">
        <v>0.51233</v>
      </c>
      <c r="AB2983" s="3" t="n">
        <v>0.520799</v>
      </c>
      <c r="AC2983" s="3" t="n">
        <v>0.553299</v>
      </c>
      <c r="AD2983" s="3" t="n">
        <v>0.596203</v>
      </c>
      <c r="AE2983" s="3" t="n">
        <v>0.646258</v>
      </c>
      <c r="AF2983" s="3" t="n">
        <v>0.680386</v>
      </c>
      <c r="AG2983" s="3" t="n">
        <v>0.716325</v>
      </c>
      <c r="AH2983" s="3" t="n">
        <v>0.75274</v>
      </c>
      <c r="AI2983" s="3" t="n">
        <v>0.7705149999999999</v>
      </c>
      <c r="AJ2983" s="3" t="n">
        <v>0.797478</v>
      </c>
      <c r="AK2983" s="3" t="n">
        <v>0.824896</v>
      </c>
      <c r="AL2983" s="3" t="n">
        <v>0.853783</v>
      </c>
      <c r="AM2983" s="3" t="n"/>
      <c r="AN2983" s="3" t="n"/>
      <c r="AO2983" s="3" t="n"/>
      <c r="AP2983" s="3" t="n"/>
      <c r="AQ2983" s="3" t="n"/>
      <c r="AR2983" s="3" t="n"/>
      <c r="AS2983" s="3" t="n"/>
      <c r="AT2983" s="3" t="n"/>
      <c r="AU2983" s="3" t="n"/>
    </row>
    <row r="2984">
      <c r="A2984" s="3" t="n">
        <v>2031</v>
      </c>
      <c r="B2984" s="3" t="inlineStr">
        <is>
          <t>TON</t>
        </is>
      </c>
      <c r="C2984" s="3" t="inlineStr">
        <is>
          <t>IMF.RES:WEO</t>
        </is>
      </c>
      <c r="D2984" s="3" t="inlineStr">
        <is>
          <t>TON.NGDPPC.A</t>
        </is>
      </c>
      <c r="E2984" s="3" t="inlineStr">
        <is>
          <t>Tonga</t>
        </is>
      </c>
      <c r="F2984" s="3" t="inlineStr">
        <is>
          <t>Gross domestic product (GDP), Current prices, Per capita, Domestic currency</t>
        </is>
      </c>
      <c r="G2984" s="3" t="n">
        <v>3353.306136</v>
      </c>
      <c r="H2984" s="3" t="n">
        <v>3558.544053</v>
      </c>
      <c r="I2984" s="3" t="n">
        <v>3986.042427</v>
      </c>
      <c r="J2984" s="3" t="n">
        <v>4424.482476</v>
      </c>
      <c r="K2984" s="3" t="n">
        <v>4682.405045</v>
      </c>
      <c r="L2984" s="3" t="n">
        <v>5004.438751</v>
      </c>
      <c r="M2984" s="3" t="n">
        <v>5756.04827</v>
      </c>
      <c r="N2984" s="3" t="n">
        <v>5847.169257</v>
      </c>
      <c r="O2984" s="3" t="n">
        <v>6387.504843</v>
      </c>
      <c r="P2984" s="3" t="n">
        <v>6341.028895</v>
      </c>
      <c r="Q2984" s="3" t="n">
        <v>6869.89349</v>
      </c>
      <c r="R2984" s="3" t="n">
        <v>7355.288842</v>
      </c>
      <c r="S2984" s="3" t="n">
        <v>7039.397733</v>
      </c>
      <c r="T2984" s="3" t="n">
        <v>7663.500818</v>
      </c>
      <c r="U2984" s="3" t="n">
        <v>7859.291991</v>
      </c>
      <c r="V2984" s="3" t="n">
        <v>8403.201228</v>
      </c>
      <c r="W2984" s="3" t="n">
        <v>9271.739151</v>
      </c>
      <c r="X2984" s="3" t="n">
        <v>10111.00953</v>
      </c>
      <c r="Y2984" s="3" t="n">
        <v>10775.900035</v>
      </c>
      <c r="Z2984" s="3" t="n">
        <v>11452.431324</v>
      </c>
      <c r="AA2984" s="3" t="n">
        <v>11667.845396</v>
      </c>
      <c r="AB2984" s="3" t="n">
        <v>11804.685513</v>
      </c>
      <c r="AC2984" s="3" t="n">
        <v>12647.760416</v>
      </c>
      <c r="AD2984" s="3" t="n">
        <v>14001.031311</v>
      </c>
      <c r="AE2984" s="3" t="n">
        <v>15419.209067</v>
      </c>
      <c r="AF2984" s="3" t="n">
        <v>16398.413749</v>
      </c>
      <c r="AG2984" s="3" t="n">
        <v>17460.377174</v>
      </c>
      <c r="AH2984" s="3" t="n">
        <v>18837.341079</v>
      </c>
      <c r="AI2984" s="3" t="n">
        <v>19817.667056</v>
      </c>
      <c r="AJ2984" s="3" t="n">
        <v>20848.826163</v>
      </c>
      <c r="AK2984" s="3" t="n">
        <v>21918.403006</v>
      </c>
      <c r="AL2984" s="3" t="n">
        <v>23055.235929</v>
      </c>
      <c r="AM2984" s="3" t="n"/>
      <c r="AN2984" s="3" t="n"/>
      <c r="AO2984" s="3" t="n"/>
      <c r="AP2984" s="3" t="n"/>
      <c r="AQ2984" s="3" t="n"/>
      <c r="AR2984" s="3" t="n"/>
      <c r="AS2984" s="3" t="n"/>
      <c r="AT2984" s="3" t="n"/>
      <c r="AU2984" s="3" t="n"/>
    </row>
    <row r="2985">
      <c r="A2985" s="3" t="n">
        <v>2031</v>
      </c>
      <c r="B2985" s="3" t="inlineStr">
        <is>
          <t>TON</t>
        </is>
      </c>
      <c r="C2985" s="3" t="inlineStr">
        <is>
          <t>IMF.RES:WEO</t>
        </is>
      </c>
      <c r="D2985" s="3" t="inlineStr">
        <is>
          <t>TON.NGDPRPC.A</t>
        </is>
      </c>
      <c r="E2985" s="3" t="inlineStr">
        <is>
          <t>Tonga</t>
        </is>
      </c>
      <c r="F2985" s="3" t="inlineStr">
        <is>
          <t>Gross domestic product (GDP), Constant prices, Per capita, Domestic currency</t>
        </is>
      </c>
      <c r="G2985" s="3" t="n">
        <v>8451.094765</v>
      </c>
      <c r="H2985" s="3" t="n">
        <v>8539.242203</v>
      </c>
      <c r="I2985" s="3" t="n">
        <v>8886.440858</v>
      </c>
      <c r="J2985" s="3" t="n">
        <v>8854.875327</v>
      </c>
      <c r="K2985" s="3" t="n">
        <v>8652.247216</v>
      </c>
      <c r="L2985" s="3" t="n">
        <v>8563.039026</v>
      </c>
      <c r="M2985" s="3" t="n">
        <v>8326.521714</v>
      </c>
      <c r="N2985" s="3" t="n">
        <v>8098.328017</v>
      </c>
      <c r="O2985" s="3" t="n">
        <v>8462.148300999999</v>
      </c>
      <c r="P2985" s="3" t="n">
        <v>8002.501293</v>
      </c>
      <c r="Q2985" s="3" t="n">
        <v>8047.048622</v>
      </c>
      <c r="R2985" s="3" t="n">
        <v>8574.723260000001</v>
      </c>
      <c r="S2985" s="3" t="n">
        <v>8823.012933</v>
      </c>
      <c r="T2985" s="3" t="n">
        <v>8768.380161999999</v>
      </c>
      <c r="U2985" s="3" t="n">
        <v>8988.665580999999</v>
      </c>
      <c r="V2985" s="3" t="n">
        <v>9135.508793000001</v>
      </c>
      <c r="W2985" s="3" t="n">
        <v>9788.665168</v>
      </c>
      <c r="X2985" s="3" t="n">
        <v>10111.00953</v>
      </c>
      <c r="Y2985" s="3" t="n">
        <v>10173.321099</v>
      </c>
      <c r="Z2985" s="3" t="n">
        <v>10153.238995</v>
      </c>
      <c r="AA2985" s="3" t="n">
        <v>10345.735996</v>
      </c>
      <c r="AB2985" s="3" t="n">
        <v>10258.052218</v>
      </c>
      <c r="AC2985" s="3" t="n">
        <v>10064.774648</v>
      </c>
      <c r="AD2985" s="3" t="n">
        <v>10371.429785</v>
      </c>
      <c r="AE2985" s="3" t="n">
        <v>10575.80216</v>
      </c>
      <c r="AF2985" s="3" t="n">
        <v>10899.107538</v>
      </c>
      <c r="AG2985" s="3" t="n">
        <v>11180.091688</v>
      </c>
      <c r="AH2985" s="3" t="n">
        <v>11357.606789</v>
      </c>
      <c r="AI2985" s="3" t="n">
        <v>11534.455728</v>
      </c>
      <c r="AJ2985" s="3" t="n">
        <v>11708.083479</v>
      </c>
      <c r="AK2985" s="3" t="n">
        <v>11884.387978</v>
      </c>
      <c r="AL2985" s="3" t="n">
        <v>12063.411711</v>
      </c>
      <c r="AM2985" s="3" t="n"/>
      <c r="AN2985" s="3" t="n"/>
      <c r="AO2985" s="3" t="n"/>
      <c r="AP2985" s="3" t="n"/>
      <c r="AQ2985" s="3" t="n"/>
      <c r="AR2985" s="3" t="n"/>
      <c r="AS2985" s="3" t="n"/>
      <c r="AT2985" s="3" t="n"/>
      <c r="AU2985" s="3" t="n"/>
    </row>
    <row r="2986">
      <c r="A2986" s="3" t="n">
        <v>2031</v>
      </c>
      <c r="B2986" s="3" t="inlineStr">
        <is>
          <t>TON</t>
        </is>
      </c>
      <c r="C2986" s="3" t="inlineStr">
        <is>
          <t>IMF.RES:WEO</t>
        </is>
      </c>
      <c r="D2986" s="3" t="inlineStr">
        <is>
          <t>TON.PCPI.A</t>
        </is>
      </c>
      <c r="E2986" s="3" t="inlineStr">
        <is>
          <t>Tonga</t>
        </is>
      </c>
      <c r="F2986" s="3" t="inlineStr">
        <is>
          <t>All Items, Consumer price index (CPI), Period average</t>
        </is>
      </c>
      <c r="G2986" s="3" t="n">
        <v>34.174435</v>
      </c>
      <c r="H2986" s="3" t="n">
        <v>36.652615</v>
      </c>
      <c r="I2986" s="3" t="n">
        <v>40.313457</v>
      </c>
      <c r="J2986" s="3" t="n">
        <v>44.614601</v>
      </c>
      <c r="K2986" s="3" t="n">
        <v>49.860864</v>
      </c>
      <c r="L2986" s="3" t="n">
        <v>54.838193</v>
      </c>
      <c r="M2986" s="3" t="n">
        <v>58.812028</v>
      </c>
      <c r="N2986" s="3" t="n">
        <v>61.776348</v>
      </c>
      <c r="O2986" s="3" t="n">
        <v>67.71701299999999</v>
      </c>
      <c r="P2986" s="3" t="n">
        <v>71.42834000000001</v>
      </c>
      <c r="Q2986" s="3" t="n">
        <v>72.623971</v>
      </c>
      <c r="R2986" s="3" t="n">
        <v>76.995744</v>
      </c>
      <c r="S2986" s="3" t="n">
        <v>79.524824</v>
      </c>
      <c r="T2986" s="3" t="n">
        <v>80.061893</v>
      </c>
      <c r="U2986" s="3" t="n">
        <v>81.892121</v>
      </c>
      <c r="V2986" s="3" t="n">
        <v>81.936193</v>
      </c>
      <c r="W2986" s="3" t="n">
        <v>81.42771999999999</v>
      </c>
      <c r="X2986" s="3" t="n">
        <v>87.291248</v>
      </c>
      <c r="Y2986" s="3" t="n">
        <v>92.609554</v>
      </c>
      <c r="Z2986" s="3" t="n">
        <v>96.44941</v>
      </c>
      <c r="AA2986" s="3" t="n">
        <v>96.68096199999999</v>
      </c>
      <c r="AB2986" s="3" t="n">
        <v>97.248992</v>
      </c>
      <c r="AC2986" s="3" t="n">
        <v>103.618763</v>
      </c>
      <c r="AD2986" s="3" t="n">
        <v>116.626806</v>
      </c>
      <c r="AE2986" s="3" t="n">
        <v>125.958002</v>
      </c>
      <c r="AF2986" s="3" t="n">
        <v>129.983398</v>
      </c>
      <c r="AG2986" s="3" t="n">
        <v>134.922767</v>
      </c>
      <c r="AH2986" s="3" t="n">
        <v>143.287979</v>
      </c>
      <c r="AI2986" s="3" t="n">
        <v>148.433663</v>
      </c>
      <c r="AJ2986" s="3" t="n">
        <v>153.841244</v>
      </c>
      <c r="AK2986" s="3" t="n">
        <v>159.334225</v>
      </c>
      <c r="AL2986" s="3" t="n">
        <v>165.111151</v>
      </c>
      <c r="AM2986" s="3" t="n"/>
      <c r="AN2986" s="3" t="n"/>
      <c r="AO2986" s="3" t="n"/>
      <c r="AP2986" s="3" t="n"/>
      <c r="AQ2986" s="3" t="n"/>
      <c r="AR2986" s="3" t="n"/>
      <c r="AS2986" s="3" t="n"/>
      <c r="AT2986" s="3" t="n"/>
      <c r="AU2986" s="3" t="n"/>
    </row>
    <row r="2987">
      <c r="A2987" s="3" t="n">
        <v>2031</v>
      </c>
      <c r="B2987" s="3" t="inlineStr">
        <is>
          <t>TON</t>
        </is>
      </c>
      <c r="C2987" s="3" t="inlineStr">
        <is>
          <t>IMF.RES:WEO</t>
        </is>
      </c>
      <c r="D2987" s="3" t="inlineStr">
        <is>
          <t>TON.PCPIPCH.A</t>
        </is>
      </c>
      <c r="E2987" s="3" t="inlineStr">
        <is>
          <t>Tonga</t>
        </is>
      </c>
      <c r="F2987" s="3" t="inlineStr">
        <is>
          <t>All Items, Consumer price index (CPI), Period average, percent change</t>
        </is>
      </c>
      <c r="G2987" s="3" t="n">
        <v>4.931589</v>
      </c>
      <c r="H2987" s="3" t="n">
        <v>7.25156</v>
      </c>
      <c r="I2987" s="3" t="n">
        <v>9.987940999999999</v>
      </c>
      <c r="J2987" s="3" t="n">
        <v>10.669253</v>
      </c>
      <c r="K2987" s="3" t="n">
        <v>11.759072</v>
      </c>
      <c r="L2987" s="3" t="n">
        <v>9.982436</v>
      </c>
      <c r="M2987" s="3" t="n">
        <v>7.246473</v>
      </c>
      <c r="N2987" s="3" t="n">
        <v>5.04033</v>
      </c>
      <c r="O2987" s="3" t="n">
        <v>9.616406</v>
      </c>
      <c r="P2987" s="3" t="n">
        <v>5.480643</v>
      </c>
      <c r="Q2987" s="3" t="n">
        <v>1.673888</v>
      </c>
      <c r="R2987" s="3" t="n">
        <v>6.019738</v>
      </c>
      <c r="S2987" s="3" t="n">
        <v>3.284701</v>
      </c>
      <c r="T2987" s="3" t="n">
        <v>0.6753479999999999</v>
      </c>
      <c r="U2987" s="3" t="n">
        <v>2.286016</v>
      </c>
      <c r="V2987" s="3" t="n">
        <v>0.053817</v>
      </c>
      <c r="W2987" s="3" t="n">
        <v>-0.620572</v>
      </c>
      <c r="X2987" s="3" t="n">
        <v>7.200899</v>
      </c>
      <c r="Y2987" s="3" t="n">
        <v>6.092599</v>
      </c>
      <c r="Z2987" s="3" t="n">
        <v>4.146285</v>
      </c>
      <c r="AA2987" s="3" t="n">
        <v>0.240076</v>
      </c>
      <c r="AB2987" s="3" t="n">
        <v>0.587531</v>
      </c>
      <c r="AC2987" s="3" t="n">
        <v>6.549962</v>
      </c>
      <c r="AD2987" s="3" t="n">
        <v>12.553751</v>
      </c>
      <c r="AE2987" s="3" t="n">
        <v>8.000902</v>
      </c>
      <c r="AF2987" s="3" t="n">
        <v>3.195824</v>
      </c>
      <c r="AG2987" s="3" t="n">
        <v>3.8</v>
      </c>
      <c r="AH2987" s="3" t="n">
        <v>6.2</v>
      </c>
      <c r="AI2987" s="3" t="n">
        <v>3.591149</v>
      </c>
      <c r="AJ2987" s="3" t="n">
        <v>3.643096</v>
      </c>
      <c r="AK2987" s="3" t="n">
        <v>3.570551</v>
      </c>
      <c r="AL2987" s="3" t="n">
        <v>3.625666</v>
      </c>
      <c r="AM2987" s="3" t="n"/>
      <c r="AN2987" s="3" t="n"/>
      <c r="AO2987" s="3" t="n"/>
      <c r="AP2987" s="3" t="n"/>
      <c r="AQ2987" s="3" t="n"/>
      <c r="AR2987" s="3" t="n"/>
      <c r="AS2987" s="3" t="n"/>
      <c r="AT2987" s="3" t="n"/>
      <c r="AU2987" s="3" t="n"/>
    </row>
    <row r="2988">
      <c r="A2988" s="3" t="n">
        <v>2031</v>
      </c>
      <c r="B2988" s="3" t="inlineStr">
        <is>
          <t>TON</t>
        </is>
      </c>
      <c r="C2988" s="3" t="inlineStr">
        <is>
          <t>IMF.RES:WEO</t>
        </is>
      </c>
      <c r="D2988" s="3" t="inlineStr">
        <is>
          <t>TON.PPPPC.A</t>
        </is>
      </c>
      <c r="E2988" s="3" t="inlineStr">
        <is>
          <t>Tonga</t>
        </is>
      </c>
      <c r="F2988" s="3" t="inlineStr">
        <is>
          <t>Gross domestic product (GDP), Per capita, purchasing power parity (PPP) international dollar, ICP benchmarks 2017-2021</t>
        </is>
      </c>
      <c r="G2988" s="3" t="n">
        <v>3516.612815</v>
      </c>
      <c r="H2988" s="3" t="n">
        <v>3633.298785</v>
      </c>
      <c r="I2988" s="3" t="n">
        <v>3839.784256</v>
      </c>
      <c r="J2988" s="3" t="n">
        <v>3901.681311</v>
      </c>
      <c r="K2988" s="3" t="n">
        <v>3914.909116</v>
      </c>
      <c r="L2988" s="3" t="n">
        <v>3996.043595</v>
      </c>
      <c r="M2988" s="3" t="n">
        <v>4005.499474</v>
      </c>
      <c r="N2988" s="3" t="n">
        <v>4001.271922</v>
      </c>
      <c r="O2988" s="3" t="n">
        <v>4261.574337</v>
      </c>
      <c r="P2988" s="3" t="n">
        <v>4054.949405</v>
      </c>
      <c r="Q2988" s="3" t="n">
        <v>4127.079158</v>
      </c>
      <c r="R2988" s="3" t="n">
        <v>4488.442568</v>
      </c>
      <c r="S2988" s="3" t="n">
        <v>4704.401561</v>
      </c>
      <c r="T2988" s="3" t="n">
        <v>4754.844898</v>
      </c>
      <c r="U2988" s="3" t="n">
        <v>4959.195857</v>
      </c>
      <c r="V2988" s="3" t="n">
        <v>5086.987539</v>
      </c>
      <c r="W2988" s="3" t="n">
        <v>5502.482781</v>
      </c>
      <c r="X2988" s="3" t="n">
        <v>5785.470036</v>
      </c>
      <c r="Y2988" s="3" t="n">
        <v>5954.474026</v>
      </c>
      <c r="Z2988" s="3" t="n">
        <v>6040.812668</v>
      </c>
      <c r="AA2988" s="3" t="n">
        <v>6238.108502</v>
      </c>
      <c r="AB2988" s="3" t="n">
        <v>6467.481857</v>
      </c>
      <c r="AC2988" s="3" t="n">
        <v>6796.951582</v>
      </c>
      <c r="AD2988" s="3" t="n">
        <v>7263.194069</v>
      </c>
      <c r="AE2988" s="3" t="n">
        <v>7590.18281</v>
      </c>
      <c r="AF2988" s="3" t="n">
        <v>8044.11496</v>
      </c>
      <c r="AG2988" s="3" t="n">
        <v>8487.889101999999</v>
      </c>
      <c r="AH2988" s="3" t="n">
        <v>8812.003108999999</v>
      </c>
      <c r="AI2988" s="3" t="n">
        <v>9096.106092</v>
      </c>
      <c r="AJ2988" s="3" t="n">
        <v>9397.202739</v>
      </c>
      <c r="AK2988" s="3" t="n">
        <v>9713.985513</v>
      </c>
      <c r="AL2988" s="3" t="n">
        <v>10038.323233</v>
      </c>
      <c r="AM2988" s="3" t="n"/>
      <c r="AN2988" s="3" t="n"/>
      <c r="AO2988" s="3" t="n"/>
      <c r="AP2988" s="3" t="n"/>
      <c r="AQ2988" s="3" t="n"/>
      <c r="AR2988" s="3" t="n"/>
      <c r="AS2988" s="3" t="n"/>
      <c r="AT2988" s="3" t="n"/>
      <c r="AU2988" s="3" t="n"/>
    </row>
    <row r="2989">
      <c r="A2989" s="3" t="n">
        <v>2025</v>
      </c>
      <c r="B2989" s="3" t="inlineStr">
        <is>
          <t>TON</t>
        </is>
      </c>
      <c r="C2989" s="3" t="inlineStr">
        <is>
          <t>IMF.STA:ER</t>
        </is>
      </c>
      <c r="D2989" s="3" t="inlineStr">
        <is>
          <t>TON.XDC_USD.PA_RT.A</t>
        </is>
      </c>
      <c r="E2989" s="3" t="inlineStr">
        <is>
          <t>Tonga</t>
        </is>
      </c>
      <c r="F2989" s="3" t="inlineStr">
        <is>
          <t>Domestic currency per US Dollar</t>
        </is>
      </c>
      <c r="G2989" s="3" t="n">
        <v>1.75850260417167</v>
      </c>
      <c r="H2989" s="3" t="n">
        <v>2.12357416892488</v>
      </c>
      <c r="I2989" s="3" t="n">
        <v>2.19518733528737</v>
      </c>
      <c r="J2989" s="3" t="n">
        <v>2.14589225200159</v>
      </c>
      <c r="K2989" s="3" t="n">
        <v>1.97156279313261</v>
      </c>
      <c r="L2989" s="3" t="n">
        <v>1.94303621693648</v>
      </c>
      <c r="M2989" s="3" t="n">
        <v>2.02588079490913</v>
      </c>
      <c r="N2989" s="3" t="n">
        <v>1.97093365696188</v>
      </c>
      <c r="O2989" s="3" t="n">
        <v>1.94244425686853</v>
      </c>
      <c r="P2989" s="3" t="n">
        <v>2.03449361322879</v>
      </c>
      <c r="Q2989" s="3" t="n">
        <v>1.90598784238353</v>
      </c>
      <c r="R2989" s="3" t="n">
        <v>1.72895070977832</v>
      </c>
      <c r="S2989" s="3" t="n">
        <v>1.71950701586164</v>
      </c>
      <c r="T2989" s="3" t="n">
        <v>1.77371311869906</v>
      </c>
      <c r="U2989" s="3" t="n">
        <v>1.84677368453545</v>
      </c>
      <c r="V2989" s="3" t="n">
        <v>2.10576325744967</v>
      </c>
      <c r="W2989" s="3" t="n">
        <v>2.21566110422527</v>
      </c>
      <c r="X2989" s="3" t="n">
        <v>2.2059726971784</v>
      </c>
      <c r="Y2989" s="3" t="n">
        <v>2.23657147594223</v>
      </c>
      <c r="Z2989" s="3" t="n">
        <v>2.28948563032632</v>
      </c>
      <c r="AA2989" s="3" t="n">
        <v>2.29956150787888</v>
      </c>
      <c r="AB2989" s="3" t="n">
        <v>2.26495960050054</v>
      </c>
      <c r="AC2989" s="3" t="n">
        <v>2.32792982731643</v>
      </c>
      <c r="AD2989" s="3" t="n">
        <v>2.36369881809753</v>
      </c>
      <c r="AE2989" s="3" t="n">
        <v>2.37304157408368</v>
      </c>
      <c r="AF2989" s="3" t="n">
        <v>2.41052686435725</v>
      </c>
      <c r="AG2989" s="3" t="n"/>
      <c r="AH2989" s="3" t="n"/>
      <c r="AI2989" s="3" t="n"/>
      <c r="AJ2989" s="3" t="n"/>
      <c r="AK2989" s="3" t="n"/>
      <c r="AL2989" s="3" t="n"/>
      <c r="AM2989" s="3" t="n"/>
      <c r="AN2989" s="3" t="n"/>
      <c r="AO2989" s="3" t="n"/>
      <c r="AP2989" s="3" t="n"/>
      <c r="AQ2989" s="3" t="n"/>
      <c r="AR2989" s="3" t="n"/>
      <c r="AS2989" s="3" t="n"/>
      <c r="AT2989" s="3" t="n"/>
      <c r="AU2989" s="3" t="n"/>
    </row>
    <row r="2990">
      <c r="A2990" s="3" t="n">
        <v>2031</v>
      </c>
      <c r="B2990" s="3" t="inlineStr">
        <is>
          <t>TTO</t>
        </is>
      </c>
      <c r="C2990" s="3" t="inlineStr">
        <is>
          <t>IMF.RES:WEO</t>
        </is>
      </c>
      <c r="D2990" s="3" t="inlineStr">
        <is>
          <t>TTO.BCA.A</t>
        </is>
      </c>
      <c r="E2990" s="3" t="inlineStr">
        <is>
          <t>Trinidad and Tobago</t>
        </is>
      </c>
      <c r="F2990" s="3" t="inlineStr">
        <is>
          <t>Current account balance (credit less debit), US dollar</t>
        </is>
      </c>
      <c r="G2990" s="3" t="n">
        <v>0.5443</v>
      </c>
      <c r="H2990" s="3" t="n">
        <v>0.416</v>
      </c>
      <c r="I2990" s="3" t="n">
        <v>0.0764</v>
      </c>
      <c r="J2990" s="3" t="n">
        <v>0.9847</v>
      </c>
      <c r="K2990" s="3" t="n">
        <v>1.792859</v>
      </c>
      <c r="L2990" s="3" t="n">
        <v>3.881347</v>
      </c>
      <c r="M2990" s="3" t="n">
        <v>7.124822</v>
      </c>
      <c r="N2990" s="3" t="n">
        <v>5.166461</v>
      </c>
      <c r="O2990" s="3" t="n">
        <v>8.499029</v>
      </c>
      <c r="P2990" s="3" t="n">
        <v>1.632776</v>
      </c>
      <c r="Q2990" s="3" t="n">
        <v>4.172327</v>
      </c>
      <c r="R2990" s="3" t="n">
        <v>4.708371</v>
      </c>
      <c r="S2990" s="3" t="n">
        <v>3.86651</v>
      </c>
      <c r="T2990" s="3" t="n">
        <v>5.571337</v>
      </c>
      <c r="U2990" s="3" t="n">
        <v>4.154503</v>
      </c>
      <c r="V2990" s="3" t="n">
        <v>2.057151</v>
      </c>
      <c r="W2990" s="3" t="n">
        <v>-0.776383</v>
      </c>
      <c r="X2990" s="3" t="n">
        <v>1.409192</v>
      </c>
      <c r="Y2990" s="3" t="n">
        <v>1.625843</v>
      </c>
      <c r="Z2990" s="3" t="n">
        <v>1.020144</v>
      </c>
      <c r="AA2990" s="3" t="n">
        <v>-1.356411</v>
      </c>
      <c r="AB2990" s="3" t="n">
        <v>2.629308</v>
      </c>
      <c r="AC2990" s="3" t="n">
        <v>2.882552</v>
      </c>
      <c r="AD2990" s="3" t="n">
        <v>2.891453</v>
      </c>
      <c r="AE2990" s="3" t="n">
        <v>0.6454800000000001</v>
      </c>
      <c r="AF2990" s="3" t="n">
        <v>0.8123860000000001</v>
      </c>
      <c r="AG2990" s="3" t="n">
        <v>1.030721</v>
      </c>
      <c r="AH2990" s="3" t="n">
        <v>1.364946</v>
      </c>
      <c r="AI2990" s="3" t="n">
        <v>1.62422</v>
      </c>
      <c r="AJ2990" s="3" t="n">
        <v>1.308208</v>
      </c>
      <c r="AK2990" s="3" t="n">
        <v>1.348235</v>
      </c>
      <c r="AL2990" s="3" t="n">
        <v>1.3851</v>
      </c>
      <c r="AM2990" s="3" t="n"/>
      <c r="AN2990" s="3" t="n"/>
      <c r="AO2990" s="3" t="n"/>
      <c r="AP2990" s="3" t="n"/>
      <c r="AQ2990" s="3" t="n"/>
      <c r="AR2990" s="3" t="n"/>
      <c r="AS2990" s="3" t="n"/>
      <c r="AT2990" s="3" t="n"/>
      <c r="AU2990" s="3" t="n"/>
    </row>
    <row r="2991">
      <c r="A2991" s="3" t="n">
        <v>2031</v>
      </c>
      <c r="B2991" s="3" t="inlineStr">
        <is>
          <t>TTO</t>
        </is>
      </c>
      <c r="C2991" s="3" t="inlineStr">
        <is>
          <t>IMF.RES:WEO</t>
        </is>
      </c>
      <c r="D2991" s="3" t="inlineStr">
        <is>
          <t>TTO.BCA_NGDPD.A</t>
        </is>
      </c>
      <c r="E2991" s="3" t="inlineStr">
        <is>
          <t>Trinidad and Tobago</t>
        </is>
      </c>
      <c r="F2991" s="3" t="inlineStr">
        <is>
          <t>Current account balance (credit less debit), Percent of GDP</t>
        </is>
      </c>
      <c r="G2991" s="3" t="n">
        <v>6.561971</v>
      </c>
      <c r="H2991" s="3" t="n">
        <v>4.642668</v>
      </c>
      <c r="I2991" s="3" t="n">
        <v>0.835152</v>
      </c>
      <c r="J2991" s="3" t="n">
        <v>8.589834</v>
      </c>
      <c r="K2991" s="3" t="n">
        <v>13.308434</v>
      </c>
      <c r="L2991" s="3" t="n">
        <v>24.003605</v>
      </c>
      <c r="M2991" s="3" t="n">
        <v>38.304472</v>
      </c>
      <c r="N2991" s="3" t="n">
        <v>23.551049</v>
      </c>
      <c r="O2991" s="3" t="n">
        <v>30.145644</v>
      </c>
      <c r="P2991" s="3" t="n">
        <v>8.364729000000001</v>
      </c>
      <c r="Q2991" s="3" t="n">
        <v>18.525635</v>
      </c>
      <c r="R2991" s="3" t="n">
        <v>18.257011</v>
      </c>
      <c r="S2991" s="3" t="n">
        <v>14.242677</v>
      </c>
      <c r="T2991" s="3" t="n">
        <v>19.507118</v>
      </c>
      <c r="U2991" s="3" t="n">
        <v>14.095396</v>
      </c>
      <c r="V2991" s="3" t="n">
        <v>7.664169</v>
      </c>
      <c r="W2991" s="3" t="n">
        <v>-3.28637</v>
      </c>
      <c r="X2991" s="3" t="n">
        <v>5.913335</v>
      </c>
      <c r="Y2991" s="3" t="n">
        <v>6.807518</v>
      </c>
      <c r="Z2991" s="3" t="n">
        <v>4.345153</v>
      </c>
      <c r="AA2991" s="3" t="n">
        <v>-6.493571</v>
      </c>
      <c r="AB2991" s="3" t="n">
        <v>10.854611</v>
      </c>
      <c r="AC2991" s="3" t="n">
        <v>10.170901</v>
      </c>
      <c r="AD2991" s="3" t="n">
        <v>11.548725</v>
      </c>
      <c r="AE2991" s="3" t="n">
        <v>2.518108</v>
      </c>
      <c r="AF2991" s="3" t="n">
        <v>3.132778</v>
      </c>
      <c r="AG2991" s="3" t="n">
        <v>3.84083</v>
      </c>
      <c r="AH2991" s="3" t="n">
        <v>4.848919</v>
      </c>
      <c r="AI2991" s="3" t="n">
        <v>5.52875</v>
      </c>
      <c r="AJ2991" s="3" t="n">
        <v>4.308708</v>
      </c>
      <c r="AK2991" s="3" t="n">
        <v>4.3013</v>
      </c>
      <c r="AL2991" s="3" t="n">
        <v>4.292944</v>
      </c>
      <c r="AM2991" s="3" t="n"/>
      <c r="AN2991" s="3" t="n"/>
      <c r="AO2991" s="3" t="n"/>
      <c r="AP2991" s="3" t="n"/>
      <c r="AQ2991" s="3" t="n"/>
      <c r="AR2991" s="3" t="n"/>
      <c r="AS2991" s="3" t="n"/>
      <c r="AT2991" s="3" t="n"/>
      <c r="AU2991" s="3" t="n"/>
    </row>
    <row r="2992">
      <c r="A2992" s="3" t="n">
        <v>2031</v>
      </c>
      <c r="B2992" s="3" t="inlineStr">
        <is>
          <t>TTO</t>
        </is>
      </c>
      <c r="C2992" s="3" t="inlineStr">
        <is>
          <t>IMF.RES:WEO</t>
        </is>
      </c>
      <c r="D2992" s="3" t="inlineStr">
        <is>
          <t>TTO.GGR_NGDP.A</t>
        </is>
      </c>
      <c r="E2992" s="3" t="inlineStr">
        <is>
          <t>Trinidad and Tobago</t>
        </is>
      </c>
      <c r="F2992" s="3" t="inlineStr">
        <is>
          <t>Revenue, General government, Percent of GDP</t>
        </is>
      </c>
      <c r="G2992" s="3" t="n">
        <v>24.262047</v>
      </c>
      <c r="H2992" s="3" t="n">
        <v>25.839467</v>
      </c>
      <c r="I2992" s="3" t="n">
        <v>24.363533</v>
      </c>
      <c r="J2992" s="3" t="n">
        <v>25.358573</v>
      </c>
      <c r="K2992" s="3" t="n">
        <v>25.255692</v>
      </c>
      <c r="L2992" s="3" t="n">
        <v>30.373249</v>
      </c>
      <c r="M2992" s="3" t="n">
        <v>34.275352</v>
      </c>
      <c r="N2992" s="3" t="n">
        <v>30.017875</v>
      </c>
      <c r="O2992" s="3" t="n">
        <v>33.899593</v>
      </c>
      <c r="P2992" s="3" t="n">
        <v>28.515376</v>
      </c>
      <c r="Q2992" s="3" t="n">
        <v>31.65699</v>
      </c>
      <c r="R2992" s="3" t="n">
        <v>29.712738</v>
      </c>
      <c r="S2992" s="3" t="n">
        <v>28.611184</v>
      </c>
      <c r="T2992" s="3" t="n">
        <v>29.04646</v>
      </c>
      <c r="U2992" s="3" t="n">
        <v>28.657008</v>
      </c>
      <c r="V2992" s="3" t="n">
        <v>26.761601</v>
      </c>
      <c r="W2992" s="3" t="n">
        <v>21.387847</v>
      </c>
      <c r="X2992" s="3" t="n">
        <v>20.487756</v>
      </c>
      <c r="Y2992" s="3" t="n">
        <v>24.313606</v>
      </c>
      <c r="Z2992" s="3" t="n">
        <v>27.285779</v>
      </c>
      <c r="AA2992" s="3" t="n">
        <v>23.274605</v>
      </c>
      <c r="AB2992" s="3" t="n">
        <v>22.996472</v>
      </c>
      <c r="AC2992" s="3" t="n">
        <v>29.222656</v>
      </c>
      <c r="AD2992" s="3" t="n">
        <v>31.22811</v>
      </c>
      <c r="AE2992" s="3" t="n">
        <v>26.314</v>
      </c>
      <c r="AF2992" s="3" t="n">
        <v>26.896233</v>
      </c>
      <c r="AG2992" s="3" t="n">
        <v>30.15979</v>
      </c>
      <c r="AH2992" s="3" t="n">
        <v>31.334229</v>
      </c>
      <c r="AI2992" s="3" t="n">
        <v>31.778384</v>
      </c>
      <c r="AJ2992" s="3" t="n">
        <v>31.054545</v>
      </c>
      <c r="AK2992" s="3" t="n">
        <v>30.927026</v>
      </c>
      <c r="AL2992" s="3" t="n">
        <v>30.745368</v>
      </c>
      <c r="AM2992" s="3" t="n"/>
      <c r="AN2992" s="3" t="n"/>
      <c r="AO2992" s="3" t="n"/>
      <c r="AP2992" s="3" t="n"/>
      <c r="AQ2992" s="3" t="n"/>
      <c r="AR2992" s="3" t="n"/>
      <c r="AS2992" s="3" t="n"/>
      <c r="AT2992" s="3" t="n"/>
      <c r="AU2992" s="3" t="n"/>
    </row>
    <row r="2993">
      <c r="A2993" s="3" t="n">
        <v>2031</v>
      </c>
      <c r="B2993" s="3" t="inlineStr">
        <is>
          <t>TTO</t>
        </is>
      </c>
      <c r="C2993" s="3" t="inlineStr">
        <is>
          <t>IMF.RES:WEO</t>
        </is>
      </c>
      <c r="D2993" s="3" t="inlineStr">
        <is>
          <t>TTO.GGX_NGDP.A</t>
        </is>
      </c>
      <c r="E2993" s="3" t="inlineStr">
        <is>
          <t>Trinidad and Tobago</t>
        </is>
      </c>
      <c r="F2993" s="3" t="inlineStr">
        <is>
          <t>Expenditure, General government, Percent of GDP</t>
        </is>
      </c>
      <c r="G2993" s="3" t="n">
        <v>24.086593</v>
      </c>
      <c r="H2993" s="3" t="n">
        <v>25.222391</v>
      </c>
      <c r="I2993" s="3" t="n">
        <v>24.564641</v>
      </c>
      <c r="J2993" s="3" t="n">
        <v>23.457499</v>
      </c>
      <c r="K2993" s="3" t="n">
        <v>23.343203</v>
      </c>
      <c r="L2993" s="3" t="n">
        <v>29.529539</v>
      </c>
      <c r="M2993" s="3" t="n">
        <v>34.576521</v>
      </c>
      <c r="N2993" s="3" t="n">
        <v>26.774771</v>
      </c>
      <c r="O2993" s="3" t="n">
        <v>28.197344</v>
      </c>
      <c r="P2993" s="3" t="n">
        <v>33.398326</v>
      </c>
      <c r="Q2993" s="3" t="n">
        <v>31.521325</v>
      </c>
      <c r="R2993" s="3" t="n">
        <v>30.40194</v>
      </c>
      <c r="S2993" s="3" t="n">
        <v>29.886724</v>
      </c>
      <c r="T2993" s="3" t="n">
        <v>31.748723</v>
      </c>
      <c r="U2993" s="3" t="n">
        <v>32.99283</v>
      </c>
      <c r="V2993" s="3" t="n">
        <v>34.13474</v>
      </c>
      <c r="W2993" s="3" t="n">
        <v>31.22794</v>
      </c>
      <c r="X2993" s="3" t="n">
        <v>30.941838</v>
      </c>
      <c r="Y2993" s="3" t="n">
        <v>30.205857</v>
      </c>
      <c r="Z2993" s="3" t="n">
        <v>31.005811</v>
      </c>
      <c r="AA2993" s="3" t="n">
        <v>35.084903</v>
      </c>
      <c r="AB2993" s="3" t="n">
        <v>31.389613</v>
      </c>
      <c r="AC2993" s="3" t="n">
        <v>28.266304</v>
      </c>
      <c r="AD2993" s="3" t="n">
        <v>32.425123</v>
      </c>
      <c r="AE2993" s="3" t="n">
        <v>32.237932</v>
      </c>
      <c r="AF2993" s="3" t="n">
        <v>32.353994</v>
      </c>
      <c r="AG2993" s="3" t="n">
        <v>34.726069</v>
      </c>
      <c r="AH2993" s="3" t="n">
        <v>33.838862</v>
      </c>
      <c r="AI2993" s="3" t="n">
        <v>33.486119</v>
      </c>
      <c r="AJ2993" s="3" t="n">
        <v>33.249956</v>
      </c>
      <c r="AK2993" s="3" t="n">
        <v>33.389008</v>
      </c>
      <c r="AL2993" s="3" t="n">
        <v>33.476884</v>
      </c>
      <c r="AM2993" s="3" t="n"/>
      <c r="AN2993" s="3" t="n"/>
      <c r="AO2993" s="3" t="n"/>
      <c r="AP2993" s="3" t="n"/>
      <c r="AQ2993" s="3" t="n"/>
      <c r="AR2993" s="3" t="n"/>
      <c r="AS2993" s="3" t="n"/>
      <c r="AT2993" s="3" t="n"/>
      <c r="AU2993" s="3" t="n"/>
    </row>
    <row r="2994">
      <c r="A2994" s="3" t="n">
        <v>2031</v>
      </c>
      <c r="B2994" s="3" t="inlineStr">
        <is>
          <t>TTO</t>
        </is>
      </c>
      <c r="C2994" s="3" t="inlineStr">
        <is>
          <t>IMF.RES:WEO</t>
        </is>
      </c>
      <c r="D2994" s="3" t="inlineStr">
        <is>
          <t>TTO.LP.A</t>
        </is>
      </c>
      <c r="E2994" s="3" t="inlineStr">
        <is>
          <t>Trinidad and Tobago</t>
        </is>
      </c>
      <c r="F2994" s="3" t="inlineStr">
        <is>
          <t>Population, Persons for countries / Index for country groups</t>
        </is>
      </c>
      <c r="G2994" s="3" t="n">
        <v>1.267159</v>
      </c>
      <c r="H2994" s="3" t="n">
        <v>1.271627</v>
      </c>
      <c r="I2994" s="3" t="n">
        <v>1.27721</v>
      </c>
      <c r="J2994" s="3" t="n">
        <v>1.283564</v>
      </c>
      <c r="K2994" s="3" t="n">
        <v>1.290115</v>
      </c>
      <c r="L2994" s="3" t="n">
        <v>1.296497</v>
      </c>
      <c r="M2994" s="3" t="n">
        <v>1.302552</v>
      </c>
      <c r="N2994" s="3" t="n">
        <v>1.30845</v>
      </c>
      <c r="O2994" s="3" t="n">
        <v>1.314449</v>
      </c>
      <c r="P2994" s="3" t="n">
        <v>1.320921</v>
      </c>
      <c r="Q2994" s="3" t="n">
        <v>1.328144</v>
      </c>
      <c r="R2994" s="3" t="n">
        <v>1.33618</v>
      </c>
      <c r="S2994" s="3" t="n">
        <v>1.344814</v>
      </c>
      <c r="T2994" s="3" t="n">
        <v>1.353708</v>
      </c>
      <c r="U2994" s="3" t="n">
        <v>1.362337</v>
      </c>
      <c r="V2994" s="3" t="n">
        <v>1.370332</v>
      </c>
      <c r="W2994" s="3" t="n">
        <v>1.377563</v>
      </c>
      <c r="X2994" s="3" t="n">
        <v>1.38406</v>
      </c>
      <c r="Y2994" s="3" t="n">
        <v>1.389841</v>
      </c>
      <c r="Z2994" s="3" t="n">
        <v>1.394969</v>
      </c>
      <c r="AA2994" s="3" t="n">
        <v>1.399491</v>
      </c>
      <c r="AB2994" s="3" t="n">
        <v>1.406834</v>
      </c>
      <c r="AC2994" s="3" t="n">
        <v>1.414103</v>
      </c>
      <c r="AD2994" s="3" t="n">
        <v>1.421226</v>
      </c>
      <c r="AE2994" s="3" t="n">
        <v>1.428161</v>
      </c>
      <c r="AF2994" s="3" t="n">
        <v>1.434916</v>
      </c>
      <c r="AG2994" s="3" t="n">
        <v>1.44154</v>
      </c>
      <c r="AH2994" s="3" t="n">
        <v>1.448099</v>
      </c>
      <c r="AI2994" s="3" t="n">
        <v>1.454664</v>
      </c>
      <c r="AJ2994" s="3" t="n">
        <v>1.46131</v>
      </c>
      <c r="AK2994" s="3" t="n">
        <v>1.468116</v>
      </c>
      <c r="AL2994" s="3" t="n">
        <v>1.475161</v>
      </c>
      <c r="AM2994" s="3" t="n"/>
      <c r="AN2994" s="3" t="n"/>
      <c r="AO2994" s="3" t="n"/>
      <c r="AP2994" s="3" t="n"/>
      <c r="AQ2994" s="3" t="n"/>
      <c r="AR2994" s="3" t="n"/>
      <c r="AS2994" s="3" t="n"/>
      <c r="AT2994" s="3" t="n"/>
      <c r="AU2994" s="3" t="n"/>
    </row>
    <row r="2995">
      <c r="A2995" s="3" t="n">
        <v>2031</v>
      </c>
      <c r="B2995" s="3" t="inlineStr">
        <is>
          <t>TTO</t>
        </is>
      </c>
      <c r="C2995" s="3" t="inlineStr">
        <is>
          <t>IMF.RES:WEO</t>
        </is>
      </c>
      <c r="D2995" s="3" t="inlineStr">
        <is>
          <t>TTO.NGDP.A</t>
        </is>
      </c>
      <c r="E2995" s="3" t="inlineStr">
        <is>
          <t>Trinidad and Tobago</t>
        </is>
      </c>
      <c r="F2995" s="3" t="inlineStr">
        <is>
          <t>Gross domestic product (GDP), Current prices, Domestic currency</t>
        </is>
      </c>
      <c r="G2995" s="3" t="n">
        <v>52.255325</v>
      </c>
      <c r="H2995" s="3" t="n">
        <v>55.851905</v>
      </c>
      <c r="I2995" s="3" t="n">
        <v>57.163168</v>
      </c>
      <c r="J2995" s="3" t="n">
        <v>72.164203</v>
      </c>
      <c r="K2995" s="3" t="n">
        <v>84.857482</v>
      </c>
      <c r="L2995" s="3" t="n">
        <v>101.86291</v>
      </c>
      <c r="M2995" s="3" t="n">
        <v>117.411609</v>
      </c>
      <c r="N2995" s="3" t="n">
        <v>138.819873</v>
      </c>
      <c r="O2995" s="3" t="n">
        <v>177.319402</v>
      </c>
      <c r="P2995" s="3" t="n">
        <v>123.460766</v>
      </c>
      <c r="Q2995" s="3" t="n">
        <v>143.588644</v>
      </c>
      <c r="R2995" s="3" t="n">
        <v>165.291936</v>
      </c>
      <c r="S2995" s="3" t="n">
        <v>174.546683</v>
      </c>
      <c r="T2995" s="3" t="n">
        <v>184.004944</v>
      </c>
      <c r="U2995" s="3" t="n">
        <v>188.90282</v>
      </c>
      <c r="V2995" s="3" t="n">
        <v>171.177825</v>
      </c>
      <c r="W2995" s="3" t="n">
        <v>157.549825</v>
      </c>
      <c r="X2995" s="3" t="n">
        <v>161.561171</v>
      </c>
      <c r="Y2995" s="3" t="n">
        <v>161.706239</v>
      </c>
      <c r="Z2995" s="3" t="n">
        <v>158.576372</v>
      </c>
      <c r="AA2995" s="3" t="n">
        <v>141.019473</v>
      </c>
      <c r="AB2995" s="3" t="n">
        <v>163.711624</v>
      </c>
      <c r="AC2995" s="3" t="n">
        <v>191.41988</v>
      </c>
      <c r="AD2995" s="3" t="n">
        <v>169.006265</v>
      </c>
      <c r="AE2995" s="3" t="n">
        <v>173.029579</v>
      </c>
      <c r="AF2995" s="3" t="n">
        <v>175.042811</v>
      </c>
      <c r="AG2995" s="3" t="n">
        <v>181.292533</v>
      </c>
      <c r="AH2995" s="3" t="n">
        <v>190.166725</v>
      </c>
      <c r="AI2995" s="3" t="n">
        <v>198.464</v>
      </c>
      <c r="AJ2995" s="3" t="n">
        <v>205.113281</v>
      </c>
      <c r="AK2995" s="3" t="n">
        <v>211.75312</v>
      </c>
      <c r="AL2995" s="3" t="n">
        <v>217.96652</v>
      </c>
      <c r="AM2995" s="3" t="n"/>
      <c r="AN2995" s="3" t="n"/>
      <c r="AO2995" s="3" t="n"/>
      <c r="AP2995" s="3" t="n"/>
      <c r="AQ2995" s="3" t="n"/>
      <c r="AR2995" s="3" t="n"/>
      <c r="AS2995" s="3" t="n"/>
      <c r="AT2995" s="3" t="n"/>
      <c r="AU2995" s="3" t="n"/>
    </row>
    <row r="2996">
      <c r="A2996" s="3" t="n">
        <v>2031</v>
      </c>
      <c r="B2996" s="3" t="inlineStr">
        <is>
          <t>TTO</t>
        </is>
      </c>
      <c r="C2996" s="3" t="inlineStr">
        <is>
          <t>IMF.RES:WEO</t>
        </is>
      </c>
      <c r="D2996" s="3" t="inlineStr">
        <is>
          <t>TTO.NGDP_D.A</t>
        </is>
      </c>
      <c r="E2996" s="3" t="inlineStr">
        <is>
          <t>Trinidad and Tobago</t>
        </is>
      </c>
      <c r="F2996" s="3" t="inlineStr">
        <is>
          <t>Gross domestic product (GDP), Price deflator, Index</t>
        </is>
      </c>
      <c r="G2996" s="3" t="n">
        <v>54.435697</v>
      </c>
      <c r="H2996" s="3" t="n">
        <v>56.107592</v>
      </c>
      <c r="I2996" s="3" t="n">
        <v>53.591894</v>
      </c>
      <c r="J2996" s="3" t="n">
        <v>59.410726</v>
      </c>
      <c r="K2996" s="3" t="n">
        <v>65.091025</v>
      </c>
      <c r="L2996" s="3" t="n">
        <v>73.785539</v>
      </c>
      <c r="M2996" s="3" t="n">
        <v>74.48532</v>
      </c>
      <c r="N2996" s="3" t="n">
        <v>84.472255</v>
      </c>
      <c r="O2996" s="3" t="n">
        <v>104.466514</v>
      </c>
      <c r="P2996" s="3" t="n">
        <v>76.422133</v>
      </c>
      <c r="Q2996" s="3" t="n">
        <v>85.907882</v>
      </c>
      <c r="R2996" s="3" t="n">
        <v>99.082746</v>
      </c>
      <c r="S2996" s="3" t="n">
        <v>100.000621</v>
      </c>
      <c r="T2996" s="3" t="n">
        <v>101.983748</v>
      </c>
      <c r="U2996" s="3" t="n">
        <v>100.991118</v>
      </c>
      <c r="V2996" s="3" t="n">
        <v>91.888318</v>
      </c>
      <c r="W2996" s="3" t="n">
        <v>91.466014</v>
      </c>
      <c r="X2996" s="3" t="n">
        <v>98.59931</v>
      </c>
      <c r="Y2996" s="3" t="n">
        <v>99.629794</v>
      </c>
      <c r="Z2996" s="3" t="n">
        <v>97.246577</v>
      </c>
      <c r="AA2996" s="3" t="n">
        <v>94.812752</v>
      </c>
      <c r="AB2996" s="3" t="n">
        <v>110.864156</v>
      </c>
      <c r="AC2996" s="3" t="n">
        <v>128.521056</v>
      </c>
      <c r="AD2996" s="3" t="n">
        <v>111.832374</v>
      </c>
      <c r="AE2996" s="3" t="n">
        <v>111.692037</v>
      </c>
      <c r="AF2996" s="3" t="n">
        <v>112.114793</v>
      </c>
      <c r="AG2996" s="3" t="n">
        <v>115.235471</v>
      </c>
      <c r="AH2996" s="3" t="n">
        <v>117.411964</v>
      </c>
      <c r="AI2996" s="3" t="n">
        <v>118.390102</v>
      </c>
      <c r="AJ2996" s="3" t="n">
        <v>118.985134</v>
      </c>
      <c r="AK2996" s="3" t="n">
        <v>120.317226</v>
      </c>
      <c r="AL2996" s="3" t="n">
        <v>121.670294</v>
      </c>
      <c r="AM2996" s="3" t="n"/>
      <c r="AN2996" s="3" t="n"/>
      <c r="AO2996" s="3" t="n"/>
      <c r="AP2996" s="3" t="n"/>
      <c r="AQ2996" s="3" t="n"/>
      <c r="AR2996" s="3" t="n"/>
      <c r="AS2996" s="3" t="n"/>
      <c r="AT2996" s="3" t="n"/>
      <c r="AU2996" s="3" t="n"/>
    </row>
    <row r="2997">
      <c r="A2997" s="3" t="n">
        <v>2031</v>
      </c>
      <c r="B2997" s="3" t="inlineStr">
        <is>
          <t>TTO</t>
        </is>
      </c>
      <c r="C2997" s="3" t="inlineStr">
        <is>
          <t>IMF.RES:WEO</t>
        </is>
      </c>
      <c r="D2997" s="3" t="inlineStr">
        <is>
          <t>TTO.NGDP_R.A</t>
        </is>
      </c>
      <c r="E2997" s="3" t="inlineStr">
        <is>
          <t>Trinidad and Tobago</t>
        </is>
      </c>
      <c r="F2997" s="3" t="inlineStr">
        <is>
          <t>Gross domestic product (GDP), Constant prices, Domestic currency</t>
        </is>
      </c>
      <c r="G2997" s="3" t="n">
        <v>95.994592</v>
      </c>
      <c r="H2997" s="3" t="n">
        <v>99.544292</v>
      </c>
      <c r="I2997" s="3" t="n">
        <v>106.663832</v>
      </c>
      <c r="J2997" s="3" t="n">
        <v>121.466624</v>
      </c>
      <c r="K2997" s="3" t="n">
        <v>130.367407</v>
      </c>
      <c r="L2997" s="3" t="n">
        <v>138.052674</v>
      </c>
      <c r="M2997" s="3" t="n">
        <v>157.630537</v>
      </c>
      <c r="N2997" s="3" t="n">
        <v>164.337832</v>
      </c>
      <c r="O2997" s="3" t="n">
        <v>169.738029</v>
      </c>
      <c r="P2997" s="3" t="n">
        <v>161.551061</v>
      </c>
      <c r="Q2997" s="3" t="n">
        <v>167.142571</v>
      </c>
      <c r="R2997" s="3" t="n">
        <v>166.822118</v>
      </c>
      <c r="S2997" s="3" t="n">
        <v>174.545599</v>
      </c>
      <c r="T2997" s="3" t="n">
        <v>180.425752</v>
      </c>
      <c r="U2997" s="3" t="n">
        <v>187.048944</v>
      </c>
      <c r="V2997" s="3" t="n">
        <v>186.288995</v>
      </c>
      <c r="W2997" s="3" t="n">
        <v>172.24958</v>
      </c>
      <c r="X2997" s="3" t="n">
        <v>163.85629</v>
      </c>
      <c r="Y2997" s="3" t="n">
        <v>162.307111</v>
      </c>
      <c r="Z2997" s="3" t="n">
        <v>163.066277</v>
      </c>
      <c r="AA2997" s="3" t="n">
        <v>148.734711</v>
      </c>
      <c r="AB2997" s="3" t="n">
        <v>147.668669</v>
      </c>
      <c r="AC2997" s="3" t="n">
        <v>148.940481</v>
      </c>
      <c r="AD2997" s="3" t="n">
        <v>151.124633</v>
      </c>
      <c r="AE2997" s="3" t="n">
        <v>154.916665</v>
      </c>
      <c r="AF2997" s="3" t="n">
        <v>156.128202</v>
      </c>
      <c r="AG2997" s="3" t="n">
        <v>157.323549</v>
      </c>
      <c r="AH2997" s="3" t="n">
        <v>161.965372</v>
      </c>
      <c r="AI2997" s="3" t="n">
        <v>167.635635</v>
      </c>
      <c r="AJ2997" s="3" t="n">
        <v>172.385637</v>
      </c>
      <c r="AK2997" s="3" t="n">
        <v>175.99568</v>
      </c>
      <c r="AL2997" s="3" t="n">
        <v>179.145224</v>
      </c>
      <c r="AM2997" s="3" t="n"/>
      <c r="AN2997" s="3" t="n"/>
      <c r="AO2997" s="3" t="n"/>
      <c r="AP2997" s="3" t="n"/>
      <c r="AQ2997" s="3" t="n"/>
      <c r="AR2997" s="3" t="n"/>
      <c r="AS2997" s="3" t="n"/>
      <c r="AT2997" s="3" t="n"/>
      <c r="AU2997" s="3" t="n"/>
    </row>
    <row r="2998">
      <c r="A2998" s="3" t="n">
        <v>2031</v>
      </c>
      <c r="B2998" s="3" t="inlineStr">
        <is>
          <t>TTO</t>
        </is>
      </c>
      <c r="C2998" s="3" t="inlineStr">
        <is>
          <t>IMF.RES:WEO</t>
        </is>
      </c>
      <c r="D2998" s="3" t="inlineStr">
        <is>
          <t>TTO.NGDP_RPCH.A</t>
        </is>
      </c>
      <c r="E2998" s="3" t="inlineStr">
        <is>
          <t>Trinidad and Tobago</t>
        </is>
      </c>
      <c r="F2998" s="3" t="inlineStr">
        <is>
          <t>Gross domestic product (GDP), Constant prices, Percent change</t>
        </is>
      </c>
      <c r="G2998" s="3" t="n">
        <v>6.90136</v>
      </c>
      <c r="H2998" s="3" t="n">
        <v>3.697813</v>
      </c>
      <c r="I2998" s="3" t="n">
        <v>7.152133</v>
      </c>
      <c r="J2998" s="3" t="n">
        <v>13.877986</v>
      </c>
      <c r="K2998" s="3" t="n">
        <v>7.32776</v>
      </c>
      <c r="L2998" s="3" t="n">
        <v>5.895083</v>
      </c>
      <c r="M2998" s="3" t="n">
        <v>14.181444</v>
      </c>
      <c r="N2998" s="3" t="n">
        <v>4.255074</v>
      </c>
      <c r="O2998" s="3" t="n">
        <v>3.286034</v>
      </c>
      <c r="P2998" s="3" t="n">
        <v>-4.823296</v>
      </c>
      <c r="Q2998" s="3" t="n">
        <v>3.461141</v>
      </c>
      <c r="R2998" s="3" t="n">
        <v>-0.191724</v>
      </c>
      <c r="S2998" s="3" t="n">
        <v>4.62977</v>
      </c>
      <c r="T2998" s="3" t="n">
        <v>3.368835</v>
      </c>
      <c r="U2998" s="3" t="n">
        <v>3.670868</v>
      </c>
      <c r="V2998" s="3" t="n">
        <v>-0.406283</v>
      </c>
      <c r="W2998" s="3" t="n">
        <v>-7.536363</v>
      </c>
      <c r="X2998" s="3" t="n">
        <v>-4.872749</v>
      </c>
      <c r="Y2998" s="3" t="n">
        <v>-0.94545</v>
      </c>
      <c r="Z2998" s="3" t="n">
        <v>0.467735</v>
      </c>
      <c r="AA2998" s="3" t="n">
        <v>-8.788798</v>
      </c>
      <c r="AB2998" s="3" t="n">
        <v>-0.716741</v>
      </c>
      <c r="AC2998" s="3" t="n">
        <v>0.8612610000000001</v>
      </c>
      <c r="AD2998" s="3" t="n">
        <v>1.46646</v>
      </c>
      <c r="AE2998" s="3" t="n">
        <v>2.509208</v>
      </c>
      <c r="AF2998" s="3" t="n">
        <v>0.782057</v>
      </c>
      <c r="AG2998" s="3" t="n">
        <v>0.765619</v>
      </c>
      <c r="AH2998" s="3" t="n">
        <v>2.950495</v>
      </c>
      <c r="AI2998" s="3" t="n">
        <v>3.500911</v>
      </c>
      <c r="AJ2998" s="3" t="n">
        <v>2.833527</v>
      </c>
      <c r="AK2998" s="3" t="n">
        <v>2.094167</v>
      </c>
      <c r="AL2998" s="3" t="n">
        <v>1.789557</v>
      </c>
      <c r="AM2998" s="3" t="n"/>
      <c r="AN2998" s="3" t="n"/>
      <c r="AO2998" s="3" t="n"/>
      <c r="AP2998" s="3" t="n"/>
      <c r="AQ2998" s="3" t="n"/>
      <c r="AR2998" s="3" t="n"/>
      <c r="AS2998" s="3" t="n"/>
      <c r="AT2998" s="3" t="n"/>
      <c r="AU2998" s="3" t="n"/>
    </row>
    <row r="2999">
      <c r="A2999" s="3" t="n">
        <v>2031</v>
      </c>
      <c r="B2999" s="3" t="inlineStr">
        <is>
          <t>TTO</t>
        </is>
      </c>
      <c r="C2999" s="3" t="inlineStr">
        <is>
          <t>IMF.RES:WEO</t>
        </is>
      </c>
      <c r="D2999" s="3" t="inlineStr">
        <is>
          <t>TTO.NGDPD.A</t>
        </is>
      </c>
      <c r="E2999" s="3" t="inlineStr">
        <is>
          <t>Trinidad and Tobago</t>
        </is>
      </c>
      <c r="F2999" s="3" t="inlineStr">
        <is>
          <t>Gross domestic product (GDP), Current prices, US dollar</t>
        </is>
      </c>
      <c r="G2999" s="3" t="n">
        <v>8.294764000000001</v>
      </c>
      <c r="H2999" s="3" t="n">
        <v>8.960366</v>
      </c>
      <c r="I2999" s="3" t="n">
        <v>9.148034000000001</v>
      </c>
      <c r="J2999" s="3" t="n">
        <v>11.463551</v>
      </c>
      <c r="K2999" s="3" t="n">
        <v>13.471598</v>
      </c>
      <c r="L2999" s="3" t="n">
        <v>16.169849</v>
      </c>
      <c r="M2999" s="3" t="n">
        <v>18.600497</v>
      </c>
      <c r="N2999" s="3" t="n">
        <v>21.937285</v>
      </c>
      <c r="O2999" s="3" t="n">
        <v>28.193224</v>
      </c>
      <c r="P2999" s="3" t="n">
        <v>19.519772</v>
      </c>
      <c r="Q2999" s="3" t="n">
        <v>22.521913</v>
      </c>
      <c r="R2999" s="3" t="n">
        <v>25.789387</v>
      </c>
      <c r="S2999" s="3" t="n">
        <v>27.147351</v>
      </c>
      <c r="T2999" s="3" t="n">
        <v>28.560535</v>
      </c>
      <c r="U2999" s="3" t="n">
        <v>29.474182</v>
      </c>
      <c r="V2999" s="3" t="n">
        <v>26.841143</v>
      </c>
      <c r="W2999" s="3" t="n">
        <v>23.624323</v>
      </c>
      <c r="X2999" s="3" t="n">
        <v>23.830751</v>
      </c>
      <c r="Y2999" s="3" t="n">
        <v>23.883058</v>
      </c>
      <c r="Z2999" s="3" t="n">
        <v>23.477747</v>
      </c>
      <c r="AA2999" s="3" t="n">
        <v>20.888516</v>
      </c>
      <c r="AB2999" s="3" t="n">
        <v>24.222963</v>
      </c>
      <c r="AC2999" s="3" t="n">
        <v>28.341164</v>
      </c>
      <c r="AD2999" s="3" t="n">
        <v>25.036992</v>
      </c>
      <c r="AE2999" s="3" t="n">
        <v>25.633544</v>
      </c>
      <c r="AF2999" s="3" t="n">
        <v>25.931795</v>
      </c>
      <c r="AG2999" s="3" t="n">
        <v>26.835889</v>
      </c>
      <c r="AH2999" s="3" t="n">
        <v>28.149494</v>
      </c>
      <c r="AI2999" s="3" t="n">
        <v>29.377701</v>
      </c>
      <c r="AJ2999" s="3" t="n">
        <v>30.361964</v>
      </c>
      <c r="AK2999" s="3" t="n">
        <v>31.344828</v>
      </c>
      <c r="AL2999" s="3" t="n">
        <v>32.264569</v>
      </c>
      <c r="AM2999" s="3" t="n"/>
      <c r="AN2999" s="3" t="n"/>
      <c r="AO2999" s="3" t="n"/>
      <c r="AP2999" s="3" t="n"/>
      <c r="AQ2999" s="3" t="n"/>
      <c r="AR2999" s="3" t="n"/>
      <c r="AS2999" s="3" t="n"/>
      <c r="AT2999" s="3" t="n"/>
      <c r="AU2999" s="3" t="n"/>
    </row>
    <row r="3000">
      <c r="A3000" s="3" t="n">
        <v>2031</v>
      </c>
      <c r="B3000" s="3" t="inlineStr">
        <is>
          <t>TTO</t>
        </is>
      </c>
      <c r="C3000" s="3" t="inlineStr">
        <is>
          <t>IMF.RES:WEO</t>
        </is>
      </c>
      <c r="D3000" s="3" t="inlineStr">
        <is>
          <t>TTO.NGDPPC.A</t>
        </is>
      </c>
      <c r="E3000" s="3" t="inlineStr">
        <is>
          <t>Trinidad and Tobago</t>
        </is>
      </c>
      <c r="F3000" s="3" t="inlineStr">
        <is>
          <t>Gross domestic product (GDP), Current prices, Per capita, Domestic currency</t>
        </is>
      </c>
      <c r="G3000" s="3" t="n">
        <v>41238.175101</v>
      </c>
      <c r="H3000" s="3" t="n">
        <v>43921.609744</v>
      </c>
      <c r="I3000" s="3" t="n">
        <v>44756.27948</v>
      </c>
      <c r="J3000" s="3" t="n">
        <v>56221.741038</v>
      </c>
      <c r="K3000" s="3" t="n">
        <v>65775.12998899999</v>
      </c>
      <c r="L3000" s="3" t="n">
        <v>78567.794706</v>
      </c>
      <c r="M3000" s="3" t="n">
        <v>90139.671222</v>
      </c>
      <c r="N3000" s="3" t="n">
        <v>106094.900478</v>
      </c>
      <c r="O3000" s="3" t="n">
        <v>134900.176233</v>
      </c>
      <c r="P3000" s="3" t="n">
        <v>93465.669951</v>
      </c>
      <c r="Q3000" s="3" t="n">
        <v>108112.255525</v>
      </c>
      <c r="R3000" s="3" t="n">
        <v>123704.842284</v>
      </c>
      <c r="S3000" s="3" t="n">
        <v>129792.434232</v>
      </c>
      <c r="T3000" s="3" t="n">
        <v>135926.613623</v>
      </c>
      <c r="U3000" s="3" t="n">
        <v>138660.859765</v>
      </c>
      <c r="V3000" s="3" t="n">
        <v>124917.045634</v>
      </c>
      <c r="W3000" s="3" t="n">
        <v>114368.508104</v>
      </c>
      <c r="X3000" s="3" t="n">
        <v>116729.889932</v>
      </c>
      <c r="Y3000" s="3" t="n">
        <v>116348.732999</v>
      </c>
      <c r="Z3000" s="3" t="n">
        <v>113677.344991</v>
      </c>
      <c r="AA3000" s="3" t="n">
        <v>100764.83032</v>
      </c>
      <c r="AB3000" s="3" t="n">
        <v>116368.817525</v>
      </c>
      <c r="AC3000" s="3" t="n">
        <v>135364.902767</v>
      </c>
      <c r="AD3000" s="3" t="n">
        <v>118915.84648</v>
      </c>
      <c r="AE3000" s="3" t="n">
        <v>121155.543994</v>
      </c>
      <c r="AF3000" s="3" t="n">
        <v>121988.206506</v>
      </c>
      <c r="AG3000" s="3" t="n">
        <v>125763.126906</v>
      </c>
      <c r="AH3000" s="3" t="n">
        <v>131321.653141</v>
      </c>
      <c r="AI3000" s="3" t="n">
        <v>136432.911137</v>
      </c>
      <c r="AJ3000" s="3" t="n">
        <v>140362.585655</v>
      </c>
      <c r="AK3000" s="3" t="n">
        <v>144234.631606</v>
      </c>
      <c r="AL3000" s="3" t="n">
        <v>147757.82575</v>
      </c>
      <c r="AM3000" s="3" t="n"/>
      <c r="AN3000" s="3" t="n"/>
      <c r="AO3000" s="3" t="n"/>
      <c r="AP3000" s="3" t="n"/>
      <c r="AQ3000" s="3" t="n"/>
      <c r="AR3000" s="3" t="n"/>
      <c r="AS3000" s="3" t="n"/>
      <c r="AT3000" s="3" t="n"/>
      <c r="AU3000" s="3" t="n"/>
    </row>
    <row r="3001">
      <c r="A3001" s="3" t="n">
        <v>2031</v>
      </c>
      <c r="B3001" s="3" t="inlineStr">
        <is>
          <t>TTO</t>
        </is>
      </c>
      <c r="C3001" s="3" t="inlineStr">
        <is>
          <t>IMF.RES:WEO</t>
        </is>
      </c>
      <c r="D3001" s="3" t="inlineStr">
        <is>
          <t>TTO.NGDPRPC.A</t>
        </is>
      </c>
      <c r="E3001" s="3" t="inlineStr">
        <is>
          <t>Trinidad and Tobago</t>
        </is>
      </c>
      <c r="F3001" s="3" t="inlineStr">
        <is>
          <t>Gross domestic product (GDP), Constant prices, Per capita, Domestic currency</t>
        </is>
      </c>
      <c r="G3001" s="3" t="n">
        <v>75755.75883799999</v>
      </c>
      <c r="H3001" s="3" t="n">
        <v>78281.045998</v>
      </c>
      <c r="I3001" s="3" t="n">
        <v>83513.151396</v>
      </c>
      <c r="J3001" s="3" t="n">
        <v>94632.30839999999</v>
      </c>
      <c r="K3001" s="3" t="n">
        <v>101050.997168</v>
      </c>
      <c r="L3001" s="3" t="n">
        <v>106481.290747</v>
      </c>
      <c r="M3001" s="3" t="n">
        <v>121016.694011</v>
      </c>
      <c r="N3001" s="3" t="n">
        <v>125597.334507</v>
      </c>
      <c r="O3001" s="3" t="n">
        <v>129132.456922</v>
      </c>
      <c r="P3001" s="3" t="n">
        <v>122301.833929</v>
      </c>
      <c r="Q3001" s="3" t="n">
        <v>125846.723963</v>
      </c>
      <c r="R3001" s="3" t="n">
        <v>124850.03403</v>
      </c>
      <c r="S3001" s="3" t="n">
        <v>129791.628258</v>
      </c>
      <c r="T3001" s="3" t="n">
        <v>133282.621953</v>
      </c>
      <c r="U3001" s="3" t="n">
        <v>137300.053998</v>
      </c>
      <c r="V3001" s="3" t="n">
        <v>135944.424505</v>
      </c>
      <c r="W3001" s="3" t="n">
        <v>125039.34853</v>
      </c>
      <c r="X3001" s="3" t="n">
        <v>118388.14039</v>
      </c>
      <c r="Y3001" s="3" t="n">
        <v>116781.06403</v>
      </c>
      <c r="Z3001" s="3" t="n">
        <v>116895.986366</v>
      </c>
      <c r="AA3001" s="3" t="n">
        <v>106277.718967</v>
      </c>
      <c r="AB3001" s="3" t="n">
        <v>104965.230935</v>
      </c>
      <c r="AC3001" s="3" t="n">
        <v>105325.078179</v>
      </c>
      <c r="AD3001" s="3" t="n">
        <v>106334.008763</v>
      </c>
      <c r="AE3001" s="3" t="n">
        <v>108472.857443</v>
      </c>
      <c r="AF3001" s="3" t="n">
        <v>108806.521241</v>
      </c>
      <c r="AG3001" s="3" t="n">
        <v>109135.777097</v>
      </c>
      <c r="AH3001" s="3" t="n">
        <v>111846.909511</v>
      </c>
      <c r="AI3001" s="3" t="n">
        <v>115240.132667</v>
      </c>
      <c r="AJ3001" s="3" t="n">
        <v>117966.489408</v>
      </c>
      <c r="AK3001" s="3" t="n">
        <v>119878.621031</v>
      </c>
      <c r="AL3001" s="3" t="n">
        <v>121441.16774</v>
      </c>
      <c r="AM3001" s="3" t="n"/>
      <c r="AN3001" s="3" t="n"/>
      <c r="AO3001" s="3" t="n"/>
      <c r="AP3001" s="3" t="n"/>
      <c r="AQ3001" s="3" t="n"/>
      <c r="AR3001" s="3" t="n"/>
      <c r="AS3001" s="3" t="n"/>
      <c r="AT3001" s="3" t="n"/>
      <c r="AU3001" s="3" t="n"/>
    </row>
    <row r="3002">
      <c r="A3002" s="3" t="n">
        <v>2031</v>
      </c>
      <c r="B3002" s="3" t="inlineStr">
        <is>
          <t>TTO</t>
        </is>
      </c>
      <c r="C3002" s="3" t="inlineStr">
        <is>
          <t>IMF.RES:WEO</t>
        </is>
      </c>
      <c r="D3002" s="3" t="inlineStr">
        <is>
          <t>TTO.PCPI.A</t>
        </is>
      </c>
      <c r="E3002" s="3" t="inlineStr">
        <is>
          <t>Trinidad and Tobago</t>
        </is>
      </c>
      <c r="F3002" s="3" t="inlineStr">
        <is>
          <t>All Items, Consumer price index (CPI), Period average</t>
        </is>
      </c>
      <c r="G3002" s="3" t="n">
        <v>44.432743</v>
      </c>
      <c r="H3002" s="3" t="n">
        <v>46.921972</v>
      </c>
      <c r="I3002" s="3" t="n">
        <v>48.865486</v>
      </c>
      <c r="J3002" s="3" t="n">
        <v>50.71326</v>
      </c>
      <c r="K3002" s="3" t="n">
        <v>52.618478</v>
      </c>
      <c r="L3002" s="3" t="n">
        <v>56.237434</v>
      </c>
      <c r="M3002" s="3" t="n">
        <v>60.909526</v>
      </c>
      <c r="N3002" s="3" t="n">
        <v>65.706079</v>
      </c>
      <c r="O3002" s="3" t="n">
        <v>73.614169</v>
      </c>
      <c r="P3002" s="3" t="n">
        <v>78.77453300000001</v>
      </c>
      <c r="Q3002" s="3" t="n">
        <v>87.07515600000001</v>
      </c>
      <c r="R3002" s="3" t="n">
        <v>91.50789899999999</v>
      </c>
      <c r="S3002" s="3" t="n">
        <v>100</v>
      </c>
      <c r="T3002" s="3" t="n">
        <v>105.189086</v>
      </c>
      <c r="U3002" s="3" t="n">
        <v>111.182384</v>
      </c>
      <c r="V3002" s="3" t="n">
        <v>116.361896</v>
      </c>
      <c r="W3002" s="3" t="n">
        <v>119.932982</v>
      </c>
      <c r="X3002" s="3" t="n">
        <v>122.192437</v>
      </c>
      <c r="Y3002" s="3" t="n">
        <v>123.437051</v>
      </c>
      <c r="Z3002" s="3" t="n">
        <v>124.672092</v>
      </c>
      <c r="AA3002" s="3" t="n">
        <v>125.418861</v>
      </c>
      <c r="AB3002" s="3" t="n">
        <v>128.00383</v>
      </c>
      <c r="AC3002" s="3" t="n">
        <v>135.461944</v>
      </c>
      <c r="AD3002" s="3" t="n">
        <v>141.732887</v>
      </c>
      <c r="AE3002" s="3" t="n">
        <v>142.479655</v>
      </c>
      <c r="AF3002" s="3" t="n">
        <v>143.895745</v>
      </c>
      <c r="AG3002" s="3" t="n">
        <v>146.44995</v>
      </c>
      <c r="AH3002" s="3" t="n">
        <v>150.491929</v>
      </c>
      <c r="AI3002" s="3" t="n">
        <v>153.843658</v>
      </c>
      <c r="AJ3002" s="3" t="n">
        <v>157.056037</v>
      </c>
      <c r="AK3002" s="3" t="n">
        <v>160.26188</v>
      </c>
      <c r="AL3002" s="3" t="n">
        <v>163.450758</v>
      </c>
      <c r="AM3002" s="3" t="n"/>
      <c r="AN3002" s="3" t="n"/>
      <c r="AO3002" s="3" t="n"/>
      <c r="AP3002" s="3" t="n"/>
      <c r="AQ3002" s="3" t="n"/>
      <c r="AR3002" s="3" t="n"/>
      <c r="AS3002" s="3" t="n"/>
      <c r="AT3002" s="3" t="n"/>
      <c r="AU3002" s="3" t="n"/>
    </row>
    <row r="3003">
      <c r="A3003" s="3" t="n">
        <v>2031</v>
      </c>
      <c r="B3003" s="3" t="inlineStr">
        <is>
          <t>TTO</t>
        </is>
      </c>
      <c r="C3003" s="3" t="inlineStr">
        <is>
          <t>IMF.RES:WEO</t>
        </is>
      </c>
      <c r="D3003" s="3" t="inlineStr">
        <is>
          <t>TTO.PCPIPCH.A</t>
        </is>
      </c>
      <c r="E3003" s="3" t="inlineStr">
        <is>
          <t>Trinidad and Tobago</t>
        </is>
      </c>
      <c r="F3003" s="3" t="inlineStr">
        <is>
          <t>All Items, Consumer price index (CPI), Period average, percent change</t>
        </is>
      </c>
      <c r="G3003" s="3" t="n">
        <v>3.524426</v>
      </c>
      <c r="H3003" s="3" t="n">
        <v>5.602241</v>
      </c>
      <c r="I3003" s="3" t="n">
        <v>4.142012</v>
      </c>
      <c r="J3003" s="3" t="n">
        <v>3.781348</v>
      </c>
      <c r="K3003" s="3" t="n">
        <v>3.756843</v>
      </c>
      <c r="L3003" s="3" t="n">
        <v>6.877729</v>
      </c>
      <c r="M3003" s="3" t="n">
        <v>8.307797000000001</v>
      </c>
      <c r="N3003" s="3" t="n">
        <v>7.874882</v>
      </c>
      <c r="O3003" s="3" t="n">
        <v>12.035553</v>
      </c>
      <c r="P3003" s="3" t="n">
        <v>7.010014</v>
      </c>
      <c r="Q3003" s="3" t="n">
        <v>10.53719</v>
      </c>
      <c r="R3003" s="3" t="n">
        <v>5.090709</v>
      </c>
      <c r="S3003" s="3" t="n">
        <v>9.280184</v>
      </c>
      <c r="T3003" s="3" t="n">
        <v>5.189086</v>
      </c>
      <c r="U3003" s="3" t="n">
        <v>5.697643</v>
      </c>
      <c r="V3003" s="3" t="n">
        <v>4.658572</v>
      </c>
      <c r="W3003" s="3" t="n">
        <v>3.068948</v>
      </c>
      <c r="X3003" s="3" t="n">
        <v>1.883931</v>
      </c>
      <c r="Y3003" s="3" t="n">
        <v>1.018569</v>
      </c>
      <c r="Z3003" s="3" t="n">
        <v>1.000543</v>
      </c>
      <c r="AA3003" s="3" t="n">
        <v>0.598986</v>
      </c>
      <c r="AB3003" s="3" t="n">
        <v>2.061069</v>
      </c>
      <c r="AC3003" s="3" t="n">
        <v>5.826477</v>
      </c>
      <c r="AD3003" s="3" t="n">
        <v>4.629302</v>
      </c>
      <c r="AE3003" s="3" t="n">
        <v>0.526885</v>
      </c>
      <c r="AF3003" s="3" t="n">
        <v>0.993889</v>
      </c>
      <c r="AG3003" s="3" t="n">
        <v>1.775038</v>
      </c>
      <c r="AH3003" s="3" t="n">
        <v>2.759973</v>
      </c>
      <c r="AI3003" s="3" t="n">
        <v>2.227182</v>
      </c>
      <c r="AJ3003" s="3" t="n">
        <v>2.08808</v>
      </c>
      <c r="AK3003" s="3" t="n">
        <v>2.041209</v>
      </c>
      <c r="AL3003" s="3" t="n">
        <v>1.989792</v>
      </c>
      <c r="AM3003" s="3" t="n"/>
      <c r="AN3003" s="3" t="n"/>
      <c r="AO3003" s="3" t="n"/>
      <c r="AP3003" s="3" t="n"/>
      <c r="AQ3003" s="3" t="n"/>
      <c r="AR3003" s="3" t="n"/>
      <c r="AS3003" s="3" t="n"/>
      <c r="AT3003" s="3" t="n"/>
      <c r="AU3003" s="3" t="n"/>
    </row>
    <row r="3004">
      <c r="A3004" s="3" t="n">
        <v>2031</v>
      </c>
      <c r="B3004" s="3" t="inlineStr">
        <is>
          <t>TTO</t>
        </is>
      </c>
      <c r="C3004" s="3" t="inlineStr">
        <is>
          <t>IMF.RES:WEO</t>
        </is>
      </c>
      <c r="D3004" s="3" t="inlineStr">
        <is>
          <t>TTO.PPPPC.A</t>
        </is>
      </c>
      <c r="E3004" s="3" t="inlineStr">
        <is>
          <t>Trinidad and Tobago</t>
        </is>
      </c>
      <c r="F3004" s="3" t="inlineStr">
        <is>
          <t>Gross domestic product (GDP), Per capita, purchasing power parity (PPP) international dollar, ICP benchmarks 2017-2021</t>
        </is>
      </c>
      <c r="G3004" s="3" t="n">
        <v>12992.335994</v>
      </c>
      <c r="H3004" s="3" t="n">
        <v>13727.719908</v>
      </c>
      <c r="I3004" s="3" t="n">
        <v>14872.838041</v>
      </c>
      <c r="J3004" s="3" t="n">
        <v>17185.761652</v>
      </c>
      <c r="K3004" s="3" t="n">
        <v>18844.879978</v>
      </c>
      <c r="L3004" s="3" t="n">
        <v>20480.266747</v>
      </c>
      <c r="M3004" s="3" t="n">
        <v>23993.762312</v>
      </c>
      <c r="N3004" s="3" t="n">
        <v>25576.618954</v>
      </c>
      <c r="O3004" s="3" t="n">
        <v>26803.0896</v>
      </c>
      <c r="P3004" s="3" t="n">
        <v>25541.868448</v>
      </c>
      <c r="Q3004" s="3" t="n">
        <v>26601.620628</v>
      </c>
      <c r="R3004" s="3" t="n">
        <v>26935.449824</v>
      </c>
      <c r="S3004" s="3" t="n">
        <v>28522.931442</v>
      </c>
      <c r="T3004" s="3" t="n">
        <v>29788.629266</v>
      </c>
      <c r="U3004" s="3" t="n">
        <v>31220.99597</v>
      </c>
      <c r="V3004" s="3" t="n">
        <v>31199.622699</v>
      </c>
      <c r="W3004" s="3" t="n">
        <v>28969.561994</v>
      </c>
      <c r="X3004" s="3" t="n">
        <v>27919.802086</v>
      </c>
      <c r="Y3004" s="3" t="n">
        <v>28040.955042</v>
      </c>
      <c r="Z3004" s="3" t="n">
        <v>28664.664827</v>
      </c>
      <c r="AA3004" s="3" t="n">
        <v>26105.499822</v>
      </c>
      <c r="AB3004" s="3" t="n">
        <v>29631.117476</v>
      </c>
      <c r="AC3004" s="3" t="n">
        <v>31847.413166</v>
      </c>
      <c r="AD3004" s="3" t="n">
        <v>33342.138799</v>
      </c>
      <c r="AE3004" s="3" t="n">
        <v>34857.180066</v>
      </c>
      <c r="AF3004" s="3" t="n">
        <v>35956.259598</v>
      </c>
      <c r="AG3004" s="3" t="n">
        <v>37098.27599</v>
      </c>
      <c r="AH3004" s="3" t="n">
        <v>38854.744042</v>
      </c>
      <c r="AI3004" s="3" t="n">
        <v>40690.629758</v>
      </c>
      <c r="AJ3004" s="3" t="n">
        <v>42393.931406</v>
      </c>
      <c r="AK3004" s="3" t="n">
        <v>43872.725999</v>
      </c>
      <c r="AL3004" s="3" t="n">
        <v>45246.939773</v>
      </c>
      <c r="AM3004" s="3" t="n"/>
      <c r="AN3004" s="3" t="n"/>
      <c r="AO3004" s="3" t="n"/>
      <c r="AP3004" s="3" t="n"/>
      <c r="AQ3004" s="3" t="n"/>
      <c r="AR3004" s="3" t="n"/>
      <c r="AS3004" s="3" t="n"/>
      <c r="AT3004" s="3" t="n"/>
      <c r="AU3004" s="3" t="n"/>
    </row>
    <row r="3005">
      <c r="A3005" s="3" t="n">
        <v>2025</v>
      </c>
      <c r="B3005" s="3" t="inlineStr">
        <is>
          <t>TTO</t>
        </is>
      </c>
      <c r="C3005" s="3" t="inlineStr">
        <is>
          <t>IMF.STA:ER</t>
        </is>
      </c>
      <c r="D3005" s="3" t="inlineStr">
        <is>
          <t>TTO.XDC_USD.PA_RT.A</t>
        </is>
      </c>
      <c r="E3005" s="3" t="inlineStr">
        <is>
          <t>Trinidad and Tobago</t>
        </is>
      </c>
      <c r="F3005" s="3" t="inlineStr">
        <is>
          <t>Domestic currency per US Dollar</t>
        </is>
      </c>
      <c r="G3005" s="3" t="n">
        <v>6.29979666666666</v>
      </c>
      <c r="H3005" s="3" t="n">
        <v>6.23321666666666</v>
      </c>
      <c r="I3005" s="3" t="n">
        <v>6.24868333333333</v>
      </c>
      <c r="J3005" s="3" t="n">
        <v>6.2951</v>
      </c>
      <c r="K3005" s="3" t="n">
        <v>6.29899166666666</v>
      </c>
      <c r="L3005" s="3" t="n">
        <v>6.29955833333333</v>
      </c>
      <c r="M3005" s="3" t="n">
        <v>6.31228333333333</v>
      </c>
      <c r="N3005" s="3" t="n">
        <v>6.32803333333333</v>
      </c>
      <c r="O3005" s="3" t="n">
        <v>6.28943333333333</v>
      </c>
      <c r="P3005" s="3" t="n">
        <v>6.32490833333333</v>
      </c>
      <c r="Q3005" s="3" t="n">
        <v>6.37550833333333</v>
      </c>
      <c r="R3005" s="3" t="n">
        <v>6.40930070568578</v>
      </c>
      <c r="S3005" s="3" t="n">
        <v>6.42960265594542</v>
      </c>
      <c r="T3005" s="3" t="n">
        <v>6.44262939764658</v>
      </c>
      <c r="U3005" s="3" t="n">
        <v>6.40909457829793</v>
      </c>
      <c r="V3005" s="3" t="n">
        <v>6.37744166666666</v>
      </c>
      <c r="W3005" s="3" t="n">
        <v>6.66896666666666</v>
      </c>
      <c r="X3005" s="3" t="n">
        <v>6.779525</v>
      </c>
      <c r="Y3005" s="3" t="n">
        <v>6.77075089824606</v>
      </c>
      <c r="Z3005" s="3" t="n">
        <v>6.7543266828632</v>
      </c>
      <c r="AA3005" s="3" t="n">
        <v>6.75105268711505</v>
      </c>
      <c r="AB3005" s="3" t="n">
        <v>6.75853004916294</v>
      </c>
      <c r="AC3005" s="3" t="n">
        <v>6.75412896099475</v>
      </c>
      <c r="AD3005" s="3" t="n">
        <v>6.75026237934501</v>
      </c>
      <c r="AE3005" s="3" t="n">
        <v>6.75012324870591</v>
      </c>
      <c r="AF3005" s="3" t="n">
        <v>6.74884660621026</v>
      </c>
      <c r="AG3005" s="3" t="n"/>
      <c r="AH3005" s="3" t="n"/>
      <c r="AI3005" s="3" t="n"/>
      <c r="AJ3005" s="3" t="n"/>
      <c r="AK3005" s="3" t="n"/>
      <c r="AL3005" s="3" t="n"/>
      <c r="AM3005" s="3" t="n"/>
      <c r="AN3005" s="3" t="n"/>
      <c r="AO3005" s="3" t="n"/>
      <c r="AP3005" s="3" t="n"/>
      <c r="AQ3005" s="3" t="n"/>
      <c r="AR3005" s="3" t="n"/>
      <c r="AS3005" s="3" t="n"/>
      <c r="AT3005" s="3" t="n"/>
      <c r="AU3005" s="3" t="n"/>
    </row>
    <row r="3006">
      <c r="A3006" s="3" t="n">
        <v>2031</v>
      </c>
      <c r="B3006" s="3" t="inlineStr">
        <is>
          <t>TUN</t>
        </is>
      </c>
      <c r="C3006" s="3" t="inlineStr">
        <is>
          <t>IMF.RES:WEO</t>
        </is>
      </c>
      <c r="D3006" s="3" t="inlineStr">
        <is>
          <t>TUN.BCA.A</t>
        </is>
      </c>
      <c r="E3006" s="3" t="inlineStr">
        <is>
          <t>Tunisia</t>
        </is>
      </c>
      <c r="F3006" s="3" t="inlineStr">
        <is>
          <t>Current account balance (credit less debit), US dollar</t>
        </is>
      </c>
      <c r="G3006" s="3" t="n">
        <v>-1.06236</v>
      </c>
      <c r="H3006" s="3" t="n">
        <v>-1.224871</v>
      </c>
      <c r="I3006" s="3" t="n">
        <v>-0.952276</v>
      </c>
      <c r="J3006" s="3" t="n">
        <v>-0.965432</v>
      </c>
      <c r="K3006" s="3" t="n">
        <v>-0.987555</v>
      </c>
      <c r="L3006" s="3" t="n">
        <v>-0.582546</v>
      </c>
      <c r="M3006" s="3" t="n">
        <v>-0.91825</v>
      </c>
      <c r="N3006" s="3" t="n">
        <v>-1.25716</v>
      </c>
      <c r="O3006" s="3" t="n">
        <v>-2.081312</v>
      </c>
      <c r="P3006" s="3" t="n">
        <v>-1.56828</v>
      </c>
      <c r="Q3006" s="3" t="n">
        <v>-2.468399</v>
      </c>
      <c r="R3006" s="3" t="n">
        <v>-3.869222</v>
      </c>
      <c r="S3006" s="3" t="n">
        <v>-4.110443</v>
      </c>
      <c r="T3006" s="3" t="n">
        <v>-4.466484</v>
      </c>
      <c r="U3006" s="3" t="n">
        <v>-4.688967</v>
      </c>
      <c r="V3006" s="3" t="n">
        <v>-4.18585</v>
      </c>
      <c r="W3006" s="3" t="n">
        <v>-4.306572</v>
      </c>
      <c r="X3006" s="3" t="n">
        <v>-4.080076</v>
      </c>
      <c r="Y3006" s="3" t="n">
        <v>-4.609866</v>
      </c>
      <c r="Z3006" s="3" t="n">
        <v>-3.387926</v>
      </c>
      <c r="AA3006" s="3" t="n">
        <v>-2.535997</v>
      </c>
      <c r="AB3006" s="3" t="n">
        <v>-2.794553</v>
      </c>
      <c r="AC3006" s="3" t="n">
        <v>-4.011674</v>
      </c>
      <c r="AD3006" s="3" t="n">
        <v>-1.112143</v>
      </c>
      <c r="AE3006" s="3" t="n">
        <v>-0.82767</v>
      </c>
      <c r="AF3006" s="3" t="n">
        <v>-1.586449</v>
      </c>
      <c r="AG3006" s="3" t="n">
        <v>-2.521467</v>
      </c>
      <c r="AH3006" s="3" t="n">
        <v>-3.417023</v>
      </c>
      <c r="AI3006" s="3" t="n">
        <v>-3.476439</v>
      </c>
      <c r="AJ3006" s="3" t="n">
        <v>-3.415642</v>
      </c>
      <c r="AK3006" s="3" t="n">
        <v>-3.401883</v>
      </c>
      <c r="AL3006" s="3" t="n">
        <v>-2.989388</v>
      </c>
      <c r="AM3006" s="3" t="n"/>
      <c r="AN3006" s="3" t="n"/>
      <c r="AO3006" s="3" t="n"/>
      <c r="AP3006" s="3" t="n"/>
      <c r="AQ3006" s="3" t="n"/>
      <c r="AR3006" s="3" t="n"/>
      <c r="AS3006" s="3" t="n"/>
      <c r="AT3006" s="3" t="n"/>
      <c r="AU3006" s="3" t="n"/>
    </row>
    <row r="3007">
      <c r="A3007" s="3" t="n">
        <v>2031</v>
      </c>
      <c r="B3007" s="3" t="inlineStr">
        <is>
          <t>TUN</t>
        </is>
      </c>
      <c r="C3007" s="3" t="inlineStr">
        <is>
          <t>IMF.RES:WEO</t>
        </is>
      </c>
      <c r="D3007" s="3" t="inlineStr">
        <is>
          <t>TUN.BCA_NGDPD.A</t>
        </is>
      </c>
      <c r="E3007" s="3" t="inlineStr">
        <is>
          <t>Tunisia</t>
        </is>
      </c>
      <c r="F3007" s="3" t="inlineStr">
        <is>
          <t>Current account balance (credit less debit), Percent of GDP</t>
        </is>
      </c>
      <c r="G3007" s="3" t="n">
        <v>-4.716521</v>
      </c>
      <c r="H3007" s="3" t="n">
        <v>-5.292028</v>
      </c>
      <c r="I3007" s="3" t="n">
        <v>-3.923039</v>
      </c>
      <c r="J3007" s="3" t="n">
        <v>-3.352521</v>
      </c>
      <c r="K3007" s="3" t="n">
        <v>-3.019148</v>
      </c>
      <c r="L3007" s="3" t="n">
        <v>-1.7209</v>
      </c>
      <c r="M3007" s="3" t="n">
        <v>-2.546542</v>
      </c>
      <c r="N3007" s="3" t="n">
        <v>-3.079806</v>
      </c>
      <c r="O3007" s="3" t="n">
        <v>-4.424698</v>
      </c>
      <c r="P3007" s="3" t="n">
        <v>-3.439759</v>
      </c>
      <c r="Q3007" s="3" t="n">
        <v>-5.341719</v>
      </c>
      <c r="R3007" s="3" t="n">
        <v>-8.040445999999999</v>
      </c>
      <c r="S3007" s="3" t="n">
        <v>-8.688052000000001</v>
      </c>
      <c r="T3007" s="3" t="n">
        <v>-9.174985</v>
      </c>
      <c r="U3007" s="3" t="n">
        <v>-9.326949000000001</v>
      </c>
      <c r="V3007" s="3" t="n">
        <v>-9.143622000000001</v>
      </c>
      <c r="W3007" s="3" t="n">
        <v>-9.708214999999999</v>
      </c>
      <c r="X3007" s="3" t="n">
        <v>-9.67592</v>
      </c>
      <c r="Y3007" s="3" t="n">
        <v>-10.799353</v>
      </c>
      <c r="Z3007" s="3" t="n">
        <v>-8.084704</v>
      </c>
      <c r="AA3007" s="3" t="n">
        <v>-5.967914</v>
      </c>
      <c r="AB3007" s="3" t="n">
        <v>-5.969548</v>
      </c>
      <c r="AC3007" s="3" t="n">
        <v>-8.99559</v>
      </c>
      <c r="AD3007" s="3" t="n">
        <v>-2.291203</v>
      </c>
      <c r="AE3007" s="3" t="n">
        <v>-1.612406</v>
      </c>
      <c r="AF3007" s="3" t="n">
        <v>-2.754789</v>
      </c>
      <c r="AG3007" s="3" t="n">
        <v>-4.150887</v>
      </c>
      <c r="AH3007" s="3" t="n">
        <v>-5.785568</v>
      </c>
      <c r="AI3007" s="3" t="n">
        <v>-5.83184</v>
      </c>
      <c r="AJ3007" s="3" t="n">
        <v>-5.633512</v>
      </c>
      <c r="AK3007" s="3" t="n">
        <v>-5.526743</v>
      </c>
      <c r="AL3007" s="3" t="n">
        <v>-4.770106</v>
      </c>
      <c r="AM3007" s="3" t="n"/>
      <c r="AN3007" s="3" t="n"/>
      <c r="AO3007" s="3" t="n"/>
      <c r="AP3007" s="3" t="n"/>
      <c r="AQ3007" s="3" t="n"/>
      <c r="AR3007" s="3" t="n"/>
      <c r="AS3007" s="3" t="n"/>
      <c r="AT3007" s="3" t="n"/>
      <c r="AU3007" s="3" t="n"/>
    </row>
    <row r="3008">
      <c r="A3008" s="3" t="n">
        <v>2031</v>
      </c>
      <c r="B3008" s="3" t="inlineStr">
        <is>
          <t>TUN</t>
        </is>
      </c>
      <c r="C3008" s="3" t="inlineStr">
        <is>
          <t>IMF.RES:WEO</t>
        </is>
      </c>
      <c r="D3008" s="3" t="inlineStr">
        <is>
          <t>TUN.GGR_NGDP.A</t>
        </is>
      </c>
      <c r="E3008" s="3" t="inlineStr">
        <is>
          <t>Tunisia</t>
        </is>
      </c>
      <c r="F3008" s="3" t="inlineStr">
        <is>
          <t>Revenue, General government, Percent of GDP</t>
        </is>
      </c>
      <c r="G3008" s="3" t="n">
        <v>20.828845</v>
      </c>
      <c r="H3008" s="3" t="n">
        <v>21.113375</v>
      </c>
      <c r="I3008" s="3" t="n">
        <v>21.577438</v>
      </c>
      <c r="J3008" s="3" t="n">
        <v>20.82902</v>
      </c>
      <c r="K3008" s="3" t="n">
        <v>20.920443</v>
      </c>
      <c r="L3008" s="3" t="n">
        <v>20.450042</v>
      </c>
      <c r="M3008" s="3" t="n">
        <v>20.518026</v>
      </c>
      <c r="N3008" s="3" t="n">
        <v>20.852851</v>
      </c>
      <c r="O3008" s="3" t="n">
        <v>23.051085</v>
      </c>
      <c r="P3008" s="3" t="n">
        <v>22.050663</v>
      </c>
      <c r="Q3008" s="3" t="n">
        <v>23.542124</v>
      </c>
      <c r="R3008" s="3" t="n">
        <v>24.694042</v>
      </c>
      <c r="S3008" s="3" t="n">
        <v>23.450605</v>
      </c>
      <c r="T3008" s="3" t="n">
        <v>23.75006</v>
      </c>
      <c r="U3008" s="3" t="n">
        <v>24.571907</v>
      </c>
      <c r="V3008" s="3" t="n">
        <v>22.49589</v>
      </c>
      <c r="W3008" s="3" t="n">
        <v>21.34429</v>
      </c>
      <c r="X3008" s="3" t="n">
        <v>23.117389</v>
      </c>
      <c r="Y3008" s="3" t="n">
        <v>24.419333</v>
      </c>
      <c r="Z3008" s="3" t="n">
        <v>25.928959</v>
      </c>
      <c r="AA3008" s="3" t="n">
        <v>25.475449</v>
      </c>
      <c r="AB3008" s="3" t="n">
        <v>25.606472</v>
      </c>
      <c r="AC3008" s="3" t="n">
        <v>29.583284</v>
      </c>
      <c r="AD3008" s="3" t="n">
        <v>28.676713</v>
      </c>
      <c r="AE3008" s="3" t="n">
        <v>29.425885</v>
      </c>
      <c r="AF3008" s="3" t="n">
        <v>28.791882</v>
      </c>
      <c r="AG3008" s="3" t="n">
        <v>28.669625</v>
      </c>
      <c r="AH3008" s="3" t="n">
        <v>28.702367</v>
      </c>
      <c r="AI3008" s="3" t="n">
        <v>28.694127</v>
      </c>
      <c r="AJ3008" s="3" t="n">
        <v>28.634327</v>
      </c>
      <c r="AK3008" s="3" t="n">
        <v>28.562423</v>
      </c>
      <c r="AL3008" s="3" t="n">
        <v>28.159853</v>
      </c>
      <c r="AM3008" s="3" t="n"/>
      <c r="AN3008" s="3" t="n"/>
      <c r="AO3008" s="3" t="n"/>
      <c r="AP3008" s="3" t="n"/>
      <c r="AQ3008" s="3" t="n"/>
      <c r="AR3008" s="3" t="n"/>
      <c r="AS3008" s="3" t="n"/>
      <c r="AT3008" s="3" t="n"/>
      <c r="AU3008" s="3" t="n"/>
    </row>
    <row r="3009">
      <c r="A3009" s="3" t="n">
        <v>2031</v>
      </c>
      <c r="B3009" s="3" t="inlineStr">
        <is>
          <t>TUN</t>
        </is>
      </c>
      <c r="C3009" s="3" t="inlineStr">
        <is>
          <t>IMF.RES:WEO</t>
        </is>
      </c>
      <c r="D3009" s="3" t="inlineStr">
        <is>
          <t>TUN.GGX_NGDP.A</t>
        </is>
      </c>
      <c r="E3009" s="3" t="inlineStr">
        <is>
          <t>Tunisia</t>
        </is>
      </c>
      <c r="F3009" s="3" t="inlineStr">
        <is>
          <t>Expenditure, General government, Percent of GDP</t>
        </is>
      </c>
      <c r="G3009" s="3" t="n">
        <v>24.043867</v>
      </c>
      <c r="H3009" s="3" t="n">
        <v>23.987872</v>
      </c>
      <c r="I3009" s="3" t="n">
        <v>24.124738</v>
      </c>
      <c r="J3009" s="3" t="n">
        <v>23.473209</v>
      </c>
      <c r="K3009" s="3" t="n">
        <v>23.020527</v>
      </c>
      <c r="L3009" s="3" t="n">
        <v>23.038844</v>
      </c>
      <c r="M3009" s="3" t="n">
        <v>22.852472</v>
      </c>
      <c r="N3009" s="3" t="n">
        <v>23.318974</v>
      </c>
      <c r="O3009" s="3" t="n">
        <v>23.670478</v>
      </c>
      <c r="P3009" s="3" t="n">
        <v>24.637576</v>
      </c>
      <c r="Q3009" s="3" t="n">
        <v>23.998733</v>
      </c>
      <c r="R3009" s="3" t="n">
        <v>27.887197</v>
      </c>
      <c r="S3009" s="3" t="n">
        <v>28.34923</v>
      </c>
      <c r="T3009" s="3" t="n">
        <v>30.797676</v>
      </c>
      <c r="U3009" s="3" t="n">
        <v>27.686653</v>
      </c>
      <c r="V3009" s="3" t="n">
        <v>27.444446</v>
      </c>
      <c r="W3009" s="3" t="n">
        <v>27.213236</v>
      </c>
      <c r="X3009" s="3" t="n">
        <v>28.724724</v>
      </c>
      <c r="Y3009" s="3" t="n">
        <v>28.68466</v>
      </c>
      <c r="Z3009" s="3" t="n">
        <v>29.531934</v>
      </c>
      <c r="AA3009" s="3" t="n">
        <v>34.532632</v>
      </c>
      <c r="AB3009" s="3" t="n">
        <v>33.420938</v>
      </c>
      <c r="AC3009" s="3" t="n">
        <v>36.580414</v>
      </c>
      <c r="AD3009" s="3" t="n">
        <v>35.946075</v>
      </c>
      <c r="AE3009" s="3" t="n">
        <v>35.783519</v>
      </c>
      <c r="AF3009" s="3" t="n">
        <v>34.032458</v>
      </c>
      <c r="AG3009" s="3" t="n">
        <v>36.074061</v>
      </c>
      <c r="AH3009" s="3" t="n">
        <v>35.226895</v>
      </c>
      <c r="AI3009" s="3" t="n">
        <v>34.679263</v>
      </c>
      <c r="AJ3009" s="3" t="n">
        <v>34.709768</v>
      </c>
      <c r="AK3009" s="3" t="n">
        <v>35.0166</v>
      </c>
      <c r="AL3009" s="3" t="n">
        <v>34.960654</v>
      </c>
      <c r="AM3009" s="3" t="n"/>
      <c r="AN3009" s="3" t="n"/>
      <c r="AO3009" s="3" t="n"/>
      <c r="AP3009" s="3" t="n"/>
      <c r="AQ3009" s="3" t="n"/>
      <c r="AR3009" s="3" t="n"/>
      <c r="AS3009" s="3" t="n"/>
      <c r="AT3009" s="3" t="n"/>
      <c r="AU3009" s="3" t="n"/>
    </row>
    <row r="3010">
      <c r="A3010" s="3" t="n">
        <v>2031</v>
      </c>
      <c r="B3010" s="3" t="inlineStr">
        <is>
          <t>TUN</t>
        </is>
      </c>
      <c r="C3010" s="3" t="inlineStr">
        <is>
          <t>IMF.RES:WEO</t>
        </is>
      </c>
      <c r="D3010" s="3" t="inlineStr">
        <is>
          <t>TUN.LP.A</t>
        </is>
      </c>
      <c r="E3010" s="3" t="inlineStr">
        <is>
          <t>Tunisia</t>
        </is>
      </c>
      <c r="F3010" s="3" t="inlineStr">
        <is>
          <t>Population, Persons for countries / Index for country groups</t>
        </is>
      </c>
      <c r="G3010" s="3" t="n">
        <v>9.764934999999999</v>
      </c>
      <c r="H3010" s="3" t="n">
        <v>9.869676999999999</v>
      </c>
      <c r="I3010" s="3" t="n">
        <v>9.971515</v>
      </c>
      <c r="J3010" s="3" t="n">
        <v>10.071632</v>
      </c>
      <c r="K3010" s="3" t="n">
        <v>10.166163</v>
      </c>
      <c r="L3010" s="3" t="n">
        <v>10.255472</v>
      </c>
      <c r="M3010" s="3" t="n">
        <v>10.34641</v>
      </c>
      <c r="N3010" s="3" t="n">
        <v>10.441702</v>
      </c>
      <c r="O3010" s="3" t="n">
        <v>10.542635</v>
      </c>
      <c r="P3010" s="3" t="n">
        <v>10.650681</v>
      </c>
      <c r="Q3010" s="3" t="n">
        <v>10.76598</v>
      </c>
      <c r="R3010" s="3" t="n">
        <v>10.886035</v>
      </c>
      <c r="S3010" s="3" t="n">
        <v>11.009647</v>
      </c>
      <c r="T3010" s="3" t="n">
        <v>11.141361</v>
      </c>
      <c r="U3010" s="3" t="n">
        <v>11.274288</v>
      </c>
      <c r="V3010" s="3" t="n">
        <v>11.402264</v>
      </c>
      <c r="W3010" s="3" t="n">
        <v>11.528674</v>
      </c>
      <c r="X3010" s="3" t="n">
        <v>11.650498</v>
      </c>
      <c r="Y3010" s="3" t="n">
        <v>11.765514</v>
      </c>
      <c r="Z3010" s="3" t="n">
        <v>11.875081</v>
      </c>
      <c r="AA3010" s="3" t="n">
        <v>11.974057</v>
      </c>
      <c r="AB3010" s="3" t="n">
        <v>12.048622</v>
      </c>
      <c r="AC3010" s="3" t="n">
        <v>12.119334</v>
      </c>
      <c r="AD3010" s="3" t="n">
        <v>12.200431</v>
      </c>
      <c r="AE3010" s="3" t="n">
        <v>12.277109</v>
      </c>
      <c r="AF3010" s="3" t="n">
        <v>12.348573</v>
      </c>
      <c r="AG3010" s="3" t="n">
        <v>12.415138</v>
      </c>
      <c r="AH3010" s="3" t="n">
        <v>12.476097</v>
      </c>
      <c r="AI3010" s="3" t="n">
        <v>12.531992</v>
      </c>
      <c r="AJ3010" s="3" t="n">
        <v>12.582708</v>
      </c>
      <c r="AK3010" s="3" t="n">
        <v>12.628142</v>
      </c>
      <c r="AL3010" s="3" t="n">
        <v>12.669921</v>
      </c>
      <c r="AM3010" s="3" t="n"/>
      <c r="AN3010" s="3" t="n"/>
      <c r="AO3010" s="3" t="n"/>
      <c r="AP3010" s="3" t="n"/>
      <c r="AQ3010" s="3" t="n"/>
      <c r="AR3010" s="3" t="n"/>
      <c r="AS3010" s="3" t="n"/>
      <c r="AT3010" s="3" t="n"/>
      <c r="AU3010" s="3" t="n"/>
    </row>
    <row r="3011">
      <c r="A3011" s="3" t="n">
        <v>2031</v>
      </c>
      <c r="B3011" s="3" t="inlineStr">
        <is>
          <t>TUN</t>
        </is>
      </c>
      <c r="C3011" s="3" t="inlineStr">
        <is>
          <t>IMF.RES:WEO</t>
        </is>
      </c>
      <c r="D3011" s="3" t="inlineStr">
        <is>
          <t>TUN.NGDP.A</t>
        </is>
      </c>
      <c r="E3011" s="3" t="inlineStr">
        <is>
          <t>Tunisia</t>
        </is>
      </c>
      <c r="F3011" s="3" t="inlineStr">
        <is>
          <t>Gross domestic product (GDP), Current prices, Domestic currency</t>
        </is>
      </c>
      <c r="G3011" s="3" t="n">
        <v>30.87357</v>
      </c>
      <c r="H3011" s="3" t="n">
        <v>33.299744</v>
      </c>
      <c r="I3011" s="3" t="n">
        <v>34.511048</v>
      </c>
      <c r="J3011" s="3" t="n">
        <v>37.104003</v>
      </c>
      <c r="K3011" s="3" t="n">
        <v>40.738859</v>
      </c>
      <c r="L3011" s="3" t="n">
        <v>43.919739</v>
      </c>
      <c r="M3011" s="3" t="n">
        <v>47.995041</v>
      </c>
      <c r="N3011" s="3" t="n">
        <v>52.304359</v>
      </c>
      <c r="O3011" s="3" t="n">
        <v>57.977705</v>
      </c>
      <c r="P3011" s="3" t="n">
        <v>61.548262</v>
      </c>
      <c r="Q3011" s="3" t="n">
        <v>66.139743</v>
      </c>
      <c r="R3011" s="3" t="n">
        <v>67.747332</v>
      </c>
      <c r="S3011" s="3" t="n">
        <v>73.895358</v>
      </c>
      <c r="T3011" s="3" t="n">
        <v>79.096649</v>
      </c>
      <c r="U3011" s="3" t="n">
        <v>85.345657</v>
      </c>
      <c r="V3011" s="3" t="n">
        <v>89.802183</v>
      </c>
      <c r="W3011" s="3" t="n">
        <v>95.286946</v>
      </c>
      <c r="X3011" s="3" t="n">
        <v>102.011521</v>
      </c>
      <c r="Y3011" s="3" t="n">
        <v>112.985476</v>
      </c>
      <c r="Z3011" s="3" t="n">
        <v>122.969258</v>
      </c>
      <c r="AA3011" s="3" t="n">
        <v>119.504075</v>
      </c>
      <c r="AB3011" s="3" t="n">
        <v>130.8156</v>
      </c>
      <c r="AC3011" s="3" t="n">
        <v>138.4156</v>
      </c>
      <c r="AD3011" s="3" t="n">
        <v>150.7723</v>
      </c>
      <c r="AE3011" s="3" t="n">
        <v>159.7607</v>
      </c>
      <c r="AF3011" s="3" t="n">
        <v>172.614627</v>
      </c>
      <c r="AG3011" s="3" t="n">
        <v>185.838619</v>
      </c>
      <c r="AH3011" s="3" t="n">
        <v>197.936364</v>
      </c>
      <c r="AI3011" s="3" t="n">
        <v>214.269573</v>
      </c>
      <c r="AJ3011" s="3" t="n">
        <v>233.355988</v>
      </c>
      <c r="AK3011" s="3" t="n">
        <v>256.267389</v>
      </c>
      <c r="AL3011" s="3" t="n">
        <v>282.542542</v>
      </c>
      <c r="AM3011" s="3" t="n"/>
      <c r="AN3011" s="3" t="n"/>
      <c r="AO3011" s="3" t="n"/>
      <c r="AP3011" s="3" t="n"/>
      <c r="AQ3011" s="3" t="n"/>
      <c r="AR3011" s="3" t="n"/>
      <c r="AS3011" s="3" t="n"/>
      <c r="AT3011" s="3" t="n"/>
      <c r="AU3011" s="3" t="n"/>
    </row>
    <row r="3012">
      <c r="A3012" s="3" t="n">
        <v>2031</v>
      </c>
      <c r="B3012" s="3" t="inlineStr">
        <is>
          <t>TUN</t>
        </is>
      </c>
      <c r="C3012" s="3" t="inlineStr">
        <is>
          <t>IMF.RES:WEO</t>
        </is>
      </c>
      <c r="D3012" s="3" t="inlineStr">
        <is>
          <t>TUN.NGDP_D.A</t>
        </is>
      </c>
      <c r="E3012" s="3" t="inlineStr">
        <is>
          <t>Tunisia</t>
        </is>
      </c>
      <c r="F3012" s="3" t="inlineStr">
        <is>
          <t>Gross domestic product (GDP), Price deflator, Index</t>
        </is>
      </c>
      <c r="G3012" s="3" t="n">
        <v>56.560954</v>
      </c>
      <c r="H3012" s="3" t="n">
        <v>58.774512</v>
      </c>
      <c r="I3012" s="3" t="n">
        <v>60.117392</v>
      </c>
      <c r="J3012" s="3" t="n">
        <v>61.731393</v>
      </c>
      <c r="K3012" s="3" t="n">
        <v>63.800389</v>
      </c>
      <c r="L3012" s="3" t="n">
        <v>66.46459299999999</v>
      </c>
      <c r="M3012" s="3" t="n">
        <v>69.012726</v>
      </c>
      <c r="N3012" s="3" t="n">
        <v>70.48026900000001</v>
      </c>
      <c r="O3012" s="3" t="n">
        <v>74.94895</v>
      </c>
      <c r="P3012" s="3" t="n">
        <v>77.214692</v>
      </c>
      <c r="Q3012" s="3" t="n">
        <v>80.160325</v>
      </c>
      <c r="R3012" s="3" t="n">
        <v>83.82427300000001</v>
      </c>
      <c r="S3012" s="3" t="n">
        <v>87.7319</v>
      </c>
      <c r="T3012" s="3" t="n">
        <v>91.679363</v>
      </c>
      <c r="U3012" s="3" t="n">
        <v>95.957077</v>
      </c>
      <c r="V3012" s="3" t="n">
        <v>100</v>
      </c>
      <c r="W3012" s="3" t="n">
        <v>104.935034</v>
      </c>
      <c r="X3012" s="3" t="n">
        <v>109.865807</v>
      </c>
      <c r="Y3012" s="3" t="n">
        <v>118.593032</v>
      </c>
      <c r="Z3012" s="3" t="n">
        <v>127.101758</v>
      </c>
      <c r="AA3012" s="3" t="n">
        <v>135.699764</v>
      </c>
      <c r="AB3012" s="3" t="n">
        <v>141.827771</v>
      </c>
      <c r="AC3012" s="3" t="n">
        <v>146.159317</v>
      </c>
      <c r="AD3012" s="3" t="n">
        <v>158.826315</v>
      </c>
      <c r="AE3012" s="3" t="n">
        <v>165.586068</v>
      </c>
      <c r="AF3012" s="3" t="n">
        <v>174.556816</v>
      </c>
      <c r="AG3012" s="3" t="n">
        <v>184.04005</v>
      </c>
      <c r="AH3012" s="3" t="n">
        <v>192.890362</v>
      </c>
      <c r="AI3012" s="3" t="n">
        <v>205.635772</v>
      </c>
      <c r="AJ3012" s="3" t="n">
        <v>220.562993</v>
      </c>
      <c r="AK3012" s="3" t="n">
        <v>238.553665</v>
      </c>
      <c r="AL3012" s="3" t="n">
        <v>259.048406</v>
      </c>
      <c r="AM3012" s="3" t="n"/>
      <c r="AN3012" s="3" t="n"/>
      <c r="AO3012" s="3" t="n"/>
      <c r="AP3012" s="3" t="n"/>
      <c r="AQ3012" s="3" t="n"/>
      <c r="AR3012" s="3" t="n"/>
      <c r="AS3012" s="3" t="n"/>
      <c r="AT3012" s="3" t="n"/>
      <c r="AU3012" s="3" t="n"/>
    </row>
    <row r="3013">
      <c r="A3013" s="3" t="n">
        <v>2031</v>
      </c>
      <c r="B3013" s="3" t="inlineStr">
        <is>
          <t>TUN</t>
        </is>
      </c>
      <c r="C3013" s="3" t="inlineStr">
        <is>
          <t>IMF.RES:WEO</t>
        </is>
      </c>
      <c r="D3013" s="3" t="inlineStr">
        <is>
          <t>TUN.NGDP_R.A</t>
        </is>
      </c>
      <c r="E3013" s="3" t="inlineStr">
        <is>
          <t>Tunisia</t>
        </is>
      </c>
      <c r="F3013" s="3" t="inlineStr">
        <is>
          <t>Gross domestic product (GDP), Constant prices, Domestic currency</t>
        </is>
      </c>
      <c r="G3013" s="3" t="n">
        <v>54.584599</v>
      </c>
      <c r="H3013" s="3" t="n">
        <v>56.656777</v>
      </c>
      <c r="I3013" s="3" t="n">
        <v>57.406097</v>
      </c>
      <c r="J3013" s="3" t="n">
        <v>60.105566</v>
      </c>
      <c r="K3013" s="3" t="n">
        <v>63.853622</v>
      </c>
      <c r="L3013" s="3" t="n">
        <v>66.079903</v>
      </c>
      <c r="M3013" s="3" t="n">
        <v>69.545203</v>
      </c>
      <c r="N3013" s="3" t="n">
        <v>74.211349</v>
      </c>
      <c r="O3013" s="3" t="n">
        <v>77.356261</v>
      </c>
      <c r="P3013" s="3" t="n">
        <v>79.710559</v>
      </c>
      <c r="Q3013" s="3" t="n">
        <v>82.50932400000001</v>
      </c>
      <c r="R3013" s="3" t="n">
        <v>80.820661</v>
      </c>
      <c r="S3013" s="3" t="n">
        <v>84.228607</v>
      </c>
      <c r="T3013" s="3" t="n">
        <v>86.27530400000001</v>
      </c>
      <c r="U3013" s="3" t="n">
        <v>88.94149400000001</v>
      </c>
      <c r="V3013" s="3" t="n">
        <v>89.802183</v>
      </c>
      <c r="W3013" s="3" t="n">
        <v>90.805656</v>
      </c>
      <c r="X3013" s="3" t="n">
        <v>92.85101899999999</v>
      </c>
      <c r="Y3013" s="3" t="n">
        <v>95.271598</v>
      </c>
      <c r="Z3013" s="3" t="n">
        <v>96.748668</v>
      </c>
      <c r="AA3013" s="3" t="n">
        <v>88.06505799999999</v>
      </c>
      <c r="AB3013" s="3" t="n">
        <v>92.235533</v>
      </c>
      <c r="AC3013" s="3" t="n">
        <v>94.701866</v>
      </c>
      <c r="AD3013" s="3" t="n">
        <v>94.929042</v>
      </c>
      <c r="AE3013" s="3" t="n">
        <v>96.48197</v>
      </c>
      <c r="AF3013" s="3" t="n">
        <v>98.88736</v>
      </c>
      <c r="AG3013" s="3" t="n">
        <v>100.97727</v>
      </c>
      <c r="AH3013" s="3" t="n">
        <v>102.615995</v>
      </c>
      <c r="AI3013" s="3" t="n">
        <v>104.198589</v>
      </c>
      <c r="AJ3013" s="3" t="n">
        <v>105.800155</v>
      </c>
      <c r="AK3013" s="3" t="n">
        <v>107.425467</v>
      </c>
      <c r="AL3013" s="3" t="n">
        <v>109.0694</v>
      </c>
      <c r="AM3013" s="3" t="n"/>
      <c r="AN3013" s="3" t="n"/>
      <c r="AO3013" s="3" t="n"/>
      <c r="AP3013" s="3" t="n"/>
      <c r="AQ3013" s="3" t="n"/>
      <c r="AR3013" s="3" t="n"/>
      <c r="AS3013" s="3" t="n"/>
      <c r="AT3013" s="3" t="n"/>
      <c r="AU3013" s="3" t="n"/>
    </row>
    <row r="3014">
      <c r="A3014" s="3" t="n">
        <v>2031</v>
      </c>
      <c r="B3014" s="3" t="inlineStr">
        <is>
          <t>TUN</t>
        </is>
      </c>
      <c r="C3014" s="3" t="inlineStr">
        <is>
          <t>IMF.RES:WEO</t>
        </is>
      </c>
      <c r="D3014" s="3" t="inlineStr">
        <is>
          <t>TUN.NGDP_RPCH.A</t>
        </is>
      </c>
      <c r="E3014" s="3" t="inlineStr">
        <is>
          <t>Tunisia</t>
        </is>
      </c>
      <c r="F3014" s="3" t="inlineStr">
        <is>
          <t>Gross domestic product (GDP), Constant prices, Percent change</t>
        </is>
      </c>
      <c r="G3014" s="3" t="n">
        <v>4.3</v>
      </c>
      <c r="H3014" s="3" t="n">
        <v>3.79627</v>
      </c>
      <c r="I3014" s="3" t="n">
        <v>1.32256</v>
      </c>
      <c r="J3014" s="3" t="n">
        <v>4.702408</v>
      </c>
      <c r="K3014" s="3" t="n">
        <v>6.235789</v>
      </c>
      <c r="L3014" s="3" t="n">
        <v>3.486539</v>
      </c>
      <c r="M3014" s="3" t="n">
        <v>5.244105</v>
      </c>
      <c r="N3014" s="3" t="n">
        <v>6.709516</v>
      </c>
      <c r="O3014" s="3" t="n">
        <v>4.237777</v>
      </c>
      <c r="P3014" s="3" t="n">
        <v>3.043449</v>
      </c>
      <c r="Q3014" s="3" t="n">
        <v>3.51116</v>
      </c>
      <c r="R3014" s="3" t="n">
        <v>-2.046634</v>
      </c>
      <c r="S3014" s="3" t="n">
        <v>4.216677</v>
      </c>
      <c r="T3014" s="3" t="n">
        <v>2.429931</v>
      </c>
      <c r="U3014" s="3" t="n">
        <v>3.090328</v>
      </c>
      <c r="V3014" s="3" t="n">
        <v>0.967703</v>
      </c>
      <c r="W3014" s="3" t="n">
        <v>1.117426</v>
      </c>
      <c r="X3014" s="3" t="n">
        <v>2.252461</v>
      </c>
      <c r="Y3014" s="3" t="n">
        <v>2.606949</v>
      </c>
      <c r="Z3014" s="3" t="n">
        <v>1.550378</v>
      </c>
      <c r="AA3014" s="3" t="n">
        <v>-8.975431</v>
      </c>
      <c r="AB3014" s="3" t="n">
        <v>4.735675</v>
      </c>
      <c r="AC3014" s="3" t="n">
        <v>2.673951</v>
      </c>
      <c r="AD3014" s="3" t="n">
        <v>0.239886</v>
      </c>
      <c r="AE3014" s="3" t="n">
        <v>1.635882</v>
      </c>
      <c r="AF3014" s="3" t="n">
        <v>2.493098</v>
      </c>
      <c r="AG3014" s="3" t="n">
        <v>2.113425</v>
      </c>
      <c r="AH3014" s="3" t="n">
        <v>1.622865</v>
      </c>
      <c r="AI3014" s="3" t="n">
        <v>1.542249</v>
      </c>
      <c r="AJ3014" s="3" t="n">
        <v>1.537032</v>
      </c>
      <c r="AK3014" s="3" t="n">
        <v>1.53621</v>
      </c>
      <c r="AL3014" s="3" t="n">
        <v>1.530301</v>
      </c>
      <c r="AM3014" s="3" t="n"/>
      <c r="AN3014" s="3" t="n"/>
      <c r="AO3014" s="3" t="n"/>
      <c r="AP3014" s="3" t="n"/>
      <c r="AQ3014" s="3" t="n"/>
      <c r="AR3014" s="3" t="n"/>
      <c r="AS3014" s="3" t="n"/>
      <c r="AT3014" s="3" t="n"/>
      <c r="AU3014" s="3" t="n"/>
    </row>
    <row r="3015">
      <c r="A3015" s="3" t="n">
        <v>2031</v>
      </c>
      <c r="B3015" s="3" t="inlineStr">
        <is>
          <t>TUN</t>
        </is>
      </c>
      <c r="C3015" s="3" t="inlineStr">
        <is>
          <t>IMF.RES:WEO</t>
        </is>
      </c>
      <c r="D3015" s="3" t="inlineStr">
        <is>
          <t>TUN.NGDPD.A</t>
        </is>
      </c>
      <c r="E3015" s="3" t="inlineStr">
        <is>
          <t>Tunisia</t>
        </is>
      </c>
      <c r="F3015" s="3" t="inlineStr">
        <is>
          <t>Gross domestic product (GDP), Current prices, US dollar</t>
        </is>
      </c>
      <c r="G3015" s="3" t="n">
        <v>22.524218</v>
      </c>
      <c r="H3015" s="3" t="n">
        <v>23.145584</v>
      </c>
      <c r="I3015" s="3" t="n">
        <v>24.273925</v>
      </c>
      <c r="J3015" s="3" t="n">
        <v>28.797208</v>
      </c>
      <c r="K3015" s="3" t="n">
        <v>32.709715</v>
      </c>
      <c r="L3015" s="3" t="n">
        <v>33.851249</v>
      </c>
      <c r="M3015" s="3" t="n">
        <v>36.058707</v>
      </c>
      <c r="N3015" s="3" t="n">
        <v>40.819463</v>
      </c>
      <c r="O3015" s="3" t="n">
        <v>47.038508</v>
      </c>
      <c r="P3015" s="3" t="n">
        <v>45.592713</v>
      </c>
      <c r="Q3015" s="3" t="n">
        <v>46.209829</v>
      </c>
      <c r="R3015" s="3" t="n">
        <v>48.121984</v>
      </c>
      <c r="S3015" s="3" t="n">
        <v>47.311449</v>
      </c>
      <c r="T3015" s="3" t="n">
        <v>48.681102</v>
      </c>
      <c r="U3015" s="3" t="n">
        <v>50.273316</v>
      </c>
      <c r="V3015" s="3" t="n">
        <v>45.778902</v>
      </c>
      <c r="W3015" s="3" t="n">
        <v>44.360087</v>
      </c>
      <c r="X3015" s="3" t="n">
        <v>42.167315</v>
      </c>
      <c r="Y3015" s="3" t="n">
        <v>42.686501</v>
      </c>
      <c r="Z3015" s="3" t="n">
        <v>41.905385</v>
      </c>
      <c r="AA3015" s="3" t="n">
        <v>42.493863</v>
      </c>
      <c r="AB3015" s="3" t="n">
        <v>46.813484</v>
      </c>
      <c r="AC3015" s="3" t="n">
        <v>44.596007</v>
      </c>
      <c r="AD3015" s="3" t="n">
        <v>48.539668</v>
      </c>
      <c r="AE3015" s="3" t="n">
        <v>51.33135</v>
      </c>
      <c r="AF3015" s="3" t="n">
        <v>57.588759</v>
      </c>
      <c r="AG3015" s="3" t="n">
        <v>60.745266</v>
      </c>
      <c r="AH3015" s="3" t="n">
        <v>59.061138</v>
      </c>
      <c r="AI3015" s="3" t="n">
        <v>59.611355</v>
      </c>
      <c r="AJ3015" s="3" t="n">
        <v>60.630775</v>
      </c>
      <c r="AK3015" s="3" t="n">
        <v>61.553136</v>
      </c>
      <c r="AL3015" s="3" t="n">
        <v>62.669217</v>
      </c>
      <c r="AM3015" s="3" t="n"/>
      <c r="AN3015" s="3" t="n"/>
      <c r="AO3015" s="3" t="n"/>
      <c r="AP3015" s="3" t="n"/>
      <c r="AQ3015" s="3" t="n"/>
      <c r="AR3015" s="3" t="n"/>
      <c r="AS3015" s="3" t="n"/>
      <c r="AT3015" s="3" t="n"/>
      <c r="AU3015" s="3" t="n"/>
    </row>
    <row r="3016">
      <c r="A3016" s="3" t="n">
        <v>2031</v>
      </c>
      <c r="B3016" s="3" t="inlineStr">
        <is>
          <t>TUN</t>
        </is>
      </c>
      <c r="C3016" s="3" t="inlineStr">
        <is>
          <t>IMF.RES:WEO</t>
        </is>
      </c>
      <c r="D3016" s="3" t="inlineStr">
        <is>
          <t>TUN.NGDPPC.A</t>
        </is>
      </c>
      <c r="E3016" s="3" t="inlineStr">
        <is>
          <t>Tunisia</t>
        </is>
      </c>
      <c r="F3016" s="3" t="inlineStr">
        <is>
          <t>Gross domestic product (GDP), Current prices, Per capita, Domestic currency</t>
        </is>
      </c>
      <c r="G3016" s="3" t="n">
        <v>3161.676926</v>
      </c>
      <c r="H3016" s="3" t="n">
        <v>3373.944684</v>
      </c>
      <c r="I3016" s="3" t="n">
        <v>3460.963389</v>
      </c>
      <c r="J3016" s="3" t="n">
        <v>3684.010968</v>
      </c>
      <c r="K3016" s="3" t="n">
        <v>4007.299422</v>
      </c>
      <c r="L3016" s="3" t="n">
        <v>4282.566288</v>
      </c>
      <c r="M3016" s="3" t="n">
        <v>4638.81101</v>
      </c>
      <c r="N3016" s="3" t="n">
        <v>5009.179425</v>
      </c>
      <c r="O3016" s="3" t="n">
        <v>5499.356214</v>
      </c>
      <c r="P3016" s="3" t="n">
        <v>5778.810036</v>
      </c>
      <c r="Q3016" s="3" t="n">
        <v>6143.401954</v>
      </c>
      <c r="R3016" s="3" t="n">
        <v>6223.324795</v>
      </c>
      <c r="S3016" s="3" t="n">
        <v>6711.873465</v>
      </c>
      <c r="T3016" s="3" t="n">
        <v>7099.370424</v>
      </c>
      <c r="U3016" s="3" t="n">
        <v>7569.937672</v>
      </c>
      <c r="V3016" s="3" t="n">
        <v>7875.820402</v>
      </c>
      <c r="W3016" s="3" t="n">
        <v>8265.212989</v>
      </c>
      <c r="X3016" s="3" t="n">
        <v>8755.979445000001</v>
      </c>
      <c r="Y3016" s="3" t="n">
        <v>9603.105847000001</v>
      </c>
      <c r="Z3016" s="3" t="n">
        <v>10355.235273</v>
      </c>
      <c r="AA3016" s="3" t="n">
        <v>9980.249384000001</v>
      </c>
      <c r="AB3016" s="3" t="n">
        <v>10857.307998</v>
      </c>
      <c r="AC3016" s="3" t="n">
        <v>11421.056636</v>
      </c>
      <c r="AD3016" s="3" t="n">
        <v>12357.948666</v>
      </c>
      <c r="AE3016" s="3" t="n">
        <v>13012.89253</v>
      </c>
      <c r="AF3016" s="3" t="n">
        <v>13978.508067</v>
      </c>
      <c r="AG3016" s="3" t="n">
        <v>14968.711464</v>
      </c>
      <c r="AH3016" s="3" t="n">
        <v>15865.24731</v>
      </c>
      <c r="AI3016" s="3" t="n">
        <v>17097.806419</v>
      </c>
      <c r="AJ3016" s="3" t="n">
        <v>18545.768377</v>
      </c>
      <c r="AK3016" s="3" t="n">
        <v>20293.356651</v>
      </c>
      <c r="AL3016" s="3" t="n">
        <v>22300.260749</v>
      </c>
      <c r="AM3016" s="3" t="n"/>
      <c r="AN3016" s="3" t="n"/>
      <c r="AO3016" s="3" t="n"/>
      <c r="AP3016" s="3" t="n"/>
      <c r="AQ3016" s="3" t="n"/>
      <c r="AR3016" s="3" t="n"/>
      <c r="AS3016" s="3" t="n"/>
      <c r="AT3016" s="3" t="n"/>
      <c r="AU3016" s="3" t="n"/>
    </row>
    <row r="3017">
      <c r="A3017" s="3" t="n">
        <v>2031</v>
      </c>
      <c r="B3017" s="3" t="inlineStr">
        <is>
          <t>TUN</t>
        </is>
      </c>
      <c r="C3017" s="3" t="inlineStr">
        <is>
          <t>IMF.RES:WEO</t>
        </is>
      </c>
      <c r="D3017" s="3" t="inlineStr">
        <is>
          <t>TUN.NGDPRPC.A</t>
        </is>
      </c>
      <c r="E3017" s="3" t="inlineStr">
        <is>
          <t>Tunisia</t>
        </is>
      </c>
      <c r="F3017" s="3" t="inlineStr">
        <is>
          <t>Gross domestic product (GDP), Constant prices, Per capita, Domestic currency</t>
        </is>
      </c>
      <c r="G3017" s="3" t="n">
        <v>5589.857857</v>
      </c>
      <c r="H3017" s="3" t="n">
        <v>5740.489491</v>
      </c>
      <c r="I3017" s="3" t="n">
        <v>5757.008526</v>
      </c>
      <c r="J3017" s="3" t="n">
        <v>5967.807955</v>
      </c>
      <c r="K3017" s="3" t="n">
        <v>6280.99528</v>
      </c>
      <c r="L3017" s="3" t="n">
        <v>6443.380029</v>
      </c>
      <c r="M3017" s="3" t="n">
        <v>6721.67476</v>
      </c>
      <c r="N3017" s="3" t="n">
        <v>7107.208126</v>
      </c>
      <c r="O3017" s="3" t="n">
        <v>7337.469306</v>
      </c>
      <c r="P3017" s="3" t="n">
        <v>7484.080967</v>
      </c>
      <c r="Q3017" s="3" t="n">
        <v>7663.893523</v>
      </c>
      <c r="R3017" s="3" t="n">
        <v>7424.251401</v>
      </c>
      <c r="S3017" s="3" t="n">
        <v>7650.436649</v>
      </c>
      <c r="T3017" s="3" t="n">
        <v>7743.695214</v>
      </c>
      <c r="U3017" s="3" t="n">
        <v>7888.878994</v>
      </c>
      <c r="V3017" s="3" t="n">
        <v>7875.820402</v>
      </c>
      <c r="W3017" s="3" t="n">
        <v>7876.504814</v>
      </c>
      <c r="X3017" s="3" t="n">
        <v>7969.703842</v>
      </c>
      <c r="Y3017" s="3" t="n">
        <v>8097.529597</v>
      </c>
      <c r="Z3017" s="3" t="n">
        <v>8147.200675</v>
      </c>
      <c r="AA3017" s="3" t="n">
        <v>7354.654958</v>
      </c>
      <c r="AB3017" s="3" t="n">
        <v>7655.276491</v>
      </c>
      <c r="AC3017" s="3" t="n">
        <v>7814.114684</v>
      </c>
      <c r="AD3017" s="3" t="n">
        <v>7780.794174</v>
      </c>
      <c r="AE3017" s="3" t="n">
        <v>7858.688067</v>
      </c>
      <c r="AF3017" s="3" t="n">
        <v>8007.998981</v>
      </c>
      <c r="AG3017" s="3" t="n">
        <v>8133.398952</v>
      </c>
      <c r="AH3017" s="3" t="n">
        <v>8225.007782999999</v>
      </c>
      <c r="AI3017" s="3" t="n">
        <v>8314.607078999999</v>
      </c>
      <c r="AJ3017" s="3" t="n">
        <v>8408.377184000001</v>
      </c>
      <c r="AK3017" s="3" t="n">
        <v>8506.830789</v>
      </c>
      <c r="AL3017" s="3" t="n">
        <v>8608.530371000001</v>
      </c>
      <c r="AM3017" s="3" t="n"/>
      <c r="AN3017" s="3" t="n"/>
      <c r="AO3017" s="3" t="n"/>
      <c r="AP3017" s="3" t="n"/>
      <c r="AQ3017" s="3" t="n"/>
      <c r="AR3017" s="3" t="n"/>
      <c r="AS3017" s="3" t="n"/>
      <c r="AT3017" s="3" t="n"/>
      <c r="AU3017" s="3" t="n"/>
    </row>
    <row r="3018">
      <c r="A3018" s="3" t="n">
        <v>2031</v>
      </c>
      <c r="B3018" s="3" t="inlineStr">
        <is>
          <t>TUN</t>
        </is>
      </c>
      <c r="C3018" s="3" t="inlineStr">
        <is>
          <t>IMF.RES:WEO</t>
        </is>
      </c>
      <c r="D3018" s="3" t="inlineStr">
        <is>
          <t>TUN.PCPI.A</t>
        </is>
      </c>
      <c r="E3018" s="3" t="inlineStr">
        <is>
          <t>Tunisia</t>
        </is>
      </c>
      <c r="F3018" s="3" t="inlineStr">
        <is>
          <t>All Items, Consumer price index (CPI), Period average</t>
        </is>
      </c>
      <c r="G3018" s="3" t="n">
        <v>57.94585</v>
      </c>
      <c r="H3018" s="3" t="n">
        <v>59.072836</v>
      </c>
      <c r="I3018" s="3" t="n">
        <v>60.676107</v>
      </c>
      <c r="J3018" s="3" t="n">
        <v>62.326336</v>
      </c>
      <c r="K3018" s="3" t="n">
        <v>64.640682</v>
      </c>
      <c r="L3018" s="3" t="n">
        <v>65.895124</v>
      </c>
      <c r="M3018" s="3" t="n">
        <v>68.625381</v>
      </c>
      <c r="N3018" s="3" t="n">
        <v>70.973268</v>
      </c>
      <c r="O3018" s="3" t="n">
        <v>74.461558</v>
      </c>
      <c r="P3018" s="3" t="n">
        <v>77.097899</v>
      </c>
      <c r="Q3018" s="3" t="n">
        <v>80.46036700000001</v>
      </c>
      <c r="R3018" s="3" t="n">
        <v>83.067306</v>
      </c>
      <c r="S3018" s="3" t="n">
        <v>86.898241</v>
      </c>
      <c r="T3018" s="3" t="n">
        <v>91.556299</v>
      </c>
      <c r="U3018" s="3" t="n">
        <v>95.751165</v>
      </c>
      <c r="V3018" s="3" t="n">
        <v>100</v>
      </c>
      <c r="W3018" s="3" t="n">
        <v>103.629399</v>
      </c>
      <c r="X3018" s="3" t="n">
        <v>109.130927</v>
      </c>
      <c r="Y3018" s="3" t="n">
        <v>117.10577</v>
      </c>
      <c r="Z3018" s="3" t="n">
        <v>124.977417</v>
      </c>
      <c r="AA3018" s="3" t="n">
        <v>132.01977</v>
      </c>
      <c r="AB3018" s="3" t="n">
        <v>139.55379</v>
      </c>
      <c r="AC3018" s="3" t="n">
        <v>151.148409</v>
      </c>
      <c r="AD3018" s="3" t="n">
        <v>165.239643</v>
      </c>
      <c r="AE3018" s="3" t="n">
        <v>176.817756</v>
      </c>
      <c r="AF3018" s="3" t="n">
        <v>186.269501</v>
      </c>
      <c r="AG3018" s="3" t="n">
        <v>198.302609</v>
      </c>
      <c r="AH3018" s="3" t="n">
        <v>212.487581</v>
      </c>
      <c r="AI3018" s="3" t="n">
        <v>229.704955</v>
      </c>
      <c r="AJ3018" s="3" t="n">
        <v>249.000183</v>
      </c>
      <c r="AK3018" s="3" t="n">
        <v>271.439371</v>
      </c>
      <c r="AL3018" s="3" t="n">
        <v>297.497646</v>
      </c>
      <c r="AM3018" s="3" t="n"/>
      <c r="AN3018" s="3" t="n"/>
      <c r="AO3018" s="3" t="n"/>
      <c r="AP3018" s="3" t="n"/>
      <c r="AQ3018" s="3" t="n"/>
      <c r="AR3018" s="3" t="n"/>
      <c r="AS3018" s="3" t="n"/>
      <c r="AT3018" s="3" t="n"/>
      <c r="AU3018" s="3" t="n"/>
    </row>
    <row r="3019">
      <c r="A3019" s="3" t="n">
        <v>2031</v>
      </c>
      <c r="B3019" s="3" t="inlineStr">
        <is>
          <t>TUN</t>
        </is>
      </c>
      <c r="C3019" s="3" t="inlineStr">
        <is>
          <t>IMF.RES:WEO</t>
        </is>
      </c>
      <c r="D3019" s="3" t="inlineStr">
        <is>
          <t>TUN.PCPIPCH.A</t>
        </is>
      </c>
      <c r="E3019" s="3" t="inlineStr">
        <is>
          <t>Tunisia</t>
        </is>
      </c>
      <c r="F3019" s="3" t="inlineStr">
        <is>
          <t>All Items, Consumer price index (CPI), Period average, percent change</t>
        </is>
      </c>
      <c r="G3019" s="3" t="n">
        <v>2.770065</v>
      </c>
      <c r="H3019" s="3" t="n">
        <v>1.944895</v>
      </c>
      <c r="I3019" s="3" t="n">
        <v>2.714059</v>
      </c>
      <c r="J3019" s="3" t="n">
        <v>2.719735</v>
      </c>
      <c r="K3019" s="3" t="n">
        <v>3.713271</v>
      </c>
      <c r="L3019" s="3" t="n">
        <v>1.940639</v>
      </c>
      <c r="M3019" s="3" t="n">
        <v>4.143337</v>
      </c>
      <c r="N3019" s="3" t="n">
        <v>3.42131</v>
      </c>
      <c r="O3019" s="3" t="n">
        <v>4.914934</v>
      </c>
      <c r="P3019" s="3" t="n">
        <v>3.540541</v>
      </c>
      <c r="Q3019" s="3" t="n">
        <v>4.361296</v>
      </c>
      <c r="R3019" s="3" t="n">
        <v>3.240028</v>
      </c>
      <c r="S3019" s="3" t="n">
        <v>4.611844</v>
      </c>
      <c r="T3019" s="3" t="n">
        <v>5.36036</v>
      </c>
      <c r="U3019" s="3" t="n">
        <v>4.581734</v>
      </c>
      <c r="V3019" s="3" t="n">
        <v>4.437371</v>
      </c>
      <c r="W3019" s="3" t="n">
        <v>3.629399</v>
      </c>
      <c r="X3019" s="3" t="n">
        <v>5.308848</v>
      </c>
      <c r="Y3019" s="3" t="n">
        <v>7.307592</v>
      </c>
      <c r="Z3019" s="3" t="n">
        <v>6.721827</v>
      </c>
      <c r="AA3019" s="3" t="n">
        <v>5.6349</v>
      </c>
      <c r="AB3019" s="3" t="n">
        <v>5.706737</v>
      </c>
      <c r="AC3019" s="3" t="n">
        <v>8.308351</v>
      </c>
      <c r="AD3019" s="3" t="n">
        <v>9.32278</v>
      </c>
      <c r="AE3019" s="3" t="n">
        <v>7.006862</v>
      </c>
      <c r="AF3019" s="3" t="n">
        <v>5.345473</v>
      </c>
      <c r="AG3019" s="3" t="n">
        <v>6.460053</v>
      </c>
      <c r="AH3019" s="3" t="n">
        <v>7.153195</v>
      </c>
      <c r="AI3019" s="3" t="n">
        <v>8.102767</v>
      </c>
      <c r="AJ3019" s="3" t="n">
        <v>8.400005</v>
      </c>
      <c r="AK3019" s="3" t="n">
        <v>9.011715000000001</v>
      </c>
      <c r="AL3019" s="3" t="n">
        <v>9.600035</v>
      </c>
      <c r="AM3019" s="3" t="n"/>
      <c r="AN3019" s="3" t="n"/>
      <c r="AO3019" s="3" t="n"/>
      <c r="AP3019" s="3" t="n"/>
      <c r="AQ3019" s="3" t="n"/>
      <c r="AR3019" s="3" t="n"/>
      <c r="AS3019" s="3" t="n"/>
      <c r="AT3019" s="3" t="n"/>
      <c r="AU3019" s="3" t="n"/>
    </row>
    <row r="3020">
      <c r="A3020" s="3" t="n">
        <v>2031</v>
      </c>
      <c r="B3020" s="3" t="inlineStr">
        <is>
          <t>TUN</t>
        </is>
      </c>
      <c r="C3020" s="3" t="inlineStr">
        <is>
          <t>IMF.RES:WEO</t>
        </is>
      </c>
      <c r="D3020" s="3" t="inlineStr">
        <is>
          <t>TUN.PPPPC.A</t>
        </is>
      </c>
      <c r="E3020" s="3" t="inlineStr">
        <is>
          <t>Tunisia</t>
        </is>
      </c>
      <c r="F3020" s="3" t="inlineStr">
        <is>
          <t>Gross domestic product (GDP), Per capita, purchasing power parity (PPP) international dollar, ICP benchmarks 2017-2021</t>
        </is>
      </c>
      <c r="G3020" s="3" t="n">
        <v>5758.019544</v>
      </c>
      <c r="H3020" s="3" t="n">
        <v>6046.32511</v>
      </c>
      <c r="I3020" s="3" t="n">
        <v>6157.956671</v>
      </c>
      <c r="J3020" s="3" t="n">
        <v>6509.460094</v>
      </c>
      <c r="K3020" s="3" t="n">
        <v>7035.290243</v>
      </c>
      <c r="L3020" s="3" t="n">
        <v>7443.493755</v>
      </c>
      <c r="M3020" s="3" t="n">
        <v>8004.44716</v>
      </c>
      <c r="N3020" s="3" t="n">
        <v>8692.856768</v>
      </c>
      <c r="O3020" s="3" t="n">
        <v>9147.375795</v>
      </c>
      <c r="P3020" s="3" t="n">
        <v>9387.694571</v>
      </c>
      <c r="Q3020" s="3" t="n">
        <v>9730.080271000001</v>
      </c>
      <c r="R3020" s="3" t="n">
        <v>9620.308897000001</v>
      </c>
      <c r="S3020" s="3" t="n">
        <v>10097.979397</v>
      </c>
      <c r="T3020" s="3" t="n">
        <v>10395.036598</v>
      </c>
      <c r="U3020" s="3" t="n">
        <v>10774.375805</v>
      </c>
      <c r="V3020" s="3" t="n">
        <v>10856.367226</v>
      </c>
      <c r="W3020" s="3" t="n">
        <v>10960.479374</v>
      </c>
      <c r="X3020" s="3" t="n">
        <v>11288.782338</v>
      </c>
      <c r="Y3020" s="3" t="n">
        <v>11841.403713</v>
      </c>
      <c r="Z3020" s="3" t="n">
        <v>12494.78627</v>
      </c>
      <c r="AA3020" s="3" t="n">
        <v>11918.263174</v>
      </c>
      <c r="AB3020" s="3" t="n">
        <v>12375.361854</v>
      </c>
      <c r="AC3020" s="3" t="n">
        <v>13530.586238</v>
      </c>
      <c r="AD3020" s="3" t="n">
        <v>13971.391292</v>
      </c>
      <c r="AE3020" s="3" t="n">
        <v>14461.577882</v>
      </c>
      <c r="AF3020" s="3" t="n">
        <v>15154.375775</v>
      </c>
      <c r="AG3020" s="3" t="n">
        <v>15832.632048</v>
      </c>
      <c r="AH3020" s="3" t="n">
        <v>16362.544562</v>
      </c>
      <c r="AI3020" s="3" t="n">
        <v>16812.28925</v>
      </c>
      <c r="AJ3020" s="3" t="n">
        <v>17304.206269</v>
      </c>
      <c r="AK3020" s="3" t="n">
        <v>17828.513583</v>
      </c>
      <c r="AL3020" s="3" t="n">
        <v>18367.360654</v>
      </c>
      <c r="AM3020" s="3" t="n"/>
      <c r="AN3020" s="3" t="n"/>
      <c r="AO3020" s="3" t="n"/>
      <c r="AP3020" s="3" t="n"/>
      <c r="AQ3020" s="3" t="n"/>
      <c r="AR3020" s="3" t="n"/>
      <c r="AS3020" s="3" t="n"/>
      <c r="AT3020" s="3" t="n"/>
      <c r="AU3020" s="3" t="n"/>
    </row>
    <row r="3021">
      <c r="A3021" s="3" t="n">
        <v>2025</v>
      </c>
      <c r="B3021" s="3" t="inlineStr">
        <is>
          <t>TUN</t>
        </is>
      </c>
      <c r="C3021" s="3" t="inlineStr">
        <is>
          <t>IMF.STA:ER</t>
        </is>
      </c>
      <c r="D3021" s="3" t="inlineStr">
        <is>
          <t>TUN.XDC_USD.PA_RT.A</t>
        </is>
      </c>
      <c r="E3021" s="3" t="inlineStr">
        <is>
          <t>Tunisia</t>
        </is>
      </c>
      <c r="F3021" s="3" t="inlineStr">
        <is>
          <t>Domestic currency per US Dollar</t>
        </is>
      </c>
      <c r="G3021" s="3" t="n">
        <v>1.37068333333333</v>
      </c>
      <c r="H3021" s="3" t="n">
        <v>1.4387125</v>
      </c>
      <c r="I3021" s="3" t="n">
        <v>1.42173333333333</v>
      </c>
      <c r="J3021" s="3" t="n">
        <v>1.28845833333333</v>
      </c>
      <c r="K3021" s="3" t="n">
        <v>1.24546666666666</v>
      </c>
      <c r="L3021" s="3" t="n">
        <v>1.29743333333333</v>
      </c>
      <c r="M3021" s="3" t="n">
        <v>1.331025</v>
      </c>
      <c r="N3021" s="3" t="n">
        <v>1.28135833333333</v>
      </c>
      <c r="O3021" s="3" t="n">
        <v>1.23214166666666</v>
      </c>
      <c r="P3021" s="3" t="n">
        <v>1.350275</v>
      </c>
      <c r="Q3021" s="3" t="n">
        <v>1.4314</v>
      </c>
      <c r="R3021" s="3" t="n">
        <v>1.40778333333333</v>
      </c>
      <c r="S3021" s="3" t="n">
        <v>1.56189166666666</v>
      </c>
      <c r="T3021" s="3" t="n">
        <v>1.62465833333333</v>
      </c>
      <c r="U3021" s="3" t="n">
        <v>1.697675</v>
      </c>
      <c r="V3021" s="3" t="n">
        <v>1.961625</v>
      </c>
      <c r="W3021" s="3" t="n">
        <v>2.14803333333333</v>
      </c>
      <c r="X3021" s="3" t="n">
        <v>2.419425</v>
      </c>
      <c r="Y3021" s="3" t="n">
        <v>2.64686666666666</v>
      </c>
      <c r="Z3021" s="3" t="n">
        <v>2.93443333333333</v>
      </c>
      <c r="AA3021" s="3" t="n">
        <v>2.81235833333333</v>
      </c>
      <c r="AB3021" s="3" t="n">
        <v>2.79446666666666</v>
      </c>
      <c r="AC3021" s="3" t="n">
        <v>3.1036</v>
      </c>
      <c r="AD3021" s="3" t="n">
        <v>3.10616666666666</v>
      </c>
      <c r="AE3021" s="3" t="n">
        <v>3.10745</v>
      </c>
      <c r="AF3021" s="3" t="n">
        <v>3.10745</v>
      </c>
      <c r="AG3021" s="3" t="n"/>
      <c r="AH3021" s="3" t="n"/>
      <c r="AI3021" s="3" t="n"/>
      <c r="AJ3021" s="3" t="n"/>
      <c r="AK3021" s="3" t="n"/>
      <c r="AL3021" s="3" t="n"/>
      <c r="AM3021" s="3" t="n"/>
      <c r="AN3021" s="3" t="n"/>
      <c r="AO3021" s="3" t="n"/>
      <c r="AP3021" s="3" t="n"/>
      <c r="AQ3021" s="3" t="n"/>
      <c r="AR3021" s="3" t="n"/>
      <c r="AS3021" s="3" t="n"/>
      <c r="AT3021" s="3" t="n"/>
      <c r="AU3021" s="3" t="n"/>
    </row>
    <row r="3022">
      <c r="A3022" s="3" t="n">
        <v>2031</v>
      </c>
      <c r="B3022" s="3" t="inlineStr">
        <is>
          <t>TUR</t>
        </is>
      </c>
      <c r="C3022" s="3" t="inlineStr">
        <is>
          <t>IMF.RES:WEO</t>
        </is>
      </c>
      <c r="D3022" s="3" t="inlineStr">
        <is>
          <t>TUR.BCA.A</t>
        </is>
      </c>
      <c r="E3022" s="3" t="inlineStr">
        <is>
          <t>Türkiye, Republic of</t>
        </is>
      </c>
      <c r="F3022" s="3" t="inlineStr">
        <is>
          <t>Current account balance (credit less debit), US dollar</t>
        </is>
      </c>
      <c r="G3022" s="3" t="n">
        <v>-9.92</v>
      </c>
      <c r="H3022" s="3" t="n">
        <v>3.76</v>
      </c>
      <c r="I3022" s="3" t="n">
        <v>-0.626</v>
      </c>
      <c r="J3022" s="3" t="n">
        <v>-7.554</v>
      </c>
      <c r="K3022" s="3" t="n">
        <v>-14.198</v>
      </c>
      <c r="L3022" s="3" t="n">
        <v>-20.98</v>
      </c>
      <c r="M3022" s="3" t="n">
        <v>-31.161</v>
      </c>
      <c r="N3022" s="3" t="n">
        <v>-36.946</v>
      </c>
      <c r="O3022" s="3" t="n">
        <v>-39.425</v>
      </c>
      <c r="P3022" s="3" t="n">
        <v>-11.36</v>
      </c>
      <c r="Q3022" s="3" t="n">
        <v>-44.62</v>
      </c>
      <c r="R3022" s="3" t="n">
        <v>-74.40300000000001</v>
      </c>
      <c r="S3022" s="3" t="n">
        <v>-41.796</v>
      </c>
      <c r="T3022" s="3" t="n">
        <v>-49.328</v>
      </c>
      <c r="U3022" s="3" t="n">
        <v>-32.112</v>
      </c>
      <c r="V3022" s="3" t="n">
        <v>-21.352</v>
      </c>
      <c r="W3022" s="3" t="n">
        <v>-22.165</v>
      </c>
      <c r="X3022" s="3" t="n">
        <v>-35.141</v>
      </c>
      <c r="Y3022" s="3" t="n">
        <v>-14.608</v>
      </c>
      <c r="Z3022" s="3" t="n">
        <v>15.013</v>
      </c>
      <c r="AA3022" s="3" t="n">
        <v>-31.024</v>
      </c>
      <c r="AB3022" s="3" t="n">
        <v>-7.068</v>
      </c>
      <c r="AC3022" s="3" t="n">
        <v>-46.668</v>
      </c>
      <c r="AD3022" s="3" t="n">
        <v>-41.821</v>
      </c>
      <c r="AE3022" s="3" t="n">
        <v>-13.027</v>
      </c>
      <c r="AF3022" s="3" t="n">
        <v>-30.098</v>
      </c>
      <c r="AG3022" s="3" t="n">
        <v>-46.670349</v>
      </c>
      <c r="AH3022" s="3" t="n">
        <v>-41.36725</v>
      </c>
      <c r="AI3022" s="3" t="n">
        <v>-37.564275</v>
      </c>
      <c r="AJ3022" s="3" t="n">
        <v>-33.121438</v>
      </c>
      <c r="AK3022" s="3" t="n">
        <v>-27.553282</v>
      </c>
      <c r="AL3022" s="3" t="n">
        <v>-23.54957</v>
      </c>
      <c r="AM3022" s="3" t="n"/>
      <c r="AN3022" s="3" t="n"/>
      <c r="AO3022" s="3" t="n"/>
      <c r="AP3022" s="3" t="n"/>
      <c r="AQ3022" s="3" t="n"/>
      <c r="AR3022" s="3" t="n"/>
      <c r="AS3022" s="3" t="n"/>
      <c r="AT3022" s="3" t="n"/>
      <c r="AU3022" s="3" t="n"/>
    </row>
    <row r="3023">
      <c r="A3023" s="3" t="n">
        <v>2031</v>
      </c>
      <c r="B3023" s="3" t="inlineStr">
        <is>
          <t>TUR</t>
        </is>
      </c>
      <c r="C3023" s="3" t="inlineStr">
        <is>
          <t>IMF.RES:WEO</t>
        </is>
      </c>
      <c r="D3023" s="3" t="inlineStr">
        <is>
          <t>TUR.BCA_NGDPD.A</t>
        </is>
      </c>
      <c r="E3023" s="3" t="inlineStr">
        <is>
          <t>Türkiye, Republic of</t>
        </is>
      </c>
      <c r="F3023" s="3" t="inlineStr">
        <is>
          <t>Current account balance (credit less debit), Percent of GDP</t>
        </is>
      </c>
      <c r="G3023" s="3" t="n">
        <v>-3.626129</v>
      </c>
      <c r="H3023" s="3" t="n">
        <v>1.852206</v>
      </c>
      <c r="I3023" s="3" t="n">
        <v>-0.262282</v>
      </c>
      <c r="J3023" s="3" t="n">
        <v>-2.380395</v>
      </c>
      <c r="K3023" s="3" t="n">
        <v>-3.477268</v>
      </c>
      <c r="L3023" s="3" t="n">
        <v>-4.139751</v>
      </c>
      <c r="M3023" s="3" t="n">
        <v>-5.615588</v>
      </c>
      <c r="N3023" s="3" t="n">
        <v>-5.378587</v>
      </c>
      <c r="O3023" s="3" t="n">
        <v>-5.003824</v>
      </c>
      <c r="P3023" s="3" t="n">
        <v>-1.731355</v>
      </c>
      <c r="Q3023" s="3" t="n">
        <v>-5.698412</v>
      </c>
      <c r="R3023" s="3" t="n">
        <v>-8.822569</v>
      </c>
      <c r="S3023" s="3" t="n">
        <v>-4.736429</v>
      </c>
      <c r="T3023" s="3" t="n">
        <v>-5.125214</v>
      </c>
      <c r="U3023" s="3" t="n">
        <v>-3.404087</v>
      </c>
      <c r="V3023" s="3" t="n">
        <v>-2.459329</v>
      </c>
      <c r="W3023" s="3" t="n">
        <v>-2.54671</v>
      </c>
      <c r="X3023" s="3" t="n">
        <v>-4.067687</v>
      </c>
      <c r="Y3023" s="3" t="n">
        <v>-1.809449</v>
      </c>
      <c r="Z3023" s="3" t="n">
        <v>1.936604</v>
      </c>
      <c r="AA3023" s="3" t="n">
        <v>-4.247858</v>
      </c>
      <c r="AB3023" s="3" t="n">
        <v>-0.8539600000000001</v>
      </c>
      <c r="AC3023" s="3" t="n">
        <v>-5.046544</v>
      </c>
      <c r="AD3023" s="3" t="n">
        <v>-3.626219</v>
      </c>
      <c r="AE3023" s="3" t="n">
        <v>-0.959101</v>
      </c>
      <c r="AF3023" s="3" t="n">
        <v>-1.884304</v>
      </c>
      <c r="AG3023" s="3" t="n">
        <v>-2.845366</v>
      </c>
      <c r="AH3023" s="3" t="n">
        <v>-2.538586</v>
      </c>
      <c r="AI3023" s="3" t="n">
        <v>-2.156875</v>
      </c>
      <c r="AJ3023" s="3" t="n">
        <v>-1.797259</v>
      </c>
      <c r="AK3023" s="3" t="n">
        <v>-1.424814</v>
      </c>
      <c r="AL3023" s="3" t="n">
        <v>-1.16131</v>
      </c>
      <c r="AM3023" s="3" t="n"/>
      <c r="AN3023" s="3" t="n"/>
      <c r="AO3023" s="3" t="n"/>
      <c r="AP3023" s="3" t="n"/>
      <c r="AQ3023" s="3" t="n"/>
      <c r="AR3023" s="3" t="n"/>
      <c r="AS3023" s="3" t="n"/>
      <c r="AT3023" s="3" t="n"/>
      <c r="AU3023" s="3" t="n"/>
    </row>
    <row r="3024">
      <c r="A3024" s="3" t="n">
        <v>2031</v>
      </c>
      <c r="B3024" s="3" t="inlineStr">
        <is>
          <t>TUR</t>
        </is>
      </c>
      <c r="C3024" s="3" t="inlineStr">
        <is>
          <t>IMF.RES:WEO</t>
        </is>
      </c>
      <c r="D3024" s="3" t="inlineStr">
        <is>
          <t>TUR.GGR_NGDP.A</t>
        </is>
      </c>
      <c r="E3024" s="3" t="inlineStr">
        <is>
          <t>Türkiye, Republic of</t>
        </is>
      </c>
      <c r="F3024" s="3" t="inlineStr">
        <is>
          <t>Revenue, General government, Percent of GDP</t>
        </is>
      </c>
      <c r="G3024" s="3" t="n">
        <v>31.054211</v>
      </c>
      <c r="H3024" s="3" t="n">
        <v>32.29843</v>
      </c>
      <c r="I3024" s="3" t="n">
        <v>29.608634</v>
      </c>
      <c r="J3024" s="3" t="n">
        <v>30.77812</v>
      </c>
      <c r="K3024" s="3" t="n">
        <v>30.34209</v>
      </c>
      <c r="L3024" s="3" t="n">
        <v>31.239952</v>
      </c>
      <c r="M3024" s="3" t="n">
        <v>33.188474</v>
      </c>
      <c r="N3024" s="3" t="n">
        <v>31.338305</v>
      </c>
      <c r="O3024" s="3" t="n">
        <v>31.349017</v>
      </c>
      <c r="P3024" s="3" t="n">
        <v>31.824157</v>
      </c>
      <c r="Q3024" s="3" t="n">
        <v>32.231347</v>
      </c>
      <c r="R3024" s="3" t="n">
        <v>32.249771</v>
      </c>
      <c r="S3024" s="3" t="n">
        <v>32.173233</v>
      </c>
      <c r="T3024" s="3" t="n">
        <v>32.342603</v>
      </c>
      <c r="U3024" s="3" t="n">
        <v>31.538291</v>
      </c>
      <c r="V3024" s="3" t="n">
        <v>31.910558</v>
      </c>
      <c r="W3024" s="3" t="n">
        <v>32.079551</v>
      </c>
      <c r="X3024" s="3" t="n">
        <v>30.558956</v>
      </c>
      <c r="Y3024" s="3" t="n">
        <v>30.788575</v>
      </c>
      <c r="Z3024" s="3" t="n">
        <v>30.144608</v>
      </c>
      <c r="AA3024" s="3" t="n">
        <v>29.410059</v>
      </c>
      <c r="AB3024" s="3" t="n">
        <v>27.559544</v>
      </c>
      <c r="AC3024" s="3" t="n">
        <v>25.676256</v>
      </c>
      <c r="AD3024" s="3" t="n">
        <v>27.501322</v>
      </c>
      <c r="AE3024" s="3" t="n">
        <v>28.360478</v>
      </c>
      <c r="AF3024" s="3" t="n">
        <v>29.606757</v>
      </c>
      <c r="AG3024" s="3" t="n">
        <v>29.853783</v>
      </c>
      <c r="AH3024" s="3" t="n">
        <v>30.088288</v>
      </c>
      <c r="AI3024" s="3" t="n">
        <v>30.018766</v>
      </c>
      <c r="AJ3024" s="3" t="n">
        <v>29.938884</v>
      </c>
      <c r="AK3024" s="3" t="n">
        <v>29.926326</v>
      </c>
      <c r="AL3024" s="3" t="n">
        <v>29.913498</v>
      </c>
      <c r="AM3024" s="3" t="n"/>
      <c r="AN3024" s="3" t="n"/>
      <c r="AO3024" s="3" t="n"/>
      <c r="AP3024" s="3" t="n"/>
      <c r="AQ3024" s="3" t="n"/>
      <c r="AR3024" s="3" t="n"/>
      <c r="AS3024" s="3" t="n"/>
      <c r="AT3024" s="3" t="n"/>
      <c r="AU3024" s="3" t="n"/>
    </row>
    <row r="3025">
      <c r="A3025" s="3" t="n">
        <v>2031</v>
      </c>
      <c r="B3025" s="3" t="inlineStr">
        <is>
          <t>TUR</t>
        </is>
      </c>
      <c r="C3025" s="3" t="inlineStr">
        <is>
          <t>IMF.RES:WEO</t>
        </is>
      </c>
      <c r="D3025" s="3" t="inlineStr">
        <is>
          <t>TUR.GGX_NGDP.A</t>
        </is>
      </c>
      <c r="E3025" s="3" t="inlineStr">
        <is>
          <t>Türkiye, Republic of</t>
        </is>
      </c>
      <c r="F3025" s="3" t="inlineStr">
        <is>
          <t>Expenditure, General government, Percent of GDP</t>
        </is>
      </c>
      <c r="G3025" s="3" t="n">
        <v>39.410341</v>
      </c>
      <c r="H3025" s="3" t="n">
        <v>43.941246</v>
      </c>
      <c r="I3025" s="3" t="n">
        <v>40.923085</v>
      </c>
      <c r="J3025" s="3" t="n">
        <v>38.330814</v>
      </c>
      <c r="K3025" s="3" t="n">
        <v>34.450699</v>
      </c>
      <c r="L3025" s="3" t="n">
        <v>31.985961</v>
      </c>
      <c r="M3025" s="3" t="n">
        <v>33.40594</v>
      </c>
      <c r="N3025" s="3" t="n">
        <v>32.70621</v>
      </c>
      <c r="O3025" s="3" t="n">
        <v>33.478914</v>
      </c>
      <c r="P3025" s="3" t="n">
        <v>36.965894</v>
      </c>
      <c r="Q3025" s="3" t="n">
        <v>35.224995</v>
      </c>
      <c r="R3025" s="3" t="n">
        <v>32.601638</v>
      </c>
      <c r="S3025" s="3" t="n">
        <v>33.95014</v>
      </c>
      <c r="T3025" s="3" t="n">
        <v>33.548639</v>
      </c>
      <c r="U3025" s="3" t="n">
        <v>32.501681</v>
      </c>
      <c r="V3025" s="3" t="n">
        <v>32.422277</v>
      </c>
      <c r="W3025" s="3" t="n">
        <v>33.756153</v>
      </c>
      <c r="X3025" s="3" t="n">
        <v>32.42607</v>
      </c>
      <c r="Y3025" s="3" t="n">
        <v>33.885522</v>
      </c>
      <c r="Z3025" s="3" t="n">
        <v>34.835085</v>
      </c>
      <c r="AA3025" s="3" t="n">
        <v>34.045691</v>
      </c>
      <c r="AB3025" s="3" t="n">
        <v>30.535606</v>
      </c>
      <c r="AC3025" s="3" t="n">
        <v>26.772007</v>
      </c>
      <c r="AD3025" s="3" t="n">
        <v>32.693439</v>
      </c>
      <c r="AE3025" s="3" t="n">
        <v>32.87065</v>
      </c>
      <c r="AF3025" s="3" t="n">
        <v>32.387983</v>
      </c>
      <c r="AG3025" s="3" t="n">
        <v>33.234221</v>
      </c>
      <c r="AH3025" s="3" t="n">
        <v>33.754148</v>
      </c>
      <c r="AI3025" s="3" t="n">
        <v>33.532322</v>
      </c>
      <c r="AJ3025" s="3" t="n">
        <v>32.834225</v>
      </c>
      <c r="AK3025" s="3" t="n">
        <v>32.71435</v>
      </c>
      <c r="AL3025" s="3" t="n">
        <v>32.596339</v>
      </c>
      <c r="AM3025" s="3" t="n"/>
      <c r="AN3025" s="3" t="n"/>
      <c r="AO3025" s="3" t="n"/>
      <c r="AP3025" s="3" t="n"/>
      <c r="AQ3025" s="3" t="n"/>
      <c r="AR3025" s="3" t="n"/>
      <c r="AS3025" s="3" t="n"/>
      <c r="AT3025" s="3" t="n"/>
      <c r="AU3025" s="3" t="n"/>
    </row>
    <row r="3026">
      <c r="A3026" s="3" t="n">
        <v>2031</v>
      </c>
      <c r="B3026" s="3" t="inlineStr">
        <is>
          <t>TUR</t>
        </is>
      </c>
      <c r="C3026" s="3" t="inlineStr">
        <is>
          <t>IMF.RES:WEO</t>
        </is>
      </c>
      <c r="D3026" s="3" t="inlineStr">
        <is>
          <t>TUR.LP.A</t>
        </is>
      </c>
      <c r="E3026" s="3" t="inlineStr">
        <is>
          <t>Türkiye, Republic of</t>
        </is>
      </c>
      <c r="F3026" s="3" t="inlineStr">
        <is>
          <t>Population, Persons for countries / Index for country groups</t>
        </is>
      </c>
      <c r="G3026" s="3" t="n">
        <v>64.26900000000001</v>
      </c>
      <c r="H3026" s="3" t="n">
        <v>65.166</v>
      </c>
      <c r="I3026" s="3" t="n">
        <v>66.003</v>
      </c>
      <c r="J3026" s="3" t="n">
        <v>66.795</v>
      </c>
      <c r="K3026" s="3" t="n">
        <v>67.599</v>
      </c>
      <c r="L3026" s="3" t="n">
        <v>68.435</v>
      </c>
      <c r="M3026" s="3" t="n">
        <v>69.295</v>
      </c>
      <c r="N3026" s="3" t="n">
        <v>70.158</v>
      </c>
      <c r="O3026" s="3" t="n">
        <v>71.05200000000001</v>
      </c>
      <c r="P3026" s="3" t="n">
        <v>72.039</v>
      </c>
      <c r="Q3026" s="3" t="n">
        <v>73.142</v>
      </c>
      <c r="R3026" s="3" t="n">
        <v>74.224</v>
      </c>
      <c r="S3026" s="3" t="n">
        <v>75.176</v>
      </c>
      <c r="T3026" s="3" t="n">
        <v>76.148</v>
      </c>
      <c r="U3026" s="3" t="n">
        <v>77.182</v>
      </c>
      <c r="V3026" s="3" t="n">
        <v>78.218</v>
      </c>
      <c r="W3026" s="3" t="n">
        <v>79.27800000000001</v>
      </c>
      <c r="X3026" s="3" t="n">
        <v>80.313</v>
      </c>
      <c r="Y3026" s="3" t="n">
        <v>81.407</v>
      </c>
      <c r="Z3026" s="3" t="n">
        <v>82.57899999999999</v>
      </c>
      <c r="AA3026" s="3" t="n">
        <v>83.38500000000001</v>
      </c>
      <c r="AB3026" s="3" t="n">
        <v>84.14700000000001</v>
      </c>
      <c r="AC3026" s="3" t="n">
        <v>84.98</v>
      </c>
      <c r="AD3026" s="3" t="n">
        <v>85.32599999999999</v>
      </c>
      <c r="AE3026" s="3" t="n">
        <v>85.518</v>
      </c>
      <c r="AF3026" s="3" t="n">
        <v>85.825</v>
      </c>
      <c r="AG3026" s="3" t="n">
        <v>86.24501600000001</v>
      </c>
      <c r="AH3026" s="3" t="n">
        <v>86.65306099999999</v>
      </c>
      <c r="AI3026" s="3" t="n">
        <v>87.048135</v>
      </c>
      <c r="AJ3026" s="3" t="n">
        <v>87.43123799999999</v>
      </c>
      <c r="AK3026" s="3" t="n">
        <v>87.80037400000001</v>
      </c>
      <c r="AL3026" s="3" t="n">
        <v>88.341055</v>
      </c>
      <c r="AM3026" s="3" t="n"/>
      <c r="AN3026" s="3" t="n"/>
      <c r="AO3026" s="3" t="n"/>
      <c r="AP3026" s="3" t="n"/>
      <c r="AQ3026" s="3" t="n"/>
      <c r="AR3026" s="3" t="n"/>
      <c r="AS3026" s="3" t="n"/>
      <c r="AT3026" s="3" t="n"/>
      <c r="AU3026" s="3" t="n"/>
    </row>
    <row r="3027">
      <c r="A3027" s="3" t="n">
        <v>2031</v>
      </c>
      <c r="B3027" s="3" t="inlineStr">
        <is>
          <t>TUR</t>
        </is>
      </c>
      <c r="C3027" s="3" t="inlineStr">
        <is>
          <t>IMF.RES:WEO</t>
        </is>
      </c>
      <c r="D3027" s="3" t="inlineStr">
        <is>
          <t>TUR.NGDP.A</t>
        </is>
      </c>
      <c r="E3027" s="3" t="inlineStr">
        <is>
          <t>Türkiye, Republic of</t>
        </is>
      </c>
      <c r="F3027" s="3" t="inlineStr">
        <is>
          <t>Gross domestic product (GDP), Current prices, Domestic currency</t>
        </is>
      </c>
      <c r="G3027" s="3" t="n">
        <v>171.778</v>
      </c>
      <c r="H3027" s="3" t="n">
        <v>247.8078</v>
      </c>
      <c r="I3027" s="3" t="n">
        <v>362.9068</v>
      </c>
      <c r="J3027" s="3" t="n">
        <v>473.3684</v>
      </c>
      <c r="K3027" s="3" t="n">
        <v>584.6937</v>
      </c>
      <c r="L3027" s="3" t="n">
        <v>682.9623</v>
      </c>
      <c r="M3027" s="3" t="n">
        <v>799.4596</v>
      </c>
      <c r="N3027" s="3" t="n">
        <v>892.8054</v>
      </c>
      <c r="O3027" s="3" t="n">
        <v>1009.2209</v>
      </c>
      <c r="P3027" s="3" t="n">
        <v>1013.5103</v>
      </c>
      <c r="Q3027" s="3" t="n">
        <v>1176.048</v>
      </c>
      <c r="R3027" s="3" t="n">
        <v>1413.9845</v>
      </c>
      <c r="S3027" s="3" t="n">
        <v>1590.0492</v>
      </c>
      <c r="T3027" s="3" t="n">
        <v>1831.744</v>
      </c>
      <c r="U3027" s="3" t="n">
        <v>2062.3582</v>
      </c>
      <c r="V3027" s="3" t="n">
        <v>2354.0591</v>
      </c>
      <c r="W3027" s="3" t="n">
        <v>2629.9881</v>
      </c>
      <c r="X3027" s="3" t="n">
        <v>3151.5292</v>
      </c>
      <c r="Y3027" s="3" t="n">
        <v>3806.4792</v>
      </c>
      <c r="Z3027" s="3" t="n">
        <v>4402.0504</v>
      </c>
      <c r="AA3027" s="3" t="n">
        <v>5141.7106</v>
      </c>
      <c r="AB3027" s="3" t="n">
        <v>7433.7999</v>
      </c>
      <c r="AC3027" s="3" t="n">
        <v>15325.8575</v>
      </c>
      <c r="AD3027" s="3" t="n">
        <v>27091.4691</v>
      </c>
      <c r="AE3027" s="3" t="n">
        <v>44587.2255</v>
      </c>
      <c r="AF3027" s="3" t="n">
        <v>63020.9058</v>
      </c>
      <c r="AG3027" s="3" t="n">
        <v>81325.971638</v>
      </c>
      <c r="AH3027" s="3" t="n">
        <v>101749.228148</v>
      </c>
      <c r="AI3027" s="3" t="n">
        <v>124635.534586</v>
      </c>
      <c r="AJ3027" s="3" t="n">
        <v>148445.702794</v>
      </c>
      <c r="AK3027" s="3" t="n">
        <v>175317.184218</v>
      </c>
      <c r="AL3027" s="3" t="n">
        <v>206935.66841</v>
      </c>
      <c r="AM3027" s="3" t="n"/>
      <c r="AN3027" s="3" t="n"/>
      <c r="AO3027" s="3" t="n"/>
      <c r="AP3027" s="3" t="n"/>
      <c r="AQ3027" s="3" t="n"/>
      <c r="AR3027" s="3" t="n"/>
      <c r="AS3027" s="3" t="n"/>
      <c r="AT3027" s="3" t="n"/>
      <c r="AU3027" s="3" t="n"/>
    </row>
    <row r="3028">
      <c r="A3028" s="3" t="n">
        <v>2031</v>
      </c>
      <c r="B3028" s="3" t="inlineStr">
        <is>
          <t>TUR</t>
        </is>
      </c>
      <c r="C3028" s="3" t="inlineStr">
        <is>
          <t>IMF.RES:WEO</t>
        </is>
      </c>
      <c r="D3028" s="3" t="inlineStr">
        <is>
          <t>TUR.NGDP_D.A</t>
        </is>
      </c>
      <c r="E3028" s="3" t="inlineStr">
        <is>
          <t>Türkiye, Republic of</t>
        </is>
      </c>
      <c r="F3028" s="3" t="inlineStr">
        <is>
          <t>Gross domestic product (GDP), Price deflator, Index</t>
        </is>
      </c>
      <c r="G3028" s="3" t="n">
        <v>23.379064</v>
      </c>
      <c r="H3028" s="3" t="n">
        <v>35.674363</v>
      </c>
      <c r="I3028" s="3" t="n">
        <v>49.085116</v>
      </c>
      <c r="J3028" s="3" t="n">
        <v>60.516254</v>
      </c>
      <c r="K3028" s="3" t="n">
        <v>67.99909100000001</v>
      </c>
      <c r="L3028" s="3" t="n">
        <v>72.794839</v>
      </c>
      <c r="M3028" s="3" t="n">
        <v>79.587014</v>
      </c>
      <c r="N3028" s="3" t="n">
        <v>84.560192</v>
      </c>
      <c r="O3028" s="3" t="n">
        <v>94.714754</v>
      </c>
      <c r="P3028" s="3" t="n">
        <v>100.000006</v>
      </c>
      <c r="Q3028" s="3" t="n">
        <v>106.905067</v>
      </c>
      <c r="R3028" s="3" t="n">
        <v>115.817269</v>
      </c>
      <c r="S3028" s="3" t="n">
        <v>124.264291</v>
      </c>
      <c r="T3028" s="3" t="n">
        <v>131.952563</v>
      </c>
      <c r="U3028" s="3" t="n">
        <v>142.03068</v>
      </c>
      <c r="V3028" s="3" t="n">
        <v>153.224031</v>
      </c>
      <c r="W3028" s="3" t="n">
        <v>165.677488</v>
      </c>
      <c r="X3028" s="3" t="n">
        <v>184.123039</v>
      </c>
      <c r="Y3028" s="3" t="n">
        <v>214.933229</v>
      </c>
      <c r="Z3028" s="3" t="n">
        <v>245.368442</v>
      </c>
      <c r="AA3028" s="3" t="n">
        <v>281.520796</v>
      </c>
      <c r="AB3028" s="3" t="n">
        <v>364.022997</v>
      </c>
      <c r="AC3028" s="3" t="n">
        <v>711.757896</v>
      </c>
      <c r="AD3028" s="3" t="n">
        <v>1197.744459</v>
      </c>
      <c r="AE3028" s="3" t="n">
        <v>1907.768279</v>
      </c>
      <c r="AF3028" s="3" t="n">
        <v>2602.679384</v>
      </c>
      <c r="AG3028" s="3" t="n">
        <v>3249.274262</v>
      </c>
      <c r="AH3028" s="3" t="n">
        <v>3928.866714</v>
      </c>
      <c r="AI3028" s="3" t="n">
        <v>4634.649742</v>
      </c>
      <c r="AJ3028" s="3" t="n">
        <v>5307.297936</v>
      </c>
      <c r="AK3028" s="3" t="n">
        <v>6025.034519</v>
      </c>
      <c r="AL3028" s="3" t="n">
        <v>6836.63244</v>
      </c>
      <c r="AM3028" s="3" t="n"/>
      <c r="AN3028" s="3" t="n"/>
      <c r="AO3028" s="3" t="n"/>
      <c r="AP3028" s="3" t="n"/>
      <c r="AQ3028" s="3" t="n"/>
      <c r="AR3028" s="3" t="n"/>
      <c r="AS3028" s="3" t="n"/>
      <c r="AT3028" s="3" t="n"/>
      <c r="AU3028" s="3" t="n"/>
    </row>
    <row r="3029">
      <c r="A3029" s="3" t="n">
        <v>2031</v>
      </c>
      <c r="B3029" s="3" t="inlineStr">
        <is>
          <t>TUR</t>
        </is>
      </c>
      <c r="C3029" s="3" t="inlineStr">
        <is>
          <t>IMF.RES:WEO</t>
        </is>
      </c>
      <c r="D3029" s="3" t="inlineStr">
        <is>
          <t>TUR.NGDP_R.A</t>
        </is>
      </c>
      <c r="E3029" s="3" t="inlineStr">
        <is>
          <t>Türkiye, Republic of</t>
        </is>
      </c>
      <c r="F3029" s="3" t="inlineStr">
        <is>
          <t>Gross domestic product (GDP), Constant prices, Domestic currency</t>
        </is>
      </c>
      <c r="G3029" s="3" t="n">
        <v>734.751407</v>
      </c>
      <c r="H3029" s="3" t="n">
        <v>694.638326</v>
      </c>
      <c r="I3029" s="3" t="n">
        <v>739.3418370000001</v>
      </c>
      <c r="J3029" s="3" t="n">
        <v>782.21696</v>
      </c>
      <c r="K3029" s="3" t="n">
        <v>859.8551650000001</v>
      </c>
      <c r="L3029" s="3" t="n">
        <v>938.201534</v>
      </c>
      <c r="M3029" s="3" t="n">
        <v>1004.51011</v>
      </c>
      <c r="N3029" s="3" t="n">
        <v>1055.822347</v>
      </c>
      <c r="O3029" s="3" t="n">
        <v>1065.537161</v>
      </c>
      <c r="P3029" s="3" t="n">
        <v>1013.510242</v>
      </c>
      <c r="Q3029" s="3" t="n">
        <v>1100.086299</v>
      </c>
      <c r="R3029" s="3" t="n">
        <v>1220.875361</v>
      </c>
      <c r="S3029" s="3" t="n">
        <v>1279.570495</v>
      </c>
      <c r="T3029" s="3" t="n">
        <v>1388.183725</v>
      </c>
      <c r="U3029" s="3" t="n">
        <v>1452.051206</v>
      </c>
      <c r="V3029" s="3" t="n">
        <v>1536.35111</v>
      </c>
      <c r="W3029" s="3" t="n">
        <v>1587.414276</v>
      </c>
      <c r="X3029" s="3" t="n">
        <v>1711.643051</v>
      </c>
      <c r="Y3029" s="3" t="n">
        <v>1771.005453</v>
      </c>
      <c r="Z3029" s="3" t="n">
        <v>1794.057278</v>
      </c>
      <c r="AA3029" s="3" t="n">
        <v>1826.405252</v>
      </c>
      <c r="AB3029" s="3" t="n">
        <v>2042.123702</v>
      </c>
      <c r="AC3029" s="3" t="n">
        <v>2153.240249</v>
      </c>
      <c r="AD3029" s="3" t="n">
        <v>2261.873883</v>
      </c>
      <c r="AE3029" s="3" t="n">
        <v>2337.140521</v>
      </c>
      <c r="AF3029" s="3" t="n">
        <v>2421.385676</v>
      </c>
      <c r="AG3029" s="3" t="n">
        <v>2502.896496</v>
      </c>
      <c r="AH3029" s="3" t="n">
        <v>2589.785696</v>
      </c>
      <c r="AI3029" s="3" t="n">
        <v>2689.211516</v>
      </c>
      <c r="AJ3029" s="3" t="n">
        <v>2797.010919</v>
      </c>
      <c r="AK3029" s="3" t="n">
        <v>2909.812113</v>
      </c>
      <c r="AL3029" s="3" t="n">
        <v>3026.865496</v>
      </c>
      <c r="AM3029" s="3" t="n"/>
      <c r="AN3029" s="3" t="n"/>
      <c r="AO3029" s="3" t="n"/>
      <c r="AP3029" s="3" t="n"/>
      <c r="AQ3029" s="3" t="n"/>
      <c r="AR3029" s="3" t="n"/>
      <c r="AS3029" s="3" t="n"/>
      <c r="AT3029" s="3" t="n"/>
      <c r="AU3029" s="3" t="n"/>
    </row>
    <row r="3030">
      <c r="A3030" s="3" t="n">
        <v>2031</v>
      </c>
      <c r="B3030" s="3" t="inlineStr">
        <is>
          <t>TUR</t>
        </is>
      </c>
      <c r="C3030" s="3" t="inlineStr">
        <is>
          <t>IMF.RES:WEO</t>
        </is>
      </c>
      <c r="D3030" s="3" t="inlineStr">
        <is>
          <t>TUR.NGDP_RPCH.A</t>
        </is>
      </c>
      <c r="E3030" s="3" t="inlineStr">
        <is>
          <t>Türkiye, Republic of</t>
        </is>
      </c>
      <c r="F3030" s="3" t="inlineStr">
        <is>
          <t>Gross domestic product (GDP), Constant prices, Percent change</t>
        </is>
      </c>
      <c r="G3030" s="3" t="n">
        <v>6.985287</v>
      </c>
      <c r="H3030" s="3" t="n">
        <v>-5.459409</v>
      </c>
      <c r="I3030" s="3" t="n">
        <v>6.435509</v>
      </c>
      <c r="J3030" s="3" t="n">
        <v>5.799093</v>
      </c>
      <c r="K3030" s="3" t="n">
        <v>9.925405</v>
      </c>
      <c r="L3030" s="3" t="n">
        <v>9.111577</v>
      </c>
      <c r="M3030" s="3" t="n">
        <v>7.067626</v>
      </c>
      <c r="N3030" s="3" t="n">
        <v>5.108185</v>
      </c>
      <c r="O3030" s="3" t="n">
        <v>0.920118</v>
      </c>
      <c r="P3030" s="3" t="n">
        <v>-4.882694</v>
      </c>
      <c r="Q3030" s="3" t="n">
        <v>8.542199</v>
      </c>
      <c r="R3030" s="3" t="n">
        <v>10.979962</v>
      </c>
      <c r="S3030" s="3" t="n">
        <v>4.807627</v>
      </c>
      <c r="T3030" s="3" t="n">
        <v>8.488257000000001</v>
      </c>
      <c r="U3030" s="3" t="n">
        <v>4.600795</v>
      </c>
      <c r="V3030" s="3" t="n">
        <v>5.805574</v>
      </c>
      <c r="W3030" s="3" t="n">
        <v>3.323665</v>
      </c>
      <c r="X3030" s="3" t="n">
        <v>7.825857</v>
      </c>
      <c r="Y3030" s="3" t="n">
        <v>3.468153</v>
      </c>
      <c r="Z3030" s="3" t="n">
        <v>1.301624</v>
      </c>
      <c r="AA3030" s="3" t="n">
        <v>1.803062</v>
      </c>
      <c r="AB3030" s="3" t="n">
        <v>11.811094</v>
      </c>
      <c r="AC3030" s="3" t="n">
        <v>5.441225</v>
      </c>
      <c r="AD3030" s="3" t="n">
        <v>5.045124</v>
      </c>
      <c r="AE3030" s="3" t="n">
        <v>3.327623</v>
      </c>
      <c r="AF3030" s="3" t="n">
        <v>3.604625</v>
      </c>
      <c r="AG3030" s="3" t="n">
        <v>3.366288</v>
      </c>
      <c r="AH3030" s="3" t="n">
        <v>3.471546</v>
      </c>
      <c r="AI3030" s="3" t="n">
        <v>3.839152</v>
      </c>
      <c r="AJ3030" s="3" t="n">
        <v>4.008588</v>
      </c>
      <c r="AK3030" s="3" t="n">
        <v>4.032919</v>
      </c>
      <c r="AL3030" s="3" t="n">
        <v>4.022713</v>
      </c>
      <c r="AM3030" s="3" t="n"/>
      <c r="AN3030" s="3" t="n"/>
      <c r="AO3030" s="3" t="n"/>
      <c r="AP3030" s="3" t="n"/>
      <c r="AQ3030" s="3" t="n"/>
      <c r="AR3030" s="3" t="n"/>
      <c r="AS3030" s="3" t="n"/>
      <c r="AT3030" s="3" t="n"/>
      <c r="AU3030" s="3" t="n"/>
    </row>
    <row r="3031">
      <c r="A3031" s="3" t="n">
        <v>2031</v>
      </c>
      <c r="B3031" s="3" t="inlineStr">
        <is>
          <t>TUR</t>
        </is>
      </c>
      <c r="C3031" s="3" t="inlineStr">
        <is>
          <t>IMF.RES:WEO</t>
        </is>
      </c>
      <c r="D3031" s="3" t="inlineStr">
        <is>
          <t>TUR.NGDPD.A</t>
        </is>
      </c>
      <c r="E3031" s="3" t="inlineStr">
        <is>
          <t>Türkiye, Republic of</t>
        </is>
      </c>
      <c r="F3031" s="3" t="inlineStr">
        <is>
          <t>Gross domestic product (GDP), Current prices, US dollar</t>
        </is>
      </c>
      <c r="G3031" s="3" t="n">
        <v>273.569986</v>
      </c>
      <c r="H3031" s="3" t="n">
        <v>203.001224</v>
      </c>
      <c r="I3031" s="3" t="n">
        <v>238.674396</v>
      </c>
      <c r="J3031" s="3" t="n">
        <v>317.342318</v>
      </c>
      <c r="K3031" s="3" t="n">
        <v>408.309066</v>
      </c>
      <c r="L3031" s="3" t="n">
        <v>506.793755</v>
      </c>
      <c r="M3031" s="3" t="n">
        <v>554.9018170000001</v>
      </c>
      <c r="N3031" s="3" t="n">
        <v>686.909078</v>
      </c>
      <c r="O3031" s="3" t="n">
        <v>787.897391</v>
      </c>
      <c r="P3031" s="3" t="n">
        <v>656.133654</v>
      </c>
      <c r="Q3031" s="3" t="n">
        <v>783.0251940000001</v>
      </c>
      <c r="R3031" s="3" t="n">
        <v>843.325815</v>
      </c>
      <c r="S3031" s="3" t="n">
        <v>882.436869</v>
      </c>
      <c r="T3031" s="3" t="n">
        <v>962.457321</v>
      </c>
      <c r="U3031" s="3" t="n">
        <v>943.33677</v>
      </c>
      <c r="V3031" s="3" t="n">
        <v>868.20419</v>
      </c>
      <c r="W3031" s="3" t="n">
        <v>870.3386410000001</v>
      </c>
      <c r="X3031" s="3" t="n">
        <v>863.906208</v>
      </c>
      <c r="Y3031" s="3" t="n">
        <v>807.317642</v>
      </c>
      <c r="Z3031" s="3" t="n">
        <v>775.222906</v>
      </c>
      <c r="AA3031" s="3" t="n">
        <v>730.344556</v>
      </c>
      <c r="AB3031" s="3" t="n">
        <v>827.673171</v>
      </c>
      <c r="AC3031" s="3" t="n">
        <v>924.751714</v>
      </c>
      <c r="AD3031" s="3" t="n">
        <v>1153.29478</v>
      </c>
      <c r="AE3031" s="3" t="n">
        <v>1358.250905</v>
      </c>
      <c r="AF3031" s="3" t="n">
        <v>1597.300778</v>
      </c>
      <c r="AG3031" s="3" t="n">
        <v>1640.223166</v>
      </c>
      <c r="AH3031" s="3" t="n">
        <v>1629.538849</v>
      </c>
      <c r="AI3031" s="3" t="n">
        <v>1741.60639</v>
      </c>
      <c r="AJ3031" s="3" t="n">
        <v>1842.886638</v>
      </c>
      <c r="AK3031" s="3" t="n">
        <v>1933.815767</v>
      </c>
      <c r="AL3031" s="3" t="n">
        <v>2027.845867</v>
      </c>
      <c r="AM3031" s="3" t="n"/>
      <c r="AN3031" s="3" t="n"/>
      <c r="AO3031" s="3" t="n"/>
      <c r="AP3031" s="3" t="n"/>
      <c r="AQ3031" s="3" t="n"/>
      <c r="AR3031" s="3" t="n"/>
      <c r="AS3031" s="3" t="n"/>
      <c r="AT3031" s="3" t="n"/>
      <c r="AU3031" s="3" t="n"/>
    </row>
    <row r="3032">
      <c r="A3032" s="3" t="n">
        <v>2031</v>
      </c>
      <c r="B3032" s="3" t="inlineStr">
        <is>
          <t>TUR</t>
        </is>
      </c>
      <c r="C3032" s="3" t="inlineStr">
        <is>
          <t>IMF.RES:WEO</t>
        </is>
      </c>
      <c r="D3032" s="3" t="inlineStr">
        <is>
          <t>TUR.NGDPPC.A</t>
        </is>
      </c>
      <c r="E3032" s="3" t="inlineStr">
        <is>
          <t>Türkiye, Republic of</t>
        </is>
      </c>
      <c r="F3032" s="3" t="inlineStr">
        <is>
          <t>Gross domestic product (GDP), Current prices, Per capita, Domestic currency</t>
        </is>
      </c>
      <c r="G3032" s="3" t="n">
        <v>2672.797149</v>
      </c>
      <c r="H3032" s="3" t="n">
        <v>3802.71614</v>
      </c>
      <c r="I3032" s="3" t="n">
        <v>5498.337954</v>
      </c>
      <c r="J3032" s="3" t="n">
        <v>7086.883749</v>
      </c>
      <c r="K3032" s="3" t="n">
        <v>8649.443039</v>
      </c>
      <c r="L3032" s="3" t="n">
        <v>9979.722363999999</v>
      </c>
      <c r="M3032" s="3" t="n">
        <v>11537.045963</v>
      </c>
      <c r="N3032" s="3" t="n">
        <v>12725.639271</v>
      </c>
      <c r="O3032" s="3" t="n">
        <v>14203.975961</v>
      </c>
      <c r="P3032" s="3" t="n">
        <v>14068.911284</v>
      </c>
      <c r="Q3032" s="3" t="n">
        <v>16078.969675</v>
      </c>
      <c r="R3032" s="3" t="n">
        <v>19050.233078</v>
      </c>
      <c r="S3032" s="3" t="n">
        <v>21151.021603</v>
      </c>
      <c r="T3032" s="3" t="n">
        <v>24055.050691</v>
      </c>
      <c r="U3032" s="3" t="n">
        <v>26720.714674</v>
      </c>
      <c r="V3032" s="3" t="n">
        <v>30096.130047</v>
      </c>
      <c r="W3032" s="3" t="n">
        <v>33174.248846</v>
      </c>
      <c r="X3032" s="3" t="n">
        <v>39240.586206</v>
      </c>
      <c r="Y3032" s="3" t="n">
        <v>46758.622723</v>
      </c>
      <c r="Z3032" s="3" t="n">
        <v>53307.141041</v>
      </c>
      <c r="AA3032" s="3" t="n">
        <v>61662.296576</v>
      </c>
      <c r="AB3032" s="3" t="n">
        <v>88343.017576</v>
      </c>
      <c r="AC3032" s="3" t="n">
        <v>180346.640386</v>
      </c>
      <c r="AD3032" s="3" t="n">
        <v>317505.439139</v>
      </c>
      <c r="AE3032" s="3" t="n">
        <v>521378.253701</v>
      </c>
      <c r="AF3032" s="3" t="n">
        <v>734295.436062</v>
      </c>
      <c r="AG3032" s="3" t="n">
        <v>942964.3021260001</v>
      </c>
      <c r="AH3032" s="3" t="n">
        <v>1174213.897621</v>
      </c>
      <c r="AI3032" s="3" t="n">
        <v>1431800.163729</v>
      </c>
      <c r="AJ3032" s="3" t="n">
        <v>1697856.576195</v>
      </c>
      <c r="AK3032" s="3" t="n">
        <v>1996770.364195</v>
      </c>
      <c r="AL3032" s="3" t="n">
        <v>2342463.165396</v>
      </c>
      <c r="AM3032" s="3" t="n"/>
      <c r="AN3032" s="3" t="n"/>
      <c r="AO3032" s="3" t="n"/>
      <c r="AP3032" s="3" t="n"/>
      <c r="AQ3032" s="3" t="n"/>
      <c r="AR3032" s="3" t="n"/>
      <c r="AS3032" s="3" t="n"/>
      <c r="AT3032" s="3" t="n"/>
      <c r="AU3032" s="3" t="n"/>
    </row>
    <row r="3033">
      <c r="A3033" s="3" t="n">
        <v>2031</v>
      </c>
      <c r="B3033" s="3" t="inlineStr">
        <is>
          <t>TUR</t>
        </is>
      </c>
      <c r="C3033" s="3" t="inlineStr">
        <is>
          <t>IMF.RES:WEO</t>
        </is>
      </c>
      <c r="D3033" s="3" t="inlineStr">
        <is>
          <t>TUR.NGDPRPC.A</t>
        </is>
      </c>
      <c r="E3033" s="3" t="inlineStr">
        <is>
          <t>Türkiye, Republic of</t>
        </is>
      </c>
      <c r="F3033" s="3" t="inlineStr">
        <is>
          <t>Gross domestic product (GDP), Constant prices, Per capita, Domestic currency</t>
        </is>
      </c>
      <c r="G3033" s="3" t="n">
        <v>11432.438765</v>
      </c>
      <c r="H3033" s="3" t="n">
        <v>10659.520701</v>
      </c>
      <c r="I3033" s="3" t="n">
        <v>11201.63988</v>
      </c>
      <c r="J3033" s="3" t="n">
        <v>11710.711281</v>
      </c>
      <c r="K3033" s="3" t="n">
        <v>12719.939126</v>
      </c>
      <c r="L3033" s="3" t="n">
        <v>13709.381661</v>
      </c>
      <c r="M3033" s="3" t="n">
        <v>14496.14128</v>
      </c>
      <c r="N3033" s="3" t="n">
        <v>15049.208173</v>
      </c>
      <c r="O3033" s="3" t="n">
        <v>14996.582236</v>
      </c>
      <c r="P3033" s="3" t="n">
        <v>14068.910479</v>
      </c>
      <c r="Q3033" s="3" t="n">
        <v>15040.418624</v>
      </c>
      <c r="R3033" s="3" t="n">
        <v>16448.525558</v>
      </c>
      <c r="S3033" s="3" t="n">
        <v>17020.997326</v>
      </c>
      <c r="T3033" s="3" t="n">
        <v>18230.074657</v>
      </c>
      <c r="U3033" s="3" t="n">
        <v>18813.339976</v>
      </c>
      <c r="V3033" s="3" t="n">
        <v>19641.912475</v>
      </c>
      <c r="W3033" s="3" t="n">
        <v>20023.389541</v>
      </c>
      <c r="X3033" s="3" t="n">
        <v>21312.154334</v>
      </c>
      <c r="Y3033" s="3" t="n">
        <v>21754.952928</v>
      </c>
      <c r="Z3033" s="3" t="n">
        <v>21725.34516</v>
      </c>
      <c r="AA3033" s="3" t="n">
        <v>21903.282989</v>
      </c>
      <c r="AB3033" s="3" t="n">
        <v>24268.526531</v>
      </c>
      <c r="AC3033" s="3" t="n">
        <v>25338.200153</v>
      </c>
      <c r="AD3033" s="3" t="n">
        <v>26508.61265</v>
      </c>
      <c r="AE3033" s="3" t="n">
        <v>27329.223333</v>
      </c>
      <c r="AF3033" s="3" t="n">
        <v>28213.057687</v>
      </c>
      <c r="AG3033" s="3" t="n">
        <v>29020.766673</v>
      </c>
      <c r="AH3033" s="3" t="n">
        <v>29886.834632</v>
      </c>
      <c r="AI3033" s="3" t="n">
        <v>30893.384474</v>
      </c>
      <c r="AJ3033" s="3" t="n">
        <v>31990.979149</v>
      </c>
      <c r="AK3033" s="3" t="n">
        <v>33141.226958</v>
      </c>
      <c r="AL3033" s="3" t="n">
        <v>34263.406525</v>
      </c>
      <c r="AM3033" s="3" t="n"/>
      <c r="AN3033" s="3" t="n"/>
      <c r="AO3033" s="3" t="n"/>
      <c r="AP3033" s="3" t="n"/>
      <c r="AQ3033" s="3" t="n"/>
      <c r="AR3033" s="3" t="n"/>
      <c r="AS3033" s="3" t="n"/>
      <c r="AT3033" s="3" t="n"/>
      <c r="AU3033" s="3" t="n"/>
    </row>
    <row r="3034">
      <c r="A3034" s="3" t="n">
        <v>2031</v>
      </c>
      <c r="B3034" s="3" t="inlineStr">
        <is>
          <t>TUR</t>
        </is>
      </c>
      <c r="C3034" s="3" t="inlineStr">
        <is>
          <t>IMF.RES:WEO</t>
        </is>
      </c>
      <c r="D3034" s="3" t="inlineStr">
        <is>
          <t>TUR.PCPI.A</t>
        </is>
      </c>
      <c r="E3034" s="3" t="inlineStr">
        <is>
          <t>Türkiye, Republic of</t>
        </is>
      </c>
      <c r="F3034" s="3" t="inlineStr">
        <is>
          <t>All Items, Consumer price index (CPI), Period average</t>
        </is>
      </c>
      <c r="G3034" s="3" t="n">
        <v>1.120657</v>
      </c>
      <c r="H3034" s="3" t="n">
        <v>1.728569</v>
      </c>
      <c r="I3034" s="3" t="n">
        <v>2.508744</v>
      </c>
      <c r="J3034" s="3" t="n">
        <v>3.144379</v>
      </c>
      <c r="K3034" s="3" t="n">
        <v>3.414759</v>
      </c>
      <c r="L3034" s="3" t="n">
        <v>3.691667</v>
      </c>
      <c r="M3034" s="3" t="n">
        <v>4.045</v>
      </c>
      <c r="N3034" s="3" t="n">
        <v>4.4</v>
      </c>
      <c r="O3034" s="3" t="n">
        <v>4.858333</v>
      </c>
      <c r="P3034" s="3" t="n">
        <v>5.161667</v>
      </c>
      <c r="Q3034" s="3" t="n">
        <v>5.604167</v>
      </c>
      <c r="R3034" s="3" t="n">
        <v>5.966667</v>
      </c>
      <c r="S3034" s="3" t="n">
        <v>6.4975</v>
      </c>
      <c r="T3034" s="3" t="n">
        <v>6.983333</v>
      </c>
      <c r="U3034" s="3" t="n">
        <v>7.603333</v>
      </c>
      <c r="V3034" s="3" t="n">
        <v>8.185833000000001</v>
      </c>
      <c r="W3034" s="3" t="n">
        <v>8.8225</v>
      </c>
      <c r="X3034" s="3" t="n">
        <v>9.807499999999999</v>
      </c>
      <c r="Y3034" s="3" t="n">
        <v>11.4075</v>
      </c>
      <c r="Z3034" s="3" t="n">
        <v>13.139167</v>
      </c>
      <c r="AA3034" s="3" t="n">
        <v>14.751667</v>
      </c>
      <c r="AB3034" s="3" t="n">
        <v>17.644167</v>
      </c>
      <c r="AC3034" s="3" t="n">
        <v>30.400833</v>
      </c>
      <c r="AD3034" s="3" t="n">
        <v>46.774167</v>
      </c>
      <c r="AE3034" s="3" t="n">
        <v>74.139167</v>
      </c>
      <c r="AF3034" s="3" t="n">
        <v>100.000833</v>
      </c>
      <c r="AG3034" s="3" t="n">
        <v>128.566743</v>
      </c>
      <c r="AH3034" s="3" t="n">
        <v>156.025204</v>
      </c>
      <c r="AI3034" s="3" t="n">
        <v>182.528092</v>
      </c>
      <c r="AJ3034" s="3" t="n">
        <v>209.914375</v>
      </c>
      <c r="AK3034" s="3" t="n">
        <v>241.409661</v>
      </c>
      <c r="AL3034" s="3" t="n">
        <v>277.63046</v>
      </c>
      <c r="AM3034" s="3" t="n"/>
      <c r="AN3034" s="3" t="n"/>
      <c r="AO3034" s="3" t="n"/>
      <c r="AP3034" s="3" t="n"/>
      <c r="AQ3034" s="3" t="n"/>
      <c r="AR3034" s="3" t="n"/>
      <c r="AS3034" s="3" t="n"/>
      <c r="AT3034" s="3" t="n"/>
      <c r="AU3034" s="3" t="n"/>
    </row>
    <row r="3035">
      <c r="A3035" s="3" t="n">
        <v>2031</v>
      </c>
      <c r="B3035" s="3" t="inlineStr">
        <is>
          <t>TUR</t>
        </is>
      </c>
      <c r="C3035" s="3" t="inlineStr">
        <is>
          <t>IMF.RES:WEO</t>
        </is>
      </c>
      <c r="D3035" s="3" t="inlineStr">
        <is>
          <t>TUR.PCPIPCH.A</t>
        </is>
      </c>
      <c r="E3035" s="3" t="inlineStr">
        <is>
          <t>Türkiye, Republic of</t>
        </is>
      </c>
      <c r="F3035" s="3" t="inlineStr">
        <is>
          <t>All Items, Consumer price index (CPI), Period average, percent change</t>
        </is>
      </c>
      <c r="G3035" s="3" t="n">
        <v>55.035053</v>
      </c>
      <c r="H3035" s="3" t="n">
        <v>54.246097</v>
      </c>
      <c r="I3035" s="3" t="n">
        <v>45.13415</v>
      </c>
      <c r="J3035" s="3" t="n">
        <v>25.33678</v>
      </c>
      <c r="K3035" s="3" t="n">
        <v>8.598836</v>
      </c>
      <c r="L3035" s="3" t="n">
        <v>8.109137</v>
      </c>
      <c r="M3035" s="3" t="n">
        <v>9.571106</v>
      </c>
      <c r="N3035" s="3" t="n">
        <v>8.776267000000001</v>
      </c>
      <c r="O3035" s="3" t="n">
        <v>10.416667</v>
      </c>
      <c r="P3035" s="3" t="n">
        <v>6.243568</v>
      </c>
      <c r="Q3035" s="3" t="n">
        <v>8.572812000000001</v>
      </c>
      <c r="R3035" s="3" t="n">
        <v>6.468401</v>
      </c>
      <c r="S3035" s="3" t="n">
        <v>8.896648000000001</v>
      </c>
      <c r="T3035" s="3" t="n">
        <v>7.477235</v>
      </c>
      <c r="U3035" s="3" t="n">
        <v>8.878282</v>
      </c>
      <c r="V3035" s="3" t="n">
        <v>7.661114</v>
      </c>
      <c r="W3035" s="3" t="n">
        <v>7.777665</v>
      </c>
      <c r="X3035" s="3" t="n">
        <v>11.164636</v>
      </c>
      <c r="Y3035" s="3" t="n">
        <v>16.314045</v>
      </c>
      <c r="Z3035" s="3" t="n">
        <v>15.180072</v>
      </c>
      <c r="AA3035" s="3" t="n">
        <v>12.272468</v>
      </c>
      <c r="AB3035" s="3" t="n">
        <v>19.607954</v>
      </c>
      <c r="AC3035" s="3" t="n">
        <v>72.299627</v>
      </c>
      <c r="AD3035" s="3" t="n">
        <v>53.858173</v>
      </c>
      <c r="AE3035" s="3" t="n">
        <v>58.504516</v>
      </c>
      <c r="AF3035" s="3" t="n">
        <v>34.882597</v>
      </c>
      <c r="AG3035" s="3" t="n">
        <v>28.565671</v>
      </c>
      <c r="AH3035" s="3" t="n">
        <v>21.357359</v>
      </c>
      <c r="AI3035" s="3" t="n">
        <v>16.986286</v>
      </c>
      <c r="AJ3035" s="3" t="n">
        <v>15.003873</v>
      </c>
      <c r="AK3035" s="3" t="n">
        <v>15.003873</v>
      </c>
      <c r="AL3035" s="3" t="n">
        <v>15.003873</v>
      </c>
      <c r="AM3035" s="3" t="n"/>
      <c r="AN3035" s="3" t="n"/>
      <c r="AO3035" s="3" t="n"/>
      <c r="AP3035" s="3" t="n"/>
      <c r="AQ3035" s="3" t="n"/>
      <c r="AR3035" s="3" t="n"/>
      <c r="AS3035" s="3" t="n"/>
      <c r="AT3035" s="3" t="n"/>
      <c r="AU3035" s="3" t="n"/>
    </row>
    <row r="3036">
      <c r="A3036" s="3" t="n">
        <v>2031</v>
      </c>
      <c r="B3036" s="3" t="inlineStr">
        <is>
          <t>TUR</t>
        </is>
      </c>
      <c r="C3036" s="3" t="inlineStr">
        <is>
          <t>IMF.RES:WEO</t>
        </is>
      </c>
      <c r="D3036" s="3" t="inlineStr">
        <is>
          <t>TUR.PPPPC.A</t>
        </is>
      </c>
      <c r="E3036" s="3" t="inlineStr">
        <is>
          <t>Türkiye, Republic of</t>
        </is>
      </c>
      <c r="F3036" s="3" t="inlineStr">
        <is>
          <t>Gross domestic product (GDP), Per capita, purchasing power parity (PPP) international dollar, ICP benchmarks 2017-2021</t>
        </is>
      </c>
      <c r="G3036" s="3" t="n">
        <v>11060.748929</v>
      </c>
      <c r="H3036" s="3" t="n">
        <v>10545.168574</v>
      </c>
      <c r="I3036" s="3" t="n">
        <v>11253.682102</v>
      </c>
      <c r="J3036" s="3" t="n">
        <v>11997.387439</v>
      </c>
      <c r="K3036" s="3" t="n">
        <v>13381.717743</v>
      </c>
      <c r="L3036" s="3" t="n">
        <v>14874.905967</v>
      </c>
      <c r="M3036" s="3" t="n">
        <v>16213.603221</v>
      </c>
      <c r="N3036" s="3" t="n">
        <v>17288.225567</v>
      </c>
      <c r="O3036" s="3" t="n">
        <v>17559.647657</v>
      </c>
      <c r="P3036" s="3" t="n">
        <v>16575.026085</v>
      </c>
      <c r="Q3036" s="3" t="n">
        <v>17934.949795</v>
      </c>
      <c r="R3036" s="3" t="n">
        <v>20018.733661</v>
      </c>
      <c r="S3036" s="3" t="n">
        <v>21101.170212</v>
      </c>
      <c r="T3036" s="3" t="n">
        <v>22984.734896</v>
      </c>
      <c r="U3036" s="3" t="n">
        <v>24133.260946</v>
      </c>
      <c r="V3036" s="3" t="n">
        <v>25429.965616</v>
      </c>
      <c r="W3036" s="3" t="n">
        <v>26170.190434</v>
      </c>
      <c r="X3036" s="3" t="n">
        <v>28353.426388</v>
      </c>
      <c r="Y3036" s="3" t="n">
        <v>28640.416633</v>
      </c>
      <c r="Z3036" s="3" t="n">
        <v>29016.607882</v>
      </c>
      <c r="AA3036" s="3" t="n">
        <v>29209.214251</v>
      </c>
      <c r="AB3036" s="3" t="n">
        <v>32412.254074</v>
      </c>
      <c r="AC3036" s="3" t="n">
        <v>36247.778513</v>
      </c>
      <c r="AD3036" s="3" t="n">
        <v>39325.253272</v>
      </c>
      <c r="AE3036" s="3" t="n">
        <v>41549.109476</v>
      </c>
      <c r="AF3036" s="3" t="n">
        <v>44109.587861</v>
      </c>
      <c r="AG3036" s="3" t="n">
        <v>46672.248612</v>
      </c>
      <c r="AH3036" s="3" t="n">
        <v>49120.552786</v>
      </c>
      <c r="AI3036" s="3" t="n">
        <v>51608.28321</v>
      </c>
      <c r="AJ3036" s="3" t="n">
        <v>54392.10058</v>
      </c>
      <c r="AK3036" s="3" t="n">
        <v>57383.19497</v>
      </c>
      <c r="AL3036" s="3" t="n">
        <v>60397.237786</v>
      </c>
      <c r="AM3036" s="3" t="n"/>
      <c r="AN3036" s="3" t="n"/>
      <c r="AO3036" s="3" t="n"/>
      <c r="AP3036" s="3" t="n"/>
      <c r="AQ3036" s="3" t="n"/>
      <c r="AR3036" s="3" t="n"/>
      <c r="AS3036" s="3" t="n"/>
      <c r="AT3036" s="3" t="n"/>
      <c r="AU3036" s="3" t="n"/>
    </row>
    <row r="3037">
      <c r="A3037" s="3" t="n">
        <v>2025</v>
      </c>
      <c r="B3037" s="3" t="inlineStr">
        <is>
          <t>TUR</t>
        </is>
      </c>
      <c r="C3037" s="3" t="inlineStr">
        <is>
          <t>IMF.STA:ER</t>
        </is>
      </c>
      <c r="D3037" s="3" t="inlineStr">
        <is>
          <t>TUR.XDC_USD.PA_RT.A</t>
        </is>
      </c>
      <c r="E3037" s="3" t="inlineStr">
        <is>
          <t>Türkiye, Republic of</t>
        </is>
      </c>
      <c r="F3037" s="3" t="inlineStr">
        <is>
          <t>Domestic currency per US Dollar</t>
        </is>
      </c>
      <c r="G3037" s="3" t="n">
        <v>0.6252185</v>
      </c>
      <c r="H3037" s="3" t="n">
        <v>1.22558808333333</v>
      </c>
      <c r="I3037" s="3" t="n">
        <v>1.50722641666666</v>
      </c>
      <c r="J3037" s="3" t="n">
        <v>1.50088520858333</v>
      </c>
      <c r="K3037" s="3" t="n">
        <v>1.42553725</v>
      </c>
      <c r="L3037" s="3" t="n">
        <v>1.34358310833333</v>
      </c>
      <c r="M3037" s="3" t="n">
        <v>1.42845341333845</v>
      </c>
      <c r="N3037" s="3" t="n">
        <v>1.30293090533794</v>
      </c>
      <c r="O3037" s="3" t="n">
        <v>1.30152170281794</v>
      </c>
      <c r="P3037" s="3" t="n">
        <v>1.54995977566564</v>
      </c>
      <c r="Q3037" s="3" t="n">
        <v>1.50284862967229</v>
      </c>
      <c r="R3037" s="3" t="n">
        <v>1.67495455197132</v>
      </c>
      <c r="S3037" s="3" t="n">
        <v>1.79600094441354</v>
      </c>
      <c r="T3037" s="3" t="n">
        <v>1.90376824244751</v>
      </c>
      <c r="U3037" s="3" t="n">
        <v>2.18854241775473</v>
      </c>
      <c r="V3037" s="3" t="n">
        <v>2.72000852790578</v>
      </c>
      <c r="W3037" s="3" t="n">
        <v>3.02013474808043</v>
      </c>
      <c r="X3037" s="3" t="n">
        <v>3.64813263536866</v>
      </c>
      <c r="Y3037" s="3" t="n">
        <v>4.82837014720942</v>
      </c>
      <c r="Z3037" s="3" t="n">
        <v>5.67381930843574</v>
      </c>
      <c r="AA3037" s="3" t="n">
        <v>7.00860541558521</v>
      </c>
      <c r="AB3037" s="3" t="n">
        <v>8.85040754928314</v>
      </c>
      <c r="AC3037" s="3" t="n">
        <v>16.5488604173067</v>
      </c>
      <c r="AD3037" s="3" t="n">
        <v>23.7385661219918</v>
      </c>
      <c r="AE3037" s="3" t="n">
        <v>32.8058614432703</v>
      </c>
      <c r="AF3037" s="3" t="n">
        <v>39.4548130977982</v>
      </c>
      <c r="AG3037" s="3" t="n"/>
      <c r="AH3037" s="3" t="n"/>
      <c r="AI3037" s="3" t="n"/>
      <c r="AJ3037" s="3" t="n"/>
      <c r="AK3037" s="3" t="n"/>
      <c r="AL3037" s="3" t="n"/>
      <c r="AM3037" s="3" t="n"/>
      <c r="AN3037" s="3" t="n"/>
      <c r="AO3037" s="3" t="n"/>
      <c r="AP3037" s="3" t="n"/>
      <c r="AQ3037" s="3" t="n"/>
      <c r="AR3037" s="3" t="n"/>
      <c r="AS3037" s="3" t="n"/>
      <c r="AT3037" s="3" t="n"/>
      <c r="AU3037" s="3" t="n"/>
    </row>
    <row r="3038">
      <c r="A3038" s="3" t="n">
        <v>2031</v>
      </c>
      <c r="B3038" s="3" t="inlineStr">
        <is>
          <t>TUV</t>
        </is>
      </c>
      <c r="C3038" s="3" t="inlineStr">
        <is>
          <t>IMF.RES:WEO</t>
        </is>
      </c>
      <c r="D3038" s="3" t="inlineStr">
        <is>
          <t>TUV.BCA.A</t>
        </is>
      </c>
      <c r="E3038" s="3" t="inlineStr">
        <is>
          <t>Tuvalu</t>
        </is>
      </c>
      <c r="F3038" s="3" t="inlineStr">
        <is>
          <t>Current account balance (credit less debit), US dollar</t>
        </is>
      </c>
      <c r="G3038" s="3" t="n"/>
      <c r="H3038" s="3" t="n">
        <v>0.007588</v>
      </c>
      <c r="I3038" s="3" t="n">
        <v>0.003882</v>
      </c>
      <c r="J3038" s="3" t="n">
        <v>-0.012042</v>
      </c>
      <c r="K3038" s="3" t="n">
        <v>-0.004202</v>
      </c>
      <c r="L3038" s="3" t="n">
        <v>-0.001825</v>
      </c>
      <c r="M3038" s="3" t="n">
        <v>0.0068</v>
      </c>
      <c r="N3038" s="3" t="n">
        <v>-0.004626</v>
      </c>
      <c r="O3038" s="3" t="n">
        <v>-0.008343</v>
      </c>
      <c r="P3038" s="3" t="n">
        <v>-0.01965</v>
      </c>
      <c r="Q3038" s="3" t="n">
        <v>-0.019753</v>
      </c>
      <c r="R3038" s="3" t="n">
        <v>-0.033639</v>
      </c>
      <c r="S3038" s="3" t="n">
        <v>-0.02609</v>
      </c>
      <c r="T3038" s="3" t="n">
        <v>0.001103</v>
      </c>
      <c r="U3038" s="3" t="n">
        <v>-0.000186</v>
      </c>
      <c r="V3038" s="3" t="n">
        <v>-0.012391</v>
      </c>
      <c r="W3038" s="3" t="n">
        <v>0.012349</v>
      </c>
      <c r="X3038" s="3" t="n">
        <v>0.000766</v>
      </c>
      <c r="Y3038" s="3" t="n">
        <v>0.028588</v>
      </c>
      <c r="Z3038" s="3" t="n">
        <v>-0.008902999999999999</v>
      </c>
      <c r="AA3038" s="3" t="n">
        <v>0.008541999999999999</v>
      </c>
      <c r="AB3038" s="3" t="n">
        <v>0.01834</v>
      </c>
      <c r="AC3038" s="3" t="n">
        <v>-0.000147</v>
      </c>
      <c r="AD3038" s="3" t="n">
        <v>0.020225</v>
      </c>
      <c r="AE3038" s="3" t="n">
        <v>0.0089</v>
      </c>
      <c r="AF3038" s="3" t="n">
        <v>0.017195</v>
      </c>
      <c r="AG3038" s="3" t="n">
        <v>-0.0006579999999999999</v>
      </c>
      <c r="AH3038" s="3" t="n">
        <v>-0.002907</v>
      </c>
      <c r="AI3038" s="3" t="n">
        <v>-0.003772</v>
      </c>
      <c r="AJ3038" s="3" t="n">
        <v>-0.004679</v>
      </c>
      <c r="AK3038" s="3" t="n">
        <v>-0.005492</v>
      </c>
      <c r="AL3038" s="3" t="n">
        <v>-0.006338</v>
      </c>
      <c r="AM3038" s="3" t="n"/>
      <c r="AN3038" s="3" t="n"/>
      <c r="AO3038" s="3" t="n"/>
      <c r="AP3038" s="3" t="n"/>
      <c r="AQ3038" s="3" t="n"/>
      <c r="AR3038" s="3" t="n"/>
      <c r="AS3038" s="3" t="n"/>
      <c r="AT3038" s="3" t="n"/>
      <c r="AU3038" s="3" t="n"/>
    </row>
    <row r="3039">
      <c r="A3039" s="3" t="n">
        <v>2031</v>
      </c>
      <c r="B3039" s="3" t="inlineStr">
        <is>
          <t>TUV</t>
        </is>
      </c>
      <c r="C3039" s="3" t="inlineStr">
        <is>
          <t>IMF.RES:WEO</t>
        </is>
      </c>
      <c r="D3039" s="3" t="inlineStr">
        <is>
          <t>TUV.BCA_NGDPD.A</t>
        </is>
      </c>
      <c r="E3039" s="3" t="inlineStr">
        <is>
          <t>Tuvalu</t>
        </is>
      </c>
      <c r="F3039" s="3" t="inlineStr">
        <is>
          <t>Current account balance (credit less debit), Percent of GDP</t>
        </is>
      </c>
      <c r="G3039" s="3" t="n"/>
      <c r="H3039" s="3" t="n">
        <v>53.620495</v>
      </c>
      <c r="I3039" s="3" t="n">
        <v>23.30765</v>
      </c>
      <c r="J3039" s="3" t="n">
        <v>-61.176361</v>
      </c>
      <c r="K3039" s="3" t="n">
        <v>-18.339408</v>
      </c>
      <c r="L3039" s="3" t="n">
        <v>-7.985305</v>
      </c>
      <c r="M3039" s="3" t="n">
        <v>28.002212</v>
      </c>
      <c r="N3039" s="3" t="n">
        <v>-16.170537</v>
      </c>
      <c r="O3039" s="3" t="n">
        <v>-25.890382</v>
      </c>
      <c r="P3039" s="3" t="n">
        <v>-69.535544</v>
      </c>
      <c r="Q3039" s="3" t="n">
        <v>-60.772742</v>
      </c>
      <c r="R3039" s="3" t="n">
        <v>-84.74896200000001</v>
      </c>
      <c r="S3039" s="3" t="n">
        <v>-67.02134100000001</v>
      </c>
      <c r="T3039" s="3" t="n">
        <v>2.835085</v>
      </c>
      <c r="U3039" s="3" t="n">
        <v>-0.481359</v>
      </c>
      <c r="V3039" s="3" t="n">
        <v>-33.650846</v>
      </c>
      <c r="W3039" s="3" t="n">
        <v>29.876371</v>
      </c>
      <c r="X3039" s="3" t="n">
        <v>1.691437</v>
      </c>
      <c r="Y3039" s="3" t="n">
        <v>59.270655</v>
      </c>
      <c r="Z3039" s="3" t="n">
        <v>-16.545338</v>
      </c>
      <c r="AA3039" s="3" t="n">
        <v>16.227278</v>
      </c>
      <c r="AB3039" s="3" t="n">
        <v>29.818102</v>
      </c>
      <c r="AC3039" s="3" t="n">
        <v>-0.27108</v>
      </c>
      <c r="AD3039" s="3" t="n">
        <v>39.982313</v>
      </c>
      <c r="AE3039" s="3" t="n">
        <v>15.765207</v>
      </c>
      <c r="AF3039" s="3" t="n">
        <v>29.88208</v>
      </c>
      <c r="AG3039" s="3" t="n">
        <v>-1.008654</v>
      </c>
      <c r="AH3039" s="3" t="n">
        <v>-4.235419</v>
      </c>
      <c r="AI3039" s="3" t="n">
        <v>-5.244504</v>
      </c>
      <c r="AJ3039" s="3" t="n">
        <v>-6.239428</v>
      </c>
      <c r="AK3039" s="3" t="n">
        <v>-7.044619</v>
      </c>
      <c r="AL3039" s="3" t="n">
        <v>-7.833935</v>
      </c>
      <c r="AM3039" s="3" t="n"/>
      <c r="AN3039" s="3" t="n"/>
      <c r="AO3039" s="3" t="n"/>
      <c r="AP3039" s="3" t="n"/>
      <c r="AQ3039" s="3" t="n"/>
      <c r="AR3039" s="3" t="n"/>
      <c r="AS3039" s="3" t="n"/>
      <c r="AT3039" s="3" t="n"/>
      <c r="AU3039" s="3" t="n"/>
    </row>
    <row r="3040">
      <c r="A3040" s="3" t="n">
        <v>2031</v>
      </c>
      <c r="B3040" s="3" t="inlineStr">
        <is>
          <t>TUV</t>
        </is>
      </c>
      <c r="C3040" s="3" t="inlineStr">
        <is>
          <t>IMF.RES:WEO</t>
        </is>
      </c>
      <c r="D3040" s="3" t="inlineStr">
        <is>
          <t>TUV.GGR_NGDP.A</t>
        </is>
      </c>
      <c r="E3040" s="3" t="inlineStr">
        <is>
          <t>Tuvalu</t>
        </is>
      </c>
      <c r="F3040" s="3" t="inlineStr">
        <is>
          <t>Revenue, General government, Percent of GDP</t>
        </is>
      </c>
      <c r="G3040" s="3" t="n"/>
      <c r="H3040" s="3" t="n"/>
      <c r="I3040" s="3" t="n"/>
      <c r="J3040" s="3" t="n"/>
      <c r="K3040" s="3" t="n">
        <v>70.51034300000001</v>
      </c>
      <c r="L3040" s="3" t="n">
        <v>69.337671</v>
      </c>
      <c r="M3040" s="3" t="n">
        <v>61.70342</v>
      </c>
      <c r="N3040" s="3" t="n">
        <v>69.97457</v>
      </c>
      <c r="O3040" s="3" t="n">
        <v>68.612534</v>
      </c>
      <c r="P3040" s="3" t="n">
        <v>86.468429</v>
      </c>
      <c r="Q3040" s="3" t="n">
        <v>70.57725000000001</v>
      </c>
      <c r="R3040" s="3" t="n">
        <v>68.40811600000001</v>
      </c>
      <c r="S3040" s="3" t="n">
        <v>86.425084</v>
      </c>
      <c r="T3040" s="3" t="n">
        <v>106.246103</v>
      </c>
      <c r="U3040" s="3" t="n">
        <v>100.050456</v>
      </c>
      <c r="V3040" s="3" t="n">
        <v>131.658818</v>
      </c>
      <c r="W3040" s="3" t="n">
        <v>147.068509</v>
      </c>
      <c r="X3040" s="3" t="n">
        <v>108.541973</v>
      </c>
      <c r="Y3040" s="3" t="n">
        <v>155.895197</v>
      </c>
      <c r="Z3040" s="3" t="n">
        <v>112.517767</v>
      </c>
      <c r="AA3040" s="3" t="n">
        <v>133.223495</v>
      </c>
      <c r="AB3040" s="3" t="n">
        <v>100.529306</v>
      </c>
      <c r="AC3040" s="3" t="n">
        <v>100.723751</v>
      </c>
      <c r="AD3040" s="3" t="n">
        <v>155.967978</v>
      </c>
      <c r="AE3040" s="3" t="n">
        <v>114.011576</v>
      </c>
      <c r="AF3040" s="3" t="n">
        <v>136.879273</v>
      </c>
      <c r="AG3040" s="3" t="n">
        <v>112.934135</v>
      </c>
      <c r="AH3040" s="3" t="n">
        <v>110.80344</v>
      </c>
      <c r="AI3040" s="3" t="n">
        <v>109.644838</v>
      </c>
      <c r="AJ3040" s="3" t="n">
        <v>108.671493</v>
      </c>
      <c r="AK3040" s="3" t="n">
        <v>107.829356</v>
      </c>
      <c r="AL3040" s="3" t="n">
        <v>107.089202</v>
      </c>
      <c r="AM3040" s="3" t="n"/>
      <c r="AN3040" s="3" t="n"/>
      <c r="AO3040" s="3" t="n"/>
      <c r="AP3040" s="3" t="n"/>
      <c r="AQ3040" s="3" t="n"/>
      <c r="AR3040" s="3" t="n"/>
      <c r="AS3040" s="3" t="n"/>
      <c r="AT3040" s="3" t="n"/>
      <c r="AU3040" s="3" t="n"/>
    </row>
    <row r="3041">
      <c r="A3041" s="3" t="n">
        <v>2031</v>
      </c>
      <c r="B3041" s="3" t="inlineStr">
        <is>
          <t>TUV</t>
        </is>
      </c>
      <c r="C3041" s="3" t="inlineStr">
        <is>
          <t>IMF.RES:WEO</t>
        </is>
      </c>
      <c r="D3041" s="3" t="inlineStr">
        <is>
          <t>TUV.GGX_NGDP.A</t>
        </is>
      </c>
      <c r="E3041" s="3" t="inlineStr">
        <is>
          <t>Tuvalu</t>
        </is>
      </c>
      <c r="F3041" s="3" t="inlineStr">
        <is>
          <t>Expenditure, General government, Percent of GDP</t>
        </is>
      </c>
      <c r="G3041" s="3" t="n"/>
      <c r="H3041" s="3" t="n"/>
      <c r="I3041" s="3" t="n"/>
      <c r="J3041" s="3" t="n"/>
      <c r="K3041" s="3" t="n">
        <v>74.105565</v>
      </c>
      <c r="L3041" s="3" t="n">
        <v>82.11620600000001</v>
      </c>
      <c r="M3041" s="3" t="n">
        <v>98.518597</v>
      </c>
      <c r="N3041" s="3" t="n">
        <v>88.567176</v>
      </c>
      <c r="O3041" s="3" t="n">
        <v>85.837749</v>
      </c>
      <c r="P3041" s="3" t="n">
        <v>99.97491100000001</v>
      </c>
      <c r="Q3041" s="3" t="n">
        <v>93.927638</v>
      </c>
      <c r="R3041" s="3" t="n">
        <v>77.210347</v>
      </c>
      <c r="S3041" s="3" t="n">
        <v>76.845033</v>
      </c>
      <c r="T3041" s="3" t="n">
        <v>80.202279</v>
      </c>
      <c r="U3041" s="3" t="n">
        <v>96.789689</v>
      </c>
      <c r="V3041" s="3" t="n">
        <v>116.943434</v>
      </c>
      <c r="W3041" s="3" t="n">
        <v>119.601459</v>
      </c>
      <c r="X3041" s="3" t="n">
        <v>106.447348</v>
      </c>
      <c r="Y3041" s="3" t="n">
        <v>125.606821</v>
      </c>
      <c r="Z3041" s="3" t="n">
        <v>113.589803</v>
      </c>
      <c r="AA3041" s="3" t="n">
        <v>119.533706</v>
      </c>
      <c r="AB3041" s="3" t="n">
        <v>113.812501</v>
      </c>
      <c r="AC3041" s="3" t="n">
        <v>115.319469</v>
      </c>
      <c r="AD3041" s="3" t="n">
        <v>145.873006</v>
      </c>
      <c r="AE3041" s="3" t="n">
        <v>117.454303</v>
      </c>
      <c r="AF3041" s="3" t="n">
        <v>105.264216</v>
      </c>
      <c r="AG3041" s="3" t="n">
        <v>114.189941</v>
      </c>
      <c r="AH3041" s="3" t="n">
        <v>115.342802</v>
      </c>
      <c r="AI3041" s="3" t="n">
        <v>115.470295</v>
      </c>
      <c r="AJ3041" s="3" t="n">
        <v>115.600219</v>
      </c>
      <c r="AK3041" s="3" t="n">
        <v>115.731959</v>
      </c>
      <c r="AL3041" s="3" t="n">
        <v>115.865412</v>
      </c>
      <c r="AM3041" s="3" t="n"/>
      <c r="AN3041" s="3" t="n"/>
      <c r="AO3041" s="3" t="n"/>
      <c r="AP3041" s="3" t="n"/>
      <c r="AQ3041" s="3" t="n"/>
      <c r="AR3041" s="3" t="n"/>
      <c r="AS3041" s="3" t="n"/>
      <c r="AT3041" s="3" t="n"/>
      <c r="AU3041" s="3" t="n"/>
    </row>
    <row r="3042">
      <c r="A3042" s="3" t="n">
        <v>2031</v>
      </c>
      <c r="B3042" s="3" t="inlineStr">
        <is>
          <t>TUV</t>
        </is>
      </c>
      <c r="C3042" s="3" t="inlineStr">
        <is>
          <t>IMF.RES:WEO</t>
        </is>
      </c>
      <c r="D3042" s="3" t="inlineStr">
        <is>
          <t>TUV.LP.A</t>
        </is>
      </c>
      <c r="E3042" s="3" t="inlineStr">
        <is>
          <t>Tuvalu</t>
        </is>
      </c>
      <c r="F3042" s="3" t="inlineStr">
        <is>
          <t>Population, Persons for countries / Index for country groups</t>
        </is>
      </c>
      <c r="G3042" s="3" t="n"/>
      <c r="H3042" s="3" t="n"/>
      <c r="I3042" s="3" t="n">
        <v>0.009561</v>
      </c>
      <c r="J3042" s="3" t="n">
        <v>0.009480000000000001</v>
      </c>
      <c r="K3042" s="3" t="n">
        <v>0.009601999999999999</v>
      </c>
      <c r="L3042" s="3" t="n">
        <v>0.009726</v>
      </c>
      <c r="M3042" s="3" t="n">
        <v>0.009852</v>
      </c>
      <c r="N3042" s="3" t="n">
        <v>0.009979</v>
      </c>
      <c r="O3042" s="3" t="n">
        <v>0.010108</v>
      </c>
      <c r="P3042" s="3" t="n">
        <v>0.010238</v>
      </c>
      <c r="Q3042" s="3" t="n">
        <v>0.01037</v>
      </c>
      <c r="R3042" s="3" t="n">
        <v>0.010504</v>
      </c>
      <c r="S3042" s="3" t="n">
        <v>0.010782</v>
      </c>
      <c r="T3042" s="3" t="n">
        <v>0.010753</v>
      </c>
      <c r="U3042" s="3" t="n">
        <v>0.010734</v>
      </c>
      <c r="V3042" s="3" t="n">
        <v>0.010712</v>
      </c>
      <c r="W3042" s="3" t="n">
        <v>0.010687</v>
      </c>
      <c r="X3042" s="3" t="n">
        <v>0.010507</v>
      </c>
      <c r="Y3042" s="3" t="n">
        <v>0.010574</v>
      </c>
      <c r="Z3042" s="3" t="n">
        <v>0.010273</v>
      </c>
      <c r="AA3042" s="3" t="n">
        <v>0.010204</v>
      </c>
      <c r="AB3042" s="3" t="n">
        <v>0.01028</v>
      </c>
      <c r="AC3042" s="3" t="n">
        <v>0.010597</v>
      </c>
      <c r="AD3042" s="3" t="n">
        <v>0.010099</v>
      </c>
      <c r="AE3042" s="3" t="n">
        <v>0.009853000000000001</v>
      </c>
      <c r="AF3042" s="3" t="n">
        <v>0.009882999999999999</v>
      </c>
      <c r="AG3042" s="3" t="n">
        <v>0.009913</v>
      </c>
      <c r="AH3042" s="3" t="n">
        <v>0.009943</v>
      </c>
      <c r="AI3042" s="3" t="n">
        <v>0.009972999999999999</v>
      </c>
      <c r="AJ3042" s="3" t="n">
        <v>0.010003</v>
      </c>
      <c r="AK3042" s="3" t="n">
        <v>0.010033</v>
      </c>
      <c r="AL3042" s="3" t="n">
        <v>0.010063</v>
      </c>
      <c r="AM3042" s="3" t="n"/>
      <c r="AN3042" s="3" t="n"/>
      <c r="AO3042" s="3" t="n"/>
      <c r="AP3042" s="3" t="n"/>
      <c r="AQ3042" s="3" t="n"/>
      <c r="AR3042" s="3" t="n"/>
      <c r="AS3042" s="3" t="n"/>
      <c r="AT3042" s="3" t="n"/>
      <c r="AU3042" s="3" t="n"/>
    </row>
    <row r="3043">
      <c r="A3043" s="3" t="n">
        <v>2031</v>
      </c>
      <c r="B3043" s="3" t="inlineStr">
        <is>
          <t>TUV</t>
        </is>
      </c>
      <c r="C3043" s="3" t="inlineStr">
        <is>
          <t>IMF.RES:WEO</t>
        </is>
      </c>
      <c r="D3043" s="3" t="inlineStr">
        <is>
          <t>TUV.NGDP.A</t>
        </is>
      </c>
      <c r="E3043" s="3" t="inlineStr">
        <is>
          <t>Tuvalu</t>
        </is>
      </c>
      <c r="F3043" s="3" t="inlineStr">
        <is>
          <t>Gross domestic product (GDP), Current prices, Domestic currency</t>
        </is>
      </c>
      <c r="G3043" s="3" t="n">
        <v>0.025667</v>
      </c>
      <c r="H3043" s="3" t="n">
        <v>0.027338</v>
      </c>
      <c r="I3043" s="3" t="n">
        <v>0.030627</v>
      </c>
      <c r="J3043" s="3" t="n">
        <v>0.030198</v>
      </c>
      <c r="K3043" s="3" t="n">
        <v>0.03111</v>
      </c>
      <c r="L3043" s="3" t="n">
        <v>0.029917</v>
      </c>
      <c r="M3043" s="3" t="n">
        <v>0.032236</v>
      </c>
      <c r="N3043" s="3" t="n">
        <v>0.034117</v>
      </c>
      <c r="O3043" s="3" t="n">
        <v>0.037676</v>
      </c>
      <c r="P3043" s="3" t="n">
        <v>0.035711</v>
      </c>
      <c r="Q3043" s="3" t="n">
        <v>0.035349</v>
      </c>
      <c r="R3043" s="3" t="n">
        <v>0.038454</v>
      </c>
      <c r="S3043" s="3" t="n">
        <v>0.037582</v>
      </c>
      <c r="T3043" s="3" t="n">
        <v>0.040157</v>
      </c>
      <c r="U3043" s="3" t="n">
        <v>0.042869</v>
      </c>
      <c r="V3043" s="3" t="n">
        <v>0.048925</v>
      </c>
      <c r="W3043" s="3" t="n">
        <v>0.055566</v>
      </c>
      <c r="X3043" s="3" t="n">
        <v>0.059091</v>
      </c>
      <c r="Y3043" s="3" t="n">
        <v>0.06447</v>
      </c>
      <c r="Z3043" s="3" t="n">
        <v>0.077377</v>
      </c>
      <c r="AA3043" s="3" t="n">
        <v>0.07624300000000001</v>
      </c>
      <c r="AB3043" s="3" t="n">
        <v>0.081813</v>
      </c>
      <c r="AC3043" s="3" t="n">
        <v>0.07811999999999999</v>
      </c>
      <c r="AD3043" s="3" t="n">
        <v>0.076086</v>
      </c>
      <c r="AE3043" s="3" t="n">
        <v>0.085521</v>
      </c>
      <c r="AF3043" s="3" t="n">
        <v>0.089271</v>
      </c>
      <c r="AG3043" s="3" t="n">
        <v>0.09447</v>
      </c>
      <c r="AH3043" s="3" t="n">
        <v>0.099442</v>
      </c>
      <c r="AI3043" s="3" t="n">
        <v>0.104452</v>
      </c>
      <c r="AJ3043" s="3" t="n">
        <v>0.109297</v>
      </c>
      <c r="AK3043" s="3" t="n">
        <v>0.114076</v>
      </c>
      <c r="AL3043" s="3" t="n">
        <v>0.118863</v>
      </c>
      <c r="AM3043" s="3" t="n"/>
      <c r="AN3043" s="3" t="n"/>
      <c r="AO3043" s="3" t="n"/>
      <c r="AP3043" s="3" t="n"/>
      <c r="AQ3043" s="3" t="n"/>
      <c r="AR3043" s="3" t="n"/>
      <c r="AS3043" s="3" t="n"/>
      <c r="AT3043" s="3" t="n"/>
      <c r="AU3043" s="3" t="n"/>
    </row>
    <row r="3044">
      <c r="A3044" s="3" t="n">
        <v>2031</v>
      </c>
      <c r="B3044" s="3" t="inlineStr">
        <is>
          <t>TUV</t>
        </is>
      </c>
      <c r="C3044" s="3" t="inlineStr">
        <is>
          <t>IMF.RES:WEO</t>
        </is>
      </c>
      <c r="D3044" s="3" t="inlineStr">
        <is>
          <t>TUV.NGDP_D.A</t>
        </is>
      </c>
      <c r="E3044" s="3" t="inlineStr">
        <is>
          <t>Tuvalu</t>
        </is>
      </c>
      <c r="F3044" s="3" t="inlineStr">
        <is>
          <t>Gross domestic product (GDP), Price deflator, Index</t>
        </is>
      </c>
      <c r="G3044" s="3" t="n">
        <v>61.084917</v>
      </c>
      <c r="H3044" s="3" t="n">
        <v>64.611878</v>
      </c>
      <c r="I3044" s="3" t="n">
        <v>66.82542599999999</v>
      </c>
      <c r="J3044" s="3" t="n">
        <v>68.887837</v>
      </c>
      <c r="K3044" s="3" t="n">
        <v>72.33263100000001</v>
      </c>
      <c r="L3044" s="3" t="n">
        <v>72.26697799999999</v>
      </c>
      <c r="M3044" s="3" t="n">
        <v>76.87007800000001</v>
      </c>
      <c r="N3044" s="3" t="n">
        <v>76.098702</v>
      </c>
      <c r="O3044" s="3" t="n">
        <v>78.850803</v>
      </c>
      <c r="P3044" s="3" t="n">
        <v>79.188114</v>
      </c>
      <c r="Q3044" s="3" t="n">
        <v>80.368464</v>
      </c>
      <c r="R3044" s="3" t="n">
        <v>81.31362300000001</v>
      </c>
      <c r="S3044" s="3" t="n">
        <v>81.803755</v>
      </c>
      <c r="T3044" s="3" t="n">
        <v>84.20450200000001</v>
      </c>
      <c r="U3044" s="3" t="n">
        <v>88.417303</v>
      </c>
      <c r="V3044" s="3" t="n">
        <v>92.254018</v>
      </c>
      <c r="W3044" s="3" t="n">
        <v>100</v>
      </c>
      <c r="X3044" s="3" t="n">
        <v>102.925431</v>
      </c>
      <c r="Y3044" s="3" t="n">
        <v>110.43735</v>
      </c>
      <c r="Z3044" s="3" t="n">
        <v>116.849343</v>
      </c>
      <c r="AA3044" s="3" t="n">
        <v>119.033227</v>
      </c>
      <c r="AB3044" s="3" t="n">
        <v>127.607124</v>
      </c>
      <c r="AC3044" s="3" t="n">
        <v>138.070643</v>
      </c>
      <c r="AD3044" s="3" t="n">
        <v>129.270406</v>
      </c>
      <c r="AE3044" s="3" t="n">
        <v>140.960452</v>
      </c>
      <c r="AF3044" s="3" t="n">
        <v>144.031578</v>
      </c>
      <c r="AG3044" s="3" t="n">
        <v>148.648376</v>
      </c>
      <c r="AH3044" s="3" t="n">
        <v>152.837195</v>
      </c>
      <c r="AI3044" s="3" t="n">
        <v>156.902637</v>
      </c>
      <c r="AJ3044" s="3" t="n">
        <v>160.941666</v>
      </c>
      <c r="AK3044" s="3" t="n">
        <v>164.998826</v>
      </c>
      <c r="AL3044" s="3" t="n">
        <v>169.140348</v>
      </c>
      <c r="AM3044" s="3" t="n"/>
      <c r="AN3044" s="3" t="n"/>
      <c r="AO3044" s="3" t="n"/>
      <c r="AP3044" s="3" t="n"/>
      <c r="AQ3044" s="3" t="n"/>
      <c r="AR3044" s="3" t="n"/>
      <c r="AS3044" s="3" t="n"/>
      <c r="AT3044" s="3" t="n"/>
      <c r="AU3044" s="3" t="n"/>
    </row>
    <row r="3045">
      <c r="A3045" s="3" t="n">
        <v>2031</v>
      </c>
      <c r="B3045" s="3" t="inlineStr">
        <is>
          <t>TUV</t>
        </is>
      </c>
      <c r="C3045" s="3" t="inlineStr">
        <is>
          <t>IMF.RES:WEO</t>
        </is>
      </c>
      <c r="D3045" s="3" t="inlineStr">
        <is>
          <t>TUV.NGDP_R.A</t>
        </is>
      </c>
      <c r="E3045" s="3" t="inlineStr">
        <is>
          <t>Tuvalu</t>
        </is>
      </c>
      <c r="F3045" s="3" t="inlineStr">
        <is>
          <t>Gross domestic product (GDP), Constant prices, Domestic currency</t>
        </is>
      </c>
      <c r="G3045" s="3" t="n">
        <v>0.042019</v>
      </c>
      <c r="H3045" s="3" t="n">
        <v>0.042312</v>
      </c>
      <c r="I3045" s="3" t="n">
        <v>0.045831</v>
      </c>
      <c r="J3045" s="3" t="n">
        <v>0.043837</v>
      </c>
      <c r="K3045" s="3" t="n">
        <v>0.043009</v>
      </c>
      <c r="L3045" s="3" t="n">
        <v>0.041398</v>
      </c>
      <c r="M3045" s="3" t="n">
        <v>0.041936</v>
      </c>
      <c r="N3045" s="3" t="n">
        <v>0.044832</v>
      </c>
      <c r="O3045" s="3" t="n">
        <v>0.047782</v>
      </c>
      <c r="P3045" s="3" t="n">
        <v>0.045097</v>
      </c>
      <c r="Q3045" s="3" t="n">
        <v>0.043983</v>
      </c>
      <c r="R3045" s="3" t="n">
        <v>0.047291</v>
      </c>
      <c r="S3045" s="3" t="n">
        <v>0.045942</v>
      </c>
      <c r="T3045" s="3" t="n">
        <v>0.04769</v>
      </c>
      <c r="U3045" s="3" t="n">
        <v>0.048485</v>
      </c>
      <c r="V3045" s="3" t="n">
        <v>0.053033</v>
      </c>
      <c r="W3045" s="3" t="n">
        <v>0.055566</v>
      </c>
      <c r="X3045" s="3" t="n">
        <v>0.057411</v>
      </c>
      <c r="Y3045" s="3" t="n">
        <v>0.058377</v>
      </c>
      <c r="Z3045" s="3" t="n">
        <v>0.066219</v>
      </c>
      <c r="AA3045" s="3" t="n">
        <v>0.064051</v>
      </c>
      <c r="AB3045" s="3" t="n">
        <v>0.064114</v>
      </c>
      <c r="AC3045" s="3" t="n">
        <v>0.056579</v>
      </c>
      <c r="AD3045" s="3" t="n">
        <v>0.058858</v>
      </c>
      <c r="AE3045" s="3" t="n">
        <v>0.06067</v>
      </c>
      <c r="AF3045" s="3" t="n">
        <v>0.06198</v>
      </c>
      <c r="AG3045" s="3" t="n">
        <v>0.063552</v>
      </c>
      <c r="AH3045" s="3" t="n">
        <v>0.065064</v>
      </c>
      <c r="AI3045" s="3" t="n">
        <v>0.06657100000000001</v>
      </c>
      <c r="AJ3045" s="3" t="n">
        <v>0.067911</v>
      </c>
      <c r="AK3045" s="3" t="n">
        <v>0.069137</v>
      </c>
      <c r="AL3045" s="3" t="n">
        <v>0.070275</v>
      </c>
      <c r="AM3045" s="3" t="n"/>
      <c r="AN3045" s="3" t="n"/>
      <c r="AO3045" s="3" t="n"/>
      <c r="AP3045" s="3" t="n"/>
      <c r="AQ3045" s="3" t="n"/>
      <c r="AR3045" s="3" t="n"/>
      <c r="AS3045" s="3" t="n"/>
      <c r="AT3045" s="3" t="n"/>
      <c r="AU3045" s="3" t="n"/>
    </row>
    <row r="3046">
      <c r="A3046" s="3" t="n">
        <v>2031</v>
      </c>
      <c r="B3046" s="3" t="inlineStr">
        <is>
          <t>TUV</t>
        </is>
      </c>
      <c r="C3046" s="3" t="inlineStr">
        <is>
          <t>IMF.RES:WEO</t>
        </is>
      </c>
      <c r="D3046" s="3" t="inlineStr">
        <is>
          <t>TUV.NGDP_RPCH.A</t>
        </is>
      </c>
      <c r="E3046" s="3" t="inlineStr">
        <is>
          <t>Tuvalu</t>
        </is>
      </c>
      <c r="F3046" s="3" t="inlineStr">
        <is>
          <t>Gross domestic product (GDP), Constant prices, Percent change</t>
        </is>
      </c>
      <c r="G3046" s="3" t="n"/>
      <c r="H3046" s="3" t="n">
        <v>0.695462</v>
      </c>
      <c r="I3046" s="3" t="n">
        <v>8.317449</v>
      </c>
      <c r="J3046" s="3" t="n">
        <v>-4.350855</v>
      </c>
      <c r="K3046" s="3" t="n">
        <v>-1.888169</v>
      </c>
      <c r="L3046" s="3" t="n">
        <v>-3.746465</v>
      </c>
      <c r="M3046" s="3" t="n">
        <v>1.301008</v>
      </c>
      <c r="N3046" s="3" t="n">
        <v>6.905359</v>
      </c>
      <c r="O3046" s="3" t="n">
        <v>6.579264</v>
      </c>
      <c r="P3046" s="3" t="n">
        <v>-5.619875</v>
      </c>
      <c r="Q3046" s="3" t="n">
        <v>-2.468316</v>
      </c>
      <c r="R3046" s="3" t="n">
        <v>7.520141</v>
      </c>
      <c r="S3046" s="3" t="n">
        <v>-2.852751</v>
      </c>
      <c r="T3046" s="3" t="n">
        <v>3.804907</v>
      </c>
      <c r="U3046" s="3" t="n">
        <v>1.667357</v>
      </c>
      <c r="V3046" s="3" t="n">
        <v>9.378883999999999</v>
      </c>
      <c r="W3046" s="3" t="n">
        <v>4.776425</v>
      </c>
      <c r="X3046" s="3" t="n">
        <v>3.32207</v>
      </c>
      <c r="Y3046" s="3" t="n">
        <v>1.681493</v>
      </c>
      <c r="Z3046" s="3" t="n">
        <v>13.43389</v>
      </c>
      <c r="AA3046" s="3" t="n">
        <v>-3.273512</v>
      </c>
      <c r="AB3046" s="3" t="n">
        <v>0.096959</v>
      </c>
      <c r="AC3046" s="3" t="n">
        <v>-11.751181</v>
      </c>
      <c r="AD3046" s="3" t="n">
        <v>4.026547</v>
      </c>
      <c r="AE3046" s="3" t="n">
        <v>3.079264</v>
      </c>
      <c r="AF3046" s="3" t="n">
        <v>2.159172</v>
      </c>
      <c r="AG3046" s="3" t="n">
        <v>2.536829</v>
      </c>
      <c r="AH3046" s="3" t="n">
        <v>2.378662</v>
      </c>
      <c r="AI3046" s="3" t="n">
        <v>2.316306</v>
      </c>
      <c r="AJ3046" s="3" t="n">
        <v>2.012691</v>
      </c>
      <c r="AK3046" s="3" t="n">
        <v>1.805902</v>
      </c>
      <c r="AL3046" s="3" t="n">
        <v>1.645032</v>
      </c>
      <c r="AM3046" s="3" t="n"/>
      <c r="AN3046" s="3" t="n"/>
      <c r="AO3046" s="3" t="n"/>
      <c r="AP3046" s="3" t="n"/>
      <c r="AQ3046" s="3" t="n"/>
      <c r="AR3046" s="3" t="n"/>
      <c r="AS3046" s="3" t="n"/>
      <c r="AT3046" s="3" t="n"/>
      <c r="AU3046" s="3" t="n"/>
    </row>
    <row r="3047">
      <c r="A3047" s="3" t="n">
        <v>2031</v>
      </c>
      <c r="B3047" s="3" t="inlineStr">
        <is>
          <t>TUV</t>
        </is>
      </c>
      <c r="C3047" s="3" t="inlineStr">
        <is>
          <t>IMF.RES:WEO</t>
        </is>
      </c>
      <c r="D3047" s="3" t="inlineStr">
        <is>
          <t>TUV.NGDPD.A</t>
        </is>
      </c>
      <c r="E3047" s="3" t="inlineStr">
        <is>
          <t>Tuvalu</t>
        </is>
      </c>
      <c r="F3047" s="3" t="inlineStr">
        <is>
          <t>Gross domestic product (GDP), Current prices, US dollar</t>
        </is>
      </c>
      <c r="G3047" s="3" t="n">
        <v>0.014946</v>
      </c>
      <c r="H3047" s="3" t="n">
        <v>0.014151</v>
      </c>
      <c r="I3047" s="3" t="n">
        <v>0.016657</v>
      </c>
      <c r="J3047" s="3" t="n">
        <v>0.019685</v>
      </c>
      <c r="K3047" s="3" t="n">
        <v>0.022915</v>
      </c>
      <c r="L3047" s="3" t="n">
        <v>0.022852</v>
      </c>
      <c r="M3047" s="3" t="n">
        <v>0.024285</v>
      </c>
      <c r="N3047" s="3" t="n">
        <v>0.028609</v>
      </c>
      <c r="O3047" s="3" t="n">
        <v>0.032223</v>
      </c>
      <c r="P3047" s="3" t="n">
        <v>0.028258</v>
      </c>
      <c r="Q3047" s="3" t="n">
        <v>0.032503</v>
      </c>
      <c r="R3047" s="3" t="n">
        <v>0.039693</v>
      </c>
      <c r="S3047" s="3" t="n">
        <v>0.038928</v>
      </c>
      <c r="T3047" s="3" t="n">
        <v>0.038889</v>
      </c>
      <c r="U3047" s="3" t="n">
        <v>0.038698</v>
      </c>
      <c r="V3047" s="3" t="n">
        <v>0.036821</v>
      </c>
      <c r="W3047" s="3" t="n">
        <v>0.041335</v>
      </c>
      <c r="X3047" s="3" t="n">
        <v>0.045309</v>
      </c>
      <c r="Y3047" s="3" t="n">
        <v>0.048233</v>
      </c>
      <c r="Z3047" s="3" t="n">
        <v>0.05381</v>
      </c>
      <c r="AA3047" s="3" t="n">
        <v>0.05264</v>
      </c>
      <c r="AB3047" s="3" t="n">
        <v>0.061506</v>
      </c>
      <c r="AC3047" s="3" t="n">
        <v>0.05429</v>
      </c>
      <c r="AD3047" s="3" t="n">
        <v>0.050584</v>
      </c>
      <c r="AE3047" s="3" t="n">
        <v>0.056451</v>
      </c>
      <c r="AF3047" s="3" t="n">
        <v>0.057544</v>
      </c>
      <c r="AG3047" s="3" t="n">
        <v>0.06523900000000001</v>
      </c>
      <c r="AH3047" s="3" t="n">
        <v>0.06862600000000001</v>
      </c>
      <c r="AI3047" s="3" t="n">
        <v>0.07191500000000001</v>
      </c>
      <c r="AJ3047" s="3" t="n">
        <v>0.074985</v>
      </c>
      <c r="AK3047" s="3" t="n">
        <v>0.07796</v>
      </c>
      <c r="AL3047" s="3" t="n">
        <v>0.08091</v>
      </c>
      <c r="AM3047" s="3" t="n"/>
      <c r="AN3047" s="3" t="n"/>
      <c r="AO3047" s="3" t="n"/>
      <c r="AP3047" s="3" t="n"/>
      <c r="AQ3047" s="3" t="n"/>
      <c r="AR3047" s="3" t="n"/>
      <c r="AS3047" s="3" t="n"/>
      <c r="AT3047" s="3" t="n"/>
      <c r="AU3047" s="3" t="n"/>
    </row>
    <row r="3048">
      <c r="A3048" s="3" t="n">
        <v>2031</v>
      </c>
      <c r="B3048" s="3" t="inlineStr">
        <is>
          <t>TUV</t>
        </is>
      </c>
      <c r="C3048" s="3" t="inlineStr">
        <is>
          <t>IMF.RES:WEO</t>
        </is>
      </c>
      <c r="D3048" s="3" t="inlineStr">
        <is>
          <t>TUV.NGDPPC.A</t>
        </is>
      </c>
      <c r="E3048" s="3" t="inlineStr">
        <is>
          <t>Tuvalu</t>
        </is>
      </c>
      <c r="F3048" s="3" t="inlineStr">
        <is>
          <t>Gross domestic product (GDP), Current prices, Per capita, Domestic currency</t>
        </is>
      </c>
      <c r="G3048" s="3" t="n"/>
      <c r="H3048" s="3" t="n"/>
      <c r="I3048" s="3" t="n">
        <v>3203.288043</v>
      </c>
      <c r="J3048" s="3" t="n">
        <v>3185.521557</v>
      </c>
      <c r="K3048" s="3" t="n">
        <v>3239.831509</v>
      </c>
      <c r="L3048" s="3" t="n">
        <v>3075.909305</v>
      </c>
      <c r="M3048" s="3" t="n">
        <v>3272.152262</v>
      </c>
      <c r="N3048" s="3" t="n">
        <v>3418.8629</v>
      </c>
      <c r="O3048" s="3" t="n">
        <v>3727.451988</v>
      </c>
      <c r="P3048" s="3" t="n">
        <v>3487.990286</v>
      </c>
      <c r="Q3048" s="3" t="n">
        <v>3408.595311</v>
      </c>
      <c r="R3048" s="3" t="n">
        <v>3660.763665</v>
      </c>
      <c r="S3048" s="3" t="n">
        <v>3485.645451</v>
      </c>
      <c r="T3048" s="3" t="n">
        <v>3734.503318</v>
      </c>
      <c r="U3048" s="3" t="n">
        <v>3993.78233</v>
      </c>
      <c r="V3048" s="3" t="n">
        <v>4567.272544</v>
      </c>
      <c r="W3048" s="3" t="n">
        <v>5199.360955</v>
      </c>
      <c r="X3048" s="3" t="n">
        <v>5623.967951</v>
      </c>
      <c r="Y3048" s="3" t="n">
        <v>6097.017745</v>
      </c>
      <c r="Z3048" s="3" t="n">
        <v>7532.039652</v>
      </c>
      <c r="AA3048" s="3" t="n">
        <v>7471.826672</v>
      </c>
      <c r="AB3048" s="3" t="n">
        <v>7958.509203</v>
      </c>
      <c r="AC3048" s="3" t="n">
        <v>7371.862611</v>
      </c>
      <c r="AD3048" s="3" t="n">
        <v>7533.967496</v>
      </c>
      <c r="AE3048" s="3" t="n">
        <v>8679.667971000001</v>
      </c>
      <c r="AF3048" s="3" t="n">
        <v>9032.762650999999</v>
      </c>
      <c r="AG3048" s="3" t="n">
        <v>9529.862230000001</v>
      </c>
      <c r="AH3048" s="3" t="n">
        <v>10001.211882</v>
      </c>
      <c r="AI3048" s="3" t="n">
        <v>10473.462533</v>
      </c>
      <c r="AJ3048" s="3" t="n">
        <v>10926.430097</v>
      </c>
      <c r="AK3048" s="3" t="n">
        <v>11370.068115</v>
      </c>
      <c r="AL3048" s="3" t="n">
        <v>11811.877321</v>
      </c>
      <c r="AM3048" s="3" t="n"/>
      <c r="AN3048" s="3" t="n"/>
      <c r="AO3048" s="3" t="n"/>
      <c r="AP3048" s="3" t="n"/>
      <c r="AQ3048" s="3" t="n"/>
      <c r="AR3048" s="3" t="n"/>
      <c r="AS3048" s="3" t="n"/>
      <c r="AT3048" s="3" t="n"/>
      <c r="AU3048" s="3" t="n"/>
    </row>
    <row r="3049">
      <c r="A3049" s="3" t="n">
        <v>2031</v>
      </c>
      <c r="B3049" s="3" t="inlineStr">
        <is>
          <t>TUV</t>
        </is>
      </c>
      <c r="C3049" s="3" t="inlineStr">
        <is>
          <t>IMF.RES:WEO</t>
        </is>
      </c>
      <c r="D3049" s="3" t="inlineStr">
        <is>
          <t>TUV.NGDPRPC.A</t>
        </is>
      </c>
      <c r="E3049" s="3" t="inlineStr">
        <is>
          <t>Tuvalu</t>
        </is>
      </c>
      <c r="F3049" s="3" t="inlineStr">
        <is>
          <t>Gross domestic product (GDP), Constant prices, Per capita, Domestic currency</t>
        </is>
      </c>
      <c r="G3049" s="3" t="n"/>
      <c r="H3049" s="3" t="n"/>
      <c r="I3049" s="3" t="n">
        <v>4793.516828</v>
      </c>
      <c r="J3049" s="3" t="n">
        <v>4624.214809</v>
      </c>
      <c r="K3049" s="3" t="n">
        <v>4479.073215</v>
      </c>
      <c r="L3049" s="3" t="n">
        <v>4256.313713</v>
      </c>
      <c r="M3049" s="3" t="n">
        <v>4256.730749</v>
      </c>
      <c r="N3049" s="3" t="n">
        <v>4492.669159</v>
      </c>
      <c r="O3049" s="3" t="n">
        <v>4727.221356</v>
      </c>
      <c r="P3049" s="3" t="n">
        <v>4404.689177</v>
      </c>
      <c r="Q3049" s="3" t="n">
        <v>4241.209967</v>
      </c>
      <c r="R3049" s="3" t="n">
        <v>4502.029957</v>
      </c>
      <c r="S3049" s="3" t="n">
        <v>4260.984668</v>
      </c>
      <c r="T3049" s="3" t="n">
        <v>4435.039978</v>
      </c>
      <c r="U3049" s="3" t="n">
        <v>4516.969165</v>
      </c>
      <c r="V3049" s="3" t="n">
        <v>4950.757327</v>
      </c>
      <c r="W3049" s="3" t="n">
        <v>5199.360955</v>
      </c>
      <c r="X3049" s="3" t="n">
        <v>5464.118914</v>
      </c>
      <c r="Y3049" s="3" t="n">
        <v>5520.793215</v>
      </c>
      <c r="Z3049" s="3" t="n">
        <v>6445.940965</v>
      </c>
      <c r="AA3049" s="3" t="n">
        <v>6277.093284</v>
      </c>
      <c r="AB3049" s="3" t="n">
        <v>6236.727974</v>
      </c>
      <c r="AC3049" s="3" t="n">
        <v>5339.196278</v>
      </c>
      <c r="AD3049" s="3" t="n">
        <v>5828.068261</v>
      </c>
      <c r="AE3049" s="3" t="n">
        <v>6157.519953</v>
      </c>
      <c r="AF3049" s="3" t="n">
        <v>6271.376587</v>
      </c>
      <c r="AG3049" s="3" t="n">
        <v>6411.009998</v>
      </c>
      <c r="AH3049" s="3" t="n">
        <v>6543.702847</v>
      </c>
      <c r="AI3049" s="3" t="n">
        <v>6675.134819</v>
      </c>
      <c r="AJ3049" s="3" t="n">
        <v>6789.062362</v>
      </c>
      <c r="AK3049" s="3" t="n">
        <v>6890.999408</v>
      </c>
      <c r="AL3049" s="3" t="n">
        <v>6983.477026</v>
      </c>
      <c r="AM3049" s="3" t="n"/>
      <c r="AN3049" s="3" t="n"/>
      <c r="AO3049" s="3" t="n"/>
      <c r="AP3049" s="3" t="n"/>
      <c r="AQ3049" s="3" t="n"/>
      <c r="AR3049" s="3" t="n"/>
      <c r="AS3049" s="3" t="n"/>
      <c r="AT3049" s="3" t="n"/>
      <c r="AU3049" s="3" t="n"/>
    </row>
    <row r="3050">
      <c r="A3050" s="3" t="n">
        <v>2031</v>
      </c>
      <c r="B3050" s="3" t="inlineStr">
        <is>
          <t>TUV</t>
        </is>
      </c>
      <c r="C3050" s="3" t="inlineStr">
        <is>
          <t>IMF.RES:WEO</t>
        </is>
      </c>
      <c r="D3050" s="3" t="inlineStr">
        <is>
          <t>TUV.PCPI.A</t>
        </is>
      </c>
      <c r="E3050" s="3" t="inlineStr">
        <is>
          <t>Tuvalu</t>
        </is>
      </c>
      <c r="F3050" s="3" t="inlineStr">
        <is>
          <t>All Items, Consumer price index (CPI), Period average</t>
        </is>
      </c>
      <c r="G3050" s="3" t="n">
        <v>100</v>
      </c>
      <c r="H3050" s="3" t="n">
        <v>101.530655</v>
      </c>
      <c r="I3050" s="3" t="n">
        <v>106.659388</v>
      </c>
      <c r="J3050" s="3" t="n">
        <v>109.76748</v>
      </c>
      <c r="K3050" s="3" t="n">
        <v>112.368053</v>
      </c>
      <c r="L3050" s="3" t="n">
        <v>115.987743</v>
      </c>
      <c r="M3050" s="3" t="n">
        <v>120.847089</v>
      </c>
      <c r="N3050" s="3" t="n">
        <v>123.608852</v>
      </c>
      <c r="O3050" s="3" t="n">
        <v>136.517509</v>
      </c>
      <c r="P3050" s="3" t="n">
        <v>136.131206</v>
      </c>
      <c r="Q3050" s="3" t="n">
        <v>133.609063</v>
      </c>
      <c r="R3050" s="3" t="n">
        <v>134.276959</v>
      </c>
      <c r="S3050" s="3" t="n">
        <v>136.177028</v>
      </c>
      <c r="T3050" s="3" t="n">
        <v>138.927379</v>
      </c>
      <c r="U3050" s="3" t="n">
        <v>140.489613</v>
      </c>
      <c r="V3050" s="3" t="n">
        <v>144.900576</v>
      </c>
      <c r="W3050" s="3" t="n">
        <v>149.960717</v>
      </c>
      <c r="X3050" s="3" t="n">
        <v>156.088951</v>
      </c>
      <c r="Y3050" s="3" t="n">
        <v>159.459891</v>
      </c>
      <c r="Z3050" s="3" t="n">
        <v>165.028778</v>
      </c>
      <c r="AA3050" s="3" t="n">
        <v>167.619698</v>
      </c>
      <c r="AB3050" s="3" t="n">
        <v>178.827801</v>
      </c>
      <c r="AC3050" s="3" t="n">
        <v>200.616689</v>
      </c>
      <c r="AD3050" s="3" t="n">
        <v>215.00397</v>
      </c>
      <c r="AE3050" s="3" t="n">
        <v>217.509137</v>
      </c>
      <c r="AF3050" s="3" t="n">
        <v>221.829188</v>
      </c>
      <c r="AG3050" s="3" t="n">
        <v>228.65</v>
      </c>
      <c r="AH3050" s="3" t="n">
        <v>234.804029</v>
      </c>
      <c r="AI3050" s="3" t="n">
        <v>240.744121</v>
      </c>
      <c r="AJ3050" s="3" t="n">
        <v>246.700345</v>
      </c>
      <c r="AK3050" s="3" t="n">
        <v>252.748308</v>
      </c>
      <c r="AL3050" s="3" t="n">
        <v>258.982161</v>
      </c>
      <c r="AM3050" s="3" t="n"/>
      <c r="AN3050" s="3" t="n"/>
      <c r="AO3050" s="3" t="n"/>
      <c r="AP3050" s="3" t="n"/>
      <c r="AQ3050" s="3" t="n"/>
      <c r="AR3050" s="3" t="n"/>
      <c r="AS3050" s="3" t="n"/>
      <c r="AT3050" s="3" t="n"/>
      <c r="AU3050" s="3" t="n"/>
    </row>
    <row r="3051">
      <c r="A3051" s="3" t="n">
        <v>2031</v>
      </c>
      <c r="B3051" s="3" t="inlineStr">
        <is>
          <t>TUV</t>
        </is>
      </c>
      <c r="C3051" s="3" t="inlineStr">
        <is>
          <t>IMF.RES:WEO</t>
        </is>
      </c>
      <c r="D3051" s="3" t="inlineStr">
        <is>
          <t>TUV.PCPIPCH.A</t>
        </is>
      </c>
      <c r="E3051" s="3" t="inlineStr">
        <is>
          <t>Tuvalu</t>
        </is>
      </c>
      <c r="F3051" s="3" t="inlineStr">
        <is>
          <t>All Items, Consumer price index (CPI), Period average, percent change</t>
        </is>
      </c>
      <c r="G3051" s="3" t="n"/>
      <c r="H3051" s="3" t="n">
        <v>1.530655</v>
      </c>
      <c r="I3051" s="3" t="n">
        <v>5.051413</v>
      </c>
      <c r="J3051" s="3" t="n">
        <v>2.914036</v>
      </c>
      <c r="K3051" s="3" t="n">
        <v>2.369165</v>
      </c>
      <c r="L3051" s="3" t="n">
        <v>3.221281</v>
      </c>
      <c r="M3051" s="3" t="n">
        <v>4.189534</v>
      </c>
      <c r="N3051" s="3" t="n">
        <v>2.285336</v>
      </c>
      <c r="O3051" s="3" t="n">
        <v>10.44315</v>
      </c>
      <c r="P3051" s="3" t="n">
        <v>-0.28297</v>
      </c>
      <c r="Q3051" s="3" t="n">
        <v>-1.85273</v>
      </c>
      <c r="R3051" s="3" t="n">
        <v>0.499888</v>
      </c>
      <c r="S3051" s="3" t="n">
        <v>1.415038</v>
      </c>
      <c r="T3051" s="3" t="n">
        <v>2.019687</v>
      </c>
      <c r="U3051" s="3" t="n">
        <v>1.124497</v>
      </c>
      <c r="V3051" s="3" t="n">
        <v>3.139707</v>
      </c>
      <c r="W3051" s="3" t="n">
        <v>3.492147</v>
      </c>
      <c r="X3051" s="3" t="n">
        <v>4.08656</v>
      </c>
      <c r="Y3051" s="3" t="n">
        <v>2.159627</v>
      </c>
      <c r="Z3051" s="3" t="n">
        <v>3.492343</v>
      </c>
      <c r="AA3051" s="3" t="n">
        <v>1.569981</v>
      </c>
      <c r="AB3051" s="3" t="n">
        <v>6.686627</v>
      </c>
      <c r="AC3051" s="3" t="n">
        <v>12.184284</v>
      </c>
      <c r="AD3051" s="3" t="n">
        <v>7.171528</v>
      </c>
      <c r="AE3051" s="3" t="n">
        <v>1.165172</v>
      </c>
      <c r="AF3051" s="3" t="n">
        <v>1.986147</v>
      </c>
      <c r="AG3051" s="3" t="n">
        <v>3.074804</v>
      </c>
      <c r="AH3051" s="3" t="n">
        <v>2.691462</v>
      </c>
      <c r="AI3051" s="3" t="n">
        <v>2.529808</v>
      </c>
      <c r="AJ3051" s="3" t="n">
        <v>2.474089</v>
      </c>
      <c r="AK3051" s="3" t="n">
        <v>2.451542</v>
      </c>
      <c r="AL3051" s="3" t="n">
        <v>2.466427</v>
      </c>
      <c r="AM3051" s="3" t="n"/>
      <c r="AN3051" s="3" t="n"/>
      <c r="AO3051" s="3" t="n"/>
      <c r="AP3051" s="3" t="n"/>
      <c r="AQ3051" s="3" t="n"/>
      <c r="AR3051" s="3" t="n"/>
      <c r="AS3051" s="3" t="n"/>
      <c r="AT3051" s="3" t="n"/>
      <c r="AU3051" s="3" t="n"/>
    </row>
    <row r="3052">
      <c r="A3052" s="3" t="n">
        <v>2031</v>
      </c>
      <c r="B3052" s="3" t="inlineStr">
        <is>
          <t>TUV</t>
        </is>
      </c>
      <c r="C3052" s="3" t="inlineStr">
        <is>
          <t>IMF.RES:WEO</t>
        </is>
      </c>
      <c r="D3052" s="3" t="inlineStr">
        <is>
          <t>TUV.PPPPC.A</t>
        </is>
      </c>
      <c r="E3052" s="3" t="inlineStr">
        <is>
          <t>Tuvalu</t>
        </is>
      </c>
      <c r="F3052" s="3" t="inlineStr">
        <is>
          <t>Gross domestic product (GDP), Per capita, purchasing power parity (PPP) international dollar, ICP benchmarks 2017-2021</t>
        </is>
      </c>
      <c r="G3052" s="3" t="n"/>
      <c r="H3052" s="3" t="n"/>
      <c r="I3052" s="3" t="n">
        <v>2743.518022</v>
      </c>
      <c r="J3052" s="3" t="n">
        <v>2698.869808</v>
      </c>
      <c r="K3052" s="3" t="n">
        <v>2684.451231</v>
      </c>
      <c r="L3052" s="3" t="n">
        <v>2630.937412</v>
      </c>
      <c r="M3052" s="3" t="n">
        <v>2712.338153</v>
      </c>
      <c r="N3052" s="3" t="n">
        <v>2940.232904</v>
      </c>
      <c r="O3052" s="3" t="n">
        <v>3153.333957</v>
      </c>
      <c r="P3052" s="3" t="n">
        <v>2956.307098</v>
      </c>
      <c r="Q3052" s="3" t="n">
        <v>2881.180979</v>
      </c>
      <c r="R3052" s="3" t="n">
        <v>3121.465453</v>
      </c>
      <c r="S3052" s="3" t="n">
        <v>3009.345374</v>
      </c>
      <c r="T3052" s="3" t="n">
        <v>3185.584396</v>
      </c>
      <c r="U3052" s="3" t="n">
        <v>3300.940952</v>
      </c>
      <c r="V3052" s="3" t="n">
        <v>3651.524047</v>
      </c>
      <c r="W3052" s="3" t="n">
        <v>3871.326315</v>
      </c>
      <c r="X3052" s="3" t="n">
        <v>4141.320701</v>
      </c>
      <c r="Y3052" s="3" t="n">
        <v>4280.127692</v>
      </c>
      <c r="Z3052" s="3" t="n">
        <v>5079.8592</v>
      </c>
      <c r="AA3052" s="3" t="n">
        <v>5013.311702</v>
      </c>
      <c r="AB3052" s="3" t="n">
        <v>5208.36855</v>
      </c>
      <c r="AC3052" s="3" t="n">
        <v>4775.959108</v>
      </c>
      <c r="AD3052" s="3" t="n">
        <v>5406.151836</v>
      </c>
      <c r="AE3052" s="3" t="n">
        <v>5853.550078</v>
      </c>
      <c r="AF3052" s="3" t="n">
        <v>6130.908061</v>
      </c>
      <c r="AG3052" s="3" t="n">
        <v>6446.965971</v>
      </c>
      <c r="AH3052" s="3" t="n">
        <v>6724.902228</v>
      </c>
      <c r="AI3052" s="3" t="n">
        <v>6972.572595</v>
      </c>
      <c r="AJ3052" s="3" t="n">
        <v>7217.672572</v>
      </c>
      <c r="AK3052" s="3" t="n">
        <v>7460.663201</v>
      </c>
      <c r="AL3052" s="3" t="n">
        <v>7697.280741</v>
      </c>
      <c r="AM3052" s="3" t="n"/>
      <c r="AN3052" s="3" t="n"/>
      <c r="AO3052" s="3" t="n"/>
      <c r="AP3052" s="3" t="n"/>
      <c r="AQ3052" s="3" t="n"/>
      <c r="AR3052" s="3" t="n"/>
      <c r="AS3052" s="3" t="n"/>
      <c r="AT3052" s="3" t="n"/>
      <c r="AU3052" s="3" t="n"/>
    </row>
    <row r="3053">
      <c r="A3053" s="3" t="n">
        <v>2025</v>
      </c>
      <c r="B3053" s="3" t="inlineStr">
        <is>
          <t>TUV</t>
        </is>
      </c>
      <c r="C3053" s="3" t="inlineStr">
        <is>
          <t>IMF.STA:ER</t>
        </is>
      </c>
      <c r="D3053" s="3" t="inlineStr">
        <is>
          <t>TUV.XDC_USD.PA_RT.A</t>
        </is>
      </c>
      <c r="E3053" s="3" t="inlineStr">
        <is>
          <t>Tuvalu</t>
        </is>
      </c>
      <c r="F3053" s="3" t="inlineStr">
        <is>
          <t>Domestic currency per US Dollar</t>
        </is>
      </c>
      <c r="G3053" s="3" t="n">
        <v>1.72482666666666</v>
      </c>
      <c r="H3053" s="3" t="n">
        <v>1.9334425</v>
      </c>
      <c r="I3053" s="3" t="n">
        <v>1.8405625</v>
      </c>
      <c r="J3053" s="3" t="n">
        <v>1.54191416666666</v>
      </c>
      <c r="K3053" s="3" t="n">
        <v>1.3597525</v>
      </c>
      <c r="L3053" s="3" t="n">
        <v>1.30947333333333</v>
      </c>
      <c r="M3053" s="3" t="n">
        <v>1.3279734405</v>
      </c>
      <c r="N3053" s="3" t="n">
        <v>1.1950725</v>
      </c>
      <c r="O3053" s="3" t="n">
        <v>1.19217833333333</v>
      </c>
      <c r="P3053" s="3" t="n">
        <v>1.28218881008451</v>
      </c>
      <c r="Q3053" s="3" t="n">
        <v>1.09015948638677</v>
      </c>
      <c r="R3053" s="3" t="n">
        <v>0.969463201496735</v>
      </c>
      <c r="S3053" s="3" t="n">
        <v>0.965801030658707</v>
      </c>
      <c r="T3053" s="3" t="n">
        <v>1.03584309652053</v>
      </c>
      <c r="U3053" s="3" t="n">
        <v>1.10936329281691</v>
      </c>
      <c r="V3053" s="3" t="n">
        <v>1.33109026245501</v>
      </c>
      <c r="W3053" s="3" t="n">
        <v>1.34521397601946</v>
      </c>
      <c r="X3053" s="3" t="n">
        <v>1.30475807671592</v>
      </c>
      <c r="Y3053" s="3" t="n">
        <v>1.3384121464645</v>
      </c>
      <c r="Z3053" s="3" t="n">
        <v>1.43850654421381</v>
      </c>
      <c r="AA3053" s="3" t="n">
        <v>1.45308511847016</v>
      </c>
      <c r="AB3053" s="3" t="n">
        <v>1.3312242595708</v>
      </c>
      <c r="AC3053" s="3" t="n">
        <v>1.44166445896521</v>
      </c>
      <c r="AD3053" s="3" t="n">
        <v>1.50519106560508</v>
      </c>
      <c r="AE3053" s="3" t="n">
        <v>1.51535803855596</v>
      </c>
      <c r="AF3053" s="3" t="n">
        <v>1.5519978866485</v>
      </c>
      <c r="AG3053" s="3" t="n"/>
      <c r="AH3053" s="3" t="n"/>
      <c r="AI3053" s="3" t="n"/>
      <c r="AJ3053" s="3" t="n"/>
      <c r="AK3053" s="3" t="n"/>
      <c r="AL3053" s="3" t="n"/>
      <c r="AM3053" s="3" t="n"/>
      <c r="AN3053" s="3" t="n"/>
      <c r="AO3053" s="3" t="n"/>
      <c r="AP3053" s="3" t="n"/>
      <c r="AQ3053" s="3" t="n"/>
      <c r="AR3053" s="3" t="n"/>
      <c r="AS3053" s="3" t="n"/>
      <c r="AT3053" s="3" t="n"/>
      <c r="AU3053" s="3" t="n"/>
    </row>
    <row r="3054">
      <c r="A3054" s="3" t="n">
        <v>2031</v>
      </c>
      <c r="B3054" s="3" t="inlineStr">
        <is>
          <t>TWN</t>
        </is>
      </c>
      <c r="C3054" s="3" t="inlineStr">
        <is>
          <t>IMF.RES:WEO</t>
        </is>
      </c>
      <c r="D3054" s="3" t="inlineStr">
        <is>
          <t>TWN.BCA.A</t>
        </is>
      </c>
      <c r="E3054" s="3" t="inlineStr">
        <is>
          <t>Taiwan Province of China</t>
        </is>
      </c>
      <c r="F3054" s="3" t="inlineStr">
        <is>
          <t>Current account balance (credit less debit), US dollar</t>
        </is>
      </c>
      <c r="G3054" s="3" t="n">
        <v>8.218999999999999</v>
      </c>
      <c r="H3054" s="3" t="n">
        <v>17.084</v>
      </c>
      <c r="I3054" s="3" t="n">
        <v>24.346</v>
      </c>
      <c r="J3054" s="3" t="n">
        <v>28.261</v>
      </c>
      <c r="K3054" s="3" t="n">
        <v>17.263</v>
      </c>
      <c r="L3054" s="3" t="n">
        <v>14.948</v>
      </c>
      <c r="M3054" s="3" t="n">
        <v>23.157</v>
      </c>
      <c r="N3054" s="3" t="n">
        <v>32.044</v>
      </c>
      <c r="O3054" s="3" t="n">
        <v>24.794</v>
      </c>
      <c r="P3054" s="3" t="n">
        <v>40.662</v>
      </c>
      <c r="Q3054" s="3" t="n">
        <v>36.726</v>
      </c>
      <c r="R3054" s="3" t="n">
        <v>37.914</v>
      </c>
      <c r="S3054" s="3" t="n">
        <v>42.925</v>
      </c>
      <c r="T3054" s="3" t="n">
        <v>49.937</v>
      </c>
      <c r="U3054" s="3" t="n">
        <v>60.607</v>
      </c>
      <c r="V3054" s="3" t="n">
        <v>72.76900000000001</v>
      </c>
      <c r="W3054" s="3" t="n">
        <v>71.259</v>
      </c>
      <c r="X3054" s="3" t="n">
        <v>83.07299999999999</v>
      </c>
      <c r="Y3054" s="3" t="n">
        <v>70.883</v>
      </c>
      <c r="Z3054" s="3" t="n">
        <v>65.70999999999999</v>
      </c>
      <c r="AA3054" s="3" t="n">
        <v>97.56</v>
      </c>
      <c r="AB3054" s="3" t="n">
        <v>116.881</v>
      </c>
      <c r="AC3054" s="3" t="n">
        <v>101.445</v>
      </c>
      <c r="AD3054" s="3" t="n">
        <v>105.81</v>
      </c>
      <c r="AE3054" s="3" t="n">
        <v>112.754</v>
      </c>
      <c r="AF3054" s="3" t="n">
        <v>160.544511</v>
      </c>
      <c r="AG3054" s="3" t="n">
        <v>176.99594</v>
      </c>
      <c r="AH3054" s="3" t="n">
        <v>186.211099</v>
      </c>
      <c r="AI3054" s="3" t="n">
        <v>187.307652</v>
      </c>
      <c r="AJ3054" s="3" t="n">
        <v>194.698124</v>
      </c>
      <c r="AK3054" s="3" t="n">
        <v>192.955937</v>
      </c>
      <c r="AL3054" s="3" t="n">
        <v>195.910661</v>
      </c>
      <c r="AM3054" s="3" t="n"/>
      <c r="AN3054" s="3" t="n"/>
      <c r="AO3054" s="3" t="n"/>
      <c r="AP3054" s="3" t="n"/>
      <c r="AQ3054" s="3" t="n"/>
      <c r="AR3054" s="3" t="n"/>
      <c r="AS3054" s="3" t="n"/>
      <c r="AT3054" s="3" t="n"/>
      <c r="AU3054" s="3" t="n"/>
    </row>
    <row r="3055">
      <c r="A3055" s="3" t="n">
        <v>2031</v>
      </c>
      <c r="B3055" s="3" t="inlineStr">
        <is>
          <t>TWN</t>
        </is>
      </c>
      <c r="C3055" s="3" t="inlineStr">
        <is>
          <t>IMF.RES:WEO</t>
        </is>
      </c>
      <c r="D3055" s="3" t="inlineStr">
        <is>
          <t>TWN.BCA_NGDPD.A</t>
        </is>
      </c>
      <c r="E3055" s="3" t="inlineStr">
        <is>
          <t>Taiwan Province of China</t>
        </is>
      </c>
      <c r="F3055" s="3" t="inlineStr">
        <is>
          <t>Current account balance (credit less debit), Percent of GDP</t>
        </is>
      </c>
      <c r="G3055" s="3" t="n">
        <v>2.485483</v>
      </c>
      <c r="H3055" s="3" t="n">
        <v>5.708452</v>
      </c>
      <c r="I3055" s="3" t="n">
        <v>7.918967</v>
      </c>
      <c r="J3055" s="3" t="n">
        <v>8.904429</v>
      </c>
      <c r="K3055" s="3" t="n">
        <v>4.976023</v>
      </c>
      <c r="L3055" s="3" t="n">
        <v>3.996155</v>
      </c>
      <c r="M3055" s="3" t="n">
        <v>5.992229</v>
      </c>
      <c r="N3055" s="3" t="n">
        <v>7.875015</v>
      </c>
      <c r="O3055" s="3" t="n">
        <v>5.961513</v>
      </c>
      <c r="P3055" s="3" t="n">
        <v>10.404034</v>
      </c>
      <c r="Q3055" s="3" t="n">
        <v>8.266391</v>
      </c>
      <c r="R3055" s="3" t="n">
        <v>7.833886</v>
      </c>
      <c r="S3055" s="3" t="n">
        <v>8.661052</v>
      </c>
      <c r="T3055" s="3" t="n">
        <v>9.735398</v>
      </c>
      <c r="U3055" s="3" t="n">
        <v>11.321469</v>
      </c>
      <c r="V3055" s="3" t="n">
        <v>13.614025</v>
      </c>
      <c r="W3055" s="3" t="n">
        <v>13.121252</v>
      </c>
      <c r="X3055" s="3" t="n">
        <v>14.040021</v>
      </c>
      <c r="Y3055" s="3" t="n">
        <v>11.607035</v>
      </c>
      <c r="Z3055" s="3" t="n">
        <v>10.710461</v>
      </c>
      <c r="AA3055" s="3" t="n">
        <v>14.413592</v>
      </c>
      <c r="AB3055" s="3" t="n">
        <v>15.043269</v>
      </c>
      <c r="AC3055" s="3" t="n">
        <v>13.249985</v>
      </c>
      <c r="AD3055" s="3" t="n">
        <v>13.970401</v>
      </c>
      <c r="AE3055" s="3" t="n">
        <v>14.067952</v>
      </c>
      <c r="AF3055" s="3" t="n">
        <v>17.449551</v>
      </c>
      <c r="AG3055" s="3" t="n">
        <v>18.121485</v>
      </c>
      <c r="AH3055" s="3" t="n">
        <v>17.957901</v>
      </c>
      <c r="AI3055" s="3" t="n">
        <v>17.118589</v>
      </c>
      <c r="AJ3055" s="3" t="n">
        <v>16.880014</v>
      </c>
      <c r="AK3055" s="3" t="n">
        <v>15.892684</v>
      </c>
      <c r="AL3055" s="3" t="n">
        <v>15.382656</v>
      </c>
      <c r="AM3055" s="3" t="n"/>
      <c r="AN3055" s="3" t="n"/>
      <c r="AO3055" s="3" t="n"/>
      <c r="AP3055" s="3" t="n"/>
      <c r="AQ3055" s="3" t="n"/>
      <c r="AR3055" s="3" t="n"/>
      <c r="AS3055" s="3" t="n"/>
      <c r="AT3055" s="3" t="n"/>
      <c r="AU3055" s="3" t="n"/>
    </row>
    <row r="3056">
      <c r="A3056" s="3" t="n">
        <v>2031</v>
      </c>
      <c r="B3056" s="3" t="inlineStr">
        <is>
          <t>TWN</t>
        </is>
      </c>
      <c r="C3056" s="3" t="inlineStr">
        <is>
          <t>IMF.RES:WEO</t>
        </is>
      </c>
      <c r="D3056" s="3" t="inlineStr">
        <is>
          <t>TWN.GGR_NGDP.A</t>
        </is>
      </c>
      <c r="E3056" s="3" t="inlineStr">
        <is>
          <t>Taiwan Province of China</t>
        </is>
      </c>
      <c r="F3056" s="3" t="inlineStr">
        <is>
          <t>Revenue, General government, Percent of GDP</t>
        </is>
      </c>
      <c r="G3056" s="3" t="n">
        <v>26.962766</v>
      </c>
      <c r="H3056" s="3" t="n">
        <v>18.744542</v>
      </c>
      <c r="I3056" s="3" t="n">
        <v>16.818114</v>
      </c>
      <c r="J3056" s="3" t="n">
        <v>17.840005</v>
      </c>
      <c r="K3056" s="3" t="n">
        <v>16.620901</v>
      </c>
      <c r="L3056" s="3" t="n">
        <v>18.427343</v>
      </c>
      <c r="M3056" s="3" t="n">
        <v>17.315591</v>
      </c>
      <c r="N3056" s="3" t="n">
        <v>16.79716</v>
      </c>
      <c r="O3056" s="3" t="n">
        <v>17.015612</v>
      </c>
      <c r="P3056" s="3" t="n">
        <v>16.360177</v>
      </c>
      <c r="Q3056" s="3" t="n">
        <v>15.046244</v>
      </c>
      <c r="R3056" s="3" t="n">
        <v>16.169826</v>
      </c>
      <c r="S3056" s="3" t="n">
        <v>15.814432</v>
      </c>
      <c r="T3056" s="3" t="n">
        <v>16.093748</v>
      </c>
      <c r="U3056" s="3" t="n">
        <v>15.431221</v>
      </c>
      <c r="V3056" s="3" t="n">
        <v>15.610173</v>
      </c>
      <c r="W3056" s="3" t="n">
        <v>15.328262</v>
      </c>
      <c r="X3056" s="3" t="n">
        <v>15.285753</v>
      </c>
      <c r="Y3056" s="3" t="n">
        <v>15.464739</v>
      </c>
      <c r="Z3056" s="3" t="n">
        <v>15.451881</v>
      </c>
      <c r="AA3056" s="3" t="n">
        <v>15.162652</v>
      </c>
      <c r="AB3056" s="3" t="n">
        <v>15.253191</v>
      </c>
      <c r="AC3056" s="3" t="n">
        <v>16.172835</v>
      </c>
      <c r="AD3056" s="3" t="n">
        <v>16.479107</v>
      </c>
      <c r="AE3056" s="3" t="n">
        <v>16.26039</v>
      </c>
      <c r="AF3056" s="3" t="n">
        <v>15.865635</v>
      </c>
      <c r="AG3056" s="3" t="n">
        <v>15.865635</v>
      </c>
      <c r="AH3056" s="3" t="n">
        <v>15.865635</v>
      </c>
      <c r="AI3056" s="3" t="n">
        <v>15.865635</v>
      </c>
      <c r="AJ3056" s="3" t="n">
        <v>15.865635</v>
      </c>
      <c r="AK3056" s="3" t="n">
        <v>15.865635</v>
      </c>
      <c r="AL3056" s="3" t="n">
        <v>15.865635</v>
      </c>
      <c r="AM3056" s="3" t="n"/>
      <c r="AN3056" s="3" t="n"/>
      <c r="AO3056" s="3" t="n"/>
      <c r="AP3056" s="3" t="n"/>
      <c r="AQ3056" s="3" t="n"/>
      <c r="AR3056" s="3" t="n"/>
      <c r="AS3056" s="3" t="n"/>
      <c r="AT3056" s="3" t="n"/>
      <c r="AU3056" s="3" t="n"/>
    </row>
    <row r="3057">
      <c r="A3057" s="3" t="n">
        <v>2031</v>
      </c>
      <c r="B3057" s="3" t="inlineStr">
        <is>
          <t>TWN</t>
        </is>
      </c>
      <c r="C3057" s="3" t="inlineStr">
        <is>
          <t>IMF.RES:WEO</t>
        </is>
      </c>
      <c r="D3057" s="3" t="inlineStr">
        <is>
          <t>TWN.GGX_NGDP.A</t>
        </is>
      </c>
      <c r="E3057" s="3" t="inlineStr">
        <is>
          <t>Taiwan Province of China</t>
        </is>
      </c>
      <c r="F3057" s="3" t="inlineStr">
        <is>
          <t>Expenditure, General government, Percent of GDP</t>
        </is>
      </c>
      <c r="G3057" s="3" t="n">
        <v>32.293101</v>
      </c>
      <c r="H3057" s="3" t="n">
        <v>24.332304</v>
      </c>
      <c r="I3057" s="3" t="n">
        <v>22.059815</v>
      </c>
      <c r="J3057" s="3" t="n">
        <v>22.173129</v>
      </c>
      <c r="K3057" s="3" t="n">
        <v>21.242988</v>
      </c>
      <c r="L3057" s="3" t="n">
        <v>20.924661</v>
      </c>
      <c r="M3057" s="3" t="n">
        <v>19.4944</v>
      </c>
      <c r="N3057" s="3" t="n">
        <v>19.019824</v>
      </c>
      <c r="O3057" s="3" t="n">
        <v>19.752237</v>
      </c>
      <c r="P3057" s="3" t="n">
        <v>22.556338</v>
      </c>
      <c r="Q3057" s="3" t="n">
        <v>20.138493</v>
      </c>
      <c r="R3057" s="3" t="n">
        <v>20.203648</v>
      </c>
      <c r="S3057" s="3" t="n">
        <v>20.128042</v>
      </c>
      <c r="T3057" s="3" t="n">
        <v>19.336133</v>
      </c>
      <c r="U3057" s="3" t="n">
        <v>18.156111</v>
      </c>
      <c r="V3057" s="3" t="n">
        <v>17.392547</v>
      </c>
      <c r="W3057" s="3" t="n">
        <v>17.520934</v>
      </c>
      <c r="X3057" s="3" t="n">
        <v>17.307586</v>
      </c>
      <c r="Y3057" s="3" t="n">
        <v>17.330668</v>
      </c>
      <c r="Z3057" s="3" t="n">
        <v>17.228249</v>
      </c>
      <c r="AA3057" s="3" t="n">
        <v>18.073579</v>
      </c>
      <c r="AB3057" s="3" t="n">
        <v>17.315833</v>
      </c>
      <c r="AC3057" s="3" t="n">
        <v>17.887703</v>
      </c>
      <c r="AD3057" s="3" t="n">
        <v>18.975696</v>
      </c>
      <c r="AE3057" s="3" t="n">
        <v>17.712817</v>
      </c>
      <c r="AF3057" s="3" t="n">
        <v>17.993126</v>
      </c>
      <c r="AG3057" s="3" t="n">
        <v>17.993126</v>
      </c>
      <c r="AH3057" s="3" t="n">
        <v>17.993126</v>
      </c>
      <c r="AI3057" s="3" t="n">
        <v>17.993126</v>
      </c>
      <c r="AJ3057" s="3" t="n">
        <v>17.993126</v>
      </c>
      <c r="AK3057" s="3" t="n">
        <v>17.993126</v>
      </c>
      <c r="AL3057" s="3" t="n">
        <v>17.993126</v>
      </c>
      <c r="AM3057" s="3" t="n"/>
      <c r="AN3057" s="3" t="n"/>
      <c r="AO3057" s="3" t="n"/>
      <c r="AP3057" s="3" t="n"/>
      <c r="AQ3057" s="3" t="n"/>
      <c r="AR3057" s="3" t="n"/>
      <c r="AS3057" s="3" t="n"/>
      <c r="AT3057" s="3" t="n"/>
      <c r="AU3057" s="3" t="n"/>
    </row>
    <row r="3058">
      <c r="A3058" s="3" t="n">
        <v>2027</v>
      </c>
      <c r="B3058" s="3" t="inlineStr">
        <is>
          <t>TWN</t>
        </is>
      </c>
      <c r="C3058" s="3" t="inlineStr">
        <is>
          <t>IMF.RES:WEO</t>
        </is>
      </c>
      <c r="D3058" s="3" t="inlineStr">
        <is>
          <t>TWN.LE.A</t>
        </is>
      </c>
      <c r="E3058" s="3" t="inlineStr">
        <is>
          <t>Taiwan Province of China</t>
        </is>
      </c>
      <c r="F3058" s="3" t="inlineStr">
        <is>
          <t>Employed persons, Persons for countries / Index for country groups</t>
        </is>
      </c>
      <c r="G3058" s="3" t="n">
        <v>9.491667</v>
      </c>
      <c r="H3058" s="3" t="n">
        <v>9.3825</v>
      </c>
      <c r="I3058" s="3" t="n">
        <v>9.454167</v>
      </c>
      <c r="J3058" s="3" t="n">
        <v>9.573083</v>
      </c>
      <c r="K3058" s="3" t="n">
        <v>9.786</v>
      </c>
      <c r="L3058" s="3" t="n">
        <v>9.94225</v>
      </c>
      <c r="M3058" s="3" t="n">
        <v>10.111083</v>
      </c>
      <c r="N3058" s="3" t="n">
        <v>10.293917</v>
      </c>
      <c r="O3058" s="3" t="n">
        <v>10.402917</v>
      </c>
      <c r="P3058" s="3" t="n">
        <v>10.2785</v>
      </c>
      <c r="Q3058" s="3" t="n">
        <v>10.493167</v>
      </c>
      <c r="R3058" s="3" t="n">
        <v>10.708833</v>
      </c>
      <c r="S3058" s="3" t="n">
        <v>10.859833</v>
      </c>
      <c r="T3058" s="3" t="n">
        <v>10.967167</v>
      </c>
      <c r="U3058" s="3" t="n">
        <v>11.078667</v>
      </c>
      <c r="V3058" s="3" t="n">
        <v>11.197583</v>
      </c>
      <c r="W3058" s="3" t="n">
        <v>11.267167</v>
      </c>
      <c r="X3058" s="3" t="n">
        <v>11.35175</v>
      </c>
      <c r="Y3058" s="3" t="n">
        <v>11.43425</v>
      </c>
      <c r="Z3058" s="3" t="n">
        <v>11.5005</v>
      </c>
      <c r="AA3058" s="3" t="n">
        <v>11.503667</v>
      </c>
      <c r="AB3058" s="3" t="n">
        <v>11.44725</v>
      </c>
      <c r="AC3058" s="3" t="n">
        <v>11.418083</v>
      </c>
      <c r="AD3058" s="3" t="n">
        <v>11.527417</v>
      </c>
      <c r="AE3058" s="3" t="n">
        <v>11.595167</v>
      </c>
      <c r="AF3058" s="3" t="n">
        <v>11.6255</v>
      </c>
      <c r="AG3058" s="3" t="n">
        <v>11.64366</v>
      </c>
      <c r="AH3058" s="3" t="n">
        <v>11.654085</v>
      </c>
      <c r="AI3058" s="3" t="n"/>
      <c r="AJ3058" s="3" t="n"/>
      <c r="AK3058" s="3" t="n"/>
      <c r="AL3058" s="3" t="n"/>
      <c r="AM3058" s="3" t="n"/>
      <c r="AN3058" s="3" t="n"/>
      <c r="AO3058" s="3" t="n"/>
      <c r="AP3058" s="3" t="n"/>
      <c r="AQ3058" s="3" t="n"/>
      <c r="AR3058" s="3" t="n"/>
      <c r="AS3058" s="3" t="n"/>
      <c r="AT3058" s="3" t="n"/>
      <c r="AU3058" s="3" t="n"/>
    </row>
    <row r="3059">
      <c r="A3059" s="3" t="n">
        <v>2031</v>
      </c>
      <c r="B3059" s="3" t="inlineStr">
        <is>
          <t>TWN</t>
        </is>
      </c>
      <c r="C3059" s="3" t="inlineStr">
        <is>
          <t>IMF.RES:WEO</t>
        </is>
      </c>
      <c r="D3059" s="3" t="inlineStr">
        <is>
          <t>TWN.LP.A</t>
        </is>
      </c>
      <c r="E3059" s="3" t="inlineStr">
        <is>
          <t>Taiwan Province of China</t>
        </is>
      </c>
      <c r="F3059" s="3" t="inlineStr">
        <is>
          <t>Population, Persons for countries / Index for country groups</t>
        </is>
      </c>
      <c r="G3059" s="3" t="n">
        <v>22.276672</v>
      </c>
      <c r="H3059" s="3" t="n">
        <v>22.405568</v>
      </c>
      <c r="I3059" s="3" t="n">
        <v>22.520776</v>
      </c>
      <c r="J3059" s="3" t="n">
        <v>22.60455</v>
      </c>
      <c r="K3059" s="3" t="n">
        <v>22.689122</v>
      </c>
      <c r="L3059" s="3" t="n">
        <v>22.770383</v>
      </c>
      <c r="M3059" s="3" t="n">
        <v>22.876527</v>
      </c>
      <c r="N3059" s="3" t="n">
        <v>22.95836</v>
      </c>
      <c r="O3059" s="3" t="n">
        <v>23.037031</v>
      </c>
      <c r="P3059" s="3" t="n">
        <v>23.119772</v>
      </c>
      <c r="Q3059" s="3" t="n">
        <v>23.162123</v>
      </c>
      <c r="R3059" s="3" t="n">
        <v>23.224912</v>
      </c>
      <c r="S3059" s="3" t="n">
        <v>23.315822</v>
      </c>
      <c r="T3059" s="3" t="n">
        <v>23.373517</v>
      </c>
      <c r="U3059" s="3" t="n">
        <v>23.433753</v>
      </c>
      <c r="V3059" s="3" t="n">
        <v>23.492074</v>
      </c>
      <c r="W3059" s="3" t="n">
        <v>23.539816</v>
      </c>
      <c r="X3059" s="3" t="n">
        <v>23.571227</v>
      </c>
      <c r="Y3059" s="3" t="n">
        <v>23.588932</v>
      </c>
      <c r="Z3059" s="3" t="n">
        <v>23.603121</v>
      </c>
      <c r="AA3059" s="3" t="n">
        <v>23.561236</v>
      </c>
      <c r="AB3059" s="3" t="n">
        <v>23.375314</v>
      </c>
      <c r="AC3059" s="3" t="n">
        <v>23.26464</v>
      </c>
      <c r="AD3059" s="3" t="n">
        <v>23.420442</v>
      </c>
      <c r="AE3059" s="3" t="n">
        <v>23.40022</v>
      </c>
      <c r="AF3059" s="3" t="n">
        <v>23.299132</v>
      </c>
      <c r="AG3059" s="3" t="n">
        <v>23.198481</v>
      </c>
      <c r="AH3059" s="3" t="n">
        <v>23.098264</v>
      </c>
      <c r="AI3059" s="3" t="n">
        <v>22.998481</v>
      </c>
      <c r="AJ3059" s="3" t="n">
        <v>22.899128</v>
      </c>
      <c r="AK3059" s="3" t="n">
        <v>22.800205</v>
      </c>
      <c r="AL3059" s="3" t="n">
        <v>22.701709</v>
      </c>
      <c r="AM3059" s="3" t="n"/>
      <c r="AN3059" s="3" t="n"/>
      <c r="AO3059" s="3" t="n"/>
      <c r="AP3059" s="3" t="n"/>
      <c r="AQ3059" s="3" t="n"/>
      <c r="AR3059" s="3" t="n"/>
      <c r="AS3059" s="3" t="n"/>
      <c r="AT3059" s="3" t="n"/>
      <c r="AU3059" s="3" t="n"/>
    </row>
    <row r="3060">
      <c r="A3060" s="3" t="n">
        <v>2031</v>
      </c>
      <c r="B3060" s="3" t="inlineStr">
        <is>
          <t>TWN</t>
        </is>
      </c>
      <c r="C3060" s="3" t="inlineStr">
        <is>
          <t>IMF.RES:WEO</t>
        </is>
      </c>
      <c r="D3060" s="3" t="inlineStr">
        <is>
          <t>TWN.NGDP.A</t>
        </is>
      </c>
      <c r="E3060" s="3" t="inlineStr">
        <is>
          <t>Taiwan Province of China</t>
        </is>
      </c>
      <c r="F3060" s="3" t="inlineStr">
        <is>
          <t>Gross domestic product (GDP), Current prices, Domestic currency</t>
        </is>
      </c>
      <c r="G3060" s="3" t="n">
        <v>10328.549</v>
      </c>
      <c r="H3060" s="3" t="n">
        <v>10119.429</v>
      </c>
      <c r="I3060" s="3" t="n">
        <v>10630.911</v>
      </c>
      <c r="J3060" s="3" t="n">
        <v>10924.029</v>
      </c>
      <c r="K3060" s="3" t="n">
        <v>11596.241</v>
      </c>
      <c r="L3060" s="3" t="n">
        <v>12036.675</v>
      </c>
      <c r="M3060" s="3" t="n">
        <v>12572.587</v>
      </c>
      <c r="N3060" s="3" t="n">
        <v>13363.917</v>
      </c>
      <c r="O3060" s="3" t="n">
        <v>13115.096</v>
      </c>
      <c r="P3060" s="3" t="n">
        <v>12919.445</v>
      </c>
      <c r="Q3060" s="3" t="n">
        <v>14060.345</v>
      </c>
      <c r="R3060" s="3" t="n">
        <v>14262.201</v>
      </c>
      <c r="S3060" s="3" t="n">
        <v>14677.765</v>
      </c>
      <c r="T3060" s="3" t="n">
        <v>15270.728</v>
      </c>
      <c r="U3060" s="3" t="n">
        <v>16258.047</v>
      </c>
      <c r="V3060" s="3" t="n">
        <v>17055.08</v>
      </c>
      <c r="W3060" s="3" t="n">
        <v>17555.268</v>
      </c>
      <c r="X3060" s="3" t="n">
        <v>18012.387</v>
      </c>
      <c r="Y3060" s="3" t="n">
        <v>18420.039</v>
      </c>
      <c r="Z3060" s="3" t="n">
        <v>18974.097</v>
      </c>
      <c r="AA3060" s="3" t="n">
        <v>20023.752</v>
      </c>
      <c r="AB3060" s="3" t="n">
        <v>21773.291</v>
      </c>
      <c r="AC3060" s="3" t="n">
        <v>22820.43</v>
      </c>
      <c r="AD3060" s="3" t="n">
        <v>23598.348</v>
      </c>
      <c r="AE3060" s="3" t="n">
        <v>25737.088</v>
      </c>
      <c r="AF3060" s="3" t="n">
        <v>28698.415</v>
      </c>
      <c r="AG3060" s="3" t="n">
        <v>30646.230367</v>
      </c>
      <c r="AH3060" s="3" t="n">
        <v>32052.87432</v>
      </c>
      <c r="AI3060" s="3" t="n">
        <v>33353.090132</v>
      </c>
      <c r="AJ3060" s="3" t="n">
        <v>34681.501511</v>
      </c>
      <c r="AK3060" s="3" t="n">
        <v>36076.654781</v>
      </c>
      <c r="AL3060" s="3" t="n">
        <v>37398.323527</v>
      </c>
      <c r="AM3060" s="3" t="n"/>
      <c r="AN3060" s="3" t="n"/>
      <c r="AO3060" s="3" t="n"/>
      <c r="AP3060" s="3" t="n"/>
      <c r="AQ3060" s="3" t="n"/>
      <c r="AR3060" s="3" t="n"/>
      <c r="AS3060" s="3" t="n"/>
      <c r="AT3060" s="3" t="n"/>
      <c r="AU3060" s="3" t="n"/>
    </row>
    <row r="3061">
      <c r="A3061" s="3" t="n">
        <v>2031</v>
      </c>
      <c r="B3061" s="3" t="inlineStr">
        <is>
          <t>TWN</t>
        </is>
      </c>
      <c r="C3061" s="3" t="inlineStr">
        <is>
          <t>IMF.RES:WEO</t>
        </is>
      </c>
      <c r="D3061" s="3" t="inlineStr">
        <is>
          <t>TWN.NGDP_D.A</t>
        </is>
      </c>
      <c r="E3061" s="3" t="inlineStr">
        <is>
          <t>Taiwan Province of China</t>
        </is>
      </c>
      <c r="F3061" s="3" t="inlineStr">
        <is>
          <t>Gross domestic product (GDP), Price deflator, Index</t>
        </is>
      </c>
      <c r="G3061" s="3" t="n">
        <v>102.440134</v>
      </c>
      <c r="H3061" s="3" t="n">
        <v>101.793047</v>
      </c>
      <c r="I3061" s="3" t="n">
        <v>101.378844</v>
      </c>
      <c r="J3061" s="3" t="n">
        <v>99.951589</v>
      </c>
      <c r="K3061" s="3" t="n">
        <v>99.20544</v>
      </c>
      <c r="L3061" s="3" t="n">
        <v>97.71322000000001</v>
      </c>
      <c r="M3061" s="3" t="n">
        <v>96.49552300000001</v>
      </c>
      <c r="N3061" s="3" t="n">
        <v>95.993407</v>
      </c>
      <c r="O3061" s="3" t="n">
        <v>93.459627</v>
      </c>
      <c r="P3061" s="3" t="n">
        <v>93.57536899999999</v>
      </c>
      <c r="Q3061" s="3" t="n">
        <v>92.37482300000001</v>
      </c>
      <c r="R3061" s="3" t="n">
        <v>90.38121599999999</v>
      </c>
      <c r="S3061" s="3" t="n">
        <v>90.99380600000001</v>
      </c>
      <c r="T3061" s="3" t="n">
        <v>92.376043</v>
      </c>
      <c r="U3061" s="3" t="n">
        <v>93.916864</v>
      </c>
      <c r="V3061" s="3" t="n">
        <v>97.098358</v>
      </c>
      <c r="W3061" s="3" t="n">
        <v>97.82805500000001</v>
      </c>
      <c r="X3061" s="3" t="n">
        <v>96.829764</v>
      </c>
      <c r="Y3061" s="3" t="n">
        <v>96.22537699999999</v>
      </c>
      <c r="Z3061" s="3" t="n">
        <v>96.181121</v>
      </c>
      <c r="AA3061" s="3" t="n">
        <v>98.145077</v>
      </c>
      <c r="AB3061" s="3" t="n">
        <v>100</v>
      </c>
      <c r="AC3061" s="3" t="n">
        <v>102.070197</v>
      </c>
      <c r="AD3061" s="3" t="n">
        <v>104.416748</v>
      </c>
      <c r="AE3061" s="3" t="n">
        <v>108.182089</v>
      </c>
      <c r="AF3061" s="3" t="n">
        <v>110.999111</v>
      </c>
      <c r="AG3061" s="3" t="n">
        <v>112.694312</v>
      </c>
      <c r="AH3061" s="3" t="n">
        <v>114.467876</v>
      </c>
      <c r="AI3061" s="3" t="n">
        <v>116.262836</v>
      </c>
      <c r="AJ3061" s="3" t="n">
        <v>118.094315</v>
      </c>
      <c r="AK3061" s="3" t="n">
        <v>119.94039</v>
      </c>
      <c r="AL3061" s="3" t="n">
        <v>121.747501</v>
      </c>
      <c r="AM3061" s="3" t="n"/>
      <c r="AN3061" s="3" t="n"/>
      <c r="AO3061" s="3" t="n"/>
      <c r="AP3061" s="3" t="n"/>
      <c r="AQ3061" s="3" t="n"/>
      <c r="AR3061" s="3" t="n"/>
      <c r="AS3061" s="3" t="n"/>
      <c r="AT3061" s="3" t="n"/>
      <c r="AU3061" s="3" t="n"/>
    </row>
    <row r="3062">
      <c r="A3062" s="3" t="n">
        <v>2031</v>
      </c>
      <c r="B3062" s="3" t="inlineStr">
        <is>
          <t>TWN</t>
        </is>
      </c>
      <c r="C3062" s="3" t="inlineStr">
        <is>
          <t>IMF.RES:WEO</t>
        </is>
      </c>
      <c r="D3062" s="3" t="inlineStr">
        <is>
          <t>TWN.NGDP_R.A</t>
        </is>
      </c>
      <c r="E3062" s="3" t="inlineStr">
        <is>
          <t>Taiwan Province of China</t>
        </is>
      </c>
      <c r="F3062" s="3" t="inlineStr">
        <is>
          <t>Gross domestic product (GDP), Constant prices, Domestic currency</t>
        </is>
      </c>
      <c r="G3062" s="3" t="n">
        <v>10082.522</v>
      </c>
      <c r="H3062" s="3" t="n">
        <v>9941.179</v>
      </c>
      <c r="I3062" s="3" t="n">
        <v>10486.321</v>
      </c>
      <c r="J3062" s="3" t="n">
        <v>10929.32</v>
      </c>
      <c r="K3062" s="3" t="n">
        <v>11689.118</v>
      </c>
      <c r="L3062" s="3" t="n">
        <v>12318.369</v>
      </c>
      <c r="M3062" s="3" t="n">
        <v>13029.192</v>
      </c>
      <c r="N3062" s="3" t="n">
        <v>13921.703</v>
      </c>
      <c r="O3062" s="3" t="n">
        <v>14032.9</v>
      </c>
      <c r="P3062" s="3" t="n">
        <v>13806.459</v>
      </c>
      <c r="Q3062" s="3" t="n">
        <v>15220.971</v>
      </c>
      <c r="R3062" s="3" t="n">
        <v>15780.05</v>
      </c>
      <c r="S3062" s="3" t="n">
        <v>16130.51</v>
      </c>
      <c r="T3062" s="3" t="n">
        <v>16531.048</v>
      </c>
      <c r="U3062" s="3" t="n">
        <v>17311.105</v>
      </c>
      <c r="V3062" s="3" t="n">
        <v>17564.746</v>
      </c>
      <c r="W3062" s="3" t="n">
        <v>17945.024</v>
      </c>
      <c r="X3062" s="3" t="n">
        <v>18602.118</v>
      </c>
      <c r="Y3062" s="3" t="n">
        <v>19142.6</v>
      </c>
      <c r="Z3062" s="3" t="n">
        <v>19727.465</v>
      </c>
      <c r="AA3062" s="3" t="n">
        <v>20402.197</v>
      </c>
      <c r="AB3062" s="3" t="n">
        <v>21773.291</v>
      </c>
      <c r="AC3062" s="3" t="n">
        <v>22357.584</v>
      </c>
      <c r="AD3062" s="3" t="n">
        <v>22600.156</v>
      </c>
      <c r="AE3062" s="3" t="n">
        <v>23790.526</v>
      </c>
      <c r="AF3062" s="3" t="n">
        <v>25854.635</v>
      </c>
      <c r="AG3062" s="3" t="n">
        <v>27194.123458</v>
      </c>
      <c r="AH3062" s="3" t="n">
        <v>28001.632886</v>
      </c>
      <c r="AI3062" s="3" t="n">
        <v>28687.662683</v>
      </c>
      <c r="AJ3062" s="3" t="n">
        <v>29367.629985</v>
      </c>
      <c r="AK3062" s="3" t="n">
        <v>30078.820628</v>
      </c>
      <c r="AL3062" s="3" t="n">
        <v>30717.939279</v>
      </c>
      <c r="AM3062" s="3" t="n"/>
      <c r="AN3062" s="3" t="n"/>
      <c r="AO3062" s="3" t="n"/>
      <c r="AP3062" s="3" t="n"/>
      <c r="AQ3062" s="3" t="n"/>
      <c r="AR3062" s="3" t="n"/>
      <c r="AS3062" s="3" t="n"/>
      <c r="AT3062" s="3" t="n"/>
      <c r="AU3062" s="3" t="n"/>
    </row>
    <row r="3063">
      <c r="A3063" s="3" t="n">
        <v>2031</v>
      </c>
      <c r="B3063" s="3" t="inlineStr">
        <is>
          <t>TWN</t>
        </is>
      </c>
      <c r="C3063" s="3" t="inlineStr">
        <is>
          <t>IMF.RES:WEO</t>
        </is>
      </c>
      <c r="D3063" s="3" t="inlineStr">
        <is>
          <t>TWN.NGDP_RPCH.A</t>
        </is>
      </c>
      <c r="E3063" s="3" t="inlineStr">
        <is>
          <t>Taiwan Province of China</t>
        </is>
      </c>
      <c r="F3063" s="3" t="inlineStr">
        <is>
          <t>Gross domestic product (GDP), Constant prices, Percent change</t>
        </is>
      </c>
      <c r="G3063" s="3" t="n">
        <v>6.314268</v>
      </c>
      <c r="H3063" s="3" t="n">
        <v>-1.401862</v>
      </c>
      <c r="I3063" s="3" t="n">
        <v>5.483676</v>
      </c>
      <c r="J3063" s="3" t="n">
        <v>4.224542</v>
      </c>
      <c r="K3063" s="3" t="n">
        <v>6.951924</v>
      </c>
      <c r="L3063" s="3" t="n">
        <v>5.383221</v>
      </c>
      <c r="M3063" s="3" t="n">
        <v>5.770431</v>
      </c>
      <c r="N3063" s="3" t="n">
        <v>6.850087</v>
      </c>
      <c r="O3063" s="3" t="n">
        <v>0.798731</v>
      </c>
      <c r="P3063" s="3" t="n">
        <v>-1.613644</v>
      </c>
      <c r="Q3063" s="3" t="n">
        <v>10.245292</v>
      </c>
      <c r="R3063" s="3" t="n">
        <v>3.673084</v>
      </c>
      <c r="S3063" s="3" t="n">
        <v>2.220906</v>
      </c>
      <c r="T3063" s="3" t="n">
        <v>2.483108</v>
      </c>
      <c r="U3063" s="3" t="n">
        <v>4.718739</v>
      </c>
      <c r="V3063" s="3" t="n">
        <v>1.465192</v>
      </c>
      <c r="W3063" s="3" t="n">
        <v>2.165007</v>
      </c>
      <c r="X3063" s="3" t="n">
        <v>3.661706</v>
      </c>
      <c r="Y3063" s="3" t="n">
        <v>2.905486</v>
      </c>
      <c r="Z3063" s="3" t="n">
        <v>3.055306</v>
      </c>
      <c r="AA3063" s="3" t="n">
        <v>3.420267</v>
      </c>
      <c r="AB3063" s="3" t="n">
        <v>6.720325</v>
      </c>
      <c r="AC3063" s="3" t="n">
        <v>2.683531</v>
      </c>
      <c r="AD3063" s="3" t="n">
        <v>1.084965</v>
      </c>
      <c r="AE3063" s="3" t="n">
        <v>5.267088</v>
      </c>
      <c r="AF3063" s="3" t="n">
        <v>8.676181</v>
      </c>
      <c r="AG3063" s="3" t="n">
        <v>5.180845</v>
      </c>
      <c r="AH3063" s="3" t="n">
        <v>2.969426</v>
      </c>
      <c r="AI3063" s="3" t="n">
        <v>2.449964</v>
      </c>
      <c r="AJ3063" s="3" t="n">
        <v>2.370243</v>
      </c>
      <c r="AK3063" s="3" t="n">
        <v>2.421682</v>
      </c>
      <c r="AL3063" s="3" t="n">
        <v>2.124813</v>
      </c>
      <c r="AM3063" s="3" t="n"/>
      <c r="AN3063" s="3" t="n"/>
      <c r="AO3063" s="3" t="n"/>
      <c r="AP3063" s="3" t="n"/>
      <c r="AQ3063" s="3" t="n"/>
      <c r="AR3063" s="3" t="n"/>
      <c r="AS3063" s="3" t="n"/>
      <c r="AT3063" s="3" t="n"/>
      <c r="AU3063" s="3" t="n"/>
    </row>
    <row r="3064">
      <c r="A3064" s="3" t="n">
        <v>2031</v>
      </c>
      <c r="B3064" s="3" t="inlineStr">
        <is>
          <t>TWN</t>
        </is>
      </c>
      <c r="C3064" s="3" t="inlineStr">
        <is>
          <t>IMF.RES:WEO</t>
        </is>
      </c>
      <c r="D3064" s="3" t="inlineStr">
        <is>
          <t>TWN.NGDPD.A</t>
        </is>
      </c>
      <c r="E3064" s="3" t="inlineStr">
        <is>
          <t>Taiwan Province of China</t>
        </is>
      </c>
      <c r="F3064" s="3" t="inlineStr">
        <is>
          <t>Gross domestic product (GDP), Current prices, US dollar</t>
        </is>
      </c>
      <c r="G3064" s="3" t="n">
        <v>330.680231</v>
      </c>
      <c r="H3064" s="3" t="n">
        <v>299.275547</v>
      </c>
      <c r="I3064" s="3" t="n">
        <v>307.439099</v>
      </c>
      <c r="J3064" s="3" t="n">
        <v>317.381378</v>
      </c>
      <c r="K3064" s="3" t="n">
        <v>346.92365</v>
      </c>
      <c r="L3064" s="3" t="n">
        <v>374.059543</v>
      </c>
      <c r="M3064" s="3" t="n">
        <v>386.450489</v>
      </c>
      <c r="N3064" s="3" t="n">
        <v>406.907184</v>
      </c>
      <c r="O3064" s="3" t="n">
        <v>415.901144</v>
      </c>
      <c r="P3064" s="3" t="n">
        <v>390.829186</v>
      </c>
      <c r="Q3064" s="3" t="n">
        <v>444.280971</v>
      </c>
      <c r="R3064" s="3" t="n">
        <v>483.974391</v>
      </c>
      <c r="S3064" s="3" t="n">
        <v>495.609519</v>
      </c>
      <c r="T3064" s="3" t="n">
        <v>512.942578</v>
      </c>
      <c r="U3064" s="3" t="n">
        <v>535.3280600000001</v>
      </c>
      <c r="V3064" s="3" t="n">
        <v>534.51494</v>
      </c>
      <c r="W3064" s="3" t="n">
        <v>543.0808029999999</v>
      </c>
      <c r="X3064" s="3" t="n">
        <v>591.687158</v>
      </c>
      <c r="Y3064" s="3" t="n">
        <v>610.690003</v>
      </c>
      <c r="Z3064" s="3" t="n">
        <v>613.512368</v>
      </c>
      <c r="AA3064" s="3" t="n">
        <v>676.861129</v>
      </c>
      <c r="AB3064" s="3" t="n">
        <v>776.9654399999999</v>
      </c>
      <c r="AC3064" s="3" t="n">
        <v>765.623525</v>
      </c>
      <c r="AD3064" s="3" t="n">
        <v>757.386982</v>
      </c>
      <c r="AE3064" s="3" t="n">
        <v>801.495464</v>
      </c>
      <c r="AF3064" s="3" t="n">
        <v>920.049532</v>
      </c>
      <c r="AG3064" s="3" t="n">
        <v>976.718739</v>
      </c>
      <c r="AH3064" s="3" t="n">
        <v>1036.931295</v>
      </c>
      <c r="AI3064" s="3" t="n">
        <v>1094.176932</v>
      </c>
      <c r="AJ3064" s="3" t="n">
        <v>1153.423962</v>
      </c>
      <c r="AK3064" s="3" t="n">
        <v>1214.117983</v>
      </c>
      <c r="AL3064" s="3" t="n">
        <v>1273.581512</v>
      </c>
      <c r="AM3064" s="3" t="n"/>
      <c r="AN3064" s="3" t="n"/>
      <c r="AO3064" s="3" t="n"/>
      <c r="AP3064" s="3" t="n"/>
      <c r="AQ3064" s="3" t="n"/>
      <c r="AR3064" s="3" t="n"/>
      <c r="AS3064" s="3" t="n"/>
      <c r="AT3064" s="3" t="n"/>
      <c r="AU3064" s="3" t="n"/>
    </row>
    <row r="3065">
      <c r="A3065" s="3" t="n">
        <v>2031</v>
      </c>
      <c r="B3065" s="3" t="inlineStr">
        <is>
          <t>TWN</t>
        </is>
      </c>
      <c r="C3065" s="3" t="inlineStr">
        <is>
          <t>IMF.RES:WEO</t>
        </is>
      </c>
      <c r="D3065" s="3" t="inlineStr">
        <is>
          <t>TWN.NGDPPC.A</t>
        </is>
      </c>
      <c r="E3065" s="3" t="inlineStr">
        <is>
          <t>Taiwan Province of China</t>
        </is>
      </c>
      <c r="F3065" s="3" t="inlineStr">
        <is>
          <t>Gross domestic product (GDP), Current prices, Per capita, Domestic currency</t>
        </is>
      </c>
      <c r="G3065" s="3" t="n">
        <v>463648.654521</v>
      </c>
      <c r="H3065" s="3" t="n">
        <v>451647.956437</v>
      </c>
      <c r="I3065" s="3" t="n">
        <v>472049.053727</v>
      </c>
      <c r="J3065" s="3" t="n">
        <v>483266.820176</v>
      </c>
      <c r="K3065" s="3" t="n">
        <v>511092.540293</v>
      </c>
      <c r="L3065" s="3" t="n">
        <v>528611.003161</v>
      </c>
      <c r="M3065" s="3" t="n">
        <v>549584.602593</v>
      </c>
      <c r="N3065" s="3" t="n">
        <v>582093.712269</v>
      </c>
      <c r="O3065" s="3" t="n">
        <v>569304.95948</v>
      </c>
      <c r="P3065" s="3" t="n">
        <v>558805.034929</v>
      </c>
      <c r="Q3065" s="3" t="n">
        <v>607040.425439</v>
      </c>
      <c r="R3065" s="3" t="n">
        <v>614090.636813</v>
      </c>
      <c r="S3065" s="3" t="n">
        <v>629519.516833</v>
      </c>
      <c r="T3065" s="3" t="n">
        <v>653334.626535</v>
      </c>
      <c r="U3065" s="3" t="n">
        <v>693787.589209</v>
      </c>
      <c r="V3065" s="3" t="n">
        <v>725992.945536</v>
      </c>
      <c r="W3065" s="3" t="n">
        <v>745769.125808</v>
      </c>
      <c r="X3065" s="3" t="n">
        <v>764168.407525</v>
      </c>
      <c r="Y3065" s="3" t="n">
        <v>780876.3448890001</v>
      </c>
      <c r="Z3065" s="3" t="n">
        <v>803880.851181</v>
      </c>
      <c r="AA3065" s="3" t="n">
        <v>849859.998856</v>
      </c>
      <c r="AB3065" s="3" t="n">
        <v>931465.177323</v>
      </c>
      <c r="AC3065" s="3" t="n">
        <v>980906.216473</v>
      </c>
      <c r="AD3065" s="3" t="n">
        <v>1007596.184564</v>
      </c>
      <c r="AE3065" s="3" t="n">
        <v>1099865.214942</v>
      </c>
      <c r="AF3065" s="3" t="n">
        <v>1231737.517089</v>
      </c>
      <c r="AG3065" s="3" t="n">
        <v>1321044.717051</v>
      </c>
      <c r="AH3065" s="3" t="n">
        <v>1387674.590606</v>
      </c>
      <c r="AI3065" s="3" t="n">
        <v>1450230.154603</v>
      </c>
      <c r="AJ3065" s="3" t="n">
        <v>1514533.710847</v>
      </c>
      <c r="AK3065" s="3" t="n">
        <v>1582295.205041</v>
      </c>
      <c r="AL3065" s="3" t="n">
        <v>1647379.22306</v>
      </c>
      <c r="AM3065" s="3" t="n"/>
      <c r="AN3065" s="3" t="n"/>
      <c r="AO3065" s="3" t="n"/>
      <c r="AP3065" s="3" t="n"/>
      <c r="AQ3065" s="3" t="n"/>
      <c r="AR3065" s="3" t="n"/>
      <c r="AS3065" s="3" t="n"/>
      <c r="AT3065" s="3" t="n"/>
      <c r="AU3065" s="3" t="n"/>
    </row>
    <row r="3066">
      <c r="A3066" s="3" t="n">
        <v>2031</v>
      </c>
      <c r="B3066" s="3" t="inlineStr">
        <is>
          <t>TWN</t>
        </is>
      </c>
      <c r="C3066" s="3" t="inlineStr">
        <is>
          <t>IMF.RES:WEO</t>
        </is>
      </c>
      <c r="D3066" s="3" t="inlineStr">
        <is>
          <t>TWN.NGDPRPC.A</t>
        </is>
      </c>
      <c r="E3066" s="3" t="inlineStr">
        <is>
          <t>Taiwan Province of China</t>
        </is>
      </c>
      <c r="F3066" s="3" t="inlineStr">
        <is>
          <t>Gross domestic product (GDP), Constant prices, Per capita, Domestic currency</t>
        </is>
      </c>
      <c r="G3066" s="3" t="n">
        <v>452604.500349</v>
      </c>
      <c r="H3066" s="3" t="n">
        <v>443692.344689</v>
      </c>
      <c r="I3066" s="3" t="n">
        <v>465628.759862</v>
      </c>
      <c r="J3066" s="3" t="n">
        <v>483500.888096</v>
      </c>
      <c r="K3066" s="3" t="n">
        <v>515185.999705</v>
      </c>
      <c r="L3066" s="3" t="n">
        <v>540982.0730729999</v>
      </c>
      <c r="M3066" s="3" t="n">
        <v>569544.144529</v>
      </c>
      <c r="N3066" s="3" t="n">
        <v>606389.262996</v>
      </c>
      <c r="O3066" s="3" t="n">
        <v>609145.3364800001</v>
      </c>
      <c r="P3066" s="3" t="n">
        <v>597171.0707179999</v>
      </c>
      <c r="Q3066" s="3" t="n">
        <v>657149.21728</v>
      </c>
      <c r="R3066" s="3" t="n">
        <v>679444.985626</v>
      </c>
      <c r="S3066" s="3" t="n">
        <v>691826.7775420001</v>
      </c>
      <c r="T3066" s="3" t="n">
        <v>707255.4806360001</v>
      </c>
      <c r="U3066" s="3" t="n">
        <v>738725.24815</v>
      </c>
      <c r="V3066" s="3" t="n">
        <v>747688.1777229999</v>
      </c>
      <c r="W3066" s="3" t="n">
        <v>762326.434497</v>
      </c>
      <c r="X3066" s="3" t="n">
        <v>789187.512385</v>
      </c>
      <c r="Y3066" s="3" t="n">
        <v>811507.7020019999</v>
      </c>
      <c r="Z3066" s="3" t="n">
        <v>835799.003022</v>
      </c>
      <c r="AA3066" s="3" t="n">
        <v>865922.186765</v>
      </c>
      <c r="AB3066" s="3" t="n">
        <v>931465.177323</v>
      </c>
      <c r="AC3066" s="3" t="n">
        <v>961011.388958</v>
      </c>
      <c r="AD3066" s="3" t="n">
        <v>964975.639657</v>
      </c>
      <c r="AE3066" s="3" t="n">
        <v>1016679.586773</v>
      </c>
      <c r="AF3066" s="3" t="n">
        <v>1109682.326363</v>
      </c>
      <c r="AG3066" s="3" t="n">
        <v>1172237.260445</v>
      </c>
      <c r="AH3066" s="3" t="n">
        <v>1212282.994155</v>
      </c>
      <c r="AI3066" s="3" t="n">
        <v>1247372.082252</v>
      </c>
      <c r="AJ3066" s="3" t="n">
        <v>1282478.084314</v>
      </c>
      <c r="AK3066" s="3" t="n">
        <v>1319234.66691</v>
      </c>
      <c r="AL3066" s="3" t="n">
        <v>1353111.32082</v>
      </c>
      <c r="AM3066" s="3" t="n"/>
      <c r="AN3066" s="3" t="n"/>
      <c r="AO3066" s="3" t="n"/>
      <c r="AP3066" s="3" t="n"/>
      <c r="AQ3066" s="3" t="n"/>
      <c r="AR3066" s="3" t="n"/>
      <c r="AS3066" s="3" t="n"/>
      <c r="AT3066" s="3" t="n"/>
      <c r="AU3066" s="3" t="n"/>
    </row>
    <row r="3067">
      <c r="A3067" s="3" t="n">
        <v>2031</v>
      </c>
      <c r="B3067" s="3" t="inlineStr">
        <is>
          <t>TWN</t>
        </is>
      </c>
      <c r="C3067" s="3" t="inlineStr">
        <is>
          <t>IMF.RES:WEO</t>
        </is>
      </c>
      <c r="D3067" s="3" t="inlineStr">
        <is>
          <t>TWN.PCPI.A</t>
        </is>
      </c>
      <c r="E3067" s="3" t="inlineStr">
        <is>
          <t>Taiwan Province of China</t>
        </is>
      </c>
      <c r="F3067" s="3" t="inlineStr">
        <is>
          <t>All Items, Consumer price index (CPI), Period average</t>
        </is>
      </c>
      <c r="G3067" s="3" t="n">
        <v>81.9225</v>
      </c>
      <c r="H3067" s="3" t="n">
        <v>81.92</v>
      </c>
      <c r="I3067" s="3" t="n">
        <v>81.75916700000001</v>
      </c>
      <c r="J3067" s="3" t="n">
        <v>81.529167</v>
      </c>
      <c r="K3067" s="3" t="n">
        <v>82.84</v>
      </c>
      <c r="L3067" s="3" t="n">
        <v>84.7525</v>
      </c>
      <c r="M3067" s="3" t="n">
        <v>85.26083300000001</v>
      </c>
      <c r="N3067" s="3" t="n">
        <v>86.7925</v>
      </c>
      <c r="O3067" s="3" t="n">
        <v>89.856667</v>
      </c>
      <c r="P3067" s="3" t="n">
        <v>89.07083299999999</v>
      </c>
      <c r="Q3067" s="3" t="n">
        <v>89.93083300000001</v>
      </c>
      <c r="R3067" s="3" t="n">
        <v>91.20916699999999</v>
      </c>
      <c r="S3067" s="3" t="n">
        <v>92.97416699999999</v>
      </c>
      <c r="T3067" s="3" t="n">
        <v>93.71083299999999</v>
      </c>
      <c r="U3067" s="3" t="n">
        <v>94.83</v>
      </c>
      <c r="V3067" s="3" t="n">
        <v>94.54000000000001</v>
      </c>
      <c r="W3067" s="3" t="n">
        <v>95.856667</v>
      </c>
      <c r="X3067" s="3" t="n">
        <v>96.4525</v>
      </c>
      <c r="Y3067" s="3" t="n">
        <v>97.755</v>
      </c>
      <c r="Z3067" s="3" t="n">
        <v>98.30166699999999</v>
      </c>
      <c r="AA3067" s="3" t="n">
        <v>98.0675</v>
      </c>
      <c r="AB3067" s="3" t="n">
        <v>100</v>
      </c>
      <c r="AC3067" s="3" t="n">
        <v>102.946667</v>
      </c>
      <c r="AD3067" s="3" t="n">
        <v>105.5125</v>
      </c>
      <c r="AE3067" s="3" t="n">
        <v>107.813333</v>
      </c>
      <c r="AF3067" s="3" t="n">
        <v>109.601667</v>
      </c>
      <c r="AG3067" s="3" t="n">
        <v>111.275526</v>
      </c>
      <c r="AH3067" s="3" t="n">
        <v>113.026761</v>
      </c>
      <c r="AI3067" s="3" t="n">
        <v>114.799123</v>
      </c>
      <c r="AJ3067" s="3" t="n">
        <v>116.607544</v>
      </c>
      <c r="AK3067" s="3" t="n">
        <v>118.430378</v>
      </c>
      <c r="AL3067" s="3" t="n">
        <v>120.214738</v>
      </c>
      <c r="AM3067" s="3" t="n"/>
      <c r="AN3067" s="3" t="n"/>
      <c r="AO3067" s="3" t="n"/>
      <c r="AP3067" s="3" t="n"/>
      <c r="AQ3067" s="3" t="n"/>
      <c r="AR3067" s="3" t="n"/>
      <c r="AS3067" s="3" t="n"/>
      <c r="AT3067" s="3" t="n"/>
      <c r="AU3067" s="3" t="n"/>
    </row>
    <row r="3068">
      <c r="A3068" s="3" t="n">
        <v>2031</v>
      </c>
      <c r="B3068" s="3" t="inlineStr">
        <is>
          <t>TWN</t>
        </is>
      </c>
      <c r="C3068" s="3" t="inlineStr">
        <is>
          <t>IMF.RES:WEO</t>
        </is>
      </c>
      <c r="D3068" s="3" t="inlineStr">
        <is>
          <t>TWN.PCPIPCH.A</t>
        </is>
      </c>
      <c r="E3068" s="3" t="inlineStr">
        <is>
          <t>Taiwan Province of China</t>
        </is>
      </c>
      <c r="F3068" s="3" t="inlineStr">
        <is>
          <t>All Items, Consumer price index (CPI), Period average, percent change</t>
        </is>
      </c>
      <c r="G3068" s="3" t="n">
        <v>1.248262</v>
      </c>
      <c r="H3068" s="3" t="n">
        <v>-0.003052</v>
      </c>
      <c r="I3068" s="3" t="n">
        <v>-0.19633</v>
      </c>
      <c r="J3068" s="3" t="n">
        <v>-0.281314</v>
      </c>
      <c r="K3068" s="3" t="n">
        <v>1.607809</v>
      </c>
      <c r="L3068" s="3" t="n">
        <v>2.308667</v>
      </c>
      <c r="M3068" s="3" t="n">
        <v>0.599786</v>
      </c>
      <c r="N3068" s="3" t="n">
        <v>1.796448</v>
      </c>
      <c r="O3068" s="3" t="n">
        <v>3.530451</v>
      </c>
      <c r="P3068" s="3" t="n">
        <v>-0.874541</v>
      </c>
      <c r="Q3068" s="3" t="n">
        <v>0.965524</v>
      </c>
      <c r="R3068" s="3" t="n">
        <v>1.421463</v>
      </c>
      <c r="S3068" s="3" t="n">
        <v>1.935113</v>
      </c>
      <c r="T3068" s="3" t="n">
        <v>0.792335</v>
      </c>
      <c r="U3068" s="3" t="n">
        <v>1.194277</v>
      </c>
      <c r="V3068" s="3" t="n">
        <v>-0.30581</v>
      </c>
      <c r="W3068" s="3" t="n">
        <v>1.392709</v>
      </c>
      <c r="X3068" s="3" t="n">
        <v>0.621588</v>
      </c>
      <c r="Y3068" s="3" t="n">
        <v>1.350406</v>
      </c>
      <c r="Z3068" s="3" t="n">
        <v>0.559221</v>
      </c>
      <c r="AA3068" s="3" t="n">
        <v>-0.238212</v>
      </c>
      <c r="AB3068" s="3" t="n">
        <v>1.970581</v>
      </c>
      <c r="AC3068" s="3" t="n">
        <v>2.946667</v>
      </c>
      <c r="AD3068" s="3" t="n">
        <v>2.492391</v>
      </c>
      <c r="AE3068" s="3" t="n">
        <v>2.180626</v>
      </c>
      <c r="AF3068" s="3" t="n">
        <v>1.658731</v>
      </c>
      <c r="AG3068" s="3" t="n">
        <v>1.52722</v>
      </c>
      <c r="AH3068" s="3" t="n">
        <v>1.573783</v>
      </c>
      <c r="AI3068" s="3" t="n">
        <v>1.568091</v>
      </c>
      <c r="AJ3068" s="3" t="n">
        <v>1.575292</v>
      </c>
      <c r="AK3068" s="3" t="n">
        <v>1.563221</v>
      </c>
      <c r="AL3068" s="3" t="n">
        <v>1.506674</v>
      </c>
      <c r="AM3068" s="3" t="n"/>
      <c r="AN3068" s="3" t="n"/>
      <c r="AO3068" s="3" t="n"/>
      <c r="AP3068" s="3" t="n"/>
      <c r="AQ3068" s="3" t="n"/>
      <c r="AR3068" s="3" t="n"/>
      <c r="AS3068" s="3" t="n"/>
      <c r="AT3068" s="3" t="n"/>
      <c r="AU3068" s="3" t="n"/>
    </row>
    <row r="3069">
      <c r="A3069" s="3" t="n">
        <v>2031</v>
      </c>
      <c r="B3069" s="3" t="inlineStr">
        <is>
          <t>TWN</t>
        </is>
      </c>
      <c r="C3069" s="3" t="inlineStr">
        <is>
          <t>IMF.RES:WEO</t>
        </is>
      </c>
      <c r="D3069" s="3" t="inlineStr">
        <is>
          <t>TWN.PPPPC.A</t>
        </is>
      </c>
      <c r="E3069" s="3" t="inlineStr">
        <is>
          <t>Taiwan Province of China</t>
        </is>
      </c>
      <c r="F3069" s="3" t="inlineStr">
        <is>
          <t>Gross domestic product (GDP), Per capita, purchasing power parity (PPP) international dollar, ICP benchmarks 2017-2021</t>
        </is>
      </c>
      <c r="G3069" s="3" t="n">
        <v>20463.053686</v>
      </c>
      <c r="H3069" s="3" t="n">
        <v>20511.797025</v>
      </c>
      <c r="I3069" s="3" t="n">
        <v>21860.432933</v>
      </c>
      <c r="J3069" s="3" t="n">
        <v>23147.63425</v>
      </c>
      <c r="K3069" s="3" t="n">
        <v>25327.76162</v>
      </c>
      <c r="L3069" s="3" t="n">
        <v>27429.959158</v>
      </c>
      <c r="M3069" s="3" t="n">
        <v>29768.739407</v>
      </c>
      <c r="N3069" s="3" t="n">
        <v>32553.238404</v>
      </c>
      <c r="O3069" s="3" t="n">
        <v>33331.154211</v>
      </c>
      <c r="P3069" s="3" t="n">
        <v>32877.473795</v>
      </c>
      <c r="Q3069" s="3" t="n">
        <v>36619.310376</v>
      </c>
      <c r="R3069" s="3" t="n">
        <v>38642.912426</v>
      </c>
      <c r="S3069" s="3" t="n">
        <v>40079.733963</v>
      </c>
      <c r="T3069" s="3" t="n">
        <v>41670.940134</v>
      </c>
      <c r="U3069" s="3" t="n">
        <v>44283.197616</v>
      </c>
      <c r="V3069" s="3" t="n">
        <v>45236.442172</v>
      </c>
      <c r="W3069" s="3" t="n">
        <v>46560.345202</v>
      </c>
      <c r="X3069" s="3" t="n">
        <v>49064.155313</v>
      </c>
      <c r="Y3069" s="3" t="n">
        <v>50151.527651</v>
      </c>
      <c r="Z3069" s="3" t="n">
        <v>52630.626545</v>
      </c>
      <c r="AA3069" s="3" t="n">
        <v>57995.998863</v>
      </c>
      <c r="AB3069" s="3" t="n">
        <v>64701.983682</v>
      </c>
      <c r="AC3069" s="3" t="n">
        <v>71502.185119</v>
      </c>
      <c r="AD3069" s="3" t="n">
        <v>74453.655532</v>
      </c>
      <c r="AE3069" s="3" t="n">
        <v>80390.30577399999</v>
      </c>
      <c r="AF3069" s="3" t="n">
        <v>90233.262227</v>
      </c>
      <c r="AG3069" s="3" t="n">
        <v>98050.65786000001</v>
      </c>
      <c r="AH3069" s="3" t="n">
        <v>103626.894764</v>
      </c>
      <c r="AI3069" s="3" t="n">
        <v>108376.491943</v>
      </c>
      <c r="AJ3069" s="3" t="n">
        <v>113407.923197</v>
      </c>
      <c r="AK3069" s="3" t="n">
        <v>118801.88841</v>
      </c>
      <c r="AL3069" s="3" t="n">
        <v>124052.411778</v>
      </c>
      <c r="AM3069" s="3" t="n"/>
      <c r="AN3069" s="3" t="n"/>
      <c r="AO3069" s="3" t="n"/>
      <c r="AP3069" s="3" t="n"/>
      <c r="AQ3069" s="3" t="n"/>
      <c r="AR3069" s="3" t="n"/>
      <c r="AS3069" s="3" t="n"/>
      <c r="AT3069" s="3" t="n"/>
      <c r="AU3069" s="3" t="n"/>
    </row>
    <row r="3070">
      <c r="A3070" s="3" t="n">
        <v>2025</v>
      </c>
      <c r="B3070" s="3" t="inlineStr">
        <is>
          <t>TWN</t>
        </is>
      </c>
      <c r="C3070" s="3" t="inlineStr">
        <is>
          <t>IMF.STA:ER</t>
        </is>
      </c>
      <c r="D3070" s="3" t="inlineStr">
        <is>
          <t>TWN.XDC_USD.PA_RT.A</t>
        </is>
      </c>
      <c r="E3070" s="3" t="inlineStr">
        <is>
          <t>Taiwan Province of China</t>
        </is>
      </c>
      <c r="F3070" s="3" t="inlineStr">
        <is>
          <t>Domestic currency per US Dollar</t>
        </is>
      </c>
      <c r="G3070" s="3" t="n">
        <v>31.23425</v>
      </c>
      <c r="H3070" s="3" t="n">
        <v>33.8130833333333</v>
      </c>
      <c r="I3070" s="3" t="n">
        <v>34.5789166666666</v>
      </c>
      <c r="J3070" s="3" t="n">
        <v>34.41925</v>
      </c>
      <c r="K3070" s="3" t="n">
        <v>33.4259166666666</v>
      </c>
      <c r="L3070" s="3" t="n">
        <v>32.1785</v>
      </c>
      <c r="M3070" s="3" t="n">
        <v>32.5335</v>
      </c>
      <c r="N3070" s="3" t="n">
        <v>32.8426666666666</v>
      </c>
      <c r="O3070" s="3" t="n">
        <v>31.5341666666666</v>
      </c>
      <c r="P3070" s="3" t="n">
        <v>33.0565</v>
      </c>
      <c r="Q3070" s="3" t="n">
        <v>31.6474166666666</v>
      </c>
      <c r="R3070" s="3" t="n">
        <v>29.4689166666666</v>
      </c>
      <c r="S3070" s="3" t="n">
        <v>29.6155833333333</v>
      </c>
      <c r="T3070" s="3" t="n">
        <v>29.7708333333333</v>
      </c>
      <c r="U3070" s="3" t="n">
        <v>30.37025</v>
      </c>
      <c r="V3070" s="3" t="n">
        <v>31.9075833333333</v>
      </c>
      <c r="W3070" s="3" t="n">
        <v>32.3253333333333</v>
      </c>
      <c r="X3070" s="3" t="n">
        <v>30.4424166666666</v>
      </c>
      <c r="Y3070" s="3" t="n">
        <v>30.1626666666666</v>
      </c>
      <c r="Z3070" s="3" t="n">
        <v>30.927</v>
      </c>
      <c r="AA3070" s="3" t="n">
        <v>29.58325</v>
      </c>
      <c r="AB3070" s="3" t="n">
        <v>28.0235</v>
      </c>
      <c r="AC3070" s="3" t="n">
        <v>29.8063333333333</v>
      </c>
      <c r="AD3070" s="3" t="n">
        <v>31.1575833333333</v>
      </c>
      <c r="AE3070" s="3" t="n">
        <v>32.1113333333333</v>
      </c>
      <c r="AF3070" s="3" t="n">
        <v>31.19225</v>
      </c>
      <c r="AG3070" s="3" t="n"/>
      <c r="AH3070" s="3" t="n"/>
      <c r="AI3070" s="3" t="n"/>
      <c r="AJ3070" s="3" t="n"/>
      <c r="AK3070" s="3" t="n"/>
      <c r="AL3070" s="3" t="n"/>
      <c r="AM3070" s="3" t="n"/>
      <c r="AN3070" s="3" t="n"/>
      <c r="AO3070" s="3" t="n"/>
      <c r="AP3070" s="3" t="n"/>
      <c r="AQ3070" s="3" t="n"/>
      <c r="AR3070" s="3" t="n"/>
      <c r="AS3070" s="3" t="n"/>
      <c r="AT3070" s="3" t="n"/>
      <c r="AU3070" s="3" t="n"/>
    </row>
    <row r="3071">
      <c r="A3071" s="3" t="n">
        <v>2031</v>
      </c>
      <c r="B3071" s="3" t="inlineStr">
        <is>
          <t>TZA</t>
        </is>
      </c>
      <c r="C3071" s="3" t="inlineStr">
        <is>
          <t>IMF.RES:WEO</t>
        </is>
      </c>
      <c r="D3071" s="3" t="inlineStr">
        <is>
          <t>TZA.BCA.A</t>
        </is>
      </c>
      <c r="E3071" s="3" t="inlineStr">
        <is>
          <t>Tanzania, United Republic of</t>
        </is>
      </c>
      <c r="F3071" s="3" t="inlineStr">
        <is>
          <t>Current account balance (credit less debit), US dollar</t>
        </is>
      </c>
      <c r="G3071" s="3" t="n">
        <v>-0.397453</v>
      </c>
      <c r="H3071" s="3" t="n">
        <v>-0.308948</v>
      </c>
      <c r="I3071" s="3" t="n">
        <v>-0.174178</v>
      </c>
      <c r="J3071" s="3" t="n">
        <v>-0.160105</v>
      </c>
      <c r="K3071" s="3" t="n">
        <v>-0.500076</v>
      </c>
      <c r="L3071" s="3" t="n">
        <v>-0.9071939999999999</v>
      </c>
      <c r="M3071" s="3" t="n">
        <v>-1.343033</v>
      </c>
      <c r="N3071" s="3" t="n">
        <v>-1.830547</v>
      </c>
      <c r="O3071" s="3" t="n">
        <v>-2.126337</v>
      </c>
      <c r="P3071" s="3" t="n">
        <v>-2.178564</v>
      </c>
      <c r="Q3071" s="3" t="n">
        <v>-2.351597</v>
      </c>
      <c r="R3071" s="3" t="n">
        <v>-3.570549</v>
      </c>
      <c r="S3071" s="3" t="n">
        <v>-4.585544</v>
      </c>
      <c r="T3071" s="3" t="n">
        <v>-4.891156</v>
      </c>
      <c r="U3071" s="3" t="n">
        <v>-4.897466</v>
      </c>
      <c r="V3071" s="3" t="n">
        <v>-3.66975</v>
      </c>
      <c r="W3071" s="3" t="n">
        <v>-2.100993</v>
      </c>
      <c r="X3071" s="3" t="n">
        <v>-1.485463</v>
      </c>
      <c r="Y3071" s="3" t="n">
        <v>-2.308744</v>
      </c>
      <c r="Z3071" s="3" t="n">
        <v>-1.340225</v>
      </c>
      <c r="AA3071" s="3" t="n">
        <v>-1.458539</v>
      </c>
      <c r="AB3071" s="3" t="n">
        <v>-2.388176</v>
      </c>
      <c r="AC3071" s="3" t="n">
        <v>-5.482216</v>
      </c>
      <c r="AD3071" s="3" t="n">
        <v>-2.96058</v>
      </c>
      <c r="AE3071" s="3" t="n">
        <v>-2.224263</v>
      </c>
      <c r="AF3071" s="3" t="n">
        <v>-2.133192</v>
      </c>
      <c r="AG3071" s="3" t="n">
        <v>-2.143088</v>
      </c>
      <c r="AH3071" s="3" t="n">
        <v>-2.198786</v>
      </c>
      <c r="AI3071" s="3" t="n">
        <v>-2.31416</v>
      </c>
      <c r="AJ3071" s="3" t="n">
        <v>-2.451384</v>
      </c>
      <c r="AK3071" s="3" t="n">
        <v>-2.685411</v>
      </c>
      <c r="AL3071" s="3" t="n">
        <v>-3.027626</v>
      </c>
      <c r="AM3071" s="3" t="n"/>
      <c r="AN3071" s="3" t="n"/>
      <c r="AO3071" s="3" t="n"/>
      <c r="AP3071" s="3" t="n"/>
      <c r="AQ3071" s="3" t="n"/>
      <c r="AR3071" s="3" t="n"/>
      <c r="AS3071" s="3" t="n"/>
      <c r="AT3071" s="3" t="n"/>
      <c r="AU3071" s="3" t="n"/>
    </row>
    <row r="3072">
      <c r="A3072" s="3" t="n">
        <v>2031</v>
      </c>
      <c r="B3072" s="3" t="inlineStr">
        <is>
          <t>TZA</t>
        </is>
      </c>
      <c r="C3072" s="3" t="inlineStr">
        <is>
          <t>IMF.RES:WEO</t>
        </is>
      </c>
      <c r="D3072" s="3" t="inlineStr">
        <is>
          <t>TZA.BCA_NGDPD.A</t>
        </is>
      </c>
      <c r="E3072" s="3" t="inlineStr">
        <is>
          <t>Tanzania, United Republic of</t>
        </is>
      </c>
      <c r="F3072" s="3" t="inlineStr">
        <is>
          <t>Current account balance (credit less debit), Percent of GDP</t>
        </is>
      </c>
      <c r="G3072" s="3" t="n">
        <v>-3.21318</v>
      </c>
      <c r="H3072" s="3" t="n">
        <v>-2.450094</v>
      </c>
      <c r="I3072" s="3" t="n">
        <v>-1.327273</v>
      </c>
      <c r="J3072" s="3" t="n">
        <v>-1.130803</v>
      </c>
      <c r="K3072" s="3" t="n">
        <v>-3.21064</v>
      </c>
      <c r="L3072" s="3" t="n">
        <v>-5.282407</v>
      </c>
      <c r="M3072" s="3" t="n">
        <v>-7.114125</v>
      </c>
      <c r="N3072" s="3" t="n">
        <v>-8.393140000000001</v>
      </c>
      <c r="O3072" s="3" t="n">
        <v>-7.654459</v>
      </c>
      <c r="P3072" s="3" t="n">
        <v>-7.435226</v>
      </c>
      <c r="Q3072" s="3" t="n">
        <v>-7.381002</v>
      </c>
      <c r="R3072" s="3" t="n">
        <v>-10.388849</v>
      </c>
      <c r="S3072" s="3" t="n">
        <v>-11.564978</v>
      </c>
      <c r="T3072" s="3" t="n">
        <v>-10.708166</v>
      </c>
      <c r="U3072" s="3" t="n">
        <v>-9.798526000000001</v>
      </c>
      <c r="V3072" s="3" t="n">
        <v>-7.738194</v>
      </c>
      <c r="W3072" s="3" t="n">
        <v>-4.221087</v>
      </c>
      <c r="X3072" s="3" t="n">
        <v>-2.750863</v>
      </c>
      <c r="Y3072" s="3" t="n">
        <v>-4.214966</v>
      </c>
      <c r="Z3072" s="3" t="n">
        <v>-2.2794</v>
      </c>
      <c r="AA3072" s="3" t="n">
        <v>-2.301526</v>
      </c>
      <c r="AB3072" s="3" t="n">
        <v>-3.513866</v>
      </c>
      <c r="AC3072" s="3" t="n">
        <v>-7.391154</v>
      </c>
      <c r="AD3072" s="3" t="n">
        <v>-3.777804</v>
      </c>
      <c r="AE3072" s="3" t="n">
        <v>-2.807147</v>
      </c>
      <c r="AF3072" s="3" t="n">
        <v>-2.44229</v>
      </c>
      <c r="AG3072" s="3" t="n">
        <v>-2.258529</v>
      </c>
      <c r="AH3072" s="3" t="n">
        <v>-2.118961</v>
      </c>
      <c r="AI3072" s="3" t="n">
        <v>-2.031206</v>
      </c>
      <c r="AJ3072" s="3" t="n">
        <v>-1.960404</v>
      </c>
      <c r="AK3072" s="3" t="n">
        <v>-1.957504</v>
      </c>
      <c r="AL3072" s="3" t="n">
        <v>-1.992369</v>
      </c>
      <c r="AM3072" s="3" t="n"/>
      <c r="AN3072" s="3" t="n"/>
      <c r="AO3072" s="3" t="n"/>
      <c r="AP3072" s="3" t="n"/>
      <c r="AQ3072" s="3" t="n"/>
      <c r="AR3072" s="3" t="n"/>
      <c r="AS3072" s="3" t="n"/>
      <c r="AT3072" s="3" t="n"/>
      <c r="AU3072" s="3" t="n"/>
    </row>
    <row r="3073">
      <c r="A3073" s="3" t="n">
        <v>2031</v>
      </c>
      <c r="B3073" s="3" t="inlineStr">
        <is>
          <t>TZA</t>
        </is>
      </c>
      <c r="C3073" s="3" t="inlineStr">
        <is>
          <t>IMF.RES:WEO</t>
        </is>
      </c>
      <c r="D3073" s="3" t="inlineStr">
        <is>
          <t>TZA.GGR_NGDP.A</t>
        </is>
      </c>
      <c r="E3073" s="3" t="inlineStr">
        <is>
          <t>Tanzania, United Republic of</t>
        </is>
      </c>
      <c r="F3073" s="3" t="inlineStr">
        <is>
          <t>Revenue, General government, Percent of GDP</t>
        </is>
      </c>
      <c r="G3073" s="3" t="n">
        <v>11.593771</v>
      </c>
      <c r="H3073" s="3" t="n">
        <v>11.96282</v>
      </c>
      <c r="I3073" s="3" t="n">
        <v>12.882599</v>
      </c>
      <c r="J3073" s="3" t="n">
        <v>13.588723</v>
      </c>
      <c r="K3073" s="3" t="n">
        <v>14.589175</v>
      </c>
      <c r="L3073" s="3" t="n">
        <v>15.037581</v>
      </c>
      <c r="M3073" s="3" t="n">
        <v>14.234273</v>
      </c>
      <c r="N3073" s="3" t="n">
        <v>16.386346</v>
      </c>
      <c r="O3073" s="3" t="n">
        <v>16.166496</v>
      </c>
      <c r="P3073" s="3" t="n">
        <v>15.115243</v>
      </c>
      <c r="Q3073" s="3" t="n">
        <v>15.060864</v>
      </c>
      <c r="R3073" s="3" t="n">
        <v>15.518412</v>
      </c>
      <c r="S3073" s="3" t="n">
        <v>15.579969</v>
      </c>
      <c r="T3073" s="3" t="n">
        <v>15.032547</v>
      </c>
      <c r="U3073" s="3" t="n">
        <v>14.377135</v>
      </c>
      <c r="V3073" s="3" t="n">
        <v>13.982215</v>
      </c>
      <c r="W3073" s="3" t="n">
        <v>14.827421</v>
      </c>
      <c r="X3073" s="3" t="n">
        <v>15.207884</v>
      </c>
      <c r="Y3073" s="3" t="n">
        <v>15.268028</v>
      </c>
      <c r="Z3073" s="3" t="n">
        <v>15.225226</v>
      </c>
      <c r="AA3073" s="3" t="n">
        <v>14.883717</v>
      </c>
      <c r="AB3073" s="3" t="n">
        <v>14.856405</v>
      </c>
      <c r="AC3073" s="3" t="n">
        <v>15.203778</v>
      </c>
      <c r="AD3073" s="3" t="n">
        <v>15.341792</v>
      </c>
      <c r="AE3073" s="3" t="n">
        <v>16.077636</v>
      </c>
      <c r="AF3073" s="3" t="n">
        <v>16.893511</v>
      </c>
      <c r="AG3073" s="3" t="n">
        <v>17.352385</v>
      </c>
      <c r="AH3073" s="3" t="n">
        <v>17.560381</v>
      </c>
      <c r="AI3073" s="3" t="n">
        <v>17.736204</v>
      </c>
      <c r="AJ3073" s="3" t="n">
        <v>17.792735</v>
      </c>
      <c r="AK3073" s="3" t="n">
        <v>17.842302</v>
      </c>
      <c r="AL3073" s="3" t="n">
        <v>17.744327</v>
      </c>
      <c r="AM3073" s="3" t="n"/>
      <c r="AN3073" s="3" t="n"/>
      <c r="AO3073" s="3" t="n"/>
      <c r="AP3073" s="3" t="n"/>
      <c r="AQ3073" s="3" t="n"/>
      <c r="AR3073" s="3" t="n"/>
      <c r="AS3073" s="3" t="n"/>
      <c r="AT3073" s="3" t="n"/>
      <c r="AU3073" s="3" t="n"/>
    </row>
    <row r="3074">
      <c r="A3074" s="3" t="n">
        <v>2031</v>
      </c>
      <c r="B3074" s="3" t="inlineStr">
        <is>
          <t>TZA</t>
        </is>
      </c>
      <c r="C3074" s="3" t="inlineStr">
        <is>
          <t>IMF.RES:WEO</t>
        </is>
      </c>
      <c r="D3074" s="3" t="inlineStr">
        <is>
          <t>TZA.GGX_NGDP.A</t>
        </is>
      </c>
      <c r="E3074" s="3" t="inlineStr">
        <is>
          <t>Tanzania, United Republic of</t>
        </is>
      </c>
      <c r="F3074" s="3" t="inlineStr">
        <is>
          <t>Expenditure, General government, Percent of GDP</t>
        </is>
      </c>
      <c r="G3074" s="3" t="n">
        <v>12.32426</v>
      </c>
      <c r="H3074" s="3" t="n">
        <v>12.376909</v>
      </c>
      <c r="I3074" s="3" t="n">
        <v>13.609286</v>
      </c>
      <c r="J3074" s="3" t="n">
        <v>15.363676</v>
      </c>
      <c r="K3074" s="3" t="n">
        <v>17.022992</v>
      </c>
      <c r="L3074" s="3" t="n">
        <v>18.313674</v>
      </c>
      <c r="M3074" s="3" t="n">
        <v>17.618024</v>
      </c>
      <c r="N3074" s="3" t="n">
        <v>17.829827</v>
      </c>
      <c r="O3074" s="3" t="n">
        <v>18.08369</v>
      </c>
      <c r="P3074" s="3" t="n">
        <v>19.578771</v>
      </c>
      <c r="Q3074" s="3" t="n">
        <v>19.804702</v>
      </c>
      <c r="R3074" s="3" t="n">
        <v>19.029777</v>
      </c>
      <c r="S3074" s="3" t="n">
        <v>19.576912</v>
      </c>
      <c r="T3074" s="3" t="n">
        <v>18.791762</v>
      </c>
      <c r="U3074" s="3" t="n">
        <v>17.288562</v>
      </c>
      <c r="V3074" s="3" t="n">
        <v>17.150793</v>
      </c>
      <c r="W3074" s="3" t="n">
        <v>16.910659</v>
      </c>
      <c r="X3074" s="3" t="n">
        <v>16.350382</v>
      </c>
      <c r="Y3074" s="3" t="n">
        <v>17.277817</v>
      </c>
      <c r="Z3074" s="3" t="n">
        <v>17.28416</v>
      </c>
      <c r="AA3074" s="3" t="n">
        <v>17.441164</v>
      </c>
      <c r="AB3074" s="3" t="n">
        <v>18.402086</v>
      </c>
      <c r="AC3074" s="3" t="n">
        <v>19.120259</v>
      </c>
      <c r="AD3074" s="3" t="n">
        <v>19.008829</v>
      </c>
      <c r="AE3074" s="3" t="n">
        <v>19.102766</v>
      </c>
      <c r="AF3074" s="3" t="n">
        <v>19.933101</v>
      </c>
      <c r="AG3074" s="3" t="n">
        <v>20.562347</v>
      </c>
      <c r="AH3074" s="3" t="n">
        <v>20.773671</v>
      </c>
      <c r="AI3074" s="3" t="n">
        <v>20.927401</v>
      </c>
      <c r="AJ3074" s="3" t="n">
        <v>21.006962</v>
      </c>
      <c r="AK3074" s="3" t="n">
        <v>21.044333</v>
      </c>
      <c r="AL3074" s="3" t="n">
        <v>20.900486</v>
      </c>
      <c r="AM3074" s="3" t="n"/>
      <c r="AN3074" s="3" t="n"/>
      <c r="AO3074" s="3" t="n"/>
      <c r="AP3074" s="3" t="n"/>
      <c r="AQ3074" s="3" t="n"/>
      <c r="AR3074" s="3" t="n"/>
      <c r="AS3074" s="3" t="n"/>
      <c r="AT3074" s="3" t="n"/>
      <c r="AU3074" s="3" t="n"/>
    </row>
    <row r="3075">
      <c r="A3075" s="3" t="n">
        <v>2031</v>
      </c>
      <c r="B3075" s="3" t="inlineStr">
        <is>
          <t>TZA</t>
        </is>
      </c>
      <c r="C3075" s="3" t="inlineStr">
        <is>
          <t>IMF.RES:WEO</t>
        </is>
      </c>
      <c r="D3075" s="3" t="inlineStr">
        <is>
          <t>TZA.LP.A</t>
        </is>
      </c>
      <c r="E3075" s="3" t="inlineStr">
        <is>
          <t>Tanzania, United Republic of</t>
        </is>
      </c>
      <c r="F3075" s="3" t="inlineStr">
        <is>
          <t>Population, Persons for countries / Index for country groups</t>
        </is>
      </c>
      <c r="G3075" s="3" t="n">
        <v>32.809777</v>
      </c>
      <c r="H3075" s="3" t="n">
        <v>33.75745</v>
      </c>
      <c r="I3075" s="3" t="n">
        <v>34.632617</v>
      </c>
      <c r="J3075" s="3" t="n">
        <v>35.550842</v>
      </c>
      <c r="K3075" s="3" t="n">
        <v>36.513924</v>
      </c>
      <c r="L3075" s="3" t="n">
        <v>37.532916</v>
      </c>
      <c r="M3075" s="3" t="n">
        <v>38.597604</v>
      </c>
      <c r="N3075" s="3" t="n">
        <v>39.695131</v>
      </c>
      <c r="O3075" s="3" t="n">
        <v>40.792343</v>
      </c>
      <c r="P3075" s="3" t="n">
        <v>41.878816</v>
      </c>
      <c r="Q3075" s="3" t="n">
        <v>42.857152</v>
      </c>
      <c r="R3075" s="3" t="n">
        <v>44.062575</v>
      </c>
      <c r="S3075" s="3" t="n">
        <v>45.325164</v>
      </c>
      <c r="T3075" s="3" t="n">
        <v>46.674321</v>
      </c>
      <c r="U3075" s="3" t="n">
        <v>48.140767</v>
      </c>
      <c r="V3075" s="3" t="n">
        <v>49.640456</v>
      </c>
      <c r="W3075" s="3" t="n">
        <v>51.382793</v>
      </c>
      <c r="X3075" s="3" t="n">
        <v>53.14193</v>
      </c>
      <c r="Y3075" s="3" t="n">
        <v>54.934421</v>
      </c>
      <c r="Z3075" s="3" t="n">
        <v>56.606902</v>
      </c>
      <c r="AA3075" s="3" t="n">
        <v>58.309076</v>
      </c>
      <c r="AB3075" s="3" t="n">
        <v>60.062434</v>
      </c>
      <c r="AC3075" s="3" t="n">
        <v>61.868515</v>
      </c>
      <c r="AD3075" s="3" t="n">
        <v>63.728905</v>
      </c>
      <c r="AE3075" s="3" t="n">
        <v>65.64523800000001</v>
      </c>
      <c r="AF3075" s="3" t="n">
        <v>67.619195</v>
      </c>
      <c r="AG3075" s="3" t="n">
        <v>69.652508</v>
      </c>
      <c r="AH3075" s="3" t="n">
        <v>71.74696400000001</v>
      </c>
      <c r="AI3075" s="3" t="n">
        <v>73.9044</v>
      </c>
      <c r="AJ3075" s="3" t="n">
        <v>76.12671</v>
      </c>
      <c r="AK3075" s="3" t="n">
        <v>78.415846</v>
      </c>
      <c r="AL3075" s="3" t="n">
        <v>80.773815</v>
      </c>
      <c r="AM3075" s="3" t="n"/>
      <c r="AN3075" s="3" t="n"/>
      <c r="AO3075" s="3" t="n"/>
      <c r="AP3075" s="3" t="n"/>
      <c r="AQ3075" s="3" t="n"/>
      <c r="AR3075" s="3" t="n"/>
      <c r="AS3075" s="3" t="n"/>
      <c r="AT3075" s="3" t="n"/>
      <c r="AU3075" s="3" t="n"/>
    </row>
    <row r="3076">
      <c r="A3076" s="3" t="n">
        <v>2031</v>
      </c>
      <c r="B3076" s="3" t="inlineStr">
        <is>
          <t>TZA</t>
        </is>
      </c>
      <c r="C3076" s="3" t="inlineStr">
        <is>
          <t>IMF.RES:WEO</t>
        </is>
      </c>
      <c r="D3076" s="3" t="inlineStr">
        <is>
          <t>TZA.NGDP.A</t>
        </is>
      </c>
      <c r="E3076" s="3" t="inlineStr">
        <is>
          <t>Tanzania, United Republic of</t>
        </is>
      </c>
      <c r="F3076" s="3" t="inlineStr">
        <is>
          <t>Gross domestic product (GDP), Current prices, Domestic currency</t>
        </is>
      </c>
      <c r="G3076" s="3" t="n">
        <v>9900.611212</v>
      </c>
      <c r="H3076" s="3" t="n">
        <v>11051.22122</v>
      </c>
      <c r="I3076" s="3" t="n">
        <v>12683.636607</v>
      </c>
      <c r="J3076" s="3" t="n">
        <v>14702.613288</v>
      </c>
      <c r="K3076" s="3" t="n">
        <v>16966.869903</v>
      </c>
      <c r="L3076" s="3" t="n">
        <v>19387.98963</v>
      </c>
      <c r="M3076" s="3" t="n">
        <v>23633.853876</v>
      </c>
      <c r="N3076" s="3" t="n">
        <v>27155.835388</v>
      </c>
      <c r="O3076" s="3" t="n">
        <v>33236.643722</v>
      </c>
      <c r="P3076" s="3" t="n">
        <v>38269.962166</v>
      </c>
      <c r="Q3076" s="3" t="n">
        <v>44467.108306</v>
      </c>
      <c r="R3076" s="3" t="n">
        <v>53522.183472</v>
      </c>
      <c r="S3076" s="3" t="n">
        <v>62318.658608</v>
      </c>
      <c r="T3076" s="3" t="n">
        <v>72977.199824</v>
      </c>
      <c r="U3076" s="3" t="n">
        <v>82603.38727599999</v>
      </c>
      <c r="V3076" s="3" t="n">
        <v>94349.315564</v>
      </c>
      <c r="W3076" s="3" t="n">
        <v>108362.32429</v>
      </c>
      <c r="X3076" s="3" t="n">
        <v>120358.17386</v>
      </c>
      <c r="Y3076" s="3" t="n">
        <v>123997.773</v>
      </c>
      <c r="Z3076" s="3" t="n">
        <v>134540.193</v>
      </c>
      <c r="AA3076" s="3" t="n">
        <v>145384.353</v>
      </c>
      <c r="AB3076" s="3" t="n">
        <v>156167.138</v>
      </c>
      <c r="AC3076" s="3" t="n">
        <v>170820.034109</v>
      </c>
      <c r="AD3076" s="3" t="n">
        <v>186753.684781</v>
      </c>
      <c r="AE3076" s="3" t="n">
        <v>205846.493134</v>
      </c>
      <c r="AF3076" s="3" t="n">
        <v>227892.554119</v>
      </c>
      <c r="AG3076" s="3" t="n">
        <v>252001.863357</v>
      </c>
      <c r="AH3076" s="3" t="n">
        <v>280359.374061</v>
      </c>
      <c r="AI3076" s="3" t="n">
        <v>313041.052466</v>
      </c>
      <c r="AJ3076" s="3" t="n">
        <v>349409.371579</v>
      </c>
      <c r="AK3076" s="3" t="n">
        <v>389837.617926</v>
      </c>
      <c r="AL3076" s="3" t="n">
        <v>439152.181245</v>
      </c>
      <c r="AM3076" s="3" t="n"/>
      <c r="AN3076" s="3" t="n"/>
      <c r="AO3076" s="3" t="n"/>
      <c r="AP3076" s="3" t="n"/>
      <c r="AQ3076" s="3" t="n"/>
      <c r="AR3076" s="3" t="n"/>
      <c r="AS3076" s="3" t="n"/>
      <c r="AT3076" s="3" t="n"/>
      <c r="AU3076" s="3" t="n"/>
    </row>
    <row r="3077">
      <c r="A3077" s="3" t="n">
        <v>2031</v>
      </c>
      <c r="B3077" s="3" t="inlineStr">
        <is>
          <t>TZA</t>
        </is>
      </c>
      <c r="C3077" s="3" t="inlineStr">
        <is>
          <t>IMF.RES:WEO</t>
        </is>
      </c>
      <c r="D3077" s="3" t="inlineStr">
        <is>
          <t>TZA.NGDP_D.A</t>
        </is>
      </c>
      <c r="E3077" s="3" t="inlineStr">
        <is>
          <t>Tanzania, United Republic of</t>
        </is>
      </c>
      <c r="F3077" s="3" t="inlineStr">
        <is>
          <t>Gross domestic product (GDP), Price deflator, Index</t>
        </is>
      </c>
      <c r="G3077" s="3" t="n">
        <v>27.196366</v>
      </c>
      <c r="H3077" s="3" t="n">
        <v>28.639281</v>
      </c>
      <c r="I3077" s="3" t="n">
        <v>30.672451</v>
      </c>
      <c r="J3077" s="3" t="n">
        <v>33.264231</v>
      </c>
      <c r="K3077" s="3" t="n">
        <v>35.600165</v>
      </c>
      <c r="L3077" s="3" t="n">
        <v>37.887901</v>
      </c>
      <c r="M3077" s="3" t="n">
        <v>44.128505</v>
      </c>
      <c r="N3077" s="3" t="n">
        <v>46.747748</v>
      </c>
      <c r="O3077" s="3" t="n">
        <v>54.198613</v>
      </c>
      <c r="P3077" s="3" t="n">
        <v>59.219015</v>
      </c>
      <c r="Q3077" s="3" t="n">
        <v>64.69463399999999</v>
      </c>
      <c r="R3077" s="3" t="n">
        <v>72.1645</v>
      </c>
      <c r="S3077" s="3" t="n">
        <v>79.916365</v>
      </c>
      <c r="T3077" s="3" t="n">
        <v>87.641227</v>
      </c>
      <c r="U3077" s="3" t="n">
        <v>92.94426300000001</v>
      </c>
      <c r="V3077" s="3" t="n">
        <v>100</v>
      </c>
      <c r="W3077" s="3" t="n">
        <v>107.472034</v>
      </c>
      <c r="X3077" s="3" t="n">
        <v>111.845199</v>
      </c>
      <c r="Y3077" s="3" t="n">
        <v>107.660817</v>
      </c>
      <c r="Z3077" s="3" t="n">
        <v>109.258588</v>
      </c>
      <c r="AA3077" s="3" t="n">
        <v>112.943099</v>
      </c>
      <c r="AB3077" s="3" t="n">
        <v>115.720924</v>
      </c>
      <c r="AC3077" s="3" t="n">
        <v>120.936942</v>
      </c>
      <c r="AD3077" s="3" t="n">
        <v>125.742261</v>
      </c>
      <c r="AE3077" s="3" t="n">
        <v>131.417674</v>
      </c>
      <c r="AF3077" s="3" t="n">
        <v>137.417687</v>
      </c>
      <c r="AG3077" s="3" t="n">
        <v>143.435894</v>
      </c>
      <c r="AH3077" s="3" t="n">
        <v>150.396838</v>
      </c>
      <c r="AI3077" s="3" t="n">
        <v>157.968266</v>
      </c>
      <c r="AJ3077" s="3" t="n">
        <v>165.866679</v>
      </c>
      <c r="AK3077" s="3" t="n">
        <v>174.160013</v>
      </c>
      <c r="AL3077" s="3" t="n">
        <v>184.609614</v>
      </c>
      <c r="AM3077" s="3" t="n"/>
      <c r="AN3077" s="3" t="n"/>
      <c r="AO3077" s="3" t="n"/>
      <c r="AP3077" s="3" t="n"/>
      <c r="AQ3077" s="3" t="n"/>
      <c r="AR3077" s="3" t="n"/>
      <c r="AS3077" s="3" t="n"/>
      <c r="AT3077" s="3" t="n"/>
      <c r="AU3077" s="3" t="n"/>
    </row>
    <row r="3078">
      <c r="A3078" s="3" t="n">
        <v>2031</v>
      </c>
      <c r="B3078" s="3" t="inlineStr">
        <is>
          <t>TZA</t>
        </is>
      </c>
      <c r="C3078" s="3" t="inlineStr">
        <is>
          <t>IMF.RES:WEO</t>
        </is>
      </c>
      <c r="D3078" s="3" t="inlineStr">
        <is>
          <t>TZA.NGDP_R.A</t>
        </is>
      </c>
      <c r="E3078" s="3" t="inlineStr">
        <is>
          <t>Tanzania, United Republic of</t>
        </is>
      </c>
      <c r="F3078" s="3" t="inlineStr">
        <is>
          <t>Gross domestic product (GDP), Constant prices, Domestic currency</t>
        </is>
      </c>
      <c r="G3078" s="3" t="n">
        <v>36404.170142</v>
      </c>
      <c r="H3078" s="3" t="n">
        <v>38587.634458</v>
      </c>
      <c r="I3078" s="3" t="n">
        <v>41351.884552</v>
      </c>
      <c r="J3078" s="3" t="n">
        <v>44199.468705</v>
      </c>
      <c r="K3078" s="3" t="n">
        <v>47659.526186</v>
      </c>
      <c r="L3078" s="3" t="n">
        <v>51171.980704</v>
      </c>
      <c r="M3078" s="3" t="n">
        <v>53556.887195</v>
      </c>
      <c r="N3078" s="3" t="n">
        <v>58090.146492</v>
      </c>
      <c r="O3078" s="3" t="n">
        <v>61323.789864</v>
      </c>
      <c r="P3078" s="3" t="n">
        <v>64624.448519</v>
      </c>
      <c r="Q3078" s="3" t="n">
        <v>68733.84358099999</v>
      </c>
      <c r="R3078" s="3" t="n">
        <v>74166.91545099999</v>
      </c>
      <c r="S3078" s="3" t="n">
        <v>77979.84667699999</v>
      </c>
      <c r="T3078" s="3" t="n">
        <v>83268.117227</v>
      </c>
      <c r="U3078" s="3" t="n">
        <v>88874.110992</v>
      </c>
      <c r="V3078" s="3" t="n">
        <v>94349.315552</v>
      </c>
      <c r="W3078" s="3" t="n">
        <v>100828.392681</v>
      </c>
      <c r="X3078" s="3" t="n">
        <v>107611.390862</v>
      </c>
      <c r="Y3078" s="3" t="n">
        <v>115174.467881</v>
      </c>
      <c r="Z3078" s="3" t="n">
        <v>123139.238546</v>
      </c>
      <c r="AA3078" s="3" t="n">
        <v>128723.5378</v>
      </c>
      <c r="AB3078" s="3" t="n">
        <v>134951.513535</v>
      </c>
      <c r="AC3078" s="3" t="n">
        <v>141247.191417</v>
      </c>
      <c r="AD3078" s="3" t="n">
        <v>148521.016574</v>
      </c>
      <c r="AE3078" s="3" t="n">
        <v>156635.318841</v>
      </c>
      <c r="AF3078" s="3" t="n">
        <v>165839.318007</v>
      </c>
      <c r="AG3078" s="3" t="n">
        <v>175689.540589</v>
      </c>
      <c r="AH3078" s="3" t="n">
        <v>186413.077392</v>
      </c>
      <c r="AI3078" s="3" t="n">
        <v>198167.04982</v>
      </c>
      <c r="AJ3078" s="3" t="n">
        <v>210656.759371</v>
      </c>
      <c r="AK3078" s="3" t="n">
        <v>223838.762135</v>
      </c>
      <c r="AL3078" s="3" t="n">
        <v>237881.533617</v>
      </c>
      <c r="AM3078" s="3" t="n"/>
      <c r="AN3078" s="3" t="n"/>
      <c r="AO3078" s="3" t="n"/>
      <c r="AP3078" s="3" t="n"/>
      <c r="AQ3078" s="3" t="n"/>
      <c r="AR3078" s="3" t="n"/>
      <c r="AS3078" s="3" t="n"/>
      <c r="AT3078" s="3" t="n"/>
      <c r="AU3078" s="3" t="n"/>
    </row>
    <row r="3079">
      <c r="A3079" s="3" t="n">
        <v>2031</v>
      </c>
      <c r="B3079" s="3" t="inlineStr">
        <is>
          <t>TZA</t>
        </is>
      </c>
      <c r="C3079" s="3" t="inlineStr">
        <is>
          <t>IMF.RES:WEO</t>
        </is>
      </c>
      <c r="D3079" s="3" t="inlineStr">
        <is>
          <t>TZA.NGDP_RPCH.A</t>
        </is>
      </c>
      <c r="E3079" s="3" t="inlineStr">
        <is>
          <t>Tanzania, United Republic of</t>
        </is>
      </c>
      <c r="F3079" s="3" t="inlineStr">
        <is>
          <t>Gross domestic product (GDP), Constant prices, Percent change</t>
        </is>
      </c>
      <c r="G3079" s="3" t="n">
        <v>4.933796</v>
      </c>
      <c r="H3079" s="3" t="n">
        <v>5.997841</v>
      </c>
      <c r="I3079" s="3" t="n">
        <v>7.163565</v>
      </c>
      <c r="J3079" s="3" t="n">
        <v>6.886226</v>
      </c>
      <c r="K3079" s="3" t="n">
        <v>7.828278</v>
      </c>
      <c r="L3079" s="3" t="n">
        <v>7.36989</v>
      </c>
      <c r="M3079" s="3" t="n">
        <v>4.660571</v>
      </c>
      <c r="N3079" s="3" t="n">
        <v>8.464382000000001</v>
      </c>
      <c r="O3079" s="3" t="n">
        <v>5.566595</v>
      </c>
      <c r="P3079" s="3" t="n">
        <v>5.382346</v>
      </c>
      <c r="Q3079" s="3" t="n">
        <v>6.358886</v>
      </c>
      <c r="R3079" s="3" t="n">
        <v>7.904508</v>
      </c>
      <c r="S3079" s="3" t="n">
        <v>5.141014</v>
      </c>
      <c r="T3079" s="3" t="n">
        <v>6.781586</v>
      </c>
      <c r="U3079" s="3" t="n">
        <v>6.732461</v>
      </c>
      <c r="V3079" s="3" t="n">
        <v>6.160629</v>
      </c>
      <c r="W3079" s="3" t="n">
        <v>6.867116</v>
      </c>
      <c r="X3079" s="3" t="n">
        <v>6.72727</v>
      </c>
      <c r="Y3079" s="3" t="n">
        <v>7.028138</v>
      </c>
      <c r="Z3079" s="3" t="n">
        <v>6.915396</v>
      </c>
      <c r="AA3079" s="3" t="n">
        <v>4.534947</v>
      </c>
      <c r="AB3079" s="3" t="n">
        <v>4.838257</v>
      </c>
      <c r="AC3079" s="3" t="n">
        <v>4.665141</v>
      </c>
      <c r="AD3079" s="3" t="n">
        <v>5.149713</v>
      </c>
      <c r="AE3079" s="3" t="n">
        <v>5.463403</v>
      </c>
      <c r="AF3079" s="3" t="n">
        <v>5.876069</v>
      </c>
      <c r="AG3079" s="3" t="n">
        <v>5.939618</v>
      </c>
      <c r="AH3079" s="3" t="n">
        <v>6.103685</v>
      </c>
      <c r="AI3079" s="3" t="n">
        <v>6.305337</v>
      </c>
      <c r="AJ3079" s="3" t="n">
        <v>6.302617</v>
      </c>
      <c r="AK3079" s="3" t="n">
        <v>6.257574</v>
      </c>
      <c r="AL3079" s="3" t="n">
        <v>6.27361</v>
      </c>
      <c r="AM3079" s="3" t="n"/>
      <c r="AN3079" s="3" t="n"/>
      <c r="AO3079" s="3" t="n"/>
      <c r="AP3079" s="3" t="n"/>
      <c r="AQ3079" s="3" t="n"/>
      <c r="AR3079" s="3" t="n"/>
      <c r="AS3079" s="3" t="n"/>
      <c r="AT3079" s="3" t="n"/>
      <c r="AU3079" s="3" t="n"/>
    </row>
    <row r="3080">
      <c r="A3080" s="3" t="n">
        <v>2031</v>
      </c>
      <c r="B3080" s="3" t="inlineStr">
        <is>
          <t>TZA</t>
        </is>
      </c>
      <c r="C3080" s="3" t="inlineStr">
        <is>
          <t>IMF.RES:WEO</t>
        </is>
      </c>
      <c r="D3080" s="3" t="inlineStr">
        <is>
          <t>TZA.NGDPD.A</t>
        </is>
      </c>
      <c r="E3080" s="3" t="inlineStr">
        <is>
          <t>Tanzania, United Republic of</t>
        </is>
      </c>
      <c r="F3080" s="3" t="inlineStr">
        <is>
          <t>Gross domestic product (GDP), Current prices, US dollar</t>
        </is>
      </c>
      <c r="G3080" s="3" t="n">
        <v>12.369448</v>
      </c>
      <c r="H3080" s="3" t="n">
        <v>12.609624</v>
      </c>
      <c r="I3080" s="3" t="n">
        <v>13.122991</v>
      </c>
      <c r="J3080" s="3" t="n">
        <v>14.158504</v>
      </c>
      <c r="K3080" s="3" t="n">
        <v>15.575597</v>
      </c>
      <c r="L3080" s="3" t="n">
        <v>17.173872</v>
      </c>
      <c r="M3080" s="3" t="n">
        <v>18.878402</v>
      </c>
      <c r="N3080" s="3" t="n">
        <v>21.810034</v>
      </c>
      <c r="O3080" s="3" t="n">
        <v>27.779066</v>
      </c>
      <c r="P3080" s="3" t="n">
        <v>29.300579</v>
      </c>
      <c r="Q3080" s="3" t="n">
        <v>31.860128</v>
      </c>
      <c r="R3080" s="3" t="n">
        <v>34.369051</v>
      </c>
      <c r="S3080" s="3" t="n">
        <v>39.650261</v>
      </c>
      <c r="T3080" s="3" t="n">
        <v>45.676884</v>
      </c>
      <c r="U3080" s="3" t="n">
        <v>49.981661</v>
      </c>
      <c r="V3080" s="3" t="n">
        <v>47.423864</v>
      </c>
      <c r="W3080" s="3" t="n">
        <v>49.773731</v>
      </c>
      <c r="X3080" s="3" t="n">
        <v>53.999868</v>
      </c>
      <c r="Y3080" s="3" t="n">
        <v>54.774911</v>
      </c>
      <c r="Z3080" s="3" t="n">
        <v>58.797249</v>
      </c>
      <c r="AA3080" s="3" t="n">
        <v>63.372717</v>
      </c>
      <c r="AB3080" s="3" t="n">
        <v>67.964331</v>
      </c>
      <c r="AC3080" s="3" t="n">
        <v>74.172669</v>
      </c>
      <c r="AD3080" s="3" t="n">
        <v>78.36775</v>
      </c>
      <c r="AE3080" s="3" t="n">
        <v>79.235714</v>
      </c>
      <c r="AF3080" s="3" t="n">
        <v>87.343925</v>
      </c>
      <c r="AG3080" s="3" t="n">
        <v>94.88865</v>
      </c>
      <c r="AH3080" s="3" t="n">
        <v>103.767169</v>
      </c>
      <c r="AI3080" s="3" t="n">
        <v>113.930318</v>
      </c>
      <c r="AJ3080" s="3" t="n">
        <v>125.044815</v>
      </c>
      <c r="AK3080" s="3" t="n">
        <v>137.185437</v>
      </c>
      <c r="AL3080" s="3" t="n">
        <v>151.961103</v>
      </c>
      <c r="AM3080" s="3" t="n"/>
      <c r="AN3080" s="3" t="n"/>
      <c r="AO3080" s="3" t="n"/>
      <c r="AP3080" s="3" t="n"/>
      <c r="AQ3080" s="3" t="n"/>
      <c r="AR3080" s="3" t="n"/>
      <c r="AS3080" s="3" t="n"/>
      <c r="AT3080" s="3" t="n"/>
      <c r="AU3080" s="3" t="n"/>
    </row>
    <row r="3081">
      <c r="A3081" s="3" t="n">
        <v>2031</v>
      </c>
      <c r="B3081" s="3" t="inlineStr">
        <is>
          <t>TZA</t>
        </is>
      </c>
      <c r="C3081" s="3" t="inlineStr">
        <is>
          <t>IMF.RES:WEO</t>
        </is>
      </c>
      <c r="D3081" s="3" t="inlineStr">
        <is>
          <t>TZA.NGDPPC.A</t>
        </is>
      </c>
      <c r="E3081" s="3" t="inlineStr">
        <is>
          <t>Tanzania, United Republic of</t>
        </is>
      </c>
      <c r="F3081" s="3" t="inlineStr">
        <is>
          <t>Gross domestic product (GDP), Current prices, Per capita, Domestic currency</t>
        </is>
      </c>
      <c r="G3081" s="3" t="n">
        <v>301757.950845</v>
      </c>
      <c r="H3081" s="3" t="n">
        <v>327371.325505</v>
      </c>
      <c r="I3081" s="3" t="n">
        <v>366233.845934</v>
      </c>
      <c r="J3081" s="3" t="n">
        <v>413565.824802</v>
      </c>
      <c r="K3081" s="3" t="n">
        <v>464668.493764</v>
      </c>
      <c r="L3081" s="3" t="n">
        <v>516559.642478</v>
      </c>
      <c r="M3081" s="3" t="n">
        <v>612314.00726</v>
      </c>
      <c r="N3081" s="3" t="n">
        <v>684109.989432</v>
      </c>
      <c r="O3081" s="3" t="n">
        <v>814776.52738</v>
      </c>
      <c r="P3081" s="3" t="n">
        <v>913826.262554</v>
      </c>
      <c r="Q3081" s="3" t="n">
        <v>1037565.647573</v>
      </c>
      <c r="R3081" s="3" t="n">
        <v>1214685.773548</v>
      </c>
      <c r="S3081" s="3" t="n">
        <v>1374924.062661</v>
      </c>
      <c r="T3081" s="3" t="n">
        <v>1563540.690402</v>
      </c>
      <c r="U3081" s="3" t="n">
        <v>1715871.858341</v>
      </c>
      <c r="V3081" s="3" t="n">
        <v>1900653.692569</v>
      </c>
      <c r="W3081" s="3" t="n">
        <v>2108922.42247</v>
      </c>
      <c r="X3081" s="3" t="n">
        <v>2264843.850038</v>
      </c>
      <c r="Y3081" s="3" t="n">
        <v>2257196.328529</v>
      </c>
      <c r="Z3081" s="3" t="n">
        <v>2376745.366142</v>
      </c>
      <c r="AA3081" s="3" t="n">
        <v>2493340.034301</v>
      </c>
      <c r="AB3081" s="3" t="n">
        <v>2600080.093511</v>
      </c>
      <c r="AC3081" s="3" t="n">
        <v>2761017.199459</v>
      </c>
      <c r="AD3081" s="3" t="n">
        <v>2930439.232894</v>
      </c>
      <c r="AE3081" s="3" t="n">
        <v>3135741.443817</v>
      </c>
      <c r="AF3081" s="3" t="n">
        <v>3370234.669672</v>
      </c>
      <c r="AG3081" s="3" t="n">
        <v>3617986.907156</v>
      </c>
      <c r="AH3081" s="3" t="n">
        <v>3907613.067707</v>
      </c>
      <c r="AI3081" s="3" t="n">
        <v>4235756.630836</v>
      </c>
      <c r="AJ3081" s="3" t="n">
        <v>4589839.363246</v>
      </c>
      <c r="AK3081" s="3" t="n">
        <v>4971413.81152</v>
      </c>
      <c r="AL3081" s="3" t="n">
        <v>5436813.641121</v>
      </c>
      <c r="AM3081" s="3" t="n"/>
      <c r="AN3081" s="3" t="n"/>
      <c r="AO3081" s="3" t="n"/>
      <c r="AP3081" s="3" t="n"/>
      <c r="AQ3081" s="3" t="n"/>
      <c r="AR3081" s="3" t="n"/>
      <c r="AS3081" s="3" t="n"/>
      <c r="AT3081" s="3" t="n"/>
      <c r="AU3081" s="3" t="n"/>
    </row>
    <row r="3082">
      <c r="A3082" s="3" t="n">
        <v>2031</v>
      </c>
      <c r="B3082" s="3" t="inlineStr">
        <is>
          <t>TZA</t>
        </is>
      </c>
      <c r="C3082" s="3" t="inlineStr">
        <is>
          <t>IMF.RES:WEO</t>
        </is>
      </c>
      <c r="D3082" s="3" t="inlineStr">
        <is>
          <t>TZA.NGDPRPC.A</t>
        </is>
      </c>
      <c r="E3082" s="3" t="inlineStr">
        <is>
          <t>Tanzania, United Republic of</t>
        </is>
      </c>
      <c r="F3082" s="3" t="inlineStr">
        <is>
          <t>Gross domestic product (GDP), Constant prices, Per capita, Domestic currency</t>
        </is>
      </c>
      <c r="G3082" s="3" t="n">
        <v>1109552.48606</v>
      </c>
      <c r="H3082" s="3" t="n">
        <v>1143084.984829</v>
      </c>
      <c r="I3082" s="3" t="n">
        <v>1194015.579663</v>
      </c>
      <c r="J3082" s="3" t="n">
        <v>1243274.877247</v>
      </c>
      <c r="K3082" s="3" t="n">
        <v>1305242.532816</v>
      </c>
      <c r="L3082" s="3" t="n">
        <v>1363389.426242</v>
      </c>
      <c r="M3082" s="3" t="n">
        <v>1387570.236635</v>
      </c>
      <c r="N3082" s="3" t="n">
        <v>1463407.364749</v>
      </c>
      <c r="O3082" s="3" t="n">
        <v>1503316.188268</v>
      </c>
      <c r="P3082" s="3" t="n">
        <v>1543129.778987</v>
      </c>
      <c r="Q3082" s="3" t="n">
        <v>1603789.354475</v>
      </c>
      <c r="R3082" s="3" t="n">
        <v>1683217.89626</v>
      </c>
      <c r="S3082" s="3" t="n">
        <v>1720453.713114</v>
      </c>
      <c r="T3082" s="3" t="n">
        <v>1784024.185795</v>
      </c>
      <c r="U3082" s="3" t="n">
        <v>1846129.935041</v>
      </c>
      <c r="V3082" s="3" t="n">
        <v>1900653.692332</v>
      </c>
      <c r="W3082" s="3" t="n">
        <v>1962298.792884</v>
      </c>
      <c r="X3082" s="3" t="n">
        <v>2024980.846503</v>
      </c>
      <c r="Y3082" s="3" t="n">
        <v>2096581.089734</v>
      </c>
      <c r="Z3082" s="3" t="n">
        <v>2175339.637008</v>
      </c>
      <c r="AA3082" s="3" t="n">
        <v>2207607.239227</v>
      </c>
      <c r="AB3082" s="3" t="n">
        <v>2246853.905535</v>
      </c>
      <c r="AC3082" s="3" t="n">
        <v>2283022.169562</v>
      </c>
      <c r="AD3082" s="3" t="n">
        <v>2330512.591417</v>
      </c>
      <c r="AE3082" s="3" t="n">
        <v>2386088.066775</v>
      </c>
      <c r="AF3082" s="3" t="n">
        <v>2452547.961924</v>
      </c>
      <c r="AG3082" s="3" t="n">
        <v>2522372.053561</v>
      </c>
      <c r="AH3082" s="3" t="n">
        <v>2598201.610515</v>
      </c>
      <c r="AI3082" s="3" t="n">
        <v>2681397.179952</v>
      </c>
      <c r="AJ3082" s="3" t="n">
        <v>2767185.899803</v>
      </c>
      <c r="AK3082" s="3" t="n">
        <v>2854509.319928</v>
      </c>
      <c r="AL3082" s="3" t="n">
        <v>2945032.774904</v>
      </c>
      <c r="AM3082" s="3" t="n"/>
      <c r="AN3082" s="3" t="n"/>
      <c r="AO3082" s="3" t="n"/>
      <c r="AP3082" s="3" t="n"/>
      <c r="AQ3082" s="3" t="n"/>
      <c r="AR3082" s="3" t="n"/>
      <c r="AS3082" s="3" t="n"/>
      <c r="AT3082" s="3" t="n"/>
      <c r="AU3082" s="3" t="n"/>
    </row>
    <row r="3083">
      <c r="A3083" s="3" t="n">
        <v>2031</v>
      </c>
      <c r="B3083" s="3" t="inlineStr">
        <is>
          <t>TZA</t>
        </is>
      </c>
      <c r="C3083" s="3" t="inlineStr">
        <is>
          <t>IMF.RES:WEO</t>
        </is>
      </c>
      <c r="D3083" s="3" t="inlineStr">
        <is>
          <t>TZA.PCPI.A</t>
        </is>
      </c>
      <c r="E3083" s="3" t="inlineStr">
        <is>
          <t>Tanzania, United Republic of</t>
        </is>
      </c>
      <c r="F3083" s="3" t="inlineStr">
        <is>
          <t>All Items, Consumer price index (CPI), Period average</t>
        </is>
      </c>
      <c r="G3083" s="3" t="n">
        <v>100</v>
      </c>
      <c r="H3083" s="3" t="n">
        <v>105.147468</v>
      </c>
      <c r="I3083" s="3" t="n">
        <v>109.937197</v>
      </c>
      <c r="J3083" s="3" t="n">
        <v>114.806423</v>
      </c>
      <c r="K3083" s="3" t="n">
        <v>119.557553</v>
      </c>
      <c r="L3083" s="3" t="n">
        <v>124.769043</v>
      </c>
      <c r="M3083" s="3" t="n">
        <v>133.816012</v>
      </c>
      <c r="N3083" s="3" t="n">
        <v>143.220026</v>
      </c>
      <c r="O3083" s="3" t="n">
        <v>157.937711</v>
      </c>
      <c r="P3083" s="3" t="n">
        <v>177.117542</v>
      </c>
      <c r="Q3083" s="3" t="n">
        <v>189.855071</v>
      </c>
      <c r="R3083" s="3" t="n">
        <v>213.94952</v>
      </c>
      <c r="S3083" s="3" t="n">
        <v>248.184124</v>
      </c>
      <c r="T3083" s="3" t="n">
        <v>267.71511</v>
      </c>
      <c r="U3083" s="3" t="n">
        <v>284.132306</v>
      </c>
      <c r="V3083" s="3" t="n">
        <v>300.010969</v>
      </c>
      <c r="W3083" s="3" t="n">
        <v>315.520382</v>
      </c>
      <c r="X3083" s="3" t="n">
        <v>332.30387</v>
      </c>
      <c r="Y3083" s="3" t="n">
        <v>343.963494</v>
      </c>
      <c r="Z3083" s="3" t="n">
        <v>355.822192</v>
      </c>
      <c r="AA3083" s="3" t="n">
        <v>367.524693</v>
      </c>
      <c r="AB3083" s="3" t="n">
        <v>381.086241</v>
      </c>
      <c r="AC3083" s="3" t="n">
        <v>397.664529</v>
      </c>
      <c r="AD3083" s="3" t="n">
        <v>412.772731</v>
      </c>
      <c r="AE3083" s="3" t="n">
        <v>425.390974</v>
      </c>
      <c r="AF3083" s="3" t="n">
        <v>439.543619</v>
      </c>
      <c r="AG3083" s="3" t="n">
        <v>457.154808</v>
      </c>
      <c r="AH3083" s="3" t="n">
        <v>476.693942</v>
      </c>
      <c r="AI3083" s="3" t="n">
        <v>495.967668</v>
      </c>
      <c r="AJ3083" s="3" t="n">
        <v>515.8548060000001</v>
      </c>
      <c r="AK3083" s="3" t="n">
        <v>536.53937</v>
      </c>
      <c r="AL3083" s="3" t="n">
        <v>558.0533380000001</v>
      </c>
      <c r="AM3083" s="3" t="n"/>
      <c r="AN3083" s="3" t="n"/>
      <c r="AO3083" s="3" t="n"/>
      <c r="AP3083" s="3" t="n"/>
      <c r="AQ3083" s="3" t="n"/>
      <c r="AR3083" s="3" t="n"/>
      <c r="AS3083" s="3" t="n"/>
      <c r="AT3083" s="3" t="n"/>
      <c r="AU3083" s="3" t="n"/>
    </row>
    <row r="3084">
      <c r="A3084" s="3" t="n">
        <v>2031</v>
      </c>
      <c r="B3084" s="3" t="inlineStr">
        <is>
          <t>TZA</t>
        </is>
      </c>
      <c r="C3084" s="3" t="inlineStr">
        <is>
          <t>IMF.RES:WEO</t>
        </is>
      </c>
      <c r="D3084" s="3" t="inlineStr">
        <is>
          <t>TZA.PCPIPCH.A</t>
        </is>
      </c>
      <c r="E3084" s="3" t="inlineStr">
        <is>
          <t>Tanzania, United Republic of</t>
        </is>
      </c>
      <c r="F3084" s="3" t="inlineStr">
        <is>
          <t>All Items, Consumer price index (CPI), Period average, percent change</t>
        </is>
      </c>
      <c r="G3084" s="3" t="n">
        <v>5.956272</v>
      </c>
      <c r="H3084" s="3" t="n">
        <v>5.147468</v>
      </c>
      <c r="I3084" s="3" t="n">
        <v>4.555249</v>
      </c>
      <c r="J3084" s="3" t="n">
        <v>4.429098</v>
      </c>
      <c r="K3084" s="3" t="n">
        <v>4.138383</v>
      </c>
      <c r="L3084" s="3" t="n">
        <v>4.35898</v>
      </c>
      <c r="M3084" s="3" t="n">
        <v>7.250973</v>
      </c>
      <c r="N3084" s="3" t="n">
        <v>7.027569</v>
      </c>
      <c r="O3084" s="3" t="n">
        <v>10.276276</v>
      </c>
      <c r="P3084" s="3" t="n">
        <v>12.143921</v>
      </c>
      <c r="Q3084" s="3" t="n">
        <v>7.191568</v>
      </c>
      <c r="R3084" s="3" t="n">
        <v>12.690969</v>
      </c>
      <c r="S3084" s="3" t="n">
        <v>16.001253</v>
      </c>
      <c r="T3084" s="3" t="n">
        <v>7.869555</v>
      </c>
      <c r="U3084" s="3" t="n">
        <v>6.132338</v>
      </c>
      <c r="V3084" s="3" t="n">
        <v>5.588475</v>
      </c>
      <c r="W3084" s="3" t="n">
        <v>5.169615</v>
      </c>
      <c r="X3084" s="3" t="n">
        <v>5.319304</v>
      </c>
      <c r="Y3084" s="3" t="n">
        <v>3.508723</v>
      </c>
      <c r="Z3084" s="3" t="n">
        <v>3.447662</v>
      </c>
      <c r="AA3084" s="3" t="n">
        <v>3.288862</v>
      </c>
      <c r="AB3084" s="3" t="n">
        <v>3.689969</v>
      </c>
      <c r="AC3084" s="3" t="n">
        <v>4.350272</v>
      </c>
      <c r="AD3084" s="3" t="n">
        <v>3.799233</v>
      </c>
      <c r="AE3084" s="3" t="n">
        <v>3.056947</v>
      </c>
      <c r="AF3084" s="3" t="n">
        <v>3.326974</v>
      </c>
      <c r="AG3084" s="3" t="n">
        <v>4.006699</v>
      </c>
      <c r="AH3084" s="3" t="n">
        <v>4.274074</v>
      </c>
      <c r="AI3084" s="3" t="n">
        <v>4.043208</v>
      </c>
      <c r="AJ3084" s="3" t="n">
        <v>4.009765</v>
      </c>
      <c r="AK3084" s="3" t="n">
        <v>4.009765</v>
      </c>
      <c r="AL3084" s="3" t="n">
        <v>4.009765</v>
      </c>
      <c r="AM3084" s="3" t="n"/>
      <c r="AN3084" s="3" t="n"/>
      <c r="AO3084" s="3" t="n"/>
      <c r="AP3084" s="3" t="n"/>
      <c r="AQ3084" s="3" t="n"/>
      <c r="AR3084" s="3" t="n"/>
      <c r="AS3084" s="3" t="n"/>
      <c r="AT3084" s="3" t="n"/>
      <c r="AU3084" s="3" t="n"/>
    </row>
    <row r="3085">
      <c r="A3085" s="3" t="n">
        <v>2031</v>
      </c>
      <c r="B3085" s="3" t="inlineStr">
        <is>
          <t>TZA</t>
        </is>
      </c>
      <c r="C3085" s="3" t="inlineStr">
        <is>
          <t>IMF.RES:WEO</t>
        </is>
      </c>
      <c r="D3085" s="3" t="inlineStr">
        <is>
          <t>TZA.PPPPC.A</t>
        </is>
      </c>
      <c r="E3085" s="3" t="inlineStr">
        <is>
          <t>Tanzania, United Republic of</t>
        </is>
      </c>
      <c r="F3085" s="3" t="inlineStr">
        <is>
          <t>Gross domestic product (GDP), Per capita, purchasing power parity (PPP) international dollar, ICP benchmarks 2017-2021</t>
        </is>
      </c>
      <c r="G3085" s="3" t="n">
        <v>1014.639418</v>
      </c>
      <c r="H3085" s="3" t="n">
        <v>1068.839754</v>
      </c>
      <c r="I3085" s="3" t="n">
        <v>1133.812548</v>
      </c>
      <c r="J3085" s="3" t="n">
        <v>1203.895517</v>
      </c>
      <c r="K3085" s="3" t="n">
        <v>1297.885196</v>
      </c>
      <c r="L3085" s="3" t="n">
        <v>1398.216788</v>
      </c>
      <c r="M3085" s="3" t="n">
        <v>1466.899405</v>
      </c>
      <c r="N3085" s="3" t="n">
        <v>1588.986604</v>
      </c>
      <c r="O3085" s="3" t="n">
        <v>1663.765319</v>
      </c>
      <c r="P3085" s="3" t="n">
        <v>1718.361112</v>
      </c>
      <c r="Q3085" s="3" t="n">
        <v>1807.614417</v>
      </c>
      <c r="R3085" s="3" t="n">
        <v>1936.280165</v>
      </c>
      <c r="S3085" s="3" t="n">
        <v>2015.963939</v>
      </c>
      <c r="T3085" s="3" t="n">
        <v>2126.033085</v>
      </c>
      <c r="U3085" s="3" t="n">
        <v>2238.363414</v>
      </c>
      <c r="V3085" s="3" t="n">
        <v>2325.858149</v>
      </c>
      <c r="W3085" s="3" t="n">
        <v>2424.111838</v>
      </c>
      <c r="X3085" s="3" t="n">
        <v>2546.345587</v>
      </c>
      <c r="Y3085" s="3" t="n">
        <v>2658.517605</v>
      </c>
      <c r="Z3085" s="3" t="n">
        <v>2912.8056</v>
      </c>
      <c r="AA3085" s="3" t="n">
        <v>3200.53225</v>
      </c>
      <c r="AB3085" s="3" t="n">
        <v>3407.892464</v>
      </c>
      <c r="AC3085" s="3" t="n">
        <v>3709.035444</v>
      </c>
      <c r="AD3085" s="3" t="n">
        <v>3926.279429</v>
      </c>
      <c r="AE3085" s="3" t="n">
        <v>4119.705021</v>
      </c>
      <c r="AF3085" s="3" t="n">
        <v>4354.572985</v>
      </c>
      <c r="AG3085" s="3" t="n">
        <v>4606.851482</v>
      </c>
      <c r="AH3085" s="3" t="n">
        <v>4849.549475</v>
      </c>
      <c r="AI3085" s="3" t="n">
        <v>5086.983077</v>
      </c>
      <c r="AJ3085" s="3" t="n">
        <v>5343.082209</v>
      </c>
      <c r="AK3085" s="3" t="n">
        <v>5612.971399</v>
      </c>
      <c r="AL3085" s="3" t="n">
        <v>5895.516946</v>
      </c>
      <c r="AM3085" s="3" t="n"/>
      <c r="AN3085" s="3" t="n"/>
      <c r="AO3085" s="3" t="n"/>
      <c r="AP3085" s="3" t="n"/>
      <c r="AQ3085" s="3" t="n"/>
      <c r="AR3085" s="3" t="n"/>
      <c r="AS3085" s="3" t="n"/>
      <c r="AT3085" s="3" t="n"/>
      <c r="AU3085" s="3" t="n"/>
    </row>
    <row r="3086">
      <c r="A3086" s="3" t="n">
        <v>2025</v>
      </c>
      <c r="B3086" s="3" t="inlineStr">
        <is>
          <t>TZA</t>
        </is>
      </c>
      <c r="C3086" s="3" t="inlineStr">
        <is>
          <t>IMF.STA:ER</t>
        </is>
      </c>
      <c r="D3086" s="3" t="inlineStr">
        <is>
          <t>TZA.XDC_USD.PA_RT.A</t>
        </is>
      </c>
      <c r="E3086" s="3" t="inlineStr">
        <is>
          <t>Tanzania, United Republic of</t>
        </is>
      </c>
      <c r="F3086" s="3" t="inlineStr">
        <is>
          <t>Domestic currency per US Dollar</t>
        </is>
      </c>
      <c r="G3086" s="3" t="n">
        <v>800.4085166666659</v>
      </c>
      <c r="H3086" s="3" t="n">
        <v>876.411666666666</v>
      </c>
      <c r="I3086" s="3" t="n">
        <v>966.582784259259</v>
      </c>
      <c r="J3086" s="3" t="n">
        <v>1038.41900659603</v>
      </c>
      <c r="K3086" s="3" t="n">
        <v>1089.33477148982</v>
      </c>
      <c r="L3086" s="3" t="n">
        <v>1128.93417916192</v>
      </c>
      <c r="M3086" s="3" t="n">
        <v>1251.89997292515</v>
      </c>
      <c r="N3086" s="3" t="n">
        <v>1245.03546404782</v>
      </c>
      <c r="O3086" s="3" t="n">
        <v>1196.31070921046</v>
      </c>
      <c r="P3086" s="3" t="n">
        <v>1320.31206074041</v>
      </c>
      <c r="Q3086" s="3" t="n">
        <v>1395.625</v>
      </c>
      <c r="R3086" s="3" t="n">
        <v>1557.43333333333</v>
      </c>
      <c r="S3086" s="3" t="n">
        <v>1571.69833333333</v>
      </c>
      <c r="T3086" s="3" t="n">
        <v>1597.55583333333</v>
      </c>
      <c r="U3086" s="3" t="n">
        <v>1653.23083333333</v>
      </c>
      <c r="V3086" s="3" t="n">
        <v>1991.39083333333</v>
      </c>
      <c r="W3086" s="3" t="n">
        <v>2177.08666666666</v>
      </c>
      <c r="X3086" s="3" t="n">
        <v>2228.85666666666</v>
      </c>
      <c r="Y3086" s="3" t="n">
        <v>2263.78166666666</v>
      </c>
      <c r="Z3086" s="3" t="n">
        <v>2288.20666666666</v>
      </c>
      <c r="AA3086" s="3" t="n">
        <v>2294.14615050508</v>
      </c>
      <c r="AB3086" s="3" t="n">
        <v>2297.76422623792</v>
      </c>
      <c r="AC3086" s="3" t="n">
        <v>2303.03367612331</v>
      </c>
      <c r="AD3086" s="3" t="n">
        <v>2383.04258333333</v>
      </c>
      <c r="AE3086" s="3" t="n">
        <v>2597.90041666666</v>
      </c>
      <c r="AF3086" s="3" t="n">
        <v>2597.90041666666</v>
      </c>
      <c r="AG3086" s="3" t="n"/>
      <c r="AH3086" s="3" t="n"/>
      <c r="AI3086" s="3" t="n"/>
      <c r="AJ3086" s="3" t="n"/>
      <c r="AK3086" s="3" t="n"/>
      <c r="AL3086" s="3" t="n"/>
      <c r="AM3086" s="3" t="n"/>
      <c r="AN3086" s="3" t="n"/>
      <c r="AO3086" s="3" t="n"/>
      <c r="AP3086" s="3" t="n"/>
      <c r="AQ3086" s="3" t="n"/>
      <c r="AR3086" s="3" t="n"/>
      <c r="AS3086" s="3" t="n"/>
      <c r="AT3086" s="3" t="n"/>
      <c r="AU3086" s="3" t="n"/>
    </row>
    <row r="3087">
      <c r="A3087" s="3" t="n">
        <v>2031</v>
      </c>
      <c r="B3087" s="3" t="inlineStr">
        <is>
          <t>UGA</t>
        </is>
      </c>
      <c r="C3087" s="3" t="inlineStr">
        <is>
          <t>IMF.RES:WEO</t>
        </is>
      </c>
      <c r="D3087" s="3" t="inlineStr">
        <is>
          <t>UGA.BCA.A</t>
        </is>
      </c>
      <c r="E3087" s="3" t="inlineStr">
        <is>
          <t>Uganda</t>
        </is>
      </c>
      <c r="F3087" s="3" t="inlineStr">
        <is>
          <t>Current account balance (credit less debit), US dollar</t>
        </is>
      </c>
      <c r="G3087" s="3" t="n">
        <v>-0.3588</v>
      </c>
      <c r="H3087" s="3" t="n">
        <v>-0.291293</v>
      </c>
      <c r="I3087" s="3" t="n">
        <v>-0.152</v>
      </c>
      <c r="J3087" s="3" t="n">
        <v>-0.038436</v>
      </c>
      <c r="K3087" s="3" t="n">
        <v>-0.001675</v>
      </c>
      <c r="L3087" s="3" t="n">
        <v>0.049224</v>
      </c>
      <c r="M3087" s="3" t="n">
        <v>-0.318191</v>
      </c>
      <c r="N3087" s="3" t="n">
        <v>-0.562843</v>
      </c>
      <c r="O3087" s="3" t="n">
        <v>-1.223839</v>
      </c>
      <c r="P3087" s="3" t="n">
        <v>-1.048043</v>
      </c>
      <c r="Q3087" s="3" t="n">
        <v>-1.609774</v>
      </c>
      <c r="R3087" s="3" t="n">
        <v>-2.087253</v>
      </c>
      <c r="S3087" s="3" t="n">
        <v>-1.655592</v>
      </c>
      <c r="T3087" s="3" t="n">
        <v>-1.751485</v>
      </c>
      <c r="U3087" s="3" t="n">
        <v>-2.165988</v>
      </c>
      <c r="V3087" s="3" t="n">
        <v>-1.649443</v>
      </c>
      <c r="W3087" s="3" t="n">
        <v>-0.795996</v>
      </c>
      <c r="X3087" s="3" t="n">
        <v>-1.501187</v>
      </c>
      <c r="Y3087" s="3" t="n">
        <v>-2.084237</v>
      </c>
      <c r="Z3087" s="3" t="n">
        <v>-2.632606</v>
      </c>
      <c r="AA3087" s="3" t="n">
        <v>-3.598187</v>
      </c>
      <c r="AB3087" s="3" t="n">
        <v>-3.604899</v>
      </c>
      <c r="AC3087" s="3" t="n">
        <v>-4.06395</v>
      </c>
      <c r="AD3087" s="3" t="n">
        <v>-3.928848</v>
      </c>
      <c r="AE3087" s="3" t="n">
        <v>-4.191691</v>
      </c>
      <c r="AF3087" s="3" t="n">
        <v>-4.115286</v>
      </c>
      <c r="AG3087" s="3" t="n">
        <v>-2.892582</v>
      </c>
      <c r="AH3087" s="3" t="n">
        <v>-2.188392</v>
      </c>
      <c r="AI3087" s="3" t="n">
        <v>-1.804535</v>
      </c>
      <c r="AJ3087" s="3" t="n">
        <v>-1.055223</v>
      </c>
      <c r="AK3087" s="3" t="n">
        <v>-1.323581</v>
      </c>
      <c r="AL3087" s="3" t="n">
        <v>-1.553124</v>
      </c>
      <c r="AM3087" s="3" t="n"/>
      <c r="AN3087" s="3" t="n"/>
      <c r="AO3087" s="3" t="n"/>
      <c r="AP3087" s="3" t="n"/>
      <c r="AQ3087" s="3" t="n"/>
      <c r="AR3087" s="3" t="n"/>
      <c r="AS3087" s="3" t="n"/>
      <c r="AT3087" s="3" t="n"/>
      <c r="AU3087" s="3" t="n"/>
    </row>
    <row r="3088">
      <c r="A3088" s="3" t="n">
        <v>2031</v>
      </c>
      <c r="B3088" s="3" t="inlineStr">
        <is>
          <t>UGA</t>
        </is>
      </c>
      <c r="C3088" s="3" t="inlineStr">
        <is>
          <t>IMF.RES:WEO</t>
        </is>
      </c>
      <c r="D3088" s="3" t="inlineStr">
        <is>
          <t>UGA.BCA_NGDPD.A</t>
        </is>
      </c>
      <c r="E3088" s="3" t="inlineStr">
        <is>
          <t>Uganda</t>
        </is>
      </c>
      <c r="F3088" s="3" t="inlineStr">
        <is>
          <t>Current account balance (credit less debit), Percent of GDP</t>
        </is>
      </c>
      <c r="G3088" s="3" t="n">
        <v>-4.626017</v>
      </c>
      <c r="H3088" s="3" t="n">
        <v>-3.717878</v>
      </c>
      <c r="I3088" s="3" t="n">
        <v>-1.804098</v>
      </c>
      <c r="J3088" s="3" t="n">
        <v>-0.440544</v>
      </c>
      <c r="K3088" s="3" t="n">
        <v>-0.015582</v>
      </c>
      <c r="L3088" s="3" t="n">
        <v>0.395065</v>
      </c>
      <c r="M3088" s="3" t="n">
        <v>-2.260012</v>
      </c>
      <c r="N3088" s="3" t="n">
        <v>-3.214035</v>
      </c>
      <c r="O3088" s="3" t="n">
        <v>-5.458948</v>
      </c>
      <c r="P3088" s="3" t="n">
        <v>-4.34755</v>
      </c>
      <c r="Q3088" s="3" t="n">
        <v>-6.52187</v>
      </c>
      <c r="R3088" s="3" t="n">
        <v>-7.589632</v>
      </c>
      <c r="S3088" s="3" t="n">
        <v>-5.35112</v>
      </c>
      <c r="T3088" s="3" t="n">
        <v>-5.417338</v>
      </c>
      <c r="U3088" s="3" t="n">
        <v>-6.232412</v>
      </c>
      <c r="V3088" s="3" t="n">
        <v>-5.475915</v>
      </c>
      <c r="W3088" s="3" t="n">
        <v>-2.632942</v>
      </c>
      <c r="X3088" s="3" t="n">
        <v>-4.752203</v>
      </c>
      <c r="Y3088" s="3" t="n">
        <v>-6.107305</v>
      </c>
      <c r="Z3088" s="3" t="n">
        <v>-6.947147</v>
      </c>
      <c r="AA3088" s="3" t="n">
        <v>-9.496653999999999</v>
      </c>
      <c r="AB3088" s="3" t="n">
        <v>-8.421609</v>
      </c>
      <c r="AC3088" s="3" t="n">
        <v>-8.596905</v>
      </c>
      <c r="AD3088" s="3" t="n">
        <v>-7.54992</v>
      </c>
      <c r="AE3088" s="3" t="n">
        <v>-7.346028</v>
      </c>
      <c r="AF3088" s="3" t="n">
        <v>-6.233923</v>
      </c>
      <c r="AG3088" s="3" t="n">
        <v>-3.942454</v>
      </c>
      <c r="AH3088" s="3" t="n">
        <v>-2.728723</v>
      </c>
      <c r="AI3088" s="3" t="n">
        <v>-2.057994</v>
      </c>
      <c r="AJ3088" s="3" t="n">
        <v>-1.09974</v>
      </c>
      <c r="AK3088" s="3" t="n">
        <v>-1.273856</v>
      </c>
      <c r="AL3088" s="3" t="n">
        <v>-1.382893</v>
      </c>
      <c r="AM3088" s="3" t="n"/>
      <c r="AN3088" s="3" t="n"/>
      <c r="AO3088" s="3" t="n"/>
      <c r="AP3088" s="3" t="n"/>
      <c r="AQ3088" s="3" t="n"/>
      <c r="AR3088" s="3" t="n"/>
      <c r="AS3088" s="3" t="n"/>
      <c r="AT3088" s="3" t="n"/>
      <c r="AU3088" s="3" t="n"/>
    </row>
    <row r="3089">
      <c r="A3089" s="3" t="n">
        <v>2031</v>
      </c>
      <c r="B3089" s="3" t="inlineStr">
        <is>
          <t>UGA</t>
        </is>
      </c>
      <c r="C3089" s="3" t="inlineStr">
        <is>
          <t>IMF.RES:WEO</t>
        </is>
      </c>
      <c r="D3089" s="3" t="inlineStr">
        <is>
          <t>UGA.GGR_NGDP.A</t>
        </is>
      </c>
      <c r="E3089" s="3" t="inlineStr">
        <is>
          <t>Uganda</t>
        </is>
      </c>
      <c r="F3089" s="3" t="inlineStr">
        <is>
          <t>Revenue, General government, Percent of GDP</t>
        </is>
      </c>
      <c r="G3089" s="3" t="n">
        <v>14.605323</v>
      </c>
      <c r="H3089" s="3" t="n">
        <v>15.21239</v>
      </c>
      <c r="I3089" s="3" t="n">
        <v>14.693059</v>
      </c>
      <c r="J3089" s="3" t="n">
        <v>15.489844</v>
      </c>
      <c r="K3089" s="3" t="n">
        <v>15.935432</v>
      </c>
      <c r="L3089" s="3" t="n">
        <v>14.301224</v>
      </c>
      <c r="M3089" s="3" t="n">
        <v>13.057777</v>
      </c>
      <c r="N3089" s="3" t="n">
        <v>12.416939</v>
      </c>
      <c r="O3089" s="3" t="n">
        <v>10.951001</v>
      </c>
      <c r="P3089" s="3" t="n">
        <v>10.146601</v>
      </c>
      <c r="Q3089" s="3" t="n">
        <v>10.779338</v>
      </c>
      <c r="R3089" s="3" t="n">
        <v>11.131599</v>
      </c>
      <c r="S3089" s="3" t="n">
        <v>10.732283</v>
      </c>
      <c r="T3089" s="3" t="n">
        <v>10.112149</v>
      </c>
      <c r="U3089" s="3" t="n">
        <v>10.82459</v>
      </c>
      <c r="V3089" s="3" t="n">
        <v>12.297202</v>
      </c>
      <c r="W3089" s="3" t="n">
        <v>12.545751</v>
      </c>
      <c r="X3089" s="3" t="n">
        <v>12.459793</v>
      </c>
      <c r="Y3089" s="3" t="n">
        <v>13.161518</v>
      </c>
      <c r="Z3089" s="3" t="n">
        <v>13.453428</v>
      </c>
      <c r="AA3089" s="3" t="n">
        <v>13.684791</v>
      </c>
      <c r="AB3089" s="3" t="n">
        <v>14.203053</v>
      </c>
      <c r="AC3089" s="3" t="n">
        <v>14.035931</v>
      </c>
      <c r="AD3089" s="3" t="n">
        <v>14.389514</v>
      </c>
      <c r="AE3089" s="3" t="n">
        <v>14.486511</v>
      </c>
      <c r="AF3089" s="3" t="n">
        <v>15.064369</v>
      </c>
      <c r="AG3089" s="3" t="n">
        <v>15.330318</v>
      </c>
      <c r="AH3089" s="3" t="n">
        <v>16.233207</v>
      </c>
      <c r="AI3089" s="3" t="n">
        <v>16.731596</v>
      </c>
      <c r="AJ3089" s="3" t="n">
        <v>16.93067</v>
      </c>
      <c r="AK3089" s="3" t="n">
        <v>17.284551</v>
      </c>
      <c r="AL3089" s="3" t="n">
        <v>17.319324</v>
      </c>
      <c r="AM3089" s="3" t="n"/>
      <c r="AN3089" s="3" t="n"/>
      <c r="AO3089" s="3" t="n"/>
      <c r="AP3089" s="3" t="n"/>
      <c r="AQ3089" s="3" t="n"/>
      <c r="AR3089" s="3" t="n"/>
      <c r="AS3089" s="3" t="n"/>
      <c r="AT3089" s="3" t="n"/>
      <c r="AU3089" s="3" t="n"/>
    </row>
    <row r="3090">
      <c r="A3090" s="3" t="n">
        <v>2031</v>
      </c>
      <c r="B3090" s="3" t="inlineStr">
        <is>
          <t>UGA</t>
        </is>
      </c>
      <c r="C3090" s="3" t="inlineStr">
        <is>
          <t>IMF.RES:WEO</t>
        </is>
      </c>
      <c r="D3090" s="3" t="inlineStr">
        <is>
          <t>UGA.GGX_NGDP.A</t>
        </is>
      </c>
      <c r="E3090" s="3" t="inlineStr">
        <is>
          <t>Uganda</t>
        </is>
      </c>
      <c r="F3090" s="3" t="inlineStr">
        <is>
          <t>Expenditure, General government, Percent of GDP</t>
        </is>
      </c>
      <c r="G3090" s="3" t="n">
        <v>15.229002</v>
      </c>
      <c r="H3090" s="3" t="n">
        <v>16.206207</v>
      </c>
      <c r="I3090" s="3" t="n">
        <v>16.761234</v>
      </c>
      <c r="J3090" s="3" t="n">
        <v>16.458964</v>
      </c>
      <c r="K3090" s="3" t="n">
        <v>15.592927</v>
      </c>
      <c r="L3090" s="3" t="n">
        <v>14.471193</v>
      </c>
      <c r="M3090" s="3" t="n">
        <v>13.69479</v>
      </c>
      <c r="N3090" s="3" t="n">
        <v>13.232021</v>
      </c>
      <c r="O3090" s="3" t="n">
        <v>12.945768</v>
      </c>
      <c r="P3090" s="3" t="n">
        <v>11.756437</v>
      </c>
      <c r="Q3090" s="3" t="n">
        <v>15.424</v>
      </c>
      <c r="R3090" s="3" t="n">
        <v>13.174309</v>
      </c>
      <c r="S3090" s="3" t="n">
        <v>13.117621</v>
      </c>
      <c r="T3090" s="3" t="n">
        <v>13.302631</v>
      </c>
      <c r="U3090" s="3" t="n">
        <v>13.565045</v>
      </c>
      <c r="V3090" s="3" t="n">
        <v>14.890979</v>
      </c>
      <c r="W3090" s="3" t="n">
        <v>15.186264</v>
      </c>
      <c r="X3090" s="3" t="n">
        <v>16.285495</v>
      </c>
      <c r="Y3090" s="3" t="n">
        <v>16.184499</v>
      </c>
      <c r="Z3090" s="3" t="n">
        <v>18.269519</v>
      </c>
      <c r="AA3090" s="3" t="n">
        <v>21.445274</v>
      </c>
      <c r="AB3090" s="3" t="n">
        <v>21.965237</v>
      </c>
      <c r="AC3090" s="3" t="n">
        <v>19.480909</v>
      </c>
      <c r="AD3090" s="3" t="n">
        <v>19.258415</v>
      </c>
      <c r="AE3090" s="3" t="n">
        <v>18.41554</v>
      </c>
      <c r="AF3090" s="3" t="n">
        <v>22.197392</v>
      </c>
      <c r="AG3090" s="3" t="n">
        <v>21.254842</v>
      </c>
      <c r="AH3090" s="3" t="n">
        <v>21.151986</v>
      </c>
      <c r="AI3090" s="3" t="n">
        <v>21.293668</v>
      </c>
      <c r="AJ3090" s="3" t="n">
        <v>22.081699</v>
      </c>
      <c r="AK3090" s="3" t="n">
        <v>21.838708</v>
      </c>
      <c r="AL3090" s="3" t="n">
        <v>21.959069</v>
      </c>
      <c r="AM3090" s="3" t="n"/>
      <c r="AN3090" s="3" t="n"/>
      <c r="AO3090" s="3" t="n"/>
      <c r="AP3090" s="3" t="n"/>
      <c r="AQ3090" s="3" t="n"/>
      <c r="AR3090" s="3" t="n"/>
      <c r="AS3090" s="3" t="n"/>
      <c r="AT3090" s="3" t="n"/>
      <c r="AU3090" s="3" t="n"/>
    </row>
    <row r="3091">
      <c r="A3091" s="3" t="n">
        <v>2031</v>
      </c>
      <c r="B3091" s="3" t="inlineStr">
        <is>
          <t>UGA</t>
        </is>
      </c>
      <c r="C3091" s="3" t="inlineStr">
        <is>
          <t>IMF.RES:WEO</t>
        </is>
      </c>
      <c r="D3091" s="3" t="inlineStr">
        <is>
          <t>UGA.LP.A</t>
        </is>
      </c>
      <c r="E3091" s="3" t="inlineStr">
        <is>
          <t>Uganda</t>
        </is>
      </c>
      <c r="F3091" s="3" t="inlineStr">
        <is>
          <t>Population, Persons for countries / Index for country groups</t>
        </is>
      </c>
      <c r="G3091" s="3" t="n">
        <v>21.819622</v>
      </c>
      <c r="H3091" s="3" t="n">
        <v>22.52633</v>
      </c>
      <c r="I3091" s="3" t="n">
        <v>23.277208</v>
      </c>
      <c r="J3091" s="3" t="n">
        <v>24.116424</v>
      </c>
      <c r="K3091" s="3" t="n">
        <v>24.95564</v>
      </c>
      <c r="L3091" s="3" t="n">
        <v>25.794856</v>
      </c>
      <c r="M3091" s="3" t="n">
        <v>26.678242</v>
      </c>
      <c r="N3091" s="3" t="n">
        <v>27.605796</v>
      </c>
      <c r="O3091" s="3" t="n">
        <v>28.577521</v>
      </c>
      <c r="P3091" s="3" t="n">
        <v>29.549245</v>
      </c>
      <c r="Q3091" s="3" t="n">
        <v>30.520969</v>
      </c>
      <c r="R3091" s="3" t="n">
        <v>31.536862</v>
      </c>
      <c r="S3091" s="3" t="n">
        <v>32.547897</v>
      </c>
      <c r="T3091" s="3" t="n">
        <v>33.50955</v>
      </c>
      <c r="U3091" s="3" t="n">
        <v>34.477179</v>
      </c>
      <c r="V3091" s="3" t="n">
        <v>35.4921</v>
      </c>
      <c r="W3091" s="3" t="n">
        <v>36.5607</v>
      </c>
      <c r="X3091" s="3" t="n">
        <v>37.6738</v>
      </c>
      <c r="Y3091" s="3" t="n">
        <v>38.8231</v>
      </c>
      <c r="Z3091" s="3" t="n">
        <v>39.8231</v>
      </c>
      <c r="AA3091" s="3" t="n">
        <v>41.2222</v>
      </c>
      <c r="AB3091" s="3" t="n">
        <v>42.460377</v>
      </c>
      <c r="AC3091" s="3" t="n">
        <v>43.79882</v>
      </c>
      <c r="AD3091" s="3" t="n">
        <v>45.221926</v>
      </c>
      <c r="AE3091" s="3" t="n">
        <v>46.623094</v>
      </c>
      <c r="AF3091" s="3" t="n">
        <v>48.021786</v>
      </c>
      <c r="AG3091" s="3" t="n">
        <v>49.706097</v>
      </c>
      <c r="AH3091" s="3" t="n">
        <v>51.947745</v>
      </c>
      <c r="AI3091" s="3" t="n">
        <v>54.012984</v>
      </c>
      <c r="AJ3091" s="3" t="n">
        <v>55.633374</v>
      </c>
      <c r="AK3091" s="3" t="n">
        <v>57.302375</v>
      </c>
      <c r="AL3091" s="3" t="n">
        <v>59.312193</v>
      </c>
      <c r="AM3091" s="3" t="n"/>
      <c r="AN3091" s="3" t="n"/>
      <c r="AO3091" s="3" t="n"/>
      <c r="AP3091" s="3" t="n"/>
      <c r="AQ3091" s="3" t="n"/>
      <c r="AR3091" s="3" t="n"/>
      <c r="AS3091" s="3" t="n"/>
      <c r="AT3091" s="3" t="n"/>
      <c r="AU3091" s="3" t="n"/>
    </row>
    <row r="3092">
      <c r="A3092" s="3" t="n">
        <v>2031</v>
      </c>
      <c r="B3092" s="3" t="inlineStr">
        <is>
          <t>UGA</t>
        </is>
      </c>
      <c r="C3092" s="3" t="inlineStr">
        <is>
          <t>IMF.RES:WEO</t>
        </is>
      </c>
      <c r="D3092" s="3" t="inlineStr">
        <is>
          <t>UGA.NGDP.A</t>
        </is>
      </c>
      <c r="E3092" s="3" t="inlineStr">
        <is>
          <t>Uganda</t>
        </is>
      </c>
      <c r="F3092" s="3" t="inlineStr">
        <is>
          <t>Gross domestic product (GDP), Current prices, Domestic currency</t>
        </is>
      </c>
      <c r="G3092" s="3" t="n">
        <v>12754.76963</v>
      </c>
      <c r="H3092" s="3" t="n">
        <v>13755.451289</v>
      </c>
      <c r="I3092" s="3" t="n">
        <v>15144.825886</v>
      </c>
      <c r="J3092" s="3" t="n">
        <v>17132.77903</v>
      </c>
      <c r="K3092" s="3" t="n">
        <v>19460.476213</v>
      </c>
      <c r="L3092" s="3" t="n">
        <v>22186.649807</v>
      </c>
      <c r="M3092" s="3" t="n">
        <v>25785.327452</v>
      </c>
      <c r="N3092" s="3" t="n">
        <v>30181.841713</v>
      </c>
      <c r="O3092" s="3" t="n">
        <v>38570.559395</v>
      </c>
      <c r="P3092" s="3" t="n">
        <v>48948</v>
      </c>
      <c r="Q3092" s="3" t="n">
        <v>53748</v>
      </c>
      <c r="R3092" s="3" t="n">
        <v>69379</v>
      </c>
      <c r="S3092" s="3" t="n">
        <v>77488</v>
      </c>
      <c r="T3092" s="3" t="n">
        <v>83637</v>
      </c>
      <c r="U3092" s="3" t="n">
        <v>90352</v>
      </c>
      <c r="V3092" s="3" t="n">
        <v>97610</v>
      </c>
      <c r="W3092" s="3" t="n">
        <v>103397</v>
      </c>
      <c r="X3092" s="3" t="n">
        <v>114076</v>
      </c>
      <c r="Y3092" s="3" t="n">
        <v>126939</v>
      </c>
      <c r="Z3092" s="3" t="n">
        <v>140089</v>
      </c>
      <c r="AA3092" s="3" t="n">
        <v>141155</v>
      </c>
      <c r="AB3092" s="3" t="n">
        <v>153545</v>
      </c>
      <c r="AC3092" s="3" t="n">
        <v>174426</v>
      </c>
      <c r="AD3092" s="3" t="n">
        <v>193902</v>
      </c>
      <c r="AE3092" s="3" t="n">
        <v>214916</v>
      </c>
      <c r="AF3092" s="3" t="n">
        <v>238198</v>
      </c>
      <c r="AG3092" s="3" t="n">
        <v>268982.713938</v>
      </c>
      <c r="AH3092" s="3" t="n">
        <v>304982.451216</v>
      </c>
      <c r="AI3092" s="3" t="n">
        <v>341143.780243</v>
      </c>
      <c r="AJ3092" s="3" t="n">
        <v>380732.7469</v>
      </c>
      <c r="AK3092" s="3" t="n">
        <v>423486.926273</v>
      </c>
      <c r="AL3092" s="3" t="n">
        <v>470329.737289</v>
      </c>
      <c r="AM3092" s="3" t="n"/>
      <c r="AN3092" s="3" t="n"/>
      <c r="AO3092" s="3" t="n"/>
      <c r="AP3092" s="3" t="n"/>
      <c r="AQ3092" s="3" t="n"/>
      <c r="AR3092" s="3" t="n"/>
      <c r="AS3092" s="3" t="n"/>
      <c r="AT3092" s="3" t="n"/>
      <c r="AU3092" s="3" t="n"/>
    </row>
    <row r="3093">
      <c r="A3093" s="3" t="n">
        <v>2031</v>
      </c>
      <c r="B3093" s="3" t="inlineStr">
        <is>
          <t>UGA</t>
        </is>
      </c>
      <c r="C3093" s="3" t="inlineStr">
        <is>
          <t>IMF.RES:WEO</t>
        </is>
      </c>
      <c r="D3093" s="3" t="inlineStr">
        <is>
          <t>UGA.NGDP_D.A</t>
        </is>
      </c>
      <c r="E3093" s="3" t="inlineStr">
        <is>
          <t>Uganda</t>
        </is>
      </c>
      <c r="F3093" s="3" t="inlineStr">
        <is>
          <t>Gross domestic product (GDP), Price deflator, Index</t>
        </is>
      </c>
      <c r="G3093" s="3" t="n">
        <v>33.886834</v>
      </c>
      <c r="H3093" s="3" t="n">
        <v>33.600225</v>
      </c>
      <c r="I3093" s="3" t="n">
        <v>34.55547</v>
      </c>
      <c r="J3093" s="3" t="n">
        <v>36.823416</v>
      </c>
      <c r="K3093" s="3" t="n">
        <v>39.532141</v>
      </c>
      <c r="L3093" s="3" t="n">
        <v>40.970065</v>
      </c>
      <c r="M3093" s="3" t="n">
        <v>44.479868</v>
      </c>
      <c r="N3093" s="3" t="n">
        <v>48.178814</v>
      </c>
      <c r="O3093" s="3" t="n">
        <v>55.755423</v>
      </c>
      <c r="P3093" s="3" t="n">
        <v>65.47351500000001</v>
      </c>
      <c r="Q3093" s="3" t="n">
        <v>66.888184</v>
      </c>
      <c r="R3093" s="3" t="n">
        <v>80.18468900000001</v>
      </c>
      <c r="S3093" s="3" t="n">
        <v>87.51454099999999</v>
      </c>
      <c r="T3093" s="3" t="n">
        <v>90.88014800000001</v>
      </c>
      <c r="U3093" s="3" t="n">
        <v>92.842977</v>
      </c>
      <c r="V3093" s="3" t="n">
        <v>92.86726899999999</v>
      </c>
      <c r="W3093" s="3" t="n">
        <v>98.20863799999999</v>
      </c>
      <c r="X3093" s="3" t="n">
        <v>101.457705</v>
      </c>
      <c r="Y3093" s="3" t="n">
        <v>106.94283</v>
      </c>
      <c r="Z3093" s="3" t="n">
        <v>109.658708</v>
      </c>
      <c r="AA3093" s="3" t="n">
        <v>111.779379</v>
      </c>
      <c r="AB3093" s="3" t="n">
        <v>115.233364</v>
      </c>
      <c r="AC3093" s="3" t="n">
        <v>123.288426</v>
      </c>
      <c r="AD3093" s="3" t="n">
        <v>130.517487</v>
      </c>
      <c r="AE3093" s="3" t="n">
        <v>136.476266</v>
      </c>
      <c r="AF3093" s="3" t="n">
        <v>141.729688</v>
      </c>
      <c r="AG3093" s="3" t="n">
        <v>148.869543</v>
      </c>
      <c r="AH3093" s="3" t="n">
        <v>156.007627</v>
      </c>
      <c r="AI3093" s="3" t="n">
        <v>163.073328</v>
      </c>
      <c r="AJ3093" s="3" t="n">
        <v>170.6224</v>
      </c>
      <c r="AK3093" s="3" t="n">
        <v>178.682286</v>
      </c>
      <c r="AL3093" s="3" t="n">
        <v>187.414306</v>
      </c>
      <c r="AM3093" s="3" t="n"/>
      <c r="AN3093" s="3" t="n"/>
      <c r="AO3093" s="3" t="n"/>
      <c r="AP3093" s="3" t="n"/>
      <c r="AQ3093" s="3" t="n"/>
      <c r="AR3093" s="3" t="n"/>
      <c r="AS3093" s="3" t="n"/>
      <c r="AT3093" s="3" t="n"/>
      <c r="AU3093" s="3" t="n"/>
    </row>
    <row r="3094">
      <c r="A3094" s="3" t="n">
        <v>2031</v>
      </c>
      <c r="B3094" s="3" t="inlineStr">
        <is>
          <t>UGA</t>
        </is>
      </c>
      <c r="C3094" s="3" t="inlineStr">
        <is>
          <t>IMF.RES:WEO</t>
        </is>
      </c>
      <c r="D3094" s="3" t="inlineStr">
        <is>
          <t>UGA.NGDP_R.A</t>
        </is>
      </c>
      <c r="E3094" s="3" t="inlineStr">
        <is>
          <t>Uganda</t>
        </is>
      </c>
      <c r="F3094" s="3" t="inlineStr">
        <is>
          <t>Gross domestic product (GDP), Constant prices, Domestic currency</t>
        </is>
      </c>
      <c r="G3094" s="3" t="n">
        <v>37639.307183</v>
      </c>
      <c r="H3094" s="3" t="n">
        <v>40938.568533</v>
      </c>
      <c r="I3094" s="3" t="n">
        <v>43827.578741</v>
      </c>
      <c r="J3094" s="3" t="n">
        <v>46526.85996</v>
      </c>
      <c r="K3094" s="3" t="n">
        <v>49226.972992</v>
      </c>
      <c r="L3094" s="3" t="n">
        <v>54153.319049</v>
      </c>
      <c r="M3094" s="3" t="n">
        <v>57970.782202</v>
      </c>
      <c r="N3094" s="3" t="n">
        <v>62645.464252</v>
      </c>
      <c r="O3094" s="3" t="n">
        <v>69178.130519</v>
      </c>
      <c r="P3094" s="3" t="n">
        <v>74760</v>
      </c>
      <c r="Q3094" s="3" t="n">
        <v>80355</v>
      </c>
      <c r="R3094" s="3" t="n">
        <v>86524</v>
      </c>
      <c r="S3094" s="3" t="n">
        <v>88543</v>
      </c>
      <c r="T3094" s="3" t="n">
        <v>92030</v>
      </c>
      <c r="U3094" s="3" t="n">
        <v>97317</v>
      </c>
      <c r="V3094" s="3" t="n">
        <v>105107</v>
      </c>
      <c r="W3094" s="3" t="n">
        <v>105283</v>
      </c>
      <c r="X3094" s="3" t="n">
        <v>112437</v>
      </c>
      <c r="Y3094" s="3" t="n">
        <v>118698</v>
      </c>
      <c r="Z3094" s="3" t="n">
        <v>127750</v>
      </c>
      <c r="AA3094" s="3" t="n">
        <v>126280</v>
      </c>
      <c r="AB3094" s="3" t="n">
        <v>133247</v>
      </c>
      <c r="AC3094" s="3" t="n">
        <v>141478</v>
      </c>
      <c r="AD3094" s="3" t="n">
        <v>148564</v>
      </c>
      <c r="AE3094" s="3" t="n">
        <v>157475</v>
      </c>
      <c r="AF3094" s="3" t="n">
        <v>168065</v>
      </c>
      <c r="AG3094" s="3" t="n">
        <v>180683.509063</v>
      </c>
      <c r="AH3094" s="3" t="n">
        <v>195492.013032</v>
      </c>
      <c r="AI3094" s="3" t="n">
        <v>209196.552615</v>
      </c>
      <c r="AJ3094" s="3" t="n">
        <v>223143.471361</v>
      </c>
      <c r="AK3094" s="3" t="n">
        <v>237005.545424</v>
      </c>
      <c r="AL3094" s="3" t="n">
        <v>250957.222297</v>
      </c>
      <c r="AM3094" s="3" t="n"/>
      <c r="AN3094" s="3" t="n"/>
      <c r="AO3094" s="3" t="n"/>
      <c r="AP3094" s="3" t="n"/>
      <c r="AQ3094" s="3" t="n"/>
      <c r="AR3094" s="3" t="n"/>
      <c r="AS3094" s="3" t="n"/>
      <c r="AT3094" s="3" t="n"/>
      <c r="AU3094" s="3" t="n"/>
    </row>
    <row r="3095">
      <c r="A3095" s="3" t="n">
        <v>2031</v>
      </c>
      <c r="B3095" s="3" t="inlineStr">
        <is>
          <t>UGA</t>
        </is>
      </c>
      <c r="C3095" s="3" t="inlineStr">
        <is>
          <t>IMF.RES:WEO</t>
        </is>
      </c>
      <c r="D3095" s="3" t="inlineStr">
        <is>
          <t>UGA.NGDP_RPCH.A</t>
        </is>
      </c>
      <c r="E3095" s="3" t="inlineStr">
        <is>
          <t>Uganda</t>
        </is>
      </c>
      <c r="F3095" s="3" t="inlineStr">
        <is>
          <t>Gross domestic product (GDP), Constant prices, Percent change</t>
        </is>
      </c>
      <c r="G3095" s="3" t="n">
        <v>3.941356</v>
      </c>
      <c r="H3095" s="3" t="n">
        <v>8.765468</v>
      </c>
      <c r="I3095" s="3" t="n">
        <v>7.05694</v>
      </c>
      <c r="J3095" s="3" t="n">
        <v>6.158865</v>
      </c>
      <c r="K3095" s="3" t="n">
        <v>5.803342</v>
      </c>
      <c r="L3095" s="3" t="n">
        <v>10.007412</v>
      </c>
      <c r="M3095" s="3" t="n">
        <v>7.049361</v>
      </c>
      <c r="N3095" s="3" t="n">
        <v>8.063859000000001</v>
      </c>
      <c r="O3095" s="3" t="n">
        <v>10.427996</v>
      </c>
      <c r="P3095" s="3" t="n">
        <v>8.068835</v>
      </c>
      <c r="Q3095" s="3" t="n">
        <v>7.483949</v>
      </c>
      <c r="R3095" s="3" t="n">
        <v>7.677183</v>
      </c>
      <c r="S3095" s="3" t="n">
        <v>2.333457</v>
      </c>
      <c r="T3095" s="3" t="n">
        <v>3.9382</v>
      </c>
      <c r="U3095" s="3" t="n">
        <v>5.744866</v>
      </c>
      <c r="V3095" s="3" t="n">
        <v>8.004768</v>
      </c>
      <c r="W3095" s="3" t="n">
        <v>0.167448</v>
      </c>
      <c r="X3095" s="3" t="n">
        <v>6.795019</v>
      </c>
      <c r="Y3095" s="3" t="n">
        <v>5.568452</v>
      </c>
      <c r="Z3095" s="3" t="n">
        <v>7.626076</v>
      </c>
      <c r="AA3095" s="3" t="n">
        <v>-1.150685</v>
      </c>
      <c r="AB3095" s="3" t="n">
        <v>5.517105</v>
      </c>
      <c r="AC3095" s="3" t="n">
        <v>6.17725</v>
      </c>
      <c r="AD3095" s="3" t="n">
        <v>5.008553</v>
      </c>
      <c r="AE3095" s="3" t="n">
        <v>5.998088</v>
      </c>
      <c r="AF3095" s="3" t="n">
        <v>6.724877</v>
      </c>
      <c r="AG3095" s="3" t="n">
        <v>7.508112</v>
      </c>
      <c r="AH3095" s="3" t="n">
        <v>8.195824999999999</v>
      </c>
      <c r="AI3095" s="3" t="n">
        <v>7.010281</v>
      </c>
      <c r="AJ3095" s="3" t="n">
        <v>6.666897</v>
      </c>
      <c r="AK3095" s="3" t="n">
        <v>6.21218</v>
      </c>
      <c r="AL3095" s="3" t="n">
        <v>5.886646</v>
      </c>
      <c r="AM3095" s="3" t="n"/>
      <c r="AN3095" s="3" t="n"/>
      <c r="AO3095" s="3" t="n"/>
      <c r="AP3095" s="3" t="n"/>
      <c r="AQ3095" s="3" t="n"/>
      <c r="AR3095" s="3" t="n"/>
      <c r="AS3095" s="3" t="n"/>
      <c r="AT3095" s="3" t="n"/>
      <c r="AU3095" s="3" t="n"/>
    </row>
    <row r="3096">
      <c r="A3096" s="3" t="n">
        <v>2031</v>
      </c>
      <c r="B3096" s="3" t="inlineStr">
        <is>
          <t>UGA</t>
        </is>
      </c>
      <c r="C3096" s="3" t="inlineStr">
        <is>
          <t>IMF.RES:WEO</t>
        </is>
      </c>
      <c r="D3096" s="3" t="inlineStr">
        <is>
          <t>UGA.NGDPD.A</t>
        </is>
      </c>
      <c r="E3096" s="3" t="inlineStr">
        <is>
          <t>Uganda</t>
        </is>
      </c>
      <c r="F3096" s="3" t="inlineStr">
        <is>
          <t>Gross domestic product (GDP), Current prices, US dollar</t>
        </is>
      </c>
      <c r="G3096" s="3" t="n">
        <v>7.756133</v>
      </c>
      <c r="H3096" s="3" t="n">
        <v>7.834923</v>
      </c>
      <c r="I3096" s="3" t="n">
        <v>8.425257999999999</v>
      </c>
      <c r="J3096" s="3" t="n">
        <v>8.724653999999999</v>
      </c>
      <c r="K3096" s="3" t="n">
        <v>10.749835</v>
      </c>
      <c r="L3096" s="3" t="n">
        <v>12.45975</v>
      </c>
      <c r="M3096" s="3" t="n">
        <v>14.079161</v>
      </c>
      <c r="N3096" s="3" t="n">
        <v>17.512031</v>
      </c>
      <c r="O3096" s="3" t="n">
        <v>22.418958</v>
      </c>
      <c r="P3096" s="3" t="n">
        <v>24.106519</v>
      </c>
      <c r="Q3096" s="3" t="n">
        <v>24.682701</v>
      </c>
      <c r="R3096" s="3" t="n">
        <v>27.501378</v>
      </c>
      <c r="S3096" s="3" t="n">
        <v>30.93917</v>
      </c>
      <c r="T3096" s="3" t="n">
        <v>32.331108</v>
      </c>
      <c r="U3096" s="3" t="n">
        <v>34.753606</v>
      </c>
      <c r="V3096" s="3" t="n">
        <v>30.121779</v>
      </c>
      <c r="W3096" s="3" t="n">
        <v>30.232175</v>
      </c>
      <c r="X3096" s="3" t="n">
        <v>31.589289</v>
      </c>
      <c r="Y3096" s="3" t="n">
        <v>34.126956</v>
      </c>
      <c r="Z3096" s="3" t="n">
        <v>37.894779</v>
      </c>
      <c r="AA3096" s="3" t="n">
        <v>37.888996</v>
      </c>
      <c r="AB3096" s="3" t="n">
        <v>42.805349</v>
      </c>
      <c r="AC3096" s="3" t="n">
        <v>47.272246</v>
      </c>
      <c r="AD3096" s="3" t="n">
        <v>52.038279</v>
      </c>
      <c r="AE3096" s="3" t="n">
        <v>57.060646</v>
      </c>
      <c r="AF3096" s="3" t="n">
        <v>66.014385</v>
      </c>
      <c r="AG3096" s="3" t="n">
        <v>73.370075</v>
      </c>
      <c r="AH3096" s="3" t="n">
        <v>80.19839</v>
      </c>
      <c r="AI3096" s="3" t="n">
        <v>87.684183</v>
      </c>
      <c r="AJ3096" s="3" t="n">
        <v>95.952018</v>
      </c>
      <c r="AK3096" s="3" t="n">
        <v>103.903505</v>
      </c>
      <c r="AL3096" s="3" t="n">
        <v>112.309799</v>
      </c>
      <c r="AM3096" s="3" t="n"/>
      <c r="AN3096" s="3" t="n"/>
      <c r="AO3096" s="3" t="n"/>
      <c r="AP3096" s="3" t="n"/>
      <c r="AQ3096" s="3" t="n"/>
      <c r="AR3096" s="3" t="n"/>
      <c r="AS3096" s="3" t="n"/>
      <c r="AT3096" s="3" t="n"/>
      <c r="AU3096" s="3" t="n"/>
    </row>
    <row r="3097">
      <c r="A3097" s="3" t="n">
        <v>2031</v>
      </c>
      <c r="B3097" s="3" t="inlineStr">
        <is>
          <t>UGA</t>
        </is>
      </c>
      <c r="C3097" s="3" t="inlineStr">
        <is>
          <t>IMF.RES:WEO</t>
        </is>
      </c>
      <c r="D3097" s="3" t="inlineStr">
        <is>
          <t>UGA.NGDPPC.A</t>
        </is>
      </c>
      <c r="E3097" s="3" t="inlineStr">
        <is>
          <t>Uganda</t>
        </is>
      </c>
      <c r="F3097" s="3" t="inlineStr">
        <is>
          <t>Gross domestic product (GDP), Current prices, Per capita, Domestic currency</t>
        </is>
      </c>
      <c r="G3097" s="3" t="n">
        <v>584555.0346970001</v>
      </c>
      <c r="H3097" s="3" t="n">
        <v>610638.809239</v>
      </c>
      <c r="I3097" s="3" t="n">
        <v>650628.98204</v>
      </c>
      <c r="J3097" s="3" t="n">
        <v>710419.553159</v>
      </c>
      <c r="K3097" s="3" t="n">
        <v>779802.72961</v>
      </c>
      <c r="L3097" s="3" t="n">
        <v>860119.149311</v>
      </c>
      <c r="M3097" s="3" t="n">
        <v>966530.242645</v>
      </c>
      <c r="N3097" s="3" t="n">
        <v>1093315.373937</v>
      </c>
      <c r="O3097" s="3" t="n">
        <v>1349681.801736</v>
      </c>
      <c r="P3097" s="3" t="n">
        <v>1656489.048109</v>
      </c>
      <c r="Q3097" s="3" t="n">
        <v>1761018.816399</v>
      </c>
      <c r="R3097" s="3" t="n">
        <v>2199933.5316</v>
      </c>
      <c r="S3097" s="3" t="n">
        <v>2380737.561867</v>
      </c>
      <c r="T3097" s="3" t="n">
        <v>2495915.343536</v>
      </c>
      <c r="U3097" s="3" t="n">
        <v>2620632.061793</v>
      </c>
      <c r="V3097" s="3" t="n">
        <v>2750189.478785</v>
      </c>
      <c r="W3097" s="3" t="n">
        <v>2828091.365866</v>
      </c>
      <c r="X3097" s="3" t="n">
        <v>3027992.928773</v>
      </c>
      <c r="Y3097" s="3" t="n">
        <v>3269677.073701</v>
      </c>
      <c r="Z3097" s="3" t="n">
        <v>3517782.392631</v>
      </c>
      <c r="AA3097" s="3" t="n">
        <v>3424247.128974</v>
      </c>
      <c r="AB3097" s="3" t="n">
        <v>3616194.950295</v>
      </c>
      <c r="AC3097" s="3" t="n">
        <v>3982436.069219</v>
      </c>
      <c r="AD3097" s="3" t="n">
        <v>4287787.297444</v>
      </c>
      <c r="AE3097" s="3" t="n">
        <v>4609646.925842</v>
      </c>
      <c r="AF3097" s="3" t="n">
        <v>4960206.979226</v>
      </c>
      <c r="AG3097" s="3" t="n">
        <v>5411463.149191</v>
      </c>
      <c r="AH3097" s="3" t="n">
        <v>5870946.893236</v>
      </c>
      <c r="AI3097" s="3" t="n">
        <v>6315958.721085</v>
      </c>
      <c r="AJ3097" s="3" t="n">
        <v>6843603.390882</v>
      </c>
      <c r="AK3097" s="3" t="n">
        <v>7390390.445521</v>
      </c>
      <c r="AL3097" s="3" t="n">
        <v>7929731.095488</v>
      </c>
      <c r="AM3097" s="3" t="n"/>
      <c r="AN3097" s="3" t="n"/>
      <c r="AO3097" s="3" t="n"/>
      <c r="AP3097" s="3" t="n"/>
      <c r="AQ3097" s="3" t="n"/>
      <c r="AR3097" s="3" t="n"/>
      <c r="AS3097" s="3" t="n"/>
      <c r="AT3097" s="3" t="n"/>
      <c r="AU3097" s="3" t="n"/>
    </row>
    <row r="3098">
      <c r="A3098" s="3" t="n">
        <v>2031</v>
      </c>
      <c r="B3098" s="3" t="inlineStr">
        <is>
          <t>UGA</t>
        </is>
      </c>
      <c r="C3098" s="3" t="inlineStr">
        <is>
          <t>IMF.RES:WEO</t>
        </is>
      </c>
      <c r="D3098" s="3" t="inlineStr">
        <is>
          <t>UGA.NGDPRPC.A</t>
        </is>
      </c>
      <c r="E3098" s="3" t="inlineStr">
        <is>
          <t>Uganda</t>
        </is>
      </c>
      <c r="F3098" s="3" t="inlineStr">
        <is>
          <t>Gross domestic product (GDP), Constant prices, Per capita, Domestic currency</t>
        </is>
      </c>
      <c r="G3098" s="3" t="n">
        <v>1725021.082657</v>
      </c>
      <c r="H3098" s="3" t="n">
        <v>1817365.21876</v>
      </c>
      <c r="I3098" s="3" t="n">
        <v>1882853.798084</v>
      </c>
      <c r="J3098" s="3" t="n">
        <v>1929260.338008</v>
      </c>
      <c r="K3098" s="3" t="n">
        <v>1972579.061789</v>
      </c>
      <c r="L3098" s="3" t="n">
        <v>2099384.409915</v>
      </c>
      <c r="M3098" s="3" t="n">
        <v>2172961.126574</v>
      </c>
      <c r="N3098" s="3" t="n">
        <v>2269286.606988</v>
      </c>
      <c r="O3098" s="3" t="n">
        <v>2420718.426324</v>
      </c>
      <c r="P3098" s="3" t="n">
        <v>2530013.917557</v>
      </c>
      <c r="Q3098" s="3" t="n">
        <v>2632780.140502</v>
      </c>
      <c r="R3098" s="3" t="n">
        <v>2743583.056662</v>
      </c>
      <c r="S3098" s="3" t="n">
        <v>2720390.846846</v>
      </c>
      <c r="T3098" s="3" t="n">
        <v>2746381.255493</v>
      </c>
      <c r="U3098" s="3" t="n">
        <v>2822649.751611</v>
      </c>
      <c r="V3098" s="3" t="n">
        <v>2961419.583513</v>
      </c>
      <c r="W3098" s="3" t="n">
        <v>2879676.81144</v>
      </c>
      <c r="X3098" s="3" t="n">
        <v>2984487.893443</v>
      </c>
      <c r="Y3098" s="3" t="n">
        <v>3057406.544042</v>
      </c>
      <c r="Z3098" s="3" t="n">
        <v>3207937.101833</v>
      </c>
      <c r="AA3098" s="3" t="n">
        <v>3063397.877843</v>
      </c>
      <c r="AB3098" s="3" t="n">
        <v>3138149.262704</v>
      </c>
      <c r="AC3098" s="3" t="n">
        <v>3230178.35759</v>
      </c>
      <c r="AD3098" s="3" t="n">
        <v>3285220.534381</v>
      </c>
      <c r="AE3098" s="3" t="n">
        <v>3377617.997948</v>
      </c>
      <c r="AF3098" s="3" t="n">
        <v>3499765.682178</v>
      </c>
      <c r="AG3098" s="3" t="n">
        <v>3635037.124312</v>
      </c>
      <c r="AH3098" s="3" t="n">
        <v>3763243.498058</v>
      </c>
      <c r="AI3098" s="3" t="n">
        <v>3873078.940408</v>
      </c>
      <c r="AJ3098" s="3" t="n">
        <v>4010964.199141</v>
      </c>
      <c r="AK3098" s="3" t="n">
        <v>4136050.98474</v>
      </c>
      <c r="AL3098" s="3" t="n">
        <v>4231123.680919</v>
      </c>
      <c r="AM3098" s="3" t="n"/>
      <c r="AN3098" s="3" t="n"/>
      <c r="AO3098" s="3" t="n"/>
      <c r="AP3098" s="3" t="n"/>
      <c r="AQ3098" s="3" t="n"/>
      <c r="AR3098" s="3" t="n"/>
      <c r="AS3098" s="3" t="n"/>
      <c r="AT3098" s="3" t="n"/>
      <c r="AU3098" s="3" t="n"/>
    </row>
    <row r="3099">
      <c r="A3099" s="3" t="n">
        <v>2031</v>
      </c>
      <c r="B3099" s="3" t="inlineStr">
        <is>
          <t>UGA</t>
        </is>
      </c>
      <c r="C3099" s="3" t="inlineStr">
        <is>
          <t>IMF.RES:WEO</t>
        </is>
      </c>
      <c r="D3099" s="3" t="inlineStr">
        <is>
          <t>UGA.PCPI.A</t>
        </is>
      </c>
      <c r="E3099" s="3" t="inlineStr">
        <is>
          <t>Uganda</t>
        </is>
      </c>
      <c r="F3099" s="3" t="inlineStr">
        <is>
          <t>All Items, Consumer price index (CPI), Period average</t>
        </is>
      </c>
      <c r="G3099" s="3" t="n">
        <v>32.19489</v>
      </c>
      <c r="H3099" s="3" t="n">
        <v>32.813633</v>
      </c>
      <c r="I3099" s="3" t="n">
        <v>32.715247</v>
      </c>
      <c r="J3099" s="3" t="n">
        <v>35.564812</v>
      </c>
      <c r="K3099" s="3" t="n">
        <v>36.86861</v>
      </c>
      <c r="L3099" s="3" t="n">
        <v>40.039953</v>
      </c>
      <c r="M3099" s="3" t="n">
        <v>42.930586</v>
      </c>
      <c r="N3099" s="3" t="n">
        <v>45.545155</v>
      </c>
      <c r="O3099" s="3" t="n">
        <v>51.030577</v>
      </c>
      <c r="P3099" s="3" t="n">
        <v>57.673358</v>
      </c>
      <c r="Q3099" s="3" t="n">
        <v>59.970261</v>
      </c>
      <c r="R3099" s="3" t="n">
        <v>71.16</v>
      </c>
      <c r="S3099" s="3" t="n">
        <v>81.13</v>
      </c>
      <c r="T3099" s="3" t="n">
        <v>85.565</v>
      </c>
      <c r="U3099" s="3" t="n">
        <v>89.235833</v>
      </c>
      <c r="V3099" s="3" t="n">
        <v>92.530833</v>
      </c>
      <c r="W3099" s="3" t="n">
        <v>97.314167</v>
      </c>
      <c r="X3099" s="3" t="n">
        <v>102.740833</v>
      </c>
      <c r="Y3099" s="3" t="n">
        <v>105.36</v>
      </c>
      <c r="Z3099" s="3" t="n">
        <v>107.611667</v>
      </c>
      <c r="AA3099" s="3" t="n">
        <v>110.579721</v>
      </c>
      <c r="AB3099" s="3" t="n">
        <v>113.020412</v>
      </c>
      <c r="AC3099" s="3" t="n">
        <v>121.149213</v>
      </c>
      <c r="AD3099" s="3" t="n">
        <v>127.633296</v>
      </c>
      <c r="AE3099" s="3" t="n">
        <v>131.874624</v>
      </c>
      <c r="AF3099" s="3" t="n">
        <v>136.597754</v>
      </c>
      <c r="AG3099" s="3" t="n">
        <v>142.046628</v>
      </c>
      <c r="AH3099" s="3" t="n">
        <v>148.962416</v>
      </c>
      <c r="AI3099" s="3" t="n">
        <v>156.186235</v>
      </c>
      <c r="AJ3099" s="3" t="n">
        <v>163.995547</v>
      </c>
      <c r="AK3099" s="3" t="n">
        <v>172.195324</v>
      </c>
      <c r="AL3099" s="3" t="n">
        <v>180.80509</v>
      </c>
      <c r="AM3099" s="3" t="n"/>
      <c r="AN3099" s="3" t="n"/>
      <c r="AO3099" s="3" t="n"/>
      <c r="AP3099" s="3" t="n"/>
      <c r="AQ3099" s="3" t="n"/>
      <c r="AR3099" s="3" t="n"/>
      <c r="AS3099" s="3" t="n"/>
      <c r="AT3099" s="3" t="n"/>
      <c r="AU3099" s="3" t="n"/>
    </row>
    <row r="3100">
      <c r="A3100" s="3" t="n">
        <v>2031</v>
      </c>
      <c r="B3100" s="3" t="inlineStr">
        <is>
          <t>UGA</t>
        </is>
      </c>
      <c r="C3100" s="3" t="inlineStr">
        <is>
          <t>IMF.RES:WEO</t>
        </is>
      </c>
      <c r="D3100" s="3" t="inlineStr">
        <is>
          <t>UGA.PCPIPCH.A</t>
        </is>
      </c>
      <c r="E3100" s="3" t="inlineStr">
        <is>
          <t>Uganda</t>
        </is>
      </c>
      <c r="F3100" s="3" t="inlineStr">
        <is>
          <t>All Items, Consumer price index (CPI), Period average, percent change</t>
        </is>
      </c>
      <c r="G3100" s="3" t="n">
        <v>3.381505</v>
      </c>
      <c r="H3100" s="3" t="n">
        <v>1.921866</v>
      </c>
      <c r="I3100" s="3" t="n">
        <v>-0.299833</v>
      </c>
      <c r="J3100" s="3" t="n">
        <v>8.710207</v>
      </c>
      <c r="K3100" s="3" t="n">
        <v>3.665977</v>
      </c>
      <c r="L3100" s="3" t="n">
        <v>8.601743000000001</v>
      </c>
      <c r="M3100" s="3" t="n">
        <v>7.219371</v>
      </c>
      <c r="N3100" s="3" t="n">
        <v>6.090223</v>
      </c>
      <c r="O3100" s="3" t="n">
        <v>12.043921</v>
      </c>
      <c r="P3100" s="3" t="n">
        <v>13.017256</v>
      </c>
      <c r="Q3100" s="3" t="n">
        <v>3.982607</v>
      </c>
      <c r="R3100" s="3" t="n">
        <v>18.658812</v>
      </c>
      <c r="S3100" s="3" t="n">
        <v>14.01068</v>
      </c>
      <c r="T3100" s="3" t="n">
        <v>5.466535</v>
      </c>
      <c r="U3100" s="3" t="n">
        <v>4.290111</v>
      </c>
      <c r="V3100" s="3" t="n">
        <v>3.692463</v>
      </c>
      <c r="W3100" s="3" t="n">
        <v>5.169448</v>
      </c>
      <c r="X3100" s="3" t="n">
        <v>5.576441</v>
      </c>
      <c r="Y3100" s="3" t="n">
        <v>2.549295</v>
      </c>
      <c r="Z3100" s="3" t="n">
        <v>2.137117</v>
      </c>
      <c r="AA3100" s="3" t="n">
        <v>2.758116</v>
      </c>
      <c r="AB3100" s="3" t="n">
        <v>2.207178</v>
      </c>
      <c r="AC3100" s="3" t="n">
        <v>7.19233</v>
      </c>
      <c r="AD3100" s="3" t="n">
        <v>5.352146</v>
      </c>
      <c r="AE3100" s="3" t="n">
        <v>3.323058</v>
      </c>
      <c r="AF3100" s="3" t="n">
        <v>3.581531</v>
      </c>
      <c r="AG3100" s="3" t="n">
        <v>3.988992</v>
      </c>
      <c r="AH3100" s="3" t="n">
        <v>4.868675</v>
      </c>
      <c r="AI3100" s="3" t="n">
        <v>4.849424</v>
      </c>
      <c r="AJ3100" s="3" t="n">
        <v>5</v>
      </c>
      <c r="AK3100" s="3" t="n">
        <v>5</v>
      </c>
      <c r="AL3100" s="3" t="n">
        <v>5</v>
      </c>
      <c r="AM3100" s="3" t="n"/>
      <c r="AN3100" s="3" t="n"/>
      <c r="AO3100" s="3" t="n"/>
      <c r="AP3100" s="3" t="n"/>
      <c r="AQ3100" s="3" t="n"/>
      <c r="AR3100" s="3" t="n"/>
      <c r="AS3100" s="3" t="n"/>
      <c r="AT3100" s="3" t="n"/>
      <c r="AU3100" s="3" t="n"/>
    </row>
    <row r="3101">
      <c r="A3101" s="3" t="n">
        <v>2031</v>
      </c>
      <c r="B3101" s="3" t="inlineStr">
        <is>
          <t>UGA</t>
        </is>
      </c>
      <c r="C3101" s="3" t="inlineStr">
        <is>
          <t>IMF.RES:WEO</t>
        </is>
      </c>
      <c r="D3101" s="3" t="inlineStr">
        <is>
          <t>UGA.PPPPC.A</t>
        </is>
      </c>
      <c r="E3101" s="3" t="inlineStr">
        <is>
          <t>Uganda</t>
        </is>
      </c>
      <c r="F3101" s="3" t="inlineStr">
        <is>
          <t>Gross domestic product (GDP), Per capita, purchasing power parity (PPP) international dollar, ICP benchmarks 2017-2021</t>
        </is>
      </c>
      <c r="G3101" s="3" t="n">
        <v>1016.879595</v>
      </c>
      <c r="H3101" s="3" t="n">
        <v>1095.43733</v>
      </c>
      <c r="I3101" s="3" t="n">
        <v>1152.548236</v>
      </c>
      <c r="J3101" s="3" t="n">
        <v>1204.269594</v>
      </c>
      <c r="K3101" s="3" t="n">
        <v>1264.418165</v>
      </c>
      <c r="L3101" s="3" t="n">
        <v>1387.898814</v>
      </c>
      <c r="M3101" s="3" t="n">
        <v>1480.841442</v>
      </c>
      <c r="N3101" s="3" t="n">
        <v>1588.384336</v>
      </c>
      <c r="O3101" s="3" t="n">
        <v>1727.019555</v>
      </c>
      <c r="P3101" s="3" t="n">
        <v>1816.126685</v>
      </c>
      <c r="Q3101" s="3" t="n">
        <v>1912.86495</v>
      </c>
      <c r="R3101" s="3" t="n">
        <v>2034.497754</v>
      </c>
      <c r="S3101" s="3" t="n">
        <v>2054.860374</v>
      </c>
      <c r="T3101" s="3" t="n">
        <v>2109.800316</v>
      </c>
      <c r="U3101" s="3" t="n">
        <v>2206.157796</v>
      </c>
      <c r="V3101" s="3" t="n">
        <v>2336.099952</v>
      </c>
      <c r="W3101" s="3" t="n">
        <v>2293.203051</v>
      </c>
      <c r="X3101" s="3" t="n">
        <v>2419.231859</v>
      </c>
      <c r="Y3101" s="3" t="n">
        <v>2608.001193</v>
      </c>
      <c r="Z3101" s="3" t="n">
        <v>2795.754007</v>
      </c>
      <c r="AA3101" s="3" t="n">
        <v>2759.597472</v>
      </c>
      <c r="AB3101" s="3" t="n">
        <v>3005.57918</v>
      </c>
      <c r="AC3101" s="3" t="n">
        <v>3313.75875</v>
      </c>
      <c r="AD3101" s="3" t="n">
        <v>3494.924589</v>
      </c>
      <c r="AE3101" s="3" t="n">
        <v>3682.423317</v>
      </c>
      <c r="AF3101" s="3" t="n">
        <v>3923.833428</v>
      </c>
      <c r="AG3101" s="3" t="n">
        <v>4192.252629</v>
      </c>
      <c r="AH3101" s="3" t="n">
        <v>4435.416384</v>
      </c>
      <c r="AI3101" s="3" t="n">
        <v>4639.797462</v>
      </c>
      <c r="AJ3101" s="3" t="n">
        <v>4890.416358</v>
      </c>
      <c r="AK3101" s="3" t="n">
        <v>5135.595118</v>
      </c>
      <c r="AL3101" s="3" t="n">
        <v>5348.487804</v>
      </c>
      <c r="AM3101" s="3" t="n"/>
      <c r="AN3101" s="3" t="n"/>
      <c r="AO3101" s="3" t="n"/>
      <c r="AP3101" s="3" t="n"/>
      <c r="AQ3101" s="3" t="n"/>
      <c r="AR3101" s="3" t="n"/>
      <c r="AS3101" s="3" t="n"/>
      <c r="AT3101" s="3" t="n"/>
      <c r="AU3101" s="3" t="n"/>
    </row>
    <row r="3102">
      <c r="A3102" s="3" t="n">
        <v>2025</v>
      </c>
      <c r="B3102" s="3" t="inlineStr">
        <is>
          <t>UGA</t>
        </is>
      </c>
      <c r="C3102" s="3" t="inlineStr">
        <is>
          <t>IMF.STA:ER</t>
        </is>
      </c>
      <c r="D3102" s="3" t="inlineStr">
        <is>
          <t>UGA.XDC_USD.PA_RT.A</t>
        </is>
      </c>
      <c r="E3102" s="3" t="inlineStr">
        <is>
          <t>Uganda</t>
        </is>
      </c>
      <c r="F3102" s="3" t="inlineStr">
        <is>
          <t>Domestic currency per US Dollar</t>
        </is>
      </c>
      <c r="G3102" s="3" t="n">
        <v>1644.47533333333</v>
      </c>
      <c r="H3102" s="3" t="n">
        <v>1755.65875</v>
      </c>
      <c r="I3102" s="3" t="n">
        <v>1797.5505</v>
      </c>
      <c r="J3102" s="3" t="n">
        <v>1963.72008333333</v>
      </c>
      <c r="K3102" s="3" t="n">
        <v>1810.30471365151</v>
      </c>
      <c r="L3102" s="3" t="n">
        <v>1780.54026086523</v>
      </c>
      <c r="M3102" s="3" t="n">
        <v>1831.45185089088</v>
      </c>
      <c r="N3102" s="3" t="n">
        <v>1723.4915871404</v>
      </c>
      <c r="O3102" s="3" t="n">
        <v>1720.4438791511</v>
      </c>
      <c r="P3102" s="3" t="n">
        <v>2030.48807433418</v>
      </c>
      <c r="Q3102" s="3" t="n">
        <v>2177.55750683357</v>
      </c>
      <c r="R3102" s="3" t="n">
        <v>2522.80203252264</v>
      </c>
      <c r="S3102" s="3" t="n">
        <v>2504.56307758328</v>
      </c>
      <c r="T3102" s="3" t="n">
        <v>2586.88956856561</v>
      </c>
      <c r="U3102" s="3" t="n">
        <v>2599.78820061067</v>
      </c>
      <c r="V3102" s="3" t="n">
        <v>3240.64542033826</v>
      </c>
      <c r="W3102" s="3" t="n">
        <v>3420.09800724736</v>
      </c>
      <c r="X3102" s="3" t="n">
        <v>3611.2244580446</v>
      </c>
      <c r="Y3102" s="3" t="n">
        <v>3727.06899484612</v>
      </c>
      <c r="Z3102" s="3" t="n">
        <v>3704.04907169681</v>
      </c>
      <c r="AA3102" s="3" t="n">
        <v>3718.24892270923</v>
      </c>
      <c r="AB3102" s="3" t="n">
        <v>3587.05170733908</v>
      </c>
      <c r="AC3102" s="3" t="n">
        <v>3689.81738566862</v>
      </c>
      <c r="AD3102" s="3" t="n">
        <v>3726.14045997085</v>
      </c>
      <c r="AE3102" s="3" t="n">
        <v>3757.2625354215</v>
      </c>
      <c r="AF3102" s="3" t="n">
        <v>3602.98994206813</v>
      </c>
      <c r="AG3102" s="3" t="n"/>
      <c r="AH3102" s="3" t="n"/>
      <c r="AI3102" s="3" t="n"/>
      <c r="AJ3102" s="3" t="n"/>
      <c r="AK3102" s="3" t="n"/>
      <c r="AL3102" s="3" t="n"/>
      <c r="AM3102" s="3" t="n"/>
      <c r="AN3102" s="3" t="n"/>
      <c r="AO3102" s="3" t="n"/>
      <c r="AP3102" s="3" t="n"/>
      <c r="AQ3102" s="3" t="n"/>
      <c r="AR3102" s="3" t="n"/>
      <c r="AS3102" s="3" t="n"/>
      <c r="AT3102" s="3" t="n"/>
      <c r="AU3102" s="3" t="n"/>
    </row>
    <row r="3103">
      <c r="A3103" s="3" t="n">
        <v>2031</v>
      </c>
      <c r="B3103" s="3" t="inlineStr">
        <is>
          <t>UKR</t>
        </is>
      </c>
      <c r="C3103" s="3" t="inlineStr">
        <is>
          <t>IMF.RES:WEO</t>
        </is>
      </c>
      <c r="D3103" s="3" t="inlineStr">
        <is>
          <t>UKR.BCA.A</t>
        </is>
      </c>
      <c r="E3103" s="3" t="inlineStr">
        <is>
          <t>Ukraine</t>
        </is>
      </c>
      <c r="F3103" s="3" t="inlineStr">
        <is>
          <t>Current account balance (credit less debit), US dollar</t>
        </is>
      </c>
      <c r="G3103" s="3" t="n">
        <v>1.481</v>
      </c>
      <c r="H3103" s="3" t="n">
        <v>1.402</v>
      </c>
      <c r="I3103" s="3" t="n">
        <v>3.173</v>
      </c>
      <c r="J3103" s="3" t="n">
        <v>2.891</v>
      </c>
      <c r="K3103" s="3" t="n">
        <v>6.909</v>
      </c>
      <c r="L3103" s="3" t="n">
        <v>2.531</v>
      </c>
      <c r="M3103" s="3" t="n">
        <v>-1.617</v>
      </c>
      <c r="N3103" s="3" t="n">
        <v>-5.272</v>
      </c>
      <c r="O3103" s="3" t="n">
        <v>-12.763</v>
      </c>
      <c r="P3103" s="3" t="n">
        <v>-1.732</v>
      </c>
      <c r="Q3103" s="3" t="n">
        <v>-3.018</v>
      </c>
      <c r="R3103" s="3" t="n">
        <v>-10.245</v>
      </c>
      <c r="S3103" s="3" t="n">
        <v>-14.315</v>
      </c>
      <c r="T3103" s="3" t="n">
        <v>-16.518284</v>
      </c>
      <c r="U3103" s="3" t="n">
        <v>-5.112672</v>
      </c>
      <c r="V3103" s="3" t="n">
        <v>1.565</v>
      </c>
      <c r="W3103" s="3" t="n">
        <v>-1.394</v>
      </c>
      <c r="X3103" s="3" t="n">
        <v>-2.446</v>
      </c>
      <c r="Y3103" s="3" t="n">
        <v>-4.284</v>
      </c>
      <c r="Z3103" s="3" t="n">
        <v>-4.208</v>
      </c>
      <c r="AA3103" s="3" t="n">
        <v>4.248</v>
      </c>
      <c r="AB3103" s="3" t="n">
        <v>-4.824</v>
      </c>
      <c r="AC3103" s="3" t="n">
        <v>7.326</v>
      </c>
      <c r="AD3103" s="3" t="n">
        <v>-9.340999999999999</v>
      </c>
      <c r="AE3103" s="3" t="n">
        <v>-15.191</v>
      </c>
      <c r="AF3103" s="3" t="n">
        <v>-31.859</v>
      </c>
      <c r="AG3103" s="3" t="n">
        <v>-42.575526</v>
      </c>
      <c r="AH3103" s="3" t="n">
        <v>-39.514102</v>
      </c>
      <c r="AI3103" s="3" t="n">
        <v>-24.341692</v>
      </c>
      <c r="AJ3103" s="3" t="n">
        <v>-22.136356</v>
      </c>
      <c r="AK3103" s="3" t="n">
        <v>-21.932337</v>
      </c>
      <c r="AL3103" s="3" t="n">
        <v>-21.440443</v>
      </c>
      <c r="AM3103" s="3" t="n"/>
      <c r="AN3103" s="3" t="n"/>
      <c r="AO3103" s="3" t="n"/>
      <c r="AP3103" s="3" t="n"/>
      <c r="AQ3103" s="3" t="n"/>
      <c r="AR3103" s="3" t="n"/>
      <c r="AS3103" s="3" t="n"/>
      <c r="AT3103" s="3" t="n"/>
      <c r="AU3103" s="3" t="n"/>
    </row>
    <row r="3104">
      <c r="A3104" s="3" t="n">
        <v>2031</v>
      </c>
      <c r="B3104" s="3" t="inlineStr">
        <is>
          <t>UKR</t>
        </is>
      </c>
      <c r="C3104" s="3" t="inlineStr">
        <is>
          <t>IMF.RES:WEO</t>
        </is>
      </c>
      <c r="D3104" s="3" t="inlineStr">
        <is>
          <t>UKR.BCA_NGDPD.A</t>
        </is>
      </c>
      <c r="E3104" s="3" t="inlineStr">
        <is>
          <t>Ukraine</t>
        </is>
      </c>
      <c r="F3104" s="3" t="inlineStr">
        <is>
          <t>Current account balance (credit less debit), Percent of GDP</t>
        </is>
      </c>
      <c r="G3104" s="3" t="n">
        <v>4.574506</v>
      </c>
      <c r="H3104" s="3" t="n">
        <v>3.566599</v>
      </c>
      <c r="I3104" s="3" t="n">
        <v>7.218555</v>
      </c>
      <c r="J3104" s="3" t="n">
        <v>5.558509</v>
      </c>
      <c r="K3104" s="3" t="n">
        <v>10.278072</v>
      </c>
      <c r="L3104" s="3" t="n">
        <v>2.834852</v>
      </c>
      <c r="M3104" s="3" t="n">
        <v>-1.445237</v>
      </c>
      <c r="N3104" s="3" t="n">
        <v>-3.544586</v>
      </c>
      <c r="O3104" s="3" t="n">
        <v>-6.78016</v>
      </c>
      <c r="P3104" s="3" t="n">
        <v>-1.424902</v>
      </c>
      <c r="Q3104" s="3" t="n">
        <v>-2.137279</v>
      </c>
      <c r="R3104" s="3" t="n">
        <v>-6.053928</v>
      </c>
      <c r="S3104" s="3" t="n">
        <v>-7.839894</v>
      </c>
      <c r="T3104" s="3" t="n">
        <v>-8.671068999999999</v>
      </c>
      <c r="U3104" s="3" t="n">
        <v>-3.831597</v>
      </c>
      <c r="V3104" s="3" t="n">
        <v>1.720138</v>
      </c>
      <c r="W3104" s="3" t="n">
        <v>-1.493217</v>
      </c>
      <c r="X3104" s="3" t="n">
        <v>-2.182165</v>
      </c>
      <c r="Y3104" s="3" t="n">
        <v>-3.27295</v>
      </c>
      <c r="Z3104" s="3" t="n">
        <v>-2.734544</v>
      </c>
      <c r="AA3104" s="3" t="n">
        <v>2.712337</v>
      </c>
      <c r="AB3104" s="3" t="n">
        <v>-2.414827</v>
      </c>
      <c r="AC3104" s="3" t="n">
        <v>4.522515</v>
      </c>
      <c r="AD3104" s="3" t="n">
        <v>-5.154465</v>
      </c>
      <c r="AE3104" s="3" t="n">
        <v>-7.960328</v>
      </c>
      <c r="AF3104" s="3" t="n">
        <v>-14.962386</v>
      </c>
      <c r="AG3104" s="3" t="n">
        <v>-18.894136</v>
      </c>
      <c r="AH3104" s="3" t="n">
        <v>-16.553066</v>
      </c>
      <c r="AI3104" s="3" t="n">
        <v>-9.694205</v>
      </c>
      <c r="AJ3104" s="3" t="n">
        <v>-8.485004</v>
      </c>
      <c r="AK3104" s="3" t="n">
        <v>-7.990619</v>
      </c>
      <c r="AL3104" s="3" t="n">
        <v>-7.371187</v>
      </c>
      <c r="AM3104" s="3" t="n"/>
      <c r="AN3104" s="3" t="n"/>
      <c r="AO3104" s="3" t="n"/>
      <c r="AP3104" s="3" t="n"/>
      <c r="AQ3104" s="3" t="n"/>
      <c r="AR3104" s="3" t="n"/>
      <c r="AS3104" s="3" t="n"/>
      <c r="AT3104" s="3" t="n"/>
      <c r="AU3104" s="3" t="n"/>
    </row>
    <row r="3105">
      <c r="A3105" s="3" t="n">
        <v>2031</v>
      </c>
      <c r="B3105" s="3" t="inlineStr">
        <is>
          <t>UKR</t>
        </is>
      </c>
      <c r="C3105" s="3" t="inlineStr">
        <is>
          <t>IMF.RES:WEO</t>
        </is>
      </c>
      <c r="D3105" s="3" t="inlineStr">
        <is>
          <t>UKR.GGR_NGDP.A</t>
        </is>
      </c>
      <c r="E3105" s="3" t="inlineStr">
        <is>
          <t>Ukraine</t>
        </is>
      </c>
      <c r="F3105" s="3" t="inlineStr">
        <is>
          <t>Revenue, General government, Percent of GDP</t>
        </is>
      </c>
      <c r="G3105" s="3" t="n">
        <v>32.234483</v>
      </c>
      <c r="H3105" s="3" t="n">
        <v>32.406904</v>
      </c>
      <c r="I3105" s="3" t="n">
        <v>34.714769</v>
      </c>
      <c r="J3105" s="3" t="n">
        <v>36.590366</v>
      </c>
      <c r="K3105" s="3" t="n">
        <v>35.834006</v>
      </c>
      <c r="L3105" s="3" t="n">
        <v>40.374398</v>
      </c>
      <c r="M3105" s="3" t="n">
        <v>41.631413</v>
      </c>
      <c r="N3105" s="3" t="n">
        <v>40.156547</v>
      </c>
      <c r="O3105" s="3" t="n">
        <v>42.35575</v>
      </c>
      <c r="P3105" s="3" t="n">
        <v>40.793159</v>
      </c>
      <c r="Q3105" s="3" t="n">
        <v>41.781748</v>
      </c>
      <c r="R3105" s="3" t="n">
        <v>41.37334</v>
      </c>
      <c r="S3105" s="3" t="n">
        <v>42.999227</v>
      </c>
      <c r="T3105" s="3" t="n">
        <v>41.690282</v>
      </c>
      <c r="U3105" s="3" t="n">
        <v>40.313915</v>
      </c>
      <c r="V3105" s="3" t="n">
        <v>41.883673</v>
      </c>
      <c r="W3105" s="3" t="n">
        <v>38.326042</v>
      </c>
      <c r="X3105" s="3" t="n">
        <v>39.313585</v>
      </c>
      <c r="Y3105" s="3" t="n">
        <v>39.79779</v>
      </c>
      <c r="Z3105" s="3" t="n">
        <v>39.420762</v>
      </c>
      <c r="AA3105" s="3" t="n">
        <v>39.682156</v>
      </c>
      <c r="AB3105" s="3" t="n">
        <v>36.515975</v>
      </c>
      <c r="AC3105" s="3" t="n">
        <v>49.792375</v>
      </c>
      <c r="AD3105" s="3" t="n">
        <v>54.062865</v>
      </c>
      <c r="AE3105" s="3" t="n">
        <v>54.034492</v>
      </c>
      <c r="AF3105" s="3" t="n">
        <v>51.229104</v>
      </c>
      <c r="AG3105" s="3" t="n">
        <v>43.80912</v>
      </c>
      <c r="AH3105" s="3" t="n">
        <v>41.674597</v>
      </c>
      <c r="AI3105" s="3" t="n">
        <v>44.935043</v>
      </c>
      <c r="AJ3105" s="3" t="n">
        <v>43.847447</v>
      </c>
      <c r="AK3105" s="3" t="n">
        <v>42.832661</v>
      </c>
      <c r="AL3105" s="3" t="n">
        <v>42.719746</v>
      </c>
      <c r="AM3105" s="3" t="n"/>
      <c r="AN3105" s="3" t="n"/>
      <c r="AO3105" s="3" t="n"/>
      <c r="AP3105" s="3" t="n"/>
      <c r="AQ3105" s="3" t="n"/>
      <c r="AR3105" s="3" t="n"/>
      <c r="AS3105" s="3" t="n"/>
      <c r="AT3105" s="3" t="n"/>
      <c r="AU3105" s="3" t="n"/>
    </row>
    <row r="3106">
      <c r="A3106" s="3" t="n">
        <v>2031</v>
      </c>
      <c r="B3106" s="3" t="inlineStr">
        <is>
          <t>UKR</t>
        </is>
      </c>
      <c r="C3106" s="3" t="inlineStr">
        <is>
          <t>IMF.RES:WEO</t>
        </is>
      </c>
      <c r="D3106" s="3" t="inlineStr">
        <is>
          <t>UKR.GGX_NGDP.A</t>
        </is>
      </c>
      <c r="E3106" s="3" t="inlineStr">
        <is>
          <t>Ukraine</t>
        </is>
      </c>
      <c r="F3106" s="3" t="inlineStr">
        <is>
          <t>Expenditure, General government, Percent of GDP</t>
        </is>
      </c>
      <c r="G3106" s="3" t="n">
        <v>35.416405</v>
      </c>
      <c r="H3106" s="3" t="n">
        <v>35.326723</v>
      </c>
      <c r="I3106" s="3" t="n">
        <v>36.48821</v>
      </c>
      <c r="J3106" s="3" t="n">
        <v>37.450575</v>
      </c>
      <c r="K3106" s="3" t="n">
        <v>40.086507</v>
      </c>
      <c r="L3106" s="3" t="n">
        <v>42.567565</v>
      </c>
      <c r="M3106" s="3" t="n">
        <v>42.945895</v>
      </c>
      <c r="N3106" s="3" t="n">
        <v>42.051534</v>
      </c>
      <c r="O3106" s="3" t="n">
        <v>45.379086</v>
      </c>
      <c r="P3106" s="3" t="n">
        <v>46.833877</v>
      </c>
      <c r="Q3106" s="3" t="n">
        <v>47.341344</v>
      </c>
      <c r="R3106" s="3" t="n">
        <v>44.034219</v>
      </c>
      <c r="S3106" s="3" t="n">
        <v>47.14563</v>
      </c>
      <c r="T3106" s="3" t="n">
        <v>46.294077</v>
      </c>
      <c r="U3106" s="3" t="n">
        <v>44.773891</v>
      </c>
      <c r="V3106" s="3" t="n">
        <v>43.043498</v>
      </c>
      <c r="W3106" s="3" t="n">
        <v>40.785342</v>
      </c>
      <c r="X3106" s="3" t="n">
        <v>41.669989</v>
      </c>
      <c r="Y3106" s="3" t="n">
        <v>41.921487</v>
      </c>
      <c r="Z3106" s="3" t="n">
        <v>41.502933</v>
      </c>
      <c r="AA3106" s="3" t="n">
        <v>45.600158</v>
      </c>
      <c r="AB3106" s="3" t="n">
        <v>40.487631</v>
      </c>
      <c r="AC3106" s="3" t="n">
        <v>65.393967</v>
      </c>
      <c r="AD3106" s="3" t="n">
        <v>73.403908</v>
      </c>
      <c r="AE3106" s="3" t="n">
        <v>71.23605499999999</v>
      </c>
      <c r="AF3106" s="3" t="n">
        <v>74.545772</v>
      </c>
      <c r="AG3106" s="3" t="n">
        <v>62.249772</v>
      </c>
      <c r="AH3106" s="3" t="n">
        <v>59.350958</v>
      </c>
      <c r="AI3106" s="3" t="n">
        <v>52.360189</v>
      </c>
      <c r="AJ3106" s="3" t="n">
        <v>46.718307</v>
      </c>
      <c r="AK3106" s="3" t="n">
        <v>44.828444</v>
      </c>
      <c r="AL3106" s="3" t="n">
        <v>44.01921</v>
      </c>
      <c r="AM3106" s="3" t="n"/>
      <c r="AN3106" s="3" t="n"/>
      <c r="AO3106" s="3" t="n"/>
      <c r="AP3106" s="3" t="n"/>
      <c r="AQ3106" s="3" t="n"/>
      <c r="AR3106" s="3" t="n"/>
      <c r="AS3106" s="3" t="n"/>
      <c r="AT3106" s="3" t="n"/>
      <c r="AU3106" s="3" t="n"/>
    </row>
    <row r="3107">
      <c r="A3107" s="3" t="n">
        <v>2031</v>
      </c>
      <c r="B3107" s="3" t="inlineStr">
        <is>
          <t>UKR</t>
        </is>
      </c>
      <c r="C3107" s="3" t="inlineStr">
        <is>
          <t>IMF.RES:WEO</t>
        </is>
      </c>
      <c r="D3107" s="3" t="inlineStr">
        <is>
          <t>UKR.LP.A</t>
        </is>
      </c>
      <c r="E3107" s="3" t="inlineStr">
        <is>
          <t>Ukraine</t>
        </is>
      </c>
      <c r="F3107" s="3" t="inlineStr">
        <is>
          <t>Population, Persons for countries / Index for country groups</t>
        </is>
      </c>
      <c r="G3107" s="3" t="n">
        <v>48.6636</v>
      </c>
      <c r="H3107" s="3" t="n">
        <v>48.2409</v>
      </c>
      <c r="I3107" s="3" t="n">
        <v>47.8231</v>
      </c>
      <c r="J3107" s="3" t="n">
        <v>47.4421</v>
      </c>
      <c r="K3107" s="3" t="n">
        <v>47.1005</v>
      </c>
      <c r="L3107" s="3" t="n">
        <v>46.7492</v>
      </c>
      <c r="M3107" s="3" t="n">
        <v>46.4657</v>
      </c>
      <c r="N3107" s="3" t="n">
        <v>46.1923</v>
      </c>
      <c r="O3107" s="3" t="n">
        <v>45.9634</v>
      </c>
      <c r="P3107" s="3" t="n">
        <v>45.7826</v>
      </c>
      <c r="Q3107" s="3" t="n">
        <v>45.5982</v>
      </c>
      <c r="R3107" s="3" t="n">
        <v>45.4533</v>
      </c>
      <c r="S3107" s="3" t="n">
        <v>45.3727</v>
      </c>
      <c r="T3107" s="3" t="n">
        <v>45.2459</v>
      </c>
      <c r="U3107" s="3" t="n">
        <v>42.7597</v>
      </c>
      <c r="V3107" s="3" t="n">
        <v>42.5909</v>
      </c>
      <c r="W3107" s="3" t="n">
        <v>42.4149</v>
      </c>
      <c r="X3107" s="3" t="n">
        <v>42.2168</v>
      </c>
      <c r="Y3107" s="3" t="n">
        <v>41.9836</v>
      </c>
      <c r="Z3107" s="3" t="n">
        <v>41.7328</v>
      </c>
      <c r="AA3107" s="3" t="n">
        <v>41.4187</v>
      </c>
      <c r="AB3107" s="3" t="n">
        <v>40.9977</v>
      </c>
      <c r="AC3107" s="3" t="n">
        <v>34.510716</v>
      </c>
      <c r="AD3107" s="3" t="n">
        <v>34.025741</v>
      </c>
      <c r="AE3107" s="3" t="n">
        <v>33.342761</v>
      </c>
      <c r="AF3107" s="3" t="n">
        <v>32.761762</v>
      </c>
      <c r="AG3107" s="3" t="n">
        <v>32.282729</v>
      </c>
      <c r="AH3107" s="3" t="n">
        <v>32.70565</v>
      </c>
      <c r="AI3107" s="3" t="n">
        <v>33.330511</v>
      </c>
      <c r="AJ3107" s="3" t="n">
        <v>33.557297</v>
      </c>
      <c r="AK3107" s="3" t="n">
        <v>33.485996</v>
      </c>
      <c r="AL3107" s="3" t="n">
        <v>33.216594</v>
      </c>
      <c r="AM3107" s="3" t="n"/>
      <c r="AN3107" s="3" t="n"/>
      <c r="AO3107" s="3" t="n"/>
      <c r="AP3107" s="3" t="n"/>
      <c r="AQ3107" s="3" t="n"/>
      <c r="AR3107" s="3" t="n"/>
      <c r="AS3107" s="3" t="n"/>
      <c r="AT3107" s="3" t="n"/>
      <c r="AU3107" s="3" t="n"/>
    </row>
    <row r="3108">
      <c r="A3108" s="3" t="n">
        <v>2031</v>
      </c>
      <c r="B3108" s="3" t="inlineStr">
        <is>
          <t>UKR</t>
        </is>
      </c>
      <c r="C3108" s="3" t="inlineStr">
        <is>
          <t>IMF.RES:WEO</t>
        </is>
      </c>
      <c r="D3108" s="3" t="inlineStr">
        <is>
          <t>UKR.NGDP.A</t>
        </is>
      </c>
      <c r="E3108" s="3" t="inlineStr">
        <is>
          <t>Ukraine</t>
        </is>
      </c>
      <c r="F3108" s="3" t="inlineStr">
        <is>
          <t>Gross domestic product (GDP), Current prices, Domestic currency</t>
        </is>
      </c>
      <c r="G3108" s="3" t="n">
        <v>176.128</v>
      </c>
      <c r="H3108" s="3" t="n">
        <v>211.175</v>
      </c>
      <c r="I3108" s="3" t="n">
        <v>234.138</v>
      </c>
      <c r="J3108" s="3" t="n">
        <v>277.355</v>
      </c>
      <c r="K3108" s="3" t="n">
        <v>357.544</v>
      </c>
      <c r="L3108" s="3" t="n">
        <v>457.325</v>
      </c>
      <c r="M3108" s="3" t="n">
        <v>565.018</v>
      </c>
      <c r="N3108" s="3" t="n">
        <v>751.106</v>
      </c>
      <c r="O3108" s="3" t="n">
        <v>990.819</v>
      </c>
      <c r="P3108" s="3" t="n">
        <v>947.042</v>
      </c>
      <c r="Q3108" s="3" t="n">
        <v>1120.585</v>
      </c>
      <c r="R3108" s="3" t="n">
        <v>1349.178</v>
      </c>
      <c r="S3108" s="3" t="n">
        <v>1459.096</v>
      </c>
      <c r="T3108" s="3" t="n">
        <v>1522.657</v>
      </c>
      <c r="U3108" s="3" t="n">
        <v>1586.915</v>
      </c>
      <c r="V3108" s="3" t="n">
        <v>1988.544</v>
      </c>
      <c r="W3108" s="3" t="n">
        <v>2385.367</v>
      </c>
      <c r="X3108" s="3" t="n">
        <v>2981.227</v>
      </c>
      <c r="Y3108" s="3" t="n">
        <v>3560.302</v>
      </c>
      <c r="Z3108" s="3" t="n">
        <v>3977.198</v>
      </c>
      <c r="AA3108" s="3" t="n">
        <v>4222.026</v>
      </c>
      <c r="AB3108" s="3" t="n">
        <v>5450.849</v>
      </c>
      <c r="AC3108" s="3" t="n">
        <v>5239.114</v>
      </c>
      <c r="AD3108" s="3" t="n">
        <v>6627.961</v>
      </c>
      <c r="AE3108" s="3" t="n">
        <v>7662.376</v>
      </c>
      <c r="AF3108" s="3" t="n">
        <v>8876.739997999999</v>
      </c>
      <c r="AG3108" s="3" t="n">
        <v>10004.973652</v>
      </c>
      <c r="AH3108" s="3" t="n">
        <v>11235.335287</v>
      </c>
      <c r="AI3108" s="3" t="n">
        <v>12468.188628</v>
      </c>
      <c r="AJ3108" s="3" t="n">
        <v>13602.170383</v>
      </c>
      <c r="AK3108" s="3" t="n">
        <v>14810.723222</v>
      </c>
      <c r="AL3108" s="3" t="n">
        <v>16111.104721</v>
      </c>
      <c r="AM3108" s="3" t="n"/>
      <c r="AN3108" s="3" t="n"/>
      <c r="AO3108" s="3" t="n"/>
      <c r="AP3108" s="3" t="n"/>
      <c r="AQ3108" s="3" t="n"/>
      <c r="AR3108" s="3" t="n"/>
      <c r="AS3108" s="3" t="n"/>
      <c r="AT3108" s="3" t="n"/>
      <c r="AU3108" s="3" t="n"/>
    </row>
    <row r="3109">
      <c r="A3109" s="3" t="n">
        <v>2031</v>
      </c>
      <c r="B3109" s="3" t="inlineStr">
        <is>
          <t>UKR</t>
        </is>
      </c>
      <c r="C3109" s="3" t="inlineStr">
        <is>
          <t>IMF.RES:WEO</t>
        </is>
      </c>
      <c r="D3109" s="3" t="inlineStr">
        <is>
          <t>UKR.NGDP_D.A</t>
        </is>
      </c>
      <c r="E3109" s="3" t="inlineStr">
        <is>
          <t>Ukraine</t>
        </is>
      </c>
      <c r="F3109" s="3" t="inlineStr">
        <is>
          <t>Gross domestic product (GDP), Price deflator, Index</t>
        </is>
      </c>
      <c r="G3109" s="3" t="n">
        <v>4.703697</v>
      </c>
      <c r="H3109" s="3" t="n">
        <v>5.181985</v>
      </c>
      <c r="I3109" s="3" t="n">
        <v>5.45423</v>
      </c>
      <c r="J3109" s="3" t="n">
        <v>5.899535</v>
      </c>
      <c r="K3109" s="3" t="n">
        <v>6.802797</v>
      </c>
      <c r="L3109" s="3" t="n">
        <v>8.441998</v>
      </c>
      <c r="M3109" s="3" t="n">
        <v>9.695852</v>
      </c>
      <c r="N3109" s="3" t="n">
        <v>11.910607</v>
      </c>
      <c r="O3109" s="3" t="n">
        <v>15.367084</v>
      </c>
      <c r="P3109" s="3" t="n">
        <v>17.307933</v>
      </c>
      <c r="Q3109" s="3" t="n">
        <v>19.674484</v>
      </c>
      <c r="R3109" s="3" t="n">
        <v>22.464704</v>
      </c>
      <c r="S3109" s="3" t="n">
        <v>24.257953</v>
      </c>
      <c r="T3109" s="3" t="n">
        <v>25.303196</v>
      </c>
      <c r="U3109" s="3" t="n">
        <v>29.288645</v>
      </c>
      <c r="V3109" s="3" t="n">
        <v>40.676568</v>
      </c>
      <c r="W3109" s="3" t="n">
        <v>47.631092</v>
      </c>
      <c r="X3109" s="3" t="n">
        <v>58.156768</v>
      </c>
      <c r="Y3109" s="3" t="n">
        <v>67.11205699999999</v>
      </c>
      <c r="Z3109" s="3" t="n">
        <v>72.646269</v>
      </c>
      <c r="AA3109" s="3" t="n">
        <v>80.12515500000001</v>
      </c>
      <c r="AB3109" s="3" t="n">
        <v>100</v>
      </c>
      <c r="AC3109" s="3" t="n">
        <v>134.915285</v>
      </c>
      <c r="AD3109" s="3" t="n">
        <v>161.728983</v>
      </c>
      <c r="AE3109" s="3" t="n">
        <v>181.087816</v>
      </c>
      <c r="AF3109" s="3" t="n">
        <v>206.077935</v>
      </c>
      <c r="AG3109" s="3" t="n">
        <v>227.716118</v>
      </c>
      <c r="AH3109" s="3" t="n">
        <v>247.071988</v>
      </c>
      <c r="AI3109" s="3" t="n">
        <v>263.131667</v>
      </c>
      <c r="AJ3109" s="3" t="n">
        <v>276.28825</v>
      </c>
      <c r="AK3109" s="3" t="n">
        <v>290.102663</v>
      </c>
      <c r="AL3109" s="3" t="n">
        <v>304.607796</v>
      </c>
      <c r="AM3109" s="3" t="n"/>
      <c r="AN3109" s="3" t="n"/>
      <c r="AO3109" s="3" t="n"/>
      <c r="AP3109" s="3" t="n"/>
      <c r="AQ3109" s="3" t="n"/>
      <c r="AR3109" s="3" t="n"/>
      <c r="AS3109" s="3" t="n"/>
      <c r="AT3109" s="3" t="n"/>
      <c r="AU3109" s="3" t="n"/>
    </row>
    <row r="3110">
      <c r="A3110" s="3" t="n">
        <v>2031</v>
      </c>
      <c r="B3110" s="3" t="inlineStr">
        <is>
          <t>UKR</t>
        </is>
      </c>
      <c r="C3110" s="3" t="inlineStr">
        <is>
          <t>IMF.RES:WEO</t>
        </is>
      </c>
      <c r="D3110" s="3" t="inlineStr">
        <is>
          <t>UKR.NGDP_R.A</t>
        </is>
      </c>
      <c r="E3110" s="3" t="inlineStr">
        <is>
          <t>Ukraine</t>
        </is>
      </c>
      <c r="F3110" s="3" t="inlineStr">
        <is>
          <t>Gross domestic product (GDP), Constant prices, Domestic currency</t>
        </is>
      </c>
      <c r="G3110" s="3" t="n">
        <v>3744.459</v>
      </c>
      <c r="H3110" s="3" t="n">
        <v>4075.176</v>
      </c>
      <c r="I3110" s="3" t="n">
        <v>4292.778</v>
      </c>
      <c r="J3110" s="3" t="n">
        <v>4701.303</v>
      </c>
      <c r="K3110" s="3" t="n">
        <v>5255.838</v>
      </c>
      <c r="L3110" s="3" t="n">
        <v>5417.26</v>
      </c>
      <c r="M3110" s="3" t="n">
        <v>5827.42</v>
      </c>
      <c r="N3110" s="3" t="n">
        <v>6306.194</v>
      </c>
      <c r="O3110" s="3" t="n">
        <v>6447.671</v>
      </c>
      <c r="P3110" s="3" t="n">
        <v>5471.722</v>
      </c>
      <c r="Q3110" s="3" t="n">
        <v>5695.626</v>
      </c>
      <c r="R3110" s="3" t="n">
        <v>6005.768</v>
      </c>
      <c r="S3110" s="3" t="n">
        <v>6014.918</v>
      </c>
      <c r="T3110" s="3" t="n">
        <v>6017.647</v>
      </c>
      <c r="U3110" s="3" t="n">
        <v>5418.192</v>
      </c>
      <c r="V3110" s="3" t="n">
        <v>4888.672</v>
      </c>
      <c r="W3110" s="3" t="n">
        <v>5008.004</v>
      </c>
      <c r="X3110" s="3" t="n">
        <v>5126.191</v>
      </c>
      <c r="Y3110" s="3" t="n">
        <v>5305.011</v>
      </c>
      <c r="Z3110" s="3" t="n">
        <v>5474.745</v>
      </c>
      <c r="AA3110" s="3" t="n">
        <v>5269.289</v>
      </c>
      <c r="AB3110" s="3" t="n">
        <v>5450.849</v>
      </c>
      <c r="AC3110" s="3" t="n">
        <v>3883.262</v>
      </c>
      <c r="AD3110" s="3" t="n">
        <v>4098.19</v>
      </c>
      <c r="AE3110" s="3" t="n">
        <v>4231.304</v>
      </c>
      <c r="AF3110" s="3" t="n">
        <v>4307.467472</v>
      </c>
      <c r="AG3110" s="3" t="n">
        <v>4393.616821</v>
      </c>
      <c r="AH3110" s="3" t="n">
        <v>4547.39341</v>
      </c>
      <c r="AI3110" s="3" t="n">
        <v>4738.383933</v>
      </c>
      <c r="AJ3110" s="3" t="n">
        <v>4923.180907</v>
      </c>
      <c r="AK3110" s="3" t="n">
        <v>5105.3386</v>
      </c>
      <c r="AL3110" s="3" t="n">
        <v>5289.13079</v>
      </c>
      <c r="AM3110" s="3" t="n"/>
      <c r="AN3110" s="3" t="n"/>
      <c r="AO3110" s="3" t="n"/>
      <c r="AP3110" s="3" t="n"/>
      <c r="AQ3110" s="3" t="n"/>
      <c r="AR3110" s="3" t="n"/>
      <c r="AS3110" s="3" t="n"/>
      <c r="AT3110" s="3" t="n"/>
      <c r="AU3110" s="3" t="n"/>
    </row>
    <row r="3111">
      <c r="A3111" s="3" t="n">
        <v>2031</v>
      </c>
      <c r="B3111" s="3" t="inlineStr">
        <is>
          <t>UKR</t>
        </is>
      </c>
      <c r="C3111" s="3" t="inlineStr">
        <is>
          <t>IMF.RES:WEO</t>
        </is>
      </c>
      <c r="D3111" s="3" t="inlineStr">
        <is>
          <t>UKR.NGDP_RPCH.A</t>
        </is>
      </c>
      <c r="E3111" s="3" t="inlineStr">
        <is>
          <t>Ukraine</t>
        </is>
      </c>
      <c r="F3111" s="3" t="inlineStr">
        <is>
          <t>Gross domestic product (GDP), Constant prices, Percent change</t>
        </is>
      </c>
      <c r="G3111" s="3" t="n">
        <v>5.890741</v>
      </c>
      <c r="H3111" s="3" t="n">
        <v>8.83217</v>
      </c>
      <c r="I3111" s="3" t="n">
        <v>5.339696</v>
      </c>
      <c r="J3111" s="3" t="n">
        <v>9.516565</v>
      </c>
      <c r="K3111" s="3" t="n">
        <v>11.795347</v>
      </c>
      <c r="L3111" s="3" t="n">
        <v>3.071289</v>
      </c>
      <c r="M3111" s="3" t="n">
        <v>7.571355</v>
      </c>
      <c r="N3111" s="3" t="n">
        <v>8.215883</v>
      </c>
      <c r="O3111" s="3" t="n">
        <v>2.243461</v>
      </c>
      <c r="P3111" s="3" t="n">
        <v>-15.136458</v>
      </c>
      <c r="Q3111" s="3" t="n">
        <v>4.092021</v>
      </c>
      <c r="R3111" s="3" t="n">
        <v>5.445266</v>
      </c>
      <c r="S3111" s="3" t="n">
        <v>0.152354</v>
      </c>
      <c r="T3111" s="3" t="n">
        <v>0.045371</v>
      </c>
      <c r="U3111" s="3" t="n">
        <v>-9.961618</v>
      </c>
      <c r="V3111" s="3" t="n">
        <v>-9.773002</v>
      </c>
      <c r="W3111" s="3" t="n">
        <v>2.44099</v>
      </c>
      <c r="X3111" s="3" t="n">
        <v>2.359962</v>
      </c>
      <c r="Y3111" s="3" t="n">
        <v>3.48836</v>
      </c>
      <c r="Z3111" s="3" t="n">
        <v>3.199503</v>
      </c>
      <c r="AA3111" s="3" t="n">
        <v>-3.752796</v>
      </c>
      <c r="AB3111" s="3" t="n">
        <v>3.445626</v>
      </c>
      <c r="AC3111" s="3" t="n">
        <v>-28.758584</v>
      </c>
      <c r="AD3111" s="3" t="n">
        <v>5.534728</v>
      </c>
      <c r="AE3111" s="3" t="n">
        <v>3.248117</v>
      </c>
      <c r="AF3111" s="3" t="n">
        <v>1.8</v>
      </c>
      <c r="AG3111" s="3" t="n">
        <v>2</v>
      </c>
      <c r="AH3111" s="3" t="n">
        <v>3.5</v>
      </c>
      <c r="AI3111" s="3" t="n">
        <v>4.2</v>
      </c>
      <c r="AJ3111" s="3" t="n">
        <v>3.9</v>
      </c>
      <c r="AK3111" s="3" t="n">
        <v>3.7</v>
      </c>
      <c r="AL3111" s="3" t="n">
        <v>3.6</v>
      </c>
      <c r="AM3111" s="3" t="n"/>
      <c r="AN3111" s="3" t="n"/>
      <c r="AO3111" s="3" t="n"/>
      <c r="AP3111" s="3" t="n"/>
      <c r="AQ3111" s="3" t="n"/>
      <c r="AR3111" s="3" t="n"/>
      <c r="AS3111" s="3" t="n"/>
      <c r="AT3111" s="3" t="n"/>
      <c r="AU3111" s="3" t="n"/>
    </row>
    <row r="3112">
      <c r="A3112" s="3" t="n">
        <v>2031</v>
      </c>
      <c r="B3112" s="3" t="inlineStr">
        <is>
          <t>UKR</t>
        </is>
      </c>
      <c r="C3112" s="3" t="inlineStr">
        <is>
          <t>IMF.RES:WEO</t>
        </is>
      </c>
      <c r="D3112" s="3" t="inlineStr">
        <is>
          <t>UKR.NGDPD.A</t>
        </is>
      </c>
      <c r="E3112" s="3" t="inlineStr">
        <is>
          <t>Ukraine</t>
        </is>
      </c>
      <c r="F3112" s="3" t="inlineStr">
        <is>
          <t>Gross domestic product (GDP), Current prices, US dollar</t>
        </is>
      </c>
      <c r="G3112" s="3" t="n">
        <v>32.375082</v>
      </c>
      <c r="H3112" s="3" t="n">
        <v>39.309154</v>
      </c>
      <c r="I3112" s="3" t="n">
        <v>43.956164</v>
      </c>
      <c r="J3112" s="3" t="n">
        <v>52.010353</v>
      </c>
      <c r="K3112" s="3" t="n">
        <v>67.22078</v>
      </c>
      <c r="L3112" s="3" t="n">
        <v>89.281542</v>
      </c>
      <c r="M3112" s="3" t="n">
        <v>111.884752</v>
      </c>
      <c r="N3112" s="3" t="n">
        <v>148.733861</v>
      </c>
      <c r="O3112" s="3" t="n">
        <v>188.240405</v>
      </c>
      <c r="P3112" s="3" t="n">
        <v>121.552184</v>
      </c>
      <c r="Q3112" s="3" t="n">
        <v>141.207557</v>
      </c>
      <c r="R3112" s="3" t="n">
        <v>169.228979</v>
      </c>
      <c r="S3112" s="3" t="n">
        <v>182.591746</v>
      </c>
      <c r="T3112" s="3" t="n">
        <v>190.498811</v>
      </c>
      <c r="U3112" s="3" t="n">
        <v>133.434486</v>
      </c>
      <c r="V3112" s="3" t="n">
        <v>90.98106300000001</v>
      </c>
      <c r="W3112" s="3" t="n">
        <v>93.355479</v>
      </c>
      <c r="X3112" s="3" t="n">
        <v>112.090503</v>
      </c>
      <c r="Y3112" s="3" t="n">
        <v>130.891086</v>
      </c>
      <c r="Z3112" s="3" t="n">
        <v>153.883046</v>
      </c>
      <c r="AA3112" s="3" t="n">
        <v>156.617719</v>
      </c>
      <c r="AB3112" s="3" t="n">
        <v>199.765856</v>
      </c>
      <c r="AC3112" s="3" t="n">
        <v>161.989523</v>
      </c>
      <c r="AD3112" s="3" t="n">
        <v>181.221517</v>
      </c>
      <c r="AE3112" s="3" t="n">
        <v>190.833837</v>
      </c>
      <c r="AF3112" s="3" t="n">
        <v>212.927275</v>
      </c>
      <c r="AG3112" s="3" t="n">
        <v>225.337244</v>
      </c>
      <c r="AH3112" s="3" t="n">
        <v>238.711682</v>
      </c>
      <c r="AI3112" s="3" t="n">
        <v>251.095275</v>
      </c>
      <c r="AJ3112" s="3" t="n">
        <v>260.887991</v>
      </c>
      <c r="AK3112" s="3" t="n">
        <v>274.476058</v>
      </c>
      <c r="AL3112" s="3" t="n">
        <v>290.868238</v>
      </c>
      <c r="AM3112" s="3" t="n"/>
      <c r="AN3112" s="3" t="n"/>
      <c r="AO3112" s="3" t="n"/>
      <c r="AP3112" s="3" t="n"/>
      <c r="AQ3112" s="3" t="n"/>
      <c r="AR3112" s="3" t="n"/>
      <c r="AS3112" s="3" t="n"/>
      <c r="AT3112" s="3" t="n"/>
      <c r="AU3112" s="3" t="n"/>
    </row>
    <row r="3113">
      <c r="A3113" s="3" t="n">
        <v>2031</v>
      </c>
      <c r="B3113" s="3" t="inlineStr">
        <is>
          <t>UKR</t>
        </is>
      </c>
      <c r="C3113" s="3" t="inlineStr">
        <is>
          <t>IMF.RES:WEO</t>
        </is>
      </c>
      <c r="D3113" s="3" t="inlineStr">
        <is>
          <t>UKR.NGDPPC.A</t>
        </is>
      </c>
      <c r="E3113" s="3" t="inlineStr">
        <is>
          <t>Ukraine</t>
        </is>
      </c>
      <c r="F3113" s="3" t="inlineStr">
        <is>
          <t>Gross domestic product (GDP), Current prices, Per capita, Domestic currency</t>
        </is>
      </c>
      <c r="G3113" s="3" t="n">
        <v>3619.296558</v>
      </c>
      <c r="H3113" s="3" t="n">
        <v>4377.509541</v>
      </c>
      <c r="I3113" s="3" t="n">
        <v>4895.9185</v>
      </c>
      <c r="J3113" s="3" t="n">
        <v>5846.178816</v>
      </c>
      <c r="K3113" s="3" t="n">
        <v>7591.087143</v>
      </c>
      <c r="L3113" s="3" t="n">
        <v>9782.520343</v>
      </c>
      <c r="M3113" s="3" t="n">
        <v>12159.894288</v>
      </c>
      <c r="N3113" s="3" t="n">
        <v>16260.415697</v>
      </c>
      <c r="O3113" s="3" t="n">
        <v>21556.69511</v>
      </c>
      <c r="P3113" s="3" t="n">
        <v>20685.631659</v>
      </c>
      <c r="Q3113" s="3" t="n">
        <v>24575.20253</v>
      </c>
      <c r="R3113" s="3" t="n">
        <v>29682.729307</v>
      </c>
      <c r="S3113" s="3" t="n">
        <v>32158.015723</v>
      </c>
      <c r="T3113" s="3" t="n">
        <v>33652.927669</v>
      </c>
      <c r="U3113" s="3" t="n">
        <v>37112.397889</v>
      </c>
      <c r="V3113" s="3" t="n">
        <v>46689.410179</v>
      </c>
      <c r="W3113" s="3" t="n">
        <v>56238.892465</v>
      </c>
      <c r="X3113" s="3" t="n">
        <v>70617.07661400001</v>
      </c>
      <c r="Y3113" s="3" t="n">
        <v>84802.20848099999</v>
      </c>
      <c r="Z3113" s="3" t="n">
        <v>95301.489476</v>
      </c>
      <c r="AA3113" s="3" t="n">
        <v>101935.261126</v>
      </c>
      <c r="AB3113" s="3" t="n">
        <v>132954.995036</v>
      </c>
      <c r="AC3113" s="3" t="n">
        <v>151811.222486</v>
      </c>
      <c r="AD3113" s="3" t="n">
        <v>194792.553761</v>
      </c>
      <c r="AE3113" s="3" t="n">
        <v>229806.28458</v>
      </c>
      <c r="AF3113" s="3" t="n">
        <v>270948.189953</v>
      </c>
      <c r="AG3113" s="3" t="n">
        <v>309917.21848</v>
      </c>
      <c r="AH3113" s="3" t="n">
        <v>343528.877709</v>
      </c>
      <c r="AI3113" s="3" t="n">
        <v>374077.336592</v>
      </c>
      <c r="AJ3113" s="3" t="n">
        <v>405341.657229</v>
      </c>
      <c r="AK3113" s="3" t="n">
        <v>442296.034771</v>
      </c>
      <c r="AL3113" s="3" t="n">
        <v>485031.81088</v>
      </c>
      <c r="AM3113" s="3" t="n"/>
      <c r="AN3113" s="3" t="n"/>
      <c r="AO3113" s="3" t="n"/>
      <c r="AP3113" s="3" t="n"/>
      <c r="AQ3113" s="3" t="n"/>
      <c r="AR3113" s="3" t="n"/>
      <c r="AS3113" s="3" t="n"/>
      <c r="AT3113" s="3" t="n"/>
      <c r="AU3113" s="3" t="n"/>
    </row>
    <row r="3114">
      <c r="A3114" s="3" t="n">
        <v>2031</v>
      </c>
      <c r="B3114" s="3" t="inlineStr">
        <is>
          <t>UKR</t>
        </is>
      </c>
      <c r="C3114" s="3" t="inlineStr">
        <is>
          <t>IMF.RES:WEO</t>
        </is>
      </c>
      <c r="D3114" s="3" t="inlineStr">
        <is>
          <t>UKR.NGDPRPC.A</t>
        </is>
      </c>
      <c r="E3114" s="3" t="inlineStr">
        <is>
          <t>Ukraine</t>
        </is>
      </c>
      <c r="F3114" s="3" t="inlineStr">
        <is>
          <t>Gross domestic product (GDP), Constant prices, Per capita, Domestic currency</t>
        </is>
      </c>
      <c r="G3114" s="3" t="n">
        <v>76945.786995</v>
      </c>
      <c r="H3114" s="3" t="n">
        <v>84475.538392</v>
      </c>
      <c r="I3114" s="3" t="n">
        <v>89763.691605</v>
      </c>
      <c r="J3114" s="3" t="n">
        <v>99095.592311</v>
      </c>
      <c r="K3114" s="3" t="n">
        <v>111587.732614</v>
      </c>
      <c r="L3114" s="3" t="n">
        <v>115879.202211</v>
      </c>
      <c r="M3114" s="3" t="n">
        <v>125413.369432</v>
      </c>
      <c r="N3114" s="3" t="n">
        <v>136520.459038</v>
      </c>
      <c r="O3114" s="3" t="n">
        <v>140278.373663</v>
      </c>
      <c r="P3114" s="3" t="n">
        <v>119515.318047</v>
      </c>
      <c r="Q3114" s="3" t="n">
        <v>124909.009566</v>
      </c>
      <c r="R3114" s="3" t="n">
        <v>132130.516376</v>
      </c>
      <c r="S3114" s="3" t="n">
        <v>132566.895953</v>
      </c>
      <c r="T3114" s="3" t="n">
        <v>132998.724746</v>
      </c>
      <c r="U3114" s="3" t="n">
        <v>126712.582174</v>
      </c>
      <c r="V3114" s="3" t="n">
        <v>114782.077862</v>
      </c>
      <c r="W3114" s="3" t="n">
        <v>118071.809671</v>
      </c>
      <c r="X3114" s="3" t="n">
        <v>121425.380417</v>
      </c>
      <c r="Y3114" s="3" t="n">
        <v>126359.125944</v>
      </c>
      <c r="Z3114" s="3" t="n">
        <v>131185.662117</v>
      </c>
      <c r="AA3114" s="3" t="n">
        <v>127220.047949</v>
      </c>
      <c r="AB3114" s="3" t="n">
        <v>132954.995036</v>
      </c>
      <c r="AC3114" s="3" t="n">
        <v>112523.367778</v>
      </c>
      <c r="AD3114" s="3" t="n">
        <v>120443.813097</v>
      </c>
      <c r="AE3114" s="3" t="n">
        <v>126903.228342</v>
      </c>
      <c r="AF3114" s="3" t="n">
        <v>131478.506195</v>
      </c>
      <c r="AG3114" s="3" t="n">
        <v>136098.060001</v>
      </c>
      <c r="AH3114" s="3" t="n">
        <v>139039.994345</v>
      </c>
      <c r="AI3114" s="3" t="n">
        <v>142163.556754</v>
      </c>
      <c r="AJ3114" s="3" t="n">
        <v>146709.697893</v>
      </c>
      <c r="AK3114" s="3" t="n">
        <v>152461.901104</v>
      </c>
      <c r="AL3114" s="3" t="n">
        <v>159231.581541</v>
      </c>
      <c r="AM3114" s="3" t="n"/>
      <c r="AN3114" s="3" t="n"/>
      <c r="AO3114" s="3" t="n"/>
      <c r="AP3114" s="3" t="n"/>
      <c r="AQ3114" s="3" t="n"/>
      <c r="AR3114" s="3" t="n"/>
      <c r="AS3114" s="3" t="n"/>
      <c r="AT3114" s="3" t="n"/>
      <c r="AU3114" s="3" t="n"/>
    </row>
    <row r="3115">
      <c r="A3115" s="3" t="n">
        <v>2031</v>
      </c>
      <c r="B3115" s="3" t="inlineStr">
        <is>
          <t>UKR</t>
        </is>
      </c>
      <c r="C3115" s="3" t="inlineStr">
        <is>
          <t>IMF.RES:WEO</t>
        </is>
      </c>
      <c r="D3115" s="3" t="inlineStr">
        <is>
          <t>UKR.PCPI.A</t>
        </is>
      </c>
      <c r="E3115" s="3" t="inlineStr">
        <is>
          <t>Ukraine</t>
        </is>
      </c>
      <c r="F3115" s="3" t="inlineStr">
        <is>
          <t>All Items, Consumer price index (CPI), Period average</t>
        </is>
      </c>
      <c r="G3115" s="3" t="n">
        <v>10871673.130014</v>
      </c>
      <c r="H3115" s="3" t="n">
        <v>12171795.74866</v>
      </c>
      <c r="I3115" s="3" t="n">
        <v>12263987.488531</v>
      </c>
      <c r="J3115" s="3" t="n">
        <v>12902927.665672</v>
      </c>
      <c r="K3115" s="3" t="n">
        <v>14068871.020054</v>
      </c>
      <c r="L3115" s="3" t="n">
        <v>15971002.718734</v>
      </c>
      <c r="M3115" s="3" t="n">
        <v>17420464.784574</v>
      </c>
      <c r="N3115" s="3" t="n">
        <v>19657766.63283</v>
      </c>
      <c r="O3115" s="3" t="n">
        <v>24611788.740943</v>
      </c>
      <c r="P3115" s="3" t="n">
        <v>28524973.495273</v>
      </c>
      <c r="Q3115" s="3" t="n">
        <v>31196306.171328</v>
      </c>
      <c r="R3115" s="3" t="n">
        <v>33678925.086376</v>
      </c>
      <c r="S3115" s="3" t="n">
        <v>33869340.553891</v>
      </c>
      <c r="T3115" s="3" t="n">
        <v>33780943.68868</v>
      </c>
      <c r="U3115" s="3" t="n">
        <v>37868272.905122</v>
      </c>
      <c r="V3115" s="3" t="n">
        <v>56303884.053467</v>
      </c>
      <c r="W3115" s="3" t="n">
        <v>64137482.214205</v>
      </c>
      <c r="X3115" s="3" t="n">
        <v>73401082.834933</v>
      </c>
      <c r="Y3115" s="3" t="n">
        <v>81436069.321925</v>
      </c>
      <c r="Z3115" s="3" t="n">
        <v>87857948.11183099</v>
      </c>
      <c r="AA3115" s="3" t="n">
        <v>90264859.779131</v>
      </c>
      <c r="AB3115" s="3" t="n">
        <v>98714214.842067</v>
      </c>
      <c r="AC3115" s="3" t="n">
        <v>118637447.351933</v>
      </c>
      <c r="AD3115" s="3" t="n">
        <v>133883456.59882</v>
      </c>
      <c r="AE3115" s="3" t="n">
        <v>142590973.989583</v>
      </c>
      <c r="AF3115" s="3" t="n">
        <v>160739234.63618</v>
      </c>
      <c r="AG3115" s="3" t="n">
        <v>170488944.385436</v>
      </c>
      <c r="AH3115" s="3" t="n">
        <v>183542485.522386</v>
      </c>
      <c r="AI3115" s="3" t="n">
        <v>194002091.501534</v>
      </c>
      <c r="AJ3115" s="3" t="n">
        <v>204053826.462665</v>
      </c>
      <c r="AK3115" s="3" t="n">
        <v>214255880.129795</v>
      </c>
      <c r="AL3115" s="3" t="n">
        <v>224964763.230213</v>
      </c>
      <c r="AM3115" s="3" t="n"/>
      <c r="AN3115" s="3" t="n"/>
      <c r="AO3115" s="3" t="n"/>
      <c r="AP3115" s="3" t="n"/>
      <c r="AQ3115" s="3" t="n"/>
      <c r="AR3115" s="3" t="n"/>
      <c r="AS3115" s="3" t="n"/>
      <c r="AT3115" s="3" t="n"/>
      <c r="AU3115" s="3" t="n"/>
    </row>
    <row r="3116">
      <c r="A3116" s="3" t="n">
        <v>2031</v>
      </c>
      <c r="B3116" s="3" t="inlineStr">
        <is>
          <t>UKR</t>
        </is>
      </c>
      <c r="C3116" s="3" t="inlineStr">
        <is>
          <t>IMF.RES:WEO</t>
        </is>
      </c>
      <c r="D3116" s="3" t="inlineStr">
        <is>
          <t>UKR.PCPIPCH.A</t>
        </is>
      </c>
      <c r="E3116" s="3" t="inlineStr">
        <is>
          <t>Ukraine</t>
        </is>
      </c>
      <c r="F3116" s="3" t="inlineStr">
        <is>
          <t>All Items, Consumer price index (CPI), Period average, percent change</t>
        </is>
      </c>
      <c r="G3116" s="3" t="n">
        <v>28.203097</v>
      </c>
      <c r="H3116" s="3" t="n">
        <v>11.958809</v>
      </c>
      <c r="I3116" s="3" t="n">
        <v>0.757421</v>
      </c>
      <c r="J3116" s="3" t="n">
        <v>5.209889</v>
      </c>
      <c r="K3116" s="3" t="n">
        <v>9.03627</v>
      </c>
      <c r="L3116" s="3" t="n">
        <v>13.520145</v>
      </c>
      <c r="M3116" s="3" t="n">
        <v>9.075585999999999</v>
      </c>
      <c r="N3116" s="3" t="n">
        <v>12.842952</v>
      </c>
      <c r="O3116" s="3" t="n">
        <v>25.201348</v>
      </c>
      <c r="P3116" s="3" t="n">
        <v>15.899636</v>
      </c>
      <c r="Q3116" s="3" t="n">
        <v>9.364891</v>
      </c>
      <c r="R3116" s="3" t="n">
        <v>7.958054</v>
      </c>
      <c r="S3116" s="3" t="n">
        <v>0.565385</v>
      </c>
      <c r="T3116" s="3" t="n">
        <v>-0.260994</v>
      </c>
      <c r="U3116" s="3" t="n">
        <v>12.099512</v>
      </c>
      <c r="V3116" s="3" t="n">
        <v>48.683528</v>
      </c>
      <c r="W3116" s="3" t="n">
        <v>13.913069</v>
      </c>
      <c r="X3116" s="3" t="n">
        <v>14.443349</v>
      </c>
      <c r="Y3116" s="3" t="n">
        <v>10.946687</v>
      </c>
      <c r="Z3116" s="3" t="n">
        <v>7.885792</v>
      </c>
      <c r="AA3116" s="3" t="n">
        <v>2.739549</v>
      </c>
      <c r="AB3116" s="3" t="n">
        <v>9.360625000000001</v>
      </c>
      <c r="AC3116" s="3" t="n">
        <v>20.182739</v>
      </c>
      <c r="AD3116" s="3" t="n">
        <v>12.850925</v>
      </c>
      <c r="AE3116" s="3" t="n">
        <v>6.503804</v>
      </c>
      <c r="AF3116" s="3" t="n">
        <v>12.727496</v>
      </c>
      <c r="AG3116" s="3" t="n">
        <v>6.065544</v>
      </c>
      <c r="AH3116" s="3" t="n">
        <v>7.656532</v>
      </c>
      <c r="AI3116" s="3" t="n">
        <v>5.698738</v>
      </c>
      <c r="AJ3116" s="3" t="n">
        <v>5.181251</v>
      </c>
      <c r="AK3116" s="3" t="n">
        <v>4.999688</v>
      </c>
      <c r="AL3116" s="3" t="n">
        <v>4.998175</v>
      </c>
      <c r="AM3116" s="3" t="n"/>
      <c r="AN3116" s="3" t="n"/>
      <c r="AO3116" s="3" t="n"/>
      <c r="AP3116" s="3" t="n"/>
      <c r="AQ3116" s="3" t="n"/>
      <c r="AR3116" s="3" t="n"/>
      <c r="AS3116" s="3" t="n"/>
      <c r="AT3116" s="3" t="n"/>
      <c r="AU3116" s="3" t="n"/>
    </row>
    <row r="3117">
      <c r="A3117" s="3" t="n">
        <v>2031</v>
      </c>
      <c r="B3117" s="3" t="inlineStr">
        <is>
          <t>UKR</t>
        </is>
      </c>
      <c r="C3117" s="3" t="inlineStr">
        <is>
          <t>IMF.RES:WEO</t>
        </is>
      </c>
      <c r="D3117" s="3" t="inlineStr">
        <is>
          <t>UKR.PPPPC.A</t>
        </is>
      </c>
      <c r="E3117" s="3" t="inlineStr">
        <is>
          <t>Ukraine</t>
        </is>
      </c>
      <c r="F3117" s="3" t="inlineStr">
        <is>
          <t>Gross domestic product (GDP), Per capita, purchasing power parity (PPP) international dollar, ICP benchmarks 2017-2021</t>
        </is>
      </c>
      <c r="G3117" s="3" t="n">
        <v>5419.955527</v>
      </c>
      <c r="H3117" s="3" t="n">
        <v>6084.319958</v>
      </c>
      <c r="I3117" s="3" t="n">
        <v>6565.668751</v>
      </c>
      <c r="J3117" s="3" t="n">
        <v>7391.336502</v>
      </c>
      <c r="K3117" s="3" t="n">
        <v>8546.897822000001</v>
      </c>
      <c r="L3117" s="3" t="n">
        <v>9153.919419</v>
      </c>
      <c r="M3117" s="3" t="n">
        <v>10212.596904</v>
      </c>
      <c r="N3117" s="3" t="n">
        <v>11418.254984</v>
      </c>
      <c r="O3117" s="3" t="n">
        <v>11958.575583</v>
      </c>
      <c r="P3117" s="3" t="n">
        <v>10251.385198</v>
      </c>
      <c r="Q3117" s="3" t="n">
        <v>10844.242792</v>
      </c>
      <c r="R3117" s="3" t="n">
        <v>11707.872559</v>
      </c>
      <c r="S3117" s="3" t="n">
        <v>11965.252044</v>
      </c>
      <c r="T3117" s="3" t="n">
        <v>12208.540695</v>
      </c>
      <c r="U3117" s="3" t="n">
        <v>11834.095589</v>
      </c>
      <c r="V3117" s="3" t="n">
        <v>10819.353495</v>
      </c>
      <c r="W3117" s="3" t="n">
        <v>11235.198063</v>
      </c>
      <c r="X3117" s="3" t="n">
        <v>11761.234141</v>
      </c>
      <c r="Y3117" s="3" t="n">
        <v>12795.434786</v>
      </c>
      <c r="Z3117" s="3" t="n">
        <v>14482.519515</v>
      </c>
      <c r="AA3117" s="3" t="n">
        <v>15840.806035</v>
      </c>
      <c r="AB3117" s="3" t="n">
        <v>18207.621334</v>
      </c>
      <c r="AC3117" s="3" t="n">
        <v>16505.591171</v>
      </c>
      <c r="AD3117" s="3" t="n">
        <v>18321.108821</v>
      </c>
      <c r="AE3117" s="3" t="n">
        <v>19782.894253</v>
      </c>
      <c r="AF3117" s="3" t="n">
        <v>21077.559943</v>
      </c>
      <c r="AG3117" s="3" t="n">
        <v>22443.185918</v>
      </c>
      <c r="AH3117" s="3" t="n">
        <v>23431.80774</v>
      </c>
      <c r="AI3117" s="3" t="n">
        <v>24351.455935</v>
      </c>
      <c r="AJ3117" s="3" t="n">
        <v>25577.014525</v>
      </c>
      <c r="AK3117" s="3" t="n">
        <v>27068.251434</v>
      </c>
      <c r="AL3117" s="3" t="n">
        <v>28780.509334</v>
      </c>
      <c r="AM3117" s="3" t="n"/>
      <c r="AN3117" s="3" t="n"/>
      <c r="AO3117" s="3" t="n"/>
      <c r="AP3117" s="3" t="n"/>
      <c r="AQ3117" s="3" t="n"/>
      <c r="AR3117" s="3" t="n"/>
      <c r="AS3117" s="3" t="n"/>
      <c r="AT3117" s="3" t="n"/>
      <c r="AU3117" s="3" t="n"/>
    </row>
    <row r="3118">
      <c r="A3118" s="3" t="n">
        <v>2025</v>
      </c>
      <c r="B3118" s="3" t="inlineStr">
        <is>
          <t>UKR</t>
        </is>
      </c>
      <c r="C3118" s="3" t="inlineStr">
        <is>
          <t>IMF.STA:ER</t>
        </is>
      </c>
      <c r="D3118" s="3" t="inlineStr">
        <is>
          <t>UKR.XDC_USD.PA_RT.A</t>
        </is>
      </c>
      <c r="E3118" s="3" t="inlineStr">
        <is>
          <t>Ukraine</t>
        </is>
      </c>
      <c r="F3118" s="3" t="inlineStr">
        <is>
          <t>Domestic currency per US Dollar</t>
        </is>
      </c>
      <c r="G3118" s="3" t="n">
        <v>5.44023333333333</v>
      </c>
      <c r="H3118" s="3" t="n">
        <v>5.37215833333333</v>
      </c>
      <c r="I3118" s="3" t="n">
        <v>5.32662499999999</v>
      </c>
      <c r="J3118" s="3" t="n">
        <v>5.33268833333333</v>
      </c>
      <c r="K3118" s="3" t="n">
        <v>5.31918066666666</v>
      </c>
      <c r="L3118" s="3" t="n">
        <v>5.124729</v>
      </c>
      <c r="M3118" s="3" t="n">
        <v>5.05</v>
      </c>
      <c r="N3118" s="3" t="n">
        <v>5.05</v>
      </c>
      <c r="O3118" s="3" t="n">
        <v>5.26722141666666</v>
      </c>
      <c r="P3118" s="3" t="n">
        <v>7.79124033333333</v>
      </c>
      <c r="Q3118" s="3" t="n">
        <v>7.93563941666666</v>
      </c>
      <c r="R3118" s="3" t="n">
        <v>7.96756283333333</v>
      </c>
      <c r="S3118" s="3" t="n">
        <v>7.99102933333333</v>
      </c>
      <c r="T3118" s="3" t="n">
        <v>7.993</v>
      </c>
      <c r="U3118" s="3" t="n">
        <v>11.8866594166666</v>
      </c>
      <c r="V3118" s="3" t="n">
        <v>21.8446977666666</v>
      </c>
      <c r="W3118" s="3" t="n">
        <v>25.5513341166666</v>
      </c>
      <c r="X3118" s="3" t="n">
        <v>26.5966063</v>
      </c>
      <c r="Y3118" s="3" t="n">
        <v>27.2004923333333</v>
      </c>
      <c r="Z3118" s="3" t="n">
        <v>25.8455893333333</v>
      </c>
      <c r="AA3118" s="3" t="n">
        <v>26.9575243833333</v>
      </c>
      <c r="AB3118" s="3" t="n">
        <v>27.2861893833333</v>
      </c>
      <c r="AC3118" s="3" t="n">
        <v>32.3423016</v>
      </c>
      <c r="AD3118" s="3" t="n">
        <v>36.5738081166666</v>
      </c>
      <c r="AE3118" s="3" t="n">
        <v>40.152082715</v>
      </c>
      <c r="AF3118" s="3" t="n">
        <v>41.6890720433333</v>
      </c>
      <c r="AG3118" s="3" t="n"/>
      <c r="AH3118" s="3" t="n"/>
      <c r="AI3118" s="3" t="n"/>
      <c r="AJ3118" s="3" t="n"/>
      <c r="AK3118" s="3" t="n"/>
      <c r="AL3118" s="3" t="n"/>
      <c r="AM3118" s="3" t="n"/>
      <c r="AN3118" s="3" t="n"/>
      <c r="AO3118" s="3" t="n"/>
      <c r="AP3118" s="3" t="n"/>
      <c r="AQ3118" s="3" t="n"/>
      <c r="AR3118" s="3" t="n"/>
      <c r="AS3118" s="3" t="n"/>
      <c r="AT3118" s="3" t="n"/>
      <c r="AU3118" s="3" t="n"/>
    </row>
    <row r="3119">
      <c r="A3119" s="3" t="n">
        <v>2031</v>
      </c>
      <c r="B3119" s="3" t="inlineStr">
        <is>
          <t>URY</t>
        </is>
      </c>
      <c r="C3119" s="3" t="inlineStr">
        <is>
          <t>IMF.RES:WEO</t>
        </is>
      </c>
      <c r="D3119" s="3" t="inlineStr">
        <is>
          <t>URY.BCA.A</t>
        </is>
      </c>
      <c r="E3119" s="3" t="inlineStr">
        <is>
          <t>Uruguay</t>
        </is>
      </c>
      <c r="F3119" s="3" t="inlineStr">
        <is>
          <t>Current account balance (credit less debit), US dollar</t>
        </is>
      </c>
      <c r="G3119" s="3" t="n"/>
      <c r="H3119" s="3" t="n"/>
      <c r="I3119" s="3" t="n"/>
      <c r="J3119" s="3" t="n"/>
      <c r="K3119" s="3" t="n"/>
      <c r="L3119" s="3" t="n"/>
      <c r="M3119" s="3" t="n"/>
      <c r="N3119" s="3" t="n"/>
      <c r="O3119" s="3" t="n"/>
      <c r="P3119" s="3" t="n"/>
      <c r="Q3119" s="3" t="n"/>
      <c r="R3119" s="3" t="n"/>
      <c r="S3119" s="3" t="n">
        <v>-2.036452</v>
      </c>
      <c r="T3119" s="3" t="n">
        <v>-2.016296</v>
      </c>
      <c r="U3119" s="3" t="n">
        <v>-1.838383</v>
      </c>
      <c r="V3119" s="3" t="n">
        <v>-0.147094</v>
      </c>
      <c r="W3119" s="3" t="n">
        <v>0.474252</v>
      </c>
      <c r="X3119" s="3" t="n">
        <v>0.007363</v>
      </c>
      <c r="Y3119" s="3" t="n">
        <v>-0.300446</v>
      </c>
      <c r="Z3119" s="3" t="n">
        <v>0.803146</v>
      </c>
      <c r="AA3119" s="3" t="n">
        <v>-0.343473</v>
      </c>
      <c r="AB3119" s="3" t="n">
        <v>-1.478093</v>
      </c>
      <c r="AC3119" s="3" t="n">
        <v>-2.51281</v>
      </c>
      <c r="AD3119" s="3" t="n">
        <v>-2.374394</v>
      </c>
      <c r="AE3119" s="3" t="n">
        <v>-0.635869</v>
      </c>
      <c r="AF3119" s="3" t="n">
        <v>-0.446122</v>
      </c>
      <c r="AG3119" s="3" t="n">
        <v>-0.765938</v>
      </c>
      <c r="AH3119" s="3" t="n">
        <v>-0.907012</v>
      </c>
      <c r="AI3119" s="3" t="n">
        <v>-1.137391</v>
      </c>
      <c r="AJ3119" s="3" t="n">
        <v>-1.428625</v>
      </c>
      <c r="AK3119" s="3" t="n">
        <v>-1.768802</v>
      </c>
      <c r="AL3119" s="3" t="n">
        <v>-2.119686</v>
      </c>
      <c r="AM3119" s="3" t="n"/>
      <c r="AN3119" s="3" t="n"/>
      <c r="AO3119" s="3" t="n"/>
      <c r="AP3119" s="3" t="n"/>
      <c r="AQ3119" s="3" t="n"/>
      <c r="AR3119" s="3" t="n"/>
      <c r="AS3119" s="3" t="n"/>
      <c r="AT3119" s="3" t="n"/>
      <c r="AU3119" s="3" t="n"/>
    </row>
    <row r="3120">
      <c r="A3120" s="3" t="n">
        <v>2031</v>
      </c>
      <c r="B3120" s="3" t="inlineStr">
        <is>
          <t>URY</t>
        </is>
      </c>
      <c r="C3120" s="3" t="inlineStr">
        <is>
          <t>IMF.RES:WEO</t>
        </is>
      </c>
      <c r="D3120" s="3" t="inlineStr">
        <is>
          <t>URY.BCA_NGDPD.A</t>
        </is>
      </c>
      <c r="E3120" s="3" t="inlineStr">
        <is>
          <t>Uruguay</t>
        </is>
      </c>
      <c r="F3120" s="3" t="inlineStr">
        <is>
          <t>Current account balance (credit less debit), Percent of GDP</t>
        </is>
      </c>
      <c r="G3120" s="3" t="n"/>
      <c r="H3120" s="3" t="n"/>
      <c r="I3120" s="3" t="n"/>
      <c r="J3120" s="3" t="n"/>
      <c r="K3120" s="3" t="n"/>
      <c r="L3120" s="3" t="n"/>
      <c r="M3120" s="3" t="n"/>
      <c r="N3120" s="3" t="n"/>
      <c r="O3120" s="3" t="n"/>
      <c r="P3120" s="3" t="n"/>
      <c r="Q3120" s="3" t="n"/>
      <c r="R3120" s="3" t="n"/>
      <c r="S3120" s="3" t="n">
        <v>-3.640523</v>
      </c>
      <c r="T3120" s="3" t="n">
        <v>-3.207755</v>
      </c>
      <c r="U3120" s="3" t="n">
        <v>-2.939243</v>
      </c>
      <c r="V3120" s="3" t="n">
        <v>-0.252658</v>
      </c>
      <c r="W3120" s="3" t="n">
        <v>0.823646</v>
      </c>
      <c r="X3120" s="3" t="n">
        <v>0.011315</v>
      </c>
      <c r="Y3120" s="3" t="n">
        <v>-0.459606</v>
      </c>
      <c r="Z3120" s="3" t="n">
        <v>1.29062</v>
      </c>
      <c r="AA3120" s="3" t="n">
        <v>-0.641328</v>
      </c>
      <c r="AB3120" s="3" t="n">
        <v>-2.433392</v>
      </c>
      <c r="AC3120" s="3" t="n">
        <v>-3.526921</v>
      </c>
      <c r="AD3120" s="3" t="n">
        <v>-2.997449</v>
      </c>
      <c r="AE3120" s="3" t="n">
        <v>-0.77241</v>
      </c>
      <c r="AF3120" s="3" t="n">
        <v>-0.52132</v>
      </c>
      <c r="AG3120" s="3" t="n">
        <v>-0.797084</v>
      </c>
      <c r="AH3120" s="3" t="n">
        <v>-0.899288</v>
      </c>
      <c r="AI3120" s="3" t="n">
        <v>-1.084087</v>
      </c>
      <c r="AJ3120" s="3" t="n">
        <v>-1.303379</v>
      </c>
      <c r="AK3120" s="3" t="n">
        <v>-1.534437</v>
      </c>
      <c r="AL3120" s="3" t="n">
        <v>-1.748706</v>
      </c>
      <c r="AM3120" s="3" t="n"/>
      <c r="AN3120" s="3" t="n"/>
      <c r="AO3120" s="3" t="n"/>
      <c r="AP3120" s="3" t="n"/>
      <c r="AQ3120" s="3" t="n"/>
      <c r="AR3120" s="3" t="n"/>
      <c r="AS3120" s="3" t="n"/>
      <c r="AT3120" s="3" t="n"/>
      <c r="AU3120" s="3" t="n"/>
    </row>
    <row r="3121">
      <c r="A3121" s="3" t="n">
        <v>2031</v>
      </c>
      <c r="B3121" s="3" t="inlineStr">
        <is>
          <t>URY</t>
        </is>
      </c>
      <c r="C3121" s="3" t="inlineStr">
        <is>
          <t>IMF.RES:WEO</t>
        </is>
      </c>
      <c r="D3121" s="3" t="inlineStr">
        <is>
          <t>URY.GGR_NGDP.A</t>
        </is>
      </c>
      <c r="E3121" s="3" t="inlineStr">
        <is>
          <t>Uruguay</t>
        </is>
      </c>
      <c r="F3121" s="3" t="inlineStr">
        <is>
          <t>Revenue, General government, Percent of GDP</t>
        </is>
      </c>
      <c r="G3121" s="3" t="n">
        <v>23.806047</v>
      </c>
      <c r="H3121" s="3" t="n">
        <v>24.964732</v>
      </c>
      <c r="I3121" s="3" t="n">
        <v>24.41188</v>
      </c>
      <c r="J3121" s="3" t="n">
        <v>25.537081</v>
      </c>
      <c r="K3121" s="3" t="n">
        <v>25.744224</v>
      </c>
      <c r="L3121" s="3" t="n">
        <v>25.997969</v>
      </c>
      <c r="M3121" s="3" t="n">
        <v>26.183891</v>
      </c>
      <c r="N3121" s="3" t="n">
        <v>26.595612</v>
      </c>
      <c r="O3121" s="3" t="n">
        <v>24.986963</v>
      </c>
      <c r="P3121" s="3" t="n">
        <v>25.799732</v>
      </c>
      <c r="Q3121" s="3" t="n">
        <v>27.013008</v>
      </c>
      <c r="R3121" s="3" t="n">
        <v>25.994849</v>
      </c>
      <c r="S3121" s="3" t="n">
        <v>25.505344</v>
      </c>
      <c r="T3121" s="3" t="n">
        <v>27.104592</v>
      </c>
      <c r="U3121" s="3" t="n">
        <v>26.495906</v>
      </c>
      <c r="V3121" s="3" t="n">
        <v>26.494087</v>
      </c>
      <c r="W3121" s="3" t="n">
        <v>26.986567</v>
      </c>
      <c r="X3121" s="3" t="n">
        <v>27.217152</v>
      </c>
      <c r="Y3121" s="3" t="n">
        <v>28.454606</v>
      </c>
      <c r="Z3121" s="3" t="n">
        <v>27.871529</v>
      </c>
      <c r="AA3121" s="3" t="n">
        <v>28.152322</v>
      </c>
      <c r="AB3121" s="3" t="n">
        <v>27.600825</v>
      </c>
      <c r="AC3121" s="3" t="n">
        <v>27.22583</v>
      </c>
      <c r="AD3121" s="3" t="n">
        <v>26.968311</v>
      </c>
      <c r="AE3121" s="3" t="n">
        <v>27.463579</v>
      </c>
      <c r="AF3121" s="3" t="n">
        <v>28.14325</v>
      </c>
      <c r="AG3121" s="3" t="n">
        <v>28.07096</v>
      </c>
      <c r="AH3121" s="3" t="n">
        <v>28.703678</v>
      </c>
      <c r="AI3121" s="3" t="n">
        <v>29.177231</v>
      </c>
      <c r="AJ3121" s="3" t="n">
        <v>29.545496</v>
      </c>
      <c r="AK3121" s="3" t="n">
        <v>29.65422</v>
      </c>
      <c r="AL3121" s="3" t="n">
        <v>29.603457</v>
      </c>
      <c r="AM3121" s="3" t="n"/>
      <c r="AN3121" s="3" t="n"/>
      <c r="AO3121" s="3" t="n"/>
      <c r="AP3121" s="3" t="n"/>
      <c r="AQ3121" s="3" t="n"/>
      <c r="AR3121" s="3" t="n"/>
      <c r="AS3121" s="3" t="n"/>
      <c r="AT3121" s="3" t="n"/>
      <c r="AU3121" s="3" t="n"/>
    </row>
    <row r="3122">
      <c r="A3122" s="3" t="n">
        <v>2031</v>
      </c>
      <c r="B3122" s="3" t="inlineStr">
        <is>
          <t>URY</t>
        </is>
      </c>
      <c r="C3122" s="3" t="inlineStr">
        <is>
          <t>IMF.RES:WEO</t>
        </is>
      </c>
      <c r="D3122" s="3" t="inlineStr">
        <is>
          <t>URY.GGX_NGDP.A</t>
        </is>
      </c>
      <c r="E3122" s="3" t="inlineStr">
        <is>
          <t>Uruguay</t>
        </is>
      </c>
      <c r="F3122" s="3" t="inlineStr">
        <is>
          <t>Expenditure, General government, Percent of GDP</t>
        </is>
      </c>
      <c r="G3122" s="3" t="n">
        <v>26.564275</v>
      </c>
      <c r="H3122" s="3" t="n">
        <v>27.81696</v>
      </c>
      <c r="I3122" s="3" t="n">
        <v>27.598366</v>
      </c>
      <c r="J3122" s="3" t="n">
        <v>27.73074</v>
      </c>
      <c r="K3122" s="3" t="n">
        <v>26.612323</v>
      </c>
      <c r="L3122" s="3" t="n">
        <v>26.273707</v>
      </c>
      <c r="M3122" s="3" t="n">
        <v>26.826783</v>
      </c>
      <c r="N3122" s="3" t="n">
        <v>26.752361</v>
      </c>
      <c r="O3122" s="3" t="n">
        <v>26.29236</v>
      </c>
      <c r="P3122" s="3" t="n">
        <v>27.193434</v>
      </c>
      <c r="Q3122" s="3" t="n">
        <v>27.400296</v>
      </c>
      <c r="R3122" s="3" t="n">
        <v>26.328641</v>
      </c>
      <c r="S3122" s="3" t="n">
        <v>27.678101</v>
      </c>
      <c r="T3122" s="3" t="n">
        <v>28.826561</v>
      </c>
      <c r="U3122" s="3" t="n">
        <v>29.095605</v>
      </c>
      <c r="V3122" s="3" t="n">
        <v>28.350988</v>
      </c>
      <c r="W3122" s="3" t="n">
        <v>29.667967</v>
      </c>
      <c r="X3122" s="3" t="n">
        <v>29.727451</v>
      </c>
      <c r="Y3122" s="3" t="n">
        <v>30.342161</v>
      </c>
      <c r="Z3122" s="3" t="n">
        <v>30.585423</v>
      </c>
      <c r="AA3122" s="3" t="n">
        <v>32.788238</v>
      </c>
      <c r="AB3122" s="3" t="n">
        <v>30.215011</v>
      </c>
      <c r="AC3122" s="3" t="n">
        <v>29.724043</v>
      </c>
      <c r="AD3122" s="3" t="n">
        <v>30.054666</v>
      </c>
      <c r="AE3122" s="3" t="n">
        <v>30.627535</v>
      </c>
      <c r="AF3122" s="3" t="n">
        <v>31.500046</v>
      </c>
      <c r="AG3122" s="3" t="n">
        <v>31.822604</v>
      </c>
      <c r="AH3122" s="3" t="n">
        <v>31.861907</v>
      </c>
      <c r="AI3122" s="3" t="n">
        <v>31.850149</v>
      </c>
      <c r="AJ3122" s="3" t="n">
        <v>31.774667</v>
      </c>
      <c r="AK3122" s="3" t="n">
        <v>31.77232</v>
      </c>
      <c r="AL3122" s="3" t="n">
        <v>31.720722</v>
      </c>
      <c r="AM3122" s="3" t="n"/>
      <c r="AN3122" s="3" t="n"/>
      <c r="AO3122" s="3" t="n"/>
      <c r="AP3122" s="3" t="n"/>
      <c r="AQ3122" s="3" t="n"/>
      <c r="AR3122" s="3" t="n"/>
      <c r="AS3122" s="3" t="n"/>
      <c r="AT3122" s="3" t="n"/>
      <c r="AU3122" s="3" t="n"/>
    </row>
    <row r="3123">
      <c r="A3123" s="3" t="n">
        <v>2031</v>
      </c>
      <c r="B3123" s="3" t="inlineStr">
        <is>
          <t>URY</t>
        </is>
      </c>
      <c r="C3123" s="3" t="inlineStr">
        <is>
          <t>IMF.RES:WEO</t>
        </is>
      </c>
      <c r="D3123" s="3" t="inlineStr">
        <is>
          <t>URY.LP.A</t>
        </is>
      </c>
      <c r="E3123" s="3" t="inlineStr">
        <is>
          <t>Uruguay</t>
        </is>
      </c>
      <c r="F3123" s="3" t="inlineStr">
        <is>
          <t>Population, Persons for countries / Index for country groups</t>
        </is>
      </c>
      <c r="G3123" s="3" t="n">
        <v>3.349155</v>
      </c>
      <c r="H3123" s="3" t="n">
        <v>3.351491</v>
      </c>
      <c r="I3123" s="3" t="n">
        <v>3.346677</v>
      </c>
      <c r="J3123" s="3" t="n">
        <v>3.338399</v>
      </c>
      <c r="K3123" s="3" t="n">
        <v>3.341417</v>
      </c>
      <c r="L3123" s="3" t="n">
        <v>3.352355</v>
      </c>
      <c r="M3123" s="3" t="n">
        <v>3.358005</v>
      </c>
      <c r="N3123" s="3" t="n">
        <v>3.358794</v>
      </c>
      <c r="O3123" s="3" t="n">
        <v>3.36306</v>
      </c>
      <c r="P3123" s="3" t="n">
        <v>3.378083</v>
      </c>
      <c r="Q3123" s="3" t="n">
        <v>3.396706</v>
      </c>
      <c r="R3123" s="3" t="n">
        <v>3.412636</v>
      </c>
      <c r="S3123" s="3" t="n">
        <v>3.42755</v>
      </c>
      <c r="T3123" s="3" t="n">
        <v>3.442033</v>
      </c>
      <c r="U3123" s="3" t="n">
        <v>3.457315</v>
      </c>
      <c r="V3123" s="3" t="n">
        <v>3.47259</v>
      </c>
      <c r="W3123" s="3" t="n">
        <v>3.486152</v>
      </c>
      <c r="X3123" s="3" t="n">
        <v>3.496713</v>
      </c>
      <c r="Y3123" s="3" t="n">
        <v>3.503978</v>
      </c>
      <c r="Z3123" s="3" t="n">
        <v>3.50777</v>
      </c>
      <c r="AA3123" s="3" t="n">
        <v>3.510305</v>
      </c>
      <c r="AB3123" s="3" t="n">
        <v>3.508363</v>
      </c>
      <c r="AC3123" s="3" t="n">
        <v>3.501498</v>
      </c>
      <c r="AD3123" s="3" t="n">
        <v>3.4964</v>
      </c>
      <c r="AE3123" s="3" t="n">
        <v>3.491764</v>
      </c>
      <c r="AF3123" s="3" t="n">
        <v>3.485931</v>
      </c>
      <c r="AG3123" s="3" t="n">
        <v>3.480601</v>
      </c>
      <c r="AH3123" s="3" t="n">
        <v>3.475813</v>
      </c>
      <c r="AI3123" s="3" t="n">
        <v>3.471808</v>
      </c>
      <c r="AJ3123" s="3" t="n">
        <v>3.468763</v>
      </c>
      <c r="AK3123" s="3" t="n">
        <v>3.466466</v>
      </c>
      <c r="AL3123" s="3" t="n">
        <v>3.464715</v>
      </c>
      <c r="AM3123" s="3" t="n"/>
      <c r="AN3123" s="3" t="n"/>
      <c r="AO3123" s="3" t="n"/>
      <c r="AP3123" s="3" t="n"/>
      <c r="AQ3123" s="3" t="n"/>
      <c r="AR3123" s="3" t="n"/>
      <c r="AS3123" s="3" t="n"/>
      <c r="AT3123" s="3" t="n"/>
      <c r="AU3123" s="3" t="n"/>
    </row>
    <row r="3124">
      <c r="A3124" s="3" t="n">
        <v>2031</v>
      </c>
      <c r="B3124" s="3" t="inlineStr">
        <is>
          <t>URY</t>
        </is>
      </c>
      <c r="C3124" s="3" t="inlineStr">
        <is>
          <t>IMF.RES:WEO</t>
        </is>
      </c>
      <c r="D3124" s="3" t="inlineStr">
        <is>
          <t>URY.NGDP.A</t>
        </is>
      </c>
      <c r="E3124" s="3" t="inlineStr">
        <is>
          <t>Uruguay</t>
        </is>
      </c>
      <c r="F3124" s="3" t="inlineStr">
        <is>
          <t>Gross domestic product (GDP), Current prices, Domestic currency</t>
        </is>
      </c>
      <c r="G3124" s="3" t="n">
        <v>301.274802</v>
      </c>
      <c r="H3124" s="3" t="n">
        <v>303.675802</v>
      </c>
      <c r="I3124" s="3" t="n">
        <v>315.545815</v>
      </c>
      <c r="J3124" s="3" t="n">
        <v>370.703622</v>
      </c>
      <c r="K3124" s="3" t="n">
        <v>428.588583</v>
      </c>
      <c r="L3124" s="3" t="n">
        <v>463.683861</v>
      </c>
      <c r="M3124" s="3" t="n">
        <v>514.223944</v>
      </c>
      <c r="N3124" s="3" t="n">
        <v>599.456714</v>
      </c>
      <c r="O3124" s="3" t="n">
        <v>694.023778</v>
      </c>
      <c r="P3124" s="3" t="n">
        <v>779.5261389999999</v>
      </c>
      <c r="Q3124" s="3" t="n">
        <v>881.592226</v>
      </c>
      <c r="R3124" s="3" t="n">
        <v>1010.629999</v>
      </c>
      <c r="S3124" s="3" t="n">
        <v>1135.933079</v>
      </c>
      <c r="T3124" s="3" t="n">
        <v>1285.52866</v>
      </c>
      <c r="U3124" s="3" t="n">
        <v>1451.549353</v>
      </c>
      <c r="V3124" s="3" t="n">
        <v>1588.291818</v>
      </c>
      <c r="W3124" s="3" t="n">
        <v>1733.770028</v>
      </c>
      <c r="X3124" s="3" t="n">
        <v>1864.139204</v>
      </c>
      <c r="Y3124" s="3" t="n">
        <v>2007.728968</v>
      </c>
      <c r="Z3124" s="3" t="n">
        <v>2193.671434</v>
      </c>
      <c r="AA3124" s="3" t="n">
        <v>2250.204793</v>
      </c>
      <c r="AB3124" s="3" t="n">
        <v>2645.463993</v>
      </c>
      <c r="AC3124" s="3" t="n">
        <v>2933.055503</v>
      </c>
      <c r="AD3124" s="3" t="n">
        <v>3075.193041</v>
      </c>
      <c r="AE3124" s="3" t="n">
        <v>3310.431643</v>
      </c>
      <c r="AF3124" s="3" t="n">
        <v>3515.517082</v>
      </c>
      <c r="AG3124" s="3" t="n">
        <v>3782.185395</v>
      </c>
      <c r="AH3124" s="3" t="n">
        <v>4061.478934</v>
      </c>
      <c r="AI3124" s="3" t="n">
        <v>4360.548628</v>
      </c>
      <c r="AJ3124" s="3" t="n">
        <v>4684.214624</v>
      </c>
      <c r="AK3124" s="3" t="n">
        <v>5035.803895</v>
      </c>
      <c r="AL3124" s="3" t="n">
        <v>5413.289072</v>
      </c>
      <c r="AM3124" s="3" t="n"/>
      <c r="AN3124" s="3" t="n"/>
      <c r="AO3124" s="3" t="n"/>
      <c r="AP3124" s="3" t="n"/>
      <c r="AQ3124" s="3" t="n"/>
      <c r="AR3124" s="3" t="n"/>
      <c r="AS3124" s="3" t="n"/>
      <c r="AT3124" s="3" t="n"/>
      <c r="AU3124" s="3" t="n"/>
    </row>
    <row r="3125">
      <c r="A3125" s="3" t="n">
        <v>2031</v>
      </c>
      <c r="B3125" s="3" t="inlineStr">
        <is>
          <t>URY</t>
        </is>
      </c>
      <c r="C3125" s="3" t="inlineStr">
        <is>
          <t>IMF.RES:WEO</t>
        </is>
      </c>
      <c r="D3125" s="3" t="inlineStr">
        <is>
          <t>URY.NGDP_D.A</t>
        </is>
      </c>
      <c r="E3125" s="3" t="inlineStr">
        <is>
          <t>Uruguay</t>
        </is>
      </c>
      <c r="F3125" s="3" t="inlineStr">
        <is>
          <t>Gross domestic product (GDP), Price deflator, Index</t>
        </is>
      </c>
      <c r="G3125" s="3" t="n">
        <v>28.122469</v>
      </c>
      <c r="H3125" s="3" t="n">
        <v>29.479834</v>
      </c>
      <c r="I3125" s="3" t="n">
        <v>33.199091</v>
      </c>
      <c r="J3125" s="3" t="n">
        <v>38.690763</v>
      </c>
      <c r="K3125" s="3" t="n">
        <v>42.600487</v>
      </c>
      <c r="L3125" s="3" t="n">
        <v>42.889262</v>
      </c>
      <c r="M3125" s="3" t="n">
        <v>45.691361</v>
      </c>
      <c r="N3125" s="3" t="n">
        <v>49.994333</v>
      </c>
      <c r="O3125" s="3" t="n">
        <v>54.005646</v>
      </c>
      <c r="P3125" s="3" t="n">
        <v>58.189756</v>
      </c>
      <c r="Q3125" s="3" t="n">
        <v>61.045142</v>
      </c>
      <c r="R3125" s="3" t="n">
        <v>66.545112</v>
      </c>
      <c r="S3125" s="3" t="n">
        <v>72.239744</v>
      </c>
      <c r="T3125" s="3" t="n">
        <v>78.12997799999999</v>
      </c>
      <c r="U3125" s="3" t="n">
        <v>85.452512</v>
      </c>
      <c r="V3125" s="3" t="n">
        <v>93.15715</v>
      </c>
      <c r="W3125" s="3" t="n">
        <v>100</v>
      </c>
      <c r="X3125" s="3" t="n">
        <v>105.680171</v>
      </c>
      <c r="Y3125" s="3" t="n">
        <v>113.633196</v>
      </c>
      <c r="Z3125" s="3" t="n">
        <v>123.015133</v>
      </c>
      <c r="AA3125" s="3" t="n">
        <v>136.20653</v>
      </c>
      <c r="AB3125" s="3" t="n">
        <v>151.290052</v>
      </c>
      <c r="AC3125" s="3" t="n">
        <v>160.350843</v>
      </c>
      <c r="AD3125" s="3" t="n">
        <v>166.850554</v>
      </c>
      <c r="AE3125" s="3" t="n">
        <v>173.832625</v>
      </c>
      <c r="AF3125" s="3" t="n">
        <v>181.364936</v>
      </c>
      <c r="AG3125" s="3" t="n">
        <v>191.672141</v>
      </c>
      <c r="AH3125" s="3" t="n">
        <v>200.612246</v>
      </c>
      <c r="AI3125" s="3" t="n">
        <v>210.519558</v>
      </c>
      <c r="AJ3125" s="3" t="n">
        <v>221.210775</v>
      </c>
      <c r="AK3125" s="3" t="n">
        <v>232.65372</v>
      </c>
      <c r="AL3125" s="3" t="n">
        <v>244.666276</v>
      </c>
      <c r="AM3125" s="3" t="n"/>
      <c r="AN3125" s="3" t="n"/>
      <c r="AO3125" s="3" t="n"/>
      <c r="AP3125" s="3" t="n"/>
      <c r="AQ3125" s="3" t="n"/>
      <c r="AR3125" s="3" t="n"/>
      <c r="AS3125" s="3" t="n"/>
      <c r="AT3125" s="3" t="n"/>
      <c r="AU3125" s="3" t="n"/>
    </row>
    <row r="3126">
      <c r="A3126" s="3" t="n">
        <v>2031</v>
      </c>
      <c r="B3126" s="3" t="inlineStr">
        <is>
          <t>URY</t>
        </is>
      </c>
      <c r="C3126" s="3" t="inlineStr">
        <is>
          <t>IMF.RES:WEO</t>
        </is>
      </c>
      <c r="D3126" s="3" t="inlineStr">
        <is>
          <t>URY.NGDP_R.A</t>
        </is>
      </c>
      <c r="E3126" s="3" t="inlineStr">
        <is>
          <t>Uruguay</t>
        </is>
      </c>
      <c r="F3126" s="3" t="inlineStr">
        <is>
          <t>Gross domestic product (GDP), Constant prices, Domestic currency</t>
        </is>
      </c>
      <c r="G3126" s="3" t="n">
        <v>1071.295691</v>
      </c>
      <c r="H3126" s="3" t="n">
        <v>1030.113693</v>
      </c>
      <c r="I3126" s="3" t="n">
        <v>950.465228</v>
      </c>
      <c r="J3126" s="3" t="n">
        <v>958.1191710000001</v>
      </c>
      <c r="K3126" s="3" t="n">
        <v>1006.064991</v>
      </c>
      <c r="L3126" s="3" t="n">
        <v>1081.118769</v>
      </c>
      <c r="M3126" s="3" t="n">
        <v>1125.429258</v>
      </c>
      <c r="N3126" s="3" t="n">
        <v>1199.049335</v>
      </c>
      <c r="O3126" s="3" t="n">
        <v>1285.09485</v>
      </c>
      <c r="P3126" s="3" t="n">
        <v>1339.627775</v>
      </c>
      <c r="Q3126" s="3" t="n">
        <v>1444.164418</v>
      </c>
      <c r="R3126" s="3" t="n">
        <v>1518.714106</v>
      </c>
      <c r="S3126" s="3" t="n">
        <v>1572.448926</v>
      </c>
      <c r="T3126" s="3" t="n">
        <v>1645.371852</v>
      </c>
      <c r="U3126" s="3" t="n">
        <v>1698.662011</v>
      </c>
      <c r="V3126" s="3" t="n">
        <v>1704.959652</v>
      </c>
      <c r="W3126" s="3" t="n">
        <v>1733.770027</v>
      </c>
      <c r="X3126" s="3" t="n">
        <v>1763.944153</v>
      </c>
      <c r="Y3126" s="3" t="n">
        <v>1766.850743</v>
      </c>
      <c r="Z3126" s="3" t="n">
        <v>1783.253317</v>
      </c>
      <c r="AA3126" s="3" t="n">
        <v>1652.053539</v>
      </c>
      <c r="AB3126" s="3" t="n">
        <v>1748.60406</v>
      </c>
      <c r="AC3126" s="3" t="n">
        <v>1829.148785</v>
      </c>
      <c r="AD3126" s="3" t="n">
        <v>1843.082312</v>
      </c>
      <c r="AE3126" s="3" t="n">
        <v>1904.378791</v>
      </c>
      <c r="AF3126" s="3" t="n">
        <v>1938.366451</v>
      </c>
      <c r="AG3126" s="3" t="n">
        <v>1973.257756</v>
      </c>
      <c r="AH3126" s="3" t="n">
        <v>2024.541876</v>
      </c>
      <c r="AI3126" s="3" t="n">
        <v>2071.327091</v>
      </c>
      <c r="AJ3126" s="3" t="n">
        <v>2117.534566</v>
      </c>
      <c r="AK3126" s="3" t="n">
        <v>2164.50607</v>
      </c>
      <c r="AL3126" s="3" t="n">
        <v>2212.519504</v>
      </c>
      <c r="AM3126" s="3" t="n"/>
      <c r="AN3126" s="3" t="n"/>
      <c r="AO3126" s="3" t="n"/>
      <c r="AP3126" s="3" t="n"/>
      <c r="AQ3126" s="3" t="n"/>
      <c r="AR3126" s="3" t="n"/>
      <c r="AS3126" s="3" t="n"/>
      <c r="AT3126" s="3" t="n"/>
      <c r="AU3126" s="3" t="n"/>
    </row>
    <row r="3127">
      <c r="A3127" s="3" t="n">
        <v>2031</v>
      </c>
      <c r="B3127" s="3" t="inlineStr">
        <is>
          <t>URY</t>
        </is>
      </c>
      <c r="C3127" s="3" t="inlineStr">
        <is>
          <t>IMF.RES:WEO</t>
        </is>
      </c>
      <c r="D3127" s="3" t="inlineStr">
        <is>
          <t>URY.NGDP_RPCH.A</t>
        </is>
      </c>
      <c r="E3127" s="3" t="inlineStr">
        <is>
          <t>Uruguay</t>
        </is>
      </c>
      <c r="F3127" s="3" t="inlineStr">
        <is>
          <t>Gross domestic product (GDP), Constant prices, Percent change</t>
        </is>
      </c>
      <c r="G3127" s="3" t="n">
        <v>-1.929931</v>
      </c>
      <c r="H3127" s="3" t="n">
        <v>-3.84413</v>
      </c>
      <c r="I3127" s="3" t="n">
        <v>-7.732007</v>
      </c>
      <c r="J3127" s="3" t="n">
        <v>0.805284</v>
      </c>
      <c r="K3127" s="3" t="n">
        <v>5.00416</v>
      </c>
      <c r="L3127" s="3" t="n">
        <v>7.460132</v>
      </c>
      <c r="M3127" s="3" t="n">
        <v>4.098577</v>
      </c>
      <c r="N3127" s="3" t="n">
        <v>6.541511</v>
      </c>
      <c r="O3127" s="3" t="n">
        <v>7.176145</v>
      </c>
      <c r="P3127" s="3" t="n">
        <v>4.243494</v>
      </c>
      <c r="Q3127" s="3" t="n">
        <v>7.80341</v>
      </c>
      <c r="R3127" s="3" t="n">
        <v>5.162133</v>
      </c>
      <c r="S3127" s="3" t="n">
        <v>3.538179</v>
      </c>
      <c r="T3127" s="3" t="n">
        <v>4.637539</v>
      </c>
      <c r="U3127" s="3" t="n">
        <v>3.238791</v>
      </c>
      <c r="V3127" s="3" t="n">
        <v>0.370741</v>
      </c>
      <c r="W3127" s="3" t="n">
        <v>1.689798</v>
      </c>
      <c r="X3127" s="3" t="n">
        <v>1.740376</v>
      </c>
      <c r="Y3127" s="3" t="n">
        <v>0.164778</v>
      </c>
      <c r="Z3127" s="3" t="n">
        <v>0.928351</v>
      </c>
      <c r="AA3127" s="3" t="n">
        <v>-7.357327</v>
      </c>
      <c r="AB3127" s="3" t="n">
        <v>5.844273</v>
      </c>
      <c r="AC3127" s="3" t="n">
        <v>4.60623</v>
      </c>
      <c r="AD3127" s="3" t="n">
        <v>0.761749</v>
      </c>
      <c r="AE3127" s="3" t="n">
        <v>3.325759</v>
      </c>
      <c r="AF3127" s="3" t="n">
        <v>1.784711</v>
      </c>
      <c r="AG3127" s="3" t="n">
        <v>1.800037</v>
      </c>
      <c r="AH3127" s="3" t="n">
        <v>2.598957</v>
      </c>
      <c r="AI3127" s="3" t="n">
        <v>2.310904</v>
      </c>
      <c r="AJ3127" s="3" t="n">
        <v>2.230815</v>
      </c>
      <c r="AK3127" s="3" t="n">
        <v>2.218217</v>
      </c>
      <c r="AL3127" s="3" t="n">
        <v>2.218217</v>
      </c>
      <c r="AM3127" s="3" t="n"/>
      <c r="AN3127" s="3" t="n"/>
      <c r="AO3127" s="3" t="n"/>
      <c r="AP3127" s="3" t="n"/>
      <c r="AQ3127" s="3" t="n"/>
      <c r="AR3127" s="3" t="n"/>
      <c r="AS3127" s="3" t="n"/>
      <c r="AT3127" s="3" t="n"/>
      <c r="AU3127" s="3" t="n"/>
    </row>
    <row r="3128">
      <c r="A3128" s="3" t="n">
        <v>2031</v>
      </c>
      <c r="B3128" s="3" t="inlineStr">
        <is>
          <t>URY</t>
        </is>
      </c>
      <c r="C3128" s="3" t="inlineStr">
        <is>
          <t>IMF.RES:WEO</t>
        </is>
      </c>
      <c r="D3128" s="3" t="inlineStr">
        <is>
          <t>URY.NGDPD.A</t>
        </is>
      </c>
      <c r="E3128" s="3" t="inlineStr">
        <is>
          <t>Uruguay</t>
        </is>
      </c>
      <c r="F3128" s="3" t="inlineStr">
        <is>
          <t>Gross domestic product (GDP), Current prices, US dollar</t>
        </is>
      </c>
      <c r="G3128" s="3" t="n">
        <v>24.892058</v>
      </c>
      <c r="H3128" s="3" t="n">
        <v>22.802193</v>
      </c>
      <c r="I3128" s="3" t="n">
        <v>14.862912</v>
      </c>
      <c r="J3128" s="3" t="n">
        <v>13.158895</v>
      </c>
      <c r="K3128" s="3" t="n">
        <v>14.959331</v>
      </c>
      <c r="L3128" s="3" t="n">
        <v>18.986059</v>
      </c>
      <c r="M3128" s="3" t="n">
        <v>21.415513</v>
      </c>
      <c r="N3128" s="3" t="n">
        <v>25.603493</v>
      </c>
      <c r="O3128" s="3" t="n">
        <v>33.150703</v>
      </c>
      <c r="P3128" s="3" t="n">
        <v>34.564955</v>
      </c>
      <c r="Q3128" s="3" t="n">
        <v>43.966763</v>
      </c>
      <c r="R3128" s="3" t="n">
        <v>52.354302</v>
      </c>
      <c r="S3128" s="3" t="n">
        <v>55.938465</v>
      </c>
      <c r="T3128" s="3" t="n">
        <v>62.856914</v>
      </c>
      <c r="U3128" s="3" t="n">
        <v>62.546113</v>
      </c>
      <c r="V3128" s="3" t="n">
        <v>58.218462</v>
      </c>
      <c r="W3128" s="3" t="n">
        <v>57.57961</v>
      </c>
      <c r="X3128" s="3" t="n">
        <v>65.06783299999999</v>
      </c>
      <c r="Y3128" s="3" t="n">
        <v>65.370302</v>
      </c>
      <c r="Z3128" s="3" t="n">
        <v>62.22946</v>
      </c>
      <c r="AA3128" s="3" t="n">
        <v>53.55654</v>
      </c>
      <c r="AB3128" s="3" t="n">
        <v>60.742071</v>
      </c>
      <c r="AC3128" s="3" t="n">
        <v>71.24658100000001</v>
      </c>
      <c r="AD3128" s="3" t="n">
        <v>79.21382800000001</v>
      </c>
      <c r="AE3128" s="3" t="n">
        <v>82.322765</v>
      </c>
      <c r="AF3128" s="3" t="n">
        <v>85.575429</v>
      </c>
      <c r="AG3128" s="3" t="n">
        <v>96.09246899999999</v>
      </c>
      <c r="AH3128" s="3" t="n">
        <v>100.858992</v>
      </c>
      <c r="AI3128" s="3" t="n">
        <v>104.916984</v>
      </c>
      <c r="AJ3128" s="3" t="n">
        <v>109.609264</v>
      </c>
      <c r="AK3128" s="3" t="n">
        <v>115.273696</v>
      </c>
      <c r="AL3128" s="3" t="n">
        <v>121.21456</v>
      </c>
      <c r="AM3128" s="3" t="n"/>
      <c r="AN3128" s="3" t="n"/>
      <c r="AO3128" s="3" t="n"/>
      <c r="AP3128" s="3" t="n"/>
      <c r="AQ3128" s="3" t="n"/>
      <c r="AR3128" s="3" t="n"/>
      <c r="AS3128" s="3" t="n"/>
      <c r="AT3128" s="3" t="n"/>
      <c r="AU3128" s="3" t="n"/>
    </row>
    <row r="3129">
      <c r="A3129" s="3" t="n">
        <v>2031</v>
      </c>
      <c r="B3129" s="3" t="inlineStr">
        <is>
          <t>URY</t>
        </is>
      </c>
      <c r="C3129" s="3" t="inlineStr">
        <is>
          <t>IMF.RES:WEO</t>
        </is>
      </c>
      <c r="D3129" s="3" t="inlineStr">
        <is>
          <t>URY.NGDPPC.A</t>
        </is>
      </c>
      <c r="E3129" s="3" t="inlineStr">
        <is>
          <t>Uruguay</t>
        </is>
      </c>
      <c r="F3129" s="3" t="inlineStr">
        <is>
          <t>Gross domestic product (GDP), Current prices, Per capita, Domestic currency</t>
        </is>
      </c>
      <c r="G3129" s="3" t="n">
        <v>89955.45892</v>
      </c>
      <c r="H3129" s="3" t="n">
        <v>90609.17507700001</v>
      </c>
      <c r="I3129" s="3" t="n">
        <v>94286.307472</v>
      </c>
      <c r="J3129" s="3" t="n">
        <v>111042.320197</v>
      </c>
      <c r="K3129" s="3" t="n">
        <v>128265.529756</v>
      </c>
      <c r="L3129" s="3" t="n">
        <v>138315.873448</v>
      </c>
      <c r="M3129" s="3" t="n">
        <v>153133.758612</v>
      </c>
      <c r="N3129" s="3" t="n">
        <v>178473.822297</v>
      </c>
      <c r="O3129" s="3" t="n">
        <v>206366.780118</v>
      </c>
      <c r="P3129" s="3" t="n">
        <v>230759.935034</v>
      </c>
      <c r="Q3129" s="3" t="n">
        <v>259543.310301</v>
      </c>
      <c r="R3129" s="3" t="n">
        <v>296143.501508</v>
      </c>
      <c r="S3129" s="3" t="n">
        <v>331412.558836</v>
      </c>
      <c r="T3129" s="3" t="n">
        <v>373479.509496</v>
      </c>
      <c r="U3129" s="3" t="n">
        <v>419848.715368</v>
      </c>
      <c r="V3129" s="3" t="n">
        <v>457379.609347</v>
      </c>
      <c r="W3129" s="3" t="n">
        <v>497330.636269</v>
      </c>
      <c r="X3129" s="3" t="n">
        <v>533111.864297</v>
      </c>
      <c r="Y3129" s="3" t="n">
        <v>572985.633459</v>
      </c>
      <c r="Z3129" s="3" t="n">
        <v>625374.857432</v>
      </c>
      <c r="AA3129" s="3" t="n">
        <v>641028.30925</v>
      </c>
      <c r="AB3129" s="3" t="n">
        <v>754045.069031</v>
      </c>
      <c r="AC3129" s="3" t="n">
        <v>837657.291757</v>
      </c>
      <c r="AD3129" s="3" t="n">
        <v>879531.237156</v>
      </c>
      <c r="AE3129" s="3" t="n">
        <v>948068.64326</v>
      </c>
      <c r="AF3129" s="3" t="n">
        <v>1008487.209403</v>
      </c>
      <c r="AG3129" s="3" t="n">
        <v>1086647.161159</v>
      </c>
      <c r="AH3129" s="3" t="n">
        <v>1168497.399014</v>
      </c>
      <c r="AI3129" s="3" t="n">
        <v>1255987.749224</v>
      </c>
      <c r="AJ3129" s="3" t="n">
        <v>1350399.348297</v>
      </c>
      <c r="AK3129" s="3" t="n">
        <v>1452719.790157</v>
      </c>
      <c r="AL3129" s="3" t="n">
        <v>1562405.400011</v>
      </c>
      <c r="AM3129" s="3" t="n"/>
      <c r="AN3129" s="3" t="n"/>
      <c r="AO3129" s="3" t="n"/>
      <c r="AP3129" s="3" t="n"/>
      <c r="AQ3129" s="3" t="n"/>
      <c r="AR3129" s="3" t="n"/>
      <c r="AS3129" s="3" t="n"/>
      <c r="AT3129" s="3" t="n"/>
      <c r="AU3129" s="3" t="n"/>
    </row>
    <row r="3130">
      <c r="A3130" s="3" t="n">
        <v>2031</v>
      </c>
      <c r="B3130" s="3" t="inlineStr">
        <is>
          <t>URY</t>
        </is>
      </c>
      <c r="C3130" s="3" t="inlineStr">
        <is>
          <t>IMF.RES:WEO</t>
        </is>
      </c>
      <c r="D3130" s="3" t="inlineStr">
        <is>
          <t>URY.NGDPRPC.A</t>
        </is>
      </c>
      <c r="E3130" s="3" t="inlineStr">
        <is>
          <t>Uruguay</t>
        </is>
      </c>
      <c r="F3130" s="3" t="inlineStr">
        <is>
          <t>Gross domestic product (GDP), Constant prices, Per capita, Domestic currency</t>
        </is>
      </c>
      <c r="G3130" s="3" t="n">
        <v>319870.413678</v>
      </c>
      <c r="H3130" s="3" t="n">
        <v>307359.859633</v>
      </c>
      <c r="I3130" s="3" t="n">
        <v>284002.678571</v>
      </c>
      <c r="J3130" s="3" t="n">
        <v>286999.558551</v>
      </c>
      <c r="K3130" s="3" t="n">
        <v>301089.352768</v>
      </c>
      <c r="L3130" s="3" t="n">
        <v>322495.345363</v>
      </c>
      <c r="M3130" s="3" t="n">
        <v>335148.166769</v>
      </c>
      <c r="N3130" s="3" t="n">
        <v>356988.107383</v>
      </c>
      <c r="O3130" s="3" t="n">
        <v>382120.749328</v>
      </c>
      <c r="P3130" s="3" t="n">
        <v>396564.531722</v>
      </c>
      <c r="Q3130" s="3" t="n">
        <v>425166.196375</v>
      </c>
      <c r="R3130" s="3" t="n">
        <v>445026.680073</v>
      </c>
      <c r="S3130" s="3" t="n">
        <v>458767.625955</v>
      </c>
      <c r="T3130" s="3" t="n">
        <v>478023.315556</v>
      </c>
      <c r="U3130" s="3" t="n">
        <v>491324.020103</v>
      </c>
      <c r="V3130" s="3" t="n">
        <v>490976.38772</v>
      </c>
      <c r="W3130" s="3" t="n">
        <v>497330.635982</v>
      </c>
      <c r="X3130" s="3" t="n">
        <v>504457.796876</v>
      </c>
      <c r="Y3130" s="3" t="n">
        <v>504241.413229</v>
      </c>
      <c r="Z3130" s="3" t="n">
        <v>508372.298421</v>
      </c>
      <c r="AA3130" s="3" t="n">
        <v>470629.646773</v>
      </c>
      <c r="AB3130" s="3" t="n">
        <v>498410.211827</v>
      </c>
      <c r="AC3130" s="3" t="n">
        <v>522390.325003</v>
      </c>
      <c r="AD3130" s="3" t="n">
        <v>527137.1404790001</v>
      </c>
      <c r="AE3130" s="3" t="n">
        <v>545391.662279</v>
      </c>
      <c r="AF3130" s="3" t="n">
        <v>556054.124435</v>
      </c>
      <c r="AG3130" s="3" t="n">
        <v>566930.151398</v>
      </c>
      <c r="AH3130" s="3" t="n">
        <v>582465.6374060001</v>
      </c>
      <c r="AI3130" s="3" t="n">
        <v>596613.3330860001</v>
      </c>
      <c r="AJ3130" s="3" t="n">
        <v>610458.214931</v>
      </c>
      <c r="AK3130" s="3" t="n">
        <v>624412.878143</v>
      </c>
      <c r="AL3130" s="3" t="n">
        <v>638586.333463</v>
      </c>
      <c r="AM3130" s="3" t="n"/>
      <c r="AN3130" s="3" t="n"/>
      <c r="AO3130" s="3" t="n"/>
      <c r="AP3130" s="3" t="n"/>
      <c r="AQ3130" s="3" t="n"/>
      <c r="AR3130" s="3" t="n"/>
      <c r="AS3130" s="3" t="n"/>
      <c r="AT3130" s="3" t="n"/>
      <c r="AU3130" s="3" t="n"/>
    </row>
    <row r="3131">
      <c r="A3131" s="3" t="n">
        <v>2031</v>
      </c>
      <c r="B3131" s="3" t="inlineStr">
        <is>
          <t>URY</t>
        </is>
      </c>
      <c r="C3131" s="3" t="inlineStr">
        <is>
          <t>IMF.RES:WEO</t>
        </is>
      </c>
      <c r="D3131" s="3" t="inlineStr">
        <is>
          <t>URY.PCPI.A</t>
        </is>
      </c>
      <c r="E3131" s="3" t="inlineStr">
        <is>
          <t>Uruguay</t>
        </is>
      </c>
      <c r="F3131" s="3" t="inlineStr">
        <is>
          <t>All Items, Consumer price index (CPI), Period average</t>
        </is>
      </c>
      <c r="G3131" s="3" t="n">
        <v>16.201667</v>
      </c>
      <c r="H3131" s="3" t="n">
        <v>16.9075</v>
      </c>
      <c r="I3131" s="3" t="n">
        <v>19.269167</v>
      </c>
      <c r="J3131" s="3" t="n">
        <v>23.003333</v>
      </c>
      <c r="K3131" s="3" t="n">
        <v>25.1125</v>
      </c>
      <c r="L3131" s="3" t="n">
        <v>26.2925</v>
      </c>
      <c r="M3131" s="3" t="n">
        <v>27.971667</v>
      </c>
      <c r="N3131" s="3" t="n">
        <v>30.241667</v>
      </c>
      <c r="O3131" s="3" t="n">
        <v>32.624167</v>
      </c>
      <c r="P3131" s="3" t="n">
        <v>34.93</v>
      </c>
      <c r="Q3131" s="3" t="n">
        <v>37.268333</v>
      </c>
      <c r="R3131" s="3" t="n">
        <v>40.284167</v>
      </c>
      <c r="S3131" s="3" t="n">
        <v>43.546667</v>
      </c>
      <c r="T3131" s="3" t="n">
        <v>47.281667</v>
      </c>
      <c r="U3131" s="3" t="n">
        <v>51.479167</v>
      </c>
      <c r="V3131" s="3" t="n">
        <v>55.9375</v>
      </c>
      <c r="W3131" s="3" t="n">
        <v>61.33</v>
      </c>
      <c r="X3131" s="3" t="n">
        <v>65.145833</v>
      </c>
      <c r="Y3131" s="3" t="n">
        <v>70.10083299999999</v>
      </c>
      <c r="Z3131" s="3" t="n">
        <v>75.626667</v>
      </c>
      <c r="AA3131" s="3" t="n">
        <v>83.003333</v>
      </c>
      <c r="AB3131" s="3" t="n">
        <v>89.435833</v>
      </c>
      <c r="AC3131" s="3" t="n">
        <v>97.58</v>
      </c>
      <c r="AD3131" s="3" t="n">
        <v>103.304167</v>
      </c>
      <c r="AE3131" s="3" t="n">
        <v>108.314167</v>
      </c>
      <c r="AF3131" s="3" t="n">
        <v>113.351667</v>
      </c>
      <c r="AG3131" s="3" t="n">
        <v>117.846119</v>
      </c>
      <c r="AH3131" s="3" t="n">
        <v>123.141003</v>
      </c>
      <c r="AI3131" s="3" t="n">
        <v>128.660047</v>
      </c>
      <c r="AJ3131" s="3" t="n">
        <v>134.449145</v>
      </c>
      <c r="AK3131" s="3" t="n">
        <v>140.516632</v>
      </c>
      <c r="AL3131" s="3" t="n">
        <v>146.862648</v>
      </c>
      <c r="AM3131" s="3" t="n"/>
      <c r="AN3131" s="3" t="n"/>
      <c r="AO3131" s="3" t="n"/>
      <c r="AP3131" s="3" t="n"/>
      <c r="AQ3131" s="3" t="n"/>
      <c r="AR3131" s="3" t="n"/>
      <c r="AS3131" s="3" t="n"/>
      <c r="AT3131" s="3" t="n"/>
      <c r="AU3131" s="3" t="n"/>
    </row>
    <row r="3132">
      <c r="A3132" s="3" t="n">
        <v>2031</v>
      </c>
      <c r="B3132" s="3" t="inlineStr">
        <is>
          <t>URY</t>
        </is>
      </c>
      <c r="C3132" s="3" t="inlineStr">
        <is>
          <t>IMF.RES:WEO</t>
        </is>
      </c>
      <c r="D3132" s="3" t="inlineStr">
        <is>
          <t>URY.PCPIPCH.A</t>
        </is>
      </c>
      <c r="E3132" s="3" t="inlineStr">
        <is>
          <t>Uruguay</t>
        </is>
      </c>
      <c r="F3132" s="3" t="inlineStr">
        <is>
          <t>All Items, Consumer price index (CPI), Period average, percent change</t>
        </is>
      </c>
      <c r="G3132" s="3" t="n">
        <v>4.774736</v>
      </c>
      <c r="H3132" s="3" t="n">
        <v>4.356548</v>
      </c>
      <c r="I3132" s="3" t="n">
        <v>13.96816</v>
      </c>
      <c r="J3132" s="3" t="n">
        <v>19.378973</v>
      </c>
      <c r="K3132" s="3" t="n">
        <v>9.168960999999999</v>
      </c>
      <c r="L3132" s="3" t="n">
        <v>4.698855</v>
      </c>
      <c r="M3132" s="3" t="n">
        <v>6.386485</v>
      </c>
      <c r="N3132" s="3" t="n">
        <v>8.115354999999999</v>
      </c>
      <c r="O3132" s="3" t="n">
        <v>7.878203</v>
      </c>
      <c r="P3132" s="3" t="n">
        <v>7.067869</v>
      </c>
      <c r="Q3132" s="3" t="n">
        <v>6.694341</v>
      </c>
      <c r="R3132" s="3" t="n">
        <v>8.092214</v>
      </c>
      <c r="S3132" s="3" t="n">
        <v>8.098715</v>
      </c>
      <c r="T3132" s="3" t="n">
        <v>8.577006000000001</v>
      </c>
      <c r="U3132" s="3" t="n">
        <v>8.877648000000001</v>
      </c>
      <c r="V3132" s="3" t="n">
        <v>8.660461</v>
      </c>
      <c r="W3132" s="3" t="n">
        <v>9.640223000000001</v>
      </c>
      <c r="X3132" s="3" t="n">
        <v>6.221806</v>
      </c>
      <c r="Y3132" s="3" t="n">
        <v>7.606012</v>
      </c>
      <c r="Z3132" s="3" t="n">
        <v>7.882693</v>
      </c>
      <c r="AA3132" s="3" t="n">
        <v>9.754054999999999</v>
      </c>
      <c r="AB3132" s="3" t="n">
        <v>7.749689</v>
      </c>
      <c r="AC3132" s="3" t="n">
        <v>9.106156</v>
      </c>
      <c r="AD3132" s="3" t="n">
        <v>5.866127</v>
      </c>
      <c r="AE3132" s="3" t="n">
        <v>4.849756</v>
      </c>
      <c r="AF3132" s="3" t="n">
        <v>4.650823</v>
      </c>
      <c r="AG3132" s="3" t="n">
        <v>3.965052</v>
      </c>
      <c r="AH3132" s="3" t="n">
        <v>4.493049</v>
      </c>
      <c r="AI3132" s="3" t="n">
        <v>4.481889</v>
      </c>
      <c r="AJ3132" s="3" t="n">
        <v>4.499531</v>
      </c>
      <c r="AK3132" s="3" t="n">
        <v>4.512849</v>
      </c>
      <c r="AL3132" s="3" t="n">
        <v>4.516202</v>
      </c>
      <c r="AM3132" s="3" t="n"/>
      <c r="AN3132" s="3" t="n"/>
      <c r="AO3132" s="3" t="n"/>
      <c r="AP3132" s="3" t="n"/>
      <c r="AQ3132" s="3" t="n"/>
      <c r="AR3132" s="3" t="n"/>
      <c r="AS3132" s="3" t="n"/>
      <c r="AT3132" s="3" t="n"/>
      <c r="AU3132" s="3" t="n"/>
    </row>
    <row r="3133">
      <c r="A3133" s="3" t="n">
        <v>2031</v>
      </c>
      <c r="B3133" s="3" t="inlineStr">
        <is>
          <t>URY</t>
        </is>
      </c>
      <c r="C3133" s="3" t="inlineStr">
        <is>
          <t>IMF.RES:WEO</t>
        </is>
      </c>
      <c r="D3133" s="3" t="inlineStr">
        <is>
          <t>URY.PPPPC.A</t>
        </is>
      </c>
      <c r="E3133" s="3" t="inlineStr">
        <is>
          <t>Uruguay</t>
        </is>
      </c>
      <c r="F3133" s="3" t="inlineStr">
        <is>
          <t>Gross domestic product (GDP), Per capita, purchasing power parity (PPP) international dollar, ICP benchmarks 2017-2021</t>
        </is>
      </c>
      <c r="G3133" s="3" t="n">
        <v>10548.494275</v>
      </c>
      <c r="H3133" s="3" t="n">
        <v>10364.151378</v>
      </c>
      <c r="I3133" s="3" t="n">
        <v>9725.371985</v>
      </c>
      <c r="J3133" s="3" t="n">
        <v>10022.022835</v>
      </c>
      <c r="K3133" s="3" t="n">
        <v>10796.748362</v>
      </c>
      <c r="L3133" s="3" t="n">
        <v>11926.981942</v>
      </c>
      <c r="M3133" s="3" t="n">
        <v>12777.171528</v>
      </c>
      <c r="N3133" s="3" t="n">
        <v>13978.522443</v>
      </c>
      <c r="O3133" s="3" t="n">
        <v>15250.878942</v>
      </c>
      <c r="P3133" s="3" t="n">
        <v>15924.960809</v>
      </c>
      <c r="Q3133" s="3" t="n">
        <v>17281.033734</v>
      </c>
      <c r="R3133" s="3" t="n">
        <v>18461.476215</v>
      </c>
      <c r="S3133" s="3" t="n">
        <v>19385.858998</v>
      </c>
      <c r="T3133" s="3" t="n">
        <v>20543.331804</v>
      </c>
      <c r="U3133" s="3" t="n">
        <v>21482.699367</v>
      </c>
      <c r="V3133" s="3" t="n">
        <v>21666.729276</v>
      </c>
      <c r="W3133" s="3" t="n">
        <v>22155.688404</v>
      </c>
      <c r="X3133" s="3" t="n">
        <v>22875.667977</v>
      </c>
      <c r="Y3133" s="3" t="n">
        <v>23624.802474</v>
      </c>
      <c r="Z3133" s="3" t="n">
        <v>24970.027216</v>
      </c>
      <c r="AA3133" s="3" t="n">
        <v>24909.324054</v>
      </c>
      <c r="AB3133" s="3" t="n">
        <v>28495.082202</v>
      </c>
      <c r="AC3133" s="3" t="n">
        <v>31990.270655</v>
      </c>
      <c r="AD3133" s="3" t="n">
        <v>33475.363532</v>
      </c>
      <c r="AE3133" s="3" t="n">
        <v>35494.419768</v>
      </c>
      <c r="AF3133" s="3" t="n">
        <v>37214.917963</v>
      </c>
      <c r="AG3133" s="3" t="n">
        <v>39029.820605</v>
      </c>
      <c r="AH3133" s="3" t="n">
        <v>40979.890225</v>
      </c>
      <c r="AI3133" s="3" t="n">
        <v>42664.241996</v>
      </c>
      <c r="AJ3133" s="3" t="n">
        <v>44430.52013</v>
      </c>
      <c r="AK3133" s="3" t="n">
        <v>46281.25747</v>
      </c>
      <c r="AL3133" s="3" t="n">
        <v>48186.270502</v>
      </c>
      <c r="AM3133" s="3" t="n"/>
      <c r="AN3133" s="3" t="n"/>
      <c r="AO3133" s="3" t="n"/>
      <c r="AP3133" s="3" t="n"/>
      <c r="AQ3133" s="3" t="n"/>
      <c r="AR3133" s="3" t="n"/>
      <c r="AS3133" s="3" t="n"/>
      <c r="AT3133" s="3" t="n"/>
      <c r="AU3133" s="3" t="n"/>
    </row>
    <row r="3134">
      <c r="A3134" s="3" t="n">
        <v>2025</v>
      </c>
      <c r="B3134" s="3" t="inlineStr">
        <is>
          <t>URY</t>
        </is>
      </c>
      <c r="C3134" s="3" t="inlineStr">
        <is>
          <t>IMF.STA:ER</t>
        </is>
      </c>
      <c r="D3134" s="3" t="inlineStr">
        <is>
          <t>URY.XDC_USD.PA_RT.A</t>
        </is>
      </c>
      <c r="E3134" s="3" t="inlineStr">
        <is>
          <t>Uruguay</t>
        </is>
      </c>
      <c r="F3134" s="3" t="inlineStr">
        <is>
          <t>Domestic currency per US Dollar</t>
        </is>
      </c>
      <c r="G3134" s="3" t="n">
        <v>12.0995916666666</v>
      </c>
      <c r="H3134" s="3" t="n">
        <v>13.3191166666666</v>
      </c>
      <c r="I3134" s="3" t="n">
        <v>21.2569666666666</v>
      </c>
      <c r="J3134" s="3" t="n">
        <v>28.2086833333333</v>
      </c>
      <c r="K3134" s="3" t="n">
        <v>28.7037333333333</v>
      </c>
      <c r="L3134" s="3" t="n">
        <v>24.4786</v>
      </c>
      <c r="M3134" s="3" t="n">
        <v>24.0733583333333</v>
      </c>
      <c r="N3134" s="3" t="n">
        <v>23.471025</v>
      </c>
      <c r="O3134" s="3" t="n">
        <v>20.9493166666666</v>
      </c>
      <c r="P3134" s="3" t="n">
        <v>22.5679833333333</v>
      </c>
      <c r="Q3134" s="3" t="n">
        <v>20.059275</v>
      </c>
      <c r="R3134" s="3" t="n">
        <v>19.3142083333333</v>
      </c>
      <c r="S3134" s="3" t="n">
        <v>20.310575</v>
      </c>
      <c r="T3134" s="3" t="n">
        <v>20.4816083333333</v>
      </c>
      <c r="U3134" s="3" t="n">
        <v>23.246025</v>
      </c>
      <c r="V3134" s="3" t="n">
        <v>27.3273666666666</v>
      </c>
      <c r="W3134" s="3" t="n">
        <v>30.1626</v>
      </c>
      <c r="X3134" s="3" t="n">
        <v>28.6764</v>
      </c>
      <c r="Y3134" s="3" t="n">
        <v>30.7252583333333</v>
      </c>
      <c r="Z3134" s="3" t="n">
        <v>35.255375</v>
      </c>
      <c r="AA3134" s="3" t="n">
        <v>42.0132916666666</v>
      </c>
      <c r="AB3134" s="3" t="n">
        <v>43.554575</v>
      </c>
      <c r="AC3134" s="3" t="n">
        <v>41.1710833333333</v>
      </c>
      <c r="AD3134" s="3" t="n">
        <v>38.8239166666666</v>
      </c>
      <c r="AE3134" s="3" t="n">
        <v>40.2127875</v>
      </c>
      <c r="AF3134" s="3" t="n">
        <v>41.1909791666666</v>
      </c>
      <c r="AG3134" s="3" t="n"/>
      <c r="AH3134" s="3" t="n"/>
      <c r="AI3134" s="3" t="n"/>
      <c r="AJ3134" s="3" t="n"/>
      <c r="AK3134" s="3" t="n"/>
      <c r="AL3134" s="3" t="n"/>
      <c r="AM3134" s="3" t="n"/>
      <c r="AN3134" s="3" t="n"/>
      <c r="AO3134" s="3" t="n"/>
      <c r="AP3134" s="3" t="n"/>
      <c r="AQ3134" s="3" t="n"/>
      <c r="AR3134" s="3" t="n"/>
      <c r="AS3134" s="3" t="n"/>
      <c r="AT3134" s="3" t="n"/>
      <c r="AU3134" s="3" t="n"/>
    </row>
    <row r="3135">
      <c r="A3135" s="3" t="n">
        <v>2031</v>
      </c>
      <c r="B3135" s="3" t="inlineStr">
        <is>
          <t>USA</t>
        </is>
      </c>
      <c r="C3135" s="3" t="inlineStr">
        <is>
          <t>IMF.RES:WEO</t>
        </is>
      </c>
      <c r="D3135" s="3" t="inlineStr">
        <is>
          <t>USA.BCA.A</t>
        </is>
      </c>
      <c r="E3135" s="3" t="inlineStr">
        <is>
          <t>United States</t>
        </is>
      </c>
      <c r="F3135" s="3" t="inlineStr">
        <is>
          <t>Current account balance (credit less debit), US dollar</t>
        </is>
      </c>
      <c r="G3135" s="3" t="n">
        <v>-401.917</v>
      </c>
      <c r="H3135" s="3" t="n">
        <v>-394.085</v>
      </c>
      <c r="I3135" s="3" t="n">
        <v>-456.106</v>
      </c>
      <c r="J3135" s="3" t="n">
        <v>-522.293</v>
      </c>
      <c r="K3135" s="3" t="n">
        <v>-635.891</v>
      </c>
      <c r="L3135" s="3" t="n">
        <v>-749.232</v>
      </c>
      <c r="M3135" s="3" t="n">
        <v>-816.647</v>
      </c>
      <c r="N3135" s="3" t="n">
        <v>-736.549</v>
      </c>
      <c r="O3135" s="3" t="n">
        <v>-696.523</v>
      </c>
      <c r="P3135" s="3" t="n">
        <v>-379.729</v>
      </c>
      <c r="Q3135" s="3" t="n">
        <v>-432.01</v>
      </c>
      <c r="R3135" s="3" t="n">
        <v>-455.302</v>
      </c>
      <c r="S3135" s="3" t="n">
        <v>-418.182</v>
      </c>
      <c r="T3135" s="3" t="n">
        <v>-339.517</v>
      </c>
      <c r="U3135" s="3" t="n">
        <v>-370.056</v>
      </c>
      <c r="V3135" s="3" t="n">
        <v>-408.454</v>
      </c>
      <c r="W3135" s="3" t="n">
        <v>-396.216</v>
      </c>
      <c r="X3135" s="3" t="n">
        <v>-367.615</v>
      </c>
      <c r="Y3135" s="3" t="n">
        <v>-438.994</v>
      </c>
      <c r="Z3135" s="3" t="n">
        <v>-441.963</v>
      </c>
      <c r="AA3135" s="3" t="n">
        <v>-593.498</v>
      </c>
      <c r="AB3135" s="3" t="n">
        <v>-858.633</v>
      </c>
      <c r="AC3135" s="3" t="n">
        <v>-993.134</v>
      </c>
      <c r="AD3135" s="3" t="n">
        <v>-928.003</v>
      </c>
      <c r="AE3135" s="3" t="n">
        <v>-1185.3</v>
      </c>
      <c r="AF3135" s="3" t="n">
        <v>-1116.011</v>
      </c>
      <c r="AG3135" s="3" t="n">
        <v>-1199.730343</v>
      </c>
      <c r="AH3135" s="3" t="n">
        <v>-1227.799052</v>
      </c>
      <c r="AI3135" s="3" t="n">
        <v>-1250.869706</v>
      </c>
      <c r="AJ3135" s="3" t="n">
        <v>-1316.037693</v>
      </c>
      <c r="AK3135" s="3" t="n">
        <v>-1338.686915</v>
      </c>
      <c r="AL3135" s="3" t="n">
        <v>-1388.627709</v>
      </c>
      <c r="AM3135" s="3" t="n"/>
      <c r="AN3135" s="3" t="n"/>
      <c r="AO3135" s="3" t="n"/>
      <c r="AP3135" s="3" t="n"/>
      <c r="AQ3135" s="3" t="n"/>
      <c r="AR3135" s="3" t="n"/>
      <c r="AS3135" s="3" t="n"/>
      <c r="AT3135" s="3" t="n"/>
      <c r="AU3135" s="3" t="n"/>
    </row>
    <row r="3136">
      <c r="A3136" s="3" t="n">
        <v>2031</v>
      </c>
      <c r="B3136" s="3" t="inlineStr">
        <is>
          <t>USA</t>
        </is>
      </c>
      <c r="C3136" s="3" t="inlineStr">
        <is>
          <t>IMF.RES:WEO</t>
        </is>
      </c>
      <c r="D3136" s="3" t="inlineStr">
        <is>
          <t>USA.BCA_NGDPD.A</t>
        </is>
      </c>
      <c r="E3136" s="3" t="inlineStr">
        <is>
          <t>United States</t>
        </is>
      </c>
      <c r="F3136" s="3" t="inlineStr">
        <is>
          <t>Current account balance (credit less debit), Percent of GDP</t>
        </is>
      </c>
      <c r="G3136" s="3" t="n">
        <v>-3.920778</v>
      </c>
      <c r="H3136" s="3" t="n">
        <v>-3.724133</v>
      </c>
      <c r="I3136" s="3" t="n">
        <v>-4.173317</v>
      </c>
      <c r="J3136" s="3" t="n">
        <v>-4.558943</v>
      </c>
      <c r="K3136" s="3" t="n">
        <v>-5.204894</v>
      </c>
      <c r="L3136" s="3" t="n">
        <v>-5.745997</v>
      </c>
      <c r="M3136" s="3" t="n">
        <v>-5.91105</v>
      </c>
      <c r="N3136" s="3" t="n">
        <v>-5.088685</v>
      </c>
      <c r="O3136" s="3" t="n">
        <v>-4.715843</v>
      </c>
      <c r="P3136" s="3" t="n">
        <v>-2.622791</v>
      </c>
      <c r="Q3136" s="3" t="n">
        <v>-2.870694</v>
      </c>
      <c r="R3136" s="3" t="n">
        <v>-2.918654</v>
      </c>
      <c r="S3136" s="3" t="n">
        <v>-2.572802</v>
      </c>
      <c r="T3136" s="3" t="n">
        <v>-2.011276</v>
      </c>
      <c r="U3136" s="3" t="n">
        <v>-2.101621</v>
      </c>
      <c r="V3136" s="3" t="n">
        <v>-2.232599</v>
      </c>
      <c r="W3136" s="3" t="n">
        <v>-2.106983</v>
      </c>
      <c r="X3136" s="3" t="n">
        <v>-1.87443</v>
      </c>
      <c r="Y3136" s="3" t="n">
        <v>-2.125207</v>
      </c>
      <c r="Z3136" s="3" t="n">
        <v>-2.051827</v>
      </c>
      <c r="AA3136" s="3" t="n">
        <v>-2.776563</v>
      </c>
      <c r="AB3136" s="3" t="n">
        <v>-3.619007</v>
      </c>
      <c r="AC3136" s="3" t="n">
        <v>-3.811741</v>
      </c>
      <c r="AD3136" s="3" t="n">
        <v>-3.33676</v>
      </c>
      <c r="AE3136" s="3" t="n">
        <v>-4.045665</v>
      </c>
      <c r="AF3136" s="3" t="n">
        <v>-3.62729</v>
      </c>
      <c r="AG3136" s="3" t="n">
        <v>-3.70471</v>
      </c>
      <c r="AH3136" s="3" t="n">
        <v>-3.633613</v>
      </c>
      <c r="AI3136" s="3" t="n">
        <v>-3.567197</v>
      </c>
      <c r="AJ3136" s="3" t="n">
        <v>-3.619408</v>
      </c>
      <c r="AK3136" s="3" t="n">
        <v>-3.552979</v>
      </c>
      <c r="AL3136" s="3" t="n">
        <v>-3.557732</v>
      </c>
      <c r="AM3136" s="3" t="n"/>
      <c r="AN3136" s="3" t="n"/>
      <c r="AO3136" s="3" t="n"/>
      <c r="AP3136" s="3" t="n"/>
      <c r="AQ3136" s="3" t="n"/>
      <c r="AR3136" s="3" t="n"/>
      <c r="AS3136" s="3" t="n"/>
      <c r="AT3136" s="3" t="n"/>
      <c r="AU3136" s="3" t="n"/>
    </row>
    <row r="3137">
      <c r="A3137" s="3" t="n">
        <v>2031</v>
      </c>
      <c r="B3137" s="3" t="inlineStr">
        <is>
          <t>USA</t>
        </is>
      </c>
      <c r="C3137" s="3" t="inlineStr">
        <is>
          <t>IMF.RES:WEO</t>
        </is>
      </c>
      <c r="D3137" s="3" t="inlineStr">
        <is>
          <t>USA.GGR_NGDP.A</t>
        </is>
      </c>
      <c r="E3137" s="3" t="inlineStr">
        <is>
          <t>United States</t>
        </is>
      </c>
      <c r="F3137" s="3" t="inlineStr">
        <is>
          <t>Revenue, General government, Percent of GDP</t>
        </is>
      </c>
      <c r="G3137" s="3" t="n"/>
      <c r="H3137" s="3" t="n">
        <v>32.257174</v>
      </c>
      <c r="I3137" s="3" t="n">
        <v>29.877016</v>
      </c>
      <c r="J3137" s="3" t="n">
        <v>29.266457</v>
      </c>
      <c r="K3137" s="3" t="n">
        <v>29.475505</v>
      </c>
      <c r="L3137" s="3" t="n">
        <v>30.85292</v>
      </c>
      <c r="M3137" s="3" t="n">
        <v>31.65565</v>
      </c>
      <c r="N3137" s="3" t="n">
        <v>31.648707</v>
      </c>
      <c r="O3137" s="3" t="n">
        <v>30.531603</v>
      </c>
      <c r="P3137" s="3" t="n">
        <v>28.221832</v>
      </c>
      <c r="Q3137" s="3" t="n">
        <v>28.770099</v>
      </c>
      <c r="R3137" s="3" t="n">
        <v>29.08041</v>
      </c>
      <c r="S3137" s="3" t="n">
        <v>29.108961</v>
      </c>
      <c r="T3137" s="3" t="n">
        <v>31.221607</v>
      </c>
      <c r="U3137" s="3" t="n">
        <v>31.297932</v>
      </c>
      <c r="V3137" s="3" t="n">
        <v>31.501438</v>
      </c>
      <c r="W3137" s="3" t="n">
        <v>30.976703</v>
      </c>
      <c r="X3137" s="3" t="n">
        <v>30.399881</v>
      </c>
      <c r="Y3137" s="3" t="n">
        <v>30.014477</v>
      </c>
      <c r="Z3137" s="3" t="n">
        <v>30.013549</v>
      </c>
      <c r="AA3137" s="3" t="n">
        <v>30.608533</v>
      </c>
      <c r="AB3137" s="3" t="n">
        <v>31.762472</v>
      </c>
      <c r="AC3137" s="3" t="n">
        <v>33.075349</v>
      </c>
      <c r="AD3137" s="3" t="n">
        <v>29.622491</v>
      </c>
      <c r="AE3137" s="3" t="n">
        <v>29.879133</v>
      </c>
      <c r="AF3137" s="3" t="n">
        <v>30.880451</v>
      </c>
      <c r="AG3137" s="3" t="n">
        <v>30.437069</v>
      </c>
      <c r="AH3137" s="3" t="n">
        <v>30.530612</v>
      </c>
      <c r="AI3137" s="3" t="n">
        <v>30.383359</v>
      </c>
      <c r="AJ3137" s="3" t="n">
        <v>30.39578</v>
      </c>
      <c r="AK3137" s="3" t="n">
        <v>30.648444</v>
      </c>
      <c r="AL3137" s="3" t="n">
        <v>30.761278</v>
      </c>
      <c r="AM3137" s="3" t="n"/>
      <c r="AN3137" s="3" t="n"/>
      <c r="AO3137" s="3" t="n"/>
      <c r="AP3137" s="3" t="n"/>
      <c r="AQ3137" s="3" t="n"/>
      <c r="AR3137" s="3" t="n"/>
      <c r="AS3137" s="3" t="n"/>
      <c r="AT3137" s="3" t="n"/>
      <c r="AU3137" s="3" t="n"/>
    </row>
    <row r="3138">
      <c r="A3138" s="3" t="n">
        <v>2031</v>
      </c>
      <c r="B3138" s="3" t="inlineStr">
        <is>
          <t>USA</t>
        </is>
      </c>
      <c r="C3138" s="3" t="inlineStr">
        <is>
          <t>IMF.RES:WEO</t>
        </is>
      </c>
      <c r="D3138" s="3" t="inlineStr">
        <is>
          <t>USA.GGX_NGDP.A</t>
        </is>
      </c>
      <c r="E3138" s="3" t="inlineStr">
        <is>
          <t>United States</t>
        </is>
      </c>
      <c r="F3138" s="3" t="inlineStr">
        <is>
          <t>Expenditure, General government, Percent of GDP</t>
        </is>
      </c>
      <c r="G3138" s="3" t="n"/>
      <c r="H3138" s="3" t="n">
        <v>32.801414</v>
      </c>
      <c r="I3138" s="3" t="n">
        <v>33.698273</v>
      </c>
      <c r="J3138" s="3" t="n">
        <v>34.037053</v>
      </c>
      <c r="K3138" s="3" t="n">
        <v>33.719252</v>
      </c>
      <c r="L3138" s="3" t="n">
        <v>33.927917</v>
      </c>
      <c r="M3138" s="3" t="n">
        <v>33.691704</v>
      </c>
      <c r="N3138" s="3" t="n">
        <v>34.561715</v>
      </c>
      <c r="O3138" s="3" t="n">
        <v>37.144082</v>
      </c>
      <c r="P3138" s="3" t="n">
        <v>41.398657</v>
      </c>
      <c r="Q3138" s="3" t="n">
        <v>39.762625</v>
      </c>
      <c r="R3138" s="3" t="n">
        <v>38.795915</v>
      </c>
      <c r="S3138" s="3" t="n">
        <v>37.22273</v>
      </c>
      <c r="T3138" s="3" t="n">
        <v>35.782319</v>
      </c>
      <c r="U3138" s="3" t="n">
        <v>35.323937</v>
      </c>
      <c r="V3138" s="3" t="n">
        <v>35.030948</v>
      </c>
      <c r="W3138" s="3" t="n">
        <v>35.333067</v>
      </c>
      <c r="X3138" s="3" t="n">
        <v>35.194074</v>
      </c>
      <c r="Y3138" s="3" t="n">
        <v>35.349344</v>
      </c>
      <c r="Z3138" s="3" t="n">
        <v>35.818946</v>
      </c>
      <c r="AA3138" s="3" t="n">
        <v>44.735191</v>
      </c>
      <c r="AB3138" s="3" t="n">
        <v>43.223157</v>
      </c>
      <c r="AC3138" s="3" t="n">
        <v>36.797095</v>
      </c>
      <c r="AD3138" s="3" t="n">
        <v>37.509645</v>
      </c>
      <c r="AE3138" s="3" t="n">
        <v>37.737588</v>
      </c>
      <c r="AF3138" s="3" t="n">
        <v>37.704639</v>
      </c>
      <c r="AG3138" s="3" t="n">
        <v>37.938848</v>
      </c>
      <c r="AH3138" s="3" t="n">
        <v>37.904197</v>
      </c>
      <c r="AI3138" s="3" t="n">
        <v>37.978005</v>
      </c>
      <c r="AJ3138" s="3" t="n">
        <v>37.848675</v>
      </c>
      <c r="AK3138" s="3" t="n">
        <v>38.113654</v>
      </c>
      <c r="AL3138" s="3" t="n">
        <v>38.149949</v>
      </c>
      <c r="AM3138" s="3" t="n"/>
      <c r="AN3138" s="3" t="n"/>
      <c r="AO3138" s="3" t="n"/>
      <c r="AP3138" s="3" t="n"/>
      <c r="AQ3138" s="3" t="n"/>
      <c r="AR3138" s="3" t="n"/>
      <c r="AS3138" s="3" t="n"/>
      <c r="AT3138" s="3" t="n"/>
      <c r="AU3138" s="3" t="n"/>
    </row>
    <row r="3139">
      <c r="A3139" s="3" t="n">
        <v>2027</v>
      </c>
      <c r="B3139" s="3" t="inlineStr">
        <is>
          <t>USA</t>
        </is>
      </c>
      <c r="C3139" s="3" t="inlineStr">
        <is>
          <t>IMF.RES:WEO</t>
        </is>
      </c>
      <c r="D3139" s="3" t="inlineStr">
        <is>
          <t>USA.LE.A</t>
        </is>
      </c>
      <c r="E3139" s="3" t="inlineStr">
        <is>
          <t>United States</t>
        </is>
      </c>
      <c r="F3139" s="3" t="inlineStr">
        <is>
          <t>Employed persons, Persons for countries / Index for country groups</t>
        </is>
      </c>
      <c r="G3139" s="3" t="n">
        <v>136.900667</v>
      </c>
      <c r="H3139" s="3" t="n">
        <v>136.939333</v>
      </c>
      <c r="I3139" s="3" t="n">
        <v>136.480917</v>
      </c>
      <c r="J3139" s="3" t="n">
        <v>137.72925</v>
      </c>
      <c r="K3139" s="3" t="n">
        <v>139.23975</v>
      </c>
      <c r="L3139" s="3" t="n">
        <v>141.710083</v>
      </c>
      <c r="M3139" s="3" t="n">
        <v>144.417583</v>
      </c>
      <c r="N3139" s="3" t="n">
        <v>146.050167</v>
      </c>
      <c r="O3139" s="3" t="n">
        <v>145.37325</v>
      </c>
      <c r="P3139" s="3" t="n">
        <v>139.893917</v>
      </c>
      <c r="Q3139" s="3" t="n">
        <v>139.077167</v>
      </c>
      <c r="R3139" s="3" t="n">
        <v>139.885167</v>
      </c>
      <c r="S3139" s="3" t="n">
        <v>142.474583</v>
      </c>
      <c r="T3139" s="3" t="n">
        <v>143.940667</v>
      </c>
      <c r="U3139" s="3" t="n">
        <v>146.318667</v>
      </c>
      <c r="V3139" s="3" t="n">
        <v>148.844667</v>
      </c>
      <c r="W3139" s="3" t="n">
        <v>151.436417</v>
      </c>
      <c r="X3139" s="3" t="n">
        <v>153.334583</v>
      </c>
      <c r="Y3139" s="3" t="n">
        <v>155.763</v>
      </c>
      <c r="Z3139" s="3" t="n">
        <v>157.537083</v>
      </c>
      <c r="AA3139" s="3" t="n">
        <v>147.81325</v>
      </c>
      <c r="AB3139" s="3" t="n">
        <v>152.58175</v>
      </c>
      <c r="AC3139" s="3" t="n">
        <v>158.29375</v>
      </c>
      <c r="AD3139" s="3" t="n">
        <v>161.040917</v>
      </c>
      <c r="AE3139" s="3" t="n">
        <v>161.348</v>
      </c>
      <c r="AF3139" s="3" t="n">
        <v>163.578417</v>
      </c>
      <c r="AG3139" s="3" t="n">
        <v>163.717474</v>
      </c>
      <c r="AH3139" s="3" t="n">
        <v>164.65759</v>
      </c>
      <c r="AI3139" s="3" t="n"/>
      <c r="AJ3139" s="3" t="n"/>
      <c r="AK3139" s="3" t="n"/>
      <c r="AL3139" s="3" t="n"/>
      <c r="AM3139" s="3" t="n"/>
      <c r="AN3139" s="3" t="n"/>
      <c r="AO3139" s="3" t="n"/>
      <c r="AP3139" s="3" t="n"/>
      <c r="AQ3139" s="3" t="n"/>
      <c r="AR3139" s="3" t="n"/>
      <c r="AS3139" s="3" t="n"/>
      <c r="AT3139" s="3" t="n"/>
      <c r="AU3139" s="3" t="n"/>
    </row>
    <row r="3140">
      <c r="A3140" s="3" t="n">
        <v>2031</v>
      </c>
      <c r="B3140" s="3" t="inlineStr">
        <is>
          <t>USA</t>
        </is>
      </c>
      <c r="C3140" s="3" t="inlineStr">
        <is>
          <t>IMF.RES:WEO</t>
        </is>
      </c>
      <c r="D3140" s="3" t="inlineStr">
        <is>
          <t>USA.LP.A</t>
        </is>
      </c>
      <c r="E3140" s="3" t="inlineStr">
        <is>
          <t>United States</t>
        </is>
      </c>
      <c r="F3140" s="3" t="inlineStr">
        <is>
          <t>Population, Persons for countries / Index for country groups</t>
        </is>
      </c>
      <c r="G3140" s="3" t="n">
        <v>282.295917</v>
      </c>
      <c r="H3140" s="3" t="n">
        <v>285.215917</v>
      </c>
      <c r="I3140" s="3" t="n">
        <v>288.019</v>
      </c>
      <c r="J3140" s="3" t="n">
        <v>290.733333</v>
      </c>
      <c r="K3140" s="3" t="n">
        <v>293.388583</v>
      </c>
      <c r="L3140" s="3" t="n">
        <v>296.114917</v>
      </c>
      <c r="M3140" s="3" t="n">
        <v>298.929917</v>
      </c>
      <c r="N3140" s="3" t="n">
        <v>301.903167</v>
      </c>
      <c r="O3140" s="3" t="n">
        <v>304.718</v>
      </c>
      <c r="P3140" s="3" t="n">
        <v>307.37375</v>
      </c>
      <c r="Q3140" s="3" t="n">
        <v>309.737083</v>
      </c>
      <c r="R3140" s="3" t="n">
        <v>311.943917</v>
      </c>
      <c r="S3140" s="3" t="n">
        <v>314.1665</v>
      </c>
      <c r="T3140" s="3" t="n">
        <v>316.331333</v>
      </c>
      <c r="U3140" s="3" t="n">
        <v>318.619417</v>
      </c>
      <c r="V3140" s="3" t="n">
        <v>320.925917</v>
      </c>
      <c r="W3140" s="3" t="n">
        <v>323.221</v>
      </c>
      <c r="X3140" s="3" t="n">
        <v>325.28</v>
      </c>
      <c r="Y3140" s="3" t="n">
        <v>327.023417</v>
      </c>
      <c r="Z3140" s="3" t="n">
        <v>328.547</v>
      </c>
      <c r="AA3140" s="3" t="n">
        <v>331.307167</v>
      </c>
      <c r="AB3140" s="3" t="n">
        <v>332.451583</v>
      </c>
      <c r="AC3140" s="3" t="n">
        <v>334.251917</v>
      </c>
      <c r="AD3140" s="3" t="n">
        <v>336.961667</v>
      </c>
      <c r="AE3140" s="3" t="n">
        <v>339.989333</v>
      </c>
      <c r="AF3140" s="3" t="n">
        <v>341.89</v>
      </c>
      <c r="AG3140" s="3" t="n">
        <v>342.941917</v>
      </c>
      <c r="AH3140" s="3" t="n">
        <v>343.822424</v>
      </c>
      <c r="AI3140" s="3" t="n">
        <v>344.747317</v>
      </c>
      <c r="AJ3140" s="3" t="n">
        <v>345.727702</v>
      </c>
      <c r="AK3140" s="3" t="n">
        <v>346.751928</v>
      </c>
      <c r="AL3140" s="3" t="n">
        <v>347.742318</v>
      </c>
      <c r="AM3140" s="3" t="n"/>
      <c r="AN3140" s="3" t="n"/>
      <c r="AO3140" s="3" t="n"/>
      <c r="AP3140" s="3" t="n"/>
      <c r="AQ3140" s="3" t="n"/>
      <c r="AR3140" s="3" t="n"/>
      <c r="AS3140" s="3" t="n"/>
      <c r="AT3140" s="3" t="n"/>
      <c r="AU3140" s="3" t="n"/>
    </row>
    <row r="3141">
      <c r="A3141" s="3" t="n">
        <v>2031</v>
      </c>
      <c r="B3141" s="3" t="inlineStr">
        <is>
          <t>USA</t>
        </is>
      </c>
      <c r="C3141" s="3" t="inlineStr">
        <is>
          <t>IMF.RES:WEO</t>
        </is>
      </c>
      <c r="D3141" s="3" t="inlineStr">
        <is>
          <t>USA.NGDP.A</t>
        </is>
      </c>
      <c r="E3141" s="3" t="inlineStr">
        <is>
          <t>United States</t>
        </is>
      </c>
      <c r="F3141" s="3" t="inlineStr">
        <is>
          <t>Gross domestic product (GDP), Current prices, Domestic currency</t>
        </is>
      </c>
      <c r="G3141" s="3" t="n">
        <v>10250.95</v>
      </c>
      <c r="H3141" s="3" t="n">
        <v>10581.925</v>
      </c>
      <c r="I3141" s="3" t="n">
        <v>10929.1</v>
      </c>
      <c r="J3141" s="3" t="n">
        <v>11456.45</v>
      </c>
      <c r="K3141" s="3" t="n">
        <v>12217.175</v>
      </c>
      <c r="L3141" s="3" t="n">
        <v>13039.2</v>
      </c>
      <c r="M3141" s="3" t="n">
        <v>13815.6</v>
      </c>
      <c r="N3141" s="3" t="n">
        <v>14474.25</v>
      </c>
      <c r="O3141" s="3" t="n">
        <v>14769.85</v>
      </c>
      <c r="P3141" s="3" t="n">
        <v>14478.05</v>
      </c>
      <c r="Q3141" s="3" t="n">
        <v>15048.975</v>
      </c>
      <c r="R3141" s="3" t="n">
        <v>15599.725</v>
      </c>
      <c r="S3141" s="3" t="n">
        <v>16253.95</v>
      </c>
      <c r="T3141" s="3" t="n">
        <v>16880.675</v>
      </c>
      <c r="U3141" s="3" t="n">
        <v>17608.125</v>
      </c>
      <c r="V3141" s="3" t="n">
        <v>18295</v>
      </c>
      <c r="W3141" s="3" t="n">
        <v>18804.9</v>
      </c>
      <c r="X3141" s="3" t="n">
        <v>19612.1</v>
      </c>
      <c r="Y3141" s="3" t="n">
        <v>20656.525</v>
      </c>
      <c r="Z3141" s="3" t="n">
        <v>21539.975</v>
      </c>
      <c r="AA3141" s="3" t="n">
        <v>21375.275</v>
      </c>
      <c r="AB3141" s="3" t="n">
        <v>23725.65</v>
      </c>
      <c r="AC3141" s="3" t="n">
        <v>26054.6</v>
      </c>
      <c r="AD3141" s="3" t="n">
        <v>27811.5</v>
      </c>
      <c r="AE3141" s="3" t="n">
        <v>29298.025</v>
      </c>
      <c r="AF3141" s="3" t="n">
        <v>30767.075</v>
      </c>
      <c r="AG3141" s="3" t="n">
        <v>32383.920433</v>
      </c>
      <c r="AH3141" s="3" t="n">
        <v>33790.035432</v>
      </c>
      <c r="AI3141" s="3" t="n">
        <v>35065.899769</v>
      </c>
      <c r="AJ3141" s="3" t="n">
        <v>36360.580312</v>
      </c>
      <c r="AK3141" s="3" t="n">
        <v>37677.877909</v>
      </c>
      <c r="AL3141" s="3" t="n">
        <v>39031.261572</v>
      </c>
      <c r="AM3141" s="3" t="n"/>
      <c r="AN3141" s="3" t="n"/>
      <c r="AO3141" s="3" t="n"/>
      <c r="AP3141" s="3" t="n"/>
      <c r="AQ3141" s="3" t="n"/>
      <c r="AR3141" s="3" t="n"/>
      <c r="AS3141" s="3" t="n"/>
      <c r="AT3141" s="3" t="n"/>
      <c r="AU3141" s="3" t="n"/>
    </row>
    <row r="3142">
      <c r="A3142" s="3" t="n">
        <v>2031</v>
      </c>
      <c r="B3142" s="3" t="inlineStr">
        <is>
          <t>USA</t>
        </is>
      </c>
      <c r="C3142" s="3" t="inlineStr">
        <is>
          <t>IMF.RES:WEO</t>
        </is>
      </c>
      <c r="D3142" s="3" t="inlineStr">
        <is>
          <t>USA.NGDP_D.A</t>
        </is>
      </c>
      <c r="E3142" s="3" t="inlineStr">
        <is>
          <t>United States</t>
        </is>
      </c>
      <c r="F3142" s="3" t="inlineStr">
        <is>
          <t>Gross domestic product (GDP), Price deflator, Index</t>
        </is>
      </c>
      <c r="G3142" s="3" t="n">
        <v>72.722275</v>
      </c>
      <c r="H3142" s="3" t="n">
        <v>74.35970399999999</v>
      </c>
      <c r="I3142" s="3" t="n">
        <v>75.51528</v>
      </c>
      <c r="J3142" s="3" t="n">
        <v>77.00611499999999</v>
      </c>
      <c r="K3142" s="3" t="n">
        <v>79.076718</v>
      </c>
      <c r="L3142" s="3" t="n">
        <v>81.556422</v>
      </c>
      <c r="M3142" s="3" t="n">
        <v>84.07152600000001</v>
      </c>
      <c r="N3142" s="3" t="n">
        <v>86.349251</v>
      </c>
      <c r="O3142" s="3" t="n">
        <v>88.012693</v>
      </c>
      <c r="P3142" s="3" t="n">
        <v>88.555504</v>
      </c>
      <c r="Q3142" s="3" t="n">
        <v>89.63178499999999</v>
      </c>
      <c r="R3142" s="3" t="n">
        <v>91.481111</v>
      </c>
      <c r="S3142" s="3" t="n">
        <v>93.184427</v>
      </c>
      <c r="T3142" s="3" t="n">
        <v>94.770431</v>
      </c>
      <c r="U3142" s="3" t="n">
        <v>96.42106200000001</v>
      </c>
      <c r="V3142" s="3" t="n">
        <v>97.3159</v>
      </c>
      <c r="W3142" s="3" t="n">
        <v>98.240619</v>
      </c>
      <c r="X3142" s="3" t="n">
        <v>100</v>
      </c>
      <c r="Y3142" s="3" t="n">
        <v>102.290788</v>
      </c>
      <c r="Z3142" s="3" t="n">
        <v>103.979238</v>
      </c>
      <c r="AA3142" s="3" t="n">
        <v>105.377382</v>
      </c>
      <c r="AB3142" s="3" t="n">
        <v>110.185941</v>
      </c>
      <c r="AC3142" s="3" t="n">
        <v>118.022821</v>
      </c>
      <c r="AD3142" s="3" t="n">
        <v>122.389705</v>
      </c>
      <c r="AE3142" s="3" t="n">
        <v>125.428084</v>
      </c>
      <c r="AF3142" s="3" t="n">
        <v>128.986186</v>
      </c>
      <c r="AG3142" s="3" t="n">
        <v>132.681448</v>
      </c>
      <c r="AH3142" s="3" t="n">
        <v>135.595003</v>
      </c>
      <c r="AI3142" s="3" t="n">
        <v>137.820646</v>
      </c>
      <c r="AJ3142" s="3" t="n">
        <v>140.271247</v>
      </c>
      <c r="AK3142" s="3" t="n">
        <v>142.848769</v>
      </c>
      <c r="AL3142" s="3" t="n">
        <v>145.42762</v>
      </c>
      <c r="AM3142" s="3" t="n"/>
      <c r="AN3142" s="3" t="n"/>
      <c r="AO3142" s="3" t="n"/>
      <c r="AP3142" s="3" t="n"/>
      <c r="AQ3142" s="3" t="n"/>
      <c r="AR3142" s="3" t="n"/>
      <c r="AS3142" s="3" t="n"/>
      <c r="AT3142" s="3" t="n"/>
      <c r="AU3142" s="3" t="n"/>
    </row>
    <row r="3143">
      <c r="A3143" s="3" t="n">
        <v>2031</v>
      </c>
      <c r="B3143" s="3" t="inlineStr">
        <is>
          <t>USA</t>
        </is>
      </c>
      <c r="C3143" s="3" t="inlineStr">
        <is>
          <t>IMF.RES:WEO</t>
        </is>
      </c>
      <c r="D3143" s="3" t="inlineStr">
        <is>
          <t>USA.NGDP_R.A</t>
        </is>
      </c>
      <c r="E3143" s="3" t="inlineStr">
        <is>
          <t>United States</t>
        </is>
      </c>
      <c r="F3143" s="3" t="inlineStr">
        <is>
          <t>Gross domestic product (GDP), Constant prices, Domestic currency</t>
        </is>
      </c>
      <c r="G3143" s="3" t="n">
        <v>14096.025</v>
      </c>
      <c r="H3143" s="3" t="n">
        <v>14230.725</v>
      </c>
      <c r="I3143" s="3" t="n">
        <v>14472.7</v>
      </c>
      <c r="J3143" s="3" t="n">
        <v>14877.325</v>
      </c>
      <c r="K3143" s="3" t="n">
        <v>15449.775</v>
      </c>
      <c r="L3143" s="3" t="n">
        <v>15987.95</v>
      </c>
      <c r="M3143" s="3" t="n">
        <v>16433.15</v>
      </c>
      <c r="N3143" s="3" t="n">
        <v>16762.45</v>
      </c>
      <c r="O3143" s="3" t="n">
        <v>16781.5</v>
      </c>
      <c r="P3143" s="3" t="n">
        <v>16349.125</v>
      </c>
      <c r="Q3143" s="3" t="n">
        <v>16789.775</v>
      </c>
      <c r="R3143" s="3" t="n">
        <v>17052.4</v>
      </c>
      <c r="S3143" s="3" t="n">
        <v>17442.775</v>
      </c>
      <c r="T3143" s="3" t="n">
        <v>17812.175</v>
      </c>
      <c r="U3143" s="3" t="n">
        <v>18261.7</v>
      </c>
      <c r="V3143" s="3" t="n">
        <v>18799.6</v>
      </c>
      <c r="W3143" s="3" t="n">
        <v>19141.675</v>
      </c>
      <c r="X3143" s="3" t="n">
        <v>19612.1</v>
      </c>
      <c r="Y3143" s="3" t="n">
        <v>20193.925</v>
      </c>
      <c r="Z3143" s="3" t="n">
        <v>20715.65</v>
      </c>
      <c r="AA3143" s="3" t="n">
        <v>20284.5</v>
      </c>
      <c r="AB3143" s="3" t="n">
        <v>21532.375</v>
      </c>
      <c r="AC3143" s="3" t="n">
        <v>22075.9</v>
      </c>
      <c r="AD3143" s="3" t="n">
        <v>22723.725</v>
      </c>
      <c r="AE3143" s="3" t="n">
        <v>23358.425</v>
      </c>
      <c r="AF3143" s="3" t="n">
        <v>23853</v>
      </c>
      <c r="AG3143" s="3" t="n">
        <v>24407.270882</v>
      </c>
      <c r="AH3143" s="3" t="n">
        <v>24919.82357</v>
      </c>
      <c r="AI3143" s="3" t="n">
        <v>25443.139865</v>
      </c>
      <c r="AJ3143" s="3" t="n">
        <v>25921.620521</v>
      </c>
      <c r="AK3143" s="3" t="n">
        <v>26376.060683</v>
      </c>
      <c r="AL3143" s="3" t="n">
        <v>26838.960548</v>
      </c>
      <c r="AM3143" s="3" t="n"/>
      <c r="AN3143" s="3" t="n"/>
      <c r="AO3143" s="3" t="n"/>
      <c r="AP3143" s="3" t="n"/>
      <c r="AQ3143" s="3" t="n"/>
      <c r="AR3143" s="3" t="n"/>
      <c r="AS3143" s="3" t="n"/>
      <c r="AT3143" s="3" t="n"/>
      <c r="AU3143" s="3" t="n"/>
    </row>
    <row r="3144">
      <c r="A3144" s="3" t="n">
        <v>2031</v>
      </c>
      <c r="B3144" s="3" t="inlineStr">
        <is>
          <t>USA</t>
        </is>
      </c>
      <c r="C3144" s="3" t="inlineStr">
        <is>
          <t>IMF.RES:WEO</t>
        </is>
      </c>
      <c r="D3144" s="3" t="inlineStr">
        <is>
          <t>USA.NGDP_RPCH.A</t>
        </is>
      </c>
      <c r="E3144" s="3" t="inlineStr">
        <is>
          <t>United States</t>
        </is>
      </c>
      <c r="F3144" s="3" t="inlineStr">
        <is>
          <t>Gross domestic product (GDP), Constant prices, Percent change</t>
        </is>
      </c>
      <c r="G3144" s="3" t="n">
        <v>4.077519</v>
      </c>
      <c r="H3144" s="3" t="n">
        <v>0.955589</v>
      </c>
      <c r="I3144" s="3" t="n">
        <v>1.70037</v>
      </c>
      <c r="J3144" s="3" t="n">
        <v>2.795781</v>
      </c>
      <c r="K3144" s="3" t="n">
        <v>3.847802</v>
      </c>
      <c r="L3144" s="3" t="n">
        <v>3.483384</v>
      </c>
      <c r="M3144" s="3" t="n">
        <v>2.784597</v>
      </c>
      <c r="N3144" s="3" t="n">
        <v>2.003876</v>
      </c>
      <c r="O3144" s="3" t="n">
        <v>0.113647</v>
      </c>
      <c r="P3144" s="3" t="n">
        <v>-2.576498</v>
      </c>
      <c r="Q3144" s="3" t="n">
        <v>2.695251</v>
      </c>
      <c r="R3144" s="3" t="n">
        <v>1.564196</v>
      </c>
      <c r="S3144" s="3" t="n">
        <v>2.289267</v>
      </c>
      <c r="T3144" s="3" t="n">
        <v>2.117782</v>
      </c>
      <c r="U3144" s="3" t="n">
        <v>2.523695</v>
      </c>
      <c r="V3144" s="3" t="n">
        <v>2.945509</v>
      </c>
      <c r="W3144" s="3" t="n">
        <v>1.819587</v>
      </c>
      <c r="X3144" s="3" t="n">
        <v>2.457596</v>
      </c>
      <c r="Y3144" s="3" t="n">
        <v>2.966663</v>
      </c>
      <c r="Z3144" s="3" t="n">
        <v>2.583574</v>
      </c>
      <c r="AA3144" s="3" t="n">
        <v>-2.081277</v>
      </c>
      <c r="AB3144" s="3" t="n">
        <v>6.151865</v>
      </c>
      <c r="AC3144" s="3" t="n">
        <v>2.524222</v>
      </c>
      <c r="AD3144" s="3" t="n">
        <v>2.934535</v>
      </c>
      <c r="AE3144" s="3" t="n">
        <v>2.793116</v>
      </c>
      <c r="AF3144" s="3" t="n">
        <v>2.11733</v>
      </c>
      <c r="AG3144" s="3" t="n">
        <v>2.323695</v>
      </c>
      <c r="AH3144" s="3" t="n">
        <v>2.1</v>
      </c>
      <c r="AI3144" s="3" t="n">
        <v>2.1</v>
      </c>
      <c r="AJ3144" s="3" t="n">
        <v>1.880588</v>
      </c>
      <c r="AK3144" s="3" t="n">
        <v>1.753132</v>
      </c>
      <c r="AL3144" s="3" t="n">
        <v>1.755</v>
      </c>
      <c r="AM3144" s="3" t="n"/>
      <c r="AN3144" s="3" t="n"/>
      <c r="AO3144" s="3" t="n"/>
      <c r="AP3144" s="3" t="n"/>
      <c r="AQ3144" s="3" t="n"/>
      <c r="AR3144" s="3" t="n"/>
      <c r="AS3144" s="3" t="n"/>
      <c r="AT3144" s="3" t="n"/>
      <c r="AU3144" s="3" t="n"/>
    </row>
    <row r="3145">
      <c r="A3145" s="3" t="n">
        <v>2031</v>
      </c>
      <c r="B3145" s="3" t="inlineStr">
        <is>
          <t>USA</t>
        </is>
      </c>
      <c r="C3145" s="3" t="inlineStr">
        <is>
          <t>IMF.RES:WEO</t>
        </is>
      </c>
      <c r="D3145" s="3" t="inlineStr">
        <is>
          <t>USA.NGDPD.A</t>
        </is>
      </c>
      <c r="E3145" s="3" t="inlineStr">
        <is>
          <t>United States</t>
        </is>
      </c>
      <c r="F3145" s="3" t="inlineStr">
        <is>
          <t>Gross domestic product (GDP), Current prices, US dollar</t>
        </is>
      </c>
      <c r="G3145" s="3" t="n">
        <v>10250.95</v>
      </c>
      <c r="H3145" s="3" t="n">
        <v>10581.925</v>
      </c>
      <c r="I3145" s="3" t="n">
        <v>10929.1</v>
      </c>
      <c r="J3145" s="3" t="n">
        <v>11456.45</v>
      </c>
      <c r="K3145" s="3" t="n">
        <v>12217.175</v>
      </c>
      <c r="L3145" s="3" t="n">
        <v>13039.2</v>
      </c>
      <c r="M3145" s="3" t="n">
        <v>13815.6</v>
      </c>
      <c r="N3145" s="3" t="n">
        <v>14474.25</v>
      </c>
      <c r="O3145" s="3" t="n">
        <v>14769.85</v>
      </c>
      <c r="P3145" s="3" t="n">
        <v>14478.05</v>
      </c>
      <c r="Q3145" s="3" t="n">
        <v>15048.975</v>
      </c>
      <c r="R3145" s="3" t="n">
        <v>15599.725</v>
      </c>
      <c r="S3145" s="3" t="n">
        <v>16253.95</v>
      </c>
      <c r="T3145" s="3" t="n">
        <v>16880.675</v>
      </c>
      <c r="U3145" s="3" t="n">
        <v>17608.125</v>
      </c>
      <c r="V3145" s="3" t="n">
        <v>18295</v>
      </c>
      <c r="W3145" s="3" t="n">
        <v>18804.9</v>
      </c>
      <c r="X3145" s="3" t="n">
        <v>19612.1</v>
      </c>
      <c r="Y3145" s="3" t="n">
        <v>20656.525</v>
      </c>
      <c r="Z3145" s="3" t="n">
        <v>21539.975</v>
      </c>
      <c r="AA3145" s="3" t="n">
        <v>21375.275</v>
      </c>
      <c r="AB3145" s="3" t="n">
        <v>23725.65</v>
      </c>
      <c r="AC3145" s="3" t="n">
        <v>26054.6</v>
      </c>
      <c r="AD3145" s="3" t="n">
        <v>27811.5</v>
      </c>
      <c r="AE3145" s="3" t="n">
        <v>29298.025</v>
      </c>
      <c r="AF3145" s="3" t="n">
        <v>30767.075</v>
      </c>
      <c r="AG3145" s="3" t="n">
        <v>32383.920433</v>
      </c>
      <c r="AH3145" s="3" t="n">
        <v>33790.035432</v>
      </c>
      <c r="AI3145" s="3" t="n">
        <v>35065.899769</v>
      </c>
      <c r="AJ3145" s="3" t="n">
        <v>36360.580312</v>
      </c>
      <c r="AK3145" s="3" t="n">
        <v>37677.877909</v>
      </c>
      <c r="AL3145" s="3" t="n">
        <v>39031.261572</v>
      </c>
      <c r="AM3145" s="3" t="n"/>
      <c r="AN3145" s="3" t="n"/>
      <c r="AO3145" s="3" t="n"/>
      <c r="AP3145" s="3" t="n"/>
      <c r="AQ3145" s="3" t="n"/>
      <c r="AR3145" s="3" t="n"/>
      <c r="AS3145" s="3" t="n"/>
      <c r="AT3145" s="3" t="n"/>
      <c r="AU3145" s="3" t="n"/>
    </row>
    <row r="3146">
      <c r="A3146" s="3" t="n">
        <v>2031</v>
      </c>
      <c r="B3146" s="3" t="inlineStr">
        <is>
          <t>USA</t>
        </is>
      </c>
      <c r="C3146" s="3" t="inlineStr">
        <is>
          <t>IMF.RES:WEO</t>
        </is>
      </c>
      <c r="D3146" s="3" t="inlineStr">
        <is>
          <t>USA.NGDPPC.A</t>
        </is>
      </c>
      <c r="E3146" s="3" t="inlineStr">
        <is>
          <t>United States</t>
        </is>
      </c>
      <c r="F3146" s="3" t="inlineStr">
        <is>
          <t>Gross domestic product (GDP), Current prices, Per capita, Domestic currency</t>
        </is>
      </c>
      <c r="G3146" s="3" t="n">
        <v>36312.781712</v>
      </c>
      <c r="H3146" s="3" t="n">
        <v>37101.453256</v>
      </c>
      <c r="I3146" s="3" t="n">
        <v>37945.760523</v>
      </c>
      <c r="J3146" s="3" t="n">
        <v>39405.354277</v>
      </c>
      <c r="K3146" s="3" t="n">
        <v>41641.616934</v>
      </c>
      <c r="L3146" s="3" t="n">
        <v>44034.255845</v>
      </c>
      <c r="M3146" s="3" t="n">
        <v>46216.852947</v>
      </c>
      <c r="N3146" s="3" t="n">
        <v>47943.352698</v>
      </c>
      <c r="O3146" s="3" t="n">
        <v>48470.553102</v>
      </c>
      <c r="P3146" s="3" t="n">
        <v>47102.428233</v>
      </c>
      <c r="Q3146" s="3" t="n">
        <v>48586.287564</v>
      </c>
      <c r="R3146" s="3" t="n">
        <v>50008.107761</v>
      </c>
      <c r="S3146" s="3" t="n">
        <v>51736.738322</v>
      </c>
      <c r="T3146" s="3" t="n">
        <v>53363.904303</v>
      </c>
      <c r="U3146" s="3" t="n">
        <v>55263.816575</v>
      </c>
      <c r="V3146" s="3" t="n">
        <v>57006.926053</v>
      </c>
      <c r="W3146" s="3" t="n">
        <v>58179.697483</v>
      </c>
      <c r="X3146" s="3" t="n">
        <v>60292.978357</v>
      </c>
      <c r="Y3146" s="3" t="n">
        <v>63165.27792</v>
      </c>
      <c r="Z3146" s="3" t="n">
        <v>65561.319994</v>
      </c>
      <c r="AA3146" s="3" t="n">
        <v>64517.997649</v>
      </c>
      <c r="AB3146" s="3" t="n">
        <v>71365.730198</v>
      </c>
      <c r="AC3146" s="3" t="n">
        <v>77948.992065</v>
      </c>
      <c r="AD3146" s="3" t="n">
        <v>82536.09461</v>
      </c>
      <c r="AE3146" s="3" t="n">
        <v>86173.36524299999</v>
      </c>
      <c r="AF3146" s="3" t="n">
        <v>89991.15212499999</v>
      </c>
      <c r="AG3146" s="3" t="n">
        <v>94429.75283899999</v>
      </c>
      <c r="AH3146" s="3" t="n">
        <v>98277.578972</v>
      </c>
      <c r="AI3146" s="3" t="n">
        <v>101714.786629</v>
      </c>
      <c r="AJ3146" s="3" t="n">
        <v>105171.150741</v>
      </c>
      <c r="AK3146" s="3" t="n">
        <v>108659.461792</v>
      </c>
      <c r="AL3146" s="3" t="n">
        <v>112241.908738</v>
      </c>
      <c r="AM3146" s="3" t="n"/>
      <c r="AN3146" s="3" t="n"/>
      <c r="AO3146" s="3" t="n"/>
      <c r="AP3146" s="3" t="n"/>
      <c r="AQ3146" s="3" t="n"/>
      <c r="AR3146" s="3" t="n"/>
      <c r="AS3146" s="3" t="n"/>
      <c r="AT3146" s="3" t="n"/>
      <c r="AU3146" s="3" t="n"/>
    </row>
    <row r="3147">
      <c r="A3147" s="3" t="n">
        <v>2031</v>
      </c>
      <c r="B3147" s="3" t="inlineStr">
        <is>
          <t>USA</t>
        </is>
      </c>
      <c r="C3147" s="3" t="inlineStr">
        <is>
          <t>IMF.RES:WEO</t>
        </is>
      </c>
      <c r="D3147" s="3" t="inlineStr">
        <is>
          <t>USA.NGDPRPC.A</t>
        </is>
      </c>
      <c r="E3147" s="3" t="inlineStr">
        <is>
          <t>United States</t>
        </is>
      </c>
      <c r="F3147" s="3" t="inlineStr">
        <is>
          <t>Gross domestic product (GDP), Constant prices, Per capita, Domestic currency</t>
        </is>
      </c>
      <c r="G3147" s="3" t="n">
        <v>49933.506536</v>
      </c>
      <c r="H3147" s="3" t="n">
        <v>49894.568179</v>
      </c>
      <c r="I3147" s="3" t="n">
        <v>50249.11551</v>
      </c>
      <c r="J3147" s="3" t="n">
        <v>51171.720936</v>
      </c>
      <c r="K3147" s="3" t="n">
        <v>52659.768913</v>
      </c>
      <c r="L3147" s="3" t="n">
        <v>53992.383025</v>
      </c>
      <c r="M3147" s="3" t="n">
        <v>54973.253207</v>
      </c>
      <c r="N3147" s="3" t="n">
        <v>55522.604102</v>
      </c>
      <c r="O3147" s="3" t="n">
        <v>55072.230718</v>
      </c>
      <c r="P3147" s="3" t="n">
        <v>53189.724236</v>
      </c>
      <c r="Q3147" s="3" t="n">
        <v>54206.538072</v>
      </c>
      <c r="R3147" s="3" t="n">
        <v>54664.954464</v>
      </c>
      <c r="S3147" s="3" t="n">
        <v>55520.798685</v>
      </c>
      <c r="T3147" s="3" t="n">
        <v>56308.60153</v>
      </c>
      <c r="U3147" s="3" t="n">
        <v>57315.088299</v>
      </c>
      <c r="V3147" s="3" t="n">
        <v>58579.251546</v>
      </c>
      <c r="W3147" s="3" t="n">
        <v>59221.631639</v>
      </c>
      <c r="X3147" s="3" t="n">
        <v>60292.978357</v>
      </c>
      <c r="Y3147" s="3" t="n">
        <v>61750.700319</v>
      </c>
      <c r="Z3147" s="3" t="n">
        <v>63052.318238</v>
      </c>
      <c r="AA3147" s="3" t="n">
        <v>61225.660175</v>
      </c>
      <c r="AB3147" s="3" t="n">
        <v>64768.453752</v>
      </c>
      <c r="AC3147" s="3" t="n">
        <v>66045.694577</v>
      </c>
      <c r="AD3147" s="3" t="n">
        <v>67437.12192799999</v>
      </c>
      <c r="AE3147" s="3" t="n">
        <v>68703.405401</v>
      </c>
      <c r="AF3147" s="3" t="n">
        <v>69768.05405200001</v>
      </c>
      <c r="AG3147" s="3" t="n">
        <v>71170.27605099999</v>
      </c>
      <c r="AH3147" s="3" t="n">
        <v>72478.761789</v>
      </c>
      <c r="AI3147" s="3" t="n">
        <v>73802.28539999999</v>
      </c>
      <c r="AJ3147" s="3" t="n">
        <v>74976.984302</v>
      </c>
      <c r="AK3147" s="3" t="n">
        <v>76066.082194</v>
      </c>
      <c r="AL3147" s="3" t="n">
        <v>77180.59932199999</v>
      </c>
      <c r="AM3147" s="3" t="n"/>
      <c r="AN3147" s="3" t="n"/>
      <c r="AO3147" s="3" t="n"/>
      <c r="AP3147" s="3" t="n"/>
      <c r="AQ3147" s="3" t="n"/>
      <c r="AR3147" s="3" t="n"/>
      <c r="AS3147" s="3" t="n"/>
      <c r="AT3147" s="3" t="n"/>
      <c r="AU3147" s="3" t="n"/>
    </row>
    <row r="3148">
      <c r="A3148" s="3" t="n">
        <v>2031</v>
      </c>
      <c r="B3148" s="3" t="inlineStr">
        <is>
          <t>USA</t>
        </is>
      </c>
      <c r="C3148" s="3" t="inlineStr">
        <is>
          <t>IMF.RES:WEO</t>
        </is>
      </c>
      <c r="D3148" s="3" t="inlineStr">
        <is>
          <t>USA.PCPI.A</t>
        </is>
      </c>
      <c r="E3148" s="3" t="inlineStr">
        <is>
          <t>United States</t>
        </is>
      </c>
      <c r="F3148" s="3" t="inlineStr">
        <is>
          <t>All Items, Consumer price index (CPI), Period average</t>
        </is>
      </c>
      <c r="G3148" s="3" t="n">
        <v>172.191667</v>
      </c>
      <c r="H3148" s="3" t="n">
        <v>177.041667</v>
      </c>
      <c r="I3148" s="3" t="n">
        <v>179.866667</v>
      </c>
      <c r="J3148" s="3" t="n">
        <v>184</v>
      </c>
      <c r="K3148" s="3" t="n">
        <v>188.908333</v>
      </c>
      <c r="L3148" s="3" t="n">
        <v>195.266667</v>
      </c>
      <c r="M3148" s="3" t="n">
        <v>201.558333</v>
      </c>
      <c r="N3148" s="3" t="n">
        <v>207.344167</v>
      </c>
      <c r="O3148" s="3" t="n">
        <v>215.25425</v>
      </c>
      <c r="P3148" s="3" t="n">
        <v>214.564667</v>
      </c>
      <c r="Q3148" s="3" t="n">
        <v>218.076167</v>
      </c>
      <c r="R3148" s="3" t="n">
        <v>224.923</v>
      </c>
      <c r="S3148" s="3" t="n">
        <v>229.586083</v>
      </c>
      <c r="T3148" s="3" t="n">
        <v>232.95175</v>
      </c>
      <c r="U3148" s="3" t="n">
        <v>236.715</v>
      </c>
      <c r="V3148" s="3" t="n">
        <v>237.00175</v>
      </c>
      <c r="W3148" s="3" t="n">
        <v>240.005417</v>
      </c>
      <c r="X3148" s="3" t="n">
        <v>245.121</v>
      </c>
      <c r="Y3148" s="3" t="n">
        <v>251.0995</v>
      </c>
      <c r="Z3148" s="3" t="n">
        <v>255.652583</v>
      </c>
      <c r="AA3148" s="3" t="n">
        <v>258.85575</v>
      </c>
      <c r="AB3148" s="3" t="n">
        <v>270.973417</v>
      </c>
      <c r="AC3148" s="3" t="n">
        <v>292.626417</v>
      </c>
      <c r="AD3148" s="3" t="n">
        <v>304.703</v>
      </c>
      <c r="AE3148" s="3" t="n">
        <v>313.698167</v>
      </c>
      <c r="AF3148" s="3" t="n">
        <v>322.260577</v>
      </c>
      <c r="AG3148" s="3" t="n">
        <v>332.662858</v>
      </c>
      <c r="AH3148" s="3" t="n">
        <v>339.786246</v>
      </c>
      <c r="AI3148" s="3" t="n">
        <v>347.206017</v>
      </c>
      <c r="AJ3148" s="3" t="n">
        <v>354.802685</v>
      </c>
      <c r="AK3148" s="3" t="n">
        <v>362.57224</v>
      </c>
      <c r="AL3148" s="3" t="n">
        <v>370.49152</v>
      </c>
      <c r="AM3148" s="3" t="n"/>
      <c r="AN3148" s="3" t="n"/>
      <c r="AO3148" s="3" t="n"/>
      <c r="AP3148" s="3" t="n"/>
      <c r="AQ3148" s="3" t="n"/>
      <c r="AR3148" s="3" t="n"/>
      <c r="AS3148" s="3" t="n"/>
      <c r="AT3148" s="3" t="n"/>
      <c r="AU3148" s="3" t="n"/>
    </row>
    <row r="3149">
      <c r="A3149" s="3" t="n">
        <v>2031</v>
      </c>
      <c r="B3149" s="3" t="inlineStr">
        <is>
          <t>USA</t>
        </is>
      </c>
      <c r="C3149" s="3" t="inlineStr">
        <is>
          <t>IMF.RES:WEO</t>
        </is>
      </c>
      <c r="D3149" s="3" t="inlineStr">
        <is>
          <t>USA.PCPIPCH.A</t>
        </is>
      </c>
      <c r="E3149" s="3" t="inlineStr">
        <is>
          <t>United States</t>
        </is>
      </c>
      <c r="F3149" s="3" t="inlineStr">
        <is>
          <t>All Items, Consumer price index (CPI), Period average, percent change</t>
        </is>
      </c>
      <c r="G3149" s="3" t="n">
        <v>3.366683</v>
      </c>
      <c r="H3149" s="3" t="n">
        <v>2.816629</v>
      </c>
      <c r="I3149" s="3" t="n">
        <v>1.59567</v>
      </c>
      <c r="J3149" s="3" t="n">
        <v>2.297999</v>
      </c>
      <c r="K3149" s="3" t="n">
        <v>2.667572</v>
      </c>
      <c r="L3149" s="3" t="n">
        <v>3.36583</v>
      </c>
      <c r="M3149" s="3" t="n">
        <v>3.222089</v>
      </c>
      <c r="N3149" s="3" t="n">
        <v>2.87055</v>
      </c>
      <c r="O3149" s="3" t="n">
        <v>3.814953</v>
      </c>
      <c r="P3149" s="3" t="n">
        <v>-0.320358</v>
      </c>
      <c r="Q3149" s="3" t="n">
        <v>1.63657</v>
      </c>
      <c r="R3149" s="3" t="n">
        <v>3.139652</v>
      </c>
      <c r="S3149" s="3" t="n">
        <v>2.073191</v>
      </c>
      <c r="T3149" s="3" t="n">
        <v>1.465972</v>
      </c>
      <c r="U3149" s="3" t="n">
        <v>1.615463</v>
      </c>
      <c r="V3149" s="3" t="n">
        <v>0.121137</v>
      </c>
      <c r="W3149" s="3" t="n">
        <v>1.267361</v>
      </c>
      <c r="X3149" s="3" t="n">
        <v>2.131445</v>
      </c>
      <c r="Y3149" s="3" t="n">
        <v>2.439</v>
      </c>
      <c r="Z3149" s="3" t="n">
        <v>1.813259</v>
      </c>
      <c r="AA3149" s="3" t="n">
        <v>1.252937</v>
      </c>
      <c r="AB3149" s="3" t="n">
        <v>4.681243</v>
      </c>
      <c r="AC3149" s="3" t="n">
        <v>7.990821</v>
      </c>
      <c r="AD3149" s="3" t="n">
        <v>4.126963</v>
      </c>
      <c r="AE3149" s="3" t="n">
        <v>2.95211</v>
      </c>
      <c r="AF3149" s="3" t="n">
        <v>2.729506</v>
      </c>
      <c r="AG3149" s="3" t="n">
        <v>3.22791</v>
      </c>
      <c r="AH3149" s="3" t="n">
        <v>2.141324</v>
      </c>
      <c r="AI3149" s="3" t="n">
        <v>2.183658</v>
      </c>
      <c r="AJ3149" s="3" t="n">
        <v>2.187943</v>
      </c>
      <c r="AK3149" s="3" t="n">
        <v>2.189824</v>
      </c>
      <c r="AL3149" s="3" t="n">
        <v>2.184194</v>
      </c>
      <c r="AM3149" s="3" t="n"/>
      <c r="AN3149" s="3" t="n"/>
      <c r="AO3149" s="3" t="n"/>
      <c r="AP3149" s="3" t="n"/>
      <c r="AQ3149" s="3" t="n"/>
      <c r="AR3149" s="3" t="n"/>
      <c r="AS3149" s="3" t="n"/>
      <c r="AT3149" s="3" t="n"/>
      <c r="AU3149" s="3" t="n"/>
    </row>
    <row r="3150">
      <c r="A3150" s="3" t="n">
        <v>2031</v>
      </c>
      <c r="B3150" s="3" t="inlineStr">
        <is>
          <t>USA</t>
        </is>
      </c>
      <c r="C3150" s="3" t="inlineStr">
        <is>
          <t>IMF.RES:WEO</t>
        </is>
      </c>
      <c r="D3150" s="3" t="inlineStr">
        <is>
          <t>USA.PPPPC.A</t>
        </is>
      </c>
      <c r="E3150" s="3" t="inlineStr">
        <is>
          <t>United States</t>
        </is>
      </c>
      <c r="F3150" s="3" t="inlineStr">
        <is>
          <t>Gross domestic product (GDP), Per capita, purchasing power parity (PPP) international dollar, ICP benchmarks 2017-2021</t>
        </is>
      </c>
      <c r="G3150" s="3" t="n">
        <v>36312.781712</v>
      </c>
      <c r="H3150" s="3" t="n">
        <v>37101.453256</v>
      </c>
      <c r="I3150" s="3" t="n">
        <v>37945.760523</v>
      </c>
      <c r="J3150" s="3" t="n">
        <v>39405.354277</v>
      </c>
      <c r="K3150" s="3" t="n">
        <v>41641.616934</v>
      </c>
      <c r="L3150" s="3" t="n">
        <v>44034.255845</v>
      </c>
      <c r="M3150" s="3" t="n">
        <v>46216.852947</v>
      </c>
      <c r="N3150" s="3" t="n">
        <v>47943.352698</v>
      </c>
      <c r="O3150" s="3" t="n">
        <v>48470.553102</v>
      </c>
      <c r="P3150" s="3" t="n">
        <v>47102.428233</v>
      </c>
      <c r="Q3150" s="3" t="n">
        <v>48586.287564</v>
      </c>
      <c r="R3150" s="3" t="n">
        <v>50008.107761</v>
      </c>
      <c r="S3150" s="3" t="n">
        <v>51736.738322</v>
      </c>
      <c r="T3150" s="3" t="n">
        <v>53363.904303</v>
      </c>
      <c r="U3150" s="3" t="n">
        <v>55263.816575</v>
      </c>
      <c r="V3150" s="3" t="n">
        <v>57006.926053</v>
      </c>
      <c r="W3150" s="3" t="n">
        <v>58179.697483</v>
      </c>
      <c r="X3150" s="3" t="n">
        <v>60292.978357</v>
      </c>
      <c r="Y3150" s="3" t="n">
        <v>63165.27792</v>
      </c>
      <c r="Z3150" s="3" t="n">
        <v>65561.319994</v>
      </c>
      <c r="AA3150" s="3" t="n">
        <v>64517.997649</v>
      </c>
      <c r="AB3150" s="3" t="n">
        <v>71365.730198</v>
      </c>
      <c r="AC3150" s="3" t="n">
        <v>77948.992065</v>
      </c>
      <c r="AD3150" s="3" t="n">
        <v>82536.09461</v>
      </c>
      <c r="AE3150" s="3" t="n">
        <v>86173.36524299999</v>
      </c>
      <c r="AF3150" s="3" t="n">
        <v>89991.15212499999</v>
      </c>
      <c r="AG3150" s="3" t="n">
        <v>94429.75283899999</v>
      </c>
      <c r="AH3150" s="3" t="n">
        <v>98277.578972</v>
      </c>
      <c r="AI3150" s="3" t="n">
        <v>101714.786629</v>
      </c>
      <c r="AJ3150" s="3" t="n">
        <v>105171.150741</v>
      </c>
      <c r="AK3150" s="3" t="n">
        <v>108659.461792</v>
      </c>
      <c r="AL3150" s="3" t="n">
        <v>112241.908738</v>
      </c>
      <c r="AM3150" s="3" t="n"/>
      <c r="AN3150" s="3" t="n"/>
      <c r="AO3150" s="3" t="n"/>
      <c r="AP3150" s="3" t="n"/>
      <c r="AQ3150" s="3" t="n"/>
      <c r="AR3150" s="3" t="n"/>
      <c r="AS3150" s="3" t="n"/>
      <c r="AT3150" s="3" t="n"/>
      <c r="AU3150" s="3" t="n"/>
    </row>
    <row r="3151">
      <c r="A3151" s="3" t="n">
        <v>2025</v>
      </c>
      <c r="B3151" s="3" t="inlineStr">
        <is>
          <t>USA</t>
        </is>
      </c>
      <c r="C3151" s="3" t="inlineStr">
        <is>
          <t>IMF.STA:ER</t>
        </is>
      </c>
      <c r="D3151" s="3" t="inlineStr">
        <is>
          <t>USA.XDC_USD.PA_RT.A</t>
        </is>
      </c>
      <c r="E3151" s="3" t="inlineStr">
        <is>
          <t>United States</t>
        </is>
      </c>
      <c r="F3151" s="3" t="inlineStr">
        <is>
          <t>Domestic currency per US Dollar</t>
        </is>
      </c>
      <c r="G3151" s="3" t="n">
        <v>1</v>
      </c>
      <c r="H3151" s="3" t="n">
        <v>1</v>
      </c>
      <c r="I3151" s="3" t="n">
        <v>1</v>
      </c>
      <c r="J3151" s="3" t="n">
        <v>1</v>
      </c>
      <c r="K3151" s="3" t="n">
        <v>1</v>
      </c>
      <c r="L3151" s="3" t="n">
        <v>1</v>
      </c>
      <c r="M3151" s="3" t="n">
        <v>1</v>
      </c>
      <c r="N3151" s="3" t="n">
        <v>1</v>
      </c>
      <c r="O3151" s="3" t="n">
        <v>1</v>
      </c>
      <c r="P3151" s="3" t="n">
        <v>1</v>
      </c>
      <c r="Q3151" s="3" t="n">
        <v>1</v>
      </c>
      <c r="R3151" s="3" t="n">
        <v>1</v>
      </c>
      <c r="S3151" s="3" t="n">
        <v>1</v>
      </c>
      <c r="T3151" s="3" t="n">
        <v>1</v>
      </c>
      <c r="U3151" s="3" t="n">
        <v>1</v>
      </c>
      <c r="V3151" s="3" t="n">
        <v>1</v>
      </c>
      <c r="W3151" s="3" t="n">
        <v>1</v>
      </c>
      <c r="X3151" s="3" t="n">
        <v>1</v>
      </c>
      <c r="Y3151" s="3" t="n">
        <v>1</v>
      </c>
      <c r="Z3151" s="3" t="n">
        <v>1</v>
      </c>
      <c r="AA3151" s="3" t="n">
        <v>1</v>
      </c>
      <c r="AB3151" s="3" t="n">
        <v>1</v>
      </c>
      <c r="AC3151" s="3" t="n">
        <v>1</v>
      </c>
      <c r="AD3151" s="3" t="n">
        <v>1</v>
      </c>
      <c r="AE3151" s="3" t="n">
        <v>1</v>
      </c>
      <c r="AF3151" s="3" t="n">
        <v>1</v>
      </c>
      <c r="AG3151" s="3" t="n"/>
      <c r="AH3151" s="3" t="n"/>
      <c r="AI3151" s="3" t="n"/>
      <c r="AJ3151" s="3" t="n"/>
      <c r="AK3151" s="3" t="n"/>
      <c r="AL3151" s="3" t="n"/>
      <c r="AM3151" s="3" t="n"/>
      <c r="AN3151" s="3" t="n"/>
      <c r="AO3151" s="3" t="n"/>
      <c r="AP3151" s="3" t="n"/>
      <c r="AQ3151" s="3" t="n"/>
      <c r="AR3151" s="3" t="n"/>
      <c r="AS3151" s="3" t="n"/>
      <c r="AT3151" s="3" t="n"/>
      <c r="AU3151" s="3" t="n"/>
    </row>
    <row r="3152">
      <c r="A3152" s="3" t="n">
        <v>2031</v>
      </c>
      <c r="B3152" s="3" t="inlineStr">
        <is>
          <t>UZB</t>
        </is>
      </c>
      <c r="C3152" s="3" t="inlineStr">
        <is>
          <t>IMF.RES:WEO</t>
        </is>
      </c>
      <c r="D3152" s="3" t="inlineStr">
        <is>
          <t>UZB.BCA.A</t>
        </is>
      </c>
      <c r="E3152" s="3" t="inlineStr">
        <is>
          <t>Uzbekistan, Republic of</t>
        </is>
      </c>
      <c r="F3152" s="3" t="inlineStr">
        <is>
          <t>Current account balance (credit less debit), US dollar</t>
        </is>
      </c>
      <c r="G3152" s="3" t="n">
        <v>0.546512</v>
      </c>
      <c r="H3152" s="3" t="n">
        <v>0.185042</v>
      </c>
      <c r="I3152" s="3" t="n">
        <v>0.276525</v>
      </c>
      <c r="J3152" s="3" t="n">
        <v>0.642115</v>
      </c>
      <c r="K3152" s="3" t="n">
        <v>0.8595930000000001</v>
      </c>
      <c r="L3152" s="3" t="n">
        <v>1.146315</v>
      </c>
      <c r="M3152" s="3" t="n">
        <v>1.729457</v>
      </c>
      <c r="N3152" s="3" t="n">
        <v>1.807403</v>
      </c>
      <c r="O3152" s="3" t="n">
        <v>3.183217</v>
      </c>
      <c r="P3152" s="3" t="n">
        <v>1.759866</v>
      </c>
      <c r="Q3152" s="3" t="n">
        <v>2.278862</v>
      </c>
      <c r="R3152" s="3" t="n">
        <v>2.783306</v>
      </c>
      <c r="S3152" s="3" t="n">
        <v>1.209283</v>
      </c>
      <c r="T3152" s="3" t="n">
        <v>1.315757</v>
      </c>
      <c r="U3152" s="3" t="n">
        <v>2.075923</v>
      </c>
      <c r="V3152" s="3" t="n">
        <v>0.895642</v>
      </c>
      <c r="W3152" s="3" t="n">
        <v>0.213236</v>
      </c>
      <c r="X3152" s="3" t="n">
        <v>1.477884</v>
      </c>
      <c r="Y3152" s="3" t="n">
        <v>-3.593174</v>
      </c>
      <c r="Z3152" s="3" t="n">
        <v>-3.371224</v>
      </c>
      <c r="AA3152" s="3" t="n">
        <v>-3.027885</v>
      </c>
      <c r="AB3152" s="3" t="n">
        <v>-4.897531</v>
      </c>
      <c r="AC3152" s="3" t="n">
        <v>-2.84619</v>
      </c>
      <c r="AD3152" s="3" t="n">
        <v>-7.79772</v>
      </c>
      <c r="AE3152" s="3" t="n">
        <v>-5.71427</v>
      </c>
      <c r="AF3152" s="3" t="n">
        <v>-5.700383</v>
      </c>
      <c r="AG3152" s="3" t="n">
        <v>-2.378676</v>
      </c>
      <c r="AH3152" s="3" t="n">
        <v>-6.93049</v>
      </c>
      <c r="AI3152" s="3" t="n">
        <v>-8.343940999999999</v>
      </c>
      <c r="AJ3152" s="3" t="n">
        <v>-10.262561</v>
      </c>
      <c r="AK3152" s="3" t="n">
        <v>-11.536402</v>
      </c>
      <c r="AL3152" s="3" t="n">
        <v>-13.595329</v>
      </c>
      <c r="AM3152" s="3" t="n"/>
      <c r="AN3152" s="3" t="n"/>
      <c r="AO3152" s="3" t="n"/>
      <c r="AP3152" s="3" t="n"/>
      <c r="AQ3152" s="3" t="n"/>
      <c r="AR3152" s="3" t="n"/>
      <c r="AS3152" s="3" t="n"/>
      <c r="AT3152" s="3" t="n"/>
      <c r="AU3152" s="3" t="n"/>
    </row>
    <row r="3153">
      <c r="A3153" s="3" t="n">
        <v>2031</v>
      </c>
      <c r="B3153" s="3" t="inlineStr">
        <is>
          <t>UZB</t>
        </is>
      </c>
      <c r="C3153" s="3" t="inlineStr">
        <is>
          <t>IMF.RES:WEO</t>
        </is>
      </c>
      <c r="D3153" s="3" t="inlineStr">
        <is>
          <t>UZB.BCA_NGDPD.A</t>
        </is>
      </c>
      <c r="E3153" s="3" t="inlineStr">
        <is>
          <t>Uzbekistan, Republic of</t>
        </is>
      </c>
      <c r="F3153" s="3" t="inlineStr">
        <is>
          <t>Current account balance (credit less debit), Percent of GDP</t>
        </is>
      </c>
      <c r="G3153" s="3" t="n">
        <v>2.86187</v>
      </c>
      <c r="H3153" s="3" t="n">
        <v>1.142737</v>
      </c>
      <c r="I3153" s="3" t="n">
        <v>2.056879</v>
      </c>
      <c r="J3153" s="3" t="n">
        <v>4.553864</v>
      </c>
      <c r="K3153" s="3" t="n">
        <v>5.144928</v>
      </c>
      <c r="L3153" s="3" t="n">
        <v>5.754059</v>
      </c>
      <c r="M3153" s="3" t="n">
        <v>7.296321</v>
      </c>
      <c r="N3153" s="3" t="n">
        <v>5.820229</v>
      </c>
      <c r="O3153" s="3" t="n">
        <v>7.993596</v>
      </c>
      <c r="P3153" s="3" t="n">
        <v>3.778031</v>
      </c>
      <c r="Q3153" s="3" t="n">
        <v>4.102257</v>
      </c>
      <c r="R3153" s="3" t="n">
        <v>4.126891</v>
      </c>
      <c r="S3153" s="3" t="n">
        <v>1.605488</v>
      </c>
      <c r="T3153" s="3" t="n">
        <v>1.59124</v>
      </c>
      <c r="U3153" s="3" t="n">
        <v>2.273567</v>
      </c>
      <c r="V3153" s="3" t="n">
        <v>0.923723</v>
      </c>
      <c r="W3153" s="3" t="n">
        <v>0.219096</v>
      </c>
      <c r="X3153" s="3" t="n">
        <v>2.120252</v>
      </c>
      <c r="Y3153" s="3" t="n">
        <v>-5.859868</v>
      </c>
      <c r="Z3153" s="3" t="n">
        <v>-4.804323</v>
      </c>
      <c r="AA3153" s="3" t="n">
        <v>-4.317709</v>
      </c>
      <c r="AB3153" s="3" t="n">
        <v>-6.033668</v>
      </c>
      <c r="AC3153" s="3" t="n">
        <v>-3.0177</v>
      </c>
      <c r="AD3153" s="3" t="n">
        <v>-7.252469</v>
      </c>
      <c r="AE3153" s="3" t="n">
        <v>-4.708835</v>
      </c>
      <c r="AF3153" s="3" t="n">
        <v>-3.875991</v>
      </c>
      <c r="AG3153" s="3" t="n">
        <v>-1.310554</v>
      </c>
      <c r="AH3153" s="3" t="n">
        <v>-3.412612</v>
      </c>
      <c r="AI3153" s="3" t="n">
        <v>-3.710873</v>
      </c>
      <c r="AJ3153" s="3" t="n">
        <v>-4.133833</v>
      </c>
      <c r="AK3153" s="3" t="n">
        <v>-4.218979</v>
      </c>
      <c r="AL3153" s="3" t="n">
        <v>-4.514117</v>
      </c>
      <c r="AM3153" s="3" t="n"/>
      <c r="AN3153" s="3" t="n"/>
      <c r="AO3153" s="3" t="n"/>
      <c r="AP3153" s="3" t="n"/>
      <c r="AQ3153" s="3" t="n"/>
      <c r="AR3153" s="3" t="n"/>
      <c r="AS3153" s="3" t="n"/>
      <c r="AT3153" s="3" t="n"/>
      <c r="AU3153" s="3" t="n"/>
    </row>
    <row r="3154">
      <c r="A3154" s="3" t="n">
        <v>2031</v>
      </c>
      <c r="B3154" s="3" t="inlineStr">
        <is>
          <t>UZB</t>
        </is>
      </c>
      <c r="C3154" s="3" t="inlineStr">
        <is>
          <t>IMF.RES:WEO</t>
        </is>
      </c>
      <c r="D3154" s="3" t="inlineStr">
        <is>
          <t>UZB.GGR_NGDP.A</t>
        </is>
      </c>
      <c r="E3154" s="3" t="inlineStr">
        <is>
          <t>Uzbekistan, Republic of</t>
        </is>
      </c>
      <c r="F3154" s="3" t="inlineStr">
        <is>
          <t>Revenue, General government, Percent of GDP</t>
        </is>
      </c>
      <c r="G3154" s="3" t="n">
        <v>26.289101</v>
      </c>
      <c r="H3154" s="3" t="n">
        <v>24.617379</v>
      </c>
      <c r="I3154" s="3" t="n">
        <v>25.494388</v>
      </c>
      <c r="J3154" s="3" t="n">
        <v>24.01186</v>
      </c>
      <c r="K3154" s="3" t="n">
        <v>23.110358</v>
      </c>
      <c r="L3154" s="3" t="n">
        <v>22.104553</v>
      </c>
      <c r="M3154" s="3" t="n">
        <v>24.705861</v>
      </c>
      <c r="N3154" s="3" t="n">
        <v>25.562151</v>
      </c>
      <c r="O3154" s="3" t="n">
        <v>29.225165</v>
      </c>
      <c r="P3154" s="3" t="n">
        <v>26.378667</v>
      </c>
      <c r="Q3154" s="3" t="n">
        <v>25.953219</v>
      </c>
      <c r="R3154" s="3" t="n">
        <v>25.678435</v>
      </c>
      <c r="S3154" s="3" t="n">
        <v>26.726156</v>
      </c>
      <c r="T3154" s="3" t="n">
        <v>24.234338</v>
      </c>
      <c r="U3154" s="3" t="n">
        <v>23.697683</v>
      </c>
      <c r="V3154" s="3" t="n">
        <v>21.459356</v>
      </c>
      <c r="W3154" s="3" t="n">
        <v>21.129865</v>
      </c>
      <c r="X3154" s="3" t="n">
        <v>20.931139</v>
      </c>
      <c r="Y3154" s="3" t="n">
        <v>22.817269</v>
      </c>
      <c r="Z3154" s="3" t="n">
        <v>23.065489</v>
      </c>
      <c r="AA3154" s="3" t="n">
        <v>21.864575</v>
      </c>
      <c r="AB3154" s="3" t="n">
        <v>22.236179</v>
      </c>
      <c r="AC3154" s="3" t="n">
        <v>26.463975</v>
      </c>
      <c r="AD3154" s="3" t="n">
        <v>24.736427</v>
      </c>
      <c r="AE3154" s="3" t="n">
        <v>23.895133</v>
      </c>
      <c r="AF3154" s="3" t="n">
        <v>25.716759</v>
      </c>
      <c r="AG3154" s="3" t="n">
        <v>28.250693</v>
      </c>
      <c r="AH3154" s="3" t="n">
        <v>28.338577</v>
      </c>
      <c r="AI3154" s="3" t="n">
        <v>28.35655</v>
      </c>
      <c r="AJ3154" s="3" t="n">
        <v>28.301982</v>
      </c>
      <c r="AK3154" s="3" t="n">
        <v>28.26411</v>
      </c>
      <c r="AL3154" s="3" t="n">
        <v>28.276023</v>
      </c>
      <c r="AM3154" s="3" t="n"/>
      <c r="AN3154" s="3" t="n"/>
      <c r="AO3154" s="3" t="n"/>
      <c r="AP3154" s="3" t="n"/>
      <c r="AQ3154" s="3" t="n"/>
      <c r="AR3154" s="3" t="n"/>
      <c r="AS3154" s="3" t="n"/>
      <c r="AT3154" s="3" t="n"/>
      <c r="AU3154" s="3" t="n"/>
    </row>
    <row r="3155">
      <c r="A3155" s="3" t="n">
        <v>2031</v>
      </c>
      <c r="B3155" s="3" t="inlineStr">
        <is>
          <t>UZB</t>
        </is>
      </c>
      <c r="C3155" s="3" t="inlineStr">
        <is>
          <t>IMF.RES:WEO</t>
        </is>
      </c>
      <c r="D3155" s="3" t="inlineStr">
        <is>
          <t>UZB.GGX_NGDP.A</t>
        </is>
      </c>
      <c r="E3155" s="3" t="inlineStr">
        <is>
          <t>Uzbekistan, Republic of</t>
        </is>
      </c>
      <c r="F3155" s="3" t="inlineStr">
        <is>
          <t>Expenditure, General government, Percent of GDP</t>
        </is>
      </c>
      <c r="G3155" s="3" t="n">
        <v>29.582001</v>
      </c>
      <c r="H3155" s="3" t="n">
        <v>27.5694</v>
      </c>
      <c r="I3155" s="3" t="n">
        <v>31.18038</v>
      </c>
      <c r="J3155" s="3" t="n">
        <v>28.398857</v>
      </c>
      <c r="K3155" s="3" t="n">
        <v>26.479099</v>
      </c>
      <c r="L3155" s="3" t="n">
        <v>25.275105</v>
      </c>
      <c r="M3155" s="3" t="n">
        <v>22.254664</v>
      </c>
      <c r="N3155" s="3" t="n">
        <v>22.361866</v>
      </c>
      <c r="O3155" s="3" t="n">
        <v>23.848518</v>
      </c>
      <c r="P3155" s="3" t="n">
        <v>24.741036</v>
      </c>
      <c r="Q3155" s="3" t="n">
        <v>23.658221</v>
      </c>
      <c r="R3155" s="3" t="n">
        <v>21.116374</v>
      </c>
      <c r="S3155" s="3" t="n">
        <v>21.450496</v>
      </c>
      <c r="T3155" s="3" t="n">
        <v>22.329981</v>
      </c>
      <c r="U3155" s="3" t="n">
        <v>22.016983</v>
      </c>
      <c r="V3155" s="3" t="n">
        <v>21.704317</v>
      </c>
      <c r="W3155" s="3" t="n">
        <v>20.509993</v>
      </c>
      <c r="X3155" s="3" t="n">
        <v>19.887289</v>
      </c>
      <c r="Y3155" s="3" t="n">
        <v>21.248641</v>
      </c>
      <c r="Z3155" s="3" t="n">
        <v>23.355421</v>
      </c>
      <c r="AA3155" s="3" t="n">
        <v>24.65958</v>
      </c>
      <c r="AB3155" s="3" t="n">
        <v>26.139834</v>
      </c>
      <c r="AC3155" s="3" t="n">
        <v>29.953687</v>
      </c>
      <c r="AD3155" s="3" t="n">
        <v>28.58481</v>
      </c>
      <c r="AE3155" s="3" t="n">
        <v>26.14035</v>
      </c>
      <c r="AF3155" s="3" t="n">
        <v>27.372208</v>
      </c>
      <c r="AG3155" s="3" t="n">
        <v>29.071372</v>
      </c>
      <c r="AH3155" s="3" t="n">
        <v>30.401169</v>
      </c>
      <c r="AI3155" s="3" t="n">
        <v>30.432829</v>
      </c>
      <c r="AJ3155" s="3" t="n">
        <v>30.378751</v>
      </c>
      <c r="AK3155" s="3" t="n">
        <v>30.339158</v>
      </c>
      <c r="AL3155" s="3" t="n">
        <v>30.347223</v>
      </c>
      <c r="AM3155" s="3" t="n"/>
      <c r="AN3155" s="3" t="n"/>
      <c r="AO3155" s="3" t="n"/>
      <c r="AP3155" s="3" t="n"/>
      <c r="AQ3155" s="3" t="n"/>
      <c r="AR3155" s="3" t="n"/>
      <c r="AS3155" s="3" t="n"/>
      <c r="AT3155" s="3" t="n"/>
      <c r="AU3155" s="3" t="n"/>
    </row>
    <row r="3156">
      <c r="A3156" s="3" t="n">
        <v>2031</v>
      </c>
      <c r="B3156" s="3" t="inlineStr">
        <is>
          <t>UZB</t>
        </is>
      </c>
      <c r="C3156" s="3" t="inlineStr">
        <is>
          <t>IMF.RES:WEO</t>
        </is>
      </c>
      <c r="D3156" s="3" t="inlineStr">
        <is>
          <t>UZB.LP.A</t>
        </is>
      </c>
      <c r="E3156" s="3" t="inlineStr">
        <is>
          <t>Uzbekistan, Republic of</t>
        </is>
      </c>
      <c r="F3156" s="3" t="inlineStr">
        <is>
          <t>Population, Persons for countries / Index for country groups</t>
        </is>
      </c>
      <c r="G3156" s="3" t="n">
        <v>24.4877</v>
      </c>
      <c r="H3156" s="3" t="n">
        <v>24.8131</v>
      </c>
      <c r="I3156" s="3" t="n">
        <v>25.1158</v>
      </c>
      <c r="J3156" s="3" t="n">
        <v>25.4279</v>
      </c>
      <c r="K3156" s="3" t="n">
        <v>25.7074</v>
      </c>
      <c r="L3156" s="3" t="n">
        <v>26.0213</v>
      </c>
      <c r="M3156" s="3" t="n">
        <v>26.3127</v>
      </c>
      <c r="N3156" s="3" t="n">
        <v>26.6638</v>
      </c>
      <c r="O3156" s="3" t="n">
        <v>27.0722</v>
      </c>
      <c r="P3156" s="3" t="n">
        <v>27.5334</v>
      </c>
      <c r="Q3156" s="3" t="n">
        <v>28.0014</v>
      </c>
      <c r="R3156" s="3" t="n">
        <v>29.1234</v>
      </c>
      <c r="S3156" s="3" t="n">
        <v>29.5554</v>
      </c>
      <c r="T3156" s="3" t="n">
        <v>29.9935</v>
      </c>
      <c r="U3156" s="3" t="n">
        <v>30.4928</v>
      </c>
      <c r="V3156" s="3" t="n">
        <v>31.0225</v>
      </c>
      <c r="W3156" s="3" t="n">
        <v>31.5753</v>
      </c>
      <c r="X3156" s="3" t="n">
        <v>32.1205</v>
      </c>
      <c r="Y3156" s="3" t="n">
        <v>32.6567</v>
      </c>
      <c r="Z3156" s="3" t="n">
        <v>33.9052</v>
      </c>
      <c r="AA3156" s="3" t="n">
        <v>34.5589</v>
      </c>
      <c r="AB3156" s="3" t="n">
        <v>35.2713</v>
      </c>
      <c r="AC3156" s="3" t="n">
        <v>36.0249</v>
      </c>
      <c r="AD3156" s="3" t="n">
        <v>36.7998</v>
      </c>
      <c r="AE3156" s="3" t="n">
        <v>37.5432</v>
      </c>
      <c r="AF3156" s="3" t="n">
        <v>38.2367</v>
      </c>
      <c r="AG3156" s="3" t="n">
        <v>38.94301</v>
      </c>
      <c r="AH3156" s="3" t="n">
        <v>39.662368</v>
      </c>
      <c r="AI3156" s="3" t="n">
        <v>40.395013</v>
      </c>
      <c r="AJ3156" s="3" t="n">
        <v>41.141192</v>
      </c>
      <c r="AK3156" s="3" t="n">
        <v>41.901154</v>
      </c>
      <c r="AL3156" s="3" t="n">
        <v>42.675155</v>
      </c>
      <c r="AM3156" s="3" t="n"/>
      <c r="AN3156" s="3" t="n"/>
      <c r="AO3156" s="3" t="n"/>
      <c r="AP3156" s="3" t="n"/>
      <c r="AQ3156" s="3" t="n"/>
      <c r="AR3156" s="3" t="n"/>
      <c r="AS3156" s="3" t="n"/>
      <c r="AT3156" s="3" t="n"/>
      <c r="AU3156" s="3" t="n"/>
    </row>
    <row r="3157">
      <c r="A3157" s="3" t="n">
        <v>2031</v>
      </c>
      <c r="B3157" s="3" t="inlineStr">
        <is>
          <t>UZB</t>
        </is>
      </c>
      <c r="C3157" s="3" t="inlineStr">
        <is>
          <t>IMF.RES:WEO</t>
        </is>
      </c>
      <c r="D3157" s="3" t="inlineStr">
        <is>
          <t>UZB.NGDP.A</t>
        </is>
      </c>
      <c r="E3157" s="3" t="inlineStr">
        <is>
          <t>Uzbekistan, Republic of</t>
        </is>
      </c>
      <c r="F3157" s="3" t="inlineStr">
        <is>
          <t>Gross domestic product (GDP), Current prices, Domestic currency</t>
        </is>
      </c>
      <c r="G3157" s="3" t="n">
        <v>4532.173663</v>
      </c>
      <c r="H3157" s="3" t="n">
        <v>6856.715706</v>
      </c>
      <c r="I3157" s="3" t="n">
        <v>10371.710433</v>
      </c>
      <c r="J3157" s="3" t="n">
        <v>13695.501328</v>
      </c>
      <c r="K3157" s="3" t="n">
        <v>17068.91193</v>
      </c>
      <c r="L3157" s="3" t="n">
        <v>22167.450634</v>
      </c>
      <c r="M3157" s="3" t="n">
        <v>28899.654467</v>
      </c>
      <c r="N3157" s="3" t="n">
        <v>39238.868399</v>
      </c>
      <c r="O3157" s="3" t="n">
        <v>52548.331942</v>
      </c>
      <c r="P3157" s="3" t="n">
        <v>68273.625214</v>
      </c>
      <c r="Q3157" s="3" t="n">
        <v>88102.35799999999</v>
      </c>
      <c r="R3157" s="3" t="n">
        <v>115627.763027</v>
      </c>
      <c r="S3157" s="3" t="n">
        <v>142333.037835</v>
      </c>
      <c r="T3157" s="3" t="n">
        <v>173201.450037</v>
      </c>
      <c r="U3157" s="3" t="n">
        <v>210998.26787</v>
      </c>
      <c r="V3157" s="3" t="n">
        <v>250544.565604</v>
      </c>
      <c r="W3157" s="3" t="n">
        <v>290213.405454</v>
      </c>
      <c r="X3157" s="3" t="n">
        <v>356453.8409</v>
      </c>
      <c r="Y3157" s="3" t="n">
        <v>494814.89765</v>
      </c>
      <c r="Z3157" s="3" t="n">
        <v>620083.089284</v>
      </c>
      <c r="AA3157" s="3" t="n">
        <v>705076.4</v>
      </c>
      <c r="AB3157" s="3" t="n">
        <v>861170.7</v>
      </c>
      <c r="AC3157" s="3" t="n">
        <v>1041877.9</v>
      </c>
      <c r="AD3157" s="3" t="n">
        <v>1261806.0318</v>
      </c>
      <c r="AE3157" s="3" t="n">
        <v>1535431.7449</v>
      </c>
      <c r="AF3157" s="3" t="n">
        <v>1849650</v>
      </c>
      <c r="AG3157" s="3" t="n">
        <v>2216644.519306</v>
      </c>
      <c r="AH3157" s="3" t="n">
        <v>2545199.580523</v>
      </c>
      <c r="AI3157" s="3" t="n">
        <v>2878849.596904</v>
      </c>
      <c r="AJ3157" s="3" t="n">
        <v>3247162.815294</v>
      </c>
      <c r="AK3157" s="3" t="n">
        <v>3652060.704508</v>
      </c>
      <c r="AL3157" s="3" t="n">
        <v>4107804.807558</v>
      </c>
      <c r="AM3157" s="3" t="n"/>
      <c r="AN3157" s="3" t="n"/>
      <c r="AO3157" s="3" t="n"/>
      <c r="AP3157" s="3" t="n"/>
      <c r="AQ3157" s="3" t="n"/>
      <c r="AR3157" s="3" t="n"/>
      <c r="AS3157" s="3" t="n"/>
      <c r="AT3157" s="3" t="n"/>
      <c r="AU3157" s="3" t="n"/>
    </row>
    <row r="3158">
      <c r="A3158" s="3" t="n">
        <v>2031</v>
      </c>
      <c r="B3158" s="3" t="inlineStr">
        <is>
          <t>UZB</t>
        </is>
      </c>
      <c r="C3158" s="3" t="inlineStr">
        <is>
          <t>IMF.RES:WEO</t>
        </is>
      </c>
      <c r="D3158" s="3" t="inlineStr">
        <is>
          <t>UZB.NGDP_D.A</t>
        </is>
      </c>
      <c r="E3158" s="3" t="inlineStr">
        <is>
          <t>Uzbekistan, Republic of</t>
        </is>
      </c>
      <c r="F3158" s="3" t="inlineStr">
        <is>
          <t>Gross domestic product (GDP), Price deflator, Index</t>
        </is>
      </c>
      <c r="G3158" s="3" t="n">
        <v>2.325611</v>
      </c>
      <c r="H3158" s="3" t="n">
        <v>3.376596</v>
      </c>
      <c r="I3158" s="3" t="n">
        <v>4.911113</v>
      </c>
      <c r="J3158" s="3" t="n">
        <v>6.223573</v>
      </c>
      <c r="K3158" s="3" t="n">
        <v>7.222098</v>
      </c>
      <c r="L3158" s="3" t="n">
        <v>8.765758999999999</v>
      </c>
      <c r="M3158" s="3" t="n">
        <v>10.630605</v>
      </c>
      <c r="N3158" s="3" t="n">
        <v>13.181586</v>
      </c>
      <c r="O3158" s="3" t="n">
        <v>16.1951</v>
      </c>
      <c r="P3158" s="3" t="n">
        <v>19.464891</v>
      </c>
      <c r="Q3158" s="3" t="n">
        <v>23.33246</v>
      </c>
      <c r="R3158" s="3" t="n">
        <v>28.320258</v>
      </c>
      <c r="S3158" s="3" t="n">
        <v>32.472158</v>
      </c>
      <c r="T3158" s="3" t="n">
        <v>36.614059</v>
      </c>
      <c r="U3158" s="3" t="n">
        <v>41.409896</v>
      </c>
      <c r="V3158" s="3" t="n">
        <v>45.552121</v>
      </c>
      <c r="W3158" s="3" t="n">
        <v>49.446047</v>
      </c>
      <c r="X3158" s="3" t="n">
        <v>58.005555</v>
      </c>
      <c r="Y3158" s="3" t="n">
        <v>76.16172400000001</v>
      </c>
      <c r="Z3158" s="3" t="n">
        <v>89.371662</v>
      </c>
      <c r="AA3158" s="3" t="n">
        <v>100</v>
      </c>
      <c r="AB3158" s="3" t="n">
        <v>112.87761</v>
      </c>
      <c r="AC3158" s="3" t="n">
        <v>128.729364</v>
      </c>
      <c r="AD3158" s="3" t="n">
        <v>146.640741</v>
      </c>
      <c r="AE3158" s="3" t="n">
        <v>167.272703</v>
      </c>
      <c r="AF3158" s="3" t="n">
        <v>187.098336</v>
      </c>
      <c r="AG3158" s="3" t="n">
        <v>210.588523</v>
      </c>
      <c r="AH3158" s="3" t="n">
        <v>228.409219</v>
      </c>
      <c r="AI3158" s="3" t="n">
        <v>244.252326</v>
      </c>
      <c r="AJ3158" s="3" t="n">
        <v>260.502136</v>
      </c>
      <c r="AK3158" s="3" t="n">
        <v>277.211481</v>
      </c>
      <c r="AL3158" s="3" t="n">
        <v>294.98843</v>
      </c>
      <c r="AM3158" s="3" t="n"/>
      <c r="AN3158" s="3" t="n"/>
      <c r="AO3158" s="3" t="n"/>
      <c r="AP3158" s="3" t="n"/>
      <c r="AQ3158" s="3" t="n"/>
      <c r="AR3158" s="3" t="n"/>
      <c r="AS3158" s="3" t="n"/>
      <c r="AT3158" s="3" t="n"/>
      <c r="AU3158" s="3" t="n"/>
    </row>
    <row r="3159">
      <c r="A3159" s="3" t="n">
        <v>2031</v>
      </c>
      <c r="B3159" s="3" t="inlineStr">
        <is>
          <t>UZB</t>
        </is>
      </c>
      <c r="C3159" s="3" t="inlineStr">
        <is>
          <t>IMF.RES:WEO</t>
        </is>
      </c>
      <c r="D3159" s="3" t="inlineStr">
        <is>
          <t>UZB.NGDP_R.A</t>
        </is>
      </c>
      <c r="E3159" s="3" t="inlineStr">
        <is>
          <t>Uzbekistan, Republic of</t>
        </is>
      </c>
      <c r="F3159" s="3" t="inlineStr">
        <is>
          <t>Gross domestic product (GDP), Constant prices, Domestic currency</t>
        </is>
      </c>
      <c r="G3159" s="3" t="n">
        <v>194880.94543</v>
      </c>
      <c r="H3159" s="3" t="n">
        <v>203065.945138</v>
      </c>
      <c r="I3159" s="3" t="n">
        <v>211188.582943</v>
      </c>
      <c r="J3159" s="3" t="n">
        <v>220058.503427</v>
      </c>
      <c r="K3159" s="3" t="n">
        <v>236342.832681</v>
      </c>
      <c r="L3159" s="3" t="n">
        <v>252886.830968</v>
      </c>
      <c r="M3159" s="3" t="n">
        <v>271853.343291</v>
      </c>
      <c r="N3159" s="3" t="n">
        <v>297679.410903</v>
      </c>
      <c r="O3159" s="3" t="n">
        <v>324470.557885</v>
      </c>
      <c r="P3159" s="3" t="n">
        <v>350752.673073</v>
      </c>
      <c r="Q3159" s="3" t="n">
        <v>377595.670074</v>
      </c>
      <c r="R3159" s="3" t="n">
        <v>408286.407515</v>
      </c>
      <c r="S3159" s="3" t="n">
        <v>438323.309171</v>
      </c>
      <c r="T3159" s="3" t="n">
        <v>473046.295057</v>
      </c>
      <c r="U3159" s="3" t="n">
        <v>509535.852051</v>
      </c>
      <c r="V3159" s="3" t="n">
        <v>550017.337238</v>
      </c>
      <c r="W3159" s="3" t="n">
        <v>586929.441989</v>
      </c>
      <c r="X3159" s="3" t="n">
        <v>614516.73416</v>
      </c>
      <c r="Y3159" s="3" t="n">
        <v>649689.728968</v>
      </c>
      <c r="Z3159" s="3" t="n">
        <v>693825.1726939999</v>
      </c>
      <c r="AA3159" s="3" t="n">
        <v>705076.4</v>
      </c>
      <c r="AB3159" s="3" t="n">
        <v>762924.288348</v>
      </c>
      <c r="AC3159" s="3" t="n">
        <v>809355.275811</v>
      </c>
      <c r="AD3159" s="3" t="n">
        <v>860474.398178</v>
      </c>
      <c r="AE3159" s="3" t="n">
        <v>917921.2863640001</v>
      </c>
      <c r="AF3159" s="3" t="n">
        <v>988597.781184</v>
      </c>
      <c r="AG3159" s="3" t="n">
        <v>1052595.122537</v>
      </c>
      <c r="AH3159" s="3" t="n">
        <v>1114315.611088</v>
      </c>
      <c r="AI3159" s="3" t="n">
        <v>1178637.535997</v>
      </c>
      <c r="AJ3159" s="3" t="n">
        <v>1246501.414574</v>
      </c>
      <c r="AK3159" s="3" t="n">
        <v>1317427.653022</v>
      </c>
      <c r="AL3159" s="3" t="n">
        <v>1392530.82082</v>
      </c>
      <c r="AM3159" s="3" t="n"/>
      <c r="AN3159" s="3" t="n"/>
      <c r="AO3159" s="3" t="n"/>
      <c r="AP3159" s="3" t="n"/>
      <c r="AQ3159" s="3" t="n"/>
      <c r="AR3159" s="3" t="n"/>
      <c r="AS3159" s="3" t="n"/>
      <c r="AT3159" s="3" t="n"/>
      <c r="AU3159" s="3" t="n"/>
    </row>
    <row r="3160">
      <c r="A3160" s="3" t="n">
        <v>2031</v>
      </c>
      <c r="B3160" s="3" t="inlineStr">
        <is>
          <t>UZB</t>
        </is>
      </c>
      <c r="C3160" s="3" t="inlineStr">
        <is>
          <t>IMF.RES:WEO</t>
        </is>
      </c>
      <c r="D3160" s="3" t="inlineStr">
        <is>
          <t>UZB.NGDP_RPCH.A</t>
        </is>
      </c>
      <c r="E3160" s="3" t="inlineStr">
        <is>
          <t>Uzbekistan, Republic of</t>
        </is>
      </c>
      <c r="F3160" s="3" t="inlineStr">
        <is>
          <t>Gross domestic product (GDP), Constant prices, Percent change</t>
        </is>
      </c>
      <c r="G3160" s="3" t="n">
        <v>3.8</v>
      </c>
      <c r="H3160" s="3" t="n">
        <v>4.2</v>
      </c>
      <c r="I3160" s="3" t="n">
        <v>4</v>
      </c>
      <c r="J3160" s="3" t="n">
        <v>4.2</v>
      </c>
      <c r="K3160" s="3" t="n">
        <v>7.4</v>
      </c>
      <c r="L3160" s="3" t="n">
        <v>7</v>
      </c>
      <c r="M3160" s="3" t="n">
        <v>7.5</v>
      </c>
      <c r="N3160" s="3" t="n">
        <v>9.5</v>
      </c>
      <c r="O3160" s="3" t="n">
        <v>9</v>
      </c>
      <c r="P3160" s="3" t="n">
        <v>8.1</v>
      </c>
      <c r="Q3160" s="3" t="n">
        <v>7.65297</v>
      </c>
      <c r="R3160" s="3" t="n">
        <v>8.127936999999999</v>
      </c>
      <c r="S3160" s="3" t="n">
        <v>7.356821</v>
      </c>
      <c r="T3160" s="3" t="n">
        <v>7.921775</v>
      </c>
      <c r="U3160" s="3" t="n">
        <v>7.713739</v>
      </c>
      <c r="V3160" s="3" t="n">
        <v>7.944777</v>
      </c>
      <c r="W3160" s="3" t="n">
        <v>6.71108</v>
      </c>
      <c r="X3160" s="3" t="n">
        <v>4.700274</v>
      </c>
      <c r="Y3160" s="3" t="n">
        <v>5.723684</v>
      </c>
      <c r="Z3160" s="3" t="n">
        <v>6.793311</v>
      </c>
      <c r="AA3160" s="3" t="n">
        <v>1.621623</v>
      </c>
      <c r="AB3160" s="3" t="n">
        <v>8.204485</v>
      </c>
      <c r="AC3160" s="3" t="n">
        <v>6.085923</v>
      </c>
      <c r="AD3160" s="3" t="n">
        <v>6.31603</v>
      </c>
      <c r="AE3160" s="3" t="n">
        <v>6.676188</v>
      </c>
      <c r="AF3160" s="3" t="n">
        <v>7.699625</v>
      </c>
      <c r="AG3160" s="3" t="n">
        <v>6.473547</v>
      </c>
      <c r="AH3160" s="3" t="n">
        <v>5.863649</v>
      </c>
      <c r="AI3160" s="3" t="n">
        <v>5.772326</v>
      </c>
      <c r="AJ3160" s="3" t="n">
        <v>5.757824</v>
      </c>
      <c r="AK3160" s="3" t="n">
        <v>5.690025</v>
      </c>
      <c r="AL3160" s="3" t="n">
        <v>5.700743</v>
      </c>
      <c r="AM3160" s="3" t="n"/>
      <c r="AN3160" s="3" t="n"/>
      <c r="AO3160" s="3" t="n"/>
      <c r="AP3160" s="3" t="n"/>
      <c r="AQ3160" s="3" t="n"/>
      <c r="AR3160" s="3" t="n"/>
      <c r="AS3160" s="3" t="n"/>
      <c r="AT3160" s="3" t="n"/>
      <c r="AU3160" s="3" t="n"/>
    </row>
    <row r="3161">
      <c r="A3161" s="3" t="n">
        <v>2031</v>
      </c>
      <c r="B3161" s="3" t="inlineStr">
        <is>
          <t>UZB</t>
        </is>
      </c>
      <c r="C3161" s="3" t="inlineStr">
        <is>
          <t>IMF.RES:WEO</t>
        </is>
      </c>
      <c r="D3161" s="3" t="inlineStr">
        <is>
          <t>UZB.NGDPD.A</t>
        </is>
      </c>
      <c r="E3161" s="3" t="inlineStr">
        <is>
          <t>Uzbekistan, Republic of</t>
        </is>
      </c>
      <c r="F3161" s="3" t="inlineStr">
        <is>
          <t>Gross domestic product (GDP), Current prices, US dollar</t>
        </is>
      </c>
      <c r="G3161" s="3" t="n">
        <v>19.096322</v>
      </c>
      <c r="H3161" s="3" t="n">
        <v>16.192836</v>
      </c>
      <c r="I3161" s="3" t="n">
        <v>13.443898</v>
      </c>
      <c r="J3161" s="3" t="n">
        <v>14.100432</v>
      </c>
      <c r="K3161" s="3" t="n">
        <v>16.707589</v>
      </c>
      <c r="L3161" s="3" t="n">
        <v>19.921859</v>
      </c>
      <c r="M3161" s="3" t="n">
        <v>23.703137</v>
      </c>
      <c r="N3161" s="3" t="n">
        <v>31.053809</v>
      </c>
      <c r="O3161" s="3" t="n">
        <v>39.822088</v>
      </c>
      <c r="P3161" s="3" t="n">
        <v>46.581562</v>
      </c>
      <c r="Q3161" s="3" t="n">
        <v>55.551408</v>
      </c>
      <c r="R3161" s="3" t="n">
        <v>67.443163</v>
      </c>
      <c r="S3161" s="3" t="n">
        <v>75.32187</v>
      </c>
      <c r="T3161" s="3" t="n">
        <v>82.68756999999999</v>
      </c>
      <c r="U3161" s="3" t="n">
        <v>91.306853</v>
      </c>
      <c r="V3161" s="3" t="n">
        <v>96.959971</v>
      </c>
      <c r="W3161" s="3" t="n">
        <v>97.32535</v>
      </c>
      <c r="X3161" s="3" t="n">
        <v>69.703222</v>
      </c>
      <c r="Y3161" s="3" t="n">
        <v>61.318345</v>
      </c>
      <c r="Z3161" s="3" t="n">
        <v>70.170646</v>
      </c>
      <c r="AA3161" s="3" t="n">
        <v>70.127121</v>
      </c>
      <c r="AB3161" s="3" t="n">
        <v>81.170045</v>
      </c>
      <c r="AC3161" s="3" t="n">
        <v>94.31652800000001</v>
      </c>
      <c r="AD3161" s="3" t="n">
        <v>107.518142</v>
      </c>
      <c r="AE3161" s="3" t="n">
        <v>121.352102</v>
      </c>
      <c r="AF3161" s="3" t="n">
        <v>147.069035</v>
      </c>
      <c r="AG3161" s="3" t="n">
        <v>181.50155</v>
      </c>
      <c r="AH3161" s="3" t="n">
        <v>203.084614</v>
      </c>
      <c r="AI3161" s="3" t="n">
        <v>224.851188</v>
      </c>
      <c r="AJ3161" s="3" t="n">
        <v>248.257758</v>
      </c>
      <c r="AK3161" s="3" t="n">
        <v>273.440621</v>
      </c>
      <c r="AL3161" s="3" t="n">
        <v>301.173606</v>
      </c>
      <c r="AM3161" s="3" t="n"/>
      <c r="AN3161" s="3" t="n"/>
      <c r="AO3161" s="3" t="n"/>
      <c r="AP3161" s="3" t="n"/>
      <c r="AQ3161" s="3" t="n"/>
      <c r="AR3161" s="3" t="n"/>
      <c r="AS3161" s="3" t="n"/>
      <c r="AT3161" s="3" t="n"/>
      <c r="AU3161" s="3" t="n"/>
    </row>
    <row r="3162">
      <c r="A3162" s="3" t="n">
        <v>2031</v>
      </c>
      <c r="B3162" s="3" t="inlineStr">
        <is>
          <t>UZB</t>
        </is>
      </c>
      <c r="C3162" s="3" t="inlineStr">
        <is>
          <t>IMF.RES:WEO</t>
        </is>
      </c>
      <c r="D3162" s="3" t="inlineStr">
        <is>
          <t>UZB.NGDPPC.A</t>
        </is>
      </c>
      <c r="E3162" s="3" t="inlineStr">
        <is>
          <t>Uzbekistan, Republic of</t>
        </is>
      </c>
      <c r="F3162" s="3" t="inlineStr">
        <is>
          <t>Gross domestic product (GDP), Current prices, Per capita, Domestic currency</t>
        </is>
      </c>
      <c r="G3162" s="3" t="n">
        <v>185079.597641</v>
      </c>
      <c r="H3162" s="3" t="n">
        <v>276334.504997</v>
      </c>
      <c r="I3162" s="3" t="n">
        <v>412955.60696</v>
      </c>
      <c r="J3162" s="3" t="n">
        <v>538601.352373</v>
      </c>
      <c r="K3162" s="3" t="n">
        <v>663968.815585</v>
      </c>
      <c r="L3162" s="3" t="n">
        <v>851896.355444</v>
      </c>
      <c r="M3162" s="3" t="n">
        <v>1098315.812034</v>
      </c>
      <c r="N3162" s="3" t="n">
        <v>1471615.763641</v>
      </c>
      <c r="O3162" s="3" t="n">
        <v>1941044.020873</v>
      </c>
      <c r="P3162" s="3" t="n">
        <v>2479665.613909</v>
      </c>
      <c r="Q3162" s="3" t="n">
        <v>3146355.467941</v>
      </c>
      <c r="R3162" s="3" t="n">
        <v>3970270.058665</v>
      </c>
      <c r="S3162" s="3" t="n">
        <v>4815804.821952</v>
      </c>
      <c r="T3162" s="3" t="n">
        <v>5774632.838353</v>
      </c>
      <c r="U3162" s="3" t="n">
        <v>6919609.477308</v>
      </c>
      <c r="V3162" s="3" t="n">
        <v>8076220.988126</v>
      </c>
      <c r="W3162" s="3" t="n">
        <v>9191152.750863001</v>
      </c>
      <c r="X3162" s="3" t="n">
        <v>11097393.904204</v>
      </c>
      <c r="Y3162" s="3" t="n">
        <v>15152017.737555</v>
      </c>
      <c r="Z3162" s="3" t="n">
        <v>18288731.205951</v>
      </c>
      <c r="AA3162" s="3" t="n">
        <v>20402165.578187</v>
      </c>
      <c r="AB3162" s="3" t="n">
        <v>24415621.199105</v>
      </c>
      <c r="AC3162" s="3" t="n">
        <v>28921049.052183</v>
      </c>
      <c r="AD3162" s="3" t="n">
        <v>34288393.735836</v>
      </c>
      <c r="AE3162" s="3" t="n">
        <v>40897732.343008</v>
      </c>
      <c r="AF3162" s="3" t="n">
        <v>48373682.875353</v>
      </c>
      <c r="AG3162" s="3" t="n">
        <v>56920214.906243</v>
      </c>
      <c r="AH3162" s="3" t="n">
        <v>64171649.991533</v>
      </c>
      <c r="AI3162" s="3" t="n">
        <v>71267450.471441</v>
      </c>
      <c r="AJ3162" s="3" t="n">
        <v>78927290.63358</v>
      </c>
      <c r="AK3162" s="3" t="n">
        <v>87158952.26485801</v>
      </c>
      <c r="AL3162" s="3" t="n">
        <v>96257526.02733199</v>
      </c>
      <c r="AM3162" s="3" t="n"/>
      <c r="AN3162" s="3" t="n"/>
      <c r="AO3162" s="3" t="n"/>
      <c r="AP3162" s="3" t="n"/>
      <c r="AQ3162" s="3" t="n"/>
      <c r="AR3162" s="3" t="n"/>
      <c r="AS3162" s="3" t="n"/>
      <c r="AT3162" s="3" t="n"/>
      <c r="AU3162" s="3" t="n"/>
    </row>
    <row r="3163">
      <c r="A3163" s="3" t="n">
        <v>2031</v>
      </c>
      <c r="B3163" s="3" t="inlineStr">
        <is>
          <t>UZB</t>
        </is>
      </c>
      <c r="C3163" s="3" t="inlineStr">
        <is>
          <t>IMF.RES:WEO</t>
        </is>
      </c>
      <c r="D3163" s="3" t="inlineStr">
        <is>
          <t>UZB.NGDPRPC.A</t>
        </is>
      </c>
      <c r="E3163" s="3" t="inlineStr">
        <is>
          <t>Uzbekistan, Republic of</t>
        </is>
      </c>
      <c r="F3163" s="3" t="inlineStr">
        <is>
          <t>Gross domestic product (GDP), Constant prices, Per capita, Domestic currency</t>
        </is>
      </c>
      <c r="G3163" s="3" t="n">
        <v>7958319.704577</v>
      </c>
      <c r="H3163" s="3" t="n">
        <v>8183820.044163</v>
      </c>
      <c r="I3163" s="3" t="n">
        <v>8408594.707049999</v>
      </c>
      <c r="J3163" s="3" t="n">
        <v>8654214.599985</v>
      </c>
      <c r="K3163" s="3" t="n">
        <v>9193571.994077001</v>
      </c>
      <c r="L3163" s="3" t="n">
        <v>9718454.918400999</v>
      </c>
      <c r="M3163" s="3" t="n">
        <v>10331639.979584</v>
      </c>
      <c r="N3163" s="3" t="n">
        <v>11164178.058019</v>
      </c>
      <c r="O3163" s="3" t="n">
        <v>11985378.280477</v>
      </c>
      <c r="P3163" s="3" t="n">
        <v>12739170.355764</v>
      </c>
      <c r="Q3163" s="3" t="n">
        <v>13484885.401245</v>
      </c>
      <c r="R3163" s="3" t="n">
        <v>14019187.57821</v>
      </c>
      <c r="S3163" s="3" t="n">
        <v>14830565.959898</v>
      </c>
      <c r="T3163" s="3" t="n">
        <v>15771627.021086</v>
      </c>
      <c r="U3163" s="3" t="n">
        <v>16710038.174631</v>
      </c>
      <c r="V3163" s="3" t="n">
        <v>17729626.472328</v>
      </c>
      <c r="W3163" s="3" t="n">
        <v>18588245.938711</v>
      </c>
      <c r="X3163" s="3" t="n">
        <v>19131605.490583</v>
      </c>
      <c r="Y3163" s="3" t="n">
        <v>19894530.952859</v>
      </c>
      <c r="Z3163" s="3" t="n">
        <v>20463680.281893</v>
      </c>
      <c r="AA3163" s="3" t="n">
        <v>20402165.578187</v>
      </c>
      <c r="AB3163" s="3" t="n">
        <v>21630172.076095</v>
      </c>
      <c r="AC3163" s="3" t="n">
        <v>22466551.629878</v>
      </c>
      <c r="AD3163" s="3" t="n">
        <v>23382583.55149</v>
      </c>
      <c r="AE3163" s="3" t="n">
        <v>24449734.87514</v>
      </c>
      <c r="AF3163" s="3" t="n">
        <v>25854683.620292</v>
      </c>
      <c r="AG3163" s="3" t="n">
        <v>27029115.432022</v>
      </c>
      <c r="AH3163" s="3" t="n">
        <v>28095035.03067</v>
      </c>
      <c r="AI3163" s="3" t="n">
        <v>29177798.072812</v>
      </c>
      <c r="AJ3163" s="3" t="n">
        <v>30298135.640089</v>
      </c>
      <c r="AK3163" s="3" t="n">
        <v>31441321.273886</v>
      </c>
      <c r="AL3163" s="3" t="n">
        <v>32630949.621154</v>
      </c>
      <c r="AM3163" s="3" t="n"/>
      <c r="AN3163" s="3" t="n"/>
      <c r="AO3163" s="3" t="n"/>
      <c r="AP3163" s="3" t="n"/>
      <c r="AQ3163" s="3" t="n"/>
      <c r="AR3163" s="3" t="n"/>
      <c r="AS3163" s="3" t="n"/>
      <c r="AT3163" s="3" t="n"/>
      <c r="AU3163" s="3" t="n"/>
    </row>
    <row r="3164">
      <c r="A3164" s="3" t="n">
        <v>2031</v>
      </c>
      <c r="B3164" s="3" t="inlineStr">
        <is>
          <t>UZB</t>
        </is>
      </c>
      <c r="C3164" s="3" t="inlineStr">
        <is>
          <t>IMF.RES:WEO</t>
        </is>
      </c>
      <c r="D3164" s="3" t="inlineStr">
        <is>
          <t>UZB.PCPI.A</t>
        </is>
      </c>
      <c r="E3164" s="3" t="inlineStr">
        <is>
          <t>Uzbekistan, Republic of</t>
        </is>
      </c>
      <c r="F3164" s="3" t="inlineStr">
        <is>
          <t>All Items, Consumer price index (CPI), Period average</t>
        </is>
      </c>
      <c r="G3164" s="3" t="n">
        <v>8.225731</v>
      </c>
      <c r="H3164" s="3" t="n">
        <v>10.467317</v>
      </c>
      <c r="I3164" s="3" t="n">
        <v>13.323911</v>
      </c>
      <c r="J3164" s="3" t="n">
        <v>14.988646</v>
      </c>
      <c r="K3164" s="3" t="n">
        <v>16.086612</v>
      </c>
      <c r="L3164" s="3" t="n">
        <v>17.808405</v>
      </c>
      <c r="M3164" s="3" t="n">
        <v>20.142941</v>
      </c>
      <c r="N3164" s="3" t="n">
        <v>22.389723</v>
      </c>
      <c r="O3164" s="3" t="n">
        <v>25.328991</v>
      </c>
      <c r="P3164" s="3" t="n">
        <v>28.443994</v>
      </c>
      <c r="Q3164" s="3" t="n">
        <v>31.94371</v>
      </c>
      <c r="R3164" s="3" t="n">
        <v>35.919764</v>
      </c>
      <c r="S3164" s="3" t="n">
        <v>40.194282</v>
      </c>
      <c r="T3164" s="3" t="n">
        <v>44.896964</v>
      </c>
      <c r="U3164" s="3" t="n">
        <v>48.973189</v>
      </c>
      <c r="V3164" s="3" t="n">
        <v>53.118515</v>
      </c>
      <c r="W3164" s="3" t="n">
        <v>57.805434</v>
      </c>
      <c r="X3164" s="3" t="n">
        <v>65.826368</v>
      </c>
      <c r="Y3164" s="3" t="n">
        <v>77.36189899999999</v>
      </c>
      <c r="Z3164" s="3" t="n">
        <v>88.599284</v>
      </c>
      <c r="AA3164" s="3" t="n">
        <v>100</v>
      </c>
      <c r="AB3164" s="3" t="n">
        <v>110.84924</v>
      </c>
      <c r="AC3164" s="3" t="n">
        <v>123.537757</v>
      </c>
      <c r="AD3164" s="3" t="n">
        <v>135.837905</v>
      </c>
      <c r="AE3164" s="3" t="n">
        <v>148.913175</v>
      </c>
      <c r="AF3164" s="3" t="n">
        <v>162.012388</v>
      </c>
      <c r="AG3164" s="3" t="n">
        <v>173.383307</v>
      </c>
      <c r="AH3164" s="3" t="n">
        <v>183.041141</v>
      </c>
      <c r="AI3164" s="3" t="n">
        <v>192.175095</v>
      </c>
      <c r="AJ3164" s="3" t="n">
        <v>201.835101</v>
      </c>
      <c r="AK3164" s="3" t="n">
        <v>211.972107</v>
      </c>
      <c r="AL3164" s="3" t="n">
        <v>222.570712</v>
      </c>
      <c r="AM3164" s="3" t="n"/>
      <c r="AN3164" s="3" t="n"/>
      <c r="AO3164" s="3" t="n"/>
      <c r="AP3164" s="3" t="n"/>
      <c r="AQ3164" s="3" t="n"/>
      <c r="AR3164" s="3" t="n"/>
      <c r="AS3164" s="3" t="n"/>
      <c r="AT3164" s="3" t="n"/>
      <c r="AU3164" s="3" t="n"/>
    </row>
    <row r="3165">
      <c r="A3165" s="3" t="n">
        <v>2031</v>
      </c>
      <c r="B3165" s="3" t="inlineStr">
        <is>
          <t>UZB</t>
        </is>
      </c>
      <c r="C3165" s="3" t="inlineStr">
        <is>
          <t>IMF.RES:WEO</t>
        </is>
      </c>
      <c r="D3165" s="3" t="inlineStr">
        <is>
          <t>UZB.PCPIPCH.A</t>
        </is>
      </c>
      <c r="E3165" s="3" t="inlineStr">
        <is>
          <t>Uzbekistan, Republic of</t>
        </is>
      </c>
      <c r="F3165" s="3" t="inlineStr">
        <is>
          <t>All Items, Consumer price index (CPI), Period average, percent change</t>
        </is>
      </c>
      <c r="G3165" s="3" t="n">
        <v>25.006392</v>
      </c>
      <c r="H3165" s="3" t="n">
        <v>27.250912</v>
      </c>
      <c r="I3165" s="3" t="n">
        <v>27.290601</v>
      </c>
      <c r="J3165" s="3" t="n">
        <v>12.494346</v>
      </c>
      <c r="K3165" s="3" t="n">
        <v>7.325315</v>
      </c>
      <c r="L3165" s="3" t="n">
        <v>10.703266</v>
      </c>
      <c r="M3165" s="3" t="n">
        <v>13.10918</v>
      </c>
      <c r="N3165" s="3" t="n">
        <v>11.154194</v>
      </c>
      <c r="O3165" s="3" t="n">
        <v>13.127753</v>
      </c>
      <c r="P3165" s="3" t="n">
        <v>12.298173</v>
      </c>
      <c r="Q3165" s="3" t="n">
        <v>12.303884</v>
      </c>
      <c r="R3165" s="3" t="n">
        <v>12.447064</v>
      </c>
      <c r="S3165" s="3" t="n">
        <v>11.900184</v>
      </c>
      <c r="T3165" s="3" t="n">
        <v>11.699878</v>
      </c>
      <c r="U3165" s="3" t="n">
        <v>9.079065999999999</v>
      </c>
      <c r="V3165" s="3" t="n">
        <v>8.464479000000001</v>
      </c>
      <c r="W3165" s="3" t="n">
        <v>8.823513</v>
      </c>
      <c r="X3165" s="3" t="n">
        <v>13.875743</v>
      </c>
      <c r="Y3165" s="3" t="n">
        <v>17.52418</v>
      </c>
      <c r="Z3165" s="3" t="n">
        <v>14.525736</v>
      </c>
      <c r="AA3165" s="3" t="n">
        <v>12.86773</v>
      </c>
      <c r="AB3165" s="3" t="n">
        <v>10.84924</v>
      </c>
      <c r="AC3165" s="3" t="n">
        <v>11.446644</v>
      </c>
      <c r="AD3165" s="3" t="n">
        <v>9.95659</v>
      </c>
      <c r="AE3165" s="3" t="n">
        <v>9.625641999999999</v>
      </c>
      <c r="AF3165" s="3" t="n">
        <v>8.796544000000001</v>
      </c>
      <c r="AG3165" s="3" t="n">
        <v>7.018549</v>
      </c>
      <c r="AH3165" s="3" t="n">
        <v>5.570221</v>
      </c>
      <c r="AI3165" s="3" t="n">
        <v>4.99011</v>
      </c>
      <c r="AJ3165" s="3" t="n">
        <v>5.026669</v>
      </c>
      <c r="AK3165" s="3" t="n">
        <v>5.02242</v>
      </c>
      <c r="AL3165" s="3" t="n">
        <v>5</v>
      </c>
      <c r="AM3165" s="3" t="n"/>
      <c r="AN3165" s="3" t="n"/>
      <c r="AO3165" s="3" t="n"/>
      <c r="AP3165" s="3" t="n"/>
      <c r="AQ3165" s="3" t="n"/>
      <c r="AR3165" s="3" t="n"/>
      <c r="AS3165" s="3" t="n"/>
      <c r="AT3165" s="3" t="n"/>
      <c r="AU3165" s="3" t="n"/>
    </row>
    <row r="3166">
      <c r="A3166" s="3" t="n">
        <v>2031</v>
      </c>
      <c r="B3166" s="3" t="inlineStr">
        <is>
          <t>UZB</t>
        </is>
      </c>
      <c r="C3166" s="3" t="inlineStr">
        <is>
          <t>IMF.RES:WEO</t>
        </is>
      </c>
      <c r="D3166" s="3" t="inlineStr">
        <is>
          <t>UZB.PPPPC.A</t>
        </is>
      </c>
      <c r="E3166" s="3" t="inlineStr">
        <is>
          <t>Uzbekistan, Republic of</t>
        </is>
      </c>
      <c r="F3166" s="3" t="inlineStr">
        <is>
          <t>Gross domestic product (GDP), Per capita, purchasing power parity (PPP) international dollar, ICP benchmarks 2017-2021</t>
        </is>
      </c>
      <c r="G3166" s="3" t="n">
        <v>2342.827766</v>
      </c>
      <c r="H3166" s="3" t="n">
        <v>2463.4585</v>
      </c>
      <c r="I3166" s="3" t="n">
        <v>2570.453706</v>
      </c>
      <c r="J3166" s="3" t="n">
        <v>2697.766768</v>
      </c>
      <c r="K3166" s="3" t="n">
        <v>2942.960572</v>
      </c>
      <c r="L3166" s="3" t="n">
        <v>3208.536</v>
      </c>
      <c r="M3166" s="3" t="n">
        <v>3516.168849</v>
      </c>
      <c r="N3166" s="3" t="n">
        <v>3902.445577</v>
      </c>
      <c r="O3166" s="3" t="n">
        <v>4270.203575</v>
      </c>
      <c r="P3166" s="3" t="n">
        <v>4566.760434</v>
      </c>
      <c r="Q3166" s="3" t="n">
        <v>4892.837938</v>
      </c>
      <c r="R3166" s="3" t="n">
        <v>5191.654758</v>
      </c>
      <c r="S3166" s="3" t="n">
        <v>5594.388109</v>
      </c>
      <c r="T3166" s="3" t="n">
        <v>6050.633951</v>
      </c>
      <c r="U3166" s="3" t="n">
        <v>6522.3016</v>
      </c>
      <c r="V3166" s="3" t="n">
        <v>6984.493501</v>
      </c>
      <c r="W3166" s="3" t="n">
        <v>7392.324566</v>
      </c>
      <c r="X3166" s="3" t="n">
        <v>7744.670467</v>
      </c>
      <c r="Y3166" s="3" t="n">
        <v>8418.290974</v>
      </c>
      <c r="Z3166" s="3" t="n">
        <v>8662.227924000001</v>
      </c>
      <c r="AA3166" s="3" t="n">
        <v>8669.291069000001</v>
      </c>
      <c r="AB3166" s="3" t="n">
        <v>9422.83403</v>
      </c>
      <c r="AC3166" s="3" t="n">
        <v>10483.294652</v>
      </c>
      <c r="AD3166" s="3" t="n">
        <v>11314.432231</v>
      </c>
      <c r="AE3166" s="3" t="n">
        <v>12124.513625</v>
      </c>
      <c r="AF3166" s="3" t="n">
        <v>13184.929511</v>
      </c>
      <c r="AG3166" s="3" t="n">
        <v>14178.732797</v>
      </c>
      <c r="AH3166" s="3" t="n">
        <v>15061.514507</v>
      </c>
      <c r="AI3166" s="3" t="n">
        <v>15898.720655</v>
      </c>
      <c r="AJ3166" s="3" t="n">
        <v>16802.73374</v>
      </c>
      <c r="AK3166" s="3" t="n">
        <v>17757.125826</v>
      </c>
      <c r="AL3166" s="3" t="n">
        <v>18761.691571</v>
      </c>
      <c r="AM3166" s="3" t="n"/>
      <c r="AN3166" s="3" t="n"/>
      <c r="AO3166" s="3" t="n"/>
      <c r="AP3166" s="3" t="n"/>
      <c r="AQ3166" s="3" t="n"/>
      <c r="AR3166" s="3" t="n"/>
      <c r="AS3166" s="3" t="n"/>
      <c r="AT3166" s="3" t="n"/>
      <c r="AU3166" s="3" t="n"/>
    </row>
    <row r="3167">
      <c r="A3167" s="3" t="n">
        <v>2025</v>
      </c>
      <c r="B3167" s="3" t="inlineStr">
        <is>
          <t>UZB</t>
        </is>
      </c>
      <c r="C3167" s="3" t="inlineStr">
        <is>
          <t>IMF.STA:ER</t>
        </is>
      </c>
      <c r="D3167" s="3" t="inlineStr">
        <is>
          <t>UZB.XDC_USD.PA_RT.A</t>
        </is>
      </c>
      <c r="E3167" s="3" t="inlineStr">
        <is>
          <t>Uzbekistan, Republic of</t>
        </is>
      </c>
      <c r="F3167" s="3" t="inlineStr">
        <is>
          <t>Domestic currency per US Dollar</t>
        </is>
      </c>
      <c r="G3167" s="3" t="n">
        <v>236.608333333333</v>
      </c>
      <c r="H3167" s="3" t="n"/>
      <c r="I3167" s="3" t="n"/>
      <c r="J3167" s="3" t="n"/>
      <c r="K3167" s="3" t="n"/>
      <c r="L3167" s="3" t="n"/>
      <c r="M3167" s="3" t="n"/>
      <c r="N3167" s="3" t="n"/>
      <c r="O3167" s="3" t="n"/>
      <c r="P3167" s="3" t="n"/>
      <c r="Q3167" s="3" t="n"/>
      <c r="R3167" s="3" t="n"/>
      <c r="S3167" s="3" t="n"/>
      <c r="T3167" s="3" t="n">
        <v>2094.98846505376</v>
      </c>
      <c r="U3167" s="3" t="n">
        <v>2310.94815880696</v>
      </c>
      <c r="V3167" s="3" t="n">
        <v>2567.98721339827</v>
      </c>
      <c r="W3167" s="3" t="n">
        <v>2965.25349937684</v>
      </c>
      <c r="X3167" s="3" t="n">
        <v>5113.87894595717</v>
      </c>
      <c r="Y3167" s="3" t="n">
        <v>8069.60623655914</v>
      </c>
      <c r="Z3167" s="3" t="n">
        <v>8836.7875</v>
      </c>
      <c r="AA3167" s="3" t="n">
        <v>10054.2613341653</v>
      </c>
      <c r="AB3167" s="3" t="n">
        <v>10609.464390809</v>
      </c>
      <c r="AC3167" s="3" t="n">
        <v>11050.145422363</v>
      </c>
      <c r="AD3167" s="3" t="n">
        <v>11734.8334198668</v>
      </c>
      <c r="AE3167" s="3" t="n">
        <v>12652.2868209739</v>
      </c>
      <c r="AF3167" s="3" t="n">
        <v>12579.3943476702</v>
      </c>
      <c r="AG3167" s="3" t="n"/>
      <c r="AH3167" s="3" t="n"/>
      <c r="AI3167" s="3" t="n"/>
      <c r="AJ3167" s="3" t="n"/>
      <c r="AK3167" s="3" t="n"/>
      <c r="AL3167" s="3" t="n"/>
      <c r="AM3167" s="3" t="n"/>
      <c r="AN3167" s="3" t="n"/>
      <c r="AO3167" s="3" t="n"/>
      <c r="AP3167" s="3" t="n"/>
      <c r="AQ3167" s="3" t="n"/>
      <c r="AR3167" s="3" t="n"/>
      <c r="AS3167" s="3" t="n"/>
      <c r="AT3167" s="3" t="n"/>
      <c r="AU3167" s="3" t="n"/>
    </row>
    <row r="3168">
      <c r="A3168" s="3" t="n">
        <v>2031</v>
      </c>
      <c r="B3168" s="3" t="inlineStr">
        <is>
          <t>VCT</t>
        </is>
      </c>
      <c r="C3168" s="3" t="inlineStr">
        <is>
          <t>IMF.RES:WEO</t>
        </is>
      </c>
      <c r="D3168" s="3" t="inlineStr">
        <is>
          <t>VCT.BCA.A</t>
        </is>
      </c>
      <c r="E3168" s="3" t="inlineStr">
        <is>
          <t>St. Vincent and the Grenadines</t>
        </is>
      </c>
      <c r="F3168" s="3" t="inlineStr">
        <is>
          <t>Current account balance (credit less debit), US dollar</t>
        </is>
      </c>
      <c r="G3168" s="3" t="n"/>
      <c r="H3168" s="3" t="n"/>
      <c r="I3168" s="3" t="n"/>
      <c r="J3168" s="3" t="n"/>
      <c r="K3168" s="3" t="n"/>
      <c r="L3168" s="3" t="n"/>
      <c r="M3168" s="3" t="n"/>
      <c r="N3168" s="3" t="n"/>
      <c r="O3168" s="3" t="n"/>
      <c r="P3168" s="3" t="n"/>
      <c r="Q3168" s="3" t="n"/>
      <c r="R3168" s="3" t="n"/>
      <c r="S3168" s="3" t="n"/>
      <c r="T3168" s="3" t="n"/>
      <c r="U3168" s="3" t="n">
        <v>-0.19433</v>
      </c>
      <c r="V3168" s="3" t="n">
        <v>-0.122556</v>
      </c>
      <c r="W3168" s="3" t="n">
        <v>-0.106541</v>
      </c>
      <c r="X3168" s="3" t="n">
        <v>-0.100393</v>
      </c>
      <c r="Y3168" s="3" t="n">
        <v>-0.09112199999999999</v>
      </c>
      <c r="Z3168" s="3" t="n">
        <v>-0.021748</v>
      </c>
      <c r="AA3168" s="3" t="n">
        <v>-0.137415</v>
      </c>
      <c r="AB3168" s="3" t="n">
        <v>-0.20627</v>
      </c>
      <c r="AC3168" s="3" t="n">
        <v>-0.198819</v>
      </c>
      <c r="AD3168" s="3" t="n">
        <v>-0.190637</v>
      </c>
      <c r="AE3168" s="3" t="n">
        <v>-0.193085</v>
      </c>
      <c r="AF3168" s="3" t="n">
        <v>-0.237241</v>
      </c>
      <c r="AG3168" s="3" t="n">
        <v>-0.245281</v>
      </c>
      <c r="AH3168" s="3" t="n">
        <v>-0.221575</v>
      </c>
      <c r="AI3168" s="3" t="n">
        <v>-0.21993</v>
      </c>
      <c r="AJ3168" s="3" t="n">
        <v>-0.223036</v>
      </c>
      <c r="AK3168" s="3" t="n">
        <v>-0.236926</v>
      </c>
      <c r="AL3168" s="3" t="n">
        <v>-0.250745</v>
      </c>
      <c r="AM3168" s="3" t="n"/>
      <c r="AN3168" s="3" t="n"/>
      <c r="AO3168" s="3" t="n"/>
      <c r="AP3168" s="3" t="n"/>
      <c r="AQ3168" s="3" t="n"/>
      <c r="AR3168" s="3" t="n"/>
      <c r="AS3168" s="3" t="n"/>
      <c r="AT3168" s="3" t="n"/>
      <c r="AU3168" s="3" t="n"/>
    </row>
    <row r="3169">
      <c r="A3169" s="3" t="n">
        <v>2031</v>
      </c>
      <c r="B3169" s="3" t="inlineStr">
        <is>
          <t>VCT</t>
        </is>
      </c>
      <c r="C3169" s="3" t="inlineStr">
        <is>
          <t>IMF.RES:WEO</t>
        </is>
      </c>
      <c r="D3169" s="3" t="inlineStr">
        <is>
          <t>VCT.BCA_NGDPD.A</t>
        </is>
      </c>
      <c r="E3169" s="3" t="inlineStr">
        <is>
          <t>St. Vincent and the Grenadines</t>
        </is>
      </c>
      <c r="F3169" s="3" t="inlineStr">
        <is>
          <t>Current account balance (credit less debit), Percent of GDP</t>
        </is>
      </c>
      <c r="G3169" s="3" t="n"/>
      <c r="H3169" s="3" t="n"/>
      <c r="I3169" s="3" t="n"/>
      <c r="J3169" s="3" t="n"/>
      <c r="K3169" s="3" t="n"/>
      <c r="L3169" s="3" t="n"/>
      <c r="M3169" s="3" t="n"/>
      <c r="N3169" s="3" t="n"/>
      <c r="O3169" s="3" t="n"/>
      <c r="P3169" s="3" t="n"/>
      <c r="Q3169" s="3" t="n"/>
      <c r="R3169" s="3" t="n"/>
      <c r="S3169" s="3" t="n"/>
      <c r="T3169" s="3" t="n"/>
      <c r="U3169" s="3" t="n">
        <v>-25.208103</v>
      </c>
      <c r="V3169" s="3" t="n">
        <v>-15.581316</v>
      </c>
      <c r="W3169" s="3" t="n">
        <v>-13.083685</v>
      </c>
      <c r="X3169" s="3" t="n">
        <v>-11.894306</v>
      </c>
      <c r="Y3169" s="3" t="n">
        <v>-10.304118</v>
      </c>
      <c r="Z3169" s="3" t="n">
        <v>-2.388641</v>
      </c>
      <c r="AA3169" s="3" t="n">
        <v>-15.909126</v>
      </c>
      <c r="AB3169" s="3" t="n">
        <v>-23.222857</v>
      </c>
      <c r="AC3169" s="3" t="n">
        <v>-20.498596</v>
      </c>
      <c r="AD3169" s="3" t="n">
        <v>-18.208489</v>
      </c>
      <c r="AE3169" s="3" t="n">
        <v>-17.140588</v>
      </c>
      <c r="AF3169" s="3" t="n">
        <v>-20.17277</v>
      </c>
      <c r="AG3169" s="3" t="n">
        <v>-19.84728</v>
      </c>
      <c r="AH3169" s="3" t="n">
        <v>-17.115706</v>
      </c>
      <c r="AI3169" s="3" t="n">
        <v>-16.219363</v>
      </c>
      <c r="AJ3169" s="3" t="n">
        <v>-15.703654</v>
      </c>
      <c r="AK3169" s="3" t="n">
        <v>-15.926249</v>
      </c>
      <c r="AL3169" s="3" t="n">
        <v>-16.092025</v>
      </c>
      <c r="AM3169" s="3" t="n"/>
      <c r="AN3169" s="3" t="n"/>
      <c r="AO3169" s="3" t="n"/>
      <c r="AP3169" s="3" t="n"/>
      <c r="AQ3169" s="3" t="n"/>
      <c r="AR3169" s="3" t="n"/>
      <c r="AS3169" s="3" t="n"/>
      <c r="AT3169" s="3" t="n"/>
      <c r="AU3169" s="3" t="n"/>
    </row>
    <row r="3170">
      <c r="A3170" s="3" t="n">
        <v>2031</v>
      </c>
      <c r="B3170" s="3" t="inlineStr">
        <is>
          <t>VCT</t>
        </is>
      </c>
      <c r="C3170" s="3" t="inlineStr">
        <is>
          <t>IMF.RES:WEO</t>
        </is>
      </c>
      <c r="D3170" s="3" t="inlineStr">
        <is>
          <t>VCT.GGR_NGDP.A</t>
        </is>
      </c>
      <c r="E3170" s="3" t="inlineStr">
        <is>
          <t>St. Vincent and the Grenadines</t>
        </is>
      </c>
      <c r="F3170" s="3" t="inlineStr">
        <is>
          <t>Revenue, General government, Percent of GDP</t>
        </is>
      </c>
      <c r="G3170" s="3" t="n">
        <v>22.967589</v>
      </c>
      <c r="H3170" s="3" t="n">
        <v>22.801593</v>
      </c>
      <c r="I3170" s="3" t="n">
        <v>23.712143</v>
      </c>
      <c r="J3170" s="3" t="n">
        <v>23.475489</v>
      </c>
      <c r="K3170" s="3" t="n">
        <v>22.144025</v>
      </c>
      <c r="L3170" s="3" t="n">
        <v>22.40249</v>
      </c>
      <c r="M3170" s="3" t="n">
        <v>22.95087</v>
      </c>
      <c r="N3170" s="3" t="n">
        <v>24.051555</v>
      </c>
      <c r="O3170" s="3" t="n">
        <v>27.025863</v>
      </c>
      <c r="P3170" s="3" t="n">
        <v>28.170939</v>
      </c>
      <c r="Q3170" s="3" t="n">
        <v>27.357563</v>
      </c>
      <c r="R3170" s="3" t="n">
        <v>25.875667</v>
      </c>
      <c r="S3170" s="3" t="n">
        <v>24.540036</v>
      </c>
      <c r="T3170" s="3" t="n">
        <v>23.662059</v>
      </c>
      <c r="U3170" s="3" t="n">
        <v>27.609282</v>
      </c>
      <c r="V3170" s="3" t="n">
        <v>25.574785</v>
      </c>
      <c r="W3170" s="3" t="n">
        <v>27.091907</v>
      </c>
      <c r="X3170" s="3" t="n">
        <v>25.080009</v>
      </c>
      <c r="Y3170" s="3" t="n">
        <v>24.642726</v>
      </c>
      <c r="Z3170" s="3" t="n">
        <v>25.684481</v>
      </c>
      <c r="AA3170" s="3" t="n">
        <v>26.983713</v>
      </c>
      <c r="AB3170" s="3" t="n">
        <v>29.983453</v>
      </c>
      <c r="AC3170" s="3" t="n">
        <v>27.251411</v>
      </c>
      <c r="AD3170" s="3" t="n">
        <v>27.233359</v>
      </c>
      <c r="AE3170" s="3" t="n">
        <v>27.877847</v>
      </c>
      <c r="AF3170" s="3" t="n">
        <v>28.707358</v>
      </c>
      <c r="AG3170" s="3" t="n">
        <v>28.479968</v>
      </c>
      <c r="AH3170" s="3" t="n">
        <v>28.479968</v>
      </c>
      <c r="AI3170" s="3" t="n">
        <v>28.479968</v>
      </c>
      <c r="AJ3170" s="3" t="n">
        <v>28.479968</v>
      </c>
      <c r="AK3170" s="3" t="n">
        <v>28.479968</v>
      </c>
      <c r="AL3170" s="3" t="n">
        <v>28.479968</v>
      </c>
      <c r="AM3170" s="3" t="n"/>
      <c r="AN3170" s="3" t="n"/>
      <c r="AO3170" s="3" t="n"/>
      <c r="AP3170" s="3" t="n"/>
      <c r="AQ3170" s="3" t="n"/>
      <c r="AR3170" s="3" t="n"/>
      <c r="AS3170" s="3" t="n"/>
      <c r="AT3170" s="3" t="n"/>
      <c r="AU3170" s="3" t="n"/>
    </row>
    <row r="3171">
      <c r="A3171" s="3" t="n">
        <v>2031</v>
      </c>
      <c r="B3171" s="3" t="inlineStr">
        <is>
          <t>VCT</t>
        </is>
      </c>
      <c r="C3171" s="3" t="inlineStr">
        <is>
          <t>IMF.RES:WEO</t>
        </is>
      </c>
      <c r="D3171" s="3" t="inlineStr">
        <is>
          <t>VCT.GGX_NGDP.A</t>
        </is>
      </c>
      <c r="E3171" s="3" t="inlineStr">
        <is>
          <t>St. Vincent and the Grenadines</t>
        </is>
      </c>
      <c r="F3171" s="3" t="inlineStr">
        <is>
          <t>Expenditure, General government, Percent of GDP</t>
        </is>
      </c>
      <c r="G3171" s="3" t="n">
        <v>23.783199</v>
      </c>
      <c r="H3171" s="3" t="n">
        <v>24.396855</v>
      </c>
      <c r="I3171" s="3" t="n">
        <v>25.710757</v>
      </c>
      <c r="J3171" s="3" t="n">
        <v>25.980953</v>
      </c>
      <c r="K3171" s="3" t="n">
        <v>24.852425</v>
      </c>
      <c r="L3171" s="3" t="n">
        <v>26.70133</v>
      </c>
      <c r="M3171" s="3" t="n">
        <v>26.074085</v>
      </c>
      <c r="N3171" s="3" t="n">
        <v>27.120745</v>
      </c>
      <c r="O3171" s="3" t="n">
        <v>28.31909</v>
      </c>
      <c r="P3171" s="3" t="n">
        <v>31.021955</v>
      </c>
      <c r="Q3171" s="3" t="n">
        <v>31.05251</v>
      </c>
      <c r="R3171" s="3" t="n">
        <v>29.37299</v>
      </c>
      <c r="S3171" s="3" t="n">
        <v>26.340373</v>
      </c>
      <c r="T3171" s="3" t="n">
        <v>29.479314</v>
      </c>
      <c r="U3171" s="3" t="n">
        <v>30.43037</v>
      </c>
      <c r="V3171" s="3" t="n">
        <v>27.587567</v>
      </c>
      <c r="W3171" s="3" t="n">
        <v>27.05233</v>
      </c>
      <c r="X3171" s="3" t="n">
        <v>26.641662</v>
      </c>
      <c r="Y3171" s="3" t="n">
        <v>26.288557</v>
      </c>
      <c r="Z3171" s="3" t="n">
        <v>29.133572</v>
      </c>
      <c r="AA3171" s="3" t="n">
        <v>32.90639</v>
      </c>
      <c r="AB3171" s="3" t="n">
        <v>37.171519</v>
      </c>
      <c r="AC3171" s="3" t="n">
        <v>36.603646</v>
      </c>
      <c r="AD3171" s="3" t="n">
        <v>39.746066</v>
      </c>
      <c r="AE3171" s="3" t="n">
        <v>43.897445</v>
      </c>
      <c r="AF3171" s="3" t="n">
        <v>41.035213</v>
      </c>
      <c r="AG3171" s="3" t="n">
        <v>40.581462</v>
      </c>
      <c r="AH3171" s="3" t="n">
        <v>39.561743</v>
      </c>
      <c r="AI3171" s="3" t="n">
        <v>38.712659</v>
      </c>
      <c r="AJ3171" s="3" t="n">
        <v>37.874359</v>
      </c>
      <c r="AK3171" s="3" t="n">
        <v>37.999001</v>
      </c>
      <c r="AL3171" s="3" t="n">
        <v>38.122421</v>
      </c>
      <c r="AM3171" s="3" t="n"/>
      <c r="AN3171" s="3" t="n"/>
      <c r="AO3171" s="3" t="n"/>
      <c r="AP3171" s="3" t="n"/>
      <c r="AQ3171" s="3" t="n"/>
      <c r="AR3171" s="3" t="n"/>
      <c r="AS3171" s="3" t="n"/>
      <c r="AT3171" s="3" t="n"/>
      <c r="AU3171" s="3" t="n"/>
    </row>
    <row r="3172">
      <c r="A3172" s="3" t="n">
        <v>2031</v>
      </c>
      <c r="B3172" s="3" t="inlineStr">
        <is>
          <t>VCT</t>
        </is>
      </c>
      <c r="C3172" s="3" t="inlineStr">
        <is>
          <t>IMF.RES:WEO</t>
        </is>
      </c>
      <c r="D3172" s="3" t="inlineStr">
        <is>
          <t>VCT.LP.A</t>
        </is>
      </c>
      <c r="E3172" s="3" t="inlineStr">
        <is>
          <t>St. Vincent and the Grenadines</t>
        </is>
      </c>
      <c r="F3172" s="3" t="inlineStr">
        <is>
          <t>Population, Persons for countries / Index for country groups</t>
        </is>
      </c>
      <c r="G3172" s="3" t="n">
        <v>0.107701</v>
      </c>
      <c r="H3172" s="3" t="n">
        <v>0.107835</v>
      </c>
      <c r="I3172" s="3" t="n">
        <v>0.107958</v>
      </c>
      <c r="J3172" s="3" t="n">
        <v>0.108081</v>
      </c>
      <c r="K3172" s="3" t="n">
        <v>0.108204</v>
      </c>
      <c r="L3172" s="3" t="n">
        <v>0.108327</v>
      </c>
      <c r="M3172" s="3" t="n">
        <v>0.10845</v>
      </c>
      <c r="N3172" s="3" t="n">
        <v>0.108573</v>
      </c>
      <c r="O3172" s="3" t="n">
        <v>0.108696</v>
      </c>
      <c r="P3172" s="3" t="n">
        <v>0.108819</v>
      </c>
      <c r="Q3172" s="3" t="n">
        <v>0.108942</v>
      </c>
      <c r="R3172" s="3" t="n">
        <v>0.109065</v>
      </c>
      <c r="S3172" s="3" t="n">
        <v>0.109188</v>
      </c>
      <c r="T3172" s="3" t="n">
        <v>0.109437</v>
      </c>
      <c r="U3172" s="3" t="n">
        <v>0.109685</v>
      </c>
      <c r="V3172" s="3" t="n">
        <v>0.109934</v>
      </c>
      <c r="W3172" s="3" t="n">
        <v>0.110183</v>
      </c>
      <c r="X3172" s="3" t="n">
        <v>0.110431</v>
      </c>
      <c r="Y3172" s="3" t="n">
        <v>0.11052</v>
      </c>
      <c r="Z3172" s="3" t="n">
        <v>0.110608</v>
      </c>
      <c r="AA3172" s="3" t="n">
        <v>0.110696</v>
      </c>
      <c r="AB3172" s="3" t="n">
        <v>0.110784</v>
      </c>
      <c r="AC3172" s="3" t="n">
        <v>0.110872</v>
      </c>
      <c r="AD3172" s="3" t="n">
        <v>0.110993</v>
      </c>
      <c r="AE3172" s="3" t="n">
        <v>0.111114</v>
      </c>
      <c r="AF3172" s="3" t="n">
        <v>0.111235</v>
      </c>
      <c r="AG3172" s="3" t="n">
        <v>0.111356</v>
      </c>
      <c r="AH3172" s="3" t="n">
        <v>0.111477</v>
      </c>
      <c r="AI3172" s="3" t="n">
        <v>0.111598</v>
      </c>
      <c r="AJ3172" s="3" t="n">
        <v>0.11172</v>
      </c>
      <c r="AK3172" s="3" t="n">
        <v>0.111841</v>
      </c>
      <c r="AL3172" s="3" t="n">
        <v>0.111963</v>
      </c>
      <c r="AM3172" s="3" t="n"/>
      <c r="AN3172" s="3" t="n"/>
      <c r="AO3172" s="3" t="n"/>
      <c r="AP3172" s="3" t="n"/>
      <c r="AQ3172" s="3" t="n"/>
      <c r="AR3172" s="3" t="n"/>
      <c r="AS3172" s="3" t="n"/>
      <c r="AT3172" s="3" t="n"/>
      <c r="AU3172" s="3" t="n"/>
    </row>
    <row r="3173">
      <c r="A3173" s="3" t="n">
        <v>2031</v>
      </c>
      <c r="B3173" s="3" t="inlineStr">
        <is>
          <t>VCT</t>
        </is>
      </c>
      <c r="C3173" s="3" t="inlineStr">
        <is>
          <t>IMF.RES:WEO</t>
        </is>
      </c>
      <c r="D3173" s="3" t="inlineStr">
        <is>
          <t>VCT.NGDP.A</t>
        </is>
      </c>
      <c r="E3173" s="3" t="inlineStr">
        <is>
          <t>St. Vincent and the Grenadines</t>
        </is>
      </c>
      <c r="F3173" s="3" t="inlineStr">
        <is>
          <t>Gross domestic product (GDP), Current prices, Domestic currency</t>
        </is>
      </c>
      <c r="G3173" s="3" t="n">
        <v>1.155454</v>
      </c>
      <c r="H3173" s="3" t="n">
        <v>1.247595</v>
      </c>
      <c r="I3173" s="3" t="n">
        <v>1.316962</v>
      </c>
      <c r="J3173" s="3" t="n">
        <v>1.374545</v>
      </c>
      <c r="K3173" s="3" t="n">
        <v>1.48473</v>
      </c>
      <c r="L3173" s="3" t="n">
        <v>1.565862</v>
      </c>
      <c r="M3173" s="3" t="n">
        <v>1.737453</v>
      </c>
      <c r="N3173" s="3" t="n">
        <v>1.926711</v>
      </c>
      <c r="O3173" s="3" t="n">
        <v>1.978191</v>
      </c>
      <c r="P3173" s="3" t="n">
        <v>1.928611</v>
      </c>
      <c r="Q3173" s="3" t="n">
        <v>1.945209</v>
      </c>
      <c r="R3173" s="3" t="n">
        <v>1.92725</v>
      </c>
      <c r="S3173" s="3" t="n">
        <v>1.971088</v>
      </c>
      <c r="T3173" s="3" t="n">
        <v>2.064909</v>
      </c>
      <c r="U3173" s="3" t="n">
        <v>2.081434</v>
      </c>
      <c r="V3173" s="3" t="n">
        <v>2.123697</v>
      </c>
      <c r="W3173" s="3" t="n">
        <v>2.198616</v>
      </c>
      <c r="X3173" s="3" t="n">
        <v>2.278905</v>
      </c>
      <c r="Y3173" s="3" t="n">
        <v>2.387686</v>
      </c>
      <c r="Z3173" s="3" t="n">
        <v>2.458301</v>
      </c>
      <c r="AA3173" s="3" t="n">
        <v>2.332121</v>
      </c>
      <c r="AB3173" s="3" t="n">
        <v>2.398198</v>
      </c>
      <c r="AC3173" s="3" t="n">
        <v>2.618765</v>
      </c>
      <c r="AD3173" s="3" t="n">
        <v>2.826813</v>
      </c>
      <c r="AE3173" s="3" t="n">
        <v>3.041494</v>
      </c>
      <c r="AF3173" s="3" t="n">
        <v>3.17532</v>
      </c>
      <c r="AG3173" s="3" t="n">
        <v>3.336775</v>
      </c>
      <c r="AH3173" s="3" t="n">
        <v>3.495348</v>
      </c>
      <c r="AI3173" s="3" t="n">
        <v>3.661123</v>
      </c>
      <c r="AJ3173" s="3" t="n">
        <v>3.83476</v>
      </c>
      <c r="AK3173" s="3" t="n">
        <v>4.016633</v>
      </c>
      <c r="AL3173" s="3" t="n">
        <v>4.207131</v>
      </c>
      <c r="AM3173" s="3" t="n"/>
      <c r="AN3173" s="3" t="n"/>
      <c r="AO3173" s="3" t="n"/>
      <c r="AP3173" s="3" t="n"/>
      <c r="AQ3173" s="3" t="n"/>
      <c r="AR3173" s="3" t="n"/>
      <c r="AS3173" s="3" t="n"/>
      <c r="AT3173" s="3" t="n"/>
      <c r="AU3173" s="3" t="n"/>
    </row>
    <row r="3174">
      <c r="A3174" s="3" t="n">
        <v>2031</v>
      </c>
      <c r="B3174" s="3" t="inlineStr">
        <is>
          <t>VCT</t>
        </is>
      </c>
      <c r="C3174" s="3" t="inlineStr">
        <is>
          <t>IMF.RES:WEO</t>
        </is>
      </c>
      <c r="D3174" s="3" t="inlineStr">
        <is>
          <t>VCT.NGDP_D.A</t>
        </is>
      </c>
      <c r="E3174" s="3" t="inlineStr">
        <is>
          <t>St. Vincent and the Grenadines</t>
        </is>
      </c>
      <c r="F3174" s="3" t="inlineStr">
        <is>
          <t>Gross domestic product (GDP), Price deflator, Index</t>
        </is>
      </c>
      <c r="G3174" s="3" t="n">
        <v>70.69287300000001</v>
      </c>
      <c r="H3174" s="3" t="n">
        <v>75.12294900000001</v>
      </c>
      <c r="I3174" s="3" t="n">
        <v>75.616783</v>
      </c>
      <c r="J3174" s="3" t="n">
        <v>74.36764599999999</v>
      </c>
      <c r="K3174" s="3" t="n">
        <v>77.426536</v>
      </c>
      <c r="L3174" s="3" t="n">
        <v>79.84547600000001</v>
      </c>
      <c r="M3174" s="3" t="n">
        <v>83.157934</v>
      </c>
      <c r="N3174" s="3" t="n">
        <v>89.45478199999999</v>
      </c>
      <c r="O3174" s="3" t="n">
        <v>91.452156</v>
      </c>
      <c r="P3174" s="3" t="n">
        <v>90.26504</v>
      </c>
      <c r="Q3174" s="3" t="n">
        <v>95.107995</v>
      </c>
      <c r="R3174" s="3" t="n">
        <v>94.809748</v>
      </c>
      <c r="S3174" s="3" t="n">
        <v>95.95717500000001</v>
      </c>
      <c r="T3174" s="3" t="n">
        <v>98.10870799999999</v>
      </c>
      <c r="U3174" s="3" t="n">
        <v>97.773579</v>
      </c>
      <c r="V3174" s="3" t="n">
        <v>97.055654</v>
      </c>
      <c r="W3174" s="3" t="n">
        <v>96.47619299999999</v>
      </c>
      <c r="X3174" s="3" t="n">
        <v>98.474808</v>
      </c>
      <c r="Y3174" s="3" t="n">
        <v>100</v>
      </c>
      <c r="Z3174" s="3" t="n">
        <v>102.273603</v>
      </c>
      <c r="AA3174" s="3" t="n">
        <v>101.909745</v>
      </c>
      <c r="AB3174" s="3" t="n">
        <v>102.627907</v>
      </c>
      <c r="AC3174" s="3" t="n">
        <v>106.734897</v>
      </c>
      <c r="AD3174" s="3" t="n">
        <v>110.239882</v>
      </c>
      <c r="AE3174" s="3" t="n">
        <v>113.504382</v>
      </c>
      <c r="AF3174" s="3" t="n">
        <v>114.613188</v>
      </c>
      <c r="AG3174" s="3" t="n">
        <v>116.932903</v>
      </c>
      <c r="AH3174" s="3" t="n">
        <v>119.269632</v>
      </c>
      <c r="AI3174" s="3" t="n">
        <v>121.641936</v>
      </c>
      <c r="AJ3174" s="3" t="n">
        <v>124.061426</v>
      </c>
      <c r="AK3174" s="3" t="n">
        <v>126.529041</v>
      </c>
      <c r="AL3174" s="3" t="n">
        <v>129.045737</v>
      </c>
      <c r="AM3174" s="3" t="n"/>
      <c r="AN3174" s="3" t="n"/>
      <c r="AO3174" s="3" t="n"/>
      <c r="AP3174" s="3" t="n"/>
      <c r="AQ3174" s="3" t="n"/>
      <c r="AR3174" s="3" t="n"/>
      <c r="AS3174" s="3" t="n"/>
      <c r="AT3174" s="3" t="n"/>
      <c r="AU3174" s="3" t="n"/>
    </row>
    <row r="3175">
      <c r="A3175" s="3" t="n">
        <v>2031</v>
      </c>
      <c r="B3175" s="3" t="inlineStr">
        <is>
          <t>VCT</t>
        </is>
      </c>
      <c r="C3175" s="3" t="inlineStr">
        <is>
          <t>IMF.RES:WEO</t>
        </is>
      </c>
      <c r="D3175" s="3" t="inlineStr">
        <is>
          <t>VCT.NGDP_R.A</t>
        </is>
      </c>
      <c r="E3175" s="3" t="inlineStr">
        <is>
          <t>St. Vincent and the Grenadines</t>
        </is>
      </c>
      <c r="F3175" s="3" t="inlineStr">
        <is>
          <t>Gross domestic product (GDP), Constant prices, Domestic currency</t>
        </is>
      </c>
      <c r="G3175" s="3" t="n">
        <v>1.634471</v>
      </c>
      <c r="H3175" s="3" t="n">
        <v>1.660738</v>
      </c>
      <c r="I3175" s="3" t="n">
        <v>1.741627</v>
      </c>
      <c r="J3175" s="3" t="n">
        <v>1.848311</v>
      </c>
      <c r="K3175" s="3" t="n">
        <v>1.917599</v>
      </c>
      <c r="L3175" s="3" t="n">
        <v>1.961116</v>
      </c>
      <c r="M3175" s="3" t="n">
        <v>2.089341</v>
      </c>
      <c r="N3175" s="3" t="n">
        <v>2.153838</v>
      </c>
      <c r="O3175" s="3" t="n">
        <v>2.163088</v>
      </c>
      <c r="P3175" s="3" t="n">
        <v>2.136609</v>
      </c>
      <c r="Q3175" s="3" t="n">
        <v>2.045264</v>
      </c>
      <c r="R3175" s="3" t="n">
        <v>2.032755</v>
      </c>
      <c r="S3175" s="3" t="n">
        <v>2.054133</v>
      </c>
      <c r="T3175" s="3" t="n">
        <v>2.104716</v>
      </c>
      <c r="U3175" s="3" t="n">
        <v>2.128831</v>
      </c>
      <c r="V3175" s="3" t="n">
        <v>2.188123</v>
      </c>
      <c r="W3175" s="3" t="n">
        <v>2.278921</v>
      </c>
      <c r="X3175" s="3" t="n">
        <v>2.314202</v>
      </c>
      <c r="Y3175" s="3" t="n">
        <v>2.387686</v>
      </c>
      <c r="Z3175" s="3" t="n">
        <v>2.403652</v>
      </c>
      <c r="AA3175" s="3" t="n">
        <v>2.288418</v>
      </c>
      <c r="AB3175" s="3" t="n">
        <v>2.336789</v>
      </c>
      <c r="AC3175" s="3" t="n">
        <v>2.453523</v>
      </c>
      <c r="AD3175" s="3" t="n">
        <v>2.564238</v>
      </c>
      <c r="AE3175" s="3" t="n">
        <v>2.679627</v>
      </c>
      <c r="AF3175" s="3" t="n">
        <v>2.770467</v>
      </c>
      <c r="AG3175" s="3" t="n">
        <v>2.853581</v>
      </c>
      <c r="AH3175" s="3" t="n">
        <v>2.930627</v>
      </c>
      <c r="AI3175" s="3" t="n">
        <v>3.009754</v>
      </c>
      <c r="AJ3175" s="3" t="n">
        <v>3.091017</v>
      </c>
      <c r="AK3175" s="3" t="n">
        <v>3.174475</v>
      </c>
      <c r="AL3175" s="3" t="n">
        <v>3.260186</v>
      </c>
      <c r="AM3175" s="3" t="n"/>
      <c r="AN3175" s="3" t="n"/>
      <c r="AO3175" s="3" t="n"/>
      <c r="AP3175" s="3" t="n"/>
      <c r="AQ3175" s="3" t="n"/>
      <c r="AR3175" s="3" t="n"/>
      <c r="AS3175" s="3" t="n"/>
      <c r="AT3175" s="3" t="n"/>
      <c r="AU3175" s="3" t="n"/>
    </row>
    <row r="3176">
      <c r="A3176" s="3" t="n">
        <v>2031</v>
      </c>
      <c r="B3176" s="3" t="inlineStr">
        <is>
          <t>VCT</t>
        </is>
      </c>
      <c r="C3176" s="3" t="inlineStr">
        <is>
          <t>IMF.RES:WEO</t>
        </is>
      </c>
      <c r="D3176" s="3" t="inlineStr">
        <is>
          <t>VCT.NGDP_RPCH.A</t>
        </is>
      </c>
      <c r="E3176" s="3" t="inlineStr">
        <is>
          <t>St. Vincent and the Grenadines</t>
        </is>
      </c>
      <c r="F3176" s="3" t="inlineStr">
        <is>
          <t>Gross domestic product (GDP), Constant prices, Percent change</t>
        </is>
      </c>
      <c r="G3176" s="3" t="n">
        <v>1.639033</v>
      </c>
      <c r="H3176" s="3" t="n">
        <v>1.607072</v>
      </c>
      <c r="I3176" s="3" t="n">
        <v>4.870683</v>
      </c>
      <c r="J3176" s="3" t="n">
        <v>6.125533</v>
      </c>
      <c r="K3176" s="3" t="n">
        <v>3.748715</v>
      </c>
      <c r="L3176" s="3" t="n">
        <v>2.269327</v>
      </c>
      <c r="M3176" s="3" t="n">
        <v>6.538413</v>
      </c>
      <c r="N3176" s="3" t="n">
        <v>3.086929</v>
      </c>
      <c r="O3176" s="3" t="n">
        <v>0.429481</v>
      </c>
      <c r="P3176" s="3" t="n">
        <v>-1.224155</v>
      </c>
      <c r="Q3176" s="3" t="n">
        <v>-4.275232</v>
      </c>
      <c r="R3176" s="3" t="n">
        <v>-0.611576</v>
      </c>
      <c r="S3176" s="3" t="n">
        <v>1.051661</v>
      </c>
      <c r="T3176" s="3" t="n">
        <v>2.462482</v>
      </c>
      <c r="U3176" s="3" t="n">
        <v>1.145757</v>
      </c>
      <c r="V3176" s="3" t="n">
        <v>2.785223</v>
      </c>
      <c r="W3176" s="3" t="n">
        <v>4.149565</v>
      </c>
      <c r="X3176" s="3" t="n">
        <v>1.548129</v>
      </c>
      <c r="Y3176" s="3" t="n">
        <v>3.175375</v>
      </c>
      <c r="Z3176" s="3" t="n">
        <v>0.668675</v>
      </c>
      <c r="AA3176" s="3" t="n">
        <v>-4.794134</v>
      </c>
      <c r="AB3176" s="3" t="n">
        <v>2.113745</v>
      </c>
      <c r="AC3176" s="3" t="n">
        <v>4.995471</v>
      </c>
      <c r="AD3176" s="3" t="n">
        <v>4.512526</v>
      </c>
      <c r="AE3176" s="3" t="n">
        <v>4.499923</v>
      </c>
      <c r="AF3176" s="3" t="n">
        <v>3.39</v>
      </c>
      <c r="AG3176" s="3" t="n">
        <v>3</v>
      </c>
      <c r="AH3176" s="3" t="n">
        <v>2.7</v>
      </c>
      <c r="AI3176" s="3" t="n">
        <v>2.7</v>
      </c>
      <c r="AJ3176" s="3" t="n">
        <v>2.7</v>
      </c>
      <c r="AK3176" s="3" t="n">
        <v>2.7</v>
      </c>
      <c r="AL3176" s="3" t="n">
        <v>2.7</v>
      </c>
      <c r="AM3176" s="3" t="n"/>
      <c r="AN3176" s="3" t="n"/>
      <c r="AO3176" s="3" t="n"/>
      <c r="AP3176" s="3" t="n"/>
      <c r="AQ3176" s="3" t="n"/>
      <c r="AR3176" s="3" t="n"/>
      <c r="AS3176" s="3" t="n"/>
      <c r="AT3176" s="3" t="n"/>
      <c r="AU3176" s="3" t="n"/>
    </row>
    <row r="3177">
      <c r="A3177" s="3" t="n">
        <v>2031</v>
      </c>
      <c r="B3177" s="3" t="inlineStr">
        <is>
          <t>VCT</t>
        </is>
      </c>
      <c r="C3177" s="3" t="inlineStr">
        <is>
          <t>IMF.RES:WEO</t>
        </is>
      </c>
      <c r="D3177" s="3" t="inlineStr">
        <is>
          <t>VCT.NGDPD.A</t>
        </is>
      </c>
      <c r="E3177" s="3" t="inlineStr">
        <is>
          <t>St. Vincent and the Grenadines</t>
        </is>
      </c>
      <c r="F3177" s="3" t="inlineStr">
        <is>
          <t>Gross domestic product (GDP), Current prices, US dollar</t>
        </is>
      </c>
      <c r="G3177" s="3" t="n">
        <v>0.427946</v>
      </c>
      <c r="H3177" s="3" t="n">
        <v>0.462072</v>
      </c>
      <c r="I3177" s="3" t="n">
        <v>0.487764</v>
      </c>
      <c r="J3177" s="3" t="n">
        <v>0.509091</v>
      </c>
      <c r="K3177" s="3" t="n">
        <v>0.5499000000000001</v>
      </c>
      <c r="L3177" s="3" t="n">
        <v>0.579949</v>
      </c>
      <c r="M3177" s="3" t="n">
        <v>0.643501</v>
      </c>
      <c r="N3177" s="3" t="n">
        <v>0.713597</v>
      </c>
      <c r="O3177" s="3" t="n">
        <v>0.732663</v>
      </c>
      <c r="P3177" s="3" t="n">
        <v>0.7143</v>
      </c>
      <c r="Q3177" s="3" t="n">
        <v>0.720448</v>
      </c>
      <c r="R3177" s="3" t="n">
        <v>0.713796</v>
      </c>
      <c r="S3177" s="3" t="n">
        <v>0.730033</v>
      </c>
      <c r="T3177" s="3" t="n">
        <v>0.764781</v>
      </c>
      <c r="U3177" s="3" t="n">
        <v>0.7709009999999999</v>
      </c>
      <c r="V3177" s="3" t="n">
        <v>0.786555</v>
      </c>
      <c r="W3177" s="3" t="n">
        <v>0.814302</v>
      </c>
      <c r="X3177" s="3" t="n">
        <v>0.844039</v>
      </c>
      <c r="Y3177" s="3" t="n">
        <v>0.884328</v>
      </c>
      <c r="Z3177" s="3" t="n">
        <v>0.910482</v>
      </c>
      <c r="AA3177" s="3" t="n">
        <v>0.863748</v>
      </c>
      <c r="AB3177" s="3" t="n">
        <v>0.888221</v>
      </c>
      <c r="AC3177" s="3" t="n">
        <v>0.969913</v>
      </c>
      <c r="AD3177" s="3" t="n">
        <v>1.046968</v>
      </c>
      <c r="AE3177" s="3" t="n">
        <v>1.126479</v>
      </c>
      <c r="AF3177" s="3" t="n">
        <v>1.176044</v>
      </c>
      <c r="AG3177" s="3" t="n">
        <v>1.235842</v>
      </c>
      <c r="AH3177" s="3" t="n">
        <v>1.294573</v>
      </c>
      <c r="AI3177" s="3" t="n">
        <v>1.355972</v>
      </c>
      <c r="AJ3177" s="3" t="n">
        <v>1.420282</v>
      </c>
      <c r="AK3177" s="3" t="n">
        <v>1.487642</v>
      </c>
      <c r="AL3177" s="3" t="n">
        <v>1.558197</v>
      </c>
      <c r="AM3177" s="3" t="n"/>
      <c r="AN3177" s="3" t="n"/>
      <c r="AO3177" s="3" t="n"/>
      <c r="AP3177" s="3" t="n"/>
      <c r="AQ3177" s="3" t="n"/>
      <c r="AR3177" s="3" t="n"/>
      <c r="AS3177" s="3" t="n"/>
      <c r="AT3177" s="3" t="n"/>
      <c r="AU3177" s="3" t="n"/>
    </row>
    <row r="3178">
      <c r="A3178" s="3" t="n">
        <v>2031</v>
      </c>
      <c r="B3178" s="3" t="inlineStr">
        <is>
          <t>VCT</t>
        </is>
      </c>
      <c r="C3178" s="3" t="inlineStr">
        <is>
          <t>IMF.RES:WEO</t>
        </is>
      </c>
      <c r="D3178" s="3" t="inlineStr">
        <is>
          <t>VCT.NGDPPC.A</t>
        </is>
      </c>
      <c r="E3178" s="3" t="inlineStr">
        <is>
          <t>St. Vincent and the Grenadines</t>
        </is>
      </c>
      <c r="F3178" s="3" t="inlineStr">
        <is>
          <t>Gross domestic product (GDP), Current prices, Per capita, Domestic currency</t>
        </is>
      </c>
      <c r="G3178" s="3" t="n">
        <v>10728.312765</v>
      </c>
      <c r="H3178" s="3" t="n">
        <v>11569.48349</v>
      </c>
      <c r="I3178" s="3" t="n">
        <v>12198.840217</v>
      </c>
      <c r="J3178" s="3" t="n">
        <v>12717.734176</v>
      </c>
      <c r="K3178" s="3" t="n">
        <v>13721.585702</v>
      </c>
      <c r="L3178" s="3" t="n">
        <v>14454.956337</v>
      </c>
      <c r="M3178" s="3" t="n">
        <v>16020.775691</v>
      </c>
      <c r="N3178" s="3" t="n">
        <v>17745.765409</v>
      </c>
      <c r="O3178" s="3" t="n">
        <v>18199.297228</v>
      </c>
      <c r="P3178" s="3" t="n">
        <v>17723.105875</v>
      </c>
      <c r="Q3178" s="3" t="n">
        <v>17855.457734</v>
      </c>
      <c r="R3178" s="3" t="n">
        <v>17670.656906</v>
      </c>
      <c r="S3178" s="3" t="n">
        <v>18052.240359</v>
      </c>
      <c r="T3178" s="3" t="n">
        <v>18868.52881</v>
      </c>
      <c r="U3178" s="3" t="n">
        <v>18976.401813</v>
      </c>
      <c r="V3178" s="3" t="n">
        <v>19317.917689</v>
      </c>
      <c r="W3178" s="3" t="n">
        <v>19954.265518</v>
      </c>
      <c r="X3178" s="3" t="n">
        <v>20636.380233</v>
      </c>
      <c r="Y3178" s="3" t="n">
        <v>21604.197498</v>
      </c>
      <c r="Z3178" s="3" t="n">
        <v>22225.422422</v>
      </c>
      <c r="AA3178" s="3" t="n">
        <v>21067.84651</v>
      </c>
      <c r="AB3178" s="3" t="n">
        <v>21647.544143</v>
      </c>
      <c r="AC3178" s="3" t="n">
        <v>23619.712583</v>
      </c>
      <c r="AD3178" s="3" t="n">
        <v>25468.457749</v>
      </c>
      <c r="AE3178" s="3" t="n">
        <v>27372.842619</v>
      </c>
      <c r="AF3178" s="3" t="n">
        <v>28546.166308</v>
      </c>
      <c r="AG3178" s="3" t="n">
        <v>29965.018368</v>
      </c>
      <c r="AH3178" s="3" t="n">
        <v>31354.908033</v>
      </c>
      <c r="AI3178" s="3" t="n">
        <v>32806.26689</v>
      </c>
      <c r="AJ3178" s="3" t="n">
        <v>34324.806379</v>
      </c>
      <c r="AK3178" s="3" t="n">
        <v>35913.636163</v>
      </c>
      <c r="AL3178" s="3" t="n">
        <v>37576.009845</v>
      </c>
      <c r="AM3178" s="3" t="n"/>
      <c r="AN3178" s="3" t="n"/>
      <c r="AO3178" s="3" t="n"/>
      <c r="AP3178" s="3" t="n"/>
      <c r="AQ3178" s="3" t="n"/>
      <c r="AR3178" s="3" t="n"/>
      <c r="AS3178" s="3" t="n"/>
      <c r="AT3178" s="3" t="n"/>
      <c r="AU3178" s="3" t="n"/>
    </row>
    <row r="3179">
      <c r="A3179" s="3" t="n">
        <v>2031</v>
      </c>
      <c r="B3179" s="3" t="inlineStr">
        <is>
          <t>VCT</t>
        </is>
      </c>
      <c r="C3179" s="3" t="inlineStr">
        <is>
          <t>IMF.RES:WEO</t>
        </is>
      </c>
      <c r="D3179" s="3" t="inlineStr">
        <is>
          <t>VCT.NGDPRPC.A</t>
        </is>
      </c>
      <c r="E3179" s="3" t="inlineStr">
        <is>
          <t>St. Vincent and the Grenadines</t>
        </is>
      </c>
      <c r="F3179" s="3" t="inlineStr">
        <is>
          <t>Gross domestic product (GDP), Constant prices, Per capita, Domestic currency</t>
        </is>
      </c>
      <c r="G3179" s="3" t="n">
        <v>15175.946845</v>
      </c>
      <c r="H3179" s="3" t="n">
        <v>15400.731161</v>
      </c>
      <c r="I3179" s="3" t="n">
        <v>16132.450716</v>
      </c>
      <c r="J3179" s="3" t="n">
        <v>17101.165365</v>
      </c>
      <c r="K3179" s="3" t="n">
        <v>17722.071023</v>
      </c>
      <c r="L3179" s="3" t="n">
        <v>18103.66351</v>
      </c>
      <c r="M3179" s="3" t="n">
        <v>19265.480765</v>
      </c>
      <c r="N3179" s="3" t="n">
        <v>19837.693321</v>
      </c>
      <c r="O3179" s="3" t="n">
        <v>19900.347827</v>
      </c>
      <c r="P3179" s="3" t="n">
        <v>19634.518352</v>
      </c>
      <c r="Q3179" s="3" t="n">
        <v>18773.876631</v>
      </c>
      <c r="R3179" s="3" t="n">
        <v>18638.01702</v>
      </c>
      <c r="S3179" s="3" t="n">
        <v>18812.809307</v>
      </c>
      <c r="T3179" s="3" t="n">
        <v>19232.267218</v>
      </c>
      <c r="U3179" s="3" t="n">
        <v>19408.5171</v>
      </c>
      <c r="V3179" s="3" t="n">
        <v>19903.959046</v>
      </c>
      <c r="W3179" s="3" t="n">
        <v>20683.09789</v>
      </c>
      <c r="X3179" s="3" t="n">
        <v>20955.999542</v>
      </c>
      <c r="Y3179" s="3" t="n">
        <v>21604.197498</v>
      </c>
      <c r="Z3179" s="3" t="n">
        <v>21731.338069</v>
      </c>
      <c r="AA3179" s="3" t="n">
        <v>20673.044044</v>
      </c>
      <c r="AB3179" s="3" t="n">
        <v>21093.233547</v>
      </c>
      <c r="AC3179" s="3" t="n">
        <v>22129.325301</v>
      </c>
      <c r="AD3179" s="3" t="n">
        <v>23102.762207</v>
      </c>
      <c r="AE3179" s="3" t="n">
        <v>24116.110905</v>
      </c>
      <c r="AF3179" s="3" t="n">
        <v>24906.528558</v>
      </c>
      <c r="AG3179" s="3" t="n">
        <v>25625.822732</v>
      </c>
      <c r="AH3179" s="3" t="n">
        <v>26289.096083</v>
      </c>
      <c r="AI3179" s="3" t="n">
        <v>26969.536943</v>
      </c>
      <c r="AJ3179" s="3" t="n">
        <v>27667.589659</v>
      </c>
      <c r="AK3179" s="3" t="n">
        <v>28383.710079</v>
      </c>
      <c r="AL3179" s="3" t="n">
        <v>29118.365848</v>
      </c>
      <c r="AM3179" s="3" t="n"/>
      <c r="AN3179" s="3" t="n"/>
      <c r="AO3179" s="3" t="n"/>
      <c r="AP3179" s="3" t="n"/>
      <c r="AQ3179" s="3" t="n"/>
      <c r="AR3179" s="3" t="n"/>
      <c r="AS3179" s="3" t="n"/>
      <c r="AT3179" s="3" t="n"/>
      <c r="AU3179" s="3" t="n"/>
    </row>
    <row r="3180">
      <c r="A3180" s="3" t="n">
        <v>2031</v>
      </c>
      <c r="B3180" s="3" t="inlineStr">
        <is>
          <t>VCT</t>
        </is>
      </c>
      <c r="C3180" s="3" t="inlineStr">
        <is>
          <t>IMF.RES:WEO</t>
        </is>
      </c>
      <c r="D3180" s="3" t="inlineStr">
        <is>
          <t>VCT.PCPI.A</t>
        </is>
      </c>
      <c r="E3180" s="3" t="inlineStr">
        <is>
          <t>St. Vincent and the Grenadines</t>
        </is>
      </c>
      <c r="F3180" s="3" t="inlineStr">
        <is>
          <t>All Items, Consumer price index (CPI), Period average</t>
        </is>
      </c>
      <c r="G3180" s="3" t="n">
        <v>75.022232</v>
      </c>
      <c r="H3180" s="3" t="n">
        <v>76.42959999999999</v>
      </c>
      <c r="I3180" s="3" t="n">
        <v>77.001119</v>
      </c>
      <c r="J3180" s="3" t="n">
        <v>77.0977</v>
      </c>
      <c r="K3180" s="3" t="n">
        <v>79.297499</v>
      </c>
      <c r="L3180" s="3" t="n">
        <v>82.029948</v>
      </c>
      <c r="M3180" s="3" t="n">
        <v>84.50453899999999</v>
      </c>
      <c r="N3180" s="3" t="n">
        <v>90.415263</v>
      </c>
      <c r="O3180" s="3" t="n">
        <v>99.56777099999999</v>
      </c>
      <c r="P3180" s="3" t="n">
        <v>99.93938900000001</v>
      </c>
      <c r="Q3180" s="3" t="n">
        <v>100.7</v>
      </c>
      <c r="R3180" s="3" t="n">
        <v>103.908333</v>
      </c>
      <c r="S3180" s="3" t="n">
        <v>106.608333</v>
      </c>
      <c r="T3180" s="3" t="n">
        <v>107.466667</v>
      </c>
      <c r="U3180" s="3" t="n">
        <v>107.675</v>
      </c>
      <c r="V3180" s="3" t="n">
        <v>105.816667</v>
      </c>
      <c r="W3180" s="3" t="n">
        <v>105.65</v>
      </c>
      <c r="X3180" s="3" t="n">
        <v>107.925</v>
      </c>
      <c r="Y3180" s="3" t="n">
        <v>110.433333</v>
      </c>
      <c r="Z3180" s="3" t="n">
        <v>111.433333</v>
      </c>
      <c r="AA3180" s="3" t="n">
        <v>110.758333</v>
      </c>
      <c r="AB3180" s="3" t="n">
        <v>112.483333</v>
      </c>
      <c r="AC3180" s="3" t="n">
        <v>118.85</v>
      </c>
      <c r="AD3180" s="3" t="n">
        <v>124.275</v>
      </c>
      <c r="AE3180" s="3" t="n">
        <v>128.741667</v>
      </c>
      <c r="AF3180" s="3" t="n">
        <v>129.916667</v>
      </c>
      <c r="AG3180" s="3" t="n">
        <v>131.117033</v>
      </c>
      <c r="AH3180" s="3" t="n">
        <v>133.737211</v>
      </c>
      <c r="AI3180" s="3" t="n">
        <v>136.397279</v>
      </c>
      <c r="AJ3180" s="3" t="n">
        <v>139.110257</v>
      </c>
      <c r="AK3180" s="3" t="n">
        <v>141.877197</v>
      </c>
      <c r="AL3180" s="3" t="n">
        <v>144.699172</v>
      </c>
      <c r="AM3180" s="3" t="n"/>
      <c r="AN3180" s="3" t="n"/>
      <c r="AO3180" s="3" t="n"/>
      <c r="AP3180" s="3" t="n"/>
      <c r="AQ3180" s="3" t="n"/>
      <c r="AR3180" s="3" t="n"/>
      <c r="AS3180" s="3" t="n"/>
      <c r="AT3180" s="3" t="n"/>
      <c r="AU3180" s="3" t="n"/>
    </row>
    <row r="3181">
      <c r="A3181" s="3" t="n">
        <v>2031</v>
      </c>
      <c r="B3181" s="3" t="inlineStr">
        <is>
          <t>VCT</t>
        </is>
      </c>
      <c r="C3181" s="3" t="inlineStr">
        <is>
          <t>IMF.RES:WEO</t>
        </is>
      </c>
      <c r="D3181" s="3" t="inlineStr">
        <is>
          <t>VCT.PCPIPCH.A</t>
        </is>
      </c>
      <c r="E3181" s="3" t="inlineStr">
        <is>
          <t>St. Vincent and the Grenadines</t>
        </is>
      </c>
      <c r="F3181" s="3" t="inlineStr">
        <is>
          <t>All Items, Consumer price index (CPI), Period average, percent change</t>
        </is>
      </c>
      <c r="G3181" s="3" t="n">
        <v>0.193298</v>
      </c>
      <c r="H3181" s="3" t="n">
        <v>1.875934</v>
      </c>
      <c r="I3181" s="3" t="n">
        <v>0.747772</v>
      </c>
      <c r="J3181" s="3" t="n">
        <v>0.125429</v>
      </c>
      <c r="K3181" s="3" t="n">
        <v>2.853262</v>
      </c>
      <c r="L3181" s="3" t="n">
        <v>3.445819</v>
      </c>
      <c r="M3181" s="3" t="n">
        <v>3.016692</v>
      </c>
      <c r="N3181" s="3" t="n">
        <v>6.994564</v>
      </c>
      <c r="O3181" s="3" t="n">
        <v>10.122747</v>
      </c>
      <c r="P3181" s="3" t="n">
        <v>0.373231</v>
      </c>
      <c r="Q3181" s="3" t="n">
        <v>0.761073</v>
      </c>
      <c r="R3181" s="3" t="n">
        <v>3.186031</v>
      </c>
      <c r="S3181" s="3" t="n">
        <v>2.598444</v>
      </c>
      <c r="T3181" s="3" t="n">
        <v>0.805128</v>
      </c>
      <c r="U3181" s="3" t="n">
        <v>0.193859</v>
      </c>
      <c r="V3181" s="3" t="n">
        <v>-1.725873</v>
      </c>
      <c r="W3181" s="3" t="n">
        <v>-0.157505</v>
      </c>
      <c r="X3181" s="3" t="n">
        <v>2.153336</v>
      </c>
      <c r="Y3181" s="3" t="n">
        <v>2.324145</v>
      </c>
      <c r="Z3181" s="3" t="n">
        <v>0.905524</v>
      </c>
      <c r="AA3181" s="3" t="n">
        <v>-0.605743</v>
      </c>
      <c r="AB3181" s="3" t="n">
        <v>1.557445</v>
      </c>
      <c r="AC3181" s="3" t="n">
        <v>5.660098</v>
      </c>
      <c r="AD3181" s="3" t="n">
        <v>4.564577</v>
      </c>
      <c r="AE3181" s="3" t="n">
        <v>3.59418</v>
      </c>
      <c r="AF3181" s="3" t="n">
        <v>0.91268</v>
      </c>
      <c r="AG3181" s="3" t="n">
        <v>0.923951</v>
      </c>
      <c r="AH3181" s="3" t="n">
        <v>1.99835</v>
      </c>
      <c r="AI3181" s="3" t="n">
        <v>1.989026</v>
      </c>
      <c r="AJ3181" s="3" t="n">
        <v>1.989026</v>
      </c>
      <c r="AK3181" s="3" t="n">
        <v>1.989026</v>
      </c>
      <c r="AL3181" s="3" t="n">
        <v>1.989026</v>
      </c>
      <c r="AM3181" s="3" t="n"/>
      <c r="AN3181" s="3" t="n"/>
      <c r="AO3181" s="3" t="n"/>
      <c r="AP3181" s="3" t="n"/>
      <c r="AQ3181" s="3" t="n"/>
      <c r="AR3181" s="3" t="n"/>
      <c r="AS3181" s="3" t="n"/>
      <c r="AT3181" s="3" t="n"/>
      <c r="AU3181" s="3" t="n"/>
    </row>
    <row r="3182">
      <c r="A3182" s="3" t="n">
        <v>2031</v>
      </c>
      <c r="B3182" s="3" t="inlineStr">
        <is>
          <t>VCT</t>
        </is>
      </c>
      <c r="C3182" s="3" t="inlineStr">
        <is>
          <t>IMF.RES:WEO</t>
        </is>
      </c>
      <c r="D3182" s="3" t="inlineStr">
        <is>
          <t>VCT.PPPPC.A</t>
        </is>
      </c>
      <c r="E3182" s="3" t="inlineStr">
        <is>
          <t>St. Vincent and the Grenadines</t>
        </is>
      </c>
      <c r="F3182" s="3" t="inlineStr">
        <is>
          <t>Gross domestic product (GDP), Per capita, purchasing power parity (PPP) international dollar, ICP benchmarks 2017-2021</t>
        </is>
      </c>
      <c r="G3182" s="3" t="n">
        <v>6840.656964</v>
      </c>
      <c r="H3182" s="3" t="n">
        <v>7098.286995</v>
      </c>
      <c r="I3182" s="3" t="n">
        <v>7551.091778</v>
      </c>
      <c r="J3182" s="3" t="n">
        <v>8162.542999</v>
      </c>
      <c r="K3182" s="3" t="n">
        <v>8686.356919</v>
      </c>
      <c r="L3182" s="3" t="n">
        <v>9151.645654</v>
      </c>
      <c r="M3182" s="3" t="n">
        <v>10039.297968</v>
      </c>
      <c r="N3182" s="3" t="n">
        <v>10617.549834</v>
      </c>
      <c r="O3182" s="3" t="n">
        <v>10856.267519</v>
      </c>
      <c r="P3182" s="3" t="n">
        <v>10777.309921</v>
      </c>
      <c r="Q3182" s="3" t="n">
        <v>10430.150286</v>
      </c>
      <c r="R3182" s="3" t="n">
        <v>10568.313724</v>
      </c>
      <c r="S3182" s="3" t="n">
        <v>10866.04642</v>
      </c>
      <c r="T3182" s="3" t="n">
        <v>11297.384286</v>
      </c>
      <c r="U3182" s="3" t="n">
        <v>11599.488138</v>
      </c>
      <c r="V3182" s="3" t="n">
        <v>12005.986103</v>
      </c>
      <c r="W3182" s="3" t="n">
        <v>12594.508952</v>
      </c>
      <c r="X3182" s="3" t="n">
        <v>12989.216102</v>
      </c>
      <c r="Y3182" s="3" t="n">
        <v>13946.353801</v>
      </c>
      <c r="Z3182" s="3" t="n">
        <v>14446.348571</v>
      </c>
      <c r="AA3182" s="3" t="n">
        <v>14329.676447</v>
      </c>
      <c r="AB3182" s="3" t="n">
        <v>15031.626195</v>
      </c>
      <c r="AC3182" s="3" t="n">
        <v>16891.599908</v>
      </c>
      <c r="AD3182" s="3" t="n">
        <v>18287.124324</v>
      </c>
      <c r="AE3182" s="3" t="n">
        <v>19563.145408</v>
      </c>
      <c r="AF3182" s="3" t="n">
        <v>20777.487209</v>
      </c>
      <c r="AG3182" s="3" t="n">
        <v>21989.970233</v>
      </c>
      <c r="AH3182" s="3" t="n">
        <v>23054.513332</v>
      </c>
      <c r="AI3182" s="3" t="n">
        <v>24039.442567</v>
      </c>
      <c r="AJ3182" s="3" t="n">
        <v>25100.166637</v>
      </c>
      <c r="AK3182" s="3" t="n">
        <v>26222.994546</v>
      </c>
      <c r="AL3182" s="3" t="n">
        <v>27387.381815</v>
      </c>
      <c r="AM3182" s="3" t="n"/>
      <c r="AN3182" s="3" t="n"/>
      <c r="AO3182" s="3" t="n"/>
      <c r="AP3182" s="3" t="n"/>
      <c r="AQ3182" s="3" t="n"/>
      <c r="AR3182" s="3" t="n"/>
      <c r="AS3182" s="3" t="n"/>
      <c r="AT3182" s="3" t="n"/>
      <c r="AU3182" s="3" t="n"/>
    </row>
    <row r="3183">
      <c r="A3183" s="3" t="n">
        <v>2025</v>
      </c>
      <c r="B3183" s="3" t="inlineStr">
        <is>
          <t>VCT</t>
        </is>
      </c>
      <c r="C3183" s="3" t="inlineStr">
        <is>
          <t>IMF.STA:ER</t>
        </is>
      </c>
      <c r="D3183" s="3" t="inlineStr">
        <is>
          <t>VCT.XDC_USD.PA_RT.A</t>
        </is>
      </c>
      <c r="E3183" s="3" t="inlineStr">
        <is>
          <t>St. Vincent and the Grenadines</t>
        </is>
      </c>
      <c r="F3183" s="3" t="inlineStr">
        <is>
          <t>Domestic currency per US Dollar</t>
        </is>
      </c>
      <c r="G3183" s="3" t="n">
        <v>2.7</v>
      </c>
      <c r="H3183" s="3" t="n">
        <v>2.7</v>
      </c>
      <c r="I3183" s="3" t="n">
        <v>2.7</v>
      </c>
      <c r="J3183" s="3" t="n">
        <v>2.7</v>
      </c>
      <c r="K3183" s="3" t="n">
        <v>2.7</v>
      </c>
      <c r="L3183" s="3" t="n">
        <v>2.7</v>
      </c>
      <c r="M3183" s="3" t="n">
        <v>2.7</v>
      </c>
      <c r="N3183" s="3" t="n">
        <v>2.7</v>
      </c>
      <c r="O3183" s="3" t="n">
        <v>2.7</v>
      </c>
      <c r="P3183" s="3" t="n">
        <v>2.7</v>
      </c>
      <c r="Q3183" s="3" t="n">
        <v>2.7</v>
      </c>
      <c r="R3183" s="3" t="n">
        <v>2.7</v>
      </c>
      <c r="S3183" s="3" t="n">
        <v>2.7</v>
      </c>
      <c r="T3183" s="3" t="n">
        <v>2.7</v>
      </c>
      <c r="U3183" s="3" t="n">
        <v>2.7</v>
      </c>
      <c r="V3183" s="3" t="n">
        <v>2.7</v>
      </c>
      <c r="W3183" s="3" t="n">
        <v>2.7</v>
      </c>
      <c r="X3183" s="3" t="n">
        <v>2.7</v>
      </c>
      <c r="Y3183" s="3" t="n">
        <v>2.7</v>
      </c>
      <c r="Z3183" s="3" t="n">
        <v>2.7</v>
      </c>
      <c r="AA3183" s="3" t="n">
        <v>2.7</v>
      </c>
      <c r="AB3183" s="3" t="n">
        <v>2.7</v>
      </c>
      <c r="AC3183" s="3" t="n">
        <v>2.7</v>
      </c>
      <c r="AD3183" s="3" t="n">
        <v>2.7</v>
      </c>
      <c r="AE3183" s="3" t="n">
        <v>2.7</v>
      </c>
      <c r="AF3183" s="3" t="n">
        <v>2.7</v>
      </c>
      <c r="AG3183" s="3" t="n"/>
      <c r="AH3183" s="3" t="n"/>
      <c r="AI3183" s="3" t="n"/>
      <c r="AJ3183" s="3" t="n"/>
      <c r="AK3183" s="3" t="n"/>
      <c r="AL3183" s="3" t="n"/>
      <c r="AM3183" s="3" t="n"/>
      <c r="AN3183" s="3" t="n"/>
      <c r="AO3183" s="3" t="n"/>
      <c r="AP3183" s="3" t="n"/>
      <c r="AQ3183" s="3" t="n"/>
      <c r="AR3183" s="3" t="n"/>
      <c r="AS3183" s="3" t="n"/>
      <c r="AT3183" s="3" t="n"/>
      <c r="AU3183" s="3" t="n"/>
    </row>
    <row r="3184">
      <c r="A3184" s="3" t="n">
        <v>2027</v>
      </c>
      <c r="B3184" s="3" t="inlineStr">
        <is>
          <t>VEN</t>
        </is>
      </c>
      <c r="C3184" s="3" t="inlineStr">
        <is>
          <t>IMF.RES:WEO</t>
        </is>
      </c>
      <c r="D3184" s="3" t="inlineStr">
        <is>
          <t>VEN.BCA.A</t>
        </is>
      </c>
      <c r="E3184" s="3" t="inlineStr">
        <is>
          <t>Venezuela, República Bolivariana de</t>
        </is>
      </c>
      <c r="F3184" s="3" t="inlineStr">
        <is>
          <t>Current account balance (credit less debit), US dollar</t>
        </is>
      </c>
      <c r="G3184" s="3" t="n">
        <v>11.853</v>
      </c>
      <c r="H3184" s="3" t="n">
        <v>1.983</v>
      </c>
      <c r="I3184" s="3" t="n">
        <v>7.599</v>
      </c>
      <c r="J3184" s="3" t="n">
        <v>11.796</v>
      </c>
      <c r="K3184" s="3" t="n">
        <v>15.519</v>
      </c>
      <c r="L3184" s="3" t="n">
        <v>25.447</v>
      </c>
      <c r="M3184" s="3" t="n">
        <v>26.462</v>
      </c>
      <c r="N3184" s="3" t="n">
        <v>13.464</v>
      </c>
      <c r="O3184" s="3" t="n">
        <v>31.297</v>
      </c>
      <c r="P3184" s="3" t="n">
        <v>0.429</v>
      </c>
      <c r="Q3184" s="3" t="n">
        <v>5.585</v>
      </c>
      <c r="R3184" s="3" t="n">
        <v>16.342</v>
      </c>
      <c r="S3184" s="3" t="n">
        <v>2.586</v>
      </c>
      <c r="T3184" s="3" t="n">
        <v>4.604</v>
      </c>
      <c r="U3184" s="3" t="n">
        <v>4.919</v>
      </c>
      <c r="V3184" s="3" t="n">
        <v>-16.051</v>
      </c>
      <c r="W3184" s="3" t="n">
        <v>-3.87</v>
      </c>
      <c r="X3184" s="3" t="n">
        <v>8.706</v>
      </c>
      <c r="Y3184" s="3" t="n">
        <v>8.613</v>
      </c>
      <c r="Z3184" s="3" t="n">
        <v>4.295895</v>
      </c>
      <c r="AA3184" s="3" t="n">
        <v>-1.382623</v>
      </c>
      <c r="AB3184" s="3" t="n">
        <v>-0.53526</v>
      </c>
      <c r="AC3184" s="3" t="n">
        <v>3.589568</v>
      </c>
      <c r="AD3184" s="3" t="n">
        <v>5.9647</v>
      </c>
      <c r="AE3184" s="3" t="n">
        <v>4.935104</v>
      </c>
      <c r="AF3184" s="3" t="n">
        <v>2.557593</v>
      </c>
      <c r="AG3184" s="3" t="n">
        <v>7.875682</v>
      </c>
      <c r="AH3184" s="3" t="n">
        <v>5.636468</v>
      </c>
      <c r="AI3184" s="3" t="n"/>
      <c r="AJ3184" s="3" t="n"/>
      <c r="AK3184" s="3" t="n"/>
      <c r="AL3184" s="3" t="n"/>
      <c r="AM3184" s="3" t="n"/>
      <c r="AN3184" s="3" t="n"/>
      <c r="AO3184" s="3" t="n"/>
      <c r="AP3184" s="3" t="n"/>
      <c r="AQ3184" s="3" t="n"/>
      <c r="AR3184" s="3" t="n"/>
      <c r="AS3184" s="3" t="n"/>
      <c r="AT3184" s="3" t="n"/>
      <c r="AU3184" s="3" t="n"/>
    </row>
    <row r="3185">
      <c r="A3185" s="3" t="n">
        <v>2027</v>
      </c>
      <c r="B3185" s="3" t="inlineStr">
        <is>
          <t>VEN</t>
        </is>
      </c>
      <c r="C3185" s="3" t="inlineStr">
        <is>
          <t>IMF.RES:WEO</t>
        </is>
      </c>
      <c r="D3185" s="3" t="inlineStr">
        <is>
          <t>VEN.BCA_NGDPD.A</t>
        </is>
      </c>
      <c r="E3185" s="3" t="inlineStr">
        <is>
          <t>Venezuela, República Bolivariana de</t>
        </is>
      </c>
      <c r="F3185" s="3" t="inlineStr">
        <is>
          <t>Current account balance (credit less debit), Percent of GDP</t>
        </is>
      </c>
      <c r="G3185" s="3" t="n">
        <v>10.079464</v>
      </c>
      <c r="H3185" s="3" t="n">
        <v>1.610631</v>
      </c>
      <c r="I3185" s="3" t="n">
        <v>7.977295</v>
      </c>
      <c r="J3185" s="3" t="n">
        <v>14.095859</v>
      </c>
      <c r="K3185" s="3" t="n">
        <v>13.824891</v>
      </c>
      <c r="L3185" s="3" t="n">
        <v>17.74853</v>
      </c>
      <c r="M3185" s="3" t="n">
        <v>14.822912</v>
      </c>
      <c r="N3185" s="3" t="n">
        <v>5.782085</v>
      </c>
      <c r="O3185" s="3" t="n">
        <v>10.202295</v>
      </c>
      <c r="P3185" s="3" t="n">
        <v>0.159703</v>
      </c>
      <c r="Q3185" s="3" t="n">
        <v>1.754741</v>
      </c>
      <c r="R3185" s="3" t="n">
        <v>5.163636</v>
      </c>
      <c r="S3185" s="3" t="n">
        <v>0.694057</v>
      </c>
      <c r="T3185" s="3" t="n">
        <v>1.778074</v>
      </c>
      <c r="U3185" s="3" t="n">
        <v>2.291215</v>
      </c>
      <c r="V3185" s="3" t="n">
        <v>-12.794793</v>
      </c>
      <c r="W3185" s="3" t="n">
        <v>-3.42736</v>
      </c>
      <c r="X3185" s="3" t="n">
        <v>7.512805</v>
      </c>
      <c r="Y3185" s="3" t="n">
        <v>8.442401</v>
      </c>
      <c r="Z3185" s="3" t="n">
        <v>5.883676</v>
      </c>
      <c r="AA3185" s="3" t="n">
        <v>-3.227562</v>
      </c>
      <c r="AB3185" s="3" t="n">
        <v>-0.945438</v>
      </c>
      <c r="AC3185" s="3" t="n">
        <v>4.032622</v>
      </c>
      <c r="AD3185" s="3" t="n">
        <v>5.826181</v>
      </c>
      <c r="AE3185" s="3" t="n">
        <v>4.093277</v>
      </c>
      <c r="AF3185" s="3" t="n">
        <v>2.566287</v>
      </c>
      <c r="AG3185" s="3" t="n">
        <v>7.075872</v>
      </c>
      <c r="AH3185" s="3" t="n">
        <v>4.78039</v>
      </c>
      <c r="AI3185" s="3" t="n"/>
      <c r="AJ3185" s="3" t="n"/>
      <c r="AK3185" s="3" t="n"/>
      <c r="AL3185" s="3" t="n"/>
      <c r="AM3185" s="3" t="n"/>
      <c r="AN3185" s="3" t="n"/>
      <c r="AO3185" s="3" t="n"/>
      <c r="AP3185" s="3" t="n"/>
      <c r="AQ3185" s="3" t="n"/>
      <c r="AR3185" s="3" t="n"/>
      <c r="AS3185" s="3" t="n"/>
      <c r="AT3185" s="3" t="n"/>
      <c r="AU3185" s="3" t="n"/>
    </row>
    <row r="3186">
      <c r="A3186" s="3" t="n">
        <v>2025</v>
      </c>
      <c r="B3186" s="3" t="inlineStr">
        <is>
          <t>VEN</t>
        </is>
      </c>
      <c r="C3186" s="3" t="inlineStr">
        <is>
          <t>IMF.RES:WEO</t>
        </is>
      </c>
      <c r="D3186" s="3" t="inlineStr">
        <is>
          <t>VEN.GGR_NGDP.A</t>
        </is>
      </c>
      <c r="E3186" s="3" t="inlineStr">
        <is>
          <t>Venezuela, República Bolivariana de</t>
        </is>
      </c>
      <c r="F3186" s="3" t="inlineStr">
        <is>
          <t>Revenue, General government, Percent of GDP</t>
        </is>
      </c>
      <c r="G3186" s="3" t="n">
        <v>32.742656</v>
      </c>
      <c r="H3186" s="3" t="n">
        <v>27.305311</v>
      </c>
      <c r="I3186" s="3" t="n">
        <v>29.507526</v>
      </c>
      <c r="J3186" s="3" t="n">
        <v>32.346844</v>
      </c>
      <c r="K3186" s="3" t="n">
        <v>34.384901</v>
      </c>
      <c r="L3186" s="3" t="n">
        <v>37.625014</v>
      </c>
      <c r="M3186" s="3" t="n">
        <v>37.661982</v>
      </c>
      <c r="N3186" s="3" t="n">
        <v>33.134</v>
      </c>
      <c r="O3186" s="3" t="n">
        <v>31.418394</v>
      </c>
      <c r="P3186" s="3" t="n">
        <v>24.583532</v>
      </c>
      <c r="Q3186" s="3" t="n">
        <v>26.359188</v>
      </c>
      <c r="R3186" s="3" t="n">
        <v>31.116672</v>
      </c>
      <c r="S3186" s="3" t="n">
        <v>28.151213</v>
      </c>
      <c r="T3186" s="3" t="n">
        <v>26.099278</v>
      </c>
      <c r="U3186" s="3" t="n">
        <v>21.798195</v>
      </c>
      <c r="V3186" s="3" t="n">
        <v>14.884999</v>
      </c>
      <c r="W3186" s="3" t="n">
        <v>11.223239</v>
      </c>
      <c r="X3186" s="3" t="n">
        <v>8.493169</v>
      </c>
      <c r="Y3186" s="3" t="n">
        <v>6.884413</v>
      </c>
      <c r="Z3186" s="3" t="n">
        <v>10.089039</v>
      </c>
      <c r="AA3186" s="3" t="n">
        <v>4.530981</v>
      </c>
      <c r="AB3186" s="3" t="n">
        <v>7.283767</v>
      </c>
      <c r="AC3186" s="3" t="n">
        <v>9.849303000000001</v>
      </c>
      <c r="AD3186" s="3" t="n">
        <v>11.872608</v>
      </c>
      <c r="AE3186" s="3" t="n">
        <v>13.846599</v>
      </c>
      <c r="AF3186" s="3" t="n">
        <v>14.452181</v>
      </c>
      <c r="AG3186" s="3" t="n"/>
      <c r="AH3186" s="3" t="n"/>
      <c r="AI3186" s="3" t="n"/>
      <c r="AJ3186" s="3" t="n"/>
      <c r="AK3186" s="3" t="n"/>
      <c r="AL3186" s="3" t="n"/>
      <c r="AM3186" s="3" t="n"/>
      <c r="AN3186" s="3" t="n"/>
      <c r="AO3186" s="3" t="n"/>
      <c r="AP3186" s="3" t="n"/>
      <c r="AQ3186" s="3" t="n"/>
      <c r="AR3186" s="3" t="n"/>
      <c r="AS3186" s="3" t="n"/>
      <c r="AT3186" s="3" t="n"/>
      <c r="AU3186" s="3" t="n"/>
    </row>
    <row r="3187">
      <c r="A3187" s="3" t="n">
        <v>2025</v>
      </c>
      <c r="B3187" s="3" t="inlineStr">
        <is>
          <t>VEN</t>
        </is>
      </c>
      <c r="C3187" s="3" t="inlineStr">
        <is>
          <t>IMF.RES:WEO</t>
        </is>
      </c>
      <c r="D3187" s="3" t="inlineStr">
        <is>
          <t>VEN.GGX_NGDP.A</t>
        </is>
      </c>
      <c r="E3187" s="3" t="inlineStr">
        <is>
          <t>Venezuela, República Bolivariana de</t>
        </is>
      </c>
      <c r="F3187" s="3" t="inlineStr">
        <is>
          <t>Expenditure, General government, Percent of GDP</t>
        </is>
      </c>
      <c r="G3187" s="3" t="n">
        <v>28.293031</v>
      </c>
      <c r="H3187" s="3" t="n">
        <v>31.898719</v>
      </c>
      <c r="I3187" s="3" t="n">
        <v>30.989838</v>
      </c>
      <c r="J3187" s="3" t="n">
        <v>32.175428</v>
      </c>
      <c r="K3187" s="3" t="n">
        <v>31.914448</v>
      </c>
      <c r="L3187" s="3" t="n">
        <v>33.530263</v>
      </c>
      <c r="M3187" s="3" t="n">
        <v>39.266632</v>
      </c>
      <c r="N3187" s="3" t="n">
        <v>35.949426</v>
      </c>
      <c r="O3187" s="3" t="n">
        <v>34.879414</v>
      </c>
      <c r="P3187" s="3" t="n">
        <v>33.269498</v>
      </c>
      <c r="Q3187" s="3" t="n">
        <v>31.098679</v>
      </c>
      <c r="R3187" s="3" t="n">
        <v>39.36064</v>
      </c>
      <c r="S3187" s="3" t="n">
        <v>38.007058</v>
      </c>
      <c r="T3187" s="3" t="n">
        <v>36.450717</v>
      </c>
      <c r="U3187" s="3" t="n">
        <v>31.606589</v>
      </c>
      <c r="V3187" s="3" t="n">
        <v>22.948336</v>
      </c>
      <c r="W3187" s="3" t="n">
        <v>19.685905</v>
      </c>
      <c r="X3187" s="3" t="n">
        <v>21.766411</v>
      </c>
      <c r="Y3187" s="3" t="n">
        <v>37.860539</v>
      </c>
      <c r="Z3187" s="3" t="n">
        <v>21.021934</v>
      </c>
      <c r="AA3187" s="3" t="n">
        <v>11.159197</v>
      </c>
      <c r="AB3187" s="3" t="n">
        <v>13.130422</v>
      </c>
      <c r="AC3187" s="3" t="n">
        <v>15.139132</v>
      </c>
      <c r="AD3187" s="3" t="n">
        <v>13.121074</v>
      </c>
      <c r="AE3187" s="3" t="n">
        <v>17.51595</v>
      </c>
      <c r="AF3187" s="3" t="n">
        <v>20.293852</v>
      </c>
      <c r="AG3187" s="3" t="n"/>
      <c r="AH3187" s="3" t="n"/>
      <c r="AI3187" s="3" t="n"/>
      <c r="AJ3187" s="3" t="n"/>
      <c r="AK3187" s="3" t="n"/>
      <c r="AL3187" s="3" t="n"/>
      <c r="AM3187" s="3" t="n"/>
      <c r="AN3187" s="3" t="n"/>
      <c r="AO3187" s="3" t="n"/>
      <c r="AP3187" s="3" t="n"/>
      <c r="AQ3187" s="3" t="n"/>
      <c r="AR3187" s="3" t="n"/>
      <c r="AS3187" s="3" t="n"/>
      <c r="AT3187" s="3" t="n"/>
      <c r="AU3187" s="3" t="n"/>
    </row>
    <row r="3188">
      <c r="A3188" s="3" t="n">
        <v>2027</v>
      </c>
      <c r="B3188" s="3" t="inlineStr">
        <is>
          <t>VEN</t>
        </is>
      </c>
      <c r="C3188" s="3" t="inlineStr">
        <is>
          <t>IMF.RES:WEO</t>
        </is>
      </c>
      <c r="D3188" s="3" t="inlineStr">
        <is>
          <t>VEN.LP.A</t>
        </is>
      </c>
      <c r="E3188" s="3" t="inlineStr">
        <is>
          <t>Venezuela, República Bolivariana de</t>
        </is>
      </c>
      <c r="F3188" s="3" t="inlineStr">
        <is>
          <t>Population, Persons for countries / Index for country groups</t>
        </is>
      </c>
      <c r="G3188" s="3" t="n">
        <v>24.394145</v>
      </c>
      <c r="H3188" s="3" t="n">
        <v>24.802885</v>
      </c>
      <c r="I3188" s="3" t="n">
        <v>25.212127</v>
      </c>
      <c r="J3188" s="3" t="n">
        <v>25.622082</v>
      </c>
      <c r="K3188" s="3" t="n">
        <v>26.032946</v>
      </c>
      <c r="L3188" s="3" t="n">
        <v>26.444921</v>
      </c>
      <c r="M3188" s="3" t="n">
        <v>26.858165</v>
      </c>
      <c r="N3188" s="3" t="n">
        <v>27.272712</v>
      </c>
      <c r="O3188" s="3" t="n">
        <v>27.688638</v>
      </c>
      <c r="P3188" s="3" t="n">
        <v>28.105913</v>
      </c>
      <c r="Q3188" s="3" t="n">
        <v>28.524411</v>
      </c>
      <c r="R3188" s="3" t="n">
        <v>28.94407</v>
      </c>
      <c r="S3188" s="3" t="n">
        <v>29.365451</v>
      </c>
      <c r="T3188" s="3" t="n">
        <v>29.786263</v>
      </c>
      <c r="U3188" s="3" t="n">
        <v>30.206307</v>
      </c>
      <c r="V3188" s="3" t="n">
        <v>30.62</v>
      </c>
      <c r="W3188" s="3" t="n">
        <v>30.713611</v>
      </c>
      <c r="X3188" s="3" t="n">
        <v>30.442274</v>
      </c>
      <c r="Y3188" s="3" t="n">
        <v>28.903451</v>
      </c>
      <c r="Z3188" s="3" t="n">
        <v>27.817079</v>
      </c>
      <c r="AA3188" s="3" t="n">
        <v>27.950884</v>
      </c>
      <c r="AB3188" s="3" t="n">
        <v>27.586295</v>
      </c>
      <c r="AC3188" s="3" t="n">
        <v>26.91733</v>
      </c>
      <c r="AD3188" s="3" t="n">
        <v>26.740338</v>
      </c>
      <c r="AE3188" s="3" t="n">
        <v>26.561222</v>
      </c>
      <c r="AF3188" s="3" t="n">
        <v>26.673712</v>
      </c>
      <c r="AG3188" s="3" t="n">
        <v>26.887102</v>
      </c>
      <c r="AH3188" s="3" t="n">
        <v>27.102199</v>
      </c>
      <c r="AI3188" s="3" t="n"/>
      <c r="AJ3188" s="3" t="n"/>
      <c r="AK3188" s="3" t="n"/>
      <c r="AL3188" s="3" t="n"/>
      <c r="AM3188" s="3" t="n"/>
      <c r="AN3188" s="3" t="n"/>
      <c r="AO3188" s="3" t="n"/>
      <c r="AP3188" s="3" t="n"/>
      <c r="AQ3188" s="3" t="n"/>
      <c r="AR3188" s="3" t="n"/>
      <c r="AS3188" s="3" t="n"/>
      <c r="AT3188" s="3" t="n"/>
      <c r="AU3188" s="3" t="n"/>
    </row>
    <row r="3189">
      <c r="A3189" s="3" t="n">
        <v>2027</v>
      </c>
      <c r="B3189" s="3" t="inlineStr">
        <is>
          <t>VEN</t>
        </is>
      </c>
      <c r="C3189" s="3" t="inlineStr">
        <is>
          <t>IMF.RES:WEO</t>
        </is>
      </c>
      <c r="D3189" s="3" t="inlineStr">
        <is>
          <t>VEN.NGDP.A</t>
        </is>
      </c>
      <c r="E3189" s="3" t="inlineStr">
        <is>
          <t>Venezuela, República Bolivariana de</t>
        </is>
      </c>
      <c r="F3189" s="3" t="inlineStr">
        <is>
          <t>Gross domestic product (GDP), Current prices, Domestic currency</t>
        </is>
      </c>
      <c r="G3189" s="3" t="n"/>
      <c r="H3189" s="3" t="n"/>
      <c r="I3189" s="3" t="n"/>
      <c r="J3189" s="3" t="n"/>
      <c r="K3189" s="3" t="n"/>
      <c r="L3189" s="3" t="n"/>
      <c r="M3189" s="3" t="n"/>
      <c r="N3189" s="3" t="n"/>
      <c r="O3189" s="3" t="n"/>
      <c r="P3189" s="3" t="n"/>
      <c r="Q3189" s="3" t="n"/>
      <c r="R3189" s="3" t="n"/>
      <c r="S3189" s="3" t="n"/>
      <c r="T3189" s="3" t="n"/>
      <c r="U3189" s="3" t="n"/>
      <c r="V3189" s="3" t="n"/>
      <c r="W3189" s="3" t="n"/>
      <c r="X3189" s="3" t="n">
        <v>3e-06</v>
      </c>
      <c r="Y3189" s="3" t="n">
        <v>0.006313</v>
      </c>
      <c r="Z3189" s="3" t="n">
        <v>1.005697</v>
      </c>
      <c r="AA3189" s="3" t="n">
        <v>14.012473</v>
      </c>
      <c r="AB3189" s="3" t="n">
        <v>185.111963</v>
      </c>
      <c r="AC3189" s="3" t="n">
        <v>621.795347</v>
      </c>
      <c r="AD3189" s="3" t="n">
        <v>3025.765385</v>
      </c>
      <c r="AE3189" s="3" t="n">
        <v>4963.355551</v>
      </c>
      <c r="AF3189" s="3" t="n">
        <v>16489.790761</v>
      </c>
      <c r="AG3189" s="3" t="n">
        <v>89759.368949</v>
      </c>
      <c r="AH3189" s="3" t="n">
        <v>184820.48342</v>
      </c>
      <c r="AI3189" s="3" t="n"/>
      <c r="AJ3189" s="3" t="n"/>
      <c r="AK3189" s="3" t="n"/>
      <c r="AL3189" s="3" t="n"/>
      <c r="AM3189" s="3" t="n"/>
      <c r="AN3189" s="3" t="n"/>
      <c r="AO3189" s="3" t="n"/>
      <c r="AP3189" s="3" t="n"/>
      <c r="AQ3189" s="3" t="n"/>
      <c r="AR3189" s="3" t="n"/>
      <c r="AS3189" s="3" t="n"/>
      <c r="AT3189" s="3" t="n"/>
      <c r="AU3189" s="3" t="n"/>
    </row>
    <row r="3190">
      <c r="A3190" s="3" t="n">
        <v>2027</v>
      </c>
      <c r="B3190" s="3" t="inlineStr">
        <is>
          <t>VEN</t>
        </is>
      </c>
      <c r="C3190" s="3" t="inlineStr">
        <is>
          <t>IMF.RES:WEO</t>
        </is>
      </c>
      <c r="D3190" s="3" t="inlineStr">
        <is>
          <t>VEN.NGDP_D.A</t>
        </is>
      </c>
      <c r="E3190" s="3" t="inlineStr">
        <is>
          <t>Venezuela, República Bolivariana de</t>
        </is>
      </c>
      <c r="F3190" s="3" t="inlineStr">
        <is>
          <t>Gross domestic product (GDP), Price deflator, Index</t>
        </is>
      </c>
      <c r="G3190" s="3" t="n">
        <v>194.219957</v>
      </c>
      <c r="H3190" s="3" t="n">
        <v>209.751682</v>
      </c>
      <c r="I3190" s="3" t="n">
        <v>279.013436</v>
      </c>
      <c r="J3190" s="3" t="n">
        <v>376.487848</v>
      </c>
      <c r="K3190" s="3" t="n">
        <v>504.321043</v>
      </c>
      <c r="L3190" s="3" t="n">
        <v>653.61812</v>
      </c>
      <c r="M3190" s="3" t="n">
        <v>770.6430319999999</v>
      </c>
      <c r="N3190" s="3" t="n">
        <v>889.69523</v>
      </c>
      <c r="O3190" s="3" t="n">
        <v>1157.784098</v>
      </c>
      <c r="P3190" s="3" t="n">
        <v>1248.456248</v>
      </c>
      <c r="Q3190" s="3" t="n">
        <v>1822.039722</v>
      </c>
      <c r="R3190" s="3" t="n">
        <v>2334.930199</v>
      </c>
      <c r="S3190" s="3" t="n">
        <v>2822.819045</v>
      </c>
      <c r="T3190" s="3" t="n">
        <v>3927.055151</v>
      </c>
      <c r="U3190" s="3" t="n">
        <v>8036.514615</v>
      </c>
      <c r="V3190" s="3" t="n">
        <v>18928.562056</v>
      </c>
      <c r="W3190" s="3" t="n">
        <v>77129.499887</v>
      </c>
      <c r="X3190" s="3" t="n">
        <v>886786.6498210001</v>
      </c>
      <c r="Y3190" s="3" t="n">
        <v>2002288992.63354</v>
      </c>
      <c r="Z3190" s="3" t="n">
        <v>440959054333.626</v>
      </c>
      <c r="AA3190" s="3" t="n">
        <v>8776852057549.98</v>
      </c>
      <c r="AB3190" s="3" t="n">
        <v>114849412801672</v>
      </c>
      <c r="AC3190" s="3" t="n">
        <v>357202371638937</v>
      </c>
      <c r="AD3190" s="3" t="n">
        <v>1671328182254560</v>
      </c>
      <c r="AE3190" s="3" t="n">
        <v>2603652834244790</v>
      </c>
      <c r="AF3190" s="3" t="n">
        <v>8519541204340900</v>
      </c>
      <c r="AG3190" s="3" t="n">
        <v>4.45727471876004e+16</v>
      </c>
      <c r="AH3190" s="3" t="n">
        <v>8.65855298984416e+16</v>
      </c>
      <c r="AI3190" s="3" t="n"/>
      <c r="AJ3190" s="3" t="n"/>
      <c r="AK3190" s="3" t="n"/>
      <c r="AL3190" s="3" t="n"/>
      <c r="AM3190" s="3" t="n"/>
      <c r="AN3190" s="3" t="n"/>
      <c r="AO3190" s="3" t="n"/>
      <c r="AP3190" s="3" t="n"/>
      <c r="AQ3190" s="3" t="n"/>
      <c r="AR3190" s="3" t="n"/>
      <c r="AS3190" s="3" t="n"/>
      <c r="AT3190" s="3" t="n"/>
      <c r="AU3190" s="3" t="n"/>
    </row>
    <row r="3191">
      <c r="A3191" s="3" t="inlineStr">
        <is>
          <t>INDICATOR</t>
        </is>
      </c>
      <c r="B3191" s="3" t="inlineStr">
        <is>
          <t>VEN</t>
        </is>
      </c>
      <c r="C3191" s="3" t="inlineStr">
        <is>
          <t>IMF.RES:WEO</t>
        </is>
      </c>
      <c r="D3191" s="3" t="inlineStr">
        <is>
          <t>VEN.NGDP_R.A</t>
        </is>
      </c>
      <c r="E3191" s="3" t="inlineStr">
        <is>
          <t>Venezuela, República Bolivariana de</t>
        </is>
      </c>
      <c r="F3191" s="3" t="inlineStr">
        <is>
          <t>Gross domestic product (GDP), Constant prices, Domestic currency</t>
        </is>
      </c>
      <c r="G3191" s="3" t="n"/>
      <c r="H3191" s="3" t="n"/>
      <c r="I3191" s="3" t="n"/>
      <c r="J3191" s="3" t="n"/>
      <c r="K3191" s="3" t="n"/>
      <c r="L3191" s="3" t="n"/>
      <c r="M3191" s="3" t="n"/>
      <c r="N3191" s="3" t="n"/>
      <c r="O3191" s="3" t="n"/>
      <c r="P3191" s="3" t="n"/>
      <c r="Q3191" s="3" t="n"/>
      <c r="R3191" s="3" t="n"/>
      <c r="S3191" s="3" t="n"/>
      <c r="T3191" s="3" t="n"/>
      <c r="U3191" s="3" t="n"/>
      <c r="V3191" s="3" t="n"/>
      <c r="W3191" s="3" t="n"/>
      <c r="X3191" s="3" t="n"/>
      <c r="Y3191" s="3" t="n"/>
      <c r="Z3191" s="3" t="n"/>
      <c r="AA3191" s="3" t="n"/>
      <c r="AB3191" s="3" t="n"/>
      <c r="AC3191" s="3" t="n"/>
      <c r="AD3191" s="3" t="n"/>
      <c r="AE3191" s="3" t="n"/>
      <c r="AF3191" s="3" t="n"/>
      <c r="AG3191" s="3" t="n"/>
      <c r="AH3191" s="3" t="n"/>
      <c r="AI3191" s="3" t="n"/>
      <c r="AJ3191" s="3" t="n"/>
      <c r="AK3191" s="3" t="n"/>
      <c r="AL3191" s="3" t="n"/>
      <c r="AM3191" s="3" t="n"/>
      <c r="AN3191" s="3" t="n"/>
      <c r="AO3191" s="3" t="n"/>
      <c r="AP3191" s="3" t="n"/>
      <c r="AQ3191" s="3" t="n"/>
      <c r="AR3191" s="3" t="n"/>
      <c r="AS3191" s="3" t="n"/>
      <c r="AT3191" s="3" t="n"/>
      <c r="AU3191" s="3" t="n"/>
    </row>
    <row r="3192">
      <c r="A3192" s="3" t="n">
        <v>2027</v>
      </c>
      <c r="B3192" s="3" t="inlineStr">
        <is>
          <t>VEN</t>
        </is>
      </c>
      <c r="C3192" s="3" t="inlineStr">
        <is>
          <t>IMF.RES:WEO</t>
        </is>
      </c>
      <c r="D3192" s="3" t="inlineStr">
        <is>
          <t>VEN.NGDP_RPCH.A</t>
        </is>
      </c>
      <c r="E3192" s="3" t="inlineStr">
        <is>
          <t>Venezuela, República Bolivariana de</t>
        </is>
      </c>
      <c r="F3192" s="3" t="inlineStr">
        <is>
          <t>Gross domestic product (GDP), Constant prices, Percent change</t>
        </is>
      </c>
      <c r="G3192" s="3" t="n">
        <v>3.686944</v>
      </c>
      <c r="H3192" s="3" t="n">
        <v>3.394236</v>
      </c>
      <c r="I3192" s="3" t="n">
        <v>-8.855646999999999</v>
      </c>
      <c r="J3192" s="3" t="n">
        <v>-7.7553</v>
      </c>
      <c r="K3192" s="3" t="n">
        <v>18.286607</v>
      </c>
      <c r="L3192" s="3" t="n">
        <v>10.317914</v>
      </c>
      <c r="M3192" s="3" t="n">
        <v>9.872149</v>
      </c>
      <c r="N3192" s="3" t="n">
        <v>8.753579</v>
      </c>
      <c r="O3192" s="3" t="n">
        <v>5.277854</v>
      </c>
      <c r="P3192" s="3" t="n">
        <v>-3.202303</v>
      </c>
      <c r="Q3192" s="3" t="n">
        <v>-1.488791</v>
      </c>
      <c r="R3192" s="3" t="n">
        <v>4.176425</v>
      </c>
      <c r="S3192" s="3" t="n">
        <v>5.625957</v>
      </c>
      <c r="T3192" s="3" t="n">
        <v>1.343094</v>
      </c>
      <c r="U3192" s="3" t="n">
        <v>-3.894386</v>
      </c>
      <c r="V3192" s="3" t="n">
        <v>-6.221371</v>
      </c>
      <c r="W3192" s="3" t="n">
        <v>-17.040335</v>
      </c>
      <c r="X3192" s="3" t="n">
        <v>-15.671409</v>
      </c>
      <c r="Y3192" s="3" t="n">
        <v>-19.655342</v>
      </c>
      <c r="Z3192" s="3" t="n">
        <v>-27.657968</v>
      </c>
      <c r="AA3192" s="3" t="n">
        <v>-29.99857</v>
      </c>
      <c r="AB3192" s="3" t="n">
        <v>0.955433</v>
      </c>
      <c r="AC3192" s="3" t="n">
        <v>8.000913000000001</v>
      </c>
      <c r="AD3192" s="3" t="n">
        <v>4.001686</v>
      </c>
      <c r="AE3192" s="3" t="n">
        <v>5.297679</v>
      </c>
      <c r="AF3192" s="3" t="n">
        <v>1.532861</v>
      </c>
      <c r="AG3192" s="3" t="n">
        <v>4.042661</v>
      </c>
      <c r="AH3192" s="3" t="n">
        <v>5.9972</v>
      </c>
      <c r="AI3192" s="3" t="n"/>
      <c r="AJ3192" s="3" t="n"/>
      <c r="AK3192" s="3" t="n"/>
      <c r="AL3192" s="3" t="n"/>
      <c r="AM3192" s="3" t="n"/>
      <c r="AN3192" s="3" t="n"/>
      <c r="AO3192" s="3" t="n"/>
      <c r="AP3192" s="3" t="n"/>
      <c r="AQ3192" s="3" t="n"/>
      <c r="AR3192" s="3" t="n"/>
      <c r="AS3192" s="3" t="n"/>
      <c r="AT3192" s="3" t="n"/>
      <c r="AU3192" s="3" t="n"/>
    </row>
    <row r="3193">
      <c r="A3193" s="3" t="n">
        <v>2027</v>
      </c>
      <c r="B3193" s="3" t="inlineStr">
        <is>
          <t>VEN</t>
        </is>
      </c>
      <c r="C3193" s="3" t="inlineStr">
        <is>
          <t>IMF.RES:WEO</t>
        </is>
      </c>
      <c r="D3193" s="3" t="inlineStr">
        <is>
          <t>VEN.NGDPD.A</t>
        </is>
      </c>
      <c r="E3193" s="3" t="inlineStr">
        <is>
          <t>Venezuela, República Bolivariana de</t>
        </is>
      </c>
      <c r="F3193" s="3" t="inlineStr">
        <is>
          <t>Gross domestic product (GDP), Current prices, US dollar</t>
        </is>
      </c>
      <c r="G3193" s="3" t="n">
        <v>117.59554</v>
      </c>
      <c r="H3193" s="3" t="n">
        <v>123.119428</v>
      </c>
      <c r="I3193" s="3" t="n">
        <v>95.257853</v>
      </c>
      <c r="J3193" s="3" t="n">
        <v>83.68414900000001</v>
      </c>
      <c r="K3193" s="3" t="n">
        <v>112.254047</v>
      </c>
      <c r="L3193" s="3" t="n">
        <v>143.375255</v>
      </c>
      <c r="M3193" s="3" t="n">
        <v>178.520926</v>
      </c>
      <c r="N3193" s="3" t="n">
        <v>232.857191</v>
      </c>
      <c r="O3193" s="3" t="n">
        <v>306.764322</v>
      </c>
      <c r="P3193" s="3" t="n">
        <v>268.623668</v>
      </c>
      <c r="Q3193" s="3" t="n">
        <v>318.280503</v>
      </c>
      <c r="R3193" s="3" t="n">
        <v>316.48241</v>
      </c>
      <c r="S3193" s="3" t="n">
        <v>372.591992</v>
      </c>
      <c r="T3193" s="3" t="n">
        <v>258.931842</v>
      </c>
      <c r="U3193" s="3" t="n">
        <v>214.689576</v>
      </c>
      <c r="V3193" s="3" t="n">
        <v>125.449472</v>
      </c>
      <c r="W3193" s="3" t="n">
        <v>112.914909</v>
      </c>
      <c r="X3193" s="3" t="n">
        <v>115.882145</v>
      </c>
      <c r="Y3193" s="3" t="n">
        <v>102.020739</v>
      </c>
      <c r="Z3193" s="3" t="n">
        <v>73.013796</v>
      </c>
      <c r="AA3193" s="3" t="n">
        <v>42.837989</v>
      </c>
      <c r="AB3193" s="3" t="n">
        <v>56.615017</v>
      </c>
      <c r="AC3193" s="3" t="n">
        <v>89.01325900000001</v>
      </c>
      <c r="AD3193" s="3" t="n">
        <v>102.377526</v>
      </c>
      <c r="AE3193" s="3" t="n">
        <v>120.566093</v>
      </c>
      <c r="AF3193" s="3" t="n">
        <v>99.661235</v>
      </c>
      <c r="AG3193" s="3" t="n">
        <v>111.303343</v>
      </c>
      <c r="AH3193" s="3" t="n">
        <v>117.908128</v>
      </c>
      <c r="AI3193" s="3" t="n"/>
      <c r="AJ3193" s="3" t="n"/>
      <c r="AK3193" s="3" t="n"/>
      <c r="AL3193" s="3" t="n"/>
      <c r="AM3193" s="3" t="n"/>
      <c r="AN3193" s="3" t="n"/>
      <c r="AO3193" s="3" t="n"/>
      <c r="AP3193" s="3" t="n"/>
      <c r="AQ3193" s="3" t="n"/>
      <c r="AR3193" s="3" t="n"/>
      <c r="AS3193" s="3" t="n"/>
      <c r="AT3193" s="3" t="n"/>
      <c r="AU3193" s="3" t="n"/>
    </row>
    <row r="3194">
      <c r="A3194" s="3" t="n">
        <v>2027</v>
      </c>
      <c r="B3194" s="3" t="inlineStr">
        <is>
          <t>VEN</t>
        </is>
      </c>
      <c r="C3194" s="3" t="inlineStr">
        <is>
          <t>IMF.RES:WEO</t>
        </is>
      </c>
      <c r="D3194" s="3" t="inlineStr">
        <is>
          <t>VEN.NGDPPC.A</t>
        </is>
      </c>
      <c r="E3194" s="3" t="inlineStr">
        <is>
          <t>Venezuela, República Bolivariana de</t>
        </is>
      </c>
      <c r="F3194" s="3" t="inlineStr">
        <is>
          <t>Gross domestic product (GDP), Current prices, Per capita, Domestic currency</t>
        </is>
      </c>
      <c r="G3194" s="3" t="n"/>
      <c r="H3194" s="3" t="n"/>
      <c r="I3194" s="3" t="n"/>
      <c r="J3194" s="3" t="n"/>
      <c r="K3194" s="3" t="n"/>
      <c r="L3194" s="3" t="n"/>
      <c r="M3194" s="3" t="n"/>
      <c r="N3194" s="3" t="n"/>
      <c r="O3194" s="3" t="n"/>
      <c r="P3194" s="3" t="n"/>
      <c r="Q3194" s="3" t="n"/>
      <c r="R3194" s="3" t="n"/>
      <c r="S3194" s="3" t="n">
        <v>1e-06</v>
      </c>
      <c r="T3194" s="3" t="n">
        <v>1e-06</v>
      </c>
      <c r="U3194" s="3" t="n">
        <v>2e-06</v>
      </c>
      <c r="V3194" s="3" t="n">
        <v>3e-06</v>
      </c>
      <c r="W3194" s="3" t="n">
        <v>1.2e-05</v>
      </c>
      <c r="X3194" s="3" t="n">
        <v>0.000114</v>
      </c>
      <c r="Y3194" s="3" t="n">
        <v>0.218401</v>
      </c>
      <c r="Z3194" s="3" t="n">
        <v>36.153957</v>
      </c>
      <c r="AA3194" s="3" t="n">
        <v>501.324853</v>
      </c>
      <c r="AB3194" s="3" t="n">
        <v>6710.287256</v>
      </c>
      <c r="AC3194" s="3" t="n">
        <v>23100.186301</v>
      </c>
      <c r="AD3194" s="3" t="n">
        <v>113153.593713</v>
      </c>
      <c r="AE3194" s="3" t="n">
        <v>186864.725906</v>
      </c>
      <c r="AF3194" s="3" t="n">
        <v>618203.818933</v>
      </c>
      <c r="AG3194" s="3" t="n">
        <v>3338380.209845</v>
      </c>
      <c r="AH3194" s="3" t="n">
        <v>6819390.752229</v>
      </c>
      <c r="AI3194" s="3" t="n"/>
      <c r="AJ3194" s="3" t="n"/>
      <c r="AK3194" s="3" t="n"/>
      <c r="AL3194" s="3" t="n"/>
      <c r="AM3194" s="3" t="n"/>
      <c r="AN3194" s="3" t="n"/>
      <c r="AO3194" s="3" t="n"/>
      <c r="AP3194" s="3" t="n"/>
      <c r="AQ3194" s="3" t="n"/>
      <c r="AR3194" s="3" t="n"/>
      <c r="AS3194" s="3" t="n"/>
      <c r="AT3194" s="3" t="n"/>
      <c r="AU3194" s="3" t="n"/>
    </row>
    <row r="3195">
      <c r="A3195" s="3" t="inlineStr">
        <is>
          <t>INDICATOR</t>
        </is>
      </c>
      <c r="B3195" s="3" t="inlineStr">
        <is>
          <t>VEN</t>
        </is>
      </c>
      <c r="C3195" s="3" t="inlineStr">
        <is>
          <t>IMF.RES:WEO</t>
        </is>
      </c>
      <c r="D3195" s="3" t="inlineStr">
        <is>
          <t>VEN.NGDPRPC.A</t>
        </is>
      </c>
      <c r="E3195" s="3" t="inlineStr">
        <is>
          <t>Venezuela, República Bolivariana de</t>
        </is>
      </c>
      <c r="F3195" s="3" t="inlineStr">
        <is>
          <t>Gross domestic product (GDP), Constant prices, Per capita, Domestic currency</t>
        </is>
      </c>
      <c r="G3195" s="3" t="n"/>
      <c r="H3195" s="3" t="n"/>
      <c r="I3195" s="3" t="n"/>
      <c r="J3195" s="3" t="n"/>
      <c r="K3195" s="3" t="n"/>
      <c r="L3195" s="3" t="n"/>
      <c r="M3195" s="3" t="n"/>
      <c r="N3195" s="3" t="n"/>
      <c r="O3195" s="3" t="n"/>
      <c r="P3195" s="3" t="n"/>
      <c r="Q3195" s="3" t="n"/>
      <c r="R3195" s="3" t="n"/>
      <c r="S3195" s="3" t="n"/>
      <c r="T3195" s="3" t="n"/>
      <c r="U3195" s="3" t="n"/>
      <c r="V3195" s="3" t="n"/>
      <c r="W3195" s="3" t="n"/>
      <c r="X3195" s="3" t="n"/>
      <c r="Y3195" s="3" t="n"/>
      <c r="Z3195" s="3" t="n"/>
      <c r="AA3195" s="3" t="n"/>
      <c r="AB3195" s="3" t="n"/>
      <c r="AC3195" s="3" t="n"/>
      <c r="AD3195" s="3" t="n"/>
      <c r="AE3195" s="3" t="n"/>
      <c r="AF3195" s="3" t="n"/>
      <c r="AG3195" s="3" t="n"/>
      <c r="AH3195" s="3" t="n"/>
      <c r="AI3195" s="3" t="n"/>
      <c r="AJ3195" s="3" t="n"/>
      <c r="AK3195" s="3" t="n"/>
      <c r="AL3195" s="3" t="n"/>
      <c r="AM3195" s="3" t="n"/>
      <c r="AN3195" s="3" t="n"/>
      <c r="AO3195" s="3" t="n"/>
      <c r="AP3195" s="3" t="n"/>
      <c r="AQ3195" s="3" t="n"/>
      <c r="AR3195" s="3" t="n"/>
      <c r="AS3195" s="3" t="n"/>
      <c r="AT3195" s="3" t="n"/>
      <c r="AU3195" s="3" t="n"/>
    </row>
    <row r="3196">
      <c r="A3196" s="3" t="n">
        <v>2027</v>
      </c>
      <c r="B3196" s="3" t="inlineStr">
        <is>
          <t>VEN</t>
        </is>
      </c>
      <c r="C3196" s="3" t="inlineStr">
        <is>
          <t>IMF.RES:WEO</t>
        </is>
      </c>
      <c r="D3196" s="3" t="inlineStr">
        <is>
          <t>VEN.PCPI.A</t>
        </is>
      </c>
      <c r="E3196" s="3" t="inlineStr">
        <is>
          <t>Venezuela, República Bolivariana de</t>
        </is>
      </c>
      <c r="F3196" s="3" t="inlineStr">
        <is>
          <t>All Items, Consumer price index (CPI), Period average</t>
        </is>
      </c>
      <c r="G3196" s="3" t="n">
        <v>0.249531</v>
      </c>
      <c r="H3196" s="3" t="n">
        <v>0.2808</v>
      </c>
      <c r="I3196" s="3" t="n">
        <v>0.343793</v>
      </c>
      <c r="J3196" s="3" t="n">
        <v>0.45068</v>
      </c>
      <c r="K3196" s="3" t="n">
        <v>0.54869</v>
      </c>
      <c r="L3196" s="3" t="n">
        <v>0.636231</v>
      </c>
      <c r="M3196" s="3" t="n">
        <v>0.723157</v>
      </c>
      <c r="N3196" s="3" t="n">
        <v>0.858378</v>
      </c>
      <c r="O3196" s="3" t="n">
        <v>1.128257</v>
      </c>
      <c r="P3196" s="3" t="n">
        <v>1.422065</v>
      </c>
      <c r="Q3196" s="3" t="n">
        <v>1.822909</v>
      </c>
      <c r="R3196" s="3" t="n">
        <v>2.29851</v>
      </c>
      <c r="S3196" s="3" t="n">
        <v>2.782783</v>
      </c>
      <c r="T3196" s="3" t="n">
        <v>3.91369</v>
      </c>
      <c r="U3196" s="3" t="n">
        <v>6.346778</v>
      </c>
      <c r="V3196" s="3" t="n">
        <v>14.073225</v>
      </c>
      <c r="W3196" s="3" t="n">
        <v>49.952705</v>
      </c>
      <c r="X3196" s="3" t="n">
        <v>268.8041</v>
      </c>
      <c r="Y3196" s="3" t="n">
        <v>175997.017277</v>
      </c>
      <c r="Z3196" s="3" t="n">
        <v>35210006.070234</v>
      </c>
      <c r="AA3196" s="3" t="n">
        <v>864457493.193198</v>
      </c>
      <c r="AB3196" s="3" t="n">
        <v>14596478386.4204</v>
      </c>
      <c r="AC3196" s="3" t="n">
        <v>41825067385.2173</v>
      </c>
      <c r="AD3196" s="3" t="n">
        <v>182966931848.496</v>
      </c>
      <c r="AE3196" s="3" t="n">
        <v>273271902383.185</v>
      </c>
      <c r="AF3196" s="3" t="n">
        <v>961791349564.674</v>
      </c>
      <c r="AG3196" s="3" t="n">
        <v>4687740584313.04</v>
      </c>
      <c r="AH3196" s="3" t="n">
        <v>9111677627913.15</v>
      </c>
      <c r="AI3196" s="3" t="n"/>
      <c r="AJ3196" s="3" t="n"/>
      <c r="AK3196" s="3" t="n"/>
      <c r="AL3196" s="3" t="n"/>
      <c r="AM3196" s="3" t="n"/>
      <c r="AN3196" s="3" t="n"/>
      <c r="AO3196" s="3" t="n"/>
      <c r="AP3196" s="3" t="n"/>
      <c r="AQ3196" s="3" t="n"/>
      <c r="AR3196" s="3" t="n"/>
      <c r="AS3196" s="3" t="n"/>
      <c r="AT3196" s="3" t="n"/>
      <c r="AU3196" s="3" t="n"/>
    </row>
    <row r="3197">
      <c r="A3197" s="3" t="n">
        <v>2027</v>
      </c>
      <c r="B3197" s="3" t="inlineStr">
        <is>
          <t>VEN</t>
        </is>
      </c>
      <c r="C3197" s="3" t="inlineStr">
        <is>
          <t>IMF.RES:WEO</t>
        </is>
      </c>
      <c r="D3197" s="3" t="inlineStr">
        <is>
          <t>VEN.PCPIPCH.A</t>
        </is>
      </c>
      <c r="E3197" s="3" t="inlineStr">
        <is>
          <t>Venezuela, República Bolivariana de</t>
        </is>
      </c>
      <c r="F3197" s="3" t="inlineStr">
        <is>
          <t>All Items, Consumer price index (CPI), Period average, percent change</t>
        </is>
      </c>
      <c r="G3197" s="3" t="n">
        <v>16.205518</v>
      </c>
      <c r="H3197" s="3" t="n">
        <v>12.530988</v>
      </c>
      <c r="I3197" s="3" t="n">
        <v>22.433599</v>
      </c>
      <c r="J3197" s="3" t="n">
        <v>31.090513</v>
      </c>
      <c r="K3197" s="3" t="n">
        <v>21.747036</v>
      </c>
      <c r="L3197" s="3" t="n">
        <v>15.954628</v>
      </c>
      <c r="M3197" s="3" t="n">
        <v>13.662646</v>
      </c>
      <c r="N3197" s="3" t="n">
        <v>18.698645</v>
      </c>
      <c r="O3197" s="3" t="n">
        <v>31.440599</v>
      </c>
      <c r="P3197" s="3" t="n">
        <v>26.040851</v>
      </c>
      <c r="Q3197" s="3" t="n">
        <v>28.187465</v>
      </c>
      <c r="R3197" s="3" t="n">
        <v>26.090212</v>
      </c>
      <c r="S3197" s="3" t="n">
        <v>21.068996</v>
      </c>
      <c r="T3197" s="3" t="n">
        <v>40.639428</v>
      </c>
      <c r="U3197" s="3" t="n">
        <v>62.16865</v>
      </c>
      <c r="V3197" s="3" t="n">
        <v>121.738085</v>
      </c>
      <c r="W3197" s="3" t="n">
        <v>254.948535</v>
      </c>
      <c r="X3197" s="3" t="n">
        <v>438.117207</v>
      </c>
      <c r="Y3197" s="3" t="n">
        <v>65374.082084</v>
      </c>
      <c r="Z3197" s="3" t="n">
        <v>19906.024315</v>
      </c>
      <c r="AA3197" s="3" t="n">
        <v>2355.147243</v>
      </c>
      <c r="AB3197" s="3" t="n">
        <v>1588.513143</v>
      </c>
      <c r="AC3197" s="3" t="n">
        <v>186.54218</v>
      </c>
      <c r="AD3197" s="3" t="n">
        <v>337.45759</v>
      </c>
      <c r="AE3197" s="3" t="n">
        <v>49.355897</v>
      </c>
      <c r="AF3197" s="3" t="n">
        <v>251.953985</v>
      </c>
      <c r="AG3197" s="3" t="n">
        <v>387.396834</v>
      </c>
      <c r="AH3197" s="3" t="n">
        <v>94.37248</v>
      </c>
      <c r="AI3197" s="3" t="n"/>
      <c r="AJ3197" s="3" t="n"/>
      <c r="AK3197" s="3" t="n"/>
      <c r="AL3197" s="3" t="n"/>
      <c r="AM3197" s="3" t="n"/>
      <c r="AN3197" s="3" t="n"/>
      <c r="AO3197" s="3" t="n"/>
      <c r="AP3197" s="3" t="n"/>
      <c r="AQ3197" s="3" t="n"/>
      <c r="AR3197" s="3" t="n"/>
      <c r="AS3197" s="3" t="n"/>
      <c r="AT3197" s="3" t="n"/>
      <c r="AU3197" s="3" t="n"/>
    </row>
    <row r="3198">
      <c r="A3198" s="3" t="n">
        <v>2027</v>
      </c>
      <c r="B3198" s="3" t="inlineStr">
        <is>
          <t>VEN</t>
        </is>
      </c>
      <c r="C3198" s="3" t="inlineStr">
        <is>
          <t>IMF.RES:WEO</t>
        </is>
      </c>
      <c r="D3198" s="3" t="inlineStr">
        <is>
          <t>VEN.PPPPC.A</t>
        </is>
      </c>
      <c r="E3198" s="3" t="inlineStr">
        <is>
          <t>Venezuela, República Bolivariana de</t>
        </is>
      </c>
      <c r="F3198" s="3" t="inlineStr">
        <is>
          <t>Gross domestic product (GDP), Per capita, purchasing power parity (PPP) international dollar, ICP benchmarks 2017-2021</t>
        </is>
      </c>
      <c r="G3198" s="3" t="n">
        <v>11640.053355</v>
      </c>
      <c r="H3198" s="3" t="n">
        <v>12103.330714</v>
      </c>
      <c r="I3198" s="3" t="n">
        <v>11021.090419</v>
      </c>
      <c r="J3198" s="3" t="n">
        <v>10201.203967</v>
      </c>
      <c r="K3198" s="3" t="n">
        <v>12195.553782</v>
      </c>
      <c r="L3198" s="3" t="n">
        <v>13659.604951</v>
      </c>
      <c r="M3198" s="3" t="n">
        <v>15232.895441</v>
      </c>
      <c r="N3198" s="3" t="n">
        <v>16756.513953</v>
      </c>
      <c r="O3198" s="3" t="n">
        <v>17710.636233</v>
      </c>
      <c r="P3198" s="3" t="n">
        <v>16993.128262</v>
      </c>
      <c r="Q3198" s="3" t="n">
        <v>16695.002263</v>
      </c>
      <c r="R3198" s="3" t="n">
        <v>17493.72945</v>
      </c>
      <c r="S3198" s="3" t="n">
        <v>18551.878726</v>
      </c>
      <c r="T3198" s="3" t="n">
        <v>18850.905915</v>
      </c>
      <c r="U3198" s="3" t="n">
        <v>18176.004543</v>
      </c>
      <c r="V3198" s="3" t="n">
        <v>16970.969139</v>
      </c>
      <c r="W3198" s="3" t="n">
        <v>14169.522901</v>
      </c>
      <c r="X3198" s="3" t="n">
        <v>12271.362159</v>
      </c>
      <c r="Y3198" s="3" t="n">
        <v>10622.180859</v>
      </c>
      <c r="Z3198" s="3" t="n">
        <v>8116.198789</v>
      </c>
      <c r="AA3198" s="3" t="n">
        <v>5730.286531</v>
      </c>
      <c r="AB3198" s="3" t="n">
        <v>6128.962935</v>
      </c>
      <c r="AC3198" s="3" t="n">
        <v>7266.338377</v>
      </c>
      <c r="AD3198" s="3" t="n">
        <v>7888.600825</v>
      </c>
      <c r="AE3198" s="3" t="n">
        <v>8570.132154999999</v>
      </c>
      <c r="AF3198" s="3" t="n">
        <v>8910.604244</v>
      </c>
      <c r="AG3198" s="3" t="n">
        <v>9460.739297</v>
      </c>
      <c r="AH3198" s="3" t="n">
        <v>10166.990517</v>
      </c>
      <c r="AI3198" s="3" t="n"/>
      <c r="AJ3198" s="3" t="n"/>
      <c r="AK3198" s="3" t="n"/>
      <c r="AL3198" s="3" t="n"/>
      <c r="AM3198" s="3" t="n"/>
      <c r="AN3198" s="3" t="n"/>
      <c r="AO3198" s="3" t="n"/>
      <c r="AP3198" s="3" t="n"/>
      <c r="AQ3198" s="3" t="n"/>
      <c r="AR3198" s="3" t="n"/>
      <c r="AS3198" s="3" t="n"/>
      <c r="AT3198" s="3" t="n"/>
      <c r="AU3198" s="3" t="n"/>
    </row>
    <row r="3199">
      <c r="A3199" s="3" t="n">
        <v>2025</v>
      </c>
      <c r="B3199" s="3" t="inlineStr">
        <is>
          <t>VEN</t>
        </is>
      </c>
      <c r="C3199" s="3" t="inlineStr">
        <is>
          <t>IMF.STA:ER</t>
        </is>
      </c>
      <c r="D3199" s="3" t="inlineStr">
        <is>
          <t>VEN.XDC_USD.PA_RT.A</t>
        </is>
      </c>
      <c r="E3199" s="3" t="inlineStr">
        <is>
          <t>Venezuela, República Bolivariana de</t>
        </is>
      </c>
      <c r="F3199" s="3" t="inlineStr">
        <is>
          <t>Domestic currency per US Dollar</t>
        </is>
      </c>
      <c r="G3199" s="3" t="n">
        <v>0.6799666666666661</v>
      </c>
      <c r="H3199" s="3" t="n">
        <v>0.723658333333333</v>
      </c>
      <c r="I3199" s="3" t="n">
        <v>1.16095</v>
      </c>
      <c r="J3199" s="3" t="n">
        <v>1.60695833333333</v>
      </c>
      <c r="K3199" s="3" t="n">
        <v>1.89133333333333</v>
      </c>
      <c r="L3199" s="3" t="n">
        <v>2.08975</v>
      </c>
      <c r="M3199" s="3" t="n">
        <v>2.147</v>
      </c>
      <c r="N3199" s="3" t="n">
        <v>2.147</v>
      </c>
      <c r="O3199" s="3" t="n">
        <v>2.147</v>
      </c>
      <c r="P3199" s="3" t="n">
        <v>2.147</v>
      </c>
      <c r="Q3199" s="3" t="n">
        <v>2.58206031746031</v>
      </c>
      <c r="R3199" s="3" t="n">
        <v>4.2893</v>
      </c>
      <c r="S3199" s="3" t="n">
        <v>4.2893</v>
      </c>
      <c r="T3199" s="3" t="n">
        <v>6.04796184166666</v>
      </c>
      <c r="U3199" s="3" t="n">
        <v>6.2842</v>
      </c>
      <c r="V3199" s="3" t="n">
        <v>6.2842</v>
      </c>
      <c r="W3199" s="3" t="n">
        <v>9.25734444444166</v>
      </c>
      <c r="X3199" s="3" t="n">
        <v>9.975</v>
      </c>
      <c r="Y3199" s="3" t="n"/>
      <c r="Z3199" s="3" t="n"/>
      <c r="AA3199" s="3" t="n">
        <v>315575.801683205</v>
      </c>
      <c r="AB3199" s="3" t="n">
        <v>2104580.83528659</v>
      </c>
      <c r="AC3199" s="3" t="n">
        <v>6.68388238636363</v>
      </c>
      <c r="AD3199" s="3" t="n">
        <v>28.6353609715035</v>
      </c>
      <c r="AE3199" s="3" t="n">
        <v>38.3783597589844</v>
      </c>
      <c r="AF3199" s="3" t="n">
        <v>38.3783597589844</v>
      </c>
      <c r="AG3199" s="3" t="n"/>
      <c r="AH3199" s="3" t="n"/>
      <c r="AI3199" s="3" t="n"/>
      <c r="AJ3199" s="3" t="n"/>
      <c r="AK3199" s="3" t="n"/>
      <c r="AL3199" s="3" t="n"/>
      <c r="AM3199" s="3" t="n"/>
      <c r="AN3199" s="3" t="n"/>
      <c r="AO3199" s="3" t="n"/>
      <c r="AP3199" s="3" t="n"/>
      <c r="AQ3199" s="3" t="n"/>
      <c r="AR3199" s="3" t="n"/>
      <c r="AS3199" s="3" t="n"/>
      <c r="AT3199" s="3" t="n"/>
      <c r="AU3199" s="3" t="n"/>
    </row>
    <row r="3200">
      <c r="A3200" s="3" t="n">
        <v>2031</v>
      </c>
      <c r="B3200" s="3" t="inlineStr">
        <is>
          <t>VNM</t>
        </is>
      </c>
      <c r="C3200" s="3" t="inlineStr">
        <is>
          <t>IMF.RES:WEO</t>
        </is>
      </c>
      <c r="D3200" s="3" t="inlineStr">
        <is>
          <t>VNM.BCA.A</t>
        </is>
      </c>
      <c r="E3200" s="3" t="inlineStr">
        <is>
          <t>Vietnam</t>
        </is>
      </c>
      <c r="F3200" s="3" t="inlineStr">
        <is>
          <t>Current account balance (credit less debit), US dollar</t>
        </is>
      </c>
      <c r="G3200" s="3" t="n">
        <v>0.85</v>
      </c>
      <c r="H3200" s="3" t="n">
        <v>0.92</v>
      </c>
      <c r="I3200" s="3" t="n">
        <v>-0.6268010000000001</v>
      </c>
      <c r="J3200" s="3" t="n">
        <v>-1.931</v>
      </c>
      <c r="K3200" s="3" t="n">
        <v>-1.591</v>
      </c>
      <c r="L3200" s="3" t="n">
        <v>-0.560189</v>
      </c>
      <c r="M3200" s="3" t="n">
        <v>-0.163742</v>
      </c>
      <c r="N3200" s="3" t="n">
        <v>-6.992</v>
      </c>
      <c r="O3200" s="3" t="n">
        <v>-10.787</v>
      </c>
      <c r="P3200" s="3" t="n">
        <v>-6.608</v>
      </c>
      <c r="Q3200" s="3" t="n">
        <v>-4.276</v>
      </c>
      <c r="R3200" s="3" t="n">
        <v>0.233</v>
      </c>
      <c r="S3200" s="3" t="n">
        <v>9.266999999999999</v>
      </c>
      <c r="T3200" s="3" t="n">
        <v>7.744</v>
      </c>
      <c r="U3200" s="3" t="n">
        <v>8.617000000000001</v>
      </c>
      <c r="V3200" s="3" t="n">
        <v>-2.03938</v>
      </c>
      <c r="W3200" s="3" t="n">
        <v>0.624539</v>
      </c>
      <c r="X3200" s="3" t="n">
        <v>-1.650873</v>
      </c>
      <c r="Y3200" s="3" t="n">
        <v>5.768853</v>
      </c>
      <c r="Z3200" s="3" t="n">
        <v>12.477375</v>
      </c>
      <c r="AA3200" s="3" t="n">
        <v>15.060416</v>
      </c>
      <c r="AB3200" s="3" t="n">
        <v>-8.149027999999999</v>
      </c>
      <c r="AC3200" s="3" t="n">
        <v>1.4036</v>
      </c>
      <c r="AD3200" s="3" t="n">
        <v>27.590184</v>
      </c>
      <c r="AE3200" s="3" t="n">
        <v>30.385</v>
      </c>
      <c r="AF3200" s="3" t="n">
        <v>33.135</v>
      </c>
      <c r="AG3200" s="3" t="n">
        <v>27.988704</v>
      </c>
      <c r="AH3200" s="3" t="n">
        <v>24.376675</v>
      </c>
      <c r="AI3200" s="3" t="n">
        <v>19.2632</v>
      </c>
      <c r="AJ3200" s="3" t="n">
        <v>14.301965</v>
      </c>
      <c r="AK3200" s="3" t="n">
        <v>9.379557</v>
      </c>
      <c r="AL3200" s="3" t="n">
        <v>3.976683</v>
      </c>
      <c r="AM3200" s="3" t="n"/>
      <c r="AN3200" s="3" t="n"/>
      <c r="AO3200" s="3" t="n"/>
      <c r="AP3200" s="3" t="n"/>
      <c r="AQ3200" s="3" t="n"/>
      <c r="AR3200" s="3" t="n"/>
      <c r="AS3200" s="3" t="n"/>
      <c r="AT3200" s="3" t="n"/>
      <c r="AU3200" s="3" t="n"/>
    </row>
    <row r="3201">
      <c r="A3201" s="3" t="n">
        <v>2031</v>
      </c>
      <c r="B3201" s="3" t="inlineStr">
        <is>
          <t>VNM</t>
        </is>
      </c>
      <c r="C3201" s="3" t="inlineStr">
        <is>
          <t>IMF.RES:WEO</t>
        </is>
      </c>
      <c r="D3201" s="3" t="inlineStr">
        <is>
          <t>VNM.BCA_NGDPD.A</t>
        </is>
      </c>
      <c r="E3201" s="3" t="inlineStr">
        <is>
          <t>Vietnam</t>
        </is>
      </c>
      <c r="F3201" s="3" t="inlineStr">
        <is>
          <t>Current account balance (credit less debit), Percent of GDP</t>
        </is>
      </c>
      <c r="G3201" s="3" t="n">
        <v>2.147295</v>
      </c>
      <c r="H3201" s="3" t="n">
        <v>2.227787</v>
      </c>
      <c r="I3201" s="3" t="n">
        <v>-1.406548</v>
      </c>
      <c r="J3201" s="3" t="n">
        <v>-3.844054</v>
      </c>
      <c r="K3201" s="3" t="n">
        <v>-2.530339</v>
      </c>
      <c r="L3201" s="3" t="n">
        <v>-0.765314</v>
      </c>
      <c r="M3201" s="3" t="n">
        <v>-0.194235</v>
      </c>
      <c r="N3201" s="3" t="n">
        <v>-7.103802</v>
      </c>
      <c r="O3201" s="3" t="n">
        <v>-8.646445</v>
      </c>
      <c r="P3201" s="3" t="n">
        <v>-5.121604</v>
      </c>
      <c r="Q3201" s="3" t="n">
        <v>-2.984215</v>
      </c>
      <c r="R3201" s="3" t="n">
        <v>0.135965</v>
      </c>
      <c r="S3201" s="3" t="n">
        <v>4.74825</v>
      </c>
      <c r="T3201" s="3" t="n">
        <v>3.640182</v>
      </c>
      <c r="U3201" s="3" t="n">
        <v>3.700018</v>
      </c>
      <c r="V3201" s="3" t="n">
        <v>-0.861084</v>
      </c>
      <c r="W3201" s="3" t="n">
        <v>0.247696</v>
      </c>
      <c r="X3201" s="3" t="n">
        <v>-0.595819</v>
      </c>
      <c r="Y3201" s="3" t="n">
        <v>1.894695</v>
      </c>
      <c r="Z3201" s="3" t="n">
        <v>3.760384</v>
      </c>
      <c r="AA3201" s="3" t="n">
        <v>4.349164</v>
      </c>
      <c r="AB3201" s="3" t="n">
        <v>-2.202052</v>
      </c>
      <c r="AC3201" s="3" t="n">
        <v>0.341483</v>
      </c>
      <c r="AD3201" s="3" t="n">
        <v>6.372151</v>
      </c>
      <c r="AE3201" s="3" t="n">
        <v>6.613366</v>
      </c>
      <c r="AF3201" s="3" t="n">
        <v>6.706872</v>
      </c>
      <c r="AG3201" s="3" t="n">
        <v>5.308274</v>
      </c>
      <c r="AH3201" s="3" t="n">
        <v>4.373242</v>
      </c>
      <c r="AI3201" s="3" t="n">
        <v>3.238462</v>
      </c>
      <c r="AJ3201" s="3" t="n">
        <v>2.266266</v>
      </c>
      <c r="AK3201" s="3" t="n">
        <v>1.405135</v>
      </c>
      <c r="AL3201" s="3" t="n">
        <v>0.563714</v>
      </c>
      <c r="AM3201" s="3" t="n"/>
      <c r="AN3201" s="3" t="n"/>
      <c r="AO3201" s="3" t="n"/>
      <c r="AP3201" s="3" t="n"/>
      <c r="AQ3201" s="3" t="n"/>
      <c r="AR3201" s="3" t="n"/>
      <c r="AS3201" s="3" t="n"/>
      <c r="AT3201" s="3" t="n"/>
      <c r="AU3201" s="3" t="n"/>
    </row>
    <row r="3202">
      <c r="A3202" s="3" t="n">
        <v>2031</v>
      </c>
      <c r="B3202" s="3" t="inlineStr">
        <is>
          <t>VNM</t>
        </is>
      </c>
      <c r="C3202" s="3" t="inlineStr">
        <is>
          <t>IMF.RES:WEO</t>
        </is>
      </c>
      <c r="D3202" s="3" t="inlineStr">
        <is>
          <t>VNM.GGR_NGDP.A</t>
        </is>
      </c>
      <c r="E3202" s="3" t="inlineStr">
        <is>
          <t>Vietnam</t>
        </is>
      </c>
      <c r="F3202" s="3" t="inlineStr">
        <is>
          <t>Revenue, General government, Percent of GDP</t>
        </is>
      </c>
      <c r="G3202" s="3" t="n">
        <v>16.18299</v>
      </c>
      <c r="H3202" s="3" t="n">
        <v>16.999856</v>
      </c>
      <c r="I3202" s="3" t="n">
        <v>17.892333</v>
      </c>
      <c r="J3202" s="3" t="n">
        <v>19.63751</v>
      </c>
      <c r="K3202" s="3" t="n">
        <v>19.291051</v>
      </c>
      <c r="L3202" s="3" t="n">
        <v>19.671525</v>
      </c>
      <c r="M3202" s="3" t="n">
        <v>20.734417</v>
      </c>
      <c r="N3202" s="3" t="n">
        <v>20.55794</v>
      </c>
      <c r="O3202" s="3" t="n">
        <v>20.932818</v>
      </c>
      <c r="P3202" s="3" t="n">
        <v>20.150493</v>
      </c>
      <c r="Q3202" s="3" t="n">
        <v>21.469686</v>
      </c>
      <c r="R3202" s="3" t="n">
        <v>20.322863</v>
      </c>
      <c r="S3202" s="3" t="n">
        <v>18.004198</v>
      </c>
      <c r="T3202" s="3" t="n">
        <v>18.492998</v>
      </c>
      <c r="U3202" s="3" t="n">
        <v>17.738239</v>
      </c>
      <c r="V3202" s="3" t="n">
        <v>19.19037</v>
      </c>
      <c r="W3202" s="3" t="n">
        <v>19.066706</v>
      </c>
      <c r="X3202" s="3" t="n">
        <v>19.5653</v>
      </c>
      <c r="Y3202" s="3" t="n">
        <v>19.458708</v>
      </c>
      <c r="Z3202" s="3" t="n">
        <v>19.414513</v>
      </c>
      <c r="AA3202" s="3" t="n">
        <v>18.389979</v>
      </c>
      <c r="AB3202" s="3" t="n">
        <v>18.692875</v>
      </c>
      <c r="AC3202" s="3" t="n">
        <v>18.867788</v>
      </c>
      <c r="AD3202" s="3" t="n">
        <v>17.063497</v>
      </c>
      <c r="AE3202" s="3" t="n">
        <v>17.582431</v>
      </c>
      <c r="AF3202" s="3" t="n">
        <v>19.947361</v>
      </c>
      <c r="AG3202" s="3" t="n">
        <v>19.787695</v>
      </c>
      <c r="AH3202" s="3" t="n">
        <v>19.773198</v>
      </c>
      <c r="AI3202" s="3" t="n">
        <v>19.812385</v>
      </c>
      <c r="AJ3202" s="3" t="n">
        <v>19.831303</v>
      </c>
      <c r="AK3202" s="3" t="n">
        <v>19.853262</v>
      </c>
      <c r="AL3202" s="3" t="n">
        <v>19.923814</v>
      </c>
      <c r="AM3202" s="3" t="n"/>
      <c r="AN3202" s="3" t="n"/>
      <c r="AO3202" s="3" t="n"/>
      <c r="AP3202" s="3" t="n"/>
      <c r="AQ3202" s="3" t="n"/>
      <c r="AR3202" s="3" t="n"/>
      <c r="AS3202" s="3" t="n"/>
      <c r="AT3202" s="3" t="n"/>
      <c r="AU3202" s="3" t="n"/>
    </row>
    <row r="3203">
      <c r="A3203" s="3" t="n">
        <v>2031</v>
      </c>
      <c r="B3203" s="3" t="inlineStr">
        <is>
          <t>VNM</t>
        </is>
      </c>
      <c r="C3203" s="3" t="inlineStr">
        <is>
          <t>IMF.RES:WEO</t>
        </is>
      </c>
      <c r="D3203" s="3" t="inlineStr">
        <is>
          <t>VNM.GGX_NGDP.A</t>
        </is>
      </c>
      <c r="E3203" s="3" t="inlineStr">
        <is>
          <t>Vietnam</t>
        </is>
      </c>
      <c r="F3203" s="3" t="inlineStr">
        <is>
          <t>Expenditure, General government, Percent of GDP</t>
        </is>
      </c>
      <c r="G3203" s="3" t="n">
        <v>17.788289</v>
      </c>
      <c r="H3203" s="3" t="n">
        <v>19.192093</v>
      </c>
      <c r="I3203" s="3" t="n">
        <v>19.747188</v>
      </c>
      <c r="J3203" s="3" t="n">
        <v>22.196059</v>
      </c>
      <c r="K3203" s="3" t="n">
        <v>19.4406</v>
      </c>
      <c r="L3203" s="3" t="n">
        <v>20.625451</v>
      </c>
      <c r="M3203" s="3" t="n">
        <v>20.533837</v>
      </c>
      <c r="N3203" s="3" t="n">
        <v>22.296635</v>
      </c>
      <c r="O3203" s="3" t="n">
        <v>21.380005</v>
      </c>
      <c r="P3203" s="3" t="n">
        <v>24.974788</v>
      </c>
      <c r="Q3203" s="3" t="n">
        <v>23.720591</v>
      </c>
      <c r="R3203" s="3" t="n">
        <v>21.223819</v>
      </c>
      <c r="S3203" s="3" t="n">
        <v>23.466463</v>
      </c>
      <c r="T3203" s="3" t="n">
        <v>24.457023</v>
      </c>
      <c r="U3203" s="3" t="n">
        <v>22.754928</v>
      </c>
      <c r="V3203" s="3" t="n">
        <v>24.173594</v>
      </c>
      <c r="W3203" s="3" t="n">
        <v>22.230677</v>
      </c>
      <c r="X3203" s="3" t="n">
        <v>21.529306</v>
      </c>
      <c r="Y3203" s="3" t="n">
        <v>20.47976</v>
      </c>
      <c r="Z3203" s="3" t="n">
        <v>19.811254</v>
      </c>
      <c r="AA3203" s="3" t="n">
        <v>21.251144</v>
      </c>
      <c r="AB3203" s="3" t="n">
        <v>20.124806</v>
      </c>
      <c r="AC3203" s="3" t="n">
        <v>18.196885</v>
      </c>
      <c r="AD3203" s="3" t="n">
        <v>18.781391</v>
      </c>
      <c r="AE3203" s="3" t="n">
        <v>19.11746</v>
      </c>
      <c r="AF3203" s="3" t="n">
        <v>22.149914</v>
      </c>
      <c r="AG3203" s="3" t="n">
        <v>21.766867</v>
      </c>
      <c r="AH3203" s="3" t="n">
        <v>21.328558</v>
      </c>
      <c r="AI3203" s="3" t="n">
        <v>21.214061</v>
      </c>
      <c r="AJ3203" s="3" t="n">
        <v>21.147376</v>
      </c>
      <c r="AK3203" s="3" t="n">
        <v>21.168946</v>
      </c>
      <c r="AL3203" s="3" t="n">
        <v>21.174517</v>
      </c>
      <c r="AM3203" s="3" t="n"/>
      <c r="AN3203" s="3" t="n"/>
      <c r="AO3203" s="3" t="n"/>
      <c r="AP3203" s="3" t="n"/>
      <c r="AQ3203" s="3" t="n"/>
      <c r="AR3203" s="3" t="n"/>
      <c r="AS3203" s="3" t="n"/>
      <c r="AT3203" s="3" t="n"/>
      <c r="AU3203" s="3" t="n"/>
    </row>
    <row r="3204">
      <c r="A3204" s="3" t="n">
        <v>2031</v>
      </c>
      <c r="B3204" s="3" t="inlineStr">
        <is>
          <t>VNM</t>
        </is>
      </c>
      <c r="C3204" s="3" t="inlineStr">
        <is>
          <t>IMF.RES:WEO</t>
        </is>
      </c>
      <c r="D3204" s="3" t="inlineStr">
        <is>
          <t>VNM.LP.A</t>
        </is>
      </c>
      <c r="E3204" s="3" t="inlineStr">
        <is>
          <t>Vietnam</t>
        </is>
      </c>
      <c r="F3204" s="3" t="inlineStr">
        <is>
          <t>Population, Persons for countries / Index for country groups</t>
        </is>
      </c>
      <c r="G3204" s="3" t="n">
        <v>79.394991</v>
      </c>
      <c r="H3204" s="3" t="n">
        <v>80.46919800000001</v>
      </c>
      <c r="I3204" s="3" t="n">
        <v>81.534406</v>
      </c>
      <c r="J3204" s="3" t="n">
        <v>82.30165</v>
      </c>
      <c r="K3204" s="3" t="n">
        <v>83.062819</v>
      </c>
      <c r="L3204" s="3" t="n">
        <v>83.832662</v>
      </c>
      <c r="M3204" s="3" t="n">
        <v>84.61754500000001</v>
      </c>
      <c r="N3204" s="3" t="n">
        <v>85.419588</v>
      </c>
      <c r="O3204" s="3" t="n">
        <v>86.243424</v>
      </c>
      <c r="P3204" s="3" t="n">
        <v>87.09225000000001</v>
      </c>
      <c r="Q3204" s="3" t="n">
        <v>87.96765499999999</v>
      </c>
      <c r="R3204" s="3" t="n">
        <v>87.8604</v>
      </c>
      <c r="S3204" s="3" t="n">
        <v>88.80929999999999</v>
      </c>
      <c r="T3204" s="3" t="n">
        <v>89.7595</v>
      </c>
      <c r="U3204" s="3" t="n">
        <v>90.7289</v>
      </c>
      <c r="V3204" s="3" t="n">
        <v>91.7133</v>
      </c>
      <c r="W3204" s="3" t="n">
        <v>92.6951</v>
      </c>
      <c r="X3204" s="3" t="n">
        <v>93.6716</v>
      </c>
      <c r="Y3204" s="3" t="n">
        <v>94.666</v>
      </c>
      <c r="Z3204" s="3" t="n">
        <v>96.48399999999999</v>
      </c>
      <c r="AA3204" s="3" t="n">
        <v>97.5827</v>
      </c>
      <c r="AB3204" s="3" t="n">
        <v>98.50620000000001</v>
      </c>
      <c r="AC3204" s="3" t="n">
        <v>99.46169999999999</v>
      </c>
      <c r="AD3204" s="3" t="n">
        <v>100.309</v>
      </c>
      <c r="AE3204" s="3" t="n">
        <v>101.3</v>
      </c>
      <c r="AF3204" s="3" t="n">
        <v>102.3</v>
      </c>
      <c r="AG3204" s="3" t="n">
        <v>103.07748</v>
      </c>
      <c r="AH3204" s="3" t="n">
        <v>103.755765</v>
      </c>
      <c r="AI3204" s="3" t="n">
        <v>104.385006</v>
      </c>
      <c r="AJ3204" s="3" t="n">
        <v>105.004145</v>
      </c>
      <c r="AK3204" s="3" t="n">
        <v>105.573685</v>
      </c>
      <c r="AL3204" s="3" t="n">
        <v>106.050526</v>
      </c>
      <c r="AM3204" s="3" t="n"/>
      <c r="AN3204" s="3" t="n"/>
      <c r="AO3204" s="3" t="n"/>
      <c r="AP3204" s="3" t="n"/>
      <c r="AQ3204" s="3" t="n"/>
      <c r="AR3204" s="3" t="n"/>
      <c r="AS3204" s="3" t="n"/>
      <c r="AT3204" s="3" t="n"/>
      <c r="AU3204" s="3" t="n"/>
    </row>
    <row r="3205">
      <c r="A3205" s="3" t="n">
        <v>2031</v>
      </c>
      <c r="B3205" s="3" t="inlineStr">
        <is>
          <t>VNM</t>
        </is>
      </c>
      <c r="C3205" s="3" t="inlineStr">
        <is>
          <t>IMF.RES:WEO</t>
        </is>
      </c>
      <c r="D3205" s="3" t="inlineStr">
        <is>
          <t>VNM.NGDP.A</t>
        </is>
      </c>
      <c r="E3205" s="3" t="inlineStr">
        <is>
          <t>Vietnam</t>
        </is>
      </c>
      <c r="F3205" s="3" t="inlineStr">
        <is>
          <t>Gross domestic product (GDP), Current prices, Domestic currency</t>
        </is>
      </c>
      <c r="G3205" s="3" t="n">
        <v>560767.817894</v>
      </c>
      <c r="H3205" s="3" t="n">
        <v>611111.0412259999</v>
      </c>
      <c r="I3205" s="3" t="n">
        <v>680269.011042</v>
      </c>
      <c r="J3205" s="3" t="n">
        <v>778902.226444</v>
      </c>
      <c r="K3205" s="3" t="n">
        <v>989542.4952529999</v>
      </c>
      <c r="L3205" s="3" t="n">
        <v>1160527.335879</v>
      </c>
      <c r="M3205" s="3" t="n">
        <v>1347892.245727</v>
      </c>
      <c r="N3205" s="3" t="n">
        <v>1583050.890549</v>
      </c>
      <c r="O3205" s="3" t="n">
        <v>2051931.234781</v>
      </c>
      <c r="P3205" s="3" t="n">
        <v>2297116.941875</v>
      </c>
      <c r="Q3205" s="3" t="n">
        <v>2739843.171963</v>
      </c>
      <c r="R3205" s="3" t="n">
        <v>3539881.312296</v>
      </c>
      <c r="S3205" s="3" t="n">
        <v>4073762.287041</v>
      </c>
      <c r="T3205" s="3" t="n">
        <v>4473655.598643</v>
      </c>
      <c r="U3205" s="3" t="n">
        <v>4937031.677601</v>
      </c>
      <c r="V3205" s="3" t="n">
        <v>5191323.72985</v>
      </c>
      <c r="W3205" s="3" t="n">
        <v>5639401.003262</v>
      </c>
      <c r="X3205" s="3" t="n">
        <v>6293904.55391</v>
      </c>
      <c r="Y3205" s="3" t="n">
        <v>7009042.131658</v>
      </c>
      <c r="Z3205" s="3" t="n">
        <v>7707200.287051</v>
      </c>
      <c r="AA3205" s="3" t="n">
        <v>8044385.729095</v>
      </c>
      <c r="AB3205" s="3" t="n">
        <v>8487475.600589</v>
      </c>
      <c r="AC3205" s="3" t="n">
        <v>9621371.822279001</v>
      </c>
      <c r="AD3205" s="3" t="n">
        <v>10320311.135907</v>
      </c>
      <c r="AE3205" s="3" t="n">
        <v>11510328.920773</v>
      </c>
      <c r="AF3205" s="3" t="n">
        <v>12847571.215994</v>
      </c>
      <c r="AG3205" s="3" t="n">
        <v>14094688.785976</v>
      </c>
      <c r="AH3205" s="3" t="n">
        <v>15324967.203273</v>
      </c>
      <c r="AI3205" s="3" t="n">
        <v>16610514.986339</v>
      </c>
      <c r="AJ3205" s="3" t="n">
        <v>17872131.162794</v>
      </c>
      <c r="AK3205" s="3" t="n">
        <v>19183468.793375</v>
      </c>
      <c r="AL3205" s="3" t="n">
        <v>20590521.625658</v>
      </c>
      <c r="AM3205" s="3" t="n"/>
      <c r="AN3205" s="3" t="n"/>
      <c r="AO3205" s="3" t="n"/>
      <c r="AP3205" s="3" t="n"/>
      <c r="AQ3205" s="3" t="n"/>
      <c r="AR3205" s="3" t="n"/>
      <c r="AS3205" s="3" t="n"/>
      <c r="AT3205" s="3" t="n"/>
      <c r="AU3205" s="3" t="n"/>
    </row>
    <row r="3206">
      <c r="A3206" s="3" t="n">
        <v>2031</v>
      </c>
      <c r="B3206" s="3" t="inlineStr">
        <is>
          <t>VNM</t>
        </is>
      </c>
      <c r="C3206" s="3" t="inlineStr">
        <is>
          <t>IMF.RES:WEO</t>
        </is>
      </c>
      <c r="D3206" s="3" t="inlineStr">
        <is>
          <t>VNM.NGDP_D.A</t>
        </is>
      </c>
      <c r="E3206" s="3" t="inlineStr">
        <is>
          <t>Vietnam</t>
        </is>
      </c>
      <c r="F3206" s="3" t="inlineStr">
        <is>
          <t>Gross domestic product (GDP), Price deflator, Index</t>
        </is>
      </c>
      <c r="G3206" s="3" t="n">
        <v>39.596401</v>
      </c>
      <c r="H3206" s="3" t="n">
        <v>40.367864</v>
      </c>
      <c r="I3206" s="3" t="n">
        <v>41.964949</v>
      </c>
      <c r="J3206" s="3" t="n">
        <v>44.763353</v>
      </c>
      <c r="K3206" s="3" t="n">
        <v>52.759161</v>
      </c>
      <c r="L3206" s="3" t="n">
        <v>57.533325</v>
      </c>
      <c r="M3206" s="3" t="n">
        <v>62.463297</v>
      </c>
      <c r="N3206" s="3" t="n">
        <v>68.478707</v>
      </c>
      <c r="O3206" s="3" t="n">
        <v>84.00507500000001</v>
      </c>
      <c r="P3206" s="3" t="n">
        <v>89.226527</v>
      </c>
      <c r="Q3206" s="3" t="n">
        <v>100</v>
      </c>
      <c r="R3206" s="3" t="n">
        <v>121.413679</v>
      </c>
      <c r="S3206" s="3" t="n">
        <v>132.435201</v>
      </c>
      <c r="T3206" s="3" t="n">
        <v>137.783628</v>
      </c>
      <c r="U3206" s="3" t="n">
        <v>142.879057</v>
      </c>
      <c r="V3206" s="3" t="n">
        <v>140.426521</v>
      </c>
      <c r="W3206" s="3" t="n">
        <v>142.981632</v>
      </c>
      <c r="X3206" s="3" t="n">
        <v>149.219806</v>
      </c>
      <c r="Y3206" s="3" t="n">
        <v>154.631483</v>
      </c>
      <c r="Z3206" s="3" t="n">
        <v>158.378554</v>
      </c>
      <c r="AA3206" s="3" t="n">
        <v>160.702725</v>
      </c>
      <c r="AB3206" s="3" t="n">
        <v>165.332198</v>
      </c>
      <c r="AC3206" s="3" t="n">
        <v>172.677631</v>
      </c>
      <c r="AD3206" s="3" t="n">
        <v>176.292449</v>
      </c>
      <c r="AE3206" s="3" t="n">
        <v>183.840635</v>
      </c>
      <c r="AF3206" s="3" t="n">
        <v>189.965766</v>
      </c>
      <c r="AG3206" s="3" t="n">
        <v>194.589915</v>
      </c>
      <c r="AH3206" s="3" t="n">
        <v>198.289616</v>
      </c>
      <c r="AI3206" s="3" t="n">
        <v>202.375996</v>
      </c>
      <c r="AJ3206" s="3" t="n">
        <v>206.199841</v>
      </c>
      <c r="AK3206" s="3" t="n">
        <v>210.009876</v>
      </c>
      <c r="AL3206" s="3" t="n">
        <v>213.885096</v>
      </c>
      <c r="AM3206" s="3" t="n"/>
      <c r="AN3206" s="3" t="n"/>
      <c r="AO3206" s="3" t="n"/>
      <c r="AP3206" s="3" t="n"/>
      <c r="AQ3206" s="3" t="n"/>
      <c r="AR3206" s="3" t="n"/>
      <c r="AS3206" s="3" t="n"/>
      <c r="AT3206" s="3" t="n"/>
      <c r="AU3206" s="3" t="n"/>
    </row>
    <row r="3207">
      <c r="A3207" s="3" t="n">
        <v>2031</v>
      </c>
      <c r="B3207" s="3" t="inlineStr">
        <is>
          <t>VNM</t>
        </is>
      </c>
      <c r="C3207" s="3" t="inlineStr">
        <is>
          <t>IMF.RES:WEO</t>
        </is>
      </c>
      <c r="D3207" s="3" t="inlineStr">
        <is>
          <t>VNM.NGDP_R.A</t>
        </is>
      </c>
      <c r="E3207" s="3" t="inlineStr">
        <is>
          <t>Vietnam</t>
        </is>
      </c>
      <c r="F3207" s="3" t="inlineStr">
        <is>
          <t>Gross domestic product (GDP), Constant prices, Domestic currency</t>
        </is>
      </c>
      <c r="G3207" s="3" t="n">
        <v>1416209.068577</v>
      </c>
      <c r="H3207" s="3" t="n">
        <v>1513855.282995</v>
      </c>
      <c r="I3207" s="3" t="n">
        <v>1621040.943414</v>
      </c>
      <c r="J3207" s="3" t="n">
        <v>1740044.416532</v>
      </c>
      <c r="K3207" s="3" t="n">
        <v>1875584.21063</v>
      </c>
      <c r="L3207" s="3" t="n">
        <v>2017139.348289</v>
      </c>
      <c r="M3207" s="3" t="n">
        <v>2157894.825349</v>
      </c>
      <c r="N3207" s="3" t="n">
        <v>2311741.796373</v>
      </c>
      <c r="O3207" s="3" t="n">
        <v>2442627.689931</v>
      </c>
      <c r="P3207" s="3" t="n">
        <v>2574477.59264</v>
      </c>
      <c r="Q3207" s="3" t="n">
        <v>2739843.171963</v>
      </c>
      <c r="R3207" s="3" t="n">
        <v>2915553.938417</v>
      </c>
      <c r="S3207" s="3" t="n">
        <v>3076041.910936</v>
      </c>
      <c r="T3207" s="3" t="n">
        <v>3246870.226272</v>
      </c>
      <c r="U3207" s="3" t="n">
        <v>3455392.132702</v>
      </c>
      <c r="V3207" s="3" t="n">
        <v>3696825.710307</v>
      </c>
      <c r="W3207" s="3" t="n">
        <v>3944143.679438</v>
      </c>
      <c r="X3207" s="3" t="n">
        <v>4217874.760825</v>
      </c>
      <c r="Y3207" s="3" t="n">
        <v>4532739.396421</v>
      </c>
      <c r="Z3207" s="3" t="n">
        <v>4866315.598023</v>
      </c>
      <c r="AA3207" s="3" t="n">
        <v>5005755.651934</v>
      </c>
      <c r="AB3207" s="3" t="n">
        <v>5133589.055869</v>
      </c>
      <c r="AC3207" s="3" t="n">
        <v>5571869.247157</v>
      </c>
      <c r="AD3207" s="3" t="n">
        <v>5854085.762955</v>
      </c>
      <c r="AE3207" s="3" t="n">
        <v>6261036.308576</v>
      </c>
      <c r="AF3207" s="3" t="n">
        <v>6763098.16576</v>
      </c>
      <c r="AG3207" s="3" t="n">
        <v>7243278.135529</v>
      </c>
      <c r="AH3207" s="3" t="n">
        <v>7728577.770609</v>
      </c>
      <c r="AI3207" s="3" t="n">
        <v>8207749.592387</v>
      </c>
      <c r="AJ3207" s="3" t="n">
        <v>8667383.569561001</v>
      </c>
      <c r="AK3207" s="3" t="n">
        <v>9134555.543959999</v>
      </c>
      <c r="AL3207" s="3" t="n">
        <v>9626908.087779</v>
      </c>
      <c r="AM3207" s="3" t="n"/>
      <c r="AN3207" s="3" t="n"/>
      <c r="AO3207" s="3" t="n"/>
      <c r="AP3207" s="3" t="n"/>
      <c r="AQ3207" s="3" t="n"/>
      <c r="AR3207" s="3" t="n"/>
      <c r="AS3207" s="3" t="n"/>
      <c r="AT3207" s="3" t="n"/>
      <c r="AU3207" s="3" t="n"/>
    </row>
    <row r="3208">
      <c r="A3208" s="3" t="n">
        <v>2031</v>
      </c>
      <c r="B3208" s="3" t="inlineStr">
        <is>
          <t>VNM</t>
        </is>
      </c>
      <c r="C3208" s="3" t="inlineStr">
        <is>
          <t>IMF.RES:WEO</t>
        </is>
      </c>
      <c r="D3208" s="3" t="inlineStr">
        <is>
          <t>VNM.NGDP_RPCH.A</t>
        </is>
      </c>
      <c r="E3208" s="3" t="inlineStr">
        <is>
          <t>Vietnam</t>
        </is>
      </c>
      <c r="F3208" s="3" t="inlineStr">
        <is>
          <t>Gross domestic product (GDP), Constant prices, Percent change</t>
        </is>
      </c>
      <c r="G3208" s="3" t="n">
        <v>6.78732</v>
      </c>
      <c r="H3208" s="3" t="n">
        <v>6.894901</v>
      </c>
      <c r="I3208" s="3" t="n">
        <v>7.080311</v>
      </c>
      <c r="J3208" s="3" t="n">
        <v>7.341176</v>
      </c>
      <c r="K3208" s="3" t="n">
        <v>7.789444</v>
      </c>
      <c r="L3208" s="3" t="n">
        <v>7.547256</v>
      </c>
      <c r="M3208" s="3" t="n">
        <v>6.977975</v>
      </c>
      <c r="N3208" s="3" t="n">
        <v>7.129493</v>
      </c>
      <c r="O3208" s="3" t="n">
        <v>5.661787</v>
      </c>
      <c r="P3208" s="3" t="n">
        <v>5.397871</v>
      </c>
      <c r="Q3208" s="3" t="n">
        <v>6.423267</v>
      </c>
      <c r="R3208" s="3" t="n">
        <v>6.413169</v>
      </c>
      <c r="S3208" s="3" t="n">
        <v>5.504545</v>
      </c>
      <c r="T3208" s="3" t="n">
        <v>5.553511</v>
      </c>
      <c r="U3208" s="3" t="n">
        <v>6.422243</v>
      </c>
      <c r="V3208" s="3" t="n">
        <v>6.987154</v>
      </c>
      <c r="W3208" s="3" t="n">
        <v>6.690009</v>
      </c>
      <c r="X3208" s="3" t="n">
        <v>6.94019</v>
      </c>
      <c r="Y3208" s="3" t="n">
        <v>7.465007</v>
      </c>
      <c r="Z3208" s="3" t="n">
        <v>7.359263</v>
      </c>
      <c r="AA3208" s="3" t="n">
        <v>2.865413</v>
      </c>
      <c r="AB3208" s="3" t="n">
        <v>2.553728</v>
      </c>
      <c r="AC3208" s="3" t="n">
        <v>8.5375</v>
      </c>
      <c r="AD3208" s="3" t="n">
        <v>5.065024</v>
      </c>
      <c r="AE3208" s="3" t="n">
        <v>6.951564</v>
      </c>
      <c r="AF3208" s="3" t="n">
        <v>8.018829999999999</v>
      </c>
      <c r="AG3208" s="3" t="n">
        <v>7.1</v>
      </c>
      <c r="AH3208" s="3" t="n">
        <v>6.7</v>
      </c>
      <c r="AI3208" s="3" t="n">
        <v>6.2</v>
      </c>
      <c r="AJ3208" s="3" t="n">
        <v>5.6</v>
      </c>
      <c r="AK3208" s="3" t="n">
        <v>5.39</v>
      </c>
      <c r="AL3208" s="3" t="n">
        <v>5.39</v>
      </c>
      <c r="AM3208" s="3" t="n"/>
      <c r="AN3208" s="3" t="n"/>
      <c r="AO3208" s="3" t="n"/>
      <c r="AP3208" s="3" t="n"/>
      <c r="AQ3208" s="3" t="n"/>
      <c r="AR3208" s="3" t="n"/>
      <c r="AS3208" s="3" t="n"/>
      <c r="AT3208" s="3" t="n"/>
      <c r="AU3208" s="3" t="n"/>
    </row>
    <row r="3209">
      <c r="A3209" s="3" t="n">
        <v>2031</v>
      </c>
      <c r="B3209" s="3" t="inlineStr">
        <is>
          <t>VNM</t>
        </is>
      </c>
      <c r="C3209" s="3" t="inlineStr">
        <is>
          <t>IMF.RES:WEO</t>
        </is>
      </c>
      <c r="D3209" s="3" t="inlineStr">
        <is>
          <t>VNM.NGDPD.A</t>
        </is>
      </c>
      <c r="E3209" s="3" t="inlineStr">
        <is>
          <t>Vietnam</t>
        </is>
      </c>
      <c r="F3209" s="3" t="inlineStr">
        <is>
          <t>Gross domestic product (GDP), Current prices, US dollar</t>
        </is>
      </c>
      <c r="G3209" s="3" t="n">
        <v>39.584679</v>
      </c>
      <c r="H3209" s="3" t="n">
        <v>41.296587</v>
      </c>
      <c r="I3209" s="3" t="n">
        <v>44.563067</v>
      </c>
      <c r="J3209" s="3" t="n">
        <v>50.233421</v>
      </c>
      <c r="K3209" s="3" t="n">
        <v>62.876958</v>
      </c>
      <c r="L3209" s="3" t="n">
        <v>73.197317</v>
      </c>
      <c r="M3209" s="3" t="n">
        <v>84.30068</v>
      </c>
      <c r="N3209" s="3" t="n">
        <v>98.42616700000001</v>
      </c>
      <c r="O3209" s="3" t="n">
        <v>124.756482</v>
      </c>
      <c r="P3209" s="3" t="n">
        <v>129.022081</v>
      </c>
      <c r="Q3209" s="3" t="n">
        <v>143.287245</v>
      </c>
      <c r="R3209" s="3" t="n">
        <v>171.367499</v>
      </c>
      <c r="S3209" s="3" t="n">
        <v>195.16665</v>
      </c>
      <c r="T3209" s="3" t="n">
        <v>212.736596</v>
      </c>
      <c r="U3209" s="3" t="n">
        <v>232.890754</v>
      </c>
      <c r="V3209" s="3" t="n">
        <v>236.838566</v>
      </c>
      <c r="W3209" s="3" t="n">
        <v>252.13887</v>
      </c>
      <c r="X3209" s="3" t="n">
        <v>277.076342</v>
      </c>
      <c r="Y3209" s="3" t="n">
        <v>304.473996</v>
      </c>
      <c r="Z3209" s="3" t="n">
        <v>331.811215</v>
      </c>
      <c r="AA3209" s="3" t="n">
        <v>346.283034</v>
      </c>
      <c r="AB3209" s="3" t="n">
        <v>370.065174</v>
      </c>
      <c r="AC3209" s="3" t="n">
        <v>411.030676</v>
      </c>
      <c r="AD3209" s="3" t="n">
        <v>432.980686</v>
      </c>
      <c r="AE3209" s="3" t="n">
        <v>459.448315</v>
      </c>
      <c r="AF3209" s="3" t="n">
        <v>494.045513</v>
      </c>
      <c r="AG3209" s="3" t="n">
        <v>527.265661</v>
      </c>
      <c r="AH3209" s="3" t="n">
        <v>557.405069</v>
      </c>
      <c r="AI3209" s="3" t="n">
        <v>594.825657</v>
      </c>
      <c r="AJ3209" s="3" t="n">
        <v>631.080601</v>
      </c>
      <c r="AK3209" s="3" t="n">
        <v>667.519903</v>
      </c>
      <c r="AL3209" s="3" t="n">
        <v>705.443323</v>
      </c>
      <c r="AM3209" s="3" t="n"/>
      <c r="AN3209" s="3" t="n"/>
      <c r="AO3209" s="3" t="n"/>
      <c r="AP3209" s="3" t="n"/>
      <c r="AQ3209" s="3" t="n"/>
      <c r="AR3209" s="3" t="n"/>
      <c r="AS3209" s="3" t="n"/>
      <c r="AT3209" s="3" t="n"/>
      <c r="AU3209" s="3" t="n"/>
    </row>
    <row r="3210">
      <c r="A3210" s="3" t="n">
        <v>2031</v>
      </c>
      <c r="B3210" s="3" t="inlineStr">
        <is>
          <t>VNM</t>
        </is>
      </c>
      <c r="C3210" s="3" t="inlineStr">
        <is>
          <t>IMF.RES:WEO</t>
        </is>
      </c>
      <c r="D3210" s="3" t="inlineStr">
        <is>
          <t>VNM.NGDPPC.A</t>
        </is>
      </c>
      <c r="E3210" s="3" t="inlineStr">
        <is>
          <t>Vietnam</t>
        </is>
      </c>
      <c r="F3210" s="3" t="inlineStr">
        <is>
          <t>Gross domestic product (GDP), Current prices, Per capita, Domestic currency</t>
        </is>
      </c>
      <c r="G3210" s="3" t="n">
        <v>7063012.530464</v>
      </c>
      <c r="H3210" s="3" t="n">
        <v>7594347.325961</v>
      </c>
      <c r="I3210" s="3" t="n">
        <v>8343336.812216</v>
      </c>
      <c r="J3210" s="3" t="n">
        <v>9463992.841507999</v>
      </c>
      <c r="K3210" s="3" t="n">
        <v>11913182.181464</v>
      </c>
      <c r="L3210" s="3" t="n">
        <v>13843379.277144</v>
      </c>
      <c r="M3210" s="3" t="n">
        <v>15929228.929146</v>
      </c>
      <c r="N3210" s="3" t="n">
        <v>18532644.884081</v>
      </c>
      <c r="O3210" s="3" t="n">
        <v>23792321.07924</v>
      </c>
      <c r="P3210" s="3" t="n">
        <v>26375675.698756</v>
      </c>
      <c r="Q3210" s="3" t="n">
        <v>31146029.435054</v>
      </c>
      <c r="R3210" s="3" t="n">
        <v>40289838.337814</v>
      </c>
      <c r="S3210" s="3" t="n">
        <v>45870897.383954</v>
      </c>
      <c r="T3210" s="3" t="n">
        <v>49840469.238829</v>
      </c>
      <c r="U3210" s="3" t="n">
        <v>54415204.831107</v>
      </c>
      <c r="V3210" s="3" t="n">
        <v>56603826.597126</v>
      </c>
      <c r="W3210" s="3" t="n">
        <v>60838178.105016</v>
      </c>
      <c r="X3210" s="3" t="n">
        <v>67191171.64551701</v>
      </c>
      <c r="Y3210" s="3" t="n">
        <v>74039698.85342699</v>
      </c>
      <c r="Z3210" s="3" t="n">
        <v>79880604.94021299</v>
      </c>
      <c r="AA3210" s="3" t="n">
        <v>82436597.15394799</v>
      </c>
      <c r="AB3210" s="3" t="n">
        <v>86161841.595643</v>
      </c>
      <c r="AC3210" s="3" t="n">
        <v>96734439.71175399</v>
      </c>
      <c r="AD3210" s="3" t="n">
        <v>102885196.103108</v>
      </c>
      <c r="AE3210" s="3" t="n">
        <v>113626149.267258</v>
      </c>
      <c r="AF3210" s="3" t="n">
        <v>125587206.412452</v>
      </c>
      <c r="AG3210" s="3" t="n">
        <v>136738779.275319</v>
      </c>
      <c r="AH3210" s="3" t="n">
        <v>147702319.292673</v>
      </c>
      <c r="AI3210" s="3" t="n">
        <v>159127402.933937</v>
      </c>
      <c r="AJ3210" s="3" t="n">
        <v>170204053.976595</v>
      </c>
      <c r="AK3210" s="3" t="n">
        <v>181706916.355376</v>
      </c>
      <c r="AL3210" s="3" t="n">
        <v>194157657.342121</v>
      </c>
      <c r="AM3210" s="3" t="n"/>
      <c r="AN3210" s="3" t="n"/>
      <c r="AO3210" s="3" t="n"/>
      <c r="AP3210" s="3" t="n"/>
      <c r="AQ3210" s="3" t="n"/>
      <c r="AR3210" s="3" t="n"/>
      <c r="AS3210" s="3" t="n"/>
      <c r="AT3210" s="3" t="n"/>
      <c r="AU3210" s="3" t="n"/>
    </row>
    <row r="3211">
      <c r="A3211" s="3" t="n">
        <v>2031</v>
      </c>
      <c r="B3211" s="3" t="inlineStr">
        <is>
          <t>VNM</t>
        </is>
      </c>
      <c r="C3211" s="3" t="inlineStr">
        <is>
          <t>IMF.RES:WEO</t>
        </is>
      </c>
      <c r="D3211" s="3" t="inlineStr">
        <is>
          <t>VNM.NGDPRPC.A</t>
        </is>
      </c>
      <c r="E3211" s="3" t="inlineStr">
        <is>
          <t>Vietnam</t>
        </is>
      </c>
      <c r="F3211" s="3" t="inlineStr">
        <is>
          <t>Gross domestic product (GDP), Constant prices, Per capita, Domestic currency</t>
        </is>
      </c>
      <c r="G3211" s="3" t="n">
        <v>17837511.493932</v>
      </c>
      <c r="H3211" s="3" t="n">
        <v>18812854.039155</v>
      </c>
      <c r="I3211" s="3" t="n">
        <v>19881679.685183</v>
      </c>
      <c r="J3211" s="3" t="n">
        <v>21142278.636352</v>
      </c>
      <c r="K3211" s="3" t="n">
        <v>22580310.097946</v>
      </c>
      <c r="L3211" s="3" t="n">
        <v>24061497.036673</v>
      </c>
      <c r="M3211" s="3" t="n">
        <v>25501742.284639</v>
      </c>
      <c r="N3211" s="3" t="n">
        <v>27063368.607833</v>
      </c>
      <c r="O3211" s="3" t="n">
        <v>28322480.447097</v>
      </c>
      <c r="P3211" s="3" t="n">
        <v>29560352.30046</v>
      </c>
      <c r="Q3211" s="3" t="n">
        <v>31146029.435054</v>
      </c>
      <c r="R3211" s="3" t="n">
        <v>33183936.544986</v>
      </c>
      <c r="S3211" s="3" t="n">
        <v>34636484.140013</v>
      </c>
      <c r="T3211" s="3" t="n">
        <v>36172998.136927</v>
      </c>
      <c r="U3211" s="3" t="n">
        <v>38084801.344467</v>
      </c>
      <c r="V3211" s="3" t="n">
        <v>40308501.714658</v>
      </c>
      <c r="W3211" s="3" t="n">
        <v>42549645.875971</v>
      </c>
      <c r="X3211" s="3" t="n">
        <v>45028319.798368</v>
      </c>
      <c r="Y3211" s="3" t="n">
        <v>47881387.155066</v>
      </c>
      <c r="Z3211" s="3" t="n">
        <v>50436503.441224</v>
      </c>
      <c r="AA3211" s="3" t="n">
        <v>51297572.745309</v>
      </c>
      <c r="AB3211" s="3" t="n">
        <v>52114375.093838</v>
      </c>
      <c r="AC3211" s="3" t="n">
        <v>56020249.474493</v>
      </c>
      <c r="AD3211" s="3" t="n">
        <v>58360523.611593</v>
      </c>
      <c r="AE3211" s="3" t="n">
        <v>61806873.727309</v>
      </c>
      <c r="AF3211" s="3" t="n">
        <v>66110441.503029</v>
      </c>
      <c r="AG3211" s="3" t="n">
        <v>70270229.108519</v>
      </c>
      <c r="AH3211" s="3" t="n">
        <v>74488176.477727</v>
      </c>
      <c r="AI3211" s="3" t="n">
        <v>78629583.58863699</v>
      </c>
      <c r="AJ3211" s="3" t="n">
        <v>82543251.69571801</v>
      </c>
      <c r="AK3211" s="3" t="n">
        <v>86523033.870868</v>
      </c>
      <c r="AL3211" s="3" t="n">
        <v>90776618.278677</v>
      </c>
      <c r="AM3211" s="3" t="n"/>
      <c r="AN3211" s="3" t="n"/>
      <c r="AO3211" s="3" t="n"/>
      <c r="AP3211" s="3" t="n"/>
      <c r="AQ3211" s="3" t="n"/>
      <c r="AR3211" s="3" t="n"/>
      <c r="AS3211" s="3" t="n"/>
      <c r="AT3211" s="3" t="n"/>
      <c r="AU3211" s="3" t="n"/>
    </row>
    <row r="3212">
      <c r="A3212" s="3" t="n">
        <v>2031</v>
      </c>
      <c r="B3212" s="3" t="inlineStr">
        <is>
          <t>VNM</t>
        </is>
      </c>
      <c r="C3212" s="3" t="inlineStr">
        <is>
          <t>IMF.RES:WEO</t>
        </is>
      </c>
      <c r="D3212" s="3" t="inlineStr">
        <is>
          <t>VNM.PCPI.A</t>
        </is>
      </c>
      <c r="E3212" s="3" t="inlineStr">
        <is>
          <t>Vietnam</t>
        </is>
      </c>
      <c r="F3212" s="3" t="inlineStr">
        <is>
          <t>All Items, Consumer price index (CPI), Period average</t>
        </is>
      </c>
      <c r="G3212" s="3" t="n">
        <v>79.775036</v>
      </c>
      <c r="H3212" s="3" t="n">
        <v>79.52768500000001</v>
      </c>
      <c r="I3212" s="3" t="n">
        <v>82.77142000000001</v>
      </c>
      <c r="J3212" s="3" t="n">
        <v>85.505083</v>
      </c>
      <c r="K3212" s="3" t="n">
        <v>92.25562499999999</v>
      </c>
      <c r="L3212" s="3" t="n">
        <v>100</v>
      </c>
      <c r="M3212" s="3" t="n">
        <v>107.502897</v>
      </c>
      <c r="N3212" s="3" t="n">
        <v>116.478168</v>
      </c>
      <c r="O3212" s="3" t="n">
        <v>143.402619</v>
      </c>
      <c r="P3212" s="3" t="n">
        <v>153.034948</v>
      </c>
      <c r="Q3212" s="3" t="n">
        <v>169.140668</v>
      </c>
      <c r="R3212" s="3" t="n">
        <v>200.732309</v>
      </c>
      <c r="S3212" s="3" t="n">
        <v>219.004819</v>
      </c>
      <c r="T3212" s="3" t="n">
        <v>233.448835</v>
      </c>
      <c r="U3212" s="3" t="n">
        <v>242.98418</v>
      </c>
      <c r="V3212" s="3" t="n">
        <v>244.517898</v>
      </c>
      <c r="W3212" s="3" t="n">
        <v>251.042243</v>
      </c>
      <c r="X3212" s="3" t="n">
        <v>259.881395</v>
      </c>
      <c r="Y3212" s="3" t="n">
        <v>269.081166</v>
      </c>
      <c r="Z3212" s="3" t="n">
        <v>276.604201</v>
      </c>
      <c r="AA3212" s="3" t="n">
        <v>285.513726</v>
      </c>
      <c r="AB3212" s="3" t="n">
        <v>290.75238</v>
      </c>
      <c r="AC3212" s="3" t="n">
        <v>299.93</v>
      </c>
      <c r="AD3212" s="3" t="n">
        <v>309.686402</v>
      </c>
      <c r="AE3212" s="3" t="n">
        <v>320.898831</v>
      </c>
      <c r="AF3212" s="3" t="n">
        <v>331.520775</v>
      </c>
      <c r="AG3212" s="3" t="n">
        <v>347.635264</v>
      </c>
      <c r="AH3212" s="3" t="n">
        <v>363.484001</v>
      </c>
      <c r="AI3212" s="3" t="n">
        <v>376.799916</v>
      </c>
      <c r="AJ3212" s="3" t="n">
        <v>390.364713</v>
      </c>
      <c r="AK3212" s="3" t="n">
        <v>404.417843</v>
      </c>
      <c r="AL3212" s="3" t="n">
        <v>418.976885</v>
      </c>
      <c r="AM3212" s="3" t="n"/>
      <c r="AN3212" s="3" t="n"/>
      <c r="AO3212" s="3" t="n"/>
      <c r="AP3212" s="3" t="n"/>
      <c r="AQ3212" s="3" t="n"/>
      <c r="AR3212" s="3" t="n"/>
      <c r="AS3212" s="3" t="n"/>
      <c r="AT3212" s="3" t="n"/>
      <c r="AU3212" s="3" t="n"/>
    </row>
    <row r="3213">
      <c r="A3213" s="3" t="n">
        <v>2031</v>
      </c>
      <c r="B3213" s="3" t="inlineStr">
        <is>
          <t>VNM</t>
        </is>
      </c>
      <c r="C3213" s="3" t="inlineStr">
        <is>
          <t>IMF.RES:WEO</t>
        </is>
      </c>
      <c r="D3213" s="3" t="inlineStr">
        <is>
          <t>VNM.PCPIPCH.A</t>
        </is>
      </c>
      <c r="E3213" s="3" t="inlineStr">
        <is>
          <t>Vietnam</t>
        </is>
      </c>
      <c r="F3213" s="3" t="inlineStr">
        <is>
          <t>All Items, Consumer price index (CPI), Period average, percent change</t>
        </is>
      </c>
      <c r="G3213" s="3" t="n">
        <v>-1.767628</v>
      </c>
      <c r="H3213" s="3" t="n">
        <v>-0.31006</v>
      </c>
      <c r="I3213" s="3" t="n">
        <v>4.078749</v>
      </c>
      <c r="J3213" s="3" t="n">
        <v>3.302666</v>
      </c>
      <c r="K3213" s="3" t="n">
        <v>7.894901</v>
      </c>
      <c r="L3213" s="3" t="n">
        <v>8.394475</v>
      </c>
      <c r="M3213" s="3" t="n">
        <v>7.502897</v>
      </c>
      <c r="N3213" s="3" t="n">
        <v>8.348864000000001</v>
      </c>
      <c r="O3213" s="3" t="n">
        <v>23.115448</v>
      </c>
      <c r="P3213" s="3" t="n">
        <v>6.716983</v>
      </c>
      <c r="Q3213" s="3" t="n">
        <v>10.524211</v>
      </c>
      <c r="R3213" s="3" t="n">
        <v>18.677732</v>
      </c>
      <c r="S3213" s="3" t="n">
        <v>9.102925000000001</v>
      </c>
      <c r="T3213" s="3" t="n">
        <v>6.595296</v>
      </c>
      <c r="U3213" s="3" t="n">
        <v>4.084554</v>
      </c>
      <c r="V3213" s="3" t="n">
        <v>0.631201</v>
      </c>
      <c r="W3213" s="3" t="n">
        <v>2.668248</v>
      </c>
      <c r="X3213" s="3" t="n">
        <v>3.520982</v>
      </c>
      <c r="Y3213" s="3" t="n">
        <v>3.539988</v>
      </c>
      <c r="Z3213" s="3" t="n">
        <v>2.795824</v>
      </c>
      <c r="AA3213" s="3" t="n">
        <v>3.221037</v>
      </c>
      <c r="AB3213" s="3" t="n">
        <v>1.834817</v>
      </c>
      <c r="AC3213" s="3" t="n">
        <v>3.156507</v>
      </c>
      <c r="AD3213" s="3" t="n">
        <v>3.252893</v>
      </c>
      <c r="AE3213" s="3" t="n">
        <v>3.620575</v>
      </c>
      <c r="AF3213" s="3" t="n">
        <v>3.31006</v>
      </c>
      <c r="AG3213" s="3" t="n">
        <v>4.860778</v>
      </c>
      <c r="AH3213" s="3" t="n">
        <v>4.559013</v>
      </c>
      <c r="AI3213" s="3" t="n">
        <v>3.663411</v>
      </c>
      <c r="AJ3213" s="3" t="n">
        <v>3.6</v>
      </c>
      <c r="AK3213" s="3" t="n">
        <v>3.6</v>
      </c>
      <c r="AL3213" s="3" t="n">
        <v>3.6</v>
      </c>
      <c r="AM3213" s="3" t="n"/>
      <c r="AN3213" s="3" t="n"/>
      <c r="AO3213" s="3" t="n"/>
      <c r="AP3213" s="3" t="n"/>
      <c r="AQ3213" s="3" t="n"/>
      <c r="AR3213" s="3" t="n"/>
      <c r="AS3213" s="3" t="n"/>
      <c r="AT3213" s="3" t="n"/>
      <c r="AU3213" s="3" t="n"/>
    </row>
    <row r="3214">
      <c r="A3214" s="3" t="n">
        <v>2031</v>
      </c>
      <c r="B3214" s="3" t="inlineStr">
        <is>
          <t>VNM</t>
        </is>
      </c>
      <c r="C3214" s="3" t="inlineStr">
        <is>
          <t>IMF.RES:WEO</t>
        </is>
      </c>
      <c r="D3214" s="3" t="inlineStr">
        <is>
          <t>VNM.PPPPC.A</t>
        </is>
      </c>
      <c r="E3214" s="3" t="inlineStr">
        <is>
          <t>Vietnam</t>
        </is>
      </c>
      <c r="F3214" s="3" t="inlineStr">
        <is>
          <t>Gross domestic product (GDP), Per capita, purchasing power parity (PPP) international dollar, ICP benchmarks 2017-2021</t>
        </is>
      </c>
      <c r="G3214" s="3" t="n">
        <v>2684.086982</v>
      </c>
      <c r="H3214" s="3" t="n">
        <v>2894.590981</v>
      </c>
      <c r="I3214" s="3" t="n">
        <v>3106.58169</v>
      </c>
      <c r="J3214" s="3" t="n">
        <v>3368.773961</v>
      </c>
      <c r="K3214" s="3" t="n">
        <v>3694.650852</v>
      </c>
      <c r="L3214" s="3" t="n">
        <v>4060.464104</v>
      </c>
      <c r="M3214" s="3" t="n">
        <v>4436.225865</v>
      </c>
      <c r="N3214" s="3" t="n">
        <v>4835.432138</v>
      </c>
      <c r="O3214" s="3" t="n">
        <v>5157.882672</v>
      </c>
      <c r="P3214" s="3" t="n">
        <v>5416.515986</v>
      </c>
      <c r="Q3214" s="3" t="n">
        <v>5776.431133</v>
      </c>
      <c r="R3214" s="3" t="n">
        <v>6281.36747</v>
      </c>
      <c r="S3214" s="3" t="n">
        <v>6678.39355</v>
      </c>
      <c r="T3214" s="3" t="n">
        <v>7093.363682</v>
      </c>
      <c r="U3214" s="3" t="n">
        <v>7598.335558</v>
      </c>
      <c r="V3214" s="3" t="n">
        <v>8116.622101</v>
      </c>
      <c r="W3214" s="3" t="n">
        <v>8649.31882</v>
      </c>
      <c r="X3214" s="3" t="n">
        <v>9317.096799999999</v>
      </c>
      <c r="Y3214" s="3" t="n">
        <v>10176.12256</v>
      </c>
      <c r="Z3214" s="3" t="n">
        <v>11108.122837</v>
      </c>
      <c r="AA3214" s="3" t="n">
        <v>11668.384772</v>
      </c>
      <c r="AB3214" s="3" t="n">
        <v>12101.363159</v>
      </c>
      <c r="AC3214" s="3" t="n">
        <v>13933.54439</v>
      </c>
      <c r="AD3214" s="3" t="n">
        <v>15052.708202</v>
      </c>
      <c r="AE3214" s="3" t="n">
        <v>16337.369864</v>
      </c>
      <c r="AF3214" s="3" t="n">
        <v>17970.652015</v>
      </c>
      <c r="AG3214" s="3" t="n">
        <v>19648.624234</v>
      </c>
      <c r="AH3214" s="3" t="n">
        <v>21285.389491</v>
      </c>
      <c r="AI3214" s="3" t="n">
        <v>22837.619482</v>
      </c>
      <c r="AJ3214" s="3" t="n">
        <v>24400.616871</v>
      </c>
      <c r="AK3214" s="3" t="n">
        <v>26047.066301</v>
      </c>
      <c r="AL3214" s="3" t="n">
        <v>27820.918996</v>
      </c>
      <c r="AM3214" s="3" t="n"/>
      <c r="AN3214" s="3" t="n"/>
      <c r="AO3214" s="3" t="n"/>
      <c r="AP3214" s="3" t="n"/>
      <c r="AQ3214" s="3" t="n"/>
      <c r="AR3214" s="3" t="n"/>
      <c r="AS3214" s="3" t="n"/>
      <c r="AT3214" s="3" t="n"/>
      <c r="AU3214" s="3" t="n"/>
    </row>
    <row r="3215">
      <c r="A3215" s="3" t="n">
        <v>2025</v>
      </c>
      <c r="B3215" s="3" t="inlineStr">
        <is>
          <t>VNM</t>
        </is>
      </c>
      <c r="C3215" s="3" t="inlineStr">
        <is>
          <t>IMF.STA:ER</t>
        </is>
      </c>
      <c r="D3215" s="3" t="inlineStr">
        <is>
          <t>VNM.XDC_USD.PA_RT.A</t>
        </is>
      </c>
      <c r="E3215" s="3" t="inlineStr">
        <is>
          <t>Vietnam</t>
        </is>
      </c>
      <c r="F3215" s="3" t="inlineStr">
        <is>
          <t>Domestic currency per US Dollar</t>
        </is>
      </c>
      <c r="G3215" s="3" t="n">
        <v>14167.75</v>
      </c>
      <c r="H3215" s="3" t="n">
        <v>14725.1666666666</v>
      </c>
      <c r="I3215" s="3" t="n">
        <v>15279.5</v>
      </c>
      <c r="J3215" s="3" t="n">
        <v>15509.5833333333</v>
      </c>
      <c r="K3215" s="3" t="n">
        <v>15746</v>
      </c>
      <c r="L3215" s="3" t="n">
        <v>15858.9166666666</v>
      </c>
      <c r="M3215" s="3" t="n">
        <v>15994.25</v>
      </c>
      <c r="N3215" s="3" t="n">
        <v>16105.125</v>
      </c>
      <c r="O3215" s="3" t="n">
        <v>16302.25</v>
      </c>
      <c r="P3215" s="3" t="n">
        <v>17065.0833333333</v>
      </c>
      <c r="Q3215" s="3" t="n">
        <v>18612.9166666666</v>
      </c>
      <c r="R3215" s="3" t="n">
        <v>20509.75</v>
      </c>
      <c r="S3215" s="3" t="n">
        <v>20828</v>
      </c>
      <c r="T3215" s="3" t="n">
        <v>20933.4166666666</v>
      </c>
      <c r="U3215" s="3" t="n">
        <v>21148</v>
      </c>
      <c r="V3215" s="3" t="n">
        <v>21697.5675</v>
      </c>
      <c r="W3215" s="3" t="n">
        <v>21935.0008333333</v>
      </c>
      <c r="X3215" s="3" t="n">
        <v>22370.0866666666</v>
      </c>
      <c r="Y3215" s="3" t="n">
        <v>22602.05</v>
      </c>
      <c r="Z3215" s="3" t="n">
        <v>23050.2416666666</v>
      </c>
      <c r="AA3215" s="3" t="n">
        <v>23208.3683333333</v>
      </c>
      <c r="AB3215" s="3" t="n">
        <v>23159.7825925925</v>
      </c>
      <c r="AC3215" s="3" t="n">
        <v>23271.2125</v>
      </c>
      <c r="AD3215" s="3" t="n">
        <v>23787.3191666666</v>
      </c>
      <c r="AE3215" s="3" t="n">
        <v>24164.8858333333</v>
      </c>
      <c r="AF3215" s="3" t="n">
        <v>24164.8858333333</v>
      </c>
      <c r="AG3215" s="3" t="n"/>
      <c r="AH3215" s="3" t="n"/>
      <c r="AI3215" s="3" t="n"/>
      <c r="AJ3215" s="3" t="n"/>
      <c r="AK3215" s="3" t="n"/>
      <c r="AL3215" s="3" t="n"/>
      <c r="AM3215" s="3" t="n"/>
      <c r="AN3215" s="3" t="n"/>
      <c r="AO3215" s="3" t="n"/>
      <c r="AP3215" s="3" t="n"/>
      <c r="AQ3215" s="3" t="n"/>
      <c r="AR3215" s="3" t="n"/>
      <c r="AS3215" s="3" t="n"/>
      <c r="AT3215" s="3" t="n"/>
      <c r="AU3215" s="3" t="n"/>
    </row>
    <row r="3216">
      <c r="A3216" s="3" t="n">
        <v>2031</v>
      </c>
      <c r="B3216" s="3" t="inlineStr">
        <is>
          <t>VUT</t>
        </is>
      </c>
      <c r="C3216" s="3" t="inlineStr">
        <is>
          <t>IMF.RES:WEO</t>
        </is>
      </c>
      <c r="D3216" s="3" t="inlineStr">
        <is>
          <t>VUT.BCA.A</t>
        </is>
      </c>
      <c r="E3216" s="3" t="inlineStr">
        <is>
          <t>Vanuatu</t>
        </is>
      </c>
      <c r="F3216" s="3" t="inlineStr">
        <is>
          <t>Current account balance (credit less debit), US dollar</t>
        </is>
      </c>
      <c r="G3216" s="3" t="n">
        <v>0.00342</v>
      </c>
      <c r="H3216" s="3" t="n">
        <v>-0.003501</v>
      </c>
      <c r="I3216" s="3" t="n">
        <v>-0.015943</v>
      </c>
      <c r="J3216" s="3" t="n">
        <v>-0.025405</v>
      </c>
      <c r="K3216" s="3" t="n">
        <v>-0.010137</v>
      </c>
      <c r="L3216" s="3" t="n">
        <v>-0.03573</v>
      </c>
      <c r="M3216" s="3" t="n">
        <v>-0.026307</v>
      </c>
      <c r="N3216" s="3" t="n">
        <v>-0.034147</v>
      </c>
      <c r="O3216" s="3" t="n">
        <v>-0.062137</v>
      </c>
      <c r="P3216" s="3" t="n">
        <v>-0.04822</v>
      </c>
      <c r="Q3216" s="3" t="n">
        <v>-0.040382</v>
      </c>
      <c r="R3216" s="3" t="n">
        <v>-0.059385</v>
      </c>
      <c r="S3216" s="3" t="n">
        <v>-0.049773</v>
      </c>
      <c r="T3216" s="3" t="n">
        <v>-0.026241</v>
      </c>
      <c r="U3216" s="3" t="n">
        <v>0.002653</v>
      </c>
      <c r="V3216" s="3" t="n">
        <v>-0.116944</v>
      </c>
      <c r="W3216" s="3" t="n">
        <v>-0.067632</v>
      </c>
      <c r="X3216" s="3" t="n">
        <v>-0.073656</v>
      </c>
      <c r="Y3216" s="3" t="n">
        <v>0.025053</v>
      </c>
      <c r="Z3216" s="3" t="n">
        <v>0.048049</v>
      </c>
      <c r="AA3216" s="3" t="n">
        <v>-0.109223</v>
      </c>
      <c r="AB3216" s="3" t="n">
        <v>-0.158358</v>
      </c>
      <c r="AC3216" s="3" t="n">
        <v>-0.139596</v>
      </c>
      <c r="AD3216" s="3" t="n">
        <v>-0.093074</v>
      </c>
      <c r="AE3216" s="3" t="n">
        <v>-0.255638</v>
      </c>
      <c r="AF3216" s="3" t="n">
        <v>-0.137086</v>
      </c>
      <c r="AG3216" s="3" t="n">
        <v>-0.11937</v>
      </c>
      <c r="AH3216" s="3" t="n">
        <v>-0.111377</v>
      </c>
      <c r="AI3216" s="3" t="n">
        <v>-0.094321</v>
      </c>
      <c r="AJ3216" s="3" t="n">
        <v>-0.084483</v>
      </c>
      <c r="AK3216" s="3" t="n">
        <v>-0.086627</v>
      </c>
      <c r="AL3216" s="3" t="n">
        <v>-0.083576</v>
      </c>
      <c r="AM3216" s="3" t="n"/>
      <c r="AN3216" s="3" t="n"/>
      <c r="AO3216" s="3" t="n"/>
      <c r="AP3216" s="3" t="n"/>
      <c r="AQ3216" s="3" t="n"/>
      <c r="AR3216" s="3" t="n"/>
      <c r="AS3216" s="3" t="n"/>
      <c r="AT3216" s="3" t="n"/>
      <c r="AU3216" s="3" t="n"/>
    </row>
    <row r="3217">
      <c r="A3217" s="3" t="n">
        <v>2031</v>
      </c>
      <c r="B3217" s="3" t="inlineStr">
        <is>
          <t>VUT</t>
        </is>
      </c>
      <c r="C3217" s="3" t="inlineStr">
        <is>
          <t>IMF.RES:WEO</t>
        </is>
      </c>
      <c r="D3217" s="3" t="inlineStr">
        <is>
          <t>VUT.BCA_NGDPD.A</t>
        </is>
      </c>
      <c r="E3217" s="3" t="inlineStr">
        <is>
          <t>Vanuatu</t>
        </is>
      </c>
      <c r="F3217" s="3" t="inlineStr">
        <is>
          <t>Current account balance (credit less debit), Percent of GDP</t>
        </is>
      </c>
      <c r="G3217" s="3" t="n">
        <v>1.138318</v>
      </c>
      <c r="H3217" s="3" t="n">
        <v>-1.230491</v>
      </c>
      <c r="I3217" s="3" t="n">
        <v>-5.492749</v>
      </c>
      <c r="J3217" s="3" t="n">
        <v>-7.284519</v>
      </c>
      <c r="K3217" s="3" t="n">
        <v>-2.51336</v>
      </c>
      <c r="L3217" s="3" t="n">
        <v>-8.273985</v>
      </c>
      <c r="M3217" s="3" t="n">
        <v>-5.472732</v>
      </c>
      <c r="N3217" s="3" t="n">
        <v>-5.971564</v>
      </c>
      <c r="O3217" s="3" t="n">
        <v>-9.651425</v>
      </c>
      <c r="P3217" s="3" t="n">
        <v>-7.392788</v>
      </c>
      <c r="Q3217" s="3" t="n">
        <v>-5.599936</v>
      </c>
      <c r="R3217" s="3" t="n">
        <v>-7.278412</v>
      </c>
      <c r="S3217" s="3" t="n">
        <v>-6.110872</v>
      </c>
      <c r="T3217" s="3" t="n">
        <v>-3.054286</v>
      </c>
      <c r="U3217" s="3" t="n">
        <v>0.301134</v>
      </c>
      <c r="V3217" s="3" t="n">
        <v>-13.422365</v>
      </c>
      <c r="W3217" s="3" t="n">
        <v>-7.499949</v>
      </c>
      <c r="X3217" s="3" t="n">
        <v>-7.373007</v>
      </c>
      <c r="Y3217" s="3" t="n">
        <v>2.506252</v>
      </c>
      <c r="Z3217" s="3" t="n">
        <v>4.559338</v>
      </c>
      <c r="AA3217" s="3" t="n">
        <v>-9.685912999999999</v>
      </c>
      <c r="AB3217" s="3" t="n">
        <v>-14.938691</v>
      </c>
      <c r="AC3217" s="3" t="n">
        <v>-12.356177</v>
      </c>
      <c r="AD3217" s="3" t="n">
        <v>-7.767697</v>
      </c>
      <c r="AE3217" s="3" t="n">
        <v>-20.205274</v>
      </c>
      <c r="AF3217" s="3" t="n">
        <v>-10.417881</v>
      </c>
      <c r="AG3217" s="3" t="n">
        <v>-8.549747999999999</v>
      </c>
      <c r="AH3217" s="3" t="n">
        <v>-7.538628</v>
      </c>
      <c r="AI3217" s="3" t="n">
        <v>-6.073682</v>
      </c>
      <c r="AJ3217" s="3" t="n">
        <v>-5.188078</v>
      </c>
      <c r="AK3217" s="3" t="n">
        <v>-5.074068</v>
      </c>
      <c r="AL3217" s="3" t="n">
        <v>-4.672698</v>
      </c>
      <c r="AM3217" s="3" t="n"/>
      <c r="AN3217" s="3" t="n"/>
      <c r="AO3217" s="3" t="n"/>
      <c r="AP3217" s="3" t="n"/>
      <c r="AQ3217" s="3" t="n"/>
      <c r="AR3217" s="3" t="n"/>
      <c r="AS3217" s="3" t="n"/>
      <c r="AT3217" s="3" t="n"/>
      <c r="AU3217" s="3" t="n"/>
    </row>
    <row r="3218">
      <c r="A3218" s="3" t="n">
        <v>2031</v>
      </c>
      <c r="B3218" s="3" t="inlineStr">
        <is>
          <t>VUT</t>
        </is>
      </c>
      <c r="C3218" s="3" t="inlineStr">
        <is>
          <t>IMF.RES:WEO</t>
        </is>
      </c>
      <c r="D3218" s="3" t="inlineStr">
        <is>
          <t>VUT.GGR_NGDP.A</t>
        </is>
      </c>
      <c r="E3218" s="3" t="inlineStr">
        <is>
          <t>Vanuatu</t>
        </is>
      </c>
      <c r="F3218" s="3" t="inlineStr">
        <is>
          <t>Revenue, General government, Percent of GDP</t>
        </is>
      </c>
      <c r="G3218" s="3" t="n">
        <v>17.329831</v>
      </c>
      <c r="H3218" s="3" t="n">
        <v>17.183372</v>
      </c>
      <c r="I3218" s="3" t="n">
        <v>16.906736</v>
      </c>
      <c r="J3218" s="3" t="n">
        <v>15.814799</v>
      </c>
      <c r="K3218" s="3" t="n">
        <v>17.45965</v>
      </c>
      <c r="L3218" s="3" t="n">
        <v>18.2172</v>
      </c>
      <c r="M3218" s="3" t="n">
        <v>18.614491</v>
      </c>
      <c r="N3218" s="3" t="n">
        <v>20.544757</v>
      </c>
      <c r="O3218" s="3" t="n">
        <v>25.095733</v>
      </c>
      <c r="P3218" s="3" t="n">
        <v>24.151823</v>
      </c>
      <c r="Q3218" s="3" t="n">
        <v>23.238025</v>
      </c>
      <c r="R3218" s="3" t="n">
        <v>20.734755</v>
      </c>
      <c r="S3218" s="3" t="n">
        <v>20.57079</v>
      </c>
      <c r="T3218" s="3" t="n">
        <v>19.904929</v>
      </c>
      <c r="U3218" s="3" t="n">
        <v>21.776788</v>
      </c>
      <c r="V3218" s="3" t="n">
        <v>29.985833</v>
      </c>
      <c r="W3218" s="3" t="n">
        <v>30.527015</v>
      </c>
      <c r="X3218" s="3" t="n">
        <v>31.670955</v>
      </c>
      <c r="Y3218" s="3" t="n">
        <v>34.937739</v>
      </c>
      <c r="Z3218" s="3" t="n">
        <v>37.610063</v>
      </c>
      <c r="AA3218" s="3" t="n">
        <v>37.031724</v>
      </c>
      <c r="AB3218" s="3" t="n">
        <v>40.637059</v>
      </c>
      <c r="AC3218" s="3" t="n">
        <v>32.557725</v>
      </c>
      <c r="AD3218" s="3" t="n">
        <v>38.166607</v>
      </c>
      <c r="AE3218" s="3" t="n">
        <v>30.662503</v>
      </c>
      <c r="AF3218" s="3" t="n">
        <v>31.575812</v>
      </c>
      <c r="AG3218" s="3" t="n">
        <v>28.123816</v>
      </c>
      <c r="AH3218" s="3" t="n">
        <v>27.51821</v>
      </c>
      <c r="AI3218" s="3" t="n">
        <v>27.256929</v>
      </c>
      <c r="AJ3218" s="3" t="n">
        <v>27.092954</v>
      </c>
      <c r="AK3218" s="3" t="n">
        <v>26.910667</v>
      </c>
      <c r="AL3218" s="3" t="n">
        <v>26.915743</v>
      </c>
      <c r="AM3218" s="3" t="n"/>
      <c r="AN3218" s="3" t="n"/>
      <c r="AO3218" s="3" t="n"/>
      <c r="AP3218" s="3" t="n"/>
      <c r="AQ3218" s="3" t="n"/>
      <c r="AR3218" s="3" t="n"/>
      <c r="AS3218" s="3" t="n"/>
      <c r="AT3218" s="3" t="n"/>
      <c r="AU3218" s="3" t="n"/>
    </row>
    <row r="3219">
      <c r="A3219" s="3" t="n">
        <v>2031</v>
      </c>
      <c r="B3219" s="3" t="inlineStr">
        <is>
          <t>VUT</t>
        </is>
      </c>
      <c r="C3219" s="3" t="inlineStr">
        <is>
          <t>IMF.RES:WEO</t>
        </is>
      </c>
      <c r="D3219" s="3" t="inlineStr">
        <is>
          <t>VUT.GGX_NGDP.A</t>
        </is>
      </c>
      <c r="E3219" s="3" t="inlineStr">
        <is>
          <t>Vanuatu</t>
        </is>
      </c>
      <c r="F3219" s="3" t="inlineStr">
        <is>
          <t>Expenditure, General government, Percent of GDP</t>
        </is>
      </c>
      <c r="G3219" s="3" t="n">
        <v>23.003125</v>
      </c>
      <c r="H3219" s="3" t="n">
        <v>20.190197</v>
      </c>
      <c r="I3219" s="3" t="n">
        <v>20.191828</v>
      </c>
      <c r="J3219" s="3" t="n">
        <v>17.033546</v>
      </c>
      <c r="K3219" s="3" t="n">
        <v>16.736503</v>
      </c>
      <c r="L3219" s="3" t="n">
        <v>16.538641</v>
      </c>
      <c r="M3219" s="3" t="n">
        <v>18.175261</v>
      </c>
      <c r="N3219" s="3" t="n">
        <v>20.295418</v>
      </c>
      <c r="O3219" s="3" t="n">
        <v>25.134694</v>
      </c>
      <c r="P3219" s="3" t="n">
        <v>24.916255</v>
      </c>
      <c r="Q3219" s="3" t="n">
        <v>25.613916</v>
      </c>
      <c r="R3219" s="3" t="n">
        <v>22.716484</v>
      </c>
      <c r="S3219" s="3" t="n">
        <v>22.107447</v>
      </c>
      <c r="T3219" s="3" t="n">
        <v>20.120677</v>
      </c>
      <c r="U3219" s="3" t="n">
        <v>20.513679</v>
      </c>
      <c r="V3219" s="3" t="n">
        <v>38.118914</v>
      </c>
      <c r="W3219" s="3" t="n">
        <v>31.164559</v>
      </c>
      <c r="X3219" s="3" t="n">
        <v>32.728652</v>
      </c>
      <c r="Y3219" s="3" t="n">
        <v>29.406345</v>
      </c>
      <c r="Z3219" s="3" t="n">
        <v>35.129974</v>
      </c>
      <c r="AA3219" s="3" t="n">
        <v>38.772268</v>
      </c>
      <c r="AB3219" s="3" t="n">
        <v>38.568851</v>
      </c>
      <c r="AC3219" s="3" t="n">
        <v>38.514567</v>
      </c>
      <c r="AD3219" s="3" t="n">
        <v>38.9453</v>
      </c>
      <c r="AE3219" s="3" t="n">
        <v>33.119977</v>
      </c>
      <c r="AF3219" s="3" t="n">
        <v>35.45843</v>
      </c>
      <c r="AG3219" s="3" t="n">
        <v>32.323342</v>
      </c>
      <c r="AH3219" s="3" t="n">
        <v>31.484207</v>
      </c>
      <c r="AI3219" s="3" t="n">
        <v>31.136844</v>
      </c>
      <c r="AJ3219" s="3" t="n">
        <v>30.91123</v>
      </c>
      <c r="AK3219" s="3" t="n">
        <v>30.61592</v>
      </c>
      <c r="AL3219" s="3" t="n">
        <v>30.677375</v>
      </c>
      <c r="AM3219" s="3" t="n"/>
      <c r="AN3219" s="3" t="n"/>
      <c r="AO3219" s="3" t="n"/>
      <c r="AP3219" s="3" t="n"/>
      <c r="AQ3219" s="3" t="n"/>
      <c r="AR3219" s="3" t="n"/>
      <c r="AS3219" s="3" t="n"/>
      <c r="AT3219" s="3" t="n"/>
      <c r="AU3219" s="3" t="n"/>
    </row>
    <row r="3220">
      <c r="A3220" s="3" t="n">
        <v>2031</v>
      </c>
      <c r="B3220" s="3" t="inlineStr">
        <is>
          <t>VUT</t>
        </is>
      </c>
      <c r="C3220" s="3" t="inlineStr">
        <is>
          <t>IMF.RES:WEO</t>
        </is>
      </c>
      <c r="D3220" s="3" t="inlineStr">
        <is>
          <t>VUT.LP.A</t>
        </is>
      </c>
      <c r="E3220" s="3" t="inlineStr">
        <is>
          <t>Vanuatu</t>
        </is>
      </c>
      <c r="F3220" s="3" t="inlineStr">
        <is>
          <t>Population, Persons for countries / Index for country groups</t>
        </is>
      </c>
      <c r="G3220" s="3" t="n">
        <v>0.190945</v>
      </c>
      <c r="H3220" s="3" t="n">
        <v>0.19531</v>
      </c>
      <c r="I3220" s="3" t="n">
        <v>0.199775</v>
      </c>
      <c r="J3220" s="3" t="n">
        <v>0.204454</v>
      </c>
      <c r="K3220" s="3" t="n">
        <v>0.209156</v>
      </c>
      <c r="L3220" s="3" t="n">
        <v>0.213967</v>
      </c>
      <c r="M3220" s="3" t="n">
        <v>0.218888</v>
      </c>
      <c r="N3220" s="3" t="n">
        <v>0.223923</v>
      </c>
      <c r="O3220" s="3" t="n">
        <v>0.229073</v>
      </c>
      <c r="P3220" s="3" t="n">
        <v>0.234023</v>
      </c>
      <c r="Q3220" s="3" t="n">
        <v>0.239731</v>
      </c>
      <c r="R3220" s="3" t="n">
        <v>0.245245</v>
      </c>
      <c r="S3220" s="3" t="n">
        <v>0.250886</v>
      </c>
      <c r="T3220" s="3" t="n">
        <v>0.256656</v>
      </c>
      <c r="U3220" s="3" t="n">
        <v>0.262559</v>
      </c>
      <c r="V3220" s="3" t="n">
        <v>0.268598</v>
      </c>
      <c r="W3220" s="3" t="n">
        <v>0.272459</v>
      </c>
      <c r="X3220" s="3" t="n">
        <v>0.278726</v>
      </c>
      <c r="Y3220" s="3" t="n">
        <v>0.285136</v>
      </c>
      <c r="Z3220" s="3" t="n">
        <v>0.291694</v>
      </c>
      <c r="AA3220" s="3" t="n">
        <v>0.298403</v>
      </c>
      <c r="AB3220" s="3" t="n">
        <v>0.305267</v>
      </c>
      <c r="AC3220" s="3" t="n">
        <v>0.312288</v>
      </c>
      <c r="AD3220" s="3" t="n">
        <v>0.31947</v>
      </c>
      <c r="AE3220" s="3" t="n">
        <v>0.326818</v>
      </c>
      <c r="AF3220" s="3" t="n">
        <v>0.334335</v>
      </c>
      <c r="AG3220" s="3" t="n">
        <v>0.342025</v>
      </c>
      <c r="AH3220" s="3" t="n">
        <v>0.349892</v>
      </c>
      <c r="AI3220" s="3" t="n">
        <v>0.357939</v>
      </c>
      <c r="AJ3220" s="3" t="n">
        <v>0.366172</v>
      </c>
      <c r="AK3220" s="3" t="n">
        <v>0.374594</v>
      </c>
      <c r="AL3220" s="3" t="n">
        <v>0.38321</v>
      </c>
      <c r="AM3220" s="3" t="n"/>
      <c r="AN3220" s="3" t="n"/>
      <c r="AO3220" s="3" t="n"/>
      <c r="AP3220" s="3" t="n"/>
      <c r="AQ3220" s="3" t="n"/>
      <c r="AR3220" s="3" t="n"/>
      <c r="AS3220" s="3" t="n"/>
      <c r="AT3220" s="3" t="n"/>
      <c r="AU3220" s="3" t="n"/>
    </row>
    <row r="3221">
      <c r="A3221" s="3" t="n">
        <v>2031</v>
      </c>
      <c r="B3221" s="3" t="inlineStr">
        <is>
          <t>VUT</t>
        </is>
      </c>
      <c r="C3221" s="3" t="inlineStr">
        <is>
          <t>IMF.RES:WEO</t>
        </is>
      </c>
      <c r="D3221" s="3" t="inlineStr">
        <is>
          <t>VUT.NGDP.A</t>
        </is>
      </c>
      <c r="E3221" s="3" t="inlineStr">
        <is>
          <t>Vanuatu</t>
        </is>
      </c>
      <c r="F3221" s="3" t="inlineStr">
        <is>
          <t>Gross domestic product (GDP), Current prices, Domestic currency</t>
        </is>
      </c>
      <c r="G3221" s="3" t="n">
        <v>41.416468</v>
      </c>
      <c r="H3221" s="3" t="n">
        <v>41.459609</v>
      </c>
      <c r="I3221" s="3" t="n">
        <v>40.434181</v>
      </c>
      <c r="J3221" s="3" t="n">
        <v>42.504949</v>
      </c>
      <c r="K3221" s="3" t="n">
        <v>45.135444</v>
      </c>
      <c r="L3221" s="3" t="n">
        <v>47.729435</v>
      </c>
      <c r="M3221" s="3" t="n">
        <v>53.772493</v>
      </c>
      <c r="N3221" s="3" t="n">
        <v>58.514685</v>
      </c>
      <c r="O3221" s="3" t="n">
        <v>66.21922600000001</v>
      </c>
      <c r="P3221" s="3" t="n">
        <v>69.97359899999999</v>
      </c>
      <c r="Q3221" s="3" t="n">
        <v>71.897245</v>
      </c>
      <c r="R3221" s="3" t="n">
        <v>76.221301</v>
      </c>
      <c r="S3221" s="3" t="n">
        <v>76.633906</v>
      </c>
      <c r="T3221" s="3" t="n">
        <v>81.623</v>
      </c>
      <c r="U3221" s="3" t="n">
        <v>85.34399999999999</v>
      </c>
      <c r="V3221" s="3" t="n">
        <v>93.22499999999999</v>
      </c>
      <c r="W3221" s="3" t="n">
        <v>98.574</v>
      </c>
      <c r="X3221" s="3" t="n">
        <v>107.663</v>
      </c>
      <c r="Y3221" s="3" t="n">
        <v>113.955</v>
      </c>
      <c r="Z3221" s="3" t="n">
        <v>121.794</v>
      </c>
      <c r="AA3221" s="3" t="n">
        <v>117.388</v>
      </c>
      <c r="AB3221" s="3" t="n">
        <v>119.722</v>
      </c>
      <c r="AC3221" s="3" t="n">
        <v>132.872</v>
      </c>
      <c r="AD3221" s="3" t="n">
        <v>141.522</v>
      </c>
      <c r="AE3221" s="3" t="n">
        <v>154.671</v>
      </c>
      <c r="AF3221" s="3" t="n">
        <v>162.879178</v>
      </c>
      <c r="AG3221" s="3" t="n">
        <v>172.81938</v>
      </c>
      <c r="AH3221" s="3" t="n">
        <v>182.874842</v>
      </c>
      <c r="AI3221" s="3" t="n">
        <v>192.223871</v>
      </c>
      <c r="AJ3221" s="3" t="n">
        <v>201.564031</v>
      </c>
      <c r="AK3221" s="3" t="n">
        <v>211.322929</v>
      </c>
      <c r="AL3221" s="3" t="n">
        <v>221.394263</v>
      </c>
      <c r="AM3221" s="3" t="n"/>
      <c r="AN3221" s="3" t="n"/>
      <c r="AO3221" s="3" t="n"/>
      <c r="AP3221" s="3" t="n"/>
      <c r="AQ3221" s="3" t="n"/>
      <c r="AR3221" s="3" t="n"/>
      <c r="AS3221" s="3" t="n"/>
      <c r="AT3221" s="3" t="n"/>
      <c r="AU3221" s="3" t="n"/>
    </row>
    <row r="3222">
      <c r="A3222" s="3" t="n">
        <v>2031</v>
      </c>
      <c r="B3222" s="3" t="inlineStr">
        <is>
          <t>VUT</t>
        </is>
      </c>
      <c r="C3222" s="3" t="inlineStr">
        <is>
          <t>IMF.RES:WEO</t>
        </is>
      </c>
      <c r="D3222" s="3" t="inlineStr">
        <is>
          <t>VUT.NGDP_D.A</t>
        </is>
      </c>
      <c r="E3222" s="3" t="inlineStr">
        <is>
          <t>Vanuatu</t>
        </is>
      </c>
      <c r="F3222" s="3" t="inlineStr">
        <is>
          <t>Gross domestic product (GDP), Price deflator, Index</t>
        </is>
      </c>
      <c r="G3222" s="3" t="n">
        <v>48.896589</v>
      </c>
      <c r="H3222" s="3" t="n">
        <v>50.669044</v>
      </c>
      <c r="I3222" s="3" t="n">
        <v>52.125486</v>
      </c>
      <c r="J3222" s="3" t="n">
        <v>52.541834</v>
      </c>
      <c r="K3222" s="3" t="n">
        <v>53.654081</v>
      </c>
      <c r="L3222" s="3" t="n">
        <v>53.879182</v>
      </c>
      <c r="M3222" s="3" t="n">
        <v>55.965771</v>
      </c>
      <c r="N3222" s="3" t="n">
        <v>59.198891</v>
      </c>
      <c r="O3222" s="3" t="n">
        <v>63.440237</v>
      </c>
      <c r="P3222" s="3" t="n">
        <v>65.060954</v>
      </c>
      <c r="Q3222" s="3" t="n">
        <v>66.018462</v>
      </c>
      <c r="R3222" s="3" t="n">
        <v>67.85714299999999</v>
      </c>
      <c r="S3222" s="3" t="n">
        <v>67.545804</v>
      </c>
      <c r="T3222" s="3" t="n">
        <v>69.571777</v>
      </c>
      <c r="U3222" s="3" t="n">
        <v>70.552639</v>
      </c>
      <c r="V3222" s="3" t="n">
        <v>74.460863</v>
      </c>
      <c r="W3222" s="3" t="n">
        <v>75.982795</v>
      </c>
      <c r="X3222" s="3" t="n">
        <v>79.625918</v>
      </c>
      <c r="Y3222" s="3" t="n">
        <v>82.21149699999999</v>
      </c>
      <c r="Z3222" s="3" t="n">
        <v>85.07900600000001</v>
      </c>
      <c r="AA3222" s="3" t="n">
        <v>86.98113499999999</v>
      </c>
      <c r="AB3222" s="3" t="n">
        <v>89.754701</v>
      </c>
      <c r="AC3222" s="3" t="n">
        <v>94.337828</v>
      </c>
      <c r="AD3222" s="3" t="n">
        <v>94.94425</v>
      </c>
      <c r="AE3222" s="3" t="n">
        <v>100</v>
      </c>
      <c r="AF3222" s="3" t="n">
        <v>102.186683</v>
      </c>
      <c r="AG3222" s="3" t="n">
        <v>104.727741</v>
      </c>
      <c r="AH3222" s="3" t="n">
        <v>107.436715</v>
      </c>
      <c r="AI3222" s="3" t="n">
        <v>109.857461</v>
      </c>
      <c r="AJ3222" s="3" t="n">
        <v>112.33275</v>
      </c>
      <c r="AK3222" s="3" t="n">
        <v>114.863812</v>
      </c>
      <c r="AL3222" s="3" t="n">
        <v>117.451903</v>
      </c>
      <c r="AM3222" s="3" t="n"/>
      <c r="AN3222" s="3" t="n"/>
      <c r="AO3222" s="3" t="n"/>
      <c r="AP3222" s="3" t="n"/>
      <c r="AQ3222" s="3" t="n"/>
      <c r="AR3222" s="3" t="n"/>
      <c r="AS3222" s="3" t="n"/>
      <c r="AT3222" s="3" t="n"/>
      <c r="AU3222" s="3" t="n"/>
    </row>
    <row r="3223">
      <c r="A3223" s="3" t="n">
        <v>2031</v>
      </c>
      <c r="B3223" s="3" t="inlineStr">
        <is>
          <t>VUT</t>
        </is>
      </c>
      <c r="C3223" s="3" t="inlineStr">
        <is>
          <t>IMF.RES:WEO</t>
        </is>
      </c>
      <c r="D3223" s="3" t="inlineStr">
        <is>
          <t>VUT.NGDP_R.A</t>
        </is>
      </c>
      <c r="E3223" s="3" t="inlineStr">
        <is>
          <t>Vanuatu</t>
        </is>
      </c>
      <c r="F3223" s="3" t="inlineStr">
        <is>
          <t>Gross domestic product (GDP), Constant prices, Domestic currency</t>
        </is>
      </c>
      <c r="G3223" s="3" t="n">
        <v>84.702162</v>
      </c>
      <c r="H3223" s="3" t="n">
        <v>81.824336</v>
      </c>
      <c r="I3223" s="3" t="n">
        <v>77.570846</v>
      </c>
      <c r="J3223" s="3" t="n">
        <v>80.897344</v>
      </c>
      <c r="K3223" s="3" t="n">
        <v>84.12303900000001</v>
      </c>
      <c r="L3223" s="3" t="n">
        <v>88.58604099999999</v>
      </c>
      <c r="M3223" s="3" t="n">
        <v>96.08103800000001</v>
      </c>
      <c r="N3223" s="3" t="n">
        <v>98.84422499999999</v>
      </c>
      <c r="O3223" s="3" t="n">
        <v>104.380482</v>
      </c>
      <c r="P3223" s="3" t="n">
        <v>107.550834</v>
      </c>
      <c r="Q3223" s="3" t="n">
        <v>108.904756</v>
      </c>
      <c r="R3223" s="3" t="n">
        <v>112.326127</v>
      </c>
      <c r="S3223" s="3" t="n">
        <v>113.454725</v>
      </c>
      <c r="T3223" s="3" t="n">
        <v>117.322</v>
      </c>
      <c r="U3223" s="3" t="n">
        <v>120.965</v>
      </c>
      <c r="V3223" s="3" t="n">
        <v>125.2</v>
      </c>
      <c r="W3223" s="3" t="n">
        <v>129.732</v>
      </c>
      <c r="X3223" s="3" t="n">
        <v>135.211</v>
      </c>
      <c r="Y3223" s="3" t="n">
        <v>138.612</v>
      </c>
      <c r="Z3223" s="3" t="n">
        <v>143.154</v>
      </c>
      <c r="AA3223" s="3" t="n">
        <v>134.958</v>
      </c>
      <c r="AB3223" s="3" t="n">
        <v>133.388</v>
      </c>
      <c r="AC3223" s="3" t="n">
        <v>140.847</v>
      </c>
      <c r="AD3223" s="3" t="n">
        <v>149.058</v>
      </c>
      <c r="AE3223" s="3" t="n">
        <v>154.671</v>
      </c>
      <c r="AF3223" s="3" t="n">
        <v>159.393743</v>
      </c>
      <c r="AG3223" s="3" t="n">
        <v>165.017767</v>
      </c>
      <c r="AH3223" s="3" t="n">
        <v>170.216338</v>
      </c>
      <c r="AI3223" s="3" t="n">
        <v>174.97571</v>
      </c>
      <c r="AJ3223" s="3" t="n">
        <v>179.434788</v>
      </c>
      <c r="AK3223" s="3" t="n">
        <v>183.976943</v>
      </c>
      <c r="AL3223" s="3" t="n">
        <v>188.497808</v>
      </c>
      <c r="AM3223" s="3" t="n"/>
      <c r="AN3223" s="3" t="n"/>
      <c r="AO3223" s="3" t="n"/>
      <c r="AP3223" s="3" t="n"/>
      <c r="AQ3223" s="3" t="n"/>
      <c r="AR3223" s="3" t="n"/>
      <c r="AS3223" s="3" t="n"/>
      <c r="AT3223" s="3" t="n"/>
      <c r="AU3223" s="3" t="n"/>
    </row>
    <row r="3224">
      <c r="A3224" s="3" t="n">
        <v>2031</v>
      </c>
      <c r="B3224" s="3" t="inlineStr">
        <is>
          <t>VUT</t>
        </is>
      </c>
      <c r="C3224" s="3" t="inlineStr">
        <is>
          <t>IMF.RES:WEO</t>
        </is>
      </c>
      <c r="D3224" s="3" t="inlineStr">
        <is>
          <t>VUT.NGDP_RPCH.A</t>
        </is>
      </c>
      <c r="E3224" s="3" t="inlineStr">
        <is>
          <t>Vanuatu</t>
        </is>
      </c>
      <c r="F3224" s="3" t="inlineStr">
        <is>
          <t>Gross domestic product (GDP), Constant prices, Percent change</t>
        </is>
      </c>
      <c r="G3224" s="3" t="n">
        <v>5.924809</v>
      </c>
      <c r="H3224" s="3" t="n">
        <v>-3.397582</v>
      </c>
      <c r="I3224" s="3" t="n">
        <v>-5.198319</v>
      </c>
      <c r="J3224" s="3" t="n">
        <v>4.288335</v>
      </c>
      <c r="K3224" s="3" t="n">
        <v>3.987393</v>
      </c>
      <c r="L3224" s="3" t="n">
        <v>5.305326</v>
      </c>
      <c r="M3224" s="3" t="n">
        <v>8.460697</v>
      </c>
      <c r="N3224" s="3" t="n">
        <v>2.875892</v>
      </c>
      <c r="O3224" s="3" t="n">
        <v>5.600992</v>
      </c>
      <c r="P3224" s="3" t="n">
        <v>3.037304</v>
      </c>
      <c r="Q3224" s="3" t="n">
        <v>1.258867</v>
      </c>
      <c r="R3224" s="3" t="n">
        <v>3.141618</v>
      </c>
      <c r="S3224" s="3" t="n">
        <v>1.004751</v>
      </c>
      <c r="T3224" s="3" t="n">
        <v>3.40865</v>
      </c>
      <c r="U3224" s="3" t="n">
        <v>3.105129</v>
      </c>
      <c r="V3224" s="3" t="n">
        <v>3.501013</v>
      </c>
      <c r="W3224" s="3" t="n">
        <v>3.619808</v>
      </c>
      <c r="X3224" s="3" t="n">
        <v>4.223322</v>
      </c>
      <c r="Y3224" s="3" t="n">
        <v>2.515328</v>
      </c>
      <c r="Z3224" s="3" t="n">
        <v>3.276773</v>
      </c>
      <c r="AA3224" s="3" t="n">
        <v>-5.725303</v>
      </c>
      <c r="AB3224" s="3" t="n">
        <v>-1.163325</v>
      </c>
      <c r="AC3224" s="3" t="n">
        <v>5.591957</v>
      </c>
      <c r="AD3224" s="3" t="n">
        <v>5.82973</v>
      </c>
      <c r="AE3224" s="3" t="n">
        <v>3.765648</v>
      </c>
      <c r="AF3224" s="3" t="n">
        <v>3.053412</v>
      </c>
      <c r="AG3224" s="3" t="n">
        <v>3.528385</v>
      </c>
      <c r="AH3224" s="3" t="n">
        <v>3.15031</v>
      </c>
      <c r="AI3224" s="3" t="n">
        <v>2.796072</v>
      </c>
      <c r="AJ3224" s="3" t="n">
        <v>2.548398</v>
      </c>
      <c r="AK3224" s="3" t="n">
        <v>2.531368</v>
      </c>
      <c r="AL3224" s="3" t="n">
        <v>2.4573</v>
      </c>
      <c r="AM3224" s="3" t="n"/>
      <c r="AN3224" s="3" t="n"/>
      <c r="AO3224" s="3" t="n"/>
      <c r="AP3224" s="3" t="n"/>
      <c r="AQ3224" s="3" t="n"/>
      <c r="AR3224" s="3" t="n"/>
      <c r="AS3224" s="3" t="n"/>
      <c r="AT3224" s="3" t="n"/>
      <c r="AU3224" s="3" t="n"/>
    </row>
    <row r="3225">
      <c r="A3225" s="3" t="n">
        <v>2031</v>
      </c>
      <c r="B3225" s="3" t="inlineStr">
        <is>
          <t>VUT</t>
        </is>
      </c>
      <c r="C3225" s="3" t="inlineStr">
        <is>
          <t>IMF.RES:WEO</t>
        </is>
      </c>
      <c r="D3225" s="3" t="inlineStr">
        <is>
          <t>VUT.NGDPD.A</t>
        </is>
      </c>
      <c r="E3225" s="3" t="inlineStr">
        <is>
          <t>Vanuatu</t>
        </is>
      </c>
      <c r="F3225" s="3" t="inlineStr">
        <is>
          <t>Gross domestic product (GDP), Current prices, US dollar</t>
        </is>
      </c>
      <c r="G3225" s="3" t="n">
        <v>0.300403</v>
      </c>
      <c r="H3225" s="3" t="n">
        <v>0.284555</v>
      </c>
      <c r="I3225" s="3" t="n">
        <v>0.290259</v>
      </c>
      <c r="J3225" s="3" t="n">
        <v>0.348756</v>
      </c>
      <c r="K3225" s="3" t="n">
        <v>0.403334</v>
      </c>
      <c r="L3225" s="3" t="n">
        <v>0.431835</v>
      </c>
      <c r="M3225" s="3" t="n">
        <v>0.480693</v>
      </c>
      <c r="N3225" s="3" t="n">
        <v>0.571827</v>
      </c>
      <c r="O3225" s="3" t="n">
        <v>0.643807</v>
      </c>
      <c r="P3225" s="3" t="n">
        <v>0.652259</v>
      </c>
      <c r="Q3225" s="3" t="n">
        <v>0.7211070000000001</v>
      </c>
      <c r="R3225" s="3" t="n">
        <v>0.815907</v>
      </c>
      <c r="S3225" s="3" t="n">
        <v>0.814495</v>
      </c>
      <c r="T3225" s="3" t="n">
        <v>0.85915</v>
      </c>
      <c r="U3225" s="3" t="n">
        <v>0.881116</v>
      </c>
      <c r="V3225" s="3" t="n">
        <v>0.871266</v>
      </c>
      <c r="W3225" s="3" t="n">
        <v>0.901766</v>
      </c>
      <c r="X3225" s="3" t="n">
        <v>0.998997</v>
      </c>
      <c r="Y3225" s="3" t="n">
        <v>0.999605</v>
      </c>
      <c r="Z3225" s="3" t="n">
        <v>1.053855</v>
      </c>
      <c r="AA3225" s="3" t="n">
        <v>1.127646</v>
      </c>
      <c r="AB3225" s="3" t="n">
        <v>1.06005</v>
      </c>
      <c r="AC3225" s="3" t="n">
        <v>1.129768</v>
      </c>
      <c r="AD3225" s="3" t="n">
        <v>1.198222</v>
      </c>
      <c r="AE3225" s="3" t="n">
        <v>1.265202</v>
      </c>
      <c r="AF3225" s="3" t="n">
        <v>1.315876</v>
      </c>
      <c r="AG3225" s="3" t="n">
        <v>1.396182</v>
      </c>
      <c r="AH3225" s="3" t="n">
        <v>1.477418</v>
      </c>
      <c r="AI3225" s="3" t="n">
        <v>1.552948</v>
      </c>
      <c r="AJ3225" s="3" t="n">
        <v>1.628405</v>
      </c>
      <c r="AK3225" s="3" t="n">
        <v>1.707246</v>
      </c>
      <c r="AL3225" s="3" t="n">
        <v>1.788611</v>
      </c>
      <c r="AM3225" s="3" t="n"/>
      <c r="AN3225" s="3" t="n"/>
      <c r="AO3225" s="3" t="n"/>
      <c r="AP3225" s="3" t="n"/>
      <c r="AQ3225" s="3" t="n"/>
      <c r="AR3225" s="3" t="n"/>
      <c r="AS3225" s="3" t="n"/>
      <c r="AT3225" s="3" t="n"/>
      <c r="AU3225" s="3" t="n"/>
    </row>
    <row r="3226">
      <c r="A3226" s="3" t="n">
        <v>2031</v>
      </c>
      <c r="B3226" s="3" t="inlineStr">
        <is>
          <t>VUT</t>
        </is>
      </c>
      <c r="C3226" s="3" t="inlineStr">
        <is>
          <t>IMF.RES:WEO</t>
        </is>
      </c>
      <c r="D3226" s="3" t="inlineStr">
        <is>
          <t>VUT.NGDPPC.A</t>
        </is>
      </c>
      <c r="E3226" s="3" t="inlineStr">
        <is>
          <t>Vanuatu</t>
        </is>
      </c>
      <c r="F3226" s="3" t="inlineStr">
        <is>
          <t>Gross domestic product (GDP), Current prices, Per capita, Domestic currency</t>
        </is>
      </c>
      <c r="G3226" s="3" t="n">
        <v>216902.084037</v>
      </c>
      <c r="H3226" s="3" t="n">
        <v>212275.401984</v>
      </c>
      <c r="I3226" s="3" t="n">
        <v>202398.328134</v>
      </c>
      <c r="J3226" s="3" t="n">
        <v>207894.923432</v>
      </c>
      <c r="K3226" s="3" t="n">
        <v>215797.986251</v>
      </c>
      <c r="L3226" s="3" t="n">
        <v>223069.139748</v>
      </c>
      <c r="M3226" s="3" t="n">
        <v>245662.135112</v>
      </c>
      <c r="N3226" s="3" t="n">
        <v>261316.100185</v>
      </c>
      <c r="O3226" s="3" t="n">
        <v>289074.773416</v>
      </c>
      <c r="P3226" s="3" t="n">
        <v>299003.08481</v>
      </c>
      <c r="Q3226" s="3" t="n">
        <v>299908.001592</v>
      </c>
      <c r="R3226" s="3" t="n">
        <v>310796.554207</v>
      </c>
      <c r="S3226" s="3" t="n">
        <v>305453.097835</v>
      </c>
      <c r="T3226" s="3" t="n">
        <v>318024.904931</v>
      </c>
      <c r="U3226" s="3" t="n">
        <v>325046.94183</v>
      </c>
      <c r="V3226" s="3" t="n">
        <v>347080.022934</v>
      </c>
      <c r="W3226" s="3" t="n">
        <v>361793.884584</v>
      </c>
      <c r="X3226" s="3" t="n">
        <v>386268.234754</v>
      </c>
      <c r="Y3226" s="3" t="n">
        <v>399651.394422</v>
      </c>
      <c r="Z3226" s="3" t="n">
        <v>417540.299081</v>
      </c>
      <c r="AA3226" s="3" t="n">
        <v>393387.465944</v>
      </c>
      <c r="AB3226" s="3" t="n">
        <v>392187.822464</v>
      </c>
      <c r="AC3226" s="3" t="n">
        <v>425479.044984</v>
      </c>
      <c r="AD3226" s="3" t="n">
        <v>442989.952108</v>
      </c>
      <c r="AE3226" s="3" t="n">
        <v>473263.406544</v>
      </c>
      <c r="AF3226" s="3" t="n">
        <v>487173.56468</v>
      </c>
      <c r="AG3226" s="3" t="n">
        <v>505283.017535</v>
      </c>
      <c r="AH3226" s="3" t="n">
        <v>522661.292222</v>
      </c>
      <c r="AI3226" s="3" t="n">
        <v>537029.084372</v>
      </c>
      <c r="AJ3226" s="3" t="n">
        <v>550462.370798</v>
      </c>
      <c r="AK3226" s="3" t="n">
        <v>564137.976039</v>
      </c>
      <c r="AL3226" s="3" t="n">
        <v>577735.681817</v>
      </c>
      <c r="AM3226" s="3" t="n"/>
      <c r="AN3226" s="3" t="n"/>
      <c r="AO3226" s="3" t="n"/>
      <c r="AP3226" s="3" t="n"/>
      <c r="AQ3226" s="3" t="n"/>
      <c r="AR3226" s="3" t="n"/>
      <c r="AS3226" s="3" t="n"/>
      <c r="AT3226" s="3" t="n"/>
      <c r="AU3226" s="3" t="n"/>
    </row>
    <row r="3227">
      <c r="A3227" s="3" t="n">
        <v>2031</v>
      </c>
      <c r="B3227" s="3" t="inlineStr">
        <is>
          <t>VUT</t>
        </is>
      </c>
      <c r="C3227" s="3" t="inlineStr">
        <is>
          <t>IMF.RES:WEO</t>
        </is>
      </c>
      <c r="D3227" s="3" t="inlineStr">
        <is>
          <t>VUT.NGDPRPC.A</t>
        </is>
      </c>
      <c r="E3227" s="3" t="inlineStr">
        <is>
          <t>Vanuatu</t>
        </is>
      </c>
      <c r="F3227" s="3" t="inlineStr">
        <is>
          <t>Gross domestic product (GDP), Constant prices, Per capita, Domestic currency</t>
        </is>
      </c>
      <c r="G3227" s="3" t="n">
        <v>443593.486733</v>
      </c>
      <c r="H3227" s="3" t="n">
        <v>418944.950535</v>
      </c>
      <c r="I3227" s="3" t="n">
        <v>388290.534951</v>
      </c>
      <c r="J3227" s="3" t="n">
        <v>395675.037779</v>
      </c>
      <c r="K3227" s="3" t="n">
        <v>402202.370732</v>
      </c>
      <c r="L3227" s="3" t="n">
        <v>414017.306002</v>
      </c>
      <c r="M3227" s="3" t="n">
        <v>438950.686367</v>
      </c>
      <c r="N3227" s="3" t="n">
        <v>441420.599914</v>
      </c>
      <c r="O3227" s="3" t="n">
        <v>455664.709296</v>
      </c>
      <c r="P3227" s="3" t="n">
        <v>459573.777052</v>
      </c>
      <c r="Q3227" s="3" t="n">
        <v>454278.988547</v>
      </c>
      <c r="R3227" s="3" t="n">
        <v>458015.97352</v>
      </c>
      <c r="S3227" s="3" t="n">
        <v>452216.246932</v>
      </c>
      <c r="T3227" s="3" t="n">
        <v>457117.698398</v>
      </c>
      <c r="U3227" s="3" t="n">
        <v>460715.496327</v>
      </c>
      <c r="V3227" s="3" t="n">
        <v>466124.096233</v>
      </c>
      <c r="W3227" s="3" t="n">
        <v>476152.37522</v>
      </c>
      <c r="X3227" s="3" t="n">
        <v>485103.65018</v>
      </c>
      <c r="Y3227" s="3" t="n">
        <v>486125.91886</v>
      </c>
      <c r="Z3227" s="3" t="n">
        <v>490767.722339</v>
      </c>
      <c r="AA3227" s="3" t="n">
        <v>452267.571036</v>
      </c>
      <c r="AB3227" s="3" t="n">
        <v>436955.190047</v>
      </c>
      <c r="AC3227" s="3" t="n">
        <v>451016.369505</v>
      </c>
      <c r="AD3227" s="3" t="n">
        <v>466579.021504</v>
      </c>
      <c r="AE3227" s="3" t="n">
        <v>473263.406544</v>
      </c>
      <c r="AF3227" s="3" t="n">
        <v>476748.586414</v>
      </c>
      <c r="AG3227" s="3" t="n">
        <v>482472.946221</v>
      </c>
      <c r="AH3227" s="3" t="n">
        <v>486482.94123</v>
      </c>
      <c r="AI3227" s="3" t="n">
        <v>488841.705918</v>
      </c>
      <c r="AJ3227" s="3" t="n">
        <v>490028.395176</v>
      </c>
      <c r="AK3227" s="3" t="n">
        <v>491136.3882</v>
      </c>
      <c r="AL3227" s="3" t="n">
        <v>491891.290573</v>
      </c>
      <c r="AM3227" s="3" t="n"/>
      <c r="AN3227" s="3" t="n"/>
      <c r="AO3227" s="3" t="n"/>
      <c r="AP3227" s="3" t="n"/>
      <c r="AQ3227" s="3" t="n"/>
      <c r="AR3227" s="3" t="n"/>
      <c r="AS3227" s="3" t="n"/>
      <c r="AT3227" s="3" t="n"/>
      <c r="AU3227" s="3" t="n"/>
    </row>
    <row r="3228">
      <c r="A3228" s="3" t="n">
        <v>2031</v>
      </c>
      <c r="B3228" s="3" t="inlineStr">
        <is>
          <t>VUT</t>
        </is>
      </c>
      <c r="C3228" s="3" t="inlineStr">
        <is>
          <t>IMF.RES:WEO</t>
        </is>
      </c>
      <c r="D3228" s="3" t="inlineStr">
        <is>
          <t>VUT.PCPI.A</t>
        </is>
      </c>
      <c r="E3228" s="3" t="inlineStr">
        <is>
          <t>Vanuatu</t>
        </is>
      </c>
      <c r="F3228" s="3" t="inlineStr">
        <is>
          <t>All Items, Consumer price index (CPI), Period average</t>
        </is>
      </c>
      <c r="G3228" s="3" t="n">
        <v>102.025</v>
      </c>
      <c r="H3228" s="3" t="n">
        <v>105.675</v>
      </c>
      <c r="I3228" s="3" t="n">
        <v>107.75</v>
      </c>
      <c r="J3228" s="3" t="n">
        <v>111</v>
      </c>
      <c r="K3228" s="3" t="n">
        <v>112.575</v>
      </c>
      <c r="L3228" s="3" t="n">
        <v>113.925</v>
      </c>
      <c r="M3228" s="3" t="n">
        <v>116.25</v>
      </c>
      <c r="N3228" s="3" t="n">
        <v>120.825</v>
      </c>
      <c r="O3228" s="3" t="n">
        <v>126.675</v>
      </c>
      <c r="P3228" s="3" t="n">
        <v>132.118308</v>
      </c>
      <c r="Q3228" s="3" t="n">
        <v>135.768333</v>
      </c>
      <c r="R3228" s="3" t="n">
        <v>136.954668</v>
      </c>
      <c r="S3228" s="3" t="n">
        <v>138.8</v>
      </c>
      <c r="T3228" s="3" t="n">
        <v>140.825</v>
      </c>
      <c r="U3228" s="3" t="n">
        <v>141.95</v>
      </c>
      <c r="V3228" s="3" t="n">
        <v>145.475</v>
      </c>
      <c r="W3228" s="3" t="n">
        <v>146.7</v>
      </c>
      <c r="X3228" s="3" t="n">
        <v>151.2</v>
      </c>
      <c r="Y3228" s="3" t="n">
        <v>154.8</v>
      </c>
      <c r="Z3228" s="3" t="n">
        <v>159</v>
      </c>
      <c r="AA3228" s="3" t="n">
        <v>167.5</v>
      </c>
      <c r="AB3228" s="3" t="n">
        <v>171.425</v>
      </c>
      <c r="AC3228" s="3" t="n">
        <v>182.875</v>
      </c>
      <c r="AD3228" s="3" t="n">
        <v>203.325</v>
      </c>
      <c r="AE3228" s="3" t="n">
        <v>205.65</v>
      </c>
      <c r="AF3228" s="3" t="n">
        <v>209.118663</v>
      </c>
      <c r="AG3228" s="3" t="n">
        <v>217.727414</v>
      </c>
      <c r="AH3228" s="3" t="n">
        <v>225.042909</v>
      </c>
      <c r="AI3228" s="3" t="n">
        <v>230.21368</v>
      </c>
      <c r="AJ3228" s="3" t="n">
        <v>235.400815</v>
      </c>
      <c r="AK3228" s="3" t="n">
        <v>240.704825</v>
      </c>
      <c r="AL3228" s="3" t="n">
        <v>246.128344</v>
      </c>
      <c r="AM3228" s="3" t="n"/>
      <c r="AN3228" s="3" t="n"/>
      <c r="AO3228" s="3" t="n"/>
      <c r="AP3228" s="3" t="n"/>
      <c r="AQ3228" s="3" t="n"/>
      <c r="AR3228" s="3" t="n"/>
      <c r="AS3228" s="3" t="n"/>
      <c r="AT3228" s="3" t="n"/>
      <c r="AU3228" s="3" t="n"/>
    </row>
    <row r="3229">
      <c r="A3229" s="3" t="n">
        <v>2031</v>
      </c>
      <c r="B3229" s="3" t="inlineStr">
        <is>
          <t>VUT</t>
        </is>
      </c>
      <c r="C3229" s="3" t="inlineStr">
        <is>
          <t>IMF.RES:WEO</t>
        </is>
      </c>
      <c r="D3229" s="3" t="inlineStr">
        <is>
          <t>VUT.PCPIPCH.A</t>
        </is>
      </c>
      <c r="E3229" s="3" t="inlineStr">
        <is>
          <t>Vanuatu</t>
        </is>
      </c>
      <c r="F3229" s="3" t="inlineStr">
        <is>
          <t>All Items, Consumer price index (CPI), Period average, percent change</t>
        </is>
      </c>
      <c r="G3229" s="3" t="n">
        <v>2.537688</v>
      </c>
      <c r="H3229" s="3" t="n">
        <v>3.577555</v>
      </c>
      <c r="I3229" s="3" t="n">
        <v>1.963568</v>
      </c>
      <c r="J3229" s="3" t="n">
        <v>3.016241</v>
      </c>
      <c r="K3229" s="3" t="n">
        <v>1.418919</v>
      </c>
      <c r="L3229" s="3" t="n">
        <v>1.199201</v>
      </c>
      <c r="M3229" s="3" t="n">
        <v>2.040816</v>
      </c>
      <c r="N3229" s="3" t="n">
        <v>3.935484</v>
      </c>
      <c r="O3229" s="3" t="n">
        <v>4.841713</v>
      </c>
      <c r="P3229" s="3" t="n">
        <v>4.297066</v>
      </c>
      <c r="Q3229" s="3" t="n">
        <v>2.762695</v>
      </c>
      <c r="R3229" s="3" t="n">
        <v>0.873793</v>
      </c>
      <c r="S3229" s="3" t="n">
        <v>1.347404</v>
      </c>
      <c r="T3229" s="3" t="n">
        <v>1.458934</v>
      </c>
      <c r="U3229" s="3" t="n">
        <v>0.798864</v>
      </c>
      <c r="V3229" s="3" t="n">
        <v>2.483269</v>
      </c>
      <c r="W3229" s="3" t="n">
        <v>0.842069</v>
      </c>
      <c r="X3229" s="3" t="n">
        <v>3.067485</v>
      </c>
      <c r="Y3229" s="3" t="n">
        <v>2.380952</v>
      </c>
      <c r="Z3229" s="3" t="n">
        <v>2.713178</v>
      </c>
      <c r="AA3229" s="3" t="n">
        <v>5.345912</v>
      </c>
      <c r="AB3229" s="3" t="n">
        <v>2.343284</v>
      </c>
      <c r="AC3229" s="3" t="n">
        <v>6.679306</v>
      </c>
      <c r="AD3229" s="3" t="n">
        <v>11.182502</v>
      </c>
      <c r="AE3229" s="3" t="n">
        <v>1.143489</v>
      </c>
      <c r="AF3229" s="3" t="n">
        <v>1.686683</v>
      </c>
      <c r="AG3229" s="3" t="n">
        <v>4.116683</v>
      </c>
      <c r="AH3229" s="3" t="n">
        <v>3.359933</v>
      </c>
      <c r="AI3229" s="3" t="n">
        <v>2.297683</v>
      </c>
      <c r="AJ3229" s="3" t="n">
        <v>2.253183</v>
      </c>
      <c r="AK3229" s="3" t="n">
        <v>2.253183</v>
      </c>
      <c r="AL3229" s="3" t="n">
        <v>2.253183</v>
      </c>
      <c r="AM3229" s="3" t="n"/>
      <c r="AN3229" s="3" t="n"/>
      <c r="AO3229" s="3" t="n"/>
      <c r="AP3229" s="3" t="n"/>
      <c r="AQ3229" s="3" t="n"/>
      <c r="AR3229" s="3" t="n"/>
      <c r="AS3229" s="3" t="n"/>
      <c r="AT3229" s="3" t="n"/>
      <c r="AU3229" s="3" t="n"/>
    </row>
    <row r="3230">
      <c r="A3230" s="3" t="n">
        <v>2031</v>
      </c>
      <c r="B3230" s="3" t="inlineStr">
        <is>
          <t>VUT</t>
        </is>
      </c>
      <c r="C3230" s="3" t="inlineStr">
        <is>
          <t>IMF.RES:WEO</t>
        </is>
      </c>
      <c r="D3230" s="3" t="inlineStr">
        <is>
          <t>VUT.PPPPC.A</t>
        </is>
      </c>
      <c r="E3230" s="3" t="inlineStr">
        <is>
          <t>Vanuatu</t>
        </is>
      </c>
      <c r="F3230" s="3" t="inlineStr">
        <is>
          <t>Gross domestic product (GDP), Per capita, purchasing power parity (PPP) international dollar, ICP benchmarks 2017-2021</t>
        </is>
      </c>
      <c r="G3230" s="3" t="n">
        <v>2065.886981</v>
      </c>
      <c r="H3230" s="3" t="n">
        <v>1995.025988</v>
      </c>
      <c r="I3230" s="3" t="n">
        <v>1877.783801</v>
      </c>
      <c r="J3230" s="3" t="n">
        <v>1951.271989</v>
      </c>
      <c r="K3230" s="3" t="n">
        <v>2036.794465</v>
      </c>
      <c r="L3230" s="3" t="n">
        <v>2162.372973</v>
      </c>
      <c r="M3230" s="3" t="n">
        <v>2363.298655</v>
      </c>
      <c r="N3230" s="3" t="n">
        <v>2440.985024</v>
      </c>
      <c r="O3230" s="3" t="n">
        <v>2568.29346</v>
      </c>
      <c r="P3230" s="3" t="n">
        <v>2606.302029</v>
      </c>
      <c r="Q3230" s="3" t="n">
        <v>2607.585989</v>
      </c>
      <c r="R3230" s="3" t="n">
        <v>2683.280037</v>
      </c>
      <c r="S3230" s="3" t="n">
        <v>2698.630635</v>
      </c>
      <c r="T3230" s="3" t="n">
        <v>2774.309032</v>
      </c>
      <c r="U3230" s="3" t="n">
        <v>2844.845418</v>
      </c>
      <c r="V3230" s="3" t="n">
        <v>2904.954292</v>
      </c>
      <c r="W3230" s="3" t="n">
        <v>2995.649438</v>
      </c>
      <c r="X3230" s="3" t="n">
        <v>3106.622523</v>
      </c>
      <c r="Y3230" s="3" t="n">
        <v>3184.485276</v>
      </c>
      <c r="Z3230" s="3" t="n">
        <v>3267.958748</v>
      </c>
      <c r="AA3230" s="3" t="n">
        <v>3052.086208</v>
      </c>
      <c r="AB3230" s="3" t="n">
        <v>3083.308861</v>
      </c>
      <c r="AC3230" s="3" t="n">
        <v>3408.88414</v>
      </c>
      <c r="AD3230" s="3" t="n">
        <v>3656.992252</v>
      </c>
      <c r="AE3230" s="3" t="n">
        <v>3801.470799</v>
      </c>
      <c r="AF3230" s="3" t="n">
        <v>3938.098369</v>
      </c>
      <c r="AG3230" s="3" t="n">
        <v>4099.558733</v>
      </c>
      <c r="AH3230" s="3" t="n">
        <v>4224.402045</v>
      </c>
      <c r="AI3230" s="3" t="n">
        <v>4314.559643</v>
      </c>
      <c r="AJ3230" s="3" t="n">
        <v>4401.937256</v>
      </c>
      <c r="AK3230" s="3" t="n">
        <v>4492.960055</v>
      </c>
      <c r="AL3230" s="3" t="n">
        <v>4581.102131</v>
      </c>
      <c r="AM3230" s="3" t="n"/>
      <c r="AN3230" s="3" t="n"/>
      <c r="AO3230" s="3" t="n"/>
      <c r="AP3230" s="3" t="n"/>
      <c r="AQ3230" s="3" t="n"/>
      <c r="AR3230" s="3" t="n"/>
      <c r="AS3230" s="3" t="n"/>
      <c r="AT3230" s="3" t="n"/>
      <c r="AU3230" s="3" t="n"/>
    </row>
    <row r="3231">
      <c r="A3231" s="3" t="n">
        <v>2025</v>
      </c>
      <c r="B3231" s="3" t="inlineStr">
        <is>
          <t>VUT</t>
        </is>
      </c>
      <c r="C3231" s="3" t="inlineStr">
        <is>
          <t>IMF.STA:ER</t>
        </is>
      </c>
      <c r="D3231" s="3" t="inlineStr">
        <is>
          <t>VUT.XDC_USD.PA_RT.A</t>
        </is>
      </c>
      <c r="E3231" s="3" t="inlineStr">
        <is>
          <t>Vanuatu</t>
        </is>
      </c>
      <c r="F3231" s="3" t="inlineStr">
        <is>
          <t>Domestic currency per US Dollar</t>
        </is>
      </c>
      <c r="G3231" s="3" t="n">
        <v>137.643333333333</v>
      </c>
      <c r="H3231" s="3" t="n">
        <v>145.3125</v>
      </c>
      <c r="I3231" s="3" t="n">
        <v>139.198333333333</v>
      </c>
      <c r="J3231" s="3" t="n">
        <v>122.189166666666</v>
      </c>
      <c r="K3231" s="3" t="n">
        <v>111.79</v>
      </c>
      <c r="L3231" s="3" t="n">
        <v>109.245833333333</v>
      </c>
      <c r="M3231" s="3" t="n">
        <v>110.640833333333</v>
      </c>
      <c r="N3231" s="3" t="n">
        <v>102.4375</v>
      </c>
      <c r="O3231" s="3" t="n">
        <v>101.334166666666</v>
      </c>
      <c r="P3231" s="3" t="n">
        <v>106.740833333333</v>
      </c>
      <c r="Q3231" s="3" t="n">
        <v>96.90583333333331</v>
      </c>
      <c r="R3231" s="3" t="n">
        <v>89.4691666666666</v>
      </c>
      <c r="S3231" s="3" t="n">
        <v>92.6375</v>
      </c>
      <c r="T3231" s="3" t="n">
        <v>94.5425</v>
      </c>
      <c r="U3231" s="3" t="n">
        <v>97.0716666666666</v>
      </c>
      <c r="V3231" s="3" t="n">
        <v>108.989166666666</v>
      </c>
      <c r="W3231" s="3" t="n">
        <v>108.475</v>
      </c>
      <c r="X3231" s="3" t="n">
        <v>107.820833333333</v>
      </c>
      <c r="Y3231" s="3" t="n">
        <v>110.165</v>
      </c>
      <c r="Z3231" s="3" t="n">
        <v>114.7325</v>
      </c>
      <c r="AA3231" s="3" t="n">
        <v>115.38</v>
      </c>
      <c r="AB3231" s="3" t="n">
        <v>109.448333333333</v>
      </c>
      <c r="AC3231" s="3" t="n">
        <v>115.353916666666</v>
      </c>
      <c r="AD3231" s="3" t="n">
        <v>119.1125</v>
      </c>
      <c r="AE3231" s="3" t="n">
        <v>119.165</v>
      </c>
      <c r="AF3231" s="3" t="n">
        <v>119.165</v>
      </c>
      <c r="AG3231" s="3" t="n"/>
      <c r="AH3231" s="3" t="n"/>
      <c r="AI3231" s="3" t="n"/>
      <c r="AJ3231" s="3" t="n"/>
      <c r="AK3231" s="3" t="n"/>
      <c r="AL3231" s="3" t="n"/>
      <c r="AM3231" s="3" t="n"/>
      <c r="AN3231" s="3" t="n"/>
      <c r="AO3231" s="3" t="n"/>
      <c r="AP3231" s="3" t="n"/>
      <c r="AQ3231" s="3" t="n"/>
      <c r="AR3231" s="3" t="n"/>
      <c r="AS3231" s="3" t="n"/>
      <c r="AT3231" s="3" t="n"/>
      <c r="AU3231" s="3" t="n"/>
    </row>
    <row r="3232">
      <c r="A3232" s="3" t="n">
        <v>2024</v>
      </c>
      <c r="B3232" s="3" t="inlineStr">
        <is>
          <t>WBG</t>
        </is>
      </c>
      <c r="C3232" s="3" t="inlineStr">
        <is>
          <t>IMF.RES:WEO</t>
        </is>
      </c>
      <c r="D3232" s="3" t="inlineStr">
        <is>
          <t>WBG.BCA.A</t>
        </is>
      </c>
      <c r="E3232" s="3" t="inlineStr">
        <is>
          <t>West Bank and Gaza</t>
        </is>
      </c>
      <c r="F3232" s="3" t="inlineStr">
        <is>
          <t>Current account balance (credit less debit), US dollar</t>
        </is>
      </c>
      <c r="G3232" s="3" t="n">
        <v>-0.8565</v>
      </c>
      <c r="H3232" s="3" t="n">
        <v>-0.8279</v>
      </c>
      <c r="I3232" s="3" t="n">
        <v>-0.4855</v>
      </c>
      <c r="J3232" s="3" t="n">
        <v>-1.0705</v>
      </c>
      <c r="K3232" s="3" t="n">
        <v>-1.5879</v>
      </c>
      <c r="L3232" s="3" t="n">
        <v>-1.3652</v>
      </c>
      <c r="M3232" s="3" t="n">
        <v>-1.2335</v>
      </c>
      <c r="N3232" s="3" t="n">
        <v>-0.4185</v>
      </c>
      <c r="O3232" s="3" t="n">
        <v>0.3806</v>
      </c>
      <c r="P3232" s="3" t="n">
        <v>-1.1369</v>
      </c>
      <c r="Q3232" s="3" t="n">
        <v>-1.3069</v>
      </c>
      <c r="R3232" s="3" t="n">
        <v>-2.0695</v>
      </c>
      <c r="S3232" s="3" t="n">
        <v>-1.821</v>
      </c>
      <c r="T3232" s="3" t="n">
        <v>-1.9966</v>
      </c>
      <c r="U3232" s="3" t="n">
        <v>-1.9007</v>
      </c>
      <c r="V3232" s="3" t="n">
        <v>-1.9392</v>
      </c>
      <c r="W3232" s="3" t="n">
        <v>-2.1425</v>
      </c>
      <c r="X3232" s="3" t="n">
        <v>-2.13</v>
      </c>
      <c r="Y3232" s="3" t="n">
        <v>-2.1404</v>
      </c>
      <c r="Z3232" s="3" t="n">
        <v>-1.7793</v>
      </c>
      <c r="AA3232" s="3" t="n">
        <v>-1.9027</v>
      </c>
      <c r="AB3232" s="3" t="n">
        <v>-1.7779</v>
      </c>
      <c r="AC3232" s="3" t="n">
        <v>-2.0366</v>
      </c>
      <c r="AD3232" s="3" t="n">
        <v>-2.3219</v>
      </c>
      <c r="AE3232" s="3" t="n">
        <v>-2.899</v>
      </c>
      <c r="AF3232" s="3" t="n"/>
      <c r="AG3232" s="3" t="n"/>
      <c r="AH3232" s="3" t="n"/>
      <c r="AI3232" s="3" t="n"/>
      <c r="AJ3232" s="3" t="n"/>
      <c r="AK3232" s="3" t="n"/>
      <c r="AL3232" s="3" t="n"/>
      <c r="AM3232" s="3" t="n"/>
      <c r="AN3232" s="3" t="n"/>
      <c r="AO3232" s="3" t="n"/>
      <c r="AP3232" s="3" t="n"/>
      <c r="AQ3232" s="3" t="n"/>
      <c r="AR3232" s="3" t="n"/>
      <c r="AS3232" s="3" t="n"/>
      <c r="AT3232" s="3" t="n"/>
      <c r="AU3232" s="3" t="n"/>
    </row>
    <row r="3233">
      <c r="A3233" s="3" t="n">
        <v>2024</v>
      </c>
      <c r="B3233" s="3" t="inlineStr">
        <is>
          <t>WBG</t>
        </is>
      </c>
      <c r="C3233" s="3" t="inlineStr">
        <is>
          <t>IMF.RES:WEO</t>
        </is>
      </c>
      <c r="D3233" s="3" t="inlineStr">
        <is>
          <t>WBG.BCA_NGDPD.A</t>
        </is>
      </c>
      <c r="E3233" s="3" t="inlineStr">
        <is>
          <t>West Bank and Gaza</t>
        </is>
      </c>
      <c r="F3233" s="3" t="inlineStr">
        <is>
          <t>Current account balance (credit less debit), Percent of GDP</t>
        </is>
      </c>
      <c r="G3233" s="3" t="n">
        <v>-19.855805</v>
      </c>
      <c r="H3233" s="3" t="n">
        <v>-20.678373</v>
      </c>
      <c r="I3233" s="3" t="n">
        <v>-13.653749</v>
      </c>
      <c r="J3233" s="3" t="n">
        <v>-26.978327</v>
      </c>
      <c r="K3233" s="3" t="n">
        <v>-34.496318</v>
      </c>
      <c r="L3233" s="3" t="n">
        <v>-26.634411</v>
      </c>
      <c r="M3233" s="3" t="n">
        <v>-23.063403</v>
      </c>
      <c r="N3233" s="3" t="n">
        <v>-7.196038</v>
      </c>
      <c r="O3233" s="3" t="n">
        <v>5.206281</v>
      </c>
      <c r="P3233" s="3" t="n">
        <v>-14.060626</v>
      </c>
      <c r="Q3233" s="3" t="n">
        <v>-13.498941</v>
      </c>
      <c r="R3233" s="3" t="n">
        <v>-18.500639</v>
      </c>
      <c r="S3233" s="3" t="n">
        <v>-14.91596</v>
      </c>
      <c r="T3233" s="3" t="n">
        <v>-14.772668</v>
      </c>
      <c r="U3233" s="3" t="n">
        <v>-13.586424</v>
      </c>
      <c r="V3233" s="3" t="n">
        <v>-13.87879</v>
      </c>
      <c r="W3233" s="3" t="n">
        <v>-13.907461</v>
      </c>
      <c r="X3233" s="3" t="n">
        <v>-13.206845</v>
      </c>
      <c r="Y3233" s="3" t="n">
        <v>-13.150166</v>
      </c>
      <c r="Z3233" s="3" t="n">
        <v>-10.384918</v>
      </c>
      <c r="AA3233" s="3" t="n">
        <v>-12.25043</v>
      </c>
      <c r="AB3233" s="3" t="n">
        <v>-9.817769999999999</v>
      </c>
      <c r="AC3233" s="3" t="n">
        <v>-10.626386</v>
      </c>
      <c r="AD3233" s="3" t="n">
        <v>-12.45982</v>
      </c>
      <c r="AE3233" s="3" t="n">
        <v>-18.099632</v>
      </c>
      <c r="AF3233" s="3" t="n"/>
      <c r="AG3233" s="3" t="n"/>
      <c r="AH3233" s="3" t="n"/>
      <c r="AI3233" s="3" t="n"/>
      <c r="AJ3233" s="3" t="n"/>
      <c r="AK3233" s="3" t="n"/>
      <c r="AL3233" s="3" t="n"/>
      <c r="AM3233" s="3" t="n"/>
      <c r="AN3233" s="3" t="n"/>
      <c r="AO3233" s="3" t="n"/>
      <c r="AP3233" s="3" t="n"/>
      <c r="AQ3233" s="3" t="n"/>
      <c r="AR3233" s="3" t="n"/>
      <c r="AS3233" s="3" t="n"/>
      <c r="AT3233" s="3" t="n"/>
      <c r="AU3233" s="3" t="n"/>
    </row>
    <row r="3234">
      <c r="A3234" s="3" t="n">
        <v>2024</v>
      </c>
      <c r="B3234" s="3" t="inlineStr">
        <is>
          <t>WBG</t>
        </is>
      </c>
      <c r="C3234" s="3" t="inlineStr">
        <is>
          <t>IMF.RES:WEO</t>
        </is>
      </c>
      <c r="D3234" s="3" t="inlineStr">
        <is>
          <t>WBG.GGR_NGDP.A</t>
        </is>
      </c>
      <c r="E3234" s="3" t="inlineStr">
        <is>
          <t>West Bank and Gaza</t>
        </is>
      </c>
      <c r="F3234" s="3" t="inlineStr">
        <is>
          <t>Revenue, General government, Percent of GDP</t>
        </is>
      </c>
      <c r="G3234" s="3" t="n"/>
      <c r="H3234" s="3" t="n"/>
      <c r="I3234" s="3" t="n"/>
      <c r="J3234" s="3" t="n"/>
      <c r="K3234" s="3" t="n"/>
      <c r="L3234" s="3" t="n"/>
      <c r="M3234" s="3" t="n"/>
      <c r="N3234" s="3" t="n"/>
      <c r="O3234" s="3" t="n"/>
      <c r="P3234" s="3" t="n">
        <v>37.092517</v>
      </c>
      <c r="Q3234" s="3" t="n">
        <v>32.581946</v>
      </c>
      <c r="R3234" s="3" t="n">
        <v>27.085055</v>
      </c>
      <c r="S3234" s="3" t="n">
        <v>24.590844</v>
      </c>
      <c r="T3234" s="3" t="n">
        <v>28.65221</v>
      </c>
      <c r="U3234" s="3" t="n">
        <v>29.885174</v>
      </c>
      <c r="V3234" s="3" t="n">
        <v>26.754667</v>
      </c>
      <c r="W3234" s="3" t="n">
        <v>28.317941</v>
      </c>
      <c r="X3234" s="3" t="n">
        <v>27.290332</v>
      </c>
      <c r="Y3234" s="3" t="n">
        <v>25.720071</v>
      </c>
      <c r="Z3234" s="3" t="n">
        <v>23.854771</v>
      </c>
      <c r="AA3234" s="3" t="n">
        <v>25.661229</v>
      </c>
      <c r="AB3234" s="3" t="n">
        <v>25.622894</v>
      </c>
      <c r="AC3234" s="3" t="n">
        <v>28.132694</v>
      </c>
      <c r="AD3234" s="3" t="n">
        <v>27.896984</v>
      </c>
      <c r="AE3234" s="3" t="n">
        <v>29.656382</v>
      </c>
      <c r="AF3234" s="3" t="n"/>
      <c r="AG3234" s="3" t="n"/>
      <c r="AH3234" s="3" t="n"/>
      <c r="AI3234" s="3" t="n"/>
      <c r="AJ3234" s="3" t="n"/>
      <c r="AK3234" s="3" t="n"/>
      <c r="AL3234" s="3" t="n"/>
      <c r="AM3234" s="3" t="n"/>
      <c r="AN3234" s="3" t="n"/>
      <c r="AO3234" s="3" t="n"/>
      <c r="AP3234" s="3" t="n"/>
      <c r="AQ3234" s="3" t="n"/>
      <c r="AR3234" s="3" t="n"/>
      <c r="AS3234" s="3" t="n"/>
      <c r="AT3234" s="3" t="n"/>
      <c r="AU3234" s="3" t="n"/>
    </row>
    <row r="3235">
      <c r="A3235" s="3" t="n">
        <v>2024</v>
      </c>
      <c r="B3235" s="3" t="inlineStr">
        <is>
          <t>WBG</t>
        </is>
      </c>
      <c r="C3235" s="3" t="inlineStr">
        <is>
          <t>IMF.RES:WEO</t>
        </is>
      </c>
      <c r="D3235" s="3" t="inlineStr">
        <is>
          <t>WBG.GGX_NGDP.A</t>
        </is>
      </c>
      <c r="E3235" s="3" t="inlineStr">
        <is>
          <t>West Bank and Gaza</t>
        </is>
      </c>
      <c r="F3235" s="3" t="inlineStr">
        <is>
          <t>Expenditure, General government, Percent of GDP</t>
        </is>
      </c>
      <c r="G3235" s="3" t="n"/>
      <c r="H3235" s="3" t="n"/>
      <c r="I3235" s="3" t="n"/>
      <c r="J3235" s="3" t="n"/>
      <c r="K3235" s="3" t="n"/>
      <c r="L3235" s="3" t="n"/>
      <c r="M3235" s="3" t="n"/>
      <c r="N3235" s="3" t="n"/>
      <c r="O3235" s="3" t="n"/>
      <c r="P3235" s="3" t="n">
        <v>44.76743</v>
      </c>
      <c r="Q3235" s="3" t="n">
        <v>34.773589</v>
      </c>
      <c r="R3235" s="3" t="n">
        <v>33.343118</v>
      </c>
      <c r="S3235" s="3" t="n">
        <v>30.857299</v>
      </c>
      <c r="T3235" s="3" t="n">
        <v>30.181701</v>
      </c>
      <c r="U3235" s="3" t="n">
        <v>32.430202</v>
      </c>
      <c r="V3235" s="3" t="n">
        <v>31.412979</v>
      </c>
      <c r="W3235" s="3" t="n">
        <v>30.39473</v>
      </c>
      <c r="X3235" s="3" t="n">
        <v>30.069856</v>
      </c>
      <c r="Y3235" s="3" t="n">
        <v>28.17779</v>
      </c>
      <c r="Z3235" s="3" t="n">
        <v>28.333727</v>
      </c>
      <c r="AA3235" s="3" t="n">
        <v>33.034378</v>
      </c>
      <c r="AB3235" s="3" t="n">
        <v>30.829906</v>
      </c>
      <c r="AC3235" s="3" t="n">
        <v>29.054636</v>
      </c>
      <c r="AD3235" s="3" t="n">
        <v>28.809873</v>
      </c>
      <c r="AE3235" s="3" t="n">
        <v>32.686469</v>
      </c>
      <c r="AF3235" s="3" t="n"/>
      <c r="AG3235" s="3" t="n"/>
      <c r="AH3235" s="3" t="n"/>
      <c r="AI3235" s="3" t="n"/>
      <c r="AJ3235" s="3" t="n"/>
      <c r="AK3235" s="3" t="n"/>
      <c r="AL3235" s="3" t="n"/>
      <c r="AM3235" s="3" t="n"/>
      <c r="AN3235" s="3" t="n"/>
      <c r="AO3235" s="3" t="n"/>
      <c r="AP3235" s="3" t="n"/>
      <c r="AQ3235" s="3" t="n"/>
      <c r="AR3235" s="3" t="n"/>
      <c r="AS3235" s="3" t="n"/>
      <c r="AT3235" s="3" t="n"/>
      <c r="AU3235" s="3" t="n"/>
    </row>
    <row r="3236">
      <c r="A3236" s="3" t="n">
        <v>2025</v>
      </c>
      <c r="B3236" s="3" t="inlineStr">
        <is>
          <t>WBG</t>
        </is>
      </c>
      <c r="C3236" s="3" t="inlineStr">
        <is>
          <t>IMF.RES:WEO</t>
        </is>
      </c>
      <c r="D3236" s="3" t="inlineStr">
        <is>
          <t>WBG.LP.A</t>
        </is>
      </c>
      <c r="E3236" s="3" t="inlineStr">
        <is>
          <t>West Bank and Gaza</t>
        </is>
      </c>
      <c r="F3236" s="3" t="inlineStr">
        <is>
          <t>Population, Persons for countries / Index for country groups</t>
        </is>
      </c>
      <c r="G3236" s="3" t="n">
        <v>3.053335</v>
      </c>
      <c r="H3236" s="3" t="n">
        <v>3.138471</v>
      </c>
      <c r="I3236" s="3" t="n">
        <v>3.225214</v>
      </c>
      <c r="J3236" s="3" t="n">
        <v>3.314509</v>
      </c>
      <c r="K3236" s="3" t="n">
        <v>3.407417</v>
      </c>
      <c r="L3236" s="3" t="n">
        <v>3.508126</v>
      </c>
      <c r="M3236" s="3" t="n">
        <v>3.611998</v>
      </c>
      <c r="N3236" s="3" t="n">
        <v>3.719189</v>
      </c>
      <c r="O3236" s="3" t="n">
        <v>3.820801</v>
      </c>
      <c r="P3236" s="3" t="n">
        <v>3.92213</v>
      </c>
      <c r="Q3236" s="3" t="n">
        <v>4.023462</v>
      </c>
      <c r="R3236" s="3" t="n">
        <v>4.124795</v>
      </c>
      <c r="S3236" s="3" t="n">
        <v>4.22641</v>
      </c>
      <c r="T3236" s="3" t="n">
        <v>4.327751</v>
      </c>
      <c r="U3236" s="3" t="n">
        <v>4.429084</v>
      </c>
      <c r="V3236" s="3" t="n">
        <v>4.530416</v>
      </c>
      <c r="W3236" s="3" t="n">
        <v>4.632025</v>
      </c>
      <c r="X3236" s="3" t="n">
        <v>4.733357</v>
      </c>
      <c r="Y3236" s="3" t="n">
        <v>4.854013</v>
      </c>
      <c r="Z3236" s="3" t="n">
        <v>4.976684</v>
      </c>
      <c r="AA3236" s="3" t="n">
        <v>5.101152</v>
      </c>
      <c r="AB3236" s="3" t="n">
        <v>5.227193</v>
      </c>
      <c r="AC3236" s="3" t="n">
        <v>5.354656</v>
      </c>
      <c r="AD3236" s="3" t="n">
        <v>5.48345</v>
      </c>
      <c r="AE3236" s="3" t="n">
        <v>5.613463</v>
      </c>
      <c r="AF3236" s="3" t="n">
        <v>5.737179</v>
      </c>
      <c r="AG3236" s="3" t="n"/>
      <c r="AH3236" s="3" t="n"/>
      <c r="AI3236" s="3" t="n"/>
      <c r="AJ3236" s="3" t="n"/>
      <c r="AK3236" s="3" t="n"/>
      <c r="AL3236" s="3" t="n"/>
      <c r="AM3236" s="3" t="n"/>
      <c r="AN3236" s="3" t="n"/>
      <c r="AO3236" s="3" t="n"/>
      <c r="AP3236" s="3" t="n"/>
      <c r="AQ3236" s="3" t="n"/>
      <c r="AR3236" s="3" t="n"/>
      <c r="AS3236" s="3" t="n"/>
      <c r="AT3236" s="3" t="n"/>
      <c r="AU3236" s="3" t="n"/>
    </row>
    <row r="3237">
      <c r="A3237" s="3" t="n">
        <v>2024</v>
      </c>
      <c r="B3237" s="3" t="inlineStr">
        <is>
          <t>WBG</t>
        </is>
      </c>
      <c r="C3237" s="3" t="inlineStr">
        <is>
          <t>IMF.RES:WEO</t>
        </is>
      </c>
      <c r="D3237" s="3" t="inlineStr">
        <is>
          <t>WBG.NGDP.A</t>
        </is>
      </c>
      <c r="E3237" s="3" t="inlineStr">
        <is>
          <t>West Bank and Gaza</t>
        </is>
      </c>
      <c r="F3237" s="3" t="inlineStr">
        <is>
          <t>Gross domestic product (GDP), Current prices, Domestic currency</t>
        </is>
      </c>
      <c r="G3237" s="3" t="n">
        <v>17.587985</v>
      </c>
      <c r="H3237" s="3" t="n">
        <v>16.838161</v>
      </c>
      <c r="I3237" s="3" t="n">
        <v>16.846758</v>
      </c>
      <c r="J3237" s="3" t="n">
        <v>18.070801</v>
      </c>
      <c r="K3237" s="3" t="n">
        <v>20.631017</v>
      </c>
      <c r="L3237" s="3" t="n">
        <v>23.002604</v>
      </c>
      <c r="M3237" s="3" t="n">
        <v>23.831</v>
      </c>
      <c r="N3237" s="3" t="n">
        <v>23.891378</v>
      </c>
      <c r="O3237" s="3" t="n">
        <v>26.22987</v>
      </c>
      <c r="P3237" s="3" t="n">
        <v>31.795685</v>
      </c>
      <c r="Q3237" s="3" t="n">
        <v>36.198886</v>
      </c>
      <c r="R3237" s="3" t="n">
        <v>40.025312</v>
      </c>
      <c r="S3237" s="3" t="n">
        <v>47.074636</v>
      </c>
      <c r="T3237" s="3" t="n">
        <v>48.801204</v>
      </c>
      <c r="U3237" s="3" t="n">
        <v>50.054097</v>
      </c>
      <c r="V3237" s="3" t="n">
        <v>54.30839</v>
      </c>
      <c r="W3237" s="3" t="n">
        <v>59.165466</v>
      </c>
      <c r="X3237" s="3" t="n">
        <v>58.053632</v>
      </c>
      <c r="Y3237" s="3" t="n">
        <v>58.442078</v>
      </c>
      <c r="Z3237" s="3" t="n">
        <v>61.072829</v>
      </c>
      <c r="AA3237" s="3" t="n">
        <v>53.466415</v>
      </c>
      <c r="AB3237" s="3" t="n">
        <v>58.495661</v>
      </c>
      <c r="AC3237" s="3" t="n">
        <v>64.38869</v>
      </c>
      <c r="AD3237" s="3" t="n">
        <v>68.34189499999999</v>
      </c>
      <c r="AE3237" s="3" t="n">
        <v>59.25804</v>
      </c>
      <c r="AF3237" s="3" t="n"/>
      <c r="AG3237" s="3" t="n"/>
      <c r="AH3237" s="3" t="n"/>
      <c r="AI3237" s="3" t="n"/>
      <c r="AJ3237" s="3" t="n"/>
      <c r="AK3237" s="3" t="n"/>
      <c r="AL3237" s="3" t="n"/>
      <c r="AM3237" s="3" t="n"/>
      <c r="AN3237" s="3" t="n"/>
      <c r="AO3237" s="3" t="n"/>
      <c r="AP3237" s="3" t="n"/>
      <c r="AQ3237" s="3" t="n"/>
      <c r="AR3237" s="3" t="n"/>
      <c r="AS3237" s="3" t="n"/>
      <c r="AT3237" s="3" t="n"/>
      <c r="AU3237" s="3" t="n"/>
    </row>
    <row r="3238">
      <c r="A3238" s="3" t="n">
        <v>2024</v>
      </c>
      <c r="B3238" s="3" t="inlineStr">
        <is>
          <t>WBG</t>
        </is>
      </c>
      <c r="C3238" s="3" t="inlineStr">
        <is>
          <t>IMF.RES:WEO</t>
        </is>
      </c>
      <c r="D3238" s="3" t="inlineStr">
        <is>
          <t>WBG.NGDP_D.A</t>
        </is>
      </c>
      <c r="E3238" s="3" t="inlineStr">
        <is>
          <t>West Bank and Gaza</t>
        </is>
      </c>
      <c r="F3238" s="3" t="inlineStr">
        <is>
          <t>Gross domestic product (GDP), Price deflator, Index</t>
        </is>
      </c>
      <c r="G3238" s="3" t="n">
        <v>63.567888</v>
      </c>
      <c r="H3238" s="3" t="n">
        <v>67.10611900000001</v>
      </c>
      <c r="I3238" s="3" t="n">
        <v>76.72167899999999</v>
      </c>
      <c r="J3238" s="3" t="n">
        <v>72.179638</v>
      </c>
      <c r="K3238" s="3" t="n">
        <v>67.587598</v>
      </c>
      <c r="L3238" s="3" t="n">
        <v>67.71185</v>
      </c>
      <c r="M3238" s="3" t="n">
        <v>70.85649100000001</v>
      </c>
      <c r="N3238" s="3" t="n">
        <v>68.443192</v>
      </c>
      <c r="O3238" s="3" t="n">
        <v>69.94600699999999</v>
      </c>
      <c r="P3238" s="3" t="n">
        <v>78.07844900000001</v>
      </c>
      <c r="Q3238" s="3" t="n">
        <v>84.036019</v>
      </c>
      <c r="R3238" s="3" t="n">
        <v>84.779574</v>
      </c>
      <c r="S3238" s="3" t="n">
        <v>93.981548</v>
      </c>
      <c r="T3238" s="3" t="n">
        <v>93.05622099999999</v>
      </c>
      <c r="U3238" s="3" t="n">
        <v>95.596206</v>
      </c>
      <c r="V3238" s="3" t="n">
        <v>100</v>
      </c>
      <c r="W3238" s="3" t="n">
        <v>100.072466</v>
      </c>
      <c r="X3238" s="3" t="n">
        <v>96.817711</v>
      </c>
      <c r="Y3238" s="3" t="n">
        <v>96.284055</v>
      </c>
      <c r="Z3238" s="3" t="n">
        <v>99.26557</v>
      </c>
      <c r="AA3238" s="3" t="n">
        <v>97.993771</v>
      </c>
      <c r="AB3238" s="3" t="n">
        <v>100.186373</v>
      </c>
      <c r="AC3238" s="3" t="n">
        <v>105.953616</v>
      </c>
      <c r="AD3238" s="3" t="n">
        <v>113.562771</v>
      </c>
      <c r="AE3238" s="3" t="n">
        <v>127.644341</v>
      </c>
      <c r="AF3238" s="3" t="n"/>
      <c r="AG3238" s="3" t="n"/>
      <c r="AH3238" s="3" t="n"/>
      <c r="AI3238" s="3" t="n"/>
      <c r="AJ3238" s="3" t="n"/>
      <c r="AK3238" s="3" t="n"/>
      <c r="AL3238" s="3" t="n"/>
      <c r="AM3238" s="3" t="n"/>
      <c r="AN3238" s="3" t="n"/>
      <c r="AO3238" s="3" t="n"/>
      <c r="AP3238" s="3" t="n"/>
      <c r="AQ3238" s="3" t="n"/>
      <c r="AR3238" s="3" t="n"/>
      <c r="AS3238" s="3" t="n"/>
      <c r="AT3238" s="3" t="n"/>
      <c r="AU3238" s="3" t="n"/>
    </row>
    <row r="3239">
      <c r="A3239" s="3" t="n">
        <v>2024</v>
      </c>
      <c r="B3239" s="3" t="inlineStr">
        <is>
          <t>WBG</t>
        </is>
      </c>
      <c r="C3239" s="3" t="inlineStr">
        <is>
          <t>IMF.RES:WEO</t>
        </is>
      </c>
      <c r="D3239" s="3" t="inlineStr">
        <is>
          <t>WBG.NGDP_R.A</t>
        </is>
      </c>
      <c r="E3239" s="3" t="inlineStr">
        <is>
          <t>West Bank and Gaza</t>
        </is>
      </c>
      <c r="F3239" s="3" t="inlineStr">
        <is>
          <t>Gross domestic product (GDP), Constant prices, Domestic currency</t>
        </is>
      </c>
      <c r="G3239" s="3" t="n">
        <v>27.668034</v>
      </c>
      <c r="H3239" s="3" t="n">
        <v>25.091841</v>
      </c>
      <c r="I3239" s="3" t="n">
        <v>21.958276</v>
      </c>
      <c r="J3239" s="3" t="n">
        <v>25.035871</v>
      </c>
      <c r="K3239" s="3" t="n">
        <v>30.524857</v>
      </c>
      <c r="L3239" s="3" t="n">
        <v>33.971312</v>
      </c>
      <c r="M3239" s="3" t="n">
        <v>33.632769</v>
      </c>
      <c r="N3239" s="3" t="n">
        <v>34.906873</v>
      </c>
      <c r="O3239" s="3" t="n">
        <v>37.500168</v>
      </c>
      <c r="P3239" s="3" t="n">
        <v>40.722742</v>
      </c>
      <c r="Q3239" s="3" t="n">
        <v>43.075442</v>
      </c>
      <c r="R3239" s="3" t="n">
        <v>47.211032</v>
      </c>
      <c r="S3239" s="3" t="n">
        <v>50.089232</v>
      </c>
      <c r="T3239" s="3" t="n">
        <v>52.44271</v>
      </c>
      <c r="U3239" s="3" t="n">
        <v>52.359921</v>
      </c>
      <c r="V3239" s="3" t="n">
        <v>54.30839</v>
      </c>
      <c r="W3239" s="3" t="n">
        <v>59.122622</v>
      </c>
      <c r="X3239" s="3" t="n">
        <v>59.961789</v>
      </c>
      <c r="Y3239" s="3" t="n">
        <v>60.697567</v>
      </c>
      <c r="Z3239" s="3" t="n">
        <v>61.524685</v>
      </c>
      <c r="AA3239" s="3" t="n">
        <v>54.561034</v>
      </c>
      <c r="AB3239" s="3" t="n">
        <v>58.386844</v>
      </c>
      <c r="AC3239" s="3" t="n">
        <v>60.770639</v>
      </c>
      <c r="AD3239" s="3" t="n">
        <v>60.17984</v>
      </c>
      <c r="AE3239" s="3" t="n">
        <v>46.424337</v>
      </c>
      <c r="AF3239" s="3" t="n"/>
      <c r="AG3239" s="3" t="n"/>
      <c r="AH3239" s="3" t="n"/>
      <c r="AI3239" s="3" t="n"/>
      <c r="AJ3239" s="3" t="n"/>
      <c r="AK3239" s="3" t="n"/>
      <c r="AL3239" s="3" t="n"/>
      <c r="AM3239" s="3" t="n"/>
      <c r="AN3239" s="3" t="n"/>
      <c r="AO3239" s="3" t="n"/>
      <c r="AP3239" s="3" t="n"/>
      <c r="AQ3239" s="3" t="n"/>
      <c r="AR3239" s="3" t="n"/>
      <c r="AS3239" s="3" t="n"/>
      <c r="AT3239" s="3" t="n"/>
      <c r="AU3239" s="3" t="n"/>
    </row>
    <row r="3240">
      <c r="A3240" s="3" t="n">
        <v>2024</v>
      </c>
      <c r="B3240" s="3" t="inlineStr">
        <is>
          <t>WBG</t>
        </is>
      </c>
      <c r="C3240" s="3" t="inlineStr">
        <is>
          <t>IMF.RES:WEO</t>
        </is>
      </c>
      <c r="D3240" s="3" t="inlineStr">
        <is>
          <t>WBG.NGDP_RPCH.A</t>
        </is>
      </c>
      <c r="E3240" s="3" t="inlineStr">
        <is>
          <t>West Bank and Gaza</t>
        </is>
      </c>
      <c r="F3240" s="3" t="inlineStr">
        <is>
          <t>Gross domestic product (GDP), Constant prices, Percent change</t>
        </is>
      </c>
      <c r="G3240" s="3" t="n">
        <v>-8.555573000000001</v>
      </c>
      <c r="H3240" s="3" t="n">
        <v>-9.311081</v>
      </c>
      <c r="I3240" s="3" t="n">
        <v>-12.488382</v>
      </c>
      <c r="J3240" s="3" t="n">
        <v>14.015648</v>
      </c>
      <c r="K3240" s="3" t="n">
        <v>21.924486</v>
      </c>
      <c r="L3240" s="3" t="n">
        <v>11.290651</v>
      </c>
      <c r="M3240" s="3" t="n">
        <v>-0.996556</v>
      </c>
      <c r="N3240" s="3" t="n">
        <v>3.788282</v>
      </c>
      <c r="O3240" s="3" t="n">
        <v>7.429182</v>
      </c>
      <c r="P3240" s="3" t="n">
        <v>8.593491</v>
      </c>
      <c r="Q3240" s="3" t="n">
        <v>5.777362</v>
      </c>
      <c r="R3240" s="3" t="n">
        <v>9.600808000000001</v>
      </c>
      <c r="S3240" s="3" t="n">
        <v>6.096457</v>
      </c>
      <c r="T3240" s="3" t="n">
        <v>4.69857</v>
      </c>
      <c r="U3240" s="3" t="n">
        <v>-0.157867</v>
      </c>
      <c r="V3240" s="3" t="n">
        <v>3.7213</v>
      </c>
      <c r="W3240" s="3" t="n">
        <v>8.864618999999999</v>
      </c>
      <c r="X3240" s="3" t="n">
        <v>1.419368</v>
      </c>
      <c r="Y3240" s="3" t="n">
        <v>1.227077</v>
      </c>
      <c r="Z3240" s="3" t="n">
        <v>1.362687</v>
      </c>
      <c r="AA3240" s="3" t="n">
        <v>-11.318466</v>
      </c>
      <c r="AB3240" s="3" t="n">
        <v>7.011982</v>
      </c>
      <c r="AC3240" s="3" t="n">
        <v>4.08276</v>
      </c>
      <c r="AD3240" s="3" t="n">
        <v>-0.972178</v>
      </c>
      <c r="AE3240" s="3" t="n">
        <v>-22.857327</v>
      </c>
      <c r="AF3240" s="3" t="n"/>
      <c r="AG3240" s="3" t="n"/>
      <c r="AH3240" s="3" t="n"/>
      <c r="AI3240" s="3" t="n"/>
      <c r="AJ3240" s="3" t="n"/>
      <c r="AK3240" s="3" t="n"/>
      <c r="AL3240" s="3" t="n"/>
      <c r="AM3240" s="3" t="n"/>
      <c r="AN3240" s="3" t="n"/>
      <c r="AO3240" s="3" t="n"/>
      <c r="AP3240" s="3" t="n"/>
      <c r="AQ3240" s="3" t="n"/>
      <c r="AR3240" s="3" t="n"/>
      <c r="AS3240" s="3" t="n"/>
      <c r="AT3240" s="3" t="n"/>
      <c r="AU3240" s="3" t="n"/>
    </row>
    <row r="3241">
      <c r="A3241" s="3" t="n">
        <v>2024</v>
      </c>
      <c r="B3241" s="3" t="inlineStr">
        <is>
          <t>WBG</t>
        </is>
      </c>
      <c r="C3241" s="3" t="inlineStr">
        <is>
          <t>IMF.RES:WEO</t>
        </is>
      </c>
      <c r="D3241" s="3" t="inlineStr">
        <is>
          <t>WBG.NGDPD.A</t>
        </is>
      </c>
      <c r="E3241" s="3" t="inlineStr">
        <is>
          <t>West Bank and Gaza</t>
        </is>
      </c>
      <c r="F3241" s="3" t="inlineStr">
        <is>
          <t>Gross domestic product (GDP), Current prices, US dollar</t>
        </is>
      </c>
      <c r="G3241" s="3" t="n">
        <v>4.3136</v>
      </c>
      <c r="H3241" s="3" t="n">
        <v>4.0037</v>
      </c>
      <c r="I3241" s="3" t="n">
        <v>3.5558</v>
      </c>
      <c r="J3241" s="3" t="n">
        <v>3.968</v>
      </c>
      <c r="K3241" s="3" t="n">
        <v>4.6031</v>
      </c>
      <c r="L3241" s="3" t="n">
        <v>5.1257</v>
      </c>
      <c r="M3241" s="3" t="n">
        <v>5.3483</v>
      </c>
      <c r="N3241" s="3" t="n">
        <v>5.8157</v>
      </c>
      <c r="O3241" s="3" t="n">
        <v>7.3104</v>
      </c>
      <c r="P3241" s="3" t="n">
        <v>8.085699999999999</v>
      </c>
      <c r="Q3241" s="3" t="n">
        <v>9.6815</v>
      </c>
      <c r="R3241" s="3" t="n">
        <v>11.1861</v>
      </c>
      <c r="S3241" s="3" t="n">
        <v>12.2084</v>
      </c>
      <c r="T3241" s="3" t="n">
        <v>13.5155</v>
      </c>
      <c r="U3241" s="3" t="n">
        <v>13.9897</v>
      </c>
      <c r="V3241" s="3" t="n">
        <v>13.9724</v>
      </c>
      <c r="W3241" s="3" t="n">
        <v>15.4054</v>
      </c>
      <c r="X3241" s="3" t="n">
        <v>16.128</v>
      </c>
      <c r="Y3241" s="3" t="n">
        <v>16.2766</v>
      </c>
      <c r="Z3241" s="3" t="n">
        <v>17.1335</v>
      </c>
      <c r="AA3241" s="3" t="n">
        <v>15.5317</v>
      </c>
      <c r="AB3241" s="3" t="n">
        <v>18.109</v>
      </c>
      <c r="AC3241" s="3" t="n">
        <v>19.1655</v>
      </c>
      <c r="AD3241" s="3" t="n">
        <v>18.6351</v>
      </c>
      <c r="AE3241" s="3" t="n">
        <v>16.0169</v>
      </c>
      <c r="AF3241" s="3" t="n"/>
      <c r="AG3241" s="3" t="n"/>
      <c r="AH3241" s="3" t="n"/>
      <c r="AI3241" s="3" t="n"/>
      <c r="AJ3241" s="3" t="n"/>
      <c r="AK3241" s="3" t="n"/>
      <c r="AL3241" s="3" t="n"/>
      <c r="AM3241" s="3" t="n"/>
      <c r="AN3241" s="3" t="n"/>
      <c r="AO3241" s="3" t="n"/>
      <c r="AP3241" s="3" t="n"/>
      <c r="AQ3241" s="3" t="n"/>
      <c r="AR3241" s="3" t="n"/>
      <c r="AS3241" s="3" t="n"/>
      <c r="AT3241" s="3" t="n"/>
      <c r="AU3241" s="3" t="n"/>
    </row>
    <row r="3242">
      <c r="A3242" s="3" t="n">
        <v>2024</v>
      </c>
      <c r="B3242" s="3" t="inlineStr">
        <is>
          <t>WBG</t>
        </is>
      </c>
      <c r="C3242" s="3" t="inlineStr">
        <is>
          <t>IMF.RES:WEO</t>
        </is>
      </c>
      <c r="D3242" s="3" t="inlineStr">
        <is>
          <t>WBG.NGDPPC.A</t>
        </is>
      </c>
      <c r="E3242" s="3" t="inlineStr">
        <is>
          <t>West Bank and Gaza</t>
        </is>
      </c>
      <c r="F3242" s="3" t="inlineStr">
        <is>
          <t>Gross domestic product (GDP), Current prices, Per capita, Domestic currency</t>
        </is>
      </c>
      <c r="G3242" s="3" t="n">
        <v>5760.253974</v>
      </c>
      <c r="H3242" s="3" t="n">
        <v>5365.084114</v>
      </c>
      <c r="I3242" s="3" t="n">
        <v>5223.454361</v>
      </c>
      <c r="J3242" s="3" t="n">
        <v>5452.029567</v>
      </c>
      <c r="K3242" s="3" t="n">
        <v>6054.738085</v>
      </c>
      <c r="L3242" s="3" t="n">
        <v>6556.949177</v>
      </c>
      <c r="M3242" s="3" t="n">
        <v>6597.733362</v>
      </c>
      <c r="N3242" s="3" t="n">
        <v>6423.813903</v>
      </c>
      <c r="O3242" s="3" t="n">
        <v>6865.018654</v>
      </c>
      <c r="P3242" s="3" t="n">
        <v>8106.739189</v>
      </c>
      <c r="Q3242" s="3" t="n">
        <v>8996.950005000001</v>
      </c>
      <c r="R3242" s="3" t="n">
        <v>9703.588234999999</v>
      </c>
      <c r="S3242" s="3" t="n">
        <v>11138.208554</v>
      </c>
      <c r="T3242" s="3" t="n">
        <v>11276.342898</v>
      </c>
      <c r="U3242" s="3" t="n">
        <v>11301.23009</v>
      </c>
      <c r="V3242" s="3" t="n">
        <v>11987.506239</v>
      </c>
      <c r="W3242" s="3" t="n">
        <v>12773.131779</v>
      </c>
      <c r="X3242" s="3" t="n">
        <v>12264.790482</v>
      </c>
      <c r="Y3242" s="3" t="n">
        <v>12039.950945</v>
      </c>
      <c r="Z3242" s="3" t="n">
        <v>12271.791678</v>
      </c>
      <c r="AA3242" s="3" t="n">
        <v>10481.243251</v>
      </c>
      <c r="AB3242" s="3" t="n">
        <v>11190.645041</v>
      </c>
      <c r="AC3242" s="3" t="n">
        <v>12024.804173</v>
      </c>
      <c r="AD3242" s="3" t="n">
        <v>12463.302222</v>
      </c>
      <c r="AE3242" s="3" t="n">
        <v>10556.414046</v>
      </c>
      <c r="AF3242" s="3" t="n"/>
      <c r="AG3242" s="3" t="n"/>
      <c r="AH3242" s="3" t="n"/>
      <c r="AI3242" s="3" t="n"/>
      <c r="AJ3242" s="3" t="n"/>
      <c r="AK3242" s="3" t="n"/>
      <c r="AL3242" s="3" t="n"/>
      <c r="AM3242" s="3" t="n"/>
      <c r="AN3242" s="3" t="n"/>
      <c r="AO3242" s="3" t="n"/>
      <c r="AP3242" s="3" t="n"/>
      <c r="AQ3242" s="3" t="n"/>
      <c r="AR3242" s="3" t="n"/>
      <c r="AS3242" s="3" t="n"/>
      <c r="AT3242" s="3" t="n"/>
      <c r="AU3242" s="3" t="n"/>
    </row>
    <row r="3243">
      <c r="A3243" s="3" t="n">
        <v>2024</v>
      </c>
      <c r="B3243" s="3" t="inlineStr">
        <is>
          <t>WBG</t>
        </is>
      </c>
      <c r="C3243" s="3" t="inlineStr">
        <is>
          <t>IMF.RES:WEO</t>
        </is>
      </c>
      <c r="D3243" s="3" t="inlineStr">
        <is>
          <t>WBG.NGDPRPC.A</t>
        </is>
      </c>
      <c r="E3243" s="3" t="inlineStr">
        <is>
          <t>West Bank and Gaza</t>
        </is>
      </c>
      <c r="F3243" s="3" t="inlineStr">
        <is>
          <t>Gross domestic product (GDP), Constant prices, Per capita, Domestic currency</t>
        </is>
      </c>
      <c r="G3243" s="3" t="n">
        <v>9061.578373</v>
      </c>
      <c r="H3243" s="3" t="n">
        <v>7994.925321</v>
      </c>
      <c r="I3243" s="3" t="n">
        <v>6808.316048</v>
      </c>
      <c r="J3243" s="3" t="n">
        <v>7553.417676</v>
      </c>
      <c r="K3243" s="3" t="n">
        <v>8958.356696999999</v>
      </c>
      <c r="L3243" s="3" t="n">
        <v>9683.60658</v>
      </c>
      <c r="M3243" s="3" t="n">
        <v>9311.40295</v>
      </c>
      <c r="N3243" s="3" t="n">
        <v>9385.614122000001</v>
      </c>
      <c r="O3243" s="3" t="n">
        <v>9814.739894</v>
      </c>
      <c r="P3243" s="3" t="n">
        <v>10382.812787</v>
      </c>
      <c r="Q3243" s="3" t="n">
        <v>10706.064015</v>
      </c>
      <c r="R3243" s="3" t="n">
        <v>11445.667579</v>
      </c>
      <c r="S3243" s="3" t="n">
        <v>11851.484471</v>
      </c>
      <c r="T3243" s="3" t="n">
        <v>12117.774351</v>
      </c>
      <c r="U3243" s="3" t="n">
        <v>11821.839576</v>
      </c>
      <c r="V3243" s="3" t="n">
        <v>11987.506239</v>
      </c>
      <c r="W3243" s="3" t="n">
        <v>12763.882283</v>
      </c>
      <c r="X3243" s="3" t="n">
        <v>12667.920284</v>
      </c>
      <c r="Y3243" s="3" t="n">
        <v>12504.615604</v>
      </c>
      <c r="Z3243" s="3" t="n">
        <v>12362.586179</v>
      </c>
      <c r="AA3243" s="3" t="n">
        <v>10695.826008</v>
      </c>
      <c r="AB3243" s="3" t="n">
        <v>11169.827531</v>
      </c>
      <c r="AC3243" s="3" t="n">
        <v>11349.121058</v>
      </c>
      <c r="AD3243" s="3" t="n">
        <v>10974.813393</v>
      </c>
      <c r="AE3243" s="3" t="n">
        <v>8270.177844</v>
      </c>
      <c r="AF3243" s="3" t="n"/>
      <c r="AG3243" s="3" t="n"/>
      <c r="AH3243" s="3" t="n"/>
      <c r="AI3243" s="3" t="n"/>
      <c r="AJ3243" s="3" t="n"/>
      <c r="AK3243" s="3" t="n"/>
      <c r="AL3243" s="3" t="n"/>
      <c r="AM3243" s="3" t="n"/>
      <c r="AN3243" s="3" t="n"/>
      <c r="AO3243" s="3" t="n"/>
      <c r="AP3243" s="3" t="n"/>
      <c r="AQ3243" s="3" t="n"/>
      <c r="AR3243" s="3" t="n"/>
      <c r="AS3243" s="3" t="n"/>
      <c r="AT3243" s="3" t="n"/>
      <c r="AU3243" s="3" t="n"/>
    </row>
    <row r="3244">
      <c r="A3244" s="3" t="n">
        <v>2025</v>
      </c>
      <c r="B3244" s="3" t="inlineStr">
        <is>
          <t>WBG</t>
        </is>
      </c>
      <c r="C3244" s="3" t="inlineStr">
        <is>
          <t>IMF.RES:WEO</t>
        </is>
      </c>
      <c r="D3244" s="3" t="inlineStr">
        <is>
          <t>WBG.PCPI.A</t>
        </is>
      </c>
      <c r="E3244" s="3" t="inlineStr">
        <is>
          <t>West Bank and Gaza</t>
        </is>
      </c>
      <c r="F3244" s="3" t="inlineStr">
        <is>
          <t>All Items, Consumer price index (CPI), Period average</t>
        </is>
      </c>
      <c r="G3244" s="3" t="n">
        <v>60.130833</v>
      </c>
      <c r="H3244" s="3" t="n">
        <v>60.866667</v>
      </c>
      <c r="I3244" s="3" t="n">
        <v>64.33833300000001</v>
      </c>
      <c r="J3244" s="3" t="n">
        <v>67.171667</v>
      </c>
      <c r="K3244" s="3" t="n">
        <v>69.191667</v>
      </c>
      <c r="L3244" s="3" t="n">
        <v>72.856667</v>
      </c>
      <c r="M3244" s="3" t="n">
        <v>75.658333</v>
      </c>
      <c r="N3244" s="3" t="n">
        <v>77.064167</v>
      </c>
      <c r="O3244" s="3" t="n">
        <v>84.686667</v>
      </c>
      <c r="P3244" s="3" t="n">
        <v>87.0175</v>
      </c>
      <c r="Q3244" s="3" t="n">
        <v>90.281667</v>
      </c>
      <c r="R3244" s="3" t="n">
        <v>92.878333</v>
      </c>
      <c r="S3244" s="3" t="n">
        <v>95.46083299999999</v>
      </c>
      <c r="T3244" s="3" t="n">
        <v>97.105833</v>
      </c>
      <c r="U3244" s="3" t="n">
        <v>98.78833299999999</v>
      </c>
      <c r="V3244" s="3" t="n">
        <v>100.201667</v>
      </c>
      <c r="W3244" s="3" t="n">
        <v>99.981667</v>
      </c>
      <c r="X3244" s="3" t="n">
        <v>100.195</v>
      </c>
      <c r="Y3244" s="3" t="n">
        <v>99.999167</v>
      </c>
      <c r="Z3244" s="3" t="n">
        <v>101.555833</v>
      </c>
      <c r="AA3244" s="3" t="n">
        <v>100.833333</v>
      </c>
      <c r="AB3244" s="3" t="n">
        <v>102.081667</v>
      </c>
      <c r="AC3244" s="3" t="n">
        <v>105.9</v>
      </c>
      <c r="AD3244" s="3" t="n">
        <v>112.118333</v>
      </c>
      <c r="AE3244" s="3" t="n">
        <v>172.289167</v>
      </c>
      <c r="AF3244" s="3" t="n">
        <v>190.454167</v>
      </c>
      <c r="AG3244" s="3" t="n"/>
      <c r="AH3244" s="3" t="n"/>
      <c r="AI3244" s="3" t="n"/>
      <c r="AJ3244" s="3" t="n"/>
      <c r="AK3244" s="3" t="n"/>
      <c r="AL3244" s="3" t="n"/>
      <c r="AM3244" s="3" t="n"/>
      <c r="AN3244" s="3" t="n"/>
      <c r="AO3244" s="3" t="n"/>
      <c r="AP3244" s="3" t="n"/>
      <c r="AQ3244" s="3" t="n"/>
      <c r="AR3244" s="3" t="n"/>
      <c r="AS3244" s="3" t="n"/>
      <c r="AT3244" s="3" t="n"/>
      <c r="AU3244" s="3" t="n"/>
    </row>
    <row r="3245">
      <c r="A3245" s="3" t="n">
        <v>2025</v>
      </c>
      <c r="B3245" s="3" t="inlineStr">
        <is>
          <t>WBG</t>
        </is>
      </c>
      <c r="C3245" s="3" t="inlineStr">
        <is>
          <t>IMF.RES:WEO</t>
        </is>
      </c>
      <c r="D3245" s="3" t="inlineStr">
        <is>
          <t>WBG.PCPIPCH.A</t>
        </is>
      </c>
      <c r="E3245" s="3" t="inlineStr">
        <is>
          <t>West Bank and Gaza</t>
        </is>
      </c>
      <c r="F3245" s="3" t="inlineStr">
        <is>
          <t>All Items, Consumer price index (CPI), Period average, percent change</t>
        </is>
      </c>
      <c r="G3245" s="3" t="n">
        <v>2.796535</v>
      </c>
      <c r="H3245" s="3" t="n">
        <v>1.22372</v>
      </c>
      <c r="I3245" s="3" t="n">
        <v>5.703724</v>
      </c>
      <c r="J3245" s="3" t="n">
        <v>4.403803</v>
      </c>
      <c r="K3245" s="3" t="n">
        <v>3.00722</v>
      </c>
      <c r="L3245" s="3" t="n">
        <v>5.296881</v>
      </c>
      <c r="M3245" s="3" t="n">
        <v>3.84545</v>
      </c>
      <c r="N3245" s="3" t="n">
        <v>1.858134</v>
      </c>
      <c r="O3245" s="3" t="n">
        <v>9.891107999999999</v>
      </c>
      <c r="P3245" s="3" t="n">
        <v>2.752303</v>
      </c>
      <c r="Q3245" s="3" t="n">
        <v>3.751161</v>
      </c>
      <c r="R3245" s="3" t="n">
        <v>2.876184</v>
      </c>
      <c r="S3245" s="3" t="n">
        <v>2.780519</v>
      </c>
      <c r="T3245" s="3" t="n">
        <v>1.72322</v>
      </c>
      <c r="U3245" s="3" t="n">
        <v>1.732646</v>
      </c>
      <c r="V3245" s="3" t="n">
        <v>1.430668</v>
      </c>
      <c r="W3245" s="3" t="n">
        <v>-0.219557</v>
      </c>
      <c r="X3245" s="3" t="n">
        <v>0.213372</v>
      </c>
      <c r="Y3245" s="3" t="n">
        <v>-0.195452</v>
      </c>
      <c r="Z3245" s="3" t="n">
        <v>1.55668</v>
      </c>
      <c r="AA3245" s="3" t="n">
        <v>-0.711431</v>
      </c>
      <c r="AB3245" s="3" t="n">
        <v>1.238017</v>
      </c>
      <c r="AC3245" s="3" t="n">
        <v>3.740469</v>
      </c>
      <c r="AD3245" s="3" t="n">
        <v>5.871892</v>
      </c>
      <c r="AE3245" s="3" t="n">
        <v>53.667256</v>
      </c>
      <c r="AF3245" s="3" t="n">
        <v>10.543321</v>
      </c>
      <c r="AG3245" s="3" t="n"/>
      <c r="AH3245" s="3" t="n"/>
      <c r="AI3245" s="3" t="n"/>
      <c r="AJ3245" s="3" t="n"/>
      <c r="AK3245" s="3" t="n"/>
      <c r="AL3245" s="3" t="n"/>
      <c r="AM3245" s="3" t="n"/>
      <c r="AN3245" s="3" t="n"/>
      <c r="AO3245" s="3" t="n"/>
      <c r="AP3245" s="3" t="n"/>
      <c r="AQ3245" s="3" t="n"/>
      <c r="AR3245" s="3" t="n"/>
      <c r="AS3245" s="3" t="n"/>
      <c r="AT3245" s="3" t="n"/>
      <c r="AU3245" s="3" t="n"/>
    </row>
    <row r="3246">
      <c r="A3246" s="3" t="n">
        <v>2024</v>
      </c>
      <c r="B3246" s="3" t="inlineStr">
        <is>
          <t>WBG</t>
        </is>
      </c>
      <c r="C3246" s="3" t="inlineStr">
        <is>
          <t>IMF.RES:WEO</t>
        </is>
      </c>
      <c r="D3246" s="3" t="inlineStr">
        <is>
          <t>WBG.PPPPC.A</t>
        </is>
      </c>
      <c r="E3246" s="3" t="inlineStr">
        <is>
          <t>West Bank and Gaza</t>
        </is>
      </c>
      <c r="F3246" s="3" t="inlineStr">
        <is>
          <t>Gross domestic product (GDP), Per capita, purchasing power parity (PPP) international dollar, ICP benchmarks 2017-2021</t>
        </is>
      </c>
      <c r="G3246" s="3" t="n">
        <v>2989.703685</v>
      </c>
      <c r="H3246" s="3" t="n">
        <v>2697.173638</v>
      </c>
      <c r="I3246" s="3" t="n">
        <v>2332.552297</v>
      </c>
      <c r="J3246" s="3" t="n">
        <v>2638.915936</v>
      </c>
      <c r="K3246" s="3" t="n">
        <v>3213.91087</v>
      </c>
      <c r="L3246" s="3" t="n">
        <v>3583.044022</v>
      </c>
      <c r="M3246" s="3" t="n">
        <v>3551.574215</v>
      </c>
      <c r="N3246" s="3" t="n">
        <v>3676.868608</v>
      </c>
      <c r="O3246" s="3" t="n">
        <v>3919.05126</v>
      </c>
      <c r="P3246" s="3" t="n">
        <v>4171.453656</v>
      </c>
      <c r="Q3246" s="3" t="n">
        <v>4353.601983</v>
      </c>
      <c r="R3246" s="3" t="n">
        <v>4750.39148</v>
      </c>
      <c r="S3246" s="3" t="n">
        <v>5010.406181</v>
      </c>
      <c r="T3246" s="3" t="n">
        <v>5210.17797</v>
      </c>
      <c r="U3246" s="3" t="n">
        <v>5171.467648</v>
      </c>
      <c r="V3246" s="3" t="n">
        <v>5292.605126</v>
      </c>
      <c r="W3246" s="3" t="n">
        <v>5688.931731</v>
      </c>
      <c r="X3246" s="3" t="n">
        <v>5747.277456</v>
      </c>
      <c r="Y3246" s="3" t="n">
        <v>5850.953889</v>
      </c>
      <c r="Z3246" s="3" t="n">
        <v>6127.387656</v>
      </c>
      <c r="AA3246" s="3" t="n">
        <v>5608.467433</v>
      </c>
      <c r="AB3246" s="3" t="n">
        <v>5333.288101</v>
      </c>
      <c r="AC3246" s="3" t="n">
        <v>5804.310182</v>
      </c>
      <c r="AD3246" s="3" t="n">
        <v>5820.555374</v>
      </c>
      <c r="AE3246" s="3" t="n">
        <v>4495.024163</v>
      </c>
      <c r="AF3246" s="3" t="n"/>
      <c r="AG3246" s="3" t="n"/>
      <c r="AH3246" s="3" t="n"/>
      <c r="AI3246" s="3" t="n"/>
      <c r="AJ3246" s="3" t="n"/>
      <c r="AK3246" s="3" t="n"/>
      <c r="AL3246" s="3" t="n"/>
      <c r="AM3246" s="3" t="n"/>
      <c r="AN3246" s="3" t="n"/>
      <c r="AO3246" s="3" t="n"/>
      <c r="AP3246" s="3" t="n"/>
      <c r="AQ3246" s="3" t="n"/>
      <c r="AR3246" s="3" t="n"/>
      <c r="AS3246" s="3" t="n"/>
      <c r="AT3246" s="3" t="n"/>
      <c r="AU3246" s="3" t="n"/>
    </row>
    <row r="3247">
      <c r="A3247" s="3" t="n">
        <v>2031</v>
      </c>
      <c r="B3247" s="3" t="inlineStr">
        <is>
          <t>WSM</t>
        </is>
      </c>
      <c r="C3247" s="3" t="inlineStr">
        <is>
          <t>IMF.RES:WEO</t>
        </is>
      </c>
      <c r="D3247" s="3" t="inlineStr">
        <is>
          <t>WSM.BCA.A</t>
        </is>
      </c>
      <c r="E3247" s="3" t="inlineStr">
        <is>
          <t>Samoa</t>
        </is>
      </c>
      <c r="F3247" s="3" t="inlineStr">
        <is>
          <t>Current account balance (credit less debit), US dollar</t>
        </is>
      </c>
      <c r="G3247" s="3" t="n">
        <v>-0.004474</v>
      </c>
      <c r="H3247" s="3" t="n">
        <v>-0.010866</v>
      </c>
      <c r="I3247" s="3" t="n">
        <v>-0.023981</v>
      </c>
      <c r="J3247" s="3" t="n">
        <v>-0.012886</v>
      </c>
      <c r="K3247" s="3" t="n">
        <v>-0.013904</v>
      </c>
      <c r="L3247" s="3" t="n">
        <v>-0.034695</v>
      </c>
      <c r="M3247" s="3" t="n">
        <v>-0.04393</v>
      </c>
      <c r="N3247" s="3" t="n">
        <v>-0.076444</v>
      </c>
      <c r="O3247" s="3" t="n">
        <v>-0.032493</v>
      </c>
      <c r="P3247" s="3" t="n">
        <v>-0.028524</v>
      </c>
      <c r="Q3247" s="3" t="n">
        <v>-0.036673</v>
      </c>
      <c r="R3247" s="3" t="n">
        <v>-0.022077</v>
      </c>
      <c r="S3247" s="3" t="n">
        <v>-0.050101</v>
      </c>
      <c r="T3247" s="3" t="n">
        <v>-0.011598</v>
      </c>
      <c r="U3247" s="3" t="n">
        <v>-0.06876599999999999</v>
      </c>
      <c r="V3247" s="3" t="n">
        <v>-0.021717</v>
      </c>
      <c r="W3247" s="3" t="n">
        <v>-0.035719</v>
      </c>
      <c r="X3247" s="3" t="n">
        <v>-0.015862</v>
      </c>
      <c r="Y3247" s="3" t="n">
        <v>0.007036</v>
      </c>
      <c r="Z3247" s="3" t="n">
        <v>0.025921</v>
      </c>
      <c r="AA3247" s="3" t="n">
        <v>0.008241999999999999</v>
      </c>
      <c r="AB3247" s="3" t="n">
        <v>-0.125098</v>
      </c>
      <c r="AC3247" s="3" t="n">
        <v>-0.094109</v>
      </c>
      <c r="AD3247" s="3" t="n">
        <v>-0.031048</v>
      </c>
      <c r="AE3247" s="3" t="n">
        <v>0.05155</v>
      </c>
      <c r="AF3247" s="3" t="n">
        <v>0.073611</v>
      </c>
      <c r="AG3247" s="3" t="n">
        <v>-0.021635</v>
      </c>
      <c r="AH3247" s="3" t="n">
        <v>-0.058464</v>
      </c>
      <c r="AI3247" s="3" t="n">
        <v>-0.035032</v>
      </c>
      <c r="AJ3247" s="3" t="n">
        <v>-0.038921</v>
      </c>
      <c r="AK3247" s="3" t="n">
        <v>-0.041406</v>
      </c>
      <c r="AL3247" s="3" t="n">
        <v>-0.039873</v>
      </c>
      <c r="AM3247" s="3" t="n"/>
      <c r="AN3247" s="3" t="n"/>
      <c r="AO3247" s="3" t="n"/>
      <c r="AP3247" s="3" t="n"/>
      <c r="AQ3247" s="3" t="n"/>
      <c r="AR3247" s="3" t="n"/>
      <c r="AS3247" s="3" t="n"/>
      <c r="AT3247" s="3" t="n"/>
      <c r="AU3247" s="3" t="n"/>
    </row>
    <row r="3248">
      <c r="A3248" s="3" t="n">
        <v>2031</v>
      </c>
      <c r="B3248" s="3" t="inlineStr">
        <is>
          <t>WSM</t>
        </is>
      </c>
      <c r="C3248" s="3" t="inlineStr">
        <is>
          <t>IMF.RES:WEO</t>
        </is>
      </c>
      <c r="D3248" s="3" t="inlineStr">
        <is>
          <t>WSM.BCA_NGDPD.A</t>
        </is>
      </c>
      <c r="E3248" s="3" t="inlineStr">
        <is>
          <t>Samoa</t>
        </is>
      </c>
      <c r="F3248" s="3" t="inlineStr">
        <is>
          <t>Current account balance (credit less debit), Percent of GDP</t>
        </is>
      </c>
      <c r="G3248" s="3" t="n">
        <v>-1.652575</v>
      </c>
      <c r="H3248" s="3" t="n">
        <v>-3.977745</v>
      </c>
      <c r="I3248" s="3" t="n">
        <v>-8.296267</v>
      </c>
      <c r="J3248" s="3" t="n">
        <v>-3.767601</v>
      </c>
      <c r="K3248" s="3" t="n">
        <v>-3.324199</v>
      </c>
      <c r="L3248" s="3" t="n">
        <v>-7.138595</v>
      </c>
      <c r="M3248" s="3" t="n">
        <v>-8.521487</v>
      </c>
      <c r="N3248" s="3" t="n">
        <v>-13.453237</v>
      </c>
      <c r="O3248" s="3" t="n">
        <v>-4.748336</v>
      </c>
      <c r="P3248" s="3" t="n">
        <v>-4.615293</v>
      </c>
      <c r="Q3248" s="3" t="n">
        <v>-5.391032</v>
      </c>
      <c r="R3248" s="3" t="n">
        <v>-2.966979</v>
      </c>
      <c r="S3248" s="3" t="n">
        <v>-6.480179</v>
      </c>
      <c r="T3248" s="3" t="n">
        <v>-1.453821</v>
      </c>
      <c r="U3248" s="3" t="n">
        <v>-8.631470999999999</v>
      </c>
      <c r="V3248" s="3" t="n">
        <v>-2.6351</v>
      </c>
      <c r="W3248" s="3" t="n">
        <v>-4.232511</v>
      </c>
      <c r="X3248" s="3" t="n">
        <v>-1.792665</v>
      </c>
      <c r="Y3248" s="3" t="n">
        <v>0.8009770000000001</v>
      </c>
      <c r="Z3248" s="3" t="n">
        <v>2.839248</v>
      </c>
      <c r="AA3248" s="3" t="n">
        <v>0.948619</v>
      </c>
      <c r="AB3248" s="3" t="n">
        <v>-14.550975</v>
      </c>
      <c r="AC3248" s="3" t="n">
        <v>-10.579384</v>
      </c>
      <c r="AD3248" s="3" t="n">
        <v>-2.971343</v>
      </c>
      <c r="AE3248" s="3" t="n">
        <v>4.384436</v>
      </c>
      <c r="AF3248" s="3" t="n">
        <v>5.715446</v>
      </c>
      <c r="AG3248" s="3" t="n">
        <v>-1.571862</v>
      </c>
      <c r="AH3248" s="3" t="n">
        <v>-4.023103</v>
      </c>
      <c r="AI3248" s="3" t="n">
        <v>-2.302712</v>
      </c>
      <c r="AJ3248" s="3" t="n">
        <v>-2.427592</v>
      </c>
      <c r="AK3248" s="3" t="n">
        <v>-2.471093</v>
      </c>
      <c r="AL3248" s="3" t="n">
        <v>-2.278062</v>
      </c>
      <c r="AM3248" s="3" t="n"/>
      <c r="AN3248" s="3" t="n"/>
      <c r="AO3248" s="3" t="n"/>
      <c r="AP3248" s="3" t="n"/>
      <c r="AQ3248" s="3" t="n"/>
      <c r="AR3248" s="3" t="n"/>
      <c r="AS3248" s="3" t="n"/>
      <c r="AT3248" s="3" t="n"/>
      <c r="AU3248" s="3" t="n"/>
    </row>
    <row r="3249">
      <c r="A3249" s="3" t="n">
        <v>2031</v>
      </c>
      <c r="B3249" s="3" t="inlineStr">
        <is>
          <t>WSM</t>
        </is>
      </c>
      <c r="C3249" s="3" t="inlineStr">
        <is>
          <t>IMF.RES:WEO</t>
        </is>
      </c>
      <c r="D3249" s="3" t="inlineStr">
        <is>
          <t>WSM.GGR_NGDP.A</t>
        </is>
      </c>
      <c r="E3249" s="3" t="inlineStr">
        <is>
          <t>Samoa</t>
        </is>
      </c>
      <c r="F3249" s="3" t="inlineStr">
        <is>
          <t>Revenue, General government, Percent of GDP</t>
        </is>
      </c>
      <c r="G3249" s="3" t="n">
        <v>29.765819</v>
      </c>
      <c r="H3249" s="3" t="n">
        <v>28.035163</v>
      </c>
      <c r="I3249" s="3" t="n">
        <v>28.973044</v>
      </c>
      <c r="J3249" s="3" t="n">
        <v>28.02909</v>
      </c>
      <c r="K3249" s="3" t="n">
        <v>26.577883</v>
      </c>
      <c r="L3249" s="3" t="n">
        <v>30.811068</v>
      </c>
      <c r="M3249" s="3" t="n">
        <v>27.240296</v>
      </c>
      <c r="N3249" s="3" t="n">
        <v>31.61847</v>
      </c>
      <c r="O3249" s="3" t="n">
        <v>27.331948</v>
      </c>
      <c r="P3249" s="3" t="n">
        <v>28.477465</v>
      </c>
      <c r="Q3249" s="3" t="n">
        <v>23.903125</v>
      </c>
      <c r="R3249" s="3" t="n">
        <v>28.403126</v>
      </c>
      <c r="S3249" s="3" t="n">
        <v>26.17893</v>
      </c>
      <c r="T3249" s="3" t="n">
        <v>26.921648</v>
      </c>
      <c r="U3249" s="3" t="n">
        <v>29.973261</v>
      </c>
      <c r="V3249" s="3" t="n">
        <v>26.746573</v>
      </c>
      <c r="W3249" s="3" t="n">
        <v>27.001219</v>
      </c>
      <c r="X3249" s="3" t="n">
        <v>28.895385</v>
      </c>
      <c r="Y3249" s="3" t="n">
        <v>30.03115</v>
      </c>
      <c r="Z3249" s="3" t="n">
        <v>33.257355</v>
      </c>
      <c r="AA3249" s="3" t="n">
        <v>35.911373</v>
      </c>
      <c r="AB3249" s="3" t="n">
        <v>35.803226</v>
      </c>
      <c r="AC3249" s="3" t="n">
        <v>36.101192</v>
      </c>
      <c r="AD3249" s="3" t="n">
        <v>31.503896</v>
      </c>
      <c r="AE3249" s="3" t="n">
        <v>35.630666</v>
      </c>
      <c r="AF3249" s="3" t="n">
        <v>31.077309</v>
      </c>
      <c r="AG3249" s="3" t="n">
        <v>30.47843</v>
      </c>
      <c r="AH3249" s="3" t="n">
        <v>30.207994</v>
      </c>
      <c r="AI3249" s="3" t="n">
        <v>29.707994</v>
      </c>
      <c r="AJ3249" s="3" t="n">
        <v>29.663747</v>
      </c>
      <c r="AK3249" s="3" t="n">
        <v>29.623747</v>
      </c>
      <c r="AL3249" s="3" t="n">
        <v>29.623747</v>
      </c>
      <c r="AM3249" s="3" t="n"/>
      <c r="AN3249" s="3" t="n"/>
      <c r="AO3249" s="3" t="n"/>
      <c r="AP3249" s="3" t="n"/>
      <c r="AQ3249" s="3" t="n"/>
      <c r="AR3249" s="3" t="n"/>
      <c r="AS3249" s="3" t="n"/>
      <c r="AT3249" s="3" t="n"/>
      <c r="AU3249" s="3" t="n"/>
    </row>
    <row r="3250">
      <c r="A3250" s="3" t="n">
        <v>2031</v>
      </c>
      <c r="B3250" s="3" t="inlineStr">
        <is>
          <t>WSM</t>
        </is>
      </c>
      <c r="C3250" s="3" t="inlineStr">
        <is>
          <t>IMF.RES:WEO</t>
        </is>
      </c>
      <c r="D3250" s="3" t="inlineStr">
        <is>
          <t>WSM.GGX_NGDP.A</t>
        </is>
      </c>
      <c r="E3250" s="3" t="inlineStr">
        <is>
          <t>Samoa</t>
        </is>
      </c>
      <c r="F3250" s="3" t="inlineStr">
        <is>
          <t>Expenditure, General government, Percent of GDP</t>
        </is>
      </c>
      <c r="G3250" s="3" t="n">
        <v>30.381685</v>
      </c>
      <c r="H3250" s="3" t="n">
        <v>29.992596</v>
      </c>
      <c r="I3250" s="3" t="n">
        <v>30.742579</v>
      </c>
      <c r="J3250" s="3" t="n">
        <v>28.540916</v>
      </c>
      <c r="K3250" s="3" t="n">
        <v>27.320897</v>
      </c>
      <c r="L3250" s="3" t="n">
        <v>30.580074</v>
      </c>
      <c r="M3250" s="3" t="n">
        <v>27.684277</v>
      </c>
      <c r="N3250" s="3" t="n">
        <v>31.072671</v>
      </c>
      <c r="O3250" s="3" t="n">
        <v>27.68765</v>
      </c>
      <c r="P3250" s="3" t="n">
        <v>31.459792</v>
      </c>
      <c r="Q3250" s="3" t="n">
        <v>29.389525</v>
      </c>
      <c r="R3250" s="3" t="n">
        <v>33.653071</v>
      </c>
      <c r="S3250" s="3" t="n">
        <v>33.60912</v>
      </c>
      <c r="T3250" s="3" t="n">
        <v>30.738153</v>
      </c>
      <c r="U3250" s="3" t="n">
        <v>35.349442</v>
      </c>
      <c r="V3250" s="3" t="n">
        <v>30.533606</v>
      </c>
      <c r="W3250" s="3" t="n">
        <v>27.347546</v>
      </c>
      <c r="X3250" s="3" t="n">
        <v>30.872136</v>
      </c>
      <c r="Y3250" s="3" t="n">
        <v>29.974255</v>
      </c>
      <c r="Z3250" s="3" t="n">
        <v>31.75033</v>
      </c>
      <c r="AA3250" s="3" t="n">
        <v>30.503473</v>
      </c>
      <c r="AB3250" s="3" t="n">
        <v>34.090721</v>
      </c>
      <c r="AC3250" s="3" t="n">
        <v>31.073584</v>
      </c>
      <c r="AD3250" s="3" t="n">
        <v>28.802647</v>
      </c>
      <c r="AE3250" s="3" t="n">
        <v>26.342185</v>
      </c>
      <c r="AF3250" s="3" t="n">
        <v>26.396594</v>
      </c>
      <c r="AG3250" s="3" t="n">
        <v>29.919173</v>
      </c>
      <c r="AH3250" s="3" t="n">
        <v>30.611943</v>
      </c>
      <c r="AI3250" s="3" t="n">
        <v>30.993591</v>
      </c>
      <c r="AJ3250" s="3" t="n">
        <v>31.120001</v>
      </c>
      <c r="AK3250" s="3" t="n">
        <v>31.160843</v>
      </c>
      <c r="AL3250" s="3" t="n">
        <v>31.167952</v>
      </c>
      <c r="AM3250" s="3" t="n"/>
      <c r="AN3250" s="3" t="n"/>
      <c r="AO3250" s="3" t="n"/>
      <c r="AP3250" s="3" t="n"/>
      <c r="AQ3250" s="3" t="n"/>
      <c r="AR3250" s="3" t="n"/>
      <c r="AS3250" s="3" t="n"/>
      <c r="AT3250" s="3" t="n"/>
      <c r="AU3250" s="3" t="n"/>
    </row>
    <row r="3251">
      <c r="A3251" s="3" t="n">
        <v>2031</v>
      </c>
      <c r="B3251" s="3" t="inlineStr">
        <is>
          <t>WSM</t>
        </is>
      </c>
      <c r="C3251" s="3" t="inlineStr">
        <is>
          <t>IMF.RES:WEO</t>
        </is>
      </c>
      <c r="D3251" s="3" t="inlineStr">
        <is>
          <t>WSM.LP.A</t>
        </is>
      </c>
      <c r="E3251" s="3" t="inlineStr">
        <is>
          <t>Samoa</t>
        </is>
      </c>
      <c r="F3251" s="3" t="inlineStr">
        <is>
          <t>Population, Persons for countries / Index for country groups</t>
        </is>
      </c>
      <c r="G3251" s="3" t="n">
        <v>0.17462</v>
      </c>
      <c r="H3251" s="3" t="n">
        <v>0.176423</v>
      </c>
      <c r="I3251" s="3" t="n">
        <v>0.177229</v>
      </c>
      <c r="J3251" s="3" t="n">
        <v>0.178035</v>
      </c>
      <c r="K3251" s="3" t="n">
        <v>0.178841</v>
      </c>
      <c r="L3251" s="3" t="n">
        <v>0.179648</v>
      </c>
      <c r="M3251" s="3" t="n">
        <v>0.180237</v>
      </c>
      <c r="N3251" s="3" t="n">
        <v>0.181653</v>
      </c>
      <c r="O3251" s="3" t="n">
        <v>0.183068</v>
      </c>
      <c r="P3251" s="3" t="n">
        <v>0.184484</v>
      </c>
      <c r="Q3251" s="3" t="n">
        <v>0.1859</v>
      </c>
      <c r="R3251" s="3" t="n">
        <v>0.187239</v>
      </c>
      <c r="S3251" s="3" t="n">
        <v>0.188871</v>
      </c>
      <c r="T3251" s="3" t="n">
        <v>0.190502</v>
      </c>
      <c r="U3251" s="3" t="n">
        <v>0.192134</v>
      </c>
      <c r="V3251" s="3" t="n">
        <v>0.193766</v>
      </c>
      <c r="W3251" s="3" t="n">
        <v>0.195373</v>
      </c>
      <c r="X3251" s="3" t="n">
        <v>0.19703</v>
      </c>
      <c r="Y3251" s="3" t="n">
        <v>0.198661</v>
      </c>
      <c r="Z3251" s="3" t="n">
        <v>0.200293</v>
      </c>
      <c r="AA3251" s="3" t="n">
        <v>0.201925</v>
      </c>
      <c r="AB3251" s="3" t="n">
        <v>0.204481</v>
      </c>
      <c r="AC3251" s="3" t="n">
        <v>0.206736</v>
      </c>
      <c r="AD3251" s="3" t="n">
        <v>0.208628</v>
      </c>
      <c r="AE3251" s="3" t="n">
        <v>0.210672</v>
      </c>
      <c r="AF3251" s="3" t="n">
        <v>0.211991</v>
      </c>
      <c r="AG3251" s="3" t="n">
        <v>0.213242</v>
      </c>
      <c r="AH3251" s="3" t="n">
        <v>0.21443</v>
      </c>
      <c r="AI3251" s="3" t="n">
        <v>0.215642</v>
      </c>
      <c r="AJ3251" s="3" t="n">
        <v>0.216936</v>
      </c>
      <c r="AK3251" s="3" t="n">
        <v>0.218301</v>
      </c>
      <c r="AL3251" s="3" t="n">
        <v>0.219723</v>
      </c>
      <c r="AM3251" s="3" t="n"/>
      <c r="AN3251" s="3" t="n"/>
      <c r="AO3251" s="3" t="n"/>
      <c r="AP3251" s="3" t="n"/>
      <c r="AQ3251" s="3" t="n"/>
      <c r="AR3251" s="3" t="n"/>
      <c r="AS3251" s="3" t="n"/>
      <c r="AT3251" s="3" t="n"/>
      <c r="AU3251" s="3" t="n"/>
    </row>
    <row r="3252">
      <c r="A3252" s="3" t="n">
        <v>2031</v>
      </c>
      <c r="B3252" s="3" t="inlineStr">
        <is>
          <t>WSM</t>
        </is>
      </c>
      <c r="C3252" s="3" t="inlineStr">
        <is>
          <t>IMF.RES:WEO</t>
        </is>
      </c>
      <c r="D3252" s="3" t="inlineStr">
        <is>
          <t>WSM.NGDP.A</t>
        </is>
      </c>
      <c r="E3252" s="3" t="inlineStr">
        <is>
          <t>Samoa</t>
        </is>
      </c>
      <c r="F3252" s="3" t="inlineStr">
        <is>
          <t>Gross domestic product (GDP), Current prices, Domestic currency</t>
        </is>
      </c>
      <c r="G3252" s="3" t="n">
        <v>0.843319</v>
      </c>
      <c r="H3252" s="3" t="n">
        <v>0.936133</v>
      </c>
      <c r="I3252" s="3" t="n">
        <v>1.003694</v>
      </c>
      <c r="J3252" s="3" t="n">
        <v>1.082915</v>
      </c>
      <c r="K3252" s="3" t="n">
        <v>1.195304</v>
      </c>
      <c r="L3252" s="3" t="n">
        <v>1.325587</v>
      </c>
      <c r="M3252" s="3" t="n">
        <v>1.425254</v>
      </c>
      <c r="N3252" s="3" t="n">
        <v>1.539432</v>
      </c>
      <c r="O3252" s="3" t="n">
        <v>1.739562</v>
      </c>
      <c r="P3252" s="3" t="n">
        <v>1.759124</v>
      </c>
      <c r="Q3252" s="3" t="n">
        <v>1.72634</v>
      </c>
      <c r="R3252" s="3" t="n">
        <v>1.776476</v>
      </c>
      <c r="S3252" s="3" t="n">
        <v>1.779035</v>
      </c>
      <c r="T3252" s="3" t="n">
        <v>1.82273</v>
      </c>
      <c r="U3252" s="3" t="n">
        <v>1.850411</v>
      </c>
      <c r="V3252" s="3" t="n">
        <v>1.997846</v>
      </c>
      <c r="W3252" s="3" t="n">
        <v>2.205779</v>
      </c>
      <c r="X3252" s="3" t="n">
        <v>2.243619</v>
      </c>
      <c r="Y3252" s="3" t="n">
        <v>2.254416</v>
      </c>
      <c r="Z3252" s="3" t="n">
        <v>2.390089</v>
      </c>
      <c r="AA3252" s="3" t="n">
        <v>2.344094</v>
      </c>
      <c r="AB3252" s="3" t="n">
        <v>2.210073</v>
      </c>
      <c r="AC3252" s="3" t="n">
        <v>2.317658</v>
      </c>
      <c r="AD3252" s="3" t="n">
        <v>2.853123</v>
      </c>
      <c r="AE3252" s="3" t="n">
        <v>3.240391</v>
      </c>
      <c r="AF3252" s="3" t="n">
        <v>3.584938</v>
      </c>
      <c r="AG3252" s="3" t="n">
        <v>3.822049</v>
      </c>
      <c r="AH3252" s="3" t="n">
        <v>4.067506</v>
      </c>
      <c r="AI3252" s="3" t="n">
        <v>4.292886</v>
      </c>
      <c r="AJ3252" s="3" t="n">
        <v>4.52011</v>
      </c>
      <c r="AK3252" s="3" t="n">
        <v>4.751388</v>
      </c>
      <c r="AL3252" s="3" t="n">
        <v>4.991061</v>
      </c>
      <c r="AM3252" s="3" t="n"/>
      <c r="AN3252" s="3" t="n"/>
      <c r="AO3252" s="3" t="n"/>
      <c r="AP3252" s="3" t="n"/>
      <c r="AQ3252" s="3" t="n"/>
      <c r="AR3252" s="3" t="n"/>
      <c r="AS3252" s="3" t="n"/>
      <c r="AT3252" s="3" t="n"/>
      <c r="AU3252" s="3" t="n"/>
    </row>
    <row r="3253">
      <c r="A3253" s="3" t="n">
        <v>2031</v>
      </c>
      <c r="B3253" s="3" t="inlineStr">
        <is>
          <t>WSM</t>
        </is>
      </c>
      <c r="C3253" s="3" t="inlineStr">
        <is>
          <t>IMF.RES:WEO</t>
        </is>
      </c>
      <c r="D3253" s="3" t="inlineStr">
        <is>
          <t>WSM.NGDP_D.A</t>
        </is>
      </c>
      <c r="E3253" s="3" t="inlineStr">
        <is>
          <t>Samoa</t>
        </is>
      </c>
      <c r="F3253" s="3" t="inlineStr">
        <is>
          <t>Gross domestic product (GDP), Price deflator, Index</t>
        </is>
      </c>
      <c r="G3253" s="3" t="n">
        <v>65.11900300000001</v>
      </c>
      <c r="H3253" s="3" t="n">
        <v>67.31146699999999</v>
      </c>
      <c r="I3253" s="3" t="n">
        <v>68.30858000000001</v>
      </c>
      <c r="J3253" s="3" t="n">
        <v>70.048742</v>
      </c>
      <c r="K3253" s="3" t="n">
        <v>75.003123</v>
      </c>
      <c r="L3253" s="3" t="n">
        <v>77.999595</v>
      </c>
      <c r="M3253" s="3" t="n">
        <v>82.113376</v>
      </c>
      <c r="N3253" s="3" t="n">
        <v>88.262598</v>
      </c>
      <c r="O3253" s="3" t="n">
        <v>96.31199100000001</v>
      </c>
      <c r="P3253" s="3" t="n">
        <v>97.920142</v>
      </c>
      <c r="Q3253" s="3" t="n">
        <v>93.721614</v>
      </c>
      <c r="R3253" s="3" t="n">
        <v>92.868882</v>
      </c>
      <c r="S3253" s="3" t="n">
        <v>96.60822</v>
      </c>
      <c r="T3253" s="3" t="n">
        <v>98.874931</v>
      </c>
      <c r="U3253" s="3" t="n">
        <v>99.718445</v>
      </c>
      <c r="V3253" s="3" t="n">
        <v>103.671947</v>
      </c>
      <c r="W3253" s="3" t="n">
        <v>105.999134</v>
      </c>
      <c r="X3253" s="3" t="n">
        <v>106.322333</v>
      </c>
      <c r="Y3253" s="3" t="n">
        <v>107.489309</v>
      </c>
      <c r="Z3253" s="3" t="n">
        <v>109.101094</v>
      </c>
      <c r="AA3253" s="3" t="n">
        <v>110.434516</v>
      </c>
      <c r="AB3253" s="3" t="n">
        <v>109.681535</v>
      </c>
      <c r="AC3253" s="3" t="n">
        <v>112.455558</v>
      </c>
      <c r="AD3253" s="3" t="n">
        <v>120.163935</v>
      </c>
      <c r="AE3253" s="3" t="n">
        <v>130.238852</v>
      </c>
      <c r="AF3253" s="3" t="n">
        <v>138.273424</v>
      </c>
      <c r="AG3253" s="3" t="n">
        <v>142.836447</v>
      </c>
      <c r="AH3253" s="3" t="n">
        <v>147.835722</v>
      </c>
      <c r="AI3253" s="3" t="n">
        <v>152.270794</v>
      </c>
      <c r="AJ3253" s="3" t="n">
        <v>156.838918</v>
      </c>
      <c r="AK3253" s="3" t="n">
        <v>161.544085</v>
      </c>
      <c r="AL3253" s="3" t="n">
        <v>166.390408</v>
      </c>
      <c r="AM3253" s="3" t="n"/>
      <c r="AN3253" s="3" t="n"/>
      <c r="AO3253" s="3" t="n"/>
      <c r="AP3253" s="3" t="n"/>
      <c r="AQ3253" s="3" t="n"/>
      <c r="AR3253" s="3" t="n"/>
      <c r="AS3253" s="3" t="n"/>
      <c r="AT3253" s="3" t="n"/>
      <c r="AU3253" s="3" t="n"/>
    </row>
    <row r="3254">
      <c r="A3254" s="3" t="n">
        <v>2031</v>
      </c>
      <c r="B3254" s="3" t="inlineStr">
        <is>
          <t>WSM</t>
        </is>
      </c>
      <c r="C3254" s="3" t="inlineStr">
        <is>
          <t>IMF.RES:WEO</t>
        </is>
      </c>
      <c r="D3254" s="3" t="inlineStr">
        <is>
          <t>WSM.NGDP_R.A</t>
        </is>
      </c>
      <c r="E3254" s="3" t="inlineStr">
        <is>
          <t>Samoa</t>
        </is>
      </c>
      <c r="F3254" s="3" t="inlineStr">
        <is>
          <t>Gross domestic product (GDP), Constant prices, Domestic currency</t>
        </is>
      </c>
      <c r="G3254" s="3" t="n">
        <v>1.295044</v>
      </c>
      <c r="H3254" s="3" t="n">
        <v>1.390749</v>
      </c>
      <c r="I3254" s="3" t="n">
        <v>1.469353</v>
      </c>
      <c r="J3254" s="3" t="n">
        <v>1.545945</v>
      </c>
      <c r="K3254" s="3" t="n">
        <v>1.593673</v>
      </c>
      <c r="L3254" s="3" t="n">
        <v>1.69948</v>
      </c>
      <c r="M3254" s="3" t="n">
        <v>1.735715</v>
      </c>
      <c r="N3254" s="3" t="n">
        <v>1.74415</v>
      </c>
      <c r="O3254" s="3" t="n">
        <v>1.806174</v>
      </c>
      <c r="P3254" s="3" t="n">
        <v>1.796489</v>
      </c>
      <c r="Q3254" s="3" t="n">
        <v>1.841987</v>
      </c>
      <c r="R3254" s="3" t="n">
        <v>1.912886</v>
      </c>
      <c r="S3254" s="3" t="n">
        <v>1.841495</v>
      </c>
      <c r="T3254" s="3" t="n">
        <v>1.843471</v>
      </c>
      <c r="U3254" s="3" t="n">
        <v>1.855636</v>
      </c>
      <c r="V3254" s="3" t="n">
        <v>1.927085</v>
      </c>
      <c r="W3254" s="3" t="n">
        <v>2.080941</v>
      </c>
      <c r="X3254" s="3" t="n">
        <v>2.110204</v>
      </c>
      <c r="Y3254" s="3" t="n">
        <v>2.09734</v>
      </c>
      <c r="Z3254" s="3" t="n">
        <v>2.19071</v>
      </c>
      <c r="AA3254" s="3" t="n">
        <v>2.12261</v>
      </c>
      <c r="AB3254" s="3" t="n">
        <v>2.014991</v>
      </c>
      <c r="AC3254" s="3" t="n">
        <v>2.060955</v>
      </c>
      <c r="AD3254" s="3" t="n">
        <v>2.374359</v>
      </c>
      <c r="AE3254" s="3" t="n">
        <v>2.488037</v>
      </c>
      <c r="AF3254" s="3" t="n">
        <v>2.592644</v>
      </c>
      <c r="AG3254" s="3" t="n">
        <v>2.675822</v>
      </c>
      <c r="AH3254" s="3" t="n">
        <v>2.751369</v>
      </c>
      <c r="AI3254" s="3" t="n">
        <v>2.819245</v>
      </c>
      <c r="AJ3254" s="3" t="n">
        <v>2.882008</v>
      </c>
      <c r="AK3254" s="3" t="n">
        <v>2.941233</v>
      </c>
      <c r="AL3254" s="3" t="n">
        <v>2.999609</v>
      </c>
      <c r="AM3254" s="3" t="n"/>
      <c r="AN3254" s="3" t="n"/>
      <c r="AO3254" s="3" t="n"/>
      <c r="AP3254" s="3" t="n"/>
      <c r="AQ3254" s="3" t="n"/>
      <c r="AR3254" s="3" t="n"/>
      <c r="AS3254" s="3" t="n"/>
      <c r="AT3254" s="3" t="n"/>
      <c r="AU3254" s="3" t="n"/>
    </row>
    <row r="3255">
      <c r="A3255" s="3" t="n">
        <v>2031</v>
      </c>
      <c r="B3255" s="3" t="inlineStr">
        <is>
          <t>WSM</t>
        </is>
      </c>
      <c r="C3255" s="3" t="inlineStr">
        <is>
          <t>IMF.RES:WEO</t>
        </is>
      </c>
      <c r="D3255" s="3" t="inlineStr">
        <is>
          <t>WSM.NGDP_RPCH.A</t>
        </is>
      </c>
      <c r="E3255" s="3" t="inlineStr">
        <is>
          <t>Samoa</t>
        </is>
      </c>
      <c r="F3255" s="3" t="inlineStr">
        <is>
          <t>Gross domestic product (GDP), Constant prices, Percent change</t>
        </is>
      </c>
      <c r="G3255" s="3" t="n">
        <v>5.09305</v>
      </c>
      <c r="H3255" s="3" t="n">
        <v>7.390126</v>
      </c>
      <c r="I3255" s="3" t="n">
        <v>5.65196</v>
      </c>
      <c r="J3255" s="3" t="n">
        <v>5.212629</v>
      </c>
      <c r="K3255" s="3" t="n">
        <v>3.087262</v>
      </c>
      <c r="L3255" s="3" t="n">
        <v>6.639202</v>
      </c>
      <c r="M3255" s="3" t="n">
        <v>2.13213</v>
      </c>
      <c r="N3255" s="3" t="n">
        <v>0.485978</v>
      </c>
      <c r="O3255" s="3" t="n">
        <v>3.556103</v>
      </c>
      <c r="P3255" s="3" t="n">
        <v>-0.536235</v>
      </c>
      <c r="Q3255" s="3" t="n">
        <v>2.532598</v>
      </c>
      <c r="R3255" s="3" t="n">
        <v>3.849078</v>
      </c>
      <c r="S3255" s="3" t="n">
        <v>-3.732127</v>
      </c>
      <c r="T3255" s="3" t="n">
        <v>0.107293</v>
      </c>
      <c r="U3255" s="3" t="n">
        <v>0.659925</v>
      </c>
      <c r="V3255" s="3" t="n">
        <v>3.850362</v>
      </c>
      <c r="W3255" s="3" t="n">
        <v>7.983863</v>
      </c>
      <c r="X3255" s="3" t="n">
        <v>1.40628</v>
      </c>
      <c r="Y3255" s="3" t="n">
        <v>-0.609646</v>
      </c>
      <c r="Z3255" s="3" t="n">
        <v>4.451859</v>
      </c>
      <c r="AA3255" s="3" t="n">
        <v>-3.108586</v>
      </c>
      <c r="AB3255" s="3" t="n">
        <v>-5.070117</v>
      </c>
      <c r="AC3255" s="3" t="n">
        <v>2.281084</v>
      </c>
      <c r="AD3255" s="3" t="n">
        <v>15.206748</v>
      </c>
      <c r="AE3255" s="3" t="n">
        <v>4.787738</v>
      </c>
      <c r="AF3255" s="3" t="n">
        <v>4.204405</v>
      </c>
      <c r="AG3255" s="3" t="n">
        <v>3.208226</v>
      </c>
      <c r="AH3255" s="3" t="n">
        <v>2.823298</v>
      </c>
      <c r="AI3255" s="3" t="n">
        <v>2.46699</v>
      </c>
      <c r="AJ3255" s="3" t="n">
        <v>2.226247</v>
      </c>
      <c r="AK3255" s="3" t="n">
        <v>2.05499</v>
      </c>
      <c r="AL3255" s="3" t="n">
        <v>1.98474</v>
      </c>
      <c r="AM3255" s="3" t="n"/>
      <c r="AN3255" s="3" t="n"/>
      <c r="AO3255" s="3" t="n"/>
      <c r="AP3255" s="3" t="n"/>
      <c r="AQ3255" s="3" t="n"/>
      <c r="AR3255" s="3" t="n"/>
      <c r="AS3255" s="3" t="n"/>
      <c r="AT3255" s="3" t="n"/>
      <c r="AU3255" s="3" t="n"/>
    </row>
    <row r="3256">
      <c r="A3256" s="3" t="n">
        <v>2031</v>
      </c>
      <c r="B3256" s="3" t="inlineStr">
        <is>
          <t>WSM</t>
        </is>
      </c>
      <c r="C3256" s="3" t="inlineStr">
        <is>
          <t>IMF.RES:WEO</t>
        </is>
      </c>
      <c r="D3256" s="3" t="inlineStr">
        <is>
          <t>WSM.NGDPD.A</t>
        </is>
      </c>
      <c r="E3256" s="3" t="inlineStr">
        <is>
          <t>Samoa</t>
        </is>
      </c>
      <c r="F3256" s="3" t="inlineStr">
        <is>
          <t>Gross domestic product (GDP), Current prices, US dollar</t>
        </is>
      </c>
      <c r="G3256" s="3" t="n">
        <v>0.270758</v>
      </c>
      <c r="H3256" s="3" t="n">
        <v>0.273178</v>
      </c>
      <c r="I3256" s="3" t="n">
        <v>0.289054</v>
      </c>
      <c r="J3256" s="3" t="n">
        <v>0.342021</v>
      </c>
      <c r="K3256" s="3" t="n">
        <v>0.418258</v>
      </c>
      <c r="L3256" s="3" t="n">
        <v>0.486021</v>
      </c>
      <c r="M3256" s="3" t="n">
        <v>0.51552</v>
      </c>
      <c r="N3256" s="3" t="n">
        <v>0.5682199999999999</v>
      </c>
      <c r="O3256" s="3" t="n">
        <v>0.6843129999999999</v>
      </c>
      <c r="P3256" s="3" t="n">
        <v>0.618026</v>
      </c>
      <c r="Q3256" s="3" t="n">
        <v>0.680261</v>
      </c>
      <c r="R3256" s="3" t="n">
        <v>0.744097</v>
      </c>
      <c r="S3256" s="3" t="n">
        <v>0.773142</v>
      </c>
      <c r="T3256" s="3" t="n">
        <v>0.797736</v>
      </c>
      <c r="U3256" s="3" t="n">
        <v>0.7966839999999999</v>
      </c>
      <c r="V3256" s="3" t="n">
        <v>0.82415</v>
      </c>
      <c r="W3256" s="3" t="n">
        <v>0.843925</v>
      </c>
      <c r="X3256" s="3" t="n">
        <v>0.884844</v>
      </c>
      <c r="Y3256" s="3" t="n">
        <v>0.878448</v>
      </c>
      <c r="Z3256" s="3" t="n">
        <v>0.912951</v>
      </c>
      <c r="AA3256" s="3" t="n">
        <v>0.868885</v>
      </c>
      <c r="AB3256" s="3" t="n">
        <v>0.859725</v>
      </c>
      <c r="AC3256" s="3" t="n">
        <v>0.889555</v>
      </c>
      <c r="AD3256" s="3" t="n">
        <v>1.04491</v>
      </c>
      <c r="AE3256" s="3" t="n">
        <v>1.17575</v>
      </c>
      <c r="AF3256" s="3" t="n">
        <v>1.287937</v>
      </c>
      <c r="AG3256" s="3" t="n">
        <v>1.376415</v>
      </c>
      <c r="AH3256" s="3" t="n">
        <v>1.453217</v>
      </c>
      <c r="AI3256" s="3" t="n">
        <v>1.521333</v>
      </c>
      <c r="AJ3256" s="3" t="n">
        <v>1.603277</v>
      </c>
      <c r="AK3256" s="3" t="n">
        <v>1.675601</v>
      </c>
      <c r="AL3256" s="3" t="n">
        <v>1.750316</v>
      </c>
      <c r="AM3256" s="3" t="n"/>
      <c r="AN3256" s="3" t="n"/>
      <c r="AO3256" s="3" t="n"/>
      <c r="AP3256" s="3" t="n"/>
      <c r="AQ3256" s="3" t="n"/>
      <c r="AR3256" s="3" t="n"/>
      <c r="AS3256" s="3" t="n"/>
      <c r="AT3256" s="3" t="n"/>
      <c r="AU3256" s="3" t="n"/>
    </row>
    <row r="3257">
      <c r="A3257" s="3" t="n">
        <v>2031</v>
      </c>
      <c r="B3257" s="3" t="inlineStr">
        <is>
          <t>WSM</t>
        </is>
      </c>
      <c r="C3257" s="3" t="inlineStr">
        <is>
          <t>IMF.RES:WEO</t>
        </is>
      </c>
      <c r="D3257" s="3" t="inlineStr">
        <is>
          <t>WSM.NGDPPC.A</t>
        </is>
      </c>
      <c r="E3257" s="3" t="inlineStr">
        <is>
          <t>Samoa</t>
        </is>
      </c>
      <c r="F3257" s="3" t="inlineStr">
        <is>
          <t>Gross domestic product (GDP), Current prices, Per capita, Domestic currency</t>
        </is>
      </c>
      <c r="G3257" s="3" t="n">
        <v>4829.458423</v>
      </c>
      <c r="H3257" s="3" t="n">
        <v>5306.19149</v>
      </c>
      <c r="I3257" s="3" t="n">
        <v>5663.261392</v>
      </c>
      <c r="J3257" s="3" t="n">
        <v>6082.588996</v>
      </c>
      <c r="K3257" s="3" t="n">
        <v>6683.597639</v>
      </c>
      <c r="L3257" s="3" t="n">
        <v>7378.818556</v>
      </c>
      <c r="M3257" s="3" t="n">
        <v>7907.678665</v>
      </c>
      <c r="N3257" s="3" t="n">
        <v>8474.598422999999</v>
      </c>
      <c r="O3257" s="3" t="n">
        <v>9502.255718</v>
      </c>
      <c r="P3257" s="3" t="n">
        <v>9535.368646000001</v>
      </c>
      <c r="Q3257" s="3" t="n">
        <v>9286.390985</v>
      </c>
      <c r="R3257" s="3" t="n">
        <v>9487.754728</v>
      </c>
      <c r="S3257" s="3" t="n">
        <v>9419.333538000001</v>
      </c>
      <c r="T3257" s="3" t="n">
        <v>9568.016401999999</v>
      </c>
      <c r="U3257" s="3" t="n">
        <v>9630.827293</v>
      </c>
      <c r="V3257" s="3" t="n">
        <v>10310.612554</v>
      </c>
      <c r="W3257" s="3" t="n">
        <v>11290.090942</v>
      </c>
      <c r="X3257" s="3" t="n">
        <v>11387.214915</v>
      </c>
      <c r="Y3257" s="3" t="n">
        <v>11348.030922</v>
      </c>
      <c r="Z3257" s="3" t="n">
        <v>11932.949513</v>
      </c>
      <c r="AA3257" s="3" t="n">
        <v>11608.736133</v>
      </c>
      <c r="AB3257" s="3" t="n">
        <v>10808.208851</v>
      </c>
      <c r="AC3257" s="3" t="n">
        <v>11210.714786</v>
      </c>
      <c r="AD3257" s="3" t="n">
        <v>13675.649158</v>
      </c>
      <c r="AE3257" s="3" t="n">
        <v>15381.21385</v>
      </c>
      <c r="AF3257" s="3" t="n">
        <v>16910.804167</v>
      </c>
      <c r="AG3257" s="3" t="n">
        <v>17923.496336</v>
      </c>
      <c r="AH3257" s="3" t="n">
        <v>18968.909984</v>
      </c>
      <c r="AI3257" s="3" t="n">
        <v>19907.498306</v>
      </c>
      <c r="AJ3257" s="3" t="n">
        <v>20836.158589</v>
      </c>
      <c r="AK3257" s="3" t="n">
        <v>21765.349122</v>
      </c>
      <c r="AL3257" s="3" t="n">
        <v>22715.231963</v>
      </c>
      <c r="AM3257" s="3" t="n"/>
      <c r="AN3257" s="3" t="n"/>
      <c r="AO3257" s="3" t="n"/>
      <c r="AP3257" s="3" t="n"/>
      <c r="AQ3257" s="3" t="n"/>
      <c r="AR3257" s="3" t="n"/>
      <c r="AS3257" s="3" t="n"/>
      <c r="AT3257" s="3" t="n"/>
      <c r="AU3257" s="3" t="n"/>
    </row>
    <row r="3258">
      <c r="A3258" s="3" t="n">
        <v>2031</v>
      </c>
      <c r="B3258" s="3" t="inlineStr">
        <is>
          <t>WSM</t>
        </is>
      </c>
      <c r="C3258" s="3" t="inlineStr">
        <is>
          <t>IMF.RES:WEO</t>
        </is>
      </c>
      <c r="D3258" s="3" t="inlineStr">
        <is>
          <t>WSM.NGDPRPC.A</t>
        </is>
      </c>
      <c r="E3258" s="3" t="inlineStr">
        <is>
          <t>Samoa</t>
        </is>
      </c>
      <c r="F3258" s="3" t="inlineStr">
        <is>
          <t>Gross domestic product (GDP), Constant prices, Per capita, Domestic currency</t>
        </is>
      </c>
      <c r="G3258" s="3" t="n">
        <v>7416.358053</v>
      </c>
      <c r="H3258" s="3" t="n">
        <v>7883.042446</v>
      </c>
      <c r="I3258" s="3" t="n">
        <v>8290.702826000001</v>
      </c>
      <c r="J3258" s="3" t="n">
        <v>8683.366524999999</v>
      </c>
      <c r="K3258" s="3" t="n">
        <v>8911.092516000001</v>
      </c>
      <c r="L3258" s="3" t="n">
        <v>9460.072876</v>
      </c>
      <c r="M3258" s="3" t="n">
        <v>9630.195535000001</v>
      </c>
      <c r="N3258" s="3" t="n">
        <v>9601.573700000001</v>
      </c>
      <c r="O3258" s="3" t="n">
        <v>9866.119059000001</v>
      </c>
      <c r="P3258" s="3" t="n">
        <v>9737.903232000001</v>
      </c>
      <c r="Q3258" s="3" t="n">
        <v>9908.483797999999</v>
      </c>
      <c r="R3258" s="3" t="n">
        <v>10216.290401</v>
      </c>
      <c r="S3258" s="3" t="n">
        <v>9750.033192000001</v>
      </c>
      <c r="T3258" s="3" t="n">
        <v>9676.888091999999</v>
      </c>
      <c r="U3258" s="3" t="n">
        <v>9658.019893000001</v>
      </c>
      <c r="V3258" s="3" t="n">
        <v>9945.421898000001</v>
      </c>
      <c r="W3258" s="3" t="n">
        <v>10651.116209</v>
      </c>
      <c r="X3258" s="3" t="n">
        <v>10710.087537</v>
      </c>
      <c r="Y3258" s="3" t="n">
        <v>10557.357802</v>
      </c>
      <c r="Z3258" s="3" t="n">
        <v>10937.515956</v>
      </c>
      <c r="AA3258" s="3" t="n">
        <v>10511.873076</v>
      </c>
      <c r="AB3258" s="3" t="n">
        <v>9854.173553000001</v>
      </c>
      <c r="AC3258" s="3" t="n">
        <v>9969.017970000001</v>
      </c>
      <c r="AD3258" s="3" t="n">
        <v>11380.826671</v>
      </c>
      <c r="AE3258" s="3" t="n">
        <v>11810.004191</v>
      </c>
      <c r="AF3258" s="3" t="n">
        <v>12229.974288</v>
      </c>
      <c r="AG3258" s="3" t="n">
        <v>12548.265341</v>
      </c>
      <c r="AH3258" s="3" t="n">
        <v>12831.073359</v>
      </c>
      <c r="AI3258" s="3" t="n">
        <v>13073.746962</v>
      </c>
      <c r="AJ3258" s="3" t="n">
        <v>13285.069088</v>
      </c>
      <c r="AK3258" s="3" t="n">
        <v>13473.31849</v>
      </c>
      <c r="AL3258" s="3" t="n">
        <v>13651.767699</v>
      </c>
      <c r="AM3258" s="3" t="n"/>
      <c r="AN3258" s="3" t="n"/>
      <c r="AO3258" s="3" t="n"/>
      <c r="AP3258" s="3" t="n"/>
      <c r="AQ3258" s="3" t="n"/>
      <c r="AR3258" s="3" t="n"/>
      <c r="AS3258" s="3" t="n"/>
      <c r="AT3258" s="3" t="n"/>
      <c r="AU3258" s="3" t="n"/>
    </row>
    <row r="3259">
      <c r="A3259" s="3" t="n">
        <v>2031</v>
      </c>
      <c r="B3259" s="3" t="inlineStr">
        <is>
          <t>WSM</t>
        </is>
      </c>
      <c r="C3259" s="3" t="inlineStr">
        <is>
          <t>IMF.RES:WEO</t>
        </is>
      </c>
      <c r="D3259" s="3" t="inlineStr">
        <is>
          <t>WSM.PCPI.A</t>
        </is>
      </c>
      <c r="E3259" s="3" t="inlineStr">
        <is>
          <t>Samoa</t>
        </is>
      </c>
      <c r="F3259" s="3" t="inlineStr">
        <is>
          <t>All Items, Consumer price index (CPI), Period average</t>
        </is>
      </c>
      <c r="G3259" s="3" t="n">
        <v>52.318425</v>
      </c>
      <c r="H3259" s="3" t="n">
        <v>53.307639</v>
      </c>
      <c r="I3259" s="3" t="n">
        <v>57.268613</v>
      </c>
      <c r="J3259" s="3" t="n">
        <v>59.769325</v>
      </c>
      <c r="K3259" s="3" t="n">
        <v>64.45921199999999</v>
      </c>
      <c r="L3259" s="3" t="n">
        <v>69.50045799999999</v>
      </c>
      <c r="M3259" s="3" t="n">
        <v>71.746104</v>
      </c>
      <c r="N3259" s="3" t="n">
        <v>74.961809</v>
      </c>
      <c r="O3259" s="3" t="n">
        <v>79.659334</v>
      </c>
      <c r="P3259" s="3" t="n">
        <v>91.322945</v>
      </c>
      <c r="Q3259" s="3" t="n">
        <v>91.139627</v>
      </c>
      <c r="R3259" s="3" t="n">
        <v>93.759548</v>
      </c>
      <c r="S3259" s="3" t="n">
        <v>99.56462000000001</v>
      </c>
      <c r="T3259" s="3" t="n">
        <v>99.35838699999999</v>
      </c>
      <c r="U3259" s="3" t="n">
        <v>98.12862800000001</v>
      </c>
      <c r="V3259" s="3" t="n">
        <v>100.015277</v>
      </c>
      <c r="W3259" s="3" t="n">
        <v>100.088611</v>
      </c>
      <c r="X3259" s="3" t="n">
        <v>101.436095</v>
      </c>
      <c r="Y3259" s="3" t="n">
        <v>105.172437</v>
      </c>
      <c r="Z3259" s="3" t="n">
        <v>107.474644</v>
      </c>
      <c r="AA3259" s="3" t="n">
        <v>109.065255</v>
      </c>
      <c r="AB3259" s="3" t="n">
        <v>105.782002</v>
      </c>
      <c r="AC3259" s="3" t="n">
        <v>115.0344</v>
      </c>
      <c r="AD3259" s="3" t="n">
        <v>128.816667</v>
      </c>
      <c r="AE3259" s="3" t="n">
        <v>133.435478</v>
      </c>
      <c r="AF3259" s="3" t="n">
        <v>135.957074</v>
      </c>
      <c r="AG3259" s="3" t="n">
        <v>139.356001</v>
      </c>
      <c r="AH3259" s="3" t="n">
        <v>143.815393</v>
      </c>
      <c r="AI3259" s="3" t="n">
        <v>148.129855</v>
      </c>
      <c r="AJ3259" s="3" t="n">
        <v>152.57375</v>
      </c>
      <c r="AK3259" s="3" t="n">
        <v>157.150963</v>
      </c>
      <c r="AL3259" s="3" t="n">
        <v>161.865492</v>
      </c>
      <c r="AM3259" s="3" t="n"/>
      <c r="AN3259" s="3" t="n"/>
      <c r="AO3259" s="3" t="n"/>
      <c r="AP3259" s="3" t="n"/>
      <c r="AQ3259" s="3" t="n"/>
      <c r="AR3259" s="3" t="n"/>
      <c r="AS3259" s="3" t="n"/>
      <c r="AT3259" s="3" t="n"/>
      <c r="AU3259" s="3" t="n"/>
    </row>
    <row r="3260">
      <c r="A3260" s="3" t="n">
        <v>2031</v>
      </c>
      <c r="B3260" s="3" t="inlineStr">
        <is>
          <t>WSM</t>
        </is>
      </c>
      <c r="C3260" s="3" t="inlineStr">
        <is>
          <t>IMF.RES:WEO</t>
        </is>
      </c>
      <c r="D3260" s="3" t="inlineStr">
        <is>
          <t>WSM.PCPIPCH.A</t>
        </is>
      </c>
      <c r="E3260" s="3" t="inlineStr">
        <is>
          <t>Samoa</t>
        </is>
      </c>
      <c r="F3260" s="3" t="inlineStr">
        <is>
          <t>All Items, Consumer price index (CPI), Period average, percent change</t>
        </is>
      </c>
      <c r="G3260" s="3" t="n">
        <v>-0.165085</v>
      </c>
      <c r="H3260" s="3" t="n">
        <v>1.890756</v>
      </c>
      <c r="I3260" s="3" t="n">
        <v>7.430407</v>
      </c>
      <c r="J3260" s="3" t="n">
        <v>4.366635</v>
      </c>
      <c r="K3260" s="3" t="n">
        <v>7.846645</v>
      </c>
      <c r="L3260" s="3" t="n">
        <v>7.820832</v>
      </c>
      <c r="M3260" s="3" t="n">
        <v>3.231124</v>
      </c>
      <c r="N3260" s="3" t="n">
        <v>4.482061</v>
      </c>
      <c r="O3260" s="3" t="n">
        <v>6.266558</v>
      </c>
      <c r="P3260" s="3" t="n">
        <v>14.641864</v>
      </c>
      <c r="Q3260" s="3" t="n">
        <v>-0.200736</v>
      </c>
      <c r="R3260" s="3" t="n">
        <v>2.874623</v>
      </c>
      <c r="S3260" s="3" t="n">
        <v>6.191446</v>
      </c>
      <c r="T3260" s="3" t="n">
        <v>-0.207135</v>
      </c>
      <c r="U3260" s="3" t="n">
        <v>-1.2377</v>
      </c>
      <c r="V3260" s="3" t="n">
        <v>1.922628</v>
      </c>
      <c r="W3260" s="3" t="n">
        <v>0.073323</v>
      </c>
      <c r="X3260" s="3" t="n">
        <v>1.346291</v>
      </c>
      <c r="Y3260" s="3" t="n">
        <v>3.683444</v>
      </c>
      <c r="Z3260" s="3" t="n">
        <v>2.188983</v>
      </c>
      <c r="AA3260" s="3" t="n">
        <v>1.479988</v>
      </c>
      <c r="AB3260" s="3" t="n">
        <v>-3.010357</v>
      </c>
      <c r="AC3260" s="3" t="n">
        <v>8.746665999999999</v>
      </c>
      <c r="AD3260" s="3" t="n">
        <v>11.980996</v>
      </c>
      <c r="AE3260" s="3" t="n">
        <v>3.58557</v>
      </c>
      <c r="AF3260" s="3" t="n">
        <v>1.889749</v>
      </c>
      <c r="AG3260" s="3" t="n">
        <v>2.5</v>
      </c>
      <c r="AH3260" s="3" t="n">
        <v>3.2</v>
      </c>
      <c r="AI3260" s="3" t="n">
        <v>3</v>
      </c>
      <c r="AJ3260" s="3" t="n">
        <v>3</v>
      </c>
      <c r="AK3260" s="3" t="n">
        <v>3</v>
      </c>
      <c r="AL3260" s="3" t="n">
        <v>3</v>
      </c>
      <c r="AM3260" s="3" t="n"/>
      <c r="AN3260" s="3" t="n"/>
      <c r="AO3260" s="3" t="n"/>
      <c r="AP3260" s="3" t="n"/>
      <c r="AQ3260" s="3" t="n"/>
      <c r="AR3260" s="3" t="n"/>
      <c r="AS3260" s="3" t="n"/>
      <c r="AT3260" s="3" t="n"/>
      <c r="AU3260" s="3" t="n"/>
    </row>
    <row r="3261">
      <c r="A3261" s="3" t="n">
        <v>2031</v>
      </c>
      <c r="B3261" s="3" t="inlineStr">
        <is>
          <t>WSM</t>
        </is>
      </c>
      <c r="C3261" s="3" t="inlineStr">
        <is>
          <t>IMF.RES:WEO</t>
        </is>
      </c>
      <c r="D3261" s="3" t="inlineStr">
        <is>
          <t>WSM.PPPPC.A</t>
        </is>
      </c>
      <c r="E3261" s="3" t="inlineStr">
        <is>
          <t>Samoa</t>
        </is>
      </c>
      <c r="F3261" s="3" t="inlineStr">
        <is>
          <t>Gross domestic product (GDP), Per capita, purchasing power parity (PPP) international dollar, ICP benchmarks 2017-2021</t>
        </is>
      </c>
      <c r="G3261" s="3" t="n">
        <v>2881.242672</v>
      </c>
      <c r="H3261" s="3" t="n">
        <v>3131.505748</v>
      </c>
      <c r="I3261" s="3" t="n">
        <v>3344.628481</v>
      </c>
      <c r="J3261" s="3" t="n">
        <v>3572.194043</v>
      </c>
      <c r="K3261" s="3" t="n">
        <v>3764.447838</v>
      </c>
      <c r="L3261" s="3" t="n">
        <v>4121.680682</v>
      </c>
      <c r="M3261" s="3" t="n">
        <v>4325.195395</v>
      </c>
      <c r="N3261" s="3" t="n">
        <v>4429.173464</v>
      </c>
      <c r="O3261" s="3" t="n">
        <v>4638.882314</v>
      </c>
      <c r="P3261" s="3" t="n">
        <v>4606.83553</v>
      </c>
      <c r="Q3261" s="3" t="n">
        <v>4744.505381</v>
      </c>
      <c r="R3261" s="3" t="n">
        <v>4992.825134</v>
      </c>
      <c r="S3261" s="3" t="n">
        <v>4853.679889</v>
      </c>
      <c r="T3261" s="3" t="n">
        <v>4899.257536</v>
      </c>
      <c r="U3261" s="3" t="n">
        <v>4974.869577</v>
      </c>
      <c r="V3261" s="3" t="n">
        <v>5170.454391</v>
      </c>
      <c r="W3261" s="3" t="n">
        <v>5589.94981</v>
      </c>
      <c r="X3261" s="3" t="n">
        <v>5721.563416</v>
      </c>
      <c r="Y3261" s="3" t="n">
        <v>5769.17164</v>
      </c>
      <c r="Z3261" s="3" t="n">
        <v>6075.569945</v>
      </c>
      <c r="AA3261" s="3" t="n">
        <v>5917.649077</v>
      </c>
      <c r="AB3261" s="3" t="n">
        <v>5800.535471</v>
      </c>
      <c r="AC3261" s="3" t="n">
        <v>6285.503408</v>
      </c>
      <c r="AD3261" s="3" t="n">
        <v>7441.155712</v>
      </c>
      <c r="AE3261" s="3" t="n">
        <v>7913.462275</v>
      </c>
      <c r="AF3261" s="3" t="n">
        <v>8427.338555</v>
      </c>
      <c r="AG3261" s="3" t="n">
        <v>8894.378186</v>
      </c>
      <c r="AH3261" s="3" t="n">
        <v>9294.549983999999</v>
      </c>
      <c r="AI3261" s="3" t="n">
        <v>9625.782675</v>
      </c>
      <c r="AJ3261" s="3" t="n">
        <v>9955.295830999999</v>
      </c>
      <c r="AK3261" s="3" t="n">
        <v>10281.885721</v>
      </c>
      <c r="AL3261" s="3" t="n">
        <v>10606.143087</v>
      </c>
      <c r="AM3261" s="3" t="n"/>
      <c r="AN3261" s="3" t="n"/>
      <c r="AO3261" s="3" t="n"/>
      <c r="AP3261" s="3" t="n"/>
      <c r="AQ3261" s="3" t="n"/>
      <c r="AR3261" s="3" t="n"/>
      <c r="AS3261" s="3" t="n"/>
      <c r="AT3261" s="3" t="n"/>
      <c r="AU3261" s="3" t="n"/>
    </row>
    <row r="3262">
      <c r="A3262" s="3" t="n">
        <v>2025</v>
      </c>
      <c r="B3262" s="3" t="inlineStr">
        <is>
          <t>WSM</t>
        </is>
      </c>
      <c r="C3262" s="3" t="inlineStr">
        <is>
          <t>IMF.STA:ER</t>
        </is>
      </c>
      <c r="D3262" s="3" t="inlineStr">
        <is>
          <t>WSM.XDC_USD.PA_RT.A</t>
        </is>
      </c>
      <c r="E3262" s="3" t="inlineStr">
        <is>
          <t>Samoa</t>
        </is>
      </c>
      <c r="F3262" s="3" t="inlineStr">
        <is>
          <t>Domestic currency per US Dollar</t>
        </is>
      </c>
      <c r="G3262" s="3" t="n">
        <v>3.286361525</v>
      </c>
      <c r="H3262" s="3" t="n">
        <v>3.4780400715</v>
      </c>
      <c r="I3262" s="3" t="n">
        <v>3.3762581025</v>
      </c>
      <c r="J3262" s="3" t="n">
        <v>2.97323765833333</v>
      </c>
      <c r="K3262" s="3" t="n">
        <v>2.78072343066666</v>
      </c>
      <c r="L3262" s="3" t="n">
        <v>2.71033673441666</v>
      </c>
      <c r="M3262" s="3" t="n">
        <v>2.77929404469671</v>
      </c>
      <c r="N3262" s="3" t="n">
        <v>2.61657247247995</v>
      </c>
      <c r="O3262" s="3" t="n">
        <v>2.64417628032352</v>
      </c>
      <c r="P3262" s="3" t="n">
        <v>2.7307785095373</v>
      </c>
      <c r="Q3262" s="3" t="n">
        <v>2.48465658452338</v>
      </c>
      <c r="R3262" s="3" t="n">
        <v>2.3174720118126</v>
      </c>
      <c r="S3262" s="3" t="n">
        <v>2.29231194992329</v>
      </c>
      <c r="T3262" s="3" t="n">
        <v>2.31090003482576</v>
      </c>
      <c r="U3262" s="3" t="n">
        <v>2.33176884618308</v>
      </c>
      <c r="V3262" s="3" t="n">
        <v>2.56087368809829</v>
      </c>
      <c r="W3262" s="3" t="n">
        <v>2.56492967258211</v>
      </c>
      <c r="X3262" s="3" t="n">
        <v>2.55437711641036</v>
      </c>
      <c r="Y3262" s="3" t="n">
        <v>2.58727995057261</v>
      </c>
      <c r="Z3262" s="3" t="n">
        <v>2.64882632186605</v>
      </c>
      <c r="AA3262" s="3" t="n">
        <v>2.66496084519695</v>
      </c>
      <c r="AB3262" s="3" t="n">
        <v>2.55609234207843</v>
      </c>
      <c r="AC3262" s="3" t="n">
        <v>2.68899764734058</v>
      </c>
      <c r="AD3262" s="3" t="n">
        <v>2.73843913026323</v>
      </c>
      <c r="AE3262" s="3" t="n">
        <v>2.75395370512433</v>
      </c>
      <c r="AF3262" s="3" t="n">
        <v>2.79150381915391</v>
      </c>
      <c r="AG3262" s="3" t="n"/>
      <c r="AH3262" s="3" t="n"/>
      <c r="AI3262" s="3" t="n"/>
      <c r="AJ3262" s="3" t="n"/>
      <c r="AK3262" s="3" t="n"/>
      <c r="AL3262" s="3" t="n"/>
      <c r="AM3262" s="3" t="n"/>
      <c r="AN3262" s="3" t="n"/>
      <c r="AO3262" s="3" t="n"/>
      <c r="AP3262" s="3" t="n"/>
      <c r="AQ3262" s="3" t="n"/>
      <c r="AR3262" s="3" t="n"/>
      <c r="AS3262" s="3" t="n"/>
      <c r="AT3262" s="3" t="n"/>
      <c r="AU3262" s="3" t="n"/>
    </row>
    <row r="3263">
      <c r="A3263" s="3" t="n">
        <v>2031</v>
      </c>
      <c r="B3263" s="3" t="inlineStr">
        <is>
          <t>YEM</t>
        </is>
      </c>
      <c r="C3263" s="3" t="inlineStr">
        <is>
          <t>IMF.RES:WEO</t>
        </is>
      </c>
      <c r="D3263" s="3" t="inlineStr">
        <is>
          <t>YEM.BCA.A</t>
        </is>
      </c>
      <c r="E3263" s="3" t="inlineStr">
        <is>
          <t>Yemen, Republic of</t>
        </is>
      </c>
      <c r="F3263" s="3" t="inlineStr">
        <is>
          <t>Current account balance (credit less debit), US dollar</t>
        </is>
      </c>
      <c r="G3263" s="3" t="n"/>
      <c r="H3263" s="3" t="n"/>
      <c r="I3263" s="3" t="n"/>
      <c r="J3263" s="3" t="n"/>
      <c r="K3263" s="3" t="n"/>
      <c r="L3263" s="3" t="n"/>
      <c r="M3263" s="3" t="n"/>
      <c r="N3263" s="3" t="n"/>
      <c r="O3263" s="3" t="n"/>
      <c r="P3263" s="3" t="n"/>
      <c r="Q3263" s="3" t="n"/>
      <c r="R3263" s="3" t="n"/>
      <c r="S3263" s="3" t="n"/>
      <c r="T3263" s="3" t="n"/>
      <c r="U3263" s="3" t="n">
        <v>-0.302388</v>
      </c>
      <c r="V3263" s="3" t="n">
        <v>-2.073252</v>
      </c>
      <c r="W3263" s="3" t="n">
        <v>-2.559588</v>
      </c>
      <c r="X3263" s="3" t="n">
        <v>-2.408147</v>
      </c>
      <c r="Y3263" s="3" t="n">
        <v>-3.803976</v>
      </c>
      <c r="Z3263" s="3" t="n">
        <v>-4.148594</v>
      </c>
      <c r="AA3263" s="3" t="n">
        <v>-4.344382</v>
      </c>
      <c r="AB3263" s="3" t="n">
        <v>-5.725295</v>
      </c>
      <c r="AC3263" s="3" t="n">
        <v>-4.51206</v>
      </c>
      <c r="AD3263" s="3" t="n">
        <v>-1.709824</v>
      </c>
      <c r="AE3263" s="3" t="n">
        <v>-0.85999</v>
      </c>
      <c r="AF3263" s="3" t="n">
        <v>-0.5320240000000001</v>
      </c>
      <c r="AG3263" s="3" t="n">
        <v>-0.604187</v>
      </c>
      <c r="AH3263" s="3" t="n">
        <v>-0.571607</v>
      </c>
      <c r="AI3263" s="3" t="n">
        <v>-0.5598</v>
      </c>
      <c r="AJ3263" s="3" t="n">
        <v>-0.549191</v>
      </c>
      <c r="AK3263" s="3" t="n">
        <v>-0.549728</v>
      </c>
      <c r="AL3263" s="3" t="n">
        <v>-0.546227</v>
      </c>
      <c r="AM3263" s="3" t="n"/>
      <c r="AN3263" s="3" t="n"/>
      <c r="AO3263" s="3" t="n"/>
      <c r="AP3263" s="3" t="n"/>
      <c r="AQ3263" s="3" t="n"/>
      <c r="AR3263" s="3" t="n"/>
      <c r="AS3263" s="3" t="n"/>
      <c r="AT3263" s="3" t="n"/>
      <c r="AU3263" s="3" t="n"/>
    </row>
    <row r="3264">
      <c r="A3264" s="3" t="n">
        <v>2031</v>
      </c>
      <c r="B3264" s="3" t="inlineStr">
        <is>
          <t>YEM</t>
        </is>
      </c>
      <c r="C3264" s="3" t="inlineStr">
        <is>
          <t>IMF.RES:WEO</t>
        </is>
      </c>
      <c r="D3264" s="3" t="inlineStr">
        <is>
          <t>YEM.BCA_NGDPD.A</t>
        </is>
      </c>
      <c r="E3264" s="3" t="inlineStr">
        <is>
          <t>Yemen, Republic of</t>
        </is>
      </c>
      <c r="F3264" s="3" t="inlineStr">
        <is>
          <t>Current account balance (credit less debit), Percent of GDP</t>
        </is>
      </c>
      <c r="G3264" s="3" t="n"/>
      <c r="H3264" s="3" t="n"/>
      <c r="I3264" s="3" t="n"/>
      <c r="J3264" s="3" t="n"/>
      <c r="K3264" s="3" t="n"/>
      <c r="L3264" s="3" t="n"/>
      <c r="M3264" s="3" t="n"/>
      <c r="N3264" s="3" t="n"/>
      <c r="O3264" s="3" t="n"/>
      <c r="P3264" s="3" t="n"/>
      <c r="Q3264" s="3" t="n"/>
      <c r="R3264" s="3" t="n"/>
      <c r="S3264" s="3" t="n"/>
      <c r="T3264" s="3" t="n"/>
      <c r="U3264" s="3" t="n">
        <v>-2.126299</v>
      </c>
      <c r="V3264" s="3" t="n">
        <v>-20.196743</v>
      </c>
      <c r="W3264" s="3" t="n">
        <v>-25.739531</v>
      </c>
      <c r="X3264" s="3" t="n">
        <v>-23.058981</v>
      </c>
      <c r="Y3264" s="3" t="n">
        <v>-33.09517</v>
      </c>
      <c r="Z3264" s="3" t="n">
        <v>-32.288209</v>
      </c>
      <c r="AA3264" s="3" t="n">
        <v>-40.287524</v>
      </c>
      <c r="AB3264" s="3" t="n">
        <v>-56.113134</v>
      </c>
      <c r="AC3264" s="3" t="n">
        <v>-40.562556</v>
      </c>
      <c r="AD3264" s="3" t="n">
        <v>-18.260163</v>
      </c>
      <c r="AE3264" s="3" t="n">
        <v>-10.672105</v>
      </c>
      <c r="AF3264" s="3" t="n">
        <v>-6.737373</v>
      </c>
      <c r="AG3264" s="3" t="n">
        <v>-8.126265</v>
      </c>
      <c r="AH3264" s="3" t="n">
        <v>-8.02558</v>
      </c>
      <c r="AI3264" s="3" t="n">
        <v>-7.991756</v>
      </c>
      <c r="AJ3264" s="3" t="n">
        <v>-7.88865</v>
      </c>
      <c r="AK3264" s="3" t="n">
        <v>-7.877072</v>
      </c>
      <c r="AL3264" s="3" t="n">
        <v>-7.751118</v>
      </c>
      <c r="AM3264" s="3" t="n"/>
      <c r="AN3264" s="3" t="n"/>
      <c r="AO3264" s="3" t="n"/>
      <c r="AP3264" s="3" t="n"/>
      <c r="AQ3264" s="3" t="n"/>
      <c r="AR3264" s="3" t="n"/>
      <c r="AS3264" s="3" t="n"/>
      <c r="AT3264" s="3" t="n"/>
      <c r="AU3264" s="3" t="n"/>
    </row>
    <row r="3265">
      <c r="A3265" s="3" t="n">
        <v>2031</v>
      </c>
      <c r="B3265" s="3" t="inlineStr">
        <is>
          <t>YEM</t>
        </is>
      </c>
      <c r="C3265" s="3" t="inlineStr">
        <is>
          <t>IMF.RES:WEO</t>
        </is>
      </c>
      <c r="D3265" s="3" t="inlineStr">
        <is>
          <t>YEM.GGR_NGDP.A</t>
        </is>
      </c>
      <c r="E3265" s="3" t="inlineStr">
        <is>
          <t>Yemen, Republic of</t>
        </is>
      </c>
      <c r="F3265" s="3" t="inlineStr">
        <is>
          <t>Revenue, General government, Percent of GDP</t>
        </is>
      </c>
      <c r="G3265" s="3" t="n"/>
      <c r="H3265" s="3" t="n"/>
      <c r="I3265" s="3" t="n"/>
      <c r="J3265" s="3" t="n"/>
      <c r="K3265" s="3" t="n"/>
      <c r="L3265" s="3" t="n"/>
      <c r="M3265" s="3" t="n"/>
      <c r="N3265" s="3" t="n"/>
      <c r="O3265" s="3" t="n"/>
      <c r="P3265" s="3" t="n"/>
      <c r="Q3265" s="3" t="n"/>
      <c r="R3265" s="3" t="n"/>
      <c r="S3265" s="3" t="n"/>
      <c r="T3265" s="3" t="n"/>
      <c r="U3265" s="3" t="n"/>
      <c r="V3265" s="3" t="n"/>
      <c r="W3265" s="3" t="n"/>
      <c r="X3265" s="3" t="n"/>
      <c r="Y3265" s="3" t="n">
        <v>12.924236</v>
      </c>
      <c r="Z3265" s="3" t="n">
        <v>15.991161</v>
      </c>
      <c r="AA3265" s="3" t="n">
        <v>11.588151</v>
      </c>
      <c r="AB3265" s="3" t="n">
        <v>13.889158</v>
      </c>
      <c r="AC3265" s="3" t="n">
        <v>22.365629</v>
      </c>
      <c r="AD3265" s="3" t="n">
        <v>14.997385</v>
      </c>
      <c r="AE3265" s="3" t="n">
        <v>20.40596</v>
      </c>
      <c r="AF3265" s="3" t="n">
        <v>14.742741</v>
      </c>
      <c r="AG3265" s="3" t="n">
        <v>17.191764</v>
      </c>
      <c r="AH3265" s="3" t="n">
        <v>17.138095</v>
      </c>
      <c r="AI3265" s="3" t="n">
        <v>17.738095</v>
      </c>
      <c r="AJ3265" s="3" t="n">
        <v>18.538095</v>
      </c>
      <c r="AK3265" s="3" t="n">
        <v>18.838095</v>
      </c>
      <c r="AL3265" s="3" t="n">
        <v>19.205657</v>
      </c>
      <c r="AM3265" s="3" t="n"/>
      <c r="AN3265" s="3" t="n"/>
      <c r="AO3265" s="3" t="n"/>
      <c r="AP3265" s="3" t="n"/>
      <c r="AQ3265" s="3" t="n"/>
      <c r="AR3265" s="3" t="n"/>
      <c r="AS3265" s="3" t="n"/>
      <c r="AT3265" s="3" t="n"/>
      <c r="AU3265" s="3" t="n"/>
    </row>
    <row r="3266">
      <c r="A3266" s="3" t="n">
        <v>2031</v>
      </c>
      <c r="B3266" s="3" t="inlineStr">
        <is>
          <t>YEM</t>
        </is>
      </c>
      <c r="C3266" s="3" t="inlineStr">
        <is>
          <t>IMF.RES:WEO</t>
        </is>
      </c>
      <c r="D3266" s="3" t="inlineStr">
        <is>
          <t>YEM.GGX_NGDP.A</t>
        </is>
      </c>
      <c r="E3266" s="3" t="inlineStr">
        <is>
          <t>Yemen, Republic of</t>
        </is>
      </c>
      <c r="F3266" s="3" t="inlineStr">
        <is>
          <t>Expenditure, General government, Percent of GDP</t>
        </is>
      </c>
      <c r="G3266" s="3" t="n"/>
      <c r="H3266" s="3" t="n"/>
      <c r="I3266" s="3" t="n"/>
      <c r="J3266" s="3" t="n"/>
      <c r="K3266" s="3" t="n"/>
      <c r="L3266" s="3" t="n"/>
      <c r="M3266" s="3" t="n"/>
      <c r="N3266" s="3" t="n"/>
      <c r="O3266" s="3" t="n"/>
      <c r="P3266" s="3" t="n"/>
      <c r="Q3266" s="3" t="n"/>
      <c r="R3266" s="3" t="n"/>
      <c r="S3266" s="3" t="n"/>
      <c r="T3266" s="3" t="n"/>
      <c r="U3266" s="3" t="n"/>
      <c r="V3266" s="3" t="n"/>
      <c r="W3266" s="3" t="n"/>
      <c r="X3266" s="3" t="n"/>
      <c r="Y3266" s="3" t="n">
        <v>26.557208</v>
      </c>
      <c r="Z3266" s="3" t="n">
        <v>25.060657</v>
      </c>
      <c r="AA3266" s="3" t="n">
        <v>19.96326</v>
      </c>
      <c r="AB3266" s="3" t="n">
        <v>15.605045</v>
      </c>
      <c r="AC3266" s="3" t="n">
        <v>26.45701</v>
      </c>
      <c r="AD3266" s="3" t="n">
        <v>24.730158</v>
      </c>
      <c r="AE3266" s="3" t="n">
        <v>20.309763</v>
      </c>
      <c r="AF3266" s="3" t="n">
        <v>18.219746</v>
      </c>
      <c r="AG3266" s="3" t="n">
        <v>18.425382</v>
      </c>
      <c r="AH3266" s="3" t="n">
        <v>18.075866</v>
      </c>
      <c r="AI3266" s="3" t="n">
        <v>17.551431</v>
      </c>
      <c r="AJ3266" s="3" t="n">
        <v>18.462042</v>
      </c>
      <c r="AK3266" s="3" t="n">
        <v>18.781362</v>
      </c>
      <c r="AL3266" s="3" t="n">
        <v>18.938546</v>
      </c>
      <c r="AM3266" s="3" t="n"/>
      <c r="AN3266" s="3" t="n"/>
      <c r="AO3266" s="3" t="n"/>
      <c r="AP3266" s="3" t="n"/>
      <c r="AQ3266" s="3" t="n"/>
      <c r="AR3266" s="3" t="n"/>
      <c r="AS3266" s="3" t="n"/>
      <c r="AT3266" s="3" t="n"/>
      <c r="AU3266" s="3" t="n"/>
    </row>
    <row r="3267">
      <c r="A3267" s="3" t="n">
        <v>2031</v>
      </c>
      <c r="B3267" s="3" t="inlineStr">
        <is>
          <t>YEM</t>
        </is>
      </c>
      <c r="C3267" s="3" t="inlineStr">
        <is>
          <t>IMF.RES:WEO</t>
        </is>
      </c>
      <c r="D3267" s="3" t="inlineStr">
        <is>
          <t>YEM.LP.A</t>
        </is>
      </c>
      <c r="E3267" s="3" t="inlineStr">
        <is>
          <t>Yemen, Republic of</t>
        </is>
      </c>
      <c r="F3267" s="3" t="inlineStr">
        <is>
          <t>Population, Persons for countries / Index for country groups</t>
        </is>
      </c>
      <c r="G3267" s="3" t="n"/>
      <c r="H3267" s="3" t="n"/>
      <c r="I3267" s="3" t="n"/>
      <c r="J3267" s="3" t="n"/>
      <c r="K3267" s="3" t="n"/>
      <c r="L3267" s="3" t="n"/>
      <c r="M3267" s="3" t="n"/>
      <c r="N3267" s="3" t="n"/>
      <c r="O3267" s="3" t="n"/>
      <c r="P3267" s="3" t="n"/>
      <c r="Q3267" s="3" t="n"/>
      <c r="R3267" s="3" t="n"/>
      <c r="S3267" s="3" t="n"/>
      <c r="T3267" s="3" t="n"/>
      <c r="U3267" s="3" t="n">
        <v>13.601839</v>
      </c>
      <c r="V3267" s="3" t="n">
        <v>14.021721</v>
      </c>
      <c r="W3267" s="3" t="n">
        <v>14.449055</v>
      </c>
      <c r="X3267" s="3" t="n">
        <v>14.890915</v>
      </c>
      <c r="Y3267" s="3" t="n">
        <v>15.338332</v>
      </c>
      <c r="Z3267" s="3" t="n">
        <v>15.800133</v>
      </c>
      <c r="AA3267" s="3" t="n">
        <v>16.260689</v>
      </c>
      <c r="AB3267" s="3" t="n">
        <v>16.713104</v>
      </c>
      <c r="AC3267" s="3" t="n">
        <v>17.200294</v>
      </c>
      <c r="AD3267" s="3" t="n">
        <v>17.72586</v>
      </c>
      <c r="AE3267" s="3" t="n">
        <v>18.262424</v>
      </c>
      <c r="AF3267" s="3" t="n">
        <v>18.810297</v>
      </c>
      <c r="AG3267" s="3" t="n">
        <v>19.374606</v>
      </c>
      <c r="AH3267" s="3" t="n">
        <v>19.955844</v>
      </c>
      <c r="AI3267" s="3" t="n">
        <v>20.554519</v>
      </c>
      <c r="AJ3267" s="3" t="n">
        <v>21.171155</v>
      </c>
      <c r="AK3267" s="3" t="n">
        <v>21.806289</v>
      </c>
      <c r="AL3267" s="3" t="n">
        <v>22.460478</v>
      </c>
      <c r="AM3267" s="3" t="n"/>
      <c r="AN3267" s="3" t="n"/>
      <c r="AO3267" s="3" t="n"/>
      <c r="AP3267" s="3" t="n"/>
      <c r="AQ3267" s="3" t="n"/>
      <c r="AR3267" s="3" t="n"/>
      <c r="AS3267" s="3" t="n"/>
      <c r="AT3267" s="3" t="n"/>
      <c r="AU3267" s="3" t="n"/>
    </row>
    <row r="3268">
      <c r="A3268" s="3" t="n">
        <v>2031</v>
      </c>
      <c r="B3268" s="3" t="inlineStr">
        <is>
          <t>YEM</t>
        </is>
      </c>
      <c r="C3268" s="3" t="inlineStr">
        <is>
          <t>IMF.RES:WEO</t>
        </is>
      </c>
      <c r="D3268" s="3" t="inlineStr">
        <is>
          <t>YEM.NGDP.A</t>
        </is>
      </c>
      <c r="E3268" s="3" t="inlineStr">
        <is>
          <t>Yemen, Republic of</t>
        </is>
      </c>
      <c r="F3268" s="3" t="inlineStr">
        <is>
          <t>Gross domestic product (GDP), Current prices, Domestic currency</t>
        </is>
      </c>
      <c r="G3268" s="3" t="n"/>
      <c r="H3268" s="3" t="n"/>
      <c r="I3268" s="3" t="n"/>
      <c r="J3268" s="3" t="n"/>
      <c r="K3268" s="3" t="n"/>
      <c r="L3268" s="3" t="n"/>
      <c r="M3268" s="3" t="n"/>
      <c r="N3268" s="3" t="n"/>
      <c r="O3268" s="3" t="n"/>
      <c r="P3268" s="3" t="n"/>
      <c r="Q3268" s="3" t="n"/>
      <c r="R3268" s="3" t="n"/>
      <c r="S3268" s="3" t="n"/>
      <c r="T3268" s="3" t="n"/>
      <c r="U3268" s="3" t="n">
        <v>3056.024</v>
      </c>
      <c r="V3268" s="3" t="n">
        <v>2369.569</v>
      </c>
      <c r="W3268" s="3" t="n">
        <v>2823.114</v>
      </c>
      <c r="X3268" s="3" t="n">
        <v>3893.004</v>
      </c>
      <c r="Y3268" s="3" t="n">
        <v>6159.656</v>
      </c>
      <c r="Z3268" s="3" t="n">
        <v>7400.224</v>
      </c>
      <c r="AA3268" s="3" t="n">
        <v>8012.163</v>
      </c>
      <c r="AB3268" s="3" t="n">
        <v>10490.197</v>
      </c>
      <c r="AC3268" s="3" t="n">
        <v>12402.96</v>
      </c>
      <c r="AD3268" s="3" t="n">
        <v>12688.879</v>
      </c>
      <c r="AE3268" s="3" t="n">
        <v>14652.582</v>
      </c>
      <c r="AF3268" s="3" t="n">
        <v>16652.263331</v>
      </c>
      <c r="AG3268" s="3" t="n">
        <v>19464.683089</v>
      </c>
      <c r="AH3268" s="3" t="n">
        <v>22481.524699</v>
      </c>
      <c r="AI3268" s="3" t="n">
        <v>25300.592175</v>
      </c>
      <c r="AJ3268" s="3" t="n">
        <v>28226.208784</v>
      </c>
      <c r="AK3268" s="3" t="n">
        <v>31371.269357</v>
      </c>
      <c r="AL3268" s="3" t="n">
        <v>34328.434027</v>
      </c>
      <c r="AM3268" s="3" t="n"/>
      <c r="AN3268" s="3" t="n"/>
      <c r="AO3268" s="3" t="n"/>
      <c r="AP3268" s="3" t="n"/>
      <c r="AQ3268" s="3" t="n"/>
      <c r="AR3268" s="3" t="n"/>
      <c r="AS3268" s="3" t="n"/>
      <c r="AT3268" s="3" t="n"/>
      <c r="AU3268" s="3" t="n"/>
    </row>
    <row r="3269">
      <c r="A3269" s="3" t="n">
        <v>2031</v>
      </c>
      <c r="B3269" s="3" t="inlineStr">
        <is>
          <t>YEM</t>
        </is>
      </c>
      <c r="C3269" s="3" t="inlineStr">
        <is>
          <t>IMF.RES:WEO</t>
        </is>
      </c>
      <c r="D3269" s="3" t="inlineStr">
        <is>
          <t>YEM.NGDP_D.A</t>
        </is>
      </c>
      <c r="E3269" s="3" t="inlineStr">
        <is>
          <t>Yemen, Republic of</t>
        </is>
      </c>
      <c r="F3269" s="3" t="inlineStr">
        <is>
          <t>Gross domestic product (GDP), Price deflator, Index</t>
        </is>
      </c>
      <c r="G3269" s="3" t="n"/>
      <c r="H3269" s="3" t="n"/>
      <c r="I3269" s="3" t="n"/>
      <c r="J3269" s="3" t="n"/>
      <c r="K3269" s="3" t="n"/>
      <c r="L3269" s="3" t="n"/>
      <c r="M3269" s="3" t="n"/>
      <c r="N3269" s="3" t="n"/>
      <c r="O3269" s="3" t="n"/>
      <c r="P3269" s="3" t="n"/>
      <c r="Q3269" s="3" t="n"/>
      <c r="R3269" s="3" t="n"/>
      <c r="S3269" s="3" t="n"/>
      <c r="T3269" s="3" t="n"/>
      <c r="U3269" s="3" t="n">
        <v>87.662415</v>
      </c>
      <c r="V3269" s="3" t="n">
        <v>100</v>
      </c>
      <c r="W3269" s="3" t="n">
        <v>124.590244</v>
      </c>
      <c r="X3269" s="3" t="n">
        <v>165.208269</v>
      </c>
      <c r="Y3269" s="3" t="n">
        <v>241.017526</v>
      </c>
      <c r="Z3269" s="3" t="n">
        <v>276.640268</v>
      </c>
      <c r="AA3269" s="3" t="n">
        <v>298.742711</v>
      </c>
      <c r="AB3269" s="3" t="n">
        <v>368.947545</v>
      </c>
      <c r="AC3269" s="3" t="n">
        <v>438.306167</v>
      </c>
      <c r="AD3269" s="3" t="n">
        <v>494.358748</v>
      </c>
      <c r="AE3269" s="3" t="n">
        <v>579.336399</v>
      </c>
      <c r="AF3269" s="3" t="n">
        <v>661.982515</v>
      </c>
      <c r="AG3269" s="3" t="n">
        <v>769.842479</v>
      </c>
      <c r="AH3269" s="3" t="n">
        <v>876.438142</v>
      </c>
      <c r="AI3269" s="3" t="n">
        <v>962.208768</v>
      </c>
      <c r="AJ3269" s="3" t="n">
        <v>1046.984467</v>
      </c>
      <c r="AK3269" s="3" t="n">
        <v>1134.715178</v>
      </c>
      <c r="AL3269" s="3" t="n">
        <v>1210.809581</v>
      </c>
      <c r="AM3269" s="3" t="n"/>
      <c r="AN3269" s="3" t="n"/>
      <c r="AO3269" s="3" t="n"/>
      <c r="AP3269" s="3" t="n"/>
      <c r="AQ3269" s="3" t="n"/>
      <c r="AR3269" s="3" t="n"/>
      <c r="AS3269" s="3" t="n"/>
      <c r="AT3269" s="3" t="n"/>
      <c r="AU3269" s="3" t="n"/>
    </row>
    <row r="3270">
      <c r="A3270" s="3" t="n">
        <v>2031</v>
      </c>
      <c r="B3270" s="3" t="inlineStr">
        <is>
          <t>YEM</t>
        </is>
      </c>
      <c r="C3270" s="3" t="inlineStr">
        <is>
          <t>IMF.RES:WEO</t>
        </is>
      </c>
      <c r="D3270" s="3" t="inlineStr">
        <is>
          <t>YEM.NGDP_R.A</t>
        </is>
      </c>
      <c r="E3270" s="3" t="inlineStr">
        <is>
          <t>Yemen, Republic of</t>
        </is>
      </c>
      <c r="F3270" s="3" t="inlineStr">
        <is>
          <t>Gross domestic product (GDP), Constant prices, Domestic currency</t>
        </is>
      </c>
      <c r="G3270" s="3" t="n"/>
      <c r="H3270" s="3" t="n"/>
      <c r="I3270" s="3" t="n"/>
      <c r="J3270" s="3" t="n"/>
      <c r="K3270" s="3" t="n"/>
      <c r="L3270" s="3" t="n"/>
      <c r="M3270" s="3" t="n"/>
      <c r="N3270" s="3" t="n"/>
      <c r="O3270" s="3" t="n"/>
      <c r="P3270" s="3" t="n"/>
      <c r="Q3270" s="3" t="n"/>
      <c r="R3270" s="3" t="n"/>
      <c r="S3270" s="3" t="n"/>
      <c r="T3270" s="3" t="n"/>
      <c r="U3270" s="3" t="n">
        <v>3486.128</v>
      </c>
      <c r="V3270" s="3" t="n">
        <v>2369.569</v>
      </c>
      <c r="W3270" s="3" t="n">
        <v>2265.919</v>
      </c>
      <c r="X3270" s="3" t="n">
        <v>2356.422</v>
      </c>
      <c r="Y3270" s="3" t="n">
        <v>2555.688</v>
      </c>
      <c r="Z3270" s="3" t="n">
        <v>2675.035</v>
      </c>
      <c r="AA3270" s="3" t="n">
        <v>2681.961</v>
      </c>
      <c r="AB3270" s="3" t="n">
        <v>2843.276</v>
      </c>
      <c r="AC3270" s="3" t="n">
        <v>2829.748</v>
      </c>
      <c r="AD3270" s="3" t="n">
        <v>2566.735</v>
      </c>
      <c r="AE3270" s="3" t="n">
        <v>2529.201</v>
      </c>
      <c r="AF3270" s="3" t="n">
        <v>2515.514075</v>
      </c>
      <c r="AG3270" s="3" t="n">
        <v>2528.398163</v>
      </c>
      <c r="AH3270" s="3" t="n">
        <v>2565.101131</v>
      </c>
      <c r="AI3270" s="3" t="n">
        <v>2629.428562</v>
      </c>
      <c r="AJ3270" s="3" t="n">
        <v>2695.952966</v>
      </c>
      <c r="AK3270" s="3" t="n">
        <v>2764.68227</v>
      </c>
      <c r="AL3270" s="3" t="n">
        <v>2835.163725</v>
      </c>
      <c r="AM3270" s="3" t="n"/>
      <c r="AN3270" s="3" t="n"/>
      <c r="AO3270" s="3" t="n"/>
      <c r="AP3270" s="3" t="n"/>
      <c r="AQ3270" s="3" t="n"/>
      <c r="AR3270" s="3" t="n"/>
      <c r="AS3270" s="3" t="n"/>
      <c r="AT3270" s="3" t="n"/>
      <c r="AU3270" s="3" t="n"/>
    </row>
    <row r="3271">
      <c r="A3271" s="3" t="n">
        <v>2031</v>
      </c>
      <c r="B3271" s="3" t="inlineStr">
        <is>
          <t>YEM</t>
        </is>
      </c>
      <c r="C3271" s="3" t="inlineStr">
        <is>
          <t>IMF.RES:WEO</t>
        </is>
      </c>
      <c r="D3271" s="3" t="inlineStr">
        <is>
          <t>YEM.NGDP_RPCH.A</t>
        </is>
      </c>
      <c r="E3271" s="3" t="inlineStr">
        <is>
          <t>Yemen, Republic of</t>
        </is>
      </c>
      <c r="F3271" s="3" t="inlineStr">
        <is>
          <t>Gross domestic product (GDP), Constant prices, Percent change</t>
        </is>
      </c>
      <c r="G3271" s="3" t="n"/>
      <c r="H3271" s="3" t="n"/>
      <c r="I3271" s="3" t="n"/>
      <c r="J3271" s="3" t="n"/>
      <c r="K3271" s="3" t="n"/>
      <c r="L3271" s="3" t="n"/>
      <c r="M3271" s="3" t="n"/>
      <c r="N3271" s="3" t="n"/>
      <c r="O3271" s="3" t="n"/>
      <c r="P3271" s="3" t="n"/>
      <c r="Q3271" s="3" t="n"/>
      <c r="R3271" s="3" t="n"/>
      <c r="S3271" s="3" t="n"/>
      <c r="T3271" s="3" t="n"/>
      <c r="U3271" s="3" t="n"/>
      <c r="V3271" s="3" t="n">
        <v>-32.028629</v>
      </c>
      <c r="W3271" s="3" t="n">
        <v>-4.374213</v>
      </c>
      <c r="X3271" s="3" t="n">
        <v>3.994097</v>
      </c>
      <c r="Y3271" s="3" t="n">
        <v>8.456295000000001</v>
      </c>
      <c r="Z3271" s="3" t="n">
        <v>4.669858</v>
      </c>
      <c r="AA3271" s="3" t="n">
        <v>0.258913</v>
      </c>
      <c r="AB3271" s="3" t="n">
        <v>6.014815</v>
      </c>
      <c r="AC3271" s="3" t="n">
        <v>-0.475789</v>
      </c>
      <c r="AD3271" s="3" t="n">
        <v>-9.294573</v>
      </c>
      <c r="AE3271" s="3" t="n">
        <v>-1.462325</v>
      </c>
      <c r="AF3271" s="3" t="n">
        <v>-0.541156</v>
      </c>
      <c r="AG3271" s="3" t="n">
        <v>0.512185</v>
      </c>
      <c r="AH3271" s="3" t="n">
        <v>1.451629</v>
      </c>
      <c r="AI3271" s="3" t="n">
        <v>2.507793</v>
      </c>
      <c r="AJ3271" s="3" t="n">
        <v>2.529995</v>
      </c>
      <c r="AK3271" s="3" t="n">
        <v>2.549351</v>
      </c>
      <c r="AL3271" s="3" t="n">
        <v>2.549351</v>
      </c>
      <c r="AM3271" s="3" t="n"/>
      <c r="AN3271" s="3" t="n"/>
      <c r="AO3271" s="3" t="n"/>
      <c r="AP3271" s="3" t="n"/>
      <c r="AQ3271" s="3" t="n"/>
      <c r="AR3271" s="3" t="n"/>
      <c r="AS3271" s="3" t="n"/>
      <c r="AT3271" s="3" t="n"/>
      <c r="AU3271" s="3" t="n"/>
    </row>
    <row r="3272">
      <c r="A3272" s="3" t="n">
        <v>2031</v>
      </c>
      <c r="B3272" s="3" t="inlineStr">
        <is>
          <t>YEM</t>
        </is>
      </c>
      <c r="C3272" s="3" t="inlineStr">
        <is>
          <t>IMF.RES:WEO</t>
        </is>
      </c>
      <c r="D3272" s="3" t="inlineStr">
        <is>
          <t>YEM.NGDPD.A</t>
        </is>
      </c>
      <c r="E3272" s="3" t="inlineStr">
        <is>
          <t>Yemen, Republic of</t>
        </is>
      </c>
      <c r="F3272" s="3" t="inlineStr">
        <is>
          <t>Gross domestic product (GDP), Current prices, US dollar</t>
        </is>
      </c>
      <c r="G3272" s="3" t="n"/>
      <c r="H3272" s="3" t="n"/>
      <c r="I3272" s="3" t="n"/>
      <c r="J3272" s="3" t="n"/>
      <c r="K3272" s="3" t="n"/>
      <c r="L3272" s="3" t="n"/>
      <c r="M3272" s="3" t="n"/>
      <c r="N3272" s="3" t="n"/>
      <c r="O3272" s="3" t="n"/>
      <c r="P3272" s="3" t="n"/>
      <c r="Q3272" s="3" t="n"/>
      <c r="R3272" s="3" t="n"/>
      <c r="S3272" s="3" t="n"/>
      <c r="T3272" s="3" t="n"/>
      <c r="U3272" s="3" t="n">
        <v>14.221341</v>
      </c>
      <c r="V3272" s="3" t="n">
        <v>10.265281</v>
      </c>
      <c r="W3272" s="3" t="n">
        <v>9.944190000000001</v>
      </c>
      <c r="X3272" s="3" t="n">
        <v>10.443424</v>
      </c>
      <c r="Y3272" s="3" t="n">
        <v>11.494051</v>
      </c>
      <c r="Z3272" s="3" t="n">
        <v>12.848635</v>
      </c>
      <c r="AA3272" s="3" t="n">
        <v>10.783444</v>
      </c>
      <c r="AB3272" s="3" t="n">
        <v>10.203129</v>
      </c>
      <c r="AC3272" s="3" t="n">
        <v>11.123707</v>
      </c>
      <c r="AD3272" s="3" t="n">
        <v>9.363682000000001</v>
      </c>
      <c r="AE3272" s="3" t="n">
        <v>8.058301</v>
      </c>
      <c r="AF3272" s="3" t="n">
        <v>7.896615</v>
      </c>
      <c r="AG3272" s="3" t="n">
        <v>7.434994</v>
      </c>
      <c r="AH3272" s="3" t="n">
        <v>7.122318</v>
      </c>
      <c r="AI3272" s="3" t="n">
        <v>7.004721</v>
      </c>
      <c r="AJ3272" s="3" t="n">
        <v>6.961793</v>
      </c>
      <c r="AK3272" s="3" t="n">
        <v>6.978834</v>
      </c>
      <c r="AL3272" s="3" t="n">
        <v>7.047071</v>
      </c>
      <c r="AM3272" s="3" t="n"/>
      <c r="AN3272" s="3" t="n"/>
      <c r="AO3272" s="3" t="n"/>
      <c r="AP3272" s="3" t="n"/>
      <c r="AQ3272" s="3" t="n"/>
      <c r="AR3272" s="3" t="n"/>
      <c r="AS3272" s="3" t="n"/>
      <c r="AT3272" s="3" t="n"/>
      <c r="AU3272" s="3" t="n"/>
    </row>
    <row r="3273">
      <c r="A3273" s="3" t="n">
        <v>2031</v>
      </c>
      <c r="B3273" s="3" t="inlineStr">
        <is>
          <t>YEM</t>
        </is>
      </c>
      <c r="C3273" s="3" t="inlineStr">
        <is>
          <t>IMF.RES:WEO</t>
        </is>
      </c>
      <c r="D3273" s="3" t="inlineStr">
        <is>
          <t>YEM.NGDPPC.A</t>
        </is>
      </c>
      <c r="E3273" s="3" t="inlineStr">
        <is>
          <t>Yemen, Republic of</t>
        </is>
      </c>
      <c r="F3273" s="3" t="inlineStr">
        <is>
          <t>Gross domestic product (GDP), Current prices, Per capita, Domestic currency</t>
        </is>
      </c>
      <c r="G3273" s="3" t="n"/>
      <c r="H3273" s="3" t="n"/>
      <c r="I3273" s="3" t="n"/>
      <c r="J3273" s="3" t="n"/>
      <c r="K3273" s="3" t="n"/>
      <c r="L3273" s="3" t="n"/>
      <c r="M3273" s="3" t="n"/>
      <c r="N3273" s="3" t="n"/>
      <c r="O3273" s="3" t="n"/>
      <c r="P3273" s="3" t="n"/>
      <c r="Q3273" s="3" t="n"/>
      <c r="R3273" s="3" t="n"/>
      <c r="S3273" s="3" t="n"/>
      <c r="T3273" s="3" t="n"/>
      <c r="U3273" s="3" t="n">
        <v>224677.265241</v>
      </c>
      <c r="V3273" s="3" t="n">
        <v>168992.741764</v>
      </c>
      <c r="W3273" s="3" t="n">
        <v>195383.995541</v>
      </c>
      <c r="X3273" s="3" t="n">
        <v>261434.847017</v>
      </c>
      <c r="Y3273" s="3" t="n">
        <v>401585.781307</v>
      </c>
      <c r="Z3273" s="3" t="n">
        <v>468364.653915</v>
      </c>
      <c r="AA3273" s="3" t="n">
        <v>492732.085917</v>
      </c>
      <c r="AB3273" s="3" t="n">
        <v>627663.01057</v>
      </c>
      <c r="AC3273" s="3" t="n">
        <v>721090.001021</v>
      </c>
      <c r="AD3273" s="3" t="n">
        <v>715839.98306</v>
      </c>
      <c r="AE3273" s="3" t="n">
        <v>802335.00109</v>
      </c>
      <c r="AF3273" s="3" t="n">
        <v>885273.824029</v>
      </c>
      <c r="AG3273" s="3" t="n">
        <v>1004649.252856</v>
      </c>
      <c r="AH3273" s="3" t="n">
        <v>1126563.472046</v>
      </c>
      <c r="AI3273" s="3" t="n">
        <v>1230901.682147</v>
      </c>
      <c r="AJ3273" s="3" t="n">
        <v>1333238.983688</v>
      </c>
      <c r="AK3273" s="3" t="n">
        <v>1438634.004035</v>
      </c>
      <c r="AL3273" s="3" t="n">
        <v>1528392.850101</v>
      </c>
      <c r="AM3273" s="3" t="n"/>
      <c r="AN3273" s="3" t="n"/>
      <c r="AO3273" s="3" t="n"/>
      <c r="AP3273" s="3" t="n"/>
      <c r="AQ3273" s="3" t="n"/>
      <c r="AR3273" s="3" t="n"/>
      <c r="AS3273" s="3" t="n"/>
      <c r="AT3273" s="3" t="n"/>
      <c r="AU3273" s="3" t="n"/>
    </row>
    <row r="3274">
      <c r="A3274" s="3" t="n">
        <v>2031</v>
      </c>
      <c r="B3274" s="3" t="inlineStr">
        <is>
          <t>YEM</t>
        </is>
      </c>
      <c r="C3274" s="3" t="inlineStr">
        <is>
          <t>IMF.RES:WEO</t>
        </is>
      </c>
      <c r="D3274" s="3" t="inlineStr">
        <is>
          <t>YEM.NGDPRPC.A</t>
        </is>
      </c>
      <c r="E3274" s="3" t="inlineStr">
        <is>
          <t>Yemen, Republic of</t>
        </is>
      </c>
      <c r="F3274" s="3" t="inlineStr">
        <is>
          <t>Gross domestic product (GDP), Constant prices, Per capita, Domestic currency</t>
        </is>
      </c>
      <c r="G3274" s="3" t="n"/>
      <c r="H3274" s="3" t="n"/>
      <c r="I3274" s="3" t="n"/>
      <c r="J3274" s="3" t="n"/>
      <c r="K3274" s="3" t="n"/>
      <c r="L3274" s="3" t="n"/>
      <c r="M3274" s="3" t="n"/>
      <c r="N3274" s="3" t="n"/>
      <c r="O3274" s="3" t="n"/>
      <c r="P3274" s="3" t="n"/>
      <c r="Q3274" s="3" t="n"/>
      <c r="R3274" s="3" t="n"/>
      <c r="S3274" s="3" t="n"/>
      <c r="T3274" s="3" t="n"/>
      <c r="U3274" s="3" t="n">
        <v>256298.28343</v>
      </c>
      <c r="V3274" s="3" t="n">
        <v>168992.741764</v>
      </c>
      <c r="W3274" s="3" t="n">
        <v>156821.264672</v>
      </c>
      <c r="X3274" s="3" t="n">
        <v>158245.618314</v>
      </c>
      <c r="Y3274" s="3" t="n">
        <v>166620.986993</v>
      </c>
      <c r="Z3274" s="3" t="n">
        <v>169304.583481</v>
      </c>
      <c r="AA3274" s="3" t="n">
        <v>164935.266279</v>
      </c>
      <c r="AB3274" s="3" t="n">
        <v>170122.560524</v>
      </c>
      <c r="AC3274" s="3" t="n">
        <v>164517.420697</v>
      </c>
      <c r="AD3274" s="3" t="n">
        <v>144801.722746</v>
      </c>
      <c r="AE3274" s="3" t="n">
        <v>138492.075123</v>
      </c>
      <c r="AF3274" s="3" t="n">
        <v>133730.695959</v>
      </c>
      <c r="AG3274" s="3" t="n">
        <v>130500.625855</v>
      </c>
      <c r="AH3274" s="3" t="n">
        <v>128538.845798</v>
      </c>
      <c r="AI3274" s="3" t="n">
        <v>127924.596318</v>
      </c>
      <c r="AJ3274" s="3" t="n">
        <v>127340.856166</v>
      </c>
      <c r="AK3274" s="3" t="n">
        <v>126783.710247</v>
      </c>
      <c r="AL3274" s="3" t="n">
        <v>126229.001971</v>
      </c>
      <c r="AM3274" s="3" t="n"/>
      <c r="AN3274" s="3" t="n"/>
      <c r="AO3274" s="3" t="n"/>
      <c r="AP3274" s="3" t="n"/>
      <c r="AQ3274" s="3" t="n"/>
      <c r="AR3274" s="3" t="n"/>
      <c r="AS3274" s="3" t="n"/>
      <c r="AT3274" s="3" t="n"/>
      <c r="AU3274" s="3" t="n"/>
    </row>
    <row r="3275">
      <c r="A3275" s="3" t="n">
        <v>2031</v>
      </c>
      <c r="B3275" s="3" t="inlineStr">
        <is>
          <t>YEM</t>
        </is>
      </c>
      <c r="C3275" s="3" t="inlineStr">
        <is>
          <t>IMF.RES:WEO</t>
        </is>
      </c>
      <c r="D3275" s="3" t="inlineStr">
        <is>
          <t>YEM.PCPI.A</t>
        </is>
      </c>
      <c r="E3275" s="3" t="inlineStr">
        <is>
          <t>Yemen, Republic of</t>
        </is>
      </c>
      <c r="F3275" s="3" t="inlineStr">
        <is>
          <t>All Items, Consumer price index (CPI), Period average</t>
        </is>
      </c>
      <c r="G3275" s="3" t="n"/>
      <c r="H3275" s="3" t="n"/>
      <c r="I3275" s="3" t="n"/>
      <c r="J3275" s="3" t="n"/>
      <c r="K3275" s="3" t="n"/>
      <c r="L3275" s="3" t="n"/>
      <c r="M3275" s="3" t="n"/>
      <c r="N3275" s="3" t="n"/>
      <c r="O3275" s="3" t="n"/>
      <c r="P3275" s="3" t="n"/>
      <c r="Q3275" s="3" t="n"/>
      <c r="R3275" s="3" t="n"/>
      <c r="S3275" s="3" t="n"/>
      <c r="T3275" s="3" t="n"/>
      <c r="U3275" s="3" t="n">
        <v>100</v>
      </c>
      <c r="V3275" s="3" t="n">
        <v>122</v>
      </c>
      <c r="W3275" s="3" t="n">
        <v>147.986</v>
      </c>
      <c r="X3275" s="3" t="n">
        <v>192.973744</v>
      </c>
      <c r="Y3275" s="3" t="n">
        <v>257.881717</v>
      </c>
      <c r="Z3275" s="3" t="n">
        <v>316.086167</v>
      </c>
      <c r="AA3275" s="3" t="n">
        <v>412.650104</v>
      </c>
      <c r="AB3275" s="3" t="n">
        <v>659.520887</v>
      </c>
      <c r="AC3275" s="3" t="n">
        <v>899.853849</v>
      </c>
      <c r="AD3275" s="3" t="n">
        <v>1058.070661</v>
      </c>
      <c r="AE3275" s="3" t="n">
        <v>1339.139201</v>
      </c>
      <c r="AF3275" s="3" t="n">
        <v>1625.694611</v>
      </c>
      <c r="AG3275" s="3" t="n">
        <v>2056.503683</v>
      </c>
      <c r="AH3275" s="3" t="n">
        <v>2442.087827</v>
      </c>
      <c r="AI3275" s="3" t="n">
        <v>2851.508189</v>
      </c>
      <c r="AJ3275" s="3" t="n">
        <v>3251.535427</v>
      </c>
      <c r="AK3275" s="3" t="n">
        <v>3663.911505</v>
      </c>
      <c r="AL3275" s="3" t="n">
        <v>4033.943983</v>
      </c>
      <c r="AM3275" s="3" t="n"/>
      <c r="AN3275" s="3" t="n"/>
      <c r="AO3275" s="3" t="n"/>
      <c r="AP3275" s="3" t="n"/>
      <c r="AQ3275" s="3" t="n"/>
      <c r="AR3275" s="3" t="n"/>
      <c r="AS3275" s="3" t="n"/>
      <c r="AT3275" s="3" t="n"/>
      <c r="AU3275" s="3" t="n"/>
    </row>
    <row r="3276">
      <c r="A3276" s="3" t="n">
        <v>2031</v>
      </c>
      <c r="B3276" s="3" t="inlineStr">
        <is>
          <t>YEM</t>
        </is>
      </c>
      <c r="C3276" s="3" t="inlineStr">
        <is>
          <t>IMF.RES:WEO</t>
        </is>
      </c>
      <c r="D3276" s="3" t="inlineStr">
        <is>
          <t>YEM.PCPIPCH.A</t>
        </is>
      </c>
      <c r="E3276" s="3" t="inlineStr">
        <is>
          <t>Yemen, Republic of</t>
        </is>
      </c>
      <c r="F3276" s="3" t="inlineStr">
        <is>
          <t>All Items, Consumer price index (CPI), Period average, percent change</t>
        </is>
      </c>
      <c r="G3276" s="3" t="n"/>
      <c r="H3276" s="3" t="n"/>
      <c r="I3276" s="3" t="n"/>
      <c r="J3276" s="3" t="n"/>
      <c r="K3276" s="3" t="n"/>
      <c r="L3276" s="3" t="n"/>
      <c r="M3276" s="3" t="n"/>
      <c r="N3276" s="3" t="n"/>
      <c r="O3276" s="3" t="n"/>
      <c r="P3276" s="3" t="n"/>
      <c r="Q3276" s="3" t="n"/>
      <c r="R3276" s="3" t="n"/>
      <c r="S3276" s="3" t="n"/>
      <c r="T3276" s="3" t="n"/>
      <c r="U3276" s="3" t="n"/>
      <c r="V3276" s="3" t="n">
        <v>22</v>
      </c>
      <c r="W3276" s="3" t="n">
        <v>21.3</v>
      </c>
      <c r="X3276" s="3" t="n">
        <v>30.4</v>
      </c>
      <c r="Y3276" s="3" t="n">
        <v>33.63565</v>
      </c>
      <c r="Z3276" s="3" t="n">
        <v>22.570212</v>
      </c>
      <c r="AA3276" s="3" t="n">
        <v>30.549878</v>
      </c>
      <c r="AB3276" s="3" t="n">
        <v>59.825692</v>
      </c>
      <c r="AC3276" s="3" t="n">
        <v>36.440539</v>
      </c>
      <c r="AD3276" s="3" t="n">
        <v>17.582501</v>
      </c>
      <c r="AE3276" s="3" t="n">
        <v>26.56425</v>
      </c>
      <c r="AF3276" s="3" t="n">
        <v>21.398478</v>
      </c>
      <c r="AG3276" s="3" t="n">
        <v>26.5</v>
      </c>
      <c r="AH3276" s="3" t="n">
        <v>18.749499</v>
      </c>
      <c r="AI3276" s="3" t="n">
        <v>16.765178</v>
      </c>
      <c r="AJ3276" s="3" t="n">
        <v>14.02862</v>
      </c>
      <c r="AK3276" s="3" t="n">
        <v>12.682503</v>
      </c>
      <c r="AL3276" s="3" t="n">
        <v>10.099384</v>
      </c>
      <c r="AM3276" s="3" t="n"/>
      <c r="AN3276" s="3" t="n"/>
      <c r="AO3276" s="3" t="n"/>
      <c r="AP3276" s="3" t="n"/>
      <c r="AQ3276" s="3" t="n"/>
      <c r="AR3276" s="3" t="n"/>
      <c r="AS3276" s="3" t="n"/>
      <c r="AT3276" s="3" t="n"/>
      <c r="AU3276" s="3" t="n"/>
    </row>
    <row r="3277">
      <c r="A3277" s="3" t="n">
        <v>2031</v>
      </c>
      <c r="B3277" s="3" t="inlineStr">
        <is>
          <t>YEM</t>
        </is>
      </c>
      <c r="C3277" s="3" t="inlineStr">
        <is>
          <t>IMF.RES:WEO</t>
        </is>
      </c>
      <c r="D3277" s="3" t="inlineStr">
        <is>
          <t>YEM.PPPPC.A</t>
        </is>
      </c>
      <c r="E3277" s="3" t="inlineStr">
        <is>
          <t>Yemen, Republic of</t>
        </is>
      </c>
      <c r="F3277" s="3" t="inlineStr">
        <is>
          <t>Gross domestic product (GDP), Per capita, purchasing power parity (PPP) international dollar, ICP benchmarks 2017-2021</t>
        </is>
      </c>
      <c r="G3277" s="3" t="n"/>
      <c r="H3277" s="3" t="n"/>
      <c r="I3277" s="3" t="n"/>
      <c r="J3277" s="3" t="n"/>
      <c r="K3277" s="3" t="n"/>
      <c r="L3277" s="3" t="n"/>
      <c r="M3277" s="3" t="n"/>
      <c r="N3277" s="3" t="n"/>
      <c r="O3277" s="3" t="n"/>
      <c r="P3277" s="3" t="n"/>
      <c r="Q3277" s="3" t="n"/>
      <c r="R3277" s="3" t="n"/>
      <c r="S3277" s="3" t="n"/>
      <c r="T3277" s="3" t="n"/>
      <c r="U3277" s="3" t="n">
        <v>2278.194886</v>
      </c>
      <c r="V3277" s="3" t="n">
        <v>1516.09049</v>
      </c>
      <c r="W3277" s="3" t="n">
        <v>1420.26475</v>
      </c>
      <c r="X3277" s="3" t="n">
        <v>1458.830921</v>
      </c>
      <c r="Y3277" s="3" t="n">
        <v>1571.229025</v>
      </c>
      <c r="Z3277" s="3" t="n">
        <v>1622.888236</v>
      </c>
      <c r="AA3277" s="3" t="n">
        <v>1602.264447</v>
      </c>
      <c r="AB3277" s="3" t="n">
        <v>1728.070124</v>
      </c>
      <c r="AC3277" s="3" t="n">
        <v>1789.992249</v>
      </c>
      <c r="AD3277" s="3" t="n">
        <v>1633.773635</v>
      </c>
      <c r="AE3277" s="3" t="n">
        <v>1601.374757</v>
      </c>
      <c r="AF3277" s="3" t="n">
        <v>1590.18471</v>
      </c>
      <c r="AG3277" s="3" t="n">
        <v>1596.232186</v>
      </c>
      <c r="AH3277" s="3" t="n">
        <v>1606.761239</v>
      </c>
      <c r="AI3277" s="3" t="n">
        <v>1625.330194</v>
      </c>
      <c r="AJ3277" s="3" t="n">
        <v>1646.681815</v>
      </c>
      <c r="AK3277" s="3" t="n">
        <v>1669.603032</v>
      </c>
      <c r="AL3277" s="3" t="n">
        <v>1692.307627</v>
      </c>
      <c r="AM3277" s="3" t="n"/>
      <c r="AN3277" s="3" t="n"/>
      <c r="AO3277" s="3" t="n"/>
      <c r="AP3277" s="3" t="n"/>
      <c r="AQ3277" s="3" t="n"/>
      <c r="AR3277" s="3" t="n"/>
      <c r="AS3277" s="3" t="n"/>
      <c r="AT3277" s="3" t="n"/>
      <c r="AU3277" s="3" t="n"/>
    </row>
    <row r="3278">
      <c r="A3278" s="3" t="n">
        <v>2025</v>
      </c>
      <c r="B3278" s="3" t="inlineStr">
        <is>
          <t>YEM</t>
        </is>
      </c>
      <c r="C3278" s="3" t="inlineStr">
        <is>
          <t>IMF.STA:ER</t>
        </is>
      </c>
      <c r="D3278" s="3" t="inlineStr">
        <is>
          <t>YEM.XDC_USD.PA_RT.A</t>
        </is>
      </c>
      <c r="E3278" s="3" t="inlineStr">
        <is>
          <t>Yemen, Republic of</t>
        </is>
      </c>
      <c r="F3278" s="3" t="inlineStr">
        <is>
          <t>Domestic currency per US Dollar</t>
        </is>
      </c>
      <c r="G3278" s="3" t="n">
        <v>161.718333333333</v>
      </c>
      <c r="H3278" s="3" t="n">
        <v>168.671666666666</v>
      </c>
      <c r="I3278" s="3" t="n">
        <v>175.625</v>
      </c>
      <c r="J3278" s="3" t="n">
        <v>183.448333333333</v>
      </c>
      <c r="K3278" s="3" t="n">
        <v>184.775833333333</v>
      </c>
      <c r="L3278" s="3" t="n">
        <v>191.509166666666</v>
      </c>
      <c r="M3278" s="3" t="n">
        <v>197.049166666666</v>
      </c>
      <c r="N3278" s="3" t="n">
        <v>198.953333333333</v>
      </c>
      <c r="O3278" s="3" t="n">
        <v>199.764166666666</v>
      </c>
      <c r="P3278" s="3" t="n">
        <v>202.846666666666</v>
      </c>
      <c r="Q3278" s="3" t="n">
        <v>219.59</v>
      </c>
      <c r="R3278" s="3" t="n">
        <v>213.8</v>
      </c>
      <c r="S3278" s="3" t="n">
        <v>214.349166666666</v>
      </c>
      <c r="T3278" s="3" t="n">
        <v>214.89</v>
      </c>
      <c r="U3278" s="3" t="n">
        <v>214.89</v>
      </c>
      <c r="V3278" s="3" t="n">
        <v>230.833333333333</v>
      </c>
      <c r="W3278" s="3" t="n">
        <v>283.895833333333</v>
      </c>
      <c r="X3278" s="3" t="n">
        <v>282.195</v>
      </c>
      <c r="Y3278" s="3" t="n">
        <v>214.89</v>
      </c>
      <c r="Z3278" s="3" t="n">
        <v>486.730922939068</v>
      </c>
      <c r="AA3278" s="3" t="n">
        <v>743.005964356531</v>
      </c>
      <c r="AB3278" s="3" t="n">
        <v>1028.107754329</v>
      </c>
      <c r="AC3278" s="3" t="n">
        <v>1115.00238710662</v>
      </c>
      <c r="AD3278" s="3" t="n">
        <v>1355.11637864823</v>
      </c>
      <c r="AE3278" s="3" t="n">
        <v>1355.11637864823</v>
      </c>
      <c r="AF3278" s="3" t="n">
        <v>1355.11637864823</v>
      </c>
      <c r="AG3278" s="3" t="n"/>
      <c r="AH3278" s="3" t="n"/>
      <c r="AI3278" s="3" t="n"/>
      <c r="AJ3278" s="3" t="n"/>
      <c r="AK3278" s="3" t="n"/>
      <c r="AL3278" s="3" t="n"/>
      <c r="AM3278" s="3" t="n"/>
      <c r="AN3278" s="3" t="n"/>
      <c r="AO3278" s="3" t="n"/>
      <c r="AP3278" s="3" t="n"/>
      <c r="AQ3278" s="3" t="n"/>
      <c r="AR3278" s="3" t="n"/>
      <c r="AS3278" s="3" t="n"/>
      <c r="AT3278" s="3" t="n"/>
      <c r="AU3278" s="3" t="n"/>
    </row>
    <row r="3279">
      <c r="A3279" s="3" t="inlineStr">
        <is>
          <t>INDICATOR</t>
        </is>
      </c>
      <c r="B3279" s="3" t="inlineStr">
        <is>
          <t>YUG</t>
        </is>
      </c>
      <c r="C3279" s="3" t="inlineStr">
        <is>
          <t>IMF.STA:ER</t>
        </is>
      </c>
      <c r="D3279" s="3" t="inlineStr">
        <is>
          <t>YUG.XDC_USD.PA_RT.A</t>
        </is>
      </c>
      <c r="E3279" s="3" t="inlineStr">
        <is>
          <t>Yugoslavia, Socialist Federal Republic of</t>
        </is>
      </c>
      <c r="F3279" s="3" t="inlineStr">
        <is>
          <t>Domestic currency per US Dollar</t>
        </is>
      </c>
      <c r="G3279" s="3" t="n"/>
      <c r="H3279" s="3" t="n"/>
      <c r="I3279" s="3" t="n"/>
      <c r="J3279" s="3" t="n"/>
      <c r="K3279" s="3" t="n"/>
      <c r="L3279" s="3" t="n"/>
      <c r="M3279" s="3" t="n"/>
      <c r="N3279" s="3" t="n"/>
      <c r="O3279" s="3" t="n"/>
      <c r="P3279" s="3" t="n"/>
      <c r="Q3279" s="3" t="n"/>
      <c r="R3279" s="3" t="n"/>
      <c r="S3279" s="3" t="n"/>
      <c r="T3279" s="3" t="n"/>
      <c r="U3279" s="3" t="n"/>
      <c r="V3279" s="3" t="n"/>
      <c r="W3279" s="3" t="n"/>
      <c r="X3279" s="3" t="n"/>
      <c r="Y3279" s="3" t="n"/>
      <c r="Z3279" s="3" t="n"/>
      <c r="AA3279" s="3" t="n"/>
      <c r="AB3279" s="3" t="n"/>
      <c r="AC3279" s="3" t="n"/>
      <c r="AD3279" s="3" t="n"/>
      <c r="AE3279" s="3" t="n"/>
      <c r="AF3279" s="3" t="n"/>
      <c r="AG3279" s="3" t="n"/>
      <c r="AH3279" s="3" t="n"/>
      <c r="AI3279" s="3" t="n"/>
      <c r="AJ3279" s="3" t="n"/>
      <c r="AK3279" s="3" t="n"/>
      <c r="AL3279" s="3" t="n"/>
      <c r="AM3279" s="3" t="n"/>
      <c r="AN3279" s="3" t="n"/>
      <c r="AO3279" s="3" t="n"/>
      <c r="AP3279" s="3" t="n"/>
      <c r="AQ3279" s="3" t="n"/>
      <c r="AR3279" s="3" t="n"/>
      <c r="AS3279" s="3" t="n"/>
      <c r="AT3279" s="3" t="n"/>
      <c r="AU3279" s="3" t="n"/>
    </row>
    <row r="3280">
      <c r="A3280" s="3" t="n">
        <v>2031</v>
      </c>
      <c r="B3280" s="3" t="inlineStr">
        <is>
          <t>ZAF</t>
        </is>
      </c>
      <c r="C3280" s="3" t="inlineStr">
        <is>
          <t>IMF.RES:WEO</t>
        </is>
      </c>
      <c r="D3280" s="3" t="inlineStr">
        <is>
          <t>ZAF.BCA.A</t>
        </is>
      </c>
      <c r="E3280" s="3" t="inlineStr">
        <is>
          <t>South Africa</t>
        </is>
      </c>
      <c r="F3280" s="3" t="inlineStr">
        <is>
          <t>Current account balance (credit less debit), US dollar</t>
        </is>
      </c>
      <c r="G3280" s="3" t="n">
        <v>-0.171878</v>
      </c>
      <c r="H3280" s="3" t="n">
        <v>0.333488</v>
      </c>
      <c r="I3280" s="3" t="n">
        <v>1.043693</v>
      </c>
      <c r="J3280" s="3" t="n">
        <v>-1.447355</v>
      </c>
      <c r="K3280" s="3" t="n">
        <v>-6.332166</v>
      </c>
      <c r="L3280" s="3" t="n">
        <v>-8.063293</v>
      </c>
      <c r="M3280" s="3" t="n">
        <v>-12.247519</v>
      </c>
      <c r="N3280" s="3" t="n">
        <v>-16.120681</v>
      </c>
      <c r="O3280" s="3" t="n">
        <v>-15.880835</v>
      </c>
      <c r="P3280" s="3" t="n">
        <v>-8.062739000000001</v>
      </c>
      <c r="Q3280" s="3" t="n">
        <v>-5.575736</v>
      </c>
      <c r="R3280" s="3" t="n">
        <v>-9.203810000000001</v>
      </c>
      <c r="S3280" s="3" t="n">
        <v>-20.370974</v>
      </c>
      <c r="T3280" s="3" t="n">
        <v>-21.352653</v>
      </c>
      <c r="U3280" s="3" t="n">
        <v>-18.321269</v>
      </c>
      <c r="V3280" s="3" t="n">
        <v>-15.042874</v>
      </c>
      <c r="W3280" s="3" t="n">
        <v>-8.655882999999999</v>
      </c>
      <c r="X3280" s="3" t="n">
        <v>-9.028271</v>
      </c>
      <c r="Y3280" s="3" t="n">
        <v>-11.865326</v>
      </c>
      <c r="Z3280" s="3" t="n">
        <v>-10.137436</v>
      </c>
      <c r="AA3280" s="3" t="n">
        <v>6.653095</v>
      </c>
      <c r="AB3280" s="3" t="n">
        <v>15.669677</v>
      </c>
      <c r="AC3280" s="3" t="n">
        <v>-1.319542</v>
      </c>
      <c r="AD3280" s="3" t="n">
        <v>-4.140898</v>
      </c>
      <c r="AE3280" s="3" t="n">
        <v>-2.617905</v>
      </c>
      <c r="AF3280" s="3" t="n">
        <v>-2.306271</v>
      </c>
      <c r="AG3280" s="3" t="n">
        <v>-4.245318</v>
      </c>
      <c r="AH3280" s="3" t="n">
        <v>-6.88737</v>
      </c>
      <c r="AI3280" s="3" t="n">
        <v>-8.007472999999999</v>
      </c>
      <c r="AJ3280" s="3" t="n">
        <v>-9.309919000000001</v>
      </c>
      <c r="AK3280" s="3" t="n">
        <v>-10.042935</v>
      </c>
      <c r="AL3280" s="3" t="n">
        <v>-10.525153</v>
      </c>
      <c r="AM3280" s="3" t="n"/>
      <c r="AN3280" s="3" t="n"/>
      <c r="AO3280" s="3" t="n"/>
      <c r="AP3280" s="3" t="n"/>
      <c r="AQ3280" s="3" t="n"/>
      <c r="AR3280" s="3" t="n"/>
      <c r="AS3280" s="3" t="n"/>
      <c r="AT3280" s="3" t="n"/>
      <c r="AU3280" s="3" t="n"/>
    </row>
    <row r="3281">
      <c r="A3281" s="3" t="n">
        <v>2031</v>
      </c>
      <c r="B3281" s="3" t="inlineStr">
        <is>
          <t>ZAF</t>
        </is>
      </c>
      <c r="C3281" s="3" t="inlineStr">
        <is>
          <t>IMF.RES:WEO</t>
        </is>
      </c>
      <c r="D3281" s="3" t="inlineStr">
        <is>
          <t>ZAF.BCA_NGDPD.A</t>
        </is>
      </c>
      <c r="E3281" s="3" t="inlineStr">
        <is>
          <t>South Africa</t>
        </is>
      </c>
      <c r="F3281" s="3" t="inlineStr">
        <is>
          <t>Current account balance (credit less debit), Percent of GDP</t>
        </is>
      </c>
      <c r="G3281" s="3" t="n">
        <v>-0.113186</v>
      </c>
      <c r="H3281" s="3" t="n">
        <v>0.246067</v>
      </c>
      <c r="I3281" s="3" t="n">
        <v>0.806656</v>
      </c>
      <c r="J3281" s="3" t="n">
        <v>-0.734635</v>
      </c>
      <c r="K3281" s="3" t="n">
        <v>-2.471689</v>
      </c>
      <c r="L3281" s="3" t="n">
        <v>-2.792488</v>
      </c>
      <c r="M3281" s="3" t="n">
        <v>-4.028054</v>
      </c>
      <c r="N3281" s="3" t="n">
        <v>-4.84614</v>
      </c>
      <c r="O3281" s="3" t="n">
        <v>-5.017784</v>
      </c>
      <c r="P3281" s="3" t="n">
        <v>-2.434518</v>
      </c>
      <c r="Q3281" s="3" t="n">
        <v>-1.336099</v>
      </c>
      <c r="R3281" s="3" t="n">
        <v>-2.006464</v>
      </c>
      <c r="S3281" s="3" t="n">
        <v>-4.689454</v>
      </c>
      <c r="T3281" s="3" t="n">
        <v>-5.326484</v>
      </c>
      <c r="U3281" s="3" t="n">
        <v>-4.806268</v>
      </c>
      <c r="V3281" s="3" t="n">
        <v>-4.339335</v>
      </c>
      <c r="W3281" s="3" t="n">
        <v>-2.675754</v>
      </c>
      <c r="X3281" s="3" t="n">
        <v>-2.367654</v>
      </c>
      <c r="Y3281" s="3" t="n">
        <v>-2.92904</v>
      </c>
      <c r="Z3281" s="3" t="n">
        <v>-2.604384</v>
      </c>
      <c r="AA3281" s="3" t="n">
        <v>1.969094</v>
      </c>
      <c r="AB3281" s="3" t="n">
        <v>3.731963</v>
      </c>
      <c r="AC3281" s="3" t="n">
        <v>-0.323869</v>
      </c>
      <c r="AD3281" s="3" t="n">
        <v>-1.085899</v>
      </c>
      <c r="AE3281" s="3" t="n">
        <v>-0.652721</v>
      </c>
      <c r="AF3281" s="3" t="n">
        <v>-0.539933</v>
      </c>
      <c r="AG3281" s="3" t="n">
        <v>-0.884507</v>
      </c>
      <c r="AH3281" s="3" t="n">
        <v>-1.39305</v>
      </c>
      <c r="AI3281" s="3" t="n">
        <v>-1.560719</v>
      </c>
      <c r="AJ3281" s="3" t="n">
        <v>-1.745674</v>
      </c>
      <c r="AK3281" s="3" t="n">
        <v>-1.808678</v>
      </c>
      <c r="AL3281" s="3" t="n">
        <v>-1.821067</v>
      </c>
      <c r="AM3281" s="3" t="n"/>
      <c r="AN3281" s="3" t="n"/>
      <c r="AO3281" s="3" t="n"/>
      <c r="AP3281" s="3" t="n"/>
      <c r="AQ3281" s="3" t="n"/>
      <c r="AR3281" s="3" t="n"/>
      <c r="AS3281" s="3" t="n"/>
      <c r="AT3281" s="3" t="n"/>
      <c r="AU3281" s="3" t="n"/>
    </row>
    <row r="3282">
      <c r="A3282" s="3" t="n">
        <v>2031</v>
      </c>
      <c r="B3282" s="3" t="inlineStr">
        <is>
          <t>ZAF</t>
        </is>
      </c>
      <c r="C3282" s="3" t="inlineStr">
        <is>
          <t>IMF.RES:WEO</t>
        </is>
      </c>
      <c r="D3282" s="3" t="inlineStr">
        <is>
          <t>ZAF.GGR_NGDP.A</t>
        </is>
      </c>
      <c r="E3282" s="3" t="inlineStr">
        <is>
          <t>South Africa</t>
        </is>
      </c>
      <c r="F3282" s="3" t="inlineStr">
        <is>
          <t>Revenue, General government, Percent of GDP</t>
        </is>
      </c>
      <c r="G3282" s="3" t="n">
        <v>21.263669</v>
      </c>
      <c r="H3282" s="3" t="n">
        <v>21.604705</v>
      </c>
      <c r="I3282" s="3" t="n">
        <v>21.255164</v>
      </c>
      <c r="J3282" s="3" t="n">
        <v>21.030675</v>
      </c>
      <c r="K3282" s="3" t="n">
        <v>21.663741</v>
      </c>
      <c r="L3282" s="3" t="n">
        <v>25.038861</v>
      </c>
      <c r="M3282" s="3" t="n">
        <v>25.479905</v>
      </c>
      <c r="N3282" s="3" t="n">
        <v>25.643871</v>
      </c>
      <c r="O3282" s="3" t="n">
        <v>25.520592</v>
      </c>
      <c r="P3282" s="3" t="n">
        <v>23.790093</v>
      </c>
      <c r="Q3282" s="3" t="n">
        <v>23.826319</v>
      </c>
      <c r="R3282" s="3" t="n">
        <v>24.375246</v>
      </c>
      <c r="S3282" s="3" t="n">
        <v>24.579209</v>
      </c>
      <c r="T3282" s="3" t="n">
        <v>25.005888</v>
      </c>
      <c r="U3282" s="3" t="n">
        <v>25.394725</v>
      </c>
      <c r="V3282" s="3" t="n">
        <v>25.790097</v>
      </c>
      <c r="W3282" s="3" t="n">
        <v>26.183574</v>
      </c>
      <c r="X3282" s="3" t="n">
        <v>25.844125</v>
      </c>
      <c r="Y3282" s="3" t="n">
        <v>26.420025</v>
      </c>
      <c r="Z3282" s="3" t="n">
        <v>26.321708</v>
      </c>
      <c r="AA3282" s="3" t="n">
        <v>24.994359</v>
      </c>
      <c r="AB3282" s="3" t="n">
        <v>27.113666</v>
      </c>
      <c r="AC3282" s="3" t="n">
        <v>27.639104</v>
      </c>
      <c r="AD3282" s="3" t="n">
        <v>26.911085</v>
      </c>
      <c r="AE3282" s="3" t="n">
        <v>27.301043</v>
      </c>
      <c r="AF3282" s="3" t="n">
        <v>28.376875</v>
      </c>
      <c r="AG3282" s="3" t="n">
        <v>28.464786</v>
      </c>
      <c r="AH3282" s="3" t="n">
        <v>28.53141</v>
      </c>
      <c r="AI3282" s="3" t="n">
        <v>28.666405</v>
      </c>
      <c r="AJ3282" s="3" t="n">
        <v>28.688581</v>
      </c>
      <c r="AK3282" s="3" t="n">
        <v>28.682376</v>
      </c>
      <c r="AL3282" s="3" t="n">
        <v>28.677147</v>
      </c>
      <c r="AM3282" s="3" t="n"/>
      <c r="AN3282" s="3" t="n"/>
      <c r="AO3282" s="3" t="n"/>
      <c r="AP3282" s="3" t="n"/>
      <c r="AQ3282" s="3" t="n"/>
      <c r="AR3282" s="3" t="n"/>
      <c r="AS3282" s="3" t="n"/>
      <c r="AT3282" s="3" t="n"/>
      <c r="AU3282" s="3" t="n"/>
    </row>
    <row r="3283">
      <c r="A3283" s="3" t="n">
        <v>2031</v>
      </c>
      <c r="B3283" s="3" t="inlineStr">
        <is>
          <t>ZAF</t>
        </is>
      </c>
      <c r="C3283" s="3" t="inlineStr">
        <is>
          <t>IMF.RES:WEO</t>
        </is>
      </c>
      <c r="D3283" s="3" t="inlineStr">
        <is>
          <t>ZAF.GGX_NGDP.A</t>
        </is>
      </c>
      <c r="E3283" s="3" t="inlineStr">
        <is>
          <t>South Africa</t>
        </is>
      </c>
      <c r="F3283" s="3" t="inlineStr">
        <is>
          <t>Expenditure, General government, Percent of GDP</t>
        </is>
      </c>
      <c r="G3283" s="3" t="n">
        <v>22.646444</v>
      </c>
      <c r="H3283" s="3" t="n">
        <v>22.620168</v>
      </c>
      <c r="I3283" s="3" t="n">
        <v>22.213312</v>
      </c>
      <c r="J3283" s="3" t="n">
        <v>22.618848</v>
      </c>
      <c r="K3283" s="3" t="n">
        <v>22.707678</v>
      </c>
      <c r="L3283" s="3" t="n">
        <v>25.140367</v>
      </c>
      <c r="M3283" s="3" t="n">
        <v>24.666602</v>
      </c>
      <c r="N3283" s="3" t="n">
        <v>24.428556</v>
      </c>
      <c r="O3283" s="3" t="n">
        <v>26.008532</v>
      </c>
      <c r="P3283" s="3" t="n">
        <v>28.457427</v>
      </c>
      <c r="Q3283" s="3" t="n">
        <v>28.34047</v>
      </c>
      <c r="R3283" s="3" t="n">
        <v>28.079521</v>
      </c>
      <c r="S3283" s="3" t="n">
        <v>28.618683</v>
      </c>
      <c r="T3283" s="3" t="n">
        <v>28.910084</v>
      </c>
      <c r="U3283" s="3" t="n">
        <v>29.32106</v>
      </c>
      <c r="V3283" s="3" t="n">
        <v>30.16409</v>
      </c>
      <c r="W3283" s="3" t="n">
        <v>29.908567</v>
      </c>
      <c r="X3283" s="3" t="n">
        <v>29.859959</v>
      </c>
      <c r="Y3283" s="3" t="n">
        <v>30.152286</v>
      </c>
      <c r="Z3283" s="3" t="n">
        <v>31.393811</v>
      </c>
      <c r="AA3283" s="3" t="n">
        <v>34.615744</v>
      </c>
      <c r="AB3283" s="3" t="n">
        <v>32.653896</v>
      </c>
      <c r="AC3283" s="3" t="n">
        <v>31.888963</v>
      </c>
      <c r="AD3283" s="3" t="n">
        <v>32.510979</v>
      </c>
      <c r="AE3283" s="3" t="n">
        <v>32.971932</v>
      </c>
      <c r="AF3283" s="3" t="n">
        <v>34.159312</v>
      </c>
      <c r="AG3283" s="3" t="n">
        <v>33.333085</v>
      </c>
      <c r="AH3283" s="3" t="n">
        <v>32.869459</v>
      </c>
      <c r="AI3283" s="3" t="n">
        <v>33.02819</v>
      </c>
      <c r="AJ3283" s="3" t="n">
        <v>32.777717</v>
      </c>
      <c r="AK3283" s="3" t="n">
        <v>32.614828</v>
      </c>
      <c r="AL3283" s="3" t="n">
        <v>32.592016</v>
      </c>
      <c r="AM3283" s="3" t="n"/>
      <c r="AN3283" s="3" t="n"/>
      <c r="AO3283" s="3" t="n"/>
      <c r="AP3283" s="3" t="n"/>
      <c r="AQ3283" s="3" t="n"/>
      <c r="AR3283" s="3" t="n"/>
      <c r="AS3283" s="3" t="n"/>
      <c r="AT3283" s="3" t="n"/>
      <c r="AU3283" s="3" t="n"/>
    </row>
    <row r="3284">
      <c r="A3284" s="3" t="n">
        <v>2031</v>
      </c>
      <c r="B3284" s="3" t="inlineStr">
        <is>
          <t>ZAF</t>
        </is>
      </c>
      <c r="C3284" s="3" t="inlineStr">
        <is>
          <t>IMF.RES:WEO</t>
        </is>
      </c>
      <c r="D3284" s="3" t="inlineStr">
        <is>
          <t>ZAF.LP.A</t>
        </is>
      </c>
      <c r="E3284" s="3" t="inlineStr">
        <is>
          <t>South Africa</t>
        </is>
      </c>
      <c r="F3284" s="3" t="inlineStr">
        <is>
          <t>Population, Persons for countries / Index for country groups</t>
        </is>
      </c>
      <c r="G3284" s="3" t="n">
        <v>44.9</v>
      </c>
      <c r="H3284" s="3" t="n">
        <v>45.724</v>
      </c>
      <c r="I3284" s="3" t="n">
        <v>46.573</v>
      </c>
      <c r="J3284" s="3" t="n">
        <v>47.005</v>
      </c>
      <c r="K3284" s="3" t="n">
        <v>47.505</v>
      </c>
      <c r="L3284" s="3" t="n">
        <v>48.061</v>
      </c>
      <c r="M3284" s="3" t="n">
        <v>48.642</v>
      </c>
      <c r="N3284" s="3" t="n">
        <v>49.373415</v>
      </c>
      <c r="O3284" s="3" t="n">
        <v>50.068486</v>
      </c>
      <c r="P3284" s="3" t="n">
        <v>50.783099</v>
      </c>
      <c r="Q3284" s="3" t="n">
        <v>51.507827</v>
      </c>
      <c r="R3284" s="3" t="n">
        <v>52.285283</v>
      </c>
      <c r="S3284" s="3" t="n">
        <v>53.125563</v>
      </c>
      <c r="T3284" s="3" t="n">
        <v>53.960768</v>
      </c>
      <c r="U3284" s="3" t="n">
        <v>54.837001</v>
      </c>
      <c r="V3284" s="3" t="n">
        <v>55.669436</v>
      </c>
      <c r="W3284" s="3" t="n">
        <v>56.436023</v>
      </c>
      <c r="X3284" s="3" t="n">
        <v>57.210747</v>
      </c>
      <c r="Y3284" s="3" t="n">
        <v>58.038876</v>
      </c>
      <c r="Z3284" s="3" t="n">
        <v>58.889765</v>
      </c>
      <c r="AA3284" s="3" t="n">
        <v>59.694268</v>
      </c>
      <c r="AB3284" s="3" t="n">
        <v>60.234725</v>
      </c>
      <c r="AC3284" s="3" t="n">
        <v>60.867031</v>
      </c>
      <c r="AD3284" s="3" t="n">
        <v>61.57835</v>
      </c>
      <c r="AE3284" s="3" t="n">
        <v>62.328654</v>
      </c>
      <c r="AF3284" s="3" t="n">
        <v>63.101</v>
      </c>
      <c r="AG3284" s="3" t="n">
        <v>63.969922</v>
      </c>
      <c r="AH3284" s="3" t="n">
        <v>64.85081</v>
      </c>
      <c r="AI3284" s="3" t="n">
        <v>65.743827</v>
      </c>
      <c r="AJ3284" s="3" t="n">
        <v>66.649142</v>
      </c>
      <c r="AK3284" s="3" t="n">
        <v>67.566923</v>
      </c>
      <c r="AL3284" s="3" t="n">
        <v>68.497343</v>
      </c>
      <c r="AM3284" s="3" t="n"/>
      <c r="AN3284" s="3" t="n"/>
      <c r="AO3284" s="3" t="n"/>
      <c r="AP3284" s="3" t="n"/>
      <c r="AQ3284" s="3" t="n"/>
      <c r="AR3284" s="3" t="n"/>
      <c r="AS3284" s="3" t="n"/>
      <c r="AT3284" s="3" t="n"/>
      <c r="AU3284" s="3" t="n"/>
    </row>
    <row r="3285">
      <c r="A3285" s="3" t="n">
        <v>2031</v>
      </c>
      <c r="B3285" s="3" t="inlineStr">
        <is>
          <t>ZAF</t>
        </is>
      </c>
      <c r="C3285" s="3" t="inlineStr">
        <is>
          <t>IMF.RES:WEO</t>
        </is>
      </c>
      <c r="D3285" s="3" t="inlineStr">
        <is>
          <t>ZAF.NGDP.A</t>
        </is>
      </c>
      <c r="E3285" s="3" t="inlineStr">
        <is>
          <t>South Africa</t>
        </is>
      </c>
      <c r="F3285" s="3" t="inlineStr">
        <is>
          <t>Gross domestic product (GDP), Current prices, Domestic currency</t>
        </is>
      </c>
      <c r="G3285" s="3" t="n">
        <v>1053.138</v>
      </c>
      <c r="H3285" s="3" t="n">
        <v>1165.941</v>
      </c>
      <c r="I3285" s="3" t="n">
        <v>1360.679</v>
      </c>
      <c r="J3285" s="3" t="n">
        <v>1490.399</v>
      </c>
      <c r="K3285" s="3" t="n">
        <v>1652.433</v>
      </c>
      <c r="L3285" s="3" t="n">
        <v>1837</v>
      </c>
      <c r="M3285" s="3" t="n">
        <v>2057.594</v>
      </c>
      <c r="N3285" s="3" t="n">
        <v>2346.651</v>
      </c>
      <c r="O3285" s="3" t="n">
        <v>2611.631</v>
      </c>
      <c r="P3285" s="3" t="n">
        <v>2794.229</v>
      </c>
      <c r="Q3285" s="3" t="n">
        <v>3055.613</v>
      </c>
      <c r="R3285" s="3" t="n">
        <v>3327.047</v>
      </c>
      <c r="S3285" s="3" t="n">
        <v>3566.385</v>
      </c>
      <c r="T3285" s="3" t="n">
        <v>3868.631</v>
      </c>
      <c r="U3285" s="3" t="n">
        <v>4133.873</v>
      </c>
      <c r="V3285" s="3" t="n">
        <v>4420.793</v>
      </c>
      <c r="W3285" s="3" t="n">
        <v>4759.555</v>
      </c>
      <c r="X3285" s="3" t="n">
        <v>5078.191</v>
      </c>
      <c r="Y3285" s="3" t="n">
        <v>5363.19</v>
      </c>
      <c r="Z3285" s="3" t="n">
        <v>5625.207</v>
      </c>
      <c r="AA3285" s="3" t="n">
        <v>5562.76</v>
      </c>
      <c r="AB3285" s="3" t="n">
        <v>6206.841</v>
      </c>
      <c r="AC3285" s="3" t="n">
        <v>6666.581</v>
      </c>
      <c r="AD3285" s="3" t="n">
        <v>7037.674</v>
      </c>
      <c r="AE3285" s="3" t="n">
        <v>7352.45</v>
      </c>
      <c r="AF3285" s="3" t="n">
        <v>7641.793</v>
      </c>
      <c r="AG3285" s="3" t="n">
        <v>8015.405814</v>
      </c>
      <c r="AH3285" s="3" t="n">
        <v>8390.593498</v>
      </c>
      <c r="AI3285" s="3" t="n">
        <v>8777.402091</v>
      </c>
      <c r="AJ3285" s="3" t="n">
        <v>9193.729191</v>
      </c>
      <c r="AK3285" s="3" t="n">
        <v>9645.116475999999</v>
      </c>
      <c r="AL3285" s="3" t="n">
        <v>10116.471728</v>
      </c>
      <c r="AM3285" s="3" t="n"/>
      <c r="AN3285" s="3" t="n"/>
      <c r="AO3285" s="3" t="n"/>
      <c r="AP3285" s="3" t="n"/>
      <c r="AQ3285" s="3" t="n"/>
      <c r="AR3285" s="3" t="n"/>
      <c r="AS3285" s="3" t="n"/>
      <c r="AT3285" s="3" t="n"/>
      <c r="AU3285" s="3" t="n"/>
    </row>
    <row r="3286">
      <c r="A3286" s="3" t="n">
        <v>2031</v>
      </c>
      <c r="B3286" s="3" t="inlineStr">
        <is>
          <t>ZAF</t>
        </is>
      </c>
      <c r="C3286" s="3" t="inlineStr">
        <is>
          <t>IMF.RES:WEO</t>
        </is>
      </c>
      <c r="D3286" s="3" t="inlineStr">
        <is>
          <t>ZAF.NGDP_D.A</t>
        </is>
      </c>
      <c r="E3286" s="3" t="inlineStr">
        <is>
          <t>South Africa</t>
        </is>
      </c>
      <c r="F3286" s="3" t="inlineStr">
        <is>
          <t>Gross domestic product (GDP), Price deflator, Index</t>
        </is>
      </c>
      <c r="G3286" s="3" t="n">
        <v>37.256432</v>
      </c>
      <c r="H3286" s="3" t="n">
        <v>40.162636</v>
      </c>
      <c r="I3286" s="3" t="n">
        <v>45.19818</v>
      </c>
      <c r="J3286" s="3" t="n">
        <v>48.088959</v>
      </c>
      <c r="K3286" s="3" t="n">
        <v>50.994534</v>
      </c>
      <c r="L3286" s="3" t="n">
        <v>53.848702</v>
      </c>
      <c r="M3286" s="3" t="n">
        <v>57.114473</v>
      </c>
      <c r="N3286" s="3" t="n">
        <v>61.82403</v>
      </c>
      <c r="O3286" s="3" t="n">
        <v>66.677398</v>
      </c>
      <c r="P3286" s="3" t="n">
        <v>72.45369700000001</v>
      </c>
      <c r="Q3286" s="3" t="n">
        <v>76.893942</v>
      </c>
      <c r="R3286" s="3" t="n">
        <v>81.153149</v>
      </c>
      <c r="S3286" s="3" t="n">
        <v>84.955354</v>
      </c>
      <c r="T3286" s="3" t="n">
        <v>89.920254</v>
      </c>
      <c r="U3286" s="3" t="n">
        <v>94.745845</v>
      </c>
      <c r="V3286" s="3" t="n">
        <v>100</v>
      </c>
      <c r="W3286" s="3" t="n">
        <v>106.952182</v>
      </c>
      <c r="X3286" s="3" t="n">
        <v>112.806023</v>
      </c>
      <c r="Y3286" s="3" t="n">
        <v>117.310686</v>
      </c>
      <c r="Z3286" s="3" t="n">
        <v>122.722855</v>
      </c>
      <c r="AA3286" s="3" t="n">
        <v>129.33932</v>
      </c>
      <c r="AB3286" s="3" t="n">
        <v>137.627936</v>
      </c>
      <c r="AC3286" s="3" t="n">
        <v>144.840973</v>
      </c>
      <c r="AD3286" s="3" t="n">
        <v>151.680808</v>
      </c>
      <c r="AE3286" s="3" t="n">
        <v>157.622034</v>
      </c>
      <c r="AF3286" s="3" t="n">
        <v>162.019068</v>
      </c>
      <c r="AG3286" s="3" t="n">
        <v>168.176128</v>
      </c>
      <c r="AH3286" s="3" t="n">
        <v>173.874734</v>
      </c>
      <c r="AI3286" s="3" t="n">
        <v>179.115901</v>
      </c>
      <c r="AJ3286" s="3" t="n">
        <v>184.530021</v>
      </c>
      <c r="AK3286" s="3" t="n">
        <v>190.110917</v>
      </c>
      <c r="AL3286" s="3" t="n">
        <v>195.861063</v>
      </c>
      <c r="AM3286" s="3" t="n"/>
      <c r="AN3286" s="3" t="n"/>
      <c r="AO3286" s="3" t="n"/>
      <c r="AP3286" s="3" t="n"/>
      <c r="AQ3286" s="3" t="n"/>
      <c r="AR3286" s="3" t="n"/>
      <c r="AS3286" s="3" t="n"/>
      <c r="AT3286" s="3" t="n"/>
      <c r="AU3286" s="3" t="n"/>
    </row>
    <row r="3287">
      <c r="A3287" s="3" t="n">
        <v>2031</v>
      </c>
      <c r="B3287" s="3" t="inlineStr">
        <is>
          <t>ZAF</t>
        </is>
      </c>
      <c r="C3287" s="3" t="inlineStr">
        <is>
          <t>IMF.RES:WEO</t>
        </is>
      </c>
      <c r="D3287" s="3" t="inlineStr">
        <is>
          <t>ZAF.NGDP_R.A</t>
        </is>
      </c>
      <c r="E3287" s="3" t="inlineStr">
        <is>
          <t>South Africa</t>
        </is>
      </c>
      <c r="F3287" s="3" t="inlineStr">
        <is>
          <t>Gross domestic product (GDP), Constant prices, Domestic currency</t>
        </is>
      </c>
      <c r="G3287" s="3" t="n">
        <v>2826.728</v>
      </c>
      <c r="H3287" s="3" t="n">
        <v>2903.049</v>
      </c>
      <c r="I3287" s="3" t="n">
        <v>3010.473</v>
      </c>
      <c r="J3287" s="3" t="n">
        <v>3099.254</v>
      </c>
      <c r="K3287" s="3" t="n">
        <v>3240.412</v>
      </c>
      <c r="L3287" s="3" t="n">
        <v>3411.41</v>
      </c>
      <c r="M3287" s="3" t="n">
        <v>3602.579</v>
      </c>
      <c r="N3287" s="3" t="n">
        <v>3795.694</v>
      </c>
      <c r="O3287" s="3" t="n">
        <v>3916.816</v>
      </c>
      <c r="P3287" s="3" t="n">
        <v>3856.572</v>
      </c>
      <c r="Q3287" s="3" t="n">
        <v>3973.802</v>
      </c>
      <c r="R3287" s="3" t="n">
        <v>4099.714</v>
      </c>
      <c r="S3287" s="3" t="n">
        <v>4197.952</v>
      </c>
      <c r="T3287" s="3" t="n">
        <v>4302.291</v>
      </c>
      <c r="U3287" s="3" t="n">
        <v>4363.118</v>
      </c>
      <c r="V3287" s="3" t="n">
        <v>4420.793</v>
      </c>
      <c r="W3287" s="3" t="n">
        <v>4450.171</v>
      </c>
      <c r="X3287" s="3" t="n">
        <v>4501.702</v>
      </c>
      <c r="Y3287" s="3" t="n">
        <v>4571.783</v>
      </c>
      <c r="Z3287" s="3" t="n">
        <v>4583.667</v>
      </c>
      <c r="AA3287" s="3" t="n">
        <v>4300.904</v>
      </c>
      <c r="AB3287" s="3" t="n">
        <v>4509.87</v>
      </c>
      <c r="AC3287" s="3" t="n">
        <v>4602.69</v>
      </c>
      <c r="AD3287" s="3" t="n">
        <v>4639.792</v>
      </c>
      <c r="AE3287" s="3" t="n">
        <v>4664.608</v>
      </c>
      <c r="AF3287" s="3" t="n">
        <v>4716.601</v>
      </c>
      <c r="AG3287" s="3" t="n">
        <v>4766.078234</v>
      </c>
      <c r="AH3287" s="3" t="n">
        <v>4825.654247</v>
      </c>
      <c r="AI3287" s="3" t="n">
        <v>4900.403626</v>
      </c>
      <c r="AJ3287" s="3" t="n">
        <v>4982.240364</v>
      </c>
      <c r="AK3287" s="3" t="n">
        <v>5073.415358</v>
      </c>
      <c r="AL3287" s="3" t="n">
        <v>5165.126518</v>
      </c>
      <c r="AM3287" s="3" t="n"/>
      <c r="AN3287" s="3" t="n"/>
      <c r="AO3287" s="3" t="n"/>
      <c r="AP3287" s="3" t="n"/>
      <c r="AQ3287" s="3" t="n"/>
      <c r="AR3287" s="3" t="n"/>
      <c r="AS3287" s="3" t="n"/>
      <c r="AT3287" s="3" t="n"/>
      <c r="AU3287" s="3" t="n"/>
    </row>
    <row r="3288">
      <c r="A3288" s="3" t="n">
        <v>2031</v>
      </c>
      <c r="B3288" s="3" t="inlineStr">
        <is>
          <t>ZAF</t>
        </is>
      </c>
      <c r="C3288" s="3" t="inlineStr">
        <is>
          <t>IMF.RES:WEO</t>
        </is>
      </c>
      <c r="D3288" s="3" t="inlineStr">
        <is>
          <t>ZAF.NGDP_RPCH.A</t>
        </is>
      </c>
      <c r="E3288" s="3" t="inlineStr">
        <is>
          <t>South Africa</t>
        </is>
      </c>
      <c r="F3288" s="3" t="inlineStr">
        <is>
          <t>Gross domestic product (GDP), Constant prices, Percent change</t>
        </is>
      </c>
      <c r="G3288" s="3" t="n">
        <v>4.199992</v>
      </c>
      <c r="H3288" s="3" t="n">
        <v>2.699977</v>
      </c>
      <c r="I3288" s="3" t="n">
        <v>3.700385</v>
      </c>
      <c r="J3288" s="3" t="n">
        <v>2.949071</v>
      </c>
      <c r="K3288" s="3" t="n">
        <v>4.55458</v>
      </c>
      <c r="L3288" s="3" t="n">
        <v>5.277045</v>
      </c>
      <c r="M3288" s="3" t="n">
        <v>5.603812</v>
      </c>
      <c r="N3288" s="3" t="n">
        <v>5.360465</v>
      </c>
      <c r="O3288" s="3" t="n">
        <v>3.191037</v>
      </c>
      <c r="P3288" s="3" t="n">
        <v>-1.538086</v>
      </c>
      <c r="Q3288" s="3" t="n">
        <v>3.039746</v>
      </c>
      <c r="R3288" s="3" t="n">
        <v>3.168552</v>
      </c>
      <c r="S3288" s="3" t="n">
        <v>2.396216</v>
      </c>
      <c r="T3288" s="3" t="n">
        <v>2.485474</v>
      </c>
      <c r="U3288" s="3" t="n">
        <v>1.413828</v>
      </c>
      <c r="V3288" s="3" t="n">
        <v>1.321876</v>
      </c>
      <c r="W3288" s="3" t="n">
        <v>0.664541</v>
      </c>
      <c r="X3288" s="3" t="n">
        <v>1.157956</v>
      </c>
      <c r="Y3288" s="3" t="n">
        <v>1.556767</v>
      </c>
      <c r="Z3288" s="3" t="n">
        <v>0.259942</v>
      </c>
      <c r="AA3288" s="3" t="n">
        <v>-6.168925</v>
      </c>
      <c r="AB3288" s="3" t="n">
        <v>4.858653</v>
      </c>
      <c r="AC3288" s="3" t="n">
        <v>2.058152</v>
      </c>
      <c r="AD3288" s="3" t="n">
        <v>0.806094</v>
      </c>
      <c r="AE3288" s="3" t="n">
        <v>0.534852</v>
      </c>
      <c r="AF3288" s="3" t="n">
        <v>1.114627</v>
      </c>
      <c r="AG3288" s="3" t="n">
        <v>1.049002</v>
      </c>
      <c r="AH3288" s="3" t="n">
        <v>1.250001</v>
      </c>
      <c r="AI3288" s="3" t="n">
        <v>1.549</v>
      </c>
      <c r="AJ3288" s="3" t="n">
        <v>1.67</v>
      </c>
      <c r="AK3288" s="3" t="n">
        <v>1.83</v>
      </c>
      <c r="AL3288" s="3" t="n">
        <v>1.807681</v>
      </c>
      <c r="AM3288" s="3" t="n"/>
      <c r="AN3288" s="3" t="n"/>
      <c r="AO3288" s="3" t="n"/>
      <c r="AP3288" s="3" t="n"/>
      <c r="AQ3288" s="3" t="n"/>
      <c r="AR3288" s="3" t="n"/>
      <c r="AS3288" s="3" t="n"/>
      <c r="AT3288" s="3" t="n"/>
      <c r="AU3288" s="3" t="n"/>
    </row>
    <row r="3289">
      <c r="A3289" s="3" t="n">
        <v>2031</v>
      </c>
      <c r="B3289" s="3" t="inlineStr">
        <is>
          <t>ZAF</t>
        </is>
      </c>
      <c r="C3289" s="3" t="inlineStr">
        <is>
          <t>IMF.RES:WEO</t>
        </is>
      </c>
      <c r="D3289" s="3" t="inlineStr">
        <is>
          <t>ZAF.NGDPD.A</t>
        </is>
      </c>
      <c r="E3289" s="3" t="inlineStr">
        <is>
          <t>South Africa</t>
        </is>
      </c>
      <c r="F3289" s="3" t="inlineStr">
        <is>
          <t>Gross domestic product (GDP), Current prices, US dollar</t>
        </is>
      </c>
      <c r="G3289" s="3" t="n">
        <v>151.85475</v>
      </c>
      <c r="H3289" s="3" t="n">
        <v>135.527258</v>
      </c>
      <c r="I3289" s="3" t="n">
        <v>129.385157</v>
      </c>
      <c r="J3289" s="3" t="n">
        <v>197.016766</v>
      </c>
      <c r="K3289" s="3" t="n">
        <v>256.187853</v>
      </c>
      <c r="L3289" s="3" t="n">
        <v>288.74946</v>
      </c>
      <c r="M3289" s="3" t="n">
        <v>304.055464</v>
      </c>
      <c r="N3289" s="3" t="n">
        <v>332.6499</v>
      </c>
      <c r="O3289" s="3" t="n">
        <v>316.491002</v>
      </c>
      <c r="P3289" s="3" t="n">
        <v>331.184236</v>
      </c>
      <c r="Q3289" s="3" t="n">
        <v>417.314699</v>
      </c>
      <c r="R3289" s="3" t="n">
        <v>458.707952</v>
      </c>
      <c r="S3289" s="3" t="n">
        <v>434.399659</v>
      </c>
      <c r="T3289" s="3" t="n">
        <v>400.877095</v>
      </c>
      <c r="U3289" s="3" t="n">
        <v>381.195352</v>
      </c>
      <c r="V3289" s="3" t="n">
        <v>346.663155</v>
      </c>
      <c r="W3289" s="3" t="n">
        <v>323.493169</v>
      </c>
      <c r="X3289" s="3" t="n">
        <v>381.317139</v>
      </c>
      <c r="Y3289" s="3" t="n">
        <v>405.092621</v>
      </c>
      <c r="Z3289" s="3" t="n">
        <v>389.245031</v>
      </c>
      <c r="AA3289" s="3" t="n">
        <v>337.87586</v>
      </c>
      <c r="AB3289" s="3" t="n">
        <v>419.877626</v>
      </c>
      <c r="AC3289" s="3" t="n">
        <v>407.430466</v>
      </c>
      <c r="AD3289" s="3" t="n">
        <v>381.333791</v>
      </c>
      <c r="AE3289" s="3" t="n">
        <v>401.075543</v>
      </c>
      <c r="AF3289" s="3" t="n">
        <v>427.140516</v>
      </c>
      <c r="AG3289" s="3" t="n">
        <v>479.96442</v>
      </c>
      <c r="AH3289" s="3" t="n">
        <v>494.409265</v>
      </c>
      <c r="AI3289" s="3" t="n">
        <v>513.063058</v>
      </c>
      <c r="AJ3289" s="3" t="n">
        <v>533.313583</v>
      </c>
      <c r="AK3289" s="3" t="n">
        <v>555.263767</v>
      </c>
      <c r="AL3289" s="3" t="n">
        <v>577.96628</v>
      </c>
      <c r="AM3289" s="3" t="n"/>
      <c r="AN3289" s="3" t="n"/>
      <c r="AO3289" s="3" t="n"/>
      <c r="AP3289" s="3" t="n"/>
      <c r="AQ3289" s="3" t="n"/>
      <c r="AR3289" s="3" t="n"/>
      <c r="AS3289" s="3" t="n"/>
      <c r="AT3289" s="3" t="n"/>
      <c r="AU3289" s="3" t="n"/>
    </row>
    <row r="3290">
      <c r="A3290" s="3" t="n">
        <v>2031</v>
      </c>
      <c r="B3290" s="3" t="inlineStr">
        <is>
          <t>ZAF</t>
        </is>
      </c>
      <c r="C3290" s="3" t="inlineStr">
        <is>
          <t>IMF.RES:WEO</t>
        </is>
      </c>
      <c r="D3290" s="3" t="inlineStr">
        <is>
          <t>ZAF.NGDPPC.A</t>
        </is>
      </c>
      <c r="E3290" s="3" t="inlineStr">
        <is>
          <t>South Africa</t>
        </is>
      </c>
      <c r="F3290" s="3" t="inlineStr">
        <is>
          <t>Gross domestic product (GDP), Current prices, Per capita, Domestic currency</t>
        </is>
      </c>
      <c r="G3290" s="3" t="n">
        <v>23455.18931</v>
      </c>
      <c r="H3290" s="3" t="n">
        <v>25499.540723</v>
      </c>
      <c r="I3290" s="3" t="n">
        <v>29216.047925</v>
      </c>
      <c r="J3290" s="3" t="n">
        <v>31707.24391</v>
      </c>
      <c r="K3290" s="3" t="n">
        <v>34784.401642</v>
      </c>
      <c r="L3290" s="3" t="n">
        <v>38222.259212</v>
      </c>
      <c r="M3290" s="3" t="n">
        <v>42300.768883</v>
      </c>
      <c r="N3290" s="3" t="n">
        <v>47528.63459</v>
      </c>
      <c r="O3290" s="3" t="n">
        <v>52161.173797</v>
      </c>
      <c r="P3290" s="3" t="n">
        <v>55022.813791</v>
      </c>
      <c r="Q3290" s="3" t="n">
        <v>59323.275276</v>
      </c>
      <c r="R3290" s="3" t="n">
        <v>63632.57133</v>
      </c>
      <c r="S3290" s="3" t="n">
        <v>67131.24150800001</v>
      </c>
      <c r="T3290" s="3" t="n">
        <v>71693.40139899999</v>
      </c>
      <c r="U3290" s="3" t="n">
        <v>75384.738855</v>
      </c>
      <c r="V3290" s="3" t="n">
        <v>79411.492511</v>
      </c>
      <c r="W3290" s="3" t="n">
        <v>84335.407546</v>
      </c>
      <c r="X3290" s="3" t="n">
        <v>88762.885756</v>
      </c>
      <c r="Y3290" s="3" t="n">
        <v>92406.855019</v>
      </c>
      <c r="Z3290" s="3" t="n">
        <v>95520.96191899999</v>
      </c>
      <c r="AA3290" s="3" t="n">
        <v>93187.506713</v>
      </c>
      <c r="AB3290" s="3" t="n">
        <v>103044.232376</v>
      </c>
      <c r="AC3290" s="3" t="n">
        <v>109526.962141</v>
      </c>
      <c r="AD3290" s="3" t="n">
        <v>114288.122368</v>
      </c>
      <c r="AE3290" s="3" t="n">
        <v>117962.598711</v>
      </c>
      <c r="AF3290" s="3" t="n">
        <v>121104.150489</v>
      </c>
      <c r="AG3290" s="3" t="n">
        <v>125299.60244</v>
      </c>
      <c r="AH3290" s="3" t="n">
        <v>129383.01838</v>
      </c>
      <c r="AI3290" s="3" t="n">
        <v>133509.143793</v>
      </c>
      <c r="AJ3290" s="3" t="n">
        <v>137942.198581</v>
      </c>
      <c r="AK3290" s="3" t="n">
        <v>142749.084884</v>
      </c>
      <c r="AL3290" s="3" t="n">
        <v>147691.447837</v>
      </c>
      <c r="AM3290" s="3" t="n"/>
      <c r="AN3290" s="3" t="n"/>
      <c r="AO3290" s="3" t="n"/>
      <c r="AP3290" s="3" t="n"/>
      <c r="AQ3290" s="3" t="n"/>
      <c r="AR3290" s="3" t="n"/>
      <c r="AS3290" s="3" t="n"/>
      <c r="AT3290" s="3" t="n"/>
      <c r="AU3290" s="3" t="n"/>
    </row>
    <row r="3291">
      <c r="A3291" s="3" t="n">
        <v>2031</v>
      </c>
      <c r="B3291" s="3" t="inlineStr">
        <is>
          <t>ZAF</t>
        </is>
      </c>
      <c r="C3291" s="3" t="inlineStr">
        <is>
          <t>IMF.RES:WEO</t>
        </is>
      </c>
      <c r="D3291" s="3" t="inlineStr">
        <is>
          <t>ZAF.NGDPRPC.A</t>
        </is>
      </c>
      <c r="E3291" s="3" t="inlineStr">
        <is>
          <t>South Africa</t>
        </is>
      </c>
      <c r="F3291" s="3" t="inlineStr">
        <is>
          <t>Gross domestic product (GDP), Constant prices, Per capita, Domestic currency</t>
        </is>
      </c>
      <c r="G3291" s="3" t="n">
        <v>62956.080178</v>
      </c>
      <c r="H3291" s="3" t="n">
        <v>63490.7051</v>
      </c>
      <c r="I3291" s="3" t="n">
        <v>64639.877182</v>
      </c>
      <c r="J3291" s="3" t="n">
        <v>65934.560153</v>
      </c>
      <c r="K3291" s="3" t="n">
        <v>68212.019787</v>
      </c>
      <c r="L3291" s="3" t="n">
        <v>70980.836853</v>
      </c>
      <c r="M3291" s="3" t="n">
        <v>74063.13473999999</v>
      </c>
      <c r="N3291" s="3" t="n">
        <v>76877.283048</v>
      </c>
      <c r="O3291" s="3" t="n">
        <v>78229.167944</v>
      </c>
      <c r="P3291" s="3" t="n">
        <v>75942.03733000001</v>
      </c>
      <c r="Q3291" s="3" t="n">
        <v>77149.478661</v>
      </c>
      <c r="R3291" s="3" t="n">
        <v>78410.47738</v>
      </c>
      <c r="S3291" s="3" t="n">
        <v>79019.43552100001</v>
      </c>
      <c r="T3291" s="3" t="n">
        <v>79729.980863</v>
      </c>
      <c r="U3291" s="3" t="n">
        <v>79565.21911200001</v>
      </c>
      <c r="V3291" s="3" t="n">
        <v>79411.492511</v>
      </c>
      <c r="W3291" s="3" t="n">
        <v>78853.377035</v>
      </c>
      <c r="X3291" s="3" t="n">
        <v>78686.299971</v>
      </c>
      <c r="Y3291" s="3" t="n">
        <v>78771.046496</v>
      </c>
      <c r="Z3291" s="3" t="n">
        <v>77834.696742</v>
      </c>
      <c r="AA3291" s="3" t="n">
        <v>72048.860705</v>
      </c>
      <c r="AB3291" s="3" t="n">
        <v>74871.59607699999</v>
      </c>
      <c r="AC3291" s="3" t="n">
        <v>75618.76970800001</v>
      </c>
      <c r="AD3291" s="3" t="n">
        <v>75347.780511</v>
      </c>
      <c r="AE3291" s="3" t="n">
        <v>74838.901543</v>
      </c>
      <c r="AF3291" s="3" t="n">
        <v>74746.850288</v>
      </c>
      <c r="AG3291" s="3" t="n">
        <v>74504.98724</v>
      </c>
      <c r="AH3291" s="3" t="n">
        <v>74411.626818</v>
      </c>
      <c r="AI3291" s="3" t="n">
        <v>74537.85136099999</v>
      </c>
      <c r="AJ3291" s="3" t="n">
        <v>74753.255762</v>
      </c>
      <c r="AK3291" s="3" t="n">
        <v>75087.26321799999</v>
      </c>
      <c r="AL3291" s="3" t="n">
        <v>75406.231956</v>
      </c>
      <c r="AM3291" s="3" t="n"/>
      <c r="AN3291" s="3" t="n"/>
      <c r="AO3291" s="3" t="n"/>
      <c r="AP3291" s="3" t="n"/>
      <c r="AQ3291" s="3" t="n"/>
      <c r="AR3291" s="3" t="n"/>
      <c r="AS3291" s="3" t="n"/>
      <c r="AT3291" s="3" t="n"/>
      <c r="AU3291" s="3" t="n"/>
    </row>
    <row r="3292">
      <c r="A3292" s="3" t="n">
        <v>2031</v>
      </c>
      <c r="B3292" s="3" t="inlineStr">
        <is>
          <t>ZAF</t>
        </is>
      </c>
      <c r="C3292" s="3" t="inlineStr">
        <is>
          <t>IMF.RES:WEO</t>
        </is>
      </c>
      <c r="D3292" s="3" t="inlineStr">
        <is>
          <t>ZAF.PCPI.A</t>
        </is>
      </c>
      <c r="E3292" s="3" t="inlineStr">
        <is>
          <t>South Africa</t>
        </is>
      </c>
      <c r="F3292" s="3" t="inlineStr">
        <is>
          <t>All Items, Consumer price index (CPI), Period average</t>
        </is>
      </c>
      <c r="G3292" s="3" t="n">
        <v>27.566667</v>
      </c>
      <c r="H3292" s="3" t="n">
        <v>29.15</v>
      </c>
      <c r="I3292" s="3" t="n">
        <v>31.8</v>
      </c>
      <c r="J3292" s="3" t="n">
        <v>33.675</v>
      </c>
      <c r="K3292" s="3" t="n">
        <v>34.141667</v>
      </c>
      <c r="L3292" s="3" t="n">
        <v>35.3</v>
      </c>
      <c r="M3292" s="3" t="n">
        <v>36.941667</v>
      </c>
      <c r="N3292" s="3" t="n">
        <v>39.575</v>
      </c>
      <c r="O3292" s="3" t="n">
        <v>43.875</v>
      </c>
      <c r="P3292" s="3" t="n">
        <v>47.033333</v>
      </c>
      <c r="Q3292" s="3" t="n">
        <v>49.025</v>
      </c>
      <c r="R3292" s="3" t="n">
        <v>51.466667</v>
      </c>
      <c r="S3292" s="3" t="n">
        <v>54.375</v>
      </c>
      <c r="T3292" s="3" t="n">
        <v>57.5</v>
      </c>
      <c r="U3292" s="3" t="n">
        <v>61.016667</v>
      </c>
      <c r="V3292" s="3" t="n">
        <v>63.816667</v>
      </c>
      <c r="W3292" s="3" t="n">
        <v>67.84999999999999</v>
      </c>
      <c r="X3292" s="3" t="n">
        <v>71.441667</v>
      </c>
      <c r="Y3292" s="3" t="n">
        <v>74.72499999999999</v>
      </c>
      <c r="Z3292" s="3" t="n">
        <v>77.8</v>
      </c>
      <c r="AA3292" s="3" t="n">
        <v>80.358333</v>
      </c>
      <c r="AB3292" s="3" t="n">
        <v>84.016667</v>
      </c>
      <c r="AC3292" s="3" t="n">
        <v>89.783333</v>
      </c>
      <c r="AD3292" s="3" t="n">
        <v>95.083333</v>
      </c>
      <c r="AE3292" s="3" t="n">
        <v>99.291667</v>
      </c>
      <c r="AF3292" s="3" t="n">
        <v>102.491667</v>
      </c>
      <c r="AG3292" s="3" t="n">
        <v>106.517328</v>
      </c>
      <c r="AH3292" s="3" t="n">
        <v>110.139898</v>
      </c>
      <c r="AI3292" s="3" t="n">
        <v>113.445682</v>
      </c>
      <c r="AJ3292" s="3" t="n">
        <v>116.849052</v>
      </c>
      <c r="AK3292" s="3" t="n">
        <v>120.354524</v>
      </c>
      <c r="AL3292" s="3" t="n">
        <v>123.965159</v>
      </c>
      <c r="AM3292" s="3" t="n"/>
      <c r="AN3292" s="3" t="n"/>
      <c r="AO3292" s="3" t="n"/>
      <c r="AP3292" s="3" t="n"/>
      <c r="AQ3292" s="3" t="n"/>
      <c r="AR3292" s="3" t="n"/>
      <c r="AS3292" s="3" t="n"/>
      <c r="AT3292" s="3" t="n"/>
      <c r="AU3292" s="3" t="n"/>
    </row>
    <row r="3293">
      <c r="A3293" s="3" t="n">
        <v>2031</v>
      </c>
      <c r="B3293" s="3" t="inlineStr">
        <is>
          <t>ZAF</t>
        </is>
      </c>
      <c r="C3293" s="3" t="inlineStr">
        <is>
          <t>IMF.RES:WEO</t>
        </is>
      </c>
      <c r="D3293" s="3" t="inlineStr">
        <is>
          <t>ZAF.PCPIPCH.A</t>
        </is>
      </c>
      <c r="E3293" s="3" t="inlineStr">
        <is>
          <t>South Africa</t>
        </is>
      </c>
      <c r="F3293" s="3" t="inlineStr">
        <is>
          <t>All Items, Consumer price index (CPI), Period average, percent change</t>
        </is>
      </c>
      <c r="G3293" s="3" t="n">
        <v>5.316778</v>
      </c>
      <c r="H3293" s="3" t="n">
        <v>5.743652</v>
      </c>
      <c r="I3293" s="3" t="n">
        <v>9.090909</v>
      </c>
      <c r="J3293" s="3" t="n">
        <v>5.896226</v>
      </c>
      <c r="K3293" s="3" t="n">
        <v>1.385796</v>
      </c>
      <c r="L3293" s="3" t="n">
        <v>3.392726</v>
      </c>
      <c r="M3293" s="3" t="n">
        <v>4.650614</v>
      </c>
      <c r="N3293" s="3" t="n">
        <v>7.128356</v>
      </c>
      <c r="O3293" s="3" t="n">
        <v>10.865445</v>
      </c>
      <c r="P3293" s="3" t="n">
        <v>7.198481</v>
      </c>
      <c r="Q3293" s="3" t="n">
        <v>4.234585</v>
      </c>
      <c r="R3293" s="3" t="n">
        <v>4.980452</v>
      </c>
      <c r="S3293" s="3" t="n">
        <v>5.650907</v>
      </c>
      <c r="T3293" s="3" t="n">
        <v>5.747126</v>
      </c>
      <c r="U3293" s="3" t="n">
        <v>6.115942</v>
      </c>
      <c r="V3293" s="3" t="n">
        <v>4.58891</v>
      </c>
      <c r="W3293" s="3" t="n">
        <v>6.320188</v>
      </c>
      <c r="X3293" s="3" t="n">
        <v>5.29354</v>
      </c>
      <c r="Y3293" s="3" t="n">
        <v>4.595824</v>
      </c>
      <c r="Z3293" s="3" t="n">
        <v>4.115089</v>
      </c>
      <c r="AA3293" s="3" t="n">
        <v>3.288346</v>
      </c>
      <c r="AB3293" s="3" t="n">
        <v>4.552525</v>
      </c>
      <c r="AC3293" s="3" t="n">
        <v>6.863718</v>
      </c>
      <c r="AD3293" s="3" t="n">
        <v>5.9031</v>
      </c>
      <c r="AE3293" s="3" t="n">
        <v>4.425942</v>
      </c>
      <c r="AF3293" s="3" t="n">
        <v>3.222828</v>
      </c>
      <c r="AG3293" s="3" t="n">
        <v>3.927794</v>
      </c>
      <c r="AH3293" s="3" t="n">
        <v>3.400921</v>
      </c>
      <c r="AI3293" s="3" t="n">
        <v>3.001441</v>
      </c>
      <c r="AJ3293" s="3" t="n">
        <v>3</v>
      </c>
      <c r="AK3293" s="3" t="n">
        <v>3</v>
      </c>
      <c r="AL3293" s="3" t="n">
        <v>3</v>
      </c>
      <c r="AM3293" s="3" t="n"/>
      <c r="AN3293" s="3" t="n"/>
      <c r="AO3293" s="3" t="n"/>
      <c r="AP3293" s="3" t="n"/>
      <c r="AQ3293" s="3" t="n"/>
      <c r="AR3293" s="3" t="n"/>
      <c r="AS3293" s="3" t="n"/>
      <c r="AT3293" s="3" t="n"/>
      <c r="AU3293" s="3" t="n"/>
    </row>
    <row r="3294">
      <c r="A3294" s="3" t="n">
        <v>2031</v>
      </c>
      <c r="B3294" s="3" t="inlineStr">
        <is>
          <t>ZAF</t>
        </is>
      </c>
      <c r="C3294" s="3" t="inlineStr">
        <is>
          <t>IMF.RES:WEO</t>
        </is>
      </c>
      <c r="D3294" s="3" t="inlineStr">
        <is>
          <t>ZAF.PPPPC.A</t>
        </is>
      </c>
      <c r="E3294" s="3" t="inlineStr">
        <is>
          <t>South Africa</t>
        </is>
      </c>
      <c r="F3294" s="3" t="inlineStr">
        <is>
          <t>Gross domestic product (GDP), Per capita, purchasing power parity (PPP) international dollar, ICP benchmarks 2017-2021</t>
        </is>
      </c>
      <c r="G3294" s="3" t="n">
        <v>8052.919876</v>
      </c>
      <c r="H3294" s="3" t="n">
        <v>8304.166482000001</v>
      </c>
      <c r="I3294" s="3" t="n">
        <v>8585.856126999999</v>
      </c>
      <c r="J3294" s="3" t="n">
        <v>8930.722013000001</v>
      </c>
      <c r="K3294" s="3" t="n">
        <v>9487.631087</v>
      </c>
      <c r="L3294" s="3" t="n">
        <v>10182.338369</v>
      </c>
      <c r="M3294" s="3" t="n">
        <v>10952.147025</v>
      </c>
      <c r="N3294" s="3" t="n">
        <v>11676.289243</v>
      </c>
      <c r="O3294" s="3" t="n">
        <v>12110.505265</v>
      </c>
      <c r="P3294" s="3" t="n">
        <v>11828.945915</v>
      </c>
      <c r="Q3294" s="3" t="n">
        <v>12163.072193</v>
      </c>
      <c r="R3294" s="3" t="n">
        <v>12616.932317</v>
      </c>
      <c r="S3294" s="3" t="n">
        <v>12951.662176</v>
      </c>
      <c r="T3294" s="3" t="n">
        <v>13290.544056</v>
      </c>
      <c r="U3294" s="3" t="n">
        <v>13494.084209</v>
      </c>
      <c r="V3294" s="3" t="n">
        <v>13593.002844</v>
      </c>
      <c r="W3294" s="3" t="n">
        <v>13625.725385</v>
      </c>
      <c r="X3294" s="3" t="n">
        <v>13840.35942</v>
      </c>
      <c r="Y3294" s="3" t="n">
        <v>13479.39554</v>
      </c>
      <c r="Z3294" s="3" t="n">
        <v>13519.882497</v>
      </c>
      <c r="AA3294" s="3" t="n">
        <v>12855.356661</v>
      </c>
      <c r="AB3294" s="3" t="n">
        <v>13969.943274</v>
      </c>
      <c r="AC3294" s="3" t="n">
        <v>15112.870671</v>
      </c>
      <c r="AD3294" s="3" t="n">
        <v>15615.889195</v>
      </c>
      <c r="AE3294" s="3" t="n">
        <v>15895.476828</v>
      </c>
      <c r="AF3294" s="3" t="n">
        <v>16326.288461</v>
      </c>
      <c r="AG3294" s="3" t="n">
        <v>16739.670836</v>
      </c>
      <c r="AH3294" s="3" t="n">
        <v>17085.820912</v>
      </c>
      <c r="AI3294" s="3" t="n">
        <v>17395.724377</v>
      </c>
      <c r="AJ3294" s="3" t="n">
        <v>17756.20443</v>
      </c>
      <c r="AK3294" s="3" t="n">
        <v>18163.274367</v>
      </c>
      <c r="AL3294" s="3" t="n">
        <v>18569.72632</v>
      </c>
      <c r="AM3294" s="3" t="n"/>
      <c r="AN3294" s="3" t="n"/>
      <c r="AO3294" s="3" t="n"/>
      <c r="AP3294" s="3" t="n"/>
      <c r="AQ3294" s="3" t="n"/>
      <c r="AR3294" s="3" t="n"/>
      <c r="AS3294" s="3" t="n"/>
      <c r="AT3294" s="3" t="n"/>
      <c r="AU3294" s="3" t="n"/>
    </row>
    <row r="3295">
      <c r="A3295" s="3" t="n">
        <v>2025</v>
      </c>
      <c r="B3295" s="3" t="inlineStr">
        <is>
          <t>ZAF</t>
        </is>
      </c>
      <c r="C3295" s="3" t="inlineStr">
        <is>
          <t>IMF.STA:ER</t>
        </is>
      </c>
      <c r="D3295" s="3" t="inlineStr">
        <is>
          <t>ZAF.XDC_USD.PA_RT.A</t>
        </is>
      </c>
      <c r="E3295" s="3" t="inlineStr">
        <is>
          <t>South Africa</t>
        </is>
      </c>
      <c r="F3295" s="3" t="inlineStr">
        <is>
          <t>Domestic currency per US Dollar</t>
        </is>
      </c>
      <c r="G3295" s="3" t="n">
        <v>6.93982833333333</v>
      </c>
      <c r="H3295" s="3" t="n">
        <v>8.60918083333333</v>
      </c>
      <c r="I3295" s="3" t="n">
        <v>10.5407466666666</v>
      </c>
      <c r="J3295" s="3" t="n">
        <v>7.56474916666666</v>
      </c>
      <c r="K3295" s="3" t="n">
        <v>6.4596925</v>
      </c>
      <c r="L3295" s="3" t="n">
        <v>6.35932833333333</v>
      </c>
      <c r="M3295" s="3" t="n">
        <v>6.77154916666666</v>
      </c>
      <c r="N3295" s="3" t="n">
        <v>7.045365</v>
      </c>
      <c r="O3295" s="3" t="n">
        <v>8.26122333333333</v>
      </c>
      <c r="P3295" s="3" t="n">
        <v>8.47367415824888</v>
      </c>
      <c r="Q3295" s="3" t="n">
        <v>7.32122196115288</v>
      </c>
      <c r="R3295" s="3" t="n">
        <v>7.26113213232734</v>
      </c>
      <c r="S3295" s="3" t="n">
        <v>8.209968626593311</v>
      </c>
      <c r="T3295" s="3" t="n">
        <v>9.655056069135259</v>
      </c>
      <c r="U3295" s="3" t="n">
        <v>10.852655568783</v>
      </c>
      <c r="V3295" s="3" t="n">
        <v>12.7589308811644</v>
      </c>
      <c r="W3295" s="3" t="n">
        <v>14.7096108855267</v>
      </c>
      <c r="X3295" s="3" t="n">
        <v>13.3238014244991</v>
      </c>
      <c r="Y3295" s="3" t="n">
        <v>13.2339264715833</v>
      </c>
      <c r="Z3295" s="3" t="n">
        <v>14.4484270548333</v>
      </c>
      <c r="AA3295" s="3" t="n">
        <v>16.4591053903333</v>
      </c>
      <c r="AB3295" s="3" t="n">
        <v>14.7786782139166</v>
      </c>
      <c r="AC3295" s="3" t="n">
        <v>16.3558534845</v>
      </c>
      <c r="AD3295" s="3" t="n">
        <v>18.4502441785</v>
      </c>
      <c r="AE3295" s="3" t="n">
        <v>18.3286575505</v>
      </c>
      <c r="AF3295" s="3" t="n">
        <v>17.8887489855833</v>
      </c>
      <c r="AG3295" s="3" t="n"/>
      <c r="AH3295" s="3" t="n"/>
      <c r="AI3295" s="3" t="n"/>
      <c r="AJ3295" s="3" t="n"/>
      <c r="AK3295" s="3" t="n"/>
      <c r="AL3295" s="3" t="n"/>
      <c r="AM3295" s="3" t="n"/>
      <c r="AN3295" s="3" t="n"/>
      <c r="AO3295" s="3" t="n"/>
      <c r="AP3295" s="3" t="n"/>
      <c r="AQ3295" s="3" t="n"/>
      <c r="AR3295" s="3" t="n"/>
      <c r="AS3295" s="3" t="n"/>
      <c r="AT3295" s="3" t="n"/>
      <c r="AU3295" s="3" t="n"/>
    </row>
    <row r="3296">
      <c r="A3296" s="3" t="n">
        <v>2031</v>
      </c>
      <c r="B3296" s="3" t="inlineStr">
        <is>
          <t>ZMB</t>
        </is>
      </c>
      <c r="C3296" s="3" t="inlineStr">
        <is>
          <t>IMF.RES:WEO</t>
        </is>
      </c>
      <c r="D3296" s="3" t="inlineStr">
        <is>
          <t>ZMB.BCA.A</t>
        </is>
      </c>
      <c r="E3296" s="3" t="inlineStr">
        <is>
          <t>Zambia</t>
        </is>
      </c>
      <c r="F3296" s="3" t="inlineStr">
        <is>
          <t>Current account balance (credit less debit), US dollar</t>
        </is>
      </c>
      <c r="G3296" s="3" t="n">
        <v>-0.438532</v>
      </c>
      <c r="H3296" s="3" t="n">
        <v>-0.674414</v>
      </c>
      <c r="I3296" s="3" t="n">
        <v>-0.5094109999999999</v>
      </c>
      <c r="J3296" s="3" t="n">
        <v>-0.5064340000000001</v>
      </c>
      <c r="K3296" s="3" t="n">
        <v>-0.187665</v>
      </c>
      <c r="L3296" s="3" t="n">
        <v>-0.232106</v>
      </c>
      <c r="M3296" s="3" t="n">
        <v>0.592593</v>
      </c>
      <c r="N3296" s="3" t="n">
        <v>-0.174022</v>
      </c>
      <c r="O3296" s="3" t="n">
        <v>-0.596558</v>
      </c>
      <c r="P3296" s="3" t="n">
        <v>0.91269</v>
      </c>
      <c r="Q3296" s="3" t="n">
        <v>1.525203</v>
      </c>
      <c r="R3296" s="3" t="n">
        <v>1.092772</v>
      </c>
      <c r="S3296" s="3" t="n">
        <v>1.247943</v>
      </c>
      <c r="T3296" s="3" t="n">
        <v>-0.218382</v>
      </c>
      <c r="U3296" s="3" t="n">
        <v>0.58122</v>
      </c>
      <c r="V3296" s="3" t="n">
        <v>-0.570821</v>
      </c>
      <c r="W3296" s="3" t="n">
        <v>-0.684371</v>
      </c>
      <c r="X3296" s="3" t="n">
        <v>-0.435005</v>
      </c>
      <c r="Y3296" s="3" t="n">
        <v>-0.341483</v>
      </c>
      <c r="Z3296" s="3" t="n">
        <v>0.111217</v>
      </c>
      <c r="AA3296" s="3" t="n">
        <v>2.138618</v>
      </c>
      <c r="AB3296" s="3" t="n">
        <v>2.629551</v>
      </c>
      <c r="AC3296" s="3" t="n">
        <v>1.09278</v>
      </c>
      <c r="AD3296" s="3" t="n">
        <v>-0.837683</v>
      </c>
      <c r="AE3296" s="3" t="n">
        <v>-1.116133</v>
      </c>
      <c r="AF3296" s="3" t="n">
        <v>-1.023899</v>
      </c>
      <c r="AG3296" s="3" t="n">
        <v>0.382076</v>
      </c>
      <c r="AH3296" s="3" t="n">
        <v>0.840154</v>
      </c>
      <c r="AI3296" s="3" t="n">
        <v>0.953906</v>
      </c>
      <c r="AJ3296" s="3" t="n">
        <v>1.133391</v>
      </c>
      <c r="AK3296" s="3" t="n">
        <v>1.242259</v>
      </c>
      <c r="AL3296" s="3" t="n">
        <v>0.830063</v>
      </c>
      <c r="AM3296" s="3" t="n"/>
      <c r="AN3296" s="3" t="n"/>
      <c r="AO3296" s="3" t="n"/>
      <c r="AP3296" s="3" t="n"/>
      <c r="AQ3296" s="3" t="n"/>
      <c r="AR3296" s="3" t="n"/>
      <c r="AS3296" s="3" t="n"/>
      <c r="AT3296" s="3" t="n"/>
      <c r="AU3296" s="3" t="n"/>
    </row>
    <row r="3297">
      <c r="A3297" s="3" t="n">
        <v>2031</v>
      </c>
      <c r="B3297" s="3" t="inlineStr">
        <is>
          <t>ZMB</t>
        </is>
      </c>
      <c r="C3297" s="3" t="inlineStr">
        <is>
          <t>IMF.RES:WEO</t>
        </is>
      </c>
      <c r="D3297" s="3" t="inlineStr">
        <is>
          <t>ZMB.BCA_NGDPD.A</t>
        </is>
      </c>
      <c r="E3297" s="3" t="inlineStr">
        <is>
          <t>Zambia</t>
        </is>
      </c>
      <c r="F3297" s="3" t="inlineStr">
        <is>
          <t>Current account balance (credit less debit), Percent of GDP</t>
        </is>
      </c>
      <c r="G3297" s="3" t="n">
        <v>-12.179305</v>
      </c>
      <c r="H3297" s="3" t="n">
        <v>-17.426615</v>
      </c>
      <c r="I3297" s="3" t="n">
        <v>-12.146624</v>
      </c>
      <c r="J3297" s="3" t="n">
        <v>-10.331436</v>
      </c>
      <c r="K3297" s="3" t="n">
        <v>-3.016581</v>
      </c>
      <c r="L3297" s="3" t="n">
        <v>-2.786695</v>
      </c>
      <c r="M3297" s="3" t="n">
        <v>4.643441</v>
      </c>
      <c r="N3297" s="3" t="n">
        <v>-1.237717</v>
      </c>
      <c r="O3297" s="3" t="n">
        <v>-3.330086</v>
      </c>
      <c r="P3297" s="3" t="n">
        <v>5.952968</v>
      </c>
      <c r="Q3297" s="3" t="n">
        <v>7.526707</v>
      </c>
      <c r="R3297" s="3" t="n">
        <v>4.659042</v>
      </c>
      <c r="S3297" s="3" t="n">
        <v>4.893496</v>
      </c>
      <c r="T3297" s="3" t="n">
        <v>-0.778755</v>
      </c>
      <c r="U3297" s="3" t="n">
        <v>2.1412</v>
      </c>
      <c r="V3297" s="3" t="n">
        <v>-2.68683</v>
      </c>
      <c r="W3297" s="3" t="n">
        <v>-3.26433</v>
      </c>
      <c r="X3297" s="3" t="n">
        <v>-1.681272</v>
      </c>
      <c r="Y3297" s="3" t="n">
        <v>-1.297847</v>
      </c>
      <c r="Z3297" s="3" t="n">
        <v>0.477146</v>
      </c>
      <c r="AA3297" s="3" t="n">
        <v>11.790966</v>
      </c>
      <c r="AB3297" s="3" t="n">
        <v>11.900351</v>
      </c>
      <c r="AC3297" s="3" t="n">
        <v>3.747044</v>
      </c>
      <c r="AD3297" s="3" t="n">
        <v>-3.03751</v>
      </c>
      <c r="AE3297" s="3" t="n">
        <v>-4.411037</v>
      </c>
      <c r="AF3297" s="3" t="n">
        <v>-3.54538</v>
      </c>
      <c r="AG3297" s="3" t="n">
        <v>0.926405</v>
      </c>
      <c r="AH3297" s="3" t="n">
        <v>1.94199</v>
      </c>
      <c r="AI3297" s="3" t="n">
        <v>2.06928</v>
      </c>
      <c r="AJ3297" s="3" t="n">
        <v>2.192147</v>
      </c>
      <c r="AK3297" s="3" t="n">
        <v>2.221042</v>
      </c>
      <c r="AL3297" s="3" t="n">
        <v>1.371997</v>
      </c>
      <c r="AM3297" s="3" t="n"/>
      <c r="AN3297" s="3" t="n"/>
      <c r="AO3297" s="3" t="n"/>
      <c r="AP3297" s="3" t="n"/>
      <c r="AQ3297" s="3" t="n"/>
      <c r="AR3297" s="3" t="n"/>
      <c r="AS3297" s="3" t="n"/>
      <c r="AT3297" s="3" t="n"/>
      <c r="AU3297" s="3" t="n"/>
    </row>
    <row r="3298">
      <c r="A3298" s="3" t="n">
        <v>2031</v>
      </c>
      <c r="B3298" s="3" t="inlineStr">
        <is>
          <t>ZMB</t>
        </is>
      </c>
      <c r="C3298" s="3" t="inlineStr">
        <is>
          <t>IMF.RES:WEO</t>
        </is>
      </c>
      <c r="D3298" s="3" t="inlineStr">
        <is>
          <t>ZMB.GGR_NGDP.A</t>
        </is>
      </c>
      <c r="E3298" s="3" t="inlineStr">
        <is>
          <t>Zambia</t>
        </is>
      </c>
      <c r="F3298" s="3" t="inlineStr">
        <is>
          <t>Revenue, General government, Percent of GDP</t>
        </is>
      </c>
      <c r="G3298" s="3" t="n">
        <v>22.569404</v>
      </c>
      <c r="H3298" s="3" t="n">
        <v>22.070247</v>
      </c>
      <c r="I3298" s="3" t="n">
        <v>23.071812</v>
      </c>
      <c r="J3298" s="3" t="n">
        <v>21.999027</v>
      </c>
      <c r="K3298" s="3" t="n">
        <v>20.764107</v>
      </c>
      <c r="L3298" s="3" t="n">
        <v>20.079402</v>
      </c>
      <c r="M3298" s="3" t="n">
        <v>36.604282</v>
      </c>
      <c r="N3298" s="3" t="n">
        <v>18.88605</v>
      </c>
      <c r="O3298" s="3" t="n">
        <v>18.78951</v>
      </c>
      <c r="P3298" s="3" t="n">
        <v>15.749966</v>
      </c>
      <c r="Q3298" s="3" t="n">
        <v>15.633683</v>
      </c>
      <c r="R3298" s="3" t="n">
        <v>17.743611</v>
      </c>
      <c r="S3298" s="3" t="n">
        <v>18.694531</v>
      </c>
      <c r="T3298" s="3" t="n">
        <v>17.629206</v>
      </c>
      <c r="U3298" s="3" t="n">
        <v>18.894774</v>
      </c>
      <c r="V3298" s="3" t="n">
        <v>18.769967</v>
      </c>
      <c r="W3298" s="3" t="n">
        <v>18.236747</v>
      </c>
      <c r="X3298" s="3" t="n">
        <v>17.474872</v>
      </c>
      <c r="Y3298" s="3" t="n">
        <v>19.42391</v>
      </c>
      <c r="Z3298" s="3" t="n">
        <v>20.413082</v>
      </c>
      <c r="AA3298" s="3" t="n">
        <v>20.268391</v>
      </c>
      <c r="AB3298" s="3" t="n">
        <v>22.368653</v>
      </c>
      <c r="AC3298" s="3" t="n">
        <v>20.382752</v>
      </c>
      <c r="AD3298" s="3" t="n">
        <v>21.905734</v>
      </c>
      <c r="AE3298" s="3" t="n">
        <v>23.051838</v>
      </c>
      <c r="AF3298" s="3" t="n">
        <v>25.886778</v>
      </c>
      <c r="AG3298" s="3" t="n">
        <v>24.763491</v>
      </c>
      <c r="AH3298" s="3" t="n">
        <v>24.744163</v>
      </c>
      <c r="AI3298" s="3" t="n">
        <v>25.956299</v>
      </c>
      <c r="AJ3298" s="3" t="n">
        <v>26.597343</v>
      </c>
      <c r="AK3298" s="3" t="n">
        <v>26.703233</v>
      </c>
      <c r="AL3298" s="3" t="n">
        <v>27.140748</v>
      </c>
      <c r="AM3298" s="3" t="n"/>
      <c r="AN3298" s="3" t="n"/>
      <c r="AO3298" s="3" t="n"/>
      <c r="AP3298" s="3" t="n"/>
      <c r="AQ3298" s="3" t="n"/>
      <c r="AR3298" s="3" t="n"/>
      <c r="AS3298" s="3" t="n"/>
      <c r="AT3298" s="3" t="n"/>
      <c r="AU3298" s="3" t="n"/>
    </row>
    <row r="3299">
      <c r="A3299" s="3" t="n">
        <v>2031</v>
      </c>
      <c r="B3299" s="3" t="inlineStr">
        <is>
          <t>ZMB</t>
        </is>
      </c>
      <c r="C3299" s="3" t="inlineStr">
        <is>
          <t>IMF.RES:WEO</t>
        </is>
      </c>
      <c r="D3299" s="3" t="inlineStr">
        <is>
          <t>ZMB.GGX_NGDP.A</t>
        </is>
      </c>
      <c r="E3299" s="3" t="inlineStr">
        <is>
          <t>Zambia</t>
        </is>
      </c>
      <c r="F3299" s="3" t="inlineStr">
        <is>
          <t>Expenditure, General government, Percent of GDP</t>
        </is>
      </c>
      <c r="G3299" s="3" t="n">
        <v>21.408794</v>
      </c>
      <c r="H3299" s="3" t="n">
        <v>27.962433</v>
      </c>
      <c r="I3299" s="3" t="n">
        <v>27.570717</v>
      </c>
      <c r="J3299" s="3" t="n">
        <v>27.313321</v>
      </c>
      <c r="K3299" s="3" t="n">
        <v>23.272547</v>
      </c>
      <c r="L3299" s="3" t="n">
        <v>22.451467</v>
      </c>
      <c r="M3299" s="3" t="n">
        <v>19.691536</v>
      </c>
      <c r="N3299" s="3" t="n">
        <v>19.9229</v>
      </c>
      <c r="O3299" s="3" t="n">
        <v>19.457402</v>
      </c>
      <c r="P3299" s="3" t="n">
        <v>17.807092</v>
      </c>
      <c r="Q3299" s="3" t="n">
        <v>18.065891</v>
      </c>
      <c r="R3299" s="3" t="n">
        <v>19.527049</v>
      </c>
      <c r="S3299" s="3" t="n">
        <v>21.85195</v>
      </c>
      <c r="T3299" s="3" t="n">
        <v>24.024505</v>
      </c>
      <c r="U3299" s="3" t="n">
        <v>24.327752</v>
      </c>
      <c r="V3299" s="3" t="n">
        <v>27.64753</v>
      </c>
      <c r="W3299" s="3" t="n">
        <v>23.927611</v>
      </c>
      <c r="X3299" s="3" t="n">
        <v>24.973686</v>
      </c>
      <c r="Y3299" s="3" t="n">
        <v>27.732573</v>
      </c>
      <c r="Z3299" s="3" t="n">
        <v>29.820238</v>
      </c>
      <c r="AA3299" s="3" t="n">
        <v>34.030525</v>
      </c>
      <c r="AB3299" s="3" t="n">
        <v>30.503591</v>
      </c>
      <c r="AC3299" s="3" t="n">
        <v>28.203497</v>
      </c>
      <c r="AD3299" s="3" t="n">
        <v>27.38428</v>
      </c>
      <c r="AE3299" s="3" t="n">
        <v>26.507052</v>
      </c>
      <c r="AF3299" s="3" t="n">
        <v>29.72112</v>
      </c>
      <c r="AG3299" s="3" t="n">
        <v>29.63098</v>
      </c>
      <c r="AH3299" s="3" t="n">
        <v>29.160535</v>
      </c>
      <c r="AI3299" s="3" t="n">
        <v>29.07333</v>
      </c>
      <c r="AJ3299" s="3" t="n">
        <v>28.477053</v>
      </c>
      <c r="AK3299" s="3" t="n">
        <v>28.213847</v>
      </c>
      <c r="AL3299" s="3" t="n">
        <v>29.103353</v>
      </c>
      <c r="AM3299" s="3" t="n"/>
      <c r="AN3299" s="3" t="n"/>
      <c r="AO3299" s="3" t="n"/>
      <c r="AP3299" s="3" t="n"/>
      <c r="AQ3299" s="3" t="n"/>
      <c r="AR3299" s="3" t="n"/>
      <c r="AS3299" s="3" t="n"/>
      <c r="AT3299" s="3" t="n"/>
      <c r="AU3299" s="3" t="n"/>
    </row>
    <row r="3300">
      <c r="A3300" s="3" t="n">
        <v>2031</v>
      </c>
      <c r="B3300" s="3" t="inlineStr">
        <is>
          <t>ZMB</t>
        </is>
      </c>
      <c r="C3300" s="3" t="inlineStr">
        <is>
          <t>IMF.RES:WEO</t>
        </is>
      </c>
      <c r="D3300" s="3" t="inlineStr">
        <is>
          <t>ZMB.LP.A</t>
        </is>
      </c>
      <c r="E3300" s="3" t="inlineStr">
        <is>
          <t>Zambia</t>
        </is>
      </c>
      <c r="F3300" s="3" t="inlineStr">
        <is>
          <t>Population, Persons for countries / Index for country groups</t>
        </is>
      </c>
      <c r="G3300" s="3" t="n">
        <v>10.017631</v>
      </c>
      <c r="H3300" s="3" t="n">
        <v>10.325185</v>
      </c>
      <c r="I3300" s="3" t="n">
        <v>10.647949</v>
      </c>
      <c r="J3300" s="3" t="n">
        <v>10.983595</v>
      </c>
      <c r="K3300" s="3" t="n">
        <v>11.338198</v>
      </c>
      <c r="L3300" s="3" t="n">
        <v>11.718819</v>
      </c>
      <c r="M3300" s="3" t="n">
        <v>12.129553</v>
      </c>
      <c r="N3300" s="3" t="n">
        <v>12.565085</v>
      </c>
      <c r="O3300" s="3" t="n">
        <v>13.021324</v>
      </c>
      <c r="P3300" s="3" t="n">
        <v>13.490389</v>
      </c>
      <c r="Q3300" s="3" t="n">
        <v>13.965594</v>
      </c>
      <c r="R3300" s="3" t="n">
        <v>14.437796</v>
      </c>
      <c r="S3300" s="3" t="n">
        <v>14.913629</v>
      </c>
      <c r="T3300" s="3" t="n">
        <v>15.398997</v>
      </c>
      <c r="U3300" s="3" t="n">
        <v>15.895315</v>
      </c>
      <c r="V3300" s="3" t="n">
        <v>16.399089</v>
      </c>
      <c r="W3300" s="3" t="n">
        <v>16.914423</v>
      </c>
      <c r="X3300" s="3" t="n">
        <v>17.44132</v>
      </c>
      <c r="Y3300" s="3" t="n">
        <v>17.973569</v>
      </c>
      <c r="Z3300" s="3" t="n">
        <v>18.513839</v>
      </c>
      <c r="AA3300" s="3" t="n">
        <v>19.059395</v>
      </c>
      <c r="AB3300" s="3" t="n">
        <v>19.603607</v>
      </c>
      <c r="AC3300" s="3" t="n">
        <v>20.152938</v>
      </c>
      <c r="AD3300" s="3" t="n">
        <v>20.723965</v>
      </c>
      <c r="AE3300" s="3" t="n">
        <v>21.314956</v>
      </c>
      <c r="AF3300" s="3" t="n">
        <v>21.913874</v>
      </c>
      <c r="AG3300" s="3" t="n">
        <v>22.521915</v>
      </c>
      <c r="AH3300" s="3" t="n">
        <v>23.13872</v>
      </c>
      <c r="AI3300" s="3" t="n">
        <v>23.761373</v>
      </c>
      <c r="AJ3300" s="3" t="n">
        <v>24.389686</v>
      </c>
      <c r="AK3300" s="3" t="n">
        <v>25.024901</v>
      </c>
      <c r="AL3300" s="3" t="n">
        <v>25.666504</v>
      </c>
      <c r="AM3300" s="3" t="n"/>
      <c r="AN3300" s="3" t="n"/>
      <c r="AO3300" s="3" t="n"/>
      <c r="AP3300" s="3" t="n"/>
      <c r="AQ3300" s="3" t="n"/>
      <c r="AR3300" s="3" t="n"/>
      <c r="AS3300" s="3" t="n"/>
      <c r="AT3300" s="3" t="n"/>
      <c r="AU3300" s="3" t="n"/>
    </row>
    <row r="3301">
      <c r="A3301" s="3" t="n">
        <v>2031</v>
      </c>
      <c r="B3301" s="3" t="inlineStr">
        <is>
          <t>ZMB</t>
        </is>
      </c>
      <c r="C3301" s="3" t="inlineStr">
        <is>
          <t>IMF.RES:WEO</t>
        </is>
      </c>
      <c r="D3301" s="3" t="inlineStr">
        <is>
          <t>ZMB.NGDP.A</t>
        </is>
      </c>
      <c r="E3301" s="3" t="inlineStr">
        <is>
          <t>Zambia</t>
        </is>
      </c>
      <c r="F3301" s="3" t="inlineStr">
        <is>
          <t>Gross domestic product (GDP), Current prices, Domestic currency</t>
        </is>
      </c>
      <c r="G3301" s="3" t="n">
        <v>11.201005</v>
      </c>
      <c r="H3301" s="3" t="n">
        <v>14.784761</v>
      </c>
      <c r="I3301" s="3" t="n">
        <v>18.44705</v>
      </c>
      <c r="J3301" s="3" t="n">
        <v>23.201878</v>
      </c>
      <c r="K3301" s="3" t="n">
        <v>29.729908</v>
      </c>
      <c r="L3301" s="3" t="n">
        <v>37.189302</v>
      </c>
      <c r="M3301" s="3" t="n">
        <v>45.964238</v>
      </c>
      <c r="N3301" s="3" t="n">
        <v>56.262974</v>
      </c>
      <c r="O3301" s="3" t="n">
        <v>67.088703</v>
      </c>
      <c r="P3301" s="3" t="n">
        <v>77.348348</v>
      </c>
      <c r="Q3301" s="3" t="n">
        <v>97.215946</v>
      </c>
      <c r="R3301" s="3" t="n">
        <v>114.029706</v>
      </c>
      <c r="S3301" s="3" t="n">
        <v>131.271882</v>
      </c>
      <c r="T3301" s="3" t="n">
        <v>151.330804</v>
      </c>
      <c r="U3301" s="3" t="n">
        <v>167.052442</v>
      </c>
      <c r="V3301" s="3" t="n">
        <v>183.381065</v>
      </c>
      <c r="W3301" s="3" t="n">
        <v>216.098075</v>
      </c>
      <c r="X3301" s="3" t="n">
        <v>246.25173</v>
      </c>
      <c r="Y3301" s="3" t="n">
        <v>275.174377</v>
      </c>
      <c r="Z3301" s="3" t="n">
        <v>300.449772</v>
      </c>
      <c r="AA3301" s="3" t="n">
        <v>332.720847</v>
      </c>
      <c r="AB3301" s="3" t="n">
        <v>442.336835</v>
      </c>
      <c r="AC3301" s="3" t="n">
        <v>493.964301</v>
      </c>
      <c r="AD3301" s="3" t="n">
        <v>557.406153</v>
      </c>
      <c r="AE3301" s="3" t="n">
        <v>662.09375</v>
      </c>
      <c r="AF3301" s="3" t="n">
        <v>725.641409</v>
      </c>
      <c r="AG3301" s="3" t="n">
        <v>824.856811</v>
      </c>
      <c r="AH3301" s="3" t="n">
        <v>932.2501099999999</v>
      </c>
      <c r="AI3301" s="3" t="n">
        <v>1047.983295</v>
      </c>
      <c r="AJ3301" s="3" t="n">
        <v>1180.489583</v>
      </c>
      <c r="AK3301" s="3" t="n">
        <v>1329.862489</v>
      </c>
      <c r="AL3301" s="3" t="n">
        <v>1497.99074</v>
      </c>
      <c r="AM3301" s="3" t="n"/>
      <c r="AN3301" s="3" t="n"/>
      <c r="AO3301" s="3" t="n"/>
      <c r="AP3301" s="3" t="n"/>
      <c r="AQ3301" s="3" t="n"/>
      <c r="AR3301" s="3" t="n"/>
      <c r="AS3301" s="3" t="n"/>
      <c r="AT3301" s="3" t="n"/>
      <c r="AU3301" s="3" t="n"/>
    </row>
    <row r="3302">
      <c r="A3302" s="3" t="n">
        <v>2031</v>
      </c>
      <c r="B3302" s="3" t="inlineStr">
        <is>
          <t>ZMB</t>
        </is>
      </c>
      <c r="C3302" s="3" t="inlineStr">
        <is>
          <t>IMF.RES:WEO</t>
        </is>
      </c>
      <c r="D3302" s="3" t="inlineStr">
        <is>
          <t>ZMB.NGDP_D.A</t>
        </is>
      </c>
      <c r="E3302" s="3" t="inlineStr">
        <is>
          <t>Zambia</t>
        </is>
      </c>
      <c r="F3302" s="3" t="inlineStr">
        <is>
          <t>Gross domestic product (GDP), Price deflator, Index</t>
        </is>
      </c>
      <c r="G3302" s="3" t="n">
        <v>23.628393</v>
      </c>
      <c r="H3302" s="3" t="n">
        <v>29.613762</v>
      </c>
      <c r="I3302" s="3" t="n">
        <v>35.356144</v>
      </c>
      <c r="J3302" s="3" t="n">
        <v>41.581556</v>
      </c>
      <c r="K3302" s="3" t="n">
        <v>49.780118</v>
      </c>
      <c r="L3302" s="3" t="n">
        <v>58.068606</v>
      </c>
      <c r="M3302" s="3" t="n">
        <v>66.51309000000001</v>
      </c>
      <c r="N3302" s="3" t="n">
        <v>75.139978</v>
      </c>
      <c r="O3302" s="3" t="n">
        <v>83.13505600000001</v>
      </c>
      <c r="P3302" s="3" t="n">
        <v>87.757103</v>
      </c>
      <c r="Q3302" s="3" t="n">
        <v>100</v>
      </c>
      <c r="R3302" s="3" t="n">
        <v>111.107452</v>
      </c>
      <c r="S3302" s="3" t="n">
        <v>118.876278</v>
      </c>
      <c r="T3302" s="3" t="n">
        <v>130.44385</v>
      </c>
      <c r="U3302" s="3" t="n">
        <v>137.540406</v>
      </c>
      <c r="V3302" s="3" t="n">
        <v>146.700727</v>
      </c>
      <c r="W3302" s="3" t="n">
        <v>166.616318</v>
      </c>
      <c r="X3302" s="3" t="n">
        <v>183.399603</v>
      </c>
      <c r="Y3302" s="3" t="n">
        <v>196.991919</v>
      </c>
      <c r="Z3302" s="3" t="n">
        <v>212.030074</v>
      </c>
      <c r="AA3302" s="3" t="n">
        <v>241.530825</v>
      </c>
      <c r="AB3302" s="3" t="n">
        <v>302.258383</v>
      </c>
      <c r="AC3302" s="3" t="n">
        <v>320.81801</v>
      </c>
      <c r="AD3302" s="3" t="n">
        <v>343.578859</v>
      </c>
      <c r="AE3302" s="3" t="n">
        <v>393.090852</v>
      </c>
      <c r="AF3302" s="3" t="n">
        <v>415.217445</v>
      </c>
      <c r="AG3302" s="3" t="n">
        <v>452.587129</v>
      </c>
      <c r="AH3302" s="3" t="n">
        <v>488.656175</v>
      </c>
      <c r="AI3302" s="3" t="n">
        <v>522.861055</v>
      </c>
      <c r="AJ3302" s="3" t="n">
        <v>559.380862</v>
      </c>
      <c r="AK3302" s="3" t="n">
        <v>598.339524</v>
      </c>
      <c r="AL3302" s="3" t="n">
        <v>640.107039</v>
      </c>
      <c r="AM3302" s="3" t="n"/>
      <c r="AN3302" s="3" t="n"/>
      <c r="AO3302" s="3" t="n"/>
      <c r="AP3302" s="3" t="n"/>
      <c r="AQ3302" s="3" t="n"/>
      <c r="AR3302" s="3" t="n"/>
      <c r="AS3302" s="3" t="n"/>
      <c r="AT3302" s="3" t="n"/>
      <c r="AU3302" s="3" t="n"/>
    </row>
    <row r="3303">
      <c r="A3303" s="3" t="n">
        <v>2031</v>
      </c>
      <c r="B3303" s="3" t="inlineStr">
        <is>
          <t>ZMB</t>
        </is>
      </c>
      <c r="C3303" s="3" t="inlineStr">
        <is>
          <t>IMF.RES:WEO</t>
        </is>
      </c>
      <c r="D3303" s="3" t="inlineStr">
        <is>
          <t>ZMB.NGDP_R.A</t>
        </is>
      </c>
      <c r="E3303" s="3" t="inlineStr">
        <is>
          <t>Zambia</t>
        </is>
      </c>
      <c r="F3303" s="3" t="inlineStr">
        <is>
          <t>Gross domestic product (GDP), Constant prices, Domestic currency</t>
        </is>
      </c>
      <c r="G3303" s="3" t="n">
        <v>47.404853</v>
      </c>
      <c r="H3303" s="3" t="n">
        <v>49.925306</v>
      </c>
      <c r="I3303" s="3" t="n">
        <v>52.174948</v>
      </c>
      <c r="J3303" s="3" t="n">
        <v>55.798484</v>
      </c>
      <c r="K3303" s="3" t="n">
        <v>59.722454</v>
      </c>
      <c r="L3303" s="3" t="n">
        <v>64.04373200000001</v>
      </c>
      <c r="M3303" s="3" t="n">
        <v>69.105552</v>
      </c>
      <c r="N3303" s="3" t="n">
        <v>74.87755</v>
      </c>
      <c r="O3303" s="3" t="n">
        <v>80.698452</v>
      </c>
      <c r="P3303" s="3" t="n">
        <v>88.13913100000001</v>
      </c>
      <c r="Q3303" s="3" t="n">
        <v>97.215946</v>
      </c>
      <c r="R3303" s="3" t="n">
        <v>102.630115</v>
      </c>
      <c r="S3303" s="3" t="n">
        <v>110.427316</v>
      </c>
      <c r="T3303" s="3" t="n">
        <v>116.012218</v>
      </c>
      <c r="U3303" s="3" t="n">
        <v>121.456994</v>
      </c>
      <c r="V3303" s="3" t="n">
        <v>125.003515</v>
      </c>
      <c r="W3303" s="3" t="n">
        <v>129.698026</v>
      </c>
      <c r="X3303" s="3" t="n">
        <v>134.27059</v>
      </c>
      <c r="Y3303" s="3" t="n">
        <v>139.688155</v>
      </c>
      <c r="Z3303" s="3" t="n">
        <v>141.701489</v>
      </c>
      <c r="AA3303" s="3" t="n">
        <v>137.755025</v>
      </c>
      <c r="AB3303" s="3" t="n">
        <v>146.343943</v>
      </c>
      <c r="AC3303" s="3" t="n">
        <v>153.970253</v>
      </c>
      <c r="AD3303" s="3" t="n">
        <v>162.235288</v>
      </c>
      <c r="AE3303" s="3" t="n">
        <v>168.432755</v>
      </c>
      <c r="AF3303" s="3" t="n">
        <v>174.761783</v>
      </c>
      <c r="AG3303" s="3" t="n">
        <v>182.253705</v>
      </c>
      <c r="AH3303" s="3" t="n">
        <v>190.778334</v>
      </c>
      <c r="AI3303" s="3" t="n">
        <v>200.432464</v>
      </c>
      <c r="AJ3303" s="3" t="n">
        <v>211.035032</v>
      </c>
      <c r="AK3303" s="3" t="n">
        <v>222.258841</v>
      </c>
      <c r="AL3303" s="3" t="n">
        <v>234.021913</v>
      </c>
      <c r="AM3303" s="3" t="n"/>
      <c r="AN3303" s="3" t="n"/>
      <c r="AO3303" s="3" t="n"/>
      <c r="AP3303" s="3" t="n"/>
      <c r="AQ3303" s="3" t="n"/>
      <c r="AR3303" s="3" t="n"/>
      <c r="AS3303" s="3" t="n"/>
      <c r="AT3303" s="3" t="n"/>
      <c r="AU3303" s="3" t="n"/>
    </row>
    <row r="3304">
      <c r="A3304" s="3" t="n">
        <v>2031</v>
      </c>
      <c r="B3304" s="3" t="inlineStr">
        <is>
          <t>ZMB</t>
        </is>
      </c>
      <c r="C3304" s="3" t="inlineStr">
        <is>
          <t>IMF.RES:WEO</t>
        </is>
      </c>
      <c r="D3304" s="3" t="inlineStr">
        <is>
          <t>ZMB.NGDP_RPCH.A</t>
        </is>
      </c>
      <c r="E3304" s="3" t="inlineStr">
        <is>
          <t>Zambia</t>
        </is>
      </c>
      <c r="F3304" s="3" t="inlineStr">
        <is>
          <t>Gross domestic product (GDP), Constant prices, Percent change</t>
        </is>
      </c>
      <c r="G3304" s="3" t="n">
        <v>3.897323</v>
      </c>
      <c r="H3304" s="3" t="n">
        <v>5.316868</v>
      </c>
      <c r="I3304" s="3" t="n">
        <v>4.506015</v>
      </c>
      <c r="J3304" s="3" t="n">
        <v>6.944974</v>
      </c>
      <c r="K3304" s="3" t="n">
        <v>7.032395</v>
      </c>
      <c r="L3304" s="3" t="n">
        <v>7.235599</v>
      </c>
      <c r="M3304" s="3" t="n">
        <v>7.903694</v>
      </c>
      <c r="N3304" s="3" t="n">
        <v>8.352436000000001</v>
      </c>
      <c r="O3304" s="3" t="n">
        <v>7.773896</v>
      </c>
      <c r="P3304" s="3" t="n">
        <v>9.220348</v>
      </c>
      <c r="Q3304" s="3" t="n">
        <v>10.298281</v>
      </c>
      <c r="R3304" s="3" t="n">
        <v>5.569219</v>
      </c>
      <c r="S3304" s="3" t="n">
        <v>7.597381</v>
      </c>
      <c r="T3304" s="3" t="n">
        <v>5.057537</v>
      </c>
      <c r="U3304" s="3" t="n">
        <v>4.693278</v>
      </c>
      <c r="V3304" s="3" t="n">
        <v>2.91998</v>
      </c>
      <c r="W3304" s="3" t="n">
        <v>3.755503</v>
      </c>
      <c r="X3304" s="3" t="n">
        <v>3.525547</v>
      </c>
      <c r="Y3304" s="3" t="n">
        <v>4.034812</v>
      </c>
      <c r="Z3304" s="3" t="n">
        <v>1.441306</v>
      </c>
      <c r="AA3304" s="3" t="n">
        <v>-2.785055</v>
      </c>
      <c r="AB3304" s="3" t="n">
        <v>6.234922</v>
      </c>
      <c r="AC3304" s="3" t="n">
        <v>5.211224</v>
      </c>
      <c r="AD3304" s="3" t="n">
        <v>5.367943</v>
      </c>
      <c r="AE3304" s="3" t="n">
        <v>3.820048</v>
      </c>
      <c r="AF3304" s="3" t="n">
        <v>3.757599</v>
      </c>
      <c r="AG3304" s="3" t="n">
        <v>4.286934</v>
      </c>
      <c r="AH3304" s="3" t="n">
        <v>4.677342</v>
      </c>
      <c r="AI3304" s="3" t="n">
        <v>5.060391</v>
      </c>
      <c r="AJ3304" s="3" t="n">
        <v>5.289846</v>
      </c>
      <c r="AK3304" s="3" t="n">
        <v>5.318457</v>
      </c>
      <c r="AL3304" s="3" t="n">
        <v>5.292511</v>
      </c>
      <c r="AM3304" s="3" t="n"/>
      <c r="AN3304" s="3" t="n"/>
      <c r="AO3304" s="3" t="n"/>
      <c r="AP3304" s="3" t="n"/>
      <c r="AQ3304" s="3" t="n"/>
      <c r="AR3304" s="3" t="n"/>
      <c r="AS3304" s="3" t="n"/>
      <c r="AT3304" s="3" t="n"/>
      <c r="AU3304" s="3" t="n"/>
    </row>
    <row r="3305">
      <c r="A3305" s="3" t="n">
        <v>2031</v>
      </c>
      <c r="B3305" s="3" t="inlineStr">
        <is>
          <t>ZMB</t>
        </is>
      </c>
      <c r="C3305" s="3" t="inlineStr">
        <is>
          <t>IMF.RES:WEO</t>
        </is>
      </c>
      <c r="D3305" s="3" t="inlineStr">
        <is>
          <t>ZMB.NGDPD.A</t>
        </is>
      </c>
      <c r="E3305" s="3" t="inlineStr">
        <is>
          <t>Zambia</t>
        </is>
      </c>
      <c r="F3305" s="3" t="inlineStr">
        <is>
          <t>Gross domestic product (GDP), Current prices, US dollar</t>
        </is>
      </c>
      <c r="G3305" s="3" t="n">
        <v>3.600632</v>
      </c>
      <c r="H3305" s="3" t="n">
        <v>3.870022</v>
      </c>
      <c r="I3305" s="3" t="n">
        <v>4.19385</v>
      </c>
      <c r="J3305" s="3" t="n">
        <v>4.90187</v>
      </c>
      <c r="K3305" s="3" t="n">
        <v>6.22111</v>
      </c>
      <c r="L3305" s="3" t="n">
        <v>8.329071000000001</v>
      </c>
      <c r="M3305" s="3" t="n">
        <v>12.761936</v>
      </c>
      <c r="N3305" s="3" t="n">
        <v>14.059885</v>
      </c>
      <c r="O3305" s="3" t="n">
        <v>17.914206</v>
      </c>
      <c r="P3305" s="3" t="n">
        <v>15.331684</v>
      </c>
      <c r="Q3305" s="3" t="n">
        <v>20.263876</v>
      </c>
      <c r="R3305" s="3" t="n">
        <v>23.454859</v>
      </c>
      <c r="S3305" s="3" t="n">
        <v>25.502066</v>
      </c>
      <c r="T3305" s="3" t="n">
        <v>28.042485</v>
      </c>
      <c r="U3305" s="3" t="n">
        <v>27.144608</v>
      </c>
      <c r="V3305" s="3" t="n">
        <v>21.245151</v>
      </c>
      <c r="W3305" s="3" t="n">
        <v>20.96513</v>
      </c>
      <c r="X3305" s="3" t="n">
        <v>25.873573</v>
      </c>
      <c r="Y3305" s="3" t="n">
        <v>26.311494</v>
      </c>
      <c r="Z3305" s="3" t="n">
        <v>23.308749</v>
      </c>
      <c r="AA3305" s="3" t="n">
        <v>18.137765</v>
      </c>
      <c r="AB3305" s="3" t="n">
        <v>22.096417</v>
      </c>
      <c r="AC3305" s="3" t="n">
        <v>29.163782</v>
      </c>
      <c r="AD3305" s="3" t="n">
        <v>27.577957</v>
      </c>
      <c r="AE3305" s="3" t="n">
        <v>25.303186</v>
      </c>
      <c r="AF3305" s="3" t="n">
        <v>28.879822</v>
      </c>
      <c r="AG3305" s="3" t="n">
        <v>41.242841</v>
      </c>
      <c r="AH3305" s="3" t="n">
        <v>43.262553</v>
      </c>
      <c r="AI3305" s="3" t="n">
        <v>46.098465</v>
      </c>
      <c r="AJ3305" s="3" t="n">
        <v>51.702346</v>
      </c>
      <c r="AK3305" s="3" t="n">
        <v>55.931338</v>
      </c>
      <c r="AL3305" s="3" t="n">
        <v>60.500364</v>
      </c>
      <c r="AM3305" s="3" t="n"/>
      <c r="AN3305" s="3" t="n"/>
      <c r="AO3305" s="3" t="n"/>
      <c r="AP3305" s="3" t="n"/>
      <c r="AQ3305" s="3" t="n"/>
      <c r="AR3305" s="3" t="n"/>
      <c r="AS3305" s="3" t="n"/>
      <c r="AT3305" s="3" t="n"/>
      <c r="AU3305" s="3" t="n"/>
    </row>
    <row r="3306">
      <c r="A3306" s="3" t="n">
        <v>2031</v>
      </c>
      <c r="B3306" s="3" t="inlineStr">
        <is>
          <t>ZMB</t>
        </is>
      </c>
      <c r="C3306" s="3" t="inlineStr">
        <is>
          <t>IMF.RES:WEO</t>
        </is>
      </c>
      <c r="D3306" s="3" t="inlineStr">
        <is>
          <t>ZMB.NGDPPC.A</t>
        </is>
      </c>
      <c r="E3306" s="3" t="inlineStr">
        <is>
          <t>Zambia</t>
        </is>
      </c>
      <c r="F3306" s="3" t="inlineStr">
        <is>
          <t>Gross domestic product (GDP), Current prices, Per capita, Domestic currency</t>
        </is>
      </c>
      <c r="G3306" s="3" t="n">
        <v>1118.129106</v>
      </c>
      <c r="H3306" s="3" t="n">
        <v>1431.912491</v>
      </c>
      <c r="I3306" s="3" t="n">
        <v>1732.450969</v>
      </c>
      <c r="J3306" s="3" t="n">
        <v>2112.412014</v>
      </c>
      <c r="K3306" s="3" t="n">
        <v>2622.101689</v>
      </c>
      <c r="L3306" s="3" t="n">
        <v>3173.468458</v>
      </c>
      <c r="M3306" s="3" t="n">
        <v>3789.442056</v>
      </c>
      <c r="N3306" s="3" t="n">
        <v>4477.723337</v>
      </c>
      <c r="O3306" s="3" t="n">
        <v>5152.218255</v>
      </c>
      <c r="P3306" s="3" t="n">
        <v>5733.589159</v>
      </c>
      <c r="Q3306" s="3" t="n">
        <v>6961.103565</v>
      </c>
      <c r="R3306" s="3" t="n">
        <v>7897.999525</v>
      </c>
      <c r="S3306" s="3" t="n">
        <v>8802.142148000001</v>
      </c>
      <c r="T3306" s="3" t="n">
        <v>9827.315605</v>
      </c>
      <c r="U3306" s="3" t="n">
        <v>10509.5396</v>
      </c>
      <c r="V3306" s="3" t="n">
        <v>11182.393396</v>
      </c>
      <c r="W3306" s="3" t="n">
        <v>12775.96495</v>
      </c>
      <c r="X3306" s="3" t="n">
        <v>14118.870002</v>
      </c>
      <c r="Y3306" s="3" t="n">
        <v>15309.946361</v>
      </c>
      <c r="Z3306" s="3" t="n">
        <v>16228.388519</v>
      </c>
      <c r="AA3306" s="3" t="n">
        <v>17457.051848</v>
      </c>
      <c r="AB3306" s="3" t="n">
        <v>22564.053398</v>
      </c>
      <c r="AC3306" s="3" t="n">
        <v>24510.783557</v>
      </c>
      <c r="AD3306" s="3" t="n">
        <v>26896.694361</v>
      </c>
      <c r="AE3306" s="3" t="n">
        <v>31062.402836</v>
      </c>
      <c r="AF3306" s="3" t="n">
        <v>33113.333091</v>
      </c>
      <c r="AG3306" s="3" t="n">
        <v>36624.630333</v>
      </c>
      <c r="AH3306" s="3" t="n">
        <v>40289.614559</v>
      </c>
      <c r="AI3306" s="3" t="n">
        <v>44104.492411</v>
      </c>
      <c r="AJ3306" s="3" t="n">
        <v>48401.180039</v>
      </c>
      <c r="AK3306" s="3" t="n">
        <v>53141.568439</v>
      </c>
      <c r="AL3306" s="3" t="n">
        <v>58363.645463</v>
      </c>
      <c r="AM3306" s="3" t="n"/>
      <c r="AN3306" s="3" t="n"/>
      <c r="AO3306" s="3" t="n"/>
      <c r="AP3306" s="3" t="n"/>
      <c r="AQ3306" s="3" t="n"/>
      <c r="AR3306" s="3" t="n"/>
      <c r="AS3306" s="3" t="n"/>
      <c r="AT3306" s="3" t="n"/>
      <c r="AU3306" s="3" t="n"/>
    </row>
    <row r="3307">
      <c r="A3307" s="3" t="n">
        <v>2031</v>
      </c>
      <c r="B3307" s="3" t="inlineStr">
        <is>
          <t>ZMB</t>
        </is>
      </c>
      <c r="C3307" s="3" t="inlineStr">
        <is>
          <t>IMF.RES:WEO</t>
        </is>
      </c>
      <c r="D3307" s="3" t="inlineStr">
        <is>
          <t>ZMB.NGDPRPC.A</t>
        </is>
      </c>
      <c r="E3307" s="3" t="inlineStr">
        <is>
          <t>Zambia</t>
        </is>
      </c>
      <c r="F3307" s="3" t="inlineStr">
        <is>
          <t>Gross domestic product (GDP), Constant prices, Per capita, Domestic currency</t>
        </is>
      </c>
      <c r="G3307" s="3" t="n">
        <v>4732.14204</v>
      </c>
      <c r="H3307" s="3" t="n">
        <v>4835.294125</v>
      </c>
      <c r="I3307" s="3" t="n">
        <v>4899.999798</v>
      </c>
      <c r="J3307" s="3" t="n">
        <v>5080.165863</v>
      </c>
      <c r="K3307" s="3" t="n">
        <v>5267.367384</v>
      </c>
      <c r="L3307" s="3" t="n">
        <v>5465.032921</v>
      </c>
      <c r="M3307" s="3" t="n">
        <v>5697.287647</v>
      </c>
      <c r="N3307" s="3" t="n">
        <v>5959.17574</v>
      </c>
      <c r="O3307" s="3" t="n">
        <v>6197.407606</v>
      </c>
      <c r="P3307" s="3" t="n">
        <v>6533.475861</v>
      </c>
      <c r="Q3307" s="3" t="n">
        <v>6961.103565</v>
      </c>
      <c r="R3307" s="3" t="n">
        <v>7108.433646</v>
      </c>
      <c r="S3307" s="3" t="n">
        <v>7404.456406</v>
      </c>
      <c r="T3307" s="3" t="n">
        <v>7533.751586</v>
      </c>
      <c r="U3307" s="3" t="n">
        <v>7641.05614</v>
      </c>
      <c r="V3307" s="3" t="n">
        <v>7622.588944</v>
      </c>
      <c r="W3307" s="3" t="n">
        <v>7667.895358</v>
      </c>
      <c r="X3307" s="3" t="n">
        <v>7698.419044</v>
      </c>
      <c r="Y3307" s="3" t="n">
        <v>7771.865195</v>
      </c>
      <c r="Z3307" s="3" t="n">
        <v>7653.814482</v>
      </c>
      <c r="AA3307" s="3" t="n">
        <v>7227.670374</v>
      </c>
      <c r="AB3307" s="3" t="n">
        <v>7465.153887</v>
      </c>
      <c r="AC3307" s="3" t="n">
        <v>7640.089654</v>
      </c>
      <c r="AD3307" s="3" t="n">
        <v>7828.390382</v>
      </c>
      <c r="AE3307" s="3" t="n">
        <v>7902.092532</v>
      </c>
      <c r="AF3307" s="3" t="n">
        <v>7974.937837</v>
      </c>
      <c r="AG3307" s="3" t="n">
        <v>8092.28278</v>
      </c>
      <c r="AH3307" s="3" t="n">
        <v>8244.982184</v>
      </c>
      <c r="AI3307" s="3" t="n">
        <v>8435.222315000001</v>
      </c>
      <c r="AJ3307" s="3" t="n">
        <v>8652.634250999999</v>
      </c>
      <c r="AK3307" s="3" t="n">
        <v>8881.507288999999</v>
      </c>
      <c r="AL3307" s="3" t="n">
        <v>9117.794666</v>
      </c>
      <c r="AM3307" s="3" t="n"/>
      <c r="AN3307" s="3" t="n"/>
      <c r="AO3307" s="3" t="n"/>
      <c r="AP3307" s="3" t="n"/>
      <c r="AQ3307" s="3" t="n"/>
      <c r="AR3307" s="3" t="n"/>
      <c r="AS3307" s="3" t="n"/>
      <c r="AT3307" s="3" t="n"/>
      <c r="AU3307" s="3" t="n"/>
    </row>
    <row r="3308">
      <c r="A3308" s="3" t="n">
        <v>2031</v>
      </c>
      <c r="B3308" s="3" t="inlineStr">
        <is>
          <t>ZMB</t>
        </is>
      </c>
      <c r="C3308" s="3" t="inlineStr">
        <is>
          <t>IMF.RES:WEO</t>
        </is>
      </c>
      <c r="D3308" s="3" t="inlineStr">
        <is>
          <t>ZMB.PCPI.A</t>
        </is>
      </c>
      <c r="E3308" s="3" t="inlineStr">
        <is>
          <t>Zambia</t>
        </is>
      </c>
      <c r="F3308" s="3" t="inlineStr">
        <is>
          <t>All Items, Consumer price index (CPI), Period average</t>
        </is>
      </c>
      <c r="G3308" s="3" t="n">
        <v>25.255451</v>
      </c>
      <c r="H3308" s="3" t="n">
        <v>30.649259</v>
      </c>
      <c r="I3308" s="3" t="n">
        <v>37.46534</v>
      </c>
      <c r="J3308" s="3" t="n">
        <v>45.482784</v>
      </c>
      <c r="K3308" s="3" t="n">
        <v>53.655398</v>
      </c>
      <c r="L3308" s="3" t="n">
        <v>63.487682</v>
      </c>
      <c r="M3308" s="3" t="n">
        <v>69.212529</v>
      </c>
      <c r="N3308" s="3" t="n">
        <v>76.587318</v>
      </c>
      <c r="O3308" s="3" t="n">
        <v>86.12197500000001</v>
      </c>
      <c r="P3308" s="3" t="n">
        <v>97.655199</v>
      </c>
      <c r="Q3308" s="3" t="n">
        <v>105.95599</v>
      </c>
      <c r="R3308" s="3" t="n">
        <v>115.13</v>
      </c>
      <c r="S3308" s="3" t="n">
        <v>122.699917</v>
      </c>
      <c r="T3308" s="3" t="n">
        <v>131.2625</v>
      </c>
      <c r="U3308" s="3" t="n">
        <v>141.515</v>
      </c>
      <c r="V3308" s="3" t="n">
        <v>155.8175</v>
      </c>
      <c r="W3308" s="3" t="n">
        <v>183.661667</v>
      </c>
      <c r="X3308" s="3" t="n">
        <v>195.741667</v>
      </c>
      <c r="Y3308" s="3" t="n">
        <v>210.411667</v>
      </c>
      <c r="Z3308" s="3" t="n">
        <v>229.665833</v>
      </c>
      <c r="AA3308" s="3" t="n">
        <v>265.798333</v>
      </c>
      <c r="AB3308" s="3" t="n">
        <v>324.329167</v>
      </c>
      <c r="AC3308" s="3" t="n">
        <v>359.983333</v>
      </c>
      <c r="AD3308" s="3" t="n">
        <v>399.165833</v>
      </c>
      <c r="AE3308" s="3" t="n">
        <v>458.983333</v>
      </c>
      <c r="AF3308" s="3" t="n">
        <v>522.8275</v>
      </c>
      <c r="AG3308" s="3" t="n">
        <v>569.881975</v>
      </c>
      <c r="AH3308" s="3" t="n">
        <v>615.472533</v>
      </c>
      <c r="AI3308" s="3" t="n">
        <v>658.55561</v>
      </c>
      <c r="AJ3308" s="3" t="n">
        <v>704.654503</v>
      </c>
      <c r="AK3308" s="3" t="n">
        <v>753.980318</v>
      </c>
      <c r="AL3308" s="3" t="n">
        <v>806.758941</v>
      </c>
      <c r="AM3308" s="3" t="n"/>
      <c r="AN3308" s="3" t="n"/>
      <c r="AO3308" s="3" t="n"/>
      <c r="AP3308" s="3" t="n"/>
      <c r="AQ3308" s="3" t="n"/>
      <c r="AR3308" s="3" t="n"/>
      <c r="AS3308" s="3" t="n"/>
      <c r="AT3308" s="3" t="n"/>
      <c r="AU3308" s="3" t="n"/>
    </row>
    <row r="3309">
      <c r="A3309" s="3" t="n">
        <v>2031</v>
      </c>
      <c r="B3309" s="3" t="inlineStr">
        <is>
          <t>ZMB</t>
        </is>
      </c>
      <c r="C3309" s="3" t="inlineStr">
        <is>
          <t>IMF.RES:WEO</t>
        </is>
      </c>
      <c r="D3309" s="3" t="inlineStr">
        <is>
          <t>ZMB.PCPIPCH.A</t>
        </is>
      </c>
      <c r="E3309" s="3" t="inlineStr">
        <is>
          <t>Zambia</t>
        </is>
      </c>
      <c r="F3309" s="3" t="inlineStr">
        <is>
          <t>All Items, Consumer price index (CPI), Period average, percent change</t>
        </is>
      </c>
      <c r="G3309" s="3" t="n">
        <v>24.090549</v>
      </c>
      <c r="H3309" s="3" t="n">
        <v>21.357008</v>
      </c>
      <c r="I3309" s="3" t="n">
        <v>22.238973</v>
      </c>
      <c r="J3309" s="3" t="n">
        <v>21.399632</v>
      </c>
      <c r="K3309" s="3" t="n">
        <v>17.968588</v>
      </c>
      <c r="L3309" s="3" t="n">
        <v>18.324872</v>
      </c>
      <c r="M3309" s="3" t="n">
        <v>9.017256</v>
      </c>
      <c r="N3309" s="3" t="n">
        <v>10.65528</v>
      </c>
      <c r="O3309" s="3" t="n">
        <v>12.449395</v>
      </c>
      <c r="P3309" s="3" t="n">
        <v>13.391731</v>
      </c>
      <c r="Q3309" s="3" t="n">
        <v>8.500102</v>
      </c>
      <c r="R3309" s="3" t="n">
        <v>8.658321000000001</v>
      </c>
      <c r="S3309" s="3" t="n">
        <v>6.575104</v>
      </c>
      <c r="T3309" s="3" t="n">
        <v>6.978475</v>
      </c>
      <c r="U3309" s="3" t="n">
        <v>7.810685</v>
      </c>
      <c r="V3309" s="3" t="n">
        <v>10.106702</v>
      </c>
      <c r="W3309" s="3" t="n">
        <v>17.86973</v>
      </c>
      <c r="X3309" s="3" t="n">
        <v>6.577312</v>
      </c>
      <c r="Y3309" s="3" t="n">
        <v>7.494572</v>
      </c>
      <c r="Z3309" s="3" t="n">
        <v>9.150712</v>
      </c>
      <c r="AA3309" s="3" t="n">
        <v>15.732641</v>
      </c>
      <c r="AB3309" s="3" t="n">
        <v>22.020768</v>
      </c>
      <c r="AC3309" s="3" t="n">
        <v>10.993204</v>
      </c>
      <c r="AD3309" s="3" t="n">
        <v>10.884532</v>
      </c>
      <c r="AE3309" s="3" t="n">
        <v>14.985626</v>
      </c>
      <c r="AF3309" s="3" t="n">
        <v>13.90991</v>
      </c>
      <c r="AG3309" s="3" t="n">
        <v>9</v>
      </c>
      <c r="AH3309" s="3" t="n">
        <v>8</v>
      </c>
      <c r="AI3309" s="3" t="n">
        <v>7</v>
      </c>
      <c r="AJ3309" s="3" t="n">
        <v>7</v>
      </c>
      <c r="AK3309" s="3" t="n">
        <v>7</v>
      </c>
      <c r="AL3309" s="3" t="n">
        <v>7</v>
      </c>
      <c r="AM3309" s="3" t="n"/>
      <c r="AN3309" s="3" t="n"/>
      <c r="AO3309" s="3" t="n"/>
      <c r="AP3309" s="3" t="n"/>
      <c r="AQ3309" s="3" t="n"/>
      <c r="AR3309" s="3" t="n"/>
      <c r="AS3309" s="3" t="n"/>
      <c r="AT3309" s="3" t="n"/>
      <c r="AU3309" s="3" t="n"/>
    </row>
    <row r="3310">
      <c r="A3310" s="3" t="n">
        <v>2031</v>
      </c>
      <c r="B3310" s="3" t="inlineStr">
        <is>
          <t>ZMB</t>
        </is>
      </c>
      <c r="C3310" s="3" t="inlineStr">
        <is>
          <t>IMF.RES:WEO</t>
        </is>
      </c>
      <c r="D3310" s="3" t="inlineStr">
        <is>
          <t>ZMB.PPPPC.A</t>
        </is>
      </c>
      <c r="E3310" s="3" t="inlineStr">
        <is>
          <t>Zambia</t>
        </is>
      </c>
      <c r="F3310" s="3" t="inlineStr">
        <is>
          <t>Gross domestic product (GDP), Per capita, purchasing power parity (PPP) international dollar, ICP benchmarks 2017-2021</t>
        </is>
      </c>
      <c r="G3310" s="3" t="n">
        <v>1516.112309</v>
      </c>
      <c r="H3310" s="3" t="n">
        <v>1584.042018</v>
      </c>
      <c r="I3310" s="3" t="n">
        <v>1630.18559</v>
      </c>
      <c r="J3310" s="3" t="n">
        <v>1723.491927</v>
      </c>
      <c r="K3310" s="3" t="n">
        <v>1835.052078</v>
      </c>
      <c r="L3310" s="3" t="n">
        <v>1963.618412</v>
      </c>
      <c r="M3310" s="3" t="n">
        <v>2110.198092</v>
      </c>
      <c r="N3310" s="3" t="n">
        <v>2266.996842</v>
      </c>
      <c r="O3310" s="3" t="n">
        <v>2403.042856</v>
      </c>
      <c r="P3310" s="3" t="n">
        <v>2548.977469</v>
      </c>
      <c r="Q3310" s="3" t="n">
        <v>2748.819908</v>
      </c>
      <c r="R3310" s="3" t="n">
        <v>2864.913361</v>
      </c>
      <c r="S3310" s="3" t="n">
        <v>3039.783611</v>
      </c>
      <c r="T3310" s="3" t="n">
        <v>3145.504415</v>
      </c>
      <c r="U3310" s="3" t="n">
        <v>3245.87243</v>
      </c>
      <c r="V3310" s="3" t="n">
        <v>3268.078302</v>
      </c>
      <c r="W3310" s="3" t="n">
        <v>3318.741419</v>
      </c>
      <c r="X3310" s="3" t="n">
        <v>3391.623963</v>
      </c>
      <c r="Y3310" s="3" t="n">
        <v>3442.271477</v>
      </c>
      <c r="Z3310" s="3" t="n">
        <v>3361.40919</v>
      </c>
      <c r="AA3310" s="3" t="n">
        <v>3157.300093</v>
      </c>
      <c r="AB3310" s="3" t="n">
        <v>3503.034914</v>
      </c>
      <c r="AC3310" s="3" t="n">
        <v>3840.11264</v>
      </c>
      <c r="AD3310" s="3" t="n">
        <v>4080.344947</v>
      </c>
      <c r="AE3310" s="3" t="n">
        <v>4221.010345</v>
      </c>
      <c r="AF3310" s="3" t="n">
        <v>4380.76569</v>
      </c>
      <c r="AG3310" s="3" t="n">
        <v>4572.574285</v>
      </c>
      <c r="AH3310" s="3" t="n">
        <v>4761.161597</v>
      </c>
      <c r="AI3310" s="3" t="n">
        <v>4950.970418</v>
      </c>
      <c r="AJ3310" s="3" t="n">
        <v>5168.88084</v>
      </c>
      <c r="AK3310" s="3" t="n">
        <v>5403.096129</v>
      </c>
      <c r="AL3310" s="3" t="n">
        <v>5646.979628</v>
      </c>
      <c r="AM3310" s="3" t="n"/>
      <c r="AN3310" s="3" t="n"/>
      <c r="AO3310" s="3" t="n"/>
      <c r="AP3310" s="3" t="n"/>
      <c r="AQ3310" s="3" t="n"/>
      <c r="AR3310" s="3" t="n"/>
      <c r="AS3310" s="3" t="n"/>
      <c r="AT3310" s="3" t="n"/>
      <c r="AU3310" s="3" t="n"/>
    </row>
    <row r="3311">
      <c r="A3311" s="3" t="n">
        <v>2025</v>
      </c>
      <c r="B3311" s="3" t="inlineStr">
        <is>
          <t>ZMB</t>
        </is>
      </c>
      <c r="C3311" s="3" t="inlineStr">
        <is>
          <t>IMF.STA:ER</t>
        </is>
      </c>
      <c r="D3311" s="3" t="inlineStr">
        <is>
          <t>ZMB.XDC_USD.PA_RT.A</t>
        </is>
      </c>
      <c r="E3311" s="3" t="inlineStr">
        <is>
          <t>Zambia</t>
        </is>
      </c>
      <c r="F3311" s="3" t="inlineStr">
        <is>
          <t>Domestic currency per US Dollar</t>
        </is>
      </c>
      <c r="G3311" s="3" t="n">
        <v>3.11084416666666</v>
      </c>
      <c r="H3311" s="3" t="n">
        <v>3.610935</v>
      </c>
      <c r="I3311" s="3" t="n">
        <v>4.398595</v>
      </c>
      <c r="J3311" s="3" t="n">
        <v>4.73327104649872</v>
      </c>
      <c r="K3311" s="3" t="n">
        <v>4.77887538643578</v>
      </c>
      <c r="L3311" s="3" t="n">
        <v>4.465</v>
      </c>
      <c r="M3311" s="3" t="n">
        <v>3.60166666666666</v>
      </c>
      <c r="N3311" s="3" t="n">
        <v>4.00166666666666</v>
      </c>
      <c r="O3311" s="3" t="n">
        <v>3.745</v>
      </c>
      <c r="P3311" s="3" t="n">
        <v>5.045</v>
      </c>
      <c r="Q3311" s="3" t="n">
        <v>4.7975</v>
      </c>
      <c r="R3311" s="3" t="n">
        <v>4.86166666666666</v>
      </c>
      <c r="S3311" s="3" t="n">
        <v>5.1475</v>
      </c>
      <c r="T3311" s="3" t="n">
        <v>5.39648333333333</v>
      </c>
      <c r="U3311" s="3" t="n">
        <v>6.15416666666666</v>
      </c>
      <c r="V3311" s="3" t="n">
        <v>8.631666666666661</v>
      </c>
      <c r="W3311" s="3" t="n">
        <v>10.3075</v>
      </c>
      <c r="X3311" s="3" t="n">
        <v>9.5175</v>
      </c>
      <c r="Y3311" s="3" t="n">
        <v>10.4583333333333</v>
      </c>
      <c r="Z3311" s="3" t="n">
        <v>12.89</v>
      </c>
      <c r="AA3311" s="3" t="n">
        <v>18.3440926453378</v>
      </c>
      <c r="AB3311" s="3" t="n">
        <v>20.0184865859688</v>
      </c>
      <c r="AC3311" s="3" t="n">
        <v>16.9375943252988</v>
      </c>
      <c r="AD3311" s="3" t="n">
        <v>20.2120178661949</v>
      </c>
      <c r="AE3311" s="3" t="n">
        <v>26.1664181859875</v>
      </c>
      <c r="AF3311" s="3" t="n">
        <v>25.2756892021939</v>
      </c>
      <c r="AG3311" s="3" t="n"/>
      <c r="AH3311" s="3" t="n"/>
      <c r="AI3311" s="3" t="n"/>
      <c r="AJ3311" s="3" t="n"/>
      <c r="AK3311" s="3" t="n"/>
      <c r="AL3311" s="3" t="n"/>
      <c r="AM3311" s="3" t="n"/>
      <c r="AN3311" s="3" t="n"/>
      <c r="AO3311" s="3" t="n"/>
      <c r="AP3311" s="3" t="n"/>
      <c r="AQ3311" s="3" t="n"/>
      <c r="AR3311" s="3" t="n"/>
      <c r="AS3311" s="3" t="n"/>
      <c r="AT3311" s="3" t="n"/>
      <c r="AU3311" s="3" t="n"/>
    </row>
    <row r="3312">
      <c r="A3312" s="3" t="n">
        <v>2031</v>
      </c>
      <c r="B3312" s="3" t="inlineStr">
        <is>
          <t>ZWE</t>
        </is>
      </c>
      <c r="C3312" s="3" t="inlineStr">
        <is>
          <t>IMF.RES:WEO</t>
        </is>
      </c>
      <c r="D3312" s="3" t="inlineStr">
        <is>
          <t>ZWE.BCA.A</t>
        </is>
      </c>
      <c r="E3312" s="3" t="inlineStr">
        <is>
          <t>Zimbabwe</t>
        </is>
      </c>
      <c r="F3312" s="3" t="inlineStr">
        <is>
          <t>Current account balance (credit less debit), US dollar</t>
        </is>
      </c>
      <c r="G3312" s="3" t="n">
        <v>0.321866</v>
      </c>
      <c r="H3312" s="3" t="n">
        <v>0.365201</v>
      </c>
      <c r="I3312" s="3" t="n">
        <v>0.249381</v>
      </c>
      <c r="J3312" s="3" t="n">
        <v>-0.06893100000000001</v>
      </c>
      <c r="K3312" s="3" t="n">
        <v>-0.128101</v>
      </c>
      <c r="L3312" s="3" t="n">
        <v>-0.086687</v>
      </c>
      <c r="M3312" s="3" t="n">
        <v>0.153659</v>
      </c>
      <c r="N3312" s="3" t="n">
        <v>0.298038</v>
      </c>
      <c r="O3312" s="3" t="n">
        <v>-0.138211</v>
      </c>
      <c r="P3312" s="3" t="n">
        <v>-0.73047</v>
      </c>
      <c r="Q3312" s="3" t="n">
        <v>-1.655386</v>
      </c>
      <c r="R3312" s="3" t="n">
        <v>-2.749518</v>
      </c>
      <c r="S3312" s="3" t="n">
        <v>-2.27758</v>
      </c>
      <c r="T3312" s="3" t="n">
        <v>-2.648761</v>
      </c>
      <c r="U3312" s="3" t="n">
        <v>-2.333838</v>
      </c>
      <c r="V3312" s="3" t="n">
        <v>-1.596669</v>
      </c>
      <c r="W3312" s="3" t="n">
        <v>-0.69745</v>
      </c>
      <c r="X3312" s="3" t="n">
        <v>-0.271191</v>
      </c>
      <c r="Y3312" s="3" t="n">
        <v>-1.379638</v>
      </c>
      <c r="Z3312" s="3" t="n">
        <v>0.9204599999999999</v>
      </c>
      <c r="AA3312" s="3" t="n">
        <v>0.678378</v>
      </c>
      <c r="AB3312" s="3" t="n">
        <v>0.348215</v>
      </c>
      <c r="AC3312" s="3" t="n">
        <v>0.305061</v>
      </c>
      <c r="AD3312" s="3" t="n">
        <v>0.134936</v>
      </c>
      <c r="AE3312" s="3" t="n">
        <v>0.501201</v>
      </c>
      <c r="AF3312" s="3" t="n">
        <v>2.129217</v>
      </c>
      <c r="AG3312" s="3" t="n">
        <v>2.120074</v>
      </c>
      <c r="AH3312" s="3" t="n">
        <v>1.993987</v>
      </c>
      <c r="AI3312" s="3" t="n">
        <v>1.796497</v>
      </c>
      <c r="AJ3312" s="3" t="n">
        <v>1.627857</v>
      </c>
      <c r="AK3312" s="3" t="n">
        <v>1.371409</v>
      </c>
      <c r="AL3312" s="3" t="n">
        <v>1.016242</v>
      </c>
      <c r="AM3312" s="3" t="n"/>
      <c r="AN3312" s="3" t="n"/>
      <c r="AO3312" s="3" t="n"/>
      <c r="AP3312" s="3" t="n"/>
      <c r="AQ3312" s="3" t="n"/>
      <c r="AR3312" s="3" t="n"/>
      <c r="AS3312" s="3" t="n"/>
      <c r="AT3312" s="3" t="n"/>
      <c r="AU3312" s="3" t="n"/>
    </row>
    <row r="3313">
      <c r="A3313" s="3" t="n">
        <v>2031</v>
      </c>
      <c r="B3313" s="3" t="inlineStr">
        <is>
          <t>ZWE</t>
        </is>
      </c>
      <c r="C3313" s="3" t="inlineStr">
        <is>
          <t>IMF.RES:WEO</t>
        </is>
      </c>
      <c r="D3313" s="3" t="inlineStr">
        <is>
          <t>ZWE.BCA_NGDPD.A</t>
        </is>
      </c>
      <c r="E3313" s="3" t="inlineStr">
        <is>
          <t>Zimbabwe</t>
        </is>
      </c>
      <c r="F3313" s="3" t="inlineStr">
        <is>
          <t>Current account balance (credit less debit), Percent of GDP</t>
        </is>
      </c>
      <c r="G3313" s="3" t="n">
        <v>1.921036</v>
      </c>
      <c r="H3313" s="3" t="n">
        <v>2.198305</v>
      </c>
      <c r="I3313" s="3" t="n">
        <v>1.572332</v>
      </c>
      <c r="J3313" s="3" t="n">
        <v>-0.487309</v>
      </c>
      <c r="K3313" s="3" t="n">
        <v>-0.916011</v>
      </c>
      <c r="L3313" s="3" t="n">
        <v>-0.648606</v>
      </c>
      <c r="M3313" s="3" t="n">
        <v>1.277404</v>
      </c>
      <c r="N3313" s="3" t="n">
        <v>2.591219</v>
      </c>
      <c r="O3313" s="3" t="n">
        <v>-1.394712</v>
      </c>
      <c r="P3313" s="3" t="n">
        <v>-5.114715</v>
      </c>
      <c r="Q3313" s="3" t="n">
        <v>-9.588350999999999</v>
      </c>
      <c r="R3313" s="3" t="n">
        <v>-13.656137</v>
      </c>
      <c r="S3313" s="3" t="n">
        <v>-9.421955000000001</v>
      </c>
      <c r="T3313" s="3" t="n">
        <v>-9.899635999999999</v>
      </c>
      <c r="U3313" s="3" t="n">
        <v>-8.261831000000001</v>
      </c>
      <c r="V3313" s="3" t="n">
        <v>-5.677548</v>
      </c>
      <c r="W3313" s="3" t="n">
        <v>-2.383914</v>
      </c>
      <c r="X3313" s="3" t="n">
        <v>-0.874297</v>
      </c>
      <c r="Y3313" s="3" t="n">
        <v>-2.558978</v>
      </c>
      <c r="Z3313" s="3" t="n">
        <v>2.314131</v>
      </c>
      <c r="AA3313" s="3" t="n">
        <v>1.697538</v>
      </c>
      <c r="AB3313" s="3" t="n">
        <v>0.664369</v>
      </c>
      <c r="AC3313" s="3" t="n">
        <v>0.62808</v>
      </c>
      <c r="AD3313" s="3" t="n">
        <v>0.3041</v>
      </c>
      <c r="AE3313" s="3" t="n">
        <v>1.019646</v>
      </c>
      <c r="AF3313" s="3" t="n">
        <v>3.981768</v>
      </c>
      <c r="AG3313" s="3" t="n">
        <v>3.738271</v>
      </c>
      <c r="AH3313" s="3" t="n">
        <v>3.4735</v>
      </c>
      <c r="AI3313" s="3" t="n">
        <v>3.00283</v>
      </c>
      <c r="AJ3313" s="3" t="n">
        <v>2.61085</v>
      </c>
      <c r="AK3313" s="3" t="n">
        <v>2.110049</v>
      </c>
      <c r="AL3313" s="3" t="n">
        <v>1.499725</v>
      </c>
      <c r="AM3313" s="3" t="n"/>
      <c r="AN3313" s="3" t="n"/>
      <c r="AO3313" s="3" t="n"/>
      <c r="AP3313" s="3" t="n"/>
      <c r="AQ3313" s="3" t="n"/>
      <c r="AR3313" s="3" t="n"/>
      <c r="AS3313" s="3" t="n"/>
      <c r="AT3313" s="3" t="n"/>
      <c r="AU3313" s="3" t="n"/>
    </row>
    <row r="3314">
      <c r="A3314" s="3" t="n">
        <v>2031</v>
      </c>
      <c r="B3314" s="3" t="inlineStr">
        <is>
          <t>ZWE</t>
        </is>
      </c>
      <c r="C3314" s="3" t="inlineStr">
        <is>
          <t>IMF.RES:WEO</t>
        </is>
      </c>
      <c r="D3314" s="3" t="inlineStr">
        <is>
          <t>ZWE.GGR_NGDP.A</t>
        </is>
      </c>
      <c r="E3314" s="3" t="inlineStr">
        <is>
          <t>Zimbabwe</t>
        </is>
      </c>
      <c r="F3314" s="3" t="inlineStr">
        <is>
          <t>Revenue, General government, Percent of GDP</t>
        </is>
      </c>
      <c r="G3314" s="3" t="n"/>
      <c r="H3314" s="3" t="n"/>
      <c r="I3314" s="3" t="n"/>
      <c r="J3314" s="3" t="n"/>
      <c r="K3314" s="3" t="n"/>
      <c r="L3314" s="3" t="n">
        <v>7.040261</v>
      </c>
      <c r="M3314" s="3" t="n">
        <v>4.323566</v>
      </c>
      <c r="N3314" s="3" t="n">
        <v>1.751543</v>
      </c>
      <c r="O3314" s="3" t="n">
        <v>1.341223</v>
      </c>
      <c r="P3314" s="3" t="n">
        <v>6.538815</v>
      </c>
      <c r="Q3314" s="3" t="n">
        <v>12.732296</v>
      </c>
      <c r="R3314" s="3" t="n">
        <v>14.505747</v>
      </c>
      <c r="S3314" s="3" t="n">
        <v>14.461428</v>
      </c>
      <c r="T3314" s="3" t="n">
        <v>13.981988</v>
      </c>
      <c r="U3314" s="3" t="n">
        <v>13.345492</v>
      </c>
      <c r="V3314" s="3" t="n">
        <v>13.288526</v>
      </c>
      <c r="W3314" s="3" t="n">
        <v>11.97064</v>
      </c>
      <c r="X3314" s="3" t="n">
        <v>12.433017</v>
      </c>
      <c r="Y3314" s="3" t="n">
        <v>10.092293</v>
      </c>
      <c r="Z3314" s="3" t="n">
        <v>7.644072</v>
      </c>
      <c r="AA3314" s="3" t="n">
        <v>8.928844</v>
      </c>
      <c r="AB3314" s="3" t="n">
        <v>10.546547</v>
      </c>
      <c r="AC3314" s="3" t="n">
        <v>11.145234</v>
      </c>
      <c r="AD3314" s="3" t="n">
        <v>11.602153</v>
      </c>
      <c r="AE3314" s="3" t="n">
        <v>12.93651</v>
      </c>
      <c r="AF3314" s="3" t="n">
        <v>15.543225</v>
      </c>
      <c r="AG3314" s="3" t="n">
        <v>15.952642</v>
      </c>
      <c r="AH3314" s="3" t="n">
        <v>16.17675</v>
      </c>
      <c r="AI3314" s="3" t="n">
        <v>16.37675</v>
      </c>
      <c r="AJ3314" s="3" t="n">
        <v>16.576701</v>
      </c>
      <c r="AK3314" s="3" t="n">
        <v>16.77675</v>
      </c>
      <c r="AL3314" s="3" t="n">
        <v>16.966604</v>
      </c>
      <c r="AM3314" s="3" t="n"/>
      <c r="AN3314" s="3" t="n"/>
      <c r="AO3314" s="3" t="n"/>
      <c r="AP3314" s="3" t="n"/>
      <c r="AQ3314" s="3" t="n"/>
      <c r="AR3314" s="3" t="n"/>
      <c r="AS3314" s="3" t="n"/>
      <c r="AT3314" s="3" t="n"/>
      <c r="AU3314" s="3" t="n"/>
    </row>
    <row r="3315">
      <c r="A3315" s="3" t="n">
        <v>2031</v>
      </c>
      <c r="B3315" s="3" t="inlineStr">
        <is>
          <t>ZWE</t>
        </is>
      </c>
      <c r="C3315" s="3" t="inlineStr">
        <is>
          <t>IMF.RES:WEO</t>
        </is>
      </c>
      <c r="D3315" s="3" t="inlineStr">
        <is>
          <t>ZWE.GGX_NGDP.A</t>
        </is>
      </c>
      <c r="E3315" s="3" t="inlineStr">
        <is>
          <t>Zimbabwe</t>
        </is>
      </c>
      <c r="F3315" s="3" t="inlineStr">
        <is>
          <t>Expenditure, General government, Percent of GDP</t>
        </is>
      </c>
      <c r="G3315" s="3" t="n"/>
      <c r="H3315" s="3" t="n"/>
      <c r="I3315" s="3" t="n"/>
      <c r="J3315" s="3" t="n"/>
      <c r="K3315" s="3" t="n"/>
      <c r="L3315" s="3" t="n">
        <v>10.618722</v>
      </c>
      <c r="M3315" s="3" t="n">
        <v>5.786852</v>
      </c>
      <c r="N3315" s="3" t="n">
        <v>3.463947</v>
      </c>
      <c r="O3315" s="3" t="n">
        <v>2.565682</v>
      </c>
      <c r="P3315" s="3" t="n">
        <v>8.017632000000001</v>
      </c>
      <c r="Q3315" s="3" t="n">
        <v>13.129723</v>
      </c>
      <c r="R3315" s="3" t="n">
        <v>16.483415</v>
      </c>
      <c r="S3315" s="3" t="n">
        <v>14.813653</v>
      </c>
      <c r="T3315" s="3" t="n">
        <v>15.192896</v>
      </c>
      <c r="U3315" s="3" t="n">
        <v>14.217727</v>
      </c>
      <c r="V3315" s="3" t="n">
        <v>14.894537</v>
      </c>
      <c r="W3315" s="3" t="n">
        <v>16.963869</v>
      </c>
      <c r="X3315" s="3" t="n">
        <v>21.109156</v>
      </c>
      <c r="Y3315" s="3" t="n">
        <v>14.643747</v>
      </c>
      <c r="Z3315" s="3" t="n">
        <v>7.699679</v>
      </c>
      <c r="AA3315" s="3" t="n">
        <v>8.397938</v>
      </c>
      <c r="AB3315" s="3" t="n">
        <v>12.374086</v>
      </c>
      <c r="AC3315" s="3" t="n">
        <v>12.144855</v>
      </c>
      <c r="AD3315" s="3" t="n">
        <v>21.053495</v>
      </c>
      <c r="AE3315" s="3" t="n">
        <v>13.692415</v>
      </c>
      <c r="AF3315" s="3" t="n">
        <v>15.461414</v>
      </c>
      <c r="AG3315" s="3" t="n">
        <v>16.705487</v>
      </c>
      <c r="AH3315" s="3" t="n">
        <v>17.043903</v>
      </c>
      <c r="AI3315" s="3" t="n">
        <v>17.27796</v>
      </c>
      <c r="AJ3315" s="3" t="n">
        <v>17.47035</v>
      </c>
      <c r="AK3315" s="3" t="n">
        <v>17.681987</v>
      </c>
      <c r="AL3315" s="3" t="n">
        <v>17.877382</v>
      </c>
      <c r="AM3315" s="3" t="n"/>
      <c r="AN3315" s="3" t="n"/>
      <c r="AO3315" s="3" t="n"/>
      <c r="AP3315" s="3" t="n"/>
      <c r="AQ3315" s="3" t="n"/>
      <c r="AR3315" s="3" t="n"/>
      <c r="AS3315" s="3" t="n"/>
      <c r="AT3315" s="3" t="n"/>
      <c r="AU3315" s="3" t="n"/>
    </row>
    <row r="3316">
      <c r="A3316" s="3" t="n">
        <v>2031</v>
      </c>
      <c r="B3316" s="3" t="inlineStr">
        <is>
          <t>ZWE</t>
        </is>
      </c>
      <c r="C3316" s="3" t="inlineStr">
        <is>
          <t>IMF.RES:WEO</t>
        </is>
      </c>
      <c r="D3316" s="3" t="inlineStr">
        <is>
          <t>ZWE.LP.A</t>
        </is>
      </c>
      <c r="E3316" s="3" t="inlineStr">
        <is>
          <t>Zimbabwe</t>
        </is>
      </c>
      <c r="F3316" s="3" t="inlineStr">
        <is>
          <t>Population, Persons for countries / Index for country groups</t>
        </is>
      </c>
      <c r="G3316" s="3" t="n">
        <v>11.692639</v>
      </c>
      <c r="H3316" s="3" t="n">
        <v>11.662648</v>
      </c>
      <c r="I3316" s="3" t="n">
        <v>11.631657</v>
      </c>
      <c r="J3316" s="3" t="n">
        <v>11.64</v>
      </c>
      <c r="K3316" s="3" t="n">
        <v>11.73</v>
      </c>
      <c r="L3316" s="3" t="n">
        <v>11.83</v>
      </c>
      <c r="M3316" s="3" t="n">
        <v>12.01</v>
      </c>
      <c r="N3316" s="3" t="n">
        <v>12.04</v>
      </c>
      <c r="O3316" s="3" t="n">
        <v>12.12</v>
      </c>
      <c r="P3316" s="3" t="n">
        <v>12.23</v>
      </c>
      <c r="Q3316" s="3" t="n">
        <v>12.34</v>
      </c>
      <c r="R3316" s="3" t="n">
        <v>12.459407</v>
      </c>
      <c r="S3316" s="3" t="n">
        <v>13.061239</v>
      </c>
      <c r="T3316" s="3" t="n">
        <v>13.42973</v>
      </c>
      <c r="U3316" s="3" t="n">
        <v>13.777826</v>
      </c>
      <c r="V3316" s="3" t="n">
        <v>14.075327</v>
      </c>
      <c r="W3316" s="3" t="n">
        <v>14.37142</v>
      </c>
      <c r="X3316" s="3" t="n">
        <v>14.668138</v>
      </c>
      <c r="Y3316" s="3" t="n">
        <v>14.967528</v>
      </c>
      <c r="Z3316" s="3" t="n">
        <v>15.268251</v>
      </c>
      <c r="AA3316" s="3" t="n">
        <v>15.581537</v>
      </c>
      <c r="AB3316" s="3" t="n">
        <v>15.903574</v>
      </c>
      <c r="AC3316" s="3" t="n">
        <v>16.228748</v>
      </c>
      <c r="AD3316" s="3" t="n">
        <v>16.623742</v>
      </c>
      <c r="AE3316" s="3" t="n">
        <v>16.992309</v>
      </c>
      <c r="AF3316" s="3" t="n">
        <v>17.359716</v>
      </c>
      <c r="AG3316" s="3" t="n">
        <v>17.728284</v>
      </c>
      <c r="AH3316" s="3" t="n">
        <v>18.104095</v>
      </c>
      <c r="AI3316" s="3" t="n">
        <v>18.488139</v>
      </c>
      <c r="AJ3316" s="3" t="n">
        <v>18.881282</v>
      </c>
      <c r="AK3316" s="3" t="n">
        <v>19.28425</v>
      </c>
      <c r="AL3316" s="3" t="n">
        <v>19.698011</v>
      </c>
      <c r="AM3316" s="3" t="n"/>
      <c r="AN3316" s="3" t="n"/>
      <c r="AO3316" s="3" t="n"/>
      <c r="AP3316" s="3" t="n"/>
      <c r="AQ3316" s="3" t="n"/>
      <c r="AR3316" s="3" t="n"/>
      <c r="AS3316" s="3" t="n"/>
      <c r="AT3316" s="3" t="n"/>
      <c r="AU3316" s="3" t="n"/>
    </row>
    <row r="3317">
      <c r="A3317" s="3" t="n">
        <v>2031</v>
      </c>
      <c r="B3317" s="3" t="inlineStr">
        <is>
          <t>ZWE</t>
        </is>
      </c>
      <c r="C3317" s="3" t="inlineStr">
        <is>
          <t>IMF.RES:WEO</t>
        </is>
      </c>
      <c r="D3317" s="3" t="inlineStr">
        <is>
          <t>ZWE.NGDP.A</t>
        </is>
      </c>
      <c r="E3317" s="3" t="inlineStr">
        <is>
          <t>Zimbabwe</t>
        </is>
      </c>
      <c r="F3317" s="3" t="inlineStr">
        <is>
          <t>Gross domestic product (GDP), Current prices, Domestic currency</t>
        </is>
      </c>
      <c r="G3317" s="3" t="n">
        <v>0.006705</v>
      </c>
      <c r="H3317" s="3" t="n">
        <v>0.006649</v>
      </c>
      <c r="I3317" s="3" t="n">
        <v>0.006347</v>
      </c>
      <c r="J3317" s="3" t="n">
        <v>0.005661</v>
      </c>
      <c r="K3317" s="3" t="n">
        <v>0.005597</v>
      </c>
      <c r="L3317" s="3" t="n">
        <v>0.005349</v>
      </c>
      <c r="M3317" s="3" t="n">
        <v>0.004814</v>
      </c>
      <c r="N3317" s="3" t="n">
        <v>0.004603</v>
      </c>
      <c r="O3317" s="3" t="n">
        <v>0.003966</v>
      </c>
      <c r="P3317" s="3" t="n">
        <v>0.005716</v>
      </c>
      <c r="Q3317" s="3" t="n">
        <v>0.006909</v>
      </c>
      <c r="R3317" s="3" t="n">
        <v>0.008057999999999999</v>
      </c>
      <c r="S3317" s="3" t="n">
        <v>0.009674</v>
      </c>
      <c r="T3317" s="3" t="n">
        <v>0.010708</v>
      </c>
      <c r="U3317" s="3" t="n">
        <v>0.011305</v>
      </c>
      <c r="V3317" s="3" t="n">
        <v>0.011255</v>
      </c>
      <c r="W3317" s="3" t="n">
        <v>0.011709</v>
      </c>
      <c r="X3317" s="3" t="n">
        <v>0.012414</v>
      </c>
      <c r="Y3317" s="3" t="n">
        <v>0.021576</v>
      </c>
      <c r="Z3317" s="3" t="n">
        <v>0.12974</v>
      </c>
      <c r="AA3317" s="3" t="n">
        <v>0.8204090000000001</v>
      </c>
      <c r="AB3317" s="3" t="n">
        <v>1.85783</v>
      </c>
      <c r="AC3317" s="3" t="n">
        <v>7.383889</v>
      </c>
      <c r="AD3317" s="3" t="n">
        <v>67.55875899999999</v>
      </c>
      <c r="AE3317" s="3" t="n">
        <v>822.9382890000001</v>
      </c>
      <c r="AF3317" s="3" t="n">
        <v>1428.821225</v>
      </c>
      <c r="AG3317" s="3" t="n">
        <v>1698.799725</v>
      </c>
      <c r="AH3317" s="3" t="n">
        <v>1911.224813</v>
      </c>
      <c r="AI3317" s="3" t="n">
        <v>2151.433114</v>
      </c>
      <c r="AJ3317" s="3" t="n">
        <v>2422.165987</v>
      </c>
      <c r="AK3317" s="3" t="n">
        <v>2727.40971</v>
      </c>
      <c r="AL3317" s="3" t="n">
        <v>3071.623454</v>
      </c>
      <c r="AM3317" s="3" t="n"/>
      <c r="AN3317" s="3" t="n"/>
      <c r="AO3317" s="3" t="n"/>
      <c r="AP3317" s="3" t="n"/>
      <c r="AQ3317" s="3" t="n"/>
      <c r="AR3317" s="3" t="n"/>
      <c r="AS3317" s="3" t="n"/>
      <c r="AT3317" s="3" t="n"/>
      <c r="AU3317" s="3" t="n"/>
    </row>
    <row r="3318">
      <c r="A3318" s="3" t="n">
        <v>2031</v>
      </c>
      <c r="B3318" s="3" t="inlineStr">
        <is>
          <t>ZWE</t>
        </is>
      </c>
      <c r="C3318" s="3" t="inlineStr">
        <is>
          <t>IMF.RES:WEO</t>
        </is>
      </c>
      <c r="D3318" s="3" t="inlineStr">
        <is>
          <t>ZWE.NGDP_D.A</t>
        </is>
      </c>
      <c r="E3318" s="3" t="inlineStr">
        <is>
          <t>Zimbabwe</t>
        </is>
      </c>
      <c r="F3318" s="3" t="inlineStr">
        <is>
          <t>Gross domestic product (GDP), Price deflator, Index</t>
        </is>
      </c>
      <c r="G3318" s="3" t="n">
        <v>0.011004</v>
      </c>
      <c r="H3318" s="3" t="n">
        <v>0.010961</v>
      </c>
      <c r="I3318" s="3" t="n">
        <v>0.011338</v>
      </c>
      <c r="J3318" s="3" t="n">
        <v>0.01207</v>
      </c>
      <c r="K3318" s="3" t="n">
        <v>0.012731</v>
      </c>
      <c r="L3318" s="3" t="n">
        <v>0.013141</v>
      </c>
      <c r="M3318" s="3" t="n">
        <v>0.012264</v>
      </c>
      <c r="N3318" s="3" t="n">
        <v>0.012139</v>
      </c>
      <c r="O3318" s="3" t="n">
        <v>0.012499</v>
      </c>
      <c r="P3318" s="3" t="n">
        <v>0.016773</v>
      </c>
      <c r="Q3318" s="3" t="n">
        <v>0.016902</v>
      </c>
      <c r="R3318" s="3" t="n">
        <v>0.017261</v>
      </c>
      <c r="S3318" s="3" t="n">
        <v>0.017766</v>
      </c>
      <c r="T3318" s="3" t="n">
        <v>0.019266</v>
      </c>
      <c r="U3318" s="3" t="n">
        <v>0.019863</v>
      </c>
      <c r="V3318" s="3" t="n">
        <v>0.019417</v>
      </c>
      <c r="W3318" s="3" t="n">
        <v>0.020048</v>
      </c>
      <c r="X3318" s="3" t="n">
        <v>0.020204</v>
      </c>
      <c r="Y3318" s="3" t="n">
        <v>0.033442</v>
      </c>
      <c r="Z3318" s="3" t="n">
        <v>0.214684</v>
      </c>
      <c r="AA3318" s="3" t="n">
        <v>1.472672</v>
      </c>
      <c r="AB3318" s="3" t="n">
        <v>3.07454</v>
      </c>
      <c r="AC3318" s="3" t="n">
        <v>11.512862</v>
      </c>
      <c r="AD3318" s="3" t="n">
        <v>100</v>
      </c>
      <c r="AE3318" s="3" t="n">
        <v>1197.246871</v>
      </c>
      <c r="AF3318" s="3" t="n">
        <v>1932.959767</v>
      </c>
      <c r="AG3318" s="3" t="n">
        <v>2189.33627</v>
      </c>
      <c r="AH3318" s="3" t="n">
        <v>2364.132789</v>
      </c>
      <c r="AI3318" s="3" t="n">
        <v>2554.062659</v>
      </c>
      <c r="AJ3318" s="3" t="n">
        <v>2759.251129</v>
      </c>
      <c r="AK3318" s="3" t="n">
        <v>2980.924044</v>
      </c>
      <c r="AL3318" s="3" t="n">
        <v>3220.405734</v>
      </c>
      <c r="AM3318" s="3" t="n"/>
      <c r="AN3318" s="3" t="n"/>
      <c r="AO3318" s="3" t="n"/>
      <c r="AP3318" s="3" t="n"/>
      <c r="AQ3318" s="3" t="n"/>
      <c r="AR3318" s="3" t="n"/>
      <c r="AS3318" s="3" t="n"/>
      <c r="AT3318" s="3" t="n"/>
      <c r="AU3318" s="3" t="n"/>
    </row>
    <row r="3319">
      <c r="A3319" s="3" t="n">
        <v>2031</v>
      </c>
      <c r="B3319" s="3" t="inlineStr">
        <is>
          <t>ZWE</t>
        </is>
      </c>
      <c r="C3319" s="3" t="inlineStr">
        <is>
          <t>IMF.RES:WEO</t>
        </is>
      </c>
      <c r="D3319" s="3" t="inlineStr">
        <is>
          <t>ZWE.NGDP_R.A</t>
        </is>
      </c>
      <c r="E3319" s="3" t="inlineStr">
        <is>
          <t>Zimbabwe</t>
        </is>
      </c>
      <c r="F3319" s="3" t="inlineStr">
        <is>
          <t>Gross domestic product (GDP), Constant prices, Domestic currency</t>
        </is>
      </c>
      <c r="G3319" s="3" t="n">
        <v>60.935261</v>
      </c>
      <c r="H3319" s="3" t="n">
        <v>60.658764</v>
      </c>
      <c r="I3319" s="3" t="n">
        <v>55.985549</v>
      </c>
      <c r="J3319" s="3" t="n">
        <v>46.902312</v>
      </c>
      <c r="K3319" s="3" t="n">
        <v>43.961381</v>
      </c>
      <c r="L3319" s="3" t="n">
        <v>40.70235</v>
      </c>
      <c r="M3319" s="3" t="n">
        <v>39.254935</v>
      </c>
      <c r="N3319" s="3" t="n">
        <v>37.919984</v>
      </c>
      <c r="O3319" s="3" t="n">
        <v>31.730362</v>
      </c>
      <c r="P3319" s="3" t="n">
        <v>34.077156</v>
      </c>
      <c r="Q3319" s="3" t="n">
        <v>40.877992</v>
      </c>
      <c r="R3319" s="3" t="n">
        <v>46.680957</v>
      </c>
      <c r="S3319" s="3" t="n">
        <v>54.45358</v>
      </c>
      <c r="T3319" s="3" t="n">
        <v>55.579827</v>
      </c>
      <c r="U3319" s="3" t="n">
        <v>56.914509</v>
      </c>
      <c r="V3319" s="3" t="n">
        <v>57.964704</v>
      </c>
      <c r="W3319" s="3" t="n">
        <v>58.401773</v>
      </c>
      <c r="X3319" s="3" t="n">
        <v>61.440353</v>
      </c>
      <c r="Y3319" s="3" t="n">
        <v>64.518433</v>
      </c>
      <c r="Z3319" s="3" t="n">
        <v>60.432838</v>
      </c>
      <c r="AA3319" s="3" t="n">
        <v>55.708833</v>
      </c>
      <c r="AB3319" s="3" t="n">
        <v>60.426266</v>
      </c>
      <c r="AC3319" s="3" t="n">
        <v>64.135993</v>
      </c>
      <c r="AD3319" s="3" t="n">
        <v>67.55875899999999</v>
      </c>
      <c r="AE3319" s="3" t="n">
        <v>68.73589</v>
      </c>
      <c r="AF3319" s="3" t="n">
        <v>73.918829</v>
      </c>
      <c r="AG3319" s="3" t="n">
        <v>77.59428</v>
      </c>
      <c r="AH3319" s="3" t="n">
        <v>80.84253200000001</v>
      </c>
      <c r="AI3319" s="3" t="n">
        <v>84.235722</v>
      </c>
      <c r="AJ3319" s="3" t="n">
        <v>87.783456</v>
      </c>
      <c r="AK3319" s="3" t="n">
        <v>91.495445</v>
      </c>
      <c r="AL3319" s="3" t="n">
        <v>95.380014</v>
      </c>
      <c r="AM3319" s="3" t="n"/>
      <c r="AN3319" s="3" t="n"/>
      <c r="AO3319" s="3" t="n"/>
      <c r="AP3319" s="3" t="n"/>
      <c r="AQ3319" s="3" t="n"/>
      <c r="AR3319" s="3" t="n"/>
      <c r="AS3319" s="3" t="n"/>
      <c r="AT3319" s="3" t="n"/>
      <c r="AU3319" s="3" t="n"/>
    </row>
    <row r="3320">
      <c r="A3320" s="3" t="n">
        <v>2031</v>
      </c>
      <c r="B3320" s="3" t="inlineStr">
        <is>
          <t>ZWE</t>
        </is>
      </c>
      <c r="C3320" s="3" t="inlineStr">
        <is>
          <t>IMF.RES:WEO</t>
        </is>
      </c>
      <c r="D3320" s="3" t="inlineStr">
        <is>
          <t>ZWE.NGDP_RPCH.A</t>
        </is>
      </c>
      <c r="E3320" s="3" t="inlineStr">
        <is>
          <t>Zimbabwe</t>
        </is>
      </c>
      <c r="F3320" s="3" t="inlineStr">
        <is>
          <t>Gross domestic product (GDP), Constant prices, Percent change</t>
        </is>
      </c>
      <c r="G3320" s="3" t="n">
        <v>-4.230706</v>
      </c>
      <c r="H3320" s="3" t="n">
        <v>-0.453754</v>
      </c>
      <c r="I3320" s="3" t="n">
        <v>-7.704105</v>
      </c>
      <c r="J3320" s="3" t="n">
        <v>-16.224253</v>
      </c>
      <c r="K3320" s="3" t="n">
        <v>-6.270333</v>
      </c>
      <c r="L3320" s="3" t="n">
        <v>-7.413394</v>
      </c>
      <c r="M3320" s="3" t="n">
        <v>-3.556099</v>
      </c>
      <c r="N3320" s="3" t="n">
        <v>-3.40072</v>
      </c>
      <c r="O3320" s="3" t="n">
        <v>-16.322849</v>
      </c>
      <c r="P3320" s="3" t="n">
        <v>7.396052</v>
      </c>
      <c r="Q3320" s="3" t="n">
        <v>19.957168</v>
      </c>
      <c r="R3320" s="3" t="n">
        <v>14.195817</v>
      </c>
      <c r="S3320" s="3" t="n">
        <v>16.650523</v>
      </c>
      <c r="T3320" s="3" t="n">
        <v>2.068269</v>
      </c>
      <c r="U3320" s="3" t="n">
        <v>2.401379</v>
      </c>
      <c r="V3320" s="3" t="n">
        <v>1.845214</v>
      </c>
      <c r="W3320" s="3" t="n">
        <v>0.754027</v>
      </c>
      <c r="X3320" s="3" t="n">
        <v>5.20289</v>
      </c>
      <c r="Y3320" s="3" t="n">
        <v>5.009867</v>
      </c>
      <c r="Z3320" s="3" t="n">
        <v>-6.332446</v>
      </c>
      <c r="AA3320" s="3" t="n">
        <v>-7.816951</v>
      </c>
      <c r="AB3320" s="3" t="n">
        <v>8.468017</v>
      </c>
      <c r="AC3320" s="3" t="n">
        <v>6.139263</v>
      </c>
      <c r="AD3320" s="3" t="n">
        <v>5.33673</v>
      </c>
      <c r="AE3320" s="3" t="n">
        <v>1.742381</v>
      </c>
      <c r="AF3320" s="3" t="n">
        <v>7.540368</v>
      </c>
      <c r="AG3320" s="3" t="n">
        <v>4.97228</v>
      </c>
      <c r="AH3320" s="3" t="n">
        <v>4.1862</v>
      </c>
      <c r="AI3320" s="3" t="n">
        <v>4.197282</v>
      </c>
      <c r="AJ3320" s="3" t="n">
        <v>4.211674</v>
      </c>
      <c r="AK3320" s="3" t="n">
        <v>4.228575</v>
      </c>
      <c r="AL3320" s="3" t="n">
        <v>4.245643</v>
      </c>
      <c r="AM3320" s="3" t="n"/>
      <c r="AN3320" s="3" t="n"/>
      <c r="AO3320" s="3" t="n"/>
      <c r="AP3320" s="3" t="n"/>
      <c r="AQ3320" s="3" t="n"/>
      <c r="AR3320" s="3" t="n"/>
      <c r="AS3320" s="3" t="n"/>
      <c r="AT3320" s="3" t="n"/>
      <c r="AU3320" s="3" t="n"/>
    </row>
    <row r="3321">
      <c r="A3321" s="3" t="n">
        <v>2031</v>
      </c>
      <c r="B3321" s="3" t="inlineStr">
        <is>
          <t>ZWE</t>
        </is>
      </c>
      <c r="C3321" s="3" t="inlineStr">
        <is>
          <t>IMF.RES:WEO</t>
        </is>
      </c>
      <c r="D3321" s="3" t="inlineStr">
        <is>
          <t>ZWE.NGDPD.A</t>
        </is>
      </c>
      <c r="E3321" s="3" t="inlineStr">
        <is>
          <t>Zimbabwe</t>
        </is>
      </c>
      <c r="F3321" s="3" t="inlineStr">
        <is>
          <t>Gross domestic product (GDP), Current prices, US dollar</t>
        </is>
      </c>
      <c r="G3321" s="3" t="n">
        <v>16.7548</v>
      </c>
      <c r="H3321" s="3" t="n">
        <v>16.612858</v>
      </c>
      <c r="I3321" s="3" t="n">
        <v>15.860602</v>
      </c>
      <c r="J3321" s="3" t="n">
        <v>14.145167</v>
      </c>
      <c r="K3321" s="3" t="n">
        <v>13.98461</v>
      </c>
      <c r="L3321" s="3" t="n">
        <v>13.36507</v>
      </c>
      <c r="M3321" s="3" t="n">
        <v>12.02903</v>
      </c>
      <c r="N3321" s="3" t="n">
        <v>11.501851</v>
      </c>
      <c r="O3321" s="3" t="n">
        <v>9.90962</v>
      </c>
      <c r="P3321" s="3" t="n">
        <v>14.281726</v>
      </c>
      <c r="Q3321" s="3" t="n">
        <v>17.264551</v>
      </c>
      <c r="R3321" s="3" t="n">
        <v>20.133936</v>
      </c>
      <c r="S3321" s="3" t="n">
        <v>24.17311</v>
      </c>
      <c r="T3321" s="3" t="n">
        <v>26.756147</v>
      </c>
      <c r="U3321" s="3" t="n">
        <v>28.248441</v>
      </c>
      <c r="V3321" s="3" t="n">
        <v>28.122518</v>
      </c>
      <c r="W3321" s="3" t="n">
        <v>29.256533</v>
      </c>
      <c r="X3321" s="3" t="n">
        <v>31.01823</v>
      </c>
      <c r="Y3321" s="3" t="n">
        <v>53.913637</v>
      </c>
      <c r="Z3321" s="3" t="n">
        <v>39.775614</v>
      </c>
      <c r="AA3321" s="3" t="n">
        <v>39.962487</v>
      </c>
      <c r="AB3321" s="3" t="n">
        <v>52.412921</v>
      </c>
      <c r="AC3321" s="3" t="n">
        <v>48.570383</v>
      </c>
      <c r="AD3321" s="3" t="n">
        <v>44.372406</v>
      </c>
      <c r="AE3321" s="3" t="n">
        <v>49.154371</v>
      </c>
      <c r="AF3321" s="3" t="n">
        <v>53.474167</v>
      </c>
      <c r="AG3321" s="3" t="n">
        <v>56.71268</v>
      </c>
      <c r="AH3321" s="3" t="n">
        <v>57.405713</v>
      </c>
      <c r="AI3321" s="3" t="n">
        <v>59.826801</v>
      </c>
      <c r="AJ3321" s="3" t="n">
        <v>62.349696</v>
      </c>
      <c r="AK3321" s="3" t="n">
        <v>64.99416600000001</v>
      </c>
      <c r="AL3321" s="3" t="n">
        <v>67.76189100000001</v>
      </c>
      <c r="AM3321" s="3" t="n"/>
      <c r="AN3321" s="3" t="n"/>
      <c r="AO3321" s="3" t="n"/>
      <c r="AP3321" s="3" t="n"/>
      <c r="AQ3321" s="3" t="n"/>
      <c r="AR3321" s="3" t="n"/>
      <c r="AS3321" s="3" t="n"/>
      <c r="AT3321" s="3" t="n"/>
      <c r="AU3321" s="3" t="n"/>
    </row>
    <row r="3322">
      <c r="A3322" s="3" t="n">
        <v>2031</v>
      </c>
      <c r="B3322" s="3" t="inlineStr">
        <is>
          <t>ZWE</t>
        </is>
      </c>
      <c r="C3322" s="3" t="inlineStr">
        <is>
          <t>IMF.RES:WEO</t>
        </is>
      </c>
      <c r="D3322" s="3" t="inlineStr">
        <is>
          <t>ZWE.NGDPPC.A</t>
        </is>
      </c>
      <c r="E3322" s="3" t="inlineStr">
        <is>
          <t>Zimbabwe</t>
        </is>
      </c>
      <c r="F3322" s="3" t="inlineStr">
        <is>
          <t>Gross domestic product (GDP), Current prices, Per capita, Domestic currency</t>
        </is>
      </c>
      <c r="G3322" s="3" t="n">
        <v>0.5734669999999999</v>
      </c>
      <c r="H3322" s="3" t="n">
        <v>0.570071</v>
      </c>
      <c r="I3322" s="3" t="n">
        <v>0.5457070000000001</v>
      </c>
      <c r="J3322" s="3" t="n">
        <v>0.486336</v>
      </c>
      <c r="K3322" s="3" t="n">
        <v>0.477127</v>
      </c>
      <c r="L3322" s="3" t="n">
        <v>0.452135</v>
      </c>
      <c r="M3322" s="3" t="n">
        <v>0.400838</v>
      </c>
      <c r="N3322" s="3" t="n">
        <v>0.382316</v>
      </c>
      <c r="O3322" s="3" t="n">
        <v>0.327217</v>
      </c>
      <c r="P3322" s="3" t="n">
        <v>0.467343</v>
      </c>
      <c r="Q3322" s="3" t="n">
        <v>0.5599150000000001</v>
      </c>
      <c r="R3322" s="3" t="n">
        <v>0.646715</v>
      </c>
      <c r="S3322" s="3" t="n">
        <v>0.740679</v>
      </c>
      <c r="T3322" s="3" t="n">
        <v>0.79733</v>
      </c>
      <c r="U3322" s="3" t="n">
        <v>0.820532</v>
      </c>
      <c r="V3322" s="3" t="n">
        <v>0.799608</v>
      </c>
      <c r="W3322" s="3" t="n">
        <v>0.814713</v>
      </c>
      <c r="X3322" s="3" t="n">
        <v>0.846299</v>
      </c>
      <c r="Y3322" s="3" t="n">
        <v>1.441552</v>
      </c>
      <c r="Z3322" s="3" t="n">
        <v>8.497341</v>
      </c>
      <c r="AA3322" s="3" t="n">
        <v>52.65261</v>
      </c>
      <c r="AB3322" s="3" t="n">
        <v>116.818366</v>
      </c>
      <c r="AC3322" s="3" t="n">
        <v>454.988201</v>
      </c>
      <c r="AD3322" s="3" t="n">
        <v>4063.992366</v>
      </c>
      <c r="AE3322" s="3" t="n">
        <v>48430.044472</v>
      </c>
      <c r="AF3322" s="3" t="n">
        <v>82306.716864</v>
      </c>
      <c r="AG3322" s="3" t="n">
        <v>95824.261334</v>
      </c>
      <c r="AH3322" s="3" t="n">
        <v>105568.648924</v>
      </c>
      <c r="AI3322" s="3" t="n">
        <v>116368.292096</v>
      </c>
      <c r="AJ3322" s="3" t="n">
        <v>128283.981119</v>
      </c>
      <c r="AK3322" s="3" t="n">
        <v>141431.980622</v>
      </c>
      <c r="AL3322" s="3" t="n">
        <v>155935.713327</v>
      </c>
      <c r="AM3322" s="3" t="n"/>
      <c r="AN3322" s="3" t="n"/>
      <c r="AO3322" s="3" t="n"/>
      <c r="AP3322" s="3" t="n"/>
      <c r="AQ3322" s="3" t="n"/>
      <c r="AR3322" s="3" t="n"/>
      <c r="AS3322" s="3" t="n"/>
      <c r="AT3322" s="3" t="n"/>
      <c r="AU3322" s="3" t="n"/>
    </row>
    <row r="3323">
      <c r="A3323" s="3" t="n">
        <v>2031</v>
      </c>
      <c r="B3323" s="3" t="inlineStr">
        <is>
          <t>ZWE</t>
        </is>
      </c>
      <c r="C3323" s="3" t="inlineStr">
        <is>
          <t>IMF.RES:WEO</t>
        </is>
      </c>
      <c r="D3323" s="3" t="inlineStr">
        <is>
          <t>ZWE.NGDPRPC.A</t>
        </is>
      </c>
      <c r="E3323" s="3" t="inlineStr">
        <is>
          <t>Zimbabwe</t>
        </is>
      </c>
      <c r="F3323" s="3" t="inlineStr">
        <is>
          <t>Gross domestic product (GDP), Constant prices, Per capita, Domestic currency</t>
        </is>
      </c>
      <c r="G3323" s="3" t="n">
        <v>5211.420462</v>
      </c>
      <c r="H3323" s="3" t="n">
        <v>5201.114186</v>
      </c>
      <c r="I3323" s="3" t="n">
        <v>4813.204967</v>
      </c>
      <c r="J3323" s="3" t="n">
        <v>4029.408272</v>
      </c>
      <c r="K3323" s="3" t="n">
        <v>3747.773312</v>
      </c>
      <c r="L3323" s="3" t="n">
        <v>3440.604434</v>
      </c>
      <c r="M3323" s="3" t="n">
        <v>3268.520776</v>
      </c>
      <c r="N3323" s="3" t="n">
        <v>3149.500355</v>
      </c>
      <c r="O3323" s="3" t="n">
        <v>2618.016693</v>
      </c>
      <c r="P3323" s="3" t="n">
        <v>2786.357832</v>
      </c>
      <c r="Q3323" s="3" t="n">
        <v>3312.641144</v>
      </c>
      <c r="R3323" s="3" t="n">
        <v>3746.643577</v>
      </c>
      <c r="S3323" s="3" t="n">
        <v>4169.097608</v>
      </c>
      <c r="T3323" s="3" t="n">
        <v>4138.566208</v>
      </c>
      <c r="U3323" s="3" t="n">
        <v>4130.877329</v>
      </c>
      <c r="V3323" s="3" t="n">
        <v>4118.178019</v>
      </c>
      <c r="W3323" s="3" t="n">
        <v>4063.744183</v>
      </c>
      <c r="X3323" s="3" t="n">
        <v>4188.694657</v>
      </c>
      <c r="Y3323" s="3" t="n">
        <v>4310.560336</v>
      </c>
      <c r="Z3323" s="3" t="n">
        <v>3958.072007</v>
      </c>
      <c r="AA3323" s="3" t="n">
        <v>3575.310424</v>
      </c>
      <c r="AB3323" s="3" t="n">
        <v>3799.540065</v>
      </c>
      <c r="AC3323" s="3" t="n">
        <v>3951.998937</v>
      </c>
      <c r="AD3323" s="3" t="n">
        <v>4063.992366</v>
      </c>
      <c r="AE3323" s="3" t="n">
        <v>4045.117648</v>
      </c>
      <c r="AF3323" s="3" t="n">
        <v>4258.066737</v>
      </c>
      <c r="AG3323" s="3" t="n">
        <v>4376.863557</v>
      </c>
      <c r="AH3323" s="3" t="n">
        <v>4465.428059</v>
      </c>
      <c r="AI3323" s="3" t="n">
        <v>4556.203493</v>
      </c>
      <c r="AJ3323" s="3" t="n">
        <v>4649.231808</v>
      </c>
      <c r="AK3323" s="3" t="n">
        <v>4744.568413</v>
      </c>
      <c r="AL3323" s="3" t="n">
        <v>4842.113889</v>
      </c>
      <c r="AM3323" s="3" t="n"/>
      <c r="AN3323" s="3" t="n"/>
      <c r="AO3323" s="3" t="n"/>
      <c r="AP3323" s="3" t="n"/>
      <c r="AQ3323" s="3" t="n"/>
      <c r="AR3323" s="3" t="n"/>
      <c r="AS3323" s="3" t="n"/>
      <c r="AT3323" s="3" t="n"/>
      <c r="AU3323" s="3" t="n"/>
    </row>
    <row r="3324">
      <c r="A3324" s="3" t="n">
        <v>2031</v>
      </c>
      <c r="B3324" s="3" t="inlineStr">
        <is>
          <t>ZWE</t>
        </is>
      </c>
      <c r="C3324" s="3" t="inlineStr">
        <is>
          <t>IMF.RES:WEO</t>
        </is>
      </c>
      <c r="D3324" s="3" t="inlineStr">
        <is>
          <t>ZWE.PCPI.A</t>
        </is>
      </c>
      <c r="E3324" s="3" t="inlineStr">
        <is>
          <t>Zimbabwe</t>
        </is>
      </c>
      <c r="F3324" s="3" t="inlineStr">
        <is>
          <t>All Items, Consumer price index (CPI), Period average</t>
        </is>
      </c>
      <c r="G3324" s="3" t="n"/>
      <c r="H3324" s="3" t="n"/>
      <c r="I3324" s="3" t="n"/>
      <c r="J3324" s="3" t="n"/>
      <c r="K3324" s="3" t="n"/>
      <c r="L3324" s="3" t="n"/>
      <c r="M3324" s="3" t="n"/>
      <c r="N3324" s="3" t="n"/>
      <c r="O3324" s="3" t="n">
        <v>0.008971</v>
      </c>
      <c r="P3324" s="3" t="n">
        <v>0.009528999999999999</v>
      </c>
      <c r="Q3324" s="3" t="n">
        <v>0.009819</v>
      </c>
      <c r="R3324" s="3" t="n">
        <v>0.010159</v>
      </c>
      <c r="S3324" s="3" t="n">
        <v>0.010537</v>
      </c>
      <c r="T3324" s="3" t="n">
        <v>0.010709</v>
      </c>
      <c r="U3324" s="3" t="n">
        <v>0.010687</v>
      </c>
      <c r="V3324" s="3" t="n">
        <v>0.010429</v>
      </c>
      <c r="W3324" s="3" t="n">
        <v>0.010267</v>
      </c>
      <c r="X3324" s="3" t="n">
        <v>0.01036</v>
      </c>
      <c r="Y3324" s="3" t="n">
        <v>0.011459</v>
      </c>
      <c r="Z3324" s="3" t="n">
        <v>0.040711</v>
      </c>
      <c r="AA3324" s="3" t="n">
        <v>0.267558</v>
      </c>
      <c r="AB3324" s="3" t="n">
        <v>0.531227</v>
      </c>
      <c r="AC3324" s="3" t="n">
        <v>1.558614</v>
      </c>
      <c r="AD3324" s="3" t="n">
        <v>11.960204</v>
      </c>
      <c r="AE3324" s="3" t="n">
        <v>100</v>
      </c>
      <c r="AF3324" s="3" t="n">
        <v>181.437797</v>
      </c>
      <c r="AG3324" s="3" t="n">
        <v>195.907947</v>
      </c>
      <c r="AH3324" s="3" t="n">
        <v>211.54923</v>
      </c>
      <c r="AI3324" s="3" t="n">
        <v>228.544687</v>
      </c>
      <c r="AJ3324" s="3" t="n">
        <v>246.905526</v>
      </c>
      <c r="AK3324" s="3" t="n">
        <v>266.74144</v>
      </c>
      <c r="AL3324" s="3" t="n">
        <v>288.170933</v>
      </c>
      <c r="AM3324" s="3" t="n"/>
      <c r="AN3324" s="3" t="n"/>
      <c r="AO3324" s="3" t="n"/>
      <c r="AP3324" s="3" t="n"/>
      <c r="AQ3324" s="3" t="n"/>
      <c r="AR3324" s="3" t="n"/>
      <c r="AS3324" s="3" t="n"/>
      <c r="AT3324" s="3" t="n"/>
      <c r="AU3324" s="3" t="n"/>
    </row>
    <row r="3325">
      <c r="A3325" s="3" t="n">
        <v>2031</v>
      </c>
      <c r="B3325" s="3" t="inlineStr">
        <is>
          <t>ZWE</t>
        </is>
      </c>
      <c r="C3325" s="3" t="inlineStr">
        <is>
          <t>IMF.RES:WEO</t>
        </is>
      </c>
      <c r="D3325" s="3" t="inlineStr">
        <is>
          <t>ZWE.PCPIPCH.A</t>
        </is>
      </c>
      <c r="E3325" s="3" t="inlineStr">
        <is>
          <t>Zimbabwe</t>
        </is>
      </c>
      <c r="F3325" s="3" t="inlineStr">
        <is>
          <t>All Items, Consumer price index (CPI), Period average, percent change</t>
        </is>
      </c>
      <c r="G3325" s="3" t="n"/>
      <c r="H3325" s="3" t="n"/>
      <c r="I3325" s="3" t="n"/>
      <c r="J3325" s="3" t="n"/>
      <c r="K3325" s="3" t="n"/>
      <c r="L3325" s="3" t="n"/>
      <c r="M3325" s="3" t="n"/>
      <c r="N3325" s="3" t="n"/>
      <c r="O3325" s="3" t="n"/>
      <c r="P3325" s="3" t="n">
        <v>6.216</v>
      </c>
      <c r="Q3325" s="3" t="n">
        <v>3.045113</v>
      </c>
      <c r="R3325" s="3" t="n">
        <v>3.470318</v>
      </c>
      <c r="S3325" s="3" t="n">
        <v>3.720451</v>
      </c>
      <c r="T3325" s="3" t="n">
        <v>1.631622</v>
      </c>
      <c r="U3325" s="3" t="n">
        <v>-0.21294</v>
      </c>
      <c r="V3325" s="3" t="n">
        <v>-2.409555</v>
      </c>
      <c r="W3325" s="3" t="n">
        <v>-1.558241</v>
      </c>
      <c r="X3325" s="3" t="n">
        <v>0.907206</v>
      </c>
      <c r="Y3325" s="3" t="n">
        <v>10.607337</v>
      </c>
      <c r="Z3325" s="3" t="n">
        <v>255.291666</v>
      </c>
      <c r="AA3325" s="3" t="n">
        <v>557.2098</v>
      </c>
      <c r="AB3325" s="3" t="n">
        <v>98.54622500000001</v>
      </c>
      <c r="AC3325" s="3" t="n">
        <v>193.398836</v>
      </c>
      <c r="AD3325" s="3" t="n">
        <v>667.36144</v>
      </c>
      <c r="AE3325" s="3" t="n">
        <v>736.106127</v>
      </c>
      <c r="AF3325" s="3" t="n">
        <v>81.437797</v>
      </c>
      <c r="AG3325" s="3" t="n">
        <v>7.975268</v>
      </c>
      <c r="AH3325" s="3" t="n">
        <v>7.983996</v>
      </c>
      <c r="AI3325" s="3" t="n">
        <v>8.033806999999999</v>
      </c>
      <c r="AJ3325" s="3" t="n">
        <v>8.033806999999999</v>
      </c>
      <c r="AK3325" s="3" t="n">
        <v>8.033806999999999</v>
      </c>
      <c r="AL3325" s="3" t="n">
        <v>8.033806999999999</v>
      </c>
      <c r="AM3325" s="3" t="n"/>
      <c r="AN3325" s="3" t="n"/>
      <c r="AO3325" s="3" t="n"/>
      <c r="AP3325" s="3" t="n"/>
      <c r="AQ3325" s="3" t="n"/>
      <c r="AR3325" s="3" t="n"/>
      <c r="AS3325" s="3" t="n"/>
      <c r="AT3325" s="3" t="n"/>
      <c r="AU3325" s="3" t="n"/>
    </row>
    <row r="3326">
      <c r="A3326" s="3" t="n">
        <v>2031</v>
      </c>
      <c r="B3326" s="3" t="inlineStr">
        <is>
          <t>ZWE</t>
        </is>
      </c>
      <c r="C3326" s="3" t="inlineStr">
        <is>
          <t>IMF.RES:WEO</t>
        </is>
      </c>
      <c r="D3326" s="3" t="inlineStr">
        <is>
          <t>ZWE.PPPPC.A</t>
        </is>
      </c>
      <c r="E3326" s="3" t="inlineStr">
        <is>
          <t>Zimbabwe</t>
        </is>
      </c>
      <c r="F3326" s="3" t="inlineStr">
        <is>
          <t>Gross domestic product (GDP), Per capita, purchasing power parity (PPP) international dollar, ICP benchmarks 2017-2021</t>
        </is>
      </c>
      <c r="G3326" s="3" t="n">
        <v>3909.419265</v>
      </c>
      <c r="H3326" s="3" t="n">
        <v>3989.539069</v>
      </c>
      <c r="I3326" s="3" t="n">
        <v>3749.366348</v>
      </c>
      <c r="J3326" s="3" t="n">
        <v>3200.775163</v>
      </c>
      <c r="K3326" s="3" t="n">
        <v>3057.106941</v>
      </c>
      <c r="L3326" s="3" t="n">
        <v>2894.553567</v>
      </c>
      <c r="M3326" s="3" t="n">
        <v>2834.580938</v>
      </c>
      <c r="N3326" s="3" t="n">
        <v>2805.362045</v>
      </c>
      <c r="O3326" s="3" t="n">
        <v>2376.875313</v>
      </c>
      <c r="P3326" s="3" t="n">
        <v>2545.312603</v>
      </c>
      <c r="Q3326" s="3" t="n">
        <v>3062.845691</v>
      </c>
      <c r="R3326" s="3" t="n">
        <v>3535.594847</v>
      </c>
      <c r="S3326" s="3" t="n">
        <v>4007.505111</v>
      </c>
      <c r="T3326" s="3" t="n">
        <v>4045.865524</v>
      </c>
      <c r="U3326" s="3" t="n">
        <v>4108.685392</v>
      </c>
      <c r="V3326" s="3" t="n">
        <v>4134.067869</v>
      </c>
      <c r="W3326" s="3" t="n">
        <v>4118.187651</v>
      </c>
      <c r="X3326" s="3" t="n">
        <v>4320.832032</v>
      </c>
      <c r="Y3326" s="3" t="n">
        <v>4145.160339</v>
      </c>
      <c r="Z3326" s="3" t="n">
        <v>4968.00972</v>
      </c>
      <c r="AA3326" s="3" t="n">
        <v>5203.228816</v>
      </c>
      <c r="AB3326" s="3" t="n">
        <v>6086.797984</v>
      </c>
      <c r="AC3326" s="3" t="n">
        <v>6781.323867</v>
      </c>
      <c r="AD3326" s="3" t="n">
        <v>7231.517585</v>
      </c>
      <c r="AE3326" s="3" t="n">
        <v>7376.623561</v>
      </c>
      <c r="AF3326" s="3" t="n">
        <v>7985.228368</v>
      </c>
      <c r="AG3326" s="3" t="n">
        <v>8443.157406</v>
      </c>
      <c r="AH3326" s="3" t="n">
        <v>8803.157175</v>
      </c>
      <c r="AI3326" s="3" t="n">
        <v>9129.543653000001</v>
      </c>
      <c r="AJ3326" s="3" t="n">
        <v>9481.597883</v>
      </c>
      <c r="AK3326" s="3" t="n">
        <v>9853.826007</v>
      </c>
      <c r="AL3326" s="3" t="n">
        <v>10237.963384</v>
      </c>
      <c r="AM3326" s="3" t="n"/>
      <c r="AN3326" s="3" t="n"/>
      <c r="AO3326" s="3" t="n"/>
      <c r="AP3326" s="3" t="n"/>
      <c r="AQ3326" s="3" t="n"/>
      <c r="AR3326" s="3" t="n"/>
      <c r="AS3326" s="3" t="n"/>
      <c r="AT3326" s="3" t="n"/>
      <c r="AU3326" s="3" t="n"/>
    </row>
    <row r="3327">
      <c r="A3327" s="3" t="n">
        <v>2025</v>
      </c>
      <c r="B3327" s="3" t="inlineStr">
        <is>
          <t>ZWE</t>
        </is>
      </c>
      <c r="C3327" s="3" t="inlineStr">
        <is>
          <t>IMF.STA:ER</t>
        </is>
      </c>
      <c r="D3327" s="3" t="inlineStr">
        <is>
          <t>ZWE.XDC_USD.PA_RT.A</t>
        </is>
      </c>
      <c r="E3327" s="3" t="inlineStr">
        <is>
          <t>Zimbabwe</t>
        </is>
      </c>
      <c r="F3327" s="3" t="inlineStr">
        <is>
          <t>Domestic currency per US Dollar</t>
        </is>
      </c>
      <c r="G3327" s="3" t="n">
        <v>0.0444683764174299</v>
      </c>
      <c r="H3327" s="3" t="n">
        <v>0.0551146597125865</v>
      </c>
      <c r="I3327" s="3" t="n">
        <v>0.0550982905810337</v>
      </c>
      <c r="J3327" s="3" t="n">
        <v>0.6982160713057221</v>
      </c>
      <c r="K3327" s="3" t="n">
        <v>5.07441941463195</v>
      </c>
      <c r="L3327" s="3" t="n">
        <v>22.3890396048254</v>
      </c>
      <c r="M3327" s="3" t="n">
        <v>164.547356500646</v>
      </c>
      <c r="N3327" s="3" t="n">
        <v>9686.771669541749</v>
      </c>
      <c r="O3327" s="3" t="n">
        <v>6723052073.3381</v>
      </c>
      <c r="P3327" s="3" t="n"/>
      <c r="Q3327" s="3" t="n"/>
      <c r="R3327" s="3" t="n"/>
      <c r="S3327" s="3" t="n"/>
      <c r="T3327" s="3" t="n"/>
      <c r="U3327" s="3" t="n"/>
      <c r="V3327" s="3" t="n"/>
      <c r="W3327" s="3" t="n"/>
      <c r="X3327" s="3" t="n"/>
      <c r="Y3327" s="3" t="n"/>
      <c r="Z3327" s="3" t="n"/>
      <c r="AA3327" s="3" t="n">
        <v>51.3290131226287</v>
      </c>
      <c r="AB3327" s="3" t="n">
        <v>88.5524472597436</v>
      </c>
      <c r="AC3327" s="3" t="n">
        <v>374.954362604663</v>
      </c>
      <c r="AD3327" s="3" t="n">
        <v>3509.17222037558</v>
      </c>
      <c r="AE3327" s="3" t="n">
        <v>3266.3319125</v>
      </c>
      <c r="AF3327" s="3" t="n">
        <v>26.5961940841935</v>
      </c>
      <c r="AG3327" s="3" t="n"/>
      <c r="AH3327" s="3" t="n"/>
      <c r="AI3327" s="3" t="n"/>
      <c r="AJ3327" s="3" t="n"/>
      <c r="AK3327" s="3" t="n"/>
      <c r="AL3327" s="3" t="n"/>
      <c r="AM3327" s="3" t="n"/>
      <c r="AN3327" s="3" t="n"/>
      <c r="AO3327" s="3" t="n"/>
      <c r="AP3327" s="3" t="n"/>
      <c r="AQ3327" s="3" t="n"/>
      <c r="AR3327" s="3" t="n"/>
      <c r="AS3327" s="3" t="n"/>
      <c r="AT3327" s="3" t="n"/>
      <c r="AU332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2026-10-31T07:17:46Z</dcterms:created>
  <dcterms:modified xmlns:dcterms="http://purl.org/dc/terms/" xmlns:xsi="http://www.w3.org/2001/XMLSchema-instance" xsi:type="dcterms:W3CDTF">2026-10-31T07:21:30Z</dcterms:modified>
</cp:coreProperties>
</file>